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paigns" sheetId="1" r:id="rId4"/>
    <sheet state="visible" name="Dataset" sheetId="2" r:id="rId5"/>
    <sheet state="visible" name="Leak conditions" sheetId="3" r:id="rId6"/>
    <sheet state="visible" name="Statistics" sheetId="4" r:id="rId7"/>
    <sheet state="visible" name="Tests" sheetId="5" r:id="rId8"/>
    <sheet state="visible" name="Infrastructure" sheetId="6" r:id="rId9"/>
    <sheet state="visible" name="Evenements confondants" sheetId="7" r:id="rId10"/>
  </sheets>
  <definedNames/>
  <calcPr/>
</workbook>
</file>

<file path=xl/sharedStrings.xml><?xml version="1.0" encoding="utf-8"?>
<sst xmlns="http://schemas.openxmlformats.org/spreadsheetml/2006/main" count="35382" uniqueCount="3454">
  <si>
    <t>Date</t>
  </si>
  <si>
    <t>Campaign</t>
  </si>
  <si>
    <t>Tests</t>
  </si>
  <si>
    <t>Description</t>
  </si>
  <si>
    <t>Comment</t>
  </si>
  <si>
    <t>plant-gonfreville-2017</t>
  </si>
  <si>
    <t>Total dataset plant_gonfreville_2017,gdoc</t>
  </si>
  <si>
    <t>tests_campaign-lacq-2017</t>
  </si>
  <si>
    <t>leak-anechoic_chamber-2017</t>
  </si>
  <si>
    <t>leak-anechoic_chamber-2018</t>
  </si>
  <si>
    <t>leak-outside-2018</t>
  </si>
  <si>
    <t>tests_campaign-lacq-jun2018</t>
  </si>
  <si>
    <t>tests_campaign-lacq-oct2018</t>
  </si>
  <si>
    <t>tadi-2019</t>
  </si>
  <si>
    <t>Date correspondant au déploiement du système,</t>
  </si>
  <si>
    <t>sobegi-july-2019</t>
  </si>
  <si>
    <t>Pas de test, uniquement du bruit de fond,</t>
  </si>
  <si>
    <t>tadi-2020</t>
  </si>
  <si>
    <t>141 tests spécifiques pour l'acoustique,</t>
  </si>
  <si>
    <t>ineris-2020</t>
  </si>
  <si>
    <t>Nous n'avons pas les 111 enregistrées, Valeur à mettre à jour</t>
  </si>
  <si>
    <t>tadi-2021</t>
  </si>
  <si>
    <t>TOTAL</t>
  </si>
  <si>
    <t>Nombre total d'essais réalisés</t>
  </si>
  <si>
    <t>tadi_oct_2018</t>
  </si>
  <si>
    <t>tadi_2019</t>
  </si>
  <si>
    <t>Campagne acoustique oct 2019</t>
  </si>
  <si>
    <t>W43 - 26 tests</t>
  </si>
  <si>
    <t>Tests de la portée pour Alarme IMC Service + Flir G300a dans une camionnette - pluie ; grêle, vent de 3 à 20 m/s</t>
  </si>
  <si>
    <t>Tests acoustiques</t>
  </si>
  <si>
    <t>LQA-Scientific Aviation / Campagne Environnement</t>
  </si>
  <si>
    <t>Tests Satellite pour LQA</t>
  </si>
  <si>
    <t>Tests Environnement LQA</t>
  </si>
  <si>
    <t>essai pour installation IMC Service + FLIRG300a ; vent à 1 m/s du nord vers le sud</t>
  </si>
  <si>
    <t>essai pour installation IMC Service + FLIRG300a ; vent à 4 m/s et  venant de l'est l'après-midi</t>
  </si>
  <si>
    <t>essai pour installation du système IMC Service + FLIR G300a</t>
  </si>
  <si>
    <t>Tests environnement LQA</t>
  </si>
  <si>
    <t>Tests installation IMC Service</t>
  </si>
  <si>
    <t>Tests ACOEM / Robotique</t>
  </si>
  <si>
    <t>Tests Rebellion et IMC Services</t>
  </si>
  <si>
    <t>Tests pour Com</t>
  </si>
  <si>
    <t>Tests pour Rebellion</t>
  </si>
  <si>
    <t>Tests pour LQA</t>
  </si>
  <si>
    <t>Tests satellite pour LQA</t>
  </si>
  <si>
    <t>Tests acoustiques 02 et 03 mars 2021</t>
  </si>
  <si>
    <t>Tests acoustiques Robot-POD Acoem 01 et 02 avril 2021</t>
  </si>
  <si>
    <t>Tests pour caméra Rebellion 14 avril 2021</t>
  </si>
  <si>
    <t>Test satellite pour LQA</t>
  </si>
  <si>
    <t>Tests pour IMC Services</t>
  </si>
  <si>
    <t>Tests capteur mobile Draeger CH4</t>
  </si>
  <si>
    <t>Tests pour LQA-Université Grenoble Alpes (Avion)</t>
  </si>
  <si>
    <t>Tests pour Acoustiques (ACOEM et WAVELY)</t>
  </si>
  <si>
    <t>Tests pour Acoustiques ACOEM</t>
  </si>
  <si>
    <t>Tests LQA septembre 2021</t>
  </si>
  <si>
    <t>Tests SAFETY septembre 2021</t>
  </si>
  <si>
    <t>Tests SAFETY-IMC septembre 2021</t>
  </si>
  <si>
    <t>Tests SAFETY-IMC octobre 2021</t>
  </si>
  <si>
    <t>Tests SAFETY-IMC novembre 2021</t>
  </si>
  <si>
    <t>Tests STG novembre 2021</t>
  </si>
  <si>
    <t>Tests SAFETY-IMC décembre 2021</t>
  </si>
  <si>
    <t>Tests ACOEM décembre 2021 - Antenne n°9 à la position n°1 sous la structure (28,7/-11,5/1,25)</t>
  </si>
  <si>
    <t>Tests ACOEM décembre 2021 - Antenne n°9 à la position n°2 sur la structure (29/-15,4/4,25)</t>
  </si>
  <si>
    <t>Tests ACOEM décembre 2021 - Antenne n°9 à la position n°3 (40/-30/1,25)</t>
  </si>
  <si>
    <t>Tests Wavely</t>
  </si>
  <si>
    <t>Tests FLUKE</t>
  </si>
  <si>
    <t>Tests IMC</t>
  </si>
  <si>
    <t>Tests acoustique - Fluke</t>
  </si>
  <si>
    <t>Tests acoustiques et Draeger</t>
  </si>
  <si>
    <t>Tests NGF-BOSTON DYNAMICS-FLUKE</t>
  </si>
  <si>
    <t>Tests DIG-Russie</t>
  </si>
  <si>
    <t>Tests Exavision</t>
  </si>
  <si>
    <t>Tests Customer Line CO2</t>
  </si>
  <si>
    <t>Test O&amp;G Tech</t>
  </si>
  <si>
    <t>Test Démo CO2</t>
  </si>
  <si>
    <t>Tests Exavision-IMC</t>
  </si>
  <si>
    <t>Tests régulation TADI</t>
  </si>
  <si>
    <t>Tests campagne LQA</t>
  </si>
  <si>
    <t>Test visite PETROBRAS</t>
  </si>
  <si>
    <t>Tests visite CHEMOURS</t>
  </si>
  <si>
    <t>Tests SIMAGAZ</t>
  </si>
  <si>
    <t>Tests SAFETY</t>
  </si>
  <si>
    <t>Campagne LQA / AUSEA</t>
  </si>
  <si>
    <t>Tests N2 pour STORM</t>
  </si>
  <si>
    <t>Test EXAVISION</t>
  </si>
  <si>
    <t>Tests pour TEREGA</t>
  </si>
  <si>
    <t>Tests pour abaque bouchons percés ACOEM</t>
  </si>
  <si>
    <t>Tests EXAVISION pour IMC</t>
  </si>
  <si>
    <t>Planning tests ACOEM</t>
  </si>
  <si>
    <t>Planning tests campagne LQA novembre 2022</t>
  </si>
  <si>
    <t>Tests validation régulation débits TADI Nord</t>
  </si>
  <si>
    <t>Tests IMC + Visiteurs TE</t>
  </si>
  <si>
    <t>Tests pour SAFETY (Wavely, ACOEM, IMC)</t>
  </si>
  <si>
    <t>Tests AUSEA-ENVEA-Day1</t>
  </si>
  <si>
    <t>Tests AUSEA-ENVEA-Day2</t>
  </si>
  <si>
    <t>Tests NGF-Caméra IMC</t>
  </si>
  <si>
    <t xml:space="preserve">Tests ACOEM </t>
  </si>
  <si>
    <t>Tests Hydrogène - ACOEM</t>
  </si>
  <si>
    <t>Tests NGF-Caméra acoustique SORAMA</t>
  </si>
  <si>
    <t>Tests STANFORD - IMEO - W25/D1</t>
  </si>
  <si>
    <t>Tests STANFORD - IMEO - W25/D2</t>
  </si>
  <si>
    <t>Tests STANFORD - IMEO - W25/D3</t>
  </si>
  <si>
    <t>Tests STANFORD - IMEO - W25/D4</t>
  </si>
  <si>
    <t>Tests STANFORD - IMEO - W25/D5</t>
  </si>
  <si>
    <t>Tests STANFORD - IMEO - W26/D1</t>
  </si>
  <si>
    <t>Tests STANFORD - IMEO - W26/D2</t>
  </si>
  <si>
    <t>Tests STANFORD - IMEO - W26/D3</t>
  </si>
  <si>
    <t>Tests STANFORD - IMEO - W26/D4</t>
  </si>
  <si>
    <t>Tests STANFORD - IMEO - W26/D5</t>
  </si>
  <si>
    <t>Tests certification AUSEA</t>
  </si>
  <si>
    <t>Tests nouvelle antenne ACOEM</t>
  </si>
  <si>
    <t>Tests AIRMO</t>
  </si>
  <si>
    <t>Tests Crysound - SAFETY</t>
  </si>
  <si>
    <t>Tests STANFORD - IMEO - W37/D1</t>
  </si>
  <si>
    <t>Tests STANFORD - IMEO - W37/D2</t>
  </si>
  <si>
    <t>Tests STANFORD - IMEO - W37/D3</t>
  </si>
  <si>
    <t>Tests STANFORD - IMEO - W37/D4</t>
  </si>
  <si>
    <t>Tests STANFORD - IMEO - W37/D5</t>
  </si>
  <si>
    <t>Tests STANFORD - IMEO - W38/D1</t>
  </si>
  <si>
    <t>Tests STANFORD - IMEO - W38/D2</t>
  </si>
  <si>
    <t>Tests STANFORD - IMEO - W38/D3</t>
  </si>
  <si>
    <t>Tests STANFORD - IMEO - W38/D5</t>
  </si>
  <si>
    <t>Tests ENGIE W40/D1</t>
  </si>
  <si>
    <t>Tests ENGIE W40/D2</t>
  </si>
  <si>
    <t>Tests ENGIE W40/D3</t>
  </si>
  <si>
    <t>Tests WAVELY</t>
  </si>
  <si>
    <t>Tests NEVADANANO - Jour 1 : Tests ordre de grandeur</t>
  </si>
  <si>
    <t>Tests NEVADANANO - Jour 2 : Tests multisources</t>
  </si>
  <si>
    <t>Tests NEVADANANO - Jour 3 : Interférents et multisources</t>
  </si>
  <si>
    <t>Tests NEVADANANO - Jour 4 : Impact bruit de fond et émergences</t>
  </si>
  <si>
    <t>Tests NEVADANANO - Jour 5 : Limites de détection et interférents</t>
  </si>
  <si>
    <t>Tests NEVADANANO - Jour 6 : Impact bruit de fond et émergences</t>
  </si>
  <si>
    <t>Tests NEVADANANO - Jour 7 : Limites de détection</t>
  </si>
  <si>
    <t>Tests NEVADANANO - Jour 8 : Limites de détection</t>
  </si>
  <si>
    <t xml:space="preserve">Tests NEVADANANO - Jour 1 : </t>
  </si>
  <si>
    <t xml:space="preserve">Tests NEVADANANO - Jour 2 : </t>
  </si>
  <si>
    <t xml:space="preserve">Tests NEVADANANO - Jour 3 : </t>
  </si>
  <si>
    <t xml:space="preserve">Tests NEVADANANO - Jour 4 : </t>
  </si>
  <si>
    <t xml:space="preserve">Tests NEVADANANO - Jour 5 : </t>
  </si>
  <si>
    <t xml:space="preserve">Tests NEVADANANO - Jour 6 : </t>
  </si>
  <si>
    <t xml:space="preserve">Tests NEVADANANO - Jour 7 : </t>
  </si>
  <si>
    <t xml:space="preserve">Tests NEVADANANO - Jour 8 : </t>
  </si>
  <si>
    <t xml:space="preserve">Tests NEVADANANO - Jour 9 : </t>
  </si>
  <si>
    <t xml:space="preserve">Tests NEVADANANO - Jour 10 : </t>
  </si>
  <si>
    <t xml:space="preserve">Tests NEVADANANO - Jour 11 : </t>
  </si>
  <si>
    <t xml:space="preserve">Tests NEVADANANO - Jour 12 : </t>
  </si>
  <si>
    <t xml:space="preserve">Tests NEVADANANO - Jour 13 : </t>
  </si>
  <si>
    <t xml:space="preserve">Tests NEVADANANO - Jour 14 : </t>
  </si>
  <si>
    <t>Tests NEVADANANO - Jour 15 : Tests de distances de détection en carré</t>
  </si>
  <si>
    <t>Tests NEVADANANO - Jour 16 : Tests de distances de détection en carré</t>
  </si>
  <si>
    <t>Tests NEVADANANO - Jour 17 : Tests de distances de détection en carré</t>
  </si>
  <si>
    <t>Tests 2 caméras Caltech</t>
  </si>
  <si>
    <t>Tests LQA - UAVIA</t>
  </si>
  <si>
    <t>Campagne CALTECH</t>
  </si>
  <si>
    <t>Absolut Sensing (Satellite)</t>
  </si>
  <si>
    <t>Campagne eLICHENS - Day 1 - Calage des algo et vérification data [1,08 - 7,2 kg/h]</t>
  </si>
  <si>
    <t>Campagne eLICHENS - Day 2 - Calage des algo et vérification data [1,08 - 7,2 kg/h]</t>
  </si>
  <si>
    <t>Campagne eLICHENS - Day 3 - Blind tests</t>
  </si>
  <si>
    <t>Campagne eLICHENS - Day 4 - Blind tests - Complexité (durées variables ; double source)</t>
  </si>
  <si>
    <t>LQA - AUSEA - UAVIA</t>
  </si>
  <si>
    <t>Tests ACOEM Campagne Novembre</t>
  </si>
  <si>
    <t>GAZ</t>
  </si>
  <si>
    <t>Nombre</t>
  </si>
  <si>
    <t>%</t>
  </si>
  <si>
    <t>Nbre catégorie</t>
  </si>
  <si>
    <t>OK</t>
  </si>
  <si>
    <t>Somme</t>
  </si>
  <si>
    <t>CH4</t>
  </si>
  <si>
    <t>unknown</t>
  </si>
  <si>
    <t>CO2</t>
  </si>
  <si>
    <t>20% C2H6</t>
  </si>
  <si>
    <t>50% C3H8</t>
  </si>
  <si>
    <t>20% C3H8</t>
  </si>
  <si>
    <t>C2H6</t>
  </si>
  <si>
    <t>C3H8</t>
  </si>
  <si>
    <t>H2</t>
  </si>
  <si>
    <t>Multifuites</t>
  </si>
  <si>
    <t>Oui</t>
  </si>
  <si>
    <t>Non</t>
  </si>
  <si>
    <t>Non renseigné</t>
  </si>
  <si>
    <t>Purges</t>
  </si>
  <si>
    <t>Débit</t>
  </si>
  <si>
    <t>0-1</t>
  </si>
  <si>
    <t>1-10</t>
  </si>
  <si>
    <t>10+</t>
  </si>
  <si>
    <t>Zone</t>
  </si>
  <si>
    <t>Sans multifuites</t>
  </si>
  <si>
    <t>NOK</t>
  </si>
  <si>
    <t>North</t>
  </si>
  <si>
    <t>South</t>
  </si>
  <si>
    <t>N°</t>
  </si>
  <si>
    <t>Equipement</t>
  </si>
  <si>
    <t>x (m)</t>
  </si>
  <si>
    <t>y (m)</t>
  </si>
  <si>
    <t>z (m)</t>
  </si>
  <si>
    <t>Associated types</t>
  </si>
  <si>
    <t>Nbre catégories</t>
  </si>
  <si>
    <t>Fixed Point 2</t>
  </si>
  <si>
    <t>Flare (6,5 m)</t>
  </si>
  <si>
    <t>Large Tank D1</t>
  </si>
  <si>
    <t>Long Tank D3</t>
  </si>
  <si>
    <t>Mobile Valve 1</t>
  </si>
  <si>
    <t>Mobile Valves 3</t>
  </si>
  <si>
    <t>Pipe Rack</t>
  </si>
  <si>
    <t>Product Skid</t>
  </si>
  <si>
    <t>RPB</t>
  </si>
  <si>
    <t>Scrubber</t>
  </si>
  <si>
    <t>Small Tank D2</t>
  </si>
  <si>
    <t>Well Head</t>
  </si>
  <si>
    <t>Type</t>
  </si>
  <si>
    <t>Associated equipments</t>
  </si>
  <si>
    <t>Center flange</t>
  </si>
  <si>
    <t>Control box</t>
  </si>
  <si>
    <t>Drilled plug</t>
  </si>
  <si>
    <t>Flange</t>
  </si>
  <si>
    <t>Flange 2</t>
  </si>
  <si>
    <t>Flange 4</t>
  </si>
  <si>
    <t>Horizontal piping</t>
  </si>
  <si>
    <t>Horizontal tubing</t>
  </si>
  <si>
    <t>Man hole</t>
  </si>
  <si>
    <t>North flange</t>
  </si>
  <si>
    <t>Open ended line</t>
  </si>
  <si>
    <t>South flange</t>
  </si>
  <si>
    <t>Under insulation</t>
  </si>
  <si>
    <t>Valve</t>
  </si>
  <si>
    <t>Vertical piping</t>
  </si>
  <si>
    <t>Vertical tubing</t>
  </si>
  <si>
    <t>Bottom flange</t>
  </si>
  <si>
    <t>Connector</t>
  </si>
  <si>
    <t>Corroded pipe</t>
  </si>
  <si>
    <t>High vertical piping</t>
  </si>
  <si>
    <t>Connecting flange</t>
  </si>
  <si>
    <t>TADI's purge</t>
  </si>
  <si>
    <t>0-10 g/s</t>
  </si>
  <si>
    <t>10-300 g/s</t>
  </si>
  <si>
    <t>11 units - Open Ended Line DN10</t>
  </si>
  <si>
    <t>45°</t>
  </si>
  <si>
    <t>5 units - Open Ended Line DN10</t>
  </si>
  <si>
    <t>Boitier de commande</t>
  </si>
  <si>
    <t>Bouchon percé</t>
  </si>
  <si>
    <t>Bouchon percé à 45°</t>
  </si>
  <si>
    <t>Bride</t>
  </si>
  <si>
    <t>Bride centrale</t>
  </si>
  <si>
    <t>Bride centre</t>
  </si>
  <si>
    <t>Bride sur support</t>
  </si>
  <si>
    <t>Bride3</t>
  </si>
  <si>
    <t>Calorifuge</t>
  </si>
  <si>
    <t>Center Flange - Flex PA 12 mm</t>
  </si>
  <si>
    <t>Connecting Flange</t>
  </si>
  <si>
    <t>Connector - Flex PA 6 mm</t>
  </si>
  <si>
    <t>Connector - Flex PA 8 mm</t>
  </si>
  <si>
    <t>Control Box</t>
  </si>
  <si>
    <t>Control Box - Flex PA 3 mm</t>
  </si>
  <si>
    <t>Control Box - Flex PA 8 mm</t>
  </si>
  <si>
    <t>Corps de Machine/Gros Flange</t>
  </si>
  <si>
    <t>Corroded Pipe Hole 10 mm</t>
  </si>
  <si>
    <t>Corroded piping</t>
  </si>
  <si>
    <t>Drilled Plug</t>
  </si>
  <si>
    <t>Fin de ligne Ouverte</t>
  </si>
  <si>
    <t>Flange - Flex PA 10 mm</t>
  </si>
  <si>
    <t>Flange - Flex PA 6 mm</t>
  </si>
  <si>
    <t>Flange 1</t>
  </si>
  <si>
    <t>Flange 1 - Flex PA 6 mm</t>
  </si>
  <si>
    <t>Flange 3</t>
  </si>
  <si>
    <t>Flange 3 - Flex PA 10 mm</t>
  </si>
  <si>
    <t>Flex libre pied RPB</t>
  </si>
  <si>
    <t>Flex sortie FCV408</t>
  </si>
  <si>
    <t>Flexible</t>
  </si>
  <si>
    <t>High Vertical piping</t>
  </si>
  <si>
    <t>Medium Flange</t>
  </si>
  <si>
    <t>Mobile flange</t>
  </si>
  <si>
    <t>North Flange - Flex PA 10 mm</t>
  </si>
  <si>
    <t>Nouvelle bride</t>
  </si>
  <si>
    <t>Open Ended Line</t>
  </si>
  <si>
    <t>Open Ended Line - Flex PA 4 mm</t>
  </si>
  <si>
    <t>Open Ended Line - Flex PA 6 mm</t>
  </si>
  <si>
    <t>Open Ended Line Flex PA 12 mm</t>
  </si>
  <si>
    <t>Open Ended Line on 6 m mast</t>
  </si>
  <si>
    <t>Outlet FCV403A/B - Drilled Plug 3 mm</t>
  </si>
  <si>
    <t>Outlet FCV403B - Straight</t>
  </si>
  <si>
    <t>Outlet valve</t>
  </si>
  <si>
    <t>Outlet Valve - Drilled Plug 3 mm</t>
  </si>
  <si>
    <t>Outlet Valve - Drilled Plug 5 mm</t>
  </si>
  <si>
    <t>Outlet Valve - Straight</t>
  </si>
  <si>
    <t>Outlet XOV401 - Drilled Plug 2,5 mm</t>
  </si>
  <si>
    <t>Outlet XOV402 - Drilled Plug 4 mm</t>
  </si>
  <si>
    <t>Plexiglas Raccord</t>
  </si>
  <si>
    <t>Poteau détecteur CH4 drager</t>
  </si>
  <si>
    <t>Poteau le long paroi ouest du tank D1</t>
  </si>
  <si>
    <t>Sortie vanne FVC405</t>
  </si>
  <si>
    <t>South Flange</t>
  </si>
  <si>
    <t>South Flange - Flex PA 4 mm</t>
  </si>
  <si>
    <t>Sur PIRL en bordure de TADI</t>
  </si>
  <si>
    <t>TADI's purge CH4</t>
  </si>
  <si>
    <t>TADI's purge CO2</t>
  </si>
  <si>
    <t>TADI's purge N2</t>
  </si>
  <si>
    <t>Trou d'homme</t>
  </si>
  <si>
    <t>Under Insulation</t>
  </si>
  <si>
    <t>Under Insulation - Flex PA 6 mm</t>
  </si>
  <si>
    <t>Valve - Flex PA 10 mm</t>
  </si>
  <si>
    <t>Valve - Flex PA 4 mm</t>
  </si>
  <si>
    <t>Valve - Flex PA 8 mm</t>
  </si>
  <si>
    <t>Vanne</t>
  </si>
  <si>
    <t>Vertical Piping 1"</t>
  </si>
  <si>
    <t>Vertical Piping 3"</t>
  </si>
  <si>
    <t>Location</t>
  </si>
  <si>
    <t>ID</t>
  </si>
  <si>
    <t>Equipment</t>
  </si>
  <si>
    <t>Control Valve</t>
  </si>
  <si>
    <t>Leak Type / Location</t>
  </si>
  <si>
    <t>Leak Description</t>
  </si>
  <si>
    <t>Local
 X (m)</t>
  </si>
  <si>
    <t>Local
 Y (m)</t>
  </si>
  <si>
    <t>Local
 Z (m)</t>
  </si>
  <si>
    <t>Type and nominal size of orifice</t>
  </si>
  <si>
    <t>ID
 (mm)</t>
  </si>
  <si>
    <t>Tubing Color</t>
  </si>
  <si>
    <t>Leak ID</t>
  </si>
  <si>
    <t>N1</t>
  </si>
  <si>
    <t>XOV401</t>
  </si>
  <si>
    <t>N1-1</t>
  </si>
  <si>
    <t>Mobile Valve 1 - Drilled Plug</t>
  </si>
  <si>
    <t>N1-1-1</t>
  </si>
  <si>
    <t>Pierced cap 0,5 mm</t>
  </si>
  <si>
    <t>-</t>
  </si>
  <si>
    <t>N1-1/ID:0,5mm</t>
  </si>
  <si>
    <t>N1-1-2</t>
  </si>
  <si>
    <t>Pierced cap 1 mm</t>
  </si>
  <si>
    <t>N1-1/ID:1mm</t>
  </si>
  <si>
    <t>N1-1-3</t>
  </si>
  <si>
    <t>Pierced cap 1,5 mm</t>
  </si>
  <si>
    <t>N1-1/ID:1,5mm</t>
  </si>
  <si>
    <t>XOV402</t>
  </si>
  <si>
    <t>N1-1-4</t>
  </si>
  <si>
    <t>Pierced cap 2 mm</t>
  </si>
  <si>
    <t>N1-1/ID:2mm</t>
  </si>
  <si>
    <t>FCV403A</t>
  </si>
  <si>
    <t>N1-1-5</t>
  </si>
  <si>
    <t>Pierced cap 2,5 mm</t>
  </si>
  <si>
    <t>N1-1/ID:2,5mm</t>
  </si>
  <si>
    <t>FCV403B</t>
  </si>
  <si>
    <t>N1-1-6</t>
  </si>
  <si>
    <t>Pierced cap 3 mm</t>
  </si>
  <si>
    <t>N1-1/ID:3mm</t>
  </si>
  <si>
    <t>FCV404</t>
  </si>
  <si>
    <t>N1-1-7</t>
  </si>
  <si>
    <t>Pierced cap 4 mm</t>
  </si>
  <si>
    <t>N1-1/ID:4mm</t>
  </si>
  <si>
    <t>FCV405</t>
  </si>
  <si>
    <t>N1-1-8</t>
  </si>
  <si>
    <t>Pierced cap 5 mm</t>
  </si>
  <si>
    <t>N1-1/ID:5mm</t>
  </si>
  <si>
    <t>FCV406</t>
  </si>
  <si>
    <t>N1-2</t>
  </si>
  <si>
    <t>Mobile Valve 1 - Mobile flange</t>
  </si>
  <si>
    <t>N1-2-1</t>
  </si>
  <si>
    <t>Flange space -</t>
  </si>
  <si>
    <t>N1-2/ID:-mm</t>
  </si>
  <si>
    <t>FCV407</t>
  </si>
  <si>
    <t>N2</t>
  </si>
  <si>
    <t>N2-1</t>
  </si>
  <si>
    <t>Corroded Pipe</t>
  </si>
  <si>
    <t>Pipe Rack - Corroded Pipe</t>
  </si>
  <si>
    <t>N2-1-1</t>
  </si>
  <si>
    <t>Hole 10 mm</t>
  </si>
  <si>
    <t>N2-1/ID:10mm</t>
  </si>
  <si>
    <t>FCV408</t>
  </si>
  <si>
    <t>N2-2</t>
  </si>
  <si>
    <t>Pipe Rack - Drilled Plug</t>
  </si>
  <si>
    <t>N2-2-1</t>
  </si>
  <si>
    <t>N2-2/ID:0,5mm</t>
  </si>
  <si>
    <t>FCV409</t>
  </si>
  <si>
    <t>Flex PA 3 mm</t>
  </si>
  <si>
    <t>N2-2-2</t>
  </si>
  <si>
    <t>N2-2/ID:1mm</t>
  </si>
  <si>
    <t>FCV410</t>
  </si>
  <si>
    <t>Flex PA 4 mm</t>
  </si>
  <si>
    <t>N2-2-3</t>
  </si>
  <si>
    <t>N2-2/ID:1,5mm</t>
  </si>
  <si>
    <t>Fixed Point 1</t>
  </si>
  <si>
    <t>FCV411</t>
  </si>
  <si>
    <t>Flex PA 6 mm</t>
  </si>
  <si>
    <t>N2-2-4</t>
  </si>
  <si>
    <t>N2-2/ID:2mm</t>
  </si>
  <si>
    <t>FCV005/010</t>
  </si>
  <si>
    <t>Flex PA 8 mm</t>
  </si>
  <si>
    <t>N2-2-5</t>
  </si>
  <si>
    <t>N2-2/ID:2,5mm</t>
  </si>
  <si>
    <t>FCV020</t>
  </si>
  <si>
    <t>Flex PA 10 mm</t>
  </si>
  <si>
    <t>N2-2-6</t>
  </si>
  <si>
    <t>N2-2/ID:3mm</t>
  </si>
  <si>
    <t>FCV010/XOV402</t>
  </si>
  <si>
    <t>Flex PA 12 mm</t>
  </si>
  <si>
    <t>N2-2-7</t>
  </si>
  <si>
    <t>N2-2/ID:4mm</t>
  </si>
  <si>
    <t>Tubing 6 mm</t>
  </si>
  <si>
    <t>N2-2-8</t>
  </si>
  <si>
    <t>N2-2/ID:5mm</t>
  </si>
  <si>
    <t>Tubing 8 mm</t>
  </si>
  <si>
    <t>FCV403A/B</t>
  </si>
  <si>
    <t>N2-3</t>
  </si>
  <si>
    <t>N2-3-1</t>
  </si>
  <si>
    <t>N2-3/ID:10mm</t>
  </si>
  <si>
    <t>Tubing 10 mm</t>
  </si>
  <si>
    <t>N2-4</t>
  </si>
  <si>
    <t>N2-4-1</t>
  </si>
  <si>
    <t>N2-4/ID:0,5mm</t>
  </si>
  <si>
    <t>Tubing 3/4"</t>
  </si>
  <si>
    <t>N2-4-2</t>
  </si>
  <si>
    <t>N2-4/ID:1mm</t>
  </si>
  <si>
    <t>Tubing 1"</t>
  </si>
  <si>
    <t>N2-4-3</t>
  </si>
  <si>
    <t>N2-4/ID:1,5mm</t>
  </si>
  <si>
    <t>Piping 1"</t>
  </si>
  <si>
    <t>N2-4-4</t>
  </si>
  <si>
    <t>N2-4/ID:2mm</t>
  </si>
  <si>
    <t>Piping 2"</t>
  </si>
  <si>
    <t>N2-4-5</t>
  </si>
  <si>
    <t>N2-4/ID:2,5mm</t>
  </si>
  <si>
    <t>Piping 3"</t>
  </si>
  <si>
    <t>N2-4-6</t>
  </si>
  <si>
    <t>N2-4/ID:3mm</t>
  </si>
  <si>
    <t>Piping 4"</t>
  </si>
  <si>
    <t>N2-4-7</t>
  </si>
  <si>
    <t>N2-4/ID:4mm</t>
  </si>
  <si>
    <t>N2-4-8</t>
  </si>
  <si>
    <t>N2-4/ID:5mm</t>
  </si>
  <si>
    <t>N3</t>
  </si>
  <si>
    <t>N3-1</t>
  </si>
  <si>
    <t>Mobile Valves 3 - Drilled Plug</t>
  </si>
  <si>
    <t>N3-1-1</t>
  </si>
  <si>
    <t>N3-1/ID:0,5mm</t>
  </si>
  <si>
    <t>N3-1-2</t>
  </si>
  <si>
    <t>N3-1/ID:1mm</t>
  </si>
  <si>
    <t>N3-1-3</t>
  </si>
  <si>
    <t>N3-1/ID:1,5mm</t>
  </si>
  <si>
    <t>N3-1-4</t>
  </si>
  <si>
    <t>N3-1/ID:2mm</t>
  </si>
  <si>
    <t>N3-1-5</t>
  </si>
  <si>
    <t>N3-1/ID:2,5mm</t>
  </si>
  <si>
    <t>N3-1-6</t>
  </si>
  <si>
    <t>N3-1/ID:3mm</t>
  </si>
  <si>
    <t>N3-1-7</t>
  </si>
  <si>
    <t>N3-1/ID:4mm</t>
  </si>
  <si>
    <t>N3-1-8</t>
  </si>
  <si>
    <t>N3-1/ID:5mm</t>
  </si>
  <si>
    <t>N3-2</t>
  </si>
  <si>
    <t>Mobile Valves 3 - Mobile flange</t>
  </si>
  <si>
    <t>N3-2-1</t>
  </si>
  <si>
    <t>N3-2/ID:-mm</t>
  </si>
  <si>
    <t>N3-3</t>
  </si>
  <si>
    <t>N3-3-1</t>
  </si>
  <si>
    <t>N3-3/ID:0,5mm</t>
  </si>
  <si>
    <t>N3-3-2</t>
  </si>
  <si>
    <t>N3-3/ID:1mm</t>
  </si>
  <si>
    <t>N3-3-3</t>
  </si>
  <si>
    <t>N3-3/ID:1,5mm</t>
  </si>
  <si>
    <t>N3-3-4</t>
  </si>
  <si>
    <t>N3-3/ID:2mm</t>
  </si>
  <si>
    <t>N3-3-5</t>
  </si>
  <si>
    <t>N3-3/ID:2,5mm</t>
  </si>
  <si>
    <t>N3-3-6</t>
  </si>
  <si>
    <t>N3-3/ID:3mm</t>
  </si>
  <si>
    <t>N3-3-7</t>
  </si>
  <si>
    <t>N3-3/ID:4mm</t>
  </si>
  <si>
    <t>N3-3-8</t>
  </si>
  <si>
    <t>N3-3/ID:5mm</t>
  </si>
  <si>
    <t>N3-4</t>
  </si>
  <si>
    <t>N3-4-1</t>
  </si>
  <si>
    <t>N3-4/ID:-mm</t>
  </si>
  <si>
    <t>N4</t>
  </si>
  <si>
    <t>N4-1</t>
  </si>
  <si>
    <t>Large Tank D1 - Man hole</t>
  </si>
  <si>
    <t>N4-1-1</t>
  </si>
  <si>
    <t>Green</t>
  </si>
  <si>
    <t>N4-1/ID:2,7mm</t>
  </si>
  <si>
    <t>N4-1-2</t>
  </si>
  <si>
    <t>Red</t>
  </si>
  <si>
    <t>N4-1/ID:4mm</t>
  </si>
  <si>
    <t>N4-1-3</t>
  </si>
  <si>
    <t>Yellow</t>
  </si>
  <si>
    <t>N4-1/ID:6mm</t>
  </si>
  <si>
    <t>N4-1-4</t>
  </si>
  <si>
    <t>Blue</t>
  </si>
  <si>
    <t>N4-1/ID:8mm</t>
  </si>
  <si>
    <t>N4-1-5</t>
  </si>
  <si>
    <t>N4-1/ID:10mm</t>
  </si>
  <si>
    <t>N4-2</t>
  </si>
  <si>
    <t>Large Tank D1 - Flange</t>
  </si>
  <si>
    <t>N4-2-1</t>
  </si>
  <si>
    <t>N4-2/ID:2,7mm</t>
  </si>
  <si>
    <t>N4-2-2</t>
  </si>
  <si>
    <t>N4-2/ID:4mm</t>
  </si>
  <si>
    <t>N4-2-3</t>
  </si>
  <si>
    <t>N4-2/ID:6mm</t>
  </si>
  <si>
    <t>N4-2-4</t>
  </si>
  <si>
    <t>N4-2/ID:8mm</t>
  </si>
  <si>
    <t>N4-2-5</t>
  </si>
  <si>
    <t>N4-2/ID:10mm</t>
  </si>
  <si>
    <t>N4-3</t>
  </si>
  <si>
    <t>Large Tank D1 - Valve</t>
  </si>
  <si>
    <t>N4-3-1</t>
  </si>
  <si>
    <t>Translucent</t>
  </si>
  <si>
    <t>N4-3/ID:1,8mm</t>
  </si>
  <si>
    <t>N4-3-2</t>
  </si>
  <si>
    <t>N4-3/ID:2,7mm</t>
  </si>
  <si>
    <t>N4-3-3</t>
  </si>
  <si>
    <t>N4-3/ID:4mm</t>
  </si>
  <si>
    <t>N4-3-4</t>
  </si>
  <si>
    <t>N4-3/ID:6mm</t>
  </si>
  <si>
    <t>N4-3-5</t>
  </si>
  <si>
    <t>Grey</t>
  </si>
  <si>
    <t>N4-3/ID:8mm</t>
  </si>
  <si>
    <t>N5</t>
  </si>
  <si>
    <t>N5-1</t>
  </si>
  <si>
    <t>Small Tank D2 - Man hole</t>
  </si>
  <si>
    <t>N5-1-1</t>
  </si>
  <si>
    <t>N5-1/ID:2,7mm</t>
  </si>
  <si>
    <t>N5-1-2</t>
  </si>
  <si>
    <t>N5-1/ID:4mm</t>
  </si>
  <si>
    <t>N5-1-3</t>
  </si>
  <si>
    <t>N5-1/ID:6mm</t>
  </si>
  <si>
    <t>N5-1-4</t>
  </si>
  <si>
    <t>N5-1/ID:8mm</t>
  </si>
  <si>
    <t>N5-1-5</t>
  </si>
  <si>
    <t>N5-1/ID:10mm</t>
  </si>
  <si>
    <t>N5-2</t>
  </si>
  <si>
    <t>Small Tank D2 - Flange</t>
  </si>
  <si>
    <t>N5-2-1</t>
  </si>
  <si>
    <t>N5-2/ID:2,7mm</t>
  </si>
  <si>
    <t>N5-2-2</t>
  </si>
  <si>
    <t>N5-2/ID:4mm</t>
  </si>
  <si>
    <t>N5-2-3</t>
  </si>
  <si>
    <t>yellow</t>
  </si>
  <si>
    <t>N5-2/ID:6mm</t>
  </si>
  <si>
    <t>N5-2-4</t>
  </si>
  <si>
    <t>N5-2/ID:8mm</t>
  </si>
  <si>
    <t>N5-2-5</t>
  </si>
  <si>
    <t>N5-2/ID:10mm</t>
  </si>
  <si>
    <t>N5-3</t>
  </si>
  <si>
    <t>Small Tank D2 - Valve</t>
  </si>
  <si>
    <t>N5-3-1</t>
  </si>
  <si>
    <t>N5-3/ID:1,8mm</t>
  </si>
  <si>
    <t>N5-3-2</t>
  </si>
  <si>
    <t>N5-3/ID:2,7mm</t>
  </si>
  <si>
    <t>N5-3-3</t>
  </si>
  <si>
    <t>N5-3/ID:4mm</t>
  </si>
  <si>
    <t>N5-3-4</t>
  </si>
  <si>
    <t>N5-3/ID:6mm</t>
  </si>
  <si>
    <t>N5-3-5</t>
  </si>
  <si>
    <t>N5-3/ID:8mm</t>
  </si>
  <si>
    <t>N5-4</t>
  </si>
  <si>
    <t>Small Tank D2 - Under Insulation</t>
  </si>
  <si>
    <t>N5-4-1</t>
  </si>
  <si>
    <t>N5-4/ID:1,8mm</t>
  </si>
  <si>
    <t>N5-4-2</t>
  </si>
  <si>
    <t>N5-4/ID:2,7mm</t>
  </si>
  <si>
    <t>N5-4-3</t>
  </si>
  <si>
    <t>N5-4/ID:4mm</t>
  </si>
  <si>
    <t>N5-4-4</t>
  </si>
  <si>
    <t>N5-4/ID:6mm</t>
  </si>
  <si>
    <t>N5-4-5</t>
  </si>
  <si>
    <t>N5-4/ID:8mm</t>
  </si>
  <si>
    <t>N5-4-6</t>
  </si>
  <si>
    <t>N5-4/ID:10mm</t>
  </si>
  <si>
    <t>N6</t>
  </si>
  <si>
    <t>N6-1</t>
  </si>
  <si>
    <t>Long Tank D3 - Open Ended Line</t>
  </si>
  <si>
    <t>N6-1-1</t>
  </si>
  <si>
    <t>N6-1/ID:2,7mm</t>
  </si>
  <si>
    <t>N6-1-2</t>
  </si>
  <si>
    <t>red</t>
  </si>
  <si>
    <t>N6-1/ID:4mm</t>
  </si>
  <si>
    <t>N6-1-3</t>
  </si>
  <si>
    <t>N6-1/ID:6mm</t>
  </si>
  <si>
    <t>N6-1-4</t>
  </si>
  <si>
    <t>N6-1/ID:8mm</t>
  </si>
  <si>
    <t>N7</t>
  </si>
  <si>
    <t>N7-1</t>
  </si>
  <si>
    <t>Product Skid - Control Box</t>
  </si>
  <si>
    <t>N7-1-1</t>
  </si>
  <si>
    <t>N7-1/ID:1,8mm</t>
  </si>
  <si>
    <t>N7-1-2</t>
  </si>
  <si>
    <t>N7-1/ID:2,7mm</t>
  </si>
  <si>
    <t>N7-1-3</t>
  </si>
  <si>
    <t>N7-1/ID:4mm</t>
  </si>
  <si>
    <t>N7-1-4</t>
  </si>
  <si>
    <t>N7-1/ID:6mm</t>
  </si>
  <si>
    <t>N7-2</t>
  </si>
  <si>
    <t>Product Skid - Connector</t>
  </si>
  <si>
    <t>N7-2-1</t>
  </si>
  <si>
    <t>N7-2/ID:1,8mm</t>
  </si>
  <si>
    <t>N7-2-2</t>
  </si>
  <si>
    <t>N7-2/ID:2,7mm</t>
  </si>
  <si>
    <t>N7-2-3</t>
  </si>
  <si>
    <t>N7-2/ID:4mm</t>
  </si>
  <si>
    <t>N7-2-4</t>
  </si>
  <si>
    <t>N7-2/ID:6mm</t>
  </si>
  <si>
    <t>N8</t>
  </si>
  <si>
    <t>N8-1</t>
  </si>
  <si>
    <t>RPB - Flange 1</t>
  </si>
  <si>
    <t>N8-1-1</t>
  </si>
  <si>
    <t>N8-1/ID:4mm</t>
  </si>
  <si>
    <t>N8-2</t>
  </si>
  <si>
    <t>RPB - Flange 2</t>
  </si>
  <si>
    <t>N8-2-2</t>
  </si>
  <si>
    <t>N8-2/ID:6mm</t>
  </si>
  <si>
    <t>N8-3</t>
  </si>
  <si>
    <t>RPB - Flange 3</t>
  </si>
  <si>
    <t>N8-3-3</t>
  </si>
  <si>
    <t>N8-3/ID:8mm</t>
  </si>
  <si>
    <t>N8-4</t>
  </si>
  <si>
    <t>RPB - Flange 4</t>
  </si>
  <si>
    <t>N8-4-4</t>
  </si>
  <si>
    <t>N8-4/ID:8mm</t>
  </si>
  <si>
    <t>N8-5</t>
  </si>
  <si>
    <t>RPB - Connecting Flange</t>
  </si>
  <si>
    <t>N8-5-5</t>
  </si>
  <si>
    <t>N8-5/ID:10mm</t>
  </si>
  <si>
    <t>N9</t>
  </si>
  <si>
    <t>N9-1</t>
  </si>
  <si>
    <t>Scrubber - Flange</t>
  </si>
  <si>
    <t>N9-1-1</t>
  </si>
  <si>
    <t>N9-1/ID:4mm</t>
  </si>
  <si>
    <t>N9-1-2</t>
  </si>
  <si>
    <t>N9-1/ID:6mm</t>
  </si>
  <si>
    <t>N9-1-3</t>
  </si>
  <si>
    <t>N9-1/ID:8mm</t>
  </si>
  <si>
    <t>N9-1-4</t>
  </si>
  <si>
    <t>N9-1/ID:10mm</t>
  </si>
  <si>
    <t>N9-2</t>
  </si>
  <si>
    <t>Scrubber - Under Insulation</t>
  </si>
  <si>
    <t>N9-2-1</t>
  </si>
  <si>
    <t>N9-2/ID:1,8mm</t>
  </si>
  <si>
    <t>N9-2-2</t>
  </si>
  <si>
    <t>N9-2/ID:2,7mm</t>
  </si>
  <si>
    <t>N9-2-3</t>
  </si>
  <si>
    <t>N9-2/ID:4mm</t>
  </si>
  <si>
    <t>N9-2-4</t>
  </si>
  <si>
    <t>N9-2/ID:6mm</t>
  </si>
  <si>
    <t>N10</t>
  </si>
  <si>
    <t>N10-1</t>
  </si>
  <si>
    <t>Well Head - South flange</t>
  </si>
  <si>
    <t>N10-1-1</t>
  </si>
  <si>
    <t>N10-1/ID:2,7mm</t>
  </si>
  <si>
    <t>N10-2</t>
  </si>
  <si>
    <t>Well Head - Bottom flange</t>
  </si>
  <si>
    <t>N10-2-2</t>
  </si>
  <si>
    <t>N10-2/ID:4mm</t>
  </si>
  <si>
    <t>N10-3</t>
  </si>
  <si>
    <t>N10-3-3</t>
  </si>
  <si>
    <t>N10-3/ID:4mm</t>
  </si>
  <si>
    <t>N10-4</t>
  </si>
  <si>
    <t>Well Head - North flange</t>
  </si>
  <si>
    <t>N10-4-4</t>
  </si>
  <si>
    <t>N10-4/ID:8mm</t>
  </si>
  <si>
    <t>N10-5</t>
  </si>
  <si>
    <t>Well Head - Center flange</t>
  </si>
  <si>
    <t>N10-5-5</t>
  </si>
  <si>
    <t>N10-5/ID:10mm</t>
  </si>
  <si>
    <t>N10-6</t>
  </si>
  <si>
    <t>Well Head - Valve</t>
  </si>
  <si>
    <t>N10-6-6</t>
  </si>
  <si>
    <t>N10-6/ID:6mm</t>
  </si>
  <si>
    <t>N11</t>
  </si>
  <si>
    <t>N11-1</t>
  </si>
  <si>
    <t>Flare (6,5 m) - Open Ended Line</t>
  </si>
  <si>
    <t>N11-1-1</t>
  </si>
  <si>
    <t>N11-1/ID:4mm</t>
  </si>
  <si>
    <t>N11-1-2</t>
  </si>
  <si>
    <t>N11-1/ID:6mm</t>
  </si>
  <si>
    <t>N11-1-3</t>
  </si>
  <si>
    <t>N11-1/ID:8mm</t>
  </si>
  <si>
    <t>N11-1-4</t>
  </si>
  <si>
    <t>N11-1/ID:10mm</t>
  </si>
  <si>
    <t>S1H</t>
  </si>
  <si>
    <t>S1H-1</t>
  </si>
  <si>
    <t>Fixed Point 1 - Horizontal tubing</t>
  </si>
  <si>
    <t>S1H-1-1</t>
  </si>
  <si>
    <t>S1H-1/ID:4mm</t>
  </si>
  <si>
    <t>S1H-1-2</t>
  </si>
  <si>
    <t>S1H-1/ID:6mm</t>
  </si>
  <si>
    <t>S1H-1-3</t>
  </si>
  <si>
    <t>S1H-1/ID:8mm</t>
  </si>
  <si>
    <t>S1H-1-4</t>
  </si>
  <si>
    <t>S1H-1/ID:15,75mm</t>
  </si>
  <si>
    <t>S1H-1-5</t>
  </si>
  <si>
    <t>S1H-1/ID:22,1mm</t>
  </si>
  <si>
    <t>S1V</t>
  </si>
  <si>
    <t>S1V-2</t>
  </si>
  <si>
    <t>Fixed Point 1 - Vertical tubing</t>
  </si>
  <si>
    <t>S1V-2-1</t>
  </si>
  <si>
    <t>S1V-2/ID:4mm</t>
  </si>
  <si>
    <t>S1V-2-2</t>
  </si>
  <si>
    <t>S1V-2/ID:6mm</t>
  </si>
  <si>
    <t>S1V-2-3</t>
  </si>
  <si>
    <t>S1V-2/ID:8mm</t>
  </si>
  <si>
    <t>S1V-2-4</t>
  </si>
  <si>
    <t>S1V-2/ID:15,75mm</t>
  </si>
  <si>
    <t>S1V-2-5</t>
  </si>
  <si>
    <t>S1V-2/ID:22,1mm</t>
  </si>
  <si>
    <t>S2H</t>
  </si>
  <si>
    <t>S2H-1</t>
  </si>
  <si>
    <t>Fixed Point 2 - Horizontal piping</t>
  </si>
  <si>
    <t>S2H-1-1</t>
  </si>
  <si>
    <t>S2H-1/ID:26,6mm</t>
  </si>
  <si>
    <t>S2H-1-2</t>
  </si>
  <si>
    <t>S2H-1/ID:52,5mm</t>
  </si>
  <si>
    <t>S2H-1-3</t>
  </si>
  <si>
    <t>S2H-1/ID:77,9mm</t>
  </si>
  <si>
    <t>S2H-1-4</t>
  </si>
  <si>
    <t>S2H-1/ID:102,3mm</t>
  </si>
  <si>
    <t>S2V</t>
  </si>
  <si>
    <t>S2V-2</t>
  </si>
  <si>
    <t>Fixed Point 2 - Vertical piping</t>
  </si>
  <si>
    <t>S2V-2-1</t>
  </si>
  <si>
    <t>S2V-2/ID:26,6mm</t>
  </si>
  <si>
    <t>S2V-2-2</t>
  </si>
  <si>
    <t>S2V-2/ID:52,5mm</t>
  </si>
  <si>
    <t>S2V-2-3</t>
  </si>
  <si>
    <t>S2V-2/ID:77,9mm</t>
  </si>
  <si>
    <t>S2V-2-4</t>
  </si>
  <si>
    <t>S2V-2/ID:102,3mm</t>
  </si>
  <si>
    <t>S2V-3</t>
  </si>
  <si>
    <t>Fixed Point 2 - High Vertical piping</t>
  </si>
  <si>
    <t>S2V-3-3</t>
  </si>
  <si>
    <t>S2V-3/ID:52,5mm</t>
  </si>
  <si>
    <t>S2V-3-4</t>
  </si>
  <si>
    <t>S2V-3/ID:77,9mm</t>
  </si>
  <si>
    <t>Purge</t>
  </si>
  <si>
    <t>Code couleur des tests</t>
  </si>
  <si>
    <t>Manque d'information</t>
  </si>
  <si>
    <t>Conditions adaptées</t>
  </si>
  <si>
    <t>Non détecté</t>
  </si>
  <si>
    <t>&gt;1 g/s</t>
  </si>
  <si>
    <t>Localisé</t>
  </si>
  <si>
    <t>Détecté</t>
  </si>
  <si>
    <t>NON</t>
  </si>
  <si>
    <t>Emerge</t>
  </si>
  <si>
    <t>GLOBAL</t>
  </si>
  <si>
    <t>Total</t>
  </si>
  <si>
    <t>Détection</t>
  </si>
  <si>
    <t>Localisation</t>
  </si>
  <si>
    <t>Nord</t>
  </si>
  <si>
    <t>Sud</t>
  </si>
  <si>
    <t>0-1 (g/s)</t>
  </si>
  <si>
    <t>1-10 (g/s)</t>
  </si>
  <si>
    <t>10+ (g/s)</t>
  </si>
  <si>
    <t>Erreur</t>
  </si>
  <si>
    <t>Test</t>
  </si>
  <si>
    <t>Localisés</t>
  </si>
  <si>
    <t>Détectés</t>
  </si>
  <si>
    <t>Moyenne (m)</t>
  </si>
  <si>
    <t>Non détectés</t>
  </si>
  <si>
    <t>Non localisés</t>
  </si>
  <si>
    <t>Médiane (m)</t>
  </si>
  <si>
    <t>Maximum (m)</t>
  </si>
  <si>
    <t>Non adaptés</t>
  </si>
  <si>
    <t>Non renseignés</t>
  </si>
  <si>
    <t>Minimum (m)</t>
  </si>
  <si>
    <t>Date début</t>
  </si>
  <si>
    <t>Q&gt;1 &amp; Fuite unique</t>
  </si>
  <si>
    <t>Distance mini</t>
  </si>
  <si>
    <t>Date fin</t>
  </si>
  <si>
    <t>Q&gt;0,5 &amp; Nord &amp; Fuite unique</t>
  </si>
  <si>
    <t>Temps de détection</t>
  </si>
  <si>
    <t>Emergence</t>
  </si>
  <si>
    <t>Mesurée</t>
  </si>
  <si>
    <t>Non mesurée</t>
  </si>
  <si>
    <t>flowrate &gt;= diameter</t>
  </si>
  <si>
    <t>flowrate &lt; diameter</t>
  </si>
  <si>
    <t>Non-Détectés</t>
  </si>
  <si>
    <t>DESCRIPTION</t>
  </si>
  <si>
    <t>INFORMATION FROM TOTAL</t>
  </si>
  <si>
    <t>ANNOTATION (WAVELY)</t>
  </si>
  <si>
    <t>CEREBRO</t>
  </si>
  <si>
    <t>campaign</t>
  </si>
  <si>
    <t>Week</t>
  </si>
  <si>
    <t>Day</t>
  </si>
  <si>
    <t>BLIND TEST</t>
  </si>
  <si>
    <t>Test N°</t>
  </si>
  <si>
    <t>Test number</t>
  </si>
  <si>
    <t>Release Start</t>
  </si>
  <si>
    <t>Release Start stabilized</t>
  </si>
  <si>
    <t>Release End</t>
  </si>
  <si>
    <t>Duration</t>
  </si>
  <si>
    <t>Duration (hh:min)</t>
  </si>
  <si>
    <t>gas</t>
  </si>
  <si>
    <t>Localisation :
North / South</t>
  </si>
  <si>
    <t>Leak equipment</t>
  </si>
  <si>
    <t>Type of emission:
Horizontal (H)
Vertical (V)</t>
  </si>
  <si>
    <t>Leak localisation</t>
  </si>
  <si>
    <t>flowrate</t>
  </si>
  <si>
    <t>Expanded uncertainty U k=2 (95%)</t>
  </si>
  <si>
    <t>Flow-meter</t>
  </si>
  <si>
    <t xml:space="preserve">OP Valve </t>
  </si>
  <si>
    <t>Nominal size of orifice
(For the highest flowrate)</t>
  </si>
  <si>
    <t>Internal diameter</t>
  </si>
  <si>
    <t>Pressure</t>
  </si>
  <si>
    <t>Comments</t>
  </si>
  <si>
    <t>Ratio Qm/ID</t>
  </si>
  <si>
    <t>Volumic Flowrate</t>
  </si>
  <si>
    <t>Outlet ejection speed</t>
  </si>
  <si>
    <t>Qty per test</t>
  </si>
  <si>
    <t>Total quantity per test  (kg)</t>
  </si>
  <si>
    <t>flowrate_class:
0-1 = Q&lt;1 g/s;
1-10 = 1≤Q&lt;10 g/s;
10+ = Q≥10 g/s</t>
  </si>
  <si>
    <t>Multi</t>
  </si>
  <si>
    <t>Capteur (distance)</t>
  </si>
  <si>
    <t>Dist mini</t>
  </si>
  <si>
    <t>Dist max</t>
  </si>
  <si>
    <t>Model</t>
  </si>
  <si>
    <t>Detection (CS Group; Y/N)</t>
  </si>
  <si>
    <t>Detected Start</t>
  </si>
  <si>
    <t>Detection time</t>
  </si>
  <si>
    <t>Acoustics (spl, ultrasoundlevel; Y/N)</t>
  </si>
  <si>
    <t>Météo</t>
  </si>
  <si>
    <t>detected sensors</t>
  </si>
  <si>
    <t>acoustic emergence</t>
  </si>
  <si>
    <t>(local time)</t>
  </si>
  <si>
    <t>X (m)</t>
  </si>
  <si>
    <t>Y (m)</t>
  </si>
  <si>
    <t>Z (m)</t>
  </si>
  <si>
    <t>(g/s)</t>
  </si>
  <si>
    <t>(kg/h)</t>
  </si>
  <si>
    <t>(± g/s)</t>
  </si>
  <si>
    <t>(%)</t>
  </si>
  <si>
    <t>(mm)</t>
  </si>
  <si>
    <t>(bar)</t>
  </si>
  <si>
    <t>(Nl/s)</t>
  </si>
  <si>
    <t>(Nml/min)</t>
  </si>
  <si>
    <t>(m/s)</t>
  </si>
  <si>
    <t>(kg)</t>
  </si>
  <si>
    <t>C4H8</t>
  </si>
  <si>
    <t>C4H10</t>
  </si>
  <si>
    <t>(Y/N)</t>
  </si>
  <si>
    <t>(m)</t>
  </si>
  <si>
    <t>(version)</t>
  </si>
  <si>
    <t>(s)</t>
  </si>
  <si>
    <t>Error (m)</t>
  </si>
  <si>
    <t>STD (m)</t>
  </si>
  <si>
    <t>tadi_jun_2018</t>
  </si>
  <si>
    <t>Fixed point</t>
  </si>
  <si>
    <t>V</t>
  </si>
  <si>
    <t>(22,2;40;0,75)</t>
  </si>
  <si>
    <t>Canne 3/4"</t>
  </si>
  <si>
    <t>N</t>
  </si>
  <si>
    <t>Y</t>
  </si>
  <si>
    <t>Débit oscillant entre 7,7 et 8,3 g/s</t>
  </si>
  <si>
    <t>Début de test : 14,5 bar
 1 min : 7,7 – 7,8 g/s
 à la fin du test : 7,8 – 7,95 g/s</t>
  </si>
  <si>
    <t>8 then 3</t>
  </si>
  <si>
    <t>2 min : 8 g/s
 3 min : Passage du débit de 8 g/s à 3 g/s
 Pas d'information sur la stabilisation du débit à 3g/s</t>
  </si>
  <si>
    <t>H</t>
  </si>
  <si>
    <t>(22,2;39,8;1,5)</t>
  </si>
  <si>
    <t>Rejet horizontal de direction Sud-nord
 Débit à environ 8 g/s</t>
  </si>
  <si>
    <t>Test avec pluie
 Débit à environ 8 g/s</t>
  </si>
  <si>
    <t>Test faisant passer de 8 g/s à 3 g/s
 2 min : Débit de 8 g/s
 2 min : début du passage à 3 g/s
 4 min : débit stabilisé à 3 g/s</t>
  </si>
  <si>
    <t>X</t>
  </si>
  <si>
    <t>[20;51]</t>
  </si>
  <si>
    <t>Début de test : 20 g/s
 1 min : 15 g/s
 2 min : 20 g/s
 3 min : 25 g/s
 8 min: 35 g/s
 15 min : 51 g/s</t>
  </si>
  <si>
    <t>Cap 1mm</t>
  </si>
  <si>
    <t>1 min : 9 g/s
 2 min : Débit fluctuant
 14 min : 3 g/s stabilisé</t>
  </si>
  <si>
    <t>Ø</t>
  </si>
  <si>
    <t>1 min : débit non stabilisé
 2 min : Régulation à 3 g/s</t>
  </si>
  <si>
    <t>30 sec : régulation à 1 g/s</t>
  </si>
  <si>
    <t>(21,2;39,8;1,5)</t>
  </si>
  <si>
    <t>Canne 2"</t>
  </si>
  <si>
    <t>Audible depuis notre salle d’essai
 Débit environ de 22 g/s</t>
  </si>
  <si>
    <t>05-13</t>
  </si>
  <si>
    <t>Incertitude sur le débit car affichage à 10 g/s, peut-être 100 g/s
 Débit fluctuant en début de test
 3 min : stabilisé à 11 g/s</t>
  </si>
  <si>
    <t>06-14</t>
  </si>
  <si>
    <t>3 min : Débit stabilisé, oscille entre 1,8 et 1,85 g/s</t>
  </si>
  <si>
    <t>06-15</t>
  </si>
  <si>
    <t>En début de test : 1 g/s
 1 min : oscillation autour de 1,75 g/s
 Débit ensuite stabilisé entre 1,70 et 1,75 g/s avec parfois de petites oscillations autour de 1,60 et 1,70 g/s</t>
  </si>
  <si>
    <t>06-16</t>
  </si>
  <si>
    <t>Déroulement : premier palier 50% puis à 100% d'ouverture vanne
 30 sec : 70% 
 1 min : 100%
 Débit de 2,2 g/s à 2,3 g/s stabilisé</t>
  </si>
  <si>
    <t>06-17</t>
  </si>
  <si>
    <t>1 min : 30% d’ouverture vanne
 2 min : 0,8 g/s avec fluctuations
 3 min : 0,7 à 0,9 g/s</t>
  </si>
  <si>
    <t>06-18</t>
  </si>
  <si>
    <t>Début du test à 20% d’ouverture avec augmentation progressive
 1 min : 38 g/s à 20% d’ouverture
 2 min : 45 g/s
 3 min : passage de 15 bar à 9 bar, baisse du débit à 37 g/s
 4 min : 33 g/s à 8 bar avec incertitude de ± 1 g/s
 Stabilisation de la pression en cours de réalisation
 5 min : 10 bar, 40 g/s
 6 min : 11,25 bar, 45 g/s
 7 min : Pression stabilisé à 12 bar, débit de 46 à 47 g/s</t>
  </si>
  <si>
    <t>06-19</t>
  </si>
  <si>
    <t>Débit après :
 En début de test : 65 g/s
 1 min : environ 30% d’ouverture
 2 min : 65 g/s, 9,8 bar
 2 min et 30 secondes : 72 g/s, 11 bar
 4 min : 81 g/s
 4 min 30 secondes : 94 g/s
 5 min : oscillations entre 10 et 11 bar, 97 g/s
 A la fin du test : débit entre 97 et 105 g/s (maximum atteint)</t>
  </si>
  <si>
    <t>06-20</t>
  </si>
  <si>
    <t>1 min : 2 g/s
 Augmentation progressive du débit
 2 min : 3 g/s
 3 min : 6 g/s
 4 min : 7,9 g/s</t>
  </si>
  <si>
    <t>06-21</t>
  </si>
  <si>
    <t>Débit pas encore stable à 8,4 g/s 
 2 min : 8,5 g/s, réaction à la suite de ce débit : régulation à 8 g/s
 Stabilisé entre 7,9 et 8 g/s</t>
  </si>
  <si>
    <t>06-22</t>
  </si>
  <si>
    <t>Canne 8mm</t>
  </si>
  <si>
    <t>En début de test : 8 g/s
 3 min : 7,6 et 7,7 g/s</t>
  </si>
  <si>
    <t>06-23</t>
  </si>
  <si>
    <t>Canne 4mm</t>
  </si>
  <si>
    <t>1 min : 1,8 g/s
 2 min : 3 g/s</t>
  </si>
  <si>
    <t>06-24</t>
  </si>
  <si>
    <t>Alarme et passage de camion
 1 min : 3 g/s</t>
  </si>
  <si>
    <t>06-25</t>
  </si>
  <si>
    <t>Cap 4mm</t>
  </si>
  <si>
    <t>1 min : entre 3 et 3,5 g/s
  2 min : Débit stable à 3 g/s</t>
  </si>
  <si>
    <t>06-26</t>
  </si>
  <si>
    <t>Débit autour de 1,6 g/s</t>
  </si>
  <si>
    <t>06-27</t>
  </si>
  <si>
    <t>Tank A</t>
  </si>
  <si>
    <t>(7,5;11,3;0,55)</t>
  </si>
  <si>
    <t>Fuite en direction de la cuve pour le tank A, angle de 45°, distance à la cuve 15 cm
 1 min : 1,6 g/s
 2 min : 2,4 g/s
 3 min : 2,4 g/s stabilisé</t>
  </si>
  <si>
    <t>06-28</t>
  </si>
  <si>
    <t>1 min : entre 2,2 et 2,3 g/s (confirmé par deux débitmètres)</t>
  </si>
  <si>
    <t>06-29</t>
  </si>
  <si>
    <t>2 min : 1,7 g/s stabilisé</t>
  </si>
  <si>
    <t>06-30</t>
  </si>
  <si>
    <t>1 min : à 1,3 g/s, réaction suite à ce débit : régulation
 3 min : 0,8 à 0,9 g/s
 4 min : stabilisé entre 0,8 et 0,85 g/s</t>
  </si>
  <si>
    <t>06-31</t>
  </si>
  <si>
    <t>Cap 0,5mm</t>
  </si>
  <si>
    <t>1 min : 0,5 à 0,6 g/s
 2 min : 0,6 g/s, 13 bar
 3 min : stabilisé à 0,55 g/s</t>
  </si>
  <si>
    <t>06-32</t>
  </si>
  <si>
    <t>1 min : 12,7 bar, 0,55 g/s
 3 minutes : 0,42 g/s
 4 min : 0,33 g/s, 7,7 bar
 11 min : 0,45 g/s</t>
  </si>
  <si>
    <t>06-33</t>
  </si>
  <si>
    <t>1 min : 5 g/s 
 3 min : 1,3 bar, 4 g/s
 4 min : 3,3 g/s, 1 bar 
 5 min : 2,3 et 2,4 g/s stabilisé, 0,5 - 0,6 bar stabilisé</t>
  </si>
  <si>
    <t>06-34</t>
  </si>
  <si>
    <t>(18;6;0,6)</t>
  </si>
  <si>
    <t>3 min : Débit bloqué à 1,7 g/s, 9 bar
  Aucune amélioration possible du débit, stable à 1,6 g/s</t>
  </si>
  <si>
    <t>06-35</t>
  </si>
  <si>
    <t>1 min : 0,45 g/s
 2 min : 8,9 bar</t>
  </si>
  <si>
    <t>06-36</t>
  </si>
  <si>
    <t>2 min : 0,37 g/s, 7,3 bar
 3 min : 0,37 g/s stabilisé, 7 bar
 7 min : 0,30 g/s, 6 bar</t>
  </si>
  <si>
    <t>07-37</t>
  </si>
  <si>
    <t>&lt;0,3</t>
  </si>
  <si>
    <t>1 min : 3,5 bar
 2 min : 2,5 bar
  3 min : 2,3 bar
 4 min : 2,05 -2,1 bar
 5min : 2,02 bar
 6 min : 1,99 bar
  Il n’est pas possible de lire le débit en dessous de 0,3 g/s</t>
  </si>
  <si>
    <t>07-38</t>
  </si>
  <si>
    <t>1 min : 3,7 bar
 2 min : 4 bar 
 4 min : Pression stabilisé à 3,99 bar</t>
  </si>
  <si>
    <t>07-39</t>
  </si>
  <si>
    <t>NO DATA</t>
  </si>
  <si>
    <t>1 min : 5,6 bar
 2 min : 5,9 bar
 3 min : 6 bar stabilisé
 Débit stabilisé toujours inférieur à 0,3 g/s</t>
  </si>
  <si>
    <t>07-40</t>
  </si>
  <si>
    <t>2 min : 0,3 g/s, 6,2 bar
 4 min : 6,5 bar
 7 min : 6,9 bar
 8 min : 7 bar
 Toujours aucune lecture sur le débit
 9 min : 7,2 bar
 10 min : 0,37 g/s, 7,2 bar</t>
  </si>
  <si>
    <t>07-41</t>
  </si>
  <si>
    <t>Pipe Rack
 Corroded pipe</t>
  </si>
  <si>
    <t>(17,5;5,8;0,75)</t>
  </si>
  <si>
    <t>Corrosion hole</t>
  </si>
  <si>
    <t>1 min : 2 bar, 6 g/s
 3 min : 2 bar, 5,8 g/s 
 5 min : 5,8 g/s, 1,35 bar
 Sans et avec Manitou x: 30 ; y= 2,5</t>
  </si>
  <si>
    <t>07-42</t>
  </si>
  <si>
    <t>2 min : 1,2 bar, 4 g/s
 3 min : 1,1 g/s , 3,8 bar
 4 min : 3,65 et 3,7 g/s, 1 bar
 Sans et avec Manitou</t>
  </si>
  <si>
    <t>07-43</t>
  </si>
  <si>
    <t>Insulated casing box
 25cm inside</t>
  </si>
  <si>
    <t>(20,6;4;0,8)</t>
  </si>
  <si>
    <t>Début sans Manitou
 Puis démarrage du camion en bruit de fond
 Puis coupure du camion générant du bruit 
 Avant la fin : 1,87 g/s, 11,8 bar</t>
  </si>
  <si>
    <t>07-44</t>
  </si>
  <si>
    <t>1 min : 1,7 g/s 
  2 min : 1,3 g/s 
  3 min : 1,1 g/s, entre 5,5 et 6 bar 
 5 min : 0,85 g/s, 4,8 bar en étant stable
 6 min : démarrage du véhicule générant du bruit
 7 min : coupure du camion</t>
  </si>
  <si>
    <t>07-45</t>
  </si>
  <si>
    <t>Insulated tank A
 50 cm inside</t>
  </si>
  <si>
    <t>(10,6,9,0,5)</t>
  </si>
  <si>
    <t>30 sec : 1,1 g/s
 1 min : 1 g/s
 2 min : 0,9 g/s, non stabilisé
 3 min : 0,81 g/s, 4,6 bar stabilisé
 5 min : 0,8 g/s, 4,5 bar</t>
  </si>
  <si>
    <t>07-46</t>
  </si>
  <si>
    <t>1 min : 1 g/s
 4 min : Stabilisé à 1,05 g/s, 6,2 bar</t>
  </si>
  <si>
    <t>07-47</t>
  </si>
  <si>
    <t>Pour cet essai, pas de coupure de vanne, augmentation de pression progressive
 4 min : 11 bar, 1,8 g/s</t>
  </si>
  <si>
    <t>07-48</t>
  </si>
  <si>
    <t>Stake 6m high</t>
  </si>
  <si>
    <t>(16,2;6;6)</t>
  </si>
  <si>
    <t>Début de test : 1,85 g/s, 11,4 bar stabilisé
 3 min : démarrage du camion
 4 min : Coupage du moteur et ensuite fermeture de vanne</t>
  </si>
  <si>
    <t>07-49</t>
  </si>
  <si>
    <t>2 min : 1,1 – 1,2 g/s
 4 min : mise en mouvement du camion à vitesse lente
 5 min : camion repart en marche arrière avec la « sonnerie »
 Parcours réalisé par le Manitou : x de 60 à 10 ; y -5 en aller-retour
 6 min : 1,05 g/s, 5,9 bar</t>
  </si>
  <si>
    <t>07-50</t>
  </si>
  <si>
    <t>1 min : 0,8 bar, 2,7 g/s stable</t>
  </si>
  <si>
    <t>07-51</t>
  </si>
  <si>
    <t>2 min : 5,7 g/s
 3 min : 5,6 g/s, 2,3 bar stabilisé</t>
  </si>
  <si>
    <t>07-52</t>
  </si>
  <si>
    <t>No cap
12mm tubing</t>
  </si>
  <si>
    <t>2 min : 9 g/s, 3 bar stabilisé
 Petite fuite repérée</t>
  </si>
  <si>
    <t>07-53</t>
  </si>
  <si>
    <t>Multi-Leak
 Pipe Rack/
 Tank A</t>
  </si>
  <si>
    <t>V
45°</t>
  </si>
  <si>
    <t>(18;6;0,6)
(7,5;11,3;0,55)</t>
  </si>
  <si>
    <t>1,3 tank A
1,45 Pipe network</t>
  </si>
  <si>
    <t>Cap 1mm Pipe Network
Cap 1mm Tank A</t>
  </si>
  <si>
    <t>Deux vannes ouvertes
 1,3 g/s sous le ballon, 1,45 g/s rack, 7,8 bar stabilisé
 Configuration : Coupage de la fuite à intervalle différé de 30 sec : en premier ballon, en second rack
 4 min : Coupure du ballon
 4 min 30 sec : Coupure du rack à la suite de la coupure du ballon
 5 min : 1,9 g/s rack, 10,7 bar</t>
  </si>
  <si>
    <t>07-54</t>
  </si>
  <si>
    <t>0,45 tank A
1,85 Pipe network</t>
  </si>
  <si>
    <t>Cap 1mm Pipe Network
Cap 0,5mm Tank A</t>
  </si>
  <si>
    <t>30 sec : 0,5 g/s, 1,9 g/s rack
 1 min : 0,45 g/s ballon, 1,9 g/s rack, 10,5 bar stabilisé
 Coupure simultanée du rack et du ballon</t>
  </si>
  <si>
    <t>07-55</t>
  </si>
  <si>
    <t>1,85 tank A
0,45 Pipe network</t>
  </si>
  <si>
    <t>Cap 0,5mm Pipe Network
Cap 1mm Tank A</t>
  </si>
  <si>
    <t>Début de test : 1,9 g/s ballon, 0,47 g/s rack, 10,7 bar
 Début de test : 1,85 g/s bidon, 0,45 g/s rack, 10,5 bar
 2 min : Coupure du rack puis coupure du ballon 30 secondes après
 A la fin du test : 1,96 g/s ballon, 10,9 bars</t>
  </si>
  <si>
    <t>08-56</t>
  </si>
  <si>
    <t>(16,2;6;1,6)</t>
  </si>
  <si>
    <t>Fuite audible depuis le site 
 Début de test : 5 g/s
 1 min : 5 g/s
 2 min : 5,2 g/s, 12 bar</t>
  </si>
  <si>
    <t>08-57</t>
  </si>
  <si>
    <t>Début du test : 2 g/s
 Régulation vers 1 g/s
 2 min : 3,2 bar, 0,9 g/s</t>
  </si>
  <si>
    <t>BT</t>
  </si>
  <si>
    <t>08-58</t>
  </si>
  <si>
    <t>08-59</t>
  </si>
  <si>
    <t>08-60</t>
  </si>
  <si>
    <t>?</t>
  </si>
  <si>
    <t>08-61</t>
  </si>
  <si>
    <t>08-62</t>
  </si>
  <si>
    <t>08-63</t>
  </si>
  <si>
    <t>08-64</t>
  </si>
  <si>
    <t>08-65</t>
  </si>
  <si>
    <t>08-66</t>
  </si>
  <si>
    <t>08-67</t>
  </si>
  <si>
    <t>08-68</t>
  </si>
  <si>
    <t>(17,7,0,55)</t>
  </si>
  <si>
    <t>5mm</t>
  </si>
  <si>
    <t>[Middle TADI North - Southbound] [3g/s 11h43m57s] [5g/s 11h44m16s] [8g/s 11h44m30s] [10g/s 11h44m52s]</t>
  </si>
  <si>
    <t>[10g/s stable 12h03m30s]</t>
  </si>
  <si>
    <t>(11,8,3)</t>
  </si>
  <si>
    <t>[uncertainty about the end time provided] [5g/s stable 12h23m55s]</t>
  </si>
  <si>
    <t>[uncertainty about the end time provided] [5g/s stable 12h38m34s]</t>
  </si>
  <si>
    <t>(22,11,2,35)</t>
  </si>
  <si>
    <t>[3g/s stable 13h10m50s]</t>
  </si>
  <si>
    <t>[FlowRate stabilized in 20sec]</t>
  </si>
  <si>
    <t>(26,14,2,5)</t>
  </si>
  <si>
    <t>6mm</t>
  </si>
  <si>
    <t>[1g/s stable 15h13m10s]</t>
  </si>
  <si>
    <t>##########</t>
  </si>
  <si>
    <t>(37,7,6,5)</t>
  </si>
  <si>
    <t>1/2"</t>
  </si>
  <si>
    <t>[Test failure - Leak down the flare]</t>
  </si>
  <si>
    <t>(21,4,2,26)</t>
  </si>
  <si>
    <t>4mm</t>
  </si>
  <si>
    <t>[uncertainty about the end time provided]</t>
  </si>
  <si>
    <t>[uncertainty about the begin time provided]</t>
  </si>
  <si>
    <t>[leak down and up the flare]</t>
  </si>
  <si>
    <t>(21,2,40,0,96)</t>
  </si>
  <si>
    <t>2"</t>
  </si>
  <si>
    <t>[20g/s 17h14m05s] [35g/s 17h14m40s] [40g/s 17h15m40s] [40g/s stable 17h16m05s] [17h18m00s stable 45g/s]</t>
  </si>
  <si>
    <t>4"</t>
  </si>
  <si>
    <t>[150g/s 10h00m35s] [200g/s 10h00m50s] [150g/s 10h01m30s] [180g/s 10h02m25s] [200g/s 10h03m10s] [200g/s stable 10h04m14s]</t>
  </si>
  <si>
    <t>(22,2,40,0,77)</t>
  </si>
  <si>
    <t>3/4"</t>
  </si>
  <si>
    <t>[4g/s 10h24m57s] [8g/s stable 10h25m35s]</t>
  </si>
  <si>
    <t>3"</t>
  </si>
  <si>
    <t>[80g/s 11h05m52s] [100g/s 11h06m40s]</t>
  </si>
  <si>
    <t>BLIND</t>
  </si>
  <si>
    <t>[15h32m31s stable]</t>
  </si>
  <si>
    <t>[15h51m31s stable]</t>
  </si>
  <si>
    <t>[16h26m48s stable]</t>
  </si>
  <si>
    <t>[16h41m27s stable ]</t>
  </si>
  <si>
    <t>North/South</t>
  </si>
  <si>
    <t>(15,20,0,55)</t>
  </si>
  <si>
    <t>[middle between North-South / Southbound] [0,3g/s stable 09h54m15s]</t>
  </si>
  <si>
    <t>[0,3g/s stable 11h21m17s]</t>
  </si>
  <si>
    <t>[First Co2 Release]</t>
  </si>
  <si>
    <t>[20g/s stable 13h38m12s]</t>
  </si>
  <si>
    <t>(21,2,40,0,77)</t>
  </si>
  <si>
    <t>[5g/s already stable 13h51m20s]</t>
  </si>
  <si>
    <t>[50g/s stable after ~50sec]</t>
  </si>
  <si>
    <t>(120g/s 14h29m57s] [130g/s 14h30m16s] [150g/s stable 14h30m52s]</t>
  </si>
  <si>
    <t>[8g/s 15h00m10s]</t>
  </si>
  <si>
    <t>(25,5,12,1,65)</t>
  </si>
  <si>
    <t>10mm</t>
  </si>
  <si>
    <t>[uncertainty about the end time provided] [5g/s stable 15h11m09s]</t>
  </si>
  <si>
    <t>(21,5,1,17)</t>
  </si>
  <si>
    <t>[0,3g/s stable 15h24m30s]</t>
  </si>
  <si>
    <t>[0,2g/s 15h33m40s] [0,2g/s 15h37m30s]</t>
  </si>
  <si>
    <t>(16,10,0,02)</t>
  </si>
  <si>
    <t>[1g/s stable 15h47m25s]</t>
  </si>
  <si>
    <t>[stable 16h36m28s]</t>
  </si>
  <si>
    <t>[stable 16h45m15s]</t>
  </si>
  <si>
    <t>[stable 16h52m10s]</t>
  </si>
  <si>
    <t>[stable 09h52m35s]</t>
  </si>
  <si>
    <t>[uncertainty about the begin time provided] [stable 10h08m24s]</t>
  </si>
  <si>
    <t>[stable 10h23m15s]</t>
  </si>
  <si>
    <t>[stable 10h43m08s]</t>
  </si>
  <si>
    <t>[stable 11h21m30s]</t>
  </si>
  <si>
    <t>[stable 11h29m22s]</t>
  </si>
  <si>
    <t>[stable 11h43m23s] [11h46m07s decrease of the FlowRate before closing valve]</t>
  </si>
  <si>
    <t>[stable 11h48m35s]</t>
  </si>
  <si>
    <t>[stable 11h56m00s]</t>
  </si>
  <si>
    <t>[stable 12h00m55s]</t>
  </si>
  <si>
    <t>[stable 12h08m45s]</t>
  </si>
  <si>
    <t>[stable 12h15m20s]</t>
  </si>
  <si>
    <t>Fuite non déclarée par Total</t>
  </si>
  <si>
    <t>Vanne Mobile 2 Rack Tuyauterie</t>
  </si>
  <si>
    <t>corrode</t>
  </si>
  <si>
    <t>Vanne Mobile Bride</t>
  </si>
  <si>
    <t>bride</t>
  </si>
  <si>
    <t>Ces timestamps ont ete estime le 02/04/2020 par Valentin Bilot</t>
  </si>
  <si>
    <t>Vanne Mobile Semi Champ Libre</t>
  </si>
  <si>
    <t>TEST BLANC</t>
  </si>
  <si>
    <t>2 min au lieu de 3</t>
  </si>
  <si>
    <t>3m du rpb</t>
  </si>
  <si>
    <t>Travail 402</t>
  </si>
  <si>
    <t>Changement de batterie</t>
  </si>
  <si>
    <t>Test plus long</t>
  </si>
  <si>
    <t>11bis</t>
  </si>
  <si>
    <t>2min de plus</t>
  </si>
  <si>
    <t>Vanna 403</t>
  </si>
  <si>
    <t>Vanne 402</t>
  </si>
  <si>
    <t>Vanne 403</t>
  </si>
  <si>
    <t>23bis</t>
  </si>
  <si>
    <t>23_1</t>
  </si>
  <si>
    <t>Vanne 401</t>
  </si>
  <si>
    <t>parallèle au rack VANNE 402: sans interuption: 2 g/s a peu prés 11:41:00 stab 11:42:04,</t>
  </si>
  <si>
    <t>ajout coude vers le haut pour taper contre les tuyaux</t>
  </si>
  <si>
    <t>probleme talkie, début non exacte, test de 5min au lieu de 2min</t>
  </si>
  <si>
    <t>Orientation du trou corrodé vers le bas</t>
  </si>
  <si>
    <t>XOV403</t>
  </si>
  <si>
    <t>Vanne contre gros ballon coté EST</t>
  </si>
  <si>
    <t>13/14</t>
  </si>
  <si>
    <t>Fusion des tests 13 et 14 car identique, donc test global de 4min</t>
  </si>
  <si>
    <t>Fin du test : 15:37:20
Poursuite de l'essai pour vider réservoir 
7min d'essai, 6g/s, 8,4barq
10min d'essai, 6g/s, 6,625barq (100%)
La vanne est ouverte au max et le débit commence à chuter
15min d'essai, 3,6g/s, 3,7barq (100%)
30min d'essai, 0,74g/s, 0,3barq (100%)</t>
  </si>
  <si>
    <t>decoupage de la fuite precedente par analyse du spectrogramme (https://github,com/Wavely/eda-total-leak/blob/ValentinBilot/Data_cleaning/notebooks/tadi_2019_data_cleaning/18_juillet_2019_last_leak_analysis,ipynb)</t>
  </si>
  <si>
    <t>Orienté vers le bas</t>
  </si>
  <si>
    <t>Orienté vers le bas, mis à la suite pour regrouper le meme type de fuite</t>
  </si>
  <si>
    <t>XOV408</t>
  </si>
  <si>
    <t>test rajouté</t>
  </si>
  <si>
    <t>XOV405</t>
  </si>
  <si>
    <t>Mis en chps libre, on va laisser se vider l'installation jusqu'à 100% d'ouverture de vanne</t>
  </si>
  <si>
    <t>decoupage de la fuite precedente par analyse du spectrogramme (https://github,com/Wavely/eda-total-leak/blob/ValentinBilot/Data_cleaning/notebooks/tadi_2019_data_cleaning/23_juillet_2019_last_leak_analysis,ipynb)</t>
  </si>
  <si>
    <t>Débit difficile à stabiliser</t>
  </si>
  <si>
    <t>Coudé vers le haut</t>
  </si>
  <si>
    <t>Vers le haut, débit difficiele à stabilisr entre 0,5 et 0,8</t>
  </si>
  <si>
    <t>Vers le haut, au lieu de 0,9 on vise 1 g/s</t>
  </si>
  <si>
    <t>Vers le haut</t>
  </si>
  <si>
    <t>XOV411</t>
  </si>
  <si>
    <t>problème de déit, à 17h07 pas de débit, on modifie la vanne de la torche, 17h08 c'est reparti</t>
  </si>
  <si>
    <t>XOV409</t>
  </si>
  <si>
    <t>On laisse se vider l'installation</t>
  </si>
  <si>
    <t>XOV407</t>
  </si>
  <si>
    <t>Débit initia prévu à 1g/s mais mauvaise lecture du tableau donc un débit de 4 g/s a été utilisé</t>
  </si>
  <si>
    <r>
      <rPr>
        <sz val="10.0"/>
      </rPr>
      <t xml:space="preserve">FIN DES 6 MINUTES 
On laisse l'installation se vider (analyse de cette fuite ici </t>
    </r>
    <r>
      <rPr>
        <color rgb="FF1155CC"/>
        <sz val="10.0"/>
        <u/>
      </rPr>
      <t>https://github,com/Wavely/eda-total-leak/blob/ValentinBilot/Data_cleaning/notebooks/tadi_2019_data_cleaning/1_aout_2019_last_leak_analysis,ipynb)</t>
    </r>
  </si>
  <si>
    <t>A</t>
  </si>
  <si>
    <t>2019W42-01</t>
  </si>
  <si>
    <t>Test sous forme de rampe croissante sur le débit par palier de 30 secondes</t>
  </si>
  <si>
    <t>2019W42-02</t>
  </si>
  <si>
    <t>Vanne FCV409 à 100 % ouverture : Débit maxi 4,8 g/s</t>
  </si>
  <si>
    <t>B</t>
  </si>
  <si>
    <t>Test répétabilité</t>
  </si>
  <si>
    <t>Test Localisation, Débit prévu de 8,5 g/s impossible</t>
  </si>
  <si>
    <t>Test Blanc</t>
  </si>
  <si>
    <t>Test Localisation</t>
  </si>
  <si>
    <t>Test Localisation, Débit prévu de 8 g/s impossible</t>
  </si>
  <si>
    <t>D</t>
  </si>
  <si>
    <t>Multifuite 1</t>
  </si>
  <si>
    <t>Test Localisation, Débit prévu de 10 g/s impossible</t>
  </si>
  <si>
    <t>Test répétabilité, Débit prévu de 7,5 g/s impossible</t>
  </si>
  <si>
    <t>Multifuite2</t>
  </si>
  <si>
    <t>C</t>
  </si>
  <si>
    <t>Variation du débit par créneau de 30 secondes</t>
  </si>
  <si>
    <t>Débit prévu de 8 g/s impossible</t>
  </si>
  <si>
    <t>E</t>
  </si>
  <si>
    <t>FCV010</t>
  </si>
  <si>
    <t>Blind test Sud (distance à la source pour le mobile)</t>
  </si>
  <si>
    <t>Blind test Sud, Débit prévu de 300 g/s impossible</t>
  </si>
  <si>
    <t>Test variation de débit au Sud par palier de 30 secondes</t>
  </si>
  <si>
    <t>Blind Test Sud</t>
  </si>
  <si>
    <t>Blind Test Sud, Débit prévu de 138 g/s non stabilisé</t>
  </si>
  <si>
    <t>Test de variation de débit au Nord par palier de 30 s</t>
  </si>
  <si>
    <t>Test Localisation, Débit prévu fr 10 g/s imposible</t>
  </si>
  <si>
    <t>Blind Test Sud (distance à la source pour le mobile)</t>
  </si>
  <si>
    <t>Multifuite Nord et Sud, Débit prévu de 7 g/s impossible</t>
  </si>
  <si>
    <t>Blind Test Sud, Débit prévu de 300 g/s imossible</t>
  </si>
  <si>
    <t>Blind Test Sud, Débit légèrement supérieur au débit prévu de 14 g/s</t>
  </si>
  <si>
    <t>2019W43-01/1</t>
  </si>
  <si>
    <t>Flex 6mm</t>
  </si>
  <si>
    <t>2019W43-01/2</t>
  </si>
  <si>
    <t>2019W43-01/3</t>
  </si>
  <si>
    <t>2019W43-02/1</t>
  </si>
  <si>
    <t>Flex 12 mm</t>
  </si>
  <si>
    <t>2019W43-02/2</t>
  </si>
  <si>
    <t>2019W43-02/3</t>
  </si>
  <si>
    <t>2019W43-02/4</t>
  </si>
  <si>
    <t>2019W43-02/5</t>
  </si>
  <si>
    <t>2019W43-02/6</t>
  </si>
  <si>
    <t>2019W43-02/7</t>
  </si>
  <si>
    <t>2019W43-02/8</t>
  </si>
  <si>
    <t>2019W43-03</t>
  </si>
  <si>
    <t>Trou 5 mm</t>
  </si>
  <si>
    <t>2019W43-04</t>
  </si>
  <si>
    <t>2019W43-05</t>
  </si>
  <si>
    <t>2019W43-06</t>
  </si>
  <si>
    <t>2019W43-07</t>
  </si>
  <si>
    <t>2019W43-08</t>
  </si>
  <si>
    <t>2019W43-10/1</t>
  </si>
  <si>
    <t>Flex 8 mm</t>
  </si>
  <si>
    <t>2019W43-10/2</t>
  </si>
  <si>
    <t>Flex 10 mm</t>
  </si>
  <si>
    <t>2019W43-11</t>
  </si>
  <si>
    <t>2019W43-14</t>
  </si>
  <si>
    <t>Trou 4 mm</t>
  </si>
  <si>
    <t>2019W43-15</t>
  </si>
  <si>
    <t>Test répétabilité,</t>
  </si>
  <si>
    <t>2019W43-17</t>
  </si>
  <si>
    <t>2019W43-19/1</t>
  </si>
  <si>
    <t>Skid Produit</t>
  </si>
  <si>
    <t>2019W43-19/2</t>
  </si>
  <si>
    <t>2019W43-20</t>
  </si>
  <si>
    <t>2019W43-21/1</t>
  </si>
  <si>
    <t>FCV403</t>
  </si>
  <si>
    <t>2019W43-21/2</t>
  </si>
  <si>
    <t>2019W43-21/3</t>
  </si>
  <si>
    <t>Débit prévu de 3 g/s impossible</t>
  </si>
  <si>
    <t>2019W43-21/4</t>
  </si>
  <si>
    <t>2019W43-22</t>
  </si>
  <si>
    <t>Tubing 3/4''</t>
  </si>
  <si>
    <t>2019W43-23</t>
  </si>
  <si>
    <t>Piping 4''</t>
  </si>
  <si>
    <t>2019W43-24/1</t>
  </si>
  <si>
    <t>2019W43-24/2</t>
  </si>
  <si>
    <t>2019W43-24/3</t>
  </si>
  <si>
    <t>2019W43-24/4</t>
  </si>
  <si>
    <t>2019W43-25</t>
  </si>
  <si>
    <t>Piping 1''</t>
  </si>
  <si>
    <t>2019W43-26</t>
  </si>
  <si>
    <t>Piping 3''</t>
  </si>
  <si>
    <t>2020W10-01</t>
  </si>
  <si>
    <t>étapes à 30 ; 40 ; 50 ; 75 ; 85 g/s</t>
  </si>
  <si>
    <t>2010W10-02</t>
  </si>
  <si>
    <t>étapes à 15 ; 20 ; 25 ; 30 ; 35 ; 40 g/s (release end estimé sans les enregistrements, peut être à revoir)</t>
  </si>
  <si>
    <t>2020W10-03</t>
  </si>
  <si>
    <t>étapes à 25 ; 35 ; 40 ; 45 ; 50 ; 70 g/s</t>
  </si>
  <si>
    <t>2020W10-04</t>
  </si>
  <si>
    <t>étapes à 30 ; 20 ; 10 ; 15 ; 20 g/s</t>
  </si>
  <si>
    <t>0405-01-04</t>
  </si>
  <si>
    <t>0406-01-04</t>
  </si>
  <si>
    <t> </t>
  </si>
  <si>
    <t>Mobile</t>
  </si>
  <si>
    <t>2bis</t>
  </si>
  <si>
    <t>4bis</t>
  </si>
  <si>
    <t>1bis</t>
  </si>
  <si>
    <t>37A</t>
  </si>
  <si>
    <t>37B</t>
  </si>
  <si>
    <t>FCV005</t>
  </si>
  <si>
    <t>Gasmix</t>
  </si>
  <si>
    <t>Ajouté a posteriori</t>
  </si>
  <si>
    <t>Ajouté a posteriori temps à vérifier</t>
  </si>
  <si>
    <t>temps à vérifier</t>
  </si>
  <si>
    <t>Ajouté a posterio temps à vérifier</t>
  </si>
  <si>
    <t>Condition étrange,,, à vérifier temps à vérifier</t>
  </si>
  <si>
    <t>12A</t>
  </si>
  <si>
    <t>12B</t>
  </si>
  <si>
    <t>29A</t>
  </si>
  <si>
    <t>29B</t>
  </si>
  <si>
    <t>29C</t>
  </si>
  <si>
    <t>Corrigé, Erreur d'Yvan</t>
  </si>
  <si>
    <t>W1</t>
  </si>
  <si>
    <t>2021W1/05-01</t>
  </si>
  <si>
    <t>5,8-6,0</t>
  </si>
  <si>
    <t>2021W1/05-02</t>
  </si>
  <si>
    <t>2021W1/05-03</t>
  </si>
  <si>
    <t>2021W1/05-04</t>
  </si>
  <si>
    <t>2021W1/07-01</t>
  </si>
  <si>
    <t>Flex 6 mm</t>
  </si>
  <si>
    <t>W3</t>
  </si>
  <si>
    <t>2021W3/19-01</t>
  </si>
  <si>
    <t>2021W3/19-02</t>
  </si>
  <si>
    <t>2021W3/19-03</t>
  </si>
  <si>
    <t>débits 65, 75, 85, 105</t>
  </si>
  <si>
    <t>2021W3/19-04</t>
  </si>
  <si>
    <t>2021W3/19-06</t>
  </si>
  <si>
    <t>2021W3/19-07</t>
  </si>
  <si>
    <t>2021W3/19-08</t>
  </si>
  <si>
    <t>2021W3/19-</t>
  </si>
  <si>
    <t>2021W3/20-01</t>
  </si>
  <si>
    <t>2021W3/20-02</t>
  </si>
  <si>
    <t>2021W3/20-03</t>
  </si>
  <si>
    <t>2021W3/21-04</t>
  </si>
  <si>
    <t>Flex 4 mm</t>
  </si>
  <si>
    <t>2021W3/21-</t>
  </si>
  <si>
    <t>2021W3/21-01</t>
  </si>
  <si>
    <t>W9</t>
  </si>
  <si>
    <t>2021W9/02-01</t>
  </si>
  <si>
    <t>2021W9/02-02</t>
  </si>
  <si>
    <t>2021W9/02-03</t>
  </si>
  <si>
    <t>2021W9/02-04</t>
  </si>
  <si>
    <t>2021W9/02-05</t>
  </si>
  <si>
    <t>2021W9/02-06</t>
  </si>
  <si>
    <t>2021W9/02-07</t>
  </si>
  <si>
    <t>8A</t>
  </si>
  <si>
    <t>2021W9/02-08A</t>
  </si>
  <si>
    <t>8B</t>
  </si>
  <si>
    <t>2021W9/02-08B</t>
  </si>
  <si>
    <t>2021W9/02-09</t>
  </si>
  <si>
    <t>2021W9/02-10</t>
  </si>
  <si>
    <t>2021W9/02-11</t>
  </si>
  <si>
    <t>2021W9/02-12</t>
  </si>
  <si>
    <t>2021W9/02-13</t>
  </si>
  <si>
    <t>2021W9/02-14</t>
  </si>
  <si>
    <t>2021W9/02-15</t>
  </si>
  <si>
    <t>2021W9/02-16</t>
  </si>
  <si>
    <t>2021W9/02-17</t>
  </si>
  <si>
    <t>18A</t>
  </si>
  <si>
    <t>2021W9/02-18A</t>
  </si>
  <si>
    <t>18B</t>
  </si>
  <si>
    <t>2021W9/02-18B</t>
  </si>
  <si>
    <t>2021W9/02-19</t>
  </si>
  <si>
    <t>2021W9/02-20</t>
  </si>
  <si>
    <t>2021W9/02-21</t>
  </si>
  <si>
    <t>2021W9/02-22</t>
  </si>
  <si>
    <t>2021W9/02-23</t>
  </si>
  <si>
    <t>2021W9/03-01</t>
  </si>
  <si>
    <t>V bas</t>
  </si>
  <si>
    <t>2021W9/03-02</t>
  </si>
  <si>
    <t>2021W9/03-03</t>
  </si>
  <si>
    <t>2021W9/03-04</t>
  </si>
  <si>
    <t>2021W9/03-05</t>
  </si>
  <si>
    <t>2021W9/03-06</t>
  </si>
  <si>
    <t>2021W9/03-07</t>
  </si>
  <si>
    <t>2021W9/03-08</t>
  </si>
  <si>
    <t>V haut</t>
  </si>
  <si>
    <t>2021W9/03-09</t>
  </si>
  <si>
    <t>2021W9/03-10</t>
  </si>
  <si>
    <t>2021W9/03-11</t>
  </si>
  <si>
    <t>2021W9/03-12</t>
  </si>
  <si>
    <t>2021W9/03-13</t>
  </si>
  <si>
    <t>2021W9/03-14</t>
  </si>
  <si>
    <t>2021W9/03-15</t>
  </si>
  <si>
    <t>2021W9/03-16</t>
  </si>
  <si>
    <t>2021W9/03-17</t>
  </si>
  <si>
    <t>2021W9/03-18</t>
  </si>
  <si>
    <t>2021W9/03-19</t>
  </si>
  <si>
    <t>20A</t>
  </si>
  <si>
    <t>2021W9/03-20A</t>
  </si>
  <si>
    <t>20B</t>
  </si>
  <si>
    <t>2021W9/03-20B</t>
  </si>
  <si>
    <t>2021W9/03-21</t>
  </si>
  <si>
    <t>2021W9/03-22</t>
  </si>
  <si>
    <t>2021W9/03-23</t>
  </si>
  <si>
    <t>2021W9/03-24</t>
  </si>
  <si>
    <t>2021W9/03-25</t>
  </si>
  <si>
    <t>2021W9/03-26</t>
  </si>
  <si>
    <t>2021W9/03-27</t>
  </si>
  <si>
    <t>2021W9/03-28</t>
  </si>
  <si>
    <t>2021W9/03-29</t>
  </si>
  <si>
    <t>2021W9/03-30</t>
  </si>
  <si>
    <t>2021W9/03-31</t>
  </si>
  <si>
    <t>2021W9/03-32</t>
  </si>
  <si>
    <t>2021W9/03-33</t>
  </si>
  <si>
    <t>34A</t>
  </si>
  <si>
    <t>2021W9/03-34A</t>
  </si>
  <si>
    <t>34B</t>
  </si>
  <si>
    <t>2021W9/03-34B</t>
  </si>
  <si>
    <t>2021W9/03-35</t>
  </si>
  <si>
    <t>2021W9/03-36</t>
  </si>
  <si>
    <t>2021W9/03-37</t>
  </si>
  <si>
    <t>2021W9/03-38</t>
  </si>
  <si>
    <t>2021W9/03-39</t>
  </si>
  <si>
    <t>2021W9/03-40</t>
  </si>
  <si>
    <t>2021W9/03-</t>
  </si>
  <si>
    <t>W10</t>
  </si>
  <si>
    <t>2021W10/11-01</t>
  </si>
  <si>
    <t>2021W10/11-</t>
  </si>
  <si>
    <t>W13</t>
  </si>
  <si>
    <t>2021W13/01-01</t>
  </si>
  <si>
    <t>29V</t>
  </si>
  <si>
    <t>1''</t>
  </si>
  <si>
    <t>2021W13/01-02</t>
  </si>
  <si>
    <t>2021W13/01-03</t>
  </si>
  <si>
    <t>2021W13/01-04</t>
  </si>
  <si>
    <t>2021W13/01-05</t>
  </si>
  <si>
    <t>2021W13/01-06</t>
  </si>
  <si>
    <t>Hole 1 mm</t>
  </si>
  <si>
    <t>2021W13/01-07</t>
  </si>
  <si>
    <t>Hole 2,5 mm</t>
  </si>
  <si>
    <t>2021W13/01-08</t>
  </si>
  <si>
    <t>2021W13/01-09</t>
  </si>
  <si>
    <t>2021W13/01-10</t>
  </si>
  <si>
    <t>11A</t>
  </si>
  <si>
    <t>2021W13/01-11A</t>
  </si>
  <si>
    <t>Hole 1,5 mm</t>
  </si>
  <si>
    <t>Même test avec des marches/arrêts (start_times à vérifier)</t>
  </si>
  <si>
    <t>11B</t>
  </si>
  <si>
    <t>2021W13/01-11B</t>
  </si>
  <si>
    <t>11C</t>
  </si>
  <si>
    <t>2021W13/01-11C</t>
  </si>
  <si>
    <t>11D</t>
  </si>
  <si>
    <t>2021W13/01-11D</t>
  </si>
  <si>
    <t>11E</t>
  </si>
  <si>
    <t>2021W13/01-11E</t>
  </si>
  <si>
    <t>11F</t>
  </si>
  <si>
    <t>2021W13/01-11F</t>
  </si>
  <si>
    <t>11G</t>
  </si>
  <si>
    <t>2021W13/01-11G</t>
  </si>
  <si>
    <t>11H</t>
  </si>
  <si>
    <t>2021W13/01-11H</t>
  </si>
  <si>
    <t>2021W13/01-12</t>
  </si>
  <si>
    <t>2021W13/01-13</t>
  </si>
  <si>
    <t>2021W13/01-14</t>
  </si>
  <si>
    <t>2021W13/01-15</t>
  </si>
  <si>
    <t>2021W13/01-16</t>
  </si>
  <si>
    <t>2021W13/01-17</t>
  </si>
  <si>
    <t>2021W13/01-18</t>
  </si>
  <si>
    <t>PURGE - vérifier avec Yvan</t>
  </si>
  <si>
    <t>2021W13/02-01</t>
  </si>
  <si>
    <t>Mobile Valves 3 at 45° along Large Tank D1</t>
  </si>
  <si>
    <t>2021W13/02-02</t>
  </si>
  <si>
    <t>2021W13/02-03</t>
  </si>
  <si>
    <t>2021W13/02-04</t>
  </si>
  <si>
    <t>2021W13/02-05</t>
  </si>
  <si>
    <t>2021W13/02-06</t>
  </si>
  <si>
    <t>Hole 4 mm</t>
  </si>
  <si>
    <t>2021W13/02-07</t>
  </si>
  <si>
    <t>2021W13/02-08</t>
  </si>
  <si>
    <t>2021W13/02-09</t>
  </si>
  <si>
    <t>2021W13/02-10</t>
  </si>
  <si>
    <t>2021W13/02-11</t>
  </si>
  <si>
    <t>2021W13/02-12</t>
  </si>
  <si>
    <t>2021W13/02-13</t>
  </si>
  <si>
    <t>2021W13/02-14</t>
  </si>
  <si>
    <t>2021W13/02-15</t>
  </si>
  <si>
    <t>2021W13/02-16</t>
  </si>
  <si>
    <t>2021W13/02-17</t>
  </si>
  <si>
    <t>2021W13/02-18</t>
  </si>
  <si>
    <t>2021W13/02-19</t>
  </si>
  <si>
    <t>2021W13/02-20</t>
  </si>
  <si>
    <t>2021W13/02-21</t>
  </si>
  <si>
    <t>2021W13/02-22</t>
  </si>
  <si>
    <t>2021W13/02-23</t>
  </si>
  <si>
    <t>2021W13/02-24</t>
  </si>
  <si>
    <t>2021W13/02-25</t>
  </si>
  <si>
    <t>2021W13/02-26</t>
  </si>
  <si>
    <t>2021W13/02-27</t>
  </si>
  <si>
    <t>2021W13/02-28</t>
  </si>
  <si>
    <t>Flex 3 mm</t>
  </si>
  <si>
    <t>2021W13/02-29</t>
  </si>
  <si>
    <t>2021W13/02-30</t>
  </si>
  <si>
    <t>2021W13/02-31</t>
  </si>
  <si>
    <t>2021W13/02-32</t>
  </si>
  <si>
    <t>2021W13/02-33</t>
  </si>
  <si>
    <t>2021W13/02-34A</t>
  </si>
  <si>
    <t>Même test en réduisant le débit progressivement,</t>
  </si>
  <si>
    <t>2021W13/02-34B</t>
  </si>
  <si>
    <t>34C</t>
  </si>
  <si>
    <t>2021W13/02-34C</t>
  </si>
  <si>
    <t>34D</t>
  </si>
  <si>
    <t>2021W13/02-34D</t>
  </si>
  <si>
    <t>34E</t>
  </si>
  <si>
    <t>2021W13/02-34E</t>
  </si>
  <si>
    <t>34F</t>
  </si>
  <si>
    <t>2021W13/02-34F</t>
  </si>
  <si>
    <t>34G</t>
  </si>
  <si>
    <t>2021W13/02-34G</t>
  </si>
  <si>
    <t>34H</t>
  </si>
  <si>
    <t>2021W13/02-34H</t>
  </si>
  <si>
    <t>34I</t>
  </si>
  <si>
    <t>2021W13/02-34I</t>
  </si>
  <si>
    <t>34J</t>
  </si>
  <si>
    <t>2021W13/02-34J</t>
  </si>
  <si>
    <t>34K</t>
  </si>
  <si>
    <t>2021W13/02-34K</t>
  </si>
  <si>
    <t>34L</t>
  </si>
  <si>
    <t>2021W13/02-34L</t>
  </si>
  <si>
    <t>34M</t>
  </si>
  <si>
    <t>2021W13/02-34M</t>
  </si>
  <si>
    <t>34N</t>
  </si>
  <si>
    <t>2021W13/02-34N</t>
  </si>
  <si>
    <t>34O</t>
  </si>
  <si>
    <t>2021W13/02-34O</t>
  </si>
  <si>
    <t>34P</t>
  </si>
  <si>
    <t>2021W13/02-34P</t>
  </si>
  <si>
    <t>34Q</t>
  </si>
  <si>
    <t>2021W13/02-34Q</t>
  </si>
  <si>
    <t>2021W13/02-</t>
  </si>
  <si>
    <t>W15</t>
  </si>
  <si>
    <t>1A</t>
  </si>
  <si>
    <t>2021W15/14-01A</t>
  </si>
  <si>
    <t>1B</t>
  </si>
  <si>
    <t>2021W15/14-01B</t>
  </si>
  <si>
    <t>1C</t>
  </si>
  <si>
    <t>2021W15/14-01C</t>
  </si>
  <si>
    <t>1D</t>
  </si>
  <si>
    <t>2021W15/14-01D</t>
  </si>
  <si>
    <t>2021W15/16-01A</t>
  </si>
  <si>
    <t>2021W15/16-</t>
  </si>
  <si>
    <t>W18</t>
  </si>
  <si>
    <t>2021W18/03-01</t>
  </si>
  <si>
    <t>2021W18/04-01</t>
  </si>
  <si>
    <t>2021W18/05-01</t>
  </si>
  <si>
    <t>2021W18/05-02</t>
  </si>
  <si>
    <t>2021W18/05-03</t>
  </si>
  <si>
    <t>2021W18/05-04</t>
  </si>
  <si>
    <t>5A</t>
  </si>
  <si>
    <t>2021W18/05-05A</t>
  </si>
  <si>
    <t>5B</t>
  </si>
  <si>
    <t>2021W18/05-05B</t>
  </si>
  <si>
    <t>5C</t>
  </si>
  <si>
    <t>2021W18/05-05C</t>
  </si>
  <si>
    <t>5D</t>
  </si>
  <si>
    <t>2021W18/05-05D</t>
  </si>
  <si>
    <t>5E</t>
  </si>
  <si>
    <t>2021W18/05-05E</t>
  </si>
  <si>
    <t>2021W18/05-06</t>
  </si>
  <si>
    <t>7A</t>
  </si>
  <si>
    <t>2021W18/05-07A</t>
  </si>
  <si>
    <t>7B</t>
  </si>
  <si>
    <t>2021W18/05-07B</t>
  </si>
  <si>
    <t>7C</t>
  </si>
  <si>
    <t>2021W18/05-07C</t>
  </si>
  <si>
    <t>2021W18/05-08</t>
  </si>
  <si>
    <t>9A</t>
  </si>
  <si>
    <t>2021W18/05-09A</t>
  </si>
  <si>
    <t>9B</t>
  </si>
  <si>
    <t>2021W18/05-09B</t>
  </si>
  <si>
    <t>9C</t>
  </si>
  <si>
    <t>2021W18/05-09C</t>
  </si>
  <si>
    <t>10A</t>
  </si>
  <si>
    <t>2021W18/05-10A</t>
  </si>
  <si>
    <t>10B</t>
  </si>
  <si>
    <t>2021W18/05-10B</t>
  </si>
  <si>
    <t>2021W18/05-11</t>
  </si>
  <si>
    <t>2021W18/05-12</t>
  </si>
  <si>
    <t>2021W18/05-01A</t>
  </si>
  <si>
    <t>2021W18/05-01B</t>
  </si>
  <si>
    <t>2021W18/05-</t>
  </si>
  <si>
    <t>2021W18/06-01</t>
  </si>
  <si>
    <t>2021W18/07-01</t>
  </si>
  <si>
    <t>2021W18/07-02</t>
  </si>
  <si>
    <t>2021W18/07-</t>
  </si>
  <si>
    <t>W21</t>
  </si>
  <si>
    <t>2021W21/27-01</t>
  </si>
  <si>
    <t>2021W21/27-02</t>
  </si>
  <si>
    <t>2021W21/27-</t>
  </si>
  <si>
    <t>W22</t>
  </si>
  <si>
    <t>2021W22/31-01</t>
  </si>
  <si>
    <t>2021W22/01-</t>
  </si>
  <si>
    <t>2021W22/02-01</t>
  </si>
  <si>
    <t>2021W22/02-02</t>
  </si>
  <si>
    <t>2021W22/02-</t>
  </si>
  <si>
    <t>W23</t>
  </si>
  <si>
    <t>2021W23/10-01</t>
  </si>
  <si>
    <t>2021W23/11-01A</t>
  </si>
  <si>
    <t>2021W23/11-01B</t>
  </si>
  <si>
    <t>2021W23/11-01C</t>
  </si>
  <si>
    <t>2021W23/11-01D</t>
  </si>
  <si>
    <t>2A</t>
  </si>
  <si>
    <t>2021W23/11-02A</t>
  </si>
  <si>
    <t>2B</t>
  </si>
  <si>
    <t>2021W23/11-02B</t>
  </si>
  <si>
    <t>2C</t>
  </si>
  <si>
    <t>2021W23/11-02C</t>
  </si>
  <si>
    <t>2D</t>
  </si>
  <si>
    <t>2021W23/11-02D</t>
  </si>
  <si>
    <t>2E</t>
  </si>
  <si>
    <t>2021W23/11-02E</t>
  </si>
  <si>
    <t>2F</t>
  </si>
  <si>
    <t>2021W23/11-02F</t>
  </si>
  <si>
    <t>2021W23/11-03</t>
  </si>
  <si>
    <t>2021W23/11-</t>
  </si>
  <si>
    <t>W25</t>
  </si>
  <si>
    <t>2021W25/21-01A</t>
  </si>
  <si>
    <t>2021W25/21-01B</t>
  </si>
  <si>
    <t>2021W25/21-01C</t>
  </si>
  <si>
    <t>2021W25/22-01A</t>
  </si>
  <si>
    <t>2021W25/22-01B</t>
  </si>
  <si>
    <t>2021W25/22-01C</t>
  </si>
  <si>
    <t>2021W25/22-02</t>
  </si>
  <si>
    <t>Leak on stake (elevation : 1,8 m)</t>
  </si>
  <si>
    <t>3A</t>
  </si>
  <si>
    <t>2021W25/22-03A</t>
  </si>
  <si>
    <t>3B</t>
  </si>
  <si>
    <t>2021W25/22-03B</t>
  </si>
  <si>
    <t>4A</t>
  </si>
  <si>
    <t>2021W25/22-04A</t>
  </si>
  <si>
    <t>4B</t>
  </si>
  <si>
    <t>2021W25/22-04B</t>
  </si>
  <si>
    <t>2021W25/22-05A</t>
  </si>
  <si>
    <t>2021W25/22-05B</t>
  </si>
  <si>
    <t>2021W25/22-05C</t>
  </si>
  <si>
    <t>2021W25/22-05D</t>
  </si>
  <si>
    <t>2021W25/22-05E</t>
  </si>
  <si>
    <t>2021W25/22-06</t>
  </si>
  <si>
    <t>2021W25/22-</t>
  </si>
  <si>
    <t>W27</t>
  </si>
  <si>
    <t>2021W27/05-01</t>
  </si>
  <si>
    <t>2021W27/05-02</t>
  </si>
  <si>
    <t>2021W27/05-</t>
  </si>
  <si>
    <t>2021W27/08-01</t>
  </si>
  <si>
    <t>Basses fréquences</t>
  </si>
  <si>
    <t>2021W27/08-02</t>
  </si>
  <si>
    <t>2021W27/08-03</t>
  </si>
  <si>
    <t>2021W27/08-04</t>
  </si>
  <si>
    <t>2021W27/08-05</t>
  </si>
  <si>
    <t>2021W27/08-06</t>
  </si>
  <si>
    <t>2021W27/08-07</t>
  </si>
  <si>
    <t>2021W27/08-08</t>
  </si>
  <si>
    <t>2021W27/08-09</t>
  </si>
  <si>
    <t>2021W27/08-10</t>
  </si>
  <si>
    <t>2021W27/08-11</t>
  </si>
  <si>
    <t>2021W27/08-12</t>
  </si>
  <si>
    <t>2021W27/08-13</t>
  </si>
  <si>
    <t>2021W27/08-14</t>
  </si>
  <si>
    <t>2021W27/08-15</t>
  </si>
  <si>
    <t>Large-bande</t>
  </si>
  <si>
    <t>2021W27/08-16</t>
  </si>
  <si>
    <t>Possiblement en même temps que backup</t>
  </si>
  <si>
    <t>2021W27/08-17</t>
  </si>
  <si>
    <t>2021W27/08-18</t>
  </si>
  <si>
    <t>2021W27/08-19</t>
  </si>
  <si>
    <t>2021W27/08-20</t>
  </si>
  <si>
    <t>21A</t>
  </si>
  <si>
    <t>2021W27/08-21A</t>
  </si>
  <si>
    <t>21B</t>
  </si>
  <si>
    <t>2021W27/08-21B</t>
  </si>
  <si>
    <t>21C</t>
  </si>
  <si>
    <t>2021W27/08-21C</t>
  </si>
  <si>
    <t>2021W27/08-22</t>
  </si>
  <si>
    <t>2021W27/08-23</t>
  </si>
  <si>
    <t>2021W27/08-24</t>
  </si>
  <si>
    <t>2021W27/08-25</t>
  </si>
  <si>
    <t>2021W27/08-26</t>
  </si>
  <si>
    <t>27A</t>
  </si>
  <si>
    <t>2021W27/08-27A</t>
  </si>
  <si>
    <t>27B</t>
  </si>
  <si>
    <t>2021W27/08-27B</t>
  </si>
  <si>
    <t>2021W27/08-28</t>
  </si>
  <si>
    <t>2021W27/08-29</t>
  </si>
  <si>
    <t>2021W27/08-30</t>
  </si>
  <si>
    <t>2021W27/08-31</t>
  </si>
  <si>
    <t>2021W27/08-33</t>
  </si>
  <si>
    <t>2021W27/08-34</t>
  </si>
  <si>
    <t>2021W27/08-36</t>
  </si>
  <si>
    <t>2021W27/08-37</t>
  </si>
  <si>
    <t>2021W27/08-38</t>
  </si>
  <si>
    <t>2021W27/08-39</t>
  </si>
  <si>
    <t>2021W27/08-40</t>
  </si>
  <si>
    <t>2021W27/08-41</t>
  </si>
  <si>
    <t>2021W27/08-42</t>
  </si>
  <si>
    <t>2021W27/08-44</t>
  </si>
  <si>
    <t>2021W27/08-45</t>
  </si>
  <si>
    <t>2021W27/08-46</t>
  </si>
  <si>
    <t>2021W27/09-48</t>
  </si>
  <si>
    <t>2021W27/09-49</t>
  </si>
  <si>
    <t>2021W27/09-50</t>
  </si>
  <si>
    <t>2021W27/09-51</t>
  </si>
  <si>
    <t>2021W27/09-52</t>
  </si>
  <si>
    <t>2021W27/09-53</t>
  </si>
  <si>
    <t>2021W27/09-54</t>
  </si>
  <si>
    <t>2021W27/09-55</t>
  </si>
  <si>
    <t>2021W27/09-56</t>
  </si>
  <si>
    <t>2021W27/09-57</t>
  </si>
  <si>
    <t>58A</t>
  </si>
  <si>
    <t>2021W27/09-58A</t>
  </si>
  <si>
    <t>58B</t>
  </si>
  <si>
    <t>2021W27/09-58B</t>
  </si>
  <si>
    <t>58C</t>
  </si>
  <si>
    <t>2021W27/09-58C</t>
  </si>
  <si>
    <t>58D</t>
  </si>
  <si>
    <t>2021W27/09-58D</t>
  </si>
  <si>
    <t>58E</t>
  </si>
  <si>
    <t>2021W27/09-58E</t>
  </si>
  <si>
    <t>59A</t>
  </si>
  <si>
    <t>2021W27/09-59A</t>
  </si>
  <si>
    <t>59B</t>
  </si>
  <si>
    <t>2021W27/09-59B</t>
  </si>
  <si>
    <t>59C</t>
  </si>
  <si>
    <t>2021W27/09-59C</t>
  </si>
  <si>
    <t>59D</t>
  </si>
  <si>
    <t>2021W27/09-59D</t>
  </si>
  <si>
    <t>59E</t>
  </si>
  <si>
    <t>2021W27/09-59E</t>
  </si>
  <si>
    <t>W29</t>
  </si>
  <si>
    <t>2021W29/22-01</t>
  </si>
  <si>
    <t>2021W29/22-</t>
  </si>
  <si>
    <t>W30</t>
  </si>
  <si>
    <t>2021W30/27-01</t>
  </si>
  <si>
    <t>0,4,1</t>
  </si>
  <si>
    <t>2021W30/27-02</t>
  </si>
  <si>
    <t>2021W30/27-03</t>
  </si>
  <si>
    <t>2021W30/27-04</t>
  </si>
  <si>
    <t>2021W30/27-05</t>
  </si>
  <si>
    <t>2021W30/27-06</t>
  </si>
  <si>
    <t>2021W30/27-07</t>
  </si>
  <si>
    <t>2021W30/27-08</t>
  </si>
  <si>
    <t>2021W30/27-09</t>
  </si>
  <si>
    <t>2021W30/27-10</t>
  </si>
  <si>
    <t>2021W30/27-11</t>
  </si>
  <si>
    <t>2021W30/27-12</t>
  </si>
  <si>
    <t>2021W30/27-13</t>
  </si>
  <si>
    <t>2021W30/27-14</t>
  </si>
  <si>
    <t>2021W30/27-15</t>
  </si>
  <si>
    <t>2021W30/27-16</t>
  </si>
  <si>
    <t>2021W30/27-17</t>
  </si>
  <si>
    <t>2021W30/27-18</t>
  </si>
  <si>
    <t>2021W30/27-19</t>
  </si>
  <si>
    <t>2021W30/27-20</t>
  </si>
  <si>
    <t>2021W30/27-21</t>
  </si>
  <si>
    <t>2021W30/27-22</t>
  </si>
  <si>
    <t>2021W30/27-23</t>
  </si>
  <si>
    <t>2021W30/27-24</t>
  </si>
  <si>
    <t>2021W30/27-25</t>
  </si>
  <si>
    <t>2021W30/27-</t>
  </si>
  <si>
    <t>W36</t>
  </si>
  <si>
    <t>2021W36/07-1</t>
  </si>
  <si>
    <t>2021W36/07-2</t>
  </si>
  <si>
    <t>2021W36/07-3</t>
  </si>
  <si>
    <t>2021W36/07-4,1</t>
  </si>
  <si>
    <t>2021W36/08-5,1</t>
  </si>
  <si>
    <t>2021W36/08-5,2</t>
  </si>
  <si>
    <t>2021W36/08-6</t>
  </si>
  <si>
    <t>2021W36/08-7,1</t>
  </si>
  <si>
    <t>2021W36/08-7,2</t>
  </si>
  <si>
    <t>Gasmix1</t>
  </si>
  <si>
    <t>2021W36/08-8</t>
  </si>
  <si>
    <t>2021W36/08-9</t>
  </si>
  <si>
    <t>2021W36/08-10</t>
  </si>
  <si>
    <t>2021W36/08-11</t>
  </si>
  <si>
    <t>2021W36/09-12</t>
  </si>
  <si>
    <t>2021W36/09-13,1</t>
  </si>
  <si>
    <t>2021W36/09-13,2</t>
  </si>
  <si>
    <t>2021W36/09-14</t>
  </si>
  <si>
    <t>2021W36/09-15</t>
  </si>
  <si>
    <t>2021W36/09-16,1</t>
  </si>
  <si>
    <t>2021W36/09-16,2</t>
  </si>
  <si>
    <t>Gasmix2</t>
  </si>
  <si>
    <t>2021W36/09-17,1</t>
  </si>
  <si>
    <t>2021W36/09-17,2</t>
  </si>
  <si>
    <t>2021W36/09-18</t>
  </si>
  <si>
    <t>2021W36/09-19</t>
  </si>
  <si>
    <t>2021W36/09-20</t>
  </si>
  <si>
    <t>2021W36/10-21</t>
  </si>
  <si>
    <t>2021W36/10-22</t>
  </si>
  <si>
    <t>2021W36/10-</t>
  </si>
  <si>
    <t>W38</t>
  </si>
  <si>
    <t>2021W38/20-1,1</t>
  </si>
  <si>
    <t>2021W38/20-1,2</t>
  </si>
  <si>
    <t>2021W38/20-1,3</t>
  </si>
  <si>
    <t>2021W38/20-2,1</t>
  </si>
  <si>
    <t>2021W38/20-2,2</t>
  </si>
  <si>
    <t>2021W38/20-2,3</t>
  </si>
  <si>
    <t>2021W38/20-3</t>
  </si>
  <si>
    <t>2021W38/20-4</t>
  </si>
  <si>
    <t>2021W38/20-5,1</t>
  </si>
  <si>
    <t>2021W38/20-5,2</t>
  </si>
  <si>
    <t>2021W38/20-6</t>
  </si>
  <si>
    <t>2021W38/20-7,1</t>
  </si>
  <si>
    <t>2021W38/20-7,2</t>
  </si>
  <si>
    <t>2021W38/20-8</t>
  </si>
  <si>
    <t>2021W38/20-9</t>
  </si>
  <si>
    <t>2021W38/20-10</t>
  </si>
  <si>
    <t>2021W38/20-11</t>
  </si>
  <si>
    <t>2021W38/21-12</t>
  </si>
  <si>
    <t>2021W38/21-13</t>
  </si>
  <si>
    <t>2021W38/21-14</t>
  </si>
  <si>
    <t>2021W38/21-15</t>
  </si>
  <si>
    <t>2021W38/21-16</t>
  </si>
  <si>
    <t>2021W38/21-17</t>
  </si>
  <si>
    <t>2021W38/21-18</t>
  </si>
  <si>
    <t>2021W38/21-19</t>
  </si>
  <si>
    <t>2021W38/21-1</t>
  </si>
  <si>
    <t>2021W38/21-2,1</t>
  </si>
  <si>
    <t>2021W38/21-2,2</t>
  </si>
  <si>
    <t>2021W38/21-3</t>
  </si>
  <si>
    <t>2021W38/21-4</t>
  </si>
  <si>
    <t>2021W38/21-</t>
  </si>
  <si>
    <t>W39</t>
  </si>
  <si>
    <t>2021W39/29-1</t>
  </si>
  <si>
    <t>2021W39/29-2</t>
  </si>
  <si>
    <t>2021W39/29-3</t>
  </si>
  <si>
    <t>2021W39/29-4</t>
  </si>
  <si>
    <t>2021W39/29-5</t>
  </si>
  <si>
    <t>2021W39/29-</t>
  </si>
  <si>
    <t>W41</t>
  </si>
  <si>
    <t>2021W41/15-1</t>
  </si>
  <si>
    <t>2021W41/15-2</t>
  </si>
  <si>
    <t>2021W41/15-3</t>
  </si>
  <si>
    <t>2021W41/15-</t>
  </si>
  <si>
    <t>W42</t>
  </si>
  <si>
    <t>2021W42/21-1</t>
  </si>
  <si>
    <t>2021W42/21-2</t>
  </si>
  <si>
    <t>2021W42/21-3</t>
  </si>
  <si>
    <t>2021W42/21-4</t>
  </si>
  <si>
    <t>2021W42/21-</t>
  </si>
  <si>
    <t>W44</t>
  </si>
  <si>
    <t>2021W44/05-1A</t>
  </si>
  <si>
    <t>1,1,0</t>
  </si>
  <si>
    <t>2021W44/05-1B</t>
  </si>
  <si>
    <t>2021W44/05-2</t>
  </si>
  <si>
    <t>2021W44/05-3A</t>
  </si>
  <si>
    <t>2021W44/05-03B</t>
  </si>
  <si>
    <t>3C</t>
  </si>
  <si>
    <t>2021W44/05-03C</t>
  </si>
  <si>
    <t>2021W44/05-</t>
  </si>
  <si>
    <t>2021W44/05-1</t>
  </si>
  <si>
    <t>W47</t>
  </si>
  <si>
    <t>2021W47/25-1</t>
  </si>
  <si>
    <t>2021W47/25-2</t>
  </si>
  <si>
    <t>2021W47/25-3</t>
  </si>
  <si>
    <t>2021W47/25-4</t>
  </si>
  <si>
    <t>2021W47/25-05</t>
  </si>
  <si>
    <t>2021W47/25-06</t>
  </si>
  <si>
    <t>2021W47/25-7</t>
  </si>
  <si>
    <t>2021W47/25-8</t>
  </si>
  <si>
    <t>2021W47/25-9</t>
  </si>
  <si>
    <t>2021W47/25-10</t>
  </si>
  <si>
    <t>2021W47/25-</t>
  </si>
  <si>
    <t>2021W47/26-1</t>
  </si>
  <si>
    <t>2021W47/26-2</t>
  </si>
  <si>
    <t>2021W47/26-3</t>
  </si>
  <si>
    <t>2021W47/26-4</t>
  </si>
  <si>
    <t>2021W47/26-5</t>
  </si>
  <si>
    <t>2021W47/26-6</t>
  </si>
  <si>
    <t>2021W47/26-7</t>
  </si>
  <si>
    <t>2021W47/26-</t>
  </si>
  <si>
    <t>W48</t>
  </si>
  <si>
    <t>2021W48/02-1</t>
  </si>
  <si>
    <t>2021W48/02-2</t>
  </si>
  <si>
    <t>2021W48/02-3</t>
  </si>
  <si>
    <t>2021W48/02-4</t>
  </si>
  <si>
    <t>2021W48/02-5</t>
  </si>
  <si>
    <t>2021W48/02-</t>
  </si>
  <si>
    <t>W49</t>
  </si>
  <si>
    <t>2021W49/06-1A</t>
  </si>
  <si>
    <t>2021W49/06-1B</t>
  </si>
  <si>
    <t>2021W49/06-1C</t>
  </si>
  <si>
    <t>2021W49/06-1D</t>
  </si>
  <si>
    <t>1E</t>
  </si>
  <si>
    <t>2021W49/06-1E</t>
  </si>
  <si>
    <t>1F</t>
  </si>
  <si>
    <t>2021W49/06-1F</t>
  </si>
  <si>
    <t>1G</t>
  </si>
  <si>
    <t>2021W49/06-1G</t>
  </si>
  <si>
    <t>1H</t>
  </si>
  <si>
    <t>2021W49/06-1H</t>
  </si>
  <si>
    <t>1I</t>
  </si>
  <si>
    <t>2021W49/06-1I</t>
  </si>
  <si>
    <t>2021W49/06-2</t>
  </si>
  <si>
    <t>2021W49/06-3</t>
  </si>
  <si>
    <t>2021W49/06-4</t>
  </si>
  <si>
    <t>2021W49/06-</t>
  </si>
  <si>
    <t>2021W49/07-1</t>
  </si>
  <si>
    <t>2021W49/07-2</t>
  </si>
  <si>
    <t>2021W49/07-3</t>
  </si>
  <si>
    <t>2021W49/07-4</t>
  </si>
  <si>
    <t>2021W49/07-5</t>
  </si>
  <si>
    <t>2021W49/07-6</t>
  </si>
  <si>
    <t>2021W49/07-7</t>
  </si>
  <si>
    <t>2021W49/07-8</t>
  </si>
  <si>
    <t>2021W49/07-9A</t>
  </si>
  <si>
    <t>2021W49/07-9B</t>
  </si>
  <si>
    <t>2021W49/07-10</t>
  </si>
  <si>
    <t>2021W49/07-11</t>
  </si>
  <si>
    <t>2021W49/07-12</t>
  </si>
  <si>
    <t>2021W49/07-</t>
  </si>
  <si>
    <t>W50</t>
  </si>
  <si>
    <t>2021W50/14-1</t>
  </si>
  <si>
    <t>2021W50/14-2</t>
  </si>
  <si>
    <t>2021W50/14-3</t>
  </si>
  <si>
    <t>2021W50/14-4</t>
  </si>
  <si>
    <t>2021W50/14-5</t>
  </si>
  <si>
    <t>2021W50/15-1A</t>
  </si>
  <si>
    <t>2021W50/15-2A</t>
  </si>
  <si>
    <t>2021W50/15-3A</t>
  </si>
  <si>
    <t>2021W50/15-4A</t>
  </si>
  <si>
    <t>jet gaz vers est</t>
  </si>
  <si>
    <t>2021W50/15-5A</t>
  </si>
  <si>
    <t>6A</t>
  </si>
  <si>
    <t>2021W50/15-6A</t>
  </si>
  <si>
    <t>jet gaz vers nord</t>
  </si>
  <si>
    <t>2021W50/15-7A</t>
  </si>
  <si>
    <t>2021W50/15-08A</t>
  </si>
  <si>
    <t>2021W50/15-09A</t>
  </si>
  <si>
    <t>2021W50/15-10A</t>
  </si>
  <si>
    <t>2021W50/15-11A</t>
  </si>
  <si>
    <t>2021W50/15-12A</t>
  </si>
  <si>
    <t>13A</t>
  </si>
  <si>
    <t>2021W50/15-13A</t>
  </si>
  <si>
    <t>14A</t>
  </si>
  <si>
    <t>2021W50/15-14A</t>
  </si>
  <si>
    <t>15A</t>
  </si>
  <si>
    <t>2021W50/15-15A</t>
  </si>
  <si>
    <t>16A</t>
  </si>
  <si>
    <t>2021W50/15-16A</t>
  </si>
  <si>
    <t>2021W50/15-1B</t>
  </si>
  <si>
    <t>2021W50/15-2B</t>
  </si>
  <si>
    <t>2021W50/15-4B</t>
  </si>
  <si>
    <t>2021W50/15-5B</t>
  </si>
  <si>
    <t>6B</t>
  </si>
  <si>
    <t>2021W50/15-6B</t>
  </si>
  <si>
    <t>2021W50/15-7B</t>
  </si>
  <si>
    <t>2021W50/15-08B</t>
  </si>
  <si>
    <t>jet gaz vers sud</t>
  </si>
  <si>
    <t>2021W50/15-09B</t>
  </si>
  <si>
    <t>2021W50/15-10B</t>
  </si>
  <si>
    <t>2021W50/15-11B</t>
  </si>
  <si>
    <t>2021W50/15-12B</t>
  </si>
  <si>
    <t>13B</t>
  </si>
  <si>
    <t>2021W50/15-13B</t>
  </si>
  <si>
    <t>14B</t>
  </si>
  <si>
    <t>2021W50/15-14B</t>
  </si>
  <si>
    <t>15B</t>
  </si>
  <si>
    <t>2021W50/15-15B</t>
  </si>
  <si>
    <t>16B</t>
  </si>
  <si>
    <t>2021W50/15-16B</t>
  </si>
  <si>
    <t>2021W50/15-1C</t>
  </si>
  <si>
    <t>2021W50/15-2C</t>
  </si>
  <si>
    <t>2021W50/15-3C</t>
  </si>
  <si>
    <t>4C</t>
  </si>
  <si>
    <t>2021W50/15-4C</t>
  </si>
  <si>
    <t>2021W50/15-5C</t>
  </si>
  <si>
    <t>6C</t>
  </si>
  <si>
    <t>2021W50/15-6C</t>
  </si>
  <si>
    <t>2021W50/15-7C</t>
  </si>
  <si>
    <t>8C</t>
  </si>
  <si>
    <t>2021W50/15-08C</t>
  </si>
  <si>
    <t>2021W50/15-09C</t>
  </si>
  <si>
    <t>10C</t>
  </si>
  <si>
    <t>2021W50/15-10C</t>
  </si>
  <si>
    <t>2021W50/15-11C</t>
  </si>
  <si>
    <t>12C</t>
  </si>
  <si>
    <t>2021W50/15-12C</t>
  </si>
  <si>
    <t>13C</t>
  </si>
  <si>
    <t>2021W50/15-13C</t>
  </si>
  <si>
    <t>14C</t>
  </si>
  <si>
    <t>2021W50/15-14C</t>
  </si>
  <si>
    <t>15C</t>
  </si>
  <si>
    <t>2021W50/15-15C</t>
  </si>
  <si>
    <t>16C</t>
  </si>
  <si>
    <t>2021W50/15-16C</t>
  </si>
  <si>
    <t>2021W50/15-17</t>
  </si>
  <si>
    <t>2021W50/15-18</t>
  </si>
  <si>
    <t>2021W50/15-</t>
  </si>
  <si>
    <t>2022W3/19-01</t>
  </si>
  <si>
    <t>2022W3/19-02</t>
  </si>
  <si>
    <t>2022W3/19-03</t>
  </si>
  <si>
    <t>2022W3/19-04</t>
  </si>
  <si>
    <t>2022W3/19-05</t>
  </si>
  <si>
    <t>2022W3/19-06</t>
  </si>
  <si>
    <t>W04</t>
  </si>
  <si>
    <t>2022W04/25-01A</t>
  </si>
  <si>
    <t>Emission vers l'est</t>
  </si>
  <si>
    <t>2022W04/25-01B</t>
  </si>
  <si>
    <t>2022W04/25-01C</t>
  </si>
  <si>
    <t>2022W04/25-01D</t>
  </si>
  <si>
    <t>2022W04/25-01E</t>
  </si>
  <si>
    <t>2022W04/25-01F</t>
  </si>
  <si>
    <t>2022W04/25-02</t>
  </si>
  <si>
    <t>2022W04/25-03</t>
  </si>
  <si>
    <t>Emission vers le nord</t>
  </si>
  <si>
    <t>2022W04/25-04</t>
  </si>
  <si>
    <t>2022W04/25-05</t>
  </si>
  <si>
    <t>2022W04/25-06A</t>
  </si>
  <si>
    <t>2022W04/25-06B</t>
  </si>
  <si>
    <t>2022W04/25-06C</t>
  </si>
  <si>
    <t>2022W04/25-07A</t>
  </si>
  <si>
    <t>2022W04/25-07B</t>
  </si>
  <si>
    <t>2022W04/25-07C</t>
  </si>
  <si>
    <t>2022W04/25-08</t>
  </si>
  <si>
    <t>2022W04/25-09</t>
  </si>
  <si>
    <t>2022W04/25-10A</t>
  </si>
  <si>
    <t>2022W04/25-10B</t>
  </si>
  <si>
    <t>2022W04/25-10C</t>
  </si>
  <si>
    <t>2022W04/25-11A</t>
  </si>
  <si>
    <t>2022W04/25-11B</t>
  </si>
  <si>
    <t>2022W04/25-11C</t>
  </si>
  <si>
    <t>2022W04/25-11D</t>
  </si>
  <si>
    <t>2022W04/25-11E</t>
  </si>
  <si>
    <t>2022W04/25-11F</t>
  </si>
  <si>
    <t>2022W04/25-11G</t>
  </si>
  <si>
    <t>2022W04/25-11H</t>
  </si>
  <si>
    <t>2022W04/25-</t>
  </si>
  <si>
    <t>Atm</t>
  </si>
  <si>
    <t>2022W04/01-01</t>
  </si>
  <si>
    <t>2022W04/01-02</t>
  </si>
  <si>
    <t>2022W04/01-03</t>
  </si>
  <si>
    <t>2022W04/01-04</t>
  </si>
  <si>
    <t>2022W04/01-05</t>
  </si>
  <si>
    <t>2022W04/01-06</t>
  </si>
  <si>
    <t>2022W04/01-07</t>
  </si>
  <si>
    <t>2022W04/01-08</t>
  </si>
  <si>
    <t>2022W04/01-09</t>
  </si>
  <si>
    <t>2022W04/01-10</t>
  </si>
  <si>
    <t>2022W04/01-11</t>
  </si>
  <si>
    <t>2022W04/01-12</t>
  </si>
  <si>
    <t>2022W04/01-13</t>
  </si>
  <si>
    <t>2022W04/01-14</t>
  </si>
  <si>
    <t>2022W04/01-15</t>
  </si>
  <si>
    <t>2022W04/01-16</t>
  </si>
  <si>
    <t>2022W04/01-17</t>
  </si>
  <si>
    <t>2022W04/01-18</t>
  </si>
  <si>
    <t>2022W04/01-19</t>
  </si>
  <si>
    <t>2022W04/01-20</t>
  </si>
  <si>
    <t>2022W04/01-21</t>
  </si>
  <si>
    <t>2022W04/01-22</t>
  </si>
  <si>
    <t>2022W04/01-23</t>
  </si>
  <si>
    <t>2022W04/01-24</t>
  </si>
  <si>
    <t>2022W04/01-25</t>
  </si>
  <si>
    <t>2022W04/02-01A</t>
  </si>
  <si>
    <t>2022W04/02-01B</t>
  </si>
  <si>
    <t>2022W04/02-01C</t>
  </si>
  <si>
    <t>2022W04/02-01D</t>
  </si>
  <si>
    <t>Emission vers le sud</t>
  </si>
  <si>
    <t>2022W04/02-01E</t>
  </si>
  <si>
    <t>2022W04/02-01F</t>
  </si>
  <si>
    <t>2022W04/02-02A</t>
  </si>
  <si>
    <t>FCV010/XOV401</t>
  </si>
  <si>
    <t>2022W04/02-02B</t>
  </si>
  <si>
    <t>FCV005/XOV401</t>
  </si>
  <si>
    <t>2022W04/02-02C</t>
  </si>
  <si>
    <t>2022W04/02-02D</t>
  </si>
  <si>
    <t>2022W04/02-03A</t>
  </si>
  <si>
    <t>2022W04/02-03B</t>
  </si>
  <si>
    <t>2022W04/02-04</t>
  </si>
  <si>
    <t>2022W04/02-05A</t>
  </si>
  <si>
    <t>2022W04/02-05B</t>
  </si>
  <si>
    <t>2022W04/02-06A</t>
  </si>
  <si>
    <t>2022W04/02-06B</t>
  </si>
  <si>
    <t>2022W04/02-06C</t>
  </si>
  <si>
    <t>6D</t>
  </si>
  <si>
    <t>2022W04/02-06D</t>
  </si>
  <si>
    <t>2022W04/02-07A</t>
  </si>
  <si>
    <t>2022W04/02-07B</t>
  </si>
  <si>
    <t>2022W04/02-07C</t>
  </si>
  <si>
    <t>2022W04/02-08A</t>
  </si>
  <si>
    <t>2022W04/02-08B</t>
  </si>
  <si>
    <t>2022W04/02-08C</t>
  </si>
  <si>
    <t>2022W04/02-09A</t>
  </si>
  <si>
    <t>2022W04/02-09B</t>
  </si>
  <si>
    <t>2022W04/02-</t>
  </si>
  <si>
    <t>2022W04/02-10</t>
  </si>
  <si>
    <t>2022W04/02-11A</t>
  </si>
  <si>
    <t>2022W04/02-11B</t>
  </si>
  <si>
    <t>2022W04/02-11C</t>
  </si>
  <si>
    <t>2022W04/02-12A</t>
  </si>
  <si>
    <t>2022W04/02-12B</t>
  </si>
  <si>
    <t>W08</t>
  </si>
  <si>
    <t>2022W08/24-01</t>
  </si>
  <si>
    <t>2022W08/24-02</t>
  </si>
  <si>
    <t>2022W08/24-03</t>
  </si>
  <si>
    <t>2022W08/24-04</t>
  </si>
  <si>
    <t>2022W08/24-05A</t>
  </si>
  <si>
    <t>2022W08/24-05B</t>
  </si>
  <si>
    <t>2022W08/24-06</t>
  </si>
  <si>
    <t>2022W08/24-07</t>
  </si>
  <si>
    <t>2022W08/24-08A</t>
  </si>
  <si>
    <t>2022W08/24-08B</t>
  </si>
  <si>
    <t>2022W08/24-08C</t>
  </si>
  <si>
    <t>2022W08/24-09A</t>
  </si>
  <si>
    <t>2022W08/24-09B</t>
  </si>
  <si>
    <t>2022W08/24-09C</t>
  </si>
  <si>
    <t>2022W08/24-10</t>
  </si>
  <si>
    <t>2022W08/24-</t>
  </si>
  <si>
    <t>2022W13/31-01A</t>
  </si>
  <si>
    <t>2022W13/31-01B</t>
  </si>
  <si>
    <t>2022W13/31-01C</t>
  </si>
  <si>
    <t>FCV005/XOV402</t>
  </si>
  <si>
    <t>2022W13/31-02A</t>
  </si>
  <si>
    <t>2022W13/31-02B</t>
  </si>
  <si>
    <t>2022W13/31-02C</t>
  </si>
  <si>
    <t>2022W13/31-03</t>
  </si>
  <si>
    <t>2022W13/31-04A</t>
  </si>
  <si>
    <t>2022W13/31-04B</t>
  </si>
  <si>
    <t>2022W13/31-04C</t>
  </si>
  <si>
    <t>2022W13/31-05A</t>
  </si>
  <si>
    <t>2022W13/31-05B</t>
  </si>
  <si>
    <t>2022W13/31-05C</t>
  </si>
  <si>
    <t>2022W13/31-06A</t>
  </si>
  <si>
    <t>2022W13/31-06B</t>
  </si>
  <si>
    <t>2022W13/31-</t>
  </si>
  <si>
    <t>W14</t>
  </si>
  <si>
    <t>2022W14/05-01</t>
  </si>
  <si>
    <t>2022W14/05-02</t>
  </si>
  <si>
    <t>2022W14/06-01</t>
  </si>
  <si>
    <t>2022W14/06-02</t>
  </si>
  <si>
    <t>2022W14/06-03</t>
  </si>
  <si>
    <t>2022W14/06-04</t>
  </si>
  <si>
    <t>2022W14/06-05</t>
  </si>
  <si>
    <t>2022W14/06-06</t>
  </si>
  <si>
    <t>2022W14/06-07</t>
  </si>
  <si>
    <t>2022W14/06-08A</t>
  </si>
  <si>
    <t>2022W14/06-08B</t>
  </si>
  <si>
    <t>2022W14/06-09</t>
  </si>
  <si>
    <t>2022W14/06-10</t>
  </si>
  <si>
    <t>2022W14/06-11</t>
  </si>
  <si>
    <t>2022W14/06-12</t>
  </si>
  <si>
    <t>2022W14/06-13</t>
  </si>
  <si>
    <t>2022W14/06-14</t>
  </si>
  <si>
    <t>2022W14/06-15</t>
  </si>
  <si>
    <t>2022W14/06-16</t>
  </si>
  <si>
    <t>2022W14/06-</t>
  </si>
  <si>
    <t>2022W15/12-01</t>
  </si>
  <si>
    <t>2022W15/12-02</t>
  </si>
  <si>
    <t>2022W15/12-03</t>
  </si>
  <si>
    <t>2022W15/12-04</t>
  </si>
  <si>
    <t>2022W15/12-</t>
  </si>
  <si>
    <t>2022W18/04-01</t>
  </si>
  <si>
    <t>2022W18/04-02</t>
  </si>
  <si>
    <t>2022W18/04-03</t>
  </si>
  <si>
    <t>2022W18/04-04</t>
  </si>
  <si>
    <t>2022W18/04-05</t>
  </si>
  <si>
    <t>2022W18/04-06</t>
  </si>
  <si>
    <t>2022W18/04-07</t>
  </si>
  <si>
    <t>2022W18/04-08</t>
  </si>
  <si>
    <t>2022W18/04-09</t>
  </si>
  <si>
    <t>2022W18/04-10</t>
  </si>
  <si>
    <t>2022W18/04-11</t>
  </si>
  <si>
    <t>2022W18/04-12</t>
  </si>
  <si>
    <t>2022W18/04-13</t>
  </si>
  <si>
    <t>2022W18/04-14</t>
  </si>
  <si>
    <t>2022W18/04-15</t>
  </si>
  <si>
    <t>2022W18/04-16</t>
  </si>
  <si>
    <t>2022W18/04-17</t>
  </si>
  <si>
    <t>2022W18/04-18</t>
  </si>
  <si>
    <t>2022W18/04-19</t>
  </si>
  <si>
    <t>2022W18/04-20</t>
  </si>
  <si>
    <t>W20</t>
  </si>
  <si>
    <t>2022W20/16-01</t>
  </si>
  <si>
    <t>2022W20/16-02</t>
  </si>
  <si>
    <t>2022W20/16-03</t>
  </si>
  <si>
    <t>2022W20/16-</t>
  </si>
  <si>
    <t>2022W23/08-01</t>
  </si>
  <si>
    <t>2022W23/08-02</t>
  </si>
  <si>
    <t>2022W23/08-03</t>
  </si>
  <si>
    <t>2022W23/08-04</t>
  </si>
  <si>
    <t>2022W23/08-05</t>
  </si>
  <si>
    <t>2022W23/08-06</t>
  </si>
  <si>
    <t>2022W23/08-07</t>
  </si>
  <si>
    <t>2022W23/08-08</t>
  </si>
  <si>
    <t>2022W23/08-09</t>
  </si>
  <si>
    <t>2022W23/08-10</t>
  </si>
  <si>
    <t>2022W23/08-</t>
  </si>
  <si>
    <t>2022W25/21-01</t>
  </si>
  <si>
    <t>2022W25/21-02</t>
  </si>
  <si>
    <t>2022W25/21-03</t>
  </si>
  <si>
    <t>2022W25/21-04A</t>
  </si>
  <si>
    <t>2022W25/21-04B</t>
  </si>
  <si>
    <t>2022W25/21-05</t>
  </si>
  <si>
    <t>2022W25/21-06</t>
  </si>
  <si>
    <t>2022W25/22-07A</t>
  </si>
  <si>
    <t>2022W25/22-07B</t>
  </si>
  <si>
    <t>2022W25/22-08A</t>
  </si>
  <si>
    <t>2022W25/22-08B</t>
  </si>
  <si>
    <t>2022W25/22-09</t>
  </si>
  <si>
    <t>2022W25/22-10</t>
  </si>
  <si>
    <t>2022W25/22-11A</t>
  </si>
  <si>
    <t>2022W25/22-11B</t>
  </si>
  <si>
    <t>2022W25/22-12</t>
  </si>
  <si>
    <t>2022W25/23-13</t>
  </si>
  <si>
    <t>2022W25/23-15A</t>
  </si>
  <si>
    <t>2022W25/23-15B</t>
  </si>
  <si>
    <t>2022W25/23-16</t>
  </si>
  <si>
    <t>2022W25/23-17</t>
  </si>
  <si>
    <t>2022W25/23-18</t>
  </si>
  <si>
    <t>2022W25/24-19</t>
  </si>
  <si>
    <t>2022W25/24-20</t>
  </si>
  <si>
    <t>2022W25/24-</t>
  </si>
  <si>
    <t>W26</t>
  </si>
  <si>
    <t>2022W26/28-01</t>
  </si>
  <si>
    <t>2022W26/28-02</t>
  </si>
  <si>
    <t>2022W26/28-03</t>
  </si>
  <si>
    <t>2022W26/28-04</t>
  </si>
  <si>
    <t>2022W26/28-</t>
  </si>
  <si>
    <t>2022W26/01-01</t>
  </si>
  <si>
    <t>2022W26/01-02</t>
  </si>
  <si>
    <t>2022W26/01-</t>
  </si>
  <si>
    <t>2022W27/04-01</t>
  </si>
  <si>
    <t>2022W27/04-02</t>
  </si>
  <si>
    <t>2022W27/04-03</t>
  </si>
  <si>
    <t>2022W27/04-04</t>
  </si>
  <si>
    <t>2022W27/04-05</t>
  </si>
  <si>
    <t>2022W27/04-06</t>
  </si>
  <si>
    <t>2022W27/04-07</t>
  </si>
  <si>
    <t>2022W27/04-08</t>
  </si>
  <si>
    <t>2022W27/04-09</t>
  </si>
  <si>
    <t>2022W27/04-10</t>
  </si>
  <si>
    <t>2022W27/04-11</t>
  </si>
  <si>
    <t>2022W27/05-01</t>
  </si>
  <si>
    <t>2022W27/05-02</t>
  </si>
  <si>
    <t>2022W27/05-03</t>
  </si>
  <si>
    <t>2022W27/05-04</t>
  </si>
  <si>
    <t>2022W27/05-05</t>
  </si>
  <si>
    <t>2022W27/05-06</t>
  </si>
  <si>
    <t>2022W27/06-01</t>
  </si>
  <si>
    <t>2022W27/06-02</t>
  </si>
  <si>
    <t>2022W27/06-03</t>
  </si>
  <si>
    <t>2022W27/06-04</t>
  </si>
  <si>
    <t>2022W27/07-01</t>
  </si>
  <si>
    <t>2022W27/07-02</t>
  </si>
  <si>
    <t>2022W27/07-03</t>
  </si>
  <si>
    <t>2022W27/07-04</t>
  </si>
  <si>
    <t>2022W27/07-05A</t>
  </si>
  <si>
    <t>2022W27/07-05B</t>
  </si>
  <si>
    <t>2022W27/07-06</t>
  </si>
  <si>
    <t>2022W27/07-</t>
  </si>
  <si>
    <t>2022W30/29-01</t>
  </si>
  <si>
    <t>2022W30/29-02</t>
  </si>
  <si>
    <t>2022W30/29-03</t>
  </si>
  <si>
    <t>2022W39/29-01</t>
  </si>
  <si>
    <t>2022W39/29-02</t>
  </si>
  <si>
    <t>2022W39/29-03</t>
  </si>
  <si>
    <t>2022W39/29-04</t>
  </si>
  <si>
    <t>2022W39/29-05</t>
  </si>
  <si>
    <t>2022W39/29-</t>
  </si>
  <si>
    <t>2022W41/10-01</t>
  </si>
  <si>
    <t>2022W41/10-02</t>
  </si>
  <si>
    <t>2022W41/10-03</t>
  </si>
  <si>
    <t>2022W41/11-01</t>
  </si>
  <si>
    <t>2022W41/11-02</t>
  </si>
  <si>
    <t>2022W41/11-</t>
  </si>
  <si>
    <t>2022W41/13-01</t>
  </si>
  <si>
    <t>2022W41/13-02</t>
  </si>
  <si>
    <t>2022W41/13-</t>
  </si>
  <si>
    <t>2022W42/18-01</t>
  </si>
  <si>
    <t>2022W42/18-02</t>
  </si>
  <si>
    <t>2022W42/18-03</t>
  </si>
  <si>
    <t>2022W42/18-04</t>
  </si>
  <si>
    <t>2022W42/18-05</t>
  </si>
  <si>
    <t>2022W42/18-06</t>
  </si>
  <si>
    <t>2022W42/18-07</t>
  </si>
  <si>
    <t>2022W42/18-08</t>
  </si>
  <si>
    <t>2022W42/18-09</t>
  </si>
  <si>
    <t>2022W42/18-10</t>
  </si>
  <si>
    <t>2022W42/18-11</t>
  </si>
  <si>
    <t>2022W42/18-12</t>
  </si>
  <si>
    <t>2022W42/18-13</t>
  </si>
  <si>
    <t>2022W42/18-14</t>
  </si>
  <si>
    <t>2022W42/18-15</t>
  </si>
  <si>
    <t>2022W42/19-16</t>
  </si>
  <si>
    <t>2022W42/19-17</t>
  </si>
  <si>
    <t>2022W42/19-18</t>
  </si>
  <si>
    <t>2022W42/19-19</t>
  </si>
  <si>
    <t>2022W42/19-20</t>
  </si>
  <si>
    <t>2022W42/19-21</t>
  </si>
  <si>
    <t>2022W42/19-22</t>
  </si>
  <si>
    <t>2022W42/19-23</t>
  </si>
  <si>
    <t>2022W42/19-24</t>
  </si>
  <si>
    <t>2022W42/19-25</t>
  </si>
  <si>
    <t>2022W42/19-26</t>
  </si>
  <si>
    <t>2022W42/19-27</t>
  </si>
  <si>
    <t>2022W42/19-28</t>
  </si>
  <si>
    <t>2022W42/19-29</t>
  </si>
  <si>
    <t>2022W42/19-30</t>
  </si>
  <si>
    <t>2022W42/21-01</t>
  </si>
  <si>
    <t>2022W42/21-02</t>
  </si>
  <si>
    <t>2022W42/21-03</t>
  </si>
  <si>
    <t>2022W42/21-04</t>
  </si>
  <si>
    <t>2022W42/21-05</t>
  </si>
  <si>
    <t>2022W42/21-06</t>
  </si>
  <si>
    <t>2022W42/21-07</t>
  </si>
  <si>
    <t>2022W42/21-08</t>
  </si>
  <si>
    <t>2022W42/21-</t>
  </si>
  <si>
    <t>2022W44/02-01</t>
  </si>
  <si>
    <t>2022W44/02-02</t>
  </si>
  <si>
    <t>2022W44/02-</t>
  </si>
  <si>
    <t>2022W44/02-03</t>
  </si>
  <si>
    <t>2022W44/02-04</t>
  </si>
  <si>
    <t>2022W44/02-05</t>
  </si>
  <si>
    <t>2022W44/02-06</t>
  </si>
  <si>
    <t>2022W44/02-07</t>
  </si>
  <si>
    <t>2022W44/02-08</t>
  </si>
  <si>
    <t>2022W44/02-09</t>
  </si>
  <si>
    <t>2022W44/02-10</t>
  </si>
  <si>
    <t>W45</t>
  </si>
  <si>
    <t>2022W45/07-01</t>
  </si>
  <si>
    <t>FT041</t>
  </si>
  <si>
    <t>2022W45/07-02</t>
  </si>
  <si>
    <t>FT042</t>
  </si>
  <si>
    <t>2022W45/07-03</t>
  </si>
  <si>
    <t>FT043</t>
  </si>
  <si>
    <t>2022W45/07-04</t>
  </si>
  <si>
    <t>2022W45/07-05</t>
  </si>
  <si>
    <t>2022W45/07-06</t>
  </si>
  <si>
    <t>2022W45/07-07A</t>
  </si>
  <si>
    <t>2022W45/07-07B</t>
  </si>
  <si>
    <t>2022W45/08-08A</t>
  </si>
  <si>
    <t>2022W45/08-08B</t>
  </si>
  <si>
    <t>2022W45/08-09</t>
  </si>
  <si>
    <t>2022W45/08-10</t>
  </si>
  <si>
    <t>2022W45/08-11</t>
  </si>
  <si>
    <t>2022W45/08-12A</t>
  </si>
  <si>
    <t>2022W45/08-12B</t>
  </si>
  <si>
    <t>2022W45/08-13</t>
  </si>
  <si>
    <t>2022W45/08-14</t>
  </si>
  <si>
    <t>2022W45/08-15</t>
  </si>
  <si>
    <t>2022W45/08-16</t>
  </si>
  <si>
    <t>Mobile Valve 3</t>
  </si>
  <si>
    <t>2022W45/08-17</t>
  </si>
  <si>
    <t>2022W45/08-18</t>
  </si>
  <si>
    <t>18bis</t>
  </si>
  <si>
    <t>2022W45/08-18bis</t>
  </si>
  <si>
    <t>2022W45/08-19</t>
  </si>
  <si>
    <t>2022W45/08-20</t>
  </si>
  <si>
    <t>2022W45/08-</t>
  </si>
  <si>
    <t>2022W48/01-01A</t>
  </si>
  <si>
    <t>2022W48/01-01B</t>
  </si>
  <si>
    <t>2022W48/01-02A</t>
  </si>
  <si>
    <t>2022W48/01-02B</t>
  </si>
  <si>
    <t>2022W48/01-03</t>
  </si>
  <si>
    <t>2022W48/01-04</t>
  </si>
  <si>
    <t>2022W48/01-</t>
  </si>
  <si>
    <t>2022W49/07-01</t>
  </si>
  <si>
    <t>2022W49/07-02</t>
  </si>
  <si>
    <t>2022W49/07-03</t>
  </si>
  <si>
    <t>2022W49/07-</t>
  </si>
  <si>
    <t>W02</t>
  </si>
  <si>
    <t>2023W02/11-01</t>
  </si>
  <si>
    <t>2023W02/11-02</t>
  </si>
  <si>
    <t>2023W02/11-03</t>
  </si>
  <si>
    <t>2023W02/11-</t>
  </si>
  <si>
    <t>2023W02/13-01</t>
  </si>
  <si>
    <t>2023W02/13-02</t>
  </si>
  <si>
    <t>2023W02/13-03</t>
  </si>
  <si>
    <t>2023W02/13-04</t>
  </si>
  <si>
    <t>2023W02/13-05</t>
  </si>
  <si>
    <t>2023W02/13-06</t>
  </si>
  <si>
    <t>2023W02/13-07</t>
  </si>
  <si>
    <t>2023W02/13-08</t>
  </si>
  <si>
    <t>2023W02/13-09</t>
  </si>
  <si>
    <t>2023W02/13-10</t>
  </si>
  <si>
    <t>2023W02/13-11</t>
  </si>
  <si>
    <t>2023W02/13-12</t>
  </si>
  <si>
    <t>2023W02/13-</t>
  </si>
  <si>
    <t>2023W04/23-01</t>
  </si>
  <si>
    <t>2023W04/23-02</t>
  </si>
  <si>
    <t>2023W04/23-03</t>
  </si>
  <si>
    <t>2023W04/23-04</t>
  </si>
  <si>
    <t>2023W04/23-</t>
  </si>
  <si>
    <t>2023W04/25-01</t>
  </si>
  <si>
    <t>2023W04/25-02</t>
  </si>
  <si>
    <t>2023W04/25-03</t>
  </si>
  <si>
    <t>2023W04/25-04</t>
  </si>
  <si>
    <t>2023W04/25-05</t>
  </si>
  <si>
    <t>2023W04/25-06</t>
  </si>
  <si>
    <t>2023W04/25-</t>
  </si>
  <si>
    <t>W05</t>
  </si>
  <si>
    <t>2023W05/30-01</t>
  </si>
  <si>
    <t>2023W05/30-02</t>
  </si>
  <si>
    <t>2023W05/30-03</t>
  </si>
  <si>
    <t>2023W05/30-04</t>
  </si>
  <si>
    <t>2023W05/30-05</t>
  </si>
  <si>
    <t>2023W05/30-06</t>
  </si>
  <si>
    <t>2023W05/30-</t>
  </si>
  <si>
    <t>2023W05/02-01</t>
  </si>
  <si>
    <t>2023W05/02-02</t>
  </si>
  <si>
    <t>2023W05/02-03</t>
  </si>
  <si>
    <t>2023W05/02-04</t>
  </si>
  <si>
    <t>2023W05/02-05</t>
  </si>
  <si>
    <t>2023W05/02-06</t>
  </si>
  <si>
    <t>2023W05/02-07</t>
  </si>
  <si>
    <t>2023W05/02-08</t>
  </si>
  <si>
    <t>2023W05/02-09</t>
  </si>
  <si>
    <t>2023W05/02-10</t>
  </si>
  <si>
    <t>Tubing 12 mm</t>
  </si>
  <si>
    <t>2023W05/02-</t>
  </si>
  <si>
    <t>2023W36/06-01</t>
  </si>
  <si>
    <t>52,5</t>
  </si>
  <si>
    <t>2023W36/06-02</t>
  </si>
  <si>
    <t>2023W36/06-03</t>
  </si>
  <si>
    <t>10</t>
  </si>
  <si>
    <t>2023W36/06-04</t>
  </si>
  <si>
    <t>2023W36/06-05</t>
  </si>
  <si>
    <t>2023W36/06-06</t>
  </si>
  <si>
    <t>2023W36/06-07</t>
  </si>
  <si>
    <t>2,5</t>
  </si>
  <si>
    <t>2023W36/06-08</t>
  </si>
  <si>
    <t>W17</t>
  </si>
  <si>
    <t>2024W17/23-01</t>
  </si>
  <si>
    <t>instable - émergence 5-10 dB  1-15 kHz</t>
  </si>
  <si>
    <t>Après-midi couverte sans pluie ; 13-14°C ; Vent 2 à 2,5 m/s puis 3,5 m/s, Direction changeante NE puis SO,</t>
  </si>
  <si>
    <t>30,37,38,39,40,56</t>
  </si>
  <si>
    <t>2024W17/23-03A</t>
  </si>
  <si>
    <t>30,34,36,37,38,39,40,56</t>
  </si>
  <si>
    <t>2024W17/23-03B</t>
  </si>
  <si>
    <t>2024W17/23-04</t>
  </si>
  <si>
    <t>2024W17/23-05</t>
  </si>
  <si>
    <t>2024W17/23-06</t>
  </si>
  <si>
    <t>Mobile Valve 3A</t>
  </si>
  <si>
    <t>émergence nulle</t>
  </si>
  <si>
    <t>2024W17/23-</t>
  </si>
  <si>
    <t>émergence 20-40 dB  large bande</t>
  </si>
  <si>
    <t>30,37,38,41,53</t>
  </si>
  <si>
    <t>30,34,36,37,38,40,41,53,56</t>
  </si>
  <si>
    <t>émergence 5-10 dB  1-15 kHz</t>
  </si>
  <si>
    <t>2024W17/25-07A</t>
  </si>
  <si>
    <t>émergence 5-20 dB  1-15 kHz</t>
  </si>
  <si>
    <t>Matinée et début après-midi couvert et sans pluie, ; 11-13°C ; Vent 1-1,5 m/s changeant,</t>
  </si>
  <si>
    <t>30,34,38,39,41</t>
  </si>
  <si>
    <t>30,34,36,37,38,39,40,41,53,56</t>
  </si>
  <si>
    <t>2024W17/25-07B</t>
  </si>
  <si>
    <t>2024W17/25-08A</t>
  </si>
  <si>
    <t>30,34,37,38,39,40,41,53,56</t>
  </si>
  <si>
    <t>2024W17/25-08B</t>
  </si>
  <si>
    <t>2024W17/25-10</t>
  </si>
  <si>
    <t>36,37,38,39,40,56</t>
  </si>
  <si>
    <t>2024W17/25-11A</t>
  </si>
  <si>
    <t>instable - émergence 5-10 dB  5-45 kHz</t>
  </si>
  <si>
    <t>37,38,39,40,56</t>
  </si>
  <si>
    <t>2024W17/25-11B</t>
  </si>
  <si>
    <t>2024W17/25-09A</t>
  </si>
  <si>
    <t>émergence 20-30 dB  1-15 kHz</t>
  </si>
  <si>
    <t>30,34,36,37,38,39,40,41,56</t>
  </si>
  <si>
    <t>2024W17/25-09B</t>
  </si>
  <si>
    <t>6bis</t>
  </si>
  <si>
    <t>2024W17/25-06bis</t>
  </si>
  <si>
    <t>2024W17/25-01bis</t>
  </si>
  <si>
    <t>2024W17/25-</t>
  </si>
  <si>
    <t>émergence 10-30 dB large bande</t>
  </si>
  <si>
    <t>30,36,37,38,39,41,53</t>
  </si>
  <si>
    <t>émergence 2-5 dB large bande</t>
  </si>
  <si>
    <t>30,41,53</t>
  </si>
  <si>
    <t>2024W20/15-01</t>
  </si>
  <si>
    <t>2</t>
  </si>
  <si>
    <t>émergence 5-30 dB  5-45 kHz</t>
  </si>
  <si>
    <t>Partiellement couvert avec éclaircies, sans pluie ; 13-14°C ; Vent 1,6-2 m/s du SSE</t>
  </si>
  <si>
    <t>34,36,40,41</t>
  </si>
  <si>
    <t>34,36,40,41,53</t>
  </si>
  <si>
    <t>2024W20/15-02</t>
  </si>
  <si>
    <t>34,39,40,41</t>
  </si>
  <si>
    <t>2024W20/15-03</t>
  </si>
  <si>
    <t>??</t>
  </si>
  <si>
    <t>2024W20/15-04</t>
  </si>
  <si>
    <t>émergence 5-3à dB large bande</t>
  </si>
  <si>
    <t>30,34,36,38,39,40,41,53,56</t>
  </si>
  <si>
    <t>2024W22/27-01</t>
  </si>
  <si>
    <t>émergence 20-70 dB large bande</t>
  </si>
  <si>
    <t>Après-midi couverte, sans pluie ; 18°C ; Vent 1,5-2,5 m/s du OSO</t>
  </si>
  <si>
    <t>2024W22/27-02</t>
  </si>
  <si>
    <t>2024W22/27-03</t>
  </si>
  <si>
    <t>émergence 20-60 dB large bande</t>
  </si>
  <si>
    <t>2024W22/27-04</t>
  </si>
  <si>
    <t>émergence 10-50 dB large bande</t>
  </si>
  <si>
    <t>2024W22/27-05</t>
  </si>
  <si>
    <t>émergence 10-40 dB large bande</t>
  </si>
  <si>
    <t>2024W22/27-06</t>
  </si>
  <si>
    <t>2024W22/27-07</t>
  </si>
  <si>
    <t xml:space="preserve">	34,36,37,38,39,40,41,53,56</t>
  </si>
  <si>
    <t>34,36,39,40,41,56</t>
  </si>
  <si>
    <t>2024W22/27-08</t>
  </si>
  <si>
    <t>34,36,38,39,40,56</t>
  </si>
  <si>
    <t>2024W22/27-09</t>
  </si>
  <si>
    <t>émergence 10-20 dB large bande</t>
  </si>
  <si>
    <t xml:space="preserve">	34,36,39,40</t>
  </si>
  <si>
    <t>2024W22/27-10</t>
  </si>
  <si>
    <t>émergence 5-10 dB large bande</t>
  </si>
  <si>
    <t>36,39,40,41,56</t>
  </si>
  <si>
    <t>2024W22/27-11</t>
  </si>
  <si>
    <t>2024W22/27-12</t>
  </si>
  <si>
    <t>2024W22/27-13</t>
  </si>
  <si>
    <t>2024W22/27-14</t>
  </si>
  <si>
    <t>émergence 20-55 dB large bande</t>
  </si>
  <si>
    <t>30,36,37,38,39,40,41,53</t>
  </si>
  <si>
    <t>2024W22/27-15</t>
  </si>
  <si>
    <t>émergence 20-50 dB large bande</t>
  </si>
  <si>
    <t>2024W22/27-16</t>
  </si>
  <si>
    <t>émergence 20-45 dB large bande</t>
  </si>
  <si>
    <t>2024W22/27-17</t>
  </si>
  <si>
    <t>émergence 15-40 dB large bande</t>
  </si>
  <si>
    <t>2024W22/27-</t>
  </si>
  <si>
    <t>30,34,36,37,38,39,40,41,53</t>
  </si>
  <si>
    <t>émergence 0-30 dB large bande</t>
  </si>
  <si>
    <t>W24</t>
  </si>
  <si>
    <t>2024W24/10-01</t>
  </si>
  <si>
    <t xml:space="preserve">émergence 10-20 dB 5-45 kHz </t>
  </si>
  <si>
    <t>Après-midi couverte avec éclaircies, sans pluie ; 25°C ; Vent SO, Vitesse inconnue (problème de communication avec le LIDAR)</t>
  </si>
  <si>
    <t>30,34,36,39,40,41,56</t>
  </si>
  <si>
    <t>36,39,40,56</t>
  </si>
  <si>
    <t>2024W24/10-02</t>
  </si>
  <si>
    <t xml:space="preserve"> émergence 10-15 dB large bande</t>
  </si>
  <si>
    <t>30,34,37,40,41,56</t>
  </si>
  <si>
    <t>30,34,36,37,39,40,56</t>
  </si>
  <si>
    <t>2024W24/10-03</t>
  </si>
  <si>
    <t>émergence 10-35 dB large bande</t>
  </si>
  <si>
    <t>2024W24/10-04</t>
  </si>
  <si>
    <t>2024W24/10-05</t>
  </si>
  <si>
    <t>émergence 5-25 dB 15-45 kHz</t>
  </si>
  <si>
    <t>34,36,37,38,39,40,41,56</t>
  </si>
  <si>
    <t>2024W24/10-06</t>
  </si>
  <si>
    <t>émergence 10-15 dB 15-45 kHz</t>
  </si>
  <si>
    <t>2024W24/14-01</t>
  </si>
  <si>
    <t>émergence 5-30 dB 5-45 kHz</t>
  </si>
  <si>
    <t>Matinée partiellmeent couverte, sans pluie ; 24 à 28°C ; Vent SSO - 2 à 2,5 m/s</t>
  </si>
  <si>
    <t>2024W24/14-02</t>
  </si>
  <si>
    <t>30,34,36,38,39,40,41,56</t>
  </si>
  <si>
    <t>2024W24/14-03</t>
  </si>
  <si>
    <t>émergence 5-40 dB 5-45 kHz</t>
  </si>
  <si>
    <t>34,36,41,53</t>
  </si>
  <si>
    <t>2024W24/14-04</t>
  </si>
  <si>
    <t>2024W24/14-05</t>
  </si>
  <si>
    <t>2024W24/14-</t>
  </si>
  <si>
    <t>émergence 5-15 dB large bande</t>
  </si>
  <si>
    <t>2024W25/17-01</t>
  </si>
  <si>
    <t xml:space="preserve"> émergence 10-50 dB large bande</t>
  </si>
  <si>
    <t>Sunny morning, no cloud ; Temp, 30°C ; Wind : 3-3,5 m/s, ESE</t>
  </si>
  <si>
    <t xml:space="preserve">	30,37,38,39,56</t>
  </si>
  <si>
    <t>2024W25/17-02</t>
  </si>
  <si>
    <t>emergence nulle</t>
  </si>
  <si>
    <t>2024W25/17-03</t>
  </si>
  <si>
    <t>Sunny afternoon, no cloud ; Temp, 32-35°C ; Wind :1,5-3,7 m/s, E / ESE</t>
  </si>
  <si>
    <t xml:space="preserve">        30,34,36,37,38,39,40,41,53,56</t>
  </si>
  <si>
    <t>2024W25/17-04</t>
  </si>
  <si>
    <t>2024W25/17-05</t>
  </si>
  <si>
    <t>instabilités (fuites courtes ?)</t>
  </si>
  <si>
    <t>2024W25/17-06</t>
  </si>
  <si>
    <t xml:space="preserve"> émergence 10-30 dB &gt; 5 kHz</t>
  </si>
  <si>
    <t>34,36,39,40,41</t>
  </si>
  <si>
    <t>30,34,36,39,40</t>
  </si>
  <si>
    <t>2024W25/17-07</t>
  </si>
  <si>
    <t xml:space="preserve"> émergence 10-30 dB large bande</t>
  </si>
  <si>
    <t>2024W25/18-01</t>
  </si>
  <si>
    <t>émergence 5-20 dB large bande</t>
  </si>
  <si>
    <t>Morning without rain, partly cloudy and becoming more en more sunny ; Temp, 22-24°C ; Wind : 1,4 - 2,6 m/s, SW, at 11h 2,5 m/s SSE</t>
  </si>
  <si>
    <t>2024W25/18-02</t>
  </si>
  <si>
    <t>30,34,36,38,39,40,41</t>
  </si>
  <si>
    <t>2024W25/18-03</t>
  </si>
  <si>
    <t>émergence 5-20 dB 5-45 kHz</t>
  </si>
  <si>
    <t>30,34,36,38,39,41,53</t>
  </si>
  <si>
    <t>2024W25/18-04</t>
  </si>
  <si>
    <t>émergence 5-10 dB 5-15 kHz</t>
  </si>
  <si>
    <t xml:space="preserve">	30,34,38,41</t>
  </si>
  <si>
    <t>30,34,36,38,39,40,41,5,56</t>
  </si>
  <si>
    <t>2024W25/18-05</t>
  </si>
  <si>
    <t>Partly cloudy afternoon, sunny around 16h ; Temp, 31-32°C ; Wind : 2-3,5 m/s, E / ENE</t>
  </si>
  <si>
    <t>30,38,39,40,41</t>
  </si>
  <si>
    <t>2024W25/18-06</t>
  </si>
  <si>
    <t xml:space="preserve">	30,34,36,38,41</t>
  </si>
  <si>
    <t>2024W25/18-07</t>
  </si>
  <si>
    <t>émergence 5-10 dB 5-45 kHz - instable (vent)</t>
  </si>
  <si>
    <t>30,38,41,53</t>
  </si>
  <si>
    <t>2024W25/18-08</t>
  </si>
  <si>
    <t>30,38,39,40,41,56</t>
  </si>
  <si>
    <t>2024W25/18-09</t>
  </si>
  <si>
    <t>2024W25/19-01</t>
  </si>
  <si>
    <t>émergence 5-15 dB 5-45 kHz</t>
  </si>
  <si>
    <t>Cloudy morning, wet, without rain ; Temp, 18-22°C ; Wind : 1,0 - 3,0 m/s, W / WSW</t>
  </si>
  <si>
    <t>30,38,39,40,56</t>
  </si>
  <si>
    <t>38,39,40</t>
  </si>
  <si>
    <t>2024W25/19-02</t>
  </si>
  <si>
    <t xml:space="preserve">	36,38,39,40,56</t>
  </si>
  <si>
    <t>36,38,39,40</t>
  </si>
  <si>
    <t>2024W25/19-03</t>
  </si>
  <si>
    <t>30,38,41,56</t>
  </si>
  <si>
    <t>30,34,36,38,39,40,41,53</t>
  </si>
  <si>
    <t>2024W25/19-05</t>
  </si>
  <si>
    <t>Cloudy afternoon, without rain ; Temp, 23-25°C ; Wind : 3-4 m/s, WSW</t>
  </si>
  <si>
    <t>2024W25/19-06</t>
  </si>
  <si>
    <t>30,34,36,38,39,41</t>
  </si>
  <si>
    <t>2024W25/19-07</t>
  </si>
  <si>
    <t>2024W25/19-08</t>
  </si>
  <si>
    <t>émergence 5-25 dB large bande</t>
  </si>
  <si>
    <t>30,34,36,38,39,40,56</t>
  </si>
  <si>
    <t>34,36,38,39,40,41,53</t>
  </si>
  <si>
    <t>2024W25/20-01</t>
  </si>
  <si>
    <t>Very rainy morning, Temp, 15-16°C ; Very low speed wind (no speed measuring), SSE, at 12h 2-2,5 m/s, E</t>
  </si>
  <si>
    <t>30,34,38,41</t>
  </si>
  <si>
    <t>2024W25/20-02</t>
  </si>
  <si>
    <t>émergence 2-5 dB 1-15 kHz</t>
  </si>
  <si>
    <t>30,34,37,38,41,56</t>
  </si>
  <si>
    <t>2024W25/20-03</t>
  </si>
  <si>
    <t>30,34,36,37,38,41</t>
  </si>
  <si>
    <t>2024W25/20-04</t>
  </si>
  <si>
    <t>émergence 5-10 dB 1-15 kHz</t>
  </si>
  <si>
    <t>30,38,53</t>
  </si>
  <si>
    <t>2024W25/20-05</t>
  </si>
  <si>
    <t>Rainy afternoon ; Temp, 15-16°C ; Wind : 2-2,5 m/s, E / SE</t>
  </si>
  <si>
    <t>30,36,37,39,40,56</t>
  </si>
  <si>
    <t>2024W25/20-06</t>
  </si>
  <si>
    <t>émergence 5-30 dB large bande</t>
  </si>
  <si>
    <t>34, 36, 37,39,40,53,56</t>
  </si>
  <si>
    <t>2024W25/20-07</t>
  </si>
  <si>
    <t>émergence 10-20 dB 1-5 kHz</t>
  </si>
  <si>
    <t>30,37,38,41</t>
  </si>
  <si>
    <t>2024W25/20-08</t>
  </si>
  <si>
    <t>émergence 5-10 dB 1-5 kHz</t>
  </si>
  <si>
    <t xml:space="preserve">	34,37,38,41,53</t>
  </si>
  <si>
    <t>2024W25/21-01</t>
  </si>
  <si>
    <t>instable - émergence 5-10 dB 1-5 kHz</t>
  </si>
  <si>
    <t>Morning very cloudy with some rains ; Temp, 18-19°C ; Wind : 3,5-5,5 m/s, W/WSW</t>
  </si>
  <si>
    <t>30,36,38,39,40,56</t>
  </si>
  <si>
    <t>39,40,56</t>
  </si>
  <si>
    <t>2024W25/21-02</t>
  </si>
  <si>
    <t>30,34,38,39,40,41,56</t>
  </si>
  <si>
    <t>30,34,36,38,41,53,56</t>
  </si>
  <si>
    <t>2024W25/21-03</t>
  </si>
  <si>
    <t>émergence 10-30 dB 5-45 kHz à 11:40</t>
  </si>
  <si>
    <t>2024W25/21-04</t>
  </si>
  <si>
    <t>émergence 10-30 dB 5-45 kHz à 12:40</t>
  </si>
  <si>
    <t>38,39,40,56</t>
  </si>
  <si>
    <t>2024W25/21-05</t>
  </si>
  <si>
    <t>émergence 10-20 dB 1-15 kHz</t>
  </si>
  <si>
    <t>Afternoon very cloudy with some rains ; Temp, 18-20°C ; Wind : 3,5-5,5 m/s, W/WSW</t>
  </si>
  <si>
    <t>34,36,38,39,40,41,56</t>
  </si>
  <si>
    <t>2024W25/21-06</t>
  </si>
  <si>
    <t>émergence 15-20 dB 1-5 kHz à 14:40</t>
  </si>
  <si>
    <t>30,39,40,56</t>
  </si>
  <si>
    <t>34,36,38,39,40,41,53,56</t>
  </si>
  <si>
    <t>2024W25/21-07</t>
  </si>
  <si>
    <t>émergence 2-5 dB 5-15 kHz</t>
  </si>
  <si>
    <t>38,41,53,56</t>
  </si>
  <si>
    <t>2024W25/21-08</t>
  </si>
  <si>
    <t>émergence 2-15 dB 5-45 kHz</t>
  </si>
  <si>
    <t>2024W26/24-01</t>
  </si>
  <si>
    <t>instable - émergence 5-15 dB large bande</t>
  </si>
  <si>
    <t>Sunny morning with some clouds ; Temp, : 23-25°C ; Wind : 2,0 - 3,5 m/s, North</t>
  </si>
  <si>
    <t>2024W26/24-02</t>
  </si>
  <si>
    <t>émergence 15-30 dB large bande</t>
  </si>
  <si>
    <t>30,34,36,38,39,40,41;53;56</t>
  </si>
  <si>
    <t>2024W26/24-03</t>
  </si>
  <si>
    <t>émergence 5-15 dB 1-15 kHz</t>
  </si>
  <si>
    <t>Sunny afternoon, no cloud ; Temp, 27-30°C ; Wind : 2,5-3,0 m/s, East</t>
  </si>
  <si>
    <t>2024W26/24-04</t>
  </si>
  <si>
    <t>30,36,40</t>
  </si>
  <si>
    <t>2024W26/24-05</t>
  </si>
  <si>
    <t>30,36,38,39,40,41,56</t>
  </si>
  <si>
    <t>2024W26/24-06</t>
  </si>
  <si>
    <t>30,36,38,39,40;56</t>
  </si>
  <si>
    <t>2024W26/24-07</t>
  </si>
  <si>
    <t>30,38,40,41,53,56</t>
  </si>
  <si>
    <t>2024W26/25-01</t>
  </si>
  <si>
    <t>Sunny morning ; Temp, : 26-28°C ; Wind : 2,0 - 3,0 m/s, S/SSE and later at E</t>
  </si>
  <si>
    <t>2024W26/25-02</t>
  </si>
  <si>
    <t>2024W26/25-03</t>
  </si>
  <si>
    <t>2024W26/25-04</t>
  </si>
  <si>
    <t>30,34,38,40,41,56</t>
  </si>
  <si>
    <t>2024W26/25-05</t>
  </si>
  <si>
    <t>capteurs off</t>
  </si>
  <si>
    <t>Sunny afternoon ; Temp, 32-34°C ; Wind : 4,5-5,0 m/s, East</t>
  </si>
  <si>
    <t>2024W26/25-06</t>
  </si>
  <si>
    <t>2024W26/25-07</t>
  </si>
  <si>
    <t>2024W26/25-08</t>
  </si>
  <si>
    <t>2024W26/26-01</t>
  </si>
  <si>
    <t>émergence 10-15 dB 5-15 kHz</t>
  </si>
  <si>
    <t>Sunny morning ; Temp, : 26-28°C ; Wind : 1,0 - 3,0 m/s, East</t>
  </si>
  <si>
    <t>2024W26/26-02</t>
  </si>
  <si>
    <t>émergence 10-15 dB large bande</t>
  </si>
  <si>
    <t>30,34,36,39,40,41,53</t>
  </si>
  <si>
    <t>2024W26/26-03</t>
  </si>
  <si>
    <t>émergence 10-15 dB 5-45 kHz</t>
  </si>
  <si>
    <t>30,36,39,41,56</t>
  </si>
  <si>
    <t>30,34,36,39,40,41,53,56</t>
  </si>
  <si>
    <t>2024W26/26-04</t>
  </si>
  <si>
    <t>Sunny afternoon ; Temp, 38°C ; Wind : 2,5-3,5 m/s, East</t>
  </si>
  <si>
    <t>34,36,39,40,56</t>
  </si>
  <si>
    <t>2024W26/26-05</t>
  </si>
  <si>
    <t>34,36,39,40</t>
  </si>
  <si>
    <t>2024W26/26-06</t>
  </si>
  <si>
    <t>émergence 20-30 dB large bande</t>
  </si>
  <si>
    <t>2024W26/26-07</t>
  </si>
  <si>
    <t>émergence 10-20 dB 5-45 kHz</t>
  </si>
  <si>
    <t>2024W26/27-01</t>
  </si>
  <si>
    <t>Cloudy morning, no rain ; Temp,: 22°C ; Wind : 3-4 m/s, W / WNW</t>
  </si>
  <si>
    <t>2024W26/27-02</t>
  </si>
  <si>
    <t>2024W26/27-03</t>
  </si>
  <si>
    <t>instable - émergence 5-10 dB large bande</t>
  </si>
  <si>
    <t>36,38,39,40,56</t>
  </si>
  <si>
    <t>2024W26/27-04</t>
  </si>
  <si>
    <t>30,36,38,40,41</t>
  </si>
  <si>
    <t>2024W26/27-05</t>
  </si>
  <si>
    <t>Cloudy afternoon, no rain ; Temp,: 30°C ; Wind : 3-4 m/s, W / WNW</t>
  </si>
  <si>
    <t>30,34,38,40,41</t>
  </si>
  <si>
    <t>30,36,38,39,40,41,53,56</t>
  </si>
  <si>
    <t>2024W26/27-06</t>
  </si>
  <si>
    <t>2024W26/27-07</t>
  </si>
  <si>
    <t>2024W26/27-08</t>
  </si>
  <si>
    <t>2024W26/28-01</t>
  </si>
  <si>
    <t>Cloudy morning, no rain ; Temp, : 20-22°C ; Wind: 1,5-2,0 m/s, W / WNW</t>
  </si>
  <si>
    <t>2024W26/28-02</t>
  </si>
  <si>
    <t>2024W26/28-03</t>
  </si>
  <si>
    <t>2024W26/28-04</t>
  </si>
  <si>
    <t>2024W26/28-</t>
  </si>
  <si>
    <t>Cloudy afternoon, no rain ; Temp,: 30°C</t>
  </si>
  <si>
    <t>30,36,39,40</t>
  </si>
  <si>
    <t>W28</t>
  </si>
  <si>
    <t>2024W28/08-01A</t>
  </si>
  <si>
    <t>Après-midi ensoleillé, 37-38°C ; Vent 2-2,5 m/s, NNE, E</t>
  </si>
  <si>
    <t>30,34,36,41,53</t>
  </si>
  <si>
    <t>2024W28/08-01B</t>
  </si>
  <si>
    <t>2024W28/08-04A</t>
  </si>
  <si>
    <t>30,34,36,39</t>
  </si>
  <si>
    <t>2024W28/08-04B</t>
  </si>
  <si>
    <t>2024W28/09-02A</t>
  </si>
  <si>
    <t>Matinée couverte, sans pluie, Temp,: 22-24°C ; Vent : 2,5 à 4,5 m/s, S / SSE</t>
  </si>
  <si>
    <t>2024W28/09-02B</t>
  </si>
  <si>
    <t>2024W28/09-08A</t>
  </si>
  <si>
    <t>2024W28/09-08B</t>
  </si>
  <si>
    <t>2024W28/09-05A</t>
  </si>
  <si>
    <t>2024W28/09-05B</t>
  </si>
  <si>
    <t>5A2</t>
  </si>
  <si>
    <t>2024W28/09-05A2</t>
  </si>
  <si>
    <t>émergence 20-30 dB 1-15 kHz</t>
  </si>
  <si>
    <t>Après-midi partiellement couverte, sans pluie ; Temp,: 35°C ; Vent : 2-4 m/s, SO</t>
  </si>
  <si>
    <t>38,39,40,41,56</t>
  </si>
  <si>
    <t>5B2</t>
  </si>
  <si>
    <t>2024W28/09-05B2</t>
  </si>
  <si>
    <t>2024W28/09-09A</t>
  </si>
  <si>
    <t>2024W28/09-09B</t>
  </si>
  <si>
    <t>2024W28/09-20A</t>
  </si>
  <si>
    <t>émergence 20-30 dB 5-45 kHz</t>
  </si>
  <si>
    <t>2024W28/09-20B</t>
  </si>
  <si>
    <t>2024W28/09-14A</t>
  </si>
  <si>
    <t>instable - émergence 5-10 dB 1-15 kHz</t>
  </si>
  <si>
    <t>2024W28/09-14B</t>
  </si>
  <si>
    <t>2024W28/09-06A</t>
  </si>
  <si>
    <t>2024W28/09-06B</t>
  </si>
  <si>
    <t>2024W28/09-16A</t>
  </si>
  <si>
    <t>2024W28/09-16B</t>
  </si>
  <si>
    <t>2024W28/10-11A</t>
  </si>
  <si>
    <t>émergence 5-10 dB 5-45 kHz</t>
  </si>
  <si>
    <t>Matinée ensoleillée, légèrement couverte, sans pluie ; Temp, : 25-283°C ; Vent : 1,5 - 2 m/s, E / ESE</t>
  </si>
  <si>
    <t>30,39,41,56</t>
  </si>
  <si>
    <t>2024W28/10-11B</t>
  </si>
  <si>
    <t>2024W28/10-18A</t>
  </si>
  <si>
    <t>34,36,39,40,41,53,56</t>
  </si>
  <si>
    <t>2024W28/10-18B</t>
  </si>
  <si>
    <t>2024W28/10-13A</t>
  </si>
  <si>
    <t>2024W28/10-13B</t>
  </si>
  <si>
    <t>24A</t>
  </si>
  <si>
    <t>2024W28/10-24A</t>
  </si>
  <si>
    <t>instable - émergence 5-10 dB 5-45 kHz</t>
  </si>
  <si>
    <t>Après-midi ensoleillé, sans ou peu de nuage ; Temp, / 35°C ; Vent : 1,5 - 3 m/s, E / NE</t>
  </si>
  <si>
    <t>24B</t>
  </si>
  <si>
    <t>2024W28/10-24B</t>
  </si>
  <si>
    <t>2024W28/10-21</t>
  </si>
  <si>
    <t>30,34,38,39,40,41,53,56</t>
  </si>
  <si>
    <t>31A</t>
  </si>
  <si>
    <t>2024W28/10-31A</t>
  </si>
  <si>
    <t xml:space="preserve">	30,34,36,38,39,40,56</t>
  </si>
  <si>
    <t>31B</t>
  </si>
  <si>
    <t>2024W28/10-31B</t>
  </si>
  <si>
    <t>31C</t>
  </si>
  <si>
    <t>2024W28/10-31C</t>
  </si>
  <si>
    <t>25A</t>
  </si>
  <si>
    <t>2024W28/10-25A</t>
  </si>
  <si>
    <t>25B</t>
  </si>
  <si>
    <t>2024W28/10-25B</t>
  </si>
  <si>
    <t>30A</t>
  </si>
  <si>
    <t>2024W28/11-30A</t>
  </si>
  <si>
    <t>Matinée ensoleillée, légèrment couverte ; Temp, : 28-30°C ; Vent : 1 - 2 m/s, NNO changeant en fin de matinée</t>
  </si>
  <si>
    <t>30B</t>
  </si>
  <si>
    <t>2024W28/11-30B</t>
  </si>
  <si>
    <t>30C</t>
  </si>
  <si>
    <t>2024W28/11-30C</t>
  </si>
  <si>
    <t>32A</t>
  </si>
  <si>
    <t>2024W28/11-32A</t>
  </si>
  <si>
    <t>30,36,39,40,41</t>
  </si>
  <si>
    <t>32B</t>
  </si>
  <si>
    <t>2024W28/11-32B</t>
  </si>
  <si>
    <t>32C</t>
  </si>
  <si>
    <t>2024W28/11-32C</t>
  </si>
  <si>
    <t>32D</t>
  </si>
  <si>
    <t>2024W28/11-32D</t>
  </si>
  <si>
    <t>2024W28/11-34A</t>
  </si>
  <si>
    <t>Après-midi ensoleillé et partiellement couverte ; Temp, : 35°C ; Vent : 2 m/s, changeant, A partir de 16 h, 3,5 - 5 m/s, O / OSO</t>
  </si>
  <si>
    <t>2024W28/11-34B</t>
  </si>
  <si>
    <t>2024W28/11-34C</t>
  </si>
  <si>
    <t>2024W28/11-34D</t>
  </si>
  <si>
    <t>2024W28/11-23</t>
  </si>
  <si>
    <t>35A</t>
  </si>
  <si>
    <t>2024W28/11-35A</t>
  </si>
  <si>
    <t>35B</t>
  </si>
  <si>
    <t>2024W28/11-35B</t>
  </si>
  <si>
    <t>35C</t>
  </si>
  <si>
    <t>2024W28/11-35C</t>
  </si>
  <si>
    <t>35D</t>
  </si>
  <si>
    <t>2024W28/11-35D</t>
  </si>
  <si>
    <t>33A</t>
  </si>
  <si>
    <t>2024W28/11-33A</t>
  </si>
  <si>
    <t>33B</t>
  </si>
  <si>
    <t>2024W28/11-33B</t>
  </si>
  <si>
    <t>33C</t>
  </si>
  <si>
    <t>2024W28/11-33C</t>
  </si>
  <si>
    <t>33D</t>
  </si>
  <si>
    <t>2024W28/11-33D</t>
  </si>
  <si>
    <t>26A</t>
  </si>
  <si>
    <t>2024W28/12-26A</t>
  </si>
  <si>
    <t>Matinée très nuageuse avec fort risque de pluie ; Temp, : 23°C ; Vent : 5 - 8 m/s, O / OSO</t>
  </si>
  <si>
    <t>26B</t>
  </si>
  <si>
    <t>2024W28/12-26B</t>
  </si>
  <si>
    <t>2024W28/12-29A</t>
  </si>
  <si>
    <t>38,39,56</t>
  </si>
  <si>
    <t>2024W28/12-29B</t>
  </si>
  <si>
    <t>2024W28/12-29C</t>
  </si>
  <si>
    <t>2024W28/12-27A</t>
  </si>
  <si>
    <t>2024W28/12-27B</t>
  </si>
  <si>
    <t>27A2</t>
  </si>
  <si>
    <t>2024W28/12-27A2</t>
  </si>
  <si>
    <t>Après-midi très couverte avec risque de pluie ; Temp, : 26°C ; Vent : 5 - 8 m/s, O / OSO</t>
  </si>
  <si>
    <t>27B2</t>
  </si>
  <si>
    <t>2024W28/12-27B2</t>
  </si>
  <si>
    <t>28A</t>
  </si>
  <si>
    <t>2024W28/12-28A</t>
  </si>
  <si>
    <t>30,34,38,56</t>
  </si>
  <si>
    <t>28B</t>
  </si>
  <si>
    <t>2024W28/12-28B</t>
  </si>
  <si>
    <t>28C</t>
  </si>
  <si>
    <t>2024W28/12-28C</t>
  </si>
  <si>
    <t>2024W28/12-22</t>
  </si>
  <si>
    <t>30,36,38,56</t>
  </si>
  <si>
    <t>30,34,36,38,39,41,53,56</t>
  </si>
  <si>
    <t>2024W28/12-</t>
  </si>
  <si>
    <t>30,36,38,5630,34,36,38,39,40,41,56</t>
  </si>
  <si>
    <t>30,34,38,39,41,53,56</t>
  </si>
  <si>
    <t>émergence 2-5 dB 5-45 kHz</t>
  </si>
  <si>
    <t>2024W29/16-01</t>
  </si>
  <si>
    <t>Matinée ensoleillée partiellement nuageuse ; Temp, : 28-30°C ; Vent : 2 - 3 m/s, S / SSO</t>
  </si>
  <si>
    <t>2024W29/16-02</t>
  </si>
  <si>
    <t>34,38,39,40,56</t>
  </si>
  <si>
    <t>30,34,36,38,39,40,53,56</t>
  </si>
  <si>
    <t>2024W29/16-03</t>
  </si>
  <si>
    <t>émergence 5-20 dB 1-15 kHz</t>
  </si>
  <si>
    <t>2024W29/16-04</t>
  </si>
  <si>
    <t>2024W29/16-05</t>
  </si>
  <si>
    <t>2024W29/16-06</t>
  </si>
  <si>
    <t>émergence 30-60 dB large bande</t>
  </si>
  <si>
    <t>2024W29/16-07</t>
  </si>
  <si>
    <t>2024W29/16-08</t>
  </si>
  <si>
    <t>2024W29/16-09</t>
  </si>
  <si>
    <t>émergence 20-40 dB large bande</t>
  </si>
  <si>
    <t>2024W29/16-10</t>
  </si>
  <si>
    <t>2024W29/16-11</t>
  </si>
  <si>
    <t>2024W29/16-12</t>
  </si>
  <si>
    <t>émergence 15-25 dB large bande</t>
  </si>
  <si>
    <t>2024W29/16-13</t>
  </si>
  <si>
    <t>2024W29/16-14</t>
  </si>
  <si>
    <t>36,39,40,53,56</t>
  </si>
  <si>
    <t>2024W29/16-15</t>
  </si>
  <si>
    <t>2024W29/16-16</t>
  </si>
  <si>
    <t>16bis</t>
  </si>
  <si>
    <t>2024W29/16-16bis</t>
  </si>
  <si>
    <t>2024W29/16-17</t>
  </si>
  <si>
    <t>Mobile Valve 3B</t>
  </si>
  <si>
    <t>34,36,38,40,41,53,56</t>
  </si>
  <si>
    <t>2024W29/16-18</t>
  </si>
  <si>
    <t>2024W29/16-19</t>
  </si>
  <si>
    <t>2024W29/16-20</t>
  </si>
  <si>
    <t>2024W29/16-21</t>
  </si>
  <si>
    <t>2024W29/16-22</t>
  </si>
  <si>
    <t>2024W29/16-23</t>
  </si>
  <si>
    <t>2024W29/16-24</t>
  </si>
  <si>
    <t>2024W29/16-</t>
  </si>
  <si>
    <t>2024W29/17-25</t>
  </si>
  <si>
    <t>Matinée dégagée, quelques nuages ; Temp, : 24-26°C ; Vent : 3,5 - 5 m/s, Est</t>
  </si>
  <si>
    <t>2024W29/17-26</t>
  </si>
  <si>
    <t>émergence 20-40 dB 5-45 kHz</t>
  </si>
  <si>
    <t>2024W29/17-27</t>
  </si>
  <si>
    <t>émergence 15-30 dB 5-45 kHz</t>
  </si>
  <si>
    <t>2024W29/17-28</t>
  </si>
  <si>
    <t>2024W29/17-29</t>
  </si>
  <si>
    <t>2024W29/17-30</t>
  </si>
  <si>
    <t>2024W29/17-31</t>
  </si>
  <si>
    <t>30,34,39,40,41,56</t>
  </si>
  <si>
    <t>2024W29/17-32</t>
  </si>
  <si>
    <t>2024W29/17-33</t>
  </si>
  <si>
    <t>émergence 40-70 dB large bande</t>
  </si>
  <si>
    <t>2024W29/17-34</t>
  </si>
  <si>
    <t>émergence 40-65 dB large bande</t>
  </si>
  <si>
    <t>2024W29/17-35</t>
  </si>
  <si>
    <t>émergence 30-50 dB large bande</t>
  </si>
  <si>
    <t>2024W29/17-36</t>
  </si>
  <si>
    <t>2024W29/17-37</t>
  </si>
  <si>
    <t>émergence 15-25 dB 5-45 kHz</t>
  </si>
  <si>
    <t>2024W29/17-38</t>
  </si>
  <si>
    <t>2024W29/17-39</t>
  </si>
  <si>
    <t>émergence 20-35 dB 5-45 kHz</t>
  </si>
  <si>
    <t>2024W29/17-40</t>
  </si>
  <si>
    <t>2024W29/17-41</t>
  </si>
  <si>
    <t>2024W29/17-42</t>
  </si>
  <si>
    <t>2024W29/17-43</t>
  </si>
  <si>
    <t>2024W29/17-</t>
  </si>
  <si>
    <t>émergence 15-30 dB 1-5 kHz</t>
  </si>
  <si>
    <t>30,34,36,38,41,53</t>
  </si>
  <si>
    <t>2024W29/17-44</t>
  </si>
  <si>
    <t>Après-midi ensoleillé, quelques nuages ; Temp, : 33-35°C ; Vent : 3 - 4 m/s, Est</t>
  </si>
  <si>
    <t>2024W29/17-45</t>
  </si>
  <si>
    <t>2024W29/17-46</t>
  </si>
  <si>
    <t>émergence 30-70 dB large bande</t>
  </si>
  <si>
    <t>2024W29/17-47</t>
  </si>
  <si>
    <t>2024W29/17-48</t>
  </si>
  <si>
    <t>émergence 40-80 dB large bande</t>
  </si>
  <si>
    <t>2024W29/17-49</t>
  </si>
  <si>
    <t>2024W29/17-50</t>
  </si>
  <si>
    <t>2024W29/17-51</t>
  </si>
  <si>
    <t>30,34,39,40,41,53,56</t>
  </si>
  <si>
    <t>2024W29/17-52</t>
  </si>
  <si>
    <t>émergence 20-50 dB 5-45 kHz</t>
  </si>
  <si>
    <t>2024W29/17-53</t>
  </si>
  <si>
    <t>émergence 20-45 dB 5-45 kHz</t>
  </si>
  <si>
    <t>34,38,39,40,41,56</t>
  </si>
  <si>
    <t>2024W29/17-54</t>
  </si>
  <si>
    <t>émergence 30-50 dB 5-45 kHz</t>
  </si>
  <si>
    <t>2024W29/17-55</t>
  </si>
  <si>
    <t>émergence 30-45 dB 5-45 kHz</t>
  </si>
  <si>
    <t>2024W29/17-56</t>
  </si>
  <si>
    <t>émergence 30-45 dB 1-15 kHz</t>
  </si>
  <si>
    <t>2024W29/17-57</t>
  </si>
  <si>
    <t>émergence 20-40 dB 1-15 kHz</t>
  </si>
  <si>
    <t>2024W29/17-58</t>
  </si>
  <si>
    <t>2024W29/17-59</t>
  </si>
  <si>
    <t>2024W29/17-60</t>
  </si>
  <si>
    <t>34,36,38,39,41,53</t>
  </si>
  <si>
    <t>2024W29/17-61</t>
  </si>
  <si>
    <t>30,34,36,38,40,41,53</t>
  </si>
  <si>
    <t>2024W29/17-62</t>
  </si>
  <si>
    <t>30,34,36,38,40,41</t>
  </si>
  <si>
    <t>2024W29/17-63</t>
  </si>
  <si>
    <t>2024W29/17-64</t>
  </si>
  <si>
    <t>2024W29/17-65</t>
  </si>
  <si>
    <t>30,38,39,40,41,53</t>
  </si>
  <si>
    <t>2024W29/17-66</t>
  </si>
  <si>
    <t>2024W29/17-67</t>
  </si>
  <si>
    <t>2024W30/22-01</t>
  </si>
  <si>
    <t>Export csv des niveaux sonores</t>
  </si>
  <si>
    <t>Afternoon sunny with some littles clouds for tests n°1 and no clouds for tests n°2 ; Temp, : 32-33°C ; Wind : 1,5-3 m/s, SSW/SW</t>
  </si>
  <si>
    <t>2024W30/22-02</t>
  </si>
  <si>
    <t>30,38,39,40,41,53,56</t>
  </si>
  <si>
    <t>2024W30/23-03</t>
  </si>
  <si>
    <t>Afternoon sunny with some little clouds (1 octa) ; Temp, : 30-32°C ; Wind : 3-4,5 m/s, ENE/NE</t>
  </si>
  <si>
    <t>2024W30/23-04</t>
  </si>
  <si>
    <t>30,36,38,41</t>
  </si>
  <si>
    <t>2024W30/23-</t>
  </si>
  <si>
    <t>2024W36/03-01</t>
  </si>
  <si>
    <t>Météo (Temps, Température, Vent direction et vitesse)</t>
  </si>
  <si>
    <t>2024W36/03-02</t>
  </si>
  <si>
    <t>2024W36/03-03</t>
  </si>
  <si>
    <t>30,34,38,39</t>
  </si>
  <si>
    <t>W37</t>
  </si>
  <si>
    <t>2024W37/09-01</t>
  </si>
  <si>
    <t>Morning: Continuous rain ; Temp: 16°C ; Wind: 3,5-5 m/s, West</t>
  </si>
  <si>
    <t>2024W37/09-02</t>
  </si>
  <si>
    <t>30,34,36,37,38,41,53</t>
  </si>
  <si>
    <t>2024W37/09-03</t>
  </si>
  <si>
    <t>Afternoon: Non continuous rain ; Temp: 18-19°C ; Wind: 2-3 m/s, West</t>
  </si>
  <si>
    <t>2024W37/09-05</t>
  </si>
  <si>
    <t>2024W37/09-06</t>
  </si>
  <si>
    <t>2024W37/10-01</t>
  </si>
  <si>
    <t>Morning: Really cloudy with no rain, some sunny clearings ; Temp: 16°C ; Wind: 0,5-1 m/s SouthWest, later 1,5-3 m/s</t>
  </si>
  <si>
    <t>2024W37/10-02</t>
  </si>
  <si>
    <t>2024W37/10-03</t>
  </si>
  <si>
    <t>30,36,38,39,40,41</t>
  </si>
  <si>
    <t>2024W37/10-04</t>
  </si>
  <si>
    <t>2024W37/10-04bis</t>
  </si>
  <si>
    <t>2024W37/10-05</t>
  </si>
  <si>
    <t>Afternoon: Sunny with some clouds, no rain ; Temp: 21-23°C ; Wind: 1,5-2 m/s, NorthEast and after 2,5-3,5 m/s, SouthWest</t>
  </si>
  <si>
    <t>2024W37/10-06</t>
  </si>
  <si>
    <t>2024W37/10-07</t>
  </si>
  <si>
    <t>30,34,36,38,40,41,53,56</t>
  </si>
  <si>
    <t>2024W37/10-08</t>
  </si>
  <si>
    <t>2024W37/10-09</t>
  </si>
  <si>
    <t>2024W37/11-01</t>
  </si>
  <si>
    <t>Cloudy morning but no rain ; Temp: 17°C ; Wind: 3-4 m/s, SouthWest, after 11h, 3,5-5 m/s, SouthWest</t>
  </si>
  <si>
    <t>2024W37/11-02</t>
  </si>
  <si>
    <t>2024W37/11-03</t>
  </si>
  <si>
    <t>2024W37/11-04</t>
  </si>
  <si>
    <t>2024W37/11-05</t>
  </si>
  <si>
    <t>Afternoon: Drizzle from 2 p,m, ; Temp: 19°C ; Wind: 3-4 m/s, SouthWest</t>
  </si>
  <si>
    <t>2024W37/11-06</t>
  </si>
  <si>
    <t>2024W37/11-07</t>
  </si>
  <si>
    <t>2024W37/11-08</t>
  </si>
  <si>
    <t>2024W37/11-09</t>
  </si>
  <si>
    <t>2024W37/12-01</t>
  </si>
  <si>
    <t>Rainy morning, end rain at 10h30 ; Temp: 13°C ; Wind: 1-2 m/s, SouthWest</t>
  </si>
  <si>
    <t>2024W37/12-02</t>
  </si>
  <si>
    <t>2024W37/12-03</t>
  </si>
  <si>
    <t>2024W37/12-04</t>
  </si>
  <si>
    <t>2024W37/12-04bis</t>
  </si>
  <si>
    <t>2024W37/12-05</t>
  </si>
  <si>
    <t>2024W37/12-06</t>
  </si>
  <si>
    <t>2024W37/12-07</t>
  </si>
  <si>
    <t>2024W37/12-08</t>
  </si>
  <si>
    <t>2024W37/13-02</t>
  </si>
  <si>
    <t>Morning: Really cloudy with no rain, some sunny clearings ; Temp: 11-12°C ; Wind: 1-2 m/s SouthWest</t>
  </si>
  <si>
    <t>2024W37/13-03</t>
  </si>
  <si>
    <t>2024W37/13-04</t>
  </si>
  <si>
    <t>2024W37/13-04bis</t>
  </si>
  <si>
    <t>2024W37/13-05</t>
  </si>
  <si>
    <t>Afternoon: Sunny with some clouds ; Temp: 20-22°C ; Wind: 3-4 m/s, SouthWest</t>
  </si>
  <si>
    <t>2024W37/13-06</t>
  </si>
  <si>
    <t>2024W37/13-07</t>
  </si>
  <si>
    <t>2024W37/13-08</t>
  </si>
  <si>
    <t>2024W38/16-01</t>
  </si>
  <si>
    <t>Morning: Sunny, some clouds, no rain ; Temp: 9-10°C ; Wind: 1-2 m/s, SouthWest</t>
  </si>
  <si>
    <t>2024W38/16-02</t>
  </si>
  <si>
    <t>30,34,38,39,40,41,53</t>
  </si>
  <si>
    <t>2024W38/16-03</t>
  </si>
  <si>
    <t>Afternoon: Sunny with several clouds ; Temp: 21-22°C ; Wind: 2-4 m/s, SouthWest</t>
  </si>
  <si>
    <t>2024W38/16-04</t>
  </si>
  <si>
    <t>30,34,38,40,41,53,56</t>
  </si>
  <si>
    <t>2024W38/16-05</t>
  </si>
  <si>
    <t>30,34,39,40,41</t>
  </si>
  <si>
    <t>2024W38/16-06</t>
  </si>
  <si>
    <t>2024W38/17-01</t>
  </si>
  <si>
    <t>Morning: Mist ; Temp: 11-12°C ; Wind: 1-2 m/s, SouthWest</t>
  </si>
  <si>
    <t>2024W38/17-02</t>
  </si>
  <si>
    <t>2024W38/17-03</t>
  </si>
  <si>
    <t>2024W38/17-04</t>
  </si>
  <si>
    <t>2024W38/17-06</t>
  </si>
  <si>
    <t>Afternoon: More en more cloudy ; Temp: 22-23°C ; Wind: 1-2 m/s, SouthWest</t>
  </si>
  <si>
    <t>2024W38/17-07</t>
  </si>
  <si>
    <t>Incertitude: 0,6</t>
  </si>
  <si>
    <t>2024W38/17-08</t>
  </si>
  <si>
    <t>Too cloudy for satellite</t>
  </si>
  <si>
    <t>8bis</t>
  </si>
  <si>
    <t>2024W38/17-08bis</t>
  </si>
  <si>
    <t>alternative satellite</t>
  </si>
  <si>
    <t>2024W38/17-09</t>
  </si>
  <si>
    <t>Incertitude: 4,8
Test stopped
To redone other day</t>
  </si>
  <si>
    <t>2024W38/18-01</t>
  </si>
  <si>
    <t>Morning: A little bit cloudy ; Temp:11-12°C ; Wind: 1-2 m/s, EastSouthEast</t>
  </si>
  <si>
    <t>2024W38/18-02</t>
  </si>
  <si>
    <t>2024W38/18-03</t>
  </si>
  <si>
    <t>2024W38/18-04</t>
  </si>
  <si>
    <t>2024W38/18-05</t>
  </si>
  <si>
    <t>Afternoon: Sunny, some clouds ; Temp: 25-26°C ; Wind: 1-2 m/s, East</t>
  </si>
  <si>
    <t>2024W38/18-06</t>
  </si>
  <si>
    <t>2024W38/18-07</t>
  </si>
  <si>
    <t>2024W38/18-08</t>
  </si>
  <si>
    <t>2024W38/18-09</t>
  </si>
  <si>
    <t>2024W38/19-01</t>
  </si>
  <si>
    <t>Morning: Partly cloudy, no rain ; Temp:16-17°C ; Wind: 1-2 m/s, South / SouthEast</t>
  </si>
  <si>
    <t>2024W38/19-02</t>
  </si>
  <si>
    <t>2024W38/19-03</t>
  </si>
  <si>
    <t>2024W38/19-04</t>
  </si>
  <si>
    <t>2024W38/19-05</t>
  </si>
  <si>
    <t>Afternoon: Some clouds and rain showers  ; Temp: 18-19°C ; Wind: 1-2 m/s, SouthWest</t>
  </si>
  <si>
    <t>2024W38/19-06</t>
  </si>
  <si>
    <t>2024W38/19-07</t>
  </si>
  <si>
    <t>2024W38/19-08</t>
  </si>
  <si>
    <t>2024W38/19-09</t>
  </si>
  <si>
    <t>2024W38/20-</t>
  </si>
  <si>
    <t>W40</t>
  </si>
  <si>
    <t>2024W40/01-01A</t>
  </si>
  <si>
    <t>incertitude : 0,3</t>
  </si>
  <si>
    <t>Après-midi nuageuse avec éclaircie, sans pluie ; Temp : 24-26°C ; Vent : 1,2 - 1,5 m/s puis , SO</t>
  </si>
  <si>
    <t>2024W40/01-01B</t>
  </si>
  <si>
    <t>Autre</t>
  </si>
  <si>
    <t>2024W40/01-02</t>
  </si>
  <si>
    <t>incertitude : 3,8</t>
  </si>
  <si>
    <t>2024W40/01-03</t>
  </si>
  <si>
    <t>incertitude : 12,9</t>
  </si>
  <si>
    <t>2024W40/02-04</t>
  </si>
  <si>
    <t>Après-midi pluvieuse ; Temp : 14-15°C ; Vent : 3-5 m/s, E / NE</t>
  </si>
  <si>
    <t>2024W40/02-05</t>
  </si>
  <si>
    <t>2024W40/02-06</t>
  </si>
  <si>
    <t>2024W40/02-07</t>
  </si>
  <si>
    <t>2024W40/03-08</t>
  </si>
  <si>
    <t>Matinée couverte, sans pluie ; Temps : 13-15°C ; Vent &lt; 1 m/s</t>
  </si>
  <si>
    <t xml:space="preserve">	34,36,39,40,56</t>
  </si>
  <si>
    <t>2024W40/03-09</t>
  </si>
  <si>
    <t>2024W40/03-10</t>
  </si>
  <si>
    <t>incertitude : 0,4</t>
  </si>
  <si>
    <t>2024W40/03-11</t>
  </si>
  <si>
    <t>incertitude : 0,1</t>
  </si>
  <si>
    <t>2024W40/03-12</t>
  </si>
  <si>
    <t>2024W40/03-13</t>
  </si>
  <si>
    <t>incertitude : 0</t>
  </si>
  <si>
    <t>2024W40/03-14</t>
  </si>
  <si>
    <t>2024W40/03-15</t>
  </si>
  <si>
    <t>Après-midi couverte avec éclaircies, sans pluie ; Temp : 17-18°C ; Vent : 3-4 m/s, SO</t>
  </si>
  <si>
    <t>30,34,39,40,56</t>
  </si>
  <si>
    <t>2024W40/03-16</t>
  </si>
  <si>
    <t>2024W40/03-17</t>
  </si>
  <si>
    <t>34,39,40,56</t>
  </si>
  <si>
    <t>2024W40/03-</t>
  </si>
  <si>
    <t>30,34,36,38,41,56</t>
  </si>
  <si>
    <t>2024W41/08-01</t>
  </si>
  <si>
    <t>Après-midi ensoleillée, sans pluie ; Temps : 24-26°C ; Vent 3-5 m/s, SO</t>
  </si>
  <si>
    <t>2024W41/08-02</t>
  </si>
  <si>
    <t>2024W41/08-03</t>
  </si>
  <si>
    <t>2024W41/08-04</t>
  </si>
  <si>
    <t>2024W41/08-05</t>
  </si>
  <si>
    <t>2024W41/08-06</t>
  </si>
  <si>
    <t>2024W41/08-07</t>
  </si>
  <si>
    <t>2024W41/08-08</t>
  </si>
  <si>
    <t>2024W41/08-09</t>
  </si>
  <si>
    <t>2024W41/08-10</t>
  </si>
  <si>
    <t>2024W41/08-</t>
  </si>
  <si>
    <t>W43</t>
  </si>
  <si>
    <t>2024W43/21-01</t>
  </si>
  <si>
    <t>Matinée dégagée et ensoleillée ; 12-13°C ; Vent : 1 à 1,5 m/s, Sud</t>
  </si>
  <si>
    <t>2024W43/21-02</t>
  </si>
  <si>
    <t>2024W43/21-03</t>
  </si>
  <si>
    <t>2024W43/21-04</t>
  </si>
  <si>
    <t>Après-midi dégagée et ensoleillée ; 25-26°C ; Vent : 1 à 1,5 m/s, Sud-Est puis 1 à 3,5 m/s, Sud-Ouest</t>
  </si>
  <si>
    <t>2024W43/21-05</t>
  </si>
  <si>
    <t>2024W43/23-06</t>
  </si>
  <si>
    <t>Matinée dans le brouillard ; 11-12°C ; Vent : 1 à 2 m/s, Sud</t>
  </si>
  <si>
    <t>2024W43/23-07</t>
  </si>
  <si>
    <t>2024W43/23-08A</t>
  </si>
  <si>
    <t>Mast</t>
  </si>
  <si>
    <t>Après-midi dégagée et ensoleillée ; 21-22°C ; Vent : 4 à 6 m/s, Sud-Est puis en fin d'après-midi Est</t>
  </si>
  <si>
    <t>2024W43/23-08B</t>
  </si>
  <si>
    <t>2024W43/23-09</t>
  </si>
  <si>
    <t>2024W43/23-10A</t>
  </si>
  <si>
    <t>2024W43/23-10B</t>
  </si>
  <si>
    <t>2024W43/24-11</t>
  </si>
  <si>
    <t>Matinée partiellement ensoleillée, couverte et sans pluie ; 16-17°C ; Vent : 1 à 2 m/s, Sud-Ouest</t>
  </si>
  <si>
    <t>2024W43/24-12A</t>
  </si>
  <si>
    <t>Après-midi partiellement ensoleillée, couverte et sans pluie ; 20-22°C ; Vent : 1 à 2 m/s, Sud-Ouest</t>
  </si>
  <si>
    <t>2024W43/24-12B</t>
  </si>
  <si>
    <t>2024W43/24-13</t>
  </si>
  <si>
    <t>2024W43/24-14A</t>
  </si>
  <si>
    <t>2024W43/24-14B</t>
  </si>
  <si>
    <t>2024W43/25-15</t>
  </si>
  <si>
    <t>Matinée pluvieuse ; 14-15°C ; Vent : 1,5 à 5 m/s, Sud-Ouest</t>
  </si>
  <si>
    <t>2024W43/25-16A</t>
  </si>
  <si>
    <t>2024W43/25-16B</t>
  </si>
  <si>
    <t>2024W43/25-17</t>
  </si>
  <si>
    <t>2024W43/25-18</t>
  </si>
  <si>
    <t>Après-midi avec grosses averses ; 13-14°C ; Vent : 2,5 à 5 m/s, Sud-Ouest</t>
  </si>
  <si>
    <t>2024W43/25-19</t>
  </si>
  <si>
    <t>2024W43/25-</t>
  </si>
  <si>
    <t>2024W44/28-20</t>
  </si>
  <si>
    <t>Après-midi couverte, sans pluie ; 15-16°C ; Vent &lt; 1 m/s, Sud-Est et Sud-Ouest puis à partir de 15h, 1,5 à 2,5 m/s, Sud-Ouest</t>
  </si>
  <si>
    <t>2024W44/28-21</t>
  </si>
  <si>
    <t>22A</t>
  </si>
  <si>
    <t>2024W44/28-22A</t>
  </si>
  <si>
    <t>22B</t>
  </si>
  <si>
    <t>2024W44/28-22B</t>
  </si>
  <si>
    <t>2024W44/28-23</t>
  </si>
  <si>
    <t>2024W44/29-26</t>
  </si>
  <si>
    <t>Matinée partiellement couverte, sans pluie ; 11-12°C ; Vent : 1,5 m/s, Sud-Ouest</t>
  </si>
  <si>
    <t>2024W44/29-27</t>
  </si>
  <si>
    <t>2024W44/29-28A</t>
  </si>
  <si>
    <t>2024W44/29-28B</t>
  </si>
  <si>
    <t>2024W44/29-29</t>
  </si>
  <si>
    <t>Après-midi partiellement couverte, sans pluie ; 20-21°C ; Vent : 1,5 à 3,5 m/s, Nord puis Est</t>
  </si>
  <si>
    <t>2024W44/29-30</t>
  </si>
  <si>
    <t>2024W44/29-</t>
  </si>
  <si>
    <t>30,31,34,36,38,39,40,41,56</t>
  </si>
  <si>
    <t>2024W44/31-31</t>
  </si>
  <si>
    <t>Matinée brumeuse, soleil à partir de 9h ; 10-11°C ; Vent : 1 à 2 m/s, Est</t>
  </si>
  <si>
    <t>2024W44/31-32</t>
  </si>
  <si>
    <t>2024W44/31-33</t>
  </si>
  <si>
    <t>Après-midi ensoleillée ; 18-19°C ; Vent : 1 à 3,5 m/s, Est et Sud-Est</t>
  </si>
  <si>
    <t>2024W44/31-34</t>
  </si>
  <si>
    <t>2024W44/31-</t>
  </si>
  <si>
    <t>2024W45/04-35</t>
  </si>
  <si>
    <t>Matinée couverte ; 10°C ; Vent : 1,5 à 2 m/s, Est / Sud-Est</t>
  </si>
  <si>
    <t>2024W45/06-38</t>
  </si>
  <si>
    <t>Après-midi ensoleillée ; 22-24°C ; Vent : 2 - 2,5 m/s, SudOuest puis Est</t>
  </si>
  <si>
    <t>2024W45/06-39</t>
  </si>
  <si>
    <t>2024W45/06-40</t>
  </si>
  <si>
    <t>2024W45/06-</t>
  </si>
  <si>
    <t>2024W45/08-</t>
  </si>
  <si>
    <t>2024W47/18-01</t>
  </si>
  <si>
    <t>Matinée couverte, sans pluie ; 10-11°C ; &lt; 1 m/s, SO</t>
  </si>
  <si>
    <t>2024W47/18-</t>
  </si>
  <si>
    <t>Après-midi partiellement ensoleillée et nuageuse ; 
18-19°C ; 2-3 m/s, S</t>
  </si>
  <si>
    <t>2024W47/18-02</t>
  </si>
  <si>
    <t>2024W47/19-03</t>
  </si>
  <si>
    <t>Matinée nuageuse, sans pluie ; 9°C ; 1 m/s, E puis SO</t>
  </si>
  <si>
    <t>34,36,38,39,40</t>
  </si>
  <si>
    <t>2024W47/19-04</t>
  </si>
  <si>
    <t>AM ensoleillée et partiellement nuageuse ; 
16-17°C ; 3-7 m/s, SO</t>
  </si>
  <si>
    <t>2024W47/19-</t>
  </si>
  <si>
    <t>2024W47/20-05</t>
  </si>
  <si>
    <t>Matinée couverte, faible pluie ; 9°C ; 1-2 m/s, Ouest/Nord-Ouest</t>
  </si>
  <si>
    <t>2024W47/20-</t>
  </si>
  <si>
    <t>2024W47/22-06</t>
  </si>
  <si>
    <t>Matinée couverte, sans pluie ;8°C ; 1-2m/s Ouest</t>
  </si>
  <si>
    <t>30,34,36,38,39,40</t>
  </si>
  <si>
    <t>2024W47/22-07</t>
  </si>
  <si>
    <t>AM nuageux quelques éclaircies ; 13°C ; 1-2m/s Ouest/Sud-Ouest</t>
  </si>
  <si>
    <t>2024W47/22-</t>
  </si>
  <si>
    <t>2024W48/25-08</t>
  </si>
  <si>
    <t>Matinée très nuageuse, sans pluie ; 23-24°C ; Vent 7 à 8,5 m/s, SSO,</t>
  </si>
  <si>
    <t>2024W48/25-</t>
  </si>
  <si>
    <t>Après-midi pluvieuse en continue ; 12-13°C ; Vent : 5 m/s, SO</t>
  </si>
  <si>
    <t>2024W48/26-09</t>
  </si>
  <si>
    <t>Matinée couverte, sans pluie ; 5°C ; Vent 2 m/s, S</t>
  </si>
  <si>
    <t>2024W48/26-10</t>
  </si>
  <si>
    <t>AM couverte, sans pluie, partiellement ensoleillée ; 17-18°C ; Vent 0,8-1,5 m/s, SO</t>
  </si>
  <si>
    <t>2024W48/26-</t>
  </si>
  <si>
    <t>2024W48/27-11</t>
  </si>
  <si>
    <t>Matinée ensoleillée ; 5-6°C ; Vent 1-2 m/s, NE</t>
  </si>
  <si>
    <t>2024W48/27-12</t>
  </si>
  <si>
    <t>Après-midi ensoleillée ; 18-20°C ; Vent 1-2 m/s, E</t>
  </si>
  <si>
    <t>2024W48/27-</t>
  </si>
  <si>
    <t>30,39,40,41</t>
  </si>
  <si>
    <t>2024W48/28-13</t>
  </si>
  <si>
    <t>Matinée ensoleillée ; 3-5°C ; Vent 1,5-2,5 m/s, S-SE</t>
  </si>
  <si>
    <t>2024W48/28-</t>
  </si>
  <si>
    <t>Après-midi ensoleillée ; 17-18°C ; Vent 0,5-1 m/s, SSO</t>
  </si>
  <si>
    <t>2024W48/29-14</t>
  </si>
  <si>
    <t>Matinée ensoleillées ; 7-8°C ; Vent 1,5-2 m/s, S</t>
  </si>
  <si>
    <t>2024W48/29-</t>
  </si>
  <si>
    <t>2024W49/02-15A</t>
  </si>
  <si>
    <t>Matinée couverte et bruine ; 9-10°C ; Vent &lt; 1 m/s, E</t>
  </si>
  <si>
    <t>2024W49/02-15B</t>
  </si>
  <si>
    <t>30,34,38,39,40,56</t>
  </si>
  <si>
    <t>2024W49/02-15C</t>
  </si>
  <si>
    <t>Après-midi couverte, sans pluie ; 13-14°C ; Vent 1-1,5 m/s, E</t>
  </si>
  <si>
    <t>2024W49/02-</t>
  </si>
  <si>
    <t>2024W49/03-16</t>
  </si>
  <si>
    <t>Matinée couverte, sans pluie ; 8-9°C ; Vent 1-1,5 m/s, E</t>
  </si>
  <si>
    <t>2024W49/03-17</t>
  </si>
  <si>
    <t>Après-midi couverte, sans pluie ; 13-14°C ; Vent 1-2 m/s, SO</t>
  </si>
  <si>
    <t>2024W49/03-18</t>
  </si>
  <si>
    <t>2024W49/03-19</t>
  </si>
  <si>
    <t>2024W49/03-20</t>
  </si>
  <si>
    <t>2024W49/03-</t>
  </si>
  <si>
    <t>2024W49/04-21</t>
  </si>
  <si>
    <t>Matinée ensoleillée ; 6-8°C ; Vent 1,5-2,5 m/s, S et SSE</t>
  </si>
  <si>
    <t>2024W49/04-22</t>
  </si>
  <si>
    <t>2024W49/04-23</t>
  </si>
  <si>
    <t>Après-midi ensoleillée ; 12-15°C ; Vent 1-2 m/s, E et ENE</t>
  </si>
  <si>
    <t>2024W49/04-24</t>
  </si>
  <si>
    <t>2024W49/04-25</t>
  </si>
  <si>
    <t>2024W49/04-</t>
  </si>
  <si>
    <t>2024W49/05-26</t>
  </si>
  <si>
    <t>Matinée couverte, sans pluie ; 4-5°C ; Vent 1-2 m/s, S et SSE</t>
  </si>
  <si>
    <t>2024W49/05-</t>
  </si>
  <si>
    <t>2024W50/09-27A</t>
  </si>
  <si>
    <t>matinée couverte, bruine ; 5-7°C ; Vent 1,5-2,5 m/s, SO puis NO</t>
  </si>
  <si>
    <t>2024W50/09-27B</t>
  </si>
  <si>
    <t>27C</t>
  </si>
  <si>
    <t>2024W50/09-27C</t>
  </si>
  <si>
    <t>après-midi couverte, bruine ; 6-8°C ; Vent 2-3 m/s, NO</t>
  </si>
  <si>
    <t>2024W50/09-</t>
  </si>
  <si>
    <t>2024W50/10-01</t>
  </si>
  <si>
    <t>Position 5m</t>
  </si>
  <si>
    <t>Après-midi couverte, sans pluie ; 6-7°C ; Vent 2-3 m/s, NO</t>
  </si>
  <si>
    <t>2024W50/10-02</t>
  </si>
  <si>
    <t>2024W50/10-</t>
  </si>
  <si>
    <t>2024W50/11-03</t>
  </si>
  <si>
    <t>Position 5m
Emission gaz orientée vers O</t>
  </si>
  <si>
    <t xml:space="preserve">Après-midi couverte, sans pluie ; 6-7°C ; Vent 1-2 m/s, E puis SSO (14h), </t>
  </si>
  <si>
    <t>2024W50/11-04</t>
  </si>
  <si>
    <t>Position 5m
Emission gaz orientée vers NE</t>
  </si>
  <si>
    <t>2024W50/12-05</t>
  </si>
  <si>
    <t>Position 4m
Emission gaz orientée vers NNO</t>
  </si>
  <si>
    <t>Matinée ensoleillée ; 5-6°C ; Vent &lt; 1 m/s, SSE</t>
  </si>
  <si>
    <t>2024W50/12-06</t>
  </si>
  <si>
    <t>Position 3m
Emission gaz orientée vers NNO</t>
  </si>
  <si>
    <t>Après-midi ensoleillée ;10-11°C ; Vent &lt; 1,5 m/s, SSE</t>
  </si>
  <si>
    <t>2024W50/12-07</t>
  </si>
  <si>
    <t>Position 2m
Emission gaz orientée vers SO</t>
  </si>
  <si>
    <t>2024W50/12-08</t>
  </si>
  <si>
    <t>Position 1m
Emission gaz orientée vers SO</t>
  </si>
  <si>
    <t>2024W50/12-</t>
  </si>
  <si>
    <t>W51</t>
  </si>
  <si>
    <t>2024W51/16-01</t>
  </si>
  <si>
    <t>Pb vanne régulation FCV408</t>
  </si>
  <si>
    <t>Matinée ensoleillée ; Temps : 2-4°C ; Vent &lt; 1 m/s, E puis à 11h, SO,</t>
  </si>
  <si>
    <t>2024W51/16-02</t>
  </si>
  <si>
    <t>2024W51/16-03</t>
  </si>
  <si>
    <t>2024W51/16-04</t>
  </si>
  <si>
    <t>2024W51/16-05</t>
  </si>
  <si>
    <t>2024W51/16-06</t>
  </si>
  <si>
    <t>2024W51/16-07</t>
  </si>
  <si>
    <t>2024W51/16-08</t>
  </si>
  <si>
    <t>2024W51/16-09</t>
  </si>
  <si>
    <t>Après-midi ensoleillée ; Temps : 12-15°C ; Vent 1-2 m/s, SO,</t>
  </si>
  <si>
    <t>2024W51/16-10</t>
  </si>
  <si>
    <t>2024W51/16-11</t>
  </si>
  <si>
    <t>2024W51/16-12</t>
  </si>
  <si>
    <t>2024W51/16-13</t>
  </si>
  <si>
    <t>2024W51/16-</t>
  </si>
  <si>
    <t>2024W51/18-01</t>
  </si>
  <si>
    <t>Mast 20 m</t>
  </si>
  <si>
    <t>Flex inox DN16</t>
  </si>
  <si>
    <t>XOV019B</t>
  </si>
  <si>
    <t>Après-midi ensoleillée ; Temps : 19-20°C ; Vent 1-2 m/s, E,</t>
  </si>
  <si>
    <t>2024W51/18-</t>
  </si>
  <si>
    <t>2024W51/19-01</t>
  </si>
  <si>
    <t>XOV019B Arrêt et repli mât 10:05 pour vent violent</t>
  </si>
  <si>
    <t>Matinée ensoleillée ; Temps : 18°C ; Vent 6 m/s, O et SO,</t>
  </si>
  <si>
    <t>2024W51/19-02</t>
  </si>
  <si>
    <t>Déplié à 10 m</t>
  </si>
  <si>
    <t>Après-midi couverture partielle avec éclaircies ; Temps : 10-12°C ; Vent 3-4 m/s, O,</t>
  </si>
  <si>
    <t>2024W51/19-03</t>
  </si>
  <si>
    <t>2024W51/19-04</t>
  </si>
  <si>
    <t>2024W51/19-</t>
  </si>
  <si>
    <t>2024W51/20-01</t>
  </si>
  <si>
    <t>Non déployé</t>
  </si>
  <si>
    <t>Matinée ensoleillée ; Temps : 18°C ; Vent 6 m/s, O et SO,Matinée ensoleillée ; Temps : 7-8°C ; Vent &lt; 1,5 m/s, S,</t>
  </si>
  <si>
    <t>2024W51/20-02</t>
  </si>
  <si>
    <t>Après-midi ensoleillée ; Temps : 18-20°C ; Vent 1,5-3,5 m/s, SO,</t>
  </si>
  <si>
    <t>2024W51/20-</t>
  </si>
  <si>
    <t>2025W41/10-01</t>
  </si>
  <si>
    <t>Pierced Cap 3 mm</t>
  </si>
  <si>
    <t>Après-midi ensoleillée avec quelques nuages ; Temp, : 23-25°C ; Vent : SudOuest</t>
  </si>
  <si>
    <t>2025W41/10-02</t>
  </si>
  <si>
    <t>2025W41/10-03</t>
  </si>
  <si>
    <t>2025W41/10-04</t>
  </si>
  <si>
    <t>Pierced Cap 5 mm</t>
  </si>
  <si>
    <t>2025W41/10-05</t>
  </si>
  <si>
    <t>2025W41/10-06</t>
  </si>
  <si>
    <t>2025W41/10-06bis</t>
  </si>
  <si>
    <t>2025W41/10-07</t>
  </si>
  <si>
    <t>2025W41/10-08</t>
  </si>
  <si>
    <t>Fitting 1/2" - 12 mm</t>
  </si>
  <si>
    <t>2025W41/10-08bis</t>
  </si>
  <si>
    <t>2025W41/10-</t>
  </si>
  <si>
    <t>Décomp,</t>
  </si>
  <si>
    <t>2025W42/17-01</t>
  </si>
  <si>
    <t>Vertical</t>
  </si>
  <si>
    <t>FT020</t>
  </si>
  <si>
    <t>Satellite UTC 11:13:19</t>
  </si>
  <si>
    <t>Après-midi ensoleillée, sans nuage, clair ; Temp, : 23-25°C ; Vent : 1,5-2,5 m/s, SudEst</t>
  </si>
  <si>
    <t>2025W42/17-</t>
  </si>
  <si>
    <t>2025W43/20-01</t>
  </si>
  <si>
    <t>Après-midi ensoleillée, quelques nuages ; Temp : 24-26°C ; Vent : 3-3,5 m/s, SudOuest</t>
  </si>
  <si>
    <t>2025W43/20-</t>
  </si>
  <si>
    <t>2025W43/21-02</t>
  </si>
  <si>
    <t>Matinée partiellement couverte ; Temp : 13-15°C ; Vent : 5 m/s, SudOuest</t>
  </si>
  <si>
    <t>2025W43/21-03</t>
  </si>
  <si>
    <t>2025W43/21-04</t>
  </si>
  <si>
    <t>2025W43/21-05</t>
  </si>
  <si>
    <t>Après-midi partiellement couverte ; Temp : 24-26°C ; Vent : 6 m/s, SudOuest</t>
  </si>
  <si>
    <t>2025W43/21-06</t>
  </si>
  <si>
    <t>2025W43/21-07</t>
  </si>
  <si>
    <t>2025W43/21-08</t>
  </si>
  <si>
    <t>2025W43/20-09</t>
  </si>
  <si>
    <t>2025W43/22-10</t>
  </si>
  <si>
    <t>Matinée partiellement couverte, sans pluie ; Temp : 14-16°C ; Vent : 3 m/s, SudEst</t>
  </si>
  <si>
    <t>2025W43/22-11</t>
  </si>
  <si>
    <t>2025W43/22-12</t>
  </si>
  <si>
    <t>Doublon du n°2</t>
  </si>
  <si>
    <t>2025W43/22-13</t>
  </si>
  <si>
    <t>2025W43/22-14</t>
  </si>
  <si>
    <t>Interférent spécifique CH4 Alim 6,5 bar</t>
  </si>
  <si>
    <t>Après-midi ensoleillée, partiellement couverte ; Temp : 25-27°C ; Vent : 3-3,5 m/s, SudOuest</t>
  </si>
  <si>
    <t>2025W43/22-15A</t>
  </si>
  <si>
    <t>Pierced Cap 4 mm</t>
  </si>
  <si>
    <t>2025W43/22-15B</t>
  </si>
  <si>
    <t>Interférent CO2</t>
  </si>
  <si>
    <t>2025W43/22-16</t>
  </si>
  <si>
    <t>Test limite détection</t>
  </si>
  <si>
    <t>17A</t>
  </si>
  <si>
    <t>2025W43/22-17A</t>
  </si>
  <si>
    <t>Test bruit de fond et émergences de 5 minutes</t>
  </si>
  <si>
    <t>17B</t>
  </si>
  <si>
    <t>2025W43/22-17B</t>
  </si>
  <si>
    <t>Pierced Cap 2,5 mm</t>
  </si>
  <si>
    <t>Test déclenchement soupape</t>
  </si>
  <si>
    <t>17C</t>
  </si>
  <si>
    <t>2025W43/22-17C</t>
  </si>
  <si>
    <t>2025W43/22-</t>
  </si>
  <si>
    <t>2025W44/30-18</t>
  </si>
  <si>
    <t>Test limite détection - A ajuster fct résultats Jour n-1</t>
  </si>
  <si>
    <t>Matinée ensoleillée ; Temp, : 10-12°C ; Vent : 2-3 m/s, SudEst</t>
  </si>
  <si>
    <t>2025W44/30-19</t>
  </si>
  <si>
    <t>2025W44/30-20A</t>
  </si>
  <si>
    <t>2025W44/30-20B</t>
  </si>
  <si>
    <t>2025W44/30-21</t>
  </si>
  <si>
    <t>Test longue durée : Justesse quantification</t>
  </si>
  <si>
    <t>Après-midi ensoleillée ; Temp, : 22-24°C ; Vent : 3-4 m/s, SudEst</t>
  </si>
  <si>
    <t>2025W44/30-22</t>
  </si>
  <si>
    <t>Test limite haute TADI Nord</t>
  </si>
  <si>
    <t>2025W44/30-23</t>
  </si>
  <si>
    <t>Doublon du n°11</t>
  </si>
  <si>
    <t>2025W44/30-24</t>
  </si>
  <si>
    <t>2025W44/30-25</t>
  </si>
  <si>
    <t>2025W44/30-</t>
  </si>
  <si>
    <t>2025W44/27-01</t>
  </si>
  <si>
    <t>Telescopic Mast</t>
  </si>
  <si>
    <t>FT010</t>
  </si>
  <si>
    <t>Flex inox DN10</t>
  </si>
  <si>
    <t>XOV019C</t>
  </si>
  <si>
    <t>Après-midi couverte ; Temp, : 15-16°C ; Vent : 4,5-5 m/s, SudOuest</t>
  </si>
  <si>
    <t>2025W44/28-01</t>
  </si>
  <si>
    <t>Après-midi ensoleillée ; Temp, : 23-25°C ; Vent : 4-5 m/s, Est</t>
  </si>
  <si>
    <t>2025W44/31-01</t>
  </si>
  <si>
    <t>Matinée couverte, sans pluie ; Temp, : 13-15°C ; Vent : 1-2 m/s, SudEst</t>
  </si>
  <si>
    <t>2025W44/31-</t>
  </si>
  <si>
    <t>2025W45/05-01A</t>
  </si>
  <si>
    <t>Matinée ensoleillée, partiellement couverte, sans pluie ; Temp, : 15-18°C ; Vent : 2-3 m/s, Sud</t>
  </si>
  <si>
    <t>2025W45/05-01B</t>
  </si>
  <si>
    <t>2025W45/05-01C</t>
  </si>
  <si>
    <t>2025W45/05-02A</t>
  </si>
  <si>
    <t>1,9 g/s au lieu de 2 g/s, trop de PdC</t>
  </si>
  <si>
    <t>2025W45/05-02B</t>
  </si>
  <si>
    <t>2025W45/05-02C</t>
  </si>
  <si>
    <t>2025W45/05-03A</t>
  </si>
  <si>
    <t>2025W45/05-03B</t>
  </si>
  <si>
    <t>2025W45/05-03C</t>
  </si>
  <si>
    <t>2025W45/05-04A</t>
  </si>
  <si>
    <t>2025W45/05-04B</t>
  </si>
  <si>
    <t>2025W45/05-04C</t>
  </si>
  <si>
    <t>2025W45/05-07A</t>
  </si>
  <si>
    <t>Après-midi couverte, sans pluie ; Temp, : 18°C ; 1,5-2,5 m/s, Sud</t>
  </si>
  <si>
    <t>2025W45/05-07B</t>
  </si>
  <si>
    <t>2025W45/05-07C</t>
  </si>
  <si>
    <t>2025W45/05-09A</t>
  </si>
  <si>
    <t>2025W45/05-09B</t>
  </si>
  <si>
    <t>2025W45/05-09C</t>
  </si>
  <si>
    <t>2025W45/05-</t>
  </si>
  <si>
    <t>2025W45/06-05A</t>
  </si>
  <si>
    <t>Matinée légèrement ensoleillée, partiellement couverte, sans pluie ; Temp, : 13°C ; Vent : 1-2 m/s, SudOuest</t>
  </si>
  <si>
    <t>2025W45/06-05B</t>
  </si>
  <si>
    <t>2025W45/06-05C</t>
  </si>
  <si>
    <t>2025W45/06-06A</t>
  </si>
  <si>
    <t>2025W45/06-06B</t>
  </si>
  <si>
    <t>2025W45/06-06C</t>
  </si>
  <si>
    <t>2025W45/06-13A</t>
  </si>
  <si>
    <t>2025W45/06-13B</t>
  </si>
  <si>
    <t>2025W45/06-13C</t>
  </si>
  <si>
    <t>13D</t>
  </si>
  <si>
    <t>2025W45/06-13D</t>
  </si>
  <si>
    <t>2025W45/06-11A</t>
  </si>
  <si>
    <t>2025W45/06-11B</t>
  </si>
  <si>
    <t>2025W45/06-11C</t>
  </si>
  <si>
    <t>2025W45/06-</t>
  </si>
  <si>
    <t>Sensor ID</t>
  </si>
  <si>
    <t>Coffret</t>
  </si>
  <si>
    <t>Adresse IP</t>
  </si>
  <si>
    <t>192,168,1,148</t>
  </si>
  <si>
    <t>192,168,1,142</t>
  </si>
  <si>
    <t>192,168,1,143</t>
  </si>
  <si>
    <t>192,168,1,146</t>
  </si>
  <si>
    <t>192,168,1,145</t>
  </si>
  <si>
    <t>192,168,1,141</t>
  </si>
  <si>
    <t>ROGUE4</t>
  </si>
  <si>
    <t>Structure robot</t>
  </si>
  <si>
    <t>Installation le 02/09/2025</t>
  </si>
  <si>
    <t>Public ID</t>
  </si>
  <si>
    <t>RDA-04</t>
  </si>
  <si>
    <t>e4-5f-01-8f-6f-95</t>
  </si>
  <si>
    <t>RCA-07</t>
  </si>
  <si>
    <t>e4-5f-01-8f-6f-04</t>
  </si>
  <si>
    <t>RCA-08</t>
  </si>
  <si>
    <t>e4-5f-01-8f-6d-ab</t>
  </si>
  <si>
    <t>RCA-04</t>
  </si>
  <si>
    <t>e4-5f-01-8f-6f-fb</t>
  </si>
  <si>
    <t>RCA-09</t>
  </si>
  <si>
    <t>e4-5f-01-8f-6f-9c</t>
  </si>
  <si>
    <t>RCA-06</t>
  </si>
  <si>
    <t>e4-5f-01-8f-72-89</t>
  </si>
  <si>
    <t>e4-5f-01-8f-6f-09</t>
  </si>
  <si>
    <t>label</t>
  </si>
  <si>
    <t>day</t>
  </si>
  <si>
    <t>start_time</t>
  </si>
  <si>
    <t>end_time</t>
  </si>
  <si>
    <t>Détection moyenne</t>
  </si>
  <si>
    <t>Commentaire</t>
  </si>
  <si>
    <t>samples</t>
  </si>
  <si>
    <t>weights (%)</t>
  </si>
  <si>
    <t>Detection rate</t>
  </si>
  <si>
    <t>émergence 5-15 kHz (dB)</t>
  </si>
  <si>
    <t>émergence 15-45 kHz (dB)</t>
  </si>
  <si>
    <t>Fri 17/10/25</t>
  </si>
  <si>
    <t>nacelle</t>
  </si>
  <si>
    <t>tronconneuse / pistolet d'air</t>
  </si>
  <si>
    <t>no detection</t>
  </si>
  <si>
    <t>detection</t>
  </si>
  <si>
    <t xml:space="preserve">émergence moy, bgn 5-15 kHz </t>
  </si>
  <si>
    <t>rain</t>
  </si>
  <si>
    <t xml:space="preserve">émergence moy, bgn 15-45 kHz </t>
  </si>
  <si>
    <t>pluie</t>
  </si>
  <si>
    <t>Mon 20/10/25</t>
  </si>
  <si>
    <t>Tue 21/10/25</t>
  </si>
  <si>
    <t>noise</t>
  </si>
  <si>
    <t>Changement de version du modèle / bruit d'engin</t>
  </si>
  <si>
    <t>tronçonneuse</t>
  </si>
  <si>
    <t>Wed 22/10/25</t>
  </si>
  <si>
    <t>pistolet à air</t>
  </si>
  <si>
    <t>Bande de fréquence</t>
  </si>
  <si>
    <t>Emergence (dB)</t>
  </si>
  <si>
    <t>détection</t>
  </si>
  <si>
    <t>engin</t>
  </si>
  <si>
    <t>5-15 kHz</t>
  </si>
  <si>
    <t>≤ 23 dB</t>
  </si>
  <si>
    <t>100 % de fuites non détectées</t>
  </si>
  <si>
    <t>&gt; 23 dB</t>
  </si>
  <si>
    <t>91 % de fuites détectées</t>
  </si>
  <si>
    <t>15-45 kHz</t>
  </si>
  <si>
    <t>≤ 12 dB</t>
  </si>
  <si>
    <t>100 % des fuites non détectées</t>
  </si>
  <si>
    <t>&gt; 12 dB</t>
  </si>
  <si>
    <t>82 % des fuites détectées</t>
  </si>
  <si>
    <t>Thu 30/10/25</t>
  </si>
  <si>
    <t>Mon 27/10/25</t>
  </si>
  <si>
    <t>Tue 28/10/25</t>
  </si>
  <si>
    <t>Fri 31/10/25</t>
  </si>
  <si>
    <t>Wed 05/11/25</t>
  </si>
  <si>
    <t>Thu 06/11/25</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</si>
</sst>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dd/mm/yyyy"/>
    <numFmt numFmtId="165" formatCode="d/m/yyyy"/>
    <numFmt numFmtId="166" formatCode="0.0%"/>
    <numFmt numFmtId="167" formatCode="d-m"/>
    <numFmt numFmtId="168" formatCode="dd/MM/yyyy"/>
    <numFmt numFmtId="169" formatCode="dd&quot;-&quot;mm&quot;-&quot;yyyy"/>
    <numFmt numFmtId="170" formatCode="HH:mm:ss"/>
    <numFmt numFmtId="171" formatCode="dd-mm"/>
    <numFmt numFmtId="172" formatCode="hh:mm:ss"/>
    <numFmt numFmtId="173" formatCode="yyyy-mm-dd"/>
    <numFmt numFmtId="174" formatCode="0.0"/>
    <numFmt numFmtId="175" formatCode="d.m"/>
    <numFmt numFmtId="176" formatCode="yyyy-mm-dd hh:mm:ss"/>
    <numFmt numFmtId="177" formatCode="yyyy,m,d"/>
    <numFmt numFmtId="178" formatCode="d,m,yyyy"/>
    <numFmt numFmtId="179" formatCode="dd/mm/yy"/>
    <numFmt numFmtId="180" formatCode="d/m/yy"/>
    <numFmt numFmtId="181" formatCode="[hh]:mm:ss"/>
  </numFmts>
  <fonts count="65">
    <font>
      <sz val="10.0"/>
      <color rgb="FF000000"/>
      <name val="Arial"/>
      <scheme val="minor"/>
    </font>
    <font>
      <b/>
      <color theme="1"/>
      <name val="Arial"/>
      <scheme val="minor"/>
    </font>
    <font>
      <color theme="1"/>
      <name val="Arial"/>
      <scheme val="minor"/>
    </font>
    <font>
      <u/>
      <color rgb="FF1155CC"/>
    </font>
    <font>
      <b/>
      <color rgb="FFFF0000"/>
      <name val="Arial"/>
      <scheme val="minor"/>
    </font>
    <font>
      <b/>
      <color rgb="FFFF0000"/>
      <name val="Arial"/>
    </font>
    <font>
      <b/>
      <color theme="1"/>
      <name val="Arial"/>
    </font>
    <font>
      <b/>
      <color rgb="FF000000"/>
      <name val="Arial"/>
    </font>
    <font>
      <color theme="1"/>
      <name val="Arial"/>
    </font>
    <font>
      <color rgb="FFFF0000"/>
      <name val="Arial"/>
    </font>
    <font>
      <b/>
      <sz val="11.0"/>
      <color rgb="FF000000"/>
      <name val="Calibri"/>
    </font>
    <font>
      <sz val="11.0"/>
      <color rgb="FF000000"/>
      <name val="Calibri"/>
    </font>
    <font>
      <sz val="9.0"/>
      <color rgb="FF000000"/>
      <name val="Calibri"/>
    </font>
    <font>
      <sz val="11.0"/>
      <color theme="1"/>
      <name val="Calibri"/>
    </font>
    <font>
      <sz val="8.0"/>
      <color rgb="FF000000"/>
      <name val="Calibri"/>
    </font>
    <font>
      <sz val="11.0"/>
      <color rgb="FFFF0000"/>
      <name val="Calibri"/>
    </font>
    <font>
      <i/>
      <sz val="11.0"/>
      <color rgb="FFFF0000"/>
      <name val="Calibri"/>
    </font>
    <font>
      <sz val="9.0"/>
      <color rgb="FFFF0000"/>
      <name val="Calibri"/>
    </font>
    <font>
      <b/>
      <sz val="11.0"/>
      <color theme="1"/>
      <name val="Calibri"/>
    </font>
    <font/>
    <font>
      <b/>
      <sz val="11.0"/>
      <color rgb="FFFFFFFF"/>
      <name val="Calibri"/>
    </font>
    <font>
      <color rgb="FF000000"/>
      <name val="Arial"/>
    </font>
    <font>
      <b/>
      <sz val="11.0"/>
      <color rgb="FFFF0000"/>
      <name val="Arial"/>
      <scheme val="minor"/>
    </font>
    <font>
      <b/>
      <sz val="11.0"/>
      <color rgb="FF000000"/>
      <name val="Arial"/>
      <scheme val="minor"/>
    </font>
    <font>
      <b/>
      <sz val="12.0"/>
      <color rgb="FFFF0000"/>
      <name val="Arial"/>
      <scheme val="minor"/>
    </font>
    <font>
      <b/>
      <sz val="10.0"/>
      <color rgb="FF000000"/>
      <name val="Arial"/>
      <scheme val="minor"/>
    </font>
    <font>
      <b/>
      <sz val="10.0"/>
      <color theme="1"/>
      <name val="Arial"/>
      <scheme val="minor"/>
    </font>
    <font>
      <sz val="10.0"/>
      <color theme="1"/>
      <name val="Arial"/>
      <scheme val="minor"/>
    </font>
    <font>
      <sz val="10.0"/>
      <color rgb="FFFF0000"/>
      <name val="Arial"/>
      <scheme val="minor"/>
    </font>
    <font>
      <u/>
      <sz val="10.0"/>
      <color rgb="FF0000FF"/>
    </font>
    <font>
      <sz val="10.0"/>
      <color theme="0"/>
      <name val="Arial"/>
      <scheme val="minor"/>
    </font>
    <font>
      <b/>
      <sz val="10.0"/>
      <color rgb="FFFF0000"/>
      <name val="Arial"/>
      <scheme val="minor"/>
    </font>
    <font>
      <sz val="10.0"/>
      <color rgb="FF1F3864"/>
      <name val="Arial"/>
      <scheme val="minor"/>
    </font>
    <font>
      <sz val="10.0"/>
      <color rgb="FFFFFFFF"/>
      <name val="Arial"/>
      <scheme val="minor"/>
    </font>
    <font>
      <color theme="1"/>
      <name val="Monospace"/>
    </font>
    <font>
      <color theme="1"/>
      <name val="&quot;Helvetica Neue&quot;"/>
    </font>
    <font>
      <sz val="10.0"/>
      <color rgb="FF000000"/>
      <name val="Monospace"/>
    </font>
    <font>
      <sz val="10.0"/>
      <color rgb="FF000000"/>
      <name val="&quot;Helvetica Neue&quot;"/>
    </font>
    <font>
      <sz val="10.0"/>
      <color rgb="FF000000"/>
      <name val="&quot;docs-Helvetica Neue&quot;"/>
    </font>
    <font>
      <sz val="10.0"/>
      <color rgb="FF000000"/>
      <name val="&quot;Calibri&quot;"/>
    </font>
    <font>
      <sz val="10.0"/>
      <color rgb="FF203864"/>
      <name val="&quot;Calibri&quot;"/>
    </font>
    <font>
      <sz val="10.0"/>
      <color rgb="FF843C0B"/>
      <name val="&quot;Calibri&quot;"/>
    </font>
    <font>
      <sz val="10.0"/>
      <color theme="1"/>
      <name val="&quot;Calibri&quot;"/>
    </font>
    <font>
      <sz val="11.0"/>
      <color rgb="FF203764"/>
      <name val="Calibri"/>
    </font>
    <font>
      <sz val="11.0"/>
      <color rgb="FF833C0C"/>
      <name val="Calibri"/>
    </font>
    <font>
      <b/>
      <sz val="12.0"/>
      <color rgb="FF000000"/>
      <name val="Calibri"/>
    </font>
    <font>
      <sz val="12.0"/>
      <color rgb="FF203764"/>
      <name val="Calibri"/>
    </font>
    <font>
      <b/>
      <sz val="10.0"/>
      <color rgb="FF000000"/>
      <name val="&quot;Calibri&quot;"/>
    </font>
    <font>
      <b/>
      <i/>
      <sz val="11.0"/>
      <color rgb="FF24292E"/>
      <name val="Arial"/>
      <scheme val="minor"/>
    </font>
    <font>
      <color rgb="FFFF0000"/>
      <name val="Arial"/>
      <scheme val="minor"/>
    </font>
    <font>
      <b/>
      <sz val="11.0"/>
      <color rgb="FF24292E"/>
      <name val="Arial"/>
      <scheme val="minor"/>
    </font>
    <font>
      <sz val="11.0"/>
      <color rgb="FF24292E"/>
      <name val="Arial"/>
      <scheme val="minor"/>
    </font>
    <font>
      <sz val="11.0"/>
      <color rgb="FFFF0000"/>
      <name val="Arial"/>
      <scheme val="minor"/>
    </font>
    <font>
      <sz val="11.0"/>
      <color theme="1"/>
      <name val="Arial"/>
      <scheme val="minor"/>
    </font>
    <font>
      <sz val="11.0"/>
      <color rgb="FF000000"/>
      <name val="Arial"/>
      <scheme val="minor"/>
    </font>
    <font>
      <b/>
      <sz val="11.0"/>
      <color theme="1"/>
      <name val="Arial"/>
      <scheme val="minor"/>
    </font>
    <font>
      <b/>
      <sz val="8.0"/>
      <color theme="1"/>
      <name val="Maven Pro"/>
    </font>
    <font>
      <sz val="8.0"/>
      <color rgb="FF000000"/>
      <name val="&quot;Maven Pro&quot;"/>
    </font>
    <font>
      <sz val="8.0"/>
      <color theme="1"/>
      <name val="Maven Pro"/>
    </font>
    <font>
      <b/>
      <sz val="7.0"/>
      <color theme="1"/>
      <name val="Maven Pro"/>
    </font>
    <font>
      <color theme="1"/>
      <name val="Maven Pro"/>
    </font>
    <font>
      <sz val="7.0"/>
      <color theme="1"/>
      <name val="Maven Pro"/>
    </font>
    <font>
      <sz val="8.0"/>
      <color theme="1"/>
      <name val="Arial"/>
      <scheme val="minor"/>
    </font>
    <font>
      <b/>
      <sz val="8.0"/>
      <color theme="1"/>
      <name val="Courier New"/>
    </font>
    <font>
      <sz val="8.0"/>
      <color theme="1"/>
      <name val="&quot;Liberation Sans&quot;"/>
    </font>
  </fonts>
  <fills count="18">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D9D9D9"/>
        <bgColor rgb="FFD9D9D9"/>
      </patternFill>
    </fill>
    <fill>
      <patternFill patternType="solid">
        <fgColor rgb="FFFF0000"/>
        <bgColor rgb="FFFF0000"/>
      </patternFill>
    </fill>
    <fill>
      <patternFill patternType="solid">
        <fgColor rgb="FFFCE8B2"/>
        <bgColor rgb="FFFCE8B2"/>
      </patternFill>
    </fill>
    <fill>
      <patternFill patternType="solid">
        <fgColor rgb="FFFFFFFF"/>
        <bgColor rgb="FFFFFFFF"/>
      </patternFill>
    </fill>
    <fill>
      <patternFill patternType="solid">
        <fgColor rgb="FFCCCCCC"/>
        <bgColor rgb="FFCCCCCC"/>
      </patternFill>
    </fill>
    <fill>
      <patternFill patternType="solid">
        <fgColor rgb="FF000000"/>
        <bgColor rgb="FF000000"/>
      </patternFill>
    </fill>
    <fill>
      <patternFill patternType="solid">
        <fgColor theme="1"/>
        <bgColor theme="1"/>
      </patternFill>
    </fill>
    <fill>
      <patternFill patternType="solid">
        <fgColor rgb="FFB7E1CD"/>
        <bgColor rgb="FFB7E1CD"/>
      </patternFill>
    </fill>
    <fill>
      <patternFill patternType="solid">
        <fgColor rgb="FFF4C7C3"/>
        <bgColor rgb="FFF4C7C3"/>
      </patternFill>
    </fill>
    <fill>
      <patternFill patternType="solid">
        <fgColor rgb="FF42A5F5"/>
        <bgColor rgb="FF42A5F5"/>
      </patternFill>
    </fill>
    <fill>
      <patternFill patternType="solid">
        <fgColor rgb="FFF5F5F5"/>
        <bgColor rgb="FFF5F5F5"/>
      </patternFill>
    </fill>
    <fill>
      <patternFill patternType="solid">
        <fgColor rgb="FFDDEBF7"/>
        <bgColor rgb="FFDDEBF7"/>
      </patternFill>
    </fill>
    <fill>
      <patternFill patternType="solid">
        <fgColor rgb="FFBDD7EE"/>
        <bgColor rgb="FFBDD7EE"/>
      </patternFill>
    </fill>
  </fills>
  <borders count="122">
    <border/>
    <border>
      <bottom style="thin">
        <color rgb="FF000000"/>
      </bottom>
    </border>
    <border>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rder>
    <border>
      <right style="thin">
        <color rgb="FF000000"/>
      </right>
      <top style="dotted">
        <color rgb="FF000000"/>
      </top>
      <bottom style="thin">
        <color rgb="FF000000"/>
      </bottom>
    </border>
    <border>
      <top style="dotted">
        <color rgb="FF000000"/>
      </top>
      <bottom style="thin">
        <color rgb="FF000000"/>
      </bottom>
    </border>
    <border>
      <left style="thin">
        <color rgb="FF000000"/>
      </left>
      <top style="dotted">
        <color rgb="FF000000"/>
      </top>
      <bottom style="thin">
        <color rgb="FF000000"/>
      </bottom>
    </border>
    <border>
      <left style="thin">
        <color rgb="FF000000"/>
      </left>
      <right style="thin">
        <color rgb="FF000000"/>
      </right>
      <bottom style="dotted">
        <color rgb="FF000000"/>
      </bottom>
    </border>
    <border>
      <right style="thin">
        <color rgb="FF000000"/>
      </right>
      <bottom style="dotted">
        <color rgb="FF000000"/>
      </bottom>
    </border>
    <border>
      <right style="thin">
        <color rgb="FF000000"/>
      </right>
      <top style="thin">
        <color rgb="FF000000"/>
      </top>
    </border>
    <border>
      <left style="thin">
        <color rgb="FF000000"/>
      </left>
      <top style="thin">
        <color rgb="FF000000"/>
      </top>
    </border>
    <border>
      <bottom style="dotted">
        <color rgb="FF000000"/>
      </bottom>
    </border>
    <border>
      <left style="thin">
        <color rgb="FF000000"/>
      </left>
      <bottom style="dotted">
        <color rgb="FF000000"/>
      </bottom>
    </border>
    <border>
      <left style="thin">
        <color rgb="FF000000"/>
      </left>
      <right style="thin">
        <color rgb="FF000000"/>
      </right>
      <top style="dotted">
        <color rgb="FF000000"/>
      </top>
    </border>
    <border>
      <right style="thin">
        <color rgb="FF000000"/>
      </right>
      <top style="dotted">
        <color rgb="FF000000"/>
      </top>
    </border>
    <border>
      <top style="dotted">
        <color rgb="FF000000"/>
      </top>
    </border>
    <border>
      <left style="thin">
        <color rgb="FF000000"/>
      </left>
      <top style="dotted">
        <color rgb="FF000000"/>
      </top>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medium">
        <color rgb="FF000000"/>
      </left>
      <right style="thin">
        <color rgb="FF000000"/>
      </right>
      <top style="thin">
        <color rgb="FF000000"/>
      </top>
    </border>
    <border>
      <left style="thin">
        <color rgb="FF000000"/>
      </left>
      <right style="medium">
        <color rgb="FF000000"/>
      </right>
    </border>
    <border>
      <left style="medium">
        <color rgb="FF000000"/>
      </left>
      <right style="thin">
        <color rgb="FF000000"/>
      </right>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right style="thick">
        <color rgb="FF000000"/>
      </right>
      <top style="medium">
        <color rgb="FF000000"/>
      </top>
      <bottom style="thin">
        <color rgb="FF000000"/>
      </bottom>
    </border>
    <border>
      <left style="thin">
        <color rgb="FF000000"/>
      </left>
      <right style="medium">
        <color rgb="FF000000"/>
      </right>
      <top style="thin">
        <color rgb="FF000000"/>
      </top>
    </border>
    <border>
      <right style="thin">
        <color rgb="FF000000"/>
      </right>
      <bottom style="medium">
        <color rgb="FF000000"/>
      </bottom>
    </border>
    <border>
      <left style="thin">
        <color rgb="FF000000"/>
      </left>
      <bottom style="medium">
        <color rgb="FF000000"/>
      </bottom>
    </border>
    <border>
      <left style="thin">
        <color rgb="FF000000"/>
      </left>
      <right style="medium">
        <color rgb="FF000000"/>
      </right>
      <bottom style="medium">
        <color rgb="FF000000"/>
      </bottom>
    </border>
    <border>
      <right style="thick">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hair">
        <color rgb="FF000000"/>
      </bottom>
    </border>
    <border>
      <left style="medium">
        <color rgb="FF000000"/>
      </left>
      <bottom style="thin">
        <color rgb="FF000000"/>
      </bottom>
    </border>
    <border>
      <right style="thick">
        <color rgb="FF000000"/>
      </right>
      <top style="thin">
        <color rgb="FF000000"/>
      </top>
    </border>
    <border>
      <left style="hair">
        <color rgb="FF000000"/>
      </left>
      <right style="hair">
        <color rgb="FF000000"/>
      </right>
      <bottom style="thin">
        <color rgb="FF000000"/>
      </bottom>
    </border>
    <border>
      <left style="hair">
        <color rgb="FF000000"/>
      </left>
      <right style="hair">
        <color rgb="FF000000"/>
      </right>
    </border>
    <border>
      <top style="thick">
        <color rgb="FF000000"/>
      </top>
    </border>
    <border>
      <left style="medium">
        <color rgb="FF000000"/>
      </left>
      <top style="thick">
        <color rgb="FF000000"/>
      </top>
    </border>
    <border>
      <right style="thin">
        <color rgb="FF000000"/>
      </right>
      <top style="thick">
        <color rgb="FF000000"/>
      </top>
    </border>
    <border>
      <left style="thin">
        <color rgb="FF000000"/>
      </left>
      <top style="thick">
        <color rgb="FF000000"/>
      </top>
    </border>
    <border>
      <right style="medium">
        <color rgb="FF000000"/>
      </right>
      <top style="thick">
        <color rgb="FF000000"/>
      </top>
    </border>
    <border>
      <left style="thin">
        <color rgb="FF000000"/>
      </left>
      <right style="medium">
        <color rgb="FF000000"/>
      </right>
      <top style="thick">
        <color rgb="FF000000"/>
      </top>
    </border>
    <border>
      <left style="thin">
        <color rgb="FF000000"/>
      </left>
      <right style="thin">
        <color rgb="FF000000"/>
      </right>
      <top style="thick">
        <color rgb="FF000000"/>
      </top>
    </border>
    <border>
      <left style="thin">
        <color rgb="FF000000"/>
      </left>
      <right style="medium">
        <color rgb="FF000000"/>
      </righ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right style="thick">
        <color rgb="FF000000"/>
      </right>
      <top style="thin">
        <color rgb="FF000000"/>
      </top>
      <bottom style="thin">
        <color rgb="FF000000"/>
      </bottom>
    </border>
    <border>
      <right style="thick">
        <color rgb="FF000000"/>
      </right>
      <bottom style="thin">
        <color rgb="FF000000"/>
      </bottom>
    </border>
    <border>
      <left style="medium">
        <color rgb="FF000000"/>
      </left>
      <bottom style="thin">
        <color rgb="FFB7B7B7"/>
      </bottom>
    </border>
    <border>
      <bottom style="thin">
        <color rgb="FFB7B7B7"/>
      </bottom>
    </border>
    <border>
      <right style="thin">
        <color rgb="FF000000"/>
      </right>
      <bottom style="thin">
        <color rgb="FFB7B7B7"/>
      </bottom>
    </border>
    <border>
      <left style="thin">
        <color rgb="FF000000"/>
      </left>
      <bottom style="thin">
        <color rgb="FFB7B7B7"/>
      </bottom>
    </border>
    <border>
      <right style="medium">
        <color rgb="FF000000"/>
      </right>
      <bottom style="thin">
        <color rgb="FFB7B7B7"/>
      </bottom>
    </border>
    <border>
      <right style="thick">
        <color rgb="FF000000"/>
      </right>
      <bottom style="thin">
        <color rgb="FFB7B7B7"/>
      </bottom>
    </border>
    <border>
      <left style="thin">
        <color rgb="FF000000"/>
      </left>
      <right style="medium">
        <color rgb="FF000000"/>
      </right>
      <bottom style="thin">
        <color rgb="FFB7B7B7"/>
      </bottom>
    </border>
    <border>
      <left style="thin">
        <color rgb="FF000000"/>
      </left>
      <right style="thin">
        <color rgb="FF000000"/>
      </right>
      <bottom style="thin">
        <color rgb="FFB7B7B7"/>
      </bottom>
    </border>
    <border>
      <left style="medium">
        <color rgb="FF000000"/>
      </left>
      <top style="thin">
        <color rgb="FFB7B7B7"/>
      </top>
      <bottom style="thin">
        <color rgb="FFB7B7B7"/>
      </bottom>
    </border>
    <border>
      <top style="thin">
        <color rgb="FFB7B7B7"/>
      </top>
      <bottom style="thin">
        <color rgb="FFB7B7B7"/>
      </bottom>
    </border>
    <border>
      <right style="thin">
        <color rgb="FF000000"/>
      </right>
      <top style="thin">
        <color rgb="FFB7B7B7"/>
      </top>
      <bottom style="thin">
        <color rgb="FFB7B7B7"/>
      </bottom>
    </border>
    <border>
      <left style="thin">
        <color rgb="FF000000"/>
      </left>
      <top style="thin">
        <color rgb="FFB7B7B7"/>
      </top>
      <bottom style="thin">
        <color rgb="FFB7B7B7"/>
      </bottom>
    </border>
    <border>
      <right style="medium">
        <color rgb="FF000000"/>
      </right>
      <top style="thin">
        <color rgb="FFB7B7B7"/>
      </top>
      <bottom style="thin">
        <color rgb="FFB7B7B7"/>
      </bottom>
    </border>
    <border>
      <right style="thick">
        <color rgb="FF000000"/>
      </right>
      <top style="thin">
        <color rgb="FFB7B7B7"/>
      </top>
      <bottom style="thin">
        <color rgb="FFB7B7B7"/>
      </bottom>
    </border>
    <border>
      <left style="thin">
        <color rgb="FF000000"/>
      </left>
      <right style="medium">
        <color rgb="FF000000"/>
      </right>
      <top style="thin">
        <color rgb="FFB7B7B7"/>
      </top>
      <bottom style="thin">
        <color rgb="FFB7B7B7"/>
      </bottom>
    </border>
    <border>
      <left style="thin">
        <color rgb="FF000000"/>
      </left>
      <right style="thin">
        <color rgb="FF000000"/>
      </right>
      <top style="thin">
        <color rgb="FFB7B7B7"/>
      </top>
      <bottom style="thin">
        <color rgb="FFB7B7B7"/>
      </bottom>
    </border>
    <border>
      <top style="medium">
        <color rgb="FF000000"/>
      </top>
    </border>
    <border>
      <left style="medium">
        <color rgb="FF000000"/>
      </left>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right style="thick">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top style="medium">
        <color rgb="FF000000"/>
      </top>
    </border>
    <border>
      <right style="medium">
        <color rgb="FF000000"/>
      </right>
      <bottom style="thick">
        <color rgb="FF000000"/>
      </bottom>
    </border>
    <border>
      <bottom style="thick">
        <color rgb="FF000000"/>
      </bottom>
    </border>
    <border>
      <right style="thin">
        <color rgb="FF000000"/>
      </right>
      <bottom style="thick">
        <color rgb="FF000000"/>
      </bottom>
    </border>
    <border>
      <left style="thin">
        <color rgb="FF000000"/>
      </left>
      <bottom style="thick">
        <color rgb="FF000000"/>
      </bottom>
    </border>
    <border>
      <left style="medium">
        <color rgb="FF000000"/>
      </left>
      <bottom style="thick">
        <color rgb="FF000000"/>
      </bottom>
    </border>
    <border>
      <left style="thin">
        <color rgb="FF000000"/>
      </left>
      <right style="thin">
        <color rgb="FF000000"/>
      </right>
      <bottom style="thick">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rder>
    <border>
      <left style="medium">
        <color rgb="FF000000"/>
      </left>
      <top style="thin">
        <color rgb="FF000000"/>
      </top>
      <bottom style="medium">
        <color rgb="FF000000"/>
      </bottom>
    </border>
  </borders>
  <cellStyleXfs count="1">
    <xf borderId="0" fillId="0" fontId="0" numFmtId="0" applyAlignment="1" applyFont="1"/>
  </cellStyleXfs>
  <cellXfs count="1413">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2" numFmtId="165" xfId="0" applyAlignment="1" applyFont="1" applyNumberFormat="1">
      <alignment readingOrder="0"/>
    </xf>
    <xf borderId="0" fillId="0" fontId="2" numFmtId="0" xfId="0" applyFont="1"/>
    <xf borderId="2" fillId="0" fontId="1" numFmtId="0" xfId="0" applyBorder="1" applyFont="1"/>
    <xf borderId="2" fillId="0" fontId="4" numFmtId="0" xfId="0" applyAlignment="1" applyBorder="1" applyFont="1">
      <alignment readingOrder="0"/>
    </xf>
    <xf borderId="2" fillId="0" fontId="4" numFmtId="0" xfId="0" applyBorder="1" applyFont="1"/>
    <xf borderId="1" fillId="0" fontId="1" numFmtId="0" xfId="0" applyAlignment="1" applyBorder="1" applyFont="1">
      <alignment readingOrder="0"/>
    </xf>
    <xf borderId="1" fillId="0" fontId="2" numFmtId="0" xfId="0" applyBorder="1" applyFont="1"/>
    <xf borderId="1" fillId="0" fontId="1" numFmtId="0" xfId="0" applyBorder="1" applyFont="1"/>
    <xf borderId="0" fillId="0" fontId="5" numFmtId="0" xfId="0" applyAlignment="1" applyFont="1">
      <alignment horizontal="center" vertical="bottom"/>
    </xf>
    <xf borderId="3" fillId="0" fontId="5" numFmtId="0" xfId="0" applyAlignment="1" applyBorder="1" applyFont="1">
      <alignment horizontal="center" vertical="bottom"/>
    </xf>
    <xf borderId="4" fillId="2" fontId="6" numFmtId="0" xfId="0" applyAlignment="1" applyBorder="1" applyFont="1">
      <alignment horizontal="center" vertical="bottom"/>
    </xf>
    <xf borderId="5" fillId="2" fontId="6" numFmtId="0" xfId="0" applyAlignment="1" applyBorder="1" applyFont="1">
      <alignment horizontal="center" vertical="bottom"/>
    </xf>
    <xf borderId="0" fillId="0" fontId="6" numFmtId="0" xfId="0" applyAlignment="1" applyFont="1">
      <alignment horizontal="center" vertical="bottom"/>
    </xf>
    <xf borderId="6" fillId="2" fontId="6" numFmtId="0" xfId="0" applyAlignment="1" applyBorder="1" applyFont="1">
      <alignment horizontal="center" readingOrder="0" vertical="bottom"/>
    </xf>
    <xf borderId="1" fillId="0" fontId="7" numFmtId="0" xfId="0" applyAlignment="1" applyBorder="1" applyFont="1">
      <alignment horizontal="right" vertical="bottom"/>
    </xf>
    <xf borderId="7" fillId="3" fontId="8" numFmtId="0" xfId="0" applyAlignment="1" applyBorder="1" applyFill="1" applyFont="1">
      <alignment horizontal="right" readingOrder="0" vertical="bottom"/>
    </xf>
    <xf borderId="6" fillId="2" fontId="1" numFmtId="0" xfId="0" applyAlignment="1" applyBorder="1" applyFont="1">
      <alignment horizontal="right" readingOrder="0"/>
    </xf>
    <xf borderId="8" fillId="2" fontId="1" numFmtId="0" xfId="0" applyBorder="1" applyFont="1"/>
    <xf borderId="7" fillId="0" fontId="8" numFmtId="0" xfId="0" applyAlignment="1" applyBorder="1" applyFont="1">
      <alignment horizontal="right" readingOrder="0" vertical="bottom"/>
    </xf>
    <xf borderId="9" fillId="2" fontId="6" numFmtId="0" xfId="0" applyAlignment="1" applyBorder="1" applyFont="1">
      <alignment horizontal="center" readingOrder="0" vertical="bottom"/>
    </xf>
    <xf borderId="0" fillId="0" fontId="8" numFmtId="0" xfId="0" applyAlignment="1" applyFont="1">
      <alignment horizontal="right" vertical="bottom"/>
    </xf>
    <xf borderId="10" fillId="0" fontId="8" numFmtId="166" xfId="0" applyAlignment="1" applyBorder="1" applyFont="1" applyNumberFormat="1">
      <alignment horizontal="right" vertical="bottom"/>
    </xf>
    <xf borderId="11" fillId="2" fontId="6" numFmtId="0" xfId="0" applyAlignment="1" applyBorder="1" applyFont="1">
      <alignment horizontal="center" vertical="bottom"/>
    </xf>
    <xf borderId="12" fillId="0" fontId="8" numFmtId="166" xfId="0" applyAlignment="1" applyBorder="1" applyFont="1" applyNumberFormat="1">
      <alignment horizontal="right" vertical="bottom"/>
    </xf>
    <xf borderId="11" fillId="2" fontId="6" numFmtId="0" xfId="0" applyAlignment="1" applyBorder="1" applyFont="1">
      <alignment horizontal="center" readingOrder="0" vertical="bottom"/>
    </xf>
    <xf borderId="11" fillId="2" fontId="6" numFmtId="45" xfId="0" applyAlignment="1" applyBorder="1" applyFont="1" applyNumberFormat="1">
      <alignment horizontal="center" vertical="bottom"/>
    </xf>
    <xf borderId="11" fillId="2" fontId="6" numFmtId="18" xfId="0" applyAlignment="1" applyBorder="1" applyFont="1" applyNumberFormat="1">
      <alignment horizontal="center" vertical="bottom"/>
    </xf>
    <xf borderId="11" fillId="2" fontId="6" numFmtId="0" xfId="0" applyAlignment="1" applyBorder="1" applyFont="1">
      <alignment horizontal="center" vertical="bottom"/>
    </xf>
    <xf borderId="13" fillId="2" fontId="6" numFmtId="0" xfId="0" applyAlignment="1" applyBorder="1" applyFont="1">
      <alignment horizontal="center" vertical="bottom"/>
    </xf>
    <xf borderId="14" fillId="0" fontId="8" numFmtId="0" xfId="0" applyAlignment="1" applyBorder="1" applyFont="1">
      <alignment horizontal="right" vertical="bottom"/>
    </xf>
    <xf borderId="15" fillId="0" fontId="8" numFmtId="166" xfId="0" applyAlignment="1" applyBorder="1" applyFont="1" applyNumberFormat="1">
      <alignment horizontal="right" vertical="bottom"/>
    </xf>
    <xf borderId="8" fillId="0" fontId="5" numFmtId="0" xfId="0" applyAlignment="1" applyBorder="1" applyFont="1">
      <alignment horizontal="center" vertical="bottom"/>
    </xf>
    <xf borderId="8" fillId="2" fontId="6" numFmtId="0" xfId="0" applyAlignment="1" applyBorder="1" applyFont="1">
      <alignment horizontal="center" vertical="bottom"/>
    </xf>
    <xf borderId="0" fillId="0" fontId="6" numFmtId="0" xfId="0" applyAlignment="1" applyFont="1">
      <alignment horizontal="center" readingOrder="0" vertical="bottom"/>
    </xf>
    <xf borderId="8" fillId="2" fontId="6" numFmtId="0" xfId="0" applyAlignment="1" applyBorder="1" applyFont="1">
      <alignment horizontal="center" readingOrder="0" vertical="bottom"/>
    </xf>
    <xf borderId="8" fillId="0" fontId="6" numFmtId="0" xfId="0" applyAlignment="1" applyBorder="1" applyFont="1">
      <alignment horizontal="right" vertical="bottom"/>
    </xf>
    <xf borderId="8" fillId="3" fontId="8" numFmtId="0" xfId="0" applyAlignment="1" applyBorder="1" applyFont="1">
      <alignment horizontal="right" readingOrder="0" vertical="bottom"/>
    </xf>
    <xf borderId="8" fillId="0" fontId="8" numFmtId="0" xfId="0" applyAlignment="1" applyBorder="1" applyFont="1">
      <alignment horizontal="right" vertical="bottom"/>
    </xf>
    <xf borderId="8" fillId="0" fontId="8" numFmtId="166" xfId="0" applyAlignment="1" applyBorder="1" applyFont="1" applyNumberFormat="1">
      <alignment horizontal="right" vertical="bottom"/>
    </xf>
    <xf borderId="0" fillId="0" fontId="1" numFmtId="0" xfId="0" applyAlignment="1" applyFont="1">
      <alignment horizontal="center" readingOrder="0"/>
    </xf>
    <xf borderId="8" fillId="2" fontId="1" numFmtId="0" xfId="0" applyAlignment="1" applyBorder="1" applyFont="1">
      <alignment horizontal="center" readingOrder="0"/>
    </xf>
    <xf borderId="8" fillId="2" fontId="1" numFmtId="0" xfId="0" applyAlignment="1" applyBorder="1" applyFont="1">
      <alignment horizontal="right" readingOrder="0"/>
    </xf>
    <xf borderId="16" fillId="4" fontId="2" numFmtId="0" xfId="0" applyAlignment="1" applyBorder="1" applyFill="1" applyFont="1">
      <alignment readingOrder="0"/>
    </xf>
    <xf borderId="17" fillId="4" fontId="2" numFmtId="0" xfId="0" applyBorder="1" applyFont="1"/>
    <xf borderId="1" fillId="0" fontId="6" numFmtId="0" xfId="0" applyAlignment="1" applyBorder="1" applyFont="1">
      <alignment horizontal="right" vertical="bottom"/>
    </xf>
    <xf borderId="0" fillId="0" fontId="6" numFmtId="167" xfId="0" applyAlignment="1" applyFont="1" applyNumberFormat="1">
      <alignment horizontal="center" vertical="bottom"/>
    </xf>
    <xf borderId="8" fillId="2" fontId="6" numFmtId="167" xfId="0" applyAlignment="1" applyBorder="1" applyFont="1" applyNumberFormat="1">
      <alignment horizontal="center" readingOrder="0" vertical="bottom"/>
    </xf>
    <xf borderId="18" fillId="0" fontId="8" numFmtId="0" xfId="0" applyAlignment="1" applyBorder="1" applyFont="1">
      <alignment horizontal="right" vertical="bottom"/>
    </xf>
    <xf borderId="0" fillId="0" fontId="9" numFmtId="0" xfId="0" applyAlignment="1" applyFont="1">
      <alignment shrinkToFit="0" vertical="bottom" wrapText="0"/>
    </xf>
    <xf borderId="0" fillId="0" fontId="8" numFmtId="0" xfId="0" applyAlignment="1" applyFont="1">
      <alignment vertical="bottom"/>
    </xf>
    <xf borderId="8" fillId="4" fontId="8" numFmtId="0" xfId="0" applyAlignment="1" applyBorder="1" applyFont="1">
      <alignment horizontal="right" readingOrder="0" vertical="bottom"/>
    </xf>
    <xf borderId="8" fillId="2" fontId="10" numFmtId="0" xfId="0" applyAlignment="1" applyBorder="1" applyFont="1">
      <alignment horizontal="center" vertical="bottom"/>
    </xf>
    <xf borderId="8" fillId="2" fontId="10" numFmtId="0" xfId="0" applyAlignment="1" applyBorder="1" applyFont="1">
      <alignment horizontal="center" readingOrder="0" vertical="bottom"/>
    </xf>
    <xf borderId="8" fillId="2" fontId="8" numFmtId="0" xfId="0" applyAlignment="1" applyBorder="1" applyFont="1">
      <alignment vertical="bottom"/>
    </xf>
    <xf borderId="8" fillId="2" fontId="6" numFmtId="0" xfId="0" applyAlignment="1" applyBorder="1" applyFont="1">
      <alignment horizontal="left" readingOrder="0" vertical="bottom"/>
    </xf>
    <xf borderId="8" fillId="0" fontId="8" numFmtId="0" xfId="0" applyAlignment="1" applyBorder="1" applyFont="1">
      <alignment horizontal="right" readingOrder="0" vertical="bottom"/>
    </xf>
    <xf borderId="1" fillId="0" fontId="8" numFmtId="0" xfId="0" applyAlignment="1" applyBorder="1" applyFont="1">
      <alignment vertical="bottom"/>
    </xf>
    <xf borderId="8" fillId="0" fontId="8" numFmtId="0" xfId="0" applyAlignment="1" applyBorder="1" applyFont="1">
      <alignment vertical="bottom"/>
    </xf>
    <xf borderId="19" fillId="0" fontId="8" numFmtId="0" xfId="0" applyAlignment="1" applyBorder="1" applyFont="1">
      <alignment vertical="bottom"/>
    </xf>
    <xf borderId="19" fillId="4" fontId="8" numFmtId="0" xfId="0" applyAlignment="1" applyBorder="1" applyFont="1">
      <alignment readingOrder="0" vertical="bottom"/>
    </xf>
    <xf borderId="20" fillId="2" fontId="8" numFmtId="0" xfId="0" applyAlignment="1" applyBorder="1" applyFont="1">
      <alignment vertical="bottom"/>
    </xf>
    <xf borderId="20" fillId="2" fontId="6" numFmtId="0" xfId="0" applyAlignment="1" applyBorder="1" applyFont="1">
      <alignment vertical="bottom"/>
    </xf>
    <xf borderId="20" fillId="0" fontId="8" numFmtId="166" xfId="0" applyAlignment="1" applyBorder="1" applyFont="1" applyNumberFormat="1">
      <alignment horizontal="right" vertical="bottom"/>
    </xf>
    <xf borderId="0" fillId="0" fontId="11" numFmtId="0" xfId="0" applyAlignment="1" applyFont="1">
      <alignment horizontal="center" vertical="bottom"/>
    </xf>
    <xf borderId="20" fillId="0" fontId="11" numFmtId="0" xfId="0" applyAlignment="1" applyBorder="1" applyFont="1">
      <alignment horizontal="center" vertical="bottom"/>
    </xf>
    <xf borderId="20" fillId="0" fontId="8" numFmtId="0" xfId="0" applyAlignment="1" applyBorder="1" applyFont="1">
      <alignment vertical="bottom"/>
    </xf>
    <xf borderId="20" fillId="2" fontId="8" numFmtId="0" xfId="0" applyAlignment="1" applyBorder="1" applyFont="1">
      <alignment horizontal="center" vertical="bottom"/>
    </xf>
    <xf borderId="19" fillId="2" fontId="8" numFmtId="0" xfId="0" applyAlignment="1" applyBorder="1" applyFont="1">
      <alignment horizontal="center" vertical="bottom"/>
    </xf>
    <xf borderId="19" fillId="2" fontId="6" numFmtId="0" xfId="0" applyAlignment="1" applyBorder="1" applyFont="1">
      <alignment readingOrder="0" vertical="bottom"/>
    </xf>
    <xf borderId="1" fillId="0" fontId="8" numFmtId="0" xfId="0" applyAlignment="1" applyBorder="1" applyFont="1">
      <alignment horizontal="right" vertical="bottom"/>
    </xf>
    <xf borderId="19" fillId="0" fontId="8" numFmtId="166" xfId="0" applyAlignment="1" applyBorder="1" applyFont="1" applyNumberFormat="1">
      <alignment horizontal="right" vertical="bottom"/>
    </xf>
    <xf borderId="1" fillId="0" fontId="11" numFmtId="0" xfId="0" applyAlignment="1" applyBorder="1" applyFont="1">
      <alignment horizontal="center" vertical="bottom"/>
    </xf>
    <xf borderId="19" fillId="0" fontId="11" numFmtId="0" xfId="0" applyAlignment="1" applyBorder="1" applyFont="1">
      <alignment horizontal="center" vertical="bottom"/>
    </xf>
    <xf borderId="8" fillId="0" fontId="5" numFmtId="0" xfId="0" applyAlignment="1" applyBorder="1" applyFont="1">
      <alignment horizontal="center" readingOrder="0" vertical="bottom"/>
    </xf>
    <xf borderId="8" fillId="0" fontId="2" numFmtId="0" xfId="0" applyBorder="1" applyFont="1"/>
    <xf borderId="21" fillId="2" fontId="6" numFmtId="0" xfId="0" applyAlignment="1" applyBorder="1" applyFont="1">
      <alignment horizontal="center" vertical="bottom"/>
    </xf>
    <xf borderId="21" fillId="0" fontId="8" numFmtId="166" xfId="0" applyAlignment="1" applyBorder="1" applyFont="1" applyNumberFormat="1">
      <alignment horizontal="right" vertical="bottom"/>
    </xf>
    <xf borderId="8" fillId="0" fontId="2" numFmtId="0" xfId="0" applyAlignment="1" applyBorder="1" applyFont="1">
      <alignment horizontal="center"/>
    </xf>
    <xf borderId="20" fillId="2" fontId="6" numFmtId="0" xfId="0" applyAlignment="1" applyBorder="1" applyFont="1">
      <alignment horizontal="center" readingOrder="0" vertical="bottom"/>
    </xf>
    <xf borderId="20" fillId="2" fontId="6" numFmtId="0" xfId="0" applyAlignment="1" applyBorder="1" applyFont="1">
      <alignment horizontal="center" vertical="bottom"/>
    </xf>
    <xf borderId="19" fillId="2" fontId="6" numFmtId="0" xfId="0" applyAlignment="1" applyBorder="1" applyFont="1">
      <alignment horizontal="center" readingOrder="0" vertical="bottom"/>
    </xf>
    <xf borderId="19" fillId="0" fontId="8" numFmtId="0" xfId="0" applyAlignment="1" applyBorder="1" applyFont="1">
      <alignment horizontal="right" vertical="bottom"/>
    </xf>
    <xf borderId="0" fillId="0" fontId="2" numFmtId="0" xfId="0" applyAlignment="1" applyFont="1">
      <alignment horizontal="center"/>
    </xf>
    <xf borderId="2" fillId="0" fontId="2" numFmtId="0" xfId="0" applyBorder="1" applyFont="1"/>
    <xf borderId="22" fillId="0" fontId="2" numFmtId="0" xfId="0" applyBorder="1" applyFont="1"/>
    <xf borderId="22" fillId="0" fontId="2" numFmtId="45" xfId="0" applyBorder="1" applyFont="1" applyNumberFormat="1"/>
    <xf borderId="8" fillId="5" fontId="10" numFmtId="0" xfId="0" applyAlignment="1" applyBorder="1" applyFill="1" applyFont="1">
      <alignment horizontal="center" readingOrder="0" shrinkToFit="0" wrapText="1"/>
    </xf>
    <xf borderId="23" fillId="5" fontId="10" numFmtId="0" xfId="0" applyAlignment="1" applyBorder="1" applyFont="1">
      <alignment horizontal="center" readingOrder="0" shrinkToFit="0" wrapText="1"/>
    </xf>
    <xf borderId="18" fillId="5" fontId="10" numFmtId="0" xfId="0" applyAlignment="1" applyBorder="1" applyFont="1">
      <alignment horizontal="center" readingOrder="0" shrinkToFit="0" wrapText="1"/>
    </xf>
    <xf borderId="24" fillId="5" fontId="10" numFmtId="0" xfId="0" applyAlignment="1" applyBorder="1" applyFont="1">
      <alignment horizontal="center" readingOrder="0" shrinkToFit="0" wrapText="1"/>
    </xf>
    <xf borderId="0" fillId="0" fontId="10" numFmtId="0" xfId="0" applyAlignment="1" applyFont="1">
      <alignment horizontal="center"/>
    </xf>
    <xf borderId="8" fillId="5" fontId="10" numFmtId="0" xfId="0" applyAlignment="1" applyBorder="1" applyFont="1">
      <alignment horizontal="center" readingOrder="0"/>
    </xf>
    <xf borderId="0" fillId="0" fontId="11" numFmtId="0" xfId="0" applyAlignment="1" applyFont="1">
      <alignment shrinkToFit="0" vertical="bottom" wrapText="0"/>
    </xf>
    <xf borderId="8" fillId="0" fontId="11" numFmtId="0" xfId="0" applyAlignment="1" applyBorder="1" applyFont="1">
      <alignment horizontal="center" readingOrder="0" shrinkToFit="0" wrapText="0"/>
    </xf>
    <xf borderId="23" fillId="0" fontId="11" numFmtId="0" xfId="0" applyAlignment="1" applyBorder="1" applyFont="1">
      <alignment horizontal="center" readingOrder="0" shrinkToFit="0" wrapText="0"/>
    </xf>
    <xf borderId="17" fillId="0" fontId="11" numFmtId="0" xfId="0" applyAlignment="1" applyBorder="1" applyFont="1">
      <alignment horizontal="center" readingOrder="0" shrinkToFit="0" wrapText="0"/>
    </xf>
    <xf borderId="23" fillId="0" fontId="12" numFmtId="0" xfId="0" applyAlignment="1" applyBorder="1" applyFont="1">
      <alignment horizontal="center" readingOrder="0" shrinkToFit="0" wrapText="0"/>
    </xf>
    <xf borderId="23" fillId="0" fontId="11" numFmtId="0" xfId="0" applyAlignment="1" applyBorder="1" applyFont="1">
      <alignment horizontal="center" readingOrder="0"/>
    </xf>
    <xf borderId="0" fillId="0" fontId="11" numFmtId="0" xfId="0" applyAlignment="1" applyFont="1">
      <alignment horizontal="center" shrinkToFit="0" wrapText="0"/>
    </xf>
    <xf borderId="8" fillId="0" fontId="10" numFmtId="0" xfId="0" applyAlignment="1" applyBorder="1" applyFont="1">
      <alignment horizontal="center" readingOrder="0"/>
    </xf>
    <xf borderId="23" fillId="0" fontId="10" numFmtId="0" xfId="0" applyAlignment="1" applyBorder="1" applyFont="1">
      <alignment horizontal="center" readingOrder="0"/>
    </xf>
    <xf borderId="19" fillId="0" fontId="11" numFmtId="0" xfId="0" applyAlignment="1" applyBorder="1" applyFont="1">
      <alignment horizontal="center" readingOrder="0" shrinkToFit="0" wrapText="0"/>
    </xf>
    <xf borderId="17" fillId="0" fontId="12" numFmtId="0" xfId="0" applyAlignment="1" applyBorder="1" applyFont="1">
      <alignment horizontal="center" readingOrder="0" shrinkToFit="0" wrapText="0"/>
    </xf>
    <xf borderId="17" fillId="0" fontId="11" numFmtId="0" xfId="0" applyAlignment="1" applyBorder="1" applyFont="1">
      <alignment horizontal="center" readingOrder="0"/>
    </xf>
    <xf borderId="20" fillId="0" fontId="11" numFmtId="0" xfId="0" applyAlignment="1" applyBorder="1" applyFont="1">
      <alignment horizontal="center" readingOrder="0" shrinkToFit="0" wrapText="0"/>
    </xf>
    <xf borderId="25" fillId="0" fontId="11" numFmtId="0" xfId="0" applyAlignment="1" applyBorder="1" applyFont="1">
      <alignment horizontal="center" readingOrder="0" shrinkToFit="0" wrapText="0"/>
    </xf>
    <xf borderId="25" fillId="0" fontId="12" numFmtId="0" xfId="0" applyAlignment="1" applyBorder="1" applyFont="1">
      <alignment horizontal="center" readingOrder="0" shrinkToFit="0" wrapText="0"/>
    </xf>
    <xf borderId="25" fillId="0" fontId="11" numFmtId="0" xfId="0" applyAlignment="1" applyBorder="1" applyFont="1">
      <alignment horizontal="center" readingOrder="0"/>
    </xf>
    <xf borderId="26" fillId="0" fontId="11" numFmtId="0" xfId="0" applyAlignment="1" applyBorder="1" applyFont="1">
      <alignment horizontal="center" readingOrder="0" shrinkToFit="0" wrapText="0"/>
    </xf>
    <xf borderId="27" fillId="0" fontId="12" numFmtId="0" xfId="0" applyAlignment="1" applyBorder="1" applyFont="1">
      <alignment horizontal="center" readingOrder="0" shrinkToFit="0" wrapText="0"/>
    </xf>
    <xf borderId="28" fillId="0" fontId="12" numFmtId="0" xfId="0" applyAlignment="1" applyBorder="1" applyFont="1">
      <alignment horizontal="center" readingOrder="0" shrinkToFit="0" wrapText="0"/>
    </xf>
    <xf borderId="28" fillId="0" fontId="11" numFmtId="0" xfId="0" applyAlignment="1" applyBorder="1" applyFont="1">
      <alignment horizontal="center" readingOrder="0" shrinkToFit="0" wrapText="0"/>
    </xf>
    <xf borderId="8" fillId="0" fontId="11" numFmtId="0" xfId="0" applyAlignment="1" applyBorder="1" applyFont="1">
      <alignment horizontal="center" readingOrder="0"/>
    </xf>
    <xf borderId="0" fillId="0" fontId="12" numFmtId="0" xfId="0" applyAlignment="1" applyFont="1">
      <alignment horizontal="center" readingOrder="0" shrinkToFit="0" wrapText="0"/>
    </xf>
    <xf borderId="22" fillId="0" fontId="12" numFmtId="0" xfId="0" applyAlignment="1" applyBorder="1" applyFont="1">
      <alignment horizontal="center" readingOrder="0" shrinkToFit="0" wrapText="0"/>
    </xf>
    <xf borderId="22" fillId="0" fontId="11" numFmtId="0" xfId="0" applyAlignment="1" applyBorder="1" applyFont="1">
      <alignment horizontal="center" readingOrder="0" shrinkToFit="0" wrapText="0"/>
    </xf>
    <xf borderId="20" fillId="0" fontId="11" numFmtId="0" xfId="0" applyAlignment="1" applyBorder="1" applyFont="1">
      <alignment horizontal="center" readingOrder="0"/>
    </xf>
    <xf borderId="26" fillId="0" fontId="12" numFmtId="0" xfId="0" applyAlignment="1" applyBorder="1" applyFont="1">
      <alignment horizontal="center" readingOrder="0" shrinkToFit="0" wrapText="0"/>
    </xf>
    <xf borderId="26" fillId="0" fontId="11" numFmtId="0" xfId="0" applyAlignment="1" applyBorder="1" applyFont="1">
      <alignment horizontal="center" readingOrder="0"/>
    </xf>
    <xf borderId="19" fillId="0" fontId="13" numFmtId="0" xfId="0" applyAlignment="1" applyBorder="1" applyFont="1">
      <alignment horizontal="center" readingOrder="0" shrinkToFit="0" wrapText="0"/>
    </xf>
    <xf borderId="29" fillId="0" fontId="11" numFmtId="0" xfId="0" applyAlignment="1" applyBorder="1" applyFont="1">
      <alignment horizontal="center" readingOrder="0" shrinkToFit="0" wrapText="0"/>
    </xf>
    <xf borderId="30" fillId="0" fontId="11" numFmtId="0" xfId="0" applyAlignment="1" applyBorder="1" applyFont="1">
      <alignment horizontal="center" readingOrder="0" shrinkToFit="0" wrapText="0"/>
    </xf>
    <xf borderId="30" fillId="0" fontId="12" numFmtId="0" xfId="0" applyAlignment="1" applyBorder="1" applyFont="1">
      <alignment horizontal="center" readingOrder="0" shrinkToFit="0" wrapText="0"/>
    </xf>
    <xf borderId="30" fillId="0" fontId="11" numFmtId="0" xfId="0" applyAlignment="1" applyBorder="1" applyFont="1">
      <alignment horizontal="center" readingOrder="0"/>
    </xf>
    <xf borderId="31" fillId="0" fontId="11" numFmtId="0" xfId="0" applyAlignment="1" applyBorder="1" applyFont="1">
      <alignment horizontal="center" readingOrder="0" shrinkToFit="0" wrapText="0"/>
    </xf>
    <xf borderId="2" fillId="0" fontId="12" numFmtId="0" xfId="0" applyAlignment="1" applyBorder="1" applyFont="1">
      <alignment horizontal="center" readingOrder="0" shrinkToFit="0" wrapText="0"/>
    </xf>
    <xf borderId="32" fillId="0" fontId="12" numFmtId="0" xfId="0" applyAlignment="1" applyBorder="1" applyFont="1">
      <alignment horizontal="center" readingOrder="0" shrinkToFit="0" wrapText="0"/>
    </xf>
    <xf borderId="32" fillId="0" fontId="11" numFmtId="0" xfId="0" applyAlignment="1" applyBorder="1" applyFont="1">
      <alignment horizontal="center" readingOrder="0" shrinkToFit="0" wrapText="0"/>
    </xf>
    <xf borderId="24" fillId="0" fontId="11" numFmtId="0" xfId="0" applyAlignment="1" applyBorder="1" applyFont="1">
      <alignment horizontal="center" readingOrder="0" shrinkToFit="0" wrapText="0"/>
    </xf>
    <xf borderId="18" fillId="0" fontId="12" numFmtId="0" xfId="0" applyAlignment="1" applyBorder="1" applyFont="1">
      <alignment horizontal="center" readingOrder="0" shrinkToFit="0" wrapText="0"/>
    </xf>
    <xf borderId="24" fillId="0" fontId="12" numFmtId="0" xfId="0" applyAlignment="1" applyBorder="1" applyFont="1">
      <alignment horizontal="center" readingOrder="0" shrinkToFit="0" wrapText="0"/>
    </xf>
    <xf borderId="8" fillId="0" fontId="12" numFmtId="0" xfId="0" applyAlignment="1" applyBorder="1" applyFont="1">
      <alignment horizontal="center" readingOrder="0" shrinkToFit="0" wrapText="0"/>
    </xf>
    <xf borderId="16" fillId="0" fontId="11" numFmtId="0" xfId="0" applyAlignment="1" applyBorder="1" applyFont="1">
      <alignment horizontal="center" readingOrder="0" shrinkToFit="0" wrapText="0"/>
    </xf>
    <xf borderId="1" fillId="0" fontId="12" numFmtId="0" xfId="0" applyAlignment="1" applyBorder="1" applyFont="1">
      <alignment horizontal="center" readingOrder="0" shrinkToFit="0" wrapText="0"/>
    </xf>
    <xf borderId="16" fillId="0" fontId="12" numFmtId="0" xfId="0" applyAlignment="1" applyBorder="1" applyFont="1">
      <alignment horizontal="center" readingOrder="0" shrinkToFit="0" wrapText="0"/>
    </xf>
    <xf borderId="26" fillId="0" fontId="14" numFmtId="0" xfId="0" applyAlignment="1" applyBorder="1" applyFont="1">
      <alignment horizontal="center" readingOrder="0" shrinkToFit="0" wrapText="0"/>
    </xf>
    <xf borderId="19" fillId="0" fontId="12" numFmtId="0" xfId="0" applyAlignment="1" applyBorder="1" applyFont="1">
      <alignment horizontal="center" readingOrder="0" shrinkToFit="0" wrapText="0"/>
    </xf>
    <xf borderId="21" fillId="0" fontId="11" numFmtId="0" xfId="0" applyAlignment="1" applyBorder="1" applyFont="1">
      <alignment horizontal="center" readingOrder="0" shrinkToFit="0" wrapText="0"/>
    </xf>
    <xf borderId="33" fillId="0" fontId="12" numFmtId="0" xfId="0" applyAlignment="1" applyBorder="1" applyFont="1">
      <alignment horizontal="center" readingOrder="0" shrinkToFit="0" wrapText="0"/>
    </xf>
    <xf borderId="34" fillId="0" fontId="12" numFmtId="0" xfId="0" applyAlignment="1" applyBorder="1" applyFont="1">
      <alignment horizontal="center" readingOrder="0" shrinkToFit="0" wrapText="0"/>
    </xf>
    <xf borderId="29" fillId="0" fontId="12" numFmtId="0" xfId="0" applyAlignment="1" applyBorder="1" applyFont="1">
      <alignment horizontal="center" readingOrder="0" shrinkToFit="0" wrapText="0"/>
    </xf>
    <xf borderId="17" fillId="0" fontId="14" numFmtId="0" xfId="0" applyAlignment="1" applyBorder="1" applyFont="1">
      <alignment horizontal="center" readingOrder="0" shrinkToFit="0" wrapText="0"/>
    </xf>
    <xf borderId="35" fillId="0" fontId="11" numFmtId="0" xfId="0" applyAlignment="1" applyBorder="1" applyFont="1">
      <alignment horizontal="center" readingOrder="0" shrinkToFit="0" wrapText="0"/>
    </xf>
    <xf borderId="36" fillId="0" fontId="11" numFmtId="0" xfId="0" applyAlignment="1" applyBorder="1" applyFont="1">
      <alignment horizontal="center" readingOrder="0" shrinkToFit="0" wrapText="0"/>
    </xf>
    <xf borderId="37" fillId="0" fontId="12" numFmtId="0" xfId="0" applyAlignment="1" applyBorder="1" applyFont="1">
      <alignment horizontal="center" readingOrder="0" shrinkToFit="0" wrapText="0"/>
    </xf>
    <xf borderId="38" fillId="0" fontId="12" numFmtId="0" xfId="0" applyAlignment="1" applyBorder="1" applyFont="1">
      <alignment horizontal="center" readingOrder="0" shrinkToFit="0" wrapText="0"/>
    </xf>
    <xf borderId="38" fillId="0" fontId="11" numFmtId="0" xfId="0" applyAlignment="1" applyBorder="1" applyFont="1">
      <alignment horizontal="center" readingOrder="0" shrinkToFit="0" wrapText="0"/>
    </xf>
    <xf borderId="19" fillId="0" fontId="15" numFmtId="0" xfId="0" applyAlignment="1" applyBorder="1" applyFont="1">
      <alignment horizontal="center" readingOrder="0" shrinkToFit="0" wrapText="0"/>
    </xf>
    <xf borderId="17" fillId="0" fontId="15" numFmtId="0" xfId="0" applyAlignment="1" applyBorder="1" applyFont="1">
      <alignment horizontal="center" readingOrder="0" shrinkToFit="0" wrapText="0"/>
    </xf>
    <xf borderId="17" fillId="0" fontId="16" numFmtId="0" xfId="0" applyAlignment="1" applyBorder="1" applyFont="1">
      <alignment horizontal="center" readingOrder="0" shrinkToFit="0" wrapText="0"/>
    </xf>
    <xf borderId="1" fillId="0" fontId="17" numFmtId="0" xfId="0" applyAlignment="1" applyBorder="1" applyFont="1">
      <alignment horizontal="center" readingOrder="0" shrinkToFit="0" wrapText="0"/>
    </xf>
    <xf borderId="16" fillId="0" fontId="17" numFmtId="0" xfId="0" applyAlignment="1" applyBorder="1" applyFont="1">
      <alignment horizontal="center" readingOrder="0" shrinkToFit="0" wrapText="0"/>
    </xf>
    <xf borderId="16" fillId="0" fontId="15" numFmtId="0" xfId="0" applyAlignment="1" applyBorder="1" applyFont="1">
      <alignment horizontal="center" readingOrder="0" shrinkToFit="0" wrapText="0"/>
    </xf>
    <xf borderId="39" fillId="0" fontId="18" numFmtId="0" xfId="0" applyAlignment="1" applyBorder="1" applyFont="1">
      <alignment horizontal="center" readingOrder="0" vertical="bottom"/>
    </xf>
    <xf borderId="40" fillId="0" fontId="19" numFmtId="0" xfId="0" applyBorder="1" applyFont="1"/>
    <xf borderId="0" fillId="0" fontId="13" numFmtId="0" xfId="0" applyAlignment="1" applyFont="1">
      <alignment vertical="bottom"/>
    </xf>
    <xf borderId="41" fillId="6" fontId="20" numFmtId="0" xfId="0" applyAlignment="1" applyBorder="1" applyFill="1" applyFont="1">
      <alignment readingOrder="0" vertical="bottom"/>
    </xf>
    <xf borderId="42" fillId="6" fontId="8" numFmtId="0" xfId="0" applyAlignment="1" applyBorder="1" applyFont="1">
      <alignment readingOrder="0" vertical="bottom"/>
    </xf>
    <xf borderId="32" fillId="2" fontId="6" numFmtId="0" xfId="0" applyAlignment="1" applyBorder="1" applyFont="1">
      <alignment horizontal="center" shrinkToFit="0" vertical="bottom" wrapText="0"/>
    </xf>
    <xf borderId="31" fillId="0" fontId="19" numFmtId="0" xfId="0" applyBorder="1" applyFont="1"/>
    <xf borderId="41" fillId="0" fontId="10" numFmtId="0" xfId="0" applyAlignment="1" applyBorder="1" applyFont="1">
      <alignment readingOrder="0" vertical="bottom"/>
    </xf>
    <xf borderId="42" fillId="0" fontId="21" numFmtId="0" xfId="0" applyAlignment="1" applyBorder="1" applyFont="1">
      <alignment readingOrder="0" vertical="bottom"/>
    </xf>
    <xf borderId="22" fillId="0" fontId="8" numFmtId="0" xfId="0" applyAlignment="1" applyBorder="1" applyFont="1">
      <alignment readingOrder="0" vertical="bottom"/>
    </xf>
    <xf borderId="25" fillId="0" fontId="8" numFmtId="0" xfId="0" applyAlignment="1" applyBorder="1" applyFont="1">
      <alignment readingOrder="0" vertical="bottom"/>
    </xf>
    <xf borderId="41" fillId="3" fontId="18" numFmtId="0" xfId="0" applyAlignment="1" applyBorder="1" applyFont="1">
      <alignment readingOrder="0" vertical="bottom"/>
    </xf>
    <xf borderId="42" fillId="3" fontId="8" numFmtId="0" xfId="0" applyAlignment="1" applyBorder="1" applyFont="1">
      <alignment readingOrder="0" vertical="bottom"/>
    </xf>
    <xf borderId="25" fillId="0" fontId="6" numFmtId="0" xfId="0" applyAlignment="1" applyBorder="1" applyFont="1">
      <alignment readingOrder="0" vertical="bottom"/>
    </xf>
    <xf borderId="41" fillId="7" fontId="18" numFmtId="0" xfId="0" applyAlignment="1" applyBorder="1" applyFill="1" applyFont="1">
      <alignment readingOrder="0" vertical="bottom"/>
    </xf>
    <xf borderId="42" fillId="7" fontId="8" numFmtId="0" xfId="0" applyAlignment="1" applyBorder="1" applyFont="1">
      <alignment readingOrder="0" vertical="bottom"/>
    </xf>
    <xf borderId="43" fillId="4" fontId="18" numFmtId="0" xfId="0" applyAlignment="1" applyBorder="1" applyFont="1">
      <alignment readingOrder="0" vertical="bottom"/>
    </xf>
    <xf borderId="44" fillId="4" fontId="8" numFmtId="0" xfId="0" applyAlignment="1" applyBorder="1" applyFont="1">
      <alignment readingOrder="0" vertical="bottom"/>
    </xf>
    <xf borderId="16" fillId="0" fontId="2" numFmtId="0" xfId="0" applyAlignment="1" applyBorder="1" applyFont="1">
      <alignment readingOrder="0"/>
    </xf>
    <xf borderId="17" fillId="0" fontId="2" numFmtId="0" xfId="0" applyAlignment="1" applyBorder="1" applyFont="1">
      <alignment readingOrder="0"/>
    </xf>
    <xf borderId="0" fillId="0" fontId="18" numFmtId="0" xfId="0" applyAlignment="1" applyFont="1">
      <alignment readingOrder="0" vertical="bottom"/>
    </xf>
    <xf borderId="2" fillId="0" fontId="22" numFmtId="0" xfId="0" applyAlignment="1" applyBorder="1" applyFont="1">
      <alignment readingOrder="0" vertical="bottom"/>
    </xf>
    <xf borderId="2" fillId="0" fontId="9" numFmtId="0" xfId="0" applyAlignment="1" applyBorder="1" applyFont="1">
      <alignment vertical="bottom"/>
    </xf>
    <xf borderId="2" fillId="0" fontId="13" numFmtId="0" xfId="0" applyAlignment="1" applyBorder="1" applyFont="1">
      <alignment vertical="bottom"/>
    </xf>
    <xf borderId="0" fillId="2" fontId="1" numFmtId="0" xfId="0" applyAlignment="1" applyFont="1">
      <alignment readingOrder="0"/>
    </xf>
    <xf borderId="0" fillId="2" fontId="6" numFmtId="0" xfId="0" applyAlignment="1" applyFont="1">
      <alignment vertical="bottom"/>
    </xf>
    <xf borderId="24" fillId="2" fontId="6" numFmtId="0" xfId="0" applyAlignment="1" applyBorder="1" applyFont="1">
      <alignment horizontal="center" shrinkToFit="0" vertical="bottom" wrapText="0"/>
    </xf>
    <xf borderId="23" fillId="0" fontId="19" numFmtId="0" xfId="0" applyBorder="1" applyFont="1"/>
    <xf borderId="24" fillId="2" fontId="6" numFmtId="0" xfId="0" applyAlignment="1" applyBorder="1" applyFont="1">
      <alignment horizontal="center" readingOrder="0" vertical="bottom"/>
    </xf>
    <xf borderId="24" fillId="2" fontId="6" numFmtId="0" xfId="0" applyAlignment="1" applyBorder="1" applyFont="1">
      <alignment horizontal="center" vertical="bottom"/>
    </xf>
    <xf borderId="24" fillId="2" fontId="6" numFmtId="49" xfId="0" applyAlignment="1" applyBorder="1" applyFont="1" applyNumberFormat="1">
      <alignment horizontal="center" vertical="bottom"/>
    </xf>
    <xf borderId="8" fillId="2" fontId="6" numFmtId="0" xfId="0" applyAlignment="1" applyBorder="1" applyFont="1">
      <alignment readingOrder="0" vertical="bottom"/>
    </xf>
    <xf borderId="8" fillId="2" fontId="8" numFmtId="0" xfId="0" applyAlignment="1" applyBorder="1" applyFont="1">
      <alignment horizontal="center" vertical="bottom"/>
    </xf>
    <xf borderId="8" fillId="2" fontId="6" numFmtId="0" xfId="0" applyAlignment="1" applyBorder="1" applyFont="1">
      <alignment vertical="bottom"/>
    </xf>
    <xf borderId="0" fillId="0" fontId="6" numFmtId="0" xfId="0" applyAlignment="1" applyFont="1">
      <alignment horizontal="right" vertical="bottom"/>
    </xf>
    <xf borderId="8" fillId="0" fontId="6" numFmtId="166" xfId="0" applyAlignment="1" applyBorder="1" applyFont="1" applyNumberFormat="1">
      <alignment horizontal="right" vertical="bottom"/>
    </xf>
    <xf borderId="0" fillId="0" fontId="6" numFmtId="0" xfId="0" applyAlignment="1" applyFont="1">
      <alignment vertical="bottom"/>
    </xf>
    <xf borderId="8" fillId="2" fontId="8" numFmtId="166" xfId="0" applyAlignment="1" applyBorder="1" applyFont="1" applyNumberFormat="1">
      <alignment vertical="bottom"/>
    </xf>
    <xf borderId="23" fillId="8" fontId="21" numFmtId="4" xfId="0" applyAlignment="1" applyBorder="1" applyFill="1" applyFont="1" applyNumberFormat="1">
      <alignment horizontal="right" vertical="bottom"/>
    </xf>
    <xf borderId="8" fillId="8" fontId="21" numFmtId="4" xfId="0" applyAlignment="1" applyBorder="1" applyFont="1" applyNumberFormat="1">
      <alignment horizontal="right" vertical="bottom"/>
    </xf>
    <xf borderId="23" fillId="0" fontId="8" numFmtId="4" xfId="0" applyAlignment="1" applyBorder="1" applyFont="1" applyNumberFormat="1">
      <alignment horizontal="right" vertical="bottom"/>
    </xf>
    <xf borderId="8" fillId="0" fontId="8" numFmtId="4" xfId="0" applyAlignment="1" applyBorder="1" applyFont="1" applyNumberFormat="1">
      <alignment horizontal="right" vertical="bottom"/>
    </xf>
    <xf borderId="17" fillId="4" fontId="1" numFmtId="0" xfId="0" applyBorder="1" applyFont="1"/>
    <xf borderId="0" fillId="0" fontId="2" numFmtId="168" xfId="0" applyAlignment="1" applyFont="1" applyNumberFormat="1">
      <alignment readingOrder="0"/>
    </xf>
    <xf borderId="0" fillId="0" fontId="1" numFmtId="0" xfId="0" applyFont="1"/>
    <xf borderId="2" fillId="2" fontId="23" numFmtId="4" xfId="0" applyAlignment="1" applyBorder="1" applyFont="1" applyNumberFormat="1">
      <alignment readingOrder="0"/>
    </xf>
    <xf borderId="2" fillId="2" fontId="2" numFmtId="0" xfId="0" applyBorder="1" applyFont="1"/>
    <xf borderId="2" fillId="0" fontId="2" numFmtId="168" xfId="0" applyAlignment="1" applyBorder="1" applyFont="1" applyNumberFormat="1">
      <alignment readingOrder="0"/>
    </xf>
    <xf borderId="2" fillId="0" fontId="2" numFmtId="164" xfId="0" applyAlignment="1" applyBorder="1" applyFont="1" applyNumberFormat="1">
      <alignment readingOrder="0"/>
    </xf>
    <xf borderId="0" fillId="2" fontId="6" numFmtId="168" xfId="0" applyAlignment="1" applyFont="1" applyNumberFormat="1">
      <alignment readingOrder="0" vertical="bottom"/>
    </xf>
    <xf borderId="24" fillId="2" fontId="6" numFmtId="0" xfId="0" applyAlignment="1" applyBorder="1" applyFont="1">
      <alignment horizontal="center" readingOrder="0" shrinkToFit="0" vertical="bottom" wrapText="0"/>
    </xf>
    <xf borderId="0" fillId="2" fontId="6" numFmtId="165" xfId="0" applyAlignment="1" applyFont="1" applyNumberFormat="1">
      <alignment readingOrder="0" vertical="bottom"/>
    </xf>
    <xf borderId="0" fillId="0" fontId="8" numFmtId="0" xfId="0" applyAlignment="1" applyFont="1">
      <alignment horizontal="center" vertical="bottom"/>
    </xf>
    <xf borderId="0" fillId="0" fontId="6" numFmtId="166" xfId="0" applyAlignment="1" applyFont="1" applyNumberFormat="1">
      <alignment horizontal="right" vertical="bottom"/>
    </xf>
    <xf borderId="0" fillId="0" fontId="8" numFmtId="4" xfId="0" applyAlignment="1" applyFont="1" applyNumberFormat="1">
      <alignment horizontal="right" vertical="bottom"/>
    </xf>
    <xf borderId="18" fillId="8" fontId="21" numFmtId="4" xfId="0" applyAlignment="1" applyBorder="1" applyFont="1" applyNumberFormat="1">
      <alignment horizontal="right" vertical="bottom"/>
    </xf>
    <xf borderId="0" fillId="0" fontId="8" numFmtId="166" xfId="0" applyAlignment="1" applyFont="1" applyNumberFormat="1">
      <alignment horizontal="right" vertical="bottom"/>
    </xf>
    <xf borderId="0" fillId="8" fontId="21" numFmtId="4" xfId="0" applyAlignment="1" applyFont="1" applyNumberFormat="1">
      <alignment horizontal="right" vertical="bottom"/>
    </xf>
    <xf borderId="24" fillId="2" fontId="1" numFmtId="0" xfId="0" applyAlignment="1" applyBorder="1" applyFont="1">
      <alignment horizontal="center" readingOrder="0"/>
    </xf>
    <xf borderId="24" fillId="2" fontId="6" numFmtId="49" xfId="0" applyAlignment="1" applyBorder="1" applyFont="1" applyNumberFormat="1">
      <alignment horizontal="center" readingOrder="0" vertical="bottom"/>
    </xf>
    <xf borderId="25" fillId="0" fontId="6" numFmtId="0" xfId="0" applyAlignment="1" applyBorder="1" applyFont="1">
      <alignment horizontal="right" vertical="bottom"/>
    </xf>
    <xf borderId="23" fillId="8" fontId="21" numFmtId="46" xfId="0" applyAlignment="1" applyBorder="1" applyFont="1" applyNumberFormat="1">
      <alignment horizontal="right" vertical="bottom"/>
    </xf>
    <xf borderId="23" fillId="0" fontId="8" numFmtId="46" xfId="0" applyAlignment="1" applyBorder="1" applyFont="1" applyNumberFormat="1">
      <alignment horizontal="right" vertical="bottom"/>
    </xf>
    <xf borderId="8" fillId="2" fontId="8" numFmtId="0" xfId="0" applyAlignment="1" applyBorder="1" applyFont="1">
      <alignment readingOrder="0" vertical="bottom"/>
    </xf>
    <xf borderId="8" fillId="0" fontId="8" numFmtId="46" xfId="0" applyAlignment="1" applyBorder="1" applyFont="1" applyNumberFormat="1">
      <alignment horizontal="right" vertical="bottom"/>
    </xf>
    <xf borderId="3" fillId="0" fontId="7" numFmtId="0" xfId="0" applyAlignment="1" applyBorder="1" applyFont="1">
      <alignment horizontal="center" vertical="bottom"/>
    </xf>
    <xf borderId="4" fillId="2" fontId="6" numFmtId="0" xfId="0" applyAlignment="1" applyBorder="1" applyFont="1">
      <alignment horizontal="center" readingOrder="0" vertical="bottom"/>
    </xf>
    <xf borderId="5" fillId="2" fontId="6" numFmtId="0" xfId="0" applyAlignment="1" applyBorder="1" applyFont="1">
      <alignment horizontal="center" readingOrder="0" vertical="bottom"/>
    </xf>
    <xf borderId="3" fillId="0" fontId="7" numFmtId="0" xfId="0" applyAlignment="1" applyBorder="1" applyFont="1">
      <alignment horizontal="center" readingOrder="0" vertical="bottom"/>
    </xf>
    <xf borderId="6" fillId="2" fontId="6" numFmtId="0" xfId="0" applyAlignment="1" applyBorder="1" applyFont="1">
      <alignment vertical="bottom"/>
    </xf>
    <xf borderId="8" fillId="0" fontId="6" numFmtId="0" xfId="0" applyAlignment="1" applyBorder="1" applyFont="1">
      <alignment vertical="bottom"/>
    </xf>
    <xf borderId="7" fillId="0" fontId="6" numFmtId="0" xfId="0" applyAlignment="1" applyBorder="1" applyFont="1">
      <alignment vertical="bottom"/>
    </xf>
    <xf borderId="45" fillId="2" fontId="8" numFmtId="0" xfId="0" applyAlignment="1" applyBorder="1" applyFont="1">
      <alignment vertical="bottom"/>
    </xf>
    <xf borderId="22" fillId="0" fontId="8" numFmtId="0" xfId="0" applyAlignment="1" applyBorder="1" applyFont="1">
      <alignment horizontal="right" vertical="bottom"/>
    </xf>
    <xf borderId="46" fillId="0" fontId="8" numFmtId="0" xfId="0" applyAlignment="1" applyBorder="1" applyFont="1">
      <alignment horizontal="right" vertical="bottom"/>
    </xf>
    <xf borderId="45" fillId="2" fontId="8" numFmtId="0" xfId="0" applyAlignment="1" applyBorder="1" applyFont="1">
      <alignment horizontal="left" vertical="bottom"/>
    </xf>
    <xf borderId="12" fillId="0" fontId="8" numFmtId="0" xfId="0" applyAlignment="1" applyBorder="1" applyFont="1">
      <alignment horizontal="right" vertical="bottom"/>
    </xf>
    <xf borderId="47" fillId="2" fontId="8" numFmtId="0" xfId="0" applyAlignment="1" applyBorder="1" applyFont="1">
      <alignment vertical="bottom"/>
    </xf>
    <xf borderId="47" fillId="2" fontId="8" numFmtId="0" xfId="0" applyAlignment="1" applyBorder="1" applyFont="1">
      <alignment horizontal="left" vertical="bottom"/>
    </xf>
    <xf borderId="47" fillId="2" fontId="8" numFmtId="0" xfId="0" applyAlignment="1" applyBorder="1" applyFont="1">
      <alignment horizontal="left" readingOrder="0" vertical="bottom"/>
    </xf>
    <xf borderId="47" fillId="2" fontId="8" numFmtId="0" xfId="0" applyAlignment="1" applyBorder="1" applyFont="1">
      <alignment readingOrder="0" vertical="bottom"/>
    </xf>
    <xf borderId="47" fillId="2" fontId="8" numFmtId="0" xfId="0" applyAlignment="1" applyBorder="1" applyFont="1">
      <alignment horizontal="left" readingOrder="0" vertical="bottom"/>
    </xf>
    <xf borderId="48" fillId="9" fontId="24" numFmtId="0" xfId="0" applyAlignment="1" applyBorder="1" applyFill="1" applyFont="1">
      <alignment horizontal="center" readingOrder="0" shrinkToFit="0" vertical="top" wrapText="1"/>
    </xf>
    <xf borderId="49" fillId="0" fontId="19" numFmtId="0" xfId="0" applyBorder="1" applyFont="1"/>
    <xf borderId="50" fillId="9" fontId="24" numFmtId="0" xfId="0" applyAlignment="1" applyBorder="1" applyFont="1">
      <alignment horizontal="center" readingOrder="0" vertical="bottom"/>
    </xf>
    <xf borderId="49" fillId="9" fontId="24" numFmtId="0" xfId="0" applyAlignment="1" applyBorder="1" applyFont="1">
      <alignment horizontal="center" readingOrder="0" vertical="bottom"/>
    </xf>
    <xf borderId="51" fillId="9" fontId="24" numFmtId="0" xfId="0" applyAlignment="1" applyBorder="1" applyFont="1">
      <alignment horizontal="center" readingOrder="0" vertical="bottom"/>
    </xf>
    <xf borderId="52" fillId="9" fontId="24" numFmtId="0" xfId="0" applyAlignment="1" applyBorder="1" applyFont="1">
      <alignment horizontal="center" readingOrder="0" vertical="bottom"/>
    </xf>
    <xf borderId="48" fillId="9" fontId="24" numFmtId="49" xfId="0" applyAlignment="1" applyBorder="1" applyFont="1" applyNumberFormat="1">
      <alignment horizontal="center" readingOrder="0" vertical="bottom"/>
    </xf>
    <xf borderId="51" fillId="0" fontId="19" numFmtId="0" xfId="0" applyBorder="1" applyFont="1"/>
    <xf borderId="16" fillId="9" fontId="24" numFmtId="49" xfId="0" applyAlignment="1" applyBorder="1" applyFont="1" applyNumberFormat="1">
      <alignment horizontal="center" readingOrder="0" vertical="bottom"/>
    </xf>
    <xf borderId="24" fillId="9" fontId="24" numFmtId="49" xfId="0" applyAlignment="1" applyBorder="1" applyFont="1" applyNumberFormat="1">
      <alignment horizontal="center" readingOrder="0" vertical="bottom"/>
    </xf>
    <xf borderId="0" fillId="2" fontId="25" numFmtId="0" xfId="0" applyAlignment="1" applyFont="1">
      <alignment horizontal="center" readingOrder="0" shrinkToFit="0" vertical="top" wrapText="1"/>
    </xf>
    <xf borderId="11" fillId="2" fontId="26" numFmtId="0" xfId="0" applyAlignment="1" applyBorder="1" applyFont="1">
      <alignment horizontal="center" readingOrder="0" shrinkToFit="0" wrapText="1"/>
    </xf>
    <xf borderId="0" fillId="2" fontId="25" numFmtId="169" xfId="0" applyAlignment="1" applyFont="1" applyNumberFormat="1">
      <alignment horizontal="center" readingOrder="0" shrinkToFit="0" vertical="bottom" wrapText="1"/>
    </xf>
    <xf borderId="0" fillId="2" fontId="25" numFmtId="0" xfId="0" applyAlignment="1" applyFont="1">
      <alignment horizontal="center" readingOrder="0" shrinkToFit="0" vertical="bottom" wrapText="1"/>
    </xf>
    <xf borderId="25" fillId="2" fontId="25" numFmtId="0" xfId="0" applyAlignment="1" applyBorder="1" applyFont="1">
      <alignment horizontal="center" readingOrder="0" shrinkToFit="0" vertical="bottom" wrapText="1"/>
    </xf>
    <xf borderId="22" fillId="2" fontId="25" numFmtId="170" xfId="0" applyAlignment="1" applyBorder="1" applyFont="1" applyNumberFormat="1">
      <alignment horizontal="center" shrinkToFit="0" vertical="bottom" wrapText="1"/>
    </xf>
    <xf borderId="0" fillId="2" fontId="25" numFmtId="170" xfId="0" applyAlignment="1" applyFont="1" applyNumberFormat="1">
      <alignment horizontal="center" shrinkToFit="0" vertical="bottom" wrapText="1"/>
    </xf>
    <xf borderId="0" fillId="2" fontId="25" numFmtId="170" xfId="0" applyAlignment="1" applyFont="1" applyNumberFormat="1">
      <alignment horizontal="center" readingOrder="0" shrinkToFit="0" vertical="bottom" wrapText="1"/>
    </xf>
    <xf borderId="22" fillId="2" fontId="25" numFmtId="0" xfId="0" applyAlignment="1" applyBorder="1" applyFont="1">
      <alignment horizontal="center" shrinkToFit="0" vertical="bottom" wrapText="1"/>
    </xf>
    <xf borderId="22" fillId="2" fontId="25" numFmtId="0" xfId="0" applyAlignment="1" applyBorder="1" applyFont="1">
      <alignment horizontal="center" shrinkToFit="0" vertical="bottom" wrapText="0"/>
    </xf>
    <xf borderId="0" fillId="2" fontId="25" numFmtId="0" xfId="0" applyAlignment="1" applyFont="1">
      <alignment horizontal="center" shrinkToFit="0" vertical="bottom" wrapText="1"/>
    </xf>
    <xf borderId="32" fillId="2" fontId="25" numFmtId="0" xfId="0" applyAlignment="1" applyBorder="1" applyFont="1">
      <alignment horizontal="center" readingOrder="0" shrinkToFit="0" vertical="bottom" wrapText="1"/>
    </xf>
    <xf borderId="2" fillId="0" fontId="19" numFmtId="0" xfId="0" applyBorder="1" applyFont="1"/>
    <xf borderId="0" fillId="2" fontId="26" numFmtId="49" xfId="0" applyAlignment="1" applyFont="1" applyNumberFormat="1">
      <alignment horizontal="center" readingOrder="0" shrinkToFit="0" vertical="bottom" wrapText="1"/>
    </xf>
    <xf borderId="12" fillId="2" fontId="26" numFmtId="49" xfId="0" applyAlignment="1" applyBorder="1" applyFont="1" applyNumberFormat="1">
      <alignment horizontal="center" readingOrder="0" shrinkToFit="0" vertical="bottom" wrapText="1"/>
    </xf>
    <xf borderId="42" fillId="2" fontId="26" numFmtId="49" xfId="0" applyAlignment="1" applyBorder="1" applyFont="1" applyNumberFormat="1">
      <alignment horizontal="center" readingOrder="0" shrinkToFit="0" vertical="bottom" wrapText="1"/>
    </xf>
    <xf borderId="12" fillId="0" fontId="19" numFmtId="0" xfId="0" applyBorder="1" applyFont="1"/>
    <xf borderId="25" fillId="2" fontId="25" numFmtId="0" xfId="0" applyAlignment="1" applyBorder="1" applyFont="1">
      <alignment horizontal="center" shrinkToFit="0" vertical="bottom" wrapText="1"/>
    </xf>
    <xf borderId="32" fillId="2" fontId="25" numFmtId="4" xfId="0" applyAlignment="1" applyBorder="1" applyFont="1" applyNumberFormat="1">
      <alignment horizontal="center" readingOrder="0" shrinkToFit="0" vertical="bottom" wrapText="1"/>
    </xf>
    <xf borderId="31" fillId="2" fontId="25" numFmtId="4" xfId="0" applyAlignment="1" applyBorder="1" applyFont="1" applyNumberFormat="1">
      <alignment horizontal="center" readingOrder="0" shrinkToFit="0" vertical="bottom" wrapText="1"/>
    </xf>
    <xf borderId="53" fillId="2" fontId="25" numFmtId="0" xfId="0" applyAlignment="1" applyBorder="1" applyFont="1">
      <alignment horizontal="center" readingOrder="0" shrinkToFit="0" vertical="bottom" wrapText="1"/>
    </xf>
    <xf borderId="9" fillId="2" fontId="25" numFmtId="0" xfId="0" applyAlignment="1" applyBorder="1" applyFont="1">
      <alignment horizontal="center" readingOrder="0" shrinkToFit="0" vertical="bottom" wrapText="1"/>
    </xf>
    <xf borderId="2" fillId="2" fontId="25" numFmtId="4" xfId="0" applyAlignment="1" applyBorder="1" applyFont="1" applyNumberFormat="1">
      <alignment horizontal="center" readingOrder="0" shrinkToFit="0" vertical="bottom" wrapText="1"/>
    </xf>
    <xf borderId="9" fillId="2" fontId="26" numFmtId="0" xfId="0" applyAlignment="1" applyBorder="1" applyFont="1">
      <alignment horizontal="center" readingOrder="0" shrinkToFit="0" wrapText="1"/>
    </xf>
    <xf borderId="10" fillId="0" fontId="19" numFmtId="0" xfId="0" applyBorder="1" applyFont="1"/>
    <xf borderId="9" fillId="2" fontId="25" numFmtId="4" xfId="0" applyAlignment="1" applyBorder="1" applyFont="1" applyNumberFormat="1">
      <alignment horizontal="center" readingOrder="0" shrinkToFit="0" vertical="bottom" wrapText="1"/>
    </xf>
    <xf borderId="21" fillId="2" fontId="26" numFmtId="0" xfId="0" applyAlignment="1" applyBorder="1" applyFont="1">
      <alignment horizontal="center" readingOrder="0" shrinkToFit="0" wrapText="1"/>
    </xf>
    <xf borderId="20" fillId="2" fontId="26" numFmtId="0" xfId="0" applyAlignment="1" applyBorder="1" applyFont="1">
      <alignment horizontal="center" readingOrder="0" shrinkToFit="0" wrapText="1"/>
    </xf>
    <xf borderId="25" fillId="2" fontId="26" numFmtId="0" xfId="0" applyAlignment="1" applyBorder="1" applyFont="1">
      <alignment horizontal="center" readingOrder="0" shrinkToFit="0" wrapText="1"/>
    </xf>
    <xf borderId="14" fillId="2" fontId="26" numFmtId="0" xfId="0" applyAlignment="1" applyBorder="1" applyFont="1">
      <alignment shrinkToFit="0" vertical="top" wrapText="1"/>
    </xf>
    <xf borderId="13" fillId="2" fontId="27" numFmtId="0" xfId="0" applyAlignment="1" applyBorder="1" applyFont="1">
      <alignment horizontal="center"/>
    </xf>
    <xf borderId="14" fillId="2" fontId="27" numFmtId="169" xfId="0" applyAlignment="1" applyBorder="1" applyFont="1" applyNumberFormat="1">
      <alignment horizontal="center"/>
    </xf>
    <xf borderId="14" fillId="2" fontId="27" numFmtId="0" xfId="0" applyAlignment="1" applyBorder="1" applyFont="1">
      <alignment horizontal="center"/>
    </xf>
    <xf borderId="54" fillId="2" fontId="27" numFmtId="0" xfId="0" applyAlignment="1" applyBorder="1" applyFont="1">
      <alignment horizontal="center"/>
    </xf>
    <xf borderId="55" fillId="2" fontId="27" numFmtId="170" xfId="0" applyAlignment="1" applyBorder="1" applyFont="1" applyNumberFormat="1">
      <alignment horizontal="center" readingOrder="0"/>
    </xf>
    <xf borderId="14" fillId="2" fontId="27" numFmtId="170" xfId="0" applyAlignment="1" applyBorder="1" applyFont="1" applyNumberFormat="1">
      <alignment horizontal="center" readingOrder="0"/>
    </xf>
    <xf borderId="14" fillId="2" fontId="27" numFmtId="170" xfId="0" applyAlignment="1" applyBorder="1" applyFont="1" applyNumberFormat="1">
      <alignment horizontal="center"/>
    </xf>
    <xf borderId="55" fillId="2" fontId="27" numFmtId="0" xfId="0" applyAlignment="1" applyBorder="1" applyFont="1">
      <alignment horizontal="center"/>
    </xf>
    <xf borderId="55" fillId="2" fontId="27" numFmtId="0" xfId="0" applyAlignment="1" applyBorder="1" applyFont="1">
      <alignment horizontal="center" shrinkToFit="0" wrapText="0"/>
    </xf>
    <xf borderId="55" fillId="2" fontId="26" numFmtId="0" xfId="0" applyAlignment="1" applyBorder="1" applyFont="1">
      <alignment horizontal="center"/>
    </xf>
    <xf borderId="14" fillId="2" fontId="26" numFmtId="0" xfId="0" applyAlignment="1" applyBorder="1" applyFont="1">
      <alignment horizontal="center"/>
    </xf>
    <xf borderId="54" fillId="2" fontId="26" numFmtId="0" xfId="0" applyAlignment="1" applyBorder="1" applyFont="1">
      <alignment horizontal="center"/>
    </xf>
    <xf borderId="14" fillId="2" fontId="26" numFmtId="0" xfId="0" applyAlignment="1" applyBorder="1" applyFont="1">
      <alignment horizontal="center" readingOrder="0"/>
    </xf>
    <xf borderId="14" fillId="2" fontId="27" numFmtId="0" xfId="0" applyAlignment="1" applyBorder="1" applyFont="1">
      <alignment horizontal="center" readingOrder="0"/>
    </xf>
    <xf borderId="56" fillId="2" fontId="25" numFmtId="0" xfId="0" applyAlignment="1" applyBorder="1" applyFont="1">
      <alignment horizontal="center" readingOrder="0"/>
    </xf>
    <xf borderId="14" fillId="2" fontId="25" numFmtId="0" xfId="0" applyAlignment="1" applyBorder="1" applyFont="1">
      <alignment horizontal="center" readingOrder="0"/>
    </xf>
    <xf borderId="15" fillId="2" fontId="25" numFmtId="0" xfId="0" applyAlignment="1" applyBorder="1" applyFont="1">
      <alignment horizontal="center" readingOrder="0"/>
    </xf>
    <xf borderId="57" fillId="2" fontId="25" numFmtId="0" xfId="0" applyAlignment="1" applyBorder="1" applyFont="1">
      <alignment horizontal="center" readingOrder="0"/>
    </xf>
    <xf borderId="14" fillId="2" fontId="27" numFmtId="49" xfId="0" applyAlignment="1" applyBorder="1" applyFont="1" applyNumberFormat="1">
      <alignment horizontal="center"/>
    </xf>
    <xf borderId="54" fillId="2" fontId="26" numFmtId="0" xfId="0" applyAlignment="1" applyBorder="1" applyFont="1">
      <alignment horizontal="center" readingOrder="0"/>
    </xf>
    <xf borderId="55" fillId="2" fontId="26" numFmtId="1" xfId="0" applyAlignment="1" applyBorder="1" applyFont="1" applyNumberFormat="1">
      <alignment horizontal="center" readingOrder="0"/>
    </xf>
    <xf borderId="14" fillId="2" fontId="26" numFmtId="1" xfId="0" applyAlignment="1" applyBorder="1" applyFont="1" applyNumberFormat="1">
      <alignment horizontal="center" readingOrder="0"/>
    </xf>
    <xf borderId="54" fillId="2" fontId="26" numFmtId="1" xfId="0" applyAlignment="1" applyBorder="1" applyFont="1" applyNumberFormat="1">
      <alignment horizontal="center" readingOrder="0"/>
    </xf>
    <xf borderId="55" fillId="2" fontId="26" numFmtId="4" xfId="0" applyAlignment="1" applyBorder="1" applyFont="1" applyNumberFormat="1">
      <alignment horizontal="center" readingOrder="0"/>
    </xf>
    <xf borderId="54" fillId="2" fontId="26" numFmtId="4" xfId="0" applyAlignment="1" applyBorder="1" applyFont="1" applyNumberFormat="1">
      <alignment horizontal="center" readingOrder="0"/>
    </xf>
    <xf borderId="56" fillId="2" fontId="26" numFmtId="0" xfId="0" applyAlignment="1" applyBorder="1" applyFont="1">
      <alignment horizontal="center" readingOrder="0"/>
    </xf>
    <xf borderId="13" fillId="2" fontId="26" numFmtId="1" xfId="0" applyAlignment="1" applyBorder="1" applyFont="1" applyNumberFormat="1">
      <alignment horizontal="center" readingOrder="0"/>
    </xf>
    <xf borderId="14" fillId="2" fontId="26" numFmtId="4" xfId="0" applyAlignment="1" applyBorder="1" applyFont="1" applyNumberFormat="1">
      <alignment horizontal="center" readingOrder="0"/>
    </xf>
    <xf borderId="55" fillId="2" fontId="26" numFmtId="4" xfId="0" applyAlignment="1" applyBorder="1" applyFont="1" applyNumberFormat="1">
      <alignment horizontal="center"/>
    </xf>
    <xf borderId="14" fillId="2" fontId="26" numFmtId="4" xfId="0" applyAlignment="1" applyBorder="1" applyFont="1" applyNumberFormat="1">
      <alignment horizontal="center"/>
    </xf>
    <xf borderId="15" fillId="2" fontId="26" numFmtId="4" xfId="0" applyAlignment="1" applyBorder="1" applyFont="1" applyNumberFormat="1">
      <alignment horizontal="center" readingOrder="0"/>
    </xf>
    <xf borderId="15" fillId="2" fontId="26" numFmtId="1" xfId="0" applyAlignment="1" applyBorder="1" applyFont="1" applyNumberFormat="1">
      <alignment horizontal="center" readingOrder="0"/>
    </xf>
    <xf borderId="13" fillId="2" fontId="26" numFmtId="4" xfId="0" applyAlignment="1" applyBorder="1" applyFont="1" applyNumberFormat="1">
      <alignment horizontal="center" readingOrder="0"/>
    </xf>
    <xf borderId="58" fillId="2" fontId="27" numFmtId="0" xfId="0" applyBorder="1" applyFont="1"/>
    <xf borderId="54" fillId="2" fontId="27" numFmtId="0" xfId="0" applyBorder="1" applyFont="1"/>
    <xf borderId="0" fillId="0" fontId="26" numFmtId="0" xfId="0" applyAlignment="1" applyFont="1">
      <alignment readingOrder="0" shrinkToFit="0" vertical="top" wrapText="1"/>
    </xf>
    <xf borderId="11" fillId="0" fontId="27" numFmtId="0" xfId="0" applyAlignment="1" applyBorder="1" applyFont="1">
      <alignment horizontal="center"/>
    </xf>
    <xf borderId="0" fillId="0" fontId="0" numFmtId="169" xfId="0" applyAlignment="1" applyFont="1" applyNumberFormat="1">
      <alignment horizontal="center" readingOrder="0" shrinkToFit="0" wrapText="0"/>
    </xf>
    <xf borderId="0" fillId="0" fontId="27" numFmtId="0" xfId="0" applyAlignment="1" applyFont="1">
      <alignment horizontal="center"/>
    </xf>
    <xf borderId="0" fillId="0" fontId="27" numFmtId="0" xfId="0" applyAlignment="1" applyFont="1">
      <alignment horizontal="center" readingOrder="0"/>
    </xf>
    <xf borderId="25" fillId="0" fontId="27" numFmtId="171" xfId="0" applyAlignment="1" applyBorder="1" applyFont="1" applyNumberFormat="1">
      <alignment horizontal="center" readingOrder="0"/>
    </xf>
    <xf borderId="22" fillId="0" fontId="27" numFmtId="170" xfId="0" applyAlignment="1" applyBorder="1" applyFont="1" applyNumberFormat="1">
      <alignment horizontal="center" readingOrder="0"/>
    </xf>
    <xf borderId="0" fillId="0" fontId="27" numFmtId="170" xfId="0" applyAlignment="1" applyFont="1" applyNumberFormat="1">
      <alignment horizontal="center"/>
    </xf>
    <xf borderId="0" fillId="0" fontId="27" numFmtId="170" xfId="0" applyAlignment="1" applyFont="1" applyNumberFormat="1">
      <alignment horizontal="center" readingOrder="0"/>
    </xf>
    <xf borderId="25" fillId="0" fontId="27" numFmtId="0" xfId="0" applyAlignment="1" applyBorder="1" applyFont="1">
      <alignment horizontal="center" readingOrder="0"/>
    </xf>
    <xf borderId="20" fillId="0" fontId="27" numFmtId="0" xfId="0" applyAlignment="1" applyBorder="1" applyFont="1">
      <alignment horizontal="center" readingOrder="0" shrinkToFit="0" wrapText="0"/>
    </xf>
    <xf borderId="22" fillId="0" fontId="27" numFmtId="0" xfId="0" applyAlignment="1" applyBorder="1" applyFont="1">
      <alignment horizontal="center" readingOrder="0"/>
    </xf>
    <xf borderId="12" fillId="0" fontId="27" numFmtId="0" xfId="0" applyAlignment="1" applyBorder="1" applyFont="1">
      <alignment horizontal="center" readingOrder="0"/>
    </xf>
    <xf borderId="42" fillId="0" fontId="27" numFmtId="0" xfId="0" applyAlignment="1" applyBorder="1" applyFont="1">
      <alignment horizontal="center" readingOrder="0"/>
    </xf>
    <xf borderId="0" fillId="0" fontId="2" numFmtId="49" xfId="0" applyAlignment="1" applyFont="1" applyNumberFormat="1">
      <alignment readingOrder="0"/>
    </xf>
    <xf borderId="22" fillId="0" fontId="27" numFmtId="4" xfId="0" applyAlignment="1" applyBorder="1" applyFont="1" applyNumberFormat="1">
      <alignment horizontal="center"/>
    </xf>
    <xf borderId="0" fillId="0" fontId="27" numFmtId="4" xfId="0" applyAlignment="1" applyFont="1" applyNumberFormat="1">
      <alignment horizontal="center"/>
    </xf>
    <xf borderId="25" fillId="0" fontId="27" numFmtId="0" xfId="0" applyAlignment="1" applyBorder="1" applyFont="1">
      <alignment horizontal="center"/>
    </xf>
    <xf borderId="25" fillId="0" fontId="27" numFmtId="4" xfId="0" applyAlignment="1" applyBorder="1" applyFont="1" applyNumberFormat="1">
      <alignment horizontal="center"/>
    </xf>
    <xf borderId="46" fillId="0" fontId="27" numFmtId="0" xfId="0" applyAlignment="1" applyBorder="1" applyFont="1">
      <alignment horizontal="center"/>
    </xf>
    <xf borderId="11" fillId="0" fontId="0" numFmtId="0" xfId="0" applyAlignment="1" applyBorder="1" applyFont="1">
      <alignment horizontal="center" readingOrder="0" shrinkToFit="0" wrapText="0"/>
    </xf>
    <xf borderId="0" fillId="0" fontId="0" numFmtId="0" xfId="0" applyAlignment="1" applyFont="1">
      <alignment horizontal="center" readingOrder="0" shrinkToFit="0" wrapText="0"/>
    </xf>
    <xf borderId="0" fillId="0" fontId="0" numFmtId="0" xfId="0" applyAlignment="1" applyFont="1">
      <alignment horizontal="center" shrinkToFit="0" vertical="bottom" wrapText="0"/>
    </xf>
    <xf borderId="0" fillId="10" fontId="27" numFmtId="0" xfId="0" applyAlignment="1" applyFill="1" applyFont="1">
      <alignment horizontal="center"/>
    </xf>
    <xf borderId="25" fillId="0" fontId="0" numFmtId="0" xfId="0" applyAlignment="1" applyBorder="1" applyFont="1">
      <alignment horizontal="center" readingOrder="0" shrinkToFit="0" wrapText="0"/>
    </xf>
    <xf borderId="12" fillId="0" fontId="27" numFmtId="4" xfId="0" applyAlignment="1" applyBorder="1" applyFont="1" applyNumberFormat="1">
      <alignment horizontal="center"/>
    </xf>
    <xf borderId="12" fillId="10" fontId="27" numFmtId="0" xfId="0" applyAlignment="1" applyBorder="1" applyFont="1">
      <alignment horizontal="center"/>
    </xf>
    <xf borderId="11" fillId="0" fontId="27" numFmtId="4" xfId="0" applyAlignment="1" applyBorder="1" applyFont="1" applyNumberFormat="1">
      <alignment horizontal="center"/>
    </xf>
    <xf borderId="19" fillId="0" fontId="0" numFmtId="0" xfId="0" applyAlignment="1" applyBorder="1" applyFont="1">
      <alignment horizontal="center" readingOrder="0" shrinkToFit="0" wrapText="0"/>
    </xf>
    <xf borderId="0" fillId="0" fontId="27" numFmtId="49" xfId="0" applyAlignment="1" applyFont="1" applyNumberFormat="1">
      <alignment horizontal="center"/>
    </xf>
    <xf borderId="25" fillId="0" fontId="27" numFmtId="0" xfId="0" applyAlignment="1" applyBorder="1" applyFont="1">
      <alignment horizontal="center" readingOrder="0"/>
    </xf>
    <xf borderId="59" fillId="0" fontId="0" numFmtId="0" xfId="0" applyAlignment="1" applyBorder="1" applyFont="1">
      <alignment horizontal="center" readingOrder="0"/>
    </xf>
    <xf borderId="25" fillId="0" fontId="0" numFmtId="0" xfId="0" applyAlignment="1" applyBorder="1" applyFont="1">
      <alignment horizontal="center" readingOrder="0"/>
    </xf>
    <xf borderId="19" fillId="0" fontId="27" numFmtId="0" xfId="0" applyAlignment="1" applyBorder="1" applyFont="1">
      <alignment horizontal="center" readingOrder="0" shrinkToFit="0" wrapText="0"/>
    </xf>
    <xf borderId="60" fillId="0" fontId="0" numFmtId="0" xfId="0" applyAlignment="1" applyBorder="1" applyFont="1">
      <alignment horizontal="center" readingOrder="0" shrinkToFit="0" wrapText="0"/>
    </xf>
    <xf borderId="1" fillId="0" fontId="0" numFmtId="0" xfId="0" applyAlignment="1" applyBorder="1" applyFont="1">
      <alignment horizontal="center" readingOrder="0" shrinkToFit="0" wrapText="0"/>
    </xf>
    <xf borderId="1" fillId="0" fontId="0" numFmtId="0" xfId="0" applyAlignment="1" applyBorder="1" applyFont="1">
      <alignment horizontal="center" shrinkToFit="0" vertical="bottom" wrapText="0"/>
    </xf>
    <xf borderId="17" fillId="0" fontId="0" numFmtId="0" xfId="0" applyAlignment="1" applyBorder="1" applyFont="1">
      <alignment horizontal="center" readingOrder="0" shrinkToFit="0" wrapText="0"/>
    </xf>
    <xf borderId="19" fillId="0" fontId="0" numFmtId="0" xfId="0" applyAlignment="1" applyBorder="1" applyFont="1">
      <alignment horizontal="center" readingOrder="0"/>
    </xf>
    <xf borderId="59" fillId="0" fontId="27" numFmtId="0" xfId="0" applyAlignment="1" applyBorder="1" applyFont="1">
      <alignment horizontal="center" readingOrder="0" shrinkToFit="0" wrapText="0"/>
    </xf>
    <xf borderId="11" fillId="6" fontId="27" numFmtId="0" xfId="0" applyAlignment="1" applyBorder="1" applyFont="1">
      <alignment horizontal="center"/>
    </xf>
    <xf borderId="0" fillId="6" fontId="0" numFmtId="169" xfId="0" applyAlignment="1" applyFont="1" applyNumberFormat="1">
      <alignment horizontal="center" readingOrder="0" shrinkToFit="0" wrapText="0"/>
    </xf>
    <xf borderId="0" fillId="6" fontId="27" numFmtId="0" xfId="0" applyAlignment="1" applyFont="1">
      <alignment horizontal="center"/>
    </xf>
    <xf borderId="0" fillId="6" fontId="27" numFmtId="0" xfId="0" applyAlignment="1" applyFont="1">
      <alignment horizontal="center" readingOrder="0"/>
    </xf>
    <xf borderId="25" fillId="6" fontId="27" numFmtId="0" xfId="0" applyAlignment="1" applyBorder="1" applyFont="1">
      <alignment horizontal="center" readingOrder="0"/>
    </xf>
    <xf borderId="22" fillId="6" fontId="27" numFmtId="170" xfId="0" applyAlignment="1" applyBorder="1" applyFont="1" applyNumberFormat="1">
      <alignment horizontal="center" readingOrder="0"/>
    </xf>
    <xf borderId="0" fillId="6" fontId="27" numFmtId="170" xfId="0" applyAlignment="1" applyFont="1" applyNumberFormat="1">
      <alignment horizontal="center"/>
    </xf>
    <xf borderId="0" fillId="6" fontId="27" numFmtId="170" xfId="0" applyAlignment="1" applyFont="1" applyNumberFormat="1">
      <alignment horizontal="center" readingOrder="0"/>
    </xf>
    <xf borderId="59" fillId="6" fontId="27" numFmtId="0" xfId="0" applyAlignment="1" applyBorder="1" applyFont="1">
      <alignment horizontal="center" readingOrder="0" shrinkToFit="0" wrapText="0"/>
    </xf>
    <xf borderId="22" fillId="6" fontId="27" numFmtId="0" xfId="0" applyAlignment="1" applyBorder="1" applyFont="1">
      <alignment horizontal="center" readingOrder="0"/>
    </xf>
    <xf borderId="12" fillId="6" fontId="27" numFmtId="0" xfId="0" applyAlignment="1" applyBorder="1" applyFont="1">
      <alignment horizontal="center" readingOrder="0"/>
    </xf>
    <xf borderId="42" fillId="6" fontId="27" numFmtId="0" xfId="0" applyAlignment="1" applyBorder="1" applyFont="1">
      <alignment horizontal="center" readingOrder="0"/>
    </xf>
    <xf borderId="0" fillId="6" fontId="27" numFmtId="49" xfId="0" applyAlignment="1" applyFont="1" applyNumberFormat="1">
      <alignment horizontal="center"/>
    </xf>
    <xf borderId="25" fillId="6" fontId="27" numFmtId="0" xfId="0" applyAlignment="1" applyBorder="1" applyFont="1">
      <alignment horizontal="center" readingOrder="0"/>
    </xf>
    <xf borderId="22" fillId="6" fontId="27" numFmtId="4" xfId="0" applyAlignment="1" applyBorder="1" applyFont="1" applyNumberFormat="1">
      <alignment horizontal="center"/>
    </xf>
    <xf borderId="0" fillId="6" fontId="27" numFmtId="4" xfId="0" applyAlignment="1" applyFont="1" applyNumberFormat="1">
      <alignment horizontal="center"/>
    </xf>
    <xf borderId="25" fillId="6" fontId="27" numFmtId="0" xfId="0" applyAlignment="1" applyBorder="1" applyFont="1">
      <alignment horizontal="center"/>
    </xf>
    <xf borderId="46" fillId="6" fontId="27" numFmtId="0" xfId="0" applyAlignment="1" applyBorder="1" applyFont="1">
      <alignment horizontal="center"/>
    </xf>
    <xf borderId="11" fillId="6" fontId="28" numFmtId="0" xfId="0" applyAlignment="1" applyBorder="1" applyFont="1">
      <alignment horizontal="center" readingOrder="0" shrinkToFit="0" wrapText="0"/>
    </xf>
    <xf borderId="0" fillId="6" fontId="28" numFmtId="0" xfId="0" applyAlignment="1" applyFont="1">
      <alignment horizontal="center" readingOrder="0" shrinkToFit="0" wrapText="0"/>
    </xf>
    <xf borderId="0" fillId="6" fontId="0" numFmtId="0" xfId="0" applyAlignment="1" applyFont="1">
      <alignment horizontal="center" shrinkToFit="0" vertical="bottom" wrapText="0"/>
    </xf>
    <xf borderId="0" fillId="6" fontId="0" numFmtId="0" xfId="0" applyAlignment="1" applyFont="1">
      <alignment horizontal="center" readingOrder="0" shrinkToFit="0" wrapText="0"/>
    </xf>
    <xf borderId="25" fillId="6" fontId="28" numFmtId="0" xfId="0" applyAlignment="1" applyBorder="1" applyFont="1">
      <alignment horizontal="center" readingOrder="0" shrinkToFit="0" wrapText="0"/>
    </xf>
    <xf borderId="25" fillId="6" fontId="27" numFmtId="4" xfId="0" applyAlignment="1" applyBorder="1" applyFont="1" applyNumberFormat="1">
      <alignment horizontal="center"/>
    </xf>
    <xf borderId="12" fillId="6" fontId="27" numFmtId="4" xfId="0" applyAlignment="1" applyBorder="1" applyFont="1" applyNumberFormat="1">
      <alignment horizontal="center"/>
    </xf>
    <xf borderId="12" fillId="6" fontId="27" numFmtId="0" xfId="0" applyAlignment="1" applyBorder="1" applyFont="1">
      <alignment horizontal="center"/>
    </xf>
    <xf borderId="59" fillId="6" fontId="0" numFmtId="0" xfId="0" applyAlignment="1" applyBorder="1" applyFont="1">
      <alignment horizontal="center" readingOrder="0"/>
    </xf>
    <xf borderId="25" fillId="6" fontId="0" numFmtId="0" xfId="0" applyAlignment="1" applyBorder="1" applyFont="1">
      <alignment horizontal="center" readingOrder="0"/>
    </xf>
    <xf borderId="59" fillId="0" fontId="0" numFmtId="0" xfId="0" applyAlignment="1" applyBorder="1" applyFont="1">
      <alignment horizontal="center"/>
    </xf>
    <xf borderId="25" fillId="0" fontId="0" numFmtId="0" xfId="0" applyAlignment="1" applyBorder="1" applyFont="1">
      <alignment horizontal="center"/>
    </xf>
    <xf borderId="59" fillId="0" fontId="27" numFmtId="0" xfId="0" applyAlignment="1" applyBorder="1" applyFont="1">
      <alignment horizontal="center" shrinkToFit="0" wrapText="0"/>
    </xf>
    <xf borderId="0" fillId="0" fontId="28" numFmtId="0" xfId="0" applyAlignment="1" applyFont="1">
      <alignment horizontal="center" readingOrder="0" shrinkToFit="0" wrapText="0"/>
    </xf>
    <xf borderId="20" fillId="0" fontId="27" numFmtId="0" xfId="0" applyAlignment="1" applyBorder="1" applyFont="1">
      <alignment horizontal="center" shrinkToFit="0" wrapText="0"/>
    </xf>
    <xf borderId="20" fillId="0" fontId="0" numFmtId="0" xfId="0" applyAlignment="1" applyBorder="1" applyFont="1">
      <alignment horizontal="center"/>
    </xf>
    <xf borderId="2" fillId="0" fontId="26" numFmtId="0" xfId="0" applyAlignment="1" applyBorder="1" applyFont="1">
      <alignment readingOrder="0" shrinkToFit="0" vertical="top" wrapText="1"/>
    </xf>
    <xf borderId="9" fillId="0" fontId="27" numFmtId="0" xfId="0" applyAlignment="1" applyBorder="1" applyFont="1">
      <alignment horizontal="center"/>
    </xf>
    <xf borderId="2" fillId="0" fontId="27" numFmtId="169" xfId="0" applyAlignment="1" applyBorder="1" applyFont="1" applyNumberFormat="1">
      <alignment horizontal="center" readingOrder="0"/>
    </xf>
    <xf borderId="2" fillId="0" fontId="27" numFmtId="0" xfId="0" applyAlignment="1" applyBorder="1" applyFont="1">
      <alignment horizontal="center"/>
    </xf>
    <xf borderId="2" fillId="0" fontId="27" numFmtId="0" xfId="0" applyAlignment="1" applyBorder="1" applyFont="1">
      <alignment horizontal="center" readingOrder="0"/>
    </xf>
    <xf borderId="31" fillId="0" fontId="27" numFmtId="0" xfId="0" applyAlignment="1" applyBorder="1" applyFont="1">
      <alignment horizontal="center" readingOrder="0"/>
    </xf>
    <xf borderId="32" fillId="0" fontId="27" numFmtId="170" xfId="0" applyAlignment="1" applyBorder="1" applyFont="1" applyNumberFormat="1">
      <alignment horizontal="center" readingOrder="0"/>
    </xf>
    <xf borderId="2" fillId="0" fontId="27" numFmtId="170" xfId="0" applyAlignment="1" applyBorder="1" applyFont="1" applyNumberFormat="1">
      <alignment horizontal="center"/>
    </xf>
    <xf borderId="2" fillId="0" fontId="0" numFmtId="170" xfId="0" applyAlignment="1" applyBorder="1" applyFont="1" applyNumberFormat="1">
      <alignment horizontal="center" readingOrder="0" shrinkToFit="0" wrapText="0"/>
    </xf>
    <xf borderId="2" fillId="0" fontId="0" numFmtId="0" xfId="0" applyAlignment="1" applyBorder="1" applyFont="1">
      <alignment horizontal="center" readingOrder="0" shrinkToFit="0" wrapText="0"/>
    </xf>
    <xf borderId="32" fillId="0" fontId="27" numFmtId="0" xfId="0" applyAlignment="1" applyBorder="1" applyFont="1">
      <alignment horizontal="center" readingOrder="0" shrinkToFit="0" wrapText="0"/>
    </xf>
    <xf borderId="32" fillId="0" fontId="27" numFmtId="0" xfId="0" applyAlignment="1" applyBorder="1" applyFont="1">
      <alignment horizontal="center" readingOrder="0"/>
    </xf>
    <xf borderId="10" fillId="0" fontId="27" numFmtId="0" xfId="0" applyAlignment="1" applyBorder="1" applyFont="1">
      <alignment horizontal="center" readingOrder="0"/>
    </xf>
    <xf borderId="61" fillId="0" fontId="27" numFmtId="0" xfId="0" applyAlignment="1" applyBorder="1" applyFont="1">
      <alignment horizontal="center" readingOrder="0"/>
    </xf>
    <xf borderId="2" fillId="0" fontId="27" numFmtId="49" xfId="0" applyAlignment="1" applyBorder="1" applyFont="1" applyNumberFormat="1">
      <alignment horizontal="center"/>
    </xf>
    <xf borderId="31" fillId="0" fontId="27" numFmtId="0" xfId="0" applyAlignment="1" applyBorder="1" applyFont="1">
      <alignment horizontal="center" readingOrder="0"/>
    </xf>
    <xf borderId="32" fillId="0" fontId="27" numFmtId="4" xfId="0" applyAlignment="1" applyBorder="1" applyFont="1" applyNumberFormat="1">
      <alignment horizontal="center"/>
    </xf>
    <xf borderId="2" fillId="0" fontId="27" numFmtId="4" xfId="0" applyAlignment="1" applyBorder="1" applyFont="1" applyNumberFormat="1">
      <alignment horizontal="center"/>
    </xf>
    <xf borderId="31" fillId="0" fontId="27" numFmtId="0" xfId="0" applyAlignment="1" applyBorder="1" applyFont="1">
      <alignment horizontal="center"/>
    </xf>
    <xf borderId="31" fillId="0" fontId="27" numFmtId="4" xfId="0" applyAlignment="1" applyBorder="1" applyFont="1" applyNumberFormat="1">
      <alignment horizontal="center"/>
    </xf>
    <xf borderId="53" fillId="0" fontId="27" numFmtId="0" xfId="0" applyAlignment="1" applyBorder="1" applyFont="1">
      <alignment horizontal="center"/>
    </xf>
    <xf borderId="2" fillId="10" fontId="27" numFmtId="0" xfId="0" applyAlignment="1" applyBorder="1" applyFont="1">
      <alignment horizontal="center"/>
    </xf>
    <xf borderId="31" fillId="10" fontId="27" numFmtId="0" xfId="0" applyAlignment="1" applyBorder="1" applyFont="1">
      <alignment horizontal="center"/>
    </xf>
    <xf borderId="10" fillId="0" fontId="27" numFmtId="4" xfId="0" applyAlignment="1" applyBorder="1" applyFont="1" applyNumberFormat="1">
      <alignment horizontal="center"/>
    </xf>
    <xf borderId="10" fillId="10" fontId="27" numFmtId="0" xfId="0" applyAlignment="1" applyBorder="1" applyFont="1">
      <alignment horizontal="center"/>
    </xf>
    <xf borderId="9" fillId="0" fontId="27" numFmtId="4" xfId="0" applyAlignment="1" applyBorder="1" applyFont="1" applyNumberFormat="1">
      <alignment horizontal="center"/>
    </xf>
    <xf borderId="21" fillId="0" fontId="27" numFmtId="0" xfId="0" applyAlignment="1" applyBorder="1" applyFont="1">
      <alignment horizontal="left" readingOrder="0"/>
    </xf>
    <xf borderId="25" fillId="0" fontId="27" numFmtId="0" xfId="0" applyAlignment="1" applyBorder="1" applyFont="1">
      <alignment horizontal="left" readingOrder="0"/>
    </xf>
    <xf borderId="0" fillId="0" fontId="27" numFmtId="169" xfId="0" applyAlignment="1" applyFont="1" applyNumberFormat="1">
      <alignment horizontal="center" readingOrder="0"/>
    </xf>
    <xf borderId="0" fillId="0" fontId="0" numFmtId="170" xfId="0" applyAlignment="1" applyFont="1" applyNumberFormat="1">
      <alignment horizontal="center" readingOrder="0" shrinkToFit="0" wrapText="0"/>
    </xf>
    <xf borderId="22" fillId="0" fontId="27" numFmtId="0" xfId="0" applyAlignment="1" applyBorder="1" applyFont="1">
      <alignment horizontal="center" readingOrder="0" shrinkToFit="0" wrapText="0"/>
    </xf>
    <xf borderId="25" fillId="10" fontId="27" numFmtId="0" xfId="0" applyAlignment="1" applyBorder="1" applyFont="1">
      <alignment horizontal="center"/>
    </xf>
    <xf borderId="20" fillId="0" fontId="27" numFmtId="0" xfId="0" applyAlignment="1" applyBorder="1" applyFont="1">
      <alignment horizontal="left" readingOrder="0"/>
    </xf>
    <xf borderId="1" fillId="0" fontId="0" numFmtId="170" xfId="0" applyAlignment="1" applyBorder="1" applyFont="1" applyNumberFormat="1">
      <alignment horizontal="center" readingOrder="0" shrinkToFit="0" wrapText="0"/>
    </xf>
    <xf borderId="20" fillId="0" fontId="27" numFmtId="0" xfId="0" applyAlignment="1" applyBorder="1" applyFont="1">
      <alignment horizontal="left"/>
    </xf>
    <xf borderId="25" fillId="0" fontId="27" numFmtId="0" xfId="0" applyAlignment="1" applyBorder="1" applyFont="1">
      <alignment horizontal="left"/>
    </xf>
    <xf borderId="0" fillId="0" fontId="0" numFmtId="170" xfId="0" applyAlignment="1" applyFont="1" applyNumberFormat="1">
      <alignment horizontal="center" shrinkToFit="0" wrapText="0"/>
    </xf>
    <xf borderId="0" fillId="0" fontId="27" numFmtId="0" xfId="0" applyAlignment="1" applyFont="1">
      <alignment horizontal="center" readingOrder="0"/>
    </xf>
    <xf borderId="62" fillId="0" fontId="0" numFmtId="170" xfId="0" applyAlignment="1" applyBorder="1" applyFont="1" applyNumberFormat="1">
      <alignment horizontal="center" readingOrder="0" shrinkToFit="0" wrapText="0"/>
    </xf>
    <xf borderId="63" fillId="0" fontId="0" numFmtId="170" xfId="0" applyAlignment="1" applyBorder="1" applyFont="1" applyNumberFormat="1">
      <alignment horizontal="center" readingOrder="0" shrinkToFit="0" wrapText="0"/>
    </xf>
    <xf borderId="13" fillId="0" fontId="27" numFmtId="0" xfId="0" applyAlignment="1" applyBorder="1" applyFont="1">
      <alignment horizontal="center"/>
    </xf>
    <xf borderId="14" fillId="0" fontId="27" numFmtId="169" xfId="0" applyAlignment="1" applyBorder="1" applyFont="1" applyNumberFormat="1">
      <alignment horizontal="center" readingOrder="0"/>
    </xf>
    <xf borderId="14" fillId="0" fontId="27" numFmtId="0" xfId="0" applyAlignment="1" applyBorder="1" applyFont="1">
      <alignment horizontal="center" readingOrder="0"/>
    </xf>
    <xf borderId="14" fillId="0" fontId="27" numFmtId="0" xfId="0" applyAlignment="1" applyBorder="1" applyFont="1">
      <alignment horizontal="center" readingOrder="0"/>
    </xf>
    <xf borderId="54" fillId="0" fontId="27" numFmtId="0" xfId="0" applyAlignment="1" applyBorder="1" applyFont="1">
      <alignment horizontal="center" readingOrder="0"/>
    </xf>
    <xf borderId="55" fillId="0" fontId="27" numFmtId="170" xfId="0" applyAlignment="1" applyBorder="1" applyFont="1" applyNumberFormat="1">
      <alignment horizontal="center" readingOrder="0"/>
    </xf>
    <xf borderId="14" fillId="0" fontId="27" numFmtId="170" xfId="0" applyAlignment="1" applyBorder="1" applyFont="1" applyNumberFormat="1">
      <alignment horizontal="center"/>
    </xf>
    <xf borderId="14" fillId="0" fontId="0" numFmtId="170" xfId="0" applyAlignment="1" applyBorder="1" applyFont="1" applyNumberFormat="1">
      <alignment horizontal="center" readingOrder="0" shrinkToFit="0" wrapText="0"/>
    </xf>
    <xf borderId="14" fillId="0" fontId="0" numFmtId="0" xfId="0" applyAlignment="1" applyBorder="1" applyFont="1">
      <alignment horizontal="center" readingOrder="0" shrinkToFit="0" wrapText="0"/>
    </xf>
    <xf borderId="55" fillId="0" fontId="27" numFmtId="0" xfId="0" applyAlignment="1" applyBorder="1" applyFont="1">
      <alignment horizontal="center" readingOrder="0" shrinkToFit="0" wrapText="0"/>
    </xf>
    <xf borderId="14" fillId="0" fontId="27" numFmtId="0" xfId="0" applyAlignment="1" applyBorder="1" applyFont="1">
      <alignment horizontal="center"/>
    </xf>
    <xf borderId="55" fillId="0" fontId="27" numFmtId="0" xfId="0" applyAlignment="1" applyBorder="1" applyFont="1">
      <alignment horizontal="center" readingOrder="0"/>
    </xf>
    <xf borderId="15" fillId="0" fontId="27" numFmtId="0" xfId="0" applyAlignment="1" applyBorder="1" applyFont="1">
      <alignment horizontal="center" readingOrder="0"/>
    </xf>
    <xf borderId="57" fillId="0" fontId="27" numFmtId="0" xfId="0" applyAlignment="1" applyBorder="1" applyFont="1">
      <alignment horizontal="center" readingOrder="0"/>
    </xf>
    <xf borderId="14" fillId="0" fontId="27" numFmtId="49" xfId="0" applyAlignment="1" applyBorder="1" applyFont="1" applyNumberFormat="1">
      <alignment horizontal="center"/>
    </xf>
    <xf borderId="54" fillId="0" fontId="27" numFmtId="0" xfId="0" applyAlignment="1" applyBorder="1" applyFont="1">
      <alignment horizontal="center" readingOrder="0"/>
    </xf>
    <xf borderId="55" fillId="0" fontId="27" numFmtId="4" xfId="0" applyAlignment="1" applyBorder="1" applyFont="1" applyNumberFormat="1">
      <alignment horizontal="center"/>
    </xf>
    <xf borderId="14" fillId="0" fontId="27" numFmtId="4" xfId="0" applyAlignment="1" applyBorder="1" applyFont="1" applyNumberFormat="1">
      <alignment horizontal="center"/>
    </xf>
    <xf borderId="54" fillId="0" fontId="27" numFmtId="0" xfId="0" applyAlignment="1" applyBorder="1" applyFont="1">
      <alignment horizontal="center"/>
    </xf>
    <xf borderId="54" fillId="0" fontId="27" numFmtId="4" xfId="0" applyAlignment="1" applyBorder="1" applyFont="1" applyNumberFormat="1">
      <alignment horizontal="center"/>
    </xf>
    <xf borderId="56" fillId="0" fontId="27" numFmtId="0" xfId="0" applyAlignment="1" applyBorder="1" applyFont="1">
      <alignment horizontal="center"/>
    </xf>
    <xf borderId="14" fillId="10" fontId="27" numFmtId="0" xfId="0" applyAlignment="1" applyBorder="1" applyFont="1">
      <alignment horizontal="center"/>
    </xf>
    <xf borderId="54" fillId="10" fontId="27" numFmtId="0" xfId="0" applyAlignment="1" applyBorder="1" applyFont="1">
      <alignment horizontal="center"/>
    </xf>
    <xf borderId="15" fillId="0" fontId="27" numFmtId="4" xfId="0" applyAlignment="1" applyBorder="1" applyFont="1" applyNumberFormat="1">
      <alignment horizontal="center"/>
    </xf>
    <xf borderId="15" fillId="10" fontId="27" numFmtId="0" xfId="0" applyAlignment="1" applyBorder="1" applyFont="1">
      <alignment horizontal="center"/>
    </xf>
    <xf borderId="13" fillId="0" fontId="27" numFmtId="4" xfId="0" applyAlignment="1" applyBorder="1" applyFont="1" applyNumberFormat="1">
      <alignment horizontal="center"/>
    </xf>
    <xf borderId="58" fillId="0" fontId="27" numFmtId="0" xfId="0" applyAlignment="1" applyBorder="1" applyFont="1">
      <alignment horizontal="left" readingOrder="0"/>
    </xf>
    <xf borderId="2" fillId="0" fontId="27" numFmtId="170" xfId="0" applyAlignment="1" applyBorder="1" applyFont="1" applyNumberFormat="1">
      <alignment horizontal="center" readingOrder="0"/>
    </xf>
    <xf borderId="22" fillId="0" fontId="27" numFmtId="0" xfId="0" applyAlignment="1" applyBorder="1" applyFont="1">
      <alignment horizontal="center"/>
    </xf>
    <xf borderId="20" fillId="0" fontId="29" numFmtId="0" xfId="0" applyAlignment="1" applyBorder="1" applyFont="1">
      <alignment horizontal="left" readingOrder="0"/>
    </xf>
    <xf borderId="25" fillId="0" fontId="27" numFmtId="0" xfId="0" applyAlignment="1" applyBorder="1" applyFont="1">
      <alignment horizontal="left" readingOrder="0"/>
    </xf>
    <xf borderId="2" fillId="0" fontId="27" numFmtId="49" xfId="0" applyAlignment="1" applyBorder="1" applyFont="1" applyNumberFormat="1">
      <alignment horizontal="center" readingOrder="0"/>
    </xf>
    <xf borderId="0" fillId="0" fontId="27" numFmtId="49" xfId="0" applyAlignment="1" applyFont="1" applyNumberFormat="1">
      <alignment horizontal="center" readingOrder="0"/>
    </xf>
    <xf borderId="11" fillId="0" fontId="27" numFmtId="0" xfId="0" applyAlignment="1" applyBorder="1" applyFont="1">
      <alignment horizontal="center" readingOrder="0"/>
    </xf>
    <xf borderId="12" fillId="0" fontId="27" numFmtId="0" xfId="0" applyAlignment="1" applyBorder="1" applyFont="1">
      <alignment horizontal="center"/>
    </xf>
    <xf borderId="11" fillId="6" fontId="30" numFmtId="0" xfId="0" applyAlignment="1" applyBorder="1" applyFont="1">
      <alignment horizontal="center"/>
    </xf>
    <xf borderId="0" fillId="6" fontId="30" numFmtId="169" xfId="0" applyAlignment="1" applyFont="1" applyNumberFormat="1">
      <alignment horizontal="center" readingOrder="0"/>
    </xf>
    <xf borderId="0" fillId="6" fontId="30" numFmtId="0" xfId="0" applyAlignment="1" applyFont="1">
      <alignment horizontal="center" readingOrder="0"/>
    </xf>
    <xf borderId="25" fillId="6" fontId="30" numFmtId="0" xfId="0" applyAlignment="1" applyBorder="1" applyFont="1">
      <alignment horizontal="center"/>
    </xf>
    <xf borderId="22" fillId="6" fontId="30" numFmtId="170" xfId="0" applyAlignment="1" applyBorder="1" applyFont="1" applyNumberFormat="1">
      <alignment horizontal="center" readingOrder="0"/>
    </xf>
    <xf borderId="0" fillId="6" fontId="30" numFmtId="170" xfId="0" applyAlignment="1" applyFont="1" applyNumberFormat="1">
      <alignment horizontal="center" readingOrder="0"/>
    </xf>
    <xf borderId="0" fillId="6" fontId="30" numFmtId="170" xfId="0" applyAlignment="1" applyFont="1" applyNumberFormat="1">
      <alignment horizontal="center"/>
    </xf>
    <xf borderId="25" fillId="6" fontId="30" numFmtId="0" xfId="0" applyAlignment="1" applyBorder="1" applyFont="1">
      <alignment horizontal="center" readingOrder="0"/>
    </xf>
    <xf borderId="22" fillId="6" fontId="30" numFmtId="0" xfId="0" applyAlignment="1" applyBorder="1" applyFont="1">
      <alignment horizontal="center" shrinkToFit="0" wrapText="0"/>
    </xf>
    <xf borderId="0" fillId="6" fontId="30" numFmtId="0" xfId="0" applyAlignment="1" applyFont="1">
      <alignment horizontal="center"/>
    </xf>
    <xf borderId="22" fillId="6" fontId="30" numFmtId="0" xfId="0" applyAlignment="1" applyBorder="1" applyFont="1">
      <alignment horizontal="center"/>
    </xf>
    <xf borderId="12" fillId="6" fontId="30" numFmtId="0" xfId="0" applyAlignment="1" applyBorder="1" applyFont="1">
      <alignment horizontal="center"/>
    </xf>
    <xf borderId="42" fillId="6" fontId="30" numFmtId="0" xfId="0" applyAlignment="1" applyBorder="1" applyFont="1">
      <alignment horizontal="center"/>
    </xf>
    <xf borderId="0" fillId="6" fontId="30" numFmtId="49" xfId="0" applyAlignment="1" applyFont="1" applyNumberFormat="1">
      <alignment horizontal="center"/>
    </xf>
    <xf borderId="22" fillId="6" fontId="30" numFmtId="4" xfId="0" applyAlignment="1" applyBorder="1" applyFont="1" applyNumberFormat="1">
      <alignment horizontal="center"/>
    </xf>
    <xf borderId="0" fillId="6" fontId="30" numFmtId="4" xfId="0" applyAlignment="1" applyFont="1" applyNumberFormat="1">
      <alignment horizontal="center"/>
    </xf>
    <xf borderId="25" fillId="6" fontId="30" numFmtId="4" xfId="0" applyAlignment="1" applyBorder="1" applyFont="1" applyNumberFormat="1">
      <alignment horizontal="center"/>
    </xf>
    <xf borderId="46" fillId="6" fontId="30" numFmtId="0" xfId="0" applyAlignment="1" applyBorder="1" applyFont="1">
      <alignment horizontal="center"/>
    </xf>
    <xf borderId="12" fillId="6" fontId="30" numFmtId="4" xfId="0" applyAlignment="1" applyBorder="1" applyFont="1" applyNumberFormat="1">
      <alignment horizontal="center"/>
    </xf>
    <xf borderId="11" fillId="6" fontId="30" numFmtId="4" xfId="0" applyAlignment="1" applyBorder="1" applyFont="1" applyNumberFormat="1">
      <alignment horizontal="center"/>
    </xf>
    <xf borderId="20" fillId="6" fontId="30" numFmtId="0" xfId="0" applyAlignment="1" applyBorder="1" applyFont="1">
      <alignment horizontal="left" readingOrder="0"/>
    </xf>
    <xf borderId="25" fillId="6" fontId="30" numFmtId="0" xfId="0" applyAlignment="1" applyBorder="1" applyFont="1">
      <alignment horizontal="left" readingOrder="0"/>
    </xf>
    <xf borderId="11" fillId="0" fontId="27" numFmtId="0" xfId="0" applyAlignment="1" applyBorder="1" applyFont="1">
      <alignment horizontal="center" readingOrder="0"/>
    </xf>
    <xf borderId="42" fillId="0" fontId="27" numFmtId="0" xfId="0" applyAlignment="1" applyBorder="1" applyFont="1">
      <alignment horizontal="center"/>
    </xf>
    <xf borderId="22" fillId="0" fontId="27" numFmtId="0" xfId="0" applyAlignment="1" applyBorder="1" applyFont="1">
      <alignment horizontal="center" shrinkToFit="0" wrapText="0"/>
    </xf>
    <xf borderId="0" fillId="6" fontId="27" numFmtId="169" xfId="0" applyAlignment="1" applyFont="1" applyNumberFormat="1">
      <alignment horizontal="center" readingOrder="0"/>
    </xf>
    <xf borderId="22" fillId="6" fontId="27" numFmtId="0" xfId="0" applyAlignment="1" applyBorder="1" applyFont="1">
      <alignment horizontal="center" readingOrder="0" shrinkToFit="0" wrapText="0"/>
    </xf>
    <xf borderId="20" fillId="6" fontId="27" numFmtId="0" xfId="0" applyAlignment="1" applyBorder="1" applyFont="1">
      <alignment horizontal="left" readingOrder="0"/>
    </xf>
    <xf borderId="25" fillId="6" fontId="27" numFmtId="0" xfId="0" applyAlignment="1" applyBorder="1" applyFont="1">
      <alignment horizontal="left" readingOrder="0"/>
    </xf>
    <xf borderId="64" fillId="0" fontId="31" numFmtId="0" xfId="0" applyAlignment="1" applyBorder="1" applyFont="1">
      <alignment readingOrder="0" shrinkToFit="0" vertical="top" wrapText="1"/>
    </xf>
    <xf borderId="65" fillId="0" fontId="28" numFmtId="0" xfId="0" applyAlignment="1" applyBorder="1" applyFont="1">
      <alignment horizontal="center" readingOrder="0"/>
    </xf>
    <xf borderId="64" fillId="0" fontId="28" numFmtId="169" xfId="0" applyAlignment="1" applyBorder="1" applyFont="1" applyNumberFormat="1">
      <alignment horizontal="center" readingOrder="0"/>
    </xf>
    <xf borderId="64" fillId="0" fontId="28" numFmtId="0" xfId="0" applyAlignment="1" applyBorder="1" applyFont="1">
      <alignment horizontal="center"/>
    </xf>
    <xf borderId="64" fillId="0" fontId="28" numFmtId="0" xfId="0" applyAlignment="1" applyBorder="1" applyFont="1">
      <alignment horizontal="center" readingOrder="0"/>
    </xf>
    <xf borderId="66" fillId="0" fontId="28" numFmtId="0" xfId="0" applyAlignment="1" applyBorder="1" applyFont="1">
      <alignment horizontal="center" readingOrder="0"/>
    </xf>
    <xf borderId="67" fillId="0" fontId="28" numFmtId="170" xfId="0" applyAlignment="1" applyBorder="1" applyFont="1" applyNumberFormat="1">
      <alignment horizontal="center" readingOrder="0"/>
    </xf>
    <xf borderId="64" fillId="0" fontId="28" numFmtId="170" xfId="0" applyAlignment="1" applyBorder="1" applyFont="1" applyNumberFormat="1">
      <alignment horizontal="center" readingOrder="0"/>
    </xf>
    <xf borderId="67" fillId="0" fontId="28" numFmtId="0" xfId="0" applyAlignment="1" applyBorder="1" applyFont="1">
      <alignment horizontal="center" readingOrder="0" shrinkToFit="0" wrapText="0"/>
    </xf>
    <xf borderId="67" fillId="0" fontId="28" numFmtId="0" xfId="0" applyAlignment="1" applyBorder="1" applyFont="1">
      <alignment horizontal="center" readingOrder="0"/>
    </xf>
    <xf borderId="68" fillId="0" fontId="28" numFmtId="0" xfId="0" applyAlignment="1" applyBorder="1" applyFont="1">
      <alignment horizontal="center" readingOrder="0"/>
    </xf>
    <xf borderId="40" fillId="0" fontId="28" numFmtId="0" xfId="0" applyAlignment="1" applyBorder="1" applyFont="1">
      <alignment horizontal="center" readingOrder="0"/>
    </xf>
    <xf borderId="64" fillId="0" fontId="28" numFmtId="49" xfId="0" applyAlignment="1" applyBorder="1" applyFont="1" applyNumberFormat="1">
      <alignment horizontal="center" readingOrder="0"/>
    </xf>
    <xf borderId="67" fillId="0" fontId="28" numFmtId="4" xfId="0" applyAlignment="1" applyBorder="1" applyFont="1" applyNumberFormat="1">
      <alignment horizontal="center"/>
    </xf>
    <xf borderId="64" fillId="0" fontId="28" numFmtId="4" xfId="0" applyAlignment="1" applyBorder="1" applyFont="1" applyNumberFormat="1">
      <alignment horizontal="center"/>
    </xf>
    <xf borderId="66" fillId="0" fontId="28" numFmtId="0" xfId="0" applyAlignment="1" applyBorder="1" applyFont="1">
      <alignment horizontal="center"/>
    </xf>
    <xf borderId="22" fillId="0" fontId="28" numFmtId="4" xfId="0" applyAlignment="1" applyBorder="1" applyFont="1" applyNumberFormat="1">
      <alignment horizontal="center"/>
    </xf>
    <xf borderId="25" fillId="0" fontId="28" numFmtId="4" xfId="0" applyAlignment="1" applyBorder="1" applyFont="1" applyNumberFormat="1">
      <alignment horizontal="center"/>
    </xf>
    <xf borderId="69" fillId="0" fontId="28" numFmtId="0" xfId="0" applyAlignment="1" applyBorder="1" applyFont="1">
      <alignment horizontal="center" readingOrder="0"/>
    </xf>
    <xf borderId="0" fillId="0" fontId="28" numFmtId="4" xfId="0" applyAlignment="1" applyFont="1" applyNumberFormat="1">
      <alignment horizontal="center"/>
    </xf>
    <xf borderId="66" fillId="0" fontId="28" numFmtId="4" xfId="0" applyAlignment="1" applyBorder="1" applyFont="1" applyNumberFormat="1">
      <alignment horizontal="center"/>
    </xf>
    <xf borderId="67" fillId="0" fontId="28" numFmtId="4" xfId="0" applyAlignment="1" applyBorder="1" applyFont="1" applyNumberFormat="1">
      <alignment horizontal="center" readingOrder="0"/>
    </xf>
    <xf borderId="64" fillId="0" fontId="28" numFmtId="4" xfId="0" applyAlignment="1" applyBorder="1" applyFont="1" applyNumberFormat="1">
      <alignment horizontal="center" readingOrder="0"/>
    </xf>
    <xf borderId="68" fillId="0" fontId="28" numFmtId="4" xfId="0" applyAlignment="1" applyBorder="1" applyFont="1" applyNumberFormat="1">
      <alignment horizontal="center"/>
    </xf>
    <xf borderId="65" fillId="0" fontId="28" numFmtId="0" xfId="0" applyAlignment="1" applyBorder="1" applyFont="1">
      <alignment horizontal="center"/>
    </xf>
    <xf borderId="68" fillId="0" fontId="28" numFmtId="0" xfId="0" applyAlignment="1" applyBorder="1" applyFont="1">
      <alignment horizontal="center"/>
    </xf>
    <xf borderId="11" fillId="0" fontId="28" numFmtId="4" xfId="0" applyAlignment="1" applyBorder="1" applyFont="1" applyNumberFormat="1">
      <alignment horizontal="center"/>
    </xf>
    <xf borderId="70" fillId="0" fontId="28" numFmtId="0" xfId="0" applyAlignment="1" applyBorder="1" applyFont="1">
      <alignment readingOrder="0"/>
    </xf>
    <xf borderId="25" fillId="0" fontId="28" numFmtId="0" xfId="0" applyAlignment="1" applyBorder="1" applyFont="1">
      <alignment readingOrder="0"/>
    </xf>
    <xf borderId="11" fillId="0" fontId="28" numFmtId="0" xfId="0" applyAlignment="1" applyBorder="1" applyFont="1">
      <alignment horizontal="center" readingOrder="0"/>
    </xf>
    <xf borderId="0" fillId="0" fontId="28" numFmtId="169" xfId="0" applyAlignment="1" applyFont="1" applyNumberFormat="1">
      <alignment horizontal="center" readingOrder="0"/>
    </xf>
    <xf borderId="0" fillId="0" fontId="28" numFmtId="0" xfId="0" applyAlignment="1" applyFont="1">
      <alignment horizontal="center"/>
    </xf>
    <xf borderId="0" fillId="0" fontId="28" numFmtId="0" xfId="0" applyAlignment="1" applyFont="1">
      <alignment horizontal="center" readingOrder="0"/>
    </xf>
    <xf borderId="25" fillId="0" fontId="28" numFmtId="0" xfId="0" applyAlignment="1" applyBorder="1" applyFont="1">
      <alignment horizontal="center" readingOrder="0"/>
    </xf>
    <xf borderId="22" fillId="0" fontId="28" numFmtId="170" xfId="0" applyAlignment="1" applyBorder="1" applyFont="1" applyNumberFormat="1">
      <alignment horizontal="center" readingOrder="0"/>
    </xf>
    <xf borderId="0" fillId="0" fontId="28" numFmtId="170" xfId="0" applyAlignment="1" applyFont="1" applyNumberFormat="1">
      <alignment horizontal="center" readingOrder="0"/>
    </xf>
    <xf borderId="0" fillId="0" fontId="28" numFmtId="172" xfId="0" applyAlignment="1" applyFont="1" applyNumberFormat="1">
      <alignment horizontal="center" readingOrder="0"/>
    </xf>
    <xf borderId="22" fillId="0" fontId="28" numFmtId="0" xfId="0" applyAlignment="1" applyBorder="1" applyFont="1">
      <alignment horizontal="center" readingOrder="0" shrinkToFit="0" wrapText="0"/>
    </xf>
    <xf borderId="22" fillId="0" fontId="28" numFmtId="0" xfId="0" applyAlignment="1" applyBorder="1" applyFont="1">
      <alignment horizontal="center" readingOrder="0"/>
    </xf>
    <xf borderId="12" fillId="0" fontId="28" numFmtId="0" xfId="0" applyAlignment="1" applyBorder="1" applyFont="1">
      <alignment horizontal="center" readingOrder="0"/>
    </xf>
    <xf borderId="42" fillId="0" fontId="28" numFmtId="0" xfId="0" applyAlignment="1" applyBorder="1" applyFont="1">
      <alignment horizontal="center" readingOrder="0"/>
    </xf>
    <xf borderId="0" fillId="0" fontId="28" numFmtId="49" xfId="0" applyAlignment="1" applyFont="1" applyNumberFormat="1">
      <alignment horizontal="center" readingOrder="0"/>
    </xf>
    <xf borderId="25" fillId="0" fontId="28" numFmtId="0" xfId="0" applyAlignment="1" applyBorder="1" applyFont="1">
      <alignment horizontal="center"/>
    </xf>
    <xf borderId="46" fillId="0" fontId="28" numFmtId="0" xfId="0" applyAlignment="1" applyBorder="1" applyFont="1">
      <alignment horizontal="center" readingOrder="0"/>
    </xf>
    <xf borderId="22" fillId="0" fontId="28" numFmtId="4" xfId="0" applyAlignment="1" applyBorder="1" applyFont="1" applyNumberFormat="1">
      <alignment horizontal="center" readingOrder="0"/>
    </xf>
    <xf borderId="0" fillId="0" fontId="28" numFmtId="4" xfId="0" applyAlignment="1" applyFont="1" applyNumberFormat="1">
      <alignment horizontal="center" readingOrder="0"/>
    </xf>
    <xf borderId="12" fillId="0" fontId="28" numFmtId="4" xfId="0" applyAlignment="1" applyBorder="1" applyFont="1" applyNumberFormat="1">
      <alignment horizontal="center"/>
    </xf>
    <xf borderId="11" fillId="0" fontId="28" numFmtId="0" xfId="0" applyAlignment="1" applyBorder="1" applyFont="1">
      <alignment horizontal="center"/>
    </xf>
    <xf borderId="12" fillId="0" fontId="28" numFmtId="0" xfId="0" applyAlignment="1" applyBorder="1" applyFont="1">
      <alignment horizontal="center"/>
    </xf>
    <xf borderId="20" fillId="0" fontId="28" numFmtId="0" xfId="0" applyAlignment="1" applyBorder="1" applyFont="1">
      <alignment readingOrder="0"/>
    </xf>
    <xf borderId="16" fillId="0" fontId="28" numFmtId="4" xfId="0" applyAlignment="1" applyBorder="1" applyFont="1" applyNumberFormat="1">
      <alignment horizontal="center"/>
    </xf>
    <xf borderId="1" fillId="0" fontId="28" numFmtId="4" xfId="0" applyAlignment="1" applyBorder="1" applyFont="1" applyNumberFormat="1">
      <alignment horizontal="center"/>
    </xf>
    <xf borderId="1" fillId="0" fontId="28" numFmtId="0" xfId="0" applyAlignment="1" applyBorder="1" applyFont="1">
      <alignment horizontal="center"/>
    </xf>
    <xf borderId="17" fillId="0" fontId="28" numFmtId="0" xfId="0" applyAlignment="1" applyBorder="1" applyFont="1">
      <alignment horizontal="center"/>
    </xf>
    <xf borderId="2" fillId="0" fontId="31" numFmtId="0" xfId="0" applyAlignment="1" applyBorder="1" applyFont="1">
      <alignment readingOrder="0" shrinkToFit="0" vertical="top" wrapText="1"/>
    </xf>
    <xf borderId="9" fillId="0" fontId="28" numFmtId="0" xfId="0" applyAlignment="1" applyBorder="1" applyFont="1">
      <alignment horizontal="center" readingOrder="0"/>
    </xf>
    <xf borderId="2" fillId="0" fontId="28" numFmtId="169" xfId="0" applyAlignment="1" applyBorder="1" applyFont="1" applyNumberFormat="1">
      <alignment horizontal="center" readingOrder="0"/>
    </xf>
    <xf borderId="2" fillId="0" fontId="28" numFmtId="0" xfId="0" applyAlignment="1" applyBorder="1" applyFont="1">
      <alignment horizontal="center"/>
    </xf>
    <xf borderId="2" fillId="0" fontId="28" numFmtId="0" xfId="0" applyAlignment="1" applyBorder="1" applyFont="1">
      <alignment horizontal="center" readingOrder="0"/>
    </xf>
    <xf borderId="31" fillId="0" fontId="28" numFmtId="173" xfId="0" applyAlignment="1" applyBorder="1" applyFont="1" applyNumberFormat="1">
      <alignment horizontal="center" readingOrder="0"/>
    </xf>
    <xf borderId="32" fillId="0" fontId="28" numFmtId="170" xfId="0" applyAlignment="1" applyBorder="1" applyFont="1" applyNumberFormat="1">
      <alignment horizontal="center" readingOrder="0"/>
    </xf>
    <xf borderId="2" fillId="0" fontId="28" numFmtId="170" xfId="0" applyAlignment="1" applyBorder="1" applyFont="1" applyNumberFormat="1">
      <alignment horizontal="center" readingOrder="0"/>
    </xf>
    <xf borderId="32" fillId="0" fontId="28" numFmtId="0" xfId="0" applyAlignment="1" applyBorder="1" applyFont="1">
      <alignment horizontal="center" readingOrder="0"/>
    </xf>
    <xf borderId="31" fillId="0" fontId="28" numFmtId="0" xfId="0" applyAlignment="1" applyBorder="1" applyFont="1">
      <alignment horizontal="center" readingOrder="0"/>
    </xf>
    <xf borderId="32" fillId="0" fontId="28" numFmtId="0" xfId="0" applyAlignment="1" applyBorder="1" applyFont="1">
      <alignment horizontal="center" readingOrder="0" shrinkToFit="0" wrapText="0"/>
    </xf>
    <xf borderId="10" fillId="0" fontId="28" numFmtId="0" xfId="0" applyAlignment="1" applyBorder="1" applyFont="1">
      <alignment horizontal="center" readingOrder="0"/>
    </xf>
    <xf borderId="61" fillId="0" fontId="28" numFmtId="0" xfId="0" applyAlignment="1" applyBorder="1" applyFont="1">
      <alignment horizontal="center" readingOrder="0"/>
    </xf>
    <xf borderId="2" fillId="0" fontId="28" numFmtId="49" xfId="0" applyAlignment="1" applyBorder="1" applyFont="1" applyNumberFormat="1">
      <alignment horizontal="center" readingOrder="0"/>
    </xf>
    <xf borderId="32" fillId="0" fontId="28" numFmtId="4" xfId="0" applyAlignment="1" applyBorder="1" applyFont="1" applyNumberFormat="1">
      <alignment horizontal="center"/>
    </xf>
    <xf borderId="2" fillId="0" fontId="28" numFmtId="4" xfId="0" applyAlignment="1" applyBorder="1" applyFont="1" applyNumberFormat="1">
      <alignment horizontal="center"/>
    </xf>
    <xf borderId="31" fillId="0" fontId="28" numFmtId="0" xfId="0" applyAlignment="1" applyBorder="1" applyFont="1">
      <alignment horizontal="center"/>
    </xf>
    <xf borderId="53" fillId="0" fontId="28" numFmtId="0" xfId="0" applyAlignment="1" applyBorder="1" applyFont="1">
      <alignment horizontal="center" readingOrder="0"/>
    </xf>
    <xf borderId="31" fillId="0" fontId="28" numFmtId="4" xfId="0" applyAlignment="1" applyBorder="1" applyFont="1" applyNumberFormat="1">
      <alignment horizontal="center"/>
    </xf>
    <xf borderId="32" fillId="0" fontId="28" numFmtId="4" xfId="0" applyAlignment="1" applyBorder="1" applyFont="1" applyNumberFormat="1">
      <alignment horizontal="center" readingOrder="0"/>
    </xf>
    <xf borderId="2" fillId="0" fontId="28" numFmtId="4" xfId="0" applyAlignment="1" applyBorder="1" applyFont="1" applyNumberFormat="1">
      <alignment horizontal="center" readingOrder="0"/>
    </xf>
    <xf borderId="10" fillId="0" fontId="28" numFmtId="4" xfId="0" applyAlignment="1" applyBorder="1" applyFont="1" applyNumberFormat="1">
      <alignment horizontal="center"/>
    </xf>
    <xf borderId="9" fillId="0" fontId="28" numFmtId="0" xfId="0" applyAlignment="1" applyBorder="1" applyFont="1">
      <alignment horizontal="center"/>
    </xf>
    <xf borderId="10" fillId="0" fontId="28" numFmtId="0" xfId="0" applyAlignment="1" applyBorder="1" applyFont="1">
      <alignment horizontal="center"/>
    </xf>
    <xf borderId="21" fillId="0" fontId="28" numFmtId="0" xfId="0" applyAlignment="1" applyBorder="1" applyFont="1">
      <alignment readingOrder="0"/>
    </xf>
    <xf borderId="25" fillId="0" fontId="28" numFmtId="173" xfId="0" applyAlignment="1" applyBorder="1" applyFont="1" applyNumberFormat="1">
      <alignment horizontal="center" readingOrder="0"/>
    </xf>
    <xf borderId="9" fillId="0" fontId="27" numFmtId="0" xfId="0" applyAlignment="1" applyBorder="1" applyFont="1">
      <alignment horizontal="center" readingOrder="0"/>
    </xf>
    <xf borderId="2" fillId="0" fontId="32" numFmtId="169" xfId="0" applyAlignment="1" applyBorder="1" applyFont="1" applyNumberFormat="1">
      <alignment horizontal="center" shrinkToFit="0" wrapText="1"/>
    </xf>
    <xf borderId="2" fillId="0" fontId="32" numFmtId="0" xfId="0" applyAlignment="1" applyBorder="1" applyFont="1">
      <alignment horizontal="center" shrinkToFit="0" wrapText="1"/>
    </xf>
    <xf borderId="2" fillId="0" fontId="32" numFmtId="0" xfId="0" applyAlignment="1" applyBorder="1" applyFont="1">
      <alignment horizontal="center" shrinkToFit="0" wrapText="1"/>
    </xf>
    <xf borderId="31" fillId="0" fontId="27" numFmtId="0" xfId="0" applyAlignment="1" applyBorder="1" applyFont="1">
      <alignment horizontal="center"/>
    </xf>
    <xf borderId="32" fillId="0" fontId="28" numFmtId="170" xfId="0" applyAlignment="1" applyBorder="1" applyFont="1" applyNumberFormat="1">
      <alignment horizontal="center" shrinkToFit="0" wrapText="1"/>
    </xf>
    <xf borderId="2" fillId="0" fontId="28" numFmtId="170" xfId="0" applyAlignment="1" applyBorder="1" applyFont="1" applyNumberFormat="1">
      <alignment horizontal="center" shrinkToFit="0" wrapText="1"/>
    </xf>
    <xf borderId="2" fillId="0" fontId="27" numFmtId="170" xfId="0" applyAlignment="1" applyBorder="1" applyFont="1" applyNumberFormat="1">
      <alignment horizontal="center" shrinkToFit="0" wrapText="1"/>
    </xf>
    <xf borderId="2" fillId="0" fontId="27" numFmtId="0" xfId="0" applyAlignment="1" applyBorder="1" applyFont="1">
      <alignment horizontal="center" shrinkToFit="0" wrapText="1"/>
    </xf>
    <xf borderId="31" fillId="0" fontId="27" numFmtId="0" xfId="0" applyAlignment="1" applyBorder="1" applyFont="1">
      <alignment horizontal="center" readingOrder="0" shrinkToFit="0" wrapText="1"/>
    </xf>
    <xf borderId="2" fillId="0" fontId="27" numFmtId="0" xfId="0" applyAlignment="1" applyBorder="1" applyFont="1">
      <alignment horizontal="center" readingOrder="0" shrinkToFit="0" wrapText="1"/>
    </xf>
    <xf borderId="32" fillId="0" fontId="27" numFmtId="174" xfId="0" applyAlignment="1" applyBorder="1" applyFont="1" applyNumberFormat="1">
      <alignment horizontal="center" shrinkToFit="0" wrapText="1"/>
    </xf>
    <xf borderId="2" fillId="0" fontId="27" numFmtId="174" xfId="0" applyAlignment="1" applyBorder="1" applyFont="1" applyNumberFormat="1">
      <alignment horizontal="center" readingOrder="0" shrinkToFit="0" wrapText="1"/>
    </xf>
    <xf borderId="31" fillId="0" fontId="27" numFmtId="174" xfId="0" applyAlignment="1" applyBorder="1" applyFont="1" applyNumberFormat="1">
      <alignment horizontal="center" shrinkToFit="0" wrapText="1"/>
    </xf>
    <xf borderId="2" fillId="0" fontId="32" numFmtId="0" xfId="0" applyAlignment="1" applyBorder="1" applyFont="1">
      <alignment horizontal="center"/>
    </xf>
    <xf quotePrefix="1" borderId="2" fillId="0" fontId="27" numFmtId="0" xfId="0" applyAlignment="1" applyBorder="1" applyFont="1">
      <alignment horizontal="center" shrinkToFit="0" wrapText="1"/>
    </xf>
    <xf borderId="10" fillId="0" fontId="27" numFmtId="0" xfId="0" applyAlignment="1" applyBorder="1" applyFont="1">
      <alignment horizontal="center" shrinkToFit="0" wrapText="1"/>
    </xf>
    <xf borderId="61" fillId="0" fontId="27" numFmtId="0" xfId="0" applyAlignment="1" applyBorder="1" applyFont="1">
      <alignment horizontal="center" shrinkToFit="0" wrapText="1"/>
    </xf>
    <xf borderId="53" fillId="0" fontId="27" numFmtId="0" xfId="0" applyAlignment="1" applyBorder="1" applyFont="1">
      <alignment horizontal="center" readingOrder="0"/>
    </xf>
    <xf borderId="32" fillId="0" fontId="27" numFmtId="4" xfId="0" applyAlignment="1" applyBorder="1" applyFont="1" applyNumberFormat="1">
      <alignment horizontal="center" readingOrder="0"/>
    </xf>
    <xf borderId="2" fillId="0" fontId="27" numFmtId="4" xfId="0" applyAlignment="1" applyBorder="1" applyFont="1" applyNumberFormat="1">
      <alignment horizontal="center" readingOrder="0"/>
    </xf>
    <xf borderId="21" fillId="0" fontId="27" numFmtId="0" xfId="0" applyAlignment="1" applyBorder="1" applyFont="1">
      <alignment readingOrder="0"/>
    </xf>
    <xf borderId="25" fillId="0" fontId="27" numFmtId="0" xfId="0" applyAlignment="1" applyBorder="1" applyFont="1">
      <alignment readingOrder="0"/>
    </xf>
    <xf borderId="0" fillId="0" fontId="32" numFmtId="169" xfId="0" applyAlignment="1" applyFont="1" applyNumberFormat="1">
      <alignment horizontal="center" shrinkToFit="0" wrapText="1"/>
    </xf>
    <xf borderId="0" fillId="0" fontId="32" numFmtId="0" xfId="0" applyAlignment="1" applyFont="1">
      <alignment horizontal="center" shrinkToFit="0" wrapText="1"/>
    </xf>
    <xf borderId="0" fillId="0" fontId="32" numFmtId="0" xfId="0" applyAlignment="1" applyFont="1">
      <alignment horizontal="center" shrinkToFit="0" wrapText="1"/>
    </xf>
    <xf borderId="25" fillId="0" fontId="27" numFmtId="0" xfId="0" applyAlignment="1" applyBorder="1" applyFont="1">
      <alignment horizontal="center" shrinkToFit="0" wrapText="1"/>
    </xf>
    <xf borderId="22" fillId="0" fontId="32" numFmtId="170" xfId="0" applyAlignment="1" applyBorder="1" applyFont="1" applyNumberFormat="1">
      <alignment horizontal="center" shrinkToFit="0" wrapText="1"/>
    </xf>
    <xf borderId="0" fillId="0" fontId="32" numFmtId="170" xfId="0" applyAlignment="1" applyFont="1" applyNumberFormat="1">
      <alignment horizontal="center" shrinkToFit="0" wrapText="1"/>
    </xf>
    <xf borderId="0" fillId="0" fontId="27" numFmtId="170" xfId="0" applyAlignment="1" applyFont="1" applyNumberFormat="1">
      <alignment horizontal="center" shrinkToFit="0" wrapText="1"/>
    </xf>
    <xf borderId="0" fillId="0" fontId="27" numFmtId="0" xfId="0" applyAlignment="1" applyFont="1">
      <alignment horizontal="center" shrinkToFit="0" wrapText="1"/>
    </xf>
    <xf borderId="25" fillId="0" fontId="27" numFmtId="0" xfId="0" applyAlignment="1" applyBorder="1" applyFont="1">
      <alignment horizontal="center" readingOrder="0" shrinkToFit="0" wrapText="1"/>
    </xf>
    <xf borderId="0" fillId="0" fontId="27" numFmtId="0" xfId="0" applyAlignment="1" applyFont="1">
      <alignment horizontal="center" readingOrder="0" shrinkToFit="0" wrapText="1"/>
    </xf>
    <xf borderId="22" fillId="0" fontId="27" numFmtId="174" xfId="0" applyAlignment="1" applyBorder="1" applyFont="1" applyNumberFormat="1">
      <alignment horizontal="center" shrinkToFit="0" wrapText="1"/>
    </xf>
    <xf borderId="0" fillId="0" fontId="27" numFmtId="174" xfId="0" applyAlignment="1" applyFont="1" applyNumberFormat="1">
      <alignment horizontal="center" shrinkToFit="0" wrapText="1"/>
    </xf>
    <xf borderId="25" fillId="0" fontId="27" numFmtId="2" xfId="0" applyAlignment="1" applyBorder="1" applyFont="1" applyNumberFormat="1">
      <alignment horizontal="center" shrinkToFit="0" wrapText="1"/>
    </xf>
    <xf borderId="0" fillId="0" fontId="32" numFmtId="0" xfId="0" applyAlignment="1" applyFont="1">
      <alignment horizontal="center"/>
    </xf>
    <xf borderId="0" fillId="0" fontId="27" numFmtId="0" xfId="0" applyAlignment="1" applyFont="1">
      <alignment horizontal="center"/>
    </xf>
    <xf borderId="12" fillId="0" fontId="27" numFmtId="0" xfId="0" applyAlignment="1" applyBorder="1" applyFont="1">
      <alignment horizontal="center"/>
    </xf>
    <xf borderId="42" fillId="0" fontId="27" numFmtId="0" xfId="0" applyAlignment="1" applyBorder="1" applyFont="1">
      <alignment horizontal="center"/>
    </xf>
    <xf borderId="46" fillId="0" fontId="27" numFmtId="0" xfId="0" applyAlignment="1" applyBorder="1" applyFont="1">
      <alignment horizontal="center" readingOrder="0"/>
    </xf>
    <xf borderId="22" fillId="0" fontId="27" numFmtId="4" xfId="0" applyAlignment="1" applyBorder="1" applyFont="1" applyNumberFormat="1">
      <alignment horizontal="center" readingOrder="0"/>
    </xf>
    <xf borderId="0" fillId="0" fontId="27" numFmtId="4" xfId="0" applyAlignment="1" applyFont="1" applyNumberFormat="1">
      <alignment horizontal="center" readingOrder="0"/>
    </xf>
    <xf borderId="20" fillId="0" fontId="27" numFmtId="0" xfId="0" applyBorder="1" applyFont="1"/>
    <xf borderId="25" fillId="0" fontId="27" numFmtId="0" xfId="0" applyBorder="1" applyFont="1"/>
    <xf borderId="25" fillId="0" fontId="27" numFmtId="174" xfId="0" applyAlignment="1" applyBorder="1" applyFont="1" applyNumberFormat="1">
      <alignment horizontal="center" shrinkToFit="0" wrapText="1"/>
    </xf>
    <xf borderId="25" fillId="0" fontId="27" numFmtId="0" xfId="0" applyAlignment="1" applyBorder="1" applyFont="1">
      <alignment horizontal="center"/>
    </xf>
    <xf borderId="0" fillId="0" fontId="27" numFmtId="174" xfId="0" applyAlignment="1" applyFont="1" applyNumberFormat="1">
      <alignment horizontal="center" readingOrder="0" shrinkToFit="0" wrapText="1"/>
    </xf>
    <xf borderId="12" fillId="0" fontId="27" numFmtId="0" xfId="0" applyAlignment="1" applyBorder="1" applyFont="1">
      <alignment horizontal="center" shrinkToFit="0" wrapText="1"/>
    </xf>
    <xf borderId="42" fillId="0" fontId="27" numFmtId="0" xfId="0" applyAlignment="1" applyBorder="1" applyFont="1">
      <alignment horizontal="center" shrinkToFit="0" wrapText="1"/>
    </xf>
    <xf borderId="22" fillId="0" fontId="27" numFmtId="0" xfId="0" applyAlignment="1" applyBorder="1" applyFont="1">
      <alignment horizontal="center" shrinkToFit="0" wrapText="0"/>
    </xf>
    <xf quotePrefix="1" borderId="0" fillId="0" fontId="27" numFmtId="0" xfId="0" applyAlignment="1" applyFont="1">
      <alignment horizontal="center" shrinkToFit="0" wrapText="1"/>
    </xf>
    <xf borderId="0" fillId="0" fontId="32" numFmtId="0" xfId="0" applyAlignment="1" applyFont="1">
      <alignment horizontal="center" readingOrder="0"/>
    </xf>
    <xf borderId="25" fillId="8" fontId="27" numFmtId="0" xfId="0" applyAlignment="1" applyBorder="1" applyFont="1">
      <alignment horizontal="center" readingOrder="0" shrinkToFit="0" wrapText="1"/>
    </xf>
    <xf borderId="22" fillId="0" fontId="32" numFmtId="170" xfId="0" applyAlignment="1" applyBorder="1" applyFont="1" applyNumberFormat="1">
      <alignment horizontal="center"/>
    </xf>
    <xf borderId="0" fillId="0" fontId="32" numFmtId="170" xfId="0" applyAlignment="1" applyFont="1" applyNumberFormat="1">
      <alignment horizontal="center"/>
    </xf>
    <xf borderId="0" fillId="0" fontId="27" numFmtId="18" xfId="0" applyAlignment="1" applyFont="1" applyNumberFormat="1">
      <alignment horizontal="center" shrinkToFit="0" wrapText="1"/>
    </xf>
    <xf borderId="0" fillId="0" fontId="27" numFmtId="45" xfId="0" applyAlignment="1" applyFont="1" applyNumberFormat="1">
      <alignment horizontal="center"/>
    </xf>
    <xf borderId="22" fillId="0" fontId="27" numFmtId="174" xfId="0" applyAlignment="1" applyBorder="1" applyFont="1" applyNumberFormat="1">
      <alignment horizontal="center"/>
    </xf>
    <xf borderId="0" fillId="0" fontId="27" numFmtId="174" xfId="0" applyAlignment="1" applyFont="1" applyNumberFormat="1">
      <alignment horizontal="center" readingOrder="0"/>
    </xf>
    <xf borderId="25" fillId="0" fontId="27" numFmtId="174" xfId="0" applyAlignment="1" applyBorder="1" applyFont="1" applyNumberFormat="1">
      <alignment horizontal="center"/>
    </xf>
    <xf borderId="1" fillId="0" fontId="19" numFmtId="0" xfId="0" applyBorder="1" applyFont="1"/>
    <xf borderId="60" fillId="0" fontId="27" numFmtId="0" xfId="0" applyAlignment="1" applyBorder="1" applyFont="1">
      <alignment horizontal="center" readingOrder="0"/>
    </xf>
    <xf borderId="1" fillId="0" fontId="27" numFmtId="49" xfId="0" applyAlignment="1" applyBorder="1" applyFont="1" applyNumberFormat="1">
      <alignment horizontal="center" readingOrder="0"/>
    </xf>
    <xf borderId="17" fillId="0" fontId="27" numFmtId="0" xfId="0" applyAlignment="1" applyBorder="1" applyFont="1">
      <alignment horizontal="center" readingOrder="0"/>
    </xf>
    <xf borderId="71" fillId="0" fontId="27" numFmtId="0" xfId="0" applyAlignment="1" applyBorder="1" applyFont="1">
      <alignment horizontal="center" readingOrder="0"/>
    </xf>
    <xf borderId="60" fillId="0" fontId="27" numFmtId="0" xfId="0" applyAlignment="1" applyBorder="1" applyFont="1">
      <alignment horizontal="center"/>
    </xf>
    <xf borderId="1" fillId="0" fontId="27" numFmtId="0" xfId="0" applyAlignment="1" applyBorder="1" applyFont="1">
      <alignment horizontal="center"/>
    </xf>
    <xf borderId="1" fillId="0" fontId="27" numFmtId="4" xfId="0" applyAlignment="1" applyBorder="1" applyFont="1" applyNumberFormat="1">
      <alignment horizontal="center"/>
    </xf>
    <xf borderId="17" fillId="0" fontId="27" numFmtId="4" xfId="0" applyAlignment="1" applyBorder="1" applyFont="1" applyNumberFormat="1">
      <alignment horizontal="center"/>
    </xf>
    <xf borderId="16" fillId="0" fontId="27" numFmtId="4" xfId="0" applyAlignment="1" applyBorder="1" applyFont="1" applyNumberFormat="1">
      <alignment horizontal="center" readingOrder="0"/>
    </xf>
    <xf borderId="1" fillId="0" fontId="27" numFmtId="4" xfId="0" applyAlignment="1" applyBorder="1" applyFont="1" applyNumberFormat="1">
      <alignment horizontal="center" readingOrder="0"/>
    </xf>
    <xf borderId="1" fillId="10" fontId="27" numFmtId="0" xfId="0" applyAlignment="1" applyBorder="1" applyFont="1">
      <alignment horizontal="center"/>
    </xf>
    <xf borderId="72" fillId="10" fontId="27" numFmtId="0" xfId="0" applyAlignment="1" applyBorder="1" applyFont="1">
      <alignment horizontal="center"/>
    </xf>
    <xf borderId="19" fillId="0" fontId="27" numFmtId="0" xfId="0" applyBorder="1" applyFont="1"/>
    <xf borderId="32" fillId="0" fontId="27" numFmtId="170" xfId="0" applyAlignment="1" applyBorder="1" applyFont="1" applyNumberFormat="1">
      <alignment horizontal="center"/>
    </xf>
    <xf borderId="2" fillId="0" fontId="27" numFmtId="45" xfId="0" applyAlignment="1" applyBorder="1" applyFont="1" applyNumberFormat="1">
      <alignment horizontal="center"/>
    </xf>
    <xf borderId="32" fillId="0" fontId="27" numFmtId="174" xfId="0" applyAlignment="1" applyBorder="1" applyFont="1" applyNumberFormat="1">
      <alignment horizontal="center"/>
    </xf>
    <xf borderId="2" fillId="0" fontId="27" numFmtId="174" xfId="0" applyAlignment="1" applyBorder="1" applyFont="1" applyNumberFormat="1">
      <alignment horizontal="center" readingOrder="0"/>
    </xf>
    <xf borderId="31" fillId="0" fontId="27" numFmtId="174" xfId="0" applyAlignment="1" applyBorder="1" applyFont="1" applyNumberFormat="1">
      <alignment horizontal="center"/>
    </xf>
    <xf borderId="2" fillId="0" fontId="27" numFmtId="0" xfId="0" applyAlignment="1" applyBorder="1" applyFont="1">
      <alignment horizontal="center"/>
    </xf>
    <xf borderId="10" fillId="0" fontId="27" numFmtId="0" xfId="0" applyAlignment="1" applyBorder="1" applyFont="1">
      <alignment horizontal="center"/>
    </xf>
    <xf borderId="61" fillId="0" fontId="27" numFmtId="0" xfId="0" applyAlignment="1" applyBorder="1" applyFont="1">
      <alignment horizontal="center"/>
    </xf>
    <xf borderId="21" fillId="0" fontId="27" numFmtId="0" xfId="0" applyBorder="1" applyFont="1"/>
    <xf borderId="22" fillId="0" fontId="27" numFmtId="170" xfId="0" applyAlignment="1" applyBorder="1" applyFont="1" applyNumberFormat="1">
      <alignment horizontal="center"/>
    </xf>
    <xf borderId="25" fillId="0" fontId="27" numFmtId="18" xfId="0" applyAlignment="1" applyBorder="1" applyFont="1" applyNumberFormat="1">
      <alignment horizontal="center"/>
    </xf>
    <xf quotePrefix="1" borderId="0" fillId="0" fontId="27" numFmtId="0" xfId="0" applyAlignment="1" applyFont="1">
      <alignment horizontal="center"/>
    </xf>
    <xf borderId="25" fillId="0" fontId="27" numFmtId="2" xfId="0" applyAlignment="1" applyBorder="1" applyFont="1" applyNumberFormat="1">
      <alignment horizontal="center"/>
    </xf>
    <xf borderId="0" fillId="0" fontId="27" numFmtId="174" xfId="0" applyAlignment="1" applyFont="1" applyNumberFormat="1">
      <alignment horizontal="center"/>
    </xf>
    <xf borderId="16" fillId="0" fontId="27" numFmtId="4" xfId="0" applyAlignment="1" applyBorder="1" applyFont="1" applyNumberFormat="1">
      <alignment horizontal="center"/>
    </xf>
    <xf borderId="1" fillId="0" fontId="27" numFmtId="0" xfId="0" applyAlignment="1" applyBorder="1" applyFont="1">
      <alignment horizontal="center" readingOrder="0"/>
    </xf>
    <xf borderId="18" fillId="0" fontId="26" numFmtId="0" xfId="0" applyAlignment="1" applyBorder="1" applyFont="1">
      <alignment readingOrder="0" shrinkToFit="0" vertical="top" wrapText="1"/>
    </xf>
    <xf borderId="73" fillId="0" fontId="27" numFmtId="0" xfId="0" applyAlignment="1" applyBorder="1" applyFont="1">
      <alignment horizontal="center" readingOrder="0"/>
    </xf>
    <xf borderId="18" fillId="0" fontId="32" numFmtId="169" xfId="0" applyAlignment="1" applyBorder="1" applyFont="1" applyNumberFormat="1">
      <alignment horizontal="center" shrinkToFit="0" wrapText="1"/>
    </xf>
    <xf borderId="18" fillId="0" fontId="27" numFmtId="0" xfId="0" applyAlignment="1" applyBorder="1" applyFont="1">
      <alignment horizontal="center"/>
    </xf>
    <xf borderId="18" fillId="0" fontId="32" numFmtId="0" xfId="0" applyAlignment="1" applyBorder="1" applyFont="1">
      <alignment horizontal="center" shrinkToFit="0" wrapText="1"/>
    </xf>
    <xf borderId="23" fillId="0" fontId="27" numFmtId="18" xfId="0" applyAlignment="1" applyBorder="1" applyFont="1" applyNumberFormat="1">
      <alignment horizontal="center"/>
    </xf>
    <xf borderId="24" fillId="0" fontId="32" numFmtId="170" xfId="0" applyAlignment="1" applyBorder="1" applyFont="1" applyNumberFormat="1">
      <alignment horizontal="center"/>
    </xf>
    <xf borderId="18" fillId="0" fontId="32" numFmtId="170" xfId="0" applyAlignment="1" applyBorder="1" applyFont="1" applyNumberFormat="1">
      <alignment horizontal="center" shrinkToFit="0" wrapText="1"/>
    </xf>
    <xf borderId="18" fillId="0" fontId="27" numFmtId="170" xfId="0" applyAlignment="1" applyBorder="1" applyFont="1" applyNumberFormat="1">
      <alignment horizontal="center" shrinkToFit="0" wrapText="1"/>
    </xf>
    <xf borderId="18" fillId="0" fontId="27" numFmtId="18" xfId="0" applyAlignment="1" applyBorder="1" applyFont="1" applyNumberFormat="1">
      <alignment horizontal="center" shrinkToFit="0" wrapText="1"/>
    </xf>
    <xf borderId="23" fillId="0" fontId="27" numFmtId="0" xfId="0" applyAlignment="1" applyBorder="1" applyFont="1">
      <alignment horizontal="center" readingOrder="0"/>
    </xf>
    <xf borderId="24" fillId="0" fontId="27" numFmtId="0" xfId="0" applyAlignment="1" applyBorder="1" applyFont="1">
      <alignment horizontal="center" readingOrder="0" shrinkToFit="0" wrapText="0"/>
    </xf>
    <xf borderId="18" fillId="0" fontId="27" numFmtId="0" xfId="0" applyAlignment="1" applyBorder="1" applyFont="1">
      <alignment horizontal="center" readingOrder="0"/>
    </xf>
    <xf borderId="18" fillId="0" fontId="27" numFmtId="45" xfId="0" applyAlignment="1" applyBorder="1" applyFont="1" applyNumberFormat="1">
      <alignment horizontal="center"/>
    </xf>
    <xf borderId="24" fillId="0" fontId="27" numFmtId="174" xfId="0" applyAlignment="1" applyBorder="1" applyFont="1" applyNumberFormat="1">
      <alignment horizontal="center"/>
    </xf>
    <xf borderId="18" fillId="0" fontId="27" numFmtId="174" xfId="0" applyAlignment="1" applyBorder="1" applyFont="1" applyNumberFormat="1">
      <alignment horizontal="center"/>
    </xf>
    <xf borderId="23" fillId="0" fontId="27" numFmtId="174" xfId="0" applyAlignment="1" applyBorder="1" applyFont="1" applyNumberFormat="1">
      <alignment horizontal="center"/>
    </xf>
    <xf borderId="18" fillId="0" fontId="32" numFmtId="0" xfId="0" applyAlignment="1" applyBorder="1" applyFont="1">
      <alignment horizontal="center"/>
    </xf>
    <xf borderId="18" fillId="0" fontId="27" numFmtId="0" xfId="0" applyAlignment="1" applyBorder="1" applyFont="1">
      <alignment horizontal="center"/>
    </xf>
    <xf borderId="74" fillId="0" fontId="27" numFmtId="0" xfId="0" applyAlignment="1" applyBorder="1" applyFont="1">
      <alignment horizontal="center"/>
    </xf>
    <xf borderId="75" fillId="0" fontId="27" numFmtId="0" xfId="0" applyAlignment="1" applyBorder="1" applyFont="1">
      <alignment horizontal="center"/>
    </xf>
    <xf borderId="18" fillId="0" fontId="27" numFmtId="49" xfId="0" applyAlignment="1" applyBorder="1" applyFont="1" applyNumberFormat="1">
      <alignment horizontal="center" readingOrder="0"/>
    </xf>
    <xf borderId="24" fillId="0" fontId="27" numFmtId="4" xfId="0" applyAlignment="1" applyBorder="1" applyFont="1" applyNumberFormat="1">
      <alignment horizontal="center"/>
    </xf>
    <xf borderId="18" fillId="0" fontId="27" numFmtId="4" xfId="0" applyAlignment="1" applyBorder="1" applyFont="1" applyNumberFormat="1">
      <alignment horizontal="center"/>
    </xf>
    <xf borderId="23" fillId="0" fontId="27" numFmtId="0" xfId="0" applyAlignment="1" applyBorder="1" applyFont="1">
      <alignment horizontal="center"/>
    </xf>
    <xf borderId="7" fillId="0" fontId="27" numFmtId="0" xfId="0" applyAlignment="1" applyBorder="1" applyFont="1">
      <alignment horizontal="center" readingOrder="0"/>
    </xf>
    <xf borderId="73" fillId="0" fontId="27" numFmtId="0" xfId="0" applyAlignment="1" applyBorder="1" applyFont="1">
      <alignment horizontal="center"/>
    </xf>
    <xf borderId="18" fillId="10" fontId="27" numFmtId="0" xfId="0" applyAlignment="1" applyBorder="1" applyFont="1">
      <alignment horizontal="center"/>
    </xf>
    <xf borderId="23" fillId="10" fontId="27" numFmtId="0" xfId="0" applyAlignment="1" applyBorder="1" applyFont="1">
      <alignment horizontal="center"/>
    </xf>
    <xf borderId="23" fillId="0" fontId="27" numFmtId="4" xfId="0" applyAlignment="1" applyBorder="1" applyFont="1" applyNumberFormat="1">
      <alignment horizontal="center"/>
    </xf>
    <xf borderId="24" fillId="0" fontId="27" numFmtId="4" xfId="0" applyAlignment="1" applyBorder="1" applyFont="1" applyNumberFormat="1">
      <alignment horizontal="center" readingOrder="0"/>
    </xf>
    <xf borderId="18" fillId="0" fontId="27" numFmtId="4" xfId="0" applyAlignment="1" applyBorder="1" applyFont="1" applyNumberFormat="1">
      <alignment horizontal="center" readingOrder="0"/>
    </xf>
    <xf borderId="74" fillId="0" fontId="27" numFmtId="4" xfId="0" applyAlignment="1" applyBorder="1" applyFont="1" applyNumberFormat="1">
      <alignment horizontal="center"/>
    </xf>
    <xf borderId="74" fillId="10" fontId="27" numFmtId="0" xfId="0" applyAlignment="1" applyBorder="1" applyFont="1">
      <alignment horizontal="center"/>
    </xf>
    <xf borderId="8" fillId="0" fontId="27" numFmtId="0" xfId="0" applyBorder="1" applyFont="1"/>
    <xf borderId="25" fillId="0" fontId="27" numFmtId="18" xfId="0" applyAlignment="1" applyBorder="1" applyFont="1" applyNumberFormat="1">
      <alignment horizontal="center" shrinkToFit="0" wrapText="1"/>
    </xf>
    <xf borderId="0" fillId="0" fontId="27" numFmtId="45" xfId="0" applyAlignment="1" applyFont="1" applyNumberFormat="1">
      <alignment horizontal="center" shrinkToFit="0" wrapText="1"/>
    </xf>
    <xf borderId="22" fillId="0" fontId="27" numFmtId="45" xfId="0" applyAlignment="1" applyBorder="1" applyFont="1" applyNumberFormat="1">
      <alignment horizontal="center" shrinkToFit="0" wrapText="0"/>
    </xf>
    <xf borderId="20" fillId="0" fontId="27" numFmtId="0" xfId="0" applyAlignment="1" applyBorder="1" applyFont="1">
      <alignment readingOrder="0"/>
    </xf>
    <xf borderId="0" fillId="0" fontId="32" numFmtId="170" xfId="0" applyAlignment="1" applyFont="1" applyNumberFormat="1">
      <alignment horizontal="center" readingOrder="0" shrinkToFit="0" wrapText="1"/>
    </xf>
    <xf borderId="31" fillId="0" fontId="27" numFmtId="0" xfId="0" applyAlignment="1" applyBorder="1" applyFont="1">
      <alignment horizontal="center" shrinkToFit="0" wrapText="1"/>
    </xf>
    <xf borderId="32" fillId="0" fontId="32" numFmtId="170" xfId="0" applyAlignment="1" applyBorder="1" applyFont="1" applyNumberFormat="1">
      <alignment horizontal="center" shrinkToFit="0" wrapText="1"/>
    </xf>
    <xf borderId="2" fillId="0" fontId="32" numFmtId="170" xfId="0" applyAlignment="1" applyBorder="1" applyFont="1" applyNumberFormat="1">
      <alignment horizontal="center" shrinkToFit="0" wrapText="1"/>
    </xf>
    <xf borderId="32" fillId="0" fontId="32" numFmtId="170" xfId="0" applyAlignment="1" applyBorder="1" applyFont="1" applyNumberFormat="1">
      <alignment horizontal="center"/>
    </xf>
    <xf borderId="2" fillId="0" fontId="27" numFmtId="18" xfId="0" applyAlignment="1" applyBorder="1" applyFont="1" applyNumberFormat="1">
      <alignment horizontal="center" shrinkToFit="0" wrapText="1"/>
    </xf>
    <xf borderId="22" fillId="0" fontId="32" numFmtId="170" xfId="0" applyAlignment="1" applyBorder="1" applyFont="1" applyNumberFormat="1">
      <alignment horizontal="center" shrinkToFit="0" vertical="center" wrapText="1"/>
    </xf>
    <xf borderId="19" fillId="0" fontId="27" numFmtId="0" xfId="0" applyAlignment="1" applyBorder="1" applyFont="1">
      <alignment readingOrder="0"/>
    </xf>
    <xf borderId="2" fillId="0" fontId="27" numFmtId="169" xfId="0" applyAlignment="1" applyBorder="1" applyFont="1" applyNumberFormat="1">
      <alignment horizontal="center" shrinkToFit="0" wrapText="1"/>
    </xf>
    <xf borderId="2" fillId="0" fontId="27" numFmtId="0" xfId="0" applyAlignment="1" applyBorder="1" applyFont="1">
      <alignment horizontal="center" shrinkToFit="0" wrapText="1"/>
    </xf>
    <xf borderId="32" fillId="0" fontId="27" numFmtId="170" xfId="0" applyAlignment="1" applyBorder="1" applyFont="1" applyNumberFormat="1">
      <alignment horizontal="center" shrinkToFit="0" wrapText="1"/>
    </xf>
    <xf borderId="2" fillId="0" fontId="27" numFmtId="49" xfId="0" applyAlignment="1" applyBorder="1" applyFont="1" applyNumberFormat="1">
      <alignment horizontal="center" shrinkToFit="0" wrapText="1"/>
    </xf>
    <xf borderId="2" fillId="0" fontId="27" numFmtId="174" xfId="0" applyAlignment="1" applyBorder="1" applyFont="1" applyNumberFormat="1">
      <alignment horizontal="center" shrinkToFit="0" wrapText="1"/>
    </xf>
    <xf borderId="31" fillId="0" fontId="27" numFmtId="2" xfId="0" applyAlignment="1" applyBorder="1" applyFont="1" applyNumberFormat="1">
      <alignment horizontal="center" shrinkToFit="0" wrapText="1"/>
    </xf>
    <xf borderId="2" fillId="11" fontId="27" numFmtId="0" xfId="0" applyAlignment="1" applyBorder="1" applyFill="1" applyFont="1">
      <alignment horizontal="center"/>
    </xf>
    <xf borderId="2" fillId="0" fontId="27" numFmtId="172" xfId="0" applyAlignment="1" applyBorder="1" applyFont="1" applyNumberFormat="1">
      <alignment horizontal="center" readingOrder="0"/>
    </xf>
    <xf borderId="0" fillId="0" fontId="27" numFmtId="169" xfId="0" applyAlignment="1" applyFont="1" applyNumberFormat="1">
      <alignment horizontal="center" shrinkToFit="0" wrapText="1"/>
    </xf>
    <xf borderId="0" fillId="0" fontId="27" numFmtId="0" xfId="0" applyAlignment="1" applyFont="1">
      <alignment horizontal="center" shrinkToFit="0" wrapText="1"/>
    </xf>
    <xf borderId="22" fillId="0" fontId="27" numFmtId="170" xfId="0" applyAlignment="1" applyBorder="1" applyFont="1" applyNumberFormat="1">
      <alignment horizontal="center" shrinkToFit="0" wrapText="1"/>
    </xf>
    <xf borderId="0" fillId="11" fontId="27" numFmtId="0" xfId="0" applyAlignment="1" applyFont="1">
      <alignment horizontal="center"/>
    </xf>
    <xf borderId="0" fillId="0" fontId="27" numFmtId="172" xfId="0" applyAlignment="1" applyFont="1" applyNumberFormat="1">
      <alignment horizontal="center" readingOrder="0"/>
    </xf>
    <xf borderId="1" fillId="0" fontId="27" numFmtId="169" xfId="0" applyAlignment="1" applyBorder="1" applyFont="1" applyNumberFormat="1">
      <alignment horizontal="center" shrinkToFit="0" wrapText="1"/>
    </xf>
    <xf borderId="1" fillId="0" fontId="27" numFmtId="0" xfId="0" applyAlignment="1" applyBorder="1" applyFont="1">
      <alignment horizontal="center" shrinkToFit="0" wrapText="1"/>
    </xf>
    <xf borderId="1" fillId="0" fontId="27" numFmtId="0" xfId="0" applyAlignment="1" applyBorder="1" applyFont="1">
      <alignment horizontal="center" shrinkToFit="0" wrapText="1"/>
    </xf>
    <xf borderId="17" fillId="0" fontId="27" numFmtId="0" xfId="0" applyAlignment="1" applyBorder="1" applyFont="1">
      <alignment horizontal="center"/>
    </xf>
    <xf borderId="16" fillId="0" fontId="27" numFmtId="170" xfId="0" applyAlignment="1" applyBorder="1" applyFont="1" applyNumberFormat="1">
      <alignment horizontal="center" shrinkToFit="0" wrapText="1"/>
    </xf>
    <xf borderId="1" fillId="0" fontId="27" numFmtId="170" xfId="0" applyAlignment="1" applyBorder="1" applyFont="1" applyNumberFormat="1">
      <alignment horizontal="center" shrinkToFit="0" wrapText="1"/>
    </xf>
    <xf borderId="1" fillId="0" fontId="27" numFmtId="18" xfId="0" applyAlignment="1" applyBorder="1" applyFont="1" applyNumberFormat="1">
      <alignment horizontal="center" shrinkToFit="0" wrapText="1"/>
    </xf>
    <xf borderId="16" fillId="0" fontId="27" numFmtId="0" xfId="0" applyAlignment="1" applyBorder="1" applyFont="1">
      <alignment horizontal="center" readingOrder="0" shrinkToFit="0" wrapText="0"/>
    </xf>
    <xf borderId="1" fillId="0" fontId="27" numFmtId="45" xfId="0" applyAlignment="1" applyBorder="1" applyFont="1" applyNumberFormat="1">
      <alignment horizontal="center"/>
    </xf>
    <xf borderId="16" fillId="0" fontId="27" numFmtId="174" xfId="0" applyAlignment="1" applyBorder="1" applyFont="1" applyNumberFormat="1">
      <alignment horizontal="center" shrinkToFit="0" wrapText="1"/>
    </xf>
    <xf borderId="1" fillId="0" fontId="27" numFmtId="174" xfId="0" applyAlignment="1" applyBorder="1" applyFont="1" applyNumberFormat="1">
      <alignment horizontal="center" shrinkToFit="0" wrapText="1"/>
    </xf>
    <xf borderId="17" fillId="0" fontId="27" numFmtId="0" xfId="0" applyAlignment="1" applyBorder="1" applyFont="1">
      <alignment horizontal="center" shrinkToFit="0" wrapText="1"/>
    </xf>
    <xf borderId="1" fillId="0" fontId="27" numFmtId="0" xfId="0" applyAlignment="1" applyBorder="1" applyFont="1">
      <alignment horizontal="center"/>
    </xf>
    <xf borderId="72" fillId="0" fontId="27" numFmtId="0" xfId="0" applyAlignment="1" applyBorder="1" applyFont="1">
      <alignment horizontal="center"/>
    </xf>
    <xf borderId="76" fillId="0" fontId="27" numFmtId="0" xfId="0" applyAlignment="1" applyBorder="1" applyFont="1">
      <alignment horizontal="center"/>
    </xf>
    <xf borderId="17" fillId="0" fontId="27" numFmtId="0" xfId="0" applyAlignment="1" applyBorder="1" applyFont="1">
      <alignment horizontal="center"/>
    </xf>
    <xf borderId="1" fillId="11" fontId="27" numFmtId="0" xfId="0" applyAlignment="1" applyBorder="1" applyFont="1">
      <alignment horizontal="center"/>
    </xf>
    <xf borderId="17" fillId="10" fontId="27" numFmtId="0" xfId="0" applyAlignment="1" applyBorder="1" applyFont="1">
      <alignment horizontal="center"/>
    </xf>
    <xf borderId="72" fillId="0" fontId="27" numFmtId="4" xfId="0" applyAlignment="1" applyBorder="1" applyFont="1" applyNumberFormat="1">
      <alignment horizontal="center"/>
    </xf>
    <xf borderId="60" fillId="0" fontId="27" numFmtId="4" xfId="0" applyAlignment="1" applyBorder="1" applyFont="1" applyNumberFormat="1">
      <alignment horizontal="center"/>
    </xf>
    <xf borderId="0" fillId="0" fontId="27" numFmtId="49" xfId="0" applyAlignment="1" applyFont="1" applyNumberFormat="1">
      <alignment horizontal="center" shrinkToFit="0" wrapText="1"/>
    </xf>
    <xf borderId="64" fillId="0" fontId="26" numFmtId="0" xfId="0" applyAlignment="1" applyBorder="1" applyFont="1">
      <alignment readingOrder="0" shrinkToFit="0" vertical="top" wrapText="1"/>
    </xf>
    <xf borderId="65" fillId="0" fontId="27" numFmtId="0" xfId="0" applyAlignment="1" applyBorder="1" applyFont="1">
      <alignment horizontal="center" readingOrder="0"/>
    </xf>
    <xf borderId="64" fillId="0" fontId="27" numFmtId="169" xfId="0" applyAlignment="1" applyBorder="1" applyFont="1" applyNumberFormat="1">
      <alignment horizontal="center" readingOrder="0"/>
    </xf>
    <xf borderId="64" fillId="0" fontId="27" numFmtId="0" xfId="0" applyAlignment="1" applyBorder="1" applyFont="1">
      <alignment horizontal="center"/>
    </xf>
    <xf borderId="64" fillId="0" fontId="27" numFmtId="0" xfId="0" applyAlignment="1" applyBorder="1" applyFont="1">
      <alignment horizontal="center" readingOrder="0"/>
    </xf>
    <xf borderId="66" fillId="0" fontId="27" numFmtId="0" xfId="0" applyAlignment="1" applyBorder="1" applyFont="1">
      <alignment horizontal="center" readingOrder="0"/>
    </xf>
    <xf borderId="67" fillId="0" fontId="27" numFmtId="170" xfId="0" applyAlignment="1" applyBorder="1" applyFont="1" applyNumberFormat="1">
      <alignment horizontal="center" readingOrder="0"/>
    </xf>
    <xf borderId="64" fillId="0" fontId="27" numFmtId="170" xfId="0" applyAlignment="1" applyBorder="1" applyFont="1" applyNumberFormat="1">
      <alignment horizontal="center" readingOrder="0"/>
    </xf>
    <xf borderId="67" fillId="0" fontId="27" numFmtId="0" xfId="0" applyAlignment="1" applyBorder="1" applyFont="1">
      <alignment horizontal="center" readingOrder="0"/>
    </xf>
    <xf borderId="67" fillId="0" fontId="27" numFmtId="0" xfId="0" applyAlignment="1" applyBorder="1" applyFont="1">
      <alignment horizontal="center" readingOrder="0" shrinkToFit="0" wrapText="0"/>
    </xf>
    <xf borderId="68" fillId="0" fontId="27" numFmtId="0" xfId="0" applyAlignment="1" applyBorder="1" applyFont="1">
      <alignment horizontal="center" readingOrder="0"/>
    </xf>
    <xf borderId="40" fillId="0" fontId="27" numFmtId="0" xfId="0" applyAlignment="1" applyBorder="1" applyFont="1">
      <alignment horizontal="center" readingOrder="0"/>
    </xf>
    <xf borderId="64" fillId="0" fontId="27" numFmtId="49" xfId="0" applyAlignment="1" applyBorder="1" applyFont="1" applyNumberFormat="1">
      <alignment horizontal="center" readingOrder="0"/>
    </xf>
    <xf borderId="67" fillId="0" fontId="27" numFmtId="4" xfId="0" applyAlignment="1" applyBorder="1" applyFont="1" applyNumberFormat="1">
      <alignment horizontal="center"/>
    </xf>
    <xf borderId="64" fillId="0" fontId="27" numFmtId="4" xfId="0" applyAlignment="1" applyBorder="1" applyFont="1" applyNumberFormat="1">
      <alignment horizontal="center"/>
    </xf>
    <xf borderId="66" fillId="0" fontId="27" numFmtId="0" xfId="0" applyAlignment="1" applyBorder="1" applyFont="1">
      <alignment horizontal="center"/>
    </xf>
    <xf borderId="69" fillId="0" fontId="27" numFmtId="0" xfId="0" applyAlignment="1" applyBorder="1" applyFont="1">
      <alignment horizontal="center"/>
    </xf>
    <xf borderId="65" fillId="0" fontId="27" numFmtId="0" xfId="0" applyAlignment="1" applyBorder="1" applyFont="1">
      <alignment horizontal="center"/>
    </xf>
    <xf borderId="64" fillId="10" fontId="27" numFmtId="0" xfId="0" applyAlignment="1" applyBorder="1" applyFont="1">
      <alignment horizontal="center"/>
    </xf>
    <xf borderId="66" fillId="10" fontId="27" numFmtId="0" xfId="0" applyAlignment="1" applyBorder="1" applyFont="1">
      <alignment horizontal="center"/>
    </xf>
    <xf borderId="66" fillId="0" fontId="27" numFmtId="4" xfId="0" applyAlignment="1" applyBorder="1" applyFont="1" applyNumberFormat="1">
      <alignment horizontal="center"/>
    </xf>
    <xf borderId="68" fillId="0" fontId="27" numFmtId="4" xfId="0" applyAlignment="1" applyBorder="1" applyFont="1" applyNumberFormat="1">
      <alignment horizontal="center"/>
    </xf>
    <xf borderId="68" fillId="10" fontId="27" numFmtId="0" xfId="0" applyAlignment="1" applyBorder="1" applyFont="1">
      <alignment horizontal="center"/>
    </xf>
    <xf borderId="70" fillId="0" fontId="27" numFmtId="0" xfId="0" applyBorder="1" applyFont="1"/>
    <xf borderId="1" fillId="0" fontId="27" numFmtId="169" xfId="0" applyAlignment="1" applyBorder="1" applyFont="1" applyNumberFormat="1">
      <alignment horizontal="center" readingOrder="0"/>
    </xf>
    <xf borderId="16" fillId="0" fontId="27" numFmtId="170" xfId="0" applyAlignment="1" applyBorder="1" applyFont="1" applyNumberFormat="1">
      <alignment horizontal="center" readingOrder="0"/>
    </xf>
    <xf borderId="1" fillId="0" fontId="27" numFmtId="170" xfId="0" applyAlignment="1" applyBorder="1" applyFont="1" applyNumberFormat="1">
      <alignment horizontal="center" readingOrder="0"/>
    </xf>
    <xf borderId="16" fillId="0" fontId="27" numFmtId="0" xfId="0" applyAlignment="1" applyBorder="1" applyFont="1">
      <alignment horizontal="center" readingOrder="0"/>
    </xf>
    <xf borderId="72" fillId="0" fontId="27" numFmtId="0" xfId="0" applyAlignment="1" applyBorder="1" applyFont="1">
      <alignment horizontal="center" readingOrder="0"/>
    </xf>
    <xf borderId="71" fillId="0" fontId="27" numFmtId="0" xfId="0" applyAlignment="1" applyBorder="1" applyFont="1">
      <alignment horizontal="center"/>
    </xf>
    <xf borderId="18" fillId="0" fontId="27" numFmtId="169" xfId="0" applyAlignment="1" applyBorder="1" applyFont="1" applyNumberFormat="1">
      <alignment horizontal="center" readingOrder="0"/>
    </xf>
    <xf borderId="24" fillId="0" fontId="27" numFmtId="170" xfId="0" applyAlignment="1" applyBorder="1" applyFont="1" applyNumberFormat="1">
      <alignment horizontal="center" readingOrder="0"/>
    </xf>
    <xf borderId="18" fillId="0" fontId="27" numFmtId="170" xfId="0" applyAlignment="1" applyBorder="1" applyFont="1" applyNumberFormat="1">
      <alignment horizontal="center" readingOrder="0"/>
    </xf>
    <xf borderId="24" fillId="0" fontId="27" numFmtId="0" xfId="0" applyAlignment="1" applyBorder="1" applyFont="1">
      <alignment horizontal="center" readingOrder="0"/>
    </xf>
    <xf borderId="74" fillId="0" fontId="27" numFmtId="0" xfId="0" applyAlignment="1" applyBorder="1" applyFont="1">
      <alignment horizontal="center" readingOrder="0"/>
    </xf>
    <xf borderId="75" fillId="0" fontId="27" numFmtId="0" xfId="0" applyAlignment="1" applyBorder="1" applyFont="1">
      <alignment horizontal="center" readingOrder="0"/>
    </xf>
    <xf borderId="7" fillId="0" fontId="27" numFmtId="0" xfId="0" applyAlignment="1" applyBorder="1" applyFont="1">
      <alignment horizontal="center"/>
    </xf>
    <xf borderId="1" fillId="0" fontId="27" numFmtId="170" xfId="0" applyAlignment="1" applyBorder="1" applyFont="1" applyNumberFormat="1">
      <alignment horizontal="center"/>
    </xf>
    <xf borderId="16" fillId="0" fontId="27" numFmtId="0" xfId="0" applyAlignment="1" applyBorder="1" applyFont="1">
      <alignment horizontal="center" shrinkToFit="0" wrapText="0"/>
    </xf>
    <xf borderId="16" fillId="0" fontId="27" numFmtId="0" xfId="0" applyAlignment="1" applyBorder="1" applyFont="1">
      <alignment horizontal="center"/>
    </xf>
    <xf borderId="72" fillId="0" fontId="27" numFmtId="0" xfId="0" applyAlignment="1" applyBorder="1" applyFont="1">
      <alignment horizontal="center"/>
    </xf>
    <xf borderId="76" fillId="0" fontId="27" numFmtId="0" xfId="0" applyAlignment="1" applyBorder="1" applyFont="1">
      <alignment horizontal="center"/>
    </xf>
    <xf borderId="1" fillId="0" fontId="27" numFmtId="49" xfId="0" applyAlignment="1" applyBorder="1" applyFont="1" applyNumberFormat="1">
      <alignment horizontal="center"/>
    </xf>
    <xf borderId="0" fillId="10" fontId="27" numFmtId="0" xfId="0" applyAlignment="1" applyFont="1">
      <alignment horizontal="center" readingOrder="0"/>
    </xf>
    <xf borderId="25" fillId="10" fontId="27" numFmtId="0" xfId="0" applyAlignment="1" applyBorder="1" applyFont="1">
      <alignment horizontal="center" readingOrder="0"/>
    </xf>
    <xf borderId="1" fillId="10" fontId="27" numFmtId="0" xfId="0" applyAlignment="1" applyBorder="1" applyFont="1">
      <alignment horizontal="center" readingOrder="0"/>
    </xf>
    <xf borderId="32" fillId="0" fontId="26" numFmtId="0" xfId="0" applyAlignment="1" applyBorder="1" applyFont="1">
      <alignment readingOrder="0" shrinkToFit="0" vertical="top" wrapText="1"/>
    </xf>
    <xf borderId="2" fillId="10" fontId="27" numFmtId="0" xfId="0" applyAlignment="1" applyBorder="1" applyFont="1">
      <alignment horizontal="center" readingOrder="0"/>
    </xf>
    <xf borderId="31" fillId="10" fontId="27" numFmtId="0" xfId="0" applyAlignment="1" applyBorder="1" applyFont="1">
      <alignment horizontal="center" readingOrder="0"/>
    </xf>
    <xf borderId="22" fillId="0" fontId="19" numFmtId="0" xfId="0" applyBorder="1" applyFont="1"/>
    <xf borderId="20" fillId="0" fontId="28" numFmtId="0" xfId="0" applyAlignment="1" applyBorder="1" applyFont="1">
      <alignment readingOrder="0" vertical="top"/>
    </xf>
    <xf borderId="25" fillId="0" fontId="28" numFmtId="0" xfId="0" applyAlignment="1" applyBorder="1" applyFont="1">
      <alignment readingOrder="0" vertical="top"/>
    </xf>
    <xf borderId="20" fillId="0" fontId="19" numFmtId="0" xfId="0" applyBorder="1" applyFont="1"/>
    <xf borderId="11" fillId="6" fontId="33" numFmtId="0" xfId="0" applyAlignment="1" applyBorder="1" applyFont="1">
      <alignment horizontal="center" readingOrder="0"/>
    </xf>
    <xf borderId="0" fillId="6" fontId="33" numFmtId="169" xfId="0" applyAlignment="1" applyFont="1" applyNumberFormat="1">
      <alignment horizontal="center" readingOrder="0"/>
    </xf>
    <xf borderId="0" fillId="6" fontId="33" numFmtId="0" xfId="0" applyAlignment="1" applyFont="1">
      <alignment horizontal="center"/>
    </xf>
    <xf borderId="0" fillId="6" fontId="33" numFmtId="0" xfId="0" applyAlignment="1" applyFont="1">
      <alignment horizontal="center" readingOrder="0"/>
    </xf>
    <xf borderId="25" fillId="6" fontId="33" numFmtId="0" xfId="0" applyAlignment="1" applyBorder="1" applyFont="1">
      <alignment horizontal="center" readingOrder="0"/>
    </xf>
    <xf borderId="22" fillId="6" fontId="33" numFmtId="170" xfId="0" applyAlignment="1" applyBorder="1" applyFont="1" applyNumberFormat="1">
      <alignment horizontal="center" readingOrder="0"/>
    </xf>
    <xf borderId="0" fillId="6" fontId="33" numFmtId="170" xfId="0" applyAlignment="1" applyFont="1" applyNumberFormat="1">
      <alignment horizontal="center" readingOrder="0"/>
    </xf>
    <xf borderId="22" fillId="6" fontId="33" numFmtId="0" xfId="0" applyAlignment="1" applyBorder="1" applyFont="1">
      <alignment horizontal="center" readingOrder="0"/>
    </xf>
    <xf borderId="22" fillId="6" fontId="33" numFmtId="0" xfId="0" applyAlignment="1" applyBorder="1" applyFont="1">
      <alignment horizontal="center" readingOrder="0" shrinkToFit="0" wrapText="0"/>
    </xf>
    <xf borderId="12" fillId="6" fontId="33" numFmtId="175" xfId="0" applyAlignment="1" applyBorder="1" applyFont="1" applyNumberFormat="1">
      <alignment horizontal="center" readingOrder="0"/>
    </xf>
    <xf borderId="0" fillId="6" fontId="33" numFmtId="175" xfId="0" applyAlignment="1" applyFont="1" applyNumberFormat="1">
      <alignment horizontal="center" readingOrder="0"/>
    </xf>
    <xf borderId="42" fillId="6" fontId="33" numFmtId="175" xfId="0" applyAlignment="1" applyBorder="1" applyFont="1" applyNumberFormat="1">
      <alignment horizontal="center" readingOrder="0"/>
    </xf>
    <xf borderId="0" fillId="6" fontId="33" numFmtId="49" xfId="0" applyAlignment="1" applyFont="1" applyNumberFormat="1">
      <alignment horizontal="center"/>
    </xf>
    <xf borderId="25" fillId="6" fontId="33" numFmtId="0" xfId="0" applyAlignment="1" applyBorder="1" applyFont="1">
      <alignment horizontal="center"/>
    </xf>
    <xf borderId="46" fillId="6" fontId="33" numFmtId="0" xfId="0" applyAlignment="1" applyBorder="1" applyFont="1">
      <alignment horizontal="center"/>
    </xf>
    <xf borderId="0" fillId="6" fontId="33" numFmtId="4" xfId="0" applyAlignment="1" applyFont="1" applyNumberFormat="1">
      <alignment horizontal="center"/>
    </xf>
    <xf borderId="25" fillId="6" fontId="33" numFmtId="4" xfId="0" applyAlignment="1" applyBorder="1" applyFont="1" applyNumberFormat="1">
      <alignment horizontal="center"/>
    </xf>
    <xf borderId="22" fillId="6" fontId="33" numFmtId="4" xfId="0" applyAlignment="1" applyBorder="1" applyFont="1" applyNumberFormat="1">
      <alignment horizontal="center"/>
    </xf>
    <xf borderId="11" fillId="6" fontId="33" numFmtId="0" xfId="0" applyAlignment="1" applyBorder="1" applyFont="1">
      <alignment horizontal="center"/>
    </xf>
    <xf borderId="20" fillId="6" fontId="33" numFmtId="0" xfId="0" applyAlignment="1" applyBorder="1" applyFont="1">
      <alignment readingOrder="0"/>
    </xf>
    <xf borderId="25" fillId="6" fontId="33" numFmtId="0" xfId="0" applyAlignment="1" applyBorder="1" applyFont="1">
      <alignment readingOrder="0"/>
    </xf>
    <xf borderId="16" fillId="0" fontId="19" numFmtId="0" xfId="0" applyBorder="1" applyFont="1"/>
    <xf borderId="10" fillId="10" fontId="27" numFmtId="0" xfId="0" applyAlignment="1" applyBorder="1" applyFont="1">
      <alignment horizontal="center" readingOrder="0"/>
    </xf>
    <xf borderId="12" fillId="10" fontId="27" numFmtId="0" xfId="0" applyAlignment="1" applyBorder="1" applyFont="1">
      <alignment horizontal="center" readingOrder="0"/>
    </xf>
    <xf borderId="72" fillId="10" fontId="27" numFmtId="0" xfId="0" applyAlignment="1" applyBorder="1" applyFont="1">
      <alignment horizontal="center" readingOrder="0"/>
    </xf>
    <xf borderId="0" fillId="0" fontId="8" numFmtId="4" xfId="0" applyAlignment="1" applyFont="1" applyNumberFormat="1">
      <alignment vertical="bottom"/>
    </xf>
    <xf borderId="0" fillId="0" fontId="8" numFmtId="172" xfId="0" applyAlignment="1" applyFont="1" applyNumberFormat="1">
      <alignment horizontal="center" vertical="bottom"/>
    </xf>
    <xf borderId="18" fillId="10" fontId="27" numFmtId="0" xfId="0" applyAlignment="1" applyBorder="1" applyFont="1">
      <alignment horizontal="center" readingOrder="0"/>
    </xf>
    <xf borderId="74" fillId="10" fontId="27" numFmtId="0" xfId="0" applyAlignment="1" applyBorder="1" applyFont="1">
      <alignment horizontal="center" readingOrder="0"/>
    </xf>
    <xf borderId="0" fillId="0" fontId="8" numFmtId="172" xfId="0" applyAlignment="1" applyFont="1" applyNumberFormat="1">
      <alignment horizontal="center" shrinkToFit="0" wrapText="1"/>
    </xf>
    <xf borderId="0" fillId="0" fontId="8" numFmtId="4" xfId="0" applyFont="1" applyNumberFormat="1"/>
    <xf borderId="20" fillId="0" fontId="27" numFmtId="4" xfId="0" applyAlignment="1" applyBorder="1" applyFont="1" applyNumberFormat="1">
      <alignment horizontal="center"/>
    </xf>
    <xf borderId="0" fillId="0" fontId="8" numFmtId="176" xfId="0" applyFont="1" applyNumberFormat="1"/>
    <xf borderId="19" fillId="0" fontId="27" numFmtId="4" xfId="0" applyAlignment="1" applyBorder="1" applyFont="1" applyNumberFormat="1">
      <alignment horizontal="center"/>
    </xf>
    <xf borderId="21" fillId="0" fontId="27" numFmtId="4" xfId="0" applyAlignment="1" applyBorder="1" applyFont="1" applyNumberFormat="1">
      <alignment horizontal="center"/>
    </xf>
    <xf borderId="22" fillId="0" fontId="27" numFmtId="175" xfId="0" applyAlignment="1" applyBorder="1" applyFont="1" applyNumberFormat="1">
      <alignment horizontal="center" readingOrder="0"/>
    </xf>
    <xf borderId="0" fillId="0" fontId="27" numFmtId="175" xfId="0" applyAlignment="1" applyFont="1" applyNumberFormat="1">
      <alignment horizontal="center" readingOrder="0"/>
    </xf>
    <xf borderId="18" fillId="8" fontId="25" numFmtId="0" xfId="0" applyAlignment="1" applyBorder="1" applyFont="1">
      <alignment readingOrder="0" shrinkToFit="0" vertical="top" wrapText="1"/>
    </xf>
    <xf borderId="8" fillId="0" fontId="27" numFmtId="4" xfId="0" applyAlignment="1" applyBorder="1" applyFont="1" applyNumberFormat="1">
      <alignment horizontal="center"/>
    </xf>
    <xf borderId="16" fillId="0" fontId="27" numFmtId="175" xfId="0" applyAlignment="1" applyBorder="1" applyFont="1" applyNumberFormat="1">
      <alignment horizontal="center" readingOrder="0"/>
    </xf>
    <xf borderId="1" fillId="0" fontId="27" numFmtId="175" xfId="0" applyAlignment="1" applyBorder="1" applyFont="1" applyNumberFormat="1">
      <alignment horizontal="center" readingOrder="0"/>
    </xf>
    <xf borderId="76" fillId="0" fontId="27" numFmtId="0" xfId="0" applyAlignment="1" applyBorder="1" applyFont="1">
      <alignment horizontal="center" readingOrder="0"/>
    </xf>
    <xf borderId="1" fillId="0" fontId="26" numFmtId="0" xfId="0" applyAlignment="1" applyBorder="1" applyFont="1">
      <alignment readingOrder="0" shrinkToFit="0" vertical="top" wrapText="1"/>
    </xf>
    <xf borderId="17" fillId="10" fontId="27" numFmtId="0" xfId="0" applyAlignment="1" applyBorder="1" applyFont="1">
      <alignment horizontal="center" readingOrder="0"/>
    </xf>
    <xf borderId="0" fillId="0" fontId="34" numFmtId="172" xfId="0" applyAlignment="1" applyFont="1" applyNumberFormat="1">
      <alignment horizontal="center" shrinkToFit="0" wrapText="1"/>
    </xf>
    <xf borderId="8" fillId="0" fontId="34" numFmtId="172" xfId="0" applyAlignment="1" applyBorder="1" applyFont="1" applyNumberFormat="1">
      <alignment horizontal="center" shrinkToFit="0" wrapText="1"/>
    </xf>
    <xf borderId="8" fillId="0" fontId="35" numFmtId="172" xfId="0" applyAlignment="1" applyBorder="1" applyFont="1" applyNumberFormat="1">
      <alignment horizontal="center"/>
    </xf>
    <xf borderId="0" fillId="0" fontId="35" numFmtId="172" xfId="0" applyAlignment="1" applyFont="1" applyNumberFormat="1">
      <alignment horizontal="center"/>
    </xf>
    <xf borderId="21" fillId="0" fontId="27" numFmtId="4" xfId="0" applyAlignment="1" applyBorder="1" applyFont="1" applyNumberFormat="1">
      <alignment horizontal="center" readingOrder="0"/>
    </xf>
    <xf borderId="25" fillId="0" fontId="27" numFmtId="4" xfId="0" applyAlignment="1" applyBorder="1" applyFont="1" applyNumberFormat="1">
      <alignment horizontal="center" readingOrder="0"/>
    </xf>
    <xf borderId="0" fillId="12" fontId="8" numFmtId="172" xfId="0" applyAlignment="1" applyFill="1" applyFont="1" applyNumberFormat="1">
      <alignment horizontal="center" shrinkToFit="0" wrapText="1"/>
    </xf>
    <xf borderId="77" fillId="0" fontId="27" numFmtId="0" xfId="0" applyAlignment="1" applyBorder="1" applyFont="1">
      <alignment horizontal="center" readingOrder="0"/>
    </xf>
    <xf borderId="78" fillId="0" fontId="27" numFmtId="169" xfId="0" applyAlignment="1" applyBorder="1" applyFont="1" applyNumberFormat="1">
      <alignment horizontal="center" readingOrder="0"/>
    </xf>
    <xf borderId="78" fillId="0" fontId="27" numFmtId="0" xfId="0" applyAlignment="1" applyBorder="1" applyFont="1">
      <alignment horizontal="center"/>
    </xf>
    <xf borderId="78" fillId="0" fontId="27" numFmtId="0" xfId="0" applyAlignment="1" applyBorder="1" applyFont="1">
      <alignment horizontal="center" readingOrder="0"/>
    </xf>
    <xf borderId="79" fillId="0" fontId="27" numFmtId="0" xfId="0" applyAlignment="1" applyBorder="1" applyFont="1">
      <alignment horizontal="center" readingOrder="0"/>
    </xf>
    <xf borderId="80" fillId="0" fontId="27" numFmtId="170" xfId="0" applyAlignment="1" applyBorder="1" applyFont="1" applyNumberFormat="1">
      <alignment horizontal="center" readingOrder="0"/>
    </xf>
    <xf borderId="78" fillId="0" fontId="27" numFmtId="170" xfId="0" applyAlignment="1" applyBorder="1" applyFont="1" applyNumberFormat="1">
      <alignment horizontal="center" readingOrder="0"/>
    </xf>
    <xf borderId="80" fillId="0" fontId="27" numFmtId="0" xfId="0" applyAlignment="1" applyBorder="1" applyFont="1">
      <alignment horizontal="center" readingOrder="0" shrinkToFit="0" wrapText="0"/>
    </xf>
    <xf borderId="80" fillId="0" fontId="27" numFmtId="0" xfId="0" applyAlignment="1" applyBorder="1" applyFont="1">
      <alignment horizontal="center" readingOrder="0"/>
    </xf>
    <xf borderId="81" fillId="0" fontId="27" numFmtId="0" xfId="0" applyAlignment="1" applyBorder="1" applyFont="1">
      <alignment horizontal="center" readingOrder="0"/>
    </xf>
    <xf borderId="82" fillId="0" fontId="27" numFmtId="0" xfId="0" applyAlignment="1" applyBorder="1" applyFont="1">
      <alignment horizontal="center" readingOrder="0"/>
    </xf>
    <xf borderId="78" fillId="0" fontId="27" numFmtId="49" xfId="0" applyAlignment="1" applyBorder="1" applyFont="1" applyNumberFormat="1">
      <alignment horizontal="center" readingOrder="0"/>
    </xf>
    <xf borderId="79" fillId="0" fontId="27" numFmtId="0" xfId="0" applyAlignment="1" applyBorder="1" applyFont="1">
      <alignment horizontal="center" readingOrder="0"/>
    </xf>
    <xf borderId="80" fillId="0" fontId="27" numFmtId="4" xfId="0" applyAlignment="1" applyBorder="1" applyFont="1" applyNumberFormat="1">
      <alignment horizontal="center"/>
    </xf>
    <xf borderId="78" fillId="0" fontId="27" numFmtId="4" xfId="0" applyAlignment="1" applyBorder="1" applyFont="1" applyNumberFormat="1">
      <alignment horizontal="center"/>
    </xf>
    <xf borderId="79" fillId="0" fontId="27" numFmtId="4" xfId="0" applyAlignment="1" applyBorder="1" applyFont="1" applyNumberFormat="1">
      <alignment horizontal="center"/>
    </xf>
    <xf borderId="83" fillId="0" fontId="27" numFmtId="0" xfId="0" applyAlignment="1" applyBorder="1" applyFont="1">
      <alignment horizontal="center"/>
    </xf>
    <xf borderId="77" fillId="0" fontId="27" numFmtId="0" xfId="0" applyAlignment="1" applyBorder="1" applyFont="1">
      <alignment horizontal="center"/>
    </xf>
    <xf borderId="79" fillId="0" fontId="27" numFmtId="0" xfId="0" applyAlignment="1" applyBorder="1" applyFont="1">
      <alignment horizontal="center"/>
    </xf>
    <xf borderId="0" fillId="12" fontId="34" numFmtId="172" xfId="0" applyAlignment="1" applyFont="1" applyNumberFormat="1">
      <alignment horizontal="center" shrinkToFit="0" wrapText="1"/>
    </xf>
    <xf borderId="81" fillId="0" fontId="27" numFmtId="4" xfId="0" applyAlignment="1" applyBorder="1" applyFont="1" applyNumberFormat="1">
      <alignment horizontal="center"/>
    </xf>
    <xf borderId="84" fillId="0" fontId="27" numFmtId="4" xfId="0" applyAlignment="1" applyBorder="1" applyFont="1" applyNumberFormat="1">
      <alignment horizontal="center"/>
    </xf>
    <xf borderId="0" fillId="8" fontId="34" numFmtId="172" xfId="0" applyAlignment="1" applyFont="1" applyNumberFormat="1">
      <alignment horizontal="center" shrinkToFit="0" wrapText="1"/>
    </xf>
    <xf borderId="20" fillId="0" fontId="27" numFmtId="4" xfId="0" applyAlignment="1" applyBorder="1" applyFont="1" applyNumberFormat="1">
      <alignment horizontal="center" readingOrder="0"/>
    </xf>
    <xf borderId="84" fillId="0" fontId="27" numFmtId="4" xfId="0" applyAlignment="1" applyBorder="1" applyFont="1" applyNumberFormat="1">
      <alignment horizontal="center" readingOrder="0"/>
    </xf>
    <xf borderId="0" fillId="13" fontId="34" numFmtId="172" xfId="0" applyAlignment="1" applyFill="1" applyFont="1" applyNumberFormat="1">
      <alignment horizontal="center" shrinkToFit="0" wrapText="1"/>
    </xf>
    <xf borderId="85" fillId="0" fontId="27" numFmtId="0" xfId="0" applyAlignment="1" applyBorder="1" applyFont="1">
      <alignment horizontal="center" readingOrder="0"/>
    </xf>
    <xf borderId="86" fillId="0" fontId="27" numFmtId="169" xfId="0" applyAlignment="1" applyBorder="1" applyFont="1" applyNumberFormat="1">
      <alignment horizontal="center" readingOrder="0"/>
    </xf>
    <xf borderId="86" fillId="0" fontId="27" numFmtId="0" xfId="0" applyAlignment="1" applyBorder="1" applyFont="1">
      <alignment horizontal="center"/>
    </xf>
    <xf borderId="86" fillId="0" fontId="27" numFmtId="0" xfId="0" applyAlignment="1" applyBorder="1" applyFont="1">
      <alignment horizontal="center" readingOrder="0"/>
    </xf>
    <xf borderId="87" fillId="0" fontId="27" numFmtId="0" xfId="0" applyAlignment="1" applyBorder="1" applyFont="1">
      <alignment horizontal="center" readingOrder="0"/>
    </xf>
    <xf borderId="88" fillId="0" fontId="27" numFmtId="170" xfId="0" applyAlignment="1" applyBorder="1" applyFont="1" applyNumberFormat="1">
      <alignment horizontal="center" readingOrder="0"/>
    </xf>
    <xf borderId="86" fillId="0" fontId="27" numFmtId="170" xfId="0" applyAlignment="1" applyBorder="1" applyFont="1" applyNumberFormat="1">
      <alignment horizontal="center" readingOrder="0"/>
    </xf>
    <xf borderId="88" fillId="0" fontId="27" numFmtId="0" xfId="0" applyAlignment="1" applyBorder="1" applyFont="1">
      <alignment horizontal="center" readingOrder="0" shrinkToFit="0" wrapText="0"/>
    </xf>
    <xf borderId="88" fillId="0" fontId="27" numFmtId="0" xfId="0" applyAlignment="1" applyBorder="1" applyFont="1">
      <alignment horizontal="center" readingOrder="0"/>
    </xf>
    <xf borderId="89" fillId="0" fontId="27" numFmtId="0" xfId="0" applyAlignment="1" applyBorder="1" applyFont="1">
      <alignment horizontal="center" readingOrder="0"/>
    </xf>
    <xf borderId="90" fillId="0" fontId="27" numFmtId="0" xfId="0" applyAlignment="1" applyBorder="1" applyFont="1">
      <alignment horizontal="center" readingOrder="0"/>
    </xf>
    <xf borderId="86" fillId="0" fontId="27" numFmtId="49" xfId="0" applyAlignment="1" applyBorder="1" applyFont="1" applyNumberFormat="1">
      <alignment horizontal="center" readingOrder="0"/>
    </xf>
    <xf borderId="87" fillId="0" fontId="27" numFmtId="0" xfId="0" applyAlignment="1" applyBorder="1" applyFont="1">
      <alignment horizontal="center" readingOrder="0"/>
    </xf>
    <xf borderId="88" fillId="0" fontId="27" numFmtId="4" xfId="0" applyAlignment="1" applyBorder="1" applyFont="1" applyNumberFormat="1">
      <alignment horizontal="center"/>
    </xf>
    <xf borderId="86" fillId="0" fontId="27" numFmtId="4" xfId="0" applyAlignment="1" applyBorder="1" applyFont="1" applyNumberFormat="1">
      <alignment horizontal="center"/>
    </xf>
    <xf borderId="87" fillId="0" fontId="27" numFmtId="4" xfId="0" applyAlignment="1" applyBorder="1" applyFont="1" applyNumberFormat="1">
      <alignment horizontal="center"/>
    </xf>
    <xf borderId="91" fillId="0" fontId="27" numFmtId="0" xfId="0" applyAlignment="1" applyBorder="1" applyFont="1">
      <alignment horizontal="center"/>
    </xf>
    <xf borderId="85" fillId="0" fontId="27" numFmtId="0" xfId="0" applyAlignment="1" applyBorder="1" applyFont="1">
      <alignment horizontal="center"/>
    </xf>
    <xf borderId="87" fillId="0" fontId="27" numFmtId="0" xfId="0" applyAlignment="1" applyBorder="1" applyFont="1">
      <alignment horizontal="center"/>
    </xf>
    <xf borderId="89" fillId="0" fontId="27" numFmtId="4" xfId="0" applyAlignment="1" applyBorder="1" applyFont="1" applyNumberFormat="1">
      <alignment horizontal="center"/>
    </xf>
    <xf borderId="92" fillId="0" fontId="27" numFmtId="4" xfId="0" applyAlignment="1" applyBorder="1" applyFont="1" applyNumberFormat="1">
      <alignment horizontal="center"/>
    </xf>
    <xf borderId="2" fillId="0" fontId="26" numFmtId="0" xfId="0" applyAlignment="1" applyBorder="1" applyFont="1">
      <alignment horizontal="left" readingOrder="0" shrinkToFit="0" vertical="top" wrapText="1"/>
    </xf>
    <xf borderId="8" fillId="0" fontId="8" numFmtId="172" xfId="0" applyAlignment="1" applyBorder="1" applyFont="1" applyNumberFormat="1">
      <alignment horizontal="center" vertical="bottom"/>
    </xf>
    <xf borderId="10" fillId="0" fontId="27" numFmtId="0" xfId="0" applyAlignment="1" applyBorder="1" applyFont="1">
      <alignment horizontal="center"/>
    </xf>
    <xf borderId="53" fillId="0" fontId="27" numFmtId="49" xfId="0" applyAlignment="1" applyBorder="1" applyFont="1" applyNumberFormat="1">
      <alignment horizontal="center" readingOrder="0"/>
    </xf>
    <xf borderId="2" fillId="0" fontId="0" numFmtId="172" xfId="0" applyAlignment="1" applyBorder="1" applyFont="1" applyNumberFormat="1">
      <alignment horizontal="center" readingOrder="0" shrinkToFit="0" vertical="bottom" wrapText="0"/>
    </xf>
    <xf borderId="31" fillId="0" fontId="27" numFmtId="46" xfId="0" applyAlignment="1" applyBorder="1" applyFont="1" applyNumberFormat="1">
      <alignment horizontal="center"/>
    </xf>
    <xf borderId="46" fillId="0" fontId="27" numFmtId="177" xfId="0" applyAlignment="1" applyBorder="1" applyFont="1" applyNumberFormat="1">
      <alignment horizontal="center" readingOrder="0"/>
    </xf>
    <xf borderId="25" fillId="0" fontId="27" numFmtId="46" xfId="0" applyAlignment="1" applyBorder="1" applyFont="1" applyNumberFormat="1">
      <alignment horizontal="center"/>
    </xf>
    <xf borderId="0" fillId="0" fontId="0" numFmtId="172" xfId="0" applyAlignment="1" applyFont="1" applyNumberFormat="1">
      <alignment horizontal="center" readingOrder="0" shrinkToFit="0" vertical="bottom" wrapText="0"/>
    </xf>
    <xf borderId="0" fillId="0" fontId="26" numFmtId="170" xfId="0" applyAlignment="1" applyFont="1" applyNumberFormat="1">
      <alignment horizontal="center" readingOrder="0"/>
    </xf>
    <xf borderId="22" fillId="0" fontId="26" numFmtId="170" xfId="0" applyAlignment="1" applyBorder="1" applyFont="1" applyNumberFormat="1">
      <alignment horizontal="center" readingOrder="0"/>
    </xf>
    <xf borderId="22" fillId="0" fontId="27" numFmtId="4" xfId="0" applyAlignment="1" applyBorder="1" applyFont="1" applyNumberFormat="1">
      <alignment horizontal="center" readingOrder="0" shrinkToFit="0" vertical="center" wrapText="1"/>
    </xf>
    <xf borderId="0" fillId="0" fontId="27" numFmtId="4" xfId="0" applyAlignment="1" applyFont="1" applyNumberFormat="1">
      <alignment horizontal="center" readingOrder="0" shrinkToFit="0" vertical="center" wrapText="1"/>
    </xf>
    <xf borderId="2" fillId="0" fontId="2" numFmtId="169" xfId="0" applyAlignment="1" applyBorder="1" applyFont="1" applyNumberFormat="1">
      <alignment readingOrder="0"/>
    </xf>
    <xf borderId="53" fillId="0" fontId="27" numFmtId="177" xfId="0" applyAlignment="1" applyBorder="1" applyFont="1" applyNumberFormat="1">
      <alignment horizontal="center" readingOrder="0"/>
    </xf>
    <xf borderId="2" fillId="14" fontId="0" numFmtId="172" xfId="0" applyAlignment="1" applyBorder="1" applyFill="1" applyFont="1" applyNumberFormat="1">
      <alignment horizontal="center" readingOrder="0" shrinkToFit="0" vertical="center" wrapText="1"/>
    </xf>
    <xf borderId="32" fillId="8" fontId="36" numFmtId="4" xfId="0" applyAlignment="1" applyBorder="1" applyFont="1" applyNumberFormat="1">
      <alignment horizontal="center" readingOrder="0" shrinkToFit="0" vertical="center" wrapText="1"/>
    </xf>
    <xf borderId="2" fillId="8" fontId="36" numFmtId="4" xfId="0" applyAlignment="1" applyBorder="1" applyFont="1" applyNumberFormat="1">
      <alignment horizontal="center" readingOrder="0" shrinkToFit="0" vertical="center" wrapText="1"/>
    </xf>
    <xf borderId="0" fillId="0" fontId="2" numFmtId="169" xfId="0" applyAlignment="1" applyFont="1" applyNumberFormat="1">
      <alignment readingOrder="0"/>
    </xf>
    <xf borderId="0" fillId="14" fontId="0" numFmtId="172" xfId="0" applyAlignment="1" applyFont="1" applyNumberFormat="1">
      <alignment horizontal="center" readingOrder="0" shrinkToFit="0" vertical="center" wrapText="1"/>
    </xf>
    <xf borderId="22" fillId="8" fontId="36" numFmtId="4" xfId="0" applyAlignment="1" applyBorder="1" applyFont="1" applyNumberFormat="1">
      <alignment horizontal="center" readingOrder="0" shrinkToFit="0" vertical="center" wrapText="1"/>
    </xf>
    <xf borderId="0" fillId="8" fontId="36" numFmtId="4" xfId="0" applyAlignment="1" applyFont="1" applyNumberFormat="1">
      <alignment horizontal="center" readingOrder="0" shrinkToFit="0" vertical="center" wrapText="1"/>
    </xf>
    <xf borderId="22" fillId="0" fontId="36" numFmtId="4" xfId="0" applyAlignment="1" applyBorder="1" applyFont="1" applyNumberFormat="1">
      <alignment horizontal="center" readingOrder="0" shrinkToFit="0" vertical="center" wrapText="1"/>
    </xf>
    <xf borderId="0" fillId="0" fontId="36" numFmtId="4" xfId="0" applyAlignment="1" applyFont="1" applyNumberFormat="1">
      <alignment horizontal="center" readingOrder="0" shrinkToFit="0" vertical="center" wrapText="1"/>
    </xf>
    <xf borderId="0" fillId="0" fontId="27" numFmtId="172" xfId="0" applyAlignment="1" applyFont="1" applyNumberFormat="1">
      <alignment horizontal="center" readingOrder="0" shrinkToFit="0" vertical="center" wrapText="1"/>
    </xf>
    <xf borderId="22" fillId="0" fontId="37" numFmtId="4" xfId="0" applyAlignment="1" applyBorder="1" applyFont="1" applyNumberFormat="1">
      <alignment horizontal="center" readingOrder="0" shrinkToFit="0" vertical="center" wrapText="1"/>
    </xf>
    <xf borderId="0" fillId="0" fontId="0" numFmtId="172" xfId="0" applyAlignment="1" applyFont="1" applyNumberFormat="1">
      <alignment horizontal="center" readingOrder="0" shrinkToFit="0" vertical="center" wrapText="1"/>
    </xf>
    <xf borderId="0" fillId="0" fontId="37" numFmtId="4" xfId="0" applyAlignment="1" applyFont="1" applyNumberFormat="1">
      <alignment horizontal="center" readingOrder="0" shrinkToFit="0" vertical="center" wrapText="1"/>
    </xf>
    <xf borderId="2" fillId="15" fontId="0" numFmtId="172" xfId="0" applyAlignment="1" applyBorder="1" applyFill="1" applyFont="1" applyNumberFormat="1">
      <alignment horizontal="center" readingOrder="0" shrinkToFit="0" vertical="center" wrapText="1"/>
    </xf>
    <xf borderId="32" fillId="0" fontId="27" numFmtId="4" xfId="0" applyAlignment="1" applyBorder="1" applyFont="1" applyNumberFormat="1">
      <alignment horizontal="center" readingOrder="0" shrinkToFit="0" vertical="center" wrapText="1"/>
    </xf>
    <xf borderId="2" fillId="0" fontId="27" numFmtId="4" xfId="0" applyAlignment="1" applyBorder="1" applyFont="1" applyNumberFormat="1">
      <alignment horizontal="center" readingOrder="0" shrinkToFit="0" vertical="center" wrapText="1"/>
    </xf>
    <xf borderId="22" fillId="0" fontId="38" numFmtId="4" xfId="0" applyAlignment="1" applyBorder="1" applyFont="1" applyNumberFormat="1">
      <alignment horizontal="center" readingOrder="0" shrinkToFit="0" vertical="center" wrapText="1"/>
    </xf>
    <xf borderId="0" fillId="0" fontId="38" numFmtId="4" xfId="0" applyAlignment="1" applyFont="1" applyNumberFormat="1">
      <alignment horizontal="center" readingOrder="0" shrinkToFit="0" vertical="center" wrapText="1"/>
    </xf>
    <xf borderId="1" fillId="14" fontId="0" numFmtId="172" xfId="0" applyAlignment="1" applyBorder="1" applyFont="1" applyNumberFormat="1">
      <alignment horizontal="center" readingOrder="0" shrinkToFit="0" vertical="center" wrapText="1"/>
    </xf>
    <xf borderId="17" fillId="0" fontId="27" numFmtId="46" xfId="0" applyAlignment="1" applyBorder="1" applyFont="1" applyNumberFormat="1">
      <alignment horizontal="center"/>
    </xf>
    <xf borderId="2" fillId="0" fontId="27" numFmtId="172" xfId="0" applyAlignment="1" applyBorder="1" applyFont="1" applyNumberFormat="1">
      <alignment horizontal="center" readingOrder="0" shrinkToFit="0" vertical="center" wrapText="1"/>
    </xf>
    <xf borderId="1" fillId="0" fontId="0" numFmtId="172" xfId="0" applyAlignment="1" applyBorder="1" applyFont="1" applyNumberFormat="1">
      <alignment horizontal="center" readingOrder="0" shrinkToFit="0" vertical="center" wrapText="1"/>
    </xf>
    <xf borderId="32" fillId="0" fontId="37" numFmtId="4" xfId="0" applyAlignment="1" applyBorder="1" applyFont="1" applyNumberFormat="1">
      <alignment horizontal="center" readingOrder="0" shrinkToFit="0" vertical="center" wrapText="1"/>
    </xf>
    <xf borderId="2" fillId="0" fontId="37" numFmtId="4" xfId="0" applyAlignment="1" applyBorder="1" applyFont="1" applyNumberFormat="1">
      <alignment horizontal="center" readingOrder="0" shrinkToFit="0" vertical="center" wrapText="1"/>
    </xf>
    <xf borderId="1" fillId="0" fontId="2" numFmtId="169" xfId="0" applyAlignment="1" applyBorder="1" applyFont="1" applyNumberFormat="1">
      <alignment readingOrder="0"/>
    </xf>
    <xf borderId="71" fillId="0" fontId="27" numFmtId="177" xfId="0" applyAlignment="1" applyBorder="1" applyFont="1" applyNumberFormat="1">
      <alignment horizontal="center" readingOrder="0"/>
    </xf>
    <xf borderId="1" fillId="0" fontId="27" numFmtId="172" xfId="0" applyAlignment="1" applyBorder="1" applyFont="1" applyNumberFormat="1">
      <alignment horizontal="center" readingOrder="0" shrinkToFit="0" vertical="center" wrapText="1"/>
    </xf>
    <xf borderId="16" fillId="0" fontId="27" numFmtId="4" xfId="0" applyAlignment="1" applyBorder="1" applyFont="1" applyNumberFormat="1">
      <alignment horizontal="center" readingOrder="0" shrinkToFit="0" vertical="center" wrapText="1"/>
    </xf>
    <xf borderId="1" fillId="0" fontId="27" numFmtId="4" xfId="0" applyAlignment="1" applyBorder="1" applyFont="1" applyNumberFormat="1">
      <alignment horizontal="center" readingOrder="0" shrinkToFit="0" vertical="center" wrapText="1"/>
    </xf>
    <xf borderId="25" fillId="0" fontId="27" numFmtId="175" xfId="0" applyAlignment="1" applyBorder="1" applyFont="1" applyNumberFormat="1">
      <alignment horizontal="center" readingOrder="0"/>
    </xf>
    <xf borderId="17" fillId="0" fontId="27" numFmtId="175" xfId="0" applyAlignment="1" applyBorder="1" applyFont="1" applyNumberFormat="1">
      <alignment horizontal="center" readingOrder="0"/>
    </xf>
    <xf borderId="2" fillId="0" fontId="0" numFmtId="172" xfId="0" applyAlignment="1" applyBorder="1" applyFont="1" applyNumberFormat="1">
      <alignment horizontal="center" readingOrder="0" shrinkToFit="0" vertical="center" wrapText="1"/>
    </xf>
    <xf borderId="46" fillId="0" fontId="27" numFmtId="178" xfId="0" applyAlignment="1" applyBorder="1" applyFont="1" applyNumberFormat="1">
      <alignment horizontal="center" readingOrder="0"/>
    </xf>
    <xf borderId="11" fillId="0" fontId="2" numFmtId="0" xfId="0" applyAlignment="1" applyBorder="1" applyFont="1">
      <alignment horizontal="center" readingOrder="0"/>
    </xf>
    <xf borderId="0" fillId="0" fontId="2" numFmtId="0" xfId="0" applyAlignment="1" applyFont="1">
      <alignment horizontal="center" readingOrder="0"/>
    </xf>
    <xf borderId="0" fillId="0" fontId="2" numFmtId="0" xfId="0" applyAlignment="1" applyFont="1">
      <alignment horizontal="center" readingOrder="0" vertical="center"/>
    </xf>
    <xf borderId="25" fillId="0" fontId="2" numFmtId="0" xfId="0" applyAlignment="1" applyBorder="1" applyFont="1">
      <alignment horizontal="center" readingOrder="0"/>
    </xf>
    <xf borderId="71" fillId="0" fontId="27" numFmtId="178" xfId="0" applyAlignment="1" applyBorder="1" applyFont="1" applyNumberFormat="1">
      <alignment horizontal="center" readingOrder="0"/>
    </xf>
    <xf borderId="60" fillId="0" fontId="2"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readingOrder="0" vertical="center"/>
    </xf>
    <xf borderId="17" fillId="0" fontId="2" numFmtId="0" xfId="0" applyAlignment="1" applyBorder="1" applyFont="1">
      <alignment horizontal="center" readingOrder="0"/>
    </xf>
    <xf borderId="0" fillId="0" fontId="27" numFmtId="0" xfId="0" applyAlignment="1" applyFont="1">
      <alignment horizontal="center" readingOrder="0" vertical="center"/>
    </xf>
    <xf borderId="25" fillId="0" fontId="27" numFmtId="49" xfId="0" applyAlignment="1" applyBorder="1" applyFont="1" applyNumberFormat="1">
      <alignment horizontal="center" readingOrder="0"/>
    </xf>
    <xf borderId="0" fillId="11" fontId="27" numFmtId="0" xfId="0" applyAlignment="1" applyFont="1">
      <alignment horizontal="center" readingOrder="0"/>
    </xf>
    <xf borderId="25" fillId="0" fontId="2" numFmtId="0" xfId="0" applyBorder="1" applyFont="1"/>
    <xf borderId="1" fillId="11" fontId="27" numFmtId="0" xfId="0" applyAlignment="1" applyBorder="1" applyFont="1">
      <alignment horizontal="center" readingOrder="0"/>
    </xf>
    <xf borderId="1" fillId="0" fontId="27" numFmtId="0" xfId="0" applyAlignment="1" applyBorder="1" applyFont="1">
      <alignment horizontal="center" readingOrder="0" vertical="center"/>
    </xf>
    <xf borderId="2" fillId="11" fontId="27" numFmtId="0" xfId="0" applyAlignment="1" applyBorder="1" applyFont="1">
      <alignment horizontal="center" readingOrder="0"/>
    </xf>
    <xf borderId="2" fillId="0" fontId="27" numFmtId="0" xfId="0" applyAlignment="1" applyBorder="1" applyFont="1">
      <alignment horizontal="center" readingOrder="0" vertical="center"/>
    </xf>
    <xf borderId="53" fillId="0" fontId="27" numFmtId="178" xfId="0" applyAlignment="1" applyBorder="1" applyFont="1" applyNumberFormat="1">
      <alignment horizontal="center" readingOrder="0"/>
    </xf>
    <xf borderId="2" fillId="0" fontId="27" numFmtId="175" xfId="0" applyAlignment="1" applyBorder="1" applyFont="1" applyNumberFormat="1">
      <alignment horizontal="center" readingOrder="0"/>
    </xf>
    <xf borderId="93" fillId="0" fontId="1" numFmtId="0" xfId="0" applyAlignment="1" applyBorder="1" applyFont="1">
      <alignment horizontal="center" readingOrder="0" shrinkToFit="0" vertical="top" wrapText="1"/>
    </xf>
    <xf borderId="94" fillId="0" fontId="0" numFmtId="0" xfId="0" applyAlignment="1" applyBorder="1" applyFont="1">
      <alignment horizontal="center" readingOrder="0"/>
    </xf>
    <xf borderId="93" fillId="0" fontId="39" numFmtId="169" xfId="0" applyAlignment="1" applyBorder="1" applyFont="1" applyNumberFormat="1">
      <alignment horizontal="center" readingOrder="0"/>
    </xf>
    <xf borderId="93" fillId="0" fontId="39" numFmtId="0" xfId="0" applyAlignment="1" applyBorder="1" applyFont="1">
      <alignment horizontal="center"/>
    </xf>
    <xf borderId="93" fillId="0" fontId="39" numFmtId="0" xfId="0" applyAlignment="1" applyBorder="1" applyFont="1">
      <alignment horizontal="center" readingOrder="0"/>
    </xf>
    <xf borderId="95" fillId="0" fontId="39" numFmtId="0" xfId="0" applyAlignment="1" applyBorder="1" applyFont="1">
      <alignment horizontal="center" readingOrder="0"/>
    </xf>
    <xf borderId="96" fillId="0" fontId="40" numFmtId="170" xfId="0" applyAlignment="1" applyBorder="1" applyFont="1" applyNumberFormat="1">
      <alignment horizontal="center" readingOrder="0"/>
    </xf>
    <xf borderId="93" fillId="0" fontId="40" numFmtId="170" xfId="0" applyAlignment="1" applyBorder="1" applyFont="1" applyNumberFormat="1">
      <alignment horizontal="center" readingOrder="0"/>
    </xf>
    <xf borderId="93" fillId="0" fontId="27" numFmtId="170" xfId="0" applyAlignment="1" applyBorder="1" applyFont="1" applyNumberFormat="1">
      <alignment horizontal="center" readingOrder="0"/>
    </xf>
    <xf borderId="93" fillId="0" fontId="27" numFmtId="0" xfId="0" applyAlignment="1" applyBorder="1" applyFont="1">
      <alignment horizontal="center" readingOrder="0"/>
    </xf>
    <xf borderId="95" fillId="16" fontId="39" numFmtId="0" xfId="0" applyAlignment="1" applyBorder="1" applyFill="1" applyFont="1">
      <alignment horizontal="center" readingOrder="0"/>
    </xf>
    <xf borderId="96" fillId="16" fontId="41" numFmtId="0" xfId="0" applyAlignment="1" applyBorder="1" applyFont="1">
      <alignment horizontal="center" readingOrder="0" shrinkToFit="0" wrapText="0"/>
    </xf>
    <xf borderId="93" fillId="16" fontId="42" numFmtId="0" xfId="0" applyAlignment="1" applyBorder="1" applyFont="1">
      <alignment horizontal="center" readingOrder="0"/>
    </xf>
    <xf borderId="93" fillId="0" fontId="27" numFmtId="0" xfId="0" applyAlignment="1" applyBorder="1" applyFont="1">
      <alignment horizontal="center"/>
    </xf>
    <xf borderId="96" fillId="16" fontId="39" numFmtId="0" xfId="0" applyAlignment="1" applyBorder="1" applyFont="1">
      <alignment horizontal="center" readingOrder="0"/>
    </xf>
    <xf borderId="93" fillId="16" fontId="39" numFmtId="0" xfId="0" applyAlignment="1" applyBorder="1" applyFont="1">
      <alignment horizontal="center" readingOrder="0"/>
    </xf>
    <xf borderId="93" fillId="16" fontId="40" numFmtId="0" xfId="0" applyAlignment="1" applyBorder="1" applyFont="1">
      <alignment horizontal="center" readingOrder="0"/>
    </xf>
    <xf borderId="93" fillId="16" fontId="41" numFmtId="0" xfId="0" applyAlignment="1" applyBorder="1" applyFont="1">
      <alignment horizontal="center" readingOrder="0"/>
    </xf>
    <xf borderId="97" fillId="16" fontId="42" numFmtId="0" xfId="0" applyAlignment="1" applyBorder="1" applyFont="1">
      <alignment horizontal="center" readingOrder="0"/>
    </xf>
    <xf borderId="98" fillId="16" fontId="42" numFmtId="0" xfId="0" applyAlignment="1" applyBorder="1" applyFont="1">
      <alignment horizontal="center" readingOrder="0"/>
    </xf>
    <xf borderId="93" fillId="16" fontId="39" numFmtId="49" xfId="0" applyAlignment="1" applyBorder="1" applyFont="1" applyNumberFormat="1">
      <alignment horizontal="center" readingOrder="0"/>
    </xf>
    <xf borderId="96" fillId="0" fontId="27" numFmtId="4" xfId="0" applyAlignment="1" applyBorder="1" applyFont="1" applyNumberFormat="1">
      <alignment horizontal="center"/>
    </xf>
    <xf borderId="93" fillId="0" fontId="27" numFmtId="4" xfId="0" applyAlignment="1" applyBorder="1" applyFont="1" applyNumberFormat="1">
      <alignment horizontal="center"/>
    </xf>
    <xf borderId="93" fillId="11" fontId="27" numFmtId="4" xfId="0" applyAlignment="1" applyBorder="1" applyFont="1" applyNumberFormat="1">
      <alignment horizontal="center"/>
    </xf>
    <xf borderId="95" fillId="0" fontId="27" numFmtId="4" xfId="0" applyAlignment="1" applyBorder="1" applyFont="1" applyNumberFormat="1">
      <alignment horizontal="center"/>
    </xf>
    <xf borderId="99" fillId="0" fontId="27" numFmtId="178" xfId="0" applyAlignment="1" applyBorder="1" applyFont="1" applyNumberFormat="1">
      <alignment horizontal="center" readingOrder="0"/>
    </xf>
    <xf borderId="93" fillId="11" fontId="27" numFmtId="0" xfId="0" applyAlignment="1" applyBorder="1" applyFont="1">
      <alignment horizontal="center" readingOrder="0"/>
    </xf>
    <xf borderId="93" fillId="0" fontId="27" numFmtId="0" xfId="0" applyAlignment="1" applyBorder="1" applyFont="1">
      <alignment horizontal="center" readingOrder="0" vertical="center"/>
    </xf>
    <xf borderId="95" fillId="0" fontId="27" numFmtId="0" xfId="0" applyAlignment="1" applyBorder="1" applyFont="1">
      <alignment horizontal="center" readingOrder="0"/>
    </xf>
    <xf borderId="93" fillId="0" fontId="27" numFmtId="172" xfId="0" applyAlignment="1" applyBorder="1" applyFont="1" applyNumberFormat="1">
      <alignment horizontal="center" readingOrder="0" shrinkToFit="0" vertical="center" wrapText="1"/>
    </xf>
    <xf borderId="95" fillId="0" fontId="27" numFmtId="46" xfId="0" applyAlignment="1" applyBorder="1" applyFont="1" applyNumberFormat="1">
      <alignment horizontal="center"/>
    </xf>
    <xf borderId="96" fillId="0" fontId="27" numFmtId="4" xfId="0" applyAlignment="1" applyBorder="1" applyFont="1" applyNumberFormat="1">
      <alignment horizontal="center" readingOrder="0" shrinkToFit="0" vertical="center" wrapText="1"/>
    </xf>
    <xf borderId="93" fillId="0" fontId="27" numFmtId="4" xfId="0" applyAlignment="1" applyBorder="1" applyFont="1" applyNumberFormat="1">
      <alignment horizontal="center" readingOrder="0" shrinkToFit="0" vertical="center" wrapText="1"/>
    </xf>
    <xf borderId="97" fillId="0" fontId="27" numFmtId="4" xfId="0" applyAlignment="1" applyBorder="1" applyFont="1" applyNumberFormat="1">
      <alignment horizontal="center"/>
    </xf>
    <xf borderId="94" fillId="0" fontId="27" numFmtId="0" xfId="0" applyAlignment="1" applyBorder="1" applyFont="1">
      <alignment horizontal="center"/>
    </xf>
    <xf borderId="97" fillId="0" fontId="27" numFmtId="0" xfId="0" applyAlignment="1" applyBorder="1" applyFont="1">
      <alignment horizontal="center"/>
    </xf>
    <xf borderId="94" fillId="0" fontId="27" numFmtId="4" xfId="0" applyAlignment="1" applyBorder="1" applyFont="1" applyNumberFormat="1">
      <alignment horizontal="center"/>
    </xf>
    <xf borderId="100" fillId="0" fontId="27" numFmtId="4" xfId="0" applyAlignment="1" applyBorder="1" applyFont="1" applyNumberFormat="1">
      <alignment horizontal="center"/>
    </xf>
    <xf borderId="11" fillId="0" fontId="0" numFmtId="0" xfId="0" applyAlignment="1" applyBorder="1" applyFont="1">
      <alignment horizontal="center" readingOrder="0"/>
    </xf>
    <xf borderId="0" fillId="0" fontId="39" numFmtId="169" xfId="0" applyAlignment="1" applyFont="1" applyNumberFormat="1">
      <alignment horizontal="center" readingOrder="0"/>
    </xf>
    <xf borderId="0" fillId="0" fontId="39" numFmtId="0" xfId="0" applyAlignment="1" applyFont="1">
      <alignment horizontal="center"/>
    </xf>
    <xf borderId="0" fillId="0" fontId="39" numFmtId="0" xfId="0" applyAlignment="1" applyFont="1">
      <alignment horizontal="center" readingOrder="0"/>
    </xf>
    <xf borderId="25" fillId="0" fontId="39" numFmtId="0" xfId="0" applyAlignment="1" applyBorder="1" applyFont="1">
      <alignment horizontal="center" readingOrder="0"/>
    </xf>
    <xf borderId="22" fillId="0" fontId="40" numFmtId="170" xfId="0" applyAlignment="1" applyBorder="1" applyFont="1" applyNumberFormat="1">
      <alignment horizontal="center" readingOrder="0"/>
    </xf>
    <xf borderId="0" fillId="0" fontId="40" numFmtId="170" xfId="0" applyAlignment="1" applyFont="1" applyNumberFormat="1">
      <alignment horizontal="center" readingOrder="0"/>
    </xf>
    <xf borderId="25" fillId="17" fontId="39" numFmtId="0" xfId="0" applyAlignment="1" applyBorder="1" applyFill="1" applyFont="1">
      <alignment horizontal="center" readingOrder="0"/>
    </xf>
    <xf borderId="22" fillId="17" fontId="41" numFmtId="0" xfId="0" applyAlignment="1" applyBorder="1" applyFont="1">
      <alignment horizontal="center" readingOrder="0" shrinkToFit="0" wrapText="0"/>
    </xf>
    <xf borderId="0" fillId="17" fontId="42" numFmtId="0" xfId="0" applyAlignment="1" applyFont="1">
      <alignment horizontal="center" readingOrder="0"/>
    </xf>
    <xf borderId="22" fillId="17" fontId="39" numFmtId="0" xfId="0" applyAlignment="1" applyBorder="1" applyFont="1">
      <alignment horizontal="center" readingOrder="0"/>
    </xf>
    <xf borderId="0" fillId="17" fontId="39" numFmtId="0" xfId="0" applyAlignment="1" applyFont="1">
      <alignment horizontal="center" readingOrder="0"/>
    </xf>
    <xf borderId="0" fillId="17" fontId="40" numFmtId="0" xfId="0" applyAlignment="1" applyFont="1">
      <alignment horizontal="center" readingOrder="0"/>
    </xf>
    <xf borderId="0" fillId="17" fontId="41" numFmtId="0" xfId="0" applyAlignment="1" applyFont="1">
      <alignment horizontal="center" readingOrder="0"/>
    </xf>
    <xf borderId="12" fillId="17" fontId="42" numFmtId="0" xfId="0" applyAlignment="1" applyBorder="1" applyFont="1">
      <alignment horizontal="center" readingOrder="0"/>
    </xf>
    <xf borderId="42" fillId="17" fontId="42" numFmtId="0" xfId="0" applyAlignment="1" applyBorder="1" applyFont="1">
      <alignment horizontal="center" readingOrder="0"/>
    </xf>
    <xf borderId="0" fillId="17" fontId="39" numFmtId="49" xfId="0" applyAlignment="1" applyFont="1" applyNumberFormat="1">
      <alignment horizontal="center" readingOrder="0"/>
    </xf>
    <xf borderId="0" fillId="11" fontId="27" numFmtId="4" xfId="0" applyAlignment="1" applyFont="1" applyNumberFormat="1">
      <alignment horizontal="center"/>
    </xf>
    <xf borderId="25" fillId="16" fontId="39" numFmtId="0" xfId="0" applyAlignment="1" applyBorder="1" applyFont="1">
      <alignment horizontal="center" readingOrder="0"/>
    </xf>
    <xf borderId="22" fillId="16" fontId="41" numFmtId="0" xfId="0" applyAlignment="1" applyBorder="1" applyFont="1">
      <alignment horizontal="center" readingOrder="0" shrinkToFit="0" wrapText="0"/>
    </xf>
    <xf borderId="0" fillId="16" fontId="42" numFmtId="0" xfId="0" applyAlignment="1" applyFont="1">
      <alignment horizontal="center" readingOrder="0"/>
    </xf>
    <xf borderId="22" fillId="16" fontId="39" numFmtId="0" xfId="0" applyAlignment="1" applyBorder="1" applyFont="1">
      <alignment horizontal="center" readingOrder="0"/>
    </xf>
    <xf borderId="0" fillId="16" fontId="39" numFmtId="0" xfId="0" applyAlignment="1" applyFont="1">
      <alignment horizontal="center" readingOrder="0"/>
    </xf>
    <xf borderId="0" fillId="16" fontId="40" numFmtId="0" xfId="0" applyAlignment="1" applyFont="1">
      <alignment horizontal="center" readingOrder="0"/>
    </xf>
    <xf borderId="0" fillId="16" fontId="41" numFmtId="0" xfId="0" applyAlignment="1" applyFont="1">
      <alignment horizontal="center" readingOrder="0"/>
    </xf>
    <xf borderId="12" fillId="16" fontId="42" numFmtId="0" xfId="0" applyAlignment="1" applyBorder="1" applyFont="1">
      <alignment horizontal="center" readingOrder="0"/>
    </xf>
    <xf borderId="42" fillId="16" fontId="42" numFmtId="0" xfId="0" applyAlignment="1" applyBorder="1" applyFont="1">
      <alignment horizontal="center" readingOrder="0"/>
    </xf>
    <xf borderId="0" fillId="0" fontId="40" numFmtId="172" xfId="0" applyAlignment="1" applyFont="1" applyNumberFormat="1">
      <alignment horizontal="center" readingOrder="0"/>
    </xf>
    <xf borderId="11" fillId="0" fontId="39" numFmtId="0" xfId="0" applyAlignment="1" applyBorder="1" applyFont="1">
      <alignment horizontal="center" readingOrder="0"/>
    </xf>
    <xf borderId="0" fillId="0" fontId="42" numFmtId="0" xfId="0" applyAlignment="1" applyFont="1">
      <alignment horizontal="center"/>
    </xf>
    <xf borderId="0" fillId="0" fontId="42" numFmtId="0" xfId="0" applyAlignment="1" applyFont="1">
      <alignment horizontal="center" readingOrder="0"/>
    </xf>
    <xf borderId="60" fillId="0" fontId="39" numFmtId="0" xfId="0" applyAlignment="1" applyBorder="1" applyFont="1">
      <alignment horizontal="center" readingOrder="0"/>
    </xf>
    <xf borderId="1" fillId="0" fontId="39" numFmtId="169" xfId="0" applyAlignment="1" applyBorder="1" applyFont="1" applyNumberFormat="1">
      <alignment horizontal="center" readingOrder="0"/>
    </xf>
    <xf borderId="1" fillId="0" fontId="42" numFmtId="0" xfId="0" applyAlignment="1" applyBorder="1" applyFont="1">
      <alignment horizontal="center"/>
    </xf>
    <xf borderId="1" fillId="0" fontId="42" numFmtId="0" xfId="0" applyAlignment="1" applyBorder="1" applyFont="1">
      <alignment horizontal="center" readingOrder="0"/>
    </xf>
    <xf borderId="17" fillId="0" fontId="39" numFmtId="0" xfId="0" applyAlignment="1" applyBorder="1" applyFont="1">
      <alignment horizontal="center" readingOrder="0"/>
    </xf>
    <xf borderId="16" fillId="0" fontId="40" numFmtId="170" xfId="0" applyAlignment="1" applyBorder="1" applyFont="1" applyNumberFormat="1">
      <alignment horizontal="center" readingOrder="0"/>
    </xf>
    <xf borderId="1" fillId="0" fontId="40" numFmtId="170" xfId="0" applyAlignment="1" applyBorder="1" applyFont="1" applyNumberFormat="1">
      <alignment horizontal="center" readingOrder="0"/>
    </xf>
    <xf borderId="1" fillId="0" fontId="40" numFmtId="172" xfId="0" applyAlignment="1" applyBorder="1" applyFont="1" applyNumberFormat="1">
      <alignment horizontal="center" readingOrder="0"/>
    </xf>
    <xf borderId="17" fillId="17" fontId="39" numFmtId="0" xfId="0" applyAlignment="1" applyBorder="1" applyFont="1">
      <alignment horizontal="center" readingOrder="0"/>
    </xf>
    <xf borderId="16" fillId="17" fontId="41" numFmtId="0" xfId="0" applyAlignment="1" applyBorder="1" applyFont="1">
      <alignment horizontal="center" readingOrder="0" shrinkToFit="0" wrapText="0"/>
    </xf>
    <xf borderId="1" fillId="17" fontId="42" numFmtId="0" xfId="0" applyAlignment="1" applyBorder="1" applyFont="1">
      <alignment horizontal="center" readingOrder="0"/>
    </xf>
    <xf borderId="16" fillId="17" fontId="39" numFmtId="0" xfId="0" applyAlignment="1" applyBorder="1" applyFont="1">
      <alignment horizontal="center" readingOrder="0"/>
    </xf>
    <xf borderId="1" fillId="17" fontId="39" numFmtId="0" xfId="0" applyAlignment="1" applyBorder="1" applyFont="1">
      <alignment horizontal="center" readingOrder="0"/>
    </xf>
    <xf borderId="1" fillId="17" fontId="40" numFmtId="0" xfId="0" applyAlignment="1" applyBorder="1" applyFont="1">
      <alignment horizontal="center" readingOrder="0"/>
    </xf>
    <xf borderId="1" fillId="17" fontId="41" numFmtId="0" xfId="0" applyAlignment="1" applyBorder="1" applyFont="1">
      <alignment horizontal="center" readingOrder="0"/>
    </xf>
    <xf borderId="72" fillId="17" fontId="42" numFmtId="0" xfId="0" applyAlignment="1" applyBorder="1" applyFont="1">
      <alignment horizontal="center" readingOrder="0"/>
    </xf>
    <xf borderId="76" fillId="17" fontId="42" numFmtId="0" xfId="0" applyAlignment="1" applyBorder="1" applyFont="1">
      <alignment horizontal="center" readingOrder="0"/>
    </xf>
    <xf borderId="1" fillId="17" fontId="39" numFmtId="49" xfId="0" applyAlignment="1" applyBorder="1" applyFont="1" applyNumberFormat="1">
      <alignment horizontal="center" readingOrder="0"/>
    </xf>
    <xf borderId="2" fillId="0" fontId="1" numFmtId="0" xfId="0" applyAlignment="1" applyBorder="1" applyFont="1">
      <alignment horizontal="center" readingOrder="0" shrinkToFit="0" vertical="top" wrapText="1"/>
    </xf>
    <xf borderId="9" fillId="0" fontId="39" numFmtId="0" xfId="0" applyAlignment="1" applyBorder="1" applyFont="1">
      <alignment horizontal="center" readingOrder="0"/>
    </xf>
    <xf borderId="2" fillId="0" fontId="39" numFmtId="169" xfId="0" applyAlignment="1" applyBorder="1" applyFont="1" applyNumberFormat="1">
      <alignment horizontal="center" readingOrder="0"/>
    </xf>
    <xf borderId="2" fillId="0" fontId="42" numFmtId="0" xfId="0" applyAlignment="1" applyBorder="1" applyFont="1">
      <alignment horizontal="center"/>
    </xf>
    <xf borderId="2" fillId="0" fontId="42" numFmtId="0" xfId="0" applyAlignment="1" applyBorder="1" applyFont="1">
      <alignment horizontal="center" readingOrder="0"/>
    </xf>
    <xf borderId="31" fillId="0" fontId="39" numFmtId="0" xfId="0" applyAlignment="1" applyBorder="1" applyFont="1">
      <alignment horizontal="center" readingOrder="0"/>
    </xf>
    <xf borderId="32" fillId="0" fontId="40" numFmtId="170" xfId="0" applyAlignment="1" applyBorder="1" applyFont="1" applyNumberFormat="1">
      <alignment horizontal="center" readingOrder="0"/>
    </xf>
    <xf borderId="2" fillId="0" fontId="40" numFmtId="170" xfId="0" applyAlignment="1" applyBorder="1" applyFont="1" applyNumberFormat="1">
      <alignment horizontal="center" readingOrder="0"/>
    </xf>
    <xf borderId="2" fillId="0" fontId="40" numFmtId="172" xfId="0" applyAlignment="1" applyBorder="1" applyFont="1" applyNumberFormat="1">
      <alignment horizontal="center" readingOrder="0"/>
    </xf>
    <xf borderId="32" fillId="0" fontId="41" numFmtId="0" xfId="0" applyAlignment="1" applyBorder="1" applyFont="1">
      <alignment horizontal="center" readingOrder="0" shrinkToFit="0" wrapText="0"/>
    </xf>
    <xf borderId="32" fillId="0" fontId="39" numFmtId="0" xfId="0" applyAlignment="1" applyBorder="1" applyFont="1">
      <alignment horizontal="center" readingOrder="0"/>
    </xf>
    <xf borderId="2" fillId="0" fontId="39" numFmtId="0" xfId="0" applyAlignment="1" applyBorder="1" applyFont="1">
      <alignment horizontal="center" readingOrder="0"/>
    </xf>
    <xf borderId="2" fillId="0" fontId="40" numFmtId="0" xfId="0" applyAlignment="1" applyBorder="1" applyFont="1">
      <alignment horizontal="center" readingOrder="0"/>
    </xf>
    <xf borderId="2" fillId="0" fontId="41" numFmtId="0" xfId="0" applyAlignment="1" applyBorder="1" applyFont="1">
      <alignment horizontal="center" readingOrder="0"/>
    </xf>
    <xf borderId="10" fillId="0" fontId="42" numFmtId="0" xfId="0" applyAlignment="1" applyBorder="1" applyFont="1">
      <alignment horizontal="center" readingOrder="0"/>
    </xf>
    <xf borderId="61" fillId="0" fontId="42" numFmtId="0" xfId="0" applyAlignment="1" applyBorder="1" applyFont="1">
      <alignment horizontal="center" readingOrder="0"/>
    </xf>
    <xf borderId="2" fillId="0" fontId="39" numFmtId="49" xfId="0" applyAlignment="1" applyBorder="1" applyFont="1" applyNumberFormat="1">
      <alignment horizontal="center" readingOrder="0"/>
    </xf>
    <xf borderId="2" fillId="11" fontId="27" numFmtId="4" xfId="0" applyAlignment="1" applyBorder="1" applyFont="1" applyNumberFormat="1">
      <alignment horizontal="center"/>
    </xf>
    <xf borderId="22" fillId="0" fontId="41" numFmtId="0" xfId="0" applyAlignment="1" applyBorder="1" applyFont="1">
      <alignment horizontal="center" readingOrder="0" shrinkToFit="0" wrapText="0"/>
    </xf>
    <xf borderId="22" fillId="0" fontId="39" numFmtId="0" xfId="0" applyAlignment="1" applyBorder="1" applyFont="1">
      <alignment horizontal="center" readingOrder="0"/>
    </xf>
    <xf borderId="0" fillId="0" fontId="40" numFmtId="0" xfId="0" applyAlignment="1" applyFont="1">
      <alignment horizontal="center" readingOrder="0"/>
    </xf>
    <xf borderId="0" fillId="0" fontId="41" numFmtId="0" xfId="0" applyAlignment="1" applyFont="1">
      <alignment horizontal="center" readingOrder="0"/>
    </xf>
    <xf borderId="12" fillId="0" fontId="42" numFmtId="0" xfId="0" applyAlignment="1" applyBorder="1" applyFont="1">
      <alignment horizontal="center" readingOrder="0"/>
    </xf>
    <xf borderId="42" fillId="0" fontId="42" numFmtId="0" xfId="0" applyAlignment="1" applyBorder="1" applyFont="1">
      <alignment horizontal="center" readingOrder="0"/>
    </xf>
    <xf borderId="22" fillId="0" fontId="27" numFmtId="0" xfId="0" applyAlignment="1" applyBorder="1" applyFont="1">
      <alignment horizontal="center" readingOrder="0" shrinkToFit="0" vertical="center" wrapText="1"/>
    </xf>
    <xf borderId="0" fillId="0" fontId="39" numFmtId="49" xfId="0" applyAlignment="1" applyFont="1" applyNumberFormat="1">
      <alignment horizontal="center" readingOrder="0"/>
    </xf>
    <xf borderId="31" fillId="0" fontId="2" numFmtId="0" xfId="0" applyAlignment="1" applyBorder="1" applyFont="1">
      <alignment horizontal="center" readingOrder="0"/>
    </xf>
    <xf borderId="21" fillId="0" fontId="39" numFmtId="0" xfId="0" applyAlignment="1" applyBorder="1" applyFont="1">
      <alignment horizontal="center" readingOrder="0"/>
    </xf>
    <xf borderId="25" fillId="0" fontId="2" numFmtId="0" xfId="0" applyAlignment="1" applyBorder="1" applyFont="1">
      <alignment horizontal="center" readingOrder="0"/>
    </xf>
    <xf borderId="20" fillId="0" fontId="39" numFmtId="0" xfId="0" applyAlignment="1" applyBorder="1" applyFont="1">
      <alignment horizontal="center" readingOrder="0"/>
    </xf>
    <xf borderId="22" fillId="0" fontId="39" numFmtId="175" xfId="0" applyAlignment="1" applyBorder="1" applyFont="1" applyNumberFormat="1">
      <alignment horizontal="center" readingOrder="0"/>
    </xf>
    <xf borderId="16" fillId="0" fontId="41" numFmtId="0" xfId="0" applyAlignment="1" applyBorder="1" applyFont="1">
      <alignment horizontal="center" readingOrder="0" shrinkToFit="0" wrapText="0"/>
    </xf>
    <xf borderId="16" fillId="0" fontId="39" numFmtId="175" xfId="0" applyAlignment="1" applyBorder="1" applyFont="1" applyNumberFormat="1">
      <alignment horizontal="center" readingOrder="0"/>
    </xf>
    <xf borderId="1" fillId="0" fontId="39" numFmtId="0" xfId="0" applyAlignment="1" applyBorder="1" applyFont="1">
      <alignment horizontal="center" readingOrder="0"/>
    </xf>
    <xf borderId="1" fillId="0" fontId="40" numFmtId="0" xfId="0" applyAlignment="1" applyBorder="1" applyFont="1">
      <alignment horizontal="center" readingOrder="0"/>
    </xf>
    <xf borderId="1" fillId="0" fontId="41" numFmtId="0" xfId="0" applyAlignment="1" applyBorder="1" applyFont="1">
      <alignment horizontal="center" readingOrder="0"/>
    </xf>
    <xf borderId="72" fillId="0" fontId="42" numFmtId="0" xfId="0" applyAlignment="1" applyBorder="1" applyFont="1">
      <alignment horizontal="center" readingOrder="0"/>
    </xf>
    <xf borderId="76" fillId="0" fontId="42" numFmtId="0" xfId="0" applyAlignment="1" applyBorder="1" applyFont="1">
      <alignment horizontal="center" readingOrder="0"/>
    </xf>
    <xf borderId="1" fillId="0" fontId="39" numFmtId="49" xfId="0" applyAlignment="1" applyBorder="1" applyFont="1" applyNumberFormat="1">
      <alignment horizontal="center" readingOrder="0"/>
    </xf>
    <xf borderId="17" fillId="0" fontId="2" numFmtId="0" xfId="0" applyAlignment="1" applyBorder="1" applyFont="1">
      <alignment horizontal="center" readingOrder="0"/>
    </xf>
    <xf borderId="19" fillId="0" fontId="39" numFmtId="0" xfId="0" applyAlignment="1" applyBorder="1" applyFont="1">
      <alignment horizontal="center" readingOrder="0"/>
    </xf>
    <xf borderId="9" fillId="0" fontId="11" numFmtId="0" xfId="0" applyAlignment="1" applyBorder="1" applyFont="1">
      <alignment horizontal="center" readingOrder="0" shrinkToFit="0" wrapText="0"/>
    </xf>
    <xf borderId="2" fillId="0" fontId="43" numFmtId="169" xfId="0" applyAlignment="1" applyBorder="1" applyFont="1" applyNumberFormat="1">
      <alignment horizontal="center" readingOrder="0" shrinkToFit="0" wrapText="0"/>
    </xf>
    <xf borderId="2" fillId="0" fontId="11" numFmtId="0" xfId="0" applyAlignment="1" applyBorder="1" applyFont="1">
      <alignment horizontal="center" shrinkToFit="0" wrapText="0"/>
    </xf>
    <xf borderId="2" fillId="0" fontId="43" numFmtId="0" xfId="0" applyAlignment="1" applyBorder="1" applyFont="1">
      <alignment horizontal="center" readingOrder="0" shrinkToFit="0" wrapText="0"/>
    </xf>
    <xf borderId="32" fillId="0" fontId="43" numFmtId="170" xfId="0" applyAlignment="1" applyBorder="1" applyFont="1" applyNumberFormat="1">
      <alignment horizontal="center" readingOrder="0"/>
    </xf>
    <xf borderId="2" fillId="0" fontId="43" numFmtId="170" xfId="0" applyAlignment="1" applyBorder="1" applyFont="1" applyNumberFormat="1">
      <alignment horizontal="center" readingOrder="0"/>
    </xf>
    <xf borderId="2" fillId="0" fontId="43" numFmtId="172" xfId="0" applyAlignment="1" applyBorder="1" applyFont="1" applyNumberFormat="1">
      <alignment horizontal="center" readingOrder="0"/>
    </xf>
    <xf borderId="2" fillId="0" fontId="13" numFmtId="170" xfId="0" applyAlignment="1" applyBorder="1" applyFont="1" applyNumberFormat="1">
      <alignment horizontal="center" readingOrder="0" shrinkToFit="0" wrapText="0"/>
    </xf>
    <xf borderId="2" fillId="0" fontId="11" numFmtId="0" xfId="0" applyAlignment="1" applyBorder="1" applyFont="1">
      <alignment horizontal="center" readingOrder="0" shrinkToFit="0" wrapText="0"/>
    </xf>
    <xf borderId="2" fillId="0" fontId="44" numFmtId="0" xfId="0" applyAlignment="1" applyBorder="1" applyFont="1">
      <alignment horizontal="center" readingOrder="0" shrinkToFit="0" wrapText="0"/>
    </xf>
    <xf borderId="2" fillId="0" fontId="13" numFmtId="0" xfId="0" applyAlignment="1" applyBorder="1" applyFont="1">
      <alignment horizontal="center" readingOrder="0" shrinkToFit="0" wrapText="0"/>
    </xf>
    <xf borderId="10" fillId="0" fontId="13" numFmtId="0" xfId="0" applyAlignment="1" applyBorder="1" applyFont="1">
      <alignment horizontal="center" readingOrder="0" shrinkToFit="0" wrapText="0"/>
    </xf>
    <xf borderId="61" fillId="0" fontId="13" numFmtId="0" xfId="0" applyAlignment="1" applyBorder="1" applyFont="1">
      <alignment horizontal="center" readingOrder="0" shrinkToFit="0" wrapText="0"/>
    </xf>
    <xf borderId="31" fillId="0" fontId="2" numFmtId="0" xfId="0" applyAlignment="1" applyBorder="1" applyFont="1">
      <alignment horizontal="center" readingOrder="0"/>
    </xf>
    <xf borderId="10" fillId="0" fontId="27" numFmtId="0" xfId="0" applyAlignment="1" applyBorder="1" applyFont="1">
      <alignment horizontal="center" readingOrder="0"/>
    </xf>
    <xf borderId="11" fillId="0" fontId="11" numFmtId="0" xfId="0" applyAlignment="1" applyBorder="1" applyFont="1">
      <alignment horizontal="center" readingOrder="0" shrinkToFit="0" wrapText="0"/>
    </xf>
    <xf borderId="0" fillId="0" fontId="43" numFmtId="169" xfId="0" applyAlignment="1" applyFont="1" applyNumberFormat="1">
      <alignment horizontal="center" readingOrder="0" shrinkToFit="0" wrapText="0"/>
    </xf>
    <xf borderId="0" fillId="0" fontId="43" numFmtId="0" xfId="0" applyAlignment="1" applyFont="1">
      <alignment horizontal="center" readingOrder="0" shrinkToFit="0" wrapText="0"/>
    </xf>
    <xf borderId="22" fillId="0" fontId="43" numFmtId="170" xfId="0" applyAlignment="1" applyBorder="1" applyFont="1" applyNumberFormat="1">
      <alignment horizontal="center" readingOrder="0"/>
    </xf>
    <xf borderId="0" fillId="0" fontId="43" numFmtId="170" xfId="0" applyAlignment="1" applyFont="1" applyNumberFormat="1">
      <alignment horizontal="center" readingOrder="0"/>
    </xf>
    <xf borderId="0" fillId="0" fontId="43" numFmtId="172" xfId="0" applyAlignment="1" applyFont="1" applyNumberFormat="1">
      <alignment horizontal="center" readingOrder="0"/>
    </xf>
    <xf borderId="0" fillId="0" fontId="13" numFmtId="170" xfId="0" applyAlignment="1" applyFont="1" applyNumberFormat="1">
      <alignment horizontal="center" readingOrder="0" shrinkToFit="0" wrapText="0"/>
    </xf>
    <xf borderId="0" fillId="0" fontId="11" numFmtId="0" xfId="0" applyAlignment="1" applyFont="1">
      <alignment horizontal="center" readingOrder="0" shrinkToFit="0" wrapText="0"/>
    </xf>
    <xf borderId="0" fillId="0" fontId="44" numFmtId="0" xfId="0" applyAlignment="1" applyFont="1">
      <alignment horizontal="center" readingOrder="0" shrinkToFit="0" wrapText="0"/>
    </xf>
    <xf borderId="0" fillId="0" fontId="13" numFmtId="0" xfId="0" applyAlignment="1" applyFont="1">
      <alignment horizontal="center" readingOrder="0" shrinkToFit="0" wrapText="0"/>
    </xf>
    <xf borderId="0" fillId="0" fontId="13" numFmtId="0" xfId="0" applyAlignment="1" applyFont="1">
      <alignment horizontal="center" shrinkToFit="0" wrapText="0"/>
    </xf>
    <xf borderId="12" fillId="0" fontId="13" numFmtId="0" xfId="0" applyAlignment="1" applyBorder="1" applyFont="1">
      <alignment horizontal="center" readingOrder="0" shrinkToFit="0" wrapText="0"/>
    </xf>
    <xf borderId="42" fillId="0" fontId="13" numFmtId="0" xfId="0" applyAlignment="1" applyBorder="1" applyFont="1">
      <alignment horizontal="center" readingOrder="0" shrinkToFit="0" wrapText="0"/>
    </xf>
    <xf borderId="12" fillId="0" fontId="27" numFmtId="0" xfId="0" applyAlignment="1" applyBorder="1" applyFont="1">
      <alignment horizontal="center" readingOrder="0"/>
    </xf>
    <xf borderId="2" fillId="0" fontId="13" numFmtId="0" xfId="0" applyAlignment="1" applyBorder="1" applyFont="1">
      <alignment horizontal="center" shrinkToFit="0" wrapText="0"/>
    </xf>
    <xf borderId="60" fillId="0" fontId="11" numFmtId="0" xfId="0" applyAlignment="1" applyBorder="1" applyFont="1">
      <alignment horizontal="center" readingOrder="0" shrinkToFit="0" wrapText="0"/>
    </xf>
    <xf borderId="1" fillId="0" fontId="43" numFmtId="169" xfId="0" applyAlignment="1" applyBorder="1" applyFont="1" applyNumberFormat="1">
      <alignment horizontal="center" readingOrder="0" shrinkToFit="0" wrapText="0"/>
    </xf>
    <xf borderId="1" fillId="0" fontId="11" numFmtId="0" xfId="0" applyAlignment="1" applyBorder="1" applyFont="1">
      <alignment horizontal="center" shrinkToFit="0" wrapText="0"/>
    </xf>
    <xf borderId="1" fillId="0" fontId="43" numFmtId="0" xfId="0" applyAlignment="1" applyBorder="1" applyFont="1">
      <alignment horizontal="center" readingOrder="0" shrinkToFit="0" wrapText="0"/>
    </xf>
    <xf borderId="16" fillId="0" fontId="43" numFmtId="170" xfId="0" applyAlignment="1" applyBorder="1" applyFont="1" applyNumberFormat="1">
      <alignment horizontal="center" readingOrder="0"/>
    </xf>
    <xf borderId="1" fillId="0" fontId="43" numFmtId="170" xfId="0" applyAlignment="1" applyBorder="1" applyFont="1" applyNumberFormat="1">
      <alignment horizontal="center" readingOrder="0"/>
    </xf>
    <xf borderId="1" fillId="0" fontId="43" numFmtId="172" xfId="0" applyAlignment="1" applyBorder="1" applyFont="1" applyNumberFormat="1">
      <alignment horizontal="center" readingOrder="0"/>
    </xf>
    <xf borderId="1" fillId="0" fontId="13" numFmtId="170" xfId="0" applyAlignment="1" applyBorder="1" applyFont="1" applyNumberFormat="1">
      <alignment horizontal="center" readingOrder="0" shrinkToFit="0" wrapText="0"/>
    </xf>
    <xf borderId="1" fillId="0" fontId="11" numFmtId="0" xfId="0" applyAlignment="1" applyBorder="1" applyFont="1">
      <alignment horizontal="center" readingOrder="0" shrinkToFit="0" wrapText="0"/>
    </xf>
    <xf borderId="1" fillId="0" fontId="44" numFmtId="0" xfId="0" applyAlignment="1" applyBorder="1" applyFont="1">
      <alignment horizontal="center" readingOrder="0" shrinkToFit="0" wrapText="0"/>
    </xf>
    <xf borderId="1" fillId="0" fontId="13" numFmtId="0" xfId="0" applyAlignment="1" applyBorder="1" applyFont="1">
      <alignment horizontal="center" readingOrder="0" shrinkToFit="0" wrapText="0"/>
    </xf>
    <xf borderId="1" fillId="0" fontId="13" numFmtId="0" xfId="0" applyAlignment="1" applyBorder="1" applyFont="1">
      <alignment horizontal="center" shrinkToFit="0" wrapText="0"/>
    </xf>
    <xf borderId="72" fillId="0" fontId="13" numFmtId="0" xfId="0" applyAlignment="1" applyBorder="1" applyFont="1">
      <alignment horizontal="center" readingOrder="0" shrinkToFit="0" wrapText="0"/>
    </xf>
    <xf borderId="76" fillId="0" fontId="13" numFmtId="0" xfId="0" applyAlignment="1" applyBorder="1" applyFont="1">
      <alignment horizontal="center" readingOrder="0" shrinkToFit="0" wrapText="0"/>
    </xf>
    <xf borderId="72" fillId="0" fontId="27" numFmtId="0" xfId="0" applyAlignment="1" applyBorder="1" applyFont="1">
      <alignment horizontal="center" readingOrder="0"/>
    </xf>
    <xf borderId="0" fillId="0" fontId="1" numFmtId="0" xfId="0" applyAlignment="1" applyFont="1">
      <alignment horizontal="center" readingOrder="0" shrinkToFit="0" vertical="top" wrapText="1"/>
    </xf>
    <xf borderId="0" fillId="0" fontId="43" numFmtId="0" xfId="0" applyAlignment="1" applyFont="1">
      <alignment horizontal="center" shrinkToFit="0" wrapText="0"/>
    </xf>
    <xf borderId="0" fillId="0" fontId="43" numFmtId="170" xfId="0" applyAlignment="1" applyFont="1" applyNumberFormat="1">
      <alignment horizontal="center"/>
    </xf>
    <xf borderId="0" fillId="0" fontId="43" numFmtId="172" xfId="0" applyAlignment="1" applyFont="1" applyNumberFormat="1">
      <alignment horizontal="center"/>
    </xf>
    <xf borderId="0" fillId="0" fontId="13" numFmtId="0" xfId="0" applyAlignment="1" applyFont="1">
      <alignment horizontal="center" shrinkToFit="0" wrapText="0"/>
    </xf>
    <xf borderId="22" fillId="0" fontId="11" numFmtId="175" xfId="0" applyAlignment="1" applyBorder="1" applyFont="1" applyNumberFormat="1">
      <alignment horizontal="center" shrinkToFit="0" wrapText="0"/>
    </xf>
    <xf borderId="0" fillId="0" fontId="11" numFmtId="0" xfId="0" applyAlignment="1" applyFont="1">
      <alignment horizontal="center" shrinkToFit="0" wrapText="0"/>
    </xf>
    <xf borderId="25" fillId="0" fontId="11" numFmtId="0" xfId="0" applyAlignment="1" applyBorder="1" applyFont="1">
      <alignment horizontal="center" shrinkToFit="0" wrapText="0"/>
    </xf>
    <xf borderId="1" fillId="0" fontId="43" numFmtId="0" xfId="0" applyAlignment="1" applyBorder="1" applyFont="1">
      <alignment horizontal="center" shrinkToFit="0" wrapText="0"/>
    </xf>
    <xf borderId="1" fillId="0" fontId="43" numFmtId="170" xfId="0" applyAlignment="1" applyBorder="1" applyFont="1" applyNumberFormat="1">
      <alignment horizontal="center"/>
    </xf>
    <xf borderId="1" fillId="0" fontId="43" numFmtId="172" xfId="0" applyAlignment="1" applyBorder="1" applyFont="1" applyNumberFormat="1">
      <alignment horizontal="center"/>
    </xf>
    <xf borderId="1" fillId="0" fontId="44" numFmtId="0" xfId="0" applyAlignment="1" applyBorder="1" applyFont="1">
      <alignment horizontal="center" shrinkToFit="0" wrapText="0"/>
    </xf>
    <xf borderId="16" fillId="0" fontId="11" numFmtId="175" xfId="0" applyAlignment="1" applyBorder="1" applyFont="1" applyNumberFormat="1">
      <alignment horizontal="center" shrinkToFit="0" wrapText="0"/>
    </xf>
    <xf borderId="1" fillId="0" fontId="11" numFmtId="0" xfId="0" applyAlignment="1" applyBorder="1" applyFont="1">
      <alignment horizontal="center" shrinkToFit="0" wrapText="0"/>
    </xf>
    <xf borderId="17" fillId="0" fontId="11" numFmtId="0" xfId="0" applyAlignment="1" applyBorder="1" applyFont="1">
      <alignment horizontal="center" shrinkToFit="0" wrapText="0"/>
    </xf>
    <xf borderId="22" fillId="0" fontId="43" numFmtId="170" xfId="0" applyAlignment="1" applyBorder="1" applyFont="1" applyNumberFormat="1">
      <alignment horizontal="center" readingOrder="0" shrinkToFit="0" wrapText="0"/>
    </xf>
    <xf borderId="0" fillId="0" fontId="43" numFmtId="170" xfId="0" applyAlignment="1" applyFont="1" applyNumberFormat="1">
      <alignment horizontal="center" readingOrder="0" shrinkToFit="0" wrapText="0"/>
    </xf>
    <xf borderId="0" fillId="0" fontId="43" numFmtId="172" xfId="0" applyAlignment="1" applyFont="1" applyNumberFormat="1">
      <alignment horizontal="center" readingOrder="0" shrinkToFit="0" wrapText="0"/>
    </xf>
    <xf borderId="22" fillId="0" fontId="13" numFmtId="0" xfId="0" applyAlignment="1" applyBorder="1" applyFont="1">
      <alignment horizontal="center" readingOrder="0" shrinkToFit="0" wrapText="0"/>
    </xf>
    <xf borderId="25" fillId="0" fontId="13" numFmtId="0" xfId="0" applyAlignment="1" applyBorder="1" applyFont="1">
      <alignment horizontal="center" readingOrder="0" shrinkToFit="0" wrapText="0"/>
    </xf>
    <xf borderId="0" fillId="0" fontId="13" numFmtId="0" xfId="0" applyAlignment="1" applyFont="1">
      <alignment horizontal="center" readingOrder="0"/>
    </xf>
    <xf borderId="11" fillId="0" fontId="11" numFmtId="0" xfId="0" applyAlignment="1" applyBorder="1" applyFont="1">
      <alignment horizontal="center" shrinkToFit="0" wrapText="0"/>
    </xf>
    <xf borderId="0" fillId="0" fontId="43" numFmtId="169" xfId="0" applyAlignment="1" applyFont="1" applyNumberFormat="1">
      <alignment horizontal="center" shrinkToFit="0" wrapText="0"/>
    </xf>
    <xf borderId="25" fillId="0" fontId="11" numFmtId="0" xfId="0" applyAlignment="1" applyBorder="1" applyFont="1">
      <alignment horizontal="center"/>
    </xf>
    <xf borderId="2" fillId="0" fontId="10" numFmtId="0" xfId="0" applyAlignment="1" applyBorder="1" applyFont="1">
      <alignment readingOrder="0" shrinkToFit="0" vertical="top" wrapText="1"/>
    </xf>
    <xf borderId="1" fillId="0" fontId="13" numFmtId="0" xfId="0" applyAlignment="1" applyBorder="1" applyFont="1">
      <alignment horizontal="center" shrinkToFit="0" wrapText="0"/>
    </xf>
    <xf borderId="0" fillId="0" fontId="10" numFmtId="0" xfId="0" applyAlignment="1" applyFont="1">
      <alignment readingOrder="0" shrinkToFit="0" vertical="top" wrapText="1"/>
    </xf>
    <xf borderId="2" fillId="0" fontId="45" numFmtId="0" xfId="0" applyAlignment="1" applyBorder="1" applyFont="1">
      <alignment readingOrder="0" shrinkToFit="0" vertical="top" wrapText="1"/>
    </xf>
    <xf borderId="2" fillId="0" fontId="44" numFmtId="0" xfId="0" applyAlignment="1" applyBorder="1" applyFont="1">
      <alignment horizontal="center" readingOrder="0"/>
    </xf>
    <xf borderId="0" fillId="0" fontId="11" numFmtId="0" xfId="0" applyAlignment="1" applyFont="1">
      <alignment horizontal="center"/>
    </xf>
    <xf borderId="60" fillId="0" fontId="11" numFmtId="0" xfId="0" applyAlignment="1" applyBorder="1" applyFont="1">
      <alignment horizontal="center" shrinkToFit="0" wrapText="0"/>
    </xf>
    <xf borderId="1" fillId="0" fontId="43" numFmtId="169" xfId="0" applyAlignment="1" applyBorder="1" applyFont="1" applyNumberFormat="1">
      <alignment horizontal="center" shrinkToFit="0" wrapText="0"/>
    </xf>
    <xf borderId="17" fillId="0" fontId="11" numFmtId="0" xfId="0" applyAlignment="1" applyBorder="1" applyFont="1">
      <alignment horizontal="center"/>
    </xf>
    <xf borderId="0" fillId="0" fontId="45" numFmtId="0" xfId="0" applyAlignment="1" applyFont="1">
      <alignment readingOrder="0" shrinkToFit="0" vertical="top" wrapText="1"/>
    </xf>
    <xf borderId="16" fillId="0" fontId="43" numFmtId="170" xfId="0" applyAlignment="1" applyBorder="1" applyFont="1" applyNumberFormat="1">
      <alignment horizontal="center"/>
    </xf>
    <xf borderId="0" fillId="0" fontId="44" numFmtId="0" xfId="0" applyAlignment="1" applyFont="1">
      <alignment horizontal="center" readingOrder="0"/>
    </xf>
    <xf borderId="32" fillId="0" fontId="43" numFmtId="170" xfId="0" applyAlignment="1" applyBorder="1" applyFont="1" applyNumberFormat="1">
      <alignment horizontal="center" readingOrder="0" shrinkToFit="0" wrapText="0"/>
    </xf>
    <xf borderId="2" fillId="0" fontId="43" numFmtId="170" xfId="0" applyAlignment="1" applyBorder="1" applyFont="1" applyNumberFormat="1">
      <alignment horizontal="center" readingOrder="0" shrinkToFit="0" wrapText="0"/>
    </xf>
    <xf borderId="2" fillId="0" fontId="43" numFmtId="172" xfId="0" applyAlignment="1" applyBorder="1" applyFont="1" applyNumberFormat="1">
      <alignment horizontal="center" readingOrder="0" shrinkToFit="0" wrapText="0"/>
    </xf>
    <xf borderId="32" fillId="0" fontId="13" numFmtId="0" xfId="0" applyAlignment="1" applyBorder="1" applyFont="1">
      <alignment horizontal="center" readingOrder="0" shrinkToFit="0" wrapText="0"/>
    </xf>
    <xf borderId="31" fillId="0" fontId="13" numFmtId="0" xfId="0" applyAlignment="1" applyBorder="1" applyFont="1">
      <alignment horizontal="center" readingOrder="0" shrinkToFit="0" wrapText="0"/>
    </xf>
    <xf borderId="2" fillId="0" fontId="46" numFmtId="0" xfId="0" applyAlignment="1" applyBorder="1" applyFont="1">
      <alignment horizontal="center" readingOrder="0" shrinkToFit="0" wrapText="0"/>
    </xf>
    <xf borderId="0" fillId="0" fontId="46" numFmtId="0" xfId="0" applyAlignment="1" applyFont="1">
      <alignment horizontal="center" readingOrder="0" shrinkToFit="0" wrapText="0"/>
    </xf>
    <xf borderId="31" fillId="0" fontId="11" numFmtId="0" xfId="0" applyAlignment="1" applyBorder="1" applyFont="1">
      <alignment horizontal="center" readingOrder="0"/>
    </xf>
    <xf borderId="2" fillId="0" fontId="13" numFmtId="0" xfId="0" applyAlignment="1" applyBorder="1" applyFont="1">
      <alignment horizontal="center" readingOrder="0"/>
    </xf>
    <xf borderId="1" fillId="0" fontId="13" numFmtId="0" xfId="0" applyAlignment="1" applyBorder="1" applyFont="1">
      <alignment horizontal="center" readingOrder="0"/>
    </xf>
    <xf borderId="1" fillId="0" fontId="44" numFmtId="0" xfId="0" applyAlignment="1" applyBorder="1" applyFont="1">
      <alignment horizontal="center" readingOrder="0"/>
    </xf>
    <xf borderId="2" fillId="0" fontId="43" numFmtId="170" xfId="0" applyAlignment="1" applyBorder="1" applyFont="1" applyNumberFormat="1">
      <alignment horizontal="center"/>
    </xf>
    <xf borderId="2" fillId="0" fontId="43" numFmtId="172" xfId="0" applyAlignment="1" applyBorder="1" applyFont="1" applyNumberFormat="1">
      <alignment horizontal="center"/>
    </xf>
    <xf borderId="2" fillId="0" fontId="44" numFmtId="0" xfId="0" applyAlignment="1" applyBorder="1" applyFont="1">
      <alignment horizontal="center" shrinkToFit="0" wrapText="0"/>
    </xf>
    <xf borderId="0" fillId="0" fontId="44" numFmtId="0" xfId="0" applyAlignment="1" applyFont="1">
      <alignment horizontal="center" shrinkToFit="0" wrapText="0"/>
    </xf>
    <xf borderId="1" fillId="0" fontId="11" numFmtId="0" xfId="0" applyAlignment="1" applyBorder="1" applyFont="1">
      <alignment horizontal="center"/>
    </xf>
    <xf borderId="16" fillId="0" fontId="43" numFmtId="170" xfId="0" applyAlignment="1" applyBorder="1" applyFont="1" applyNumberFormat="1">
      <alignment horizontal="center" readingOrder="0" shrinkToFit="0" wrapText="0"/>
    </xf>
    <xf borderId="1" fillId="0" fontId="43" numFmtId="170" xfId="0" applyAlignment="1" applyBorder="1" applyFont="1" applyNumberFormat="1">
      <alignment horizontal="center" shrinkToFit="0" wrapText="0"/>
    </xf>
    <xf borderId="1" fillId="0" fontId="43" numFmtId="172" xfId="0" applyAlignment="1" applyBorder="1" applyFont="1" applyNumberFormat="1">
      <alignment horizontal="center" shrinkToFit="0" wrapText="0"/>
    </xf>
    <xf borderId="1" fillId="0" fontId="43" numFmtId="172" xfId="0" applyAlignment="1" applyBorder="1" applyFont="1" applyNumberFormat="1">
      <alignment horizontal="center" readingOrder="0" shrinkToFit="0" wrapText="0"/>
    </xf>
    <xf borderId="22" fillId="0" fontId="43" numFmtId="170" xfId="0" applyAlignment="1" applyBorder="1" applyFont="1" applyNumberFormat="1">
      <alignment horizontal="center"/>
    </xf>
    <xf borderId="0" fillId="0" fontId="2" numFmtId="0" xfId="0" applyAlignment="1" applyFont="1">
      <alignment horizontal="center" readingOrder="0"/>
    </xf>
    <xf borderId="1" fillId="0" fontId="2" numFmtId="0" xfId="0" applyAlignment="1" applyBorder="1" applyFont="1">
      <alignment horizontal="center" readingOrder="0"/>
    </xf>
    <xf borderId="2" fillId="0" fontId="2" numFmtId="0" xfId="0" applyAlignment="1" applyBorder="1" applyFont="1">
      <alignment horizontal="center" readingOrder="0"/>
    </xf>
    <xf borderId="0" fillId="0" fontId="39" numFmtId="49" xfId="0" applyAlignment="1" applyFont="1" applyNumberFormat="1">
      <alignment horizontal="center"/>
    </xf>
    <xf borderId="1" fillId="0" fontId="39" numFmtId="49" xfId="0" applyAlignment="1" applyBorder="1" applyFont="1" applyNumberFormat="1">
      <alignment horizontal="center"/>
    </xf>
    <xf borderId="14" fillId="0" fontId="19" numFmtId="0" xfId="0" applyBorder="1" applyFont="1"/>
    <xf borderId="13" fillId="0" fontId="11" numFmtId="0" xfId="0" applyAlignment="1" applyBorder="1" applyFont="1">
      <alignment horizontal="center" readingOrder="0" shrinkToFit="0" wrapText="0"/>
    </xf>
    <xf borderId="14" fillId="0" fontId="43" numFmtId="169" xfId="0" applyAlignment="1" applyBorder="1" applyFont="1" applyNumberFormat="1">
      <alignment horizontal="center" readingOrder="0" shrinkToFit="0" wrapText="0"/>
    </xf>
    <xf borderId="14" fillId="0" fontId="11" numFmtId="0" xfId="0" applyAlignment="1" applyBorder="1" applyFont="1">
      <alignment horizontal="center" shrinkToFit="0" wrapText="0"/>
    </xf>
    <xf borderId="14" fillId="0" fontId="43" numFmtId="0" xfId="0" applyAlignment="1" applyBorder="1" applyFont="1">
      <alignment horizontal="center" readingOrder="0" shrinkToFit="0" wrapText="0"/>
    </xf>
    <xf borderId="54" fillId="0" fontId="11" numFmtId="0" xfId="0" applyAlignment="1" applyBorder="1" applyFont="1">
      <alignment horizontal="center" readingOrder="0"/>
    </xf>
    <xf borderId="14" fillId="0" fontId="43" numFmtId="170" xfId="0" applyAlignment="1" applyBorder="1" applyFont="1" applyNumberFormat="1">
      <alignment horizontal="center" readingOrder="0"/>
    </xf>
    <xf borderId="14" fillId="0" fontId="43" numFmtId="172" xfId="0" applyAlignment="1" applyBorder="1" applyFont="1" applyNumberFormat="1">
      <alignment horizontal="center" readingOrder="0"/>
    </xf>
    <xf borderId="14" fillId="0" fontId="13" numFmtId="170" xfId="0" applyAlignment="1" applyBorder="1" applyFont="1" applyNumberFormat="1">
      <alignment horizontal="center" readingOrder="0" shrinkToFit="0" wrapText="0"/>
    </xf>
    <xf borderId="14" fillId="0" fontId="11" numFmtId="0" xfId="0" applyAlignment="1" applyBorder="1" applyFont="1">
      <alignment horizontal="center" readingOrder="0" shrinkToFit="0" wrapText="0"/>
    </xf>
    <xf borderId="54" fillId="0" fontId="11" numFmtId="0" xfId="0" applyAlignment="1" applyBorder="1" applyFont="1">
      <alignment horizontal="center" readingOrder="0" shrinkToFit="0" wrapText="0"/>
    </xf>
    <xf borderId="14" fillId="0" fontId="13" numFmtId="0" xfId="0" applyAlignment="1" applyBorder="1" applyFont="1">
      <alignment horizontal="center" readingOrder="0" shrinkToFit="0" wrapText="0"/>
    </xf>
    <xf borderId="55" fillId="0" fontId="11" numFmtId="0" xfId="0" applyAlignment="1" applyBorder="1" applyFont="1">
      <alignment horizontal="center" readingOrder="0" shrinkToFit="0" wrapText="0"/>
    </xf>
    <xf borderId="14" fillId="0" fontId="44" numFmtId="0" xfId="0" applyAlignment="1" applyBorder="1" applyFont="1">
      <alignment horizontal="center" readingOrder="0" shrinkToFit="0" wrapText="0"/>
    </xf>
    <xf borderId="15" fillId="0" fontId="13" numFmtId="0" xfId="0" applyAlignment="1" applyBorder="1" applyFont="1">
      <alignment horizontal="center" readingOrder="0" shrinkToFit="0" wrapText="0"/>
    </xf>
    <xf borderId="57" fillId="0" fontId="13" numFmtId="0" xfId="0" applyAlignment="1" applyBorder="1" applyFont="1">
      <alignment horizontal="center" readingOrder="0" shrinkToFit="0" wrapText="0"/>
    </xf>
    <xf borderId="14" fillId="0" fontId="39" numFmtId="49" xfId="0" applyAlignment="1" applyBorder="1" applyFont="1" applyNumberFormat="1">
      <alignment horizontal="center"/>
    </xf>
    <xf borderId="14" fillId="0" fontId="2" numFmtId="0" xfId="0" applyAlignment="1" applyBorder="1" applyFont="1">
      <alignment horizontal="center" readingOrder="0"/>
    </xf>
    <xf borderId="15" fillId="0" fontId="27" numFmtId="0" xfId="0" applyAlignment="1" applyBorder="1" applyFont="1">
      <alignment horizontal="center" readingOrder="0"/>
    </xf>
    <xf borderId="14" fillId="0" fontId="27" numFmtId="0" xfId="0" applyAlignment="1" applyBorder="1" applyFont="1">
      <alignment horizontal="center" readingOrder="0" vertical="center"/>
    </xf>
    <xf borderId="55" fillId="0" fontId="27" numFmtId="4" xfId="0" applyAlignment="1" applyBorder="1" applyFont="1" applyNumberFormat="1">
      <alignment horizontal="center" readingOrder="0" shrinkToFit="0" vertical="center" wrapText="1"/>
    </xf>
    <xf borderId="14" fillId="0" fontId="27" numFmtId="4" xfId="0" applyAlignment="1" applyBorder="1" applyFont="1" applyNumberFormat="1">
      <alignment horizontal="center" readingOrder="0" shrinkToFit="0" vertical="center" wrapText="1"/>
    </xf>
    <xf borderId="15" fillId="0" fontId="27" numFmtId="0" xfId="0" applyAlignment="1" applyBorder="1" applyFont="1">
      <alignment horizontal="center"/>
    </xf>
    <xf borderId="58" fillId="0" fontId="39" numFmtId="0" xfId="0" applyAlignment="1" applyBorder="1" applyFont="1">
      <alignment horizontal="center" readingOrder="0"/>
    </xf>
    <xf borderId="12" fillId="0" fontId="13" numFmtId="49" xfId="0" applyAlignment="1" applyBorder="1" applyFont="1" applyNumberFormat="1">
      <alignment horizontal="center" readingOrder="0" shrinkToFit="0" wrapText="0"/>
    </xf>
    <xf borderId="0" fillId="0" fontId="13" numFmtId="49" xfId="0" applyAlignment="1" applyFont="1" applyNumberFormat="1">
      <alignment horizontal="center" readingOrder="0" shrinkToFit="0" wrapText="0"/>
    </xf>
    <xf borderId="42" fillId="0" fontId="13" numFmtId="49" xfId="0" applyAlignment="1" applyBorder="1" applyFont="1" applyNumberFormat="1">
      <alignment horizontal="center" readingOrder="0" shrinkToFit="0" wrapText="0"/>
    </xf>
    <xf borderId="64" fillId="0" fontId="10" numFmtId="0" xfId="0" applyAlignment="1" applyBorder="1" applyFont="1">
      <alignment readingOrder="0" shrinkToFit="0" vertical="top" wrapText="1"/>
    </xf>
    <xf borderId="65" fillId="0" fontId="11" numFmtId="0" xfId="0" applyAlignment="1" applyBorder="1" applyFont="1">
      <alignment horizontal="center" readingOrder="0" shrinkToFit="0" wrapText="0"/>
    </xf>
    <xf borderId="64" fillId="0" fontId="43" numFmtId="169" xfId="0" applyAlignment="1" applyBorder="1" applyFont="1" applyNumberFormat="1">
      <alignment horizontal="center" readingOrder="0" shrinkToFit="0" wrapText="0"/>
    </xf>
    <xf borderId="64" fillId="0" fontId="11" numFmtId="0" xfId="0" applyAlignment="1" applyBorder="1" applyFont="1">
      <alignment horizontal="center" readingOrder="0" shrinkToFit="0" wrapText="0"/>
    </xf>
    <xf borderId="64" fillId="0" fontId="43" numFmtId="0" xfId="0" applyAlignment="1" applyBorder="1" applyFont="1">
      <alignment horizontal="center" readingOrder="0" shrinkToFit="0" wrapText="0"/>
    </xf>
    <xf borderId="66" fillId="0" fontId="11" numFmtId="0" xfId="0" applyAlignment="1" applyBorder="1" applyFont="1">
      <alignment horizontal="center" readingOrder="0"/>
    </xf>
    <xf borderId="64" fillId="0" fontId="43" numFmtId="170" xfId="0" applyAlignment="1" applyBorder="1" applyFont="1" applyNumberFormat="1">
      <alignment horizontal="center" readingOrder="0"/>
    </xf>
    <xf borderId="64" fillId="0" fontId="43" numFmtId="172" xfId="0" applyAlignment="1" applyBorder="1" applyFont="1" applyNumberFormat="1">
      <alignment horizontal="center" readingOrder="0"/>
    </xf>
    <xf borderId="64" fillId="0" fontId="13" numFmtId="170" xfId="0" applyAlignment="1" applyBorder="1" applyFont="1" applyNumberFormat="1">
      <alignment horizontal="center" readingOrder="0" shrinkToFit="0" wrapText="0"/>
    </xf>
    <xf borderId="66" fillId="0" fontId="11" numFmtId="0" xfId="0" applyAlignment="1" applyBorder="1" applyFont="1">
      <alignment horizontal="center" readingOrder="0" shrinkToFit="0" wrapText="0"/>
    </xf>
    <xf borderId="64" fillId="0" fontId="13" numFmtId="0" xfId="0" applyAlignment="1" applyBorder="1" applyFont="1">
      <alignment horizontal="center" readingOrder="0" shrinkToFit="0" wrapText="0"/>
    </xf>
    <xf borderId="67" fillId="0" fontId="11" numFmtId="0" xfId="0" applyAlignment="1" applyBorder="1" applyFont="1">
      <alignment horizontal="center" readingOrder="0" shrinkToFit="0" wrapText="0"/>
    </xf>
    <xf borderId="64" fillId="0" fontId="44" numFmtId="0" xfId="0" applyAlignment="1" applyBorder="1" applyFont="1">
      <alignment horizontal="center" readingOrder="0" shrinkToFit="0" wrapText="0"/>
    </xf>
    <xf borderId="68" fillId="0" fontId="13" numFmtId="0" xfId="0" applyAlignment="1" applyBorder="1" applyFont="1">
      <alignment horizontal="center" readingOrder="0" shrinkToFit="0" wrapText="0"/>
    </xf>
    <xf borderId="40" fillId="0" fontId="13" numFmtId="0" xfId="0" applyAlignment="1" applyBorder="1" applyFont="1">
      <alignment horizontal="center" readingOrder="0" shrinkToFit="0" wrapText="0"/>
    </xf>
    <xf borderId="64" fillId="0" fontId="39" numFmtId="49" xfId="0" applyAlignment="1" applyBorder="1" applyFont="1" applyNumberFormat="1">
      <alignment horizontal="center"/>
    </xf>
    <xf borderId="64" fillId="0" fontId="2" numFmtId="0" xfId="0" applyAlignment="1" applyBorder="1" applyFont="1">
      <alignment horizontal="center" readingOrder="0"/>
    </xf>
    <xf borderId="68" fillId="0" fontId="27" numFmtId="0" xfId="0" applyAlignment="1" applyBorder="1" applyFont="1">
      <alignment horizontal="center" readingOrder="0"/>
    </xf>
    <xf borderId="64" fillId="0" fontId="27" numFmtId="172" xfId="0" applyAlignment="1" applyBorder="1" applyFont="1" applyNumberFormat="1">
      <alignment horizontal="center" readingOrder="0" shrinkToFit="0" vertical="center" wrapText="1"/>
    </xf>
    <xf borderId="66" fillId="0" fontId="27" numFmtId="46" xfId="0" applyAlignment="1" applyBorder="1" applyFont="1" applyNumberFormat="1">
      <alignment horizontal="center"/>
    </xf>
    <xf borderId="64" fillId="0" fontId="27" numFmtId="4" xfId="0" applyAlignment="1" applyBorder="1" applyFont="1" applyNumberFormat="1">
      <alignment horizontal="center" readingOrder="0" shrinkToFit="0" vertical="center" wrapText="1"/>
    </xf>
    <xf borderId="65" fillId="0" fontId="27" numFmtId="4" xfId="0" applyAlignment="1" applyBorder="1" applyFont="1" applyNumberFormat="1">
      <alignment horizontal="center"/>
    </xf>
    <xf borderId="67" fillId="0" fontId="39" numFmtId="0" xfId="0" applyAlignment="1" applyBorder="1" applyFont="1">
      <alignment horizontal="center" readingOrder="0"/>
    </xf>
    <xf borderId="70" fillId="0" fontId="39" numFmtId="0" xfId="0" applyAlignment="1" applyBorder="1" applyFont="1">
      <alignment horizontal="center" readingOrder="0"/>
    </xf>
    <xf borderId="66" fillId="0" fontId="39" numFmtId="0" xfId="0" applyAlignment="1" applyBorder="1" applyFont="1">
      <alignment horizontal="center" readingOrder="0"/>
    </xf>
    <xf borderId="0" fillId="0" fontId="2" numFmtId="172" xfId="0" applyAlignment="1" applyFont="1" applyNumberFormat="1">
      <alignment readingOrder="0"/>
    </xf>
    <xf borderId="21" fillId="0" fontId="10" numFmtId="0" xfId="0" applyAlignment="1" applyBorder="1" applyFont="1">
      <alignment readingOrder="0" shrinkToFit="0" vertical="top" wrapText="1"/>
    </xf>
    <xf borderId="2" fillId="0" fontId="2" numFmtId="0" xfId="0" applyAlignment="1" applyBorder="1" applyFont="1">
      <alignment horizontal="center" readingOrder="0"/>
    </xf>
    <xf borderId="19" fillId="0" fontId="19" numFmtId="0" xfId="0" applyBorder="1" applyFont="1"/>
    <xf borderId="10" fillId="0" fontId="13" numFmtId="49" xfId="0" applyAlignment="1" applyBorder="1" applyFont="1" applyNumberFormat="1">
      <alignment horizontal="center" readingOrder="0" shrinkToFit="0" wrapText="0"/>
    </xf>
    <xf borderId="31" fillId="0" fontId="2" numFmtId="0" xfId="0" applyAlignment="1" applyBorder="1" applyFont="1">
      <alignment readingOrder="0"/>
    </xf>
    <xf borderId="25" fillId="0" fontId="2" numFmtId="0" xfId="0" applyAlignment="1" applyBorder="1" applyFont="1">
      <alignment readingOrder="0"/>
    </xf>
    <xf borderId="12" fillId="0" fontId="10" numFmtId="0" xfId="0" applyAlignment="1" applyBorder="1" applyFont="1">
      <alignment readingOrder="0" shrinkToFit="0" vertical="top" wrapText="1"/>
    </xf>
    <xf borderId="72" fillId="0" fontId="19" numFmtId="0" xfId="0" applyBorder="1" applyFont="1"/>
    <xf borderId="10" fillId="0" fontId="10" numFmtId="0" xfId="0" applyAlignment="1" applyBorder="1" applyFont="1">
      <alignment readingOrder="0" shrinkToFit="0" vertical="top" wrapText="1"/>
    </xf>
    <xf borderId="1" fillId="0" fontId="27" numFmtId="0" xfId="0" applyAlignment="1" applyBorder="1" applyFont="1">
      <alignment horizontal="center" readingOrder="0" shrinkToFit="0" vertical="center" wrapText="1"/>
    </xf>
    <xf borderId="0" fillId="0" fontId="43" numFmtId="4" xfId="0" applyAlignment="1" applyFont="1" applyNumberFormat="1">
      <alignment horizontal="center" readingOrder="0" shrinkToFit="0" wrapText="0"/>
    </xf>
    <xf borderId="20" fillId="0" fontId="47" numFmtId="0" xfId="0" applyAlignment="1" applyBorder="1" applyFont="1">
      <alignment horizontal="center" readingOrder="0"/>
    </xf>
    <xf borderId="1" fillId="0" fontId="43" numFmtId="4" xfId="0" applyAlignment="1" applyBorder="1" applyFont="1" applyNumberFormat="1">
      <alignment horizontal="center" readingOrder="0" shrinkToFit="0" wrapText="0"/>
    </xf>
    <xf borderId="12" fillId="0" fontId="44" numFmtId="0" xfId="0" applyAlignment="1" applyBorder="1" applyFont="1">
      <alignment horizontal="center" readingOrder="0" shrinkToFit="0" wrapText="0"/>
    </xf>
    <xf borderId="42" fillId="0" fontId="44" numFmtId="0" xfId="0" applyAlignment="1" applyBorder="1" applyFont="1">
      <alignment horizontal="center" readingOrder="0" shrinkToFit="0" wrapText="0"/>
    </xf>
    <xf borderId="0" fillId="0" fontId="13" numFmtId="172" xfId="0" applyAlignment="1" applyFont="1" applyNumberFormat="1">
      <alignment horizontal="center" readingOrder="0" shrinkToFit="0" wrapText="0"/>
    </xf>
    <xf borderId="1" fillId="0" fontId="13" numFmtId="172" xfId="0" applyAlignment="1" applyBorder="1" applyFont="1" applyNumberFormat="1">
      <alignment horizontal="center" readingOrder="0" shrinkToFit="0" wrapText="0"/>
    </xf>
    <xf borderId="101" fillId="0" fontId="19" numFmtId="0" xfId="0" applyBorder="1" applyFont="1"/>
    <xf borderId="102" fillId="0" fontId="11" numFmtId="0" xfId="0" applyAlignment="1" applyBorder="1" applyFont="1">
      <alignment horizontal="center" readingOrder="0" shrinkToFit="0" wrapText="0"/>
    </xf>
    <xf borderId="102" fillId="0" fontId="43" numFmtId="169" xfId="0" applyAlignment="1" applyBorder="1" applyFont="1" applyNumberFormat="1">
      <alignment horizontal="center" readingOrder="0" shrinkToFit="0" wrapText="0"/>
    </xf>
    <xf borderId="102" fillId="0" fontId="11" numFmtId="0" xfId="0" applyAlignment="1" applyBorder="1" applyFont="1">
      <alignment horizontal="center" shrinkToFit="0" wrapText="0"/>
    </xf>
    <xf borderId="102" fillId="0" fontId="43" numFmtId="0" xfId="0" applyAlignment="1" applyBorder="1" applyFont="1">
      <alignment horizontal="center" shrinkToFit="0" wrapText="0"/>
    </xf>
    <xf borderId="103" fillId="0" fontId="11" numFmtId="0" xfId="0" applyAlignment="1" applyBorder="1" applyFont="1">
      <alignment horizontal="center" readingOrder="0"/>
    </xf>
    <xf borderId="102" fillId="0" fontId="43" numFmtId="170" xfId="0" applyAlignment="1" applyBorder="1" applyFont="1" applyNumberFormat="1">
      <alignment horizontal="center" readingOrder="0"/>
    </xf>
    <xf borderId="102" fillId="0" fontId="43" numFmtId="170" xfId="0" applyAlignment="1" applyBorder="1" applyFont="1" applyNumberFormat="1">
      <alignment horizontal="center"/>
    </xf>
    <xf borderId="102" fillId="0" fontId="43" numFmtId="172" xfId="0" applyAlignment="1" applyBorder="1" applyFont="1" applyNumberFormat="1">
      <alignment horizontal="center"/>
    </xf>
    <xf borderId="102" fillId="0" fontId="43" numFmtId="172" xfId="0" applyAlignment="1" applyBorder="1" applyFont="1" applyNumberFormat="1">
      <alignment horizontal="center" readingOrder="0"/>
    </xf>
    <xf borderId="102" fillId="0" fontId="13" numFmtId="170" xfId="0" applyAlignment="1" applyBorder="1" applyFont="1" applyNumberFormat="1">
      <alignment horizontal="center" readingOrder="0" shrinkToFit="0" wrapText="0"/>
    </xf>
    <xf borderId="103" fillId="0" fontId="11" numFmtId="0" xfId="0" applyAlignment="1" applyBorder="1" applyFont="1">
      <alignment horizontal="center" readingOrder="0" shrinkToFit="0" wrapText="0"/>
    </xf>
    <xf borderId="102" fillId="0" fontId="13" numFmtId="0" xfId="0" applyAlignment="1" applyBorder="1" applyFont="1">
      <alignment horizontal="center" shrinkToFit="0" wrapText="0"/>
    </xf>
    <xf borderId="102" fillId="0" fontId="13" numFmtId="0" xfId="0" applyAlignment="1" applyBorder="1" applyFont="1">
      <alignment horizontal="center" readingOrder="0" shrinkToFit="0" wrapText="0"/>
    </xf>
    <xf borderId="102" fillId="0" fontId="13" numFmtId="0" xfId="0" applyAlignment="1" applyBorder="1" applyFont="1">
      <alignment horizontal="center" shrinkToFit="0" wrapText="0"/>
    </xf>
    <xf borderId="104" fillId="0" fontId="11" numFmtId="175" xfId="0" applyAlignment="1" applyBorder="1" applyFont="1" applyNumberFormat="1">
      <alignment horizontal="center" shrinkToFit="0" wrapText="0"/>
    </xf>
    <xf borderId="103" fillId="0" fontId="11" numFmtId="0" xfId="0" applyAlignment="1" applyBorder="1" applyFont="1">
      <alignment horizontal="center" shrinkToFit="0" wrapText="0"/>
    </xf>
    <xf borderId="102" fillId="0" fontId="43" numFmtId="0" xfId="0" applyAlignment="1" applyBorder="1" applyFont="1">
      <alignment horizontal="center" readingOrder="0" shrinkToFit="0" wrapText="0"/>
    </xf>
    <xf borderId="102" fillId="0" fontId="44" numFmtId="0" xfId="0" applyAlignment="1" applyBorder="1" applyFont="1">
      <alignment horizontal="center" readingOrder="0" shrinkToFit="0" wrapText="0"/>
    </xf>
    <xf borderId="101" fillId="0" fontId="13" numFmtId="0" xfId="0" applyAlignment="1" applyBorder="1" applyFont="1">
      <alignment horizontal="center" readingOrder="0" shrinkToFit="0" wrapText="0"/>
    </xf>
    <xf borderId="44" fillId="0" fontId="13" numFmtId="0" xfId="0" applyAlignment="1" applyBorder="1" applyFont="1">
      <alignment horizontal="center" readingOrder="0" shrinkToFit="0" wrapText="0"/>
    </xf>
    <xf borderId="102" fillId="0" fontId="39" numFmtId="49" xfId="0" applyAlignment="1" applyBorder="1" applyFont="1" applyNumberFormat="1">
      <alignment horizontal="center"/>
    </xf>
    <xf borderId="102" fillId="0" fontId="2" numFmtId="0" xfId="0" applyAlignment="1" applyBorder="1" applyFont="1">
      <alignment horizontal="center" readingOrder="0"/>
    </xf>
    <xf borderId="104" fillId="0" fontId="27" numFmtId="4" xfId="0" applyAlignment="1" applyBorder="1" applyFont="1" applyNumberFormat="1">
      <alignment horizontal="center"/>
    </xf>
    <xf borderId="102" fillId="0" fontId="27" numFmtId="4" xfId="0" applyAlignment="1" applyBorder="1" applyFont="1" applyNumberFormat="1">
      <alignment horizontal="center"/>
    </xf>
    <xf borderId="103" fillId="0" fontId="27" numFmtId="4" xfId="0" applyAlignment="1" applyBorder="1" applyFont="1" applyNumberFormat="1">
      <alignment horizontal="center"/>
    </xf>
    <xf borderId="101" fillId="0" fontId="27" numFmtId="0" xfId="0" applyAlignment="1" applyBorder="1" applyFont="1">
      <alignment horizontal="center" readingOrder="0"/>
    </xf>
    <xf borderId="102" fillId="0" fontId="27" numFmtId="0" xfId="0" applyAlignment="1" applyBorder="1" applyFont="1">
      <alignment horizontal="center" readingOrder="0"/>
    </xf>
    <xf borderId="102" fillId="0" fontId="27" numFmtId="172" xfId="0" applyAlignment="1" applyBorder="1" applyFont="1" applyNumberFormat="1">
      <alignment horizontal="center" readingOrder="0" shrinkToFit="0" vertical="center" wrapText="1"/>
    </xf>
    <xf borderId="103" fillId="0" fontId="27" numFmtId="46" xfId="0" applyAlignment="1" applyBorder="1" applyFont="1" applyNumberFormat="1">
      <alignment horizontal="center"/>
    </xf>
    <xf borderId="102" fillId="0" fontId="27" numFmtId="4" xfId="0" applyAlignment="1" applyBorder="1" applyFont="1" applyNumberFormat="1">
      <alignment horizontal="center" readingOrder="0" shrinkToFit="0" vertical="center" wrapText="1"/>
    </xf>
    <xf borderId="105" fillId="0" fontId="27" numFmtId="0" xfId="0" applyAlignment="1" applyBorder="1" applyFont="1">
      <alignment horizontal="center" readingOrder="0"/>
    </xf>
    <xf borderId="105" fillId="0" fontId="27" numFmtId="4" xfId="0" applyAlignment="1" applyBorder="1" applyFont="1" applyNumberFormat="1">
      <alignment horizontal="center"/>
    </xf>
    <xf borderId="106" fillId="0" fontId="39" numFmtId="0" xfId="0" applyAlignment="1" applyBorder="1" applyFont="1">
      <alignment horizontal="center" readingOrder="0"/>
    </xf>
    <xf borderId="103" fillId="0" fontId="39" numFmtId="0" xfId="0" applyAlignment="1" applyBorder="1" applyFont="1">
      <alignment horizontal="center" readingOrder="0"/>
    </xf>
    <xf borderId="0" fillId="0" fontId="43" numFmtId="10" xfId="0" applyAlignment="1" applyFont="1" applyNumberFormat="1">
      <alignment horizontal="center" readingOrder="0" shrinkToFit="0" wrapText="0"/>
    </xf>
    <xf borderId="0" fillId="0" fontId="43" numFmtId="169" xfId="0" applyAlignment="1" applyFont="1" applyNumberFormat="1">
      <alignment horizontal="center" readingOrder="0" shrinkToFit="0" wrapText="0"/>
    </xf>
    <xf borderId="1" fillId="0" fontId="43" numFmtId="169" xfId="0" applyAlignment="1" applyBorder="1" applyFont="1" applyNumberFormat="1">
      <alignment horizontal="center" readingOrder="0" shrinkToFit="0" wrapText="0"/>
    </xf>
    <xf borderId="0" fillId="0" fontId="43" numFmtId="0" xfId="0" applyAlignment="1" applyFont="1">
      <alignment horizontal="center" readingOrder="0"/>
    </xf>
    <xf borderId="1" fillId="0" fontId="43" numFmtId="10" xfId="0" applyAlignment="1" applyBorder="1" applyFont="1" applyNumberFormat="1">
      <alignment horizontal="center" readingOrder="0" shrinkToFit="0" wrapText="0"/>
    </xf>
    <xf borderId="72" fillId="0" fontId="10" numFmtId="0" xfId="0" applyAlignment="1" applyBorder="1" applyFont="1">
      <alignment readingOrder="0" shrinkToFit="0" vertical="top" wrapText="1"/>
    </xf>
    <xf borderId="1" fillId="0" fontId="43" numFmtId="0" xfId="0" applyAlignment="1" applyBorder="1" applyFont="1">
      <alignment horizontal="center" readingOrder="0"/>
    </xf>
    <xf borderId="107" fillId="2" fontId="23" numFmtId="0" xfId="0" applyAlignment="1" applyBorder="1" applyFont="1">
      <alignment horizontal="center" readingOrder="0" vertical="bottom"/>
    </xf>
    <xf borderId="108" fillId="2" fontId="23" numFmtId="0" xfId="0" applyAlignment="1" applyBorder="1" applyFont="1">
      <alignment horizontal="center" readingOrder="0" vertical="bottom"/>
    </xf>
    <xf borderId="108" fillId="0" fontId="19" numFmtId="0" xfId="0" applyBorder="1" applyFont="1"/>
    <xf borderId="109" fillId="2" fontId="23" numFmtId="0" xfId="0" applyAlignment="1" applyBorder="1" applyFont="1">
      <alignment horizontal="center" readingOrder="0" vertical="bottom"/>
    </xf>
    <xf borderId="110" fillId="0" fontId="19" numFmtId="0" xfId="0" applyBorder="1" applyFont="1"/>
    <xf borderId="54" fillId="2" fontId="48" numFmtId="0" xfId="0" applyAlignment="1" applyBorder="1" applyFont="1">
      <alignment horizontal="center" readingOrder="0" shrinkToFit="0" vertical="bottom" wrapText="1"/>
    </xf>
    <xf borderId="15" fillId="2" fontId="23" numFmtId="0" xfId="0" applyAlignment="1" applyBorder="1" applyFont="1">
      <alignment horizontal="center" readingOrder="0" vertical="bottom"/>
    </xf>
    <xf borderId="0" fillId="0" fontId="49" numFmtId="0" xfId="0" applyFont="1"/>
    <xf borderId="60" fillId="2" fontId="23" numFmtId="0" xfId="0" applyAlignment="1" applyBorder="1" applyFont="1">
      <alignment horizontal="center" readingOrder="0" shrinkToFit="0" vertical="bottom" wrapText="1"/>
    </xf>
    <xf borderId="16" fillId="2" fontId="23" numFmtId="164" xfId="0" applyAlignment="1" applyBorder="1" applyFont="1" applyNumberFormat="1">
      <alignment horizontal="center" readingOrder="0" shrinkToFit="0" vertical="bottom" wrapText="1"/>
    </xf>
    <xf borderId="1" fillId="2" fontId="23" numFmtId="164" xfId="0" applyAlignment="1" applyBorder="1" applyFont="1" applyNumberFormat="1">
      <alignment horizontal="center" readingOrder="0" shrinkToFit="0" vertical="bottom" wrapText="1"/>
    </xf>
    <xf borderId="0" fillId="2" fontId="23" numFmtId="179" xfId="0" applyAlignment="1" applyFont="1" applyNumberFormat="1">
      <alignment horizontal="center" readingOrder="0" vertical="bottom"/>
    </xf>
    <xf borderId="0" fillId="2" fontId="50" numFmtId="179" xfId="0" applyAlignment="1" applyFont="1" applyNumberFormat="1">
      <alignment horizontal="center" readingOrder="0" shrinkToFit="0" vertical="bottom" wrapText="1"/>
    </xf>
    <xf borderId="19" fillId="2" fontId="48" numFmtId="0" xfId="0" applyAlignment="1" applyBorder="1" applyFont="1">
      <alignment horizontal="center" shrinkToFit="0" vertical="bottom" wrapText="1"/>
    </xf>
    <xf borderId="17" fillId="2" fontId="48" numFmtId="0" xfId="0" applyAlignment="1" applyBorder="1" applyFont="1">
      <alignment horizontal="center" readingOrder="0" shrinkToFit="0" vertical="bottom" wrapText="1"/>
    </xf>
    <xf borderId="72" fillId="2" fontId="23" numFmtId="0" xfId="0" applyAlignment="1" applyBorder="1" applyFont="1">
      <alignment horizontal="center" readingOrder="0" vertical="bottom"/>
    </xf>
    <xf borderId="60" fillId="0" fontId="51" numFmtId="0" xfId="0" applyAlignment="1" applyBorder="1" applyFont="1">
      <alignment horizontal="center" readingOrder="0" shrinkToFit="0" vertical="bottom" wrapText="1"/>
    </xf>
    <xf borderId="24" fillId="0" fontId="51" numFmtId="0" xfId="0" applyAlignment="1" applyBorder="1" applyFont="1">
      <alignment horizontal="center" readingOrder="0" shrinkToFit="0" vertical="bottom" wrapText="1"/>
    </xf>
    <xf borderId="18" fillId="0" fontId="51" numFmtId="0" xfId="0" applyAlignment="1" applyBorder="1" applyFont="1">
      <alignment horizontal="center" readingOrder="0" shrinkToFit="0" vertical="bottom" wrapText="1"/>
    </xf>
    <xf borderId="23" fillId="0" fontId="51" numFmtId="0" xfId="0" applyAlignment="1" applyBorder="1" applyFont="1">
      <alignment horizontal="center" shrinkToFit="0" vertical="bottom" wrapText="1"/>
    </xf>
    <xf borderId="23" fillId="0" fontId="52" numFmtId="0" xfId="0" applyAlignment="1" applyBorder="1" applyFont="1">
      <alignment horizontal="center" readingOrder="0" shrinkToFit="0" vertical="bottom" wrapText="1"/>
    </xf>
    <xf borderId="23" fillId="0" fontId="51" numFmtId="0" xfId="0" applyAlignment="1" applyBorder="1" applyFont="1">
      <alignment horizontal="center" readingOrder="0" shrinkToFit="0" vertical="bottom" wrapText="1"/>
    </xf>
    <xf borderId="23" fillId="0" fontId="50" numFmtId="0" xfId="0" applyAlignment="1" applyBorder="1" applyFont="1">
      <alignment horizontal="right" readingOrder="0" shrinkToFit="0" vertical="bottom" wrapText="1"/>
    </xf>
    <xf borderId="8" fillId="0" fontId="50" numFmtId="0" xfId="0" applyAlignment="1" applyBorder="1" applyFont="1">
      <alignment horizontal="right" readingOrder="0" shrinkToFit="0" vertical="bottom" wrapText="1"/>
    </xf>
    <xf borderId="17" fillId="0" fontId="50" numFmtId="0" xfId="0" applyAlignment="1" applyBorder="1" applyFont="1">
      <alignment horizontal="right" readingOrder="0" shrinkToFit="0" vertical="bottom" wrapText="1"/>
    </xf>
    <xf borderId="17" fillId="0" fontId="51" numFmtId="0" xfId="0" applyAlignment="1" applyBorder="1" applyFont="1">
      <alignment horizontal="right" readingOrder="0" shrinkToFit="0" vertical="bottom" wrapText="1"/>
    </xf>
    <xf borderId="12" fillId="0" fontId="51" numFmtId="0" xfId="0" applyAlignment="1" applyBorder="1" applyFont="1">
      <alignment horizontal="right" readingOrder="0" shrinkToFit="0" vertical="bottom" wrapText="1"/>
    </xf>
    <xf borderId="73" fillId="0" fontId="51" numFmtId="0" xfId="0" applyAlignment="1" applyBorder="1" applyFont="1">
      <alignment horizontal="center" readingOrder="0" shrinkToFit="0" vertical="bottom" wrapText="1"/>
    </xf>
    <xf borderId="18" fillId="0" fontId="52" numFmtId="0" xfId="0" applyAlignment="1" applyBorder="1" applyFont="1">
      <alignment horizontal="center" readingOrder="0" shrinkToFit="0" vertical="bottom" wrapText="1"/>
    </xf>
    <xf borderId="18" fillId="0" fontId="53" numFmtId="0" xfId="0" applyAlignment="1" applyBorder="1" applyFont="1">
      <alignment horizontal="center" readingOrder="0" shrinkToFit="0" vertical="bottom" wrapText="1"/>
    </xf>
    <xf borderId="23" fillId="0" fontId="51" numFmtId="0" xfId="0" applyAlignment="1" applyBorder="1" applyFont="1">
      <alignment horizontal="right" readingOrder="0" shrinkToFit="0" vertical="bottom" wrapText="1"/>
    </xf>
    <xf borderId="74" fillId="0" fontId="51" numFmtId="0" xfId="0" applyAlignment="1" applyBorder="1" applyFont="1">
      <alignment horizontal="right" readingOrder="0" shrinkToFit="0" vertical="bottom" wrapText="1"/>
    </xf>
    <xf borderId="18" fillId="0" fontId="54" numFmtId="0" xfId="0" applyAlignment="1" applyBorder="1" applyFont="1">
      <alignment horizontal="center" readingOrder="0" shrinkToFit="0" vertical="bottom" wrapText="1"/>
    </xf>
    <xf borderId="23" fillId="0" fontId="50" numFmtId="0" xfId="0" applyAlignment="1" applyBorder="1" applyFont="1">
      <alignment horizontal="right" shrinkToFit="0" vertical="bottom" wrapText="1"/>
    </xf>
    <xf borderId="24" fillId="0" fontId="54" numFmtId="0" xfId="0" applyAlignment="1" applyBorder="1" applyFont="1">
      <alignment horizontal="center" readingOrder="0" shrinkToFit="0" wrapText="1"/>
    </xf>
    <xf borderId="18" fillId="0" fontId="54" numFmtId="0" xfId="0" applyAlignment="1" applyBorder="1" applyFont="1">
      <alignment horizontal="center" readingOrder="0" shrinkToFit="0" wrapText="1"/>
    </xf>
    <xf borderId="23" fillId="0" fontId="54" numFmtId="0" xfId="0" applyAlignment="1" applyBorder="1" applyFont="1">
      <alignment horizontal="center" readingOrder="0" shrinkToFit="0" wrapText="1"/>
    </xf>
    <xf borderId="23" fillId="0" fontId="23" numFmtId="0" xfId="0" applyAlignment="1" applyBorder="1" applyFont="1">
      <alignment horizontal="right" readingOrder="0" shrinkToFit="0" wrapText="1"/>
    </xf>
    <xf borderId="8" fillId="0" fontId="23" numFmtId="0" xfId="0" applyAlignment="1" applyBorder="1" applyFont="1">
      <alignment horizontal="right" readingOrder="0" shrinkToFit="0" wrapText="1"/>
    </xf>
    <xf borderId="23" fillId="0" fontId="54" numFmtId="0" xfId="0" applyAlignment="1" applyBorder="1" applyFont="1">
      <alignment horizontal="right" readingOrder="0" shrinkToFit="0" wrapText="1"/>
    </xf>
    <xf borderId="74" fillId="0" fontId="54" numFmtId="0" xfId="0" applyAlignment="1" applyBorder="1" applyFont="1">
      <alignment horizontal="right" readingOrder="0" shrinkToFit="0" wrapText="1"/>
    </xf>
    <xf borderId="54" fillId="0" fontId="53" numFmtId="0" xfId="0" applyAlignment="1" applyBorder="1" applyFont="1">
      <alignment horizontal="center" readingOrder="0"/>
    </xf>
    <xf borderId="14" fillId="0" fontId="53" numFmtId="0" xfId="0" applyBorder="1" applyFont="1"/>
    <xf borderId="111" fillId="0" fontId="53" numFmtId="0" xfId="0" applyBorder="1" applyFont="1"/>
    <xf borderId="111" fillId="0" fontId="53" numFmtId="0" xfId="0" applyAlignment="1" applyBorder="1" applyFont="1">
      <alignment horizontal="center" readingOrder="0"/>
    </xf>
    <xf borderId="111" fillId="0" fontId="55" numFmtId="0" xfId="0" applyAlignment="1" applyBorder="1" applyFont="1">
      <alignment readingOrder="0"/>
    </xf>
    <xf borderId="54" fillId="0" fontId="55" numFmtId="0" xfId="0" applyAlignment="1" applyBorder="1" applyFont="1">
      <alignment readingOrder="0"/>
    </xf>
    <xf borderId="54" fillId="0" fontId="53" numFmtId="0" xfId="0" applyAlignment="1" applyBorder="1" applyFont="1">
      <alignment readingOrder="0"/>
    </xf>
    <xf borderId="15" fillId="0" fontId="52" numFmtId="0" xfId="0" applyAlignment="1" applyBorder="1" applyFont="1">
      <alignment horizontal="right" readingOrder="0"/>
    </xf>
    <xf borderId="0" fillId="0" fontId="53" numFmtId="0" xfId="0" applyFont="1"/>
    <xf borderId="0" fillId="0" fontId="8" numFmtId="0" xfId="0" applyAlignment="1" applyFont="1">
      <alignment vertical="bottom"/>
    </xf>
    <xf borderId="0" fillId="0" fontId="52" numFmtId="0" xfId="0" applyAlignment="1" applyFont="1">
      <alignment horizontal="right" readingOrder="0" shrinkToFit="0" wrapText="1"/>
    </xf>
    <xf borderId="0" fillId="0" fontId="55" numFmtId="0" xfId="0" applyAlignment="1" applyFont="1">
      <alignment readingOrder="0"/>
    </xf>
    <xf borderId="110" fillId="2" fontId="48" numFmtId="0" xfId="0" applyAlignment="1" applyBorder="1" applyFont="1">
      <alignment horizontal="center" readingOrder="0" shrinkToFit="0" vertical="bottom" wrapText="1"/>
    </xf>
    <xf borderId="112" fillId="2" fontId="23" numFmtId="0" xfId="0" applyAlignment="1" applyBorder="1" applyFont="1">
      <alignment horizontal="center" readingOrder="0" vertical="bottom"/>
    </xf>
    <xf borderId="0" fillId="2" fontId="50" numFmtId="0" xfId="0" applyAlignment="1" applyFont="1">
      <alignment horizontal="center" readingOrder="0" shrinkToFit="0" vertical="bottom" wrapText="1"/>
    </xf>
    <xf borderId="8" fillId="0" fontId="55" numFmtId="0" xfId="0" applyAlignment="1" applyBorder="1" applyFont="1">
      <alignment horizontal="right" readingOrder="0" shrinkToFit="0" vertical="bottom" wrapText="1"/>
    </xf>
    <xf borderId="23" fillId="0" fontId="55" numFmtId="0" xfId="0" applyAlignment="1" applyBorder="1" applyFont="1">
      <alignment horizontal="right" readingOrder="0" shrinkToFit="0" vertical="bottom" wrapText="1"/>
    </xf>
    <xf borderId="14" fillId="2" fontId="1" numFmtId="0" xfId="0" applyAlignment="1" applyBorder="1" applyFont="1">
      <alignment readingOrder="0"/>
    </xf>
    <xf borderId="1" fillId="2" fontId="1" numFmtId="0" xfId="0" applyAlignment="1" applyBorder="1" applyFont="1">
      <alignment horizontal="center" readingOrder="0"/>
    </xf>
    <xf borderId="113" fillId="0" fontId="56" numFmtId="0" xfId="0" applyAlignment="1" applyBorder="1" applyFont="1">
      <alignment vertical="bottom"/>
    </xf>
    <xf borderId="113" fillId="0" fontId="56" numFmtId="0" xfId="0" applyAlignment="1" applyBorder="1" applyFont="1">
      <alignment horizontal="center" readingOrder="0" vertical="bottom"/>
    </xf>
    <xf borderId="107" fillId="0" fontId="56" numFmtId="0" xfId="0" applyAlignment="1" applyBorder="1" applyFont="1">
      <alignment horizontal="center" vertical="bottom"/>
    </xf>
    <xf borderId="112" fillId="0" fontId="19" numFmtId="0" xfId="0" applyBorder="1" applyFont="1"/>
    <xf borderId="114" fillId="0" fontId="57" numFmtId="0" xfId="0" applyAlignment="1" applyBorder="1" applyFont="1">
      <alignment horizontal="center" readingOrder="0"/>
    </xf>
    <xf borderId="0" fillId="0" fontId="2" numFmtId="169" xfId="0" applyAlignment="1" applyFont="1" applyNumberFormat="1">
      <alignment readingOrder="0"/>
    </xf>
    <xf borderId="0" fillId="0" fontId="2" numFmtId="173" xfId="0" applyAlignment="1" applyFont="1" applyNumberFormat="1">
      <alignment readingOrder="0"/>
    </xf>
    <xf borderId="115" fillId="0" fontId="19" numFmtId="0" xfId="0" applyBorder="1" applyFont="1"/>
    <xf borderId="116" fillId="0" fontId="56" numFmtId="0" xfId="0" applyAlignment="1" applyBorder="1" applyFont="1">
      <alignment horizontal="center" vertical="bottom"/>
    </xf>
    <xf borderId="112" fillId="0" fontId="56" numFmtId="0" xfId="0" applyAlignment="1" applyBorder="1" applyFont="1">
      <alignment horizontal="center" vertical="bottom"/>
    </xf>
    <xf borderId="117" fillId="0" fontId="58" numFmtId="0" xfId="0" applyAlignment="1" applyBorder="1" applyFont="1">
      <alignment horizontal="left" readingOrder="0"/>
    </xf>
    <xf borderId="117" fillId="0" fontId="58" numFmtId="0" xfId="0" applyAlignment="1" applyBorder="1" applyFont="1">
      <alignment horizontal="center" readingOrder="0"/>
    </xf>
    <xf borderId="48" fillId="0" fontId="58" numFmtId="0" xfId="0" applyAlignment="1" applyBorder="1" applyFont="1">
      <alignment horizontal="center" readingOrder="0"/>
    </xf>
    <xf borderId="117" fillId="0" fontId="58" numFmtId="0" xfId="0" applyAlignment="1" applyBorder="1" applyFont="1">
      <alignment horizontal="center"/>
    </xf>
    <xf borderId="114" fillId="0" fontId="58" numFmtId="0" xfId="0" applyAlignment="1" applyBorder="1" applyFont="1">
      <alignment horizontal="left" readingOrder="0"/>
    </xf>
    <xf borderId="114" fillId="0" fontId="58" numFmtId="0" xfId="0" applyAlignment="1" applyBorder="1" applyFont="1">
      <alignment horizontal="center" readingOrder="0"/>
    </xf>
    <xf borderId="73" fillId="0" fontId="58" numFmtId="0" xfId="0" applyAlignment="1" applyBorder="1" applyFont="1">
      <alignment horizontal="center" readingOrder="0"/>
    </xf>
    <xf borderId="114" fillId="0" fontId="58" numFmtId="0" xfId="0" applyAlignment="1" applyBorder="1" applyFont="1">
      <alignment horizontal="center"/>
    </xf>
    <xf borderId="118" fillId="0" fontId="58" numFmtId="0" xfId="0" applyAlignment="1" applyBorder="1" applyFont="1">
      <alignment horizontal="left" readingOrder="0"/>
    </xf>
    <xf borderId="118" fillId="0" fontId="58" numFmtId="0" xfId="0" applyAlignment="1" applyBorder="1" applyFont="1">
      <alignment horizontal="center" readingOrder="0"/>
    </xf>
    <xf borderId="60" fillId="0" fontId="58" numFmtId="0" xfId="0" applyAlignment="1" applyBorder="1" applyFont="1">
      <alignment horizontal="center" readingOrder="0"/>
    </xf>
    <xf borderId="114" fillId="0" fontId="58" numFmtId="0" xfId="0" applyAlignment="1" applyBorder="1" applyFont="1">
      <alignment readingOrder="0" vertical="bottom"/>
    </xf>
    <xf borderId="1" fillId="0" fontId="2" numFmtId="0" xfId="0" applyAlignment="1" applyBorder="1" applyFont="1">
      <alignment readingOrder="0"/>
    </xf>
    <xf borderId="0" fillId="0" fontId="2" numFmtId="180" xfId="0" applyAlignment="1" applyFont="1" applyNumberFormat="1">
      <alignment readingOrder="0"/>
    </xf>
    <xf borderId="2" fillId="0" fontId="2" numFmtId="173" xfId="0" applyAlignment="1" applyBorder="1" applyFont="1" applyNumberFormat="1">
      <alignment readingOrder="0"/>
    </xf>
    <xf borderId="2" fillId="0" fontId="2" numFmtId="0" xfId="0" applyAlignment="1" applyBorder="1" applyFont="1">
      <alignment readingOrder="0"/>
    </xf>
    <xf borderId="119" fillId="0" fontId="57" numFmtId="0" xfId="0" applyAlignment="1" applyBorder="1" applyFont="1">
      <alignment horizontal="center" readingOrder="0"/>
    </xf>
    <xf borderId="0" fillId="0" fontId="2" numFmtId="181" xfId="0" applyAlignment="1" applyFont="1" applyNumberFormat="1">
      <alignment readingOrder="0"/>
    </xf>
    <xf borderId="116" fillId="0" fontId="59" numFmtId="0" xfId="0" applyAlignment="1" applyBorder="1" applyFont="1">
      <alignment readingOrder="0"/>
    </xf>
    <xf borderId="116" fillId="0" fontId="59" numFmtId="0" xfId="0" applyAlignment="1" applyBorder="1" applyFont="1">
      <alignment horizontal="center" readingOrder="0"/>
    </xf>
    <xf borderId="0" fillId="0" fontId="60" numFmtId="0" xfId="0" applyFont="1"/>
    <xf borderId="113" fillId="0" fontId="59" numFmtId="0" xfId="0" applyAlignment="1" applyBorder="1" applyFont="1">
      <alignment readingOrder="0"/>
    </xf>
    <xf borderId="116" fillId="0" fontId="61" numFmtId="0" xfId="0" applyAlignment="1" applyBorder="1" applyFont="1">
      <alignment horizontal="center" readingOrder="0"/>
    </xf>
    <xf borderId="120" fillId="0" fontId="58" numFmtId="0" xfId="0" applyAlignment="1" applyBorder="1" applyFont="1">
      <alignment readingOrder="0" vertical="bottom"/>
    </xf>
    <xf borderId="121" fillId="0" fontId="58" numFmtId="0" xfId="0" applyAlignment="1" applyBorder="1" applyFont="1">
      <alignment vertical="bottom"/>
    </xf>
    <xf borderId="119" fillId="0" fontId="58" numFmtId="0" xfId="0" applyAlignment="1" applyBorder="1" applyFont="1">
      <alignment horizontal="center" readingOrder="0"/>
    </xf>
    <xf borderId="0" fillId="0" fontId="62" numFmtId="0" xfId="0" applyFont="1"/>
    <xf borderId="116" fillId="0" fontId="63" numFmtId="0" xfId="0" applyAlignment="1" applyBorder="1" applyFont="1">
      <alignment horizontal="center"/>
    </xf>
    <xf borderId="0" fillId="0" fontId="64" numFmtId="0" xfId="0" applyAlignment="1" applyFont="1">
      <alignment horizontal="left" readingOrder="0"/>
    </xf>
    <xf borderId="0" fillId="0" fontId="64" numFmtId="0" xfId="0" applyAlignment="1" applyFont="1">
      <alignment horizontal="right" readingOrder="0"/>
    </xf>
    <xf borderId="0" fillId="0" fontId="64" numFmtId="0" xfId="0" applyAlignment="1" applyFont="1">
      <alignment horizontal="left"/>
    </xf>
    <xf borderId="0" fillId="0" fontId="64" numFmtId="0" xfId="0" applyAlignment="1" applyFont="1">
      <alignment horizontal="left"/>
    </xf>
    <xf borderId="0" fillId="0" fontId="2" numFmtId="169" xfId="0" applyFont="1" applyNumberFormat="1"/>
  </cellXfs>
  <cellStyles count="1">
    <cellStyle xfId="0" name="Normal" builtinId="0"/>
  </cellStyles>
  <dxfs count="5">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color rgb="FFFFFFFF"/>
      </font>
      <fill>
        <patternFill patternType="solid">
          <fgColor rgb="FFFF0000"/>
          <bgColor rgb="FFFF0000"/>
        </patternFill>
      </fill>
      <border/>
    </dxf>
    <dxf>
      <font>
        <color rgb="FFCCCCCC"/>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chemeClr val="accent1"/>
              </a:solidFill>
              <a:ln cmpd="sng">
                <a:solidFill>
                  <a:schemeClr val="accent1"/>
                </a:solidFill>
              </a:ln>
            </c:spPr>
          </c:marker>
          <c:xVal>
            <c:numRef>
              <c:f>Tests!$U$4:$U$2015</c:f>
            </c:numRef>
          </c:xVal>
          <c:yVal>
            <c:numRef>
              <c:f>Tests!$BT$4:$BT$1099</c:f>
              <c:numCache/>
            </c:numRef>
          </c:yVal>
        </c:ser>
        <c:ser>
          <c:idx val="1"/>
          <c:order val="1"/>
          <c:spPr>
            <a:ln>
              <a:noFill/>
            </a:ln>
          </c:spPr>
          <c:marker>
            <c:symbol val="circle"/>
            <c:size val="7"/>
            <c:spPr>
              <a:solidFill>
                <a:schemeClr val="accent2"/>
              </a:solidFill>
              <a:ln cmpd="sng">
                <a:solidFill>
                  <a:schemeClr val="accent2"/>
                </a:solidFill>
              </a:ln>
            </c:spPr>
          </c:marker>
          <c:dPt>
            <c:idx val="536"/>
            <c:marker>
              <c:symbol val="none"/>
            </c:marker>
          </c:dPt>
          <c:dPt>
            <c:idx val="541"/>
            <c:marker>
              <c:symbol val="none"/>
            </c:marker>
          </c:dPt>
          <c:xVal>
            <c:numRef>
              <c:f>Tests!$U$4:$U$2015</c:f>
            </c:numRef>
          </c:xVal>
          <c:yVal>
            <c:numRef>
              <c:f>Tests!$BS$4:$BS$1078</c:f>
              <c:numCache/>
            </c:numRef>
          </c:yVal>
        </c:ser>
        <c:dLbls>
          <c:showLegendKey val="0"/>
          <c:showVal val="0"/>
          <c:showCatName val="0"/>
          <c:showSerName val="0"/>
          <c:showPercent val="0"/>
          <c:showBubbleSize val="0"/>
        </c:dLbls>
        <c:axId val="615638599"/>
        <c:axId val="186921784"/>
      </c:scatterChart>
      <c:valAx>
        <c:axId val="6156385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921784"/>
      </c:valAx>
      <c:valAx>
        <c:axId val="1869217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5638599"/>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485775</xdr:colOff>
      <xdr:row>52</xdr:row>
      <xdr:rowOff>180975</xdr:rowOff>
    </xdr:from>
    <xdr:ext cx="5715000" cy="35337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25</xdr:row>
      <xdr:rowOff>38100</xdr:rowOff>
    </xdr:from>
    <xdr:ext cx="7315200" cy="5476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open?id=1Xu0QKgx_nTt5p8hyzvMjdfA0gzwSDLbNsmXvv5AuMp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Wavely/eda-total-leak/blob/ValentinBilot/Data_cleaning/notebooks/tadi_2019_data_cleaning/1_aout_2019_last_leak_analysis.ipynb)"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38"/>
    <col customWidth="1" min="2" max="2" width="25.75"/>
    <col customWidth="1" min="4" max="4" width="37.88"/>
    <col customWidth="1" min="5" max="5" width="77.5"/>
  </cols>
  <sheetData>
    <row r="1">
      <c r="A1" s="1" t="s">
        <v>0</v>
      </c>
      <c r="B1" s="1" t="s">
        <v>1</v>
      </c>
      <c r="C1" s="1" t="s">
        <v>2</v>
      </c>
      <c r="D1" s="1" t="s">
        <v>3</v>
      </c>
      <c r="E1" s="1" t="s">
        <v>4</v>
      </c>
    </row>
    <row r="2">
      <c r="A2" s="2">
        <v>42885.0</v>
      </c>
      <c r="B2" s="3" t="s">
        <v>5</v>
      </c>
      <c r="C2" s="3">
        <v>21.0</v>
      </c>
      <c r="D2" s="4" t="s">
        <v>6</v>
      </c>
    </row>
    <row r="3">
      <c r="A3" s="2">
        <v>42906.0</v>
      </c>
      <c r="B3" s="3" t="s">
        <v>7</v>
      </c>
      <c r="C3" s="3">
        <v>34.0</v>
      </c>
    </row>
    <row r="4">
      <c r="A4" s="5">
        <v>43054.0</v>
      </c>
      <c r="B4" s="3" t="s">
        <v>8</v>
      </c>
      <c r="C4" s="3">
        <v>78.0</v>
      </c>
    </row>
    <row r="5">
      <c r="A5" s="2">
        <v>43202.0</v>
      </c>
      <c r="B5" s="3" t="s">
        <v>9</v>
      </c>
      <c r="C5" s="3">
        <v>17.0</v>
      </c>
    </row>
    <row r="6">
      <c r="A6" s="2">
        <v>43208.0</v>
      </c>
      <c r="B6" s="3" t="s">
        <v>10</v>
      </c>
      <c r="C6" s="3">
        <v>27.0</v>
      </c>
    </row>
    <row r="7">
      <c r="A7" s="2">
        <v>43256.0</v>
      </c>
      <c r="B7" s="3" t="s">
        <v>11</v>
      </c>
      <c r="C7" s="3">
        <v>68.0</v>
      </c>
    </row>
    <row r="8">
      <c r="A8" s="5">
        <v>43389.0</v>
      </c>
      <c r="B8" s="3" t="s">
        <v>12</v>
      </c>
      <c r="C8" s="3">
        <v>50.0</v>
      </c>
    </row>
    <row r="9">
      <c r="A9" s="2">
        <v>43619.0</v>
      </c>
      <c r="B9" s="3" t="s">
        <v>13</v>
      </c>
      <c r="C9" s="3">
        <f>28+27+68+49+32+52+26</f>
        <v>282</v>
      </c>
      <c r="E9" s="3" t="s">
        <v>14</v>
      </c>
    </row>
    <row r="10">
      <c r="A10" s="2">
        <v>43655.0</v>
      </c>
      <c r="B10" s="3" t="s">
        <v>15</v>
      </c>
      <c r="C10" s="3">
        <v>0.0</v>
      </c>
      <c r="E10" s="3" t="s">
        <v>16</v>
      </c>
    </row>
    <row r="11">
      <c r="A11" s="5">
        <v>43831.0</v>
      </c>
      <c r="B11" s="3" t="s">
        <v>17</v>
      </c>
      <c r="C11" s="6">
        <f>169+56</f>
        <v>225</v>
      </c>
      <c r="E11" s="3" t="s">
        <v>18</v>
      </c>
    </row>
    <row r="12">
      <c r="A12" s="5">
        <v>43831.0</v>
      </c>
      <c r="B12" s="3" t="s">
        <v>19</v>
      </c>
      <c r="C12" s="3">
        <v>111.0</v>
      </c>
      <c r="E12" s="3" t="s">
        <v>20</v>
      </c>
    </row>
    <row r="13">
      <c r="A13" s="5">
        <v>44197.0</v>
      </c>
      <c r="B13" s="3" t="s">
        <v>21</v>
      </c>
      <c r="C13" s="3">
        <v>193.0</v>
      </c>
    </row>
    <row r="14">
      <c r="A14" s="7"/>
      <c r="B14" s="8" t="s">
        <v>22</v>
      </c>
      <c r="C14" s="9">
        <f>SUM(C2:C13)</f>
        <v>1106</v>
      </c>
    </row>
    <row r="16">
      <c r="A16" s="1" t="s">
        <v>1</v>
      </c>
      <c r="B16" s="1" t="s">
        <v>0</v>
      </c>
      <c r="C16" s="1" t="s">
        <v>2</v>
      </c>
    </row>
    <row r="17">
      <c r="A17" s="10" t="s">
        <v>23</v>
      </c>
      <c r="B17" s="11"/>
      <c r="C17" s="12">
        <f>SUM(C18:C83)</f>
        <v>1636</v>
      </c>
    </row>
    <row r="18">
      <c r="A18" s="6" t="str">
        <f t="array" ref="A18:A155">UNIQUE(Tests!A4:A1001)</f>
        <v>tadi_jun_2018</v>
      </c>
      <c r="B18" s="6" t="str">
        <f>IFERROR(__xludf.DUMMYFUNCTION("JOIN("" - "", TRANSPOSE(UNIQUE(FILTER(Tests!C$4:C1001, Tests!A$4:A1001=A18))))"),"05-06-2018")</f>
        <v>05-06-2018</v>
      </c>
      <c r="C18" s="6">
        <f>IFERROR(__xludf.DUMMYFUNCTION("COUNTUNIQUE(FILTER(Tests!G$4:G1001, Tests!C$4:C1001=B18))"),1.0)</f>
        <v>1</v>
      </c>
    </row>
    <row r="19">
      <c r="A19" s="6"/>
      <c r="B19" s="6" t="str">
        <f>IFERROR(__xludf.DUMMYFUNCTION("JOIN("" - "", TRANSPOSE(UNIQUE(FILTER(Tests!C$4:C1001, Tests!A$4:A1001=A19))))"),"05-06-2018 - 06-06-2018 - 07-06-2018 - 08-06-2018 - 16-10-2018 - 17-10-2018 - 18-10-2018 - 19-10-2018 - 15-10-2019 - 16-10-2019 - 22-10-2019 - 06-03-2020 - 30-06-2020 - 22-09-2020 - 23-09-2020 - 29-09-2020 - 30-09-2020 - 01-10-2020 - 19-10-2020 - 04-11-20"&amp;"20 - 05-11-2020 - 06-11-2020 - 10-11-2020 - 12-11-2020 - 19-11-2020 - 25-11-2020 - 30-11-2020 - 01-12-2020 - 02-12-2020 - 15-12-2020 - 16-12-2020 - 05-01-2021 - 19-01-2021 - 20-01-2021 - 21-01-2021 - 02-03-2021 - 03-03-2021 - 11-03-2021 - 01-04-2021 - 02-"&amp;"04-2021 - 14-04-2021 - 16-04-2021 - 05-05-2021 - 07-05-2021 - 27-05-2021 - 01-06-2021 - 02-06-2021 - 11-06-2021 - 21-06-2021 - 22-06-2021 - 08-07-2021 - 09-07-2021 -  - 22-07-2021 - 27-07-2021 - 07-09-2021 - 08-09-2021 - 09-09-2021 - 10-09-2021 - 20-09-20"&amp;"21 - 21-09-2021 - 29-09-2021 - 15-10-2021 - 21-10-2021 - 05-11-2021 - 25-11-2021 - 26-11-2021 - 02-12-2021 - 06-12-2021 - 07-12-2021 - 14-12-2021 - 15-12-2021 - 19-01-2022 - 25-01-2022 - 01-02-2022 - 02-02-2022 - 24-02-2022 - 31-03-2022 - 05-04-2022 - 06-"&amp;"04-2022 - 12-04-2022 - 04-05-2022 - 16-05-2022 - 08-06-2022 - 21-06-2022 - 22-06-2022 - 23-06-2022 - 24-06-2022 - 28-06-2022 - 01-07-2022 - 04-07-2022 - 05-07-2022 - 06-07-2022 - 07-07-2022 - 29-07-2022 - 29-09-2022 - 10-10-2022 - 11-10-2022 - 13-10-2022 "&amp;"- 18-10-2022 - 19-10-2022 - 21-10-2022 - 02-11-2022 - 07-11-2022 - 08-11-2022 - 01-12-2022 - 07-12-2022 - 11-01-2023 - 13-01-2023 - 23-01-2023 - 25-01-2023 - 30-01-2023 - 02-02-2023 - 06-09-2023 - 23-04-2024 - 25-04-2024 - 15-05-2024 - 27-05-2024 - 10-06-"&amp;"2024 - 14-06-2024 - 17-06-2024 - 18-06-2024 - 19-06-2024 - 20-06-2024 - 21-06-2024 - 24-06-2024 - 25-06-2024 - 26-06-2024 - 27-06-2024 - 28-06-2024 - 08-07-2024 - 09-07-2024 - 10-07-2024 - 11-07-2024 - 12-07-2024 - 16-07-2024 - 17-07-2024 - 22-07-2024 - 2"&amp;"3-07-2024 - 03-09-2024 - 09-09-2024 - 10-09-2024 - 11-09-2024 - 12-09-2024 - 13-09-2024 - 16-09-2024 - 17-09-2024 - 18-09-2024 - 19-09-2024 - 20-09-2024 - 01-10-2024 - 02-10-2024 - 03-10-2024 - 08-10-2024 - 21-10-2024 - 23-10-2024 - 24-10-2024 - 25-10-202"&amp;"4 - 28-10-2024 - 29-10-2024 - 31-10-2024 - 06-11-2024 - 08-11-2024 - 18-11-2024 - 19-11-2024 - 20-11-2024 - 22-11-2024 - 25-11-2024 - 26-11-2024 - 27-11-2024 - 28-11-2024 - 29-11-2024 - 02-12-2024 - 03-12-2024 - 04-12-2024 - 05-12-2024 - 09-12-2024 - 10-1"&amp;"2-2024 - 11-12-2024 - 12-12-2024 - 16-12-2024 - 18-12-2024 - 19-12-2024 - 20-12-2024 - 10-10-2025 - 17-10-2025 - 20-10-2025 - 21-10-2025 - 22-10-2025 - 30-10-2025 - 31-10-2025 - 05-11-2025 - 06-11-2025")</f>
        <v>05-06-2018 - 06-06-2018 - 07-06-2018 - 08-06-2018 - 16-10-2018 - 17-10-2018 - 18-10-2018 - 19-10-2018 - 15-10-2019 - 16-10-2019 - 22-10-2019 - 06-03-2020 - 30-06-2020 - 22-09-2020 - 23-09-2020 - 29-09-2020 - 30-09-2020 - 01-10-2020 - 19-10-2020 - 04-11-2020 - 05-11-2020 - 06-11-2020 - 10-11-2020 - 12-11-2020 - 19-11-2020 - 25-11-2020 - 30-11-2020 - 01-12-2020 - 02-12-2020 - 15-12-2020 - 16-12-2020 - 05-01-2021 - 19-01-2021 - 20-01-2021 - 21-01-2021 - 02-03-2021 - 03-03-2021 - 11-03-2021 - 01-04-2021 - 02-04-2021 - 14-04-2021 - 16-04-2021 - 05-05-2021 - 07-05-2021 - 27-05-2021 - 01-06-2021 - 02-06-2021 - 11-06-2021 - 21-06-2021 - 22-06-2021 - 08-07-2021 - 09-07-2021 -  - 22-07-2021 - 27-07-2021 - 07-09-2021 - 08-09-2021 - 09-09-2021 - 10-09-2021 - 20-09-2021 - 21-09-2021 - 29-09-2021 - 15-10-2021 - 21-10-2021 - 05-11-2021 - 25-11-2021 - 26-11-2021 - 02-12-2021 - 06-12-2021 - 07-12-2021 - 14-12-2021 - 15-12-2021 - 19-01-2022 - 25-01-2022 - 01-02-2022 - 02-02-2022 - 24-02-2022 - 31-03-2022 - 05-04-2022 - 06-04-2022 - 12-04-2022 - 04-05-2022 - 16-05-2022 - 08-06-2022 - 21-06-2022 - 22-06-2022 - 23-06-2022 - 24-06-2022 - 28-06-2022 - 01-07-2022 - 04-07-2022 - 05-07-2022 - 06-07-2022 - 07-07-2022 - 29-07-2022 - 29-09-2022 - 10-10-2022 - 11-10-2022 - 13-10-2022 - 18-10-2022 - 19-10-2022 - 21-10-2022 - 02-11-2022 - 07-11-2022 - 08-11-2022 - 01-12-2022 - 07-12-2022 - 11-01-2023 - 13-01-2023 - 23-01-2023 - 25-01-2023 - 30-01-2023 - 02-02-2023 - 06-09-2023 - 23-04-2024 - 25-04-2024 - 15-05-2024 - 27-05-2024 - 10-06-2024 - 14-06-2024 - 17-06-2024 - 18-06-2024 - 19-06-2024 - 20-06-2024 - 21-06-2024 - 24-06-2024 - 25-06-2024 - 26-06-2024 - 27-06-2024 - 28-06-2024 - 08-07-2024 - 09-07-2024 - 10-07-2024 - 11-07-2024 - 12-07-2024 - 16-07-2024 - 17-07-2024 - 22-07-2024 - 23-07-2024 - 03-09-2024 - 09-09-2024 - 10-09-2024 - 11-09-2024 - 12-09-2024 - 13-09-2024 - 16-09-2024 - 17-09-2024 - 18-09-2024 - 19-09-2024 - 20-09-2024 - 01-10-2024 - 02-10-2024 - 03-10-2024 - 08-10-2024 - 21-10-2024 - 23-10-2024 - 24-10-2024 - 25-10-2024 - 28-10-2024 - 29-10-2024 - 31-10-2024 - 06-11-2024 - 08-11-2024 - 18-11-2024 - 19-11-2024 - 20-11-2024 - 22-11-2024 - 25-11-2024 - 26-11-2024 - 27-11-2024 - 28-11-2024 - 29-11-2024 - 02-12-2024 - 03-12-2024 - 04-12-2024 - 05-12-2024 - 09-12-2024 - 10-12-2024 - 11-12-2024 - 12-12-2024 - 16-12-2024 - 18-12-2024 - 19-12-2024 - 20-12-2024 - 10-10-2025 - 17-10-2025 - 20-10-2025 - 21-10-2025 - 22-10-2025 - 30-10-2025 - 31-10-2025 - 05-11-2025 - 06-11-2025</v>
      </c>
      <c r="C19" s="6">
        <f>IFERROR(__xludf.DUMMYFUNCTION("COUNTUNIQUE(FILTER(Tests!G$4:G1001, Tests!A$4:A1001=A19))"),1368.0)</f>
        <v>1368</v>
      </c>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row>
    <row r="20">
      <c r="A20" s="6" t="s">
        <v>24</v>
      </c>
      <c r="B20" s="6" t="str">
        <f>IFERROR(__xludf.DUMMYFUNCTION("JOIN("" - "", TRANSPOSE(UNIQUE(FILTER(Tests!C$4:C1001, Tests!A$4:A1001=A20))))"),"16-10-2018")</f>
        <v>16-10-2018</v>
      </c>
      <c r="C20" s="6">
        <f>IFERROR(__xludf.DUMMYFUNCTION("COUNTUNIQUE(FILTER(Tests!G$4:G1001, Tests!A$4:A1001=A20))"),1.0)</f>
        <v>1</v>
      </c>
    </row>
    <row r="21">
      <c r="A21" s="6" t="s">
        <v>25</v>
      </c>
      <c r="B21" s="6" t="str">
        <f>IFERROR(__xludf.DUMMYFUNCTION("JOIN("" - "", TRANSPOSE(UNIQUE(FILTER(Tests!C$4:C1001, Tests!A$4:A1001=A21))))"),"06-06-2019 - 19-06-2019 - 20-06-2019 - 18-07-2019 - 23-07-2019 - 25-07-2019 - 30-07-2019 - 01-08-2019 - 06-08-2019")</f>
        <v>06-06-2019 - 19-06-2019 - 20-06-2019 - 18-07-2019 - 23-07-2019 - 25-07-2019 - 30-07-2019 - 01-08-2019 - 06-08-2019</v>
      </c>
      <c r="C21" s="6">
        <f>IFERROR(__xludf.DUMMYFUNCTION("COUNTUNIQUE(FILTER(Tests!G$4:G1001, Tests!A$4:A1001=A21))"),164.0)</f>
        <v>164</v>
      </c>
      <c r="D21" s="6"/>
      <c r="E21" s="6"/>
      <c r="F21" s="6"/>
      <c r="G21" s="6"/>
      <c r="H21" s="6"/>
      <c r="I21" s="6"/>
      <c r="J21" s="6"/>
    </row>
    <row r="22">
      <c r="A22" s="6" t="s">
        <v>26</v>
      </c>
      <c r="B22" s="6" t="str">
        <f>IFERROR(__xludf.DUMMYFUNCTION("JOIN("" - "", TRANSPOSE(UNIQUE(FILTER(Tests!C$4:C1001, Tests!A$4:A1001=A22))))"),"15-10-2019")</f>
        <v>15-10-2019</v>
      </c>
      <c r="C22" s="6">
        <f>IFERROR(__xludf.DUMMYFUNCTION("COUNTUNIQUE(FILTER(Tests!G$4:G1001, Tests!A$4:A1001=A22))"),1.0)</f>
        <v>1</v>
      </c>
    </row>
    <row r="23">
      <c r="A23" s="6" t="s">
        <v>27</v>
      </c>
      <c r="B23" s="6" t="str">
        <f>IFERROR(__xludf.DUMMYFUNCTION("JOIN("" - "", TRANSPOSE(UNIQUE(FILTER(Tests!C$4:C1001, Tests!A$4:A1001=A23))))"),"22-10-2019")</f>
        <v>22-10-2019</v>
      </c>
      <c r="C23" s="6">
        <f>IFERROR(__xludf.DUMMYFUNCTION("COUNTUNIQUE(FILTER(Tests!G$4:G1001, Tests!A$4:A1001=A23))"),1.0)</f>
        <v>1</v>
      </c>
    </row>
    <row r="24">
      <c r="A24" s="6" t="s">
        <v>28</v>
      </c>
      <c r="B24" s="6" t="str">
        <f>IFERROR(__xludf.DUMMYFUNCTION("JOIN("" - "", TRANSPOSE(UNIQUE(FILTER(Tests!C$4:C1001, Tests!A$4:A1001=A24))))"),"06-03-2020")</f>
        <v>06-03-2020</v>
      </c>
      <c r="C24" s="6">
        <f>IFERROR(__xludf.DUMMYFUNCTION("COUNTUNIQUE(FILTER(Tests!G$4:G1001, Tests!A$4:A1001=A24))"),1.0)</f>
        <v>1</v>
      </c>
    </row>
    <row r="25">
      <c r="A25" s="6" t="s">
        <v>29</v>
      </c>
      <c r="B25" s="6" t="str">
        <f>IFERROR(__xludf.DUMMYFUNCTION("JOIN("" - "", TRANSPOSE(UNIQUE(FILTER(Tests!C$4:C1001, Tests!A$4:A1001=A25))))"),"30-06-2020 - 22-09-2020 - 15-12-2020")</f>
        <v>30-06-2020 - 22-09-2020 - 15-12-2020</v>
      </c>
      <c r="C25" s="6">
        <f>IFERROR(__xludf.DUMMYFUNCTION("COUNTUNIQUE(FILTER(Tests!G$4:G1001, Tests!A$4:A1001=A25))"),3.0)</f>
        <v>3</v>
      </c>
      <c r="D25" s="6"/>
    </row>
    <row r="26">
      <c r="A26" s="6" t="s">
        <v>30</v>
      </c>
      <c r="B26" s="6" t="str">
        <f>IFERROR(__xludf.DUMMYFUNCTION("JOIN("" - "", TRANSPOSE(UNIQUE(FILTER(Tests!C$4:C1001, Tests!A$4:A1001=A26))))"),"29-09-2020")</f>
        <v>29-09-2020</v>
      </c>
      <c r="C26" s="6">
        <f>IFERROR(__xludf.DUMMYFUNCTION("COUNTUNIQUE(FILTER(Tests!G$4:G1001, Tests!A$4:A1001=A26))"),1.0)</f>
        <v>1</v>
      </c>
    </row>
    <row r="27">
      <c r="A27" s="6" t="s">
        <v>31</v>
      </c>
      <c r="B27" s="6" t="str">
        <f>IFERROR(__xludf.DUMMYFUNCTION("JOIN("" - "", TRANSPOSE(UNIQUE(FILTER(Tests!C$4:C1001, Tests!A$4:A1001=A27))))"),"16-10-2020 - 29-10-2020 - 21-01-2021")</f>
        <v>16-10-2020 - 29-10-2020 - 21-01-2021</v>
      </c>
      <c r="C27" s="6">
        <f>IFERROR(__xludf.DUMMYFUNCTION("COUNTUNIQUE(FILTER(Tests!G$4:G1001, Tests!A$4:A1001=A27))"),3.0)</f>
        <v>3</v>
      </c>
      <c r="D27" s="6"/>
    </row>
    <row r="28">
      <c r="A28" s="6" t="s">
        <v>32</v>
      </c>
      <c r="B28" s="6" t="str">
        <f>IFERROR(__xludf.DUMMYFUNCTION("JOIN("" - "", TRANSPOSE(UNIQUE(FILTER(Tests!C$4:C1001, Tests!A$4:A1001=A28))))"),"19-10-2020 - 09-11-2020 - 20-11-2020")</f>
        <v>19-10-2020 - 09-11-2020 - 20-11-2020</v>
      </c>
      <c r="C28" s="6">
        <f>IFERROR(__xludf.DUMMYFUNCTION("COUNTUNIQUE(FILTER(Tests!G$4:G1001, Tests!A$4:A1001=A28))"),3.0)</f>
        <v>3</v>
      </c>
      <c r="D28" s="6"/>
    </row>
    <row r="29">
      <c r="A29" s="6" t="s">
        <v>33</v>
      </c>
      <c r="B29" s="6" t="str">
        <f>IFERROR(__xludf.DUMMYFUNCTION("JOIN("" - "", TRANSPOSE(UNIQUE(FILTER(Tests!C$4:C1001, Tests!A$4:A1001=A29))))"),"04-11-2020")</f>
        <v>04-11-2020</v>
      </c>
      <c r="C29" s="6">
        <f>IFERROR(__xludf.DUMMYFUNCTION("COUNTUNIQUE(FILTER(Tests!G$4:G1001, Tests!A$4:A1001=A29))"),1.0)</f>
        <v>1</v>
      </c>
    </row>
    <row r="30">
      <c r="A30" s="6" t="s">
        <v>34</v>
      </c>
      <c r="B30" s="6" t="str">
        <f>IFERROR(__xludf.DUMMYFUNCTION("JOIN("" - "", TRANSPOSE(UNIQUE(FILTER(Tests!C$4:C1001, Tests!A$4:A1001=A30))))"),"05-11-2020")</f>
        <v>05-11-2020</v>
      </c>
      <c r="C30" s="6">
        <f>IFERROR(__xludf.DUMMYFUNCTION("COUNTUNIQUE(FILTER(Tests!G$4:G1001, Tests!A$4:A1001=A30))"),1.0)</f>
        <v>1</v>
      </c>
    </row>
    <row r="31">
      <c r="A31" s="6" t="s">
        <v>35</v>
      </c>
      <c r="B31" s="6" t="str">
        <f>IFERROR(__xludf.DUMMYFUNCTION("JOIN("" - "", TRANSPOSE(UNIQUE(FILTER(Tests!C$4:C1001, Tests!A$4:A1001=A31))))"),"06-11-2020")</f>
        <v>06-11-2020</v>
      </c>
      <c r="C31" s="6">
        <f>IFERROR(__xludf.DUMMYFUNCTION("COUNTUNIQUE(FILTER(Tests!G$4:G1001, Tests!A$4:A1001=A31))"),1.0)</f>
        <v>1</v>
      </c>
    </row>
    <row r="32">
      <c r="A32" s="6" t="s">
        <v>36</v>
      </c>
      <c r="B32" s="6" t="str">
        <f>IFERROR(__xludf.DUMMYFUNCTION("JOIN("" - "", TRANSPOSE(UNIQUE(FILTER(Tests!C$4:C1001, Tests!A$4:A1001=A32))))"),"19-10-2020 - 09-11-2020 - 20-11-2020")</f>
        <v>19-10-2020 - 09-11-2020 - 20-11-2020</v>
      </c>
      <c r="C32" s="6">
        <f>IFERROR(__xludf.DUMMYFUNCTION("COUNTUNIQUE(FILTER(Tests!G$4:G1001, Tests!A$4:A1001=A32))"),3.0)</f>
        <v>3</v>
      </c>
      <c r="D32" s="6"/>
    </row>
    <row r="33">
      <c r="A33" s="6" t="s">
        <v>37</v>
      </c>
      <c r="B33" s="6" t="str">
        <f>IFERROR(__xludf.DUMMYFUNCTION("JOIN("" - "", TRANSPOSE(UNIQUE(FILTER(Tests!C$4:C1001, Tests!A$4:A1001=A33))))"),"12-11-2020")</f>
        <v>12-11-2020</v>
      </c>
      <c r="C33" s="6">
        <f>IFERROR(__xludf.DUMMYFUNCTION("COUNTUNIQUE(FILTER(Tests!G$4:G1001, Tests!A$4:A1001=A33))"),1.0)</f>
        <v>1</v>
      </c>
    </row>
    <row r="34">
      <c r="A34" s="6" t="s">
        <v>38</v>
      </c>
      <c r="B34" s="6" t="str">
        <f>IFERROR(__xludf.DUMMYFUNCTION("JOIN("" - "", TRANSPOSE(UNIQUE(FILTER(Tests!C$4:C1001, Tests!A$4:A1001=A34))))"),"30-11-2020")</f>
        <v>30-11-2020</v>
      </c>
      <c r="C34" s="6">
        <f>IFERROR(__xludf.DUMMYFUNCTION("COUNTUNIQUE(FILTER(Tests!G$4:G1001, Tests!A$4:A1001=A34))"),1.0)</f>
        <v>1</v>
      </c>
    </row>
    <row r="35">
      <c r="A35" s="6" t="s">
        <v>39</v>
      </c>
      <c r="B35" s="6" t="str">
        <f>IFERROR(__xludf.DUMMYFUNCTION("JOIN("" - "", TRANSPOSE(UNIQUE(FILTER(Tests!C$4:C1001, Tests!A$4:A1001=A35))))"),"05-01-2021")</f>
        <v>05-01-2021</v>
      </c>
      <c r="C35" s="6">
        <f>IFERROR(__xludf.DUMMYFUNCTION("COUNTUNIQUE(FILTER(Tests!G$4:G1001, Tests!A$4:A1001=A35))"),1.0)</f>
        <v>1</v>
      </c>
    </row>
    <row r="36">
      <c r="A36" s="6" t="s">
        <v>40</v>
      </c>
      <c r="B36" s="6" t="str">
        <f>IFERROR(__xludf.DUMMYFUNCTION("JOIN("" - "", TRANSPOSE(UNIQUE(FILTER(Tests!C$4:C1001, Tests!A$4:A1001=A36))))"),"07-01-2021")</f>
        <v>07-01-2021</v>
      </c>
      <c r="C36" s="6">
        <f>IFERROR(__xludf.DUMMYFUNCTION("COUNTUNIQUE(FILTER(Tests!G$4:G1001, Tests!A$4:A1001=A36))"),1.0)</f>
        <v>1</v>
      </c>
    </row>
    <row r="37">
      <c r="A37" s="6" t="s">
        <v>41</v>
      </c>
      <c r="B37" s="6" t="str">
        <f>IFERROR(__xludf.DUMMYFUNCTION("JOIN("" - "", TRANSPOSE(UNIQUE(FILTER(Tests!C$4:C1001, Tests!A$4:A1001=A37))))"),"19-01-2021")</f>
        <v>19-01-2021</v>
      </c>
      <c r="C37" s="6">
        <f>IFERROR(__xludf.DUMMYFUNCTION("COUNTUNIQUE(FILTER(Tests!G$4:G1001, Tests!A$4:A1001=A37))"),1.0)</f>
        <v>1</v>
      </c>
    </row>
    <row r="38">
      <c r="A38" s="6" t="s">
        <v>42</v>
      </c>
      <c r="B38" s="6" t="str">
        <f>IFERROR(__xludf.DUMMYFUNCTION("JOIN("" - "", TRANSPOSE(UNIQUE(FILTER(Tests!C$4:C1001, Tests!A$4:A1001=A38))))"),"20-01-2021 - 11-03-2021 - 16-04-2021 - 04-05-2021 - 05-05-2021 - 06-05-2021 - 07-05-2021 - 27-05-2021 - 31-05-2021 - 02-06-2021 - 21-06-2021 - 22-07-2021")</f>
        <v>20-01-2021 - 11-03-2021 - 16-04-2021 - 04-05-2021 - 05-05-2021 - 06-05-2021 - 07-05-2021 - 27-05-2021 - 31-05-2021 - 02-06-2021 - 21-06-2021 - 22-07-2021</v>
      </c>
      <c r="C38" s="6">
        <f>IFERROR(__xludf.DUMMYFUNCTION("COUNTUNIQUE(FILTER(Tests!G$4:G1001, Tests!A$4:A1001=A38))"),12.0)</f>
        <v>12</v>
      </c>
      <c r="D38" s="6"/>
      <c r="E38" s="6"/>
      <c r="F38" s="6"/>
      <c r="G38" s="6"/>
      <c r="H38" s="6"/>
      <c r="I38" s="6"/>
      <c r="J38" s="6"/>
      <c r="K38" s="6"/>
      <c r="L38" s="6"/>
      <c r="M38" s="6"/>
    </row>
    <row r="39">
      <c r="A39" s="6" t="s">
        <v>43</v>
      </c>
      <c r="B39" s="6" t="str">
        <f>IFERROR(__xludf.DUMMYFUNCTION("JOIN("" - "", TRANSPOSE(UNIQUE(FILTER(Tests!C$4:C1001, Tests!A$4:A1001=A39))))"),"16-10-2020 - 29-10-2020 - 21-01-2021")</f>
        <v>16-10-2020 - 29-10-2020 - 21-01-2021</v>
      </c>
      <c r="C39" s="6">
        <f>IFERROR(__xludf.DUMMYFUNCTION("COUNTUNIQUE(FILTER(Tests!G$4:G1001, Tests!A$4:A1001=A39))"),3.0)</f>
        <v>3</v>
      </c>
      <c r="D39" s="6"/>
    </row>
    <row r="40">
      <c r="A40" s="6" t="s">
        <v>44</v>
      </c>
      <c r="B40" s="6" t="str">
        <f>IFERROR(__xludf.DUMMYFUNCTION("JOIN("" - "", TRANSPOSE(UNIQUE(FILTER(Tests!C$4:C1001, Tests!A$4:A1001=A40))))"),"02-03-2021")</f>
        <v>02-03-2021</v>
      </c>
      <c r="C40" s="6">
        <f>IFERROR(__xludf.DUMMYFUNCTION("COUNTUNIQUE(FILTER(Tests!G$4:G1001, Tests!A$4:A1001=A40))"),1.0)</f>
        <v>1</v>
      </c>
    </row>
    <row r="41">
      <c r="A41" s="6" t="s">
        <v>45</v>
      </c>
      <c r="B41" s="6" t="str">
        <f>IFERROR(__xludf.DUMMYFUNCTION("JOIN("" - "", TRANSPOSE(UNIQUE(FILTER(Tests!C$4:C1001, Tests!A$4:A1001=A41))))"),"01-04-2021")</f>
        <v>01-04-2021</v>
      </c>
      <c r="C41" s="6">
        <f>IFERROR(__xludf.DUMMYFUNCTION("COUNTUNIQUE(FILTER(Tests!G$4:G1001, Tests!A$4:A1001=A41))"),1.0)</f>
        <v>1</v>
      </c>
    </row>
    <row r="42">
      <c r="A42" s="6" t="s">
        <v>46</v>
      </c>
      <c r="B42" s="6" t="str">
        <f>IFERROR(__xludf.DUMMYFUNCTION("JOIN("" - "", TRANSPOSE(UNIQUE(FILTER(Tests!C$4:C1001, Tests!A$4:A1001=A42))))"),"14-04-2021")</f>
        <v>14-04-2021</v>
      </c>
      <c r="C42" s="6">
        <f>IFERROR(__xludf.DUMMYFUNCTION("COUNTUNIQUE(FILTER(Tests!G$4:G1001, Tests!A$4:A1001=A42))"),1.0)</f>
        <v>1</v>
      </c>
    </row>
    <row r="43">
      <c r="A43" s="6" t="s">
        <v>47</v>
      </c>
      <c r="B43" s="6" t="str">
        <f>IFERROR(__xludf.DUMMYFUNCTION("JOIN("" - "", TRANSPOSE(UNIQUE(FILTER(Tests!C$4:C1001, Tests!A$4:A1001=A43))))"),"03-05-2021 - 10-06-2021")</f>
        <v>03-05-2021 - 10-06-2021</v>
      </c>
      <c r="C43" s="6">
        <f>IFERROR(__xludf.DUMMYFUNCTION("COUNTUNIQUE(FILTER(Tests!G$4:G1001, Tests!A$4:A1001=A43))"),2.0)</f>
        <v>2</v>
      </c>
    </row>
    <row r="44">
      <c r="A44" s="6" t="s">
        <v>48</v>
      </c>
      <c r="B44" s="6" t="str">
        <f>IFERROR(__xludf.DUMMYFUNCTION("JOIN("" - "", TRANSPOSE(UNIQUE(FILTER(Tests!C$4:C1001, Tests!A$4:A1001=A44))))"),"05-05-2021 - 11-06-2021")</f>
        <v>05-05-2021 - 11-06-2021</v>
      </c>
      <c r="C44" s="6">
        <f>IFERROR(__xludf.DUMMYFUNCTION("COUNTUNIQUE(FILTER(Tests!G$4:G1001, Tests!A$4:A1001=A44))"),2.0)</f>
        <v>2</v>
      </c>
    </row>
    <row r="45">
      <c r="A45" s="6" t="s">
        <v>49</v>
      </c>
      <c r="B45" s="6" t="str">
        <f>IFERROR(__xludf.DUMMYFUNCTION("JOIN("" - "", TRANSPOSE(UNIQUE(FILTER(Tests!C$4:C1001, Tests!A$4:A1001=A45))))"),"22-06-2021")</f>
        <v>22-06-2021</v>
      </c>
      <c r="C45" s="6">
        <f>IFERROR(__xludf.DUMMYFUNCTION("COUNTUNIQUE(FILTER(Tests!G$4:G1001, Tests!A$4:A1001=A45))"),1.0)</f>
        <v>1</v>
      </c>
    </row>
    <row r="46">
      <c r="A46" s="6" t="s">
        <v>50</v>
      </c>
      <c r="B46" s="6" t="str">
        <f>IFERROR(__xludf.DUMMYFUNCTION("JOIN("" - "", TRANSPOSE(UNIQUE(FILTER(Tests!C$4:C1001, Tests!A$4:A1001=A46))))"),"07-05-2021")</f>
        <v>07-05-2021</v>
      </c>
      <c r="C46" s="6">
        <f>IFERROR(__xludf.DUMMYFUNCTION("COUNTUNIQUE(FILTER(Tests!G$4:G1001, Tests!A$4:A1001=A46))"),1.0)</f>
        <v>1</v>
      </c>
    </row>
    <row r="47">
      <c r="A47" s="6" t="s">
        <v>51</v>
      </c>
      <c r="B47" s="6" t="str">
        <f>IFERROR(__xludf.DUMMYFUNCTION("JOIN("" - "", TRANSPOSE(UNIQUE(FILTER(Tests!C$4:C1001, Tests!A$4:A1001=A47))))"),"08-07-2021")</f>
        <v>08-07-2021</v>
      </c>
      <c r="C47" s="6">
        <f>IFERROR(__xludf.DUMMYFUNCTION("COUNTUNIQUE(FILTER(Tests!G$4:G1001, Tests!A$4:A1001=A47))"),1.0)</f>
        <v>1</v>
      </c>
    </row>
    <row r="48">
      <c r="A48" s="6" t="s">
        <v>52</v>
      </c>
      <c r="B48" s="6" t="str">
        <f>IFERROR(__xludf.DUMMYFUNCTION("JOIN("" - "", TRANSPOSE(UNIQUE(FILTER(Tests!C$4:C1001, Tests!A$4:A1001=A48))))"),"27-07-2021")</f>
        <v>27-07-2021</v>
      </c>
      <c r="C48" s="6">
        <f>IFERROR(__xludf.DUMMYFUNCTION("COUNTUNIQUE(FILTER(Tests!G$4:G1001, Tests!A$4:A1001=A48))"),1.0)</f>
        <v>1</v>
      </c>
    </row>
    <row r="49">
      <c r="A49" s="6" t="s">
        <v>53</v>
      </c>
      <c r="B49" s="6" t="str">
        <f>IFERROR(__xludf.DUMMYFUNCTION("JOIN("" - "", TRANSPOSE(UNIQUE(FILTER(Tests!C$4:C1001, Tests!A$4:A1001=A49))))"),"07-09-2021 - 20-09-2021")</f>
        <v>07-09-2021 - 20-09-2021</v>
      </c>
      <c r="C49" s="6">
        <f>IFERROR(__xludf.DUMMYFUNCTION("COUNTUNIQUE(FILTER(Tests!G$4:G1001, Tests!A$4:A1001=A49))"),2.0)</f>
        <v>2</v>
      </c>
    </row>
    <row r="50">
      <c r="A50" s="6" t="s">
        <v>54</v>
      </c>
      <c r="B50" s="6" t="str">
        <f>IFERROR(__xludf.DUMMYFUNCTION("JOIN("" - "", TRANSPOSE(UNIQUE(FILTER(Tests!C$4:C1001, Tests!A$4:A1001=A50))))"),"21-09-2021")</f>
        <v>21-09-2021</v>
      </c>
      <c r="C50" s="6">
        <f>IFERROR(__xludf.DUMMYFUNCTION("COUNTUNIQUE(FILTER(Tests!G$4:G1001, Tests!A$4:A1001=A50))"),1.0)</f>
        <v>1</v>
      </c>
    </row>
    <row r="51">
      <c r="A51" s="6" t="s">
        <v>55</v>
      </c>
      <c r="B51" s="6" t="str">
        <f>IFERROR(__xludf.DUMMYFUNCTION("JOIN("" - "", TRANSPOSE(UNIQUE(FILTER(Tests!C$4:C1001, Tests!A$4:A1001=A51))))"),"29-09-2021")</f>
        <v>29-09-2021</v>
      </c>
      <c r="C51" s="6">
        <f>IFERROR(__xludf.DUMMYFUNCTION("COUNTUNIQUE(FILTER(Tests!G$4:G1001, Tests!A$4:A1001=A51))"),1.0)</f>
        <v>1</v>
      </c>
    </row>
    <row r="52">
      <c r="A52" s="6" t="s">
        <v>56</v>
      </c>
      <c r="B52" s="6" t="str">
        <f>IFERROR(__xludf.DUMMYFUNCTION("JOIN("" - "", TRANSPOSE(UNIQUE(FILTER(Tests!C$4:C1001, Tests!A$4:A1001=A52))))"),"15-10-2021 - 21-10-2021")</f>
        <v>15-10-2021 - 21-10-2021</v>
      </c>
      <c r="C52" s="6">
        <f>IFERROR(__xludf.DUMMYFUNCTION("COUNTUNIQUE(FILTER(Tests!G$4:G1001, Tests!A$4:A1001=A52))"),2.0)</f>
        <v>2</v>
      </c>
    </row>
    <row r="53">
      <c r="A53" s="6" t="s">
        <v>57</v>
      </c>
      <c r="B53" s="6" t="str">
        <f>IFERROR(__xludf.DUMMYFUNCTION("JOIN("" - "", TRANSPOSE(UNIQUE(FILTER(Tests!C$4:C1001, Tests!A$4:A1001=A53))))"),"05-11-2021 - 25-11-2021 - 26-11-2021")</f>
        <v>05-11-2021 - 25-11-2021 - 26-11-2021</v>
      </c>
      <c r="C53" s="6">
        <f>IFERROR(__xludf.DUMMYFUNCTION("COUNTUNIQUE(FILTER(Tests!G$4:G1001, Tests!A$4:A1001=A53))"),3.0)</f>
        <v>3</v>
      </c>
      <c r="D53" s="6"/>
    </row>
    <row r="54">
      <c r="A54" s="6" t="s">
        <v>58</v>
      </c>
      <c r="B54" s="6" t="str">
        <f>IFERROR(__xludf.DUMMYFUNCTION("JOIN("" - "", TRANSPOSE(UNIQUE(FILTER(Tests!C$4:C1001, Tests!A$4:A1001=A54))))"),"05-11-2021")</f>
        <v>05-11-2021</v>
      </c>
      <c r="C54" s="6">
        <f>IFERROR(__xludf.DUMMYFUNCTION("COUNTUNIQUE(FILTER(Tests!G$4:G1001, Tests!A$4:A1001=A54))"),1.0)</f>
        <v>1</v>
      </c>
    </row>
    <row r="55">
      <c r="A55" s="6" t="s">
        <v>59</v>
      </c>
      <c r="B55" s="6" t="str">
        <f>IFERROR(__xludf.DUMMYFUNCTION("JOIN("" - "", TRANSPOSE(UNIQUE(FILTER(Tests!C$4:C1001, Tests!A$4:A1001=A55))))"),"02-12-2021 - 06-12-2021 - 07-12-2021 - 14-12-2021")</f>
        <v>02-12-2021 - 06-12-2021 - 07-12-2021 - 14-12-2021</v>
      </c>
      <c r="C55" s="6">
        <f>IFERROR(__xludf.DUMMYFUNCTION("COUNTUNIQUE(FILTER(Tests!G$4:G1001, Tests!A$4:A1001=A55))"),4.0)</f>
        <v>4</v>
      </c>
      <c r="D55" s="6"/>
      <c r="E55" s="6"/>
    </row>
    <row r="56">
      <c r="A56" s="6" t="s">
        <v>60</v>
      </c>
      <c r="B56" s="6" t="str">
        <f>IFERROR(__xludf.DUMMYFUNCTION("JOIN("" - "", TRANSPOSE(UNIQUE(FILTER(Tests!C$4:C1001, Tests!A$4:A1001=A56))))"),"15-12-2021")</f>
        <v>15-12-2021</v>
      </c>
      <c r="C56" s="6">
        <f>IFERROR(__xludf.DUMMYFUNCTION("COUNTUNIQUE(FILTER(Tests!G$4:G1001, Tests!A$4:A1001=A56))"),1.0)</f>
        <v>1</v>
      </c>
    </row>
    <row r="57">
      <c r="A57" s="6" t="s">
        <v>61</v>
      </c>
      <c r="B57" s="6" t="str">
        <f>IFERROR(__xludf.DUMMYFUNCTION("JOIN("" - "", TRANSPOSE(UNIQUE(FILTER(Tests!C$4:C1001, Tests!A$4:A1001=A57))))"),"15-12-2021")</f>
        <v>15-12-2021</v>
      </c>
      <c r="C57" s="6">
        <f>IFERROR(__xludf.DUMMYFUNCTION("COUNTUNIQUE(FILTER(Tests!G$4:G1001, Tests!A$4:A1001=A57))"),1.0)</f>
        <v>1</v>
      </c>
    </row>
    <row r="58">
      <c r="A58" s="6" t="s">
        <v>62</v>
      </c>
      <c r="B58" s="6" t="str">
        <f>IFERROR(__xludf.DUMMYFUNCTION("JOIN("" - "", TRANSPOSE(UNIQUE(FILTER(Tests!C$4:C1001, Tests!A$4:A1001=A58))))"),"15-12-2021")</f>
        <v>15-12-2021</v>
      </c>
      <c r="C58" s="6">
        <f>IFERROR(__xludf.DUMMYFUNCTION("COUNTUNIQUE(FILTER(Tests!G$4:G1001, Tests!A$4:A1001=A58))"),1.0)</f>
        <v>1</v>
      </c>
    </row>
    <row r="59">
      <c r="A59" s="6" t="s">
        <v>63</v>
      </c>
      <c r="B59" s="6" t="str">
        <f>IFERROR(__xludf.DUMMYFUNCTION("JOIN("" - "", TRANSPOSE(UNIQUE(FILTER(Tests!C$4:C1001, Tests!A$4:A1001=A59))))"),"19-01-2022 - 08-10-2024")</f>
        <v>19-01-2022 - 08-10-2024</v>
      </c>
      <c r="C59" s="6">
        <f>IFERROR(__xludf.DUMMYFUNCTION("COUNTUNIQUE(FILTER(Tests!G$4:G1001, Tests!A$4:A1001=A59))"),2.0)</f>
        <v>2</v>
      </c>
    </row>
    <row r="60">
      <c r="A60" s="6" t="s">
        <v>64</v>
      </c>
      <c r="B60" s="6" t="str">
        <f>IFERROR(__xludf.DUMMYFUNCTION("JOIN("" - "", TRANSPOSE(UNIQUE(FILTER(Tests!C$4:C1001, Tests!A$4:A1001=A60))))"),"25-01-2022 - 02-02-2022")</f>
        <v>25-01-2022 - 02-02-2022</v>
      </c>
      <c r="C60" s="6">
        <f>IFERROR(__xludf.DUMMYFUNCTION("COUNTUNIQUE(FILTER(Tests!G$4:G1001, Tests!A$4:A1001=A60))"),2.0)</f>
        <v>2</v>
      </c>
    </row>
    <row r="61">
      <c r="A61" s="6" t="s">
        <v>65</v>
      </c>
      <c r="B61" s="6" t="str">
        <f>IFERROR(__xludf.DUMMYFUNCTION("JOIN("" - "", TRANSPOSE(UNIQUE(FILTER(Tests!C$4:C1001, Tests!A$4:A1001=A61))))"),"01-02-2022 - 24-02-2022 - 11-01-2023 - 13-01-2023 - 23-01-2023 - 30-01-2023 - 02-02-2023")</f>
        <v>01-02-2022 - 24-02-2022 - 11-01-2023 - 13-01-2023 - 23-01-2023 - 30-01-2023 - 02-02-2023</v>
      </c>
      <c r="C61" s="6">
        <f>IFERROR(__xludf.DUMMYFUNCTION("COUNTUNIQUE(FILTER(Tests!G$4:G1001, Tests!A$4:A1001=A61))"),7.0)</f>
        <v>7</v>
      </c>
    </row>
    <row r="62">
      <c r="A62" s="6" t="s">
        <v>66</v>
      </c>
      <c r="B62" s="6" t="str">
        <f>IFERROR(__xludf.DUMMYFUNCTION("JOIN("" - "", TRANSPOSE(UNIQUE(FILTER(Tests!C$4:C1001, Tests!A$4:A1001=A62))))"),"24-02-2022")</f>
        <v>24-02-2022</v>
      </c>
      <c r="C62" s="6">
        <f>IFERROR(__xludf.DUMMYFUNCTION("COUNTUNIQUE(FILTER(Tests!G$4:G1001, Tests!A$4:A1001=A62))"),1.0)</f>
        <v>1</v>
      </c>
    </row>
    <row r="63">
      <c r="A63" s="6" t="s">
        <v>67</v>
      </c>
      <c r="B63" s="6" t="str">
        <f>IFERROR(__xludf.DUMMYFUNCTION("JOIN("" - "", TRANSPOSE(UNIQUE(FILTER(Tests!C$4:C1001, Tests!A$4:A1001=A63))))"),"24-02-2022")</f>
        <v>24-02-2022</v>
      </c>
      <c r="C63" s="6">
        <f>IFERROR(__xludf.DUMMYFUNCTION("COUNTUNIQUE(FILTER(Tests!G$4:G1001, Tests!A$4:A1001=A63))"),1.0)</f>
        <v>1</v>
      </c>
    </row>
    <row r="64">
      <c r="A64" s="6" t="s">
        <v>68</v>
      </c>
      <c r="B64" s="6" t="str">
        <f>IFERROR(__xludf.DUMMYFUNCTION("JOIN("" - "", TRANSPOSE(UNIQUE(FILTER(Tests!C$4:C1001, Tests!A$4:A1001=A64))))"),"31-03-2022")</f>
        <v>31-03-2022</v>
      </c>
      <c r="C64" s="6">
        <f>IFERROR(__xludf.DUMMYFUNCTION("COUNTUNIQUE(FILTER(Tests!G$4:G1001, Tests!A$4:A1001=A64))"),1.0)</f>
        <v>1</v>
      </c>
    </row>
    <row r="65">
      <c r="A65" s="6" t="s">
        <v>69</v>
      </c>
      <c r="B65" s="6" t="str">
        <f>IFERROR(__xludf.DUMMYFUNCTION("JOIN("" - "", TRANSPOSE(UNIQUE(FILTER(Tests!C$4:C1001, Tests!A$4:A1001=A65))))"),"05-04-2022")</f>
        <v>05-04-2022</v>
      </c>
      <c r="C65" s="6">
        <f>IFERROR(__xludf.DUMMYFUNCTION("COUNTUNIQUE(FILTER(Tests!G$4:G1001, Tests!A$4:A1001=A65))"),1.0)</f>
        <v>1</v>
      </c>
    </row>
    <row r="66">
      <c r="A66" s="6" t="s">
        <v>70</v>
      </c>
      <c r="B66" s="6" t="str">
        <f>IFERROR(__xludf.DUMMYFUNCTION("JOIN("" - "", TRANSPOSE(UNIQUE(FILTER(Tests!C$4:C1001, Tests!A$4:A1001=A66))))"),"06-04-2022")</f>
        <v>06-04-2022</v>
      </c>
      <c r="C66" s="6">
        <f>IFERROR(__xludf.DUMMYFUNCTION("COUNTUNIQUE(FILTER(Tests!G$4:G1001, Tests!A$4:A1001=A66))"),1.0)</f>
        <v>1</v>
      </c>
    </row>
    <row r="67">
      <c r="A67" s="6" t="s">
        <v>71</v>
      </c>
      <c r="B67" s="6" t="str">
        <f>IFERROR(__xludf.DUMMYFUNCTION("JOIN("" - "", TRANSPOSE(UNIQUE(FILTER(Tests!C$4:C1001, Tests!A$4:A1001=A67))))"),"12-04-2022")</f>
        <v>12-04-2022</v>
      </c>
      <c r="C67" s="6">
        <f>IFERROR(__xludf.DUMMYFUNCTION("COUNTUNIQUE(FILTER(Tests!G$4:G1001, Tests!A$4:A1001=A67))"),1.0)</f>
        <v>1</v>
      </c>
    </row>
    <row r="68">
      <c r="A68" s="6" t="s">
        <v>72</v>
      </c>
      <c r="B68" s="6" t="str">
        <f>IFERROR(__xludf.DUMMYFUNCTION("JOIN("" - "", TRANSPOSE(UNIQUE(FILTER(Tests!C$4:C1001, Tests!A$4:A1001=A68))))"),"04-05-2022")</f>
        <v>04-05-2022</v>
      </c>
      <c r="C68" s="6">
        <f>IFERROR(__xludf.DUMMYFUNCTION("COUNTUNIQUE(FILTER(Tests!G$4:G1001, Tests!A$4:A1001=A68))"),1.0)</f>
        <v>1</v>
      </c>
    </row>
    <row r="69">
      <c r="A69" s="6" t="s">
        <v>73</v>
      </c>
      <c r="B69" s="6" t="str">
        <f>IFERROR(__xludf.DUMMYFUNCTION("JOIN("" - "", TRANSPOSE(UNIQUE(FILTER(Tests!C$4:C1001, Tests!A$4:A1001=A69))))"),"16-05-2022")</f>
        <v>16-05-2022</v>
      </c>
      <c r="C69" s="6">
        <f>IFERROR(__xludf.DUMMYFUNCTION("COUNTUNIQUE(FILTER(Tests!G$4:G1001, Tests!A$4:A1001=A69))"),1.0)</f>
        <v>1</v>
      </c>
    </row>
    <row r="70">
      <c r="A70" s="6" t="s">
        <v>74</v>
      </c>
      <c r="B70" s="6" t="str">
        <f>IFERROR(__xludf.DUMMYFUNCTION("JOIN("" - "", TRANSPOSE(UNIQUE(FILTER(Tests!C$4:C1001, Tests!A$4:A1001=A70))))"),"08-06-2022")</f>
        <v>08-06-2022</v>
      </c>
      <c r="C70" s="6">
        <f>IFERROR(__xludf.DUMMYFUNCTION("COUNTUNIQUE(FILTER(Tests!G$4:G1001, Tests!A$4:A1001=A70))"),1.0)</f>
        <v>1</v>
      </c>
    </row>
    <row r="71">
      <c r="A71" s="6" t="s">
        <v>75</v>
      </c>
      <c r="B71" s="6" t="str">
        <f>IFERROR(__xludf.DUMMYFUNCTION("JOIN("" - "", TRANSPOSE(UNIQUE(FILTER(Tests!C$4:C1001, Tests!A$4:A1001=A71))))"),"08-06-2022")</f>
        <v>08-06-2022</v>
      </c>
      <c r="C71" s="6">
        <f>IFERROR(__xludf.DUMMYFUNCTION("COUNTUNIQUE(FILTER(Tests!G$4:G1001, Tests!A$4:A1001=A71))"),1.0)</f>
        <v>1</v>
      </c>
    </row>
    <row r="72">
      <c r="A72" s="6" t="s">
        <v>76</v>
      </c>
      <c r="B72" s="6" t="str">
        <f>IFERROR(__xludf.DUMMYFUNCTION("JOIN("" - "", TRANSPOSE(UNIQUE(FILTER(Tests!C$4:C1001, Tests!A$4:A1001=A72))))"),"21-06-2022")</f>
        <v>21-06-2022</v>
      </c>
      <c r="C72" s="6">
        <f>IFERROR(__xludf.DUMMYFUNCTION("COUNTUNIQUE(FILTER(Tests!G$4:G1001, Tests!A$4:A1001=A72))"),1.0)</f>
        <v>1</v>
      </c>
    </row>
    <row r="73">
      <c r="A73" s="6" t="s">
        <v>77</v>
      </c>
      <c r="B73" s="6" t="str">
        <f>IFERROR(__xludf.DUMMYFUNCTION("JOIN("" - "", TRANSPOSE(UNIQUE(FILTER(Tests!C$4:C1001, Tests!A$4:A1001=A73))))"),"28-06-2022")</f>
        <v>28-06-2022</v>
      </c>
      <c r="C73" s="6">
        <f>IFERROR(__xludf.DUMMYFUNCTION("COUNTUNIQUE(FILTER(Tests!G$4:G1001, Tests!A$4:A1001=A73))"),1.0)</f>
        <v>1</v>
      </c>
    </row>
    <row r="74">
      <c r="A74" s="6" t="s">
        <v>78</v>
      </c>
      <c r="B74" s="6" t="str">
        <f>IFERROR(__xludf.DUMMYFUNCTION("JOIN("" - "", TRANSPOSE(UNIQUE(FILTER(Tests!C$4:C1001, Tests!A$4:A1001=A74))))"),"01-07-2022")</f>
        <v>01-07-2022</v>
      </c>
      <c r="C74" s="6">
        <f>IFERROR(__xludf.DUMMYFUNCTION("COUNTUNIQUE(FILTER(Tests!G$4:G1001, Tests!A$4:A1001=A74))"),1.0)</f>
        <v>1</v>
      </c>
    </row>
    <row r="75">
      <c r="A75" s="6" t="s">
        <v>79</v>
      </c>
      <c r="B75" s="6" t="str">
        <f>IFERROR(__xludf.DUMMYFUNCTION("JOIN("" - "", TRANSPOSE(UNIQUE(FILTER(Tests!C$4:C1001, Tests!A$4:A1001=A75))))"),"04-07-2022")</f>
        <v>04-07-2022</v>
      </c>
      <c r="C75" s="6">
        <f>IFERROR(__xludf.DUMMYFUNCTION("COUNTUNIQUE(FILTER(Tests!G$4:G1001, Tests!A$4:A1001=A75))"),1.0)</f>
        <v>1</v>
      </c>
    </row>
    <row r="76">
      <c r="A76" s="6" t="s">
        <v>80</v>
      </c>
      <c r="B76" s="6" t="str">
        <f>IFERROR(__xludf.DUMMYFUNCTION("JOIN("" - "", TRANSPOSE(UNIQUE(FILTER(Tests!C$4:C1001, Tests!A$4:A1001=A76))))"),"05-07-2022")</f>
        <v>05-07-2022</v>
      </c>
      <c r="C76" s="6">
        <f>IFERROR(__xludf.DUMMYFUNCTION("COUNTUNIQUE(FILTER(Tests!G$4:G1001, Tests!A$4:A1001=A76))"),1.0)</f>
        <v>1</v>
      </c>
    </row>
    <row r="77">
      <c r="A77" s="6" t="s">
        <v>81</v>
      </c>
      <c r="B77" s="6" t="str">
        <f>IFERROR(__xludf.DUMMYFUNCTION("JOIN("" - "", TRANSPOSE(UNIQUE(FILTER(Tests!C$4:C1001, Tests!A$4:A1001=A77))))"),"06-07-2022")</f>
        <v>06-07-2022</v>
      </c>
      <c r="C77" s="6">
        <f>IFERROR(__xludf.DUMMYFUNCTION("COUNTUNIQUE(FILTER(Tests!G$4:G1001, Tests!A$4:A1001=A77))"),1.0)</f>
        <v>1</v>
      </c>
    </row>
    <row r="78">
      <c r="A78" s="6" t="s">
        <v>82</v>
      </c>
      <c r="B78" s="6" t="str">
        <f>IFERROR(__xludf.DUMMYFUNCTION("JOIN("" - "", TRANSPOSE(UNIQUE(FILTER(Tests!C$4:C1001, Tests!A$4:A1001=A78))))"),"29-07-2022")</f>
        <v>29-07-2022</v>
      </c>
      <c r="C78" s="6">
        <f>IFERROR(__xludf.DUMMYFUNCTION("COUNTUNIQUE(FILTER(Tests!G$4:G1001, Tests!A$4:A1001=A78))"),1.0)</f>
        <v>1</v>
      </c>
    </row>
    <row r="79">
      <c r="A79" s="6" t="s">
        <v>83</v>
      </c>
      <c r="B79" s="6" t="str">
        <f>IFERROR(__xludf.DUMMYFUNCTION("JOIN("" - "", TRANSPOSE(UNIQUE(FILTER(Tests!C$4:C1001, Tests!A$4:A1001=A79))))"),"29-09-2022 - 10-10-2022 - 11-10-2022")</f>
        <v>29-09-2022 - 10-10-2022 - 11-10-2022</v>
      </c>
      <c r="C79" s="6">
        <f>IFERROR(__xludf.DUMMYFUNCTION("COUNTUNIQUE(FILTER(Tests!G$4:G1001, Tests!A$4:A1001=A79))"),3.0)</f>
        <v>3</v>
      </c>
    </row>
    <row r="80">
      <c r="A80" s="6" t="s">
        <v>84</v>
      </c>
      <c r="C80" s="6">
        <f>IFERROR(__xludf.DUMMYFUNCTION("COUNTUNIQUE(FILTER(Tests!G$4:G1001, Tests!A$4:A1001=A80))"),1.0)</f>
        <v>1</v>
      </c>
    </row>
    <row r="81">
      <c r="A81" s="6" t="s">
        <v>85</v>
      </c>
      <c r="C81" s="6">
        <f>IFERROR(__xludf.DUMMYFUNCTION("COUNTUNIQUE(FILTER(Tests!G$4:G1001, Tests!A$4:A1001=A81))"),1.0)</f>
        <v>1</v>
      </c>
    </row>
    <row r="82">
      <c r="A82" s="6" t="s">
        <v>86</v>
      </c>
      <c r="C82" s="6">
        <f>IFERROR(__xludf.DUMMYFUNCTION("COUNTUNIQUE(FILTER(Tests!G$4:G1001, Tests!A$4:A1001=A82))"),1.0)</f>
        <v>1</v>
      </c>
    </row>
    <row r="83">
      <c r="A83" s="6" t="s">
        <v>87</v>
      </c>
      <c r="C83" s="6">
        <f>IFERROR(__xludf.DUMMYFUNCTION("COUNTUNIQUE(FILTER(Tests!G$4:G1001, Tests!A$4:A1001=A83))"),1.0)</f>
        <v>1</v>
      </c>
    </row>
    <row r="84">
      <c r="A84" s="6" t="s">
        <v>88</v>
      </c>
      <c r="C84" s="6">
        <f>IFERROR(__xludf.DUMMYFUNCTION("COUNTUNIQUE(FILTER(Tests!G$4:G1001, Tests!A$4:A1001=A84))"),2.0)</f>
        <v>2</v>
      </c>
    </row>
    <row r="85">
      <c r="A85" s="6" t="s">
        <v>89</v>
      </c>
      <c r="C85" s="6">
        <f>IFERROR(__xludf.DUMMYFUNCTION("COUNTUNIQUE(FILTER(Tests!G$4:G1001, Tests!A$4:A1001=A85))"),2.0)</f>
        <v>2</v>
      </c>
    </row>
    <row r="86">
      <c r="A86" s="6" t="s">
        <v>90</v>
      </c>
      <c r="C86" s="6">
        <f>IFERROR(__xludf.DUMMYFUNCTION("COUNTUNIQUE(FILTER(Tests!G$4:G1001, Tests!A$4:A1001=A86))"),1.0)</f>
        <v>1</v>
      </c>
    </row>
    <row r="87">
      <c r="A87" s="6" t="s">
        <v>91</v>
      </c>
      <c r="C87" s="6">
        <f>IFERROR(__xludf.DUMMYFUNCTION("COUNTUNIQUE(FILTER(Tests!G$4:G1001, Tests!A$4:A1001=A87))"),1.0)</f>
        <v>1</v>
      </c>
    </row>
    <row r="88">
      <c r="A88" s="6" t="s">
        <v>92</v>
      </c>
      <c r="C88" s="6">
        <f>IFERROR(__xludf.DUMMYFUNCTION("COUNTUNIQUE(FILTER(Tests!G$4:G1001, Tests!A$4:A1001=A88))"),1.0)</f>
        <v>1</v>
      </c>
    </row>
    <row r="89">
      <c r="A89" s="6" t="s">
        <v>93</v>
      </c>
      <c r="C89" s="6">
        <f>IFERROR(__xludf.DUMMYFUNCTION("COUNTUNIQUE(FILTER(Tests!G$4:G1001, Tests!A$4:A1001=A89))"),1.0)</f>
        <v>1</v>
      </c>
    </row>
    <row r="90">
      <c r="A90" s="6" t="s">
        <v>94</v>
      </c>
      <c r="C90" s="6">
        <f>IFERROR(__xludf.DUMMYFUNCTION("COUNTUNIQUE(FILTER(Tests!G$4:G1001, Tests!A$4:A1001=A90))"),1.0)</f>
        <v>1</v>
      </c>
    </row>
    <row r="91">
      <c r="A91" s="6" t="s">
        <v>95</v>
      </c>
      <c r="C91" s="6">
        <f>IFERROR(__xludf.DUMMYFUNCTION("COUNTUNIQUE(FILTER(Tests!G$4:G1001, Tests!A$4:A1001=A91))"),1.0)</f>
        <v>1</v>
      </c>
    </row>
    <row r="92">
      <c r="A92" s="6" t="s">
        <v>96</v>
      </c>
      <c r="C92" s="6">
        <f>IFERROR(__xludf.DUMMYFUNCTION("COUNTUNIQUE(FILTER(Tests!G$4:G1001, Tests!A$4:A1001=A92))"),1.0)</f>
        <v>1</v>
      </c>
    </row>
    <row r="93">
      <c r="A93" s="6" t="s">
        <v>97</v>
      </c>
      <c r="C93" s="6">
        <f>IFERROR(__xludf.DUMMYFUNCTION("COUNTUNIQUE(FILTER(Tests!G$4:G1001, Tests!A$4:A1001=A93))"),1.0)</f>
        <v>1</v>
      </c>
    </row>
    <row r="94">
      <c r="A94" s="6" t="s">
        <v>98</v>
      </c>
      <c r="C94" s="6">
        <f>IFERROR(__xludf.DUMMYFUNCTION("COUNTUNIQUE(FILTER(Tests!G$4:G1001, Tests!A$4:A1001=A94))"),1.0)</f>
        <v>1</v>
      </c>
    </row>
    <row r="95">
      <c r="A95" s="6" t="s">
        <v>99</v>
      </c>
      <c r="C95" s="6">
        <f>IFERROR(__xludf.DUMMYFUNCTION("COUNTUNIQUE(FILTER(Tests!G$4:G1001, Tests!A$4:A1001=A95))"),1.0)</f>
        <v>1</v>
      </c>
    </row>
    <row r="96">
      <c r="A96" s="6" t="s">
        <v>100</v>
      </c>
      <c r="C96" s="6">
        <f>IFERROR(__xludf.DUMMYFUNCTION("COUNTUNIQUE(FILTER(Tests!G$4:G1001, Tests!A$4:A1001=A96))"),1.0)</f>
        <v>1</v>
      </c>
    </row>
    <row r="97">
      <c r="A97" s="6" t="s">
        <v>101</v>
      </c>
      <c r="C97" s="6">
        <f>IFERROR(__xludf.DUMMYFUNCTION("COUNTUNIQUE(FILTER(Tests!G$4:G1001, Tests!A$4:A1001=A97))"),1.0)</f>
        <v>1</v>
      </c>
    </row>
    <row r="98">
      <c r="A98" s="6" t="s">
        <v>102</v>
      </c>
      <c r="C98" s="6">
        <f>IFERROR(__xludf.DUMMYFUNCTION("COUNTUNIQUE(FILTER(Tests!G$4:G1001, Tests!A$4:A1001=A98))"),1.0)</f>
        <v>1</v>
      </c>
    </row>
    <row r="99">
      <c r="A99" s="6" t="s">
        <v>103</v>
      </c>
      <c r="C99" s="6">
        <f>IFERROR(__xludf.DUMMYFUNCTION("COUNTUNIQUE(FILTER(Tests!G$4:G1001, Tests!A$4:A1001=A99))"),1.0)</f>
        <v>1</v>
      </c>
    </row>
    <row r="100">
      <c r="A100" s="6" t="s">
        <v>104</v>
      </c>
      <c r="C100" s="6">
        <f>IFERROR(__xludf.DUMMYFUNCTION("COUNTUNIQUE(FILTER(Tests!G$4:G1001, Tests!A$4:A1001=A100))"),1.0)</f>
        <v>1</v>
      </c>
    </row>
    <row r="101">
      <c r="A101" s="6" t="s">
        <v>105</v>
      </c>
      <c r="C101" s="6">
        <f>IFERROR(__xludf.DUMMYFUNCTION("COUNTUNIQUE(FILTER(Tests!G$4:G1001, Tests!A$4:A1001=A101))"),1.0)</f>
        <v>1</v>
      </c>
    </row>
    <row r="102">
      <c r="A102" s="6" t="s">
        <v>106</v>
      </c>
      <c r="C102" s="6">
        <f>IFERROR(__xludf.DUMMYFUNCTION("COUNTUNIQUE(FILTER(Tests!G$4:G1001, Tests!A$4:A1001=A102))"),1.0)</f>
        <v>1</v>
      </c>
    </row>
    <row r="103">
      <c r="A103" s="6" t="s">
        <v>107</v>
      </c>
      <c r="C103" s="6">
        <f>IFERROR(__xludf.DUMMYFUNCTION("COUNTUNIQUE(FILTER(Tests!G$4:G1001, Tests!A$4:A1001=A103))"),1.0)</f>
        <v>1</v>
      </c>
    </row>
    <row r="104">
      <c r="A104" s="6" t="s">
        <v>108</v>
      </c>
      <c r="C104" s="6">
        <f>IFERROR(__xludf.DUMMYFUNCTION("COUNTUNIQUE(FILTER(Tests!G$4:G1001, Tests!A$4:A1001=A104))"),5.0)</f>
        <v>5</v>
      </c>
    </row>
    <row r="105">
      <c r="A105" s="6" t="s">
        <v>109</v>
      </c>
      <c r="C105" s="6">
        <f>IFERROR(__xludf.DUMMYFUNCTION("COUNTUNIQUE(FILTER(Tests!G$4:G1001, Tests!A$4:A1001=A105))"),2.0)</f>
        <v>2</v>
      </c>
    </row>
    <row r="106">
      <c r="A106" s="6" t="s">
        <v>110</v>
      </c>
      <c r="C106" s="6">
        <f>IFERROR(__xludf.DUMMYFUNCTION("COUNTUNIQUE(FILTER(Tests!G$4:G1001, Tests!A$4:A1001=A106))"),2.0)</f>
        <v>2</v>
      </c>
    </row>
    <row r="107">
      <c r="A107" s="6" t="s">
        <v>111</v>
      </c>
      <c r="C107" s="6">
        <f>IFERROR(__xludf.DUMMYFUNCTION("COUNTUNIQUE(FILTER(Tests!G$4:G1001, Tests!A$4:A1001=A107))"),1.0)</f>
        <v>1</v>
      </c>
    </row>
    <row r="108">
      <c r="A108" s="6" t="s">
        <v>112</v>
      </c>
      <c r="C108" s="6">
        <f>IFERROR(__xludf.DUMMYFUNCTION("COUNTUNIQUE(FILTER(Tests!G$4:G1001, Tests!A$4:A1001=A108))"),1.0)</f>
        <v>1</v>
      </c>
    </row>
    <row r="109">
      <c r="A109" s="6" t="s">
        <v>113</v>
      </c>
      <c r="C109" s="6">
        <f>IFERROR(__xludf.DUMMYFUNCTION("COUNTUNIQUE(FILTER(Tests!G$4:G1001, Tests!A$4:A1001=A109))"),1.0)</f>
        <v>1</v>
      </c>
    </row>
    <row r="110">
      <c r="A110" s="6" t="s">
        <v>114</v>
      </c>
      <c r="C110" s="6">
        <f>IFERROR(__xludf.DUMMYFUNCTION("COUNTUNIQUE(FILTER(Tests!G$4:G1001, Tests!A$4:A1001=A110))"),1.0)</f>
        <v>1</v>
      </c>
    </row>
    <row r="111">
      <c r="A111" s="6" t="s">
        <v>115</v>
      </c>
      <c r="C111" s="6">
        <f>IFERROR(__xludf.DUMMYFUNCTION("COUNTUNIQUE(FILTER(Tests!G$4:G1001, Tests!A$4:A1001=A111))"),1.0)</f>
        <v>1</v>
      </c>
    </row>
    <row r="112">
      <c r="A112" s="6" t="s">
        <v>116</v>
      </c>
      <c r="C112" s="6">
        <f>IFERROR(__xludf.DUMMYFUNCTION("COUNTUNIQUE(FILTER(Tests!G$4:G1001, Tests!A$4:A1001=A112))"),1.0)</f>
        <v>1</v>
      </c>
    </row>
    <row r="113">
      <c r="A113" s="6" t="s">
        <v>117</v>
      </c>
      <c r="C113" s="6">
        <f>IFERROR(__xludf.DUMMYFUNCTION("COUNTUNIQUE(FILTER(Tests!G$4:G1001, Tests!A$4:A1001=A113))"),1.0)</f>
        <v>1</v>
      </c>
    </row>
    <row r="114">
      <c r="A114" s="6" t="s">
        <v>118</v>
      </c>
      <c r="C114" s="6">
        <f>IFERROR(__xludf.DUMMYFUNCTION("COUNTUNIQUE(FILTER(Tests!G$4:G1001, Tests!A$4:A1001=A114))"),1.0)</f>
        <v>1</v>
      </c>
    </row>
    <row r="115">
      <c r="A115" s="6" t="s">
        <v>119</v>
      </c>
      <c r="C115" s="6">
        <f>IFERROR(__xludf.DUMMYFUNCTION("COUNTUNIQUE(FILTER(Tests!G$4:G1001, Tests!A$4:A1001=A115))"),1.0)</f>
        <v>1</v>
      </c>
    </row>
    <row r="116">
      <c r="A116" s="6" t="s">
        <v>120</v>
      </c>
      <c r="C116" s="6">
        <f>IFERROR(__xludf.DUMMYFUNCTION("COUNTUNIQUE(FILTER(Tests!G$4:G1001, Tests!A$4:A1001=A116))"),1.0)</f>
        <v>1</v>
      </c>
    </row>
    <row r="117">
      <c r="A117" s="6" t="s">
        <v>121</v>
      </c>
      <c r="C117" s="6">
        <f>IFERROR(__xludf.DUMMYFUNCTION("COUNTUNIQUE(FILTER(Tests!G$4:G1001, Tests!A$4:A1001=A117))"),1.0)</f>
        <v>1</v>
      </c>
    </row>
    <row r="118">
      <c r="A118" s="6" t="s">
        <v>122</v>
      </c>
      <c r="C118" s="6">
        <f>IFERROR(__xludf.DUMMYFUNCTION("COUNTUNIQUE(FILTER(Tests!G$4:G1001, Tests!A$4:A1001=A118))"),1.0)</f>
        <v>1</v>
      </c>
    </row>
    <row r="119">
      <c r="A119" s="6" t="s">
        <v>123</v>
      </c>
      <c r="C119" s="6">
        <f>IFERROR(__xludf.DUMMYFUNCTION("COUNTUNIQUE(FILTER(Tests!G$4:G1001, Tests!A$4:A1001=A119))"),1.0)</f>
        <v>1</v>
      </c>
    </row>
    <row r="120">
      <c r="A120" s="6" t="s">
        <v>124</v>
      </c>
      <c r="C120" s="6">
        <f>IFERROR(__xludf.DUMMYFUNCTION("COUNTUNIQUE(FILTER(Tests!G$4:G1001, Tests!A$4:A1001=A120))"),2.0)</f>
        <v>2</v>
      </c>
    </row>
    <row r="121">
      <c r="A121" s="6" t="s">
        <v>125</v>
      </c>
      <c r="C121" s="6">
        <f>IFERROR(__xludf.DUMMYFUNCTION("COUNTUNIQUE(FILTER(Tests!G$4:G1001, Tests!A$4:A1001=A121))"),1.0)</f>
        <v>1</v>
      </c>
    </row>
    <row r="122">
      <c r="A122" s="6" t="s">
        <v>126</v>
      </c>
      <c r="C122" s="6">
        <f>IFERROR(__xludf.DUMMYFUNCTION("COUNTUNIQUE(FILTER(Tests!G$4:G1001, Tests!A$4:A1001=A122))"),1.0)</f>
        <v>1</v>
      </c>
    </row>
    <row r="123">
      <c r="A123" s="6" t="s">
        <v>127</v>
      </c>
      <c r="C123" s="6">
        <f>IFERROR(__xludf.DUMMYFUNCTION("COUNTUNIQUE(FILTER(Tests!G$4:G1001, Tests!A$4:A1001=A123))"),1.0)</f>
        <v>1</v>
      </c>
    </row>
    <row r="124">
      <c r="A124" s="6" t="s">
        <v>128</v>
      </c>
      <c r="C124" s="6">
        <f>IFERROR(__xludf.DUMMYFUNCTION("COUNTUNIQUE(FILTER(Tests!G$4:G1001, Tests!A$4:A1001=A124))"),1.0)</f>
        <v>1</v>
      </c>
    </row>
    <row r="125">
      <c r="A125" s="6" t="s">
        <v>129</v>
      </c>
      <c r="C125" s="6">
        <f>IFERROR(__xludf.DUMMYFUNCTION("COUNTUNIQUE(FILTER(Tests!G$4:G1001, Tests!A$4:A1001=A125))"),1.0)</f>
        <v>1</v>
      </c>
    </row>
    <row r="126">
      <c r="A126" s="6" t="s">
        <v>130</v>
      </c>
      <c r="C126" s="6">
        <f>IFERROR(__xludf.DUMMYFUNCTION("COUNTUNIQUE(FILTER(Tests!G$4:G1001, Tests!A$4:A1001=A126))"),1.0)</f>
        <v>1</v>
      </c>
    </row>
    <row r="127">
      <c r="A127" s="6" t="s">
        <v>131</v>
      </c>
      <c r="C127" s="6">
        <f>IFERROR(__xludf.DUMMYFUNCTION("COUNTUNIQUE(FILTER(Tests!G$4:G1001, Tests!A$4:A1001=A127))"),1.0)</f>
        <v>1</v>
      </c>
    </row>
    <row r="128">
      <c r="A128" s="6" t="s">
        <v>132</v>
      </c>
      <c r="C128" s="6">
        <f>IFERROR(__xludf.DUMMYFUNCTION("COUNTUNIQUE(FILTER(Tests!G$4:G1001, Tests!A$4:A1001=A128))"),1.0)</f>
        <v>1</v>
      </c>
    </row>
    <row r="129">
      <c r="A129" s="6" t="s">
        <v>133</v>
      </c>
      <c r="C129" s="6">
        <f>IFERROR(__xludf.DUMMYFUNCTION("COUNTUNIQUE(FILTER(Tests!G$4:G1001, Tests!A$4:A1001=A129))"),1.0)</f>
        <v>1</v>
      </c>
    </row>
    <row r="130">
      <c r="A130" s="6" t="s">
        <v>134</v>
      </c>
      <c r="C130" s="6">
        <f>IFERROR(__xludf.DUMMYFUNCTION("COUNTUNIQUE(FILTER(Tests!G$4:G1001, Tests!A$4:A1001=A130))"),1.0)</f>
        <v>1</v>
      </c>
    </row>
    <row r="131">
      <c r="A131" s="6" t="s">
        <v>135</v>
      </c>
      <c r="C131" s="6">
        <f>IFERROR(__xludf.DUMMYFUNCTION("COUNTUNIQUE(FILTER(Tests!G$4:G1001, Tests!A$4:A1001=A131))"),1.0)</f>
        <v>1</v>
      </c>
    </row>
    <row r="132">
      <c r="A132" s="6" t="s">
        <v>136</v>
      </c>
      <c r="C132" s="6">
        <f>IFERROR(__xludf.DUMMYFUNCTION("COUNTUNIQUE(FILTER(Tests!G$4:G1001, Tests!A$4:A1001=A132))"),1.0)</f>
        <v>1</v>
      </c>
    </row>
    <row r="133">
      <c r="A133" s="6" t="s">
        <v>137</v>
      </c>
      <c r="C133" s="6">
        <f>IFERROR(__xludf.DUMMYFUNCTION("COUNTUNIQUE(FILTER(Tests!G$4:G1001, Tests!A$4:A1001=A133))"),1.0)</f>
        <v>1</v>
      </c>
    </row>
    <row r="134">
      <c r="A134" s="6" t="s">
        <v>138</v>
      </c>
      <c r="C134" s="6">
        <f>IFERROR(__xludf.DUMMYFUNCTION("COUNTUNIQUE(FILTER(Tests!G$4:G1001, Tests!A$4:A1001=A134))"),1.0)</f>
        <v>1</v>
      </c>
    </row>
    <row r="135">
      <c r="A135" s="6" t="s">
        <v>139</v>
      </c>
      <c r="C135" s="6">
        <f>IFERROR(__xludf.DUMMYFUNCTION("COUNTUNIQUE(FILTER(Tests!G$4:G1001, Tests!A$4:A1001=A135))"),1.0)</f>
        <v>1</v>
      </c>
    </row>
    <row r="136">
      <c r="A136" s="6" t="s">
        <v>140</v>
      </c>
      <c r="C136" s="6">
        <f>IFERROR(__xludf.DUMMYFUNCTION("COUNTUNIQUE(FILTER(Tests!G$4:G1001, Tests!A$4:A1001=A136))"),1.0)</f>
        <v>1</v>
      </c>
    </row>
    <row r="137">
      <c r="A137" s="6" t="s">
        <v>141</v>
      </c>
      <c r="C137" s="6">
        <f>IFERROR(__xludf.DUMMYFUNCTION("COUNTUNIQUE(FILTER(Tests!G$4:G1001, Tests!A$4:A1001=A137))"),1.0)</f>
        <v>1</v>
      </c>
    </row>
    <row r="138">
      <c r="A138" s="6" t="s">
        <v>142</v>
      </c>
      <c r="C138" s="6">
        <f>IFERROR(__xludf.DUMMYFUNCTION("COUNTUNIQUE(FILTER(Tests!G$4:G1001, Tests!A$4:A1001=A138))"),1.0)</f>
        <v>1</v>
      </c>
    </row>
    <row r="139">
      <c r="A139" s="6" t="s">
        <v>143</v>
      </c>
      <c r="C139" s="6">
        <f>IFERROR(__xludf.DUMMYFUNCTION("COUNTUNIQUE(FILTER(Tests!G$4:G1001, Tests!A$4:A1001=A139))"),1.0)</f>
        <v>1</v>
      </c>
    </row>
    <row r="140">
      <c r="A140" s="6" t="s">
        <v>144</v>
      </c>
      <c r="C140" s="6">
        <f>IFERROR(__xludf.DUMMYFUNCTION("COUNTUNIQUE(FILTER(Tests!G$4:G1001, Tests!A$4:A1001=A140))"),1.0)</f>
        <v>1</v>
      </c>
    </row>
    <row r="141">
      <c r="A141" s="6" t="s">
        <v>145</v>
      </c>
      <c r="C141" s="6">
        <f>IFERROR(__xludf.DUMMYFUNCTION("COUNTUNIQUE(FILTER(Tests!G$4:G1001, Tests!A$4:A1001=A141))"),1.0)</f>
        <v>1</v>
      </c>
    </row>
    <row r="142">
      <c r="A142" s="6" t="s">
        <v>146</v>
      </c>
      <c r="C142" s="6">
        <f>IFERROR(__xludf.DUMMYFUNCTION("COUNTUNIQUE(FILTER(Tests!G$4:G1001, Tests!A$4:A1001=A142))"),1.0)</f>
        <v>1</v>
      </c>
    </row>
    <row r="143">
      <c r="A143" s="6" t="s">
        <v>147</v>
      </c>
      <c r="C143" s="6">
        <f>IFERROR(__xludf.DUMMYFUNCTION("COUNTUNIQUE(FILTER(Tests!G$4:G1001, Tests!A$4:A1001=A143))"),1.0)</f>
        <v>1</v>
      </c>
    </row>
    <row r="144">
      <c r="A144" s="6" t="s">
        <v>148</v>
      </c>
      <c r="C144" s="6">
        <f>IFERROR(__xludf.DUMMYFUNCTION("COUNTUNIQUE(FILTER(Tests!G$4:G1001, Tests!A$4:A1001=A144))"),1.0)</f>
        <v>1</v>
      </c>
    </row>
    <row r="145">
      <c r="A145" s="6" t="s">
        <v>149</v>
      </c>
      <c r="C145" s="6">
        <f>IFERROR(__xludf.DUMMYFUNCTION("COUNTUNIQUE(FILTER(Tests!G$4:G1001, Tests!A$4:A1001=A145))"),1.0)</f>
        <v>1</v>
      </c>
    </row>
    <row r="146">
      <c r="A146" s="6" t="s">
        <v>150</v>
      </c>
      <c r="C146" s="6">
        <f>IFERROR(__xludf.DUMMYFUNCTION("COUNTUNIQUE(FILTER(Tests!G$4:G1001, Tests!A$4:A1001=A146))"),1.0)</f>
        <v>1</v>
      </c>
    </row>
    <row r="147">
      <c r="A147" s="6" t="s">
        <v>151</v>
      </c>
      <c r="C147" s="6">
        <f>IFERROR(__xludf.DUMMYFUNCTION("COUNTUNIQUE(FILTER(Tests!G$4:G1001, Tests!A$4:A1001=A147))"),3.0)</f>
        <v>3</v>
      </c>
    </row>
    <row r="148">
      <c r="A148" s="6" t="s">
        <v>152</v>
      </c>
      <c r="B148" s="5">
        <v>45940.0</v>
      </c>
      <c r="C148" s="6">
        <f>IFERROR(__xludf.DUMMYFUNCTION("COUNTUNIQUE(FILTER(Tests!G$4:G1001, Tests!A$4:A1001=A148))"),1.0)</f>
        <v>1</v>
      </c>
    </row>
    <row r="149">
      <c r="A149" s="6" t="s">
        <v>153</v>
      </c>
    </row>
    <row r="150">
      <c r="A150" s="6" t="s">
        <v>154</v>
      </c>
    </row>
    <row r="151">
      <c r="A151" s="6" t="s">
        <v>155</v>
      </c>
    </row>
    <row r="152">
      <c r="A152" s="6" t="s">
        <v>156</v>
      </c>
    </row>
    <row r="153">
      <c r="A153" s="6" t="s">
        <v>157</v>
      </c>
    </row>
    <row r="154">
      <c r="A154" s="6" t="s">
        <v>158</v>
      </c>
    </row>
    <row r="155">
      <c r="A155" s="6" t="s">
        <v>159</v>
      </c>
    </row>
  </sheetData>
  <hyperlinks>
    <hyperlink r:id="rId1" ref="D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6.88"/>
    <col customWidth="1" min="3" max="3" width="10.25"/>
    <col customWidth="1" min="5" max="7" width="19.88"/>
    <col customWidth="1" min="8" max="8" width="61.13"/>
    <col customWidth="1" min="10" max="10" width="41.38"/>
  </cols>
  <sheetData>
    <row r="1">
      <c r="A1" s="13"/>
      <c r="B1" s="14" t="s">
        <v>160</v>
      </c>
      <c r="C1" s="15" t="s">
        <v>161</v>
      </c>
      <c r="D1" s="16" t="s">
        <v>162</v>
      </c>
    </row>
    <row r="2">
      <c r="A2" s="17"/>
      <c r="B2" s="18" t="s">
        <v>163</v>
      </c>
      <c r="C2" s="19">
        <f>IFERROR(__xludf.DUMMYFUNCTION("COUNTUNIQUE(Tests!M$4:M1018)"),10.0)</f>
        <v>10</v>
      </c>
      <c r="D2" s="20" t="s">
        <v>164</v>
      </c>
    </row>
    <row r="3">
      <c r="A3" s="17"/>
      <c r="B3" s="21" t="s">
        <v>165</v>
      </c>
      <c r="C3" s="22">
        <f>SUM(C4:C11)</f>
        <v>2235</v>
      </c>
      <c r="D3" s="23"/>
    </row>
    <row r="4">
      <c r="A4" s="17"/>
      <c r="B4" s="24" t="str">
        <f t="array" ref="B4:B14">UNIQUE(Tests!M$4:M1018)</f>
        <v>N2</v>
      </c>
      <c r="C4" s="25">
        <f>COUNTIF(Tests!M$4:M1018,B4)</f>
        <v>608</v>
      </c>
      <c r="D4" s="26">
        <f t="shared" ref="D4:D13" si="1">C4/C$3</f>
        <v>0.2720357942</v>
      </c>
    </row>
    <row r="5">
      <c r="A5" s="17"/>
      <c r="B5" s="27" t="s">
        <v>166</v>
      </c>
      <c r="C5" s="25">
        <f>COUNTIF(Tests!M$4:M1018,B5)</f>
        <v>1479</v>
      </c>
      <c r="D5" s="28">
        <f t="shared" si="1"/>
        <v>0.6617449664</v>
      </c>
    </row>
    <row r="6">
      <c r="A6" s="17"/>
      <c r="B6" s="27" t="s">
        <v>167</v>
      </c>
      <c r="C6" s="25">
        <f>COUNTIF(Tests!M$4:M1018,B6)</f>
        <v>28</v>
      </c>
      <c r="D6" s="28">
        <f t="shared" si="1"/>
        <v>0.01252796421</v>
      </c>
    </row>
    <row r="7">
      <c r="A7" s="17"/>
      <c r="B7" s="27" t="s">
        <v>168</v>
      </c>
      <c r="C7" s="25">
        <f>COUNTIF(Tests!M$4:M1018,B7)</f>
        <v>117</v>
      </c>
      <c r="D7" s="28">
        <f t="shared" si="1"/>
        <v>0.05234899329</v>
      </c>
    </row>
    <row r="8">
      <c r="A8" s="17"/>
      <c r="B8" s="29"/>
      <c r="C8" s="25">
        <f>COUNTIF(Tests!M$4:M1018,B8)</f>
        <v>0</v>
      </c>
      <c r="D8" s="28">
        <f t="shared" si="1"/>
        <v>0</v>
      </c>
    </row>
    <row r="9">
      <c r="A9" s="17"/>
      <c r="B9" s="30" t="s">
        <v>169</v>
      </c>
      <c r="C9" s="25">
        <f>COUNTIF(Tests!M$4:M1018,B9)</f>
        <v>1</v>
      </c>
      <c r="D9" s="28">
        <f t="shared" si="1"/>
        <v>0.0004474272931</v>
      </c>
    </row>
    <row r="10">
      <c r="A10" s="17"/>
      <c r="B10" s="31" t="s">
        <v>170</v>
      </c>
      <c r="C10" s="25">
        <f>COUNTIF(Tests!M$4:M1018,B10)</f>
        <v>1</v>
      </c>
      <c r="D10" s="28">
        <f t="shared" si="1"/>
        <v>0.0004474272931</v>
      </c>
    </row>
    <row r="11">
      <c r="A11" s="17"/>
      <c r="B11" s="30" t="s">
        <v>171</v>
      </c>
      <c r="C11" s="25">
        <f>COUNTIF(Tests!M$4:M1018,B11)</f>
        <v>1</v>
      </c>
      <c r="D11" s="28">
        <f t="shared" si="1"/>
        <v>0.0004474272931</v>
      </c>
    </row>
    <row r="12">
      <c r="B12" s="32" t="s">
        <v>172</v>
      </c>
      <c r="C12" s="25">
        <f>COUNTIF(Tests!M$4:M1018,B12)</f>
        <v>3</v>
      </c>
      <c r="D12" s="28">
        <f t="shared" si="1"/>
        <v>0.001342281879</v>
      </c>
    </row>
    <row r="13">
      <c r="B13" s="33" t="s">
        <v>173</v>
      </c>
      <c r="C13" s="34">
        <f>COUNTIF(Tests!M$4:M1018,B13)</f>
        <v>7</v>
      </c>
      <c r="D13" s="35">
        <f t="shared" si="1"/>
        <v>0.003131991051</v>
      </c>
    </row>
    <row r="14">
      <c r="B14" s="6" t="s">
        <v>174</v>
      </c>
    </row>
    <row r="15">
      <c r="A15" s="13"/>
      <c r="B15" s="36" t="s">
        <v>175</v>
      </c>
      <c r="C15" s="37" t="s">
        <v>161</v>
      </c>
      <c r="D15" s="37" t="s">
        <v>162</v>
      </c>
    </row>
    <row r="16">
      <c r="A16" s="38"/>
      <c r="B16" s="39" t="s">
        <v>163</v>
      </c>
      <c r="C16" s="40">
        <f>IFERROR(__xludf.DUMMYFUNCTION("COUNTUNIQUE(Tests!AU4:AU1018)"),2.0)</f>
        <v>2</v>
      </c>
      <c r="D16" s="41" t="s">
        <v>164</v>
      </c>
    </row>
    <row r="17">
      <c r="A17" s="38"/>
      <c r="B17" s="39" t="s">
        <v>176</v>
      </c>
      <c r="C17" s="42">
        <f>COUNTIF(Tests!AU4:AU1018,"Y")</f>
        <v>96</v>
      </c>
      <c r="D17" s="43">
        <f>C17/C19</f>
        <v>0.06395736176</v>
      </c>
    </row>
    <row r="18">
      <c r="A18" s="44"/>
      <c r="B18" s="45" t="s">
        <v>177</v>
      </c>
      <c r="C18" s="42">
        <f>COUNTIF(Tests!AU4:AU1018,"N")</f>
        <v>1405</v>
      </c>
      <c r="D18" s="43">
        <f>C18/C19</f>
        <v>0.9360426382</v>
      </c>
    </row>
    <row r="19">
      <c r="B19" s="46" t="s">
        <v>165</v>
      </c>
      <c r="C19" s="22">
        <f>SUM(C17:C18)</f>
        <v>1501</v>
      </c>
    </row>
    <row r="20">
      <c r="B20" s="47" t="s">
        <v>178</v>
      </c>
      <c r="C20" s="48">
        <f>COUNTBLANK(Tests!AU$4:AU1018)</f>
        <v>5182</v>
      </c>
      <c r="D20" s="3" t="s">
        <v>179</v>
      </c>
    </row>
    <row r="22">
      <c r="A22" s="13"/>
      <c r="B22" s="36" t="s">
        <v>180</v>
      </c>
      <c r="C22" s="37" t="s">
        <v>161</v>
      </c>
      <c r="D22" s="37" t="s">
        <v>162</v>
      </c>
    </row>
    <row r="23">
      <c r="A23" s="17"/>
      <c r="B23" s="39" t="s">
        <v>163</v>
      </c>
      <c r="C23" s="49">
        <f>IFERROR(__xludf.DUMMYFUNCTION("COUNTUNIQUE(Tests!AT4:AT1018)"),4.0)</f>
        <v>4</v>
      </c>
      <c r="D23" s="41" t="s">
        <v>164</v>
      </c>
    </row>
    <row r="24">
      <c r="A24" s="17"/>
      <c r="B24" s="37" t="s">
        <v>181</v>
      </c>
      <c r="C24" s="25">
        <f>COUNTIF(Tests!U$4:U1018,"&lt;1")</f>
        <v>364</v>
      </c>
      <c r="D24" s="43">
        <f t="shared" ref="D24:D26" si="2">C24/C$27</f>
        <v>0.1960150781</v>
      </c>
    </row>
    <row r="25">
      <c r="A25" s="50"/>
      <c r="B25" s="51" t="s">
        <v>182</v>
      </c>
      <c r="C25" s="52">
        <f>COUNTIFS(Tests!U$4:U1018,"&gt;=1",Tests!U$4:U1018,"&lt;10")</f>
        <v>1157</v>
      </c>
      <c r="D25" s="43">
        <f t="shared" si="2"/>
        <v>0.6230479268</v>
      </c>
    </row>
    <row r="26">
      <c r="A26" s="17"/>
      <c r="B26" s="37" t="s">
        <v>183</v>
      </c>
      <c r="C26" s="52">
        <f>COUNTIF(Tests!U$4:U1018,"&gt;=10")</f>
        <v>336</v>
      </c>
      <c r="D26" s="43">
        <f t="shared" si="2"/>
        <v>0.1809369952</v>
      </c>
    </row>
    <row r="27">
      <c r="B27" s="46" t="s">
        <v>165</v>
      </c>
      <c r="C27" s="22">
        <f>SUM(C24:C26)</f>
        <v>1857</v>
      </c>
    </row>
    <row r="28">
      <c r="B28" s="47" t="s">
        <v>178</v>
      </c>
      <c r="C28" s="48">
        <f>COUNTBLANK(Tests!U$4:U1018)</f>
        <v>4720</v>
      </c>
    </row>
    <row r="30">
      <c r="A30" s="13"/>
      <c r="B30" s="36" t="s">
        <v>184</v>
      </c>
      <c r="C30" s="37" t="s">
        <v>161</v>
      </c>
      <c r="D30" s="37" t="s">
        <v>162</v>
      </c>
      <c r="E30" s="53" t="s">
        <v>185</v>
      </c>
      <c r="F30" s="54"/>
      <c r="G30" s="54"/>
    </row>
    <row r="31">
      <c r="A31" s="38"/>
      <c r="B31" s="39" t="s">
        <v>163</v>
      </c>
      <c r="C31" s="49">
        <f>IFERROR(__xludf.DUMMYFUNCTION("COUNTUNIQUE(Tests!N4:N1018)"),4.0)</f>
        <v>4</v>
      </c>
      <c r="D31" s="55" t="s">
        <v>186</v>
      </c>
      <c r="E31" s="54"/>
    </row>
    <row r="32">
      <c r="A32" s="38"/>
      <c r="B32" s="39" t="s">
        <v>187</v>
      </c>
      <c r="C32" s="25">
        <f>COUNTIFS(Tests!N4:N1018,B32, Tests!AU4:AU1018,"N")</f>
        <v>932</v>
      </c>
      <c r="D32" s="43">
        <f t="shared" ref="D32:D33" si="3">C32/C$34</f>
        <v>0.7023360965</v>
      </c>
      <c r="E32" s="54"/>
    </row>
    <row r="33">
      <c r="A33" s="38"/>
      <c r="B33" s="39" t="s">
        <v>188</v>
      </c>
      <c r="C33" s="42">
        <f>COUNTIFS(Tests!N4:N1018,B33, Tests!AU4:AU1018,"N")</f>
        <v>395</v>
      </c>
      <c r="D33" s="43">
        <f t="shared" si="3"/>
        <v>0.2976639035</v>
      </c>
      <c r="E33" s="54"/>
      <c r="F33" s="54"/>
      <c r="G33" s="54"/>
    </row>
    <row r="34">
      <c r="B34" s="46" t="s">
        <v>165</v>
      </c>
      <c r="C34" s="22">
        <f>SUM(C32:C33)</f>
        <v>1327</v>
      </c>
    </row>
    <row r="35">
      <c r="B35" s="47" t="s">
        <v>178</v>
      </c>
      <c r="C35" s="48">
        <f>COUNTBLANK(Tests!N$4:N$821)</f>
        <v>79</v>
      </c>
    </row>
    <row r="37">
      <c r="A37" s="37" t="s">
        <v>189</v>
      </c>
      <c r="B37" s="36" t="s">
        <v>190</v>
      </c>
      <c r="C37" s="37" t="s">
        <v>161</v>
      </c>
      <c r="D37" s="37" t="s">
        <v>162</v>
      </c>
      <c r="E37" s="56" t="s">
        <v>191</v>
      </c>
      <c r="F37" s="56" t="s">
        <v>192</v>
      </c>
      <c r="G37" s="57" t="s">
        <v>193</v>
      </c>
      <c r="H37" s="39" t="s">
        <v>194</v>
      </c>
    </row>
    <row r="38">
      <c r="A38" s="58"/>
      <c r="B38" s="59" t="s">
        <v>195</v>
      </c>
      <c r="C38" s="49">
        <f>IFERROR(__xludf.DUMMYFUNCTION("COUNTUNIQUE(Tests!O4:O1018)"),37.0)</f>
        <v>37</v>
      </c>
      <c r="D38" s="60"/>
      <c r="E38" s="61"/>
      <c r="F38" s="62"/>
      <c r="G38" s="63"/>
      <c r="H38" s="64" t="s">
        <v>186</v>
      </c>
    </row>
    <row r="39">
      <c r="A39" s="65"/>
      <c r="B39" s="66" t="str">
        <f t="array" ref="B39:B51">SORT(UNIQUE('Leak conditions'!C2:C137))</f>
        <v>Fixed Point 1</v>
      </c>
      <c r="C39" s="25">
        <f>COUNTIF(Tests!O$4:O1018,B39)</f>
        <v>306</v>
      </c>
      <c r="D39" s="67">
        <f t="shared" ref="D39:D51" si="4">C39/C$52</f>
        <v>0.1765724178</v>
      </c>
      <c r="E39" s="68" t="str">
        <f>IFERROR(__xludf.DUMMYFUNCTION("JOIN("" | "", TRANSPOSE(UNIQUE(FILTER(Tests!R$4:R1018, Tests!O$4:O1018=B39))))"),"22,4 | 22,7 | 18,4")</f>
        <v>22,4 | 22,7 | 18,4</v>
      </c>
      <c r="F39" s="69" t="str">
        <f>IFERROR(__xludf.DUMMYFUNCTION("JOIN("" | "", TRANSPOSE(UNIQUE(FILTER(Tests!S$4:S1018, Tests!O$4:O1018=B39))))"),"39,6 | 39,7 | 22,7 | 35")</f>
        <v>39,6 | 39,7 | 22,7 | 35</v>
      </c>
      <c r="G39" s="69" t="str">
        <f>IFERROR(__xludf.DUMMYFUNCTION("JOIN("" | "", TRANSPOSE(UNIQUE(FILTER(Tests!T$4:T1018, Tests!O$4:O1018=B39))))"),"1,8 | 1,0 |  | 1,1 | 0,45 | 22,7 | 1,9 | 1,09 | 1,02 | 6,15 | 1,82")</f>
        <v>1,8 | 1,0 |  | 1,1 | 0,45 | 22,7 | 1,9 | 1,09 | 1,02 | 6,15 | 1,82</v>
      </c>
      <c r="H39" s="70" t="str">
        <f>IFERROR(__xludf.DUMMYFUNCTION("JOIN("", "", TRANSPOSE(UNIQUE(FILTER(Tests!P$4:P1018, Tests!O$4:O1018=B39))))"),"Horizontal tubing, Vertical tubing, Vertical piping, Drilled Plug, Open Ended Line on 6 m mast")</f>
        <v>Horizontal tubing, Vertical tubing, Vertical piping, Drilled Plug, Open Ended Line on 6 m mast</v>
      </c>
    </row>
    <row r="40">
      <c r="A40" s="65"/>
      <c r="B40" s="66" t="s">
        <v>196</v>
      </c>
      <c r="C40" s="25">
        <f>COUNTIF(Tests!O$4:O1018,B40)</f>
        <v>215</v>
      </c>
      <c r="D40" s="67">
        <f t="shared" si="4"/>
        <v>0.1240623197</v>
      </c>
      <c r="E40" s="68" t="str">
        <f>IFERROR(__xludf.DUMMYFUNCTION("JOIN("" | "", TRANSPOSE(UNIQUE(FILTER(Tests!R$4:R1018, Tests!O$4:O1018=B40))))"),"21,4 | 21,7")</f>
        <v>21,4 | 21,7</v>
      </c>
      <c r="F40" s="69" t="str">
        <f>IFERROR(__xludf.DUMMYFUNCTION("JOIN("" | "", TRANSPOSE(UNIQUE(FILTER(Tests!S$4:S1018, Tests!O$4:O1018=B40))))"),"39,3 | 39,6 | 39,5 | -39,5")</f>
        <v>39,3 | 39,6 | 39,5 | -39,5</v>
      </c>
      <c r="G40" s="69" t="str">
        <f>IFERROR(__xludf.DUMMYFUNCTION("JOIN("" | "", TRANSPOSE(UNIQUE(FILTER(Tests!T$4:T1018, Tests!O$4:O1018=B40))))"),"1,2 | 1,3 |  | 1,8 | 1,6 | 2,4 | 1,26 | 1,28 | 1,29 | 2,5")</f>
        <v>1,2 | 1,3 |  | 1,8 | 1,6 | 2,4 | 1,26 | 1,28 | 1,29 | 2,5</v>
      </c>
      <c r="H40" s="70" t="str">
        <f>IFERROR(__xludf.DUMMYFUNCTION("JOIN("", "", TRANSPOSE(UNIQUE(FILTER(Tests!P$4:P1018, Tests!O$4:O1018=B40))))"),"Vertical piping, Horizontal piping, Vertical tubing, High vertical piping, High Vertical piping, Vertical Piping 3"", Vertical Piping 1""")</f>
        <v>Vertical piping, Horizontal piping, Vertical tubing, High vertical piping, High Vertical piping, Vertical Piping 3", Vertical Piping 1"</v>
      </c>
    </row>
    <row r="41">
      <c r="A41" s="71">
        <v>0.0</v>
      </c>
      <c r="B41" s="66" t="s">
        <v>197</v>
      </c>
      <c r="C41" s="25">
        <f>COUNTIF(Tests!O$4:O1018,B41)</f>
        <v>87</v>
      </c>
      <c r="D41" s="67">
        <f t="shared" si="4"/>
        <v>0.05020196192</v>
      </c>
      <c r="E41" s="68" t="str">
        <f>IFERROR(__xludf.DUMMYFUNCTION("JOIN("" | "", TRANSPOSE(UNIQUE(FILTER(Tests!R$4:R1018, Tests!O$4:O1018=B41))))"),"(37,7,6,5) | 37 | 37,1")</f>
        <v>(37,7,6,5) | 37 | 37,1</v>
      </c>
      <c r="F41" s="69" t="str">
        <f>IFERROR(__xludf.DUMMYFUNCTION("JOIN("" | "", TRANSPOSE(UNIQUE(FILTER(Tests!S$4:S1018, Tests!O$4:O1018=B41))))")," | 7 | 6,9")</f>
        <v> | 7 | 6,9</v>
      </c>
      <c r="G41" s="69" t="str">
        <f>IFERROR(__xludf.DUMMYFUNCTION("JOIN("" | "", TRANSPOSE(UNIQUE(FILTER(Tests!T$4:T1018, Tests!O$4:O1018=B41))))")," | 6,5 | 7")</f>
        <v> | 6,5 | 7</v>
      </c>
      <c r="H41" s="70" t="str">
        <f>IFERROR(__xludf.DUMMYFUNCTION("JOIN("", "", TRANSPOSE(UNIQUE(FILTER(Tests!P$4:P1018, Tests!O$4:O1018=B41))))"),"Open ended line, Fin de ligne Ouverte, Open Ended Line")</f>
        <v>Open ended line, Fin de ligne Ouverte, Open Ended Line</v>
      </c>
    </row>
    <row r="42">
      <c r="A42" s="71">
        <v>0.0</v>
      </c>
      <c r="B42" s="66" t="s">
        <v>198</v>
      </c>
      <c r="C42" s="25">
        <f>COUNTIF(Tests!O$4:O1018,B42)</f>
        <v>145</v>
      </c>
      <c r="D42" s="67">
        <f t="shared" si="4"/>
        <v>0.08366993653</v>
      </c>
      <c r="E42" s="68" t="str">
        <f>IFERROR(__xludf.DUMMYFUNCTION("JOIN("" | "", TRANSPOSE(UNIQUE(FILTER(Tests!R$4:R1018, Tests!O$4:O1018=B42))))"),"(11,8,3) | 10,3 | 10 | 10,5 | 10,7 | 9 | 16")</f>
        <v>(11,8,3) | 10,3 | 10 | 10,5 | 10,7 | 9 | 16</v>
      </c>
      <c r="F42" s="69" t="str">
        <f>IFERROR(__xludf.DUMMYFUNCTION("JOIN("" | "", TRANSPOSE(UNIQUE(FILTER(Tests!S$4:S1018, Tests!O$4:O1018=B42))))")," | 7,8 | 11,7 | 7,9 | 10,9 | 8,1 | 8,5 | 4,5 | -11,7")</f>
        <v> | 7,8 | 11,7 | 7,9 | 10,9 | 8,1 | 8,5 | 4,5 | -11,7</v>
      </c>
      <c r="G42" s="69" t="str">
        <f>IFERROR(__xludf.DUMMYFUNCTION("JOIN("" | "", TRANSPOSE(UNIQUE(FILTER(Tests!T$4:T1018, Tests!O$4:O1018=B42))))")," | 3 | 0,4 | 3,2 | 0,5 | 1,8 | 1,4")</f>
        <v> | 3 | 0,4 | 3,2 | 0,5 | 1,8 | 1,4</v>
      </c>
      <c r="H42" s="70" t="str">
        <f>IFERROR(__xludf.DUMMYFUNCTION("JOIN("", "", TRANSPOSE(UNIQUE(FILTER(Tests!P$4:P1018, Tests!O$4:O1018=B42))))"),"Man hole, Trou d'homme, Vanne, Valve, Flange, Poteau le long paroi ouest du tank D1, Valve - Flex PA 8 mm, Valve - Flex PA 4 mm")</f>
        <v>Man hole, Trou d'homme, Vanne, Valve, Flange, Poteau le long paroi ouest du tank D1, Valve - Flex PA 8 mm, Valve - Flex PA 4 mm</v>
      </c>
    </row>
    <row r="43">
      <c r="A43" s="71">
        <v>1.0</v>
      </c>
      <c r="B43" s="66" t="s">
        <v>199</v>
      </c>
      <c r="C43" s="25">
        <f>COUNTIF(Tests!O$4:O1018,B43)</f>
        <v>72</v>
      </c>
      <c r="D43" s="67">
        <f t="shared" si="4"/>
        <v>0.04154645124</v>
      </c>
      <c r="E43" s="68" t="str">
        <f>IFERROR(__xludf.DUMMYFUNCTION("JOIN("" | "", TRANSPOSE(UNIQUE(FILTER(Tests!R$4:R1018, Tests!O$4:O1018=B43))))"),"(16,10,0,02) | 16 | 16,2 | 21,2 | 16,1 | 16,4")</f>
        <v>(16,10,0,02) | 16 | 16,2 | 21,2 | 16,1 | 16,4</v>
      </c>
      <c r="F43" s="69" t="str">
        <f>IFERROR(__xludf.DUMMYFUNCTION("JOIN("" | "", TRANSPOSE(UNIQUE(FILTER(Tests!S$4:S1018, Tests!O$4:O1018=B43))))")," | 10 | 9,3 | 9,6 | 8,7 | 10,4 | -9,6")</f>
        <v> | 10 | 9,3 | 9,6 | 8,7 | 10,4 | -9,6</v>
      </c>
      <c r="G43" s="69" t="str">
        <f>IFERROR(__xludf.DUMMYFUNCTION("JOIN("" | "", TRANSPOSE(UNIQUE(FILTER(Tests!T$4:T1018, Tests!O$4:O1018=B43))))")," | 0,02 | 0,01 | 0,1 | 2,4 | 0 | 0,44 | 0,4")</f>
        <v> | 0,02 | 0,01 | 0,1 | 2,4 | 0 | 0,44 | 0,4</v>
      </c>
      <c r="H43" s="70" t="str">
        <f>IFERROR(__xludf.DUMMYFUNCTION("JOIN("", "", TRANSPOSE(UNIQUE(FILTER(Tests!P$4:P1018, Tests!O$4:O1018=B43))))"),"Open ended line, Open Ended Line, Outlet valve, Open Ended Line - Flex PA 6 mm, Open Ended Line - Flex PA 4 mm")</f>
        <v>Open ended line, Open Ended Line, Outlet valve, Open Ended Line - Flex PA 6 mm, Open Ended Line - Flex PA 4 mm</v>
      </c>
    </row>
    <row r="44">
      <c r="A44" s="71">
        <v>2.0</v>
      </c>
      <c r="B44" s="66" t="s">
        <v>200</v>
      </c>
      <c r="C44" s="25">
        <f>COUNTIF(Tests!O$4:O1018,B44)</f>
        <v>71</v>
      </c>
      <c r="D44" s="67">
        <f t="shared" si="4"/>
        <v>0.0409694172</v>
      </c>
      <c r="E44" s="68" t="str">
        <f>IFERROR(__xludf.DUMMYFUNCTION("JOIN("" | "", TRANSPOSE(UNIQUE(FILTER(Tests!R$4:R1018, Tests!O$4:O1018=B44))))"),"(17,7,0,55) | (15,20,0,55) | 9 | 24,5 | 16 | 17 | 16,3 | 11,7 | 1 | 2 | 5 | 10 | 20 | 1,75 | 15 | 25 | 8,8 | 7,2 | 5,7 | 15,4")</f>
        <v>(17,7,0,55) | (15,20,0,55) | 9 | 24,5 | 16 | 17 | 16,3 | 11,7 | 1 | 2 | 5 | 10 | 20 | 1,75 | 15 | 25 | 8,8 | 7,2 | 5,7 | 15,4</v>
      </c>
      <c r="F44" s="69" t="str">
        <f>IFERROR(__xludf.DUMMYFUNCTION("JOIN("" | "", TRANSPOSE(UNIQUE(FILTER(Tests!S$4:S1018, Tests!O$4:O1018=B44))))")," | 5 | 6 | 7 | 6,5 | 8,2 | 17,7 | 15 | 7,8 | 10,8 | -9,6 | -4,7")</f>
        <v> | 5 | 6 | 7 | 6,5 | 8,2 | 17,7 | 15 | 7,8 | 10,8 | -9,6 | -4,7</v>
      </c>
      <c r="G44" s="69" t="str">
        <f>IFERROR(__xludf.DUMMYFUNCTION("JOIN("" | "", TRANSPOSE(UNIQUE(FILTER(Tests!T$4:T1018, Tests!O$4:O1018=B44))))")," | 0,55 | 1,03 | 0,6 | 0,7 | 0,63 | 0,64 | 0,68")</f>
        <v> | 0,55 | 1,03 | 0,6 | 0,7 | 0,63 | 0,64 | 0,68</v>
      </c>
      <c r="H44" s="70" t="str">
        <f>IFERROR(__xludf.DUMMYFUNCTION("JOIN("", "", TRANSPOSE(UNIQUE(FILTER(Tests!P$4:P1018, Tests!O$4:O1018=B44))))"),"45°, Open ended line, Bouchon percé à 45°, Drilled plug, Drilled Plug, Open Ended Line, , Outlet XOV401 - Drilled Plug 2,5 mm")</f>
        <v>45°, Open ended line, Bouchon percé à 45°, Drilled plug, Drilled Plug, Open Ended Line, , Outlet XOV401 - Drilled Plug 2,5 mm</v>
      </c>
    </row>
    <row r="45">
      <c r="A45" s="71">
        <v>3.0</v>
      </c>
      <c r="B45" s="66" t="s">
        <v>201</v>
      </c>
      <c r="C45" s="25">
        <f>COUNTIF(Tests!O$4:O1018,B45)</f>
        <v>153</v>
      </c>
      <c r="D45" s="67">
        <f t="shared" si="4"/>
        <v>0.08828620889</v>
      </c>
      <c r="E45" s="68" t="str">
        <f>IFERROR(__xludf.DUMMYFUNCTION("JOIN("" | "", TRANSPOSE(UNIQUE(FILTER(Tests!R$4:R1018, Tests!O$4:O1018=B45))))"),"16 | 10 | 16,3 | 15,0 | 22,0 | 17,0 |  | 16,5 | 23,3 | 20 | 3,5 | 17,6 | 12 | 4 | 17,4 | 17,3 | 13 | 1,75 | 5 | 1 | 2 | 6,5")</f>
        <v>16 | 10 | 16,3 | 15,0 | 22,0 | 17,0 |  | 16,5 | 23,3 | 20 | 3,5 | 17,6 | 12 | 4 | 17,4 | 17,3 | 13 | 1,75 | 5 | 1 | 2 | 6,5</v>
      </c>
      <c r="F45" s="69" t="str">
        <f>IFERROR(__xludf.DUMMYFUNCTION("JOIN("" | "", TRANSPOSE(UNIQUE(FILTER(Tests!S$4:S1018, Tests!O$4:O1018=B45))))"),"15 | 5 | 6,5 | 7,0 |  | 11,8 | 0,5 | 7,2 | 10 | 2 | 4,5 | 5,2 | 12,2 | 15,5 | 7,5 | 5,5 | 2,4 | 2,5 | 4 | 8 | 6")</f>
        <v>15 | 5 | 6,5 | 7,0 |  | 11,8 | 0,5 | 7,2 | 10 | 2 | 4,5 | 5,2 | 12,2 | 15,5 | 7,5 | 5,5 | 2,4 | 2,5 | 4 | 8 | 6</v>
      </c>
      <c r="G45" s="69" t="str">
        <f>IFERROR(__xludf.DUMMYFUNCTION("JOIN("" | "", TRANSPOSE(UNIQUE(FILTER(Tests!T$4:T1018, Tests!O$4:O1018=B45))))"),"0,55 |  | 0,6 | 0,64 | 0,68 | 0,57 | 0,7 | 0,65")</f>
        <v>0,55 |  | 0,6 | 0,64 | 0,68 | 0,57 | 0,7 | 0,65</v>
      </c>
      <c r="H45" s="70" t="str">
        <f>IFERROR(__xludf.DUMMYFUNCTION("JOIN("", "", TRANSPOSE(UNIQUE(FILTER(Tests!P$4:P1018, Tests!O$4:O1018=B45))))"),"Open ended line, Bride sur support, , Drilled plug, Drilled Plug, Open Ended Line")</f>
        <v>Open ended line, Bride sur support, , Drilled plug, Drilled Plug, Open Ended Line</v>
      </c>
    </row>
    <row r="46">
      <c r="A46" s="71">
        <v>4.0</v>
      </c>
      <c r="B46" s="66" t="s">
        <v>202</v>
      </c>
      <c r="C46" s="25">
        <f>COUNTIF(Tests!O$4:O1018,B46)</f>
        <v>118</v>
      </c>
      <c r="D46" s="67">
        <f t="shared" si="4"/>
        <v>0.06809001731</v>
      </c>
      <c r="E46" s="68" t="str">
        <f>IFERROR(__xludf.DUMMYFUNCTION("JOIN("" | "", TRANSPOSE(UNIQUE(FILTER(Tests!R$4:R1018, Tests!O$4:O1018=B46))))"),"(18;6;0,6) | 24,5 | 24,4 | 24,0 | 17,4 | 18,3")</f>
        <v>(18;6;0,6) | 24,5 | 24,4 | 24,0 | 17,4 | 18,3</v>
      </c>
      <c r="F46" s="69" t="str">
        <f>IFERROR(__xludf.DUMMYFUNCTION("JOIN("" | "", TRANSPOSE(UNIQUE(FILTER(Tests!S$4:S1018, Tests!O$4:O1018=B46))))")," | 7,5 | 9,7 | 5,2 | 4,2 | -7,5 | -7,7")</f>
        <v> | 7,5 | 9,7 | 5,2 | 4,2 | -7,5 | -7,7</v>
      </c>
      <c r="G46" s="69" t="str">
        <f>IFERROR(__xludf.DUMMYFUNCTION("JOIN("" | "", TRANSPOSE(UNIQUE(FILTER(Tests!T$4:T1018, Tests!O$4:O1018=B46))))")," | 0,57 | 0,6 | 1,34")</f>
        <v> | 0,57 | 0,6 | 1,34</v>
      </c>
      <c r="H46" s="70" t="str">
        <f>IFERROR(__xludf.DUMMYFUNCTION("JOIN("", "", TRANSPOSE(UNIQUE(FILTER(Tests!P$4:P1018, Tests!O$4:O1018=B46))))"),", Drilled plug, Corroded piping, Corroded pipe, Drilled Plug, Flexible, Open Ended Line, Outlet FCV403A/B - Drilled Plug 3 mm, Open Ended Line Flex PA 12 mm, Outlet XOV402 - Drilled Plug 4 mm, Corroded Pipe Hole 10 mm")</f>
        <v>, Drilled plug, Corroded piping, Corroded pipe, Drilled Plug, Flexible, Open Ended Line, Outlet FCV403A/B - Drilled Plug 3 mm, Open Ended Line Flex PA 12 mm, Outlet XOV402 - Drilled Plug 4 mm, Corroded Pipe Hole 10 mm</v>
      </c>
    </row>
    <row r="47">
      <c r="A47" s="71">
        <v>5.0</v>
      </c>
      <c r="B47" s="66" t="s">
        <v>203</v>
      </c>
      <c r="C47" s="25">
        <f>COUNTIF(Tests!O$4:O1018,B47)</f>
        <v>118</v>
      </c>
      <c r="D47" s="67">
        <f t="shared" si="4"/>
        <v>0.06809001731</v>
      </c>
      <c r="E47" s="68" t="str">
        <f>IFERROR(__xludf.DUMMYFUNCTION("JOIN("" | "", TRANSPOSE(UNIQUE(FILTER(Tests!R$4:R1018, Tests!O$4:O1018=B47))))"),"15 | 14,84 | 14,8 | 15,2 | 15,1 | 15,5 | 24,4 | 16 | 14,6")</f>
        <v>15 | 14,84 | 14,8 | 15,2 | 15,1 | 15,5 | 24,4 | 16 | 14,6</v>
      </c>
      <c r="F47" s="69" t="str">
        <f>IFERROR(__xludf.DUMMYFUNCTION("JOIN("" | "", TRANSPOSE(UNIQUE(FILTER(Tests!S$4:S1018, Tests!O$4:O1018=B47))))"),"4 | 3 | 2,37 | 2,4 | 3,4 | 7,5 | 4,5 | 3,5 | -3,4 | -3,5 | -2,4")</f>
        <v>4 | 3 | 2,37 | 2,4 | 3,4 | 7,5 | 4,5 | 3,5 | -3,4 | -3,5 | -2,4</v>
      </c>
      <c r="G47" s="69" t="str">
        <f>IFERROR(__xludf.DUMMYFUNCTION("JOIN("" | "", TRANSPOSE(UNIQUE(FILTER(Tests!T$4:T1018, Tests!O$4:O1018=B47))))"),"1,3 | 1,2 |  | 1,1 | 1,9 | 1,35 | 0,57 | 1,4 | 0,16 | 0,2")</f>
        <v>1,3 | 1,2 |  | 1,1 | 1,9 | 1,35 | 0,57 | 1,4 | 0,16 | 0,2</v>
      </c>
      <c r="H47" s="70" t="str">
        <f>IFERROR(__xludf.DUMMYFUNCTION("JOIN("", "", TRANSPOSE(UNIQUE(FILTER(Tests!P$4:P1018, Tests!O$4:O1018=B47))))"),"Plexiglas Raccord, Control box, Boitier de commande, Connector, Control Box, , Outlet valve, Connector - Flex PA 8 mm, Outlet Valve - Straight, Connector - Flex PA 6 mm, Control Box - Flex PA 8 mm, Control Box - Flex PA 3 mm")</f>
        <v>Plexiglas Raccord, Control box, Boitier de commande, Connector, Control Box, , Outlet valve, Connector - Flex PA 8 mm, Outlet Valve - Straight, Connector - Flex PA 6 mm, Control Box - Flex PA 8 mm, Control Box - Flex PA 3 mm</v>
      </c>
    </row>
    <row r="48">
      <c r="A48" s="71">
        <v>6.0</v>
      </c>
      <c r="B48" s="66" t="s">
        <v>204</v>
      </c>
      <c r="C48" s="25">
        <f>COUNTIF(Tests!O$4:O1018,B48)</f>
        <v>137</v>
      </c>
      <c r="D48" s="67">
        <f t="shared" si="4"/>
        <v>0.07905366417</v>
      </c>
      <c r="E48" s="68" t="str">
        <f>IFERROR(__xludf.DUMMYFUNCTION("JOIN("" | "", TRANSPOSE(UNIQUE(FILTER(Tests!R$4:R1018, Tests!O$4:O1018=B48))))"),"18 | 17,6 | 18,6 | 18,4 | 18,3 | 18,8 | 17,9 |  | 18,5 | 18,7")</f>
        <v>18 | 17,6 | 18,6 | 18,4 | 18,3 | 18,8 | 17,9 |  | 18,5 | 18,7</v>
      </c>
      <c r="F48" s="69" t="str">
        <f>IFERROR(__xludf.DUMMYFUNCTION("JOIN("" | "", TRANSPOSE(UNIQUE(FILTER(Tests!S$4:S1018, Tests!O$4:O1018=B48))))"),"3,5 | 3,6 | 3,9 | 4,4 | 3,2 | 4 |  | 17,9 | 3,3 | 4,1 | 4,2 | -4,1 | -3,6 | -4,4")</f>
        <v>3,5 | 3,6 | 3,9 | 4,4 | 3,2 | 4 |  | 17,9 | 3,3 | 4,1 | 4,2 | -4,1 | -3,6 | -4,4</v>
      </c>
      <c r="G48" s="69" t="str">
        <f>IFERROR(__xludf.DUMMYFUNCTION("JOIN("" | "", TRANSPOSE(UNIQUE(FILTER(Tests!T$4:T1018, Tests!O$4:O1018=B48))))"),"1,83 |  | 2,4 | 2,5 | 2,60 | 2,57 | 1,8 | 2,47 | 1,05 | 17,9 | 1,82 | 1,65 | 1,6 | 2,54 | 1,62 | 1,9 | 1,2 | 1,34 | 1,24 | 1,21")</f>
        <v>1,83 |  | 2,4 | 2,5 | 2,60 | 2,57 | 1,8 | 2,47 | 1,05 | 17,9 | 1,82 | 1,65 | 1,6 | 2,54 | 1,62 | 1,9 | 1,2 | 1,34 | 1,24 | 1,21</v>
      </c>
      <c r="H48" s="70" t="str">
        <f>IFERROR(__xludf.DUMMYFUNCTION("JOIN("", "", TRANSPOSE(UNIQUE(FILTER(Tests!P$4:P1018, Tests!O$4:O1018=B48))))"),"Corps de Machine/Gros Flange, Bride3, Flange 2, Flange 1, Flange 4, Flange 3, Connecting flange, Bride centrale, Flex libre pied RPB, Connecting Flange, Flex sortie FCV408, Drilled Plug, Open Ended Line, Outlet valve, Nouvelle bride, Outlet Valve - Drille"&amp;"d Plug 5 mm, Flange 3 - Flex PA 10 mm, Flange 1 - Flex PA 6 mm")</f>
        <v>Corps de Machine/Gros Flange, Bride3, Flange 2, Flange 1, Flange 4, Flange 3, Connecting flange, Bride centrale, Flex libre pied RPB, Connecting Flange, Flex sortie FCV408, Drilled Plug, Open Ended Line, Outlet valve, Nouvelle bride, Outlet Valve - Drilled Plug 5 mm, Flange 3 - Flex PA 10 mm, Flange 1 - Flex PA 6 mm</v>
      </c>
    </row>
    <row r="49">
      <c r="A49" s="71">
        <v>7.0</v>
      </c>
      <c r="B49" s="66" t="s">
        <v>205</v>
      </c>
      <c r="C49" s="25">
        <f>COUNTIF(Tests!O$4:O1018,B49)</f>
        <v>118</v>
      </c>
      <c r="D49" s="67">
        <f t="shared" si="4"/>
        <v>0.06809001731</v>
      </c>
      <c r="E49" s="68" t="str">
        <f>IFERROR(__xludf.DUMMYFUNCTION("JOIN("" | "", TRANSPOSE(UNIQUE(FILTER(Tests!R$4:R1018, Tests!O$4:O1018=B49))))"),"(21,4,2,26) | (21,5,1,17) | 21 | 21,1 | 20,1 | 21,2 | 20,7 | 21,5")</f>
        <v>(21,4,2,26) | (21,5,1,17) | 21 | 21,1 | 20,1 | 21,2 | 20,7 | 21,5</v>
      </c>
      <c r="F49" s="69" t="str">
        <f>IFERROR(__xludf.DUMMYFUNCTION("JOIN("" | "", TRANSPOSE(UNIQUE(FILTER(Tests!S$4:S1018, Tests!O$4:O1018=B49))))")," | 4 | 5 | 4,13 | 5,3 | 4,1 | 5,1 | 21,5 | -4,1 | -5,1")</f>
        <v> | 4 | 5 | 4,13 | 5,3 | 4,1 | 5,1 | 21,5 | -4,1 | -5,1</v>
      </c>
      <c r="G49" s="69" t="str">
        <f>IFERROR(__xludf.DUMMYFUNCTION("JOIN("" | "", TRANSPOSE(UNIQUE(FILTER(Tests!T$4:T1018, Tests!O$4:O1018=B49))))")," | 2,26 | 1,17 | 2,1 | 1,3 | 1,2 | 2,3 | 21,5")</f>
        <v> | 2,26 | 1,17 | 2,1 | 1,3 | 1,2 | 2,3 | 21,5</v>
      </c>
      <c r="H49" s="70" t="str">
        <f>IFERROR(__xludf.DUMMYFUNCTION("JOIN("", "", TRANSPOSE(UNIQUE(FILTER(Tests!P$4:P1018, Tests!O$4:O1018=B49))))"),"Flange, Under insulation, Calorifuge, Bride, , Under Insulation, Flange - Flex PA 10 mm, Under Insulation - Flex PA 6 mm")</f>
        <v>Flange, Under insulation, Calorifuge, Bride, , Under Insulation, Flange - Flex PA 10 mm, Under Insulation - Flex PA 6 mm</v>
      </c>
    </row>
    <row r="50">
      <c r="A50" s="71">
        <v>8.0</v>
      </c>
      <c r="B50" s="66" t="s">
        <v>206</v>
      </c>
      <c r="C50" s="25">
        <f>COUNTIF(Tests!O$4:O1018,B50)</f>
        <v>106</v>
      </c>
      <c r="D50" s="67">
        <f t="shared" si="4"/>
        <v>0.06116560877</v>
      </c>
      <c r="E50" s="68" t="str">
        <f>IFERROR(__xludf.DUMMYFUNCTION("JOIN("" | "", TRANSPOSE(UNIQUE(FILTER(Tests!R$4:R1018, Tests!O$4:O1018=B50))))"),"(22,11,2,35) | 22 | 21,4 | 21,2 | 21,8 | 21,5 | 21,7 | 21 | 10,7 | 16,5 | 20,5 | 20,6")</f>
        <v>(22,11,2,35) | 22 | 21,4 | 21,2 | 21,8 | 21,5 | 21,7 | 21 | 10,7 | 16,5 | 20,5 | 20,6</v>
      </c>
      <c r="F50" s="69" t="str">
        <f>IFERROR(__xludf.DUMMYFUNCTION("JOIN("" | "", TRANSPOSE(UNIQUE(FILTER(Tests!S$4:S1018, Tests!O$4:O1018=B50))))")," | 8 | 11 | 8,7 | 7,0 | 11,1 | 7,4 | 11,4 | 21,8 | 7,9 | 10,9 | 4,5 | -11,1 | -8,4 | -8,2 | -7,4")</f>
        <v> | 8 | 11 | 8,7 | 7,0 | 11,1 | 7,4 | 11,4 | 21,8 | 7,9 | 10,9 | 4,5 | -11,1 | -8,4 | -8,2 | -7,4</v>
      </c>
      <c r="G50" s="69" t="str">
        <f>IFERROR(__xludf.DUMMYFUNCTION("JOIN("" | "", TRANSPOSE(UNIQUE(FILTER(Tests!T$4:T1018, Tests!O$4:O1018=B50))))")," | 1,3 | 2,4 | 2,2 | 2,5 | 0,4 | 0,6 | 2,35 | 21,8 | 0,3 | 3 | 0,09 | 0,35")</f>
        <v> | 1,3 | 2,4 | 2,2 | 2,5 | 0,4 | 0,6 | 2,35 | 21,8 | 0,3 | 3 | 0,09 | 0,35</v>
      </c>
      <c r="H50" s="70" t="str">
        <f>IFERROR(__xludf.DUMMYFUNCTION("JOIN("", "", TRANSPOSE(UNIQUE(FILTER(Tests!P$4:P1018, Tests!O$4:O1018=B50))))"),"Flange, Valve, , Bride, Man hole, Under insulation, Sortie vanne FVC405, Under Insulation, Flange - Flex PA 6 mm, Outlet Valve - Straight, Outlet Valve - Drilled Plug 3 mm, Valve - Flex PA 10 mm")</f>
        <v>Flange, Valve, , Bride, Man hole, Under insulation, Sortie vanne FVC405, Under Insulation, Flange - Flex PA 6 mm, Outlet Valve - Straight, Outlet Valve - Drilled Plug 3 mm, Valve - Flex PA 10 mm</v>
      </c>
    </row>
    <row r="51">
      <c r="A51" s="72">
        <v>9.0</v>
      </c>
      <c r="B51" s="73" t="s">
        <v>207</v>
      </c>
      <c r="C51" s="74">
        <f>COUNTIF(Tests!O$4:O1018,B51)</f>
        <v>87</v>
      </c>
      <c r="D51" s="75">
        <f t="shared" si="4"/>
        <v>0.05020196192</v>
      </c>
      <c r="E51" s="76" t="str">
        <f>IFERROR(__xludf.DUMMYFUNCTION("JOIN("" | "", TRANSPOSE(UNIQUE(FILTER(Tests!R$4:R1018, Tests!O$4:O1018=B51))))"),"(26,14,2,5) | (25,5,12,1,65) | 26 | 25,5 | 25,8 | 25,9 | 26,4 | 26,1 | 26,3 | 26,2 | 18,3")</f>
        <v>(26,14,2,5) | (25,5,12,1,65) | 26 | 25,5 | 25,8 | 25,9 | 26,4 | 26,1 | 26,3 | 26,2 | 18,3</v>
      </c>
      <c r="F51" s="77" t="str">
        <f>IFERROR(__xludf.DUMMYFUNCTION("JOIN("" | "", TRANSPOSE(UNIQUE(FILTER(Tests!S$4:S1018, Tests!O$4:O1018=B51))))")," | 14 | 13,8 | 13,5 | 14,4 | 14,2 | 12,4 | 14,5 | 14,3 | 13,3 | 4,2 | -14,3 | -13,4 | -12,4")</f>
        <v> | 14 | 13,8 | 13,5 | 14,4 | 14,2 | 12,4 | 14,5 | 14,3 | 13,3 | 4,2 | -14,3 | -13,4 | -12,4</v>
      </c>
      <c r="G51" s="77" t="str">
        <f>IFERROR(__xludf.DUMMYFUNCTION("JOIN("" | "", TRANSPOSE(UNIQUE(FILTER(Tests!T$4:T1018, Tests!O$4:O1018=B51))))")," | 2,5 | 0,1 | 1,56 | 1,6 | 1,0 | 1,3 | 1,7 | 2,3 | 1,57 | 1,5 | 1,34 | 1,24 | 1,47 | 0,67 | 1,82")</f>
        <v> | 2,5 | 0,1 | 1,56 | 1,6 | 1,0 | 1,3 | 1,7 | 2,3 | 1,57 | 1,5 | 1,34 | 1,24 | 1,47 | 0,67 | 1,82</v>
      </c>
      <c r="H51" s="63" t="str">
        <f>IFERROR(__xludf.DUMMYFUNCTION("JOIN("", "", TRANSPOSE(UNIQUE(FILTER(Tests!P$4:P1018, Tests!O$4:O1018=B51))))"),"Valve, North flange, Bottom flange, Bride centre, Center flange, South flange, South Flange, Medium Flange, South Flange - Flex PA 4 mm, Center Flange - Flex PA 12 mm, North Flange - Flex PA 10 mm")</f>
        <v>Valve, North flange, Bottom flange, Bride centre, Center flange, South flange, South Flange, Medium Flange, South Flange - Flex PA 4 mm, Center Flange - Flex PA 12 mm, North Flange - Flex PA 10 mm</v>
      </c>
    </row>
    <row r="52">
      <c r="B52" s="46" t="s">
        <v>165</v>
      </c>
      <c r="C52" s="22">
        <f>SUM(C39:C51)</f>
        <v>1733</v>
      </c>
    </row>
    <row r="53">
      <c r="B53" s="47" t="s">
        <v>178</v>
      </c>
      <c r="C53" s="48">
        <f>COUNTBLANK(Tests!O$4:O1018)</f>
        <v>4613</v>
      </c>
    </row>
    <row r="55">
      <c r="B55" s="78" t="s">
        <v>208</v>
      </c>
      <c r="C55" s="37" t="s">
        <v>161</v>
      </c>
      <c r="D55" s="37" t="s">
        <v>162</v>
      </c>
      <c r="E55" s="56" t="s">
        <v>191</v>
      </c>
      <c r="F55" s="56" t="s">
        <v>192</v>
      </c>
      <c r="G55" s="57" t="s">
        <v>193</v>
      </c>
      <c r="H55" s="39" t="s">
        <v>209</v>
      </c>
    </row>
    <row r="56">
      <c r="B56" s="39" t="s">
        <v>163</v>
      </c>
      <c r="C56" s="74">
        <f>IFERROR(__xludf.DUMMYFUNCTION("COUNTUNIQUE(Tests!P4:P1018)"),96.0)</f>
        <v>96</v>
      </c>
      <c r="D56" s="79"/>
      <c r="E56" s="79"/>
      <c r="F56" s="79"/>
      <c r="G56" s="79"/>
      <c r="H56" s="55" t="s">
        <v>186</v>
      </c>
    </row>
    <row r="57">
      <c r="B57" s="80" t="s">
        <v>210</v>
      </c>
      <c r="C57" s="25">
        <f>COUNTIF(Tests!P$4:P1018,B57)</f>
        <v>3</v>
      </c>
      <c r="D57" s="81">
        <f t="shared" ref="D57:D78" si="5">C57/C$79</f>
        <v>0.002021563342</v>
      </c>
      <c r="E57" s="82" t="str">
        <f>IFERROR(__xludf.DUMMYFUNCTION("JOIN("" | "", TRANSPOSE(UNIQUE(FILTER(Tests!R$4:R1018, Tests!$P$4:$P1018=$B$57))))"),"25,9")</f>
        <v>25,9</v>
      </c>
      <c r="F57" s="82" t="str">
        <f>IFERROR(__xludf.DUMMYFUNCTION("JOIN("" | "", TRANSPOSE(UNIQUE(FILTER(Tests!S$4:S1018, Tests!P$4:P1018=B57))))"),"13,5")</f>
        <v>13,5</v>
      </c>
      <c r="G57" s="82" t="str">
        <f>IFERROR(__xludf.DUMMYFUNCTION("JOIN("" | "", TRANSPOSE(UNIQUE(FILTER(Tests!T$4:T1018, Tests!P$4:P1018=B57))))"),"1,6")</f>
        <v>1,6</v>
      </c>
      <c r="H57" s="79" t="str">
        <f>IFERROR(__xludf.DUMMYFUNCTION("JOIN("", "", TRANSPOSE(UNIQUE(FILTER(Tests!O$4:O1018, Tests!P$4:P1018=B57))))"),"Well Head")</f>
        <v>Well Head</v>
      </c>
    </row>
    <row r="58">
      <c r="B58" s="83" t="s">
        <v>211</v>
      </c>
      <c r="C58" s="25">
        <f>COUNTIF(Tests!P$4:P1018,B58)</f>
        <v>59</v>
      </c>
      <c r="D58" s="67">
        <f t="shared" si="5"/>
        <v>0.0397574124</v>
      </c>
      <c r="E58" s="82" t="str">
        <f>IFERROR(__xludf.DUMMYFUNCTION("JOIN("" | "", TRANSPOSE(UNIQUE(FILTER(Tests!R$4:R1018, Tests!P$4:P1018=B58))))"),"15 | 14,8 | 15,1 | 16")</f>
        <v>15 | 14,8 | 15,1 | 16</v>
      </c>
      <c r="F58" s="82" t="str">
        <f>IFERROR(__xludf.DUMMYFUNCTION("JOIN("" | "", TRANSPOSE(UNIQUE(FILTER(Tests!S$4:S1018, Tests!P$4:P1018=B58))))"),"3 | 2,4 | 4,5")</f>
        <v>3 | 2,4 | 4,5</v>
      </c>
      <c r="G58" s="82" t="str">
        <f>IFERROR(__xludf.DUMMYFUNCTION("JOIN("" | "", TRANSPOSE(UNIQUE(FILTER(Tests!T$4:T1018, Tests!P$4:P1018=B58))))"),"1,2 | 1,1 | ")</f>
        <v>1,2 | 1,1 | </v>
      </c>
      <c r="H58" s="79" t="str">
        <f>IFERROR(__xludf.DUMMYFUNCTION("JOIN("", "", TRANSPOSE(UNIQUE(FILTER(Tests!O$4:O1018, Tests!P$4:P1018=B58))))"),"Product Skid")</f>
        <v>Product Skid</v>
      </c>
    </row>
    <row r="59">
      <c r="B59" s="83" t="s">
        <v>212</v>
      </c>
      <c r="C59" s="25">
        <f>COUNTIF(Tests!P$4:P1018,B59)</f>
        <v>347</v>
      </c>
      <c r="D59" s="67">
        <f t="shared" si="5"/>
        <v>0.2338274933</v>
      </c>
      <c r="E59" s="82" t="str">
        <f>IFERROR(__xludf.DUMMYFUNCTION("JOIN("" | "", TRANSPOSE(UNIQUE(FILTER(Tests!R$4:R1018, Tests!P$4:P1018=B59))))"),"16,3 | 11,7 | 24,5 | 15,0 | 22,0 | 10,0 | 17,0 |  | 24,0 | 16,5 | 24,4 | 23,3 | 20 | 3,5 | 17,6 | 12 | 4 | 11,5 | 17,4 | 11,3 | 10,8 | 17,3 | 1 | 2 | 5 | 13 | 16 | 1,75 | 25 | 22,7 | 18,8 | 6,5 | -5 | -10 | -15 | -20 | -25 | 18,6 | 7,8 | 18,7 | 2,5 | 7,5 "&amp;"| 12,5 | 9,8 | 18,3")</f>
        <v>16,3 | 11,7 | 24,5 | 15,0 | 22,0 | 10,0 | 17,0 |  | 24,0 | 16,5 | 24,4 | 23,3 | 20 | 3,5 | 17,6 | 12 | 4 | 11,5 | 17,4 | 11,3 | 10,8 | 17,3 | 1 | 2 | 5 | 13 | 16 | 1,75 | 25 | 22,7 | 18,8 | 6,5 | -5 | -10 | -15 | -20 | -25 | 18,6 | 7,8 | 18,7 | 2,5 | 7,5 | 12,5 | 9,8 | 18,3</v>
      </c>
      <c r="F59" s="82" t="str">
        <f>IFERROR(__xludf.DUMMYFUNCTION("JOIN("" | "", TRANSPOSE(UNIQUE(FILTER(Tests!S$4:S1018, Tests!P$4:P1018=B59))))"),"6,5 | 8,2 | 7,5 | 7,0 | 5,0 |  | 9,7 | 11,8 | 0,5 | 7,2 | 10 | 2 | 4,5 | 8,5 | 5,2 | 12,2 | 15,5 | 17,7 | 5,5 | 2,4 | 15 | 2,5 | 39,7 | 4 | 6 | 14 | 4,4 | 9 | 4,1 | 6,4 | 4,2")</f>
        <v>6,5 | 8,2 | 7,5 | 7,0 | 5,0 |  | 9,7 | 11,8 | 0,5 | 7,2 | 10 | 2 | 4,5 | 8,5 | 5,2 | 12,2 | 15,5 | 17,7 | 5,5 | 2,4 | 15 | 2,5 | 39,7 | 4 | 6 | 14 | 4,4 | 9 | 4,1 | 6,4 | 4,2</v>
      </c>
      <c r="G59" s="82" t="str">
        <f>IFERROR(__xludf.DUMMYFUNCTION("JOIN("" | "", TRANSPOSE(UNIQUE(FILTER(Tests!T$4:T1018, Tests!P$4:P1018=B59))))"),"0,6 | 0,55 | 0,57 | 0,64 |  | 1,8 | 0,68 | 0,7 | 0,65 | 1,09 | 1,62 | 1,2 | 2,5 | 1,34 | 1,24")</f>
        <v>0,6 | 0,55 | 0,57 | 0,64 |  | 1,8 | 0,68 | 0,7 | 0,65 | 1,09 | 1,62 | 1,2 | 2,5 | 1,34 | 1,24</v>
      </c>
      <c r="H59" s="79" t="str">
        <f>IFERROR(__xludf.DUMMYFUNCTION("JOIN("", "", TRANSPOSE(UNIQUE(FILTER(Tests!O$4:O1018, Tests!P$4:P1018=B59))))"),"Mobile Valve 1, Pipe Rack, Mobile Valves 3, Mobile Valves 3 at 45° along Large Tank D1, Leak on stake (elevation : 1,8 m), Fixed Point 1, RPB, -, Mobile Valve 3, Mobile Valve 3A, Mobile Valve 3B")</f>
        <v>Mobile Valve 1, Pipe Rack, Mobile Valves 3, Mobile Valves 3 at 45° along Large Tank D1, Leak on stake (elevation : 1,8 m), Fixed Point 1, RPB, -, Mobile Valve 3, Mobile Valve 3A, Mobile Valve 3B</v>
      </c>
    </row>
    <row r="60">
      <c r="B60" s="84" t="s">
        <v>213</v>
      </c>
      <c r="C60" s="25">
        <f>COUNTIF(Tests!P$4:P1018,B60)</f>
        <v>103</v>
      </c>
      <c r="D60" s="67">
        <f t="shared" si="5"/>
        <v>0.06940700809</v>
      </c>
      <c r="E60" s="82" t="str">
        <f>IFERROR(__xludf.DUMMYFUNCTION("JOIN("" | "", TRANSPOSE(UNIQUE(FILTER(Tests!R$4:R1018, Tests!P$4:P1018=B60))))"),"(22,11,2,35) | (21,4,2,26) | 9 | 21 | 21,1 | 21,2 | 10,5 | 10,7 | 21,7 | 21,5 | 16,5 | 16")</f>
        <v>(22,11,2,35) | (21,4,2,26) | 9 | 21 | 21,1 | 21,2 | 10,5 | 10,7 | 21,7 | 21,5 | 16,5 | 16</v>
      </c>
      <c r="F60" s="82" t="str">
        <f>IFERROR(__xludf.DUMMYFUNCTION("JOIN("" | "", TRANSPOSE(UNIQUE(FILTER(Tests!S$4:S1018, Tests!P$4:P1018=B60))))")," | 2 | 4 | 4,13 | 4,1 | 10,9 | 11,1 | 21,5 | 4,5")</f>
        <v> | 2 | 4 | 4,13 | 4,1 | 10,9 | 11,1 | 21,5 | 4,5</v>
      </c>
      <c r="G60" s="82" t="str">
        <f>IFERROR(__xludf.DUMMYFUNCTION("JOIN("" | "", TRANSPOSE(UNIQUE(FILTER(Tests!T$4:T1018, Tests!P$4:P1018=B60))))")," | 1,48 | 2,26 | 2,1 | 3,2 | 3 | 2,4 | 2,3 | 21,5")</f>
        <v> | 1,48 | 2,26 | 2,1 | 3,2 | 3 | 2,4 | 2,3 | 21,5</v>
      </c>
      <c r="H60" s="79" t="str">
        <f>IFERROR(__xludf.DUMMYFUNCTION("JOIN("", "", TRANSPOSE(UNIQUE(FILTER(Tests!O$4:O1018, Tests!P$4:P1018=B60))))"),"Small Tank D2, Scrubber, Vanne Mobile Bride, Large Tank D1")</f>
        <v>Small Tank D2, Scrubber, Vanne Mobile Bride, Large Tank D1</v>
      </c>
    </row>
    <row r="61">
      <c r="B61" s="84" t="s">
        <v>214</v>
      </c>
      <c r="C61" s="25">
        <f>COUNTIF(Tests!P$4:P1018,B61)</f>
        <v>6</v>
      </c>
      <c r="D61" s="67">
        <f t="shared" si="5"/>
        <v>0.004043126685</v>
      </c>
      <c r="E61" s="82" t="str">
        <f>IFERROR(__xludf.DUMMYFUNCTION("JOIN("" | "", TRANSPOSE(UNIQUE(FILTER(Tests!R$4:R1018, Tests!P$4:P1018=B61))))"),"18,6 | 18,8")</f>
        <v>18,6 | 18,8</v>
      </c>
      <c r="F61" s="82" t="str">
        <f>IFERROR(__xludf.DUMMYFUNCTION("JOIN("" | "", TRANSPOSE(UNIQUE(FILTER(Tests!S$4:S1018, Tests!P$4:P1018=B61))))"),"3,9 | 4")</f>
        <v>3,9 | 4</v>
      </c>
      <c r="G61" s="82" t="str">
        <f>IFERROR(__xludf.DUMMYFUNCTION("JOIN("" | "", TRANSPOSE(UNIQUE(FILTER(Tests!T$4:T1018, Tests!P$4:P1018=B61))))"),"2,5 | 2,54")</f>
        <v>2,5 | 2,54</v>
      </c>
      <c r="H61" s="79" t="str">
        <f>IFERROR(__xludf.DUMMYFUNCTION("JOIN("", "", TRANSPOSE(UNIQUE(FILTER(Tests!O$4:O1018, Tests!P$4:P1018=B61))))"),"RPB")</f>
        <v>RPB</v>
      </c>
    </row>
    <row r="62">
      <c r="B62" s="84" t="s">
        <v>215</v>
      </c>
      <c r="C62" s="25">
        <f>COUNTIF(Tests!P$4:P1018,B62)</f>
        <v>9</v>
      </c>
      <c r="D62" s="67">
        <f t="shared" si="5"/>
        <v>0.006064690027</v>
      </c>
      <c r="E62" s="82" t="str">
        <f>IFERROR(__xludf.DUMMYFUNCTION("JOIN("" | "", TRANSPOSE(UNIQUE(FILTER(Tests!R$4:R1018, Tests!P$4:P1018=B62))))"),"18,3 | 18,5")</f>
        <v>18,3 | 18,5</v>
      </c>
      <c r="F62" s="82" t="str">
        <f>IFERROR(__xludf.DUMMYFUNCTION("JOIN("" | "", TRANSPOSE(UNIQUE(FILTER(Tests!S$4:S1018, Tests!P$4:P1018=B62))))"),"3,2 | 3,3")</f>
        <v>3,2 | 3,3</v>
      </c>
      <c r="G62" s="82" t="str">
        <f>IFERROR(__xludf.DUMMYFUNCTION("JOIN("" | "", TRANSPOSE(UNIQUE(FILTER(Tests!T$4:T1018, Tests!P$4:P1018=B62))))")," | 1,9")</f>
        <v> | 1,9</v>
      </c>
      <c r="H62" s="79" t="str">
        <f>IFERROR(__xludf.DUMMYFUNCTION("JOIN("", "", TRANSPOSE(UNIQUE(FILTER(Tests!O$4:O1018, Tests!P$4:P1018=B62))))"),"RPB")</f>
        <v>RPB</v>
      </c>
    </row>
    <row r="63">
      <c r="B63" s="84" t="s">
        <v>216</v>
      </c>
      <c r="C63" s="25">
        <f>COUNTIF(Tests!P$4:P1018,B63)</f>
        <v>9</v>
      </c>
      <c r="D63" s="67">
        <f t="shared" si="5"/>
        <v>0.006064690027</v>
      </c>
      <c r="E63" s="82" t="str">
        <f>IFERROR(__xludf.DUMMYFUNCTION("JOIN("" | "", TRANSPOSE(UNIQUE(FILTER(Tests!R$4:R1018, Tests!P$4:P1018=B63))))"),"21,4")</f>
        <v>21,4</v>
      </c>
      <c r="F63" s="82" t="str">
        <f>IFERROR(__xludf.DUMMYFUNCTION("JOIN("" | "", TRANSPOSE(UNIQUE(FILTER(Tests!S$4:S1018, Tests!P$4:P1018=B63))))"),"39,3")</f>
        <v>39,3</v>
      </c>
      <c r="G63" s="82" t="str">
        <f>IFERROR(__xludf.DUMMYFUNCTION("JOIN("" | "", TRANSPOSE(UNIQUE(FILTER(Tests!T$4:T1018, Tests!P$4:P1018=B63))))")," | 1,8")</f>
        <v> | 1,8</v>
      </c>
      <c r="H63" s="79" t="str">
        <f>IFERROR(__xludf.DUMMYFUNCTION("JOIN("", "", TRANSPOSE(UNIQUE(FILTER(Tests!O$4:O1018, Tests!P$4:P1018=B63))))"),"Fixed Point 2")</f>
        <v>Fixed Point 2</v>
      </c>
    </row>
    <row r="64">
      <c r="B64" s="84" t="s">
        <v>217</v>
      </c>
      <c r="C64" s="25">
        <f>COUNTIF(Tests!P$4:P1018,B64)</f>
        <v>45</v>
      </c>
      <c r="D64" s="67">
        <f t="shared" si="5"/>
        <v>0.03032345013</v>
      </c>
      <c r="E64" s="82" t="str">
        <f>IFERROR(__xludf.DUMMYFUNCTION("JOIN("" | "", TRANSPOSE(UNIQUE(FILTER(Tests!R$4:R1018, Tests!P$4:P1018=B64))))"),"22,4 | 22,7")</f>
        <v>22,4 | 22,7</v>
      </c>
      <c r="F64" s="82" t="str">
        <f>IFERROR(__xludf.DUMMYFUNCTION("JOIN("" | "", TRANSPOSE(UNIQUE(FILTER(Tests!S$4:S1018, Tests!P$4:P1018=B64))))"),"39,6 | 39,7")</f>
        <v>39,6 | 39,7</v>
      </c>
      <c r="G64" s="82" t="str">
        <f>IFERROR(__xludf.DUMMYFUNCTION("JOIN("" | "", TRANSPOSE(UNIQUE(FILTER(Tests!T$4:T1018, Tests!P$4:P1018=B64))))"),"1,8 |  | 1,82")</f>
        <v>1,8 |  | 1,82</v>
      </c>
      <c r="H64" s="79" t="str">
        <f>IFERROR(__xludf.DUMMYFUNCTION("JOIN("", "", TRANSPOSE(UNIQUE(FILTER(Tests!O$4:O1018, Tests!P$4:P1018=B64))))"),"Fixed Point 1")</f>
        <v>Fixed Point 1</v>
      </c>
    </row>
    <row r="65">
      <c r="B65" s="84" t="s">
        <v>218</v>
      </c>
      <c r="C65" s="25">
        <f>COUNTIF(Tests!P$4:P1018,B65)</f>
        <v>108</v>
      </c>
      <c r="D65" s="67">
        <f t="shared" si="5"/>
        <v>0.07277628032</v>
      </c>
      <c r="E65" s="82" t="str">
        <f>IFERROR(__xludf.DUMMYFUNCTION("JOIN("" | "", TRANSPOSE(UNIQUE(FILTER(Tests!R$4:R1018, Tests!P$4:P1018=B65))))"),"(11,8,3) | 21,2 | 10,3 | 21,5")</f>
        <v>(11,8,3) | 21,2 | 10,3 | 21,5</v>
      </c>
      <c r="F65" s="82" t="str">
        <f>IFERROR(__xludf.DUMMYFUNCTION("JOIN("" | "", TRANSPOSE(UNIQUE(FILTER(Tests!S$4:S1018, Tests!P$4:P1018=B65))))")," | 8,7 | 7,9 | 8,1")</f>
        <v> | 8,7 | 7,9 | 8,1</v>
      </c>
      <c r="G65" s="82" t="str">
        <f>IFERROR(__xludf.DUMMYFUNCTION("JOIN("" | "", TRANSPOSE(UNIQUE(FILTER(Tests!T$4:T1018, Tests!P$4:P1018=B65))))")," | 2,4 | 3,0 | 2,35")</f>
        <v> | 2,4 | 3,0 | 2,35</v>
      </c>
      <c r="H65" s="79" t="str">
        <f>IFERROR(__xludf.DUMMYFUNCTION("JOIN("", "", TRANSPOSE(UNIQUE(FILTER(Tests!O$4:O1018, Tests!P$4:P1018=B65))))"),"Large Tank D1, Small Tank D2")</f>
        <v>Large Tank D1, Small Tank D2</v>
      </c>
    </row>
    <row r="66">
      <c r="B66" s="83" t="s">
        <v>219</v>
      </c>
      <c r="C66" s="25">
        <f>COUNTIF(Tests!P$4:P1018,B66)</f>
        <v>15</v>
      </c>
      <c r="D66" s="67">
        <f t="shared" si="5"/>
        <v>0.01010781671</v>
      </c>
      <c r="E66" s="82" t="str">
        <f>IFERROR(__xludf.DUMMYFUNCTION("JOIN("" | "", TRANSPOSE(UNIQUE(FILTER(Tests!R$4:R1018, Tests!P$4:P1018=B66))))"),"(25,5,12,1,65) | 25,9 | 26,3 | 18,3")</f>
        <v>(25,5,12,1,65) | 25,9 | 26,3 | 18,3</v>
      </c>
      <c r="F66" s="82" t="str">
        <f>IFERROR(__xludf.DUMMYFUNCTION("JOIN("" | "", TRANSPOSE(UNIQUE(FILTER(Tests!S$4:S1018, Tests!P$4:P1018=B66))))")," | 12,4 | 4,2")</f>
        <v> | 12,4 | 4,2</v>
      </c>
      <c r="G66" s="82" t="str">
        <f>IFERROR(__xludf.DUMMYFUNCTION("JOIN("" | "", TRANSPOSE(UNIQUE(FILTER(Tests!T$4:T1018, Tests!P$4:P1018=B66))))")," | 1,7 | 1,6 | 1,57 | 1,34 | 1,24")</f>
        <v> | 1,7 | 1,6 | 1,57 | 1,34 | 1,24</v>
      </c>
      <c r="H66" s="79" t="str">
        <f>IFERROR(__xludf.DUMMYFUNCTION("JOIN("", "", TRANSPOSE(UNIQUE(FILTER(Tests!O$4:O1018, Tests!P$4:P1018=B66))))"),"Well Head")</f>
        <v>Well Head</v>
      </c>
    </row>
    <row r="67">
      <c r="B67" s="83" t="s">
        <v>220</v>
      </c>
      <c r="C67" s="25">
        <f>COUNTIF(Tests!P$4:P1018,B67)</f>
        <v>205</v>
      </c>
      <c r="D67" s="67">
        <f t="shared" si="5"/>
        <v>0.1381401617</v>
      </c>
      <c r="E67" s="82" t="str">
        <f>IFERROR(__xludf.DUMMYFUNCTION("JOIN("" | "", TRANSPOSE(UNIQUE(FILTER(Tests!R$4:R1018, Tests!P$4:P1018=B67))))"),"(37,7,6,5) | (16,10,0,02) | 9 | 24,5 | 16 | 37 | 16,2 | 37,1 | 21,2 | 16,1 | 18,5 | 16,5 | 3 | 18,4 | 8,8 | 6,5 | 22,9 | 24,4 | 9,1 | 15 | 20,3 | 19,3 | 17,8 | 28,9 | 29,6 | 23,5 | 23,7 | 3,5 | 18,3")</f>
        <v>(37,7,6,5) | (16,10,0,02) | 9 | 24,5 | 16 | 37 | 16,2 | 37,1 | 21,2 | 16,1 | 18,5 | 16,5 | 3 | 18,4 | 8,8 | 6,5 | 22,9 | 24,4 | 9,1 | 15 | 20,3 | 19,3 | 17,8 | 28,9 | 29,6 | 23,5 | 23,7 | 3,5 | 18,3</v>
      </c>
      <c r="F67" s="82" t="str">
        <f>IFERROR(__xludf.DUMMYFUNCTION("JOIN("" | "", TRANSPOSE(UNIQUE(FILTER(Tests!S$4:S1018, Tests!P$4:P1018=B67))))")," | 5 | 6 | 15 | 9,5 | 7 | 10 | 7,5 | 9,3 | 9,6 | 6,9 | 8,7 | 3,3 | 8 | 35 | 7,8 | 9,2 | 11,5 | 8,2 | 15,7 | 15,8 | 12,3 | 15,3 | 3,5 | 42,1")</f>
        <v> | 5 | 6 | 15 | 9,5 | 7 | 10 | 7,5 | 9,3 | 9,6 | 6,9 | 8,7 | 3,3 | 8 | 35 | 7,8 | 9,2 | 11,5 | 8,2 | 15,7 | 15,8 | 12,3 | 15,3 | 3,5 | 42,1</v>
      </c>
      <c r="G67" s="82" t="str">
        <f>IFERROR(__xludf.DUMMYFUNCTION("JOIN("" | "", TRANSPOSE(UNIQUE(FILTER(Tests!T$4:T1018, Tests!P$4:P1018=B67))))")," | 0,55 | 0,535 | 1,03 | 0,02 | 0,6 | 6,5 | 0,01 | 0,1 | 7,0 | 2,4 | 0 | 1,9 | 1,56 | 6,15 | 0,63 | 1 | 0,57 | 0,64 | 1,65 | 0,8 | 1,97 | 1,63 | 20 | 10 | 3,08")</f>
        <v> | 0,55 | 0,535 | 1,03 | 0,02 | 0,6 | 6,5 | 0,01 | 0,1 | 7,0 | 2,4 | 0 | 1,9 | 1,56 | 6,15 | 0,63 | 1 | 0,57 | 0,64 | 1,65 | 0,8 | 1,97 | 1,63 | 20 | 10 | 3,08</v>
      </c>
      <c r="H67" s="79" t="str">
        <f>IFERROR(__xludf.DUMMYFUNCTION("JOIN("", "", TRANSPOSE(UNIQUE(FILTER(Tests!O$4:O1018, Tests!P$4:P1018=B67))))"),"Flare (6,5 m), Long Tank D3, Mobile Valve 1, Mobile Valves 3, Vanne Mobile 2 Rack Tuyauterie, RPB, -, Mast, Pipe Rack, Mobile Valve 3A, Mast 20 m")</f>
        <v>Flare (6,5 m), Long Tank D3, Mobile Valve 1, Mobile Valves 3, Vanne Mobile 2 Rack Tuyauterie, RPB, -, Mast, Pipe Rack, Mobile Valve 3A, Mast 20 m</v>
      </c>
    </row>
    <row r="68">
      <c r="B68" s="83" t="s">
        <v>221</v>
      </c>
      <c r="C68" s="25">
        <f>COUNTIF(Tests!P$4:P1018,B68)</f>
        <v>25</v>
      </c>
      <c r="D68" s="67">
        <f t="shared" si="5"/>
        <v>0.01684636119</v>
      </c>
      <c r="E68" s="82" t="str">
        <f>IFERROR(__xludf.DUMMYFUNCTION("JOIN("" | "", TRANSPOSE(UNIQUE(FILTER(Tests!R$4:R1018, Tests!P$4:P1018=B68))))"),"26,0 | 26,4 | 26,1 | 26,2")</f>
        <v>26,0 | 26,4 | 26,1 | 26,2</v>
      </c>
      <c r="F68" s="82" t="str">
        <f>IFERROR(__xludf.DUMMYFUNCTION("JOIN("" | "", TRANSPOSE(UNIQUE(FILTER(Tests!S$4:S1018, Tests!P$4:P1018=B68))))"),"14,4 | 14,2 | 14,3 | 14,5")</f>
        <v>14,4 | 14,2 | 14,3 | 14,5</v>
      </c>
      <c r="G68" s="82" t="str">
        <f>IFERROR(__xludf.DUMMYFUNCTION("JOIN("" | "", TRANSPOSE(UNIQUE(FILTER(Tests!T$4:T1018, Tests!P$4:P1018=B68))))"),"1,0 | 1,3 |  | 1,5 | 1,7 | 1,47")</f>
        <v>1,0 | 1,3 |  | 1,5 | 1,7 | 1,47</v>
      </c>
      <c r="H68" s="79" t="str">
        <f>IFERROR(__xludf.DUMMYFUNCTION("JOIN("", "", TRANSPOSE(UNIQUE(FILTER(Tests!O$4:O1018, Tests!P$4:P1018=B68))))"),"Well Head")</f>
        <v>Well Head</v>
      </c>
    </row>
    <row r="69">
      <c r="B69" s="83" t="s">
        <v>222</v>
      </c>
      <c r="C69" s="25">
        <f>COUNTIF(Tests!P$4:P1018,B69)</f>
        <v>54</v>
      </c>
      <c r="D69" s="67">
        <f t="shared" si="5"/>
        <v>0.03638814016</v>
      </c>
      <c r="E69" s="82" t="str">
        <f>IFERROR(__xludf.DUMMYFUNCTION("JOIN("" | "", TRANSPOSE(UNIQUE(FILTER(Tests!R$4:R1018, Tests!P$4:P1018=B69))))"),"(21,5,1,17) | 21 | 20,1 | 22 | 20,7")</f>
        <v>(21,5,1,17) | 21 | 20,1 | 22 | 20,7</v>
      </c>
      <c r="F69" s="82" t="str">
        <f>IFERROR(__xludf.DUMMYFUNCTION("JOIN("" | "", TRANSPOSE(UNIQUE(FILTER(Tests!S$4:S1018, Tests!P$4:P1018=B69))))")," | 5 | 5,3 | 11,4 | 5,1")</f>
        <v> | 5 | 5,3 | 11,4 | 5,1</v>
      </c>
      <c r="G69" s="82" t="str">
        <f>IFERROR(__xludf.DUMMYFUNCTION("JOIN("" | "", TRANSPOSE(UNIQUE(FILTER(Tests!T$4:T1018, Tests!P$4:P1018=B69))))")," | 1,17 | 1,3 | 0,6 | 1,2")</f>
        <v> | 1,17 | 1,3 | 0,6 | 1,2</v>
      </c>
      <c r="H69" s="79" t="str">
        <f>IFERROR(__xludf.DUMMYFUNCTION("JOIN("", "", TRANSPOSE(UNIQUE(FILTER(Tests!O$4:O1018, Tests!P$4:P1018=B69))))"),"Scrubber, Small Tank D2")</f>
        <v>Scrubber, Small Tank D2</v>
      </c>
    </row>
    <row r="70">
      <c r="B70" s="84" t="s">
        <v>223</v>
      </c>
      <c r="C70" s="25">
        <f>COUNTIF(Tests!P$4:P1018,B70)</f>
        <v>66</v>
      </c>
      <c r="D70" s="67">
        <f t="shared" si="5"/>
        <v>0.04447439353</v>
      </c>
      <c r="E70" s="82" t="str">
        <f>IFERROR(__xludf.DUMMYFUNCTION("JOIN("" | "", TRANSPOSE(UNIQUE(FILTER(Tests!R$4:R1018, Tests!P$4:P1018=B70))))"),"(26,14,2,5) | 26 | 22 | 10,0 | 21,8 | 26,4 | 21,4 | 10,3")</f>
        <v>(26,14,2,5) | 26 | 22 | 10,0 | 21,8 | 26,4 | 21,4 | 10,3</v>
      </c>
      <c r="F70" s="82" t="str">
        <f>IFERROR(__xludf.DUMMYFUNCTION("JOIN("" | "", TRANSPOSE(UNIQUE(FILTER(Tests!S$4:S1018, Tests!P$4:P1018=B70))))")," | 14 | 8 | 11,7 | 7,0 | 14,4 | 11,1 | 7,4 | 14,5 | 8,1 | 21,8")</f>
        <v> | 14 | 8 | 11,7 | 7,0 | 14,4 | 11,1 | 7,4 | 14,5 | 8,1 | 21,8</v>
      </c>
      <c r="G70" s="82" t="str">
        <f>IFERROR(__xludf.DUMMYFUNCTION("JOIN("" | "", TRANSPOSE(UNIQUE(FILTER(Tests!T$4:T1018, Tests!P$4:P1018=B70))))")," | 2,5 | 1,3 | 0,4 | 2,2 | 2,3 | 0,5 | 3 | 21,8")</f>
        <v> | 2,5 | 1,3 | 0,4 | 2,2 | 2,3 | 0,5 | 3 | 21,8</v>
      </c>
      <c r="H70" s="79" t="str">
        <f>IFERROR(__xludf.DUMMYFUNCTION("JOIN("", "", TRANSPOSE(UNIQUE(FILTER(Tests!O$4:O1018, Tests!P$4:P1018=B70))))"),"Well Head, Small Tank D2, Large Tank D1")</f>
        <v>Well Head, Small Tank D2, Large Tank D1</v>
      </c>
    </row>
    <row r="71">
      <c r="B71" s="84" t="s">
        <v>224</v>
      </c>
      <c r="C71" s="25">
        <f>COUNTIF(Tests!P$4:P1018,B71)</f>
        <v>173</v>
      </c>
      <c r="D71" s="67">
        <f t="shared" si="5"/>
        <v>0.1165768194</v>
      </c>
      <c r="E71" s="82" t="str">
        <f>IFERROR(__xludf.DUMMYFUNCTION("JOIN("" | "", TRANSPOSE(UNIQUE(FILTER(Tests!R$4:R1018, Tests!P$4:P1018=B71))))"),"21,4 | 22,4 | 21,7")</f>
        <v>21,4 | 22,4 | 21,7</v>
      </c>
      <c r="F71" s="82" t="str">
        <f>IFERROR(__xludf.DUMMYFUNCTION("JOIN("" | "", TRANSPOSE(UNIQUE(FILTER(Tests!S$4:S1018, Tests!P$4:P1018=B71))))"),"39,3 | 39,6 | 39,5")</f>
        <v>39,3 | 39,6 | 39,5</v>
      </c>
      <c r="G71" s="82" t="str">
        <f>IFERROR(__xludf.DUMMYFUNCTION("JOIN("" | "", TRANSPOSE(UNIQUE(FILTER(Tests!T$4:T1018, Tests!P$4:P1018=B71))))"),"1,2 | 1,3 |  | 1,0 | 1,1 | 1,8 | 1,6 | 1,26 | 1,28 | 1,29")</f>
        <v>1,2 | 1,3 |  | 1,0 | 1,1 | 1,8 | 1,6 | 1,26 | 1,28 | 1,29</v>
      </c>
      <c r="H71" s="79" t="str">
        <f>IFERROR(__xludf.DUMMYFUNCTION("JOIN("", "", TRANSPOSE(UNIQUE(FILTER(Tests!O$4:O1018, Tests!P$4:P1018=B71))))"),"Fixed Point 2, Fixed Point 1")</f>
        <v>Fixed Point 2, Fixed Point 1</v>
      </c>
    </row>
    <row r="72">
      <c r="B72" s="84" t="s">
        <v>225</v>
      </c>
      <c r="C72" s="25">
        <f>COUNTIF(Tests!P$4:P1018,B72)</f>
        <v>257</v>
      </c>
      <c r="D72" s="67">
        <f t="shared" si="5"/>
        <v>0.173180593</v>
      </c>
      <c r="E72" s="82" t="str">
        <f>IFERROR(__xludf.DUMMYFUNCTION("JOIN("" | "", TRANSPOSE(UNIQUE(FILTER(Tests!R$4:R1018, Tests!P$4:P1018=B72))))"),"22,4 | 21,4 | 22,7 | 21,7")</f>
        <v>22,4 | 21,4 | 22,7 | 21,7</v>
      </c>
      <c r="F72" s="82" t="str">
        <f>IFERROR(__xludf.DUMMYFUNCTION("JOIN("" | "", TRANSPOSE(UNIQUE(FILTER(Tests!S$4:S1018, Tests!P$4:P1018=B72))))"),"39,6 | 39,3 | 39,7 | 22,7 | 39,5")</f>
        <v>39,6 | 39,3 | 39,7 | 22,7 | 39,5</v>
      </c>
      <c r="G72" s="82" t="str">
        <f>IFERROR(__xludf.DUMMYFUNCTION("JOIN("" | "", TRANSPOSE(UNIQUE(FILTER(Tests!T$4:T1018, Tests!P$4:P1018=B72))))"),"1,0 |  | 1,1 | 0,45 | 22,7 | 1,9 | 1,26 | 1,09 | 1,02 | 1,3")</f>
        <v>1,0 |  | 1,1 | 0,45 | 22,7 | 1,9 | 1,26 | 1,09 | 1,02 | 1,3</v>
      </c>
      <c r="H72" s="79" t="str">
        <f>IFERROR(__xludf.DUMMYFUNCTION("JOIN("", "", TRANSPOSE(UNIQUE(FILTER(Tests!O$4:O1018, Tests!P$4:P1018=B72))))"),"Fixed Point 1, Fixed Point 2")</f>
        <v>Fixed Point 1, Fixed Point 2</v>
      </c>
    </row>
    <row r="73">
      <c r="B73" s="83" t="s">
        <v>226</v>
      </c>
      <c r="C73" s="25">
        <f>COUNTIF(Tests!P$4:P1018,B73)</f>
        <v>18</v>
      </c>
      <c r="D73" s="67">
        <f t="shared" si="5"/>
        <v>0.01212938005</v>
      </c>
      <c r="E73" s="82" t="str">
        <f>IFERROR(__xludf.DUMMYFUNCTION("JOIN("" | "", TRANSPOSE(UNIQUE(FILTER(Tests!R$4:R1018, Tests!P$4:P1018=B73))))"),"25,5 | 26,1 | 26")</f>
        <v>25,5 | 26,1 | 26</v>
      </c>
      <c r="F73" s="82" t="str">
        <f>IFERROR(__xludf.DUMMYFUNCTION("JOIN("" | "", TRANSPOSE(UNIQUE(FILTER(Tests!S$4:S1018, Tests!P$4:P1018=B73))))"),"13,8 | 13,5 | 13,3")</f>
        <v>13,8 | 13,5 | 13,3</v>
      </c>
      <c r="G73" s="82" t="str">
        <f>IFERROR(__xludf.DUMMYFUNCTION("JOIN("" | "", TRANSPOSE(UNIQUE(FILTER(Tests!T$4:T1018, Tests!P$4:P1018=B73))))"),"0,1 | 1,3")</f>
        <v>0,1 | 1,3</v>
      </c>
      <c r="H73" s="79" t="str">
        <f>IFERROR(__xludf.DUMMYFUNCTION("JOIN("", "", TRANSPOSE(UNIQUE(FILTER(Tests!O$4:O1018, Tests!P$4:P1018=B73))))"),"Well Head")</f>
        <v>Well Head</v>
      </c>
    </row>
    <row r="74">
      <c r="B74" s="83" t="s">
        <v>227</v>
      </c>
      <c r="C74" s="25">
        <f>COUNTIF(Tests!P$4:P1018,B74)</f>
        <v>25</v>
      </c>
      <c r="D74" s="67">
        <f t="shared" si="5"/>
        <v>0.01684636119</v>
      </c>
      <c r="E74" s="82" t="str">
        <f>IFERROR(__xludf.DUMMYFUNCTION("JOIN("" | "", TRANSPOSE(UNIQUE(FILTER(Tests!R$4:R1018, Tests!P$4:P1018=B74))))"),"15,2 | 15,5")</f>
        <v>15,2 | 15,5</v>
      </c>
      <c r="F74" s="82" t="str">
        <f>IFERROR(__xludf.DUMMYFUNCTION("JOIN("" | "", TRANSPOSE(UNIQUE(FILTER(Tests!S$4:S1018, Tests!P$4:P1018=B74))))"),"3,4")</f>
        <v>3,4</v>
      </c>
      <c r="G74" s="82" t="str">
        <f>IFERROR(__xludf.DUMMYFUNCTION("JOIN("" | "", TRANSPOSE(UNIQUE(FILTER(Tests!T$4:T1018, Tests!P$4:P1018=B74))))"),"1,9 | 1,35 | 1,4")</f>
        <v>1,9 | 1,35 | 1,4</v>
      </c>
      <c r="H74" s="79" t="str">
        <f>IFERROR(__xludf.DUMMYFUNCTION("JOIN("", "", TRANSPOSE(UNIQUE(FILTER(Tests!O$4:O1018, Tests!P$4:P1018=B74))))"),"Product Skid")</f>
        <v>Product Skid</v>
      </c>
    </row>
    <row r="75">
      <c r="B75" s="83" t="s">
        <v>228</v>
      </c>
      <c r="C75" s="25">
        <f>COUNTIF(Tests!P$4:P1018,B75)</f>
        <v>7</v>
      </c>
      <c r="D75" s="67">
        <f t="shared" si="5"/>
        <v>0.004716981132</v>
      </c>
      <c r="E75" s="82" t="str">
        <f>IFERROR(__xludf.DUMMYFUNCTION("JOIN("" | "", TRANSPOSE(UNIQUE(FILTER(Tests!R$4:R1018, Tests!P$4:P1018=B75))))"),"24,4")</f>
        <v>24,4</v>
      </c>
      <c r="F75" s="82" t="str">
        <f>IFERROR(__xludf.DUMMYFUNCTION("JOIN("" | "", TRANSPOSE(UNIQUE(FILTER(Tests!S$4:S1018, Tests!P$4:P1018=B75))))"),"9,7")</f>
        <v>9,7</v>
      </c>
      <c r="G75" s="82" t="str">
        <f>IFERROR(__xludf.DUMMYFUNCTION("JOIN("" | "", TRANSPOSE(UNIQUE(FILTER(Tests!T$4:T1018, Tests!P$4:P1018=B75))))"),"0,57 | 0,6")</f>
        <v>0,57 | 0,6</v>
      </c>
      <c r="H75" s="79" t="str">
        <f>IFERROR(__xludf.DUMMYFUNCTION("JOIN("", "", TRANSPOSE(UNIQUE(FILTER(Tests!O$4:O1018, Tests!P$4:P1018=B75))))"),"Pipe Rack")</f>
        <v>Pipe Rack</v>
      </c>
    </row>
    <row r="76">
      <c r="B76" s="83" t="s">
        <v>229</v>
      </c>
      <c r="C76" s="25">
        <f>COUNTIF(Tests!P$4:P1018,B76)</f>
        <v>8</v>
      </c>
      <c r="D76" s="67">
        <f t="shared" si="5"/>
        <v>0.00539083558</v>
      </c>
      <c r="E76" s="82" t="str">
        <f>IFERROR(__xludf.DUMMYFUNCTION("JOIN("" | "", TRANSPOSE(UNIQUE(FILTER(Tests!R$4:R1018, Tests!P$4:P1018=B76))))"),"21,7")</f>
        <v>21,7</v>
      </c>
      <c r="F76" s="82" t="str">
        <f>IFERROR(__xludf.DUMMYFUNCTION("JOIN("" | "", TRANSPOSE(UNIQUE(FILTER(Tests!S$4:S1018, Tests!P$4:P1018=B76))))"),"39,5")</f>
        <v>39,5</v>
      </c>
      <c r="G76" s="82" t="str">
        <f>IFERROR(__xludf.DUMMYFUNCTION("JOIN("" | "", TRANSPOSE(UNIQUE(FILTER(Tests!T$4:T1018, Tests!P$4:P1018=B76))))"),"2,4 | 2,5")</f>
        <v>2,4 | 2,5</v>
      </c>
      <c r="H76" s="79" t="str">
        <f>IFERROR(__xludf.DUMMYFUNCTION("JOIN("", "", TRANSPOSE(UNIQUE(FILTER(Tests!O$4:O1018, Tests!P$4:P1018=B76))))"),"Fixed Point 2")</f>
        <v>Fixed Point 2</v>
      </c>
    </row>
    <row r="77">
      <c r="B77" s="83" t="s">
        <v>230</v>
      </c>
      <c r="C77" s="25">
        <f>COUNTIF(Tests!P$4:P1018,B77)</f>
        <v>7</v>
      </c>
      <c r="D77" s="67">
        <f t="shared" si="5"/>
        <v>0.004716981132</v>
      </c>
      <c r="E77" s="82" t="str">
        <f>IFERROR(__xludf.DUMMYFUNCTION("JOIN("" | "", TRANSPOSE(UNIQUE(FILTER(Tests!R$4:R1018, Tests!P$4:P1018=B77))))"),"18,3")</f>
        <v>18,3</v>
      </c>
      <c r="F77" s="82" t="str">
        <f>IFERROR(__xludf.DUMMYFUNCTION("JOIN("" | "", TRANSPOSE(UNIQUE(FILTER(Tests!S$4:S1018, Tests!P$4:P1018=B77))))"),"3,9")</f>
        <v>3,9</v>
      </c>
      <c r="G77" s="82" t="str">
        <f>IFERROR(__xludf.DUMMYFUNCTION("JOIN("" | "", TRANSPOSE(UNIQUE(FILTER(Tests!T$4:T1018, Tests!P$4:P1018=B77))))"),"1,8 | 1,82")</f>
        <v>1,8 | 1,82</v>
      </c>
      <c r="H77" s="79" t="str">
        <f>IFERROR(__xludf.DUMMYFUNCTION("JOIN("", "", TRANSPOSE(UNIQUE(FILTER(Tests!O$4:O1018, Tests!P$4:P1018=B77))))"),"RPB")</f>
        <v>RPB</v>
      </c>
    </row>
    <row r="78">
      <c r="B78" s="85" t="s">
        <v>231</v>
      </c>
      <c r="C78" s="86">
        <f>IFERROR(__xludf.DUMMYFUNCTION("COUNT(FILTER(Tests!C$4:C1018, FIND(B78,Tests!P$4:P1018)))"),175.0)</f>
        <v>175</v>
      </c>
      <c r="D78" s="75">
        <f t="shared" si="5"/>
        <v>0.1179245283</v>
      </c>
      <c r="E78" s="82" t="str">
        <f>IFERROR(__xludf.DUMMYFUNCTION("JOIN("" | "", TRANSPOSE(UNIQUE(FILTER(Tests!R$4:R1018, FIND(B78,Tests!P$4:P1018)))))")," | -")</f>
        <v> | -</v>
      </c>
      <c r="F78" s="82" t="str">
        <f>IFERROR(__xludf.DUMMYFUNCTION("JOIN("" | "", TRANSPOSE(UNIQUE(FILTER(Tests!S$4:S1018, FIND(B78,Tests!P$4:P1018)))))")," | 39,5 | -")</f>
        <v> | 39,5 | -</v>
      </c>
      <c r="G78" s="82" t="str">
        <f>IFERROR(__xludf.DUMMYFUNCTION("JOIN("" | "", TRANSPOSE(UNIQUE(FILTER(Tests!T$4:T1018, FIND(B78,Tests!P$4:P1018)))))")," | -")</f>
        <v> | -</v>
      </c>
      <c r="H78" s="79" t="str">
        <f>IFERROR(__xludf.DUMMYFUNCTION("JOIN("", "", TRANSPOSE(UNIQUE(FILTER(Tests!O$4:O1018, Tests!P$4:P1018=B78))))"),"")</f>
        <v/>
      </c>
    </row>
    <row r="79">
      <c r="B79" s="46" t="s">
        <v>165</v>
      </c>
      <c r="C79" s="22">
        <f>SUM(C57:C72)</f>
        <v>1484</v>
      </c>
      <c r="E79" s="87"/>
    </row>
    <row r="80">
      <c r="B80" s="47" t="s">
        <v>178</v>
      </c>
      <c r="C80" s="48">
        <f>COUNTBLANK(Tests!P$4:P1018)</f>
        <v>4577</v>
      </c>
    </row>
    <row r="84">
      <c r="B84" s="36" t="s">
        <v>190</v>
      </c>
      <c r="C84" s="88"/>
      <c r="D84" s="39" t="s">
        <v>194</v>
      </c>
      <c r="E84" s="88"/>
      <c r="F84" s="88"/>
      <c r="G84" s="88"/>
      <c r="H84" s="88"/>
    </row>
    <row r="85">
      <c r="B85" s="89" t="str">
        <f t="array" ref="B85:B121">SORT(UNIQUE(Tests!O$4:O1018))</f>
        <v>#REF!</v>
      </c>
      <c r="D85" s="6" t="str">
        <f>IFERROR(__xludf.DUMMYFUNCTION("JOIN("", "", TRANSPOSE(UNIQUE(FILTER(Tests!P$4:P1018, Tests!O$4:O1018=B85))))"),"#N/A")</f>
        <v>#N/A</v>
      </c>
    </row>
    <row r="86">
      <c r="B86" s="89"/>
      <c r="D86" s="6" t="str">
        <f>IFERROR(__xludf.DUMMYFUNCTION("JOIN("", "", TRANSPOSE(UNIQUE(FILTER(Tests!P$4:P1018, Tests!O$4:O1018=B86))))"),", TADI's purge, TADI's purge CH4, TADI's purge N2, TADI's purge CO2")</f>
        <v>, TADI's purge, TADI's purge CH4, TADI's purge N2, TADI's purge CO2</v>
      </c>
    </row>
    <row r="87">
      <c r="B87" s="89"/>
      <c r="D87" s="6" t="str">
        <f>IFERROR(__xludf.DUMMYFUNCTION("JOIN("", "", TRANSPOSE(UNIQUE(FILTER(Tests!P$4:P1018, Tests!O$4:O1018=B87))))"),", TADI's purge, TADI's purge CH4, TADI's purge N2, TADI's purge CO2")</f>
        <v>, TADI's purge, TADI's purge CH4, TADI's purge N2, TADI's purge CO2</v>
      </c>
    </row>
    <row r="88">
      <c r="B88" s="89"/>
      <c r="D88" s="6" t="str">
        <f>IFERROR(__xludf.DUMMYFUNCTION("JOIN("", "", TRANSPOSE(UNIQUE(FILTER(Tests!P$4:P1018, Tests!O$4:O1018=B88))))"),", TADI's purge, TADI's purge CH4, TADI's purge N2, TADI's purge CO2")</f>
        <v>, TADI's purge, TADI's purge CH4, TADI's purge N2, TADI's purge CO2</v>
      </c>
    </row>
    <row r="89">
      <c r="B89" s="89"/>
      <c r="D89" s="6" t="str">
        <f>IFERROR(__xludf.DUMMYFUNCTION("JOIN("", "", TRANSPOSE(UNIQUE(FILTER(Tests!P$4:P1018, Tests!O$4:O1018=B89))))"),", TADI's purge, TADI's purge CH4, TADI's purge N2, TADI's purge CO2")</f>
        <v>, TADI's purge, TADI's purge CH4, TADI's purge N2, TADI's purge CO2</v>
      </c>
    </row>
    <row r="90">
      <c r="B90" s="89"/>
      <c r="D90" s="6" t="str">
        <f>IFERROR(__xludf.DUMMYFUNCTION("JOIN("", "", TRANSPOSE(UNIQUE(FILTER(Tests!P$4:P1018, Tests!O$4:O1018=B90))))"),", TADI's purge, TADI's purge CH4, TADI's purge N2, TADI's purge CO2")</f>
        <v>, TADI's purge, TADI's purge CH4, TADI's purge N2, TADI's purge CO2</v>
      </c>
    </row>
    <row r="91">
      <c r="B91" s="89"/>
      <c r="D91" s="6" t="str">
        <f>IFERROR(__xludf.DUMMYFUNCTION("JOIN("", "", TRANSPOSE(UNIQUE(FILTER(Tests!P$4:P1018, Tests!O$4:O1018=B91))))"),", TADI's purge, TADI's purge CH4, TADI's purge N2, TADI's purge CO2")</f>
        <v>, TADI's purge, TADI's purge CH4, TADI's purge N2, TADI's purge CO2</v>
      </c>
    </row>
    <row r="92">
      <c r="B92" s="89"/>
      <c r="D92" s="6" t="str">
        <f>IFERROR(__xludf.DUMMYFUNCTION("JOIN("", "", TRANSPOSE(UNIQUE(FILTER(Tests!P$4:P1018, Tests!O$4:O1018=B92))))"),", TADI's purge, TADI's purge CH4, TADI's purge N2, TADI's purge CO2")</f>
        <v>, TADI's purge, TADI's purge CH4, TADI's purge N2, TADI's purge CO2</v>
      </c>
    </row>
    <row r="93">
      <c r="B93" s="89"/>
      <c r="D93" s="6" t="str">
        <f>IFERROR(__xludf.DUMMYFUNCTION("JOIN("", "", TRANSPOSE(UNIQUE(FILTER(Tests!P$4:P1018, Tests!O$4:O1018=B93))))"),", TADI's purge, TADI's purge CH4, TADI's purge N2, TADI's purge CO2")</f>
        <v>, TADI's purge, TADI's purge CH4, TADI's purge N2, TADI's purge CO2</v>
      </c>
    </row>
    <row r="94">
      <c r="B94" s="89"/>
      <c r="D94" s="6" t="str">
        <f>IFERROR(__xludf.DUMMYFUNCTION("JOIN("", "", TRANSPOSE(UNIQUE(FILTER(Tests!P$4:P1018, Tests!O$4:O1018=B94))))"),", TADI's purge, TADI's purge CH4, TADI's purge N2, TADI's purge CO2")</f>
        <v>, TADI's purge, TADI's purge CH4, TADI's purge N2, TADI's purge CO2</v>
      </c>
    </row>
    <row r="95">
      <c r="B95" s="89"/>
      <c r="D95" s="6" t="str">
        <f>IFERROR(__xludf.DUMMYFUNCTION("JOIN("", "", TRANSPOSE(UNIQUE(FILTER(Tests!P$4:P1018, Tests!O$4:O1018=B95))))"),", TADI's purge, TADI's purge CH4, TADI's purge N2, TADI's purge CO2")</f>
        <v>, TADI's purge, TADI's purge CH4, TADI's purge N2, TADI's purge CO2</v>
      </c>
    </row>
    <row r="96">
      <c r="B96" s="89"/>
      <c r="D96" s="6" t="str">
        <f>IFERROR(__xludf.DUMMYFUNCTION("JOIN("", "", TRANSPOSE(UNIQUE(FILTER(Tests!P$4:P1018, Tests!O$4:O1018=B96))))"),", TADI's purge, TADI's purge CH4, TADI's purge N2, TADI's purge CO2")</f>
        <v>, TADI's purge, TADI's purge CH4, TADI's purge N2, TADI's purge CO2</v>
      </c>
    </row>
    <row r="97">
      <c r="B97" s="89"/>
      <c r="D97" s="6" t="str">
        <f>IFERROR(__xludf.DUMMYFUNCTION("JOIN("", "", TRANSPOSE(UNIQUE(FILTER(Tests!P$4:P1018, Tests!O$4:O1018=B97))))"),", TADI's purge, TADI's purge CH4, TADI's purge N2, TADI's purge CO2")</f>
        <v>, TADI's purge, TADI's purge CH4, TADI's purge N2, TADI's purge CO2</v>
      </c>
    </row>
    <row r="98">
      <c r="B98" s="89"/>
      <c r="D98" s="6" t="str">
        <f>IFERROR(__xludf.DUMMYFUNCTION("JOIN("", "", TRANSPOSE(UNIQUE(FILTER(Tests!P$4:P1018, Tests!O$4:O1018=B98))))"),", TADI's purge, TADI's purge CH4, TADI's purge N2, TADI's purge CO2")</f>
        <v>, TADI's purge, TADI's purge CH4, TADI's purge N2, TADI's purge CO2</v>
      </c>
    </row>
    <row r="99">
      <c r="B99" s="89"/>
      <c r="D99" s="6" t="str">
        <f>IFERROR(__xludf.DUMMYFUNCTION("JOIN("", "", TRANSPOSE(UNIQUE(FILTER(Tests!P$4:P1018, Tests!O$4:O1018=B99))))"),", TADI's purge, TADI's purge CH4, TADI's purge N2, TADI's purge CO2")</f>
        <v>, TADI's purge, TADI's purge CH4, TADI's purge N2, TADI's purge CO2</v>
      </c>
    </row>
    <row r="100">
      <c r="B100" s="89"/>
      <c r="D100" s="6" t="str">
        <f>IFERROR(__xludf.DUMMYFUNCTION("JOIN("", "", TRANSPOSE(UNIQUE(FILTER(Tests!P$4:P1018, Tests!O$4:O1018=B100))))"),", TADI's purge, TADI's purge CH4, TADI's purge N2, TADI's purge CO2")</f>
        <v>, TADI's purge, TADI's purge CH4, TADI's purge N2, TADI's purge CO2</v>
      </c>
    </row>
    <row r="101">
      <c r="B101" s="89"/>
      <c r="D101" s="6" t="str">
        <f>IFERROR(__xludf.DUMMYFUNCTION("JOIN("", "", TRANSPOSE(UNIQUE(FILTER(Tests!P$4:P1018, Tests!O$4:O1018=B101))))"),", TADI's purge, TADI's purge CH4, TADI's purge N2, TADI's purge CO2")</f>
        <v>, TADI's purge, TADI's purge CH4, TADI's purge N2, TADI's purge CO2</v>
      </c>
    </row>
    <row r="102">
      <c r="B102" s="89"/>
      <c r="D102" s="6" t="str">
        <f>IFERROR(__xludf.DUMMYFUNCTION("JOIN("", "", TRANSPOSE(UNIQUE(FILTER(Tests!P$4:P1018, Tests!O$4:O1018=B102))))"),", TADI's purge, TADI's purge CH4, TADI's purge N2, TADI's purge CO2")</f>
        <v>, TADI's purge, TADI's purge CH4, TADI's purge N2, TADI's purge CO2</v>
      </c>
    </row>
    <row r="103">
      <c r="B103" s="89"/>
      <c r="D103" s="6" t="str">
        <f>IFERROR(__xludf.DUMMYFUNCTION("JOIN("", "", TRANSPOSE(UNIQUE(FILTER(Tests!P$4:P1018, Tests!O$4:O1018=B103))))"),", TADI's purge, TADI's purge CH4, TADI's purge N2, TADI's purge CO2")</f>
        <v>, TADI's purge, TADI's purge CH4, TADI's purge N2, TADI's purge CO2</v>
      </c>
    </row>
    <row r="104">
      <c r="B104" s="89"/>
      <c r="D104" s="6" t="str">
        <f>IFERROR(__xludf.DUMMYFUNCTION("JOIN("", "", TRANSPOSE(UNIQUE(FILTER(Tests!P$4:P1018, Tests!O$4:O1018=B104))))"),", TADI's purge, TADI's purge CH4, TADI's purge N2, TADI's purge CO2")</f>
        <v>, TADI's purge, TADI's purge CH4, TADI's purge N2, TADI's purge CO2</v>
      </c>
    </row>
    <row r="105">
      <c r="B105" s="89"/>
      <c r="D105" s="6" t="str">
        <f>IFERROR(__xludf.DUMMYFUNCTION("JOIN("", "", TRANSPOSE(UNIQUE(FILTER(Tests!P$4:P1018, Tests!O$4:O1018=B105))))"),", TADI's purge, TADI's purge CH4, TADI's purge N2, TADI's purge CO2")</f>
        <v>, TADI's purge, TADI's purge CH4, TADI's purge N2, TADI's purge CO2</v>
      </c>
    </row>
    <row r="106">
      <c r="B106" s="89"/>
      <c r="D106" s="6" t="str">
        <f>IFERROR(__xludf.DUMMYFUNCTION("JOIN("", "", TRANSPOSE(UNIQUE(FILTER(Tests!P$4:P1018, Tests!O$4:O1018=B106))))"),", TADI's purge, TADI's purge CH4, TADI's purge N2, TADI's purge CO2")</f>
        <v>, TADI's purge, TADI's purge CH4, TADI's purge N2, TADI's purge CO2</v>
      </c>
    </row>
    <row r="107">
      <c r="B107" s="89"/>
      <c r="D107" s="6" t="str">
        <f>IFERROR(__xludf.DUMMYFUNCTION("JOIN("", "", TRANSPOSE(UNIQUE(FILTER(Tests!P$4:P1018, Tests!O$4:O1018=B107))))"),", TADI's purge, TADI's purge CH4, TADI's purge N2, TADI's purge CO2")</f>
        <v>, TADI's purge, TADI's purge CH4, TADI's purge N2, TADI's purge CO2</v>
      </c>
    </row>
    <row r="108">
      <c r="B108" s="89"/>
      <c r="D108" s="6" t="str">
        <f>IFERROR(__xludf.DUMMYFUNCTION("JOIN("", "", TRANSPOSE(UNIQUE(FILTER(Tests!P$4:P1018, Tests!O$4:O1018=B108))))"),", TADI's purge, TADI's purge CH4, TADI's purge N2, TADI's purge CO2")</f>
        <v>, TADI's purge, TADI's purge CH4, TADI's purge N2, TADI's purge CO2</v>
      </c>
    </row>
    <row r="109">
      <c r="B109" s="89"/>
      <c r="D109" s="6" t="str">
        <f>IFERROR(__xludf.DUMMYFUNCTION("JOIN("", "", TRANSPOSE(UNIQUE(FILTER(Tests!P$4:P1018, Tests!O$4:O1018=B109))))"),", TADI's purge, TADI's purge CH4, TADI's purge N2, TADI's purge CO2")</f>
        <v>, TADI's purge, TADI's purge CH4, TADI's purge N2, TADI's purge CO2</v>
      </c>
    </row>
    <row r="110">
      <c r="B110" s="89"/>
      <c r="D110" s="6" t="str">
        <f>IFERROR(__xludf.DUMMYFUNCTION("JOIN("", "", TRANSPOSE(UNIQUE(FILTER(Tests!P$4:P1018, Tests!O$4:O1018=B110))))"),", TADI's purge, TADI's purge CH4, TADI's purge N2, TADI's purge CO2")</f>
        <v>, TADI's purge, TADI's purge CH4, TADI's purge N2, TADI's purge CO2</v>
      </c>
    </row>
    <row r="111">
      <c r="B111" s="89"/>
      <c r="D111" s="6" t="str">
        <f>IFERROR(__xludf.DUMMYFUNCTION("JOIN("", "", TRANSPOSE(UNIQUE(FILTER(Tests!P$4:P1018, Tests!O$4:O1018=B111))))"),", TADI's purge, TADI's purge CH4, TADI's purge N2, TADI's purge CO2")</f>
        <v>, TADI's purge, TADI's purge CH4, TADI's purge N2, TADI's purge CO2</v>
      </c>
    </row>
    <row r="112">
      <c r="B112" s="89"/>
      <c r="D112" s="6" t="str">
        <f>IFERROR(__xludf.DUMMYFUNCTION("JOIN("", "", TRANSPOSE(UNIQUE(FILTER(Tests!P$4:P1018, Tests!O$4:O1018=B112))))"),", TADI's purge, TADI's purge CH4, TADI's purge N2, TADI's purge CO2")</f>
        <v>, TADI's purge, TADI's purge CH4, TADI's purge N2, TADI's purge CO2</v>
      </c>
    </row>
    <row r="113">
      <c r="B113" s="89"/>
      <c r="D113" s="6" t="str">
        <f>IFERROR(__xludf.DUMMYFUNCTION("JOIN("", "", TRANSPOSE(UNIQUE(FILTER(Tests!P$4:P1018, Tests!O$4:O1018=B113))))"),", TADI's purge, TADI's purge CH4, TADI's purge N2, TADI's purge CO2")</f>
        <v>, TADI's purge, TADI's purge CH4, TADI's purge N2, TADI's purge CO2</v>
      </c>
    </row>
    <row r="114">
      <c r="B114" s="89"/>
      <c r="D114" s="6" t="str">
        <f>IFERROR(__xludf.DUMMYFUNCTION("JOIN("", "", TRANSPOSE(UNIQUE(FILTER(Tests!P$4:P1018, Tests!O$4:O1018=B114))))"),", TADI's purge, TADI's purge CH4, TADI's purge N2, TADI's purge CO2")</f>
        <v>, TADI's purge, TADI's purge CH4, TADI's purge N2, TADI's purge CO2</v>
      </c>
    </row>
    <row r="115">
      <c r="B115" s="89"/>
      <c r="D115" s="6" t="str">
        <f>IFERROR(__xludf.DUMMYFUNCTION("JOIN("", "", TRANSPOSE(UNIQUE(FILTER(Tests!P$4:P1018, Tests!O$4:O1018=B115))))"),", TADI's purge, TADI's purge CH4, TADI's purge N2, TADI's purge CO2")</f>
        <v>, TADI's purge, TADI's purge CH4, TADI's purge N2, TADI's purge CO2</v>
      </c>
    </row>
    <row r="116">
      <c r="B116" s="89"/>
    </row>
    <row r="117">
      <c r="B117" s="6"/>
    </row>
    <row r="118">
      <c r="B118" s="6"/>
    </row>
    <row r="119">
      <c r="B119" s="6"/>
    </row>
    <row r="120">
      <c r="B120" s="6"/>
    </row>
    <row r="121">
      <c r="B121" s="78" t="s">
        <v>208</v>
      </c>
      <c r="C121" s="88"/>
      <c r="D121" s="39" t="s">
        <v>209</v>
      </c>
      <c r="E121" s="88"/>
      <c r="F121" s="88"/>
      <c r="G121" s="88"/>
      <c r="H121" s="88"/>
    </row>
    <row r="122">
      <c r="B122" s="89" t="str">
        <f t="array" ref="B122:B218">SORT(UNIQUE(Tests!P$4:P1018))</f>
        <v>-</v>
      </c>
      <c r="D122" s="6" t="str">
        <f>IFERROR(__xludf.DUMMYFUNCTION("JOIN("", "", TRANSPOSE(UNIQUE(FILTER(Tests!O$4:O1018, Tests!P$4:P1018=B122))))"),"-, Mobile Valve 3")</f>
        <v>-, Mobile Valve 3</v>
      </c>
    </row>
    <row r="123">
      <c r="B123" s="89" t="s">
        <v>232</v>
      </c>
      <c r="D123" s="6" t="str">
        <f>IFERROR(__xludf.DUMMYFUNCTION("JOIN("", "", TRANSPOSE(UNIQUE(FILTER(Tests!O$4:O1018, Tests!P$4:P1018=B123))))"),"Fixed point")</f>
        <v>Fixed point</v>
      </c>
    </row>
    <row r="124">
      <c r="B124" s="89" t="s">
        <v>233</v>
      </c>
      <c r="D124" s="6" t="str">
        <f>IFERROR(__xludf.DUMMYFUNCTION("JOIN("", "", TRANSPOSE(UNIQUE(FILTER(Tests!O$4:O1018, Tests!P$4:P1018=B124))))"),"Fixed point")</f>
        <v>Fixed point</v>
      </c>
    </row>
    <row r="125">
      <c r="B125" s="89" t="s">
        <v>234</v>
      </c>
      <c r="D125" s="6" t="str">
        <f>IFERROR(__xludf.DUMMYFUNCTION("JOIN("", "", TRANSPOSE(UNIQUE(FILTER(Tests!O$4:O1018, Tests!P$4:P1018=B125))))"),"Telescopic Mast")</f>
        <v>Telescopic Mast</v>
      </c>
    </row>
    <row r="126">
      <c r="B126" s="89" t="s">
        <v>235</v>
      </c>
      <c r="D126" s="6" t="str">
        <f>IFERROR(__xludf.DUMMYFUNCTION("JOIN("", "", TRANSPOSE(UNIQUE(FILTER(Tests!O$4:O1018, Tests!P$4:P1018=B126))))"),"Mobile Valve 1, Vanne Mobile Semi Champ Libre")</f>
        <v>Mobile Valve 1, Vanne Mobile Semi Champ Libre</v>
      </c>
    </row>
    <row r="127">
      <c r="B127" s="89" t="s">
        <v>236</v>
      </c>
      <c r="D127" s="6" t="str">
        <f>IFERROR(__xludf.DUMMYFUNCTION("JOIN("", "", TRANSPOSE(UNIQUE(FILTER(Tests!O$4:O1018, Tests!P$4:P1018=B127))))"),"Telescopic Mast")</f>
        <v>Telescopic Mast</v>
      </c>
    </row>
    <row r="128">
      <c r="B128" s="89" t="s">
        <v>237</v>
      </c>
      <c r="D128" s="6" t="str">
        <f>IFERROR(__xludf.DUMMYFUNCTION("JOIN("", "", TRANSPOSE(UNIQUE(FILTER(Tests!O$4:O1018, Tests!P$4:P1018=B128))))"),"Product Skid, Skid Produit")</f>
        <v>Product Skid, Skid Produit</v>
      </c>
    </row>
    <row r="129">
      <c r="B129" s="89" t="s">
        <v>226</v>
      </c>
      <c r="D129" s="6" t="str">
        <f>IFERROR(__xludf.DUMMYFUNCTION("JOIN("", "", TRANSPOSE(UNIQUE(FILTER(Tests!O$4:O1018, Tests!P$4:P1018=B129))))"),"Well Head")</f>
        <v>Well Head</v>
      </c>
    </row>
    <row r="130">
      <c r="B130" s="89" t="s">
        <v>238</v>
      </c>
      <c r="D130" s="6" t="str">
        <f>IFERROR(__xludf.DUMMYFUNCTION("JOIN("", "", TRANSPOSE(UNIQUE(FILTER(Tests!O$4:O1018, Tests!P$4:P1018=B130))))"),"Vanne Mobile 2 Rack Tuyauterie")</f>
        <v>Vanne Mobile 2 Rack Tuyauterie</v>
      </c>
    </row>
    <row r="131">
      <c r="B131" s="89" t="s">
        <v>239</v>
      </c>
      <c r="D131" s="6" t="str">
        <f>IFERROR(__xludf.DUMMYFUNCTION("JOIN("", "", TRANSPOSE(UNIQUE(FILTER(Tests!O$4:O1018, Tests!P$4:P1018=B131))))"),"Mobile Valve 1")</f>
        <v>Mobile Valve 1</v>
      </c>
    </row>
    <row r="132">
      <c r="B132" s="89" t="s">
        <v>240</v>
      </c>
      <c r="D132" s="6" t="str">
        <f>IFERROR(__xludf.DUMMYFUNCTION("JOIN("", "", TRANSPOSE(UNIQUE(FILTER(Tests!O$4:O1018, Tests!P$4:P1018=B132))))"),"Scrubber, Small Tank D2")</f>
        <v>Scrubber, Small Tank D2</v>
      </c>
    </row>
    <row r="133">
      <c r="B133" s="89" t="s">
        <v>241</v>
      </c>
      <c r="D133" s="6" t="str">
        <f>IFERROR(__xludf.DUMMYFUNCTION("JOIN("", "", TRANSPOSE(UNIQUE(FILTER(Tests!O$4:O1018, Tests!P$4:P1018=B133))))"),"RPB")</f>
        <v>RPB</v>
      </c>
    </row>
    <row r="134">
      <c r="B134" s="89" t="s">
        <v>242</v>
      </c>
      <c r="D134" s="6" t="str">
        <f>IFERROR(__xludf.DUMMYFUNCTION("JOIN("", "", TRANSPOSE(UNIQUE(FILTER(Tests!O$4:O1018, Tests!P$4:P1018=B134))))"),"Well Head")</f>
        <v>Well Head</v>
      </c>
    </row>
    <row r="135">
      <c r="B135" s="89" t="s">
        <v>243</v>
      </c>
      <c r="D135" s="6" t="str">
        <f>IFERROR(__xludf.DUMMYFUNCTION("JOIN("", "", TRANSPOSE(UNIQUE(FILTER(Tests!O$4:O1018, Tests!P$4:P1018=B135))))"),"Mobile Valves 3")</f>
        <v>Mobile Valves 3</v>
      </c>
    </row>
    <row r="136">
      <c r="B136" s="89" t="s">
        <v>244</v>
      </c>
      <c r="D136" s="6" t="str">
        <f>IFERROR(__xludf.DUMMYFUNCTION("JOIN("", "", TRANSPOSE(UNIQUE(FILTER(Tests!O$4:O1018, Tests!P$4:P1018=B136))))"),"RPB")</f>
        <v>RPB</v>
      </c>
    </row>
    <row r="137">
      <c r="B137" s="89" t="s">
        <v>245</v>
      </c>
      <c r="D137" s="6" t="str">
        <f>IFERROR(__xludf.DUMMYFUNCTION("JOIN("", "", TRANSPOSE(UNIQUE(FILTER(Tests!O$4:O1018, Tests!P$4:P1018=B137))))"),"Scrubber")</f>
        <v>Scrubber</v>
      </c>
    </row>
    <row r="138">
      <c r="B138" s="89" t="s">
        <v>210</v>
      </c>
      <c r="D138" s="6" t="str">
        <f>IFERROR(__xludf.DUMMYFUNCTION("JOIN("", "", TRANSPOSE(UNIQUE(FILTER(Tests!O$4:O1018, Tests!P$4:P1018=B138))))"),"Well Head")</f>
        <v>Well Head</v>
      </c>
    </row>
    <row r="139">
      <c r="B139" s="89" t="s">
        <v>246</v>
      </c>
      <c r="D139" s="6" t="str">
        <f>IFERROR(__xludf.DUMMYFUNCTION("JOIN("", "", TRANSPOSE(UNIQUE(FILTER(Tests!O$4:O1018, Tests!P$4:P1018=B139))))"),"Well Head")</f>
        <v>Well Head</v>
      </c>
    </row>
    <row r="140">
      <c r="B140" s="89" t="s">
        <v>230</v>
      </c>
      <c r="D140" s="6" t="str">
        <f>IFERROR(__xludf.DUMMYFUNCTION("JOIN("", "", TRANSPOSE(UNIQUE(FILTER(Tests!O$4:O1018, Tests!P$4:P1018=B140))))"),"RPB")</f>
        <v>RPB</v>
      </c>
    </row>
    <row r="141">
      <c r="B141" s="89" t="s">
        <v>247</v>
      </c>
      <c r="D141" s="6" t="str">
        <f>IFERROR(__xludf.DUMMYFUNCTION("JOIN("", "", TRANSPOSE(UNIQUE(FILTER(Tests!O$4:O1018, Tests!P$4:P1018=B141))))"),"RPB")</f>
        <v>RPB</v>
      </c>
    </row>
    <row r="142">
      <c r="B142" s="90" t="s">
        <v>227</v>
      </c>
      <c r="D142" s="6" t="str">
        <f>IFERROR(__xludf.DUMMYFUNCTION("JOIN("", "", TRANSPOSE(UNIQUE(FILTER(Tests!O$4:O1018, Tests!P$4:P1018=B142))))"),"Product Skid")</f>
        <v>Product Skid</v>
      </c>
    </row>
    <row r="143">
      <c r="B143" s="89" t="s">
        <v>248</v>
      </c>
      <c r="D143" s="6" t="str">
        <f>IFERROR(__xludf.DUMMYFUNCTION("JOIN("", "", TRANSPOSE(UNIQUE(FILTER(Tests!O$4:O1018, Tests!P$4:P1018=B143))))"),"Product Skid")</f>
        <v>Product Skid</v>
      </c>
    </row>
    <row r="144">
      <c r="B144" s="89" t="s">
        <v>249</v>
      </c>
      <c r="D144" s="6" t="str">
        <f>IFERROR(__xludf.DUMMYFUNCTION("JOIN("", "", TRANSPOSE(UNIQUE(FILTER(Tests!O$4:O1018, Tests!P$4:P1018=B144))))"),"Product Skid")</f>
        <v>Product Skid</v>
      </c>
    </row>
    <row r="145">
      <c r="B145" s="89" t="s">
        <v>211</v>
      </c>
      <c r="D145" s="6" t="str">
        <f>IFERROR(__xludf.DUMMYFUNCTION("JOIN("", "", TRANSPOSE(UNIQUE(FILTER(Tests!O$4:O1018, Tests!P$4:P1018=B145))))"),"Product Skid")</f>
        <v>Product Skid</v>
      </c>
    </row>
    <row r="146">
      <c r="B146" s="89" t="s">
        <v>250</v>
      </c>
      <c r="D146" s="6" t="str">
        <f>IFERROR(__xludf.DUMMYFUNCTION("JOIN("", "", TRANSPOSE(UNIQUE(FILTER(Tests!O$4:O1018, Tests!P$4:P1018=B146))))"),"Product Skid")</f>
        <v>Product Skid</v>
      </c>
    </row>
    <row r="147">
      <c r="B147" s="89" t="s">
        <v>251</v>
      </c>
      <c r="D147" s="6" t="str">
        <f>IFERROR(__xludf.DUMMYFUNCTION("JOIN("", "", TRANSPOSE(UNIQUE(FILTER(Tests!O$4:O1018, Tests!P$4:P1018=B147))))"),"Product Skid")</f>
        <v>Product Skid</v>
      </c>
    </row>
    <row r="148">
      <c r="B148" s="89" t="s">
        <v>252</v>
      </c>
      <c r="D148" s="6" t="str">
        <f>IFERROR(__xludf.DUMMYFUNCTION("JOIN("", "", TRANSPOSE(UNIQUE(FILTER(Tests!O$4:O1018, Tests!P$4:P1018=B148))))"),"Product Skid")</f>
        <v>Product Skid</v>
      </c>
    </row>
    <row r="149">
      <c r="B149" s="89" t="s">
        <v>253</v>
      </c>
      <c r="D149" s="6" t="str">
        <f>IFERROR(__xludf.DUMMYFUNCTION("JOIN("", "", TRANSPOSE(UNIQUE(FILTER(Tests!O$4:O1018, Tests!P$4:P1018=B149))))"),"RPB")</f>
        <v>RPB</v>
      </c>
    </row>
    <row r="150">
      <c r="B150" s="89" t="s">
        <v>228</v>
      </c>
      <c r="D150" s="6" t="str">
        <f>IFERROR(__xludf.DUMMYFUNCTION("JOIN("", "", TRANSPOSE(UNIQUE(FILTER(Tests!O$4:O1018, Tests!P$4:P1018=B150))))"),"Pipe Rack")</f>
        <v>Pipe Rack</v>
      </c>
    </row>
    <row r="151">
      <c r="B151" s="89" t="s">
        <v>254</v>
      </c>
      <c r="D151" s="6" t="str">
        <f>IFERROR(__xludf.DUMMYFUNCTION("JOIN("", "", TRANSPOSE(UNIQUE(FILTER(Tests!O$4:O1018, Tests!P$4:P1018=B151))))"),"Pipe Rack")</f>
        <v>Pipe Rack</v>
      </c>
    </row>
    <row r="152">
      <c r="B152" s="89" t="s">
        <v>255</v>
      </c>
      <c r="D152" s="6" t="str">
        <f>IFERROR(__xludf.DUMMYFUNCTION("JOIN("", "", TRANSPOSE(UNIQUE(FILTER(Tests!O$4:O1018, Tests!P$4:P1018=B152))))"),"Vanne Mobile 2 Rack Tuyauterie, Pipe Rack")</f>
        <v>Vanne Mobile 2 Rack Tuyauterie, Pipe Rack</v>
      </c>
    </row>
    <row r="153">
      <c r="B153" s="89" t="s">
        <v>212</v>
      </c>
      <c r="D153" s="6" t="str">
        <f>IFERROR(__xludf.DUMMYFUNCTION("JOIN("", "", TRANSPOSE(UNIQUE(FILTER(Tests!O$4:O1018, Tests!P$4:P1018=B153))))"),"Mobile Valve 1, Pipe Rack, Mobile Valves 3, Mobile Valves 3 at 45° along Large Tank D1, Leak on stake (elevation : 1,8 m), Fixed Point 1, RPB, -, Mobile Valve 3, Mobile Valve 3A, Mobile Valve 3B")</f>
        <v>Mobile Valve 1, Pipe Rack, Mobile Valves 3, Mobile Valves 3 at 45° along Large Tank D1, Leak on stake (elevation : 1,8 m), Fixed Point 1, RPB, -, Mobile Valve 3, Mobile Valve 3A, Mobile Valve 3B</v>
      </c>
    </row>
    <row r="154">
      <c r="B154" s="89" t="s">
        <v>256</v>
      </c>
      <c r="D154" s="6" t="str">
        <f>IFERROR(__xludf.DUMMYFUNCTION("JOIN("", "", TRANSPOSE(UNIQUE(FILTER(Tests!O$4:O1018, Tests!P$4:P1018=B154))))"),"Mobile Valve 1, Pipe Rack, Mobile Valves 3, Mobile Valves 3 at 45° along Large Tank D1, Leak on stake (elevation : 1,8 m), Fixed Point 1, RPB, -, Mobile Valve 3, Mobile Valve 3A, Mobile Valve 3B")</f>
        <v>Mobile Valve 1, Pipe Rack, Mobile Valves 3, Mobile Valves 3 at 45° along Large Tank D1, Leak on stake (elevation : 1,8 m), Fixed Point 1, RPB, -, Mobile Valve 3, Mobile Valve 3A, Mobile Valve 3B</v>
      </c>
    </row>
    <row r="155">
      <c r="B155" s="89" t="s">
        <v>257</v>
      </c>
      <c r="D155" s="6" t="str">
        <f>IFERROR(__xludf.DUMMYFUNCTION("JOIN("", "", TRANSPOSE(UNIQUE(FILTER(Tests!O$4:O1018, Tests!P$4:P1018=B155))))"),"Flare (6,5 m)")</f>
        <v>Flare (6,5 m)</v>
      </c>
    </row>
    <row r="156">
      <c r="B156" s="89" t="s">
        <v>213</v>
      </c>
      <c r="D156" s="6" t="str">
        <f>IFERROR(__xludf.DUMMYFUNCTION("JOIN("", "", TRANSPOSE(UNIQUE(FILTER(Tests!O$4:O1018, Tests!P$4:P1018=B156))))"),"Small Tank D2, Scrubber, Vanne Mobile Bride, Large Tank D1")</f>
        <v>Small Tank D2, Scrubber, Vanne Mobile Bride, Large Tank D1</v>
      </c>
    </row>
    <row r="157">
      <c r="B157" s="89" t="s">
        <v>258</v>
      </c>
      <c r="D157" s="6" t="str">
        <f>IFERROR(__xludf.DUMMYFUNCTION("JOIN("", "", TRANSPOSE(UNIQUE(FILTER(Tests!O$4:O1018, Tests!P$4:P1018=B157))))"),"Scrubber")</f>
        <v>Scrubber</v>
      </c>
    </row>
    <row r="158">
      <c r="B158" s="89" t="s">
        <v>259</v>
      </c>
      <c r="D158" s="6" t="str">
        <f>IFERROR(__xludf.DUMMYFUNCTION("JOIN("", "", TRANSPOSE(UNIQUE(FILTER(Tests!O$4:O1018, Tests!P$4:P1018=B158))))"),"Small Tank D2")</f>
        <v>Small Tank D2</v>
      </c>
    </row>
    <row r="159">
      <c r="B159" s="90" t="s">
        <v>260</v>
      </c>
      <c r="D159" s="6" t="str">
        <f>IFERROR(__xludf.DUMMYFUNCTION("JOIN("", "", TRANSPOSE(UNIQUE(FILTER(Tests!O$4:O1018, Tests!P$4:P1018=B159))))"),"RPB")</f>
        <v>RPB</v>
      </c>
    </row>
    <row r="160">
      <c r="B160" s="89" t="s">
        <v>261</v>
      </c>
      <c r="D160" s="6" t="str">
        <f>IFERROR(__xludf.DUMMYFUNCTION("JOIN("", "", TRANSPOSE(UNIQUE(FILTER(Tests!O$4:O1018, Tests!P$4:P1018=B160))))"),"RPB")</f>
        <v>RPB</v>
      </c>
    </row>
    <row r="161">
      <c r="B161" s="89" t="s">
        <v>214</v>
      </c>
      <c r="D161" s="6" t="str">
        <f>IFERROR(__xludf.DUMMYFUNCTION("JOIN("", "", TRANSPOSE(UNIQUE(FILTER(Tests!O$4:O1018, Tests!P$4:P1018=B161))))"),"RPB")</f>
        <v>RPB</v>
      </c>
    </row>
    <row r="162">
      <c r="B162" s="89" t="s">
        <v>262</v>
      </c>
      <c r="D162" s="6" t="str">
        <f>IFERROR(__xludf.DUMMYFUNCTION("JOIN("", "", TRANSPOSE(UNIQUE(FILTER(Tests!O$4:O1018, Tests!P$4:P1018=B162))))"),"RPB")</f>
        <v>RPB</v>
      </c>
    </row>
    <row r="163">
      <c r="B163" s="89" t="s">
        <v>263</v>
      </c>
      <c r="D163" s="6" t="str">
        <f>IFERROR(__xludf.DUMMYFUNCTION("JOIN("", "", TRANSPOSE(UNIQUE(FILTER(Tests!O$4:O1018, Tests!P$4:P1018=B163))))"),"RPB")</f>
        <v>RPB</v>
      </c>
    </row>
    <row r="164">
      <c r="B164" s="89" t="s">
        <v>215</v>
      </c>
      <c r="D164" s="6" t="str">
        <f>IFERROR(__xludf.DUMMYFUNCTION("JOIN("", "", TRANSPOSE(UNIQUE(FILTER(Tests!O$4:O1018, Tests!P$4:P1018=B164))))"),"RPB")</f>
        <v>RPB</v>
      </c>
    </row>
    <row r="165">
      <c r="B165" s="89" t="s">
        <v>264</v>
      </c>
      <c r="D165" s="6" t="str">
        <f>IFERROR(__xludf.DUMMYFUNCTION("JOIN("", "", TRANSPOSE(UNIQUE(FILTER(Tests!O$4:O1018, Tests!P$4:P1018=B165))))"),"RPB")</f>
        <v>RPB</v>
      </c>
    </row>
    <row r="166">
      <c r="B166" s="89" t="s">
        <v>265</v>
      </c>
      <c r="D166" s="6" t="str">
        <f>IFERROR(__xludf.DUMMYFUNCTION("JOIN("", "", TRANSPOSE(UNIQUE(FILTER(Tests!O$4:O1018, Tests!P$4:P1018=B166))))"),"RPB")</f>
        <v>RPB</v>
      </c>
    </row>
    <row r="167">
      <c r="B167" s="89" t="s">
        <v>266</v>
      </c>
      <c r="D167" s="6" t="str">
        <f>IFERROR(__xludf.DUMMYFUNCTION("JOIN("", "", TRANSPOSE(UNIQUE(FILTER(Tests!O$4:O1018, Tests!P$4:P1018=B167))))"),"Pipe Rack")</f>
        <v>Pipe Rack</v>
      </c>
    </row>
    <row r="168">
      <c r="B168" s="89" t="s">
        <v>229</v>
      </c>
      <c r="D168" s="6" t="str">
        <f>IFERROR(__xludf.DUMMYFUNCTION("JOIN("", "", TRANSPOSE(UNIQUE(FILTER(Tests!O$4:O1018, Tests!P$4:P1018=B168))))"),"Fixed Point 2")</f>
        <v>Fixed Point 2</v>
      </c>
    </row>
    <row r="169">
      <c r="B169" s="89" t="s">
        <v>267</v>
      </c>
      <c r="D169" s="6" t="str">
        <f>IFERROR(__xludf.DUMMYFUNCTION("JOIN("", "", TRANSPOSE(UNIQUE(FILTER(Tests!O$4:O1018, Tests!P$4:P1018=B169))))"),"Fixed Point 2")</f>
        <v>Fixed Point 2</v>
      </c>
    </row>
    <row r="170">
      <c r="B170" s="89" t="s">
        <v>216</v>
      </c>
      <c r="D170" s="6" t="str">
        <f>IFERROR(__xludf.DUMMYFUNCTION("JOIN("", "", TRANSPOSE(UNIQUE(FILTER(Tests!O$4:O1018, Tests!P$4:P1018=B170))))"),"Fixed Point 2")</f>
        <v>Fixed Point 2</v>
      </c>
    </row>
    <row r="171">
      <c r="B171" s="89" t="s">
        <v>217</v>
      </c>
      <c r="D171" s="6" t="str">
        <f>IFERROR(__xludf.DUMMYFUNCTION("JOIN("", "", TRANSPOSE(UNIQUE(FILTER(Tests!O$4:O1018, Tests!P$4:P1018=B171))))"),"Fixed Point 1")</f>
        <v>Fixed Point 1</v>
      </c>
    </row>
    <row r="172">
      <c r="B172" s="89" t="s">
        <v>218</v>
      </c>
      <c r="D172" s="6" t="str">
        <f>IFERROR(__xludf.DUMMYFUNCTION("JOIN("", "", TRANSPOSE(UNIQUE(FILTER(Tests!O$4:O1018, Tests!P$4:P1018=B172))))"),"Large Tank D1, Small Tank D2")</f>
        <v>Large Tank D1, Small Tank D2</v>
      </c>
    </row>
    <row r="173">
      <c r="B173" s="89" t="s">
        <v>268</v>
      </c>
      <c r="D173" s="6" t="str">
        <f>IFERROR(__xludf.DUMMYFUNCTION("JOIN("", "", TRANSPOSE(UNIQUE(FILTER(Tests!O$4:O1018, Tests!P$4:P1018=B173))))"),"Well Head")</f>
        <v>Well Head</v>
      </c>
    </row>
    <row r="174">
      <c r="B174" s="89" t="s">
        <v>269</v>
      </c>
      <c r="D174" s="6" t="str">
        <f>IFERROR(__xludf.DUMMYFUNCTION("JOIN("", "", TRANSPOSE(UNIQUE(FILTER(Tests!O$4:O1018, Tests!P$4:P1018=B174))))"),"-")</f>
        <v>-</v>
      </c>
    </row>
    <row r="175">
      <c r="B175" s="89" t="s">
        <v>219</v>
      </c>
      <c r="D175" s="6" t="str">
        <f>IFERROR(__xludf.DUMMYFUNCTION("JOIN("", "", TRANSPOSE(UNIQUE(FILTER(Tests!O$4:O1018, Tests!P$4:P1018=B175))))"),"Well Head")</f>
        <v>Well Head</v>
      </c>
    </row>
    <row r="176">
      <c r="B176" s="89" t="s">
        <v>270</v>
      </c>
      <c r="D176" s="6" t="str">
        <f>IFERROR(__xludf.DUMMYFUNCTION("JOIN("", "", TRANSPOSE(UNIQUE(FILTER(Tests!O$4:O1018, Tests!P$4:P1018=B176))))"),"Well Head")</f>
        <v>Well Head</v>
      </c>
    </row>
    <row r="177">
      <c r="B177" s="89" t="s">
        <v>271</v>
      </c>
      <c r="D177" s="6" t="str">
        <f>IFERROR(__xludf.DUMMYFUNCTION("JOIN("", "", TRANSPOSE(UNIQUE(FILTER(Tests!O$4:O1018, Tests!P$4:P1018=B177))))"),"RPB")</f>
        <v>RPB</v>
      </c>
    </row>
    <row r="178">
      <c r="B178" s="89" t="s">
        <v>220</v>
      </c>
      <c r="D178" s="6" t="str">
        <f>IFERROR(__xludf.DUMMYFUNCTION("JOIN("", "", TRANSPOSE(UNIQUE(FILTER(Tests!O$4:O1018, Tests!P$4:P1018=B178))))"),"Flare (6,5 m), Long Tank D3, Mobile Valve 1, Mobile Valves 3, Vanne Mobile 2 Rack Tuyauterie, RPB, -, Mast, Pipe Rack, Mobile Valve 3A, Mast 20 m")</f>
        <v>Flare (6,5 m), Long Tank D3, Mobile Valve 1, Mobile Valves 3, Vanne Mobile 2 Rack Tuyauterie, RPB, -, Mast, Pipe Rack, Mobile Valve 3A, Mast 20 m</v>
      </c>
    </row>
    <row r="179">
      <c r="B179" s="89" t="s">
        <v>272</v>
      </c>
      <c r="D179" s="6" t="str">
        <f>IFERROR(__xludf.DUMMYFUNCTION("JOIN("", "", TRANSPOSE(UNIQUE(FILTER(Tests!O$4:O1018, Tests!P$4:P1018=B179))))"),"Flare (6,5 m), Long Tank D3, Mobile Valve 1, Mobile Valves 3, Vanne Mobile 2 Rack Tuyauterie, RPB, -, Mast, Pipe Rack, Mobile Valve 3A, Mast 20 m")</f>
        <v>Flare (6,5 m), Long Tank D3, Mobile Valve 1, Mobile Valves 3, Vanne Mobile 2 Rack Tuyauterie, RPB, -, Mast, Pipe Rack, Mobile Valve 3A, Mast 20 m</v>
      </c>
    </row>
    <row r="180">
      <c r="B180" s="89" t="s">
        <v>273</v>
      </c>
      <c r="D180" s="6" t="str">
        <f>IFERROR(__xludf.DUMMYFUNCTION("JOIN("", "", TRANSPOSE(UNIQUE(FILTER(Tests!O$4:O1018, Tests!P$4:P1018=B180))))"),"Long Tank D3")</f>
        <v>Long Tank D3</v>
      </c>
    </row>
    <row r="181">
      <c r="B181" s="89" t="s">
        <v>274</v>
      </c>
      <c r="D181" s="6" t="str">
        <f>IFERROR(__xludf.DUMMYFUNCTION("JOIN("", "", TRANSPOSE(UNIQUE(FILTER(Tests!O$4:O1018, Tests!P$4:P1018=B181))))"),"Long Tank D3")</f>
        <v>Long Tank D3</v>
      </c>
    </row>
    <row r="182">
      <c r="B182" s="89" t="s">
        <v>275</v>
      </c>
      <c r="D182" s="6" t="str">
        <f>IFERROR(__xludf.DUMMYFUNCTION("JOIN("", "", TRANSPOSE(UNIQUE(FILTER(Tests!O$4:O1018, Tests!P$4:P1018=B182))))"),"Pipe Rack")</f>
        <v>Pipe Rack</v>
      </c>
    </row>
    <row r="183">
      <c r="B183" s="89" t="s">
        <v>276</v>
      </c>
    </row>
    <row r="184">
      <c r="B184" s="89" t="s">
        <v>277</v>
      </c>
    </row>
    <row r="185">
      <c r="B185" s="6" t="s">
        <v>278</v>
      </c>
    </row>
    <row r="186">
      <c r="B186" s="6" t="s">
        <v>279</v>
      </c>
    </row>
    <row r="187">
      <c r="B187" s="6" t="s">
        <v>280</v>
      </c>
    </row>
    <row r="188">
      <c r="B188" s="6" t="s">
        <v>281</v>
      </c>
    </row>
    <row r="189">
      <c r="B189" s="6" t="s">
        <v>282</v>
      </c>
    </row>
    <row r="190">
      <c r="B190" s="6" t="s">
        <v>283</v>
      </c>
    </row>
    <row r="191">
      <c r="B191" s="6" t="s">
        <v>284</v>
      </c>
    </row>
    <row r="192">
      <c r="B192" s="6" t="s">
        <v>285</v>
      </c>
    </row>
    <row r="193">
      <c r="B193" s="6" t="s">
        <v>286</v>
      </c>
    </row>
    <row r="194">
      <c r="B194" s="6" t="s">
        <v>287</v>
      </c>
    </row>
    <row r="195">
      <c r="B195" s="6" t="s">
        <v>288</v>
      </c>
    </row>
    <row r="196">
      <c r="B196" s="6" t="s">
        <v>221</v>
      </c>
    </row>
    <row r="197">
      <c r="B197" s="6" t="s">
        <v>289</v>
      </c>
    </row>
    <row r="198">
      <c r="B198" s="6" t="s">
        <v>290</v>
      </c>
    </row>
    <row r="199">
      <c r="B199" s="6" t="s">
        <v>291</v>
      </c>
    </row>
    <row r="200">
      <c r="B200" s="6" t="s">
        <v>231</v>
      </c>
    </row>
    <row r="201">
      <c r="B201" s="6" t="s">
        <v>292</v>
      </c>
    </row>
    <row r="202">
      <c r="B202" s="6" t="s">
        <v>293</v>
      </c>
    </row>
    <row r="203">
      <c r="B203" s="6" t="s">
        <v>294</v>
      </c>
    </row>
    <row r="204">
      <c r="B204" s="6" t="s">
        <v>295</v>
      </c>
    </row>
    <row r="205">
      <c r="B205" s="6" t="s">
        <v>222</v>
      </c>
    </row>
    <row r="206">
      <c r="B206" s="6" t="s">
        <v>296</v>
      </c>
    </row>
    <row r="207">
      <c r="B207" s="6" t="s">
        <v>297</v>
      </c>
    </row>
    <row r="208">
      <c r="B208" s="6" t="s">
        <v>167</v>
      </c>
    </row>
    <row r="209">
      <c r="B209" s="6" t="s">
        <v>223</v>
      </c>
    </row>
    <row r="210">
      <c r="B210" s="6" t="s">
        <v>298</v>
      </c>
    </row>
    <row r="211">
      <c r="B211" s="6" t="s">
        <v>299</v>
      </c>
    </row>
    <row r="212">
      <c r="B212" s="6" t="s">
        <v>300</v>
      </c>
    </row>
    <row r="213">
      <c r="B213" s="6" t="s">
        <v>301</v>
      </c>
    </row>
    <row r="214">
      <c r="B214" s="6" t="s">
        <v>224</v>
      </c>
    </row>
    <row r="215">
      <c r="B215" s="6" t="s">
        <v>302</v>
      </c>
    </row>
    <row r="216">
      <c r="B216" s="6" t="s">
        <v>303</v>
      </c>
    </row>
    <row r="217">
      <c r="B217" s="6" t="s">
        <v>225</v>
      </c>
    </row>
    <row r="218">
      <c r="B218" s="6"/>
    </row>
  </sheetData>
  <conditionalFormatting sqref="D39:D51">
    <cfRule type="colorScale" priority="1">
      <colorScale>
        <cfvo type="min"/>
        <cfvo type="percentile" val="50"/>
        <cfvo type="max"/>
        <color rgb="FF57BB8A"/>
        <color rgb="FFFFD666"/>
        <color rgb="FFE67C73"/>
      </colorScale>
    </cfRule>
  </conditionalFormatting>
  <conditionalFormatting sqref="D57:D78">
    <cfRule type="colorScale" priority="2">
      <colorScale>
        <cfvo type="min"/>
        <cfvo type="percentile" val="50"/>
        <cfvo type="max"/>
        <color rgb="FF57BB8A"/>
        <color rgb="FFFFD666"/>
        <color rgb="FFE67C73"/>
      </colorScale>
    </cfRule>
  </conditionalFormatting>
  <conditionalFormatting sqref="D4:D13">
    <cfRule type="colorScale" priority="3">
      <colorScale>
        <cfvo type="min"/>
        <cfvo type="percentile" val="50"/>
        <cfvo type="max"/>
        <color rgb="FF57BB8A"/>
        <color rgb="FFFFD666"/>
        <color rgb="FFE67C73"/>
      </colorScale>
    </cfRule>
  </conditionalFormatting>
  <conditionalFormatting sqref="D24:D26">
    <cfRule type="colorScale" priority="4">
      <colorScale>
        <cfvo type="min"/>
        <cfvo type="percentile" val="50"/>
        <cfvo type="max"/>
        <color rgb="FF57BB8A"/>
        <color rgb="FFFFD666"/>
        <color rgb="FFE67C73"/>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8.63"/>
    <col customWidth="1" min="7" max="7" width="23.25"/>
    <col customWidth="1" min="8" max="8" width="27.88"/>
    <col customWidth="1" min="12" max="12" width="8.88"/>
    <col customWidth="1" min="13" max="13" width="15.13"/>
    <col customWidth="1" min="14" max="14" width="29.13"/>
    <col customWidth="1" min="20" max="20" width="5.63"/>
    <col customWidth="1" min="22" max="22" width="4.88"/>
    <col customWidth="1" min="23" max="23" width="26.75"/>
  </cols>
  <sheetData>
    <row r="1">
      <c r="A1" s="91" t="s">
        <v>304</v>
      </c>
      <c r="B1" s="92" t="s">
        <v>305</v>
      </c>
      <c r="C1" s="92" t="s">
        <v>306</v>
      </c>
      <c r="D1" s="92" t="s">
        <v>307</v>
      </c>
      <c r="E1" s="92" t="s">
        <v>189</v>
      </c>
      <c r="F1" s="92" t="s">
        <v>305</v>
      </c>
      <c r="G1" s="92" t="s">
        <v>308</v>
      </c>
      <c r="H1" s="92" t="s">
        <v>309</v>
      </c>
      <c r="I1" s="93" t="s">
        <v>310</v>
      </c>
      <c r="J1" s="94" t="s">
        <v>311</v>
      </c>
      <c r="K1" s="94" t="s">
        <v>312</v>
      </c>
      <c r="L1" s="94" t="s">
        <v>189</v>
      </c>
      <c r="M1" s="94" t="s">
        <v>305</v>
      </c>
      <c r="N1" s="94" t="s">
        <v>313</v>
      </c>
      <c r="O1" s="91" t="s">
        <v>314</v>
      </c>
      <c r="P1" s="92" t="s">
        <v>315</v>
      </c>
      <c r="Q1" s="92" t="s">
        <v>316</v>
      </c>
      <c r="R1" s="95"/>
      <c r="S1" s="96" t="s">
        <v>306</v>
      </c>
      <c r="T1" s="97"/>
      <c r="U1" s="96" t="s">
        <v>307</v>
      </c>
      <c r="V1" s="97"/>
      <c r="W1" s="91" t="s">
        <v>313</v>
      </c>
      <c r="X1" s="96" t="s">
        <v>314</v>
      </c>
    </row>
    <row r="2">
      <c r="A2" s="98" t="s">
        <v>187</v>
      </c>
      <c r="B2" s="99" t="s">
        <v>317</v>
      </c>
      <c r="C2" s="99" t="s">
        <v>200</v>
      </c>
      <c r="D2" s="99" t="s">
        <v>318</v>
      </c>
      <c r="E2" s="99">
        <v>1.0</v>
      </c>
      <c r="F2" s="99" t="s">
        <v>319</v>
      </c>
      <c r="G2" s="100" t="s">
        <v>256</v>
      </c>
      <c r="H2" s="100" t="s">
        <v>320</v>
      </c>
      <c r="I2" s="101">
        <v>11.6</v>
      </c>
      <c r="J2" s="101">
        <v>-9.1</v>
      </c>
      <c r="K2" s="101">
        <v>0.68</v>
      </c>
      <c r="L2" s="99">
        <v>1.0</v>
      </c>
      <c r="M2" s="99" t="s">
        <v>321</v>
      </c>
      <c r="N2" s="99" t="s">
        <v>322</v>
      </c>
      <c r="O2" s="102">
        <v>0.5</v>
      </c>
      <c r="P2" s="99" t="s">
        <v>323</v>
      </c>
      <c r="Q2" s="99" t="s">
        <v>324</v>
      </c>
      <c r="R2" s="103"/>
      <c r="S2" s="104" t="s">
        <v>323</v>
      </c>
      <c r="T2" s="97"/>
      <c r="U2" s="104" t="s">
        <v>323</v>
      </c>
      <c r="V2" s="97"/>
      <c r="W2" s="104" t="s">
        <v>323</v>
      </c>
      <c r="X2" s="105" t="s">
        <v>323</v>
      </c>
    </row>
    <row r="3">
      <c r="A3" s="106" t="s">
        <v>187</v>
      </c>
      <c r="B3" s="100" t="s">
        <v>317</v>
      </c>
      <c r="C3" s="100" t="s">
        <v>200</v>
      </c>
      <c r="D3" s="100" t="s">
        <v>318</v>
      </c>
      <c r="E3" s="100">
        <v>1.0</v>
      </c>
      <c r="F3" s="100" t="s">
        <v>319</v>
      </c>
      <c r="G3" s="100" t="s">
        <v>256</v>
      </c>
      <c r="H3" s="100" t="s">
        <v>320</v>
      </c>
      <c r="I3" s="107">
        <v>11.6</v>
      </c>
      <c r="J3" s="107">
        <v>-9.1</v>
      </c>
      <c r="K3" s="107">
        <v>0.68</v>
      </c>
      <c r="L3" s="100">
        <v>2.0</v>
      </c>
      <c r="M3" s="100" t="s">
        <v>325</v>
      </c>
      <c r="N3" s="100" t="s">
        <v>326</v>
      </c>
      <c r="O3" s="108">
        <v>1.0</v>
      </c>
      <c r="P3" s="100" t="s">
        <v>323</v>
      </c>
      <c r="Q3" s="100" t="s">
        <v>327</v>
      </c>
      <c r="R3" s="103"/>
      <c r="S3" s="106" t="s">
        <v>200</v>
      </c>
      <c r="T3" s="97"/>
      <c r="U3" s="106" t="s">
        <v>318</v>
      </c>
      <c r="V3" s="97"/>
      <c r="W3" s="106" t="s">
        <v>322</v>
      </c>
      <c r="X3" s="108">
        <v>0.5</v>
      </c>
    </row>
    <row r="4">
      <c r="A4" s="106" t="s">
        <v>187</v>
      </c>
      <c r="B4" s="100" t="s">
        <v>317</v>
      </c>
      <c r="C4" s="100" t="s">
        <v>200</v>
      </c>
      <c r="D4" s="100" t="s">
        <v>318</v>
      </c>
      <c r="E4" s="100">
        <v>1.0</v>
      </c>
      <c r="F4" s="100" t="s">
        <v>319</v>
      </c>
      <c r="G4" s="100" t="s">
        <v>256</v>
      </c>
      <c r="H4" s="100" t="s">
        <v>320</v>
      </c>
      <c r="I4" s="107">
        <v>11.6</v>
      </c>
      <c r="J4" s="107">
        <v>-9.1</v>
      </c>
      <c r="K4" s="107">
        <v>0.68</v>
      </c>
      <c r="L4" s="100">
        <v>3.0</v>
      </c>
      <c r="M4" s="100" t="s">
        <v>328</v>
      </c>
      <c r="N4" s="100" t="s">
        <v>329</v>
      </c>
      <c r="O4" s="108">
        <v>1.5</v>
      </c>
      <c r="P4" s="100" t="s">
        <v>323</v>
      </c>
      <c r="Q4" s="100" t="s">
        <v>330</v>
      </c>
      <c r="R4" s="103"/>
      <c r="S4" s="106" t="s">
        <v>202</v>
      </c>
      <c r="T4" s="97"/>
      <c r="U4" s="106" t="s">
        <v>331</v>
      </c>
      <c r="V4" s="97"/>
      <c r="W4" s="106" t="s">
        <v>326</v>
      </c>
      <c r="X4" s="108">
        <v>1.0</v>
      </c>
    </row>
    <row r="5">
      <c r="A5" s="106" t="s">
        <v>187</v>
      </c>
      <c r="B5" s="100" t="s">
        <v>317</v>
      </c>
      <c r="C5" s="100" t="s">
        <v>200</v>
      </c>
      <c r="D5" s="100" t="s">
        <v>318</v>
      </c>
      <c r="E5" s="100">
        <v>1.0</v>
      </c>
      <c r="F5" s="100" t="s">
        <v>319</v>
      </c>
      <c r="G5" s="100" t="s">
        <v>256</v>
      </c>
      <c r="H5" s="100" t="s">
        <v>320</v>
      </c>
      <c r="I5" s="107">
        <v>11.6</v>
      </c>
      <c r="J5" s="107">
        <v>-9.1</v>
      </c>
      <c r="K5" s="107">
        <v>0.68</v>
      </c>
      <c r="L5" s="100">
        <v>4.0</v>
      </c>
      <c r="M5" s="100" t="s">
        <v>332</v>
      </c>
      <c r="N5" s="100" t="s">
        <v>333</v>
      </c>
      <c r="O5" s="108">
        <v>2.0</v>
      </c>
      <c r="P5" s="100" t="s">
        <v>323</v>
      </c>
      <c r="Q5" s="100" t="s">
        <v>334</v>
      </c>
      <c r="R5" s="103"/>
      <c r="S5" s="106" t="s">
        <v>201</v>
      </c>
      <c r="T5" s="97"/>
      <c r="U5" s="106" t="s">
        <v>335</v>
      </c>
      <c r="V5" s="97"/>
      <c r="W5" s="106" t="s">
        <v>329</v>
      </c>
      <c r="X5" s="108">
        <v>1.5</v>
      </c>
    </row>
    <row r="6">
      <c r="A6" s="106" t="s">
        <v>187</v>
      </c>
      <c r="B6" s="100" t="s">
        <v>317</v>
      </c>
      <c r="C6" s="100" t="s">
        <v>200</v>
      </c>
      <c r="D6" s="100" t="s">
        <v>318</v>
      </c>
      <c r="E6" s="100">
        <v>1.0</v>
      </c>
      <c r="F6" s="100" t="s">
        <v>319</v>
      </c>
      <c r="G6" s="100" t="s">
        <v>256</v>
      </c>
      <c r="H6" s="100" t="s">
        <v>320</v>
      </c>
      <c r="I6" s="107">
        <v>11.6</v>
      </c>
      <c r="J6" s="107">
        <v>-9.1</v>
      </c>
      <c r="K6" s="107">
        <v>0.68</v>
      </c>
      <c r="L6" s="100">
        <v>5.0</v>
      </c>
      <c r="M6" s="100" t="s">
        <v>336</v>
      </c>
      <c r="N6" s="100" t="s">
        <v>337</v>
      </c>
      <c r="O6" s="108">
        <v>2.5</v>
      </c>
      <c r="P6" s="100" t="s">
        <v>323</v>
      </c>
      <c r="Q6" s="100" t="s">
        <v>338</v>
      </c>
      <c r="R6" s="103"/>
      <c r="S6" s="106" t="s">
        <v>198</v>
      </c>
      <c r="T6" s="97"/>
      <c r="U6" s="106" t="s">
        <v>339</v>
      </c>
      <c r="V6" s="97"/>
      <c r="W6" s="106" t="s">
        <v>333</v>
      </c>
      <c r="X6" s="108">
        <v>2.0</v>
      </c>
    </row>
    <row r="7">
      <c r="A7" s="106" t="s">
        <v>187</v>
      </c>
      <c r="B7" s="100" t="s">
        <v>317</v>
      </c>
      <c r="C7" s="100" t="s">
        <v>200</v>
      </c>
      <c r="D7" s="100" t="s">
        <v>318</v>
      </c>
      <c r="E7" s="100">
        <v>1.0</v>
      </c>
      <c r="F7" s="100" t="s">
        <v>319</v>
      </c>
      <c r="G7" s="100" t="s">
        <v>256</v>
      </c>
      <c r="H7" s="100" t="s">
        <v>320</v>
      </c>
      <c r="I7" s="107">
        <v>11.6</v>
      </c>
      <c r="J7" s="107">
        <v>-9.1</v>
      </c>
      <c r="K7" s="107">
        <v>0.68</v>
      </c>
      <c r="L7" s="100">
        <v>6.0</v>
      </c>
      <c r="M7" s="100" t="s">
        <v>340</v>
      </c>
      <c r="N7" s="100" t="s">
        <v>341</v>
      </c>
      <c r="O7" s="108">
        <v>3.0</v>
      </c>
      <c r="P7" s="100" t="s">
        <v>323</v>
      </c>
      <c r="Q7" s="100" t="s">
        <v>342</v>
      </c>
      <c r="R7" s="103"/>
      <c r="S7" s="106" t="s">
        <v>206</v>
      </c>
      <c r="T7" s="97"/>
      <c r="U7" s="106" t="s">
        <v>343</v>
      </c>
      <c r="V7" s="97"/>
      <c r="W7" s="106" t="s">
        <v>337</v>
      </c>
      <c r="X7" s="108">
        <v>2.5</v>
      </c>
    </row>
    <row r="8">
      <c r="A8" s="106" t="s">
        <v>187</v>
      </c>
      <c r="B8" s="100" t="s">
        <v>317</v>
      </c>
      <c r="C8" s="100" t="s">
        <v>200</v>
      </c>
      <c r="D8" s="100" t="s">
        <v>318</v>
      </c>
      <c r="E8" s="100">
        <v>1.0</v>
      </c>
      <c r="F8" s="100" t="s">
        <v>319</v>
      </c>
      <c r="G8" s="100" t="s">
        <v>256</v>
      </c>
      <c r="H8" s="100" t="s">
        <v>320</v>
      </c>
      <c r="I8" s="107">
        <v>11.6</v>
      </c>
      <c r="J8" s="107">
        <v>-9.1</v>
      </c>
      <c r="K8" s="107">
        <v>0.68</v>
      </c>
      <c r="L8" s="100">
        <v>7.0</v>
      </c>
      <c r="M8" s="100" t="s">
        <v>344</v>
      </c>
      <c r="N8" s="100" t="s">
        <v>345</v>
      </c>
      <c r="O8" s="108">
        <v>4.0</v>
      </c>
      <c r="P8" s="100" t="s">
        <v>323</v>
      </c>
      <c r="Q8" s="100" t="s">
        <v>346</v>
      </c>
      <c r="R8" s="103"/>
      <c r="S8" s="106" t="s">
        <v>199</v>
      </c>
      <c r="T8" s="97"/>
      <c r="U8" s="106" t="s">
        <v>347</v>
      </c>
      <c r="V8" s="97"/>
      <c r="W8" s="106" t="s">
        <v>341</v>
      </c>
      <c r="X8" s="108">
        <v>3.0</v>
      </c>
    </row>
    <row r="9">
      <c r="A9" s="109" t="s">
        <v>187</v>
      </c>
      <c r="B9" s="110" t="s">
        <v>317</v>
      </c>
      <c r="C9" s="110" t="s">
        <v>200</v>
      </c>
      <c r="D9" s="110" t="s">
        <v>318</v>
      </c>
      <c r="E9" s="110">
        <v>1.0</v>
      </c>
      <c r="F9" s="110" t="s">
        <v>319</v>
      </c>
      <c r="G9" s="110" t="s">
        <v>256</v>
      </c>
      <c r="H9" s="110" t="s">
        <v>320</v>
      </c>
      <c r="I9" s="111">
        <v>11.6</v>
      </c>
      <c r="J9" s="111">
        <v>-9.1</v>
      </c>
      <c r="K9" s="111">
        <v>0.68</v>
      </c>
      <c r="L9" s="110">
        <v>8.0</v>
      </c>
      <c r="M9" s="110" t="s">
        <v>348</v>
      </c>
      <c r="N9" s="110" t="s">
        <v>349</v>
      </c>
      <c r="O9" s="112">
        <v>5.0</v>
      </c>
      <c r="P9" s="110" t="s">
        <v>323</v>
      </c>
      <c r="Q9" s="110" t="s">
        <v>350</v>
      </c>
      <c r="R9" s="103"/>
      <c r="S9" s="106" t="s">
        <v>203</v>
      </c>
      <c r="T9" s="97"/>
      <c r="U9" s="106" t="s">
        <v>351</v>
      </c>
      <c r="V9" s="97"/>
      <c r="W9" s="106" t="s">
        <v>345</v>
      </c>
      <c r="X9" s="108">
        <v>4.0</v>
      </c>
    </row>
    <row r="10">
      <c r="A10" s="98" t="s">
        <v>187</v>
      </c>
      <c r="B10" s="113" t="s">
        <v>317</v>
      </c>
      <c r="C10" s="113" t="s">
        <v>200</v>
      </c>
      <c r="D10" s="113" t="s">
        <v>318</v>
      </c>
      <c r="E10" s="113">
        <v>2.0</v>
      </c>
      <c r="F10" s="113" t="s">
        <v>352</v>
      </c>
      <c r="G10" s="113" t="s">
        <v>269</v>
      </c>
      <c r="H10" s="113" t="s">
        <v>353</v>
      </c>
      <c r="I10" s="114" t="s">
        <v>323</v>
      </c>
      <c r="J10" s="115" t="s">
        <v>323</v>
      </c>
      <c r="K10" s="115" t="s">
        <v>323</v>
      </c>
      <c r="L10" s="116">
        <v>1.0</v>
      </c>
      <c r="M10" s="116" t="s">
        <v>354</v>
      </c>
      <c r="N10" s="116" t="s">
        <v>355</v>
      </c>
      <c r="O10" s="117" t="s">
        <v>323</v>
      </c>
      <c r="P10" s="113" t="s">
        <v>323</v>
      </c>
      <c r="Q10" s="113" t="s">
        <v>356</v>
      </c>
      <c r="R10" s="103"/>
      <c r="S10" s="106" t="s">
        <v>204</v>
      </c>
      <c r="T10" s="97"/>
      <c r="U10" s="106" t="s">
        <v>357</v>
      </c>
      <c r="V10" s="97"/>
      <c r="W10" s="106" t="s">
        <v>349</v>
      </c>
      <c r="X10" s="108">
        <v>5.0</v>
      </c>
    </row>
    <row r="11">
      <c r="A11" s="109" t="s">
        <v>187</v>
      </c>
      <c r="B11" s="110" t="s">
        <v>358</v>
      </c>
      <c r="C11" s="110" t="s">
        <v>202</v>
      </c>
      <c r="D11" s="110" t="s">
        <v>331</v>
      </c>
      <c r="E11" s="110">
        <v>1.0</v>
      </c>
      <c r="F11" s="110" t="s">
        <v>359</v>
      </c>
      <c r="G11" s="110" t="s">
        <v>360</v>
      </c>
      <c r="H11" s="110" t="s">
        <v>361</v>
      </c>
      <c r="I11" s="118">
        <v>24.4</v>
      </c>
      <c r="J11" s="119">
        <v>-7.7</v>
      </c>
      <c r="K11" s="119">
        <v>0.57</v>
      </c>
      <c r="L11" s="120">
        <v>1.0</v>
      </c>
      <c r="M11" s="120" t="s">
        <v>362</v>
      </c>
      <c r="N11" s="120" t="s">
        <v>363</v>
      </c>
      <c r="O11" s="121">
        <v>10.0</v>
      </c>
      <c r="P11" s="110" t="s">
        <v>323</v>
      </c>
      <c r="Q11" s="110" t="s">
        <v>364</v>
      </c>
      <c r="R11" s="103"/>
      <c r="S11" s="106" t="s">
        <v>205</v>
      </c>
      <c r="T11" s="97"/>
      <c r="U11" s="106" t="s">
        <v>365</v>
      </c>
      <c r="V11" s="97"/>
      <c r="W11" s="106" t="s">
        <v>363</v>
      </c>
      <c r="X11" s="108">
        <v>10.0</v>
      </c>
    </row>
    <row r="12">
      <c r="A12" s="98" t="s">
        <v>187</v>
      </c>
      <c r="B12" s="113" t="s">
        <v>358</v>
      </c>
      <c r="C12" s="113" t="s">
        <v>202</v>
      </c>
      <c r="D12" s="113" t="s">
        <v>331</v>
      </c>
      <c r="E12" s="113">
        <v>2.0</v>
      </c>
      <c r="F12" s="113" t="s">
        <v>366</v>
      </c>
      <c r="G12" s="113" t="s">
        <v>256</v>
      </c>
      <c r="H12" s="113" t="s">
        <v>367</v>
      </c>
      <c r="I12" s="122">
        <v>24.4</v>
      </c>
      <c r="J12" s="122">
        <v>-7.5</v>
      </c>
      <c r="K12" s="122">
        <v>0.57</v>
      </c>
      <c r="L12" s="113">
        <v>1.0</v>
      </c>
      <c r="M12" s="113" t="s">
        <v>368</v>
      </c>
      <c r="N12" s="113" t="s">
        <v>322</v>
      </c>
      <c r="O12" s="123">
        <v>0.5</v>
      </c>
      <c r="P12" s="113" t="s">
        <v>323</v>
      </c>
      <c r="Q12" s="113" t="s">
        <v>369</v>
      </c>
      <c r="R12" s="103"/>
      <c r="S12" s="106" t="s">
        <v>207</v>
      </c>
      <c r="T12" s="97"/>
      <c r="U12" s="106" t="s">
        <v>370</v>
      </c>
      <c r="V12" s="97"/>
      <c r="W12" s="106" t="s">
        <v>371</v>
      </c>
      <c r="X12" s="100">
        <v>1.8</v>
      </c>
    </row>
    <row r="13">
      <c r="A13" s="106" t="s">
        <v>187</v>
      </c>
      <c r="B13" s="100" t="s">
        <v>358</v>
      </c>
      <c r="C13" s="100" t="s">
        <v>202</v>
      </c>
      <c r="D13" s="100" t="s">
        <v>331</v>
      </c>
      <c r="E13" s="100">
        <v>2.0</v>
      </c>
      <c r="F13" s="100" t="s">
        <v>366</v>
      </c>
      <c r="G13" s="100" t="s">
        <v>256</v>
      </c>
      <c r="H13" s="100" t="s">
        <v>367</v>
      </c>
      <c r="I13" s="107">
        <v>24.4</v>
      </c>
      <c r="J13" s="107">
        <v>-7.5</v>
      </c>
      <c r="K13" s="107">
        <v>0.57</v>
      </c>
      <c r="L13" s="100">
        <v>2.0</v>
      </c>
      <c r="M13" s="100" t="s">
        <v>372</v>
      </c>
      <c r="N13" s="100" t="s">
        <v>326</v>
      </c>
      <c r="O13" s="108">
        <v>1.0</v>
      </c>
      <c r="P13" s="100" t="s">
        <v>323</v>
      </c>
      <c r="Q13" s="100" t="s">
        <v>373</v>
      </c>
      <c r="R13" s="103"/>
      <c r="S13" s="106" t="s">
        <v>197</v>
      </c>
      <c r="T13" s="97"/>
      <c r="U13" s="106" t="s">
        <v>374</v>
      </c>
      <c r="V13" s="97"/>
      <c r="W13" s="106" t="s">
        <v>375</v>
      </c>
      <c r="X13" s="100">
        <v>2.7</v>
      </c>
    </row>
    <row r="14">
      <c r="A14" s="106" t="s">
        <v>187</v>
      </c>
      <c r="B14" s="100" t="s">
        <v>358</v>
      </c>
      <c r="C14" s="100" t="s">
        <v>202</v>
      </c>
      <c r="D14" s="100" t="s">
        <v>331</v>
      </c>
      <c r="E14" s="100">
        <v>2.0</v>
      </c>
      <c r="F14" s="100" t="s">
        <v>366</v>
      </c>
      <c r="G14" s="100" t="s">
        <v>256</v>
      </c>
      <c r="H14" s="100" t="s">
        <v>367</v>
      </c>
      <c r="I14" s="107">
        <v>24.4</v>
      </c>
      <c r="J14" s="107">
        <v>-7.5</v>
      </c>
      <c r="K14" s="107">
        <v>0.57</v>
      </c>
      <c r="L14" s="100">
        <v>3.0</v>
      </c>
      <c r="M14" s="100" t="s">
        <v>376</v>
      </c>
      <c r="N14" s="100" t="s">
        <v>329</v>
      </c>
      <c r="O14" s="108">
        <v>1.5</v>
      </c>
      <c r="P14" s="100" t="s">
        <v>323</v>
      </c>
      <c r="Q14" s="100" t="s">
        <v>377</v>
      </c>
      <c r="R14" s="103"/>
      <c r="S14" s="106" t="s">
        <v>378</v>
      </c>
      <c r="T14" s="97"/>
      <c r="U14" s="106" t="s">
        <v>379</v>
      </c>
      <c r="V14" s="97"/>
      <c r="W14" s="106" t="s">
        <v>380</v>
      </c>
      <c r="X14" s="100">
        <v>4.0</v>
      </c>
    </row>
    <row r="15">
      <c r="A15" s="106" t="s">
        <v>187</v>
      </c>
      <c r="B15" s="100" t="s">
        <v>358</v>
      </c>
      <c r="C15" s="100" t="s">
        <v>202</v>
      </c>
      <c r="D15" s="100" t="s">
        <v>331</v>
      </c>
      <c r="E15" s="100">
        <v>2.0</v>
      </c>
      <c r="F15" s="100" t="s">
        <v>366</v>
      </c>
      <c r="G15" s="100" t="s">
        <v>256</v>
      </c>
      <c r="H15" s="100" t="s">
        <v>367</v>
      </c>
      <c r="I15" s="107">
        <v>24.4</v>
      </c>
      <c r="J15" s="107">
        <v>-7.5</v>
      </c>
      <c r="K15" s="107">
        <v>0.57</v>
      </c>
      <c r="L15" s="100">
        <v>4.0</v>
      </c>
      <c r="M15" s="100" t="s">
        <v>381</v>
      </c>
      <c r="N15" s="100" t="s">
        <v>333</v>
      </c>
      <c r="O15" s="108">
        <v>2.0</v>
      </c>
      <c r="P15" s="100" t="s">
        <v>323</v>
      </c>
      <c r="Q15" s="100" t="s">
        <v>382</v>
      </c>
      <c r="R15" s="103"/>
      <c r="S15" s="106" t="s">
        <v>196</v>
      </c>
      <c r="T15" s="97"/>
      <c r="U15" s="106" t="s">
        <v>383</v>
      </c>
      <c r="V15" s="97"/>
      <c r="W15" s="106" t="s">
        <v>384</v>
      </c>
      <c r="X15" s="100">
        <v>6.0</v>
      </c>
    </row>
    <row r="16">
      <c r="A16" s="106" t="s">
        <v>187</v>
      </c>
      <c r="B16" s="100" t="s">
        <v>358</v>
      </c>
      <c r="C16" s="100" t="s">
        <v>202</v>
      </c>
      <c r="D16" s="100" t="s">
        <v>331</v>
      </c>
      <c r="E16" s="100">
        <v>2.0</v>
      </c>
      <c r="F16" s="100" t="s">
        <v>366</v>
      </c>
      <c r="G16" s="100" t="s">
        <v>256</v>
      </c>
      <c r="H16" s="100" t="s">
        <v>367</v>
      </c>
      <c r="I16" s="107">
        <v>24.4</v>
      </c>
      <c r="J16" s="107">
        <v>-7.5</v>
      </c>
      <c r="K16" s="107">
        <v>0.57</v>
      </c>
      <c r="L16" s="100">
        <v>5.0</v>
      </c>
      <c r="M16" s="100" t="s">
        <v>385</v>
      </c>
      <c r="N16" s="100" t="s">
        <v>337</v>
      </c>
      <c r="O16" s="108">
        <v>2.5</v>
      </c>
      <c r="P16" s="100" t="s">
        <v>323</v>
      </c>
      <c r="Q16" s="100" t="s">
        <v>386</v>
      </c>
      <c r="R16" s="103"/>
      <c r="S16" s="103"/>
      <c r="T16" s="97"/>
      <c r="U16" s="106" t="s">
        <v>387</v>
      </c>
      <c r="V16" s="97"/>
      <c r="W16" s="106" t="s">
        <v>388</v>
      </c>
      <c r="X16" s="100">
        <v>8.0</v>
      </c>
    </row>
    <row r="17">
      <c r="A17" s="106" t="s">
        <v>187</v>
      </c>
      <c r="B17" s="100" t="s">
        <v>358</v>
      </c>
      <c r="C17" s="100" t="s">
        <v>202</v>
      </c>
      <c r="D17" s="100" t="s">
        <v>331</v>
      </c>
      <c r="E17" s="100">
        <v>2.0</v>
      </c>
      <c r="F17" s="100" t="s">
        <v>366</v>
      </c>
      <c r="G17" s="100" t="s">
        <v>256</v>
      </c>
      <c r="H17" s="100" t="s">
        <v>367</v>
      </c>
      <c r="I17" s="107">
        <v>24.4</v>
      </c>
      <c r="J17" s="107">
        <v>-7.5</v>
      </c>
      <c r="K17" s="107">
        <v>0.57</v>
      </c>
      <c r="L17" s="100">
        <v>6.0</v>
      </c>
      <c r="M17" s="100" t="s">
        <v>389</v>
      </c>
      <c r="N17" s="100" t="s">
        <v>341</v>
      </c>
      <c r="O17" s="108">
        <v>3.0</v>
      </c>
      <c r="P17" s="100" t="s">
        <v>323</v>
      </c>
      <c r="Q17" s="100" t="s">
        <v>390</v>
      </c>
      <c r="R17" s="103"/>
      <c r="S17" s="103"/>
      <c r="T17" s="97"/>
      <c r="U17" s="124" t="s">
        <v>391</v>
      </c>
      <c r="V17" s="97"/>
      <c r="W17" s="106" t="s">
        <v>392</v>
      </c>
      <c r="X17" s="100">
        <v>10.0</v>
      </c>
    </row>
    <row r="18">
      <c r="A18" s="106" t="s">
        <v>187</v>
      </c>
      <c r="B18" s="100" t="s">
        <v>358</v>
      </c>
      <c r="C18" s="100" t="s">
        <v>202</v>
      </c>
      <c r="D18" s="100" t="s">
        <v>331</v>
      </c>
      <c r="E18" s="100">
        <v>2.0</v>
      </c>
      <c r="F18" s="100" t="s">
        <v>366</v>
      </c>
      <c r="G18" s="100" t="s">
        <v>256</v>
      </c>
      <c r="H18" s="100" t="s">
        <v>367</v>
      </c>
      <c r="I18" s="107">
        <v>24.4</v>
      </c>
      <c r="J18" s="107">
        <v>-7.5</v>
      </c>
      <c r="K18" s="107">
        <v>0.57</v>
      </c>
      <c r="L18" s="100">
        <v>7.0</v>
      </c>
      <c r="M18" s="100" t="s">
        <v>393</v>
      </c>
      <c r="N18" s="100" t="s">
        <v>345</v>
      </c>
      <c r="O18" s="108">
        <v>4.0</v>
      </c>
      <c r="P18" s="100" t="s">
        <v>323</v>
      </c>
      <c r="Q18" s="100" t="s">
        <v>394</v>
      </c>
      <c r="R18" s="103"/>
      <c r="S18" s="103"/>
      <c r="T18" s="97"/>
      <c r="U18" s="97"/>
      <c r="V18" s="97"/>
      <c r="W18" s="106" t="s">
        <v>395</v>
      </c>
      <c r="X18" s="100">
        <v>4.0</v>
      </c>
    </row>
    <row r="19">
      <c r="A19" s="106" t="s">
        <v>187</v>
      </c>
      <c r="B19" s="100" t="s">
        <v>358</v>
      </c>
      <c r="C19" s="100" t="s">
        <v>202</v>
      </c>
      <c r="D19" s="100" t="s">
        <v>331</v>
      </c>
      <c r="E19" s="100">
        <v>2.0</v>
      </c>
      <c r="F19" s="100" t="s">
        <v>366</v>
      </c>
      <c r="G19" s="100" t="s">
        <v>256</v>
      </c>
      <c r="H19" s="100" t="s">
        <v>367</v>
      </c>
      <c r="I19" s="107">
        <v>24.4</v>
      </c>
      <c r="J19" s="107">
        <v>-7.5</v>
      </c>
      <c r="K19" s="107">
        <v>0.57</v>
      </c>
      <c r="L19" s="100">
        <v>8.0</v>
      </c>
      <c r="M19" s="100" t="s">
        <v>396</v>
      </c>
      <c r="N19" s="100" t="s">
        <v>349</v>
      </c>
      <c r="O19" s="108">
        <v>5.0</v>
      </c>
      <c r="P19" s="100" t="s">
        <v>323</v>
      </c>
      <c r="Q19" s="100" t="s">
        <v>397</v>
      </c>
      <c r="R19" s="103"/>
      <c r="S19" s="103"/>
      <c r="T19" s="97"/>
      <c r="U19" s="97"/>
      <c r="V19" s="97"/>
      <c r="W19" s="106" t="s">
        <v>398</v>
      </c>
      <c r="X19" s="100">
        <v>6.0</v>
      </c>
    </row>
    <row r="20">
      <c r="A20" s="109" t="s">
        <v>187</v>
      </c>
      <c r="B20" s="110" t="s">
        <v>358</v>
      </c>
      <c r="C20" s="110" t="s">
        <v>202</v>
      </c>
      <c r="D20" s="110" t="s">
        <v>399</v>
      </c>
      <c r="E20" s="110">
        <v>3.0</v>
      </c>
      <c r="F20" s="110" t="s">
        <v>400</v>
      </c>
      <c r="G20" s="110" t="s">
        <v>360</v>
      </c>
      <c r="H20" s="110" t="s">
        <v>361</v>
      </c>
      <c r="I20" s="118">
        <v>24.4</v>
      </c>
      <c r="J20" s="119">
        <v>-7.7</v>
      </c>
      <c r="K20" s="119">
        <v>0.57</v>
      </c>
      <c r="L20" s="120">
        <v>1.0</v>
      </c>
      <c r="M20" s="120" t="s">
        <v>401</v>
      </c>
      <c r="N20" s="120" t="s">
        <v>363</v>
      </c>
      <c r="O20" s="121">
        <v>10.0</v>
      </c>
      <c r="P20" s="110" t="s">
        <v>323</v>
      </c>
      <c r="Q20" s="110" t="s">
        <v>402</v>
      </c>
      <c r="R20" s="103"/>
      <c r="S20" s="103"/>
      <c r="T20" s="97"/>
      <c r="U20" s="97"/>
      <c r="V20" s="97"/>
      <c r="W20" s="106" t="s">
        <v>403</v>
      </c>
      <c r="X20" s="100">
        <v>8.0</v>
      </c>
    </row>
    <row r="21">
      <c r="A21" s="98" t="s">
        <v>187</v>
      </c>
      <c r="B21" s="113" t="s">
        <v>358</v>
      </c>
      <c r="C21" s="113" t="s">
        <v>202</v>
      </c>
      <c r="D21" s="113" t="s">
        <v>399</v>
      </c>
      <c r="E21" s="113">
        <v>4.0</v>
      </c>
      <c r="F21" s="113" t="s">
        <v>404</v>
      </c>
      <c r="G21" s="113" t="s">
        <v>256</v>
      </c>
      <c r="H21" s="113" t="s">
        <v>367</v>
      </c>
      <c r="I21" s="122">
        <v>24.4</v>
      </c>
      <c r="J21" s="122">
        <v>-7.5</v>
      </c>
      <c r="K21" s="122">
        <v>0.57</v>
      </c>
      <c r="L21" s="113">
        <v>1.0</v>
      </c>
      <c r="M21" s="113" t="s">
        <v>405</v>
      </c>
      <c r="N21" s="113" t="s">
        <v>322</v>
      </c>
      <c r="O21" s="123">
        <v>0.5</v>
      </c>
      <c r="P21" s="113" t="s">
        <v>323</v>
      </c>
      <c r="Q21" s="113" t="s">
        <v>406</v>
      </c>
      <c r="R21" s="103"/>
      <c r="S21" s="103"/>
      <c r="T21" s="97"/>
      <c r="U21" s="97"/>
      <c r="V21" s="97"/>
      <c r="W21" s="106" t="s">
        <v>407</v>
      </c>
      <c r="X21" s="100">
        <v>15.75</v>
      </c>
    </row>
    <row r="22">
      <c r="A22" s="106" t="s">
        <v>187</v>
      </c>
      <c r="B22" s="100" t="s">
        <v>358</v>
      </c>
      <c r="C22" s="100" t="s">
        <v>202</v>
      </c>
      <c r="D22" s="100" t="s">
        <v>399</v>
      </c>
      <c r="E22" s="100">
        <v>4.0</v>
      </c>
      <c r="F22" s="100" t="s">
        <v>404</v>
      </c>
      <c r="G22" s="100" t="s">
        <v>256</v>
      </c>
      <c r="H22" s="100" t="s">
        <v>367</v>
      </c>
      <c r="I22" s="107">
        <v>24.4</v>
      </c>
      <c r="J22" s="107">
        <v>-7.5</v>
      </c>
      <c r="K22" s="107">
        <v>0.57</v>
      </c>
      <c r="L22" s="100">
        <v>2.0</v>
      </c>
      <c r="M22" s="100" t="s">
        <v>408</v>
      </c>
      <c r="N22" s="100" t="s">
        <v>326</v>
      </c>
      <c r="O22" s="108">
        <v>1.0</v>
      </c>
      <c r="P22" s="100" t="s">
        <v>323</v>
      </c>
      <c r="Q22" s="100" t="s">
        <v>409</v>
      </c>
      <c r="R22" s="103"/>
      <c r="S22" s="103"/>
      <c r="T22" s="97"/>
      <c r="U22" s="97"/>
      <c r="V22" s="97"/>
      <c r="W22" s="106" t="s">
        <v>410</v>
      </c>
      <c r="X22" s="100">
        <v>22.1</v>
      </c>
    </row>
    <row r="23">
      <c r="A23" s="106" t="s">
        <v>187</v>
      </c>
      <c r="B23" s="100" t="s">
        <v>358</v>
      </c>
      <c r="C23" s="100" t="s">
        <v>202</v>
      </c>
      <c r="D23" s="100" t="s">
        <v>399</v>
      </c>
      <c r="E23" s="100">
        <v>4.0</v>
      </c>
      <c r="F23" s="100" t="s">
        <v>404</v>
      </c>
      <c r="G23" s="100" t="s">
        <v>256</v>
      </c>
      <c r="H23" s="100" t="s">
        <v>367</v>
      </c>
      <c r="I23" s="107">
        <v>24.4</v>
      </c>
      <c r="J23" s="107">
        <v>-7.5</v>
      </c>
      <c r="K23" s="107">
        <v>0.57</v>
      </c>
      <c r="L23" s="100">
        <v>3.0</v>
      </c>
      <c r="M23" s="100" t="s">
        <v>411</v>
      </c>
      <c r="N23" s="100" t="s">
        <v>329</v>
      </c>
      <c r="O23" s="108">
        <v>1.5</v>
      </c>
      <c r="P23" s="100" t="s">
        <v>323</v>
      </c>
      <c r="Q23" s="100" t="s">
        <v>412</v>
      </c>
      <c r="R23" s="103"/>
      <c r="S23" s="103"/>
      <c r="T23" s="97"/>
      <c r="U23" s="97"/>
      <c r="V23" s="97"/>
      <c r="W23" s="106" t="s">
        <v>413</v>
      </c>
      <c r="X23" s="100">
        <v>26.6</v>
      </c>
    </row>
    <row r="24">
      <c r="A24" s="106" t="s">
        <v>187</v>
      </c>
      <c r="B24" s="100" t="s">
        <v>358</v>
      </c>
      <c r="C24" s="100" t="s">
        <v>202</v>
      </c>
      <c r="D24" s="100" t="s">
        <v>399</v>
      </c>
      <c r="E24" s="100">
        <v>4.0</v>
      </c>
      <c r="F24" s="100" t="s">
        <v>404</v>
      </c>
      <c r="G24" s="100" t="s">
        <v>256</v>
      </c>
      <c r="H24" s="100" t="s">
        <v>367</v>
      </c>
      <c r="I24" s="107">
        <v>24.4</v>
      </c>
      <c r="J24" s="107">
        <v>-7.5</v>
      </c>
      <c r="K24" s="107">
        <v>0.57</v>
      </c>
      <c r="L24" s="100">
        <v>4.0</v>
      </c>
      <c r="M24" s="100" t="s">
        <v>414</v>
      </c>
      <c r="N24" s="100" t="s">
        <v>333</v>
      </c>
      <c r="O24" s="108">
        <v>2.0</v>
      </c>
      <c r="P24" s="100" t="s">
        <v>323</v>
      </c>
      <c r="Q24" s="100" t="s">
        <v>415</v>
      </c>
      <c r="R24" s="103"/>
      <c r="S24" s="103"/>
      <c r="T24" s="97"/>
      <c r="U24" s="97"/>
      <c r="V24" s="97"/>
      <c r="W24" s="106" t="s">
        <v>416</v>
      </c>
      <c r="X24" s="100">
        <v>52.5</v>
      </c>
    </row>
    <row r="25">
      <c r="A25" s="106" t="s">
        <v>187</v>
      </c>
      <c r="B25" s="100" t="s">
        <v>358</v>
      </c>
      <c r="C25" s="100" t="s">
        <v>202</v>
      </c>
      <c r="D25" s="100" t="s">
        <v>399</v>
      </c>
      <c r="E25" s="100">
        <v>4.0</v>
      </c>
      <c r="F25" s="100" t="s">
        <v>404</v>
      </c>
      <c r="G25" s="100" t="s">
        <v>256</v>
      </c>
      <c r="H25" s="100" t="s">
        <v>367</v>
      </c>
      <c r="I25" s="107">
        <v>24.4</v>
      </c>
      <c r="J25" s="107">
        <v>-7.5</v>
      </c>
      <c r="K25" s="107">
        <v>0.57</v>
      </c>
      <c r="L25" s="100">
        <v>5.0</v>
      </c>
      <c r="M25" s="100" t="s">
        <v>417</v>
      </c>
      <c r="N25" s="100" t="s">
        <v>337</v>
      </c>
      <c r="O25" s="108">
        <v>2.5</v>
      </c>
      <c r="P25" s="100" t="s">
        <v>323</v>
      </c>
      <c r="Q25" s="100" t="s">
        <v>418</v>
      </c>
      <c r="R25" s="103"/>
      <c r="S25" s="103"/>
      <c r="T25" s="97"/>
      <c r="U25" s="97"/>
      <c r="V25" s="97"/>
      <c r="W25" s="106" t="s">
        <v>419</v>
      </c>
      <c r="X25" s="100">
        <v>77.9</v>
      </c>
    </row>
    <row r="26">
      <c r="A26" s="106" t="s">
        <v>187</v>
      </c>
      <c r="B26" s="100" t="s">
        <v>358</v>
      </c>
      <c r="C26" s="100" t="s">
        <v>202</v>
      </c>
      <c r="D26" s="100" t="s">
        <v>399</v>
      </c>
      <c r="E26" s="100">
        <v>4.0</v>
      </c>
      <c r="F26" s="100" t="s">
        <v>404</v>
      </c>
      <c r="G26" s="100" t="s">
        <v>256</v>
      </c>
      <c r="H26" s="100" t="s">
        <v>367</v>
      </c>
      <c r="I26" s="107">
        <v>24.4</v>
      </c>
      <c r="J26" s="107">
        <v>-7.5</v>
      </c>
      <c r="K26" s="107">
        <v>0.57</v>
      </c>
      <c r="L26" s="100">
        <v>6.0</v>
      </c>
      <c r="M26" s="100" t="s">
        <v>420</v>
      </c>
      <c r="N26" s="100" t="s">
        <v>341</v>
      </c>
      <c r="O26" s="108">
        <v>3.0</v>
      </c>
      <c r="P26" s="100" t="s">
        <v>323</v>
      </c>
      <c r="Q26" s="100" t="s">
        <v>421</v>
      </c>
      <c r="R26" s="103"/>
      <c r="S26" s="103"/>
      <c r="T26" s="97"/>
      <c r="U26" s="97"/>
      <c r="V26" s="97"/>
      <c r="W26" s="106" t="s">
        <v>422</v>
      </c>
      <c r="X26" s="100">
        <v>102.3</v>
      </c>
    </row>
    <row r="27">
      <c r="A27" s="106" t="s">
        <v>187</v>
      </c>
      <c r="B27" s="100" t="s">
        <v>358</v>
      </c>
      <c r="C27" s="100" t="s">
        <v>202</v>
      </c>
      <c r="D27" s="100" t="s">
        <v>399</v>
      </c>
      <c r="E27" s="100">
        <v>4.0</v>
      </c>
      <c r="F27" s="100" t="s">
        <v>404</v>
      </c>
      <c r="G27" s="100" t="s">
        <v>256</v>
      </c>
      <c r="H27" s="100" t="s">
        <v>367</v>
      </c>
      <c r="I27" s="107">
        <v>24.4</v>
      </c>
      <c r="J27" s="107">
        <v>-7.5</v>
      </c>
      <c r="K27" s="107">
        <v>0.57</v>
      </c>
      <c r="L27" s="100">
        <v>7.0</v>
      </c>
      <c r="M27" s="100" t="s">
        <v>423</v>
      </c>
      <c r="N27" s="100" t="s">
        <v>345</v>
      </c>
      <c r="O27" s="108">
        <v>4.0</v>
      </c>
      <c r="P27" s="100" t="s">
        <v>323</v>
      </c>
      <c r="Q27" s="100" t="s">
        <v>424</v>
      </c>
      <c r="R27" s="103"/>
      <c r="S27" s="103"/>
      <c r="T27" s="97"/>
      <c r="U27" s="97"/>
      <c r="V27" s="97"/>
      <c r="W27" s="97"/>
      <c r="X27" s="97"/>
    </row>
    <row r="28">
      <c r="A28" s="106" t="s">
        <v>187</v>
      </c>
      <c r="B28" s="100" t="s">
        <v>358</v>
      </c>
      <c r="C28" s="100" t="s">
        <v>202</v>
      </c>
      <c r="D28" s="100" t="s">
        <v>399</v>
      </c>
      <c r="E28" s="100">
        <v>4.0</v>
      </c>
      <c r="F28" s="100" t="s">
        <v>404</v>
      </c>
      <c r="G28" s="100" t="s">
        <v>256</v>
      </c>
      <c r="H28" s="100" t="s">
        <v>367</v>
      </c>
      <c r="I28" s="107">
        <v>24.4</v>
      </c>
      <c r="J28" s="107">
        <v>-7.5</v>
      </c>
      <c r="K28" s="107">
        <v>0.57</v>
      </c>
      <c r="L28" s="100">
        <v>8.0</v>
      </c>
      <c r="M28" s="100" t="s">
        <v>425</v>
      </c>
      <c r="N28" s="100" t="s">
        <v>349</v>
      </c>
      <c r="O28" s="108">
        <v>5.0</v>
      </c>
      <c r="P28" s="100" t="s">
        <v>323</v>
      </c>
      <c r="Q28" s="100" t="s">
        <v>426</v>
      </c>
      <c r="R28" s="103"/>
      <c r="S28" s="103"/>
      <c r="T28" s="97"/>
      <c r="U28" s="97"/>
      <c r="V28" s="97"/>
      <c r="W28" s="97"/>
      <c r="X28" s="97"/>
    </row>
    <row r="29">
      <c r="A29" s="106" t="s">
        <v>187</v>
      </c>
      <c r="B29" s="100" t="s">
        <v>427</v>
      </c>
      <c r="C29" s="100" t="s">
        <v>201</v>
      </c>
      <c r="D29" s="100" t="s">
        <v>335</v>
      </c>
      <c r="E29" s="100">
        <v>1.0</v>
      </c>
      <c r="F29" s="100" t="s">
        <v>428</v>
      </c>
      <c r="G29" s="100" t="s">
        <v>256</v>
      </c>
      <c r="H29" s="100" t="s">
        <v>429</v>
      </c>
      <c r="I29" s="107" t="s">
        <v>323</v>
      </c>
      <c r="J29" s="107" t="s">
        <v>323</v>
      </c>
      <c r="K29" s="107">
        <v>0.64</v>
      </c>
      <c r="L29" s="100">
        <v>1.0</v>
      </c>
      <c r="M29" s="100" t="s">
        <v>430</v>
      </c>
      <c r="N29" s="100" t="s">
        <v>322</v>
      </c>
      <c r="O29" s="108">
        <v>0.5</v>
      </c>
      <c r="P29" s="100" t="s">
        <v>323</v>
      </c>
      <c r="Q29" s="100" t="s">
        <v>431</v>
      </c>
      <c r="R29" s="103"/>
      <c r="S29" s="103"/>
      <c r="T29" s="97"/>
      <c r="U29" s="97"/>
      <c r="V29" s="97"/>
      <c r="W29" s="97"/>
      <c r="X29" s="97"/>
    </row>
    <row r="30">
      <c r="A30" s="106" t="s">
        <v>187</v>
      </c>
      <c r="B30" s="100" t="s">
        <v>427</v>
      </c>
      <c r="C30" s="100" t="s">
        <v>201</v>
      </c>
      <c r="D30" s="100" t="s">
        <v>335</v>
      </c>
      <c r="E30" s="100">
        <v>1.0</v>
      </c>
      <c r="F30" s="100" t="s">
        <v>428</v>
      </c>
      <c r="G30" s="100" t="s">
        <v>256</v>
      </c>
      <c r="H30" s="100" t="s">
        <v>429</v>
      </c>
      <c r="I30" s="107" t="s">
        <v>323</v>
      </c>
      <c r="J30" s="107" t="s">
        <v>323</v>
      </c>
      <c r="K30" s="107">
        <v>0.64</v>
      </c>
      <c r="L30" s="100">
        <v>2.0</v>
      </c>
      <c r="M30" s="100" t="s">
        <v>432</v>
      </c>
      <c r="N30" s="100" t="s">
        <v>326</v>
      </c>
      <c r="O30" s="108">
        <v>1.0</v>
      </c>
      <c r="P30" s="100" t="s">
        <v>323</v>
      </c>
      <c r="Q30" s="100" t="s">
        <v>433</v>
      </c>
      <c r="R30" s="103"/>
      <c r="S30" s="103"/>
      <c r="T30" s="97"/>
      <c r="U30" s="97"/>
      <c r="V30" s="97"/>
      <c r="W30" s="97"/>
      <c r="X30" s="97"/>
    </row>
    <row r="31">
      <c r="A31" s="106" t="s">
        <v>187</v>
      </c>
      <c r="B31" s="100" t="s">
        <v>427</v>
      </c>
      <c r="C31" s="100" t="s">
        <v>201</v>
      </c>
      <c r="D31" s="100" t="s">
        <v>335</v>
      </c>
      <c r="E31" s="100">
        <v>1.0</v>
      </c>
      <c r="F31" s="100" t="s">
        <v>428</v>
      </c>
      <c r="G31" s="100" t="s">
        <v>256</v>
      </c>
      <c r="H31" s="100" t="s">
        <v>429</v>
      </c>
      <c r="I31" s="107" t="s">
        <v>323</v>
      </c>
      <c r="J31" s="107" t="s">
        <v>323</v>
      </c>
      <c r="K31" s="107">
        <v>0.64</v>
      </c>
      <c r="L31" s="100">
        <v>3.0</v>
      </c>
      <c r="M31" s="100" t="s">
        <v>434</v>
      </c>
      <c r="N31" s="100" t="s">
        <v>329</v>
      </c>
      <c r="O31" s="108">
        <v>1.5</v>
      </c>
      <c r="P31" s="100" t="s">
        <v>323</v>
      </c>
      <c r="Q31" s="100" t="s">
        <v>435</v>
      </c>
      <c r="R31" s="103"/>
      <c r="S31" s="103"/>
      <c r="T31" s="97"/>
      <c r="U31" s="97"/>
      <c r="V31" s="97"/>
      <c r="W31" s="97"/>
      <c r="X31" s="97"/>
    </row>
    <row r="32">
      <c r="A32" s="106" t="s">
        <v>187</v>
      </c>
      <c r="B32" s="100" t="s">
        <v>427</v>
      </c>
      <c r="C32" s="100" t="s">
        <v>201</v>
      </c>
      <c r="D32" s="100" t="s">
        <v>335</v>
      </c>
      <c r="E32" s="100">
        <v>1.0</v>
      </c>
      <c r="F32" s="100" t="s">
        <v>428</v>
      </c>
      <c r="G32" s="100" t="s">
        <v>256</v>
      </c>
      <c r="H32" s="100" t="s">
        <v>429</v>
      </c>
      <c r="I32" s="107" t="s">
        <v>323</v>
      </c>
      <c r="J32" s="107" t="s">
        <v>323</v>
      </c>
      <c r="K32" s="107">
        <v>0.64</v>
      </c>
      <c r="L32" s="100">
        <v>4.0</v>
      </c>
      <c r="M32" s="100" t="s">
        <v>436</v>
      </c>
      <c r="N32" s="100" t="s">
        <v>333</v>
      </c>
      <c r="O32" s="108">
        <v>2.0</v>
      </c>
      <c r="P32" s="100" t="s">
        <v>323</v>
      </c>
      <c r="Q32" s="100" t="s">
        <v>437</v>
      </c>
      <c r="R32" s="103"/>
      <c r="S32" s="103"/>
      <c r="T32" s="97"/>
      <c r="U32" s="97"/>
      <c r="V32" s="97"/>
      <c r="W32" s="97"/>
      <c r="X32" s="97"/>
    </row>
    <row r="33">
      <c r="A33" s="106" t="s">
        <v>187</v>
      </c>
      <c r="B33" s="100" t="s">
        <v>427</v>
      </c>
      <c r="C33" s="100" t="s">
        <v>201</v>
      </c>
      <c r="D33" s="100" t="s">
        <v>335</v>
      </c>
      <c r="E33" s="100">
        <v>1.0</v>
      </c>
      <c r="F33" s="100" t="s">
        <v>428</v>
      </c>
      <c r="G33" s="100" t="s">
        <v>256</v>
      </c>
      <c r="H33" s="100" t="s">
        <v>429</v>
      </c>
      <c r="I33" s="107" t="s">
        <v>323</v>
      </c>
      <c r="J33" s="107" t="s">
        <v>323</v>
      </c>
      <c r="K33" s="107">
        <v>0.64</v>
      </c>
      <c r="L33" s="100">
        <v>5.0</v>
      </c>
      <c r="M33" s="100" t="s">
        <v>438</v>
      </c>
      <c r="N33" s="100" t="s">
        <v>337</v>
      </c>
      <c r="O33" s="108">
        <v>2.5</v>
      </c>
      <c r="P33" s="100" t="s">
        <v>323</v>
      </c>
      <c r="Q33" s="100" t="s">
        <v>439</v>
      </c>
      <c r="R33" s="103"/>
      <c r="S33" s="103"/>
      <c r="T33" s="97"/>
      <c r="U33" s="97"/>
      <c r="V33" s="97"/>
      <c r="W33" s="97"/>
      <c r="X33" s="97"/>
    </row>
    <row r="34">
      <c r="A34" s="106" t="s">
        <v>187</v>
      </c>
      <c r="B34" s="100" t="s">
        <v>427</v>
      </c>
      <c r="C34" s="100" t="s">
        <v>201</v>
      </c>
      <c r="D34" s="100" t="s">
        <v>335</v>
      </c>
      <c r="E34" s="100">
        <v>1.0</v>
      </c>
      <c r="F34" s="100" t="s">
        <v>428</v>
      </c>
      <c r="G34" s="100" t="s">
        <v>256</v>
      </c>
      <c r="H34" s="100" t="s">
        <v>429</v>
      </c>
      <c r="I34" s="107" t="s">
        <v>323</v>
      </c>
      <c r="J34" s="107" t="s">
        <v>323</v>
      </c>
      <c r="K34" s="107">
        <v>0.64</v>
      </c>
      <c r="L34" s="100">
        <v>6.0</v>
      </c>
      <c r="M34" s="100" t="s">
        <v>440</v>
      </c>
      <c r="N34" s="100" t="s">
        <v>341</v>
      </c>
      <c r="O34" s="108">
        <v>3.0</v>
      </c>
      <c r="P34" s="100" t="s">
        <v>323</v>
      </c>
      <c r="Q34" s="100" t="s">
        <v>441</v>
      </c>
      <c r="R34" s="103"/>
      <c r="S34" s="103"/>
      <c r="T34" s="97"/>
      <c r="U34" s="97"/>
      <c r="V34" s="97"/>
      <c r="W34" s="97"/>
      <c r="X34" s="97"/>
    </row>
    <row r="35">
      <c r="A35" s="106" t="s">
        <v>187</v>
      </c>
      <c r="B35" s="100" t="s">
        <v>427</v>
      </c>
      <c r="C35" s="100" t="s">
        <v>201</v>
      </c>
      <c r="D35" s="100" t="s">
        <v>335</v>
      </c>
      <c r="E35" s="100">
        <v>1.0</v>
      </c>
      <c r="F35" s="100" t="s">
        <v>428</v>
      </c>
      <c r="G35" s="100" t="s">
        <v>256</v>
      </c>
      <c r="H35" s="100" t="s">
        <v>429</v>
      </c>
      <c r="I35" s="107" t="s">
        <v>323</v>
      </c>
      <c r="J35" s="107" t="s">
        <v>323</v>
      </c>
      <c r="K35" s="107">
        <v>0.64</v>
      </c>
      <c r="L35" s="100">
        <v>7.0</v>
      </c>
      <c r="M35" s="100" t="s">
        <v>442</v>
      </c>
      <c r="N35" s="100" t="s">
        <v>345</v>
      </c>
      <c r="O35" s="108">
        <v>4.0</v>
      </c>
      <c r="P35" s="100" t="s">
        <v>323</v>
      </c>
      <c r="Q35" s="100" t="s">
        <v>443</v>
      </c>
      <c r="R35" s="103"/>
      <c r="S35" s="103"/>
      <c r="T35" s="97"/>
      <c r="U35" s="97"/>
      <c r="V35" s="97"/>
      <c r="W35" s="97"/>
      <c r="X35" s="97"/>
    </row>
    <row r="36">
      <c r="A36" s="125" t="s">
        <v>187</v>
      </c>
      <c r="B36" s="126" t="s">
        <v>427</v>
      </c>
      <c r="C36" s="126" t="s">
        <v>201</v>
      </c>
      <c r="D36" s="126" t="s">
        <v>335</v>
      </c>
      <c r="E36" s="126">
        <v>1.0</v>
      </c>
      <c r="F36" s="126" t="s">
        <v>428</v>
      </c>
      <c r="G36" s="126" t="s">
        <v>256</v>
      </c>
      <c r="H36" s="126" t="s">
        <v>429</v>
      </c>
      <c r="I36" s="127" t="s">
        <v>323</v>
      </c>
      <c r="J36" s="127" t="s">
        <v>323</v>
      </c>
      <c r="K36" s="127">
        <v>0.64</v>
      </c>
      <c r="L36" s="126">
        <v>8.0</v>
      </c>
      <c r="M36" s="126" t="s">
        <v>444</v>
      </c>
      <c r="N36" s="126" t="s">
        <v>349</v>
      </c>
      <c r="O36" s="128">
        <v>5.0</v>
      </c>
      <c r="P36" s="126" t="s">
        <v>323</v>
      </c>
      <c r="Q36" s="126" t="s">
        <v>445</v>
      </c>
      <c r="R36" s="103"/>
      <c r="S36" s="103"/>
      <c r="T36" s="97"/>
      <c r="U36" s="97"/>
      <c r="V36" s="97"/>
      <c r="W36" s="97"/>
      <c r="X36" s="97"/>
    </row>
    <row r="37">
      <c r="A37" s="106" t="s">
        <v>187</v>
      </c>
      <c r="B37" s="110" t="s">
        <v>427</v>
      </c>
      <c r="C37" s="100" t="s">
        <v>201</v>
      </c>
      <c r="D37" s="110" t="s">
        <v>335</v>
      </c>
      <c r="E37" s="110">
        <v>2.0</v>
      </c>
      <c r="F37" s="100" t="s">
        <v>446</v>
      </c>
      <c r="G37" s="100" t="s">
        <v>269</v>
      </c>
      <c r="H37" s="100" t="s">
        <v>447</v>
      </c>
      <c r="I37" s="118" t="s">
        <v>323</v>
      </c>
      <c r="J37" s="119" t="s">
        <v>323</v>
      </c>
      <c r="K37" s="119" t="s">
        <v>323</v>
      </c>
      <c r="L37" s="120">
        <v>1.0</v>
      </c>
      <c r="M37" s="120" t="s">
        <v>448</v>
      </c>
      <c r="N37" s="120" t="s">
        <v>355</v>
      </c>
      <c r="O37" s="121" t="s">
        <v>323</v>
      </c>
      <c r="P37" s="100" t="s">
        <v>323</v>
      </c>
      <c r="Q37" s="100" t="s">
        <v>449</v>
      </c>
      <c r="R37" s="103"/>
      <c r="S37" s="103"/>
      <c r="T37" s="97"/>
      <c r="U37" s="97"/>
      <c r="V37" s="97"/>
      <c r="W37" s="97"/>
      <c r="X37" s="97"/>
    </row>
    <row r="38">
      <c r="A38" s="106" t="s">
        <v>187</v>
      </c>
      <c r="B38" s="99" t="s">
        <v>427</v>
      </c>
      <c r="C38" s="100" t="s">
        <v>201</v>
      </c>
      <c r="D38" s="99" t="s">
        <v>339</v>
      </c>
      <c r="E38" s="99">
        <v>3.0</v>
      </c>
      <c r="F38" s="100" t="s">
        <v>450</v>
      </c>
      <c r="G38" s="100" t="s">
        <v>256</v>
      </c>
      <c r="H38" s="100" t="s">
        <v>429</v>
      </c>
      <c r="I38" s="101" t="s">
        <v>323</v>
      </c>
      <c r="J38" s="101" t="s">
        <v>323</v>
      </c>
      <c r="K38" s="101">
        <v>0.55</v>
      </c>
      <c r="L38" s="99">
        <v>1.0</v>
      </c>
      <c r="M38" s="99" t="s">
        <v>451</v>
      </c>
      <c r="N38" s="99" t="s">
        <v>322</v>
      </c>
      <c r="O38" s="102">
        <v>0.5</v>
      </c>
      <c r="P38" s="100" t="s">
        <v>323</v>
      </c>
      <c r="Q38" s="100" t="s">
        <v>452</v>
      </c>
      <c r="R38" s="103"/>
      <c r="S38" s="103"/>
      <c r="T38" s="97"/>
      <c r="U38" s="97"/>
      <c r="V38" s="97"/>
      <c r="W38" s="97"/>
      <c r="X38" s="97"/>
    </row>
    <row r="39">
      <c r="A39" s="106" t="s">
        <v>187</v>
      </c>
      <c r="B39" s="100" t="s">
        <v>427</v>
      </c>
      <c r="C39" s="100" t="s">
        <v>201</v>
      </c>
      <c r="D39" s="100" t="s">
        <v>339</v>
      </c>
      <c r="E39" s="100">
        <v>3.0</v>
      </c>
      <c r="F39" s="100" t="s">
        <v>450</v>
      </c>
      <c r="G39" s="100" t="s">
        <v>256</v>
      </c>
      <c r="H39" s="100" t="s">
        <v>429</v>
      </c>
      <c r="I39" s="107" t="s">
        <v>323</v>
      </c>
      <c r="J39" s="107" t="s">
        <v>323</v>
      </c>
      <c r="K39" s="107">
        <v>0.55</v>
      </c>
      <c r="L39" s="100">
        <v>2.0</v>
      </c>
      <c r="M39" s="100" t="s">
        <v>453</v>
      </c>
      <c r="N39" s="100" t="s">
        <v>326</v>
      </c>
      <c r="O39" s="108">
        <v>1.0</v>
      </c>
      <c r="P39" s="100" t="s">
        <v>323</v>
      </c>
      <c r="Q39" s="100" t="s">
        <v>454</v>
      </c>
      <c r="R39" s="103"/>
      <c r="S39" s="103"/>
      <c r="T39" s="97"/>
      <c r="U39" s="97"/>
      <c r="V39" s="97"/>
      <c r="W39" s="97"/>
      <c r="X39" s="97"/>
    </row>
    <row r="40">
      <c r="A40" s="106" t="s">
        <v>187</v>
      </c>
      <c r="B40" s="100" t="s">
        <v>427</v>
      </c>
      <c r="C40" s="100" t="s">
        <v>201</v>
      </c>
      <c r="D40" s="100" t="s">
        <v>339</v>
      </c>
      <c r="E40" s="100">
        <v>3.0</v>
      </c>
      <c r="F40" s="100" t="s">
        <v>450</v>
      </c>
      <c r="G40" s="100" t="s">
        <v>256</v>
      </c>
      <c r="H40" s="100" t="s">
        <v>429</v>
      </c>
      <c r="I40" s="107" t="s">
        <v>323</v>
      </c>
      <c r="J40" s="107" t="s">
        <v>323</v>
      </c>
      <c r="K40" s="107">
        <v>0.55</v>
      </c>
      <c r="L40" s="100">
        <v>3.0</v>
      </c>
      <c r="M40" s="100" t="s">
        <v>455</v>
      </c>
      <c r="N40" s="100" t="s">
        <v>329</v>
      </c>
      <c r="O40" s="108">
        <v>1.5</v>
      </c>
      <c r="P40" s="100" t="s">
        <v>323</v>
      </c>
      <c r="Q40" s="100" t="s">
        <v>456</v>
      </c>
      <c r="R40" s="103"/>
      <c r="S40" s="103"/>
      <c r="T40" s="97"/>
      <c r="U40" s="97"/>
      <c r="V40" s="97"/>
      <c r="W40" s="97"/>
      <c r="X40" s="97"/>
    </row>
    <row r="41">
      <c r="A41" s="106" t="s">
        <v>187</v>
      </c>
      <c r="B41" s="100" t="s">
        <v>427</v>
      </c>
      <c r="C41" s="100" t="s">
        <v>201</v>
      </c>
      <c r="D41" s="100" t="s">
        <v>339</v>
      </c>
      <c r="E41" s="100">
        <v>3.0</v>
      </c>
      <c r="F41" s="100" t="s">
        <v>450</v>
      </c>
      <c r="G41" s="100" t="s">
        <v>256</v>
      </c>
      <c r="H41" s="100" t="s">
        <v>429</v>
      </c>
      <c r="I41" s="107" t="s">
        <v>323</v>
      </c>
      <c r="J41" s="107" t="s">
        <v>323</v>
      </c>
      <c r="K41" s="107">
        <v>0.55</v>
      </c>
      <c r="L41" s="100">
        <v>4.0</v>
      </c>
      <c r="M41" s="100" t="s">
        <v>457</v>
      </c>
      <c r="N41" s="100" t="s">
        <v>333</v>
      </c>
      <c r="O41" s="108">
        <v>2.0</v>
      </c>
      <c r="P41" s="100" t="s">
        <v>323</v>
      </c>
      <c r="Q41" s="100" t="s">
        <v>458</v>
      </c>
      <c r="R41" s="103"/>
      <c r="S41" s="103"/>
      <c r="T41" s="97"/>
      <c r="U41" s="97"/>
      <c r="V41" s="97"/>
      <c r="W41" s="97"/>
      <c r="X41" s="97"/>
    </row>
    <row r="42">
      <c r="A42" s="106" t="s">
        <v>187</v>
      </c>
      <c r="B42" s="100" t="s">
        <v>427</v>
      </c>
      <c r="C42" s="100" t="s">
        <v>201</v>
      </c>
      <c r="D42" s="100" t="s">
        <v>339</v>
      </c>
      <c r="E42" s="100">
        <v>3.0</v>
      </c>
      <c r="F42" s="100" t="s">
        <v>450</v>
      </c>
      <c r="G42" s="100" t="s">
        <v>256</v>
      </c>
      <c r="H42" s="100" t="s">
        <v>429</v>
      </c>
      <c r="I42" s="107" t="s">
        <v>323</v>
      </c>
      <c r="J42" s="107" t="s">
        <v>323</v>
      </c>
      <c r="K42" s="107">
        <v>0.55</v>
      </c>
      <c r="L42" s="100">
        <v>5.0</v>
      </c>
      <c r="M42" s="100" t="s">
        <v>459</v>
      </c>
      <c r="N42" s="100" t="s">
        <v>337</v>
      </c>
      <c r="O42" s="108">
        <v>2.5</v>
      </c>
      <c r="P42" s="100" t="s">
        <v>323</v>
      </c>
      <c r="Q42" s="100" t="s">
        <v>460</v>
      </c>
      <c r="R42" s="103"/>
      <c r="S42" s="103"/>
      <c r="T42" s="97"/>
      <c r="U42" s="97"/>
      <c r="V42" s="97"/>
      <c r="W42" s="97"/>
      <c r="X42" s="97"/>
    </row>
    <row r="43">
      <c r="A43" s="106" t="s">
        <v>187</v>
      </c>
      <c r="B43" s="100" t="s">
        <v>427</v>
      </c>
      <c r="C43" s="100" t="s">
        <v>201</v>
      </c>
      <c r="D43" s="100" t="s">
        <v>339</v>
      </c>
      <c r="E43" s="100">
        <v>3.0</v>
      </c>
      <c r="F43" s="100" t="s">
        <v>450</v>
      </c>
      <c r="G43" s="100" t="s">
        <v>256</v>
      </c>
      <c r="H43" s="100" t="s">
        <v>429</v>
      </c>
      <c r="I43" s="107" t="s">
        <v>323</v>
      </c>
      <c r="J43" s="107" t="s">
        <v>323</v>
      </c>
      <c r="K43" s="107">
        <v>0.55</v>
      </c>
      <c r="L43" s="100">
        <v>6.0</v>
      </c>
      <c r="M43" s="100" t="s">
        <v>461</v>
      </c>
      <c r="N43" s="100" t="s">
        <v>341</v>
      </c>
      <c r="O43" s="108">
        <v>3.0</v>
      </c>
      <c r="P43" s="100" t="s">
        <v>323</v>
      </c>
      <c r="Q43" s="100" t="s">
        <v>462</v>
      </c>
      <c r="R43" s="103"/>
      <c r="S43" s="103"/>
      <c r="T43" s="97"/>
      <c r="U43" s="97"/>
      <c r="V43" s="97"/>
      <c r="W43" s="97"/>
      <c r="X43" s="97"/>
    </row>
    <row r="44">
      <c r="A44" s="106" t="s">
        <v>187</v>
      </c>
      <c r="B44" s="100" t="s">
        <v>427</v>
      </c>
      <c r="C44" s="100" t="s">
        <v>201</v>
      </c>
      <c r="D44" s="100" t="s">
        <v>339</v>
      </c>
      <c r="E44" s="100">
        <v>3.0</v>
      </c>
      <c r="F44" s="100" t="s">
        <v>450</v>
      </c>
      <c r="G44" s="100" t="s">
        <v>256</v>
      </c>
      <c r="H44" s="100" t="s">
        <v>429</v>
      </c>
      <c r="I44" s="107" t="s">
        <v>323</v>
      </c>
      <c r="J44" s="107" t="s">
        <v>323</v>
      </c>
      <c r="K44" s="107">
        <v>0.55</v>
      </c>
      <c r="L44" s="100">
        <v>7.0</v>
      </c>
      <c r="M44" s="100" t="s">
        <v>463</v>
      </c>
      <c r="N44" s="100" t="s">
        <v>345</v>
      </c>
      <c r="O44" s="108">
        <v>4.0</v>
      </c>
      <c r="P44" s="100" t="s">
        <v>323</v>
      </c>
      <c r="Q44" s="100" t="s">
        <v>464</v>
      </c>
      <c r="R44" s="103"/>
      <c r="S44" s="103"/>
      <c r="T44" s="97"/>
      <c r="U44" s="97"/>
      <c r="V44" s="97"/>
      <c r="W44" s="97"/>
      <c r="X44" s="97"/>
    </row>
    <row r="45">
      <c r="A45" s="125" t="s">
        <v>187</v>
      </c>
      <c r="B45" s="126" t="s">
        <v>427</v>
      </c>
      <c r="C45" s="126" t="s">
        <v>201</v>
      </c>
      <c r="D45" s="126" t="s">
        <v>339</v>
      </c>
      <c r="E45" s="126">
        <v>3.0</v>
      </c>
      <c r="F45" s="126" t="s">
        <v>450</v>
      </c>
      <c r="G45" s="126" t="s">
        <v>256</v>
      </c>
      <c r="H45" s="126" t="s">
        <v>429</v>
      </c>
      <c r="I45" s="127" t="s">
        <v>323</v>
      </c>
      <c r="J45" s="127" t="s">
        <v>323</v>
      </c>
      <c r="K45" s="127">
        <v>0.55</v>
      </c>
      <c r="L45" s="126">
        <v>8.0</v>
      </c>
      <c r="M45" s="126" t="s">
        <v>465</v>
      </c>
      <c r="N45" s="126" t="s">
        <v>349</v>
      </c>
      <c r="O45" s="128">
        <v>5.0</v>
      </c>
      <c r="P45" s="126" t="s">
        <v>323</v>
      </c>
      <c r="Q45" s="126" t="s">
        <v>466</v>
      </c>
      <c r="R45" s="103"/>
      <c r="S45" s="103"/>
      <c r="T45" s="97"/>
      <c r="U45" s="97"/>
      <c r="V45" s="97"/>
      <c r="W45" s="97"/>
      <c r="X45" s="97"/>
    </row>
    <row r="46">
      <c r="A46" s="106" t="s">
        <v>187</v>
      </c>
      <c r="B46" s="110" t="s">
        <v>427</v>
      </c>
      <c r="C46" s="100" t="s">
        <v>201</v>
      </c>
      <c r="D46" s="110" t="s">
        <v>339</v>
      </c>
      <c r="E46" s="110">
        <v>4.0</v>
      </c>
      <c r="F46" s="100" t="s">
        <v>467</v>
      </c>
      <c r="G46" s="100" t="s">
        <v>269</v>
      </c>
      <c r="H46" s="100" t="s">
        <v>447</v>
      </c>
      <c r="I46" s="118" t="s">
        <v>323</v>
      </c>
      <c r="J46" s="119" t="s">
        <v>323</v>
      </c>
      <c r="K46" s="119" t="s">
        <v>323</v>
      </c>
      <c r="L46" s="120">
        <v>1.0</v>
      </c>
      <c r="M46" s="120" t="s">
        <v>468</v>
      </c>
      <c r="N46" s="120" t="s">
        <v>355</v>
      </c>
      <c r="O46" s="121" t="s">
        <v>323</v>
      </c>
      <c r="P46" s="100" t="s">
        <v>323</v>
      </c>
      <c r="Q46" s="100" t="s">
        <v>469</v>
      </c>
      <c r="R46" s="103"/>
      <c r="S46" s="103"/>
      <c r="T46" s="97"/>
      <c r="U46" s="97"/>
      <c r="V46" s="97"/>
      <c r="W46" s="97"/>
      <c r="X46" s="97"/>
    </row>
    <row r="47">
      <c r="A47" s="109" t="s">
        <v>187</v>
      </c>
      <c r="B47" s="129" t="s">
        <v>470</v>
      </c>
      <c r="C47" s="110" t="s">
        <v>198</v>
      </c>
      <c r="D47" s="129" t="s">
        <v>343</v>
      </c>
      <c r="E47" s="129">
        <v>1.0</v>
      </c>
      <c r="F47" s="110" t="s">
        <v>471</v>
      </c>
      <c r="G47" s="110" t="s">
        <v>218</v>
      </c>
      <c r="H47" s="110" t="s">
        <v>472</v>
      </c>
      <c r="I47" s="130">
        <v>10.3</v>
      </c>
      <c r="J47" s="131">
        <v>-8.1</v>
      </c>
      <c r="K47" s="131">
        <v>3.0</v>
      </c>
      <c r="L47" s="132">
        <v>1.0</v>
      </c>
      <c r="M47" s="132" t="s">
        <v>473</v>
      </c>
      <c r="N47" s="133" t="s">
        <v>375</v>
      </c>
      <c r="O47" s="98">
        <v>2.7</v>
      </c>
      <c r="P47" s="100" t="s">
        <v>474</v>
      </c>
      <c r="Q47" s="100" t="s">
        <v>475</v>
      </c>
      <c r="R47" s="103"/>
      <c r="S47" s="103"/>
      <c r="T47" s="97"/>
      <c r="U47" s="97"/>
      <c r="V47" s="97"/>
      <c r="W47" s="97"/>
      <c r="X47" s="97"/>
    </row>
    <row r="48">
      <c r="A48" s="98" t="s">
        <v>187</v>
      </c>
      <c r="B48" s="99" t="s">
        <v>470</v>
      </c>
      <c r="C48" s="99" t="s">
        <v>198</v>
      </c>
      <c r="D48" s="99" t="s">
        <v>343</v>
      </c>
      <c r="E48" s="99">
        <v>1.0</v>
      </c>
      <c r="F48" s="99" t="s">
        <v>471</v>
      </c>
      <c r="G48" s="99" t="s">
        <v>218</v>
      </c>
      <c r="H48" s="99" t="s">
        <v>472</v>
      </c>
      <c r="I48" s="134">
        <v>10.3</v>
      </c>
      <c r="J48" s="135">
        <v>-8.1</v>
      </c>
      <c r="K48" s="136">
        <v>3.0</v>
      </c>
      <c r="L48" s="137">
        <v>2.0</v>
      </c>
      <c r="M48" s="137" t="s">
        <v>476</v>
      </c>
      <c r="N48" s="137" t="s">
        <v>380</v>
      </c>
      <c r="O48" s="106">
        <v>4.0</v>
      </c>
      <c r="P48" s="100" t="s">
        <v>477</v>
      </c>
      <c r="Q48" s="100" t="s">
        <v>478</v>
      </c>
      <c r="R48" s="103"/>
      <c r="S48" s="103"/>
      <c r="T48" s="97"/>
      <c r="U48" s="97"/>
      <c r="V48" s="97"/>
      <c r="W48" s="97"/>
      <c r="X48" s="97"/>
    </row>
    <row r="49">
      <c r="A49" s="106" t="s">
        <v>187</v>
      </c>
      <c r="B49" s="100" t="s">
        <v>470</v>
      </c>
      <c r="C49" s="100" t="s">
        <v>198</v>
      </c>
      <c r="D49" s="100" t="s">
        <v>343</v>
      </c>
      <c r="E49" s="100">
        <v>1.0</v>
      </c>
      <c r="F49" s="100" t="s">
        <v>471</v>
      </c>
      <c r="G49" s="100" t="s">
        <v>218</v>
      </c>
      <c r="H49" s="100" t="s">
        <v>472</v>
      </c>
      <c r="I49" s="138">
        <v>10.3</v>
      </c>
      <c r="J49" s="139">
        <v>-8.1</v>
      </c>
      <c r="K49" s="139">
        <v>3.0</v>
      </c>
      <c r="L49" s="137">
        <v>3.0</v>
      </c>
      <c r="M49" s="137" t="s">
        <v>479</v>
      </c>
      <c r="N49" s="137" t="s">
        <v>384</v>
      </c>
      <c r="O49" s="106">
        <v>6.0</v>
      </c>
      <c r="P49" s="100" t="s">
        <v>480</v>
      </c>
      <c r="Q49" s="100" t="s">
        <v>481</v>
      </c>
      <c r="R49" s="103"/>
      <c r="S49" s="103"/>
      <c r="T49" s="97"/>
      <c r="U49" s="97"/>
      <c r="V49" s="97"/>
      <c r="W49" s="97"/>
      <c r="X49" s="97"/>
    </row>
    <row r="50">
      <c r="A50" s="106" t="s">
        <v>187</v>
      </c>
      <c r="B50" s="100" t="s">
        <v>470</v>
      </c>
      <c r="C50" s="100" t="s">
        <v>198</v>
      </c>
      <c r="D50" s="100" t="s">
        <v>343</v>
      </c>
      <c r="E50" s="100">
        <v>1.0</v>
      </c>
      <c r="F50" s="100" t="s">
        <v>471</v>
      </c>
      <c r="G50" s="100" t="s">
        <v>218</v>
      </c>
      <c r="H50" s="100" t="s">
        <v>472</v>
      </c>
      <c r="I50" s="138">
        <v>10.3</v>
      </c>
      <c r="J50" s="139">
        <v>-8.1</v>
      </c>
      <c r="K50" s="139">
        <v>3.0</v>
      </c>
      <c r="L50" s="137">
        <v>4.0</v>
      </c>
      <c r="M50" s="137" t="s">
        <v>482</v>
      </c>
      <c r="N50" s="137" t="s">
        <v>388</v>
      </c>
      <c r="O50" s="106">
        <v>8.0</v>
      </c>
      <c r="P50" s="100" t="s">
        <v>483</v>
      </c>
      <c r="Q50" s="100" t="s">
        <v>484</v>
      </c>
      <c r="R50" s="103"/>
      <c r="S50" s="103"/>
      <c r="T50" s="97"/>
      <c r="U50" s="97"/>
      <c r="V50" s="97"/>
      <c r="W50" s="97"/>
      <c r="X50" s="97"/>
    </row>
    <row r="51">
      <c r="A51" s="109" t="s">
        <v>187</v>
      </c>
      <c r="B51" s="110" t="s">
        <v>470</v>
      </c>
      <c r="C51" s="110" t="s">
        <v>198</v>
      </c>
      <c r="D51" s="110" t="s">
        <v>343</v>
      </c>
      <c r="E51" s="110">
        <v>1.0</v>
      </c>
      <c r="F51" s="110" t="s">
        <v>471</v>
      </c>
      <c r="G51" s="110" t="s">
        <v>218</v>
      </c>
      <c r="H51" s="110" t="s">
        <v>472</v>
      </c>
      <c r="I51" s="118">
        <v>10.3</v>
      </c>
      <c r="J51" s="119">
        <v>-8.1</v>
      </c>
      <c r="K51" s="119">
        <v>3.0</v>
      </c>
      <c r="L51" s="120">
        <v>5.0</v>
      </c>
      <c r="M51" s="120" t="s">
        <v>485</v>
      </c>
      <c r="N51" s="120" t="s">
        <v>392</v>
      </c>
      <c r="O51" s="109">
        <v>10.0</v>
      </c>
      <c r="P51" s="110" t="s">
        <v>483</v>
      </c>
      <c r="Q51" s="110" t="s">
        <v>486</v>
      </c>
      <c r="R51" s="103"/>
      <c r="S51" s="103"/>
      <c r="T51" s="97"/>
      <c r="U51" s="97"/>
      <c r="V51" s="97"/>
      <c r="W51" s="97"/>
      <c r="X51" s="97"/>
    </row>
    <row r="52">
      <c r="A52" s="98" t="s">
        <v>187</v>
      </c>
      <c r="B52" s="113" t="s">
        <v>470</v>
      </c>
      <c r="C52" s="113" t="s">
        <v>198</v>
      </c>
      <c r="D52" s="113" t="s">
        <v>343</v>
      </c>
      <c r="E52" s="113">
        <v>2.0</v>
      </c>
      <c r="F52" s="113" t="s">
        <v>487</v>
      </c>
      <c r="G52" s="113" t="s">
        <v>213</v>
      </c>
      <c r="H52" s="113" t="s">
        <v>488</v>
      </c>
      <c r="I52" s="114">
        <v>10.7</v>
      </c>
      <c r="J52" s="115">
        <v>-10.9</v>
      </c>
      <c r="K52" s="115">
        <v>3.0</v>
      </c>
      <c r="L52" s="116">
        <v>1.0</v>
      </c>
      <c r="M52" s="116" t="s">
        <v>489</v>
      </c>
      <c r="N52" s="116" t="s">
        <v>375</v>
      </c>
      <c r="O52" s="98">
        <v>2.7</v>
      </c>
      <c r="P52" s="113" t="s">
        <v>474</v>
      </c>
      <c r="Q52" s="113" t="s">
        <v>490</v>
      </c>
      <c r="R52" s="103"/>
      <c r="S52" s="103"/>
      <c r="T52" s="97"/>
      <c r="U52" s="97"/>
      <c r="V52" s="97"/>
      <c r="W52" s="97"/>
      <c r="X52" s="97"/>
    </row>
    <row r="53">
      <c r="A53" s="106" t="s">
        <v>187</v>
      </c>
      <c r="B53" s="100" t="s">
        <v>470</v>
      </c>
      <c r="C53" s="100" t="s">
        <v>198</v>
      </c>
      <c r="D53" s="100" t="s">
        <v>343</v>
      </c>
      <c r="E53" s="100">
        <v>2.0</v>
      </c>
      <c r="F53" s="100" t="s">
        <v>487</v>
      </c>
      <c r="G53" s="100" t="s">
        <v>213</v>
      </c>
      <c r="H53" s="100" t="s">
        <v>488</v>
      </c>
      <c r="I53" s="138">
        <v>10.7</v>
      </c>
      <c r="J53" s="139">
        <v>-10.9</v>
      </c>
      <c r="K53" s="139">
        <v>3.0</v>
      </c>
      <c r="L53" s="137">
        <v>2.0</v>
      </c>
      <c r="M53" s="137" t="s">
        <v>491</v>
      </c>
      <c r="N53" s="137" t="s">
        <v>380</v>
      </c>
      <c r="O53" s="106">
        <v>4.0</v>
      </c>
      <c r="P53" s="100" t="s">
        <v>477</v>
      </c>
      <c r="Q53" s="100" t="s">
        <v>492</v>
      </c>
      <c r="R53" s="103"/>
      <c r="S53" s="103"/>
      <c r="T53" s="97"/>
      <c r="U53" s="97"/>
      <c r="V53" s="97"/>
      <c r="W53" s="97"/>
      <c r="X53" s="97"/>
    </row>
    <row r="54">
      <c r="A54" s="106" t="s">
        <v>187</v>
      </c>
      <c r="B54" s="100" t="s">
        <v>470</v>
      </c>
      <c r="C54" s="100" t="s">
        <v>198</v>
      </c>
      <c r="D54" s="100" t="s">
        <v>343</v>
      </c>
      <c r="E54" s="100">
        <v>2.0</v>
      </c>
      <c r="F54" s="100" t="s">
        <v>487</v>
      </c>
      <c r="G54" s="100" t="s">
        <v>213</v>
      </c>
      <c r="H54" s="100" t="s">
        <v>488</v>
      </c>
      <c r="I54" s="138">
        <v>10.7</v>
      </c>
      <c r="J54" s="139">
        <v>-10.9</v>
      </c>
      <c r="K54" s="139">
        <v>3.0</v>
      </c>
      <c r="L54" s="137">
        <v>3.0</v>
      </c>
      <c r="M54" s="137" t="s">
        <v>493</v>
      </c>
      <c r="N54" s="137" t="s">
        <v>384</v>
      </c>
      <c r="O54" s="106">
        <v>6.0</v>
      </c>
      <c r="P54" s="100" t="s">
        <v>480</v>
      </c>
      <c r="Q54" s="100" t="s">
        <v>494</v>
      </c>
      <c r="R54" s="103"/>
      <c r="S54" s="103"/>
      <c r="T54" s="97"/>
      <c r="U54" s="97"/>
      <c r="V54" s="97"/>
      <c r="W54" s="97"/>
      <c r="X54" s="97"/>
    </row>
    <row r="55">
      <c r="A55" s="106" t="s">
        <v>187</v>
      </c>
      <c r="B55" s="100" t="s">
        <v>470</v>
      </c>
      <c r="C55" s="100" t="s">
        <v>198</v>
      </c>
      <c r="D55" s="100" t="s">
        <v>343</v>
      </c>
      <c r="E55" s="100">
        <v>2.0</v>
      </c>
      <c r="F55" s="100" t="s">
        <v>487</v>
      </c>
      <c r="G55" s="100" t="s">
        <v>213</v>
      </c>
      <c r="H55" s="100" t="s">
        <v>488</v>
      </c>
      <c r="I55" s="138">
        <v>10.7</v>
      </c>
      <c r="J55" s="139">
        <v>-10.9</v>
      </c>
      <c r="K55" s="139">
        <v>3.0</v>
      </c>
      <c r="L55" s="137">
        <v>4.0</v>
      </c>
      <c r="M55" s="137" t="s">
        <v>495</v>
      </c>
      <c r="N55" s="137" t="s">
        <v>388</v>
      </c>
      <c r="O55" s="106">
        <v>8.0</v>
      </c>
      <c r="P55" s="100" t="s">
        <v>483</v>
      </c>
      <c r="Q55" s="100" t="s">
        <v>496</v>
      </c>
      <c r="R55" s="103"/>
      <c r="S55" s="103"/>
      <c r="T55" s="97"/>
      <c r="U55" s="97"/>
      <c r="V55" s="97"/>
      <c r="W55" s="97"/>
      <c r="X55" s="97"/>
    </row>
    <row r="56">
      <c r="A56" s="109" t="s">
        <v>187</v>
      </c>
      <c r="B56" s="110" t="s">
        <v>470</v>
      </c>
      <c r="C56" s="110" t="s">
        <v>198</v>
      </c>
      <c r="D56" s="110" t="s">
        <v>343</v>
      </c>
      <c r="E56" s="110">
        <v>2.0</v>
      </c>
      <c r="F56" s="110" t="s">
        <v>487</v>
      </c>
      <c r="G56" s="110" t="s">
        <v>213</v>
      </c>
      <c r="H56" s="110" t="s">
        <v>488</v>
      </c>
      <c r="I56" s="118">
        <v>10.7</v>
      </c>
      <c r="J56" s="119">
        <v>-10.9</v>
      </c>
      <c r="K56" s="119">
        <v>3.0</v>
      </c>
      <c r="L56" s="120">
        <v>5.0</v>
      </c>
      <c r="M56" s="120" t="s">
        <v>497</v>
      </c>
      <c r="N56" s="120" t="s">
        <v>392</v>
      </c>
      <c r="O56" s="109">
        <v>10.0</v>
      </c>
      <c r="P56" s="110" t="s">
        <v>483</v>
      </c>
      <c r="Q56" s="110" t="s">
        <v>498</v>
      </c>
      <c r="R56" s="103"/>
      <c r="S56" s="103"/>
      <c r="T56" s="97"/>
      <c r="U56" s="97"/>
      <c r="V56" s="97"/>
      <c r="W56" s="97"/>
      <c r="X56" s="97"/>
    </row>
    <row r="57">
      <c r="A57" s="98" t="s">
        <v>187</v>
      </c>
      <c r="B57" s="113" t="s">
        <v>470</v>
      </c>
      <c r="C57" s="113" t="s">
        <v>198</v>
      </c>
      <c r="D57" s="113" t="s">
        <v>343</v>
      </c>
      <c r="E57" s="113">
        <v>3.0</v>
      </c>
      <c r="F57" s="113" t="s">
        <v>499</v>
      </c>
      <c r="G57" s="113" t="s">
        <v>223</v>
      </c>
      <c r="H57" s="113" t="s">
        <v>500</v>
      </c>
      <c r="I57" s="114">
        <v>10.0</v>
      </c>
      <c r="J57" s="115">
        <v>-11.7</v>
      </c>
      <c r="K57" s="115">
        <v>0.5</v>
      </c>
      <c r="L57" s="116">
        <v>1.0</v>
      </c>
      <c r="M57" s="116" t="s">
        <v>501</v>
      </c>
      <c r="N57" s="116" t="s">
        <v>371</v>
      </c>
      <c r="O57" s="98">
        <v>1.8</v>
      </c>
      <c r="P57" s="140" t="s">
        <v>502</v>
      </c>
      <c r="Q57" s="113" t="s">
        <v>503</v>
      </c>
      <c r="R57" s="103"/>
      <c r="S57" s="103"/>
      <c r="T57" s="97"/>
      <c r="U57" s="97"/>
      <c r="V57" s="97"/>
      <c r="W57" s="97"/>
      <c r="X57" s="97"/>
    </row>
    <row r="58">
      <c r="A58" s="106" t="s">
        <v>187</v>
      </c>
      <c r="B58" s="100" t="s">
        <v>470</v>
      </c>
      <c r="C58" s="100" t="s">
        <v>198</v>
      </c>
      <c r="D58" s="100" t="s">
        <v>343</v>
      </c>
      <c r="E58" s="100">
        <v>3.0</v>
      </c>
      <c r="F58" s="100" t="s">
        <v>499</v>
      </c>
      <c r="G58" s="100" t="s">
        <v>223</v>
      </c>
      <c r="H58" s="100" t="s">
        <v>500</v>
      </c>
      <c r="I58" s="138">
        <v>10.0</v>
      </c>
      <c r="J58" s="139">
        <v>-11.7</v>
      </c>
      <c r="K58" s="139">
        <v>0.5</v>
      </c>
      <c r="L58" s="137">
        <v>2.0</v>
      </c>
      <c r="M58" s="137" t="s">
        <v>504</v>
      </c>
      <c r="N58" s="137" t="s">
        <v>375</v>
      </c>
      <c r="O58" s="106">
        <v>2.7</v>
      </c>
      <c r="P58" s="100" t="s">
        <v>474</v>
      </c>
      <c r="Q58" s="100" t="s">
        <v>505</v>
      </c>
      <c r="R58" s="103"/>
      <c r="S58" s="103"/>
      <c r="T58" s="97"/>
      <c r="U58" s="97"/>
      <c r="V58" s="97"/>
      <c r="W58" s="97"/>
      <c r="X58" s="97"/>
    </row>
    <row r="59">
      <c r="A59" s="106" t="s">
        <v>187</v>
      </c>
      <c r="B59" s="100" t="s">
        <v>470</v>
      </c>
      <c r="C59" s="100" t="s">
        <v>198</v>
      </c>
      <c r="D59" s="100" t="s">
        <v>343</v>
      </c>
      <c r="E59" s="100">
        <v>3.0</v>
      </c>
      <c r="F59" s="100" t="s">
        <v>499</v>
      </c>
      <c r="G59" s="100" t="s">
        <v>223</v>
      </c>
      <c r="H59" s="100" t="s">
        <v>500</v>
      </c>
      <c r="I59" s="138">
        <v>10.0</v>
      </c>
      <c r="J59" s="139">
        <v>-11.7</v>
      </c>
      <c r="K59" s="139">
        <v>0.5</v>
      </c>
      <c r="L59" s="137">
        <v>3.0</v>
      </c>
      <c r="M59" s="137" t="s">
        <v>506</v>
      </c>
      <c r="N59" s="137" t="s">
        <v>380</v>
      </c>
      <c r="O59" s="106">
        <v>4.0</v>
      </c>
      <c r="P59" s="100" t="s">
        <v>477</v>
      </c>
      <c r="Q59" s="100" t="s">
        <v>507</v>
      </c>
      <c r="R59" s="103"/>
      <c r="S59" s="103"/>
      <c r="T59" s="97"/>
      <c r="U59" s="97"/>
      <c r="V59" s="97"/>
      <c r="W59" s="97"/>
      <c r="X59" s="97"/>
    </row>
    <row r="60">
      <c r="A60" s="106" t="s">
        <v>187</v>
      </c>
      <c r="B60" s="100" t="s">
        <v>470</v>
      </c>
      <c r="C60" s="100" t="s">
        <v>198</v>
      </c>
      <c r="D60" s="100" t="s">
        <v>343</v>
      </c>
      <c r="E60" s="100">
        <v>3.0</v>
      </c>
      <c r="F60" s="100" t="s">
        <v>499</v>
      </c>
      <c r="G60" s="100" t="s">
        <v>223</v>
      </c>
      <c r="H60" s="100" t="s">
        <v>500</v>
      </c>
      <c r="I60" s="138">
        <v>10.0</v>
      </c>
      <c r="J60" s="139">
        <v>-11.7</v>
      </c>
      <c r="K60" s="139">
        <v>0.5</v>
      </c>
      <c r="L60" s="137">
        <v>4.0</v>
      </c>
      <c r="M60" s="137" t="s">
        <v>508</v>
      </c>
      <c r="N60" s="137" t="s">
        <v>384</v>
      </c>
      <c r="O60" s="106">
        <v>6.0</v>
      </c>
      <c r="P60" s="100" t="s">
        <v>480</v>
      </c>
      <c r="Q60" s="100" t="s">
        <v>509</v>
      </c>
      <c r="R60" s="103"/>
      <c r="S60" s="103"/>
      <c r="T60" s="97"/>
      <c r="U60" s="97"/>
      <c r="V60" s="97"/>
      <c r="W60" s="97"/>
      <c r="X60" s="97"/>
    </row>
    <row r="61">
      <c r="A61" s="106" t="s">
        <v>187</v>
      </c>
      <c r="B61" s="100" t="s">
        <v>470</v>
      </c>
      <c r="C61" s="100" t="s">
        <v>198</v>
      </c>
      <c r="D61" s="100" t="s">
        <v>343</v>
      </c>
      <c r="E61" s="100">
        <v>3.0</v>
      </c>
      <c r="F61" s="100" t="s">
        <v>499</v>
      </c>
      <c r="G61" s="100" t="s">
        <v>223</v>
      </c>
      <c r="H61" s="100" t="s">
        <v>500</v>
      </c>
      <c r="I61" s="138">
        <v>10.0</v>
      </c>
      <c r="J61" s="139">
        <v>-11.7</v>
      </c>
      <c r="K61" s="139">
        <v>0.5</v>
      </c>
      <c r="L61" s="137">
        <v>5.0</v>
      </c>
      <c r="M61" s="137" t="s">
        <v>510</v>
      </c>
      <c r="N61" s="137" t="s">
        <v>388</v>
      </c>
      <c r="O61" s="106">
        <v>8.0</v>
      </c>
      <c r="P61" s="100" t="s">
        <v>511</v>
      </c>
      <c r="Q61" s="100" t="s">
        <v>512</v>
      </c>
      <c r="R61" s="103"/>
      <c r="S61" s="103"/>
      <c r="T61" s="97"/>
      <c r="U61" s="97"/>
      <c r="V61" s="97"/>
      <c r="W61" s="97"/>
      <c r="X61" s="97"/>
    </row>
    <row r="62">
      <c r="A62" s="109" t="s">
        <v>187</v>
      </c>
      <c r="B62" s="110" t="s">
        <v>513</v>
      </c>
      <c r="C62" s="110" t="s">
        <v>206</v>
      </c>
      <c r="D62" s="110" t="s">
        <v>347</v>
      </c>
      <c r="E62" s="110">
        <v>1.0</v>
      </c>
      <c r="F62" s="100" t="s">
        <v>514</v>
      </c>
      <c r="G62" s="100" t="s">
        <v>218</v>
      </c>
      <c r="H62" s="100" t="s">
        <v>515</v>
      </c>
      <c r="I62" s="138">
        <v>21.5</v>
      </c>
      <c r="J62" s="139">
        <v>-8.7</v>
      </c>
      <c r="K62" s="139">
        <v>2.35</v>
      </c>
      <c r="L62" s="137">
        <v>1.0</v>
      </c>
      <c r="M62" s="137" t="s">
        <v>516</v>
      </c>
      <c r="N62" s="137" t="s">
        <v>375</v>
      </c>
      <c r="O62" s="106">
        <v>2.7</v>
      </c>
      <c r="P62" s="100" t="s">
        <v>474</v>
      </c>
      <c r="Q62" s="100" t="s">
        <v>517</v>
      </c>
      <c r="R62" s="103"/>
      <c r="S62" s="103"/>
      <c r="T62" s="97"/>
      <c r="U62" s="97"/>
      <c r="V62" s="97"/>
      <c r="W62" s="97"/>
      <c r="X62" s="97"/>
    </row>
    <row r="63">
      <c r="A63" s="98" t="s">
        <v>187</v>
      </c>
      <c r="B63" s="99" t="s">
        <v>513</v>
      </c>
      <c r="C63" s="99" t="s">
        <v>206</v>
      </c>
      <c r="D63" s="99" t="s">
        <v>347</v>
      </c>
      <c r="E63" s="99">
        <v>1.0</v>
      </c>
      <c r="F63" s="100" t="s">
        <v>514</v>
      </c>
      <c r="G63" s="100" t="s">
        <v>218</v>
      </c>
      <c r="H63" s="100" t="s">
        <v>515</v>
      </c>
      <c r="I63" s="138">
        <v>21.5</v>
      </c>
      <c r="J63" s="139">
        <v>-8.7</v>
      </c>
      <c r="K63" s="139">
        <v>2.35</v>
      </c>
      <c r="L63" s="137">
        <v>2.0</v>
      </c>
      <c r="M63" s="137" t="s">
        <v>518</v>
      </c>
      <c r="N63" s="137" t="s">
        <v>380</v>
      </c>
      <c r="O63" s="106">
        <v>4.0</v>
      </c>
      <c r="P63" s="100" t="s">
        <v>483</v>
      </c>
      <c r="Q63" s="100" t="s">
        <v>519</v>
      </c>
      <c r="R63" s="103"/>
      <c r="S63" s="103"/>
      <c r="T63" s="97"/>
      <c r="U63" s="97"/>
      <c r="V63" s="97"/>
      <c r="W63" s="97"/>
      <c r="X63" s="97"/>
    </row>
    <row r="64">
      <c r="A64" s="106" t="s">
        <v>187</v>
      </c>
      <c r="B64" s="100" t="s">
        <v>513</v>
      </c>
      <c r="C64" s="100" t="s">
        <v>206</v>
      </c>
      <c r="D64" s="100" t="s">
        <v>347</v>
      </c>
      <c r="E64" s="100">
        <v>1.0</v>
      </c>
      <c r="F64" s="100" t="s">
        <v>514</v>
      </c>
      <c r="G64" s="100" t="s">
        <v>218</v>
      </c>
      <c r="H64" s="100" t="s">
        <v>515</v>
      </c>
      <c r="I64" s="138">
        <v>21.5</v>
      </c>
      <c r="J64" s="139">
        <v>-8.7</v>
      </c>
      <c r="K64" s="139">
        <v>2.35</v>
      </c>
      <c r="L64" s="137">
        <v>3.0</v>
      </c>
      <c r="M64" s="137" t="s">
        <v>520</v>
      </c>
      <c r="N64" s="137" t="s">
        <v>384</v>
      </c>
      <c r="O64" s="106">
        <v>6.0</v>
      </c>
      <c r="P64" s="100" t="s">
        <v>480</v>
      </c>
      <c r="Q64" s="100" t="s">
        <v>521</v>
      </c>
      <c r="R64" s="103"/>
      <c r="S64" s="103"/>
      <c r="T64" s="97"/>
      <c r="U64" s="97"/>
      <c r="V64" s="97"/>
      <c r="W64" s="97"/>
      <c r="X64" s="97"/>
    </row>
    <row r="65">
      <c r="A65" s="106" t="s">
        <v>187</v>
      </c>
      <c r="B65" s="100" t="s">
        <v>513</v>
      </c>
      <c r="C65" s="100" t="s">
        <v>206</v>
      </c>
      <c r="D65" s="100" t="s">
        <v>347</v>
      </c>
      <c r="E65" s="100">
        <v>1.0</v>
      </c>
      <c r="F65" s="100" t="s">
        <v>514</v>
      </c>
      <c r="G65" s="100" t="s">
        <v>218</v>
      </c>
      <c r="H65" s="100" t="s">
        <v>515</v>
      </c>
      <c r="I65" s="138">
        <v>21.5</v>
      </c>
      <c r="J65" s="139">
        <v>-8.7</v>
      </c>
      <c r="K65" s="139">
        <v>2.35</v>
      </c>
      <c r="L65" s="137">
        <v>4.0</v>
      </c>
      <c r="M65" s="137" t="s">
        <v>522</v>
      </c>
      <c r="N65" s="137" t="s">
        <v>388</v>
      </c>
      <c r="O65" s="106">
        <v>8.0</v>
      </c>
      <c r="P65" s="100" t="s">
        <v>511</v>
      </c>
      <c r="Q65" s="100" t="s">
        <v>523</v>
      </c>
      <c r="R65" s="103"/>
      <c r="S65" s="103"/>
      <c r="T65" s="97"/>
      <c r="U65" s="97"/>
      <c r="V65" s="97"/>
      <c r="W65" s="97"/>
      <c r="X65" s="97"/>
    </row>
    <row r="66">
      <c r="A66" s="109" t="s">
        <v>187</v>
      </c>
      <c r="B66" s="110" t="s">
        <v>513</v>
      </c>
      <c r="C66" s="100" t="s">
        <v>206</v>
      </c>
      <c r="D66" s="100" t="s">
        <v>347</v>
      </c>
      <c r="E66" s="110">
        <v>1.0</v>
      </c>
      <c r="F66" s="110" t="s">
        <v>514</v>
      </c>
      <c r="G66" s="110" t="s">
        <v>218</v>
      </c>
      <c r="H66" s="110" t="s">
        <v>515</v>
      </c>
      <c r="I66" s="118">
        <v>21.5</v>
      </c>
      <c r="J66" s="119">
        <v>-8.7</v>
      </c>
      <c r="K66" s="119">
        <v>2.35</v>
      </c>
      <c r="L66" s="120">
        <v>5.0</v>
      </c>
      <c r="M66" s="120" t="s">
        <v>524</v>
      </c>
      <c r="N66" s="120" t="s">
        <v>392</v>
      </c>
      <c r="O66" s="109">
        <v>10.0</v>
      </c>
      <c r="P66" s="110" t="s">
        <v>483</v>
      </c>
      <c r="Q66" s="110" t="s">
        <v>525</v>
      </c>
      <c r="R66" s="103"/>
      <c r="S66" s="103"/>
      <c r="T66" s="97"/>
      <c r="U66" s="97"/>
      <c r="V66" s="97"/>
      <c r="W66" s="97"/>
      <c r="X66" s="97"/>
    </row>
    <row r="67">
      <c r="A67" s="98" t="s">
        <v>187</v>
      </c>
      <c r="B67" s="113" t="s">
        <v>513</v>
      </c>
      <c r="C67" s="113" t="s">
        <v>206</v>
      </c>
      <c r="D67" s="113" t="s">
        <v>347</v>
      </c>
      <c r="E67" s="113">
        <v>2.0</v>
      </c>
      <c r="F67" s="113" t="s">
        <v>526</v>
      </c>
      <c r="G67" s="113" t="s">
        <v>213</v>
      </c>
      <c r="H67" s="113" t="s">
        <v>527</v>
      </c>
      <c r="I67" s="114">
        <v>21.7</v>
      </c>
      <c r="J67" s="115">
        <v>-11.1</v>
      </c>
      <c r="K67" s="115">
        <v>2.35</v>
      </c>
      <c r="L67" s="116">
        <v>1.0</v>
      </c>
      <c r="M67" s="116" t="s">
        <v>528</v>
      </c>
      <c r="N67" s="116" t="s">
        <v>375</v>
      </c>
      <c r="O67" s="98">
        <v>2.7</v>
      </c>
      <c r="P67" s="113" t="s">
        <v>474</v>
      </c>
      <c r="Q67" s="113" t="s">
        <v>529</v>
      </c>
      <c r="R67" s="103"/>
      <c r="S67" s="103"/>
      <c r="T67" s="97"/>
      <c r="U67" s="97"/>
      <c r="V67" s="97"/>
      <c r="W67" s="97"/>
      <c r="X67" s="97"/>
    </row>
    <row r="68">
      <c r="A68" s="106" t="s">
        <v>187</v>
      </c>
      <c r="B68" s="100" t="s">
        <v>513</v>
      </c>
      <c r="C68" s="100" t="s">
        <v>206</v>
      </c>
      <c r="D68" s="100" t="s">
        <v>347</v>
      </c>
      <c r="E68" s="100">
        <v>2.0</v>
      </c>
      <c r="F68" s="100" t="s">
        <v>526</v>
      </c>
      <c r="G68" s="100" t="s">
        <v>213</v>
      </c>
      <c r="H68" s="100" t="s">
        <v>527</v>
      </c>
      <c r="I68" s="138">
        <v>21.7</v>
      </c>
      <c r="J68" s="139">
        <v>-11.1</v>
      </c>
      <c r="K68" s="139">
        <v>2.35</v>
      </c>
      <c r="L68" s="137">
        <v>2.0</v>
      </c>
      <c r="M68" s="137" t="s">
        <v>530</v>
      </c>
      <c r="N68" s="137" t="s">
        <v>380</v>
      </c>
      <c r="O68" s="106">
        <v>4.0</v>
      </c>
      <c r="P68" s="100" t="s">
        <v>483</v>
      </c>
      <c r="Q68" s="100" t="s">
        <v>531</v>
      </c>
      <c r="R68" s="103"/>
      <c r="S68" s="103"/>
      <c r="T68" s="97"/>
      <c r="U68" s="97"/>
      <c r="V68" s="97"/>
      <c r="W68" s="97"/>
      <c r="X68" s="97"/>
    </row>
    <row r="69">
      <c r="A69" s="106" t="s">
        <v>187</v>
      </c>
      <c r="B69" s="100" t="s">
        <v>513</v>
      </c>
      <c r="C69" s="100" t="s">
        <v>206</v>
      </c>
      <c r="D69" s="100" t="s">
        <v>347</v>
      </c>
      <c r="E69" s="100">
        <v>2.0</v>
      </c>
      <c r="F69" s="100" t="s">
        <v>526</v>
      </c>
      <c r="G69" s="100" t="s">
        <v>213</v>
      </c>
      <c r="H69" s="100" t="s">
        <v>527</v>
      </c>
      <c r="I69" s="138">
        <v>21.7</v>
      </c>
      <c r="J69" s="139">
        <v>-11.1</v>
      </c>
      <c r="K69" s="139">
        <v>2.35</v>
      </c>
      <c r="L69" s="137">
        <v>3.0</v>
      </c>
      <c r="M69" s="137" t="s">
        <v>532</v>
      </c>
      <c r="N69" s="137" t="s">
        <v>384</v>
      </c>
      <c r="O69" s="106">
        <v>6.0</v>
      </c>
      <c r="P69" s="100" t="s">
        <v>533</v>
      </c>
      <c r="Q69" s="100" t="s">
        <v>534</v>
      </c>
      <c r="R69" s="103"/>
      <c r="S69" s="103"/>
      <c r="T69" s="97"/>
      <c r="U69" s="97"/>
      <c r="V69" s="97"/>
      <c r="W69" s="97"/>
      <c r="X69" s="97"/>
    </row>
    <row r="70">
      <c r="A70" s="106" t="s">
        <v>187</v>
      </c>
      <c r="B70" s="100" t="s">
        <v>513</v>
      </c>
      <c r="C70" s="100" t="s">
        <v>206</v>
      </c>
      <c r="D70" s="100" t="s">
        <v>347</v>
      </c>
      <c r="E70" s="100">
        <v>2.0</v>
      </c>
      <c r="F70" s="100" t="s">
        <v>526</v>
      </c>
      <c r="G70" s="100" t="s">
        <v>213</v>
      </c>
      <c r="H70" s="100" t="s">
        <v>527</v>
      </c>
      <c r="I70" s="138">
        <v>21.7</v>
      </c>
      <c r="J70" s="139">
        <v>-11.1</v>
      </c>
      <c r="K70" s="139">
        <v>2.35</v>
      </c>
      <c r="L70" s="137">
        <v>4.0</v>
      </c>
      <c r="M70" s="137" t="s">
        <v>535</v>
      </c>
      <c r="N70" s="137" t="s">
        <v>388</v>
      </c>
      <c r="O70" s="106">
        <v>8.0</v>
      </c>
      <c r="P70" s="100" t="s">
        <v>483</v>
      </c>
      <c r="Q70" s="100" t="s">
        <v>536</v>
      </c>
      <c r="R70" s="103"/>
      <c r="S70" s="103"/>
      <c r="T70" s="97"/>
      <c r="U70" s="97"/>
      <c r="V70" s="97"/>
      <c r="W70" s="97"/>
      <c r="X70" s="97"/>
    </row>
    <row r="71">
      <c r="A71" s="109" t="s">
        <v>187</v>
      </c>
      <c r="B71" s="110" t="s">
        <v>513</v>
      </c>
      <c r="C71" s="110" t="s">
        <v>206</v>
      </c>
      <c r="D71" s="110" t="s">
        <v>347</v>
      </c>
      <c r="E71" s="110">
        <v>2.0</v>
      </c>
      <c r="F71" s="110" t="s">
        <v>526</v>
      </c>
      <c r="G71" s="110" t="s">
        <v>213</v>
      </c>
      <c r="H71" s="110" t="s">
        <v>527</v>
      </c>
      <c r="I71" s="118">
        <v>21.7</v>
      </c>
      <c r="J71" s="119">
        <v>-11.1</v>
      </c>
      <c r="K71" s="119">
        <v>2.35</v>
      </c>
      <c r="L71" s="120">
        <v>5.0</v>
      </c>
      <c r="M71" s="120" t="s">
        <v>537</v>
      </c>
      <c r="N71" s="120" t="s">
        <v>392</v>
      </c>
      <c r="O71" s="109">
        <v>10.0</v>
      </c>
      <c r="P71" s="110" t="s">
        <v>483</v>
      </c>
      <c r="Q71" s="110" t="s">
        <v>538</v>
      </c>
      <c r="R71" s="103"/>
      <c r="S71" s="103"/>
      <c r="T71" s="97"/>
      <c r="U71" s="97"/>
      <c r="V71" s="97"/>
      <c r="W71" s="97"/>
      <c r="X71" s="97"/>
    </row>
    <row r="72">
      <c r="A72" s="98" t="s">
        <v>187</v>
      </c>
      <c r="B72" s="113" t="s">
        <v>513</v>
      </c>
      <c r="C72" s="113" t="s">
        <v>206</v>
      </c>
      <c r="D72" s="113" t="s">
        <v>347</v>
      </c>
      <c r="E72" s="113">
        <v>3.0</v>
      </c>
      <c r="F72" s="113" t="s">
        <v>539</v>
      </c>
      <c r="G72" s="113" t="s">
        <v>223</v>
      </c>
      <c r="H72" s="113" t="s">
        <v>540</v>
      </c>
      <c r="I72" s="114">
        <v>21.8</v>
      </c>
      <c r="J72" s="115">
        <v>-7.4</v>
      </c>
      <c r="K72" s="115">
        <v>0.4</v>
      </c>
      <c r="L72" s="116">
        <v>1.0</v>
      </c>
      <c r="M72" s="116" t="s">
        <v>541</v>
      </c>
      <c r="N72" s="116" t="s">
        <v>371</v>
      </c>
      <c r="O72" s="98">
        <v>1.8</v>
      </c>
      <c r="P72" s="140" t="s">
        <v>502</v>
      </c>
      <c r="Q72" s="113" t="s">
        <v>542</v>
      </c>
      <c r="R72" s="103"/>
      <c r="S72" s="103"/>
      <c r="T72" s="97"/>
      <c r="U72" s="97"/>
      <c r="V72" s="97"/>
      <c r="W72" s="97"/>
      <c r="X72" s="97"/>
    </row>
    <row r="73">
      <c r="A73" s="109" t="s">
        <v>187</v>
      </c>
      <c r="B73" s="110" t="s">
        <v>513</v>
      </c>
      <c r="C73" s="100" t="s">
        <v>206</v>
      </c>
      <c r="D73" s="100" t="s">
        <v>347</v>
      </c>
      <c r="E73" s="110">
        <v>3.0</v>
      </c>
      <c r="F73" s="110" t="s">
        <v>539</v>
      </c>
      <c r="G73" s="110" t="s">
        <v>223</v>
      </c>
      <c r="H73" s="110" t="s">
        <v>540</v>
      </c>
      <c r="I73" s="138">
        <v>21.8</v>
      </c>
      <c r="J73" s="139">
        <v>-7.4</v>
      </c>
      <c r="K73" s="141">
        <v>0.4</v>
      </c>
      <c r="L73" s="100">
        <v>2.0</v>
      </c>
      <c r="M73" s="100" t="s">
        <v>543</v>
      </c>
      <c r="N73" s="100" t="s">
        <v>375</v>
      </c>
      <c r="O73" s="110">
        <v>2.7</v>
      </c>
      <c r="P73" s="110" t="s">
        <v>474</v>
      </c>
      <c r="Q73" s="110" t="s">
        <v>544</v>
      </c>
      <c r="R73" s="103"/>
      <c r="S73" s="103"/>
      <c r="T73" s="97"/>
      <c r="U73" s="97"/>
      <c r="V73" s="97"/>
      <c r="W73" s="97"/>
      <c r="X73" s="97"/>
    </row>
    <row r="74">
      <c r="A74" s="142" t="s">
        <v>187</v>
      </c>
      <c r="B74" s="129" t="s">
        <v>513</v>
      </c>
      <c r="C74" s="100" t="s">
        <v>206</v>
      </c>
      <c r="D74" s="100" t="s">
        <v>347</v>
      </c>
      <c r="E74" s="129">
        <v>3.0</v>
      </c>
      <c r="F74" s="129" t="s">
        <v>539</v>
      </c>
      <c r="G74" s="129" t="s">
        <v>223</v>
      </c>
      <c r="H74" s="129" t="s">
        <v>540</v>
      </c>
      <c r="I74" s="138">
        <v>21.8</v>
      </c>
      <c r="J74" s="139">
        <v>-7.4</v>
      </c>
      <c r="K74" s="141">
        <v>0.4</v>
      </c>
      <c r="L74" s="100">
        <v>3.0</v>
      </c>
      <c r="M74" s="100" t="s">
        <v>545</v>
      </c>
      <c r="N74" s="100" t="s">
        <v>380</v>
      </c>
      <c r="O74" s="129">
        <v>4.0</v>
      </c>
      <c r="P74" s="129" t="s">
        <v>483</v>
      </c>
      <c r="Q74" s="129" t="s">
        <v>546</v>
      </c>
      <c r="R74" s="103"/>
      <c r="S74" s="103"/>
      <c r="T74" s="97"/>
      <c r="U74" s="97"/>
      <c r="V74" s="97"/>
      <c r="W74" s="97"/>
      <c r="X74" s="97"/>
    </row>
    <row r="75">
      <c r="A75" s="142" t="s">
        <v>187</v>
      </c>
      <c r="B75" s="129" t="s">
        <v>513</v>
      </c>
      <c r="C75" s="100" t="s">
        <v>206</v>
      </c>
      <c r="D75" s="100" t="s">
        <v>347</v>
      </c>
      <c r="E75" s="129">
        <v>3.0</v>
      </c>
      <c r="F75" s="129" t="s">
        <v>539</v>
      </c>
      <c r="G75" s="129" t="s">
        <v>223</v>
      </c>
      <c r="H75" s="129" t="s">
        <v>540</v>
      </c>
      <c r="I75" s="138">
        <v>21.8</v>
      </c>
      <c r="J75" s="139">
        <v>-7.4</v>
      </c>
      <c r="K75" s="141">
        <v>0.4</v>
      </c>
      <c r="L75" s="100">
        <v>4.0</v>
      </c>
      <c r="M75" s="100" t="s">
        <v>547</v>
      </c>
      <c r="N75" s="100" t="s">
        <v>384</v>
      </c>
      <c r="O75" s="129">
        <v>6.0</v>
      </c>
      <c r="P75" s="129" t="s">
        <v>480</v>
      </c>
      <c r="Q75" s="129" t="s">
        <v>548</v>
      </c>
      <c r="R75" s="103"/>
      <c r="S75" s="103"/>
      <c r="T75" s="97"/>
      <c r="U75" s="97"/>
      <c r="V75" s="97"/>
      <c r="W75" s="97"/>
      <c r="X75" s="97"/>
    </row>
    <row r="76">
      <c r="A76" s="142" t="s">
        <v>187</v>
      </c>
      <c r="B76" s="129" t="s">
        <v>513</v>
      </c>
      <c r="C76" s="110" t="s">
        <v>206</v>
      </c>
      <c r="D76" s="110" t="s">
        <v>347</v>
      </c>
      <c r="E76" s="129">
        <v>3.0</v>
      </c>
      <c r="F76" s="129" t="s">
        <v>539</v>
      </c>
      <c r="G76" s="129" t="s">
        <v>223</v>
      </c>
      <c r="H76" s="129" t="s">
        <v>540</v>
      </c>
      <c r="I76" s="143">
        <v>21.8</v>
      </c>
      <c r="J76" s="144">
        <v>-7.4</v>
      </c>
      <c r="K76" s="145">
        <v>0.4</v>
      </c>
      <c r="L76" s="126">
        <v>5.0</v>
      </c>
      <c r="M76" s="126" t="s">
        <v>549</v>
      </c>
      <c r="N76" s="126" t="s">
        <v>388</v>
      </c>
      <c r="O76" s="129">
        <v>8.0</v>
      </c>
      <c r="P76" s="129" t="s">
        <v>511</v>
      </c>
      <c r="Q76" s="129" t="s">
        <v>550</v>
      </c>
      <c r="R76" s="103"/>
      <c r="S76" s="103"/>
      <c r="T76" s="97"/>
      <c r="U76" s="97"/>
      <c r="V76" s="97"/>
      <c r="W76" s="97"/>
      <c r="X76" s="97"/>
    </row>
    <row r="77">
      <c r="A77" s="98" t="s">
        <v>187</v>
      </c>
      <c r="B77" s="113" t="s">
        <v>513</v>
      </c>
      <c r="C77" s="113" t="s">
        <v>206</v>
      </c>
      <c r="D77" s="113" t="s">
        <v>347</v>
      </c>
      <c r="E77" s="113">
        <v>4.0</v>
      </c>
      <c r="F77" s="113" t="s">
        <v>551</v>
      </c>
      <c r="G77" s="113" t="s">
        <v>296</v>
      </c>
      <c r="H77" s="113" t="s">
        <v>552</v>
      </c>
      <c r="I77" s="138">
        <v>22.0</v>
      </c>
      <c r="J77" s="139">
        <v>-11.4</v>
      </c>
      <c r="K77" s="139">
        <v>0.6</v>
      </c>
      <c r="L77" s="137">
        <v>1.0</v>
      </c>
      <c r="M77" s="137" t="s">
        <v>553</v>
      </c>
      <c r="N77" s="137" t="s">
        <v>371</v>
      </c>
      <c r="O77" s="98">
        <v>1.8</v>
      </c>
      <c r="P77" s="140" t="s">
        <v>502</v>
      </c>
      <c r="Q77" s="113" t="s">
        <v>554</v>
      </c>
      <c r="R77" s="103"/>
      <c r="S77" s="103"/>
      <c r="T77" s="97"/>
      <c r="U77" s="97"/>
      <c r="V77" s="97"/>
      <c r="W77" s="97"/>
      <c r="X77" s="97"/>
    </row>
    <row r="78">
      <c r="A78" s="109" t="s">
        <v>187</v>
      </c>
      <c r="B78" s="110" t="s">
        <v>513</v>
      </c>
      <c r="C78" s="100" t="s">
        <v>206</v>
      </c>
      <c r="D78" s="100" t="s">
        <v>347</v>
      </c>
      <c r="E78" s="110">
        <v>4.0</v>
      </c>
      <c r="F78" s="110" t="s">
        <v>551</v>
      </c>
      <c r="G78" s="110" t="s">
        <v>296</v>
      </c>
      <c r="H78" s="110" t="s">
        <v>552</v>
      </c>
      <c r="I78" s="118">
        <v>22.0</v>
      </c>
      <c r="J78" s="119">
        <v>-11.4</v>
      </c>
      <c r="K78" s="119">
        <v>0.6</v>
      </c>
      <c r="L78" s="120">
        <v>2.0</v>
      </c>
      <c r="M78" s="120" t="s">
        <v>555</v>
      </c>
      <c r="N78" s="120" t="s">
        <v>375</v>
      </c>
      <c r="O78" s="109">
        <v>2.7</v>
      </c>
      <c r="P78" s="110" t="s">
        <v>474</v>
      </c>
      <c r="Q78" s="110" t="s">
        <v>556</v>
      </c>
      <c r="R78" s="103"/>
      <c r="S78" s="103"/>
      <c r="T78" s="97"/>
      <c r="U78" s="97"/>
      <c r="V78" s="97"/>
      <c r="W78" s="97"/>
      <c r="X78" s="97"/>
    </row>
    <row r="79">
      <c r="A79" s="142" t="s">
        <v>187</v>
      </c>
      <c r="B79" s="129" t="s">
        <v>513</v>
      </c>
      <c r="C79" s="100" t="s">
        <v>206</v>
      </c>
      <c r="D79" s="100" t="s">
        <v>347</v>
      </c>
      <c r="E79" s="129">
        <v>4.0</v>
      </c>
      <c r="F79" s="129" t="s">
        <v>551</v>
      </c>
      <c r="G79" s="129" t="s">
        <v>296</v>
      </c>
      <c r="H79" s="129" t="s">
        <v>552</v>
      </c>
      <c r="I79" s="130">
        <v>22.0</v>
      </c>
      <c r="J79" s="131">
        <v>-11.4</v>
      </c>
      <c r="K79" s="131">
        <v>0.6</v>
      </c>
      <c r="L79" s="132">
        <v>3.0</v>
      </c>
      <c r="M79" s="132" t="s">
        <v>557</v>
      </c>
      <c r="N79" s="132" t="s">
        <v>380</v>
      </c>
      <c r="O79" s="142">
        <v>4.0</v>
      </c>
      <c r="P79" s="129" t="s">
        <v>483</v>
      </c>
      <c r="Q79" s="129" t="s">
        <v>558</v>
      </c>
      <c r="R79" s="103"/>
      <c r="S79" s="103"/>
      <c r="T79" s="97"/>
      <c r="U79" s="97"/>
      <c r="V79" s="97"/>
      <c r="W79" s="97"/>
      <c r="X79" s="97"/>
    </row>
    <row r="80">
      <c r="A80" s="142" t="s">
        <v>187</v>
      </c>
      <c r="B80" s="129" t="s">
        <v>513</v>
      </c>
      <c r="C80" s="100" t="s">
        <v>206</v>
      </c>
      <c r="D80" s="100" t="s">
        <v>347</v>
      </c>
      <c r="E80" s="129">
        <v>4.0</v>
      </c>
      <c r="F80" s="129" t="s">
        <v>551</v>
      </c>
      <c r="G80" s="129" t="s">
        <v>296</v>
      </c>
      <c r="H80" s="129" t="s">
        <v>552</v>
      </c>
      <c r="I80" s="130">
        <v>22.0</v>
      </c>
      <c r="J80" s="131">
        <v>-11.4</v>
      </c>
      <c r="K80" s="131">
        <v>0.6</v>
      </c>
      <c r="L80" s="132">
        <v>4.0</v>
      </c>
      <c r="M80" s="132" t="s">
        <v>559</v>
      </c>
      <c r="N80" s="132" t="s">
        <v>384</v>
      </c>
      <c r="O80" s="142">
        <v>6.0</v>
      </c>
      <c r="P80" s="129" t="s">
        <v>474</v>
      </c>
      <c r="Q80" s="129" t="s">
        <v>560</v>
      </c>
      <c r="R80" s="103"/>
      <c r="S80" s="103"/>
      <c r="T80" s="97"/>
      <c r="U80" s="97"/>
      <c r="V80" s="97"/>
      <c r="W80" s="97"/>
      <c r="X80" s="97"/>
    </row>
    <row r="81">
      <c r="A81" s="142" t="s">
        <v>187</v>
      </c>
      <c r="B81" s="129" t="s">
        <v>513</v>
      </c>
      <c r="C81" s="100" t="s">
        <v>206</v>
      </c>
      <c r="D81" s="100" t="s">
        <v>347</v>
      </c>
      <c r="E81" s="129">
        <v>4.0</v>
      </c>
      <c r="F81" s="129" t="s">
        <v>551</v>
      </c>
      <c r="G81" s="129" t="s">
        <v>296</v>
      </c>
      <c r="H81" s="129" t="s">
        <v>552</v>
      </c>
      <c r="I81" s="130">
        <v>22.0</v>
      </c>
      <c r="J81" s="131">
        <v>-11.4</v>
      </c>
      <c r="K81" s="131">
        <v>0.6</v>
      </c>
      <c r="L81" s="132">
        <v>5.0</v>
      </c>
      <c r="M81" s="132" t="s">
        <v>561</v>
      </c>
      <c r="N81" s="132" t="s">
        <v>388</v>
      </c>
      <c r="O81" s="142">
        <v>8.0</v>
      </c>
      <c r="P81" s="129" t="s">
        <v>511</v>
      </c>
      <c r="Q81" s="129" t="s">
        <v>562</v>
      </c>
      <c r="R81" s="103"/>
      <c r="S81" s="103"/>
      <c r="T81" s="97"/>
      <c r="U81" s="97"/>
      <c r="V81" s="97"/>
      <c r="W81" s="97"/>
      <c r="X81" s="97"/>
    </row>
    <row r="82">
      <c r="A82" s="142" t="s">
        <v>187</v>
      </c>
      <c r="B82" s="129" t="s">
        <v>513</v>
      </c>
      <c r="C82" s="110" t="s">
        <v>206</v>
      </c>
      <c r="D82" s="110" t="s">
        <v>347</v>
      </c>
      <c r="E82" s="129">
        <v>4.0</v>
      </c>
      <c r="F82" s="99" t="s">
        <v>551</v>
      </c>
      <c r="G82" s="99" t="s">
        <v>296</v>
      </c>
      <c r="H82" s="99" t="s">
        <v>552</v>
      </c>
      <c r="I82" s="134">
        <v>22.0</v>
      </c>
      <c r="J82" s="135">
        <v>-11.4</v>
      </c>
      <c r="K82" s="135">
        <v>0.6</v>
      </c>
      <c r="L82" s="133">
        <v>6.0</v>
      </c>
      <c r="M82" s="133" t="s">
        <v>563</v>
      </c>
      <c r="N82" s="133" t="s">
        <v>392</v>
      </c>
      <c r="O82" s="98">
        <v>10.0</v>
      </c>
      <c r="P82" s="99" t="s">
        <v>483</v>
      </c>
      <c r="Q82" s="99" t="s">
        <v>564</v>
      </c>
      <c r="R82" s="103"/>
      <c r="S82" s="103"/>
      <c r="T82" s="97"/>
      <c r="U82" s="97"/>
      <c r="V82" s="97"/>
      <c r="W82" s="97"/>
      <c r="X82" s="97"/>
    </row>
    <row r="83">
      <c r="A83" s="98" t="s">
        <v>187</v>
      </c>
      <c r="B83" s="99" t="s">
        <v>565</v>
      </c>
      <c r="C83" s="99" t="s">
        <v>199</v>
      </c>
      <c r="D83" s="99" t="s">
        <v>351</v>
      </c>
      <c r="E83" s="99">
        <v>1.0</v>
      </c>
      <c r="F83" s="100" t="s">
        <v>566</v>
      </c>
      <c r="G83" s="100" t="s">
        <v>272</v>
      </c>
      <c r="H83" s="100" t="s">
        <v>567</v>
      </c>
      <c r="I83" s="107">
        <v>16.1</v>
      </c>
      <c r="J83" s="107">
        <v>-9.6</v>
      </c>
      <c r="K83" s="107">
        <v>0.01</v>
      </c>
      <c r="L83" s="100">
        <v>1.0</v>
      </c>
      <c r="M83" s="100" t="s">
        <v>568</v>
      </c>
      <c r="N83" s="100" t="s">
        <v>375</v>
      </c>
      <c r="O83" s="100">
        <v>2.7</v>
      </c>
      <c r="P83" s="100" t="s">
        <v>474</v>
      </c>
      <c r="Q83" s="100" t="s">
        <v>569</v>
      </c>
      <c r="R83" s="103"/>
      <c r="S83" s="103"/>
      <c r="T83" s="97"/>
      <c r="U83" s="97"/>
      <c r="V83" s="97"/>
      <c r="W83" s="97"/>
      <c r="X83" s="97"/>
    </row>
    <row r="84">
      <c r="A84" s="106" t="s">
        <v>187</v>
      </c>
      <c r="B84" s="100" t="s">
        <v>565</v>
      </c>
      <c r="C84" s="100" t="s">
        <v>199</v>
      </c>
      <c r="D84" s="100" t="s">
        <v>351</v>
      </c>
      <c r="E84" s="100">
        <v>1.0</v>
      </c>
      <c r="F84" s="100" t="s">
        <v>566</v>
      </c>
      <c r="G84" s="100" t="s">
        <v>272</v>
      </c>
      <c r="H84" s="100" t="s">
        <v>567</v>
      </c>
      <c r="I84" s="107">
        <v>16.1</v>
      </c>
      <c r="J84" s="107">
        <v>-9.6</v>
      </c>
      <c r="K84" s="107">
        <v>0.01</v>
      </c>
      <c r="L84" s="100">
        <v>2.0</v>
      </c>
      <c r="M84" s="100" t="s">
        <v>570</v>
      </c>
      <c r="N84" s="100" t="s">
        <v>380</v>
      </c>
      <c r="O84" s="100">
        <v>4.0</v>
      </c>
      <c r="P84" s="100" t="s">
        <v>571</v>
      </c>
      <c r="Q84" s="100" t="s">
        <v>572</v>
      </c>
      <c r="R84" s="103"/>
      <c r="S84" s="103"/>
      <c r="T84" s="97"/>
      <c r="U84" s="97"/>
      <c r="V84" s="97"/>
      <c r="W84" s="97"/>
      <c r="X84" s="97"/>
    </row>
    <row r="85">
      <c r="A85" s="106" t="s">
        <v>187</v>
      </c>
      <c r="B85" s="100" t="s">
        <v>565</v>
      </c>
      <c r="C85" s="100" t="s">
        <v>199</v>
      </c>
      <c r="D85" s="100" t="s">
        <v>351</v>
      </c>
      <c r="E85" s="100">
        <v>1.0</v>
      </c>
      <c r="F85" s="100" t="s">
        <v>566</v>
      </c>
      <c r="G85" s="100" t="s">
        <v>272</v>
      </c>
      <c r="H85" s="100" t="s">
        <v>567</v>
      </c>
      <c r="I85" s="107">
        <v>16.1</v>
      </c>
      <c r="J85" s="107">
        <v>-9.6</v>
      </c>
      <c r="K85" s="107">
        <v>0.01</v>
      </c>
      <c r="L85" s="100">
        <v>3.0</v>
      </c>
      <c r="M85" s="100" t="s">
        <v>573</v>
      </c>
      <c r="N85" s="100" t="s">
        <v>384</v>
      </c>
      <c r="O85" s="100">
        <v>6.0</v>
      </c>
      <c r="P85" s="100" t="s">
        <v>480</v>
      </c>
      <c r="Q85" s="100" t="s">
        <v>574</v>
      </c>
      <c r="R85" s="103"/>
      <c r="S85" s="103"/>
      <c r="T85" s="97"/>
      <c r="U85" s="97"/>
      <c r="V85" s="97"/>
      <c r="W85" s="97"/>
      <c r="X85" s="97"/>
    </row>
    <row r="86">
      <c r="A86" s="106" t="s">
        <v>187</v>
      </c>
      <c r="B86" s="100" t="s">
        <v>565</v>
      </c>
      <c r="C86" s="100" t="s">
        <v>199</v>
      </c>
      <c r="D86" s="100" t="s">
        <v>351</v>
      </c>
      <c r="E86" s="100">
        <v>1.0</v>
      </c>
      <c r="F86" s="100" t="s">
        <v>566</v>
      </c>
      <c r="G86" s="100" t="s">
        <v>272</v>
      </c>
      <c r="H86" s="100" t="s">
        <v>567</v>
      </c>
      <c r="I86" s="107">
        <v>16.1</v>
      </c>
      <c r="J86" s="107">
        <v>-9.6</v>
      </c>
      <c r="K86" s="107">
        <v>0.01</v>
      </c>
      <c r="L86" s="100">
        <v>4.0</v>
      </c>
      <c r="M86" s="100" t="s">
        <v>575</v>
      </c>
      <c r="N86" s="100" t="s">
        <v>388</v>
      </c>
      <c r="O86" s="100">
        <v>8.0</v>
      </c>
      <c r="P86" s="100" t="s">
        <v>483</v>
      </c>
      <c r="Q86" s="100" t="s">
        <v>576</v>
      </c>
      <c r="R86" s="103"/>
      <c r="S86" s="103"/>
      <c r="T86" s="97"/>
      <c r="U86" s="97"/>
      <c r="V86" s="97"/>
      <c r="W86" s="97"/>
      <c r="X86" s="97"/>
    </row>
    <row r="87">
      <c r="A87" s="106" t="s">
        <v>187</v>
      </c>
      <c r="B87" s="100" t="s">
        <v>577</v>
      </c>
      <c r="C87" s="100" t="s">
        <v>203</v>
      </c>
      <c r="D87" s="100" t="s">
        <v>357</v>
      </c>
      <c r="E87" s="100">
        <v>1.0</v>
      </c>
      <c r="F87" s="100" t="s">
        <v>578</v>
      </c>
      <c r="G87" s="100" t="s">
        <v>250</v>
      </c>
      <c r="H87" s="100" t="s">
        <v>579</v>
      </c>
      <c r="I87" s="107">
        <v>15.1</v>
      </c>
      <c r="J87" s="107">
        <v>-2.4</v>
      </c>
      <c r="K87" s="107">
        <v>1.2</v>
      </c>
      <c r="L87" s="100">
        <v>1.0</v>
      </c>
      <c r="M87" s="100" t="s">
        <v>580</v>
      </c>
      <c r="N87" s="100" t="s">
        <v>371</v>
      </c>
      <c r="O87" s="100">
        <v>1.8</v>
      </c>
      <c r="P87" s="146" t="s">
        <v>502</v>
      </c>
      <c r="Q87" s="100" t="s">
        <v>581</v>
      </c>
      <c r="R87" s="103"/>
      <c r="S87" s="103"/>
      <c r="T87" s="97"/>
      <c r="U87" s="97"/>
      <c r="V87" s="97"/>
      <c r="W87" s="97"/>
      <c r="X87" s="97"/>
    </row>
    <row r="88">
      <c r="A88" s="106" t="s">
        <v>187</v>
      </c>
      <c r="B88" s="100" t="s">
        <v>577</v>
      </c>
      <c r="C88" s="100" t="s">
        <v>203</v>
      </c>
      <c r="D88" s="100" t="s">
        <v>357</v>
      </c>
      <c r="E88" s="100">
        <v>1.0</v>
      </c>
      <c r="F88" s="100" t="s">
        <v>578</v>
      </c>
      <c r="G88" s="100" t="s">
        <v>250</v>
      </c>
      <c r="H88" s="100" t="s">
        <v>579</v>
      </c>
      <c r="I88" s="107">
        <v>15.1</v>
      </c>
      <c r="J88" s="107">
        <v>-2.4</v>
      </c>
      <c r="K88" s="107">
        <v>1.2</v>
      </c>
      <c r="L88" s="100">
        <v>2.0</v>
      </c>
      <c r="M88" s="100" t="s">
        <v>582</v>
      </c>
      <c r="N88" s="100" t="s">
        <v>375</v>
      </c>
      <c r="O88" s="100">
        <v>2.7</v>
      </c>
      <c r="P88" s="100" t="s">
        <v>474</v>
      </c>
      <c r="Q88" s="100" t="s">
        <v>583</v>
      </c>
      <c r="R88" s="103"/>
      <c r="S88" s="103"/>
      <c r="T88" s="97"/>
      <c r="U88" s="97"/>
      <c r="V88" s="97"/>
      <c r="W88" s="97"/>
      <c r="X88" s="97"/>
    </row>
    <row r="89">
      <c r="A89" s="106" t="s">
        <v>187</v>
      </c>
      <c r="B89" s="100" t="s">
        <v>577</v>
      </c>
      <c r="C89" s="100" t="s">
        <v>203</v>
      </c>
      <c r="D89" s="100" t="s">
        <v>357</v>
      </c>
      <c r="E89" s="100">
        <v>1.0</v>
      </c>
      <c r="F89" s="100" t="s">
        <v>578</v>
      </c>
      <c r="G89" s="100" t="s">
        <v>250</v>
      </c>
      <c r="H89" s="100" t="s">
        <v>579</v>
      </c>
      <c r="I89" s="107">
        <v>15.1</v>
      </c>
      <c r="J89" s="107">
        <v>-2.4</v>
      </c>
      <c r="K89" s="107">
        <v>1.2</v>
      </c>
      <c r="L89" s="100">
        <v>3.0</v>
      </c>
      <c r="M89" s="100" t="s">
        <v>584</v>
      </c>
      <c r="N89" s="100" t="s">
        <v>380</v>
      </c>
      <c r="O89" s="100">
        <v>4.0</v>
      </c>
      <c r="P89" s="100" t="s">
        <v>483</v>
      </c>
      <c r="Q89" s="100" t="s">
        <v>585</v>
      </c>
      <c r="R89" s="103"/>
      <c r="S89" s="103"/>
      <c r="T89" s="97"/>
      <c r="U89" s="97"/>
      <c r="V89" s="97"/>
      <c r="W89" s="97"/>
      <c r="X89" s="97"/>
    </row>
    <row r="90">
      <c r="A90" s="109" t="s">
        <v>187</v>
      </c>
      <c r="B90" s="110" t="s">
        <v>577</v>
      </c>
      <c r="C90" s="110" t="s">
        <v>203</v>
      </c>
      <c r="D90" s="110" t="s">
        <v>357</v>
      </c>
      <c r="E90" s="110">
        <v>1.0</v>
      </c>
      <c r="F90" s="110" t="s">
        <v>578</v>
      </c>
      <c r="G90" s="110" t="s">
        <v>250</v>
      </c>
      <c r="H90" s="110" t="s">
        <v>579</v>
      </c>
      <c r="I90" s="111">
        <v>15.1</v>
      </c>
      <c r="J90" s="111">
        <v>-2.4</v>
      </c>
      <c r="K90" s="111">
        <v>1.2</v>
      </c>
      <c r="L90" s="110">
        <v>4.0</v>
      </c>
      <c r="M90" s="110" t="s">
        <v>586</v>
      </c>
      <c r="N90" s="110" t="s">
        <v>384</v>
      </c>
      <c r="O90" s="110">
        <v>6.0</v>
      </c>
      <c r="P90" s="110" t="s">
        <v>480</v>
      </c>
      <c r="Q90" s="110" t="s">
        <v>587</v>
      </c>
      <c r="R90" s="103"/>
      <c r="S90" s="103"/>
      <c r="T90" s="97"/>
      <c r="U90" s="97"/>
      <c r="V90" s="97"/>
      <c r="W90" s="97"/>
      <c r="X90" s="97"/>
    </row>
    <row r="91">
      <c r="A91" s="98" t="s">
        <v>187</v>
      </c>
      <c r="B91" s="113" t="s">
        <v>577</v>
      </c>
      <c r="C91" s="113" t="s">
        <v>203</v>
      </c>
      <c r="D91" s="113" t="s">
        <v>357</v>
      </c>
      <c r="E91" s="113">
        <v>2.0</v>
      </c>
      <c r="F91" s="113" t="s">
        <v>588</v>
      </c>
      <c r="G91" s="113" t="s">
        <v>227</v>
      </c>
      <c r="H91" s="113" t="s">
        <v>589</v>
      </c>
      <c r="I91" s="122">
        <v>15.5</v>
      </c>
      <c r="J91" s="122">
        <v>-3.4</v>
      </c>
      <c r="K91" s="122">
        <v>1.35</v>
      </c>
      <c r="L91" s="113">
        <v>1.0</v>
      </c>
      <c r="M91" s="113" t="s">
        <v>590</v>
      </c>
      <c r="N91" s="113" t="s">
        <v>371</v>
      </c>
      <c r="O91" s="113">
        <v>1.8</v>
      </c>
      <c r="P91" s="140" t="s">
        <v>502</v>
      </c>
      <c r="Q91" s="113" t="s">
        <v>591</v>
      </c>
      <c r="R91" s="103"/>
      <c r="S91" s="103"/>
      <c r="T91" s="97"/>
      <c r="U91" s="97"/>
      <c r="V91" s="97"/>
      <c r="W91" s="97"/>
      <c r="X91" s="97"/>
    </row>
    <row r="92">
      <c r="A92" s="106" t="s">
        <v>187</v>
      </c>
      <c r="B92" s="100" t="s">
        <v>577</v>
      </c>
      <c r="C92" s="100" t="s">
        <v>203</v>
      </c>
      <c r="D92" s="100" t="s">
        <v>357</v>
      </c>
      <c r="E92" s="100">
        <v>2.0</v>
      </c>
      <c r="F92" s="100" t="s">
        <v>588</v>
      </c>
      <c r="G92" s="100" t="s">
        <v>227</v>
      </c>
      <c r="H92" s="100" t="s">
        <v>589</v>
      </c>
      <c r="I92" s="107">
        <v>15.5</v>
      </c>
      <c r="J92" s="107">
        <v>-3.4</v>
      </c>
      <c r="K92" s="107">
        <v>1.35</v>
      </c>
      <c r="L92" s="100">
        <v>2.0</v>
      </c>
      <c r="M92" s="100" t="s">
        <v>592</v>
      </c>
      <c r="N92" s="100" t="s">
        <v>375</v>
      </c>
      <c r="O92" s="100">
        <v>2.7</v>
      </c>
      <c r="P92" s="100" t="s">
        <v>474</v>
      </c>
      <c r="Q92" s="100" t="s">
        <v>593</v>
      </c>
      <c r="R92" s="103"/>
      <c r="S92" s="103"/>
      <c r="T92" s="97"/>
      <c r="U92" s="97"/>
      <c r="V92" s="97"/>
      <c r="W92" s="97"/>
      <c r="X92" s="97"/>
    </row>
    <row r="93">
      <c r="A93" s="106" t="s">
        <v>187</v>
      </c>
      <c r="B93" s="100" t="s">
        <v>577</v>
      </c>
      <c r="C93" s="100" t="s">
        <v>203</v>
      </c>
      <c r="D93" s="100" t="s">
        <v>357</v>
      </c>
      <c r="E93" s="100">
        <v>2.0</v>
      </c>
      <c r="F93" s="100" t="s">
        <v>588</v>
      </c>
      <c r="G93" s="100" t="s">
        <v>227</v>
      </c>
      <c r="H93" s="100" t="s">
        <v>589</v>
      </c>
      <c r="I93" s="107">
        <v>15.5</v>
      </c>
      <c r="J93" s="107">
        <v>-3.4</v>
      </c>
      <c r="K93" s="107">
        <v>1.35</v>
      </c>
      <c r="L93" s="100">
        <v>3.0</v>
      </c>
      <c r="M93" s="100" t="s">
        <v>594</v>
      </c>
      <c r="N93" s="100" t="s">
        <v>380</v>
      </c>
      <c r="O93" s="100">
        <v>4.0</v>
      </c>
      <c r="P93" s="100" t="s">
        <v>483</v>
      </c>
      <c r="Q93" s="100" t="s">
        <v>595</v>
      </c>
      <c r="R93" s="103"/>
      <c r="S93" s="103"/>
      <c r="T93" s="97"/>
      <c r="U93" s="97"/>
      <c r="V93" s="97"/>
      <c r="W93" s="97"/>
      <c r="X93" s="97"/>
    </row>
    <row r="94">
      <c r="A94" s="106" t="s">
        <v>187</v>
      </c>
      <c r="B94" s="100" t="s">
        <v>577</v>
      </c>
      <c r="C94" s="100" t="s">
        <v>203</v>
      </c>
      <c r="D94" s="100" t="s">
        <v>357</v>
      </c>
      <c r="E94" s="100">
        <v>2.0</v>
      </c>
      <c r="F94" s="100" t="s">
        <v>588</v>
      </c>
      <c r="G94" s="100" t="s">
        <v>227</v>
      </c>
      <c r="H94" s="100" t="s">
        <v>589</v>
      </c>
      <c r="I94" s="107">
        <v>15.5</v>
      </c>
      <c r="J94" s="107">
        <v>-3.4</v>
      </c>
      <c r="K94" s="107">
        <v>1.35</v>
      </c>
      <c r="L94" s="100">
        <v>4.0</v>
      </c>
      <c r="M94" s="100" t="s">
        <v>596</v>
      </c>
      <c r="N94" s="100" t="s">
        <v>384</v>
      </c>
      <c r="O94" s="100">
        <v>6.0</v>
      </c>
      <c r="P94" s="100" t="s">
        <v>480</v>
      </c>
      <c r="Q94" s="100" t="s">
        <v>597</v>
      </c>
      <c r="R94" s="103"/>
      <c r="S94" s="103"/>
      <c r="T94" s="97"/>
      <c r="U94" s="97"/>
      <c r="V94" s="97"/>
      <c r="W94" s="97"/>
      <c r="X94" s="97"/>
    </row>
    <row r="95">
      <c r="A95" s="106" t="s">
        <v>187</v>
      </c>
      <c r="B95" s="100" t="s">
        <v>598</v>
      </c>
      <c r="C95" s="100" t="s">
        <v>204</v>
      </c>
      <c r="D95" s="100" t="s">
        <v>365</v>
      </c>
      <c r="E95" s="100">
        <v>1.0</v>
      </c>
      <c r="F95" s="100" t="s">
        <v>599</v>
      </c>
      <c r="G95" s="100" t="s">
        <v>260</v>
      </c>
      <c r="H95" s="100" t="s">
        <v>600</v>
      </c>
      <c r="I95" s="138">
        <v>18.6</v>
      </c>
      <c r="J95" s="139">
        <v>-4.4</v>
      </c>
      <c r="K95" s="139">
        <v>2.47</v>
      </c>
      <c r="L95" s="137">
        <v>1.0</v>
      </c>
      <c r="M95" s="137" t="s">
        <v>601</v>
      </c>
      <c r="N95" s="137" t="s">
        <v>380</v>
      </c>
      <c r="O95" s="106">
        <v>4.0</v>
      </c>
      <c r="P95" s="100" t="s">
        <v>477</v>
      </c>
      <c r="Q95" s="100" t="s">
        <v>602</v>
      </c>
      <c r="R95" s="103"/>
      <c r="S95" s="103"/>
      <c r="T95" s="97"/>
      <c r="U95" s="97"/>
      <c r="V95" s="97"/>
      <c r="W95" s="97"/>
      <c r="X95" s="97"/>
    </row>
    <row r="96">
      <c r="A96" s="106" t="s">
        <v>187</v>
      </c>
      <c r="B96" s="100" t="s">
        <v>598</v>
      </c>
      <c r="C96" s="100" t="s">
        <v>204</v>
      </c>
      <c r="D96" s="100" t="s">
        <v>365</v>
      </c>
      <c r="E96" s="100">
        <v>2.0</v>
      </c>
      <c r="F96" s="100" t="s">
        <v>603</v>
      </c>
      <c r="G96" s="100" t="s">
        <v>214</v>
      </c>
      <c r="H96" s="100" t="s">
        <v>604</v>
      </c>
      <c r="I96" s="138">
        <v>18.8</v>
      </c>
      <c r="J96" s="139">
        <v>-4.0</v>
      </c>
      <c r="K96" s="139">
        <v>2.54</v>
      </c>
      <c r="L96" s="137">
        <v>2.0</v>
      </c>
      <c r="M96" s="137" t="s">
        <v>605</v>
      </c>
      <c r="N96" s="137" t="s">
        <v>384</v>
      </c>
      <c r="O96" s="106">
        <v>6.0</v>
      </c>
      <c r="P96" s="100" t="s">
        <v>480</v>
      </c>
      <c r="Q96" s="100" t="s">
        <v>606</v>
      </c>
      <c r="R96" s="103"/>
      <c r="S96" s="103"/>
      <c r="T96" s="97"/>
      <c r="U96" s="97"/>
      <c r="V96" s="97"/>
      <c r="W96" s="97"/>
      <c r="X96" s="97"/>
    </row>
    <row r="97">
      <c r="A97" s="106" t="s">
        <v>187</v>
      </c>
      <c r="B97" s="100" t="s">
        <v>598</v>
      </c>
      <c r="C97" s="100" t="s">
        <v>204</v>
      </c>
      <c r="D97" s="100" t="s">
        <v>365</v>
      </c>
      <c r="E97" s="100">
        <v>3.0</v>
      </c>
      <c r="F97" s="100" t="s">
        <v>607</v>
      </c>
      <c r="G97" s="100" t="s">
        <v>262</v>
      </c>
      <c r="H97" s="100" t="s">
        <v>608</v>
      </c>
      <c r="I97" s="138">
        <v>17.9</v>
      </c>
      <c r="J97" s="139">
        <v>-3.6</v>
      </c>
      <c r="K97" s="139">
        <v>2.57</v>
      </c>
      <c r="L97" s="137">
        <v>3.0</v>
      </c>
      <c r="M97" s="137" t="s">
        <v>609</v>
      </c>
      <c r="N97" s="137" t="s">
        <v>388</v>
      </c>
      <c r="O97" s="106">
        <v>8.0</v>
      </c>
      <c r="P97" s="100" t="s">
        <v>511</v>
      </c>
      <c r="Q97" s="100" t="s">
        <v>610</v>
      </c>
      <c r="R97" s="103"/>
      <c r="S97" s="103"/>
      <c r="T97" s="97"/>
      <c r="U97" s="97"/>
      <c r="V97" s="97"/>
      <c r="W97" s="97"/>
      <c r="X97" s="97"/>
    </row>
    <row r="98">
      <c r="A98" s="106" t="s">
        <v>187</v>
      </c>
      <c r="B98" s="100" t="s">
        <v>598</v>
      </c>
      <c r="C98" s="100" t="s">
        <v>204</v>
      </c>
      <c r="D98" s="100" t="s">
        <v>365</v>
      </c>
      <c r="E98" s="100">
        <v>4.0</v>
      </c>
      <c r="F98" s="100" t="s">
        <v>611</v>
      </c>
      <c r="G98" s="100" t="s">
        <v>215</v>
      </c>
      <c r="H98" s="100" t="s">
        <v>612</v>
      </c>
      <c r="I98" s="138">
        <v>18.5</v>
      </c>
      <c r="J98" s="139">
        <v>-3.3</v>
      </c>
      <c r="K98" s="139">
        <v>1.9</v>
      </c>
      <c r="L98" s="137">
        <v>4.0</v>
      </c>
      <c r="M98" s="137" t="s">
        <v>613</v>
      </c>
      <c r="N98" s="137" t="s">
        <v>388</v>
      </c>
      <c r="O98" s="106">
        <v>8.0</v>
      </c>
      <c r="P98" s="100" t="s">
        <v>483</v>
      </c>
      <c r="Q98" s="100" t="s">
        <v>614</v>
      </c>
      <c r="R98" s="103"/>
      <c r="S98" s="103"/>
      <c r="T98" s="97"/>
      <c r="U98" s="97"/>
      <c r="V98" s="97"/>
      <c r="W98" s="97"/>
      <c r="X98" s="97"/>
    </row>
    <row r="99">
      <c r="A99" s="106" t="s">
        <v>187</v>
      </c>
      <c r="B99" s="100" t="s">
        <v>598</v>
      </c>
      <c r="C99" s="100" t="s">
        <v>204</v>
      </c>
      <c r="D99" s="100" t="s">
        <v>365</v>
      </c>
      <c r="E99" s="100">
        <v>5.0</v>
      </c>
      <c r="F99" s="100" t="s">
        <v>615</v>
      </c>
      <c r="G99" s="100" t="s">
        <v>247</v>
      </c>
      <c r="H99" s="100" t="s">
        <v>616</v>
      </c>
      <c r="I99" s="138">
        <v>18.3</v>
      </c>
      <c r="J99" s="139">
        <v>-3.9</v>
      </c>
      <c r="K99" s="139">
        <v>1.82</v>
      </c>
      <c r="L99" s="137">
        <v>5.0</v>
      </c>
      <c r="M99" s="137" t="s">
        <v>617</v>
      </c>
      <c r="N99" s="137" t="s">
        <v>392</v>
      </c>
      <c r="O99" s="106">
        <v>10.0</v>
      </c>
      <c r="P99" s="100" t="s">
        <v>483</v>
      </c>
      <c r="Q99" s="100" t="s">
        <v>618</v>
      </c>
      <c r="R99" s="103"/>
      <c r="S99" s="103"/>
      <c r="T99" s="97"/>
      <c r="U99" s="97"/>
      <c r="V99" s="97"/>
      <c r="W99" s="97"/>
      <c r="X99" s="97"/>
    </row>
    <row r="100">
      <c r="A100" s="106" t="s">
        <v>187</v>
      </c>
      <c r="B100" s="100" t="s">
        <v>619</v>
      </c>
      <c r="C100" s="100" t="s">
        <v>205</v>
      </c>
      <c r="D100" s="100" t="s">
        <v>370</v>
      </c>
      <c r="E100" s="100">
        <v>1.0</v>
      </c>
      <c r="F100" s="100" t="s">
        <v>620</v>
      </c>
      <c r="G100" s="100" t="s">
        <v>213</v>
      </c>
      <c r="H100" s="100" t="s">
        <v>621</v>
      </c>
      <c r="I100" s="107">
        <v>21.5</v>
      </c>
      <c r="J100" s="107">
        <v>-4.1</v>
      </c>
      <c r="K100" s="107">
        <v>2.3</v>
      </c>
      <c r="L100" s="100">
        <v>1.0</v>
      </c>
      <c r="M100" s="100" t="s">
        <v>622</v>
      </c>
      <c r="N100" s="100" t="s">
        <v>380</v>
      </c>
      <c r="O100" s="100">
        <v>4.0</v>
      </c>
      <c r="P100" s="100" t="s">
        <v>477</v>
      </c>
      <c r="Q100" s="100" t="s">
        <v>623</v>
      </c>
      <c r="R100" s="103"/>
      <c r="S100" s="103"/>
      <c r="T100" s="97"/>
      <c r="U100" s="97"/>
      <c r="V100" s="97"/>
      <c r="W100" s="97"/>
      <c r="X100" s="97"/>
    </row>
    <row r="101">
      <c r="A101" s="106" t="s">
        <v>187</v>
      </c>
      <c r="B101" s="100" t="s">
        <v>619</v>
      </c>
      <c r="C101" s="100" t="s">
        <v>205</v>
      </c>
      <c r="D101" s="100" t="s">
        <v>370</v>
      </c>
      <c r="E101" s="100">
        <v>1.0</v>
      </c>
      <c r="F101" s="100" t="s">
        <v>620</v>
      </c>
      <c r="G101" s="100" t="s">
        <v>213</v>
      </c>
      <c r="H101" s="100" t="s">
        <v>621</v>
      </c>
      <c r="I101" s="107">
        <v>21.5</v>
      </c>
      <c r="J101" s="107">
        <v>-4.1</v>
      </c>
      <c r="K101" s="107">
        <v>2.3</v>
      </c>
      <c r="L101" s="100">
        <v>2.0</v>
      </c>
      <c r="M101" s="100" t="s">
        <v>624</v>
      </c>
      <c r="N101" s="100" t="s">
        <v>384</v>
      </c>
      <c r="O101" s="100">
        <v>6.0</v>
      </c>
      <c r="P101" s="100" t="s">
        <v>483</v>
      </c>
      <c r="Q101" s="100" t="s">
        <v>625</v>
      </c>
      <c r="R101" s="103"/>
      <c r="S101" s="103"/>
      <c r="T101" s="97"/>
      <c r="U101" s="97"/>
      <c r="V101" s="97"/>
      <c r="W101" s="97"/>
      <c r="X101" s="97"/>
    </row>
    <row r="102">
      <c r="A102" s="106" t="s">
        <v>187</v>
      </c>
      <c r="B102" s="100" t="s">
        <v>619</v>
      </c>
      <c r="C102" s="100" t="s">
        <v>205</v>
      </c>
      <c r="D102" s="100" t="s">
        <v>370</v>
      </c>
      <c r="E102" s="100">
        <v>1.0</v>
      </c>
      <c r="F102" s="100" t="s">
        <v>620</v>
      </c>
      <c r="G102" s="100" t="s">
        <v>213</v>
      </c>
      <c r="H102" s="100" t="s">
        <v>621</v>
      </c>
      <c r="I102" s="107">
        <v>21.5</v>
      </c>
      <c r="J102" s="107">
        <v>-4.1</v>
      </c>
      <c r="K102" s="107">
        <v>2.3</v>
      </c>
      <c r="L102" s="100">
        <v>3.0</v>
      </c>
      <c r="M102" s="100" t="s">
        <v>626</v>
      </c>
      <c r="N102" s="100" t="s">
        <v>388</v>
      </c>
      <c r="O102" s="100">
        <v>8.0</v>
      </c>
      <c r="P102" s="100" t="s">
        <v>511</v>
      </c>
      <c r="Q102" s="100" t="s">
        <v>627</v>
      </c>
      <c r="R102" s="103"/>
      <c r="S102" s="103"/>
      <c r="T102" s="97"/>
      <c r="U102" s="97"/>
      <c r="V102" s="97"/>
      <c r="W102" s="97"/>
      <c r="X102" s="97"/>
    </row>
    <row r="103">
      <c r="A103" s="109" t="s">
        <v>187</v>
      </c>
      <c r="B103" s="110" t="s">
        <v>619</v>
      </c>
      <c r="C103" s="110" t="s">
        <v>205</v>
      </c>
      <c r="D103" s="110" t="s">
        <v>370</v>
      </c>
      <c r="E103" s="110">
        <v>1.0</v>
      </c>
      <c r="F103" s="110" t="s">
        <v>620</v>
      </c>
      <c r="G103" s="110" t="s">
        <v>213</v>
      </c>
      <c r="H103" s="110" t="s">
        <v>621</v>
      </c>
      <c r="I103" s="111">
        <v>21.5</v>
      </c>
      <c r="J103" s="111">
        <v>-4.1</v>
      </c>
      <c r="K103" s="111">
        <v>2.3</v>
      </c>
      <c r="L103" s="110">
        <v>4.0</v>
      </c>
      <c r="M103" s="110" t="s">
        <v>628</v>
      </c>
      <c r="N103" s="110" t="s">
        <v>392</v>
      </c>
      <c r="O103" s="110">
        <v>10.0</v>
      </c>
      <c r="P103" s="110" t="s">
        <v>483</v>
      </c>
      <c r="Q103" s="110" t="s">
        <v>629</v>
      </c>
      <c r="R103" s="103"/>
      <c r="S103" s="103"/>
      <c r="T103" s="97"/>
      <c r="U103" s="97"/>
      <c r="V103" s="97"/>
      <c r="W103" s="97"/>
      <c r="X103" s="97"/>
    </row>
    <row r="104">
      <c r="A104" s="98" t="s">
        <v>187</v>
      </c>
      <c r="B104" s="113" t="s">
        <v>619</v>
      </c>
      <c r="C104" s="113" t="s">
        <v>205</v>
      </c>
      <c r="D104" s="113" t="s">
        <v>370</v>
      </c>
      <c r="E104" s="113">
        <v>2.0</v>
      </c>
      <c r="F104" s="113" t="s">
        <v>630</v>
      </c>
      <c r="G104" s="113" t="s">
        <v>296</v>
      </c>
      <c r="H104" s="113" t="s">
        <v>631</v>
      </c>
      <c r="I104" s="122">
        <v>20.7</v>
      </c>
      <c r="J104" s="122">
        <v>-5.1</v>
      </c>
      <c r="K104" s="122">
        <v>1.2</v>
      </c>
      <c r="L104" s="113">
        <v>1.0</v>
      </c>
      <c r="M104" s="113" t="s">
        <v>632</v>
      </c>
      <c r="N104" s="113" t="s">
        <v>371</v>
      </c>
      <c r="O104" s="113">
        <v>1.8</v>
      </c>
      <c r="P104" s="140" t="s">
        <v>502</v>
      </c>
      <c r="Q104" s="113" t="s">
        <v>633</v>
      </c>
      <c r="R104" s="103"/>
      <c r="S104" s="103"/>
      <c r="T104" s="97"/>
      <c r="U104" s="97"/>
      <c r="V104" s="97"/>
      <c r="W104" s="97"/>
      <c r="X104" s="97"/>
    </row>
    <row r="105">
      <c r="A105" s="106" t="s">
        <v>187</v>
      </c>
      <c r="B105" s="100" t="s">
        <v>619</v>
      </c>
      <c r="C105" s="100" t="s">
        <v>205</v>
      </c>
      <c r="D105" s="100" t="s">
        <v>370</v>
      </c>
      <c r="E105" s="100">
        <v>2.0</v>
      </c>
      <c r="F105" s="100" t="s">
        <v>630</v>
      </c>
      <c r="G105" s="100" t="s">
        <v>296</v>
      </c>
      <c r="H105" s="100" t="s">
        <v>631</v>
      </c>
      <c r="I105" s="107">
        <v>20.7</v>
      </c>
      <c r="J105" s="107">
        <v>-5.1</v>
      </c>
      <c r="K105" s="107">
        <v>1.2</v>
      </c>
      <c r="L105" s="100">
        <v>2.0</v>
      </c>
      <c r="M105" s="100" t="s">
        <v>634</v>
      </c>
      <c r="N105" s="100" t="s">
        <v>375</v>
      </c>
      <c r="O105" s="100">
        <v>2.7</v>
      </c>
      <c r="P105" s="100" t="s">
        <v>474</v>
      </c>
      <c r="Q105" s="100" t="s">
        <v>635</v>
      </c>
      <c r="R105" s="103"/>
      <c r="S105" s="103"/>
      <c r="T105" s="97"/>
      <c r="U105" s="97"/>
      <c r="V105" s="97"/>
      <c r="W105" s="97"/>
      <c r="X105" s="97"/>
    </row>
    <row r="106">
      <c r="A106" s="106" t="s">
        <v>187</v>
      </c>
      <c r="B106" s="100" t="s">
        <v>619</v>
      </c>
      <c r="C106" s="100" t="s">
        <v>205</v>
      </c>
      <c r="D106" s="100" t="s">
        <v>370</v>
      </c>
      <c r="E106" s="100">
        <v>2.0</v>
      </c>
      <c r="F106" s="100" t="s">
        <v>630</v>
      </c>
      <c r="G106" s="100" t="s">
        <v>296</v>
      </c>
      <c r="H106" s="100" t="s">
        <v>631</v>
      </c>
      <c r="I106" s="107">
        <v>20.7</v>
      </c>
      <c r="J106" s="107">
        <v>-5.1</v>
      </c>
      <c r="K106" s="107">
        <v>1.2</v>
      </c>
      <c r="L106" s="100">
        <v>3.0</v>
      </c>
      <c r="M106" s="100" t="s">
        <v>636</v>
      </c>
      <c r="N106" s="100" t="s">
        <v>380</v>
      </c>
      <c r="O106" s="100">
        <v>4.0</v>
      </c>
      <c r="P106" s="100" t="s">
        <v>483</v>
      </c>
      <c r="Q106" s="100" t="s">
        <v>637</v>
      </c>
      <c r="R106" s="103"/>
      <c r="S106" s="103"/>
      <c r="T106" s="97"/>
      <c r="U106" s="97"/>
      <c r="V106" s="97"/>
      <c r="W106" s="97"/>
      <c r="X106" s="97"/>
    </row>
    <row r="107">
      <c r="A107" s="106" t="s">
        <v>187</v>
      </c>
      <c r="B107" s="100" t="s">
        <v>619</v>
      </c>
      <c r="C107" s="100" t="s">
        <v>205</v>
      </c>
      <c r="D107" s="100" t="s">
        <v>370</v>
      </c>
      <c r="E107" s="100">
        <v>2.0</v>
      </c>
      <c r="F107" s="100" t="s">
        <v>630</v>
      </c>
      <c r="G107" s="100" t="s">
        <v>296</v>
      </c>
      <c r="H107" s="100" t="s">
        <v>631</v>
      </c>
      <c r="I107" s="107">
        <v>20.7</v>
      </c>
      <c r="J107" s="107">
        <v>-5.1</v>
      </c>
      <c r="K107" s="107">
        <v>1.2</v>
      </c>
      <c r="L107" s="100">
        <v>4.0</v>
      </c>
      <c r="M107" s="100" t="s">
        <v>638</v>
      </c>
      <c r="N107" s="100" t="s">
        <v>384</v>
      </c>
      <c r="O107" s="100">
        <v>6.0</v>
      </c>
      <c r="P107" s="100" t="s">
        <v>480</v>
      </c>
      <c r="Q107" s="100" t="s">
        <v>639</v>
      </c>
      <c r="R107" s="103"/>
      <c r="S107" s="103"/>
      <c r="T107" s="97"/>
      <c r="U107" s="97"/>
      <c r="V107" s="97"/>
      <c r="W107" s="97"/>
      <c r="X107" s="97"/>
    </row>
    <row r="108">
      <c r="A108" s="106" t="s">
        <v>187</v>
      </c>
      <c r="B108" s="100" t="s">
        <v>640</v>
      </c>
      <c r="C108" s="100" t="s">
        <v>207</v>
      </c>
      <c r="D108" s="100" t="s">
        <v>374</v>
      </c>
      <c r="E108" s="100">
        <v>1.0</v>
      </c>
      <c r="F108" s="100" t="s">
        <v>641</v>
      </c>
      <c r="G108" s="100" t="s">
        <v>221</v>
      </c>
      <c r="H108" s="100" t="s">
        <v>642</v>
      </c>
      <c r="I108" s="138">
        <v>26.1</v>
      </c>
      <c r="J108" s="139">
        <v>-14.3</v>
      </c>
      <c r="K108" s="139">
        <v>1.47</v>
      </c>
      <c r="L108" s="137">
        <v>1.0</v>
      </c>
      <c r="M108" s="137" t="s">
        <v>643</v>
      </c>
      <c r="N108" s="137" t="s">
        <v>375</v>
      </c>
      <c r="O108" s="106">
        <v>2.7</v>
      </c>
      <c r="P108" s="100" t="s">
        <v>474</v>
      </c>
      <c r="Q108" s="100" t="s">
        <v>644</v>
      </c>
      <c r="R108" s="103"/>
      <c r="S108" s="103"/>
      <c r="T108" s="97"/>
      <c r="U108" s="97"/>
      <c r="V108" s="97"/>
      <c r="W108" s="97"/>
      <c r="X108" s="97"/>
    </row>
    <row r="109">
      <c r="A109" s="106" t="s">
        <v>187</v>
      </c>
      <c r="B109" s="100" t="s">
        <v>640</v>
      </c>
      <c r="C109" s="100" t="s">
        <v>207</v>
      </c>
      <c r="D109" s="100" t="s">
        <v>374</v>
      </c>
      <c r="E109" s="100">
        <v>2.0</v>
      </c>
      <c r="F109" s="100" t="s">
        <v>645</v>
      </c>
      <c r="G109" s="100" t="s">
        <v>226</v>
      </c>
      <c r="H109" s="100" t="s">
        <v>646</v>
      </c>
      <c r="I109" s="138">
        <v>26.0</v>
      </c>
      <c r="J109" s="139">
        <v>-13.3</v>
      </c>
      <c r="K109" s="139">
        <v>0.1</v>
      </c>
      <c r="L109" s="137">
        <v>2.0</v>
      </c>
      <c r="M109" s="137" t="s">
        <v>647</v>
      </c>
      <c r="N109" s="137" t="s">
        <v>380</v>
      </c>
      <c r="O109" s="106">
        <v>4.0</v>
      </c>
      <c r="P109" s="100" t="s">
        <v>477</v>
      </c>
      <c r="Q109" s="100" t="s">
        <v>648</v>
      </c>
      <c r="R109" s="103"/>
      <c r="S109" s="103"/>
      <c r="T109" s="97"/>
      <c r="U109" s="97"/>
      <c r="V109" s="97"/>
      <c r="W109" s="97"/>
      <c r="X109" s="97"/>
    </row>
    <row r="110">
      <c r="A110" s="106" t="s">
        <v>187</v>
      </c>
      <c r="B110" s="100" t="s">
        <v>640</v>
      </c>
      <c r="C110" s="100" t="s">
        <v>207</v>
      </c>
      <c r="D110" s="100" t="s">
        <v>374</v>
      </c>
      <c r="E110" s="100">
        <v>3.0</v>
      </c>
      <c r="F110" s="100" t="s">
        <v>649</v>
      </c>
      <c r="G110" s="100" t="s">
        <v>221</v>
      </c>
      <c r="H110" s="100" t="s">
        <v>642</v>
      </c>
      <c r="I110" s="138">
        <v>26.2</v>
      </c>
      <c r="J110" s="139">
        <v>-14.5</v>
      </c>
      <c r="K110" s="139">
        <v>1.7</v>
      </c>
      <c r="L110" s="137">
        <v>3.0</v>
      </c>
      <c r="M110" s="137" t="s">
        <v>650</v>
      </c>
      <c r="N110" s="137" t="s">
        <v>380</v>
      </c>
      <c r="O110" s="106">
        <v>4.0</v>
      </c>
      <c r="P110" s="100" t="s">
        <v>477</v>
      </c>
      <c r="Q110" s="100" t="s">
        <v>651</v>
      </c>
      <c r="R110" s="103"/>
      <c r="S110" s="103"/>
      <c r="T110" s="97"/>
      <c r="U110" s="97"/>
      <c r="V110" s="97"/>
      <c r="W110" s="97"/>
      <c r="X110" s="97"/>
    </row>
    <row r="111">
      <c r="A111" s="106" t="s">
        <v>187</v>
      </c>
      <c r="B111" s="100" t="s">
        <v>640</v>
      </c>
      <c r="C111" s="100" t="s">
        <v>207</v>
      </c>
      <c r="D111" s="100" t="s">
        <v>374</v>
      </c>
      <c r="E111" s="100">
        <v>4.0</v>
      </c>
      <c r="F111" s="100" t="s">
        <v>652</v>
      </c>
      <c r="G111" s="100" t="s">
        <v>219</v>
      </c>
      <c r="H111" s="100" t="s">
        <v>653</v>
      </c>
      <c r="I111" s="138">
        <v>26.3</v>
      </c>
      <c r="J111" s="139">
        <v>-12.4</v>
      </c>
      <c r="K111" s="139">
        <v>1.57</v>
      </c>
      <c r="L111" s="137">
        <v>4.0</v>
      </c>
      <c r="M111" s="137" t="s">
        <v>654</v>
      </c>
      <c r="N111" s="137" t="s">
        <v>388</v>
      </c>
      <c r="O111" s="106">
        <v>8.0</v>
      </c>
      <c r="P111" s="100" t="s">
        <v>511</v>
      </c>
      <c r="Q111" s="100" t="s">
        <v>655</v>
      </c>
      <c r="R111" s="103"/>
      <c r="S111" s="103"/>
      <c r="T111" s="97"/>
      <c r="U111" s="97"/>
      <c r="V111" s="97"/>
      <c r="W111" s="97"/>
      <c r="X111" s="97"/>
    </row>
    <row r="112">
      <c r="A112" s="106" t="s">
        <v>187</v>
      </c>
      <c r="B112" s="100" t="s">
        <v>640</v>
      </c>
      <c r="C112" s="100" t="s">
        <v>207</v>
      </c>
      <c r="D112" s="100" t="s">
        <v>374</v>
      </c>
      <c r="E112" s="100">
        <v>5.0</v>
      </c>
      <c r="F112" s="100" t="s">
        <v>656</v>
      </c>
      <c r="G112" s="100" t="s">
        <v>210</v>
      </c>
      <c r="H112" s="100" t="s">
        <v>657</v>
      </c>
      <c r="I112" s="138">
        <v>26.3</v>
      </c>
      <c r="J112" s="139">
        <v>-13.4</v>
      </c>
      <c r="K112" s="139">
        <v>1.82</v>
      </c>
      <c r="L112" s="137">
        <v>5.0</v>
      </c>
      <c r="M112" s="137" t="s">
        <v>658</v>
      </c>
      <c r="N112" s="137" t="s">
        <v>392</v>
      </c>
      <c r="O112" s="106">
        <v>10.0</v>
      </c>
      <c r="P112" s="100" t="s">
        <v>483</v>
      </c>
      <c r="Q112" s="100" t="s">
        <v>659</v>
      </c>
      <c r="R112" s="103"/>
      <c r="S112" s="103"/>
      <c r="T112" s="97"/>
      <c r="U112" s="97"/>
      <c r="V112" s="97"/>
      <c r="W112" s="97"/>
      <c r="X112" s="97"/>
    </row>
    <row r="113">
      <c r="A113" s="106" t="s">
        <v>187</v>
      </c>
      <c r="B113" s="100" t="s">
        <v>640</v>
      </c>
      <c r="C113" s="100" t="s">
        <v>207</v>
      </c>
      <c r="D113" s="100" t="s">
        <v>374</v>
      </c>
      <c r="E113" s="100">
        <v>6.0</v>
      </c>
      <c r="F113" s="100" t="s">
        <v>660</v>
      </c>
      <c r="G113" s="100" t="s">
        <v>223</v>
      </c>
      <c r="H113" s="100" t="s">
        <v>661</v>
      </c>
      <c r="I113" s="138">
        <v>26.4</v>
      </c>
      <c r="J113" s="139">
        <v>-14.5</v>
      </c>
      <c r="K113" s="139">
        <v>2.51</v>
      </c>
      <c r="L113" s="137">
        <v>6.0</v>
      </c>
      <c r="M113" s="137" t="s">
        <v>662</v>
      </c>
      <c r="N113" s="137" t="s">
        <v>384</v>
      </c>
      <c r="O113" s="106">
        <v>6.0</v>
      </c>
      <c r="P113" s="100" t="s">
        <v>480</v>
      </c>
      <c r="Q113" s="100" t="s">
        <v>663</v>
      </c>
      <c r="R113" s="103"/>
      <c r="S113" s="103"/>
      <c r="T113" s="97"/>
      <c r="U113" s="97"/>
      <c r="V113" s="97"/>
      <c r="W113" s="97"/>
      <c r="X113" s="97"/>
    </row>
    <row r="114">
      <c r="A114" s="106" t="s">
        <v>187</v>
      </c>
      <c r="B114" s="100" t="s">
        <v>664</v>
      </c>
      <c r="C114" s="100" t="s">
        <v>197</v>
      </c>
      <c r="D114" s="100" t="s">
        <v>379</v>
      </c>
      <c r="E114" s="100">
        <v>1.0</v>
      </c>
      <c r="F114" s="100" t="s">
        <v>665</v>
      </c>
      <c r="G114" s="100" t="s">
        <v>272</v>
      </c>
      <c r="H114" s="100" t="s">
        <v>666</v>
      </c>
      <c r="I114" s="107">
        <v>37.1</v>
      </c>
      <c r="J114" s="107">
        <v>-6.9</v>
      </c>
      <c r="K114" s="107">
        <v>6.5</v>
      </c>
      <c r="L114" s="100">
        <v>1.0</v>
      </c>
      <c r="M114" s="100" t="s">
        <v>667</v>
      </c>
      <c r="N114" s="100" t="s">
        <v>380</v>
      </c>
      <c r="O114" s="100">
        <v>4.0</v>
      </c>
      <c r="P114" s="100" t="s">
        <v>483</v>
      </c>
      <c r="Q114" s="100" t="s">
        <v>668</v>
      </c>
      <c r="R114" s="103"/>
      <c r="S114" s="103"/>
      <c r="T114" s="97"/>
      <c r="U114" s="97"/>
      <c r="V114" s="97"/>
      <c r="W114" s="97"/>
      <c r="X114" s="97"/>
    </row>
    <row r="115">
      <c r="A115" s="106" t="s">
        <v>187</v>
      </c>
      <c r="B115" s="100" t="s">
        <v>664</v>
      </c>
      <c r="C115" s="100" t="s">
        <v>197</v>
      </c>
      <c r="D115" s="100" t="s">
        <v>379</v>
      </c>
      <c r="E115" s="100">
        <v>1.0</v>
      </c>
      <c r="F115" s="100" t="s">
        <v>665</v>
      </c>
      <c r="G115" s="100" t="s">
        <v>272</v>
      </c>
      <c r="H115" s="100" t="s">
        <v>666</v>
      </c>
      <c r="I115" s="107">
        <v>37.1</v>
      </c>
      <c r="J115" s="107">
        <v>-6.9</v>
      </c>
      <c r="K115" s="107">
        <v>6.5</v>
      </c>
      <c r="L115" s="100">
        <v>2.0</v>
      </c>
      <c r="M115" s="100" t="s">
        <v>669</v>
      </c>
      <c r="N115" s="100" t="s">
        <v>384</v>
      </c>
      <c r="O115" s="100">
        <v>6.0</v>
      </c>
      <c r="P115" s="100" t="s">
        <v>483</v>
      </c>
      <c r="Q115" s="100" t="s">
        <v>670</v>
      </c>
      <c r="R115" s="103"/>
      <c r="S115" s="103"/>
      <c r="T115" s="97"/>
      <c r="U115" s="97"/>
      <c r="V115" s="97"/>
      <c r="W115" s="97"/>
      <c r="X115" s="97"/>
    </row>
    <row r="116">
      <c r="A116" s="106" t="s">
        <v>187</v>
      </c>
      <c r="B116" s="100" t="s">
        <v>664</v>
      </c>
      <c r="C116" s="100" t="s">
        <v>197</v>
      </c>
      <c r="D116" s="100" t="s">
        <v>379</v>
      </c>
      <c r="E116" s="100">
        <v>1.0</v>
      </c>
      <c r="F116" s="100" t="s">
        <v>665</v>
      </c>
      <c r="G116" s="100" t="s">
        <v>272</v>
      </c>
      <c r="H116" s="100" t="s">
        <v>666</v>
      </c>
      <c r="I116" s="107">
        <v>37.1</v>
      </c>
      <c r="J116" s="107">
        <v>-6.9</v>
      </c>
      <c r="K116" s="107">
        <v>6.5</v>
      </c>
      <c r="L116" s="100">
        <v>3.0</v>
      </c>
      <c r="M116" s="100" t="s">
        <v>671</v>
      </c>
      <c r="N116" s="100" t="s">
        <v>388</v>
      </c>
      <c r="O116" s="100">
        <v>8.0</v>
      </c>
      <c r="P116" s="100" t="s">
        <v>511</v>
      </c>
      <c r="Q116" s="100" t="s">
        <v>672</v>
      </c>
      <c r="R116" s="103"/>
      <c r="S116" s="103"/>
      <c r="T116" s="97"/>
      <c r="U116" s="97"/>
      <c r="V116" s="97"/>
      <c r="W116" s="97"/>
      <c r="X116" s="97"/>
    </row>
    <row r="117">
      <c r="A117" s="106" t="s">
        <v>187</v>
      </c>
      <c r="B117" s="100" t="s">
        <v>664</v>
      </c>
      <c r="C117" s="100" t="s">
        <v>197</v>
      </c>
      <c r="D117" s="100" t="s">
        <v>379</v>
      </c>
      <c r="E117" s="100">
        <v>1.0</v>
      </c>
      <c r="F117" s="100" t="s">
        <v>665</v>
      </c>
      <c r="G117" s="100" t="s">
        <v>272</v>
      </c>
      <c r="H117" s="100" t="s">
        <v>666</v>
      </c>
      <c r="I117" s="107">
        <v>37.1</v>
      </c>
      <c r="J117" s="107">
        <v>-6.9</v>
      </c>
      <c r="K117" s="107">
        <v>6.5</v>
      </c>
      <c r="L117" s="100">
        <v>4.0</v>
      </c>
      <c r="M117" s="100" t="s">
        <v>673</v>
      </c>
      <c r="N117" s="100" t="s">
        <v>392</v>
      </c>
      <c r="O117" s="100">
        <v>10.0</v>
      </c>
      <c r="P117" s="100" t="s">
        <v>483</v>
      </c>
      <c r="Q117" s="100" t="s">
        <v>674</v>
      </c>
      <c r="R117" s="103"/>
      <c r="S117" s="103"/>
      <c r="T117" s="97"/>
      <c r="U117" s="97"/>
      <c r="V117" s="97"/>
      <c r="W117" s="97"/>
      <c r="X117" s="97"/>
    </row>
    <row r="118">
      <c r="A118" s="106" t="s">
        <v>188</v>
      </c>
      <c r="B118" s="100" t="s">
        <v>675</v>
      </c>
      <c r="C118" s="100" t="s">
        <v>378</v>
      </c>
      <c r="D118" s="100" t="s">
        <v>383</v>
      </c>
      <c r="E118" s="100">
        <v>1.0</v>
      </c>
      <c r="F118" s="100" t="s">
        <v>676</v>
      </c>
      <c r="G118" s="100" t="s">
        <v>217</v>
      </c>
      <c r="H118" s="100" t="s">
        <v>677</v>
      </c>
      <c r="I118" s="138">
        <v>22.7</v>
      </c>
      <c r="J118" s="139">
        <v>-39.7</v>
      </c>
      <c r="K118" s="139">
        <v>1.82</v>
      </c>
      <c r="L118" s="137">
        <v>1.0</v>
      </c>
      <c r="M118" s="137" t="s">
        <v>678</v>
      </c>
      <c r="N118" s="137" t="s">
        <v>395</v>
      </c>
      <c r="O118" s="106">
        <v>4.0</v>
      </c>
      <c r="P118" s="100" t="s">
        <v>323</v>
      </c>
      <c r="Q118" s="100" t="s">
        <v>679</v>
      </c>
      <c r="R118" s="103"/>
      <c r="S118" s="103"/>
      <c r="T118" s="97"/>
      <c r="U118" s="97"/>
      <c r="V118" s="97"/>
      <c r="W118" s="97"/>
      <c r="X118" s="97"/>
    </row>
    <row r="119">
      <c r="A119" s="106" t="s">
        <v>188</v>
      </c>
      <c r="B119" s="100" t="s">
        <v>675</v>
      </c>
      <c r="C119" s="100" t="s">
        <v>378</v>
      </c>
      <c r="D119" s="100" t="s">
        <v>383</v>
      </c>
      <c r="E119" s="100">
        <v>1.0</v>
      </c>
      <c r="F119" s="100" t="s">
        <v>676</v>
      </c>
      <c r="G119" s="100" t="s">
        <v>217</v>
      </c>
      <c r="H119" s="100" t="s">
        <v>677</v>
      </c>
      <c r="I119" s="138">
        <v>22.7</v>
      </c>
      <c r="J119" s="139">
        <v>-39.7</v>
      </c>
      <c r="K119" s="139">
        <v>1.82</v>
      </c>
      <c r="L119" s="137">
        <v>2.0</v>
      </c>
      <c r="M119" s="137" t="s">
        <v>680</v>
      </c>
      <c r="N119" s="137" t="s">
        <v>398</v>
      </c>
      <c r="O119" s="106">
        <v>6.0</v>
      </c>
      <c r="P119" s="100" t="s">
        <v>323</v>
      </c>
      <c r="Q119" s="100" t="s">
        <v>681</v>
      </c>
      <c r="R119" s="103"/>
      <c r="S119" s="103"/>
      <c r="T119" s="97"/>
      <c r="U119" s="97"/>
      <c r="V119" s="97"/>
      <c r="W119" s="97"/>
      <c r="X119" s="97"/>
    </row>
    <row r="120">
      <c r="A120" s="106" t="s">
        <v>188</v>
      </c>
      <c r="B120" s="100" t="s">
        <v>675</v>
      </c>
      <c r="C120" s="100" t="s">
        <v>378</v>
      </c>
      <c r="D120" s="100" t="s">
        <v>383</v>
      </c>
      <c r="E120" s="100">
        <v>1.0</v>
      </c>
      <c r="F120" s="100" t="s">
        <v>676</v>
      </c>
      <c r="G120" s="100" t="s">
        <v>217</v>
      </c>
      <c r="H120" s="100" t="s">
        <v>677</v>
      </c>
      <c r="I120" s="138">
        <v>22.7</v>
      </c>
      <c r="J120" s="139">
        <v>-39.7</v>
      </c>
      <c r="K120" s="139">
        <v>1.82</v>
      </c>
      <c r="L120" s="137">
        <v>3.0</v>
      </c>
      <c r="M120" s="137" t="s">
        <v>682</v>
      </c>
      <c r="N120" s="137" t="s">
        <v>403</v>
      </c>
      <c r="O120" s="106">
        <v>8.0</v>
      </c>
      <c r="P120" s="100" t="s">
        <v>323</v>
      </c>
      <c r="Q120" s="100" t="s">
        <v>683</v>
      </c>
      <c r="R120" s="103"/>
      <c r="S120" s="103"/>
      <c r="T120" s="97"/>
      <c r="U120" s="97"/>
      <c r="V120" s="97"/>
      <c r="W120" s="97"/>
      <c r="X120" s="97"/>
    </row>
    <row r="121">
      <c r="A121" s="106" t="s">
        <v>188</v>
      </c>
      <c r="B121" s="100" t="s">
        <v>675</v>
      </c>
      <c r="C121" s="100" t="s">
        <v>378</v>
      </c>
      <c r="D121" s="100" t="s">
        <v>383</v>
      </c>
      <c r="E121" s="100">
        <v>1.0</v>
      </c>
      <c r="F121" s="100" t="s">
        <v>676</v>
      </c>
      <c r="G121" s="100" t="s">
        <v>217</v>
      </c>
      <c r="H121" s="100" t="s">
        <v>677</v>
      </c>
      <c r="I121" s="138">
        <v>22.7</v>
      </c>
      <c r="J121" s="139">
        <v>-39.7</v>
      </c>
      <c r="K121" s="139">
        <v>1.8</v>
      </c>
      <c r="L121" s="137">
        <v>4.0</v>
      </c>
      <c r="M121" s="137" t="s">
        <v>684</v>
      </c>
      <c r="N121" s="137" t="s">
        <v>407</v>
      </c>
      <c r="O121" s="106">
        <v>15.75</v>
      </c>
      <c r="P121" s="100" t="s">
        <v>323</v>
      </c>
      <c r="Q121" s="100" t="s">
        <v>685</v>
      </c>
      <c r="R121" s="103"/>
      <c r="S121" s="103"/>
      <c r="T121" s="97"/>
      <c r="U121" s="97"/>
      <c r="V121" s="97"/>
      <c r="W121" s="97"/>
      <c r="X121" s="97"/>
    </row>
    <row r="122">
      <c r="A122" s="109" t="s">
        <v>188</v>
      </c>
      <c r="B122" s="110" t="s">
        <v>675</v>
      </c>
      <c r="C122" s="110" t="s">
        <v>378</v>
      </c>
      <c r="D122" s="110" t="s">
        <v>383</v>
      </c>
      <c r="E122" s="110">
        <v>1.0</v>
      </c>
      <c r="F122" s="110" t="s">
        <v>676</v>
      </c>
      <c r="G122" s="110" t="s">
        <v>217</v>
      </c>
      <c r="H122" s="110" t="s">
        <v>677</v>
      </c>
      <c r="I122" s="118">
        <v>22.7</v>
      </c>
      <c r="J122" s="119">
        <v>-39.7</v>
      </c>
      <c r="K122" s="119">
        <v>1.81</v>
      </c>
      <c r="L122" s="120">
        <v>5.0</v>
      </c>
      <c r="M122" s="120" t="s">
        <v>686</v>
      </c>
      <c r="N122" s="120" t="s">
        <v>410</v>
      </c>
      <c r="O122" s="109">
        <v>22.1</v>
      </c>
      <c r="P122" s="110" t="s">
        <v>323</v>
      </c>
      <c r="Q122" s="110" t="s">
        <v>687</v>
      </c>
      <c r="R122" s="103"/>
      <c r="S122" s="103"/>
      <c r="T122" s="97"/>
      <c r="U122" s="97"/>
      <c r="V122" s="97"/>
      <c r="W122" s="97"/>
      <c r="X122" s="97"/>
    </row>
    <row r="123">
      <c r="A123" s="98" t="s">
        <v>188</v>
      </c>
      <c r="B123" s="113" t="s">
        <v>688</v>
      </c>
      <c r="C123" s="113" t="s">
        <v>378</v>
      </c>
      <c r="D123" s="113" t="s">
        <v>383</v>
      </c>
      <c r="E123" s="113">
        <v>2.0</v>
      </c>
      <c r="F123" s="113" t="s">
        <v>689</v>
      </c>
      <c r="G123" s="113" t="s">
        <v>225</v>
      </c>
      <c r="H123" s="113" t="s">
        <v>690</v>
      </c>
      <c r="I123" s="114">
        <v>22.7</v>
      </c>
      <c r="J123" s="115">
        <v>-39.7</v>
      </c>
      <c r="K123" s="115">
        <v>1.09</v>
      </c>
      <c r="L123" s="116">
        <v>1.0</v>
      </c>
      <c r="M123" s="116" t="s">
        <v>691</v>
      </c>
      <c r="N123" s="116" t="s">
        <v>395</v>
      </c>
      <c r="O123" s="98">
        <v>4.0</v>
      </c>
      <c r="P123" s="113" t="s">
        <v>323</v>
      </c>
      <c r="Q123" s="113" t="s">
        <v>692</v>
      </c>
      <c r="R123" s="103"/>
      <c r="S123" s="103"/>
      <c r="T123" s="97"/>
      <c r="U123" s="97"/>
      <c r="V123" s="97"/>
      <c r="W123" s="97"/>
      <c r="X123" s="97"/>
    </row>
    <row r="124">
      <c r="A124" s="106" t="s">
        <v>188</v>
      </c>
      <c r="B124" s="100" t="s">
        <v>688</v>
      </c>
      <c r="C124" s="100" t="s">
        <v>378</v>
      </c>
      <c r="D124" s="100" t="s">
        <v>383</v>
      </c>
      <c r="E124" s="100">
        <v>2.0</v>
      </c>
      <c r="F124" s="100" t="s">
        <v>689</v>
      </c>
      <c r="G124" s="100" t="s">
        <v>225</v>
      </c>
      <c r="H124" s="100" t="s">
        <v>690</v>
      </c>
      <c r="I124" s="138">
        <v>22.7</v>
      </c>
      <c r="J124" s="139">
        <v>-39.7</v>
      </c>
      <c r="K124" s="139">
        <v>1.09</v>
      </c>
      <c r="L124" s="137">
        <v>2.0</v>
      </c>
      <c r="M124" s="137" t="s">
        <v>693</v>
      </c>
      <c r="N124" s="137" t="s">
        <v>398</v>
      </c>
      <c r="O124" s="106">
        <v>6.0</v>
      </c>
      <c r="P124" s="100" t="s">
        <v>323</v>
      </c>
      <c r="Q124" s="100" t="s">
        <v>694</v>
      </c>
      <c r="R124" s="103"/>
      <c r="S124" s="103"/>
      <c r="T124" s="97"/>
      <c r="U124" s="97"/>
      <c r="V124" s="97"/>
      <c r="W124" s="97"/>
      <c r="X124" s="97"/>
    </row>
    <row r="125">
      <c r="A125" s="106" t="s">
        <v>188</v>
      </c>
      <c r="B125" s="100" t="s">
        <v>688</v>
      </c>
      <c r="C125" s="100" t="s">
        <v>378</v>
      </c>
      <c r="D125" s="100" t="s">
        <v>383</v>
      </c>
      <c r="E125" s="100">
        <v>2.0</v>
      </c>
      <c r="F125" s="100" t="s">
        <v>689</v>
      </c>
      <c r="G125" s="100" t="s">
        <v>225</v>
      </c>
      <c r="H125" s="100" t="s">
        <v>690</v>
      </c>
      <c r="I125" s="138">
        <v>22.7</v>
      </c>
      <c r="J125" s="139">
        <v>-39.7</v>
      </c>
      <c r="K125" s="139">
        <v>1.09</v>
      </c>
      <c r="L125" s="137">
        <v>3.0</v>
      </c>
      <c r="M125" s="137" t="s">
        <v>695</v>
      </c>
      <c r="N125" s="137" t="s">
        <v>403</v>
      </c>
      <c r="O125" s="106">
        <v>8.0</v>
      </c>
      <c r="P125" s="100" t="s">
        <v>323</v>
      </c>
      <c r="Q125" s="100" t="s">
        <v>696</v>
      </c>
      <c r="R125" s="103"/>
      <c r="S125" s="103"/>
      <c r="T125" s="97"/>
      <c r="U125" s="97"/>
      <c r="V125" s="97"/>
      <c r="W125" s="97"/>
      <c r="X125" s="97"/>
    </row>
    <row r="126">
      <c r="A126" s="106" t="s">
        <v>188</v>
      </c>
      <c r="B126" s="100" t="s">
        <v>688</v>
      </c>
      <c r="C126" s="100" t="s">
        <v>378</v>
      </c>
      <c r="D126" s="100" t="s">
        <v>383</v>
      </c>
      <c r="E126" s="100">
        <v>2.0</v>
      </c>
      <c r="F126" s="100" t="s">
        <v>689</v>
      </c>
      <c r="G126" s="100" t="s">
        <v>225</v>
      </c>
      <c r="H126" s="100" t="s">
        <v>690</v>
      </c>
      <c r="I126" s="138">
        <v>22.7</v>
      </c>
      <c r="J126" s="139">
        <v>-39.7</v>
      </c>
      <c r="K126" s="139">
        <v>1.1</v>
      </c>
      <c r="L126" s="137">
        <v>4.0</v>
      </c>
      <c r="M126" s="137" t="s">
        <v>697</v>
      </c>
      <c r="N126" s="137" t="s">
        <v>407</v>
      </c>
      <c r="O126" s="106">
        <v>15.75</v>
      </c>
      <c r="P126" s="100" t="s">
        <v>323</v>
      </c>
      <c r="Q126" s="100" t="s">
        <v>698</v>
      </c>
      <c r="R126" s="103"/>
      <c r="S126" s="103"/>
      <c r="T126" s="97"/>
      <c r="U126" s="97"/>
      <c r="V126" s="97"/>
      <c r="W126" s="97"/>
      <c r="X126" s="97"/>
    </row>
    <row r="127">
      <c r="A127" s="109" t="s">
        <v>188</v>
      </c>
      <c r="B127" s="110" t="s">
        <v>688</v>
      </c>
      <c r="C127" s="110" t="s">
        <v>378</v>
      </c>
      <c r="D127" s="110" t="s">
        <v>383</v>
      </c>
      <c r="E127" s="110">
        <v>2.0</v>
      </c>
      <c r="F127" s="110" t="s">
        <v>689</v>
      </c>
      <c r="G127" s="110" t="s">
        <v>225</v>
      </c>
      <c r="H127" s="110" t="s">
        <v>690</v>
      </c>
      <c r="I127" s="118">
        <v>22.7</v>
      </c>
      <c r="J127" s="119">
        <v>-39.7</v>
      </c>
      <c r="K127" s="119">
        <v>1.09</v>
      </c>
      <c r="L127" s="120">
        <v>5.0</v>
      </c>
      <c r="M127" s="120" t="s">
        <v>699</v>
      </c>
      <c r="N127" s="120" t="s">
        <v>410</v>
      </c>
      <c r="O127" s="109">
        <v>22.1</v>
      </c>
      <c r="P127" s="110" t="s">
        <v>323</v>
      </c>
      <c r="Q127" s="110" t="s">
        <v>700</v>
      </c>
      <c r="R127" s="103"/>
      <c r="S127" s="103"/>
      <c r="T127" s="97"/>
      <c r="U127" s="97"/>
      <c r="V127" s="97"/>
      <c r="W127" s="97"/>
      <c r="X127" s="97"/>
    </row>
    <row r="128">
      <c r="A128" s="98" t="s">
        <v>188</v>
      </c>
      <c r="B128" s="99" t="s">
        <v>701</v>
      </c>
      <c r="C128" s="99" t="s">
        <v>196</v>
      </c>
      <c r="D128" s="99" t="s">
        <v>387</v>
      </c>
      <c r="E128" s="99">
        <v>1.0</v>
      </c>
      <c r="F128" s="99" t="s">
        <v>702</v>
      </c>
      <c r="G128" s="99" t="s">
        <v>216</v>
      </c>
      <c r="H128" s="99" t="s">
        <v>703</v>
      </c>
      <c r="I128" s="134">
        <v>21.7</v>
      </c>
      <c r="J128" s="135">
        <v>-39.5</v>
      </c>
      <c r="K128" s="135">
        <v>1.87</v>
      </c>
      <c r="L128" s="133">
        <v>1.0</v>
      </c>
      <c r="M128" s="133" t="s">
        <v>704</v>
      </c>
      <c r="N128" s="133" t="s">
        <v>413</v>
      </c>
      <c r="O128" s="98">
        <v>26.6</v>
      </c>
      <c r="P128" s="99" t="s">
        <v>323</v>
      </c>
      <c r="Q128" s="99" t="s">
        <v>705</v>
      </c>
      <c r="R128" s="103"/>
      <c r="S128" s="103"/>
      <c r="T128" s="97"/>
      <c r="U128" s="97"/>
      <c r="V128" s="97"/>
      <c r="W128" s="97"/>
      <c r="X128" s="97"/>
    </row>
    <row r="129">
      <c r="A129" s="109" t="s">
        <v>188</v>
      </c>
      <c r="B129" s="110" t="s">
        <v>701</v>
      </c>
      <c r="C129" s="110" t="s">
        <v>196</v>
      </c>
      <c r="D129" s="110" t="s">
        <v>387</v>
      </c>
      <c r="E129" s="110">
        <v>1.0</v>
      </c>
      <c r="F129" s="110" t="s">
        <v>702</v>
      </c>
      <c r="G129" s="110" t="s">
        <v>216</v>
      </c>
      <c r="H129" s="110" t="s">
        <v>703</v>
      </c>
      <c r="I129" s="118">
        <v>21.7</v>
      </c>
      <c r="J129" s="119">
        <v>-39.5</v>
      </c>
      <c r="K129" s="119">
        <v>1.85</v>
      </c>
      <c r="L129" s="120">
        <v>2.0</v>
      </c>
      <c r="M129" s="120" t="s">
        <v>706</v>
      </c>
      <c r="N129" s="120" t="s">
        <v>416</v>
      </c>
      <c r="O129" s="109">
        <v>52.5</v>
      </c>
      <c r="P129" s="110" t="s">
        <v>323</v>
      </c>
      <c r="Q129" s="110" t="s">
        <v>707</v>
      </c>
      <c r="R129" s="103"/>
      <c r="S129" s="103"/>
      <c r="T129" s="97"/>
      <c r="U129" s="97"/>
      <c r="V129" s="97"/>
      <c r="W129" s="97"/>
      <c r="X129" s="97"/>
    </row>
    <row r="130">
      <c r="A130" s="142" t="s">
        <v>188</v>
      </c>
      <c r="B130" s="129" t="s">
        <v>701</v>
      </c>
      <c r="C130" s="129" t="s">
        <v>196</v>
      </c>
      <c r="D130" s="129" t="s">
        <v>387</v>
      </c>
      <c r="E130" s="129">
        <v>1.0</v>
      </c>
      <c r="F130" s="129" t="s">
        <v>702</v>
      </c>
      <c r="G130" s="129" t="s">
        <v>216</v>
      </c>
      <c r="H130" s="129" t="s">
        <v>703</v>
      </c>
      <c r="I130" s="130">
        <v>21.7</v>
      </c>
      <c r="J130" s="131">
        <v>-39.5</v>
      </c>
      <c r="K130" s="131">
        <v>1.85</v>
      </c>
      <c r="L130" s="132">
        <v>3.0</v>
      </c>
      <c r="M130" s="132" t="s">
        <v>708</v>
      </c>
      <c r="N130" s="132" t="s">
        <v>419</v>
      </c>
      <c r="O130" s="142">
        <v>77.9</v>
      </c>
      <c r="P130" s="129" t="s">
        <v>323</v>
      </c>
      <c r="Q130" s="129" t="s">
        <v>709</v>
      </c>
      <c r="R130" s="103"/>
      <c r="S130" s="103"/>
      <c r="T130" s="97"/>
      <c r="U130" s="97"/>
      <c r="V130" s="97"/>
      <c r="W130" s="97"/>
      <c r="X130" s="97"/>
    </row>
    <row r="131">
      <c r="A131" s="142" t="s">
        <v>188</v>
      </c>
      <c r="B131" s="129" t="s">
        <v>701</v>
      </c>
      <c r="C131" s="129" t="s">
        <v>196</v>
      </c>
      <c r="D131" s="129" t="s">
        <v>387</v>
      </c>
      <c r="E131" s="129">
        <v>1.0</v>
      </c>
      <c r="F131" s="129" t="s">
        <v>702</v>
      </c>
      <c r="G131" s="129" t="s">
        <v>216</v>
      </c>
      <c r="H131" s="129" t="s">
        <v>703</v>
      </c>
      <c r="I131" s="130">
        <v>21.7</v>
      </c>
      <c r="J131" s="131">
        <v>-39.5</v>
      </c>
      <c r="K131" s="131">
        <v>1.85</v>
      </c>
      <c r="L131" s="132">
        <v>4.0</v>
      </c>
      <c r="M131" s="132" t="s">
        <v>710</v>
      </c>
      <c r="N131" s="132" t="s">
        <v>422</v>
      </c>
      <c r="O131" s="142">
        <v>102.3</v>
      </c>
      <c r="P131" s="129" t="s">
        <v>323</v>
      </c>
      <c r="Q131" s="129" t="s">
        <v>711</v>
      </c>
      <c r="R131" s="103"/>
      <c r="S131" s="103"/>
      <c r="T131" s="97"/>
      <c r="U131" s="97"/>
      <c r="V131" s="97"/>
      <c r="W131" s="97"/>
      <c r="X131" s="97"/>
    </row>
    <row r="132">
      <c r="A132" s="147" t="s">
        <v>188</v>
      </c>
      <c r="B132" s="148" t="s">
        <v>712</v>
      </c>
      <c r="C132" s="148" t="s">
        <v>196</v>
      </c>
      <c r="D132" s="148" t="s">
        <v>387</v>
      </c>
      <c r="E132" s="148">
        <v>2.0</v>
      </c>
      <c r="F132" s="148" t="s">
        <v>713</v>
      </c>
      <c r="G132" s="148" t="s">
        <v>224</v>
      </c>
      <c r="H132" s="148" t="s">
        <v>714</v>
      </c>
      <c r="I132" s="149">
        <v>21.7</v>
      </c>
      <c r="J132" s="150">
        <v>-39.5</v>
      </c>
      <c r="K132" s="150">
        <v>1.28</v>
      </c>
      <c r="L132" s="151">
        <v>1.0</v>
      </c>
      <c r="M132" s="151" t="s">
        <v>715</v>
      </c>
      <c r="N132" s="151" t="s">
        <v>413</v>
      </c>
      <c r="O132" s="147">
        <v>26.6</v>
      </c>
      <c r="P132" s="148" t="s">
        <v>323</v>
      </c>
      <c r="Q132" s="148" t="s">
        <v>716</v>
      </c>
      <c r="R132" s="103"/>
      <c r="S132" s="103"/>
      <c r="T132" s="97"/>
      <c r="U132" s="97"/>
      <c r="V132" s="97"/>
      <c r="W132" s="97"/>
      <c r="X132" s="97"/>
    </row>
    <row r="133">
      <c r="A133" s="98" t="s">
        <v>188</v>
      </c>
      <c r="B133" s="99" t="s">
        <v>712</v>
      </c>
      <c r="C133" s="99" t="s">
        <v>196</v>
      </c>
      <c r="D133" s="99" t="s">
        <v>387</v>
      </c>
      <c r="E133" s="99">
        <v>2.0</v>
      </c>
      <c r="F133" s="99" t="s">
        <v>713</v>
      </c>
      <c r="G133" s="99" t="s">
        <v>224</v>
      </c>
      <c r="H133" s="99" t="s">
        <v>714</v>
      </c>
      <c r="I133" s="134">
        <v>21.7</v>
      </c>
      <c r="J133" s="135">
        <v>-39.5</v>
      </c>
      <c r="K133" s="135">
        <v>1.26</v>
      </c>
      <c r="L133" s="133">
        <v>2.0</v>
      </c>
      <c r="M133" s="133" t="s">
        <v>717</v>
      </c>
      <c r="N133" s="133" t="s">
        <v>416</v>
      </c>
      <c r="O133" s="98">
        <v>52.5</v>
      </c>
      <c r="P133" s="99" t="s">
        <v>323</v>
      </c>
      <c r="Q133" s="99" t="s">
        <v>718</v>
      </c>
      <c r="R133" s="103"/>
      <c r="S133" s="103"/>
      <c r="T133" s="97"/>
      <c r="U133" s="97"/>
      <c r="V133" s="97"/>
      <c r="W133" s="97"/>
      <c r="X133" s="97"/>
    </row>
    <row r="134">
      <c r="A134" s="109" t="s">
        <v>188</v>
      </c>
      <c r="B134" s="110" t="s">
        <v>712</v>
      </c>
      <c r="C134" s="110" t="s">
        <v>196</v>
      </c>
      <c r="D134" s="110" t="s">
        <v>387</v>
      </c>
      <c r="E134" s="110">
        <v>2.0</v>
      </c>
      <c r="F134" s="110" t="s">
        <v>713</v>
      </c>
      <c r="G134" s="110" t="s">
        <v>224</v>
      </c>
      <c r="H134" s="110" t="s">
        <v>714</v>
      </c>
      <c r="I134" s="118">
        <v>21.7</v>
      </c>
      <c r="J134" s="119">
        <v>-39.5</v>
      </c>
      <c r="K134" s="119">
        <v>1.26</v>
      </c>
      <c r="L134" s="120">
        <v>3.0</v>
      </c>
      <c r="M134" s="120" t="s">
        <v>719</v>
      </c>
      <c r="N134" s="120" t="s">
        <v>419</v>
      </c>
      <c r="O134" s="109">
        <v>77.9</v>
      </c>
      <c r="P134" s="110" t="s">
        <v>323</v>
      </c>
      <c r="Q134" s="110" t="s">
        <v>720</v>
      </c>
      <c r="R134" s="103"/>
      <c r="S134" s="103"/>
      <c r="T134" s="97"/>
      <c r="U134" s="97"/>
      <c r="V134" s="97"/>
      <c r="W134" s="97"/>
      <c r="X134" s="97"/>
    </row>
    <row r="135">
      <c r="A135" s="142" t="s">
        <v>188</v>
      </c>
      <c r="B135" s="129" t="s">
        <v>712</v>
      </c>
      <c r="C135" s="129" t="s">
        <v>196</v>
      </c>
      <c r="D135" s="129" t="s">
        <v>387</v>
      </c>
      <c r="E135" s="129">
        <v>2.0</v>
      </c>
      <c r="F135" s="129" t="s">
        <v>713</v>
      </c>
      <c r="G135" s="129" t="s">
        <v>224</v>
      </c>
      <c r="H135" s="129" t="s">
        <v>714</v>
      </c>
      <c r="I135" s="130">
        <v>21.7</v>
      </c>
      <c r="J135" s="131">
        <v>-39.5</v>
      </c>
      <c r="K135" s="131">
        <v>1.29</v>
      </c>
      <c r="L135" s="132">
        <v>4.0</v>
      </c>
      <c r="M135" s="132" t="s">
        <v>721</v>
      </c>
      <c r="N135" s="132" t="s">
        <v>422</v>
      </c>
      <c r="O135" s="142">
        <v>102.3</v>
      </c>
      <c r="P135" s="129" t="s">
        <v>323</v>
      </c>
      <c r="Q135" s="129" t="s">
        <v>722</v>
      </c>
      <c r="R135" s="103"/>
      <c r="S135" s="103"/>
      <c r="T135" s="97"/>
      <c r="U135" s="97"/>
      <c r="V135" s="97"/>
      <c r="W135" s="97"/>
      <c r="X135" s="97"/>
    </row>
    <row r="136">
      <c r="A136" s="98" t="s">
        <v>188</v>
      </c>
      <c r="B136" s="113" t="s">
        <v>712</v>
      </c>
      <c r="C136" s="113" t="s">
        <v>196</v>
      </c>
      <c r="D136" s="113" t="s">
        <v>387</v>
      </c>
      <c r="E136" s="113">
        <v>3.0</v>
      </c>
      <c r="F136" s="113" t="s">
        <v>723</v>
      </c>
      <c r="G136" s="113" t="s">
        <v>267</v>
      </c>
      <c r="H136" s="113" t="s">
        <v>724</v>
      </c>
      <c r="I136" s="114">
        <v>21.7</v>
      </c>
      <c r="J136" s="115">
        <v>-39.5</v>
      </c>
      <c r="K136" s="115">
        <v>2.46</v>
      </c>
      <c r="L136" s="116">
        <v>3.0</v>
      </c>
      <c r="M136" s="116" t="s">
        <v>725</v>
      </c>
      <c r="N136" s="116" t="s">
        <v>416</v>
      </c>
      <c r="O136" s="98">
        <v>52.5</v>
      </c>
      <c r="P136" s="113" t="s">
        <v>323</v>
      </c>
      <c r="Q136" s="113" t="s">
        <v>726</v>
      </c>
      <c r="R136" s="103"/>
      <c r="S136" s="103"/>
      <c r="T136" s="97"/>
      <c r="U136" s="97"/>
      <c r="V136" s="97"/>
      <c r="W136" s="97"/>
      <c r="X136" s="97"/>
    </row>
    <row r="137">
      <c r="A137" s="106" t="s">
        <v>188</v>
      </c>
      <c r="B137" s="100" t="s">
        <v>712</v>
      </c>
      <c r="C137" s="100" t="s">
        <v>196</v>
      </c>
      <c r="D137" s="100" t="s">
        <v>387</v>
      </c>
      <c r="E137" s="100">
        <v>3.0</v>
      </c>
      <c r="F137" s="100" t="s">
        <v>723</v>
      </c>
      <c r="G137" s="100" t="s">
        <v>267</v>
      </c>
      <c r="H137" s="100" t="s">
        <v>724</v>
      </c>
      <c r="I137" s="138">
        <v>21.7</v>
      </c>
      <c r="J137" s="139">
        <v>-39.5</v>
      </c>
      <c r="K137" s="139">
        <v>2.37</v>
      </c>
      <c r="L137" s="137">
        <v>4.0</v>
      </c>
      <c r="M137" s="137" t="s">
        <v>727</v>
      </c>
      <c r="N137" s="137" t="s">
        <v>419</v>
      </c>
      <c r="O137" s="106">
        <v>77.9</v>
      </c>
      <c r="P137" s="100" t="s">
        <v>323</v>
      </c>
      <c r="Q137" s="100" t="s">
        <v>728</v>
      </c>
      <c r="R137" s="103"/>
      <c r="S137" s="103"/>
      <c r="T137" s="97"/>
      <c r="U137" s="97"/>
      <c r="V137" s="97"/>
      <c r="W137" s="97"/>
      <c r="X137" s="97"/>
    </row>
    <row r="138">
      <c r="A138" s="152" t="s">
        <v>188</v>
      </c>
      <c r="B138" s="153"/>
      <c r="C138" s="153"/>
      <c r="D138" s="153"/>
      <c r="E138" s="153"/>
      <c r="F138" s="153"/>
      <c r="G138" s="154" t="s">
        <v>729</v>
      </c>
      <c r="H138" s="153"/>
      <c r="I138" s="155">
        <v>10.0</v>
      </c>
      <c r="J138" s="156">
        <v>-45.0</v>
      </c>
      <c r="K138" s="156">
        <v>2.0</v>
      </c>
      <c r="L138" s="157"/>
      <c r="M138" s="157"/>
      <c r="N138" s="157"/>
      <c r="O138" s="152"/>
      <c r="P138" s="153"/>
      <c r="Q138" s="153"/>
      <c r="R138" s="103"/>
      <c r="S138" s="103"/>
      <c r="T138" s="97"/>
      <c r="U138" s="97"/>
      <c r="V138" s="97"/>
      <c r="W138" s="97"/>
      <c r="X138" s="9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 max="3" width="6.25"/>
    <col customWidth="1" min="5" max="6" width="9.25"/>
    <col customWidth="1" min="7" max="7" width="5.75"/>
    <col customWidth="1" min="9" max="9" width="9.25"/>
    <col customWidth="1" min="10" max="10" width="9.63"/>
    <col customWidth="1" min="11" max="11" width="6.38"/>
    <col customWidth="1" min="13" max="14" width="9.25"/>
    <col customWidth="1" min="15" max="15" width="5.75"/>
    <col customWidth="1" min="17" max="20" width="9.25"/>
    <col customWidth="1" min="21" max="21" width="6.0"/>
    <col customWidth="1" min="23" max="28" width="9.25"/>
    <col customWidth="1" min="29" max="29" width="6.75"/>
    <col customWidth="1" min="30" max="30" width="13.13"/>
    <col customWidth="1" min="31" max="33" width="9.25"/>
    <col customWidth="1" min="34" max="34" width="14.38"/>
    <col customWidth="1" min="35" max="36" width="9.25"/>
  </cols>
  <sheetData>
    <row r="1">
      <c r="A1" s="158" t="s">
        <v>730</v>
      </c>
      <c r="B1" s="159"/>
      <c r="G1" s="54"/>
      <c r="H1" s="54"/>
      <c r="L1" s="160"/>
      <c r="M1" s="160"/>
      <c r="N1" s="160"/>
      <c r="O1" s="160"/>
      <c r="P1" s="160"/>
      <c r="Q1" s="160"/>
      <c r="R1" s="160"/>
      <c r="S1" s="160"/>
    </row>
    <row r="2">
      <c r="A2" s="161" t="s">
        <v>731</v>
      </c>
      <c r="B2" s="162"/>
      <c r="D2" s="163" t="s">
        <v>732</v>
      </c>
      <c r="E2" s="164"/>
      <c r="G2" s="54"/>
      <c r="H2" s="54"/>
      <c r="L2" s="160"/>
      <c r="M2" s="160"/>
      <c r="N2" s="160"/>
      <c r="O2" s="160"/>
      <c r="P2" s="160"/>
      <c r="Q2" s="160"/>
      <c r="R2" s="160"/>
      <c r="S2" s="160"/>
    </row>
    <row r="3">
      <c r="A3" s="165" t="s">
        <v>733</v>
      </c>
      <c r="B3" s="166"/>
      <c r="D3" s="167" t="s">
        <v>180</v>
      </c>
      <c r="E3" s="168" t="s">
        <v>734</v>
      </c>
      <c r="G3" s="54"/>
      <c r="L3" s="160"/>
      <c r="M3" s="160"/>
      <c r="N3" s="160"/>
      <c r="O3" s="160"/>
      <c r="P3" s="160"/>
      <c r="Q3" s="160"/>
      <c r="R3" s="160"/>
      <c r="S3" s="160"/>
    </row>
    <row r="4">
      <c r="A4" s="169" t="s">
        <v>735</v>
      </c>
      <c r="B4" s="170"/>
      <c r="D4" s="167" t="s">
        <v>184</v>
      </c>
      <c r="E4" s="171"/>
      <c r="G4" s="54"/>
      <c r="L4" s="160"/>
      <c r="M4" s="160"/>
      <c r="N4" s="160"/>
      <c r="O4" s="160"/>
      <c r="P4" s="160"/>
      <c r="Q4" s="160"/>
      <c r="R4" s="160"/>
      <c r="S4" s="160"/>
    </row>
    <row r="5">
      <c r="A5" s="172" t="s">
        <v>736</v>
      </c>
      <c r="B5" s="173"/>
      <c r="D5" s="167" t="s">
        <v>175</v>
      </c>
      <c r="E5" s="168" t="s">
        <v>737</v>
      </c>
      <c r="G5" s="54"/>
      <c r="L5" s="160"/>
      <c r="M5" s="160"/>
      <c r="N5" s="160"/>
      <c r="O5" s="160"/>
      <c r="P5" s="160"/>
      <c r="Q5" s="160"/>
      <c r="R5" s="160"/>
      <c r="S5" s="160"/>
    </row>
    <row r="6">
      <c r="A6" s="174" t="s">
        <v>738</v>
      </c>
      <c r="B6" s="175"/>
      <c r="D6" s="176" t="s">
        <v>179</v>
      </c>
      <c r="E6" s="177" t="s">
        <v>737</v>
      </c>
      <c r="G6" s="54"/>
      <c r="L6" s="160"/>
      <c r="M6" s="160"/>
      <c r="N6" s="160"/>
      <c r="O6" s="160"/>
      <c r="P6" s="160"/>
      <c r="Q6" s="160"/>
      <c r="R6" s="160"/>
      <c r="S6" s="160"/>
    </row>
    <row r="7">
      <c r="A7" s="178"/>
      <c r="B7" s="54"/>
      <c r="G7" s="54"/>
      <c r="H7" s="54"/>
      <c r="L7" s="160"/>
      <c r="M7" s="160"/>
      <c r="N7" s="160"/>
      <c r="O7" s="160"/>
      <c r="P7" s="160"/>
      <c r="Q7" s="160"/>
      <c r="R7" s="160"/>
      <c r="S7" s="160"/>
    </row>
    <row r="8">
      <c r="A8" s="179" t="s">
        <v>739</v>
      </c>
      <c r="B8" s="180"/>
      <c r="C8" s="88"/>
      <c r="D8" s="88"/>
      <c r="E8" s="88"/>
      <c r="F8" s="88"/>
      <c r="G8" s="180"/>
      <c r="H8" s="180"/>
      <c r="I8" s="88"/>
      <c r="J8" s="88"/>
      <c r="K8" s="88"/>
      <c r="L8" s="181"/>
      <c r="M8" s="181"/>
      <c r="N8" s="181"/>
      <c r="O8" s="181"/>
      <c r="P8" s="181"/>
      <c r="Q8" s="181"/>
      <c r="R8" s="181"/>
      <c r="S8" s="181"/>
      <c r="T8" s="88"/>
      <c r="U8" s="88"/>
      <c r="V8" s="88"/>
      <c r="W8" s="88"/>
      <c r="X8" s="88"/>
      <c r="Y8" s="88"/>
      <c r="Z8" s="88"/>
      <c r="AA8" s="88"/>
      <c r="AB8" s="88"/>
      <c r="AC8" s="88"/>
      <c r="AD8" s="88"/>
      <c r="AE8" s="88"/>
      <c r="AF8" s="88"/>
      <c r="AG8" s="88"/>
      <c r="AH8" s="88"/>
      <c r="AI8" s="88"/>
      <c r="AJ8" s="88"/>
    </row>
    <row r="9">
      <c r="A9" s="182" t="s">
        <v>740</v>
      </c>
      <c r="B9" s="183">
        <f>COUNT(Tests!C$4:C989)</f>
        <v>2259</v>
      </c>
      <c r="E9" s="184" t="s">
        <v>732</v>
      </c>
      <c r="F9" s="185"/>
      <c r="G9" s="54"/>
      <c r="I9" s="186" t="s">
        <v>741</v>
      </c>
      <c r="J9" s="185"/>
      <c r="M9" s="186" t="s">
        <v>742</v>
      </c>
      <c r="N9" s="185"/>
      <c r="O9" s="160"/>
      <c r="Q9" s="187" t="s">
        <v>743</v>
      </c>
      <c r="R9" s="185"/>
      <c r="S9" s="187" t="s">
        <v>744</v>
      </c>
      <c r="T9" s="185"/>
      <c r="W9" s="187" t="s">
        <v>745</v>
      </c>
      <c r="X9" s="185"/>
      <c r="Y9" s="188" t="s">
        <v>746</v>
      </c>
      <c r="Z9" s="185"/>
      <c r="AA9" s="187" t="s">
        <v>747</v>
      </c>
      <c r="AB9" s="185"/>
      <c r="AD9" s="189" t="s">
        <v>748</v>
      </c>
      <c r="AE9" s="37" t="s">
        <v>743</v>
      </c>
      <c r="AF9" s="37" t="s">
        <v>744</v>
      </c>
    </row>
    <row r="10">
      <c r="A10" s="182" t="s">
        <v>179</v>
      </c>
      <c r="B10" s="183">
        <f>IFERROR(__xludf.DUMMYFUNCTION("COUNT(FILTER(Tests!C$4:C989, FIND(""TADI's purge"", Tests!P$4:P989)))"),175.0)</f>
        <v>175</v>
      </c>
      <c r="E10" s="190" t="s">
        <v>749</v>
      </c>
      <c r="F10" s="190" t="s">
        <v>162</v>
      </c>
      <c r="G10" s="54"/>
      <c r="I10" s="190" t="s">
        <v>749</v>
      </c>
      <c r="J10" s="190" t="s">
        <v>162</v>
      </c>
      <c r="M10" s="190" t="s">
        <v>749</v>
      </c>
      <c r="N10" s="190" t="s">
        <v>162</v>
      </c>
      <c r="O10" s="160"/>
      <c r="Q10" s="190" t="s">
        <v>749</v>
      </c>
      <c r="R10" s="190" t="s">
        <v>162</v>
      </c>
      <c r="S10" s="190" t="s">
        <v>749</v>
      </c>
      <c r="T10" s="190" t="s">
        <v>162</v>
      </c>
      <c r="W10" s="190" t="s">
        <v>749</v>
      </c>
      <c r="X10" s="190" t="s">
        <v>162</v>
      </c>
      <c r="Y10" s="190" t="s">
        <v>749</v>
      </c>
      <c r="Z10" s="190" t="s">
        <v>162</v>
      </c>
      <c r="AA10" s="190" t="s">
        <v>749</v>
      </c>
      <c r="AB10" s="190" t="s">
        <v>162</v>
      </c>
      <c r="AD10" s="191" t="s">
        <v>750</v>
      </c>
      <c r="AE10" s="49">
        <f>IFERROR(__xludf.DUMMYFUNCTION("COUNT(FILTER(Tests!C$4:C989, Tests!BW$4:BW989&gt;0, Tests!N$4:N989=""North""))"),467.0)</f>
        <v>467</v>
      </c>
      <c r="AF10" s="40">
        <f>IFERROR(__xludf.DUMMYFUNCTION("COUNT(FILTER(Tests!C$4:C989, Tests!BW$4:BW989&gt;0, Tests!N$4:N989=""South""))"),227.0)</f>
        <v>227</v>
      </c>
    </row>
    <row r="11">
      <c r="D11" s="191" t="s">
        <v>751</v>
      </c>
      <c r="E11" s="192">
        <f>IFERROR(__xludf.DUMMYFUNCTION("COUNT(FILTER(Tests!C$4:C989, Tests!BS$4:BS989&gt;0, Tests!U$4:U989&gt;=1, Tests!AU$4:AU989=""N"", Tests!N$4:N989=""North""))"),398.0)</f>
        <v>398</v>
      </c>
      <c r="F11" s="193">
        <f>E11/E13</f>
        <v>0.5216251638</v>
      </c>
      <c r="G11" s="194"/>
      <c r="H11" s="191" t="s">
        <v>751</v>
      </c>
      <c r="I11" s="192">
        <f>IFERROR(__xludf.DUMMYFUNCTION("COUNT(FILTER(Tests!C$4:C989, Tests!BS$4:BS989&gt;0))"),971.0)</f>
        <v>971</v>
      </c>
      <c r="J11" s="193">
        <f>I11/I13</f>
        <v>0.4595362044</v>
      </c>
      <c r="L11" s="191" t="s">
        <v>750</v>
      </c>
      <c r="M11" s="49">
        <f>IFERROR(__xludf.DUMMYFUNCTION("COUNT(FILTER(Tests!C$4:C989, Tests!BS$4:BS989&gt;0, Tests!BW$4:BW989&gt;0))"),674.0)</f>
        <v>674</v>
      </c>
      <c r="N11" s="193">
        <f>M11/M13</f>
        <v>0.6948453608</v>
      </c>
      <c r="O11" s="160"/>
      <c r="P11" s="191" t="s">
        <v>751</v>
      </c>
      <c r="Q11" s="192">
        <f>IFERROR(__xludf.DUMMYFUNCTION("COUNT(FILTER(Tests!C$4:C989, Tests!BS$4:BS989&gt;0, Tests!N$4:N989=""North""))"),654.0)</f>
        <v>654</v>
      </c>
      <c r="R11" s="193">
        <f>Q11/Q13</f>
        <v>0.4876957494</v>
      </c>
      <c r="S11" s="192">
        <f>IFERROR(__xludf.DUMMYFUNCTION("COUNT(FILTER(Tests!C$4:C989, Tests!BS$4:BS989&gt;0, Tests!N$4:N989=""South""))"),314.0)</f>
        <v>314</v>
      </c>
      <c r="T11" s="193">
        <f>S11/S13</f>
        <v>0.4590643275</v>
      </c>
      <c r="V11" s="191" t="s">
        <v>751</v>
      </c>
      <c r="W11" s="192">
        <f>IFERROR(__xludf.DUMMYFUNCTION("COUNT(FILTER(Tests!C$4:C989, Tests!BS$4:BS989&gt;0, Tests!U$4:U989&lt;1))"),207.0)</f>
        <v>207</v>
      </c>
      <c r="X11" s="193">
        <f>W11/W13</f>
        <v>0.345</v>
      </c>
      <c r="Y11" s="192">
        <f>IFERROR(__xludf.DUMMYFUNCTION("COUNT(FILTER(Tests!C$4:C989, Tests!BS$4:BS989&gt;0, Tests!U$4:U989&gt;=1, Tests!U$4:U989&lt;10))"),578.0)</f>
        <v>578</v>
      </c>
      <c r="Z11" s="193">
        <f>Y11/Y13</f>
        <v>0.4995678479</v>
      </c>
      <c r="AA11" s="192">
        <f>IFERROR(__xludf.DUMMYFUNCTION("COUNT(FILTER(Tests!C$4:C989, Tests!BS$4:BS989&gt;0, Tests!U$4:U989&gt;=10))"),186.0)</f>
        <v>186</v>
      </c>
      <c r="AB11" s="193">
        <f>AA11/AA13</f>
        <v>0.4471153846</v>
      </c>
      <c r="AD11" s="195" t="s">
        <v>752</v>
      </c>
      <c r="AE11" s="196">
        <f>IFERROR(__xludf.DUMMYFUNCTION("AVERAGE(FILTER(Tests!$BY$4:$BY989, Tests!$BW$4:$BW989&gt;0, Tests!$N$4:$N989=""North""))"),11.171644797227279)</f>
        <v>11.1716448</v>
      </c>
      <c r="AF11" s="197">
        <f>IFERROR(__xludf.DUMMYFUNCTION("AVERAGE(FILTER(Tests!$BY$4:$BY989, Tests!$BW$4:$BW989&gt;0, Tests!$N$4:$N989=""South""))"),16.522700849237197)</f>
        <v>16.52270085</v>
      </c>
    </row>
    <row r="12">
      <c r="D12" s="58" t="s">
        <v>753</v>
      </c>
      <c r="E12" s="42">
        <f>IFERROR(__xludf.DUMMYFUNCTION("COUNT(FILTER(Tests!C$4:C989, Tests!BS$4:BS989=0, Tests!U$4:U989&gt;=1, Tests!AU$4:AU989=""N"", Tests!N$4:N989=""North""))"),365.0)</f>
        <v>365</v>
      </c>
      <c r="F12" s="193">
        <f>E12/E13</f>
        <v>0.4783748362</v>
      </c>
      <c r="G12" s="54"/>
      <c r="H12" s="58" t="s">
        <v>753</v>
      </c>
      <c r="I12" s="42">
        <f>IFERROR(__xludf.DUMMYFUNCTION("COUNT(FILTER(Tests!C$4:C989, Tests!BS$4:BS989=0, Tests!BS$4:BS989&lt;&gt;""""))"),1142.0)</f>
        <v>1142</v>
      </c>
      <c r="J12" s="43">
        <f>I12/I13</f>
        <v>0.5404637956</v>
      </c>
      <c r="L12" s="58" t="s">
        <v>754</v>
      </c>
      <c r="M12" s="192">
        <f>IFERROR(__xludf.DUMMYFUNCTION("COUNT(FILTER(Tests!C$4:C989, Tests!BS$4:BS989&gt;0, Tests!BW$4:BW989=""""))"),296.0)</f>
        <v>296</v>
      </c>
      <c r="N12" s="43">
        <f>M12/M13</f>
        <v>0.3051546392</v>
      </c>
      <c r="O12" s="160"/>
      <c r="P12" s="58" t="s">
        <v>753</v>
      </c>
      <c r="Q12" s="42">
        <f>IFERROR(__xludf.DUMMYFUNCTION("COUNT(FILTER(Tests!C$4:C989, Tests!BS$4:BS989=0, Tests!BS$4:BS989&lt;&gt;"""", Tests!N$4:N989=""North""))"),687.0)</f>
        <v>687</v>
      </c>
      <c r="R12" s="43">
        <f>Q12/Q13</f>
        <v>0.5123042506</v>
      </c>
      <c r="S12" s="42">
        <f>IFERROR(__xludf.DUMMYFUNCTION("COUNT(FILTER(Tests!C$4:C989, Tests!BS$4:BS989=0, Tests!BS$4:BS989&lt;&gt;"""", Tests!N$4:N989=""South""))"),370.0)</f>
        <v>370</v>
      </c>
      <c r="T12" s="43">
        <f>S12/S13</f>
        <v>0.5409356725</v>
      </c>
      <c r="V12" s="58" t="s">
        <v>753</v>
      </c>
      <c r="W12" s="42">
        <f>IFERROR(__xludf.DUMMYFUNCTION("COUNT(FILTER(Tests!C$4:C989, Tests!BS$4:BS989=0, Tests!BS$4:BS989&lt;&gt;"""", Tests!U$4:U989&lt;1))"),393.0)</f>
        <v>393</v>
      </c>
      <c r="X12" s="43">
        <f>W12/W13</f>
        <v>0.655</v>
      </c>
      <c r="Y12" s="42">
        <f>IFERROR(__xludf.DUMMYFUNCTION("COUNT(FILTER(Tests!C$4:C989, Tests!BS$4:BS989=0, Tests!U$4:U989&gt;=1, Tests!U$4:U989&lt;10))"),579.0)</f>
        <v>579</v>
      </c>
      <c r="Z12" s="43">
        <f>Y12/Y13</f>
        <v>0.5004321521</v>
      </c>
      <c r="AA12" s="42">
        <f>IFERROR(__xludf.DUMMYFUNCTION("COUNT(FILTER(Tests!C$4:C989, Tests!BS$4:BS989=0, Tests!BS$4:BS989&lt;&gt;"""", Tests!U$4:U989&gt;=10))"),230.0)</f>
        <v>230</v>
      </c>
      <c r="AB12" s="43">
        <f>AA12/AA13</f>
        <v>0.5528846154</v>
      </c>
      <c r="AD12" s="195" t="s">
        <v>755</v>
      </c>
      <c r="AE12" s="198">
        <f>IFERROR(__xludf.DUMMYFUNCTION("MEDIAN(FILTER(Tests!BY$4:BY989, Tests!BW$4:BW989&gt;0, Tests!N$4:N989=""North""))"),8.80017641102833)</f>
        <v>8.800176411</v>
      </c>
      <c r="AF12" s="199">
        <f>IFERROR(__xludf.DUMMYFUNCTION("MEDIAN(FILTER(Tests!BY$4:BY989, Tests!BW$4:BW989&gt;0, Tests!N$4:N989=""South""))"),13.50408751514879)</f>
        <v>13.50408752</v>
      </c>
    </row>
    <row r="13">
      <c r="B13" s="54"/>
      <c r="D13" s="58" t="s">
        <v>740</v>
      </c>
      <c r="E13" s="42">
        <f>SUM(E11:E12)</f>
        <v>763</v>
      </c>
      <c r="F13" s="62"/>
      <c r="G13" s="54"/>
      <c r="H13" s="58" t="s">
        <v>740</v>
      </c>
      <c r="I13" s="42">
        <f>SUM(I11:I12)</f>
        <v>2113</v>
      </c>
      <c r="J13" s="62"/>
      <c r="L13" s="58" t="s">
        <v>740</v>
      </c>
      <c r="M13" s="42">
        <f>M11+M12</f>
        <v>970</v>
      </c>
      <c r="N13" s="62"/>
      <c r="P13" s="58" t="s">
        <v>740</v>
      </c>
      <c r="Q13" s="42">
        <f>Q11+Q12</f>
        <v>1341</v>
      </c>
      <c r="R13" s="62"/>
      <c r="S13" s="42">
        <f>S11+S12</f>
        <v>684</v>
      </c>
      <c r="T13" s="62"/>
      <c r="V13" s="58" t="s">
        <v>740</v>
      </c>
      <c r="W13" s="42">
        <f>W11+W12</f>
        <v>600</v>
      </c>
      <c r="X13" s="62"/>
      <c r="Y13" s="42">
        <f>Y11+Y12</f>
        <v>1157</v>
      </c>
      <c r="Z13" s="62"/>
      <c r="AA13" s="42">
        <f>AA11+AA12</f>
        <v>416</v>
      </c>
      <c r="AB13" s="62"/>
      <c r="AD13" s="58" t="s">
        <v>756</v>
      </c>
      <c r="AE13" s="196">
        <f>IFERROR(__xludf.DUMMYFUNCTION("MAX(FILTER(Tests!BY$4:BY989, Tests!BW$4:BW989&gt;0, Tests!N$4:N989=""North""))"),45.15152267642809)</f>
        <v>45.15152268</v>
      </c>
      <c r="AF13" s="197">
        <f>IFERROR(__xludf.DUMMYFUNCTION("MAX(FILTER(Tests!BY$4:BY989, Tests!BW$4:BW989&gt;0, Tests!N$4:N989=""South""))"),50.307554104726655)</f>
        <v>50.3075541</v>
      </c>
    </row>
    <row r="14">
      <c r="D14" s="47" t="s">
        <v>757</v>
      </c>
      <c r="E14" s="200">
        <f>B9-E13</f>
        <v>1496</v>
      </c>
      <c r="H14" s="47" t="s">
        <v>758</v>
      </c>
      <c r="I14" s="48">
        <f>B9-I13</f>
        <v>146</v>
      </c>
      <c r="O14" s="201"/>
      <c r="P14" s="2"/>
      <c r="AD14" s="58" t="s">
        <v>759</v>
      </c>
      <c r="AE14" s="199">
        <f>IFERROR(__xludf.DUMMYFUNCTION("MIN(FILTER(Tests!BY$4:BY989, Tests!BW$4:BW989&gt;0, Tests!N$4:N989=""North""))"),0.2699999999999996)</f>
        <v>0.27</v>
      </c>
      <c r="AF14" s="199">
        <f>IFERROR(__xludf.DUMMYFUNCTION("MIN(FILTER(Tests!BY$4:BY989, Tests!BW$4:BW989&gt;0, Tests!N$4:N989=""South""))"),0.5099019513592787)</f>
        <v>0.5099019514</v>
      </c>
    </row>
    <row r="15">
      <c r="D15" s="3"/>
      <c r="E15" s="202"/>
      <c r="H15" s="3"/>
      <c r="O15" s="201"/>
      <c r="P15" s="2"/>
    </row>
    <row r="16">
      <c r="O16" s="201"/>
      <c r="P16" s="2"/>
    </row>
    <row r="17">
      <c r="A17" s="203" t="s">
        <v>2</v>
      </c>
      <c r="B17" s="204"/>
      <c r="C17" s="88"/>
      <c r="D17" s="88"/>
      <c r="E17" s="88"/>
      <c r="F17" s="88"/>
      <c r="G17" s="88"/>
      <c r="H17" s="88"/>
      <c r="I17" s="88"/>
      <c r="J17" s="88"/>
      <c r="K17" s="88"/>
      <c r="L17" s="88"/>
      <c r="M17" s="88"/>
      <c r="N17" s="88"/>
      <c r="O17" s="205"/>
      <c r="P17" s="206"/>
      <c r="Q17" s="88"/>
      <c r="R17" s="88"/>
      <c r="S17" s="88"/>
      <c r="T17" s="88"/>
      <c r="U17" s="88"/>
      <c r="V17" s="88"/>
      <c r="W17" s="88"/>
      <c r="X17" s="88"/>
      <c r="Y17" s="88"/>
      <c r="Z17" s="88"/>
      <c r="AA17" s="88"/>
      <c r="AB17" s="88"/>
      <c r="AC17" s="88"/>
      <c r="AD17" s="88"/>
      <c r="AE17" s="88"/>
      <c r="AF17" s="88"/>
      <c r="AG17" s="88"/>
      <c r="AH17" s="88"/>
      <c r="AI17" s="88"/>
      <c r="AJ17" s="88"/>
    </row>
    <row r="18">
      <c r="A18" s="182" t="s">
        <v>760</v>
      </c>
      <c r="B18" s="207">
        <v>45292.0</v>
      </c>
      <c r="E18" s="208" t="s">
        <v>761</v>
      </c>
      <c r="F18" s="185"/>
      <c r="I18" s="186" t="s">
        <v>741</v>
      </c>
      <c r="J18" s="185"/>
      <c r="M18" s="186" t="s">
        <v>742</v>
      </c>
      <c r="N18" s="185"/>
      <c r="O18" s="201"/>
      <c r="Q18" s="187" t="s">
        <v>743</v>
      </c>
      <c r="R18" s="185"/>
      <c r="S18" s="187" t="s">
        <v>744</v>
      </c>
      <c r="T18" s="185"/>
      <c r="W18" s="187" t="s">
        <v>745</v>
      </c>
      <c r="X18" s="185"/>
      <c r="Y18" s="188" t="s">
        <v>746</v>
      </c>
      <c r="Z18" s="185"/>
      <c r="AA18" s="187" t="s">
        <v>747</v>
      </c>
      <c r="AB18" s="185"/>
      <c r="AC18" s="17"/>
      <c r="AD18" s="189" t="s">
        <v>748</v>
      </c>
      <c r="AE18" s="37" t="s">
        <v>743</v>
      </c>
      <c r="AF18" s="37" t="s">
        <v>744</v>
      </c>
      <c r="AG18" s="17"/>
      <c r="AH18" s="189" t="s">
        <v>762</v>
      </c>
      <c r="AI18" s="37" t="s">
        <v>743</v>
      </c>
      <c r="AJ18" s="37" t="s">
        <v>744</v>
      </c>
    </row>
    <row r="19">
      <c r="A19" s="182" t="s">
        <v>763</v>
      </c>
      <c r="B19" s="209">
        <v>45657.0</v>
      </c>
      <c r="E19" s="190" t="s">
        <v>749</v>
      </c>
      <c r="F19" s="190" t="s">
        <v>162</v>
      </c>
      <c r="G19" s="54"/>
      <c r="I19" s="190" t="s">
        <v>749</v>
      </c>
      <c r="J19" s="190" t="s">
        <v>162</v>
      </c>
      <c r="M19" s="190" t="s">
        <v>749</v>
      </c>
      <c r="N19" s="190" t="s">
        <v>162</v>
      </c>
      <c r="O19" s="201"/>
      <c r="Q19" s="190" t="s">
        <v>749</v>
      </c>
      <c r="R19" s="190" t="s">
        <v>162</v>
      </c>
      <c r="S19" s="190" t="s">
        <v>749</v>
      </c>
      <c r="T19" s="190" t="s">
        <v>162</v>
      </c>
      <c r="W19" s="190" t="s">
        <v>749</v>
      </c>
      <c r="X19" s="190" t="s">
        <v>162</v>
      </c>
      <c r="Y19" s="190" t="s">
        <v>749</v>
      </c>
      <c r="Z19" s="190" t="s">
        <v>162</v>
      </c>
      <c r="AA19" s="190" t="s">
        <v>749</v>
      </c>
      <c r="AB19" s="190" t="s">
        <v>162</v>
      </c>
      <c r="AC19" s="210"/>
      <c r="AD19" s="191" t="s">
        <v>750</v>
      </c>
      <c r="AE19" s="49">
        <f>IFERROR(__xludf.DUMMYFUNCTION("COUNT(FILTER(Tests!C$4:C989, Tests!C$4:C989&gt;=B18, Tests!C$4:C989&lt;=B19, Tests!BW$4:BW989&gt;0, Tests!N$4:N989=""North""))"),159.0)</f>
        <v>159</v>
      </c>
      <c r="AF19" s="40">
        <f>IFERROR(__xludf.DUMMYFUNCTION("COUNT(FILTER(Tests!C$4:C989, Tests!C$4:C989&gt;=B18, Tests!C$4:C989&lt;=$B$19, Tests!BW$4:BW989&gt;0, Tests!N$4:N989=""South""))"),116.0)</f>
        <v>116</v>
      </c>
      <c r="AG19" s="192"/>
      <c r="AH19" s="191" t="s">
        <v>750</v>
      </c>
      <c r="AI19" s="49">
        <f>IFERROR(__xludf.DUMMYFUNCTION("COUNT(FILTER(Tests!C$4:C989, Tests!C$4:C989&gt;=B18, Tests!C$4:C989&lt;=B19, Tests!BW$4:BW989&gt;0, Tests!N$4:N989=""North""))"),159.0)</f>
        <v>159</v>
      </c>
      <c r="AJ19" s="40">
        <f>IFERROR(__xludf.DUMMYFUNCTION("COUNT(FILTER(Tests!C$4:C989, Tests!C$4:C989&gt;=B18, Tests!C$4:C989&lt;=B19, Tests!BW$4:BW989&gt;0, Tests!N$4:N989=""South""))"),116.0)</f>
        <v>116</v>
      </c>
    </row>
    <row r="20">
      <c r="A20" s="182" t="s">
        <v>740</v>
      </c>
      <c r="B20" s="183">
        <f>IFERROR(__xludf.DUMMYFUNCTION("COUNT(FILTER(Tests!C$4:C989, Tests!C$4:C989&gt;=$B18, Tests!C$4:C989&lt;=$B19))"),526.0)</f>
        <v>526</v>
      </c>
      <c r="D20" s="191" t="s">
        <v>751</v>
      </c>
      <c r="E20" s="192">
        <f>IFERROR(__xludf.DUMMYFUNCTION("COUNT(FILTER(Tests!C$4:C989, Tests!C$4:C989&gt;=$B18, Tests!C$4:C989&lt;=$B19, Tests!BS$4:BS989&gt;0, Tests!U$4:U989&gt;=1, Tests!AU$4:AU989&lt;&gt;""Y""))"),144.0)</f>
        <v>144</v>
      </c>
      <c r="F20" s="193">
        <f>E20/E22</f>
        <v>0.5975103734</v>
      </c>
      <c r="G20" s="194"/>
      <c r="H20" s="191" t="s">
        <v>751</v>
      </c>
      <c r="I20" s="192">
        <f>IFERROR(__xludf.DUMMYFUNCTION("COUNT(FILTER(Tests!C$4:C989, Tests!C$4:C989&gt;=$B18, Tests!C$4:C989&lt;=$B19, Tests!BS$4:BS989&gt;0))"),276.0)</f>
        <v>276</v>
      </c>
      <c r="J20" s="193">
        <f>I20/I22</f>
        <v>0.5257142857</v>
      </c>
      <c r="L20" s="191" t="s">
        <v>750</v>
      </c>
      <c r="M20" s="49">
        <f>IFERROR(__xludf.DUMMYFUNCTION("COUNT(FILTER(Tests!C$4:C989, Tests!C$4:C989&gt;=B18, Tests!C$4:C989&lt;=B19, Tests!BS$4:BS989&gt;0, Tests!BW$4:BW989&gt;0))"),276.0)</f>
        <v>276</v>
      </c>
      <c r="N20" s="193">
        <f>M20/M22</f>
        <v>1</v>
      </c>
      <c r="P20" s="191" t="s">
        <v>751</v>
      </c>
      <c r="Q20" s="192">
        <f>IFERROR(__xludf.DUMMYFUNCTION("COUNT(FILTER(Tests!C$4:C989, Tests!C$4:C989&gt;=$B18, Tests!C$4:C989&lt;=$B19, Tests!BS$4:BS989&gt;0, Tests!N$4:N989=""North""))"),158.0)</f>
        <v>158</v>
      </c>
      <c r="R20" s="193">
        <f>Q20/Q22</f>
        <v>0.487654321</v>
      </c>
      <c r="S20" s="192">
        <f>IFERROR(__xludf.DUMMYFUNCTION("COUNT(FILTER(Tests!C$4:C989, Tests!C$4:C989&gt;=$B18, Tests!C$4:C989&lt;=$B19, Tests!BS$4:BS989&gt;0, Tests!N$4:N989=""South""))"),115.0)</f>
        <v>115</v>
      </c>
      <c r="T20" s="193">
        <f>S20/S22</f>
        <v>0.5837563452</v>
      </c>
      <c r="V20" s="191" t="s">
        <v>751</v>
      </c>
      <c r="W20" s="192">
        <f>IFERROR(__xludf.DUMMYFUNCTION("COUNT(FILTER(Tests!C$4:C989, Tests!C$4:C989&gt;=$B18, Tests!C$4:C989&lt;=$B19, Tests!BS$4:BS989&gt;0, Tests!AT$4:AT989=""0-1""))"),41.0)</f>
        <v>41</v>
      </c>
      <c r="X20" s="193">
        <f>W20/W22</f>
        <v>0.3153846154</v>
      </c>
      <c r="Y20" s="192">
        <f>IFERROR(__xludf.DUMMYFUNCTION("COUNT(FILTER(Tests!C$4:C989, Tests!C$4:C989&gt;=$B18, Tests!C$4:C989&lt;=$B19, Tests!BS$4:BS989&gt;0, Tests!AT$4:AT989=""1-10""))"),110.0)</f>
        <v>110</v>
      </c>
      <c r="Z20" s="193">
        <f>Y20/Y22</f>
        <v>0.6626506024</v>
      </c>
      <c r="AA20" s="192">
        <f>IFERROR(__xludf.DUMMYFUNCTION("COUNT(FILTER(Tests!C$4:C989, Tests!C$4:C989&gt;=$B18, Tests!C$4:C989&lt;=$B19, Tests!BS$4:BS989&gt;0, Tests!AT$4:AT989=""10+""))"),14.0)</f>
        <v>14</v>
      </c>
      <c r="AB20" s="193">
        <f>AA20/AA22</f>
        <v>0.5833333333</v>
      </c>
      <c r="AC20" s="211"/>
      <c r="AD20" s="195" t="s">
        <v>752</v>
      </c>
      <c r="AE20" s="196">
        <f>IFERROR(__xludf.DUMMYFUNCTION("AVERAGE(FILTER(Tests!$BY$4:$BY989, Tests!$C$4:$C989&gt;=$B$18, Tests!$C$4:$C989&lt;=$B$19, Tests!$BW$4:$BW989&gt;0, Tests!$N$4:$N989=""North""))"),15.756257124725217)</f>
        <v>15.75625712</v>
      </c>
      <c r="AF20" s="197">
        <f>IFERROR(__xludf.DUMMYFUNCTION("AVERAGE(FILTER(Tests!$BY$4:$BY989, Tests!$C$4:$C989&gt;=$B$18, Tests!$C$4:$C989&lt;=$B$19, Tests!$BW$4:$BW989&gt;0, Tests!$N$4:$N989=""South""))"),16.552055020915496)</f>
        <v>16.55205502</v>
      </c>
      <c r="AG20" s="212"/>
      <c r="AH20" s="58" t="s">
        <v>756</v>
      </c>
      <c r="AI20" s="213">
        <f>IFERROR(__xludf.DUMMYFUNCTION("MIN(FILTER(Tests!$BT$4:$BT989, Tests!$C$4:$C989&gt;=$B$18, Tests!$C$4:$C989&lt;=$B$19, Tests!$BW$4:$BW989&gt;0, Tests!$N$4:$N989=""North""))"),0.0)</f>
        <v>0</v>
      </c>
      <c r="AJ20" s="197">
        <f>IFERROR(__xludf.DUMMYFUNCTION("MIN(FILTER(Tests!$BT$4:$BT989, Tests!$C$4:$C989&gt;=$B$18, Tests!$C$4:$C989&lt;=$B$19, Tests!$BW$4:$BW989&gt;0, Tests!$N$4:$N989=""South""))"),0.0)</f>
        <v>0</v>
      </c>
    </row>
    <row r="21">
      <c r="A21" s="182" t="s">
        <v>179</v>
      </c>
      <c r="B21" s="183">
        <f>IFERROR(__xludf.DUMMYFUNCTION("COUNT(FILTER(Tests!C$4:C989, Tests!C$4:C989&gt;=$B18, Tests!C$4:C989&lt;=$B19, FIND(""TADI's purge"", Tests!P$4:P989)))"),56.0)</f>
        <v>56</v>
      </c>
      <c r="D21" s="58" t="s">
        <v>753</v>
      </c>
      <c r="E21" s="42">
        <f>IFERROR(__xludf.DUMMYFUNCTION("COUNT(FILTER(Tests!C$4:C989, Tests!C$4:C989&gt;=$B18, Tests!C$4:C989&lt;=$B19, Tests!BS$4:BS989=0, Tests!BS$4:BS989&lt;&gt;"""", Tests!U$4:U989&gt;=1, Tests!AU$4:AU989&lt;&gt;""Y""))"),97.0)</f>
        <v>97</v>
      </c>
      <c r="F21" s="193">
        <f>E21/E22</f>
        <v>0.4024896266</v>
      </c>
      <c r="G21" s="54"/>
      <c r="H21" s="58" t="s">
        <v>753</v>
      </c>
      <c r="I21" s="42">
        <f>IFERROR(__xludf.DUMMYFUNCTION("COUNT(FILTER(Tests!C$4:C989, Tests!C$4:C989&gt;=$B18, Tests!C$4:C989&lt;=$B19, Tests!BS$4:BS989=0, Tests!BS$4:BS989&lt;&gt;""""))"),249.0)</f>
        <v>249</v>
      </c>
      <c r="J21" s="43">
        <f>I21/I22</f>
        <v>0.4742857143</v>
      </c>
      <c r="L21" s="58" t="s">
        <v>754</v>
      </c>
      <c r="M21" s="25">
        <f>IFERROR(__xludf.DUMMYFUNCTION("COUNT(FILTER(Tests!C$4:C989, Tests!C$4:C989&gt;=B18, Tests!C$4:C989&lt;=B19, Tests!BS$4:BS989&gt;0, Tests!BW$4:BW989=""""))"),0.0)</f>
        <v>0</v>
      </c>
      <c r="N21" s="43">
        <f>M21/M22</f>
        <v>0</v>
      </c>
      <c r="P21" s="58" t="s">
        <v>753</v>
      </c>
      <c r="Q21" s="42">
        <f>IFERROR(__xludf.DUMMYFUNCTION("COUNT(FILTER(Tests!C$4:C989, Tests!C$4:C989&gt;=$B18, Tests!C$4:C989&lt;=$B19, Tests!BS$4:BS989=0, Tests!BS$4:BS989&lt;&gt;"""", Tests!N$4:N989=""North""))"),166.0)</f>
        <v>166</v>
      </c>
      <c r="R21" s="43">
        <f>Q21/Q22</f>
        <v>0.512345679</v>
      </c>
      <c r="S21" s="42">
        <f>IFERROR(__xludf.DUMMYFUNCTION("COUNT(FILTER(Tests!C$4:C989, Tests!C$4:C989&gt;=$B18, Tests!C$4:C989&lt;=$B19, Tests!BS$4:BS989=0, Tests!BS$4:BS989&lt;&gt;"""", Tests!N$4:N989=""South""))"),82.0)</f>
        <v>82</v>
      </c>
      <c r="T21" s="43">
        <f>S21/S22</f>
        <v>0.4162436548</v>
      </c>
      <c r="V21" s="58" t="s">
        <v>753</v>
      </c>
      <c r="W21" s="42">
        <f>IFERROR(__xludf.DUMMYFUNCTION("COUNT(FILTER(Tests!C$4:C989, Tests!C$4:C989&gt;=$B18, Tests!C$4:C989&lt;=$B19, Tests!BS$4:BS989=0, Tests!BS$4:BS989&lt;&gt;"""", Tests!AT$4:AT989=""0-1""))"),89.0)</f>
        <v>89</v>
      </c>
      <c r="X21" s="43">
        <f>W21/W22</f>
        <v>0.6846153846</v>
      </c>
      <c r="Y21" s="42">
        <f>IFERROR(__xludf.DUMMYFUNCTION("COUNT(FILTER(Tests!C$4:C989, Tests!C$4:C989&gt;=$B18, Tests!C$4:C989&lt;=$B19, Tests!BS$4:BS989=0, Tests!BS$4:BS989&lt;&gt;"""", Tests!AT$4:AT989=""1-10""))"),56.0)</f>
        <v>56</v>
      </c>
      <c r="Z21" s="43">
        <f>Y21/Y22</f>
        <v>0.3373493976</v>
      </c>
      <c r="AA21" s="42">
        <f>IFERROR(__xludf.DUMMYFUNCTION("COUNT(FILTER(Tests!C$4:C989, Tests!C$4:C989&gt;=$B18, Tests!C$4:C989&lt;=$B19, Tests!BS$4:BS989=0, Tests!BS$4:BS989&lt;&gt;"""", Tests!AT$4:AT989=""10+""))"),10.0)</f>
        <v>10</v>
      </c>
      <c r="AB21" s="43">
        <f>AA21/AA22</f>
        <v>0.4166666667</v>
      </c>
      <c r="AC21" s="214"/>
      <c r="AD21" s="195" t="s">
        <v>755</v>
      </c>
      <c r="AE21" s="198">
        <f>IFERROR(__xludf.DUMMYFUNCTION("MEDIAN(FILTER(Tests!BY$4:BY989, Tests!C$4:C989&gt;=$B$18, Tests!C$4:C989&lt;=$B$19, Tests!BW$4:BW989&gt;0, Tests!N$4:N989=""North""))"),14.207744367069674)</f>
        <v>14.20774437</v>
      </c>
      <c r="AF21" s="199">
        <f>IFERROR(__xludf.DUMMYFUNCTION("MEDIAN(FILTER(Tests!BY$4:BY989, Tests!C$4:C989&gt;=$B$18, Tests!C$4:C989&lt;=$B$19, Tests!BW$4:BW989&gt;0, Tests!N$4:N989=""South""))"),9.773937244620209)</f>
        <v>9.773937245</v>
      </c>
      <c r="AG21" s="215"/>
      <c r="AH21" s="58" t="s">
        <v>759</v>
      </c>
      <c r="AI21" s="199">
        <f>IFERROR(__xludf.DUMMYFUNCTION("MIN(FILTER(Tests!$BS$4:$BS989, Tests!$C$4:$C989&gt;=$B$18, Tests!$C$4:$C989&lt;=$B$19, Tests!$BW$4:$BW989&gt;0, Tests!$N$4:$N989=""North""))"),0.0)</f>
        <v>0</v>
      </c>
      <c r="AJ21" s="199">
        <f>IFERROR(__xludf.DUMMYFUNCTION("MIN(FILTER(Tests!$BS$4:$BS989, Tests!$C$4:$C989&gt;=$B$18, Tests!$C$4:$C989&lt;=$B$19, Tests!$BW$4:$BW989&gt;0, Tests!$N$4:$N989=""South""))"),0.0)</f>
        <v>0</v>
      </c>
    </row>
    <row r="22">
      <c r="B22" s="54"/>
      <c r="D22" s="58" t="s">
        <v>740</v>
      </c>
      <c r="E22" s="42">
        <f>SUM(E20:E21)</f>
        <v>241</v>
      </c>
      <c r="F22" s="62"/>
      <c r="G22" s="54"/>
      <c r="H22" s="58" t="s">
        <v>740</v>
      </c>
      <c r="I22" s="42">
        <f>SUM(I20:I21)</f>
        <v>525</v>
      </c>
      <c r="J22" s="62"/>
      <c r="L22" s="58" t="s">
        <v>740</v>
      </c>
      <c r="M22" s="42">
        <f>M20+M21</f>
        <v>276</v>
      </c>
      <c r="N22" s="62"/>
      <c r="P22" s="58" t="s">
        <v>740</v>
      </c>
      <c r="Q22" s="42">
        <f>Q20+Q21</f>
        <v>324</v>
      </c>
      <c r="R22" s="62"/>
      <c r="S22" s="42">
        <f>S20+S21</f>
        <v>197</v>
      </c>
      <c r="T22" s="62"/>
      <c r="V22" s="58" t="s">
        <v>740</v>
      </c>
      <c r="W22" s="42">
        <f>W20+W21</f>
        <v>130</v>
      </c>
      <c r="X22" s="62"/>
      <c r="Y22" s="42">
        <f>Y20+Y21</f>
        <v>166</v>
      </c>
      <c r="Z22" s="62"/>
      <c r="AA22" s="42">
        <f>AA20+AA21</f>
        <v>24</v>
      </c>
      <c r="AB22" s="62"/>
      <c r="AC22" s="54"/>
      <c r="AD22" s="58" t="s">
        <v>756</v>
      </c>
      <c r="AE22" s="196">
        <f>IFERROR(__xludf.DUMMYFUNCTION("MAX(FILTER(Tests!BY$4:BY989, Tests!C$4:C989&gt;=$B$18, Tests!C$4:C989&lt;=$B$19, Tests!BW$4:BW989&gt;0, Tests!N$4:N989=""North""))"),45.15152267642809)</f>
        <v>45.15152268</v>
      </c>
      <c r="AF22" s="197">
        <f>IFERROR(__xludf.DUMMYFUNCTION("MAX(FILTER(Tests!BY$4:BY989, Tests!C$4:C989&gt;=$B$18, Tests!C$4:C989&lt;=$B$19, Tests!BW$4:BW989&gt;0, Tests!N$4:N989=""South""))"),50.307554104726655)</f>
        <v>50.3075541</v>
      </c>
      <c r="AG22" s="212"/>
    </row>
    <row r="23">
      <c r="D23" s="47" t="s">
        <v>757</v>
      </c>
      <c r="E23" s="200">
        <f>B$20-E22</f>
        <v>285</v>
      </c>
      <c r="H23" s="47" t="s">
        <v>758</v>
      </c>
      <c r="I23" s="48">
        <f>B20-I22</f>
        <v>1</v>
      </c>
      <c r="AD23" s="58" t="s">
        <v>759</v>
      </c>
      <c r="AE23" s="199">
        <f>IFERROR(__xludf.DUMMYFUNCTION("MIN(FILTER(Tests!BY$4:BY989, Tests!C$4:C989&gt;=$B$18, Tests!C$4:C989&lt;=$B$19, Tests!BW$4:BW989&gt;0, Tests!N$4:N989=""North""))"),0.9848857801796103)</f>
        <v>0.9848857802</v>
      </c>
      <c r="AF23" s="199">
        <f>IFERROR(__xludf.DUMMYFUNCTION("MIN(FILTER(Tests!BY$4:BY989, Tests!C$4:C989&gt;=$B$18, Tests!C$4:C989&lt;=$B$19, Tests!BW$4:BW989&gt;0, Tests!N$4:N989=""South""))"),3.0016662039607267)</f>
        <v>3.001666204</v>
      </c>
      <c r="AG23" s="215"/>
    </row>
    <row r="24">
      <c r="AG24" s="215"/>
    </row>
    <row r="25">
      <c r="E25" s="208" t="s">
        <v>764</v>
      </c>
      <c r="F25" s="185"/>
      <c r="H25" s="216" t="s">
        <v>765</v>
      </c>
      <c r="I25" s="185"/>
      <c r="M25" s="186" t="s">
        <v>766</v>
      </c>
      <c r="N25" s="185"/>
      <c r="W25" s="186" t="s">
        <v>166</v>
      </c>
      <c r="X25" s="185"/>
      <c r="Y25" s="217" t="s">
        <v>358</v>
      </c>
      <c r="Z25" s="185"/>
      <c r="AA25" s="186" t="s">
        <v>168</v>
      </c>
      <c r="AB25" s="185"/>
    </row>
    <row r="26">
      <c r="E26" s="190" t="s">
        <v>749</v>
      </c>
      <c r="F26" s="190" t="s">
        <v>162</v>
      </c>
      <c r="H26" s="191" t="s">
        <v>751</v>
      </c>
      <c r="I26" s="218">
        <f>IFERROR(__xludf.DUMMYFUNCTION("COUNT(FILTER(Tests!C$4:C989, Tests!C$4:C989&gt;=$B18, Tests!C$4:C989&lt;=$B19, Tests!BS$4:BS989&gt;0))"),276.0)</f>
        <v>276</v>
      </c>
      <c r="M26" s="190" t="s">
        <v>749</v>
      </c>
      <c r="N26" s="190" t="s">
        <v>162</v>
      </c>
      <c r="W26" s="190" t="s">
        <v>749</v>
      </c>
      <c r="X26" s="190" t="s">
        <v>162</v>
      </c>
      <c r="Y26" s="190" t="s">
        <v>749</v>
      </c>
      <c r="Z26" s="190" t="s">
        <v>162</v>
      </c>
      <c r="AA26" s="190" t="s">
        <v>749</v>
      </c>
      <c r="AB26" s="190" t="s">
        <v>162</v>
      </c>
    </row>
    <row r="27">
      <c r="D27" s="191" t="s">
        <v>751</v>
      </c>
      <c r="E27" s="192">
        <f>IFERROR(__xludf.DUMMYFUNCTION("COUNT(FILTER(Tests!C$4:C989, Tests!C$4:C989&gt;=$B18, Tests!C$4:C989&lt;=$B19, Tests!BS$4:BS989&gt;0, Tests!U$4:U989&gt;=1, Tests!AU$4:AU989&lt;&gt;""Y"", Tests!N$4:N989=""North""))"),93.0)</f>
        <v>93</v>
      </c>
      <c r="F27" s="193">
        <f>E27/E29</f>
        <v>0.6595744681</v>
      </c>
      <c r="H27" s="195" t="s">
        <v>752</v>
      </c>
      <c r="I27" s="219">
        <f>IFERROR(__xludf.DUMMYFUNCTION("AVERAGE(FILTER(Tests!$BV$4:$BV989, Tests!$C$4:$C989&gt;=$B$18, Tests!$C$4:$C989&lt;=$B$19, Tests!$BS$4:$BS989&gt;0))"),0.0024690782200110554)</f>
        <v>0.00246907822</v>
      </c>
      <c r="L27" s="189" t="s">
        <v>767</v>
      </c>
      <c r="M27" s="192">
        <f>IFERROR(__xludf.DUMMYFUNCTION("COUNT(FILTER(Tests!C$4:C989, Tests!C$4:C989&gt;=$B18, Tests!C$4:C989&lt;=$B19, Tests!CK$4:CK989&gt;0))"),250.0)</f>
        <v>250</v>
      </c>
      <c r="N27" s="193">
        <f>M27/M29</f>
        <v>0.4752851711</v>
      </c>
      <c r="V27" s="191" t="s">
        <v>751</v>
      </c>
      <c r="W27" s="192">
        <f>IFERROR(__xludf.DUMMYFUNCTION("COUNT(FILTER(Tests!C$4:C989, Tests!C$4:C989&gt;=$B18, Tests!C$4:C989&lt;=$B19, Tests!BS$4:BS989&gt;0, Tests!M$4:M989=""CH4""))"),222.0)</f>
        <v>222</v>
      </c>
      <c r="X27" s="193">
        <f>W27/W29</f>
        <v>0.5174825175</v>
      </c>
      <c r="Y27" s="192">
        <f>IFERROR(__xludf.DUMMYFUNCTION("COUNT(FILTER(Tests!C$4:C989, Tests!C$4:C989&gt;=$B18, Tests!C$4:C989&lt;=$B19, Tests!BS$4:BS989&gt;0, Tests!M$4:M989=""N2""))"),28.0)</f>
        <v>28</v>
      </c>
      <c r="Z27" s="193">
        <f>Y27/Y29</f>
        <v>0.5833333333</v>
      </c>
      <c r="AA27" s="192">
        <f>IFERROR(__xludf.DUMMYFUNCTION("COUNT(FILTER(Tests!C$4:C989, Tests!C$4:C989&gt;=$B18, Tests!C$4:C989&lt;=$B19, Tests!BS$4:BS989&gt;0, Tests!M$4:M989=""CO2""))"),13.0)</f>
        <v>13</v>
      </c>
      <c r="AB27" s="193">
        <f>AA27/AA29</f>
        <v>0.40625</v>
      </c>
    </row>
    <row r="28">
      <c r="D28" s="58" t="s">
        <v>753</v>
      </c>
      <c r="E28" s="42">
        <f>IFERROR(__xludf.DUMMYFUNCTION("COUNT(FILTER(Tests!C$4:C989, Tests!C$4:C989&gt;=$B18, Tests!C$4:C989&lt;=$B19, Tests!BS$4:BS989=0, Tests!BS$4:BS989&lt;&gt;"""", Tests!U$4:U989&gt;=1, Tests!AU$4:AU989&lt;&gt;""Y"", Tests!N$4:N989=""North""))"),48.0)</f>
        <v>48</v>
      </c>
      <c r="F28" s="193">
        <f>E28/E29</f>
        <v>0.3404255319</v>
      </c>
      <c r="H28" s="195" t="s">
        <v>755</v>
      </c>
      <c r="I28" s="220">
        <f>IFERROR(__xludf.DUMMYFUNCTION("MEDIAN(FILTER(Tests!$BV$4:$BV989, Tests!$C$4:$C989&gt;=$B$18, Tests!$C$4:$C989&lt;=$B$19, Tests!$BS$4:$BS989&gt;0))"),6.249999999999867E-4)</f>
        <v>0.000625</v>
      </c>
      <c r="L28" s="221" t="s">
        <v>768</v>
      </c>
      <c r="M28" s="42">
        <f>IFERROR(__xludf.DUMMYFUNCTION("COUNT(FILTER(Tests!C$4:C989, Tests!C$4:C989&gt;=$B18, Tests!C$4:C989&lt;=$B19, Tests!CK$4:CK989=0, Tests!CK$4:CK989&lt;&gt;""""))"),276.0)</f>
        <v>276</v>
      </c>
      <c r="N28" s="43">
        <f>M28/M29</f>
        <v>0.5247148289</v>
      </c>
      <c r="V28" s="58" t="s">
        <v>753</v>
      </c>
      <c r="W28" s="42">
        <f>IFERROR(__xludf.DUMMYFUNCTION("COUNT(FILTER(Tests!C$4:C989, Tests!C$4:C989&gt;=$B18, Tests!C$4:C989&lt;=$B19, Tests!BS$4:BS989=0, Tests!BS$4:BS989&lt;&gt;"""", Tests!M$4:M989=""CH4""))"),207.0)</f>
        <v>207</v>
      </c>
      <c r="X28" s="43">
        <f>W28/W29</f>
        <v>0.4825174825</v>
      </c>
      <c r="Y28" s="42">
        <f>IFERROR(__xludf.DUMMYFUNCTION("COUNT(FILTER(Tests!C$4:C989, Tests!C$4:C989&gt;=$B18, Tests!C$4:C989&lt;=$B19, Tests!BS$4:BS989=0, Tests!BS$4:BS989&lt;&gt;"""", Tests!M$4:M989=""N2""))"),20.0)</f>
        <v>20</v>
      </c>
      <c r="Z28" s="43">
        <f>Y28/Y29</f>
        <v>0.4166666667</v>
      </c>
      <c r="AA28" s="42">
        <f>IFERROR(__xludf.DUMMYFUNCTION("COUNT(FILTER(Tests!C$4:C989, Tests!C$4:C989&gt;=$B18, Tests!C$4:C989&lt;=$B19, Tests!BS$4:BS989=0, Tests!BS$4:BS989&lt;&gt;"""", Tests!M$4:M989=""CO2""))"),19.0)</f>
        <v>19</v>
      </c>
      <c r="AB28" s="43">
        <f>AA28/AA29</f>
        <v>0.59375</v>
      </c>
    </row>
    <row r="29">
      <c r="D29" s="58" t="s">
        <v>740</v>
      </c>
      <c r="E29" s="42">
        <f>SUM(E27:E28)</f>
        <v>141</v>
      </c>
      <c r="F29" s="62"/>
      <c r="H29" s="58" t="s">
        <v>756</v>
      </c>
      <c r="I29" s="219">
        <f>IFERROR(__xludf.DUMMYFUNCTION("MAX(FILTER(Tests!$BV$4:$BV989, Tests!$C$4:$C989&gt;=$B$18, Tests!$C$4:$C989&lt;=$B$19, Tests!$BS$4:$BS989&gt;0))"),0.03388888888888886)</f>
        <v>0.03388888889</v>
      </c>
      <c r="L29" s="58" t="s">
        <v>740</v>
      </c>
      <c r="M29" s="42">
        <f>SUM(M27:M28)</f>
        <v>526</v>
      </c>
      <c r="N29" s="62"/>
      <c r="V29" s="58" t="s">
        <v>740</v>
      </c>
      <c r="W29" s="42">
        <f>W27+W28</f>
        <v>429</v>
      </c>
      <c r="X29" s="62"/>
      <c r="Y29" s="42">
        <f>Y27+Y28</f>
        <v>48</v>
      </c>
      <c r="Z29" s="62"/>
      <c r="AA29" s="42">
        <f>AA27+AA28</f>
        <v>32</v>
      </c>
      <c r="AB29" s="62"/>
    </row>
    <row r="30">
      <c r="D30" s="47" t="s">
        <v>757</v>
      </c>
      <c r="E30" s="200">
        <f>B$20-E29</f>
        <v>385</v>
      </c>
      <c r="H30" s="58" t="s">
        <v>759</v>
      </c>
      <c r="I30" s="222">
        <f>IFERROR(__xludf.DUMMYFUNCTION("MIN(FILTER(Tests!$BV$4:$BV989, Tests!$C$4:$C989&gt;=$B$18, Tests!$C$4:$C989&lt;=$B$19, Tests!$BS$4:$BS989&gt;0))"),3.472222222222765E-5)</f>
        <v>0.00003472222222</v>
      </c>
      <c r="L30" s="47" t="s">
        <v>758</v>
      </c>
      <c r="M30" s="48">
        <f>B20-M29</f>
        <v>0</v>
      </c>
    </row>
    <row r="31">
      <c r="W31" s="186" t="s">
        <v>769</v>
      </c>
      <c r="X31" s="185"/>
      <c r="Y31" s="217" t="s">
        <v>770</v>
      </c>
      <c r="Z31" s="185"/>
    </row>
    <row r="32">
      <c r="D32" s="223" t="s">
        <v>190</v>
      </c>
      <c r="E32" s="224" t="s">
        <v>751</v>
      </c>
      <c r="F32" s="224" t="s">
        <v>771</v>
      </c>
      <c r="G32" s="15" t="s">
        <v>162</v>
      </c>
      <c r="H32" s="225" t="s">
        <v>766</v>
      </c>
      <c r="P32" s="226" t="s">
        <v>208</v>
      </c>
      <c r="Q32" s="224" t="s">
        <v>751</v>
      </c>
      <c r="R32" s="224" t="s">
        <v>771</v>
      </c>
      <c r="S32" s="15" t="s">
        <v>162</v>
      </c>
      <c r="T32" s="225" t="s">
        <v>766</v>
      </c>
      <c r="W32" s="190" t="s">
        <v>749</v>
      </c>
      <c r="X32" s="190" t="s">
        <v>162</v>
      </c>
      <c r="Y32" s="190" t="s">
        <v>749</v>
      </c>
      <c r="Z32" s="190" t="s">
        <v>162</v>
      </c>
    </row>
    <row r="33">
      <c r="D33" s="227" t="s">
        <v>740</v>
      </c>
      <c r="E33" s="40">
        <f t="shared" ref="E33:F33" si="1">SUM(E34:E50)</f>
        <v>252</v>
      </c>
      <c r="F33" s="228">
        <f t="shared" si="1"/>
        <v>217</v>
      </c>
      <c r="G33" s="193">
        <f t="shared" ref="G33:G50" si="3">E33/(E33+F33)</f>
        <v>0.5373134328</v>
      </c>
      <c r="H33" s="229">
        <f>SUM(H34:H46)</f>
        <v>187</v>
      </c>
      <c r="P33" s="227" t="s">
        <v>740</v>
      </c>
      <c r="Q33" s="40">
        <f t="shared" ref="Q33:R33" si="2">SUM(Q34:Q60)</f>
        <v>275</v>
      </c>
      <c r="R33" s="228">
        <f t="shared" si="2"/>
        <v>249</v>
      </c>
      <c r="S33" s="193">
        <f t="shared" ref="S33:S60" si="4">Q33/(Q33+R33)</f>
        <v>0.5248091603</v>
      </c>
      <c r="T33" s="229">
        <f>SUM(T34:T60)</f>
        <v>250</v>
      </c>
      <c r="V33" s="191" t="s">
        <v>751</v>
      </c>
      <c r="W33" s="192">
        <f>IFERROR(__xludf.DUMMYFUNCTION("COUNT(FILTER(Tests!C$4:C989, Tests!C$4:C989&gt;=$B18, Tests!C$4:C989&lt;=$B19, Tests!BS$4:BS989&gt;0, Tests!U4:U989&gt;=Tests!AC4:AC989))"),89.0)</f>
        <v>89</v>
      </c>
      <c r="X33" s="193">
        <f>W33/W35</f>
        <v>0.6402877698</v>
      </c>
      <c r="Y33" s="192">
        <f>IFERROR(__xludf.DUMMYFUNCTION("COUNT(FILTER(Tests!C$4:C989, Tests!C$4:C989&gt;=$B18, Tests!C$4:C989&lt;=$B19, Tests!BS$4:BS989&gt;0, Tests!U4:U989&lt;Tests!AC4:AC989))"),187.0)</f>
        <v>187</v>
      </c>
      <c r="Z33" s="193">
        <f>Y33/Y35</f>
        <v>0.4844559585</v>
      </c>
    </row>
    <row r="34">
      <c r="D34" s="230" t="str">
        <f>IFERROR(__xludf.DUMMYFUNCTION("SORT(UNIQUE(FILTER(Tests!O$4:O989, Tests!C$4:C989&gt;=$B18, Tests!C$4:C989&lt;=$B19)))"),"Autre")</f>
        <v>Autre</v>
      </c>
      <c r="E34" s="25">
        <f>IFERROR(__xludf.DUMMYFUNCTION("COUNT(FILTER(Tests!C$4:C989, Tests!C$4:C989&gt;=$B$18, Tests!C$4:C989&lt;=$B$19, Tests!BS$4:BS989&gt;0, Tests!O$4:O989=D34))"),3.0)</f>
        <v>3</v>
      </c>
      <c r="F34" s="231">
        <f>IFERROR(__xludf.DUMMYFUNCTION("COUNT(FILTER(Tests!C$4:C989, Tests!C$4:C989&gt;=$B$18, Tests!C$4:C989&lt;=$B$19, Tests!BS$4:BS989=0, Tests!BS$4:BS989&lt;&gt;"""", Tests!O$4:O989=D34))"),0.0)</f>
        <v>0</v>
      </c>
      <c r="G34" s="81">
        <f t="shared" si="3"/>
        <v>1</v>
      </c>
      <c r="H34" s="232">
        <f>IFERROR(__xludf.DUMMYFUNCTION("COUNT(FILTER(Tests!C$4:C989, Tests!C$4:C989&gt;=$B$18, Tests!C$4:C989&lt;=$B$19, Tests!CK$4:CK989&gt;0, Tests!O$4:O989=D34))"),0.0)</f>
        <v>0</v>
      </c>
      <c r="P34" s="233" t="str">
        <f>IFERROR(__xludf.DUMMYFUNCTION("SORT(UNIQUE(FILTER(Tests!P$4:P989, Tests!C$4:C989&gt;=$B18, Tests!C$4:C989&lt;=$B19)))"),"Bottom flange")</f>
        <v>Bottom flange</v>
      </c>
      <c r="Q34" s="25">
        <f>IFERROR(__xludf.DUMMYFUNCTION("COUNT(FILTER(Tests!C$4:C989, Tests!C$4:C989&gt;=$B$18, Tests!C$4:C989&lt;=$B$19, Tests!BS$4:BS989&gt;0, Tests!P$4:P989=P34))"),7.0)</f>
        <v>7</v>
      </c>
      <c r="R34" s="25">
        <f>IFERROR(__xludf.DUMMYFUNCTION("COUNT(FILTER(Tests!C$4:C989, Tests!C$4:C989&gt;=$B$18, Tests!C$4:C989&lt;=$B$19, Tests!BS$4:BS989=0, Tests!BS$4:BS989&lt;&gt;"""", Tests!P$4:P989=P34))"),8.0)</f>
        <v>8</v>
      </c>
      <c r="S34" s="81">
        <f t="shared" si="4"/>
        <v>0.4666666667</v>
      </c>
      <c r="T34" s="234">
        <f>IFERROR(__xludf.DUMMYFUNCTION("COUNT(FILTER(Tests!C$4:C989, Tests!C$4:C989&gt;=$B$18, Tests!C$4:C989&lt;=$B$19, Tests!CK$4:CK989&gt;0, Tests!P$4:P989=P34))"),5.0)</f>
        <v>5</v>
      </c>
      <c r="V34" s="58" t="s">
        <v>753</v>
      </c>
      <c r="W34" s="42">
        <f>IFERROR(__xludf.DUMMYFUNCTION("COUNT(FILTER(Tests!C$4:C989, Tests!C$4:C989&gt;=$B18, Tests!C$4:C989&lt;=$B19, Tests!BS$4:BS989=0, Tests!BS$4:BS989&lt;&gt;"""", Tests!U4:U989&gt;=Tests!AC4:AC989))"),50.0)</f>
        <v>50</v>
      </c>
      <c r="X34" s="43">
        <f>W34/W35</f>
        <v>0.3597122302</v>
      </c>
      <c r="Y34" s="42">
        <f>IFERROR(__xludf.DUMMYFUNCTION("COUNT(FILTER(Tests!C$4:C989, Tests!C$4:C989&gt;=$B18, Tests!C$4:C989&lt;=$B19, Tests!BS$4:BS989=0, Tests!BS$4:BS989&lt;&gt;"""", Tests!U4:U989&lt;Tests!AC4:AC989))"),199.0)</f>
        <v>199</v>
      </c>
      <c r="Z34" s="43">
        <f>Y34/Y35</f>
        <v>0.5155440415</v>
      </c>
    </row>
    <row r="35">
      <c r="D35" s="235" t="str">
        <f>IFERROR(__xludf.DUMMYFUNCTION("""COMPUTED_VALUE"""),"Fixed Point 1")</f>
        <v>Fixed Point 1</v>
      </c>
      <c r="E35" s="25">
        <f>IFERROR(__xludf.DUMMYFUNCTION("COUNT(FILTER(Tests!C$4:C989, Tests!C$4:C989&gt;=$B$18, Tests!C$4:C989&lt;=$B$19, Tests!BS$4:BS989&gt;0, Tests!O$4:O989=D35))"),77.0)</f>
        <v>77</v>
      </c>
      <c r="F35" s="231">
        <f>IFERROR(__xludf.DUMMYFUNCTION("COUNT(FILTER(Tests!C$4:C989, Tests!C$4:C989&gt;=$B$18, Tests!C$4:C989&lt;=$B$19, Tests!BS$4:BS989=0, Tests!BS$4:BS989&lt;&gt;"""", Tests!O$4:O989=D35))"),22.0)</f>
        <v>22</v>
      </c>
      <c r="G35" s="67">
        <f t="shared" si="3"/>
        <v>0.7777777778</v>
      </c>
      <c r="H35" s="232">
        <f>IFERROR(__xludf.DUMMYFUNCTION("COUNT(FILTER(Tests!C$4:C989, Tests!C$4:C989&gt;=$B$18, Tests!C$4:C989&lt;=$B$19, Tests!CK$4:CK989&gt;0, Tests!O$4:O989=D35))"),61.0)</f>
        <v>61</v>
      </c>
      <c r="P35" s="236" t="str">
        <f>IFERROR(__xludf.DUMMYFUNCTION("""COMPUTED_VALUE"""),"Connecting Flange")</f>
        <v>Connecting Flange</v>
      </c>
      <c r="Q35" s="25">
        <f>IFERROR(__xludf.DUMMYFUNCTION("COUNT(FILTER(Tests!C$4:C989, Tests!C$4:C989&gt;=$B$18, Tests!C$4:C989&lt;=$B$19, Tests!BS$4:BS989&gt;0, Tests!P$4:P989=P35))"),0.0)</f>
        <v>0</v>
      </c>
      <c r="R35" s="25">
        <f>IFERROR(__xludf.DUMMYFUNCTION("COUNT(FILTER(Tests!C$4:C989, Tests!C$4:C989&gt;=$B$18, Tests!C$4:C989&lt;=$B$19, Tests!BS$4:BS989=0, Tests!BS$4:BS989&lt;&gt;"""", Tests!P$4:P989=P35))"),1.0)</f>
        <v>1</v>
      </c>
      <c r="S35" s="67">
        <f t="shared" si="4"/>
        <v>0</v>
      </c>
      <c r="T35" s="234">
        <f>IFERROR(__xludf.DUMMYFUNCTION("COUNT(FILTER(Tests!C$4:C989, Tests!C$4:C989&gt;=$B$18, Tests!C$4:C989&lt;=$B$19, Tests!CK$4:CK989&gt;0, Tests!P$4:P989=P35))"),0.0)</f>
        <v>0</v>
      </c>
      <c r="V35" s="58" t="s">
        <v>740</v>
      </c>
      <c r="W35" s="42">
        <f>W33+W34</f>
        <v>139</v>
      </c>
      <c r="X35" s="62"/>
      <c r="Y35" s="42">
        <f>Y33+Y34</f>
        <v>386</v>
      </c>
      <c r="Z35" s="62"/>
    </row>
    <row r="36">
      <c r="D36" s="235" t="str">
        <f>IFERROR(__xludf.DUMMYFUNCTION("""COMPUTED_VALUE"""),"Fixed Point 2")</f>
        <v>Fixed Point 2</v>
      </c>
      <c r="E36" s="25">
        <f>IFERROR(__xludf.DUMMYFUNCTION("COUNT(FILTER(Tests!C$4:C989, Tests!C$4:C989&gt;=$B$18, Tests!C$4:C989&lt;=$B$19, Tests!BS$4:BS989&gt;0, Tests!O$4:O989=D36))"),17.0)</f>
        <v>17</v>
      </c>
      <c r="F36" s="231">
        <f>IFERROR(__xludf.DUMMYFUNCTION("COUNT(FILTER(Tests!C$4:C989, Tests!C$4:C989&gt;=$B$18, Tests!C$4:C989&lt;=$B$19, Tests!BS$4:BS989=0, Tests!BS$4:BS989&lt;&gt;"""", Tests!O$4:O989=D36))"),22.0)</f>
        <v>22</v>
      </c>
      <c r="G36" s="67">
        <f t="shared" si="3"/>
        <v>0.4358974359</v>
      </c>
      <c r="H36" s="232">
        <f>IFERROR(__xludf.DUMMYFUNCTION("COUNT(FILTER(Tests!C$4:C989, Tests!C$4:C989&gt;=$B$18, Tests!C$4:C989&lt;=$B$19, Tests!CK$4:CK989&gt;0, Tests!O$4:O989=D36))"),29.0)</f>
        <v>29</v>
      </c>
      <c r="P36" s="236" t="str">
        <f>IFERROR(__xludf.DUMMYFUNCTION("""COMPUTED_VALUE"""),"Connector")</f>
        <v>Connector</v>
      </c>
      <c r="Q36" s="25">
        <f>IFERROR(__xludf.DUMMYFUNCTION("COUNT(FILTER(Tests!C$4:C989, Tests!C$4:C989&gt;=$B$18, Tests!C$4:C989&lt;=$B$19, Tests!BS$4:BS989&gt;0, Tests!P$4:P989=P36))"),3.0)</f>
        <v>3</v>
      </c>
      <c r="R36" s="25">
        <f>IFERROR(__xludf.DUMMYFUNCTION("COUNT(FILTER(Tests!C$4:C989, Tests!C$4:C989&gt;=$B$18, Tests!C$4:C989&lt;=$B$19, Tests!BS$4:BS989=0, Tests!BS$4:BS989&lt;&gt;"""", Tests!P$4:P989=P36))"),6.0)</f>
        <v>6</v>
      </c>
      <c r="S36" s="67">
        <f t="shared" si="4"/>
        <v>0.3333333333</v>
      </c>
      <c r="T36" s="234">
        <f>IFERROR(__xludf.DUMMYFUNCTION("COUNT(FILTER(Tests!C$4:C989, Tests!C$4:C989&gt;=$B$18, Tests!C$4:C989&lt;=$B$19, Tests!CK$4:CK989&gt;0, Tests!P$4:P989=P36))"),5.0)</f>
        <v>5</v>
      </c>
    </row>
    <row r="37">
      <c r="D37" s="235" t="str">
        <f>IFERROR(__xludf.DUMMYFUNCTION("""COMPUTED_VALUE"""),"Flare (6,5 m)")</f>
        <v>Flare (6,5 m)</v>
      </c>
      <c r="E37" s="25">
        <f>IFERROR(__xludf.DUMMYFUNCTION("COUNT(FILTER(Tests!C$4:C989, Tests!C$4:C989&gt;=$B$18, Tests!C$4:C989&lt;=$B$19, Tests!BS$4:BS989&gt;0, Tests!O$4:O989=D37))"),14.0)</f>
        <v>14</v>
      </c>
      <c r="F37" s="231">
        <f>IFERROR(__xludf.DUMMYFUNCTION("COUNT(FILTER(Tests!C$4:C989, Tests!C$4:C989&gt;=$B$18, Tests!C$4:C989&lt;=$B$19, Tests!BS$4:BS989=0, Tests!BS$4:BS989&lt;&gt;"""", Tests!O$4:O989=D37))"),17.0)</f>
        <v>17</v>
      </c>
      <c r="G37" s="67">
        <f t="shared" si="3"/>
        <v>0.4516129032</v>
      </c>
      <c r="H37" s="232">
        <f>IFERROR(__xludf.DUMMYFUNCTION("COUNT(FILTER(Tests!C$4:C989, Tests!C$4:C989&gt;=$B$18, Tests!C$4:C989&lt;=$B$19, Tests!CK$4:CK989&gt;0, Tests!O$4:O989=D37))"),21.0)</f>
        <v>21</v>
      </c>
      <c r="P37" s="236" t="str">
        <f>IFERROR(__xludf.DUMMYFUNCTION("""COMPUTED_VALUE"""),"Control Box")</f>
        <v>Control Box</v>
      </c>
      <c r="Q37" s="25">
        <f>IFERROR(__xludf.DUMMYFUNCTION("COUNT(FILTER(Tests!C$4:C989, Tests!C$4:C989&gt;=$B$18, Tests!C$4:C989&lt;=$B$19, Tests!BS$4:BS989&gt;0, Tests!P$4:P989=P37))"),10.0)</f>
        <v>10</v>
      </c>
      <c r="R37" s="25">
        <f>IFERROR(__xludf.DUMMYFUNCTION("COUNT(FILTER(Tests!C$4:C989, Tests!C$4:C989&gt;=$B$18, Tests!C$4:C989&lt;=$B$19, Tests!BS$4:BS989=0, Tests!BS$4:BS989&lt;&gt;"""", Tests!P$4:P989=P37))"),4.0)</f>
        <v>4</v>
      </c>
      <c r="S37" s="67">
        <f t="shared" si="4"/>
        <v>0.7142857143</v>
      </c>
      <c r="T37" s="234">
        <f>IFERROR(__xludf.DUMMYFUNCTION("COUNT(FILTER(Tests!C$4:C989, Tests!C$4:C989&gt;=$B$18, Tests!C$4:C989&lt;=$B$19, Tests!CK$4:CK989&gt;0, Tests!P$4:P989=P37))"),9.0)</f>
        <v>9</v>
      </c>
    </row>
    <row r="38">
      <c r="D38" s="235" t="str">
        <f>IFERROR(__xludf.DUMMYFUNCTION("""COMPUTED_VALUE"""),"Large Tank D1")</f>
        <v>Large Tank D1</v>
      </c>
      <c r="E38" s="25">
        <f>IFERROR(__xludf.DUMMYFUNCTION("COUNT(FILTER(Tests!C$4:C989, Tests!C$4:C989&gt;=$B$18, Tests!C$4:C989&lt;=$B$19, Tests!BS$4:BS989&gt;0, Tests!O$4:O989=D38))"),6.0)</f>
        <v>6</v>
      </c>
      <c r="F38" s="231">
        <f>IFERROR(__xludf.DUMMYFUNCTION("COUNT(FILTER(Tests!C$4:C989, Tests!C$4:C989&gt;=$B$18, Tests!C$4:C989&lt;=$B$19, Tests!BS$4:BS989=0, Tests!BS$4:BS989&lt;&gt;"""", Tests!O$4:O989=D38))"),15.0)</f>
        <v>15</v>
      </c>
      <c r="G38" s="67">
        <f t="shared" si="3"/>
        <v>0.2857142857</v>
      </c>
      <c r="H38" s="232">
        <f>IFERROR(__xludf.DUMMYFUNCTION("COUNT(FILTER(Tests!C$4:C989, Tests!C$4:C989&gt;=$B$18, Tests!C$4:C989&lt;=$B$19, Tests!CK$4:CK989&gt;0, Tests!O$4:O989=D38))"),10.0)</f>
        <v>10</v>
      </c>
      <c r="P38" s="236" t="str">
        <f>IFERROR(__xludf.DUMMYFUNCTION("""COMPUTED_VALUE"""),"Drilled Plug")</f>
        <v>Drilled Plug</v>
      </c>
      <c r="Q38" s="25">
        <f>IFERROR(__xludf.DUMMYFUNCTION("COUNT(FILTER(Tests!C$4:C989, Tests!C$4:C989&gt;=$B$18, Tests!C$4:C989&lt;=$B$19, Tests!BS$4:BS989&gt;0, Tests!P$4:P989=P38))"),49.0)</f>
        <v>49</v>
      </c>
      <c r="R38" s="25">
        <f>IFERROR(__xludf.DUMMYFUNCTION("COUNT(FILTER(Tests!C$4:C989, Tests!C$4:C989&gt;=$B$18, Tests!C$4:C989&lt;=$B$19, Tests!BS$4:BS989=0, Tests!BS$4:BS989&lt;&gt;"""", Tests!P$4:P989=P38))"),23.0)</f>
        <v>23</v>
      </c>
      <c r="S38" s="67">
        <f t="shared" si="4"/>
        <v>0.6805555556</v>
      </c>
      <c r="T38" s="234">
        <f>IFERROR(__xludf.DUMMYFUNCTION("COUNT(FILTER(Tests!C$4:C989, Tests!C$4:C989&gt;=$B$18, Tests!C$4:C989&lt;=$B$19, Tests!CK$4:CK989&gt;0, Tests!P$4:P989=P38))"),36.0)</f>
        <v>36</v>
      </c>
    </row>
    <row r="39">
      <c r="D39" s="235" t="str">
        <f>IFERROR(__xludf.DUMMYFUNCTION("""COMPUTED_VALUE"""),"Long Tank D3")</f>
        <v>Long Tank D3</v>
      </c>
      <c r="E39" s="25">
        <f>IFERROR(__xludf.DUMMYFUNCTION("COUNT(FILTER(Tests!C$4:C989, Tests!C$4:C989&gt;=$B$18, Tests!C$4:C989&lt;=$B$19, Tests!BS$4:BS989&gt;0, Tests!O$4:O989=D39))"),21.0)</f>
        <v>21</v>
      </c>
      <c r="F39" s="231">
        <f>IFERROR(__xludf.DUMMYFUNCTION("COUNT(FILTER(Tests!C$4:C989, Tests!C$4:C989&gt;=$B$18, Tests!C$4:C989&lt;=$B$19, Tests!BS$4:BS989=0, Tests!BS$4:BS989&lt;&gt;"""", Tests!O$4:O989=D39))"),11.0)</f>
        <v>11</v>
      </c>
      <c r="G39" s="67">
        <f t="shared" si="3"/>
        <v>0.65625</v>
      </c>
      <c r="H39" s="232">
        <f>IFERROR(__xludf.DUMMYFUNCTION("COUNT(FILTER(Tests!C$4:C989, Tests!C$4:C989&gt;=$B$18, Tests!C$4:C989&lt;=$B$19, Tests!CK$4:CK989&gt;0, Tests!O$4:O989=D39))"),24.0)</f>
        <v>24</v>
      </c>
      <c r="P39" s="236" t="str">
        <f>IFERROR(__xludf.DUMMYFUNCTION("""COMPUTED_VALUE"""),"Flange")</f>
        <v>Flange</v>
      </c>
      <c r="Q39" s="25">
        <f>IFERROR(__xludf.DUMMYFUNCTION("COUNT(FILTER(Tests!C$4:C989, Tests!C$4:C989&gt;=$B$18, Tests!C$4:C989&lt;=$B$19, Tests!BS$4:BS989&gt;0, Tests!P$4:P989=P39))"),8.0)</f>
        <v>8</v>
      </c>
      <c r="R39" s="25">
        <f>IFERROR(__xludf.DUMMYFUNCTION("COUNT(FILTER(Tests!C$4:C989, Tests!C$4:C989&gt;=$B$18, Tests!C$4:C989&lt;=$B$19, Tests!BS$4:BS989=0, Tests!BS$4:BS989&lt;&gt;"""", Tests!P$4:P989=P39))"),7.0)</f>
        <v>7</v>
      </c>
      <c r="S39" s="67">
        <f t="shared" si="4"/>
        <v>0.5333333333</v>
      </c>
      <c r="T39" s="234">
        <f>IFERROR(__xludf.DUMMYFUNCTION("COUNT(FILTER(Tests!C$4:C989, Tests!C$4:C989&gt;=$B$18, Tests!C$4:C989&lt;=$B$19, Tests!CK$4:CK989&gt;0, Tests!P$4:P989=P39))"),10.0)</f>
        <v>10</v>
      </c>
    </row>
    <row r="40">
      <c r="D40" s="235" t="str">
        <f>IFERROR(__xludf.DUMMYFUNCTION("""COMPUTED_VALUE"""),"Mast")</f>
        <v>Mast</v>
      </c>
      <c r="E40" s="25">
        <f>IFERROR(__xludf.DUMMYFUNCTION("COUNT(FILTER(Tests!C$4:C989, Tests!C$4:C989&gt;=$B$18, Tests!C$4:C989&lt;=$B$19, Tests!BS$4:BS989&gt;0, Tests!O$4:O989=D40))"),1.0)</f>
        <v>1</v>
      </c>
      <c r="F40" s="231">
        <f>IFERROR(__xludf.DUMMYFUNCTION("COUNT(FILTER(Tests!C$4:C989, Tests!C$4:C989&gt;=$B$18, Tests!C$4:C989&lt;=$B$19, Tests!BS$4:BS989=0, Tests!BS$4:BS989&lt;&gt;"""", Tests!O$4:O989=D40))"),16.0)</f>
        <v>16</v>
      </c>
      <c r="G40" s="67">
        <f t="shared" si="3"/>
        <v>0.05882352941</v>
      </c>
      <c r="H40" s="232">
        <f>IFERROR(__xludf.DUMMYFUNCTION("COUNT(FILTER(Tests!C$4:C989, Tests!C$4:C989&gt;=$B$18, Tests!C$4:C989&lt;=$B$19, Tests!CK$4:CK989&gt;0, Tests!O$4:O989=D40))"),0.0)</f>
        <v>0</v>
      </c>
      <c r="P40" s="236" t="str">
        <f>IFERROR(__xludf.DUMMYFUNCTION("""COMPUTED_VALUE"""),"Flange 1")</f>
        <v>Flange 1</v>
      </c>
      <c r="Q40" s="25">
        <f>IFERROR(__xludf.DUMMYFUNCTION("COUNT(FILTER(Tests!C$4:C989, Tests!C$4:C989&gt;=$B$18, Tests!C$4:C989&lt;=$B$19, Tests!BS$4:BS989&gt;0, Tests!P$4:P989=P40))"),1.0)</f>
        <v>1</v>
      </c>
      <c r="R40" s="25">
        <f>IFERROR(__xludf.DUMMYFUNCTION("COUNT(FILTER(Tests!C$4:C989, Tests!C$4:C989&gt;=$B$18, Tests!C$4:C989&lt;=$B$19, Tests!BS$4:BS989=0, Tests!BS$4:BS989&lt;&gt;"""", Tests!P$4:P989=P40))"),3.0)</f>
        <v>3</v>
      </c>
      <c r="S40" s="67">
        <f t="shared" si="4"/>
        <v>0.25</v>
      </c>
      <c r="T40" s="234">
        <f>IFERROR(__xludf.DUMMYFUNCTION("COUNT(FILTER(Tests!C$4:C989, Tests!C$4:C989&gt;=$B$18, Tests!C$4:C989&lt;=$B$19, Tests!CK$4:CK989&gt;0, Tests!P$4:P989=P40))"),0.0)</f>
        <v>0</v>
      </c>
    </row>
    <row r="41">
      <c r="D41" s="235" t="str">
        <f>IFERROR(__xludf.DUMMYFUNCTION("""COMPUTED_VALUE"""),"Mast 20 m")</f>
        <v>Mast 20 m</v>
      </c>
      <c r="E41" s="25">
        <f>IFERROR(__xludf.DUMMYFUNCTION("COUNT(FILTER(Tests!C$4:C989, Tests!C$4:C989&gt;=$B$18, Tests!C$4:C989&lt;=$B$19, Tests!BS$4:BS989&gt;0, Tests!O$4:O989=D41))"),0.0)</f>
        <v>0</v>
      </c>
      <c r="F41" s="231">
        <f>IFERROR(__xludf.DUMMYFUNCTION("COUNT(FILTER(Tests!C$4:C989, Tests!C$4:C989&gt;=$B$18, Tests!C$4:C989&lt;=$B$19, Tests!BS$4:BS989=0, Tests!BS$4:BS989&lt;&gt;"""", Tests!O$4:O989=D41))"),7.0)</f>
        <v>7</v>
      </c>
      <c r="G41" s="67">
        <f t="shared" si="3"/>
        <v>0</v>
      </c>
      <c r="H41" s="232">
        <f>IFERROR(__xludf.DUMMYFUNCTION("COUNT(FILTER(Tests!C$4:C989, Tests!C$4:C989&gt;=$B$18, Tests!C$4:C989&lt;=$B$19, Tests!CK$4:CK989&gt;0, Tests!O$4:O989=D41))"),0.0)</f>
        <v>0</v>
      </c>
      <c r="P41" s="236" t="str">
        <f>IFERROR(__xludf.DUMMYFUNCTION("""COMPUTED_VALUE"""),"Flange 2")</f>
        <v>Flange 2</v>
      </c>
      <c r="Q41" s="25">
        <f>IFERROR(__xludf.DUMMYFUNCTION("COUNT(FILTER(Tests!C$4:C989, Tests!C$4:C989&gt;=$B$18, Tests!C$4:C989&lt;=$B$19, Tests!BS$4:BS989&gt;0, Tests!P$4:P989=P41))"),1.0)</f>
        <v>1</v>
      </c>
      <c r="R41" s="25">
        <f>IFERROR(__xludf.DUMMYFUNCTION("COUNT(FILTER(Tests!C$4:C989, Tests!C$4:C989&gt;=$B$18, Tests!C$4:C989&lt;=$B$19, Tests!BS$4:BS989=0, Tests!BS$4:BS989&lt;&gt;"""", Tests!P$4:P989=P41))"),0.0)</f>
        <v>0</v>
      </c>
      <c r="S41" s="67">
        <f t="shared" si="4"/>
        <v>1</v>
      </c>
      <c r="T41" s="234">
        <f>IFERROR(__xludf.DUMMYFUNCTION("COUNT(FILTER(Tests!C$4:C989, Tests!C$4:C989&gt;=$B$18, Tests!C$4:C989&lt;=$B$19, Tests!CK$4:CK989&gt;0, Tests!P$4:P989=P41))"),1.0)</f>
        <v>1</v>
      </c>
    </row>
    <row r="42">
      <c r="D42" s="235" t="str">
        <f>IFERROR(__xludf.DUMMYFUNCTION("""COMPUTED_VALUE"""),"Mobile Valve 1")</f>
        <v>Mobile Valve 1</v>
      </c>
      <c r="E42" s="25">
        <f>IFERROR(__xludf.DUMMYFUNCTION("COUNT(FILTER(Tests!C$4:C989, Tests!C$4:C989&gt;=$B$18, Tests!C$4:C989&lt;=$B$19, Tests!BS$4:BS989&gt;0, Tests!O$4:O989=D42))"),2.0)</f>
        <v>2</v>
      </c>
      <c r="F42" s="231">
        <f>IFERROR(__xludf.DUMMYFUNCTION("COUNT(FILTER(Tests!C$4:C989, Tests!C$4:C989&gt;=$B$18, Tests!C$4:C989&lt;=$B$19, Tests!BS$4:BS989=0, Tests!BS$4:BS989&lt;&gt;"""", Tests!O$4:O989=D42))"),0.0)</f>
        <v>0</v>
      </c>
      <c r="G42" s="67">
        <f t="shared" si="3"/>
        <v>1</v>
      </c>
      <c r="H42" s="232">
        <f>IFERROR(__xludf.DUMMYFUNCTION("COUNT(FILTER(Tests!C$4:C989, Tests!C$4:C989&gt;=$B$18, Tests!C$4:C989&lt;=$B$19, Tests!CK$4:CK989&gt;0, Tests!O$4:O989=D42))"),1.0)</f>
        <v>1</v>
      </c>
      <c r="P42" s="236" t="str">
        <f>IFERROR(__xludf.DUMMYFUNCTION("""COMPUTED_VALUE"""),"Flange 3")</f>
        <v>Flange 3</v>
      </c>
      <c r="Q42" s="25">
        <f>IFERROR(__xludf.DUMMYFUNCTION("COUNT(FILTER(Tests!C$4:C989, Tests!C$4:C989&gt;=$B$18, Tests!C$4:C989&lt;=$B$19, Tests!BS$4:BS989&gt;0, Tests!P$4:P989=P42))"),7.0)</f>
        <v>7</v>
      </c>
      <c r="R42" s="25">
        <f>IFERROR(__xludf.DUMMYFUNCTION("COUNT(FILTER(Tests!C$4:C989, Tests!C$4:C989&gt;=$B$18, Tests!C$4:C989&lt;=$B$19, Tests!BS$4:BS989=0, Tests!BS$4:BS989&lt;&gt;"""", Tests!P$4:P989=P42))"),3.0)</f>
        <v>3</v>
      </c>
      <c r="S42" s="67">
        <f t="shared" si="4"/>
        <v>0.7</v>
      </c>
      <c r="T42" s="234">
        <f>IFERROR(__xludf.DUMMYFUNCTION("COUNT(FILTER(Tests!C$4:C989, Tests!C$4:C989&gt;=$B$18, Tests!C$4:C989&lt;=$B$19, Tests!CK$4:CK989&gt;0, Tests!P$4:P989=P42))"),5.0)</f>
        <v>5</v>
      </c>
    </row>
    <row r="43">
      <c r="D43" s="235" t="str">
        <f>IFERROR(__xludf.DUMMYFUNCTION("""COMPUTED_VALUE"""),"Mobile Valve 3A")</f>
        <v>Mobile Valve 3A</v>
      </c>
      <c r="E43" s="25">
        <f>IFERROR(__xludf.DUMMYFUNCTION("COUNT(FILTER(Tests!C$4:C989, Tests!C$4:C989&gt;=$B$18, Tests!C$4:C989&lt;=$B$19, Tests!BS$4:BS989&gt;0, Tests!O$4:O989=D43))"),6.0)</f>
        <v>6</v>
      </c>
      <c r="F43" s="231">
        <f>IFERROR(__xludf.DUMMYFUNCTION("COUNT(FILTER(Tests!C$4:C989, Tests!C$4:C989&gt;=$B$18, Tests!C$4:C989&lt;=$B$19, Tests!BS$4:BS989=0, Tests!BS$4:BS989&lt;&gt;"""", Tests!O$4:O989=D43))"),8.0)</f>
        <v>8</v>
      </c>
      <c r="G43" s="67">
        <f t="shared" si="3"/>
        <v>0.4285714286</v>
      </c>
      <c r="H43" s="232">
        <f>IFERROR(__xludf.DUMMYFUNCTION("COUNT(FILTER(Tests!C$4:C989, Tests!C$4:C989&gt;=$B$18, Tests!C$4:C989&lt;=$B$19, Tests!CK$4:CK989&gt;0, Tests!O$4:O989=D43))"),2.0)</f>
        <v>2</v>
      </c>
      <c r="P43" s="236" t="str">
        <f>IFERROR(__xludf.DUMMYFUNCTION("""COMPUTED_VALUE"""),"Flange 4")</f>
        <v>Flange 4</v>
      </c>
      <c r="Q43" s="25">
        <f>IFERROR(__xludf.DUMMYFUNCTION("COUNT(FILTER(Tests!C$4:C989, Tests!C$4:C989&gt;=$B$18, Tests!C$4:C989&lt;=$B$19, Tests!BS$4:BS989&gt;0, Tests!P$4:P989=P43))"),5.0)</f>
        <v>5</v>
      </c>
      <c r="R43" s="25">
        <f>IFERROR(__xludf.DUMMYFUNCTION("COUNT(FILTER(Tests!C$4:C989, Tests!C$4:C989&gt;=$B$18, Tests!C$4:C989&lt;=$B$19, Tests!BS$4:BS989=0, Tests!BS$4:BS989&lt;&gt;"""", Tests!P$4:P989=P43))"),2.0)</f>
        <v>2</v>
      </c>
      <c r="S43" s="67">
        <f t="shared" si="4"/>
        <v>0.7142857143</v>
      </c>
      <c r="T43" s="234">
        <f>IFERROR(__xludf.DUMMYFUNCTION("COUNT(FILTER(Tests!C$4:C989, Tests!C$4:C989&gt;=$B$18, Tests!C$4:C989&lt;=$B$19, Tests!CK$4:CK989&gt;0, Tests!P$4:P989=P43))"),6.0)</f>
        <v>6</v>
      </c>
    </row>
    <row r="44">
      <c r="D44" s="235" t="str">
        <f>IFERROR(__xludf.DUMMYFUNCTION("""COMPUTED_VALUE"""),"Mobile Valve 3B")</f>
        <v>Mobile Valve 3B</v>
      </c>
      <c r="E44" s="25">
        <f>IFERROR(__xludf.DUMMYFUNCTION("COUNT(FILTER(Tests!C$4:C989, Tests!C$4:C989&gt;=$B$18, Tests!C$4:C989&lt;=$B$19, Tests!BS$4:BS989&gt;0, Tests!O$4:O989=D44))"),12.0)</f>
        <v>12</v>
      </c>
      <c r="F44" s="231">
        <f>IFERROR(__xludf.DUMMYFUNCTION("COUNT(FILTER(Tests!C$4:C989, Tests!C$4:C989&gt;=$B$18, Tests!C$4:C989&lt;=$B$19, Tests!BS$4:BS989=0, Tests!BS$4:BS989&lt;&gt;"""", Tests!O$4:O989=D44))"),3.0)</f>
        <v>3</v>
      </c>
      <c r="G44" s="67">
        <f t="shared" si="3"/>
        <v>0.8</v>
      </c>
      <c r="H44" s="232">
        <f>IFERROR(__xludf.DUMMYFUNCTION("COUNT(FILTER(Tests!C$4:C989, Tests!C$4:C989&gt;=$B$18, Tests!C$4:C989&lt;=$B$19, Tests!CK$4:CK989&gt;0, Tests!O$4:O989=D44))"),10.0)</f>
        <v>10</v>
      </c>
      <c r="P44" s="237" t="str">
        <f>IFERROR(__xludf.DUMMYFUNCTION("""COMPUTED_VALUE"""),"High Vertical piping")</f>
        <v>High Vertical piping</v>
      </c>
      <c r="Q44" s="25">
        <f>IFERROR(__xludf.DUMMYFUNCTION("COUNT(FILTER(Tests!C$4:C989, Tests!C$4:C989&gt;=$B$18, Tests!C$4:C989&lt;=$B$19, Tests!BS$4:BS989&gt;0, Tests!P$4:P989=P44))"),2.0)</f>
        <v>2</v>
      </c>
      <c r="R44" s="25">
        <f>IFERROR(__xludf.DUMMYFUNCTION("COUNT(FILTER(Tests!C$4:C989, Tests!C$4:C989&gt;=$B$18, Tests!C$4:C989&lt;=$B$19, Tests!BS$4:BS989=0, Tests!BS$4:BS989&lt;&gt;"""", Tests!P$4:P989=P44))"),4.0)</f>
        <v>4</v>
      </c>
      <c r="S44" s="67">
        <f t="shared" si="4"/>
        <v>0.3333333333</v>
      </c>
      <c r="T44" s="234">
        <f>IFERROR(__xludf.DUMMYFUNCTION("COUNT(FILTER(Tests!C$4:C989, Tests!C$4:C989&gt;=$B$18, Tests!C$4:C989&lt;=$B$19, Tests!CK$4:CK989&gt;0, Tests!P$4:P989=P44))"),6.0)</f>
        <v>6</v>
      </c>
    </row>
    <row r="45">
      <c r="D45" s="235" t="str">
        <f>IFERROR(__xludf.DUMMYFUNCTION("""COMPUTED_VALUE"""),"Pipe Rack")</f>
        <v>Pipe Rack</v>
      </c>
      <c r="E45" s="25">
        <f>IFERROR(__xludf.DUMMYFUNCTION("COUNT(FILTER(Tests!C$4:C989, Tests!C$4:C989&gt;=$B$18, Tests!C$4:C989&lt;=$B$19, Tests!BS$4:BS989&gt;0, Tests!O$4:O989=D45))"),18.0)</f>
        <v>18</v>
      </c>
      <c r="F45" s="231">
        <f>IFERROR(__xludf.DUMMYFUNCTION("COUNT(FILTER(Tests!C$4:C989, Tests!C$4:C989&gt;=$B$18, Tests!C$4:C989&lt;=$B$19, Tests!BS$4:BS989=0, Tests!BS$4:BS989&lt;&gt;"""", Tests!O$4:O989=D45))"),13.0)</f>
        <v>13</v>
      </c>
      <c r="G45" s="67">
        <f t="shared" si="3"/>
        <v>0.5806451613</v>
      </c>
      <c r="H45" s="232">
        <f>IFERROR(__xludf.DUMMYFUNCTION("COUNT(FILTER(Tests!C$4:C989, Tests!C$4:C989&gt;=$B$18, Tests!C$4:C989&lt;=$B$19, Tests!CK$4:CK989&gt;0, Tests!O$4:O989=D45))"),15.0)</f>
        <v>15</v>
      </c>
      <c r="P45" s="236" t="str">
        <f>IFERROR(__xludf.DUMMYFUNCTION("""COMPUTED_VALUE"""),"Horizontal tubing")</f>
        <v>Horizontal tubing</v>
      </c>
      <c r="Q45" s="25">
        <f>IFERROR(__xludf.DUMMYFUNCTION("COUNT(FILTER(Tests!C$4:C989, Tests!C$4:C989&gt;=$B$18, Tests!C$4:C989&lt;=$B$19, Tests!BS$4:BS989&gt;0, Tests!P$4:P989=P45))"),22.0)</f>
        <v>22</v>
      </c>
      <c r="R45" s="25">
        <f>IFERROR(__xludf.DUMMYFUNCTION("COUNT(FILTER(Tests!C$4:C989, Tests!C$4:C989&gt;=$B$18, Tests!C$4:C989&lt;=$B$19, Tests!BS$4:BS989=0, Tests!BS$4:BS989&lt;&gt;"""", Tests!P$4:P989=P45))"),6.0)</f>
        <v>6</v>
      </c>
      <c r="S45" s="67">
        <f t="shared" si="4"/>
        <v>0.7857142857</v>
      </c>
      <c r="T45" s="234">
        <f>IFERROR(__xludf.DUMMYFUNCTION("COUNT(FILTER(Tests!C$4:C989, Tests!C$4:C989&gt;=$B$18, Tests!C$4:C989&lt;=$B$19, Tests!CK$4:CK989&gt;0, Tests!P$4:P989=P45))"),14.0)</f>
        <v>14</v>
      </c>
    </row>
    <row r="46">
      <c r="D46" s="238" t="str">
        <f>IFERROR(__xludf.DUMMYFUNCTION("""COMPUTED_VALUE"""),"Product Skid")</f>
        <v>Product Skid</v>
      </c>
      <c r="E46" s="25">
        <f>IFERROR(__xludf.DUMMYFUNCTION("COUNT(FILTER(Tests!C$4:C989, Tests!C$4:C989&gt;=$B$18, Tests!C$4:C989&lt;=$B$19, Tests!BS$4:BS989&gt;0, Tests!O$4:O989=D46))"),14.0)</f>
        <v>14</v>
      </c>
      <c r="F46" s="231">
        <f>IFERROR(__xludf.DUMMYFUNCTION("COUNT(FILTER(Tests!C$4:C989, Tests!C$4:C989&gt;=$B$18, Tests!C$4:C989&lt;=$B$19, Tests!BS$4:BS989=0, Tests!BS$4:BS989&lt;&gt;"""", Tests!O$4:O989=D46))"),11.0)</f>
        <v>11</v>
      </c>
      <c r="G46" s="67">
        <f t="shared" si="3"/>
        <v>0.56</v>
      </c>
      <c r="H46" s="232">
        <f>IFERROR(__xludf.DUMMYFUNCTION("COUNT(FILTER(Tests!C$4:C989, Tests!C$4:C989&gt;=$B$18, Tests!C$4:C989&lt;=$B$19, Tests!CK$4:CK989&gt;0, Tests!O$4:O989=D46))"),14.0)</f>
        <v>14</v>
      </c>
      <c r="P46" s="236" t="str">
        <f>IFERROR(__xludf.DUMMYFUNCTION("""COMPUTED_VALUE"""),"Man hole")</f>
        <v>Man hole</v>
      </c>
      <c r="Q46" s="25">
        <f>IFERROR(__xludf.DUMMYFUNCTION("COUNT(FILTER(Tests!C$4:C989, Tests!C$4:C989&gt;=$B$18, Tests!C$4:C989&lt;=$B$19, Tests!BS$4:BS989&gt;0, Tests!P$4:P989=P46))"),6.0)</f>
        <v>6</v>
      </c>
      <c r="R46" s="25">
        <f>IFERROR(__xludf.DUMMYFUNCTION("COUNT(FILTER(Tests!C$4:C989, Tests!C$4:C989&gt;=$B$18, Tests!C$4:C989&lt;=$B$19, Tests!BS$4:BS989=0, Tests!BS$4:BS989&lt;&gt;"""", Tests!P$4:P989=P46))"),10.0)</f>
        <v>10</v>
      </c>
      <c r="S46" s="67">
        <f t="shared" si="4"/>
        <v>0.375</v>
      </c>
      <c r="T46" s="234">
        <f>IFERROR(__xludf.DUMMYFUNCTION("COUNT(FILTER(Tests!C$4:C989, Tests!C$4:C989&gt;=$B$18, Tests!C$4:C989&lt;=$B$19, Tests!CK$4:CK989&gt;0, Tests!P$4:P989=P46))"),8.0)</f>
        <v>8</v>
      </c>
    </row>
    <row r="47">
      <c r="D47" s="238" t="str">
        <f>IFERROR(__xludf.DUMMYFUNCTION("""COMPUTED_VALUE"""),"RPB")</f>
        <v>RPB</v>
      </c>
      <c r="E47" s="25">
        <f>IFERROR(__xludf.DUMMYFUNCTION("COUNT(FILTER(Tests!C$4:C989, Tests!C$4:C989&gt;=$B$18, Tests!C$4:C989&lt;=$B$19, Tests!BS$4:BS989&gt;0, Tests!O$4:O989=D47))"),30.0)</f>
        <v>30</v>
      </c>
      <c r="F47" s="231">
        <f>IFERROR(__xludf.DUMMYFUNCTION("COUNT(FILTER(Tests!C$4:C989, Tests!C$4:C989&gt;=$B$18, Tests!C$4:C989&lt;=$B$19, Tests!BS$4:BS989=0, Tests!BS$4:BS989&lt;&gt;"""", Tests!O$4:O989=D47))"),21.0)</f>
        <v>21</v>
      </c>
      <c r="G47" s="67">
        <f t="shared" si="3"/>
        <v>0.5882352941</v>
      </c>
      <c r="H47" s="232">
        <f>IFERROR(__xludf.DUMMYFUNCTION("COUNT(FILTER(Tests!C$4:C989, Tests!C$4:C989&gt;=$B$18, Tests!C$4:C989&lt;=$B$19, Tests!CK$4:CK989&gt;0, Tests!O$4:O989=D47))"),21.0)</f>
        <v>21</v>
      </c>
      <c r="P47" s="236" t="str">
        <f>IFERROR(__xludf.DUMMYFUNCTION("""COMPUTED_VALUE"""),"Medium Flange")</f>
        <v>Medium Flange</v>
      </c>
      <c r="Q47" s="25">
        <f>IFERROR(__xludf.DUMMYFUNCTION("COUNT(FILTER(Tests!C$4:C989, Tests!C$4:C989&gt;=$B$18, Tests!C$4:C989&lt;=$B$19, Tests!BS$4:BS989&gt;0, Tests!P$4:P989=P47))"),3.0)</f>
        <v>3</v>
      </c>
      <c r="R47" s="25">
        <f>IFERROR(__xludf.DUMMYFUNCTION("COUNT(FILTER(Tests!C$4:C989, Tests!C$4:C989&gt;=$B$18, Tests!C$4:C989&lt;=$B$19, Tests!BS$4:BS989=0, Tests!BS$4:BS989&lt;&gt;"""", Tests!P$4:P989=P47))"),0.0)</f>
        <v>0</v>
      </c>
      <c r="S47" s="67">
        <f t="shared" si="4"/>
        <v>1</v>
      </c>
      <c r="T47" s="234">
        <f>IFERROR(__xludf.DUMMYFUNCTION("COUNT(FILTER(Tests!C$4:C989, Tests!C$4:C989&gt;=$B$18, Tests!C$4:C989&lt;=$B$19, Tests!CK$4:CK989&gt;0, Tests!P$4:P989=P47))"),0.0)</f>
        <v>0</v>
      </c>
    </row>
    <row r="48">
      <c r="D48" s="238" t="str">
        <f>IFERROR(__xludf.DUMMYFUNCTION("""COMPUTED_VALUE"""),"Scrubber")</f>
        <v>Scrubber</v>
      </c>
      <c r="E48" s="25">
        <f>IFERROR(__xludf.DUMMYFUNCTION("COUNT(FILTER(Tests!C$4:C989, Tests!C$4:C989&gt;=$B$18, Tests!C$4:C989&lt;=$B$19, Tests!BS$4:BS989&gt;0, Tests!O$4:O989=D48))"),6.0)</f>
        <v>6</v>
      </c>
      <c r="F48" s="231">
        <f>IFERROR(__xludf.DUMMYFUNCTION("COUNT(FILTER(Tests!C$4:C989, Tests!C$4:C989&gt;=$B$18, Tests!C$4:C989&lt;=$B$19, Tests!BS$4:BS989=0, Tests!BS$4:BS989&lt;&gt;"""", Tests!O$4:O989=D48))"),4.0)</f>
        <v>4</v>
      </c>
      <c r="G48" s="67">
        <f t="shared" si="3"/>
        <v>0.6</v>
      </c>
      <c r="H48" s="232">
        <f>IFERROR(__xludf.DUMMYFUNCTION("COUNT(FILTER(Tests!C$4:C989, Tests!C$4:C989&gt;=$B$18, Tests!C$4:C989&lt;=$B$19, Tests!CK$4:CK989&gt;0, Tests!O$4:O989=D48))"),6.0)</f>
        <v>6</v>
      </c>
      <c r="P48" s="236" t="str">
        <f>IFERROR(__xludf.DUMMYFUNCTION("""COMPUTED_VALUE"""),"North flange")</f>
        <v>North flange</v>
      </c>
      <c r="Q48" s="25">
        <f>IFERROR(__xludf.DUMMYFUNCTION("COUNT(FILTER(Tests!C$4:C989, Tests!C$4:C989&gt;=$B$18, Tests!C$4:C989&lt;=$B$19, Tests!BS$4:BS989&gt;0, Tests!P$4:P989=P48))"),2.0)</f>
        <v>2</v>
      </c>
      <c r="R48" s="25">
        <f>IFERROR(__xludf.DUMMYFUNCTION("COUNT(FILTER(Tests!C$4:C989, Tests!C$4:C989&gt;=$B$18, Tests!C$4:C989&lt;=$B$19, Tests!BS$4:BS989=0, Tests!BS$4:BS989&lt;&gt;"""", Tests!P$4:P989=P48))"),5.0)</f>
        <v>5</v>
      </c>
      <c r="S48" s="67">
        <f t="shared" si="4"/>
        <v>0.2857142857</v>
      </c>
      <c r="T48" s="234">
        <f>IFERROR(__xludf.DUMMYFUNCTION("COUNT(FILTER(Tests!C$4:C989, Tests!C$4:C989&gt;=$B$18, Tests!C$4:C989&lt;=$B$19, Tests!CK$4:CK989&gt;0, Tests!P$4:P989=P48))"),0.0)</f>
        <v>0</v>
      </c>
    </row>
    <row r="49">
      <c r="D49" s="238" t="str">
        <f>IFERROR(__xludf.DUMMYFUNCTION("""COMPUTED_VALUE"""),"Small Tank D2")</f>
        <v>Small Tank D2</v>
      </c>
      <c r="E49" s="25">
        <f>IFERROR(__xludf.DUMMYFUNCTION("COUNT(FILTER(Tests!C$4:C989, Tests!C$4:C989&gt;=$B$18, Tests!C$4:C989&lt;=$B$19, Tests!BS$4:BS989&gt;0, Tests!O$4:O989=D49))"),7.0)</f>
        <v>7</v>
      </c>
      <c r="F49" s="231">
        <f>IFERROR(__xludf.DUMMYFUNCTION("COUNT(FILTER(Tests!C$4:C989, Tests!C$4:C989&gt;=$B$18, Tests!C$4:C989&lt;=$B$19, Tests!BS$4:BS989=0, Tests!BS$4:BS989&lt;&gt;"""", Tests!O$4:O989=D49))"),24.0)</f>
        <v>24</v>
      </c>
      <c r="G49" s="67">
        <f t="shared" si="3"/>
        <v>0.2258064516</v>
      </c>
      <c r="H49" s="232">
        <f>IFERROR(__xludf.DUMMYFUNCTION("COUNT(FILTER(Tests!C$4:C989, Tests!C$4:C989&gt;=$B$18, Tests!C$4:C989&lt;=$B$19, Tests!CK$4:CK989&gt;0, Tests!O$4:O989=D49))"),11.0)</f>
        <v>11</v>
      </c>
      <c r="P49" s="236" t="str">
        <f>IFERROR(__xludf.DUMMYFUNCTION("""COMPUTED_VALUE"""),"Nouvelle bride")</f>
        <v>Nouvelle bride</v>
      </c>
      <c r="Q49" s="25">
        <f>IFERROR(__xludf.DUMMYFUNCTION("COUNT(FILTER(Tests!C$4:C989, Tests!C$4:C989&gt;=$B$18, Tests!C$4:C989&lt;=$B$19, Tests!BS$4:BS989&gt;0, Tests!P$4:P989=P49))"),0.0)</f>
        <v>0</v>
      </c>
      <c r="R49" s="25">
        <f>IFERROR(__xludf.DUMMYFUNCTION("COUNT(FILTER(Tests!C$4:C989, Tests!C$4:C989&gt;=$B$18, Tests!C$4:C989&lt;=$B$19, Tests!BS$4:BS989=0, Tests!BS$4:BS989&lt;&gt;"""", Tests!P$4:P989=P49))"),8.0)</f>
        <v>8</v>
      </c>
      <c r="S49" s="67">
        <f t="shared" si="4"/>
        <v>0</v>
      </c>
      <c r="T49" s="234">
        <f>IFERROR(__xludf.DUMMYFUNCTION("COUNT(FILTER(Tests!C$4:C989, Tests!C$4:C989&gt;=$B$18, Tests!C$4:C989&lt;=$B$19, Tests!CK$4:CK989&gt;0, Tests!P$4:P989=P49))"),0.0)</f>
        <v>0</v>
      </c>
    </row>
    <row r="50">
      <c r="D50" s="238" t="str">
        <f>IFERROR(__xludf.DUMMYFUNCTION("""COMPUTED_VALUE"""),"Well Head")</f>
        <v>Well Head</v>
      </c>
      <c r="E50" s="25">
        <f>IFERROR(__xludf.DUMMYFUNCTION("COUNT(FILTER(Tests!C$4:C989, Tests!C$4:C989&gt;=$B$18, Tests!C$4:C989&lt;=$B$19, Tests!BS$4:BS989&gt;0, Tests!O$4:O989=D50))"),18.0)</f>
        <v>18</v>
      </c>
      <c r="F50" s="231">
        <f>IFERROR(__xludf.DUMMYFUNCTION("COUNT(FILTER(Tests!C$4:C989, Tests!C$4:C989&gt;=$B$18, Tests!C$4:C989&lt;=$B$19, Tests!BS$4:BS989=0, Tests!BS$4:BS989&lt;&gt;"""", Tests!O$4:O989=D50))"),23.0)</f>
        <v>23</v>
      </c>
      <c r="G50" s="67">
        <f t="shared" si="3"/>
        <v>0.4390243902</v>
      </c>
      <c r="H50" s="232">
        <f>IFERROR(__xludf.DUMMYFUNCTION("COUNT(FILTER(Tests!C$4:C989, Tests!C$4:C989&gt;=$B$18, Tests!C$4:C989&lt;=$B$19, Tests!CK$4:CK989&gt;0, Tests!O$4:O989=D50))"),11.0)</f>
        <v>11</v>
      </c>
      <c r="P50" s="239" t="str">
        <f>IFERROR(__xludf.DUMMYFUNCTION("""COMPUTED_VALUE"""),"Open Ended Line")</f>
        <v>Open Ended Line</v>
      </c>
      <c r="Q50" s="25">
        <f>IFERROR(__xludf.DUMMYFUNCTION("COUNT(FILTER(Tests!C$4:C989, Tests!C$4:C989&gt;=$B$18, Tests!C$4:C989&lt;=$B$19, Tests!BS$4:BS989&gt;0, Tests!P$4:P989=P50))"),24.0)</f>
        <v>24</v>
      </c>
      <c r="R50" s="25">
        <f>IFERROR(__xludf.DUMMYFUNCTION("COUNT(FILTER(Tests!C$4:C989, Tests!C$4:C989&gt;=$B$18, Tests!C$4:C989&lt;=$B$19, Tests!BS$4:BS989=0, Tests!BS$4:BS989&lt;&gt;"""", Tests!P$4:P989=P50))"),54.0)</f>
        <v>54</v>
      </c>
      <c r="S50" s="67">
        <f t="shared" si="4"/>
        <v>0.3076923077</v>
      </c>
      <c r="T50" s="234">
        <f>IFERROR(__xludf.DUMMYFUNCTION("COUNT(FILTER(Tests!C$4:C989, Tests!C$4:C989&gt;=$B$18, Tests!C$4:C989&lt;=$B$19, Tests!CK$4:CK989&gt;0, Tests!P$4:P989=P50))"),32.0)</f>
        <v>32</v>
      </c>
    </row>
    <row r="51">
      <c r="D51" s="6"/>
      <c r="P51" s="239" t="str">
        <f>IFERROR(__xludf.DUMMYFUNCTION("""COMPUTED_VALUE"""),"Outlet valve")</f>
        <v>Outlet valve</v>
      </c>
      <c r="Q51" s="25">
        <f>IFERROR(__xludf.DUMMYFUNCTION("COUNT(FILTER(Tests!C$4:C989, Tests!C$4:C989&gt;=$B$18, Tests!C$4:C989&lt;=$B$19, Tests!BS$4:BS989&gt;0, Tests!P$4:P989=P51))"),17.0)</f>
        <v>17</v>
      </c>
      <c r="R51" s="25">
        <f>IFERROR(__xludf.DUMMYFUNCTION("COUNT(FILTER(Tests!C$4:C989, Tests!C$4:C989&gt;=$B$18, Tests!C$4:C989&lt;=$B$19, Tests!BS$4:BS989=0, Tests!BS$4:BS989&lt;&gt;"""", Tests!P$4:P989=P51))"),3.0)</f>
        <v>3</v>
      </c>
      <c r="S51" s="67">
        <f t="shared" si="4"/>
        <v>0.85</v>
      </c>
      <c r="T51" s="234">
        <f>IFERROR(__xludf.DUMMYFUNCTION("COUNT(FILTER(Tests!C$4:C989, Tests!C$4:C989&gt;=$B$18, Tests!C$4:C989&lt;=$B$19, Tests!CK$4:CK989&gt;0, Tests!P$4:P989=P51))"),14.0)</f>
        <v>14</v>
      </c>
    </row>
    <row r="52">
      <c r="P52" s="239" t="str">
        <f>IFERROR(__xludf.DUMMYFUNCTION("""COMPUTED_VALUE"""),"South flange")</f>
        <v>South flange</v>
      </c>
      <c r="Q52" s="25">
        <f>IFERROR(__xludf.DUMMYFUNCTION("COUNT(FILTER(Tests!C$4:C989, Tests!C$4:C989&gt;=$B$18, Tests!C$4:C989&lt;=$B$19, Tests!BS$4:BS989&gt;0, Tests!P$4:P989=P52))"),4.0)</f>
        <v>4</v>
      </c>
      <c r="R52" s="25">
        <f>IFERROR(__xludf.DUMMYFUNCTION("COUNT(FILTER(Tests!C$4:C989, Tests!C$4:C989&gt;=$B$18, Tests!C$4:C989&lt;=$B$19, Tests!BS$4:BS989=0, Tests!BS$4:BS989&lt;&gt;"""", Tests!P$4:P989=P52))"),8.0)</f>
        <v>8</v>
      </c>
      <c r="S52" s="67">
        <f t="shared" si="4"/>
        <v>0.3333333333</v>
      </c>
      <c r="T52" s="234">
        <f>IFERROR(__xludf.DUMMYFUNCTION("COUNT(FILTER(Tests!C$4:C989, Tests!C$4:C989&gt;=$B$18, Tests!C$4:C989&lt;=$B$19, Tests!CK$4:CK989&gt;0, Tests!P$4:P989=P52))"),6.0)</f>
        <v>6</v>
      </c>
    </row>
    <row r="53">
      <c r="P53" s="239" t="str">
        <f>IFERROR(__xludf.DUMMYFUNCTION("""COMPUTED_VALUE"""),"Sur PIRL en bordure de TADI")</f>
        <v>Sur PIRL en bordure de TADI</v>
      </c>
      <c r="Q53" s="25">
        <f>IFERROR(__xludf.DUMMYFUNCTION("COUNT(FILTER(Tests!C$4:C989, Tests!C$4:C989&gt;=$B$18, Tests!C$4:C989&lt;=$B$19, Tests!BS$4:BS989&gt;0, Tests!P$4:P989=P53))"),3.0)</f>
        <v>3</v>
      </c>
      <c r="R53" s="25">
        <f>IFERROR(__xludf.DUMMYFUNCTION("COUNT(FILTER(Tests!C$4:C989, Tests!C$4:C989&gt;=$B$18, Tests!C$4:C989&lt;=$B$19, Tests!BS$4:BS989=0, Tests!BS$4:BS989&lt;&gt;"""", Tests!P$4:P989=P53))"),0.0)</f>
        <v>0</v>
      </c>
      <c r="S53" s="67">
        <f t="shared" si="4"/>
        <v>1</v>
      </c>
      <c r="T53" s="234">
        <f>IFERROR(__xludf.DUMMYFUNCTION("COUNT(FILTER(Tests!C$4:C989, Tests!C$4:C989&gt;=$B$18, Tests!C$4:C989&lt;=$B$19, Tests!CK$4:CK989&gt;0, Tests!P$4:P989=P53))"),0.0)</f>
        <v>0</v>
      </c>
    </row>
    <row r="54">
      <c r="P54" s="239" t="str">
        <f>IFERROR(__xludf.DUMMYFUNCTION("""COMPUTED_VALUE"""),"TADI's purge CH4")</f>
        <v>TADI's purge CH4</v>
      </c>
      <c r="Q54" s="25">
        <f>IFERROR(__xludf.DUMMYFUNCTION("COUNT(FILTER(Tests!C$4:C989, Tests!C$4:C989&gt;=$B$18, Tests!C$4:C989&lt;=$B$19, Tests!BS$4:BS989&gt;0, Tests!P$4:P989=P54))"),20.0)</f>
        <v>20</v>
      </c>
      <c r="R54" s="25">
        <f>IFERROR(__xludf.DUMMYFUNCTION("COUNT(FILTER(Tests!C$4:C989, Tests!C$4:C989&gt;=$B$18, Tests!C$4:C989&lt;=$B$19, Tests!BS$4:BS989=0, Tests!BS$4:BS989&lt;&gt;"""", Tests!P$4:P989=P54))"),16.0)</f>
        <v>16</v>
      </c>
      <c r="S54" s="67">
        <f t="shared" si="4"/>
        <v>0.5555555556</v>
      </c>
      <c r="T54" s="234">
        <f>IFERROR(__xludf.DUMMYFUNCTION("COUNT(FILTER(Tests!C$4:C989, Tests!C$4:C989&gt;=$B$18, Tests!C$4:C989&lt;=$B$19, Tests!CK$4:CK989&gt;0, Tests!P$4:P989=P54))"),5.0)</f>
        <v>5</v>
      </c>
    </row>
    <row r="55">
      <c r="P55" s="239" t="str">
        <f>IFERROR(__xludf.DUMMYFUNCTION("""COMPUTED_VALUE"""),"TADI's purge CO2")</f>
        <v>TADI's purge CO2</v>
      </c>
      <c r="Q55" s="25">
        <f>IFERROR(__xludf.DUMMYFUNCTION("COUNT(FILTER(Tests!C$4:C989, Tests!C$4:C989&gt;=$B$18, Tests!C$4:C989&lt;=$B$19, Tests!BS$4:BS989&gt;0, Tests!P$4:P989=P55))"),1.0)</f>
        <v>1</v>
      </c>
      <c r="R55" s="25">
        <f>IFERROR(__xludf.DUMMYFUNCTION("COUNT(FILTER(Tests!C$4:C989, Tests!C$4:C989&gt;=$B$18, Tests!C$4:C989&lt;=$B$19, Tests!BS$4:BS989=0, Tests!BS$4:BS989&lt;&gt;"""", Tests!P$4:P989=P55))"),1.0)</f>
        <v>1</v>
      </c>
      <c r="S55" s="67">
        <f t="shared" si="4"/>
        <v>0.5</v>
      </c>
      <c r="T55" s="234">
        <f>IFERROR(__xludf.DUMMYFUNCTION("COUNT(FILTER(Tests!C$4:C989, Tests!C$4:C989&gt;=$B$18, Tests!C$4:C989&lt;=$B$19, Tests!CK$4:CK989&gt;0, Tests!P$4:P989=P55))"),2.0)</f>
        <v>2</v>
      </c>
    </row>
    <row r="56">
      <c r="P56" s="239" t="str">
        <f>IFERROR(__xludf.DUMMYFUNCTION("""COMPUTED_VALUE"""),"TADI's purge N2")</f>
        <v>TADI's purge N2</v>
      </c>
      <c r="Q56" s="25">
        <f>IFERROR(__xludf.DUMMYFUNCTION("COUNT(FILTER(Tests!C$4:C989, Tests!C$4:C989&gt;=$B$18, Tests!C$4:C989&lt;=$B$19, Tests!BS$4:BS989&gt;0, Tests!P$4:P989=P56))"),3.0)</f>
        <v>3</v>
      </c>
      <c r="R56" s="25">
        <f>IFERROR(__xludf.DUMMYFUNCTION("COUNT(FILTER(Tests!C$4:C989, Tests!C$4:C989&gt;=$B$18, Tests!C$4:C989&lt;=$B$19, Tests!BS$4:BS989=0, Tests!BS$4:BS989&lt;&gt;"""", Tests!P$4:P989=P56))"),15.0)</f>
        <v>15</v>
      </c>
      <c r="S56" s="67">
        <f t="shared" si="4"/>
        <v>0.1666666667</v>
      </c>
      <c r="T56" s="234">
        <f>IFERROR(__xludf.DUMMYFUNCTION("COUNT(FILTER(Tests!C$4:C989, Tests!C$4:C989&gt;=$B$18, Tests!C$4:C989&lt;=$B$19, Tests!CK$4:CK989&gt;0, Tests!P$4:P989=P56))"),7.0)</f>
        <v>7</v>
      </c>
    </row>
    <row r="57">
      <c r="P57" s="239" t="str">
        <f>IFERROR(__xludf.DUMMYFUNCTION("""COMPUTED_VALUE"""),"Under Insulation")</f>
        <v>Under Insulation</v>
      </c>
      <c r="Q57" s="25">
        <f>IFERROR(__xludf.DUMMYFUNCTION("COUNT(FILTER(Tests!C$4:C989, Tests!C$4:C989&gt;=$B$18, Tests!C$4:C989&lt;=$B$19, Tests!BS$4:BS989&gt;0, Tests!P$4:P989=P57))"),0.0)</f>
        <v>0</v>
      </c>
      <c r="R57" s="25">
        <f>IFERROR(__xludf.DUMMYFUNCTION("COUNT(FILTER(Tests!C$4:C989, Tests!C$4:C989&gt;=$B$18, Tests!C$4:C989&lt;=$B$19, Tests!BS$4:BS989=0, Tests!BS$4:BS989&lt;&gt;"""", Tests!P$4:P989=P57))"),13.0)</f>
        <v>13</v>
      </c>
      <c r="S57" s="67">
        <f t="shared" si="4"/>
        <v>0</v>
      </c>
      <c r="T57" s="234">
        <f>IFERROR(__xludf.DUMMYFUNCTION("COUNT(FILTER(Tests!C$4:C989, Tests!C$4:C989&gt;=$B$18, Tests!C$4:C989&lt;=$B$19, Tests!CK$4:CK989&gt;0, Tests!P$4:P989=P57))"),2.0)</f>
        <v>2</v>
      </c>
    </row>
    <row r="58">
      <c r="P58" s="239" t="str">
        <f>IFERROR(__xludf.DUMMYFUNCTION("""COMPUTED_VALUE"""),"Valve")</f>
        <v>Valve</v>
      </c>
      <c r="Q58" s="25">
        <f>IFERROR(__xludf.DUMMYFUNCTION("COUNT(FILTER(Tests!C$4:C989, Tests!C$4:C989&gt;=$B$18, Tests!C$4:C989&lt;=$B$19, Tests!BS$4:BS989&gt;0, Tests!P$4:P989=P58))"),7.0)</f>
        <v>7</v>
      </c>
      <c r="R58" s="25">
        <f>IFERROR(__xludf.DUMMYFUNCTION("COUNT(FILTER(Tests!C$4:C989, Tests!C$4:C989&gt;=$B$18, Tests!C$4:C989&lt;=$B$19, Tests!BS$4:BS989=0, Tests!BS$4:BS989&lt;&gt;"""", Tests!P$4:P989=P58))"),15.0)</f>
        <v>15</v>
      </c>
      <c r="S58" s="67">
        <f t="shared" si="4"/>
        <v>0.3181818182</v>
      </c>
      <c r="T58" s="234">
        <f>IFERROR(__xludf.DUMMYFUNCTION("COUNT(FILTER(Tests!C$4:C989, Tests!C$4:C989&gt;=$B$18, Tests!C$4:C989&lt;=$B$19, Tests!CK$4:CK989&gt;0, Tests!P$4:P989=P58))"),7.0)</f>
        <v>7</v>
      </c>
    </row>
    <row r="59">
      <c r="P59" s="239" t="str">
        <f>IFERROR(__xludf.DUMMYFUNCTION("""COMPUTED_VALUE"""),"Vertical piping")</f>
        <v>Vertical piping</v>
      </c>
      <c r="Q59" s="25">
        <f>IFERROR(__xludf.DUMMYFUNCTION("COUNT(FILTER(Tests!C$4:C989, Tests!C$4:C989&gt;=$B$18, Tests!C$4:C989&lt;=$B$19, Tests!BS$4:BS989&gt;0, Tests!P$4:P989=P59))"),15.0)</f>
        <v>15</v>
      </c>
      <c r="R59" s="25">
        <f>IFERROR(__xludf.DUMMYFUNCTION("COUNT(FILTER(Tests!C$4:C989, Tests!C$4:C989&gt;=$B$18, Tests!C$4:C989&lt;=$B$19, Tests!BS$4:BS989=0, Tests!BS$4:BS989&lt;&gt;"""", Tests!P$4:P989=P59))"),18.0)</f>
        <v>18</v>
      </c>
      <c r="S59" s="67">
        <f t="shared" si="4"/>
        <v>0.4545454545</v>
      </c>
      <c r="T59" s="234">
        <f>IFERROR(__xludf.DUMMYFUNCTION("COUNT(FILTER(Tests!C$4:C989, Tests!C$4:C989&gt;=$B$18, Tests!C$4:C989&lt;=$B$19, Tests!CK$4:CK989&gt;0, Tests!P$4:P989=P59))"),23.0)</f>
        <v>23</v>
      </c>
    </row>
    <row r="60">
      <c r="P60" s="239" t="str">
        <f>IFERROR(__xludf.DUMMYFUNCTION("""COMPUTED_VALUE"""),"Vertical tubing")</f>
        <v>Vertical tubing</v>
      </c>
      <c r="Q60" s="25">
        <f>IFERROR(__xludf.DUMMYFUNCTION("COUNT(FILTER(Tests!C$4:C989, Tests!C$4:C989&gt;=$B$18, Tests!C$4:C989&lt;=$B$19, Tests!BS$4:BS989&gt;0, Tests!P$4:P989=P60))"),55.0)</f>
        <v>55</v>
      </c>
      <c r="R60" s="25">
        <f>IFERROR(__xludf.DUMMYFUNCTION("COUNT(FILTER(Tests!C$4:C989, Tests!C$4:C989&gt;=$B$18, Tests!C$4:C989&lt;=$B$19, Tests!BS$4:BS989=0, Tests!BS$4:BS989&lt;&gt;"""", Tests!P$4:P989=P60))"),16.0)</f>
        <v>16</v>
      </c>
      <c r="S60" s="67">
        <f t="shared" si="4"/>
        <v>0.7746478873</v>
      </c>
      <c r="T60" s="234">
        <f>IFERROR(__xludf.DUMMYFUNCTION("COUNT(FILTER(Tests!C$4:C989, Tests!C$4:C989&gt;=$B$18, Tests!C$4:C989&lt;=$B$19, Tests!CK$4:CK989&gt;0, Tests!P$4:P989=P60))"),47.0)</f>
        <v>47</v>
      </c>
    </row>
    <row r="61">
      <c r="P61" s="6"/>
    </row>
  </sheetData>
  <mergeCells count="26">
    <mergeCell ref="W9:X9"/>
    <mergeCell ref="Y9:Z9"/>
    <mergeCell ref="AA9:AB9"/>
    <mergeCell ref="W31:X31"/>
    <mergeCell ref="Y31:Z31"/>
    <mergeCell ref="A1:B1"/>
    <mergeCell ref="D2:E2"/>
    <mergeCell ref="E9:F9"/>
    <mergeCell ref="I9:J9"/>
    <mergeCell ref="M9:N9"/>
    <mergeCell ref="Q9:R9"/>
    <mergeCell ref="S9:T9"/>
    <mergeCell ref="E18:F18"/>
    <mergeCell ref="E25:F25"/>
    <mergeCell ref="H25:I25"/>
    <mergeCell ref="M25:N25"/>
    <mergeCell ref="W25:X25"/>
    <mergeCell ref="Y25:Z25"/>
    <mergeCell ref="AA25:AB25"/>
    <mergeCell ref="I18:J18"/>
    <mergeCell ref="M18:N18"/>
    <mergeCell ref="Q18:R18"/>
    <mergeCell ref="S18:T18"/>
    <mergeCell ref="W18:X18"/>
    <mergeCell ref="Y18:Z18"/>
    <mergeCell ref="AA18:AB18"/>
  </mergeCells>
  <conditionalFormatting sqref="G33:G50">
    <cfRule type="colorScale" priority="1">
      <colorScale>
        <cfvo type="min"/>
        <cfvo type="percentile" val="50"/>
        <cfvo type="max"/>
        <color rgb="FFE67C73"/>
        <color rgb="FFFFD666"/>
        <color rgb="FF57BB8A"/>
      </colorScale>
    </cfRule>
  </conditionalFormatting>
  <conditionalFormatting sqref="S32:S61">
    <cfRule type="colorScale" priority="2">
      <colorScale>
        <cfvo type="min"/>
        <cfvo type="percentile" val="50"/>
        <cfvo type="max"/>
        <color rgb="FFE67C73"/>
        <color rgb="FFFFD666"/>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2.63" defaultRowHeight="15.75"/>
  <cols>
    <col customWidth="1" min="1" max="1" width="20.75"/>
    <col customWidth="1" min="2" max="2" width="7.13"/>
    <col customWidth="1" min="3" max="3" width="9.75"/>
    <col customWidth="1" min="4" max="4" width="7.25"/>
    <col customWidth="1" min="5" max="5" width="5.88"/>
    <col customWidth="1" min="6" max="6" width="15.0"/>
    <col customWidth="1" min="7" max="10" width="10.38"/>
    <col customWidth="1" min="11" max="12" width="0.38"/>
    <col customWidth="1" min="13" max="13" width="9.13"/>
    <col customWidth="1" min="14" max="14" width="13.0"/>
    <col customWidth="1" min="15" max="15" width="21.0"/>
    <col customWidth="1" min="16" max="16" width="16.5"/>
    <col customWidth="1" min="17" max="17" width="16.88"/>
    <col customWidth="1" min="18" max="19" width="7.13"/>
    <col customWidth="1" min="20" max="20" width="5.25"/>
    <col customWidth="1" min="21" max="21" width="14.38"/>
    <col customWidth="1" min="22" max="22" width="5.5"/>
    <col customWidth="1" min="23" max="23" width="17.13"/>
    <col customWidth="1" min="24" max="24" width="5.5"/>
    <col customWidth="1" min="25" max="25" width="8.38"/>
    <col customWidth="1" min="26" max="26" width="14.0"/>
    <col customWidth="1" min="27" max="27" width="8.13"/>
    <col customWidth="1" min="28" max="28" width="20.13"/>
    <col customWidth="1" min="29" max="30" width="8.13"/>
    <col customWidth="1" min="31" max="31" width="27.25"/>
    <col customWidth="1" min="32" max="32" width="10.63"/>
    <col customWidth="1" min="33" max="33" width="14.75"/>
    <col customWidth="1" min="34" max="34" width="8.75"/>
    <col customWidth="1" min="35" max="35" width="7.38"/>
    <col customWidth="1" min="36" max="37" width="10.38"/>
    <col customWidth="1" min="38" max="38" width="22.5"/>
    <col customWidth="1" min="39" max="39" width="15.38"/>
    <col customWidth="1" min="40" max="40" width="6.13"/>
    <col customWidth="1" min="41" max="43" width="5.25"/>
    <col customWidth="1" min="44" max="44" width="6.25"/>
    <col customWidth="1" min="45" max="45" width="3.25"/>
    <col customWidth="1" min="46" max="46" width="24.13"/>
    <col customWidth="1" min="47" max="47" width="4.88"/>
    <col customWidth="1" min="48" max="48" width="15.75"/>
    <col customWidth="1" min="49" max="59" width="7.75"/>
    <col customWidth="1" min="60" max="60" width="8.25"/>
    <col customWidth="1" min="61" max="61" width="21.88"/>
    <col customWidth="1" min="62" max="64" width="2.88"/>
    <col customWidth="1" min="65" max="65" width="8.25"/>
    <col customWidth="1" min="66" max="70" width="2.88"/>
    <col customWidth="1" min="71" max="72" width="5.25"/>
    <col customWidth="1" min="73" max="73" width="8.13"/>
    <col customWidth="1" min="74" max="74" width="8.63"/>
    <col customWidth="1" min="75" max="75" width="10.75"/>
    <col customWidth="1" min="76" max="76" width="5.75"/>
    <col customWidth="1" min="77" max="77" width="8.13"/>
    <col customWidth="1" min="78" max="78" width="7.5"/>
    <col customWidth="1" min="79" max="79" width="30.25"/>
    <col customWidth="1" min="80" max="87" width="2.25"/>
    <col customWidth="1" min="88" max="88" width="3.0"/>
    <col customWidth="1" min="89" max="90" width="5.25"/>
    <col customWidth="1" min="91" max="91" width="163.38"/>
    <col customWidth="1" min="92" max="92" width="91.5"/>
    <col customWidth="1" min="93" max="93" width="25.63"/>
    <col customWidth="1" min="94" max="94" width="23.88"/>
  </cols>
  <sheetData>
    <row r="1">
      <c r="A1" s="240" t="s">
        <v>772</v>
      </c>
      <c r="B1" s="241"/>
      <c r="C1" s="241"/>
      <c r="D1" s="241"/>
      <c r="E1" s="241"/>
      <c r="F1" s="241"/>
      <c r="G1" s="241"/>
      <c r="H1" s="241"/>
      <c r="I1" s="241"/>
      <c r="J1" s="241"/>
      <c r="K1" s="241"/>
      <c r="L1" s="241"/>
      <c r="M1" s="242" t="s">
        <v>773</v>
      </c>
      <c r="N1" s="241"/>
      <c r="O1" s="241"/>
      <c r="P1" s="241"/>
      <c r="Q1" s="241"/>
      <c r="R1" s="241"/>
      <c r="S1" s="241"/>
      <c r="T1" s="241"/>
      <c r="U1" s="241"/>
      <c r="V1" s="241"/>
      <c r="W1" s="241"/>
      <c r="X1" s="241"/>
      <c r="Y1" s="241"/>
      <c r="Z1" s="241"/>
      <c r="AA1" s="241"/>
      <c r="AB1" s="241"/>
      <c r="AC1" s="241"/>
      <c r="AD1" s="243"/>
      <c r="AE1" s="243"/>
      <c r="AF1" s="243"/>
      <c r="AG1" s="243"/>
      <c r="AH1" s="243"/>
      <c r="AI1" s="243"/>
      <c r="AJ1" s="244"/>
      <c r="AK1" s="245"/>
      <c r="AL1" s="243"/>
      <c r="AM1" s="243"/>
      <c r="AN1" s="243"/>
      <c r="AO1" s="243"/>
      <c r="AP1" s="243"/>
      <c r="AQ1" s="243"/>
      <c r="AR1" s="243"/>
      <c r="AS1" s="244"/>
      <c r="AT1" s="246" t="s">
        <v>774</v>
      </c>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7"/>
      <c r="CN1" s="248"/>
      <c r="CO1" s="249" t="s">
        <v>775</v>
      </c>
      <c r="CP1" s="185"/>
    </row>
    <row r="2">
      <c r="A2" s="250" t="s">
        <v>776</v>
      </c>
      <c r="B2" s="251" t="s">
        <v>777</v>
      </c>
      <c r="C2" s="252" t="s">
        <v>778</v>
      </c>
      <c r="D2" s="253" t="s">
        <v>779</v>
      </c>
      <c r="E2" s="253" t="s">
        <v>780</v>
      </c>
      <c r="F2" s="254" t="s">
        <v>781</v>
      </c>
      <c r="G2" s="255" t="s">
        <v>782</v>
      </c>
      <c r="H2" s="256" t="s">
        <v>783</v>
      </c>
      <c r="I2" s="257" t="s">
        <v>784</v>
      </c>
      <c r="J2" s="253" t="s">
        <v>785</v>
      </c>
      <c r="K2" s="256" t="s">
        <v>784</v>
      </c>
      <c r="L2" s="256" t="s">
        <v>786</v>
      </c>
      <c r="M2" s="258" t="s">
        <v>787</v>
      </c>
      <c r="N2" s="254" t="s">
        <v>788</v>
      </c>
      <c r="O2" s="259" t="s">
        <v>789</v>
      </c>
      <c r="P2" s="260" t="s">
        <v>308</v>
      </c>
      <c r="Q2" s="253" t="s">
        <v>790</v>
      </c>
      <c r="R2" s="261" t="s">
        <v>791</v>
      </c>
      <c r="S2" s="262"/>
      <c r="T2" s="164"/>
      <c r="U2" s="253" t="s">
        <v>792</v>
      </c>
      <c r="W2" s="253" t="s">
        <v>793</v>
      </c>
      <c r="Y2" s="253" t="s">
        <v>794</v>
      </c>
      <c r="Z2" s="263" t="s">
        <v>223</v>
      </c>
      <c r="AA2" s="263" t="s">
        <v>795</v>
      </c>
      <c r="AB2" s="263" t="s">
        <v>796</v>
      </c>
      <c r="AC2" s="264" t="s">
        <v>797</v>
      </c>
      <c r="AD2" s="263" t="s">
        <v>798</v>
      </c>
      <c r="AE2" s="263" t="s">
        <v>799</v>
      </c>
      <c r="AF2" s="263" t="s">
        <v>800</v>
      </c>
      <c r="AG2" s="263" t="s">
        <v>801</v>
      </c>
      <c r="AI2" s="263" t="s">
        <v>802</v>
      </c>
      <c r="AJ2" s="264" t="s">
        <v>803</v>
      </c>
      <c r="AK2" s="265"/>
      <c r="AL2" s="263" t="s">
        <v>804</v>
      </c>
      <c r="AS2" s="266"/>
      <c r="AT2" s="263" t="s">
        <v>805</v>
      </c>
      <c r="AU2" s="267" t="s">
        <v>806</v>
      </c>
      <c r="AV2" s="268" t="s">
        <v>807</v>
      </c>
      <c r="AW2" s="262"/>
      <c r="AX2" s="262"/>
      <c r="AY2" s="262"/>
      <c r="AZ2" s="262"/>
      <c r="BA2" s="262"/>
      <c r="BB2" s="262"/>
      <c r="BC2" s="262"/>
      <c r="BD2" s="262"/>
      <c r="BE2" s="164"/>
      <c r="BF2" s="268" t="s">
        <v>808</v>
      </c>
      <c r="BG2" s="269" t="s">
        <v>809</v>
      </c>
      <c r="BH2" s="270" t="s">
        <v>810</v>
      </c>
      <c r="BI2" s="271" t="s">
        <v>811</v>
      </c>
      <c r="BJ2" s="262"/>
      <c r="BK2" s="262"/>
      <c r="BL2" s="262"/>
      <c r="BM2" s="262"/>
      <c r="BN2" s="262"/>
      <c r="BO2" s="262"/>
      <c r="BP2" s="262"/>
      <c r="BQ2" s="262"/>
      <c r="BR2" s="262"/>
      <c r="BS2" s="268" t="s">
        <v>808</v>
      </c>
      <c r="BT2" s="272" t="s">
        <v>809</v>
      </c>
      <c r="BU2" s="272" t="s">
        <v>812</v>
      </c>
      <c r="BV2" s="269" t="s">
        <v>813</v>
      </c>
      <c r="BW2" s="268" t="s">
        <v>742</v>
      </c>
      <c r="BX2" s="262"/>
      <c r="BY2" s="262"/>
      <c r="BZ2" s="164"/>
      <c r="CA2" s="273" t="s">
        <v>814</v>
      </c>
      <c r="CB2" s="262"/>
      <c r="CC2" s="262"/>
      <c r="CD2" s="262"/>
      <c r="CE2" s="262"/>
      <c r="CF2" s="262"/>
      <c r="CG2" s="262"/>
      <c r="CH2" s="262"/>
      <c r="CI2" s="262"/>
      <c r="CJ2" s="274"/>
      <c r="CK2" s="275" t="s">
        <v>808</v>
      </c>
      <c r="CL2" s="269" t="s">
        <v>809</v>
      </c>
      <c r="CM2" s="276" t="s">
        <v>4</v>
      </c>
      <c r="CN2" s="277" t="s">
        <v>815</v>
      </c>
      <c r="CO2" s="277" t="s">
        <v>816</v>
      </c>
      <c r="CP2" s="278" t="s">
        <v>817</v>
      </c>
    </row>
    <row r="3">
      <c r="A3" s="279"/>
      <c r="B3" s="280"/>
      <c r="C3" s="281"/>
      <c r="D3" s="282"/>
      <c r="E3" s="282"/>
      <c r="F3" s="283"/>
      <c r="G3" s="284" t="s">
        <v>818</v>
      </c>
      <c r="H3" s="285" t="s">
        <v>818</v>
      </c>
      <c r="I3" s="285" t="s">
        <v>818</v>
      </c>
      <c r="J3" s="286"/>
      <c r="K3" s="286"/>
      <c r="L3" s="286"/>
      <c r="M3" s="287"/>
      <c r="N3" s="283"/>
      <c r="O3" s="288"/>
      <c r="P3" s="282"/>
      <c r="Q3" s="282"/>
      <c r="R3" s="289" t="s">
        <v>819</v>
      </c>
      <c r="S3" s="290" t="s">
        <v>820</v>
      </c>
      <c r="T3" s="291" t="s">
        <v>821</v>
      </c>
      <c r="U3" s="292" t="s">
        <v>822</v>
      </c>
      <c r="V3" s="292" t="s">
        <v>823</v>
      </c>
      <c r="W3" s="292" t="s">
        <v>824</v>
      </c>
      <c r="X3" s="292" t="s">
        <v>825</v>
      </c>
      <c r="Y3" s="292"/>
      <c r="Z3" s="282"/>
      <c r="AA3" s="293" t="s">
        <v>825</v>
      </c>
      <c r="AB3" s="282"/>
      <c r="AC3" s="294" t="s">
        <v>826</v>
      </c>
      <c r="AD3" s="295" t="s">
        <v>827</v>
      </c>
      <c r="AE3" s="295"/>
      <c r="AF3" s="295"/>
      <c r="AG3" s="295" t="s">
        <v>828</v>
      </c>
      <c r="AH3" s="295" t="s">
        <v>829</v>
      </c>
      <c r="AI3" s="295" t="s">
        <v>830</v>
      </c>
      <c r="AJ3" s="296" t="s">
        <v>831</v>
      </c>
      <c r="AK3" s="297"/>
      <c r="AL3" s="295" t="s">
        <v>166</v>
      </c>
      <c r="AM3" s="295" t="s">
        <v>168</v>
      </c>
      <c r="AN3" s="295" t="s">
        <v>358</v>
      </c>
      <c r="AO3" s="295" t="s">
        <v>172</v>
      </c>
      <c r="AP3" s="295" t="s">
        <v>173</v>
      </c>
      <c r="AQ3" s="295" t="s">
        <v>832</v>
      </c>
      <c r="AR3" s="295" t="s">
        <v>833</v>
      </c>
      <c r="AS3" s="296" t="s">
        <v>174</v>
      </c>
      <c r="AT3" s="298"/>
      <c r="AU3" s="299" t="s">
        <v>834</v>
      </c>
      <c r="AV3" s="300">
        <v>1.0</v>
      </c>
      <c r="AW3" s="301">
        <v>2.0</v>
      </c>
      <c r="AX3" s="301">
        <v>3.0</v>
      </c>
      <c r="AY3" s="301">
        <v>4.0</v>
      </c>
      <c r="AZ3" s="301">
        <v>5.0</v>
      </c>
      <c r="BA3" s="301">
        <v>6.0</v>
      </c>
      <c r="BB3" s="301">
        <v>7.0</v>
      </c>
      <c r="BC3" s="301">
        <v>8.0</v>
      </c>
      <c r="BD3" s="301">
        <v>9.0</v>
      </c>
      <c r="BE3" s="302">
        <v>10.0</v>
      </c>
      <c r="BF3" s="303" t="s">
        <v>835</v>
      </c>
      <c r="BG3" s="304" t="s">
        <v>835</v>
      </c>
      <c r="BH3" s="305" t="s">
        <v>836</v>
      </c>
      <c r="BI3" s="306">
        <v>41.0</v>
      </c>
      <c r="BJ3" s="301">
        <v>53.0</v>
      </c>
      <c r="BK3" s="301">
        <v>34.0</v>
      </c>
      <c r="BL3" s="301">
        <v>36.0</v>
      </c>
      <c r="BM3" s="301">
        <v>40.0</v>
      </c>
      <c r="BN3" s="301">
        <v>39.0</v>
      </c>
      <c r="BO3" s="301">
        <v>56.0</v>
      </c>
      <c r="BP3" s="301">
        <v>37.0</v>
      </c>
      <c r="BQ3" s="301">
        <v>38.0</v>
      </c>
      <c r="BR3" s="302">
        <v>30.0</v>
      </c>
      <c r="BS3" s="303" t="s">
        <v>835</v>
      </c>
      <c r="BT3" s="307" t="s">
        <v>835</v>
      </c>
      <c r="BU3" s="307"/>
      <c r="BV3" s="304" t="s">
        <v>837</v>
      </c>
      <c r="BW3" s="308" t="s">
        <v>819</v>
      </c>
      <c r="BX3" s="309" t="s">
        <v>820</v>
      </c>
      <c r="BY3" s="307" t="s">
        <v>838</v>
      </c>
      <c r="BZ3" s="310" t="s">
        <v>839</v>
      </c>
      <c r="CA3" s="306">
        <v>1.0</v>
      </c>
      <c r="CB3" s="301">
        <v>2.0</v>
      </c>
      <c r="CC3" s="301">
        <v>3.0</v>
      </c>
      <c r="CD3" s="301">
        <v>4.0</v>
      </c>
      <c r="CE3" s="301">
        <v>5.0</v>
      </c>
      <c r="CF3" s="301">
        <v>6.0</v>
      </c>
      <c r="CG3" s="301">
        <v>7.0</v>
      </c>
      <c r="CH3" s="301">
        <v>8.0</v>
      </c>
      <c r="CI3" s="301">
        <v>9.0</v>
      </c>
      <c r="CJ3" s="311">
        <v>10.0</v>
      </c>
      <c r="CK3" s="312" t="s">
        <v>835</v>
      </c>
      <c r="CL3" s="304" t="s">
        <v>835</v>
      </c>
      <c r="CM3" s="313"/>
      <c r="CN3" s="313"/>
      <c r="CO3" s="313"/>
      <c r="CP3" s="314"/>
    </row>
    <row r="4">
      <c r="A4" s="315" t="s">
        <v>840</v>
      </c>
      <c r="B4" s="316"/>
      <c r="C4" s="317">
        <v>43256.0</v>
      </c>
      <c r="D4" s="318"/>
      <c r="E4" s="319"/>
      <c r="F4" s="320">
        <v>44201.0</v>
      </c>
      <c r="G4" s="321">
        <v>0.44722222222222224</v>
      </c>
      <c r="H4" s="322"/>
      <c r="I4" s="322"/>
      <c r="J4" s="322"/>
      <c r="K4" s="323">
        <v>0.45</v>
      </c>
      <c r="L4" s="323">
        <v>0.16666666666666666</v>
      </c>
      <c r="M4" s="319" t="s">
        <v>358</v>
      </c>
      <c r="N4" s="324"/>
      <c r="O4" s="325" t="s">
        <v>841</v>
      </c>
      <c r="P4" s="319"/>
      <c r="Q4" s="319" t="s">
        <v>842</v>
      </c>
      <c r="R4" s="326" t="s">
        <v>843</v>
      </c>
      <c r="S4" s="319"/>
      <c r="T4" s="324"/>
      <c r="U4" s="319">
        <v>8.0</v>
      </c>
      <c r="V4" s="319"/>
      <c r="W4" s="319"/>
      <c r="X4" s="319"/>
      <c r="Y4" s="319"/>
      <c r="Z4" s="318"/>
      <c r="AA4" s="318"/>
      <c r="AB4" s="319" t="s">
        <v>844</v>
      </c>
      <c r="AC4" s="327"/>
      <c r="AD4" s="319"/>
      <c r="AE4" s="319"/>
      <c r="AF4" s="319"/>
      <c r="AG4" s="319"/>
      <c r="AH4" s="319"/>
      <c r="AI4" s="319"/>
      <c r="AJ4" s="327"/>
      <c r="AK4" s="328"/>
      <c r="AL4" s="319"/>
      <c r="AM4" s="319"/>
      <c r="AN4" s="319"/>
      <c r="AO4" s="319"/>
      <c r="AP4" s="319"/>
      <c r="AQ4" s="319"/>
      <c r="AR4" s="319"/>
      <c r="AS4" s="327"/>
      <c r="AT4" s="329"/>
      <c r="AU4" s="324" t="s">
        <v>845</v>
      </c>
      <c r="AV4" s="330"/>
      <c r="AW4" s="331"/>
      <c r="AX4" s="331"/>
      <c r="AY4" s="331"/>
      <c r="AZ4" s="331"/>
      <c r="BA4" s="331"/>
      <c r="BB4" s="331"/>
      <c r="BC4" s="331"/>
      <c r="BD4" s="318"/>
      <c r="BE4" s="332"/>
      <c r="BF4" s="330">
        <f t="shared" ref="BF4:BF121" si="1">MIN(AV4:BE4)</f>
        <v>0</v>
      </c>
      <c r="BG4" s="333">
        <f t="shared" ref="BG4:BG121" si="2">MAX(AV4:BE4)</f>
        <v>0</v>
      </c>
      <c r="BH4" s="334"/>
      <c r="BI4" s="335" t="s">
        <v>845</v>
      </c>
      <c r="BJ4" s="318"/>
      <c r="BK4" s="336" t="s">
        <v>845</v>
      </c>
      <c r="BL4" s="337"/>
      <c r="BM4" s="336" t="s">
        <v>845</v>
      </c>
      <c r="BN4" s="336" t="s">
        <v>845</v>
      </c>
      <c r="BO4" s="318"/>
      <c r="BP4" s="336" t="s">
        <v>845</v>
      </c>
      <c r="BQ4" s="338"/>
      <c r="BR4" s="339" t="s">
        <v>846</v>
      </c>
      <c r="BS4" s="330">
        <f t="shared" ref="BS4:BS121" si="3">MINIFS(AV4:BE4,BI4:BR4, "Y")</f>
        <v>0</v>
      </c>
      <c r="BT4" s="331">
        <f t="shared" ref="BT4:BT121" si="4">MAXIFS(AV4:BE4,BI4:BR4, "Y")</f>
        <v>0</v>
      </c>
      <c r="BU4" s="331"/>
      <c r="BV4" s="333"/>
      <c r="BW4" s="330"/>
      <c r="BX4" s="331"/>
      <c r="BY4" s="331"/>
      <c r="BZ4" s="340"/>
      <c r="CA4" s="316"/>
      <c r="CB4" s="318"/>
      <c r="CC4" s="318"/>
      <c r="CD4" s="318"/>
      <c r="CE4" s="318"/>
      <c r="CF4" s="318"/>
      <c r="CG4" s="318"/>
      <c r="CH4" s="318"/>
      <c r="CI4" s="338"/>
      <c r="CJ4" s="341"/>
      <c r="CK4" s="342">
        <f t="shared" ref="CK4:CK121" si="5">MINIFS(AV4:BE4,CA4:CJ4, "Y")</f>
        <v>0</v>
      </c>
      <c r="CL4" s="333">
        <f t="shared" ref="CL4:CL121" si="6">MAXIFS(AV4:BE4,CA4:CJ4, "Y")</f>
        <v>0</v>
      </c>
      <c r="CM4" s="343" t="s">
        <v>847</v>
      </c>
      <c r="CN4" s="339"/>
      <c r="CO4" s="339"/>
      <c r="CP4" s="339"/>
    </row>
    <row r="5">
      <c r="B5" s="316"/>
      <c r="C5" s="317">
        <v>43256.0</v>
      </c>
      <c r="D5" s="318"/>
      <c r="E5" s="319"/>
      <c r="F5" s="320">
        <v>44232.0</v>
      </c>
      <c r="G5" s="321">
        <v>0.4534722222222222</v>
      </c>
      <c r="H5" s="322"/>
      <c r="I5" s="322"/>
      <c r="J5" s="322"/>
      <c r="K5" s="323">
        <v>0.45555555555555555</v>
      </c>
      <c r="L5" s="323">
        <v>0.125</v>
      </c>
      <c r="M5" s="319" t="s">
        <v>358</v>
      </c>
      <c r="N5" s="324"/>
      <c r="O5" s="325" t="s">
        <v>841</v>
      </c>
      <c r="P5" s="319"/>
      <c r="Q5" s="319" t="s">
        <v>842</v>
      </c>
      <c r="R5" s="326" t="s">
        <v>843</v>
      </c>
      <c r="S5" s="319"/>
      <c r="T5" s="324"/>
      <c r="U5" s="319">
        <v>8.0</v>
      </c>
      <c r="V5" s="319"/>
      <c r="W5" s="319"/>
      <c r="X5" s="319"/>
      <c r="Y5" s="319"/>
      <c r="Z5" s="318"/>
      <c r="AA5" s="318"/>
      <c r="AB5" s="319" t="s">
        <v>844</v>
      </c>
      <c r="AC5" s="327"/>
      <c r="AD5" s="319"/>
      <c r="AE5" s="319"/>
      <c r="AF5" s="319"/>
      <c r="AG5" s="319"/>
      <c r="AH5" s="319"/>
      <c r="AI5" s="319"/>
      <c r="AJ5" s="327"/>
      <c r="AK5" s="328"/>
      <c r="AL5" s="319"/>
      <c r="AM5" s="319"/>
      <c r="AN5" s="319"/>
      <c r="AO5" s="319"/>
      <c r="AP5" s="319"/>
      <c r="AQ5" s="319"/>
      <c r="AR5" s="319"/>
      <c r="AS5" s="327"/>
      <c r="AT5" s="344"/>
      <c r="AU5" s="345" t="s">
        <v>845</v>
      </c>
      <c r="AV5" s="330"/>
      <c r="AW5" s="331"/>
      <c r="AX5" s="331"/>
      <c r="AY5" s="331"/>
      <c r="AZ5" s="331"/>
      <c r="BA5" s="331"/>
      <c r="BB5" s="331"/>
      <c r="BC5" s="331"/>
      <c r="BD5" s="318"/>
      <c r="BE5" s="332"/>
      <c r="BF5" s="330">
        <f t="shared" si="1"/>
        <v>0</v>
      </c>
      <c r="BG5" s="333">
        <f t="shared" si="2"/>
        <v>0</v>
      </c>
      <c r="BH5" s="334"/>
      <c r="BI5" s="335" t="s">
        <v>845</v>
      </c>
      <c r="BJ5" s="318"/>
      <c r="BK5" s="336" t="s">
        <v>845</v>
      </c>
      <c r="BL5" s="337"/>
      <c r="BM5" s="336" t="s">
        <v>845</v>
      </c>
      <c r="BN5" s="336" t="s">
        <v>845</v>
      </c>
      <c r="BO5" s="318"/>
      <c r="BP5" s="336" t="s">
        <v>845</v>
      </c>
      <c r="BQ5" s="338"/>
      <c r="BR5" s="339" t="s">
        <v>846</v>
      </c>
      <c r="BS5" s="330">
        <f t="shared" si="3"/>
        <v>0</v>
      </c>
      <c r="BT5" s="331">
        <f t="shared" si="4"/>
        <v>0</v>
      </c>
      <c r="BU5" s="331"/>
      <c r="BV5" s="333"/>
      <c r="BW5" s="330"/>
      <c r="BX5" s="331"/>
      <c r="BY5" s="331"/>
      <c r="BZ5" s="340"/>
      <c r="CA5" s="316"/>
      <c r="CB5" s="318"/>
      <c r="CC5" s="318"/>
      <c r="CD5" s="318"/>
      <c r="CE5" s="318"/>
      <c r="CF5" s="318"/>
      <c r="CG5" s="318"/>
      <c r="CH5" s="318"/>
      <c r="CI5" s="338"/>
      <c r="CJ5" s="341"/>
      <c r="CK5" s="342">
        <f t="shared" si="5"/>
        <v>0</v>
      </c>
      <c r="CL5" s="333">
        <f t="shared" si="6"/>
        <v>0</v>
      </c>
      <c r="CM5" s="346" t="s">
        <v>848</v>
      </c>
      <c r="CN5" s="347"/>
      <c r="CO5" s="347"/>
      <c r="CP5" s="347"/>
    </row>
    <row r="6">
      <c r="B6" s="316"/>
      <c r="C6" s="317">
        <v>43256.0</v>
      </c>
      <c r="D6" s="318"/>
      <c r="E6" s="319"/>
      <c r="F6" s="320">
        <v>44260.0</v>
      </c>
      <c r="G6" s="321">
        <v>0.4583333333333333</v>
      </c>
      <c r="H6" s="322"/>
      <c r="I6" s="322"/>
      <c r="J6" s="322"/>
      <c r="K6" s="323">
        <v>0.46319444444444446</v>
      </c>
      <c r="L6" s="323">
        <v>0.2916666666666667</v>
      </c>
      <c r="M6" s="319" t="s">
        <v>358</v>
      </c>
      <c r="N6" s="324"/>
      <c r="O6" s="325" t="s">
        <v>841</v>
      </c>
      <c r="P6" s="319"/>
      <c r="Q6" s="319" t="s">
        <v>842</v>
      </c>
      <c r="R6" s="326" t="s">
        <v>843</v>
      </c>
      <c r="S6" s="319"/>
      <c r="T6" s="324"/>
      <c r="U6" s="319" t="s">
        <v>849</v>
      </c>
      <c r="V6" s="319"/>
      <c r="W6" s="319"/>
      <c r="X6" s="319"/>
      <c r="Y6" s="319"/>
      <c r="Z6" s="318"/>
      <c r="AA6" s="318"/>
      <c r="AB6" s="319" t="s">
        <v>844</v>
      </c>
      <c r="AC6" s="327"/>
      <c r="AD6" s="319"/>
      <c r="AE6" s="319"/>
      <c r="AF6" s="319"/>
      <c r="AG6" s="319"/>
      <c r="AH6" s="319"/>
      <c r="AI6" s="319"/>
      <c r="AJ6" s="327"/>
      <c r="AK6" s="328"/>
      <c r="AL6" s="319"/>
      <c r="AM6" s="319"/>
      <c r="AN6" s="319"/>
      <c r="AO6" s="319"/>
      <c r="AP6" s="319"/>
      <c r="AQ6" s="319"/>
      <c r="AR6" s="319"/>
      <c r="AS6" s="327"/>
      <c r="AT6" s="344"/>
      <c r="AU6" s="345" t="s">
        <v>845</v>
      </c>
      <c r="AV6" s="330"/>
      <c r="AW6" s="331"/>
      <c r="AX6" s="331"/>
      <c r="AY6" s="331"/>
      <c r="AZ6" s="331"/>
      <c r="BA6" s="331"/>
      <c r="BB6" s="331"/>
      <c r="BC6" s="331"/>
      <c r="BD6" s="318"/>
      <c r="BE6" s="332"/>
      <c r="BF6" s="330">
        <f t="shared" si="1"/>
        <v>0</v>
      </c>
      <c r="BG6" s="333">
        <f t="shared" si="2"/>
        <v>0</v>
      </c>
      <c r="BH6" s="334"/>
      <c r="BI6" s="335" t="s">
        <v>845</v>
      </c>
      <c r="BJ6" s="318"/>
      <c r="BK6" s="336" t="s">
        <v>845</v>
      </c>
      <c r="BL6" s="337"/>
      <c r="BM6" s="336" t="s">
        <v>845</v>
      </c>
      <c r="BN6" s="336" t="s">
        <v>845</v>
      </c>
      <c r="BO6" s="318"/>
      <c r="BP6" s="336" t="s">
        <v>845</v>
      </c>
      <c r="BQ6" s="338"/>
      <c r="BR6" s="339" t="s">
        <v>846</v>
      </c>
      <c r="BS6" s="330">
        <f t="shared" si="3"/>
        <v>0</v>
      </c>
      <c r="BT6" s="331">
        <f t="shared" si="4"/>
        <v>0</v>
      </c>
      <c r="BU6" s="331"/>
      <c r="BV6" s="333"/>
      <c r="BW6" s="330"/>
      <c r="BX6" s="331"/>
      <c r="BY6" s="331"/>
      <c r="BZ6" s="340"/>
      <c r="CA6" s="316"/>
      <c r="CB6" s="318"/>
      <c r="CC6" s="318"/>
      <c r="CD6" s="318"/>
      <c r="CE6" s="318"/>
      <c r="CF6" s="318"/>
      <c r="CG6" s="318"/>
      <c r="CH6" s="318"/>
      <c r="CI6" s="338"/>
      <c r="CJ6" s="341"/>
      <c r="CK6" s="342">
        <f t="shared" si="5"/>
        <v>0</v>
      </c>
      <c r="CL6" s="333">
        <f t="shared" si="6"/>
        <v>0</v>
      </c>
      <c r="CM6" s="346" t="s">
        <v>850</v>
      </c>
      <c r="CN6" s="347"/>
      <c r="CO6" s="347"/>
      <c r="CP6" s="347"/>
    </row>
    <row r="7">
      <c r="B7" s="316"/>
      <c r="C7" s="317">
        <v>43256.0</v>
      </c>
      <c r="D7" s="318"/>
      <c r="E7" s="319"/>
      <c r="F7" s="320">
        <v>44291.0</v>
      </c>
      <c r="G7" s="321">
        <v>0.4756944444444444</v>
      </c>
      <c r="H7" s="322"/>
      <c r="I7" s="322"/>
      <c r="J7" s="322"/>
      <c r="K7" s="323">
        <v>0.4777777777777778</v>
      </c>
      <c r="L7" s="323">
        <v>0.125</v>
      </c>
      <c r="M7" s="319" t="s">
        <v>358</v>
      </c>
      <c r="N7" s="324"/>
      <c r="O7" s="325" t="s">
        <v>841</v>
      </c>
      <c r="P7" s="319"/>
      <c r="Q7" s="319" t="s">
        <v>851</v>
      </c>
      <c r="R7" s="326" t="s">
        <v>852</v>
      </c>
      <c r="S7" s="319"/>
      <c r="T7" s="324"/>
      <c r="U7" s="319">
        <v>8.0</v>
      </c>
      <c r="V7" s="319"/>
      <c r="W7" s="319"/>
      <c r="X7" s="319"/>
      <c r="Y7" s="319"/>
      <c r="Z7" s="318"/>
      <c r="AA7" s="318"/>
      <c r="AB7" s="319" t="s">
        <v>844</v>
      </c>
      <c r="AC7" s="327"/>
      <c r="AD7" s="319"/>
      <c r="AE7" s="319"/>
      <c r="AF7" s="319"/>
      <c r="AG7" s="319"/>
      <c r="AH7" s="319"/>
      <c r="AI7" s="319"/>
      <c r="AJ7" s="327"/>
      <c r="AK7" s="328"/>
      <c r="AL7" s="319"/>
      <c r="AM7" s="319"/>
      <c r="AN7" s="319"/>
      <c r="AO7" s="319"/>
      <c r="AP7" s="319"/>
      <c r="AQ7" s="319"/>
      <c r="AR7" s="319"/>
      <c r="AS7" s="327"/>
      <c r="AT7" s="344"/>
      <c r="AU7" s="345" t="s">
        <v>845</v>
      </c>
      <c r="AV7" s="330"/>
      <c r="AW7" s="331"/>
      <c r="AX7" s="331"/>
      <c r="AY7" s="331"/>
      <c r="AZ7" s="331"/>
      <c r="BA7" s="331"/>
      <c r="BB7" s="331"/>
      <c r="BC7" s="331"/>
      <c r="BD7" s="318"/>
      <c r="BE7" s="332"/>
      <c r="BF7" s="330">
        <f t="shared" si="1"/>
        <v>0</v>
      </c>
      <c r="BG7" s="333">
        <f t="shared" si="2"/>
        <v>0</v>
      </c>
      <c r="BH7" s="334"/>
      <c r="BI7" s="335" t="s">
        <v>846</v>
      </c>
      <c r="BJ7" s="318"/>
      <c r="BK7" s="336" t="s">
        <v>845</v>
      </c>
      <c r="BL7" s="337"/>
      <c r="BM7" s="336" t="s">
        <v>845</v>
      </c>
      <c r="BN7" s="336" t="s">
        <v>845</v>
      </c>
      <c r="BO7" s="318"/>
      <c r="BP7" s="336" t="s">
        <v>845</v>
      </c>
      <c r="BQ7" s="338"/>
      <c r="BR7" s="339" t="s">
        <v>845</v>
      </c>
      <c r="BS7" s="330">
        <f t="shared" si="3"/>
        <v>0</v>
      </c>
      <c r="BT7" s="331">
        <f t="shared" si="4"/>
        <v>0</v>
      </c>
      <c r="BU7" s="331"/>
      <c r="BV7" s="333"/>
      <c r="BW7" s="330"/>
      <c r="BX7" s="331"/>
      <c r="BY7" s="331"/>
      <c r="BZ7" s="340"/>
      <c r="CA7" s="316"/>
      <c r="CB7" s="318"/>
      <c r="CC7" s="318"/>
      <c r="CD7" s="318"/>
      <c r="CE7" s="318"/>
      <c r="CF7" s="318"/>
      <c r="CG7" s="318"/>
      <c r="CH7" s="318"/>
      <c r="CI7" s="338"/>
      <c r="CJ7" s="341"/>
      <c r="CK7" s="342">
        <f t="shared" si="5"/>
        <v>0</v>
      </c>
      <c r="CL7" s="333">
        <f t="shared" si="6"/>
        <v>0</v>
      </c>
      <c r="CM7" s="346" t="s">
        <v>853</v>
      </c>
      <c r="CN7" s="347"/>
      <c r="CO7" s="347"/>
      <c r="CP7" s="347"/>
    </row>
    <row r="8">
      <c r="B8" s="316"/>
      <c r="C8" s="317">
        <v>43256.0</v>
      </c>
      <c r="D8" s="318"/>
      <c r="E8" s="319"/>
      <c r="F8" s="320">
        <v>44321.0</v>
      </c>
      <c r="G8" s="321">
        <v>0.4798611111111111</v>
      </c>
      <c r="H8" s="322"/>
      <c r="I8" s="322"/>
      <c r="J8" s="322"/>
      <c r="K8" s="323">
        <v>0.48194444444444445</v>
      </c>
      <c r="L8" s="323">
        <v>0.125</v>
      </c>
      <c r="M8" s="319" t="s">
        <v>358</v>
      </c>
      <c r="N8" s="324"/>
      <c r="O8" s="325" t="s">
        <v>841</v>
      </c>
      <c r="P8" s="319"/>
      <c r="Q8" s="319" t="s">
        <v>851</v>
      </c>
      <c r="R8" s="326" t="s">
        <v>852</v>
      </c>
      <c r="S8" s="319"/>
      <c r="T8" s="324"/>
      <c r="U8" s="319">
        <v>8.0</v>
      </c>
      <c r="V8" s="319"/>
      <c r="W8" s="319"/>
      <c r="X8" s="319"/>
      <c r="Y8" s="319"/>
      <c r="Z8" s="318"/>
      <c r="AA8" s="318"/>
      <c r="AB8" s="319" t="s">
        <v>844</v>
      </c>
      <c r="AC8" s="327"/>
      <c r="AD8" s="319"/>
      <c r="AE8" s="319"/>
      <c r="AF8" s="319"/>
      <c r="AG8" s="319"/>
      <c r="AH8" s="319"/>
      <c r="AI8" s="319"/>
      <c r="AJ8" s="327"/>
      <c r="AK8" s="328"/>
      <c r="AL8" s="319"/>
      <c r="AM8" s="319"/>
      <c r="AN8" s="319"/>
      <c r="AO8" s="319"/>
      <c r="AP8" s="319"/>
      <c r="AQ8" s="319"/>
      <c r="AR8" s="319"/>
      <c r="AS8" s="327"/>
      <c r="AT8" s="344"/>
      <c r="AU8" s="345" t="s">
        <v>845</v>
      </c>
      <c r="AV8" s="330"/>
      <c r="AW8" s="331"/>
      <c r="AX8" s="331"/>
      <c r="AY8" s="331"/>
      <c r="AZ8" s="331"/>
      <c r="BA8" s="331"/>
      <c r="BB8" s="331"/>
      <c r="BC8" s="331"/>
      <c r="BD8" s="318"/>
      <c r="BE8" s="332"/>
      <c r="BF8" s="330">
        <f t="shared" si="1"/>
        <v>0</v>
      </c>
      <c r="BG8" s="333">
        <f t="shared" si="2"/>
        <v>0</v>
      </c>
      <c r="BH8" s="334"/>
      <c r="BI8" s="335" t="s">
        <v>846</v>
      </c>
      <c r="BJ8" s="318"/>
      <c r="BK8" s="336" t="s">
        <v>846</v>
      </c>
      <c r="BL8" s="337"/>
      <c r="BM8" s="336" t="s">
        <v>846</v>
      </c>
      <c r="BN8" s="336" t="s">
        <v>846</v>
      </c>
      <c r="BO8" s="318"/>
      <c r="BP8" s="336" t="s">
        <v>846</v>
      </c>
      <c r="BQ8" s="338"/>
      <c r="BR8" s="339" t="s">
        <v>846</v>
      </c>
      <c r="BS8" s="330">
        <f t="shared" si="3"/>
        <v>0</v>
      </c>
      <c r="BT8" s="331">
        <f t="shared" si="4"/>
        <v>0</v>
      </c>
      <c r="BU8" s="331"/>
      <c r="BV8" s="333"/>
      <c r="BW8" s="330"/>
      <c r="BX8" s="331"/>
      <c r="BY8" s="331"/>
      <c r="BZ8" s="340"/>
      <c r="CA8" s="316"/>
      <c r="CB8" s="318"/>
      <c r="CC8" s="318"/>
      <c r="CD8" s="318"/>
      <c r="CE8" s="318"/>
      <c r="CF8" s="318"/>
      <c r="CG8" s="318"/>
      <c r="CH8" s="318"/>
      <c r="CI8" s="338"/>
      <c r="CJ8" s="341"/>
      <c r="CK8" s="342">
        <f t="shared" si="5"/>
        <v>0</v>
      </c>
      <c r="CL8" s="333">
        <f t="shared" si="6"/>
        <v>0</v>
      </c>
      <c r="CM8" s="346" t="s">
        <v>854</v>
      </c>
      <c r="CN8" s="347"/>
      <c r="CO8" s="347"/>
      <c r="CP8" s="347"/>
    </row>
    <row r="9">
      <c r="B9" s="316"/>
      <c r="C9" s="317">
        <v>43256.0</v>
      </c>
      <c r="D9" s="318"/>
      <c r="E9" s="319"/>
      <c r="F9" s="320">
        <v>44352.0</v>
      </c>
      <c r="G9" s="321">
        <v>0.48333333333333334</v>
      </c>
      <c r="H9" s="322"/>
      <c r="I9" s="322"/>
      <c r="J9" s="322"/>
      <c r="K9" s="323">
        <v>0.48680555555555555</v>
      </c>
      <c r="L9" s="323">
        <v>0.20833333333333334</v>
      </c>
      <c r="M9" s="319" t="s">
        <v>358</v>
      </c>
      <c r="N9" s="324"/>
      <c r="O9" s="325" t="s">
        <v>841</v>
      </c>
      <c r="P9" s="319"/>
      <c r="Q9" s="319" t="s">
        <v>851</v>
      </c>
      <c r="R9" s="326" t="s">
        <v>852</v>
      </c>
      <c r="S9" s="319"/>
      <c r="T9" s="324"/>
      <c r="U9" s="319" t="s">
        <v>849</v>
      </c>
      <c r="V9" s="319"/>
      <c r="W9" s="319"/>
      <c r="X9" s="319"/>
      <c r="Y9" s="319"/>
      <c r="Z9" s="318"/>
      <c r="AA9" s="318"/>
      <c r="AB9" s="319" t="s">
        <v>844</v>
      </c>
      <c r="AC9" s="327"/>
      <c r="AD9" s="319"/>
      <c r="AE9" s="319"/>
      <c r="AF9" s="319"/>
      <c r="AG9" s="319"/>
      <c r="AH9" s="319"/>
      <c r="AI9" s="319"/>
      <c r="AJ9" s="327"/>
      <c r="AK9" s="328"/>
      <c r="AL9" s="319"/>
      <c r="AM9" s="319"/>
      <c r="AN9" s="319"/>
      <c r="AO9" s="319"/>
      <c r="AP9" s="319"/>
      <c r="AQ9" s="319"/>
      <c r="AR9" s="319"/>
      <c r="AS9" s="327"/>
      <c r="AT9" s="344"/>
      <c r="AU9" s="345" t="s">
        <v>845</v>
      </c>
      <c r="AV9" s="330"/>
      <c r="AW9" s="331"/>
      <c r="AX9" s="331"/>
      <c r="AY9" s="331"/>
      <c r="AZ9" s="331"/>
      <c r="BA9" s="331"/>
      <c r="BB9" s="331"/>
      <c r="BC9" s="331"/>
      <c r="BD9" s="318"/>
      <c r="BE9" s="332"/>
      <c r="BF9" s="330">
        <f t="shared" si="1"/>
        <v>0</v>
      </c>
      <c r="BG9" s="333">
        <f t="shared" si="2"/>
        <v>0</v>
      </c>
      <c r="BH9" s="334"/>
      <c r="BI9" s="335" t="s">
        <v>846</v>
      </c>
      <c r="BJ9" s="318"/>
      <c r="BK9" s="336" t="s">
        <v>846</v>
      </c>
      <c r="BL9" s="337"/>
      <c r="BM9" s="336" t="s">
        <v>846</v>
      </c>
      <c r="BN9" s="336" t="s">
        <v>846</v>
      </c>
      <c r="BO9" s="318"/>
      <c r="BP9" s="336" t="s">
        <v>846</v>
      </c>
      <c r="BQ9" s="338"/>
      <c r="BR9" s="339" t="s">
        <v>846</v>
      </c>
      <c r="BS9" s="330">
        <f t="shared" si="3"/>
        <v>0</v>
      </c>
      <c r="BT9" s="331">
        <f t="shared" si="4"/>
        <v>0</v>
      </c>
      <c r="BU9" s="331"/>
      <c r="BV9" s="333"/>
      <c r="BW9" s="330"/>
      <c r="BX9" s="331"/>
      <c r="BY9" s="331"/>
      <c r="BZ9" s="340"/>
      <c r="CA9" s="316"/>
      <c r="CB9" s="318"/>
      <c r="CC9" s="318"/>
      <c r="CD9" s="318"/>
      <c r="CE9" s="318"/>
      <c r="CF9" s="318"/>
      <c r="CG9" s="318"/>
      <c r="CH9" s="318"/>
      <c r="CI9" s="338"/>
      <c r="CJ9" s="341"/>
      <c r="CK9" s="342">
        <f t="shared" si="5"/>
        <v>0</v>
      </c>
      <c r="CL9" s="333">
        <f t="shared" si="6"/>
        <v>0</v>
      </c>
      <c r="CM9" s="346" t="s">
        <v>855</v>
      </c>
      <c r="CN9" s="347"/>
      <c r="CO9" s="347"/>
      <c r="CP9" s="347"/>
    </row>
    <row r="10">
      <c r="B10" s="316"/>
      <c r="C10" s="317">
        <v>43256.0</v>
      </c>
      <c r="D10" s="318"/>
      <c r="E10" s="319"/>
      <c r="F10" s="320">
        <v>44382.0</v>
      </c>
      <c r="G10" s="321">
        <v>0.4888888888888889</v>
      </c>
      <c r="H10" s="322"/>
      <c r="I10" s="322"/>
      <c r="J10" s="322"/>
      <c r="K10" s="323">
        <v>0.49166666666666664</v>
      </c>
      <c r="L10" s="323">
        <v>0.16666666666666666</v>
      </c>
      <c r="M10" s="319" t="s">
        <v>358</v>
      </c>
      <c r="N10" s="324"/>
      <c r="O10" s="325" t="s">
        <v>841</v>
      </c>
      <c r="P10" s="319"/>
      <c r="Q10" s="319" t="s">
        <v>851</v>
      </c>
      <c r="R10" s="326" t="s">
        <v>852</v>
      </c>
      <c r="S10" s="319"/>
      <c r="T10" s="324"/>
      <c r="U10" s="319" t="s">
        <v>779</v>
      </c>
      <c r="V10" s="319"/>
      <c r="W10" s="319"/>
      <c r="X10" s="319"/>
      <c r="Y10" s="319"/>
      <c r="Z10" s="318"/>
      <c r="AA10" s="318"/>
      <c r="AB10" s="319" t="s">
        <v>844</v>
      </c>
      <c r="AC10" s="327"/>
      <c r="AD10" s="319"/>
      <c r="AE10" s="319"/>
      <c r="AF10" s="319"/>
      <c r="AG10" s="319"/>
      <c r="AH10" s="319"/>
      <c r="AI10" s="319"/>
      <c r="AJ10" s="327"/>
      <c r="AK10" s="328"/>
      <c r="AL10" s="319"/>
      <c r="AM10" s="319"/>
      <c r="AN10" s="319"/>
      <c r="AO10" s="319"/>
      <c r="AP10" s="319"/>
      <c r="AQ10" s="319"/>
      <c r="AR10" s="319"/>
      <c r="AS10" s="327"/>
      <c r="AT10" s="344"/>
      <c r="AU10" s="345" t="s">
        <v>845</v>
      </c>
      <c r="AV10" s="330"/>
      <c r="AW10" s="331"/>
      <c r="AX10" s="331"/>
      <c r="AY10" s="331"/>
      <c r="AZ10" s="331"/>
      <c r="BA10" s="331"/>
      <c r="BB10" s="331"/>
      <c r="BC10" s="331"/>
      <c r="BD10" s="318"/>
      <c r="BE10" s="332"/>
      <c r="BF10" s="330">
        <f t="shared" si="1"/>
        <v>0</v>
      </c>
      <c r="BG10" s="333">
        <f t="shared" si="2"/>
        <v>0</v>
      </c>
      <c r="BH10" s="334"/>
      <c r="BI10" s="335" t="s">
        <v>846</v>
      </c>
      <c r="BJ10" s="318"/>
      <c r="BK10" s="336" t="s">
        <v>846</v>
      </c>
      <c r="BL10" s="337"/>
      <c r="BM10" s="336" t="s">
        <v>846</v>
      </c>
      <c r="BN10" s="336" t="s">
        <v>846</v>
      </c>
      <c r="BO10" s="318"/>
      <c r="BP10" s="336" t="s">
        <v>846</v>
      </c>
      <c r="BQ10" s="338"/>
      <c r="BR10" s="339" t="s">
        <v>846</v>
      </c>
      <c r="BS10" s="330">
        <f t="shared" si="3"/>
        <v>0</v>
      </c>
      <c r="BT10" s="331">
        <f t="shared" si="4"/>
        <v>0</v>
      </c>
      <c r="BU10" s="331"/>
      <c r="BV10" s="333"/>
      <c r="BW10" s="330"/>
      <c r="BX10" s="331"/>
      <c r="BY10" s="331"/>
      <c r="BZ10" s="340"/>
      <c r="CA10" s="316"/>
      <c r="CB10" s="318"/>
      <c r="CC10" s="318"/>
      <c r="CD10" s="318"/>
      <c r="CE10" s="318"/>
      <c r="CF10" s="318"/>
      <c r="CG10" s="318"/>
      <c r="CH10" s="318"/>
      <c r="CI10" s="338"/>
      <c r="CJ10" s="341"/>
      <c r="CK10" s="342">
        <f t="shared" si="5"/>
        <v>0</v>
      </c>
      <c r="CL10" s="333">
        <f t="shared" si="6"/>
        <v>0</v>
      </c>
      <c r="CM10" s="346" t="s">
        <v>856</v>
      </c>
      <c r="CN10" s="347"/>
      <c r="CO10" s="347"/>
      <c r="CP10" s="347"/>
    </row>
    <row r="11">
      <c r="B11" s="316"/>
      <c r="C11" s="317">
        <v>43256.0</v>
      </c>
      <c r="D11" s="318"/>
      <c r="E11" s="319"/>
      <c r="F11" s="320">
        <v>44413.0</v>
      </c>
      <c r="G11" s="321">
        <v>0.49444444444444446</v>
      </c>
      <c r="H11" s="322"/>
      <c r="I11" s="322"/>
      <c r="J11" s="322"/>
      <c r="K11" s="323">
        <v>0.5069444444444444</v>
      </c>
      <c r="L11" s="323">
        <v>0.75</v>
      </c>
      <c r="M11" s="319" t="s">
        <v>358</v>
      </c>
      <c r="N11" s="324"/>
      <c r="O11" s="325" t="s">
        <v>841</v>
      </c>
      <c r="P11" s="319"/>
      <c r="Q11" s="319" t="s">
        <v>851</v>
      </c>
      <c r="R11" s="326" t="s">
        <v>852</v>
      </c>
      <c r="S11" s="319"/>
      <c r="T11" s="324"/>
      <c r="U11" s="319" t="s">
        <v>857</v>
      </c>
      <c r="V11" s="319"/>
      <c r="W11" s="319"/>
      <c r="X11" s="319"/>
      <c r="Y11" s="319"/>
      <c r="Z11" s="318"/>
      <c r="AA11" s="318"/>
      <c r="AB11" s="319" t="s">
        <v>844</v>
      </c>
      <c r="AC11" s="327"/>
      <c r="AD11" s="319"/>
      <c r="AE11" s="319"/>
      <c r="AF11" s="319"/>
      <c r="AG11" s="319"/>
      <c r="AH11" s="319"/>
      <c r="AI11" s="319"/>
      <c r="AJ11" s="327"/>
      <c r="AK11" s="328"/>
      <c r="AL11" s="319"/>
      <c r="AM11" s="319"/>
      <c r="AN11" s="319"/>
      <c r="AO11" s="319"/>
      <c r="AP11" s="319"/>
      <c r="AQ11" s="319"/>
      <c r="AR11" s="319"/>
      <c r="AS11" s="327"/>
      <c r="AT11" s="344"/>
      <c r="AU11" s="345" t="s">
        <v>845</v>
      </c>
      <c r="AV11" s="330"/>
      <c r="AW11" s="331"/>
      <c r="AX11" s="331"/>
      <c r="AY11" s="331"/>
      <c r="AZ11" s="331"/>
      <c r="BA11" s="331"/>
      <c r="BB11" s="331"/>
      <c r="BC11" s="331"/>
      <c r="BD11" s="318"/>
      <c r="BE11" s="332"/>
      <c r="BF11" s="330">
        <f t="shared" si="1"/>
        <v>0</v>
      </c>
      <c r="BG11" s="333">
        <f t="shared" si="2"/>
        <v>0</v>
      </c>
      <c r="BH11" s="334"/>
      <c r="BI11" s="335" t="s">
        <v>846</v>
      </c>
      <c r="BJ11" s="318"/>
      <c r="BK11" s="336" t="s">
        <v>846</v>
      </c>
      <c r="BL11" s="337"/>
      <c r="BM11" s="336" t="s">
        <v>846</v>
      </c>
      <c r="BN11" s="336" t="s">
        <v>846</v>
      </c>
      <c r="BO11" s="318"/>
      <c r="BP11" s="336" t="s">
        <v>846</v>
      </c>
      <c r="BQ11" s="338"/>
      <c r="BR11" s="339" t="s">
        <v>846</v>
      </c>
      <c r="BS11" s="330">
        <f t="shared" si="3"/>
        <v>0</v>
      </c>
      <c r="BT11" s="331">
        <f t="shared" si="4"/>
        <v>0</v>
      </c>
      <c r="BU11" s="331"/>
      <c r="BV11" s="333"/>
      <c r="BW11" s="330"/>
      <c r="BX11" s="331"/>
      <c r="BY11" s="331"/>
      <c r="BZ11" s="340"/>
      <c r="CA11" s="316"/>
      <c r="CB11" s="318"/>
      <c r="CC11" s="318"/>
      <c r="CD11" s="318"/>
      <c r="CE11" s="318"/>
      <c r="CF11" s="318"/>
      <c r="CG11" s="318"/>
      <c r="CH11" s="318"/>
      <c r="CI11" s="338"/>
      <c r="CJ11" s="341"/>
      <c r="CK11" s="342">
        <f t="shared" si="5"/>
        <v>0</v>
      </c>
      <c r="CL11" s="333">
        <f t="shared" si="6"/>
        <v>0</v>
      </c>
      <c r="CM11" s="346" t="s">
        <v>858</v>
      </c>
      <c r="CN11" s="347"/>
      <c r="CO11" s="347"/>
      <c r="CP11" s="347"/>
    </row>
    <row r="12">
      <c r="B12" s="316"/>
      <c r="C12" s="317">
        <v>43256.0</v>
      </c>
      <c r="D12" s="318"/>
      <c r="E12" s="319"/>
      <c r="F12" s="320">
        <v>44444.0</v>
      </c>
      <c r="G12" s="321">
        <v>0.6166666666666667</v>
      </c>
      <c r="H12" s="322"/>
      <c r="I12" s="322"/>
      <c r="J12" s="322"/>
      <c r="K12" s="323">
        <v>0.6277777777777778</v>
      </c>
      <c r="L12" s="323">
        <v>0.6666666666666666</v>
      </c>
      <c r="M12" s="319" t="s">
        <v>358</v>
      </c>
      <c r="N12" s="324"/>
      <c r="O12" s="325" t="s">
        <v>841</v>
      </c>
      <c r="P12" s="319"/>
      <c r="Q12" s="319" t="s">
        <v>842</v>
      </c>
      <c r="R12" s="326" t="s">
        <v>843</v>
      </c>
      <c r="S12" s="319"/>
      <c r="T12" s="324"/>
      <c r="U12" s="319">
        <v>3.0</v>
      </c>
      <c r="V12" s="319"/>
      <c r="W12" s="319"/>
      <c r="X12" s="319"/>
      <c r="Y12" s="319"/>
      <c r="Z12" s="318"/>
      <c r="AA12" s="318"/>
      <c r="AB12" s="319" t="s">
        <v>859</v>
      </c>
      <c r="AC12" s="327"/>
      <c r="AD12" s="319"/>
      <c r="AE12" s="319"/>
      <c r="AF12" s="319"/>
      <c r="AG12" s="319"/>
      <c r="AH12" s="319"/>
      <c r="AI12" s="319"/>
      <c r="AJ12" s="327"/>
      <c r="AK12" s="328"/>
      <c r="AL12" s="319"/>
      <c r="AM12" s="319"/>
      <c r="AN12" s="319"/>
      <c r="AO12" s="319"/>
      <c r="AP12" s="319"/>
      <c r="AQ12" s="319"/>
      <c r="AR12" s="319"/>
      <c r="AS12" s="327"/>
      <c r="AT12" s="344"/>
      <c r="AU12" s="345" t="s">
        <v>845</v>
      </c>
      <c r="AV12" s="330"/>
      <c r="AW12" s="331"/>
      <c r="AX12" s="331"/>
      <c r="AY12" s="331"/>
      <c r="AZ12" s="331"/>
      <c r="BA12" s="331"/>
      <c r="BB12" s="331"/>
      <c r="BC12" s="331"/>
      <c r="BD12" s="318"/>
      <c r="BE12" s="332"/>
      <c r="BF12" s="330">
        <f t="shared" si="1"/>
        <v>0</v>
      </c>
      <c r="BG12" s="333">
        <f t="shared" si="2"/>
        <v>0</v>
      </c>
      <c r="BH12" s="334"/>
      <c r="BI12" s="335" t="s">
        <v>846</v>
      </c>
      <c r="BJ12" s="318"/>
      <c r="BK12" s="336" t="s">
        <v>846</v>
      </c>
      <c r="BL12" s="337"/>
      <c r="BM12" s="336" t="s">
        <v>846</v>
      </c>
      <c r="BN12" s="336" t="s">
        <v>846</v>
      </c>
      <c r="BO12" s="318"/>
      <c r="BP12" s="336" t="s">
        <v>846</v>
      </c>
      <c r="BQ12" s="338"/>
      <c r="BR12" s="339" t="s">
        <v>846</v>
      </c>
      <c r="BS12" s="330">
        <f t="shared" si="3"/>
        <v>0</v>
      </c>
      <c r="BT12" s="331">
        <f t="shared" si="4"/>
        <v>0</v>
      </c>
      <c r="BU12" s="331"/>
      <c r="BV12" s="333"/>
      <c r="BW12" s="330"/>
      <c r="BX12" s="331"/>
      <c r="BY12" s="331"/>
      <c r="BZ12" s="340"/>
      <c r="CA12" s="316"/>
      <c r="CB12" s="318"/>
      <c r="CC12" s="318"/>
      <c r="CD12" s="318"/>
      <c r="CE12" s="318"/>
      <c r="CF12" s="318"/>
      <c r="CG12" s="318"/>
      <c r="CH12" s="318"/>
      <c r="CI12" s="338"/>
      <c r="CJ12" s="341"/>
      <c r="CK12" s="342">
        <f t="shared" si="5"/>
        <v>0</v>
      </c>
      <c r="CL12" s="333">
        <f t="shared" si="6"/>
        <v>0</v>
      </c>
      <c r="CM12" s="346" t="s">
        <v>860</v>
      </c>
      <c r="CN12" s="347"/>
      <c r="CO12" s="347"/>
      <c r="CP12" s="347"/>
    </row>
    <row r="13">
      <c r="B13" s="316"/>
      <c r="C13" s="317">
        <v>43256.0</v>
      </c>
      <c r="D13" s="318"/>
      <c r="E13" s="319"/>
      <c r="F13" s="320">
        <v>44474.0</v>
      </c>
      <c r="G13" s="321">
        <v>0.6298611111111111</v>
      </c>
      <c r="H13" s="322"/>
      <c r="I13" s="322"/>
      <c r="J13" s="322"/>
      <c r="K13" s="323" t="s">
        <v>861</v>
      </c>
      <c r="L13" s="323"/>
      <c r="M13" s="319" t="s">
        <v>358</v>
      </c>
      <c r="N13" s="324"/>
      <c r="O13" s="325" t="s">
        <v>841</v>
      </c>
      <c r="P13" s="319"/>
      <c r="Q13" s="319" t="s">
        <v>842</v>
      </c>
      <c r="R13" s="326" t="s">
        <v>843</v>
      </c>
      <c r="S13" s="319"/>
      <c r="T13" s="324"/>
      <c r="U13" s="319">
        <v>3.0</v>
      </c>
      <c r="V13" s="319"/>
      <c r="W13" s="319"/>
      <c r="X13" s="319"/>
      <c r="Y13" s="319"/>
      <c r="Z13" s="318"/>
      <c r="AA13" s="318"/>
      <c r="AB13" s="319" t="s">
        <v>859</v>
      </c>
      <c r="AC13" s="327"/>
      <c r="AD13" s="319"/>
      <c r="AE13" s="319"/>
      <c r="AF13" s="319"/>
      <c r="AG13" s="319"/>
      <c r="AH13" s="319"/>
      <c r="AI13" s="319"/>
      <c r="AJ13" s="327"/>
      <c r="AK13" s="328"/>
      <c r="AL13" s="319"/>
      <c r="AM13" s="319"/>
      <c r="AN13" s="319"/>
      <c r="AO13" s="319"/>
      <c r="AP13" s="319"/>
      <c r="AQ13" s="319"/>
      <c r="AR13" s="319"/>
      <c r="AS13" s="327"/>
      <c r="AT13" s="344"/>
      <c r="AU13" s="332"/>
      <c r="AV13" s="330"/>
      <c r="AW13" s="331"/>
      <c r="AX13" s="331"/>
      <c r="AY13" s="331"/>
      <c r="AZ13" s="331"/>
      <c r="BA13" s="331"/>
      <c r="BB13" s="331"/>
      <c r="BC13" s="331"/>
      <c r="BD13" s="318"/>
      <c r="BE13" s="332"/>
      <c r="BF13" s="330">
        <f t="shared" si="1"/>
        <v>0</v>
      </c>
      <c r="BG13" s="333">
        <f t="shared" si="2"/>
        <v>0</v>
      </c>
      <c r="BH13" s="334"/>
      <c r="BI13" s="335" t="s">
        <v>846</v>
      </c>
      <c r="BJ13" s="318"/>
      <c r="BK13" s="336" t="s">
        <v>846</v>
      </c>
      <c r="BL13" s="337"/>
      <c r="BM13" s="336" t="s">
        <v>846</v>
      </c>
      <c r="BN13" s="336" t="s">
        <v>846</v>
      </c>
      <c r="BO13" s="318"/>
      <c r="BP13" s="336" t="s">
        <v>846</v>
      </c>
      <c r="BQ13" s="338"/>
      <c r="BR13" s="339" t="s">
        <v>846</v>
      </c>
      <c r="BS13" s="330">
        <f t="shared" si="3"/>
        <v>0</v>
      </c>
      <c r="BT13" s="331">
        <f t="shared" si="4"/>
        <v>0</v>
      </c>
      <c r="BU13" s="331"/>
      <c r="BV13" s="333"/>
      <c r="BW13" s="330"/>
      <c r="BX13" s="331"/>
      <c r="BY13" s="331"/>
      <c r="BZ13" s="340"/>
      <c r="CA13" s="316"/>
      <c r="CB13" s="318"/>
      <c r="CC13" s="318"/>
      <c r="CD13" s="318"/>
      <c r="CE13" s="318"/>
      <c r="CF13" s="318"/>
      <c r="CG13" s="318"/>
      <c r="CH13" s="318"/>
      <c r="CI13" s="338"/>
      <c r="CJ13" s="341"/>
      <c r="CK13" s="342">
        <f t="shared" si="5"/>
        <v>0</v>
      </c>
      <c r="CL13" s="333">
        <f t="shared" si="6"/>
        <v>0</v>
      </c>
      <c r="CM13" s="346" t="s">
        <v>862</v>
      </c>
      <c r="CN13" s="347"/>
      <c r="CO13" s="347"/>
      <c r="CP13" s="347"/>
    </row>
    <row r="14">
      <c r="B14" s="316"/>
      <c r="C14" s="317">
        <v>43256.0</v>
      </c>
      <c r="D14" s="318"/>
      <c r="E14" s="319"/>
      <c r="F14" s="320">
        <v>44505.0</v>
      </c>
      <c r="G14" s="321">
        <v>0.6486111111111111</v>
      </c>
      <c r="H14" s="322"/>
      <c r="I14" s="322"/>
      <c r="J14" s="322"/>
      <c r="K14" s="323">
        <v>0.65625</v>
      </c>
      <c r="L14" s="323">
        <v>0.4583333333333333</v>
      </c>
      <c r="M14" s="319" t="s">
        <v>358</v>
      </c>
      <c r="N14" s="324"/>
      <c r="O14" s="325" t="s">
        <v>841</v>
      </c>
      <c r="P14" s="319"/>
      <c r="Q14" s="319" t="s">
        <v>842</v>
      </c>
      <c r="R14" s="326" t="s">
        <v>843</v>
      </c>
      <c r="S14" s="319"/>
      <c r="T14" s="324"/>
      <c r="U14" s="319">
        <v>1.0</v>
      </c>
      <c r="V14" s="319"/>
      <c r="W14" s="319"/>
      <c r="X14" s="319"/>
      <c r="Y14" s="319"/>
      <c r="Z14" s="318"/>
      <c r="AA14" s="318"/>
      <c r="AB14" s="319" t="s">
        <v>859</v>
      </c>
      <c r="AC14" s="327"/>
      <c r="AD14" s="319"/>
      <c r="AE14" s="319"/>
      <c r="AF14" s="319"/>
      <c r="AG14" s="319"/>
      <c r="AH14" s="319"/>
      <c r="AI14" s="319"/>
      <c r="AJ14" s="327"/>
      <c r="AK14" s="328"/>
      <c r="AL14" s="319"/>
      <c r="AM14" s="319"/>
      <c r="AN14" s="319"/>
      <c r="AO14" s="319"/>
      <c r="AP14" s="319"/>
      <c r="AQ14" s="319"/>
      <c r="AR14" s="319"/>
      <c r="AS14" s="327"/>
      <c r="AT14" s="344"/>
      <c r="AU14" s="324" t="s">
        <v>845</v>
      </c>
      <c r="AV14" s="330"/>
      <c r="AW14" s="331"/>
      <c r="AX14" s="331"/>
      <c r="AY14" s="331"/>
      <c r="AZ14" s="331"/>
      <c r="BA14" s="331"/>
      <c r="BB14" s="331"/>
      <c r="BC14" s="331"/>
      <c r="BD14" s="318"/>
      <c r="BE14" s="332"/>
      <c r="BF14" s="330">
        <f t="shared" si="1"/>
        <v>0</v>
      </c>
      <c r="BG14" s="333">
        <f t="shared" si="2"/>
        <v>0</v>
      </c>
      <c r="BH14" s="334"/>
      <c r="BI14" s="335" t="s">
        <v>846</v>
      </c>
      <c r="BJ14" s="318"/>
      <c r="BK14" s="336" t="s">
        <v>846</v>
      </c>
      <c r="BL14" s="337"/>
      <c r="BM14" s="336" t="s">
        <v>846</v>
      </c>
      <c r="BN14" s="336" t="s">
        <v>846</v>
      </c>
      <c r="BO14" s="318"/>
      <c r="BP14" s="336" t="s">
        <v>846</v>
      </c>
      <c r="BQ14" s="338"/>
      <c r="BR14" s="339" t="s">
        <v>846</v>
      </c>
      <c r="BS14" s="330">
        <f t="shared" si="3"/>
        <v>0</v>
      </c>
      <c r="BT14" s="331">
        <f t="shared" si="4"/>
        <v>0</v>
      </c>
      <c r="BU14" s="331"/>
      <c r="BV14" s="333"/>
      <c r="BW14" s="330"/>
      <c r="BX14" s="331"/>
      <c r="BY14" s="331"/>
      <c r="BZ14" s="340"/>
      <c r="CA14" s="316"/>
      <c r="CB14" s="318"/>
      <c r="CC14" s="318"/>
      <c r="CD14" s="318"/>
      <c r="CE14" s="318"/>
      <c r="CF14" s="318"/>
      <c r="CG14" s="318"/>
      <c r="CH14" s="318"/>
      <c r="CI14" s="338"/>
      <c r="CJ14" s="341"/>
      <c r="CK14" s="342">
        <f t="shared" si="5"/>
        <v>0</v>
      </c>
      <c r="CL14" s="333">
        <f t="shared" si="6"/>
        <v>0</v>
      </c>
      <c r="CM14" s="346" t="s">
        <v>863</v>
      </c>
      <c r="CN14" s="347"/>
      <c r="CO14" s="347"/>
      <c r="CP14" s="347"/>
    </row>
    <row r="15">
      <c r="B15" s="316"/>
      <c r="C15" s="317">
        <v>43256.0</v>
      </c>
      <c r="D15" s="318"/>
      <c r="E15" s="319"/>
      <c r="F15" s="320">
        <v>44535.0</v>
      </c>
      <c r="G15" s="321">
        <v>0.6569444444444444</v>
      </c>
      <c r="H15" s="322"/>
      <c r="I15" s="322"/>
      <c r="J15" s="322"/>
      <c r="K15" s="323">
        <v>0.6590277777777778</v>
      </c>
      <c r="L15" s="323">
        <v>0.125</v>
      </c>
      <c r="M15" s="319" t="s">
        <v>358</v>
      </c>
      <c r="N15" s="324"/>
      <c r="O15" s="325" t="s">
        <v>841</v>
      </c>
      <c r="P15" s="319"/>
      <c r="Q15" s="319" t="s">
        <v>851</v>
      </c>
      <c r="R15" s="326" t="s">
        <v>864</v>
      </c>
      <c r="S15" s="319"/>
      <c r="T15" s="324"/>
      <c r="U15" s="319">
        <v>100.0</v>
      </c>
      <c r="V15" s="319"/>
      <c r="W15" s="319"/>
      <c r="X15" s="319"/>
      <c r="Y15" s="319"/>
      <c r="Z15" s="318"/>
      <c r="AA15" s="318"/>
      <c r="AB15" s="319" t="s">
        <v>865</v>
      </c>
      <c r="AC15" s="327"/>
      <c r="AD15" s="319"/>
      <c r="AE15" s="319"/>
      <c r="AF15" s="319"/>
      <c r="AG15" s="319"/>
      <c r="AH15" s="319"/>
      <c r="AI15" s="319"/>
      <c r="AJ15" s="327"/>
      <c r="AK15" s="328"/>
      <c r="AL15" s="319"/>
      <c r="AM15" s="319"/>
      <c r="AN15" s="319"/>
      <c r="AO15" s="319"/>
      <c r="AP15" s="319"/>
      <c r="AQ15" s="319"/>
      <c r="AR15" s="319"/>
      <c r="AS15" s="327"/>
      <c r="AT15" s="344"/>
      <c r="AU15" s="324" t="s">
        <v>845</v>
      </c>
      <c r="AV15" s="330"/>
      <c r="AW15" s="331"/>
      <c r="AX15" s="331"/>
      <c r="AY15" s="331"/>
      <c r="AZ15" s="331"/>
      <c r="BA15" s="331"/>
      <c r="BB15" s="331"/>
      <c r="BC15" s="331"/>
      <c r="BD15" s="318"/>
      <c r="BE15" s="332"/>
      <c r="BF15" s="330">
        <f t="shared" si="1"/>
        <v>0</v>
      </c>
      <c r="BG15" s="333">
        <f t="shared" si="2"/>
        <v>0</v>
      </c>
      <c r="BH15" s="334"/>
      <c r="BI15" s="335" t="s">
        <v>846</v>
      </c>
      <c r="BJ15" s="318"/>
      <c r="BK15" s="336" t="s">
        <v>846</v>
      </c>
      <c r="BL15" s="337"/>
      <c r="BM15" s="336" t="s">
        <v>846</v>
      </c>
      <c r="BN15" s="336" t="s">
        <v>846</v>
      </c>
      <c r="BO15" s="318"/>
      <c r="BP15" s="336" t="s">
        <v>846</v>
      </c>
      <c r="BQ15" s="338"/>
      <c r="BR15" s="339" t="s">
        <v>846</v>
      </c>
      <c r="BS15" s="330">
        <f t="shared" si="3"/>
        <v>0</v>
      </c>
      <c r="BT15" s="331">
        <f t="shared" si="4"/>
        <v>0</v>
      </c>
      <c r="BU15" s="331"/>
      <c r="BV15" s="333"/>
      <c r="BW15" s="330"/>
      <c r="BX15" s="331"/>
      <c r="BY15" s="331"/>
      <c r="BZ15" s="340"/>
      <c r="CA15" s="316"/>
      <c r="CB15" s="318"/>
      <c r="CC15" s="318"/>
      <c r="CD15" s="318"/>
      <c r="CE15" s="318"/>
      <c r="CF15" s="318"/>
      <c r="CG15" s="318"/>
      <c r="CH15" s="318"/>
      <c r="CI15" s="338"/>
      <c r="CJ15" s="341"/>
      <c r="CK15" s="342">
        <f t="shared" si="5"/>
        <v>0</v>
      </c>
      <c r="CL15" s="333">
        <f t="shared" si="6"/>
        <v>0</v>
      </c>
      <c r="CM15" s="346" t="s">
        <v>866</v>
      </c>
      <c r="CN15" s="347"/>
      <c r="CO15" s="347"/>
      <c r="CP15" s="347"/>
    </row>
    <row r="16">
      <c r="B16" s="316"/>
      <c r="C16" s="317">
        <v>43256.0</v>
      </c>
      <c r="D16" s="318"/>
      <c r="E16" s="319"/>
      <c r="F16" s="324" t="s">
        <v>867</v>
      </c>
      <c r="G16" s="321">
        <v>0.6645833333333333</v>
      </c>
      <c r="H16" s="322"/>
      <c r="I16" s="322"/>
      <c r="J16" s="322"/>
      <c r="K16" s="323">
        <v>0.66875</v>
      </c>
      <c r="L16" s="323">
        <v>0.25</v>
      </c>
      <c r="M16" s="319" t="s">
        <v>358</v>
      </c>
      <c r="N16" s="324"/>
      <c r="O16" s="348" t="s">
        <v>841</v>
      </c>
      <c r="P16" s="319"/>
      <c r="Q16" s="319" t="s">
        <v>851</v>
      </c>
      <c r="R16" s="326" t="s">
        <v>864</v>
      </c>
      <c r="S16" s="319"/>
      <c r="T16" s="324"/>
      <c r="U16" s="319">
        <v>50.0</v>
      </c>
      <c r="V16" s="319"/>
      <c r="W16" s="319"/>
      <c r="X16" s="319"/>
      <c r="Y16" s="319"/>
      <c r="Z16" s="318"/>
      <c r="AA16" s="318"/>
      <c r="AB16" s="319" t="s">
        <v>865</v>
      </c>
      <c r="AC16" s="327"/>
      <c r="AD16" s="319"/>
      <c r="AE16" s="319"/>
      <c r="AF16" s="319"/>
      <c r="AG16" s="319"/>
      <c r="AH16" s="319"/>
      <c r="AI16" s="319"/>
      <c r="AJ16" s="327"/>
      <c r="AK16" s="328"/>
      <c r="AL16" s="319"/>
      <c r="AM16" s="319"/>
      <c r="AN16" s="319"/>
      <c r="AO16" s="319"/>
      <c r="AP16" s="319"/>
      <c r="AQ16" s="319"/>
      <c r="AR16" s="319"/>
      <c r="AS16" s="327"/>
      <c r="AT16" s="344"/>
      <c r="AU16" s="324" t="s">
        <v>845</v>
      </c>
      <c r="AV16" s="330"/>
      <c r="AW16" s="331"/>
      <c r="AX16" s="331"/>
      <c r="AY16" s="331"/>
      <c r="AZ16" s="331"/>
      <c r="BA16" s="331"/>
      <c r="BB16" s="331"/>
      <c r="BC16" s="331"/>
      <c r="BD16" s="318"/>
      <c r="BE16" s="332"/>
      <c r="BF16" s="330">
        <f t="shared" si="1"/>
        <v>0</v>
      </c>
      <c r="BG16" s="333">
        <f t="shared" si="2"/>
        <v>0</v>
      </c>
      <c r="BH16" s="334"/>
      <c r="BI16" s="349" t="s">
        <v>846</v>
      </c>
      <c r="BJ16" s="318"/>
      <c r="BK16" s="350" t="s">
        <v>846</v>
      </c>
      <c r="BL16" s="351"/>
      <c r="BM16" s="350" t="s">
        <v>846</v>
      </c>
      <c r="BN16" s="350" t="s">
        <v>846</v>
      </c>
      <c r="BO16" s="318"/>
      <c r="BP16" s="350" t="s">
        <v>846</v>
      </c>
      <c r="BQ16" s="338"/>
      <c r="BR16" s="352" t="s">
        <v>846</v>
      </c>
      <c r="BS16" s="330">
        <f t="shared" si="3"/>
        <v>0</v>
      </c>
      <c r="BT16" s="331">
        <f t="shared" si="4"/>
        <v>0</v>
      </c>
      <c r="BU16" s="331"/>
      <c r="BV16" s="333"/>
      <c r="BW16" s="330"/>
      <c r="BX16" s="331"/>
      <c r="BY16" s="331"/>
      <c r="BZ16" s="340"/>
      <c r="CA16" s="316"/>
      <c r="CB16" s="318"/>
      <c r="CC16" s="318"/>
      <c r="CD16" s="318"/>
      <c r="CE16" s="318"/>
      <c r="CF16" s="318"/>
      <c r="CG16" s="318"/>
      <c r="CH16" s="318"/>
      <c r="CI16" s="338"/>
      <c r="CJ16" s="341"/>
      <c r="CK16" s="342">
        <f t="shared" si="5"/>
        <v>0</v>
      </c>
      <c r="CL16" s="333">
        <f t="shared" si="6"/>
        <v>0</v>
      </c>
      <c r="CM16" s="353" t="s">
        <v>868</v>
      </c>
      <c r="CN16" s="347"/>
      <c r="CO16" s="347"/>
      <c r="CP16" s="347"/>
    </row>
    <row r="17">
      <c r="B17" s="316"/>
      <c r="C17" s="317">
        <v>43257.0</v>
      </c>
      <c r="D17" s="318"/>
      <c r="E17" s="319"/>
      <c r="F17" s="324" t="s">
        <v>869</v>
      </c>
      <c r="G17" s="321">
        <v>0.4076388888888889</v>
      </c>
      <c r="H17" s="322"/>
      <c r="I17" s="322"/>
      <c r="J17" s="322"/>
      <c r="K17" s="323">
        <v>0.41180555555555554</v>
      </c>
      <c r="L17" s="323">
        <v>0.25</v>
      </c>
      <c r="M17" s="319" t="s">
        <v>358</v>
      </c>
      <c r="N17" s="324"/>
      <c r="O17" s="325" t="s">
        <v>841</v>
      </c>
      <c r="P17" s="319"/>
      <c r="Q17" s="319" t="s">
        <v>842</v>
      </c>
      <c r="R17" s="326" t="s">
        <v>843</v>
      </c>
      <c r="S17" s="319"/>
      <c r="T17" s="324"/>
      <c r="U17" s="319">
        <v>1.8</v>
      </c>
      <c r="V17" s="319"/>
      <c r="W17" s="319"/>
      <c r="X17" s="319"/>
      <c r="Y17" s="319"/>
      <c r="Z17" s="318"/>
      <c r="AA17" s="318"/>
      <c r="AB17" s="319" t="s">
        <v>859</v>
      </c>
      <c r="AC17" s="327"/>
      <c r="AD17" s="319"/>
      <c r="AE17" s="319"/>
      <c r="AF17" s="319"/>
      <c r="AG17" s="319"/>
      <c r="AH17" s="319"/>
      <c r="AI17" s="319"/>
      <c r="AJ17" s="327"/>
      <c r="AK17" s="328"/>
      <c r="AL17" s="319"/>
      <c r="AM17" s="319"/>
      <c r="AN17" s="319"/>
      <c r="AO17" s="319"/>
      <c r="AP17" s="319"/>
      <c r="AQ17" s="319"/>
      <c r="AR17" s="319"/>
      <c r="AS17" s="327"/>
      <c r="AT17" s="344"/>
      <c r="AU17" s="345" t="s">
        <v>845</v>
      </c>
      <c r="AV17" s="330"/>
      <c r="AW17" s="331"/>
      <c r="AX17" s="331"/>
      <c r="AY17" s="331"/>
      <c r="AZ17" s="331"/>
      <c r="BA17" s="331"/>
      <c r="BB17" s="331"/>
      <c r="BC17" s="331"/>
      <c r="BD17" s="318"/>
      <c r="BE17" s="332"/>
      <c r="BF17" s="330">
        <f t="shared" si="1"/>
        <v>0</v>
      </c>
      <c r="BG17" s="333">
        <f t="shared" si="2"/>
        <v>0</v>
      </c>
      <c r="BH17" s="334"/>
      <c r="BI17" s="335" t="s">
        <v>846</v>
      </c>
      <c r="BJ17" s="318"/>
      <c r="BK17" s="336" t="s">
        <v>846</v>
      </c>
      <c r="BL17" s="337"/>
      <c r="BM17" s="336" t="s">
        <v>846</v>
      </c>
      <c r="BN17" s="336" t="s">
        <v>846</v>
      </c>
      <c r="BO17" s="318"/>
      <c r="BP17" s="336" t="s">
        <v>846</v>
      </c>
      <c r="BQ17" s="338"/>
      <c r="BR17" s="339" t="s">
        <v>846</v>
      </c>
      <c r="BS17" s="330">
        <f t="shared" si="3"/>
        <v>0</v>
      </c>
      <c r="BT17" s="331">
        <f t="shared" si="4"/>
        <v>0</v>
      </c>
      <c r="BU17" s="331"/>
      <c r="BV17" s="333"/>
      <c r="BW17" s="330"/>
      <c r="BX17" s="331"/>
      <c r="BY17" s="331"/>
      <c r="BZ17" s="340"/>
      <c r="CA17" s="316"/>
      <c r="CB17" s="318"/>
      <c r="CC17" s="318"/>
      <c r="CD17" s="318"/>
      <c r="CE17" s="318"/>
      <c r="CF17" s="318"/>
      <c r="CG17" s="318"/>
      <c r="CH17" s="318"/>
      <c r="CI17" s="338"/>
      <c r="CJ17" s="341"/>
      <c r="CK17" s="342">
        <f t="shared" si="5"/>
        <v>0</v>
      </c>
      <c r="CL17" s="333">
        <f t="shared" si="6"/>
        <v>0</v>
      </c>
      <c r="CM17" s="346" t="s">
        <v>870</v>
      </c>
      <c r="CN17" s="347"/>
      <c r="CO17" s="347"/>
      <c r="CP17" s="347"/>
    </row>
    <row r="18">
      <c r="B18" s="316"/>
      <c r="C18" s="317">
        <v>43257.0</v>
      </c>
      <c r="D18" s="318"/>
      <c r="E18" s="319"/>
      <c r="F18" s="324" t="s">
        <v>871</v>
      </c>
      <c r="G18" s="321">
        <v>0.41388888888888886</v>
      </c>
      <c r="H18" s="322"/>
      <c r="I18" s="322"/>
      <c r="J18" s="322"/>
      <c r="K18" s="323">
        <v>0.41597222222222224</v>
      </c>
      <c r="L18" s="323"/>
      <c r="M18" s="319" t="s">
        <v>358</v>
      </c>
      <c r="N18" s="324"/>
      <c r="O18" s="325" t="s">
        <v>841</v>
      </c>
      <c r="P18" s="319"/>
      <c r="Q18" s="319" t="s">
        <v>842</v>
      </c>
      <c r="R18" s="326" t="s">
        <v>843</v>
      </c>
      <c r="S18" s="319"/>
      <c r="T18" s="324"/>
      <c r="U18" s="319">
        <v>1.7</v>
      </c>
      <c r="V18" s="319"/>
      <c r="W18" s="319"/>
      <c r="X18" s="319"/>
      <c r="Y18" s="319"/>
      <c r="Z18" s="318"/>
      <c r="AA18" s="318"/>
      <c r="AB18" s="319" t="s">
        <v>859</v>
      </c>
      <c r="AC18" s="327"/>
      <c r="AD18" s="319"/>
      <c r="AE18" s="319"/>
      <c r="AF18" s="319"/>
      <c r="AG18" s="319"/>
      <c r="AH18" s="319"/>
      <c r="AI18" s="319"/>
      <c r="AJ18" s="327"/>
      <c r="AK18" s="328"/>
      <c r="AL18" s="319"/>
      <c r="AM18" s="319"/>
      <c r="AN18" s="319"/>
      <c r="AO18" s="319"/>
      <c r="AP18" s="319"/>
      <c r="AQ18" s="319"/>
      <c r="AR18" s="319"/>
      <c r="AS18" s="327"/>
      <c r="AT18" s="344"/>
      <c r="AU18" s="345" t="s">
        <v>845</v>
      </c>
      <c r="AV18" s="330"/>
      <c r="AW18" s="331"/>
      <c r="AX18" s="331"/>
      <c r="AY18" s="331"/>
      <c r="AZ18" s="331"/>
      <c r="BA18" s="331"/>
      <c r="BB18" s="331"/>
      <c r="BC18" s="331"/>
      <c r="BD18" s="318"/>
      <c r="BE18" s="332"/>
      <c r="BF18" s="330">
        <f t="shared" si="1"/>
        <v>0</v>
      </c>
      <c r="BG18" s="333">
        <f t="shared" si="2"/>
        <v>0</v>
      </c>
      <c r="BH18" s="334"/>
      <c r="BI18" s="335" t="s">
        <v>846</v>
      </c>
      <c r="BJ18" s="318"/>
      <c r="BK18" s="336" t="s">
        <v>846</v>
      </c>
      <c r="BL18" s="337"/>
      <c r="BM18" s="336" t="s">
        <v>846</v>
      </c>
      <c r="BN18" s="336" t="s">
        <v>846</v>
      </c>
      <c r="BO18" s="318"/>
      <c r="BP18" s="336" t="s">
        <v>846</v>
      </c>
      <c r="BQ18" s="338"/>
      <c r="BR18" s="339" t="s">
        <v>846</v>
      </c>
      <c r="BS18" s="330">
        <f t="shared" si="3"/>
        <v>0</v>
      </c>
      <c r="BT18" s="331">
        <f t="shared" si="4"/>
        <v>0</v>
      </c>
      <c r="BU18" s="331"/>
      <c r="BV18" s="333"/>
      <c r="BW18" s="330"/>
      <c r="BX18" s="331"/>
      <c r="BY18" s="331"/>
      <c r="BZ18" s="340"/>
      <c r="CA18" s="316"/>
      <c r="CB18" s="318"/>
      <c r="CC18" s="318"/>
      <c r="CD18" s="318"/>
      <c r="CE18" s="318"/>
      <c r="CF18" s="318"/>
      <c r="CG18" s="318"/>
      <c r="CH18" s="318"/>
      <c r="CI18" s="338"/>
      <c r="CJ18" s="341"/>
      <c r="CK18" s="342">
        <f t="shared" si="5"/>
        <v>0</v>
      </c>
      <c r="CL18" s="333">
        <f t="shared" si="6"/>
        <v>0</v>
      </c>
      <c r="CM18" s="346" t="s">
        <v>872</v>
      </c>
      <c r="CN18" s="347"/>
      <c r="CO18" s="347"/>
      <c r="CP18" s="347"/>
    </row>
    <row r="19">
      <c r="B19" s="316"/>
      <c r="C19" s="317">
        <v>43257.0</v>
      </c>
      <c r="D19" s="318"/>
      <c r="E19" s="319"/>
      <c r="F19" s="324" t="s">
        <v>873</v>
      </c>
      <c r="G19" s="321">
        <v>0.41805555555555557</v>
      </c>
      <c r="H19" s="322"/>
      <c r="I19" s="322"/>
      <c r="J19" s="322"/>
      <c r="K19" s="323">
        <v>0.42083333333333334</v>
      </c>
      <c r="L19" s="323">
        <v>0.16666666666666666</v>
      </c>
      <c r="M19" s="319" t="s">
        <v>358</v>
      </c>
      <c r="N19" s="324"/>
      <c r="O19" s="325" t="s">
        <v>841</v>
      </c>
      <c r="P19" s="319"/>
      <c r="Q19" s="319" t="s">
        <v>842</v>
      </c>
      <c r="R19" s="326" t="s">
        <v>843</v>
      </c>
      <c r="S19" s="319"/>
      <c r="T19" s="324"/>
      <c r="U19" s="319">
        <v>2.2</v>
      </c>
      <c r="V19" s="319"/>
      <c r="W19" s="319"/>
      <c r="X19" s="319"/>
      <c r="Y19" s="319"/>
      <c r="Z19" s="318"/>
      <c r="AA19" s="318"/>
      <c r="AB19" s="319" t="s">
        <v>859</v>
      </c>
      <c r="AC19" s="327"/>
      <c r="AD19" s="319"/>
      <c r="AE19" s="319"/>
      <c r="AF19" s="319"/>
      <c r="AG19" s="319"/>
      <c r="AH19" s="319"/>
      <c r="AI19" s="319"/>
      <c r="AJ19" s="327"/>
      <c r="AK19" s="328"/>
      <c r="AL19" s="319"/>
      <c r="AM19" s="319"/>
      <c r="AN19" s="319"/>
      <c r="AO19" s="319"/>
      <c r="AP19" s="319"/>
      <c r="AQ19" s="319"/>
      <c r="AR19" s="319"/>
      <c r="AS19" s="327"/>
      <c r="AT19" s="344"/>
      <c r="AU19" s="345" t="s">
        <v>845</v>
      </c>
      <c r="AV19" s="330"/>
      <c r="AW19" s="331"/>
      <c r="AX19" s="331"/>
      <c r="AY19" s="331"/>
      <c r="AZ19" s="331"/>
      <c r="BA19" s="331"/>
      <c r="BB19" s="331"/>
      <c r="BC19" s="331"/>
      <c r="BD19" s="318"/>
      <c r="BE19" s="332"/>
      <c r="BF19" s="330">
        <f t="shared" si="1"/>
        <v>0</v>
      </c>
      <c r="BG19" s="333">
        <f t="shared" si="2"/>
        <v>0</v>
      </c>
      <c r="BH19" s="334"/>
      <c r="BI19" s="335" t="s">
        <v>846</v>
      </c>
      <c r="BJ19" s="318"/>
      <c r="BK19" s="336" t="s">
        <v>846</v>
      </c>
      <c r="BL19" s="337"/>
      <c r="BM19" s="336" t="s">
        <v>846</v>
      </c>
      <c r="BN19" s="336" t="s">
        <v>846</v>
      </c>
      <c r="BO19" s="318"/>
      <c r="BP19" s="336" t="s">
        <v>846</v>
      </c>
      <c r="BQ19" s="338"/>
      <c r="BR19" s="339" t="s">
        <v>846</v>
      </c>
      <c r="BS19" s="330">
        <f t="shared" si="3"/>
        <v>0</v>
      </c>
      <c r="BT19" s="331">
        <f t="shared" si="4"/>
        <v>0</v>
      </c>
      <c r="BU19" s="331"/>
      <c r="BV19" s="333"/>
      <c r="BW19" s="330"/>
      <c r="BX19" s="331"/>
      <c r="BY19" s="331"/>
      <c r="BZ19" s="340"/>
      <c r="CA19" s="316"/>
      <c r="CB19" s="318"/>
      <c r="CC19" s="318"/>
      <c r="CD19" s="318"/>
      <c r="CE19" s="318"/>
      <c r="CF19" s="318"/>
      <c r="CG19" s="318"/>
      <c r="CH19" s="318"/>
      <c r="CI19" s="338"/>
      <c r="CJ19" s="341"/>
      <c r="CK19" s="342">
        <f t="shared" si="5"/>
        <v>0</v>
      </c>
      <c r="CL19" s="333">
        <f t="shared" si="6"/>
        <v>0</v>
      </c>
      <c r="CM19" s="346" t="s">
        <v>874</v>
      </c>
      <c r="CN19" s="347"/>
      <c r="CO19" s="347"/>
      <c r="CP19" s="347"/>
    </row>
    <row r="20">
      <c r="B20" s="316"/>
      <c r="C20" s="317">
        <v>43257.0</v>
      </c>
      <c r="D20" s="318"/>
      <c r="E20" s="319"/>
      <c r="F20" s="324" t="s">
        <v>875</v>
      </c>
      <c r="G20" s="321">
        <v>0.4215277777777778</v>
      </c>
      <c r="H20" s="322"/>
      <c r="I20" s="322"/>
      <c r="J20" s="322"/>
      <c r="K20" s="323">
        <v>0.4236111111111111</v>
      </c>
      <c r="L20" s="323">
        <v>0.125</v>
      </c>
      <c r="M20" s="319" t="s">
        <v>358</v>
      </c>
      <c r="N20" s="324"/>
      <c r="O20" s="325" t="s">
        <v>841</v>
      </c>
      <c r="P20" s="319"/>
      <c r="Q20" s="319" t="s">
        <v>842</v>
      </c>
      <c r="R20" s="326" t="s">
        <v>843</v>
      </c>
      <c r="S20" s="319"/>
      <c r="T20" s="324"/>
      <c r="U20" s="319">
        <v>0.8</v>
      </c>
      <c r="V20" s="319"/>
      <c r="W20" s="319"/>
      <c r="X20" s="319"/>
      <c r="Y20" s="319"/>
      <c r="Z20" s="318"/>
      <c r="AA20" s="318"/>
      <c r="AB20" s="319" t="s">
        <v>859</v>
      </c>
      <c r="AC20" s="327"/>
      <c r="AD20" s="319"/>
      <c r="AE20" s="319"/>
      <c r="AF20" s="319"/>
      <c r="AG20" s="319"/>
      <c r="AH20" s="319"/>
      <c r="AI20" s="319"/>
      <c r="AJ20" s="327"/>
      <c r="AK20" s="328"/>
      <c r="AL20" s="319"/>
      <c r="AM20" s="319"/>
      <c r="AN20" s="319"/>
      <c r="AO20" s="319"/>
      <c r="AP20" s="319"/>
      <c r="AQ20" s="319"/>
      <c r="AR20" s="319"/>
      <c r="AS20" s="327"/>
      <c r="AT20" s="344"/>
      <c r="AU20" s="345" t="s">
        <v>845</v>
      </c>
      <c r="AV20" s="330"/>
      <c r="AW20" s="331"/>
      <c r="AX20" s="331"/>
      <c r="AY20" s="331"/>
      <c r="AZ20" s="331"/>
      <c r="BA20" s="331"/>
      <c r="BB20" s="331"/>
      <c r="BC20" s="331"/>
      <c r="BD20" s="318"/>
      <c r="BE20" s="332"/>
      <c r="BF20" s="330">
        <f t="shared" si="1"/>
        <v>0</v>
      </c>
      <c r="BG20" s="333">
        <f t="shared" si="2"/>
        <v>0</v>
      </c>
      <c r="BH20" s="334"/>
      <c r="BI20" s="335" t="s">
        <v>846</v>
      </c>
      <c r="BJ20" s="318"/>
      <c r="BK20" s="336" t="s">
        <v>846</v>
      </c>
      <c r="BL20" s="337"/>
      <c r="BM20" s="336" t="s">
        <v>846</v>
      </c>
      <c r="BN20" s="336" t="s">
        <v>846</v>
      </c>
      <c r="BO20" s="318"/>
      <c r="BP20" s="336" t="s">
        <v>846</v>
      </c>
      <c r="BQ20" s="338"/>
      <c r="BR20" s="339" t="s">
        <v>846</v>
      </c>
      <c r="BS20" s="330">
        <f t="shared" si="3"/>
        <v>0</v>
      </c>
      <c r="BT20" s="331">
        <f t="shared" si="4"/>
        <v>0</v>
      </c>
      <c r="BU20" s="331"/>
      <c r="BV20" s="333"/>
      <c r="BW20" s="330"/>
      <c r="BX20" s="331"/>
      <c r="BY20" s="331"/>
      <c r="BZ20" s="340"/>
      <c r="CA20" s="316"/>
      <c r="CB20" s="318"/>
      <c r="CC20" s="318"/>
      <c r="CD20" s="318"/>
      <c r="CE20" s="318"/>
      <c r="CF20" s="318"/>
      <c r="CG20" s="318"/>
      <c r="CH20" s="318"/>
      <c r="CI20" s="338"/>
      <c r="CJ20" s="341"/>
      <c r="CK20" s="342">
        <f t="shared" si="5"/>
        <v>0</v>
      </c>
      <c r="CL20" s="333">
        <f t="shared" si="6"/>
        <v>0</v>
      </c>
      <c r="CM20" s="346" t="s">
        <v>876</v>
      </c>
      <c r="CN20" s="347"/>
      <c r="CO20" s="347"/>
      <c r="CP20" s="347"/>
    </row>
    <row r="21">
      <c r="B21" s="316"/>
      <c r="C21" s="317">
        <v>43257.0</v>
      </c>
      <c r="D21" s="318"/>
      <c r="E21" s="319"/>
      <c r="F21" s="324" t="s">
        <v>877</v>
      </c>
      <c r="G21" s="321">
        <v>0.4284722222222222</v>
      </c>
      <c r="H21" s="322"/>
      <c r="I21" s="322"/>
      <c r="J21" s="322"/>
      <c r="K21" s="323">
        <v>0.4340277777777778</v>
      </c>
      <c r="L21" s="323">
        <v>0.3333333333333333</v>
      </c>
      <c r="M21" s="319" t="s">
        <v>358</v>
      </c>
      <c r="N21" s="324"/>
      <c r="O21" s="325" t="s">
        <v>841</v>
      </c>
      <c r="P21" s="319"/>
      <c r="Q21" s="319" t="s">
        <v>851</v>
      </c>
      <c r="R21" s="326" t="s">
        <v>864</v>
      </c>
      <c r="S21" s="319"/>
      <c r="T21" s="324"/>
      <c r="U21" s="319">
        <v>46.0</v>
      </c>
      <c r="V21" s="319"/>
      <c r="W21" s="319"/>
      <c r="X21" s="319"/>
      <c r="Y21" s="319"/>
      <c r="Z21" s="318"/>
      <c r="AA21" s="318"/>
      <c r="AB21" s="319" t="s">
        <v>865</v>
      </c>
      <c r="AC21" s="327"/>
      <c r="AD21" s="319"/>
      <c r="AE21" s="319"/>
      <c r="AF21" s="319"/>
      <c r="AG21" s="319"/>
      <c r="AH21" s="319"/>
      <c r="AI21" s="319"/>
      <c r="AJ21" s="327"/>
      <c r="AK21" s="328"/>
      <c r="AL21" s="319"/>
      <c r="AM21" s="319"/>
      <c r="AN21" s="319"/>
      <c r="AO21" s="319"/>
      <c r="AP21" s="319"/>
      <c r="AQ21" s="319"/>
      <c r="AR21" s="319"/>
      <c r="AS21" s="327"/>
      <c r="AT21" s="344"/>
      <c r="AU21" s="324" t="s">
        <v>846</v>
      </c>
      <c r="AV21" s="330"/>
      <c r="AW21" s="331"/>
      <c r="AX21" s="331"/>
      <c r="AY21" s="331"/>
      <c r="AZ21" s="331"/>
      <c r="BA21" s="331"/>
      <c r="BB21" s="331"/>
      <c r="BC21" s="331"/>
      <c r="BD21" s="318"/>
      <c r="BE21" s="332"/>
      <c r="BF21" s="330">
        <f t="shared" si="1"/>
        <v>0</v>
      </c>
      <c r="BG21" s="333">
        <f t="shared" si="2"/>
        <v>0</v>
      </c>
      <c r="BH21" s="334"/>
      <c r="BI21" s="335" t="s">
        <v>846</v>
      </c>
      <c r="BJ21" s="318"/>
      <c r="BK21" s="336" t="s">
        <v>846</v>
      </c>
      <c r="BL21" s="337"/>
      <c r="BM21" s="336" t="s">
        <v>846</v>
      </c>
      <c r="BN21" s="336" t="s">
        <v>846</v>
      </c>
      <c r="BO21" s="318"/>
      <c r="BP21" s="336" t="s">
        <v>846</v>
      </c>
      <c r="BQ21" s="338"/>
      <c r="BR21" s="339" t="s">
        <v>846</v>
      </c>
      <c r="BS21" s="330">
        <f t="shared" si="3"/>
        <v>0</v>
      </c>
      <c r="BT21" s="331">
        <f t="shared" si="4"/>
        <v>0</v>
      </c>
      <c r="BU21" s="331"/>
      <c r="BV21" s="333"/>
      <c r="BW21" s="330"/>
      <c r="BX21" s="331"/>
      <c r="BY21" s="331"/>
      <c r="BZ21" s="340"/>
      <c r="CA21" s="316"/>
      <c r="CB21" s="318"/>
      <c r="CC21" s="318"/>
      <c r="CD21" s="318"/>
      <c r="CE21" s="318"/>
      <c r="CF21" s="318"/>
      <c r="CG21" s="318"/>
      <c r="CH21" s="318"/>
      <c r="CI21" s="338"/>
      <c r="CJ21" s="341"/>
      <c r="CK21" s="342">
        <f t="shared" si="5"/>
        <v>0</v>
      </c>
      <c r="CL21" s="333">
        <f t="shared" si="6"/>
        <v>0</v>
      </c>
      <c r="CM21" s="346" t="s">
        <v>878</v>
      </c>
      <c r="CN21" s="347"/>
      <c r="CO21" s="347"/>
      <c r="CP21" s="347"/>
    </row>
    <row r="22">
      <c r="B22" s="316"/>
      <c r="C22" s="317">
        <v>43257.0</v>
      </c>
      <c r="D22" s="318"/>
      <c r="E22" s="319"/>
      <c r="F22" s="324" t="s">
        <v>879</v>
      </c>
      <c r="G22" s="321">
        <v>0.4284722222222222</v>
      </c>
      <c r="H22" s="322"/>
      <c r="I22" s="322"/>
      <c r="J22" s="322"/>
      <c r="K22" s="323">
        <v>0.4409722222222222</v>
      </c>
      <c r="L22" s="323">
        <v>0.75</v>
      </c>
      <c r="M22" s="319" t="s">
        <v>358</v>
      </c>
      <c r="N22" s="324"/>
      <c r="O22" s="325" t="s">
        <v>841</v>
      </c>
      <c r="P22" s="319"/>
      <c r="Q22" s="319" t="s">
        <v>851</v>
      </c>
      <c r="R22" s="326" t="s">
        <v>864</v>
      </c>
      <c r="S22" s="319"/>
      <c r="T22" s="324"/>
      <c r="U22" s="319">
        <v>100.0</v>
      </c>
      <c r="V22" s="319"/>
      <c r="W22" s="319"/>
      <c r="X22" s="319"/>
      <c r="Y22" s="319"/>
      <c r="Z22" s="318"/>
      <c r="AA22" s="318"/>
      <c r="AB22" s="319" t="s">
        <v>865</v>
      </c>
      <c r="AC22" s="327"/>
      <c r="AD22" s="319"/>
      <c r="AE22" s="319"/>
      <c r="AF22" s="319"/>
      <c r="AG22" s="319"/>
      <c r="AH22" s="319"/>
      <c r="AI22" s="319"/>
      <c r="AJ22" s="327"/>
      <c r="AK22" s="328"/>
      <c r="AL22" s="319"/>
      <c r="AM22" s="319"/>
      <c r="AN22" s="319"/>
      <c r="AO22" s="319"/>
      <c r="AP22" s="319"/>
      <c r="AQ22" s="319"/>
      <c r="AR22" s="319"/>
      <c r="AS22" s="327"/>
      <c r="AT22" s="344"/>
      <c r="AU22" s="324" t="s">
        <v>846</v>
      </c>
      <c r="AV22" s="330"/>
      <c r="AW22" s="331"/>
      <c r="AX22" s="331"/>
      <c r="AY22" s="331"/>
      <c r="AZ22" s="331"/>
      <c r="BA22" s="331"/>
      <c r="BB22" s="331"/>
      <c r="BC22" s="331"/>
      <c r="BD22" s="318"/>
      <c r="BE22" s="332"/>
      <c r="BF22" s="330">
        <f t="shared" si="1"/>
        <v>0</v>
      </c>
      <c r="BG22" s="333">
        <f t="shared" si="2"/>
        <v>0</v>
      </c>
      <c r="BH22" s="334"/>
      <c r="BI22" s="335" t="s">
        <v>846</v>
      </c>
      <c r="BJ22" s="318"/>
      <c r="BK22" s="336" t="s">
        <v>846</v>
      </c>
      <c r="BL22" s="337"/>
      <c r="BM22" s="336" t="s">
        <v>846</v>
      </c>
      <c r="BN22" s="336" t="s">
        <v>846</v>
      </c>
      <c r="BO22" s="318"/>
      <c r="BP22" s="336" t="s">
        <v>846</v>
      </c>
      <c r="BQ22" s="338"/>
      <c r="BR22" s="339" t="s">
        <v>846</v>
      </c>
      <c r="BS22" s="330">
        <f t="shared" si="3"/>
        <v>0</v>
      </c>
      <c r="BT22" s="331">
        <f t="shared" si="4"/>
        <v>0</v>
      </c>
      <c r="BU22" s="331"/>
      <c r="BV22" s="333"/>
      <c r="BW22" s="330"/>
      <c r="BX22" s="331"/>
      <c r="BY22" s="331"/>
      <c r="BZ22" s="340"/>
      <c r="CA22" s="316"/>
      <c r="CB22" s="318"/>
      <c r="CC22" s="318"/>
      <c r="CD22" s="318"/>
      <c r="CE22" s="318"/>
      <c r="CF22" s="318"/>
      <c r="CG22" s="318"/>
      <c r="CH22" s="318"/>
      <c r="CI22" s="338"/>
      <c r="CJ22" s="341"/>
      <c r="CK22" s="342">
        <f t="shared" si="5"/>
        <v>0</v>
      </c>
      <c r="CL22" s="333">
        <f t="shared" si="6"/>
        <v>0</v>
      </c>
      <c r="CM22" s="346" t="s">
        <v>880</v>
      </c>
      <c r="CN22" s="347"/>
      <c r="CO22" s="347"/>
      <c r="CP22" s="347"/>
    </row>
    <row r="23">
      <c r="B23" s="316"/>
      <c r="C23" s="317">
        <v>43257.0</v>
      </c>
      <c r="D23" s="318"/>
      <c r="E23" s="319"/>
      <c r="F23" s="324" t="s">
        <v>881</v>
      </c>
      <c r="G23" s="321">
        <v>0.45902777777777776</v>
      </c>
      <c r="H23" s="322"/>
      <c r="I23" s="322"/>
      <c r="J23" s="322"/>
      <c r="K23" s="323">
        <v>0.4625</v>
      </c>
      <c r="L23" s="323">
        <v>0.20833333333333334</v>
      </c>
      <c r="M23" s="319" t="s">
        <v>358</v>
      </c>
      <c r="N23" s="324"/>
      <c r="O23" s="325" t="s">
        <v>841</v>
      </c>
      <c r="P23" s="319"/>
      <c r="Q23" s="319" t="s">
        <v>842</v>
      </c>
      <c r="R23" s="326" t="s">
        <v>843</v>
      </c>
      <c r="S23" s="319"/>
      <c r="T23" s="324"/>
      <c r="U23" s="319">
        <v>8.0</v>
      </c>
      <c r="V23" s="319"/>
      <c r="W23" s="319"/>
      <c r="X23" s="319"/>
      <c r="Y23" s="319"/>
      <c r="Z23" s="318"/>
      <c r="AA23" s="318"/>
      <c r="AB23" s="319" t="s">
        <v>844</v>
      </c>
      <c r="AC23" s="327"/>
      <c r="AD23" s="319"/>
      <c r="AE23" s="319"/>
      <c r="AF23" s="319"/>
      <c r="AG23" s="319"/>
      <c r="AH23" s="319"/>
      <c r="AI23" s="319"/>
      <c r="AJ23" s="327"/>
      <c r="AK23" s="328"/>
      <c r="AL23" s="319"/>
      <c r="AM23" s="319"/>
      <c r="AN23" s="319"/>
      <c r="AO23" s="319"/>
      <c r="AP23" s="319"/>
      <c r="AQ23" s="319"/>
      <c r="AR23" s="319"/>
      <c r="AS23" s="327"/>
      <c r="AT23" s="344"/>
      <c r="AU23" s="345" t="s">
        <v>845</v>
      </c>
      <c r="AV23" s="330"/>
      <c r="AW23" s="331"/>
      <c r="AX23" s="331"/>
      <c r="AY23" s="331"/>
      <c r="AZ23" s="331"/>
      <c r="BA23" s="331"/>
      <c r="BB23" s="331"/>
      <c r="BC23" s="331"/>
      <c r="BD23" s="318"/>
      <c r="BE23" s="332"/>
      <c r="BF23" s="330">
        <f t="shared" si="1"/>
        <v>0</v>
      </c>
      <c r="BG23" s="333">
        <f t="shared" si="2"/>
        <v>0</v>
      </c>
      <c r="BH23" s="334"/>
      <c r="BI23" s="335" t="s">
        <v>846</v>
      </c>
      <c r="BJ23" s="318"/>
      <c r="BK23" s="336" t="s">
        <v>846</v>
      </c>
      <c r="BL23" s="337"/>
      <c r="BM23" s="336" t="s">
        <v>846</v>
      </c>
      <c r="BN23" s="336" t="s">
        <v>846</v>
      </c>
      <c r="BO23" s="318"/>
      <c r="BP23" s="336" t="s">
        <v>846</v>
      </c>
      <c r="BQ23" s="338"/>
      <c r="BR23" s="339" t="s">
        <v>846</v>
      </c>
      <c r="BS23" s="330">
        <f t="shared" si="3"/>
        <v>0</v>
      </c>
      <c r="BT23" s="331">
        <f t="shared" si="4"/>
        <v>0</v>
      </c>
      <c r="BU23" s="331"/>
      <c r="BV23" s="333"/>
      <c r="BW23" s="330"/>
      <c r="BX23" s="331"/>
      <c r="BY23" s="331"/>
      <c r="BZ23" s="340"/>
      <c r="CA23" s="316"/>
      <c r="CB23" s="318"/>
      <c r="CC23" s="318"/>
      <c r="CD23" s="318"/>
      <c r="CE23" s="318"/>
      <c r="CF23" s="318"/>
      <c r="CG23" s="318"/>
      <c r="CH23" s="318"/>
      <c r="CI23" s="338"/>
      <c r="CJ23" s="341"/>
      <c r="CK23" s="342">
        <f t="shared" si="5"/>
        <v>0</v>
      </c>
      <c r="CL23" s="333">
        <f t="shared" si="6"/>
        <v>0</v>
      </c>
      <c r="CM23" s="346" t="s">
        <v>882</v>
      </c>
      <c r="CN23" s="347"/>
      <c r="CO23" s="347"/>
      <c r="CP23" s="347"/>
    </row>
    <row r="24">
      <c r="B24" s="316"/>
      <c r="C24" s="317">
        <v>43257.0</v>
      </c>
      <c r="D24" s="318"/>
      <c r="E24" s="319"/>
      <c r="F24" s="324" t="s">
        <v>883</v>
      </c>
      <c r="G24" s="321">
        <v>0.46597222222222223</v>
      </c>
      <c r="H24" s="322"/>
      <c r="I24" s="322"/>
      <c r="J24" s="322"/>
      <c r="K24" s="323">
        <v>0.46875</v>
      </c>
      <c r="L24" s="323">
        <v>0.16666666666666666</v>
      </c>
      <c r="M24" s="319" t="s">
        <v>358</v>
      </c>
      <c r="N24" s="324"/>
      <c r="O24" s="325" t="s">
        <v>841</v>
      </c>
      <c r="P24" s="319"/>
      <c r="Q24" s="319" t="s">
        <v>842</v>
      </c>
      <c r="R24" s="326" t="s">
        <v>843</v>
      </c>
      <c r="S24" s="319"/>
      <c r="T24" s="324"/>
      <c r="U24" s="319">
        <v>8.0</v>
      </c>
      <c r="V24" s="319"/>
      <c r="W24" s="319"/>
      <c r="X24" s="319"/>
      <c r="Y24" s="319"/>
      <c r="Z24" s="318"/>
      <c r="AA24" s="318"/>
      <c r="AB24" s="319" t="s">
        <v>844</v>
      </c>
      <c r="AC24" s="327"/>
      <c r="AD24" s="319"/>
      <c r="AE24" s="319"/>
      <c r="AF24" s="319"/>
      <c r="AG24" s="319"/>
      <c r="AH24" s="319"/>
      <c r="AI24" s="319"/>
      <c r="AJ24" s="327"/>
      <c r="AK24" s="328"/>
      <c r="AL24" s="319"/>
      <c r="AM24" s="319"/>
      <c r="AN24" s="319"/>
      <c r="AO24" s="319"/>
      <c r="AP24" s="319"/>
      <c r="AQ24" s="319"/>
      <c r="AR24" s="319"/>
      <c r="AS24" s="327"/>
      <c r="AT24" s="344"/>
      <c r="AU24" s="345" t="s">
        <v>845</v>
      </c>
      <c r="AV24" s="330"/>
      <c r="AW24" s="331"/>
      <c r="AX24" s="331"/>
      <c r="AY24" s="331"/>
      <c r="AZ24" s="331"/>
      <c r="BA24" s="331"/>
      <c r="BB24" s="331"/>
      <c r="BC24" s="331"/>
      <c r="BD24" s="318"/>
      <c r="BE24" s="332"/>
      <c r="BF24" s="330">
        <f t="shared" si="1"/>
        <v>0</v>
      </c>
      <c r="BG24" s="333">
        <f t="shared" si="2"/>
        <v>0</v>
      </c>
      <c r="BH24" s="334"/>
      <c r="BI24" s="335" t="s">
        <v>846</v>
      </c>
      <c r="BJ24" s="318"/>
      <c r="BK24" s="336" t="s">
        <v>846</v>
      </c>
      <c r="BL24" s="337"/>
      <c r="BM24" s="336" t="s">
        <v>846</v>
      </c>
      <c r="BN24" s="336" t="s">
        <v>846</v>
      </c>
      <c r="BO24" s="318"/>
      <c r="BP24" s="336" t="s">
        <v>846</v>
      </c>
      <c r="BQ24" s="338"/>
      <c r="BR24" s="339" t="s">
        <v>846</v>
      </c>
      <c r="BS24" s="330">
        <f t="shared" si="3"/>
        <v>0</v>
      </c>
      <c r="BT24" s="331">
        <f t="shared" si="4"/>
        <v>0</v>
      </c>
      <c r="BU24" s="331"/>
      <c r="BV24" s="333"/>
      <c r="BW24" s="330"/>
      <c r="BX24" s="331"/>
      <c r="BY24" s="331"/>
      <c r="BZ24" s="340"/>
      <c r="CA24" s="316"/>
      <c r="CB24" s="318"/>
      <c r="CC24" s="318"/>
      <c r="CD24" s="318"/>
      <c r="CE24" s="318"/>
      <c r="CF24" s="318"/>
      <c r="CG24" s="318"/>
      <c r="CH24" s="318"/>
      <c r="CI24" s="338"/>
      <c r="CJ24" s="341"/>
      <c r="CK24" s="342">
        <f t="shared" si="5"/>
        <v>0</v>
      </c>
      <c r="CL24" s="333">
        <f t="shared" si="6"/>
        <v>0</v>
      </c>
      <c r="CM24" s="346" t="s">
        <v>884</v>
      </c>
      <c r="CN24" s="347"/>
      <c r="CO24" s="347"/>
      <c r="CP24" s="347"/>
    </row>
    <row r="25">
      <c r="B25" s="316"/>
      <c r="C25" s="317">
        <v>43257.0</v>
      </c>
      <c r="D25" s="318"/>
      <c r="E25" s="319"/>
      <c r="F25" s="324" t="s">
        <v>885</v>
      </c>
      <c r="G25" s="321">
        <v>0.4722222222222222</v>
      </c>
      <c r="H25" s="322"/>
      <c r="I25" s="322"/>
      <c r="J25" s="322"/>
      <c r="K25" s="323">
        <v>0.475</v>
      </c>
      <c r="L25" s="323">
        <v>0.16666666666666666</v>
      </c>
      <c r="M25" s="319" t="s">
        <v>358</v>
      </c>
      <c r="N25" s="324"/>
      <c r="O25" s="325" t="s">
        <v>841</v>
      </c>
      <c r="P25" s="319"/>
      <c r="Q25" s="319" t="s">
        <v>842</v>
      </c>
      <c r="R25" s="326" t="s">
        <v>843</v>
      </c>
      <c r="S25" s="319"/>
      <c r="T25" s="324"/>
      <c r="U25" s="319">
        <v>7.6</v>
      </c>
      <c r="V25" s="319"/>
      <c r="W25" s="319"/>
      <c r="X25" s="319"/>
      <c r="Y25" s="319"/>
      <c r="Z25" s="318"/>
      <c r="AA25" s="318"/>
      <c r="AB25" s="319" t="s">
        <v>886</v>
      </c>
      <c r="AC25" s="327"/>
      <c r="AD25" s="319"/>
      <c r="AE25" s="319"/>
      <c r="AF25" s="319"/>
      <c r="AG25" s="319"/>
      <c r="AH25" s="319"/>
      <c r="AI25" s="319"/>
      <c r="AJ25" s="327"/>
      <c r="AK25" s="328"/>
      <c r="AL25" s="319"/>
      <c r="AM25" s="319"/>
      <c r="AN25" s="319"/>
      <c r="AO25" s="319"/>
      <c r="AP25" s="319"/>
      <c r="AQ25" s="319"/>
      <c r="AR25" s="319"/>
      <c r="AS25" s="327"/>
      <c r="AT25" s="344"/>
      <c r="AU25" s="345" t="s">
        <v>845</v>
      </c>
      <c r="AV25" s="330"/>
      <c r="AW25" s="331"/>
      <c r="AX25" s="331"/>
      <c r="AY25" s="331"/>
      <c r="AZ25" s="331"/>
      <c r="BA25" s="331"/>
      <c r="BB25" s="331"/>
      <c r="BC25" s="331"/>
      <c r="BD25" s="318"/>
      <c r="BE25" s="332"/>
      <c r="BF25" s="330">
        <f t="shared" si="1"/>
        <v>0</v>
      </c>
      <c r="BG25" s="333">
        <f t="shared" si="2"/>
        <v>0</v>
      </c>
      <c r="BH25" s="334"/>
      <c r="BI25" s="335" t="s">
        <v>846</v>
      </c>
      <c r="BJ25" s="318"/>
      <c r="BK25" s="336" t="s">
        <v>846</v>
      </c>
      <c r="BL25" s="337"/>
      <c r="BM25" s="336" t="s">
        <v>846</v>
      </c>
      <c r="BN25" s="336" t="s">
        <v>846</v>
      </c>
      <c r="BO25" s="318"/>
      <c r="BP25" s="336" t="s">
        <v>846</v>
      </c>
      <c r="BQ25" s="338"/>
      <c r="BR25" s="339" t="s">
        <v>846</v>
      </c>
      <c r="BS25" s="330">
        <f t="shared" si="3"/>
        <v>0</v>
      </c>
      <c r="BT25" s="331">
        <f t="shared" si="4"/>
        <v>0</v>
      </c>
      <c r="BU25" s="331"/>
      <c r="BV25" s="333"/>
      <c r="BW25" s="330"/>
      <c r="BX25" s="331"/>
      <c r="BY25" s="331"/>
      <c r="BZ25" s="340"/>
      <c r="CA25" s="316"/>
      <c r="CB25" s="318"/>
      <c r="CC25" s="318"/>
      <c r="CD25" s="318"/>
      <c r="CE25" s="318"/>
      <c r="CF25" s="318"/>
      <c r="CG25" s="318"/>
      <c r="CH25" s="318"/>
      <c r="CI25" s="338"/>
      <c r="CJ25" s="341"/>
      <c r="CK25" s="342">
        <f t="shared" si="5"/>
        <v>0</v>
      </c>
      <c r="CL25" s="333">
        <f t="shared" si="6"/>
        <v>0</v>
      </c>
      <c r="CM25" s="346" t="s">
        <v>887</v>
      </c>
      <c r="CN25" s="347"/>
      <c r="CO25" s="347"/>
      <c r="CP25" s="347"/>
    </row>
    <row r="26">
      <c r="B26" s="316"/>
      <c r="C26" s="317">
        <v>43257.0</v>
      </c>
      <c r="D26" s="318"/>
      <c r="E26" s="319"/>
      <c r="F26" s="324" t="s">
        <v>888</v>
      </c>
      <c r="G26" s="321" t="s">
        <v>861</v>
      </c>
      <c r="H26" s="322"/>
      <c r="I26" s="322"/>
      <c r="J26" s="322"/>
      <c r="K26" s="323">
        <v>0.4888888888888889</v>
      </c>
      <c r="L26" s="323"/>
      <c r="M26" s="319" t="s">
        <v>358</v>
      </c>
      <c r="N26" s="324"/>
      <c r="O26" s="325" t="s">
        <v>841</v>
      </c>
      <c r="P26" s="319"/>
      <c r="Q26" s="319" t="s">
        <v>842</v>
      </c>
      <c r="R26" s="326" t="s">
        <v>843</v>
      </c>
      <c r="S26" s="319"/>
      <c r="T26" s="324"/>
      <c r="U26" s="319">
        <v>3.0</v>
      </c>
      <c r="V26" s="319"/>
      <c r="W26" s="319"/>
      <c r="X26" s="319"/>
      <c r="Y26" s="319"/>
      <c r="Z26" s="318"/>
      <c r="AA26" s="318"/>
      <c r="AB26" s="319" t="s">
        <v>889</v>
      </c>
      <c r="AC26" s="327"/>
      <c r="AD26" s="319"/>
      <c r="AE26" s="319"/>
      <c r="AF26" s="319"/>
      <c r="AG26" s="319"/>
      <c r="AH26" s="319"/>
      <c r="AI26" s="319"/>
      <c r="AJ26" s="327"/>
      <c r="AK26" s="328"/>
      <c r="AL26" s="319"/>
      <c r="AM26" s="319"/>
      <c r="AN26" s="319"/>
      <c r="AO26" s="319"/>
      <c r="AP26" s="319"/>
      <c r="AQ26" s="319"/>
      <c r="AR26" s="319"/>
      <c r="AS26" s="327"/>
      <c r="AT26" s="344"/>
      <c r="AU26" s="345" t="s">
        <v>845</v>
      </c>
      <c r="AV26" s="330"/>
      <c r="AW26" s="331"/>
      <c r="AX26" s="331"/>
      <c r="AY26" s="331"/>
      <c r="AZ26" s="331"/>
      <c r="BA26" s="331"/>
      <c r="BB26" s="331"/>
      <c r="BC26" s="331"/>
      <c r="BD26" s="318"/>
      <c r="BE26" s="332"/>
      <c r="BF26" s="330">
        <f t="shared" si="1"/>
        <v>0</v>
      </c>
      <c r="BG26" s="333">
        <f t="shared" si="2"/>
        <v>0</v>
      </c>
      <c r="BH26" s="334"/>
      <c r="BI26" s="335" t="s">
        <v>846</v>
      </c>
      <c r="BJ26" s="318"/>
      <c r="BK26" s="336" t="s">
        <v>846</v>
      </c>
      <c r="BL26" s="337"/>
      <c r="BM26" s="336" t="s">
        <v>846</v>
      </c>
      <c r="BN26" s="336" t="s">
        <v>846</v>
      </c>
      <c r="BO26" s="318"/>
      <c r="BP26" s="336" t="s">
        <v>846</v>
      </c>
      <c r="BQ26" s="338"/>
      <c r="BR26" s="339" t="s">
        <v>846</v>
      </c>
      <c r="BS26" s="330">
        <f t="shared" si="3"/>
        <v>0</v>
      </c>
      <c r="BT26" s="331">
        <f t="shared" si="4"/>
        <v>0</v>
      </c>
      <c r="BU26" s="331"/>
      <c r="BV26" s="333"/>
      <c r="BW26" s="330"/>
      <c r="BX26" s="331"/>
      <c r="BY26" s="331"/>
      <c r="BZ26" s="340"/>
      <c r="CA26" s="316"/>
      <c r="CB26" s="318"/>
      <c r="CC26" s="318"/>
      <c r="CD26" s="318"/>
      <c r="CE26" s="318"/>
      <c r="CF26" s="318"/>
      <c r="CG26" s="318"/>
      <c r="CH26" s="318"/>
      <c r="CI26" s="338"/>
      <c r="CJ26" s="341"/>
      <c r="CK26" s="342">
        <f t="shared" si="5"/>
        <v>0</v>
      </c>
      <c r="CL26" s="333">
        <f t="shared" si="6"/>
        <v>0</v>
      </c>
      <c r="CM26" s="346" t="s">
        <v>890</v>
      </c>
      <c r="CN26" s="347"/>
      <c r="CO26" s="347"/>
      <c r="CP26" s="347"/>
    </row>
    <row r="27">
      <c r="B27" s="316"/>
      <c r="C27" s="317">
        <v>43257.0</v>
      </c>
      <c r="D27" s="318"/>
      <c r="E27" s="319"/>
      <c r="F27" s="324" t="s">
        <v>891</v>
      </c>
      <c r="G27" s="321">
        <v>0.49027777777777776</v>
      </c>
      <c r="H27" s="322"/>
      <c r="I27" s="322"/>
      <c r="J27" s="322"/>
      <c r="K27" s="323">
        <v>0.49166666666666664</v>
      </c>
      <c r="L27" s="323">
        <v>0.08333333333333333</v>
      </c>
      <c r="M27" s="319" t="s">
        <v>358</v>
      </c>
      <c r="N27" s="324"/>
      <c r="O27" s="325" t="s">
        <v>841</v>
      </c>
      <c r="P27" s="319"/>
      <c r="Q27" s="319" t="s">
        <v>842</v>
      </c>
      <c r="R27" s="326" t="s">
        <v>843</v>
      </c>
      <c r="S27" s="319"/>
      <c r="T27" s="324"/>
      <c r="U27" s="319">
        <v>3.0</v>
      </c>
      <c r="V27" s="319"/>
      <c r="W27" s="319"/>
      <c r="X27" s="319"/>
      <c r="Y27" s="319"/>
      <c r="Z27" s="318"/>
      <c r="AA27" s="318"/>
      <c r="AB27" s="319" t="s">
        <v>889</v>
      </c>
      <c r="AC27" s="327"/>
      <c r="AD27" s="319"/>
      <c r="AE27" s="319"/>
      <c r="AF27" s="319"/>
      <c r="AG27" s="319"/>
      <c r="AH27" s="319"/>
      <c r="AI27" s="319"/>
      <c r="AJ27" s="327"/>
      <c r="AK27" s="328"/>
      <c r="AL27" s="319"/>
      <c r="AM27" s="319"/>
      <c r="AN27" s="319"/>
      <c r="AO27" s="319"/>
      <c r="AP27" s="319"/>
      <c r="AQ27" s="319"/>
      <c r="AR27" s="319"/>
      <c r="AS27" s="327"/>
      <c r="AT27" s="344"/>
      <c r="AU27" s="345" t="s">
        <v>845</v>
      </c>
      <c r="AV27" s="330"/>
      <c r="AW27" s="331"/>
      <c r="AX27" s="331"/>
      <c r="AY27" s="331"/>
      <c r="AZ27" s="331"/>
      <c r="BA27" s="331"/>
      <c r="BB27" s="331"/>
      <c r="BC27" s="331"/>
      <c r="BD27" s="318"/>
      <c r="BE27" s="332"/>
      <c r="BF27" s="330">
        <f t="shared" si="1"/>
        <v>0</v>
      </c>
      <c r="BG27" s="333">
        <f t="shared" si="2"/>
        <v>0</v>
      </c>
      <c r="BH27" s="334"/>
      <c r="BI27" s="335" t="s">
        <v>846</v>
      </c>
      <c r="BJ27" s="318"/>
      <c r="BK27" s="336" t="s">
        <v>846</v>
      </c>
      <c r="BL27" s="337"/>
      <c r="BM27" s="336" t="s">
        <v>846</v>
      </c>
      <c r="BN27" s="336" t="s">
        <v>846</v>
      </c>
      <c r="BO27" s="318"/>
      <c r="BP27" s="336" t="s">
        <v>846</v>
      </c>
      <c r="BQ27" s="338"/>
      <c r="BR27" s="339" t="s">
        <v>846</v>
      </c>
      <c r="BS27" s="330">
        <f t="shared" si="3"/>
        <v>0</v>
      </c>
      <c r="BT27" s="331">
        <f t="shared" si="4"/>
        <v>0</v>
      </c>
      <c r="BU27" s="331"/>
      <c r="BV27" s="333"/>
      <c r="BW27" s="330"/>
      <c r="BX27" s="331"/>
      <c r="BY27" s="331"/>
      <c r="BZ27" s="340"/>
      <c r="CA27" s="316"/>
      <c r="CB27" s="318"/>
      <c r="CC27" s="318"/>
      <c r="CD27" s="318"/>
      <c r="CE27" s="318"/>
      <c r="CF27" s="318"/>
      <c r="CG27" s="318"/>
      <c r="CH27" s="318"/>
      <c r="CI27" s="338"/>
      <c r="CJ27" s="341"/>
      <c r="CK27" s="342">
        <f t="shared" si="5"/>
        <v>0</v>
      </c>
      <c r="CL27" s="333">
        <f t="shared" si="6"/>
        <v>0</v>
      </c>
      <c r="CM27" s="346" t="s">
        <v>892</v>
      </c>
      <c r="CN27" s="347"/>
      <c r="CO27" s="347"/>
      <c r="CP27" s="347"/>
    </row>
    <row r="28">
      <c r="B28" s="316"/>
      <c r="C28" s="317">
        <v>43257.0</v>
      </c>
      <c r="D28" s="318"/>
      <c r="E28" s="319"/>
      <c r="F28" s="324" t="s">
        <v>893</v>
      </c>
      <c r="G28" s="321">
        <v>0.49444444444444446</v>
      </c>
      <c r="H28" s="322"/>
      <c r="I28" s="322"/>
      <c r="J28" s="322"/>
      <c r="K28" s="323">
        <v>0.4965277777777778</v>
      </c>
      <c r="L28" s="323">
        <v>0.125</v>
      </c>
      <c r="M28" s="319" t="s">
        <v>358</v>
      </c>
      <c r="N28" s="324"/>
      <c r="O28" s="325" t="s">
        <v>841</v>
      </c>
      <c r="P28" s="319"/>
      <c r="Q28" s="319" t="s">
        <v>842</v>
      </c>
      <c r="R28" s="326" t="s">
        <v>843</v>
      </c>
      <c r="S28" s="319"/>
      <c r="T28" s="324"/>
      <c r="U28" s="319">
        <v>3.0</v>
      </c>
      <c r="V28" s="319"/>
      <c r="W28" s="319"/>
      <c r="X28" s="319"/>
      <c r="Y28" s="319"/>
      <c r="Z28" s="318"/>
      <c r="AA28" s="318"/>
      <c r="AB28" s="319" t="s">
        <v>894</v>
      </c>
      <c r="AC28" s="327"/>
      <c r="AD28" s="319"/>
      <c r="AE28" s="319"/>
      <c r="AF28" s="319"/>
      <c r="AG28" s="319"/>
      <c r="AH28" s="319"/>
      <c r="AI28" s="319"/>
      <c r="AJ28" s="327"/>
      <c r="AK28" s="328"/>
      <c r="AL28" s="319"/>
      <c r="AM28" s="319"/>
      <c r="AN28" s="319"/>
      <c r="AO28" s="319"/>
      <c r="AP28" s="319"/>
      <c r="AQ28" s="319"/>
      <c r="AR28" s="319"/>
      <c r="AS28" s="327"/>
      <c r="AT28" s="344"/>
      <c r="AU28" s="345" t="s">
        <v>845</v>
      </c>
      <c r="AV28" s="330"/>
      <c r="AW28" s="331"/>
      <c r="AX28" s="331"/>
      <c r="AY28" s="331"/>
      <c r="AZ28" s="331"/>
      <c r="BA28" s="331"/>
      <c r="BB28" s="331"/>
      <c r="BC28" s="331"/>
      <c r="BD28" s="318"/>
      <c r="BE28" s="332"/>
      <c r="BF28" s="330">
        <f t="shared" si="1"/>
        <v>0</v>
      </c>
      <c r="BG28" s="333">
        <f t="shared" si="2"/>
        <v>0</v>
      </c>
      <c r="BH28" s="334"/>
      <c r="BI28" s="335" t="s">
        <v>846</v>
      </c>
      <c r="BJ28" s="318"/>
      <c r="BK28" s="336" t="s">
        <v>846</v>
      </c>
      <c r="BL28" s="337"/>
      <c r="BM28" s="336" t="s">
        <v>846</v>
      </c>
      <c r="BN28" s="336" t="s">
        <v>846</v>
      </c>
      <c r="BO28" s="318"/>
      <c r="BP28" s="336" t="s">
        <v>846</v>
      </c>
      <c r="BQ28" s="338"/>
      <c r="BR28" s="339" t="s">
        <v>846</v>
      </c>
      <c r="BS28" s="330">
        <f t="shared" si="3"/>
        <v>0</v>
      </c>
      <c r="BT28" s="331">
        <f t="shared" si="4"/>
        <v>0</v>
      </c>
      <c r="BU28" s="331"/>
      <c r="BV28" s="333"/>
      <c r="BW28" s="330"/>
      <c r="BX28" s="331"/>
      <c r="BY28" s="331"/>
      <c r="BZ28" s="340"/>
      <c r="CA28" s="316"/>
      <c r="CB28" s="318"/>
      <c r="CC28" s="318"/>
      <c r="CD28" s="318"/>
      <c r="CE28" s="318"/>
      <c r="CF28" s="318"/>
      <c r="CG28" s="318"/>
      <c r="CH28" s="318"/>
      <c r="CI28" s="338"/>
      <c r="CJ28" s="341"/>
      <c r="CK28" s="342">
        <f t="shared" si="5"/>
        <v>0</v>
      </c>
      <c r="CL28" s="333">
        <f t="shared" si="6"/>
        <v>0</v>
      </c>
      <c r="CM28" s="346" t="s">
        <v>895</v>
      </c>
      <c r="CN28" s="347"/>
      <c r="CO28" s="347"/>
      <c r="CP28" s="347"/>
    </row>
    <row r="29">
      <c r="B29" s="316"/>
      <c r="C29" s="317">
        <v>43257.0</v>
      </c>
      <c r="D29" s="318"/>
      <c r="E29" s="319"/>
      <c r="F29" s="324" t="s">
        <v>896</v>
      </c>
      <c r="G29" s="321" t="s">
        <v>861</v>
      </c>
      <c r="H29" s="322"/>
      <c r="I29" s="322"/>
      <c r="J29" s="322"/>
      <c r="K29" s="323">
        <v>0.5041666666666667</v>
      </c>
      <c r="L29" s="323"/>
      <c r="M29" s="319" t="s">
        <v>358</v>
      </c>
      <c r="N29" s="324"/>
      <c r="O29" s="354" t="s">
        <v>841</v>
      </c>
      <c r="P29" s="319"/>
      <c r="Q29" s="319" t="s">
        <v>842</v>
      </c>
      <c r="R29" s="326" t="s">
        <v>843</v>
      </c>
      <c r="S29" s="319"/>
      <c r="T29" s="324"/>
      <c r="U29" s="319">
        <v>1.5</v>
      </c>
      <c r="V29" s="319"/>
      <c r="W29" s="319"/>
      <c r="X29" s="319"/>
      <c r="Y29" s="319"/>
      <c r="Z29" s="318"/>
      <c r="AA29" s="318"/>
      <c r="AB29" s="319" t="s">
        <v>894</v>
      </c>
      <c r="AC29" s="327"/>
      <c r="AD29" s="319"/>
      <c r="AE29" s="319"/>
      <c r="AF29" s="319"/>
      <c r="AG29" s="319"/>
      <c r="AH29" s="319"/>
      <c r="AI29" s="319"/>
      <c r="AJ29" s="327"/>
      <c r="AK29" s="328"/>
      <c r="AL29" s="319"/>
      <c r="AM29" s="319"/>
      <c r="AN29" s="319"/>
      <c r="AO29" s="319"/>
      <c r="AP29" s="319"/>
      <c r="AQ29" s="319"/>
      <c r="AR29" s="319"/>
      <c r="AS29" s="327"/>
      <c r="AT29" s="344"/>
      <c r="AU29" s="345" t="s">
        <v>845</v>
      </c>
      <c r="AV29" s="330"/>
      <c r="AW29" s="331"/>
      <c r="AX29" s="331"/>
      <c r="AY29" s="331"/>
      <c r="AZ29" s="331"/>
      <c r="BA29" s="331"/>
      <c r="BB29" s="331"/>
      <c r="BC29" s="331"/>
      <c r="BD29" s="318"/>
      <c r="BE29" s="332"/>
      <c r="BF29" s="330">
        <f t="shared" si="1"/>
        <v>0</v>
      </c>
      <c r="BG29" s="333">
        <f t="shared" si="2"/>
        <v>0</v>
      </c>
      <c r="BH29" s="334"/>
      <c r="BI29" s="349" t="s">
        <v>846</v>
      </c>
      <c r="BJ29" s="318"/>
      <c r="BK29" s="350" t="s">
        <v>845</v>
      </c>
      <c r="BL29" s="351"/>
      <c r="BM29" s="350" t="s">
        <v>845</v>
      </c>
      <c r="BN29" s="350" t="s">
        <v>846</v>
      </c>
      <c r="BO29" s="318"/>
      <c r="BP29" s="350" t="s">
        <v>845</v>
      </c>
      <c r="BQ29" s="338"/>
      <c r="BR29" s="352" t="s">
        <v>846</v>
      </c>
      <c r="BS29" s="330">
        <f t="shared" si="3"/>
        <v>0</v>
      </c>
      <c r="BT29" s="331">
        <f t="shared" si="4"/>
        <v>0</v>
      </c>
      <c r="BU29" s="331"/>
      <c r="BV29" s="333"/>
      <c r="BW29" s="330"/>
      <c r="BX29" s="331"/>
      <c r="BY29" s="331"/>
      <c r="BZ29" s="340"/>
      <c r="CA29" s="316"/>
      <c r="CB29" s="318"/>
      <c r="CC29" s="318"/>
      <c r="CD29" s="318"/>
      <c r="CE29" s="318"/>
      <c r="CF29" s="318"/>
      <c r="CG29" s="318"/>
      <c r="CH29" s="318"/>
      <c r="CI29" s="338"/>
      <c r="CJ29" s="341"/>
      <c r="CK29" s="342">
        <f t="shared" si="5"/>
        <v>0</v>
      </c>
      <c r="CL29" s="333">
        <f t="shared" si="6"/>
        <v>0</v>
      </c>
      <c r="CM29" s="346" t="s">
        <v>897</v>
      </c>
      <c r="CN29" s="347"/>
      <c r="CO29" s="347"/>
      <c r="CP29" s="347"/>
    </row>
    <row r="30">
      <c r="B30" s="316"/>
      <c r="C30" s="317">
        <v>43257.0</v>
      </c>
      <c r="D30" s="318"/>
      <c r="E30" s="319"/>
      <c r="F30" s="324" t="s">
        <v>898</v>
      </c>
      <c r="G30" s="321">
        <v>0.6159722222222223</v>
      </c>
      <c r="H30" s="322"/>
      <c r="I30" s="322"/>
      <c r="J30" s="322"/>
      <c r="K30" s="323">
        <v>0.61875</v>
      </c>
      <c r="L30" s="323">
        <v>0.16666666666666666</v>
      </c>
      <c r="M30" s="319" t="s">
        <v>358</v>
      </c>
      <c r="N30" s="324"/>
      <c r="O30" s="354" t="s">
        <v>899</v>
      </c>
      <c r="P30" s="319"/>
      <c r="Q30" s="319" t="s">
        <v>235</v>
      </c>
      <c r="R30" s="326" t="s">
        <v>900</v>
      </c>
      <c r="S30" s="319"/>
      <c r="T30" s="324"/>
      <c r="U30" s="319">
        <v>2.4</v>
      </c>
      <c r="V30" s="319"/>
      <c r="W30" s="319"/>
      <c r="X30" s="319"/>
      <c r="Y30" s="319"/>
      <c r="Z30" s="318"/>
      <c r="AA30" s="318"/>
      <c r="AB30" s="319" t="s">
        <v>859</v>
      </c>
      <c r="AC30" s="327"/>
      <c r="AD30" s="319"/>
      <c r="AE30" s="319"/>
      <c r="AF30" s="319"/>
      <c r="AG30" s="319"/>
      <c r="AH30" s="319"/>
      <c r="AI30" s="319"/>
      <c r="AJ30" s="327"/>
      <c r="AK30" s="328"/>
      <c r="AL30" s="319"/>
      <c r="AM30" s="319"/>
      <c r="AN30" s="319"/>
      <c r="AO30" s="319"/>
      <c r="AP30" s="319"/>
      <c r="AQ30" s="319"/>
      <c r="AR30" s="319"/>
      <c r="AS30" s="327"/>
      <c r="AT30" s="344"/>
      <c r="AU30" s="345" t="s">
        <v>845</v>
      </c>
      <c r="AV30" s="330"/>
      <c r="AW30" s="331"/>
      <c r="AX30" s="331"/>
      <c r="AY30" s="331"/>
      <c r="AZ30" s="331"/>
      <c r="BA30" s="331"/>
      <c r="BB30" s="331"/>
      <c r="BC30" s="331"/>
      <c r="BD30" s="318"/>
      <c r="BE30" s="332"/>
      <c r="BF30" s="330">
        <f t="shared" si="1"/>
        <v>0</v>
      </c>
      <c r="BG30" s="333">
        <f t="shared" si="2"/>
        <v>0</v>
      </c>
      <c r="BH30" s="334"/>
      <c r="BI30" s="335" t="s">
        <v>846</v>
      </c>
      <c r="BJ30" s="318"/>
      <c r="BK30" s="336" t="s">
        <v>846</v>
      </c>
      <c r="BL30" s="337"/>
      <c r="BM30" s="336" t="s">
        <v>846</v>
      </c>
      <c r="BN30" s="336" t="s">
        <v>846</v>
      </c>
      <c r="BO30" s="318"/>
      <c r="BP30" s="336" t="s">
        <v>846</v>
      </c>
      <c r="BQ30" s="338"/>
      <c r="BR30" s="339" t="s">
        <v>846</v>
      </c>
      <c r="BS30" s="330">
        <f t="shared" si="3"/>
        <v>0</v>
      </c>
      <c r="BT30" s="331">
        <f t="shared" si="4"/>
        <v>0</v>
      </c>
      <c r="BU30" s="331"/>
      <c r="BV30" s="333"/>
      <c r="BW30" s="330"/>
      <c r="BX30" s="331"/>
      <c r="BY30" s="331"/>
      <c r="BZ30" s="340"/>
      <c r="CA30" s="316"/>
      <c r="CB30" s="318"/>
      <c r="CC30" s="318"/>
      <c r="CD30" s="318"/>
      <c r="CE30" s="318"/>
      <c r="CF30" s="318"/>
      <c r="CG30" s="318"/>
      <c r="CH30" s="318"/>
      <c r="CI30" s="338"/>
      <c r="CJ30" s="341"/>
      <c r="CK30" s="342">
        <f t="shared" si="5"/>
        <v>0</v>
      </c>
      <c r="CL30" s="333">
        <f t="shared" si="6"/>
        <v>0</v>
      </c>
      <c r="CM30" s="346" t="s">
        <v>901</v>
      </c>
      <c r="CN30" s="347"/>
      <c r="CO30" s="347"/>
      <c r="CP30" s="347"/>
    </row>
    <row r="31">
      <c r="B31" s="316"/>
      <c r="C31" s="317">
        <v>43257.0</v>
      </c>
      <c r="D31" s="318"/>
      <c r="E31" s="319"/>
      <c r="F31" s="324" t="s">
        <v>902</v>
      </c>
      <c r="G31" s="321">
        <v>0.6222222222222222</v>
      </c>
      <c r="H31" s="322"/>
      <c r="I31" s="322"/>
      <c r="J31" s="322"/>
      <c r="K31" s="323">
        <v>0.6243055555555556</v>
      </c>
      <c r="L31" s="323">
        <v>0.125</v>
      </c>
      <c r="M31" s="319" t="s">
        <v>358</v>
      </c>
      <c r="N31" s="324"/>
      <c r="O31" s="354" t="s">
        <v>899</v>
      </c>
      <c r="P31" s="319"/>
      <c r="Q31" s="319" t="s">
        <v>235</v>
      </c>
      <c r="R31" s="326" t="s">
        <v>900</v>
      </c>
      <c r="S31" s="319"/>
      <c r="T31" s="324"/>
      <c r="U31" s="319">
        <v>2.3</v>
      </c>
      <c r="V31" s="319"/>
      <c r="W31" s="319"/>
      <c r="X31" s="319"/>
      <c r="Y31" s="319"/>
      <c r="Z31" s="318"/>
      <c r="AA31" s="318"/>
      <c r="AB31" s="319" t="s">
        <v>859</v>
      </c>
      <c r="AC31" s="327"/>
      <c r="AD31" s="319"/>
      <c r="AE31" s="319"/>
      <c r="AF31" s="319"/>
      <c r="AG31" s="319"/>
      <c r="AH31" s="319"/>
      <c r="AI31" s="319"/>
      <c r="AJ31" s="327"/>
      <c r="AK31" s="328"/>
      <c r="AL31" s="319"/>
      <c r="AM31" s="319"/>
      <c r="AN31" s="319"/>
      <c r="AO31" s="319"/>
      <c r="AP31" s="319"/>
      <c r="AQ31" s="319"/>
      <c r="AR31" s="319"/>
      <c r="AS31" s="327"/>
      <c r="AT31" s="344"/>
      <c r="AU31" s="345" t="s">
        <v>845</v>
      </c>
      <c r="AV31" s="330"/>
      <c r="AW31" s="331"/>
      <c r="AX31" s="331"/>
      <c r="AY31" s="331"/>
      <c r="AZ31" s="331"/>
      <c r="BA31" s="331"/>
      <c r="BB31" s="331"/>
      <c r="BC31" s="331"/>
      <c r="BD31" s="318"/>
      <c r="BE31" s="332"/>
      <c r="BF31" s="330">
        <f t="shared" si="1"/>
        <v>0</v>
      </c>
      <c r="BG31" s="333">
        <f t="shared" si="2"/>
        <v>0</v>
      </c>
      <c r="BH31" s="334"/>
      <c r="BI31" s="335" t="s">
        <v>846</v>
      </c>
      <c r="BJ31" s="318"/>
      <c r="BK31" s="336" t="s">
        <v>846</v>
      </c>
      <c r="BL31" s="337"/>
      <c r="BM31" s="336" t="s">
        <v>846</v>
      </c>
      <c r="BN31" s="336" t="s">
        <v>846</v>
      </c>
      <c r="BO31" s="318"/>
      <c r="BP31" s="336" t="s">
        <v>846</v>
      </c>
      <c r="BQ31" s="338"/>
      <c r="BR31" s="339" t="s">
        <v>846</v>
      </c>
      <c r="BS31" s="330">
        <f t="shared" si="3"/>
        <v>0</v>
      </c>
      <c r="BT31" s="331">
        <f t="shared" si="4"/>
        <v>0</v>
      </c>
      <c r="BU31" s="331"/>
      <c r="BV31" s="333"/>
      <c r="BW31" s="330"/>
      <c r="BX31" s="331"/>
      <c r="BY31" s="331"/>
      <c r="BZ31" s="340"/>
      <c r="CA31" s="316"/>
      <c r="CB31" s="318"/>
      <c r="CC31" s="318"/>
      <c r="CD31" s="318"/>
      <c r="CE31" s="318"/>
      <c r="CF31" s="318"/>
      <c r="CG31" s="318"/>
      <c r="CH31" s="318"/>
      <c r="CI31" s="338"/>
      <c r="CJ31" s="341"/>
      <c r="CK31" s="342">
        <f t="shared" si="5"/>
        <v>0</v>
      </c>
      <c r="CL31" s="333">
        <f t="shared" si="6"/>
        <v>0</v>
      </c>
      <c r="CM31" s="346" t="s">
        <v>903</v>
      </c>
      <c r="CN31" s="347"/>
      <c r="CO31" s="347"/>
      <c r="CP31" s="347"/>
    </row>
    <row r="32">
      <c r="B32" s="316"/>
      <c r="C32" s="317">
        <v>43257.0</v>
      </c>
      <c r="D32" s="318"/>
      <c r="E32" s="319"/>
      <c r="F32" s="324" t="s">
        <v>904</v>
      </c>
      <c r="G32" s="321">
        <v>0.6256944444444444</v>
      </c>
      <c r="H32" s="322"/>
      <c r="I32" s="322"/>
      <c r="J32" s="322"/>
      <c r="K32" s="323">
        <v>0.6277777777777778</v>
      </c>
      <c r="L32" s="323">
        <v>0.125</v>
      </c>
      <c r="M32" s="319" t="s">
        <v>358</v>
      </c>
      <c r="N32" s="324"/>
      <c r="O32" s="354" t="s">
        <v>899</v>
      </c>
      <c r="P32" s="319"/>
      <c r="Q32" s="319" t="s">
        <v>235</v>
      </c>
      <c r="R32" s="326" t="s">
        <v>900</v>
      </c>
      <c r="S32" s="319"/>
      <c r="T32" s="324"/>
      <c r="U32" s="319">
        <v>1.7</v>
      </c>
      <c r="V32" s="319"/>
      <c r="W32" s="319"/>
      <c r="X32" s="319"/>
      <c r="Y32" s="319"/>
      <c r="Z32" s="318"/>
      <c r="AA32" s="318"/>
      <c r="AB32" s="319" t="s">
        <v>859</v>
      </c>
      <c r="AC32" s="327"/>
      <c r="AD32" s="319"/>
      <c r="AE32" s="319"/>
      <c r="AF32" s="319"/>
      <c r="AG32" s="319"/>
      <c r="AH32" s="319"/>
      <c r="AI32" s="319"/>
      <c r="AJ32" s="327"/>
      <c r="AK32" s="328"/>
      <c r="AL32" s="319"/>
      <c r="AM32" s="319"/>
      <c r="AN32" s="319"/>
      <c r="AO32" s="319"/>
      <c r="AP32" s="319"/>
      <c r="AQ32" s="319"/>
      <c r="AR32" s="319"/>
      <c r="AS32" s="327"/>
      <c r="AT32" s="344"/>
      <c r="AU32" s="345" t="s">
        <v>845</v>
      </c>
      <c r="AV32" s="330"/>
      <c r="AW32" s="331"/>
      <c r="AX32" s="331"/>
      <c r="AY32" s="331"/>
      <c r="AZ32" s="331"/>
      <c r="BA32" s="331"/>
      <c r="BB32" s="331"/>
      <c r="BC32" s="331"/>
      <c r="BD32" s="318"/>
      <c r="BE32" s="332"/>
      <c r="BF32" s="330">
        <f t="shared" si="1"/>
        <v>0</v>
      </c>
      <c r="BG32" s="333">
        <f t="shared" si="2"/>
        <v>0</v>
      </c>
      <c r="BH32" s="334"/>
      <c r="BI32" s="335" t="s">
        <v>846</v>
      </c>
      <c r="BJ32" s="318"/>
      <c r="BK32" s="336" t="s">
        <v>846</v>
      </c>
      <c r="BL32" s="337"/>
      <c r="BM32" s="336" t="s">
        <v>846</v>
      </c>
      <c r="BN32" s="336" t="s">
        <v>846</v>
      </c>
      <c r="BO32" s="318"/>
      <c r="BP32" s="336" t="s">
        <v>846</v>
      </c>
      <c r="BQ32" s="338"/>
      <c r="BR32" s="339" t="s">
        <v>846</v>
      </c>
      <c r="BS32" s="330">
        <f t="shared" si="3"/>
        <v>0</v>
      </c>
      <c r="BT32" s="331">
        <f t="shared" si="4"/>
        <v>0</v>
      </c>
      <c r="BU32" s="331"/>
      <c r="BV32" s="333"/>
      <c r="BW32" s="330"/>
      <c r="BX32" s="331"/>
      <c r="BY32" s="331"/>
      <c r="BZ32" s="340"/>
      <c r="CA32" s="316"/>
      <c r="CB32" s="318"/>
      <c r="CC32" s="318"/>
      <c r="CD32" s="318"/>
      <c r="CE32" s="318"/>
      <c r="CF32" s="318"/>
      <c r="CG32" s="318"/>
      <c r="CH32" s="318"/>
      <c r="CI32" s="338"/>
      <c r="CJ32" s="341"/>
      <c r="CK32" s="342">
        <f t="shared" si="5"/>
        <v>0</v>
      </c>
      <c r="CL32" s="333">
        <f t="shared" si="6"/>
        <v>0</v>
      </c>
      <c r="CM32" s="346" t="s">
        <v>905</v>
      </c>
      <c r="CN32" s="347"/>
      <c r="CO32" s="347"/>
      <c r="CP32" s="347"/>
    </row>
    <row r="33">
      <c r="B33" s="316"/>
      <c r="C33" s="317">
        <v>43257.0</v>
      </c>
      <c r="D33" s="318"/>
      <c r="E33" s="319"/>
      <c r="F33" s="324" t="s">
        <v>906</v>
      </c>
      <c r="G33" s="321">
        <v>0.6291666666666667</v>
      </c>
      <c r="H33" s="322"/>
      <c r="I33" s="322"/>
      <c r="J33" s="322"/>
      <c r="K33" s="323">
        <v>0.6326388888888889</v>
      </c>
      <c r="L33" s="323">
        <v>0.20833333333333334</v>
      </c>
      <c r="M33" s="319" t="s">
        <v>358</v>
      </c>
      <c r="N33" s="324"/>
      <c r="O33" s="354" t="s">
        <v>899</v>
      </c>
      <c r="P33" s="319"/>
      <c r="Q33" s="319" t="s">
        <v>235</v>
      </c>
      <c r="R33" s="326" t="s">
        <v>900</v>
      </c>
      <c r="S33" s="319"/>
      <c r="T33" s="324"/>
      <c r="U33" s="319">
        <v>0.8</v>
      </c>
      <c r="V33" s="319"/>
      <c r="W33" s="319"/>
      <c r="X33" s="319"/>
      <c r="Y33" s="319"/>
      <c r="Z33" s="318"/>
      <c r="AA33" s="318"/>
      <c r="AB33" s="319" t="s">
        <v>859</v>
      </c>
      <c r="AC33" s="327"/>
      <c r="AD33" s="319"/>
      <c r="AE33" s="319"/>
      <c r="AF33" s="319"/>
      <c r="AG33" s="319"/>
      <c r="AH33" s="319"/>
      <c r="AI33" s="319"/>
      <c r="AJ33" s="327"/>
      <c r="AK33" s="328"/>
      <c r="AL33" s="319"/>
      <c r="AM33" s="319"/>
      <c r="AN33" s="319"/>
      <c r="AO33" s="319"/>
      <c r="AP33" s="319"/>
      <c r="AQ33" s="319"/>
      <c r="AR33" s="319"/>
      <c r="AS33" s="327"/>
      <c r="AT33" s="344"/>
      <c r="AU33" s="345" t="s">
        <v>845</v>
      </c>
      <c r="AV33" s="330"/>
      <c r="AW33" s="331"/>
      <c r="AX33" s="331"/>
      <c r="AY33" s="331"/>
      <c r="AZ33" s="331"/>
      <c r="BA33" s="331"/>
      <c r="BB33" s="331"/>
      <c r="BC33" s="331"/>
      <c r="BD33" s="318"/>
      <c r="BE33" s="332"/>
      <c r="BF33" s="330">
        <f t="shared" si="1"/>
        <v>0</v>
      </c>
      <c r="BG33" s="333">
        <f t="shared" si="2"/>
        <v>0</v>
      </c>
      <c r="BH33" s="334"/>
      <c r="BI33" s="335" t="s">
        <v>846</v>
      </c>
      <c r="BJ33" s="318"/>
      <c r="BK33" s="336" t="s">
        <v>846</v>
      </c>
      <c r="BL33" s="337"/>
      <c r="BM33" s="336" t="s">
        <v>846</v>
      </c>
      <c r="BN33" s="336" t="s">
        <v>846</v>
      </c>
      <c r="BO33" s="318"/>
      <c r="BP33" s="336" t="s">
        <v>846</v>
      </c>
      <c r="BQ33" s="338"/>
      <c r="BR33" s="339" t="s">
        <v>846</v>
      </c>
      <c r="BS33" s="330">
        <f t="shared" si="3"/>
        <v>0</v>
      </c>
      <c r="BT33" s="331">
        <f t="shared" si="4"/>
        <v>0</v>
      </c>
      <c r="BU33" s="331"/>
      <c r="BV33" s="333"/>
      <c r="BW33" s="330"/>
      <c r="BX33" s="331"/>
      <c r="BY33" s="331"/>
      <c r="BZ33" s="340"/>
      <c r="CA33" s="316"/>
      <c r="CB33" s="318"/>
      <c r="CC33" s="318"/>
      <c r="CD33" s="318"/>
      <c r="CE33" s="318"/>
      <c r="CF33" s="318"/>
      <c r="CG33" s="318"/>
      <c r="CH33" s="318"/>
      <c r="CI33" s="338"/>
      <c r="CJ33" s="341"/>
      <c r="CK33" s="342">
        <f t="shared" si="5"/>
        <v>0</v>
      </c>
      <c r="CL33" s="333">
        <f t="shared" si="6"/>
        <v>0</v>
      </c>
      <c r="CM33" s="346" t="s">
        <v>907</v>
      </c>
      <c r="CN33" s="347"/>
      <c r="CO33" s="347"/>
      <c r="CP33" s="347"/>
    </row>
    <row r="34">
      <c r="B34" s="316"/>
      <c r="C34" s="317">
        <v>43257.0</v>
      </c>
      <c r="D34" s="318"/>
      <c r="E34" s="319"/>
      <c r="F34" s="324" t="s">
        <v>908</v>
      </c>
      <c r="G34" s="321">
        <v>0.6465277777777778</v>
      </c>
      <c r="H34" s="322"/>
      <c r="I34" s="322"/>
      <c r="J34" s="322"/>
      <c r="K34" s="323">
        <v>0.6493055555555556</v>
      </c>
      <c r="L34" s="323">
        <v>0.16666666666666666</v>
      </c>
      <c r="M34" s="319" t="s">
        <v>358</v>
      </c>
      <c r="N34" s="324"/>
      <c r="O34" s="354" t="s">
        <v>899</v>
      </c>
      <c r="P34" s="319"/>
      <c r="Q34" s="319" t="s">
        <v>235</v>
      </c>
      <c r="R34" s="326" t="s">
        <v>900</v>
      </c>
      <c r="S34" s="319"/>
      <c r="T34" s="324"/>
      <c r="U34" s="319">
        <v>0.55</v>
      </c>
      <c r="V34" s="319"/>
      <c r="W34" s="319"/>
      <c r="X34" s="319"/>
      <c r="Y34" s="319"/>
      <c r="Z34" s="318"/>
      <c r="AA34" s="318"/>
      <c r="AB34" s="319" t="s">
        <v>909</v>
      </c>
      <c r="AC34" s="327"/>
      <c r="AD34" s="319"/>
      <c r="AE34" s="319"/>
      <c r="AF34" s="319"/>
      <c r="AG34" s="319"/>
      <c r="AH34" s="319"/>
      <c r="AI34" s="319"/>
      <c r="AJ34" s="327"/>
      <c r="AK34" s="328"/>
      <c r="AL34" s="319"/>
      <c r="AM34" s="319"/>
      <c r="AN34" s="319"/>
      <c r="AO34" s="319"/>
      <c r="AP34" s="319"/>
      <c r="AQ34" s="319"/>
      <c r="AR34" s="319"/>
      <c r="AS34" s="327"/>
      <c r="AT34" s="344"/>
      <c r="AU34" s="345" t="s">
        <v>845</v>
      </c>
      <c r="AV34" s="330"/>
      <c r="AW34" s="331"/>
      <c r="AX34" s="331"/>
      <c r="AY34" s="331"/>
      <c r="AZ34" s="331"/>
      <c r="BA34" s="331"/>
      <c r="BB34" s="331"/>
      <c r="BC34" s="331"/>
      <c r="BD34" s="318"/>
      <c r="BE34" s="332"/>
      <c r="BF34" s="330">
        <f t="shared" si="1"/>
        <v>0</v>
      </c>
      <c r="BG34" s="333">
        <f t="shared" si="2"/>
        <v>0</v>
      </c>
      <c r="BH34" s="334"/>
      <c r="BI34" s="335" t="s">
        <v>846</v>
      </c>
      <c r="BJ34" s="318"/>
      <c r="BK34" s="336" t="s">
        <v>846</v>
      </c>
      <c r="BL34" s="337"/>
      <c r="BM34" s="336" t="s">
        <v>846</v>
      </c>
      <c r="BN34" s="336" t="s">
        <v>846</v>
      </c>
      <c r="BO34" s="318"/>
      <c r="BP34" s="336" t="s">
        <v>846</v>
      </c>
      <c r="BQ34" s="338"/>
      <c r="BR34" s="339" t="s">
        <v>846</v>
      </c>
      <c r="BS34" s="330">
        <f t="shared" si="3"/>
        <v>0</v>
      </c>
      <c r="BT34" s="331">
        <f t="shared" si="4"/>
        <v>0</v>
      </c>
      <c r="BU34" s="331"/>
      <c r="BV34" s="333"/>
      <c r="BW34" s="330"/>
      <c r="BX34" s="331"/>
      <c r="BY34" s="331"/>
      <c r="BZ34" s="340"/>
      <c r="CA34" s="316"/>
      <c r="CB34" s="318"/>
      <c r="CC34" s="318"/>
      <c r="CD34" s="318"/>
      <c r="CE34" s="318"/>
      <c r="CF34" s="318"/>
      <c r="CG34" s="318"/>
      <c r="CH34" s="318"/>
      <c r="CI34" s="338"/>
      <c r="CJ34" s="341"/>
      <c r="CK34" s="342">
        <f t="shared" si="5"/>
        <v>0</v>
      </c>
      <c r="CL34" s="333">
        <f t="shared" si="6"/>
        <v>0</v>
      </c>
      <c r="CM34" s="346" t="s">
        <v>910</v>
      </c>
      <c r="CN34" s="347"/>
      <c r="CO34" s="347"/>
      <c r="CP34" s="347"/>
    </row>
    <row r="35">
      <c r="B35" s="316"/>
      <c r="C35" s="317">
        <v>43257.0</v>
      </c>
      <c r="D35" s="318"/>
      <c r="E35" s="319"/>
      <c r="F35" s="324" t="s">
        <v>911</v>
      </c>
      <c r="G35" s="321">
        <v>0.6583333333333333</v>
      </c>
      <c r="H35" s="322"/>
      <c r="I35" s="322"/>
      <c r="J35" s="322"/>
      <c r="K35" s="323">
        <v>0.6666666666666666</v>
      </c>
      <c r="L35" s="323">
        <v>0.5</v>
      </c>
      <c r="M35" s="319" t="s">
        <v>358</v>
      </c>
      <c r="N35" s="324"/>
      <c r="O35" s="354" t="s">
        <v>899</v>
      </c>
      <c r="P35" s="319"/>
      <c r="Q35" s="319" t="s">
        <v>235</v>
      </c>
      <c r="R35" s="326" t="s">
        <v>900</v>
      </c>
      <c r="S35" s="319"/>
      <c r="T35" s="324"/>
      <c r="U35" s="319">
        <v>0.45</v>
      </c>
      <c r="V35" s="319"/>
      <c r="W35" s="319"/>
      <c r="X35" s="319"/>
      <c r="Y35" s="319"/>
      <c r="Z35" s="318"/>
      <c r="AA35" s="318"/>
      <c r="AB35" s="319" t="s">
        <v>909</v>
      </c>
      <c r="AC35" s="327"/>
      <c r="AD35" s="319"/>
      <c r="AE35" s="319"/>
      <c r="AF35" s="319"/>
      <c r="AG35" s="319"/>
      <c r="AH35" s="319"/>
      <c r="AI35" s="319"/>
      <c r="AJ35" s="327"/>
      <c r="AK35" s="328"/>
      <c r="AL35" s="319"/>
      <c r="AM35" s="319"/>
      <c r="AN35" s="319"/>
      <c r="AO35" s="319"/>
      <c r="AP35" s="319"/>
      <c r="AQ35" s="319"/>
      <c r="AR35" s="319"/>
      <c r="AS35" s="327"/>
      <c r="AT35" s="344"/>
      <c r="AU35" s="345" t="s">
        <v>845</v>
      </c>
      <c r="AV35" s="330"/>
      <c r="AW35" s="331"/>
      <c r="AX35" s="331"/>
      <c r="AY35" s="331"/>
      <c r="AZ35" s="331"/>
      <c r="BA35" s="331"/>
      <c r="BB35" s="331"/>
      <c r="BC35" s="331"/>
      <c r="BD35" s="318"/>
      <c r="BE35" s="332"/>
      <c r="BF35" s="330">
        <f t="shared" si="1"/>
        <v>0</v>
      </c>
      <c r="BG35" s="333">
        <f t="shared" si="2"/>
        <v>0</v>
      </c>
      <c r="BH35" s="334"/>
      <c r="BI35" s="335" t="s">
        <v>846</v>
      </c>
      <c r="BJ35" s="318"/>
      <c r="BK35" s="336" t="s">
        <v>846</v>
      </c>
      <c r="BL35" s="337"/>
      <c r="BM35" s="336" t="s">
        <v>846</v>
      </c>
      <c r="BN35" s="336" t="s">
        <v>846</v>
      </c>
      <c r="BO35" s="318"/>
      <c r="BP35" s="336" t="s">
        <v>846</v>
      </c>
      <c r="BQ35" s="338"/>
      <c r="BR35" s="339" t="s">
        <v>846</v>
      </c>
      <c r="BS35" s="330">
        <f t="shared" si="3"/>
        <v>0</v>
      </c>
      <c r="BT35" s="331">
        <f t="shared" si="4"/>
        <v>0</v>
      </c>
      <c r="BU35" s="331"/>
      <c r="BV35" s="333"/>
      <c r="BW35" s="330"/>
      <c r="BX35" s="331"/>
      <c r="BY35" s="331"/>
      <c r="BZ35" s="340"/>
      <c r="CA35" s="316"/>
      <c r="CB35" s="318"/>
      <c r="CC35" s="318"/>
      <c r="CD35" s="318"/>
      <c r="CE35" s="318"/>
      <c r="CF35" s="318"/>
      <c r="CG35" s="318"/>
      <c r="CH35" s="318"/>
      <c r="CI35" s="338"/>
      <c r="CJ35" s="341"/>
      <c r="CK35" s="342">
        <f t="shared" si="5"/>
        <v>0</v>
      </c>
      <c r="CL35" s="333">
        <f t="shared" si="6"/>
        <v>0</v>
      </c>
      <c r="CM35" s="346" t="s">
        <v>912</v>
      </c>
      <c r="CN35" s="347"/>
      <c r="CO35" s="347"/>
      <c r="CP35" s="347"/>
    </row>
    <row r="36">
      <c r="B36" s="316"/>
      <c r="C36" s="317">
        <v>43257.0</v>
      </c>
      <c r="D36" s="318"/>
      <c r="E36" s="319"/>
      <c r="F36" s="324" t="s">
        <v>913</v>
      </c>
      <c r="G36" s="321">
        <v>0.6791666666666667</v>
      </c>
      <c r="H36" s="322"/>
      <c r="I36" s="322"/>
      <c r="J36" s="322"/>
      <c r="K36" s="323">
        <v>0.6840277777777778</v>
      </c>
      <c r="L36" s="323">
        <v>0.2916666666666667</v>
      </c>
      <c r="M36" s="319" t="s">
        <v>358</v>
      </c>
      <c r="N36" s="324"/>
      <c r="O36" s="354" t="s">
        <v>899</v>
      </c>
      <c r="P36" s="319"/>
      <c r="Q36" s="319" t="s">
        <v>235</v>
      </c>
      <c r="R36" s="326" t="s">
        <v>900</v>
      </c>
      <c r="S36" s="319"/>
      <c r="T36" s="324"/>
      <c r="U36" s="319">
        <v>2.3</v>
      </c>
      <c r="V36" s="319"/>
      <c r="W36" s="319"/>
      <c r="X36" s="319"/>
      <c r="Y36" s="319"/>
      <c r="Z36" s="318"/>
      <c r="AA36" s="318"/>
      <c r="AB36" s="319" t="s">
        <v>894</v>
      </c>
      <c r="AC36" s="327"/>
      <c r="AD36" s="319"/>
      <c r="AE36" s="319"/>
      <c r="AF36" s="319"/>
      <c r="AG36" s="319"/>
      <c r="AH36" s="319"/>
      <c r="AI36" s="319"/>
      <c r="AJ36" s="327"/>
      <c r="AK36" s="328"/>
      <c r="AL36" s="319"/>
      <c r="AM36" s="319"/>
      <c r="AN36" s="319"/>
      <c r="AO36" s="319"/>
      <c r="AP36" s="319"/>
      <c r="AQ36" s="319"/>
      <c r="AR36" s="319"/>
      <c r="AS36" s="327"/>
      <c r="AT36" s="344"/>
      <c r="AU36" s="345" t="s">
        <v>845</v>
      </c>
      <c r="AV36" s="330"/>
      <c r="AW36" s="331"/>
      <c r="AX36" s="331"/>
      <c r="AY36" s="331"/>
      <c r="AZ36" s="331"/>
      <c r="BA36" s="331"/>
      <c r="BB36" s="331"/>
      <c r="BC36" s="331"/>
      <c r="BD36" s="318"/>
      <c r="BE36" s="332"/>
      <c r="BF36" s="330">
        <f t="shared" si="1"/>
        <v>0</v>
      </c>
      <c r="BG36" s="333">
        <f t="shared" si="2"/>
        <v>0</v>
      </c>
      <c r="BH36" s="334"/>
      <c r="BI36" s="349" t="s">
        <v>846</v>
      </c>
      <c r="BJ36" s="318"/>
      <c r="BK36" s="350" t="s">
        <v>846</v>
      </c>
      <c r="BL36" s="351"/>
      <c r="BM36" s="350" t="s">
        <v>846</v>
      </c>
      <c r="BN36" s="350" t="s">
        <v>846</v>
      </c>
      <c r="BO36" s="318"/>
      <c r="BP36" s="350" t="s">
        <v>846</v>
      </c>
      <c r="BQ36" s="338"/>
      <c r="BR36" s="352" t="s">
        <v>846</v>
      </c>
      <c r="BS36" s="330">
        <f t="shared" si="3"/>
        <v>0</v>
      </c>
      <c r="BT36" s="331">
        <f t="shared" si="4"/>
        <v>0</v>
      </c>
      <c r="BU36" s="331"/>
      <c r="BV36" s="333"/>
      <c r="BW36" s="330"/>
      <c r="BX36" s="331"/>
      <c r="BY36" s="331"/>
      <c r="BZ36" s="340"/>
      <c r="CA36" s="316"/>
      <c r="CB36" s="318"/>
      <c r="CC36" s="318"/>
      <c r="CD36" s="318"/>
      <c r="CE36" s="318"/>
      <c r="CF36" s="318"/>
      <c r="CG36" s="318"/>
      <c r="CH36" s="318"/>
      <c r="CI36" s="338"/>
      <c r="CJ36" s="341"/>
      <c r="CK36" s="342">
        <f t="shared" si="5"/>
        <v>0</v>
      </c>
      <c r="CL36" s="333">
        <f t="shared" si="6"/>
        <v>0</v>
      </c>
      <c r="CM36" s="346" t="s">
        <v>914</v>
      </c>
      <c r="CN36" s="347"/>
      <c r="CO36" s="347"/>
      <c r="CP36" s="347"/>
    </row>
    <row r="37">
      <c r="B37" s="316"/>
      <c r="C37" s="317">
        <v>43257.0</v>
      </c>
      <c r="D37" s="318"/>
      <c r="E37" s="319"/>
      <c r="F37" s="324" t="s">
        <v>915</v>
      </c>
      <c r="G37" s="321">
        <v>0.6868055555555556</v>
      </c>
      <c r="H37" s="322"/>
      <c r="I37" s="322"/>
      <c r="J37" s="322"/>
      <c r="K37" s="323">
        <v>0.6916666666666667</v>
      </c>
      <c r="L37" s="323">
        <v>0.2916666666666667</v>
      </c>
      <c r="M37" s="319" t="s">
        <v>358</v>
      </c>
      <c r="N37" s="324"/>
      <c r="O37" s="354" t="s">
        <v>202</v>
      </c>
      <c r="P37" s="319"/>
      <c r="Q37" s="319" t="s">
        <v>842</v>
      </c>
      <c r="R37" s="326" t="s">
        <v>916</v>
      </c>
      <c r="S37" s="319"/>
      <c r="T37" s="324"/>
      <c r="U37" s="319">
        <v>1.6</v>
      </c>
      <c r="V37" s="319"/>
      <c r="W37" s="319"/>
      <c r="X37" s="319"/>
      <c r="Y37" s="319"/>
      <c r="Z37" s="318"/>
      <c r="AA37" s="318"/>
      <c r="AB37" s="319" t="s">
        <v>859</v>
      </c>
      <c r="AC37" s="327"/>
      <c r="AD37" s="319"/>
      <c r="AE37" s="319"/>
      <c r="AF37" s="319"/>
      <c r="AG37" s="319"/>
      <c r="AH37" s="319"/>
      <c r="AI37" s="319"/>
      <c r="AJ37" s="327"/>
      <c r="AK37" s="328"/>
      <c r="AL37" s="319"/>
      <c r="AM37" s="319"/>
      <c r="AN37" s="319"/>
      <c r="AO37" s="319"/>
      <c r="AP37" s="319"/>
      <c r="AQ37" s="319"/>
      <c r="AR37" s="319"/>
      <c r="AS37" s="327"/>
      <c r="AT37" s="344"/>
      <c r="AU37" s="345" t="s">
        <v>845</v>
      </c>
      <c r="AV37" s="330"/>
      <c r="AW37" s="331"/>
      <c r="AX37" s="331"/>
      <c r="AY37" s="331"/>
      <c r="AZ37" s="331"/>
      <c r="BA37" s="331"/>
      <c r="BB37" s="331"/>
      <c r="BC37" s="331"/>
      <c r="BD37" s="318"/>
      <c r="BE37" s="332"/>
      <c r="BF37" s="330">
        <f t="shared" si="1"/>
        <v>0</v>
      </c>
      <c r="BG37" s="333">
        <f t="shared" si="2"/>
        <v>0</v>
      </c>
      <c r="BH37" s="334"/>
      <c r="BI37" s="335" t="s">
        <v>846</v>
      </c>
      <c r="BJ37" s="318"/>
      <c r="BK37" s="336" t="s">
        <v>846</v>
      </c>
      <c r="BL37" s="337"/>
      <c r="BM37" s="336" t="s">
        <v>846</v>
      </c>
      <c r="BN37" s="336" t="s">
        <v>846</v>
      </c>
      <c r="BO37" s="318"/>
      <c r="BP37" s="336" t="s">
        <v>846</v>
      </c>
      <c r="BQ37" s="338"/>
      <c r="BR37" s="339" t="s">
        <v>846</v>
      </c>
      <c r="BS37" s="330">
        <f t="shared" si="3"/>
        <v>0</v>
      </c>
      <c r="BT37" s="331">
        <f t="shared" si="4"/>
        <v>0</v>
      </c>
      <c r="BU37" s="331"/>
      <c r="BV37" s="333"/>
      <c r="BW37" s="330"/>
      <c r="BX37" s="331"/>
      <c r="BY37" s="331"/>
      <c r="BZ37" s="340"/>
      <c r="CA37" s="316"/>
      <c r="CB37" s="318"/>
      <c r="CC37" s="318"/>
      <c r="CD37" s="318"/>
      <c r="CE37" s="318"/>
      <c r="CF37" s="318"/>
      <c r="CG37" s="318"/>
      <c r="CH37" s="318"/>
      <c r="CI37" s="338"/>
      <c r="CJ37" s="341"/>
      <c r="CK37" s="342">
        <f t="shared" si="5"/>
        <v>0</v>
      </c>
      <c r="CL37" s="333">
        <f t="shared" si="6"/>
        <v>0</v>
      </c>
      <c r="CM37" s="346" t="s">
        <v>917</v>
      </c>
      <c r="CN37" s="347"/>
      <c r="CO37" s="347"/>
      <c r="CP37" s="347"/>
    </row>
    <row r="38">
      <c r="B38" s="316"/>
      <c r="C38" s="317">
        <v>43257.0</v>
      </c>
      <c r="D38" s="318"/>
      <c r="E38" s="319"/>
      <c r="F38" s="324" t="s">
        <v>918</v>
      </c>
      <c r="G38" s="321">
        <v>0.6965277777777777</v>
      </c>
      <c r="H38" s="322"/>
      <c r="I38" s="322"/>
      <c r="J38" s="322"/>
      <c r="K38" s="323">
        <v>0.6986111111111111</v>
      </c>
      <c r="L38" s="323">
        <v>0.125</v>
      </c>
      <c r="M38" s="319" t="s">
        <v>358</v>
      </c>
      <c r="N38" s="324"/>
      <c r="O38" s="354" t="s">
        <v>202</v>
      </c>
      <c r="P38" s="319"/>
      <c r="Q38" s="319" t="s">
        <v>842</v>
      </c>
      <c r="R38" s="326" t="s">
        <v>916</v>
      </c>
      <c r="S38" s="319"/>
      <c r="T38" s="324"/>
      <c r="U38" s="319">
        <v>0.45</v>
      </c>
      <c r="V38" s="319"/>
      <c r="W38" s="319"/>
      <c r="X38" s="319"/>
      <c r="Y38" s="319"/>
      <c r="Z38" s="318"/>
      <c r="AA38" s="318"/>
      <c r="AB38" s="319" t="s">
        <v>909</v>
      </c>
      <c r="AC38" s="327"/>
      <c r="AD38" s="319"/>
      <c r="AE38" s="319"/>
      <c r="AF38" s="319"/>
      <c r="AG38" s="319"/>
      <c r="AH38" s="319"/>
      <c r="AI38" s="319"/>
      <c r="AJ38" s="327"/>
      <c r="AK38" s="328"/>
      <c r="AL38" s="319"/>
      <c r="AM38" s="319"/>
      <c r="AN38" s="319"/>
      <c r="AO38" s="319"/>
      <c r="AP38" s="319"/>
      <c r="AQ38" s="319"/>
      <c r="AR38" s="319"/>
      <c r="AS38" s="327"/>
      <c r="AT38" s="344"/>
      <c r="AU38" s="345" t="s">
        <v>845</v>
      </c>
      <c r="AV38" s="330"/>
      <c r="AW38" s="331"/>
      <c r="AX38" s="331"/>
      <c r="AY38" s="331"/>
      <c r="AZ38" s="331"/>
      <c r="BA38" s="331"/>
      <c r="BB38" s="331"/>
      <c r="BC38" s="331"/>
      <c r="BD38" s="318"/>
      <c r="BE38" s="332"/>
      <c r="BF38" s="330">
        <f t="shared" si="1"/>
        <v>0</v>
      </c>
      <c r="BG38" s="333">
        <f t="shared" si="2"/>
        <v>0</v>
      </c>
      <c r="BH38" s="334"/>
      <c r="BI38" s="335" t="s">
        <v>846</v>
      </c>
      <c r="BJ38" s="318"/>
      <c r="BK38" s="336" t="s">
        <v>846</v>
      </c>
      <c r="BL38" s="337"/>
      <c r="BM38" s="336" t="s">
        <v>846</v>
      </c>
      <c r="BN38" s="336" t="s">
        <v>846</v>
      </c>
      <c r="BO38" s="318"/>
      <c r="BP38" s="336" t="s">
        <v>846</v>
      </c>
      <c r="BQ38" s="338"/>
      <c r="BR38" s="339" t="s">
        <v>846</v>
      </c>
      <c r="BS38" s="330">
        <f t="shared" si="3"/>
        <v>0</v>
      </c>
      <c r="BT38" s="331">
        <f t="shared" si="4"/>
        <v>0</v>
      </c>
      <c r="BU38" s="331"/>
      <c r="BV38" s="333"/>
      <c r="BW38" s="330"/>
      <c r="BX38" s="331"/>
      <c r="BY38" s="331"/>
      <c r="BZ38" s="340"/>
      <c r="CA38" s="316"/>
      <c r="CB38" s="318"/>
      <c r="CC38" s="318"/>
      <c r="CD38" s="318"/>
      <c r="CE38" s="318"/>
      <c r="CF38" s="318"/>
      <c r="CG38" s="318"/>
      <c r="CH38" s="318"/>
      <c r="CI38" s="338"/>
      <c r="CJ38" s="341"/>
      <c r="CK38" s="342">
        <f t="shared" si="5"/>
        <v>0</v>
      </c>
      <c r="CL38" s="333">
        <f t="shared" si="6"/>
        <v>0</v>
      </c>
      <c r="CM38" s="346" t="s">
        <v>919</v>
      </c>
      <c r="CN38" s="347"/>
      <c r="CO38" s="347"/>
      <c r="CP38" s="347"/>
    </row>
    <row r="39">
      <c r="B39" s="316"/>
      <c r="C39" s="317">
        <v>43257.0</v>
      </c>
      <c r="D39" s="318"/>
      <c r="E39" s="319"/>
      <c r="F39" s="324" t="s">
        <v>920</v>
      </c>
      <c r="G39" s="321">
        <v>0.7048611111111112</v>
      </c>
      <c r="H39" s="322"/>
      <c r="I39" s="322"/>
      <c r="J39" s="322"/>
      <c r="K39" s="323" t="s">
        <v>861</v>
      </c>
      <c r="L39" s="323"/>
      <c r="M39" s="319" t="s">
        <v>358</v>
      </c>
      <c r="N39" s="324"/>
      <c r="O39" s="348" t="s">
        <v>202</v>
      </c>
      <c r="P39" s="319"/>
      <c r="Q39" s="319" t="s">
        <v>842</v>
      </c>
      <c r="R39" s="326" t="s">
        <v>916</v>
      </c>
      <c r="S39" s="319"/>
      <c r="T39" s="324"/>
      <c r="U39" s="319">
        <v>0.3</v>
      </c>
      <c r="V39" s="319"/>
      <c r="W39" s="319"/>
      <c r="X39" s="319"/>
      <c r="Y39" s="319"/>
      <c r="Z39" s="318"/>
      <c r="AA39" s="318"/>
      <c r="AB39" s="319" t="s">
        <v>909</v>
      </c>
      <c r="AC39" s="327"/>
      <c r="AD39" s="319"/>
      <c r="AE39" s="319"/>
      <c r="AF39" s="319"/>
      <c r="AG39" s="319"/>
      <c r="AH39" s="319"/>
      <c r="AI39" s="319"/>
      <c r="AJ39" s="327"/>
      <c r="AK39" s="328"/>
      <c r="AL39" s="319"/>
      <c r="AM39" s="319"/>
      <c r="AN39" s="319"/>
      <c r="AO39" s="319"/>
      <c r="AP39" s="319"/>
      <c r="AQ39" s="319"/>
      <c r="AR39" s="319"/>
      <c r="AS39" s="327"/>
      <c r="AT39" s="344"/>
      <c r="AU39" s="332"/>
      <c r="AV39" s="330"/>
      <c r="AW39" s="331"/>
      <c r="AX39" s="331"/>
      <c r="AY39" s="331"/>
      <c r="AZ39" s="331"/>
      <c r="BA39" s="331"/>
      <c r="BB39" s="331"/>
      <c r="BC39" s="331"/>
      <c r="BD39" s="318"/>
      <c r="BE39" s="332"/>
      <c r="BF39" s="330">
        <f t="shared" si="1"/>
        <v>0</v>
      </c>
      <c r="BG39" s="333">
        <f t="shared" si="2"/>
        <v>0</v>
      </c>
      <c r="BH39" s="334"/>
      <c r="BI39" s="349" t="s">
        <v>846</v>
      </c>
      <c r="BJ39" s="318"/>
      <c r="BK39" s="350" t="s">
        <v>846</v>
      </c>
      <c r="BL39" s="351"/>
      <c r="BM39" s="350" t="s">
        <v>846</v>
      </c>
      <c r="BN39" s="350" t="s">
        <v>846</v>
      </c>
      <c r="BO39" s="318"/>
      <c r="BP39" s="350" t="s">
        <v>846</v>
      </c>
      <c r="BQ39" s="338"/>
      <c r="BR39" s="352" t="s">
        <v>846</v>
      </c>
      <c r="BS39" s="330">
        <f t="shared" si="3"/>
        <v>0</v>
      </c>
      <c r="BT39" s="331">
        <f t="shared" si="4"/>
        <v>0</v>
      </c>
      <c r="BU39" s="331"/>
      <c r="BV39" s="333"/>
      <c r="BW39" s="330"/>
      <c r="BX39" s="331"/>
      <c r="BY39" s="331"/>
      <c r="BZ39" s="340"/>
      <c r="CA39" s="316"/>
      <c r="CB39" s="318"/>
      <c r="CC39" s="318"/>
      <c r="CD39" s="318"/>
      <c r="CE39" s="318"/>
      <c r="CF39" s="318"/>
      <c r="CG39" s="318"/>
      <c r="CH39" s="318"/>
      <c r="CI39" s="338"/>
      <c r="CJ39" s="341"/>
      <c r="CK39" s="342">
        <f t="shared" si="5"/>
        <v>0</v>
      </c>
      <c r="CL39" s="333">
        <f t="shared" si="6"/>
        <v>0</v>
      </c>
      <c r="CM39" s="353" t="s">
        <v>921</v>
      </c>
      <c r="CN39" s="347"/>
      <c r="CO39" s="347"/>
      <c r="CP39" s="347"/>
    </row>
    <row r="40">
      <c r="B40" s="316"/>
      <c r="C40" s="317">
        <v>43258.0</v>
      </c>
      <c r="D40" s="318"/>
      <c r="E40" s="319"/>
      <c r="F40" s="324" t="s">
        <v>922</v>
      </c>
      <c r="G40" s="321">
        <v>0.42777777777777776</v>
      </c>
      <c r="H40" s="322"/>
      <c r="I40" s="322"/>
      <c r="J40" s="322"/>
      <c r="K40" s="323">
        <v>0.43194444444444446</v>
      </c>
      <c r="L40" s="323">
        <v>0.25</v>
      </c>
      <c r="M40" s="319" t="s">
        <v>358</v>
      </c>
      <c r="N40" s="324"/>
      <c r="O40" s="354" t="s">
        <v>202</v>
      </c>
      <c r="P40" s="319"/>
      <c r="Q40" s="319" t="s">
        <v>842</v>
      </c>
      <c r="R40" s="326" t="s">
        <v>916</v>
      </c>
      <c r="S40" s="319"/>
      <c r="T40" s="324"/>
      <c r="U40" s="319" t="s">
        <v>923</v>
      </c>
      <c r="V40" s="319"/>
      <c r="W40" s="319"/>
      <c r="X40" s="319"/>
      <c r="Y40" s="319"/>
      <c r="Z40" s="318"/>
      <c r="AA40" s="318"/>
      <c r="AB40" s="319" t="s">
        <v>909</v>
      </c>
      <c r="AC40" s="327"/>
      <c r="AD40" s="319"/>
      <c r="AE40" s="319"/>
      <c r="AF40" s="319"/>
      <c r="AG40" s="319"/>
      <c r="AH40" s="319"/>
      <c r="AI40" s="319"/>
      <c r="AJ40" s="327"/>
      <c r="AK40" s="328"/>
      <c r="AL40" s="319"/>
      <c r="AM40" s="319"/>
      <c r="AN40" s="319"/>
      <c r="AO40" s="319"/>
      <c r="AP40" s="319"/>
      <c r="AQ40" s="319"/>
      <c r="AR40" s="319"/>
      <c r="AS40" s="327"/>
      <c r="AT40" s="344"/>
      <c r="AU40" s="345" t="s">
        <v>845</v>
      </c>
      <c r="AV40" s="330"/>
      <c r="AW40" s="331"/>
      <c r="AX40" s="331"/>
      <c r="AY40" s="331"/>
      <c r="AZ40" s="331"/>
      <c r="BA40" s="331"/>
      <c r="BB40" s="331"/>
      <c r="BC40" s="331"/>
      <c r="BD40" s="318"/>
      <c r="BE40" s="332"/>
      <c r="BF40" s="330">
        <f t="shared" si="1"/>
        <v>0</v>
      </c>
      <c r="BG40" s="333">
        <f t="shared" si="2"/>
        <v>0</v>
      </c>
      <c r="BH40" s="334"/>
      <c r="BI40" s="335" t="s">
        <v>846</v>
      </c>
      <c r="BJ40" s="318"/>
      <c r="BK40" s="336" t="s">
        <v>845</v>
      </c>
      <c r="BL40" s="337"/>
      <c r="BM40" s="336" t="s">
        <v>846</v>
      </c>
      <c r="BN40" s="336" t="s">
        <v>846</v>
      </c>
      <c r="BO40" s="318"/>
      <c r="BP40" s="336" t="s">
        <v>846</v>
      </c>
      <c r="BQ40" s="338"/>
      <c r="BR40" s="339" t="s">
        <v>845</v>
      </c>
      <c r="BS40" s="330">
        <f t="shared" si="3"/>
        <v>0</v>
      </c>
      <c r="BT40" s="331">
        <f t="shared" si="4"/>
        <v>0</v>
      </c>
      <c r="BU40" s="331"/>
      <c r="BV40" s="333"/>
      <c r="BW40" s="330"/>
      <c r="BX40" s="331"/>
      <c r="BY40" s="331"/>
      <c r="BZ40" s="340"/>
      <c r="CA40" s="316"/>
      <c r="CB40" s="318"/>
      <c r="CC40" s="318"/>
      <c r="CD40" s="318"/>
      <c r="CE40" s="318"/>
      <c r="CF40" s="318"/>
      <c r="CG40" s="318"/>
      <c r="CH40" s="318"/>
      <c r="CI40" s="338"/>
      <c r="CJ40" s="341"/>
      <c r="CK40" s="342">
        <f t="shared" si="5"/>
        <v>0</v>
      </c>
      <c r="CL40" s="333">
        <f t="shared" si="6"/>
        <v>0</v>
      </c>
      <c r="CM40" s="346" t="s">
        <v>924</v>
      </c>
      <c r="CN40" s="347"/>
      <c r="CO40" s="347"/>
      <c r="CP40" s="347"/>
    </row>
    <row r="41">
      <c r="B41" s="316"/>
      <c r="C41" s="317">
        <v>43258.0</v>
      </c>
      <c r="D41" s="318"/>
      <c r="E41" s="319"/>
      <c r="F41" s="324" t="s">
        <v>925</v>
      </c>
      <c r="G41" s="321">
        <v>0.43472222222222223</v>
      </c>
      <c r="H41" s="322"/>
      <c r="I41" s="322"/>
      <c r="J41" s="322"/>
      <c r="K41" s="323">
        <v>0.43819444444444444</v>
      </c>
      <c r="L41" s="323">
        <v>0.20833333333333334</v>
      </c>
      <c r="M41" s="319" t="s">
        <v>358</v>
      </c>
      <c r="N41" s="324"/>
      <c r="O41" s="354" t="s">
        <v>202</v>
      </c>
      <c r="P41" s="319"/>
      <c r="Q41" s="319" t="s">
        <v>842</v>
      </c>
      <c r="R41" s="326" t="s">
        <v>916</v>
      </c>
      <c r="S41" s="319"/>
      <c r="T41" s="324"/>
      <c r="U41" s="319" t="s">
        <v>923</v>
      </c>
      <c r="V41" s="319"/>
      <c r="W41" s="319"/>
      <c r="X41" s="319"/>
      <c r="Y41" s="319"/>
      <c r="Z41" s="318"/>
      <c r="AA41" s="318"/>
      <c r="AB41" s="319" t="s">
        <v>909</v>
      </c>
      <c r="AC41" s="327"/>
      <c r="AD41" s="319"/>
      <c r="AE41" s="319"/>
      <c r="AF41" s="319"/>
      <c r="AG41" s="319"/>
      <c r="AH41" s="319"/>
      <c r="AI41" s="319"/>
      <c r="AJ41" s="327"/>
      <c r="AK41" s="328"/>
      <c r="AL41" s="319"/>
      <c r="AM41" s="319"/>
      <c r="AN41" s="319"/>
      <c r="AO41" s="319"/>
      <c r="AP41" s="319"/>
      <c r="AQ41" s="319"/>
      <c r="AR41" s="319"/>
      <c r="AS41" s="327"/>
      <c r="AT41" s="344"/>
      <c r="AU41" s="345" t="s">
        <v>845</v>
      </c>
      <c r="AV41" s="330"/>
      <c r="AW41" s="331"/>
      <c r="AX41" s="331"/>
      <c r="AY41" s="331"/>
      <c r="AZ41" s="331"/>
      <c r="BA41" s="331"/>
      <c r="BB41" s="331"/>
      <c r="BC41" s="331"/>
      <c r="BD41" s="318"/>
      <c r="BE41" s="332"/>
      <c r="BF41" s="330">
        <f t="shared" si="1"/>
        <v>0</v>
      </c>
      <c r="BG41" s="333">
        <f t="shared" si="2"/>
        <v>0</v>
      </c>
      <c r="BH41" s="334"/>
      <c r="BI41" s="335" t="s">
        <v>846</v>
      </c>
      <c r="BJ41" s="318"/>
      <c r="BK41" s="336" t="s">
        <v>845</v>
      </c>
      <c r="BL41" s="337"/>
      <c r="BM41" s="336" t="s">
        <v>846</v>
      </c>
      <c r="BN41" s="336" t="s">
        <v>846</v>
      </c>
      <c r="BO41" s="318"/>
      <c r="BP41" s="336" t="s">
        <v>846</v>
      </c>
      <c r="BQ41" s="338"/>
      <c r="BR41" s="339" t="s">
        <v>846</v>
      </c>
      <c r="BS41" s="330">
        <f t="shared" si="3"/>
        <v>0</v>
      </c>
      <c r="BT41" s="331">
        <f t="shared" si="4"/>
        <v>0</v>
      </c>
      <c r="BU41" s="331"/>
      <c r="BV41" s="333"/>
      <c r="BW41" s="330"/>
      <c r="BX41" s="331"/>
      <c r="BY41" s="331"/>
      <c r="BZ41" s="340"/>
      <c r="CA41" s="316"/>
      <c r="CB41" s="318"/>
      <c r="CC41" s="318"/>
      <c r="CD41" s="318"/>
      <c r="CE41" s="318"/>
      <c r="CF41" s="318"/>
      <c r="CG41" s="318"/>
      <c r="CH41" s="318"/>
      <c r="CI41" s="338"/>
      <c r="CJ41" s="341"/>
      <c r="CK41" s="342">
        <f t="shared" si="5"/>
        <v>0</v>
      </c>
      <c r="CL41" s="333">
        <f t="shared" si="6"/>
        <v>0</v>
      </c>
      <c r="CM41" s="346" t="s">
        <v>926</v>
      </c>
      <c r="CN41" s="347"/>
      <c r="CO41" s="347"/>
      <c r="CP41" s="347"/>
    </row>
    <row r="42">
      <c r="B42" s="355"/>
      <c r="C42" s="356">
        <v>43258.0</v>
      </c>
      <c r="D42" s="357"/>
      <c r="E42" s="358"/>
      <c r="F42" s="359" t="s">
        <v>927</v>
      </c>
      <c r="G42" s="360">
        <v>0.44583333333333336</v>
      </c>
      <c r="H42" s="361"/>
      <c r="I42" s="361"/>
      <c r="J42" s="361"/>
      <c r="K42" s="362">
        <v>0.44930555555555557</v>
      </c>
      <c r="L42" s="362">
        <v>0.20833333333333334</v>
      </c>
      <c r="M42" s="358" t="s">
        <v>358</v>
      </c>
      <c r="N42" s="359"/>
      <c r="O42" s="363" t="s">
        <v>202</v>
      </c>
      <c r="P42" s="358"/>
      <c r="Q42" s="358" t="s">
        <v>842</v>
      </c>
      <c r="R42" s="364" t="s">
        <v>916</v>
      </c>
      <c r="S42" s="358"/>
      <c r="T42" s="359"/>
      <c r="U42" s="358" t="s">
        <v>923</v>
      </c>
      <c r="V42" s="358"/>
      <c r="W42" s="358"/>
      <c r="X42" s="358"/>
      <c r="Y42" s="358"/>
      <c r="Z42" s="357"/>
      <c r="AA42" s="357"/>
      <c r="AB42" s="358" t="s">
        <v>909</v>
      </c>
      <c r="AC42" s="365"/>
      <c r="AD42" s="358"/>
      <c r="AE42" s="358"/>
      <c r="AF42" s="358"/>
      <c r="AG42" s="358"/>
      <c r="AH42" s="358"/>
      <c r="AI42" s="358"/>
      <c r="AJ42" s="365"/>
      <c r="AK42" s="366"/>
      <c r="AL42" s="358"/>
      <c r="AM42" s="358"/>
      <c r="AN42" s="358"/>
      <c r="AO42" s="358"/>
      <c r="AP42" s="358"/>
      <c r="AQ42" s="358"/>
      <c r="AR42" s="358"/>
      <c r="AS42" s="365"/>
      <c r="AT42" s="367"/>
      <c r="AU42" s="368" t="s">
        <v>845</v>
      </c>
      <c r="AV42" s="369"/>
      <c r="AW42" s="370"/>
      <c r="AX42" s="370"/>
      <c r="AY42" s="370"/>
      <c r="AZ42" s="370"/>
      <c r="BA42" s="370"/>
      <c r="BB42" s="370"/>
      <c r="BC42" s="370"/>
      <c r="BD42" s="357"/>
      <c r="BE42" s="371"/>
      <c r="BF42" s="330">
        <f t="shared" si="1"/>
        <v>0</v>
      </c>
      <c r="BG42" s="333">
        <f t="shared" si="2"/>
        <v>0</v>
      </c>
      <c r="BH42" s="372"/>
      <c r="BI42" s="373"/>
      <c r="BJ42" s="357"/>
      <c r="BK42" s="374"/>
      <c r="BL42" s="375"/>
      <c r="BM42" s="376" t="s">
        <v>928</v>
      </c>
      <c r="BN42" s="374"/>
      <c r="BO42" s="357"/>
      <c r="BP42" s="374"/>
      <c r="BQ42" s="357"/>
      <c r="BR42" s="377"/>
      <c r="BS42" s="330">
        <f t="shared" si="3"/>
        <v>0</v>
      </c>
      <c r="BT42" s="331">
        <f t="shared" si="4"/>
        <v>0</v>
      </c>
      <c r="BU42" s="370"/>
      <c r="BV42" s="378"/>
      <c r="BW42" s="369"/>
      <c r="BX42" s="370"/>
      <c r="BY42" s="370"/>
      <c r="BZ42" s="379"/>
      <c r="CA42" s="355"/>
      <c r="CB42" s="357"/>
      <c r="CC42" s="357"/>
      <c r="CD42" s="357"/>
      <c r="CE42" s="357"/>
      <c r="CF42" s="357"/>
      <c r="CG42" s="357"/>
      <c r="CH42" s="357"/>
      <c r="CI42" s="357"/>
      <c r="CJ42" s="380"/>
      <c r="CK42" s="342">
        <f t="shared" si="5"/>
        <v>0</v>
      </c>
      <c r="CL42" s="333">
        <f t="shared" si="6"/>
        <v>0</v>
      </c>
      <c r="CM42" s="381" t="s">
        <v>929</v>
      </c>
      <c r="CN42" s="382"/>
      <c r="CO42" s="382"/>
      <c r="CP42" s="382"/>
    </row>
    <row r="43">
      <c r="B43" s="316"/>
      <c r="C43" s="317">
        <v>43258.0</v>
      </c>
      <c r="D43" s="318"/>
      <c r="E43" s="319"/>
      <c r="F43" s="324" t="s">
        <v>930</v>
      </c>
      <c r="G43" s="321">
        <v>0.4534722222222222</v>
      </c>
      <c r="H43" s="322"/>
      <c r="I43" s="322"/>
      <c r="J43" s="322"/>
      <c r="K43" s="323">
        <v>0.46111111111111114</v>
      </c>
      <c r="L43" s="323">
        <v>0.4583333333333333</v>
      </c>
      <c r="M43" s="319" t="s">
        <v>358</v>
      </c>
      <c r="N43" s="324"/>
      <c r="O43" s="354" t="s">
        <v>202</v>
      </c>
      <c r="P43" s="319"/>
      <c r="Q43" s="319" t="s">
        <v>842</v>
      </c>
      <c r="R43" s="326" t="s">
        <v>916</v>
      </c>
      <c r="S43" s="319"/>
      <c r="T43" s="324"/>
      <c r="U43" s="319">
        <v>0.37</v>
      </c>
      <c r="V43" s="319"/>
      <c r="W43" s="319"/>
      <c r="X43" s="319"/>
      <c r="Y43" s="319"/>
      <c r="Z43" s="318"/>
      <c r="AA43" s="318"/>
      <c r="AB43" s="319" t="s">
        <v>909</v>
      </c>
      <c r="AC43" s="327"/>
      <c r="AD43" s="319"/>
      <c r="AE43" s="319"/>
      <c r="AF43" s="319"/>
      <c r="AG43" s="319"/>
      <c r="AH43" s="319"/>
      <c r="AI43" s="319"/>
      <c r="AJ43" s="327"/>
      <c r="AK43" s="328"/>
      <c r="AL43" s="319"/>
      <c r="AM43" s="319"/>
      <c r="AN43" s="319"/>
      <c r="AO43" s="319"/>
      <c r="AP43" s="319"/>
      <c r="AQ43" s="319"/>
      <c r="AR43" s="319"/>
      <c r="AS43" s="327"/>
      <c r="AT43" s="344"/>
      <c r="AU43" s="345" t="s">
        <v>845</v>
      </c>
      <c r="AV43" s="330"/>
      <c r="AW43" s="331"/>
      <c r="AX43" s="331"/>
      <c r="AY43" s="331"/>
      <c r="AZ43" s="331"/>
      <c r="BA43" s="331"/>
      <c r="BB43" s="331"/>
      <c r="BC43" s="331"/>
      <c r="BD43" s="318"/>
      <c r="BE43" s="332"/>
      <c r="BF43" s="330">
        <f t="shared" si="1"/>
        <v>0</v>
      </c>
      <c r="BG43" s="333">
        <f t="shared" si="2"/>
        <v>0</v>
      </c>
      <c r="BH43" s="334"/>
      <c r="BI43" s="349" t="s">
        <v>846</v>
      </c>
      <c r="BJ43" s="318"/>
      <c r="BK43" s="350" t="s">
        <v>846</v>
      </c>
      <c r="BL43" s="351"/>
      <c r="BM43" s="350" t="s">
        <v>846</v>
      </c>
      <c r="BN43" s="350" t="s">
        <v>846</v>
      </c>
      <c r="BO43" s="318"/>
      <c r="BP43" s="350" t="s">
        <v>846</v>
      </c>
      <c r="BQ43" s="338"/>
      <c r="BR43" s="352" t="s">
        <v>846</v>
      </c>
      <c r="BS43" s="330">
        <f t="shared" si="3"/>
        <v>0</v>
      </c>
      <c r="BT43" s="331">
        <f t="shared" si="4"/>
        <v>0</v>
      </c>
      <c r="BU43" s="331"/>
      <c r="BV43" s="333"/>
      <c r="BW43" s="330"/>
      <c r="BX43" s="331"/>
      <c r="BY43" s="331"/>
      <c r="BZ43" s="340"/>
      <c r="CA43" s="316"/>
      <c r="CB43" s="318"/>
      <c r="CC43" s="318"/>
      <c r="CD43" s="318"/>
      <c r="CE43" s="318"/>
      <c r="CF43" s="318"/>
      <c r="CG43" s="318"/>
      <c r="CH43" s="318"/>
      <c r="CI43" s="338"/>
      <c r="CJ43" s="341"/>
      <c r="CK43" s="342">
        <f t="shared" si="5"/>
        <v>0</v>
      </c>
      <c r="CL43" s="333">
        <f t="shared" si="6"/>
        <v>0</v>
      </c>
      <c r="CM43" s="346" t="s">
        <v>931</v>
      </c>
      <c r="CN43" s="347"/>
      <c r="CO43" s="347"/>
      <c r="CP43" s="347"/>
    </row>
    <row r="44">
      <c r="B44" s="316"/>
      <c r="C44" s="317">
        <v>43258.0</v>
      </c>
      <c r="D44" s="318"/>
      <c r="E44" s="319"/>
      <c r="F44" s="324" t="s">
        <v>932</v>
      </c>
      <c r="G44" s="321">
        <v>0.48055555555555557</v>
      </c>
      <c r="H44" s="322"/>
      <c r="I44" s="322"/>
      <c r="J44" s="322"/>
      <c r="K44" s="323">
        <v>0.4847222222222222</v>
      </c>
      <c r="L44" s="323">
        <v>0.25</v>
      </c>
      <c r="M44" s="319" t="s">
        <v>358</v>
      </c>
      <c r="N44" s="324"/>
      <c r="O44" s="354" t="s">
        <v>933</v>
      </c>
      <c r="P44" s="319"/>
      <c r="Q44" s="319" t="s">
        <v>842</v>
      </c>
      <c r="R44" s="326" t="s">
        <v>934</v>
      </c>
      <c r="S44" s="319"/>
      <c r="T44" s="324"/>
      <c r="U44" s="319">
        <v>6.0</v>
      </c>
      <c r="V44" s="319"/>
      <c r="W44" s="319"/>
      <c r="X44" s="319"/>
      <c r="Y44" s="319"/>
      <c r="Z44" s="318"/>
      <c r="AA44" s="318"/>
      <c r="AB44" s="319" t="s">
        <v>935</v>
      </c>
      <c r="AC44" s="327"/>
      <c r="AD44" s="319"/>
      <c r="AE44" s="319"/>
      <c r="AF44" s="319"/>
      <c r="AG44" s="319"/>
      <c r="AH44" s="319"/>
      <c r="AI44" s="319"/>
      <c r="AJ44" s="327"/>
      <c r="AK44" s="328"/>
      <c r="AL44" s="319"/>
      <c r="AM44" s="319"/>
      <c r="AN44" s="319"/>
      <c r="AO44" s="319"/>
      <c r="AP44" s="319"/>
      <c r="AQ44" s="319"/>
      <c r="AR44" s="319"/>
      <c r="AS44" s="327"/>
      <c r="AT44" s="344"/>
      <c r="AU44" s="345" t="s">
        <v>845</v>
      </c>
      <c r="AV44" s="330"/>
      <c r="AW44" s="331"/>
      <c r="AX44" s="331"/>
      <c r="AY44" s="331"/>
      <c r="AZ44" s="331"/>
      <c r="BA44" s="331"/>
      <c r="BB44" s="331"/>
      <c r="BC44" s="331"/>
      <c r="BD44" s="318"/>
      <c r="BE44" s="332"/>
      <c r="BF44" s="330">
        <f t="shared" si="1"/>
        <v>0</v>
      </c>
      <c r="BG44" s="333">
        <f t="shared" si="2"/>
        <v>0</v>
      </c>
      <c r="BH44" s="334"/>
      <c r="BI44" s="335" t="s">
        <v>846</v>
      </c>
      <c r="BJ44" s="318"/>
      <c r="BK44" s="336" t="s">
        <v>846</v>
      </c>
      <c r="BL44" s="337"/>
      <c r="BM44" s="336" t="s">
        <v>846</v>
      </c>
      <c r="BN44" s="336" t="s">
        <v>846</v>
      </c>
      <c r="BO44" s="318"/>
      <c r="BP44" s="336" t="s">
        <v>846</v>
      </c>
      <c r="BQ44" s="338"/>
      <c r="BR44" s="339" t="s">
        <v>846</v>
      </c>
      <c r="BS44" s="330">
        <f t="shared" si="3"/>
        <v>0</v>
      </c>
      <c r="BT44" s="331">
        <f t="shared" si="4"/>
        <v>0</v>
      </c>
      <c r="BU44" s="331"/>
      <c r="BV44" s="333"/>
      <c r="BW44" s="330"/>
      <c r="BX44" s="331"/>
      <c r="BY44" s="331"/>
      <c r="BZ44" s="340"/>
      <c r="CA44" s="316"/>
      <c r="CB44" s="318"/>
      <c r="CC44" s="318"/>
      <c r="CD44" s="318"/>
      <c r="CE44" s="318"/>
      <c r="CF44" s="318"/>
      <c r="CG44" s="318"/>
      <c r="CH44" s="318"/>
      <c r="CI44" s="338"/>
      <c r="CJ44" s="341"/>
      <c r="CK44" s="342">
        <f t="shared" si="5"/>
        <v>0</v>
      </c>
      <c r="CL44" s="333">
        <f t="shared" si="6"/>
        <v>0</v>
      </c>
      <c r="CM44" s="346" t="s">
        <v>936</v>
      </c>
      <c r="CN44" s="347"/>
      <c r="CO44" s="347"/>
      <c r="CP44" s="347"/>
    </row>
    <row r="45">
      <c r="B45" s="316"/>
      <c r="C45" s="317">
        <v>43258.0</v>
      </c>
      <c r="D45" s="318"/>
      <c r="E45" s="319"/>
      <c r="F45" s="324" t="s">
        <v>937</v>
      </c>
      <c r="G45" s="321">
        <v>0.4888888888888889</v>
      </c>
      <c r="H45" s="322"/>
      <c r="I45" s="322"/>
      <c r="J45" s="322"/>
      <c r="K45" s="323">
        <v>0.49583333333333335</v>
      </c>
      <c r="L45" s="323">
        <v>0.4166666666666667</v>
      </c>
      <c r="M45" s="319" t="s">
        <v>358</v>
      </c>
      <c r="N45" s="324"/>
      <c r="O45" s="354" t="s">
        <v>933</v>
      </c>
      <c r="P45" s="319"/>
      <c r="Q45" s="319" t="s">
        <v>842</v>
      </c>
      <c r="R45" s="326" t="s">
        <v>934</v>
      </c>
      <c r="S45" s="319"/>
      <c r="T45" s="324"/>
      <c r="U45" s="319">
        <v>3.7</v>
      </c>
      <c r="V45" s="319"/>
      <c r="W45" s="319"/>
      <c r="X45" s="319"/>
      <c r="Y45" s="319"/>
      <c r="Z45" s="318"/>
      <c r="AA45" s="318"/>
      <c r="AB45" s="319" t="s">
        <v>935</v>
      </c>
      <c r="AC45" s="327"/>
      <c r="AD45" s="319"/>
      <c r="AE45" s="319"/>
      <c r="AF45" s="319"/>
      <c r="AG45" s="319"/>
      <c r="AH45" s="319"/>
      <c r="AI45" s="319"/>
      <c r="AJ45" s="327"/>
      <c r="AK45" s="328"/>
      <c r="AL45" s="319"/>
      <c r="AM45" s="319"/>
      <c r="AN45" s="319"/>
      <c r="AO45" s="319"/>
      <c r="AP45" s="319"/>
      <c r="AQ45" s="319"/>
      <c r="AR45" s="319"/>
      <c r="AS45" s="327"/>
      <c r="AT45" s="344"/>
      <c r="AU45" s="345" t="s">
        <v>845</v>
      </c>
      <c r="AV45" s="330"/>
      <c r="AW45" s="331"/>
      <c r="AX45" s="331"/>
      <c r="AY45" s="331"/>
      <c r="AZ45" s="331"/>
      <c r="BA45" s="331"/>
      <c r="BB45" s="331"/>
      <c r="BC45" s="331"/>
      <c r="BD45" s="318"/>
      <c r="BE45" s="332"/>
      <c r="BF45" s="330">
        <f t="shared" si="1"/>
        <v>0</v>
      </c>
      <c r="BG45" s="333">
        <f t="shared" si="2"/>
        <v>0</v>
      </c>
      <c r="BH45" s="334"/>
      <c r="BI45" s="349" t="s">
        <v>846</v>
      </c>
      <c r="BJ45" s="318"/>
      <c r="BK45" s="350" t="s">
        <v>846</v>
      </c>
      <c r="BL45" s="351"/>
      <c r="BM45" s="350" t="s">
        <v>846</v>
      </c>
      <c r="BN45" s="350" t="s">
        <v>846</v>
      </c>
      <c r="BO45" s="318"/>
      <c r="BP45" s="350" t="s">
        <v>846</v>
      </c>
      <c r="BQ45" s="338"/>
      <c r="BR45" s="352" t="s">
        <v>846</v>
      </c>
      <c r="BS45" s="330">
        <f t="shared" si="3"/>
        <v>0</v>
      </c>
      <c r="BT45" s="331">
        <f t="shared" si="4"/>
        <v>0</v>
      </c>
      <c r="BU45" s="331"/>
      <c r="BV45" s="333"/>
      <c r="BW45" s="330"/>
      <c r="BX45" s="331"/>
      <c r="BY45" s="331"/>
      <c r="BZ45" s="340"/>
      <c r="CA45" s="316"/>
      <c r="CB45" s="318"/>
      <c r="CC45" s="318"/>
      <c r="CD45" s="318"/>
      <c r="CE45" s="318"/>
      <c r="CF45" s="318"/>
      <c r="CG45" s="318"/>
      <c r="CH45" s="318"/>
      <c r="CI45" s="338"/>
      <c r="CJ45" s="341"/>
      <c r="CK45" s="342">
        <f t="shared" si="5"/>
        <v>0</v>
      </c>
      <c r="CL45" s="333">
        <f t="shared" si="6"/>
        <v>0</v>
      </c>
      <c r="CM45" s="346" t="s">
        <v>938</v>
      </c>
      <c r="CN45" s="347"/>
      <c r="CO45" s="347"/>
      <c r="CP45" s="347"/>
    </row>
    <row r="46">
      <c r="B46" s="316"/>
      <c r="C46" s="317">
        <v>43258.0</v>
      </c>
      <c r="D46" s="318"/>
      <c r="E46" s="319"/>
      <c r="F46" s="324" t="s">
        <v>939</v>
      </c>
      <c r="G46" s="321" t="s">
        <v>861</v>
      </c>
      <c r="H46" s="322"/>
      <c r="I46" s="322"/>
      <c r="J46" s="322"/>
      <c r="K46" s="323">
        <v>0.6041666666666666</v>
      </c>
      <c r="L46" s="323"/>
      <c r="M46" s="319" t="s">
        <v>358</v>
      </c>
      <c r="N46" s="324"/>
      <c r="O46" s="354" t="s">
        <v>940</v>
      </c>
      <c r="P46" s="319"/>
      <c r="Q46" s="318"/>
      <c r="R46" s="326" t="s">
        <v>941</v>
      </c>
      <c r="S46" s="319"/>
      <c r="T46" s="324"/>
      <c r="U46" s="319">
        <v>1.87</v>
      </c>
      <c r="V46" s="319"/>
      <c r="W46" s="319"/>
      <c r="X46" s="319"/>
      <c r="Y46" s="319"/>
      <c r="Z46" s="318"/>
      <c r="AA46" s="318"/>
      <c r="AB46" s="319" t="s">
        <v>859</v>
      </c>
      <c r="AC46" s="327"/>
      <c r="AD46" s="319"/>
      <c r="AE46" s="319"/>
      <c r="AF46" s="319"/>
      <c r="AG46" s="319"/>
      <c r="AH46" s="319"/>
      <c r="AI46" s="319"/>
      <c r="AJ46" s="327"/>
      <c r="AK46" s="328"/>
      <c r="AL46" s="319"/>
      <c r="AM46" s="319"/>
      <c r="AN46" s="319"/>
      <c r="AO46" s="319"/>
      <c r="AP46" s="319"/>
      <c r="AQ46" s="319"/>
      <c r="AR46" s="319"/>
      <c r="AS46" s="327"/>
      <c r="AT46" s="344"/>
      <c r="AU46" s="345" t="s">
        <v>845</v>
      </c>
      <c r="AV46" s="330"/>
      <c r="AW46" s="331"/>
      <c r="AX46" s="331"/>
      <c r="AY46" s="331"/>
      <c r="AZ46" s="331"/>
      <c r="BA46" s="331"/>
      <c r="BB46" s="331"/>
      <c r="BC46" s="331"/>
      <c r="BD46" s="318"/>
      <c r="BE46" s="332"/>
      <c r="BF46" s="330">
        <f t="shared" si="1"/>
        <v>0</v>
      </c>
      <c r="BG46" s="333">
        <f t="shared" si="2"/>
        <v>0</v>
      </c>
      <c r="BH46" s="334"/>
      <c r="BI46" s="335" t="s">
        <v>846</v>
      </c>
      <c r="BJ46" s="318"/>
      <c r="BK46" s="336" t="s">
        <v>845</v>
      </c>
      <c r="BL46" s="336" t="s">
        <v>846</v>
      </c>
      <c r="BM46" s="336" t="s">
        <v>845</v>
      </c>
      <c r="BN46" s="336" t="s">
        <v>846</v>
      </c>
      <c r="BO46" s="318"/>
      <c r="BP46" s="336" t="s">
        <v>846</v>
      </c>
      <c r="BQ46" s="338"/>
      <c r="BR46" s="339" t="s">
        <v>845</v>
      </c>
      <c r="BS46" s="330">
        <f t="shared" si="3"/>
        <v>0</v>
      </c>
      <c r="BT46" s="331">
        <f t="shared" si="4"/>
        <v>0</v>
      </c>
      <c r="BU46" s="331"/>
      <c r="BV46" s="333"/>
      <c r="BW46" s="330"/>
      <c r="BX46" s="331"/>
      <c r="BY46" s="331"/>
      <c r="BZ46" s="340"/>
      <c r="CA46" s="316"/>
      <c r="CB46" s="318"/>
      <c r="CC46" s="318"/>
      <c r="CD46" s="318"/>
      <c r="CE46" s="318"/>
      <c r="CF46" s="318"/>
      <c r="CG46" s="318"/>
      <c r="CH46" s="318"/>
      <c r="CI46" s="338"/>
      <c r="CJ46" s="341"/>
      <c r="CK46" s="342">
        <f t="shared" si="5"/>
        <v>0</v>
      </c>
      <c r="CL46" s="333">
        <f t="shared" si="6"/>
        <v>0</v>
      </c>
      <c r="CM46" s="346" t="s">
        <v>942</v>
      </c>
      <c r="CN46" s="347"/>
      <c r="CO46" s="347"/>
      <c r="CP46" s="347"/>
    </row>
    <row r="47">
      <c r="B47" s="316"/>
      <c r="C47" s="317">
        <v>43258.0</v>
      </c>
      <c r="D47" s="318"/>
      <c r="E47" s="319"/>
      <c r="F47" s="324" t="s">
        <v>943</v>
      </c>
      <c r="G47" s="321">
        <v>0.60625</v>
      </c>
      <c r="H47" s="322"/>
      <c r="I47" s="322"/>
      <c r="J47" s="322"/>
      <c r="K47" s="323">
        <v>0.6118055555555556</v>
      </c>
      <c r="L47" s="323">
        <v>0.3333333333333333</v>
      </c>
      <c r="M47" s="319" t="s">
        <v>358</v>
      </c>
      <c r="N47" s="324"/>
      <c r="O47" s="354" t="s">
        <v>940</v>
      </c>
      <c r="P47" s="319"/>
      <c r="Q47" s="318"/>
      <c r="R47" s="326" t="s">
        <v>941</v>
      </c>
      <c r="S47" s="319"/>
      <c r="T47" s="324"/>
      <c r="U47" s="319">
        <v>0.85</v>
      </c>
      <c r="V47" s="319"/>
      <c r="W47" s="319"/>
      <c r="X47" s="319"/>
      <c r="Y47" s="319"/>
      <c r="Z47" s="318"/>
      <c r="AA47" s="318"/>
      <c r="AB47" s="319" t="s">
        <v>859</v>
      </c>
      <c r="AC47" s="327"/>
      <c r="AD47" s="319"/>
      <c r="AE47" s="319"/>
      <c r="AF47" s="319"/>
      <c r="AG47" s="319"/>
      <c r="AH47" s="319"/>
      <c r="AI47" s="319"/>
      <c r="AJ47" s="327"/>
      <c r="AK47" s="328"/>
      <c r="AL47" s="319"/>
      <c r="AM47" s="319"/>
      <c r="AN47" s="319"/>
      <c r="AO47" s="319"/>
      <c r="AP47" s="319"/>
      <c r="AQ47" s="319"/>
      <c r="AR47" s="319"/>
      <c r="AS47" s="327"/>
      <c r="AT47" s="344"/>
      <c r="AU47" s="345" t="s">
        <v>845</v>
      </c>
      <c r="AV47" s="330"/>
      <c r="AW47" s="331"/>
      <c r="AX47" s="331"/>
      <c r="AY47" s="331"/>
      <c r="AZ47" s="331"/>
      <c r="BA47" s="331"/>
      <c r="BB47" s="331"/>
      <c r="BC47" s="331"/>
      <c r="BD47" s="318"/>
      <c r="BE47" s="332"/>
      <c r="BF47" s="330">
        <f t="shared" si="1"/>
        <v>0</v>
      </c>
      <c r="BG47" s="333">
        <f t="shared" si="2"/>
        <v>0</v>
      </c>
      <c r="BH47" s="334"/>
      <c r="BI47" s="349" t="s">
        <v>846</v>
      </c>
      <c r="BJ47" s="318"/>
      <c r="BK47" s="350" t="s">
        <v>845</v>
      </c>
      <c r="BL47" s="350" t="s">
        <v>846</v>
      </c>
      <c r="BM47" s="350" t="s">
        <v>845</v>
      </c>
      <c r="BN47" s="350" t="s">
        <v>846</v>
      </c>
      <c r="BO47" s="318"/>
      <c r="BP47" s="350" t="s">
        <v>846</v>
      </c>
      <c r="BQ47" s="338"/>
      <c r="BR47" s="352" t="s">
        <v>846</v>
      </c>
      <c r="BS47" s="330">
        <f t="shared" si="3"/>
        <v>0</v>
      </c>
      <c r="BT47" s="331">
        <f t="shared" si="4"/>
        <v>0</v>
      </c>
      <c r="BU47" s="331"/>
      <c r="BV47" s="333"/>
      <c r="BW47" s="330"/>
      <c r="BX47" s="331"/>
      <c r="BY47" s="331"/>
      <c r="BZ47" s="340"/>
      <c r="CA47" s="316"/>
      <c r="CB47" s="318"/>
      <c r="CC47" s="318"/>
      <c r="CD47" s="318"/>
      <c r="CE47" s="318"/>
      <c r="CF47" s="318"/>
      <c r="CG47" s="318"/>
      <c r="CH47" s="318"/>
      <c r="CI47" s="338"/>
      <c r="CJ47" s="341"/>
      <c r="CK47" s="342">
        <f t="shared" si="5"/>
        <v>0</v>
      </c>
      <c r="CL47" s="333">
        <f t="shared" si="6"/>
        <v>0</v>
      </c>
      <c r="CM47" s="346" t="s">
        <v>944</v>
      </c>
      <c r="CN47" s="347"/>
      <c r="CO47" s="347"/>
      <c r="CP47" s="347"/>
    </row>
    <row r="48">
      <c r="B48" s="316"/>
      <c r="C48" s="317">
        <v>43258.0</v>
      </c>
      <c r="D48" s="318"/>
      <c r="E48" s="319"/>
      <c r="F48" s="324" t="s">
        <v>945</v>
      </c>
      <c r="G48" s="321">
        <v>0.6229166666666667</v>
      </c>
      <c r="H48" s="322"/>
      <c r="I48" s="322"/>
      <c r="J48" s="322"/>
      <c r="K48" s="323">
        <v>0.6263888888888889</v>
      </c>
      <c r="L48" s="323">
        <v>0.20833333333333334</v>
      </c>
      <c r="M48" s="319" t="s">
        <v>358</v>
      </c>
      <c r="N48" s="324"/>
      <c r="O48" s="354" t="s">
        <v>946</v>
      </c>
      <c r="P48" s="319"/>
      <c r="Q48" s="318"/>
      <c r="R48" s="326" t="s">
        <v>947</v>
      </c>
      <c r="S48" s="319"/>
      <c r="T48" s="324"/>
      <c r="U48" s="319">
        <v>0.81</v>
      </c>
      <c r="V48" s="319"/>
      <c r="W48" s="319"/>
      <c r="X48" s="319"/>
      <c r="Y48" s="319"/>
      <c r="Z48" s="318"/>
      <c r="AA48" s="318"/>
      <c r="AB48" s="319" t="s">
        <v>859</v>
      </c>
      <c r="AC48" s="327"/>
      <c r="AD48" s="319"/>
      <c r="AE48" s="319"/>
      <c r="AF48" s="319"/>
      <c r="AG48" s="319"/>
      <c r="AH48" s="319"/>
      <c r="AI48" s="319"/>
      <c r="AJ48" s="327"/>
      <c r="AK48" s="328"/>
      <c r="AL48" s="319"/>
      <c r="AM48" s="319"/>
      <c r="AN48" s="319"/>
      <c r="AO48" s="319"/>
      <c r="AP48" s="319"/>
      <c r="AQ48" s="319"/>
      <c r="AR48" s="319"/>
      <c r="AS48" s="327"/>
      <c r="AT48" s="344"/>
      <c r="AU48" s="345" t="s">
        <v>845</v>
      </c>
      <c r="AV48" s="330"/>
      <c r="AW48" s="331"/>
      <c r="AX48" s="331"/>
      <c r="AY48" s="331"/>
      <c r="AZ48" s="331"/>
      <c r="BA48" s="331"/>
      <c r="BB48" s="331"/>
      <c r="BC48" s="331"/>
      <c r="BD48" s="318"/>
      <c r="BE48" s="332"/>
      <c r="BF48" s="330">
        <f t="shared" si="1"/>
        <v>0</v>
      </c>
      <c r="BG48" s="333">
        <f t="shared" si="2"/>
        <v>0</v>
      </c>
      <c r="BH48" s="334"/>
      <c r="BI48" s="335" t="s">
        <v>845</v>
      </c>
      <c r="BJ48" s="318"/>
      <c r="BK48" s="336" t="s">
        <v>845</v>
      </c>
      <c r="BL48" s="336" t="s">
        <v>845</v>
      </c>
      <c r="BM48" s="336" t="s">
        <v>845</v>
      </c>
      <c r="BN48" s="336" t="s">
        <v>845</v>
      </c>
      <c r="BO48" s="318"/>
      <c r="BP48" s="336" t="s">
        <v>845</v>
      </c>
      <c r="BQ48" s="338"/>
      <c r="BR48" s="339" t="s">
        <v>845</v>
      </c>
      <c r="BS48" s="330">
        <f t="shared" si="3"/>
        <v>0</v>
      </c>
      <c r="BT48" s="331">
        <f t="shared" si="4"/>
        <v>0</v>
      </c>
      <c r="BU48" s="331"/>
      <c r="BV48" s="333"/>
      <c r="BW48" s="330"/>
      <c r="BX48" s="331"/>
      <c r="BY48" s="331"/>
      <c r="BZ48" s="340"/>
      <c r="CA48" s="316"/>
      <c r="CB48" s="318"/>
      <c r="CC48" s="318"/>
      <c r="CD48" s="318"/>
      <c r="CE48" s="318"/>
      <c r="CF48" s="318"/>
      <c r="CG48" s="318"/>
      <c r="CH48" s="318"/>
      <c r="CI48" s="338"/>
      <c r="CJ48" s="341"/>
      <c r="CK48" s="342">
        <f t="shared" si="5"/>
        <v>0</v>
      </c>
      <c r="CL48" s="333">
        <f t="shared" si="6"/>
        <v>0</v>
      </c>
      <c r="CM48" s="346" t="s">
        <v>948</v>
      </c>
      <c r="CN48" s="347"/>
      <c r="CO48" s="347"/>
      <c r="CP48" s="347"/>
    </row>
    <row r="49">
      <c r="B49" s="316"/>
      <c r="C49" s="317">
        <v>43258.0</v>
      </c>
      <c r="D49" s="318"/>
      <c r="E49" s="319"/>
      <c r="F49" s="324" t="s">
        <v>949</v>
      </c>
      <c r="G49" s="321">
        <v>0.6291666666666667</v>
      </c>
      <c r="H49" s="322"/>
      <c r="I49" s="322"/>
      <c r="J49" s="322"/>
      <c r="K49" s="323">
        <v>0.6319444444444444</v>
      </c>
      <c r="L49" s="323">
        <v>0.16666666666666666</v>
      </c>
      <c r="M49" s="319" t="s">
        <v>358</v>
      </c>
      <c r="N49" s="324"/>
      <c r="O49" s="354" t="s">
        <v>946</v>
      </c>
      <c r="P49" s="319"/>
      <c r="Q49" s="318"/>
      <c r="R49" s="326" t="s">
        <v>947</v>
      </c>
      <c r="S49" s="319"/>
      <c r="T49" s="324"/>
      <c r="U49" s="319">
        <v>1.05</v>
      </c>
      <c r="V49" s="319"/>
      <c r="W49" s="319"/>
      <c r="X49" s="319"/>
      <c r="Y49" s="319"/>
      <c r="Z49" s="318"/>
      <c r="AA49" s="318"/>
      <c r="AB49" s="319" t="s">
        <v>859</v>
      </c>
      <c r="AC49" s="327"/>
      <c r="AD49" s="319"/>
      <c r="AE49" s="319"/>
      <c r="AF49" s="319"/>
      <c r="AG49" s="319"/>
      <c r="AH49" s="319"/>
      <c r="AI49" s="319"/>
      <c r="AJ49" s="327"/>
      <c r="AK49" s="328"/>
      <c r="AL49" s="319"/>
      <c r="AM49" s="319"/>
      <c r="AN49" s="319"/>
      <c r="AO49" s="319"/>
      <c r="AP49" s="319"/>
      <c r="AQ49" s="319"/>
      <c r="AR49" s="319"/>
      <c r="AS49" s="327"/>
      <c r="AT49" s="344"/>
      <c r="AU49" s="345" t="s">
        <v>845</v>
      </c>
      <c r="AV49" s="330"/>
      <c r="AW49" s="331"/>
      <c r="AX49" s="331"/>
      <c r="AY49" s="331"/>
      <c r="AZ49" s="331"/>
      <c r="BA49" s="331"/>
      <c r="BB49" s="331"/>
      <c r="BC49" s="331"/>
      <c r="BD49" s="318"/>
      <c r="BE49" s="332"/>
      <c r="BF49" s="330">
        <f t="shared" si="1"/>
        <v>0</v>
      </c>
      <c r="BG49" s="333">
        <f t="shared" si="2"/>
        <v>0</v>
      </c>
      <c r="BH49" s="334"/>
      <c r="BI49" s="335" t="s">
        <v>845</v>
      </c>
      <c r="BJ49" s="318"/>
      <c r="BK49" s="336" t="s">
        <v>845</v>
      </c>
      <c r="BL49" s="336" t="s">
        <v>845</v>
      </c>
      <c r="BM49" s="336" t="s">
        <v>845</v>
      </c>
      <c r="BN49" s="336" t="s">
        <v>845</v>
      </c>
      <c r="BO49" s="318"/>
      <c r="BP49" s="336" t="s">
        <v>845</v>
      </c>
      <c r="BQ49" s="338"/>
      <c r="BR49" s="339" t="s">
        <v>845</v>
      </c>
      <c r="BS49" s="330">
        <f t="shared" si="3"/>
        <v>0</v>
      </c>
      <c r="BT49" s="331">
        <f t="shared" si="4"/>
        <v>0</v>
      </c>
      <c r="BU49" s="331"/>
      <c r="BV49" s="333"/>
      <c r="BW49" s="330"/>
      <c r="BX49" s="331"/>
      <c r="BY49" s="331"/>
      <c r="BZ49" s="340"/>
      <c r="CA49" s="316"/>
      <c r="CB49" s="318"/>
      <c r="CC49" s="318"/>
      <c r="CD49" s="318"/>
      <c r="CE49" s="318"/>
      <c r="CF49" s="318"/>
      <c r="CG49" s="318"/>
      <c r="CH49" s="318"/>
      <c r="CI49" s="338"/>
      <c r="CJ49" s="341"/>
      <c r="CK49" s="342">
        <f t="shared" si="5"/>
        <v>0</v>
      </c>
      <c r="CL49" s="333">
        <f t="shared" si="6"/>
        <v>0</v>
      </c>
      <c r="CM49" s="346" t="s">
        <v>950</v>
      </c>
      <c r="CN49" s="347"/>
      <c r="CO49" s="347"/>
      <c r="CP49" s="347"/>
    </row>
    <row r="50">
      <c r="B50" s="316"/>
      <c r="C50" s="317">
        <v>43258.0</v>
      </c>
      <c r="D50" s="318"/>
      <c r="E50" s="319"/>
      <c r="F50" s="324" t="s">
        <v>951</v>
      </c>
      <c r="G50" s="321">
        <v>0.6326388888888889</v>
      </c>
      <c r="H50" s="322"/>
      <c r="I50" s="322"/>
      <c r="J50" s="322"/>
      <c r="K50" s="323">
        <v>0.6354166666666666</v>
      </c>
      <c r="L50" s="323">
        <v>0.16666666666666666</v>
      </c>
      <c r="M50" s="319" t="s">
        <v>358</v>
      </c>
      <c r="N50" s="324"/>
      <c r="O50" s="354" t="s">
        <v>946</v>
      </c>
      <c r="P50" s="319"/>
      <c r="Q50" s="318"/>
      <c r="R50" s="326" t="s">
        <v>947</v>
      </c>
      <c r="S50" s="319"/>
      <c r="T50" s="324"/>
      <c r="U50" s="319">
        <v>1.8</v>
      </c>
      <c r="V50" s="319"/>
      <c r="W50" s="319"/>
      <c r="X50" s="319"/>
      <c r="Y50" s="319"/>
      <c r="Z50" s="318"/>
      <c r="AA50" s="318"/>
      <c r="AB50" s="319" t="s">
        <v>859</v>
      </c>
      <c r="AC50" s="327"/>
      <c r="AD50" s="319"/>
      <c r="AE50" s="319"/>
      <c r="AF50" s="319"/>
      <c r="AG50" s="319"/>
      <c r="AH50" s="319"/>
      <c r="AI50" s="319"/>
      <c r="AJ50" s="327"/>
      <c r="AK50" s="328"/>
      <c r="AL50" s="319"/>
      <c r="AM50" s="319"/>
      <c r="AN50" s="319"/>
      <c r="AO50" s="319"/>
      <c r="AP50" s="319"/>
      <c r="AQ50" s="319"/>
      <c r="AR50" s="319"/>
      <c r="AS50" s="327"/>
      <c r="AT50" s="344"/>
      <c r="AU50" s="345" t="s">
        <v>845</v>
      </c>
      <c r="AV50" s="330"/>
      <c r="AW50" s="331"/>
      <c r="AX50" s="331"/>
      <c r="AY50" s="331"/>
      <c r="AZ50" s="331"/>
      <c r="BA50" s="331"/>
      <c r="BB50" s="331"/>
      <c r="BC50" s="331"/>
      <c r="BD50" s="318"/>
      <c r="BE50" s="332"/>
      <c r="BF50" s="330">
        <f t="shared" si="1"/>
        <v>0</v>
      </c>
      <c r="BG50" s="333">
        <f t="shared" si="2"/>
        <v>0</v>
      </c>
      <c r="BH50" s="334"/>
      <c r="BI50" s="349" t="s">
        <v>845</v>
      </c>
      <c r="BJ50" s="318"/>
      <c r="BK50" s="350" t="s">
        <v>845</v>
      </c>
      <c r="BL50" s="350" t="s">
        <v>845</v>
      </c>
      <c r="BM50" s="350" t="s">
        <v>845</v>
      </c>
      <c r="BN50" s="350" t="s">
        <v>845</v>
      </c>
      <c r="BO50" s="318"/>
      <c r="BP50" s="350" t="s">
        <v>845</v>
      </c>
      <c r="BQ50" s="338"/>
      <c r="BR50" s="352" t="s">
        <v>845</v>
      </c>
      <c r="BS50" s="330">
        <f t="shared" si="3"/>
        <v>0</v>
      </c>
      <c r="BT50" s="331">
        <f t="shared" si="4"/>
        <v>0</v>
      </c>
      <c r="BU50" s="331"/>
      <c r="BV50" s="333"/>
      <c r="BW50" s="330"/>
      <c r="BX50" s="331"/>
      <c r="BY50" s="331"/>
      <c r="BZ50" s="340"/>
      <c r="CA50" s="316"/>
      <c r="CB50" s="318"/>
      <c r="CC50" s="318"/>
      <c r="CD50" s="318"/>
      <c r="CE50" s="318"/>
      <c r="CF50" s="318"/>
      <c r="CG50" s="318"/>
      <c r="CH50" s="318"/>
      <c r="CI50" s="338"/>
      <c r="CJ50" s="341"/>
      <c r="CK50" s="342">
        <f t="shared" si="5"/>
        <v>0</v>
      </c>
      <c r="CL50" s="333">
        <f t="shared" si="6"/>
        <v>0</v>
      </c>
      <c r="CM50" s="346" t="s">
        <v>952</v>
      </c>
      <c r="CN50" s="347"/>
      <c r="CO50" s="347"/>
      <c r="CP50" s="347"/>
    </row>
    <row r="51">
      <c r="B51" s="316"/>
      <c r="C51" s="317">
        <v>43258.0</v>
      </c>
      <c r="D51" s="318"/>
      <c r="E51" s="319"/>
      <c r="F51" s="324" t="s">
        <v>953</v>
      </c>
      <c r="G51" s="321">
        <v>0.64375</v>
      </c>
      <c r="H51" s="322"/>
      <c r="I51" s="322"/>
      <c r="J51" s="322"/>
      <c r="K51" s="323">
        <v>0.6465277777777778</v>
      </c>
      <c r="L51" s="323">
        <v>0.16666666666666666</v>
      </c>
      <c r="M51" s="319" t="s">
        <v>358</v>
      </c>
      <c r="N51" s="324"/>
      <c r="O51" s="354" t="s">
        <v>954</v>
      </c>
      <c r="P51" s="319"/>
      <c r="Q51" s="319" t="s">
        <v>842</v>
      </c>
      <c r="R51" s="326" t="s">
        <v>955</v>
      </c>
      <c r="S51" s="319"/>
      <c r="T51" s="324"/>
      <c r="U51" s="319">
        <v>1.85</v>
      </c>
      <c r="V51" s="319"/>
      <c r="W51" s="319"/>
      <c r="X51" s="319"/>
      <c r="Y51" s="319"/>
      <c r="Z51" s="318"/>
      <c r="AA51" s="318"/>
      <c r="AB51" s="319" t="s">
        <v>859</v>
      </c>
      <c r="AC51" s="327"/>
      <c r="AD51" s="319"/>
      <c r="AE51" s="319"/>
      <c r="AF51" s="319"/>
      <c r="AG51" s="319"/>
      <c r="AH51" s="319"/>
      <c r="AI51" s="319"/>
      <c r="AJ51" s="327"/>
      <c r="AK51" s="328"/>
      <c r="AL51" s="319"/>
      <c r="AM51" s="319"/>
      <c r="AN51" s="319"/>
      <c r="AO51" s="319"/>
      <c r="AP51" s="319"/>
      <c r="AQ51" s="319"/>
      <c r="AR51" s="319"/>
      <c r="AS51" s="327"/>
      <c r="AT51" s="344"/>
      <c r="AU51" s="345" t="s">
        <v>845</v>
      </c>
      <c r="AV51" s="330"/>
      <c r="AW51" s="331"/>
      <c r="AX51" s="331"/>
      <c r="AY51" s="331"/>
      <c r="AZ51" s="331"/>
      <c r="BA51" s="331"/>
      <c r="BB51" s="331"/>
      <c r="BC51" s="331"/>
      <c r="BD51" s="318"/>
      <c r="BE51" s="332"/>
      <c r="BF51" s="330">
        <f t="shared" si="1"/>
        <v>0</v>
      </c>
      <c r="BG51" s="333">
        <f t="shared" si="2"/>
        <v>0</v>
      </c>
      <c r="BH51" s="334"/>
      <c r="BI51" s="335" t="s">
        <v>846</v>
      </c>
      <c r="BJ51" s="318"/>
      <c r="BK51" s="336" t="s">
        <v>846</v>
      </c>
      <c r="BL51" s="336" t="s">
        <v>846</v>
      </c>
      <c r="BM51" s="336" t="s">
        <v>846</v>
      </c>
      <c r="BN51" s="336" t="s">
        <v>846</v>
      </c>
      <c r="BO51" s="318"/>
      <c r="BP51" s="336" t="s">
        <v>846</v>
      </c>
      <c r="BQ51" s="338"/>
      <c r="BR51" s="339" t="s">
        <v>846</v>
      </c>
      <c r="BS51" s="330">
        <f t="shared" si="3"/>
        <v>0</v>
      </c>
      <c r="BT51" s="331">
        <f t="shared" si="4"/>
        <v>0</v>
      </c>
      <c r="BU51" s="331"/>
      <c r="BV51" s="333"/>
      <c r="BW51" s="330"/>
      <c r="BX51" s="331"/>
      <c r="BY51" s="331"/>
      <c r="BZ51" s="340"/>
      <c r="CA51" s="316"/>
      <c r="CB51" s="318"/>
      <c r="CC51" s="318"/>
      <c r="CD51" s="318"/>
      <c r="CE51" s="318"/>
      <c r="CF51" s="318"/>
      <c r="CG51" s="318"/>
      <c r="CH51" s="318"/>
      <c r="CI51" s="338"/>
      <c r="CJ51" s="341"/>
      <c r="CK51" s="342">
        <f t="shared" si="5"/>
        <v>0</v>
      </c>
      <c r="CL51" s="333">
        <f t="shared" si="6"/>
        <v>0</v>
      </c>
      <c r="CM51" s="346" t="s">
        <v>956</v>
      </c>
      <c r="CN51" s="347"/>
      <c r="CO51" s="347"/>
      <c r="CP51" s="347"/>
    </row>
    <row r="52">
      <c r="B52" s="316"/>
      <c r="C52" s="317">
        <v>43258.0</v>
      </c>
      <c r="D52" s="318"/>
      <c r="E52" s="319"/>
      <c r="F52" s="324" t="s">
        <v>957</v>
      </c>
      <c r="G52" s="321">
        <v>0.6513888888888889</v>
      </c>
      <c r="H52" s="322"/>
      <c r="I52" s="322"/>
      <c r="J52" s="322"/>
      <c r="K52" s="323">
        <v>0.6555555555555556</v>
      </c>
      <c r="L52" s="323">
        <v>0.25</v>
      </c>
      <c r="M52" s="319" t="s">
        <v>358</v>
      </c>
      <c r="N52" s="324"/>
      <c r="O52" s="354" t="s">
        <v>954</v>
      </c>
      <c r="P52" s="319"/>
      <c r="Q52" s="319" t="s">
        <v>842</v>
      </c>
      <c r="R52" s="326" t="s">
        <v>955</v>
      </c>
      <c r="S52" s="319"/>
      <c r="T52" s="324"/>
      <c r="U52" s="319">
        <v>1.05</v>
      </c>
      <c r="V52" s="319"/>
      <c r="W52" s="319"/>
      <c r="X52" s="319"/>
      <c r="Y52" s="319"/>
      <c r="Z52" s="318"/>
      <c r="AA52" s="318"/>
      <c r="AB52" s="319" t="s">
        <v>859</v>
      </c>
      <c r="AC52" s="327"/>
      <c r="AD52" s="319"/>
      <c r="AE52" s="319"/>
      <c r="AF52" s="319"/>
      <c r="AG52" s="319"/>
      <c r="AH52" s="319"/>
      <c r="AI52" s="319"/>
      <c r="AJ52" s="327"/>
      <c r="AK52" s="328"/>
      <c r="AL52" s="319"/>
      <c r="AM52" s="319"/>
      <c r="AN52" s="319"/>
      <c r="AO52" s="319"/>
      <c r="AP52" s="319"/>
      <c r="AQ52" s="319"/>
      <c r="AR52" s="319"/>
      <c r="AS52" s="327"/>
      <c r="AT52" s="344"/>
      <c r="AU52" s="345" t="s">
        <v>845</v>
      </c>
      <c r="AV52" s="330"/>
      <c r="AW52" s="331"/>
      <c r="AX52" s="331"/>
      <c r="AY52" s="331"/>
      <c r="AZ52" s="331"/>
      <c r="BA52" s="331"/>
      <c r="BB52" s="331"/>
      <c r="BC52" s="331"/>
      <c r="BD52" s="318"/>
      <c r="BE52" s="332"/>
      <c r="BF52" s="330">
        <f t="shared" si="1"/>
        <v>0</v>
      </c>
      <c r="BG52" s="333">
        <f t="shared" si="2"/>
        <v>0</v>
      </c>
      <c r="BH52" s="334"/>
      <c r="BI52" s="335" t="s">
        <v>846</v>
      </c>
      <c r="BJ52" s="318"/>
      <c r="BK52" s="336" t="s">
        <v>846</v>
      </c>
      <c r="BL52" s="336" t="s">
        <v>846</v>
      </c>
      <c r="BM52" s="336" t="s">
        <v>846</v>
      </c>
      <c r="BN52" s="336" t="s">
        <v>846</v>
      </c>
      <c r="BO52" s="318"/>
      <c r="BP52" s="336" t="s">
        <v>846</v>
      </c>
      <c r="BQ52" s="338"/>
      <c r="BR52" s="339" t="s">
        <v>846</v>
      </c>
      <c r="BS52" s="330">
        <f t="shared" si="3"/>
        <v>0</v>
      </c>
      <c r="BT52" s="331">
        <f t="shared" si="4"/>
        <v>0</v>
      </c>
      <c r="BU52" s="331"/>
      <c r="BV52" s="333"/>
      <c r="BW52" s="330"/>
      <c r="BX52" s="331"/>
      <c r="BY52" s="331"/>
      <c r="BZ52" s="340"/>
      <c r="CA52" s="316"/>
      <c r="CB52" s="318"/>
      <c r="CC52" s="318"/>
      <c r="CD52" s="318"/>
      <c r="CE52" s="318"/>
      <c r="CF52" s="318"/>
      <c r="CG52" s="318"/>
      <c r="CH52" s="318"/>
      <c r="CI52" s="338"/>
      <c r="CJ52" s="341"/>
      <c r="CK52" s="342">
        <f t="shared" si="5"/>
        <v>0</v>
      </c>
      <c r="CL52" s="333">
        <f t="shared" si="6"/>
        <v>0</v>
      </c>
      <c r="CM52" s="346" t="s">
        <v>958</v>
      </c>
      <c r="CN52" s="347"/>
      <c r="CO52" s="347"/>
      <c r="CP52" s="347"/>
    </row>
    <row r="53">
      <c r="B53" s="316"/>
      <c r="C53" s="317">
        <v>43258.0</v>
      </c>
      <c r="D53" s="318"/>
      <c r="E53" s="319"/>
      <c r="F53" s="324" t="s">
        <v>959</v>
      </c>
      <c r="G53" s="321">
        <v>0.6611111111111111</v>
      </c>
      <c r="H53" s="322"/>
      <c r="I53" s="322"/>
      <c r="J53" s="322"/>
      <c r="K53" s="323">
        <v>0.6638888888888889</v>
      </c>
      <c r="L53" s="323">
        <v>0.16666666666666666</v>
      </c>
      <c r="M53" s="319" t="s">
        <v>358</v>
      </c>
      <c r="N53" s="324"/>
      <c r="O53" s="354" t="s">
        <v>954</v>
      </c>
      <c r="P53" s="319"/>
      <c r="Q53" s="319" t="s">
        <v>842</v>
      </c>
      <c r="R53" s="326" t="s">
        <v>955</v>
      </c>
      <c r="S53" s="319"/>
      <c r="T53" s="324"/>
      <c r="U53" s="319">
        <v>2.7</v>
      </c>
      <c r="V53" s="319"/>
      <c r="W53" s="319"/>
      <c r="X53" s="319"/>
      <c r="Y53" s="319"/>
      <c r="Z53" s="318"/>
      <c r="AA53" s="318"/>
      <c r="AB53" s="319" t="s">
        <v>894</v>
      </c>
      <c r="AC53" s="327"/>
      <c r="AD53" s="319"/>
      <c r="AE53" s="319"/>
      <c r="AF53" s="319"/>
      <c r="AG53" s="319"/>
      <c r="AH53" s="319"/>
      <c r="AI53" s="319"/>
      <c r="AJ53" s="327"/>
      <c r="AK53" s="328"/>
      <c r="AL53" s="319"/>
      <c r="AM53" s="319"/>
      <c r="AN53" s="319"/>
      <c r="AO53" s="319"/>
      <c r="AP53" s="319"/>
      <c r="AQ53" s="319"/>
      <c r="AR53" s="319"/>
      <c r="AS53" s="327"/>
      <c r="AT53" s="344"/>
      <c r="AU53" s="345" t="s">
        <v>845</v>
      </c>
      <c r="AV53" s="330"/>
      <c r="AW53" s="331"/>
      <c r="AX53" s="331"/>
      <c r="AY53" s="331"/>
      <c r="AZ53" s="331"/>
      <c r="BA53" s="331"/>
      <c r="BB53" s="331"/>
      <c r="BC53" s="331"/>
      <c r="BD53" s="318"/>
      <c r="BE53" s="332"/>
      <c r="BF53" s="330">
        <f t="shared" si="1"/>
        <v>0</v>
      </c>
      <c r="BG53" s="333">
        <f t="shared" si="2"/>
        <v>0</v>
      </c>
      <c r="BH53" s="334"/>
      <c r="BI53" s="335" t="s">
        <v>846</v>
      </c>
      <c r="BJ53" s="318"/>
      <c r="BK53" s="336" t="s">
        <v>846</v>
      </c>
      <c r="BL53" s="336" t="s">
        <v>846</v>
      </c>
      <c r="BM53" s="336" t="s">
        <v>846</v>
      </c>
      <c r="BN53" s="336" t="s">
        <v>846</v>
      </c>
      <c r="BO53" s="318"/>
      <c r="BP53" s="336" t="s">
        <v>846</v>
      </c>
      <c r="BQ53" s="338"/>
      <c r="BR53" s="339" t="s">
        <v>846</v>
      </c>
      <c r="BS53" s="330">
        <f t="shared" si="3"/>
        <v>0</v>
      </c>
      <c r="BT53" s="331">
        <f t="shared" si="4"/>
        <v>0</v>
      </c>
      <c r="BU53" s="331"/>
      <c r="BV53" s="333"/>
      <c r="BW53" s="330"/>
      <c r="BX53" s="331"/>
      <c r="BY53" s="331"/>
      <c r="BZ53" s="340"/>
      <c r="CA53" s="316"/>
      <c r="CB53" s="318"/>
      <c r="CC53" s="318"/>
      <c r="CD53" s="318"/>
      <c r="CE53" s="318"/>
      <c r="CF53" s="318"/>
      <c r="CG53" s="318"/>
      <c r="CH53" s="318"/>
      <c r="CI53" s="338"/>
      <c r="CJ53" s="341"/>
      <c r="CK53" s="342">
        <f t="shared" si="5"/>
        <v>0</v>
      </c>
      <c r="CL53" s="333">
        <f t="shared" si="6"/>
        <v>0</v>
      </c>
      <c r="CM53" s="346" t="s">
        <v>960</v>
      </c>
      <c r="CN53" s="347"/>
      <c r="CO53" s="347"/>
      <c r="CP53" s="347"/>
    </row>
    <row r="54">
      <c r="B54" s="316"/>
      <c r="C54" s="317">
        <v>43258.0</v>
      </c>
      <c r="D54" s="318"/>
      <c r="E54" s="319"/>
      <c r="F54" s="324" t="s">
        <v>961</v>
      </c>
      <c r="G54" s="321">
        <v>0.6680555555555555</v>
      </c>
      <c r="H54" s="322"/>
      <c r="I54" s="322"/>
      <c r="J54" s="322"/>
      <c r="K54" s="323">
        <v>0.6708333333333333</v>
      </c>
      <c r="L54" s="323">
        <v>0.16666666666666666</v>
      </c>
      <c r="M54" s="319" t="s">
        <v>358</v>
      </c>
      <c r="N54" s="324"/>
      <c r="O54" s="354" t="s">
        <v>954</v>
      </c>
      <c r="P54" s="319"/>
      <c r="Q54" s="319" t="s">
        <v>842</v>
      </c>
      <c r="R54" s="326" t="s">
        <v>955</v>
      </c>
      <c r="S54" s="319"/>
      <c r="T54" s="324"/>
      <c r="U54" s="319">
        <v>5.6</v>
      </c>
      <c r="V54" s="319"/>
      <c r="W54" s="319"/>
      <c r="X54" s="319"/>
      <c r="Y54" s="319"/>
      <c r="Z54" s="318"/>
      <c r="AA54" s="318"/>
      <c r="AB54" s="319" t="s">
        <v>894</v>
      </c>
      <c r="AC54" s="327"/>
      <c r="AD54" s="319"/>
      <c r="AE54" s="319"/>
      <c r="AF54" s="319"/>
      <c r="AG54" s="319"/>
      <c r="AH54" s="319"/>
      <c r="AI54" s="319"/>
      <c r="AJ54" s="327"/>
      <c r="AK54" s="328"/>
      <c r="AL54" s="319"/>
      <c r="AM54" s="319"/>
      <c r="AN54" s="319"/>
      <c r="AO54" s="319"/>
      <c r="AP54" s="319"/>
      <c r="AQ54" s="319"/>
      <c r="AR54" s="319"/>
      <c r="AS54" s="327"/>
      <c r="AT54" s="344"/>
      <c r="AU54" s="345" t="s">
        <v>845</v>
      </c>
      <c r="AV54" s="330"/>
      <c r="AW54" s="331"/>
      <c r="AX54" s="331"/>
      <c r="AY54" s="331"/>
      <c r="AZ54" s="331"/>
      <c r="BA54" s="331"/>
      <c r="BB54" s="331"/>
      <c r="BC54" s="331"/>
      <c r="BD54" s="318"/>
      <c r="BE54" s="332"/>
      <c r="BF54" s="330">
        <f t="shared" si="1"/>
        <v>0</v>
      </c>
      <c r="BG54" s="333">
        <f t="shared" si="2"/>
        <v>0</v>
      </c>
      <c r="BH54" s="334"/>
      <c r="BI54" s="335" t="s">
        <v>846</v>
      </c>
      <c r="BJ54" s="318"/>
      <c r="BK54" s="336" t="s">
        <v>846</v>
      </c>
      <c r="BL54" s="336" t="s">
        <v>846</v>
      </c>
      <c r="BM54" s="336" t="s">
        <v>846</v>
      </c>
      <c r="BN54" s="336" t="s">
        <v>846</v>
      </c>
      <c r="BO54" s="318"/>
      <c r="BP54" s="336" t="s">
        <v>846</v>
      </c>
      <c r="BQ54" s="338"/>
      <c r="BR54" s="339" t="s">
        <v>846</v>
      </c>
      <c r="BS54" s="330">
        <f t="shared" si="3"/>
        <v>0</v>
      </c>
      <c r="BT54" s="331">
        <f t="shared" si="4"/>
        <v>0</v>
      </c>
      <c r="BU54" s="331"/>
      <c r="BV54" s="333"/>
      <c r="BW54" s="330"/>
      <c r="BX54" s="331"/>
      <c r="BY54" s="331"/>
      <c r="BZ54" s="340"/>
      <c r="CA54" s="316"/>
      <c r="CB54" s="318"/>
      <c r="CC54" s="318"/>
      <c r="CD54" s="318"/>
      <c r="CE54" s="318"/>
      <c r="CF54" s="318"/>
      <c r="CG54" s="318"/>
      <c r="CH54" s="318"/>
      <c r="CI54" s="338"/>
      <c r="CJ54" s="341"/>
      <c r="CK54" s="342">
        <f t="shared" si="5"/>
        <v>0</v>
      </c>
      <c r="CL54" s="333">
        <f t="shared" si="6"/>
        <v>0</v>
      </c>
      <c r="CM54" s="346" t="s">
        <v>962</v>
      </c>
      <c r="CN54" s="347"/>
      <c r="CO54" s="347"/>
      <c r="CP54" s="347"/>
    </row>
    <row r="55">
      <c r="B55" s="316"/>
      <c r="C55" s="317">
        <v>43258.0</v>
      </c>
      <c r="D55" s="318"/>
      <c r="E55" s="319"/>
      <c r="F55" s="324" t="s">
        <v>963</v>
      </c>
      <c r="G55" s="321">
        <v>0.6736111111111112</v>
      </c>
      <c r="H55" s="322"/>
      <c r="I55" s="322"/>
      <c r="J55" s="322"/>
      <c r="K55" s="323">
        <v>0.6756944444444445</v>
      </c>
      <c r="L55" s="323">
        <v>0.125</v>
      </c>
      <c r="M55" s="319" t="s">
        <v>358</v>
      </c>
      <c r="N55" s="324"/>
      <c r="O55" s="354" t="s">
        <v>954</v>
      </c>
      <c r="P55" s="319"/>
      <c r="Q55" s="319" t="s">
        <v>842</v>
      </c>
      <c r="R55" s="326" t="s">
        <v>955</v>
      </c>
      <c r="S55" s="319"/>
      <c r="T55" s="324"/>
      <c r="U55" s="319">
        <v>9.0</v>
      </c>
      <c r="V55" s="319"/>
      <c r="W55" s="319"/>
      <c r="X55" s="319"/>
      <c r="Y55" s="319"/>
      <c r="Z55" s="318"/>
      <c r="AA55" s="318"/>
      <c r="AB55" s="319" t="s">
        <v>964</v>
      </c>
      <c r="AC55" s="327"/>
      <c r="AD55" s="319"/>
      <c r="AE55" s="319"/>
      <c r="AF55" s="319"/>
      <c r="AG55" s="319"/>
      <c r="AH55" s="319"/>
      <c r="AI55" s="319"/>
      <c r="AJ55" s="327"/>
      <c r="AK55" s="328"/>
      <c r="AL55" s="319"/>
      <c r="AM55" s="319"/>
      <c r="AN55" s="319"/>
      <c r="AO55" s="319"/>
      <c r="AP55" s="319"/>
      <c r="AQ55" s="319"/>
      <c r="AR55" s="319"/>
      <c r="AS55" s="327"/>
      <c r="AT55" s="344"/>
      <c r="AU55" s="345" t="s">
        <v>845</v>
      </c>
      <c r="AV55" s="330"/>
      <c r="AW55" s="331"/>
      <c r="AX55" s="331"/>
      <c r="AY55" s="331"/>
      <c r="AZ55" s="331"/>
      <c r="BA55" s="331"/>
      <c r="BB55" s="331"/>
      <c r="BC55" s="331"/>
      <c r="BD55" s="318"/>
      <c r="BE55" s="332"/>
      <c r="BF55" s="330">
        <f t="shared" si="1"/>
        <v>0</v>
      </c>
      <c r="BG55" s="333">
        <f t="shared" si="2"/>
        <v>0</v>
      </c>
      <c r="BH55" s="334"/>
      <c r="BI55" s="349" t="s">
        <v>846</v>
      </c>
      <c r="BJ55" s="318"/>
      <c r="BK55" s="350" t="s">
        <v>846</v>
      </c>
      <c r="BL55" s="350" t="s">
        <v>846</v>
      </c>
      <c r="BM55" s="350" t="s">
        <v>846</v>
      </c>
      <c r="BN55" s="350" t="s">
        <v>846</v>
      </c>
      <c r="BO55" s="318"/>
      <c r="BP55" s="350" t="s">
        <v>846</v>
      </c>
      <c r="BQ55" s="338"/>
      <c r="BR55" s="352" t="s">
        <v>846</v>
      </c>
      <c r="BS55" s="330">
        <f t="shared" si="3"/>
        <v>0</v>
      </c>
      <c r="BT55" s="331">
        <f t="shared" si="4"/>
        <v>0</v>
      </c>
      <c r="BU55" s="331"/>
      <c r="BV55" s="333"/>
      <c r="BW55" s="330"/>
      <c r="BX55" s="331"/>
      <c r="BY55" s="331"/>
      <c r="BZ55" s="340"/>
      <c r="CA55" s="316"/>
      <c r="CB55" s="318"/>
      <c r="CC55" s="318"/>
      <c r="CD55" s="318"/>
      <c r="CE55" s="318"/>
      <c r="CF55" s="318"/>
      <c r="CG55" s="318"/>
      <c r="CH55" s="318"/>
      <c r="CI55" s="338"/>
      <c r="CJ55" s="341"/>
      <c r="CK55" s="342">
        <f t="shared" si="5"/>
        <v>0</v>
      </c>
      <c r="CL55" s="333">
        <f t="shared" si="6"/>
        <v>0</v>
      </c>
      <c r="CM55" s="346" t="s">
        <v>965</v>
      </c>
      <c r="CN55" s="347"/>
      <c r="CO55" s="347"/>
      <c r="CP55" s="347"/>
    </row>
    <row r="56">
      <c r="B56" s="316"/>
      <c r="C56" s="317">
        <v>43258.0</v>
      </c>
      <c r="D56" s="318"/>
      <c r="E56" s="319"/>
      <c r="F56" s="324" t="s">
        <v>966</v>
      </c>
      <c r="G56" s="321">
        <v>0.6916666666666667</v>
      </c>
      <c r="H56" s="322"/>
      <c r="I56" s="322"/>
      <c r="J56" s="322"/>
      <c r="K56" s="323">
        <v>0.6958333333333333</v>
      </c>
      <c r="L56" s="323">
        <v>0.25</v>
      </c>
      <c r="M56" s="319" t="s">
        <v>358</v>
      </c>
      <c r="N56" s="324"/>
      <c r="O56" s="354" t="s">
        <v>967</v>
      </c>
      <c r="P56" s="319"/>
      <c r="Q56" s="319" t="s">
        <v>968</v>
      </c>
      <c r="R56" s="326" t="s">
        <v>969</v>
      </c>
      <c r="S56" s="319"/>
      <c r="T56" s="324"/>
      <c r="U56" s="319" t="s">
        <v>970</v>
      </c>
      <c r="V56" s="319"/>
      <c r="W56" s="319"/>
      <c r="X56" s="319"/>
      <c r="Y56" s="319"/>
      <c r="Z56" s="318"/>
      <c r="AA56" s="318"/>
      <c r="AB56" s="319" t="s">
        <v>971</v>
      </c>
      <c r="AC56" s="327"/>
      <c r="AD56" s="319"/>
      <c r="AE56" s="319"/>
      <c r="AF56" s="319"/>
      <c r="AG56" s="319"/>
      <c r="AH56" s="319"/>
      <c r="AI56" s="319"/>
      <c r="AJ56" s="327"/>
      <c r="AK56" s="328"/>
      <c r="AL56" s="319"/>
      <c r="AM56" s="319"/>
      <c r="AN56" s="319"/>
      <c r="AO56" s="319"/>
      <c r="AP56" s="319"/>
      <c r="AQ56" s="319"/>
      <c r="AR56" s="319"/>
      <c r="AS56" s="327"/>
      <c r="AT56" s="344"/>
      <c r="AU56" s="345" t="s">
        <v>845</v>
      </c>
      <c r="AV56" s="330"/>
      <c r="AW56" s="331"/>
      <c r="AX56" s="331"/>
      <c r="AY56" s="331"/>
      <c r="AZ56" s="331"/>
      <c r="BA56" s="331"/>
      <c r="BB56" s="331"/>
      <c r="BC56" s="331"/>
      <c r="BD56" s="318"/>
      <c r="BE56" s="332"/>
      <c r="BF56" s="330">
        <f t="shared" si="1"/>
        <v>0</v>
      </c>
      <c r="BG56" s="333">
        <f t="shared" si="2"/>
        <v>0</v>
      </c>
      <c r="BH56" s="334"/>
      <c r="BI56" s="335" t="s">
        <v>846</v>
      </c>
      <c r="BJ56" s="318"/>
      <c r="BK56" s="336" t="s">
        <v>846</v>
      </c>
      <c r="BL56" s="336" t="s">
        <v>846</v>
      </c>
      <c r="BM56" s="336" t="s">
        <v>846</v>
      </c>
      <c r="BN56" s="336" t="s">
        <v>846</v>
      </c>
      <c r="BO56" s="318"/>
      <c r="BP56" s="336" t="s">
        <v>846</v>
      </c>
      <c r="BQ56" s="338"/>
      <c r="BR56" s="339" t="s">
        <v>846</v>
      </c>
      <c r="BS56" s="330">
        <f t="shared" si="3"/>
        <v>0</v>
      </c>
      <c r="BT56" s="331">
        <f t="shared" si="4"/>
        <v>0</v>
      </c>
      <c r="BU56" s="331"/>
      <c r="BV56" s="333"/>
      <c r="BW56" s="330"/>
      <c r="BX56" s="331"/>
      <c r="BY56" s="331"/>
      <c r="BZ56" s="340"/>
      <c r="CA56" s="316"/>
      <c r="CB56" s="318"/>
      <c r="CC56" s="318"/>
      <c r="CD56" s="318"/>
      <c r="CE56" s="318"/>
      <c r="CF56" s="318"/>
      <c r="CG56" s="318"/>
      <c r="CH56" s="318"/>
      <c r="CI56" s="338"/>
      <c r="CJ56" s="341"/>
      <c r="CK56" s="342">
        <f t="shared" si="5"/>
        <v>0</v>
      </c>
      <c r="CL56" s="333">
        <f t="shared" si="6"/>
        <v>0</v>
      </c>
      <c r="CM56" s="346" t="s">
        <v>972</v>
      </c>
      <c r="CN56" s="347"/>
      <c r="CO56" s="347"/>
      <c r="CP56" s="347"/>
    </row>
    <row r="57">
      <c r="B57" s="316"/>
      <c r="C57" s="317">
        <v>43258.0</v>
      </c>
      <c r="D57" s="318"/>
      <c r="E57" s="319"/>
      <c r="F57" s="324" t="s">
        <v>973</v>
      </c>
      <c r="G57" s="321">
        <v>0.7</v>
      </c>
      <c r="H57" s="322"/>
      <c r="I57" s="322"/>
      <c r="J57" s="322"/>
      <c r="K57" s="323">
        <v>0.7013888888888888</v>
      </c>
      <c r="L57" s="323">
        <v>0.08333333333333333</v>
      </c>
      <c r="M57" s="319" t="s">
        <v>358</v>
      </c>
      <c r="N57" s="324"/>
      <c r="O57" s="354" t="s">
        <v>967</v>
      </c>
      <c r="P57" s="319"/>
      <c r="Q57" s="319" t="s">
        <v>968</v>
      </c>
      <c r="R57" s="326" t="s">
        <v>969</v>
      </c>
      <c r="S57" s="319"/>
      <c r="T57" s="324"/>
      <c r="U57" s="319" t="s">
        <v>974</v>
      </c>
      <c r="V57" s="319"/>
      <c r="W57" s="319"/>
      <c r="X57" s="319"/>
      <c r="Y57" s="319"/>
      <c r="Z57" s="318"/>
      <c r="AA57" s="318"/>
      <c r="AB57" s="319" t="s">
        <v>975</v>
      </c>
      <c r="AC57" s="327"/>
      <c r="AD57" s="319"/>
      <c r="AE57" s="319"/>
      <c r="AF57" s="319"/>
      <c r="AG57" s="319"/>
      <c r="AH57" s="319"/>
      <c r="AI57" s="319"/>
      <c r="AJ57" s="327"/>
      <c r="AK57" s="328"/>
      <c r="AL57" s="319"/>
      <c r="AM57" s="319"/>
      <c r="AN57" s="319"/>
      <c r="AO57" s="319"/>
      <c r="AP57" s="319"/>
      <c r="AQ57" s="319"/>
      <c r="AR57" s="319"/>
      <c r="AS57" s="327"/>
      <c r="AT57" s="344"/>
      <c r="AU57" s="345" t="s">
        <v>845</v>
      </c>
      <c r="AV57" s="330"/>
      <c r="AW57" s="331"/>
      <c r="AX57" s="331"/>
      <c r="AY57" s="331"/>
      <c r="AZ57" s="331"/>
      <c r="BA57" s="331"/>
      <c r="BB57" s="331"/>
      <c r="BC57" s="331"/>
      <c r="BD57" s="318"/>
      <c r="BE57" s="332"/>
      <c r="BF57" s="330">
        <f t="shared" si="1"/>
        <v>0</v>
      </c>
      <c r="BG57" s="333">
        <f t="shared" si="2"/>
        <v>0</v>
      </c>
      <c r="BH57" s="334"/>
      <c r="BI57" s="335" t="s">
        <v>846</v>
      </c>
      <c r="BJ57" s="318"/>
      <c r="BK57" s="336" t="s">
        <v>846</v>
      </c>
      <c r="BL57" s="336" t="s">
        <v>846</v>
      </c>
      <c r="BM57" s="336" t="s">
        <v>846</v>
      </c>
      <c r="BN57" s="336" t="s">
        <v>846</v>
      </c>
      <c r="BO57" s="318"/>
      <c r="BP57" s="336" t="s">
        <v>846</v>
      </c>
      <c r="BQ57" s="338"/>
      <c r="BR57" s="339" t="s">
        <v>846</v>
      </c>
      <c r="BS57" s="330">
        <f t="shared" si="3"/>
        <v>0</v>
      </c>
      <c r="BT57" s="331">
        <f t="shared" si="4"/>
        <v>0</v>
      </c>
      <c r="BU57" s="331"/>
      <c r="BV57" s="333"/>
      <c r="BW57" s="330"/>
      <c r="BX57" s="331"/>
      <c r="BY57" s="331"/>
      <c r="BZ57" s="340"/>
      <c r="CA57" s="316"/>
      <c r="CB57" s="318"/>
      <c r="CC57" s="318"/>
      <c r="CD57" s="318"/>
      <c r="CE57" s="318"/>
      <c r="CF57" s="318"/>
      <c r="CG57" s="318"/>
      <c r="CH57" s="318"/>
      <c r="CI57" s="338"/>
      <c r="CJ57" s="341"/>
      <c r="CK57" s="342">
        <f t="shared" si="5"/>
        <v>0</v>
      </c>
      <c r="CL57" s="333">
        <f t="shared" si="6"/>
        <v>0</v>
      </c>
      <c r="CM57" s="346" t="s">
        <v>976</v>
      </c>
      <c r="CN57" s="347"/>
      <c r="CO57" s="347"/>
      <c r="CP57" s="347"/>
    </row>
    <row r="58">
      <c r="B58" s="316"/>
      <c r="C58" s="317">
        <v>43258.0</v>
      </c>
      <c r="D58" s="318"/>
      <c r="E58" s="319"/>
      <c r="F58" s="324" t="s">
        <v>977</v>
      </c>
      <c r="G58" s="321">
        <v>0.7048611111111112</v>
      </c>
      <c r="H58" s="322"/>
      <c r="I58" s="322"/>
      <c r="J58" s="322"/>
      <c r="K58" s="323">
        <v>0.7069444444444445</v>
      </c>
      <c r="L58" s="323">
        <v>0.125</v>
      </c>
      <c r="M58" s="319" t="s">
        <v>358</v>
      </c>
      <c r="N58" s="324"/>
      <c r="O58" s="348" t="s">
        <v>967</v>
      </c>
      <c r="P58" s="319"/>
      <c r="Q58" s="319" t="s">
        <v>968</v>
      </c>
      <c r="R58" s="326" t="s">
        <v>969</v>
      </c>
      <c r="S58" s="319"/>
      <c r="T58" s="324"/>
      <c r="U58" s="319" t="s">
        <v>978</v>
      </c>
      <c r="V58" s="319"/>
      <c r="W58" s="319"/>
      <c r="X58" s="319"/>
      <c r="Y58" s="319"/>
      <c r="Z58" s="318"/>
      <c r="AA58" s="318"/>
      <c r="AB58" s="319" t="s">
        <v>979</v>
      </c>
      <c r="AC58" s="327"/>
      <c r="AD58" s="319"/>
      <c r="AE58" s="319"/>
      <c r="AF58" s="319"/>
      <c r="AG58" s="319"/>
      <c r="AH58" s="319"/>
      <c r="AI58" s="319"/>
      <c r="AJ58" s="327"/>
      <c r="AK58" s="328"/>
      <c r="AL58" s="319"/>
      <c r="AM58" s="319"/>
      <c r="AN58" s="319"/>
      <c r="AO58" s="319"/>
      <c r="AP58" s="319"/>
      <c r="AQ58" s="319"/>
      <c r="AR58" s="319"/>
      <c r="AS58" s="327"/>
      <c r="AT58" s="344"/>
      <c r="AU58" s="345" t="s">
        <v>845</v>
      </c>
      <c r="AV58" s="330"/>
      <c r="AW58" s="331"/>
      <c r="AX58" s="331"/>
      <c r="AY58" s="331"/>
      <c r="AZ58" s="331"/>
      <c r="BA58" s="331"/>
      <c r="BB58" s="331"/>
      <c r="BC58" s="331"/>
      <c r="BD58" s="318"/>
      <c r="BE58" s="332"/>
      <c r="BF58" s="330">
        <f t="shared" si="1"/>
        <v>0</v>
      </c>
      <c r="BG58" s="333">
        <f t="shared" si="2"/>
        <v>0</v>
      </c>
      <c r="BH58" s="334"/>
      <c r="BI58" s="349" t="s">
        <v>846</v>
      </c>
      <c r="BJ58" s="318"/>
      <c r="BK58" s="350" t="s">
        <v>846</v>
      </c>
      <c r="BL58" s="350" t="s">
        <v>846</v>
      </c>
      <c r="BM58" s="350" t="s">
        <v>846</v>
      </c>
      <c r="BN58" s="350" t="s">
        <v>846</v>
      </c>
      <c r="BO58" s="318"/>
      <c r="BP58" s="350" t="s">
        <v>846</v>
      </c>
      <c r="BQ58" s="338"/>
      <c r="BR58" s="352" t="s">
        <v>846</v>
      </c>
      <c r="BS58" s="330">
        <f t="shared" si="3"/>
        <v>0</v>
      </c>
      <c r="BT58" s="331">
        <f t="shared" si="4"/>
        <v>0</v>
      </c>
      <c r="BU58" s="331"/>
      <c r="BV58" s="333"/>
      <c r="BW58" s="330"/>
      <c r="BX58" s="331"/>
      <c r="BY58" s="331"/>
      <c r="BZ58" s="340"/>
      <c r="CA58" s="316"/>
      <c r="CB58" s="318"/>
      <c r="CC58" s="318"/>
      <c r="CD58" s="318"/>
      <c r="CE58" s="318"/>
      <c r="CF58" s="318"/>
      <c r="CG58" s="318"/>
      <c r="CH58" s="318"/>
      <c r="CI58" s="338"/>
      <c r="CJ58" s="341"/>
      <c r="CK58" s="342">
        <f t="shared" si="5"/>
        <v>0</v>
      </c>
      <c r="CL58" s="333">
        <f t="shared" si="6"/>
        <v>0</v>
      </c>
      <c r="CM58" s="353" t="s">
        <v>980</v>
      </c>
      <c r="CN58" s="347"/>
      <c r="CO58" s="347"/>
      <c r="CP58" s="347"/>
    </row>
    <row r="59">
      <c r="B59" s="316"/>
      <c r="C59" s="317">
        <v>43259.0</v>
      </c>
      <c r="D59" s="318"/>
      <c r="E59" s="319"/>
      <c r="F59" s="324" t="s">
        <v>981</v>
      </c>
      <c r="G59" s="321">
        <v>0.4027777777777778</v>
      </c>
      <c r="H59" s="322"/>
      <c r="I59" s="322"/>
      <c r="J59" s="322"/>
      <c r="K59" s="323">
        <v>0.4041666666666667</v>
      </c>
      <c r="L59" s="323">
        <v>0.08333333333333333</v>
      </c>
      <c r="M59" s="319" t="s">
        <v>358</v>
      </c>
      <c r="N59" s="324"/>
      <c r="O59" s="354" t="s">
        <v>213</v>
      </c>
      <c r="P59" s="319"/>
      <c r="Q59" s="318"/>
      <c r="R59" s="326" t="s">
        <v>982</v>
      </c>
      <c r="S59" s="319"/>
      <c r="T59" s="324"/>
      <c r="U59" s="319">
        <v>5.0</v>
      </c>
      <c r="V59" s="319"/>
      <c r="W59" s="319"/>
      <c r="X59" s="319"/>
      <c r="Y59" s="319"/>
      <c r="Z59" s="318"/>
      <c r="AA59" s="318"/>
      <c r="AB59" s="319" t="s">
        <v>213</v>
      </c>
      <c r="AC59" s="327"/>
      <c r="AD59" s="319"/>
      <c r="AE59" s="319"/>
      <c r="AF59" s="319"/>
      <c r="AG59" s="319"/>
      <c r="AH59" s="319"/>
      <c r="AI59" s="319"/>
      <c r="AJ59" s="327"/>
      <c r="AK59" s="328"/>
      <c r="AL59" s="319"/>
      <c r="AM59" s="319"/>
      <c r="AN59" s="319"/>
      <c r="AO59" s="319"/>
      <c r="AP59" s="319"/>
      <c r="AQ59" s="319"/>
      <c r="AR59" s="319"/>
      <c r="AS59" s="327"/>
      <c r="AT59" s="344"/>
      <c r="AU59" s="345" t="s">
        <v>845</v>
      </c>
      <c r="AV59" s="330"/>
      <c r="AW59" s="331"/>
      <c r="AX59" s="331"/>
      <c r="AY59" s="331"/>
      <c r="AZ59" s="331"/>
      <c r="BA59" s="331"/>
      <c r="BB59" s="331"/>
      <c r="BC59" s="331"/>
      <c r="BD59" s="318"/>
      <c r="BE59" s="332"/>
      <c r="BF59" s="330">
        <f t="shared" si="1"/>
        <v>0</v>
      </c>
      <c r="BG59" s="333">
        <f t="shared" si="2"/>
        <v>0</v>
      </c>
      <c r="BH59" s="334"/>
      <c r="BI59" s="335" t="s">
        <v>846</v>
      </c>
      <c r="BJ59" s="318"/>
      <c r="BK59" s="336" t="s">
        <v>846</v>
      </c>
      <c r="BL59" s="336" t="s">
        <v>846</v>
      </c>
      <c r="BM59" s="336" t="s">
        <v>846</v>
      </c>
      <c r="BN59" s="336" t="s">
        <v>846</v>
      </c>
      <c r="BO59" s="318"/>
      <c r="BP59" s="336" t="s">
        <v>846</v>
      </c>
      <c r="BQ59" s="338"/>
      <c r="BR59" s="339" t="s">
        <v>846</v>
      </c>
      <c r="BS59" s="330">
        <f t="shared" si="3"/>
        <v>0</v>
      </c>
      <c r="BT59" s="331">
        <f t="shared" si="4"/>
        <v>0</v>
      </c>
      <c r="BU59" s="331"/>
      <c r="BV59" s="333"/>
      <c r="BW59" s="330"/>
      <c r="BX59" s="331"/>
      <c r="BY59" s="331"/>
      <c r="BZ59" s="340"/>
      <c r="CA59" s="316"/>
      <c r="CB59" s="318"/>
      <c r="CC59" s="318"/>
      <c r="CD59" s="318"/>
      <c r="CE59" s="318"/>
      <c r="CF59" s="318"/>
      <c r="CG59" s="318"/>
      <c r="CH59" s="318"/>
      <c r="CI59" s="338"/>
      <c r="CJ59" s="341"/>
      <c r="CK59" s="342">
        <f t="shared" si="5"/>
        <v>0</v>
      </c>
      <c r="CL59" s="333">
        <f t="shared" si="6"/>
        <v>0</v>
      </c>
      <c r="CM59" s="346" t="s">
        <v>983</v>
      </c>
      <c r="CN59" s="347"/>
      <c r="CO59" s="347"/>
      <c r="CP59" s="347"/>
    </row>
    <row r="60">
      <c r="B60" s="316"/>
      <c r="C60" s="317">
        <v>43259.0</v>
      </c>
      <c r="D60" s="318"/>
      <c r="E60" s="319"/>
      <c r="F60" s="324" t="s">
        <v>984</v>
      </c>
      <c r="G60" s="321">
        <v>0.40625</v>
      </c>
      <c r="H60" s="322"/>
      <c r="I60" s="322"/>
      <c r="J60" s="322"/>
      <c r="K60" s="323">
        <v>0.4083333333333333</v>
      </c>
      <c r="L60" s="323">
        <v>0.125</v>
      </c>
      <c r="M60" s="319" t="s">
        <v>358</v>
      </c>
      <c r="N60" s="324"/>
      <c r="O60" s="354" t="s">
        <v>213</v>
      </c>
      <c r="P60" s="319"/>
      <c r="Q60" s="318"/>
      <c r="R60" s="326" t="s">
        <v>982</v>
      </c>
      <c r="S60" s="319"/>
      <c r="T60" s="324"/>
      <c r="U60" s="319">
        <v>0.9</v>
      </c>
      <c r="V60" s="319"/>
      <c r="W60" s="319"/>
      <c r="X60" s="319"/>
      <c r="Y60" s="319"/>
      <c r="Z60" s="318"/>
      <c r="AA60" s="318"/>
      <c r="AB60" s="319" t="s">
        <v>213</v>
      </c>
      <c r="AC60" s="327"/>
      <c r="AD60" s="319"/>
      <c r="AE60" s="319"/>
      <c r="AF60" s="319"/>
      <c r="AG60" s="319"/>
      <c r="AH60" s="319"/>
      <c r="AI60" s="319"/>
      <c r="AJ60" s="327"/>
      <c r="AK60" s="328"/>
      <c r="AL60" s="319"/>
      <c r="AM60" s="319"/>
      <c r="AN60" s="319"/>
      <c r="AO60" s="319"/>
      <c r="AP60" s="319"/>
      <c r="AQ60" s="319"/>
      <c r="AR60" s="319"/>
      <c r="AS60" s="327"/>
      <c r="AT60" s="344"/>
      <c r="AU60" s="345" t="s">
        <v>845</v>
      </c>
      <c r="AV60" s="330"/>
      <c r="AW60" s="331"/>
      <c r="AX60" s="331"/>
      <c r="AY60" s="331"/>
      <c r="AZ60" s="331"/>
      <c r="BA60" s="331"/>
      <c r="BB60" s="331"/>
      <c r="BC60" s="331"/>
      <c r="BD60" s="318"/>
      <c r="BE60" s="332"/>
      <c r="BF60" s="330">
        <f t="shared" si="1"/>
        <v>0</v>
      </c>
      <c r="BG60" s="333">
        <f t="shared" si="2"/>
        <v>0</v>
      </c>
      <c r="BH60" s="334"/>
      <c r="BI60" s="349" t="s">
        <v>846</v>
      </c>
      <c r="BJ60" s="318"/>
      <c r="BK60" s="350" t="s">
        <v>845</v>
      </c>
      <c r="BL60" s="350" t="s">
        <v>846</v>
      </c>
      <c r="BM60" s="350" t="s">
        <v>845</v>
      </c>
      <c r="BN60" s="350" t="s">
        <v>846</v>
      </c>
      <c r="BO60" s="318"/>
      <c r="BP60" s="350" t="s">
        <v>846</v>
      </c>
      <c r="BQ60" s="338"/>
      <c r="BR60" s="352" t="s">
        <v>845</v>
      </c>
      <c r="BS60" s="330">
        <f t="shared" si="3"/>
        <v>0</v>
      </c>
      <c r="BT60" s="331">
        <f t="shared" si="4"/>
        <v>0</v>
      </c>
      <c r="BU60" s="331"/>
      <c r="BV60" s="333"/>
      <c r="BW60" s="330"/>
      <c r="BX60" s="331"/>
      <c r="BY60" s="331"/>
      <c r="BZ60" s="340"/>
      <c r="CA60" s="316"/>
      <c r="CB60" s="318"/>
      <c r="CC60" s="318"/>
      <c r="CD60" s="318"/>
      <c r="CE60" s="318"/>
      <c r="CF60" s="318"/>
      <c r="CG60" s="318"/>
      <c r="CH60" s="318"/>
      <c r="CI60" s="338"/>
      <c r="CJ60" s="341"/>
      <c r="CK60" s="342">
        <f t="shared" si="5"/>
        <v>0</v>
      </c>
      <c r="CL60" s="333">
        <f t="shared" si="6"/>
        <v>0</v>
      </c>
      <c r="CM60" s="346" t="s">
        <v>985</v>
      </c>
      <c r="CN60" s="347"/>
      <c r="CO60" s="347"/>
      <c r="CP60" s="347"/>
    </row>
    <row r="61">
      <c r="B61" s="316"/>
      <c r="C61" s="317">
        <v>43259.0</v>
      </c>
      <c r="D61" s="319" t="s">
        <v>986</v>
      </c>
      <c r="E61" s="319"/>
      <c r="F61" s="324" t="s">
        <v>987</v>
      </c>
      <c r="G61" s="321"/>
      <c r="H61" s="322"/>
      <c r="I61" s="322"/>
      <c r="J61" s="322"/>
      <c r="K61" s="323"/>
      <c r="L61" s="322"/>
      <c r="M61" s="319" t="s">
        <v>358</v>
      </c>
      <c r="N61" s="324"/>
      <c r="O61" s="354" t="s">
        <v>213</v>
      </c>
      <c r="P61" s="319"/>
      <c r="Q61" s="318"/>
      <c r="R61" s="326" t="s">
        <v>982</v>
      </c>
      <c r="S61" s="319"/>
      <c r="T61" s="324"/>
      <c r="U61" s="319">
        <v>2.0</v>
      </c>
      <c r="V61" s="319"/>
      <c r="W61" s="319"/>
      <c r="X61" s="319"/>
      <c r="Y61" s="319"/>
      <c r="Z61" s="318"/>
      <c r="AA61" s="318"/>
      <c r="AB61" s="319" t="s">
        <v>213</v>
      </c>
      <c r="AC61" s="327"/>
      <c r="AD61" s="319"/>
      <c r="AE61" s="319"/>
      <c r="AF61" s="319"/>
      <c r="AG61" s="319"/>
      <c r="AH61" s="319"/>
      <c r="AI61" s="319"/>
      <c r="AJ61" s="327"/>
      <c r="AK61" s="328"/>
      <c r="AL61" s="319"/>
      <c r="AM61" s="319"/>
      <c r="AN61" s="319"/>
      <c r="AO61" s="319"/>
      <c r="AP61" s="319"/>
      <c r="AQ61" s="319"/>
      <c r="AR61" s="319"/>
      <c r="AS61" s="327"/>
      <c r="AT61" s="344"/>
      <c r="AU61" s="332"/>
      <c r="AV61" s="330"/>
      <c r="AW61" s="331"/>
      <c r="AX61" s="331"/>
      <c r="AY61" s="331"/>
      <c r="AZ61" s="331"/>
      <c r="BA61" s="331"/>
      <c r="BB61" s="331"/>
      <c r="BC61" s="331"/>
      <c r="BD61" s="318"/>
      <c r="BE61" s="332"/>
      <c r="BF61" s="330">
        <f t="shared" si="1"/>
        <v>0</v>
      </c>
      <c r="BG61" s="333">
        <f t="shared" si="2"/>
        <v>0</v>
      </c>
      <c r="BH61" s="334"/>
      <c r="BI61" s="335" t="s">
        <v>846</v>
      </c>
      <c r="BJ61" s="318"/>
      <c r="BK61" s="336" t="s">
        <v>845</v>
      </c>
      <c r="BL61" s="336" t="s">
        <v>846</v>
      </c>
      <c r="BM61" s="336" t="s">
        <v>845</v>
      </c>
      <c r="BN61" s="336" t="s">
        <v>846</v>
      </c>
      <c r="BO61" s="318"/>
      <c r="BP61" s="336" t="s">
        <v>846</v>
      </c>
      <c r="BQ61" s="338"/>
      <c r="BR61" s="339" t="s">
        <v>845</v>
      </c>
      <c r="BS61" s="330">
        <f t="shared" si="3"/>
        <v>0</v>
      </c>
      <c r="BT61" s="331">
        <f t="shared" si="4"/>
        <v>0</v>
      </c>
      <c r="BU61" s="331"/>
      <c r="BV61" s="333"/>
      <c r="BW61" s="330"/>
      <c r="BX61" s="331"/>
      <c r="BY61" s="331"/>
      <c r="BZ61" s="340"/>
      <c r="CA61" s="316"/>
      <c r="CB61" s="318"/>
      <c r="CC61" s="318"/>
      <c r="CD61" s="318"/>
      <c r="CE61" s="318"/>
      <c r="CF61" s="318"/>
      <c r="CG61" s="318"/>
      <c r="CH61" s="318"/>
      <c r="CI61" s="338"/>
      <c r="CJ61" s="341"/>
      <c r="CK61" s="342">
        <f t="shared" si="5"/>
        <v>0</v>
      </c>
      <c r="CL61" s="333">
        <f t="shared" si="6"/>
        <v>0</v>
      </c>
      <c r="CM61" s="383"/>
      <c r="CN61" s="384"/>
      <c r="CO61" s="384"/>
      <c r="CP61" s="384"/>
    </row>
    <row r="62">
      <c r="B62" s="316"/>
      <c r="C62" s="317">
        <v>43259.0</v>
      </c>
      <c r="D62" s="319" t="s">
        <v>986</v>
      </c>
      <c r="E62" s="319"/>
      <c r="F62" s="324" t="s">
        <v>988</v>
      </c>
      <c r="G62" s="321"/>
      <c r="H62" s="322"/>
      <c r="I62" s="322"/>
      <c r="J62" s="322"/>
      <c r="K62" s="323"/>
      <c r="L62" s="322"/>
      <c r="M62" s="319" t="s">
        <v>358</v>
      </c>
      <c r="N62" s="324"/>
      <c r="O62" s="354" t="s">
        <v>954</v>
      </c>
      <c r="P62" s="319"/>
      <c r="Q62" s="319" t="s">
        <v>842</v>
      </c>
      <c r="R62" s="326"/>
      <c r="S62" s="319"/>
      <c r="T62" s="324"/>
      <c r="U62" s="319"/>
      <c r="V62" s="319"/>
      <c r="W62" s="319"/>
      <c r="X62" s="319"/>
      <c r="Y62" s="319"/>
      <c r="Z62" s="318"/>
      <c r="AA62" s="318"/>
      <c r="AB62" s="319" t="s">
        <v>859</v>
      </c>
      <c r="AC62" s="327"/>
      <c r="AD62" s="319"/>
      <c r="AE62" s="319"/>
      <c r="AF62" s="319"/>
      <c r="AG62" s="319"/>
      <c r="AH62" s="319"/>
      <c r="AI62" s="319"/>
      <c r="AJ62" s="327"/>
      <c r="AK62" s="328"/>
      <c r="AL62" s="319"/>
      <c r="AM62" s="319"/>
      <c r="AN62" s="319"/>
      <c r="AO62" s="319"/>
      <c r="AP62" s="319"/>
      <c r="AQ62" s="319"/>
      <c r="AR62" s="319"/>
      <c r="AS62" s="327"/>
      <c r="AT62" s="344"/>
      <c r="AU62" s="332"/>
      <c r="AV62" s="330"/>
      <c r="AW62" s="331"/>
      <c r="AX62" s="331"/>
      <c r="AY62" s="331"/>
      <c r="AZ62" s="331"/>
      <c r="BA62" s="331"/>
      <c r="BB62" s="331"/>
      <c r="BC62" s="331"/>
      <c r="BD62" s="318"/>
      <c r="BE62" s="332"/>
      <c r="BF62" s="330">
        <f t="shared" si="1"/>
        <v>0</v>
      </c>
      <c r="BG62" s="333">
        <f t="shared" si="2"/>
        <v>0</v>
      </c>
      <c r="BH62" s="334"/>
      <c r="BI62" s="335" t="s">
        <v>846</v>
      </c>
      <c r="BJ62" s="318"/>
      <c r="BK62" s="336" t="s">
        <v>846</v>
      </c>
      <c r="BL62" s="336" t="s">
        <v>846</v>
      </c>
      <c r="BM62" s="336" t="s">
        <v>846</v>
      </c>
      <c r="BN62" s="336" t="s">
        <v>846</v>
      </c>
      <c r="BO62" s="318"/>
      <c r="BP62" s="336" t="s">
        <v>846</v>
      </c>
      <c r="BQ62" s="338"/>
      <c r="BR62" s="339" t="s">
        <v>846</v>
      </c>
      <c r="BS62" s="330">
        <f t="shared" si="3"/>
        <v>0</v>
      </c>
      <c r="BT62" s="331">
        <f t="shared" si="4"/>
        <v>0</v>
      </c>
      <c r="BU62" s="331"/>
      <c r="BV62" s="333"/>
      <c r="BW62" s="330"/>
      <c r="BX62" s="331"/>
      <c r="BY62" s="331"/>
      <c r="BZ62" s="340"/>
      <c r="CA62" s="316"/>
      <c r="CB62" s="318"/>
      <c r="CC62" s="318"/>
      <c r="CD62" s="318"/>
      <c r="CE62" s="318"/>
      <c r="CF62" s="318"/>
      <c r="CG62" s="318"/>
      <c r="CH62" s="318"/>
      <c r="CI62" s="338"/>
      <c r="CJ62" s="341"/>
      <c r="CK62" s="342">
        <f t="shared" si="5"/>
        <v>0</v>
      </c>
      <c r="CL62" s="333">
        <f t="shared" si="6"/>
        <v>0</v>
      </c>
      <c r="CM62" s="383"/>
      <c r="CN62" s="384"/>
      <c r="CO62" s="384"/>
      <c r="CP62" s="384"/>
    </row>
    <row r="63">
      <c r="B63" s="316"/>
      <c r="C63" s="317">
        <v>43259.0</v>
      </c>
      <c r="D63" s="319" t="s">
        <v>986</v>
      </c>
      <c r="E63" s="319"/>
      <c r="F63" s="324" t="s">
        <v>989</v>
      </c>
      <c r="G63" s="321"/>
      <c r="H63" s="322"/>
      <c r="I63" s="322"/>
      <c r="J63" s="322"/>
      <c r="K63" s="323"/>
      <c r="L63" s="322"/>
      <c r="M63" s="319" t="s">
        <v>358</v>
      </c>
      <c r="N63" s="324"/>
      <c r="O63" s="385"/>
      <c r="P63" s="319"/>
      <c r="Q63" s="318"/>
      <c r="R63" s="326"/>
      <c r="S63" s="319"/>
      <c r="T63" s="324"/>
      <c r="U63" s="319"/>
      <c r="V63" s="319"/>
      <c r="W63" s="319"/>
      <c r="X63" s="319"/>
      <c r="Y63" s="319"/>
      <c r="Z63" s="318"/>
      <c r="AA63" s="318"/>
      <c r="AB63" s="318"/>
      <c r="AC63" s="327"/>
      <c r="AD63" s="319"/>
      <c r="AE63" s="319"/>
      <c r="AF63" s="319"/>
      <c r="AG63" s="319"/>
      <c r="AH63" s="319"/>
      <c r="AI63" s="319"/>
      <c r="AJ63" s="327"/>
      <c r="AK63" s="328"/>
      <c r="AL63" s="319"/>
      <c r="AM63" s="319"/>
      <c r="AN63" s="319"/>
      <c r="AO63" s="319"/>
      <c r="AP63" s="319"/>
      <c r="AQ63" s="319"/>
      <c r="AR63" s="319"/>
      <c r="AS63" s="327"/>
      <c r="AT63" s="344"/>
      <c r="AU63" s="332"/>
      <c r="AV63" s="330"/>
      <c r="AW63" s="331"/>
      <c r="AX63" s="331"/>
      <c r="AY63" s="331"/>
      <c r="AZ63" s="331"/>
      <c r="BA63" s="331"/>
      <c r="BB63" s="331"/>
      <c r="BC63" s="331"/>
      <c r="BD63" s="318"/>
      <c r="BE63" s="332"/>
      <c r="BF63" s="330">
        <f t="shared" si="1"/>
        <v>0</v>
      </c>
      <c r="BG63" s="333">
        <f t="shared" si="2"/>
        <v>0</v>
      </c>
      <c r="BH63" s="334"/>
      <c r="BI63" s="335" t="s">
        <v>845</v>
      </c>
      <c r="BJ63" s="318"/>
      <c r="BK63" s="336" t="s">
        <v>845</v>
      </c>
      <c r="BL63" s="336" t="s">
        <v>845</v>
      </c>
      <c r="BM63" s="336" t="s">
        <v>845</v>
      </c>
      <c r="BN63" s="386" t="s">
        <v>990</v>
      </c>
      <c r="BO63" s="318"/>
      <c r="BP63" s="336" t="s">
        <v>845</v>
      </c>
      <c r="BQ63" s="338"/>
      <c r="BR63" s="339" t="s">
        <v>845</v>
      </c>
      <c r="BS63" s="330">
        <f t="shared" si="3"/>
        <v>0</v>
      </c>
      <c r="BT63" s="331">
        <f t="shared" si="4"/>
        <v>0</v>
      </c>
      <c r="BU63" s="331"/>
      <c r="BV63" s="333"/>
      <c r="BW63" s="330"/>
      <c r="BX63" s="331"/>
      <c r="BY63" s="331"/>
      <c r="BZ63" s="340"/>
      <c r="CA63" s="316"/>
      <c r="CB63" s="318"/>
      <c r="CC63" s="318"/>
      <c r="CD63" s="318"/>
      <c r="CE63" s="318"/>
      <c r="CF63" s="318"/>
      <c r="CG63" s="318"/>
      <c r="CH63" s="318"/>
      <c r="CI63" s="338"/>
      <c r="CJ63" s="341"/>
      <c r="CK63" s="342">
        <f t="shared" si="5"/>
        <v>0</v>
      </c>
      <c r="CL63" s="333">
        <f t="shared" si="6"/>
        <v>0</v>
      </c>
      <c r="CM63" s="383"/>
      <c r="CN63" s="384"/>
      <c r="CO63" s="384"/>
      <c r="CP63" s="384"/>
    </row>
    <row r="64">
      <c r="B64" s="316"/>
      <c r="C64" s="317">
        <v>43259.0</v>
      </c>
      <c r="D64" s="319" t="s">
        <v>986</v>
      </c>
      <c r="E64" s="319"/>
      <c r="F64" s="324" t="s">
        <v>991</v>
      </c>
      <c r="G64" s="321"/>
      <c r="H64" s="322"/>
      <c r="I64" s="322"/>
      <c r="J64" s="322"/>
      <c r="K64" s="323"/>
      <c r="L64" s="322"/>
      <c r="M64" s="319" t="s">
        <v>358</v>
      </c>
      <c r="N64" s="324"/>
      <c r="O64" s="385"/>
      <c r="P64" s="319"/>
      <c r="Q64" s="318"/>
      <c r="R64" s="326"/>
      <c r="S64" s="319"/>
      <c r="T64" s="324"/>
      <c r="U64" s="319"/>
      <c r="V64" s="319"/>
      <c r="W64" s="319"/>
      <c r="X64" s="319"/>
      <c r="Y64" s="319"/>
      <c r="Z64" s="318"/>
      <c r="AA64" s="318"/>
      <c r="AB64" s="318"/>
      <c r="AC64" s="327"/>
      <c r="AD64" s="319"/>
      <c r="AE64" s="319"/>
      <c r="AF64" s="319"/>
      <c r="AG64" s="319"/>
      <c r="AH64" s="319"/>
      <c r="AI64" s="319"/>
      <c r="AJ64" s="327"/>
      <c r="AK64" s="328"/>
      <c r="AL64" s="319"/>
      <c r="AM64" s="319"/>
      <c r="AN64" s="319"/>
      <c r="AO64" s="319"/>
      <c r="AP64" s="319"/>
      <c r="AQ64" s="319"/>
      <c r="AR64" s="319"/>
      <c r="AS64" s="327"/>
      <c r="AT64" s="344"/>
      <c r="AU64" s="332"/>
      <c r="AV64" s="330"/>
      <c r="AW64" s="331"/>
      <c r="AX64" s="331"/>
      <c r="AY64" s="331"/>
      <c r="AZ64" s="331"/>
      <c r="BA64" s="331"/>
      <c r="BB64" s="331"/>
      <c r="BC64" s="331"/>
      <c r="BD64" s="318"/>
      <c r="BE64" s="332"/>
      <c r="BF64" s="330">
        <f t="shared" si="1"/>
        <v>0</v>
      </c>
      <c r="BG64" s="333">
        <f t="shared" si="2"/>
        <v>0</v>
      </c>
      <c r="BH64" s="334"/>
      <c r="BI64" s="335" t="s">
        <v>845</v>
      </c>
      <c r="BJ64" s="318"/>
      <c r="BK64" s="336" t="s">
        <v>845</v>
      </c>
      <c r="BL64" s="336" t="s">
        <v>845</v>
      </c>
      <c r="BM64" s="336" t="s">
        <v>845</v>
      </c>
      <c r="BN64" s="336" t="s">
        <v>845</v>
      </c>
      <c r="BO64" s="318"/>
      <c r="BP64" s="336" t="s">
        <v>845</v>
      </c>
      <c r="BQ64" s="338"/>
      <c r="BR64" s="339" t="s">
        <v>845</v>
      </c>
      <c r="BS64" s="330">
        <f t="shared" si="3"/>
        <v>0</v>
      </c>
      <c r="BT64" s="331">
        <f t="shared" si="4"/>
        <v>0</v>
      </c>
      <c r="BU64" s="331"/>
      <c r="BV64" s="333"/>
      <c r="BW64" s="330"/>
      <c r="BX64" s="331"/>
      <c r="BY64" s="331"/>
      <c r="BZ64" s="340"/>
      <c r="CA64" s="316"/>
      <c r="CB64" s="318"/>
      <c r="CC64" s="318"/>
      <c r="CD64" s="318"/>
      <c r="CE64" s="318"/>
      <c r="CF64" s="318"/>
      <c r="CG64" s="318"/>
      <c r="CH64" s="318"/>
      <c r="CI64" s="338"/>
      <c r="CJ64" s="341"/>
      <c r="CK64" s="342">
        <f t="shared" si="5"/>
        <v>0</v>
      </c>
      <c r="CL64" s="333">
        <f t="shared" si="6"/>
        <v>0</v>
      </c>
      <c r="CM64" s="383"/>
      <c r="CN64" s="384"/>
      <c r="CO64" s="384"/>
      <c r="CP64" s="384"/>
    </row>
    <row r="65">
      <c r="B65" s="316"/>
      <c r="C65" s="317">
        <v>43259.0</v>
      </c>
      <c r="D65" s="319" t="s">
        <v>986</v>
      </c>
      <c r="E65" s="319"/>
      <c r="F65" s="324" t="s">
        <v>992</v>
      </c>
      <c r="G65" s="321"/>
      <c r="H65" s="322"/>
      <c r="I65" s="322"/>
      <c r="J65" s="322"/>
      <c r="K65" s="323"/>
      <c r="L65" s="322"/>
      <c r="M65" s="319" t="s">
        <v>358</v>
      </c>
      <c r="N65" s="324"/>
      <c r="O65" s="354" t="s">
        <v>899</v>
      </c>
      <c r="P65" s="319"/>
      <c r="Q65" s="319" t="s">
        <v>235</v>
      </c>
      <c r="R65" s="326"/>
      <c r="S65" s="319"/>
      <c r="T65" s="324"/>
      <c r="U65" s="319"/>
      <c r="V65" s="319"/>
      <c r="W65" s="319"/>
      <c r="X65" s="319"/>
      <c r="Y65" s="319"/>
      <c r="Z65" s="318"/>
      <c r="AA65" s="318"/>
      <c r="AB65" s="319" t="s">
        <v>909</v>
      </c>
      <c r="AC65" s="327"/>
      <c r="AD65" s="319"/>
      <c r="AE65" s="319"/>
      <c r="AF65" s="319"/>
      <c r="AG65" s="319"/>
      <c r="AH65" s="319"/>
      <c r="AI65" s="319"/>
      <c r="AJ65" s="327"/>
      <c r="AK65" s="328"/>
      <c r="AL65" s="319"/>
      <c r="AM65" s="319"/>
      <c r="AN65" s="319"/>
      <c r="AO65" s="319"/>
      <c r="AP65" s="319"/>
      <c r="AQ65" s="319"/>
      <c r="AR65" s="319"/>
      <c r="AS65" s="327"/>
      <c r="AT65" s="344"/>
      <c r="AU65" s="332"/>
      <c r="AV65" s="330"/>
      <c r="AW65" s="331"/>
      <c r="AX65" s="331"/>
      <c r="AY65" s="331"/>
      <c r="AZ65" s="331"/>
      <c r="BA65" s="331"/>
      <c r="BB65" s="331"/>
      <c r="BC65" s="331"/>
      <c r="BD65" s="318"/>
      <c r="BE65" s="332"/>
      <c r="BF65" s="330">
        <f t="shared" si="1"/>
        <v>0</v>
      </c>
      <c r="BG65" s="333">
        <f t="shared" si="2"/>
        <v>0</v>
      </c>
      <c r="BH65" s="334"/>
      <c r="BI65" s="335" t="s">
        <v>846</v>
      </c>
      <c r="BJ65" s="318"/>
      <c r="BK65" s="336" t="s">
        <v>846</v>
      </c>
      <c r="BL65" s="336" t="s">
        <v>846</v>
      </c>
      <c r="BM65" s="336" t="s">
        <v>846</v>
      </c>
      <c r="BN65" s="336" t="s">
        <v>845</v>
      </c>
      <c r="BO65" s="318"/>
      <c r="BP65" s="336" t="s">
        <v>846</v>
      </c>
      <c r="BQ65" s="338"/>
      <c r="BR65" s="339" t="s">
        <v>846</v>
      </c>
      <c r="BS65" s="330">
        <f t="shared" si="3"/>
        <v>0</v>
      </c>
      <c r="BT65" s="331">
        <f t="shared" si="4"/>
        <v>0</v>
      </c>
      <c r="BU65" s="331"/>
      <c r="BV65" s="333"/>
      <c r="BW65" s="330"/>
      <c r="BX65" s="331"/>
      <c r="BY65" s="331"/>
      <c r="BZ65" s="340"/>
      <c r="CA65" s="316"/>
      <c r="CB65" s="318"/>
      <c r="CC65" s="318"/>
      <c r="CD65" s="318"/>
      <c r="CE65" s="318"/>
      <c r="CF65" s="318"/>
      <c r="CG65" s="318"/>
      <c r="CH65" s="318"/>
      <c r="CI65" s="338"/>
      <c r="CJ65" s="341"/>
      <c r="CK65" s="342">
        <f t="shared" si="5"/>
        <v>0</v>
      </c>
      <c r="CL65" s="333">
        <f t="shared" si="6"/>
        <v>0</v>
      </c>
      <c r="CM65" s="383"/>
      <c r="CN65" s="384"/>
      <c r="CO65" s="384"/>
      <c r="CP65" s="384"/>
    </row>
    <row r="66">
      <c r="B66" s="316"/>
      <c r="C66" s="317">
        <v>43259.0</v>
      </c>
      <c r="D66" s="319" t="s">
        <v>986</v>
      </c>
      <c r="E66" s="319"/>
      <c r="F66" s="324" t="s">
        <v>993</v>
      </c>
      <c r="G66" s="321"/>
      <c r="H66" s="322"/>
      <c r="I66" s="322"/>
      <c r="J66" s="322"/>
      <c r="K66" s="323"/>
      <c r="L66" s="322"/>
      <c r="M66" s="319" t="s">
        <v>358</v>
      </c>
      <c r="N66" s="324"/>
      <c r="O66" s="354" t="s">
        <v>899</v>
      </c>
      <c r="P66" s="319"/>
      <c r="Q66" s="319" t="s">
        <v>235</v>
      </c>
      <c r="R66" s="326"/>
      <c r="S66" s="319"/>
      <c r="T66" s="324"/>
      <c r="U66" s="319"/>
      <c r="V66" s="319"/>
      <c r="W66" s="319"/>
      <c r="X66" s="319"/>
      <c r="Y66" s="319"/>
      <c r="Z66" s="318"/>
      <c r="AA66" s="318"/>
      <c r="AB66" s="319" t="s">
        <v>909</v>
      </c>
      <c r="AC66" s="327"/>
      <c r="AD66" s="319"/>
      <c r="AE66" s="319"/>
      <c r="AF66" s="319"/>
      <c r="AG66" s="319"/>
      <c r="AH66" s="319"/>
      <c r="AI66" s="319"/>
      <c r="AJ66" s="327"/>
      <c r="AK66" s="328"/>
      <c r="AL66" s="319"/>
      <c r="AM66" s="319"/>
      <c r="AN66" s="319"/>
      <c r="AO66" s="319"/>
      <c r="AP66" s="319"/>
      <c r="AQ66" s="319"/>
      <c r="AR66" s="319"/>
      <c r="AS66" s="327"/>
      <c r="AT66" s="344"/>
      <c r="AU66" s="332"/>
      <c r="AV66" s="330"/>
      <c r="AW66" s="331"/>
      <c r="AX66" s="331"/>
      <c r="AY66" s="331"/>
      <c r="AZ66" s="331"/>
      <c r="BA66" s="331"/>
      <c r="BB66" s="331"/>
      <c r="BC66" s="331"/>
      <c r="BD66" s="318"/>
      <c r="BE66" s="332"/>
      <c r="BF66" s="330">
        <f t="shared" si="1"/>
        <v>0</v>
      </c>
      <c r="BG66" s="333">
        <f t="shared" si="2"/>
        <v>0</v>
      </c>
      <c r="BH66" s="334"/>
      <c r="BI66" s="335" t="s">
        <v>846</v>
      </c>
      <c r="BJ66" s="318"/>
      <c r="BK66" s="336" t="s">
        <v>846</v>
      </c>
      <c r="BL66" s="336" t="s">
        <v>846</v>
      </c>
      <c r="BM66" s="336" t="s">
        <v>845</v>
      </c>
      <c r="BN66" s="336" t="s">
        <v>846</v>
      </c>
      <c r="BO66" s="318"/>
      <c r="BP66" s="336" t="s">
        <v>846</v>
      </c>
      <c r="BQ66" s="338"/>
      <c r="BR66" s="339" t="s">
        <v>846</v>
      </c>
      <c r="BS66" s="330">
        <f t="shared" si="3"/>
        <v>0</v>
      </c>
      <c r="BT66" s="331">
        <f t="shared" si="4"/>
        <v>0</v>
      </c>
      <c r="BU66" s="331"/>
      <c r="BV66" s="333"/>
      <c r="BW66" s="330"/>
      <c r="BX66" s="331"/>
      <c r="BY66" s="331"/>
      <c r="BZ66" s="340"/>
      <c r="CA66" s="316"/>
      <c r="CB66" s="318"/>
      <c r="CC66" s="318"/>
      <c r="CD66" s="318"/>
      <c r="CE66" s="318"/>
      <c r="CF66" s="318"/>
      <c r="CG66" s="318"/>
      <c r="CH66" s="318"/>
      <c r="CI66" s="338"/>
      <c r="CJ66" s="341"/>
      <c r="CK66" s="342">
        <f t="shared" si="5"/>
        <v>0</v>
      </c>
      <c r="CL66" s="333">
        <f t="shared" si="6"/>
        <v>0</v>
      </c>
      <c r="CM66" s="383"/>
      <c r="CN66" s="384"/>
      <c r="CO66" s="384"/>
      <c r="CP66" s="384"/>
    </row>
    <row r="67">
      <c r="B67" s="316"/>
      <c r="C67" s="317">
        <v>43259.0</v>
      </c>
      <c r="D67" s="319" t="s">
        <v>986</v>
      </c>
      <c r="E67" s="319"/>
      <c r="F67" s="324" t="s">
        <v>994</v>
      </c>
      <c r="G67" s="321"/>
      <c r="H67" s="322"/>
      <c r="I67" s="322"/>
      <c r="J67" s="322"/>
      <c r="K67" s="323"/>
      <c r="L67" s="322"/>
      <c r="M67" s="319" t="s">
        <v>358</v>
      </c>
      <c r="N67" s="324"/>
      <c r="O67" s="354" t="s">
        <v>954</v>
      </c>
      <c r="P67" s="319"/>
      <c r="Q67" s="319" t="s">
        <v>842</v>
      </c>
      <c r="R67" s="326"/>
      <c r="S67" s="319"/>
      <c r="T67" s="324"/>
      <c r="U67" s="319"/>
      <c r="V67" s="319"/>
      <c r="W67" s="319"/>
      <c r="X67" s="319"/>
      <c r="Y67" s="319"/>
      <c r="Z67" s="318"/>
      <c r="AA67" s="318"/>
      <c r="AB67" s="319" t="s">
        <v>894</v>
      </c>
      <c r="AC67" s="327"/>
      <c r="AD67" s="319"/>
      <c r="AE67" s="319"/>
      <c r="AF67" s="319"/>
      <c r="AG67" s="319"/>
      <c r="AH67" s="319"/>
      <c r="AI67" s="319"/>
      <c r="AJ67" s="327"/>
      <c r="AK67" s="328"/>
      <c r="AL67" s="319"/>
      <c r="AM67" s="319"/>
      <c r="AN67" s="319"/>
      <c r="AO67" s="319"/>
      <c r="AP67" s="319"/>
      <c r="AQ67" s="319"/>
      <c r="AR67" s="319"/>
      <c r="AS67" s="327"/>
      <c r="AT67" s="344"/>
      <c r="AU67" s="332"/>
      <c r="AV67" s="330"/>
      <c r="AW67" s="331"/>
      <c r="AX67" s="331"/>
      <c r="AY67" s="331"/>
      <c r="AZ67" s="331"/>
      <c r="BA67" s="331"/>
      <c r="BB67" s="331"/>
      <c r="BC67" s="331"/>
      <c r="BD67" s="318"/>
      <c r="BE67" s="332"/>
      <c r="BF67" s="330">
        <f t="shared" si="1"/>
        <v>0</v>
      </c>
      <c r="BG67" s="333">
        <f t="shared" si="2"/>
        <v>0</v>
      </c>
      <c r="BH67" s="334"/>
      <c r="BI67" s="335" t="s">
        <v>846</v>
      </c>
      <c r="BJ67" s="318"/>
      <c r="BK67" s="336" t="s">
        <v>846</v>
      </c>
      <c r="BL67" s="336" t="s">
        <v>846</v>
      </c>
      <c r="BM67" s="336" t="s">
        <v>846</v>
      </c>
      <c r="BN67" s="336" t="s">
        <v>846</v>
      </c>
      <c r="BO67" s="318"/>
      <c r="BP67" s="336" t="s">
        <v>846</v>
      </c>
      <c r="BQ67" s="338"/>
      <c r="BR67" s="339" t="s">
        <v>846</v>
      </c>
      <c r="BS67" s="330">
        <f t="shared" si="3"/>
        <v>0</v>
      </c>
      <c r="BT67" s="331">
        <f t="shared" si="4"/>
        <v>0</v>
      </c>
      <c r="BU67" s="331"/>
      <c r="BV67" s="333"/>
      <c r="BW67" s="330"/>
      <c r="BX67" s="331"/>
      <c r="BY67" s="331"/>
      <c r="BZ67" s="340"/>
      <c r="CA67" s="316"/>
      <c r="CB67" s="318"/>
      <c r="CC67" s="318"/>
      <c r="CD67" s="318"/>
      <c r="CE67" s="318"/>
      <c r="CF67" s="318"/>
      <c r="CG67" s="318"/>
      <c r="CH67" s="318"/>
      <c r="CI67" s="338"/>
      <c r="CJ67" s="341"/>
      <c r="CK67" s="342">
        <f t="shared" si="5"/>
        <v>0</v>
      </c>
      <c r="CL67" s="333">
        <f t="shared" si="6"/>
        <v>0</v>
      </c>
      <c r="CM67" s="383"/>
      <c r="CN67" s="384"/>
      <c r="CO67" s="384"/>
      <c r="CP67" s="384"/>
    </row>
    <row r="68">
      <c r="B68" s="316"/>
      <c r="C68" s="317">
        <v>43259.0</v>
      </c>
      <c r="D68" s="319" t="s">
        <v>986</v>
      </c>
      <c r="E68" s="319"/>
      <c r="F68" s="324" t="s">
        <v>995</v>
      </c>
      <c r="G68" s="321"/>
      <c r="H68" s="322"/>
      <c r="I68" s="322"/>
      <c r="J68" s="322"/>
      <c r="K68" s="323"/>
      <c r="L68" s="322"/>
      <c r="M68" s="319" t="s">
        <v>358</v>
      </c>
      <c r="N68" s="324"/>
      <c r="O68" s="385"/>
      <c r="P68" s="319"/>
      <c r="Q68" s="318"/>
      <c r="R68" s="326"/>
      <c r="S68" s="319"/>
      <c r="T68" s="324"/>
      <c r="U68" s="319"/>
      <c r="V68" s="319"/>
      <c r="W68" s="319"/>
      <c r="X68" s="319"/>
      <c r="Y68" s="319"/>
      <c r="Z68" s="318"/>
      <c r="AA68" s="318"/>
      <c r="AB68" s="318"/>
      <c r="AC68" s="327"/>
      <c r="AD68" s="319"/>
      <c r="AE68" s="319"/>
      <c r="AF68" s="319"/>
      <c r="AG68" s="319"/>
      <c r="AH68" s="319"/>
      <c r="AI68" s="319"/>
      <c r="AJ68" s="327"/>
      <c r="AK68" s="328"/>
      <c r="AL68" s="319"/>
      <c r="AM68" s="319"/>
      <c r="AN68" s="319"/>
      <c r="AO68" s="319"/>
      <c r="AP68" s="319"/>
      <c r="AQ68" s="319"/>
      <c r="AR68" s="319"/>
      <c r="AS68" s="327"/>
      <c r="AT68" s="344"/>
      <c r="AU68" s="332"/>
      <c r="AV68" s="330"/>
      <c r="AW68" s="331"/>
      <c r="AX68" s="331"/>
      <c r="AY68" s="331"/>
      <c r="AZ68" s="331"/>
      <c r="BA68" s="331"/>
      <c r="BB68" s="331"/>
      <c r="BC68" s="331"/>
      <c r="BD68" s="318"/>
      <c r="BE68" s="332"/>
      <c r="BF68" s="330">
        <f t="shared" si="1"/>
        <v>0</v>
      </c>
      <c r="BG68" s="333">
        <f t="shared" si="2"/>
        <v>0</v>
      </c>
      <c r="BH68" s="334"/>
      <c r="BI68" s="335" t="s">
        <v>846</v>
      </c>
      <c r="BJ68" s="318"/>
      <c r="BK68" s="336" t="s">
        <v>846</v>
      </c>
      <c r="BL68" s="336" t="s">
        <v>846</v>
      </c>
      <c r="BM68" s="336" t="s">
        <v>846</v>
      </c>
      <c r="BN68" s="336" t="s">
        <v>846</v>
      </c>
      <c r="BO68" s="318"/>
      <c r="BP68" s="336" t="s">
        <v>846</v>
      </c>
      <c r="BQ68" s="338"/>
      <c r="BR68" s="339" t="s">
        <v>846</v>
      </c>
      <c r="BS68" s="330">
        <f t="shared" si="3"/>
        <v>0</v>
      </c>
      <c r="BT68" s="331">
        <f t="shared" si="4"/>
        <v>0</v>
      </c>
      <c r="BU68" s="331"/>
      <c r="BV68" s="333"/>
      <c r="BW68" s="330"/>
      <c r="BX68" s="331"/>
      <c r="BY68" s="331"/>
      <c r="BZ68" s="340"/>
      <c r="CA68" s="316"/>
      <c r="CB68" s="318"/>
      <c r="CC68" s="318"/>
      <c r="CD68" s="318"/>
      <c r="CE68" s="318"/>
      <c r="CF68" s="318"/>
      <c r="CG68" s="318"/>
      <c r="CH68" s="318"/>
      <c r="CI68" s="338"/>
      <c r="CJ68" s="341"/>
      <c r="CK68" s="342">
        <f t="shared" si="5"/>
        <v>0</v>
      </c>
      <c r="CL68" s="333">
        <f t="shared" si="6"/>
        <v>0</v>
      </c>
      <c r="CM68" s="383"/>
      <c r="CN68" s="384"/>
      <c r="CO68" s="384"/>
      <c r="CP68" s="384"/>
    </row>
    <row r="69">
      <c r="B69" s="316"/>
      <c r="C69" s="317">
        <v>43259.0</v>
      </c>
      <c r="D69" s="319" t="s">
        <v>986</v>
      </c>
      <c r="E69" s="319"/>
      <c r="F69" s="324" t="s">
        <v>996</v>
      </c>
      <c r="G69" s="321"/>
      <c r="H69" s="322"/>
      <c r="I69" s="322"/>
      <c r="J69" s="322"/>
      <c r="K69" s="323"/>
      <c r="L69" s="322"/>
      <c r="M69" s="319" t="s">
        <v>358</v>
      </c>
      <c r="N69" s="324"/>
      <c r="O69" s="385"/>
      <c r="P69" s="319"/>
      <c r="Q69" s="318"/>
      <c r="R69" s="326"/>
      <c r="S69" s="319"/>
      <c r="T69" s="324"/>
      <c r="U69" s="319"/>
      <c r="V69" s="319"/>
      <c r="W69" s="319"/>
      <c r="X69" s="319"/>
      <c r="Y69" s="319"/>
      <c r="Z69" s="318"/>
      <c r="AA69" s="318"/>
      <c r="AB69" s="318"/>
      <c r="AC69" s="327"/>
      <c r="AD69" s="319"/>
      <c r="AE69" s="319"/>
      <c r="AF69" s="319"/>
      <c r="AG69" s="319"/>
      <c r="AH69" s="319"/>
      <c r="AI69" s="319"/>
      <c r="AJ69" s="327"/>
      <c r="AK69" s="328"/>
      <c r="AL69" s="319"/>
      <c r="AM69" s="319"/>
      <c r="AN69" s="319"/>
      <c r="AO69" s="319"/>
      <c r="AP69" s="319"/>
      <c r="AQ69" s="319"/>
      <c r="AR69" s="319"/>
      <c r="AS69" s="327"/>
      <c r="AT69" s="344"/>
      <c r="AU69" s="332"/>
      <c r="AV69" s="330"/>
      <c r="AW69" s="331"/>
      <c r="AX69" s="331"/>
      <c r="AY69" s="331"/>
      <c r="AZ69" s="331"/>
      <c r="BA69" s="331"/>
      <c r="BB69" s="331"/>
      <c r="BC69" s="331"/>
      <c r="BD69" s="318"/>
      <c r="BE69" s="332"/>
      <c r="BF69" s="330">
        <f t="shared" si="1"/>
        <v>0</v>
      </c>
      <c r="BG69" s="333">
        <f t="shared" si="2"/>
        <v>0</v>
      </c>
      <c r="BH69" s="334"/>
      <c r="BI69" s="335" t="s">
        <v>846</v>
      </c>
      <c r="BJ69" s="318"/>
      <c r="BK69" s="336" t="s">
        <v>845</v>
      </c>
      <c r="BL69" s="336" t="s">
        <v>845</v>
      </c>
      <c r="BM69" s="336" t="s">
        <v>845</v>
      </c>
      <c r="BN69" s="336" t="s">
        <v>845</v>
      </c>
      <c r="BO69" s="318"/>
      <c r="BP69" s="336" t="s">
        <v>845</v>
      </c>
      <c r="BQ69" s="338"/>
      <c r="BR69" s="339" t="s">
        <v>845</v>
      </c>
      <c r="BS69" s="330">
        <f t="shared" si="3"/>
        <v>0</v>
      </c>
      <c r="BT69" s="331">
        <f t="shared" si="4"/>
        <v>0</v>
      </c>
      <c r="BU69" s="331"/>
      <c r="BV69" s="333"/>
      <c r="BW69" s="330"/>
      <c r="BX69" s="331"/>
      <c r="BY69" s="331"/>
      <c r="BZ69" s="340"/>
      <c r="CA69" s="316"/>
      <c r="CB69" s="318"/>
      <c r="CC69" s="318"/>
      <c r="CD69" s="318"/>
      <c r="CE69" s="318"/>
      <c r="CF69" s="318"/>
      <c r="CG69" s="318"/>
      <c r="CH69" s="318"/>
      <c r="CI69" s="338"/>
      <c r="CJ69" s="341"/>
      <c r="CK69" s="342">
        <f t="shared" si="5"/>
        <v>0</v>
      </c>
      <c r="CL69" s="333">
        <f t="shared" si="6"/>
        <v>0</v>
      </c>
      <c r="CM69" s="383"/>
      <c r="CN69" s="384"/>
      <c r="CO69" s="384"/>
      <c r="CP69" s="384"/>
    </row>
    <row r="70">
      <c r="B70" s="316"/>
      <c r="C70" s="317">
        <v>43259.0</v>
      </c>
      <c r="D70" s="319" t="s">
        <v>986</v>
      </c>
      <c r="E70" s="319"/>
      <c r="F70" s="324" t="s">
        <v>997</v>
      </c>
      <c r="G70" s="321"/>
      <c r="H70" s="322"/>
      <c r="I70" s="322"/>
      <c r="J70" s="322"/>
      <c r="K70" s="323"/>
      <c r="L70" s="322"/>
      <c r="M70" s="319" t="s">
        <v>358</v>
      </c>
      <c r="N70" s="324"/>
      <c r="O70" s="385"/>
      <c r="P70" s="319"/>
      <c r="Q70" s="318"/>
      <c r="R70" s="326"/>
      <c r="S70" s="319"/>
      <c r="T70" s="324"/>
      <c r="U70" s="319"/>
      <c r="V70" s="319"/>
      <c r="W70" s="319"/>
      <c r="X70" s="319"/>
      <c r="Y70" s="319"/>
      <c r="Z70" s="318"/>
      <c r="AA70" s="318"/>
      <c r="AB70" s="318"/>
      <c r="AC70" s="327"/>
      <c r="AD70" s="319"/>
      <c r="AE70" s="319"/>
      <c r="AF70" s="319"/>
      <c r="AG70" s="319"/>
      <c r="AH70" s="319"/>
      <c r="AI70" s="319"/>
      <c r="AJ70" s="327"/>
      <c r="AK70" s="328"/>
      <c r="AL70" s="319"/>
      <c r="AM70" s="319"/>
      <c r="AN70" s="319"/>
      <c r="AO70" s="319"/>
      <c r="AP70" s="319"/>
      <c r="AQ70" s="319"/>
      <c r="AR70" s="319"/>
      <c r="AS70" s="327"/>
      <c r="AT70" s="344"/>
      <c r="AU70" s="332"/>
      <c r="AV70" s="330"/>
      <c r="AW70" s="331"/>
      <c r="AX70" s="331"/>
      <c r="AY70" s="331"/>
      <c r="AZ70" s="331"/>
      <c r="BA70" s="331"/>
      <c r="BB70" s="331"/>
      <c r="BC70" s="331"/>
      <c r="BD70" s="318"/>
      <c r="BE70" s="332"/>
      <c r="BF70" s="330">
        <f t="shared" si="1"/>
        <v>0</v>
      </c>
      <c r="BG70" s="333">
        <f t="shared" si="2"/>
        <v>0</v>
      </c>
      <c r="BH70" s="334"/>
      <c r="BI70" s="335" t="s">
        <v>845</v>
      </c>
      <c r="BJ70" s="318"/>
      <c r="BK70" s="336" t="s">
        <v>845</v>
      </c>
      <c r="BL70" s="336" t="s">
        <v>845</v>
      </c>
      <c r="BM70" s="336" t="s">
        <v>845</v>
      </c>
      <c r="BN70" s="336" t="s">
        <v>845</v>
      </c>
      <c r="BO70" s="318"/>
      <c r="BP70" s="336" t="s">
        <v>846</v>
      </c>
      <c r="BQ70" s="338"/>
      <c r="BR70" s="339" t="s">
        <v>845</v>
      </c>
      <c r="BS70" s="330">
        <f t="shared" si="3"/>
        <v>0</v>
      </c>
      <c r="BT70" s="331">
        <f t="shared" si="4"/>
        <v>0</v>
      </c>
      <c r="BU70" s="331"/>
      <c r="BV70" s="333"/>
      <c r="BW70" s="330"/>
      <c r="BX70" s="331"/>
      <c r="BY70" s="331"/>
      <c r="BZ70" s="340"/>
      <c r="CA70" s="316"/>
      <c r="CB70" s="318"/>
      <c r="CC70" s="318"/>
      <c r="CD70" s="318"/>
      <c r="CE70" s="318"/>
      <c r="CF70" s="318"/>
      <c r="CG70" s="318"/>
      <c r="CH70" s="318"/>
      <c r="CI70" s="338"/>
      <c r="CJ70" s="341"/>
      <c r="CK70" s="342">
        <f t="shared" si="5"/>
        <v>0</v>
      </c>
      <c r="CL70" s="333">
        <f t="shared" si="6"/>
        <v>0</v>
      </c>
      <c r="CM70" s="383"/>
      <c r="CN70" s="384"/>
      <c r="CO70" s="384"/>
      <c r="CP70" s="384"/>
    </row>
    <row r="71">
      <c r="B71" s="316"/>
      <c r="C71" s="317">
        <v>43259.0</v>
      </c>
      <c r="D71" s="319" t="s">
        <v>986</v>
      </c>
      <c r="E71" s="319"/>
      <c r="F71" s="324" t="s">
        <v>998</v>
      </c>
      <c r="G71" s="321"/>
      <c r="H71" s="322"/>
      <c r="I71" s="322"/>
      <c r="J71" s="322"/>
      <c r="K71" s="323"/>
      <c r="L71" s="322"/>
      <c r="M71" s="319" t="s">
        <v>358</v>
      </c>
      <c r="N71" s="324"/>
      <c r="O71" s="387"/>
      <c r="P71" s="319"/>
      <c r="Q71" s="318"/>
      <c r="R71" s="326"/>
      <c r="S71" s="319"/>
      <c r="T71" s="324"/>
      <c r="U71" s="319"/>
      <c r="V71" s="319"/>
      <c r="W71" s="319"/>
      <c r="X71" s="319"/>
      <c r="Y71" s="319"/>
      <c r="Z71" s="318"/>
      <c r="AA71" s="318"/>
      <c r="AB71" s="318"/>
      <c r="AC71" s="327"/>
      <c r="AD71" s="319"/>
      <c r="AE71" s="319"/>
      <c r="AF71" s="319"/>
      <c r="AG71" s="319"/>
      <c r="AH71" s="319"/>
      <c r="AI71" s="319"/>
      <c r="AJ71" s="327"/>
      <c r="AK71" s="328"/>
      <c r="AL71" s="319"/>
      <c r="AM71" s="319"/>
      <c r="AN71" s="319"/>
      <c r="AO71" s="319"/>
      <c r="AP71" s="319"/>
      <c r="AQ71" s="319"/>
      <c r="AR71" s="319"/>
      <c r="AS71" s="327"/>
      <c r="AT71" s="344"/>
      <c r="AU71" s="332"/>
      <c r="AV71" s="330"/>
      <c r="AW71" s="331"/>
      <c r="AX71" s="331"/>
      <c r="AY71" s="331"/>
      <c r="AZ71" s="331"/>
      <c r="BA71" s="331"/>
      <c r="BB71" s="331"/>
      <c r="BC71" s="331"/>
      <c r="BD71" s="318"/>
      <c r="BE71" s="332"/>
      <c r="BF71" s="330">
        <f t="shared" si="1"/>
        <v>0</v>
      </c>
      <c r="BG71" s="333">
        <f t="shared" si="2"/>
        <v>0</v>
      </c>
      <c r="BH71" s="334"/>
      <c r="BI71" s="335" t="s">
        <v>846</v>
      </c>
      <c r="BJ71" s="318"/>
      <c r="BK71" s="336" t="s">
        <v>846</v>
      </c>
      <c r="BL71" s="336" t="s">
        <v>846</v>
      </c>
      <c r="BM71" s="336" t="s">
        <v>846</v>
      </c>
      <c r="BN71" s="336" t="s">
        <v>846</v>
      </c>
      <c r="BO71" s="318"/>
      <c r="BP71" s="336" t="s">
        <v>846</v>
      </c>
      <c r="BQ71" s="338"/>
      <c r="BR71" s="339" t="s">
        <v>846</v>
      </c>
      <c r="BS71" s="330">
        <f t="shared" si="3"/>
        <v>0</v>
      </c>
      <c r="BT71" s="331">
        <f t="shared" si="4"/>
        <v>0</v>
      </c>
      <c r="BU71" s="331"/>
      <c r="BV71" s="333"/>
      <c r="BW71" s="330"/>
      <c r="BX71" s="331"/>
      <c r="BY71" s="331"/>
      <c r="BZ71" s="340"/>
      <c r="CA71" s="316"/>
      <c r="CB71" s="318"/>
      <c r="CC71" s="318"/>
      <c r="CD71" s="318"/>
      <c r="CE71" s="318"/>
      <c r="CF71" s="318"/>
      <c r="CG71" s="318"/>
      <c r="CH71" s="318"/>
      <c r="CI71" s="338"/>
      <c r="CJ71" s="341"/>
      <c r="CK71" s="342">
        <f t="shared" si="5"/>
        <v>0</v>
      </c>
      <c r="CL71" s="333">
        <f t="shared" si="6"/>
        <v>0</v>
      </c>
      <c r="CM71" s="388"/>
      <c r="CN71" s="384"/>
      <c r="CO71" s="384"/>
      <c r="CP71" s="384"/>
    </row>
    <row r="72">
      <c r="A72" s="389" t="s">
        <v>24</v>
      </c>
      <c r="B72" s="390"/>
      <c r="C72" s="391">
        <v>43389.0</v>
      </c>
      <c r="D72" s="392"/>
      <c r="E72" s="393"/>
      <c r="F72" s="394">
        <v>1.0</v>
      </c>
      <c r="G72" s="395">
        <v>0.4882523148148148</v>
      </c>
      <c r="H72" s="396"/>
      <c r="I72" s="396"/>
      <c r="J72" s="396"/>
      <c r="K72" s="397">
        <v>0.49292824074074076</v>
      </c>
      <c r="L72" s="397">
        <v>0.28055555555555556</v>
      </c>
      <c r="M72" s="398" t="s">
        <v>166</v>
      </c>
      <c r="N72" s="394" t="s">
        <v>187</v>
      </c>
      <c r="O72" s="399" t="s">
        <v>200</v>
      </c>
      <c r="P72" s="393" t="s">
        <v>235</v>
      </c>
      <c r="Q72" s="392"/>
      <c r="R72" s="400" t="s">
        <v>999</v>
      </c>
      <c r="S72" s="393"/>
      <c r="T72" s="394"/>
      <c r="U72" s="393">
        <v>10.0</v>
      </c>
      <c r="V72" s="393"/>
      <c r="W72" s="393"/>
      <c r="X72" s="393"/>
      <c r="Y72" s="393"/>
      <c r="Z72" s="392"/>
      <c r="AA72" s="392"/>
      <c r="AB72" s="393" t="s">
        <v>1000</v>
      </c>
      <c r="AC72" s="401"/>
      <c r="AD72" s="393"/>
      <c r="AE72" s="393"/>
      <c r="AF72" s="393"/>
      <c r="AG72" s="393"/>
      <c r="AH72" s="393"/>
      <c r="AI72" s="393"/>
      <c r="AJ72" s="401"/>
      <c r="AK72" s="402"/>
      <c r="AL72" s="393"/>
      <c r="AM72" s="393"/>
      <c r="AN72" s="393"/>
      <c r="AO72" s="393"/>
      <c r="AP72" s="393"/>
      <c r="AQ72" s="393"/>
      <c r="AR72" s="393"/>
      <c r="AS72" s="401"/>
      <c r="AT72" s="403"/>
      <c r="AU72" s="404" t="s">
        <v>845</v>
      </c>
      <c r="AV72" s="405"/>
      <c r="AW72" s="406"/>
      <c r="AX72" s="406"/>
      <c r="AY72" s="406"/>
      <c r="AZ72" s="406"/>
      <c r="BA72" s="406"/>
      <c r="BB72" s="406"/>
      <c r="BC72" s="406"/>
      <c r="BD72" s="392"/>
      <c r="BE72" s="407"/>
      <c r="BF72" s="405">
        <f t="shared" si="1"/>
        <v>0</v>
      </c>
      <c r="BG72" s="408">
        <f t="shared" si="2"/>
        <v>0</v>
      </c>
      <c r="BH72" s="409"/>
      <c r="BI72" s="390"/>
      <c r="BJ72" s="392"/>
      <c r="BK72" s="392"/>
      <c r="BL72" s="392"/>
      <c r="BM72" s="392"/>
      <c r="BN72" s="392"/>
      <c r="BO72" s="392"/>
      <c r="BP72" s="392"/>
      <c r="BQ72" s="410"/>
      <c r="BR72" s="411"/>
      <c r="BS72" s="405">
        <f t="shared" si="3"/>
        <v>0</v>
      </c>
      <c r="BT72" s="406">
        <f t="shared" si="4"/>
        <v>0</v>
      </c>
      <c r="BU72" s="406"/>
      <c r="BV72" s="408"/>
      <c r="BW72" s="405"/>
      <c r="BX72" s="406"/>
      <c r="BY72" s="406"/>
      <c r="BZ72" s="412"/>
      <c r="CA72" s="390"/>
      <c r="CB72" s="392"/>
      <c r="CC72" s="392"/>
      <c r="CD72" s="392"/>
      <c r="CE72" s="392"/>
      <c r="CF72" s="392"/>
      <c r="CG72" s="392"/>
      <c r="CH72" s="392"/>
      <c r="CI72" s="410"/>
      <c r="CJ72" s="413"/>
      <c r="CK72" s="414">
        <f t="shared" si="5"/>
        <v>0</v>
      </c>
      <c r="CL72" s="408">
        <f t="shared" si="6"/>
        <v>0</v>
      </c>
      <c r="CM72" s="415" t="s">
        <v>1001</v>
      </c>
      <c r="CN72" s="416"/>
      <c r="CO72" s="416"/>
      <c r="CP72" s="416"/>
    </row>
    <row r="73">
      <c r="B73" s="316"/>
      <c r="C73" s="417">
        <v>43389.0</v>
      </c>
      <c r="D73" s="318"/>
      <c r="E73" s="319"/>
      <c r="F73" s="324">
        <v>1.0</v>
      </c>
      <c r="G73" s="321">
        <v>0.5019444444444444</v>
      </c>
      <c r="H73" s="322"/>
      <c r="I73" s="322"/>
      <c r="J73" s="322"/>
      <c r="K73" s="418">
        <v>0.5053240740740741</v>
      </c>
      <c r="L73" s="418">
        <v>0.20277777777777778</v>
      </c>
      <c r="M73" s="336" t="s">
        <v>166</v>
      </c>
      <c r="N73" s="324" t="s">
        <v>187</v>
      </c>
      <c r="O73" s="419" t="s">
        <v>200</v>
      </c>
      <c r="P73" s="319" t="s">
        <v>235</v>
      </c>
      <c r="Q73" s="318"/>
      <c r="R73" s="326" t="s">
        <v>999</v>
      </c>
      <c r="S73" s="319"/>
      <c r="T73" s="324"/>
      <c r="U73" s="319">
        <v>10.0</v>
      </c>
      <c r="V73" s="319"/>
      <c r="W73" s="319"/>
      <c r="X73" s="319"/>
      <c r="Y73" s="319"/>
      <c r="Z73" s="318"/>
      <c r="AA73" s="318"/>
      <c r="AB73" s="319" t="s">
        <v>1000</v>
      </c>
      <c r="AC73" s="327"/>
      <c r="AD73" s="319"/>
      <c r="AE73" s="319"/>
      <c r="AF73" s="319"/>
      <c r="AG73" s="319"/>
      <c r="AH73" s="319"/>
      <c r="AI73" s="319"/>
      <c r="AJ73" s="327"/>
      <c r="AK73" s="328"/>
      <c r="AL73" s="319"/>
      <c r="AM73" s="319"/>
      <c r="AN73" s="319"/>
      <c r="AO73" s="319"/>
      <c r="AP73" s="319"/>
      <c r="AQ73" s="319"/>
      <c r="AR73" s="319"/>
      <c r="AS73" s="327"/>
      <c r="AT73" s="344"/>
      <c r="AU73" s="345" t="s">
        <v>845</v>
      </c>
      <c r="AV73" s="330"/>
      <c r="AW73" s="331"/>
      <c r="AX73" s="331"/>
      <c r="AY73" s="331"/>
      <c r="AZ73" s="331"/>
      <c r="BA73" s="331"/>
      <c r="BB73" s="331"/>
      <c r="BC73" s="331"/>
      <c r="BD73" s="318"/>
      <c r="BE73" s="332"/>
      <c r="BF73" s="330">
        <f t="shared" si="1"/>
        <v>0</v>
      </c>
      <c r="BG73" s="333">
        <f t="shared" si="2"/>
        <v>0</v>
      </c>
      <c r="BH73" s="334"/>
      <c r="BI73" s="316"/>
      <c r="BJ73" s="318"/>
      <c r="BK73" s="318"/>
      <c r="BL73" s="318"/>
      <c r="BM73" s="318"/>
      <c r="BN73" s="318"/>
      <c r="BO73" s="318"/>
      <c r="BP73" s="318"/>
      <c r="BQ73" s="338"/>
      <c r="BR73" s="420"/>
      <c r="BS73" s="330">
        <f t="shared" si="3"/>
        <v>0</v>
      </c>
      <c r="BT73" s="331">
        <f t="shared" si="4"/>
        <v>0</v>
      </c>
      <c r="BU73" s="331"/>
      <c r="BV73" s="333"/>
      <c r="BW73" s="330"/>
      <c r="BX73" s="331"/>
      <c r="BY73" s="331"/>
      <c r="BZ73" s="340"/>
      <c r="CA73" s="316"/>
      <c r="CB73" s="318"/>
      <c r="CC73" s="318"/>
      <c r="CD73" s="318"/>
      <c r="CE73" s="318"/>
      <c r="CF73" s="318"/>
      <c r="CG73" s="318"/>
      <c r="CH73" s="318"/>
      <c r="CI73" s="338"/>
      <c r="CJ73" s="341"/>
      <c r="CK73" s="342">
        <f t="shared" si="5"/>
        <v>0</v>
      </c>
      <c r="CL73" s="333">
        <f t="shared" si="6"/>
        <v>0</v>
      </c>
      <c r="CM73" s="421" t="s">
        <v>1002</v>
      </c>
      <c r="CN73" s="416"/>
      <c r="CO73" s="416"/>
      <c r="CP73" s="416"/>
    </row>
    <row r="74">
      <c r="B74" s="316"/>
      <c r="C74" s="417">
        <v>43389.0</v>
      </c>
      <c r="D74" s="318"/>
      <c r="E74" s="319"/>
      <c r="F74" s="324">
        <v>5.0</v>
      </c>
      <c r="G74" s="321">
        <v>0.5160300925925926</v>
      </c>
      <c r="H74" s="322"/>
      <c r="I74" s="322"/>
      <c r="J74" s="322"/>
      <c r="K74" s="418">
        <v>0.5213541666666667</v>
      </c>
      <c r="L74" s="418">
        <v>0.3194444444444444</v>
      </c>
      <c r="M74" s="336" t="s">
        <v>166</v>
      </c>
      <c r="N74" s="324" t="s">
        <v>187</v>
      </c>
      <c r="O74" s="419" t="s">
        <v>198</v>
      </c>
      <c r="P74" s="319" t="s">
        <v>218</v>
      </c>
      <c r="Q74" s="318"/>
      <c r="R74" s="326" t="s">
        <v>1003</v>
      </c>
      <c r="S74" s="319"/>
      <c r="T74" s="324"/>
      <c r="U74" s="319">
        <v>5.0</v>
      </c>
      <c r="V74" s="319"/>
      <c r="W74" s="319"/>
      <c r="X74" s="319"/>
      <c r="Y74" s="319"/>
      <c r="Z74" s="318"/>
      <c r="AA74" s="318"/>
      <c r="AB74" s="319">
        <v>10.0</v>
      </c>
      <c r="AC74" s="327"/>
      <c r="AD74" s="319"/>
      <c r="AE74" s="319"/>
      <c r="AF74" s="319"/>
      <c r="AG74" s="319"/>
      <c r="AH74" s="319"/>
      <c r="AI74" s="319"/>
      <c r="AJ74" s="327"/>
      <c r="AK74" s="328"/>
      <c r="AL74" s="319"/>
      <c r="AM74" s="319"/>
      <c r="AN74" s="319"/>
      <c r="AO74" s="319"/>
      <c r="AP74" s="319"/>
      <c r="AQ74" s="319"/>
      <c r="AR74" s="319"/>
      <c r="AS74" s="327"/>
      <c r="AT74" s="344"/>
      <c r="AU74" s="345" t="s">
        <v>845</v>
      </c>
      <c r="AV74" s="330"/>
      <c r="AW74" s="331"/>
      <c r="AX74" s="331"/>
      <c r="AY74" s="331"/>
      <c r="AZ74" s="331"/>
      <c r="BA74" s="331"/>
      <c r="BB74" s="331"/>
      <c r="BC74" s="331"/>
      <c r="BD74" s="318"/>
      <c r="BE74" s="332"/>
      <c r="BF74" s="330">
        <f t="shared" si="1"/>
        <v>0</v>
      </c>
      <c r="BG74" s="333">
        <f t="shared" si="2"/>
        <v>0</v>
      </c>
      <c r="BH74" s="334"/>
      <c r="BI74" s="316"/>
      <c r="BJ74" s="318"/>
      <c r="BK74" s="318"/>
      <c r="BL74" s="318"/>
      <c r="BM74" s="318"/>
      <c r="BN74" s="318"/>
      <c r="BO74" s="318"/>
      <c r="BP74" s="318"/>
      <c r="BQ74" s="338"/>
      <c r="BR74" s="420"/>
      <c r="BS74" s="330">
        <f t="shared" si="3"/>
        <v>0</v>
      </c>
      <c r="BT74" s="331">
        <f t="shared" si="4"/>
        <v>0</v>
      </c>
      <c r="BU74" s="331"/>
      <c r="BV74" s="333"/>
      <c r="BW74" s="330"/>
      <c r="BX74" s="331"/>
      <c r="BY74" s="331"/>
      <c r="BZ74" s="340"/>
      <c r="CA74" s="316"/>
      <c r="CB74" s="318"/>
      <c r="CC74" s="318"/>
      <c r="CD74" s="318"/>
      <c r="CE74" s="318"/>
      <c r="CF74" s="318"/>
      <c r="CG74" s="318"/>
      <c r="CH74" s="318"/>
      <c r="CI74" s="338"/>
      <c r="CJ74" s="341"/>
      <c r="CK74" s="342">
        <f t="shared" si="5"/>
        <v>0</v>
      </c>
      <c r="CL74" s="333">
        <f t="shared" si="6"/>
        <v>0</v>
      </c>
      <c r="CM74" s="421" t="s">
        <v>1004</v>
      </c>
      <c r="CN74" s="416"/>
      <c r="CO74" s="416"/>
      <c r="CP74" s="416"/>
    </row>
    <row r="75">
      <c r="B75" s="316"/>
      <c r="C75" s="417">
        <v>43389.0</v>
      </c>
      <c r="D75" s="318"/>
      <c r="E75" s="319"/>
      <c r="F75" s="324">
        <v>5.0</v>
      </c>
      <c r="G75" s="321">
        <v>0.5263888888888889</v>
      </c>
      <c r="H75" s="322"/>
      <c r="I75" s="322"/>
      <c r="J75" s="322"/>
      <c r="K75" s="418">
        <v>0.5303472222222222</v>
      </c>
      <c r="L75" s="418">
        <v>0.2375</v>
      </c>
      <c r="M75" s="336" t="s">
        <v>166</v>
      </c>
      <c r="N75" s="324" t="s">
        <v>187</v>
      </c>
      <c r="O75" s="419" t="s">
        <v>198</v>
      </c>
      <c r="P75" s="319" t="s">
        <v>218</v>
      </c>
      <c r="Q75" s="318"/>
      <c r="R75" s="326" t="s">
        <v>1003</v>
      </c>
      <c r="S75" s="319"/>
      <c r="T75" s="324"/>
      <c r="U75" s="319">
        <v>5.0</v>
      </c>
      <c r="V75" s="319"/>
      <c r="W75" s="319"/>
      <c r="X75" s="319"/>
      <c r="Y75" s="319"/>
      <c r="Z75" s="318"/>
      <c r="AA75" s="318"/>
      <c r="AB75" s="319">
        <v>10.0</v>
      </c>
      <c r="AC75" s="327"/>
      <c r="AD75" s="319"/>
      <c r="AE75" s="319"/>
      <c r="AF75" s="319"/>
      <c r="AG75" s="319"/>
      <c r="AH75" s="319"/>
      <c r="AI75" s="319"/>
      <c r="AJ75" s="327"/>
      <c r="AK75" s="328"/>
      <c r="AL75" s="319"/>
      <c r="AM75" s="319"/>
      <c r="AN75" s="319"/>
      <c r="AO75" s="319"/>
      <c r="AP75" s="319"/>
      <c r="AQ75" s="319"/>
      <c r="AR75" s="319"/>
      <c r="AS75" s="327"/>
      <c r="AT75" s="344"/>
      <c r="AU75" s="345" t="s">
        <v>845</v>
      </c>
      <c r="AV75" s="330"/>
      <c r="AW75" s="331"/>
      <c r="AX75" s="331"/>
      <c r="AY75" s="331"/>
      <c r="AZ75" s="331"/>
      <c r="BA75" s="331"/>
      <c r="BB75" s="331"/>
      <c r="BC75" s="331"/>
      <c r="BD75" s="318"/>
      <c r="BE75" s="332"/>
      <c r="BF75" s="330">
        <f t="shared" si="1"/>
        <v>0</v>
      </c>
      <c r="BG75" s="333">
        <f t="shared" si="2"/>
        <v>0</v>
      </c>
      <c r="BH75" s="334"/>
      <c r="BI75" s="316"/>
      <c r="BJ75" s="318"/>
      <c r="BK75" s="318"/>
      <c r="BL75" s="318"/>
      <c r="BM75" s="318"/>
      <c r="BN75" s="318"/>
      <c r="BO75" s="318"/>
      <c r="BP75" s="318"/>
      <c r="BQ75" s="338"/>
      <c r="BR75" s="420"/>
      <c r="BS75" s="330">
        <f t="shared" si="3"/>
        <v>0</v>
      </c>
      <c r="BT75" s="331">
        <f t="shared" si="4"/>
        <v>0</v>
      </c>
      <c r="BU75" s="331"/>
      <c r="BV75" s="333"/>
      <c r="BW75" s="330"/>
      <c r="BX75" s="331"/>
      <c r="BY75" s="331"/>
      <c r="BZ75" s="340"/>
      <c r="CA75" s="316"/>
      <c r="CB75" s="318"/>
      <c r="CC75" s="318"/>
      <c r="CD75" s="318"/>
      <c r="CE75" s="318"/>
      <c r="CF75" s="318"/>
      <c r="CG75" s="318"/>
      <c r="CH75" s="318"/>
      <c r="CI75" s="338"/>
      <c r="CJ75" s="341"/>
      <c r="CK75" s="342">
        <f t="shared" si="5"/>
        <v>0</v>
      </c>
      <c r="CL75" s="333">
        <f t="shared" si="6"/>
        <v>0</v>
      </c>
      <c r="CM75" s="421" t="s">
        <v>1005</v>
      </c>
      <c r="CN75" s="416"/>
      <c r="CO75" s="416"/>
      <c r="CP75" s="416"/>
    </row>
    <row r="76">
      <c r="B76" s="316"/>
      <c r="C76" s="417">
        <v>43389.0</v>
      </c>
      <c r="D76" s="318"/>
      <c r="E76" s="319"/>
      <c r="F76" s="324">
        <v>9.0</v>
      </c>
      <c r="G76" s="321">
        <v>0.5487847222222222</v>
      </c>
      <c r="H76" s="322"/>
      <c r="I76" s="322"/>
      <c r="J76" s="322"/>
      <c r="K76" s="418">
        <v>0.5523148148148148</v>
      </c>
      <c r="L76" s="418">
        <v>0.21180555555555555</v>
      </c>
      <c r="M76" s="336" t="s">
        <v>166</v>
      </c>
      <c r="N76" s="324" t="s">
        <v>187</v>
      </c>
      <c r="O76" s="419" t="s">
        <v>206</v>
      </c>
      <c r="P76" s="319" t="s">
        <v>213</v>
      </c>
      <c r="Q76" s="318"/>
      <c r="R76" s="326" t="s">
        <v>1006</v>
      </c>
      <c r="S76" s="319"/>
      <c r="T76" s="324"/>
      <c r="U76" s="319">
        <v>3.0</v>
      </c>
      <c r="V76" s="319"/>
      <c r="W76" s="319"/>
      <c r="X76" s="319"/>
      <c r="Y76" s="319"/>
      <c r="Z76" s="318"/>
      <c r="AA76" s="318"/>
      <c r="AB76" s="319">
        <v>6.0</v>
      </c>
      <c r="AC76" s="327"/>
      <c r="AD76" s="319"/>
      <c r="AE76" s="319"/>
      <c r="AF76" s="319"/>
      <c r="AG76" s="319"/>
      <c r="AH76" s="319"/>
      <c r="AI76" s="319"/>
      <c r="AJ76" s="327"/>
      <c r="AK76" s="328"/>
      <c r="AL76" s="319"/>
      <c r="AM76" s="319"/>
      <c r="AN76" s="319"/>
      <c r="AO76" s="319"/>
      <c r="AP76" s="319"/>
      <c r="AQ76" s="319"/>
      <c r="AR76" s="319"/>
      <c r="AS76" s="327"/>
      <c r="AT76" s="344"/>
      <c r="AU76" s="345" t="s">
        <v>845</v>
      </c>
      <c r="AV76" s="330"/>
      <c r="AW76" s="331"/>
      <c r="AX76" s="331"/>
      <c r="AY76" s="331"/>
      <c r="AZ76" s="331"/>
      <c r="BA76" s="331"/>
      <c r="BB76" s="331"/>
      <c r="BC76" s="331"/>
      <c r="BD76" s="318"/>
      <c r="BE76" s="332"/>
      <c r="BF76" s="330">
        <f t="shared" si="1"/>
        <v>0</v>
      </c>
      <c r="BG76" s="333">
        <f t="shared" si="2"/>
        <v>0</v>
      </c>
      <c r="BH76" s="334"/>
      <c r="BI76" s="316"/>
      <c r="BJ76" s="318"/>
      <c r="BK76" s="318"/>
      <c r="BL76" s="318"/>
      <c r="BM76" s="318"/>
      <c r="BN76" s="318"/>
      <c r="BO76" s="318"/>
      <c r="BP76" s="318"/>
      <c r="BQ76" s="338"/>
      <c r="BR76" s="420"/>
      <c r="BS76" s="330">
        <f t="shared" si="3"/>
        <v>0</v>
      </c>
      <c r="BT76" s="331">
        <f t="shared" si="4"/>
        <v>0</v>
      </c>
      <c r="BU76" s="331"/>
      <c r="BV76" s="333"/>
      <c r="BW76" s="330"/>
      <c r="BX76" s="331"/>
      <c r="BY76" s="331"/>
      <c r="BZ76" s="340"/>
      <c r="CA76" s="316"/>
      <c r="CB76" s="318"/>
      <c r="CC76" s="318"/>
      <c r="CD76" s="318"/>
      <c r="CE76" s="318"/>
      <c r="CF76" s="318"/>
      <c r="CG76" s="318"/>
      <c r="CH76" s="318"/>
      <c r="CI76" s="338"/>
      <c r="CJ76" s="341"/>
      <c r="CK76" s="342">
        <f t="shared" si="5"/>
        <v>0</v>
      </c>
      <c r="CL76" s="333">
        <f t="shared" si="6"/>
        <v>0</v>
      </c>
      <c r="CM76" s="421" t="s">
        <v>1007</v>
      </c>
      <c r="CN76" s="416"/>
      <c r="CO76" s="416"/>
      <c r="CP76" s="416"/>
    </row>
    <row r="77">
      <c r="B77" s="316"/>
      <c r="C77" s="417">
        <v>43389.0</v>
      </c>
      <c r="D77" s="318"/>
      <c r="E77" s="319"/>
      <c r="F77" s="324">
        <v>9.0</v>
      </c>
      <c r="G77" s="321">
        <v>0.554224537037037</v>
      </c>
      <c r="H77" s="322"/>
      <c r="I77" s="322"/>
      <c r="J77" s="322"/>
      <c r="K77" s="422">
        <v>0.5579050925925926</v>
      </c>
      <c r="L77" s="422">
        <v>0.22083333333333333</v>
      </c>
      <c r="M77" s="350" t="s">
        <v>166</v>
      </c>
      <c r="N77" s="324" t="s">
        <v>187</v>
      </c>
      <c r="O77" s="419" t="s">
        <v>206</v>
      </c>
      <c r="P77" s="319" t="s">
        <v>213</v>
      </c>
      <c r="Q77" s="318"/>
      <c r="R77" s="326" t="s">
        <v>1006</v>
      </c>
      <c r="S77" s="319"/>
      <c r="T77" s="324"/>
      <c r="U77" s="319">
        <v>3.0</v>
      </c>
      <c r="V77" s="319"/>
      <c r="W77" s="319"/>
      <c r="X77" s="319"/>
      <c r="Y77" s="319"/>
      <c r="Z77" s="318"/>
      <c r="AA77" s="318"/>
      <c r="AB77" s="319">
        <v>6.0</v>
      </c>
      <c r="AC77" s="327"/>
      <c r="AD77" s="319"/>
      <c r="AE77" s="319"/>
      <c r="AF77" s="319"/>
      <c r="AG77" s="319"/>
      <c r="AH77" s="319"/>
      <c r="AI77" s="319"/>
      <c r="AJ77" s="327"/>
      <c r="AK77" s="328"/>
      <c r="AL77" s="319"/>
      <c r="AM77" s="319"/>
      <c r="AN77" s="319"/>
      <c r="AO77" s="319"/>
      <c r="AP77" s="319"/>
      <c r="AQ77" s="319"/>
      <c r="AR77" s="319"/>
      <c r="AS77" s="327"/>
      <c r="AT77" s="344"/>
      <c r="AU77" s="345" t="s">
        <v>845</v>
      </c>
      <c r="AV77" s="330"/>
      <c r="AW77" s="331"/>
      <c r="AX77" s="331"/>
      <c r="AY77" s="331"/>
      <c r="AZ77" s="331"/>
      <c r="BA77" s="331"/>
      <c r="BB77" s="331"/>
      <c r="BC77" s="331"/>
      <c r="BD77" s="318"/>
      <c r="BE77" s="332"/>
      <c r="BF77" s="330">
        <f t="shared" si="1"/>
        <v>0</v>
      </c>
      <c r="BG77" s="333">
        <f t="shared" si="2"/>
        <v>0</v>
      </c>
      <c r="BH77" s="334"/>
      <c r="BI77" s="316"/>
      <c r="BJ77" s="318"/>
      <c r="BK77" s="318"/>
      <c r="BL77" s="318"/>
      <c r="BM77" s="318"/>
      <c r="BN77" s="318"/>
      <c r="BO77" s="318"/>
      <c r="BP77" s="318"/>
      <c r="BQ77" s="338"/>
      <c r="BR77" s="420"/>
      <c r="BS77" s="330">
        <f t="shared" si="3"/>
        <v>0</v>
      </c>
      <c r="BT77" s="331">
        <f t="shared" si="4"/>
        <v>0</v>
      </c>
      <c r="BU77" s="331"/>
      <c r="BV77" s="333"/>
      <c r="BW77" s="330"/>
      <c r="BX77" s="331"/>
      <c r="BY77" s="331"/>
      <c r="BZ77" s="340"/>
      <c r="CA77" s="316"/>
      <c r="CB77" s="318"/>
      <c r="CC77" s="318"/>
      <c r="CD77" s="318"/>
      <c r="CE77" s="318"/>
      <c r="CF77" s="318"/>
      <c r="CG77" s="318"/>
      <c r="CH77" s="318"/>
      <c r="CI77" s="338"/>
      <c r="CJ77" s="341"/>
      <c r="CK77" s="342">
        <f t="shared" si="5"/>
        <v>0</v>
      </c>
      <c r="CL77" s="333">
        <f t="shared" si="6"/>
        <v>0</v>
      </c>
      <c r="CM77" s="421" t="s">
        <v>1008</v>
      </c>
      <c r="CN77" s="416"/>
      <c r="CO77" s="416"/>
      <c r="CP77" s="416"/>
    </row>
    <row r="78">
      <c r="B78" s="316"/>
      <c r="C78" s="417">
        <v>43389.0</v>
      </c>
      <c r="D78" s="318"/>
      <c r="E78" s="319"/>
      <c r="F78" s="324">
        <v>27.0</v>
      </c>
      <c r="G78" s="321">
        <v>0.6335185185185185</v>
      </c>
      <c r="H78" s="322"/>
      <c r="I78" s="322"/>
      <c r="J78" s="322"/>
      <c r="K78" s="418">
        <v>0.6377430555555555</v>
      </c>
      <c r="L78" s="418">
        <v>0.2534722222222222</v>
      </c>
      <c r="M78" s="336" t="s">
        <v>166</v>
      </c>
      <c r="N78" s="324" t="s">
        <v>187</v>
      </c>
      <c r="O78" s="419" t="s">
        <v>207</v>
      </c>
      <c r="P78" s="319" t="s">
        <v>223</v>
      </c>
      <c r="Q78" s="318"/>
      <c r="R78" s="326" t="s">
        <v>1009</v>
      </c>
      <c r="S78" s="319"/>
      <c r="T78" s="324"/>
      <c r="U78" s="319">
        <v>1.0</v>
      </c>
      <c r="V78" s="319"/>
      <c r="W78" s="319"/>
      <c r="X78" s="319"/>
      <c r="Y78" s="319"/>
      <c r="Z78" s="318"/>
      <c r="AA78" s="318"/>
      <c r="AB78" s="319" t="s">
        <v>1010</v>
      </c>
      <c r="AC78" s="327"/>
      <c r="AD78" s="319"/>
      <c r="AE78" s="319"/>
      <c r="AF78" s="319"/>
      <c r="AG78" s="319"/>
      <c r="AH78" s="319"/>
      <c r="AI78" s="319"/>
      <c r="AJ78" s="327"/>
      <c r="AK78" s="328"/>
      <c r="AL78" s="319"/>
      <c r="AM78" s="319"/>
      <c r="AN78" s="319"/>
      <c r="AO78" s="319"/>
      <c r="AP78" s="319"/>
      <c r="AQ78" s="319"/>
      <c r="AR78" s="319"/>
      <c r="AS78" s="327"/>
      <c r="AT78" s="344"/>
      <c r="AU78" s="345" t="s">
        <v>845</v>
      </c>
      <c r="AV78" s="330"/>
      <c r="AW78" s="331"/>
      <c r="AX78" s="331"/>
      <c r="AY78" s="331"/>
      <c r="AZ78" s="331"/>
      <c r="BA78" s="331"/>
      <c r="BB78" s="331"/>
      <c r="BC78" s="331"/>
      <c r="BD78" s="318"/>
      <c r="BE78" s="332"/>
      <c r="BF78" s="330">
        <f t="shared" si="1"/>
        <v>0</v>
      </c>
      <c r="BG78" s="333">
        <f t="shared" si="2"/>
        <v>0</v>
      </c>
      <c r="BH78" s="334"/>
      <c r="BI78" s="316"/>
      <c r="BJ78" s="318"/>
      <c r="BK78" s="318"/>
      <c r="BL78" s="318"/>
      <c r="BM78" s="318"/>
      <c r="BN78" s="318"/>
      <c r="BO78" s="318"/>
      <c r="BP78" s="318"/>
      <c r="BQ78" s="338"/>
      <c r="BR78" s="420"/>
      <c r="BS78" s="330">
        <f t="shared" si="3"/>
        <v>0</v>
      </c>
      <c r="BT78" s="331">
        <f t="shared" si="4"/>
        <v>0</v>
      </c>
      <c r="BU78" s="331"/>
      <c r="BV78" s="333"/>
      <c r="BW78" s="330"/>
      <c r="BX78" s="331"/>
      <c r="BY78" s="331"/>
      <c r="BZ78" s="340"/>
      <c r="CA78" s="316"/>
      <c r="CB78" s="318"/>
      <c r="CC78" s="318"/>
      <c r="CD78" s="318"/>
      <c r="CE78" s="318"/>
      <c r="CF78" s="318"/>
      <c r="CG78" s="318"/>
      <c r="CH78" s="318"/>
      <c r="CI78" s="338"/>
      <c r="CJ78" s="341"/>
      <c r="CK78" s="342">
        <f t="shared" si="5"/>
        <v>0</v>
      </c>
      <c r="CL78" s="333">
        <f t="shared" si="6"/>
        <v>0</v>
      </c>
      <c r="CM78" s="421" t="s">
        <v>1011</v>
      </c>
      <c r="CN78" s="416"/>
      <c r="CO78" s="416"/>
      <c r="CP78" s="416"/>
    </row>
    <row r="79">
      <c r="B79" s="316"/>
      <c r="C79" s="417">
        <v>43389.0</v>
      </c>
      <c r="D79" s="318"/>
      <c r="E79" s="319"/>
      <c r="F79" s="324">
        <v>27.0</v>
      </c>
      <c r="G79" s="321">
        <v>0.6437731481481481</v>
      </c>
      <c r="H79" s="322"/>
      <c r="I79" s="322"/>
      <c r="J79" s="322"/>
      <c r="K79" s="418">
        <v>0.6491898148148149</v>
      </c>
      <c r="L79" s="418">
        <v>0.325</v>
      </c>
      <c r="M79" s="336" t="s">
        <v>166</v>
      </c>
      <c r="N79" s="324" t="s">
        <v>187</v>
      </c>
      <c r="O79" s="419" t="s">
        <v>207</v>
      </c>
      <c r="P79" s="319" t="s">
        <v>223</v>
      </c>
      <c r="Q79" s="318"/>
      <c r="R79" s="326" t="s">
        <v>1009</v>
      </c>
      <c r="S79" s="319"/>
      <c r="T79" s="324"/>
      <c r="U79" s="319">
        <v>1.0</v>
      </c>
      <c r="V79" s="319"/>
      <c r="W79" s="319"/>
      <c r="X79" s="319"/>
      <c r="Y79" s="319"/>
      <c r="Z79" s="318"/>
      <c r="AA79" s="318"/>
      <c r="AB79" s="319" t="s">
        <v>1010</v>
      </c>
      <c r="AC79" s="327"/>
      <c r="AD79" s="319"/>
      <c r="AE79" s="319"/>
      <c r="AF79" s="319"/>
      <c r="AG79" s="319"/>
      <c r="AH79" s="319"/>
      <c r="AI79" s="319"/>
      <c r="AJ79" s="327"/>
      <c r="AK79" s="328"/>
      <c r="AL79" s="319"/>
      <c r="AM79" s="319"/>
      <c r="AN79" s="319"/>
      <c r="AO79" s="319"/>
      <c r="AP79" s="319"/>
      <c r="AQ79" s="319"/>
      <c r="AR79" s="319"/>
      <c r="AS79" s="327"/>
      <c r="AT79" s="344"/>
      <c r="AU79" s="345" t="s">
        <v>845</v>
      </c>
      <c r="AV79" s="330"/>
      <c r="AW79" s="331"/>
      <c r="AX79" s="331"/>
      <c r="AY79" s="331"/>
      <c r="AZ79" s="331"/>
      <c r="BA79" s="331"/>
      <c r="BB79" s="331"/>
      <c r="BC79" s="331"/>
      <c r="BD79" s="318"/>
      <c r="BE79" s="332"/>
      <c r="BF79" s="330">
        <f t="shared" si="1"/>
        <v>0</v>
      </c>
      <c r="BG79" s="333">
        <f t="shared" si="2"/>
        <v>0</v>
      </c>
      <c r="BH79" s="334"/>
      <c r="BI79" s="316"/>
      <c r="BJ79" s="318"/>
      <c r="BK79" s="318"/>
      <c r="BL79" s="318"/>
      <c r="BM79" s="318"/>
      <c r="BN79" s="318"/>
      <c r="BO79" s="318"/>
      <c r="BP79" s="318"/>
      <c r="BQ79" s="338"/>
      <c r="BR79" s="420"/>
      <c r="BS79" s="330">
        <f t="shared" si="3"/>
        <v>0</v>
      </c>
      <c r="BT79" s="331">
        <f t="shared" si="4"/>
        <v>0</v>
      </c>
      <c r="BU79" s="331"/>
      <c r="BV79" s="333"/>
      <c r="BW79" s="330"/>
      <c r="BX79" s="331"/>
      <c r="BY79" s="331"/>
      <c r="BZ79" s="340"/>
      <c r="CA79" s="316"/>
      <c r="CB79" s="318"/>
      <c r="CC79" s="318"/>
      <c r="CD79" s="318"/>
      <c r="CE79" s="318"/>
      <c r="CF79" s="318"/>
      <c r="CG79" s="318"/>
      <c r="CH79" s="318"/>
      <c r="CI79" s="338"/>
      <c r="CJ79" s="341"/>
      <c r="CK79" s="342">
        <f t="shared" si="5"/>
        <v>0</v>
      </c>
      <c r="CL79" s="333">
        <f t="shared" si="6"/>
        <v>0</v>
      </c>
      <c r="CM79" s="423"/>
      <c r="CN79" s="424"/>
      <c r="CO79" s="424"/>
      <c r="CP79" s="424"/>
    </row>
    <row r="80">
      <c r="B80" s="316"/>
      <c r="C80" s="417">
        <v>43389.0</v>
      </c>
      <c r="D80" s="318"/>
      <c r="E80" s="319"/>
      <c r="F80" s="324">
        <v>28.0</v>
      </c>
      <c r="G80" s="321">
        <v>0.6562962962962963</v>
      </c>
      <c r="H80" s="322"/>
      <c r="I80" s="322"/>
      <c r="J80" s="322"/>
      <c r="K80" s="425"/>
      <c r="L80" s="418" t="s">
        <v>1012</v>
      </c>
      <c r="M80" s="336" t="s">
        <v>166</v>
      </c>
      <c r="N80" s="324" t="s">
        <v>187</v>
      </c>
      <c r="O80" s="419" t="s">
        <v>197</v>
      </c>
      <c r="P80" s="319" t="s">
        <v>220</v>
      </c>
      <c r="Q80" s="318"/>
      <c r="R80" s="326" t="s">
        <v>1013</v>
      </c>
      <c r="S80" s="319"/>
      <c r="T80" s="324"/>
      <c r="U80" s="319">
        <v>0.5</v>
      </c>
      <c r="V80" s="319"/>
      <c r="W80" s="319"/>
      <c r="X80" s="319"/>
      <c r="Y80" s="319"/>
      <c r="Z80" s="318"/>
      <c r="AA80" s="318"/>
      <c r="AB80" s="319" t="s">
        <v>1014</v>
      </c>
      <c r="AC80" s="327"/>
      <c r="AD80" s="319"/>
      <c r="AE80" s="319"/>
      <c r="AF80" s="319"/>
      <c r="AG80" s="319"/>
      <c r="AH80" s="319"/>
      <c r="AI80" s="319"/>
      <c r="AJ80" s="327"/>
      <c r="AK80" s="328"/>
      <c r="AL80" s="319"/>
      <c r="AM80" s="319"/>
      <c r="AN80" s="319"/>
      <c r="AO80" s="319"/>
      <c r="AP80" s="319"/>
      <c r="AQ80" s="319"/>
      <c r="AR80" s="319"/>
      <c r="AS80" s="327"/>
      <c r="AT80" s="344"/>
      <c r="AU80" s="345" t="s">
        <v>845</v>
      </c>
      <c r="AV80" s="330"/>
      <c r="AW80" s="331"/>
      <c r="AX80" s="331"/>
      <c r="AY80" s="331"/>
      <c r="AZ80" s="331"/>
      <c r="BA80" s="331"/>
      <c r="BB80" s="331"/>
      <c r="BC80" s="331"/>
      <c r="BD80" s="318"/>
      <c r="BE80" s="332"/>
      <c r="BF80" s="330">
        <f t="shared" si="1"/>
        <v>0</v>
      </c>
      <c r="BG80" s="333">
        <f t="shared" si="2"/>
        <v>0</v>
      </c>
      <c r="BH80" s="334"/>
      <c r="BI80" s="316"/>
      <c r="BJ80" s="318"/>
      <c r="BK80" s="318"/>
      <c r="BL80" s="318"/>
      <c r="BM80" s="318"/>
      <c r="BN80" s="318"/>
      <c r="BO80" s="318"/>
      <c r="BP80" s="318"/>
      <c r="BQ80" s="338"/>
      <c r="BR80" s="420"/>
      <c r="BS80" s="330">
        <f t="shared" si="3"/>
        <v>0</v>
      </c>
      <c r="BT80" s="331">
        <f t="shared" si="4"/>
        <v>0</v>
      </c>
      <c r="BU80" s="331"/>
      <c r="BV80" s="333"/>
      <c r="BW80" s="330"/>
      <c r="BX80" s="331"/>
      <c r="BY80" s="331"/>
      <c r="BZ80" s="340"/>
      <c r="CA80" s="316"/>
      <c r="CB80" s="318"/>
      <c r="CC80" s="318"/>
      <c r="CD80" s="318"/>
      <c r="CE80" s="318"/>
      <c r="CF80" s="318"/>
      <c r="CG80" s="318"/>
      <c r="CH80" s="318"/>
      <c r="CI80" s="338"/>
      <c r="CJ80" s="341"/>
      <c r="CK80" s="342">
        <f t="shared" si="5"/>
        <v>0</v>
      </c>
      <c r="CL80" s="333">
        <f t="shared" si="6"/>
        <v>0</v>
      </c>
      <c r="CM80" s="421" t="s">
        <v>1015</v>
      </c>
      <c r="CN80" s="416"/>
      <c r="CO80" s="416"/>
      <c r="CP80" s="416"/>
    </row>
    <row r="81">
      <c r="B81" s="316"/>
      <c r="C81" s="417">
        <v>43389.0</v>
      </c>
      <c r="D81" s="318"/>
      <c r="E81" s="319"/>
      <c r="F81" s="324">
        <v>20.0</v>
      </c>
      <c r="G81" s="321">
        <v>0.6628472222222223</v>
      </c>
      <c r="H81" s="322"/>
      <c r="I81" s="322"/>
      <c r="J81" s="322"/>
      <c r="K81" s="418">
        <v>0.6704861111111111</v>
      </c>
      <c r="L81" s="418">
        <v>0.4583333333333333</v>
      </c>
      <c r="M81" s="336" t="s">
        <v>166</v>
      </c>
      <c r="N81" s="324" t="s">
        <v>187</v>
      </c>
      <c r="O81" s="419" t="s">
        <v>205</v>
      </c>
      <c r="P81" s="319" t="s">
        <v>213</v>
      </c>
      <c r="Q81" s="318"/>
      <c r="R81" s="326" t="s">
        <v>1016</v>
      </c>
      <c r="S81" s="319"/>
      <c r="T81" s="324"/>
      <c r="U81" s="319">
        <v>0.5</v>
      </c>
      <c r="V81" s="319"/>
      <c r="W81" s="319"/>
      <c r="X81" s="319"/>
      <c r="Y81" s="319"/>
      <c r="Z81" s="318"/>
      <c r="AA81" s="318"/>
      <c r="AB81" s="319" t="s">
        <v>1017</v>
      </c>
      <c r="AC81" s="327"/>
      <c r="AD81" s="319"/>
      <c r="AE81" s="319"/>
      <c r="AF81" s="319"/>
      <c r="AG81" s="319"/>
      <c r="AH81" s="319"/>
      <c r="AI81" s="319"/>
      <c r="AJ81" s="327"/>
      <c r="AK81" s="328"/>
      <c r="AL81" s="319"/>
      <c r="AM81" s="319"/>
      <c r="AN81" s="319"/>
      <c r="AO81" s="319"/>
      <c r="AP81" s="319"/>
      <c r="AQ81" s="319"/>
      <c r="AR81" s="319"/>
      <c r="AS81" s="327"/>
      <c r="AT81" s="344"/>
      <c r="AU81" s="345" t="s">
        <v>845</v>
      </c>
      <c r="AV81" s="330"/>
      <c r="AW81" s="331"/>
      <c r="AX81" s="331"/>
      <c r="AY81" s="331"/>
      <c r="AZ81" s="331"/>
      <c r="BA81" s="331"/>
      <c r="BB81" s="331"/>
      <c r="BC81" s="331"/>
      <c r="BD81" s="318"/>
      <c r="BE81" s="332"/>
      <c r="BF81" s="330">
        <f t="shared" si="1"/>
        <v>0</v>
      </c>
      <c r="BG81" s="333">
        <f t="shared" si="2"/>
        <v>0</v>
      </c>
      <c r="BH81" s="334"/>
      <c r="BI81" s="316"/>
      <c r="BJ81" s="318"/>
      <c r="BK81" s="318"/>
      <c r="BL81" s="318"/>
      <c r="BM81" s="318"/>
      <c r="BN81" s="318"/>
      <c r="BO81" s="318"/>
      <c r="BP81" s="318"/>
      <c r="BQ81" s="338"/>
      <c r="BR81" s="420"/>
      <c r="BS81" s="330">
        <f t="shared" si="3"/>
        <v>0</v>
      </c>
      <c r="BT81" s="331">
        <f t="shared" si="4"/>
        <v>0</v>
      </c>
      <c r="BU81" s="331"/>
      <c r="BV81" s="333"/>
      <c r="BW81" s="330"/>
      <c r="BX81" s="331"/>
      <c r="BY81" s="331"/>
      <c r="BZ81" s="340"/>
      <c r="CA81" s="316"/>
      <c r="CB81" s="318"/>
      <c r="CC81" s="318"/>
      <c r="CD81" s="318"/>
      <c r="CE81" s="318"/>
      <c r="CF81" s="318"/>
      <c r="CG81" s="318"/>
      <c r="CH81" s="318"/>
      <c r="CI81" s="338"/>
      <c r="CJ81" s="341"/>
      <c r="CK81" s="342">
        <f t="shared" si="5"/>
        <v>0</v>
      </c>
      <c r="CL81" s="333">
        <f t="shared" si="6"/>
        <v>0</v>
      </c>
      <c r="CM81" s="421" t="s">
        <v>1018</v>
      </c>
      <c r="CN81" s="416"/>
      <c r="CO81" s="416"/>
      <c r="CP81" s="416"/>
    </row>
    <row r="82">
      <c r="B82" s="316"/>
      <c r="C82" s="417">
        <v>43389.0</v>
      </c>
      <c r="D82" s="318"/>
      <c r="E82" s="319"/>
      <c r="F82" s="324">
        <v>20.0</v>
      </c>
      <c r="G82" s="321">
        <v>0.6736805555555555</v>
      </c>
      <c r="H82" s="322"/>
      <c r="I82" s="322"/>
      <c r="J82" s="322"/>
      <c r="K82" s="418">
        <v>0.6784722222222223</v>
      </c>
      <c r="L82" s="418">
        <v>0.2875</v>
      </c>
      <c r="M82" s="336" t="s">
        <v>166</v>
      </c>
      <c r="N82" s="324" t="s">
        <v>187</v>
      </c>
      <c r="O82" s="419" t="s">
        <v>205</v>
      </c>
      <c r="P82" s="319" t="s">
        <v>213</v>
      </c>
      <c r="Q82" s="318"/>
      <c r="R82" s="326" t="s">
        <v>1016</v>
      </c>
      <c r="S82" s="319"/>
      <c r="T82" s="324"/>
      <c r="U82" s="319">
        <v>0.5</v>
      </c>
      <c r="V82" s="319"/>
      <c r="W82" s="319"/>
      <c r="X82" s="319"/>
      <c r="Y82" s="319"/>
      <c r="Z82" s="318"/>
      <c r="AA82" s="318"/>
      <c r="AB82" s="319" t="s">
        <v>1017</v>
      </c>
      <c r="AC82" s="327"/>
      <c r="AD82" s="319"/>
      <c r="AE82" s="319"/>
      <c r="AF82" s="319"/>
      <c r="AG82" s="319"/>
      <c r="AH82" s="319"/>
      <c r="AI82" s="319"/>
      <c r="AJ82" s="327"/>
      <c r="AK82" s="328"/>
      <c r="AL82" s="319"/>
      <c r="AM82" s="319"/>
      <c r="AN82" s="319"/>
      <c r="AO82" s="319"/>
      <c r="AP82" s="319"/>
      <c r="AQ82" s="319"/>
      <c r="AR82" s="319"/>
      <c r="AS82" s="327"/>
      <c r="AT82" s="344"/>
      <c r="AU82" s="345" t="s">
        <v>845</v>
      </c>
      <c r="AV82" s="330"/>
      <c r="AW82" s="331"/>
      <c r="AX82" s="331"/>
      <c r="AY82" s="331"/>
      <c r="AZ82" s="331"/>
      <c r="BA82" s="331"/>
      <c r="BB82" s="331"/>
      <c r="BC82" s="331"/>
      <c r="BD82" s="318"/>
      <c r="BE82" s="332"/>
      <c r="BF82" s="330">
        <f t="shared" si="1"/>
        <v>0</v>
      </c>
      <c r="BG82" s="333">
        <f t="shared" si="2"/>
        <v>0</v>
      </c>
      <c r="BH82" s="334"/>
      <c r="BI82" s="316"/>
      <c r="BJ82" s="318"/>
      <c r="BK82" s="318"/>
      <c r="BL82" s="318"/>
      <c r="BM82" s="318"/>
      <c r="BN82" s="318"/>
      <c r="BO82" s="318"/>
      <c r="BP82" s="318"/>
      <c r="BQ82" s="338"/>
      <c r="BR82" s="420"/>
      <c r="BS82" s="330">
        <f t="shared" si="3"/>
        <v>0</v>
      </c>
      <c r="BT82" s="331">
        <f t="shared" si="4"/>
        <v>0</v>
      </c>
      <c r="BU82" s="331"/>
      <c r="BV82" s="333"/>
      <c r="BW82" s="330"/>
      <c r="BX82" s="331"/>
      <c r="BY82" s="331"/>
      <c r="BZ82" s="340"/>
      <c r="CA82" s="316"/>
      <c r="CB82" s="318"/>
      <c r="CC82" s="318"/>
      <c r="CD82" s="318"/>
      <c r="CE82" s="318"/>
      <c r="CF82" s="318"/>
      <c r="CG82" s="318"/>
      <c r="CH82" s="318"/>
      <c r="CI82" s="338"/>
      <c r="CJ82" s="341"/>
      <c r="CK82" s="342">
        <f t="shared" si="5"/>
        <v>0</v>
      </c>
      <c r="CL82" s="333">
        <f t="shared" si="6"/>
        <v>0</v>
      </c>
      <c r="CM82" s="421" t="s">
        <v>1019</v>
      </c>
      <c r="CN82" s="416"/>
      <c r="CO82" s="416"/>
      <c r="CP82" s="416"/>
    </row>
    <row r="83">
      <c r="B83" s="316"/>
      <c r="C83" s="417">
        <v>43389.0</v>
      </c>
      <c r="D83" s="318"/>
      <c r="E83" s="319"/>
      <c r="F83" s="324">
        <v>20.0</v>
      </c>
      <c r="G83" s="321">
        <v>0.680324074074074</v>
      </c>
      <c r="H83" s="322"/>
      <c r="I83" s="322"/>
      <c r="J83" s="322"/>
      <c r="K83" s="418">
        <v>0.693113425925926</v>
      </c>
      <c r="L83" s="418">
        <v>0.7673611111111112</v>
      </c>
      <c r="M83" s="336" t="s">
        <v>166</v>
      </c>
      <c r="N83" s="324" t="s">
        <v>187</v>
      </c>
      <c r="O83" s="419" t="s">
        <v>205</v>
      </c>
      <c r="P83" s="319" t="s">
        <v>213</v>
      </c>
      <c r="Q83" s="318"/>
      <c r="R83" s="326" t="s">
        <v>1016</v>
      </c>
      <c r="S83" s="319"/>
      <c r="T83" s="324"/>
      <c r="U83" s="319">
        <v>0.3</v>
      </c>
      <c r="V83" s="319"/>
      <c r="W83" s="319"/>
      <c r="X83" s="319"/>
      <c r="Y83" s="319"/>
      <c r="Z83" s="318"/>
      <c r="AA83" s="318"/>
      <c r="AB83" s="319" t="s">
        <v>1017</v>
      </c>
      <c r="AC83" s="327"/>
      <c r="AD83" s="319"/>
      <c r="AE83" s="319"/>
      <c r="AF83" s="319"/>
      <c r="AG83" s="319"/>
      <c r="AH83" s="319"/>
      <c r="AI83" s="319"/>
      <c r="AJ83" s="327"/>
      <c r="AK83" s="328"/>
      <c r="AL83" s="319"/>
      <c r="AM83" s="319"/>
      <c r="AN83" s="319"/>
      <c r="AO83" s="319"/>
      <c r="AP83" s="319"/>
      <c r="AQ83" s="319"/>
      <c r="AR83" s="319"/>
      <c r="AS83" s="327"/>
      <c r="AT83" s="344"/>
      <c r="AU83" s="345" t="s">
        <v>845</v>
      </c>
      <c r="AV83" s="330"/>
      <c r="AW83" s="331"/>
      <c r="AX83" s="331"/>
      <c r="AY83" s="331"/>
      <c r="AZ83" s="331"/>
      <c r="BA83" s="331"/>
      <c r="BB83" s="331"/>
      <c r="BC83" s="331"/>
      <c r="BD83" s="318"/>
      <c r="BE83" s="332"/>
      <c r="BF83" s="330">
        <f t="shared" si="1"/>
        <v>0</v>
      </c>
      <c r="BG83" s="333">
        <f t="shared" si="2"/>
        <v>0</v>
      </c>
      <c r="BH83" s="334"/>
      <c r="BI83" s="316"/>
      <c r="BJ83" s="318"/>
      <c r="BK83" s="318"/>
      <c r="BL83" s="318"/>
      <c r="BM83" s="318"/>
      <c r="BN83" s="318"/>
      <c r="BO83" s="318"/>
      <c r="BP83" s="318"/>
      <c r="BQ83" s="338"/>
      <c r="BR83" s="420"/>
      <c r="BS83" s="330">
        <f t="shared" si="3"/>
        <v>0</v>
      </c>
      <c r="BT83" s="331">
        <f t="shared" si="4"/>
        <v>0</v>
      </c>
      <c r="BU83" s="331"/>
      <c r="BV83" s="333"/>
      <c r="BW83" s="330"/>
      <c r="BX83" s="331"/>
      <c r="BY83" s="331"/>
      <c r="BZ83" s="340"/>
      <c r="CA83" s="316"/>
      <c r="CB83" s="318"/>
      <c r="CC83" s="318"/>
      <c r="CD83" s="318"/>
      <c r="CE83" s="318"/>
      <c r="CF83" s="318"/>
      <c r="CG83" s="318"/>
      <c r="CH83" s="318"/>
      <c r="CI83" s="338"/>
      <c r="CJ83" s="341"/>
      <c r="CK83" s="342">
        <f t="shared" si="5"/>
        <v>0</v>
      </c>
      <c r="CL83" s="333">
        <f t="shared" si="6"/>
        <v>0</v>
      </c>
      <c r="CM83" s="423"/>
      <c r="CN83" s="424"/>
      <c r="CO83" s="424"/>
      <c r="CP83" s="424"/>
    </row>
    <row r="84">
      <c r="B84" s="316"/>
      <c r="C84" s="417">
        <v>43389.0</v>
      </c>
      <c r="D84" s="318"/>
      <c r="E84" s="319"/>
      <c r="F84" s="324">
        <v>28.0</v>
      </c>
      <c r="G84" s="321">
        <v>0.6950578703703704</v>
      </c>
      <c r="H84" s="322"/>
      <c r="I84" s="322"/>
      <c r="J84" s="322"/>
      <c r="K84" s="418">
        <v>0.7010300925925926</v>
      </c>
      <c r="L84" s="418">
        <v>0.35833333333333334</v>
      </c>
      <c r="M84" s="336" t="s">
        <v>166</v>
      </c>
      <c r="N84" s="324" t="s">
        <v>187</v>
      </c>
      <c r="O84" s="419" t="s">
        <v>197</v>
      </c>
      <c r="P84" s="319" t="s">
        <v>220</v>
      </c>
      <c r="Q84" s="318"/>
      <c r="R84" s="326" t="s">
        <v>1013</v>
      </c>
      <c r="S84" s="319"/>
      <c r="T84" s="324"/>
      <c r="U84" s="319">
        <v>0.5</v>
      </c>
      <c r="V84" s="319"/>
      <c r="W84" s="319"/>
      <c r="X84" s="319"/>
      <c r="Y84" s="319"/>
      <c r="Z84" s="318"/>
      <c r="AA84" s="318"/>
      <c r="AB84" s="319" t="s">
        <v>1014</v>
      </c>
      <c r="AC84" s="327"/>
      <c r="AD84" s="319"/>
      <c r="AE84" s="319"/>
      <c r="AF84" s="319"/>
      <c r="AG84" s="319"/>
      <c r="AH84" s="319"/>
      <c r="AI84" s="319"/>
      <c r="AJ84" s="327"/>
      <c r="AK84" s="328"/>
      <c r="AL84" s="319"/>
      <c r="AM84" s="319"/>
      <c r="AN84" s="319"/>
      <c r="AO84" s="319"/>
      <c r="AP84" s="319"/>
      <c r="AQ84" s="319"/>
      <c r="AR84" s="319"/>
      <c r="AS84" s="327"/>
      <c r="AT84" s="344"/>
      <c r="AU84" s="345" t="s">
        <v>845</v>
      </c>
      <c r="AV84" s="330"/>
      <c r="AW84" s="331"/>
      <c r="AX84" s="331"/>
      <c r="AY84" s="331"/>
      <c r="AZ84" s="331"/>
      <c r="BA84" s="331"/>
      <c r="BB84" s="331"/>
      <c r="BC84" s="331"/>
      <c r="BD84" s="318"/>
      <c r="BE84" s="332"/>
      <c r="BF84" s="330">
        <f t="shared" si="1"/>
        <v>0</v>
      </c>
      <c r="BG84" s="333">
        <f t="shared" si="2"/>
        <v>0</v>
      </c>
      <c r="BH84" s="334"/>
      <c r="BI84" s="316"/>
      <c r="BJ84" s="318"/>
      <c r="BK84" s="318"/>
      <c r="BL84" s="318"/>
      <c r="BM84" s="318"/>
      <c r="BN84" s="318"/>
      <c r="BO84" s="318"/>
      <c r="BP84" s="318"/>
      <c r="BQ84" s="338"/>
      <c r="BR84" s="420"/>
      <c r="BS84" s="330">
        <f t="shared" si="3"/>
        <v>0</v>
      </c>
      <c r="BT84" s="331">
        <f t="shared" si="4"/>
        <v>0</v>
      </c>
      <c r="BU84" s="331"/>
      <c r="BV84" s="333"/>
      <c r="BW84" s="330"/>
      <c r="BX84" s="331"/>
      <c r="BY84" s="331"/>
      <c r="BZ84" s="340"/>
      <c r="CA84" s="316"/>
      <c r="CB84" s="318"/>
      <c r="CC84" s="318"/>
      <c r="CD84" s="318"/>
      <c r="CE84" s="318"/>
      <c r="CF84" s="318"/>
      <c r="CG84" s="318"/>
      <c r="CH84" s="318"/>
      <c r="CI84" s="338"/>
      <c r="CJ84" s="341"/>
      <c r="CK84" s="342">
        <f t="shared" si="5"/>
        <v>0</v>
      </c>
      <c r="CL84" s="333">
        <f t="shared" si="6"/>
        <v>0</v>
      </c>
      <c r="CM84" s="421" t="s">
        <v>1020</v>
      </c>
      <c r="CN84" s="416"/>
      <c r="CO84" s="416"/>
      <c r="CP84" s="416"/>
    </row>
    <row r="85">
      <c r="B85" s="316"/>
      <c r="C85" s="417">
        <v>43389.0</v>
      </c>
      <c r="D85" s="318"/>
      <c r="E85" s="319"/>
      <c r="F85" s="324">
        <v>30.0</v>
      </c>
      <c r="G85" s="321">
        <v>0.7178240740740741</v>
      </c>
      <c r="H85" s="322"/>
      <c r="I85" s="322"/>
      <c r="J85" s="322"/>
      <c r="K85" s="422">
        <v>0.723738425925926</v>
      </c>
      <c r="L85" s="422">
        <v>0.3548611111111111</v>
      </c>
      <c r="M85" s="350" t="s">
        <v>166</v>
      </c>
      <c r="N85" s="324" t="s">
        <v>188</v>
      </c>
      <c r="O85" s="419" t="s">
        <v>841</v>
      </c>
      <c r="P85" s="319"/>
      <c r="Q85" s="318"/>
      <c r="R85" s="326" t="s">
        <v>1021</v>
      </c>
      <c r="S85" s="319"/>
      <c r="T85" s="324"/>
      <c r="U85" s="319">
        <v>45.0</v>
      </c>
      <c r="V85" s="319"/>
      <c r="W85" s="319"/>
      <c r="X85" s="319"/>
      <c r="Y85" s="319"/>
      <c r="Z85" s="318"/>
      <c r="AA85" s="318"/>
      <c r="AB85" s="319" t="s">
        <v>1022</v>
      </c>
      <c r="AC85" s="327"/>
      <c r="AD85" s="319"/>
      <c r="AE85" s="319"/>
      <c r="AF85" s="319"/>
      <c r="AG85" s="319"/>
      <c r="AH85" s="319"/>
      <c r="AI85" s="319"/>
      <c r="AJ85" s="327"/>
      <c r="AK85" s="328"/>
      <c r="AL85" s="319"/>
      <c r="AM85" s="319"/>
      <c r="AN85" s="319"/>
      <c r="AO85" s="319"/>
      <c r="AP85" s="319"/>
      <c r="AQ85" s="319"/>
      <c r="AR85" s="319"/>
      <c r="AS85" s="327"/>
      <c r="AT85" s="344"/>
      <c r="AU85" s="345" t="s">
        <v>845</v>
      </c>
      <c r="AV85" s="330"/>
      <c r="AW85" s="331"/>
      <c r="AX85" s="331"/>
      <c r="AY85" s="331"/>
      <c r="AZ85" s="331"/>
      <c r="BA85" s="331"/>
      <c r="BB85" s="331"/>
      <c r="BC85" s="331"/>
      <c r="BD85" s="318"/>
      <c r="BE85" s="332"/>
      <c r="BF85" s="330">
        <f t="shared" si="1"/>
        <v>0</v>
      </c>
      <c r="BG85" s="333">
        <f t="shared" si="2"/>
        <v>0</v>
      </c>
      <c r="BH85" s="334"/>
      <c r="BI85" s="316"/>
      <c r="BJ85" s="318"/>
      <c r="BK85" s="318"/>
      <c r="BL85" s="318"/>
      <c r="BM85" s="318"/>
      <c r="BN85" s="318"/>
      <c r="BO85" s="318"/>
      <c r="BP85" s="318"/>
      <c r="BQ85" s="338"/>
      <c r="BR85" s="420"/>
      <c r="BS85" s="330">
        <f t="shared" si="3"/>
        <v>0</v>
      </c>
      <c r="BT85" s="331">
        <f t="shared" si="4"/>
        <v>0</v>
      </c>
      <c r="BU85" s="331"/>
      <c r="BV85" s="333"/>
      <c r="BW85" s="330"/>
      <c r="BX85" s="331"/>
      <c r="BY85" s="331"/>
      <c r="BZ85" s="340"/>
      <c r="CA85" s="316"/>
      <c r="CB85" s="318"/>
      <c r="CC85" s="318"/>
      <c r="CD85" s="318"/>
      <c r="CE85" s="318"/>
      <c r="CF85" s="318"/>
      <c r="CG85" s="318"/>
      <c r="CH85" s="318"/>
      <c r="CI85" s="338"/>
      <c r="CJ85" s="341"/>
      <c r="CK85" s="342">
        <f t="shared" si="5"/>
        <v>0</v>
      </c>
      <c r="CL85" s="333">
        <f t="shared" si="6"/>
        <v>0</v>
      </c>
      <c r="CM85" s="421" t="s">
        <v>1023</v>
      </c>
      <c r="CN85" s="416"/>
      <c r="CO85" s="416"/>
      <c r="CP85" s="416"/>
    </row>
    <row r="86">
      <c r="B86" s="316"/>
      <c r="C86" s="417">
        <v>43390.0</v>
      </c>
      <c r="D86" s="318"/>
      <c r="E86" s="319"/>
      <c r="F86" s="324">
        <v>30.0</v>
      </c>
      <c r="G86" s="321">
        <v>0.4165509259259259</v>
      </c>
      <c r="H86" s="322"/>
      <c r="I86" s="322"/>
      <c r="J86" s="322"/>
      <c r="K86" s="418">
        <v>0.4204513888888889</v>
      </c>
      <c r="L86" s="418">
        <v>0.23402777777777778</v>
      </c>
      <c r="M86" s="336" t="s">
        <v>166</v>
      </c>
      <c r="N86" s="324" t="s">
        <v>188</v>
      </c>
      <c r="O86" s="419" t="s">
        <v>841</v>
      </c>
      <c r="P86" s="319"/>
      <c r="Q86" s="318"/>
      <c r="R86" s="326" t="s">
        <v>1021</v>
      </c>
      <c r="S86" s="319"/>
      <c r="T86" s="324"/>
      <c r="U86" s="319">
        <v>200.0</v>
      </c>
      <c r="V86" s="319"/>
      <c r="W86" s="319"/>
      <c r="X86" s="319"/>
      <c r="Y86" s="319"/>
      <c r="Z86" s="318"/>
      <c r="AA86" s="318"/>
      <c r="AB86" s="319" t="s">
        <v>1024</v>
      </c>
      <c r="AC86" s="327"/>
      <c r="AD86" s="319"/>
      <c r="AE86" s="319"/>
      <c r="AF86" s="319"/>
      <c r="AG86" s="319"/>
      <c r="AH86" s="319"/>
      <c r="AI86" s="319"/>
      <c r="AJ86" s="327"/>
      <c r="AK86" s="328"/>
      <c r="AL86" s="319"/>
      <c r="AM86" s="319"/>
      <c r="AN86" s="319"/>
      <c r="AO86" s="319"/>
      <c r="AP86" s="319"/>
      <c r="AQ86" s="319"/>
      <c r="AR86" s="319"/>
      <c r="AS86" s="327"/>
      <c r="AT86" s="344"/>
      <c r="AU86" s="345" t="s">
        <v>845</v>
      </c>
      <c r="AV86" s="330"/>
      <c r="AW86" s="331"/>
      <c r="AX86" s="331"/>
      <c r="AY86" s="331"/>
      <c r="AZ86" s="331"/>
      <c r="BA86" s="331"/>
      <c r="BB86" s="331"/>
      <c r="BC86" s="331"/>
      <c r="BD86" s="318"/>
      <c r="BE86" s="332"/>
      <c r="BF86" s="330">
        <f t="shared" si="1"/>
        <v>0</v>
      </c>
      <c r="BG86" s="333">
        <f t="shared" si="2"/>
        <v>0</v>
      </c>
      <c r="BH86" s="334"/>
      <c r="BI86" s="316"/>
      <c r="BJ86" s="318"/>
      <c r="BK86" s="318"/>
      <c r="BL86" s="318"/>
      <c r="BM86" s="318"/>
      <c r="BN86" s="318"/>
      <c r="BO86" s="318"/>
      <c r="BP86" s="318"/>
      <c r="BQ86" s="338"/>
      <c r="BR86" s="420"/>
      <c r="BS86" s="330">
        <f t="shared" si="3"/>
        <v>0</v>
      </c>
      <c r="BT86" s="331">
        <f t="shared" si="4"/>
        <v>0</v>
      </c>
      <c r="BU86" s="331"/>
      <c r="BV86" s="333"/>
      <c r="BW86" s="330"/>
      <c r="BX86" s="331"/>
      <c r="BY86" s="331"/>
      <c r="BZ86" s="340"/>
      <c r="CA86" s="316"/>
      <c r="CB86" s="318"/>
      <c r="CC86" s="318"/>
      <c r="CD86" s="318"/>
      <c r="CE86" s="318"/>
      <c r="CF86" s="318"/>
      <c r="CG86" s="318"/>
      <c r="CH86" s="318"/>
      <c r="CI86" s="338"/>
      <c r="CJ86" s="341"/>
      <c r="CK86" s="342">
        <f t="shared" si="5"/>
        <v>0</v>
      </c>
      <c r="CL86" s="333">
        <f t="shared" si="6"/>
        <v>0</v>
      </c>
      <c r="CM86" s="421" t="s">
        <v>1025</v>
      </c>
      <c r="CN86" s="416"/>
      <c r="CO86" s="416"/>
      <c r="CP86" s="416"/>
    </row>
    <row r="87">
      <c r="B87" s="316"/>
      <c r="C87" s="417">
        <v>43390.0</v>
      </c>
      <c r="D87" s="318"/>
      <c r="E87" s="319"/>
      <c r="F87" s="324">
        <v>29.0</v>
      </c>
      <c r="G87" s="321">
        <v>0.4238425925925926</v>
      </c>
      <c r="H87" s="322"/>
      <c r="I87" s="322"/>
      <c r="J87" s="322"/>
      <c r="K87" s="418">
        <v>0.4283796296296296</v>
      </c>
      <c r="L87" s="418">
        <v>0.2722222222222222</v>
      </c>
      <c r="M87" s="336" t="s">
        <v>166</v>
      </c>
      <c r="N87" s="324" t="s">
        <v>188</v>
      </c>
      <c r="O87" s="419" t="s">
        <v>841</v>
      </c>
      <c r="P87" s="319"/>
      <c r="Q87" s="318"/>
      <c r="R87" s="326" t="s">
        <v>1026</v>
      </c>
      <c r="S87" s="319"/>
      <c r="T87" s="324"/>
      <c r="U87" s="319">
        <v>8.0</v>
      </c>
      <c r="V87" s="319"/>
      <c r="W87" s="319"/>
      <c r="X87" s="319"/>
      <c r="Y87" s="319"/>
      <c r="Z87" s="318"/>
      <c r="AA87" s="318"/>
      <c r="AB87" s="319" t="s">
        <v>1027</v>
      </c>
      <c r="AC87" s="327"/>
      <c r="AD87" s="319"/>
      <c r="AE87" s="319"/>
      <c r="AF87" s="319"/>
      <c r="AG87" s="319"/>
      <c r="AH87" s="319"/>
      <c r="AI87" s="319"/>
      <c r="AJ87" s="327"/>
      <c r="AK87" s="328"/>
      <c r="AL87" s="319"/>
      <c r="AM87" s="319"/>
      <c r="AN87" s="319"/>
      <c r="AO87" s="319"/>
      <c r="AP87" s="319"/>
      <c r="AQ87" s="319"/>
      <c r="AR87" s="319"/>
      <c r="AS87" s="327"/>
      <c r="AT87" s="344"/>
      <c r="AU87" s="345" t="s">
        <v>845</v>
      </c>
      <c r="AV87" s="330"/>
      <c r="AW87" s="331"/>
      <c r="AX87" s="331"/>
      <c r="AY87" s="331"/>
      <c r="AZ87" s="331"/>
      <c r="BA87" s="331"/>
      <c r="BB87" s="331"/>
      <c r="BC87" s="331"/>
      <c r="BD87" s="318"/>
      <c r="BE87" s="332"/>
      <c r="BF87" s="330">
        <f t="shared" si="1"/>
        <v>0</v>
      </c>
      <c r="BG87" s="333">
        <f t="shared" si="2"/>
        <v>0</v>
      </c>
      <c r="BH87" s="334"/>
      <c r="BI87" s="316"/>
      <c r="BJ87" s="318"/>
      <c r="BK87" s="318"/>
      <c r="BL87" s="318"/>
      <c r="BM87" s="318"/>
      <c r="BN87" s="318"/>
      <c r="BO87" s="318"/>
      <c r="BP87" s="318"/>
      <c r="BQ87" s="338"/>
      <c r="BR87" s="420"/>
      <c r="BS87" s="330">
        <f t="shared" si="3"/>
        <v>0</v>
      </c>
      <c r="BT87" s="331">
        <f t="shared" si="4"/>
        <v>0</v>
      </c>
      <c r="BU87" s="331"/>
      <c r="BV87" s="333"/>
      <c r="BW87" s="330"/>
      <c r="BX87" s="331"/>
      <c r="BY87" s="331"/>
      <c r="BZ87" s="340"/>
      <c r="CA87" s="316"/>
      <c r="CB87" s="318"/>
      <c r="CC87" s="318"/>
      <c r="CD87" s="318"/>
      <c r="CE87" s="318"/>
      <c r="CF87" s="318"/>
      <c r="CG87" s="318"/>
      <c r="CH87" s="318"/>
      <c r="CI87" s="338"/>
      <c r="CJ87" s="341"/>
      <c r="CK87" s="342">
        <f t="shared" si="5"/>
        <v>0</v>
      </c>
      <c r="CL87" s="333">
        <f t="shared" si="6"/>
        <v>0</v>
      </c>
      <c r="CM87" s="423"/>
      <c r="CN87" s="424"/>
      <c r="CO87" s="424"/>
      <c r="CP87" s="424"/>
    </row>
    <row r="88">
      <c r="B88" s="316"/>
      <c r="C88" s="417">
        <v>43390.0</v>
      </c>
      <c r="D88" s="318"/>
      <c r="E88" s="319"/>
      <c r="F88" s="324">
        <v>29.0</v>
      </c>
      <c r="G88" s="321">
        <v>0.4337152777777778</v>
      </c>
      <c r="H88" s="322"/>
      <c r="I88" s="322"/>
      <c r="J88" s="322"/>
      <c r="K88" s="418">
        <v>0.4375810185185185</v>
      </c>
      <c r="L88" s="418">
        <v>0.23194444444444445</v>
      </c>
      <c r="M88" s="336" t="s">
        <v>166</v>
      </c>
      <c r="N88" s="324" t="s">
        <v>188</v>
      </c>
      <c r="O88" s="419" t="s">
        <v>841</v>
      </c>
      <c r="P88" s="319"/>
      <c r="Q88" s="318"/>
      <c r="R88" s="326" t="s">
        <v>1026</v>
      </c>
      <c r="S88" s="319"/>
      <c r="T88" s="324"/>
      <c r="U88" s="319">
        <v>8.0</v>
      </c>
      <c r="V88" s="319"/>
      <c r="W88" s="319"/>
      <c r="X88" s="319"/>
      <c r="Y88" s="319"/>
      <c r="Z88" s="318"/>
      <c r="AA88" s="318"/>
      <c r="AB88" s="319" t="s">
        <v>1027</v>
      </c>
      <c r="AC88" s="327"/>
      <c r="AD88" s="319"/>
      <c r="AE88" s="319"/>
      <c r="AF88" s="319"/>
      <c r="AG88" s="319"/>
      <c r="AH88" s="319"/>
      <c r="AI88" s="319"/>
      <c r="AJ88" s="327"/>
      <c r="AK88" s="328"/>
      <c r="AL88" s="319"/>
      <c r="AM88" s="319"/>
      <c r="AN88" s="319"/>
      <c r="AO88" s="319"/>
      <c r="AP88" s="319"/>
      <c r="AQ88" s="319"/>
      <c r="AR88" s="319"/>
      <c r="AS88" s="327"/>
      <c r="AT88" s="344"/>
      <c r="AU88" s="345" t="s">
        <v>845</v>
      </c>
      <c r="AV88" s="330"/>
      <c r="AW88" s="331"/>
      <c r="AX88" s="331"/>
      <c r="AY88" s="331"/>
      <c r="AZ88" s="331"/>
      <c r="BA88" s="331"/>
      <c r="BB88" s="331"/>
      <c r="BC88" s="331"/>
      <c r="BD88" s="318"/>
      <c r="BE88" s="332"/>
      <c r="BF88" s="330">
        <f t="shared" si="1"/>
        <v>0</v>
      </c>
      <c r="BG88" s="333">
        <f t="shared" si="2"/>
        <v>0</v>
      </c>
      <c r="BH88" s="334"/>
      <c r="BI88" s="316"/>
      <c r="BJ88" s="318"/>
      <c r="BK88" s="318"/>
      <c r="BL88" s="318"/>
      <c r="BM88" s="318"/>
      <c r="BN88" s="318"/>
      <c r="BO88" s="318"/>
      <c r="BP88" s="318"/>
      <c r="BQ88" s="338"/>
      <c r="BR88" s="420"/>
      <c r="BS88" s="330">
        <f t="shared" si="3"/>
        <v>0</v>
      </c>
      <c r="BT88" s="331">
        <f t="shared" si="4"/>
        <v>0</v>
      </c>
      <c r="BU88" s="331"/>
      <c r="BV88" s="333"/>
      <c r="BW88" s="330"/>
      <c r="BX88" s="331"/>
      <c r="BY88" s="331"/>
      <c r="BZ88" s="340"/>
      <c r="CA88" s="316"/>
      <c r="CB88" s="318"/>
      <c r="CC88" s="318"/>
      <c r="CD88" s="318"/>
      <c r="CE88" s="318"/>
      <c r="CF88" s="318"/>
      <c r="CG88" s="318"/>
      <c r="CH88" s="318"/>
      <c r="CI88" s="338"/>
      <c r="CJ88" s="341"/>
      <c r="CK88" s="342">
        <f t="shared" si="5"/>
        <v>0</v>
      </c>
      <c r="CL88" s="333">
        <f t="shared" si="6"/>
        <v>0</v>
      </c>
      <c r="CM88" s="421" t="s">
        <v>1028</v>
      </c>
      <c r="CN88" s="416"/>
      <c r="CO88" s="416"/>
      <c r="CP88" s="416"/>
    </row>
    <row r="89">
      <c r="B89" s="316"/>
      <c r="C89" s="417">
        <v>43390.0</v>
      </c>
      <c r="D89" s="318"/>
      <c r="E89" s="319"/>
      <c r="F89" s="324">
        <v>30.0</v>
      </c>
      <c r="G89" s="321">
        <v>0.4618055555555556</v>
      </c>
      <c r="H89" s="322"/>
      <c r="I89" s="322"/>
      <c r="J89" s="322"/>
      <c r="K89" s="418">
        <v>0.46770833333333334</v>
      </c>
      <c r="L89" s="418">
        <v>0.3541666666666667</v>
      </c>
      <c r="M89" s="336" t="s">
        <v>166</v>
      </c>
      <c r="N89" s="324" t="s">
        <v>188</v>
      </c>
      <c r="O89" s="419" t="s">
        <v>841</v>
      </c>
      <c r="P89" s="319"/>
      <c r="Q89" s="318"/>
      <c r="R89" s="326" t="s">
        <v>1021</v>
      </c>
      <c r="S89" s="319"/>
      <c r="T89" s="324"/>
      <c r="U89" s="319">
        <v>100.0</v>
      </c>
      <c r="V89" s="319"/>
      <c r="W89" s="319"/>
      <c r="X89" s="319"/>
      <c r="Y89" s="319"/>
      <c r="Z89" s="318"/>
      <c r="AA89" s="318"/>
      <c r="AB89" s="319" t="s">
        <v>1029</v>
      </c>
      <c r="AC89" s="327"/>
      <c r="AD89" s="319"/>
      <c r="AE89" s="319"/>
      <c r="AF89" s="319"/>
      <c r="AG89" s="319"/>
      <c r="AH89" s="319"/>
      <c r="AI89" s="319"/>
      <c r="AJ89" s="327"/>
      <c r="AK89" s="328"/>
      <c r="AL89" s="319"/>
      <c r="AM89" s="319"/>
      <c r="AN89" s="319"/>
      <c r="AO89" s="319"/>
      <c r="AP89" s="319"/>
      <c r="AQ89" s="319"/>
      <c r="AR89" s="319"/>
      <c r="AS89" s="327"/>
      <c r="AT89" s="344"/>
      <c r="AU89" s="345" t="s">
        <v>845</v>
      </c>
      <c r="AV89" s="330"/>
      <c r="AW89" s="331"/>
      <c r="AX89" s="331"/>
      <c r="AY89" s="331"/>
      <c r="AZ89" s="331"/>
      <c r="BA89" s="331"/>
      <c r="BB89" s="331"/>
      <c r="BC89" s="331"/>
      <c r="BD89" s="318"/>
      <c r="BE89" s="332"/>
      <c r="BF89" s="330">
        <f t="shared" si="1"/>
        <v>0</v>
      </c>
      <c r="BG89" s="333">
        <f t="shared" si="2"/>
        <v>0</v>
      </c>
      <c r="BH89" s="334"/>
      <c r="BI89" s="316"/>
      <c r="BJ89" s="318"/>
      <c r="BK89" s="318"/>
      <c r="BL89" s="318"/>
      <c r="BM89" s="318"/>
      <c r="BN89" s="318"/>
      <c r="BO89" s="318"/>
      <c r="BP89" s="318"/>
      <c r="BQ89" s="338"/>
      <c r="BR89" s="420"/>
      <c r="BS89" s="330">
        <f t="shared" si="3"/>
        <v>0</v>
      </c>
      <c r="BT89" s="331">
        <f t="shared" si="4"/>
        <v>0</v>
      </c>
      <c r="BU89" s="331"/>
      <c r="BV89" s="333"/>
      <c r="BW89" s="330"/>
      <c r="BX89" s="331"/>
      <c r="BY89" s="331"/>
      <c r="BZ89" s="340"/>
      <c r="CA89" s="316"/>
      <c r="CB89" s="318"/>
      <c r="CC89" s="318"/>
      <c r="CD89" s="318"/>
      <c r="CE89" s="318"/>
      <c r="CF89" s="318"/>
      <c r="CG89" s="318"/>
      <c r="CH89" s="318"/>
      <c r="CI89" s="338"/>
      <c r="CJ89" s="341"/>
      <c r="CK89" s="342">
        <f t="shared" si="5"/>
        <v>0</v>
      </c>
      <c r="CL89" s="333">
        <f t="shared" si="6"/>
        <v>0</v>
      </c>
      <c r="CM89" s="421" t="s">
        <v>1030</v>
      </c>
      <c r="CN89" s="416"/>
      <c r="CO89" s="416"/>
      <c r="CP89" s="416"/>
    </row>
    <row r="90">
      <c r="B90" s="316"/>
      <c r="C90" s="417">
        <v>43390.0</v>
      </c>
      <c r="D90" s="318"/>
      <c r="E90" s="319"/>
      <c r="F90" s="324">
        <v>29.0</v>
      </c>
      <c r="G90" s="321">
        <v>0.4716898148148148</v>
      </c>
      <c r="H90" s="322"/>
      <c r="I90" s="322"/>
      <c r="J90" s="322"/>
      <c r="K90" s="418">
        <v>0.48018518518518516</v>
      </c>
      <c r="L90" s="418">
        <v>0.5097222222222222</v>
      </c>
      <c r="M90" s="336" t="s">
        <v>166</v>
      </c>
      <c r="N90" s="324" t="s">
        <v>188</v>
      </c>
      <c r="O90" s="419" t="s">
        <v>841</v>
      </c>
      <c r="P90" s="319"/>
      <c r="Q90" s="318"/>
      <c r="R90" s="326" t="s">
        <v>1026</v>
      </c>
      <c r="S90" s="319"/>
      <c r="T90" s="324"/>
      <c r="U90" s="319">
        <v>4.0</v>
      </c>
      <c r="V90" s="319"/>
      <c r="W90" s="319"/>
      <c r="X90" s="319"/>
      <c r="Y90" s="319"/>
      <c r="Z90" s="318"/>
      <c r="AA90" s="318"/>
      <c r="AB90" s="319" t="s">
        <v>1014</v>
      </c>
      <c r="AC90" s="327"/>
      <c r="AD90" s="319"/>
      <c r="AE90" s="319"/>
      <c r="AF90" s="319"/>
      <c r="AG90" s="319"/>
      <c r="AH90" s="319"/>
      <c r="AI90" s="319"/>
      <c r="AJ90" s="327"/>
      <c r="AK90" s="328"/>
      <c r="AL90" s="319"/>
      <c r="AM90" s="319"/>
      <c r="AN90" s="319"/>
      <c r="AO90" s="319"/>
      <c r="AP90" s="319"/>
      <c r="AQ90" s="319"/>
      <c r="AR90" s="319"/>
      <c r="AS90" s="327"/>
      <c r="AT90" s="344"/>
      <c r="AU90" s="345" t="s">
        <v>845</v>
      </c>
      <c r="AV90" s="330"/>
      <c r="AW90" s="331"/>
      <c r="AX90" s="331"/>
      <c r="AY90" s="331"/>
      <c r="AZ90" s="331"/>
      <c r="BA90" s="331"/>
      <c r="BB90" s="331"/>
      <c r="BC90" s="331"/>
      <c r="BD90" s="318"/>
      <c r="BE90" s="332"/>
      <c r="BF90" s="330">
        <f t="shared" si="1"/>
        <v>0</v>
      </c>
      <c r="BG90" s="333">
        <f t="shared" si="2"/>
        <v>0</v>
      </c>
      <c r="BH90" s="334"/>
      <c r="BI90" s="316"/>
      <c r="BJ90" s="318"/>
      <c r="BK90" s="318"/>
      <c r="BL90" s="318"/>
      <c r="BM90" s="318"/>
      <c r="BN90" s="318"/>
      <c r="BO90" s="318"/>
      <c r="BP90" s="318"/>
      <c r="BQ90" s="338"/>
      <c r="BR90" s="420"/>
      <c r="BS90" s="330">
        <f t="shared" si="3"/>
        <v>0</v>
      </c>
      <c r="BT90" s="331">
        <f t="shared" si="4"/>
        <v>0</v>
      </c>
      <c r="BU90" s="331"/>
      <c r="BV90" s="333"/>
      <c r="BW90" s="330"/>
      <c r="BX90" s="331"/>
      <c r="BY90" s="331"/>
      <c r="BZ90" s="340"/>
      <c r="CA90" s="316"/>
      <c r="CB90" s="318"/>
      <c r="CC90" s="318"/>
      <c r="CD90" s="318"/>
      <c r="CE90" s="318"/>
      <c r="CF90" s="318"/>
      <c r="CG90" s="318"/>
      <c r="CH90" s="318"/>
      <c r="CI90" s="338"/>
      <c r="CJ90" s="341"/>
      <c r="CK90" s="342">
        <f t="shared" si="5"/>
        <v>0</v>
      </c>
      <c r="CL90" s="333">
        <f t="shared" si="6"/>
        <v>0</v>
      </c>
      <c r="CM90" s="423"/>
      <c r="CN90" s="424"/>
      <c r="CO90" s="424"/>
      <c r="CP90" s="424"/>
    </row>
    <row r="91">
      <c r="B91" s="316"/>
      <c r="C91" s="417">
        <v>43390.0</v>
      </c>
      <c r="D91" s="426" t="s">
        <v>986</v>
      </c>
      <c r="E91" s="319"/>
      <c r="F91" s="324"/>
      <c r="G91" s="321">
        <v>0.14710648148148148</v>
      </c>
      <c r="H91" s="322"/>
      <c r="I91" s="322"/>
      <c r="J91" s="322"/>
      <c r="K91" s="418">
        <v>0.15711805555555555</v>
      </c>
      <c r="L91" s="418">
        <v>0.6006944444444444</v>
      </c>
      <c r="M91" s="336" t="s">
        <v>167</v>
      </c>
      <c r="N91" s="324" t="s">
        <v>167</v>
      </c>
      <c r="O91" s="419" t="s">
        <v>167</v>
      </c>
      <c r="P91" s="319" t="s">
        <v>167</v>
      </c>
      <c r="Q91" s="318"/>
      <c r="R91" s="326"/>
      <c r="S91" s="319"/>
      <c r="T91" s="324"/>
      <c r="U91" s="319" t="s">
        <v>1031</v>
      </c>
      <c r="V91" s="319"/>
      <c r="W91" s="319"/>
      <c r="X91" s="319"/>
      <c r="Y91" s="319"/>
      <c r="Z91" s="318"/>
      <c r="AA91" s="318"/>
      <c r="AB91" s="318"/>
      <c r="AC91" s="327"/>
      <c r="AD91" s="319"/>
      <c r="AE91" s="319"/>
      <c r="AF91" s="319"/>
      <c r="AG91" s="319"/>
      <c r="AH91" s="319"/>
      <c r="AI91" s="319"/>
      <c r="AJ91" s="327"/>
      <c r="AK91" s="328"/>
      <c r="AL91" s="319"/>
      <c r="AM91" s="319"/>
      <c r="AN91" s="319"/>
      <c r="AO91" s="319"/>
      <c r="AP91" s="319"/>
      <c r="AQ91" s="319"/>
      <c r="AR91" s="319"/>
      <c r="AS91" s="327"/>
      <c r="AT91" s="344"/>
      <c r="AU91" s="345" t="s">
        <v>845</v>
      </c>
      <c r="AV91" s="330"/>
      <c r="AW91" s="331"/>
      <c r="AX91" s="331"/>
      <c r="AY91" s="331"/>
      <c r="AZ91" s="331"/>
      <c r="BA91" s="331"/>
      <c r="BB91" s="331"/>
      <c r="BC91" s="331"/>
      <c r="BD91" s="318"/>
      <c r="BE91" s="332"/>
      <c r="BF91" s="330">
        <f t="shared" si="1"/>
        <v>0</v>
      </c>
      <c r="BG91" s="333">
        <f t="shared" si="2"/>
        <v>0</v>
      </c>
      <c r="BH91" s="334"/>
      <c r="BI91" s="316"/>
      <c r="BJ91" s="318"/>
      <c r="BK91" s="318"/>
      <c r="BL91" s="318"/>
      <c r="BM91" s="318"/>
      <c r="BN91" s="318"/>
      <c r="BO91" s="318"/>
      <c r="BP91" s="318"/>
      <c r="BQ91" s="338"/>
      <c r="BR91" s="420"/>
      <c r="BS91" s="330">
        <f t="shared" si="3"/>
        <v>0</v>
      </c>
      <c r="BT91" s="331">
        <f t="shared" si="4"/>
        <v>0</v>
      </c>
      <c r="BU91" s="331"/>
      <c r="BV91" s="333"/>
      <c r="BW91" s="330"/>
      <c r="BX91" s="331"/>
      <c r="BY91" s="331"/>
      <c r="BZ91" s="340"/>
      <c r="CA91" s="316"/>
      <c r="CB91" s="318"/>
      <c r="CC91" s="318"/>
      <c r="CD91" s="318"/>
      <c r="CE91" s="318"/>
      <c r="CF91" s="318"/>
      <c r="CG91" s="318"/>
      <c r="CH91" s="318"/>
      <c r="CI91" s="338"/>
      <c r="CJ91" s="341"/>
      <c r="CK91" s="342">
        <f t="shared" si="5"/>
        <v>0</v>
      </c>
      <c r="CL91" s="333">
        <f t="shared" si="6"/>
        <v>0</v>
      </c>
      <c r="CM91" s="421" t="s">
        <v>1032</v>
      </c>
      <c r="CN91" s="416"/>
      <c r="CO91" s="416"/>
      <c r="CP91" s="416"/>
    </row>
    <row r="92">
      <c r="B92" s="316"/>
      <c r="C92" s="417">
        <v>43390.0</v>
      </c>
      <c r="D92" s="426" t="s">
        <v>986</v>
      </c>
      <c r="E92" s="319"/>
      <c r="F92" s="324"/>
      <c r="G92" s="321">
        <v>0.16006944444444443</v>
      </c>
      <c r="H92" s="322"/>
      <c r="I92" s="322"/>
      <c r="J92" s="322"/>
      <c r="K92" s="418">
        <v>0.1684027777777778</v>
      </c>
      <c r="L92" s="418">
        <v>0.5</v>
      </c>
      <c r="M92" s="336" t="s">
        <v>167</v>
      </c>
      <c r="N92" s="324" t="s">
        <v>167</v>
      </c>
      <c r="O92" s="419" t="s">
        <v>167</v>
      </c>
      <c r="P92" s="319" t="s">
        <v>167</v>
      </c>
      <c r="Q92" s="318"/>
      <c r="R92" s="326"/>
      <c r="S92" s="319"/>
      <c r="T92" s="324"/>
      <c r="U92" s="319" t="s">
        <v>1031</v>
      </c>
      <c r="V92" s="319"/>
      <c r="W92" s="319"/>
      <c r="X92" s="319"/>
      <c r="Y92" s="319"/>
      <c r="Z92" s="318"/>
      <c r="AA92" s="318"/>
      <c r="AB92" s="318"/>
      <c r="AC92" s="327"/>
      <c r="AD92" s="319"/>
      <c r="AE92" s="319"/>
      <c r="AF92" s="319"/>
      <c r="AG92" s="319"/>
      <c r="AH92" s="319"/>
      <c r="AI92" s="319"/>
      <c r="AJ92" s="327"/>
      <c r="AK92" s="328"/>
      <c r="AL92" s="319"/>
      <c r="AM92" s="319"/>
      <c r="AN92" s="319"/>
      <c r="AO92" s="319"/>
      <c r="AP92" s="319"/>
      <c r="AQ92" s="319"/>
      <c r="AR92" s="319"/>
      <c r="AS92" s="327"/>
      <c r="AT92" s="344"/>
      <c r="AU92" s="345" t="s">
        <v>845</v>
      </c>
      <c r="AV92" s="330"/>
      <c r="AW92" s="331"/>
      <c r="AX92" s="331"/>
      <c r="AY92" s="331"/>
      <c r="AZ92" s="331"/>
      <c r="BA92" s="331"/>
      <c r="BB92" s="331"/>
      <c r="BC92" s="331"/>
      <c r="BD92" s="318"/>
      <c r="BE92" s="332"/>
      <c r="BF92" s="330">
        <f t="shared" si="1"/>
        <v>0</v>
      </c>
      <c r="BG92" s="333">
        <f t="shared" si="2"/>
        <v>0</v>
      </c>
      <c r="BH92" s="334"/>
      <c r="BI92" s="316"/>
      <c r="BJ92" s="318"/>
      <c r="BK92" s="318"/>
      <c r="BL92" s="318"/>
      <c r="BM92" s="318"/>
      <c r="BN92" s="318"/>
      <c r="BO92" s="318"/>
      <c r="BP92" s="318"/>
      <c r="BQ92" s="338"/>
      <c r="BR92" s="420"/>
      <c r="BS92" s="330">
        <f t="shared" si="3"/>
        <v>0</v>
      </c>
      <c r="BT92" s="331">
        <f t="shared" si="4"/>
        <v>0</v>
      </c>
      <c r="BU92" s="331"/>
      <c r="BV92" s="333"/>
      <c r="BW92" s="330"/>
      <c r="BX92" s="331"/>
      <c r="BY92" s="331"/>
      <c r="BZ92" s="340"/>
      <c r="CA92" s="316"/>
      <c r="CB92" s="318"/>
      <c r="CC92" s="318"/>
      <c r="CD92" s="318"/>
      <c r="CE92" s="318"/>
      <c r="CF92" s="318"/>
      <c r="CG92" s="318"/>
      <c r="CH92" s="318"/>
      <c r="CI92" s="338"/>
      <c r="CJ92" s="341"/>
      <c r="CK92" s="342">
        <f t="shared" si="5"/>
        <v>0</v>
      </c>
      <c r="CL92" s="333">
        <f t="shared" si="6"/>
        <v>0</v>
      </c>
      <c r="CM92" s="421" t="s">
        <v>1033</v>
      </c>
      <c r="CN92" s="416"/>
      <c r="CO92" s="416"/>
      <c r="CP92" s="416"/>
    </row>
    <row r="93">
      <c r="B93" s="316"/>
      <c r="C93" s="417">
        <v>43390.0</v>
      </c>
      <c r="D93" s="426" t="s">
        <v>986</v>
      </c>
      <c r="E93" s="319"/>
      <c r="F93" s="324"/>
      <c r="G93" s="321">
        <v>0.18388888888888888</v>
      </c>
      <c r="H93" s="322"/>
      <c r="I93" s="322"/>
      <c r="J93" s="322"/>
      <c r="K93" s="418">
        <v>0.1920138888888889</v>
      </c>
      <c r="L93" s="418">
        <v>0.4875</v>
      </c>
      <c r="M93" s="336" t="s">
        <v>167</v>
      </c>
      <c r="N93" s="324" t="s">
        <v>167</v>
      </c>
      <c r="O93" s="419" t="s">
        <v>167</v>
      </c>
      <c r="P93" s="319" t="s">
        <v>167</v>
      </c>
      <c r="Q93" s="318"/>
      <c r="R93" s="326"/>
      <c r="S93" s="319"/>
      <c r="T93" s="324"/>
      <c r="U93" s="319" t="s">
        <v>1031</v>
      </c>
      <c r="V93" s="319"/>
      <c r="W93" s="319"/>
      <c r="X93" s="319"/>
      <c r="Y93" s="319"/>
      <c r="Z93" s="318"/>
      <c r="AA93" s="318"/>
      <c r="AB93" s="318"/>
      <c r="AC93" s="327"/>
      <c r="AD93" s="319"/>
      <c r="AE93" s="319"/>
      <c r="AF93" s="319"/>
      <c r="AG93" s="319"/>
      <c r="AH93" s="319"/>
      <c r="AI93" s="319"/>
      <c r="AJ93" s="327"/>
      <c r="AK93" s="328"/>
      <c r="AL93" s="319"/>
      <c r="AM93" s="319"/>
      <c r="AN93" s="319"/>
      <c r="AO93" s="319"/>
      <c r="AP93" s="319"/>
      <c r="AQ93" s="319"/>
      <c r="AR93" s="319"/>
      <c r="AS93" s="327"/>
      <c r="AT93" s="344"/>
      <c r="AU93" s="345" t="s">
        <v>845</v>
      </c>
      <c r="AV93" s="330"/>
      <c r="AW93" s="331"/>
      <c r="AX93" s="331"/>
      <c r="AY93" s="331"/>
      <c r="AZ93" s="331"/>
      <c r="BA93" s="331"/>
      <c r="BB93" s="331"/>
      <c r="BC93" s="331"/>
      <c r="BD93" s="318"/>
      <c r="BE93" s="332"/>
      <c r="BF93" s="330">
        <f t="shared" si="1"/>
        <v>0</v>
      </c>
      <c r="BG93" s="333">
        <f t="shared" si="2"/>
        <v>0</v>
      </c>
      <c r="BH93" s="334"/>
      <c r="BI93" s="316"/>
      <c r="BJ93" s="318"/>
      <c r="BK93" s="318"/>
      <c r="BL93" s="318"/>
      <c r="BM93" s="318"/>
      <c r="BN93" s="318"/>
      <c r="BO93" s="318"/>
      <c r="BP93" s="318"/>
      <c r="BQ93" s="338"/>
      <c r="BR93" s="420"/>
      <c r="BS93" s="330">
        <f t="shared" si="3"/>
        <v>0</v>
      </c>
      <c r="BT93" s="331">
        <f t="shared" si="4"/>
        <v>0</v>
      </c>
      <c r="BU93" s="331"/>
      <c r="BV93" s="333"/>
      <c r="BW93" s="330"/>
      <c r="BX93" s="331"/>
      <c r="BY93" s="331"/>
      <c r="BZ93" s="340"/>
      <c r="CA93" s="316"/>
      <c r="CB93" s="318"/>
      <c r="CC93" s="318"/>
      <c r="CD93" s="318"/>
      <c r="CE93" s="318"/>
      <c r="CF93" s="318"/>
      <c r="CG93" s="318"/>
      <c r="CH93" s="318"/>
      <c r="CI93" s="338"/>
      <c r="CJ93" s="341"/>
      <c r="CK93" s="342">
        <f t="shared" si="5"/>
        <v>0</v>
      </c>
      <c r="CL93" s="333">
        <f t="shared" si="6"/>
        <v>0</v>
      </c>
      <c r="CM93" s="421" t="s">
        <v>1034</v>
      </c>
      <c r="CN93" s="416"/>
      <c r="CO93" s="416"/>
      <c r="CP93" s="416"/>
    </row>
    <row r="94">
      <c r="B94" s="316"/>
      <c r="C94" s="417">
        <v>43390.0</v>
      </c>
      <c r="D94" s="426" t="s">
        <v>986</v>
      </c>
      <c r="E94" s="319"/>
      <c r="F94" s="324"/>
      <c r="G94" s="321">
        <v>0.1933912037037037</v>
      </c>
      <c r="H94" s="322"/>
      <c r="I94" s="322"/>
      <c r="J94" s="322"/>
      <c r="K94" s="422">
        <v>0.20274305555555555</v>
      </c>
      <c r="L94" s="422">
        <v>0.5611111111111111</v>
      </c>
      <c r="M94" s="350" t="s">
        <v>167</v>
      </c>
      <c r="N94" s="324" t="s">
        <v>167</v>
      </c>
      <c r="O94" s="419" t="s">
        <v>167</v>
      </c>
      <c r="P94" s="319" t="s">
        <v>167</v>
      </c>
      <c r="Q94" s="318"/>
      <c r="R94" s="326"/>
      <c r="S94" s="319"/>
      <c r="T94" s="324"/>
      <c r="U94" s="319" t="s">
        <v>1031</v>
      </c>
      <c r="V94" s="319"/>
      <c r="W94" s="319"/>
      <c r="X94" s="319"/>
      <c r="Y94" s="319"/>
      <c r="Z94" s="318"/>
      <c r="AA94" s="318"/>
      <c r="AB94" s="318"/>
      <c r="AC94" s="327"/>
      <c r="AD94" s="319"/>
      <c r="AE94" s="319"/>
      <c r="AF94" s="319"/>
      <c r="AG94" s="319"/>
      <c r="AH94" s="319"/>
      <c r="AI94" s="319"/>
      <c r="AJ94" s="327"/>
      <c r="AK94" s="328"/>
      <c r="AL94" s="319"/>
      <c r="AM94" s="319"/>
      <c r="AN94" s="319"/>
      <c r="AO94" s="319"/>
      <c r="AP94" s="319"/>
      <c r="AQ94" s="319"/>
      <c r="AR94" s="319"/>
      <c r="AS94" s="327"/>
      <c r="AT94" s="344"/>
      <c r="AU94" s="345" t="s">
        <v>845</v>
      </c>
      <c r="AV94" s="330"/>
      <c r="AW94" s="331"/>
      <c r="AX94" s="331"/>
      <c r="AY94" s="331"/>
      <c r="AZ94" s="331"/>
      <c r="BA94" s="331"/>
      <c r="BB94" s="331"/>
      <c r="BC94" s="331"/>
      <c r="BD94" s="318"/>
      <c r="BE94" s="332"/>
      <c r="BF94" s="330">
        <f t="shared" si="1"/>
        <v>0</v>
      </c>
      <c r="BG94" s="333">
        <f t="shared" si="2"/>
        <v>0</v>
      </c>
      <c r="BH94" s="334"/>
      <c r="BI94" s="316"/>
      <c r="BJ94" s="318"/>
      <c r="BK94" s="318"/>
      <c r="BL94" s="318"/>
      <c r="BM94" s="318"/>
      <c r="BN94" s="318"/>
      <c r="BO94" s="318"/>
      <c r="BP94" s="318"/>
      <c r="BQ94" s="338"/>
      <c r="BR94" s="420"/>
      <c r="BS94" s="330">
        <f t="shared" si="3"/>
        <v>0</v>
      </c>
      <c r="BT94" s="331">
        <f t="shared" si="4"/>
        <v>0</v>
      </c>
      <c r="BU94" s="331"/>
      <c r="BV94" s="333"/>
      <c r="BW94" s="330"/>
      <c r="BX94" s="331"/>
      <c r="BY94" s="331"/>
      <c r="BZ94" s="340"/>
      <c r="CA94" s="316"/>
      <c r="CB94" s="318"/>
      <c r="CC94" s="318"/>
      <c r="CD94" s="318"/>
      <c r="CE94" s="318"/>
      <c r="CF94" s="318"/>
      <c r="CG94" s="318"/>
      <c r="CH94" s="318"/>
      <c r="CI94" s="338"/>
      <c r="CJ94" s="341"/>
      <c r="CK94" s="342">
        <f t="shared" si="5"/>
        <v>0</v>
      </c>
      <c r="CL94" s="333">
        <f t="shared" si="6"/>
        <v>0</v>
      </c>
      <c r="CM94" s="421" t="s">
        <v>1035</v>
      </c>
      <c r="CN94" s="416"/>
      <c r="CO94" s="416"/>
      <c r="CP94" s="416"/>
    </row>
    <row r="95">
      <c r="B95" s="316"/>
      <c r="C95" s="417">
        <v>43391.0</v>
      </c>
      <c r="D95" s="318"/>
      <c r="E95" s="319"/>
      <c r="F95" s="324">
        <v>1.0</v>
      </c>
      <c r="G95" s="321">
        <v>0.41153935185185186</v>
      </c>
      <c r="H95" s="322"/>
      <c r="I95" s="322"/>
      <c r="J95" s="322"/>
      <c r="K95" s="418">
        <v>0.45903935185185185</v>
      </c>
      <c r="L95" s="418">
        <v>0.0475</v>
      </c>
      <c r="M95" s="336" t="s">
        <v>166</v>
      </c>
      <c r="N95" s="324" t="s">
        <v>1036</v>
      </c>
      <c r="O95" s="419" t="s">
        <v>200</v>
      </c>
      <c r="P95" s="319" t="s">
        <v>235</v>
      </c>
      <c r="Q95" s="318"/>
      <c r="R95" s="326" t="s">
        <v>1037</v>
      </c>
      <c r="S95" s="319"/>
      <c r="T95" s="324"/>
      <c r="U95" s="319">
        <v>0.3</v>
      </c>
      <c r="V95" s="319"/>
      <c r="W95" s="319"/>
      <c r="X95" s="319"/>
      <c r="Y95" s="319"/>
      <c r="Z95" s="318"/>
      <c r="AA95" s="318"/>
      <c r="AB95" s="319" t="s">
        <v>1017</v>
      </c>
      <c r="AC95" s="327"/>
      <c r="AD95" s="319"/>
      <c r="AE95" s="319"/>
      <c r="AF95" s="319"/>
      <c r="AG95" s="319"/>
      <c r="AH95" s="319"/>
      <c r="AI95" s="319"/>
      <c r="AJ95" s="327"/>
      <c r="AK95" s="328"/>
      <c r="AL95" s="319"/>
      <c r="AM95" s="319"/>
      <c r="AN95" s="319"/>
      <c r="AO95" s="319"/>
      <c r="AP95" s="319"/>
      <c r="AQ95" s="319"/>
      <c r="AR95" s="319"/>
      <c r="AS95" s="327"/>
      <c r="AT95" s="344"/>
      <c r="AU95" s="345" t="s">
        <v>845</v>
      </c>
      <c r="AV95" s="330"/>
      <c r="AW95" s="331"/>
      <c r="AX95" s="331"/>
      <c r="AY95" s="331"/>
      <c r="AZ95" s="331"/>
      <c r="BA95" s="331"/>
      <c r="BB95" s="331"/>
      <c r="BC95" s="331"/>
      <c r="BD95" s="318"/>
      <c r="BE95" s="332"/>
      <c r="BF95" s="330">
        <f t="shared" si="1"/>
        <v>0</v>
      </c>
      <c r="BG95" s="333">
        <f t="shared" si="2"/>
        <v>0</v>
      </c>
      <c r="BH95" s="334"/>
      <c r="BI95" s="316"/>
      <c r="BJ95" s="318"/>
      <c r="BK95" s="318"/>
      <c r="BL95" s="318"/>
      <c r="BM95" s="318"/>
      <c r="BN95" s="318"/>
      <c r="BO95" s="318"/>
      <c r="BP95" s="318"/>
      <c r="BQ95" s="338"/>
      <c r="BR95" s="420"/>
      <c r="BS95" s="330">
        <f t="shared" si="3"/>
        <v>0</v>
      </c>
      <c r="BT95" s="331">
        <f t="shared" si="4"/>
        <v>0</v>
      </c>
      <c r="BU95" s="331"/>
      <c r="BV95" s="333"/>
      <c r="BW95" s="330"/>
      <c r="BX95" s="331"/>
      <c r="BY95" s="331"/>
      <c r="BZ95" s="340"/>
      <c r="CA95" s="316"/>
      <c r="CB95" s="318"/>
      <c r="CC95" s="318"/>
      <c r="CD95" s="318"/>
      <c r="CE95" s="318"/>
      <c r="CF95" s="318"/>
      <c r="CG95" s="318"/>
      <c r="CH95" s="318"/>
      <c r="CI95" s="338"/>
      <c r="CJ95" s="341"/>
      <c r="CK95" s="342">
        <f t="shared" si="5"/>
        <v>0</v>
      </c>
      <c r="CL95" s="333">
        <f t="shared" si="6"/>
        <v>0</v>
      </c>
      <c r="CM95" s="421" t="s">
        <v>1038</v>
      </c>
      <c r="CN95" s="416"/>
      <c r="CO95" s="416"/>
      <c r="CP95" s="416"/>
    </row>
    <row r="96">
      <c r="B96" s="316"/>
      <c r="C96" s="417">
        <v>43391.0</v>
      </c>
      <c r="D96" s="318"/>
      <c r="E96" s="319"/>
      <c r="F96" s="324">
        <v>1.0</v>
      </c>
      <c r="G96" s="321">
        <v>0.47239583333333335</v>
      </c>
      <c r="H96" s="322"/>
      <c r="I96" s="322"/>
      <c r="J96" s="322"/>
      <c r="K96" s="418">
        <v>0.4901388888888889</v>
      </c>
      <c r="L96" s="418">
        <v>1.0645833333333334</v>
      </c>
      <c r="M96" s="336" t="s">
        <v>166</v>
      </c>
      <c r="N96" s="324" t="s">
        <v>1036</v>
      </c>
      <c r="O96" s="419" t="s">
        <v>200</v>
      </c>
      <c r="P96" s="319" t="s">
        <v>235</v>
      </c>
      <c r="Q96" s="318"/>
      <c r="R96" s="326" t="s">
        <v>1037</v>
      </c>
      <c r="S96" s="319"/>
      <c r="T96" s="324"/>
      <c r="U96" s="319">
        <v>0.3</v>
      </c>
      <c r="V96" s="319"/>
      <c r="W96" s="319"/>
      <c r="X96" s="319"/>
      <c r="Y96" s="319"/>
      <c r="Z96" s="318"/>
      <c r="AA96" s="318"/>
      <c r="AB96" s="319" t="s">
        <v>1017</v>
      </c>
      <c r="AC96" s="327"/>
      <c r="AD96" s="319"/>
      <c r="AE96" s="319"/>
      <c r="AF96" s="319"/>
      <c r="AG96" s="319"/>
      <c r="AH96" s="319"/>
      <c r="AI96" s="319"/>
      <c r="AJ96" s="327"/>
      <c r="AK96" s="328"/>
      <c r="AL96" s="319"/>
      <c r="AM96" s="319"/>
      <c r="AN96" s="319"/>
      <c r="AO96" s="319"/>
      <c r="AP96" s="319"/>
      <c r="AQ96" s="319"/>
      <c r="AR96" s="319"/>
      <c r="AS96" s="327"/>
      <c r="AT96" s="344"/>
      <c r="AU96" s="345" t="s">
        <v>845</v>
      </c>
      <c r="AV96" s="330"/>
      <c r="AW96" s="331"/>
      <c r="AX96" s="331"/>
      <c r="AY96" s="331"/>
      <c r="AZ96" s="331"/>
      <c r="BA96" s="331"/>
      <c r="BB96" s="331"/>
      <c r="BC96" s="331"/>
      <c r="BD96" s="318"/>
      <c r="BE96" s="332"/>
      <c r="BF96" s="330">
        <f t="shared" si="1"/>
        <v>0</v>
      </c>
      <c r="BG96" s="333">
        <f t="shared" si="2"/>
        <v>0</v>
      </c>
      <c r="BH96" s="334"/>
      <c r="BI96" s="316"/>
      <c r="BJ96" s="318"/>
      <c r="BK96" s="318"/>
      <c r="BL96" s="318"/>
      <c r="BM96" s="318"/>
      <c r="BN96" s="318"/>
      <c r="BO96" s="318"/>
      <c r="BP96" s="318"/>
      <c r="BQ96" s="338"/>
      <c r="BR96" s="420"/>
      <c r="BS96" s="330">
        <f t="shared" si="3"/>
        <v>0</v>
      </c>
      <c r="BT96" s="331">
        <f t="shared" si="4"/>
        <v>0</v>
      </c>
      <c r="BU96" s="331"/>
      <c r="BV96" s="333"/>
      <c r="BW96" s="330"/>
      <c r="BX96" s="331"/>
      <c r="BY96" s="331"/>
      <c r="BZ96" s="340"/>
      <c r="CA96" s="316"/>
      <c r="CB96" s="318"/>
      <c r="CC96" s="318"/>
      <c r="CD96" s="318"/>
      <c r="CE96" s="318"/>
      <c r="CF96" s="318"/>
      <c r="CG96" s="318"/>
      <c r="CH96" s="318"/>
      <c r="CI96" s="338"/>
      <c r="CJ96" s="341"/>
      <c r="CK96" s="342">
        <f t="shared" si="5"/>
        <v>0</v>
      </c>
      <c r="CL96" s="333">
        <f t="shared" si="6"/>
        <v>0</v>
      </c>
      <c r="CM96" s="421" t="s">
        <v>1039</v>
      </c>
      <c r="CN96" s="416"/>
      <c r="CO96" s="416"/>
      <c r="CP96" s="416"/>
    </row>
    <row r="97">
      <c r="B97" s="316"/>
      <c r="C97" s="417">
        <v>43391.0</v>
      </c>
      <c r="D97" s="318"/>
      <c r="E97" s="319"/>
      <c r="F97" s="324">
        <v>29.0</v>
      </c>
      <c r="G97" s="321">
        <v>0.5160648148148148</v>
      </c>
      <c r="H97" s="322"/>
      <c r="I97" s="322"/>
      <c r="J97" s="322"/>
      <c r="K97" s="418">
        <v>0.5219675925925926</v>
      </c>
      <c r="L97" s="418">
        <v>0.3541666666666667</v>
      </c>
      <c r="M97" s="336" t="s">
        <v>168</v>
      </c>
      <c r="N97" s="324" t="s">
        <v>188</v>
      </c>
      <c r="O97" s="419" t="s">
        <v>841</v>
      </c>
      <c r="P97" s="319"/>
      <c r="Q97" s="318"/>
      <c r="R97" s="326" t="s">
        <v>1026</v>
      </c>
      <c r="S97" s="319"/>
      <c r="T97" s="324"/>
      <c r="U97" s="319">
        <v>10.0</v>
      </c>
      <c r="V97" s="319"/>
      <c r="W97" s="319"/>
      <c r="X97" s="319"/>
      <c r="Y97" s="319"/>
      <c r="Z97" s="318"/>
      <c r="AA97" s="318"/>
      <c r="AB97" s="319" t="s">
        <v>1027</v>
      </c>
      <c r="AC97" s="327"/>
      <c r="AD97" s="319"/>
      <c r="AE97" s="319"/>
      <c r="AF97" s="319"/>
      <c r="AG97" s="319"/>
      <c r="AH97" s="319"/>
      <c r="AI97" s="319"/>
      <c r="AJ97" s="327"/>
      <c r="AK97" s="328"/>
      <c r="AL97" s="319"/>
      <c r="AM97" s="319"/>
      <c r="AN97" s="319"/>
      <c r="AO97" s="319"/>
      <c r="AP97" s="319"/>
      <c r="AQ97" s="319"/>
      <c r="AR97" s="319"/>
      <c r="AS97" s="327"/>
      <c r="AT97" s="344"/>
      <c r="AU97" s="345" t="s">
        <v>845</v>
      </c>
      <c r="AV97" s="330"/>
      <c r="AW97" s="331"/>
      <c r="AX97" s="331"/>
      <c r="AY97" s="331"/>
      <c r="AZ97" s="331"/>
      <c r="BA97" s="331"/>
      <c r="BB97" s="331"/>
      <c r="BC97" s="331"/>
      <c r="BD97" s="318"/>
      <c r="BE97" s="332"/>
      <c r="BF97" s="330">
        <f t="shared" si="1"/>
        <v>0</v>
      </c>
      <c r="BG97" s="333">
        <f t="shared" si="2"/>
        <v>0</v>
      </c>
      <c r="BH97" s="334"/>
      <c r="BI97" s="316"/>
      <c r="BJ97" s="318"/>
      <c r="BK97" s="318"/>
      <c r="BL97" s="318"/>
      <c r="BM97" s="318"/>
      <c r="BN97" s="318"/>
      <c r="BO97" s="318"/>
      <c r="BP97" s="318"/>
      <c r="BQ97" s="338"/>
      <c r="BR97" s="420"/>
      <c r="BS97" s="330">
        <f t="shared" si="3"/>
        <v>0</v>
      </c>
      <c r="BT97" s="331">
        <f t="shared" si="4"/>
        <v>0</v>
      </c>
      <c r="BU97" s="331"/>
      <c r="BV97" s="333"/>
      <c r="BW97" s="330"/>
      <c r="BX97" s="331"/>
      <c r="BY97" s="331"/>
      <c r="BZ97" s="340"/>
      <c r="CA97" s="316"/>
      <c r="CB97" s="318"/>
      <c r="CC97" s="318"/>
      <c r="CD97" s="318"/>
      <c r="CE97" s="318"/>
      <c r="CF97" s="318"/>
      <c r="CG97" s="318"/>
      <c r="CH97" s="318"/>
      <c r="CI97" s="338"/>
      <c r="CJ97" s="341"/>
      <c r="CK97" s="342">
        <f t="shared" si="5"/>
        <v>0</v>
      </c>
      <c r="CL97" s="333">
        <f t="shared" si="6"/>
        <v>0</v>
      </c>
      <c r="CM97" s="421" t="s">
        <v>1040</v>
      </c>
      <c r="CN97" s="416"/>
      <c r="CO97" s="416"/>
      <c r="CP97" s="416"/>
    </row>
    <row r="98">
      <c r="B98" s="316"/>
      <c r="C98" s="417">
        <v>43391.0</v>
      </c>
      <c r="D98" s="318"/>
      <c r="E98" s="319"/>
      <c r="F98" s="324">
        <v>30.0</v>
      </c>
      <c r="G98" s="321">
        <v>0.5667592592592593</v>
      </c>
      <c r="H98" s="322"/>
      <c r="I98" s="322"/>
      <c r="J98" s="322"/>
      <c r="K98" s="418">
        <v>0.5742824074074074</v>
      </c>
      <c r="L98" s="418">
        <v>0.4513888888888889</v>
      </c>
      <c r="M98" s="336" t="s">
        <v>168</v>
      </c>
      <c r="N98" s="324" t="s">
        <v>188</v>
      </c>
      <c r="O98" s="419" t="s">
        <v>841</v>
      </c>
      <c r="P98" s="319"/>
      <c r="Q98" s="318"/>
      <c r="R98" s="326" t="s">
        <v>1021</v>
      </c>
      <c r="S98" s="319"/>
      <c r="T98" s="324"/>
      <c r="U98" s="319">
        <v>20.0</v>
      </c>
      <c r="V98" s="319"/>
      <c r="W98" s="319"/>
      <c r="X98" s="319"/>
      <c r="Y98" s="319"/>
      <c r="Z98" s="318"/>
      <c r="AA98" s="318"/>
      <c r="AB98" s="319" t="s">
        <v>1022</v>
      </c>
      <c r="AC98" s="327"/>
      <c r="AD98" s="319"/>
      <c r="AE98" s="319"/>
      <c r="AF98" s="319"/>
      <c r="AG98" s="319"/>
      <c r="AH98" s="319"/>
      <c r="AI98" s="319"/>
      <c r="AJ98" s="327"/>
      <c r="AK98" s="328"/>
      <c r="AL98" s="319"/>
      <c r="AM98" s="319"/>
      <c r="AN98" s="319"/>
      <c r="AO98" s="319"/>
      <c r="AP98" s="319"/>
      <c r="AQ98" s="319"/>
      <c r="AR98" s="319"/>
      <c r="AS98" s="327"/>
      <c r="AT98" s="344"/>
      <c r="AU98" s="345" t="s">
        <v>845</v>
      </c>
      <c r="AV98" s="330"/>
      <c r="AW98" s="331"/>
      <c r="AX98" s="331"/>
      <c r="AY98" s="331"/>
      <c r="AZ98" s="331"/>
      <c r="BA98" s="331"/>
      <c r="BB98" s="331"/>
      <c r="BC98" s="331"/>
      <c r="BD98" s="318"/>
      <c r="BE98" s="332"/>
      <c r="BF98" s="330">
        <f t="shared" si="1"/>
        <v>0</v>
      </c>
      <c r="BG98" s="333">
        <f t="shared" si="2"/>
        <v>0</v>
      </c>
      <c r="BH98" s="334"/>
      <c r="BI98" s="316"/>
      <c r="BJ98" s="318"/>
      <c r="BK98" s="318"/>
      <c r="BL98" s="318"/>
      <c r="BM98" s="318"/>
      <c r="BN98" s="318"/>
      <c r="BO98" s="318"/>
      <c r="BP98" s="318"/>
      <c r="BQ98" s="338"/>
      <c r="BR98" s="420"/>
      <c r="BS98" s="330">
        <f t="shared" si="3"/>
        <v>0</v>
      </c>
      <c r="BT98" s="331">
        <f t="shared" si="4"/>
        <v>0</v>
      </c>
      <c r="BU98" s="331"/>
      <c r="BV98" s="333"/>
      <c r="BW98" s="330"/>
      <c r="BX98" s="331"/>
      <c r="BY98" s="331"/>
      <c r="BZ98" s="340"/>
      <c r="CA98" s="316"/>
      <c r="CB98" s="318"/>
      <c r="CC98" s="318"/>
      <c r="CD98" s="318"/>
      <c r="CE98" s="318"/>
      <c r="CF98" s="318"/>
      <c r="CG98" s="318"/>
      <c r="CH98" s="318"/>
      <c r="CI98" s="338"/>
      <c r="CJ98" s="341"/>
      <c r="CK98" s="342">
        <f t="shared" si="5"/>
        <v>0</v>
      </c>
      <c r="CL98" s="333">
        <f t="shared" si="6"/>
        <v>0</v>
      </c>
      <c r="CM98" s="421" t="s">
        <v>1041</v>
      </c>
      <c r="CN98" s="416"/>
      <c r="CO98" s="416"/>
      <c r="CP98" s="416"/>
    </row>
    <row r="99">
      <c r="B99" s="316"/>
      <c r="C99" s="417">
        <v>43391.0</v>
      </c>
      <c r="D99" s="318"/>
      <c r="E99" s="319"/>
      <c r="F99" s="324">
        <v>29.0</v>
      </c>
      <c r="G99" s="321">
        <v>0.5765277777777778</v>
      </c>
      <c r="H99" s="322"/>
      <c r="I99" s="322"/>
      <c r="J99" s="322"/>
      <c r="K99" s="418">
        <v>0.5844328703703704</v>
      </c>
      <c r="L99" s="418">
        <v>0.47430555555555554</v>
      </c>
      <c r="M99" s="336" t="s">
        <v>168</v>
      </c>
      <c r="N99" s="324" t="s">
        <v>188</v>
      </c>
      <c r="O99" s="419" t="s">
        <v>841</v>
      </c>
      <c r="P99" s="319"/>
      <c r="Q99" s="318"/>
      <c r="R99" s="326" t="s">
        <v>1042</v>
      </c>
      <c r="S99" s="319"/>
      <c r="T99" s="324"/>
      <c r="U99" s="319">
        <v>5.0</v>
      </c>
      <c r="V99" s="319"/>
      <c r="W99" s="319"/>
      <c r="X99" s="319"/>
      <c r="Y99" s="319"/>
      <c r="Z99" s="318"/>
      <c r="AA99" s="318"/>
      <c r="AB99" s="319" t="s">
        <v>1027</v>
      </c>
      <c r="AC99" s="327"/>
      <c r="AD99" s="319"/>
      <c r="AE99" s="319"/>
      <c r="AF99" s="319"/>
      <c r="AG99" s="319"/>
      <c r="AH99" s="319"/>
      <c r="AI99" s="319"/>
      <c r="AJ99" s="327"/>
      <c r="AK99" s="328"/>
      <c r="AL99" s="319"/>
      <c r="AM99" s="319"/>
      <c r="AN99" s="319"/>
      <c r="AO99" s="319"/>
      <c r="AP99" s="319"/>
      <c r="AQ99" s="319"/>
      <c r="AR99" s="319"/>
      <c r="AS99" s="327"/>
      <c r="AT99" s="344"/>
      <c r="AU99" s="345" t="s">
        <v>845</v>
      </c>
      <c r="AV99" s="330"/>
      <c r="AW99" s="331"/>
      <c r="AX99" s="331"/>
      <c r="AY99" s="331"/>
      <c r="AZ99" s="331"/>
      <c r="BA99" s="331"/>
      <c r="BB99" s="331"/>
      <c r="BC99" s="331"/>
      <c r="BD99" s="318"/>
      <c r="BE99" s="332"/>
      <c r="BF99" s="330">
        <f t="shared" si="1"/>
        <v>0</v>
      </c>
      <c r="BG99" s="333">
        <f t="shared" si="2"/>
        <v>0</v>
      </c>
      <c r="BH99" s="334"/>
      <c r="BI99" s="316"/>
      <c r="BJ99" s="318"/>
      <c r="BK99" s="318"/>
      <c r="BL99" s="318"/>
      <c r="BM99" s="318"/>
      <c r="BN99" s="318"/>
      <c r="BO99" s="318"/>
      <c r="BP99" s="318"/>
      <c r="BQ99" s="338"/>
      <c r="BR99" s="420"/>
      <c r="BS99" s="330">
        <f t="shared" si="3"/>
        <v>0</v>
      </c>
      <c r="BT99" s="331">
        <f t="shared" si="4"/>
        <v>0</v>
      </c>
      <c r="BU99" s="331"/>
      <c r="BV99" s="333"/>
      <c r="BW99" s="330"/>
      <c r="BX99" s="331"/>
      <c r="BY99" s="331"/>
      <c r="BZ99" s="340"/>
      <c r="CA99" s="316"/>
      <c r="CB99" s="318"/>
      <c r="CC99" s="318"/>
      <c r="CD99" s="318"/>
      <c r="CE99" s="318"/>
      <c r="CF99" s="318"/>
      <c r="CG99" s="318"/>
      <c r="CH99" s="318"/>
      <c r="CI99" s="338"/>
      <c r="CJ99" s="341"/>
      <c r="CK99" s="342">
        <f t="shared" si="5"/>
        <v>0</v>
      </c>
      <c r="CL99" s="333">
        <f t="shared" si="6"/>
        <v>0</v>
      </c>
      <c r="CM99" s="421" t="s">
        <v>1043</v>
      </c>
      <c r="CN99" s="416"/>
      <c r="CO99" s="416"/>
      <c r="CP99" s="416"/>
    </row>
    <row r="100">
      <c r="B100" s="316"/>
      <c r="C100" s="417">
        <v>43391.0</v>
      </c>
      <c r="D100" s="318"/>
      <c r="E100" s="319"/>
      <c r="F100" s="324">
        <v>30.0</v>
      </c>
      <c r="G100" s="321">
        <v>0.5914930555555555</v>
      </c>
      <c r="H100" s="322"/>
      <c r="I100" s="322"/>
      <c r="J100" s="322"/>
      <c r="K100" s="418">
        <v>0.6001157407407407</v>
      </c>
      <c r="L100" s="418">
        <v>0.5173611111111112</v>
      </c>
      <c r="M100" s="336" t="s">
        <v>168</v>
      </c>
      <c r="N100" s="324" t="s">
        <v>188</v>
      </c>
      <c r="O100" s="419" t="s">
        <v>841</v>
      </c>
      <c r="P100" s="319"/>
      <c r="Q100" s="318"/>
      <c r="R100" s="326" t="s">
        <v>1021</v>
      </c>
      <c r="S100" s="319"/>
      <c r="T100" s="324"/>
      <c r="U100" s="319">
        <v>50.0</v>
      </c>
      <c r="V100" s="319"/>
      <c r="W100" s="319"/>
      <c r="X100" s="319"/>
      <c r="Y100" s="319"/>
      <c r="Z100" s="318"/>
      <c r="AA100" s="318"/>
      <c r="AB100" s="319" t="s">
        <v>1022</v>
      </c>
      <c r="AC100" s="327"/>
      <c r="AD100" s="319"/>
      <c r="AE100" s="319"/>
      <c r="AF100" s="319"/>
      <c r="AG100" s="319"/>
      <c r="AH100" s="319"/>
      <c r="AI100" s="319"/>
      <c r="AJ100" s="327"/>
      <c r="AK100" s="328"/>
      <c r="AL100" s="319"/>
      <c r="AM100" s="319"/>
      <c r="AN100" s="319"/>
      <c r="AO100" s="319"/>
      <c r="AP100" s="319"/>
      <c r="AQ100" s="319"/>
      <c r="AR100" s="319"/>
      <c r="AS100" s="327"/>
      <c r="AT100" s="344"/>
      <c r="AU100" s="345" t="s">
        <v>845</v>
      </c>
      <c r="AV100" s="330"/>
      <c r="AW100" s="331"/>
      <c r="AX100" s="331"/>
      <c r="AY100" s="331"/>
      <c r="AZ100" s="331"/>
      <c r="BA100" s="331"/>
      <c r="BB100" s="331"/>
      <c r="BC100" s="331"/>
      <c r="BD100" s="318"/>
      <c r="BE100" s="332"/>
      <c r="BF100" s="330">
        <f t="shared" si="1"/>
        <v>0</v>
      </c>
      <c r="BG100" s="333">
        <f t="shared" si="2"/>
        <v>0</v>
      </c>
      <c r="BH100" s="334"/>
      <c r="BI100" s="316"/>
      <c r="BJ100" s="318"/>
      <c r="BK100" s="318"/>
      <c r="BL100" s="318"/>
      <c r="BM100" s="318"/>
      <c r="BN100" s="318"/>
      <c r="BO100" s="318"/>
      <c r="BP100" s="318"/>
      <c r="BQ100" s="338"/>
      <c r="BR100" s="420"/>
      <c r="BS100" s="330">
        <f t="shared" si="3"/>
        <v>0</v>
      </c>
      <c r="BT100" s="331">
        <f t="shared" si="4"/>
        <v>0</v>
      </c>
      <c r="BU100" s="331"/>
      <c r="BV100" s="333"/>
      <c r="BW100" s="330"/>
      <c r="BX100" s="331"/>
      <c r="BY100" s="331"/>
      <c r="BZ100" s="340"/>
      <c r="CA100" s="316"/>
      <c r="CB100" s="318"/>
      <c r="CC100" s="318"/>
      <c r="CD100" s="318"/>
      <c r="CE100" s="318"/>
      <c r="CF100" s="318"/>
      <c r="CG100" s="318"/>
      <c r="CH100" s="318"/>
      <c r="CI100" s="338"/>
      <c r="CJ100" s="341"/>
      <c r="CK100" s="342">
        <f t="shared" si="5"/>
        <v>0</v>
      </c>
      <c r="CL100" s="333">
        <f t="shared" si="6"/>
        <v>0</v>
      </c>
      <c r="CM100" s="421" t="s">
        <v>1044</v>
      </c>
      <c r="CN100" s="416"/>
      <c r="CO100" s="416"/>
      <c r="CP100" s="416"/>
    </row>
    <row r="101">
      <c r="B101" s="316"/>
      <c r="C101" s="417">
        <v>43391.0</v>
      </c>
      <c r="D101" s="318"/>
      <c r="E101" s="319"/>
      <c r="F101" s="324">
        <v>30.0</v>
      </c>
      <c r="G101" s="321">
        <v>0.6028935185185185</v>
      </c>
      <c r="H101" s="322"/>
      <c r="I101" s="322"/>
      <c r="J101" s="322"/>
      <c r="K101" s="418">
        <v>0.6072685185185185</v>
      </c>
      <c r="L101" s="418">
        <v>0.2625</v>
      </c>
      <c r="M101" s="336" t="s">
        <v>168</v>
      </c>
      <c r="N101" s="324" t="s">
        <v>188</v>
      </c>
      <c r="O101" s="419" t="s">
        <v>841</v>
      </c>
      <c r="P101" s="319"/>
      <c r="Q101" s="318"/>
      <c r="R101" s="326" t="s">
        <v>1021</v>
      </c>
      <c r="S101" s="319"/>
      <c r="T101" s="324"/>
      <c r="U101" s="319">
        <v>150.0</v>
      </c>
      <c r="V101" s="319"/>
      <c r="W101" s="319"/>
      <c r="X101" s="319"/>
      <c r="Y101" s="319"/>
      <c r="Z101" s="318"/>
      <c r="AA101" s="318"/>
      <c r="AB101" s="319" t="s">
        <v>1022</v>
      </c>
      <c r="AC101" s="327"/>
      <c r="AD101" s="319"/>
      <c r="AE101" s="319"/>
      <c r="AF101" s="319"/>
      <c r="AG101" s="319"/>
      <c r="AH101" s="319"/>
      <c r="AI101" s="319"/>
      <c r="AJ101" s="327"/>
      <c r="AK101" s="328"/>
      <c r="AL101" s="319"/>
      <c r="AM101" s="319"/>
      <c r="AN101" s="319"/>
      <c r="AO101" s="319"/>
      <c r="AP101" s="319"/>
      <c r="AQ101" s="319"/>
      <c r="AR101" s="319"/>
      <c r="AS101" s="327"/>
      <c r="AT101" s="344"/>
      <c r="AU101" s="345" t="s">
        <v>845</v>
      </c>
      <c r="AV101" s="330"/>
      <c r="AW101" s="331"/>
      <c r="AX101" s="331"/>
      <c r="AY101" s="331"/>
      <c r="AZ101" s="331"/>
      <c r="BA101" s="331"/>
      <c r="BB101" s="331"/>
      <c r="BC101" s="331"/>
      <c r="BD101" s="318"/>
      <c r="BE101" s="332"/>
      <c r="BF101" s="330">
        <f t="shared" si="1"/>
        <v>0</v>
      </c>
      <c r="BG101" s="333">
        <f t="shared" si="2"/>
        <v>0</v>
      </c>
      <c r="BH101" s="334"/>
      <c r="BI101" s="316"/>
      <c r="BJ101" s="318"/>
      <c r="BK101" s="318"/>
      <c r="BL101" s="318"/>
      <c r="BM101" s="318"/>
      <c r="BN101" s="318"/>
      <c r="BO101" s="318"/>
      <c r="BP101" s="318"/>
      <c r="BQ101" s="338"/>
      <c r="BR101" s="420"/>
      <c r="BS101" s="330">
        <f t="shared" si="3"/>
        <v>0</v>
      </c>
      <c r="BT101" s="331">
        <f t="shared" si="4"/>
        <v>0</v>
      </c>
      <c r="BU101" s="331"/>
      <c r="BV101" s="333"/>
      <c r="BW101" s="330"/>
      <c r="BX101" s="331"/>
      <c r="BY101" s="331"/>
      <c r="BZ101" s="340"/>
      <c r="CA101" s="316"/>
      <c r="CB101" s="318"/>
      <c r="CC101" s="318"/>
      <c r="CD101" s="318"/>
      <c r="CE101" s="318"/>
      <c r="CF101" s="318"/>
      <c r="CG101" s="318"/>
      <c r="CH101" s="318"/>
      <c r="CI101" s="338"/>
      <c r="CJ101" s="341"/>
      <c r="CK101" s="342">
        <f t="shared" si="5"/>
        <v>0</v>
      </c>
      <c r="CL101" s="333">
        <f t="shared" si="6"/>
        <v>0</v>
      </c>
      <c r="CM101" s="421" t="s">
        <v>1045</v>
      </c>
      <c r="CN101" s="416"/>
      <c r="CO101" s="416"/>
      <c r="CP101" s="416"/>
    </row>
    <row r="102">
      <c r="B102" s="316"/>
      <c r="C102" s="417">
        <v>43391.0</v>
      </c>
      <c r="D102" s="318"/>
      <c r="E102" s="319"/>
      <c r="F102" s="324">
        <v>9.0</v>
      </c>
      <c r="G102" s="321">
        <v>0.624375</v>
      </c>
      <c r="H102" s="322"/>
      <c r="I102" s="322"/>
      <c r="J102" s="322"/>
      <c r="K102" s="418">
        <v>0.6291898148148148</v>
      </c>
      <c r="L102" s="418">
        <v>0.28888888888888886</v>
      </c>
      <c r="M102" s="336" t="s">
        <v>168</v>
      </c>
      <c r="N102" s="324" t="s">
        <v>187</v>
      </c>
      <c r="O102" s="419" t="s">
        <v>206</v>
      </c>
      <c r="P102" s="319" t="s">
        <v>213</v>
      </c>
      <c r="Q102" s="318"/>
      <c r="R102" s="326" t="s">
        <v>1006</v>
      </c>
      <c r="S102" s="319"/>
      <c r="T102" s="324"/>
      <c r="U102" s="319">
        <v>8.0</v>
      </c>
      <c r="V102" s="319"/>
      <c r="W102" s="319"/>
      <c r="X102" s="319"/>
      <c r="Y102" s="319"/>
      <c r="Z102" s="318"/>
      <c r="AA102" s="318"/>
      <c r="AB102" s="319" t="s">
        <v>1010</v>
      </c>
      <c r="AC102" s="327"/>
      <c r="AD102" s="319"/>
      <c r="AE102" s="319"/>
      <c r="AF102" s="319"/>
      <c r="AG102" s="319"/>
      <c r="AH102" s="319"/>
      <c r="AI102" s="319"/>
      <c r="AJ102" s="327"/>
      <c r="AK102" s="328"/>
      <c r="AL102" s="319"/>
      <c r="AM102" s="319"/>
      <c r="AN102" s="319"/>
      <c r="AO102" s="319"/>
      <c r="AP102" s="319"/>
      <c r="AQ102" s="319"/>
      <c r="AR102" s="319"/>
      <c r="AS102" s="327"/>
      <c r="AT102" s="344"/>
      <c r="AU102" s="345" t="s">
        <v>845</v>
      </c>
      <c r="AV102" s="330"/>
      <c r="AW102" s="331"/>
      <c r="AX102" s="331"/>
      <c r="AY102" s="331"/>
      <c r="AZ102" s="331"/>
      <c r="BA102" s="331"/>
      <c r="BB102" s="331"/>
      <c r="BC102" s="331"/>
      <c r="BD102" s="318"/>
      <c r="BE102" s="332"/>
      <c r="BF102" s="330">
        <f t="shared" si="1"/>
        <v>0</v>
      </c>
      <c r="BG102" s="333">
        <f t="shared" si="2"/>
        <v>0</v>
      </c>
      <c r="BH102" s="334"/>
      <c r="BI102" s="316"/>
      <c r="BJ102" s="318"/>
      <c r="BK102" s="318"/>
      <c r="BL102" s="318"/>
      <c r="BM102" s="318"/>
      <c r="BN102" s="318"/>
      <c r="BO102" s="318"/>
      <c r="BP102" s="318"/>
      <c r="BQ102" s="338"/>
      <c r="BR102" s="420"/>
      <c r="BS102" s="330">
        <f t="shared" si="3"/>
        <v>0</v>
      </c>
      <c r="BT102" s="331">
        <f t="shared" si="4"/>
        <v>0</v>
      </c>
      <c r="BU102" s="331"/>
      <c r="BV102" s="333"/>
      <c r="BW102" s="330"/>
      <c r="BX102" s="331"/>
      <c r="BY102" s="331"/>
      <c r="BZ102" s="340"/>
      <c r="CA102" s="316"/>
      <c r="CB102" s="318"/>
      <c r="CC102" s="318"/>
      <c r="CD102" s="318"/>
      <c r="CE102" s="318"/>
      <c r="CF102" s="318"/>
      <c r="CG102" s="318"/>
      <c r="CH102" s="318"/>
      <c r="CI102" s="338"/>
      <c r="CJ102" s="341"/>
      <c r="CK102" s="342">
        <f t="shared" si="5"/>
        <v>0</v>
      </c>
      <c r="CL102" s="333">
        <f t="shared" si="6"/>
        <v>0</v>
      </c>
      <c r="CM102" s="421" t="s">
        <v>1046</v>
      </c>
      <c r="CN102" s="416"/>
      <c r="CO102" s="416"/>
      <c r="CP102" s="416"/>
    </row>
    <row r="103">
      <c r="B103" s="316"/>
      <c r="C103" s="417">
        <v>43391.0</v>
      </c>
      <c r="D103" s="318"/>
      <c r="E103" s="319"/>
      <c r="F103" s="324">
        <v>25.0</v>
      </c>
      <c r="G103" s="321">
        <v>0.6321527777777778</v>
      </c>
      <c r="H103" s="322"/>
      <c r="I103" s="322"/>
      <c r="J103" s="322"/>
      <c r="K103" s="418">
        <v>0.6383680555555555</v>
      </c>
      <c r="L103" s="418">
        <v>0.3729166666666667</v>
      </c>
      <c r="M103" s="336" t="s">
        <v>168</v>
      </c>
      <c r="N103" s="324" t="s">
        <v>187</v>
      </c>
      <c r="O103" s="419" t="s">
        <v>207</v>
      </c>
      <c r="P103" s="319" t="s">
        <v>219</v>
      </c>
      <c r="Q103" s="318"/>
      <c r="R103" s="326" t="s">
        <v>1047</v>
      </c>
      <c r="S103" s="319"/>
      <c r="T103" s="324"/>
      <c r="U103" s="319">
        <v>5.0</v>
      </c>
      <c r="V103" s="319"/>
      <c r="W103" s="319"/>
      <c r="X103" s="319"/>
      <c r="Y103" s="319"/>
      <c r="Z103" s="318"/>
      <c r="AA103" s="318"/>
      <c r="AB103" s="319" t="s">
        <v>1048</v>
      </c>
      <c r="AC103" s="327"/>
      <c r="AD103" s="319"/>
      <c r="AE103" s="319"/>
      <c r="AF103" s="319"/>
      <c r="AG103" s="319"/>
      <c r="AH103" s="319"/>
      <c r="AI103" s="319"/>
      <c r="AJ103" s="327"/>
      <c r="AK103" s="328"/>
      <c r="AL103" s="319"/>
      <c r="AM103" s="319"/>
      <c r="AN103" s="319"/>
      <c r="AO103" s="319"/>
      <c r="AP103" s="319"/>
      <c r="AQ103" s="319"/>
      <c r="AR103" s="319"/>
      <c r="AS103" s="327"/>
      <c r="AT103" s="344"/>
      <c r="AU103" s="345" t="s">
        <v>845</v>
      </c>
      <c r="AV103" s="330"/>
      <c r="AW103" s="331"/>
      <c r="AX103" s="331"/>
      <c r="AY103" s="331"/>
      <c r="AZ103" s="331"/>
      <c r="BA103" s="331"/>
      <c r="BB103" s="331"/>
      <c r="BC103" s="331"/>
      <c r="BD103" s="318"/>
      <c r="BE103" s="332"/>
      <c r="BF103" s="330">
        <f t="shared" si="1"/>
        <v>0</v>
      </c>
      <c r="BG103" s="333">
        <f t="shared" si="2"/>
        <v>0</v>
      </c>
      <c r="BH103" s="334"/>
      <c r="BI103" s="316"/>
      <c r="BJ103" s="318"/>
      <c r="BK103" s="318"/>
      <c r="BL103" s="318"/>
      <c r="BM103" s="318"/>
      <c r="BN103" s="318"/>
      <c r="BO103" s="318"/>
      <c r="BP103" s="318"/>
      <c r="BQ103" s="338"/>
      <c r="BR103" s="420"/>
      <c r="BS103" s="330">
        <f t="shared" si="3"/>
        <v>0</v>
      </c>
      <c r="BT103" s="331">
        <f t="shared" si="4"/>
        <v>0</v>
      </c>
      <c r="BU103" s="331"/>
      <c r="BV103" s="333"/>
      <c r="BW103" s="330"/>
      <c r="BX103" s="331"/>
      <c r="BY103" s="331"/>
      <c r="BZ103" s="340"/>
      <c r="CA103" s="316"/>
      <c r="CB103" s="318"/>
      <c r="CC103" s="318"/>
      <c r="CD103" s="318"/>
      <c r="CE103" s="318"/>
      <c r="CF103" s="318"/>
      <c r="CG103" s="318"/>
      <c r="CH103" s="318"/>
      <c r="CI103" s="338"/>
      <c r="CJ103" s="341"/>
      <c r="CK103" s="342">
        <f t="shared" si="5"/>
        <v>0</v>
      </c>
      <c r="CL103" s="333">
        <f t="shared" si="6"/>
        <v>0</v>
      </c>
      <c r="CM103" s="421" t="s">
        <v>1049</v>
      </c>
      <c r="CN103" s="416"/>
      <c r="CO103" s="416"/>
      <c r="CP103" s="416"/>
    </row>
    <row r="104">
      <c r="B104" s="316"/>
      <c r="C104" s="417">
        <v>43391.0</v>
      </c>
      <c r="D104" s="318"/>
      <c r="E104" s="319"/>
      <c r="F104" s="324">
        <v>21.0</v>
      </c>
      <c r="G104" s="321">
        <v>0.6415509259259259</v>
      </c>
      <c r="H104" s="322"/>
      <c r="I104" s="322"/>
      <c r="J104" s="322"/>
      <c r="K104" s="418">
        <v>0.6455092592592593</v>
      </c>
      <c r="L104" s="418">
        <v>0.2375</v>
      </c>
      <c r="M104" s="336" t="s">
        <v>168</v>
      </c>
      <c r="N104" s="324" t="s">
        <v>187</v>
      </c>
      <c r="O104" s="419" t="s">
        <v>205</v>
      </c>
      <c r="P104" s="319" t="s">
        <v>222</v>
      </c>
      <c r="Q104" s="318"/>
      <c r="R104" s="326" t="s">
        <v>1050</v>
      </c>
      <c r="S104" s="319"/>
      <c r="T104" s="324"/>
      <c r="U104" s="319">
        <v>0.3</v>
      </c>
      <c r="V104" s="319"/>
      <c r="W104" s="319"/>
      <c r="X104" s="319"/>
      <c r="Y104" s="319"/>
      <c r="Z104" s="318"/>
      <c r="AA104" s="318"/>
      <c r="AB104" s="319" t="s">
        <v>1017</v>
      </c>
      <c r="AC104" s="327"/>
      <c r="AD104" s="319"/>
      <c r="AE104" s="319"/>
      <c r="AF104" s="319"/>
      <c r="AG104" s="319"/>
      <c r="AH104" s="319"/>
      <c r="AI104" s="319"/>
      <c r="AJ104" s="327"/>
      <c r="AK104" s="328"/>
      <c r="AL104" s="319"/>
      <c r="AM104" s="319"/>
      <c r="AN104" s="319"/>
      <c r="AO104" s="319"/>
      <c r="AP104" s="319"/>
      <c r="AQ104" s="319"/>
      <c r="AR104" s="319"/>
      <c r="AS104" s="327"/>
      <c r="AT104" s="344"/>
      <c r="AU104" s="345" t="s">
        <v>845</v>
      </c>
      <c r="AV104" s="330"/>
      <c r="AW104" s="331"/>
      <c r="AX104" s="331"/>
      <c r="AY104" s="331"/>
      <c r="AZ104" s="331"/>
      <c r="BA104" s="331"/>
      <c r="BB104" s="331"/>
      <c r="BC104" s="331"/>
      <c r="BD104" s="318"/>
      <c r="BE104" s="332"/>
      <c r="BF104" s="330">
        <f t="shared" si="1"/>
        <v>0</v>
      </c>
      <c r="BG104" s="333">
        <f t="shared" si="2"/>
        <v>0</v>
      </c>
      <c r="BH104" s="334"/>
      <c r="BI104" s="316"/>
      <c r="BJ104" s="318"/>
      <c r="BK104" s="318"/>
      <c r="BL104" s="318"/>
      <c r="BM104" s="318"/>
      <c r="BN104" s="318"/>
      <c r="BO104" s="318"/>
      <c r="BP104" s="318"/>
      <c r="BQ104" s="338"/>
      <c r="BR104" s="420"/>
      <c r="BS104" s="330">
        <f t="shared" si="3"/>
        <v>0</v>
      </c>
      <c r="BT104" s="331">
        <f t="shared" si="4"/>
        <v>0</v>
      </c>
      <c r="BU104" s="331"/>
      <c r="BV104" s="333"/>
      <c r="BW104" s="330"/>
      <c r="BX104" s="331"/>
      <c r="BY104" s="331"/>
      <c r="BZ104" s="340"/>
      <c r="CA104" s="316"/>
      <c r="CB104" s="318"/>
      <c r="CC104" s="318"/>
      <c r="CD104" s="318"/>
      <c r="CE104" s="318"/>
      <c r="CF104" s="318"/>
      <c r="CG104" s="318"/>
      <c r="CH104" s="318"/>
      <c r="CI104" s="338"/>
      <c r="CJ104" s="341"/>
      <c r="CK104" s="342">
        <f t="shared" si="5"/>
        <v>0</v>
      </c>
      <c r="CL104" s="333">
        <f t="shared" si="6"/>
        <v>0</v>
      </c>
      <c r="CM104" s="421" t="s">
        <v>1051</v>
      </c>
      <c r="CN104" s="416"/>
      <c r="CO104" s="416"/>
      <c r="CP104" s="416"/>
    </row>
    <row r="105">
      <c r="B105" s="316"/>
      <c r="C105" s="417">
        <v>43391.0</v>
      </c>
      <c r="D105" s="318"/>
      <c r="E105" s="319"/>
      <c r="F105" s="324">
        <v>21.0</v>
      </c>
      <c r="G105" s="321">
        <v>0.6477430555555556</v>
      </c>
      <c r="H105" s="322"/>
      <c r="I105" s="322"/>
      <c r="J105" s="322"/>
      <c r="K105" s="418">
        <v>0.6535300925925925</v>
      </c>
      <c r="L105" s="418">
        <v>0.3472222222222222</v>
      </c>
      <c r="M105" s="336" t="s">
        <v>168</v>
      </c>
      <c r="N105" s="324" t="s">
        <v>187</v>
      </c>
      <c r="O105" s="419" t="s">
        <v>205</v>
      </c>
      <c r="P105" s="319" t="s">
        <v>222</v>
      </c>
      <c r="Q105" s="318"/>
      <c r="R105" s="326" t="s">
        <v>1050</v>
      </c>
      <c r="S105" s="319"/>
      <c r="T105" s="324"/>
      <c r="U105" s="319">
        <v>0.2</v>
      </c>
      <c r="V105" s="319"/>
      <c r="W105" s="319"/>
      <c r="X105" s="319"/>
      <c r="Y105" s="319"/>
      <c r="Z105" s="318"/>
      <c r="AA105" s="318"/>
      <c r="AB105" s="319" t="s">
        <v>1017</v>
      </c>
      <c r="AC105" s="327"/>
      <c r="AD105" s="319"/>
      <c r="AE105" s="319"/>
      <c r="AF105" s="319"/>
      <c r="AG105" s="319"/>
      <c r="AH105" s="319"/>
      <c r="AI105" s="319"/>
      <c r="AJ105" s="327"/>
      <c r="AK105" s="328"/>
      <c r="AL105" s="319"/>
      <c r="AM105" s="319"/>
      <c r="AN105" s="319"/>
      <c r="AO105" s="319"/>
      <c r="AP105" s="319"/>
      <c r="AQ105" s="319"/>
      <c r="AR105" s="319"/>
      <c r="AS105" s="327"/>
      <c r="AT105" s="344"/>
      <c r="AU105" s="345" t="s">
        <v>845</v>
      </c>
      <c r="AV105" s="330"/>
      <c r="AW105" s="331"/>
      <c r="AX105" s="331"/>
      <c r="AY105" s="331"/>
      <c r="AZ105" s="331"/>
      <c r="BA105" s="331"/>
      <c r="BB105" s="331"/>
      <c r="BC105" s="331"/>
      <c r="BD105" s="318"/>
      <c r="BE105" s="332"/>
      <c r="BF105" s="330">
        <f t="shared" si="1"/>
        <v>0</v>
      </c>
      <c r="BG105" s="333">
        <f t="shared" si="2"/>
        <v>0</v>
      </c>
      <c r="BH105" s="334"/>
      <c r="BI105" s="316"/>
      <c r="BJ105" s="318"/>
      <c r="BK105" s="318"/>
      <c r="BL105" s="318"/>
      <c r="BM105" s="318"/>
      <c r="BN105" s="318"/>
      <c r="BO105" s="318"/>
      <c r="BP105" s="318"/>
      <c r="BQ105" s="338"/>
      <c r="BR105" s="420"/>
      <c r="BS105" s="330">
        <f t="shared" si="3"/>
        <v>0</v>
      </c>
      <c r="BT105" s="331">
        <f t="shared" si="4"/>
        <v>0</v>
      </c>
      <c r="BU105" s="331"/>
      <c r="BV105" s="333"/>
      <c r="BW105" s="330"/>
      <c r="BX105" s="331"/>
      <c r="BY105" s="331"/>
      <c r="BZ105" s="340"/>
      <c r="CA105" s="316"/>
      <c r="CB105" s="318"/>
      <c r="CC105" s="318"/>
      <c r="CD105" s="318"/>
      <c r="CE105" s="318"/>
      <c r="CF105" s="318"/>
      <c r="CG105" s="318"/>
      <c r="CH105" s="318"/>
      <c r="CI105" s="338"/>
      <c r="CJ105" s="341"/>
      <c r="CK105" s="342">
        <f t="shared" si="5"/>
        <v>0</v>
      </c>
      <c r="CL105" s="333">
        <f t="shared" si="6"/>
        <v>0</v>
      </c>
      <c r="CM105" s="421" t="s">
        <v>1052</v>
      </c>
      <c r="CN105" s="416"/>
      <c r="CO105" s="416"/>
      <c r="CP105" s="416"/>
    </row>
    <row r="106">
      <c r="B106" s="316"/>
      <c r="C106" s="417">
        <v>43391.0</v>
      </c>
      <c r="D106" s="318"/>
      <c r="E106" s="319"/>
      <c r="F106" s="324">
        <v>12.0</v>
      </c>
      <c r="G106" s="321">
        <v>0.6571643518518518</v>
      </c>
      <c r="H106" s="322"/>
      <c r="I106" s="322"/>
      <c r="J106" s="322"/>
      <c r="K106" s="418">
        <v>0.6607060185185185</v>
      </c>
      <c r="L106" s="418">
        <v>0.2125</v>
      </c>
      <c r="M106" s="336" t="s">
        <v>168</v>
      </c>
      <c r="N106" s="324" t="s">
        <v>187</v>
      </c>
      <c r="O106" s="419" t="s">
        <v>199</v>
      </c>
      <c r="P106" s="319" t="s">
        <v>220</v>
      </c>
      <c r="Q106" s="318"/>
      <c r="R106" s="326" t="s">
        <v>1053</v>
      </c>
      <c r="S106" s="319"/>
      <c r="T106" s="324"/>
      <c r="U106" s="319">
        <v>1.0</v>
      </c>
      <c r="V106" s="319"/>
      <c r="W106" s="319"/>
      <c r="X106" s="319"/>
      <c r="Y106" s="319"/>
      <c r="Z106" s="318"/>
      <c r="AA106" s="318"/>
      <c r="AB106" s="319" t="s">
        <v>1010</v>
      </c>
      <c r="AC106" s="327"/>
      <c r="AD106" s="319"/>
      <c r="AE106" s="319"/>
      <c r="AF106" s="319"/>
      <c r="AG106" s="319"/>
      <c r="AH106" s="319"/>
      <c r="AI106" s="319"/>
      <c r="AJ106" s="327"/>
      <c r="AK106" s="328"/>
      <c r="AL106" s="319"/>
      <c r="AM106" s="319"/>
      <c r="AN106" s="319"/>
      <c r="AO106" s="319"/>
      <c r="AP106" s="319"/>
      <c r="AQ106" s="319"/>
      <c r="AR106" s="319"/>
      <c r="AS106" s="327"/>
      <c r="AT106" s="344"/>
      <c r="AU106" s="345" t="s">
        <v>845</v>
      </c>
      <c r="AV106" s="330"/>
      <c r="AW106" s="331"/>
      <c r="AX106" s="331"/>
      <c r="AY106" s="331"/>
      <c r="AZ106" s="331"/>
      <c r="BA106" s="331"/>
      <c r="BB106" s="331"/>
      <c r="BC106" s="331"/>
      <c r="BD106" s="318"/>
      <c r="BE106" s="332"/>
      <c r="BF106" s="330">
        <f t="shared" si="1"/>
        <v>0</v>
      </c>
      <c r="BG106" s="333">
        <f t="shared" si="2"/>
        <v>0</v>
      </c>
      <c r="BH106" s="334"/>
      <c r="BI106" s="316"/>
      <c r="BJ106" s="318"/>
      <c r="BK106" s="318"/>
      <c r="BL106" s="318"/>
      <c r="BM106" s="318"/>
      <c r="BN106" s="318"/>
      <c r="BO106" s="318"/>
      <c r="BP106" s="318"/>
      <c r="BQ106" s="338"/>
      <c r="BR106" s="420"/>
      <c r="BS106" s="330">
        <f t="shared" si="3"/>
        <v>0</v>
      </c>
      <c r="BT106" s="331">
        <f t="shared" si="4"/>
        <v>0</v>
      </c>
      <c r="BU106" s="331"/>
      <c r="BV106" s="333"/>
      <c r="BW106" s="330"/>
      <c r="BX106" s="331"/>
      <c r="BY106" s="331"/>
      <c r="BZ106" s="340"/>
      <c r="CA106" s="316"/>
      <c r="CB106" s="318"/>
      <c r="CC106" s="318"/>
      <c r="CD106" s="318"/>
      <c r="CE106" s="318"/>
      <c r="CF106" s="318"/>
      <c r="CG106" s="318"/>
      <c r="CH106" s="318"/>
      <c r="CI106" s="338"/>
      <c r="CJ106" s="341"/>
      <c r="CK106" s="342">
        <f t="shared" si="5"/>
        <v>0</v>
      </c>
      <c r="CL106" s="333">
        <f t="shared" si="6"/>
        <v>0</v>
      </c>
      <c r="CM106" s="421" t="s">
        <v>1054</v>
      </c>
      <c r="CN106" s="416"/>
      <c r="CO106" s="416"/>
      <c r="CP106" s="416"/>
    </row>
    <row r="107">
      <c r="B107" s="316"/>
      <c r="C107" s="417">
        <v>43391.0</v>
      </c>
      <c r="D107" s="426" t="s">
        <v>986</v>
      </c>
      <c r="E107" s="319"/>
      <c r="F107" s="324"/>
      <c r="G107" s="321">
        <v>0.691412037037037</v>
      </c>
      <c r="H107" s="322"/>
      <c r="I107" s="322"/>
      <c r="J107" s="322"/>
      <c r="K107" s="418">
        <v>0.6960300925925926</v>
      </c>
      <c r="L107" s="418">
        <v>0.27708333333333335</v>
      </c>
      <c r="M107" s="336" t="s">
        <v>168</v>
      </c>
      <c r="N107" s="324" t="s">
        <v>167</v>
      </c>
      <c r="O107" s="419"/>
      <c r="P107" s="319"/>
      <c r="Q107" s="318"/>
      <c r="R107" s="326"/>
      <c r="S107" s="319"/>
      <c r="T107" s="324"/>
      <c r="U107" s="319" t="s">
        <v>1031</v>
      </c>
      <c r="V107" s="319"/>
      <c r="W107" s="319"/>
      <c r="X107" s="319"/>
      <c r="Y107" s="319"/>
      <c r="Z107" s="318"/>
      <c r="AA107" s="318"/>
      <c r="AB107" s="318"/>
      <c r="AC107" s="327"/>
      <c r="AD107" s="319"/>
      <c r="AE107" s="319"/>
      <c r="AF107" s="319"/>
      <c r="AG107" s="319"/>
      <c r="AH107" s="319"/>
      <c r="AI107" s="319"/>
      <c r="AJ107" s="327"/>
      <c r="AK107" s="328"/>
      <c r="AL107" s="319"/>
      <c r="AM107" s="319"/>
      <c r="AN107" s="319"/>
      <c r="AO107" s="319"/>
      <c r="AP107" s="319"/>
      <c r="AQ107" s="319"/>
      <c r="AR107" s="319"/>
      <c r="AS107" s="327"/>
      <c r="AT107" s="344"/>
      <c r="AU107" s="345" t="s">
        <v>845</v>
      </c>
      <c r="AV107" s="330"/>
      <c r="AW107" s="331"/>
      <c r="AX107" s="331"/>
      <c r="AY107" s="331"/>
      <c r="AZ107" s="331"/>
      <c r="BA107" s="331"/>
      <c r="BB107" s="331"/>
      <c r="BC107" s="331"/>
      <c r="BD107" s="318"/>
      <c r="BE107" s="332"/>
      <c r="BF107" s="330">
        <f t="shared" si="1"/>
        <v>0</v>
      </c>
      <c r="BG107" s="333">
        <f t="shared" si="2"/>
        <v>0</v>
      </c>
      <c r="BH107" s="334"/>
      <c r="BI107" s="316"/>
      <c r="BJ107" s="318"/>
      <c r="BK107" s="318"/>
      <c r="BL107" s="318"/>
      <c r="BM107" s="318"/>
      <c r="BN107" s="318"/>
      <c r="BO107" s="318"/>
      <c r="BP107" s="318"/>
      <c r="BQ107" s="338"/>
      <c r="BR107" s="420"/>
      <c r="BS107" s="330">
        <f t="shared" si="3"/>
        <v>0</v>
      </c>
      <c r="BT107" s="331">
        <f t="shared" si="4"/>
        <v>0</v>
      </c>
      <c r="BU107" s="331"/>
      <c r="BV107" s="333"/>
      <c r="BW107" s="330"/>
      <c r="BX107" s="331"/>
      <c r="BY107" s="331"/>
      <c r="BZ107" s="340"/>
      <c r="CA107" s="316"/>
      <c r="CB107" s="318"/>
      <c r="CC107" s="318"/>
      <c r="CD107" s="318"/>
      <c r="CE107" s="318"/>
      <c r="CF107" s="318"/>
      <c r="CG107" s="318"/>
      <c r="CH107" s="318"/>
      <c r="CI107" s="338"/>
      <c r="CJ107" s="341"/>
      <c r="CK107" s="342">
        <f t="shared" si="5"/>
        <v>0</v>
      </c>
      <c r="CL107" s="333">
        <f t="shared" si="6"/>
        <v>0</v>
      </c>
      <c r="CM107" s="421" t="s">
        <v>1055</v>
      </c>
      <c r="CN107" s="416"/>
      <c r="CO107" s="416"/>
      <c r="CP107" s="416"/>
    </row>
    <row r="108">
      <c r="B108" s="316"/>
      <c r="C108" s="417">
        <v>43391.0</v>
      </c>
      <c r="D108" s="426" t="s">
        <v>986</v>
      </c>
      <c r="E108" s="319"/>
      <c r="F108" s="324"/>
      <c r="G108" s="321">
        <v>0.6972453703703704</v>
      </c>
      <c r="H108" s="322"/>
      <c r="I108" s="322"/>
      <c r="J108" s="322"/>
      <c r="K108" s="418">
        <v>0.7005902777777778</v>
      </c>
      <c r="L108" s="418">
        <v>0.20069444444444445</v>
      </c>
      <c r="M108" s="336" t="s">
        <v>168</v>
      </c>
      <c r="N108" s="324" t="s">
        <v>167</v>
      </c>
      <c r="O108" s="419"/>
      <c r="P108" s="319"/>
      <c r="Q108" s="318"/>
      <c r="R108" s="326"/>
      <c r="S108" s="319"/>
      <c r="T108" s="324"/>
      <c r="U108" s="319" t="s">
        <v>1031</v>
      </c>
      <c r="V108" s="319"/>
      <c r="W108" s="319"/>
      <c r="X108" s="319"/>
      <c r="Y108" s="319"/>
      <c r="Z108" s="318"/>
      <c r="AA108" s="318"/>
      <c r="AB108" s="318"/>
      <c r="AC108" s="327"/>
      <c r="AD108" s="319"/>
      <c r="AE108" s="319"/>
      <c r="AF108" s="319"/>
      <c r="AG108" s="319"/>
      <c r="AH108" s="319"/>
      <c r="AI108" s="319"/>
      <c r="AJ108" s="327"/>
      <c r="AK108" s="328"/>
      <c r="AL108" s="319"/>
      <c r="AM108" s="319"/>
      <c r="AN108" s="319"/>
      <c r="AO108" s="319"/>
      <c r="AP108" s="319"/>
      <c r="AQ108" s="319"/>
      <c r="AR108" s="319"/>
      <c r="AS108" s="327"/>
      <c r="AT108" s="344"/>
      <c r="AU108" s="345" t="s">
        <v>845</v>
      </c>
      <c r="AV108" s="330"/>
      <c r="AW108" s="331"/>
      <c r="AX108" s="331"/>
      <c r="AY108" s="331"/>
      <c r="AZ108" s="331"/>
      <c r="BA108" s="331"/>
      <c r="BB108" s="331"/>
      <c r="BC108" s="331"/>
      <c r="BD108" s="318"/>
      <c r="BE108" s="332"/>
      <c r="BF108" s="330">
        <f t="shared" si="1"/>
        <v>0</v>
      </c>
      <c r="BG108" s="333">
        <f t="shared" si="2"/>
        <v>0</v>
      </c>
      <c r="BH108" s="334"/>
      <c r="BI108" s="316"/>
      <c r="BJ108" s="318"/>
      <c r="BK108" s="318"/>
      <c r="BL108" s="318"/>
      <c r="BM108" s="318"/>
      <c r="BN108" s="318"/>
      <c r="BO108" s="318"/>
      <c r="BP108" s="318"/>
      <c r="BQ108" s="338"/>
      <c r="BR108" s="420"/>
      <c r="BS108" s="330">
        <f t="shared" si="3"/>
        <v>0</v>
      </c>
      <c r="BT108" s="331">
        <f t="shared" si="4"/>
        <v>0</v>
      </c>
      <c r="BU108" s="331"/>
      <c r="BV108" s="333"/>
      <c r="BW108" s="330"/>
      <c r="BX108" s="331"/>
      <c r="BY108" s="331"/>
      <c r="BZ108" s="340"/>
      <c r="CA108" s="316"/>
      <c r="CB108" s="318"/>
      <c r="CC108" s="318"/>
      <c r="CD108" s="318"/>
      <c r="CE108" s="318"/>
      <c r="CF108" s="318"/>
      <c r="CG108" s="318"/>
      <c r="CH108" s="318"/>
      <c r="CI108" s="338"/>
      <c r="CJ108" s="341"/>
      <c r="CK108" s="342">
        <f t="shared" si="5"/>
        <v>0</v>
      </c>
      <c r="CL108" s="333">
        <f t="shared" si="6"/>
        <v>0</v>
      </c>
      <c r="CM108" s="421" t="s">
        <v>1056</v>
      </c>
      <c r="CN108" s="416"/>
      <c r="CO108" s="416"/>
      <c r="CP108" s="416"/>
    </row>
    <row r="109">
      <c r="B109" s="316"/>
      <c r="C109" s="417">
        <v>43391.0</v>
      </c>
      <c r="D109" s="426" t="s">
        <v>986</v>
      </c>
      <c r="E109" s="319"/>
      <c r="F109" s="324"/>
      <c r="G109" s="321">
        <v>0.7021180555555555</v>
      </c>
      <c r="H109" s="322"/>
      <c r="I109" s="322"/>
      <c r="J109" s="322"/>
      <c r="K109" s="427">
        <v>0.706875</v>
      </c>
      <c r="L109" s="422">
        <v>0.28541666666666665</v>
      </c>
      <c r="M109" s="350" t="s">
        <v>168</v>
      </c>
      <c r="N109" s="324" t="s">
        <v>167</v>
      </c>
      <c r="O109" s="419"/>
      <c r="P109" s="319"/>
      <c r="Q109" s="318"/>
      <c r="R109" s="326"/>
      <c r="S109" s="319"/>
      <c r="T109" s="324"/>
      <c r="U109" s="319" t="s">
        <v>1031</v>
      </c>
      <c r="V109" s="319"/>
      <c r="W109" s="319"/>
      <c r="X109" s="319"/>
      <c r="Y109" s="319"/>
      <c r="Z109" s="318"/>
      <c r="AA109" s="318"/>
      <c r="AB109" s="318"/>
      <c r="AC109" s="327"/>
      <c r="AD109" s="319"/>
      <c r="AE109" s="319"/>
      <c r="AF109" s="319"/>
      <c r="AG109" s="319"/>
      <c r="AH109" s="319"/>
      <c r="AI109" s="319"/>
      <c r="AJ109" s="327"/>
      <c r="AK109" s="328"/>
      <c r="AL109" s="319"/>
      <c r="AM109" s="319"/>
      <c r="AN109" s="319"/>
      <c r="AO109" s="319"/>
      <c r="AP109" s="319"/>
      <c r="AQ109" s="319"/>
      <c r="AR109" s="319"/>
      <c r="AS109" s="327"/>
      <c r="AT109" s="344"/>
      <c r="AU109" s="345" t="s">
        <v>845</v>
      </c>
      <c r="AV109" s="330"/>
      <c r="AW109" s="331"/>
      <c r="AX109" s="331"/>
      <c r="AY109" s="331"/>
      <c r="AZ109" s="331"/>
      <c r="BA109" s="331"/>
      <c r="BB109" s="331"/>
      <c r="BC109" s="331"/>
      <c r="BD109" s="318"/>
      <c r="BE109" s="332"/>
      <c r="BF109" s="330">
        <f t="shared" si="1"/>
        <v>0</v>
      </c>
      <c r="BG109" s="333">
        <f t="shared" si="2"/>
        <v>0</v>
      </c>
      <c r="BH109" s="334"/>
      <c r="BI109" s="316"/>
      <c r="BJ109" s="318"/>
      <c r="BK109" s="318"/>
      <c r="BL109" s="318"/>
      <c r="BM109" s="318"/>
      <c r="BN109" s="318"/>
      <c r="BO109" s="318"/>
      <c r="BP109" s="318"/>
      <c r="BQ109" s="338"/>
      <c r="BR109" s="420"/>
      <c r="BS109" s="330">
        <f t="shared" si="3"/>
        <v>0</v>
      </c>
      <c r="BT109" s="331">
        <f t="shared" si="4"/>
        <v>0</v>
      </c>
      <c r="BU109" s="331"/>
      <c r="BV109" s="333"/>
      <c r="BW109" s="330"/>
      <c r="BX109" s="331"/>
      <c r="BY109" s="331"/>
      <c r="BZ109" s="340"/>
      <c r="CA109" s="316"/>
      <c r="CB109" s="318"/>
      <c r="CC109" s="318"/>
      <c r="CD109" s="318"/>
      <c r="CE109" s="318"/>
      <c r="CF109" s="318"/>
      <c r="CG109" s="318"/>
      <c r="CH109" s="318"/>
      <c r="CI109" s="338"/>
      <c r="CJ109" s="341"/>
      <c r="CK109" s="342">
        <f t="shared" si="5"/>
        <v>0</v>
      </c>
      <c r="CL109" s="333">
        <f t="shared" si="6"/>
        <v>0</v>
      </c>
      <c r="CM109" s="421" t="s">
        <v>1057</v>
      </c>
      <c r="CN109" s="416"/>
      <c r="CO109" s="416"/>
      <c r="CP109" s="416"/>
    </row>
    <row r="110">
      <c r="B110" s="316"/>
      <c r="C110" s="417">
        <v>43392.0</v>
      </c>
      <c r="D110" s="426" t="s">
        <v>986</v>
      </c>
      <c r="E110" s="319"/>
      <c r="F110" s="324"/>
      <c r="G110" s="321">
        <v>0.4111111111111111</v>
      </c>
      <c r="H110" s="322"/>
      <c r="I110" s="322"/>
      <c r="J110" s="322"/>
      <c r="K110" s="428">
        <v>0.4181712962962963</v>
      </c>
      <c r="L110" s="418">
        <v>0.4236111111111111</v>
      </c>
      <c r="M110" s="336" t="s">
        <v>168</v>
      </c>
      <c r="N110" s="324" t="s">
        <v>167</v>
      </c>
      <c r="O110" s="419" t="s">
        <v>167</v>
      </c>
      <c r="P110" s="319" t="s">
        <v>167</v>
      </c>
      <c r="Q110" s="318"/>
      <c r="R110" s="326"/>
      <c r="S110" s="319"/>
      <c r="T110" s="324"/>
      <c r="U110" s="319" t="s">
        <v>1031</v>
      </c>
      <c r="V110" s="319"/>
      <c r="W110" s="319"/>
      <c r="X110" s="319"/>
      <c r="Y110" s="319"/>
      <c r="Z110" s="318"/>
      <c r="AA110" s="318"/>
      <c r="AB110" s="318"/>
      <c r="AC110" s="327"/>
      <c r="AD110" s="319"/>
      <c r="AE110" s="319"/>
      <c r="AF110" s="319"/>
      <c r="AG110" s="319"/>
      <c r="AH110" s="319"/>
      <c r="AI110" s="319"/>
      <c r="AJ110" s="327"/>
      <c r="AK110" s="328"/>
      <c r="AL110" s="319"/>
      <c r="AM110" s="319"/>
      <c r="AN110" s="319"/>
      <c r="AO110" s="319"/>
      <c r="AP110" s="319"/>
      <c r="AQ110" s="319"/>
      <c r="AR110" s="319"/>
      <c r="AS110" s="327"/>
      <c r="AT110" s="344"/>
      <c r="AU110" s="345" t="s">
        <v>845</v>
      </c>
      <c r="AV110" s="330"/>
      <c r="AW110" s="331"/>
      <c r="AX110" s="331"/>
      <c r="AY110" s="331"/>
      <c r="AZ110" s="331"/>
      <c r="BA110" s="331"/>
      <c r="BB110" s="331"/>
      <c r="BC110" s="331"/>
      <c r="BD110" s="318"/>
      <c r="BE110" s="332"/>
      <c r="BF110" s="330">
        <f t="shared" si="1"/>
        <v>0</v>
      </c>
      <c r="BG110" s="333">
        <f t="shared" si="2"/>
        <v>0</v>
      </c>
      <c r="BH110" s="334"/>
      <c r="BI110" s="316"/>
      <c r="BJ110" s="318"/>
      <c r="BK110" s="318"/>
      <c r="BL110" s="318"/>
      <c r="BM110" s="318"/>
      <c r="BN110" s="318"/>
      <c r="BO110" s="318"/>
      <c r="BP110" s="318"/>
      <c r="BQ110" s="338"/>
      <c r="BR110" s="420"/>
      <c r="BS110" s="330">
        <f t="shared" si="3"/>
        <v>0</v>
      </c>
      <c r="BT110" s="331">
        <f t="shared" si="4"/>
        <v>0</v>
      </c>
      <c r="BU110" s="331"/>
      <c r="BV110" s="333"/>
      <c r="BW110" s="330"/>
      <c r="BX110" s="331"/>
      <c r="BY110" s="331"/>
      <c r="BZ110" s="340"/>
      <c r="CA110" s="316"/>
      <c r="CB110" s="318"/>
      <c r="CC110" s="318"/>
      <c r="CD110" s="318"/>
      <c r="CE110" s="318"/>
      <c r="CF110" s="318"/>
      <c r="CG110" s="318"/>
      <c r="CH110" s="318"/>
      <c r="CI110" s="338"/>
      <c r="CJ110" s="341"/>
      <c r="CK110" s="342">
        <f t="shared" si="5"/>
        <v>0</v>
      </c>
      <c r="CL110" s="333">
        <f t="shared" si="6"/>
        <v>0</v>
      </c>
      <c r="CM110" s="421" t="s">
        <v>1058</v>
      </c>
      <c r="CN110" s="416"/>
      <c r="CO110" s="416"/>
      <c r="CP110" s="416"/>
    </row>
    <row r="111">
      <c r="B111" s="316"/>
      <c r="C111" s="417">
        <v>43392.0</v>
      </c>
      <c r="D111" s="426" t="s">
        <v>986</v>
      </c>
      <c r="E111" s="319"/>
      <c r="F111" s="324"/>
      <c r="G111" s="321">
        <v>0.4217592592592593</v>
      </c>
      <c r="H111" s="322"/>
      <c r="I111" s="322"/>
      <c r="J111" s="322"/>
      <c r="K111" s="418">
        <v>0.42530092592592594</v>
      </c>
      <c r="L111" s="418">
        <v>0.2125</v>
      </c>
      <c r="M111" s="336" t="s">
        <v>168</v>
      </c>
      <c r="N111" s="324" t="s">
        <v>167</v>
      </c>
      <c r="O111" s="419" t="s">
        <v>167</v>
      </c>
      <c r="P111" s="319" t="s">
        <v>167</v>
      </c>
      <c r="Q111" s="318"/>
      <c r="R111" s="326"/>
      <c r="S111" s="319"/>
      <c r="T111" s="324"/>
      <c r="U111" s="319" t="s">
        <v>1031</v>
      </c>
      <c r="V111" s="319"/>
      <c r="W111" s="319"/>
      <c r="X111" s="319"/>
      <c r="Y111" s="319"/>
      <c r="Z111" s="318"/>
      <c r="AA111" s="318"/>
      <c r="AB111" s="318"/>
      <c r="AC111" s="327"/>
      <c r="AD111" s="319"/>
      <c r="AE111" s="319"/>
      <c r="AF111" s="319"/>
      <c r="AG111" s="319"/>
      <c r="AH111" s="319"/>
      <c r="AI111" s="319"/>
      <c r="AJ111" s="327"/>
      <c r="AK111" s="328"/>
      <c r="AL111" s="319"/>
      <c r="AM111" s="319"/>
      <c r="AN111" s="319"/>
      <c r="AO111" s="319"/>
      <c r="AP111" s="319"/>
      <c r="AQ111" s="319"/>
      <c r="AR111" s="319"/>
      <c r="AS111" s="327"/>
      <c r="AT111" s="344"/>
      <c r="AU111" s="345" t="s">
        <v>845</v>
      </c>
      <c r="AV111" s="330"/>
      <c r="AW111" s="331"/>
      <c r="AX111" s="331"/>
      <c r="AY111" s="331"/>
      <c r="AZ111" s="331"/>
      <c r="BA111" s="331"/>
      <c r="BB111" s="331"/>
      <c r="BC111" s="331"/>
      <c r="BD111" s="318"/>
      <c r="BE111" s="332"/>
      <c r="BF111" s="330">
        <f t="shared" si="1"/>
        <v>0</v>
      </c>
      <c r="BG111" s="333">
        <f t="shared" si="2"/>
        <v>0</v>
      </c>
      <c r="BH111" s="334"/>
      <c r="BI111" s="316"/>
      <c r="BJ111" s="318"/>
      <c r="BK111" s="318"/>
      <c r="BL111" s="318"/>
      <c r="BM111" s="318"/>
      <c r="BN111" s="318"/>
      <c r="BO111" s="318"/>
      <c r="BP111" s="318"/>
      <c r="BQ111" s="338"/>
      <c r="BR111" s="420"/>
      <c r="BS111" s="330">
        <f t="shared" si="3"/>
        <v>0</v>
      </c>
      <c r="BT111" s="331">
        <f t="shared" si="4"/>
        <v>0</v>
      </c>
      <c r="BU111" s="331"/>
      <c r="BV111" s="333"/>
      <c r="BW111" s="330"/>
      <c r="BX111" s="331"/>
      <c r="BY111" s="331"/>
      <c r="BZ111" s="340"/>
      <c r="CA111" s="316"/>
      <c r="CB111" s="318"/>
      <c r="CC111" s="318"/>
      <c r="CD111" s="318"/>
      <c r="CE111" s="318"/>
      <c r="CF111" s="318"/>
      <c r="CG111" s="318"/>
      <c r="CH111" s="318"/>
      <c r="CI111" s="338"/>
      <c r="CJ111" s="341"/>
      <c r="CK111" s="342">
        <f t="shared" si="5"/>
        <v>0</v>
      </c>
      <c r="CL111" s="333">
        <f t="shared" si="6"/>
        <v>0</v>
      </c>
      <c r="CM111" s="421" t="s">
        <v>1059</v>
      </c>
      <c r="CN111" s="416"/>
      <c r="CO111" s="416"/>
      <c r="CP111" s="416"/>
    </row>
    <row r="112">
      <c r="B112" s="316"/>
      <c r="C112" s="417">
        <v>43392.0</v>
      </c>
      <c r="D112" s="426" t="s">
        <v>986</v>
      </c>
      <c r="E112" s="319"/>
      <c r="F112" s="324"/>
      <c r="G112" s="321">
        <v>0.4317824074074074</v>
      </c>
      <c r="H112" s="322"/>
      <c r="I112" s="322"/>
      <c r="J112" s="322"/>
      <c r="K112" s="418">
        <v>0.4352083333333333</v>
      </c>
      <c r="L112" s="418">
        <v>0.20555555555555555</v>
      </c>
      <c r="M112" s="336" t="s">
        <v>168</v>
      </c>
      <c r="N112" s="324" t="s">
        <v>167</v>
      </c>
      <c r="O112" s="419" t="s">
        <v>167</v>
      </c>
      <c r="P112" s="319" t="s">
        <v>167</v>
      </c>
      <c r="Q112" s="318"/>
      <c r="R112" s="326"/>
      <c r="S112" s="319"/>
      <c r="T112" s="324"/>
      <c r="U112" s="319" t="s">
        <v>1031</v>
      </c>
      <c r="V112" s="319"/>
      <c r="W112" s="319"/>
      <c r="X112" s="319"/>
      <c r="Y112" s="319"/>
      <c r="Z112" s="318"/>
      <c r="AA112" s="318"/>
      <c r="AB112" s="318"/>
      <c r="AC112" s="327"/>
      <c r="AD112" s="319"/>
      <c r="AE112" s="319"/>
      <c r="AF112" s="319"/>
      <c r="AG112" s="319"/>
      <c r="AH112" s="319"/>
      <c r="AI112" s="319"/>
      <c r="AJ112" s="327"/>
      <c r="AK112" s="328"/>
      <c r="AL112" s="319"/>
      <c r="AM112" s="319"/>
      <c r="AN112" s="319"/>
      <c r="AO112" s="319"/>
      <c r="AP112" s="319"/>
      <c r="AQ112" s="319"/>
      <c r="AR112" s="319"/>
      <c r="AS112" s="327"/>
      <c r="AT112" s="344"/>
      <c r="AU112" s="345" t="s">
        <v>845</v>
      </c>
      <c r="AV112" s="330"/>
      <c r="AW112" s="331"/>
      <c r="AX112" s="331"/>
      <c r="AY112" s="331"/>
      <c r="AZ112" s="331"/>
      <c r="BA112" s="331"/>
      <c r="BB112" s="331"/>
      <c r="BC112" s="331"/>
      <c r="BD112" s="318"/>
      <c r="BE112" s="332"/>
      <c r="BF112" s="330">
        <f t="shared" si="1"/>
        <v>0</v>
      </c>
      <c r="BG112" s="333">
        <f t="shared" si="2"/>
        <v>0</v>
      </c>
      <c r="BH112" s="334"/>
      <c r="BI112" s="316"/>
      <c r="BJ112" s="318"/>
      <c r="BK112" s="318"/>
      <c r="BL112" s="318"/>
      <c r="BM112" s="318"/>
      <c r="BN112" s="318"/>
      <c r="BO112" s="318"/>
      <c r="BP112" s="318"/>
      <c r="BQ112" s="338"/>
      <c r="BR112" s="420"/>
      <c r="BS112" s="330">
        <f t="shared" si="3"/>
        <v>0</v>
      </c>
      <c r="BT112" s="331">
        <f t="shared" si="4"/>
        <v>0</v>
      </c>
      <c r="BU112" s="331"/>
      <c r="BV112" s="333"/>
      <c r="BW112" s="330"/>
      <c r="BX112" s="331"/>
      <c r="BY112" s="331"/>
      <c r="BZ112" s="340"/>
      <c r="CA112" s="316"/>
      <c r="CB112" s="318"/>
      <c r="CC112" s="318"/>
      <c r="CD112" s="318"/>
      <c r="CE112" s="318"/>
      <c r="CF112" s="318"/>
      <c r="CG112" s="318"/>
      <c r="CH112" s="318"/>
      <c r="CI112" s="338"/>
      <c r="CJ112" s="341"/>
      <c r="CK112" s="342">
        <f t="shared" si="5"/>
        <v>0</v>
      </c>
      <c r="CL112" s="333">
        <f t="shared" si="6"/>
        <v>0</v>
      </c>
      <c r="CM112" s="421" t="s">
        <v>1060</v>
      </c>
      <c r="CN112" s="416"/>
      <c r="CO112" s="416"/>
      <c r="CP112" s="416"/>
    </row>
    <row r="113">
      <c r="B113" s="316"/>
      <c r="C113" s="417">
        <v>43392.0</v>
      </c>
      <c r="D113" s="426" t="s">
        <v>986</v>
      </c>
      <c r="E113" s="319"/>
      <c r="F113" s="324"/>
      <c r="G113" s="321">
        <v>0.4457407407407407</v>
      </c>
      <c r="H113" s="322"/>
      <c r="I113" s="322"/>
      <c r="J113" s="322"/>
      <c r="K113" s="418">
        <v>0.4517476851851852</v>
      </c>
      <c r="L113" s="418">
        <v>0.36041666666666666</v>
      </c>
      <c r="M113" s="336" t="s">
        <v>168</v>
      </c>
      <c r="N113" s="324" t="s">
        <v>167</v>
      </c>
      <c r="O113" s="419" t="s">
        <v>167</v>
      </c>
      <c r="P113" s="319" t="s">
        <v>167</v>
      </c>
      <c r="Q113" s="318"/>
      <c r="R113" s="326"/>
      <c r="S113" s="319"/>
      <c r="T113" s="324"/>
      <c r="U113" s="319" t="s">
        <v>1031</v>
      </c>
      <c r="V113" s="319"/>
      <c r="W113" s="319"/>
      <c r="X113" s="319"/>
      <c r="Y113" s="319"/>
      <c r="Z113" s="318"/>
      <c r="AA113" s="318"/>
      <c r="AB113" s="318"/>
      <c r="AC113" s="327"/>
      <c r="AD113" s="319"/>
      <c r="AE113" s="319"/>
      <c r="AF113" s="319"/>
      <c r="AG113" s="319"/>
      <c r="AH113" s="319"/>
      <c r="AI113" s="319"/>
      <c r="AJ113" s="327"/>
      <c r="AK113" s="328"/>
      <c r="AL113" s="319"/>
      <c r="AM113" s="319"/>
      <c r="AN113" s="319"/>
      <c r="AO113" s="319"/>
      <c r="AP113" s="319"/>
      <c r="AQ113" s="319"/>
      <c r="AR113" s="319"/>
      <c r="AS113" s="327"/>
      <c r="AT113" s="344"/>
      <c r="AU113" s="345" t="s">
        <v>845</v>
      </c>
      <c r="AV113" s="330"/>
      <c r="AW113" s="331"/>
      <c r="AX113" s="331"/>
      <c r="AY113" s="331"/>
      <c r="AZ113" s="331"/>
      <c r="BA113" s="331"/>
      <c r="BB113" s="331"/>
      <c r="BC113" s="331"/>
      <c r="BD113" s="318"/>
      <c r="BE113" s="332"/>
      <c r="BF113" s="330">
        <f t="shared" si="1"/>
        <v>0</v>
      </c>
      <c r="BG113" s="333">
        <f t="shared" si="2"/>
        <v>0</v>
      </c>
      <c r="BH113" s="334"/>
      <c r="BI113" s="316"/>
      <c r="BJ113" s="318"/>
      <c r="BK113" s="318"/>
      <c r="BL113" s="318"/>
      <c r="BM113" s="318"/>
      <c r="BN113" s="318"/>
      <c r="BO113" s="318"/>
      <c r="BP113" s="318"/>
      <c r="BQ113" s="338"/>
      <c r="BR113" s="420"/>
      <c r="BS113" s="330">
        <f t="shared" si="3"/>
        <v>0</v>
      </c>
      <c r="BT113" s="331">
        <f t="shared" si="4"/>
        <v>0</v>
      </c>
      <c r="BU113" s="331"/>
      <c r="BV113" s="333"/>
      <c r="BW113" s="330"/>
      <c r="BX113" s="331"/>
      <c r="BY113" s="331"/>
      <c r="BZ113" s="340"/>
      <c r="CA113" s="316"/>
      <c r="CB113" s="318"/>
      <c r="CC113" s="318"/>
      <c r="CD113" s="318"/>
      <c r="CE113" s="318"/>
      <c r="CF113" s="318"/>
      <c r="CG113" s="318"/>
      <c r="CH113" s="318"/>
      <c r="CI113" s="338"/>
      <c r="CJ113" s="341"/>
      <c r="CK113" s="342">
        <f t="shared" si="5"/>
        <v>0</v>
      </c>
      <c r="CL113" s="333">
        <f t="shared" si="6"/>
        <v>0</v>
      </c>
      <c r="CM113" s="421" t="s">
        <v>1061</v>
      </c>
      <c r="CN113" s="416"/>
      <c r="CO113" s="416"/>
      <c r="CP113" s="416"/>
    </row>
    <row r="114">
      <c r="B114" s="316"/>
      <c r="C114" s="417">
        <v>43392.0</v>
      </c>
      <c r="D114" s="426" t="s">
        <v>986</v>
      </c>
      <c r="E114" s="319"/>
      <c r="F114" s="324"/>
      <c r="G114" s="321">
        <v>0.4722222222222222</v>
      </c>
      <c r="H114" s="322"/>
      <c r="I114" s="322"/>
      <c r="J114" s="322"/>
      <c r="K114" s="418">
        <v>0.4769675925925926</v>
      </c>
      <c r="L114" s="418">
        <v>0.2847222222222222</v>
      </c>
      <c r="M114" s="336" t="s">
        <v>168</v>
      </c>
      <c r="N114" s="324" t="s">
        <v>167</v>
      </c>
      <c r="O114" s="419" t="s">
        <v>167</v>
      </c>
      <c r="P114" s="319" t="s">
        <v>167</v>
      </c>
      <c r="Q114" s="318"/>
      <c r="R114" s="326"/>
      <c r="S114" s="319"/>
      <c r="T114" s="324"/>
      <c r="U114" s="319" t="s">
        <v>1031</v>
      </c>
      <c r="V114" s="319"/>
      <c r="W114" s="319"/>
      <c r="X114" s="319"/>
      <c r="Y114" s="319"/>
      <c r="Z114" s="318"/>
      <c r="AA114" s="318"/>
      <c r="AB114" s="318"/>
      <c r="AC114" s="327"/>
      <c r="AD114" s="319"/>
      <c r="AE114" s="319"/>
      <c r="AF114" s="319"/>
      <c r="AG114" s="319"/>
      <c r="AH114" s="319"/>
      <c r="AI114" s="319"/>
      <c r="AJ114" s="327"/>
      <c r="AK114" s="328"/>
      <c r="AL114" s="319"/>
      <c r="AM114" s="319"/>
      <c r="AN114" s="319"/>
      <c r="AO114" s="319"/>
      <c r="AP114" s="319"/>
      <c r="AQ114" s="319"/>
      <c r="AR114" s="319"/>
      <c r="AS114" s="327"/>
      <c r="AT114" s="344"/>
      <c r="AU114" s="345" t="s">
        <v>845</v>
      </c>
      <c r="AV114" s="330"/>
      <c r="AW114" s="331"/>
      <c r="AX114" s="331"/>
      <c r="AY114" s="331"/>
      <c r="AZ114" s="331"/>
      <c r="BA114" s="331"/>
      <c r="BB114" s="331"/>
      <c r="BC114" s="331"/>
      <c r="BD114" s="318"/>
      <c r="BE114" s="332"/>
      <c r="BF114" s="330">
        <f t="shared" si="1"/>
        <v>0</v>
      </c>
      <c r="BG114" s="333">
        <f t="shared" si="2"/>
        <v>0</v>
      </c>
      <c r="BH114" s="334"/>
      <c r="BI114" s="316"/>
      <c r="BJ114" s="318"/>
      <c r="BK114" s="318"/>
      <c r="BL114" s="318"/>
      <c r="BM114" s="318"/>
      <c r="BN114" s="318"/>
      <c r="BO114" s="318"/>
      <c r="BP114" s="318"/>
      <c r="BQ114" s="338"/>
      <c r="BR114" s="420"/>
      <c r="BS114" s="330">
        <f t="shared" si="3"/>
        <v>0</v>
      </c>
      <c r="BT114" s="331">
        <f t="shared" si="4"/>
        <v>0</v>
      </c>
      <c r="BU114" s="331"/>
      <c r="BV114" s="333"/>
      <c r="BW114" s="330"/>
      <c r="BX114" s="331"/>
      <c r="BY114" s="331"/>
      <c r="BZ114" s="340"/>
      <c r="CA114" s="316"/>
      <c r="CB114" s="318"/>
      <c r="CC114" s="318"/>
      <c r="CD114" s="318"/>
      <c r="CE114" s="318"/>
      <c r="CF114" s="318"/>
      <c r="CG114" s="318"/>
      <c r="CH114" s="318"/>
      <c r="CI114" s="338"/>
      <c r="CJ114" s="341"/>
      <c r="CK114" s="342">
        <f t="shared" si="5"/>
        <v>0</v>
      </c>
      <c r="CL114" s="333">
        <f t="shared" si="6"/>
        <v>0</v>
      </c>
      <c r="CM114" s="421" t="s">
        <v>1062</v>
      </c>
      <c r="CN114" s="416"/>
      <c r="CO114" s="416"/>
      <c r="CP114" s="416"/>
    </row>
    <row r="115">
      <c r="B115" s="316"/>
      <c r="C115" s="417">
        <v>43392.0</v>
      </c>
      <c r="D115" s="426" t="s">
        <v>986</v>
      </c>
      <c r="E115" s="319"/>
      <c r="F115" s="324"/>
      <c r="G115" s="321">
        <v>0.4783101851851852</v>
      </c>
      <c r="H115" s="322"/>
      <c r="I115" s="322"/>
      <c r="J115" s="322"/>
      <c r="K115" s="418">
        <v>0.48277777777777775</v>
      </c>
      <c r="L115" s="418">
        <v>0.26805555555555555</v>
      </c>
      <c r="M115" s="336" t="s">
        <v>168</v>
      </c>
      <c r="N115" s="324" t="s">
        <v>167</v>
      </c>
      <c r="O115" s="419" t="s">
        <v>167</v>
      </c>
      <c r="P115" s="319" t="s">
        <v>167</v>
      </c>
      <c r="Q115" s="318"/>
      <c r="R115" s="326"/>
      <c r="S115" s="319"/>
      <c r="T115" s="324"/>
      <c r="U115" s="319" t="s">
        <v>1031</v>
      </c>
      <c r="V115" s="319"/>
      <c r="W115" s="319"/>
      <c r="X115" s="319"/>
      <c r="Y115" s="319"/>
      <c r="Z115" s="318"/>
      <c r="AA115" s="318"/>
      <c r="AB115" s="318"/>
      <c r="AC115" s="327"/>
      <c r="AD115" s="319"/>
      <c r="AE115" s="319"/>
      <c r="AF115" s="319"/>
      <c r="AG115" s="319"/>
      <c r="AH115" s="319"/>
      <c r="AI115" s="319"/>
      <c r="AJ115" s="327"/>
      <c r="AK115" s="328"/>
      <c r="AL115" s="319"/>
      <c r="AM115" s="319"/>
      <c r="AN115" s="319"/>
      <c r="AO115" s="319"/>
      <c r="AP115" s="319"/>
      <c r="AQ115" s="319"/>
      <c r="AR115" s="319"/>
      <c r="AS115" s="327"/>
      <c r="AT115" s="344"/>
      <c r="AU115" s="345" t="s">
        <v>845</v>
      </c>
      <c r="AV115" s="330"/>
      <c r="AW115" s="331"/>
      <c r="AX115" s="331"/>
      <c r="AY115" s="331"/>
      <c r="AZ115" s="331"/>
      <c r="BA115" s="331"/>
      <c r="BB115" s="331"/>
      <c r="BC115" s="331"/>
      <c r="BD115" s="318"/>
      <c r="BE115" s="332"/>
      <c r="BF115" s="330">
        <f t="shared" si="1"/>
        <v>0</v>
      </c>
      <c r="BG115" s="333">
        <f t="shared" si="2"/>
        <v>0</v>
      </c>
      <c r="BH115" s="334"/>
      <c r="BI115" s="316"/>
      <c r="BJ115" s="318"/>
      <c r="BK115" s="318"/>
      <c r="BL115" s="318"/>
      <c r="BM115" s="318"/>
      <c r="BN115" s="318"/>
      <c r="BO115" s="318"/>
      <c r="BP115" s="318"/>
      <c r="BQ115" s="338"/>
      <c r="BR115" s="420"/>
      <c r="BS115" s="330">
        <f t="shared" si="3"/>
        <v>0</v>
      </c>
      <c r="BT115" s="331">
        <f t="shared" si="4"/>
        <v>0</v>
      </c>
      <c r="BU115" s="331"/>
      <c r="BV115" s="333"/>
      <c r="BW115" s="330"/>
      <c r="BX115" s="331"/>
      <c r="BY115" s="331"/>
      <c r="BZ115" s="340"/>
      <c r="CA115" s="316"/>
      <c r="CB115" s="318"/>
      <c r="CC115" s="318"/>
      <c r="CD115" s="318"/>
      <c r="CE115" s="318"/>
      <c r="CF115" s="318"/>
      <c r="CG115" s="318"/>
      <c r="CH115" s="318"/>
      <c r="CI115" s="338"/>
      <c r="CJ115" s="341"/>
      <c r="CK115" s="342">
        <f t="shared" si="5"/>
        <v>0</v>
      </c>
      <c r="CL115" s="333">
        <f t="shared" si="6"/>
        <v>0</v>
      </c>
      <c r="CM115" s="421" t="s">
        <v>1063</v>
      </c>
      <c r="CN115" s="416"/>
      <c r="CO115" s="416"/>
      <c r="CP115" s="416"/>
    </row>
    <row r="116">
      <c r="B116" s="316"/>
      <c r="C116" s="417">
        <v>43392.0</v>
      </c>
      <c r="D116" s="426" t="s">
        <v>986</v>
      </c>
      <c r="E116" s="319"/>
      <c r="F116" s="324"/>
      <c r="G116" s="321">
        <v>0.4875</v>
      </c>
      <c r="H116" s="322"/>
      <c r="I116" s="322"/>
      <c r="J116" s="322"/>
      <c r="K116" s="418">
        <v>0.49050925925925926</v>
      </c>
      <c r="L116" s="418">
        <v>0.18055555555555555</v>
      </c>
      <c r="M116" s="336" t="s">
        <v>168</v>
      </c>
      <c r="N116" s="324" t="s">
        <v>188</v>
      </c>
      <c r="O116" s="419" t="s">
        <v>167</v>
      </c>
      <c r="P116" s="319" t="s">
        <v>167</v>
      </c>
      <c r="Q116" s="318"/>
      <c r="R116" s="326"/>
      <c r="S116" s="319"/>
      <c r="T116" s="324"/>
      <c r="U116" s="319" t="s">
        <v>1031</v>
      </c>
      <c r="V116" s="319"/>
      <c r="W116" s="319"/>
      <c r="X116" s="319"/>
      <c r="Y116" s="319"/>
      <c r="Z116" s="318"/>
      <c r="AA116" s="318"/>
      <c r="AB116" s="319" t="s">
        <v>1022</v>
      </c>
      <c r="AC116" s="327"/>
      <c r="AD116" s="319"/>
      <c r="AE116" s="319"/>
      <c r="AF116" s="319"/>
      <c r="AG116" s="319"/>
      <c r="AH116" s="319"/>
      <c r="AI116" s="319"/>
      <c r="AJ116" s="327"/>
      <c r="AK116" s="328"/>
      <c r="AL116" s="319"/>
      <c r="AM116" s="319"/>
      <c r="AN116" s="319"/>
      <c r="AO116" s="319"/>
      <c r="AP116" s="319"/>
      <c r="AQ116" s="319"/>
      <c r="AR116" s="319"/>
      <c r="AS116" s="327"/>
      <c r="AT116" s="344"/>
      <c r="AU116" s="345" t="s">
        <v>845</v>
      </c>
      <c r="AV116" s="330"/>
      <c r="AW116" s="331"/>
      <c r="AX116" s="331"/>
      <c r="AY116" s="331"/>
      <c r="AZ116" s="331"/>
      <c r="BA116" s="331"/>
      <c r="BB116" s="331"/>
      <c r="BC116" s="331"/>
      <c r="BD116" s="318"/>
      <c r="BE116" s="332"/>
      <c r="BF116" s="330">
        <f t="shared" si="1"/>
        <v>0</v>
      </c>
      <c r="BG116" s="333">
        <f t="shared" si="2"/>
        <v>0</v>
      </c>
      <c r="BH116" s="334"/>
      <c r="BI116" s="316"/>
      <c r="BJ116" s="318"/>
      <c r="BK116" s="318"/>
      <c r="BL116" s="318"/>
      <c r="BM116" s="318"/>
      <c r="BN116" s="318"/>
      <c r="BO116" s="318"/>
      <c r="BP116" s="318"/>
      <c r="BQ116" s="338"/>
      <c r="BR116" s="420"/>
      <c r="BS116" s="330">
        <f t="shared" si="3"/>
        <v>0</v>
      </c>
      <c r="BT116" s="331">
        <f t="shared" si="4"/>
        <v>0</v>
      </c>
      <c r="BU116" s="331"/>
      <c r="BV116" s="333"/>
      <c r="BW116" s="330"/>
      <c r="BX116" s="331"/>
      <c r="BY116" s="331"/>
      <c r="BZ116" s="340"/>
      <c r="CA116" s="316"/>
      <c r="CB116" s="318"/>
      <c r="CC116" s="318"/>
      <c r="CD116" s="318"/>
      <c r="CE116" s="318"/>
      <c r="CF116" s="318"/>
      <c r="CG116" s="318"/>
      <c r="CH116" s="318"/>
      <c r="CI116" s="338"/>
      <c r="CJ116" s="341"/>
      <c r="CK116" s="342">
        <f t="shared" si="5"/>
        <v>0</v>
      </c>
      <c r="CL116" s="333">
        <f t="shared" si="6"/>
        <v>0</v>
      </c>
      <c r="CM116" s="421" t="s">
        <v>1064</v>
      </c>
      <c r="CN116" s="416"/>
      <c r="CO116" s="416"/>
      <c r="CP116" s="416"/>
    </row>
    <row r="117">
      <c r="B117" s="316"/>
      <c r="C117" s="417">
        <v>43392.0</v>
      </c>
      <c r="D117" s="426" t="s">
        <v>986</v>
      </c>
      <c r="E117" s="319"/>
      <c r="F117" s="324"/>
      <c r="G117" s="321">
        <v>0.4913194444444444</v>
      </c>
      <c r="H117" s="322"/>
      <c r="I117" s="322"/>
      <c r="J117" s="322"/>
      <c r="K117" s="418">
        <v>0.49444444444444446</v>
      </c>
      <c r="L117" s="418">
        <v>0.1875</v>
      </c>
      <c r="M117" s="336" t="s">
        <v>168</v>
      </c>
      <c r="N117" s="324" t="s">
        <v>188</v>
      </c>
      <c r="O117" s="419" t="s">
        <v>167</v>
      </c>
      <c r="P117" s="319" t="s">
        <v>167</v>
      </c>
      <c r="Q117" s="318"/>
      <c r="R117" s="326"/>
      <c r="S117" s="319"/>
      <c r="T117" s="324"/>
      <c r="U117" s="319" t="s">
        <v>1031</v>
      </c>
      <c r="V117" s="319"/>
      <c r="W117" s="319"/>
      <c r="X117" s="319"/>
      <c r="Y117" s="319"/>
      <c r="Z117" s="318"/>
      <c r="AA117" s="318"/>
      <c r="AB117" s="319" t="s">
        <v>1022</v>
      </c>
      <c r="AC117" s="327"/>
      <c r="AD117" s="319"/>
      <c r="AE117" s="319"/>
      <c r="AF117" s="319"/>
      <c r="AG117" s="319"/>
      <c r="AH117" s="319"/>
      <c r="AI117" s="319"/>
      <c r="AJ117" s="327"/>
      <c r="AK117" s="328"/>
      <c r="AL117" s="319"/>
      <c r="AM117" s="319"/>
      <c r="AN117" s="319"/>
      <c r="AO117" s="319"/>
      <c r="AP117" s="319"/>
      <c r="AQ117" s="319"/>
      <c r="AR117" s="319"/>
      <c r="AS117" s="327"/>
      <c r="AT117" s="344"/>
      <c r="AU117" s="345" t="s">
        <v>845</v>
      </c>
      <c r="AV117" s="330"/>
      <c r="AW117" s="331"/>
      <c r="AX117" s="331"/>
      <c r="AY117" s="331"/>
      <c r="AZ117" s="331"/>
      <c r="BA117" s="331"/>
      <c r="BB117" s="331"/>
      <c r="BC117" s="331"/>
      <c r="BD117" s="318"/>
      <c r="BE117" s="332"/>
      <c r="BF117" s="330">
        <f t="shared" si="1"/>
        <v>0</v>
      </c>
      <c r="BG117" s="333">
        <f t="shared" si="2"/>
        <v>0</v>
      </c>
      <c r="BH117" s="334"/>
      <c r="BI117" s="316"/>
      <c r="BJ117" s="318"/>
      <c r="BK117" s="318"/>
      <c r="BL117" s="318"/>
      <c r="BM117" s="318"/>
      <c r="BN117" s="318"/>
      <c r="BO117" s="318"/>
      <c r="BP117" s="318"/>
      <c r="BQ117" s="338"/>
      <c r="BR117" s="420"/>
      <c r="BS117" s="330">
        <f t="shared" si="3"/>
        <v>0</v>
      </c>
      <c r="BT117" s="331">
        <f t="shared" si="4"/>
        <v>0</v>
      </c>
      <c r="BU117" s="331"/>
      <c r="BV117" s="333"/>
      <c r="BW117" s="330"/>
      <c r="BX117" s="331"/>
      <c r="BY117" s="331"/>
      <c r="BZ117" s="340"/>
      <c r="CA117" s="316"/>
      <c r="CB117" s="318"/>
      <c r="CC117" s="318"/>
      <c r="CD117" s="318"/>
      <c r="CE117" s="318"/>
      <c r="CF117" s="318"/>
      <c r="CG117" s="318"/>
      <c r="CH117" s="318"/>
      <c r="CI117" s="338"/>
      <c r="CJ117" s="341"/>
      <c r="CK117" s="342">
        <f t="shared" si="5"/>
        <v>0</v>
      </c>
      <c r="CL117" s="333">
        <f t="shared" si="6"/>
        <v>0</v>
      </c>
      <c r="CM117" s="421" t="s">
        <v>1065</v>
      </c>
      <c r="CN117" s="416"/>
      <c r="CO117" s="416"/>
      <c r="CP117" s="416"/>
    </row>
    <row r="118">
      <c r="B118" s="316"/>
      <c r="C118" s="417">
        <v>43392.0</v>
      </c>
      <c r="D118" s="426" t="s">
        <v>986</v>
      </c>
      <c r="E118" s="319"/>
      <c r="F118" s="324"/>
      <c r="G118" s="321">
        <v>0.49618055555555557</v>
      </c>
      <c r="H118" s="322"/>
      <c r="I118" s="322"/>
      <c r="J118" s="322"/>
      <c r="K118" s="418">
        <v>0.49896990740740743</v>
      </c>
      <c r="L118" s="418">
        <v>0.1673611111111111</v>
      </c>
      <c r="M118" s="336" t="s">
        <v>168</v>
      </c>
      <c r="N118" s="324" t="s">
        <v>188</v>
      </c>
      <c r="O118" s="419" t="s">
        <v>167</v>
      </c>
      <c r="P118" s="319" t="s">
        <v>167</v>
      </c>
      <c r="Q118" s="318"/>
      <c r="R118" s="326"/>
      <c r="S118" s="319"/>
      <c r="T118" s="324"/>
      <c r="U118" s="319" t="s">
        <v>1031</v>
      </c>
      <c r="V118" s="319"/>
      <c r="W118" s="319"/>
      <c r="X118" s="319"/>
      <c r="Y118" s="319"/>
      <c r="Z118" s="318"/>
      <c r="AA118" s="318"/>
      <c r="AB118" s="319" t="s">
        <v>1022</v>
      </c>
      <c r="AC118" s="327"/>
      <c r="AD118" s="319"/>
      <c r="AE118" s="319"/>
      <c r="AF118" s="319"/>
      <c r="AG118" s="319"/>
      <c r="AH118" s="319"/>
      <c r="AI118" s="319"/>
      <c r="AJ118" s="327"/>
      <c r="AK118" s="328"/>
      <c r="AL118" s="319"/>
      <c r="AM118" s="319"/>
      <c r="AN118" s="319"/>
      <c r="AO118" s="319"/>
      <c r="AP118" s="319"/>
      <c r="AQ118" s="319"/>
      <c r="AR118" s="319"/>
      <c r="AS118" s="327"/>
      <c r="AT118" s="344"/>
      <c r="AU118" s="345" t="s">
        <v>845</v>
      </c>
      <c r="AV118" s="330"/>
      <c r="AW118" s="331"/>
      <c r="AX118" s="331"/>
      <c r="AY118" s="331"/>
      <c r="AZ118" s="331"/>
      <c r="BA118" s="331"/>
      <c r="BB118" s="331"/>
      <c r="BC118" s="331"/>
      <c r="BD118" s="318"/>
      <c r="BE118" s="332"/>
      <c r="BF118" s="330">
        <f t="shared" si="1"/>
        <v>0</v>
      </c>
      <c r="BG118" s="333">
        <f t="shared" si="2"/>
        <v>0</v>
      </c>
      <c r="BH118" s="334"/>
      <c r="BI118" s="316"/>
      <c r="BJ118" s="318"/>
      <c r="BK118" s="318"/>
      <c r="BL118" s="318"/>
      <c r="BM118" s="318"/>
      <c r="BN118" s="318"/>
      <c r="BO118" s="318"/>
      <c r="BP118" s="318"/>
      <c r="BQ118" s="338"/>
      <c r="BR118" s="420"/>
      <c r="BS118" s="330">
        <f t="shared" si="3"/>
        <v>0</v>
      </c>
      <c r="BT118" s="331">
        <f t="shared" si="4"/>
        <v>0</v>
      </c>
      <c r="BU118" s="331"/>
      <c r="BV118" s="333"/>
      <c r="BW118" s="330"/>
      <c r="BX118" s="331"/>
      <c r="BY118" s="331"/>
      <c r="BZ118" s="340"/>
      <c r="CA118" s="316"/>
      <c r="CB118" s="318"/>
      <c r="CC118" s="318"/>
      <c r="CD118" s="318"/>
      <c r="CE118" s="318"/>
      <c r="CF118" s="318"/>
      <c r="CG118" s="318"/>
      <c r="CH118" s="318"/>
      <c r="CI118" s="338"/>
      <c r="CJ118" s="341"/>
      <c r="CK118" s="342">
        <f t="shared" si="5"/>
        <v>0</v>
      </c>
      <c r="CL118" s="333">
        <f t="shared" si="6"/>
        <v>0</v>
      </c>
      <c r="CM118" s="421" t="s">
        <v>1066</v>
      </c>
      <c r="CN118" s="416"/>
      <c r="CO118" s="416"/>
      <c r="CP118" s="416"/>
    </row>
    <row r="119">
      <c r="B119" s="316"/>
      <c r="C119" s="417">
        <v>43392.0</v>
      </c>
      <c r="D119" s="426" t="s">
        <v>986</v>
      </c>
      <c r="E119" s="319"/>
      <c r="F119" s="324"/>
      <c r="G119" s="321">
        <v>0.5002430555555556</v>
      </c>
      <c r="H119" s="322"/>
      <c r="I119" s="322"/>
      <c r="J119" s="322"/>
      <c r="K119" s="418">
        <v>0.5038194444444445</v>
      </c>
      <c r="L119" s="418">
        <v>0.21458333333333332</v>
      </c>
      <c r="M119" s="336" t="s">
        <v>168</v>
      </c>
      <c r="N119" s="324" t="s">
        <v>188</v>
      </c>
      <c r="O119" s="419" t="s">
        <v>167</v>
      </c>
      <c r="P119" s="319" t="s">
        <v>167</v>
      </c>
      <c r="Q119" s="318"/>
      <c r="R119" s="326"/>
      <c r="S119" s="319"/>
      <c r="T119" s="324"/>
      <c r="U119" s="319" t="s">
        <v>1031</v>
      </c>
      <c r="V119" s="319"/>
      <c r="W119" s="319"/>
      <c r="X119" s="319"/>
      <c r="Y119" s="319"/>
      <c r="Z119" s="318"/>
      <c r="AA119" s="318"/>
      <c r="AB119" s="319" t="s">
        <v>1022</v>
      </c>
      <c r="AC119" s="327"/>
      <c r="AD119" s="319"/>
      <c r="AE119" s="319"/>
      <c r="AF119" s="319"/>
      <c r="AG119" s="319"/>
      <c r="AH119" s="319"/>
      <c r="AI119" s="319"/>
      <c r="AJ119" s="327"/>
      <c r="AK119" s="328"/>
      <c r="AL119" s="319"/>
      <c r="AM119" s="319"/>
      <c r="AN119" s="319"/>
      <c r="AO119" s="319"/>
      <c r="AP119" s="319"/>
      <c r="AQ119" s="319"/>
      <c r="AR119" s="319"/>
      <c r="AS119" s="327"/>
      <c r="AT119" s="344"/>
      <c r="AU119" s="345" t="s">
        <v>845</v>
      </c>
      <c r="AV119" s="330"/>
      <c r="AW119" s="331"/>
      <c r="AX119" s="331"/>
      <c r="AY119" s="331"/>
      <c r="AZ119" s="331"/>
      <c r="BA119" s="331"/>
      <c r="BB119" s="331"/>
      <c r="BC119" s="331"/>
      <c r="BD119" s="318"/>
      <c r="BE119" s="332"/>
      <c r="BF119" s="330">
        <f t="shared" si="1"/>
        <v>0</v>
      </c>
      <c r="BG119" s="333">
        <f t="shared" si="2"/>
        <v>0</v>
      </c>
      <c r="BH119" s="334"/>
      <c r="BI119" s="316"/>
      <c r="BJ119" s="318"/>
      <c r="BK119" s="318"/>
      <c r="BL119" s="318"/>
      <c r="BM119" s="318"/>
      <c r="BN119" s="318"/>
      <c r="BO119" s="318"/>
      <c r="BP119" s="318"/>
      <c r="BQ119" s="338"/>
      <c r="BR119" s="420"/>
      <c r="BS119" s="330">
        <f t="shared" si="3"/>
        <v>0</v>
      </c>
      <c r="BT119" s="331">
        <f t="shared" si="4"/>
        <v>0</v>
      </c>
      <c r="BU119" s="331"/>
      <c r="BV119" s="333"/>
      <c r="BW119" s="330"/>
      <c r="BX119" s="331"/>
      <c r="BY119" s="331"/>
      <c r="BZ119" s="340"/>
      <c r="CA119" s="316"/>
      <c r="CB119" s="318"/>
      <c r="CC119" s="318"/>
      <c r="CD119" s="318"/>
      <c r="CE119" s="318"/>
      <c r="CF119" s="318"/>
      <c r="CG119" s="318"/>
      <c r="CH119" s="318"/>
      <c r="CI119" s="338"/>
      <c r="CJ119" s="341"/>
      <c r="CK119" s="342">
        <f t="shared" si="5"/>
        <v>0</v>
      </c>
      <c r="CL119" s="333">
        <f t="shared" si="6"/>
        <v>0</v>
      </c>
      <c r="CM119" s="421" t="s">
        <v>1067</v>
      </c>
      <c r="CN119" s="416"/>
      <c r="CO119" s="416"/>
      <c r="CP119" s="416"/>
    </row>
    <row r="120">
      <c r="B120" s="316"/>
      <c r="C120" s="417">
        <v>43392.0</v>
      </c>
      <c r="D120" s="426" t="s">
        <v>986</v>
      </c>
      <c r="E120" s="319"/>
      <c r="F120" s="324"/>
      <c r="G120" s="321">
        <v>0.5053935185185185</v>
      </c>
      <c r="H120" s="322"/>
      <c r="I120" s="322"/>
      <c r="J120" s="322"/>
      <c r="K120" s="418">
        <v>0.5087731481481481</v>
      </c>
      <c r="L120" s="418">
        <v>0.20277777777777778</v>
      </c>
      <c r="M120" s="336" t="s">
        <v>168</v>
      </c>
      <c r="N120" s="324" t="s">
        <v>188</v>
      </c>
      <c r="O120" s="419" t="s">
        <v>167</v>
      </c>
      <c r="P120" s="319" t="s">
        <v>167</v>
      </c>
      <c r="Q120" s="318"/>
      <c r="R120" s="326"/>
      <c r="S120" s="319"/>
      <c r="T120" s="324"/>
      <c r="U120" s="319" t="s">
        <v>1031</v>
      </c>
      <c r="V120" s="319"/>
      <c r="W120" s="319"/>
      <c r="X120" s="319"/>
      <c r="Y120" s="319"/>
      <c r="Z120" s="318"/>
      <c r="AA120" s="318"/>
      <c r="AB120" s="319" t="s">
        <v>1022</v>
      </c>
      <c r="AC120" s="327"/>
      <c r="AD120" s="319"/>
      <c r="AE120" s="319"/>
      <c r="AF120" s="319"/>
      <c r="AG120" s="319"/>
      <c r="AH120" s="319"/>
      <c r="AI120" s="319"/>
      <c r="AJ120" s="327"/>
      <c r="AK120" s="328"/>
      <c r="AL120" s="319"/>
      <c r="AM120" s="319"/>
      <c r="AN120" s="319"/>
      <c r="AO120" s="319"/>
      <c r="AP120" s="319"/>
      <c r="AQ120" s="319"/>
      <c r="AR120" s="319"/>
      <c r="AS120" s="327"/>
      <c r="AT120" s="344"/>
      <c r="AU120" s="345" t="s">
        <v>845</v>
      </c>
      <c r="AV120" s="330"/>
      <c r="AW120" s="331"/>
      <c r="AX120" s="331"/>
      <c r="AY120" s="331"/>
      <c r="AZ120" s="331"/>
      <c r="BA120" s="331"/>
      <c r="BB120" s="331"/>
      <c r="BC120" s="331"/>
      <c r="BD120" s="318"/>
      <c r="BE120" s="332"/>
      <c r="BF120" s="330">
        <f t="shared" si="1"/>
        <v>0</v>
      </c>
      <c r="BG120" s="333">
        <f t="shared" si="2"/>
        <v>0</v>
      </c>
      <c r="BH120" s="334"/>
      <c r="BI120" s="316"/>
      <c r="BJ120" s="318"/>
      <c r="BK120" s="318"/>
      <c r="BL120" s="318"/>
      <c r="BM120" s="318"/>
      <c r="BN120" s="318"/>
      <c r="BO120" s="318"/>
      <c r="BP120" s="318"/>
      <c r="BQ120" s="338"/>
      <c r="BR120" s="420"/>
      <c r="BS120" s="330">
        <f t="shared" si="3"/>
        <v>0</v>
      </c>
      <c r="BT120" s="331">
        <f t="shared" si="4"/>
        <v>0</v>
      </c>
      <c r="BU120" s="331"/>
      <c r="BV120" s="333"/>
      <c r="BW120" s="330"/>
      <c r="BX120" s="331"/>
      <c r="BY120" s="331"/>
      <c r="BZ120" s="340"/>
      <c r="CA120" s="316"/>
      <c r="CB120" s="318"/>
      <c r="CC120" s="318"/>
      <c r="CD120" s="318"/>
      <c r="CE120" s="318"/>
      <c r="CF120" s="318"/>
      <c r="CG120" s="318"/>
      <c r="CH120" s="318"/>
      <c r="CI120" s="338"/>
      <c r="CJ120" s="341"/>
      <c r="CK120" s="342">
        <f t="shared" si="5"/>
        <v>0</v>
      </c>
      <c r="CL120" s="333">
        <f t="shared" si="6"/>
        <v>0</v>
      </c>
      <c r="CM120" s="421" t="s">
        <v>1068</v>
      </c>
      <c r="CN120" s="416"/>
      <c r="CO120" s="416"/>
      <c r="CP120" s="416"/>
    </row>
    <row r="121">
      <c r="B121" s="429"/>
      <c r="C121" s="430">
        <v>43392.0</v>
      </c>
      <c r="D121" s="431" t="s">
        <v>986</v>
      </c>
      <c r="E121" s="432"/>
      <c r="F121" s="433"/>
      <c r="G121" s="434">
        <v>0.5100694444444445</v>
      </c>
      <c r="H121" s="435"/>
      <c r="I121" s="435"/>
      <c r="J121" s="435"/>
      <c r="K121" s="436">
        <v>0.5128472222222222</v>
      </c>
      <c r="L121" s="436">
        <v>0.16666666666666666</v>
      </c>
      <c r="M121" s="437" t="s">
        <v>168</v>
      </c>
      <c r="N121" s="433" t="s">
        <v>188</v>
      </c>
      <c r="O121" s="438" t="s">
        <v>167</v>
      </c>
      <c r="P121" s="432" t="s">
        <v>167</v>
      </c>
      <c r="Q121" s="439"/>
      <c r="R121" s="440"/>
      <c r="S121" s="432"/>
      <c r="T121" s="433"/>
      <c r="U121" s="432" t="s">
        <v>1031</v>
      </c>
      <c r="V121" s="432"/>
      <c r="W121" s="432"/>
      <c r="X121" s="432"/>
      <c r="Y121" s="432"/>
      <c r="Z121" s="439"/>
      <c r="AA121" s="439"/>
      <c r="AB121" s="432" t="s">
        <v>1027</v>
      </c>
      <c r="AC121" s="441"/>
      <c r="AD121" s="432"/>
      <c r="AE121" s="432"/>
      <c r="AF121" s="432"/>
      <c r="AG121" s="432"/>
      <c r="AH121" s="432"/>
      <c r="AI121" s="432"/>
      <c r="AJ121" s="441"/>
      <c r="AK121" s="442"/>
      <c r="AL121" s="432"/>
      <c r="AM121" s="432"/>
      <c r="AN121" s="432"/>
      <c r="AO121" s="432"/>
      <c r="AP121" s="432"/>
      <c r="AQ121" s="432"/>
      <c r="AR121" s="432"/>
      <c r="AS121" s="441"/>
      <c r="AT121" s="443"/>
      <c r="AU121" s="444" t="s">
        <v>845</v>
      </c>
      <c r="AV121" s="445"/>
      <c r="AW121" s="446"/>
      <c r="AX121" s="446"/>
      <c r="AY121" s="446"/>
      <c r="AZ121" s="446"/>
      <c r="BA121" s="446"/>
      <c r="BB121" s="446"/>
      <c r="BC121" s="446"/>
      <c r="BD121" s="439"/>
      <c r="BE121" s="447"/>
      <c r="BF121" s="445">
        <f t="shared" si="1"/>
        <v>0</v>
      </c>
      <c r="BG121" s="448">
        <f t="shared" si="2"/>
        <v>0</v>
      </c>
      <c r="BH121" s="449"/>
      <c r="BI121" s="429"/>
      <c r="BJ121" s="439"/>
      <c r="BK121" s="439"/>
      <c r="BL121" s="439"/>
      <c r="BM121" s="439"/>
      <c r="BN121" s="439"/>
      <c r="BO121" s="439"/>
      <c r="BP121" s="439"/>
      <c r="BQ121" s="450"/>
      <c r="BR121" s="451"/>
      <c r="BS121" s="445">
        <f t="shared" si="3"/>
        <v>0</v>
      </c>
      <c r="BT121" s="446">
        <f t="shared" si="4"/>
        <v>0</v>
      </c>
      <c r="BU121" s="446"/>
      <c r="BV121" s="448"/>
      <c r="BW121" s="445"/>
      <c r="BX121" s="446"/>
      <c r="BY121" s="446"/>
      <c r="BZ121" s="452"/>
      <c r="CA121" s="429"/>
      <c r="CB121" s="439"/>
      <c r="CC121" s="439"/>
      <c r="CD121" s="439"/>
      <c r="CE121" s="439"/>
      <c r="CF121" s="439"/>
      <c r="CG121" s="439"/>
      <c r="CH121" s="439"/>
      <c r="CI121" s="450"/>
      <c r="CJ121" s="453"/>
      <c r="CK121" s="454">
        <f t="shared" si="5"/>
        <v>0</v>
      </c>
      <c r="CL121" s="448">
        <f t="shared" si="6"/>
        <v>0</v>
      </c>
      <c r="CM121" s="455" t="s">
        <v>1069</v>
      </c>
      <c r="CN121" s="416"/>
      <c r="CO121" s="416"/>
      <c r="CP121" s="416"/>
    </row>
    <row r="122">
      <c r="A122" s="315" t="s">
        <v>25</v>
      </c>
      <c r="B122" s="316"/>
      <c r="C122" s="417">
        <v>43622.0</v>
      </c>
      <c r="D122" s="318"/>
      <c r="E122" s="319"/>
      <c r="F122" s="332"/>
      <c r="G122" s="321">
        <v>0.4513888888888889</v>
      </c>
      <c r="H122" s="322"/>
      <c r="I122" s="322"/>
      <c r="J122" s="322"/>
      <c r="K122" s="323">
        <v>0.4534722222222222</v>
      </c>
      <c r="L122" s="322">
        <f t="shared" ref="L122:L373" si="7">K122-G122</f>
        <v>0.002083333333</v>
      </c>
      <c r="M122" s="319"/>
      <c r="N122" s="324"/>
      <c r="O122" s="419"/>
      <c r="P122" s="319"/>
      <c r="Q122" s="318"/>
      <c r="R122" s="326"/>
      <c r="S122" s="319"/>
      <c r="T122" s="324"/>
      <c r="U122" s="319"/>
      <c r="V122" s="319"/>
      <c r="W122" s="319"/>
      <c r="X122" s="319"/>
      <c r="Y122" s="319"/>
      <c r="Z122" s="318"/>
      <c r="AA122" s="318"/>
      <c r="AB122" s="318"/>
      <c r="AC122" s="327"/>
      <c r="AD122" s="319"/>
      <c r="AE122" s="319"/>
      <c r="AF122" s="319"/>
      <c r="AG122" s="319"/>
      <c r="AH122" s="319"/>
      <c r="AI122" s="319"/>
      <c r="AJ122" s="327"/>
      <c r="AK122" s="328"/>
      <c r="AL122" s="319"/>
      <c r="AM122" s="319"/>
      <c r="AN122" s="319"/>
      <c r="AO122" s="319"/>
      <c r="AP122" s="319"/>
      <c r="AQ122" s="319"/>
      <c r="AR122" s="319"/>
      <c r="AS122" s="327"/>
      <c r="AT122" s="344"/>
      <c r="AU122" s="345" t="s">
        <v>845</v>
      </c>
      <c r="AV122" s="330"/>
      <c r="AW122" s="331"/>
      <c r="AX122" s="331"/>
      <c r="AY122" s="331"/>
      <c r="AZ122" s="331"/>
      <c r="BA122" s="331"/>
      <c r="BB122" s="331"/>
      <c r="BC122" s="331"/>
      <c r="BD122" s="318"/>
      <c r="BE122" s="332"/>
      <c r="BF122" s="330"/>
      <c r="BG122" s="333"/>
      <c r="BH122" s="334"/>
      <c r="BI122" s="316"/>
      <c r="BJ122" s="318"/>
      <c r="BK122" s="318"/>
      <c r="BL122" s="318"/>
      <c r="BM122" s="318"/>
      <c r="BN122" s="318"/>
      <c r="BO122" s="318"/>
      <c r="BP122" s="318"/>
      <c r="BQ122" s="338"/>
      <c r="BR122" s="420"/>
      <c r="BS122" s="330"/>
      <c r="BT122" s="331"/>
      <c r="BU122" s="331"/>
      <c r="BV122" s="333"/>
      <c r="BW122" s="330"/>
      <c r="BX122" s="331"/>
      <c r="BY122" s="331"/>
      <c r="BZ122" s="340"/>
      <c r="CA122" s="316"/>
      <c r="CB122" s="318"/>
      <c r="CC122" s="318"/>
      <c r="CD122" s="318"/>
      <c r="CE122" s="318"/>
      <c r="CF122" s="318"/>
      <c r="CG122" s="318"/>
      <c r="CH122" s="318"/>
      <c r="CI122" s="338"/>
      <c r="CJ122" s="341"/>
      <c r="CK122" s="342"/>
      <c r="CL122" s="333"/>
      <c r="CM122" s="421" t="s">
        <v>1070</v>
      </c>
      <c r="CN122" s="416"/>
      <c r="CO122" s="416"/>
      <c r="CP122" s="416"/>
    </row>
    <row r="123">
      <c r="A123" s="315" t="s">
        <v>25</v>
      </c>
      <c r="B123" s="316"/>
      <c r="C123" s="417">
        <v>43622.0</v>
      </c>
      <c r="D123" s="318"/>
      <c r="E123" s="319">
        <v>1.0</v>
      </c>
      <c r="F123" s="332"/>
      <c r="G123" s="321">
        <v>0.45717592592592593</v>
      </c>
      <c r="H123" s="322"/>
      <c r="I123" s="322"/>
      <c r="J123" s="322"/>
      <c r="K123" s="323">
        <v>0.4625</v>
      </c>
      <c r="L123" s="322">
        <f t="shared" si="7"/>
        <v>0.005324074074</v>
      </c>
      <c r="M123" s="319" t="s">
        <v>167</v>
      </c>
      <c r="N123" s="324" t="s">
        <v>187</v>
      </c>
      <c r="O123" s="419" t="s">
        <v>200</v>
      </c>
      <c r="P123" s="319" t="s">
        <v>220</v>
      </c>
      <c r="Q123" s="318"/>
      <c r="R123" s="326">
        <v>9.0</v>
      </c>
      <c r="S123" s="319">
        <v>5.0</v>
      </c>
      <c r="T123" s="324">
        <v>0.55</v>
      </c>
      <c r="U123" s="319">
        <v>0.4</v>
      </c>
      <c r="V123" s="319"/>
      <c r="W123" s="319"/>
      <c r="X123" s="319"/>
      <c r="Y123" s="319"/>
      <c r="Z123" s="318"/>
      <c r="AA123" s="318"/>
      <c r="AB123" s="318"/>
      <c r="AC123" s="327">
        <v>1.0</v>
      </c>
      <c r="AD123" s="319"/>
      <c r="AE123" s="319"/>
      <c r="AF123" s="319"/>
      <c r="AG123" s="319"/>
      <c r="AH123" s="319"/>
      <c r="AI123" s="319"/>
      <c r="AJ123" s="327"/>
      <c r="AK123" s="328"/>
      <c r="AL123" s="319"/>
      <c r="AM123" s="319"/>
      <c r="AN123" s="319"/>
      <c r="AO123" s="319"/>
      <c r="AP123" s="319"/>
      <c r="AQ123" s="319"/>
      <c r="AR123" s="319"/>
      <c r="AS123" s="327"/>
      <c r="AT123" s="344"/>
      <c r="AU123" s="345" t="s">
        <v>845</v>
      </c>
      <c r="AV123" s="330">
        <f>SQRT(($R123-Infrastructure!J$3)^2+($S123-Infrastructure!K$3)^2)</f>
        <v>25.6456624</v>
      </c>
      <c r="AW123" s="331">
        <f>SQRT(($R123-Infrastructure!J$4)^2+($S123-Infrastructure!K$4)^2)</f>
        <v>15.82182038</v>
      </c>
      <c r="AX123" s="331">
        <f>SQRT(($R123-Infrastructure!J$5)^2+($S123-Infrastructure!K$5)^2)</f>
        <v>9.300537619</v>
      </c>
      <c r="AY123" s="331">
        <f>SQRT(($R123-Infrastructure!J$6)^2+($S123-Infrastructure!K$6)^2)</f>
        <v>4.827007354</v>
      </c>
      <c r="AZ123" s="331">
        <f>SQRT(($R123-Infrastructure!J$7)^2+($S123-Infrastructure!K$7)^2)</f>
        <v>12.42336508</v>
      </c>
      <c r="BA123" s="331">
        <f>SQRT(($R123-Infrastructure!J$8)^2+($S123-Infrastructure!K$8)^2)</f>
        <v>21.61712284</v>
      </c>
      <c r="BB123" s="331">
        <f>SQRT(($R123-Infrastructure!J$9)^2+($S123-Infrastructure!K$9)^2)</f>
        <v>31.00016129</v>
      </c>
      <c r="BC123" s="331">
        <f>SQRT(($R123-Infrastructure!J$10)^2+($S123-Infrastructure!K$10)^2)</f>
        <v>32.57299495</v>
      </c>
      <c r="BD123" s="318"/>
      <c r="BE123" s="332"/>
      <c r="BF123" s="330">
        <f t="shared" ref="BF123:BF146" si="8">MIN(AV123:BE123)</f>
        <v>4.827007354</v>
      </c>
      <c r="BG123" s="333">
        <f t="shared" ref="BG123:BG146" si="9">MAX(AV123:BE123)</f>
        <v>32.57299495</v>
      </c>
      <c r="BH123" s="334"/>
      <c r="BI123" s="316"/>
      <c r="BJ123" s="318"/>
      <c r="BK123" s="318"/>
      <c r="BL123" s="318"/>
      <c r="BM123" s="318"/>
      <c r="BN123" s="318"/>
      <c r="BO123" s="318"/>
      <c r="BP123" s="318"/>
      <c r="BQ123" s="338"/>
      <c r="BR123" s="420"/>
      <c r="BS123" s="330">
        <f t="shared" ref="BS123:BS146" si="10">MINIFS(AV123:BE123,BI123:BR123, "Y")</f>
        <v>0</v>
      </c>
      <c r="BT123" s="331">
        <f t="shared" ref="BT123:BT146" si="11">MAXIFS(AV123:BE123,BI123:BR123, "Y")</f>
        <v>0</v>
      </c>
      <c r="BU123" s="331"/>
      <c r="BV123" s="333"/>
      <c r="BW123" s="330"/>
      <c r="BX123" s="331"/>
      <c r="BY123" s="331"/>
      <c r="BZ123" s="340"/>
      <c r="CA123" s="316"/>
      <c r="CB123" s="318"/>
      <c r="CC123" s="318"/>
      <c r="CD123" s="318"/>
      <c r="CE123" s="318"/>
      <c r="CF123" s="318"/>
      <c r="CG123" s="318"/>
      <c r="CH123" s="318"/>
      <c r="CI123" s="338"/>
      <c r="CJ123" s="341"/>
      <c r="CK123" s="342">
        <f t="shared" ref="CK123:CK146" si="12">MINIFS(AV123:BE123,CA123:CJ123, "Y")</f>
        <v>0</v>
      </c>
      <c r="CL123" s="333">
        <f t="shared" ref="CL123:CL146" si="13">MAXIFS(AV123:BE123,CA123:CJ123, "Y")</f>
        <v>0</v>
      </c>
      <c r="CM123" s="423"/>
      <c r="CN123" s="424"/>
      <c r="CO123" s="424"/>
      <c r="CP123" s="424"/>
    </row>
    <row r="124">
      <c r="A124" s="315" t="s">
        <v>25</v>
      </c>
      <c r="B124" s="316"/>
      <c r="C124" s="417">
        <v>43622.0</v>
      </c>
      <c r="D124" s="318"/>
      <c r="E124" s="319">
        <v>2.0</v>
      </c>
      <c r="F124" s="332"/>
      <c r="G124" s="321">
        <v>0.4652777777777778</v>
      </c>
      <c r="H124" s="322"/>
      <c r="I124" s="322"/>
      <c r="J124" s="322"/>
      <c r="K124" s="323">
        <v>0.4680787037037037</v>
      </c>
      <c r="L124" s="322">
        <f t="shared" si="7"/>
        <v>0.002800925926</v>
      </c>
      <c r="M124" s="319" t="s">
        <v>167</v>
      </c>
      <c r="N124" s="324" t="s">
        <v>187</v>
      </c>
      <c r="O124" s="419" t="s">
        <v>200</v>
      </c>
      <c r="P124" s="319" t="s">
        <v>220</v>
      </c>
      <c r="Q124" s="318"/>
      <c r="R124" s="326">
        <v>9.0</v>
      </c>
      <c r="S124" s="319">
        <v>5.0</v>
      </c>
      <c r="T124" s="324">
        <v>0.55</v>
      </c>
      <c r="U124" s="319">
        <v>3.0</v>
      </c>
      <c r="V124" s="319"/>
      <c r="W124" s="319"/>
      <c r="X124" s="319"/>
      <c r="Y124" s="319"/>
      <c r="Z124" s="318"/>
      <c r="AA124" s="318"/>
      <c r="AB124" s="318"/>
      <c r="AC124" s="327">
        <v>4.0</v>
      </c>
      <c r="AD124" s="319"/>
      <c r="AE124" s="319"/>
      <c r="AF124" s="319"/>
      <c r="AG124" s="319"/>
      <c r="AH124" s="319"/>
      <c r="AI124" s="319"/>
      <c r="AJ124" s="327"/>
      <c r="AK124" s="328"/>
      <c r="AL124" s="319"/>
      <c r="AM124" s="319"/>
      <c r="AN124" s="319"/>
      <c r="AO124" s="319"/>
      <c r="AP124" s="319"/>
      <c r="AQ124" s="319"/>
      <c r="AR124" s="319"/>
      <c r="AS124" s="327"/>
      <c r="AT124" s="344"/>
      <c r="AU124" s="345" t="s">
        <v>845</v>
      </c>
      <c r="AV124" s="330">
        <f>SQRT(($R124-Infrastructure!J$3)^2+($S124-Infrastructure!K$3)^2)</f>
        <v>25.6456624</v>
      </c>
      <c r="AW124" s="331">
        <f>SQRT(($R124-Infrastructure!J$4)^2+($S124-Infrastructure!K$4)^2)</f>
        <v>15.82182038</v>
      </c>
      <c r="AX124" s="331">
        <f>SQRT(($R124-Infrastructure!J$5)^2+($S124-Infrastructure!K$5)^2)</f>
        <v>9.300537619</v>
      </c>
      <c r="AY124" s="331">
        <f>SQRT(($R124-Infrastructure!J$6)^2+($S124-Infrastructure!K$6)^2)</f>
        <v>4.827007354</v>
      </c>
      <c r="AZ124" s="331">
        <f>SQRT(($R124-Infrastructure!J$7)^2+($S124-Infrastructure!K$7)^2)</f>
        <v>12.42336508</v>
      </c>
      <c r="BA124" s="331">
        <f>SQRT(($R124-Infrastructure!J$8)^2+($S124-Infrastructure!K$8)^2)</f>
        <v>21.61712284</v>
      </c>
      <c r="BB124" s="331">
        <f>SQRT(($R124-Infrastructure!J$9)^2+($S124-Infrastructure!K$9)^2)</f>
        <v>31.00016129</v>
      </c>
      <c r="BC124" s="331">
        <f>SQRT(($R124-Infrastructure!J$10)^2+($S124-Infrastructure!K$10)^2)</f>
        <v>32.57299495</v>
      </c>
      <c r="BD124" s="318"/>
      <c r="BE124" s="332"/>
      <c r="BF124" s="330">
        <f t="shared" si="8"/>
        <v>4.827007354</v>
      </c>
      <c r="BG124" s="333">
        <f t="shared" si="9"/>
        <v>32.57299495</v>
      </c>
      <c r="BH124" s="334"/>
      <c r="BI124" s="316"/>
      <c r="BJ124" s="318"/>
      <c r="BK124" s="318"/>
      <c r="BL124" s="318"/>
      <c r="BM124" s="318"/>
      <c r="BN124" s="318"/>
      <c r="BO124" s="318"/>
      <c r="BP124" s="318"/>
      <c r="BQ124" s="338"/>
      <c r="BR124" s="420"/>
      <c r="BS124" s="330">
        <f t="shared" si="10"/>
        <v>0</v>
      </c>
      <c r="BT124" s="331">
        <f t="shared" si="11"/>
        <v>0</v>
      </c>
      <c r="BU124" s="331"/>
      <c r="BV124" s="333"/>
      <c r="BW124" s="330"/>
      <c r="BX124" s="331"/>
      <c r="BY124" s="331"/>
      <c r="BZ124" s="340"/>
      <c r="CA124" s="316"/>
      <c r="CB124" s="318"/>
      <c r="CC124" s="318"/>
      <c r="CD124" s="318"/>
      <c r="CE124" s="318"/>
      <c r="CF124" s="318"/>
      <c r="CG124" s="318"/>
      <c r="CH124" s="318"/>
      <c r="CI124" s="338"/>
      <c r="CJ124" s="341"/>
      <c r="CK124" s="342">
        <f t="shared" si="12"/>
        <v>0</v>
      </c>
      <c r="CL124" s="333">
        <f t="shared" si="13"/>
        <v>0</v>
      </c>
      <c r="CM124" s="423"/>
      <c r="CN124" s="424"/>
      <c r="CO124" s="424"/>
      <c r="CP124" s="424"/>
    </row>
    <row r="125">
      <c r="A125" s="315" t="s">
        <v>25</v>
      </c>
      <c r="B125" s="316"/>
      <c r="C125" s="417">
        <v>43622.0</v>
      </c>
      <c r="D125" s="318"/>
      <c r="E125" s="319">
        <v>3.0</v>
      </c>
      <c r="F125" s="332"/>
      <c r="G125" s="321">
        <v>0.46903935185185186</v>
      </c>
      <c r="H125" s="322"/>
      <c r="I125" s="322"/>
      <c r="J125" s="322"/>
      <c r="K125" s="323">
        <v>0.47152777777777777</v>
      </c>
      <c r="L125" s="322">
        <f t="shared" si="7"/>
        <v>0.002488425926</v>
      </c>
      <c r="M125" s="319" t="s">
        <v>167</v>
      </c>
      <c r="N125" s="324" t="s">
        <v>187</v>
      </c>
      <c r="O125" s="419" t="s">
        <v>200</v>
      </c>
      <c r="P125" s="319" t="s">
        <v>220</v>
      </c>
      <c r="Q125" s="318"/>
      <c r="R125" s="326">
        <v>9.0</v>
      </c>
      <c r="S125" s="319">
        <v>5.0</v>
      </c>
      <c r="T125" s="324">
        <v>0.55</v>
      </c>
      <c r="U125" s="319">
        <v>8.0</v>
      </c>
      <c r="V125" s="319"/>
      <c r="W125" s="319"/>
      <c r="X125" s="319"/>
      <c r="Y125" s="319"/>
      <c r="Z125" s="318"/>
      <c r="AA125" s="318"/>
      <c r="AB125" s="318"/>
      <c r="AC125" s="327">
        <v>4.0</v>
      </c>
      <c r="AD125" s="319"/>
      <c r="AE125" s="319"/>
      <c r="AF125" s="319"/>
      <c r="AG125" s="319"/>
      <c r="AH125" s="319"/>
      <c r="AI125" s="319"/>
      <c r="AJ125" s="327"/>
      <c r="AK125" s="328"/>
      <c r="AL125" s="319"/>
      <c r="AM125" s="319"/>
      <c r="AN125" s="319"/>
      <c r="AO125" s="319"/>
      <c r="AP125" s="319"/>
      <c r="AQ125" s="319"/>
      <c r="AR125" s="319"/>
      <c r="AS125" s="327"/>
      <c r="AT125" s="344"/>
      <c r="AU125" s="345" t="s">
        <v>845</v>
      </c>
      <c r="AV125" s="330">
        <f>SQRT(($R125-Infrastructure!J$3)^2+($S125-Infrastructure!K$3)^2)</f>
        <v>25.6456624</v>
      </c>
      <c r="AW125" s="331">
        <f>SQRT(($R125-Infrastructure!J$4)^2+($S125-Infrastructure!K$4)^2)</f>
        <v>15.82182038</v>
      </c>
      <c r="AX125" s="331">
        <f>SQRT(($R125-Infrastructure!J$5)^2+($S125-Infrastructure!K$5)^2)</f>
        <v>9.300537619</v>
      </c>
      <c r="AY125" s="331">
        <f>SQRT(($R125-Infrastructure!J$6)^2+($S125-Infrastructure!K$6)^2)</f>
        <v>4.827007354</v>
      </c>
      <c r="AZ125" s="331">
        <f>SQRT(($R125-Infrastructure!J$7)^2+($S125-Infrastructure!K$7)^2)</f>
        <v>12.42336508</v>
      </c>
      <c r="BA125" s="331">
        <f>SQRT(($R125-Infrastructure!J$8)^2+($S125-Infrastructure!K$8)^2)</f>
        <v>21.61712284</v>
      </c>
      <c r="BB125" s="331">
        <f>SQRT(($R125-Infrastructure!J$9)^2+($S125-Infrastructure!K$9)^2)</f>
        <v>31.00016129</v>
      </c>
      <c r="BC125" s="331">
        <f>SQRT(($R125-Infrastructure!J$10)^2+($S125-Infrastructure!K$10)^2)</f>
        <v>32.57299495</v>
      </c>
      <c r="BD125" s="318"/>
      <c r="BE125" s="332"/>
      <c r="BF125" s="330">
        <f t="shared" si="8"/>
        <v>4.827007354</v>
      </c>
      <c r="BG125" s="333">
        <f t="shared" si="9"/>
        <v>32.57299495</v>
      </c>
      <c r="BH125" s="334"/>
      <c r="BI125" s="316"/>
      <c r="BJ125" s="318"/>
      <c r="BK125" s="318"/>
      <c r="BL125" s="318"/>
      <c r="BM125" s="318"/>
      <c r="BN125" s="318"/>
      <c r="BO125" s="318"/>
      <c r="BP125" s="318"/>
      <c r="BQ125" s="338"/>
      <c r="BR125" s="420"/>
      <c r="BS125" s="330">
        <f t="shared" si="10"/>
        <v>0</v>
      </c>
      <c r="BT125" s="331">
        <f t="shared" si="11"/>
        <v>0</v>
      </c>
      <c r="BU125" s="331"/>
      <c r="BV125" s="333"/>
      <c r="BW125" s="330"/>
      <c r="BX125" s="331"/>
      <c r="BY125" s="331"/>
      <c r="BZ125" s="340"/>
      <c r="CA125" s="316"/>
      <c r="CB125" s="318"/>
      <c r="CC125" s="318"/>
      <c r="CD125" s="318"/>
      <c r="CE125" s="318"/>
      <c r="CF125" s="318"/>
      <c r="CG125" s="318"/>
      <c r="CH125" s="318"/>
      <c r="CI125" s="338"/>
      <c r="CJ125" s="341"/>
      <c r="CK125" s="342">
        <f t="shared" si="12"/>
        <v>0</v>
      </c>
      <c r="CL125" s="333">
        <f t="shared" si="13"/>
        <v>0</v>
      </c>
      <c r="CM125" s="423"/>
      <c r="CN125" s="424"/>
      <c r="CO125" s="424"/>
      <c r="CP125" s="424"/>
    </row>
    <row r="126">
      <c r="A126" s="315" t="s">
        <v>25</v>
      </c>
      <c r="B126" s="316"/>
      <c r="C126" s="417">
        <v>43622.0</v>
      </c>
      <c r="D126" s="318"/>
      <c r="E126" s="319">
        <v>4.0</v>
      </c>
      <c r="F126" s="332"/>
      <c r="G126" s="321">
        <v>0.4749421296296296</v>
      </c>
      <c r="H126" s="322"/>
      <c r="I126" s="322"/>
      <c r="J126" s="322"/>
      <c r="K126" s="323">
        <v>0.47638888888888886</v>
      </c>
      <c r="L126" s="322">
        <f t="shared" si="7"/>
        <v>0.001446759259</v>
      </c>
      <c r="M126" s="319" t="s">
        <v>167</v>
      </c>
      <c r="N126" s="324" t="s">
        <v>187</v>
      </c>
      <c r="O126" s="419" t="s">
        <v>200</v>
      </c>
      <c r="P126" s="319" t="s">
        <v>220</v>
      </c>
      <c r="Q126" s="318"/>
      <c r="R126" s="326">
        <v>24.5</v>
      </c>
      <c r="S126" s="319">
        <v>6.0</v>
      </c>
      <c r="T126" s="324">
        <v>0.55</v>
      </c>
      <c r="U126" s="319">
        <v>0.3</v>
      </c>
      <c r="V126" s="319"/>
      <c r="W126" s="319"/>
      <c r="X126" s="319"/>
      <c r="Y126" s="319"/>
      <c r="Z126" s="318"/>
      <c r="AA126" s="318"/>
      <c r="AB126" s="318"/>
      <c r="AC126" s="327">
        <v>1.0</v>
      </c>
      <c r="AD126" s="319"/>
      <c r="AE126" s="319"/>
      <c r="AF126" s="319"/>
      <c r="AG126" s="319"/>
      <c r="AH126" s="319"/>
      <c r="AI126" s="319"/>
      <c r="AJ126" s="327"/>
      <c r="AK126" s="328"/>
      <c r="AL126" s="319"/>
      <c r="AM126" s="319"/>
      <c r="AN126" s="319"/>
      <c r="AO126" s="319"/>
      <c r="AP126" s="319"/>
      <c r="AQ126" s="319"/>
      <c r="AR126" s="319"/>
      <c r="AS126" s="327"/>
      <c r="AT126" s="344"/>
      <c r="AU126" s="345" t="s">
        <v>845</v>
      </c>
      <c r="AV126" s="330">
        <f>SQRT(($R126-Infrastructure!J$3)^2+($S126-Infrastructure!K$3)^2)</f>
        <v>33.75574025</v>
      </c>
      <c r="AW126" s="331">
        <f>SQRT(($R126-Infrastructure!J$4)^2+($S126-Infrastructure!K$4)^2)</f>
        <v>27.46415846</v>
      </c>
      <c r="AX126" s="331">
        <f>SQRT(($R126-Infrastructure!J$5)^2+($S126-Infrastructure!K$5)^2)</f>
        <v>24.81632527</v>
      </c>
      <c r="AY126" s="331">
        <f>SQRT(($R126-Infrastructure!J$6)^2+($S126-Infrastructure!K$6)^2)</f>
        <v>15.4870914</v>
      </c>
      <c r="AZ126" s="331">
        <f>SQRT(($R126-Infrastructure!J$7)^2+($S126-Infrastructure!K$7)^2)</f>
        <v>6.963476143</v>
      </c>
      <c r="BA126" s="331">
        <f>SQRT(($R126-Infrastructure!J$8)^2+($S126-Infrastructure!K$8)^2)</f>
        <v>7.9906195</v>
      </c>
      <c r="BB126" s="331">
        <f>SQRT(($R126-Infrastructure!J$9)^2+($S126-Infrastructure!K$9)^2)</f>
        <v>15.52610705</v>
      </c>
      <c r="BC126" s="331">
        <f>SQRT(($R126-Infrastructure!J$10)^2+($S126-Infrastructure!K$10)^2)</f>
        <v>17.92344833</v>
      </c>
      <c r="BD126" s="318"/>
      <c r="BE126" s="332"/>
      <c r="BF126" s="330">
        <f t="shared" si="8"/>
        <v>6.963476143</v>
      </c>
      <c r="BG126" s="333">
        <f t="shared" si="9"/>
        <v>33.75574025</v>
      </c>
      <c r="BH126" s="334"/>
      <c r="BI126" s="316"/>
      <c r="BJ126" s="318"/>
      <c r="BK126" s="318"/>
      <c r="BL126" s="318"/>
      <c r="BM126" s="318"/>
      <c r="BN126" s="318"/>
      <c r="BO126" s="318"/>
      <c r="BP126" s="318"/>
      <c r="BQ126" s="338"/>
      <c r="BR126" s="420"/>
      <c r="BS126" s="330">
        <f t="shared" si="10"/>
        <v>0</v>
      </c>
      <c r="BT126" s="331">
        <f t="shared" si="11"/>
        <v>0</v>
      </c>
      <c r="BU126" s="331"/>
      <c r="BV126" s="333"/>
      <c r="BW126" s="330"/>
      <c r="BX126" s="331"/>
      <c r="BY126" s="331"/>
      <c r="BZ126" s="340"/>
      <c r="CA126" s="316"/>
      <c r="CB126" s="318"/>
      <c r="CC126" s="318"/>
      <c r="CD126" s="318"/>
      <c r="CE126" s="318"/>
      <c r="CF126" s="318"/>
      <c r="CG126" s="318"/>
      <c r="CH126" s="318"/>
      <c r="CI126" s="338"/>
      <c r="CJ126" s="341"/>
      <c r="CK126" s="342">
        <f t="shared" si="12"/>
        <v>0</v>
      </c>
      <c r="CL126" s="333">
        <f t="shared" si="13"/>
        <v>0</v>
      </c>
      <c r="CM126" s="423"/>
      <c r="CN126" s="424"/>
      <c r="CO126" s="424"/>
      <c r="CP126" s="424"/>
    </row>
    <row r="127">
      <c r="A127" s="315" t="s">
        <v>25</v>
      </c>
      <c r="B127" s="316"/>
      <c r="C127" s="417">
        <v>43622.0</v>
      </c>
      <c r="D127" s="318"/>
      <c r="E127" s="319">
        <v>5.0</v>
      </c>
      <c r="F127" s="332"/>
      <c r="G127" s="321">
        <v>0.48466435185185186</v>
      </c>
      <c r="H127" s="322"/>
      <c r="I127" s="322"/>
      <c r="J127" s="322"/>
      <c r="K127" s="323">
        <v>0.4861111111111111</v>
      </c>
      <c r="L127" s="322">
        <f t="shared" si="7"/>
        <v>0.001446759259</v>
      </c>
      <c r="M127" s="319" t="s">
        <v>167</v>
      </c>
      <c r="N127" s="324" t="s">
        <v>187</v>
      </c>
      <c r="O127" s="419" t="s">
        <v>200</v>
      </c>
      <c r="P127" s="319" t="s">
        <v>220</v>
      </c>
      <c r="Q127" s="318"/>
      <c r="R127" s="326">
        <v>24.5</v>
      </c>
      <c r="S127" s="319">
        <v>6.0</v>
      </c>
      <c r="T127" s="324">
        <v>0.55</v>
      </c>
      <c r="U127" s="319">
        <v>2.0</v>
      </c>
      <c r="V127" s="319"/>
      <c r="W127" s="319"/>
      <c r="X127" s="319"/>
      <c r="Y127" s="319"/>
      <c r="Z127" s="318"/>
      <c r="AA127" s="318"/>
      <c r="AB127" s="318"/>
      <c r="AC127" s="327">
        <v>3.0</v>
      </c>
      <c r="AD127" s="319"/>
      <c r="AE127" s="319"/>
      <c r="AF127" s="319"/>
      <c r="AG127" s="319"/>
      <c r="AH127" s="319"/>
      <c r="AI127" s="319"/>
      <c r="AJ127" s="327"/>
      <c r="AK127" s="328"/>
      <c r="AL127" s="319"/>
      <c r="AM127" s="319"/>
      <c r="AN127" s="319"/>
      <c r="AO127" s="319"/>
      <c r="AP127" s="319"/>
      <c r="AQ127" s="319"/>
      <c r="AR127" s="319"/>
      <c r="AS127" s="327"/>
      <c r="AT127" s="344"/>
      <c r="AU127" s="345" t="s">
        <v>845</v>
      </c>
      <c r="AV127" s="330">
        <f>SQRT(($R127-Infrastructure!J$3)^2+($S127-Infrastructure!K$3)^2)</f>
        <v>33.75574025</v>
      </c>
      <c r="AW127" s="331">
        <f>SQRT(($R127-Infrastructure!J$4)^2+($S127-Infrastructure!K$4)^2)</f>
        <v>27.46415846</v>
      </c>
      <c r="AX127" s="331">
        <f>SQRT(($R127-Infrastructure!J$5)^2+($S127-Infrastructure!K$5)^2)</f>
        <v>24.81632527</v>
      </c>
      <c r="AY127" s="331">
        <f>SQRT(($R127-Infrastructure!J$6)^2+($S127-Infrastructure!K$6)^2)</f>
        <v>15.4870914</v>
      </c>
      <c r="AZ127" s="331">
        <f>SQRT(($R127-Infrastructure!J$7)^2+($S127-Infrastructure!K$7)^2)</f>
        <v>6.963476143</v>
      </c>
      <c r="BA127" s="331">
        <f>SQRT(($R127-Infrastructure!J$8)^2+($S127-Infrastructure!K$8)^2)</f>
        <v>7.9906195</v>
      </c>
      <c r="BB127" s="331">
        <f>SQRT(($R127-Infrastructure!J$9)^2+($S127-Infrastructure!K$9)^2)</f>
        <v>15.52610705</v>
      </c>
      <c r="BC127" s="331">
        <f>SQRT(($R127-Infrastructure!J$10)^2+($S127-Infrastructure!K$10)^2)</f>
        <v>17.92344833</v>
      </c>
      <c r="BD127" s="318"/>
      <c r="BE127" s="332"/>
      <c r="BF127" s="330">
        <f t="shared" si="8"/>
        <v>6.963476143</v>
      </c>
      <c r="BG127" s="333">
        <f t="shared" si="9"/>
        <v>33.75574025</v>
      </c>
      <c r="BH127" s="334"/>
      <c r="BI127" s="316"/>
      <c r="BJ127" s="318"/>
      <c r="BK127" s="318"/>
      <c r="BL127" s="318"/>
      <c r="BM127" s="318"/>
      <c r="BN127" s="318"/>
      <c r="BO127" s="318"/>
      <c r="BP127" s="318"/>
      <c r="BQ127" s="338"/>
      <c r="BR127" s="420"/>
      <c r="BS127" s="330">
        <f t="shared" si="10"/>
        <v>0</v>
      </c>
      <c r="BT127" s="331">
        <f t="shared" si="11"/>
        <v>0</v>
      </c>
      <c r="BU127" s="331"/>
      <c r="BV127" s="333"/>
      <c r="BW127" s="330"/>
      <c r="BX127" s="331"/>
      <c r="BY127" s="331"/>
      <c r="BZ127" s="340"/>
      <c r="CA127" s="316"/>
      <c r="CB127" s="318"/>
      <c r="CC127" s="318"/>
      <c r="CD127" s="318"/>
      <c r="CE127" s="318"/>
      <c r="CF127" s="318"/>
      <c r="CG127" s="318"/>
      <c r="CH127" s="318"/>
      <c r="CI127" s="338"/>
      <c r="CJ127" s="341"/>
      <c r="CK127" s="342">
        <f t="shared" si="12"/>
        <v>0</v>
      </c>
      <c r="CL127" s="333">
        <f t="shared" si="13"/>
        <v>0</v>
      </c>
      <c r="CM127" s="423"/>
      <c r="CN127" s="424"/>
      <c r="CO127" s="424"/>
      <c r="CP127" s="424"/>
    </row>
    <row r="128">
      <c r="A128" s="315" t="s">
        <v>25</v>
      </c>
      <c r="B128" s="316"/>
      <c r="C128" s="417">
        <v>43622.0</v>
      </c>
      <c r="D128" s="318"/>
      <c r="E128" s="319">
        <v>6.0</v>
      </c>
      <c r="F128" s="332"/>
      <c r="G128" s="321">
        <v>0.48744212962962963</v>
      </c>
      <c r="H128" s="322"/>
      <c r="I128" s="322"/>
      <c r="J128" s="322"/>
      <c r="K128" s="323">
        <v>0.4899537037037037</v>
      </c>
      <c r="L128" s="322">
        <f t="shared" si="7"/>
        <v>0.002511574074</v>
      </c>
      <c r="M128" s="319" t="s">
        <v>167</v>
      </c>
      <c r="N128" s="324" t="s">
        <v>187</v>
      </c>
      <c r="O128" s="419" t="s">
        <v>200</v>
      </c>
      <c r="P128" s="319" t="s">
        <v>220</v>
      </c>
      <c r="Q128" s="318"/>
      <c r="R128" s="326">
        <v>24.5</v>
      </c>
      <c r="S128" s="319">
        <v>6.0</v>
      </c>
      <c r="T128" s="324">
        <v>0.55</v>
      </c>
      <c r="U128" s="319">
        <v>5.0</v>
      </c>
      <c r="V128" s="319"/>
      <c r="W128" s="319"/>
      <c r="X128" s="319"/>
      <c r="Y128" s="319"/>
      <c r="Z128" s="318"/>
      <c r="AA128" s="318"/>
      <c r="AB128" s="318"/>
      <c r="AC128" s="327">
        <v>3.0</v>
      </c>
      <c r="AD128" s="319"/>
      <c r="AE128" s="319"/>
      <c r="AF128" s="319"/>
      <c r="AG128" s="319"/>
      <c r="AH128" s="319"/>
      <c r="AI128" s="319"/>
      <c r="AJ128" s="327"/>
      <c r="AK128" s="328"/>
      <c r="AL128" s="319"/>
      <c r="AM128" s="319"/>
      <c r="AN128" s="319"/>
      <c r="AO128" s="319"/>
      <c r="AP128" s="319"/>
      <c r="AQ128" s="319"/>
      <c r="AR128" s="319"/>
      <c r="AS128" s="327"/>
      <c r="AT128" s="344"/>
      <c r="AU128" s="345" t="s">
        <v>845</v>
      </c>
      <c r="AV128" s="330">
        <f>SQRT(($R128-Infrastructure!J$3)^2+($S128-Infrastructure!K$3)^2)</f>
        <v>33.75574025</v>
      </c>
      <c r="AW128" s="331">
        <f>SQRT(($R128-Infrastructure!J$4)^2+($S128-Infrastructure!K$4)^2)</f>
        <v>27.46415846</v>
      </c>
      <c r="AX128" s="331">
        <f>SQRT(($R128-Infrastructure!J$5)^2+($S128-Infrastructure!K$5)^2)</f>
        <v>24.81632527</v>
      </c>
      <c r="AY128" s="331">
        <f>SQRT(($R128-Infrastructure!J$6)^2+($S128-Infrastructure!K$6)^2)</f>
        <v>15.4870914</v>
      </c>
      <c r="AZ128" s="331">
        <f>SQRT(($R128-Infrastructure!J$7)^2+($S128-Infrastructure!K$7)^2)</f>
        <v>6.963476143</v>
      </c>
      <c r="BA128" s="331">
        <f>SQRT(($R128-Infrastructure!J$8)^2+($S128-Infrastructure!K$8)^2)</f>
        <v>7.9906195</v>
      </c>
      <c r="BB128" s="331">
        <f>SQRT(($R128-Infrastructure!J$9)^2+($S128-Infrastructure!K$9)^2)</f>
        <v>15.52610705</v>
      </c>
      <c r="BC128" s="331">
        <f>SQRT(($R128-Infrastructure!J$10)^2+($S128-Infrastructure!K$10)^2)</f>
        <v>17.92344833</v>
      </c>
      <c r="BD128" s="318"/>
      <c r="BE128" s="332"/>
      <c r="BF128" s="330">
        <f t="shared" si="8"/>
        <v>6.963476143</v>
      </c>
      <c r="BG128" s="333">
        <f t="shared" si="9"/>
        <v>33.75574025</v>
      </c>
      <c r="BH128" s="334"/>
      <c r="BI128" s="316"/>
      <c r="BJ128" s="318"/>
      <c r="BK128" s="318"/>
      <c r="BL128" s="318"/>
      <c r="BM128" s="318"/>
      <c r="BN128" s="318"/>
      <c r="BO128" s="318"/>
      <c r="BP128" s="318"/>
      <c r="BQ128" s="338"/>
      <c r="BR128" s="420"/>
      <c r="BS128" s="330">
        <f t="shared" si="10"/>
        <v>0</v>
      </c>
      <c r="BT128" s="331">
        <f t="shared" si="11"/>
        <v>0</v>
      </c>
      <c r="BU128" s="331"/>
      <c r="BV128" s="333"/>
      <c r="BW128" s="330"/>
      <c r="BX128" s="331"/>
      <c r="BY128" s="331"/>
      <c r="BZ128" s="340"/>
      <c r="CA128" s="316"/>
      <c r="CB128" s="318"/>
      <c r="CC128" s="318"/>
      <c r="CD128" s="318"/>
      <c r="CE128" s="318"/>
      <c r="CF128" s="318"/>
      <c r="CG128" s="318"/>
      <c r="CH128" s="318"/>
      <c r="CI128" s="338"/>
      <c r="CJ128" s="341"/>
      <c r="CK128" s="342">
        <f t="shared" si="12"/>
        <v>0</v>
      </c>
      <c r="CL128" s="333">
        <f t="shared" si="13"/>
        <v>0</v>
      </c>
      <c r="CM128" s="423"/>
      <c r="CN128" s="424"/>
      <c r="CO128" s="424"/>
      <c r="CP128" s="424"/>
    </row>
    <row r="129">
      <c r="A129" s="315" t="s">
        <v>25</v>
      </c>
      <c r="B129" s="316"/>
      <c r="C129" s="417">
        <v>43622.0</v>
      </c>
      <c r="D129" s="318"/>
      <c r="E129" s="319">
        <v>7.0</v>
      </c>
      <c r="F129" s="332"/>
      <c r="G129" s="321">
        <v>0.49438657407407405</v>
      </c>
      <c r="H129" s="322"/>
      <c r="I129" s="322"/>
      <c r="J129" s="322"/>
      <c r="K129" s="323">
        <v>0.4982175925925926</v>
      </c>
      <c r="L129" s="322">
        <f t="shared" si="7"/>
        <v>0.003831018519</v>
      </c>
      <c r="M129" s="319" t="s">
        <v>167</v>
      </c>
      <c r="N129" s="324" t="s">
        <v>187</v>
      </c>
      <c r="O129" s="419" t="s">
        <v>201</v>
      </c>
      <c r="P129" s="319" t="s">
        <v>220</v>
      </c>
      <c r="Q129" s="318"/>
      <c r="R129" s="326">
        <v>16.0</v>
      </c>
      <c r="S129" s="319">
        <v>15.0</v>
      </c>
      <c r="T129" s="324">
        <v>0.55</v>
      </c>
      <c r="U129" s="319">
        <v>1.5</v>
      </c>
      <c r="V129" s="319"/>
      <c r="W129" s="319"/>
      <c r="X129" s="319"/>
      <c r="Y129" s="319"/>
      <c r="Z129" s="318"/>
      <c r="AA129" s="318"/>
      <c r="AB129" s="318"/>
      <c r="AC129" s="327">
        <v>2.5</v>
      </c>
      <c r="AD129" s="319"/>
      <c r="AE129" s="319"/>
      <c r="AF129" s="319"/>
      <c r="AG129" s="319"/>
      <c r="AH129" s="319"/>
      <c r="AI129" s="319"/>
      <c r="AJ129" s="327"/>
      <c r="AK129" s="328"/>
      <c r="AL129" s="319"/>
      <c r="AM129" s="319"/>
      <c r="AN129" s="319"/>
      <c r="AO129" s="319"/>
      <c r="AP129" s="319"/>
      <c r="AQ129" s="319"/>
      <c r="AR129" s="319"/>
      <c r="AS129" s="327"/>
      <c r="AT129" s="344"/>
      <c r="AU129" s="345" t="s">
        <v>845</v>
      </c>
      <c r="AV129" s="330">
        <f>SQRT(($R129-Infrastructure!J$3)^2+($S129-Infrastructure!K$3)^2)</f>
        <v>21.42195136</v>
      </c>
      <c r="AW129" s="331">
        <f>SQRT(($R129-Infrastructure!J$4)^2+($S129-Infrastructure!K$4)^2)</f>
        <v>16.53874239</v>
      </c>
      <c r="AX129" s="331">
        <f>SQRT(($R129-Infrastructure!J$5)^2+($S129-Infrastructure!K$5)^2)</f>
        <v>19.07092027</v>
      </c>
      <c r="AY129" s="331">
        <f>SQRT(($R129-Infrastructure!J$6)^2+($S129-Infrastructure!K$6)^2)</f>
        <v>15.83982323</v>
      </c>
      <c r="AZ129" s="331">
        <f>SQRT(($R129-Infrastructure!J$7)^2+($S129-Infrastructure!K$7)^2)</f>
        <v>15.37335357</v>
      </c>
      <c r="BA129" s="331">
        <f>SQRT(($R129-Infrastructure!J$8)^2+($S129-Infrastructure!K$8)^2)</f>
        <v>20.36909424</v>
      </c>
      <c r="BB129" s="331">
        <f>SQRT(($R129-Infrastructure!J$9)^2+($S129-Infrastructure!K$9)^2)</f>
        <v>25.96170256</v>
      </c>
      <c r="BC129" s="331">
        <f>SQRT(($R129-Infrastructure!J$10)^2+($S129-Infrastructure!K$10)^2)</f>
        <v>24</v>
      </c>
      <c r="BD129" s="318"/>
      <c r="BE129" s="332"/>
      <c r="BF129" s="330">
        <f t="shared" si="8"/>
        <v>15.37335357</v>
      </c>
      <c r="BG129" s="333">
        <f t="shared" si="9"/>
        <v>25.96170256</v>
      </c>
      <c r="BH129" s="334"/>
      <c r="BI129" s="316"/>
      <c r="BJ129" s="318"/>
      <c r="BK129" s="318"/>
      <c r="BL129" s="318"/>
      <c r="BM129" s="318"/>
      <c r="BN129" s="318"/>
      <c r="BO129" s="318"/>
      <c r="BP129" s="318"/>
      <c r="BQ129" s="338"/>
      <c r="BR129" s="420"/>
      <c r="BS129" s="330">
        <f t="shared" si="10"/>
        <v>0</v>
      </c>
      <c r="BT129" s="331">
        <f t="shared" si="11"/>
        <v>0</v>
      </c>
      <c r="BU129" s="331"/>
      <c r="BV129" s="333"/>
      <c r="BW129" s="330"/>
      <c r="BX129" s="331"/>
      <c r="BY129" s="331"/>
      <c r="BZ129" s="340"/>
      <c r="CA129" s="316"/>
      <c r="CB129" s="318"/>
      <c r="CC129" s="318"/>
      <c r="CD129" s="318"/>
      <c r="CE129" s="318"/>
      <c r="CF129" s="318"/>
      <c r="CG129" s="318"/>
      <c r="CH129" s="318"/>
      <c r="CI129" s="338"/>
      <c r="CJ129" s="341"/>
      <c r="CK129" s="342">
        <f t="shared" si="12"/>
        <v>0</v>
      </c>
      <c r="CL129" s="333">
        <f t="shared" si="13"/>
        <v>0</v>
      </c>
      <c r="CM129" s="423"/>
      <c r="CN129" s="424"/>
      <c r="CO129" s="424"/>
      <c r="CP129" s="424"/>
    </row>
    <row r="130">
      <c r="A130" s="315" t="s">
        <v>25</v>
      </c>
      <c r="B130" s="316"/>
      <c r="C130" s="417">
        <v>43622.0</v>
      </c>
      <c r="D130" s="318"/>
      <c r="E130" s="319">
        <v>8.0</v>
      </c>
      <c r="F130" s="332"/>
      <c r="G130" s="321">
        <v>0.4995949074074074</v>
      </c>
      <c r="H130" s="322"/>
      <c r="I130" s="322"/>
      <c r="J130" s="322"/>
      <c r="K130" s="323">
        <v>0.5013310185185185</v>
      </c>
      <c r="L130" s="322">
        <f t="shared" si="7"/>
        <v>0.001736111111</v>
      </c>
      <c r="M130" s="319" t="s">
        <v>167</v>
      </c>
      <c r="N130" s="324" t="s">
        <v>187</v>
      </c>
      <c r="O130" s="419" t="s">
        <v>201</v>
      </c>
      <c r="P130" s="319" t="s">
        <v>220</v>
      </c>
      <c r="Q130" s="318"/>
      <c r="R130" s="326">
        <v>16.0</v>
      </c>
      <c r="S130" s="319">
        <v>15.0</v>
      </c>
      <c r="T130" s="324">
        <v>0.55</v>
      </c>
      <c r="U130" s="319">
        <v>3.0</v>
      </c>
      <c r="V130" s="319"/>
      <c r="W130" s="319"/>
      <c r="X130" s="319"/>
      <c r="Y130" s="319"/>
      <c r="Z130" s="318"/>
      <c r="AA130" s="318"/>
      <c r="AB130" s="318"/>
      <c r="AC130" s="327">
        <v>2.5</v>
      </c>
      <c r="AD130" s="319"/>
      <c r="AE130" s="319"/>
      <c r="AF130" s="319"/>
      <c r="AG130" s="319"/>
      <c r="AH130" s="319"/>
      <c r="AI130" s="319"/>
      <c r="AJ130" s="327"/>
      <c r="AK130" s="328"/>
      <c r="AL130" s="319"/>
      <c r="AM130" s="319"/>
      <c r="AN130" s="319"/>
      <c r="AO130" s="319"/>
      <c r="AP130" s="319"/>
      <c r="AQ130" s="319"/>
      <c r="AR130" s="319"/>
      <c r="AS130" s="327"/>
      <c r="AT130" s="344"/>
      <c r="AU130" s="345" t="s">
        <v>845</v>
      </c>
      <c r="AV130" s="330">
        <f>SQRT(($R130-Infrastructure!J$3)^2+($S130-Infrastructure!K$3)^2)</f>
        <v>21.42195136</v>
      </c>
      <c r="AW130" s="331">
        <f>SQRT(($R130-Infrastructure!J$4)^2+($S130-Infrastructure!K$4)^2)</f>
        <v>16.53874239</v>
      </c>
      <c r="AX130" s="331">
        <f>SQRT(($R130-Infrastructure!J$5)^2+($S130-Infrastructure!K$5)^2)</f>
        <v>19.07092027</v>
      </c>
      <c r="AY130" s="331">
        <f>SQRT(($R130-Infrastructure!J$6)^2+($S130-Infrastructure!K$6)^2)</f>
        <v>15.83982323</v>
      </c>
      <c r="AZ130" s="331">
        <f>SQRT(($R130-Infrastructure!J$7)^2+($S130-Infrastructure!K$7)^2)</f>
        <v>15.37335357</v>
      </c>
      <c r="BA130" s="331">
        <f>SQRT(($R130-Infrastructure!J$8)^2+($S130-Infrastructure!K$8)^2)</f>
        <v>20.36909424</v>
      </c>
      <c r="BB130" s="331">
        <f>SQRT(($R130-Infrastructure!J$9)^2+($S130-Infrastructure!K$9)^2)</f>
        <v>25.96170256</v>
      </c>
      <c r="BC130" s="331">
        <f>SQRT(($R130-Infrastructure!J$10)^2+($S130-Infrastructure!K$10)^2)</f>
        <v>24</v>
      </c>
      <c r="BD130" s="318"/>
      <c r="BE130" s="332"/>
      <c r="BF130" s="330">
        <f t="shared" si="8"/>
        <v>15.37335357</v>
      </c>
      <c r="BG130" s="333">
        <f t="shared" si="9"/>
        <v>25.96170256</v>
      </c>
      <c r="BH130" s="334"/>
      <c r="BI130" s="316"/>
      <c r="BJ130" s="318"/>
      <c r="BK130" s="318"/>
      <c r="BL130" s="318"/>
      <c r="BM130" s="318"/>
      <c r="BN130" s="318"/>
      <c r="BO130" s="318"/>
      <c r="BP130" s="318"/>
      <c r="BQ130" s="338"/>
      <c r="BR130" s="420"/>
      <c r="BS130" s="330">
        <f t="shared" si="10"/>
        <v>0</v>
      </c>
      <c r="BT130" s="331">
        <f t="shared" si="11"/>
        <v>0</v>
      </c>
      <c r="BU130" s="331"/>
      <c r="BV130" s="333"/>
      <c r="BW130" s="330"/>
      <c r="BX130" s="331"/>
      <c r="BY130" s="331"/>
      <c r="BZ130" s="340"/>
      <c r="CA130" s="316"/>
      <c r="CB130" s="318"/>
      <c r="CC130" s="318"/>
      <c r="CD130" s="318"/>
      <c r="CE130" s="318"/>
      <c r="CF130" s="318"/>
      <c r="CG130" s="318"/>
      <c r="CH130" s="318"/>
      <c r="CI130" s="338"/>
      <c r="CJ130" s="341"/>
      <c r="CK130" s="342">
        <f t="shared" si="12"/>
        <v>0</v>
      </c>
      <c r="CL130" s="333">
        <f t="shared" si="13"/>
        <v>0</v>
      </c>
      <c r="CM130" s="423"/>
      <c r="CN130" s="424"/>
      <c r="CO130" s="424"/>
      <c r="CP130" s="424"/>
    </row>
    <row r="131">
      <c r="A131" s="315" t="s">
        <v>25</v>
      </c>
      <c r="B131" s="316"/>
      <c r="C131" s="417">
        <v>43622.0</v>
      </c>
      <c r="D131" s="318"/>
      <c r="E131" s="319">
        <v>9.0</v>
      </c>
      <c r="F131" s="332"/>
      <c r="G131" s="321">
        <v>0.5027199074074075</v>
      </c>
      <c r="H131" s="322"/>
      <c r="I131" s="322"/>
      <c r="J131" s="322"/>
      <c r="K131" s="323">
        <v>0.5044791666666667</v>
      </c>
      <c r="L131" s="322">
        <f t="shared" si="7"/>
        <v>0.001759259259</v>
      </c>
      <c r="M131" s="319" t="s">
        <v>167</v>
      </c>
      <c r="N131" s="324" t="s">
        <v>187</v>
      </c>
      <c r="O131" s="419" t="s">
        <v>201</v>
      </c>
      <c r="P131" s="319" t="s">
        <v>220</v>
      </c>
      <c r="Q131" s="318"/>
      <c r="R131" s="326">
        <v>16.0</v>
      </c>
      <c r="S131" s="319">
        <v>15.0</v>
      </c>
      <c r="T131" s="324">
        <v>0.55</v>
      </c>
      <c r="U131" s="319">
        <v>4.0</v>
      </c>
      <c r="V131" s="319"/>
      <c r="W131" s="319"/>
      <c r="X131" s="319"/>
      <c r="Y131" s="319"/>
      <c r="Z131" s="318"/>
      <c r="AA131" s="318"/>
      <c r="AB131" s="318"/>
      <c r="AC131" s="327">
        <v>2.5</v>
      </c>
      <c r="AD131" s="319"/>
      <c r="AE131" s="319"/>
      <c r="AF131" s="319"/>
      <c r="AG131" s="319"/>
      <c r="AH131" s="319"/>
      <c r="AI131" s="319"/>
      <c r="AJ131" s="327"/>
      <c r="AK131" s="328"/>
      <c r="AL131" s="319"/>
      <c r="AM131" s="319"/>
      <c r="AN131" s="319"/>
      <c r="AO131" s="319"/>
      <c r="AP131" s="319"/>
      <c r="AQ131" s="319"/>
      <c r="AR131" s="319"/>
      <c r="AS131" s="327"/>
      <c r="AT131" s="344"/>
      <c r="AU131" s="345" t="s">
        <v>845</v>
      </c>
      <c r="AV131" s="330">
        <f>SQRT(($R131-Infrastructure!J$3)^2+($S131-Infrastructure!K$3)^2)</f>
        <v>21.42195136</v>
      </c>
      <c r="AW131" s="331">
        <f>SQRT(($R131-Infrastructure!J$4)^2+($S131-Infrastructure!K$4)^2)</f>
        <v>16.53874239</v>
      </c>
      <c r="AX131" s="331">
        <f>SQRT(($R131-Infrastructure!J$5)^2+($S131-Infrastructure!K$5)^2)</f>
        <v>19.07092027</v>
      </c>
      <c r="AY131" s="331">
        <f>SQRT(($R131-Infrastructure!J$6)^2+($S131-Infrastructure!K$6)^2)</f>
        <v>15.83982323</v>
      </c>
      <c r="AZ131" s="331">
        <f>SQRT(($R131-Infrastructure!J$7)^2+($S131-Infrastructure!K$7)^2)</f>
        <v>15.37335357</v>
      </c>
      <c r="BA131" s="331">
        <f>SQRT(($R131-Infrastructure!J$8)^2+($S131-Infrastructure!K$8)^2)</f>
        <v>20.36909424</v>
      </c>
      <c r="BB131" s="331">
        <f>SQRT(($R131-Infrastructure!J$9)^2+($S131-Infrastructure!K$9)^2)</f>
        <v>25.96170256</v>
      </c>
      <c r="BC131" s="331">
        <f>SQRT(($R131-Infrastructure!J$10)^2+($S131-Infrastructure!K$10)^2)</f>
        <v>24</v>
      </c>
      <c r="BD131" s="318"/>
      <c r="BE131" s="332"/>
      <c r="BF131" s="330">
        <f t="shared" si="8"/>
        <v>15.37335357</v>
      </c>
      <c r="BG131" s="333">
        <f t="shared" si="9"/>
        <v>25.96170256</v>
      </c>
      <c r="BH131" s="334"/>
      <c r="BI131" s="316"/>
      <c r="BJ131" s="318"/>
      <c r="BK131" s="318"/>
      <c r="BL131" s="318"/>
      <c r="BM131" s="318"/>
      <c r="BN131" s="318"/>
      <c r="BO131" s="318"/>
      <c r="BP131" s="318"/>
      <c r="BQ131" s="338"/>
      <c r="BR131" s="420"/>
      <c r="BS131" s="330">
        <f t="shared" si="10"/>
        <v>0</v>
      </c>
      <c r="BT131" s="331">
        <f t="shared" si="11"/>
        <v>0</v>
      </c>
      <c r="BU131" s="331"/>
      <c r="BV131" s="333"/>
      <c r="BW131" s="330"/>
      <c r="BX131" s="331"/>
      <c r="BY131" s="331"/>
      <c r="BZ131" s="340"/>
      <c r="CA131" s="316"/>
      <c r="CB131" s="318"/>
      <c r="CC131" s="318"/>
      <c r="CD131" s="318"/>
      <c r="CE131" s="318"/>
      <c r="CF131" s="318"/>
      <c r="CG131" s="318"/>
      <c r="CH131" s="318"/>
      <c r="CI131" s="338"/>
      <c r="CJ131" s="341"/>
      <c r="CK131" s="342">
        <f t="shared" si="12"/>
        <v>0</v>
      </c>
      <c r="CL131" s="333">
        <f t="shared" si="13"/>
        <v>0</v>
      </c>
      <c r="CM131" s="423"/>
      <c r="CN131" s="424"/>
      <c r="CO131" s="424"/>
      <c r="CP131" s="424"/>
    </row>
    <row r="132">
      <c r="A132" s="315" t="s">
        <v>25</v>
      </c>
      <c r="B132" s="316"/>
      <c r="C132" s="417">
        <v>43622.0</v>
      </c>
      <c r="D132" s="318"/>
      <c r="E132" s="319">
        <v>10.0</v>
      </c>
      <c r="F132" s="332"/>
      <c r="G132" s="321">
        <v>0.5909375</v>
      </c>
      <c r="H132" s="322"/>
      <c r="I132" s="322"/>
      <c r="J132" s="322"/>
      <c r="K132" s="323">
        <v>0.5923611111111111</v>
      </c>
      <c r="L132" s="322">
        <f t="shared" si="7"/>
        <v>0.001423611111</v>
      </c>
      <c r="M132" s="319" t="s">
        <v>167</v>
      </c>
      <c r="N132" s="324" t="s">
        <v>187</v>
      </c>
      <c r="O132" s="419" t="s">
        <v>1071</v>
      </c>
      <c r="P132" s="319" t="s">
        <v>255</v>
      </c>
      <c r="Q132" s="318"/>
      <c r="R132" s="326">
        <v>24.5</v>
      </c>
      <c r="S132" s="319">
        <v>8.5</v>
      </c>
      <c r="T132" s="324">
        <v>0.89</v>
      </c>
      <c r="U132" s="319">
        <v>1.0</v>
      </c>
      <c r="V132" s="319"/>
      <c r="W132" s="319"/>
      <c r="X132" s="319"/>
      <c r="Y132" s="319"/>
      <c r="Z132" s="318"/>
      <c r="AA132" s="318"/>
      <c r="AB132" s="318"/>
      <c r="AC132" s="327" t="s">
        <v>1072</v>
      </c>
      <c r="AD132" s="319"/>
      <c r="AE132" s="319"/>
      <c r="AF132" s="319"/>
      <c r="AG132" s="319"/>
      <c r="AH132" s="319"/>
      <c r="AI132" s="319"/>
      <c r="AJ132" s="327"/>
      <c r="AK132" s="328"/>
      <c r="AL132" s="319"/>
      <c r="AM132" s="319"/>
      <c r="AN132" s="319"/>
      <c r="AO132" s="319"/>
      <c r="AP132" s="319"/>
      <c r="AQ132" s="319"/>
      <c r="AR132" s="319"/>
      <c r="AS132" s="327"/>
      <c r="AT132" s="344"/>
      <c r="AU132" s="345" t="s">
        <v>845</v>
      </c>
      <c r="AV132" s="330">
        <f>SQRT(($R132-Infrastructure!J$3)^2+($S132-Infrastructure!K$3)^2)</f>
        <v>32.11230294</v>
      </c>
      <c r="AW132" s="331">
        <f>SQRT(($R132-Infrastructure!J$4)^2+($S132-Infrastructure!K$4)^2)</f>
        <v>26.48641161</v>
      </c>
      <c r="AX132" s="331">
        <f>SQRT(($R132-Infrastructure!J$5)^2+($S132-Infrastructure!K$5)^2)</f>
        <v>25.03197955</v>
      </c>
      <c r="AY132" s="331">
        <f>SQRT(($R132-Infrastructure!J$6)^2+($S132-Infrastructure!K$6)^2)</f>
        <v>16.57105911</v>
      </c>
      <c r="AZ132" s="331">
        <f>SQRT(($R132-Infrastructure!J$7)^2+($S132-Infrastructure!K$7)^2)</f>
        <v>9.123595782</v>
      </c>
      <c r="BA132" s="331">
        <f>SQRT(($R132-Infrastructure!J$8)^2+($S132-Infrastructure!K$8)^2)</f>
        <v>9.92975327</v>
      </c>
      <c r="BB132" s="331">
        <f>SQRT(($R132-Infrastructure!J$9)^2+($S132-Infrastructure!K$9)^2)</f>
        <v>15.8685223</v>
      </c>
      <c r="BC132" s="331">
        <f>SQRT(($R132-Infrastructure!J$10)^2+($S132-Infrastructure!K$10)^2)</f>
        <v>16.80773631</v>
      </c>
      <c r="BD132" s="318"/>
      <c r="BE132" s="332"/>
      <c r="BF132" s="330">
        <f t="shared" si="8"/>
        <v>9.123595782</v>
      </c>
      <c r="BG132" s="333">
        <f t="shared" si="9"/>
        <v>32.11230294</v>
      </c>
      <c r="BH132" s="334"/>
      <c r="BI132" s="316"/>
      <c r="BJ132" s="318"/>
      <c r="BK132" s="318"/>
      <c r="BL132" s="318"/>
      <c r="BM132" s="318"/>
      <c r="BN132" s="318"/>
      <c r="BO132" s="318"/>
      <c r="BP132" s="318"/>
      <c r="BQ132" s="338"/>
      <c r="BR132" s="420"/>
      <c r="BS132" s="330">
        <f t="shared" si="10"/>
        <v>0</v>
      </c>
      <c r="BT132" s="331">
        <f t="shared" si="11"/>
        <v>0</v>
      </c>
      <c r="BU132" s="331"/>
      <c r="BV132" s="333"/>
      <c r="BW132" s="330"/>
      <c r="BX132" s="331"/>
      <c r="BY132" s="331"/>
      <c r="BZ132" s="340"/>
      <c r="CA132" s="316"/>
      <c r="CB132" s="318"/>
      <c r="CC132" s="318"/>
      <c r="CD132" s="318"/>
      <c r="CE132" s="318"/>
      <c r="CF132" s="318"/>
      <c r="CG132" s="318"/>
      <c r="CH132" s="318"/>
      <c r="CI132" s="338"/>
      <c r="CJ132" s="341"/>
      <c r="CK132" s="342">
        <f t="shared" si="12"/>
        <v>0</v>
      </c>
      <c r="CL132" s="333">
        <f t="shared" si="13"/>
        <v>0</v>
      </c>
      <c r="CM132" s="423"/>
      <c r="CN132" s="424"/>
      <c r="CO132" s="424"/>
      <c r="CP132" s="424"/>
    </row>
    <row r="133">
      <c r="A133" s="315" t="s">
        <v>25</v>
      </c>
      <c r="B133" s="316"/>
      <c r="C133" s="417">
        <v>43622.0</v>
      </c>
      <c r="D133" s="318"/>
      <c r="E133" s="319">
        <v>11.0</v>
      </c>
      <c r="F133" s="332"/>
      <c r="G133" s="321">
        <v>0.5936921296296296</v>
      </c>
      <c r="H133" s="322"/>
      <c r="I133" s="322"/>
      <c r="J133" s="322"/>
      <c r="K133" s="323">
        <v>0.595462962962963</v>
      </c>
      <c r="L133" s="322">
        <f t="shared" si="7"/>
        <v>0.001770833333</v>
      </c>
      <c r="M133" s="319" t="s">
        <v>167</v>
      </c>
      <c r="N133" s="324" t="s">
        <v>187</v>
      </c>
      <c r="O133" s="419" t="s">
        <v>1071</v>
      </c>
      <c r="P133" s="319" t="s">
        <v>255</v>
      </c>
      <c r="Q133" s="318"/>
      <c r="R133" s="326">
        <v>24.5</v>
      </c>
      <c r="S133" s="319">
        <v>8.5</v>
      </c>
      <c r="T133" s="324">
        <v>0.89</v>
      </c>
      <c r="U133" s="319">
        <v>4.0</v>
      </c>
      <c r="V133" s="319"/>
      <c r="W133" s="319"/>
      <c r="X133" s="319"/>
      <c r="Y133" s="319"/>
      <c r="Z133" s="318"/>
      <c r="AA133" s="318"/>
      <c r="AB133" s="318"/>
      <c r="AC133" s="327" t="s">
        <v>1072</v>
      </c>
      <c r="AD133" s="319"/>
      <c r="AE133" s="319"/>
      <c r="AF133" s="319"/>
      <c r="AG133" s="319"/>
      <c r="AH133" s="319"/>
      <c r="AI133" s="319"/>
      <c r="AJ133" s="327"/>
      <c r="AK133" s="328"/>
      <c r="AL133" s="319"/>
      <c r="AM133" s="319"/>
      <c r="AN133" s="319"/>
      <c r="AO133" s="319"/>
      <c r="AP133" s="319"/>
      <c r="AQ133" s="319"/>
      <c r="AR133" s="319"/>
      <c r="AS133" s="327"/>
      <c r="AT133" s="344"/>
      <c r="AU133" s="345" t="s">
        <v>845</v>
      </c>
      <c r="AV133" s="330">
        <f>SQRT(($R133-Infrastructure!J$3)^2+($S133-Infrastructure!K$3)^2)</f>
        <v>32.11230294</v>
      </c>
      <c r="AW133" s="331">
        <f>SQRT(($R133-Infrastructure!J$4)^2+($S133-Infrastructure!K$4)^2)</f>
        <v>26.48641161</v>
      </c>
      <c r="AX133" s="331">
        <f>SQRT(($R133-Infrastructure!J$5)^2+($S133-Infrastructure!K$5)^2)</f>
        <v>25.03197955</v>
      </c>
      <c r="AY133" s="331">
        <f>SQRT(($R133-Infrastructure!J$6)^2+($S133-Infrastructure!K$6)^2)</f>
        <v>16.57105911</v>
      </c>
      <c r="AZ133" s="331">
        <f>SQRT(($R133-Infrastructure!J$7)^2+($S133-Infrastructure!K$7)^2)</f>
        <v>9.123595782</v>
      </c>
      <c r="BA133" s="331">
        <f>SQRT(($R133-Infrastructure!J$8)^2+($S133-Infrastructure!K$8)^2)</f>
        <v>9.92975327</v>
      </c>
      <c r="BB133" s="331">
        <f>SQRT(($R133-Infrastructure!J$9)^2+($S133-Infrastructure!K$9)^2)</f>
        <v>15.8685223</v>
      </c>
      <c r="BC133" s="331">
        <f>SQRT(($R133-Infrastructure!J$10)^2+($S133-Infrastructure!K$10)^2)</f>
        <v>16.80773631</v>
      </c>
      <c r="BD133" s="318"/>
      <c r="BE133" s="332"/>
      <c r="BF133" s="330">
        <f t="shared" si="8"/>
        <v>9.123595782</v>
      </c>
      <c r="BG133" s="333">
        <f t="shared" si="9"/>
        <v>32.11230294</v>
      </c>
      <c r="BH133" s="334"/>
      <c r="BI133" s="316"/>
      <c r="BJ133" s="318"/>
      <c r="BK133" s="318"/>
      <c r="BL133" s="318"/>
      <c r="BM133" s="318"/>
      <c r="BN133" s="318"/>
      <c r="BO133" s="318"/>
      <c r="BP133" s="318"/>
      <c r="BQ133" s="338"/>
      <c r="BR133" s="420"/>
      <c r="BS133" s="330">
        <f t="shared" si="10"/>
        <v>0</v>
      </c>
      <c r="BT133" s="331">
        <f t="shared" si="11"/>
        <v>0</v>
      </c>
      <c r="BU133" s="331"/>
      <c r="BV133" s="333"/>
      <c r="BW133" s="330"/>
      <c r="BX133" s="331"/>
      <c r="BY133" s="331"/>
      <c r="BZ133" s="340"/>
      <c r="CA133" s="316"/>
      <c r="CB133" s="318"/>
      <c r="CC133" s="318"/>
      <c r="CD133" s="318"/>
      <c r="CE133" s="318"/>
      <c r="CF133" s="318"/>
      <c r="CG133" s="318"/>
      <c r="CH133" s="318"/>
      <c r="CI133" s="338"/>
      <c r="CJ133" s="341"/>
      <c r="CK133" s="342">
        <f t="shared" si="12"/>
        <v>0</v>
      </c>
      <c r="CL133" s="333">
        <f t="shared" si="13"/>
        <v>0</v>
      </c>
      <c r="CM133" s="423"/>
      <c r="CN133" s="424"/>
      <c r="CO133" s="424"/>
      <c r="CP133" s="424"/>
    </row>
    <row r="134">
      <c r="A134" s="315" t="s">
        <v>25</v>
      </c>
      <c r="B134" s="316"/>
      <c r="C134" s="417">
        <v>43622.0</v>
      </c>
      <c r="D134" s="318"/>
      <c r="E134" s="319">
        <v>12.0</v>
      </c>
      <c r="F134" s="332"/>
      <c r="G134" s="321">
        <v>0.5971643518518519</v>
      </c>
      <c r="H134" s="322"/>
      <c r="I134" s="322"/>
      <c r="J134" s="322"/>
      <c r="K134" s="323">
        <v>0.6017476851851852</v>
      </c>
      <c r="L134" s="322">
        <f t="shared" si="7"/>
        <v>0.004583333333</v>
      </c>
      <c r="M134" s="319" t="s">
        <v>167</v>
      </c>
      <c r="N134" s="324" t="s">
        <v>187</v>
      </c>
      <c r="O134" s="419" t="s">
        <v>1071</v>
      </c>
      <c r="P134" s="319" t="s">
        <v>255</v>
      </c>
      <c r="Q134" s="318"/>
      <c r="R134" s="326">
        <v>24.5</v>
      </c>
      <c r="S134" s="319">
        <v>8.5</v>
      </c>
      <c r="T134" s="324">
        <v>0.89</v>
      </c>
      <c r="U134" s="319">
        <v>8.0</v>
      </c>
      <c r="V134" s="319"/>
      <c r="W134" s="319"/>
      <c r="X134" s="319"/>
      <c r="Y134" s="319"/>
      <c r="Z134" s="318"/>
      <c r="AA134" s="318"/>
      <c r="AB134" s="318"/>
      <c r="AC134" s="327" t="s">
        <v>1072</v>
      </c>
      <c r="AD134" s="319"/>
      <c r="AE134" s="319"/>
      <c r="AF134" s="319"/>
      <c r="AG134" s="319"/>
      <c r="AH134" s="319"/>
      <c r="AI134" s="319"/>
      <c r="AJ134" s="327"/>
      <c r="AK134" s="328"/>
      <c r="AL134" s="319"/>
      <c r="AM134" s="319"/>
      <c r="AN134" s="319"/>
      <c r="AO134" s="319"/>
      <c r="AP134" s="319"/>
      <c r="AQ134" s="319"/>
      <c r="AR134" s="319"/>
      <c r="AS134" s="327"/>
      <c r="AT134" s="344"/>
      <c r="AU134" s="345" t="s">
        <v>845</v>
      </c>
      <c r="AV134" s="330">
        <f>SQRT(($R134-Infrastructure!J$3)^2+($S134-Infrastructure!K$3)^2)</f>
        <v>32.11230294</v>
      </c>
      <c r="AW134" s="331">
        <f>SQRT(($R134-Infrastructure!J$4)^2+($S134-Infrastructure!K$4)^2)</f>
        <v>26.48641161</v>
      </c>
      <c r="AX134" s="331">
        <f>SQRT(($R134-Infrastructure!J$5)^2+($S134-Infrastructure!K$5)^2)</f>
        <v>25.03197955</v>
      </c>
      <c r="AY134" s="331">
        <f>SQRT(($R134-Infrastructure!J$6)^2+($S134-Infrastructure!K$6)^2)</f>
        <v>16.57105911</v>
      </c>
      <c r="AZ134" s="331">
        <f>SQRT(($R134-Infrastructure!J$7)^2+($S134-Infrastructure!K$7)^2)</f>
        <v>9.123595782</v>
      </c>
      <c r="BA134" s="331">
        <f>SQRT(($R134-Infrastructure!J$8)^2+($S134-Infrastructure!K$8)^2)</f>
        <v>9.92975327</v>
      </c>
      <c r="BB134" s="331">
        <f>SQRT(($R134-Infrastructure!J$9)^2+($S134-Infrastructure!K$9)^2)</f>
        <v>15.8685223</v>
      </c>
      <c r="BC134" s="331">
        <f>SQRT(($R134-Infrastructure!J$10)^2+($S134-Infrastructure!K$10)^2)</f>
        <v>16.80773631</v>
      </c>
      <c r="BD134" s="318"/>
      <c r="BE134" s="332"/>
      <c r="BF134" s="330">
        <f t="shared" si="8"/>
        <v>9.123595782</v>
      </c>
      <c r="BG134" s="333">
        <f t="shared" si="9"/>
        <v>32.11230294</v>
      </c>
      <c r="BH134" s="334"/>
      <c r="BI134" s="316"/>
      <c r="BJ134" s="318"/>
      <c r="BK134" s="318"/>
      <c r="BL134" s="318"/>
      <c r="BM134" s="318"/>
      <c r="BN134" s="318"/>
      <c r="BO134" s="318"/>
      <c r="BP134" s="318"/>
      <c r="BQ134" s="338"/>
      <c r="BR134" s="420"/>
      <c r="BS134" s="330">
        <f t="shared" si="10"/>
        <v>0</v>
      </c>
      <c r="BT134" s="331">
        <f t="shared" si="11"/>
        <v>0</v>
      </c>
      <c r="BU134" s="331"/>
      <c r="BV134" s="333"/>
      <c r="BW134" s="330"/>
      <c r="BX134" s="331"/>
      <c r="BY134" s="331"/>
      <c r="BZ134" s="340"/>
      <c r="CA134" s="316"/>
      <c r="CB134" s="318"/>
      <c r="CC134" s="318"/>
      <c r="CD134" s="318"/>
      <c r="CE134" s="318"/>
      <c r="CF134" s="318"/>
      <c r="CG134" s="318"/>
      <c r="CH134" s="318"/>
      <c r="CI134" s="338"/>
      <c r="CJ134" s="341"/>
      <c r="CK134" s="342">
        <f t="shared" si="12"/>
        <v>0</v>
      </c>
      <c r="CL134" s="333">
        <f t="shared" si="13"/>
        <v>0</v>
      </c>
      <c r="CM134" s="423"/>
      <c r="CN134" s="424"/>
      <c r="CO134" s="424"/>
      <c r="CP134" s="424"/>
    </row>
    <row r="135">
      <c r="A135" s="315" t="s">
        <v>25</v>
      </c>
      <c r="B135" s="316"/>
      <c r="C135" s="417">
        <v>43622.0</v>
      </c>
      <c r="D135" s="318"/>
      <c r="E135" s="319">
        <v>13.0</v>
      </c>
      <c r="F135" s="332"/>
      <c r="G135" s="321">
        <v>0.6075810185185185</v>
      </c>
      <c r="H135" s="322"/>
      <c r="I135" s="322"/>
      <c r="J135" s="322"/>
      <c r="K135" s="323">
        <v>0.6101851851851852</v>
      </c>
      <c r="L135" s="322">
        <f t="shared" si="7"/>
        <v>0.002604166667</v>
      </c>
      <c r="M135" s="319" t="s">
        <v>167</v>
      </c>
      <c r="N135" s="324" t="s">
        <v>187</v>
      </c>
      <c r="O135" s="419" t="s">
        <v>1071</v>
      </c>
      <c r="P135" s="319" t="s">
        <v>220</v>
      </c>
      <c r="Q135" s="318"/>
      <c r="R135" s="326">
        <v>24.5</v>
      </c>
      <c r="S135" s="319">
        <v>9.5</v>
      </c>
      <c r="T135" s="324">
        <v>0.535</v>
      </c>
      <c r="U135" s="319">
        <v>2.0</v>
      </c>
      <c r="V135" s="319"/>
      <c r="W135" s="319"/>
      <c r="X135" s="319"/>
      <c r="Y135" s="319"/>
      <c r="Z135" s="318"/>
      <c r="AA135" s="318"/>
      <c r="AB135" s="318"/>
      <c r="AC135" s="327">
        <v>3.0</v>
      </c>
      <c r="AD135" s="319"/>
      <c r="AE135" s="319"/>
      <c r="AF135" s="319"/>
      <c r="AG135" s="319"/>
      <c r="AH135" s="319"/>
      <c r="AI135" s="319"/>
      <c r="AJ135" s="327"/>
      <c r="AK135" s="328"/>
      <c r="AL135" s="319"/>
      <c r="AM135" s="319"/>
      <c r="AN135" s="319"/>
      <c r="AO135" s="319"/>
      <c r="AP135" s="319"/>
      <c r="AQ135" s="319"/>
      <c r="AR135" s="319"/>
      <c r="AS135" s="327"/>
      <c r="AT135" s="344"/>
      <c r="AU135" s="345" t="s">
        <v>845</v>
      </c>
      <c r="AV135" s="330">
        <f>SQRT(($R135-Infrastructure!J$3)^2+($S135-Infrastructure!K$3)^2)</f>
        <v>31.48650505</v>
      </c>
      <c r="AW135" s="331">
        <f>SQRT(($R135-Infrastructure!J$4)^2+($S135-Infrastructure!K$4)^2)</f>
        <v>26.15205537</v>
      </c>
      <c r="AX135" s="331">
        <f>SQRT(($R135-Infrastructure!J$5)^2+($S135-Infrastructure!K$5)^2)</f>
        <v>25.18729839</v>
      </c>
      <c r="AY135" s="331">
        <f>SQRT(($R135-Infrastructure!J$6)^2+($S135-Infrastructure!K$6)^2)</f>
        <v>17.08800749</v>
      </c>
      <c r="AZ135" s="331">
        <f>SQRT(($R135-Infrastructure!J$7)^2+($S135-Infrastructure!K$7)^2)</f>
        <v>10.03194896</v>
      </c>
      <c r="BA135" s="331">
        <f>SQRT(($R135-Infrastructure!J$8)^2+($S135-Infrastructure!K$8)^2)</f>
        <v>10.77032961</v>
      </c>
      <c r="BB135" s="331">
        <f>SQRT(($R135-Infrastructure!J$9)^2+($S135-Infrastructure!K$9)^2)</f>
        <v>16.11241757</v>
      </c>
      <c r="BC135" s="331">
        <f>SQRT(($R135-Infrastructure!J$10)^2+($S135-Infrastructure!K$10)^2)</f>
        <v>16.4468842</v>
      </c>
      <c r="BD135" s="318"/>
      <c r="BE135" s="332"/>
      <c r="BF135" s="330">
        <f t="shared" si="8"/>
        <v>10.03194896</v>
      </c>
      <c r="BG135" s="333">
        <f t="shared" si="9"/>
        <v>31.48650505</v>
      </c>
      <c r="BH135" s="334"/>
      <c r="BI135" s="316"/>
      <c r="BJ135" s="318"/>
      <c r="BK135" s="318"/>
      <c r="BL135" s="318"/>
      <c r="BM135" s="318"/>
      <c r="BN135" s="318"/>
      <c r="BO135" s="318"/>
      <c r="BP135" s="318"/>
      <c r="BQ135" s="338"/>
      <c r="BR135" s="420"/>
      <c r="BS135" s="330">
        <f t="shared" si="10"/>
        <v>0</v>
      </c>
      <c r="BT135" s="331">
        <f t="shared" si="11"/>
        <v>0</v>
      </c>
      <c r="BU135" s="331"/>
      <c r="BV135" s="333"/>
      <c r="BW135" s="330"/>
      <c r="BX135" s="331"/>
      <c r="BY135" s="331"/>
      <c r="BZ135" s="340"/>
      <c r="CA135" s="316"/>
      <c r="CB135" s="318"/>
      <c r="CC135" s="318"/>
      <c r="CD135" s="318"/>
      <c r="CE135" s="318"/>
      <c r="CF135" s="318"/>
      <c r="CG135" s="318"/>
      <c r="CH135" s="318"/>
      <c r="CI135" s="338"/>
      <c r="CJ135" s="341"/>
      <c r="CK135" s="342">
        <f t="shared" si="12"/>
        <v>0</v>
      </c>
      <c r="CL135" s="333">
        <f t="shared" si="13"/>
        <v>0</v>
      </c>
      <c r="CM135" s="423"/>
      <c r="CN135" s="424"/>
      <c r="CO135" s="424"/>
      <c r="CP135" s="424"/>
    </row>
    <row r="136">
      <c r="A136" s="315" t="s">
        <v>25</v>
      </c>
      <c r="B136" s="316"/>
      <c r="C136" s="417">
        <v>43622.0</v>
      </c>
      <c r="D136" s="318"/>
      <c r="E136" s="319">
        <v>14.0</v>
      </c>
      <c r="F136" s="332"/>
      <c r="G136" s="321">
        <v>0.6114004629629629</v>
      </c>
      <c r="H136" s="322"/>
      <c r="I136" s="322"/>
      <c r="J136" s="322"/>
      <c r="K136" s="323">
        <v>0.6138888888888889</v>
      </c>
      <c r="L136" s="322">
        <f t="shared" si="7"/>
        <v>0.002488425926</v>
      </c>
      <c r="M136" s="319" t="s">
        <v>167</v>
      </c>
      <c r="N136" s="324" t="s">
        <v>187</v>
      </c>
      <c r="O136" s="419" t="s">
        <v>1071</v>
      </c>
      <c r="P136" s="319" t="s">
        <v>220</v>
      </c>
      <c r="Q136" s="318"/>
      <c r="R136" s="326">
        <v>24.5</v>
      </c>
      <c r="S136" s="319">
        <v>9.5</v>
      </c>
      <c r="T136" s="324">
        <v>0.535</v>
      </c>
      <c r="U136" s="319">
        <v>5.0</v>
      </c>
      <c r="V136" s="319"/>
      <c r="W136" s="319"/>
      <c r="X136" s="319"/>
      <c r="Y136" s="319"/>
      <c r="Z136" s="318"/>
      <c r="AA136" s="318"/>
      <c r="AB136" s="318"/>
      <c r="AC136" s="327">
        <v>3.0</v>
      </c>
      <c r="AD136" s="319"/>
      <c r="AE136" s="319"/>
      <c r="AF136" s="319"/>
      <c r="AG136" s="319"/>
      <c r="AH136" s="319"/>
      <c r="AI136" s="319"/>
      <c r="AJ136" s="327"/>
      <c r="AK136" s="328"/>
      <c r="AL136" s="319"/>
      <c r="AM136" s="319"/>
      <c r="AN136" s="319"/>
      <c r="AO136" s="319"/>
      <c r="AP136" s="319"/>
      <c r="AQ136" s="319"/>
      <c r="AR136" s="319"/>
      <c r="AS136" s="327"/>
      <c r="AT136" s="344"/>
      <c r="AU136" s="345" t="s">
        <v>845</v>
      </c>
      <c r="AV136" s="330">
        <f>SQRT(($R136-Infrastructure!J$3)^2+($S136-Infrastructure!K$3)^2)</f>
        <v>31.48650505</v>
      </c>
      <c r="AW136" s="331">
        <f>SQRT(($R136-Infrastructure!J$4)^2+($S136-Infrastructure!K$4)^2)</f>
        <v>26.15205537</v>
      </c>
      <c r="AX136" s="331">
        <f>SQRT(($R136-Infrastructure!J$5)^2+($S136-Infrastructure!K$5)^2)</f>
        <v>25.18729839</v>
      </c>
      <c r="AY136" s="331">
        <f>SQRT(($R136-Infrastructure!J$6)^2+($S136-Infrastructure!K$6)^2)</f>
        <v>17.08800749</v>
      </c>
      <c r="AZ136" s="331">
        <f>SQRT(($R136-Infrastructure!J$7)^2+($S136-Infrastructure!K$7)^2)</f>
        <v>10.03194896</v>
      </c>
      <c r="BA136" s="331">
        <f>SQRT(($R136-Infrastructure!J$8)^2+($S136-Infrastructure!K$8)^2)</f>
        <v>10.77032961</v>
      </c>
      <c r="BB136" s="331">
        <f>SQRT(($R136-Infrastructure!J$9)^2+($S136-Infrastructure!K$9)^2)</f>
        <v>16.11241757</v>
      </c>
      <c r="BC136" s="331">
        <f>SQRT(($R136-Infrastructure!J$10)^2+($S136-Infrastructure!K$10)^2)</f>
        <v>16.4468842</v>
      </c>
      <c r="BD136" s="318"/>
      <c r="BE136" s="332"/>
      <c r="BF136" s="330">
        <f t="shared" si="8"/>
        <v>10.03194896</v>
      </c>
      <c r="BG136" s="333">
        <f t="shared" si="9"/>
        <v>31.48650505</v>
      </c>
      <c r="BH136" s="334"/>
      <c r="BI136" s="316"/>
      <c r="BJ136" s="318"/>
      <c r="BK136" s="318"/>
      <c r="BL136" s="318"/>
      <c r="BM136" s="318"/>
      <c r="BN136" s="318"/>
      <c r="BO136" s="318"/>
      <c r="BP136" s="318"/>
      <c r="BQ136" s="338"/>
      <c r="BR136" s="420"/>
      <c r="BS136" s="330">
        <f t="shared" si="10"/>
        <v>0</v>
      </c>
      <c r="BT136" s="331">
        <f t="shared" si="11"/>
        <v>0</v>
      </c>
      <c r="BU136" s="331"/>
      <c r="BV136" s="333"/>
      <c r="BW136" s="330"/>
      <c r="BX136" s="331"/>
      <c r="BY136" s="331"/>
      <c r="BZ136" s="340"/>
      <c r="CA136" s="316"/>
      <c r="CB136" s="318"/>
      <c r="CC136" s="318"/>
      <c r="CD136" s="318"/>
      <c r="CE136" s="318"/>
      <c r="CF136" s="318"/>
      <c r="CG136" s="318"/>
      <c r="CH136" s="318"/>
      <c r="CI136" s="338"/>
      <c r="CJ136" s="341"/>
      <c r="CK136" s="342">
        <f t="shared" si="12"/>
        <v>0</v>
      </c>
      <c r="CL136" s="333">
        <f t="shared" si="13"/>
        <v>0</v>
      </c>
      <c r="CM136" s="423"/>
      <c r="CN136" s="424"/>
      <c r="CO136" s="424"/>
      <c r="CP136" s="424"/>
    </row>
    <row r="137">
      <c r="A137" s="315" t="s">
        <v>25</v>
      </c>
      <c r="B137" s="316"/>
      <c r="C137" s="417">
        <v>43622.0</v>
      </c>
      <c r="D137" s="318"/>
      <c r="E137" s="319">
        <v>15.0</v>
      </c>
      <c r="F137" s="332"/>
      <c r="G137" s="321">
        <v>0.6159375</v>
      </c>
      <c r="H137" s="322"/>
      <c r="I137" s="322"/>
      <c r="J137" s="322"/>
      <c r="K137" s="323">
        <v>0.6180208333333334</v>
      </c>
      <c r="L137" s="322">
        <f t="shared" si="7"/>
        <v>0.002083333333</v>
      </c>
      <c r="M137" s="319" t="s">
        <v>167</v>
      </c>
      <c r="N137" s="324" t="s">
        <v>187</v>
      </c>
      <c r="O137" s="419" t="s">
        <v>1071</v>
      </c>
      <c r="P137" s="319" t="s">
        <v>220</v>
      </c>
      <c r="Q137" s="318"/>
      <c r="R137" s="326">
        <v>24.5</v>
      </c>
      <c r="S137" s="319">
        <v>9.5</v>
      </c>
      <c r="T137" s="324">
        <v>0.535</v>
      </c>
      <c r="U137" s="319">
        <v>9.0</v>
      </c>
      <c r="V137" s="319"/>
      <c r="W137" s="319"/>
      <c r="X137" s="319"/>
      <c r="Y137" s="319"/>
      <c r="Z137" s="318"/>
      <c r="AA137" s="318"/>
      <c r="AB137" s="318"/>
      <c r="AC137" s="327">
        <v>4.0</v>
      </c>
      <c r="AD137" s="319"/>
      <c r="AE137" s="319"/>
      <c r="AF137" s="319"/>
      <c r="AG137" s="319"/>
      <c r="AH137" s="319"/>
      <c r="AI137" s="319"/>
      <c r="AJ137" s="327"/>
      <c r="AK137" s="328"/>
      <c r="AL137" s="319"/>
      <c r="AM137" s="319"/>
      <c r="AN137" s="319"/>
      <c r="AO137" s="319"/>
      <c r="AP137" s="319"/>
      <c r="AQ137" s="319"/>
      <c r="AR137" s="319"/>
      <c r="AS137" s="327"/>
      <c r="AT137" s="344"/>
      <c r="AU137" s="345" t="s">
        <v>845</v>
      </c>
      <c r="AV137" s="330">
        <f>SQRT(($R137-Infrastructure!J$3)^2+($S137-Infrastructure!K$3)^2)</f>
        <v>31.48650505</v>
      </c>
      <c r="AW137" s="331">
        <f>SQRT(($R137-Infrastructure!J$4)^2+($S137-Infrastructure!K$4)^2)</f>
        <v>26.15205537</v>
      </c>
      <c r="AX137" s="331">
        <f>SQRT(($R137-Infrastructure!J$5)^2+($S137-Infrastructure!K$5)^2)</f>
        <v>25.18729839</v>
      </c>
      <c r="AY137" s="331">
        <f>SQRT(($R137-Infrastructure!J$6)^2+($S137-Infrastructure!K$6)^2)</f>
        <v>17.08800749</v>
      </c>
      <c r="AZ137" s="331">
        <f>SQRT(($R137-Infrastructure!J$7)^2+($S137-Infrastructure!K$7)^2)</f>
        <v>10.03194896</v>
      </c>
      <c r="BA137" s="331">
        <f>SQRT(($R137-Infrastructure!J$8)^2+($S137-Infrastructure!K$8)^2)</f>
        <v>10.77032961</v>
      </c>
      <c r="BB137" s="331">
        <f>SQRT(($R137-Infrastructure!J$9)^2+($S137-Infrastructure!K$9)^2)</f>
        <v>16.11241757</v>
      </c>
      <c r="BC137" s="331">
        <f>SQRT(($R137-Infrastructure!J$10)^2+($S137-Infrastructure!K$10)^2)</f>
        <v>16.4468842</v>
      </c>
      <c r="BD137" s="318"/>
      <c r="BE137" s="332"/>
      <c r="BF137" s="330">
        <f t="shared" si="8"/>
        <v>10.03194896</v>
      </c>
      <c r="BG137" s="333">
        <f t="shared" si="9"/>
        <v>31.48650505</v>
      </c>
      <c r="BH137" s="334"/>
      <c r="BI137" s="316"/>
      <c r="BJ137" s="318"/>
      <c r="BK137" s="318"/>
      <c r="BL137" s="318"/>
      <c r="BM137" s="318"/>
      <c r="BN137" s="318"/>
      <c r="BO137" s="318"/>
      <c r="BP137" s="318"/>
      <c r="BQ137" s="338"/>
      <c r="BR137" s="420"/>
      <c r="BS137" s="330">
        <f t="shared" si="10"/>
        <v>0</v>
      </c>
      <c r="BT137" s="331">
        <f t="shared" si="11"/>
        <v>0</v>
      </c>
      <c r="BU137" s="331"/>
      <c r="BV137" s="333"/>
      <c r="BW137" s="330"/>
      <c r="BX137" s="331"/>
      <c r="BY137" s="331"/>
      <c r="BZ137" s="340"/>
      <c r="CA137" s="316"/>
      <c r="CB137" s="318"/>
      <c r="CC137" s="318"/>
      <c r="CD137" s="318"/>
      <c r="CE137" s="318"/>
      <c r="CF137" s="318"/>
      <c r="CG137" s="318"/>
      <c r="CH137" s="318"/>
      <c r="CI137" s="338"/>
      <c r="CJ137" s="341"/>
      <c r="CK137" s="342">
        <f t="shared" si="12"/>
        <v>0</v>
      </c>
      <c r="CL137" s="333">
        <f t="shared" si="13"/>
        <v>0</v>
      </c>
      <c r="CM137" s="423"/>
      <c r="CN137" s="424"/>
      <c r="CO137" s="424"/>
      <c r="CP137" s="424"/>
    </row>
    <row r="138">
      <c r="A138" s="315" t="s">
        <v>25</v>
      </c>
      <c r="B138" s="316"/>
      <c r="C138" s="417">
        <v>43622.0</v>
      </c>
      <c r="D138" s="318"/>
      <c r="E138" s="319">
        <v>16.0</v>
      </c>
      <c r="F138" s="332"/>
      <c r="G138" s="321">
        <v>0.6208333333333333</v>
      </c>
      <c r="H138" s="322"/>
      <c r="I138" s="322"/>
      <c r="J138" s="322"/>
      <c r="K138" s="323">
        <v>0.6229166666666667</v>
      </c>
      <c r="L138" s="322">
        <f t="shared" si="7"/>
        <v>0.002083333333</v>
      </c>
      <c r="M138" s="319" t="s">
        <v>167</v>
      </c>
      <c r="N138" s="324" t="s">
        <v>187</v>
      </c>
      <c r="O138" s="419" t="s">
        <v>1073</v>
      </c>
      <c r="P138" s="319" t="s">
        <v>213</v>
      </c>
      <c r="Q138" s="318"/>
      <c r="R138" s="326">
        <v>9.0</v>
      </c>
      <c r="S138" s="319">
        <v>2.0</v>
      </c>
      <c r="T138" s="324">
        <v>1.48</v>
      </c>
      <c r="U138" s="319">
        <v>0.5</v>
      </c>
      <c r="V138" s="319"/>
      <c r="W138" s="319"/>
      <c r="X138" s="319"/>
      <c r="Y138" s="319"/>
      <c r="Z138" s="318"/>
      <c r="AA138" s="318"/>
      <c r="AB138" s="318"/>
      <c r="AC138" s="327" t="s">
        <v>1074</v>
      </c>
      <c r="AD138" s="319"/>
      <c r="AE138" s="319"/>
      <c r="AF138" s="319"/>
      <c r="AG138" s="319"/>
      <c r="AH138" s="319"/>
      <c r="AI138" s="319"/>
      <c r="AJ138" s="327"/>
      <c r="AK138" s="328"/>
      <c r="AL138" s="319"/>
      <c r="AM138" s="319"/>
      <c r="AN138" s="319"/>
      <c r="AO138" s="319"/>
      <c r="AP138" s="319"/>
      <c r="AQ138" s="319"/>
      <c r="AR138" s="319"/>
      <c r="AS138" s="327"/>
      <c r="AT138" s="344"/>
      <c r="AU138" s="345" t="s">
        <v>845</v>
      </c>
      <c r="AV138" s="330">
        <f>SQRT(($R138-Infrastructure!J$3)^2+($S138-Infrastructure!K$3)^2)</f>
        <v>28.46225571</v>
      </c>
      <c r="AW138" s="331">
        <f>SQRT(($R138-Infrastructure!J$4)^2+($S138-Infrastructure!K$4)^2)</f>
        <v>18.33384848</v>
      </c>
      <c r="AX138" s="331">
        <f>SQRT(($R138-Infrastructure!J$5)^2+($S138-Infrastructure!K$5)^2)</f>
        <v>9.803060747</v>
      </c>
      <c r="AY138" s="331">
        <f>SQRT(($R138-Infrastructure!J$6)^2+($S138-Infrastructure!K$6)^2)</f>
        <v>2.024845673</v>
      </c>
      <c r="AZ138" s="331">
        <f>SQRT(($R138-Infrastructure!J$7)^2+($S138-Infrastructure!K$7)^2)</f>
        <v>11.62497312</v>
      </c>
      <c r="BA138" s="331">
        <f>SQRT(($R138-Infrastructure!J$8)^2+($S138-Infrastructure!K$8)^2)</f>
        <v>21.16837263</v>
      </c>
      <c r="BB138" s="331">
        <f>SQRT(($R138-Infrastructure!J$9)^2+($S138-Infrastructure!K$9)^2)</f>
        <v>31.15461443</v>
      </c>
      <c r="BC138" s="331">
        <f>SQRT(($R138-Infrastructure!J$10)^2+($S138-Infrastructure!K$10)^2)</f>
        <v>33.61547263</v>
      </c>
      <c r="BD138" s="318"/>
      <c r="BE138" s="332"/>
      <c r="BF138" s="330">
        <f t="shared" si="8"/>
        <v>2.024845673</v>
      </c>
      <c r="BG138" s="333">
        <f t="shared" si="9"/>
        <v>33.61547263</v>
      </c>
      <c r="BH138" s="334"/>
      <c r="BI138" s="316"/>
      <c r="BJ138" s="318"/>
      <c r="BK138" s="318"/>
      <c r="BL138" s="318"/>
      <c r="BM138" s="318"/>
      <c r="BN138" s="318"/>
      <c r="BO138" s="318"/>
      <c r="BP138" s="318"/>
      <c r="BQ138" s="338"/>
      <c r="BR138" s="420"/>
      <c r="BS138" s="330">
        <f t="shared" si="10"/>
        <v>0</v>
      </c>
      <c r="BT138" s="331">
        <f t="shared" si="11"/>
        <v>0</v>
      </c>
      <c r="BU138" s="331"/>
      <c r="BV138" s="333"/>
      <c r="BW138" s="330"/>
      <c r="BX138" s="331"/>
      <c r="BY138" s="331"/>
      <c r="BZ138" s="340"/>
      <c r="CA138" s="316"/>
      <c r="CB138" s="318"/>
      <c r="CC138" s="318"/>
      <c r="CD138" s="318"/>
      <c r="CE138" s="318"/>
      <c r="CF138" s="318"/>
      <c r="CG138" s="318"/>
      <c r="CH138" s="318"/>
      <c r="CI138" s="338"/>
      <c r="CJ138" s="341"/>
      <c r="CK138" s="342">
        <f t="shared" si="12"/>
        <v>0</v>
      </c>
      <c r="CL138" s="333">
        <f t="shared" si="13"/>
        <v>0</v>
      </c>
      <c r="CM138" s="423"/>
      <c r="CN138" s="424"/>
      <c r="CO138" s="424"/>
      <c r="CP138" s="424"/>
    </row>
    <row r="139">
      <c r="A139" s="315" t="s">
        <v>25</v>
      </c>
      <c r="B139" s="316"/>
      <c r="C139" s="417">
        <v>43622.0</v>
      </c>
      <c r="D139" s="318"/>
      <c r="E139" s="319">
        <v>17.0</v>
      </c>
      <c r="F139" s="332"/>
      <c r="G139" s="321">
        <v>0.6235532407407407</v>
      </c>
      <c r="H139" s="322"/>
      <c r="I139" s="322"/>
      <c r="J139" s="322"/>
      <c r="K139" s="323">
        <v>0.627199074074074</v>
      </c>
      <c r="L139" s="322">
        <f t="shared" si="7"/>
        <v>0.003645833333</v>
      </c>
      <c r="M139" s="319" t="s">
        <v>167</v>
      </c>
      <c r="N139" s="324" t="s">
        <v>187</v>
      </c>
      <c r="O139" s="419" t="s">
        <v>1073</v>
      </c>
      <c r="P139" s="319" t="s">
        <v>213</v>
      </c>
      <c r="Q139" s="318"/>
      <c r="R139" s="326">
        <v>9.0</v>
      </c>
      <c r="S139" s="319">
        <v>2.0</v>
      </c>
      <c r="T139" s="324">
        <v>1.48</v>
      </c>
      <c r="U139" s="319">
        <v>3.0</v>
      </c>
      <c r="V139" s="319"/>
      <c r="W139" s="319"/>
      <c r="X139" s="319"/>
      <c r="Y139" s="319"/>
      <c r="Z139" s="318"/>
      <c r="AA139" s="318"/>
      <c r="AB139" s="318"/>
      <c r="AC139" s="327" t="s">
        <v>1074</v>
      </c>
      <c r="AD139" s="319"/>
      <c r="AE139" s="319"/>
      <c r="AF139" s="319"/>
      <c r="AG139" s="319"/>
      <c r="AH139" s="319"/>
      <c r="AI139" s="319"/>
      <c r="AJ139" s="327"/>
      <c r="AK139" s="328"/>
      <c r="AL139" s="319"/>
      <c r="AM139" s="319"/>
      <c r="AN139" s="319"/>
      <c r="AO139" s="319"/>
      <c r="AP139" s="319"/>
      <c r="AQ139" s="319"/>
      <c r="AR139" s="319"/>
      <c r="AS139" s="327"/>
      <c r="AT139" s="344"/>
      <c r="AU139" s="345" t="s">
        <v>845</v>
      </c>
      <c r="AV139" s="330">
        <f>SQRT(($R139-Infrastructure!J$3)^2+($S139-Infrastructure!K$3)^2)</f>
        <v>28.46225571</v>
      </c>
      <c r="AW139" s="331">
        <f>SQRT(($R139-Infrastructure!J$4)^2+($S139-Infrastructure!K$4)^2)</f>
        <v>18.33384848</v>
      </c>
      <c r="AX139" s="331">
        <f>SQRT(($R139-Infrastructure!J$5)^2+($S139-Infrastructure!K$5)^2)</f>
        <v>9.803060747</v>
      </c>
      <c r="AY139" s="331">
        <f>SQRT(($R139-Infrastructure!J$6)^2+($S139-Infrastructure!K$6)^2)</f>
        <v>2.024845673</v>
      </c>
      <c r="AZ139" s="331">
        <f>SQRT(($R139-Infrastructure!J$7)^2+($S139-Infrastructure!K$7)^2)</f>
        <v>11.62497312</v>
      </c>
      <c r="BA139" s="331">
        <f>SQRT(($R139-Infrastructure!J$8)^2+($S139-Infrastructure!K$8)^2)</f>
        <v>21.16837263</v>
      </c>
      <c r="BB139" s="331">
        <f>SQRT(($R139-Infrastructure!J$9)^2+($S139-Infrastructure!K$9)^2)</f>
        <v>31.15461443</v>
      </c>
      <c r="BC139" s="331">
        <f>SQRT(($R139-Infrastructure!J$10)^2+($S139-Infrastructure!K$10)^2)</f>
        <v>33.61547263</v>
      </c>
      <c r="BD139" s="318"/>
      <c r="BE139" s="332"/>
      <c r="BF139" s="330">
        <f t="shared" si="8"/>
        <v>2.024845673</v>
      </c>
      <c r="BG139" s="333">
        <f t="shared" si="9"/>
        <v>33.61547263</v>
      </c>
      <c r="BH139" s="334"/>
      <c r="BI139" s="316"/>
      <c r="BJ139" s="318"/>
      <c r="BK139" s="318"/>
      <c r="BL139" s="318"/>
      <c r="BM139" s="318"/>
      <c r="BN139" s="318"/>
      <c r="BO139" s="318"/>
      <c r="BP139" s="318"/>
      <c r="BQ139" s="338"/>
      <c r="BR139" s="420"/>
      <c r="BS139" s="330">
        <f t="shared" si="10"/>
        <v>0</v>
      </c>
      <c r="BT139" s="331">
        <f t="shared" si="11"/>
        <v>0</v>
      </c>
      <c r="BU139" s="331"/>
      <c r="BV139" s="333"/>
      <c r="BW139" s="330"/>
      <c r="BX139" s="331"/>
      <c r="BY139" s="331"/>
      <c r="BZ139" s="340"/>
      <c r="CA139" s="316"/>
      <c r="CB139" s="318"/>
      <c r="CC139" s="318"/>
      <c r="CD139" s="318"/>
      <c r="CE139" s="318"/>
      <c r="CF139" s="318"/>
      <c r="CG139" s="318"/>
      <c r="CH139" s="318"/>
      <c r="CI139" s="338"/>
      <c r="CJ139" s="341"/>
      <c r="CK139" s="342">
        <f t="shared" si="12"/>
        <v>0</v>
      </c>
      <c r="CL139" s="333">
        <f t="shared" si="13"/>
        <v>0</v>
      </c>
      <c r="CM139" s="423"/>
      <c r="CN139" s="424"/>
      <c r="CO139" s="424"/>
      <c r="CP139" s="424"/>
    </row>
    <row r="140">
      <c r="A140" s="315" t="s">
        <v>25</v>
      </c>
      <c r="B140" s="316"/>
      <c r="C140" s="417">
        <v>43622.0</v>
      </c>
      <c r="D140" s="318"/>
      <c r="E140" s="319">
        <v>18.0</v>
      </c>
      <c r="F140" s="332"/>
      <c r="G140" s="321">
        <v>0.6286111111111111</v>
      </c>
      <c r="H140" s="322"/>
      <c r="I140" s="322"/>
      <c r="J140" s="322"/>
      <c r="K140" s="323">
        <v>0.6340277777777777</v>
      </c>
      <c r="L140" s="322">
        <f t="shared" si="7"/>
        <v>0.005416666667</v>
      </c>
      <c r="M140" s="319" t="s">
        <v>167</v>
      </c>
      <c r="N140" s="324" t="s">
        <v>187</v>
      </c>
      <c r="O140" s="419" t="s">
        <v>1073</v>
      </c>
      <c r="P140" s="319" t="s">
        <v>213</v>
      </c>
      <c r="Q140" s="318"/>
      <c r="R140" s="326">
        <v>9.0</v>
      </c>
      <c r="S140" s="319">
        <v>2.0</v>
      </c>
      <c r="T140" s="324">
        <v>1.48</v>
      </c>
      <c r="U140" s="319">
        <v>8.0</v>
      </c>
      <c r="V140" s="319"/>
      <c r="W140" s="319"/>
      <c r="X140" s="319"/>
      <c r="Y140" s="319"/>
      <c r="Z140" s="318"/>
      <c r="AA140" s="318"/>
      <c r="AB140" s="318"/>
      <c r="AC140" s="327" t="s">
        <v>1074</v>
      </c>
      <c r="AD140" s="319"/>
      <c r="AE140" s="319"/>
      <c r="AF140" s="319"/>
      <c r="AG140" s="319"/>
      <c r="AH140" s="319"/>
      <c r="AI140" s="319"/>
      <c r="AJ140" s="327"/>
      <c r="AK140" s="328"/>
      <c r="AL140" s="319"/>
      <c r="AM140" s="319"/>
      <c r="AN140" s="319"/>
      <c r="AO140" s="319"/>
      <c r="AP140" s="319"/>
      <c r="AQ140" s="319"/>
      <c r="AR140" s="319"/>
      <c r="AS140" s="327"/>
      <c r="AT140" s="344"/>
      <c r="AU140" s="345" t="s">
        <v>845</v>
      </c>
      <c r="AV140" s="330">
        <f>SQRT(($R140-Infrastructure!J$3)^2+($S140-Infrastructure!K$3)^2)</f>
        <v>28.46225571</v>
      </c>
      <c r="AW140" s="331">
        <f>SQRT(($R140-Infrastructure!J$4)^2+($S140-Infrastructure!K$4)^2)</f>
        <v>18.33384848</v>
      </c>
      <c r="AX140" s="331">
        <f>SQRT(($R140-Infrastructure!J$5)^2+($S140-Infrastructure!K$5)^2)</f>
        <v>9.803060747</v>
      </c>
      <c r="AY140" s="331">
        <f>SQRT(($R140-Infrastructure!J$6)^2+($S140-Infrastructure!K$6)^2)</f>
        <v>2.024845673</v>
      </c>
      <c r="AZ140" s="331">
        <f>SQRT(($R140-Infrastructure!J$7)^2+($S140-Infrastructure!K$7)^2)</f>
        <v>11.62497312</v>
      </c>
      <c r="BA140" s="331">
        <f>SQRT(($R140-Infrastructure!J$8)^2+($S140-Infrastructure!K$8)^2)</f>
        <v>21.16837263</v>
      </c>
      <c r="BB140" s="331">
        <f>SQRT(($R140-Infrastructure!J$9)^2+($S140-Infrastructure!K$9)^2)</f>
        <v>31.15461443</v>
      </c>
      <c r="BC140" s="331">
        <f>SQRT(($R140-Infrastructure!J$10)^2+($S140-Infrastructure!K$10)^2)</f>
        <v>33.61547263</v>
      </c>
      <c r="BD140" s="318"/>
      <c r="BE140" s="332"/>
      <c r="BF140" s="330">
        <f t="shared" si="8"/>
        <v>2.024845673</v>
      </c>
      <c r="BG140" s="333">
        <f t="shared" si="9"/>
        <v>33.61547263</v>
      </c>
      <c r="BH140" s="334"/>
      <c r="BI140" s="316"/>
      <c r="BJ140" s="318"/>
      <c r="BK140" s="318"/>
      <c r="BL140" s="318"/>
      <c r="BM140" s="318"/>
      <c r="BN140" s="318"/>
      <c r="BO140" s="318"/>
      <c r="BP140" s="318"/>
      <c r="BQ140" s="338"/>
      <c r="BR140" s="420"/>
      <c r="BS140" s="330">
        <f t="shared" si="10"/>
        <v>0</v>
      </c>
      <c r="BT140" s="331">
        <f t="shared" si="11"/>
        <v>0</v>
      </c>
      <c r="BU140" s="331"/>
      <c r="BV140" s="333"/>
      <c r="BW140" s="330"/>
      <c r="BX140" s="331"/>
      <c r="BY140" s="331"/>
      <c r="BZ140" s="340"/>
      <c r="CA140" s="316"/>
      <c r="CB140" s="318"/>
      <c r="CC140" s="318"/>
      <c r="CD140" s="318"/>
      <c r="CE140" s="318"/>
      <c r="CF140" s="318"/>
      <c r="CG140" s="318"/>
      <c r="CH140" s="318"/>
      <c r="CI140" s="338"/>
      <c r="CJ140" s="341"/>
      <c r="CK140" s="342">
        <f t="shared" si="12"/>
        <v>0</v>
      </c>
      <c r="CL140" s="333">
        <f t="shared" si="13"/>
        <v>0</v>
      </c>
      <c r="CM140" s="421" t="s">
        <v>1075</v>
      </c>
      <c r="CN140" s="416"/>
      <c r="CO140" s="416"/>
      <c r="CP140" s="416"/>
    </row>
    <row r="141">
      <c r="A141" s="315" t="s">
        <v>25</v>
      </c>
      <c r="B141" s="316"/>
      <c r="C141" s="417">
        <v>43622.0</v>
      </c>
      <c r="D141" s="318"/>
      <c r="E141" s="319">
        <v>19.0</v>
      </c>
      <c r="F141" s="332"/>
      <c r="G141" s="321">
        <v>0.6347222222222222</v>
      </c>
      <c r="H141" s="322"/>
      <c r="I141" s="322"/>
      <c r="J141" s="322"/>
      <c r="K141" s="323">
        <v>0.6378587962962963</v>
      </c>
      <c r="L141" s="322">
        <f t="shared" si="7"/>
        <v>0.003136574074</v>
      </c>
      <c r="M141" s="319" t="s">
        <v>167</v>
      </c>
      <c r="N141" s="324" t="s">
        <v>188</v>
      </c>
      <c r="O141" s="419" t="s">
        <v>841</v>
      </c>
      <c r="P141" s="319" t="s">
        <v>233</v>
      </c>
      <c r="Q141" s="318"/>
      <c r="R141" s="326">
        <v>21.2</v>
      </c>
      <c r="S141" s="319">
        <v>40.0</v>
      </c>
      <c r="T141" s="324">
        <v>1.55</v>
      </c>
      <c r="U141" s="319">
        <v>15.0</v>
      </c>
      <c r="V141" s="319"/>
      <c r="W141" s="319"/>
      <c r="X141" s="319"/>
      <c r="Y141" s="319"/>
      <c r="Z141" s="318"/>
      <c r="AA141" s="318"/>
      <c r="AB141" s="318"/>
      <c r="AC141" s="327">
        <v>22.098</v>
      </c>
      <c r="AD141" s="319"/>
      <c r="AE141" s="319"/>
      <c r="AF141" s="319"/>
      <c r="AG141" s="319"/>
      <c r="AH141" s="319"/>
      <c r="AI141" s="319"/>
      <c r="AJ141" s="327"/>
      <c r="AK141" s="328"/>
      <c r="AL141" s="319"/>
      <c r="AM141" s="319"/>
      <c r="AN141" s="319"/>
      <c r="AO141" s="319"/>
      <c r="AP141" s="319"/>
      <c r="AQ141" s="319"/>
      <c r="AR141" s="319"/>
      <c r="AS141" s="327"/>
      <c r="AT141" s="344"/>
      <c r="AU141" s="345" t="s">
        <v>845</v>
      </c>
      <c r="AV141" s="330">
        <f>SQRT(($R141-Infrastructure!J$3)^2+($S141-Infrastructure!K$3)^2)</f>
        <v>24.19628071</v>
      </c>
      <c r="AW141" s="331">
        <f>SQRT(($R141-Infrastructure!J$4)^2+($S141-Infrastructure!K$4)^2)</f>
        <v>30.90453041</v>
      </c>
      <c r="AX141" s="331">
        <f>SQRT(($R141-Infrastructure!J$5)^2+($S141-Infrastructure!K$5)^2)</f>
        <v>40.99097462</v>
      </c>
      <c r="AY141" s="331">
        <f>SQRT(($R141-Infrastructure!J$6)^2+($S141-Infrastructure!K$6)^2)</f>
        <v>41.22256664</v>
      </c>
      <c r="AZ141" s="331">
        <f>SQRT(($R141-Infrastructure!J$7)^2+($S141-Infrastructure!K$7)^2)</f>
        <v>39.70617081</v>
      </c>
      <c r="BA141" s="331">
        <f>SQRT(($R141-Infrastructure!J$8)^2+($S141-Infrastructure!K$8)^2)</f>
        <v>40.68537821</v>
      </c>
      <c r="BB141" s="331">
        <f>SQRT(($R141-Infrastructure!J$9)^2+($S141-Infrastructure!K$9)^2)</f>
        <v>39.64151864</v>
      </c>
      <c r="BC141" s="331">
        <f>SQRT(($R141-Infrastructure!J$10)^2+($S141-Infrastructure!K$10)^2)</f>
        <v>31.28002558</v>
      </c>
      <c r="BD141" s="318"/>
      <c r="BE141" s="332"/>
      <c r="BF141" s="330">
        <f t="shared" si="8"/>
        <v>24.19628071</v>
      </c>
      <c r="BG141" s="333">
        <f t="shared" si="9"/>
        <v>41.22256664</v>
      </c>
      <c r="BH141" s="334"/>
      <c r="BI141" s="316"/>
      <c r="BJ141" s="318"/>
      <c r="BK141" s="318"/>
      <c r="BL141" s="318"/>
      <c r="BM141" s="318"/>
      <c r="BN141" s="318"/>
      <c r="BO141" s="318"/>
      <c r="BP141" s="318"/>
      <c r="BQ141" s="338"/>
      <c r="BR141" s="420"/>
      <c r="BS141" s="330">
        <f t="shared" si="10"/>
        <v>0</v>
      </c>
      <c r="BT141" s="331">
        <f t="shared" si="11"/>
        <v>0</v>
      </c>
      <c r="BU141" s="331"/>
      <c r="BV141" s="333"/>
      <c r="BW141" s="330"/>
      <c r="BX141" s="331"/>
      <c r="BY141" s="331"/>
      <c r="BZ141" s="340"/>
      <c r="CA141" s="316"/>
      <c r="CB141" s="318"/>
      <c r="CC141" s="318"/>
      <c r="CD141" s="318"/>
      <c r="CE141" s="318"/>
      <c r="CF141" s="318"/>
      <c r="CG141" s="318"/>
      <c r="CH141" s="318"/>
      <c r="CI141" s="338"/>
      <c r="CJ141" s="341"/>
      <c r="CK141" s="342">
        <f t="shared" si="12"/>
        <v>0</v>
      </c>
      <c r="CL141" s="333">
        <f t="shared" si="13"/>
        <v>0</v>
      </c>
      <c r="CM141" s="423"/>
      <c r="CN141" s="424"/>
      <c r="CO141" s="424"/>
      <c r="CP141" s="424"/>
    </row>
    <row r="142">
      <c r="A142" s="315" t="s">
        <v>25</v>
      </c>
      <c r="B142" s="316"/>
      <c r="C142" s="417">
        <v>43622.0</v>
      </c>
      <c r="D142" s="318"/>
      <c r="E142" s="319">
        <v>20.0</v>
      </c>
      <c r="F142" s="332"/>
      <c r="G142" s="321">
        <v>0.6443865740740741</v>
      </c>
      <c r="H142" s="322"/>
      <c r="I142" s="322"/>
      <c r="J142" s="322"/>
      <c r="K142" s="323">
        <v>0.6472685185185185</v>
      </c>
      <c r="L142" s="322">
        <f t="shared" si="7"/>
        <v>0.002881944444</v>
      </c>
      <c r="M142" s="319" t="s">
        <v>167</v>
      </c>
      <c r="N142" s="324" t="s">
        <v>188</v>
      </c>
      <c r="O142" s="419" t="s">
        <v>841</v>
      </c>
      <c r="P142" s="319" t="s">
        <v>233</v>
      </c>
      <c r="Q142" s="318"/>
      <c r="R142" s="326">
        <v>21.2</v>
      </c>
      <c r="S142" s="319">
        <v>40.0</v>
      </c>
      <c r="T142" s="324">
        <v>1.55</v>
      </c>
      <c r="U142" s="319">
        <v>30.0</v>
      </c>
      <c r="V142" s="319"/>
      <c r="W142" s="319"/>
      <c r="X142" s="319"/>
      <c r="Y142" s="319"/>
      <c r="Z142" s="318"/>
      <c r="AA142" s="318"/>
      <c r="AB142" s="318"/>
      <c r="AC142" s="327">
        <v>52.501</v>
      </c>
      <c r="AD142" s="319"/>
      <c r="AE142" s="319"/>
      <c r="AF142" s="319"/>
      <c r="AG142" s="319"/>
      <c r="AH142" s="319"/>
      <c r="AI142" s="319"/>
      <c r="AJ142" s="327"/>
      <c r="AK142" s="328"/>
      <c r="AL142" s="319"/>
      <c r="AM142" s="319"/>
      <c r="AN142" s="319"/>
      <c r="AO142" s="319"/>
      <c r="AP142" s="319"/>
      <c r="AQ142" s="319"/>
      <c r="AR142" s="319"/>
      <c r="AS142" s="327"/>
      <c r="AT142" s="344"/>
      <c r="AU142" s="345" t="s">
        <v>845</v>
      </c>
      <c r="AV142" s="330">
        <f>SQRT(($R142-Infrastructure!J$3)^2+($S142-Infrastructure!K$3)^2)</f>
        <v>24.19628071</v>
      </c>
      <c r="AW142" s="331">
        <f>SQRT(($R142-Infrastructure!J$4)^2+($S142-Infrastructure!K$4)^2)</f>
        <v>30.90453041</v>
      </c>
      <c r="AX142" s="331">
        <f>SQRT(($R142-Infrastructure!J$5)^2+($S142-Infrastructure!K$5)^2)</f>
        <v>40.99097462</v>
      </c>
      <c r="AY142" s="331">
        <f>SQRT(($R142-Infrastructure!J$6)^2+($S142-Infrastructure!K$6)^2)</f>
        <v>41.22256664</v>
      </c>
      <c r="AZ142" s="331">
        <f>SQRT(($R142-Infrastructure!J$7)^2+($S142-Infrastructure!K$7)^2)</f>
        <v>39.70617081</v>
      </c>
      <c r="BA142" s="331">
        <f>SQRT(($R142-Infrastructure!J$8)^2+($S142-Infrastructure!K$8)^2)</f>
        <v>40.68537821</v>
      </c>
      <c r="BB142" s="331">
        <f>SQRT(($R142-Infrastructure!J$9)^2+($S142-Infrastructure!K$9)^2)</f>
        <v>39.64151864</v>
      </c>
      <c r="BC142" s="331">
        <f>SQRT(($R142-Infrastructure!J$10)^2+($S142-Infrastructure!K$10)^2)</f>
        <v>31.28002558</v>
      </c>
      <c r="BD142" s="318"/>
      <c r="BE142" s="332"/>
      <c r="BF142" s="330">
        <f t="shared" si="8"/>
        <v>24.19628071</v>
      </c>
      <c r="BG142" s="333">
        <f t="shared" si="9"/>
        <v>41.22256664</v>
      </c>
      <c r="BH142" s="334"/>
      <c r="BI142" s="316"/>
      <c r="BJ142" s="318"/>
      <c r="BK142" s="318"/>
      <c r="BL142" s="318"/>
      <c r="BM142" s="318"/>
      <c r="BN142" s="318"/>
      <c r="BO142" s="318"/>
      <c r="BP142" s="318"/>
      <c r="BQ142" s="338"/>
      <c r="BR142" s="420"/>
      <c r="BS142" s="330">
        <f t="shared" si="10"/>
        <v>0</v>
      </c>
      <c r="BT142" s="331">
        <f t="shared" si="11"/>
        <v>0</v>
      </c>
      <c r="BU142" s="331"/>
      <c r="BV142" s="333"/>
      <c r="BW142" s="330"/>
      <c r="BX142" s="331"/>
      <c r="BY142" s="331"/>
      <c r="BZ142" s="340"/>
      <c r="CA142" s="316"/>
      <c r="CB142" s="318"/>
      <c r="CC142" s="318"/>
      <c r="CD142" s="318"/>
      <c r="CE142" s="318"/>
      <c r="CF142" s="318"/>
      <c r="CG142" s="318"/>
      <c r="CH142" s="318"/>
      <c r="CI142" s="338"/>
      <c r="CJ142" s="341"/>
      <c r="CK142" s="342">
        <f t="shared" si="12"/>
        <v>0</v>
      </c>
      <c r="CL142" s="333">
        <f t="shared" si="13"/>
        <v>0</v>
      </c>
      <c r="CM142" s="423"/>
      <c r="CN142" s="424"/>
      <c r="CO142" s="424"/>
      <c r="CP142" s="424"/>
    </row>
    <row r="143">
      <c r="A143" s="315" t="s">
        <v>25</v>
      </c>
      <c r="B143" s="316"/>
      <c r="C143" s="417">
        <v>43622.0</v>
      </c>
      <c r="D143" s="318"/>
      <c r="E143" s="319">
        <v>21.0</v>
      </c>
      <c r="F143" s="332"/>
      <c r="G143" s="321">
        <v>0.6478472222222222</v>
      </c>
      <c r="H143" s="322"/>
      <c r="I143" s="322"/>
      <c r="J143" s="322"/>
      <c r="K143" s="323">
        <v>0.6541087962962963</v>
      </c>
      <c r="L143" s="322">
        <f t="shared" si="7"/>
        <v>0.006261574074</v>
      </c>
      <c r="M143" s="319" t="s">
        <v>167</v>
      </c>
      <c r="N143" s="324" t="s">
        <v>188</v>
      </c>
      <c r="O143" s="419" t="s">
        <v>841</v>
      </c>
      <c r="P143" s="319" t="s">
        <v>233</v>
      </c>
      <c r="Q143" s="318"/>
      <c r="R143" s="326">
        <v>21.2</v>
      </c>
      <c r="S143" s="319">
        <v>40.0</v>
      </c>
      <c r="T143" s="324">
        <v>1.55</v>
      </c>
      <c r="U143" s="319">
        <v>50.0</v>
      </c>
      <c r="V143" s="319"/>
      <c r="W143" s="319"/>
      <c r="X143" s="319"/>
      <c r="Y143" s="319"/>
      <c r="Z143" s="318"/>
      <c r="AA143" s="318"/>
      <c r="AB143" s="318"/>
      <c r="AC143" s="327">
        <v>52.501</v>
      </c>
      <c r="AD143" s="319"/>
      <c r="AE143" s="319"/>
      <c r="AF143" s="319"/>
      <c r="AG143" s="319"/>
      <c r="AH143" s="319"/>
      <c r="AI143" s="319"/>
      <c r="AJ143" s="327"/>
      <c r="AK143" s="328"/>
      <c r="AL143" s="319"/>
      <c r="AM143" s="319"/>
      <c r="AN143" s="319"/>
      <c r="AO143" s="319"/>
      <c r="AP143" s="319"/>
      <c r="AQ143" s="319"/>
      <c r="AR143" s="319"/>
      <c r="AS143" s="327"/>
      <c r="AT143" s="344"/>
      <c r="AU143" s="345" t="s">
        <v>845</v>
      </c>
      <c r="AV143" s="330">
        <f>SQRT(($R143-Infrastructure!J$3)^2+($S143-Infrastructure!K$3)^2)</f>
        <v>24.19628071</v>
      </c>
      <c r="AW143" s="331">
        <f>SQRT(($R143-Infrastructure!J$4)^2+($S143-Infrastructure!K$4)^2)</f>
        <v>30.90453041</v>
      </c>
      <c r="AX143" s="331">
        <f>SQRT(($R143-Infrastructure!J$5)^2+($S143-Infrastructure!K$5)^2)</f>
        <v>40.99097462</v>
      </c>
      <c r="AY143" s="331">
        <f>SQRT(($R143-Infrastructure!J$6)^2+($S143-Infrastructure!K$6)^2)</f>
        <v>41.22256664</v>
      </c>
      <c r="AZ143" s="331">
        <f>SQRT(($R143-Infrastructure!J$7)^2+($S143-Infrastructure!K$7)^2)</f>
        <v>39.70617081</v>
      </c>
      <c r="BA143" s="331">
        <f>SQRT(($R143-Infrastructure!J$8)^2+($S143-Infrastructure!K$8)^2)</f>
        <v>40.68537821</v>
      </c>
      <c r="BB143" s="331">
        <f>SQRT(($R143-Infrastructure!J$9)^2+($S143-Infrastructure!K$9)^2)</f>
        <v>39.64151864</v>
      </c>
      <c r="BC143" s="331">
        <f>SQRT(($R143-Infrastructure!J$10)^2+($S143-Infrastructure!K$10)^2)</f>
        <v>31.28002558</v>
      </c>
      <c r="BD143" s="318"/>
      <c r="BE143" s="332"/>
      <c r="BF143" s="330">
        <f t="shared" si="8"/>
        <v>24.19628071</v>
      </c>
      <c r="BG143" s="333">
        <f t="shared" si="9"/>
        <v>41.22256664</v>
      </c>
      <c r="BH143" s="334"/>
      <c r="BI143" s="316"/>
      <c r="BJ143" s="318"/>
      <c r="BK143" s="318"/>
      <c r="BL143" s="318"/>
      <c r="BM143" s="318"/>
      <c r="BN143" s="318"/>
      <c r="BO143" s="318"/>
      <c r="BP143" s="318"/>
      <c r="BQ143" s="338"/>
      <c r="BR143" s="420"/>
      <c r="BS143" s="330">
        <f t="shared" si="10"/>
        <v>0</v>
      </c>
      <c r="BT143" s="331">
        <f t="shared" si="11"/>
        <v>0</v>
      </c>
      <c r="BU143" s="331"/>
      <c r="BV143" s="333"/>
      <c r="BW143" s="330"/>
      <c r="BX143" s="331"/>
      <c r="BY143" s="331"/>
      <c r="BZ143" s="340"/>
      <c r="CA143" s="316"/>
      <c r="CB143" s="318"/>
      <c r="CC143" s="318"/>
      <c r="CD143" s="318"/>
      <c r="CE143" s="318"/>
      <c r="CF143" s="318"/>
      <c r="CG143" s="318"/>
      <c r="CH143" s="318"/>
      <c r="CI143" s="338"/>
      <c r="CJ143" s="341"/>
      <c r="CK143" s="342">
        <f t="shared" si="12"/>
        <v>0</v>
      </c>
      <c r="CL143" s="333">
        <f t="shared" si="13"/>
        <v>0</v>
      </c>
      <c r="CM143" s="423"/>
      <c r="CN143" s="424"/>
      <c r="CO143" s="424"/>
      <c r="CP143" s="424"/>
    </row>
    <row r="144">
      <c r="A144" s="315" t="s">
        <v>25</v>
      </c>
      <c r="B144" s="316"/>
      <c r="C144" s="417">
        <v>43622.0</v>
      </c>
      <c r="D144" s="318"/>
      <c r="E144" s="319">
        <v>22.0</v>
      </c>
      <c r="F144" s="332"/>
      <c r="G144" s="321">
        <v>0.6624421296296297</v>
      </c>
      <c r="H144" s="322"/>
      <c r="I144" s="322"/>
      <c r="J144" s="322"/>
      <c r="K144" s="323">
        <v>0.6671875</v>
      </c>
      <c r="L144" s="322">
        <f t="shared" si="7"/>
        <v>0.00474537037</v>
      </c>
      <c r="M144" s="319" t="s">
        <v>167</v>
      </c>
      <c r="N144" s="324" t="s">
        <v>187</v>
      </c>
      <c r="O144" s="419" t="s">
        <v>200</v>
      </c>
      <c r="P144" s="319" t="s">
        <v>220</v>
      </c>
      <c r="Q144" s="318"/>
      <c r="R144" s="326">
        <v>16.0</v>
      </c>
      <c r="S144" s="319">
        <v>7.0</v>
      </c>
      <c r="T144" s="324">
        <v>1.03</v>
      </c>
      <c r="U144" s="319">
        <v>3.0</v>
      </c>
      <c r="V144" s="319"/>
      <c r="W144" s="319"/>
      <c r="X144" s="319"/>
      <c r="Y144" s="319"/>
      <c r="Z144" s="318"/>
      <c r="AA144" s="318"/>
      <c r="AB144" s="318"/>
      <c r="AC144" s="327">
        <v>4.0</v>
      </c>
      <c r="AD144" s="319"/>
      <c r="AE144" s="319"/>
      <c r="AF144" s="319"/>
      <c r="AG144" s="319"/>
      <c r="AH144" s="319"/>
      <c r="AI144" s="319"/>
      <c r="AJ144" s="327"/>
      <c r="AK144" s="328"/>
      <c r="AL144" s="319"/>
      <c r="AM144" s="319"/>
      <c r="AN144" s="319"/>
      <c r="AO144" s="319"/>
      <c r="AP144" s="319"/>
      <c r="AQ144" s="319"/>
      <c r="AR144" s="319"/>
      <c r="AS144" s="327"/>
      <c r="AT144" s="344"/>
      <c r="AU144" s="345" t="s">
        <v>845</v>
      </c>
      <c r="AV144" s="330">
        <f>SQRT(($R144-Infrastructure!J$3)^2+($S144-Infrastructure!K$3)^2)</f>
        <v>27.30018315</v>
      </c>
      <c r="AW144" s="331">
        <f>SQRT(($R144-Infrastructure!J$4)^2+($S144-Infrastructure!K$4)^2)</f>
        <v>19.5532606</v>
      </c>
      <c r="AX144" s="331">
        <f>SQRT(($R144-Infrastructure!J$5)^2+($S144-Infrastructure!K$5)^2)</f>
        <v>16.41036258</v>
      </c>
      <c r="AY144" s="331">
        <f>SQRT(($R144-Infrastructure!J$6)^2+($S144-Infrastructure!K$6)^2)</f>
        <v>8.927485648</v>
      </c>
      <c r="AZ144" s="331">
        <f>SQRT(($R144-Infrastructure!J$7)^2+($S144-Infrastructure!K$7)^2)</f>
        <v>8.07093551</v>
      </c>
      <c r="BA144" s="331">
        <f>SQRT(($R144-Infrastructure!J$8)^2+($S144-Infrastructure!K$8)^2)</f>
        <v>15.61089363</v>
      </c>
      <c r="BB144" s="331">
        <f>SQRT(($R144-Infrastructure!J$9)^2+($S144-Infrastructure!K$9)^2)</f>
        <v>24.07509086</v>
      </c>
      <c r="BC144" s="331">
        <f>SQRT(($R144-Infrastructure!J$10)^2+($S144-Infrastructure!K$10)^2)</f>
        <v>25.29822128</v>
      </c>
      <c r="BD144" s="318"/>
      <c r="BE144" s="332"/>
      <c r="BF144" s="330">
        <f t="shared" si="8"/>
        <v>8.07093551</v>
      </c>
      <c r="BG144" s="333">
        <f t="shared" si="9"/>
        <v>27.30018315</v>
      </c>
      <c r="BH144" s="334"/>
      <c r="BI144" s="316"/>
      <c r="BJ144" s="318"/>
      <c r="BK144" s="318"/>
      <c r="BL144" s="318"/>
      <c r="BM144" s="318"/>
      <c r="BN144" s="318"/>
      <c r="BO144" s="318"/>
      <c r="BP144" s="318"/>
      <c r="BQ144" s="338"/>
      <c r="BR144" s="420"/>
      <c r="BS144" s="330">
        <f t="shared" si="10"/>
        <v>0</v>
      </c>
      <c r="BT144" s="331">
        <f t="shared" si="11"/>
        <v>0</v>
      </c>
      <c r="BU144" s="331"/>
      <c r="BV144" s="333"/>
      <c r="BW144" s="330"/>
      <c r="BX144" s="331"/>
      <c r="BY144" s="331"/>
      <c r="BZ144" s="340"/>
      <c r="CA144" s="316"/>
      <c r="CB144" s="318"/>
      <c r="CC144" s="318"/>
      <c r="CD144" s="318"/>
      <c r="CE144" s="318"/>
      <c r="CF144" s="318"/>
      <c r="CG144" s="318"/>
      <c r="CH144" s="318"/>
      <c r="CI144" s="338"/>
      <c r="CJ144" s="341"/>
      <c r="CK144" s="342">
        <f t="shared" si="12"/>
        <v>0</v>
      </c>
      <c r="CL144" s="333">
        <f t="shared" si="13"/>
        <v>0</v>
      </c>
      <c r="CM144" s="423"/>
      <c r="CN144" s="424"/>
      <c r="CO144" s="424"/>
      <c r="CP144" s="424"/>
    </row>
    <row r="145">
      <c r="A145" s="315" t="s">
        <v>25</v>
      </c>
      <c r="B145" s="316"/>
      <c r="C145" s="417">
        <v>43622.0</v>
      </c>
      <c r="D145" s="318"/>
      <c r="E145" s="319">
        <v>23.0</v>
      </c>
      <c r="F145" s="332"/>
      <c r="G145" s="321">
        <v>0.670775462962963</v>
      </c>
      <c r="H145" s="322"/>
      <c r="I145" s="322"/>
      <c r="J145" s="322"/>
      <c r="K145" s="323">
        <v>0.672511574074074</v>
      </c>
      <c r="L145" s="322">
        <f t="shared" si="7"/>
        <v>0.001736111111</v>
      </c>
      <c r="M145" s="319" t="s">
        <v>167</v>
      </c>
      <c r="N145" s="324" t="s">
        <v>187</v>
      </c>
      <c r="O145" s="419" t="s">
        <v>200</v>
      </c>
      <c r="P145" s="319" t="s">
        <v>220</v>
      </c>
      <c r="Q145" s="318"/>
      <c r="R145" s="326">
        <v>16.0</v>
      </c>
      <c r="S145" s="319">
        <v>7.0</v>
      </c>
      <c r="T145" s="324">
        <v>1.03</v>
      </c>
      <c r="U145" s="319">
        <v>5.0</v>
      </c>
      <c r="V145" s="319"/>
      <c r="W145" s="319"/>
      <c r="X145" s="319"/>
      <c r="Y145" s="319"/>
      <c r="Z145" s="318"/>
      <c r="AA145" s="318"/>
      <c r="AB145" s="318"/>
      <c r="AC145" s="327">
        <v>4.0</v>
      </c>
      <c r="AD145" s="319"/>
      <c r="AE145" s="319"/>
      <c r="AF145" s="319"/>
      <c r="AG145" s="319"/>
      <c r="AH145" s="319"/>
      <c r="AI145" s="319"/>
      <c r="AJ145" s="327"/>
      <c r="AK145" s="328"/>
      <c r="AL145" s="319"/>
      <c r="AM145" s="319"/>
      <c r="AN145" s="319"/>
      <c r="AO145" s="319"/>
      <c r="AP145" s="319"/>
      <c r="AQ145" s="319"/>
      <c r="AR145" s="319"/>
      <c r="AS145" s="327"/>
      <c r="AT145" s="344"/>
      <c r="AU145" s="345" t="s">
        <v>845</v>
      </c>
      <c r="AV145" s="330">
        <f>SQRT(($R145-Infrastructure!J$3)^2+($S145-Infrastructure!K$3)^2)</f>
        <v>27.30018315</v>
      </c>
      <c r="AW145" s="331">
        <f>SQRT(($R145-Infrastructure!J$4)^2+($S145-Infrastructure!K$4)^2)</f>
        <v>19.5532606</v>
      </c>
      <c r="AX145" s="331">
        <f>SQRT(($R145-Infrastructure!J$5)^2+($S145-Infrastructure!K$5)^2)</f>
        <v>16.41036258</v>
      </c>
      <c r="AY145" s="331">
        <f>SQRT(($R145-Infrastructure!J$6)^2+($S145-Infrastructure!K$6)^2)</f>
        <v>8.927485648</v>
      </c>
      <c r="AZ145" s="331">
        <f>SQRT(($R145-Infrastructure!J$7)^2+($S145-Infrastructure!K$7)^2)</f>
        <v>8.07093551</v>
      </c>
      <c r="BA145" s="331">
        <f>SQRT(($R145-Infrastructure!J$8)^2+($S145-Infrastructure!K$8)^2)</f>
        <v>15.61089363</v>
      </c>
      <c r="BB145" s="331">
        <f>SQRT(($R145-Infrastructure!J$9)^2+($S145-Infrastructure!K$9)^2)</f>
        <v>24.07509086</v>
      </c>
      <c r="BC145" s="331">
        <f>SQRT(($R145-Infrastructure!J$10)^2+($S145-Infrastructure!K$10)^2)</f>
        <v>25.29822128</v>
      </c>
      <c r="BD145" s="318"/>
      <c r="BE145" s="332"/>
      <c r="BF145" s="330">
        <f t="shared" si="8"/>
        <v>8.07093551</v>
      </c>
      <c r="BG145" s="333">
        <f t="shared" si="9"/>
        <v>27.30018315</v>
      </c>
      <c r="BH145" s="334"/>
      <c r="BI145" s="316"/>
      <c r="BJ145" s="318"/>
      <c r="BK145" s="318"/>
      <c r="BL145" s="318"/>
      <c r="BM145" s="318"/>
      <c r="BN145" s="318"/>
      <c r="BO145" s="318"/>
      <c r="BP145" s="318"/>
      <c r="BQ145" s="338"/>
      <c r="BR145" s="420"/>
      <c r="BS145" s="330">
        <f t="shared" si="10"/>
        <v>0</v>
      </c>
      <c r="BT145" s="331">
        <f t="shared" si="11"/>
        <v>0</v>
      </c>
      <c r="BU145" s="331"/>
      <c r="BV145" s="333"/>
      <c r="BW145" s="330"/>
      <c r="BX145" s="331"/>
      <c r="BY145" s="331"/>
      <c r="BZ145" s="340"/>
      <c r="CA145" s="316"/>
      <c r="CB145" s="318"/>
      <c r="CC145" s="318"/>
      <c r="CD145" s="318"/>
      <c r="CE145" s="318"/>
      <c r="CF145" s="318"/>
      <c r="CG145" s="318"/>
      <c r="CH145" s="318"/>
      <c r="CI145" s="338"/>
      <c r="CJ145" s="341"/>
      <c r="CK145" s="342">
        <f t="shared" si="12"/>
        <v>0</v>
      </c>
      <c r="CL145" s="333">
        <f t="shared" si="13"/>
        <v>0</v>
      </c>
      <c r="CM145" s="423"/>
      <c r="CN145" s="424"/>
      <c r="CO145" s="424"/>
      <c r="CP145" s="424"/>
    </row>
    <row r="146">
      <c r="A146" s="315" t="s">
        <v>25</v>
      </c>
      <c r="B146" s="316"/>
      <c r="C146" s="417">
        <v>43622.0</v>
      </c>
      <c r="D146" s="318"/>
      <c r="E146" s="319">
        <v>24.0</v>
      </c>
      <c r="F146" s="332"/>
      <c r="G146" s="321">
        <v>0.6735763888888889</v>
      </c>
      <c r="H146" s="322"/>
      <c r="I146" s="322"/>
      <c r="J146" s="322"/>
      <c r="K146" s="323">
        <v>0.6757175925925926</v>
      </c>
      <c r="L146" s="322">
        <f t="shared" si="7"/>
        <v>0.002141203704</v>
      </c>
      <c r="M146" s="319" t="s">
        <v>167</v>
      </c>
      <c r="N146" s="324" t="s">
        <v>187</v>
      </c>
      <c r="O146" s="419" t="s">
        <v>200</v>
      </c>
      <c r="P146" s="319" t="s">
        <v>220</v>
      </c>
      <c r="Q146" s="318"/>
      <c r="R146" s="326">
        <v>16.0</v>
      </c>
      <c r="S146" s="319">
        <v>7.0</v>
      </c>
      <c r="T146" s="324">
        <v>1.03</v>
      </c>
      <c r="U146" s="319">
        <v>9.0</v>
      </c>
      <c r="V146" s="319"/>
      <c r="W146" s="319"/>
      <c r="X146" s="319"/>
      <c r="Y146" s="319"/>
      <c r="Z146" s="318"/>
      <c r="AA146" s="318"/>
      <c r="AB146" s="318"/>
      <c r="AC146" s="327">
        <v>4.0</v>
      </c>
      <c r="AD146" s="319"/>
      <c r="AE146" s="319"/>
      <c r="AF146" s="319"/>
      <c r="AG146" s="319"/>
      <c r="AH146" s="319"/>
      <c r="AI146" s="319"/>
      <c r="AJ146" s="327"/>
      <c r="AK146" s="328"/>
      <c r="AL146" s="319"/>
      <c r="AM146" s="319"/>
      <c r="AN146" s="319"/>
      <c r="AO146" s="319"/>
      <c r="AP146" s="319"/>
      <c r="AQ146" s="319"/>
      <c r="AR146" s="319"/>
      <c r="AS146" s="327"/>
      <c r="AT146" s="344"/>
      <c r="AU146" s="345" t="s">
        <v>845</v>
      </c>
      <c r="AV146" s="330">
        <f>SQRT(($R146-Infrastructure!J$3)^2+($S146-Infrastructure!K$3)^2)</f>
        <v>27.30018315</v>
      </c>
      <c r="AW146" s="331">
        <f>SQRT(($R146-Infrastructure!J$4)^2+($S146-Infrastructure!K$4)^2)</f>
        <v>19.5532606</v>
      </c>
      <c r="AX146" s="331">
        <f>SQRT(($R146-Infrastructure!J$5)^2+($S146-Infrastructure!K$5)^2)</f>
        <v>16.41036258</v>
      </c>
      <c r="AY146" s="331">
        <f>SQRT(($R146-Infrastructure!J$6)^2+($S146-Infrastructure!K$6)^2)</f>
        <v>8.927485648</v>
      </c>
      <c r="AZ146" s="331">
        <f>SQRT(($R146-Infrastructure!J$7)^2+($S146-Infrastructure!K$7)^2)</f>
        <v>8.07093551</v>
      </c>
      <c r="BA146" s="331">
        <f>SQRT(($R146-Infrastructure!J$8)^2+($S146-Infrastructure!K$8)^2)</f>
        <v>15.61089363</v>
      </c>
      <c r="BB146" s="331">
        <f>SQRT(($R146-Infrastructure!J$9)^2+($S146-Infrastructure!K$9)^2)</f>
        <v>24.07509086</v>
      </c>
      <c r="BC146" s="331">
        <f>SQRT(($R146-Infrastructure!J$10)^2+($S146-Infrastructure!K$10)^2)</f>
        <v>25.29822128</v>
      </c>
      <c r="BD146" s="318"/>
      <c r="BE146" s="332"/>
      <c r="BF146" s="330">
        <f t="shared" si="8"/>
        <v>8.07093551</v>
      </c>
      <c r="BG146" s="333">
        <f t="shared" si="9"/>
        <v>27.30018315</v>
      </c>
      <c r="BH146" s="334"/>
      <c r="BI146" s="316"/>
      <c r="BJ146" s="318"/>
      <c r="BK146" s="318"/>
      <c r="BL146" s="318"/>
      <c r="BM146" s="318"/>
      <c r="BN146" s="318"/>
      <c r="BO146" s="318"/>
      <c r="BP146" s="318"/>
      <c r="BQ146" s="338"/>
      <c r="BR146" s="420"/>
      <c r="BS146" s="330">
        <f t="shared" si="10"/>
        <v>0</v>
      </c>
      <c r="BT146" s="331">
        <f t="shared" si="11"/>
        <v>0</v>
      </c>
      <c r="BU146" s="331"/>
      <c r="BV146" s="333"/>
      <c r="BW146" s="330"/>
      <c r="BX146" s="331"/>
      <c r="BY146" s="331"/>
      <c r="BZ146" s="340"/>
      <c r="CA146" s="316"/>
      <c r="CB146" s="318"/>
      <c r="CC146" s="318"/>
      <c r="CD146" s="318"/>
      <c r="CE146" s="318"/>
      <c r="CF146" s="318"/>
      <c r="CG146" s="318"/>
      <c r="CH146" s="318"/>
      <c r="CI146" s="338"/>
      <c r="CJ146" s="341"/>
      <c r="CK146" s="342">
        <f t="shared" si="12"/>
        <v>0</v>
      </c>
      <c r="CL146" s="333">
        <f t="shared" si="13"/>
        <v>0</v>
      </c>
      <c r="CM146" s="423"/>
      <c r="CN146" s="424"/>
      <c r="CO146" s="424"/>
      <c r="CP146" s="424"/>
    </row>
    <row r="147">
      <c r="A147" s="315" t="s">
        <v>25</v>
      </c>
      <c r="B147" s="316"/>
      <c r="C147" s="417">
        <v>43622.0</v>
      </c>
      <c r="D147" s="318"/>
      <c r="E147" s="319"/>
      <c r="F147" s="332"/>
      <c r="G147" s="321">
        <v>0.7026041666666667</v>
      </c>
      <c r="H147" s="322"/>
      <c r="I147" s="322"/>
      <c r="J147" s="322"/>
      <c r="K147" s="323">
        <v>0.7041666666666667</v>
      </c>
      <c r="L147" s="322">
        <f t="shared" si="7"/>
        <v>0.0015625</v>
      </c>
      <c r="M147" s="319"/>
      <c r="N147" s="324"/>
      <c r="O147" s="419"/>
      <c r="P147" s="319"/>
      <c r="Q147" s="318"/>
      <c r="R147" s="326"/>
      <c r="S147" s="319"/>
      <c r="T147" s="324"/>
      <c r="U147" s="319"/>
      <c r="V147" s="319"/>
      <c r="W147" s="319"/>
      <c r="X147" s="319"/>
      <c r="Y147" s="319"/>
      <c r="Z147" s="318"/>
      <c r="AA147" s="318"/>
      <c r="AB147" s="318"/>
      <c r="AC147" s="327"/>
      <c r="AD147" s="319"/>
      <c r="AE147" s="319"/>
      <c r="AF147" s="319"/>
      <c r="AG147" s="319"/>
      <c r="AH147" s="319"/>
      <c r="AI147" s="319"/>
      <c r="AJ147" s="327"/>
      <c r="AK147" s="328"/>
      <c r="AL147" s="319"/>
      <c r="AM147" s="319"/>
      <c r="AN147" s="319"/>
      <c r="AO147" s="319"/>
      <c r="AP147" s="319"/>
      <c r="AQ147" s="319"/>
      <c r="AR147" s="319"/>
      <c r="AS147" s="327"/>
      <c r="AT147" s="344"/>
      <c r="AU147" s="345" t="s">
        <v>845</v>
      </c>
      <c r="AV147" s="330"/>
      <c r="AW147" s="331"/>
      <c r="AX147" s="331"/>
      <c r="AY147" s="331"/>
      <c r="AZ147" s="331"/>
      <c r="BA147" s="331"/>
      <c r="BB147" s="331"/>
      <c r="BC147" s="331"/>
      <c r="BD147" s="318"/>
      <c r="BE147" s="332"/>
      <c r="BF147" s="330"/>
      <c r="BG147" s="333"/>
      <c r="BH147" s="334"/>
      <c r="BI147" s="316"/>
      <c r="BJ147" s="318"/>
      <c r="BK147" s="318"/>
      <c r="BL147" s="318"/>
      <c r="BM147" s="318"/>
      <c r="BN147" s="318"/>
      <c r="BO147" s="318"/>
      <c r="BP147" s="318"/>
      <c r="BQ147" s="338"/>
      <c r="BR147" s="420"/>
      <c r="BS147" s="330"/>
      <c r="BT147" s="331"/>
      <c r="BU147" s="331"/>
      <c r="BV147" s="333"/>
      <c r="BW147" s="330"/>
      <c r="BX147" s="331"/>
      <c r="BY147" s="331"/>
      <c r="BZ147" s="340"/>
      <c r="CA147" s="316"/>
      <c r="CB147" s="318"/>
      <c r="CC147" s="318"/>
      <c r="CD147" s="318"/>
      <c r="CE147" s="318"/>
      <c r="CF147" s="318"/>
      <c r="CG147" s="318"/>
      <c r="CH147" s="318"/>
      <c r="CI147" s="338"/>
      <c r="CJ147" s="341"/>
      <c r="CK147" s="342"/>
      <c r="CL147" s="333"/>
      <c r="CM147" s="415" t="s">
        <v>1070</v>
      </c>
      <c r="CN147" s="416"/>
      <c r="CO147" s="416"/>
      <c r="CP147" s="416"/>
    </row>
    <row r="148">
      <c r="A148" s="315" t="s">
        <v>25</v>
      </c>
      <c r="B148" s="316"/>
      <c r="C148" s="417">
        <v>43622.0</v>
      </c>
      <c r="D148" s="318"/>
      <c r="E148" s="319"/>
      <c r="F148" s="332"/>
      <c r="G148" s="321">
        <v>0.7068287037037037</v>
      </c>
      <c r="H148" s="322"/>
      <c r="I148" s="322"/>
      <c r="J148" s="322"/>
      <c r="K148" s="323">
        <v>0.7086458333333333</v>
      </c>
      <c r="L148" s="322">
        <f t="shared" si="7"/>
        <v>0.00181712963</v>
      </c>
      <c r="M148" s="319"/>
      <c r="N148" s="324"/>
      <c r="O148" s="419"/>
      <c r="P148" s="319"/>
      <c r="Q148" s="318"/>
      <c r="R148" s="326"/>
      <c r="S148" s="319"/>
      <c r="T148" s="324"/>
      <c r="U148" s="319"/>
      <c r="V148" s="319"/>
      <c r="W148" s="319"/>
      <c r="X148" s="319"/>
      <c r="Y148" s="319"/>
      <c r="Z148" s="318"/>
      <c r="AA148" s="318"/>
      <c r="AB148" s="318"/>
      <c r="AC148" s="327"/>
      <c r="AD148" s="319"/>
      <c r="AE148" s="319"/>
      <c r="AF148" s="319"/>
      <c r="AG148" s="319"/>
      <c r="AH148" s="319"/>
      <c r="AI148" s="319"/>
      <c r="AJ148" s="327"/>
      <c r="AK148" s="328"/>
      <c r="AL148" s="319"/>
      <c r="AM148" s="319"/>
      <c r="AN148" s="319"/>
      <c r="AO148" s="319"/>
      <c r="AP148" s="319"/>
      <c r="AQ148" s="319"/>
      <c r="AR148" s="319"/>
      <c r="AS148" s="327"/>
      <c r="AT148" s="344"/>
      <c r="AU148" s="345" t="s">
        <v>845</v>
      </c>
      <c r="AV148" s="330"/>
      <c r="AW148" s="331"/>
      <c r="AX148" s="331"/>
      <c r="AY148" s="331"/>
      <c r="AZ148" s="331"/>
      <c r="BA148" s="331"/>
      <c r="BB148" s="331"/>
      <c r="BC148" s="331"/>
      <c r="BD148" s="318"/>
      <c r="BE148" s="332"/>
      <c r="BF148" s="330"/>
      <c r="BG148" s="333"/>
      <c r="BH148" s="334"/>
      <c r="BI148" s="316"/>
      <c r="BJ148" s="318"/>
      <c r="BK148" s="318"/>
      <c r="BL148" s="318"/>
      <c r="BM148" s="318"/>
      <c r="BN148" s="318"/>
      <c r="BO148" s="318"/>
      <c r="BP148" s="318"/>
      <c r="BQ148" s="338"/>
      <c r="BR148" s="420"/>
      <c r="BS148" s="330"/>
      <c r="BT148" s="331"/>
      <c r="BU148" s="331"/>
      <c r="BV148" s="333"/>
      <c r="BW148" s="330"/>
      <c r="BX148" s="331"/>
      <c r="BY148" s="331"/>
      <c r="BZ148" s="340"/>
      <c r="CA148" s="316"/>
      <c r="CB148" s="318"/>
      <c r="CC148" s="318"/>
      <c r="CD148" s="318"/>
      <c r="CE148" s="318"/>
      <c r="CF148" s="318"/>
      <c r="CG148" s="318"/>
      <c r="CH148" s="318"/>
      <c r="CI148" s="338"/>
      <c r="CJ148" s="341"/>
      <c r="CK148" s="342"/>
      <c r="CL148" s="333"/>
      <c r="CM148" s="415" t="s">
        <v>1070</v>
      </c>
      <c r="CN148" s="416"/>
      <c r="CO148" s="416"/>
      <c r="CP148" s="416"/>
    </row>
    <row r="149">
      <c r="A149" s="315" t="s">
        <v>25</v>
      </c>
      <c r="B149" s="316"/>
      <c r="C149" s="417">
        <v>43622.0</v>
      </c>
      <c r="D149" s="318"/>
      <c r="E149" s="319"/>
      <c r="F149" s="332"/>
      <c r="G149" s="321">
        <v>0.7103356481481482</v>
      </c>
      <c r="H149" s="322"/>
      <c r="I149" s="322"/>
      <c r="J149" s="322"/>
      <c r="K149" s="323">
        <v>0.7121527777777777</v>
      </c>
      <c r="L149" s="322">
        <f t="shared" si="7"/>
        <v>0.00181712963</v>
      </c>
      <c r="M149" s="319"/>
      <c r="N149" s="324"/>
      <c r="O149" s="419"/>
      <c r="P149" s="319"/>
      <c r="Q149" s="318"/>
      <c r="R149" s="326"/>
      <c r="S149" s="319"/>
      <c r="T149" s="324"/>
      <c r="U149" s="319"/>
      <c r="V149" s="319"/>
      <c r="W149" s="319"/>
      <c r="X149" s="319"/>
      <c r="Y149" s="319"/>
      <c r="Z149" s="318"/>
      <c r="AA149" s="318"/>
      <c r="AB149" s="318"/>
      <c r="AC149" s="327"/>
      <c r="AD149" s="319"/>
      <c r="AE149" s="319"/>
      <c r="AF149" s="319"/>
      <c r="AG149" s="319"/>
      <c r="AH149" s="319"/>
      <c r="AI149" s="319"/>
      <c r="AJ149" s="327"/>
      <c r="AK149" s="328"/>
      <c r="AL149" s="319"/>
      <c r="AM149" s="319"/>
      <c r="AN149" s="319"/>
      <c r="AO149" s="319"/>
      <c r="AP149" s="319"/>
      <c r="AQ149" s="319"/>
      <c r="AR149" s="319"/>
      <c r="AS149" s="327"/>
      <c r="AT149" s="344"/>
      <c r="AU149" s="345" t="s">
        <v>845</v>
      </c>
      <c r="AV149" s="330"/>
      <c r="AW149" s="331"/>
      <c r="AX149" s="331"/>
      <c r="AY149" s="331"/>
      <c r="AZ149" s="331"/>
      <c r="BA149" s="331"/>
      <c r="BB149" s="331"/>
      <c r="BC149" s="331"/>
      <c r="BD149" s="318"/>
      <c r="BE149" s="332"/>
      <c r="BF149" s="330"/>
      <c r="BG149" s="333"/>
      <c r="BH149" s="334"/>
      <c r="BI149" s="316"/>
      <c r="BJ149" s="318"/>
      <c r="BK149" s="318"/>
      <c r="BL149" s="318"/>
      <c r="BM149" s="318"/>
      <c r="BN149" s="318"/>
      <c r="BO149" s="318"/>
      <c r="BP149" s="318"/>
      <c r="BQ149" s="338"/>
      <c r="BR149" s="420"/>
      <c r="BS149" s="330"/>
      <c r="BT149" s="331"/>
      <c r="BU149" s="331"/>
      <c r="BV149" s="333"/>
      <c r="BW149" s="330"/>
      <c r="BX149" s="331"/>
      <c r="BY149" s="331"/>
      <c r="BZ149" s="340"/>
      <c r="CA149" s="316"/>
      <c r="CB149" s="318"/>
      <c r="CC149" s="318"/>
      <c r="CD149" s="318"/>
      <c r="CE149" s="318"/>
      <c r="CF149" s="318"/>
      <c r="CG149" s="318"/>
      <c r="CH149" s="318"/>
      <c r="CI149" s="338"/>
      <c r="CJ149" s="341"/>
      <c r="CK149" s="342"/>
      <c r="CL149" s="333"/>
      <c r="CM149" s="415" t="s">
        <v>1070</v>
      </c>
      <c r="CN149" s="416"/>
      <c r="CO149" s="416"/>
      <c r="CP149" s="416"/>
    </row>
    <row r="150">
      <c r="A150" s="315" t="s">
        <v>25</v>
      </c>
      <c r="B150" s="316"/>
      <c r="C150" s="417">
        <v>43622.0</v>
      </c>
      <c r="D150" s="318"/>
      <c r="E150" s="319"/>
      <c r="F150" s="332"/>
      <c r="G150" s="321">
        <v>0.7155092592592592</v>
      </c>
      <c r="H150" s="322"/>
      <c r="I150" s="322"/>
      <c r="J150" s="322"/>
      <c r="K150" s="323">
        <v>0.7177314814814815</v>
      </c>
      <c r="L150" s="322">
        <f t="shared" si="7"/>
        <v>0.002222222222</v>
      </c>
      <c r="M150" s="319"/>
      <c r="N150" s="324"/>
      <c r="O150" s="419"/>
      <c r="P150" s="319"/>
      <c r="Q150" s="318"/>
      <c r="R150" s="326"/>
      <c r="S150" s="319"/>
      <c r="T150" s="324"/>
      <c r="U150" s="319"/>
      <c r="V150" s="319"/>
      <c r="W150" s="319"/>
      <c r="X150" s="319"/>
      <c r="Y150" s="319"/>
      <c r="Z150" s="318"/>
      <c r="AA150" s="318"/>
      <c r="AB150" s="318"/>
      <c r="AC150" s="327"/>
      <c r="AD150" s="319"/>
      <c r="AE150" s="319"/>
      <c r="AF150" s="319"/>
      <c r="AG150" s="319"/>
      <c r="AH150" s="319"/>
      <c r="AI150" s="319"/>
      <c r="AJ150" s="327"/>
      <c r="AK150" s="328"/>
      <c r="AL150" s="319"/>
      <c r="AM150" s="319"/>
      <c r="AN150" s="319"/>
      <c r="AO150" s="319"/>
      <c r="AP150" s="319"/>
      <c r="AQ150" s="319"/>
      <c r="AR150" s="319"/>
      <c r="AS150" s="327"/>
      <c r="AT150" s="344"/>
      <c r="AU150" s="345" t="s">
        <v>845</v>
      </c>
      <c r="AV150" s="330"/>
      <c r="AW150" s="331"/>
      <c r="AX150" s="331"/>
      <c r="AY150" s="331"/>
      <c r="AZ150" s="331"/>
      <c r="BA150" s="331"/>
      <c r="BB150" s="331"/>
      <c r="BC150" s="331"/>
      <c r="BD150" s="318"/>
      <c r="BE150" s="332"/>
      <c r="BF150" s="330"/>
      <c r="BG150" s="333"/>
      <c r="BH150" s="334"/>
      <c r="BI150" s="316"/>
      <c r="BJ150" s="318"/>
      <c r="BK150" s="318"/>
      <c r="BL150" s="318"/>
      <c r="BM150" s="318"/>
      <c r="BN150" s="318"/>
      <c r="BO150" s="318"/>
      <c r="BP150" s="318"/>
      <c r="BQ150" s="338"/>
      <c r="BR150" s="420"/>
      <c r="BS150" s="330"/>
      <c r="BT150" s="331"/>
      <c r="BU150" s="331"/>
      <c r="BV150" s="333"/>
      <c r="BW150" s="330"/>
      <c r="BX150" s="331"/>
      <c r="BY150" s="331"/>
      <c r="BZ150" s="340"/>
      <c r="CA150" s="316"/>
      <c r="CB150" s="318"/>
      <c r="CC150" s="318"/>
      <c r="CD150" s="318"/>
      <c r="CE150" s="318"/>
      <c r="CF150" s="318"/>
      <c r="CG150" s="318"/>
      <c r="CH150" s="318"/>
      <c r="CI150" s="338"/>
      <c r="CJ150" s="341"/>
      <c r="CK150" s="342"/>
      <c r="CL150" s="333"/>
      <c r="CM150" s="415" t="s">
        <v>1070</v>
      </c>
      <c r="CN150" s="416"/>
      <c r="CO150" s="416"/>
      <c r="CP150" s="416"/>
    </row>
    <row r="151">
      <c r="A151" s="315" t="s">
        <v>25</v>
      </c>
      <c r="B151" s="316"/>
      <c r="C151" s="417">
        <v>43622.0</v>
      </c>
      <c r="D151" s="318"/>
      <c r="E151" s="319"/>
      <c r="F151" s="332"/>
      <c r="G151" s="321">
        <v>0.7210648148148148</v>
      </c>
      <c r="H151" s="322"/>
      <c r="I151" s="322"/>
      <c r="J151" s="322"/>
      <c r="K151" s="323">
        <v>0.7228819444444444</v>
      </c>
      <c r="L151" s="322">
        <f t="shared" si="7"/>
        <v>0.00181712963</v>
      </c>
      <c r="M151" s="319"/>
      <c r="N151" s="324"/>
      <c r="O151" s="419"/>
      <c r="P151" s="319"/>
      <c r="Q151" s="318"/>
      <c r="R151" s="326"/>
      <c r="S151" s="319"/>
      <c r="T151" s="324"/>
      <c r="U151" s="319"/>
      <c r="V151" s="319"/>
      <c r="W151" s="319"/>
      <c r="X151" s="319"/>
      <c r="Y151" s="319"/>
      <c r="Z151" s="318"/>
      <c r="AA151" s="318"/>
      <c r="AB151" s="318"/>
      <c r="AC151" s="327"/>
      <c r="AD151" s="319"/>
      <c r="AE151" s="319"/>
      <c r="AF151" s="319"/>
      <c r="AG151" s="319"/>
      <c r="AH151" s="319"/>
      <c r="AI151" s="319"/>
      <c r="AJ151" s="327"/>
      <c r="AK151" s="328"/>
      <c r="AL151" s="319"/>
      <c r="AM151" s="319"/>
      <c r="AN151" s="319"/>
      <c r="AO151" s="319"/>
      <c r="AP151" s="319"/>
      <c r="AQ151" s="319"/>
      <c r="AR151" s="319"/>
      <c r="AS151" s="327"/>
      <c r="AT151" s="344"/>
      <c r="AU151" s="345" t="s">
        <v>845</v>
      </c>
      <c r="AV151" s="330"/>
      <c r="AW151" s="331"/>
      <c r="AX151" s="331"/>
      <c r="AY151" s="331"/>
      <c r="AZ151" s="331"/>
      <c r="BA151" s="331"/>
      <c r="BB151" s="331"/>
      <c r="BC151" s="331"/>
      <c r="BD151" s="318"/>
      <c r="BE151" s="332"/>
      <c r="BF151" s="330"/>
      <c r="BG151" s="333"/>
      <c r="BH151" s="334"/>
      <c r="BI151" s="316"/>
      <c r="BJ151" s="318"/>
      <c r="BK151" s="318"/>
      <c r="BL151" s="318"/>
      <c r="BM151" s="318"/>
      <c r="BN151" s="318"/>
      <c r="BO151" s="318"/>
      <c r="BP151" s="318"/>
      <c r="BQ151" s="338"/>
      <c r="BR151" s="420"/>
      <c r="BS151" s="330"/>
      <c r="BT151" s="331"/>
      <c r="BU151" s="331"/>
      <c r="BV151" s="333"/>
      <c r="BW151" s="330"/>
      <c r="BX151" s="331"/>
      <c r="BY151" s="331"/>
      <c r="BZ151" s="340"/>
      <c r="CA151" s="316"/>
      <c r="CB151" s="318"/>
      <c r="CC151" s="318"/>
      <c r="CD151" s="318"/>
      <c r="CE151" s="318"/>
      <c r="CF151" s="318"/>
      <c r="CG151" s="318"/>
      <c r="CH151" s="318"/>
      <c r="CI151" s="338"/>
      <c r="CJ151" s="341"/>
      <c r="CK151" s="342"/>
      <c r="CL151" s="333"/>
      <c r="CM151" s="415" t="s">
        <v>1070</v>
      </c>
      <c r="CN151" s="416"/>
      <c r="CO151" s="416"/>
      <c r="CP151" s="416"/>
    </row>
    <row r="152">
      <c r="A152" s="315" t="s">
        <v>25</v>
      </c>
      <c r="B152" s="316"/>
      <c r="C152" s="417">
        <v>43622.0</v>
      </c>
      <c r="D152" s="318"/>
      <c r="E152" s="319"/>
      <c r="F152" s="332"/>
      <c r="G152" s="321">
        <v>0.7259375</v>
      </c>
      <c r="H152" s="322"/>
      <c r="I152" s="322"/>
      <c r="J152" s="322"/>
      <c r="K152" s="323">
        <v>0.7281018518518518</v>
      </c>
      <c r="L152" s="322">
        <f t="shared" si="7"/>
        <v>0.002164351852</v>
      </c>
      <c r="M152" s="319"/>
      <c r="N152" s="324"/>
      <c r="O152" s="419"/>
      <c r="P152" s="319"/>
      <c r="Q152" s="318"/>
      <c r="R152" s="326"/>
      <c r="S152" s="319"/>
      <c r="T152" s="324"/>
      <c r="U152" s="319"/>
      <c r="V152" s="319"/>
      <c r="W152" s="319"/>
      <c r="X152" s="319"/>
      <c r="Y152" s="319"/>
      <c r="Z152" s="318"/>
      <c r="AA152" s="318"/>
      <c r="AB152" s="318"/>
      <c r="AC152" s="327"/>
      <c r="AD152" s="319"/>
      <c r="AE152" s="319"/>
      <c r="AF152" s="319"/>
      <c r="AG152" s="319"/>
      <c r="AH152" s="319"/>
      <c r="AI152" s="319"/>
      <c r="AJ152" s="327"/>
      <c r="AK152" s="328"/>
      <c r="AL152" s="319"/>
      <c r="AM152" s="319"/>
      <c r="AN152" s="319"/>
      <c r="AO152" s="319"/>
      <c r="AP152" s="319"/>
      <c r="AQ152" s="319"/>
      <c r="AR152" s="319"/>
      <c r="AS152" s="327"/>
      <c r="AT152" s="344"/>
      <c r="AU152" s="345" t="s">
        <v>845</v>
      </c>
      <c r="AV152" s="330"/>
      <c r="AW152" s="331"/>
      <c r="AX152" s="331"/>
      <c r="AY152" s="331"/>
      <c r="AZ152" s="331"/>
      <c r="BA152" s="331"/>
      <c r="BB152" s="331"/>
      <c r="BC152" s="331"/>
      <c r="BD152" s="318"/>
      <c r="BE152" s="332"/>
      <c r="BF152" s="330"/>
      <c r="BG152" s="333"/>
      <c r="BH152" s="334"/>
      <c r="BI152" s="316"/>
      <c r="BJ152" s="318"/>
      <c r="BK152" s="318"/>
      <c r="BL152" s="318"/>
      <c r="BM152" s="318"/>
      <c r="BN152" s="318"/>
      <c r="BO152" s="318"/>
      <c r="BP152" s="318"/>
      <c r="BQ152" s="338"/>
      <c r="BR152" s="420"/>
      <c r="BS152" s="330"/>
      <c r="BT152" s="331"/>
      <c r="BU152" s="331"/>
      <c r="BV152" s="333"/>
      <c r="BW152" s="330"/>
      <c r="BX152" s="331"/>
      <c r="BY152" s="331"/>
      <c r="BZ152" s="340"/>
      <c r="CA152" s="316"/>
      <c r="CB152" s="318"/>
      <c r="CC152" s="318"/>
      <c r="CD152" s="318"/>
      <c r="CE152" s="318"/>
      <c r="CF152" s="318"/>
      <c r="CG152" s="318"/>
      <c r="CH152" s="318"/>
      <c r="CI152" s="338"/>
      <c r="CJ152" s="341"/>
      <c r="CK152" s="342"/>
      <c r="CL152" s="333"/>
      <c r="CM152" s="415" t="s">
        <v>1070</v>
      </c>
      <c r="CN152" s="416"/>
      <c r="CO152" s="416"/>
      <c r="CP152" s="416"/>
    </row>
    <row r="153">
      <c r="A153" s="315" t="s">
        <v>25</v>
      </c>
      <c r="B153" s="316"/>
      <c r="C153" s="417">
        <v>43622.0</v>
      </c>
      <c r="D153" s="318"/>
      <c r="E153" s="319"/>
      <c r="F153" s="332"/>
      <c r="G153" s="321">
        <v>0.7322106481481482</v>
      </c>
      <c r="H153" s="322"/>
      <c r="I153" s="322"/>
      <c r="J153" s="322"/>
      <c r="K153" s="323">
        <v>0.7336574074074074</v>
      </c>
      <c r="L153" s="322">
        <f t="shared" si="7"/>
        <v>0.001446759259</v>
      </c>
      <c r="M153" s="319"/>
      <c r="N153" s="324"/>
      <c r="O153" s="419"/>
      <c r="P153" s="319"/>
      <c r="Q153" s="318"/>
      <c r="R153" s="326"/>
      <c r="S153" s="319"/>
      <c r="T153" s="324"/>
      <c r="U153" s="319"/>
      <c r="V153" s="319"/>
      <c r="W153" s="319"/>
      <c r="X153" s="319"/>
      <c r="Y153" s="319"/>
      <c r="Z153" s="318"/>
      <c r="AA153" s="318"/>
      <c r="AB153" s="318"/>
      <c r="AC153" s="327"/>
      <c r="AD153" s="319"/>
      <c r="AE153" s="319"/>
      <c r="AF153" s="319"/>
      <c r="AG153" s="319"/>
      <c r="AH153" s="319"/>
      <c r="AI153" s="319"/>
      <c r="AJ153" s="327"/>
      <c r="AK153" s="328"/>
      <c r="AL153" s="319"/>
      <c r="AM153" s="319"/>
      <c r="AN153" s="319"/>
      <c r="AO153" s="319"/>
      <c r="AP153" s="319"/>
      <c r="AQ153" s="319"/>
      <c r="AR153" s="319"/>
      <c r="AS153" s="327"/>
      <c r="AT153" s="344"/>
      <c r="AU153" s="345" t="s">
        <v>845</v>
      </c>
      <c r="AV153" s="330"/>
      <c r="AW153" s="331"/>
      <c r="AX153" s="331"/>
      <c r="AY153" s="331"/>
      <c r="AZ153" s="331"/>
      <c r="BA153" s="331"/>
      <c r="BB153" s="331"/>
      <c r="BC153" s="331"/>
      <c r="BD153" s="318"/>
      <c r="BE153" s="332"/>
      <c r="BF153" s="330"/>
      <c r="BG153" s="333"/>
      <c r="BH153" s="334"/>
      <c r="BI153" s="316"/>
      <c r="BJ153" s="318"/>
      <c r="BK153" s="318"/>
      <c r="BL153" s="318"/>
      <c r="BM153" s="318"/>
      <c r="BN153" s="318"/>
      <c r="BO153" s="318"/>
      <c r="BP153" s="318"/>
      <c r="BQ153" s="338"/>
      <c r="BR153" s="420"/>
      <c r="BS153" s="330"/>
      <c r="BT153" s="331"/>
      <c r="BU153" s="331"/>
      <c r="BV153" s="333"/>
      <c r="BW153" s="330"/>
      <c r="BX153" s="331"/>
      <c r="BY153" s="331"/>
      <c r="BZ153" s="340"/>
      <c r="CA153" s="316"/>
      <c r="CB153" s="318"/>
      <c r="CC153" s="318"/>
      <c r="CD153" s="318"/>
      <c r="CE153" s="318"/>
      <c r="CF153" s="318"/>
      <c r="CG153" s="318"/>
      <c r="CH153" s="318"/>
      <c r="CI153" s="338"/>
      <c r="CJ153" s="341"/>
      <c r="CK153" s="342"/>
      <c r="CL153" s="333"/>
      <c r="CM153" s="415" t="s">
        <v>1070</v>
      </c>
      <c r="CN153" s="416"/>
      <c r="CO153" s="416"/>
      <c r="CP153" s="416"/>
    </row>
    <row r="154">
      <c r="A154" s="389" t="s">
        <v>25</v>
      </c>
      <c r="B154" s="390"/>
      <c r="C154" s="391">
        <v>43635.0</v>
      </c>
      <c r="D154" s="392"/>
      <c r="E154" s="393">
        <v>0.0</v>
      </c>
      <c r="F154" s="407"/>
      <c r="G154" s="395">
        <v>0.6273842592592592</v>
      </c>
      <c r="H154" s="456">
        <v>0.6280671296296296</v>
      </c>
      <c r="I154" s="456"/>
      <c r="J154" s="456"/>
      <c r="K154" s="456">
        <v>0.6305902777777778</v>
      </c>
      <c r="L154" s="396">
        <f t="shared" si="7"/>
        <v>0.003206018519</v>
      </c>
      <c r="M154" s="393" t="s">
        <v>166</v>
      </c>
      <c r="N154" s="394" t="s">
        <v>187</v>
      </c>
      <c r="O154" s="399" t="s">
        <v>1076</v>
      </c>
      <c r="P154" s="392"/>
      <c r="Q154" s="392"/>
      <c r="R154" s="400">
        <v>16.0</v>
      </c>
      <c r="S154" s="393">
        <v>8.0</v>
      </c>
      <c r="T154" s="407"/>
      <c r="U154" s="393">
        <v>0.4</v>
      </c>
      <c r="V154" s="393"/>
      <c r="W154" s="393"/>
      <c r="X154" s="393"/>
      <c r="Y154" s="393"/>
      <c r="Z154" s="392"/>
      <c r="AA154" s="392"/>
      <c r="AB154" s="392"/>
      <c r="AC154" s="401">
        <v>1.0</v>
      </c>
      <c r="AD154" s="393"/>
      <c r="AE154" s="393"/>
      <c r="AF154" s="393"/>
      <c r="AG154" s="393"/>
      <c r="AH154" s="393"/>
      <c r="AI154" s="393"/>
      <c r="AJ154" s="401"/>
      <c r="AK154" s="402"/>
      <c r="AL154" s="393"/>
      <c r="AM154" s="393"/>
      <c r="AN154" s="393"/>
      <c r="AO154" s="393"/>
      <c r="AP154" s="393"/>
      <c r="AQ154" s="393"/>
      <c r="AR154" s="393"/>
      <c r="AS154" s="401"/>
      <c r="AT154" s="403"/>
      <c r="AU154" s="404" t="s">
        <v>845</v>
      </c>
      <c r="AV154" s="405">
        <f>SQRT(($R154-Infrastructure!J$3)^2+($S154-Infrastructure!K$3)^2)</f>
        <v>26.50471656</v>
      </c>
      <c r="AW154" s="406">
        <f>SQRT(($R154-Infrastructure!J$4)^2+($S154-Infrastructure!K$4)^2)</f>
        <v>19.01920082</v>
      </c>
      <c r="AX154" s="406">
        <f>SQRT(($R154-Infrastructure!J$5)^2+($S154-Infrastructure!K$5)^2)</f>
        <v>16.55596569</v>
      </c>
      <c r="AY154" s="406">
        <f>SQRT(($R154-Infrastructure!J$6)^2+($S154-Infrastructure!K$6)^2)</f>
        <v>9.70051545</v>
      </c>
      <c r="AZ154" s="406">
        <f>SQRT(($R154-Infrastructure!J$7)^2+($S154-Infrastructure!K$7)^2)</f>
        <v>8.918520057</v>
      </c>
      <c r="BA154" s="406">
        <f>SQRT(($R154-Infrastructure!J$8)^2+($S154-Infrastructure!K$8)^2)</f>
        <v>16.06549097</v>
      </c>
      <c r="BB154" s="406">
        <f>SQRT(($R154-Infrastructure!J$9)^2+($S154-Infrastructure!K$9)^2)</f>
        <v>24.17457342</v>
      </c>
      <c r="BC154" s="406">
        <f>SQRT(($R154-Infrastructure!J$10)^2+($S154-Infrastructure!K$10)^2)</f>
        <v>25</v>
      </c>
      <c r="BD154" s="392"/>
      <c r="BE154" s="407"/>
      <c r="BF154" s="405">
        <f t="shared" ref="BF154:BF1082" si="14">MIN(AV154:BE154)</f>
        <v>8.918520057</v>
      </c>
      <c r="BG154" s="408">
        <f t="shared" ref="BG154:BG1082" si="15">MAX(AV154:BE154)</f>
        <v>26.50471656</v>
      </c>
      <c r="BH154" s="409"/>
      <c r="BI154" s="390"/>
      <c r="BJ154" s="392"/>
      <c r="BK154" s="392"/>
      <c r="BL154" s="392"/>
      <c r="BM154" s="392"/>
      <c r="BN154" s="392"/>
      <c r="BO154" s="392"/>
      <c r="BP154" s="392"/>
      <c r="BQ154" s="410"/>
      <c r="BR154" s="411"/>
      <c r="BS154" s="405">
        <f t="shared" ref="BS154:BS330" si="16">MINIFS(AV154:BE154,BI154:BR154, "Y")</f>
        <v>0</v>
      </c>
      <c r="BT154" s="406">
        <f t="shared" ref="BT154:BT330" si="17">MAXIFS(AV154:BE154,BI154:BR154, "Y")</f>
        <v>0</v>
      </c>
      <c r="BU154" s="406"/>
      <c r="BV154" s="408"/>
      <c r="BW154" s="405"/>
      <c r="BX154" s="406"/>
      <c r="BY154" s="406"/>
      <c r="BZ154" s="412"/>
      <c r="CA154" s="390"/>
      <c r="CB154" s="392"/>
      <c r="CC154" s="392"/>
      <c r="CD154" s="392"/>
      <c r="CE154" s="392"/>
      <c r="CF154" s="392"/>
      <c r="CG154" s="392"/>
      <c r="CH154" s="392"/>
      <c r="CI154" s="410"/>
      <c r="CJ154" s="413"/>
      <c r="CK154" s="414">
        <f t="shared" ref="CK154:CK1078" si="18">MINIFS(AV154:BE154,CA154:CJ154, "Y")</f>
        <v>0</v>
      </c>
      <c r="CL154" s="408">
        <f t="shared" ref="CL154:CL1078" si="19">MAXIFS(AV154:BE154,CA154:CJ154, "Y")</f>
        <v>0</v>
      </c>
      <c r="CM154" s="415" t="s">
        <v>1077</v>
      </c>
      <c r="CN154" s="416"/>
      <c r="CO154" s="416"/>
      <c r="CP154" s="416"/>
    </row>
    <row r="155">
      <c r="A155" s="315" t="s">
        <v>25</v>
      </c>
      <c r="B155" s="316"/>
      <c r="C155" s="417">
        <v>43635.0</v>
      </c>
      <c r="D155" s="318"/>
      <c r="E155" s="319">
        <v>1.0</v>
      </c>
      <c r="F155" s="332"/>
      <c r="G155" s="321">
        <v>0.6326273148148148</v>
      </c>
      <c r="H155" s="323">
        <v>0.6333680555555555</v>
      </c>
      <c r="I155" s="323"/>
      <c r="J155" s="323"/>
      <c r="K155" s="323">
        <v>0.6347222222222222</v>
      </c>
      <c r="L155" s="322">
        <f t="shared" si="7"/>
        <v>0.002094907407</v>
      </c>
      <c r="M155" s="319" t="s">
        <v>166</v>
      </c>
      <c r="N155" s="324" t="s">
        <v>187</v>
      </c>
      <c r="O155" s="419" t="s">
        <v>1076</v>
      </c>
      <c r="P155" s="318"/>
      <c r="Q155" s="318"/>
      <c r="R155" s="326">
        <v>16.0</v>
      </c>
      <c r="S155" s="319">
        <v>8.0</v>
      </c>
      <c r="T155" s="332"/>
      <c r="U155" s="319">
        <v>0.4</v>
      </c>
      <c r="V155" s="319"/>
      <c r="W155" s="319"/>
      <c r="X155" s="319"/>
      <c r="Y155" s="319"/>
      <c r="Z155" s="318"/>
      <c r="AA155" s="318"/>
      <c r="AB155" s="318"/>
      <c r="AC155" s="327">
        <v>1.0</v>
      </c>
      <c r="AD155" s="319"/>
      <c r="AE155" s="319"/>
      <c r="AF155" s="319"/>
      <c r="AG155" s="319"/>
      <c r="AH155" s="319"/>
      <c r="AI155" s="319"/>
      <c r="AJ155" s="327"/>
      <c r="AK155" s="328"/>
      <c r="AL155" s="319"/>
      <c r="AM155" s="319"/>
      <c r="AN155" s="319"/>
      <c r="AO155" s="319"/>
      <c r="AP155" s="319"/>
      <c r="AQ155" s="319"/>
      <c r="AR155" s="319"/>
      <c r="AS155" s="327"/>
      <c r="AT155" s="344"/>
      <c r="AU155" s="345" t="s">
        <v>845</v>
      </c>
      <c r="AV155" s="330">
        <f>SQRT(($R155-Infrastructure!J$3)^2+($S155-Infrastructure!K$3)^2)</f>
        <v>26.50471656</v>
      </c>
      <c r="AW155" s="331">
        <f>SQRT(($R155-Infrastructure!J$4)^2+($S155-Infrastructure!K$4)^2)</f>
        <v>19.01920082</v>
      </c>
      <c r="AX155" s="331">
        <f>SQRT(($R155-Infrastructure!J$5)^2+($S155-Infrastructure!K$5)^2)</f>
        <v>16.55596569</v>
      </c>
      <c r="AY155" s="331">
        <f>SQRT(($R155-Infrastructure!J$6)^2+($S155-Infrastructure!K$6)^2)</f>
        <v>9.70051545</v>
      </c>
      <c r="AZ155" s="331">
        <f>SQRT(($R155-Infrastructure!J$7)^2+($S155-Infrastructure!K$7)^2)</f>
        <v>8.918520057</v>
      </c>
      <c r="BA155" s="331">
        <f>SQRT(($R155-Infrastructure!J$8)^2+($S155-Infrastructure!K$8)^2)</f>
        <v>16.06549097</v>
      </c>
      <c r="BB155" s="331">
        <f>SQRT(($R155-Infrastructure!J$9)^2+($S155-Infrastructure!K$9)^2)</f>
        <v>24.17457342</v>
      </c>
      <c r="BC155" s="331">
        <f>SQRT(($R155-Infrastructure!J$10)^2+($S155-Infrastructure!K$10)^2)</f>
        <v>25</v>
      </c>
      <c r="BD155" s="318"/>
      <c r="BE155" s="332"/>
      <c r="BF155" s="330">
        <f t="shared" si="14"/>
        <v>8.918520057</v>
      </c>
      <c r="BG155" s="333">
        <f t="shared" si="15"/>
        <v>26.50471656</v>
      </c>
      <c r="BH155" s="334"/>
      <c r="BI155" s="316"/>
      <c r="BJ155" s="318"/>
      <c r="BK155" s="318"/>
      <c r="BL155" s="318"/>
      <c r="BM155" s="318"/>
      <c r="BN155" s="318"/>
      <c r="BO155" s="318"/>
      <c r="BP155" s="318"/>
      <c r="BQ155" s="338"/>
      <c r="BR155" s="420"/>
      <c r="BS155" s="330">
        <f t="shared" si="16"/>
        <v>0</v>
      </c>
      <c r="BT155" s="331">
        <f t="shared" si="17"/>
        <v>0</v>
      </c>
      <c r="BU155" s="331"/>
      <c r="BV155" s="333"/>
      <c r="BW155" s="330"/>
      <c r="BX155" s="331"/>
      <c r="BY155" s="331"/>
      <c r="BZ155" s="340"/>
      <c r="CA155" s="316"/>
      <c r="CB155" s="318"/>
      <c r="CC155" s="318"/>
      <c r="CD155" s="318"/>
      <c r="CE155" s="318"/>
      <c r="CF155" s="318"/>
      <c r="CG155" s="318"/>
      <c r="CH155" s="318"/>
      <c r="CI155" s="338"/>
      <c r="CJ155" s="341"/>
      <c r="CK155" s="342">
        <f t="shared" si="18"/>
        <v>0</v>
      </c>
      <c r="CL155" s="333">
        <f t="shared" si="19"/>
        <v>0</v>
      </c>
      <c r="CM155" s="421" t="s">
        <v>1078</v>
      </c>
      <c r="CN155" s="416"/>
      <c r="CO155" s="416"/>
      <c r="CP155" s="416"/>
    </row>
    <row r="156">
      <c r="A156" s="315" t="s">
        <v>25</v>
      </c>
      <c r="B156" s="316"/>
      <c r="C156" s="417">
        <v>43635.0</v>
      </c>
      <c r="D156" s="318"/>
      <c r="E156" s="319">
        <v>2.0</v>
      </c>
      <c r="F156" s="332"/>
      <c r="G156" s="321">
        <v>0.6371875</v>
      </c>
      <c r="H156" s="323">
        <v>0.63875</v>
      </c>
      <c r="I156" s="323"/>
      <c r="J156" s="323"/>
      <c r="K156" s="323">
        <v>0.6401273148148148</v>
      </c>
      <c r="L156" s="322">
        <f t="shared" si="7"/>
        <v>0.002939814815</v>
      </c>
      <c r="M156" s="319" t="s">
        <v>166</v>
      </c>
      <c r="N156" s="324" t="s">
        <v>187</v>
      </c>
      <c r="O156" s="419" t="s">
        <v>1076</v>
      </c>
      <c r="P156" s="318"/>
      <c r="Q156" s="318"/>
      <c r="R156" s="326">
        <v>16.0</v>
      </c>
      <c r="S156" s="319">
        <v>8.0</v>
      </c>
      <c r="T156" s="332"/>
      <c r="U156" s="319">
        <v>3.0</v>
      </c>
      <c r="V156" s="319"/>
      <c r="W156" s="319"/>
      <c r="X156" s="319"/>
      <c r="Y156" s="319"/>
      <c r="Z156" s="318"/>
      <c r="AA156" s="318"/>
      <c r="AB156" s="318"/>
      <c r="AC156" s="327">
        <v>2.5</v>
      </c>
      <c r="AD156" s="319"/>
      <c r="AE156" s="319"/>
      <c r="AF156" s="319"/>
      <c r="AG156" s="319"/>
      <c r="AH156" s="319"/>
      <c r="AI156" s="319"/>
      <c r="AJ156" s="327"/>
      <c r="AK156" s="328"/>
      <c r="AL156" s="319"/>
      <c r="AM156" s="319"/>
      <c r="AN156" s="319"/>
      <c r="AO156" s="319"/>
      <c r="AP156" s="319"/>
      <c r="AQ156" s="319"/>
      <c r="AR156" s="319"/>
      <c r="AS156" s="327"/>
      <c r="AT156" s="344"/>
      <c r="AU156" s="345" t="s">
        <v>845</v>
      </c>
      <c r="AV156" s="330">
        <f>SQRT(($R156-Infrastructure!J$3)^2+($S156-Infrastructure!K$3)^2)</f>
        <v>26.50471656</v>
      </c>
      <c r="AW156" s="331">
        <f>SQRT(($R156-Infrastructure!J$4)^2+($S156-Infrastructure!K$4)^2)</f>
        <v>19.01920082</v>
      </c>
      <c r="AX156" s="331">
        <f>SQRT(($R156-Infrastructure!J$5)^2+($S156-Infrastructure!K$5)^2)</f>
        <v>16.55596569</v>
      </c>
      <c r="AY156" s="331">
        <f>SQRT(($R156-Infrastructure!J$6)^2+($S156-Infrastructure!K$6)^2)</f>
        <v>9.70051545</v>
      </c>
      <c r="AZ156" s="331">
        <f>SQRT(($R156-Infrastructure!J$7)^2+($S156-Infrastructure!K$7)^2)</f>
        <v>8.918520057</v>
      </c>
      <c r="BA156" s="331">
        <f>SQRT(($R156-Infrastructure!J$8)^2+($S156-Infrastructure!K$8)^2)</f>
        <v>16.06549097</v>
      </c>
      <c r="BB156" s="331">
        <f>SQRT(($R156-Infrastructure!J$9)^2+($S156-Infrastructure!K$9)^2)</f>
        <v>24.17457342</v>
      </c>
      <c r="BC156" s="331">
        <f>SQRT(($R156-Infrastructure!J$10)^2+($S156-Infrastructure!K$10)^2)</f>
        <v>25</v>
      </c>
      <c r="BD156" s="318"/>
      <c r="BE156" s="332"/>
      <c r="BF156" s="330">
        <f t="shared" si="14"/>
        <v>8.918520057</v>
      </c>
      <c r="BG156" s="333">
        <f t="shared" si="15"/>
        <v>26.50471656</v>
      </c>
      <c r="BH156" s="334"/>
      <c r="BI156" s="316"/>
      <c r="BJ156" s="318"/>
      <c r="BK156" s="318"/>
      <c r="BL156" s="318"/>
      <c r="BM156" s="318"/>
      <c r="BN156" s="318"/>
      <c r="BO156" s="318"/>
      <c r="BP156" s="318"/>
      <c r="BQ156" s="338"/>
      <c r="BR156" s="420"/>
      <c r="BS156" s="330">
        <f t="shared" si="16"/>
        <v>0</v>
      </c>
      <c r="BT156" s="331">
        <f t="shared" si="17"/>
        <v>0</v>
      </c>
      <c r="BU156" s="331"/>
      <c r="BV156" s="333"/>
      <c r="BW156" s="330"/>
      <c r="BX156" s="331"/>
      <c r="BY156" s="331"/>
      <c r="BZ156" s="340"/>
      <c r="CA156" s="316"/>
      <c r="CB156" s="318"/>
      <c r="CC156" s="318"/>
      <c r="CD156" s="318"/>
      <c r="CE156" s="318"/>
      <c r="CF156" s="318"/>
      <c r="CG156" s="318"/>
      <c r="CH156" s="318"/>
      <c r="CI156" s="338"/>
      <c r="CJ156" s="341"/>
      <c r="CK156" s="342">
        <f t="shared" si="18"/>
        <v>0</v>
      </c>
      <c r="CL156" s="333">
        <f t="shared" si="19"/>
        <v>0</v>
      </c>
      <c r="CM156" s="421" t="s">
        <v>1078</v>
      </c>
      <c r="CN156" s="416"/>
      <c r="CO156" s="416"/>
      <c r="CP156" s="416"/>
    </row>
    <row r="157">
      <c r="A157" s="315" t="s">
        <v>25</v>
      </c>
      <c r="B157" s="316"/>
      <c r="C157" s="417">
        <v>43635.0</v>
      </c>
      <c r="D157" s="318"/>
      <c r="E157" s="319">
        <v>3.0</v>
      </c>
      <c r="F157" s="332"/>
      <c r="G157" s="321">
        <v>0.6454861111111111</v>
      </c>
      <c r="H157" s="323">
        <v>0.646712962962963</v>
      </c>
      <c r="I157" s="323"/>
      <c r="J157" s="323"/>
      <c r="K157" s="323">
        <v>0.6479861111111112</v>
      </c>
      <c r="L157" s="322">
        <f t="shared" si="7"/>
        <v>0.0025</v>
      </c>
      <c r="M157" s="319" t="s">
        <v>166</v>
      </c>
      <c r="N157" s="324" t="s">
        <v>187</v>
      </c>
      <c r="O157" s="419" t="s">
        <v>204</v>
      </c>
      <c r="P157" s="319" t="s">
        <v>253</v>
      </c>
      <c r="Q157" s="318"/>
      <c r="R157" s="326">
        <v>18.0</v>
      </c>
      <c r="S157" s="319">
        <v>3.5</v>
      </c>
      <c r="T157" s="324">
        <v>1.83</v>
      </c>
      <c r="U157" s="319">
        <v>0.5</v>
      </c>
      <c r="V157" s="319"/>
      <c r="W157" s="319"/>
      <c r="X157" s="319"/>
      <c r="Y157" s="319"/>
      <c r="Z157" s="318"/>
      <c r="AA157" s="318"/>
      <c r="AB157" s="318"/>
      <c r="AC157" s="327">
        <v>10.0</v>
      </c>
      <c r="AD157" s="319"/>
      <c r="AE157" s="319"/>
      <c r="AF157" s="319"/>
      <c r="AG157" s="319"/>
      <c r="AH157" s="319"/>
      <c r="AI157" s="319"/>
      <c r="AJ157" s="327"/>
      <c r="AK157" s="328"/>
      <c r="AL157" s="319"/>
      <c r="AM157" s="319"/>
      <c r="AN157" s="319"/>
      <c r="AO157" s="319"/>
      <c r="AP157" s="319"/>
      <c r="AQ157" s="319"/>
      <c r="AR157" s="319"/>
      <c r="AS157" s="327"/>
      <c r="AT157" s="344"/>
      <c r="AU157" s="345" t="s">
        <v>845</v>
      </c>
      <c r="AV157" s="330">
        <f>SQRT(($R157-Infrastructure!J$3)^2+($S157-Infrastructure!K$3)^2)</f>
        <v>31.30575027</v>
      </c>
      <c r="AW157" s="331">
        <f>SQRT(($R157-Infrastructure!J$4)^2+($S157-Infrastructure!K$4)^2)</f>
        <v>23.22455597</v>
      </c>
      <c r="AX157" s="331">
        <f>SQRT(($R157-Infrastructure!J$5)^2+($S157-Infrastructure!K$5)^2)</f>
        <v>18.36981219</v>
      </c>
      <c r="AY157" s="331">
        <f>SQRT(($R157-Infrastructure!J$6)^2+($S157-Infrastructure!K$6)^2)</f>
        <v>8.523496935</v>
      </c>
      <c r="AZ157" s="331">
        <f>SQRT(($R157-Infrastructure!J$7)^2+($S157-Infrastructure!K$7)^2)</f>
        <v>4.060788101</v>
      </c>
      <c r="BA157" s="331">
        <f>SQRT(($R157-Infrastructure!J$8)^2+($S157-Infrastructure!K$8)^2)</f>
        <v>12.51598977</v>
      </c>
      <c r="BB157" s="331">
        <f>SQRT(($R157-Infrastructure!J$9)^2+($S157-Infrastructure!K$9)^2)</f>
        <v>22.05810509</v>
      </c>
      <c r="BC157" s="331">
        <f>SQRT(($R157-Infrastructure!J$10)^2+($S157-Infrastructure!K$10)^2)</f>
        <v>24.82438317</v>
      </c>
      <c r="BD157" s="318"/>
      <c r="BE157" s="332"/>
      <c r="BF157" s="330">
        <f t="shared" si="14"/>
        <v>4.060788101</v>
      </c>
      <c r="BG157" s="333">
        <f t="shared" si="15"/>
        <v>31.30575027</v>
      </c>
      <c r="BH157" s="334"/>
      <c r="BI157" s="316"/>
      <c r="BJ157" s="318"/>
      <c r="BK157" s="318"/>
      <c r="BL157" s="318"/>
      <c r="BM157" s="318"/>
      <c r="BN157" s="318"/>
      <c r="BO157" s="318"/>
      <c r="BP157" s="318"/>
      <c r="BQ157" s="338"/>
      <c r="BR157" s="420"/>
      <c r="BS157" s="330">
        <f t="shared" si="16"/>
        <v>0</v>
      </c>
      <c r="BT157" s="331">
        <f t="shared" si="17"/>
        <v>0</v>
      </c>
      <c r="BU157" s="331"/>
      <c r="BV157" s="333"/>
      <c r="BW157" s="330"/>
      <c r="BX157" s="331"/>
      <c r="BY157" s="331"/>
      <c r="BZ157" s="340"/>
      <c r="CA157" s="316"/>
      <c r="CB157" s="318"/>
      <c r="CC157" s="318"/>
      <c r="CD157" s="318"/>
      <c r="CE157" s="318"/>
      <c r="CF157" s="318"/>
      <c r="CG157" s="318"/>
      <c r="CH157" s="318"/>
      <c r="CI157" s="338"/>
      <c r="CJ157" s="341"/>
      <c r="CK157" s="342">
        <f t="shared" si="18"/>
        <v>0</v>
      </c>
      <c r="CL157" s="333">
        <f t="shared" si="19"/>
        <v>0</v>
      </c>
      <c r="CM157" s="421" t="s">
        <v>1079</v>
      </c>
      <c r="CN157" s="416"/>
      <c r="CO157" s="416"/>
      <c r="CP157" s="416"/>
    </row>
    <row r="158">
      <c r="A158" s="315" t="s">
        <v>25</v>
      </c>
      <c r="B158" s="316"/>
      <c r="C158" s="417">
        <v>43635.0</v>
      </c>
      <c r="D158" s="318"/>
      <c r="E158" s="319">
        <v>4.0</v>
      </c>
      <c r="F158" s="332"/>
      <c r="G158" s="321">
        <v>0.6497916666666667</v>
      </c>
      <c r="H158" s="323">
        <v>0.6507060185185185</v>
      </c>
      <c r="I158" s="323"/>
      <c r="J158" s="323"/>
      <c r="K158" s="323">
        <v>0.6517708333333333</v>
      </c>
      <c r="L158" s="322">
        <f t="shared" si="7"/>
        <v>0.001979166667</v>
      </c>
      <c r="M158" s="319" t="s">
        <v>166</v>
      </c>
      <c r="N158" s="324" t="s">
        <v>187</v>
      </c>
      <c r="O158" s="419" t="s">
        <v>204</v>
      </c>
      <c r="P158" s="319" t="s">
        <v>253</v>
      </c>
      <c r="Q158" s="318"/>
      <c r="R158" s="326">
        <v>18.0</v>
      </c>
      <c r="S158" s="319">
        <v>3.5</v>
      </c>
      <c r="T158" s="324">
        <v>1.83</v>
      </c>
      <c r="U158" s="319">
        <v>3.0</v>
      </c>
      <c r="V158" s="319"/>
      <c r="W158" s="319"/>
      <c r="X158" s="319"/>
      <c r="Y158" s="319"/>
      <c r="Z158" s="318"/>
      <c r="AA158" s="318"/>
      <c r="AB158" s="318"/>
      <c r="AC158" s="327">
        <v>10.0</v>
      </c>
      <c r="AD158" s="319"/>
      <c r="AE158" s="319"/>
      <c r="AF158" s="319"/>
      <c r="AG158" s="319"/>
      <c r="AH158" s="319"/>
      <c r="AI158" s="319"/>
      <c r="AJ158" s="327"/>
      <c r="AK158" s="328"/>
      <c r="AL158" s="319"/>
      <c r="AM158" s="319"/>
      <c r="AN158" s="319"/>
      <c r="AO158" s="319"/>
      <c r="AP158" s="319"/>
      <c r="AQ158" s="319"/>
      <c r="AR158" s="319"/>
      <c r="AS158" s="327"/>
      <c r="AT158" s="344"/>
      <c r="AU158" s="345" t="s">
        <v>845</v>
      </c>
      <c r="AV158" s="330">
        <f>SQRT(($R158-Infrastructure!J$3)^2+($S158-Infrastructure!K$3)^2)</f>
        <v>31.30575027</v>
      </c>
      <c r="AW158" s="331">
        <f>SQRT(($R158-Infrastructure!J$4)^2+($S158-Infrastructure!K$4)^2)</f>
        <v>23.22455597</v>
      </c>
      <c r="AX158" s="331">
        <f>SQRT(($R158-Infrastructure!J$5)^2+($S158-Infrastructure!K$5)^2)</f>
        <v>18.36981219</v>
      </c>
      <c r="AY158" s="331">
        <f>SQRT(($R158-Infrastructure!J$6)^2+($S158-Infrastructure!K$6)^2)</f>
        <v>8.523496935</v>
      </c>
      <c r="AZ158" s="331">
        <f>SQRT(($R158-Infrastructure!J$7)^2+($S158-Infrastructure!K$7)^2)</f>
        <v>4.060788101</v>
      </c>
      <c r="BA158" s="331">
        <f>SQRT(($R158-Infrastructure!J$8)^2+($S158-Infrastructure!K$8)^2)</f>
        <v>12.51598977</v>
      </c>
      <c r="BB158" s="331">
        <f>SQRT(($R158-Infrastructure!J$9)^2+($S158-Infrastructure!K$9)^2)</f>
        <v>22.05810509</v>
      </c>
      <c r="BC158" s="331">
        <f>SQRT(($R158-Infrastructure!J$10)^2+($S158-Infrastructure!K$10)^2)</f>
        <v>24.82438317</v>
      </c>
      <c r="BD158" s="318"/>
      <c r="BE158" s="332"/>
      <c r="BF158" s="330">
        <f t="shared" si="14"/>
        <v>4.060788101</v>
      </c>
      <c r="BG158" s="333">
        <f t="shared" si="15"/>
        <v>31.30575027</v>
      </c>
      <c r="BH158" s="334"/>
      <c r="BI158" s="316"/>
      <c r="BJ158" s="318"/>
      <c r="BK158" s="318"/>
      <c r="BL158" s="318"/>
      <c r="BM158" s="318"/>
      <c r="BN158" s="318"/>
      <c r="BO158" s="318"/>
      <c r="BP158" s="318"/>
      <c r="BQ158" s="338"/>
      <c r="BR158" s="420"/>
      <c r="BS158" s="330">
        <f t="shared" si="16"/>
        <v>0</v>
      </c>
      <c r="BT158" s="331">
        <f t="shared" si="17"/>
        <v>0</v>
      </c>
      <c r="BU158" s="331"/>
      <c r="BV158" s="333"/>
      <c r="BW158" s="330"/>
      <c r="BX158" s="331"/>
      <c r="BY158" s="331"/>
      <c r="BZ158" s="340"/>
      <c r="CA158" s="316"/>
      <c r="CB158" s="318"/>
      <c r="CC158" s="318"/>
      <c r="CD158" s="318"/>
      <c r="CE158" s="318"/>
      <c r="CF158" s="318"/>
      <c r="CG158" s="318"/>
      <c r="CH158" s="318"/>
      <c r="CI158" s="338"/>
      <c r="CJ158" s="341"/>
      <c r="CK158" s="342">
        <f t="shared" si="18"/>
        <v>0</v>
      </c>
      <c r="CL158" s="333">
        <f t="shared" si="19"/>
        <v>0</v>
      </c>
      <c r="CM158" s="421" t="s">
        <v>1079</v>
      </c>
      <c r="CN158" s="416"/>
      <c r="CO158" s="416"/>
      <c r="CP158" s="416"/>
    </row>
    <row r="159">
      <c r="A159" s="315" t="s">
        <v>25</v>
      </c>
      <c r="B159" s="316"/>
      <c r="C159" s="417">
        <v>43635.0</v>
      </c>
      <c r="D159" s="318"/>
      <c r="E159" s="319">
        <v>5.0</v>
      </c>
      <c r="F159" s="332"/>
      <c r="G159" s="321">
        <v>0.658425925925926</v>
      </c>
      <c r="H159" s="323">
        <v>0.6596296296296297</v>
      </c>
      <c r="I159" s="323"/>
      <c r="J159" s="323"/>
      <c r="K159" s="323">
        <v>0.6608796296296297</v>
      </c>
      <c r="L159" s="322">
        <f t="shared" si="7"/>
        <v>0.002453703704</v>
      </c>
      <c r="M159" s="319" t="s">
        <v>166</v>
      </c>
      <c r="N159" s="324" t="s">
        <v>187</v>
      </c>
      <c r="O159" s="419" t="s">
        <v>204</v>
      </c>
      <c r="P159" s="319" t="s">
        <v>253</v>
      </c>
      <c r="Q159" s="318"/>
      <c r="R159" s="326">
        <v>18.0</v>
      </c>
      <c r="S159" s="319">
        <v>3.5</v>
      </c>
      <c r="T159" s="324">
        <v>1.83</v>
      </c>
      <c r="U159" s="319">
        <v>8.0</v>
      </c>
      <c r="V159" s="319"/>
      <c r="W159" s="319"/>
      <c r="X159" s="319"/>
      <c r="Y159" s="319"/>
      <c r="Z159" s="318"/>
      <c r="AA159" s="318"/>
      <c r="AB159" s="318"/>
      <c r="AC159" s="327">
        <v>10.0</v>
      </c>
      <c r="AD159" s="319"/>
      <c r="AE159" s="319"/>
      <c r="AF159" s="319"/>
      <c r="AG159" s="319"/>
      <c r="AH159" s="319"/>
      <c r="AI159" s="319"/>
      <c r="AJ159" s="327"/>
      <c r="AK159" s="328"/>
      <c r="AL159" s="319"/>
      <c r="AM159" s="319"/>
      <c r="AN159" s="319"/>
      <c r="AO159" s="319"/>
      <c r="AP159" s="319"/>
      <c r="AQ159" s="319"/>
      <c r="AR159" s="319"/>
      <c r="AS159" s="327"/>
      <c r="AT159" s="344"/>
      <c r="AU159" s="345" t="s">
        <v>845</v>
      </c>
      <c r="AV159" s="330">
        <f>SQRT(($R159-Infrastructure!J$3)^2+($S159-Infrastructure!K$3)^2)</f>
        <v>31.30575027</v>
      </c>
      <c r="AW159" s="331">
        <f>SQRT(($R159-Infrastructure!J$4)^2+($S159-Infrastructure!K$4)^2)</f>
        <v>23.22455597</v>
      </c>
      <c r="AX159" s="331">
        <f>SQRT(($R159-Infrastructure!J$5)^2+($S159-Infrastructure!K$5)^2)</f>
        <v>18.36981219</v>
      </c>
      <c r="AY159" s="331">
        <f>SQRT(($R159-Infrastructure!J$6)^2+($S159-Infrastructure!K$6)^2)</f>
        <v>8.523496935</v>
      </c>
      <c r="AZ159" s="331">
        <f>SQRT(($R159-Infrastructure!J$7)^2+($S159-Infrastructure!K$7)^2)</f>
        <v>4.060788101</v>
      </c>
      <c r="BA159" s="331">
        <f>SQRT(($R159-Infrastructure!J$8)^2+($S159-Infrastructure!K$8)^2)</f>
        <v>12.51598977</v>
      </c>
      <c r="BB159" s="331">
        <f>SQRT(($R159-Infrastructure!J$9)^2+($S159-Infrastructure!K$9)^2)</f>
        <v>22.05810509</v>
      </c>
      <c r="BC159" s="331">
        <f>SQRT(($R159-Infrastructure!J$10)^2+($S159-Infrastructure!K$10)^2)</f>
        <v>24.82438317</v>
      </c>
      <c r="BD159" s="318"/>
      <c r="BE159" s="332"/>
      <c r="BF159" s="330">
        <f t="shared" si="14"/>
        <v>4.060788101</v>
      </c>
      <c r="BG159" s="333">
        <f t="shared" si="15"/>
        <v>31.30575027</v>
      </c>
      <c r="BH159" s="334"/>
      <c r="BI159" s="316"/>
      <c r="BJ159" s="318"/>
      <c r="BK159" s="318"/>
      <c r="BL159" s="318"/>
      <c r="BM159" s="318"/>
      <c r="BN159" s="318"/>
      <c r="BO159" s="318"/>
      <c r="BP159" s="318"/>
      <c r="BQ159" s="338"/>
      <c r="BR159" s="420"/>
      <c r="BS159" s="330">
        <f t="shared" si="16"/>
        <v>0</v>
      </c>
      <c r="BT159" s="331">
        <f t="shared" si="17"/>
        <v>0</v>
      </c>
      <c r="BU159" s="331"/>
      <c r="BV159" s="333"/>
      <c r="BW159" s="330"/>
      <c r="BX159" s="331"/>
      <c r="BY159" s="331"/>
      <c r="BZ159" s="340"/>
      <c r="CA159" s="316"/>
      <c r="CB159" s="318"/>
      <c r="CC159" s="318"/>
      <c r="CD159" s="318"/>
      <c r="CE159" s="318"/>
      <c r="CF159" s="318"/>
      <c r="CG159" s="318"/>
      <c r="CH159" s="318"/>
      <c r="CI159" s="338"/>
      <c r="CJ159" s="341"/>
      <c r="CK159" s="342">
        <f t="shared" si="18"/>
        <v>0</v>
      </c>
      <c r="CL159" s="333">
        <f t="shared" si="19"/>
        <v>0</v>
      </c>
      <c r="CM159" s="421" t="s">
        <v>1079</v>
      </c>
      <c r="CN159" s="416"/>
      <c r="CO159" s="416"/>
      <c r="CP159" s="416"/>
    </row>
    <row r="160">
      <c r="A160" s="315" t="s">
        <v>25</v>
      </c>
      <c r="B160" s="316"/>
      <c r="C160" s="417">
        <v>43635.0</v>
      </c>
      <c r="D160" s="318"/>
      <c r="E160" s="319">
        <v>6.0</v>
      </c>
      <c r="F160" s="332"/>
      <c r="G160" s="321">
        <v>0.6685416666666667</v>
      </c>
      <c r="H160" s="323">
        <v>0.6694675925925926</v>
      </c>
      <c r="I160" s="323"/>
      <c r="J160" s="323"/>
      <c r="K160" s="323">
        <v>0.6708680555555555</v>
      </c>
      <c r="L160" s="322">
        <f t="shared" si="7"/>
        <v>0.002326388889</v>
      </c>
      <c r="M160" s="319" t="s">
        <v>166</v>
      </c>
      <c r="N160" s="324" t="s">
        <v>187</v>
      </c>
      <c r="O160" s="419" t="s">
        <v>207</v>
      </c>
      <c r="P160" s="319" t="s">
        <v>223</v>
      </c>
      <c r="Q160" s="318"/>
      <c r="R160" s="326">
        <v>26.0</v>
      </c>
      <c r="S160" s="319">
        <v>14.0</v>
      </c>
      <c r="T160" s="324">
        <v>2.5</v>
      </c>
      <c r="U160" s="319">
        <v>4.0</v>
      </c>
      <c r="V160" s="319"/>
      <c r="W160" s="319"/>
      <c r="X160" s="319"/>
      <c r="Y160" s="319"/>
      <c r="Z160" s="318"/>
      <c r="AA160" s="318"/>
      <c r="AB160" s="318"/>
      <c r="AC160" s="327">
        <v>6.0</v>
      </c>
      <c r="AD160" s="319"/>
      <c r="AE160" s="319"/>
      <c r="AF160" s="319"/>
      <c r="AG160" s="319"/>
      <c r="AH160" s="319"/>
      <c r="AI160" s="319"/>
      <c r="AJ160" s="327"/>
      <c r="AK160" s="328"/>
      <c r="AL160" s="319"/>
      <c r="AM160" s="319"/>
      <c r="AN160" s="319"/>
      <c r="AO160" s="319"/>
      <c r="AP160" s="319"/>
      <c r="AQ160" s="319"/>
      <c r="AR160" s="319"/>
      <c r="AS160" s="327"/>
      <c r="AT160" s="344"/>
      <c r="AU160" s="345" t="s">
        <v>845</v>
      </c>
      <c r="AV160" s="330">
        <f>SQRT(($R160-Infrastructure!J$3)^2+($S160-Infrastructure!K$3)^2)</f>
        <v>30.22747095</v>
      </c>
      <c r="AW160" s="331">
        <f>SQRT(($R160-Infrastructure!J$4)^2+($S160-Infrastructure!K$4)^2)</f>
        <v>26.57310671</v>
      </c>
      <c r="AX160" s="331">
        <f>SQRT(($R160-Infrastructure!J$5)^2+($S160-Infrastructure!K$5)^2)</f>
        <v>27.76508599</v>
      </c>
      <c r="AY160" s="331">
        <f>SQRT(($R160-Infrastructure!J$6)^2+($S160-Infrastructure!K$6)^2)</f>
        <v>20.98809186</v>
      </c>
      <c r="AZ160" s="331">
        <f>SQRT(($R160-Infrastructure!J$7)^2+($S160-Infrastructure!K$7)^2)</f>
        <v>14.76279106</v>
      </c>
      <c r="BA160" s="331">
        <f>SQRT(($R160-Infrastructure!J$8)^2+($S160-Infrastructure!K$8)^2)</f>
        <v>14.30034965</v>
      </c>
      <c r="BB160" s="331">
        <f>SQRT(($R160-Infrastructure!J$9)^2+($S160-Infrastructure!K$9)^2)</f>
        <v>16.58945448</v>
      </c>
      <c r="BC160" s="331">
        <f>SQRT(($R160-Infrastructure!J$10)^2+($S160-Infrastructure!K$10)^2)</f>
        <v>14.03566885</v>
      </c>
      <c r="BD160" s="318"/>
      <c r="BE160" s="332"/>
      <c r="BF160" s="330">
        <f t="shared" si="14"/>
        <v>14.03566885</v>
      </c>
      <c r="BG160" s="333">
        <f t="shared" si="15"/>
        <v>30.22747095</v>
      </c>
      <c r="BH160" s="334"/>
      <c r="BI160" s="316"/>
      <c r="BJ160" s="318"/>
      <c r="BK160" s="318"/>
      <c r="BL160" s="318"/>
      <c r="BM160" s="318"/>
      <c r="BN160" s="318"/>
      <c r="BO160" s="318"/>
      <c r="BP160" s="318"/>
      <c r="BQ160" s="338"/>
      <c r="BR160" s="420"/>
      <c r="BS160" s="330">
        <f t="shared" si="16"/>
        <v>0</v>
      </c>
      <c r="BT160" s="331">
        <f t="shared" si="17"/>
        <v>0</v>
      </c>
      <c r="BU160" s="331"/>
      <c r="BV160" s="333"/>
      <c r="BW160" s="330"/>
      <c r="BX160" s="331"/>
      <c r="BY160" s="331"/>
      <c r="BZ160" s="340"/>
      <c r="CA160" s="316"/>
      <c r="CB160" s="318"/>
      <c r="CC160" s="318"/>
      <c r="CD160" s="318"/>
      <c r="CE160" s="318"/>
      <c r="CF160" s="318"/>
      <c r="CG160" s="318"/>
      <c r="CH160" s="318"/>
      <c r="CI160" s="338"/>
      <c r="CJ160" s="341"/>
      <c r="CK160" s="342">
        <f t="shared" si="18"/>
        <v>0</v>
      </c>
      <c r="CL160" s="333">
        <f t="shared" si="19"/>
        <v>0</v>
      </c>
      <c r="CM160" s="421" t="s">
        <v>1080</v>
      </c>
      <c r="CN160" s="416"/>
      <c r="CO160" s="416"/>
      <c r="CP160" s="416"/>
    </row>
    <row r="161">
      <c r="A161" s="315" t="s">
        <v>25</v>
      </c>
      <c r="B161" s="316"/>
      <c r="C161" s="417">
        <v>43635.0</v>
      </c>
      <c r="D161" s="318"/>
      <c r="E161" s="319">
        <v>7.0</v>
      </c>
      <c r="F161" s="332"/>
      <c r="G161" s="321">
        <v>0.6728240740740741</v>
      </c>
      <c r="H161" s="323">
        <v>0.6739004629629629</v>
      </c>
      <c r="I161" s="323"/>
      <c r="J161" s="323"/>
      <c r="K161" s="323">
        <v>0.6749074074074074</v>
      </c>
      <c r="L161" s="322">
        <f t="shared" si="7"/>
        <v>0.002083333333</v>
      </c>
      <c r="M161" s="319" t="s">
        <v>166</v>
      </c>
      <c r="N161" s="324" t="s">
        <v>187</v>
      </c>
      <c r="O161" s="419" t="s">
        <v>207</v>
      </c>
      <c r="P161" s="319" t="s">
        <v>223</v>
      </c>
      <c r="Q161" s="318"/>
      <c r="R161" s="326">
        <v>26.0</v>
      </c>
      <c r="S161" s="319">
        <v>14.0</v>
      </c>
      <c r="T161" s="324">
        <v>2.5</v>
      </c>
      <c r="U161" s="319">
        <v>8.0</v>
      </c>
      <c r="V161" s="319"/>
      <c r="W161" s="319"/>
      <c r="X161" s="319"/>
      <c r="Y161" s="319"/>
      <c r="Z161" s="318"/>
      <c r="AA161" s="318"/>
      <c r="AB161" s="318"/>
      <c r="AC161" s="327">
        <v>6.0</v>
      </c>
      <c r="AD161" s="319"/>
      <c r="AE161" s="319"/>
      <c r="AF161" s="319"/>
      <c r="AG161" s="319"/>
      <c r="AH161" s="319"/>
      <c r="AI161" s="319"/>
      <c r="AJ161" s="327"/>
      <c r="AK161" s="328"/>
      <c r="AL161" s="319"/>
      <c r="AM161" s="319"/>
      <c r="AN161" s="319"/>
      <c r="AO161" s="319"/>
      <c r="AP161" s="319"/>
      <c r="AQ161" s="319"/>
      <c r="AR161" s="319"/>
      <c r="AS161" s="327"/>
      <c r="AT161" s="344"/>
      <c r="AU161" s="345" t="s">
        <v>845</v>
      </c>
      <c r="AV161" s="330">
        <f>SQRT(($R161-Infrastructure!J$3)^2+($S161-Infrastructure!K$3)^2)</f>
        <v>30.22747095</v>
      </c>
      <c r="AW161" s="331">
        <f>SQRT(($R161-Infrastructure!J$4)^2+($S161-Infrastructure!K$4)^2)</f>
        <v>26.57310671</v>
      </c>
      <c r="AX161" s="331">
        <f>SQRT(($R161-Infrastructure!J$5)^2+($S161-Infrastructure!K$5)^2)</f>
        <v>27.76508599</v>
      </c>
      <c r="AY161" s="331">
        <f>SQRT(($R161-Infrastructure!J$6)^2+($S161-Infrastructure!K$6)^2)</f>
        <v>20.98809186</v>
      </c>
      <c r="AZ161" s="331">
        <f>SQRT(($R161-Infrastructure!J$7)^2+($S161-Infrastructure!K$7)^2)</f>
        <v>14.76279106</v>
      </c>
      <c r="BA161" s="331">
        <f>SQRT(($R161-Infrastructure!J$8)^2+($S161-Infrastructure!K$8)^2)</f>
        <v>14.30034965</v>
      </c>
      <c r="BB161" s="331">
        <f>SQRT(($R161-Infrastructure!J$9)^2+($S161-Infrastructure!K$9)^2)</f>
        <v>16.58945448</v>
      </c>
      <c r="BC161" s="331">
        <f>SQRT(($R161-Infrastructure!J$10)^2+($S161-Infrastructure!K$10)^2)</f>
        <v>14.03566885</v>
      </c>
      <c r="BD161" s="318"/>
      <c r="BE161" s="332"/>
      <c r="BF161" s="330">
        <f t="shared" si="14"/>
        <v>14.03566885</v>
      </c>
      <c r="BG161" s="333">
        <f t="shared" si="15"/>
        <v>30.22747095</v>
      </c>
      <c r="BH161" s="334"/>
      <c r="BI161" s="316"/>
      <c r="BJ161" s="318"/>
      <c r="BK161" s="318"/>
      <c r="BL161" s="318"/>
      <c r="BM161" s="318"/>
      <c r="BN161" s="318"/>
      <c r="BO161" s="318"/>
      <c r="BP161" s="318"/>
      <c r="BQ161" s="338"/>
      <c r="BR161" s="420"/>
      <c r="BS161" s="330">
        <f t="shared" si="16"/>
        <v>0</v>
      </c>
      <c r="BT161" s="331">
        <f t="shared" si="17"/>
        <v>0</v>
      </c>
      <c r="BU161" s="331"/>
      <c r="BV161" s="333"/>
      <c r="BW161" s="330"/>
      <c r="BX161" s="331"/>
      <c r="BY161" s="331"/>
      <c r="BZ161" s="340"/>
      <c r="CA161" s="316"/>
      <c r="CB161" s="318"/>
      <c r="CC161" s="318"/>
      <c r="CD161" s="318"/>
      <c r="CE161" s="318"/>
      <c r="CF161" s="318"/>
      <c r="CG161" s="318"/>
      <c r="CH161" s="318"/>
      <c r="CI161" s="338"/>
      <c r="CJ161" s="341"/>
      <c r="CK161" s="342">
        <f t="shared" si="18"/>
        <v>0</v>
      </c>
      <c r="CL161" s="333">
        <f t="shared" si="19"/>
        <v>0</v>
      </c>
      <c r="CM161" s="421" t="s">
        <v>1081</v>
      </c>
      <c r="CN161" s="416"/>
      <c r="CO161" s="416"/>
      <c r="CP161" s="416"/>
    </row>
    <row r="162">
      <c r="A162" s="315" t="s">
        <v>25</v>
      </c>
      <c r="B162" s="316"/>
      <c r="C162" s="417">
        <v>43635.0</v>
      </c>
      <c r="D162" s="318"/>
      <c r="E162" s="319">
        <v>8.0</v>
      </c>
      <c r="F162" s="332"/>
      <c r="G162" s="321">
        <v>0.6879282407407408</v>
      </c>
      <c r="H162" s="323">
        <v>0.6885532407407408</v>
      </c>
      <c r="I162" s="323"/>
      <c r="J162" s="323"/>
      <c r="K162" s="323">
        <v>0.6900694444444444</v>
      </c>
      <c r="L162" s="322">
        <f t="shared" si="7"/>
        <v>0.002141203704</v>
      </c>
      <c r="M162" s="319" t="s">
        <v>166</v>
      </c>
      <c r="N162" s="324" t="s">
        <v>187</v>
      </c>
      <c r="O162" s="419" t="s">
        <v>207</v>
      </c>
      <c r="P162" s="319" t="s">
        <v>226</v>
      </c>
      <c r="Q162" s="318"/>
      <c r="R162" s="326">
        <v>25.5</v>
      </c>
      <c r="S162" s="319">
        <v>13.8</v>
      </c>
      <c r="T162" s="324">
        <v>0.1</v>
      </c>
      <c r="U162" s="319">
        <v>3.0</v>
      </c>
      <c r="V162" s="319"/>
      <c r="W162" s="319"/>
      <c r="X162" s="319"/>
      <c r="Y162" s="319"/>
      <c r="Z162" s="318"/>
      <c r="AA162" s="318"/>
      <c r="AB162" s="318"/>
      <c r="AC162" s="327">
        <v>4.0</v>
      </c>
      <c r="AD162" s="319"/>
      <c r="AE162" s="319"/>
      <c r="AF162" s="319"/>
      <c r="AG162" s="319"/>
      <c r="AH162" s="319"/>
      <c r="AI162" s="319"/>
      <c r="AJ162" s="327"/>
      <c r="AK162" s="328"/>
      <c r="AL162" s="319"/>
      <c r="AM162" s="319"/>
      <c r="AN162" s="319"/>
      <c r="AO162" s="319"/>
      <c r="AP162" s="319"/>
      <c r="AQ162" s="319"/>
      <c r="AR162" s="319"/>
      <c r="AS162" s="327"/>
      <c r="AT162" s="344"/>
      <c r="AU162" s="345" t="s">
        <v>845</v>
      </c>
      <c r="AV162" s="330">
        <f>SQRT(($R162-Infrastructure!J$3)^2+($S162-Infrastructure!K$3)^2)</f>
        <v>29.89397933</v>
      </c>
      <c r="AW162" s="331">
        <f>SQRT(($R162-Infrastructure!J$4)^2+($S162-Infrastructure!K$4)^2)</f>
        <v>26.10823625</v>
      </c>
      <c r="AX162" s="331">
        <f>SQRT(($R162-Infrastructure!J$5)^2+($S162-Infrastructure!K$5)^2)</f>
        <v>27.22737593</v>
      </c>
      <c r="AY162" s="331">
        <f>SQRT(($R162-Infrastructure!J$6)^2+($S162-Infrastructure!K$6)^2)</f>
        <v>20.47950195</v>
      </c>
      <c r="AZ162" s="331">
        <f>SQRT(($R162-Infrastructure!J$7)^2+($S162-Infrastructure!K$7)^2)</f>
        <v>14.39618005</v>
      </c>
      <c r="BA162" s="331">
        <f>SQRT(($R162-Infrastructure!J$8)^2+($S162-Infrastructure!K$8)^2)</f>
        <v>14.26218777</v>
      </c>
      <c r="BB162" s="331">
        <f>SQRT(($R162-Infrastructure!J$9)^2+($S162-Infrastructure!K$9)^2)</f>
        <v>16.9097605</v>
      </c>
      <c r="BC162" s="331">
        <f>SQRT(($R162-Infrastructure!J$10)^2+($S162-Infrastructure!K$10)^2)</f>
        <v>14.54957044</v>
      </c>
      <c r="BD162" s="318"/>
      <c r="BE162" s="332"/>
      <c r="BF162" s="330">
        <f t="shared" si="14"/>
        <v>14.26218777</v>
      </c>
      <c r="BG162" s="333">
        <f t="shared" si="15"/>
        <v>29.89397933</v>
      </c>
      <c r="BH162" s="334"/>
      <c r="BI162" s="316"/>
      <c r="BJ162" s="318"/>
      <c r="BK162" s="318"/>
      <c r="BL162" s="318"/>
      <c r="BM162" s="318"/>
      <c r="BN162" s="318"/>
      <c r="BO162" s="318"/>
      <c r="BP162" s="318"/>
      <c r="BQ162" s="338"/>
      <c r="BR162" s="420"/>
      <c r="BS162" s="330">
        <f t="shared" si="16"/>
        <v>0</v>
      </c>
      <c r="BT162" s="331">
        <f t="shared" si="17"/>
        <v>0</v>
      </c>
      <c r="BU162" s="331"/>
      <c r="BV162" s="333"/>
      <c r="BW162" s="330"/>
      <c r="BX162" s="331"/>
      <c r="BY162" s="331"/>
      <c r="BZ162" s="340"/>
      <c r="CA162" s="316"/>
      <c r="CB162" s="318"/>
      <c r="CC162" s="318"/>
      <c r="CD162" s="318"/>
      <c r="CE162" s="318"/>
      <c r="CF162" s="318"/>
      <c r="CG162" s="318"/>
      <c r="CH162" s="318"/>
      <c r="CI162" s="338"/>
      <c r="CJ162" s="341"/>
      <c r="CK162" s="342">
        <f t="shared" si="18"/>
        <v>0</v>
      </c>
      <c r="CL162" s="333">
        <f t="shared" si="19"/>
        <v>0</v>
      </c>
      <c r="CM162" s="423"/>
      <c r="CN162" s="424"/>
      <c r="CO162" s="424"/>
      <c r="CP162" s="424"/>
    </row>
    <row r="163">
      <c r="A163" s="315" t="s">
        <v>25</v>
      </c>
      <c r="B163" s="316"/>
      <c r="C163" s="417">
        <v>43635.0</v>
      </c>
      <c r="D163" s="318"/>
      <c r="E163" s="319">
        <v>9.0</v>
      </c>
      <c r="F163" s="332"/>
      <c r="G163" s="321">
        <v>0.6915625</v>
      </c>
      <c r="H163" s="323">
        <v>0.6923032407407408</v>
      </c>
      <c r="I163" s="323"/>
      <c r="J163" s="323"/>
      <c r="K163" s="323">
        <v>0.6937731481481482</v>
      </c>
      <c r="L163" s="322">
        <f t="shared" si="7"/>
        <v>0.002210648148</v>
      </c>
      <c r="M163" s="319" t="s">
        <v>166</v>
      </c>
      <c r="N163" s="324" t="s">
        <v>187</v>
      </c>
      <c r="O163" s="419" t="s">
        <v>207</v>
      </c>
      <c r="P163" s="319" t="s">
        <v>226</v>
      </c>
      <c r="Q163" s="318"/>
      <c r="R163" s="326">
        <v>25.5</v>
      </c>
      <c r="S163" s="319">
        <v>13.8</v>
      </c>
      <c r="T163" s="324">
        <v>0.1</v>
      </c>
      <c r="U163" s="319">
        <v>9.0</v>
      </c>
      <c r="V163" s="319"/>
      <c r="W163" s="319"/>
      <c r="X163" s="319"/>
      <c r="Y163" s="319"/>
      <c r="Z163" s="318"/>
      <c r="AA163" s="318"/>
      <c r="AB163" s="318"/>
      <c r="AC163" s="327">
        <v>4.0</v>
      </c>
      <c r="AD163" s="319"/>
      <c r="AE163" s="319"/>
      <c r="AF163" s="319"/>
      <c r="AG163" s="319"/>
      <c r="AH163" s="319"/>
      <c r="AI163" s="319"/>
      <c r="AJ163" s="327"/>
      <c r="AK163" s="328"/>
      <c r="AL163" s="319"/>
      <c r="AM163" s="319"/>
      <c r="AN163" s="319"/>
      <c r="AO163" s="319"/>
      <c r="AP163" s="319"/>
      <c r="AQ163" s="319"/>
      <c r="AR163" s="319"/>
      <c r="AS163" s="327"/>
      <c r="AT163" s="344"/>
      <c r="AU163" s="345" t="s">
        <v>845</v>
      </c>
      <c r="AV163" s="330">
        <f>SQRT(($R163-Infrastructure!J$3)^2+($S163-Infrastructure!K$3)^2)</f>
        <v>29.89397933</v>
      </c>
      <c r="AW163" s="331">
        <f>SQRT(($R163-Infrastructure!J$4)^2+($S163-Infrastructure!K$4)^2)</f>
        <v>26.10823625</v>
      </c>
      <c r="AX163" s="331">
        <f>SQRT(($R163-Infrastructure!J$5)^2+($S163-Infrastructure!K$5)^2)</f>
        <v>27.22737593</v>
      </c>
      <c r="AY163" s="331">
        <f>SQRT(($R163-Infrastructure!J$6)^2+($S163-Infrastructure!K$6)^2)</f>
        <v>20.47950195</v>
      </c>
      <c r="AZ163" s="331">
        <f>SQRT(($R163-Infrastructure!J$7)^2+($S163-Infrastructure!K$7)^2)</f>
        <v>14.39618005</v>
      </c>
      <c r="BA163" s="331">
        <f>SQRT(($R163-Infrastructure!J$8)^2+($S163-Infrastructure!K$8)^2)</f>
        <v>14.26218777</v>
      </c>
      <c r="BB163" s="331">
        <f>SQRT(($R163-Infrastructure!J$9)^2+($S163-Infrastructure!K$9)^2)</f>
        <v>16.9097605</v>
      </c>
      <c r="BC163" s="331">
        <f>SQRT(($R163-Infrastructure!J$10)^2+($S163-Infrastructure!K$10)^2)</f>
        <v>14.54957044</v>
      </c>
      <c r="BD163" s="318"/>
      <c r="BE163" s="332"/>
      <c r="BF163" s="330">
        <f t="shared" si="14"/>
        <v>14.26218777</v>
      </c>
      <c r="BG163" s="333">
        <f t="shared" si="15"/>
        <v>29.89397933</v>
      </c>
      <c r="BH163" s="334"/>
      <c r="BI163" s="316"/>
      <c r="BJ163" s="318"/>
      <c r="BK163" s="318"/>
      <c r="BL163" s="318"/>
      <c r="BM163" s="318"/>
      <c r="BN163" s="318"/>
      <c r="BO163" s="318"/>
      <c r="BP163" s="318"/>
      <c r="BQ163" s="338"/>
      <c r="BR163" s="420"/>
      <c r="BS163" s="330">
        <f t="shared" si="16"/>
        <v>0</v>
      </c>
      <c r="BT163" s="331">
        <f t="shared" si="17"/>
        <v>0</v>
      </c>
      <c r="BU163" s="331"/>
      <c r="BV163" s="333"/>
      <c r="BW163" s="330"/>
      <c r="BX163" s="331"/>
      <c r="BY163" s="331"/>
      <c r="BZ163" s="340"/>
      <c r="CA163" s="316"/>
      <c r="CB163" s="318"/>
      <c r="CC163" s="318"/>
      <c r="CD163" s="318"/>
      <c r="CE163" s="318"/>
      <c r="CF163" s="318"/>
      <c r="CG163" s="318"/>
      <c r="CH163" s="318"/>
      <c r="CI163" s="338"/>
      <c r="CJ163" s="341"/>
      <c r="CK163" s="342">
        <f t="shared" si="18"/>
        <v>0</v>
      </c>
      <c r="CL163" s="333">
        <f t="shared" si="19"/>
        <v>0</v>
      </c>
      <c r="CM163" s="423"/>
      <c r="CN163" s="424"/>
      <c r="CO163" s="424"/>
      <c r="CP163" s="424"/>
    </row>
    <row r="164">
      <c r="A164" s="315" t="s">
        <v>25</v>
      </c>
      <c r="B164" s="316"/>
      <c r="C164" s="417">
        <v>43635.0</v>
      </c>
      <c r="D164" s="318"/>
      <c r="E164" s="319">
        <v>10.0</v>
      </c>
      <c r="F164" s="332"/>
      <c r="G164" s="321">
        <v>0.6985069444444445</v>
      </c>
      <c r="H164" s="323">
        <v>0.6993171296296297</v>
      </c>
      <c r="I164" s="323"/>
      <c r="J164" s="323"/>
      <c r="K164" s="323">
        <v>0.700949074074074</v>
      </c>
      <c r="L164" s="322">
        <f t="shared" si="7"/>
        <v>0.00244212963</v>
      </c>
      <c r="M164" s="319" t="s">
        <v>166</v>
      </c>
      <c r="N164" s="324" t="s">
        <v>187</v>
      </c>
      <c r="O164" s="419" t="s">
        <v>205</v>
      </c>
      <c r="P164" s="319" t="s">
        <v>213</v>
      </c>
      <c r="Q164" s="318"/>
      <c r="R164" s="326">
        <v>21.0</v>
      </c>
      <c r="S164" s="319">
        <v>4.0</v>
      </c>
      <c r="T164" s="324">
        <v>2.26</v>
      </c>
      <c r="U164" s="319">
        <v>2.0</v>
      </c>
      <c r="V164" s="319"/>
      <c r="W164" s="319"/>
      <c r="X164" s="319"/>
      <c r="Y164" s="319"/>
      <c r="Z164" s="318"/>
      <c r="AA164" s="318"/>
      <c r="AB164" s="318"/>
      <c r="AC164" s="327">
        <v>4.0</v>
      </c>
      <c r="AD164" s="319"/>
      <c r="AE164" s="319"/>
      <c r="AF164" s="319"/>
      <c r="AG164" s="319"/>
      <c r="AH164" s="319"/>
      <c r="AI164" s="319"/>
      <c r="AJ164" s="327"/>
      <c r="AK164" s="328"/>
      <c r="AL164" s="319"/>
      <c r="AM164" s="319"/>
      <c r="AN164" s="319"/>
      <c r="AO164" s="319"/>
      <c r="AP164" s="319"/>
      <c r="AQ164" s="319"/>
      <c r="AR164" s="319"/>
      <c r="AS164" s="327"/>
      <c r="AT164" s="344"/>
      <c r="AU164" s="345" t="s">
        <v>845</v>
      </c>
      <c r="AV164" s="330">
        <f>SQRT(($R164-Infrastructure!J$3)^2+($S164-Infrastructure!K$3)^2)</f>
        <v>32.76736181</v>
      </c>
      <c r="AW164" s="331">
        <f>SQRT(($R164-Infrastructure!J$4)^2+($S164-Infrastructure!K$4)^2)</f>
        <v>25.37971631</v>
      </c>
      <c r="AX164" s="331">
        <f>SQRT(($R164-Infrastructure!J$5)^2+($S164-Infrastructure!K$5)^2)</f>
        <v>21.32838484</v>
      </c>
      <c r="AY164" s="331">
        <f>SQRT(($R164-Infrastructure!J$6)^2+($S164-Infrastructure!K$6)^2)</f>
        <v>11.51086443</v>
      </c>
      <c r="AZ164" s="331">
        <f>SQRT(($R164-Infrastructure!J$7)^2+($S164-Infrastructure!K$7)^2)</f>
        <v>3.733630941</v>
      </c>
      <c r="BA164" s="331">
        <f>SQRT(($R164-Infrastructure!J$8)^2+($S164-Infrastructure!K$8)^2)</f>
        <v>9.823441352</v>
      </c>
      <c r="BB164" s="331">
        <f>SQRT(($R164-Infrastructure!J$9)^2+($S164-Infrastructure!K$9)^2)</f>
        <v>19.03181547</v>
      </c>
      <c r="BC164" s="331">
        <f>SQRT(($R164-Infrastructure!J$10)^2+($S164-Infrastructure!K$10)^2)</f>
        <v>21.9544984</v>
      </c>
      <c r="BD164" s="318"/>
      <c r="BE164" s="332"/>
      <c r="BF164" s="330">
        <f t="shared" si="14"/>
        <v>3.733630941</v>
      </c>
      <c r="BG164" s="333">
        <f t="shared" si="15"/>
        <v>32.76736181</v>
      </c>
      <c r="BH164" s="334"/>
      <c r="BI164" s="316"/>
      <c r="BJ164" s="318"/>
      <c r="BK164" s="318"/>
      <c r="BL164" s="318"/>
      <c r="BM164" s="318"/>
      <c r="BN164" s="318"/>
      <c r="BO164" s="318"/>
      <c r="BP164" s="318"/>
      <c r="BQ164" s="338"/>
      <c r="BR164" s="420"/>
      <c r="BS164" s="330">
        <f t="shared" si="16"/>
        <v>0</v>
      </c>
      <c r="BT164" s="331">
        <f t="shared" si="17"/>
        <v>0</v>
      </c>
      <c r="BU164" s="331"/>
      <c r="BV164" s="333"/>
      <c r="BW164" s="330"/>
      <c r="BX164" s="331"/>
      <c r="BY164" s="331"/>
      <c r="BZ164" s="340"/>
      <c r="CA164" s="316"/>
      <c r="CB164" s="318"/>
      <c r="CC164" s="318"/>
      <c r="CD164" s="318"/>
      <c r="CE164" s="318"/>
      <c r="CF164" s="318"/>
      <c r="CG164" s="318"/>
      <c r="CH164" s="318"/>
      <c r="CI164" s="338"/>
      <c r="CJ164" s="341"/>
      <c r="CK164" s="342">
        <f t="shared" si="18"/>
        <v>0</v>
      </c>
      <c r="CL164" s="333">
        <f t="shared" si="19"/>
        <v>0</v>
      </c>
      <c r="CM164" s="421" t="s">
        <v>1082</v>
      </c>
      <c r="CN164" s="416"/>
      <c r="CO164" s="416"/>
      <c r="CP164" s="416"/>
    </row>
    <row r="165">
      <c r="A165" s="315" t="s">
        <v>25</v>
      </c>
      <c r="B165" s="316"/>
      <c r="C165" s="417">
        <v>43635.0</v>
      </c>
      <c r="D165" s="318"/>
      <c r="E165" s="319">
        <v>11.0</v>
      </c>
      <c r="F165" s="332"/>
      <c r="G165" s="321">
        <v>0.7025694444444445</v>
      </c>
      <c r="H165" s="323">
        <v>0.7034837962962963</v>
      </c>
      <c r="I165" s="323"/>
      <c r="J165" s="323"/>
      <c r="K165" s="323">
        <v>0.7052893518518518</v>
      </c>
      <c r="L165" s="322">
        <f t="shared" si="7"/>
        <v>0.002719907407</v>
      </c>
      <c r="M165" s="319" t="s">
        <v>166</v>
      </c>
      <c r="N165" s="324" t="s">
        <v>187</v>
      </c>
      <c r="O165" s="419" t="s">
        <v>205</v>
      </c>
      <c r="P165" s="319" t="s">
        <v>213</v>
      </c>
      <c r="Q165" s="318"/>
      <c r="R165" s="326">
        <v>21.0</v>
      </c>
      <c r="S165" s="319">
        <v>4.0</v>
      </c>
      <c r="T165" s="324">
        <v>2.26</v>
      </c>
      <c r="U165" s="319">
        <v>7.0</v>
      </c>
      <c r="V165" s="319"/>
      <c r="W165" s="319"/>
      <c r="X165" s="319"/>
      <c r="Y165" s="319"/>
      <c r="Z165" s="318"/>
      <c r="AA165" s="318"/>
      <c r="AB165" s="318"/>
      <c r="AC165" s="327">
        <v>4.0</v>
      </c>
      <c r="AD165" s="319"/>
      <c r="AE165" s="319"/>
      <c r="AF165" s="319"/>
      <c r="AG165" s="319"/>
      <c r="AH165" s="319"/>
      <c r="AI165" s="319"/>
      <c r="AJ165" s="327"/>
      <c r="AK165" s="328"/>
      <c r="AL165" s="319"/>
      <c r="AM165" s="319"/>
      <c r="AN165" s="319"/>
      <c r="AO165" s="319"/>
      <c r="AP165" s="319"/>
      <c r="AQ165" s="319"/>
      <c r="AR165" s="319"/>
      <c r="AS165" s="327"/>
      <c r="AT165" s="344"/>
      <c r="AU165" s="345" t="s">
        <v>845</v>
      </c>
      <c r="AV165" s="330">
        <f>SQRT(($R165-Infrastructure!J$3)^2+($S165-Infrastructure!K$3)^2)</f>
        <v>32.76736181</v>
      </c>
      <c r="AW165" s="331">
        <f>SQRT(($R165-Infrastructure!J$4)^2+($S165-Infrastructure!K$4)^2)</f>
        <v>25.37971631</v>
      </c>
      <c r="AX165" s="331">
        <f>SQRT(($R165-Infrastructure!J$5)^2+($S165-Infrastructure!K$5)^2)</f>
        <v>21.32838484</v>
      </c>
      <c r="AY165" s="331">
        <f>SQRT(($R165-Infrastructure!J$6)^2+($S165-Infrastructure!K$6)^2)</f>
        <v>11.51086443</v>
      </c>
      <c r="AZ165" s="331">
        <f>SQRT(($R165-Infrastructure!J$7)^2+($S165-Infrastructure!K$7)^2)</f>
        <v>3.733630941</v>
      </c>
      <c r="BA165" s="331">
        <f>SQRT(($R165-Infrastructure!J$8)^2+($S165-Infrastructure!K$8)^2)</f>
        <v>9.823441352</v>
      </c>
      <c r="BB165" s="331">
        <f>SQRT(($R165-Infrastructure!J$9)^2+($S165-Infrastructure!K$9)^2)</f>
        <v>19.03181547</v>
      </c>
      <c r="BC165" s="331">
        <f>SQRT(($R165-Infrastructure!J$10)^2+($S165-Infrastructure!K$10)^2)</f>
        <v>21.9544984</v>
      </c>
      <c r="BD165" s="318"/>
      <c r="BE165" s="332"/>
      <c r="BF165" s="330">
        <f t="shared" si="14"/>
        <v>3.733630941</v>
      </c>
      <c r="BG165" s="333">
        <f t="shared" si="15"/>
        <v>32.76736181</v>
      </c>
      <c r="BH165" s="334"/>
      <c r="BI165" s="316"/>
      <c r="BJ165" s="318"/>
      <c r="BK165" s="318"/>
      <c r="BL165" s="318"/>
      <c r="BM165" s="318"/>
      <c r="BN165" s="318"/>
      <c r="BO165" s="318"/>
      <c r="BP165" s="318"/>
      <c r="BQ165" s="338"/>
      <c r="BR165" s="420"/>
      <c r="BS165" s="330">
        <f t="shared" si="16"/>
        <v>0</v>
      </c>
      <c r="BT165" s="331">
        <f t="shared" si="17"/>
        <v>0</v>
      </c>
      <c r="BU165" s="331"/>
      <c r="BV165" s="333"/>
      <c r="BW165" s="330"/>
      <c r="BX165" s="331"/>
      <c r="BY165" s="331"/>
      <c r="BZ165" s="340"/>
      <c r="CA165" s="316"/>
      <c r="CB165" s="318"/>
      <c r="CC165" s="318"/>
      <c r="CD165" s="318"/>
      <c r="CE165" s="318"/>
      <c r="CF165" s="318"/>
      <c r="CG165" s="318"/>
      <c r="CH165" s="318"/>
      <c r="CI165" s="338"/>
      <c r="CJ165" s="341"/>
      <c r="CK165" s="342">
        <f t="shared" si="18"/>
        <v>0</v>
      </c>
      <c r="CL165" s="333">
        <f t="shared" si="19"/>
        <v>0</v>
      </c>
      <c r="CM165" s="423"/>
      <c r="CN165" s="424"/>
      <c r="CO165" s="424"/>
      <c r="CP165" s="424"/>
    </row>
    <row r="166">
      <c r="A166" s="315" t="s">
        <v>25</v>
      </c>
      <c r="B166" s="316"/>
      <c r="C166" s="417">
        <v>43635.0</v>
      </c>
      <c r="D166" s="318"/>
      <c r="E166" s="319" t="s">
        <v>1083</v>
      </c>
      <c r="F166" s="332"/>
      <c r="G166" s="321">
        <v>0.7077662037037037</v>
      </c>
      <c r="H166" s="323">
        <v>0.7096180555555556</v>
      </c>
      <c r="I166" s="323"/>
      <c r="J166" s="323"/>
      <c r="K166" s="323">
        <v>0.7101388888888889</v>
      </c>
      <c r="L166" s="322">
        <f t="shared" si="7"/>
        <v>0.002372685185</v>
      </c>
      <c r="M166" s="319" t="s">
        <v>166</v>
      </c>
      <c r="N166" s="324" t="s">
        <v>187</v>
      </c>
      <c r="O166" s="419" t="s">
        <v>205</v>
      </c>
      <c r="P166" s="319" t="s">
        <v>213</v>
      </c>
      <c r="Q166" s="318"/>
      <c r="R166" s="326">
        <v>21.0</v>
      </c>
      <c r="S166" s="319">
        <v>4.0</v>
      </c>
      <c r="T166" s="324">
        <v>2.26</v>
      </c>
      <c r="U166" s="319">
        <v>0.7</v>
      </c>
      <c r="V166" s="319"/>
      <c r="W166" s="319"/>
      <c r="X166" s="319"/>
      <c r="Y166" s="319"/>
      <c r="Z166" s="318"/>
      <c r="AA166" s="318"/>
      <c r="AB166" s="318"/>
      <c r="AC166" s="327">
        <v>4.0</v>
      </c>
      <c r="AD166" s="319"/>
      <c r="AE166" s="319"/>
      <c r="AF166" s="319"/>
      <c r="AG166" s="319"/>
      <c r="AH166" s="319"/>
      <c r="AI166" s="319"/>
      <c r="AJ166" s="327"/>
      <c r="AK166" s="328"/>
      <c r="AL166" s="319"/>
      <c r="AM166" s="319"/>
      <c r="AN166" s="319"/>
      <c r="AO166" s="319"/>
      <c r="AP166" s="319"/>
      <c r="AQ166" s="319"/>
      <c r="AR166" s="319"/>
      <c r="AS166" s="327"/>
      <c r="AT166" s="344"/>
      <c r="AU166" s="345" t="s">
        <v>845</v>
      </c>
      <c r="AV166" s="330">
        <f>SQRT(($R166-Infrastructure!J$3)^2+($S166-Infrastructure!K$3)^2)</f>
        <v>32.76736181</v>
      </c>
      <c r="AW166" s="331">
        <f>SQRT(($R166-Infrastructure!J$4)^2+($S166-Infrastructure!K$4)^2)</f>
        <v>25.37971631</v>
      </c>
      <c r="AX166" s="331">
        <f>SQRT(($R166-Infrastructure!J$5)^2+($S166-Infrastructure!K$5)^2)</f>
        <v>21.32838484</v>
      </c>
      <c r="AY166" s="331">
        <f>SQRT(($R166-Infrastructure!J$6)^2+($S166-Infrastructure!K$6)^2)</f>
        <v>11.51086443</v>
      </c>
      <c r="AZ166" s="331">
        <f>SQRT(($R166-Infrastructure!J$7)^2+($S166-Infrastructure!K$7)^2)</f>
        <v>3.733630941</v>
      </c>
      <c r="BA166" s="331">
        <f>SQRT(($R166-Infrastructure!J$8)^2+($S166-Infrastructure!K$8)^2)</f>
        <v>9.823441352</v>
      </c>
      <c r="BB166" s="331">
        <f>SQRT(($R166-Infrastructure!J$9)^2+($S166-Infrastructure!K$9)^2)</f>
        <v>19.03181547</v>
      </c>
      <c r="BC166" s="331">
        <f>SQRT(($R166-Infrastructure!J$10)^2+($S166-Infrastructure!K$10)^2)</f>
        <v>21.9544984</v>
      </c>
      <c r="BD166" s="318"/>
      <c r="BE166" s="332"/>
      <c r="BF166" s="330">
        <f t="shared" si="14"/>
        <v>3.733630941</v>
      </c>
      <c r="BG166" s="333">
        <f t="shared" si="15"/>
        <v>32.76736181</v>
      </c>
      <c r="BH166" s="334"/>
      <c r="BI166" s="316"/>
      <c r="BJ166" s="318"/>
      <c r="BK166" s="318"/>
      <c r="BL166" s="318"/>
      <c r="BM166" s="318"/>
      <c r="BN166" s="318"/>
      <c r="BO166" s="318"/>
      <c r="BP166" s="318"/>
      <c r="BQ166" s="338"/>
      <c r="BR166" s="420"/>
      <c r="BS166" s="330">
        <f t="shared" si="16"/>
        <v>0</v>
      </c>
      <c r="BT166" s="331">
        <f t="shared" si="17"/>
        <v>0</v>
      </c>
      <c r="BU166" s="331"/>
      <c r="BV166" s="333"/>
      <c r="BW166" s="330"/>
      <c r="BX166" s="331"/>
      <c r="BY166" s="331"/>
      <c r="BZ166" s="340"/>
      <c r="CA166" s="316"/>
      <c r="CB166" s="318"/>
      <c r="CC166" s="318"/>
      <c r="CD166" s="318"/>
      <c r="CE166" s="318"/>
      <c r="CF166" s="318"/>
      <c r="CG166" s="318"/>
      <c r="CH166" s="318"/>
      <c r="CI166" s="338"/>
      <c r="CJ166" s="341"/>
      <c r="CK166" s="342">
        <f t="shared" si="18"/>
        <v>0</v>
      </c>
      <c r="CL166" s="333">
        <f t="shared" si="19"/>
        <v>0</v>
      </c>
      <c r="CM166" s="423"/>
      <c r="CN166" s="424"/>
      <c r="CO166" s="424"/>
      <c r="CP166" s="424"/>
    </row>
    <row r="167">
      <c r="A167" s="315" t="s">
        <v>25</v>
      </c>
      <c r="B167" s="316"/>
      <c r="C167" s="417">
        <v>43635.0</v>
      </c>
      <c r="D167" s="318"/>
      <c r="E167" s="319">
        <v>12.0</v>
      </c>
      <c r="F167" s="332"/>
      <c r="G167" s="321">
        <v>0.7136689814814815</v>
      </c>
      <c r="H167" s="323">
        <v>0.7148958333333333</v>
      </c>
      <c r="I167" s="323"/>
      <c r="J167" s="323"/>
      <c r="K167" s="323">
        <v>0.7158680555555555</v>
      </c>
      <c r="L167" s="322">
        <f t="shared" si="7"/>
        <v>0.002199074074</v>
      </c>
      <c r="M167" s="319" t="s">
        <v>166</v>
      </c>
      <c r="N167" s="324" t="s">
        <v>187</v>
      </c>
      <c r="O167" s="419" t="s">
        <v>205</v>
      </c>
      <c r="P167" s="319" t="s">
        <v>222</v>
      </c>
      <c r="Q167" s="318"/>
      <c r="R167" s="326">
        <v>21.0</v>
      </c>
      <c r="S167" s="319">
        <v>5.0</v>
      </c>
      <c r="T167" s="324">
        <v>1.17</v>
      </c>
      <c r="U167" s="319">
        <v>3.0</v>
      </c>
      <c r="V167" s="319"/>
      <c r="W167" s="319"/>
      <c r="X167" s="319"/>
      <c r="Y167" s="319"/>
      <c r="Z167" s="318"/>
      <c r="AA167" s="318"/>
      <c r="AB167" s="318"/>
      <c r="AC167" s="327">
        <v>2.7</v>
      </c>
      <c r="AD167" s="319"/>
      <c r="AE167" s="319"/>
      <c r="AF167" s="319"/>
      <c r="AG167" s="319"/>
      <c r="AH167" s="319"/>
      <c r="AI167" s="319"/>
      <c r="AJ167" s="327"/>
      <c r="AK167" s="328"/>
      <c r="AL167" s="319"/>
      <c r="AM167" s="319"/>
      <c r="AN167" s="319"/>
      <c r="AO167" s="319"/>
      <c r="AP167" s="319"/>
      <c r="AQ167" s="319"/>
      <c r="AR167" s="319"/>
      <c r="AS167" s="327"/>
      <c r="AT167" s="344"/>
      <c r="AU167" s="345" t="s">
        <v>845</v>
      </c>
      <c r="AV167" s="330">
        <f>SQRT(($R167-Infrastructure!J$3)^2+($S167-Infrastructure!K$3)^2)</f>
        <v>32.01405941</v>
      </c>
      <c r="AW167" s="331">
        <f>SQRT(($R167-Infrastructure!J$4)^2+($S167-Infrastructure!K$4)^2)</f>
        <v>24.8501509</v>
      </c>
      <c r="AX167" s="331">
        <f>SQRT(($R167-Infrastructure!J$5)^2+($S167-Infrastructure!K$5)^2)</f>
        <v>21.30023474</v>
      </c>
      <c r="AY167" s="331">
        <f>SQRT(($R167-Infrastructure!J$6)^2+($S167-Infrastructure!K$6)^2)</f>
        <v>11.87013058</v>
      </c>
      <c r="AZ167" s="331">
        <f>SQRT(($R167-Infrastructure!J$7)^2+($S167-Infrastructure!K$7)^2)</f>
        <v>4.726520919</v>
      </c>
      <c r="BA167" s="331">
        <f>SQRT(($R167-Infrastructure!J$8)^2+($S167-Infrastructure!K$8)^2)</f>
        <v>10.2420701</v>
      </c>
      <c r="BB167" s="331">
        <f>SQRT(($R167-Infrastructure!J$9)^2+($S167-Infrastructure!K$9)^2)</f>
        <v>19.00026316</v>
      </c>
      <c r="BC167" s="331">
        <f>SQRT(($R167-Infrastructure!J$10)^2+($S167-Infrastructure!K$10)^2)</f>
        <v>21.47091055</v>
      </c>
      <c r="BD167" s="318"/>
      <c r="BE167" s="332"/>
      <c r="BF167" s="330">
        <f t="shared" si="14"/>
        <v>4.726520919</v>
      </c>
      <c r="BG167" s="333">
        <f t="shared" si="15"/>
        <v>32.01405941</v>
      </c>
      <c r="BH167" s="334"/>
      <c r="BI167" s="316"/>
      <c r="BJ167" s="318"/>
      <c r="BK167" s="318"/>
      <c r="BL167" s="318"/>
      <c r="BM167" s="318"/>
      <c r="BN167" s="318"/>
      <c r="BO167" s="318"/>
      <c r="BP167" s="318"/>
      <c r="BQ167" s="338"/>
      <c r="BR167" s="420"/>
      <c r="BS167" s="330">
        <f t="shared" si="16"/>
        <v>0</v>
      </c>
      <c r="BT167" s="331">
        <f t="shared" si="17"/>
        <v>0</v>
      </c>
      <c r="BU167" s="331"/>
      <c r="BV167" s="333"/>
      <c r="BW167" s="330"/>
      <c r="BX167" s="331"/>
      <c r="BY167" s="331"/>
      <c r="BZ167" s="340"/>
      <c r="CA167" s="316"/>
      <c r="CB167" s="318"/>
      <c r="CC167" s="318"/>
      <c r="CD167" s="318"/>
      <c r="CE167" s="318"/>
      <c r="CF167" s="318"/>
      <c r="CG167" s="318"/>
      <c r="CH167" s="318"/>
      <c r="CI167" s="338"/>
      <c r="CJ167" s="341"/>
      <c r="CK167" s="342">
        <f t="shared" si="18"/>
        <v>0</v>
      </c>
      <c r="CL167" s="333">
        <f t="shared" si="19"/>
        <v>0</v>
      </c>
      <c r="CM167" s="423"/>
      <c r="CN167" s="424"/>
      <c r="CO167" s="424"/>
      <c r="CP167" s="424"/>
    </row>
    <row r="168">
      <c r="A168" s="315" t="s">
        <v>25</v>
      </c>
      <c r="B168" s="316"/>
      <c r="C168" s="417">
        <v>43636.0</v>
      </c>
      <c r="D168" s="318"/>
      <c r="E168" s="319">
        <v>13.0</v>
      </c>
      <c r="F168" s="332"/>
      <c r="G168" s="321">
        <v>0.3821643518518518</v>
      </c>
      <c r="H168" s="323">
        <v>0.3832291666666667</v>
      </c>
      <c r="I168" s="323"/>
      <c r="J168" s="323"/>
      <c r="K168" s="323">
        <v>0.3850925925925926</v>
      </c>
      <c r="L168" s="322">
        <f t="shared" si="7"/>
        <v>0.002928240741</v>
      </c>
      <c r="M168" s="319" t="s">
        <v>166</v>
      </c>
      <c r="N168" s="324" t="s">
        <v>187</v>
      </c>
      <c r="O168" s="419" t="s">
        <v>203</v>
      </c>
      <c r="P168" s="319" t="s">
        <v>285</v>
      </c>
      <c r="Q168" s="318"/>
      <c r="R168" s="326">
        <v>15.0</v>
      </c>
      <c r="S168" s="319">
        <v>4.0</v>
      </c>
      <c r="T168" s="324">
        <v>1.3</v>
      </c>
      <c r="U168" s="319">
        <v>2.0</v>
      </c>
      <c r="V168" s="319"/>
      <c r="W168" s="319"/>
      <c r="X168" s="319"/>
      <c r="Y168" s="319"/>
      <c r="Z168" s="318"/>
      <c r="AA168" s="318"/>
      <c r="AB168" s="318"/>
      <c r="AC168" s="327">
        <v>6.0</v>
      </c>
      <c r="AD168" s="319"/>
      <c r="AE168" s="319"/>
      <c r="AF168" s="319"/>
      <c r="AG168" s="319"/>
      <c r="AH168" s="319"/>
      <c r="AI168" s="319"/>
      <c r="AJ168" s="327"/>
      <c r="AK168" s="328"/>
      <c r="AL168" s="319"/>
      <c r="AM168" s="319"/>
      <c r="AN168" s="319"/>
      <c r="AO168" s="319"/>
      <c r="AP168" s="319"/>
      <c r="AQ168" s="319"/>
      <c r="AR168" s="319"/>
      <c r="AS168" s="327"/>
      <c r="AT168" s="344"/>
      <c r="AU168" s="345" t="s">
        <v>845</v>
      </c>
      <c r="AV168" s="330">
        <f>SQRT(($R168-Infrastructure!J$3)^2+($S168-Infrastructure!K$3)^2)</f>
        <v>29.22498931</v>
      </c>
      <c r="AW168" s="331">
        <f>SQRT(($R168-Infrastructure!J$4)^2+($S168-Infrastructure!K$4)^2)</f>
        <v>20.6041258</v>
      </c>
      <c r="AX168" s="331">
        <f>SQRT(($R168-Infrastructure!J$5)^2+($S168-Infrastructure!K$5)^2)</f>
        <v>15.33949152</v>
      </c>
      <c r="AY168" s="331">
        <f>SQRT(($R168-Infrastructure!J$6)^2+($S168-Infrastructure!K$6)^2)</f>
        <v>6.140032573</v>
      </c>
      <c r="AZ168" s="331">
        <f>SQRT(($R168-Infrastructure!J$7)^2+($S168-Infrastructure!K$7)^2)</f>
        <v>6.628725368</v>
      </c>
      <c r="BA168" s="331">
        <f>SQRT(($R168-Infrastructure!J$8)^2+($S168-Infrastructure!K$8)^2)</f>
        <v>15.54670383</v>
      </c>
      <c r="BB168" s="331">
        <f>SQRT(($R168-Infrastructure!J$9)^2+($S168-Infrastructure!K$9)^2)</f>
        <v>25.0241883</v>
      </c>
      <c r="BC168" s="331">
        <f>SQRT(($R168-Infrastructure!J$10)^2+($S168-Infrastructure!K$10)^2)</f>
        <v>27.31300057</v>
      </c>
      <c r="BD168" s="318"/>
      <c r="BE168" s="332"/>
      <c r="BF168" s="330">
        <f t="shared" si="14"/>
        <v>6.140032573</v>
      </c>
      <c r="BG168" s="333">
        <f t="shared" si="15"/>
        <v>29.22498931</v>
      </c>
      <c r="BH168" s="334"/>
      <c r="BI168" s="316"/>
      <c r="BJ168" s="318"/>
      <c r="BK168" s="318"/>
      <c r="BL168" s="318"/>
      <c r="BM168" s="318"/>
      <c r="BN168" s="318"/>
      <c r="BO168" s="318"/>
      <c r="BP168" s="318"/>
      <c r="BQ168" s="338"/>
      <c r="BR168" s="420"/>
      <c r="BS168" s="330">
        <f t="shared" si="16"/>
        <v>0</v>
      </c>
      <c r="BT168" s="331">
        <f t="shared" si="17"/>
        <v>0</v>
      </c>
      <c r="BU168" s="331"/>
      <c r="BV168" s="333"/>
      <c r="BW168" s="330"/>
      <c r="BX168" s="331"/>
      <c r="BY168" s="331"/>
      <c r="BZ168" s="340"/>
      <c r="CA168" s="316"/>
      <c r="CB168" s="318"/>
      <c r="CC168" s="318"/>
      <c r="CD168" s="318"/>
      <c r="CE168" s="318"/>
      <c r="CF168" s="318"/>
      <c r="CG168" s="318"/>
      <c r="CH168" s="318"/>
      <c r="CI168" s="338"/>
      <c r="CJ168" s="341"/>
      <c r="CK168" s="342">
        <f t="shared" si="18"/>
        <v>0</v>
      </c>
      <c r="CL168" s="333">
        <f t="shared" si="19"/>
        <v>0</v>
      </c>
      <c r="CM168" s="423"/>
      <c r="CN168" s="424"/>
      <c r="CO168" s="424"/>
      <c r="CP168" s="424"/>
    </row>
    <row r="169">
      <c r="A169" s="315" t="s">
        <v>25</v>
      </c>
      <c r="B169" s="316"/>
      <c r="C169" s="417">
        <v>43636.0</v>
      </c>
      <c r="D169" s="318"/>
      <c r="E169" s="319">
        <v>14.0</v>
      </c>
      <c r="F169" s="332"/>
      <c r="G169" s="321">
        <v>0.38663194444444443</v>
      </c>
      <c r="H169" s="323">
        <v>0.38807870370370373</v>
      </c>
      <c r="I169" s="323"/>
      <c r="J169" s="323"/>
      <c r="K169" s="323">
        <v>0.38957175925925924</v>
      </c>
      <c r="L169" s="322">
        <f t="shared" si="7"/>
        <v>0.002939814815</v>
      </c>
      <c r="M169" s="319" t="s">
        <v>166</v>
      </c>
      <c r="N169" s="324" t="s">
        <v>187</v>
      </c>
      <c r="O169" s="419" t="s">
        <v>203</v>
      </c>
      <c r="P169" s="319" t="s">
        <v>285</v>
      </c>
      <c r="Q169" s="318"/>
      <c r="R169" s="326">
        <v>15.0</v>
      </c>
      <c r="S169" s="319">
        <v>4.0</v>
      </c>
      <c r="T169" s="324">
        <v>1.3</v>
      </c>
      <c r="U169" s="319">
        <v>0.6</v>
      </c>
      <c r="V169" s="319"/>
      <c r="W169" s="319"/>
      <c r="X169" s="319"/>
      <c r="Y169" s="319"/>
      <c r="Z169" s="318"/>
      <c r="AA169" s="318"/>
      <c r="AB169" s="318"/>
      <c r="AC169" s="327">
        <v>6.0</v>
      </c>
      <c r="AD169" s="319"/>
      <c r="AE169" s="319"/>
      <c r="AF169" s="319"/>
      <c r="AG169" s="319"/>
      <c r="AH169" s="319"/>
      <c r="AI169" s="319"/>
      <c r="AJ169" s="327"/>
      <c r="AK169" s="328"/>
      <c r="AL169" s="319"/>
      <c r="AM169" s="319"/>
      <c r="AN169" s="319"/>
      <c r="AO169" s="319"/>
      <c r="AP169" s="319"/>
      <c r="AQ169" s="319"/>
      <c r="AR169" s="319"/>
      <c r="AS169" s="327"/>
      <c r="AT169" s="344"/>
      <c r="AU169" s="345" t="s">
        <v>845</v>
      </c>
      <c r="AV169" s="330">
        <f>SQRT(($R169-Infrastructure!J$3)^2+($S169-Infrastructure!K$3)^2)</f>
        <v>29.22498931</v>
      </c>
      <c r="AW169" s="331">
        <f>SQRT(($R169-Infrastructure!J$4)^2+($S169-Infrastructure!K$4)^2)</f>
        <v>20.6041258</v>
      </c>
      <c r="AX169" s="331">
        <f>SQRT(($R169-Infrastructure!J$5)^2+($S169-Infrastructure!K$5)^2)</f>
        <v>15.33949152</v>
      </c>
      <c r="AY169" s="331">
        <f>SQRT(($R169-Infrastructure!J$6)^2+($S169-Infrastructure!K$6)^2)</f>
        <v>6.140032573</v>
      </c>
      <c r="AZ169" s="331">
        <f>SQRT(($R169-Infrastructure!J$7)^2+($S169-Infrastructure!K$7)^2)</f>
        <v>6.628725368</v>
      </c>
      <c r="BA169" s="331">
        <f>SQRT(($R169-Infrastructure!J$8)^2+($S169-Infrastructure!K$8)^2)</f>
        <v>15.54670383</v>
      </c>
      <c r="BB169" s="331">
        <f>SQRT(($R169-Infrastructure!J$9)^2+($S169-Infrastructure!K$9)^2)</f>
        <v>25.0241883</v>
      </c>
      <c r="BC169" s="331">
        <f>SQRT(($R169-Infrastructure!J$10)^2+($S169-Infrastructure!K$10)^2)</f>
        <v>27.31300057</v>
      </c>
      <c r="BD169" s="318"/>
      <c r="BE169" s="332"/>
      <c r="BF169" s="330">
        <f t="shared" si="14"/>
        <v>6.140032573</v>
      </c>
      <c r="BG169" s="333">
        <f t="shared" si="15"/>
        <v>29.22498931</v>
      </c>
      <c r="BH169" s="334"/>
      <c r="BI169" s="316"/>
      <c r="BJ169" s="318"/>
      <c r="BK169" s="318"/>
      <c r="BL169" s="318"/>
      <c r="BM169" s="318"/>
      <c r="BN169" s="318"/>
      <c r="BO169" s="318"/>
      <c r="BP169" s="318"/>
      <c r="BQ169" s="338"/>
      <c r="BR169" s="420"/>
      <c r="BS169" s="330">
        <f t="shared" si="16"/>
        <v>0</v>
      </c>
      <c r="BT169" s="331">
        <f t="shared" si="17"/>
        <v>0</v>
      </c>
      <c r="BU169" s="331"/>
      <c r="BV169" s="333"/>
      <c r="BW169" s="330"/>
      <c r="BX169" s="331"/>
      <c r="BY169" s="331"/>
      <c r="BZ169" s="340"/>
      <c r="CA169" s="316"/>
      <c r="CB169" s="318"/>
      <c r="CC169" s="318"/>
      <c r="CD169" s="318"/>
      <c r="CE169" s="318"/>
      <c r="CF169" s="318"/>
      <c r="CG169" s="318"/>
      <c r="CH169" s="318"/>
      <c r="CI169" s="338"/>
      <c r="CJ169" s="341"/>
      <c r="CK169" s="342">
        <f t="shared" si="18"/>
        <v>0</v>
      </c>
      <c r="CL169" s="333">
        <f t="shared" si="19"/>
        <v>0</v>
      </c>
      <c r="CM169" s="423"/>
      <c r="CN169" s="424"/>
      <c r="CO169" s="424"/>
      <c r="CP169" s="424"/>
    </row>
    <row r="170">
      <c r="A170" s="315" t="s">
        <v>25</v>
      </c>
      <c r="B170" s="316"/>
      <c r="C170" s="417">
        <v>43636.0</v>
      </c>
      <c r="D170" s="318"/>
      <c r="E170" s="319">
        <v>15.0</v>
      </c>
      <c r="F170" s="332"/>
      <c r="G170" s="321">
        <v>0.39274305555555555</v>
      </c>
      <c r="H170" s="323">
        <v>0.3932407407407407</v>
      </c>
      <c r="I170" s="323"/>
      <c r="J170" s="323"/>
      <c r="K170" s="323">
        <v>0.39547453703703705</v>
      </c>
      <c r="L170" s="322">
        <f t="shared" si="7"/>
        <v>0.002731481481</v>
      </c>
      <c r="M170" s="319" t="s">
        <v>166</v>
      </c>
      <c r="N170" s="324" t="s">
        <v>187</v>
      </c>
      <c r="O170" s="419" t="s">
        <v>206</v>
      </c>
      <c r="P170" s="319" t="s">
        <v>223</v>
      </c>
      <c r="Q170" s="318"/>
      <c r="R170" s="326">
        <v>22.0</v>
      </c>
      <c r="S170" s="319">
        <v>8.0</v>
      </c>
      <c r="T170" s="324">
        <v>1.3</v>
      </c>
      <c r="U170" s="319">
        <v>0.4</v>
      </c>
      <c r="V170" s="319"/>
      <c r="W170" s="319"/>
      <c r="X170" s="319"/>
      <c r="Y170" s="319"/>
      <c r="Z170" s="318"/>
      <c r="AA170" s="318"/>
      <c r="AB170" s="318"/>
      <c r="AC170" s="327">
        <v>8.0</v>
      </c>
      <c r="AD170" s="319"/>
      <c r="AE170" s="319"/>
      <c r="AF170" s="319"/>
      <c r="AG170" s="319"/>
      <c r="AH170" s="319"/>
      <c r="AI170" s="319"/>
      <c r="AJ170" s="327"/>
      <c r="AK170" s="328"/>
      <c r="AL170" s="319"/>
      <c r="AM170" s="319"/>
      <c r="AN170" s="319"/>
      <c r="AO170" s="319"/>
      <c r="AP170" s="319"/>
      <c r="AQ170" s="319"/>
      <c r="AR170" s="319"/>
      <c r="AS170" s="327"/>
      <c r="AT170" s="344"/>
      <c r="AU170" s="345" t="s">
        <v>845</v>
      </c>
      <c r="AV170" s="330">
        <f>SQRT(($R170-Infrastructure!J$3)^2+($S170-Infrastructure!K$3)^2)</f>
        <v>30.56304959</v>
      </c>
      <c r="AW170" s="331">
        <f>SQRT(($R170-Infrastructure!J$4)^2+($S170-Infrastructure!K$4)^2)</f>
        <v>24.35836612</v>
      </c>
      <c r="AX170" s="331">
        <f>SQRT(($R170-Infrastructure!J$5)^2+($S170-Infrastructure!K$5)^2)</f>
        <v>22.48777446</v>
      </c>
      <c r="AY170" s="331">
        <f>SQRT(($R170-Infrastructure!J$6)^2+($S170-Infrastructure!K$6)^2)</f>
        <v>14.17391971</v>
      </c>
      <c r="AZ170" s="331">
        <f>SQRT(($R170-Infrastructure!J$7)^2+($S170-Infrastructure!K$7)^2)</f>
        <v>7.844743463</v>
      </c>
      <c r="BA170" s="331">
        <f>SQRT(($R170-Infrastructure!J$8)^2+($S170-Infrastructure!K$8)^2)</f>
        <v>11.17586686</v>
      </c>
      <c r="BB170" s="331">
        <f>SQRT(($R170-Infrastructure!J$9)^2+($S170-Infrastructure!K$9)^2)</f>
        <v>18.23211452</v>
      </c>
      <c r="BC170" s="331">
        <f>SQRT(($R170-Infrastructure!J$10)^2+($S170-Infrastructure!K$10)^2)</f>
        <v>19.31320792</v>
      </c>
      <c r="BD170" s="318"/>
      <c r="BE170" s="332"/>
      <c r="BF170" s="330">
        <f t="shared" si="14"/>
        <v>7.844743463</v>
      </c>
      <c r="BG170" s="333">
        <f t="shared" si="15"/>
        <v>30.56304959</v>
      </c>
      <c r="BH170" s="334"/>
      <c r="BI170" s="316"/>
      <c r="BJ170" s="318"/>
      <c r="BK170" s="318"/>
      <c r="BL170" s="318"/>
      <c r="BM170" s="318"/>
      <c r="BN170" s="318"/>
      <c r="BO170" s="318"/>
      <c r="BP170" s="318"/>
      <c r="BQ170" s="338"/>
      <c r="BR170" s="420"/>
      <c r="BS170" s="330">
        <f t="shared" si="16"/>
        <v>0</v>
      </c>
      <c r="BT170" s="331">
        <f t="shared" si="17"/>
        <v>0</v>
      </c>
      <c r="BU170" s="331"/>
      <c r="BV170" s="333"/>
      <c r="BW170" s="330"/>
      <c r="BX170" s="331"/>
      <c r="BY170" s="331"/>
      <c r="BZ170" s="340"/>
      <c r="CA170" s="316"/>
      <c r="CB170" s="318"/>
      <c r="CC170" s="318"/>
      <c r="CD170" s="318"/>
      <c r="CE170" s="318"/>
      <c r="CF170" s="318"/>
      <c r="CG170" s="318"/>
      <c r="CH170" s="318"/>
      <c r="CI170" s="338"/>
      <c r="CJ170" s="341"/>
      <c r="CK170" s="342">
        <f t="shared" si="18"/>
        <v>0</v>
      </c>
      <c r="CL170" s="333">
        <f t="shared" si="19"/>
        <v>0</v>
      </c>
      <c r="CM170" s="421" t="s">
        <v>1084</v>
      </c>
      <c r="CN170" s="416"/>
      <c r="CO170" s="416"/>
      <c r="CP170" s="416"/>
    </row>
    <row r="171">
      <c r="A171" s="315" t="s">
        <v>25</v>
      </c>
      <c r="B171" s="316"/>
      <c r="C171" s="417">
        <v>43636.0</v>
      </c>
      <c r="D171" s="318"/>
      <c r="E171" s="319">
        <v>16.0</v>
      </c>
      <c r="F171" s="332"/>
      <c r="G171" s="321">
        <v>0.3967013888888889</v>
      </c>
      <c r="H171" s="323">
        <v>0.39747685185185183</v>
      </c>
      <c r="I171" s="323"/>
      <c r="J171" s="323"/>
      <c r="K171" s="323">
        <v>0.39913194444444444</v>
      </c>
      <c r="L171" s="322">
        <f t="shared" si="7"/>
        <v>0.002430555556</v>
      </c>
      <c r="M171" s="319" t="s">
        <v>166</v>
      </c>
      <c r="N171" s="324" t="s">
        <v>187</v>
      </c>
      <c r="O171" s="419" t="s">
        <v>206</v>
      </c>
      <c r="P171" s="319" t="s">
        <v>223</v>
      </c>
      <c r="Q171" s="318"/>
      <c r="R171" s="326">
        <v>22.0</v>
      </c>
      <c r="S171" s="319">
        <v>8.0</v>
      </c>
      <c r="T171" s="324">
        <v>1.3</v>
      </c>
      <c r="U171" s="319">
        <v>0.8</v>
      </c>
      <c r="V171" s="319"/>
      <c r="W171" s="319"/>
      <c r="X171" s="319"/>
      <c r="Y171" s="319"/>
      <c r="Z171" s="318"/>
      <c r="AA171" s="318"/>
      <c r="AB171" s="318"/>
      <c r="AC171" s="327">
        <v>8.0</v>
      </c>
      <c r="AD171" s="319"/>
      <c r="AE171" s="319"/>
      <c r="AF171" s="319"/>
      <c r="AG171" s="319"/>
      <c r="AH171" s="319"/>
      <c r="AI171" s="319"/>
      <c r="AJ171" s="327"/>
      <c r="AK171" s="328"/>
      <c r="AL171" s="319"/>
      <c r="AM171" s="319"/>
      <c r="AN171" s="319"/>
      <c r="AO171" s="319"/>
      <c r="AP171" s="319"/>
      <c r="AQ171" s="319"/>
      <c r="AR171" s="319"/>
      <c r="AS171" s="327"/>
      <c r="AT171" s="344"/>
      <c r="AU171" s="345" t="s">
        <v>845</v>
      </c>
      <c r="AV171" s="330">
        <f>SQRT(($R171-Infrastructure!J$3)^2+($S171-Infrastructure!K$3)^2)</f>
        <v>30.56304959</v>
      </c>
      <c r="AW171" s="331">
        <f>SQRT(($R171-Infrastructure!J$4)^2+($S171-Infrastructure!K$4)^2)</f>
        <v>24.35836612</v>
      </c>
      <c r="AX171" s="331">
        <f>SQRT(($R171-Infrastructure!J$5)^2+($S171-Infrastructure!K$5)^2)</f>
        <v>22.48777446</v>
      </c>
      <c r="AY171" s="331">
        <f>SQRT(($R171-Infrastructure!J$6)^2+($S171-Infrastructure!K$6)^2)</f>
        <v>14.17391971</v>
      </c>
      <c r="AZ171" s="331">
        <f>SQRT(($R171-Infrastructure!J$7)^2+($S171-Infrastructure!K$7)^2)</f>
        <v>7.844743463</v>
      </c>
      <c r="BA171" s="331">
        <f>SQRT(($R171-Infrastructure!J$8)^2+($S171-Infrastructure!K$8)^2)</f>
        <v>11.17586686</v>
      </c>
      <c r="BB171" s="331">
        <f>SQRT(($R171-Infrastructure!J$9)^2+($S171-Infrastructure!K$9)^2)</f>
        <v>18.23211452</v>
      </c>
      <c r="BC171" s="331">
        <f>SQRT(($R171-Infrastructure!J$10)^2+($S171-Infrastructure!K$10)^2)</f>
        <v>19.31320792</v>
      </c>
      <c r="BD171" s="318"/>
      <c r="BE171" s="332"/>
      <c r="BF171" s="330">
        <f t="shared" si="14"/>
        <v>7.844743463</v>
      </c>
      <c r="BG171" s="333">
        <f t="shared" si="15"/>
        <v>30.56304959</v>
      </c>
      <c r="BH171" s="334"/>
      <c r="BI171" s="316"/>
      <c r="BJ171" s="318"/>
      <c r="BK171" s="318"/>
      <c r="BL171" s="318"/>
      <c r="BM171" s="318"/>
      <c r="BN171" s="318"/>
      <c r="BO171" s="318"/>
      <c r="BP171" s="318"/>
      <c r="BQ171" s="338"/>
      <c r="BR171" s="420"/>
      <c r="BS171" s="330">
        <f t="shared" si="16"/>
        <v>0</v>
      </c>
      <c r="BT171" s="331">
        <f t="shared" si="17"/>
        <v>0</v>
      </c>
      <c r="BU171" s="331"/>
      <c r="BV171" s="333"/>
      <c r="BW171" s="330"/>
      <c r="BX171" s="331"/>
      <c r="BY171" s="331"/>
      <c r="BZ171" s="340"/>
      <c r="CA171" s="316"/>
      <c r="CB171" s="318"/>
      <c r="CC171" s="318"/>
      <c r="CD171" s="318"/>
      <c r="CE171" s="318"/>
      <c r="CF171" s="318"/>
      <c r="CG171" s="318"/>
      <c r="CH171" s="318"/>
      <c r="CI171" s="338"/>
      <c r="CJ171" s="341"/>
      <c r="CK171" s="342">
        <f t="shared" si="18"/>
        <v>0</v>
      </c>
      <c r="CL171" s="333">
        <f t="shared" si="19"/>
        <v>0</v>
      </c>
      <c r="CM171" s="423"/>
      <c r="CN171" s="424"/>
      <c r="CO171" s="424"/>
      <c r="CP171" s="424"/>
    </row>
    <row r="172">
      <c r="A172" s="315" t="s">
        <v>25</v>
      </c>
      <c r="B172" s="316"/>
      <c r="C172" s="417">
        <v>43636.0</v>
      </c>
      <c r="D172" s="318"/>
      <c r="E172" s="319">
        <v>17.0</v>
      </c>
      <c r="F172" s="332"/>
      <c r="G172" s="321">
        <v>0.4045138888888889</v>
      </c>
      <c r="H172" s="323">
        <v>0.40519675925925924</v>
      </c>
      <c r="I172" s="323"/>
      <c r="J172" s="323"/>
      <c r="K172" s="323">
        <v>0.4066782407407407</v>
      </c>
      <c r="L172" s="322">
        <f t="shared" si="7"/>
        <v>0.002164351852</v>
      </c>
      <c r="M172" s="319" t="s">
        <v>166</v>
      </c>
      <c r="N172" s="324" t="s">
        <v>187</v>
      </c>
      <c r="O172" s="419" t="s">
        <v>199</v>
      </c>
      <c r="P172" s="319" t="s">
        <v>220</v>
      </c>
      <c r="Q172" s="318"/>
      <c r="R172" s="326">
        <v>16.0</v>
      </c>
      <c r="S172" s="319">
        <v>10.0</v>
      </c>
      <c r="T172" s="324">
        <v>0.02</v>
      </c>
      <c r="U172" s="319">
        <v>1.0</v>
      </c>
      <c r="V172" s="319"/>
      <c r="W172" s="319"/>
      <c r="X172" s="319"/>
      <c r="Y172" s="319"/>
      <c r="Z172" s="318"/>
      <c r="AA172" s="318"/>
      <c r="AB172" s="318"/>
      <c r="AC172" s="327">
        <v>4.0</v>
      </c>
      <c r="AD172" s="319"/>
      <c r="AE172" s="319"/>
      <c r="AF172" s="319"/>
      <c r="AG172" s="319"/>
      <c r="AH172" s="319"/>
      <c r="AI172" s="319"/>
      <c r="AJ172" s="327"/>
      <c r="AK172" s="328"/>
      <c r="AL172" s="319"/>
      <c r="AM172" s="319"/>
      <c r="AN172" s="319"/>
      <c r="AO172" s="319"/>
      <c r="AP172" s="319"/>
      <c r="AQ172" s="319"/>
      <c r="AR172" s="319"/>
      <c r="AS172" s="327"/>
      <c r="AT172" s="344"/>
      <c r="AU172" s="345" t="s">
        <v>845</v>
      </c>
      <c r="AV172" s="330">
        <f>SQRT(($R172-Infrastructure!J$3)^2+($S172-Infrastructure!K$3)^2)</f>
        <v>24.95796466</v>
      </c>
      <c r="AW172" s="331">
        <f>SQRT(($R172-Infrastructure!J$4)^2+($S172-Infrastructure!K$4)^2)</f>
        <v>18.07014112</v>
      </c>
      <c r="AX172" s="331">
        <f>SQRT(($R172-Infrastructure!J$5)^2+($S172-Infrastructure!K$5)^2)</f>
        <v>17.02057578</v>
      </c>
      <c r="AY172" s="331">
        <f>SQRT(($R172-Infrastructure!J$6)^2+($S172-Infrastructure!K$6)^2)</f>
        <v>11.35341358</v>
      </c>
      <c r="AZ172" s="331">
        <f>SQRT(($R172-Infrastructure!J$7)^2+($S172-Infrastructure!K$7)^2)</f>
        <v>10.69298836</v>
      </c>
      <c r="BA172" s="331">
        <f>SQRT(($R172-Infrastructure!J$8)^2+($S172-Infrastructure!K$8)^2)</f>
        <v>17.11432149</v>
      </c>
      <c r="BB172" s="331">
        <f>SQRT(($R172-Infrastructure!J$9)^2+($S172-Infrastructure!K$9)^2)</f>
        <v>24.49510155</v>
      </c>
      <c r="BC172" s="331">
        <f>SQRT(($R172-Infrastructure!J$10)^2+($S172-Infrastructure!K$10)^2)</f>
        <v>24.51530134</v>
      </c>
      <c r="BD172" s="318"/>
      <c r="BE172" s="332"/>
      <c r="BF172" s="330">
        <f t="shared" si="14"/>
        <v>10.69298836</v>
      </c>
      <c r="BG172" s="333">
        <f t="shared" si="15"/>
        <v>24.95796466</v>
      </c>
      <c r="BH172" s="334"/>
      <c r="BI172" s="316"/>
      <c r="BJ172" s="318"/>
      <c r="BK172" s="318"/>
      <c r="BL172" s="318"/>
      <c r="BM172" s="318"/>
      <c r="BN172" s="318"/>
      <c r="BO172" s="318"/>
      <c r="BP172" s="318"/>
      <c r="BQ172" s="338"/>
      <c r="BR172" s="420"/>
      <c r="BS172" s="330">
        <f t="shared" si="16"/>
        <v>0</v>
      </c>
      <c r="BT172" s="331">
        <f t="shared" si="17"/>
        <v>0</v>
      </c>
      <c r="BU172" s="331"/>
      <c r="BV172" s="333"/>
      <c r="BW172" s="330"/>
      <c r="BX172" s="331"/>
      <c r="BY172" s="331"/>
      <c r="BZ172" s="340"/>
      <c r="CA172" s="316"/>
      <c r="CB172" s="318"/>
      <c r="CC172" s="318"/>
      <c r="CD172" s="318"/>
      <c r="CE172" s="318"/>
      <c r="CF172" s="318"/>
      <c r="CG172" s="318"/>
      <c r="CH172" s="318"/>
      <c r="CI172" s="338"/>
      <c r="CJ172" s="341"/>
      <c r="CK172" s="342">
        <f t="shared" si="18"/>
        <v>0</v>
      </c>
      <c r="CL172" s="333">
        <f t="shared" si="19"/>
        <v>0</v>
      </c>
      <c r="CM172" s="421" t="s">
        <v>1085</v>
      </c>
      <c r="CN172" s="416"/>
      <c r="CO172" s="416"/>
      <c r="CP172" s="416"/>
    </row>
    <row r="173">
      <c r="A173" s="315" t="s">
        <v>25</v>
      </c>
      <c r="B173" s="316"/>
      <c r="C173" s="417">
        <v>43636.0</v>
      </c>
      <c r="D173" s="318"/>
      <c r="E173" s="319">
        <v>18.0</v>
      </c>
      <c r="F173" s="332"/>
      <c r="G173" s="321">
        <v>0.4079976851851852</v>
      </c>
      <c r="H173" s="323">
        <v>0.40902777777777777</v>
      </c>
      <c r="I173" s="323"/>
      <c r="J173" s="323"/>
      <c r="K173" s="323">
        <v>0.41077546296296297</v>
      </c>
      <c r="L173" s="322">
        <f t="shared" si="7"/>
        <v>0.002777777778</v>
      </c>
      <c r="M173" s="319" t="s">
        <v>166</v>
      </c>
      <c r="N173" s="324" t="s">
        <v>187</v>
      </c>
      <c r="O173" s="419" t="s">
        <v>199</v>
      </c>
      <c r="P173" s="319" t="s">
        <v>220</v>
      </c>
      <c r="Q173" s="318"/>
      <c r="R173" s="326">
        <v>16.0</v>
      </c>
      <c r="S173" s="319">
        <v>10.0</v>
      </c>
      <c r="T173" s="324">
        <v>0.02</v>
      </c>
      <c r="U173" s="319">
        <v>0.4</v>
      </c>
      <c r="V173" s="319"/>
      <c r="W173" s="319"/>
      <c r="X173" s="319"/>
      <c r="Y173" s="319"/>
      <c r="Z173" s="318"/>
      <c r="AA173" s="318"/>
      <c r="AB173" s="318"/>
      <c r="AC173" s="327">
        <v>8.0</v>
      </c>
      <c r="AD173" s="319"/>
      <c r="AE173" s="319"/>
      <c r="AF173" s="319"/>
      <c r="AG173" s="319"/>
      <c r="AH173" s="319"/>
      <c r="AI173" s="319"/>
      <c r="AJ173" s="327"/>
      <c r="AK173" s="328"/>
      <c r="AL173" s="319"/>
      <c r="AM173" s="319"/>
      <c r="AN173" s="319"/>
      <c r="AO173" s="319"/>
      <c r="AP173" s="319"/>
      <c r="AQ173" s="319"/>
      <c r="AR173" s="319"/>
      <c r="AS173" s="327"/>
      <c r="AT173" s="344"/>
      <c r="AU173" s="345" t="s">
        <v>845</v>
      </c>
      <c r="AV173" s="330">
        <f>SQRT(($R173-Infrastructure!J$3)^2+($S173-Infrastructure!K$3)^2)</f>
        <v>24.95796466</v>
      </c>
      <c r="AW173" s="331">
        <f>SQRT(($R173-Infrastructure!J$4)^2+($S173-Infrastructure!K$4)^2)</f>
        <v>18.07014112</v>
      </c>
      <c r="AX173" s="331">
        <f>SQRT(($R173-Infrastructure!J$5)^2+($S173-Infrastructure!K$5)^2)</f>
        <v>17.02057578</v>
      </c>
      <c r="AY173" s="331">
        <f>SQRT(($R173-Infrastructure!J$6)^2+($S173-Infrastructure!K$6)^2)</f>
        <v>11.35341358</v>
      </c>
      <c r="AZ173" s="331">
        <f>SQRT(($R173-Infrastructure!J$7)^2+($S173-Infrastructure!K$7)^2)</f>
        <v>10.69298836</v>
      </c>
      <c r="BA173" s="331">
        <f>SQRT(($R173-Infrastructure!J$8)^2+($S173-Infrastructure!K$8)^2)</f>
        <v>17.11432149</v>
      </c>
      <c r="BB173" s="331">
        <f>SQRT(($R173-Infrastructure!J$9)^2+($S173-Infrastructure!K$9)^2)</f>
        <v>24.49510155</v>
      </c>
      <c r="BC173" s="331">
        <f>SQRT(($R173-Infrastructure!J$10)^2+($S173-Infrastructure!K$10)^2)</f>
        <v>24.51530134</v>
      </c>
      <c r="BD173" s="318"/>
      <c r="BE173" s="332"/>
      <c r="BF173" s="330">
        <f t="shared" si="14"/>
        <v>10.69298836</v>
      </c>
      <c r="BG173" s="333">
        <f t="shared" si="15"/>
        <v>24.95796466</v>
      </c>
      <c r="BH173" s="334"/>
      <c r="BI173" s="316"/>
      <c r="BJ173" s="318"/>
      <c r="BK173" s="318"/>
      <c r="BL173" s="318"/>
      <c r="BM173" s="318"/>
      <c r="BN173" s="318"/>
      <c r="BO173" s="318"/>
      <c r="BP173" s="318"/>
      <c r="BQ173" s="338"/>
      <c r="BR173" s="420"/>
      <c r="BS173" s="330">
        <f t="shared" si="16"/>
        <v>0</v>
      </c>
      <c r="BT173" s="331">
        <f t="shared" si="17"/>
        <v>0</v>
      </c>
      <c r="BU173" s="331"/>
      <c r="BV173" s="333"/>
      <c r="BW173" s="330"/>
      <c r="BX173" s="331"/>
      <c r="BY173" s="331"/>
      <c r="BZ173" s="340"/>
      <c r="CA173" s="316"/>
      <c r="CB173" s="318"/>
      <c r="CC173" s="318"/>
      <c r="CD173" s="318"/>
      <c r="CE173" s="318"/>
      <c r="CF173" s="318"/>
      <c r="CG173" s="318"/>
      <c r="CH173" s="318"/>
      <c r="CI173" s="338"/>
      <c r="CJ173" s="341"/>
      <c r="CK173" s="342">
        <f t="shared" si="18"/>
        <v>0</v>
      </c>
      <c r="CL173" s="333">
        <f t="shared" si="19"/>
        <v>0</v>
      </c>
      <c r="CM173" s="423"/>
      <c r="CN173" s="424"/>
      <c r="CO173" s="424"/>
      <c r="CP173" s="424"/>
    </row>
    <row r="174">
      <c r="A174" s="315" t="s">
        <v>25</v>
      </c>
      <c r="B174" s="316"/>
      <c r="C174" s="417">
        <v>43636.0</v>
      </c>
      <c r="D174" s="318"/>
      <c r="E174" s="319">
        <v>19.0</v>
      </c>
      <c r="F174" s="332"/>
      <c r="G174" s="321">
        <v>0.41203703703703703</v>
      </c>
      <c r="H174" s="323">
        <v>0.4132060185185185</v>
      </c>
      <c r="I174" s="323"/>
      <c r="J174" s="323"/>
      <c r="K174" s="323">
        <v>0.41489583333333335</v>
      </c>
      <c r="L174" s="322">
        <f t="shared" si="7"/>
        <v>0.002858796296</v>
      </c>
      <c r="M174" s="319" t="s">
        <v>166</v>
      </c>
      <c r="N174" s="324" t="s">
        <v>187</v>
      </c>
      <c r="O174" s="419" t="s">
        <v>199</v>
      </c>
      <c r="P174" s="319" t="s">
        <v>220</v>
      </c>
      <c r="Q174" s="318"/>
      <c r="R174" s="326">
        <v>16.0</v>
      </c>
      <c r="S174" s="319">
        <v>10.0</v>
      </c>
      <c r="T174" s="324">
        <v>0.02</v>
      </c>
      <c r="U174" s="319">
        <v>0.8</v>
      </c>
      <c r="V174" s="319"/>
      <c r="W174" s="319"/>
      <c r="X174" s="319"/>
      <c r="Y174" s="319"/>
      <c r="Z174" s="318"/>
      <c r="AA174" s="318"/>
      <c r="AB174" s="318"/>
      <c r="AC174" s="327">
        <v>4.0</v>
      </c>
      <c r="AD174" s="319"/>
      <c r="AE174" s="319"/>
      <c r="AF174" s="319"/>
      <c r="AG174" s="319"/>
      <c r="AH174" s="319"/>
      <c r="AI174" s="319"/>
      <c r="AJ174" s="327"/>
      <c r="AK174" s="328"/>
      <c r="AL174" s="319"/>
      <c r="AM174" s="319"/>
      <c r="AN174" s="319"/>
      <c r="AO174" s="319"/>
      <c r="AP174" s="319"/>
      <c r="AQ174" s="319"/>
      <c r="AR174" s="319"/>
      <c r="AS174" s="327"/>
      <c r="AT174" s="344"/>
      <c r="AU174" s="345" t="s">
        <v>845</v>
      </c>
      <c r="AV174" s="330">
        <f>SQRT(($R174-Infrastructure!J$3)^2+($S174-Infrastructure!K$3)^2)</f>
        <v>24.95796466</v>
      </c>
      <c r="AW174" s="331">
        <f>SQRT(($R174-Infrastructure!J$4)^2+($S174-Infrastructure!K$4)^2)</f>
        <v>18.07014112</v>
      </c>
      <c r="AX174" s="331">
        <f>SQRT(($R174-Infrastructure!J$5)^2+($S174-Infrastructure!K$5)^2)</f>
        <v>17.02057578</v>
      </c>
      <c r="AY174" s="331">
        <f>SQRT(($R174-Infrastructure!J$6)^2+($S174-Infrastructure!K$6)^2)</f>
        <v>11.35341358</v>
      </c>
      <c r="AZ174" s="331">
        <f>SQRT(($R174-Infrastructure!J$7)^2+($S174-Infrastructure!K$7)^2)</f>
        <v>10.69298836</v>
      </c>
      <c r="BA174" s="331">
        <f>SQRT(($R174-Infrastructure!J$8)^2+($S174-Infrastructure!K$8)^2)</f>
        <v>17.11432149</v>
      </c>
      <c r="BB174" s="331">
        <f>SQRT(($R174-Infrastructure!J$9)^2+($S174-Infrastructure!K$9)^2)</f>
        <v>24.49510155</v>
      </c>
      <c r="BC174" s="331">
        <f>SQRT(($R174-Infrastructure!J$10)^2+($S174-Infrastructure!K$10)^2)</f>
        <v>24.51530134</v>
      </c>
      <c r="BD174" s="318"/>
      <c r="BE174" s="332"/>
      <c r="BF174" s="330">
        <f t="shared" si="14"/>
        <v>10.69298836</v>
      </c>
      <c r="BG174" s="333">
        <f t="shared" si="15"/>
        <v>24.95796466</v>
      </c>
      <c r="BH174" s="334"/>
      <c r="BI174" s="316"/>
      <c r="BJ174" s="318"/>
      <c r="BK174" s="318"/>
      <c r="BL174" s="318"/>
      <c r="BM174" s="318"/>
      <c r="BN174" s="318"/>
      <c r="BO174" s="318"/>
      <c r="BP174" s="318"/>
      <c r="BQ174" s="338"/>
      <c r="BR174" s="420"/>
      <c r="BS174" s="330">
        <f t="shared" si="16"/>
        <v>0</v>
      </c>
      <c r="BT174" s="331">
        <f t="shared" si="17"/>
        <v>0</v>
      </c>
      <c r="BU174" s="331"/>
      <c r="BV174" s="333"/>
      <c r="BW174" s="330"/>
      <c r="BX174" s="331"/>
      <c r="BY174" s="331"/>
      <c r="BZ174" s="340"/>
      <c r="CA174" s="316"/>
      <c r="CB174" s="318"/>
      <c r="CC174" s="318"/>
      <c r="CD174" s="318"/>
      <c r="CE174" s="318"/>
      <c r="CF174" s="318"/>
      <c r="CG174" s="318"/>
      <c r="CH174" s="318"/>
      <c r="CI174" s="338"/>
      <c r="CJ174" s="341"/>
      <c r="CK174" s="342">
        <f t="shared" si="18"/>
        <v>0</v>
      </c>
      <c r="CL174" s="333">
        <f t="shared" si="19"/>
        <v>0</v>
      </c>
      <c r="CM174" s="423"/>
      <c r="CN174" s="424"/>
      <c r="CO174" s="424"/>
      <c r="CP174" s="424"/>
    </row>
    <row r="175">
      <c r="A175" s="315" t="s">
        <v>25</v>
      </c>
      <c r="B175" s="316"/>
      <c r="C175" s="417">
        <v>43636.0</v>
      </c>
      <c r="D175" s="318"/>
      <c r="E175" s="319">
        <v>20.0</v>
      </c>
      <c r="F175" s="332"/>
      <c r="G175" s="321">
        <v>0.4180787037037037</v>
      </c>
      <c r="H175" s="323">
        <v>0.419375</v>
      </c>
      <c r="I175" s="323"/>
      <c r="J175" s="323"/>
      <c r="K175" s="323">
        <v>0.42105324074074074</v>
      </c>
      <c r="L175" s="322">
        <f t="shared" si="7"/>
        <v>0.002974537037</v>
      </c>
      <c r="M175" s="319" t="s">
        <v>166</v>
      </c>
      <c r="N175" s="324" t="s">
        <v>187</v>
      </c>
      <c r="O175" s="419" t="s">
        <v>1071</v>
      </c>
      <c r="P175" s="319" t="s">
        <v>255</v>
      </c>
      <c r="Q175" s="318"/>
      <c r="R175" s="457"/>
      <c r="S175" s="318"/>
      <c r="T175" s="332"/>
      <c r="U175" s="319">
        <v>1.0</v>
      </c>
      <c r="V175" s="319"/>
      <c r="W175" s="319"/>
      <c r="X175" s="319"/>
      <c r="Y175" s="319"/>
      <c r="Z175" s="318"/>
      <c r="AA175" s="318"/>
      <c r="AB175" s="318"/>
      <c r="AC175" s="327" t="s">
        <v>1072</v>
      </c>
      <c r="AD175" s="319"/>
      <c r="AE175" s="319"/>
      <c r="AF175" s="319"/>
      <c r="AG175" s="319"/>
      <c r="AH175" s="319"/>
      <c r="AI175" s="319"/>
      <c r="AJ175" s="327"/>
      <c r="AK175" s="328"/>
      <c r="AL175" s="319"/>
      <c r="AM175" s="319"/>
      <c r="AN175" s="319"/>
      <c r="AO175" s="319"/>
      <c r="AP175" s="319"/>
      <c r="AQ175" s="319"/>
      <c r="AR175" s="319"/>
      <c r="AS175" s="327"/>
      <c r="AT175" s="344"/>
      <c r="AU175" s="345" t="s">
        <v>845</v>
      </c>
      <c r="AV175" s="330">
        <f>SQRT(($R175-Infrastructure!J$3)^2+($S175-Infrastructure!K$3)^2)</f>
        <v>28.90155705</v>
      </c>
      <c r="AW175" s="331">
        <f>SQRT(($R175-Infrastructure!J$4)^2+($S175-Infrastructure!K$4)^2)</f>
        <v>17.80252791</v>
      </c>
      <c r="AX175" s="331">
        <f>SQRT(($R175-Infrastructure!J$5)^2+($S175-Infrastructure!K$5)^2)</f>
        <v>5.10881591</v>
      </c>
      <c r="AY175" s="331">
        <f>SQRT(($R175-Infrastructure!J$6)^2+($S175-Infrastructure!K$6)^2)</f>
        <v>10.10445446</v>
      </c>
      <c r="AZ175" s="331">
        <f>SQRT(($R175-Infrastructure!J$7)^2+($S175-Infrastructure!K$7)^2)</f>
        <v>20.502195</v>
      </c>
      <c r="BA175" s="331">
        <f>SQRT(($R175-Infrastructure!J$8)^2+($S175-Infrastructure!K$8)^2)</f>
        <v>30.10149498</v>
      </c>
      <c r="BB175" s="331">
        <f>SQRT(($R175-Infrastructure!J$9)^2+($S175-Infrastructure!K$9)^2)</f>
        <v>40.3238143</v>
      </c>
      <c r="BC175" s="331">
        <f>SQRT(($R175-Infrastructure!J$10)^2+($S175-Infrastructure!K$10)^2)</f>
        <v>42.72001873</v>
      </c>
      <c r="BD175" s="318"/>
      <c r="BE175" s="332"/>
      <c r="BF175" s="330">
        <f t="shared" si="14"/>
        <v>5.10881591</v>
      </c>
      <c r="BG175" s="333">
        <f t="shared" si="15"/>
        <v>42.72001873</v>
      </c>
      <c r="BH175" s="334"/>
      <c r="BI175" s="316"/>
      <c r="BJ175" s="318"/>
      <c r="BK175" s="318"/>
      <c r="BL175" s="318"/>
      <c r="BM175" s="318"/>
      <c r="BN175" s="318"/>
      <c r="BO175" s="318"/>
      <c r="BP175" s="318"/>
      <c r="BQ175" s="338"/>
      <c r="BR175" s="420"/>
      <c r="BS175" s="330">
        <f t="shared" si="16"/>
        <v>0</v>
      </c>
      <c r="BT175" s="331">
        <f t="shared" si="17"/>
        <v>0</v>
      </c>
      <c r="BU175" s="331"/>
      <c r="BV175" s="333"/>
      <c r="BW175" s="330"/>
      <c r="BX175" s="331"/>
      <c r="BY175" s="331"/>
      <c r="BZ175" s="340"/>
      <c r="CA175" s="316"/>
      <c r="CB175" s="318"/>
      <c r="CC175" s="318"/>
      <c r="CD175" s="318"/>
      <c r="CE175" s="318"/>
      <c r="CF175" s="318"/>
      <c r="CG175" s="318"/>
      <c r="CH175" s="318"/>
      <c r="CI175" s="338"/>
      <c r="CJ175" s="341"/>
      <c r="CK175" s="342">
        <f t="shared" si="18"/>
        <v>0</v>
      </c>
      <c r="CL175" s="333">
        <f t="shared" si="19"/>
        <v>0</v>
      </c>
      <c r="CM175" s="421" t="s">
        <v>1086</v>
      </c>
      <c r="CN175" s="416"/>
      <c r="CO175" s="416"/>
      <c r="CP175" s="416"/>
    </row>
    <row r="176">
      <c r="A176" s="315" t="s">
        <v>25</v>
      </c>
      <c r="B176" s="316"/>
      <c r="C176" s="417">
        <v>43636.0</v>
      </c>
      <c r="D176" s="318"/>
      <c r="E176" s="319">
        <v>21.0</v>
      </c>
      <c r="F176" s="332"/>
      <c r="G176" s="321">
        <v>0.4240393518518519</v>
      </c>
      <c r="H176" s="323">
        <v>0.4251273148148148</v>
      </c>
      <c r="I176" s="323"/>
      <c r="J176" s="323"/>
      <c r="K176" s="323">
        <v>0.42685185185185187</v>
      </c>
      <c r="L176" s="322">
        <f t="shared" si="7"/>
        <v>0.0028125</v>
      </c>
      <c r="M176" s="319" t="s">
        <v>166</v>
      </c>
      <c r="N176" s="324" t="s">
        <v>187</v>
      </c>
      <c r="O176" s="419" t="s">
        <v>1071</v>
      </c>
      <c r="P176" s="319" t="s">
        <v>255</v>
      </c>
      <c r="Q176" s="318"/>
      <c r="R176" s="457"/>
      <c r="S176" s="318"/>
      <c r="T176" s="332"/>
      <c r="U176" s="319">
        <v>2.0</v>
      </c>
      <c r="V176" s="319"/>
      <c r="W176" s="319"/>
      <c r="X176" s="319"/>
      <c r="Y176" s="319"/>
      <c r="Z176" s="318"/>
      <c r="AA176" s="318"/>
      <c r="AB176" s="318"/>
      <c r="AC176" s="327" t="s">
        <v>1072</v>
      </c>
      <c r="AD176" s="319"/>
      <c r="AE176" s="319"/>
      <c r="AF176" s="319"/>
      <c r="AG176" s="319"/>
      <c r="AH176" s="319"/>
      <c r="AI176" s="319"/>
      <c r="AJ176" s="327"/>
      <c r="AK176" s="328"/>
      <c r="AL176" s="319"/>
      <c r="AM176" s="319"/>
      <c r="AN176" s="319"/>
      <c r="AO176" s="319"/>
      <c r="AP176" s="319"/>
      <c r="AQ176" s="319"/>
      <c r="AR176" s="319"/>
      <c r="AS176" s="327"/>
      <c r="AT176" s="344"/>
      <c r="AU176" s="345" t="s">
        <v>845</v>
      </c>
      <c r="AV176" s="330">
        <f>SQRT(($R176-Infrastructure!J$3)^2+($S176-Infrastructure!K$3)^2)</f>
        <v>28.90155705</v>
      </c>
      <c r="AW176" s="331">
        <f>SQRT(($R176-Infrastructure!J$4)^2+($S176-Infrastructure!K$4)^2)</f>
        <v>17.80252791</v>
      </c>
      <c r="AX176" s="331">
        <f>SQRT(($R176-Infrastructure!J$5)^2+($S176-Infrastructure!K$5)^2)</f>
        <v>5.10881591</v>
      </c>
      <c r="AY176" s="331">
        <f>SQRT(($R176-Infrastructure!J$6)^2+($S176-Infrastructure!K$6)^2)</f>
        <v>10.10445446</v>
      </c>
      <c r="AZ176" s="331">
        <f>SQRT(($R176-Infrastructure!J$7)^2+($S176-Infrastructure!K$7)^2)</f>
        <v>20.502195</v>
      </c>
      <c r="BA176" s="331">
        <f>SQRT(($R176-Infrastructure!J$8)^2+($S176-Infrastructure!K$8)^2)</f>
        <v>30.10149498</v>
      </c>
      <c r="BB176" s="331">
        <f>SQRT(($R176-Infrastructure!J$9)^2+($S176-Infrastructure!K$9)^2)</f>
        <v>40.3238143</v>
      </c>
      <c r="BC176" s="331">
        <f>SQRT(($R176-Infrastructure!J$10)^2+($S176-Infrastructure!K$10)^2)</f>
        <v>42.72001873</v>
      </c>
      <c r="BD176" s="318"/>
      <c r="BE176" s="332"/>
      <c r="BF176" s="330">
        <f t="shared" si="14"/>
        <v>5.10881591</v>
      </c>
      <c r="BG176" s="333">
        <f t="shared" si="15"/>
        <v>42.72001873</v>
      </c>
      <c r="BH176" s="334"/>
      <c r="BI176" s="316"/>
      <c r="BJ176" s="318"/>
      <c r="BK176" s="318"/>
      <c r="BL176" s="318"/>
      <c r="BM176" s="318"/>
      <c r="BN176" s="318"/>
      <c r="BO176" s="318"/>
      <c r="BP176" s="318"/>
      <c r="BQ176" s="338"/>
      <c r="BR176" s="420"/>
      <c r="BS176" s="330">
        <f t="shared" si="16"/>
        <v>0</v>
      </c>
      <c r="BT176" s="331">
        <f t="shared" si="17"/>
        <v>0</v>
      </c>
      <c r="BU176" s="331"/>
      <c r="BV176" s="333"/>
      <c r="BW176" s="330"/>
      <c r="BX176" s="331"/>
      <c r="BY176" s="331"/>
      <c r="BZ176" s="340"/>
      <c r="CA176" s="316"/>
      <c r="CB176" s="318"/>
      <c r="CC176" s="318"/>
      <c r="CD176" s="318"/>
      <c r="CE176" s="318"/>
      <c r="CF176" s="318"/>
      <c r="CG176" s="318"/>
      <c r="CH176" s="318"/>
      <c r="CI176" s="338"/>
      <c r="CJ176" s="341"/>
      <c r="CK176" s="342">
        <f t="shared" si="18"/>
        <v>0</v>
      </c>
      <c r="CL176" s="333">
        <f t="shared" si="19"/>
        <v>0</v>
      </c>
      <c r="CM176" s="423"/>
      <c r="CN176" s="424"/>
      <c r="CO176" s="424"/>
      <c r="CP176" s="424"/>
    </row>
    <row r="177">
      <c r="A177" s="315" t="s">
        <v>25</v>
      </c>
      <c r="B177" s="316"/>
      <c r="C177" s="417">
        <v>43636.0</v>
      </c>
      <c r="D177" s="318"/>
      <c r="E177" s="319">
        <v>22.0</v>
      </c>
      <c r="F177" s="332"/>
      <c r="G177" s="321">
        <v>0.4325</v>
      </c>
      <c r="H177" s="323">
        <v>0.43427083333333333</v>
      </c>
      <c r="I177" s="323"/>
      <c r="J177" s="323"/>
      <c r="K177" s="323">
        <v>0.4358564814814815</v>
      </c>
      <c r="L177" s="322">
        <f t="shared" si="7"/>
        <v>0.003356481481</v>
      </c>
      <c r="M177" s="319" t="s">
        <v>166</v>
      </c>
      <c r="N177" s="324" t="s">
        <v>187</v>
      </c>
      <c r="O177" s="419" t="s">
        <v>1073</v>
      </c>
      <c r="P177" s="318"/>
      <c r="Q177" s="318"/>
      <c r="R177" s="326">
        <v>10.0</v>
      </c>
      <c r="S177" s="319">
        <v>4.0</v>
      </c>
      <c r="T177" s="332"/>
      <c r="U177" s="319">
        <v>3.0</v>
      </c>
      <c r="V177" s="319"/>
      <c r="W177" s="319"/>
      <c r="X177" s="319"/>
      <c r="Y177" s="319"/>
      <c r="Z177" s="318"/>
      <c r="AA177" s="318"/>
      <c r="AB177" s="318"/>
      <c r="AC177" s="327" t="s">
        <v>1074</v>
      </c>
      <c r="AD177" s="319"/>
      <c r="AE177" s="319"/>
      <c r="AF177" s="319"/>
      <c r="AG177" s="319"/>
      <c r="AH177" s="319"/>
      <c r="AI177" s="319"/>
      <c r="AJ177" s="327"/>
      <c r="AK177" s="328"/>
      <c r="AL177" s="319"/>
      <c r="AM177" s="319"/>
      <c r="AN177" s="319"/>
      <c r="AO177" s="319"/>
      <c r="AP177" s="319"/>
      <c r="AQ177" s="319"/>
      <c r="AR177" s="319"/>
      <c r="AS177" s="327"/>
      <c r="AT177" s="344"/>
      <c r="AU177" s="345" t="s">
        <v>845</v>
      </c>
      <c r="AV177" s="330">
        <f>SQRT(($R177-Infrastructure!J$3)^2+($S177-Infrastructure!K$3)^2)</f>
        <v>26.94624278</v>
      </c>
      <c r="AW177" s="331">
        <f>SQRT(($R177-Infrastructure!J$4)^2+($S177-Infrastructure!K$4)^2)</f>
        <v>17.22004646</v>
      </c>
      <c r="AX177" s="331">
        <f>SQRT(($R177-Infrastructure!J$5)^2+($S177-Infrastructure!K$5)^2)</f>
        <v>10.35857133</v>
      </c>
      <c r="AY177" s="331">
        <f>SQRT(($R177-Infrastructure!J$6)^2+($S177-Infrastructure!K$6)^2)</f>
        <v>3.701351105</v>
      </c>
      <c r="AZ177" s="331">
        <f>SQRT(($R177-Infrastructure!J$7)^2+($S177-Infrastructure!K$7)^2)</f>
        <v>11.13283432</v>
      </c>
      <c r="BA177" s="331">
        <f>SQRT(($R177-Infrastructure!J$8)^2+($S177-Infrastructure!K$8)^2)</f>
        <v>20.43771024</v>
      </c>
      <c r="BB177" s="331">
        <f>SQRT(($R177-Infrastructure!J$9)^2+($S177-Infrastructure!K$9)^2)</f>
        <v>30.02015989</v>
      </c>
      <c r="BC177" s="331">
        <f>SQRT(($R177-Infrastructure!J$10)^2+($S177-Infrastructure!K$10)^2)</f>
        <v>31.95309062</v>
      </c>
      <c r="BD177" s="318"/>
      <c r="BE177" s="332"/>
      <c r="BF177" s="330">
        <f t="shared" si="14"/>
        <v>3.701351105</v>
      </c>
      <c r="BG177" s="333">
        <f t="shared" si="15"/>
        <v>31.95309062</v>
      </c>
      <c r="BH177" s="334"/>
      <c r="BI177" s="316"/>
      <c r="BJ177" s="318"/>
      <c r="BK177" s="318"/>
      <c r="BL177" s="318"/>
      <c r="BM177" s="318"/>
      <c r="BN177" s="318"/>
      <c r="BO177" s="318"/>
      <c r="BP177" s="318"/>
      <c r="BQ177" s="338"/>
      <c r="BR177" s="420"/>
      <c r="BS177" s="330">
        <f t="shared" si="16"/>
        <v>0</v>
      </c>
      <c r="BT177" s="331">
        <f t="shared" si="17"/>
        <v>0</v>
      </c>
      <c r="BU177" s="331"/>
      <c r="BV177" s="333"/>
      <c r="BW177" s="330"/>
      <c r="BX177" s="331"/>
      <c r="BY177" s="331"/>
      <c r="BZ177" s="340"/>
      <c r="CA177" s="316"/>
      <c r="CB177" s="318"/>
      <c r="CC177" s="318"/>
      <c r="CD177" s="318"/>
      <c r="CE177" s="318"/>
      <c r="CF177" s="318"/>
      <c r="CG177" s="318"/>
      <c r="CH177" s="318"/>
      <c r="CI177" s="338"/>
      <c r="CJ177" s="341"/>
      <c r="CK177" s="342">
        <f t="shared" si="18"/>
        <v>0</v>
      </c>
      <c r="CL177" s="333">
        <f t="shared" si="19"/>
        <v>0</v>
      </c>
      <c r="CM177" s="421" t="s">
        <v>1087</v>
      </c>
      <c r="CN177" s="416"/>
      <c r="CO177" s="416"/>
      <c r="CP177" s="416"/>
    </row>
    <row r="178">
      <c r="A178" s="315" t="s">
        <v>25</v>
      </c>
      <c r="B178" s="316"/>
      <c r="C178" s="417">
        <v>43636.0</v>
      </c>
      <c r="D178" s="318"/>
      <c r="E178" s="319">
        <v>23.0</v>
      </c>
      <c r="F178" s="332"/>
      <c r="G178" s="321">
        <v>0.4376851851851852</v>
      </c>
      <c r="H178" s="323">
        <v>0.4386226851851852</v>
      </c>
      <c r="I178" s="323"/>
      <c r="J178" s="323"/>
      <c r="K178" s="323">
        <v>0.4404282407407407</v>
      </c>
      <c r="L178" s="322">
        <f t="shared" si="7"/>
        <v>0.002743055556</v>
      </c>
      <c r="M178" s="319" t="s">
        <v>166</v>
      </c>
      <c r="N178" s="324" t="s">
        <v>187</v>
      </c>
      <c r="O178" s="419" t="s">
        <v>1073</v>
      </c>
      <c r="P178" s="318"/>
      <c r="Q178" s="318"/>
      <c r="R178" s="326">
        <v>10.0</v>
      </c>
      <c r="S178" s="319">
        <v>4.0</v>
      </c>
      <c r="T178" s="332"/>
      <c r="U178" s="319">
        <v>5.0</v>
      </c>
      <c r="V178" s="319"/>
      <c r="W178" s="319"/>
      <c r="X178" s="319"/>
      <c r="Y178" s="319"/>
      <c r="Z178" s="318"/>
      <c r="AA178" s="318"/>
      <c r="AB178" s="318"/>
      <c r="AC178" s="327" t="s">
        <v>1074</v>
      </c>
      <c r="AD178" s="319"/>
      <c r="AE178" s="319"/>
      <c r="AF178" s="319"/>
      <c r="AG178" s="319"/>
      <c r="AH178" s="319"/>
      <c r="AI178" s="319"/>
      <c r="AJ178" s="327"/>
      <c r="AK178" s="328"/>
      <c r="AL178" s="319"/>
      <c r="AM178" s="319"/>
      <c r="AN178" s="319"/>
      <c r="AO178" s="319"/>
      <c r="AP178" s="319"/>
      <c r="AQ178" s="319"/>
      <c r="AR178" s="319"/>
      <c r="AS178" s="327"/>
      <c r="AT178" s="344"/>
      <c r="AU178" s="345" t="s">
        <v>845</v>
      </c>
      <c r="AV178" s="330">
        <f>SQRT(($R178-Infrastructure!J$3)^2+($S178-Infrastructure!K$3)^2)</f>
        <v>26.94624278</v>
      </c>
      <c r="AW178" s="331">
        <f>SQRT(($R178-Infrastructure!J$4)^2+($S178-Infrastructure!K$4)^2)</f>
        <v>17.22004646</v>
      </c>
      <c r="AX178" s="331">
        <f>SQRT(($R178-Infrastructure!J$5)^2+($S178-Infrastructure!K$5)^2)</f>
        <v>10.35857133</v>
      </c>
      <c r="AY178" s="331">
        <f>SQRT(($R178-Infrastructure!J$6)^2+($S178-Infrastructure!K$6)^2)</f>
        <v>3.701351105</v>
      </c>
      <c r="AZ178" s="331">
        <f>SQRT(($R178-Infrastructure!J$7)^2+($S178-Infrastructure!K$7)^2)</f>
        <v>11.13283432</v>
      </c>
      <c r="BA178" s="331">
        <f>SQRT(($R178-Infrastructure!J$8)^2+($S178-Infrastructure!K$8)^2)</f>
        <v>20.43771024</v>
      </c>
      <c r="BB178" s="331">
        <f>SQRT(($R178-Infrastructure!J$9)^2+($S178-Infrastructure!K$9)^2)</f>
        <v>30.02015989</v>
      </c>
      <c r="BC178" s="331">
        <f>SQRT(($R178-Infrastructure!J$10)^2+($S178-Infrastructure!K$10)^2)</f>
        <v>31.95309062</v>
      </c>
      <c r="BD178" s="318"/>
      <c r="BE178" s="332"/>
      <c r="BF178" s="330">
        <f t="shared" si="14"/>
        <v>3.701351105</v>
      </c>
      <c r="BG178" s="333">
        <f t="shared" si="15"/>
        <v>31.95309062</v>
      </c>
      <c r="BH178" s="334"/>
      <c r="BI178" s="316"/>
      <c r="BJ178" s="318"/>
      <c r="BK178" s="318"/>
      <c r="BL178" s="318"/>
      <c r="BM178" s="318"/>
      <c r="BN178" s="318"/>
      <c r="BO178" s="318"/>
      <c r="BP178" s="318"/>
      <c r="BQ178" s="338"/>
      <c r="BR178" s="420"/>
      <c r="BS178" s="330">
        <f t="shared" si="16"/>
        <v>0</v>
      </c>
      <c r="BT178" s="331">
        <f t="shared" si="17"/>
        <v>0</v>
      </c>
      <c r="BU178" s="331"/>
      <c r="BV178" s="333"/>
      <c r="BW178" s="330"/>
      <c r="BX178" s="331"/>
      <c r="BY178" s="331"/>
      <c r="BZ178" s="340"/>
      <c r="CA178" s="316"/>
      <c r="CB178" s="318"/>
      <c r="CC178" s="318"/>
      <c r="CD178" s="318"/>
      <c r="CE178" s="318"/>
      <c r="CF178" s="318"/>
      <c r="CG178" s="318"/>
      <c r="CH178" s="318"/>
      <c r="CI178" s="338"/>
      <c r="CJ178" s="341"/>
      <c r="CK178" s="342">
        <f t="shared" si="18"/>
        <v>0</v>
      </c>
      <c r="CL178" s="333">
        <f t="shared" si="19"/>
        <v>0</v>
      </c>
      <c r="CM178" s="423"/>
      <c r="CN178" s="424"/>
      <c r="CO178" s="424"/>
      <c r="CP178" s="424"/>
    </row>
    <row r="179">
      <c r="A179" s="315" t="s">
        <v>25</v>
      </c>
      <c r="B179" s="316"/>
      <c r="C179" s="417">
        <v>43636.0</v>
      </c>
      <c r="D179" s="318"/>
      <c r="E179" s="319" t="s">
        <v>1088</v>
      </c>
      <c r="F179" s="332"/>
      <c r="G179" s="321">
        <v>0.44377314814814817</v>
      </c>
      <c r="H179" s="323">
        <v>0.44479166666666664</v>
      </c>
      <c r="I179" s="323"/>
      <c r="J179" s="323"/>
      <c r="K179" s="323">
        <v>0.44814814814814813</v>
      </c>
      <c r="L179" s="322">
        <f t="shared" si="7"/>
        <v>0.004375</v>
      </c>
      <c r="M179" s="319" t="s">
        <v>166</v>
      </c>
      <c r="N179" s="324" t="s">
        <v>187</v>
      </c>
      <c r="O179" s="419" t="s">
        <v>1073</v>
      </c>
      <c r="P179" s="318"/>
      <c r="Q179" s="318"/>
      <c r="R179" s="326">
        <v>10.0</v>
      </c>
      <c r="S179" s="319">
        <v>4.0</v>
      </c>
      <c r="T179" s="332"/>
      <c r="U179" s="319">
        <v>1.0</v>
      </c>
      <c r="V179" s="319"/>
      <c r="W179" s="319"/>
      <c r="X179" s="319"/>
      <c r="Y179" s="319"/>
      <c r="Z179" s="318"/>
      <c r="AA179" s="318"/>
      <c r="AB179" s="318"/>
      <c r="AC179" s="327" t="s">
        <v>1074</v>
      </c>
      <c r="AD179" s="319"/>
      <c r="AE179" s="319"/>
      <c r="AF179" s="319"/>
      <c r="AG179" s="319"/>
      <c r="AH179" s="319"/>
      <c r="AI179" s="319"/>
      <c r="AJ179" s="327"/>
      <c r="AK179" s="328"/>
      <c r="AL179" s="319"/>
      <c r="AM179" s="319"/>
      <c r="AN179" s="319"/>
      <c r="AO179" s="319"/>
      <c r="AP179" s="319"/>
      <c r="AQ179" s="319"/>
      <c r="AR179" s="319"/>
      <c r="AS179" s="327"/>
      <c r="AT179" s="344"/>
      <c r="AU179" s="345" t="s">
        <v>845</v>
      </c>
      <c r="AV179" s="330">
        <f>SQRT(($R179-Infrastructure!J$3)^2+($S179-Infrastructure!K$3)^2)</f>
        <v>26.94624278</v>
      </c>
      <c r="AW179" s="331">
        <f>SQRT(($R179-Infrastructure!J$4)^2+($S179-Infrastructure!K$4)^2)</f>
        <v>17.22004646</v>
      </c>
      <c r="AX179" s="331">
        <f>SQRT(($R179-Infrastructure!J$5)^2+($S179-Infrastructure!K$5)^2)</f>
        <v>10.35857133</v>
      </c>
      <c r="AY179" s="331">
        <f>SQRT(($R179-Infrastructure!J$6)^2+($S179-Infrastructure!K$6)^2)</f>
        <v>3.701351105</v>
      </c>
      <c r="AZ179" s="331">
        <f>SQRT(($R179-Infrastructure!J$7)^2+($S179-Infrastructure!K$7)^2)</f>
        <v>11.13283432</v>
      </c>
      <c r="BA179" s="331">
        <f>SQRT(($R179-Infrastructure!J$8)^2+($S179-Infrastructure!K$8)^2)</f>
        <v>20.43771024</v>
      </c>
      <c r="BB179" s="331">
        <f>SQRT(($R179-Infrastructure!J$9)^2+($S179-Infrastructure!K$9)^2)</f>
        <v>30.02015989</v>
      </c>
      <c r="BC179" s="331">
        <f>SQRT(($R179-Infrastructure!J$10)^2+($S179-Infrastructure!K$10)^2)</f>
        <v>31.95309062</v>
      </c>
      <c r="BD179" s="318"/>
      <c r="BE179" s="332"/>
      <c r="BF179" s="330">
        <f t="shared" si="14"/>
        <v>3.701351105</v>
      </c>
      <c r="BG179" s="333">
        <f t="shared" si="15"/>
        <v>31.95309062</v>
      </c>
      <c r="BH179" s="334"/>
      <c r="BI179" s="316"/>
      <c r="BJ179" s="318"/>
      <c r="BK179" s="318"/>
      <c r="BL179" s="318"/>
      <c r="BM179" s="318"/>
      <c r="BN179" s="318"/>
      <c r="BO179" s="318"/>
      <c r="BP179" s="318"/>
      <c r="BQ179" s="338"/>
      <c r="BR179" s="420"/>
      <c r="BS179" s="330">
        <f t="shared" si="16"/>
        <v>0</v>
      </c>
      <c r="BT179" s="331">
        <f t="shared" si="17"/>
        <v>0</v>
      </c>
      <c r="BU179" s="331"/>
      <c r="BV179" s="333"/>
      <c r="BW179" s="330"/>
      <c r="BX179" s="331"/>
      <c r="BY179" s="331"/>
      <c r="BZ179" s="340"/>
      <c r="CA179" s="316"/>
      <c r="CB179" s="318"/>
      <c r="CC179" s="318"/>
      <c r="CD179" s="318"/>
      <c r="CE179" s="318"/>
      <c r="CF179" s="318"/>
      <c r="CG179" s="318"/>
      <c r="CH179" s="318"/>
      <c r="CI179" s="338"/>
      <c r="CJ179" s="341"/>
      <c r="CK179" s="342">
        <f t="shared" si="18"/>
        <v>0</v>
      </c>
      <c r="CL179" s="333">
        <f t="shared" si="19"/>
        <v>0</v>
      </c>
      <c r="CM179" s="421" t="s">
        <v>1089</v>
      </c>
      <c r="CN179" s="416"/>
      <c r="CO179" s="416"/>
      <c r="CP179" s="416"/>
    </row>
    <row r="180">
      <c r="A180" s="315" t="s">
        <v>25</v>
      </c>
      <c r="B180" s="316"/>
      <c r="C180" s="417">
        <v>43636.0</v>
      </c>
      <c r="D180" s="318"/>
      <c r="E180" s="319">
        <v>24.0</v>
      </c>
      <c r="F180" s="332"/>
      <c r="G180" s="321">
        <v>0.4499884259259259</v>
      </c>
      <c r="H180" s="323">
        <v>0.4512962962962963</v>
      </c>
      <c r="I180" s="323"/>
      <c r="J180" s="323"/>
      <c r="K180" s="323">
        <v>0.4537037037037037</v>
      </c>
      <c r="L180" s="322">
        <f t="shared" si="7"/>
        <v>0.003715277778</v>
      </c>
      <c r="M180" s="319" t="s">
        <v>166</v>
      </c>
      <c r="N180" s="324" t="s">
        <v>187</v>
      </c>
      <c r="O180" s="419" t="s">
        <v>1076</v>
      </c>
      <c r="P180" s="319" t="s">
        <v>235</v>
      </c>
      <c r="Q180" s="318"/>
      <c r="R180" s="326">
        <v>11.0</v>
      </c>
      <c r="S180" s="319">
        <v>8.0</v>
      </c>
      <c r="T180" s="332"/>
      <c r="U180" s="319">
        <v>0.5</v>
      </c>
      <c r="V180" s="319"/>
      <c r="W180" s="319"/>
      <c r="X180" s="319"/>
      <c r="Y180" s="319"/>
      <c r="Z180" s="318"/>
      <c r="AA180" s="318"/>
      <c r="AB180" s="318"/>
      <c r="AC180" s="327">
        <v>1.5</v>
      </c>
      <c r="AD180" s="319"/>
      <c r="AE180" s="319"/>
      <c r="AF180" s="319"/>
      <c r="AG180" s="319"/>
      <c r="AH180" s="319"/>
      <c r="AI180" s="319"/>
      <c r="AJ180" s="327"/>
      <c r="AK180" s="328"/>
      <c r="AL180" s="319"/>
      <c r="AM180" s="319"/>
      <c r="AN180" s="319"/>
      <c r="AO180" s="319"/>
      <c r="AP180" s="319"/>
      <c r="AQ180" s="319"/>
      <c r="AR180" s="319"/>
      <c r="AS180" s="327"/>
      <c r="AT180" s="344"/>
      <c r="AU180" s="345" t="s">
        <v>845</v>
      </c>
      <c r="AV180" s="330">
        <f>SQRT(($R180-Infrastructure!J$3)^2+($S180-Infrastructure!K$3)^2)</f>
        <v>23.75920874</v>
      </c>
      <c r="AW180" s="331">
        <f>SQRT(($R180-Infrastructure!J$4)^2+($S180-Infrastructure!K$4)^2)</f>
        <v>14.95760676</v>
      </c>
      <c r="AX180" s="331">
        <f>SQRT(($R180-Infrastructure!J$5)^2+($S180-Infrastructure!K$5)^2)</f>
        <v>11.66619047</v>
      </c>
      <c r="AY180" s="331">
        <f>SQRT(($R180-Infrastructure!J$6)^2+($S180-Infrastructure!K$6)^2)</f>
        <v>7.752418977</v>
      </c>
      <c r="AZ180" s="331">
        <f>SQRT(($R180-Infrastructure!J$7)^2+($S180-Infrastructure!K$7)^2)</f>
        <v>12.22865487</v>
      </c>
      <c r="BA180" s="331">
        <f>SQRT(($R180-Infrastructure!J$8)^2+($S180-Infrastructure!K$8)^2)</f>
        <v>20.59368835</v>
      </c>
      <c r="BB180" s="331">
        <f>SQRT(($R180-Infrastructure!J$9)^2+($S180-Infrastructure!K$9)^2)</f>
        <v>29.1446393</v>
      </c>
      <c r="BC180" s="331">
        <f>SQRT(($R180-Infrastructure!J$10)^2+($S180-Infrastructure!K$10)^2)</f>
        <v>29.83286778</v>
      </c>
      <c r="BD180" s="318"/>
      <c r="BE180" s="332"/>
      <c r="BF180" s="330">
        <f t="shared" si="14"/>
        <v>7.752418977</v>
      </c>
      <c r="BG180" s="333">
        <f t="shared" si="15"/>
        <v>29.83286778</v>
      </c>
      <c r="BH180" s="334"/>
      <c r="BI180" s="316"/>
      <c r="BJ180" s="318"/>
      <c r="BK180" s="318"/>
      <c r="BL180" s="318"/>
      <c r="BM180" s="318"/>
      <c r="BN180" s="318"/>
      <c r="BO180" s="318"/>
      <c r="BP180" s="318"/>
      <c r="BQ180" s="338"/>
      <c r="BR180" s="420"/>
      <c r="BS180" s="330">
        <f t="shared" si="16"/>
        <v>0</v>
      </c>
      <c r="BT180" s="331">
        <f t="shared" si="17"/>
        <v>0</v>
      </c>
      <c r="BU180" s="331"/>
      <c r="BV180" s="333"/>
      <c r="BW180" s="330"/>
      <c r="BX180" s="331"/>
      <c r="BY180" s="331"/>
      <c r="BZ180" s="340"/>
      <c r="CA180" s="316"/>
      <c r="CB180" s="318"/>
      <c r="CC180" s="318"/>
      <c r="CD180" s="318"/>
      <c r="CE180" s="318"/>
      <c r="CF180" s="318"/>
      <c r="CG180" s="318"/>
      <c r="CH180" s="318"/>
      <c r="CI180" s="338"/>
      <c r="CJ180" s="341"/>
      <c r="CK180" s="342">
        <f t="shared" si="18"/>
        <v>0</v>
      </c>
      <c r="CL180" s="333">
        <f t="shared" si="19"/>
        <v>0</v>
      </c>
      <c r="CM180" s="421" t="s">
        <v>1090</v>
      </c>
      <c r="CN180" s="416"/>
      <c r="CO180" s="416"/>
      <c r="CP180" s="416"/>
    </row>
    <row r="181">
      <c r="A181" s="315" t="s">
        <v>25</v>
      </c>
      <c r="B181" s="316"/>
      <c r="C181" s="417">
        <v>43636.0</v>
      </c>
      <c r="D181" s="318"/>
      <c r="E181" s="319">
        <v>25.0</v>
      </c>
      <c r="F181" s="332"/>
      <c r="G181" s="321">
        <v>0.4555902777777778</v>
      </c>
      <c r="H181" s="323">
        <v>0.4569675925925926</v>
      </c>
      <c r="I181" s="323"/>
      <c r="J181" s="323"/>
      <c r="K181" s="323">
        <v>0.459375</v>
      </c>
      <c r="L181" s="322">
        <f t="shared" si="7"/>
        <v>0.003784722222</v>
      </c>
      <c r="M181" s="319" t="s">
        <v>166</v>
      </c>
      <c r="N181" s="324" t="s">
        <v>187</v>
      </c>
      <c r="O181" s="419" t="s">
        <v>1076</v>
      </c>
      <c r="P181" s="319" t="s">
        <v>235</v>
      </c>
      <c r="Q181" s="318"/>
      <c r="R181" s="326">
        <v>11.0</v>
      </c>
      <c r="S181" s="319">
        <v>8.0</v>
      </c>
      <c r="T181" s="332"/>
      <c r="U181" s="319">
        <v>4.0</v>
      </c>
      <c r="V181" s="319"/>
      <c r="W181" s="319"/>
      <c r="X181" s="319"/>
      <c r="Y181" s="319"/>
      <c r="Z181" s="318"/>
      <c r="AA181" s="318"/>
      <c r="AB181" s="318"/>
      <c r="AC181" s="327">
        <v>3.0</v>
      </c>
      <c r="AD181" s="319"/>
      <c r="AE181" s="319"/>
      <c r="AF181" s="319"/>
      <c r="AG181" s="319"/>
      <c r="AH181" s="319"/>
      <c r="AI181" s="319"/>
      <c r="AJ181" s="327"/>
      <c r="AK181" s="328"/>
      <c r="AL181" s="319"/>
      <c r="AM181" s="319"/>
      <c r="AN181" s="319"/>
      <c r="AO181" s="319"/>
      <c r="AP181" s="319"/>
      <c r="AQ181" s="319"/>
      <c r="AR181" s="319"/>
      <c r="AS181" s="327"/>
      <c r="AT181" s="344"/>
      <c r="AU181" s="345" t="s">
        <v>845</v>
      </c>
      <c r="AV181" s="330">
        <f>SQRT(($R181-Infrastructure!J$3)^2+($S181-Infrastructure!K$3)^2)</f>
        <v>23.75920874</v>
      </c>
      <c r="AW181" s="331">
        <f>SQRT(($R181-Infrastructure!J$4)^2+($S181-Infrastructure!K$4)^2)</f>
        <v>14.95760676</v>
      </c>
      <c r="AX181" s="331">
        <f>SQRT(($R181-Infrastructure!J$5)^2+($S181-Infrastructure!K$5)^2)</f>
        <v>11.66619047</v>
      </c>
      <c r="AY181" s="331">
        <f>SQRT(($R181-Infrastructure!J$6)^2+($S181-Infrastructure!K$6)^2)</f>
        <v>7.752418977</v>
      </c>
      <c r="AZ181" s="331">
        <f>SQRT(($R181-Infrastructure!J$7)^2+($S181-Infrastructure!K$7)^2)</f>
        <v>12.22865487</v>
      </c>
      <c r="BA181" s="331">
        <f>SQRT(($R181-Infrastructure!J$8)^2+($S181-Infrastructure!K$8)^2)</f>
        <v>20.59368835</v>
      </c>
      <c r="BB181" s="331">
        <f>SQRT(($R181-Infrastructure!J$9)^2+($S181-Infrastructure!K$9)^2)</f>
        <v>29.1446393</v>
      </c>
      <c r="BC181" s="331">
        <f>SQRT(($R181-Infrastructure!J$10)^2+($S181-Infrastructure!K$10)^2)</f>
        <v>29.83286778</v>
      </c>
      <c r="BD181" s="318"/>
      <c r="BE181" s="332"/>
      <c r="BF181" s="330">
        <f t="shared" si="14"/>
        <v>7.752418977</v>
      </c>
      <c r="BG181" s="333">
        <f t="shared" si="15"/>
        <v>29.83286778</v>
      </c>
      <c r="BH181" s="334"/>
      <c r="BI181" s="316"/>
      <c r="BJ181" s="318"/>
      <c r="BK181" s="318"/>
      <c r="BL181" s="318"/>
      <c r="BM181" s="318"/>
      <c r="BN181" s="318"/>
      <c r="BO181" s="318"/>
      <c r="BP181" s="318"/>
      <c r="BQ181" s="338"/>
      <c r="BR181" s="420"/>
      <c r="BS181" s="330">
        <f t="shared" si="16"/>
        <v>0</v>
      </c>
      <c r="BT181" s="331">
        <f t="shared" si="17"/>
        <v>0</v>
      </c>
      <c r="BU181" s="331"/>
      <c r="BV181" s="333"/>
      <c r="BW181" s="330"/>
      <c r="BX181" s="331"/>
      <c r="BY181" s="331"/>
      <c r="BZ181" s="340"/>
      <c r="CA181" s="316"/>
      <c r="CB181" s="318"/>
      <c r="CC181" s="318"/>
      <c r="CD181" s="318"/>
      <c r="CE181" s="318"/>
      <c r="CF181" s="318"/>
      <c r="CG181" s="318"/>
      <c r="CH181" s="318"/>
      <c r="CI181" s="338"/>
      <c r="CJ181" s="341"/>
      <c r="CK181" s="342">
        <f t="shared" si="18"/>
        <v>0</v>
      </c>
      <c r="CL181" s="333">
        <f t="shared" si="19"/>
        <v>0</v>
      </c>
      <c r="CM181" s="423"/>
      <c r="CN181" s="424"/>
      <c r="CO181" s="424"/>
      <c r="CP181" s="424"/>
    </row>
    <row r="182">
      <c r="A182" s="315" t="s">
        <v>25</v>
      </c>
      <c r="B182" s="316"/>
      <c r="C182" s="417">
        <v>43636.0</v>
      </c>
      <c r="D182" s="318"/>
      <c r="E182" s="319">
        <v>26.0</v>
      </c>
      <c r="F182" s="332"/>
      <c r="G182" s="321">
        <v>0.48060185185185184</v>
      </c>
      <c r="H182" s="323">
        <v>0.4820138888888889</v>
      </c>
      <c r="I182" s="323"/>
      <c r="J182" s="323"/>
      <c r="K182" s="323">
        <v>0.4885185185185185</v>
      </c>
      <c r="L182" s="322">
        <f t="shared" si="7"/>
        <v>0.007916666667</v>
      </c>
      <c r="M182" s="319" t="s">
        <v>166</v>
      </c>
      <c r="N182" s="324" t="s">
        <v>187</v>
      </c>
      <c r="O182" s="419" t="s">
        <v>1071</v>
      </c>
      <c r="P182" s="319" t="s">
        <v>220</v>
      </c>
      <c r="Q182" s="318"/>
      <c r="R182" s="326">
        <v>24.5</v>
      </c>
      <c r="S182" s="319">
        <v>7.5</v>
      </c>
      <c r="T182" s="324">
        <v>0.6</v>
      </c>
      <c r="U182" s="319">
        <v>1.0</v>
      </c>
      <c r="V182" s="319"/>
      <c r="W182" s="319"/>
      <c r="X182" s="319"/>
      <c r="Y182" s="319"/>
      <c r="Z182" s="318"/>
      <c r="AA182" s="318"/>
      <c r="AB182" s="318"/>
      <c r="AC182" s="327">
        <v>1.5</v>
      </c>
      <c r="AD182" s="319"/>
      <c r="AE182" s="319"/>
      <c r="AF182" s="319"/>
      <c r="AG182" s="319"/>
      <c r="AH182" s="319"/>
      <c r="AI182" s="319"/>
      <c r="AJ182" s="327"/>
      <c r="AK182" s="328"/>
      <c r="AL182" s="319"/>
      <c r="AM182" s="319"/>
      <c r="AN182" s="319"/>
      <c r="AO182" s="319"/>
      <c r="AP182" s="319"/>
      <c r="AQ182" s="319"/>
      <c r="AR182" s="319"/>
      <c r="AS182" s="327"/>
      <c r="AT182" s="344"/>
      <c r="AU182" s="345" t="s">
        <v>845</v>
      </c>
      <c r="AV182" s="330">
        <f>SQRT(($R182-Infrastructure!J$3)^2+($S182-Infrastructure!K$3)^2)</f>
        <v>32.75667871</v>
      </c>
      <c r="AW182" s="331">
        <f>SQRT(($R182-Infrastructure!J$4)^2+($S182-Infrastructure!K$4)^2)</f>
        <v>26.85386378</v>
      </c>
      <c r="AX182" s="331">
        <f>SQRT(($R182-Infrastructure!J$5)^2+($S182-Infrastructure!K$5)^2)</f>
        <v>24.9158584</v>
      </c>
      <c r="AY182" s="331">
        <f>SQRT(($R182-Infrastructure!J$6)^2+($S182-Infrastructure!K$6)^2)</f>
        <v>16.09968944</v>
      </c>
      <c r="AZ182" s="331">
        <f>SQRT(($R182-Infrastructure!J$7)^2+($S182-Infrastructure!K$7)^2)</f>
        <v>8.236504113</v>
      </c>
      <c r="BA182" s="331">
        <f>SQRT(($R182-Infrastructure!J$8)^2+($S182-Infrastructure!K$8)^2)</f>
        <v>9.121403401</v>
      </c>
      <c r="BB182" s="331">
        <f>SQRT(($R182-Infrastructure!J$9)^2+($S182-Infrastructure!K$9)^2)</f>
        <v>15.68470593</v>
      </c>
      <c r="BC182" s="331">
        <f>SQRT(($R182-Infrastructure!J$10)^2+($S182-Infrastructure!K$10)^2)</f>
        <v>17.21917536</v>
      </c>
      <c r="BD182" s="318"/>
      <c r="BE182" s="332"/>
      <c r="BF182" s="330">
        <f t="shared" si="14"/>
        <v>8.236504113</v>
      </c>
      <c r="BG182" s="333">
        <f t="shared" si="15"/>
        <v>32.75667871</v>
      </c>
      <c r="BH182" s="334"/>
      <c r="BI182" s="316"/>
      <c r="BJ182" s="318"/>
      <c r="BK182" s="318"/>
      <c r="BL182" s="318"/>
      <c r="BM182" s="318"/>
      <c r="BN182" s="318"/>
      <c r="BO182" s="318"/>
      <c r="BP182" s="318"/>
      <c r="BQ182" s="338"/>
      <c r="BR182" s="420"/>
      <c r="BS182" s="330">
        <f t="shared" si="16"/>
        <v>0</v>
      </c>
      <c r="BT182" s="331">
        <f t="shared" si="17"/>
        <v>0</v>
      </c>
      <c r="BU182" s="331"/>
      <c r="BV182" s="333"/>
      <c r="BW182" s="330"/>
      <c r="BX182" s="331"/>
      <c r="BY182" s="331"/>
      <c r="BZ182" s="340"/>
      <c r="CA182" s="316"/>
      <c r="CB182" s="318"/>
      <c r="CC182" s="318"/>
      <c r="CD182" s="318"/>
      <c r="CE182" s="318"/>
      <c r="CF182" s="318"/>
      <c r="CG182" s="318"/>
      <c r="CH182" s="318"/>
      <c r="CI182" s="338"/>
      <c r="CJ182" s="341"/>
      <c r="CK182" s="342">
        <f t="shared" si="18"/>
        <v>0</v>
      </c>
      <c r="CL182" s="333">
        <f t="shared" si="19"/>
        <v>0</v>
      </c>
      <c r="CM182" s="421" t="s">
        <v>1091</v>
      </c>
      <c r="CN182" s="416"/>
      <c r="CO182" s="416"/>
      <c r="CP182" s="416"/>
    </row>
    <row r="183">
      <c r="A183" s="315" t="s">
        <v>25</v>
      </c>
      <c r="B183" s="316"/>
      <c r="C183" s="417">
        <v>43636.0</v>
      </c>
      <c r="D183" s="318"/>
      <c r="E183" s="319">
        <v>27.0</v>
      </c>
      <c r="F183" s="332"/>
      <c r="G183" s="321">
        <v>0.4913888888888889</v>
      </c>
      <c r="H183" s="323">
        <v>0.49292824074074076</v>
      </c>
      <c r="I183" s="323"/>
      <c r="J183" s="323"/>
      <c r="K183" s="323">
        <v>0.4951157407407407</v>
      </c>
      <c r="L183" s="322">
        <f t="shared" si="7"/>
        <v>0.003726851852</v>
      </c>
      <c r="M183" s="319" t="s">
        <v>166</v>
      </c>
      <c r="N183" s="324" t="s">
        <v>187</v>
      </c>
      <c r="O183" s="419" t="s">
        <v>1071</v>
      </c>
      <c r="P183" s="319" t="s">
        <v>220</v>
      </c>
      <c r="Q183" s="318"/>
      <c r="R183" s="326">
        <v>24.5</v>
      </c>
      <c r="S183" s="319">
        <v>7.5</v>
      </c>
      <c r="T183" s="324">
        <v>0.6</v>
      </c>
      <c r="U183" s="319">
        <v>2.0</v>
      </c>
      <c r="V183" s="319"/>
      <c r="W183" s="319"/>
      <c r="X183" s="319"/>
      <c r="Y183" s="319"/>
      <c r="Z183" s="318"/>
      <c r="AA183" s="318"/>
      <c r="AB183" s="318"/>
      <c r="AC183" s="327">
        <v>1.5</v>
      </c>
      <c r="AD183" s="319"/>
      <c r="AE183" s="319"/>
      <c r="AF183" s="319"/>
      <c r="AG183" s="319"/>
      <c r="AH183" s="319"/>
      <c r="AI183" s="319"/>
      <c r="AJ183" s="327"/>
      <c r="AK183" s="328"/>
      <c r="AL183" s="319"/>
      <c r="AM183" s="319"/>
      <c r="AN183" s="319"/>
      <c r="AO183" s="319"/>
      <c r="AP183" s="319"/>
      <c r="AQ183" s="319"/>
      <c r="AR183" s="319"/>
      <c r="AS183" s="327"/>
      <c r="AT183" s="344"/>
      <c r="AU183" s="345" t="s">
        <v>845</v>
      </c>
      <c r="AV183" s="330">
        <f>SQRT(($R183-Infrastructure!J$3)^2+($S183-Infrastructure!K$3)^2)</f>
        <v>32.75667871</v>
      </c>
      <c r="AW183" s="331">
        <f>SQRT(($R183-Infrastructure!J$4)^2+($S183-Infrastructure!K$4)^2)</f>
        <v>26.85386378</v>
      </c>
      <c r="AX183" s="331">
        <f>SQRT(($R183-Infrastructure!J$5)^2+($S183-Infrastructure!K$5)^2)</f>
        <v>24.9158584</v>
      </c>
      <c r="AY183" s="331">
        <f>SQRT(($R183-Infrastructure!J$6)^2+($S183-Infrastructure!K$6)^2)</f>
        <v>16.09968944</v>
      </c>
      <c r="AZ183" s="331">
        <f>SQRT(($R183-Infrastructure!J$7)^2+($S183-Infrastructure!K$7)^2)</f>
        <v>8.236504113</v>
      </c>
      <c r="BA183" s="331">
        <f>SQRT(($R183-Infrastructure!J$8)^2+($S183-Infrastructure!K$8)^2)</f>
        <v>9.121403401</v>
      </c>
      <c r="BB183" s="331">
        <f>SQRT(($R183-Infrastructure!J$9)^2+($S183-Infrastructure!K$9)^2)</f>
        <v>15.68470593</v>
      </c>
      <c r="BC183" s="331">
        <f>SQRT(($R183-Infrastructure!J$10)^2+($S183-Infrastructure!K$10)^2)</f>
        <v>17.21917536</v>
      </c>
      <c r="BD183" s="318"/>
      <c r="BE183" s="332"/>
      <c r="BF183" s="330">
        <f t="shared" si="14"/>
        <v>8.236504113</v>
      </c>
      <c r="BG183" s="333">
        <f t="shared" si="15"/>
        <v>32.75667871</v>
      </c>
      <c r="BH183" s="334"/>
      <c r="BI183" s="316"/>
      <c r="BJ183" s="318"/>
      <c r="BK183" s="318"/>
      <c r="BL183" s="318"/>
      <c r="BM183" s="318"/>
      <c r="BN183" s="318"/>
      <c r="BO183" s="318"/>
      <c r="BP183" s="318"/>
      <c r="BQ183" s="338"/>
      <c r="BR183" s="420"/>
      <c r="BS183" s="330">
        <f t="shared" si="16"/>
        <v>0</v>
      </c>
      <c r="BT183" s="331">
        <f t="shared" si="17"/>
        <v>0</v>
      </c>
      <c r="BU183" s="331"/>
      <c r="BV183" s="333"/>
      <c r="BW183" s="330"/>
      <c r="BX183" s="331"/>
      <c r="BY183" s="331"/>
      <c r="BZ183" s="340"/>
      <c r="CA183" s="316"/>
      <c r="CB183" s="318"/>
      <c r="CC183" s="318"/>
      <c r="CD183" s="318"/>
      <c r="CE183" s="318"/>
      <c r="CF183" s="318"/>
      <c r="CG183" s="318"/>
      <c r="CH183" s="318"/>
      <c r="CI183" s="338"/>
      <c r="CJ183" s="341"/>
      <c r="CK183" s="342">
        <f t="shared" si="18"/>
        <v>0</v>
      </c>
      <c r="CL183" s="333">
        <f t="shared" si="19"/>
        <v>0</v>
      </c>
      <c r="CM183" s="421" t="s">
        <v>1092</v>
      </c>
      <c r="CN183" s="416"/>
      <c r="CO183" s="416"/>
      <c r="CP183" s="416"/>
    </row>
    <row r="184">
      <c r="A184" s="315" t="s">
        <v>25</v>
      </c>
      <c r="B184" s="316"/>
      <c r="C184" s="417">
        <v>43664.0</v>
      </c>
      <c r="D184" s="318"/>
      <c r="E184" s="319">
        <v>1.0</v>
      </c>
      <c r="F184" s="332"/>
      <c r="G184" s="321">
        <v>0.5838773148148149</v>
      </c>
      <c r="H184" s="323">
        <v>0.5842013888888888</v>
      </c>
      <c r="I184" s="323"/>
      <c r="J184" s="323"/>
      <c r="K184" s="323">
        <v>0.5876736111111112</v>
      </c>
      <c r="L184" s="322">
        <f t="shared" si="7"/>
        <v>0.003796296296</v>
      </c>
      <c r="M184" s="319" t="s">
        <v>358</v>
      </c>
      <c r="N184" s="324" t="s">
        <v>187</v>
      </c>
      <c r="O184" s="419" t="s">
        <v>1071</v>
      </c>
      <c r="P184" s="319" t="s">
        <v>220</v>
      </c>
      <c r="Q184" s="318"/>
      <c r="R184" s="326">
        <v>24.5</v>
      </c>
      <c r="S184" s="319">
        <v>7.5</v>
      </c>
      <c r="T184" s="324">
        <v>0.6</v>
      </c>
      <c r="U184" s="319">
        <v>1.0</v>
      </c>
      <c r="V184" s="319"/>
      <c r="W184" s="319"/>
      <c r="X184" s="319"/>
      <c r="Y184" s="319"/>
      <c r="Z184" s="319" t="s">
        <v>331</v>
      </c>
      <c r="AA184" s="319"/>
      <c r="AB184" s="318"/>
      <c r="AC184" s="327">
        <v>1.5</v>
      </c>
      <c r="AD184" s="319"/>
      <c r="AE184" s="319"/>
      <c r="AF184" s="319"/>
      <c r="AG184" s="319"/>
      <c r="AH184" s="319"/>
      <c r="AI184" s="319"/>
      <c r="AJ184" s="327"/>
      <c r="AK184" s="328"/>
      <c r="AL184" s="319"/>
      <c r="AM184" s="319"/>
      <c r="AN184" s="319"/>
      <c r="AO184" s="319"/>
      <c r="AP184" s="319"/>
      <c r="AQ184" s="319"/>
      <c r="AR184" s="319"/>
      <c r="AS184" s="327"/>
      <c r="AT184" s="344"/>
      <c r="AU184" s="345" t="s">
        <v>845</v>
      </c>
      <c r="AV184" s="330">
        <f>SQRT(($R184-Infrastructure!J$3)^2+($S184-Infrastructure!K$3)^2)</f>
        <v>32.75667871</v>
      </c>
      <c r="AW184" s="331">
        <f>SQRT(($R184-Infrastructure!J$4)^2+($S184-Infrastructure!K$4)^2)</f>
        <v>26.85386378</v>
      </c>
      <c r="AX184" s="331">
        <f>SQRT(($R184-Infrastructure!J$5)^2+($S184-Infrastructure!K$5)^2)</f>
        <v>24.9158584</v>
      </c>
      <c r="AY184" s="331">
        <f>SQRT(($R184-Infrastructure!J$6)^2+($S184-Infrastructure!K$6)^2)</f>
        <v>16.09968944</v>
      </c>
      <c r="AZ184" s="331">
        <f>SQRT(($R184-Infrastructure!J$7)^2+($S184-Infrastructure!K$7)^2)</f>
        <v>8.236504113</v>
      </c>
      <c r="BA184" s="331">
        <f>SQRT(($R184-Infrastructure!J$8)^2+($S184-Infrastructure!K$8)^2)</f>
        <v>9.121403401</v>
      </c>
      <c r="BB184" s="331">
        <f>SQRT(($R184-Infrastructure!J$9)^2+($S184-Infrastructure!K$9)^2)</f>
        <v>15.68470593</v>
      </c>
      <c r="BC184" s="331">
        <f>SQRT(($R184-Infrastructure!J$10)^2+($S184-Infrastructure!K$10)^2)</f>
        <v>17.21917536</v>
      </c>
      <c r="BD184" s="318"/>
      <c r="BE184" s="332"/>
      <c r="BF184" s="330">
        <f t="shared" si="14"/>
        <v>8.236504113</v>
      </c>
      <c r="BG184" s="333">
        <f t="shared" si="15"/>
        <v>32.75667871</v>
      </c>
      <c r="BH184" s="334"/>
      <c r="BI184" s="316"/>
      <c r="BJ184" s="318"/>
      <c r="BK184" s="318"/>
      <c r="BL184" s="318"/>
      <c r="BM184" s="318"/>
      <c r="BN184" s="318"/>
      <c r="BO184" s="318"/>
      <c r="BP184" s="318"/>
      <c r="BQ184" s="338"/>
      <c r="BR184" s="420"/>
      <c r="BS184" s="330">
        <f t="shared" si="16"/>
        <v>0</v>
      </c>
      <c r="BT184" s="331">
        <f t="shared" si="17"/>
        <v>0</v>
      </c>
      <c r="BU184" s="331"/>
      <c r="BV184" s="333"/>
      <c r="BW184" s="330"/>
      <c r="BX184" s="331"/>
      <c r="BY184" s="331"/>
      <c r="BZ184" s="340"/>
      <c r="CA184" s="316"/>
      <c r="CB184" s="318"/>
      <c r="CC184" s="318"/>
      <c r="CD184" s="318"/>
      <c r="CE184" s="318"/>
      <c r="CF184" s="318"/>
      <c r="CG184" s="318"/>
      <c r="CH184" s="318"/>
      <c r="CI184" s="338"/>
      <c r="CJ184" s="341"/>
      <c r="CK184" s="342">
        <f t="shared" si="18"/>
        <v>0</v>
      </c>
      <c r="CL184" s="333">
        <f t="shared" si="19"/>
        <v>0</v>
      </c>
      <c r="CM184" s="421" t="s">
        <v>1093</v>
      </c>
      <c r="CN184" s="416"/>
      <c r="CO184" s="416"/>
      <c r="CP184" s="416"/>
    </row>
    <row r="185">
      <c r="A185" s="315" t="s">
        <v>25</v>
      </c>
      <c r="B185" s="316"/>
      <c r="C185" s="417">
        <v>43664.0</v>
      </c>
      <c r="D185" s="318"/>
      <c r="E185" s="319">
        <v>2.0</v>
      </c>
      <c r="F185" s="332"/>
      <c r="G185" s="321">
        <v>0.5930787037037037</v>
      </c>
      <c r="H185" s="323">
        <v>0.5936111111111111</v>
      </c>
      <c r="I185" s="323"/>
      <c r="J185" s="323"/>
      <c r="K185" s="323">
        <v>0.5949652777777777</v>
      </c>
      <c r="L185" s="322">
        <f t="shared" si="7"/>
        <v>0.001886574074</v>
      </c>
      <c r="M185" s="319" t="s">
        <v>358</v>
      </c>
      <c r="N185" s="324" t="s">
        <v>187</v>
      </c>
      <c r="O185" s="419" t="s">
        <v>1071</v>
      </c>
      <c r="P185" s="319" t="s">
        <v>220</v>
      </c>
      <c r="Q185" s="318"/>
      <c r="R185" s="326">
        <v>24.5</v>
      </c>
      <c r="S185" s="319">
        <v>7.5</v>
      </c>
      <c r="T185" s="324">
        <v>0.6</v>
      </c>
      <c r="U185" s="319">
        <v>3.0</v>
      </c>
      <c r="V185" s="319"/>
      <c r="W185" s="319"/>
      <c r="X185" s="319"/>
      <c r="Y185" s="319"/>
      <c r="Z185" s="319" t="s">
        <v>331</v>
      </c>
      <c r="AA185" s="319"/>
      <c r="AB185" s="318"/>
      <c r="AC185" s="327">
        <v>3.0</v>
      </c>
      <c r="AD185" s="319"/>
      <c r="AE185" s="319"/>
      <c r="AF185" s="319"/>
      <c r="AG185" s="319"/>
      <c r="AH185" s="319"/>
      <c r="AI185" s="319"/>
      <c r="AJ185" s="327"/>
      <c r="AK185" s="328"/>
      <c r="AL185" s="319"/>
      <c r="AM185" s="319"/>
      <c r="AN185" s="319"/>
      <c r="AO185" s="319"/>
      <c r="AP185" s="319"/>
      <c r="AQ185" s="319"/>
      <c r="AR185" s="319"/>
      <c r="AS185" s="327"/>
      <c r="AT185" s="344"/>
      <c r="AU185" s="345" t="s">
        <v>845</v>
      </c>
      <c r="AV185" s="330">
        <f>SQRT(($R185-Infrastructure!J$3)^2+($S185-Infrastructure!K$3)^2)</f>
        <v>32.75667871</v>
      </c>
      <c r="AW185" s="331">
        <f>SQRT(($R185-Infrastructure!J$4)^2+($S185-Infrastructure!K$4)^2)</f>
        <v>26.85386378</v>
      </c>
      <c r="AX185" s="331">
        <f>SQRT(($R185-Infrastructure!J$5)^2+($S185-Infrastructure!K$5)^2)</f>
        <v>24.9158584</v>
      </c>
      <c r="AY185" s="331">
        <f>SQRT(($R185-Infrastructure!J$6)^2+($S185-Infrastructure!K$6)^2)</f>
        <v>16.09968944</v>
      </c>
      <c r="AZ185" s="331">
        <f>SQRT(($R185-Infrastructure!J$7)^2+($S185-Infrastructure!K$7)^2)</f>
        <v>8.236504113</v>
      </c>
      <c r="BA185" s="331">
        <f>SQRT(($R185-Infrastructure!J$8)^2+($S185-Infrastructure!K$8)^2)</f>
        <v>9.121403401</v>
      </c>
      <c r="BB185" s="331">
        <f>SQRT(($R185-Infrastructure!J$9)^2+($S185-Infrastructure!K$9)^2)</f>
        <v>15.68470593</v>
      </c>
      <c r="BC185" s="331">
        <f>SQRT(($R185-Infrastructure!J$10)^2+($S185-Infrastructure!K$10)^2)</f>
        <v>17.21917536</v>
      </c>
      <c r="BD185" s="318"/>
      <c r="BE185" s="332"/>
      <c r="BF185" s="330">
        <f t="shared" si="14"/>
        <v>8.236504113</v>
      </c>
      <c r="BG185" s="333">
        <f t="shared" si="15"/>
        <v>32.75667871</v>
      </c>
      <c r="BH185" s="334"/>
      <c r="BI185" s="316"/>
      <c r="BJ185" s="318"/>
      <c r="BK185" s="318"/>
      <c r="BL185" s="318"/>
      <c r="BM185" s="318"/>
      <c r="BN185" s="318"/>
      <c r="BO185" s="318"/>
      <c r="BP185" s="318"/>
      <c r="BQ185" s="338"/>
      <c r="BR185" s="420"/>
      <c r="BS185" s="330">
        <f t="shared" si="16"/>
        <v>0</v>
      </c>
      <c r="BT185" s="331">
        <f t="shared" si="17"/>
        <v>0</v>
      </c>
      <c r="BU185" s="331"/>
      <c r="BV185" s="333"/>
      <c r="BW185" s="330"/>
      <c r="BX185" s="331"/>
      <c r="BY185" s="331"/>
      <c r="BZ185" s="340"/>
      <c r="CA185" s="316"/>
      <c r="CB185" s="318"/>
      <c r="CC185" s="318"/>
      <c r="CD185" s="318"/>
      <c r="CE185" s="318"/>
      <c r="CF185" s="318"/>
      <c r="CG185" s="318"/>
      <c r="CH185" s="318"/>
      <c r="CI185" s="338"/>
      <c r="CJ185" s="341"/>
      <c r="CK185" s="342">
        <f t="shared" si="18"/>
        <v>0</v>
      </c>
      <c r="CL185" s="333">
        <f t="shared" si="19"/>
        <v>0</v>
      </c>
      <c r="CM185" s="423"/>
      <c r="CN185" s="424"/>
      <c r="CO185" s="424"/>
      <c r="CP185" s="424"/>
    </row>
    <row r="186">
      <c r="A186" s="315" t="s">
        <v>25</v>
      </c>
      <c r="B186" s="316"/>
      <c r="C186" s="417">
        <v>43664.0</v>
      </c>
      <c r="D186" s="318"/>
      <c r="E186" s="319">
        <v>3.0</v>
      </c>
      <c r="F186" s="332"/>
      <c r="G186" s="321">
        <v>0.5958449074074074</v>
      </c>
      <c r="H186" s="323">
        <v>0.5962384259259259</v>
      </c>
      <c r="I186" s="323"/>
      <c r="J186" s="323"/>
      <c r="K186" s="323">
        <v>0.5976041666666667</v>
      </c>
      <c r="L186" s="322">
        <f t="shared" si="7"/>
        <v>0.001759259259</v>
      </c>
      <c r="M186" s="319" t="s">
        <v>358</v>
      </c>
      <c r="N186" s="324" t="s">
        <v>187</v>
      </c>
      <c r="O186" s="419" t="s">
        <v>1071</v>
      </c>
      <c r="P186" s="319" t="s">
        <v>220</v>
      </c>
      <c r="Q186" s="318"/>
      <c r="R186" s="326">
        <v>24.5</v>
      </c>
      <c r="S186" s="319">
        <v>7.5</v>
      </c>
      <c r="T186" s="324">
        <v>0.6</v>
      </c>
      <c r="U186" s="319">
        <v>5.0</v>
      </c>
      <c r="V186" s="319"/>
      <c r="W186" s="319"/>
      <c r="X186" s="319"/>
      <c r="Y186" s="319"/>
      <c r="Z186" s="319" t="s">
        <v>331</v>
      </c>
      <c r="AA186" s="319"/>
      <c r="AB186" s="318"/>
      <c r="AC186" s="327">
        <v>3.0</v>
      </c>
      <c r="AD186" s="319"/>
      <c r="AE186" s="319"/>
      <c r="AF186" s="319"/>
      <c r="AG186" s="319"/>
      <c r="AH186" s="319"/>
      <c r="AI186" s="319"/>
      <c r="AJ186" s="327"/>
      <c r="AK186" s="328"/>
      <c r="AL186" s="319"/>
      <c r="AM186" s="319"/>
      <c r="AN186" s="319"/>
      <c r="AO186" s="319"/>
      <c r="AP186" s="319"/>
      <c r="AQ186" s="319"/>
      <c r="AR186" s="319"/>
      <c r="AS186" s="327"/>
      <c r="AT186" s="344"/>
      <c r="AU186" s="345" t="s">
        <v>845</v>
      </c>
      <c r="AV186" s="330">
        <f>SQRT(($R186-Infrastructure!J$3)^2+($S186-Infrastructure!K$3)^2)</f>
        <v>32.75667871</v>
      </c>
      <c r="AW186" s="331">
        <f>SQRT(($R186-Infrastructure!J$4)^2+($S186-Infrastructure!K$4)^2)</f>
        <v>26.85386378</v>
      </c>
      <c r="AX186" s="331">
        <f>SQRT(($R186-Infrastructure!J$5)^2+($S186-Infrastructure!K$5)^2)</f>
        <v>24.9158584</v>
      </c>
      <c r="AY186" s="331">
        <f>SQRT(($R186-Infrastructure!J$6)^2+($S186-Infrastructure!K$6)^2)</f>
        <v>16.09968944</v>
      </c>
      <c r="AZ186" s="331">
        <f>SQRT(($R186-Infrastructure!J$7)^2+($S186-Infrastructure!K$7)^2)</f>
        <v>8.236504113</v>
      </c>
      <c r="BA186" s="331">
        <f>SQRT(($R186-Infrastructure!J$8)^2+($S186-Infrastructure!K$8)^2)</f>
        <v>9.121403401</v>
      </c>
      <c r="BB186" s="331">
        <f>SQRT(($R186-Infrastructure!J$9)^2+($S186-Infrastructure!K$9)^2)</f>
        <v>15.68470593</v>
      </c>
      <c r="BC186" s="331">
        <f>SQRT(($R186-Infrastructure!J$10)^2+($S186-Infrastructure!K$10)^2)</f>
        <v>17.21917536</v>
      </c>
      <c r="BD186" s="318"/>
      <c r="BE186" s="332"/>
      <c r="BF186" s="330">
        <f t="shared" si="14"/>
        <v>8.236504113</v>
      </c>
      <c r="BG186" s="333">
        <f t="shared" si="15"/>
        <v>32.75667871</v>
      </c>
      <c r="BH186" s="334"/>
      <c r="BI186" s="316"/>
      <c r="BJ186" s="318"/>
      <c r="BK186" s="318"/>
      <c r="BL186" s="318"/>
      <c r="BM186" s="318"/>
      <c r="BN186" s="318"/>
      <c r="BO186" s="318"/>
      <c r="BP186" s="318"/>
      <c r="BQ186" s="338"/>
      <c r="BR186" s="420"/>
      <c r="BS186" s="330">
        <f t="shared" si="16"/>
        <v>0</v>
      </c>
      <c r="BT186" s="331">
        <f t="shared" si="17"/>
        <v>0</v>
      </c>
      <c r="BU186" s="331"/>
      <c r="BV186" s="333"/>
      <c r="BW186" s="330"/>
      <c r="BX186" s="331"/>
      <c r="BY186" s="331"/>
      <c r="BZ186" s="340"/>
      <c r="CA186" s="316"/>
      <c r="CB186" s="318"/>
      <c r="CC186" s="318"/>
      <c r="CD186" s="318"/>
      <c r="CE186" s="318"/>
      <c r="CF186" s="318"/>
      <c r="CG186" s="318"/>
      <c r="CH186" s="318"/>
      <c r="CI186" s="338"/>
      <c r="CJ186" s="341"/>
      <c r="CK186" s="342">
        <f t="shared" si="18"/>
        <v>0</v>
      </c>
      <c r="CL186" s="333">
        <f t="shared" si="19"/>
        <v>0</v>
      </c>
      <c r="CM186" s="423"/>
      <c r="CN186" s="424"/>
      <c r="CO186" s="424"/>
      <c r="CP186" s="424"/>
    </row>
    <row r="187">
      <c r="A187" s="315" t="s">
        <v>25</v>
      </c>
      <c r="B187" s="316"/>
      <c r="C187" s="417">
        <v>43664.0</v>
      </c>
      <c r="D187" s="318"/>
      <c r="E187" s="319">
        <v>4.0</v>
      </c>
      <c r="F187" s="332"/>
      <c r="G187" s="321">
        <v>0.6007060185185186</v>
      </c>
      <c r="H187" s="323">
        <v>0.6010648148148148</v>
      </c>
      <c r="I187" s="323"/>
      <c r="J187" s="323"/>
      <c r="K187" s="323">
        <v>0.6047453703703703</v>
      </c>
      <c r="L187" s="322">
        <f t="shared" si="7"/>
        <v>0.004039351852</v>
      </c>
      <c r="M187" s="319" t="s">
        <v>358</v>
      </c>
      <c r="N187" s="324" t="s">
        <v>187</v>
      </c>
      <c r="O187" s="419" t="s">
        <v>1071</v>
      </c>
      <c r="P187" s="319" t="s">
        <v>255</v>
      </c>
      <c r="Q187" s="318"/>
      <c r="R187" s="457"/>
      <c r="S187" s="318"/>
      <c r="T187" s="332"/>
      <c r="U187" s="319">
        <v>4.0</v>
      </c>
      <c r="V187" s="319"/>
      <c r="W187" s="319"/>
      <c r="X187" s="319"/>
      <c r="Y187" s="319"/>
      <c r="Z187" s="319" t="s">
        <v>331</v>
      </c>
      <c r="AA187" s="319"/>
      <c r="AB187" s="318"/>
      <c r="AC187" s="327" t="s">
        <v>1072</v>
      </c>
      <c r="AD187" s="319"/>
      <c r="AE187" s="319"/>
      <c r="AF187" s="319"/>
      <c r="AG187" s="319"/>
      <c r="AH187" s="319"/>
      <c r="AI187" s="319"/>
      <c r="AJ187" s="327"/>
      <c r="AK187" s="328"/>
      <c r="AL187" s="319"/>
      <c r="AM187" s="319"/>
      <c r="AN187" s="319"/>
      <c r="AO187" s="319"/>
      <c r="AP187" s="319"/>
      <c r="AQ187" s="319"/>
      <c r="AR187" s="319"/>
      <c r="AS187" s="327"/>
      <c r="AT187" s="344"/>
      <c r="AU187" s="324" t="s">
        <v>846</v>
      </c>
      <c r="AV187" s="330">
        <f>SQRT(($R187-Infrastructure!J$3)^2+($S187-Infrastructure!K$3)^2)</f>
        <v>28.90155705</v>
      </c>
      <c r="AW187" s="331">
        <f>SQRT(($R187-Infrastructure!J$4)^2+($S187-Infrastructure!K$4)^2)</f>
        <v>17.80252791</v>
      </c>
      <c r="AX187" s="331">
        <f>SQRT(($R187-Infrastructure!J$5)^2+($S187-Infrastructure!K$5)^2)</f>
        <v>5.10881591</v>
      </c>
      <c r="AY187" s="331">
        <f>SQRT(($R187-Infrastructure!J$6)^2+($S187-Infrastructure!K$6)^2)</f>
        <v>10.10445446</v>
      </c>
      <c r="AZ187" s="331">
        <f>SQRT(($R187-Infrastructure!J$7)^2+($S187-Infrastructure!K$7)^2)</f>
        <v>20.502195</v>
      </c>
      <c r="BA187" s="331">
        <f>SQRT(($R187-Infrastructure!J$8)^2+($S187-Infrastructure!K$8)^2)</f>
        <v>30.10149498</v>
      </c>
      <c r="BB187" s="331">
        <f>SQRT(($R187-Infrastructure!J$9)^2+($S187-Infrastructure!K$9)^2)</f>
        <v>40.3238143</v>
      </c>
      <c r="BC187" s="331">
        <f>SQRT(($R187-Infrastructure!J$10)^2+($S187-Infrastructure!K$10)^2)</f>
        <v>42.72001873</v>
      </c>
      <c r="BD187" s="318"/>
      <c r="BE187" s="332"/>
      <c r="BF187" s="330">
        <f t="shared" si="14"/>
        <v>5.10881591</v>
      </c>
      <c r="BG187" s="333">
        <f t="shared" si="15"/>
        <v>42.72001873</v>
      </c>
      <c r="BH187" s="334"/>
      <c r="BI187" s="316"/>
      <c r="BJ187" s="318"/>
      <c r="BK187" s="318"/>
      <c r="BL187" s="318"/>
      <c r="BM187" s="318"/>
      <c r="BN187" s="318"/>
      <c r="BO187" s="318"/>
      <c r="BP187" s="318"/>
      <c r="BQ187" s="338"/>
      <c r="BR187" s="420"/>
      <c r="BS187" s="330">
        <f t="shared" si="16"/>
        <v>0</v>
      </c>
      <c r="BT187" s="331">
        <f t="shared" si="17"/>
        <v>0</v>
      </c>
      <c r="BU187" s="331"/>
      <c r="BV187" s="333"/>
      <c r="BW187" s="330"/>
      <c r="BX187" s="331"/>
      <c r="BY187" s="331"/>
      <c r="BZ187" s="340"/>
      <c r="CA187" s="316"/>
      <c r="CB187" s="318"/>
      <c r="CC187" s="318"/>
      <c r="CD187" s="318"/>
      <c r="CE187" s="318"/>
      <c r="CF187" s="318"/>
      <c r="CG187" s="318"/>
      <c r="CH187" s="318"/>
      <c r="CI187" s="338"/>
      <c r="CJ187" s="341"/>
      <c r="CK187" s="342">
        <f t="shared" si="18"/>
        <v>0</v>
      </c>
      <c r="CL187" s="333">
        <f t="shared" si="19"/>
        <v>0</v>
      </c>
      <c r="CM187" s="421" t="s">
        <v>1094</v>
      </c>
      <c r="CN187" s="416"/>
      <c r="CO187" s="416"/>
      <c r="CP187" s="416"/>
    </row>
    <row r="188">
      <c r="A188" s="315" t="s">
        <v>25</v>
      </c>
      <c r="B188" s="316"/>
      <c r="C188" s="417">
        <v>43664.0</v>
      </c>
      <c r="D188" s="318"/>
      <c r="E188" s="319">
        <v>5.0</v>
      </c>
      <c r="F188" s="332"/>
      <c r="G188" s="321">
        <v>0.6029745370370371</v>
      </c>
      <c r="H188" s="323">
        <v>0.6033912037037037</v>
      </c>
      <c r="I188" s="323"/>
      <c r="J188" s="323"/>
      <c r="K188" s="323">
        <v>0.6047685185185185</v>
      </c>
      <c r="L188" s="322">
        <f t="shared" si="7"/>
        <v>0.001793981481</v>
      </c>
      <c r="M188" s="319" t="s">
        <v>358</v>
      </c>
      <c r="N188" s="324" t="s">
        <v>187</v>
      </c>
      <c r="O188" s="419" t="s">
        <v>1071</v>
      </c>
      <c r="P188" s="319" t="s">
        <v>255</v>
      </c>
      <c r="Q188" s="318"/>
      <c r="R188" s="457"/>
      <c r="S188" s="318"/>
      <c r="T188" s="332"/>
      <c r="U188" s="319">
        <v>7.0</v>
      </c>
      <c r="V188" s="319"/>
      <c r="W188" s="319"/>
      <c r="X188" s="319"/>
      <c r="Y188" s="319"/>
      <c r="Z188" s="319" t="s">
        <v>331</v>
      </c>
      <c r="AA188" s="319"/>
      <c r="AB188" s="318"/>
      <c r="AC188" s="327" t="s">
        <v>1072</v>
      </c>
      <c r="AD188" s="319"/>
      <c r="AE188" s="319"/>
      <c r="AF188" s="319"/>
      <c r="AG188" s="319"/>
      <c r="AH188" s="319"/>
      <c r="AI188" s="319"/>
      <c r="AJ188" s="327"/>
      <c r="AK188" s="328"/>
      <c r="AL188" s="319"/>
      <c r="AM188" s="319"/>
      <c r="AN188" s="319"/>
      <c r="AO188" s="319"/>
      <c r="AP188" s="319"/>
      <c r="AQ188" s="319"/>
      <c r="AR188" s="319"/>
      <c r="AS188" s="327"/>
      <c r="AT188" s="344"/>
      <c r="AU188" s="324" t="s">
        <v>846</v>
      </c>
      <c r="AV188" s="330">
        <f>SQRT(($R188-Infrastructure!J$3)^2+($S188-Infrastructure!K$3)^2)</f>
        <v>28.90155705</v>
      </c>
      <c r="AW188" s="331">
        <f>SQRT(($R188-Infrastructure!J$4)^2+($S188-Infrastructure!K$4)^2)</f>
        <v>17.80252791</v>
      </c>
      <c r="AX188" s="331">
        <f>SQRT(($R188-Infrastructure!J$5)^2+($S188-Infrastructure!K$5)^2)</f>
        <v>5.10881591</v>
      </c>
      <c r="AY188" s="331">
        <f>SQRT(($R188-Infrastructure!J$6)^2+($S188-Infrastructure!K$6)^2)</f>
        <v>10.10445446</v>
      </c>
      <c r="AZ188" s="331">
        <f>SQRT(($R188-Infrastructure!J$7)^2+($S188-Infrastructure!K$7)^2)</f>
        <v>20.502195</v>
      </c>
      <c r="BA188" s="331">
        <f>SQRT(($R188-Infrastructure!J$8)^2+($S188-Infrastructure!K$8)^2)</f>
        <v>30.10149498</v>
      </c>
      <c r="BB188" s="331">
        <f>SQRT(($R188-Infrastructure!J$9)^2+($S188-Infrastructure!K$9)^2)</f>
        <v>40.3238143</v>
      </c>
      <c r="BC188" s="331">
        <f>SQRT(($R188-Infrastructure!J$10)^2+($S188-Infrastructure!K$10)^2)</f>
        <v>42.72001873</v>
      </c>
      <c r="BD188" s="318"/>
      <c r="BE188" s="332"/>
      <c r="BF188" s="330">
        <f t="shared" si="14"/>
        <v>5.10881591</v>
      </c>
      <c r="BG188" s="333">
        <f t="shared" si="15"/>
        <v>42.72001873</v>
      </c>
      <c r="BH188" s="334"/>
      <c r="BI188" s="316"/>
      <c r="BJ188" s="318"/>
      <c r="BK188" s="318"/>
      <c r="BL188" s="318"/>
      <c r="BM188" s="318"/>
      <c r="BN188" s="318"/>
      <c r="BO188" s="318"/>
      <c r="BP188" s="318"/>
      <c r="BQ188" s="338"/>
      <c r="BR188" s="420"/>
      <c r="BS188" s="330">
        <f t="shared" si="16"/>
        <v>0</v>
      </c>
      <c r="BT188" s="331">
        <f t="shared" si="17"/>
        <v>0</v>
      </c>
      <c r="BU188" s="331"/>
      <c r="BV188" s="333"/>
      <c r="BW188" s="330"/>
      <c r="BX188" s="331"/>
      <c r="BY188" s="331"/>
      <c r="BZ188" s="340"/>
      <c r="CA188" s="316"/>
      <c r="CB188" s="318"/>
      <c r="CC188" s="318"/>
      <c r="CD188" s="318"/>
      <c r="CE188" s="318"/>
      <c r="CF188" s="318"/>
      <c r="CG188" s="318"/>
      <c r="CH188" s="318"/>
      <c r="CI188" s="338"/>
      <c r="CJ188" s="341"/>
      <c r="CK188" s="342">
        <f t="shared" si="18"/>
        <v>0</v>
      </c>
      <c r="CL188" s="333">
        <f t="shared" si="19"/>
        <v>0</v>
      </c>
      <c r="CM188" s="421" t="s">
        <v>1094</v>
      </c>
      <c r="CN188" s="416"/>
      <c r="CO188" s="416"/>
      <c r="CP188" s="416"/>
    </row>
    <row r="189">
      <c r="A189" s="315" t="s">
        <v>25</v>
      </c>
      <c r="B189" s="316"/>
      <c r="C189" s="417">
        <v>43664.0</v>
      </c>
      <c r="D189" s="318"/>
      <c r="E189" s="319">
        <v>6.0</v>
      </c>
      <c r="F189" s="332"/>
      <c r="G189" s="321">
        <v>0.6055787037037037</v>
      </c>
      <c r="H189" s="323">
        <v>0.6061111111111112</v>
      </c>
      <c r="I189" s="323"/>
      <c r="J189" s="323"/>
      <c r="K189" s="323">
        <v>0.6075925925925926</v>
      </c>
      <c r="L189" s="322">
        <f t="shared" si="7"/>
        <v>0.002013888889</v>
      </c>
      <c r="M189" s="319" t="s">
        <v>358</v>
      </c>
      <c r="N189" s="324" t="s">
        <v>187</v>
      </c>
      <c r="O189" s="419" t="s">
        <v>1071</v>
      </c>
      <c r="P189" s="319" t="s">
        <v>255</v>
      </c>
      <c r="Q189" s="318"/>
      <c r="R189" s="457"/>
      <c r="S189" s="318"/>
      <c r="T189" s="332"/>
      <c r="U189" s="319">
        <v>0.5</v>
      </c>
      <c r="V189" s="319"/>
      <c r="W189" s="319"/>
      <c r="X189" s="319"/>
      <c r="Y189" s="319"/>
      <c r="Z189" s="319" t="s">
        <v>331</v>
      </c>
      <c r="AA189" s="319"/>
      <c r="AB189" s="318"/>
      <c r="AC189" s="327" t="s">
        <v>1072</v>
      </c>
      <c r="AD189" s="319"/>
      <c r="AE189" s="319"/>
      <c r="AF189" s="319"/>
      <c r="AG189" s="319"/>
      <c r="AH189" s="319"/>
      <c r="AI189" s="319"/>
      <c r="AJ189" s="327"/>
      <c r="AK189" s="328"/>
      <c r="AL189" s="319"/>
      <c r="AM189" s="319"/>
      <c r="AN189" s="319"/>
      <c r="AO189" s="319"/>
      <c r="AP189" s="319"/>
      <c r="AQ189" s="319"/>
      <c r="AR189" s="319"/>
      <c r="AS189" s="327"/>
      <c r="AT189" s="344"/>
      <c r="AU189" s="345" t="s">
        <v>845</v>
      </c>
      <c r="AV189" s="330">
        <f>SQRT(($R189-Infrastructure!J$3)^2+($S189-Infrastructure!K$3)^2)</f>
        <v>28.90155705</v>
      </c>
      <c r="AW189" s="331">
        <f>SQRT(($R189-Infrastructure!J$4)^2+($S189-Infrastructure!K$4)^2)</f>
        <v>17.80252791</v>
      </c>
      <c r="AX189" s="331">
        <f>SQRT(($R189-Infrastructure!J$5)^2+($S189-Infrastructure!K$5)^2)</f>
        <v>5.10881591</v>
      </c>
      <c r="AY189" s="331">
        <f>SQRT(($R189-Infrastructure!J$6)^2+($S189-Infrastructure!K$6)^2)</f>
        <v>10.10445446</v>
      </c>
      <c r="AZ189" s="331">
        <f>SQRT(($R189-Infrastructure!J$7)^2+($S189-Infrastructure!K$7)^2)</f>
        <v>20.502195</v>
      </c>
      <c r="BA189" s="331">
        <f>SQRT(($R189-Infrastructure!J$8)^2+($S189-Infrastructure!K$8)^2)</f>
        <v>30.10149498</v>
      </c>
      <c r="BB189" s="331">
        <f>SQRT(($R189-Infrastructure!J$9)^2+($S189-Infrastructure!K$9)^2)</f>
        <v>40.3238143</v>
      </c>
      <c r="BC189" s="331">
        <f>SQRT(($R189-Infrastructure!J$10)^2+($S189-Infrastructure!K$10)^2)</f>
        <v>42.72001873</v>
      </c>
      <c r="BD189" s="318"/>
      <c r="BE189" s="332"/>
      <c r="BF189" s="330">
        <f t="shared" si="14"/>
        <v>5.10881591</v>
      </c>
      <c r="BG189" s="333">
        <f t="shared" si="15"/>
        <v>42.72001873</v>
      </c>
      <c r="BH189" s="334"/>
      <c r="BI189" s="316"/>
      <c r="BJ189" s="318"/>
      <c r="BK189" s="318"/>
      <c r="BL189" s="318"/>
      <c r="BM189" s="318"/>
      <c r="BN189" s="318"/>
      <c r="BO189" s="318"/>
      <c r="BP189" s="318"/>
      <c r="BQ189" s="338"/>
      <c r="BR189" s="420"/>
      <c r="BS189" s="330">
        <f t="shared" si="16"/>
        <v>0</v>
      </c>
      <c r="BT189" s="331">
        <f t="shared" si="17"/>
        <v>0</v>
      </c>
      <c r="BU189" s="331"/>
      <c r="BV189" s="333"/>
      <c r="BW189" s="330"/>
      <c r="BX189" s="331"/>
      <c r="BY189" s="331"/>
      <c r="BZ189" s="340"/>
      <c r="CA189" s="316"/>
      <c r="CB189" s="318"/>
      <c r="CC189" s="318"/>
      <c r="CD189" s="318"/>
      <c r="CE189" s="318"/>
      <c r="CF189" s="318"/>
      <c r="CG189" s="318"/>
      <c r="CH189" s="318"/>
      <c r="CI189" s="338"/>
      <c r="CJ189" s="341"/>
      <c r="CK189" s="342">
        <f t="shared" si="18"/>
        <v>0</v>
      </c>
      <c r="CL189" s="333">
        <f t="shared" si="19"/>
        <v>0</v>
      </c>
      <c r="CM189" s="421" t="s">
        <v>1094</v>
      </c>
      <c r="CN189" s="416"/>
      <c r="CO189" s="416"/>
      <c r="CP189" s="416"/>
    </row>
    <row r="190">
      <c r="A190" s="315" t="s">
        <v>25</v>
      </c>
      <c r="B190" s="316"/>
      <c r="C190" s="417">
        <v>43664.0</v>
      </c>
      <c r="D190" s="318"/>
      <c r="E190" s="319">
        <v>7.0</v>
      </c>
      <c r="F190" s="332"/>
      <c r="G190" s="321">
        <v>0.6156365740740741</v>
      </c>
      <c r="H190" s="323">
        <v>0.6159143518518518</v>
      </c>
      <c r="I190" s="323"/>
      <c r="J190" s="323"/>
      <c r="K190" s="323">
        <v>0.6193981481481482</v>
      </c>
      <c r="L190" s="322">
        <f t="shared" si="7"/>
        <v>0.003761574074</v>
      </c>
      <c r="M190" s="319" t="s">
        <v>358</v>
      </c>
      <c r="N190" s="324" t="s">
        <v>187</v>
      </c>
      <c r="O190" s="419" t="s">
        <v>1073</v>
      </c>
      <c r="P190" s="318"/>
      <c r="Q190" s="318"/>
      <c r="R190" s="326">
        <v>15.0</v>
      </c>
      <c r="S190" s="319">
        <v>8.0</v>
      </c>
      <c r="T190" s="332"/>
      <c r="U190" s="319">
        <v>0.5</v>
      </c>
      <c r="V190" s="319"/>
      <c r="W190" s="319"/>
      <c r="X190" s="319"/>
      <c r="Y190" s="319"/>
      <c r="Z190" s="319" t="s">
        <v>318</v>
      </c>
      <c r="AA190" s="319"/>
      <c r="AB190" s="318"/>
      <c r="AC190" s="327" t="s">
        <v>1074</v>
      </c>
      <c r="AD190" s="319"/>
      <c r="AE190" s="319"/>
      <c r="AF190" s="319"/>
      <c r="AG190" s="319"/>
      <c r="AH190" s="319"/>
      <c r="AI190" s="319"/>
      <c r="AJ190" s="327"/>
      <c r="AK190" s="328"/>
      <c r="AL190" s="319"/>
      <c r="AM190" s="319"/>
      <c r="AN190" s="319"/>
      <c r="AO190" s="319"/>
      <c r="AP190" s="319"/>
      <c r="AQ190" s="319"/>
      <c r="AR190" s="319"/>
      <c r="AS190" s="327"/>
      <c r="AT190" s="344"/>
      <c r="AU190" s="345" t="s">
        <v>845</v>
      </c>
      <c r="AV190" s="330">
        <f>SQRT(($R190-Infrastructure!J$3)^2+($S190-Infrastructure!K$3)^2)</f>
        <v>25.90173739</v>
      </c>
      <c r="AW190" s="331">
        <f>SQRT(($R190-Infrastructure!J$4)^2+($S190-Infrastructure!K$4)^2)</f>
        <v>18.1694799</v>
      </c>
      <c r="AX190" s="331">
        <f>SQRT(($R190-Infrastructure!J$5)^2+($S190-Infrastructure!K$5)^2)</f>
        <v>15.5724115</v>
      </c>
      <c r="AY190" s="331">
        <f>SQRT(($R190-Infrastructure!J$6)^2+($S190-Infrastructure!K$6)^2)</f>
        <v>9.126883367</v>
      </c>
      <c r="AZ190" s="331">
        <f>SQRT(($R190-Infrastructure!J$7)^2+($S190-Infrastructure!K$7)^2)</f>
        <v>9.462557794</v>
      </c>
      <c r="BA190" s="331">
        <f>SQRT(($R190-Infrastructure!J$8)^2+($S190-Infrastructure!K$8)^2)</f>
        <v>16.94992625</v>
      </c>
      <c r="BB190" s="331">
        <f>SQRT(($R190-Infrastructure!J$9)^2+($S190-Infrastructure!K$9)^2)</f>
        <v>25.16763795</v>
      </c>
      <c r="BC190" s="331">
        <f>SQRT(($R190-Infrastructure!J$10)^2+($S190-Infrastructure!K$10)^2)</f>
        <v>25.96150997</v>
      </c>
      <c r="BD190" s="318"/>
      <c r="BE190" s="332"/>
      <c r="BF190" s="330">
        <f t="shared" si="14"/>
        <v>9.126883367</v>
      </c>
      <c r="BG190" s="333">
        <f t="shared" si="15"/>
        <v>25.96150997</v>
      </c>
      <c r="BH190" s="334"/>
      <c r="BI190" s="316"/>
      <c r="BJ190" s="318"/>
      <c r="BK190" s="318"/>
      <c r="BL190" s="318"/>
      <c r="BM190" s="318"/>
      <c r="BN190" s="318"/>
      <c r="BO190" s="318"/>
      <c r="BP190" s="318"/>
      <c r="BQ190" s="338"/>
      <c r="BR190" s="420"/>
      <c r="BS190" s="330">
        <f t="shared" si="16"/>
        <v>0</v>
      </c>
      <c r="BT190" s="331">
        <f t="shared" si="17"/>
        <v>0</v>
      </c>
      <c r="BU190" s="331"/>
      <c r="BV190" s="333"/>
      <c r="BW190" s="330"/>
      <c r="BX190" s="331"/>
      <c r="BY190" s="331"/>
      <c r="BZ190" s="340"/>
      <c r="CA190" s="316"/>
      <c r="CB190" s="318"/>
      <c r="CC190" s="318"/>
      <c r="CD190" s="318"/>
      <c r="CE190" s="318"/>
      <c r="CF190" s="318"/>
      <c r="CG190" s="318"/>
      <c r="CH190" s="318"/>
      <c r="CI190" s="338"/>
      <c r="CJ190" s="341"/>
      <c r="CK190" s="342">
        <f t="shared" si="18"/>
        <v>0</v>
      </c>
      <c r="CL190" s="333">
        <f t="shared" si="19"/>
        <v>0</v>
      </c>
      <c r="CM190" s="423"/>
      <c r="CN190" s="424"/>
      <c r="CO190" s="424"/>
      <c r="CP190" s="424"/>
    </row>
    <row r="191">
      <c r="A191" s="315" t="s">
        <v>25</v>
      </c>
      <c r="B191" s="316"/>
      <c r="C191" s="417">
        <v>43664.0</v>
      </c>
      <c r="D191" s="318"/>
      <c r="E191" s="319">
        <v>8.0</v>
      </c>
      <c r="F191" s="332"/>
      <c r="G191" s="321">
        <v>0.620162037037037</v>
      </c>
      <c r="H191" s="323">
        <v>0.6207291666666667</v>
      </c>
      <c r="I191" s="323"/>
      <c r="J191" s="323"/>
      <c r="K191" s="323">
        <v>0.6221180555555555</v>
      </c>
      <c r="L191" s="322">
        <f t="shared" si="7"/>
        <v>0.001956018519</v>
      </c>
      <c r="M191" s="319" t="s">
        <v>358</v>
      </c>
      <c r="N191" s="324" t="s">
        <v>187</v>
      </c>
      <c r="O191" s="419" t="s">
        <v>1073</v>
      </c>
      <c r="P191" s="318"/>
      <c r="Q191" s="318"/>
      <c r="R191" s="326">
        <v>15.0</v>
      </c>
      <c r="S191" s="319">
        <v>8.0</v>
      </c>
      <c r="T191" s="332"/>
      <c r="U191" s="319">
        <v>3.0</v>
      </c>
      <c r="V191" s="319"/>
      <c r="W191" s="319"/>
      <c r="X191" s="319"/>
      <c r="Y191" s="319"/>
      <c r="Z191" s="319" t="s">
        <v>318</v>
      </c>
      <c r="AA191" s="319"/>
      <c r="AB191" s="318"/>
      <c r="AC191" s="327" t="s">
        <v>1074</v>
      </c>
      <c r="AD191" s="319"/>
      <c r="AE191" s="319"/>
      <c r="AF191" s="319"/>
      <c r="AG191" s="319"/>
      <c r="AH191" s="319"/>
      <c r="AI191" s="319"/>
      <c r="AJ191" s="327"/>
      <c r="AK191" s="328"/>
      <c r="AL191" s="319"/>
      <c r="AM191" s="319"/>
      <c r="AN191" s="319"/>
      <c r="AO191" s="319"/>
      <c r="AP191" s="319"/>
      <c r="AQ191" s="319"/>
      <c r="AR191" s="319"/>
      <c r="AS191" s="327"/>
      <c r="AT191" s="344"/>
      <c r="AU191" s="345" t="s">
        <v>845</v>
      </c>
      <c r="AV191" s="330">
        <f>SQRT(($R191-Infrastructure!J$3)^2+($S191-Infrastructure!K$3)^2)</f>
        <v>25.90173739</v>
      </c>
      <c r="AW191" s="331">
        <f>SQRT(($R191-Infrastructure!J$4)^2+($S191-Infrastructure!K$4)^2)</f>
        <v>18.1694799</v>
      </c>
      <c r="AX191" s="331">
        <f>SQRT(($R191-Infrastructure!J$5)^2+($S191-Infrastructure!K$5)^2)</f>
        <v>15.5724115</v>
      </c>
      <c r="AY191" s="331">
        <f>SQRT(($R191-Infrastructure!J$6)^2+($S191-Infrastructure!K$6)^2)</f>
        <v>9.126883367</v>
      </c>
      <c r="AZ191" s="331">
        <f>SQRT(($R191-Infrastructure!J$7)^2+($S191-Infrastructure!K$7)^2)</f>
        <v>9.462557794</v>
      </c>
      <c r="BA191" s="331">
        <f>SQRT(($R191-Infrastructure!J$8)^2+($S191-Infrastructure!K$8)^2)</f>
        <v>16.94992625</v>
      </c>
      <c r="BB191" s="331">
        <f>SQRT(($R191-Infrastructure!J$9)^2+($S191-Infrastructure!K$9)^2)</f>
        <v>25.16763795</v>
      </c>
      <c r="BC191" s="331">
        <f>SQRT(($R191-Infrastructure!J$10)^2+($S191-Infrastructure!K$10)^2)</f>
        <v>25.96150997</v>
      </c>
      <c r="BD191" s="318"/>
      <c r="BE191" s="332"/>
      <c r="BF191" s="330">
        <f t="shared" si="14"/>
        <v>9.126883367</v>
      </c>
      <c r="BG191" s="333">
        <f t="shared" si="15"/>
        <v>25.96150997</v>
      </c>
      <c r="BH191" s="334"/>
      <c r="BI191" s="316"/>
      <c r="BJ191" s="318"/>
      <c r="BK191" s="318"/>
      <c r="BL191" s="318"/>
      <c r="BM191" s="318"/>
      <c r="BN191" s="318"/>
      <c r="BO191" s="318"/>
      <c r="BP191" s="318"/>
      <c r="BQ191" s="338"/>
      <c r="BR191" s="420"/>
      <c r="BS191" s="330">
        <f t="shared" si="16"/>
        <v>0</v>
      </c>
      <c r="BT191" s="331">
        <f t="shared" si="17"/>
        <v>0</v>
      </c>
      <c r="BU191" s="331"/>
      <c r="BV191" s="333"/>
      <c r="BW191" s="330"/>
      <c r="BX191" s="331"/>
      <c r="BY191" s="331"/>
      <c r="BZ191" s="340"/>
      <c r="CA191" s="316"/>
      <c r="CB191" s="318"/>
      <c r="CC191" s="318"/>
      <c r="CD191" s="318"/>
      <c r="CE191" s="318"/>
      <c r="CF191" s="318"/>
      <c r="CG191" s="318"/>
      <c r="CH191" s="318"/>
      <c r="CI191" s="338"/>
      <c r="CJ191" s="341"/>
      <c r="CK191" s="342">
        <f t="shared" si="18"/>
        <v>0</v>
      </c>
      <c r="CL191" s="333">
        <f t="shared" si="19"/>
        <v>0</v>
      </c>
      <c r="CM191" s="423"/>
      <c r="CN191" s="424"/>
      <c r="CO191" s="424"/>
      <c r="CP191" s="424"/>
    </row>
    <row r="192">
      <c r="A192" s="315" t="s">
        <v>25</v>
      </c>
      <c r="B192" s="316"/>
      <c r="C192" s="417">
        <v>43664.0</v>
      </c>
      <c r="D192" s="318"/>
      <c r="E192" s="319">
        <v>9.0</v>
      </c>
      <c r="F192" s="332"/>
      <c r="G192" s="321">
        <v>0.6229282407407407</v>
      </c>
      <c r="H192" s="323">
        <v>0.6234490740740741</v>
      </c>
      <c r="I192" s="323"/>
      <c r="J192" s="323"/>
      <c r="K192" s="323">
        <v>0.624837962962963</v>
      </c>
      <c r="L192" s="322">
        <f t="shared" si="7"/>
        <v>0.001909722222</v>
      </c>
      <c r="M192" s="319" t="s">
        <v>358</v>
      </c>
      <c r="N192" s="324" t="s">
        <v>187</v>
      </c>
      <c r="O192" s="419" t="s">
        <v>1073</v>
      </c>
      <c r="P192" s="318"/>
      <c r="Q192" s="318"/>
      <c r="R192" s="326">
        <v>15.0</v>
      </c>
      <c r="S192" s="319">
        <v>8.0</v>
      </c>
      <c r="T192" s="332"/>
      <c r="U192" s="319">
        <v>7.0</v>
      </c>
      <c r="V192" s="319"/>
      <c r="W192" s="319"/>
      <c r="X192" s="319"/>
      <c r="Y192" s="319"/>
      <c r="Z192" s="319" t="s">
        <v>318</v>
      </c>
      <c r="AA192" s="319"/>
      <c r="AB192" s="318"/>
      <c r="AC192" s="327" t="s">
        <v>1074</v>
      </c>
      <c r="AD192" s="319"/>
      <c r="AE192" s="319"/>
      <c r="AF192" s="319"/>
      <c r="AG192" s="319"/>
      <c r="AH192" s="319"/>
      <c r="AI192" s="319"/>
      <c r="AJ192" s="327"/>
      <c r="AK192" s="328"/>
      <c r="AL192" s="319"/>
      <c r="AM192" s="319"/>
      <c r="AN192" s="319"/>
      <c r="AO192" s="319"/>
      <c r="AP192" s="319"/>
      <c r="AQ192" s="319"/>
      <c r="AR192" s="319"/>
      <c r="AS192" s="327"/>
      <c r="AT192" s="344"/>
      <c r="AU192" s="345" t="s">
        <v>845</v>
      </c>
      <c r="AV192" s="330">
        <f>SQRT(($R192-Infrastructure!J$3)^2+($S192-Infrastructure!K$3)^2)</f>
        <v>25.90173739</v>
      </c>
      <c r="AW192" s="331">
        <f>SQRT(($R192-Infrastructure!J$4)^2+($S192-Infrastructure!K$4)^2)</f>
        <v>18.1694799</v>
      </c>
      <c r="AX192" s="331">
        <f>SQRT(($R192-Infrastructure!J$5)^2+($S192-Infrastructure!K$5)^2)</f>
        <v>15.5724115</v>
      </c>
      <c r="AY192" s="331">
        <f>SQRT(($R192-Infrastructure!J$6)^2+($S192-Infrastructure!K$6)^2)</f>
        <v>9.126883367</v>
      </c>
      <c r="AZ192" s="331">
        <f>SQRT(($R192-Infrastructure!J$7)^2+($S192-Infrastructure!K$7)^2)</f>
        <v>9.462557794</v>
      </c>
      <c r="BA192" s="331">
        <f>SQRT(($R192-Infrastructure!J$8)^2+($S192-Infrastructure!K$8)^2)</f>
        <v>16.94992625</v>
      </c>
      <c r="BB192" s="331">
        <f>SQRT(($R192-Infrastructure!J$9)^2+($S192-Infrastructure!K$9)^2)</f>
        <v>25.16763795</v>
      </c>
      <c r="BC192" s="331">
        <f>SQRT(($R192-Infrastructure!J$10)^2+($S192-Infrastructure!K$10)^2)</f>
        <v>25.96150997</v>
      </c>
      <c r="BD192" s="318"/>
      <c r="BE192" s="332"/>
      <c r="BF192" s="330">
        <f t="shared" si="14"/>
        <v>9.126883367</v>
      </c>
      <c r="BG192" s="333">
        <f t="shared" si="15"/>
        <v>25.96150997</v>
      </c>
      <c r="BH192" s="334"/>
      <c r="BI192" s="316"/>
      <c r="BJ192" s="318"/>
      <c r="BK192" s="318"/>
      <c r="BL192" s="318"/>
      <c r="BM192" s="318"/>
      <c r="BN192" s="318"/>
      <c r="BO192" s="318"/>
      <c r="BP192" s="318"/>
      <c r="BQ192" s="338"/>
      <c r="BR192" s="420"/>
      <c r="BS192" s="330">
        <f t="shared" si="16"/>
        <v>0</v>
      </c>
      <c r="BT192" s="331">
        <f t="shared" si="17"/>
        <v>0</v>
      </c>
      <c r="BU192" s="331"/>
      <c r="BV192" s="333"/>
      <c r="BW192" s="330"/>
      <c r="BX192" s="331"/>
      <c r="BY192" s="331"/>
      <c r="BZ192" s="340"/>
      <c r="CA192" s="316"/>
      <c r="CB192" s="318"/>
      <c r="CC192" s="318"/>
      <c r="CD192" s="318"/>
      <c r="CE192" s="318"/>
      <c r="CF192" s="318"/>
      <c r="CG192" s="318"/>
      <c r="CH192" s="318"/>
      <c r="CI192" s="338"/>
      <c r="CJ192" s="341"/>
      <c r="CK192" s="342">
        <f t="shared" si="18"/>
        <v>0</v>
      </c>
      <c r="CL192" s="333">
        <f t="shared" si="19"/>
        <v>0</v>
      </c>
      <c r="CM192" s="423"/>
      <c r="CN192" s="424"/>
      <c r="CO192" s="424"/>
      <c r="CP192" s="424"/>
    </row>
    <row r="193">
      <c r="A193" s="315" t="s">
        <v>25</v>
      </c>
      <c r="B193" s="316"/>
      <c r="C193" s="417">
        <v>43664.0</v>
      </c>
      <c r="D193" s="318"/>
      <c r="E193" s="319">
        <v>10.0</v>
      </c>
      <c r="F193" s="332"/>
      <c r="G193" s="321">
        <v>0.6298611111111111</v>
      </c>
      <c r="H193" s="323">
        <v>0.6302662037037037</v>
      </c>
      <c r="I193" s="323"/>
      <c r="J193" s="323"/>
      <c r="K193" s="323">
        <v>0.6316666666666667</v>
      </c>
      <c r="L193" s="322">
        <f t="shared" si="7"/>
        <v>0.001805555556</v>
      </c>
      <c r="M193" s="319" t="s">
        <v>358</v>
      </c>
      <c r="N193" s="324" t="s">
        <v>187</v>
      </c>
      <c r="O193" s="419" t="s">
        <v>1076</v>
      </c>
      <c r="P193" s="319" t="s">
        <v>235</v>
      </c>
      <c r="Q193" s="318"/>
      <c r="R193" s="326">
        <v>11.0</v>
      </c>
      <c r="S193" s="319">
        <v>8.0</v>
      </c>
      <c r="T193" s="332"/>
      <c r="U193" s="319">
        <v>1.0</v>
      </c>
      <c r="V193" s="319"/>
      <c r="W193" s="319"/>
      <c r="X193" s="319"/>
      <c r="Y193" s="319"/>
      <c r="Z193" s="319" t="s">
        <v>1095</v>
      </c>
      <c r="AA193" s="319"/>
      <c r="AB193" s="318"/>
      <c r="AC193" s="327">
        <v>1.5</v>
      </c>
      <c r="AD193" s="319"/>
      <c r="AE193" s="319"/>
      <c r="AF193" s="319"/>
      <c r="AG193" s="319"/>
      <c r="AH193" s="319"/>
      <c r="AI193" s="319"/>
      <c r="AJ193" s="327"/>
      <c r="AK193" s="328"/>
      <c r="AL193" s="319"/>
      <c r="AM193" s="319"/>
      <c r="AN193" s="319"/>
      <c r="AO193" s="319"/>
      <c r="AP193" s="319"/>
      <c r="AQ193" s="319"/>
      <c r="AR193" s="319"/>
      <c r="AS193" s="327"/>
      <c r="AT193" s="344"/>
      <c r="AU193" s="345" t="s">
        <v>845</v>
      </c>
      <c r="AV193" s="330">
        <f>SQRT(($R193-Infrastructure!J$3)^2+($S193-Infrastructure!K$3)^2)</f>
        <v>23.75920874</v>
      </c>
      <c r="AW193" s="331">
        <f>SQRT(($R193-Infrastructure!J$4)^2+($S193-Infrastructure!K$4)^2)</f>
        <v>14.95760676</v>
      </c>
      <c r="AX193" s="331">
        <f>SQRT(($R193-Infrastructure!J$5)^2+($S193-Infrastructure!K$5)^2)</f>
        <v>11.66619047</v>
      </c>
      <c r="AY193" s="331">
        <f>SQRT(($R193-Infrastructure!J$6)^2+($S193-Infrastructure!K$6)^2)</f>
        <v>7.752418977</v>
      </c>
      <c r="AZ193" s="331">
        <f>SQRT(($R193-Infrastructure!J$7)^2+($S193-Infrastructure!K$7)^2)</f>
        <v>12.22865487</v>
      </c>
      <c r="BA193" s="331">
        <f>SQRT(($R193-Infrastructure!J$8)^2+($S193-Infrastructure!K$8)^2)</f>
        <v>20.59368835</v>
      </c>
      <c r="BB193" s="331">
        <f>SQRT(($R193-Infrastructure!J$9)^2+($S193-Infrastructure!K$9)^2)</f>
        <v>29.1446393</v>
      </c>
      <c r="BC193" s="331">
        <f>SQRT(($R193-Infrastructure!J$10)^2+($S193-Infrastructure!K$10)^2)</f>
        <v>29.83286778</v>
      </c>
      <c r="BD193" s="318"/>
      <c r="BE193" s="332"/>
      <c r="BF193" s="330">
        <f t="shared" si="14"/>
        <v>7.752418977</v>
      </c>
      <c r="BG193" s="333">
        <f t="shared" si="15"/>
        <v>29.83286778</v>
      </c>
      <c r="BH193" s="334"/>
      <c r="BI193" s="316"/>
      <c r="BJ193" s="318"/>
      <c r="BK193" s="318"/>
      <c r="BL193" s="318"/>
      <c r="BM193" s="318"/>
      <c r="BN193" s="318"/>
      <c r="BO193" s="318"/>
      <c r="BP193" s="318"/>
      <c r="BQ193" s="338"/>
      <c r="BR193" s="420"/>
      <c r="BS193" s="330">
        <f t="shared" si="16"/>
        <v>0</v>
      </c>
      <c r="BT193" s="331">
        <f t="shared" si="17"/>
        <v>0</v>
      </c>
      <c r="BU193" s="331"/>
      <c r="BV193" s="333"/>
      <c r="BW193" s="330"/>
      <c r="BX193" s="331"/>
      <c r="BY193" s="331"/>
      <c r="BZ193" s="340"/>
      <c r="CA193" s="316"/>
      <c r="CB193" s="318"/>
      <c r="CC193" s="318"/>
      <c r="CD193" s="318"/>
      <c r="CE193" s="318"/>
      <c r="CF193" s="318"/>
      <c r="CG193" s="318"/>
      <c r="CH193" s="318"/>
      <c r="CI193" s="338"/>
      <c r="CJ193" s="341"/>
      <c r="CK193" s="342">
        <f t="shared" si="18"/>
        <v>0</v>
      </c>
      <c r="CL193" s="333">
        <f t="shared" si="19"/>
        <v>0</v>
      </c>
      <c r="CM193" s="421" t="s">
        <v>1096</v>
      </c>
      <c r="CN193" s="416"/>
      <c r="CO193" s="416"/>
      <c r="CP193" s="416"/>
    </row>
    <row r="194">
      <c r="A194" s="315" t="s">
        <v>25</v>
      </c>
      <c r="B194" s="316"/>
      <c r="C194" s="417">
        <v>43664.0</v>
      </c>
      <c r="D194" s="318"/>
      <c r="E194" s="319">
        <v>11.0</v>
      </c>
      <c r="F194" s="332"/>
      <c r="G194" s="321">
        <v>0.6338541666666667</v>
      </c>
      <c r="H194" s="323">
        <v>0.6342361111111111</v>
      </c>
      <c r="I194" s="323"/>
      <c r="J194" s="323"/>
      <c r="K194" s="323">
        <v>0.6356018518518518</v>
      </c>
      <c r="L194" s="322">
        <f t="shared" si="7"/>
        <v>0.001747685185</v>
      </c>
      <c r="M194" s="319" t="s">
        <v>358</v>
      </c>
      <c r="N194" s="324" t="s">
        <v>187</v>
      </c>
      <c r="O194" s="419" t="s">
        <v>1076</v>
      </c>
      <c r="P194" s="319" t="s">
        <v>235</v>
      </c>
      <c r="Q194" s="318"/>
      <c r="R194" s="326">
        <v>11.0</v>
      </c>
      <c r="S194" s="319">
        <v>8.0</v>
      </c>
      <c r="T194" s="332"/>
      <c r="U194" s="319">
        <v>4.0</v>
      </c>
      <c r="V194" s="319"/>
      <c r="W194" s="319"/>
      <c r="X194" s="319"/>
      <c r="Y194" s="319"/>
      <c r="Z194" s="319" t="s">
        <v>1095</v>
      </c>
      <c r="AA194" s="319"/>
      <c r="AB194" s="318"/>
      <c r="AC194" s="327">
        <v>3.0</v>
      </c>
      <c r="AD194" s="319"/>
      <c r="AE194" s="319"/>
      <c r="AF194" s="319"/>
      <c r="AG194" s="319"/>
      <c r="AH194" s="319"/>
      <c r="AI194" s="319"/>
      <c r="AJ194" s="327"/>
      <c r="AK194" s="328"/>
      <c r="AL194" s="319"/>
      <c r="AM194" s="319"/>
      <c r="AN194" s="319"/>
      <c r="AO194" s="319"/>
      <c r="AP194" s="319"/>
      <c r="AQ194" s="319"/>
      <c r="AR194" s="319"/>
      <c r="AS194" s="327"/>
      <c r="AT194" s="344"/>
      <c r="AU194" s="345" t="s">
        <v>845</v>
      </c>
      <c r="AV194" s="330">
        <f>SQRT(($R194-Infrastructure!J$3)^2+($S194-Infrastructure!K$3)^2)</f>
        <v>23.75920874</v>
      </c>
      <c r="AW194" s="331">
        <f>SQRT(($R194-Infrastructure!J$4)^2+($S194-Infrastructure!K$4)^2)</f>
        <v>14.95760676</v>
      </c>
      <c r="AX194" s="331">
        <f>SQRT(($R194-Infrastructure!J$5)^2+($S194-Infrastructure!K$5)^2)</f>
        <v>11.66619047</v>
      </c>
      <c r="AY194" s="331">
        <f>SQRT(($R194-Infrastructure!J$6)^2+($S194-Infrastructure!K$6)^2)</f>
        <v>7.752418977</v>
      </c>
      <c r="AZ194" s="331">
        <f>SQRT(($R194-Infrastructure!J$7)^2+($S194-Infrastructure!K$7)^2)</f>
        <v>12.22865487</v>
      </c>
      <c r="BA194" s="331">
        <f>SQRT(($R194-Infrastructure!J$8)^2+($S194-Infrastructure!K$8)^2)</f>
        <v>20.59368835</v>
      </c>
      <c r="BB194" s="331">
        <f>SQRT(($R194-Infrastructure!J$9)^2+($S194-Infrastructure!K$9)^2)</f>
        <v>29.1446393</v>
      </c>
      <c r="BC194" s="331">
        <f>SQRT(($R194-Infrastructure!J$10)^2+($S194-Infrastructure!K$10)^2)</f>
        <v>29.83286778</v>
      </c>
      <c r="BD194" s="318"/>
      <c r="BE194" s="332"/>
      <c r="BF194" s="330">
        <f t="shared" si="14"/>
        <v>7.752418977</v>
      </c>
      <c r="BG194" s="333">
        <f t="shared" si="15"/>
        <v>29.83286778</v>
      </c>
      <c r="BH194" s="334"/>
      <c r="BI194" s="316"/>
      <c r="BJ194" s="318"/>
      <c r="BK194" s="318"/>
      <c r="BL194" s="318"/>
      <c r="BM194" s="318"/>
      <c r="BN194" s="318"/>
      <c r="BO194" s="318"/>
      <c r="BP194" s="318"/>
      <c r="BQ194" s="338"/>
      <c r="BR194" s="420"/>
      <c r="BS194" s="330">
        <f t="shared" si="16"/>
        <v>0</v>
      </c>
      <c r="BT194" s="331">
        <f t="shared" si="17"/>
        <v>0</v>
      </c>
      <c r="BU194" s="331"/>
      <c r="BV194" s="333"/>
      <c r="BW194" s="330"/>
      <c r="BX194" s="331"/>
      <c r="BY194" s="331"/>
      <c r="BZ194" s="340"/>
      <c r="CA194" s="316"/>
      <c r="CB194" s="318"/>
      <c r="CC194" s="318"/>
      <c r="CD194" s="318"/>
      <c r="CE194" s="318"/>
      <c r="CF194" s="318"/>
      <c r="CG194" s="318"/>
      <c r="CH194" s="318"/>
      <c r="CI194" s="338"/>
      <c r="CJ194" s="341"/>
      <c r="CK194" s="342">
        <f t="shared" si="18"/>
        <v>0</v>
      </c>
      <c r="CL194" s="333">
        <f t="shared" si="19"/>
        <v>0</v>
      </c>
      <c r="CM194" s="421" t="s">
        <v>1096</v>
      </c>
      <c r="CN194" s="416"/>
      <c r="CO194" s="416"/>
      <c r="CP194" s="416"/>
    </row>
    <row r="195">
      <c r="A195" s="315" t="s">
        <v>25</v>
      </c>
      <c r="B195" s="316"/>
      <c r="C195" s="417">
        <v>43664.0</v>
      </c>
      <c r="D195" s="318"/>
      <c r="E195" s="319">
        <v>12.0</v>
      </c>
      <c r="F195" s="332"/>
      <c r="G195" s="321">
        <v>0.6364699074074074</v>
      </c>
      <c r="H195" s="323">
        <v>0.6372222222222222</v>
      </c>
      <c r="I195" s="323"/>
      <c r="J195" s="323"/>
      <c r="K195" s="323">
        <v>0.6386111111111111</v>
      </c>
      <c r="L195" s="322">
        <f t="shared" si="7"/>
        <v>0.002141203704</v>
      </c>
      <c r="M195" s="319" t="s">
        <v>358</v>
      </c>
      <c r="N195" s="324" t="s">
        <v>187</v>
      </c>
      <c r="O195" s="419" t="s">
        <v>1076</v>
      </c>
      <c r="P195" s="319" t="s">
        <v>235</v>
      </c>
      <c r="Q195" s="318"/>
      <c r="R195" s="326">
        <v>11.0</v>
      </c>
      <c r="S195" s="319">
        <v>8.0</v>
      </c>
      <c r="T195" s="332"/>
      <c r="U195" s="319">
        <v>8.0</v>
      </c>
      <c r="V195" s="319"/>
      <c r="W195" s="319"/>
      <c r="X195" s="319"/>
      <c r="Y195" s="319"/>
      <c r="Z195" s="319" t="s">
        <v>1095</v>
      </c>
      <c r="AA195" s="319"/>
      <c r="AB195" s="318"/>
      <c r="AC195" s="327">
        <v>3.0</v>
      </c>
      <c r="AD195" s="319"/>
      <c r="AE195" s="319"/>
      <c r="AF195" s="319"/>
      <c r="AG195" s="319"/>
      <c r="AH195" s="319"/>
      <c r="AI195" s="319"/>
      <c r="AJ195" s="327"/>
      <c r="AK195" s="328"/>
      <c r="AL195" s="319"/>
      <c r="AM195" s="319"/>
      <c r="AN195" s="319"/>
      <c r="AO195" s="319"/>
      <c r="AP195" s="319"/>
      <c r="AQ195" s="319"/>
      <c r="AR195" s="319"/>
      <c r="AS195" s="327"/>
      <c r="AT195" s="344"/>
      <c r="AU195" s="345" t="s">
        <v>845</v>
      </c>
      <c r="AV195" s="330">
        <f>SQRT(($R195-Infrastructure!J$3)^2+($S195-Infrastructure!K$3)^2)</f>
        <v>23.75920874</v>
      </c>
      <c r="AW195" s="331">
        <f>SQRT(($R195-Infrastructure!J$4)^2+($S195-Infrastructure!K$4)^2)</f>
        <v>14.95760676</v>
      </c>
      <c r="AX195" s="331">
        <f>SQRT(($R195-Infrastructure!J$5)^2+($S195-Infrastructure!K$5)^2)</f>
        <v>11.66619047</v>
      </c>
      <c r="AY195" s="331">
        <f>SQRT(($R195-Infrastructure!J$6)^2+($S195-Infrastructure!K$6)^2)</f>
        <v>7.752418977</v>
      </c>
      <c r="AZ195" s="331">
        <f>SQRT(($R195-Infrastructure!J$7)^2+($S195-Infrastructure!K$7)^2)</f>
        <v>12.22865487</v>
      </c>
      <c r="BA195" s="331">
        <f>SQRT(($R195-Infrastructure!J$8)^2+($S195-Infrastructure!K$8)^2)</f>
        <v>20.59368835</v>
      </c>
      <c r="BB195" s="331">
        <f>SQRT(($R195-Infrastructure!J$9)^2+($S195-Infrastructure!K$9)^2)</f>
        <v>29.1446393</v>
      </c>
      <c r="BC195" s="331">
        <f>SQRT(($R195-Infrastructure!J$10)^2+($S195-Infrastructure!K$10)^2)</f>
        <v>29.83286778</v>
      </c>
      <c r="BD195" s="318"/>
      <c r="BE195" s="332"/>
      <c r="BF195" s="330">
        <f t="shared" si="14"/>
        <v>7.752418977</v>
      </c>
      <c r="BG195" s="333">
        <f t="shared" si="15"/>
        <v>29.83286778</v>
      </c>
      <c r="BH195" s="334"/>
      <c r="BI195" s="316"/>
      <c r="BJ195" s="318"/>
      <c r="BK195" s="318"/>
      <c r="BL195" s="318"/>
      <c r="BM195" s="318"/>
      <c r="BN195" s="318"/>
      <c r="BO195" s="318"/>
      <c r="BP195" s="318"/>
      <c r="BQ195" s="338"/>
      <c r="BR195" s="420"/>
      <c r="BS195" s="330">
        <f t="shared" si="16"/>
        <v>0</v>
      </c>
      <c r="BT195" s="331">
        <f t="shared" si="17"/>
        <v>0</v>
      </c>
      <c r="BU195" s="331"/>
      <c r="BV195" s="333"/>
      <c r="BW195" s="330"/>
      <c r="BX195" s="331"/>
      <c r="BY195" s="331"/>
      <c r="BZ195" s="340"/>
      <c r="CA195" s="316"/>
      <c r="CB195" s="318"/>
      <c r="CC195" s="318"/>
      <c r="CD195" s="318"/>
      <c r="CE195" s="318"/>
      <c r="CF195" s="318"/>
      <c r="CG195" s="318"/>
      <c r="CH195" s="318"/>
      <c r="CI195" s="338"/>
      <c r="CJ195" s="341"/>
      <c r="CK195" s="342">
        <f t="shared" si="18"/>
        <v>0</v>
      </c>
      <c r="CL195" s="333">
        <f t="shared" si="19"/>
        <v>0</v>
      </c>
      <c r="CM195" s="421" t="s">
        <v>1096</v>
      </c>
      <c r="CN195" s="416"/>
      <c r="CO195" s="416"/>
      <c r="CP195" s="416"/>
    </row>
    <row r="196">
      <c r="A196" s="315" t="s">
        <v>25</v>
      </c>
      <c r="B196" s="316"/>
      <c r="C196" s="417">
        <v>43664.0</v>
      </c>
      <c r="D196" s="318"/>
      <c r="E196" s="319" t="s">
        <v>1097</v>
      </c>
      <c r="F196" s="332"/>
      <c r="G196" s="321">
        <v>0.6413194444444444</v>
      </c>
      <c r="H196" s="323">
        <v>0.6417476851851852</v>
      </c>
      <c r="I196" s="323"/>
      <c r="J196" s="323"/>
      <c r="K196" s="323">
        <v>0.6445486111111111</v>
      </c>
      <c r="L196" s="322">
        <f t="shared" si="7"/>
        <v>0.003229166667</v>
      </c>
      <c r="M196" s="319" t="s">
        <v>358</v>
      </c>
      <c r="N196" s="324" t="s">
        <v>187</v>
      </c>
      <c r="O196" s="419" t="s">
        <v>1076</v>
      </c>
      <c r="P196" s="319" t="s">
        <v>235</v>
      </c>
      <c r="Q196" s="318"/>
      <c r="R196" s="326">
        <v>18.0</v>
      </c>
      <c r="S196" s="319">
        <v>8.0</v>
      </c>
      <c r="T196" s="332"/>
      <c r="U196" s="319">
        <v>1.0</v>
      </c>
      <c r="V196" s="319"/>
      <c r="W196" s="319"/>
      <c r="X196" s="319"/>
      <c r="Y196" s="319"/>
      <c r="Z196" s="319" t="s">
        <v>1095</v>
      </c>
      <c r="AA196" s="319"/>
      <c r="AB196" s="318"/>
      <c r="AC196" s="327">
        <v>1.5</v>
      </c>
      <c r="AD196" s="319"/>
      <c r="AE196" s="319"/>
      <c r="AF196" s="319"/>
      <c r="AG196" s="319"/>
      <c r="AH196" s="319"/>
      <c r="AI196" s="319"/>
      <c r="AJ196" s="327"/>
      <c r="AK196" s="328"/>
      <c r="AL196" s="319"/>
      <c r="AM196" s="319"/>
      <c r="AN196" s="319"/>
      <c r="AO196" s="319"/>
      <c r="AP196" s="319"/>
      <c r="AQ196" s="319"/>
      <c r="AR196" s="319"/>
      <c r="AS196" s="327"/>
      <c r="AT196" s="344"/>
      <c r="AU196" s="345" t="s">
        <v>845</v>
      </c>
      <c r="AV196" s="330">
        <f>SQRT(($R196-Infrastructure!J$3)^2+($S196-Infrastructure!K$3)^2)</f>
        <v>27.77948884</v>
      </c>
      <c r="AW196" s="331">
        <f>SQRT(($R196-Infrastructure!J$4)^2+($S196-Infrastructure!K$4)^2)</f>
        <v>20.75885353</v>
      </c>
      <c r="AX196" s="331">
        <f>SQRT(($R196-Infrastructure!J$5)^2+($S196-Infrastructure!K$5)^2)</f>
        <v>18.52835665</v>
      </c>
      <c r="AY196" s="331">
        <f>SQRT(($R196-Infrastructure!J$6)^2+($S196-Infrastructure!K$6)^2)</f>
        <v>11.0317723</v>
      </c>
      <c r="AZ196" s="331">
        <f>SQRT(($R196-Infrastructure!J$7)^2+($S196-Infrastructure!K$7)^2)</f>
        <v>8.095677859</v>
      </c>
      <c r="BA196" s="331">
        <f>SQRT(($R196-Infrastructure!J$8)^2+($S196-Infrastructure!K$8)^2)</f>
        <v>14.34224529</v>
      </c>
      <c r="BB196" s="331">
        <f>SQRT(($R196-Infrastructure!J$9)^2+($S196-Infrastructure!K$9)^2)</f>
        <v>22.1903132</v>
      </c>
      <c r="BC196" s="331">
        <f>SQRT(($R196-Infrastructure!J$10)^2+($S196-Infrastructure!K$10)^2)</f>
        <v>23.08679276</v>
      </c>
      <c r="BD196" s="318"/>
      <c r="BE196" s="332"/>
      <c r="BF196" s="330">
        <f t="shared" si="14"/>
        <v>8.095677859</v>
      </c>
      <c r="BG196" s="333">
        <f t="shared" si="15"/>
        <v>27.77948884</v>
      </c>
      <c r="BH196" s="334"/>
      <c r="BI196" s="316"/>
      <c r="BJ196" s="318"/>
      <c r="BK196" s="318"/>
      <c r="BL196" s="318"/>
      <c r="BM196" s="318"/>
      <c r="BN196" s="318"/>
      <c r="BO196" s="318"/>
      <c r="BP196" s="318"/>
      <c r="BQ196" s="338"/>
      <c r="BR196" s="420"/>
      <c r="BS196" s="330">
        <f t="shared" si="16"/>
        <v>0</v>
      </c>
      <c r="BT196" s="331">
        <f t="shared" si="17"/>
        <v>0</v>
      </c>
      <c r="BU196" s="331"/>
      <c r="BV196" s="333"/>
      <c r="BW196" s="330"/>
      <c r="BX196" s="331"/>
      <c r="BY196" s="331"/>
      <c r="BZ196" s="340"/>
      <c r="CA196" s="316"/>
      <c r="CB196" s="318"/>
      <c r="CC196" s="318"/>
      <c r="CD196" s="318"/>
      <c r="CE196" s="318"/>
      <c r="CF196" s="318"/>
      <c r="CG196" s="318"/>
      <c r="CH196" s="318"/>
      <c r="CI196" s="338"/>
      <c r="CJ196" s="341"/>
      <c r="CK196" s="342">
        <f t="shared" si="18"/>
        <v>0</v>
      </c>
      <c r="CL196" s="333">
        <f t="shared" si="19"/>
        <v>0</v>
      </c>
      <c r="CM196" s="421" t="s">
        <v>1098</v>
      </c>
      <c r="CN196" s="416"/>
      <c r="CO196" s="416"/>
      <c r="CP196" s="416"/>
    </row>
    <row r="197">
      <c r="A197" s="315" t="s">
        <v>25</v>
      </c>
      <c r="B197" s="316"/>
      <c r="C197" s="417">
        <v>43664.0</v>
      </c>
      <c r="D197" s="318"/>
      <c r="E197" s="319">
        <v>15.0</v>
      </c>
      <c r="F197" s="332"/>
      <c r="G197" s="321">
        <v>0.6468865740740741</v>
      </c>
      <c r="H197" s="323">
        <v>0.6474652777777777</v>
      </c>
      <c r="I197" s="323"/>
      <c r="J197" s="323"/>
      <c r="K197" s="323">
        <v>0.65625</v>
      </c>
      <c r="L197" s="322">
        <f t="shared" si="7"/>
        <v>0.009363425926</v>
      </c>
      <c r="M197" s="319" t="s">
        <v>358</v>
      </c>
      <c r="N197" s="324" t="s">
        <v>187</v>
      </c>
      <c r="O197" s="419" t="s">
        <v>1076</v>
      </c>
      <c r="P197" s="319" t="s">
        <v>235</v>
      </c>
      <c r="Q197" s="318"/>
      <c r="R197" s="326">
        <v>18.0</v>
      </c>
      <c r="S197" s="319">
        <v>8.0</v>
      </c>
      <c r="T197" s="332"/>
      <c r="U197" s="319">
        <v>6.0</v>
      </c>
      <c r="V197" s="319"/>
      <c r="W197" s="319"/>
      <c r="X197" s="319"/>
      <c r="Y197" s="319"/>
      <c r="Z197" s="319" t="s">
        <v>1095</v>
      </c>
      <c r="AA197" s="319"/>
      <c r="AB197" s="318"/>
      <c r="AC197" s="327">
        <v>2.5</v>
      </c>
      <c r="AD197" s="319"/>
      <c r="AE197" s="319"/>
      <c r="AF197" s="319"/>
      <c r="AG197" s="319"/>
      <c r="AH197" s="319"/>
      <c r="AI197" s="319"/>
      <c r="AJ197" s="327"/>
      <c r="AK197" s="328"/>
      <c r="AL197" s="319"/>
      <c r="AM197" s="319"/>
      <c r="AN197" s="319"/>
      <c r="AO197" s="319"/>
      <c r="AP197" s="319"/>
      <c r="AQ197" s="319"/>
      <c r="AR197" s="319"/>
      <c r="AS197" s="327"/>
      <c r="AT197" s="344"/>
      <c r="AU197" s="345" t="s">
        <v>845</v>
      </c>
      <c r="AV197" s="330">
        <f>SQRT(($R197-Infrastructure!J$3)^2+($S197-Infrastructure!K$3)^2)</f>
        <v>27.77948884</v>
      </c>
      <c r="AW197" s="331">
        <f>SQRT(($R197-Infrastructure!J$4)^2+($S197-Infrastructure!K$4)^2)</f>
        <v>20.75885353</v>
      </c>
      <c r="AX197" s="331">
        <f>SQRT(($R197-Infrastructure!J$5)^2+($S197-Infrastructure!K$5)^2)</f>
        <v>18.52835665</v>
      </c>
      <c r="AY197" s="331">
        <f>SQRT(($R197-Infrastructure!J$6)^2+($S197-Infrastructure!K$6)^2)</f>
        <v>11.0317723</v>
      </c>
      <c r="AZ197" s="331">
        <f>SQRT(($R197-Infrastructure!J$7)^2+($S197-Infrastructure!K$7)^2)</f>
        <v>8.095677859</v>
      </c>
      <c r="BA197" s="331">
        <f>SQRT(($R197-Infrastructure!J$8)^2+($S197-Infrastructure!K$8)^2)</f>
        <v>14.34224529</v>
      </c>
      <c r="BB197" s="331">
        <f>SQRT(($R197-Infrastructure!J$9)^2+($S197-Infrastructure!K$9)^2)</f>
        <v>22.1903132</v>
      </c>
      <c r="BC197" s="331">
        <f>SQRT(($R197-Infrastructure!J$10)^2+($S197-Infrastructure!K$10)^2)</f>
        <v>23.08679276</v>
      </c>
      <c r="BD197" s="318"/>
      <c r="BE197" s="332"/>
      <c r="BF197" s="330">
        <f t="shared" si="14"/>
        <v>8.095677859</v>
      </c>
      <c r="BG197" s="333">
        <f t="shared" si="15"/>
        <v>27.77948884</v>
      </c>
      <c r="BH197" s="334"/>
      <c r="BI197" s="316"/>
      <c r="BJ197" s="318"/>
      <c r="BK197" s="318"/>
      <c r="BL197" s="318"/>
      <c r="BM197" s="318"/>
      <c r="BN197" s="318"/>
      <c r="BO197" s="318"/>
      <c r="BP197" s="318"/>
      <c r="BQ197" s="338"/>
      <c r="BR197" s="420"/>
      <c r="BS197" s="330">
        <f t="shared" si="16"/>
        <v>0</v>
      </c>
      <c r="BT197" s="331">
        <f t="shared" si="17"/>
        <v>0</v>
      </c>
      <c r="BU197" s="331"/>
      <c r="BV197" s="333"/>
      <c r="BW197" s="330"/>
      <c r="BX197" s="331"/>
      <c r="BY197" s="331"/>
      <c r="BZ197" s="340"/>
      <c r="CA197" s="316"/>
      <c r="CB197" s="318"/>
      <c r="CC197" s="318"/>
      <c r="CD197" s="318"/>
      <c r="CE197" s="318"/>
      <c r="CF197" s="318"/>
      <c r="CG197" s="318"/>
      <c r="CH197" s="318"/>
      <c r="CI197" s="338"/>
      <c r="CJ197" s="341"/>
      <c r="CK197" s="342">
        <f t="shared" si="18"/>
        <v>0</v>
      </c>
      <c r="CL197" s="333">
        <f t="shared" si="19"/>
        <v>0</v>
      </c>
      <c r="CM197" s="421" t="s">
        <v>1099</v>
      </c>
      <c r="CN197" s="416"/>
      <c r="CO197" s="416"/>
      <c r="CP197" s="416"/>
    </row>
    <row r="198">
      <c r="A198" s="315" t="s">
        <v>25</v>
      </c>
      <c r="B198" s="316"/>
      <c r="C198" s="417">
        <v>43664.0</v>
      </c>
      <c r="D198" s="318"/>
      <c r="E198" s="319">
        <v>15.0</v>
      </c>
      <c r="F198" s="332"/>
      <c r="G198" s="321">
        <v>0.65625</v>
      </c>
      <c r="H198" s="323">
        <v>0.65625</v>
      </c>
      <c r="I198" s="323"/>
      <c r="J198" s="323"/>
      <c r="K198" s="323">
        <v>0.6583333333333333</v>
      </c>
      <c r="L198" s="322">
        <f t="shared" si="7"/>
        <v>0.002083333333</v>
      </c>
      <c r="M198" s="319" t="s">
        <v>358</v>
      </c>
      <c r="N198" s="324" t="s">
        <v>187</v>
      </c>
      <c r="O198" s="419" t="s">
        <v>1076</v>
      </c>
      <c r="P198" s="319" t="s">
        <v>235</v>
      </c>
      <c r="Q198" s="318"/>
      <c r="R198" s="326">
        <v>18.0</v>
      </c>
      <c r="S198" s="319">
        <v>8.0</v>
      </c>
      <c r="T198" s="332"/>
      <c r="U198" s="319">
        <v>5.0</v>
      </c>
      <c r="V198" s="319"/>
      <c r="W198" s="319"/>
      <c r="X198" s="319"/>
      <c r="Y198" s="319"/>
      <c r="Z198" s="319" t="s">
        <v>1095</v>
      </c>
      <c r="AA198" s="319"/>
      <c r="AB198" s="318"/>
      <c r="AC198" s="327">
        <v>2.5</v>
      </c>
      <c r="AD198" s="319"/>
      <c r="AE198" s="319"/>
      <c r="AF198" s="319"/>
      <c r="AG198" s="319"/>
      <c r="AH198" s="319"/>
      <c r="AI198" s="319"/>
      <c r="AJ198" s="327"/>
      <c r="AK198" s="328"/>
      <c r="AL198" s="319"/>
      <c r="AM198" s="319"/>
      <c r="AN198" s="319"/>
      <c r="AO198" s="319"/>
      <c r="AP198" s="319"/>
      <c r="AQ198" s="319"/>
      <c r="AR198" s="319"/>
      <c r="AS198" s="327"/>
      <c r="AT198" s="344"/>
      <c r="AU198" s="345" t="s">
        <v>845</v>
      </c>
      <c r="AV198" s="330">
        <f>SQRT(($R198-Infrastructure!J$3)^2+($S198-Infrastructure!K$3)^2)</f>
        <v>27.77948884</v>
      </c>
      <c r="AW198" s="331">
        <f>SQRT(($R198-Infrastructure!J$4)^2+($S198-Infrastructure!K$4)^2)</f>
        <v>20.75885353</v>
      </c>
      <c r="AX198" s="331">
        <f>SQRT(($R198-Infrastructure!J$5)^2+($S198-Infrastructure!K$5)^2)</f>
        <v>18.52835665</v>
      </c>
      <c r="AY198" s="331">
        <f>SQRT(($R198-Infrastructure!J$6)^2+($S198-Infrastructure!K$6)^2)</f>
        <v>11.0317723</v>
      </c>
      <c r="AZ198" s="331">
        <f>SQRT(($R198-Infrastructure!J$7)^2+($S198-Infrastructure!K$7)^2)</f>
        <v>8.095677859</v>
      </c>
      <c r="BA198" s="331">
        <f>SQRT(($R198-Infrastructure!J$8)^2+($S198-Infrastructure!K$8)^2)</f>
        <v>14.34224529</v>
      </c>
      <c r="BB198" s="331">
        <f>SQRT(($R198-Infrastructure!J$9)^2+($S198-Infrastructure!K$9)^2)</f>
        <v>22.1903132</v>
      </c>
      <c r="BC198" s="331">
        <f>SQRT(($R198-Infrastructure!J$10)^2+($S198-Infrastructure!K$10)^2)</f>
        <v>23.08679276</v>
      </c>
      <c r="BD198" s="318"/>
      <c r="BE198" s="332"/>
      <c r="BF198" s="330">
        <f t="shared" si="14"/>
        <v>8.095677859</v>
      </c>
      <c r="BG198" s="333">
        <f t="shared" si="15"/>
        <v>27.77948884</v>
      </c>
      <c r="BH198" s="334"/>
      <c r="BI198" s="316"/>
      <c r="BJ198" s="318"/>
      <c r="BK198" s="318"/>
      <c r="BL198" s="318"/>
      <c r="BM198" s="318"/>
      <c r="BN198" s="318"/>
      <c r="BO198" s="318"/>
      <c r="BP198" s="318"/>
      <c r="BQ198" s="338"/>
      <c r="BR198" s="420"/>
      <c r="BS198" s="330">
        <f t="shared" si="16"/>
        <v>0</v>
      </c>
      <c r="BT198" s="331">
        <f t="shared" si="17"/>
        <v>0</v>
      </c>
      <c r="BU198" s="331"/>
      <c r="BV198" s="333"/>
      <c r="BW198" s="330"/>
      <c r="BX198" s="331"/>
      <c r="BY198" s="331"/>
      <c r="BZ198" s="340"/>
      <c r="CA198" s="316"/>
      <c r="CB198" s="318"/>
      <c r="CC198" s="318"/>
      <c r="CD198" s="318"/>
      <c r="CE198" s="318"/>
      <c r="CF198" s="318"/>
      <c r="CG198" s="318"/>
      <c r="CH198" s="318"/>
      <c r="CI198" s="338"/>
      <c r="CJ198" s="341"/>
      <c r="CK198" s="342">
        <f t="shared" si="18"/>
        <v>0</v>
      </c>
      <c r="CL198" s="333">
        <f t="shared" si="19"/>
        <v>0</v>
      </c>
      <c r="CM198" s="421" t="s">
        <v>1100</v>
      </c>
      <c r="CN198" s="416"/>
      <c r="CO198" s="416"/>
      <c r="CP198" s="416"/>
    </row>
    <row r="199">
      <c r="A199" s="315" t="s">
        <v>25</v>
      </c>
      <c r="B199" s="316"/>
      <c r="C199" s="417">
        <v>43664.0</v>
      </c>
      <c r="D199" s="318"/>
      <c r="E199" s="319">
        <v>15.0</v>
      </c>
      <c r="F199" s="332"/>
      <c r="G199" s="321">
        <v>0.6583333333333333</v>
      </c>
      <c r="H199" s="323">
        <v>0.6583333333333333</v>
      </c>
      <c r="I199" s="323"/>
      <c r="J199" s="323"/>
      <c r="K199" s="323">
        <v>0.6638888888888889</v>
      </c>
      <c r="L199" s="322">
        <f t="shared" si="7"/>
        <v>0.005555555556</v>
      </c>
      <c r="M199" s="319" t="s">
        <v>358</v>
      </c>
      <c r="N199" s="324" t="s">
        <v>187</v>
      </c>
      <c r="O199" s="419" t="s">
        <v>1076</v>
      </c>
      <c r="P199" s="319" t="s">
        <v>235</v>
      </c>
      <c r="Q199" s="318"/>
      <c r="R199" s="326">
        <v>18.0</v>
      </c>
      <c r="S199" s="319">
        <v>8.0</v>
      </c>
      <c r="T199" s="332"/>
      <c r="U199" s="319">
        <v>3.6</v>
      </c>
      <c r="V199" s="319"/>
      <c r="W199" s="319"/>
      <c r="X199" s="319"/>
      <c r="Y199" s="319"/>
      <c r="Z199" s="319" t="s">
        <v>1095</v>
      </c>
      <c r="AA199" s="319"/>
      <c r="AB199" s="318"/>
      <c r="AC199" s="327">
        <v>2.5</v>
      </c>
      <c r="AD199" s="319"/>
      <c r="AE199" s="319"/>
      <c r="AF199" s="319"/>
      <c r="AG199" s="319"/>
      <c r="AH199" s="319"/>
      <c r="AI199" s="319"/>
      <c r="AJ199" s="327"/>
      <c r="AK199" s="328"/>
      <c r="AL199" s="319"/>
      <c r="AM199" s="319"/>
      <c r="AN199" s="319"/>
      <c r="AO199" s="319"/>
      <c r="AP199" s="319"/>
      <c r="AQ199" s="319"/>
      <c r="AR199" s="319"/>
      <c r="AS199" s="327"/>
      <c r="AT199" s="344"/>
      <c r="AU199" s="345" t="s">
        <v>845</v>
      </c>
      <c r="AV199" s="330">
        <f>SQRT(($R199-Infrastructure!J$3)^2+($S199-Infrastructure!K$3)^2)</f>
        <v>27.77948884</v>
      </c>
      <c r="AW199" s="331">
        <f>SQRT(($R199-Infrastructure!J$4)^2+($S199-Infrastructure!K$4)^2)</f>
        <v>20.75885353</v>
      </c>
      <c r="AX199" s="331">
        <f>SQRT(($R199-Infrastructure!J$5)^2+($S199-Infrastructure!K$5)^2)</f>
        <v>18.52835665</v>
      </c>
      <c r="AY199" s="331">
        <f>SQRT(($R199-Infrastructure!J$6)^2+($S199-Infrastructure!K$6)^2)</f>
        <v>11.0317723</v>
      </c>
      <c r="AZ199" s="331">
        <f>SQRT(($R199-Infrastructure!J$7)^2+($S199-Infrastructure!K$7)^2)</f>
        <v>8.095677859</v>
      </c>
      <c r="BA199" s="331">
        <f>SQRT(($R199-Infrastructure!J$8)^2+($S199-Infrastructure!K$8)^2)</f>
        <v>14.34224529</v>
      </c>
      <c r="BB199" s="331">
        <f>SQRT(($R199-Infrastructure!J$9)^2+($S199-Infrastructure!K$9)^2)</f>
        <v>22.1903132</v>
      </c>
      <c r="BC199" s="331">
        <f>SQRT(($R199-Infrastructure!J$10)^2+($S199-Infrastructure!K$10)^2)</f>
        <v>23.08679276</v>
      </c>
      <c r="BD199" s="318"/>
      <c r="BE199" s="332"/>
      <c r="BF199" s="330">
        <f t="shared" si="14"/>
        <v>8.095677859</v>
      </c>
      <c r="BG199" s="333">
        <f t="shared" si="15"/>
        <v>27.77948884</v>
      </c>
      <c r="BH199" s="334"/>
      <c r="BI199" s="316"/>
      <c r="BJ199" s="318"/>
      <c r="BK199" s="318"/>
      <c r="BL199" s="318"/>
      <c r="BM199" s="318"/>
      <c r="BN199" s="318"/>
      <c r="BO199" s="318"/>
      <c r="BP199" s="318"/>
      <c r="BQ199" s="338"/>
      <c r="BR199" s="420"/>
      <c r="BS199" s="330">
        <f t="shared" si="16"/>
        <v>0</v>
      </c>
      <c r="BT199" s="331">
        <f t="shared" si="17"/>
        <v>0</v>
      </c>
      <c r="BU199" s="331"/>
      <c r="BV199" s="333"/>
      <c r="BW199" s="330"/>
      <c r="BX199" s="331"/>
      <c r="BY199" s="331"/>
      <c r="BZ199" s="340"/>
      <c r="CA199" s="316"/>
      <c r="CB199" s="318"/>
      <c r="CC199" s="318"/>
      <c r="CD199" s="318"/>
      <c r="CE199" s="318"/>
      <c r="CF199" s="318"/>
      <c r="CG199" s="318"/>
      <c r="CH199" s="318"/>
      <c r="CI199" s="338"/>
      <c r="CJ199" s="341"/>
      <c r="CK199" s="342">
        <f t="shared" si="18"/>
        <v>0</v>
      </c>
      <c r="CL199" s="333">
        <f t="shared" si="19"/>
        <v>0</v>
      </c>
      <c r="CM199" s="421" t="s">
        <v>1100</v>
      </c>
      <c r="CN199" s="416"/>
      <c r="CO199" s="416"/>
      <c r="CP199" s="416"/>
    </row>
    <row r="200">
      <c r="A200" s="315" t="s">
        <v>25</v>
      </c>
      <c r="B200" s="316"/>
      <c r="C200" s="417">
        <v>43664.0</v>
      </c>
      <c r="D200" s="318"/>
      <c r="E200" s="319">
        <v>15.0</v>
      </c>
      <c r="F200" s="332"/>
      <c r="G200" s="321">
        <v>0.6638888888888889</v>
      </c>
      <c r="H200" s="323">
        <v>0.6638888888888889</v>
      </c>
      <c r="I200" s="323"/>
      <c r="J200" s="323"/>
      <c r="K200" s="323">
        <v>0.6666666666666666</v>
      </c>
      <c r="L200" s="322">
        <f t="shared" si="7"/>
        <v>0.002777777778</v>
      </c>
      <c r="M200" s="319" t="s">
        <v>358</v>
      </c>
      <c r="N200" s="324" t="s">
        <v>187</v>
      </c>
      <c r="O200" s="419" t="s">
        <v>1076</v>
      </c>
      <c r="P200" s="319" t="s">
        <v>235</v>
      </c>
      <c r="Q200" s="318"/>
      <c r="R200" s="326">
        <v>18.0</v>
      </c>
      <c r="S200" s="319">
        <v>8.0</v>
      </c>
      <c r="T200" s="332"/>
      <c r="U200" s="319">
        <v>2.0</v>
      </c>
      <c r="V200" s="319"/>
      <c r="W200" s="319"/>
      <c r="X200" s="319"/>
      <c r="Y200" s="319"/>
      <c r="Z200" s="319" t="s">
        <v>1095</v>
      </c>
      <c r="AA200" s="319"/>
      <c r="AB200" s="318"/>
      <c r="AC200" s="327">
        <v>2.5</v>
      </c>
      <c r="AD200" s="319"/>
      <c r="AE200" s="319"/>
      <c r="AF200" s="319"/>
      <c r="AG200" s="319"/>
      <c r="AH200" s="319"/>
      <c r="AI200" s="319"/>
      <c r="AJ200" s="327"/>
      <c r="AK200" s="328"/>
      <c r="AL200" s="319"/>
      <c r="AM200" s="319"/>
      <c r="AN200" s="319"/>
      <c r="AO200" s="319"/>
      <c r="AP200" s="319"/>
      <c r="AQ200" s="319"/>
      <c r="AR200" s="319"/>
      <c r="AS200" s="327"/>
      <c r="AT200" s="344"/>
      <c r="AU200" s="345" t="s">
        <v>845</v>
      </c>
      <c r="AV200" s="330">
        <f>SQRT(($R200-Infrastructure!J$3)^2+($S200-Infrastructure!K$3)^2)</f>
        <v>27.77948884</v>
      </c>
      <c r="AW200" s="331">
        <f>SQRT(($R200-Infrastructure!J$4)^2+($S200-Infrastructure!K$4)^2)</f>
        <v>20.75885353</v>
      </c>
      <c r="AX200" s="331">
        <f>SQRT(($R200-Infrastructure!J$5)^2+($S200-Infrastructure!K$5)^2)</f>
        <v>18.52835665</v>
      </c>
      <c r="AY200" s="331">
        <f>SQRT(($R200-Infrastructure!J$6)^2+($S200-Infrastructure!K$6)^2)</f>
        <v>11.0317723</v>
      </c>
      <c r="AZ200" s="331">
        <f>SQRT(($R200-Infrastructure!J$7)^2+($S200-Infrastructure!K$7)^2)</f>
        <v>8.095677859</v>
      </c>
      <c r="BA200" s="331">
        <f>SQRT(($R200-Infrastructure!J$8)^2+($S200-Infrastructure!K$8)^2)</f>
        <v>14.34224529</v>
      </c>
      <c r="BB200" s="331">
        <f>SQRT(($R200-Infrastructure!J$9)^2+($S200-Infrastructure!K$9)^2)</f>
        <v>22.1903132</v>
      </c>
      <c r="BC200" s="331">
        <f>SQRT(($R200-Infrastructure!J$10)^2+($S200-Infrastructure!K$10)^2)</f>
        <v>23.08679276</v>
      </c>
      <c r="BD200" s="318"/>
      <c r="BE200" s="332"/>
      <c r="BF200" s="330">
        <f t="shared" si="14"/>
        <v>8.095677859</v>
      </c>
      <c r="BG200" s="333">
        <f t="shared" si="15"/>
        <v>27.77948884</v>
      </c>
      <c r="BH200" s="334"/>
      <c r="BI200" s="316"/>
      <c r="BJ200" s="318"/>
      <c r="BK200" s="318"/>
      <c r="BL200" s="318"/>
      <c r="BM200" s="318"/>
      <c r="BN200" s="318"/>
      <c r="BO200" s="318"/>
      <c r="BP200" s="318"/>
      <c r="BQ200" s="338"/>
      <c r="BR200" s="420"/>
      <c r="BS200" s="330">
        <f t="shared" si="16"/>
        <v>0</v>
      </c>
      <c r="BT200" s="331">
        <f t="shared" si="17"/>
        <v>0</v>
      </c>
      <c r="BU200" s="331"/>
      <c r="BV200" s="333"/>
      <c r="BW200" s="330"/>
      <c r="BX200" s="331"/>
      <c r="BY200" s="331"/>
      <c r="BZ200" s="340"/>
      <c r="CA200" s="316"/>
      <c r="CB200" s="318"/>
      <c r="CC200" s="318"/>
      <c r="CD200" s="318"/>
      <c r="CE200" s="318"/>
      <c r="CF200" s="318"/>
      <c r="CG200" s="318"/>
      <c r="CH200" s="318"/>
      <c r="CI200" s="338"/>
      <c r="CJ200" s="341"/>
      <c r="CK200" s="342">
        <f t="shared" si="18"/>
        <v>0</v>
      </c>
      <c r="CL200" s="333">
        <f t="shared" si="19"/>
        <v>0</v>
      </c>
      <c r="CM200" s="421" t="s">
        <v>1100</v>
      </c>
      <c r="CN200" s="416"/>
      <c r="CO200" s="416"/>
      <c r="CP200" s="416"/>
    </row>
    <row r="201">
      <c r="A201" s="315" t="s">
        <v>25</v>
      </c>
      <c r="B201" s="316"/>
      <c r="C201" s="417">
        <v>43664.0</v>
      </c>
      <c r="D201" s="318"/>
      <c r="E201" s="319">
        <v>15.0</v>
      </c>
      <c r="F201" s="332"/>
      <c r="G201" s="321">
        <v>0.6666666666666666</v>
      </c>
      <c r="H201" s="323">
        <v>0.6666666666666666</v>
      </c>
      <c r="I201" s="323"/>
      <c r="J201" s="323"/>
      <c r="K201" s="323">
        <v>0.6687731481481481</v>
      </c>
      <c r="L201" s="322">
        <f t="shared" si="7"/>
        <v>0.002106481481</v>
      </c>
      <c r="M201" s="319" t="s">
        <v>358</v>
      </c>
      <c r="N201" s="324" t="s">
        <v>187</v>
      </c>
      <c r="O201" s="419" t="s">
        <v>1076</v>
      </c>
      <c r="P201" s="319" t="s">
        <v>235</v>
      </c>
      <c r="Q201" s="318"/>
      <c r="R201" s="326">
        <v>18.0</v>
      </c>
      <c r="S201" s="319">
        <v>8.0</v>
      </c>
      <c r="T201" s="332"/>
      <c r="U201" s="319">
        <v>0.7</v>
      </c>
      <c r="V201" s="319"/>
      <c r="W201" s="319"/>
      <c r="X201" s="319"/>
      <c r="Y201" s="319"/>
      <c r="Z201" s="319" t="s">
        <v>1095</v>
      </c>
      <c r="AA201" s="319"/>
      <c r="AB201" s="318"/>
      <c r="AC201" s="327">
        <v>2.5</v>
      </c>
      <c r="AD201" s="319"/>
      <c r="AE201" s="319"/>
      <c r="AF201" s="319"/>
      <c r="AG201" s="319"/>
      <c r="AH201" s="319"/>
      <c r="AI201" s="319"/>
      <c r="AJ201" s="327"/>
      <c r="AK201" s="328"/>
      <c r="AL201" s="319"/>
      <c r="AM201" s="319"/>
      <c r="AN201" s="319"/>
      <c r="AO201" s="319"/>
      <c r="AP201" s="319"/>
      <c r="AQ201" s="319"/>
      <c r="AR201" s="319"/>
      <c r="AS201" s="327"/>
      <c r="AT201" s="344"/>
      <c r="AU201" s="345" t="s">
        <v>845</v>
      </c>
      <c r="AV201" s="330">
        <f>SQRT(($R201-Infrastructure!J$3)^2+($S201-Infrastructure!K$3)^2)</f>
        <v>27.77948884</v>
      </c>
      <c r="AW201" s="331">
        <f>SQRT(($R201-Infrastructure!J$4)^2+($S201-Infrastructure!K$4)^2)</f>
        <v>20.75885353</v>
      </c>
      <c r="AX201" s="331">
        <f>SQRT(($R201-Infrastructure!J$5)^2+($S201-Infrastructure!K$5)^2)</f>
        <v>18.52835665</v>
      </c>
      <c r="AY201" s="331">
        <f>SQRT(($R201-Infrastructure!J$6)^2+($S201-Infrastructure!K$6)^2)</f>
        <v>11.0317723</v>
      </c>
      <c r="AZ201" s="331">
        <f>SQRT(($R201-Infrastructure!J$7)^2+($S201-Infrastructure!K$7)^2)</f>
        <v>8.095677859</v>
      </c>
      <c r="BA201" s="331">
        <f>SQRT(($R201-Infrastructure!J$8)^2+($S201-Infrastructure!K$8)^2)</f>
        <v>14.34224529</v>
      </c>
      <c r="BB201" s="331">
        <f>SQRT(($R201-Infrastructure!J$9)^2+($S201-Infrastructure!K$9)^2)</f>
        <v>22.1903132</v>
      </c>
      <c r="BC201" s="331">
        <f>SQRT(($R201-Infrastructure!J$10)^2+($S201-Infrastructure!K$10)^2)</f>
        <v>23.08679276</v>
      </c>
      <c r="BD201" s="318"/>
      <c r="BE201" s="332"/>
      <c r="BF201" s="330">
        <f t="shared" si="14"/>
        <v>8.095677859</v>
      </c>
      <c r="BG201" s="333">
        <f t="shared" si="15"/>
        <v>27.77948884</v>
      </c>
      <c r="BH201" s="334"/>
      <c r="BI201" s="316"/>
      <c r="BJ201" s="318"/>
      <c r="BK201" s="318"/>
      <c r="BL201" s="318"/>
      <c r="BM201" s="318"/>
      <c r="BN201" s="318"/>
      <c r="BO201" s="318"/>
      <c r="BP201" s="318"/>
      <c r="BQ201" s="338"/>
      <c r="BR201" s="420"/>
      <c r="BS201" s="330">
        <f t="shared" si="16"/>
        <v>0</v>
      </c>
      <c r="BT201" s="331">
        <f t="shared" si="17"/>
        <v>0</v>
      </c>
      <c r="BU201" s="331"/>
      <c r="BV201" s="333"/>
      <c r="BW201" s="330"/>
      <c r="BX201" s="331"/>
      <c r="BY201" s="331"/>
      <c r="BZ201" s="340"/>
      <c r="CA201" s="316"/>
      <c r="CB201" s="318"/>
      <c r="CC201" s="318"/>
      <c r="CD201" s="318"/>
      <c r="CE201" s="318"/>
      <c r="CF201" s="318"/>
      <c r="CG201" s="318"/>
      <c r="CH201" s="318"/>
      <c r="CI201" s="338"/>
      <c r="CJ201" s="341"/>
      <c r="CK201" s="342">
        <f t="shared" si="18"/>
        <v>0</v>
      </c>
      <c r="CL201" s="333">
        <f t="shared" si="19"/>
        <v>0</v>
      </c>
      <c r="CM201" s="421" t="s">
        <v>1100</v>
      </c>
      <c r="CN201" s="416"/>
      <c r="CO201" s="416"/>
      <c r="CP201" s="416"/>
    </row>
    <row r="202">
      <c r="A202" s="315" t="s">
        <v>25</v>
      </c>
      <c r="B202" s="316"/>
      <c r="C202" s="417">
        <v>43669.0</v>
      </c>
      <c r="D202" s="318"/>
      <c r="E202" s="319">
        <v>1.0</v>
      </c>
      <c r="F202" s="332"/>
      <c r="G202" s="321">
        <v>0.5931712962962963</v>
      </c>
      <c r="H202" s="323">
        <v>0.5937037037037037</v>
      </c>
      <c r="I202" s="323"/>
      <c r="J202" s="323"/>
      <c r="K202" s="323">
        <v>0.602037037037037</v>
      </c>
      <c r="L202" s="322">
        <f t="shared" si="7"/>
        <v>0.008865740741</v>
      </c>
      <c r="M202" s="319" t="s">
        <v>168</v>
      </c>
      <c r="N202" s="324" t="s">
        <v>187</v>
      </c>
      <c r="O202" s="419" t="s">
        <v>1071</v>
      </c>
      <c r="P202" s="319" t="s">
        <v>220</v>
      </c>
      <c r="Q202" s="318"/>
      <c r="R202" s="326">
        <v>24.5</v>
      </c>
      <c r="S202" s="319">
        <v>7.5</v>
      </c>
      <c r="T202" s="324">
        <v>0.6</v>
      </c>
      <c r="U202" s="319">
        <v>1.0</v>
      </c>
      <c r="V202" s="319"/>
      <c r="W202" s="319"/>
      <c r="X202" s="319"/>
      <c r="Y202" s="319"/>
      <c r="Z202" s="319" t="s">
        <v>331</v>
      </c>
      <c r="AA202" s="319"/>
      <c r="AB202" s="318"/>
      <c r="AC202" s="327">
        <v>1.5</v>
      </c>
      <c r="AD202" s="319"/>
      <c r="AE202" s="319"/>
      <c r="AF202" s="319"/>
      <c r="AG202" s="319"/>
      <c r="AH202" s="319"/>
      <c r="AI202" s="319"/>
      <c r="AJ202" s="327"/>
      <c r="AK202" s="328"/>
      <c r="AL202" s="319"/>
      <c r="AM202" s="319"/>
      <c r="AN202" s="319"/>
      <c r="AO202" s="319"/>
      <c r="AP202" s="319"/>
      <c r="AQ202" s="319"/>
      <c r="AR202" s="319"/>
      <c r="AS202" s="327"/>
      <c r="AT202" s="344"/>
      <c r="AU202" s="345" t="s">
        <v>845</v>
      </c>
      <c r="AV202" s="330">
        <f>SQRT(($R202-Infrastructure!J$3)^2+($S202-Infrastructure!K$3)^2)</f>
        <v>32.75667871</v>
      </c>
      <c r="AW202" s="331">
        <f>SQRT(($R202-Infrastructure!J$4)^2+($S202-Infrastructure!K$4)^2)</f>
        <v>26.85386378</v>
      </c>
      <c r="AX202" s="331">
        <f>SQRT(($R202-Infrastructure!J$5)^2+($S202-Infrastructure!K$5)^2)</f>
        <v>24.9158584</v>
      </c>
      <c r="AY202" s="331">
        <f>SQRT(($R202-Infrastructure!J$6)^2+($S202-Infrastructure!K$6)^2)</f>
        <v>16.09968944</v>
      </c>
      <c r="AZ202" s="331">
        <f>SQRT(($R202-Infrastructure!J$7)^2+($S202-Infrastructure!K$7)^2)</f>
        <v>8.236504113</v>
      </c>
      <c r="BA202" s="331">
        <f>SQRT(($R202-Infrastructure!J$8)^2+($S202-Infrastructure!K$8)^2)</f>
        <v>9.121403401</v>
      </c>
      <c r="BB202" s="331">
        <f>SQRT(($R202-Infrastructure!J$9)^2+($S202-Infrastructure!K$9)^2)</f>
        <v>15.68470593</v>
      </c>
      <c r="BC202" s="331">
        <f>SQRT(($R202-Infrastructure!J$10)^2+($S202-Infrastructure!K$10)^2)</f>
        <v>17.21917536</v>
      </c>
      <c r="BD202" s="318"/>
      <c r="BE202" s="332"/>
      <c r="BF202" s="330">
        <f t="shared" si="14"/>
        <v>8.236504113</v>
      </c>
      <c r="BG202" s="333">
        <f t="shared" si="15"/>
        <v>32.75667871</v>
      </c>
      <c r="BH202" s="334"/>
      <c r="BI202" s="316"/>
      <c r="BJ202" s="318"/>
      <c r="BK202" s="318"/>
      <c r="BL202" s="318"/>
      <c r="BM202" s="318"/>
      <c r="BN202" s="318"/>
      <c r="BO202" s="318"/>
      <c r="BP202" s="318"/>
      <c r="BQ202" s="338"/>
      <c r="BR202" s="420"/>
      <c r="BS202" s="330">
        <f t="shared" si="16"/>
        <v>0</v>
      </c>
      <c r="BT202" s="331">
        <f t="shared" si="17"/>
        <v>0</v>
      </c>
      <c r="BU202" s="331"/>
      <c r="BV202" s="333"/>
      <c r="BW202" s="330"/>
      <c r="BX202" s="331"/>
      <c r="BY202" s="331"/>
      <c r="BZ202" s="340"/>
      <c r="CA202" s="316"/>
      <c r="CB202" s="318"/>
      <c r="CC202" s="318"/>
      <c r="CD202" s="318"/>
      <c r="CE202" s="318"/>
      <c r="CF202" s="318"/>
      <c r="CG202" s="318"/>
      <c r="CH202" s="318"/>
      <c r="CI202" s="338"/>
      <c r="CJ202" s="341"/>
      <c r="CK202" s="342">
        <f t="shared" si="18"/>
        <v>0</v>
      </c>
      <c r="CL202" s="333">
        <f t="shared" si="19"/>
        <v>0</v>
      </c>
      <c r="CM202" s="423"/>
      <c r="CN202" s="424"/>
      <c r="CO202" s="424"/>
      <c r="CP202" s="424"/>
    </row>
    <row r="203">
      <c r="A203" s="315" t="s">
        <v>25</v>
      </c>
      <c r="B203" s="316"/>
      <c r="C203" s="417">
        <v>43669.0</v>
      </c>
      <c r="D203" s="318"/>
      <c r="E203" s="319">
        <v>2.0</v>
      </c>
      <c r="F203" s="332"/>
      <c r="G203" s="321">
        <v>0.6033564814814815</v>
      </c>
      <c r="H203" s="323">
        <v>0.6039583333333334</v>
      </c>
      <c r="I203" s="323"/>
      <c r="J203" s="323"/>
      <c r="K203" s="323">
        <v>0.605625</v>
      </c>
      <c r="L203" s="322">
        <f t="shared" si="7"/>
        <v>0.002268518519</v>
      </c>
      <c r="M203" s="319" t="s">
        <v>168</v>
      </c>
      <c r="N203" s="324" t="s">
        <v>187</v>
      </c>
      <c r="O203" s="419" t="s">
        <v>1071</v>
      </c>
      <c r="P203" s="319" t="s">
        <v>220</v>
      </c>
      <c r="Q203" s="318"/>
      <c r="R203" s="326">
        <v>24.5</v>
      </c>
      <c r="S203" s="319">
        <v>7.5</v>
      </c>
      <c r="T203" s="324">
        <v>0.6</v>
      </c>
      <c r="U203" s="319">
        <v>3.0</v>
      </c>
      <c r="V203" s="319"/>
      <c r="W203" s="319"/>
      <c r="X203" s="319"/>
      <c r="Y203" s="319"/>
      <c r="Z203" s="319" t="s">
        <v>331</v>
      </c>
      <c r="AA203" s="319"/>
      <c r="AB203" s="318"/>
      <c r="AC203" s="327">
        <v>1.5</v>
      </c>
      <c r="AD203" s="319"/>
      <c r="AE203" s="319"/>
      <c r="AF203" s="319"/>
      <c r="AG203" s="319"/>
      <c r="AH203" s="319"/>
      <c r="AI203" s="319"/>
      <c r="AJ203" s="327"/>
      <c r="AK203" s="328"/>
      <c r="AL203" s="319"/>
      <c r="AM203" s="319"/>
      <c r="AN203" s="319"/>
      <c r="AO203" s="319"/>
      <c r="AP203" s="319"/>
      <c r="AQ203" s="319"/>
      <c r="AR203" s="319"/>
      <c r="AS203" s="327"/>
      <c r="AT203" s="344"/>
      <c r="AU203" s="345" t="s">
        <v>845</v>
      </c>
      <c r="AV203" s="330">
        <f>SQRT(($R203-Infrastructure!J$3)^2+($S203-Infrastructure!K$3)^2)</f>
        <v>32.75667871</v>
      </c>
      <c r="AW203" s="331">
        <f>SQRT(($R203-Infrastructure!J$4)^2+($S203-Infrastructure!K$4)^2)</f>
        <v>26.85386378</v>
      </c>
      <c r="AX203" s="331">
        <f>SQRT(($R203-Infrastructure!J$5)^2+($S203-Infrastructure!K$5)^2)</f>
        <v>24.9158584</v>
      </c>
      <c r="AY203" s="331">
        <f>SQRT(($R203-Infrastructure!J$6)^2+($S203-Infrastructure!K$6)^2)</f>
        <v>16.09968944</v>
      </c>
      <c r="AZ203" s="331">
        <f>SQRT(($R203-Infrastructure!J$7)^2+($S203-Infrastructure!K$7)^2)</f>
        <v>8.236504113</v>
      </c>
      <c r="BA203" s="331">
        <f>SQRT(($R203-Infrastructure!J$8)^2+($S203-Infrastructure!K$8)^2)</f>
        <v>9.121403401</v>
      </c>
      <c r="BB203" s="331">
        <f>SQRT(($R203-Infrastructure!J$9)^2+($S203-Infrastructure!K$9)^2)</f>
        <v>15.68470593</v>
      </c>
      <c r="BC203" s="331">
        <f>SQRT(($R203-Infrastructure!J$10)^2+($S203-Infrastructure!K$10)^2)</f>
        <v>17.21917536</v>
      </c>
      <c r="BD203" s="318"/>
      <c r="BE203" s="332"/>
      <c r="BF203" s="330">
        <f t="shared" si="14"/>
        <v>8.236504113</v>
      </c>
      <c r="BG203" s="333">
        <f t="shared" si="15"/>
        <v>32.75667871</v>
      </c>
      <c r="BH203" s="334"/>
      <c r="BI203" s="316"/>
      <c r="BJ203" s="318"/>
      <c r="BK203" s="318"/>
      <c r="BL203" s="318"/>
      <c r="BM203" s="318"/>
      <c r="BN203" s="318"/>
      <c r="BO203" s="318"/>
      <c r="BP203" s="318"/>
      <c r="BQ203" s="338"/>
      <c r="BR203" s="420"/>
      <c r="BS203" s="330">
        <f t="shared" si="16"/>
        <v>0</v>
      </c>
      <c r="BT203" s="331">
        <f t="shared" si="17"/>
        <v>0</v>
      </c>
      <c r="BU203" s="331"/>
      <c r="BV203" s="333"/>
      <c r="BW203" s="330"/>
      <c r="BX203" s="331"/>
      <c r="BY203" s="331"/>
      <c r="BZ203" s="340"/>
      <c r="CA203" s="316"/>
      <c r="CB203" s="318"/>
      <c r="CC203" s="318"/>
      <c r="CD203" s="318"/>
      <c r="CE203" s="318"/>
      <c r="CF203" s="318"/>
      <c r="CG203" s="318"/>
      <c r="CH203" s="318"/>
      <c r="CI203" s="338"/>
      <c r="CJ203" s="341"/>
      <c r="CK203" s="342">
        <f t="shared" si="18"/>
        <v>0</v>
      </c>
      <c r="CL203" s="333">
        <f t="shared" si="19"/>
        <v>0</v>
      </c>
      <c r="CM203" s="423"/>
      <c r="CN203" s="424"/>
      <c r="CO203" s="424"/>
      <c r="CP203" s="424"/>
    </row>
    <row r="204">
      <c r="A204" s="315" t="s">
        <v>25</v>
      </c>
      <c r="B204" s="316"/>
      <c r="C204" s="417">
        <v>43669.0</v>
      </c>
      <c r="D204" s="318"/>
      <c r="E204" s="319">
        <v>3.0</v>
      </c>
      <c r="F204" s="332"/>
      <c r="G204" s="321">
        <v>0.6083449074074074</v>
      </c>
      <c r="H204" s="323">
        <v>0.6087152777777778</v>
      </c>
      <c r="I204" s="323"/>
      <c r="J204" s="323"/>
      <c r="K204" s="323">
        <v>0.6104398148148148</v>
      </c>
      <c r="L204" s="322">
        <f t="shared" si="7"/>
        <v>0.002094907407</v>
      </c>
      <c r="M204" s="319" t="s">
        <v>168</v>
      </c>
      <c r="N204" s="324" t="s">
        <v>187</v>
      </c>
      <c r="O204" s="419" t="s">
        <v>1071</v>
      </c>
      <c r="P204" s="319" t="s">
        <v>220</v>
      </c>
      <c r="Q204" s="318"/>
      <c r="R204" s="326">
        <v>24.5</v>
      </c>
      <c r="S204" s="319">
        <v>7.5</v>
      </c>
      <c r="T204" s="324">
        <v>0.6</v>
      </c>
      <c r="U204" s="319">
        <v>5.0</v>
      </c>
      <c r="V204" s="319"/>
      <c r="W204" s="319"/>
      <c r="X204" s="319"/>
      <c r="Y204" s="319"/>
      <c r="Z204" s="319" t="s">
        <v>331</v>
      </c>
      <c r="AA204" s="319"/>
      <c r="AB204" s="318"/>
      <c r="AC204" s="327">
        <v>2.0</v>
      </c>
      <c r="AD204" s="319"/>
      <c r="AE204" s="319"/>
      <c r="AF204" s="319"/>
      <c r="AG204" s="319"/>
      <c r="AH204" s="319"/>
      <c r="AI204" s="319"/>
      <c r="AJ204" s="327"/>
      <c r="AK204" s="328"/>
      <c r="AL204" s="319"/>
      <c r="AM204" s="319"/>
      <c r="AN204" s="319"/>
      <c r="AO204" s="319"/>
      <c r="AP204" s="319"/>
      <c r="AQ204" s="319"/>
      <c r="AR204" s="319"/>
      <c r="AS204" s="327"/>
      <c r="AT204" s="344"/>
      <c r="AU204" s="345" t="s">
        <v>845</v>
      </c>
      <c r="AV204" s="330">
        <f>SQRT(($R204-Infrastructure!J$3)^2+($S204-Infrastructure!K$3)^2)</f>
        <v>32.75667871</v>
      </c>
      <c r="AW204" s="331">
        <f>SQRT(($R204-Infrastructure!J$4)^2+($S204-Infrastructure!K$4)^2)</f>
        <v>26.85386378</v>
      </c>
      <c r="AX204" s="331">
        <f>SQRT(($R204-Infrastructure!J$5)^2+($S204-Infrastructure!K$5)^2)</f>
        <v>24.9158584</v>
      </c>
      <c r="AY204" s="331">
        <f>SQRT(($R204-Infrastructure!J$6)^2+($S204-Infrastructure!K$6)^2)</f>
        <v>16.09968944</v>
      </c>
      <c r="AZ204" s="331">
        <f>SQRT(($R204-Infrastructure!J$7)^2+($S204-Infrastructure!K$7)^2)</f>
        <v>8.236504113</v>
      </c>
      <c r="BA204" s="331">
        <f>SQRT(($R204-Infrastructure!J$8)^2+($S204-Infrastructure!K$8)^2)</f>
        <v>9.121403401</v>
      </c>
      <c r="BB204" s="331">
        <f>SQRT(($R204-Infrastructure!J$9)^2+($S204-Infrastructure!K$9)^2)</f>
        <v>15.68470593</v>
      </c>
      <c r="BC204" s="331">
        <f>SQRT(($R204-Infrastructure!J$10)^2+($S204-Infrastructure!K$10)^2)</f>
        <v>17.21917536</v>
      </c>
      <c r="BD204" s="318"/>
      <c r="BE204" s="332"/>
      <c r="BF204" s="330">
        <f t="shared" si="14"/>
        <v>8.236504113</v>
      </c>
      <c r="BG204" s="333">
        <f t="shared" si="15"/>
        <v>32.75667871</v>
      </c>
      <c r="BH204" s="334"/>
      <c r="BI204" s="316"/>
      <c r="BJ204" s="318"/>
      <c r="BK204" s="318"/>
      <c r="BL204" s="318"/>
      <c r="BM204" s="318"/>
      <c r="BN204" s="318"/>
      <c r="BO204" s="318"/>
      <c r="BP204" s="318"/>
      <c r="BQ204" s="338"/>
      <c r="BR204" s="420"/>
      <c r="BS204" s="330">
        <f t="shared" si="16"/>
        <v>0</v>
      </c>
      <c r="BT204" s="331">
        <f t="shared" si="17"/>
        <v>0</v>
      </c>
      <c r="BU204" s="331"/>
      <c r="BV204" s="333"/>
      <c r="BW204" s="330"/>
      <c r="BX204" s="331"/>
      <c r="BY204" s="331"/>
      <c r="BZ204" s="340"/>
      <c r="CA204" s="316"/>
      <c r="CB204" s="318"/>
      <c r="CC204" s="318"/>
      <c r="CD204" s="318"/>
      <c r="CE204" s="318"/>
      <c r="CF204" s="318"/>
      <c r="CG204" s="318"/>
      <c r="CH204" s="318"/>
      <c r="CI204" s="338"/>
      <c r="CJ204" s="341"/>
      <c r="CK204" s="342">
        <f t="shared" si="18"/>
        <v>0</v>
      </c>
      <c r="CL204" s="333">
        <f t="shared" si="19"/>
        <v>0</v>
      </c>
      <c r="CM204" s="423"/>
      <c r="CN204" s="424"/>
      <c r="CO204" s="424"/>
      <c r="CP204" s="424"/>
    </row>
    <row r="205">
      <c r="A205" s="315" t="s">
        <v>25</v>
      </c>
      <c r="B205" s="316"/>
      <c r="C205" s="417">
        <v>43669.0</v>
      </c>
      <c r="D205" s="318"/>
      <c r="E205" s="319">
        <v>4.0</v>
      </c>
      <c r="F205" s="332"/>
      <c r="G205" s="321">
        <v>0.6152430555555556</v>
      </c>
      <c r="H205" s="323">
        <v>0.6155439814814815</v>
      </c>
      <c r="I205" s="323"/>
      <c r="J205" s="323"/>
      <c r="K205" s="323">
        <v>0.6169328703703704</v>
      </c>
      <c r="L205" s="322">
        <f t="shared" si="7"/>
        <v>0.001689814815</v>
      </c>
      <c r="M205" s="319" t="s">
        <v>168</v>
      </c>
      <c r="N205" s="324" t="s">
        <v>187</v>
      </c>
      <c r="O205" s="419" t="s">
        <v>1071</v>
      </c>
      <c r="P205" s="319" t="s">
        <v>255</v>
      </c>
      <c r="Q205" s="318"/>
      <c r="R205" s="457"/>
      <c r="S205" s="318"/>
      <c r="T205" s="332"/>
      <c r="U205" s="319">
        <v>1.0</v>
      </c>
      <c r="V205" s="319"/>
      <c r="W205" s="319"/>
      <c r="X205" s="319"/>
      <c r="Y205" s="319"/>
      <c r="Z205" s="319" t="s">
        <v>331</v>
      </c>
      <c r="AA205" s="319"/>
      <c r="AB205" s="318"/>
      <c r="AC205" s="327" t="s">
        <v>1072</v>
      </c>
      <c r="AD205" s="319"/>
      <c r="AE205" s="319"/>
      <c r="AF205" s="319"/>
      <c r="AG205" s="319"/>
      <c r="AH205" s="319"/>
      <c r="AI205" s="319"/>
      <c r="AJ205" s="327"/>
      <c r="AK205" s="328"/>
      <c r="AL205" s="319"/>
      <c r="AM205" s="319"/>
      <c r="AN205" s="319"/>
      <c r="AO205" s="319"/>
      <c r="AP205" s="319"/>
      <c r="AQ205" s="319"/>
      <c r="AR205" s="319"/>
      <c r="AS205" s="327"/>
      <c r="AT205" s="344"/>
      <c r="AU205" s="345" t="s">
        <v>845</v>
      </c>
      <c r="AV205" s="330">
        <f>SQRT(($R205-Infrastructure!J$3)^2+($S205-Infrastructure!K$3)^2)</f>
        <v>28.90155705</v>
      </c>
      <c r="AW205" s="331">
        <f>SQRT(($R205-Infrastructure!J$4)^2+($S205-Infrastructure!K$4)^2)</f>
        <v>17.80252791</v>
      </c>
      <c r="AX205" s="331">
        <f>SQRT(($R205-Infrastructure!J$5)^2+($S205-Infrastructure!K$5)^2)</f>
        <v>5.10881591</v>
      </c>
      <c r="AY205" s="331">
        <f>SQRT(($R205-Infrastructure!J$6)^2+($S205-Infrastructure!K$6)^2)</f>
        <v>10.10445446</v>
      </c>
      <c r="AZ205" s="331">
        <f>SQRT(($R205-Infrastructure!J$7)^2+($S205-Infrastructure!K$7)^2)</f>
        <v>20.502195</v>
      </c>
      <c r="BA205" s="331">
        <f>SQRT(($R205-Infrastructure!J$8)^2+($S205-Infrastructure!K$8)^2)</f>
        <v>30.10149498</v>
      </c>
      <c r="BB205" s="331">
        <f>SQRT(($R205-Infrastructure!J$9)^2+($S205-Infrastructure!K$9)^2)</f>
        <v>40.3238143</v>
      </c>
      <c r="BC205" s="331">
        <f>SQRT(($R205-Infrastructure!J$10)^2+($S205-Infrastructure!K$10)^2)</f>
        <v>42.72001873</v>
      </c>
      <c r="BD205" s="318"/>
      <c r="BE205" s="332"/>
      <c r="BF205" s="330">
        <f t="shared" si="14"/>
        <v>5.10881591</v>
      </c>
      <c r="BG205" s="333">
        <f t="shared" si="15"/>
        <v>42.72001873</v>
      </c>
      <c r="BH205" s="334"/>
      <c r="BI205" s="316"/>
      <c r="BJ205" s="318"/>
      <c r="BK205" s="318"/>
      <c r="BL205" s="318"/>
      <c r="BM205" s="318"/>
      <c r="BN205" s="318"/>
      <c r="BO205" s="318"/>
      <c r="BP205" s="318"/>
      <c r="BQ205" s="338"/>
      <c r="BR205" s="420"/>
      <c r="BS205" s="330">
        <f t="shared" si="16"/>
        <v>0</v>
      </c>
      <c r="BT205" s="331">
        <f t="shared" si="17"/>
        <v>0</v>
      </c>
      <c r="BU205" s="331"/>
      <c r="BV205" s="333"/>
      <c r="BW205" s="330"/>
      <c r="BX205" s="331"/>
      <c r="BY205" s="331"/>
      <c r="BZ205" s="340"/>
      <c r="CA205" s="316"/>
      <c r="CB205" s="318"/>
      <c r="CC205" s="318"/>
      <c r="CD205" s="318"/>
      <c r="CE205" s="318"/>
      <c r="CF205" s="318"/>
      <c r="CG205" s="318"/>
      <c r="CH205" s="318"/>
      <c r="CI205" s="338"/>
      <c r="CJ205" s="341"/>
      <c r="CK205" s="342">
        <f t="shared" si="18"/>
        <v>0</v>
      </c>
      <c r="CL205" s="333">
        <f t="shared" si="19"/>
        <v>0</v>
      </c>
      <c r="CM205" s="421" t="s">
        <v>1101</v>
      </c>
      <c r="CN205" s="416"/>
      <c r="CO205" s="416"/>
      <c r="CP205" s="416"/>
    </row>
    <row r="206">
      <c r="A206" s="315" t="s">
        <v>25</v>
      </c>
      <c r="B206" s="316"/>
      <c r="C206" s="417">
        <v>43669.0</v>
      </c>
      <c r="D206" s="318"/>
      <c r="E206" s="319">
        <v>5.0</v>
      </c>
      <c r="F206" s="332"/>
      <c r="G206" s="321">
        <v>0.6178935185185185</v>
      </c>
      <c r="H206" s="323">
        <v>0.6183680555555555</v>
      </c>
      <c r="I206" s="323"/>
      <c r="J206" s="323"/>
      <c r="K206" s="323">
        <v>0.6197453703703704</v>
      </c>
      <c r="L206" s="322">
        <f t="shared" si="7"/>
        <v>0.001851851852</v>
      </c>
      <c r="M206" s="319" t="s">
        <v>168</v>
      </c>
      <c r="N206" s="324" t="s">
        <v>187</v>
      </c>
      <c r="O206" s="419" t="s">
        <v>1071</v>
      </c>
      <c r="P206" s="319" t="s">
        <v>255</v>
      </c>
      <c r="Q206" s="318"/>
      <c r="R206" s="457"/>
      <c r="S206" s="318"/>
      <c r="T206" s="332"/>
      <c r="U206" s="319">
        <v>4.0</v>
      </c>
      <c r="V206" s="319"/>
      <c r="W206" s="319"/>
      <c r="X206" s="319"/>
      <c r="Y206" s="319"/>
      <c r="Z206" s="319" t="s">
        <v>331</v>
      </c>
      <c r="AA206" s="319"/>
      <c r="AB206" s="318"/>
      <c r="AC206" s="327" t="s">
        <v>1072</v>
      </c>
      <c r="AD206" s="319"/>
      <c r="AE206" s="319"/>
      <c r="AF206" s="319"/>
      <c r="AG206" s="319"/>
      <c r="AH206" s="319"/>
      <c r="AI206" s="319"/>
      <c r="AJ206" s="327"/>
      <c r="AK206" s="328"/>
      <c r="AL206" s="319"/>
      <c r="AM206" s="319"/>
      <c r="AN206" s="319"/>
      <c r="AO206" s="319"/>
      <c r="AP206" s="319"/>
      <c r="AQ206" s="319"/>
      <c r="AR206" s="319"/>
      <c r="AS206" s="327"/>
      <c r="AT206" s="344"/>
      <c r="AU206" s="345" t="s">
        <v>845</v>
      </c>
      <c r="AV206" s="330">
        <f>SQRT(($R206-Infrastructure!J$3)^2+($S206-Infrastructure!K$3)^2)</f>
        <v>28.90155705</v>
      </c>
      <c r="AW206" s="331">
        <f>SQRT(($R206-Infrastructure!J$4)^2+($S206-Infrastructure!K$4)^2)</f>
        <v>17.80252791</v>
      </c>
      <c r="AX206" s="331">
        <f>SQRT(($R206-Infrastructure!J$5)^2+($S206-Infrastructure!K$5)^2)</f>
        <v>5.10881591</v>
      </c>
      <c r="AY206" s="331">
        <f>SQRT(($R206-Infrastructure!J$6)^2+($S206-Infrastructure!K$6)^2)</f>
        <v>10.10445446</v>
      </c>
      <c r="AZ206" s="331">
        <f>SQRT(($R206-Infrastructure!J$7)^2+($S206-Infrastructure!K$7)^2)</f>
        <v>20.502195</v>
      </c>
      <c r="BA206" s="331">
        <f>SQRT(($R206-Infrastructure!J$8)^2+($S206-Infrastructure!K$8)^2)</f>
        <v>30.10149498</v>
      </c>
      <c r="BB206" s="331">
        <f>SQRT(($R206-Infrastructure!J$9)^2+($S206-Infrastructure!K$9)^2)</f>
        <v>40.3238143</v>
      </c>
      <c r="BC206" s="331">
        <f>SQRT(($R206-Infrastructure!J$10)^2+($S206-Infrastructure!K$10)^2)</f>
        <v>42.72001873</v>
      </c>
      <c r="BD206" s="318"/>
      <c r="BE206" s="332"/>
      <c r="BF206" s="330">
        <f t="shared" si="14"/>
        <v>5.10881591</v>
      </c>
      <c r="BG206" s="333">
        <f t="shared" si="15"/>
        <v>42.72001873</v>
      </c>
      <c r="BH206" s="334"/>
      <c r="BI206" s="316"/>
      <c r="BJ206" s="318"/>
      <c r="BK206" s="318"/>
      <c r="BL206" s="318"/>
      <c r="BM206" s="318"/>
      <c r="BN206" s="318"/>
      <c r="BO206" s="318"/>
      <c r="BP206" s="318"/>
      <c r="BQ206" s="338"/>
      <c r="BR206" s="420"/>
      <c r="BS206" s="330">
        <f t="shared" si="16"/>
        <v>0</v>
      </c>
      <c r="BT206" s="331">
        <f t="shared" si="17"/>
        <v>0</v>
      </c>
      <c r="BU206" s="331"/>
      <c r="BV206" s="333"/>
      <c r="BW206" s="330"/>
      <c r="BX206" s="331"/>
      <c r="BY206" s="331"/>
      <c r="BZ206" s="340"/>
      <c r="CA206" s="316"/>
      <c r="CB206" s="318"/>
      <c r="CC206" s="318"/>
      <c r="CD206" s="318"/>
      <c r="CE206" s="318"/>
      <c r="CF206" s="318"/>
      <c r="CG206" s="318"/>
      <c r="CH206" s="318"/>
      <c r="CI206" s="338"/>
      <c r="CJ206" s="341"/>
      <c r="CK206" s="342">
        <f t="shared" si="18"/>
        <v>0</v>
      </c>
      <c r="CL206" s="333">
        <f t="shared" si="19"/>
        <v>0</v>
      </c>
      <c r="CM206" s="421" t="s">
        <v>1101</v>
      </c>
      <c r="CN206" s="416"/>
      <c r="CO206" s="416"/>
      <c r="CP206" s="416"/>
    </row>
    <row r="207">
      <c r="A207" s="315" t="s">
        <v>25</v>
      </c>
      <c r="B207" s="316"/>
      <c r="C207" s="417">
        <v>43669.0</v>
      </c>
      <c r="D207" s="318"/>
      <c r="E207" s="319">
        <v>6.0</v>
      </c>
      <c r="F207" s="332"/>
      <c r="G207" s="321">
        <v>0.6204050925925926</v>
      </c>
      <c r="H207" s="323">
        <v>0.6207523148148149</v>
      </c>
      <c r="I207" s="323"/>
      <c r="J207" s="323"/>
      <c r="K207" s="323">
        <v>0.622175925925926</v>
      </c>
      <c r="L207" s="322">
        <f t="shared" si="7"/>
        <v>0.001770833333</v>
      </c>
      <c r="M207" s="319" t="s">
        <v>168</v>
      </c>
      <c r="N207" s="324" t="s">
        <v>187</v>
      </c>
      <c r="O207" s="419" t="s">
        <v>1071</v>
      </c>
      <c r="P207" s="319" t="s">
        <v>255</v>
      </c>
      <c r="Q207" s="318"/>
      <c r="R207" s="457"/>
      <c r="S207" s="318"/>
      <c r="T207" s="332"/>
      <c r="U207" s="319">
        <v>7.0</v>
      </c>
      <c r="V207" s="319"/>
      <c r="W207" s="319"/>
      <c r="X207" s="319"/>
      <c r="Y207" s="319"/>
      <c r="Z207" s="319" t="s">
        <v>331</v>
      </c>
      <c r="AA207" s="319"/>
      <c r="AB207" s="318"/>
      <c r="AC207" s="327" t="s">
        <v>1072</v>
      </c>
      <c r="AD207" s="319"/>
      <c r="AE207" s="319"/>
      <c r="AF207" s="319"/>
      <c r="AG207" s="319"/>
      <c r="AH207" s="319"/>
      <c r="AI207" s="319"/>
      <c r="AJ207" s="327"/>
      <c r="AK207" s="328"/>
      <c r="AL207" s="319"/>
      <c r="AM207" s="319"/>
      <c r="AN207" s="319"/>
      <c r="AO207" s="319"/>
      <c r="AP207" s="319"/>
      <c r="AQ207" s="319"/>
      <c r="AR207" s="319"/>
      <c r="AS207" s="327"/>
      <c r="AT207" s="344"/>
      <c r="AU207" s="345" t="s">
        <v>845</v>
      </c>
      <c r="AV207" s="330">
        <f>SQRT(($R207-Infrastructure!J$3)^2+($S207-Infrastructure!K$3)^2)</f>
        <v>28.90155705</v>
      </c>
      <c r="AW207" s="331">
        <f>SQRT(($R207-Infrastructure!J$4)^2+($S207-Infrastructure!K$4)^2)</f>
        <v>17.80252791</v>
      </c>
      <c r="AX207" s="331">
        <f>SQRT(($R207-Infrastructure!J$5)^2+($S207-Infrastructure!K$5)^2)</f>
        <v>5.10881591</v>
      </c>
      <c r="AY207" s="331">
        <f>SQRT(($R207-Infrastructure!J$6)^2+($S207-Infrastructure!K$6)^2)</f>
        <v>10.10445446</v>
      </c>
      <c r="AZ207" s="331">
        <f>SQRT(($R207-Infrastructure!J$7)^2+($S207-Infrastructure!K$7)^2)</f>
        <v>20.502195</v>
      </c>
      <c r="BA207" s="331">
        <f>SQRT(($R207-Infrastructure!J$8)^2+($S207-Infrastructure!K$8)^2)</f>
        <v>30.10149498</v>
      </c>
      <c r="BB207" s="331">
        <f>SQRT(($R207-Infrastructure!J$9)^2+($S207-Infrastructure!K$9)^2)</f>
        <v>40.3238143</v>
      </c>
      <c r="BC207" s="331">
        <f>SQRT(($R207-Infrastructure!J$10)^2+($S207-Infrastructure!K$10)^2)</f>
        <v>42.72001873</v>
      </c>
      <c r="BD207" s="318"/>
      <c r="BE207" s="332"/>
      <c r="BF207" s="330">
        <f t="shared" si="14"/>
        <v>5.10881591</v>
      </c>
      <c r="BG207" s="333">
        <f t="shared" si="15"/>
        <v>42.72001873</v>
      </c>
      <c r="BH207" s="334"/>
      <c r="BI207" s="316"/>
      <c r="BJ207" s="318"/>
      <c r="BK207" s="318"/>
      <c r="BL207" s="318"/>
      <c r="BM207" s="318"/>
      <c r="BN207" s="318"/>
      <c r="BO207" s="318"/>
      <c r="BP207" s="318"/>
      <c r="BQ207" s="338"/>
      <c r="BR207" s="420"/>
      <c r="BS207" s="330">
        <f t="shared" si="16"/>
        <v>0</v>
      </c>
      <c r="BT207" s="331">
        <f t="shared" si="17"/>
        <v>0</v>
      </c>
      <c r="BU207" s="331"/>
      <c r="BV207" s="333"/>
      <c r="BW207" s="330"/>
      <c r="BX207" s="331"/>
      <c r="BY207" s="331"/>
      <c r="BZ207" s="340"/>
      <c r="CA207" s="316"/>
      <c r="CB207" s="318"/>
      <c r="CC207" s="318"/>
      <c r="CD207" s="318"/>
      <c r="CE207" s="318"/>
      <c r="CF207" s="318"/>
      <c r="CG207" s="318"/>
      <c r="CH207" s="318"/>
      <c r="CI207" s="338"/>
      <c r="CJ207" s="341"/>
      <c r="CK207" s="342">
        <f t="shared" si="18"/>
        <v>0</v>
      </c>
      <c r="CL207" s="333">
        <f t="shared" si="19"/>
        <v>0</v>
      </c>
      <c r="CM207" s="421" t="s">
        <v>1101</v>
      </c>
      <c r="CN207" s="416"/>
      <c r="CO207" s="416"/>
      <c r="CP207" s="416"/>
    </row>
    <row r="208">
      <c r="A208" s="315" t="s">
        <v>25</v>
      </c>
      <c r="B208" s="316"/>
      <c r="C208" s="417">
        <v>43669.0</v>
      </c>
      <c r="D208" s="318"/>
      <c r="E208" s="319">
        <v>13.0</v>
      </c>
      <c r="F208" s="332"/>
      <c r="G208" s="321">
        <v>0.6229282407407407</v>
      </c>
      <c r="H208" s="323">
        <v>0.6232291666666666</v>
      </c>
      <c r="I208" s="323"/>
      <c r="J208" s="323"/>
      <c r="K208" s="323">
        <v>0.6246527777777777</v>
      </c>
      <c r="L208" s="322">
        <f t="shared" si="7"/>
        <v>0.001724537037</v>
      </c>
      <c r="M208" s="319" t="s">
        <v>168</v>
      </c>
      <c r="N208" s="324" t="s">
        <v>187</v>
      </c>
      <c r="O208" s="419" t="s">
        <v>1071</v>
      </c>
      <c r="P208" s="319" t="s">
        <v>255</v>
      </c>
      <c r="Q208" s="318"/>
      <c r="R208" s="457"/>
      <c r="S208" s="318"/>
      <c r="T208" s="332"/>
      <c r="U208" s="319">
        <v>6.0</v>
      </c>
      <c r="V208" s="319"/>
      <c r="W208" s="319"/>
      <c r="X208" s="319"/>
      <c r="Y208" s="319"/>
      <c r="Z208" s="319" t="s">
        <v>331</v>
      </c>
      <c r="AA208" s="319"/>
      <c r="AB208" s="318"/>
      <c r="AC208" s="327" t="s">
        <v>1072</v>
      </c>
      <c r="AD208" s="319"/>
      <c r="AE208" s="319"/>
      <c r="AF208" s="319"/>
      <c r="AG208" s="319"/>
      <c r="AH208" s="319"/>
      <c r="AI208" s="319"/>
      <c r="AJ208" s="327"/>
      <c r="AK208" s="328"/>
      <c r="AL208" s="319"/>
      <c r="AM208" s="319"/>
      <c r="AN208" s="319"/>
      <c r="AO208" s="319"/>
      <c r="AP208" s="319"/>
      <c r="AQ208" s="319"/>
      <c r="AR208" s="319"/>
      <c r="AS208" s="327"/>
      <c r="AT208" s="344"/>
      <c r="AU208" s="345" t="s">
        <v>845</v>
      </c>
      <c r="AV208" s="330">
        <f>SQRT(($R208-Infrastructure!J$3)^2+($S208-Infrastructure!K$3)^2)</f>
        <v>28.90155705</v>
      </c>
      <c r="AW208" s="331">
        <f>SQRT(($R208-Infrastructure!J$4)^2+($S208-Infrastructure!K$4)^2)</f>
        <v>17.80252791</v>
      </c>
      <c r="AX208" s="331">
        <f>SQRT(($R208-Infrastructure!J$5)^2+($S208-Infrastructure!K$5)^2)</f>
        <v>5.10881591</v>
      </c>
      <c r="AY208" s="331">
        <f>SQRT(($R208-Infrastructure!J$6)^2+($S208-Infrastructure!K$6)^2)</f>
        <v>10.10445446</v>
      </c>
      <c r="AZ208" s="331">
        <f>SQRT(($R208-Infrastructure!J$7)^2+($S208-Infrastructure!K$7)^2)</f>
        <v>20.502195</v>
      </c>
      <c r="BA208" s="331">
        <f>SQRT(($R208-Infrastructure!J$8)^2+($S208-Infrastructure!K$8)^2)</f>
        <v>30.10149498</v>
      </c>
      <c r="BB208" s="331">
        <f>SQRT(($R208-Infrastructure!J$9)^2+($S208-Infrastructure!K$9)^2)</f>
        <v>40.3238143</v>
      </c>
      <c r="BC208" s="331">
        <f>SQRT(($R208-Infrastructure!J$10)^2+($S208-Infrastructure!K$10)^2)</f>
        <v>42.72001873</v>
      </c>
      <c r="BD208" s="318"/>
      <c r="BE208" s="332"/>
      <c r="BF208" s="330">
        <f t="shared" si="14"/>
        <v>5.10881591</v>
      </c>
      <c r="BG208" s="333">
        <f t="shared" si="15"/>
        <v>42.72001873</v>
      </c>
      <c r="BH208" s="334"/>
      <c r="BI208" s="316"/>
      <c r="BJ208" s="318"/>
      <c r="BK208" s="318"/>
      <c r="BL208" s="318"/>
      <c r="BM208" s="318"/>
      <c r="BN208" s="318"/>
      <c r="BO208" s="318"/>
      <c r="BP208" s="318"/>
      <c r="BQ208" s="338"/>
      <c r="BR208" s="420"/>
      <c r="BS208" s="330">
        <f t="shared" si="16"/>
        <v>0</v>
      </c>
      <c r="BT208" s="331">
        <f t="shared" si="17"/>
        <v>0</v>
      </c>
      <c r="BU208" s="331"/>
      <c r="BV208" s="333"/>
      <c r="BW208" s="330"/>
      <c r="BX208" s="331"/>
      <c r="BY208" s="331"/>
      <c r="BZ208" s="340"/>
      <c r="CA208" s="316"/>
      <c r="CB208" s="318"/>
      <c r="CC208" s="318"/>
      <c r="CD208" s="318"/>
      <c r="CE208" s="318"/>
      <c r="CF208" s="318"/>
      <c r="CG208" s="318"/>
      <c r="CH208" s="318"/>
      <c r="CI208" s="338"/>
      <c r="CJ208" s="341"/>
      <c r="CK208" s="342">
        <f t="shared" si="18"/>
        <v>0</v>
      </c>
      <c r="CL208" s="333">
        <f t="shared" si="19"/>
        <v>0</v>
      </c>
      <c r="CM208" s="421" t="s">
        <v>1102</v>
      </c>
      <c r="CN208" s="416"/>
      <c r="CO208" s="416"/>
      <c r="CP208" s="416"/>
    </row>
    <row r="209">
      <c r="A209" s="315" t="s">
        <v>25</v>
      </c>
      <c r="B209" s="316"/>
      <c r="C209" s="417">
        <v>43669.0</v>
      </c>
      <c r="D209" s="318"/>
      <c r="E209" s="319">
        <v>14.0</v>
      </c>
      <c r="F209" s="332"/>
      <c r="G209" s="321">
        <v>0.6253472222222223</v>
      </c>
      <c r="H209" s="323">
        <v>0.6259143518518518</v>
      </c>
      <c r="I209" s="323"/>
      <c r="J209" s="323"/>
      <c r="K209" s="323">
        <v>0.6301157407407407</v>
      </c>
      <c r="L209" s="322">
        <f t="shared" si="7"/>
        <v>0.004768518519</v>
      </c>
      <c r="M209" s="319" t="s">
        <v>168</v>
      </c>
      <c r="N209" s="324" t="s">
        <v>187</v>
      </c>
      <c r="O209" s="419" t="s">
        <v>1071</v>
      </c>
      <c r="P209" s="319" t="s">
        <v>255</v>
      </c>
      <c r="Q209" s="318"/>
      <c r="R209" s="457"/>
      <c r="S209" s="318"/>
      <c r="T209" s="332"/>
      <c r="U209" s="319">
        <v>9.0</v>
      </c>
      <c r="V209" s="319"/>
      <c r="W209" s="319"/>
      <c r="X209" s="319"/>
      <c r="Y209" s="319"/>
      <c r="Z209" s="319" t="s">
        <v>331</v>
      </c>
      <c r="AA209" s="319"/>
      <c r="AB209" s="318"/>
      <c r="AC209" s="327" t="s">
        <v>1072</v>
      </c>
      <c r="AD209" s="319"/>
      <c r="AE209" s="319"/>
      <c r="AF209" s="319"/>
      <c r="AG209" s="319"/>
      <c r="AH209" s="319"/>
      <c r="AI209" s="319"/>
      <c r="AJ209" s="327"/>
      <c r="AK209" s="328"/>
      <c r="AL209" s="319"/>
      <c r="AM209" s="319"/>
      <c r="AN209" s="319"/>
      <c r="AO209" s="319"/>
      <c r="AP209" s="319"/>
      <c r="AQ209" s="319"/>
      <c r="AR209" s="319"/>
      <c r="AS209" s="327"/>
      <c r="AT209" s="344"/>
      <c r="AU209" s="345" t="s">
        <v>845</v>
      </c>
      <c r="AV209" s="330">
        <f>SQRT(($R209-Infrastructure!J$3)^2+($S209-Infrastructure!K$3)^2)</f>
        <v>28.90155705</v>
      </c>
      <c r="AW209" s="331">
        <f>SQRT(($R209-Infrastructure!J$4)^2+($S209-Infrastructure!K$4)^2)</f>
        <v>17.80252791</v>
      </c>
      <c r="AX209" s="331">
        <f>SQRT(($R209-Infrastructure!J$5)^2+($S209-Infrastructure!K$5)^2)</f>
        <v>5.10881591</v>
      </c>
      <c r="AY209" s="331">
        <f>SQRT(($R209-Infrastructure!J$6)^2+($S209-Infrastructure!K$6)^2)</f>
        <v>10.10445446</v>
      </c>
      <c r="AZ209" s="331">
        <f>SQRT(($R209-Infrastructure!J$7)^2+($S209-Infrastructure!K$7)^2)</f>
        <v>20.502195</v>
      </c>
      <c r="BA209" s="331">
        <f>SQRT(($R209-Infrastructure!J$8)^2+($S209-Infrastructure!K$8)^2)</f>
        <v>30.10149498</v>
      </c>
      <c r="BB209" s="331">
        <f>SQRT(($R209-Infrastructure!J$9)^2+($S209-Infrastructure!K$9)^2)</f>
        <v>40.3238143</v>
      </c>
      <c r="BC209" s="331">
        <f>SQRT(($R209-Infrastructure!J$10)^2+($S209-Infrastructure!K$10)^2)</f>
        <v>42.72001873</v>
      </c>
      <c r="BD209" s="318"/>
      <c r="BE209" s="332"/>
      <c r="BF209" s="330">
        <f t="shared" si="14"/>
        <v>5.10881591</v>
      </c>
      <c r="BG209" s="333">
        <f t="shared" si="15"/>
        <v>42.72001873</v>
      </c>
      <c r="BH209" s="334"/>
      <c r="BI209" s="316"/>
      <c r="BJ209" s="318"/>
      <c r="BK209" s="318"/>
      <c r="BL209" s="318"/>
      <c r="BM209" s="318"/>
      <c r="BN209" s="318"/>
      <c r="BO209" s="318"/>
      <c r="BP209" s="318"/>
      <c r="BQ209" s="338"/>
      <c r="BR209" s="420"/>
      <c r="BS209" s="330">
        <f t="shared" si="16"/>
        <v>0</v>
      </c>
      <c r="BT209" s="331">
        <f t="shared" si="17"/>
        <v>0</v>
      </c>
      <c r="BU209" s="331"/>
      <c r="BV209" s="333"/>
      <c r="BW209" s="330"/>
      <c r="BX209" s="331"/>
      <c r="BY209" s="331"/>
      <c r="BZ209" s="340"/>
      <c r="CA209" s="316"/>
      <c r="CB209" s="318"/>
      <c r="CC209" s="318"/>
      <c r="CD209" s="318"/>
      <c r="CE209" s="318"/>
      <c r="CF209" s="318"/>
      <c r="CG209" s="318"/>
      <c r="CH209" s="318"/>
      <c r="CI209" s="338"/>
      <c r="CJ209" s="341"/>
      <c r="CK209" s="342">
        <f t="shared" si="18"/>
        <v>0</v>
      </c>
      <c r="CL209" s="333">
        <f t="shared" si="19"/>
        <v>0</v>
      </c>
      <c r="CM209" s="421" t="s">
        <v>1102</v>
      </c>
      <c r="CN209" s="416"/>
      <c r="CO209" s="416"/>
      <c r="CP209" s="416"/>
    </row>
    <row r="210">
      <c r="A210" s="315" t="s">
        <v>25</v>
      </c>
      <c r="B210" s="316"/>
      <c r="C210" s="417">
        <v>43669.0</v>
      </c>
      <c r="D210" s="318"/>
      <c r="E210" s="319">
        <v>7.0</v>
      </c>
      <c r="F210" s="332"/>
      <c r="G210" s="321">
        <v>0.6318402777777777</v>
      </c>
      <c r="H210" s="323">
        <v>0.6324768518518519</v>
      </c>
      <c r="I210" s="323"/>
      <c r="J210" s="323"/>
      <c r="K210" s="323">
        <v>0.6338773148148148</v>
      </c>
      <c r="L210" s="322">
        <f t="shared" si="7"/>
        <v>0.002037037037</v>
      </c>
      <c r="M210" s="319" t="s">
        <v>168</v>
      </c>
      <c r="N210" s="324" t="s">
        <v>187</v>
      </c>
      <c r="O210" s="419" t="s">
        <v>1073</v>
      </c>
      <c r="P210" s="318"/>
      <c r="Q210" s="318"/>
      <c r="R210" s="326">
        <v>15.0</v>
      </c>
      <c r="S210" s="319">
        <v>8.0</v>
      </c>
      <c r="T210" s="332"/>
      <c r="U210" s="319">
        <v>1.0</v>
      </c>
      <c r="V210" s="319"/>
      <c r="W210" s="319"/>
      <c r="X210" s="319"/>
      <c r="Y210" s="319"/>
      <c r="Z210" s="319" t="s">
        <v>318</v>
      </c>
      <c r="AA210" s="319"/>
      <c r="AB210" s="318"/>
      <c r="AC210" s="327" t="s">
        <v>1074</v>
      </c>
      <c r="AD210" s="319"/>
      <c r="AE210" s="319"/>
      <c r="AF210" s="319"/>
      <c r="AG210" s="319"/>
      <c r="AH210" s="319"/>
      <c r="AI210" s="319"/>
      <c r="AJ210" s="327"/>
      <c r="AK210" s="328"/>
      <c r="AL210" s="319"/>
      <c r="AM210" s="319"/>
      <c r="AN210" s="319"/>
      <c r="AO210" s="319"/>
      <c r="AP210" s="319"/>
      <c r="AQ210" s="319"/>
      <c r="AR210" s="319"/>
      <c r="AS210" s="327"/>
      <c r="AT210" s="344"/>
      <c r="AU210" s="345" t="s">
        <v>845</v>
      </c>
      <c r="AV210" s="330">
        <f>SQRT(($R210-Infrastructure!J$3)^2+($S210-Infrastructure!K$3)^2)</f>
        <v>25.90173739</v>
      </c>
      <c r="AW210" s="331">
        <f>SQRT(($R210-Infrastructure!J$4)^2+($S210-Infrastructure!K$4)^2)</f>
        <v>18.1694799</v>
      </c>
      <c r="AX210" s="331">
        <f>SQRT(($R210-Infrastructure!J$5)^2+($S210-Infrastructure!K$5)^2)</f>
        <v>15.5724115</v>
      </c>
      <c r="AY210" s="331">
        <f>SQRT(($R210-Infrastructure!J$6)^2+($S210-Infrastructure!K$6)^2)</f>
        <v>9.126883367</v>
      </c>
      <c r="AZ210" s="331">
        <f>SQRT(($R210-Infrastructure!J$7)^2+($S210-Infrastructure!K$7)^2)</f>
        <v>9.462557794</v>
      </c>
      <c r="BA210" s="331">
        <f>SQRT(($R210-Infrastructure!J$8)^2+($S210-Infrastructure!K$8)^2)</f>
        <v>16.94992625</v>
      </c>
      <c r="BB210" s="331">
        <f>SQRT(($R210-Infrastructure!J$9)^2+($S210-Infrastructure!K$9)^2)</f>
        <v>25.16763795</v>
      </c>
      <c r="BC210" s="331">
        <f>SQRT(($R210-Infrastructure!J$10)^2+($S210-Infrastructure!K$10)^2)</f>
        <v>25.96150997</v>
      </c>
      <c r="BD210" s="318"/>
      <c r="BE210" s="332"/>
      <c r="BF210" s="330">
        <f t="shared" si="14"/>
        <v>9.126883367</v>
      </c>
      <c r="BG210" s="333">
        <f t="shared" si="15"/>
        <v>25.96150997</v>
      </c>
      <c r="BH210" s="334"/>
      <c r="BI210" s="316"/>
      <c r="BJ210" s="318"/>
      <c r="BK210" s="318"/>
      <c r="BL210" s="318"/>
      <c r="BM210" s="318"/>
      <c r="BN210" s="318"/>
      <c r="BO210" s="318"/>
      <c r="BP210" s="318"/>
      <c r="BQ210" s="338"/>
      <c r="BR210" s="420"/>
      <c r="BS210" s="330">
        <f t="shared" si="16"/>
        <v>0</v>
      </c>
      <c r="BT210" s="331">
        <f t="shared" si="17"/>
        <v>0</v>
      </c>
      <c r="BU210" s="331"/>
      <c r="BV210" s="333"/>
      <c r="BW210" s="330"/>
      <c r="BX210" s="331"/>
      <c r="BY210" s="331"/>
      <c r="BZ210" s="340"/>
      <c r="CA210" s="316"/>
      <c r="CB210" s="318"/>
      <c r="CC210" s="318"/>
      <c r="CD210" s="318"/>
      <c r="CE210" s="318"/>
      <c r="CF210" s="318"/>
      <c r="CG210" s="318"/>
      <c r="CH210" s="318"/>
      <c r="CI210" s="338"/>
      <c r="CJ210" s="341"/>
      <c r="CK210" s="342">
        <f t="shared" si="18"/>
        <v>0</v>
      </c>
      <c r="CL210" s="333">
        <f t="shared" si="19"/>
        <v>0</v>
      </c>
      <c r="CM210" s="423"/>
      <c r="CN210" s="424"/>
      <c r="CO210" s="424"/>
      <c r="CP210" s="424"/>
    </row>
    <row r="211">
      <c r="A211" s="315" t="s">
        <v>25</v>
      </c>
      <c r="B211" s="316"/>
      <c r="C211" s="417">
        <v>43669.0</v>
      </c>
      <c r="D211" s="318"/>
      <c r="E211" s="319">
        <v>8.0</v>
      </c>
      <c r="F211" s="332"/>
      <c r="G211" s="321">
        <v>0.6347337962962963</v>
      </c>
      <c r="H211" s="323">
        <v>0.6350925925925925</v>
      </c>
      <c r="I211" s="323"/>
      <c r="J211" s="323"/>
      <c r="K211" s="323">
        <v>0.6385416666666667</v>
      </c>
      <c r="L211" s="322">
        <f t="shared" si="7"/>
        <v>0.00380787037</v>
      </c>
      <c r="M211" s="319" t="s">
        <v>168</v>
      </c>
      <c r="N211" s="324" t="s">
        <v>187</v>
      </c>
      <c r="O211" s="419" t="s">
        <v>1073</v>
      </c>
      <c r="P211" s="318"/>
      <c r="Q211" s="318"/>
      <c r="R211" s="326">
        <v>15.0</v>
      </c>
      <c r="S211" s="319">
        <v>8.0</v>
      </c>
      <c r="T211" s="332"/>
      <c r="U211" s="319">
        <v>3.0</v>
      </c>
      <c r="V211" s="319"/>
      <c r="W211" s="319"/>
      <c r="X211" s="319"/>
      <c r="Y211" s="319"/>
      <c r="Z211" s="319" t="s">
        <v>318</v>
      </c>
      <c r="AA211" s="319"/>
      <c r="AB211" s="318"/>
      <c r="AC211" s="327" t="s">
        <v>1074</v>
      </c>
      <c r="AD211" s="319"/>
      <c r="AE211" s="319"/>
      <c r="AF211" s="319"/>
      <c r="AG211" s="319"/>
      <c r="AH211" s="319"/>
      <c r="AI211" s="319"/>
      <c r="AJ211" s="327"/>
      <c r="AK211" s="328"/>
      <c r="AL211" s="319"/>
      <c r="AM211" s="319"/>
      <c r="AN211" s="319"/>
      <c r="AO211" s="319"/>
      <c r="AP211" s="319"/>
      <c r="AQ211" s="319"/>
      <c r="AR211" s="319"/>
      <c r="AS211" s="327"/>
      <c r="AT211" s="344"/>
      <c r="AU211" s="345" t="s">
        <v>845</v>
      </c>
      <c r="AV211" s="330">
        <f>SQRT(($R211-Infrastructure!J$3)^2+($S211-Infrastructure!K$3)^2)</f>
        <v>25.90173739</v>
      </c>
      <c r="AW211" s="331">
        <f>SQRT(($R211-Infrastructure!J$4)^2+($S211-Infrastructure!K$4)^2)</f>
        <v>18.1694799</v>
      </c>
      <c r="AX211" s="331">
        <f>SQRT(($R211-Infrastructure!J$5)^2+($S211-Infrastructure!K$5)^2)</f>
        <v>15.5724115</v>
      </c>
      <c r="AY211" s="331">
        <f>SQRT(($R211-Infrastructure!J$6)^2+($S211-Infrastructure!K$6)^2)</f>
        <v>9.126883367</v>
      </c>
      <c r="AZ211" s="331">
        <f>SQRT(($R211-Infrastructure!J$7)^2+($S211-Infrastructure!K$7)^2)</f>
        <v>9.462557794</v>
      </c>
      <c r="BA211" s="331">
        <f>SQRT(($R211-Infrastructure!J$8)^2+($S211-Infrastructure!K$8)^2)</f>
        <v>16.94992625</v>
      </c>
      <c r="BB211" s="331">
        <f>SQRT(($R211-Infrastructure!J$9)^2+($S211-Infrastructure!K$9)^2)</f>
        <v>25.16763795</v>
      </c>
      <c r="BC211" s="331">
        <f>SQRT(($R211-Infrastructure!J$10)^2+($S211-Infrastructure!K$10)^2)</f>
        <v>25.96150997</v>
      </c>
      <c r="BD211" s="318"/>
      <c r="BE211" s="332"/>
      <c r="BF211" s="330">
        <f t="shared" si="14"/>
        <v>9.126883367</v>
      </c>
      <c r="BG211" s="333">
        <f t="shared" si="15"/>
        <v>25.96150997</v>
      </c>
      <c r="BH211" s="334"/>
      <c r="BI211" s="316"/>
      <c r="BJ211" s="318"/>
      <c r="BK211" s="318"/>
      <c r="BL211" s="318"/>
      <c r="BM211" s="318"/>
      <c r="BN211" s="318"/>
      <c r="BO211" s="318"/>
      <c r="BP211" s="318"/>
      <c r="BQ211" s="338"/>
      <c r="BR211" s="420"/>
      <c r="BS211" s="330">
        <f t="shared" si="16"/>
        <v>0</v>
      </c>
      <c r="BT211" s="331">
        <f t="shared" si="17"/>
        <v>0</v>
      </c>
      <c r="BU211" s="331"/>
      <c r="BV211" s="333"/>
      <c r="BW211" s="330"/>
      <c r="BX211" s="331"/>
      <c r="BY211" s="331"/>
      <c r="BZ211" s="340"/>
      <c r="CA211" s="316"/>
      <c r="CB211" s="318"/>
      <c r="CC211" s="318"/>
      <c r="CD211" s="318"/>
      <c r="CE211" s="318"/>
      <c r="CF211" s="318"/>
      <c r="CG211" s="318"/>
      <c r="CH211" s="318"/>
      <c r="CI211" s="338"/>
      <c r="CJ211" s="341"/>
      <c r="CK211" s="342">
        <f t="shared" si="18"/>
        <v>0</v>
      </c>
      <c r="CL211" s="333">
        <f t="shared" si="19"/>
        <v>0</v>
      </c>
      <c r="CM211" s="423"/>
      <c r="CN211" s="424"/>
      <c r="CO211" s="424"/>
      <c r="CP211" s="424"/>
    </row>
    <row r="212">
      <c r="A212" s="315" t="s">
        <v>25</v>
      </c>
      <c r="B212" s="316"/>
      <c r="C212" s="417">
        <v>43669.0</v>
      </c>
      <c r="D212" s="318"/>
      <c r="E212" s="319">
        <v>9.0</v>
      </c>
      <c r="F212" s="332"/>
      <c r="G212" s="321">
        <v>0.6392939814814815</v>
      </c>
      <c r="H212" s="323">
        <v>0.6398842592592593</v>
      </c>
      <c r="I212" s="323"/>
      <c r="J212" s="323"/>
      <c r="K212" s="323">
        <v>0.6413078703703704</v>
      </c>
      <c r="L212" s="322">
        <f t="shared" si="7"/>
        <v>0.002013888889</v>
      </c>
      <c r="M212" s="319" t="s">
        <v>168</v>
      </c>
      <c r="N212" s="324" t="s">
        <v>187</v>
      </c>
      <c r="O212" s="419" t="s">
        <v>1073</v>
      </c>
      <c r="P212" s="318"/>
      <c r="Q212" s="318"/>
      <c r="R212" s="326">
        <v>15.0</v>
      </c>
      <c r="S212" s="319">
        <v>8.0</v>
      </c>
      <c r="T212" s="332"/>
      <c r="U212" s="319">
        <v>7.0</v>
      </c>
      <c r="V212" s="319"/>
      <c r="W212" s="319"/>
      <c r="X212" s="319"/>
      <c r="Y212" s="319"/>
      <c r="Z212" s="319" t="s">
        <v>318</v>
      </c>
      <c r="AA212" s="319"/>
      <c r="AB212" s="318"/>
      <c r="AC212" s="327" t="s">
        <v>1074</v>
      </c>
      <c r="AD212" s="319"/>
      <c r="AE212" s="319"/>
      <c r="AF212" s="319"/>
      <c r="AG212" s="319"/>
      <c r="AH212" s="319"/>
      <c r="AI212" s="319"/>
      <c r="AJ212" s="327"/>
      <c r="AK212" s="328"/>
      <c r="AL212" s="319"/>
      <c r="AM212" s="319"/>
      <c r="AN212" s="319"/>
      <c r="AO212" s="319"/>
      <c r="AP212" s="319"/>
      <c r="AQ212" s="319"/>
      <c r="AR212" s="319"/>
      <c r="AS212" s="327"/>
      <c r="AT212" s="344"/>
      <c r="AU212" s="345" t="s">
        <v>845</v>
      </c>
      <c r="AV212" s="330">
        <f>SQRT(($R212-Infrastructure!J$3)^2+($S212-Infrastructure!K$3)^2)</f>
        <v>25.90173739</v>
      </c>
      <c r="AW212" s="331">
        <f>SQRT(($R212-Infrastructure!J$4)^2+($S212-Infrastructure!K$4)^2)</f>
        <v>18.1694799</v>
      </c>
      <c r="AX212" s="331">
        <f>SQRT(($R212-Infrastructure!J$5)^2+($S212-Infrastructure!K$5)^2)</f>
        <v>15.5724115</v>
      </c>
      <c r="AY212" s="331">
        <f>SQRT(($R212-Infrastructure!J$6)^2+($S212-Infrastructure!K$6)^2)</f>
        <v>9.126883367</v>
      </c>
      <c r="AZ212" s="331">
        <f>SQRT(($R212-Infrastructure!J$7)^2+($S212-Infrastructure!K$7)^2)</f>
        <v>9.462557794</v>
      </c>
      <c r="BA212" s="331">
        <f>SQRT(($R212-Infrastructure!J$8)^2+($S212-Infrastructure!K$8)^2)</f>
        <v>16.94992625</v>
      </c>
      <c r="BB212" s="331">
        <f>SQRT(($R212-Infrastructure!J$9)^2+($S212-Infrastructure!K$9)^2)</f>
        <v>25.16763795</v>
      </c>
      <c r="BC212" s="331">
        <f>SQRT(($R212-Infrastructure!J$10)^2+($S212-Infrastructure!K$10)^2)</f>
        <v>25.96150997</v>
      </c>
      <c r="BD212" s="318"/>
      <c r="BE212" s="332"/>
      <c r="BF212" s="330">
        <f t="shared" si="14"/>
        <v>9.126883367</v>
      </c>
      <c r="BG212" s="333">
        <f t="shared" si="15"/>
        <v>25.96150997</v>
      </c>
      <c r="BH212" s="334"/>
      <c r="BI212" s="316"/>
      <c r="BJ212" s="318"/>
      <c r="BK212" s="318"/>
      <c r="BL212" s="318"/>
      <c r="BM212" s="318"/>
      <c r="BN212" s="318"/>
      <c r="BO212" s="318"/>
      <c r="BP212" s="318"/>
      <c r="BQ212" s="338"/>
      <c r="BR212" s="420"/>
      <c r="BS212" s="330">
        <f t="shared" si="16"/>
        <v>0</v>
      </c>
      <c r="BT212" s="331">
        <f t="shared" si="17"/>
        <v>0</v>
      </c>
      <c r="BU212" s="331"/>
      <c r="BV212" s="333"/>
      <c r="BW212" s="330"/>
      <c r="BX212" s="331"/>
      <c r="BY212" s="331"/>
      <c r="BZ212" s="340"/>
      <c r="CA212" s="316"/>
      <c r="CB212" s="318"/>
      <c r="CC212" s="318"/>
      <c r="CD212" s="318"/>
      <c r="CE212" s="318"/>
      <c r="CF212" s="318"/>
      <c r="CG212" s="318"/>
      <c r="CH212" s="318"/>
      <c r="CI212" s="338"/>
      <c r="CJ212" s="341"/>
      <c r="CK212" s="342">
        <f t="shared" si="18"/>
        <v>0</v>
      </c>
      <c r="CL212" s="333">
        <f t="shared" si="19"/>
        <v>0</v>
      </c>
      <c r="CM212" s="423"/>
      <c r="CN212" s="424"/>
      <c r="CO212" s="424"/>
      <c r="CP212" s="424"/>
    </row>
    <row r="213">
      <c r="A213" s="315" t="s">
        <v>25</v>
      </c>
      <c r="B213" s="316"/>
      <c r="C213" s="417">
        <v>43669.0</v>
      </c>
      <c r="D213" s="318"/>
      <c r="E213" s="319">
        <v>10.0</v>
      </c>
      <c r="F213" s="332"/>
      <c r="G213" s="321">
        <v>0.6440972222222222</v>
      </c>
      <c r="H213" s="323">
        <v>0.6444328703703703</v>
      </c>
      <c r="I213" s="323"/>
      <c r="J213" s="323"/>
      <c r="K213" s="323">
        <v>0.6486226851851852</v>
      </c>
      <c r="L213" s="322">
        <f t="shared" si="7"/>
        <v>0.004525462963</v>
      </c>
      <c r="M213" s="319" t="s">
        <v>168</v>
      </c>
      <c r="N213" s="324" t="s">
        <v>187</v>
      </c>
      <c r="O213" s="419" t="s">
        <v>1076</v>
      </c>
      <c r="P213" s="319" t="s">
        <v>235</v>
      </c>
      <c r="Q213" s="318"/>
      <c r="R213" s="326">
        <v>11.0</v>
      </c>
      <c r="S213" s="319">
        <v>8.0</v>
      </c>
      <c r="T213" s="332"/>
      <c r="U213" s="319">
        <v>1.0</v>
      </c>
      <c r="V213" s="319"/>
      <c r="W213" s="319"/>
      <c r="X213" s="319"/>
      <c r="Y213" s="319"/>
      <c r="Z213" s="319" t="s">
        <v>1095</v>
      </c>
      <c r="AA213" s="319"/>
      <c r="AB213" s="318"/>
      <c r="AC213" s="327">
        <v>1.5</v>
      </c>
      <c r="AD213" s="319"/>
      <c r="AE213" s="319"/>
      <c r="AF213" s="319"/>
      <c r="AG213" s="319"/>
      <c r="AH213" s="319"/>
      <c r="AI213" s="319"/>
      <c r="AJ213" s="327"/>
      <c r="AK213" s="328"/>
      <c r="AL213" s="319"/>
      <c r="AM213" s="319"/>
      <c r="AN213" s="319"/>
      <c r="AO213" s="319"/>
      <c r="AP213" s="319"/>
      <c r="AQ213" s="319"/>
      <c r="AR213" s="319"/>
      <c r="AS213" s="327"/>
      <c r="AT213" s="344"/>
      <c r="AU213" s="345" t="s">
        <v>845</v>
      </c>
      <c r="AV213" s="330">
        <f>SQRT(($R213-Infrastructure!J$3)^2+($S213-Infrastructure!K$3)^2)</f>
        <v>23.75920874</v>
      </c>
      <c r="AW213" s="331">
        <f>SQRT(($R213-Infrastructure!J$4)^2+($S213-Infrastructure!K$4)^2)</f>
        <v>14.95760676</v>
      </c>
      <c r="AX213" s="331">
        <f>SQRT(($R213-Infrastructure!J$5)^2+($S213-Infrastructure!K$5)^2)</f>
        <v>11.66619047</v>
      </c>
      <c r="AY213" s="331">
        <f>SQRT(($R213-Infrastructure!J$6)^2+($S213-Infrastructure!K$6)^2)</f>
        <v>7.752418977</v>
      </c>
      <c r="AZ213" s="331">
        <f>SQRT(($R213-Infrastructure!J$7)^2+($S213-Infrastructure!K$7)^2)</f>
        <v>12.22865487</v>
      </c>
      <c r="BA213" s="331">
        <f>SQRT(($R213-Infrastructure!J$8)^2+($S213-Infrastructure!K$8)^2)</f>
        <v>20.59368835</v>
      </c>
      <c r="BB213" s="331">
        <f>SQRT(($R213-Infrastructure!J$9)^2+($S213-Infrastructure!K$9)^2)</f>
        <v>29.1446393</v>
      </c>
      <c r="BC213" s="331">
        <f>SQRT(($R213-Infrastructure!J$10)^2+($S213-Infrastructure!K$10)^2)</f>
        <v>29.83286778</v>
      </c>
      <c r="BD213" s="318"/>
      <c r="BE213" s="332"/>
      <c r="BF213" s="330">
        <f t="shared" si="14"/>
        <v>7.752418977</v>
      </c>
      <c r="BG213" s="333">
        <f t="shared" si="15"/>
        <v>29.83286778</v>
      </c>
      <c r="BH213" s="334"/>
      <c r="BI213" s="316"/>
      <c r="BJ213" s="318"/>
      <c r="BK213" s="318"/>
      <c r="BL213" s="318"/>
      <c r="BM213" s="318"/>
      <c r="BN213" s="318"/>
      <c r="BO213" s="318"/>
      <c r="BP213" s="318"/>
      <c r="BQ213" s="338"/>
      <c r="BR213" s="420"/>
      <c r="BS213" s="330">
        <f t="shared" si="16"/>
        <v>0</v>
      </c>
      <c r="BT213" s="331">
        <f t="shared" si="17"/>
        <v>0</v>
      </c>
      <c r="BU213" s="331"/>
      <c r="BV213" s="333"/>
      <c r="BW213" s="330"/>
      <c r="BX213" s="331"/>
      <c r="BY213" s="331"/>
      <c r="BZ213" s="340"/>
      <c r="CA213" s="316"/>
      <c r="CB213" s="318"/>
      <c r="CC213" s="318"/>
      <c r="CD213" s="318"/>
      <c r="CE213" s="318"/>
      <c r="CF213" s="318"/>
      <c r="CG213" s="318"/>
      <c r="CH213" s="318"/>
      <c r="CI213" s="338"/>
      <c r="CJ213" s="341"/>
      <c r="CK213" s="342">
        <f t="shared" si="18"/>
        <v>0</v>
      </c>
      <c r="CL213" s="333">
        <f t="shared" si="19"/>
        <v>0</v>
      </c>
      <c r="CM213" s="423"/>
      <c r="CN213" s="424"/>
      <c r="CO213" s="424"/>
      <c r="CP213" s="424"/>
    </row>
    <row r="214">
      <c r="A214" s="315" t="s">
        <v>25</v>
      </c>
      <c r="B214" s="316"/>
      <c r="C214" s="417">
        <v>43669.0</v>
      </c>
      <c r="D214" s="318"/>
      <c r="E214" s="319">
        <v>11.0</v>
      </c>
      <c r="F214" s="332"/>
      <c r="G214" s="321">
        <v>0.6510532407407408</v>
      </c>
      <c r="H214" s="323">
        <v>0.6514236111111111</v>
      </c>
      <c r="I214" s="323"/>
      <c r="J214" s="323"/>
      <c r="K214" s="323">
        <v>0.6527893518518518</v>
      </c>
      <c r="L214" s="322">
        <f t="shared" si="7"/>
        <v>0.001736111111</v>
      </c>
      <c r="M214" s="319" t="s">
        <v>168</v>
      </c>
      <c r="N214" s="324" t="s">
        <v>187</v>
      </c>
      <c r="O214" s="419" t="s">
        <v>1076</v>
      </c>
      <c r="P214" s="319" t="s">
        <v>235</v>
      </c>
      <c r="Q214" s="318"/>
      <c r="R214" s="326">
        <v>11.0</v>
      </c>
      <c r="S214" s="319">
        <v>8.0</v>
      </c>
      <c r="T214" s="332"/>
      <c r="U214" s="319">
        <v>4.0</v>
      </c>
      <c r="V214" s="319"/>
      <c r="W214" s="319"/>
      <c r="X214" s="319"/>
      <c r="Y214" s="319"/>
      <c r="Z214" s="319" t="s">
        <v>1095</v>
      </c>
      <c r="AA214" s="319"/>
      <c r="AB214" s="318"/>
      <c r="AC214" s="327">
        <v>2.5</v>
      </c>
      <c r="AD214" s="319"/>
      <c r="AE214" s="319"/>
      <c r="AF214" s="319"/>
      <c r="AG214" s="319"/>
      <c r="AH214" s="319"/>
      <c r="AI214" s="319"/>
      <c r="AJ214" s="327"/>
      <c r="AK214" s="328"/>
      <c r="AL214" s="319"/>
      <c r="AM214" s="319"/>
      <c r="AN214" s="319"/>
      <c r="AO214" s="319"/>
      <c r="AP214" s="319"/>
      <c r="AQ214" s="319"/>
      <c r="AR214" s="319"/>
      <c r="AS214" s="327"/>
      <c r="AT214" s="344"/>
      <c r="AU214" s="345" t="s">
        <v>845</v>
      </c>
      <c r="AV214" s="330">
        <f>SQRT(($R214-Infrastructure!J$3)^2+($S214-Infrastructure!K$3)^2)</f>
        <v>23.75920874</v>
      </c>
      <c r="AW214" s="331">
        <f>SQRT(($R214-Infrastructure!J$4)^2+($S214-Infrastructure!K$4)^2)</f>
        <v>14.95760676</v>
      </c>
      <c r="AX214" s="331">
        <f>SQRT(($R214-Infrastructure!J$5)^2+($S214-Infrastructure!K$5)^2)</f>
        <v>11.66619047</v>
      </c>
      <c r="AY214" s="331">
        <f>SQRT(($R214-Infrastructure!J$6)^2+($S214-Infrastructure!K$6)^2)</f>
        <v>7.752418977</v>
      </c>
      <c r="AZ214" s="331">
        <f>SQRT(($R214-Infrastructure!J$7)^2+($S214-Infrastructure!K$7)^2)</f>
        <v>12.22865487</v>
      </c>
      <c r="BA214" s="331">
        <f>SQRT(($R214-Infrastructure!J$8)^2+($S214-Infrastructure!K$8)^2)</f>
        <v>20.59368835</v>
      </c>
      <c r="BB214" s="331">
        <f>SQRT(($R214-Infrastructure!J$9)^2+($S214-Infrastructure!K$9)^2)</f>
        <v>29.1446393</v>
      </c>
      <c r="BC214" s="331">
        <f>SQRT(($R214-Infrastructure!J$10)^2+($S214-Infrastructure!K$10)^2)</f>
        <v>29.83286778</v>
      </c>
      <c r="BD214" s="318"/>
      <c r="BE214" s="332"/>
      <c r="BF214" s="330">
        <f t="shared" si="14"/>
        <v>7.752418977</v>
      </c>
      <c r="BG214" s="333">
        <f t="shared" si="15"/>
        <v>29.83286778</v>
      </c>
      <c r="BH214" s="334"/>
      <c r="BI214" s="316"/>
      <c r="BJ214" s="318"/>
      <c r="BK214" s="318"/>
      <c r="BL214" s="318"/>
      <c r="BM214" s="318"/>
      <c r="BN214" s="318"/>
      <c r="BO214" s="318"/>
      <c r="BP214" s="318"/>
      <c r="BQ214" s="338"/>
      <c r="BR214" s="420"/>
      <c r="BS214" s="330">
        <f t="shared" si="16"/>
        <v>0</v>
      </c>
      <c r="BT214" s="331">
        <f t="shared" si="17"/>
        <v>0</v>
      </c>
      <c r="BU214" s="331"/>
      <c r="BV214" s="333"/>
      <c r="BW214" s="330"/>
      <c r="BX214" s="331"/>
      <c r="BY214" s="331"/>
      <c r="BZ214" s="340"/>
      <c r="CA214" s="316"/>
      <c r="CB214" s="318"/>
      <c r="CC214" s="318"/>
      <c r="CD214" s="318"/>
      <c r="CE214" s="318"/>
      <c r="CF214" s="318"/>
      <c r="CG214" s="318"/>
      <c r="CH214" s="318"/>
      <c r="CI214" s="338"/>
      <c r="CJ214" s="341"/>
      <c r="CK214" s="342">
        <f t="shared" si="18"/>
        <v>0</v>
      </c>
      <c r="CL214" s="333">
        <f t="shared" si="19"/>
        <v>0</v>
      </c>
      <c r="CM214" s="423"/>
      <c r="CN214" s="424"/>
      <c r="CO214" s="424"/>
      <c r="CP214" s="424"/>
    </row>
    <row r="215">
      <c r="A215" s="315" t="s">
        <v>25</v>
      </c>
      <c r="B215" s="316"/>
      <c r="C215" s="417">
        <v>43669.0</v>
      </c>
      <c r="D215" s="318"/>
      <c r="E215" s="319">
        <v>12.0</v>
      </c>
      <c r="F215" s="332"/>
      <c r="G215" s="321">
        <v>0.6538194444444444</v>
      </c>
      <c r="H215" s="323">
        <v>0.654375</v>
      </c>
      <c r="I215" s="323"/>
      <c r="J215" s="323"/>
      <c r="K215" s="323">
        <v>0.6557523148148148</v>
      </c>
      <c r="L215" s="322">
        <f t="shared" si="7"/>
        <v>0.00193287037</v>
      </c>
      <c r="M215" s="319" t="s">
        <v>168</v>
      </c>
      <c r="N215" s="324" t="s">
        <v>187</v>
      </c>
      <c r="O215" s="419" t="s">
        <v>1076</v>
      </c>
      <c r="P215" s="319" t="s">
        <v>235</v>
      </c>
      <c r="Q215" s="318"/>
      <c r="R215" s="326">
        <v>11.0</v>
      </c>
      <c r="S215" s="319">
        <v>8.0</v>
      </c>
      <c r="T215" s="332"/>
      <c r="U215" s="319">
        <v>8.0</v>
      </c>
      <c r="V215" s="319"/>
      <c r="W215" s="319"/>
      <c r="X215" s="319"/>
      <c r="Y215" s="319"/>
      <c r="Z215" s="319" t="s">
        <v>1095</v>
      </c>
      <c r="AA215" s="319"/>
      <c r="AB215" s="318"/>
      <c r="AC215" s="327">
        <v>2.5</v>
      </c>
      <c r="AD215" s="319"/>
      <c r="AE215" s="319"/>
      <c r="AF215" s="319"/>
      <c r="AG215" s="319"/>
      <c r="AH215" s="319"/>
      <c r="AI215" s="319"/>
      <c r="AJ215" s="327"/>
      <c r="AK215" s="328"/>
      <c r="AL215" s="319"/>
      <c r="AM215" s="319"/>
      <c r="AN215" s="319"/>
      <c r="AO215" s="319"/>
      <c r="AP215" s="319"/>
      <c r="AQ215" s="319"/>
      <c r="AR215" s="319"/>
      <c r="AS215" s="327"/>
      <c r="AT215" s="344"/>
      <c r="AU215" s="345" t="s">
        <v>845</v>
      </c>
      <c r="AV215" s="330">
        <f>SQRT(($R215-Infrastructure!J$3)^2+($S215-Infrastructure!K$3)^2)</f>
        <v>23.75920874</v>
      </c>
      <c r="AW215" s="331">
        <f>SQRT(($R215-Infrastructure!J$4)^2+($S215-Infrastructure!K$4)^2)</f>
        <v>14.95760676</v>
      </c>
      <c r="AX215" s="331">
        <f>SQRT(($R215-Infrastructure!J$5)^2+($S215-Infrastructure!K$5)^2)</f>
        <v>11.66619047</v>
      </c>
      <c r="AY215" s="331">
        <f>SQRT(($R215-Infrastructure!J$6)^2+($S215-Infrastructure!K$6)^2)</f>
        <v>7.752418977</v>
      </c>
      <c r="AZ215" s="331">
        <f>SQRT(($R215-Infrastructure!J$7)^2+($S215-Infrastructure!K$7)^2)</f>
        <v>12.22865487</v>
      </c>
      <c r="BA215" s="331">
        <f>SQRT(($R215-Infrastructure!J$8)^2+($S215-Infrastructure!K$8)^2)</f>
        <v>20.59368835</v>
      </c>
      <c r="BB215" s="331">
        <f>SQRT(($R215-Infrastructure!J$9)^2+($S215-Infrastructure!K$9)^2)</f>
        <v>29.1446393</v>
      </c>
      <c r="BC215" s="331">
        <f>SQRT(($R215-Infrastructure!J$10)^2+($S215-Infrastructure!K$10)^2)</f>
        <v>29.83286778</v>
      </c>
      <c r="BD215" s="318"/>
      <c r="BE215" s="332"/>
      <c r="BF215" s="330">
        <f t="shared" si="14"/>
        <v>7.752418977</v>
      </c>
      <c r="BG215" s="333">
        <f t="shared" si="15"/>
        <v>29.83286778</v>
      </c>
      <c r="BH215" s="334"/>
      <c r="BI215" s="316"/>
      <c r="BJ215" s="318"/>
      <c r="BK215" s="318"/>
      <c r="BL215" s="318"/>
      <c r="BM215" s="318"/>
      <c r="BN215" s="318"/>
      <c r="BO215" s="318"/>
      <c r="BP215" s="318"/>
      <c r="BQ215" s="338"/>
      <c r="BR215" s="420"/>
      <c r="BS215" s="330">
        <f t="shared" si="16"/>
        <v>0</v>
      </c>
      <c r="BT215" s="331">
        <f t="shared" si="17"/>
        <v>0</v>
      </c>
      <c r="BU215" s="331"/>
      <c r="BV215" s="333"/>
      <c r="BW215" s="330"/>
      <c r="BX215" s="331"/>
      <c r="BY215" s="331"/>
      <c r="BZ215" s="340"/>
      <c r="CA215" s="316"/>
      <c r="CB215" s="318"/>
      <c r="CC215" s="318"/>
      <c r="CD215" s="318"/>
      <c r="CE215" s="318"/>
      <c r="CF215" s="318"/>
      <c r="CG215" s="318"/>
      <c r="CH215" s="318"/>
      <c r="CI215" s="338"/>
      <c r="CJ215" s="341"/>
      <c r="CK215" s="342">
        <f t="shared" si="18"/>
        <v>0</v>
      </c>
      <c r="CL215" s="333">
        <f t="shared" si="19"/>
        <v>0</v>
      </c>
      <c r="CM215" s="423"/>
      <c r="CN215" s="424"/>
      <c r="CO215" s="424"/>
      <c r="CP215" s="424"/>
    </row>
    <row r="216">
      <c r="A216" s="315" t="s">
        <v>25</v>
      </c>
      <c r="B216" s="316"/>
      <c r="C216" s="417">
        <v>43669.0</v>
      </c>
      <c r="D216" s="318"/>
      <c r="E216" s="319">
        <v>15.0</v>
      </c>
      <c r="F216" s="332"/>
      <c r="G216" s="321">
        <v>0.6728125</v>
      </c>
      <c r="H216" s="323">
        <v>0.6730902777777777</v>
      </c>
      <c r="I216" s="323"/>
      <c r="J216" s="323"/>
      <c r="K216" s="323">
        <v>0.6744907407407408</v>
      </c>
      <c r="L216" s="322">
        <f t="shared" si="7"/>
        <v>0.001678240741</v>
      </c>
      <c r="M216" s="319" t="s">
        <v>168</v>
      </c>
      <c r="N216" s="324" t="s">
        <v>187</v>
      </c>
      <c r="O216" s="419" t="s">
        <v>204</v>
      </c>
      <c r="P216" s="319" t="s">
        <v>253</v>
      </c>
      <c r="Q216" s="318"/>
      <c r="R216" s="326">
        <v>18.0</v>
      </c>
      <c r="S216" s="319">
        <v>3.5</v>
      </c>
      <c r="T216" s="324">
        <v>1.83</v>
      </c>
      <c r="U216" s="319">
        <v>1.0</v>
      </c>
      <c r="V216" s="319"/>
      <c r="W216" s="319"/>
      <c r="X216" s="319"/>
      <c r="Y216" s="319"/>
      <c r="Z216" s="319" t="s">
        <v>1103</v>
      </c>
      <c r="AA216" s="319"/>
      <c r="AB216" s="318"/>
      <c r="AC216" s="327">
        <v>10.0</v>
      </c>
      <c r="AD216" s="319"/>
      <c r="AE216" s="319"/>
      <c r="AF216" s="319"/>
      <c r="AG216" s="319"/>
      <c r="AH216" s="319"/>
      <c r="AI216" s="319"/>
      <c r="AJ216" s="327"/>
      <c r="AK216" s="328"/>
      <c r="AL216" s="319"/>
      <c r="AM216" s="319"/>
      <c r="AN216" s="319"/>
      <c r="AO216" s="319"/>
      <c r="AP216" s="319"/>
      <c r="AQ216" s="319"/>
      <c r="AR216" s="319"/>
      <c r="AS216" s="327"/>
      <c r="AT216" s="344"/>
      <c r="AU216" s="345" t="s">
        <v>845</v>
      </c>
      <c r="AV216" s="330">
        <f>SQRT(($R216-Infrastructure!J$3)^2+($S216-Infrastructure!K$3)^2)</f>
        <v>31.30575027</v>
      </c>
      <c r="AW216" s="331">
        <f>SQRT(($R216-Infrastructure!J$4)^2+($S216-Infrastructure!K$4)^2)</f>
        <v>23.22455597</v>
      </c>
      <c r="AX216" s="331">
        <f>SQRT(($R216-Infrastructure!J$5)^2+($S216-Infrastructure!K$5)^2)</f>
        <v>18.36981219</v>
      </c>
      <c r="AY216" s="331">
        <f>SQRT(($R216-Infrastructure!J$6)^2+($S216-Infrastructure!K$6)^2)</f>
        <v>8.523496935</v>
      </c>
      <c r="AZ216" s="331">
        <f>SQRT(($R216-Infrastructure!J$7)^2+($S216-Infrastructure!K$7)^2)</f>
        <v>4.060788101</v>
      </c>
      <c r="BA216" s="331">
        <f>SQRT(($R216-Infrastructure!J$8)^2+($S216-Infrastructure!K$8)^2)</f>
        <v>12.51598977</v>
      </c>
      <c r="BB216" s="331">
        <f>SQRT(($R216-Infrastructure!J$9)^2+($S216-Infrastructure!K$9)^2)</f>
        <v>22.05810509</v>
      </c>
      <c r="BC216" s="331">
        <f>SQRT(($R216-Infrastructure!J$10)^2+($S216-Infrastructure!K$10)^2)</f>
        <v>24.82438317</v>
      </c>
      <c r="BD216" s="318"/>
      <c r="BE216" s="332"/>
      <c r="BF216" s="330">
        <f t="shared" si="14"/>
        <v>4.060788101</v>
      </c>
      <c r="BG216" s="333">
        <f t="shared" si="15"/>
        <v>31.30575027</v>
      </c>
      <c r="BH216" s="334"/>
      <c r="BI216" s="316"/>
      <c r="BJ216" s="318"/>
      <c r="BK216" s="318"/>
      <c r="BL216" s="318"/>
      <c r="BM216" s="318"/>
      <c r="BN216" s="318"/>
      <c r="BO216" s="318"/>
      <c r="BP216" s="318"/>
      <c r="BQ216" s="338"/>
      <c r="BR216" s="420"/>
      <c r="BS216" s="330">
        <f t="shared" si="16"/>
        <v>0</v>
      </c>
      <c r="BT216" s="331">
        <f t="shared" si="17"/>
        <v>0</v>
      </c>
      <c r="BU216" s="331"/>
      <c r="BV216" s="333"/>
      <c r="BW216" s="330"/>
      <c r="BX216" s="331"/>
      <c r="BY216" s="331"/>
      <c r="BZ216" s="340"/>
      <c r="CA216" s="316"/>
      <c r="CB216" s="318"/>
      <c r="CC216" s="318"/>
      <c r="CD216" s="318"/>
      <c r="CE216" s="318"/>
      <c r="CF216" s="318"/>
      <c r="CG216" s="318"/>
      <c r="CH216" s="318"/>
      <c r="CI216" s="338"/>
      <c r="CJ216" s="341"/>
      <c r="CK216" s="342">
        <f t="shared" si="18"/>
        <v>0</v>
      </c>
      <c r="CL216" s="333">
        <f t="shared" si="19"/>
        <v>0</v>
      </c>
      <c r="CM216" s="421" t="s">
        <v>1104</v>
      </c>
      <c r="CN216" s="416"/>
      <c r="CO216" s="416"/>
      <c r="CP216" s="416"/>
    </row>
    <row r="217">
      <c r="A217" s="315" t="s">
        <v>25</v>
      </c>
      <c r="B217" s="316"/>
      <c r="C217" s="417">
        <v>43669.0</v>
      </c>
      <c r="D217" s="318"/>
      <c r="E217" s="319">
        <v>16.0</v>
      </c>
      <c r="F217" s="332"/>
      <c r="G217" s="321">
        <v>0.6753819444444444</v>
      </c>
      <c r="H217" s="323">
        <v>0.675775462962963</v>
      </c>
      <c r="I217" s="323"/>
      <c r="J217" s="323"/>
      <c r="K217" s="323">
        <v>0.6772106481481481</v>
      </c>
      <c r="L217" s="322">
        <f t="shared" si="7"/>
        <v>0.001828703704</v>
      </c>
      <c r="M217" s="319" t="s">
        <v>168</v>
      </c>
      <c r="N217" s="324" t="s">
        <v>187</v>
      </c>
      <c r="O217" s="419" t="s">
        <v>204</v>
      </c>
      <c r="P217" s="319" t="s">
        <v>253</v>
      </c>
      <c r="Q217" s="318"/>
      <c r="R217" s="326">
        <v>18.0</v>
      </c>
      <c r="S217" s="319">
        <v>3.5</v>
      </c>
      <c r="T217" s="324">
        <v>1.83</v>
      </c>
      <c r="U217" s="319">
        <v>5.0</v>
      </c>
      <c r="V217" s="319"/>
      <c r="W217" s="319"/>
      <c r="X217" s="319"/>
      <c r="Y217" s="319"/>
      <c r="Z217" s="319" t="s">
        <v>1103</v>
      </c>
      <c r="AA217" s="319"/>
      <c r="AB217" s="318"/>
      <c r="AC217" s="327">
        <v>10.0</v>
      </c>
      <c r="AD217" s="319"/>
      <c r="AE217" s="319"/>
      <c r="AF217" s="319"/>
      <c r="AG217" s="319"/>
      <c r="AH217" s="319"/>
      <c r="AI217" s="319"/>
      <c r="AJ217" s="327"/>
      <c r="AK217" s="328"/>
      <c r="AL217" s="319"/>
      <c r="AM217" s="319"/>
      <c r="AN217" s="319"/>
      <c r="AO217" s="319"/>
      <c r="AP217" s="319"/>
      <c r="AQ217" s="319"/>
      <c r="AR217" s="319"/>
      <c r="AS217" s="327"/>
      <c r="AT217" s="344"/>
      <c r="AU217" s="345" t="s">
        <v>845</v>
      </c>
      <c r="AV217" s="330">
        <f>SQRT(($R217-Infrastructure!J$3)^2+($S217-Infrastructure!K$3)^2)</f>
        <v>31.30575027</v>
      </c>
      <c r="AW217" s="331">
        <f>SQRT(($R217-Infrastructure!J$4)^2+($S217-Infrastructure!K$4)^2)</f>
        <v>23.22455597</v>
      </c>
      <c r="AX217" s="331">
        <f>SQRT(($R217-Infrastructure!J$5)^2+($S217-Infrastructure!K$5)^2)</f>
        <v>18.36981219</v>
      </c>
      <c r="AY217" s="331">
        <f>SQRT(($R217-Infrastructure!J$6)^2+($S217-Infrastructure!K$6)^2)</f>
        <v>8.523496935</v>
      </c>
      <c r="AZ217" s="331">
        <f>SQRT(($R217-Infrastructure!J$7)^2+($S217-Infrastructure!K$7)^2)</f>
        <v>4.060788101</v>
      </c>
      <c r="BA217" s="331">
        <f>SQRT(($R217-Infrastructure!J$8)^2+($S217-Infrastructure!K$8)^2)</f>
        <v>12.51598977</v>
      </c>
      <c r="BB217" s="331">
        <f>SQRT(($R217-Infrastructure!J$9)^2+($S217-Infrastructure!K$9)^2)</f>
        <v>22.05810509</v>
      </c>
      <c r="BC217" s="331">
        <f>SQRT(($R217-Infrastructure!J$10)^2+($S217-Infrastructure!K$10)^2)</f>
        <v>24.82438317</v>
      </c>
      <c r="BD217" s="318"/>
      <c r="BE217" s="332"/>
      <c r="BF217" s="330">
        <f t="shared" si="14"/>
        <v>4.060788101</v>
      </c>
      <c r="BG217" s="333">
        <f t="shared" si="15"/>
        <v>31.30575027</v>
      </c>
      <c r="BH217" s="334"/>
      <c r="BI217" s="316"/>
      <c r="BJ217" s="318"/>
      <c r="BK217" s="318"/>
      <c r="BL217" s="318"/>
      <c r="BM217" s="318"/>
      <c r="BN217" s="318"/>
      <c r="BO217" s="318"/>
      <c r="BP217" s="318"/>
      <c r="BQ217" s="338"/>
      <c r="BR217" s="420"/>
      <c r="BS217" s="330">
        <f t="shared" si="16"/>
        <v>0</v>
      </c>
      <c r="BT217" s="331">
        <f t="shared" si="17"/>
        <v>0</v>
      </c>
      <c r="BU217" s="331"/>
      <c r="BV217" s="333"/>
      <c r="BW217" s="330"/>
      <c r="BX217" s="331"/>
      <c r="BY217" s="331"/>
      <c r="BZ217" s="340"/>
      <c r="CA217" s="316"/>
      <c r="CB217" s="318"/>
      <c r="CC217" s="318"/>
      <c r="CD217" s="318"/>
      <c r="CE217" s="318"/>
      <c r="CF217" s="318"/>
      <c r="CG217" s="318"/>
      <c r="CH217" s="318"/>
      <c r="CI217" s="338"/>
      <c r="CJ217" s="341"/>
      <c r="CK217" s="342">
        <f t="shared" si="18"/>
        <v>0</v>
      </c>
      <c r="CL217" s="333">
        <f t="shared" si="19"/>
        <v>0</v>
      </c>
      <c r="CM217" s="421" t="s">
        <v>1104</v>
      </c>
      <c r="CN217" s="416"/>
      <c r="CO217" s="416"/>
      <c r="CP217" s="416"/>
    </row>
    <row r="218">
      <c r="A218" s="315" t="s">
        <v>25</v>
      </c>
      <c r="B218" s="316"/>
      <c r="C218" s="417">
        <v>43669.0</v>
      </c>
      <c r="D218" s="318"/>
      <c r="E218" s="319">
        <v>17.0</v>
      </c>
      <c r="F218" s="332"/>
      <c r="G218" s="321">
        <v>0.6779398148148148</v>
      </c>
      <c r="H218" s="323">
        <v>0.6787152777777777</v>
      </c>
      <c r="I218" s="323"/>
      <c r="J218" s="323"/>
      <c r="K218" s="323">
        <v>0.6801041666666666</v>
      </c>
      <c r="L218" s="322">
        <f t="shared" si="7"/>
        <v>0.002164351852</v>
      </c>
      <c r="M218" s="319" t="s">
        <v>168</v>
      </c>
      <c r="N218" s="324" t="s">
        <v>187</v>
      </c>
      <c r="O218" s="419" t="s">
        <v>204</v>
      </c>
      <c r="P218" s="319" t="s">
        <v>253</v>
      </c>
      <c r="Q218" s="318"/>
      <c r="R218" s="326">
        <v>18.0</v>
      </c>
      <c r="S218" s="319">
        <v>3.5</v>
      </c>
      <c r="T218" s="324">
        <v>1.83</v>
      </c>
      <c r="U218" s="319">
        <v>7.0</v>
      </c>
      <c r="V218" s="319"/>
      <c r="W218" s="319"/>
      <c r="X218" s="319"/>
      <c r="Y218" s="319"/>
      <c r="Z218" s="319" t="s">
        <v>1103</v>
      </c>
      <c r="AA218" s="319"/>
      <c r="AB218" s="318"/>
      <c r="AC218" s="327">
        <v>10.0</v>
      </c>
      <c r="AD218" s="319"/>
      <c r="AE218" s="319"/>
      <c r="AF218" s="319"/>
      <c r="AG218" s="319"/>
      <c r="AH218" s="319"/>
      <c r="AI218" s="319"/>
      <c r="AJ218" s="327"/>
      <c r="AK218" s="328"/>
      <c r="AL218" s="319"/>
      <c r="AM218" s="319"/>
      <c r="AN218" s="319"/>
      <c r="AO218" s="319"/>
      <c r="AP218" s="319"/>
      <c r="AQ218" s="319"/>
      <c r="AR218" s="319"/>
      <c r="AS218" s="327"/>
      <c r="AT218" s="344"/>
      <c r="AU218" s="345" t="s">
        <v>845</v>
      </c>
      <c r="AV218" s="330">
        <f>SQRT(($R218-Infrastructure!J$3)^2+($S218-Infrastructure!K$3)^2)</f>
        <v>31.30575027</v>
      </c>
      <c r="AW218" s="331">
        <f>SQRT(($R218-Infrastructure!J$4)^2+($S218-Infrastructure!K$4)^2)</f>
        <v>23.22455597</v>
      </c>
      <c r="AX218" s="331">
        <f>SQRT(($R218-Infrastructure!J$5)^2+($S218-Infrastructure!K$5)^2)</f>
        <v>18.36981219</v>
      </c>
      <c r="AY218" s="331">
        <f>SQRT(($R218-Infrastructure!J$6)^2+($S218-Infrastructure!K$6)^2)</f>
        <v>8.523496935</v>
      </c>
      <c r="AZ218" s="331">
        <f>SQRT(($R218-Infrastructure!J$7)^2+($S218-Infrastructure!K$7)^2)</f>
        <v>4.060788101</v>
      </c>
      <c r="BA218" s="331">
        <f>SQRT(($R218-Infrastructure!J$8)^2+($S218-Infrastructure!K$8)^2)</f>
        <v>12.51598977</v>
      </c>
      <c r="BB218" s="331">
        <f>SQRT(($R218-Infrastructure!J$9)^2+($S218-Infrastructure!K$9)^2)</f>
        <v>22.05810509</v>
      </c>
      <c r="BC218" s="331">
        <f>SQRT(($R218-Infrastructure!J$10)^2+($S218-Infrastructure!K$10)^2)</f>
        <v>24.82438317</v>
      </c>
      <c r="BD218" s="318"/>
      <c r="BE218" s="332"/>
      <c r="BF218" s="330">
        <f t="shared" si="14"/>
        <v>4.060788101</v>
      </c>
      <c r="BG218" s="333">
        <f t="shared" si="15"/>
        <v>31.30575027</v>
      </c>
      <c r="BH218" s="334"/>
      <c r="BI218" s="316"/>
      <c r="BJ218" s="318"/>
      <c r="BK218" s="318"/>
      <c r="BL218" s="318"/>
      <c r="BM218" s="318"/>
      <c r="BN218" s="318"/>
      <c r="BO218" s="318"/>
      <c r="BP218" s="318"/>
      <c r="BQ218" s="338"/>
      <c r="BR218" s="420"/>
      <c r="BS218" s="330">
        <f t="shared" si="16"/>
        <v>0</v>
      </c>
      <c r="BT218" s="331">
        <f t="shared" si="17"/>
        <v>0</v>
      </c>
      <c r="BU218" s="331"/>
      <c r="BV218" s="333"/>
      <c r="BW218" s="330"/>
      <c r="BX218" s="331"/>
      <c r="BY218" s="331"/>
      <c r="BZ218" s="340"/>
      <c r="CA218" s="316"/>
      <c r="CB218" s="318"/>
      <c r="CC218" s="318"/>
      <c r="CD218" s="318"/>
      <c r="CE218" s="318"/>
      <c r="CF218" s="318"/>
      <c r="CG218" s="318"/>
      <c r="CH218" s="318"/>
      <c r="CI218" s="338"/>
      <c r="CJ218" s="341"/>
      <c r="CK218" s="342">
        <f t="shared" si="18"/>
        <v>0</v>
      </c>
      <c r="CL218" s="333">
        <f t="shared" si="19"/>
        <v>0</v>
      </c>
      <c r="CM218" s="421" t="s">
        <v>1104</v>
      </c>
      <c r="CN218" s="416"/>
      <c r="CO218" s="416"/>
      <c r="CP218" s="416"/>
    </row>
    <row r="219">
      <c r="A219" s="315" t="s">
        <v>25</v>
      </c>
      <c r="B219" s="316"/>
      <c r="C219" s="417">
        <v>43669.0</v>
      </c>
      <c r="D219" s="318"/>
      <c r="E219" s="319">
        <v>18.0</v>
      </c>
      <c r="F219" s="332"/>
      <c r="G219" s="321">
        <v>0.6809259259259259</v>
      </c>
      <c r="H219" s="323">
        <v>0.6819097222222222</v>
      </c>
      <c r="I219" s="323"/>
      <c r="J219" s="323"/>
      <c r="K219" s="323">
        <v>0.6833333333333333</v>
      </c>
      <c r="L219" s="322">
        <f t="shared" si="7"/>
        <v>0.002407407407</v>
      </c>
      <c r="M219" s="319" t="s">
        <v>168</v>
      </c>
      <c r="N219" s="324" t="s">
        <v>187</v>
      </c>
      <c r="O219" s="419" t="s">
        <v>206</v>
      </c>
      <c r="P219" s="319" t="s">
        <v>223</v>
      </c>
      <c r="Q219" s="318"/>
      <c r="R219" s="326">
        <v>22.0</v>
      </c>
      <c r="S219" s="319">
        <v>8.0</v>
      </c>
      <c r="T219" s="324">
        <v>1.3</v>
      </c>
      <c r="U219" s="319">
        <v>1.0</v>
      </c>
      <c r="V219" s="319"/>
      <c r="W219" s="319"/>
      <c r="X219" s="319"/>
      <c r="Y219" s="319"/>
      <c r="Z219" s="319" t="s">
        <v>1105</v>
      </c>
      <c r="AA219" s="319"/>
      <c r="AB219" s="318"/>
      <c r="AC219" s="327">
        <v>6.0</v>
      </c>
      <c r="AD219" s="319"/>
      <c r="AE219" s="319"/>
      <c r="AF219" s="319"/>
      <c r="AG219" s="319"/>
      <c r="AH219" s="319"/>
      <c r="AI219" s="319"/>
      <c r="AJ219" s="327"/>
      <c r="AK219" s="328"/>
      <c r="AL219" s="319"/>
      <c r="AM219" s="319"/>
      <c r="AN219" s="319"/>
      <c r="AO219" s="319"/>
      <c r="AP219" s="319"/>
      <c r="AQ219" s="319"/>
      <c r="AR219" s="319"/>
      <c r="AS219" s="327"/>
      <c r="AT219" s="344"/>
      <c r="AU219" s="345" t="s">
        <v>845</v>
      </c>
      <c r="AV219" s="330">
        <f>SQRT(($R219-Infrastructure!J$3)^2+($S219-Infrastructure!K$3)^2)</f>
        <v>30.56304959</v>
      </c>
      <c r="AW219" s="331">
        <f>SQRT(($R219-Infrastructure!J$4)^2+($S219-Infrastructure!K$4)^2)</f>
        <v>24.35836612</v>
      </c>
      <c r="AX219" s="331">
        <f>SQRT(($R219-Infrastructure!J$5)^2+($S219-Infrastructure!K$5)^2)</f>
        <v>22.48777446</v>
      </c>
      <c r="AY219" s="331">
        <f>SQRT(($R219-Infrastructure!J$6)^2+($S219-Infrastructure!K$6)^2)</f>
        <v>14.17391971</v>
      </c>
      <c r="AZ219" s="331">
        <f>SQRT(($R219-Infrastructure!J$7)^2+($S219-Infrastructure!K$7)^2)</f>
        <v>7.844743463</v>
      </c>
      <c r="BA219" s="331">
        <f>SQRT(($R219-Infrastructure!J$8)^2+($S219-Infrastructure!K$8)^2)</f>
        <v>11.17586686</v>
      </c>
      <c r="BB219" s="331">
        <f>SQRT(($R219-Infrastructure!J$9)^2+($S219-Infrastructure!K$9)^2)</f>
        <v>18.23211452</v>
      </c>
      <c r="BC219" s="331">
        <f>SQRT(($R219-Infrastructure!J$10)^2+($S219-Infrastructure!K$10)^2)</f>
        <v>19.31320792</v>
      </c>
      <c r="BD219" s="318"/>
      <c r="BE219" s="332"/>
      <c r="BF219" s="330">
        <f t="shared" si="14"/>
        <v>7.844743463</v>
      </c>
      <c r="BG219" s="333">
        <f t="shared" si="15"/>
        <v>30.56304959</v>
      </c>
      <c r="BH219" s="334"/>
      <c r="BI219" s="316"/>
      <c r="BJ219" s="318"/>
      <c r="BK219" s="318"/>
      <c r="BL219" s="318"/>
      <c r="BM219" s="318"/>
      <c r="BN219" s="318"/>
      <c r="BO219" s="318"/>
      <c r="BP219" s="318"/>
      <c r="BQ219" s="338"/>
      <c r="BR219" s="420"/>
      <c r="BS219" s="330">
        <f t="shared" si="16"/>
        <v>0</v>
      </c>
      <c r="BT219" s="331">
        <f t="shared" si="17"/>
        <v>0</v>
      </c>
      <c r="BU219" s="331"/>
      <c r="BV219" s="333"/>
      <c r="BW219" s="330"/>
      <c r="BX219" s="331"/>
      <c r="BY219" s="331"/>
      <c r="BZ219" s="340"/>
      <c r="CA219" s="316"/>
      <c r="CB219" s="318"/>
      <c r="CC219" s="318"/>
      <c r="CD219" s="318"/>
      <c r="CE219" s="318"/>
      <c r="CF219" s="318"/>
      <c r="CG219" s="318"/>
      <c r="CH219" s="318"/>
      <c r="CI219" s="338"/>
      <c r="CJ219" s="341"/>
      <c r="CK219" s="342">
        <f t="shared" si="18"/>
        <v>0</v>
      </c>
      <c r="CL219" s="333">
        <f t="shared" si="19"/>
        <v>0</v>
      </c>
      <c r="CM219" s="421" t="s">
        <v>1104</v>
      </c>
      <c r="CN219" s="416"/>
      <c r="CO219" s="416"/>
      <c r="CP219" s="416"/>
    </row>
    <row r="220">
      <c r="A220" s="315" t="s">
        <v>25</v>
      </c>
      <c r="B220" s="316"/>
      <c r="C220" s="417">
        <v>43669.0</v>
      </c>
      <c r="D220" s="318"/>
      <c r="E220" s="319">
        <v>19.0</v>
      </c>
      <c r="F220" s="332"/>
      <c r="G220" s="321">
        <v>0.6840277777777778</v>
      </c>
      <c r="H220" s="323">
        <v>0.6843865740740741</v>
      </c>
      <c r="I220" s="323"/>
      <c r="J220" s="323"/>
      <c r="K220" s="323">
        <v>0.6857638888888888</v>
      </c>
      <c r="L220" s="322">
        <f t="shared" si="7"/>
        <v>0.001736111111</v>
      </c>
      <c r="M220" s="319" t="s">
        <v>168</v>
      </c>
      <c r="N220" s="324" t="s">
        <v>187</v>
      </c>
      <c r="O220" s="419" t="s">
        <v>206</v>
      </c>
      <c r="P220" s="319" t="s">
        <v>223</v>
      </c>
      <c r="Q220" s="318"/>
      <c r="R220" s="326">
        <v>22.0</v>
      </c>
      <c r="S220" s="319">
        <v>8.0</v>
      </c>
      <c r="T220" s="324">
        <v>1.3</v>
      </c>
      <c r="U220" s="319">
        <v>2.0</v>
      </c>
      <c r="V220" s="319"/>
      <c r="W220" s="319"/>
      <c r="X220" s="319"/>
      <c r="Y220" s="319"/>
      <c r="Z220" s="319" t="s">
        <v>1105</v>
      </c>
      <c r="AA220" s="319"/>
      <c r="AB220" s="318"/>
      <c r="AC220" s="327">
        <v>6.0</v>
      </c>
      <c r="AD220" s="319"/>
      <c r="AE220" s="319"/>
      <c r="AF220" s="319"/>
      <c r="AG220" s="319"/>
      <c r="AH220" s="319"/>
      <c r="AI220" s="319"/>
      <c r="AJ220" s="327"/>
      <c r="AK220" s="328"/>
      <c r="AL220" s="319"/>
      <c r="AM220" s="319"/>
      <c r="AN220" s="319"/>
      <c r="AO220" s="319"/>
      <c r="AP220" s="319"/>
      <c r="AQ220" s="319"/>
      <c r="AR220" s="319"/>
      <c r="AS220" s="327"/>
      <c r="AT220" s="344"/>
      <c r="AU220" s="345" t="s">
        <v>845</v>
      </c>
      <c r="AV220" s="330">
        <f>SQRT(($R220-Infrastructure!J$3)^2+($S220-Infrastructure!K$3)^2)</f>
        <v>30.56304959</v>
      </c>
      <c r="AW220" s="331">
        <f>SQRT(($R220-Infrastructure!J$4)^2+($S220-Infrastructure!K$4)^2)</f>
        <v>24.35836612</v>
      </c>
      <c r="AX220" s="331">
        <f>SQRT(($R220-Infrastructure!J$5)^2+($S220-Infrastructure!K$5)^2)</f>
        <v>22.48777446</v>
      </c>
      <c r="AY220" s="331">
        <f>SQRT(($R220-Infrastructure!J$6)^2+($S220-Infrastructure!K$6)^2)</f>
        <v>14.17391971</v>
      </c>
      <c r="AZ220" s="331">
        <f>SQRT(($R220-Infrastructure!J$7)^2+($S220-Infrastructure!K$7)^2)</f>
        <v>7.844743463</v>
      </c>
      <c r="BA220" s="331">
        <f>SQRT(($R220-Infrastructure!J$8)^2+($S220-Infrastructure!K$8)^2)</f>
        <v>11.17586686</v>
      </c>
      <c r="BB220" s="331">
        <f>SQRT(($R220-Infrastructure!J$9)^2+($S220-Infrastructure!K$9)^2)</f>
        <v>18.23211452</v>
      </c>
      <c r="BC220" s="331">
        <f>SQRT(($R220-Infrastructure!J$10)^2+($S220-Infrastructure!K$10)^2)</f>
        <v>19.31320792</v>
      </c>
      <c r="BD220" s="318"/>
      <c r="BE220" s="332"/>
      <c r="BF220" s="330">
        <f t="shared" si="14"/>
        <v>7.844743463</v>
      </c>
      <c r="BG220" s="333">
        <f t="shared" si="15"/>
        <v>30.56304959</v>
      </c>
      <c r="BH220" s="334"/>
      <c r="BI220" s="316"/>
      <c r="BJ220" s="318"/>
      <c r="BK220" s="318"/>
      <c r="BL220" s="318"/>
      <c r="BM220" s="318"/>
      <c r="BN220" s="318"/>
      <c r="BO220" s="318"/>
      <c r="BP220" s="318"/>
      <c r="BQ220" s="338"/>
      <c r="BR220" s="420"/>
      <c r="BS220" s="330">
        <f t="shared" si="16"/>
        <v>0</v>
      </c>
      <c r="BT220" s="331">
        <f t="shared" si="17"/>
        <v>0</v>
      </c>
      <c r="BU220" s="331"/>
      <c r="BV220" s="333"/>
      <c r="BW220" s="330"/>
      <c r="BX220" s="331"/>
      <c r="BY220" s="331"/>
      <c r="BZ220" s="340"/>
      <c r="CA220" s="316"/>
      <c r="CB220" s="318"/>
      <c r="CC220" s="318"/>
      <c r="CD220" s="318"/>
      <c r="CE220" s="318"/>
      <c r="CF220" s="318"/>
      <c r="CG220" s="318"/>
      <c r="CH220" s="318"/>
      <c r="CI220" s="338"/>
      <c r="CJ220" s="341"/>
      <c r="CK220" s="342">
        <f t="shared" si="18"/>
        <v>0</v>
      </c>
      <c r="CL220" s="333">
        <f t="shared" si="19"/>
        <v>0</v>
      </c>
      <c r="CM220" s="421" t="s">
        <v>1104</v>
      </c>
      <c r="CN220" s="416"/>
      <c r="CO220" s="416"/>
      <c r="CP220" s="416"/>
    </row>
    <row r="221">
      <c r="A221" s="315" t="s">
        <v>25</v>
      </c>
      <c r="B221" s="316"/>
      <c r="C221" s="417">
        <v>43669.0</v>
      </c>
      <c r="D221" s="318"/>
      <c r="E221" s="319">
        <v>20.0</v>
      </c>
      <c r="F221" s="332"/>
      <c r="G221" s="321">
        <v>0.6866550925925926</v>
      </c>
      <c r="H221" s="323">
        <v>0.6872800925925926</v>
      </c>
      <c r="I221" s="323"/>
      <c r="J221" s="323"/>
      <c r="K221" s="323">
        <v>0.6887384259259259</v>
      </c>
      <c r="L221" s="322">
        <f t="shared" si="7"/>
        <v>0.002083333333</v>
      </c>
      <c r="M221" s="319" t="s">
        <v>168</v>
      </c>
      <c r="N221" s="324" t="s">
        <v>187</v>
      </c>
      <c r="O221" s="419" t="s">
        <v>206</v>
      </c>
      <c r="P221" s="319" t="s">
        <v>223</v>
      </c>
      <c r="Q221" s="318"/>
      <c r="R221" s="326">
        <v>22.0</v>
      </c>
      <c r="S221" s="319">
        <v>8.0</v>
      </c>
      <c r="T221" s="324">
        <v>1.3</v>
      </c>
      <c r="U221" s="319">
        <v>4.0</v>
      </c>
      <c r="V221" s="319"/>
      <c r="W221" s="319"/>
      <c r="X221" s="319"/>
      <c r="Y221" s="319"/>
      <c r="Z221" s="319" t="s">
        <v>1105</v>
      </c>
      <c r="AA221" s="319"/>
      <c r="AB221" s="318"/>
      <c r="AC221" s="327">
        <v>6.0</v>
      </c>
      <c r="AD221" s="319"/>
      <c r="AE221" s="319"/>
      <c r="AF221" s="319"/>
      <c r="AG221" s="319"/>
      <c r="AH221" s="319"/>
      <c r="AI221" s="319"/>
      <c r="AJ221" s="327"/>
      <c r="AK221" s="328"/>
      <c r="AL221" s="319"/>
      <c r="AM221" s="319"/>
      <c r="AN221" s="319"/>
      <c r="AO221" s="319"/>
      <c r="AP221" s="319"/>
      <c r="AQ221" s="319"/>
      <c r="AR221" s="319"/>
      <c r="AS221" s="327"/>
      <c r="AT221" s="344"/>
      <c r="AU221" s="345" t="s">
        <v>845</v>
      </c>
      <c r="AV221" s="330">
        <f>SQRT(($R221-Infrastructure!J$3)^2+($S221-Infrastructure!K$3)^2)</f>
        <v>30.56304959</v>
      </c>
      <c r="AW221" s="331">
        <f>SQRT(($R221-Infrastructure!J$4)^2+($S221-Infrastructure!K$4)^2)</f>
        <v>24.35836612</v>
      </c>
      <c r="AX221" s="331">
        <f>SQRT(($R221-Infrastructure!J$5)^2+($S221-Infrastructure!K$5)^2)</f>
        <v>22.48777446</v>
      </c>
      <c r="AY221" s="331">
        <f>SQRT(($R221-Infrastructure!J$6)^2+($S221-Infrastructure!K$6)^2)</f>
        <v>14.17391971</v>
      </c>
      <c r="AZ221" s="331">
        <f>SQRT(($R221-Infrastructure!J$7)^2+($S221-Infrastructure!K$7)^2)</f>
        <v>7.844743463</v>
      </c>
      <c r="BA221" s="331">
        <f>SQRT(($R221-Infrastructure!J$8)^2+($S221-Infrastructure!K$8)^2)</f>
        <v>11.17586686</v>
      </c>
      <c r="BB221" s="331">
        <f>SQRT(($R221-Infrastructure!J$9)^2+($S221-Infrastructure!K$9)^2)</f>
        <v>18.23211452</v>
      </c>
      <c r="BC221" s="331">
        <f>SQRT(($R221-Infrastructure!J$10)^2+($S221-Infrastructure!K$10)^2)</f>
        <v>19.31320792</v>
      </c>
      <c r="BD221" s="318"/>
      <c r="BE221" s="332"/>
      <c r="BF221" s="330">
        <f t="shared" si="14"/>
        <v>7.844743463</v>
      </c>
      <c r="BG221" s="333">
        <f t="shared" si="15"/>
        <v>30.56304959</v>
      </c>
      <c r="BH221" s="334"/>
      <c r="BI221" s="316"/>
      <c r="BJ221" s="318"/>
      <c r="BK221" s="318"/>
      <c r="BL221" s="318"/>
      <c r="BM221" s="318"/>
      <c r="BN221" s="318"/>
      <c r="BO221" s="318"/>
      <c r="BP221" s="318"/>
      <c r="BQ221" s="338"/>
      <c r="BR221" s="420"/>
      <c r="BS221" s="330">
        <f t="shared" si="16"/>
        <v>0</v>
      </c>
      <c r="BT221" s="331">
        <f t="shared" si="17"/>
        <v>0</v>
      </c>
      <c r="BU221" s="331"/>
      <c r="BV221" s="333"/>
      <c r="BW221" s="330"/>
      <c r="BX221" s="331"/>
      <c r="BY221" s="331"/>
      <c r="BZ221" s="340"/>
      <c r="CA221" s="316"/>
      <c r="CB221" s="318"/>
      <c r="CC221" s="318"/>
      <c r="CD221" s="318"/>
      <c r="CE221" s="318"/>
      <c r="CF221" s="318"/>
      <c r="CG221" s="318"/>
      <c r="CH221" s="318"/>
      <c r="CI221" s="338"/>
      <c r="CJ221" s="341"/>
      <c r="CK221" s="342">
        <f t="shared" si="18"/>
        <v>0</v>
      </c>
      <c r="CL221" s="333">
        <f t="shared" si="19"/>
        <v>0</v>
      </c>
      <c r="CM221" s="421" t="s">
        <v>1104</v>
      </c>
      <c r="CN221" s="416"/>
      <c r="CO221" s="416"/>
      <c r="CP221" s="416"/>
    </row>
    <row r="222">
      <c r="A222" s="315" t="s">
        <v>25</v>
      </c>
      <c r="B222" s="316"/>
      <c r="C222" s="417">
        <v>43669.0</v>
      </c>
      <c r="D222" s="318"/>
      <c r="E222" s="319">
        <v>21.0</v>
      </c>
      <c r="F222" s="332"/>
      <c r="G222" s="321">
        <v>0.6976157407407407</v>
      </c>
      <c r="H222" s="323">
        <v>0.6980439814814815</v>
      </c>
      <c r="I222" s="323"/>
      <c r="J222" s="323"/>
      <c r="K222" s="323">
        <v>0.7118055555555556</v>
      </c>
      <c r="L222" s="322">
        <f t="shared" si="7"/>
        <v>0.01418981481</v>
      </c>
      <c r="M222" s="319" t="s">
        <v>168</v>
      </c>
      <c r="N222" s="324" t="s">
        <v>187</v>
      </c>
      <c r="O222" s="419" t="s">
        <v>1076</v>
      </c>
      <c r="P222" s="319" t="s">
        <v>235</v>
      </c>
      <c r="Q222" s="318"/>
      <c r="R222" s="326">
        <v>15.0</v>
      </c>
      <c r="S222" s="319">
        <v>6.0</v>
      </c>
      <c r="T222" s="332"/>
      <c r="U222" s="319">
        <v>1.0</v>
      </c>
      <c r="V222" s="319"/>
      <c r="W222" s="319"/>
      <c r="X222" s="319"/>
      <c r="Y222" s="319"/>
      <c r="Z222" s="319" t="s">
        <v>1095</v>
      </c>
      <c r="AA222" s="319"/>
      <c r="AB222" s="318"/>
      <c r="AC222" s="327">
        <v>1.0</v>
      </c>
      <c r="AD222" s="319"/>
      <c r="AE222" s="319"/>
      <c r="AF222" s="319"/>
      <c r="AG222" s="319"/>
      <c r="AH222" s="319"/>
      <c r="AI222" s="319"/>
      <c r="AJ222" s="327"/>
      <c r="AK222" s="328"/>
      <c r="AL222" s="319"/>
      <c r="AM222" s="319"/>
      <c r="AN222" s="319"/>
      <c r="AO222" s="319"/>
      <c r="AP222" s="319"/>
      <c r="AQ222" s="319"/>
      <c r="AR222" s="319"/>
      <c r="AS222" s="327"/>
      <c r="AT222" s="344"/>
      <c r="AU222" s="345" t="s">
        <v>845</v>
      </c>
      <c r="AV222" s="330">
        <f>SQRT(($R222-Infrastructure!J$3)^2+($S222-Infrastructure!K$3)^2)</f>
        <v>27.54087871</v>
      </c>
      <c r="AW222" s="331">
        <f>SQRT(($R222-Infrastructure!J$4)^2+($S222-Infrastructure!K$4)^2)</f>
        <v>19.3217494</v>
      </c>
      <c r="AX222" s="331">
        <f>SQRT(($R222-Infrastructure!J$5)^2+($S222-Infrastructure!K$5)^2)</f>
        <v>15.32644773</v>
      </c>
      <c r="AY222" s="331">
        <f>SQRT(($R222-Infrastructure!J$6)^2+($S222-Infrastructure!K$6)^2)</f>
        <v>7.516648189</v>
      </c>
      <c r="AZ222" s="331">
        <f>SQRT(($R222-Infrastructure!J$7)^2+($S222-Infrastructure!K$7)^2)</f>
        <v>7.920858539</v>
      </c>
      <c r="BA222" s="331">
        <f>SQRT(($R222-Infrastructure!J$8)^2+($S222-Infrastructure!K$8)^2)</f>
        <v>16.14001239</v>
      </c>
      <c r="BB222" s="331">
        <f>SQRT(($R222-Infrastructure!J$9)^2+($S222-Infrastructure!K$9)^2)</f>
        <v>25.01619475</v>
      </c>
      <c r="BC222" s="331">
        <f>SQRT(($R222-Infrastructure!J$10)^2+($S222-Infrastructure!K$10)^2)</f>
        <v>26.57066051</v>
      </c>
      <c r="BD222" s="318"/>
      <c r="BE222" s="332"/>
      <c r="BF222" s="330">
        <f t="shared" si="14"/>
        <v>7.516648189</v>
      </c>
      <c r="BG222" s="333">
        <f t="shared" si="15"/>
        <v>27.54087871</v>
      </c>
      <c r="BH222" s="334"/>
      <c r="BI222" s="316"/>
      <c r="BJ222" s="318"/>
      <c r="BK222" s="318"/>
      <c r="BL222" s="318"/>
      <c r="BM222" s="318"/>
      <c r="BN222" s="318"/>
      <c r="BO222" s="318"/>
      <c r="BP222" s="318"/>
      <c r="BQ222" s="338"/>
      <c r="BR222" s="420"/>
      <c r="BS222" s="330">
        <f t="shared" si="16"/>
        <v>0</v>
      </c>
      <c r="BT222" s="331">
        <f t="shared" si="17"/>
        <v>0</v>
      </c>
      <c r="BU222" s="331"/>
      <c r="BV222" s="333"/>
      <c r="BW222" s="330"/>
      <c r="BX222" s="331"/>
      <c r="BY222" s="331"/>
      <c r="BZ222" s="340"/>
      <c r="CA222" s="316"/>
      <c r="CB222" s="318"/>
      <c r="CC222" s="318"/>
      <c r="CD222" s="318"/>
      <c r="CE222" s="318"/>
      <c r="CF222" s="318"/>
      <c r="CG222" s="318"/>
      <c r="CH222" s="318"/>
      <c r="CI222" s="338"/>
      <c r="CJ222" s="341"/>
      <c r="CK222" s="342">
        <f t="shared" si="18"/>
        <v>0</v>
      </c>
      <c r="CL222" s="333">
        <f t="shared" si="19"/>
        <v>0</v>
      </c>
      <c r="CM222" s="421" t="s">
        <v>1106</v>
      </c>
      <c r="CN222" s="416"/>
      <c r="CO222" s="416"/>
      <c r="CP222" s="416"/>
    </row>
    <row r="223">
      <c r="A223" s="315" t="s">
        <v>25</v>
      </c>
      <c r="B223" s="316"/>
      <c r="C223" s="417">
        <v>43669.0</v>
      </c>
      <c r="D223" s="318"/>
      <c r="E223" s="319">
        <v>21.0</v>
      </c>
      <c r="F223" s="332"/>
      <c r="G223" s="321">
        <v>0.7118055555555556</v>
      </c>
      <c r="H223" s="323">
        <v>0.7118055555555556</v>
      </c>
      <c r="I223" s="323"/>
      <c r="J223" s="323"/>
      <c r="K223" s="323">
        <v>0.7159722222222222</v>
      </c>
      <c r="L223" s="322">
        <f t="shared" si="7"/>
        <v>0.004166666667</v>
      </c>
      <c r="M223" s="319" t="s">
        <v>168</v>
      </c>
      <c r="N223" s="324" t="s">
        <v>187</v>
      </c>
      <c r="O223" s="419" t="s">
        <v>1076</v>
      </c>
      <c r="P223" s="319" t="s">
        <v>235</v>
      </c>
      <c r="Q223" s="318"/>
      <c r="R223" s="326">
        <v>15.0</v>
      </c>
      <c r="S223" s="319">
        <v>6.0</v>
      </c>
      <c r="T223" s="332"/>
      <c r="U223" s="319">
        <v>0.5</v>
      </c>
      <c r="V223" s="319"/>
      <c r="W223" s="319"/>
      <c r="X223" s="319"/>
      <c r="Y223" s="319"/>
      <c r="Z223" s="319" t="s">
        <v>1095</v>
      </c>
      <c r="AA223" s="319"/>
      <c r="AB223" s="318"/>
      <c r="AC223" s="327">
        <v>1.0</v>
      </c>
      <c r="AD223" s="319"/>
      <c r="AE223" s="319"/>
      <c r="AF223" s="319"/>
      <c r="AG223" s="319"/>
      <c r="AH223" s="319"/>
      <c r="AI223" s="319"/>
      <c r="AJ223" s="327"/>
      <c r="AK223" s="328"/>
      <c r="AL223" s="319"/>
      <c r="AM223" s="319"/>
      <c r="AN223" s="319"/>
      <c r="AO223" s="319"/>
      <c r="AP223" s="319"/>
      <c r="AQ223" s="319"/>
      <c r="AR223" s="319"/>
      <c r="AS223" s="327"/>
      <c r="AT223" s="344"/>
      <c r="AU223" s="345" t="s">
        <v>845</v>
      </c>
      <c r="AV223" s="330">
        <f>SQRT(($R223-Infrastructure!J$3)^2+($S223-Infrastructure!K$3)^2)</f>
        <v>27.54087871</v>
      </c>
      <c r="AW223" s="331">
        <f>SQRT(($R223-Infrastructure!J$4)^2+($S223-Infrastructure!K$4)^2)</f>
        <v>19.3217494</v>
      </c>
      <c r="AX223" s="331">
        <f>SQRT(($R223-Infrastructure!J$5)^2+($S223-Infrastructure!K$5)^2)</f>
        <v>15.32644773</v>
      </c>
      <c r="AY223" s="331">
        <f>SQRT(($R223-Infrastructure!J$6)^2+($S223-Infrastructure!K$6)^2)</f>
        <v>7.516648189</v>
      </c>
      <c r="AZ223" s="331">
        <f>SQRT(($R223-Infrastructure!J$7)^2+($S223-Infrastructure!K$7)^2)</f>
        <v>7.920858539</v>
      </c>
      <c r="BA223" s="331">
        <f>SQRT(($R223-Infrastructure!J$8)^2+($S223-Infrastructure!K$8)^2)</f>
        <v>16.14001239</v>
      </c>
      <c r="BB223" s="331">
        <f>SQRT(($R223-Infrastructure!J$9)^2+($S223-Infrastructure!K$9)^2)</f>
        <v>25.01619475</v>
      </c>
      <c r="BC223" s="331">
        <f>SQRT(($R223-Infrastructure!J$10)^2+($S223-Infrastructure!K$10)^2)</f>
        <v>26.57066051</v>
      </c>
      <c r="BD223" s="318"/>
      <c r="BE223" s="332"/>
      <c r="BF223" s="330">
        <f t="shared" si="14"/>
        <v>7.516648189</v>
      </c>
      <c r="BG223" s="333">
        <f t="shared" si="15"/>
        <v>27.54087871</v>
      </c>
      <c r="BH223" s="334"/>
      <c r="BI223" s="316"/>
      <c r="BJ223" s="318"/>
      <c r="BK223" s="318"/>
      <c r="BL223" s="318"/>
      <c r="BM223" s="318"/>
      <c r="BN223" s="318"/>
      <c r="BO223" s="318"/>
      <c r="BP223" s="318"/>
      <c r="BQ223" s="338"/>
      <c r="BR223" s="420"/>
      <c r="BS223" s="330">
        <f t="shared" si="16"/>
        <v>0</v>
      </c>
      <c r="BT223" s="331">
        <f t="shared" si="17"/>
        <v>0</v>
      </c>
      <c r="BU223" s="331"/>
      <c r="BV223" s="333"/>
      <c r="BW223" s="330"/>
      <c r="BX223" s="331"/>
      <c r="BY223" s="331"/>
      <c r="BZ223" s="340"/>
      <c r="CA223" s="316"/>
      <c r="CB223" s="318"/>
      <c r="CC223" s="318"/>
      <c r="CD223" s="318"/>
      <c r="CE223" s="318"/>
      <c r="CF223" s="318"/>
      <c r="CG223" s="318"/>
      <c r="CH223" s="318"/>
      <c r="CI223" s="338"/>
      <c r="CJ223" s="341"/>
      <c r="CK223" s="342">
        <f t="shared" si="18"/>
        <v>0</v>
      </c>
      <c r="CL223" s="333">
        <f t="shared" si="19"/>
        <v>0</v>
      </c>
      <c r="CM223" s="421" t="s">
        <v>1107</v>
      </c>
      <c r="CN223" s="416"/>
      <c r="CO223" s="416"/>
      <c r="CP223" s="416"/>
    </row>
    <row r="224">
      <c r="A224" s="315" t="s">
        <v>25</v>
      </c>
      <c r="B224" s="316"/>
      <c r="C224" s="417">
        <v>43669.0</v>
      </c>
      <c r="D224" s="318"/>
      <c r="E224" s="319">
        <v>21.0</v>
      </c>
      <c r="F224" s="332"/>
      <c r="G224" s="321">
        <v>0.7159722222222222</v>
      </c>
      <c r="H224" s="323">
        <v>0.7159722222222222</v>
      </c>
      <c r="I224" s="323"/>
      <c r="J224" s="323"/>
      <c r="K224" s="323">
        <v>0.7180555555555556</v>
      </c>
      <c r="L224" s="322">
        <f t="shared" si="7"/>
        <v>0.002083333333</v>
      </c>
      <c r="M224" s="319" t="s">
        <v>168</v>
      </c>
      <c r="N224" s="324" t="s">
        <v>187</v>
      </c>
      <c r="O224" s="419" t="s">
        <v>1076</v>
      </c>
      <c r="P224" s="319" t="s">
        <v>235</v>
      </c>
      <c r="Q224" s="318"/>
      <c r="R224" s="326">
        <v>15.0</v>
      </c>
      <c r="S224" s="319">
        <v>6.0</v>
      </c>
      <c r="T224" s="332"/>
      <c r="U224" s="319">
        <v>0.3</v>
      </c>
      <c r="V224" s="319"/>
      <c r="W224" s="319"/>
      <c r="X224" s="319"/>
      <c r="Y224" s="319"/>
      <c r="Z224" s="319" t="s">
        <v>1095</v>
      </c>
      <c r="AA224" s="319"/>
      <c r="AB224" s="318"/>
      <c r="AC224" s="327">
        <v>1.0</v>
      </c>
      <c r="AD224" s="319"/>
      <c r="AE224" s="319"/>
      <c r="AF224" s="319"/>
      <c r="AG224" s="319"/>
      <c r="AH224" s="319"/>
      <c r="AI224" s="319"/>
      <c r="AJ224" s="327"/>
      <c r="AK224" s="328"/>
      <c r="AL224" s="319"/>
      <c r="AM224" s="319"/>
      <c r="AN224" s="319"/>
      <c r="AO224" s="319"/>
      <c r="AP224" s="319"/>
      <c r="AQ224" s="319"/>
      <c r="AR224" s="319"/>
      <c r="AS224" s="327"/>
      <c r="AT224" s="344"/>
      <c r="AU224" s="345" t="s">
        <v>845</v>
      </c>
      <c r="AV224" s="330">
        <f>SQRT(($R224-Infrastructure!J$3)^2+($S224-Infrastructure!K$3)^2)</f>
        <v>27.54087871</v>
      </c>
      <c r="AW224" s="331">
        <f>SQRT(($R224-Infrastructure!J$4)^2+($S224-Infrastructure!K$4)^2)</f>
        <v>19.3217494</v>
      </c>
      <c r="AX224" s="331">
        <f>SQRT(($R224-Infrastructure!J$5)^2+($S224-Infrastructure!K$5)^2)</f>
        <v>15.32644773</v>
      </c>
      <c r="AY224" s="331">
        <f>SQRT(($R224-Infrastructure!J$6)^2+($S224-Infrastructure!K$6)^2)</f>
        <v>7.516648189</v>
      </c>
      <c r="AZ224" s="331">
        <f>SQRT(($R224-Infrastructure!J$7)^2+($S224-Infrastructure!K$7)^2)</f>
        <v>7.920858539</v>
      </c>
      <c r="BA224" s="331">
        <f>SQRT(($R224-Infrastructure!J$8)^2+($S224-Infrastructure!K$8)^2)</f>
        <v>16.14001239</v>
      </c>
      <c r="BB224" s="331">
        <f>SQRT(($R224-Infrastructure!J$9)^2+($S224-Infrastructure!K$9)^2)</f>
        <v>25.01619475</v>
      </c>
      <c r="BC224" s="331">
        <f>SQRT(($R224-Infrastructure!J$10)^2+($S224-Infrastructure!K$10)^2)</f>
        <v>26.57066051</v>
      </c>
      <c r="BD224" s="318"/>
      <c r="BE224" s="332"/>
      <c r="BF224" s="330">
        <f t="shared" si="14"/>
        <v>7.516648189</v>
      </c>
      <c r="BG224" s="333">
        <f t="shared" si="15"/>
        <v>27.54087871</v>
      </c>
      <c r="BH224" s="334"/>
      <c r="BI224" s="316"/>
      <c r="BJ224" s="318"/>
      <c r="BK224" s="318"/>
      <c r="BL224" s="318"/>
      <c r="BM224" s="318"/>
      <c r="BN224" s="318"/>
      <c r="BO224" s="318"/>
      <c r="BP224" s="318"/>
      <c r="BQ224" s="338"/>
      <c r="BR224" s="420"/>
      <c r="BS224" s="330">
        <f t="shared" si="16"/>
        <v>0</v>
      </c>
      <c r="BT224" s="331">
        <f t="shared" si="17"/>
        <v>0</v>
      </c>
      <c r="BU224" s="331"/>
      <c r="BV224" s="333"/>
      <c r="BW224" s="330"/>
      <c r="BX224" s="331"/>
      <c r="BY224" s="331"/>
      <c r="BZ224" s="340"/>
      <c r="CA224" s="316"/>
      <c r="CB224" s="318"/>
      <c r="CC224" s="318"/>
      <c r="CD224" s="318"/>
      <c r="CE224" s="318"/>
      <c r="CF224" s="318"/>
      <c r="CG224" s="318"/>
      <c r="CH224" s="318"/>
      <c r="CI224" s="338"/>
      <c r="CJ224" s="341"/>
      <c r="CK224" s="342">
        <f t="shared" si="18"/>
        <v>0</v>
      </c>
      <c r="CL224" s="333">
        <f t="shared" si="19"/>
        <v>0</v>
      </c>
      <c r="CM224" s="421" t="s">
        <v>1107</v>
      </c>
      <c r="CN224" s="416"/>
      <c r="CO224" s="416"/>
      <c r="CP224" s="416"/>
    </row>
    <row r="225">
      <c r="A225" s="315" t="s">
        <v>25</v>
      </c>
      <c r="B225" s="316"/>
      <c r="C225" s="417">
        <v>43669.0</v>
      </c>
      <c r="D225" s="318"/>
      <c r="E225" s="319">
        <v>21.0</v>
      </c>
      <c r="F225" s="332"/>
      <c r="G225" s="321">
        <v>0.7180555555555556</v>
      </c>
      <c r="H225" s="323">
        <v>0.7180555555555556</v>
      </c>
      <c r="I225" s="323"/>
      <c r="J225" s="323"/>
      <c r="K225" s="323">
        <v>0.7208333333333333</v>
      </c>
      <c r="L225" s="322">
        <f t="shared" si="7"/>
        <v>0.002777777778</v>
      </c>
      <c r="M225" s="319" t="s">
        <v>168</v>
      </c>
      <c r="N225" s="324" t="s">
        <v>187</v>
      </c>
      <c r="O225" s="419" t="s">
        <v>1076</v>
      </c>
      <c r="P225" s="319" t="s">
        <v>235</v>
      </c>
      <c r="Q225" s="318"/>
      <c r="R225" s="326">
        <v>15.0</v>
      </c>
      <c r="S225" s="319">
        <v>6.0</v>
      </c>
      <c r="T225" s="332"/>
      <c r="U225" s="319">
        <v>0.1</v>
      </c>
      <c r="V225" s="319"/>
      <c r="W225" s="319"/>
      <c r="X225" s="319"/>
      <c r="Y225" s="319"/>
      <c r="Z225" s="319" t="s">
        <v>1095</v>
      </c>
      <c r="AA225" s="319"/>
      <c r="AB225" s="318"/>
      <c r="AC225" s="327">
        <v>1.0</v>
      </c>
      <c r="AD225" s="319"/>
      <c r="AE225" s="319"/>
      <c r="AF225" s="319"/>
      <c r="AG225" s="319"/>
      <c r="AH225" s="319"/>
      <c r="AI225" s="319"/>
      <c r="AJ225" s="327"/>
      <c r="AK225" s="328"/>
      <c r="AL225" s="319"/>
      <c r="AM225" s="319"/>
      <c r="AN225" s="319"/>
      <c r="AO225" s="319"/>
      <c r="AP225" s="319"/>
      <c r="AQ225" s="319"/>
      <c r="AR225" s="319"/>
      <c r="AS225" s="327"/>
      <c r="AT225" s="344"/>
      <c r="AU225" s="345" t="s">
        <v>845</v>
      </c>
      <c r="AV225" s="330">
        <f>SQRT(($R225-Infrastructure!J$3)^2+($S225-Infrastructure!K$3)^2)</f>
        <v>27.54087871</v>
      </c>
      <c r="AW225" s="331">
        <f>SQRT(($R225-Infrastructure!J$4)^2+($S225-Infrastructure!K$4)^2)</f>
        <v>19.3217494</v>
      </c>
      <c r="AX225" s="331">
        <f>SQRT(($R225-Infrastructure!J$5)^2+($S225-Infrastructure!K$5)^2)</f>
        <v>15.32644773</v>
      </c>
      <c r="AY225" s="331">
        <f>SQRT(($R225-Infrastructure!J$6)^2+($S225-Infrastructure!K$6)^2)</f>
        <v>7.516648189</v>
      </c>
      <c r="AZ225" s="331">
        <f>SQRT(($R225-Infrastructure!J$7)^2+($S225-Infrastructure!K$7)^2)</f>
        <v>7.920858539</v>
      </c>
      <c r="BA225" s="331">
        <f>SQRT(($R225-Infrastructure!J$8)^2+($S225-Infrastructure!K$8)^2)</f>
        <v>16.14001239</v>
      </c>
      <c r="BB225" s="331">
        <f>SQRT(($R225-Infrastructure!J$9)^2+($S225-Infrastructure!K$9)^2)</f>
        <v>25.01619475</v>
      </c>
      <c r="BC225" s="331">
        <f>SQRT(($R225-Infrastructure!J$10)^2+($S225-Infrastructure!K$10)^2)</f>
        <v>26.57066051</v>
      </c>
      <c r="BD225" s="318"/>
      <c r="BE225" s="332"/>
      <c r="BF225" s="330">
        <f t="shared" si="14"/>
        <v>7.516648189</v>
      </c>
      <c r="BG225" s="333">
        <f t="shared" si="15"/>
        <v>27.54087871</v>
      </c>
      <c r="BH225" s="334"/>
      <c r="BI225" s="316"/>
      <c r="BJ225" s="318"/>
      <c r="BK225" s="318"/>
      <c r="BL225" s="318"/>
      <c r="BM225" s="318"/>
      <c r="BN225" s="318"/>
      <c r="BO225" s="318"/>
      <c r="BP225" s="318"/>
      <c r="BQ225" s="338"/>
      <c r="BR225" s="420"/>
      <c r="BS225" s="330">
        <f t="shared" si="16"/>
        <v>0</v>
      </c>
      <c r="BT225" s="331">
        <f t="shared" si="17"/>
        <v>0</v>
      </c>
      <c r="BU225" s="331"/>
      <c r="BV225" s="333"/>
      <c r="BW225" s="330"/>
      <c r="BX225" s="331"/>
      <c r="BY225" s="331"/>
      <c r="BZ225" s="340"/>
      <c r="CA225" s="316"/>
      <c r="CB225" s="318"/>
      <c r="CC225" s="318"/>
      <c r="CD225" s="318"/>
      <c r="CE225" s="318"/>
      <c r="CF225" s="318"/>
      <c r="CG225" s="318"/>
      <c r="CH225" s="318"/>
      <c r="CI225" s="338"/>
      <c r="CJ225" s="341"/>
      <c r="CK225" s="342">
        <f t="shared" si="18"/>
        <v>0</v>
      </c>
      <c r="CL225" s="333">
        <f t="shared" si="19"/>
        <v>0</v>
      </c>
      <c r="CM225" s="421" t="s">
        <v>1107</v>
      </c>
      <c r="CN225" s="416"/>
      <c r="CO225" s="416"/>
      <c r="CP225" s="416"/>
    </row>
    <row r="226">
      <c r="A226" s="315" t="s">
        <v>25</v>
      </c>
      <c r="B226" s="316"/>
      <c r="C226" s="417">
        <v>43671.0</v>
      </c>
      <c r="D226" s="318"/>
      <c r="E226" s="319">
        <v>1.0</v>
      </c>
      <c r="F226" s="332"/>
      <c r="G226" s="321">
        <v>0.6024189814814814</v>
      </c>
      <c r="H226" s="323">
        <v>0.6031365740740741</v>
      </c>
      <c r="I226" s="323"/>
      <c r="J226" s="323"/>
      <c r="K226" s="323">
        <v>0.609363425925926</v>
      </c>
      <c r="L226" s="322">
        <f t="shared" si="7"/>
        <v>0.006944444444</v>
      </c>
      <c r="M226" s="319" t="s">
        <v>166</v>
      </c>
      <c r="N226" s="324" t="s">
        <v>187</v>
      </c>
      <c r="O226" s="419" t="s">
        <v>1071</v>
      </c>
      <c r="P226" s="319" t="s">
        <v>220</v>
      </c>
      <c r="Q226" s="318"/>
      <c r="R226" s="326">
        <v>24.5</v>
      </c>
      <c r="S226" s="319">
        <v>7.5</v>
      </c>
      <c r="T226" s="324">
        <v>0.6</v>
      </c>
      <c r="U226" s="319">
        <v>0.5</v>
      </c>
      <c r="V226" s="319"/>
      <c r="W226" s="319"/>
      <c r="X226" s="319"/>
      <c r="Y226" s="319"/>
      <c r="Z226" s="319" t="s">
        <v>331</v>
      </c>
      <c r="AA226" s="319"/>
      <c r="AB226" s="318"/>
      <c r="AC226" s="327">
        <v>1.0</v>
      </c>
      <c r="AD226" s="319"/>
      <c r="AE226" s="319"/>
      <c r="AF226" s="319"/>
      <c r="AG226" s="319"/>
      <c r="AH226" s="319"/>
      <c r="AI226" s="319"/>
      <c r="AJ226" s="327"/>
      <c r="AK226" s="328"/>
      <c r="AL226" s="319"/>
      <c r="AM226" s="319"/>
      <c r="AN226" s="319"/>
      <c r="AO226" s="319"/>
      <c r="AP226" s="319"/>
      <c r="AQ226" s="319"/>
      <c r="AR226" s="319"/>
      <c r="AS226" s="327"/>
      <c r="AT226" s="344"/>
      <c r="AU226" s="345" t="s">
        <v>845</v>
      </c>
      <c r="AV226" s="330">
        <f>SQRT(($R226-Infrastructure!J$3)^2+($S226-Infrastructure!K$3)^2)</f>
        <v>32.75667871</v>
      </c>
      <c r="AW226" s="331">
        <f>SQRT(($R226-Infrastructure!J$4)^2+($S226-Infrastructure!K$4)^2)</f>
        <v>26.85386378</v>
      </c>
      <c r="AX226" s="331">
        <f>SQRT(($R226-Infrastructure!J$5)^2+($S226-Infrastructure!K$5)^2)</f>
        <v>24.9158584</v>
      </c>
      <c r="AY226" s="331">
        <f>SQRT(($R226-Infrastructure!J$6)^2+($S226-Infrastructure!K$6)^2)</f>
        <v>16.09968944</v>
      </c>
      <c r="AZ226" s="331">
        <f>SQRT(($R226-Infrastructure!J$7)^2+($S226-Infrastructure!K$7)^2)</f>
        <v>8.236504113</v>
      </c>
      <c r="BA226" s="331">
        <f>SQRT(($R226-Infrastructure!J$8)^2+($S226-Infrastructure!K$8)^2)</f>
        <v>9.121403401</v>
      </c>
      <c r="BB226" s="331">
        <f>SQRT(($R226-Infrastructure!J$9)^2+($S226-Infrastructure!K$9)^2)</f>
        <v>15.68470593</v>
      </c>
      <c r="BC226" s="331">
        <f>SQRT(($R226-Infrastructure!J$10)^2+($S226-Infrastructure!K$10)^2)</f>
        <v>17.21917536</v>
      </c>
      <c r="BD226" s="318"/>
      <c r="BE226" s="332"/>
      <c r="BF226" s="330">
        <f t="shared" si="14"/>
        <v>8.236504113</v>
      </c>
      <c r="BG226" s="333">
        <f t="shared" si="15"/>
        <v>32.75667871</v>
      </c>
      <c r="BH226" s="334"/>
      <c r="BI226" s="316"/>
      <c r="BJ226" s="318"/>
      <c r="BK226" s="318"/>
      <c r="BL226" s="318"/>
      <c r="BM226" s="318"/>
      <c r="BN226" s="318"/>
      <c r="BO226" s="318"/>
      <c r="BP226" s="318"/>
      <c r="BQ226" s="338"/>
      <c r="BR226" s="420"/>
      <c r="BS226" s="330">
        <f t="shared" si="16"/>
        <v>0</v>
      </c>
      <c r="BT226" s="331">
        <f t="shared" si="17"/>
        <v>0</v>
      </c>
      <c r="BU226" s="331"/>
      <c r="BV226" s="333"/>
      <c r="BW226" s="330"/>
      <c r="BX226" s="331"/>
      <c r="BY226" s="331"/>
      <c r="BZ226" s="340"/>
      <c r="CA226" s="316"/>
      <c r="CB226" s="318"/>
      <c r="CC226" s="318"/>
      <c r="CD226" s="318"/>
      <c r="CE226" s="318"/>
      <c r="CF226" s="318"/>
      <c r="CG226" s="318"/>
      <c r="CH226" s="318"/>
      <c r="CI226" s="338"/>
      <c r="CJ226" s="341"/>
      <c r="CK226" s="342">
        <f t="shared" si="18"/>
        <v>0</v>
      </c>
      <c r="CL226" s="333">
        <f t="shared" si="19"/>
        <v>0</v>
      </c>
      <c r="CM226" s="423"/>
      <c r="CN226" s="424"/>
      <c r="CO226" s="424"/>
      <c r="CP226" s="424"/>
    </row>
    <row r="227">
      <c r="A227" s="315" t="s">
        <v>25</v>
      </c>
      <c r="B227" s="316"/>
      <c r="C227" s="417">
        <v>43671.0</v>
      </c>
      <c r="D227" s="318"/>
      <c r="E227" s="319">
        <v>2.0</v>
      </c>
      <c r="F227" s="332"/>
      <c r="G227" s="321">
        <v>0.6136574074074074</v>
      </c>
      <c r="H227" s="323">
        <v>0.614386574074074</v>
      </c>
      <c r="I227" s="323"/>
      <c r="J227" s="323"/>
      <c r="K227" s="323">
        <v>0.6206828703703704</v>
      </c>
      <c r="L227" s="322">
        <f t="shared" si="7"/>
        <v>0.007025462963</v>
      </c>
      <c r="M227" s="319" t="s">
        <v>166</v>
      </c>
      <c r="N227" s="324" t="s">
        <v>187</v>
      </c>
      <c r="O227" s="419" t="s">
        <v>1071</v>
      </c>
      <c r="P227" s="319" t="s">
        <v>220</v>
      </c>
      <c r="Q227" s="318"/>
      <c r="R227" s="326">
        <v>24.5</v>
      </c>
      <c r="S227" s="319">
        <v>7.5</v>
      </c>
      <c r="T227" s="324">
        <v>0.6</v>
      </c>
      <c r="U227" s="319">
        <v>0.8</v>
      </c>
      <c r="V227" s="319"/>
      <c r="W227" s="319"/>
      <c r="X227" s="319"/>
      <c r="Y227" s="319"/>
      <c r="Z227" s="319" t="s">
        <v>331</v>
      </c>
      <c r="AA227" s="319"/>
      <c r="AB227" s="318"/>
      <c r="AC227" s="327">
        <v>1.5</v>
      </c>
      <c r="AD227" s="319"/>
      <c r="AE227" s="319"/>
      <c r="AF227" s="319"/>
      <c r="AG227" s="319"/>
      <c r="AH227" s="319"/>
      <c r="AI227" s="319"/>
      <c r="AJ227" s="327"/>
      <c r="AK227" s="328"/>
      <c r="AL227" s="319"/>
      <c r="AM227" s="319"/>
      <c r="AN227" s="319"/>
      <c r="AO227" s="319"/>
      <c r="AP227" s="319"/>
      <c r="AQ227" s="319"/>
      <c r="AR227" s="319"/>
      <c r="AS227" s="327"/>
      <c r="AT227" s="344"/>
      <c r="AU227" s="345" t="s">
        <v>845</v>
      </c>
      <c r="AV227" s="330">
        <f>SQRT(($R227-Infrastructure!J$3)^2+($S227-Infrastructure!K$3)^2)</f>
        <v>32.75667871</v>
      </c>
      <c r="AW227" s="331">
        <f>SQRT(($R227-Infrastructure!J$4)^2+($S227-Infrastructure!K$4)^2)</f>
        <v>26.85386378</v>
      </c>
      <c r="AX227" s="331">
        <f>SQRT(($R227-Infrastructure!J$5)^2+($S227-Infrastructure!K$5)^2)</f>
        <v>24.9158584</v>
      </c>
      <c r="AY227" s="331">
        <f>SQRT(($R227-Infrastructure!J$6)^2+($S227-Infrastructure!K$6)^2)</f>
        <v>16.09968944</v>
      </c>
      <c r="AZ227" s="331">
        <f>SQRT(($R227-Infrastructure!J$7)^2+($S227-Infrastructure!K$7)^2)</f>
        <v>8.236504113</v>
      </c>
      <c r="BA227" s="331">
        <f>SQRT(($R227-Infrastructure!J$8)^2+($S227-Infrastructure!K$8)^2)</f>
        <v>9.121403401</v>
      </c>
      <c r="BB227" s="331">
        <f>SQRT(($R227-Infrastructure!J$9)^2+($S227-Infrastructure!K$9)^2)</f>
        <v>15.68470593</v>
      </c>
      <c r="BC227" s="331">
        <f>SQRT(($R227-Infrastructure!J$10)^2+($S227-Infrastructure!K$10)^2)</f>
        <v>17.21917536</v>
      </c>
      <c r="BD227" s="318"/>
      <c r="BE227" s="332"/>
      <c r="BF227" s="330">
        <f t="shared" si="14"/>
        <v>8.236504113</v>
      </c>
      <c r="BG227" s="333">
        <f t="shared" si="15"/>
        <v>32.75667871</v>
      </c>
      <c r="BH227" s="334"/>
      <c r="BI227" s="316"/>
      <c r="BJ227" s="318"/>
      <c r="BK227" s="318"/>
      <c r="BL227" s="318"/>
      <c r="BM227" s="318"/>
      <c r="BN227" s="318"/>
      <c r="BO227" s="318"/>
      <c r="BP227" s="318"/>
      <c r="BQ227" s="338"/>
      <c r="BR227" s="420"/>
      <c r="BS227" s="330">
        <f t="shared" si="16"/>
        <v>0</v>
      </c>
      <c r="BT227" s="331">
        <f t="shared" si="17"/>
        <v>0</v>
      </c>
      <c r="BU227" s="331"/>
      <c r="BV227" s="333"/>
      <c r="BW227" s="330"/>
      <c r="BX227" s="331"/>
      <c r="BY227" s="331"/>
      <c r="BZ227" s="340"/>
      <c r="CA227" s="316"/>
      <c r="CB227" s="318"/>
      <c r="CC227" s="318"/>
      <c r="CD227" s="318"/>
      <c r="CE227" s="318"/>
      <c r="CF227" s="318"/>
      <c r="CG227" s="318"/>
      <c r="CH227" s="318"/>
      <c r="CI227" s="338"/>
      <c r="CJ227" s="341"/>
      <c r="CK227" s="342">
        <f t="shared" si="18"/>
        <v>0</v>
      </c>
      <c r="CL227" s="333">
        <f t="shared" si="19"/>
        <v>0</v>
      </c>
      <c r="CM227" s="423"/>
      <c r="CN227" s="424"/>
      <c r="CO227" s="424"/>
      <c r="CP227" s="424"/>
    </row>
    <row r="228">
      <c r="A228" s="315" t="s">
        <v>25</v>
      </c>
      <c r="B228" s="316"/>
      <c r="C228" s="417">
        <v>43671.0</v>
      </c>
      <c r="D228" s="318"/>
      <c r="E228" s="319">
        <v>3.0</v>
      </c>
      <c r="F228" s="332"/>
      <c r="G228" s="321">
        <v>0.6244097222222222</v>
      </c>
      <c r="H228" s="323">
        <v>0.6250810185185185</v>
      </c>
      <c r="I228" s="323"/>
      <c r="J228" s="323"/>
      <c r="K228" s="323">
        <v>0.6264351851851852</v>
      </c>
      <c r="L228" s="322">
        <f t="shared" si="7"/>
        <v>0.002025462963</v>
      </c>
      <c r="M228" s="319" t="s">
        <v>166</v>
      </c>
      <c r="N228" s="324" t="s">
        <v>187</v>
      </c>
      <c r="O228" s="419" t="s">
        <v>1071</v>
      </c>
      <c r="P228" s="319" t="s">
        <v>220</v>
      </c>
      <c r="Q228" s="318"/>
      <c r="R228" s="326">
        <v>24.5</v>
      </c>
      <c r="S228" s="319">
        <v>7.5</v>
      </c>
      <c r="T228" s="324">
        <v>0.6</v>
      </c>
      <c r="U228" s="319">
        <v>3.0</v>
      </c>
      <c r="V228" s="319"/>
      <c r="W228" s="319"/>
      <c r="X228" s="319"/>
      <c r="Y228" s="319"/>
      <c r="Z228" s="319" t="s">
        <v>331</v>
      </c>
      <c r="AA228" s="319"/>
      <c r="AB228" s="318"/>
      <c r="AC228" s="327">
        <v>3.0</v>
      </c>
      <c r="AD228" s="319"/>
      <c r="AE228" s="319"/>
      <c r="AF228" s="319"/>
      <c r="AG228" s="319"/>
      <c r="AH228" s="319"/>
      <c r="AI228" s="319"/>
      <c r="AJ228" s="327"/>
      <c r="AK228" s="328"/>
      <c r="AL228" s="319"/>
      <c r="AM228" s="319"/>
      <c r="AN228" s="319"/>
      <c r="AO228" s="319"/>
      <c r="AP228" s="319"/>
      <c r="AQ228" s="319"/>
      <c r="AR228" s="319"/>
      <c r="AS228" s="327"/>
      <c r="AT228" s="344"/>
      <c r="AU228" s="345" t="s">
        <v>845</v>
      </c>
      <c r="AV228" s="330">
        <f>SQRT(($R228-Infrastructure!J$3)^2+($S228-Infrastructure!K$3)^2)</f>
        <v>32.75667871</v>
      </c>
      <c r="AW228" s="331">
        <f>SQRT(($R228-Infrastructure!J$4)^2+($S228-Infrastructure!K$4)^2)</f>
        <v>26.85386378</v>
      </c>
      <c r="AX228" s="331">
        <f>SQRT(($R228-Infrastructure!J$5)^2+($S228-Infrastructure!K$5)^2)</f>
        <v>24.9158584</v>
      </c>
      <c r="AY228" s="331">
        <f>SQRT(($R228-Infrastructure!J$6)^2+($S228-Infrastructure!K$6)^2)</f>
        <v>16.09968944</v>
      </c>
      <c r="AZ228" s="331">
        <f>SQRT(($R228-Infrastructure!J$7)^2+($S228-Infrastructure!K$7)^2)</f>
        <v>8.236504113</v>
      </c>
      <c r="BA228" s="331">
        <f>SQRT(($R228-Infrastructure!J$8)^2+($S228-Infrastructure!K$8)^2)</f>
        <v>9.121403401</v>
      </c>
      <c r="BB228" s="331">
        <f>SQRT(($R228-Infrastructure!J$9)^2+($S228-Infrastructure!K$9)^2)</f>
        <v>15.68470593</v>
      </c>
      <c r="BC228" s="331">
        <f>SQRT(($R228-Infrastructure!J$10)^2+($S228-Infrastructure!K$10)^2)</f>
        <v>17.21917536</v>
      </c>
      <c r="BD228" s="318"/>
      <c r="BE228" s="332"/>
      <c r="BF228" s="330">
        <f t="shared" si="14"/>
        <v>8.236504113</v>
      </c>
      <c r="BG228" s="333">
        <f t="shared" si="15"/>
        <v>32.75667871</v>
      </c>
      <c r="BH228" s="334"/>
      <c r="BI228" s="316"/>
      <c r="BJ228" s="318"/>
      <c r="BK228" s="318"/>
      <c r="BL228" s="318"/>
      <c r="BM228" s="318"/>
      <c r="BN228" s="318"/>
      <c r="BO228" s="318"/>
      <c r="BP228" s="318"/>
      <c r="BQ228" s="338"/>
      <c r="BR228" s="420"/>
      <c r="BS228" s="330">
        <f t="shared" si="16"/>
        <v>0</v>
      </c>
      <c r="BT228" s="331">
        <f t="shared" si="17"/>
        <v>0</v>
      </c>
      <c r="BU228" s="331"/>
      <c r="BV228" s="333"/>
      <c r="BW228" s="330"/>
      <c r="BX228" s="331"/>
      <c r="BY228" s="331"/>
      <c r="BZ228" s="340"/>
      <c r="CA228" s="316"/>
      <c r="CB228" s="318"/>
      <c r="CC228" s="318"/>
      <c r="CD228" s="318"/>
      <c r="CE228" s="318"/>
      <c r="CF228" s="318"/>
      <c r="CG228" s="318"/>
      <c r="CH228" s="318"/>
      <c r="CI228" s="338"/>
      <c r="CJ228" s="341"/>
      <c r="CK228" s="342">
        <f t="shared" si="18"/>
        <v>0</v>
      </c>
      <c r="CL228" s="333">
        <f t="shared" si="19"/>
        <v>0</v>
      </c>
      <c r="CM228" s="423"/>
      <c r="CN228" s="424"/>
      <c r="CO228" s="424"/>
      <c r="CP228" s="424"/>
    </row>
    <row r="229">
      <c r="A229" s="315" t="s">
        <v>25</v>
      </c>
      <c r="B229" s="316"/>
      <c r="C229" s="417">
        <v>43671.0</v>
      </c>
      <c r="D229" s="318"/>
      <c r="E229" s="319">
        <v>4.0</v>
      </c>
      <c r="F229" s="332"/>
      <c r="G229" s="321">
        <v>0.6299074074074074</v>
      </c>
      <c r="H229" s="323">
        <v>0.6302199074074074</v>
      </c>
      <c r="I229" s="323"/>
      <c r="J229" s="323"/>
      <c r="K229" s="323">
        <v>0.6386111111111111</v>
      </c>
      <c r="L229" s="322">
        <f t="shared" si="7"/>
        <v>0.008703703704</v>
      </c>
      <c r="M229" s="319" t="s">
        <v>166</v>
      </c>
      <c r="N229" s="324" t="s">
        <v>187</v>
      </c>
      <c r="O229" s="419" t="s">
        <v>1071</v>
      </c>
      <c r="P229" s="319" t="s">
        <v>220</v>
      </c>
      <c r="Q229" s="318"/>
      <c r="R229" s="326">
        <v>24.5</v>
      </c>
      <c r="S229" s="319">
        <v>7.5</v>
      </c>
      <c r="T229" s="324">
        <v>0.6</v>
      </c>
      <c r="U229" s="319">
        <v>4.0</v>
      </c>
      <c r="V229" s="319"/>
      <c r="W229" s="319"/>
      <c r="X229" s="319"/>
      <c r="Y229" s="319"/>
      <c r="Z229" s="319" t="s">
        <v>331</v>
      </c>
      <c r="AA229" s="319"/>
      <c r="AB229" s="318"/>
      <c r="AC229" s="327">
        <v>3.0</v>
      </c>
      <c r="AD229" s="319"/>
      <c r="AE229" s="319"/>
      <c r="AF229" s="319"/>
      <c r="AG229" s="319"/>
      <c r="AH229" s="319"/>
      <c r="AI229" s="319"/>
      <c r="AJ229" s="327"/>
      <c r="AK229" s="328"/>
      <c r="AL229" s="319"/>
      <c r="AM229" s="319"/>
      <c r="AN229" s="319"/>
      <c r="AO229" s="319"/>
      <c r="AP229" s="319"/>
      <c r="AQ229" s="319"/>
      <c r="AR229" s="319"/>
      <c r="AS229" s="327"/>
      <c r="AT229" s="344"/>
      <c r="AU229" s="345" t="s">
        <v>845</v>
      </c>
      <c r="AV229" s="330">
        <f>SQRT(($R229-Infrastructure!J$3)^2+($S229-Infrastructure!K$3)^2)</f>
        <v>32.75667871</v>
      </c>
      <c r="AW229" s="331">
        <f>SQRT(($R229-Infrastructure!J$4)^2+($S229-Infrastructure!K$4)^2)</f>
        <v>26.85386378</v>
      </c>
      <c r="AX229" s="331">
        <f>SQRT(($R229-Infrastructure!J$5)^2+($S229-Infrastructure!K$5)^2)</f>
        <v>24.9158584</v>
      </c>
      <c r="AY229" s="331">
        <f>SQRT(($R229-Infrastructure!J$6)^2+($S229-Infrastructure!K$6)^2)</f>
        <v>16.09968944</v>
      </c>
      <c r="AZ229" s="331">
        <f>SQRT(($R229-Infrastructure!J$7)^2+($S229-Infrastructure!K$7)^2)</f>
        <v>8.236504113</v>
      </c>
      <c r="BA229" s="331">
        <f>SQRT(($R229-Infrastructure!J$8)^2+($S229-Infrastructure!K$8)^2)</f>
        <v>9.121403401</v>
      </c>
      <c r="BB229" s="331">
        <f>SQRT(($R229-Infrastructure!J$9)^2+($S229-Infrastructure!K$9)^2)</f>
        <v>15.68470593</v>
      </c>
      <c r="BC229" s="331">
        <f>SQRT(($R229-Infrastructure!J$10)^2+($S229-Infrastructure!K$10)^2)</f>
        <v>17.21917536</v>
      </c>
      <c r="BD229" s="318"/>
      <c r="BE229" s="332"/>
      <c r="BF229" s="330">
        <f t="shared" si="14"/>
        <v>8.236504113</v>
      </c>
      <c r="BG229" s="333">
        <f t="shared" si="15"/>
        <v>32.75667871</v>
      </c>
      <c r="BH229" s="334"/>
      <c r="BI229" s="316"/>
      <c r="BJ229" s="318"/>
      <c r="BK229" s="318"/>
      <c r="BL229" s="318"/>
      <c r="BM229" s="318"/>
      <c r="BN229" s="318"/>
      <c r="BO229" s="318"/>
      <c r="BP229" s="318"/>
      <c r="BQ229" s="338"/>
      <c r="BR229" s="420"/>
      <c r="BS229" s="330">
        <f t="shared" si="16"/>
        <v>0</v>
      </c>
      <c r="BT229" s="331">
        <f t="shared" si="17"/>
        <v>0</v>
      </c>
      <c r="BU229" s="331"/>
      <c r="BV229" s="333"/>
      <c r="BW229" s="330"/>
      <c r="BX229" s="331"/>
      <c r="BY229" s="331"/>
      <c r="BZ229" s="340"/>
      <c r="CA229" s="316"/>
      <c r="CB229" s="318"/>
      <c r="CC229" s="318"/>
      <c r="CD229" s="318"/>
      <c r="CE229" s="318"/>
      <c r="CF229" s="318"/>
      <c r="CG229" s="318"/>
      <c r="CH229" s="318"/>
      <c r="CI229" s="338"/>
      <c r="CJ229" s="341"/>
      <c r="CK229" s="342">
        <f t="shared" si="18"/>
        <v>0</v>
      </c>
      <c r="CL229" s="333">
        <f t="shared" si="19"/>
        <v>0</v>
      </c>
      <c r="CM229" s="423"/>
      <c r="CN229" s="424"/>
      <c r="CO229" s="424"/>
      <c r="CP229" s="424"/>
    </row>
    <row r="230">
      <c r="A230" s="315" t="s">
        <v>25</v>
      </c>
      <c r="B230" s="316"/>
      <c r="C230" s="417">
        <v>43671.0</v>
      </c>
      <c r="D230" s="318"/>
      <c r="E230" s="319">
        <v>5.0</v>
      </c>
      <c r="F230" s="332"/>
      <c r="G230" s="321">
        <v>0.6420486111111111</v>
      </c>
      <c r="H230" s="323">
        <v>0.6428125</v>
      </c>
      <c r="I230" s="323"/>
      <c r="J230" s="323"/>
      <c r="K230" s="323">
        <v>0.6441898148148149</v>
      </c>
      <c r="L230" s="322">
        <f t="shared" si="7"/>
        <v>0.002141203704</v>
      </c>
      <c r="M230" s="319" t="s">
        <v>166</v>
      </c>
      <c r="N230" s="324" t="s">
        <v>187</v>
      </c>
      <c r="O230" s="419" t="s">
        <v>1071</v>
      </c>
      <c r="P230" s="319" t="s">
        <v>220</v>
      </c>
      <c r="Q230" s="318"/>
      <c r="R230" s="326">
        <v>24.5</v>
      </c>
      <c r="S230" s="319">
        <v>7.5</v>
      </c>
      <c r="T230" s="324">
        <v>0.6</v>
      </c>
      <c r="U230" s="319">
        <v>5.0</v>
      </c>
      <c r="V230" s="319"/>
      <c r="W230" s="319"/>
      <c r="X230" s="319"/>
      <c r="Y230" s="319"/>
      <c r="Z230" s="319" t="s">
        <v>331</v>
      </c>
      <c r="AA230" s="319"/>
      <c r="AB230" s="318"/>
      <c r="AC230" s="327">
        <v>3.0</v>
      </c>
      <c r="AD230" s="319"/>
      <c r="AE230" s="319"/>
      <c r="AF230" s="319"/>
      <c r="AG230" s="319"/>
      <c r="AH230" s="319"/>
      <c r="AI230" s="319"/>
      <c r="AJ230" s="327"/>
      <c r="AK230" s="328"/>
      <c r="AL230" s="319"/>
      <c r="AM230" s="319"/>
      <c r="AN230" s="319"/>
      <c r="AO230" s="319"/>
      <c r="AP230" s="319"/>
      <c r="AQ230" s="319"/>
      <c r="AR230" s="319"/>
      <c r="AS230" s="327"/>
      <c r="AT230" s="344"/>
      <c r="AU230" s="345" t="s">
        <v>845</v>
      </c>
      <c r="AV230" s="330">
        <f>SQRT(($R230-Infrastructure!J$3)^2+($S230-Infrastructure!K$3)^2)</f>
        <v>32.75667871</v>
      </c>
      <c r="AW230" s="331">
        <f>SQRT(($R230-Infrastructure!J$4)^2+($S230-Infrastructure!K$4)^2)</f>
        <v>26.85386378</v>
      </c>
      <c r="AX230" s="331">
        <f>SQRT(($R230-Infrastructure!J$5)^2+($S230-Infrastructure!K$5)^2)</f>
        <v>24.9158584</v>
      </c>
      <c r="AY230" s="331">
        <f>SQRT(($R230-Infrastructure!J$6)^2+($S230-Infrastructure!K$6)^2)</f>
        <v>16.09968944</v>
      </c>
      <c r="AZ230" s="331">
        <f>SQRT(($R230-Infrastructure!J$7)^2+($S230-Infrastructure!K$7)^2)</f>
        <v>8.236504113</v>
      </c>
      <c r="BA230" s="331">
        <f>SQRT(($R230-Infrastructure!J$8)^2+($S230-Infrastructure!K$8)^2)</f>
        <v>9.121403401</v>
      </c>
      <c r="BB230" s="331">
        <f>SQRT(($R230-Infrastructure!J$9)^2+($S230-Infrastructure!K$9)^2)</f>
        <v>15.68470593</v>
      </c>
      <c r="BC230" s="331">
        <f>SQRT(($R230-Infrastructure!J$10)^2+($S230-Infrastructure!K$10)^2)</f>
        <v>17.21917536</v>
      </c>
      <c r="BD230" s="318"/>
      <c r="BE230" s="332"/>
      <c r="BF230" s="330">
        <f t="shared" si="14"/>
        <v>8.236504113</v>
      </c>
      <c r="BG230" s="333">
        <f t="shared" si="15"/>
        <v>32.75667871</v>
      </c>
      <c r="BH230" s="334"/>
      <c r="BI230" s="316"/>
      <c r="BJ230" s="318"/>
      <c r="BK230" s="318"/>
      <c r="BL230" s="318"/>
      <c r="BM230" s="318"/>
      <c r="BN230" s="318"/>
      <c r="BO230" s="318"/>
      <c r="BP230" s="318"/>
      <c r="BQ230" s="338"/>
      <c r="BR230" s="420"/>
      <c r="BS230" s="330">
        <f t="shared" si="16"/>
        <v>0</v>
      </c>
      <c r="BT230" s="331">
        <f t="shared" si="17"/>
        <v>0</v>
      </c>
      <c r="BU230" s="331"/>
      <c r="BV230" s="333"/>
      <c r="BW230" s="330"/>
      <c r="BX230" s="331"/>
      <c r="BY230" s="331"/>
      <c r="BZ230" s="340"/>
      <c r="CA230" s="316"/>
      <c r="CB230" s="318"/>
      <c r="CC230" s="318"/>
      <c r="CD230" s="318"/>
      <c r="CE230" s="318"/>
      <c r="CF230" s="318"/>
      <c r="CG230" s="318"/>
      <c r="CH230" s="318"/>
      <c r="CI230" s="338"/>
      <c r="CJ230" s="341"/>
      <c r="CK230" s="342">
        <f t="shared" si="18"/>
        <v>0</v>
      </c>
      <c r="CL230" s="333">
        <f t="shared" si="19"/>
        <v>0</v>
      </c>
      <c r="CM230" s="423"/>
      <c r="CN230" s="424"/>
      <c r="CO230" s="424"/>
      <c r="CP230" s="424"/>
    </row>
    <row r="231">
      <c r="A231" s="315" t="s">
        <v>25</v>
      </c>
      <c r="B231" s="316"/>
      <c r="C231" s="417">
        <v>43671.0</v>
      </c>
      <c r="D231" s="318"/>
      <c r="E231" s="319">
        <v>6.0</v>
      </c>
      <c r="F231" s="332"/>
      <c r="G231" s="321">
        <v>0.6479513888888889</v>
      </c>
      <c r="H231" s="323">
        <v>0.6510532407407408</v>
      </c>
      <c r="I231" s="323"/>
      <c r="J231" s="323"/>
      <c r="K231" s="323">
        <v>0.6551967592592592</v>
      </c>
      <c r="L231" s="322">
        <f t="shared" si="7"/>
        <v>0.00724537037</v>
      </c>
      <c r="M231" s="319" t="s">
        <v>166</v>
      </c>
      <c r="N231" s="324" t="s">
        <v>187</v>
      </c>
      <c r="O231" s="419" t="s">
        <v>1073</v>
      </c>
      <c r="P231" s="318"/>
      <c r="Q231" s="318"/>
      <c r="R231" s="326">
        <v>10.0</v>
      </c>
      <c r="S231" s="319">
        <v>4.0</v>
      </c>
      <c r="T231" s="332"/>
      <c r="U231" s="319">
        <v>2.0</v>
      </c>
      <c r="V231" s="319"/>
      <c r="W231" s="319"/>
      <c r="X231" s="319"/>
      <c r="Y231" s="319"/>
      <c r="Z231" s="319" t="s">
        <v>318</v>
      </c>
      <c r="AA231" s="319"/>
      <c r="AB231" s="318"/>
      <c r="AC231" s="327" t="s">
        <v>1074</v>
      </c>
      <c r="AD231" s="319"/>
      <c r="AE231" s="319"/>
      <c r="AF231" s="319"/>
      <c r="AG231" s="319"/>
      <c r="AH231" s="319"/>
      <c r="AI231" s="319"/>
      <c r="AJ231" s="327"/>
      <c r="AK231" s="328"/>
      <c r="AL231" s="319"/>
      <c r="AM231" s="319"/>
      <c r="AN231" s="319"/>
      <c r="AO231" s="319"/>
      <c r="AP231" s="319"/>
      <c r="AQ231" s="319"/>
      <c r="AR231" s="319"/>
      <c r="AS231" s="327"/>
      <c r="AT231" s="344"/>
      <c r="AU231" s="345" t="s">
        <v>845</v>
      </c>
      <c r="AV231" s="330">
        <f>SQRT(($R231-Infrastructure!J$3)^2+($S231-Infrastructure!K$3)^2)</f>
        <v>26.94624278</v>
      </c>
      <c r="AW231" s="331">
        <f>SQRT(($R231-Infrastructure!J$4)^2+($S231-Infrastructure!K$4)^2)</f>
        <v>17.22004646</v>
      </c>
      <c r="AX231" s="331">
        <f>SQRT(($R231-Infrastructure!J$5)^2+($S231-Infrastructure!K$5)^2)</f>
        <v>10.35857133</v>
      </c>
      <c r="AY231" s="331">
        <f>SQRT(($R231-Infrastructure!J$6)^2+($S231-Infrastructure!K$6)^2)</f>
        <v>3.701351105</v>
      </c>
      <c r="AZ231" s="331">
        <f>SQRT(($R231-Infrastructure!J$7)^2+($S231-Infrastructure!K$7)^2)</f>
        <v>11.13283432</v>
      </c>
      <c r="BA231" s="331">
        <f>SQRT(($R231-Infrastructure!J$8)^2+($S231-Infrastructure!K$8)^2)</f>
        <v>20.43771024</v>
      </c>
      <c r="BB231" s="331">
        <f>SQRT(($R231-Infrastructure!J$9)^2+($S231-Infrastructure!K$9)^2)</f>
        <v>30.02015989</v>
      </c>
      <c r="BC231" s="331">
        <f>SQRT(($R231-Infrastructure!J$10)^2+($S231-Infrastructure!K$10)^2)</f>
        <v>31.95309062</v>
      </c>
      <c r="BD231" s="318"/>
      <c r="BE231" s="332"/>
      <c r="BF231" s="330">
        <f t="shared" si="14"/>
        <v>3.701351105</v>
      </c>
      <c r="BG231" s="333">
        <f t="shared" si="15"/>
        <v>31.95309062</v>
      </c>
      <c r="BH231" s="334"/>
      <c r="BI231" s="316"/>
      <c r="BJ231" s="318"/>
      <c r="BK231" s="318"/>
      <c r="BL231" s="318"/>
      <c r="BM231" s="318"/>
      <c r="BN231" s="318"/>
      <c r="BO231" s="318"/>
      <c r="BP231" s="318"/>
      <c r="BQ231" s="338"/>
      <c r="BR231" s="420"/>
      <c r="BS231" s="330">
        <f t="shared" si="16"/>
        <v>0</v>
      </c>
      <c r="BT231" s="331">
        <f t="shared" si="17"/>
        <v>0</v>
      </c>
      <c r="BU231" s="331"/>
      <c r="BV231" s="333"/>
      <c r="BW231" s="330"/>
      <c r="BX231" s="331"/>
      <c r="BY231" s="331"/>
      <c r="BZ231" s="340"/>
      <c r="CA231" s="316"/>
      <c r="CB231" s="318"/>
      <c r="CC231" s="318"/>
      <c r="CD231" s="318"/>
      <c r="CE231" s="318"/>
      <c r="CF231" s="318"/>
      <c r="CG231" s="318"/>
      <c r="CH231" s="318"/>
      <c r="CI231" s="338"/>
      <c r="CJ231" s="341"/>
      <c r="CK231" s="342">
        <f t="shared" si="18"/>
        <v>0</v>
      </c>
      <c r="CL231" s="333">
        <f t="shared" si="19"/>
        <v>0</v>
      </c>
      <c r="CM231" s="423"/>
      <c r="CN231" s="424"/>
      <c r="CO231" s="424"/>
      <c r="CP231" s="424"/>
    </row>
    <row r="232">
      <c r="A232" s="315" t="s">
        <v>25</v>
      </c>
      <c r="B232" s="316"/>
      <c r="C232" s="417">
        <v>43671.0</v>
      </c>
      <c r="D232" s="318"/>
      <c r="E232" s="319">
        <v>7.0</v>
      </c>
      <c r="F232" s="332"/>
      <c r="G232" s="321">
        <v>0.6586805555555556</v>
      </c>
      <c r="H232" s="323">
        <v>0.6590625</v>
      </c>
      <c r="I232" s="323"/>
      <c r="J232" s="323"/>
      <c r="K232" s="323">
        <v>0.6625462962962962</v>
      </c>
      <c r="L232" s="322">
        <f t="shared" si="7"/>
        <v>0.003865740741</v>
      </c>
      <c r="M232" s="319" t="s">
        <v>166</v>
      </c>
      <c r="N232" s="324" t="s">
        <v>187</v>
      </c>
      <c r="O232" s="419" t="s">
        <v>1073</v>
      </c>
      <c r="P232" s="318"/>
      <c r="Q232" s="318"/>
      <c r="R232" s="326">
        <v>10.0</v>
      </c>
      <c r="S232" s="319">
        <v>4.0</v>
      </c>
      <c r="T232" s="332"/>
      <c r="U232" s="319">
        <v>5.0</v>
      </c>
      <c r="V232" s="319"/>
      <c r="W232" s="319"/>
      <c r="X232" s="319"/>
      <c r="Y232" s="319"/>
      <c r="Z232" s="319" t="s">
        <v>318</v>
      </c>
      <c r="AA232" s="319"/>
      <c r="AB232" s="318"/>
      <c r="AC232" s="327" t="s">
        <v>1074</v>
      </c>
      <c r="AD232" s="319"/>
      <c r="AE232" s="319"/>
      <c r="AF232" s="319"/>
      <c r="AG232" s="319"/>
      <c r="AH232" s="319"/>
      <c r="AI232" s="319"/>
      <c r="AJ232" s="327"/>
      <c r="AK232" s="328"/>
      <c r="AL232" s="319"/>
      <c r="AM232" s="319"/>
      <c r="AN232" s="319"/>
      <c r="AO232" s="319"/>
      <c r="AP232" s="319"/>
      <c r="AQ232" s="319"/>
      <c r="AR232" s="319"/>
      <c r="AS232" s="327"/>
      <c r="AT232" s="344"/>
      <c r="AU232" s="345" t="s">
        <v>845</v>
      </c>
      <c r="AV232" s="330">
        <f>SQRT(($R232-Infrastructure!J$3)^2+($S232-Infrastructure!K$3)^2)</f>
        <v>26.94624278</v>
      </c>
      <c r="AW232" s="331">
        <f>SQRT(($R232-Infrastructure!J$4)^2+($S232-Infrastructure!K$4)^2)</f>
        <v>17.22004646</v>
      </c>
      <c r="AX232" s="331">
        <f>SQRT(($R232-Infrastructure!J$5)^2+($S232-Infrastructure!K$5)^2)</f>
        <v>10.35857133</v>
      </c>
      <c r="AY232" s="331">
        <f>SQRT(($R232-Infrastructure!J$6)^2+($S232-Infrastructure!K$6)^2)</f>
        <v>3.701351105</v>
      </c>
      <c r="AZ232" s="331">
        <f>SQRT(($R232-Infrastructure!J$7)^2+($S232-Infrastructure!K$7)^2)</f>
        <v>11.13283432</v>
      </c>
      <c r="BA232" s="331">
        <f>SQRT(($R232-Infrastructure!J$8)^2+($S232-Infrastructure!K$8)^2)</f>
        <v>20.43771024</v>
      </c>
      <c r="BB232" s="331">
        <f>SQRT(($R232-Infrastructure!J$9)^2+($S232-Infrastructure!K$9)^2)</f>
        <v>30.02015989</v>
      </c>
      <c r="BC232" s="331">
        <f>SQRT(($R232-Infrastructure!J$10)^2+($S232-Infrastructure!K$10)^2)</f>
        <v>31.95309062</v>
      </c>
      <c r="BD232" s="318"/>
      <c r="BE232" s="332"/>
      <c r="BF232" s="330">
        <f t="shared" si="14"/>
        <v>3.701351105</v>
      </c>
      <c r="BG232" s="333">
        <f t="shared" si="15"/>
        <v>31.95309062</v>
      </c>
      <c r="BH232" s="334"/>
      <c r="BI232" s="316"/>
      <c r="BJ232" s="318"/>
      <c r="BK232" s="318"/>
      <c r="BL232" s="318"/>
      <c r="BM232" s="318"/>
      <c r="BN232" s="318"/>
      <c r="BO232" s="318"/>
      <c r="BP232" s="318"/>
      <c r="BQ232" s="338"/>
      <c r="BR232" s="420"/>
      <c r="BS232" s="330">
        <f t="shared" si="16"/>
        <v>0</v>
      </c>
      <c r="BT232" s="331">
        <f t="shared" si="17"/>
        <v>0</v>
      </c>
      <c r="BU232" s="331"/>
      <c r="BV232" s="333"/>
      <c r="BW232" s="330"/>
      <c r="BX232" s="331"/>
      <c r="BY232" s="331"/>
      <c r="BZ232" s="340"/>
      <c r="CA232" s="316"/>
      <c r="CB232" s="318"/>
      <c r="CC232" s="318"/>
      <c r="CD232" s="318"/>
      <c r="CE232" s="318"/>
      <c r="CF232" s="318"/>
      <c r="CG232" s="318"/>
      <c r="CH232" s="318"/>
      <c r="CI232" s="338"/>
      <c r="CJ232" s="341"/>
      <c r="CK232" s="342">
        <f t="shared" si="18"/>
        <v>0</v>
      </c>
      <c r="CL232" s="333">
        <f t="shared" si="19"/>
        <v>0</v>
      </c>
      <c r="CM232" s="423"/>
      <c r="CN232" s="424"/>
      <c r="CO232" s="424"/>
      <c r="CP232" s="424"/>
    </row>
    <row r="233">
      <c r="A233" s="315" t="s">
        <v>25</v>
      </c>
      <c r="B233" s="316"/>
      <c r="C233" s="417">
        <v>43671.0</v>
      </c>
      <c r="D233" s="318"/>
      <c r="E233" s="319">
        <v>8.0</v>
      </c>
      <c r="F233" s="332"/>
      <c r="G233" s="321">
        <v>0.6660185185185186</v>
      </c>
      <c r="H233" s="323">
        <v>0.6681597222222222</v>
      </c>
      <c r="I233" s="323"/>
      <c r="J233" s="323"/>
      <c r="K233" s="323">
        <v>0.6717013888888889</v>
      </c>
      <c r="L233" s="322">
        <f t="shared" si="7"/>
        <v>0.00568287037</v>
      </c>
      <c r="M233" s="319" t="s">
        <v>166</v>
      </c>
      <c r="N233" s="324" t="s">
        <v>187</v>
      </c>
      <c r="O233" s="419" t="s">
        <v>1073</v>
      </c>
      <c r="P233" s="318"/>
      <c r="Q233" s="318"/>
      <c r="R233" s="326">
        <v>10.0</v>
      </c>
      <c r="S233" s="319">
        <v>4.0</v>
      </c>
      <c r="T233" s="332"/>
      <c r="U233" s="319">
        <v>9.0</v>
      </c>
      <c r="V233" s="319"/>
      <c r="W233" s="319"/>
      <c r="X233" s="319"/>
      <c r="Y233" s="319"/>
      <c r="Z233" s="319" t="s">
        <v>318</v>
      </c>
      <c r="AA233" s="319"/>
      <c r="AB233" s="318"/>
      <c r="AC233" s="327" t="s">
        <v>1074</v>
      </c>
      <c r="AD233" s="319"/>
      <c r="AE233" s="319"/>
      <c r="AF233" s="319"/>
      <c r="AG233" s="319"/>
      <c r="AH233" s="319"/>
      <c r="AI233" s="319"/>
      <c r="AJ233" s="327"/>
      <c r="AK233" s="328"/>
      <c r="AL233" s="319"/>
      <c r="AM233" s="319"/>
      <c r="AN233" s="319"/>
      <c r="AO233" s="319"/>
      <c r="AP233" s="319"/>
      <c r="AQ233" s="319"/>
      <c r="AR233" s="319"/>
      <c r="AS233" s="327"/>
      <c r="AT233" s="344"/>
      <c r="AU233" s="345" t="s">
        <v>845</v>
      </c>
      <c r="AV233" s="330">
        <f>SQRT(($R233-Infrastructure!J$3)^2+($S233-Infrastructure!K$3)^2)</f>
        <v>26.94624278</v>
      </c>
      <c r="AW233" s="331">
        <f>SQRT(($R233-Infrastructure!J$4)^2+($S233-Infrastructure!K$4)^2)</f>
        <v>17.22004646</v>
      </c>
      <c r="AX233" s="331">
        <f>SQRT(($R233-Infrastructure!J$5)^2+($S233-Infrastructure!K$5)^2)</f>
        <v>10.35857133</v>
      </c>
      <c r="AY233" s="331">
        <f>SQRT(($R233-Infrastructure!J$6)^2+($S233-Infrastructure!K$6)^2)</f>
        <v>3.701351105</v>
      </c>
      <c r="AZ233" s="331">
        <f>SQRT(($R233-Infrastructure!J$7)^2+($S233-Infrastructure!K$7)^2)</f>
        <v>11.13283432</v>
      </c>
      <c r="BA233" s="331">
        <f>SQRT(($R233-Infrastructure!J$8)^2+($S233-Infrastructure!K$8)^2)</f>
        <v>20.43771024</v>
      </c>
      <c r="BB233" s="331">
        <f>SQRT(($R233-Infrastructure!J$9)^2+($S233-Infrastructure!K$9)^2)</f>
        <v>30.02015989</v>
      </c>
      <c r="BC233" s="331">
        <f>SQRT(($R233-Infrastructure!J$10)^2+($S233-Infrastructure!K$10)^2)</f>
        <v>31.95309062</v>
      </c>
      <c r="BD233" s="318"/>
      <c r="BE233" s="332"/>
      <c r="BF233" s="330">
        <f t="shared" si="14"/>
        <v>3.701351105</v>
      </c>
      <c r="BG233" s="333">
        <f t="shared" si="15"/>
        <v>31.95309062</v>
      </c>
      <c r="BH233" s="334"/>
      <c r="BI233" s="316"/>
      <c r="BJ233" s="318"/>
      <c r="BK233" s="318"/>
      <c r="BL233" s="318"/>
      <c r="BM233" s="318"/>
      <c r="BN233" s="318"/>
      <c r="BO233" s="318"/>
      <c r="BP233" s="318"/>
      <c r="BQ233" s="338"/>
      <c r="BR233" s="420"/>
      <c r="BS233" s="330">
        <f t="shared" si="16"/>
        <v>0</v>
      </c>
      <c r="BT233" s="331">
        <f t="shared" si="17"/>
        <v>0</v>
      </c>
      <c r="BU233" s="331"/>
      <c r="BV233" s="333"/>
      <c r="BW233" s="330"/>
      <c r="BX233" s="331"/>
      <c r="BY233" s="331"/>
      <c r="BZ233" s="340"/>
      <c r="CA233" s="316"/>
      <c r="CB233" s="318"/>
      <c r="CC233" s="318"/>
      <c r="CD233" s="318"/>
      <c r="CE233" s="318"/>
      <c r="CF233" s="318"/>
      <c r="CG233" s="318"/>
      <c r="CH233" s="318"/>
      <c r="CI233" s="338"/>
      <c r="CJ233" s="341"/>
      <c r="CK233" s="342">
        <f t="shared" si="18"/>
        <v>0</v>
      </c>
      <c r="CL233" s="333">
        <f t="shared" si="19"/>
        <v>0</v>
      </c>
      <c r="CM233" s="423"/>
      <c r="CN233" s="424"/>
      <c r="CO233" s="424"/>
      <c r="CP233" s="424"/>
    </row>
    <row r="234">
      <c r="A234" s="315" t="s">
        <v>25</v>
      </c>
      <c r="B234" s="316"/>
      <c r="C234" s="417">
        <v>43671.0</v>
      </c>
      <c r="D234" s="318"/>
      <c r="E234" s="319">
        <v>9.0</v>
      </c>
      <c r="F234" s="332"/>
      <c r="G234" s="321">
        <v>0.6796875</v>
      </c>
      <c r="H234" s="323">
        <v>0.6810879629629629</v>
      </c>
      <c r="I234" s="323"/>
      <c r="J234" s="323"/>
      <c r="K234" s="323">
        <v>0.6852314814814815</v>
      </c>
      <c r="L234" s="322">
        <f t="shared" si="7"/>
        <v>0.005543981481</v>
      </c>
      <c r="M234" s="319" t="s">
        <v>166</v>
      </c>
      <c r="N234" s="324" t="s">
        <v>187</v>
      </c>
      <c r="O234" s="419" t="s">
        <v>1076</v>
      </c>
      <c r="P234" s="319" t="s">
        <v>235</v>
      </c>
      <c r="Q234" s="318"/>
      <c r="R234" s="326">
        <v>16.0</v>
      </c>
      <c r="S234" s="319">
        <v>9.0</v>
      </c>
      <c r="T234" s="332"/>
      <c r="U234" s="319">
        <v>2.5</v>
      </c>
      <c r="V234" s="319"/>
      <c r="W234" s="319"/>
      <c r="X234" s="319"/>
      <c r="Y234" s="319"/>
      <c r="Z234" s="319" t="s">
        <v>1095</v>
      </c>
      <c r="AA234" s="319"/>
      <c r="AB234" s="318"/>
      <c r="AC234" s="327">
        <v>2.5</v>
      </c>
      <c r="AD234" s="319"/>
      <c r="AE234" s="319"/>
      <c r="AF234" s="319"/>
      <c r="AG234" s="319"/>
      <c r="AH234" s="319"/>
      <c r="AI234" s="319"/>
      <c r="AJ234" s="327"/>
      <c r="AK234" s="328"/>
      <c r="AL234" s="319"/>
      <c r="AM234" s="319"/>
      <c r="AN234" s="319"/>
      <c r="AO234" s="319"/>
      <c r="AP234" s="319"/>
      <c r="AQ234" s="319"/>
      <c r="AR234" s="319"/>
      <c r="AS234" s="327"/>
      <c r="AT234" s="344"/>
      <c r="AU234" s="345" t="s">
        <v>845</v>
      </c>
      <c r="AV234" s="330">
        <f>SQRT(($R234-Infrastructure!J$3)^2+($S234-Infrastructure!K$3)^2)</f>
        <v>25.72353008</v>
      </c>
      <c r="AW234" s="331">
        <f>SQRT(($R234-Infrastructure!J$4)^2+($S234-Infrastructure!K$4)^2)</f>
        <v>18.52376852</v>
      </c>
      <c r="AX234" s="331">
        <f>SQRT(($R234-Infrastructure!J$5)^2+($S234-Infrastructure!K$5)^2)</f>
        <v>16.7600716</v>
      </c>
      <c r="AY234" s="331">
        <f>SQRT(($R234-Infrastructure!J$6)^2+($S234-Infrastructure!K$6)^2)</f>
        <v>10.51189802</v>
      </c>
      <c r="AZ234" s="331">
        <f>SQRT(($R234-Infrastructure!J$7)^2+($S234-Infrastructure!K$7)^2)</f>
        <v>9.79489663</v>
      </c>
      <c r="BA234" s="331">
        <f>SQRT(($R234-Infrastructure!J$8)^2+($S234-Infrastructure!K$8)^2)</f>
        <v>16.56804153</v>
      </c>
      <c r="BB234" s="331">
        <f>SQRT(($R234-Infrastructure!J$9)^2+($S234-Infrastructure!K$9)^2)</f>
        <v>24.3148103</v>
      </c>
      <c r="BC234" s="331">
        <f>SQRT(($R234-Infrastructure!J$10)^2+($S234-Infrastructure!K$10)^2)</f>
        <v>24.73863375</v>
      </c>
      <c r="BD234" s="318"/>
      <c r="BE234" s="332"/>
      <c r="BF234" s="330">
        <f t="shared" si="14"/>
        <v>9.79489663</v>
      </c>
      <c r="BG234" s="333">
        <f t="shared" si="15"/>
        <v>25.72353008</v>
      </c>
      <c r="BH234" s="334"/>
      <c r="BI234" s="316"/>
      <c r="BJ234" s="318"/>
      <c r="BK234" s="318"/>
      <c r="BL234" s="318"/>
      <c r="BM234" s="318"/>
      <c r="BN234" s="318"/>
      <c r="BO234" s="318"/>
      <c r="BP234" s="318"/>
      <c r="BQ234" s="338"/>
      <c r="BR234" s="420"/>
      <c r="BS234" s="330">
        <f t="shared" si="16"/>
        <v>0</v>
      </c>
      <c r="BT234" s="331">
        <f t="shared" si="17"/>
        <v>0</v>
      </c>
      <c r="BU234" s="331"/>
      <c r="BV234" s="333"/>
      <c r="BW234" s="330"/>
      <c r="BX234" s="331"/>
      <c r="BY234" s="331"/>
      <c r="BZ234" s="340"/>
      <c r="CA234" s="316"/>
      <c r="CB234" s="318"/>
      <c r="CC234" s="318"/>
      <c r="CD234" s="318"/>
      <c r="CE234" s="318"/>
      <c r="CF234" s="318"/>
      <c r="CG234" s="318"/>
      <c r="CH234" s="318"/>
      <c r="CI234" s="338"/>
      <c r="CJ234" s="341"/>
      <c r="CK234" s="342">
        <f t="shared" si="18"/>
        <v>0</v>
      </c>
      <c r="CL234" s="333">
        <f t="shared" si="19"/>
        <v>0</v>
      </c>
      <c r="CM234" s="421" t="s">
        <v>1108</v>
      </c>
      <c r="CN234" s="416"/>
      <c r="CO234" s="416"/>
      <c r="CP234" s="416"/>
    </row>
    <row r="235">
      <c r="A235" s="315" t="s">
        <v>25</v>
      </c>
      <c r="B235" s="316"/>
      <c r="C235" s="417">
        <v>43671.0</v>
      </c>
      <c r="D235" s="318"/>
      <c r="E235" s="319">
        <v>10.0</v>
      </c>
      <c r="F235" s="332"/>
      <c r="G235" s="321">
        <v>0.6881712962962963</v>
      </c>
      <c r="H235" s="323">
        <v>0.6886111111111111</v>
      </c>
      <c r="I235" s="323"/>
      <c r="J235" s="323"/>
      <c r="K235" s="323">
        <v>0.6924537037037037</v>
      </c>
      <c r="L235" s="322">
        <f t="shared" si="7"/>
        <v>0.004282407407</v>
      </c>
      <c r="M235" s="319" t="s">
        <v>166</v>
      </c>
      <c r="N235" s="324" t="s">
        <v>187</v>
      </c>
      <c r="O235" s="419" t="s">
        <v>1076</v>
      </c>
      <c r="P235" s="319" t="s">
        <v>235</v>
      </c>
      <c r="Q235" s="318"/>
      <c r="R235" s="326">
        <v>16.0</v>
      </c>
      <c r="S235" s="319">
        <v>9.0</v>
      </c>
      <c r="T235" s="332"/>
      <c r="U235" s="319">
        <v>3.0</v>
      </c>
      <c r="V235" s="319"/>
      <c r="W235" s="319"/>
      <c r="X235" s="319"/>
      <c r="Y235" s="319"/>
      <c r="Z235" s="319" t="s">
        <v>1095</v>
      </c>
      <c r="AA235" s="319"/>
      <c r="AB235" s="318"/>
      <c r="AC235" s="327">
        <v>2.5</v>
      </c>
      <c r="AD235" s="319"/>
      <c r="AE235" s="319"/>
      <c r="AF235" s="319"/>
      <c r="AG235" s="319"/>
      <c r="AH235" s="319"/>
      <c r="AI235" s="319"/>
      <c r="AJ235" s="327"/>
      <c r="AK235" s="328"/>
      <c r="AL235" s="319"/>
      <c r="AM235" s="319"/>
      <c r="AN235" s="319"/>
      <c r="AO235" s="319"/>
      <c r="AP235" s="319"/>
      <c r="AQ235" s="319"/>
      <c r="AR235" s="319"/>
      <c r="AS235" s="327"/>
      <c r="AT235" s="344"/>
      <c r="AU235" s="345" t="s">
        <v>845</v>
      </c>
      <c r="AV235" s="330">
        <f>SQRT(($R235-Infrastructure!J$3)^2+($S235-Infrastructure!K$3)^2)</f>
        <v>25.72353008</v>
      </c>
      <c r="AW235" s="331">
        <f>SQRT(($R235-Infrastructure!J$4)^2+($S235-Infrastructure!K$4)^2)</f>
        <v>18.52376852</v>
      </c>
      <c r="AX235" s="331">
        <f>SQRT(($R235-Infrastructure!J$5)^2+($S235-Infrastructure!K$5)^2)</f>
        <v>16.7600716</v>
      </c>
      <c r="AY235" s="331">
        <f>SQRT(($R235-Infrastructure!J$6)^2+($S235-Infrastructure!K$6)^2)</f>
        <v>10.51189802</v>
      </c>
      <c r="AZ235" s="331">
        <f>SQRT(($R235-Infrastructure!J$7)^2+($S235-Infrastructure!K$7)^2)</f>
        <v>9.79489663</v>
      </c>
      <c r="BA235" s="331">
        <f>SQRT(($R235-Infrastructure!J$8)^2+($S235-Infrastructure!K$8)^2)</f>
        <v>16.56804153</v>
      </c>
      <c r="BB235" s="331">
        <f>SQRT(($R235-Infrastructure!J$9)^2+($S235-Infrastructure!K$9)^2)</f>
        <v>24.3148103</v>
      </c>
      <c r="BC235" s="331">
        <f>SQRT(($R235-Infrastructure!J$10)^2+($S235-Infrastructure!K$10)^2)</f>
        <v>24.73863375</v>
      </c>
      <c r="BD235" s="318"/>
      <c r="BE235" s="332"/>
      <c r="BF235" s="330">
        <f t="shared" si="14"/>
        <v>9.79489663</v>
      </c>
      <c r="BG235" s="333">
        <f t="shared" si="15"/>
        <v>25.72353008</v>
      </c>
      <c r="BH235" s="334"/>
      <c r="BI235" s="316"/>
      <c r="BJ235" s="318"/>
      <c r="BK235" s="318"/>
      <c r="BL235" s="318"/>
      <c r="BM235" s="318"/>
      <c r="BN235" s="318"/>
      <c r="BO235" s="318"/>
      <c r="BP235" s="318"/>
      <c r="BQ235" s="338"/>
      <c r="BR235" s="420"/>
      <c r="BS235" s="330">
        <f t="shared" si="16"/>
        <v>0</v>
      </c>
      <c r="BT235" s="331">
        <f t="shared" si="17"/>
        <v>0</v>
      </c>
      <c r="BU235" s="331"/>
      <c r="BV235" s="333"/>
      <c r="BW235" s="330"/>
      <c r="BX235" s="331"/>
      <c r="BY235" s="331"/>
      <c r="BZ235" s="340"/>
      <c r="CA235" s="316"/>
      <c r="CB235" s="318"/>
      <c r="CC235" s="318"/>
      <c r="CD235" s="318"/>
      <c r="CE235" s="318"/>
      <c r="CF235" s="318"/>
      <c r="CG235" s="318"/>
      <c r="CH235" s="318"/>
      <c r="CI235" s="338"/>
      <c r="CJ235" s="341"/>
      <c r="CK235" s="342">
        <f t="shared" si="18"/>
        <v>0</v>
      </c>
      <c r="CL235" s="333">
        <f t="shared" si="19"/>
        <v>0</v>
      </c>
      <c r="CM235" s="423"/>
      <c r="CN235" s="424"/>
      <c r="CO235" s="424"/>
      <c r="CP235" s="424"/>
    </row>
    <row r="236">
      <c r="A236" s="315" t="s">
        <v>25</v>
      </c>
      <c r="B236" s="316"/>
      <c r="C236" s="417">
        <v>43671.0</v>
      </c>
      <c r="D236" s="318"/>
      <c r="E236" s="319">
        <v>11.0</v>
      </c>
      <c r="F236" s="332"/>
      <c r="G236" s="321">
        <v>0.7042939814814815</v>
      </c>
      <c r="H236" s="323">
        <v>0.7046759259259259</v>
      </c>
      <c r="I236" s="323"/>
      <c r="J236" s="323"/>
      <c r="K236" s="323">
        <v>0.7088310185185185</v>
      </c>
      <c r="L236" s="322">
        <f t="shared" si="7"/>
        <v>0.004537037037</v>
      </c>
      <c r="M236" s="319" t="s">
        <v>166</v>
      </c>
      <c r="N236" s="324" t="s">
        <v>187</v>
      </c>
      <c r="O236" s="419" t="s">
        <v>1076</v>
      </c>
      <c r="P236" s="319" t="s">
        <v>235</v>
      </c>
      <c r="Q236" s="318"/>
      <c r="R236" s="457"/>
      <c r="S236" s="318"/>
      <c r="T236" s="332"/>
      <c r="U236" s="319">
        <v>3.5</v>
      </c>
      <c r="V236" s="319"/>
      <c r="W236" s="319"/>
      <c r="X236" s="319"/>
      <c r="Y236" s="319"/>
      <c r="Z236" s="319" t="s">
        <v>1095</v>
      </c>
      <c r="AA236" s="319"/>
      <c r="AB236" s="318"/>
      <c r="AC236" s="327">
        <v>2.5</v>
      </c>
      <c r="AD236" s="319"/>
      <c r="AE236" s="319"/>
      <c r="AF236" s="319"/>
      <c r="AG236" s="319"/>
      <c r="AH236" s="319"/>
      <c r="AI236" s="319"/>
      <c r="AJ236" s="327"/>
      <c r="AK236" s="328"/>
      <c r="AL236" s="319"/>
      <c r="AM236" s="319"/>
      <c r="AN236" s="319"/>
      <c r="AO236" s="319"/>
      <c r="AP236" s="319"/>
      <c r="AQ236" s="319"/>
      <c r="AR236" s="319"/>
      <c r="AS236" s="327"/>
      <c r="AT236" s="344"/>
      <c r="AU236" s="345" t="s">
        <v>845</v>
      </c>
      <c r="AV236" s="330">
        <f>SQRT(($R236-Infrastructure!J$3)^2+($S236-Infrastructure!K$3)^2)</f>
        <v>28.90155705</v>
      </c>
      <c r="AW236" s="331">
        <f>SQRT(($R236-Infrastructure!J$4)^2+($S236-Infrastructure!K$4)^2)</f>
        <v>17.80252791</v>
      </c>
      <c r="AX236" s="331">
        <f>SQRT(($R236-Infrastructure!J$5)^2+($S236-Infrastructure!K$5)^2)</f>
        <v>5.10881591</v>
      </c>
      <c r="AY236" s="331">
        <f>SQRT(($R236-Infrastructure!J$6)^2+($S236-Infrastructure!K$6)^2)</f>
        <v>10.10445446</v>
      </c>
      <c r="AZ236" s="331">
        <f>SQRT(($R236-Infrastructure!J$7)^2+($S236-Infrastructure!K$7)^2)</f>
        <v>20.502195</v>
      </c>
      <c r="BA236" s="331">
        <f>SQRT(($R236-Infrastructure!J$8)^2+($S236-Infrastructure!K$8)^2)</f>
        <v>30.10149498</v>
      </c>
      <c r="BB236" s="331">
        <f>SQRT(($R236-Infrastructure!J$9)^2+($S236-Infrastructure!K$9)^2)</f>
        <v>40.3238143</v>
      </c>
      <c r="BC236" s="331">
        <f>SQRT(($R236-Infrastructure!J$10)^2+($S236-Infrastructure!K$10)^2)</f>
        <v>42.72001873</v>
      </c>
      <c r="BD236" s="318"/>
      <c r="BE236" s="332"/>
      <c r="BF236" s="330">
        <f t="shared" si="14"/>
        <v>5.10881591</v>
      </c>
      <c r="BG236" s="333">
        <f t="shared" si="15"/>
        <v>42.72001873</v>
      </c>
      <c r="BH236" s="334"/>
      <c r="BI236" s="316"/>
      <c r="BJ236" s="318"/>
      <c r="BK236" s="318"/>
      <c r="BL236" s="318"/>
      <c r="BM236" s="318"/>
      <c r="BN236" s="318"/>
      <c r="BO236" s="318"/>
      <c r="BP236" s="318"/>
      <c r="BQ236" s="338"/>
      <c r="BR236" s="420"/>
      <c r="BS236" s="330">
        <f t="shared" si="16"/>
        <v>0</v>
      </c>
      <c r="BT236" s="331">
        <f t="shared" si="17"/>
        <v>0</v>
      </c>
      <c r="BU236" s="331"/>
      <c r="BV236" s="333"/>
      <c r="BW236" s="330"/>
      <c r="BX236" s="331"/>
      <c r="BY236" s="331"/>
      <c r="BZ236" s="340"/>
      <c r="CA236" s="316"/>
      <c r="CB236" s="318"/>
      <c r="CC236" s="318"/>
      <c r="CD236" s="318"/>
      <c r="CE236" s="318"/>
      <c r="CF236" s="318"/>
      <c r="CG236" s="318"/>
      <c r="CH236" s="318"/>
      <c r="CI236" s="338"/>
      <c r="CJ236" s="341"/>
      <c r="CK236" s="342">
        <f t="shared" si="18"/>
        <v>0</v>
      </c>
      <c r="CL236" s="333">
        <f t="shared" si="19"/>
        <v>0</v>
      </c>
      <c r="CM236" s="423"/>
      <c r="CN236" s="424"/>
      <c r="CO236" s="424"/>
      <c r="CP236" s="424"/>
    </row>
    <row r="237">
      <c r="A237" s="315" t="s">
        <v>25</v>
      </c>
      <c r="B237" s="316"/>
      <c r="C237" s="417">
        <v>43671.0</v>
      </c>
      <c r="D237" s="318"/>
      <c r="E237" s="319">
        <v>12.0</v>
      </c>
      <c r="F237" s="332"/>
      <c r="G237" s="321">
        <v>0.7104861111111112</v>
      </c>
      <c r="H237" s="323">
        <v>0.7108564814814815</v>
      </c>
      <c r="I237" s="323"/>
      <c r="J237" s="323"/>
      <c r="K237" s="323">
        <v>0.7136458333333333</v>
      </c>
      <c r="L237" s="322">
        <f t="shared" si="7"/>
        <v>0.003159722222</v>
      </c>
      <c r="M237" s="319" t="s">
        <v>166</v>
      </c>
      <c r="N237" s="324" t="s">
        <v>187</v>
      </c>
      <c r="O237" s="419" t="s">
        <v>1071</v>
      </c>
      <c r="P237" s="319" t="s">
        <v>255</v>
      </c>
      <c r="Q237" s="318"/>
      <c r="R237" s="457"/>
      <c r="S237" s="318"/>
      <c r="T237" s="332"/>
      <c r="U237" s="319">
        <v>1.0</v>
      </c>
      <c r="V237" s="319"/>
      <c r="W237" s="319"/>
      <c r="X237" s="319"/>
      <c r="Y237" s="319"/>
      <c r="Z237" s="319" t="s">
        <v>331</v>
      </c>
      <c r="AA237" s="319"/>
      <c r="AB237" s="318"/>
      <c r="AC237" s="327" t="s">
        <v>1072</v>
      </c>
      <c r="AD237" s="319"/>
      <c r="AE237" s="319"/>
      <c r="AF237" s="319"/>
      <c r="AG237" s="319"/>
      <c r="AH237" s="319"/>
      <c r="AI237" s="319"/>
      <c r="AJ237" s="327"/>
      <c r="AK237" s="328"/>
      <c r="AL237" s="319"/>
      <c r="AM237" s="319"/>
      <c r="AN237" s="319"/>
      <c r="AO237" s="319"/>
      <c r="AP237" s="319"/>
      <c r="AQ237" s="319"/>
      <c r="AR237" s="319"/>
      <c r="AS237" s="327"/>
      <c r="AT237" s="344"/>
      <c r="AU237" s="345" t="s">
        <v>845</v>
      </c>
      <c r="AV237" s="330">
        <f>SQRT(($R237-Infrastructure!J$3)^2+($S237-Infrastructure!K$3)^2)</f>
        <v>28.90155705</v>
      </c>
      <c r="AW237" s="331">
        <f>SQRT(($R237-Infrastructure!J$4)^2+($S237-Infrastructure!K$4)^2)</f>
        <v>17.80252791</v>
      </c>
      <c r="AX237" s="331">
        <f>SQRT(($R237-Infrastructure!J$5)^2+($S237-Infrastructure!K$5)^2)</f>
        <v>5.10881591</v>
      </c>
      <c r="AY237" s="331">
        <f>SQRT(($R237-Infrastructure!J$6)^2+($S237-Infrastructure!K$6)^2)</f>
        <v>10.10445446</v>
      </c>
      <c r="AZ237" s="331">
        <f>SQRT(($R237-Infrastructure!J$7)^2+($S237-Infrastructure!K$7)^2)</f>
        <v>20.502195</v>
      </c>
      <c r="BA237" s="331">
        <f>SQRT(($R237-Infrastructure!J$8)^2+($S237-Infrastructure!K$8)^2)</f>
        <v>30.10149498</v>
      </c>
      <c r="BB237" s="331">
        <f>SQRT(($R237-Infrastructure!J$9)^2+($S237-Infrastructure!K$9)^2)</f>
        <v>40.3238143</v>
      </c>
      <c r="BC237" s="331">
        <f>SQRT(($R237-Infrastructure!J$10)^2+($S237-Infrastructure!K$10)^2)</f>
        <v>42.72001873</v>
      </c>
      <c r="BD237" s="318"/>
      <c r="BE237" s="332"/>
      <c r="BF237" s="330">
        <f t="shared" si="14"/>
        <v>5.10881591</v>
      </c>
      <c r="BG237" s="333">
        <f t="shared" si="15"/>
        <v>42.72001873</v>
      </c>
      <c r="BH237" s="334"/>
      <c r="BI237" s="316"/>
      <c r="BJ237" s="318"/>
      <c r="BK237" s="318"/>
      <c r="BL237" s="318"/>
      <c r="BM237" s="318"/>
      <c r="BN237" s="318"/>
      <c r="BO237" s="318"/>
      <c r="BP237" s="318"/>
      <c r="BQ237" s="338"/>
      <c r="BR237" s="420"/>
      <c r="BS237" s="330">
        <f t="shared" si="16"/>
        <v>0</v>
      </c>
      <c r="BT237" s="331">
        <f t="shared" si="17"/>
        <v>0</v>
      </c>
      <c r="BU237" s="331"/>
      <c r="BV237" s="333"/>
      <c r="BW237" s="330"/>
      <c r="BX237" s="331"/>
      <c r="BY237" s="331"/>
      <c r="BZ237" s="340"/>
      <c r="CA237" s="316"/>
      <c r="CB237" s="318"/>
      <c r="CC237" s="318"/>
      <c r="CD237" s="318"/>
      <c r="CE237" s="318"/>
      <c r="CF237" s="318"/>
      <c r="CG237" s="318"/>
      <c r="CH237" s="318"/>
      <c r="CI237" s="338"/>
      <c r="CJ237" s="341"/>
      <c r="CK237" s="342">
        <f t="shared" si="18"/>
        <v>0</v>
      </c>
      <c r="CL237" s="333">
        <f t="shared" si="19"/>
        <v>0</v>
      </c>
      <c r="CM237" s="423"/>
      <c r="CN237" s="424"/>
      <c r="CO237" s="424"/>
      <c r="CP237" s="424"/>
    </row>
    <row r="238">
      <c r="A238" s="315" t="s">
        <v>25</v>
      </c>
      <c r="B238" s="316"/>
      <c r="C238" s="417">
        <v>43671.0</v>
      </c>
      <c r="D238" s="318"/>
      <c r="E238" s="319">
        <v>13.0</v>
      </c>
      <c r="F238" s="332"/>
      <c r="G238" s="321">
        <v>0.7150578703703704</v>
      </c>
      <c r="H238" s="323">
        <v>0.7154976851851852</v>
      </c>
      <c r="I238" s="323"/>
      <c r="J238" s="323"/>
      <c r="K238" s="323">
        <v>0.7196064814814814</v>
      </c>
      <c r="L238" s="322">
        <f t="shared" si="7"/>
        <v>0.004548611111</v>
      </c>
      <c r="M238" s="319" t="s">
        <v>166</v>
      </c>
      <c r="N238" s="324" t="s">
        <v>187</v>
      </c>
      <c r="O238" s="419" t="s">
        <v>1071</v>
      </c>
      <c r="P238" s="319" t="s">
        <v>255</v>
      </c>
      <c r="Q238" s="318"/>
      <c r="R238" s="457"/>
      <c r="S238" s="318"/>
      <c r="T238" s="332"/>
      <c r="U238" s="319">
        <v>4.0</v>
      </c>
      <c r="V238" s="319"/>
      <c r="W238" s="319"/>
      <c r="X238" s="319"/>
      <c r="Y238" s="319"/>
      <c r="Z238" s="319" t="s">
        <v>331</v>
      </c>
      <c r="AA238" s="319"/>
      <c r="AB238" s="318"/>
      <c r="AC238" s="327" t="s">
        <v>1072</v>
      </c>
      <c r="AD238" s="319"/>
      <c r="AE238" s="319"/>
      <c r="AF238" s="319"/>
      <c r="AG238" s="319"/>
      <c r="AH238" s="319"/>
      <c r="AI238" s="319"/>
      <c r="AJ238" s="327"/>
      <c r="AK238" s="328"/>
      <c r="AL238" s="319"/>
      <c r="AM238" s="319"/>
      <c r="AN238" s="319"/>
      <c r="AO238" s="319"/>
      <c r="AP238" s="319"/>
      <c r="AQ238" s="319"/>
      <c r="AR238" s="319"/>
      <c r="AS238" s="327"/>
      <c r="AT238" s="344"/>
      <c r="AU238" s="345" t="s">
        <v>845</v>
      </c>
      <c r="AV238" s="330">
        <f>SQRT(($R238-Infrastructure!J$3)^2+($S238-Infrastructure!K$3)^2)</f>
        <v>28.90155705</v>
      </c>
      <c r="AW238" s="331">
        <f>SQRT(($R238-Infrastructure!J$4)^2+($S238-Infrastructure!K$4)^2)</f>
        <v>17.80252791</v>
      </c>
      <c r="AX238" s="331">
        <f>SQRT(($R238-Infrastructure!J$5)^2+($S238-Infrastructure!K$5)^2)</f>
        <v>5.10881591</v>
      </c>
      <c r="AY238" s="331">
        <f>SQRT(($R238-Infrastructure!J$6)^2+($S238-Infrastructure!K$6)^2)</f>
        <v>10.10445446</v>
      </c>
      <c r="AZ238" s="331">
        <f>SQRT(($R238-Infrastructure!J$7)^2+($S238-Infrastructure!K$7)^2)</f>
        <v>20.502195</v>
      </c>
      <c r="BA238" s="331">
        <f>SQRT(($R238-Infrastructure!J$8)^2+($S238-Infrastructure!K$8)^2)</f>
        <v>30.10149498</v>
      </c>
      <c r="BB238" s="331">
        <f>SQRT(($R238-Infrastructure!J$9)^2+($S238-Infrastructure!K$9)^2)</f>
        <v>40.3238143</v>
      </c>
      <c r="BC238" s="331">
        <f>SQRT(($R238-Infrastructure!J$10)^2+($S238-Infrastructure!K$10)^2)</f>
        <v>42.72001873</v>
      </c>
      <c r="BD238" s="318"/>
      <c r="BE238" s="332"/>
      <c r="BF238" s="330">
        <f t="shared" si="14"/>
        <v>5.10881591</v>
      </c>
      <c r="BG238" s="333">
        <f t="shared" si="15"/>
        <v>42.72001873</v>
      </c>
      <c r="BH238" s="334"/>
      <c r="BI238" s="316"/>
      <c r="BJ238" s="318"/>
      <c r="BK238" s="318"/>
      <c r="BL238" s="318"/>
      <c r="BM238" s="318"/>
      <c r="BN238" s="318"/>
      <c r="BO238" s="318"/>
      <c r="BP238" s="318"/>
      <c r="BQ238" s="338"/>
      <c r="BR238" s="420"/>
      <c r="BS238" s="330">
        <f t="shared" si="16"/>
        <v>0</v>
      </c>
      <c r="BT238" s="331">
        <f t="shared" si="17"/>
        <v>0</v>
      </c>
      <c r="BU238" s="331"/>
      <c r="BV238" s="333"/>
      <c r="BW238" s="330"/>
      <c r="BX238" s="331"/>
      <c r="BY238" s="331"/>
      <c r="BZ238" s="340"/>
      <c r="CA238" s="316"/>
      <c r="CB238" s="318"/>
      <c r="CC238" s="318"/>
      <c r="CD238" s="318"/>
      <c r="CE238" s="318"/>
      <c r="CF238" s="318"/>
      <c r="CG238" s="318"/>
      <c r="CH238" s="318"/>
      <c r="CI238" s="338"/>
      <c r="CJ238" s="341"/>
      <c r="CK238" s="342">
        <f t="shared" si="18"/>
        <v>0</v>
      </c>
      <c r="CL238" s="333">
        <f t="shared" si="19"/>
        <v>0</v>
      </c>
      <c r="CM238" s="423"/>
      <c r="CN238" s="424"/>
      <c r="CO238" s="424"/>
      <c r="CP238" s="424"/>
    </row>
    <row r="239">
      <c r="A239" s="315" t="s">
        <v>25</v>
      </c>
      <c r="B239" s="316"/>
      <c r="C239" s="417">
        <v>43671.0</v>
      </c>
      <c r="D239" s="318"/>
      <c r="E239" s="319">
        <v>14.0</v>
      </c>
      <c r="F239" s="332"/>
      <c r="G239" s="321">
        <v>0.7209953703703704</v>
      </c>
      <c r="H239" s="323">
        <v>0.721550925925926</v>
      </c>
      <c r="I239" s="323"/>
      <c r="J239" s="323"/>
      <c r="K239" s="323">
        <v>0.7284837962962963</v>
      </c>
      <c r="L239" s="322">
        <f t="shared" si="7"/>
        <v>0.007488425926</v>
      </c>
      <c r="M239" s="319" t="s">
        <v>166</v>
      </c>
      <c r="N239" s="324" t="s">
        <v>187</v>
      </c>
      <c r="O239" s="419" t="s">
        <v>1071</v>
      </c>
      <c r="P239" s="319" t="s">
        <v>255</v>
      </c>
      <c r="Q239" s="318"/>
      <c r="R239" s="457"/>
      <c r="S239" s="318"/>
      <c r="T239" s="332"/>
      <c r="U239" s="319">
        <v>6.0</v>
      </c>
      <c r="V239" s="319"/>
      <c r="W239" s="319"/>
      <c r="X239" s="319"/>
      <c r="Y239" s="319"/>
      <c r="Z239" s="319" t="s">
        <v>331</v>
      </c>
      <c r="AA239" s="319"/>
      <c r="AB239" s="318"/>
      <c r="AC239" s="327" t="s">
        <v>1072</v>
      </c>
      <c r="AD239" s="319"/>
      <c r="AE239" s="319"/>
      <c r="AF239" s="319"/>
      <c r="AG239" s="319"/>
      <c r="AH239" s="319"/>
      <c r="AI239" s="319"/>
      <c r="AJ239" s="327"/>
      <c r="AK239" s="328"/>
      <c r="AL239" s="319"/>
      <c r="AM239" s="319"/>
      <c r="AN239" s="319"/>
      <c r="AO239" s="319"/>
      <c r="AP239" s="319"/>
      <c r="AQ239" s="319"/>
      <c r="AR239" s="319"/>
      <c r="AS239" s="327"/>
      <c r="AT239" s="344"/>
      <c r="AU239" s="345" t="s">
        <v>845</v>
      </c>
      <c r="AV239" s="330">
        <f>SQRT(($R239-Infrastructure!J$3)^2+($S239-Infrastructure!K$3)^2)</f>
        <v>28.90155705</v>
      </c>
      <c r="AW239" s="331">
        <f>SQRT(($R239-Infrastructure!J$4)^2+($S239-Infrastructure!K$4)^2)</f>
        <v>17.80252791</v>
      </c>
      <c r="AX239" s="331">
        <f>SQRT(($R239-Infrastructure!J$5)^2+($S239-Infrastructure!K$5)^2)</f>
        <v>5.10881591</v>
      </c>
      <c r="AY239" s="331">
        <f>SQRT(($R239-Infrastructure!J$6)^2+($S239-Infrastructure!K$6)^2)</f>
        <v>10.10445446</v>
      </c>
      <c r="AZ239" s="331">
        <f>SQRT(($R239-Infrastructure!J$7)^2+($S239-Infrastructure!K$7)^2)</f>
        <v>20.502195</v>
      </c>
      <c r="BA239" s="331">
        <f>SQRT(($R239-Infrastructure!J$8)^2+($S239-Infrastructure!K$8)^2)</f>
        <v>30.10149498</v>
      </c>
      <c r="BB239" s="331">
        <f>SQRT(($R239-Infrastructure!J$9)^2+($S239-Infrastructure!K$9)^2)</f>
        <v>40.3238143</v>
      </c>
      <c r="BC239" s="331">
        <f>SQRT(($R239-Infrastructure!J$10)^2+($S239-Infrastructure!K$10)^2)</f>
        <v>42.72001873</v>
      </c>
      <c r="BD239" s="318"/>
      <c r="BE239" s="332"/>
      <c r="BF239" s="330">
        <f t="shared" si="14"/>
        <v>5.10881591</v>
      </c>
      <c r="BG239" s="333">
        <f t="shared" si="15"/>
        <v>42.72001873</v>
      </c>
      <c r="BH239" s="334"/>
      <c r="BI239" s="316"/>
      <c r="BJ239" s="318"/>
      <c r="BK239" s="318"/>
      <c r="BL239" s="318"/>
      <c r="BM239" s="318"/>
      <c r="BN239" s="318"/>
      <c r="BO239" s="318"/>
      <c r="BP239" s="318"/>
      <c r="BQ239" s="338"/>
      <c r="BR239" s="420"/>
      <c r="BS239" s="330">
        <f t="shared" si="16"/>
        <v>0</v>
      </c>
      <c r="BT239" s="331">
        <f t="shared" si="17"/>
        <v>0</v>
      </c>
      <c r="BU239" s="331"/>
      <c r="BV239" s="333"/>
      <c r="BW239" s="330"/>
      <c r="BX239" s="331"/>
      <c r="BY239" s="331"/>
      <c r="BZ239" s="340"/>
      <c r="CA239" s="316"/>
      <c r="CB239" s="318"/>
      <c r="CC239" s="318"/>
      <c r="CD239" s="318"/>
      <c r="CE239" s="318"/>
      <c r="CF239" s="318"/>
      <c r="CG239" s="318"/>
      <c r="CH239" s="318"/>
      <c r="CI239" s="338"/>
      <c r="CJ239" s="341"/>
      <c r="CK239" s="342">
        <f t="shared" si="18"/>
        <v>0</v>
      </c>
      <c r="CL239" s="333">
        <f t="shared" si="19"/>
        <v>0</v>
      </c>
      <c r="CM239" s="423"/>
      <c r="CN239" s="424"/>
      <c r="CO239" s="424"/>
      <c r="CP239" s="424"/>
    </row>
    <row r="240">
      <c r="A240" s="315" t="s">
        <v>25</v>
      </c>
      <c r="B240" s="316"/>
      <c r="C240" s="417">
        <v>43676.0</v>
      </c>
      <c r="D240" s="318"/>
      <c r="E240" s="319">
        <v>1.0</v>
      </c>
      <c r="F240" s="332"/>
      <c r="G240" s="321">
        <v>0.5993171296296296</v>
      </c>
      <c r="H240" s="323">
        <v>0.6000115740740741</v>
      </c>
      <c r="I240" s="323"/>
      <c r="J240" s="323"/>
      <c r="K240" s="323">
        <v>0.6062847222222222</v>
      </c>
      <c r="L240" s="322">
        <f t="shared" si="7"/>
        <v>0.006967592593</v>
      </c>
      <c r="M240" s="319" t="s">
        <v>358</v>
      </c>
      <c r="N240" s="324" t="s">
        <v>187</v>
      </c>
      <c r="O240" s="419" t="s">
        <v>1071</v>
      </c>
      <c r="P240" s="319" t="s">
        <v>220</v>
      </c>
      <c r="Q240" s="318"/>
      <c r="R240" s="326">
        <v>24.5</v>
      </c>
      <c r="S240" s="319">
        <v>7.5</v>
      </c>
      <c r="T240" s="324">
        <v>0.6</v>
      </c>
      <c r="U240" s="319">
        <v>0.6</v>
      </c>
      <c r="V240" s="319"/>
      <c r="W240" s="319"/>
      <c r="X240" s="319"/>
      <c r="Y240" s="319"/>
      <c r="Z240" s="319" t="s">
        <v>331</v>
      </c>
      <c r="AA240" s="319"/>
      <c r="AB240" s="318"/>
      <c r="AC240" s="327">
        <v>1.0</v>
      </c>
      <c r="AD240" s="319"/>
      <c r="AE240" s="319"/>
      <c r="AF240" s="319"/>
      <c r="AG240" s="319"/>
      <c r="AH240" s="319"/>
      <c r="AI240" s="319"/>
      <c r="AJ240" s="327"/>
      <c r="AK240" s="328"/>
      <c r="AL240" s="319"/>
      <c r="AM240" s="319"/>
      <c r="AN240" s="319"/>
      <c r="AO240" s="319"/>
      <c r="AP240" s="319"/>
      <c r="AQ240" s="319"/>
      <c r="AR240" s="319"/>
      <c r="AS240" s="327"/>
      <c r="AT240" s="344"/>
      <c r="AU240" s="345" t="s">
        <v>845</v>
      </c>
      <c r="AV240" s="330">
        <f>SQRT(($R240-Infrastructure!J$3)^2+($S240-Infrastructure!K$3)^2)</f>
        <v>32.75667871</v>
      </c>
      <c r="AW240" s="331">
        <f>SQRT(($R240-Infrastructure!J$4)^2+($S240-Infrastructure!K$4)^2)</f>
        <v>26.85386378</v>
      </c>
      <c r="AX240" s="331">
        <f>SQRT(($R240-Infrastructure!J$5)^2+($S240-Infrastructure!K$5)^2)</f>
        <v>24.9158584</v>
      </c>
      <c r="AY240" s="331">
        <f>SQRT(($R240-Infrastructure!J$6)^2+($S240-Infrastructure!K$6)^2)</f>
        <v>16.09968944</v>
      </c>
      <c r="AZ240" s="331">
        <f>SQRT(($R240-Infrastructure!J$7)^2+($S240-Infrastructure!K$7)^2)</f>
        <v>8.236504113</v>
      </c>
      <c r="BA240" s="331">
        <f>SQRT(($R240-Infrastructure!J$8)^2+($S240-Infrastructure!K$8)^2)</f>
        <v>9.121403401</v>
      </c>
      <c r="BB240" s="331">
        <f>SQRT(($R240-Infrastructure!J$9)^2+($S240-Infrastructure!K$9)^2)</f>
        <v>15.68470593</v>
      </c>
      <c r="BC240" s="331">
        <f>SQRT(($R240-Infrastructure!J$10)^2+($S240-Infrastructure!K$10)^2)</f>
        <v>17.21917536</v>
      </c>
      <c r="BD240" s="318"/>
      <c r="BE240" s="332"/>
      <c r="BF240" s="330">
        <f t="shared" si="14"/>
        <v>8.236504113</v>
      </c>
      <c r="BG240" s="333">
        <f t="shared" si="15"/>
        <v>32.75667871</v>
      </c>
      <c r="BH240" s="334"/>
      <c r="BI240" s="316"/>
      <c r="BJ240" s="318"/>
      <c r="BK240" s="318"/>
      <c r="BL240" s="318"/>
      <c r="BM240" s="318"/>
      <c r="BN240" s="318"/>
      <c r="BO240" s="318"/>
      <c r="BP240" s="318"/>
      <c r="BQ240" s="338"/>
      <c r="BR240" s="420"/>
      <c r="BS240" s="330">
        <f t="shared" si="16"/>
        <v>0</v>
      </c>
      <c r="BT240" s="331">
        <f t="shared" si="17"/>
        <v>0</v>
      </c>
      <c r="BU240" s="331"/>
      <c r="BV240" s="333"/>
      <c r="BW240" s="330"/>
      <c r="BX240" s="331"/>
      <c r="BY240" s="331"/>
      <c r="BZ240" s="340"/>
      <c r="CA240" s="316"/>
      <c r="CB240" s="318"/>
      <c r="CC240" s="318"/>
      <c r="CD240" s="318"/>
      <c r="CE240" s="318"/>
      <c r="CF240" s="318"/>
      <c r="CG240" s="318"/>
      <c r="CH240" s="318"/>
      <c r="CI240" s="338"/>
      <c r="CJ240" s="341"/>
      <c r="CK240" s="342">
        <f t="shared" si="18"/>
        <v>0</v>
      </c>
      <c r="CL240" s="333">
        <f t="shared" si="19"/>
        <v>0</v>
      </c>
      <c r="CM240" s="421" t="s">
        <v>1109</v>
      </c>
      <c r="CN240" s="416"/>
      <c r="CO240" s="416"/>
      <c r="CP240" s="416"/>
    </row>
    <row r="241">
      <c r="A241" s="315" t="s">
        <v>25</v>
      </c>
      <c r="B241" s="316"/>
      <c r="C241" s="417">
        <v>43676.0</v>
      </c>
      <c r="D241" s="318"/>
      <c r="E241" s="319">
        <v>2.0</v>
      </c>
      <c r="F241" s="332"/>
      <c r="G241" s="321">
        <v>0.6083333333333333</v>
      </c>
      <c r="H241" s="323">
        <v>0.6095023148148148</v>
      </c>
      <c r="I241" s="323"/>
      <c r="J241" s="323"/>
      <c r="K241" s="323">
        <v>0.613738425925926</v>
      </c>
      <c r="L241" s="322">
        <f t="shared" si="7"/>
        <v>0.005405092593</v>
      </c>
      <c r="M241" s="319" t="s">
        <v>358</v>
      </c>
      <c r="N241" s="324" t="s">
        <v>187</v>
      </c>
      <c r="O241" s="419" t="s">
        <v>1071</v>
      </c>
      <c r="P241" s="319" t="s">
        <v>220</v>
      </c>
      <c r="Q241" s="318"/>
      <c r="R241" s="326">
        <v>24.5</v>
      </c>
      <c r="S241" s="319">
        <v>7.5</v>
      </c>
      <c r="T241" s="324">
        <v>0.6</v>
      </c>
      <c r="U241" s="319">
        <v>2.0</v>
      </c>
      <c r="V241" s="319"/>
      <c r="W241" s="319"/>
      <c r="X241" s="319"/>
      <c r="Y241" s="319"/>
      <c r="Z241" s="319" t="s">
        <v>331</v>
      </c>
      <c r="AA241" s="319"/>
      <c r="AB241" s="318"/>
      <c r="AC241" s="327">
        <v>2.5</v>
      </c>
      <c r="AD241" s="319"/>
      <c r="AE241" s="319"/>
      <c r="AF241" s="319"/>
      <c r="AG241" s="319"/>
      <c r="AH241" s="319"/>
      <c r="AI241" s="319"/>
      <c r="AJ241" s="327"/>
      <c r="AK241" s="328"/>
      <c r="AL241" s="319"/>
      <c r="AM241" s="319"/>
      <c r="AN241" s="319"/>
      <c r="AO241" s="319"/>
      <c r="AP241" s="319"/>
      <c r="AQ241" s="319"/>
      <c r="AR241" s="319"/>
      <c r="AS241" s="327"/>
      <c r="AT241" s="344"/>
      <c r="AU241" s="345" t="s">
        <v>845</v>
      </c>
      <c r="AV241" s="330">
        <f>SQRT(($R241-Infrastructure!J$3)^2+($S241-Infrastructure!K$3)^2)</f>
        <v>32.75667871</v>
      </c>
      <c r="AW241" s="331">
        <f>SQRT(($R241-Infrastructure!J$4)^2+($S241-Infrastructure!K$4)^2)</f>
        <v>26.85386378</v>
      </c>
      <c r="AX241" s="331">
        <f>SQRT(($R241-Infrastructure!J$5)^2+($S241-Infrastructure!K$5)^2)</f>
        <v>24.9158584</v>
      </c>
      <c r="AY241" s="331">
        <f>SQRT(($R241-Infrastructure!J$6)^2+($S241-Infrastructure!K$6)^2)</f>
        <v>16.09968944</v>
      </c>
      <c r="AZ241" s="331">
        <f>SQRT(($R241-Infrastructure!J$7)^2+($S241-Infrastructure!K$7)^2)</f>
        <v>8.236504113</v>
      </c>
      <c r="BA241" s="331">
        <f>SQRT(($R241-Infrastructure!J$8)^2+($S241-Infrastructure!K$8)^2)</f>
        <v>9.121403401</v>
      </c>
      <c r="BB241" s="331">
        <f>SQRT(($R241-Infrastructure!J$9)^2+($S241-Infrastructure!K$9)^2)</f>
        <v>15.68470593</v>
      </c>
      <c r="BC241" s="331">
        <f>SQRT(($R241-Infrastructure!J$10)^2+($S241-Infrastructure!K$10)^2)</f>
        <v>17.21917536</v>
      </c>
      <c r="BD241" s="318"/>
      <c r="BE241" s="332"/>
      <c r="BF241" s="330">
        <f t="shared" si="14"/>
        <v>8.236504113</v>
      </c>
      <c r="BG241" s="333">
        <f t="shared" si="15"/>
        <v>32.75667871</v>
      </c>
      <c r="BH241" s="334"/>
      <c r="BI241" s="316"/>
      <c r="BJ241" s="318"/>
      <c r="BK241" s="318"/>
      <c r="BL241" s="318"/>
      <c r="BM241" s="318"/>
      <c r="BN241" s="318"/>
      <c r="BO241" s="318"/>
      <c r="BP241" s="318"/>
      <c r="BQ241" s="338"/>
      <c r="BR241" s="420"/>
      <c r="BS241" s="330">
        <f t="shared" si="16"/>
        <v>0</v>
      </c>
      <c r="BT241" s="331">
        <f t="shared" si="17"/>
        <v>0</v>
      </c>
      <c r="BU241" s="331"/>
      <c r="BV241" s="333"/>
      <c r="BW241" s="330"/>
      <c r="BX241" s="331"/>
      <c r="BY241" s="331"/>
      <c r="BZ241" s="340"/>
      <c r="CA241" s="316"/>
      <c r="CB241" s="318"/>
      <c r="CC241" s="318"/>
      <c r="CD241" s="318"/>
      <c r="CE241" s="318"/>
      <c r="CF241" s="318"/>
      <c r="CG241" s="318"/>
      <c r="CH241" s="318"/>
      <c r="CI241" s="338"/>
      <c r="CJ241" s="341"/>
      <c r="CK241" s="342">
        <f t="shared" si="18"/>
        <v>0</v>
      </c>
      <c r="CL241" s="333">
        <f t="shared" si="19"/>
        <v>0</v>
      </c>
      <c r="CM241" s="421" t="s">
        <v>1109</v>
      </c>
      <c r="CN241" s="416"/>
      <c r="CO241" s="416"/>
      <c r="CP241" s="416"/>
    </row>
    <row r="242">
      <c r="A242" s="315" t="s">
        <v>25</v>
      </c>
      <c r="B242" s="316"/>
      <c r="C242" s="417">
        <v>43676.0</v>
      </c>
      <c r="D242" s="318"/>
      <c r="E242" s="319">
        <v>3.0</v>
      </c>
      <c r="F242" s="332"/>
      <c r="G242" s="321">
        <v>0.6160300925925926</v>
      </c>
      <c r="H242" s="323">
        <v>0.6187268518518518</v>
      </c>
      <c r="I242" s="323"/>
      <c r="J242" s="323"/>
      <c r="K242" s="323">
        <v>0.6237615740740741</v>
      </c>
      <c r="L242" s="322">
        <f t="shared" si="7"/>
        <v>0.007731481481</v>
      </c>
      <c r="M242" s="319" t="s">
        <v>358</v>
      </c>
      <c r="N242" s="324" t="s">
        <v>187</v>
      </c>
      <c r="O242" s="419" t="s">
        <v>1071</v>
      </c>
      <c r="P242" s="319" t="s">
        <v>220</v>
      </c>
      <c r="Q242" s="318"/>
      <c r="R242" s="326">
        <v>24.5</v>
      </c>
      <c r="S242" s="319">
        <v>7.5</v>
      </c>
      <c r="T242" s="324">
        <v>0.6</v>
      </c>
      <c r="U242" s="319">
        <v>4.0</v>
      </c>
      <c r="V242" s="319"/>
      <c r="W242" s="319"/>
      <c r="X242" s="319"/>
      <c r="Y242" s="319"/>
      <c r="Z242" s="319" t="s">
        <v>331</v>
      </c>
      <c r="AA242" s="319"/>
      <c r="AB242" s="318"/>
      <c r="AC242" s="327">
        <v>2.5</v>
      </c>
      <c r="AD242" s="319"/>
      <c r="AE242" s="319"/>
      <c r="AF242" s="319"/>
      <c r="AG242" s="319"/>
      <c r="AH242" s="319"/>
      <c r="AI242" s="319"/>
      <c r="AJ242" s="327"/>
      <c r="AK242" s="328"/>
      <c r="AL242" s="319"/>
      <c r="AM242" s="319"/>
      <c r="AN242" s="319"/>
      <c r="AO242" s="319"/>
      <c r="AP242" s="319"/>
      <c r="AQ242" s="319"/>
      <c r="AR242" s="319"/>
      <c r="AS242" s="327"/>
      <c r="AT242" s="344"/>
      <c r="AU242" s="345" t="s">
        <v>845</v>
      </c>
      <c r="AV242" s="330">
        <f>SQRT(($R242-Infrastructure!J$3)^2+($S242-Infrastructure!K$3)^2)</f>
        <v>32.75667871</v>
      </c>
      <c r="AW242" s="331">
        <f>SQRT(($R242-Infrastructure!J$4)^2+($S242-Infrastructure!K$4)^2)</f>
        <v>26.85386378</v>
      </c>
      <c r="AX242" s="331">
        <f>SQRT(($R242-Infrastructure!J$5)^2+($S242-Infrastructure!K$5)^2)</f>
        <v>24.9158584</v>
      </c>
      <c r="AY242" s="331">
        <f>SQRT(($R242-Infrastructure!J$6)^2+($S242-Infrastructure!K$6)^2)</f>
        <v>16.09968944</v>
      </c>
      <c r="AZ242" s="331">
        <f>SQRT(($R242-Infrastructure!J$7)^2+($S242-Infrastructure!K$7)^2)</f>
        <v>8.236504113</v>
      </c>
      <c r="BA242" s="331">
        <f>SQRT(($R242-Infrastructure!J$8)^2+($S242-Infrastructure!K$8)^2)</f>
        <v>9.121403401</v>
      </c>
      <c r="BB242" s="331">
        <f>SQRT(($R242-Infrastructure!J$9)^2+($S242-Infrastructure!K$9)^2)</f>
        <v>15.68470593</v>
      </c>
      <c r="BC242" s="331">
        <f>SQRT(($R242-Infrastructure!J$10)^2+($S242-Infrastructure!K$10)^2)</f>
        <v>17.21917536</v>
      </c>
      <c r="BD242" s="318"/>
      <c r="BE242" s="332"/>
      <c r="BF242" s="330">
        <f t="shared" si="14"/>
        <v>8.236504113</v>
      </c>
      <c r="BG242" s="333">
        <f t="shared" si="15"/>
        <v>32.75667871</v>
      </c>
      <c r="BH242" s="334"/>
      <c r="BI242" s="316"/>
      <c r="BJ242" s="318"/>
      <c r="BK242" s="318"/>
      <c r="BL242" s="318"/>
      <c r="BM242" s="318"/>
      <c r="BN242" s="318"/>
      <c r="BO242" s="318"/>
      <c r="BP242" s="318"/>
      <c r="BQ242" s="338"/>
      <c r="BR242" s="420"/>
      <c r="BS242" s="330">
        <f t="shared" si="16"/>
        <v>0</v>
      </c>
      <c r="BT242" s="331">
        <f t="shared" si="17"/>
        <v>0</v>
      </c>
      <c r="BU242" s="331"/>
      <c r="BV242" s="333"/>
      <c r="BW242" s="330"/>
      <c r="BX242" s="331"/>
      <c r="BY242" s="331"/>
      <c r="BZ242" s="340"/>
      <c r="CA242" s="316"/>
      <c r="CB242" s="318"/>
      <c r="CC242" s="318"/>
      <c r="CD242" s="318"/>
      <c r="CE242" s="318"/>
      <c r="CF242" s="318"/>
      <c r="CG242" s="318"/>
      <c r="CH242" s="318"/>
      <c r="CI242" s="338"/>
      <c r="CJ242" s="341"/>
      <c r="CK242" s="342">
        <f t="shared" si="18"/>
        <v>0</v>
      </c>
      <c r="CL242" s="333">
        <f t="shared" si="19"/>
        <v>0</v>
      </c>
      <c r="CM242" s="421" t="s">
        <v>1109</v>
      </c>
      <c r="CN242" s="416"/>
      <c r="CO242" s="416"/>
      <c r="CP242" s="416"/>
    </row>
    <row r="243">
      <c r="A243" s="315" t="s">
        <v>25</v>
      </c>
      <c r="B243" s="316"/>
      <c r="C243" s="417">
        <v>43676.0</v>
      </c>
      <c r="D243" s="318"/>
      <c r="E243" s="319">
        <v>4.0</v>
      </c>
      <c r="F243" s="332"/>
      <c r="G243" s="321">
        <v>0.6281365740740741</v>
      </c>
      <c r="H243" s="323">
        <v>0.6291898148148148</v>
      </c>
      <c r="I243" s="323"/>
      <c r="J243" s="323"/>
      <c r="K243" s="323">
        <v>0.6337731481481481</v>
      </c>
      <c r="L243" s="322">
        <f t="shared" si="7"/>
        <v>0.005636574074</v>
      </c>
      <c r="M243" s="319" t="s">
        <v>358</v>
      </c>
      <c r="N243" s="324" t="s">
        <v>187</v>
      </c>
      <c r="O243" s="419" t="s">
        <v>1071</v>
      </c>
      <c r="P243" s="319" t="s">
        <v>255</v>
      </c>
      <c r="Q243" s="318"/>
      <c r="R243" s="457"/>
      <c r="S243" s="318"/>
      <c r="T243" s="332"/>
      <c r="U243" s="319">
        <v>0.7</v>
      </c>
      <c r="V243" s="319"/>
      <c r="W243" s="319"/>
      <c r="X243" s="319"/>
      <c r="Y243" s="319"/>
      <c r="Z243" s="319" t="s">
        <v>331</v>
      </c>
      <c r="AA243" s="319"/>
      <c r="AB243" s="318"/>
      <c r="AC243" s="327" t="s">
        <v>1072</v>
      </c>
      <c r="AD243" s="319"/>
      <c r="AE243" s="319"/>
      <c r="AF243" s="319"/>
      <c r="AG243" s="319"/>
      <c r="AH243" s="319"/>
      <c r="AI243" s="319"/>
      <c r="AJ243" s="327"/>
      <c r="AK243" s="328"/>
      <c r="AL243" s="319"/>
      <c r="AM243" s="319"/>
      <c r="AN243" s="319"/>
      <c r="AO243" s="319"/>
      <c r="AP243" s="319"/>
      <c r="AQ243" s="319"/>
      <c r="AR243" s="319"/>
      <c r="AS243" s="327"/>
      <c r="AT243" s="344"/>
      <c r="AU243" s="345" t="s">
        <v>845</v>
      </c>
      <c r="AV243" s="330">
        <f>SQRT(($R243-Infrastructure!J$3)^2+($S243-Infrastructure!K$3)^2)</f>
        <v>28.90155705</v>
      </c>
      <c r="AW243" s="331">
        <f>SQRT(($R243-Infrastructure!J$4)^2+($S243-Infrastructure!K$4)^2)</f>
        <v>17.80252791</v>
      </c>
      <c r="AX243" s="331">
        <f>SQRT(($R243-Infrastructure!J$5)^2+($S243-Infrastructure!K$5)^2)</f>
        <v>5.10881591</v>
      </c>
      <c r="AY243" s="331">
        <f>SQRT(($R243-Infrastructure!J$6)^2+($S243-Infrastructure!K$6)^2)</f>
        <v>10.10445446</v>
      </c>
      <c r="AZ243" s="331">
        <f>SQRT(($R243-Infrastructure!J$7)^2+($S243-Infrastructure!K$7)^2)</f>
        <v>20.502195</v>
      </c>
      <c r="BA243" s="331">
        <f>SQRT(($R243-Infrastructure!J$8)^2+($S243-Infrastructure!K$8)^2)</f>
        <v>30.10149498</v>
      </c>
      <c r="BB243" s="331">
        <f>SQRT(($R243-Infrastructure!J$9)^2+($S243-Infrastructure!K$9)^2)</f>
        <v>40.3238143</v>
      </c>
      <c r="BC243" s="331">
        <f>SQRT(($R243-Infrastructure!J$10)^2+($S243-Infrastructure!K$10)^2)</f>
        <v>42.72001873</v>
      </c>
      <c r="BD243" s="318"/>
      <c r="BE243" s="332"/>
      <c r="BF243" s="330">
        <f t="shared" si="14"/>
        <v>5.10881591</v>
      </c>
      <c r="BG243" s="333">
        <f t="shared" si="15"/>
        <v>42.72001873</v>
      </c>
      <c r="BH243" s="334"/>
      <c r="BI243" s="316"/>
      <c r="BJ243" s="318"/>
      <c r="BK243" s="318"/>
      <c r="BL243" s="318"/>
      <c r="BM243" s="318"/>
      <c r="BN243" s="318"/>
      <c r="BO243" s="318"/>
      <c r="BP243" s="318"/>
      <c r="BQ243" s="338"/>
      <c r="BR243" s="420"/>
      <c r="BS243" s="330">
        <f t="shared" si="16"/>
        <v>0</v>
      </c>
      <c r="BT243" s="331">
        <f t="shared" si="17"/>
        <v>0</v>
      </c>
      <c r="BU243" s="331"/>
      <c r="BV243" s="333"/>
      <c r="BW243" s="330"/>
      <c r="BX243" s="331"/>
      <c r="BY243" s="331"/>
      <c r="BZ243" s="340"/>
      <c r="CA243" s="316"/>
      <c r="CB243" s="318"/>
      <c r="CC243" s="318"/>
      <c r="CD243" s="318"/>
      <c r="CE243" s="318"/>
      <c r="CF243" s="318"/>
      <c r="CG243" s="318"/>
      <c r="CH243" s="318"/>
      <c r="CI243" s="338"/>
      <c r="CJ243" s="341"/>
      <c r="CK243" s="342">
        <f t="shared" si="18"/>
        <v>0</v>
      </c>
      <c r="CL243" s="333">
        <f t="shared" si="19"/>
        <v>0</v>
      </c>
      <c r="CM243" s="421" t="s">
        <v>1110</v>
      </c>
      <c r="CN243" s="416"/>
      <c r="CO243" s="416"/>
      <c r="CP243" s="416"/>
    </row>
    <row r="244">
      <c r="A244" s="315" t="s">
        <v>25</v>
      </c>
      <c r="B244" s="316"/>
      <c r="C244" s="417">
        <v>43676.0</v>
      </c>
      <c r="D244" s="318"/>
      <c r="E244" s="319">
        <v>5.0</v>
      </c>
      <c r="F244" s="332"/>
      <c r="G244" s="321">
        <v>0.6357986111111111</v>
      </c>
      <c r="H244" s="323">
        <v>0.6366203703703703</v>
      </c>
      <c r="I244" s="323"/>
      <c r="J244" s="323"/>
      <c r="K244" s="323">
        <v>0.6408333333333334</v>
      </c>
      <c r="L244" s="322">
        <f t="shared" si="7"/>
        <v>0.005034722222</v>
      </c>
      <c r="M244" s="319" t="s">
        <v>358</v>
      </c>
      <c r="N244" s="324" t="s">
        <v>187</v>
      </c>
      <c r="O244" s="419" t="s">
        <v>1071</v>
      </c>
      <c r="P244" s="319" t="s">
        <v>255</v>
      </c>
      <c r="Q244" s="318"/>
      <c r="R244" s="457"/>
      <c r="S244" s="318"/>
      <c r="T244" s="332"/>
      <c r="U244" s="319">
        <v>0.9</v>
      </c>
      <c r="V244" s="319"/>
      <c r="W244" s="319"/>
      <c r="X244" s="319"/>
      <c r="Y244" s="319"/>
      <c r="Z244" s="319" t="s">
        <v>331</v>
      </c>
      <c r="AA244" s="319"/>
      <c r="AB244" s="318"/>
      <c r="AC244" s="327" t="s">
        <v>1072</v>
      </c>
      <c r="AD244" s="319"/>
      <c r="AE244" s="319"/>
      <c r="AF244" s="319"/>
      <c r="AG244" s="319"/>
      <c r="AH244" s="319"/>
      <c r="AI244" s="319"/>
      <c r="AJ244" s="327"/>
      <c r="AK244" s="328"/>
      <c r="AL244" s="319"/>
      <c r="AM244" s="319"/>
      <c r="AN244" s="319"/>
      <c r="AO244" s="319"/>
      <c r="AP244" s="319"/>
      <c r="AQ244" s="319"/>
      <c r="AR244" s="319"/>
      <c r="AS244" s="327"/>
      <c r="AT244" s="344"/>
      <c r="AU244" s="345" t="s">
        <v>845</v>
      </c>
      <c r="AV244" s="330">
        <f>SQRT(($R244-Infrastructure!J$3)^2+($S244-Infrastructure!K$3)^2)</f>
        <v>28.90155705</v>
      </c>
      <c r="AW244" s="331">
        <f>SQRT(($R244-Infrastructure!J$4)^2+($S244-Infrastructure!K$4)^2)</f>
        <v>17.80252791</v>
      </c>
      <c r="AX244" s="331">
        <f>SQRT(($R244-Infrastructure!J$5)^2+($S244-Infrastructure!K$5)^2)</f>
        <v>5.10881591</v>
      </c>
      <c r="AY244" s="331">
        <f>SQRT(($R244-Infrastructure!J$6)^2+($S244-Infrastructure!K$6)^2)</f>
        <v>10.10445446</v>
      </c>
      <c r="AZ244" s="331">
        <f>SQRT(($R244-Infrastructure!J$7)^2+($S244-Infrastructure!K$7)^2)</f>
        <v>20.502195</v>
      </c>
      <c r="BA244" s="331">
        <f>SQRT(($R244-Infrastructure!J$8)^2+($S244-Infrastructure!K$8)^2)</f>
        <v>30.10149498</v>
      </c>
      <c r="BB244" s="331">
        <f>SQRT(($R244-Infrastructure!J$9)^2+($S244-Infrastructure!K$9)^2)</f>
        <v>40.3238143</v>
      </c>
      <c r="BC244" s="331">
        <f>SQRT(($R244-Infrastructure!J$10)^2+($S244-Infrastructure!K$10)^2)</f>
        <v>42.72001873</v>
      </c>
      <c r="BD244" s="318"/>
      <c r="BE244" s="332"/>
      <c r="BF244" s="330">
        <f t="shared" si="14"/>
        <v>5.10881591</v>
      </c>
      <c r="BG244" s="333">
        <f t="shared" si="15"/>
        <v>42.72001873</v>
      </c>
      <c r="BH244" s="334"/>
      <c r="BI244" s="316"/>
      <c r="BJ244" s="318"/>
      <c r="BK244" s="318"/>
      <c r="BL244" s="318"/>
      <c r="BM244" s="318"/>
      <c r="BN244" s="318"/>
      <c r="BO244" s="318"/>
      <c r="BP244" s="318"/>
      <c r="BQ244" s="338"/>
      <c r="BR244" s="420"/>
      <c r="BS244" s="330">
        <f t="shared" si="16"/>
        <v>0</v>
      </c>
      <c r="BT244" s="331">
        <f t="shared" si="17"/>
        <v>0</v>
      </c>
      <c r="BU244" s="331"/>
      <c r="BV244" s="333"/>
      <c r="BW244" s="330"/>
      <c r="BX244" s="331"/>
      <c r="BY244" s="331"/>
      <c r="BZ244" s="340"/>
      <c r="CA244" s="316"/>
      <c r="CB244" s="318"/>
      <c r="CC244" s="318"/>
      <c r="CD244" s="318"/>
      <c r="CE244" s="318"/>
      <c r="CF244" s="318"/>
      <c r="CG244" s="318"/>
      <c r="CH244" s="318"/>
      <c r="CI244" s="338"/>
      <c r="CJ244" s="341"/>
      <c r="CK244" s="342">
        <f t="shared" si="18"/>
        <v>0</v>
      </c>
      <c r="CL244" s="333">
        <f t="shared" si="19"/>
        <v>0</v>
      </c>
      <c r="CM244" s="421" t="s">
        <v>1111</v>
      </c>
      <c r="CN244" s="416"/>
      <c r="CO244" s="416"/>
      <c r="CP244" s="416"/>
    </row>
    <row r="245">
      <c r="A245" s="315" t="s">
        <v>25</v>
      </c>
      <c r="B245" s="316"/>
      <c r="C245" s="417">
        <v>43676.0</v>
      </c>
      <c r="D245" s="318"/>
      <c r="E245" s="319">
        <v>6.0</v>
      </c>
      <c r="F245" s="332"/>
      <c r="G245" s="321">
        <v>0.6429050925925925</v>
      </c>
      <c r="H245" s="323">
        <v>0.6437037037037037</v>
      </c>
      <c r="I245" s="323"/>
      <c r="J245" s="323"/>
      <c r="K245" s="323">
        <v>0.6478703703703703</v>
      </c>
      <c r="L245" s="322">
        <f t="shared" si="7"/>
        <v>0.004965277778</v>
      </c>
      <c r="M245" s="319" t="s">
        <v>358</v>
      </c>
      <c r="N245" s="324" t="s">
        <v>187</v>
      </c>
      <c r="O245" s="419" t="s">
        <v>1071</v>
      </c>
      <c r="P245" s="319" t="s">
        <v>255</v>
      </c>
      <c r="Q245" s="318"/>
      <c r="R245" s="457"/>
      <c r="S245" s="318"/>
      <c r="T245" s="332"/>
      <c r="U245" s="319">
        <v>5.0</v>
      </c>
      <c r="V245" s="319"/>
      <c r="W245" s="319"/>
      <c r="X245" s="319"/>
      <c r="Y245" s="319"/>
      <c r="Z245" s="319" t="s">
        <v>331</v>
      </c>
      <c r="AA245" s="319"/>
      <c r="AB245" s="318"/>
      <c r="AC245" s="327" t="s">
        <v>1072</v>
      </c>
      <c r="AD245" s="319"/>
      <c r="AE245" s="319"/>
      <c r="AF245" s="319"/>
      <c r="AG245" s="319"/>
      <c r="AH245" s="319"/>
      <c r="AI245" s="319"/>
      <c r="AJ245" s="327"/>
      <c r="AK245" s="328"/>
      <c r="AL245" s="319"/>
      <c r="AM245" s="319"/>
      <c r="AN245" s="319"/>
      <c r="AO245" s="319"/>
      <c r="AP245" s="319"/>
      <c r="AQ245" s="319"/>
      <c r="AR245" s="319"/>
      <c r="AS245" s="327"/>
      <c r="AT245" s="344"/>
      <c r="AU245" s="345" t="s">
        <v>845</v>
      </c>
      <c r="AV245" s="330">
        <f>SQRT(($R245-Infrastructure!J$3)^2+($S245-Infrastructure!K$3)^2)</f>
        <v>28.90155705</v>
      </c>
      <c r="AW245" s="331">
        <f>SQRT(($R245-Infrastructure!J$4)^2+($S245-Infrastructure!K$4)^2)</f>
        <v>17.80252791</v>
      </c>
      <c r="AX245" s="331">
        <f>SQRT(($R245-Infrastructure!J$5)^2+($S245-Infrastructure!K$5)^2)</f>
        <v>5.10881591</v>
      </c>
      <c r="AY245" s="331">
        <f>SQRT(($R245-Infrastructure!J$6)^2+($S245-Infrastructure!K$6)^2)</f>
        <v>10.10445446</v>
      </c>
      <c r="AZ245" s="331">
        <f>SQRT(($R245-Infrastructure!J$7)^2+($S245-Infrastructure!K$7)^2)</f>
        <v>20.502195</v>
      </c>
      <c r="BA245" s="331">
        <f>SQRT(($R245-Infrastructure!J$8)^2+($S245-Infrastructure!K$8)^2)</f>
        <v>30.10149498</v>
      </c>
      <c r="BB245" s="331">
        <f>SQRT(($R245-Infrastructure!J$9)^2+($S245-Infrastructure!K$9)^2)</f>
        <v>40.3238143</v>
      </c>
      <c r="BC245" s="331">
        <f>SQRT(($R245-Infrastructure!J$10)^2+($S245-Infrastructure!K$10)^2)</f>
        <v>42.72001873</v>
      </c>
      <c r="BD245" s="318"/>
      <c r="BE245" s="332"/>
      <c r="BF245" s="330">
        <f t="shared" si="14"/>
        <v>5.10881591</v>
      </c>
      <c r="BG245" s="333">
        <f t="shared" si="15"/>
        <v>42.72001873</v>
      </c>
      <c r="BH245" s="334"/>
      <c r="BI245" s="316"/>
      <c r="BJ245" s="318"/>
      <c r="BK245" s="318"/>
      <c r="BL245" s="318"/>
      <c r="BM245" s="318"/>
      <c r="BN245" s="318"/>
      <c r="BO245" s="318"/>
      <c r="BP245" s="318"/>
      <c r="BQ245" s="338"/>
      <c r="BR245" s="420"/>
      <c r="BS245" s="330">
        <f t="shared" si="16"/>
        <v>0</v>
      </c>
      <c r="BT245" s="331">
        <f t="shared" si="17"/>
        <v>0</v>
      </c>
      <c r="BU245" s="331"/>
      <c r="BV245" s="333"/>
      <c r="BW245" s="330"/>
      <c r="BX245" s="331"/>
      <c r="BY245" s="331"/>
      <c r="BZ245" s="340"/>
      <c r="CA245" s="316"/>
      <c r="CB245" s="318"/>
      <c r="CC245" s="318"/>
      <c r="CD245" s="318"/>
      <c r="CE245" s="318"/>
      <c r="CF245" s="318"/>
      <c r="CG245" s="318"/>
      <c r="CH245" s="318"/>
      <c r="CI245" s="338"/>
      <c r="CJ245" s="341"/>
      <c r="CK245" s="342">
        <f t="shared" si="18"/>
        <v>0</v>
      </c>
      <c r="CL245" s="333">
        <f t="shared" si="19"/>
        <v>0</v>
      </c>
      <c r="CM245" s="421" t="s">
        <v>1112</v>
      </c>
      <c r="CN245" s="416"/>
      <c r="CO245" s="416"/>
      <c r="CP245" s="416"/>
    </row>
    <row r="246">
      <c r="A246" s="315" t="s">
        <v>25</v>
      </c>
      <c r="B246" s="316"/>
      <c r="C246" s="417">
        <v>43676.0</v>
      </c>
      <c r="D246" s="318"/>
      <c r="E246" s="319">
        <v>7.0</v>
      </c>
      <c r="F246" s="332"/>
      <c r="G246" s="321">
        <v>0.6499421296296296</v>
      </c>
      <c r="H246" s="323">
        <v>0.6505324074074074</v>
      </c>
      <c r="I246" s="323"/>
      <c r="J246" s="323"/>
      <c r="K246" s="323">
        <v>0.6547106481481482</v>
      </c>
      <c r="L246" s="322">
        <f t="shared" si="7"/>
        <v>0.004768518519</v>
      </c>
      <c r="M246" s="319" t="s">
        <v>358</v>
      </c>
      <c r="N246" s="324" t="s">
        <v>187</v>
      </c>
      <c r="O246" s="419" t="s">
        <v>1073</v>
      </c>
      <c r="P246" s="318"/>
      <c r="Q246" s="318"/>
      <c r="R246" s="326">
        <v>10.0</v>
      </c>
      <c r="S246" s="319">
        <v>4.0</v>
      </c>
      <c r="T246" s="332"/>
      <c r="U246" s="319">
        <v>0.7</v>
      </c>
      <c r="V246" s="319"/>
      <c r="W246" s="319"/>
      <c r="X246" s="319"/>
      <c r="Y246" s="319"/>
      <c r="Z246" s="319" t="s">
        <v>318</v>
      </c>
      <c r="AA246" s="319"/>
      <c r="AB246" s="318"/>
      <c r="AC246" s="327" t="s">
        <v>1074</v>
      </c>
      <c r="AD246" s="319"/>
      <c r="AE246" s="319"/>
      <c r="AF246" s="319"/>
      <c r="AG246" s="319"/>
      <c r="AH246" s="319"/>
      <c r="AI246" s="319"/>
      <c r="AJ246" s="327"/>
      <c r="AK246" s="328"/>
      <c r="AL246" s="319"/>
      <c r="AM246" s="319"/>
      <c r="AN246" s="319"/>
      <c r="AO246" s="319"/>
      <c r="AP246" s="319"/>
      <c r="AQ246" s="319"/>
      <c r="AR246" s="319"/>
      <c r="AS246" s="327"/>
      <c r="AT246" s="344"/>
      <c r="AU246" s="345" t="s">
        <v>845</v>
      </c>
      <c r="AV246" s="330">
        <f>SQRT(($R246-Infrastructure!J$3)^2+($S246-Infrastructure!K$3)^2)</f>
        <v>26.94624278</v>
      </c>
      <c r="AW246" s="331">
        <f>SQRT(($R246-Infrastructure!J$4)^2+($S246-Infrastructure!K$4)^2)</f>
        <v>17.22004646</v>
      </c>
      <c r="AX246" s="331">
        <f>SQRT(($R246-Infrastructure!J$5)^2+($S246-Infrastructure!K$5)^2)</f>
        <v>10.35857133</v>
      </c>
      <c r="AY246" s="331">
        <f>SQRT(($R246-Infrastructure!J$6)^2+($S246-Infrastructure!K$6)^2)</f>
        <v>3.701351105</v>
      </c>
      <c r="AZ246" s="331">
        <f>SQRT(($R246-Infrastructure!J$7)^2+($S246-Infrastructure!K$7)^2)</f>
        <v>11.13283432</v>
      </c>
      <c r="BA246" s="331">
        <f>SQRT(($R246-Infrastructure!J$8)^2+($S246-Infrastructure!K$8)^2)</f>
        <v>20.43771024</v>
      </c>
      <c r="BB246" s="331">
        <f>SQRT(($R246-Infrastructure!J$9)^2+($S246-Infrastructure!K$9)^2)</f>
        <v>30.02015989</v>
      </c>
      <c r="BC246" s="331">
        <f>SQRT(($R246-Infrastructure!J$10)^2+($S246-Infrastructure!K$10)^2)</f>
        <v>31.95309062</v>
      </c>
      <c r="BD246" s="318"/>
      <c r="BE246" s="332"/>
      <c r="BF246" s="330">
        <f t="shared" si="14"/>
        <v>3.701351105</v>
      </c>
      <c r="BG246" s="333">
        <f t="shared" si="15"/>
        <v>31.95309062</v>
      </c>
      <c r="BH246" s="334"/>
      <c r="BI246" s="316"/>
      <c r="BJ246" s="318"/>
      <c r="BK246" s="318"/>
      <c r="BL246" s="318"/>
      <c r="BM246" s="318"/>
      <c r="BN246" s="318"/>
      <c r="BO246" s="318"/>
      <c r="BP246" s="318"/>
      <c r="BQ246" s="338"/>
      <c r="BR246" s="420"/>
      <c r="BS246" s="330">
        <f t="shared" si="16"/>
        <v>0</v>
      </c>
      <c r="BT246" s="331">
        <f t="shared" si="17"/>
        <v>0</v>
      </c>
      <c r="BU246" s="331"/>
      <c r="BV246" s="333"/>
      <c r="BW246" s="330"/>
      <c r="BX246" s="331"/>
      <c r="BY246" s="331"/>
      <c r="BZ246" s="340"/>
      <c r="CA246" s="316"/>
      <c r="CB246" s="318"/>
      <c r="CC246" s="318"/>
      <c r="CD246" s="318"/>
      <c r="CE246" s="318"/>
      <c r="CF246" s="318"/>
      <c r="CG246" s="318"/>
      <c r="CH246" s="318"/>
      <c r="CI246" s="338"/>
      <c r="CJ246" s="341"/>
      <c r="CK246" s="342">
        <f t="shared" si="18"/>
        <v>0</v>
      </c>
      <c r="CL246" s="333">
        <f t="shared" si="19"/>
        <v>0</v>
      </c>
      <c r="CM246" s="423"/>
      <c r="CN246" s="424"/>
      <c r="CO246" s="424"/>
      <c r="CP246" s="424"/>
    </row>
    <row r="247">
      <c r="A247" s="315" t="s">
        <v>25</v>
      </c>
      <c r="B247" s="316"/>
      <c r="C247" s="417">
        <v>43676.0</v>
      </c>
      <c r="D247" s="318"/>
      <c r="E247" s="319">
        <v>8.0</v>
      </c>
      <c r="F247" s="332"/>
      <c r="G247" s="321">
        <v>0.6567939814814815</v>
      </c>
      <c r="H247" s="323">
        <v>0.6576736111111111</v>
      </c>
      <c r="I247" s="323"/>
      <c r="J247" s="323"/>
      <c r="K247" s="323">
        <v>0.6618171296296296</v>
      </c>
      <c r="L247" s="322">
        <f t="shared" si="7"/>
        <v>0.005023148148</v>
      </c>
      <c r="M247" s="319" t="s">
        <v>358</v>
      </c>
      <c r="N247" s="324" t="s">
        <v>187</v>
      </c>
      <c r="O247" s="419" t="s">
        <v>1073</v>
      </c>
      <c r="P247" s="318"/>
      <c r="Q247" s="318"/>
      <c r="R247" s="326">
        <v>10.0</v>
      </c>
      <c r="S247" s="319">
        <v>4.0</v>
      </c>
      <c r="T247" s="332"/>
      <c r="U247" s="319">
        <v>0.9</v>
      </c>
      <c r="V247" s="319"/>
      <c r="W247" s="319"/>
      <c r="X247" s="319"/>
      <c r="Y247" s="319"/>
      <c r="Z247" s="319" t="s">
        <v>318</v>
      </c>
      <c r="AA247" s="319"/>
      <c r="AB247" s="318"/>
      <c r="AC247" s="327" t="s">
        <v>1074</v>
      </c>
      <c r="AD247" s="319"/>
      <c r="AE247" s="319"/>
      <c r="AF247" s="319"/>
      <c r="AG247" s="319"/>
      <c r="AH247" s="319"/>
      <c r="AI247" s="319"/>
      <c r="AJ247" s="327"/>
      <c r="AK247" s="328"/>
      <c r="AL247" s="319"/>
      <c r="AM247" s="319"/>
      <c r="AN247" s="319"/>
      <c r="AO247" s="319"/>
      <c r="AP247" s="319"/>
      <c r="AQ247" s="319"/>
      <c r="AR247" s="319"/>
      <c r="AS247" s="327"/>
      <c r="AT247" s="344"/>
      <c r="AU247" s="345" t="s">
        <v>845</v>
      </c>
      <c r="AV247" s="330">
        <f>SQRT(($R247-Infrastructure!J$3)^2+($S247-Infrastructure!K$3)^2)</f>
        <v>26.94624278</v>
      </c>
      <c r="AW247" s="331">
        <f>SQRT(($R247-Infrastructure!J$4)^2+($S247-Infrastructure!K$4)^2)</f>
        <v>17.22004646</v>
      </c>
      <c r="AX247" s="331">
        <f>SQRT(($R247-Infrastructure!J$5)^2+($S247-Infrastructure!K$5)^2)</f>
        <v>10.35857133</v>
      </c>
      <c r="AY247" s="331">
        <f>SQRT(($R247-Infrastructure!J$6)^2+($S247-Infrastructure!K$6)^2)</f>
        <v>3.701351105</v>
      </c>
      <c r="AZ247" s="331">
        <f>SQRT(($R247-Infrastructure!J$7)^2+($S247-Infrastructure!K$7)^2)</f>
        <v>11.13283432</v>
      </c>
      <c r="BA247" s="331">
        <f>SQRT(($R247-Infrastructure!J$8)^2+($S247-Infrastructure!K$8)^2)</f>
        <v>20.43771024</v>
      </c>
      <c r="BB247" s="331">
        <f>SQRT(($R247-Infrastructure!J$9)^2+($S247-Infrastructure!K$9)^2)</f>
        <v>30.02015989</v>
      </c>
      <c r="BC247" s="331">
        <f>SQRT(($R247-Infrastructure!J$10)^2+($S247-Infrastructure!K$10)^2)</f>
        <v>31.95309062</v>
      </c>
      <c r="BD247" s="318"/>
      <c r="BE247" s="332"/>
      <c r="BF247" s="330">
        <f t="shared" si="14"/>
        <v>3.701351105</v>
      </c>
      <c r="BG247" s="333">
        <f t="shared" si="15"/>
        <v>31.95309062</v>
      </c>
      <c r="BH247" s="334"/>
      <c r="BI247" s="316"/>
      <c r="BJ247" s="318"/>
      <c r="BK247" s="318"/>
      <c r="BL247" s="318"/>
      <c r="BM247" s="318"/>
      <c r="BN247" s="318"/>
      <c r="BO247" s="318"/>
      <c r="BP247" s="318"/>
      <c r="BQ247" s="338"/>
      <c r="BR247" s="420"/>
      <c r="BS247" s="330">
        <f t="shared" si="16"/>
        <v>0</v>
      </c>
      <c r="BT247" s="331">
        <f t="shared" si="17"/>
        <v>0</v>
      </c>
      <c r="BU247" s="331"/>
      <c r="BV247" s="333"/>
      <c r="BW247" s="330"/>
      <c r="BX247" s="331"/>
      <c r="BY247" s="331"/>
      <c r="BZ247" s="340"/>
      <c r="CA247" s="316"/>
      <c r="CB247" s="318"/>
      <c r="CC247" s="318"/>
      <c r="CD247" s="318"/>
      <c r="CE247" s="318"/>
      <c r="CF247" s="318"/>
      <c r="CG247" s="318"/>
      <c r="CH247" s="318"/>
      <c r="CI247" s="338"/>
      <c r="CJ247" s="341"/>
      <c r="CK247" s="342">
        <f t="shared" si="18"/>
        <v>0</v>
      </c>
      <c r="CL247" s="333">
        <f t="shared" si="19"/>
        <v>0</v>
      </c>
      <c r="CM247" s="423"/>
      <c r="CN247" s="424"/>
      <c r="CO247" s="424"/>
      <c r="CP247" s="424"/>
    </row>
    <row r="248">
      <c r="A248" s="315" t="s">
        <v>25</v>
      </c>
      <c r="B248" s="316"/>
      <c r="C248" s="417">
        <v>43676.0</v>
      </c>
      <c r="D248" s="318"/>
      <c r="E248" s="319">
        <v>9.0</v>
      </c>
      <c r="F248" s="332"/>
      <c r="G248" s="321">
        <v>0.663912037037037</v>
      </c>
      <c r="H248" s="323">
        <v>0.6641550925925926</v>
      </c>
      <c r="I248" s="323"/>
      <c r="J248" s="323"/>
      <c r="K248" s="323">
        <v>0.6683101851851851</v>
      </c>
      <c r="L248" s="322">
        <f t="shared" si="7"/>
        <v>0.004398148148</v>
      </c>
      <c r="M248" s="319" t="s">
        <v>358</v>
      </c>
      <c r="N248" s="324" t="s">
        <v>187</v>
      </c>
      <c r="O248" s="419" t="s">
        <v>1073</v>
      </c>
      <c r="P248" s="318"/>
      <c r="Q248" s="318"/>
      <c r="R248" s="326">
        <v>10.0</v>
      </c>
      <c r="S248" s="319">
        <v>4.0</v>
      </c>
      <c r="T248" s="332"/>
      <c r="U248" s="319">
        <v>6.0</v>
      </c>
      <c r="V248" s="319"/>
      <c r="W248" s="319"/>
      <c r="X248" s="319"/>
      <c r="Y248" s="319"/>
      <c r="Z248" s="319" t="s">
        <v>318</v>
      </c>
      <c r="AA248" s="319"/>
      <c r="AB248" s="318"/>
      <c r="AC248" s="327" t="s">
        <v>1074</v>
      </c>
      <c r="AD248" s="319"/>
      <c r="AE248" s="319"/>
      <c r="AF248" s="319"/>
      <c r="AG248" s="319"/>
      <c r="AH248" s="319"/>
      <c r="AI248" s="319"/>
      <c r="AJ248" s="327"/>
      <c r="AK248" s="328"/>
      <c r="AL248" s="319"/>
      <c r="AM248" s="319"/>
      <c r="AN248" s="319"/>
      <c r="AO248" s="319"/>
      <c r="AP248" s="319"/>
      <c r="AQ248" s="319"/>
      <c r="AR248" s="319"/>
      <c r="AS248" s="327"/>
      <c r="AT248" s="344"/>
      <c r="AU248" s="345" t="s">
        <v>845</v>
      </c>
      <c r="AV248" s="330">
        <f>SQRT(($R248-Infrastructure!J$3)^2+($S248-Infrastructure!K$3)^2)</f>
        <v>26.94624278</v>
      </c>
      <c r="AW248" s="331">
        <f>SQRT(($R248-Infrastructure!J$4)^2+($S248-Infrastructure!K$4)^2)</f>
        <v>17.22004646</v>
      </c>
      <c r="AX248" s="331">
        <f>SQRT(($R248-Infrastructure!J$5)^2+($S248-Infrastructure!K$5)^2)</f>
        <v>10.35857133</v>
      </c>
      <c r="AY248" s="331">
        <f>SQRT(($R248-Infrastructure!J$6)^2+($S248-Infrastructure!K$6)^2)</f>
        <v>3.701351105</v>
      </c>
      <c r="AZ248" s="331">
        <f>SQRT(($R248-Infrastructure!J$7)^2+($S248-Infrastructure!K$7)^2)</f>
        <v>11.13283432</v>
      </c>
      <c r="BA248" s="331">
        <f>SQRT(($R248-Infrastructure!J$8)^2+($S248-Infrastructure!K$8)^2)</f>
        <v>20.43771024</v>
      </c>
      <c r="BB248" s="331">
        <f>SQRT(($R248-Infrastructure!J$9)^2+($S248-Infrastructure!K$9)^2)</f>
        <v>30.02015989</v>
      </c>
      <c r="BC248" s="331">
        <f>SQRT(($R248-Infrastructure!J$10)^2+($S248-Infrastructure!K$10)^2)</f>
        <v>31.95309062</v>
      </c>
      <c r="BD248" s="318"/>
      <c r="BE248" s="332"/>
      <c r="BF248" s="330">
        <f t="shared" si="14"/>
        <v>3.701351105</v>
      </c>
      <c r="BG248" s="333">
        <f t="shared" si="15"/>
        <v>31.95309062</v>
      </c>
      <c r="BH248" s="334"/>
      <c r="BI248" s="316"/>
      <c r="BJ248" s="318"/>
      <c r="BK248" s="318"/>
      <c r="BL248" s="318"/>
      <c r="BM248" s="318"/>
      <c r="BN248" s="318"/>
      <c r="BO248" s="318"/>
      <c r="BP248" s="318"/>
      <c r="BQ248" s="338"/>
      <c r="BR248" s="420"/>
      <c r="BS248" s="330">
        <f t="shared" si="16"/>
        <v>0</v>
      </c>
      <c r="BT248" s="331">
        <f t="shared" si="17"/>
        <v>0</v>
      </c>
      <c r="BU248" s="331"/>
      <c r="BV248" s="333"/>
      <c r="BW248" s="330"/>
      <c r="BX248" s="331"/>
      <c r="BY248" s="331"/>
      <c r="BZ248" s="340"/>
      <c r="CA248" s="316"/>
      <c r="CB248" s="318"/>
      <c r="CC248" s="318"/>
      <c r="CD248" s="318"/>
      <c r="CE248" s="318"/>
      <c r="CF248" s="318"/>
      <c r="CG248" s="318"/>
      <c r="CH248" s="318"/>
      <c r="CI248" s="338"/>
      <c r="CJ248" s="341"/>
      <c r="CK248" s="342">
        <f t="shared" si="18"/>
        <v>0</v>
      </c>
      <c r="CL248" s="333">
        <f t="shared" si="19"/>
        <v>0</v>
      </c>
      <c r="CM248" s="423"/>
      <c r="CN248" s="424"/>
      <c r="CO248" s="424"/>
      <c r="CP248" s="424"/>
    </row>
    <row r="249">
      <c r="A249" s="315" t="s">
        <v>25</v>
      </c>
      <c r="B249" s="316"/>
      <c r="C249" s="417">
        <v>43676.0</v>
      </c>
      <c r="D249" s="318"/>
      <c r="E249" s="319">
        <v>10.0</v>
      </c>
      <c r="F249" s="332"/>
      <c r="G249" s="321">
        <v>0.6701736111111111</v>
      </c>
      <c r="H249" s="323">
        <v>0.6709953703703704</v>
      </c>
      <c r="I249" s="323"/>
      <c r="J249" s="323"/>
      <c r="K249" s="323">
        <v>0.6751157407407408</v>
      </c>
      <c r="L249" s="322">
        <f t="shared" si="7"/>
        <v>0.00494212963</v>
      </c>
      <c r="M249" s="319" t="s">
        <v>358</v>
      </c>
      <c r="N249" s="324" t="s">
        <v>187</v>
      </c>
      <c r="O249" s="419" t="s">
        <v>1076</v>
      </c>
      <c r="P249" s="319" t="s">
        <v>235</v>
      </c>
      <c r="Q249" s="318"/>
      <c r="R249" s="326">
        <v>11.0</v>
      </c>
      <c r="S249" s="319">
        <v>8.0</v>
      </c>
      <c r="T249" s="332"/>
      <c r="U249" s="319">
        <v>2.0</v>
      </c>
      <c r="V249" s="319"/>
      <c r="W249" s="319"/>
      <c r="X249" s="319"/>
      <c r="Y249" s="319"/>
      <c r="Z249" s="319" t="s">
        <v>1095</v>
      </c>
      <c r="AA249" s="319"/>
      <c r="AB249" s="318"/>
      <c r="AC249" s="327">
        <v>2.5</v>
      </c>
      <c r="AD249" s="319"/>
      <c r="AE249" s="319"/>
      <c r="AF249" s="319"/>
      <c r="AG249" s="319"/>
      <c r="AH249" s="319"/>
      <c r="AI249" s="319"/>
      <c r="AJ249" s="327"/>
      <c r="AK249" s="328"/>
      <c r="AL249" s="319"/>
      <c r="AM249" s="319"/>
      <c r="AN249" s="319"/>
      <c r="AO249" s="319"/>
      <c r="AP249" s="319"/>
      <c r="AQ249" s="319"/>
      <c r="AR249" s="319"/>
      <c r="AS249" s="327"/>
      <c r="AT249" s="344"/>
      <c r="AU249" s="345" t="s">
        <v>845</v>
      </c>
      <c r="AV249" s="330">
        <f>SQRT(($R249-Infrastructure!J$3)^2+($S249-Infrastructure!K$3)^2)</f>
        <v>23.75920874</v>
      </c>
      <c r="AW249" s="331">
        <f>SQRT(($R249-Infrastructure!J$4)^2+($S249-Infrastructure!K$4)^2)</f>
        <v>14.95760676</v>
      </c>
      <c r="AX249" s="331">
        <f>SQRT(($R249-Infrastructure!J$5)^2+($S249-Infrastructure!K$5)^2)</f>
        <v>11.66619047</v>
      </c>
      <c r="AY249" s="331">
        <f>SQRT(($R249-Infrastructure!J$6)^2+($S249-Infrastructure!K$6)^2)</f>
        <v>7.752418977</v>
      </c>
      <c r="AZ249" s="331">
        <f>SQRT(($R249-Infrastructure!J$7)^2+($S249-Infrastructure!K$7)^2)</f>
        <v>12.22865487</v>
      </c>
      <c r="BA249" s="331">
        <f>SQRT(($R249-Infrastructure!J$8)^2+($S249-Infrastructure!K$8)^2)</f>
        <v>20.59368835</v>
      </c>
      <c r="BB249" s="331">
        <f>SQRT(($R249-Infrastructure!J$9)^2+($S249-Infrastructure!K$9)^2)</f>
        <v>29.1446393</v>
      </c>
      <c r="BC249" s="331">
        <f>SQRT(($R249-Infrastructure!J$10)^2+($S249-Infrastructure!K$10)^2)</f>
        <v>29.83286778</v>
      </c>
      <c r="BD249" s="318"/>
      <c r="BE249" s="332"/>
      <c r="BF249" s="330">
        <f t="shared" si="14"/>
        <v>7.752418977</v>
      </c>
      <c r="BG249" s="333">
        <f t="shared" si="15"/>
        <v>29.83286778</v>
      </c>
      <c r="BH249" s="334"/>
      <c r="BI249" s="316"/>
      <c r="BJ249" s="318"/>
      <c r="BK249" s="318"/>
      <c r="BL249" s="318"/>
      <c r="BM249" s="318"/>
      <c r="BN249" s="318"/>
      <c r="BO249" s="318"/>
      <c r="BP249" s="318"/>
      <c r="BQ249" s="338"/>
      <c r="BR249" s="420"/>
      <c r="BS249" s="330">
        <f t="shared" si="16"/>
        <v>0</v>
      </c>
      <c r="BT249" s="331">
        <f t="shared" si="17"/>
        <v>0</v>
      </c>
      <c r="BU249" s="331"/>
      <c r="BV249" s="333"/>
      <c r="BW249" s="330"/>
      <c r="BX249" s="331"/>
      <c r="BY249" s="331"/>
      <c r="BZ249" s="340"/>
      <c r="CA249" s="316"/>
      <c r="CB249" s="318"/>
      <c r="CC249" s="318"/>
      <c r="CD249" s="318"/>
      <c r="CE249" s="318"/>
      <c r="CF249" s="318"/>
      <c r="CG249" s="318"/>
      <c r="CH249" s="318"/>
      <c r="CI249" s="338"/>
      <c r="CJ249" s="341"/>
      <c r="CK249" s="342">
        <f t="shared" si="18"/>
        <v>0</v>
      </c>
      <c r="CL249" s="333">
        <f t="shared" si="19"/>
        <v>0</v>
      </c>
      <c r="CM249" s="423"/>
      <c r="CN249" s="424"/>
      <c r="CO249" s="424"/>
      <c r="CP249" s="424"/>
    </row>
    <row r="250">
      <c r="A250" s="315" t="s">
        <v>25</v>
      </c>
      <c r="B250" s="316"/>
      <c r="C250" s="417">
        <v>43676.0</v>
      </c>
      <c r="D250" s="318"/>
      <c r="E250" s="319">
        <v>11.0</v>
      </c>
      <c r="F250" s="332"/>
      <c r="G250" s="321">
        <v>0.6772106481481481</v>
      </c>
      <c r="H250" s="323">
        <v>0.6776620370370371</v>
      </c>
      <c r="I250" s="323"/>
      <c r="J250" s="323"/>
      <c r="K250" s="323">
        <v>0.6817824074074074</v>
      </c>
      <c r="L250" s="322">
        <f t="shared" si="7"/>
        <v>0.004571759259</v>
      </c>
      <c r="M250" s="319" t="s">
        <v>358</v>
      </c>
      <c r="N250" s="324" t="s">
        <v>187</v>
      </c>
      <c r="O250" s="419" t="s">
        <v>1076</v>
      </c>
      <c r="P250" s="319" t="s">
        <v>235</v>
      </c>
      <c r="Q250" s="318"/>
      <c r="R250" s="326">
        <v>11.0</v>
      </c>
      <c r="S250" s="319">
        <v>8.0</v>
      </c>
      <c r="T250" s="332"/>
      <c r="U250" s="319">
        <v>6.0</v>
      </c>
      <c r="V250" s="319"/>
      <c r="W250" s="319"/>
      <c r="X250" s="319"/>
      <c r="Y250" s="319"/>
      <c r="Z250" s="319" t="s">
        <v>1095</v>
      </c>
      <c r="AA250" s="319"/>
      <c r="AB250" s="318"/>
      <c r="AC250" s="327">
        <v>3.0</v>
      </c>
      <c r="AD250" s="319"/>
      <c r="AE250" s="319"/>
      <c r="AF250" s="319"/>
      <c r="AG250" s="319"/>
      <c r="AH250" s="319"/>
      <c r="AI250" s="319"/>
      <c r="AJ250" s="327"/>
      <c r="AK250" s="328"/>
      <c r="AL250" s="319"/>
      <c r="AM250" s="319"/>
      <c r="AN250" s="319"/>
      <c r="AO250" s="319"/>
      <c r="AP250" s="319"/>
      <c r="AQ250" s="319"/>
      <c r="AR250" s="319"/>
      <c r="AS250" s="327"/>
      <c r="AT250" s="344"/>
      <c r="AU250" s="345" t="s">
        <v>845</v>
      </c>
      <c r="AV250" s="330">
        <f>SQRT(($R250-Infrastructure!J$3)^2+($S250-Infrastructure!K$3)^2)</f>
        <v>23.75920874</v>
      </c>
      <c r="AW250" s="331">
        <f>SQRT(($R250-Infrastructure!J$4)^2+($S250-Infrastructure!K$4)^2)</f>
        <v>14.95760676</v>
      </c>
      <c r="AX250" s="331">
        <f>SQRT(($R250-Infrastructure!J$5)^2+($S250-Infrastructure!K$5)^2)</f>
        <v>11.66619047</v>
      </c>
      <c r="AY250" s="331">
        <f>SQRT(($R250-Infrastructure!J$6)^2+($S250-Infrastructure!K$6)^2)</f>
        <v>7.752418977</v>
      </c>
      <c r="AZ250" s="331">
        <f>SQRT(($R250-Infrastructure!J$7)^2+($S250-Infrastructure!K$7)^2)</f>
        <v>12.22865487</v>
      </c>
      <c r="BA250" s="331">
        <f>SQRT(($R250-Infrastructure!J$8)^2+($S250-Infrastructure!K$8)^2)</f>
        <v>20.59368835</v>
      </c>
      <c r="BB250" s="331">
        <f>SQRT(($R250-Infrastructure!J$9)^2+($S250-Infrastructure!K$9)^2)</f>
        <v>29.1446393</v>
      </c>
      <c r="BC250" s="331">
        <f>SQRT(($R250-Infrastructure!J$10)^2+($S250-Infrastructure!K$10)^2)</f>
        <v>29.83286778</v>
      </c>
      <c r="BD250" s="318"/>
      <c r="BE250" s="332"/>
      <c r="BF250" s="330">
        <f t="shared" si="14"/>
        <v>7.752418977</v>
      </c>
      <c r="BG250" s="333">
        <f t="shared" si="15"/>
        <v>29.83286778</v>
      </c>
      <c r="BH250" s="334"/>
      <c r="BI250" s="316"/>
      <c r="BJ250" s="318"/>
      <c r="BK250" s="318"/>
      <c r="BL250" s="318"/>
      <c r="BM250" s="318"/>
      <c r="BN250" s="318"/>
      <c r="BO250" s="318"/>
      <c r="BP250" s="318"/>
      <c r="BQ250" s="338"/>
      <c r="BR250" s="420"/>
      <c r="BS250" s="330">
        <f t="shared" si="16"/>
        <v>0</v>
      </c>
      <c r="BT250" s="331">
        <f t="shared" si="17"/>
        <v>0</v>
      </c>
      <c r="BU250" s="331"/>
      <c r="BV250" s="333"/>
      <c r="BW250" s="330"/>
      <c r="BX250" s="331"/>
      <c r="BY250" s="331"/>
      <c r="BZ250" s="340"/>
      <c r="CA250" s="316"/>
      <c r="CB250" s="318"/>
      <c r="CC250" s="318"/>
      <c r="CD250" s="318"/>
      <c r="CE250" s="318"/>
      <c r="CF250" s="318"/>
      <c r="CG250" s="318"/>
      <c r="CH250" s="318"/>
      <c r="CI250" s="338"/>
      <c r="CJ250" s="341"/>
      <c r="CK250" s="342">
        <f t="shared" si="18"/>
        <v>0</v>
      </c>
      <c r="CL250" s="333">
        <f t="shared" si="19"/>
        <v>0</v>
      </c>
      <c r="CM250" s="423"/>
      <c r="CN250" s="424"/>
      <c r="CO250" s="424"/>
      <c r="CP250" s="424"/>
    </row>
    <row r="251">
      <c r="A251" s="315" t="s">
        <v>25</v>
      </c>
      <c r="B251" s="316"/>
      <c r="C251" s="417">
        <v>43676.0</v>
      </c>
      <c r="D251" s="318"/>
      <c r="E251" s="319">
        <v>12.0</v>
      </c>
      <c r="F251" s="332"/>
      <c r="G251" s="321">
        <v>0.684224537037037</v>
      </c>
      <c r="H251" s="323">
        <v>0.684675925925926</v>
      </c>
      <c r="I251" s="323"/>
      <c r="J251" s="323"/>
      <c r="K251" s="323">
        <v>0.6888425925925926</v>
      </c>
      <c r="L251" s="322">
        <f t="shared" si="7"/>
        <v>0.004618055556</v>
      </c>
      <c r="M251" s="319" t="s">
        <v>358</v>
      </c>
      <c r="N251" s="324" t="s">
        <v>187</v>
      </c>
      <c r="O251" s="419" t="s">
        <v>1076</v>
      </c>
      <c r="P251" s="319" t="s">
        <v>235</v>
      </c>
      <c r="Q251" s="318"/>
      <c r="R251" s="326">
        <v>11.0</v>
      </c>
      <c r="S251" s="319">
        <v>8.0</v>
      </c>
      <c r="T251" s="332"/>
      <c r="U251" s="319">
        <v>7.0</v>
      </c>
      <c r="V251" s="319"/>
      <c r="W251" s="319"/>
      <c r="X251" s="319"/>
      <c r="Y251" s="319"/>
      <c r="Z251" s="319" t="s">
        <v>1095</v>
      </c>
      <c r="AA251" s="319"/>
      <c r="AB251" s="318"/>
      <c r="AC251" s="327">
        <v>3.0</v>
      </c>
      <c r="AD251" s="319"/>
      <c r="AE251" s="319"/>
      <c r="AF251" s="319"/>
      <c r="AG251" s="319"/>
      <c r="AH251" s="319"/>
      <c r="AI251" s="319"/>
      <c r="AJ251" s="327"/>
      <c r="AK251" s="328"/>
      <c r="AL251" s="319"/>
      <c r="AM251" s="319"/>
      <c r="AN251" s="319"/>
      <c r="AO251" s="319"/>
      <c r="AP251" s="319"/>
      <c r="AQ251" s="319"/>
      <c r="AR251" s="319"/>
      <c r="AS251" s="327"/>
      <c r="AT251" s="344"/>
      <c r="AU251" s="345" t="s">
        <v>845</v>
      </c>
      <c r="AV251" s="330">
        <f>SQRT(($R251-Infrastructure!J$3)^2+($S251-Infrastructure!K$3)^2)</f>
        <v>23.75920874</v>
      </c>
      <c r="AW251" s="331">
        <f>SQRT(($R251-Infrastructure!J$4)^2+($S251-Infrastructure!K$4)^2)</f>
        <v>14.95760676</v>
      </c>
      <c r="AX251" s="331">
        <f>SQRT(($R251-Infrastructure!J$5)^2+($S251-Infrastructure!K$5)^2)</f>
        <v>11.66619047</v>
      </c>
      <c r="AY251" s="331">
        <f>SQRT(($R251-Infrastructure!J$6)^2+($S251-Infrastructure!K$6)^2)</f>
        <v>7.752418977</v>
      </c>
      <c r="AZ251" s="331">
        <f>SQRT(($R251-Infrastructure!J$7)^2+($S251-Infrastructure!K$7)^2)</f>
        <v>12.22865487</v>
      </c>
      <c r="BA251" s="331">
        <f>SQRT(($R251-Infrastructure!J$8)^2+($S251-Infrastructure!K$8)^2)</f>
        <v>20.59368835</v>
      </c>
      <c r="BB251" s="331">
        <f>SQRT(($R251-Infrastructure!J$9)^2+($S251-Infrastructure!K$9)^2)</f>
        <v>29.1446393</v>
      </c>
      <c r="BC251" s="331">
        <f>SQRT(($R251-Infrastructure!J$10)^2+($S251-Infrastructure!K$10)^2)</f>
        <v>29.83286778</v>
      </c>
      <c r="BD251" s="318"/>
      <c r="BE251" s="332"/>
      <c r="BF251" s="330">
        <f t="shared" si="14"/>
        <v>7.752418977</v>
      </c>
      <c r="BG251" s="333">
        <f t="shared" si="15"/>
        <v>29.83286778</v>
      </c>
      <c r="BH251" s="334"/>
      <c r="BI251" s="316"/>
      <c r="BJ251" s="318"/>
      <c r="BK251" s="318"/>
      <c r="BL251" s="318"/>
      <c r="BM251" s="318"/>
      <c r="BN251" s="318"/>
      <c r="BO251" s="318"/>
      <c r="BP251" s="318"/>
      <c r="BQ251" s="338"/>
      <c r="BR251" s="420"/>
      <c r="BS251" s="330">
        <f t="shared" si="16"/>
        <v>0</v>
      </c>
      <c r="BT251" s="331">
        <f t="shared" si="17"/>
        <v>0</v>
      </c>
      <c r="BU251" s="331"/>
      <c r="BV251" s="333"/>
      <c r="BW251" s="330"/>
      <c r="BX251" s="331"/>
      <c r="BY251" s="331"/>
      <c r="BZ251" s="340"/>
      <c r="CA251" s="316"/>
      <c r="CB251" s="318"/>
      <c r="CC251" s="318"/>
      <c r="CD251" s="318"/>
      <c r="CE251" s="318"/>
      <c r="CF251" s="318"/>
      <c r="CG251" s="318"/>
      <c r="CH251" s="318"/>
      <c r="CI251" s="338"/>
      <c r="CJ251" s="341"/>
      <c r="CK251" s="342">
        <f t="shared" si="18"/>
        <v>0</v>
      </c>
      <c r="CL251" s="333">
        <f t="shared" si="19"/>
        <v>0</v>
      </c>
      <c r="CM251" s="423"/>
      <c r="CN251" s="424"/>
      <c r="CO251" s="424"/>
      <c r="CP251" s="424"/>
    </row>
    <row r="252">
      <c r="A252" s="315" t="s">
        <v>25</v>
      </c>
      <c r="B252" s="316"/>
      <c r="C252" s="417">
        <v>43676.0</v>
      </c>
      <c r="D252" s="318"/>
      <c r="E252" s="319">
        <v>13.0</v>
      </c>
      <c r="F252" s="332"/>
      <c r="G252" s="321">
        <v>0.7063425925925926</v>
      </c>
      <c r="H252" s="323">
        <v>0.7068518518518518</v>
      </c>
      <c r="I252" s="323"/>
      <c r="J252" s="323"/>
      <c r="K252" s="323">
        <v>0.7110185185185185</v>
      </c>
      <c r="L252" s="322">
        <f t="shared" si="7"/>
        <v>0.004675925926</v>
      </c>
      <c r="M252" s="319" t="s">
        <v>358</v>
      </c>
      <c r="N252" s="324" t="s">
        <v>187</v>
      </c>
      <c r="O252" s="419" t="s">
        <v>197</v>
      </c>
      <c r="P252" s="319" t="s">
        <v>220</v>
      </c>
      <c r="Q252" s="318"/>
      <c r="R252" s="326">
        <v>37.0</v>
      </c>
      <c r="S252" s="319">
        <v>7.0</v>
      </c>
      <c r="T252" s="324">
        <v>6.5</v>
      </c>
      <c r="U252" s="319">
        <v>1.0</v>
      </c>
      <c r="V252" s="319"/>
      <c r="W252" s="319"/>
      <c r="X252" s="319"/>
      <c r="Y252" s="319"/>
      <c r="Z252" s="319" t="s">
        <v>1113</v>
      </c>
      <c r="AA252" s="319"/>
      <c r="AB252" s="318"/>
      <c r="AC252" s="327">
        <v>4.0</v>
      </c>
      <c r="AD252" s="319"/>
      <c r="AE252" s="319"/>
      <c r="AF252" s="319"/>
      <c r="AG252" s="319"/>
      <c r="AH252" s="319"/>
      <c r="AI252" s="319"/>
      <c r="AJ252" s="327"/>
      <c r="AK252" s="328"/>
      <c r="AL252" s="319"/>
      <c r="AM252" s="319"/>
      <c r="AN252" s="319"/>
      <c r="AO252" s="319"/>
      <c r="AP252" s="319"/>
      <c r="AQ252" s="319"/>
      <c r="AR252" s="319"/>
      <c r="AS252" s="327"/>
      <c r="AT252" s="344"/>
      <c r="AU252" s="345" t="s">
        <v>845</v>
      </c>
      <c r="AV252" s="330">
        <f>SQRT(($R252-Infrastructure!J$3)^2+($S252-Infrastructure!K$3)^2)</f>
        <v>43.25390156</v>
      </c>
      <c r="AW252" s="331">
        <f>SQRT(($R252-Infrastructure!J$4)^2+($S252-Infrastructure!K$4)^2)</f>
        <v>38.83207437</v>
      </c>
      <c r="AX252" s="331">
        <f>SQRT(($R252-Infrastructure!J$5)^2+($S252-Infrastructure!K$5)^2)</f>
        <v>37.34836007</v>
      </c>
      <c r="AY252" s="331">
        <f>SQRT(($R252-Infrastructure!J$6)^2+($S252-Infrastructure!K$6)^2)</f>
        <v>27.72183255</v>
      </c>
      <c r="AZ252" s="331">
        <f>SQRT(($R252-Infrastructure!J$7)^2+($S252-Infrastructure!K$7)^2)</f>
        <v>17.80842497</v>
      </c>
      <c r="BA252" s="331">
        <f>SQRT(($R252-Infrastructure!J$8)^2+($S252-Infrastructure!K$8)^2)</f>
        <v>9.617692031</v>
      </c>
      <c r="BB252" s="331">
        <f>SQRT(($R252-Infrastructure!J$9)^2+($S252-Infrastructure!K$9)^2)</f>
        <v>3.551056181</v>
      </c>
      <c r="BC252" s="331">
        <f>SQRT(($R252-Infrastructure!J$10)^2+($S252-Infrastructure!K$10)^2)</f>
        <v>8.544003745</v>
      </c>
      <c r="BD252" s="318"/>
      <c r="BE252" s="332"/>
      <c r="BF252" s="330">
        <f t="shared" si="14"/>
        <v>3.551056181</v>
      </c>
      <c r="BG252" s="333">
        <f t="shared" si="15"/>
        <v>43.25390156</v>
      </c>
      <c r="BH252" s="334"/>
      <c r="BI252" s="316"/>
      <c r="BJ252" s="318"/>
      <c r="BK252" s="318"/>
      <c r="BL252" s="318"/>
      <c r="BM252" s="318"/>
      <c r="BN252" s="318"/>
      <c r="BO252" s="318"/>
      <c r="BP252" s="318"/>
      <c r="BQ252" s="338"/>
      <c r="BR252" s="420"/>
      <c r="BS252" s="330">
        <f t="shared" si="16"/>
        <v>0</v>
      </c>
      <c r="BT252" s="331">
        <f t="shared" si="17"/>
        <v>0</v>
      </c>
      <c r="BU252" s="331"/>
      <c r="BV252" s="333"/>
      <c r="BW252" s="330"/>
      <c r="BX252" s="331"/>
      <c r="BY252" s="331"/>
      <c r="BZ252" s="340"/>
      <c r="CA252" s="316"/>
      <c r="CB252" s="318"/>
      <c r="CC252" s="318"/>
      <c r="CD252" s="318"/>
      <c r="CE252" s="318"/>
      <c r="CF252" s="318"/>
      <c r="CG252" s="318"/>
      <c r="CH252" s="318"/>
      <c r="CI252" s="338"/>
      <c r="CJ252" s="341"/>
      <c r="CK252" s="342">
        <f t="shared" si="18"/>
        <v>0</v>
      </c>
      <c r="CL252" s="333">
        <f t="shared" si="19"/>
        <v>0</v>
      </c>
      <c r="CM252" s="423"/>
      <c r="CN252" s="424"/>
      <c r="CO252" s="424"/>
      <c r="CP252" s="424"/>
    </row>
    <row r="253">
      <c r="A253" s="315" t="s">
        <v>25</v>
      </c>
      <c r="B253" s="316"/>
      <c r="C253" s="417">
        <v>43676.0</v>
      </c>
      <c r="D253" s="318"/>
      <c r="E253" s="319">
        <v>14.0</v>
      </c>
      <c r="F253" s="332"/>
      <c r="G253" s="321">
        <v>0.7128703703703704</v>
      </c>
      <c r="H253" s="323">
        <v>0.7144675925925926</v>
      </c>
      <c r="I253" s="323"/>
      <c r="J253" s="323"/>
      <c r="K253" s="323">
        <v>0.7186458333333333</v>
      </c>
      <c r="L253" s="322">
        <f t="shared" si="7"/>
        <v>0.005775462963</v>
      </c>
      <c r="M253" s="319" t="s">
        <v>358</v>
      </c>
      <c r="N253" s="324" t="s">
        <v>187</v>
      </c>
      <c r="O253" s="419" t="s">
        <v>197</v>
      </c>
      <c r="P253" s="319" t="s">
        <v>220</v>
      </c>
      <c r="Q253" s="318"/>
      <c r="R253" s="326">
        <v>37.0</v>
      </c>
      <c r="S253" s="319">
        <v>7.0</v>
      </c>
      <c r="T253" s="324">
        <v>6.5</v>
      </c>
      <c r="U253" s="319">
        <v>4.0</v>
      </c>
      <c r="V253" s="319"/>
      <c r="W253" s="319"/>
      <c r="X253" s="319"/>
      <c r="Y253" s="319"/>
      <c r="Z253" s="319" t="s">
        <v>1113</v>
      </c>
      <c r="AA253" s="319"/>
      <c r="AB253" s="318"/>
      <c r="AC253" s="327">
        <v>6.0</v>
      </c>
      <c r="AD253" s="319"/>
      <c r="AE253" s="319"/>
      <c r="AF253" s="319"/>
      <c r="AG253" s="319"/>
      <c r="AH253" s="319"/>
      <c r="AI253" s="319"/>
      <c r="AJ253" s="327"/>
      <c r="AK253" s="328"/>
      <c r="AL253" s="319"/>
      <c r="AM253" s="319"/>
      <c r="AN253" s="319"/>
      <c r="AO253" s="319"/>
      <c r="AP253" s="319"/>
      <c r="AQ253" s="319"/>
      <c r="AR253" s="319"/>
      <c r="AS253" s="327"/>
      <c r="AT253" s="344"/>
      <c r="AU253" s="345" t="s">
        <v>845</v>
      </c>
      <c r="AV253" s="330">
        <f>SQRT(($R253-Infrastructure!J$3)^2+($S253-Infrastructure!K$3)^2)</f>
        <v>43.25390156</v>
      </c>
      <c r="AW253" s="331">
        <f>SQRT(($R253-Infrastructure!J$4)^2+($S253-Infrastructure!K$4)^2)</f>
        <v>38.83207437</v>
      </c>
      <c r="AX253" s="331">
        <f>SQRT(($R253-Infrastructure!J$5)^2+($S253-Infrastructure!K$5)^2)</f>
        <v>37.34836007</v>
      </c>
      <c r="AY253" s="331">
        <f>SQRT(($R253-Infrastructure!J$6)^2+($S253-Infrastructure!K$6)^2)</f>
        <v>27.72183255</v>
      </c>
      <c r="AZ253" s="331">
        <f>SQRT(($R253-Infrastructure!J$7)^2+($S253-Infrastructure!K$7)^2)</f>
        <v>17.80842497</v>
      </c>
      <c r="BA253" s="331">
        <f>SQRT(($R253-Infrastructure!J$8)^2+($S253-Infrastructure!K$8)^2)</f>
        <v>9.617692031</v>
      </c>
      <c r="BB253" s="331">
        <f>SQRT(($R253-Infrastructure!J$9)^2+($S253-Infrastructure!K$9)^2)</f>
        <v>3.551056181</v>
      </c>
      <c r="BC253" s="331">
        <f>SQRT(($R253-Infrastructure!J$10)^2+($S253-Infrastructure!K$10)^2)</f>
        <v>8.544003745</v>
      </c>
      <c r="BD253" s="318"/>
      <c r="BE253" s="332"/>
      <c r="BF253" s="330">
        <f t="shared" si="14"/>
        <v>3.551056181</v>
      </c>
      <c r="BG253" s="333">
        <f t="shared" si="15"/>
        <v>43.25390156</v>
      </c>
      <c r="BH253" s="334"/>
      <c r="BI253" s="316"/>
      <c r="BJ253" s="318"/>
      <c r="BK253" s="318"/>
      <c r="BL253" s="318"/>
      <c r="BM253" s="318"/>
      <c r="BN253" s="318"/>
      <c r="BO253" s="318"/>
      <c r="BP253" s="318"/>
      <c r="BQ253" s="338"/>
      <c r="BR253" s="420"/>
      <c r="BS253" s="330">
        <f t="shared" si="16"/>
        <v>0</v>
      </c>
      <c r="BT253" s="331">
        <f t="shared" si="17"/>
        <v>0</v>
      </c>
      <c r="BU253" s="331"/>
      <c r="BV253" s="333"/>
      <c r="BW253" s="330"/>
      <c r="BX253" s="331"/>
      <c r="BY253" s="331"/>
      <c r="BZ253" s="340"/>
      <c r="CA253" s="316"/>
      <c r="CB253" s="318"/>
      <c r="CC253" s="318"/>
      <c r="CD253" s="318"/>
      <c r="CE253" s="318"/>
      <c r="CF253" s="318"/>
      <c r="CG253" s="318"/>
      <c r="CH253" s="318"/>
      <c r="CI253" s="338"/>
      <c r="CJ253" s="341"/>
      <c r="CK253" s="342">
        <f t="shared" si="18"/>
        <v>0</v>
      </c>
      <c r="CL253" s="333">
        <f t="shared" si="19"/>
        <v>0</v>
      </c>
      <c r="CM253" s="421" t="s">
        <v>1114</v>
      </c>
      <c r="CN253" s="416"/>
      <c r="CO253" s="416"/>
      <c r="CP253" s="416"/>
    </row>
    <row r="254">
      <c r="A254" s="315" t="s">
        <v>25</v>
      </c>
      <c r="B254" s="316"/>
      <c r="C254" s="417">
        <v>43676.0</v>
      </c>
      <c r="D254" s="318"/>
      <c r="E254" s="319">
        <v>15.0</v>
      </c>
      <c r="F254" s="332"/>
      <c r="G254" s="321">
        <v>0.7207291666666666</v>
      </c>
      <c r="H254" s="323">
        <v>0.7213657407407408</v>
      </c>
      <c r="I254" s="323"/>
      <c r="J254" s="323"/>
      <c r="K254" s="323">
        <v>0.7255555555555555</v>
      </c>
      <c r="L254" s="322">
        <f t="shared" si="7"/>
        <v>0.004826388889</v>
      </c>
      <c r="M254" s="319" t="s">
        <v>358</v>
      </c>
      <c r="N254" s="324" t="s">
        <v>187</v>
      </c>
      <c r="O254" s="419" t="s">
        <v>197</v>
      </c>
      <c r="P254" s="319" t="s">
        <v>220</v>
      </c>
      <c r="Q254" s="318"/>
      <c r="R254" s="326">
        <v>37.0</v>
      </c>
      <c r="S254" s="319">
        <v>7.0</v>
      </c>
      <c r="T254" s="324">
        <v>6.5</v>
      </c>
      <c r="U254" s="319">
        <v>6.0</v>
      </c>
      <c r="V254" s="319"/>
      <c r="W254" s="319"/>
      <c r="X254" s="319"/>
      <c r="Y254" s="319"/>
      <c r="Z254" s="319" t="s">
        <v>1113</v>
      </c>
      <c r="AA254" s="319"/>
      <c r="AB254" s="318"/>
      <c r="AC254" s="327">
        <v>8.0</v>
      </c>
      <c r="AD254" s="319"/>
      <c r="AE254" s="319"/>
      <c r="AF254" s="319"/>
      <c r="AG254" s="319"/>
      <c r="AH254" s="319"/>
      <c r="AI254" s="319"/>
      <c r="AJ254" s="327"/>
      <c r="AK254" s="328"/>
      <c r="AL254" s="319"/>
      <c r="AM254" s="319"/>
      <c r="AN254" s="319"/>
      <c r="AO254" s="319"/>
      <c r="AP254" s="319"/>
      <c r="AQ254" s="319"/>
      <c r="AR254" s="319"/>
      <c r="AS254" s="327"/>
      <c r="AT254" s="344"/>
      <c r="AU254" s="345" t="s">
        <v>845</v>
      </c>
      <c r="AV254" s="330">
        <f>SQRT(($R254-Infrastructure!J$3)^2+($S254-Infrastructure!K$3)^2)</f>
        <v>43.25390156</v>
      </c>
      <c r="AW254" s="331">
        <f>SQRT(($R254-Infrastructure!J$4)^2+($S254-Infrastructure!K$4)^2)</f>
        <v>38.83207437</v>
      </c>
      <c r="AX254" s="331">
        <f>SQRT(($R254-Infrastructure!J$5)^2+($S254-Infrastructure!K$5)^2)</f>
        <v>37.34836007</v>
      </c>
      <c r="AY254" s="331">
        <f>SQRT(($R254-Infrastructure!J$6)^2+($S254-Infrastructure!K$6)^2)</f>
        <v>27.72183255</v>
      </c>
      <c r="AZ254" s="331">
        <f>SQRT(($R254-Infrastructure!J$7)^2+($S254-Infrastructure!K$7)^2)</f>
        <v>17.80842497</v>
      </c>
      <c r="BA254" s="331">
        <f>SQRT(($R254-Infrastructure!J$8)^2+($S254-Infrastructure!K$8)^2)</f>
        <v>9.617692031</v>
      </c>
      <c r="BB254" s="331">
        <f>SQRT(($R254-Infrastructure!J$9)^2+($S254-Infrastructure!K$9)^2)</f>
        <v>3.551056181</v>
      </c>
      <c r="BC254" s="331">
        <f>SQRT(($R254-Infrastructure!J$10)^2+($S254-Infrastructure!K$10)^2)</f>
        <v>8.544003745</v>
      </c>
      <c r="BD254" s="318"/>
      <c r="BE254" s="332"/>
      <c r="BF254" s="330">
        <f t="shared" si="14"/>
        <v>3.551056181</v>
      </c>
      <c r="BG254" s="333">
        <f t="shared" si="15"/>
        <v>43.25390156</v>
      </c>
      <c r="BH254" s="334"/>
      <c r="BI254" s="316"/>
      <c r="BJ254" s="318"/>
      <c r="BK254" s="318"/>
      <c r="BL254" s="318"/>
      <c r="BM254" s="318"/>
      <c r="BN254" s="318"/>
      <c r="BO254" s="318"/>
      <c r="BP254" s="318"/>
      <c r="BQ254" s="338"/>
      <c r="BR254" s="420"/>
      <c r="BS254" s="330">
        <f t="shared" si="16"/>
        <v>0</v>
      </c>
      <c r="BT254" s="331">
        <f t="shared" si="17"/>
        <v>0</v>
      </c>
      <c r="BU254" s="331"/>
      <c r="BV254" s="333"/>
      <c r="BW254" s="330"/>
      <c r="BX254" s="331"/>
      <c r="BY254" s="331"/>
      <c r="BZ254" s="340"/>
      <c r="CA254" s="316"/>
      <c r="CB254" s="318"/>
      <c r="CC254" s="318"/>
      <c r="CD254" s="318"/>
      <c r="CE254" s="318"/>
      <c r="CF254" s="318"/>
      <c r="CG254" s="318"/>
      <c r="CH254" s="318"/>
      <c r="CI254" s="338"/>
      <c r="CJ254" s="341"/>
      <c r="CK254" s="342">
        <f t="shared" si="18"/>
        <v>0</v>
      </c>
      <c r="CL254" s="333">
        <f t="shared" si="19"/>
        <v>0</v>
      </c>
      <c r="CM254" s="423"/>
      <c r="CN254" s="424"/>
      <c r="CO254" s="424"/>
      <c r="CP254" s="424"/>
    </row>
    <row r="255">
      <c r="A255" s="315" t="s">
        <v>25</v>
      </c>
      <c r="B255" s="316"/>
      <c r="C255" s="417">
        <v>43676.0</v>
      </c>
      <c r="D255" s="318"/>
      <c r="E255" s="319">
        <v>16.0</v>
      </c>
      <c r="F255" s="332"/>
      <c r="G255" s="321">
        <v>0.7274305555555556</v>
      </c>
      <c r="H255" s="323">
        <v>0.7279976851851852</v>
      </c>
      <c r="I255" s="323"/>
      <c r="J255" s="323"/>
      <c r="K255" s="323">
        <v>0.7321296296296296</v>
      </c>
      <c r="L255" s="322">
        <f t="shared" si="7"/>
        <v>0.004699074074</v>
      </c>
      <c r="M255" s="319" t="s">
        <v>358</v>
      </c>
      <c r="N255" s="324" t="s">
        <v>187</v>
      </c>
      <c r="O255" s="419" t="s">
        <v>205</v>
      </c>
      <c r="P255" s="319" t="s">
        <v>222</v>
      </c>
      <c r="Q255" s="318"/>
      <c r="R255" s="326">
        <v>21.0</v>
      </c>
      <c r="S255" s="319">
        <v>5.0</v>
      </c>
      <c r="T255" s="324">
        <v>1.17</v>
      </c>
      <c r="U255" s="319">
        <v>0.6</v>
      </c>
      <c r="V255" s="319"/>
      <c r="W255" s="319"/>
      <c r="X255" s="319"/>
      <c r="Y255" s="319"/>
      <c r="Z255" s="319" t="s">
        <v>1115</v>
      </c>
      <c r="AA255" s="319"/>
      <c r="AB255" s="318"/>
      <c r="AC255" s="327">
        <v>1.8</v>
      </c>
      <c r="AD255" s="319"/>
      <c r="AE255" s="319"/>
      <c r="AF255" s="319"/>
      <c r="AG255" s="319"/>
      <c r="AH255" s="319"/>
      <c r="AI255" s="319"/>
      <c r="AJ255" s="327"/>
      <c r="AK255" s="328"/>
      <c r="AL255" s="319"/>
      <c r="AM255" s="319"/>
      <c r="AN255" s="319"/>
      <c r="AO255" s="319"/>
      <c r="AP255" s="319"/>
      <c r="AQ255" s="319"/>
      <c r="AR255" s="319"/>
      <c r="AS255" s="327"/>
      <c r="AT255" s="344"/>
      <c r="AU255" s="345" t="s">
        <v>845</v>
      </c>
      <c r="AV255" s="330">
        <f>SQRT(($R255-Infrastructure!J$3)^2+($S255-Infrastructure!K$3)^2)</f>
        <v>32.01405941</v>
      </c>
      <c r="AW255" s="331">
        <f>SQRT(($R255-Infrastructure!J$4)^2+($S255-Infrastructure!K$4)^2)</f>
        <v>24.8501509</v>
      </c>
      <c r="AX255" s="331">
        <f>SQRT(($R255-Infrastructure!J$5)^2+($S255-Infrastructure!K$5)^2)</f>
        <v>21.30023474</v>
      </c>
      <c r="AY255" s="331">
        <f>SQRT(($R255-Infrastructure!J$6)^2+($S255-Infrastructure!K$6)^2)</f>
        <v>11.87013058</v>
      </c>
      <c r="AZ255" s="331">
        <f>SQRT(($R255-Infrastructure!J$7)^2+($S255-Infrastructure!K$7)^2)</f>
        <v>4.726520919</v>
      </c>
      <c r="BA255" s="331">
        <f>SQRT(($R255-Infrastructure!J$8)^2+($S255-Infrastructure!K$8)^2)</f>
        <v>10.2420701</v>
      </c>
      <c r="BB255" s="331">
        <f>SQRT(($R255-Infrastructure!J$9)^2+($S255-Infrastructure!K$9)^2)</f>
        <v>19.00026316</v>
      </c>
      <c r="BC255" s="331">
        <f>SQRT(($R255-Infrastructure!J$10)^2+($S255-Infrastructure!K$10)^2)</f>
        <v>21.47091055</v>
      </c>
      <c r="BD255" s="318"/>
      <c r="BE255" s="332"/>
      <c r="BF255" s="330">
        <f t="shared" si="14"/>
        <v>4.726520919</v>
      </c>
      <c r="BG255" s="333">
        <f t="shared" si="15"/>
        <v>32.01405941</v>
      </c>
      <c r="BH255" s="334"/>
      <c r="BI255" s="316"/>
      <c r="BJ255" s="318"/>
      <c r="BK255" s="318"/>
      <c r="BL255" s="318"/>
      <c r="BM255" s="318"/>
      <c r="BN255" s="318"/>
      <c r="BO255" s="318"/>
      <c r="BP255" s="318"/>
      <c r="BQ255" s="338"/>
      <c r="BR255" s="420"/>
      <c r="BS255" s="330">
        <f t="shared" si="16"/>
        <v>0</v>
      </c>
      <c r="BT255" s="331">
        <f t="shared" si="17"/>
        <v>0</v>
      </c>
      <c r="BU255" s="331"/>
      <c r="BV255" s="333"/>
      <c r="BW255" s="330"/>
      <c r="BX255" s="331"/>
      <c r="BY255" s="331"/>
      <c r="BZ255" s="340"/>
      <c r="CA255" s="316"/>
      <c r="CB255" s="318"/>
      <c r="CC255" s="318"/>
      <c r="CD255" s="318"/>
      <c r="CE255" s="318"/>
      <c r="CF255" s="318"/>
      <c r="CG255" s="318"/>
      <c r="CH255" s="318"/>
      <c r="CI255" s="338"/>
      <c r="CJ255" s="341"/>
      <c r="CK255" s="342">
        <f t="shared" si="18"/>
        <v>0</v>
      </c>
      <c r="CL255" s="333">
        <f t="shared" si="19"/>
        <v>0</v>
      </c>
      <c r="CM255" s="423"/>
      <c r="CN255" s="424"/>
      <c r="CO255" s="424"/>
      <c r="CP255" s="424"/>
    </row>
    <row r="256">
      <c r="A256" s="315" t="s">
        <v>25</v>
      </c>
      <c r="B256" s="316"/>
      <c r="C256" s="417">
        <v>43676.0</v>
      </c>
      <c r="D256" s="318"/>
      <c r="E256" s="319">
        <v>17.0</v>
      </c>
      <c r="F256" s="332"/>
      <c r="G256" s="321">
        <v>0.7378472222222222</v>
      </c>
      <c r="H256" s="323">
        <v>0.7381828703703703</v>
      </c>
      <c r="I256" s="323"/>
      <c r="J256" s="323"/>
      <c r="K256" s="323">
        <v>0.7422916666666667</v>
      </c>
      <c r="L256" s="322">
        <f t="shared" si="7"/>
        <v>0.004444444444</v>
      </c>
      <c r="M256" s="319" t="s">
        <v>358</v>
      </c>
      <c r="N256" s="324" t="s">
        <v>187</v>
      </c>
      <c r="O256" s="419" t="s">
        <v>205</v>
      </c>
      <c r="P256" s="319" t="s">
        <v>222</v>
      </c>
      <c r="Q256" s="318"/>
      <c r="R256" s="326">
        <v>21.0</v>
      </c>
      <c r="S256" s="319">
        <v>5.0</v>
      </c>
      <c r="T256" s="324">
        <v>1.17</v>
      </c>
      <c r="U256" s="319">
        <v>3.0</v>
      </c>
      <c r="V256" s="319"/>
      <c r="W256" s="319"/>
      <c r="X256" s="319"/>
      <c r="Y256" s="319"/>
      <c r="Z256" s="319" t="s">
        <v>1115</v>
      </c>
      <c r="AA256" s="319"/>
      <c r="AB256" s="318"/>
      <c r="AC256" s="327">
        <v>4.0</v>
      </c>
      <c r="AD256" s="319"/>
      <c r="AE256" s="319"/>
      <c r="AF256" s="319"/>
      <c r="AG256" s="319"/>
      <c r="AH256" s="319"/>
      <c r="AI256" s="319"/>
      <c r="AJ256" s="327"/>
      <c r="AK256" s="328"/>
      <c r="AL256" s="319"/>
      <c r="AM256" s="319"/>
      <c r="AN256" s="319"/>
      <c r="AO256" s="319"/>
      <c r="AP256" s="319"/>
      <c r="AQ256" s="319"/>
      <c r="AR256" s="319"/>
      <c r="AS256" s="327"/>
      <c r="AT256" s="344"/>
      <c r="AU256" s="345" t="s">
        <v>845</v>
      </c>
      <c r="AV256" s="330">
        <f>SQRT(($R256-Infrastructure!J$3)^2+($S256-Infrastructure!K$3)^2)</f>
        <v>32.01405941</v>
      </c>
      <c r="AW256" s="331">
        <f>SQRT(($R256-Infrastructure!J$4)^2+($S256-Infrastructure!K$4)^2)</f>
        <v>24.8501509</v>
      </c>
      <c r="AX256" s="331">
        <f>SQRT(($R256-Infrastructure!J$5)^2+($S256-Infrastructure!K$5)^2)</f>
        <v>21.30023474</v>
      </c>
      <c r="AY256" s="331">
        <f>SQRT(($R256-Infrastructure!J$6)^2+($S256-Infrastructure!K$6)^2)</f>
        <v>11.87013058</v>
      </c>
      <c r="AZ256" s="331">
        <f>SQRT(($R256-Infrastructure!J$7)^2+($S256-Infrastructure!K$7)^2)</f>
        <v>4.726520919</v>
      </c>
      <c r="BA256" s="331">
        <f>SQRT(($R256-Infrastructure!J$8)^2+($S256-Infrastructure!K$8)^2)</f>
        <v>10.2420701</v>
      </c>
      <c r="BB256" s="331">
        <f>SQRT(($R256-Infrastructure!J$9)^2+($S256-Infrastructure!K$9)^2)</f>
        <v>19.00026316</v>
      </c>
      <c r="BC256" s="331">
        <f>SQRT(($R256-Infrastructure!J$10)^2+($S256-Infrastructure!K$10)^2)</f>
        <v>21.47091055</v>
      </c>
      <c r="BD256" s="318"/>
      <c r="BE256" s="332"/>
      <c r="BF256" s="330">
        <f t="shared" si="14"/>
        <v>4.726520919</v>
      </c>
      <c r="BG256" s="333">
        <f t="shared" si="15"/>
        <v>32.01405941</v>
      </c>
      <c r="BH256" s="334"/>
      <c r="BI256" s="316"/>
      <c r="BJ256" s="318"/>
      <c r="BK256" s="318"/>
      <c r="BL256" s="318"/>
      <c r="BM256" s="318"/>
      <c r="BN256" s="318"/>
      <c r="BO256" s="318"/>
      <c r="BP256" s="318"/>
      <c r="BQ256" s="338"/>
      <c r="BR256" s="420"/>
      <c r="BS256" s="330">
        <f t="shared" si="16"/>
        <v>0</v>
      </c>
      <c r="BT256" s="331">
        <f t="shared" si="17"/>
        <v>0</v>
      </c>
      <c r="BU256" s="331"/>
      <c r="BV256" s="333"/>
      <c r="BW256" s="330"/>
      <c r="BX256" s="331"/>
      <c r="BY256" s="331"/>
      <c r="BZ256" s="340"/>
      <c r="CA256" s="316"/>
      <c r="CB256" s="318"/>
      <c r="CC256" s="318"/>
      <c r="CD256" s="318"/>
      <c r="CE256" s="318"/>
      <c r="CF256" s="318"/>
      <c r="CG256" s="318"/>
      <c r="CH256" s="318"/>
      <c r="CI256" s="338"/>
      <c r="CJ256" s="341"/>
      <c r="CK256" s="342">
        <f t="shared" si="18"/>
        <v>0</v>
      </c>
      <c r="CL256" s="333">
        <f t="shared" si="19"/>
        <v>0</v>
      </c>
      <c r="CM256" s="423"/>
      <c r="CN256" s="424"/>
      <c r="CO256" s="424"/>
      <c r="CP256" s="424"/>
    </row>
    <row r="257">
      <c r="A257" s="315" t="s">
        <v>25</v>
      </c>
      <c r="B257" s="316"/>
      <c r="C257" s="417">
        <v>43676.0</v>
      </c>
      <c r="D257" s="318"/>
      <c r="E257" s="319">
        <v>18.0</v>
      </c>
      <c r="F257" s="332"/>
      <c r="G257" s="321">
        <v>0.7441550925925926</v>
      </c>
      <c r="H257" s="323">
        <v>0.7444907407407407</v>
      </c>
      <c r="I257" s="323"/>
      <c r="J257" s="323"/>
      <c r="K257" s="323">
        <v>0.7488773148148148</v>
      </c>
      <c r="L257" s="322">
        <f t="shared" si="7"/>
        <v>0.004722222222</v>
      </c>
      <c r="M257" s="319" t="s">
        <v>358</v>
      </c>
      <c r="N257" s="324" t="s">
        <v>187</v>
      </c>
      <c r="O257" s="419" t="s">
        <v>205</v>
      </c>
      <c r="P257" s="319" t="s">
        <v>222</v>
      </c>
      <c r="Q257" s="318"/>
      <c r="R257" s="326">
        <v>21.0</v>
      </c>
      <c r="S257" s="319">
        <v>5.0</v>
      </c>
      <c r="T257" s="324">
        <v>1.17</v>
      </c>
      <c r="U257" s="319">
        <v>6.0</v>
      </c>
      <c r="V257" s="319"/>
      <c r="W257" s="319"/>
      <c r="X257" s="319"/>
      <c r="Y257" s="319"/>
      <c r="Z257" s="319" t="s">
        <v>1115</v>
      </c>
      <c r="AA257" s="319"/>
      <c r="AB257" s="318"/>
      <c r="AC257" s="327">
        <v>6.0</v>
      </c>
      <c r="AD257" s="319"/>
      <c r="AE257" s="319"/>
      <c r="AF257" s="319"/>
      <c r="AG257" s="319"/>
      <c r="AH257" s="319"/>
      <c r="AI257" s="319"/>
      <c r="AJ257" s="327"/>
      <c r="AK257" s="328"/>
      <c r="AL257" s="319"/>
      <c r="AM257" s="319"/>
      <c r="AN257" s="319"/>
      <c r="AO257" s="319"/>
      <c r="AP257" s="319"/>
      <c r="AQ257" s="319"/>
      <c r="AR257" s="319"/>
      <c r="AS257" s="327"/>
      <c r="AT257" s="344"/>
      <c r="AU257" s="345" t="s">
        <v>845</v>
      </c>
      <c r="AV257" s="330">
        <f>SQRT(($R257-Infrastructure!J$3)^2+($S257-Infrastructure!K$3)^2)</f>
        <v>32.01405941</v>
      </c>
      <c r="AW257" s="331">
        <f>SQRT(($R257-Infrastructure!J$4)^2+($S257-Infrastructure!K$4)^2)</f>
        <v>24.8501509</v>
      </c>
      <c r="AX257" s="331">
        <f>SQRT(($R257-Infrastructure!J$5)^2+($S257-Infrastructure!K$5)^2)</f>
        <v>21.30023474</v>
      </c>
      <c r="AY257" s="331">
        <f>SQRT(($R257-Infrastructure!J$6)^2+($S257-Infrastructure!K$6)^2)</f>
        <v>11.87013058</v>
      </c>
      <c r="AZ257" s="331">
        <f>SQRT(($R257-Infrastructure!J$7)^2+($S257-Infrastructure!K$7)^2)</f>
        <v>4.726520919</v>
      </c>
      <c r="BA257" s="331">
        <f>SQRT(($R257-Infrastructure!J$8)^2+($S257-Infrastructure!K$8)^2)</f>
        <v>10.2420701</v>
      </c>
      <c r="BB257" s="331">
        <f>SQRT(($R257-Infrastructure!J$9)^2+($S257-Infrastructure!K$9)^2)</f>
        <v>19.00026316</v>
      </c>
      <c r="BC257" s="331">
        <f>SQRT(($R257-Infrastructure!J$10)^2+($S257-Infrastructure!K$10)^2)</f>
        <v>21.47091055</v>
      </c>
      <c r="BD257" s="318"/>
      <c r="BE257" s="332"/>
      <c r="BF257" s="330">
        <f t="shared" si="14"/>
        <v>4.726520919</v>
      </c>
      <c r="BG257" s="333">
        <f t="shared" si="15"/>
        <v>32.01405941</v>
      </c>
      <c r="BH257" s="334"/>
      <c r="BI257" s="316"/>
      <c r="BJ257" s="318"/>
      <c r="BK257" s="318"/>
      <c r="BL257" s="318"/>
      <c r="BM257" s="318"/>
      <c r="BN257" s="318"/>
      <c r="BO257" s="318"/>
      <c r="BP257" s="318"/>
      <c r="BQ257" s="338"/>
      <c r="BR257" s="420"/>
      <c r="BS257" s="330">
        <f t="shared" si="16"/>
        <v>0</v>
      </c>
      <c r="BT257" s="331">
        <f t="shared" si="17"/>
        <v>0</v>
      </c>
      <c r="BU257" s="331"/>
      <c r="BV257" s="333"/>
      <c r="BW257" s="330"/>
      <c r="BX257" s="331"/>
      <c r="BY257" s="331"/>
      <c r="BZ257" s="340"/>
      <c r="CA257" s="316"/>
      <c r="CB257" s="318"/>
      <c r="CC257" s="318"/>
      <c r="CD257" s="318"/>
      <c r="CE257" s="318"/>
      <c r="CF257" s="318"/>
      <c r="CG257" s="318"/>
      <c r="CH257" s="318"/>
      <c r="CI257" s="338"/>
      <c r="CJ257" s="341"/>
      <c r="CK257" s="342">
        <f t="shared" si="18"/>
        <v>0</v>
      </c>
      <c r="CL257" s="333">
        <f t="shared" si="19"/>
        <v>0</v>
      </c>
      <c r="CM257" s="421" t="s">
        <v>1116</v>
      </c>
      <c r="CN257" s="416"/>
      <c r="CO257" s="416"/>
      <c r="CP257" s="416"/>
    </row>
    <row r="258">
      <c r="A258" s="315" t="s">
        <v>25</v>
      </c>
      <c r="B258" s="316"/>
      <c r="C258" s="417">
        <v>43678.0</v>
      </c>
      <c r="D258" s="318"/>
      <c r="E258" s="319">
        <v>1.0</v>
      </c>
      <c r="F258" s="332"/>
      <c r="G258" s="321">
        <v>0.586099537037037</v>
      </c>
      <c r="H258" s="323">
        <v>0.5863888888888888</v>
      </c>
      <c r="I258" s="323"/>
      <c r="J258" s="323"/>
      <c r="K258" s="323">
        <v>0.5905902777777777</v>
      </c>
      <c r="L258" s="322">
        <f t="shared" si="7"/>
        <v>0.004490740741</v>
      </c>
      <c r="M258" s="319" t="s">
        <v>168</v>
      </c>
      <c r="N258" s="324" t="s">
        <v>187</v>
      </c>
      <c r="O258" s="419" t="s">
        <v>1071</v>
      </c>
      <c r="P258" s="319" t="s">
        <v>220</v>
      </c>
      <c r="Q258" s="318"/>
      <c r="R258" s="326">
        <v>24.5</v>
      </c>
      <c r="S258" s="319">
        <v>7.5</v>
      </c>
      <c r="T258" s="324">
        <v>0.6</v>
      </c>
      <c r="U258" s="319">
        <v>3.0</v>
      </c>
      <c r="V258" s="319"/>
      <c r="W258" s="319"/>
      <c r="X258" s="319"/>
      <c r="Y258" s="319"/>
      <c r="Z258" s="319" t="s">
        <v>331</v>
      </c>
      <c r="AA258" s="319"/>
      <c r="AB258" s="318"/>
      <c r="AC258" s="327">
        <v>2.5</v>
      </c>
      <c r="AD258" s="319"/>
      <c r="AE258" s="319"/>
      <c r="AF258" s="319"/>
      <c r="AG258" s="319"/>
      <c r="AH258" s="319"/>
      <c r="AI258" s="319"/>
      <c r="AJ258" s="327"/>
      <c r="AK258" s="328"/>
      <c r="AL258" s="319"/>
      <c r="AM258" s="319"/>
      <c r="AN258" s="319"/>
      <c r="AO258" s="319"/>
      <c r="AP258" s="319"/>
      <c r="AQ258" s="319"/>
      <c r="AR258" s="319"/>
      <c r="AS258" s="327"/>
      <c r="AT258" s="344"/>
      <c r="AU258" s="345" t="s">
        <v>845</v>
      </c>
      <c r="AV258" s="330">
        <f>SQRT(($R258-Infrastructure!J$3)^2+($S258-Infrastructure!K$3)^2)</f>
        <v>32.75667871</v>
      </c>
      <c r="AW258" s="331">
        <f>SQRT(($R258-Infrastructure!J$4)^2+($S258-Infrastructure!K$4)^2)</f>
        <v>26.85386378</v>
      </c>
      <c r="AX258" s="331">
        <f>SQRT(($R258-Infrastructure!J$5)^2+($S258-Infrastructure!K$5)^2)</f>
        <v>24.9158584</v>
      </c>
      <c r="AY258" s="331">
        <f>SQRT(($R258-Infrastructure!J$6)^2+($S258-Infrastructure!K$6)^2)</f>
        <v>16.09968944</v>
      </c>
      <c r="AZ258" s="331">
        <f>SQRT(($R258-Infrastructure!J$7)^2+($S258-Infrastructure!K$7)^2)</f>
        <v>8.236504113</v>
      </c>
      <c r="BA258" s="331">
        <f>SQRT(($R258-Infrastructure!J$8)^2+($S258-Infrastructure!K$8)^2)</f>
        <v>9.121403401</v>
      </c>
      <c r="BB258" s="331">
        <f>SQRT(($R258-Infrastructure!J$9)^2+($S258-Infrastructure!K$9)^2)</f>
        <v>15.68470593</v>
      </c>
      <c r="BC258" s="331">
        <f>SQRT(($R258-Infrastructure!J$10)^2+($S258-Infrastructure!K$10)^2)</f>
        <v>17.21917536</v>
      </c>
      <c r="BD258" s="318"/>
      <c r="BE258" s="332"/>
      <c r="BF258" s="330">
        <f t="shared" si="14"/>
        <v>8.236504113</v>
      </c>
      <c r="BG258" s="333">
        <f t="shared" si="15"/>
        <v>32.75667871</v>
      </c>
      <c r="BH258" s="334"/>
      <c r="BI258" s="316"/>
      <c r="BJ258" s="318"/>
      <c r="BK258" s="318"/>
      <c r="BL258" s="318"/>
      <c r="BM258" s="318"/>
      <c r="BN258" s="318"/>
      <c r="BO258" s="318"/>
      <c r="BP258" s="318"/>
      <c r="BQ258" s="338"/>
      <c r="BR258" s="420"/>
      <c r="BS258" s="330">
        <f t="shared" si="16"/>
        <v>0</v>
      </c>
      <c r="BT258" s="331">
        <f t="shared" si="17"/>
        <v>0</v>
      </c>
      <c r="BU258" s="331"/>
      <c r="BV258" s="333"/>
      <c r="BW258" s="330"/>
      <c r="BX258" s="331"/>
      <c r="BY258" s="331"/>
      <c r="BZ258" s="340"/>
      <c r="CA258" s="316"/>
      <c r="CB258" s="318"/>
      <c r="CC258" s="318"/>
      <c r="CD258" s="318"/>
      <c r="CE258" s="318"/>
      <c r="CF258" s="318"/>
      <c r="CG258" s="318"/>
      <c r="CH258" s="318"/>
      <c r="CI258" s="338"/>
      <c r="CJ258" s="341"/>
      <c r="CK258" s="342">
        <f t="shared" si="18"/>
        <v>0</v>
      </c>
      <c r="CL258" s="333">
        <f t="shared" si="19"/>
        <v>0</v>
      </c>
      <c r="CM258" s="423"/>
      <c r="CN258" s="424"/>
      <c r="CO258" s="424"/>
      <c r="CP258" s="424"/>
    </row>
    <row r="259">
      <c r="A259" s="315" t="s">
        <v>25</v>
      </c>
      <c r="B259" s="316"/>
      <c r="C259" s="417">
        <v>43678.0</v>
      </c>
      <c r="D259" s="318"/>
      <c r="E259" s="319">
        <v>2.0</v>
      </c>
      <c r="F259" s="332"/>
      <c r="G259" s="321">
        <v>0.5925694444444445</v>
      </c>
      <c r="H259" s="323">
        <v>0.5929398148148148</v>
      </c>
      <c r="I259" s="323"/>
      <c r="J259" s="323"/>
      <c r="K259" s="323">
        <v>0.5970949074074074</v>
      </c>
      <c r="L259" s="322">
        <f t="shared" si="7"/>
        <v>0.004525462963</v>
      </c>
      <c r="M259" s="319" t="s">
        <v>168</v>
      </c>
      <c r="N259" s="324" t="s">
        <v>187</v>
      </c>
      <c r="O259" s="419" t="s">
        <v>1071</v>
      </c>
      <c r="P259" s="319" t="s">
        <v>220</v>
      </c>
      <c r="Q259" s="318"/>
      <c r="R259" s="326">
        <v>24.5</v>
      </c>
      <c r="S259" s="319">
        <v>7.5</v>
      </c>
      <c r="T259" s="324">
        <v>0.6</v>
      </c>
      <c r="U259" s="319">
        <v>4.0</v>
      </c>
      <c r="V259" s="319"/>
      <c r="W259" s="319"/>
      <c r="X259" s="319"/>
      <c r="Y259" s="319"/>
      <c r="Z259" s="319" t="s">
        <v>331</v>
      </c>
      <c r="AA259" s="319"/>
      <c r="AB259" s="318"/>
      <c r="AC259" s="327">
        <v>2.5</v>
      </c>
      <c r="AD259" s="319"/>
      <c r="AE259" s="319"/>
      <c r="AF259" s="319"/>
      <c r="AG259" s="319"/>
      <c r="AH259" s="319"/>
      <c r="AI259" s="319"/>
      <c r="AJ259" s="327"/>
      <c r="AK259" s="328"/>
      <c r="AL259" s="319"/>
      <c r="AM259" s="319"/>
      <c r="AN259" s="319"/>
      <c r="AO259" s="319"/>
      <c r="AP259" s="319"/>
      <c r="AQ259" s="319"/>
      <c r="AR259" s="319"/>
      <c r="AS259" s="327"/>
      <c r="AT259" s="344"/>
      <c r="AU259" s="345" t="s">
        <v>845</v>
      </c>
      <c r="AV259" s="330">
        <f>SQRT(($R259-Infrastructure!J$3)^2+($S259-Infrastructure!K$3)^2)</f>
        <v>32.75667871</v>
      </c>
      <c r="AW259" s="331">
        <f>SQRT(($R259-Infrastructure!J$4)^2+($S259-Infrastructure!K$4)^2)</f>
        <v>26.85386378</v>
      </c>
      <c r="AX259" s="331">
        <f>SQRT(($R259-Infrastructure!J$5)^2+($S259-Infrastructure!K$5)^2)</f>
        <v>24.9158584</v>
      </c>
      <c r="AY259" s="331">
        <f>SQRT(($R259-Infrastructure!J$6)^2+($S259-Infrastructure!K$6)^2)</f>
        <v>16.09968944</v>
      </c>
      <c r="AZ259" s="331">
        <f>SQRT(($R259-Infrastructure!J$7)^2+($S259-Infrastructure!K$7)^2)</f>
        <v>8.236504113</v>
      </c>
      <c r="BA259" s="331">
        <f>SQRT(($R259-Infrastructure!J$8)^2+($S259-Infrastructure!K$8)^2)</f>
        <v>9.121403401</v>
      </c>
      <c r="BB259" s="331">
        <f>SQRT(($R259-Infrastructure!J$9)^2+($S259-Infrastructure!K$9)^2)</f>
        <v>15.68470593</v>
      </c>
      <c r="BC259" s="331">
        <f>SQRT(($R259-Infrastructure!J$10)^2+($S259-Infrastructure!K$10)^2)</f>
        <v>17.21917536</v>
      </c>
      <c r="BD259" s="318"/>
      <c r="BE259" s="332"/>
      <c r="BF259" s="330">
        <f t="shared" si="14"/>
        <v>8.236504113</v>
      </c>
      <c r="BG259" s="333">
        <f t="shared" si="15"/>
        <v>32.75667871</v>
      </c>
      <c r="BH259" s="334"/>
      <c r="BI259" s="316"/>
      <c r="BJ259" s="318"/>
      <c r="BK259" s="318"/>
      <c r="BL259" s="318"/>
      <c r="BM259" s="318"/>
      <c r="BN259" s="318"/>
      <c r="BO259" s="318"/>
      <c r="BP259" s="318"/>
      <c r="BQ259" s="338"/>
      <c r="BR259" s="420"/>
      <c r="BS259" s="330">
        <f t="shared" si="16"/>
        <v>0</v>
      </c>
      <c r="BT259" s="331">
        <f t="shared" si="17"/>
        <v>0</v>
      </c>
      <c r="BU259" s="331"/>
      <c r="BV259" s="333"/>
      <c r="BW259" s="330"/>
      <c r="BX259" s="331"/>
      <c r="BY259" s="331"/>
      <c r="BZ259" s="340"/>
      <c r="CA259" s="316"/>
      <c r="CB259" s="318"/>
      <c r="CC259" s="318"/>
      <c r="CD259" s="318"/>
      <c r="CE259" s="318"/>
      <c r="CF259" s="318"/>
      <c r="CG259" s="318"/>
      <c r="CH259" s="318"/>
      <c r="CI259" s="338"/>
      <c r="CJ259" s="341"/>
      <c r="CK259" s="342">
        <f t="shared" si="18"/>
        <v>0</v>
      </c>
      <c r="CL259" s="333">
        <f t="shared" si="19"/>
        <v>0</v>
      </c>
      <c r="CM259" s="423"/>
      <c r="CN259" s="424"/>
      <c r="CO259" s="424"/>
      <c r="CP259" s="424"/>
    </row>
    <row r="260">
      <c r="A260" s="315" t="s">
        <v>25</v>
      </c>
      <c r="B260" s="316"/>
      <c r="C260" s="417">
        <v>43678.0</v>
      </c>
      <c r="D260" s="318"/>
      <c r="E260" s="319">
        <v>3.0</v>
      </c>
      <c r="F260" s="332"/>
      <c r="G260" s="321">
        <v>0.599212962962963</v>
      </c>
      <c r="H260" s="323">
        <v>0.5995370370370371</v>
      </c>
      <c r="I260" s="323"/>
      <c r="J260" s="323"/>
      <c r="K260" s="323">
        <v>0.6036921296296296</v>
      </c>
      <c r="L260" s="322">
        <f t="shared" si="7"/>
        <v>0.004479166667</v>
      </c>
      <c r="M260" s="319" t="s">
        <v>168</v>
      </c>
      <c r="N260" s="324" t="s">
        <v>187</v>
      </c>
      <c r="O260" s="419" t="s">
        <v>1071</v>
      </c>
      <c r="P260" s="319" t="s">
        <v>220</v>
      </c>
      <c r="Q260" s="318"/>
      <c r="R260" s="326">
        <v>24.5</v>
      </c>
      <c r="S260" s="319">
        <v>7.5</v>
      </c>
      <c r="T260" s="324">
        <v>0.6</v>
      </c>
      <c r="U260" s="319">
        <v>5.0</v>
      </c>
      <c r="V260" s="319"/>
      <c r="W260" s="319"/>
      <c r="X260" s="319"/>
      <c r="Y260" s="319"/>
      <c r="Z260" s="319" t="s">
        <v>331</v>
      </c>
      <c r="AA260" s="319"/>
      <c r="AB260" s="318"/>
      <c r="AC260" s="327">
        <v>2.5</v>
      </c>
      <c r="AD260" s="319"/>
      <c r="AE260" s="319"/>
      <c r="AF260" s="319"/>
      <c r="AG260" s="319"/>
      <c r="AH260" s="319"/>
      <c r="AI260" s="319"/>
      <c r="AJ260" s="327"/>
      <c r="AK260" s="328"/>
      <c r="AL260" s="319"/>
      <c r="AM260" s="319"/>
      <c r="AN260" s="319"/>
      <c r="AO260" s="319"/>
      <c r="AP260" s="319"/>
      <c r="AQ260" s="319"/>
      <c r="AR260" s="319"/>
      <c r="AS260" s="327"/>
      <c r="AT260" s="344"/>
      <c r="AU260" s="345" t="s">
        <v>845</v>
      </c>
      <c r="AV260" s="330">
        <f>SQRT(($R260-Infrastructure!J$3)^2+($S260-Infrastructure!K$3)^2)</f>
        <v>32.75667871</v>
      </c>
      <c r="AW260" s="331">
        <f>SQRT(($R260-Infrastructure!J$4)^2+($S260-Infrastructure!K$4)^2)</f>
        <v>26.85386378</v>
      </c>
      <c r="AX260" s="331">
        <f>SQRT(($R260-Infrastructure!J$5)^2+($S260-Infrastructure!K$5)^2)</f>
        <v>24.9158584</v>
      </c>
      <c r="AY260" s="331">
        <f>SQRT(($R260-Infrastructure!J$6)^2+($S260-Infrastructure!K$6)^2)</f>
        <v>16.09968944</v>
      </c>
      <c r="AZ260" s="331">
        <f>SQRT(($R260-Infrastructure!J$7)^2+($S260-Infrastructure!K$7)^2)</f>
        <v>8.236504113</v>
      </c>
      <c r="BA260" s="331">
        <f>SQRT(($R260-Infrastructure!J$8)^2+($S260-Infrastructure!K$8)^2)</f>
        <v>9.121403401</v>
      </c>
      <c r="BB260" s="331">
        <f>SQRT(($R260-Infrastructure!J$9)^2+($S260-Infrastructure!K$9)^2)</f>
        <v>15.68470593</v>
      </c>
      <c r="BC260" s="331">
        <f>SQRT(($R260-Infrastructure!J$10)^2+($S260-Infrastructure!K$10)^2)</f>
        <v>17.21917536</v>
      </c>
      <c r="BD260" s="318"/>
      <c r="BE260" s="332"/>
      <c r="BF260" s="330">
        <f t="shared" si="14"/>
        <v>8.236504113</v>
      </c>
      <c r="BG260" s="333">
        <f t="shared" si="15"/>
        <v>32.75667871</v>
      </c>
      <c r="BH260" s="334"/>
      <c r="BI260" s="316"/>
      <c r="BJ260" s="318"/>
      <c r="BK260" s="318"/>
      <c r="BL260" s="318"/>
      <c r="BM260" s="318"/>
      <c r="BN260" s="318"/>
      <c r="BO260" s="318"/>
      <c r="BP260" s="318"/>
      <c r="BQ260" s="338"/>
      <c r="BR260" s="420"/>
      <c r="BS260" s="330">
        <f t="shared" si="16"/>
        <v>0</v>
      </c>
      <c r="BT260" s="331">
        <f t="shared" si="17"/>
        <v>0</v>
      </c>
      <c r="BU260" s="331"/>
      <c r="BV260" s="333"/>
      <c r="BW260" s="330"/>
      <c r="BX260" s="331"/>
      <c r="BY260" s="331"/>
      <c r="BZ260" s="340"/>
      <c r="CA260" s="316"/>
      <c r="CB260" s="318"/>
      <c r="CC260" s="318"/>
      <c r="CD260" s="318"/>
      <c r="CE260" s="318"/>
      <c r="CF260" s="318"/>
      <c r="CG260" s="318"/>
      <c r="CH260" s="318"/>
      <c r="CI260" s="338"/>
      <c r="CJ260" s="341"/>
      <c r="CK260" s="342">
        <f t="shared" si="18"/>
        <v>0</v>
      </c>
      <c r="CL260" s="333">
        <f t="shared" si="19"/>
        <v>0</v>
      </c>
      <c r="CM260" s="423"/>
      <c r="CN260" s="424"/>
      <c r="CO260" s="424"/>
      <c r="CP260" s="424"/>
    </row>
    <row r="261">
      <c r="A261" s="315" t="s">
        <v>25</v>
      </c>
      <c r="B261" s="316"/>
      <c r="C261" s="417">
        <v>43678.0</v>
      </c>
      <c r="D261" s="318"/>
      <c r="E261" s="319">
        <v>4.0</v>
      </c>
      <c r="F261" s="332"/>
      <c r="G261" s="321">
        <v>0.6057870370370371</v>
      </c>
      <c r="H261" s="323">
        <v>0.6064467592592593</v>
      </c>
      <c r="I261" s="323"/>
      <c r="J261" s="323"/>
      <c r="K261" s="323">
        <v>0.6106481481481482</v>
      </c>
      <c r="L261" s="322">
        <f t="shared" si="7"/>
        <v>0.004861111111</v>
      </c>
      <c r="M261" s="319" t="s">
        <v>168</v>
      </c>
      <c r="N261" s="324" t="s">
        <v>187</v>
      </c>
      <c r="O261" s="419" t="s">
        <v>1076</v>
      </c>
      <c r="P261" s="319" t="s">
        <v>235</v>
      </c>
      <c r="Q261" s="318"/>
      <c r="R261" s="326">
        <v>11.0</v>
      </c>
      <c r="S261" s="319">
        <v>8.0</v>
      </c>
      <c r="T261" s="332"/>
      <c r="U261" s="319">
        <v>2.0</v>
      </c>
      <c r="V261" s="319"/>
      <c r="W261" s="319"/>
      <c r="X261" s="319"/>
      <c r="Y261" s="319"/>
      <c r="Z261" s="319" t="s">
        <v>318</v>
      </c>
      <c r="AA261" s="319"/>
      <c r="AB261" s="318"/>
      <c r="AC261" s="327">
        <v>1.5</v>
      </c>
      <c r="AD261" s="319"/>
      <c r="AE261" s="319"/>
      <c r="AF261" s="319"/>
      <c r="AG261" s="319"/>
      <c r="AH261" s="319"/>
      <c r="AI261" s="319"/>
      <c r="AJ261" s="327"/>
      <c r="AK261" s="328"/>
      <c r="AL261" s="319"/>
      <c r="AM261" s="319"/>
      <c r="AN261" s="319"/>
      <c r="AO261" s="319"/>
      <c r="AP261" s="319"/>
      <c r="AQ261" s="319"/>
      <c r="AR261" s="319"/>
      <c r="AS261" s="327"/>
      <c r="AT261" s="344"/>
      <c r="AU261" s="345" t="s">
        <v>845</v>
      </c>
      <c r="AV261" s="330">
        <f>SQRT(($R261-Infrastructure!J$3)^2+($S261-Infrastructure!K$3)^2)</f>
        <v>23.75920874</v>
      </c>
      <c r="AW261" s="331">
        <f>SQRT(($R261-Infrastructure!J$4)^2+($S261-Infrastructure!K$4)^2)</f>
        <v>14.95760676</v>
      </c>
      <c r="AX261" s="331">
        <f>SQRT(($R261-Infrastructure!J$5)^2+($S261-Infrastructure!K$5)^2)</f>
        <v>11.66619047</v>
      </c>
      <c r="AY261" s="331">
        <f>SQRT(($R261-Infrastructure!J$6)^2+($S261-Infrastructure!K$6)^2)</f>
        <v>7.752418977</v>
      </c>
      <c r="AZ261" s="331">
        <f>SQRT(($R261-Infrastructure!J$7)^2+($S261-Infrastructure!K$7)^2)</f>
        <v>12.22865487</v>
      </c>
      <c r="BA261" s="331">
        <f>SQRT(($R261-Infrastructure!J$8)^2+($S261-Infrastructure!K$8)^2)</f>
        <v>20.59368835</v>
      </c>
      <c r="BB261" s="331">
        <f>SQRT(($R261-Infrastructure!J$9)^2+($S261-Infrastructure!K$9)^2)</f>
        <v>29.1446393</v>
      </c>
      <c r="BC261" s="331">
        <f>SQRT(($R261-Infrastructure!J$10)^2+($S261-Infrastructure!K$10)^2)</f>
        <v>29.83286778</v>
      </c>
      <c r="BD261" s="318"/>
      <c r="BE261" s="332"/>
      <c r="BF261" s="330">
        <f t="shared" si="14"/>
        <v>7.752418977</v>
      </c>
      <c r="BG261" s="333">
        <f t="shared" si="15"/>
        <v>29.83286778</v>
      </c>
      <c r="BH261" s="334"/>
      <c r="BI261" s="316"/>
      <c r="BJ261" s="318"/>
      <c r="BK261" s="318"/>
      <c r="BL261" s="318"/>
      <c r="BM261" s="318"/>
      <c r="BN261" s="318"/>
      <c r="BO261" s="318"/>
      <c r="BP261" s="318"/>
      <c r="BQ261" s="338"/>
      <c r="BR261" s="420"/>
      <c r="BS261" s="330">
        <f t="shared" si="16"/>
        <v>0</v>
      </c>
      <c r="BT261" s="331">
        <f t="shared" si="17"/>
        <v>0</v>
      </c>
      <c r="BU261" s="331"/>
      <c r="BV261" s="333"/>
      <c r="BW261" s="330"/>
      <c r="BX261" s="331"/>
      <c r="BY261" s="331"/>
      <c r="BZ261" s="340"/>
      <c r="CA261" s="316"/>
      <c r="CB261" s="318"/>
      <c r="CC261" s="318"/>
      <c r="CD261" s="318"/>
      <c r="CE261" s="318"/>
      <c r="CF261" s="318"/>
      <c r="CG261" s="318"/>
      <c r="CH261" s="318"/>
      <c r="CI261" s="338"/>
      <c r="CJ261" s="341"/>
      <c r="CK261" s="342">
        <f t="shared" si="18"/>
        <v>0</v>
      </c>
      <c r="CL261" s="333">
        <f t="shared" si="19"/>
        <v>0</v>
      </c>
      <c r="CM261" s="423"/>
      <c r="CN261" s="424"/>
      <c r="CO261" s="424"/>
      <c r="CP261" s="424"/>
    </row>
    <row r="262">
      <c r="A262" s="315" t="s">
        <v>25</v>
      </c>
      <c r="B262" s="316"/>
      <c r="C262" s="417">
        <v>43678.0</v>
      </c>
      <c r="D262" s="318"/>
      <c r="E262" s="319">
        <v>5.0</v>
      </c>
      <c r="F262" s="332"/>
      <c r="G262" s="321">
        <v>0.6127199074074074</v>
      </c>
      <c r="H262" s="323">
        <v>0.613125</v>
      </c>
      <c r="I262" s="323"/>
      <c r="J262" s="323"/>
      <c r="K262" s="323">
        <v>0.6172337962962963</v>
      </c>
      <c r="L262" s="322">
        <f t="shared" si="7"/>
        <v>0.004513888889</v>
      </c>
      <c r="M262" s="319" t="s">
        <v>168</v>
      </c>
      <c r="N262" s="324" t="s">
        <v>187</v>
      </c>
      <c r="O262" s="419" t="s">
        <v>1076</v>
      </c>
      <c r="P262" s="319" t="s">
        <v>235</v>
      </c>
      <c r="Q262" s="318"/>
      <c r="R262" s="326">
        <v>11.0</v>
      </c>
      <c r="S262" s="319">
        <v>8.0</v>
      </c>
      <c r="T262" s="332"/>
      <c r="U262" s="319">
        <v>4.0</v>
      </c>
      <c r="V262" s="319"/>
      <c r="W262" s="319"/>
      <c r="X262" s="319"/>
      <c r="Y262" s="319"/>
      <c r="Z262" s="319" t="s">
        <v>318</v>
      </c>
      <c r="AA262" s="319"/>
      <c r="AB262" s="318"/>
      <c r="AC262" s="327">
        <v>1.5</v>
      </c>
      <c r="AD262" s="319"/>
      <c r="AE262" s="319"/>
      <c r="AF262" s="319"/>
      <c r="AG262" s="319"/>
      <c r="AH262" s="319"/>
      <c r="AI262" s="319"/>
      <c r="AJ262" s="327"/>
      <c r="AK262" s="328"/>
      <c r="AL262" s="319"/>
      <c r="AM262" s="319"/>
      <c r="AN262" s="319"/>
      <c r="AO262" s="319"/>
      <c r="AP262" s="319"/>
      <c r="AQ262" s="319"/>
      <c r="AR262" s="319"/>
      <c r="AS262" s="327"/>
      <c r="AT262" s="344"/>
      <c r="AU262" s="345" t="s">
        <v>845</v>
      </c>
      <c r="AV262" s="330">
        <f>SQRT(($R262-Infrastructure!J$3)^2+($S262-Infrastructure!K$3)^2)</f>
        <v>23.75920874</v>
      </c>
      <c r="AW262" s="331">
        <f>SQRT(($R262-Infrastructure!J$4)^2+($S262-Infrastructure!K$4)^2)</f>
        <v>14.95760676</v>
      </c>
      <c r="AX262" s="331">
        <f>SQRT(($R262-Infrastructure!J$5)^2+($S262-Infrastructure!K$5)^2)</f>
        <v>11.66619047</v>
      </c>
      <c r="AY262" s="331">
        <f>SQRT(($R262-Infrastructure!J$6)^2+($S262-Infrastructure!K$6)^2)</f>
        <v>7.752418977</v>
      </c>
      <c r="AZ262" s="331">
        <f>SQRT(($R262-Infrastructure!J$7)^2+($S262-Infrastructure!K$7)^2)</f>
        <v>12.22865487</v>
      </c>
      <c r="BA262" s="331">
        <f>SQRT(($R262-Infrastructure!J$8)^2+($S262-Infrastructure!K$8)^2)</f>
        <v>20.59368835</v>
      </c>
      <c r="BB262" s="331">
        <f>SQRT(($R262-Infrastructure!J$9)^2+($S262-Infrastructure!K$9)^2)</f>
        <v>29.1446393</v>
      </c>
      <c r="BC262" s="331">
        <f>SQRT(($R262-Infrastructure!J$10)^2+($S262-Infrastructure!K$10)^2)</f>
        <v>29.83286778</v>
      </c>
      <c r="BD262" s="318"/>
      <c r="BE262" s="332"/>
      <c r="BF262" s="330">
        <f t="shared" si="14"/>
        <v>7.752418977</v>
      </c>
      <c r="BG262" s="333">
        <f t="shared" si="15"/>
        <v>29.83286778</v>
      </c>
      <c r="BH262" s="334"/>
      <c r="BI262" s="316"/>
      <c r="BJ262" s="318"/>
      <c r="BK262" s="318"/>
      <c r="BL262" s="318"/>
      <c r="BM262" s="318"/>
      <c r="BN262" s="318"/>
      <c r="BO262" s="318"/>
      <c r="BP262" s="318"/>
      <c r="BQ262" s="338"/>
      <c r="BR262" s="420"/>
      <c r="BS262" s="330">
        <f t="shared" si="16"/>
        <v>0</v>
      </c>
      <c r="BT262" s="331">
        <f t="shared" si="17"/>
        <v>0</v>
      </c>
      <c r="BU262" s="331"/>
      <c r="BV262" s="333"/>
      <c r="BW262" s="330"/>
      <c r="BX262" s="331"/>
      <c r="BY262" s="331"/>
      <c r="BZ262" s="340"/>
      <c r="CA262" s="316"/>
      <c r="CB262" s="318"/>
      <c r="CC262" s="318"/>
      <c r="CD262" s="318"/>
      <c r="CE262" s="318"/>
      <c r="CF262" s="318"/>
      <c r="CG262" s="318"/>
      <c r="CH262" s="318"/>
      <c r="CI262" s="338"/>
      <c r="CJ262" s="341"/>
      <c r="CK262" s="342">
        <f t="shared" si="18"/>
        <v>0</v>
      </c>
      <c r="CL262" s="333">
        <f t="shared" si="19"/>
        <v>0</v>
      </c>
      <c r="CM262" s="423"/>
      <c r="CN262" s="424"/>
      <c r="CO262" s="424"/>
      <c r="CP262" s="424"/>
    </row>
    <row r="263">
      <c r="A263" s="315" t="s">
        <v>25</v>
      </c>
      <c r="B263" s="316"/>
      <c r="C263" s="417">
        <v>43678.0</v>
      </c>
      <c r="D263" s="318"/>
      <c r="E263" s="319">
        <v>6.0</v>
      </c>
      <c r="F263" s="332"/>
      <c r="G263" s="321">
        <v>0.6193171296296296</v>
      </c>
      <c r="H263" s="323">
        <v>0.6201967592592592</v>
      </c>
      <c r="I263" s="323"/>
      <c r="J263" s="323"/>
      <c r="K263" s="323">
        <v>0.6243055555555556</v>
      </c>
      <c r="L263" s="322">
        <f t="shared" si="7"/>
        <v>0.004988425926</v>
      </c>
      <c r="M263" s="319" t="s">
        <v>168</v>
      </c>
      <c r="N263" s="324" t="s">
        <v>187</v>
      </c>
      <c r="O263" s="419" t="s">
        <v>1076</v>
      </c>
      <c r="P263" s="319" t="s">
        <v>235</v>
      </c>
      <c r="Q263" s="318"/>
      <c r="R263" s="326">
        <v>11.0</v>
      </c>
      <c r="S263" s="319">
        <v>8.0</v>
      </c>
      <c r="T263" s="332"/>
      <c r="U263" s="319">
        <v>7.0</v>
      </c>
      <c r="V263" s="319"/>
      <c r="W263" s="319"/>
      <c r="X263" s="319"/>
      <c r="Y263" s="319"/>
      <c r="Z263" s="319" t="s">
        <v>318</v>
      </c>
      <c r="AA263" s="319"/>
      <c r="AB263" s="318"/>
      <c r="AC263" s="327">
        <v>3.0</v>
      </c>
      <c r="AD263" s="319"/>
      <c r="AE263" s="319"/>
      <c r="AF263" s="319"/>
      <c r="AG263" s="319"/>
      <c r="AH263" s="319"/>
      <c r="AI263" s="319"/>
      <c r="AJ263" s="327"/>
      <c r="AK263" s="328"/>
      <c r="AL263" s="319"/>
      <c r="AM263" s="319"/>
      <c r="AN263" s="319"/>
      <c r="AO263" s="319"/>
      <c r="AP263" s="319"/>
      <c r="AQ263" s="319"/>
      <c r="AR263" s="319"/>
      <c r="AS263" s="327"/>
      <c r="AT263" s="344"/>
      <c r="AU263" s="345" t="s">
        <v>845</v>
      </c>
      <c r="AV263" s="330">
        <f>SQRT(($R263-Infrastructure!J$3)^2+($S263-Infrastructure!K$3)^2)</f>
        <v>23.75920874</v>
      </c>
      <c r="AW263" s="331">
        <f>SQRT(($R263-Infrastructure!J$4)^2+($S263-Infrastructure!K$4)^2)</f>
        <v>14.95760676</v>
      </c>
      <c r="AX263" s="331">
        <f>SQRT(($R263-Infrastructure!J$5)^2+($S263-Infrastructure!K$5)^2)</f>
        <v>11.66619047</v>
      </c>
      <c r="AY263" s="331">
        <f>SQRT(($R263-Infrastructure!J$6)^2+($S263-Infrastructure!K$6)^2)</f>
        <v>7.752418977</v>
      </c>
      <c r="AZ263" s="331">
        <f>SQRT(($R263-Infrastructure!J$7)^2+($S263-Infrastructure!K$7)^2)</f>
        <v>12.22865487</v>
      </c>
      <c r="BA263" s="331">
        <f>SQRT(($R263-Infrastructure!J$8)^2+($S263-Infrastructure!K$8)^2)</f>
        <v>20.59368835</v>
      </c>
      <c r="BB263" s="331">
        <f>SQRT(($R263-Infrastructure!J$9)^2+($S263-Infrastructure!K$9)^2)</f>
        <v>29.1446393</v>
      </c>
      <c r="BC263" s="331">
        <f>SQRT(($R263-Infrastructure!J$10)^2+($S263-Infrastructure!K$10)^2)</f>
        <v>29.83286778</v>
      </c>
      <c r="BD263" s="318"/>
      <c r="BE263" s="332"/>
      <c r="BF263" s="330">
        <f t="shared" si="14"/>
        <v>7.752418977</v>
      </c>
      <c r="BG263" s="333">
        <f t="shared" si="15"/>
        <v>29.83286778</v>
      </c>
      <c r="BH263" s="334"/>
      <c r="BI263" s="316"/>
      <c r="BJ263" s="318"/>
      <c r="BK263" s="318"/>
      <c r="BL263" s="318"/>
      <c r="BM263" s="318"/>
      <c r="BN263" s="318"/>
      <c r="BO263" s="318"/>
      <c r="BP263" s="318"/>
      <c r="BQ263" s="338"/>
      <c r="BR263" s="420"/>
      <c r="BS263" s="330">
        <f t="shared" si="16"/>
        <v>0</v>
      </c>
      <c r="BT263" s="331">
        <f t="shared" si="17"/>
        <v>0</v>
      </c>
      <c r="BU263" s="331"/>
      <c r="BV263" s="333"/>
      <c r="BW263" s="330"/>
      <c r="BX263" s="331"/>
      <c r="BY263" s="331"/>
      <c r="BZ263" s="340"/>
      <c r="CA263" s="316"/>
      <c r="CB263" s="318"/>
      <c r="CC263" s="318"/>
      <c r="CD263" s="318"/>
      <c r="CE263" s="318"/>
      <c r="CF263" s="318"/>
      <c r="CG263" s="318"/>
      <c r="CH263" s="318"/>
      <c r="CI263" s="338"/>
      <c r="CJ263" s="341"/>
      <c r="CK263" s="342">
        <f t="shared" si="18"/>
        <v>0</v>
      </c>
      <c r="CL263" s="333">
        <f t="shared" si="19"/>
        <v>0</v>
      </c>
      <c r="CM263" s="423"/>
      <c r="CN263" s="424"/>
      <c r="CO263" s="424"/>
      <c r="CP263" s="424"/>
    </row>
    <row r="264">
      <c r="A264" s="315" t="s">
        <v>25</v>
      </c>
      <c r="B264" s="316"/>
      <c r="C264" s="417">
        <v>43678.0</v>
      </c>
      <c r="D264" s="318"/>
      <c r="E264" s="319">
        <v>7.0</v>
      </c>
      <c r="F264" s="332"/>
      <c r="G264" s="321">
        <v>0.6263773148148148</v>
      </c>
      <c r="H264" s="323">
        <v>0.6267476851851852</v>
      </c>
      <c r="I264" s="323"/>
      <c r="J264" s="323"/>
      <c r="K264" s="323">
        <v>0.6309143518518519</v>
      </c>
      <c r="L264" s="322">
        <f t="shared" si="7"/>
        <v>0.004537037037</v>
      </c>
      <c r="M264" s="319" t="s">
        <v>168</v>
      </c>
      <c r="N264" s="324" t="s">
        <v>187</v>
      </c>
      <c r="O264" s="419" t="s">
        <v>1073</v>
      </c>
      <c r="P264" s="318"/>
      <c r="Q264" s="318"/>
      <c r="R264" s="326">
        <v>15.0</v>
      </c>
      <c r="S264" s="319">
        <v>8.0</v>
      </c>
      <c r="T264" s="332"/>
      <c r="U264" s="319">
        <v>0.9</v>
      </c>
      <c r="V264" s="319"/>
      <c r="W264" s="319"/>
      <c r="X264" s="319"/>
      <c r="Y264" s="319"/>
      <c r="Z264" s="319" t="s">
        <v>1095</v>
      </c>
      <c r="AA264" s="319"/>
      <c r="AB264" s="318"/>
      <c r="AC264" s="327" t="s">
        <v>1074</v>
      </c>
      <c r="AD264" s="319"/>
      <c r="AE264" s="319"/>
      <c r="AF264" s="319"/>
      <c r="AG264" s="319"/>
      <c r="AH264" s="319"/>
      <c r="AI264" s="319"/>
      <c r="AJ264" s="327"/>
      <c r="AK264" s="328"/>
      <c r="AL264" s="319"/>
      <c r="AM264" s="319"/>
      <c r="AN264" s="319"/>
      <c r="AO264" s="319"/>
      <c r="AP264" s="319"/>
      <c r="AQ264" s="319"/>
      <c r="AR264" s="319"/>
      <c r="AS264" s="327"/>
      <c r="AT264" s="344"/>
      <c r="AU264" s="345" t="s">
        <v>845</v>
      </c>
      <c r="AV264" s="330">
        <f>SQRT(($R264-Infrastructure!J$3)^2+($S264-Infrastructure!K$3)^2)</f>
        <v>25.90173739</v>
      </c>
      <c r="AW264" s="331">
        <f>SQRT(($R264-Infrastructure!J$4)^2+($S264-Infrastructure!K$4)^2)</f>
        <v>18.1694799</v>
      </c>
      <c r="AX264" s="331">
        <f>SQRT(($R264-Infrastructure!J$5)^2+($S264-Infrastructure!K$5)^2)</f>
        <v>15.5724115</v>
      </c>
      <c r="AY264" s="331">
        <f>SQRT(($R264-Infrastructure!J$6)^2+($S264-Infrastructure!K$6)^2)</f>
        <v>9.126883367</v>
      </c>
      <c r="AZ264" s="331">
        <f>SQRT(($R264-Infrastructure!J$7)^2+($S264-Infrastructure!K$7)^2)</f>
        <v>9.462557794</v>
      </c>
      <c r="BA264" s="331">
        <f>SQRT(($R264-Infrastructure!J$8)^2+($S264-Infrastructure!K$8)^2)</f>
        <v>16.94992625</v>
      </c>
      <c r="BB264" s="331">
        <f>SQRT(($R264-Infrastructure!J$9)^2+($S264-Infrastructure!K$9)^2)</f>
        <v>25.16763795</v>
      </c>
      <c r="BC264" s="331">
        <f>SQRT(($R264-Infrastructure!J$10)^2+($S264-Infrastructure!K$10)^2)</f>
        <v>25.96150997</v>
      </c>
      <c r="BD264" s="318"/>
      <c r="BE264" s="332"/>
      <c r="BF264" s="330">
        <f t="shared" si="14"/>
        <v>9.126883367</v>
      </c>
      <c r="BG264" s="333">
        <f t="shared" si="15"/>
        <v>25.96150997</v>
      </c>
      <c r="BH264" s="334"/>
      <c r="BI264" s="316"/>
      <c r="BJ264" s="318"/>
      <c r="BK264" s="318"/>
      <c r="BL264" s="318"/>
      <c r="BM264" s="318"/>
      <c r="BN264" s="318"/>
      <c r="BO264" s="318"/>
      <c r="BP264" s="318"/>
      <c r="BQ264" s="338"/>
      <c r="BR264" s="420"/>
      <c r="BS264" s="330">
        <f t="shared" si="16"/>
        <v>0</v>
      </c>
      <c r="BT264" s="331">
        <f t="shared" si="17"/>
        <v>0</v>
      </c>
      <c r="BU264" s="331"/>
      <c r="BV264" s="333"/>
      <c r="BW264" s="330"/>
      <c r="BX264" s="331"/>
      <c r="BY264" s="331"/>
      <c r="BZ264" s="340"/>
      <c r="CA264" s="316"/>
      <c r="CB264" s="318"/>
      <c r="CC264" s="318"/>
      <c r="CD264" s="318"/>
      <c r="CE264" s="318"/>
      <c r="CF264" s="318"/>
      <c r="CG264" s="318"/>
      <c r="CH264" s="318"/>
      <c r="CI264" s="338"/>
      <c r="CJ264" s="341"/>
      <c r="CK264" s="342">
        <f t="shared" si="18"/>
        <v>0</v>
      </c>
      <c r="CL264" s="333">
        <f t="shared" si="19"/>
        <v>0</v>
      </c>
      <c r="CM264" s="423"/>
      <c r="CN264" s="424"/>
      <c r="CO264" s="424"/>
      <c r="CP264" s="424"/>
    </row>
    <row r="265">
      <c r="A265" s="315" t="s">
        <v>25</v>
      </c>
      <c r="B265" s="316"/>
      <c r="C265" s="417">
        <v>43678.0</v>
      </c>
      <c r="D265" s="318"/>
      <c r="E265" s="319">
        <v>8.0</v>
      </c>
      <c r="F265" s="332"/>
      <c r="G265" s="321">
        <v>0.6326273148148148</v>
      </c>
      <c r="H265" s="323">
        <v>0.632974537037037</v>
      </c>
      <c r="I265" s="323"/>
      <c r="J265" s="323"/>
      <c r="K265" s="323">
        <v>0.6371412037037038</v>
      </c>
      <c r="L265" s="322">
        <f t="shared" si="7"/>
        <v>0.004513888889</v>
      </c>
      <c r="M265" s="319" t="s">
        <v>168</v>
      </c>
      <c r="N265" s="324" t="s">
        <v>187</v>
      </c>
      <c r="O265" s="419" t="s">
        <v>1073</v>
      </c>
      <c r="P265" s="318"/>
      <c r="Q265" s="318"/>
      <c r="R265" s="326">
        <v>15.0</v>
      </c>
      <c r="S265" s="319">
        <v>8.0</v>
      </c>
      <c r="T265" s="332"/>
      <c r="U265" s="319">
        <v>2.0</v>
      </c>
      <c r="V265" s="319"/>
      <c r="W265" s="319"/>
      <c r="X265" s="319"/>
      <c r="Y265" s="319"/>
      <c r="Z265" s="319" t="s">
        <v>1095</v>
      </c>
      <c r="AA265" s="319"/>
      <c r="AB265" s="318"/>
      <c r="AC265" s="327" t="s">
        <v>1074</v>
      </c>
      <c r="AD265" s="319"/>
      <c r="AE265" s="319"/>
      <c r="AF265" s="319"/>
      <c r="AG265" s="319"/>
      <c r="AH265" s="319"/>
      <c r="AI265" s="319"/>
      <c r="AJ265" s="327"/>
      <c r="AK265" s="328"/>
      <c r="AL265" s="319"/>
      <c r="AM265" s="319"/>
      <c r="AN265" s="319"/>
      <c r="AO265" s="319"/>
      <c r="AP265" s="319"/>
      <c r="AQ265" s="319"/>
      <c r="AR265" s="319"/>
      <c r="AS265" s="327"/>
      <c r="AT265" s="344"/>
      <c r="AU265" s="345" t="s">
        <v>845</v>
      </c>
      <c r="AV265" s="330">
        <f>SQRT(($R265-Infrastructure!J$3)^2+($S265-Infrastructure!K$3)^2)</f>
        <v>25.90173739</v>
      </c>
      <c r="AW265" s="331">
        <f>SQRT(($R265-Infrastructure!J$4)^2+($S265-Infrastructure!K$4)^2)</f>
        <v>18.1694799</v>
      </c>
      <c r="AX265" s="331">
        <f>SQRT(($R265-Infrastructure!J$5)^2+($S265-Infrastructure!K$5)^2)</f>
        <v>15.5724115</v>
      </c>
      <c r="AY265" s="331">
        <f>SQRT(($R265-Infrastructure!J$6)^2+($S265-Infrastructure!K$6)^2)</f>
        <v>9.126883367</v>
      </c>
      <c r="AZ265" s="331">
        <f>SQRT(($R265-Infrastructure!J$7)^2+($S265-Infrastructure!K$7)^2)</f>
        <v>9.462557794</v>
      </c>
      <c r="BA265" s="331">
        <f>SQRT(($R265-Infrastructure!J$8)^2+($S265-Infrastructure!K$8)^2)</f>
        <v>16.94992625</v>
      </c>
      <c r="BB265" s="331">
        <f>SQRT(($R265-Infrastructure!J$9)^2+($S265-Infrastructure!K$9)^2)</f>
        <v>25.16763795</v>
      </c>
      <c r="BC265" s="331">
        <f>SQRT(($R265-Infrastructure!J$10)^2+($S265-Infrastructure!K$10)^2)</f>
        <v>25.96150997</v>
      </c>
      <c r="BD265" s="318"/>
      <c r="BE265" s="332"/>
      <c r="BF265" s="330">
        <f t="shared" si="14"/>
        <v>9.126883367</v>
      </c>
      <c r="BG265" s="333">
        <f t="shared" si="15"/>
        <v>25.96150997</v>
      </c>
      <c r="BH265" s="334"/>
      <c r="BI265" s="316"/>
      <c r="BJ265" s="318"/>
      <c r="BK265" s="318"/>
      <c r="BL265" s="318"/>
      <c r="BM265" s="318"/>
      <c r="BN265" s="318"/>
      <c r="BO265" s="318"/>
      <c r="BP265" s="318"/>
      <c r="BQ265" s="338"/>
      <c r="BR265" s="420"/>
      <c r="BS265" s="330">
        <f t="shared" si="16"/>
        <v>0</v>
      </c>
      <c r="BT265" s="331">
        <f t="shared" si="17"/>
        <v>0</v>
      </c>
      <c r="BU265" s="331"/>
      <c r="BV265" s="333"/>
      <c r="BW265" s="330"/>
      <c r="BX265" s="331"/>
      <c r="BY265" s="331"/>
      <c r="BZ265" s="340"/>
      <c r="CA265" s="316"/>
      <c r="CB265" s="318"/>
      <c r="CC265" s="318"/>
      <c r="CD265" s="318"/>
      <c r="CE265" s="318"/>
      <c r="CF265" s="318"/>
      <c r="CG265" s="318"/>
      <c r="CH265" s="318"/>
      <c r="CI265" s="338"/>
      <c r="CJ265" s="341"/>
      <c r="CK265" s="342">
        <f t="shared" si="18"/>
        <v>0</v>
      </c>
      <c r="CL265" s="333">
        <f t="shared" si="19"/>
        <v>0</v>
      </c>
      <c r="CM265" s="423"/>
      <c r="CN265" s="424"/>
      <c r="CO265" s="424"/>
      <c r="CP265" s="424"/>
    </row>
    <row r="266">
      <c r="A266" s="315" t="s">
        <v>25</v>
      </c>
      <c r="B266" s="316"/>
      <c r="C266" s="417">
        <v>43678.0</v>
      </c>
      <c r="D266" s="318"/>
      <c r="E266" s="319">
        <v>9.0</v>
      </c>
      <c r="F266" s="332"/>
      <c r="G266" s="321">
        <v>0.6392361111111111</v>
      </c>
      <c r="H266" s="323">
        <v>0.6396643518518519</v>
      </c>
      <c r="I266" s="323"/>
      <c r="J266" s="323"/>
      <c r="K266" s="323">
        <v>0.6438078703703703</v>
      </c>
      <c r="L266" s="322">
        <f t="shared" si="7"/>
        <v>0.004571759259</v>
      </c>
      <c r="M266" s="319" t="s">
        <v>168</v>
      </c>
      <c r="N266" s="324" t="s">
        <v>187</v>
      </c>
      <c r="O266" s="419" t="s">
        <v>1073</v>
      </c>
      <c r="P266" s="318"/>
      <c r="Q266" s="318"/>
      <c r="R266" s="326">
        <v>15.0</v>
      </c>
      <c r="S266" s="319">
        <v>8.0</v>
      </c>
      <c r="T266" s="332"/>
      <c r="U266" s="319">
        <v>8.0</v>
      </c>
      <c r="V266" s="319"/>
      <c r="W266" s="319"/>
      <c r="X266" s="319"/>
      <c r="Y266" s="319"/>
      <c r="Z266" s="319" t="s">
        <v>1095</v>
      </c>
      <c r="AA266" s="319"/>
      <c r="AB266" s="318"/>
      <c r="AC266" s="327" t="s">
        <v>1074</v>
      </c>
      <c r="AD266" s="319"/>
      <c r="AE266" s="319"/>
      <c r="AF266" s="319"/>
      <c r="AG266" s="319"/>
      <c r="AH266" s="319"/>
      <c r="AI266" s="319"/>
      <c r="AJ266" s="327"/>
      <c r="AK266" s="328"/>
      <c r="AL266" s="319"/>
      <c r="AM266" s="319"/>
      <c r="AN266" s="319"/>
      <c r="AO266" s="319"/>
      <c r="AP266" s="319"/>
      <c r="AQ266" s="319"/>
      <c r="AR266" s="319"/>
      <c r="AS266" s="327"/>
      <c r="AT266" s="344"/>
      <c r="AU266" s="345" t="s">
        <v>845</v>
      </c>
      <c r="AV266" s="330">
        <f>SQRT(($R266-Infrastructure!J$3)^2+($S266-Infrastructure!K$3)^2)</f>
        <v>25.90173739</v>
      </c>
      <c r="AW266" s="331">
        <f>SQRT(($R266-Infrastructure!J$4)^2+($S266-Infrastructure!K$4)^2)</f>
        <v>18.1694799</v>
      </c>
      <c r="AX266" s="331">
        <f>SQRT(($R266-Infrastructure!J$5)^2+($S266-Infrastructure!K$5)^2)</f>
        <v>15.5724115</v>
      </c>
      <c r="AY266" s="331">
        <f>SQRT(($R266-Infrastructure!J$6)^2+($S266-Infrastructure!K$6)^2)</f>
        <v>9.126883367</v>
      </c>
      <c r="AZ266" s="331">
        <f>SQRT(($R266-Infrastructure!J$7)^2+($S266-Infrastructure!K$7)^2)</f>
        <v>9.462557794</v>
      </c>
      <c r="BA266" s="331">
        <f>SQRT(($R266-Infrastructure!J$8)^2+($S266-Infrastructure!K$8)^2)</f>
        <v>16.94992625</v>
      </c>
      <c r="BB266" s="331">
        <f>SQRT(($R266-Infrastructure!J$9)^2+($S266-Infrastructure!K$9)^2)</f>
        <v>25.16763795</v>
      </c>
      <c r="BC266" s="331">
        <f>SQRT(($R266-Infrastructure!J$10)^2+($S266-Infrastructure!K$10)^2)</f>
        <v>25.96150997</v>
      </c>
      <c r="BD266" s="318"/>
      <c r="BE266" s="332"/>
      <c r="BF266" s="330">
        <f t="shared" si="14"/>
        <v>9.126883367</v>
      </c>
      <c r="BG266" s="333">
        <f t="shared" si="15"/>
        <v>25.96150997</v>
      </c>
      <c r="BH266" s="334"/>
      <c r="BI266" s="316"/>
      <c r="BJ266" s="318"/>
      <c r="BK266" s="318"/>
      <c r="BL266" s="318"/>
      <c r="BM266" s="318"/>
      <c r="BN266" s="318"/>
      <c r="BO266" s="318"/>
      <c r="BP266" s="318"/>
      <c r="BQ266" s="338"/>
      <c r="BR266" s="420"/>
      <c r="BS266" s="330">
        <f t="shared" si="16"/>
        <v>0</v>
      </c>
      <c r="BT266" s="331">
        <f t="shared" si="17"/>
        <v>0</v>
      </c>
      <c r="BU266" s="331"/>
      <c r="BV266" s="333"/>
      <c r="BW266" s="330"/>
      <c r="BX266" s="331"/>
      <c r="BY266" s="331"/>
      <c r="BZ266" s="340"/>
      <c r="CA266" s="316"/>
      <c r="CB266" s="318"/>
      <c r="CC266" s="318"/>
      <c r="CD266" s="318"/>
      <c r="CE266" s="318"/>
      <c r="CF266" s="318"/>
      <c r="CG266" s="318"/>
      <c r="CH266" s="318"/>
      <c r="CI266" s="338"/>
      <c r="CJ266" s="341"/>
      <c r="CK266" s="342">
        <f t="shared" si="18"/>
        <v>0</v>
      </c>
      <c r="CL266" s="333">
        <f t="shared" si="19"/>
        <v>0</v>
      </c>
      <c r="CM266" s="423"/>
      <c r="CN266" s="424"/>
      <c r="CO266" s="424"/>
      <c r="CP266" s="424"/>
    </row>
    <row r="267">
      <c r="A267" s="315" t="s">
        <v>25</v>
      </c>
      <c r="B267" s="316"/>
      <c r="C267" s="417">
        <v>43678.0</v>
      </c>
      <c r="D267" s="318"/>
      <c r="E267" s="319">
        <v>10.0</v>
      </c>
      <c r="F267" s="332"/>
      <c r="G267" s="321">
        <v>0.6468287037037037</v>
      </c>
      <c r="H267" s="323">
        <v>0.6474537037037037</v>
      </c>
      <c r="I267" s="323"/>
      <c r="J267" s="323"/>
      <c r="K267" s="323">
        <v>0.6517013888888888</v>
      </c>
      <c r="L267" s="322">
        <f t="shared" si="7"/>
        <v>0.004872685185</v>
      </c>
      <c r="M267" s="319" t="s">
        <v>168</v>
      </c>
      <c r="N267" s="324" t="s">
        <v>187</v>
      </c>
      <c r="O267" s="419" t="s">
        <v>1073</v>
      </c>
      <c r="P267" s="318"/>
      <c r="Q267" s="318"/>
      <c r="R267" s="326">
        <v>25.0</v>
      </c>
      <c r="S267" s="319">
        <v>3.0</v>
      </c>
      <c r="T267" s="332"/>
      <c r="U267" s="319">
        <v>1.0</v>
      </c>
      <c r="V267" s="319"/>
      <c r="W267" s="319"/>
      <c r="X267" s="319"/>
      <c r="Y267" s="319"/>
      <c r="Z267" s="319" t="s">
        <v>1095</v>
      </c>
      <c r="AA267" s="319"/>
      <c r="AB267" s="318"/>
      <c r="AC267" s="327" t="s">
        <v>1074</v>
      </c>
      <c r="AD267" s="319"/>
      <c r="AE267" s="319"/>
      <c r="AF267" s="319"/>
      <c r="AG267" s="319"/>
      <c r="AH267" s="319"/>
      <c r="AI267" s="319"/>
      <c r="AJ267" s="327"/>
      <c r="AK267" s="328"/>
      <c r="AL267" s="319"/>
      <c r="AM267" s="319"/>
      <c r="AN267" s="319"/>
      <c r="AO267" s="319"/>
      <c r="AP267" s="319"/>
      <c r="AQ267" s="319"/>
      <c r="AR267" s="319"/>
      <c r="AS267" s="327"/>
      <c r="AT267" s="344"/>
      <c r="AU267" s="345" t="s">
        <v>845</v>
      </c>
      <c r="AV267" s="330">
        <f>SQRT(($R267-Infrastructure!J$3)^2+($S267-Infrastructure!K$3)^2)</f>
        <v>36.20635303</v>
      </c>
      <c r="AW267" s="331">
        <f>SQRT(($R267-Infrastructure!J$4)^2+($S267-Infrastructure!K$4)^2)</f>
        <v>29.31091947</v>
      </c>
      <c r="AX267" s="331">
        <f>SQRT(($R267-Infrastructure!J$5)^2+($S267-Infrastructure!K$5)^2)</f>
        <v>25.38700455</v>
      </c>
      <c r="AY267" s="331">
        <f>SQRT(($R267-Infrastructure!J$6)^2+($S267-Infrastructure!K$6)^2)</f>
        <v>15.14265499</v>
      </c>
      <c r="AZ267" s="331">
        <f>SQRT(($R267-Infrastructure!J$7)^2+($S267-Infrastructure!K$7)^2)</f>
        <v>5.247856705</v>
      </c>
      <c r="BA267" s="331">
        <f>SQRT(($R267-Infrastructure!J$8)^2+($S267-Infrastructure!K$8)^2)</f>
        <v>5.770615219</v>
      </c>
      <c r="BB267" s="331">
        <f>SQRT(($R267-Infrastructure!J$9)^2+($S267-Infrastructure!K$9)^2)</f>
        <v>15.14628667</v>
      </c>
      <c r="BC267" s="331">
        <f>SQRT(($R267-Infrastructure!J$10)^2+($S267-Infrastructure!K$10)^2)</f>
        <v>19.20937271</v>
      </c>
      <c r="BD267" s="318"/>
      <c r="BE267" s="332"/>
      <c r="BF267" s="330">
        <f t="shared" si="14"/>
        <v>5.247856705</v>
      </c>
      <c r="BG267" s="333">
        <f t="shared" si="15"/>
        <v>36.20635303</v>
      </c>
      <c r="BH267" s="334"/>
      <c r="BI267" s="316"/>
      <c r="BJ267" s="318"/>
      <c r="BK267" s="318"/>
      <c r="BL267" s="318"/>
      <c r="BM267" s="318"/>
      <c r="BN267" s="318"/>
      <c r="BO267" s="318"/>
      <c r="BP267" s="318"/>
      <c r="BQ267" s="338"/>
      <c r="BR267" s="420"/>
      <c r="BS267" s="330">
        <f t="shared" si="16"/>
        <v>0</v>
      </c>
      <c r="BT267" s="331">
        <f t="shared" si="17"/>
        <v>0</v>
      </c>
      <c r="BU267" s="331"/>
      <c r="BV267" s="333"/>
      <c r="BW267" s="330"/>
      <c r="BX267" s="331"/>
      <c r="BY267" s="331"/>
      <c r="BZ267" s="340"/>
      <c r="CA267" s="316"/>
      <c r="CB267" s="318"/>
      <c r="CC267" s="318"/>
      <c r="CD267" s="318"/>
      <c r="CE267" s="318"/>
      <c r="CF267" s="318"/>
      <c r="CG267" s="318"/>
      <c r="CH267" s="318"/>
      <c r="CI267" s="338"/>
      <c r="CJ267" s="341"/>
      <c r="CK267" s="342">
        <f t="shared" si="18"/>
        <v>0</v>
      </c>
      <c r="CL267" s="333">
        <f t="shared" si="19"/>
        <v>0</v>
      </c>
      <c r="CM267" s="423"/>
      <c r="CN267" s="424"/>
      <c r="CO267" s="424"/>
      <c r="CP267" s="424"/>
    </row>
    <row r="268">
      <c r="A268" s="315" t="s">
        <v>25</v>
      </c>
      <c r="B268" s="316"/>
      <c r="C268" s="417">
        <v>43678.0</v>
      </c>
      <c r="D268" s="318"/>
      <c r="E268" s="319">
        <v>11.0</v>
      </c>
      <c r="F268" s="332"/>
      <c r="G268" s="321">
        <v>0.6540046296296296</v>
      </c>
      <c r="H268" s="323">
        <v>0.6546180555555555</v>
      </c>
      <c r="I268" s="323"/>
      <c r="J268" s="323"/>
      <c r="K268" s="323">
        <v>0.6587847222222222</v>
      </c>
      <c r="L268" s="322">
        <f t="shared" si="7"/>
        <v>0.004780092593</v>
      </c>
      <c r="M268" s="319" t="s">
        <v>168</v>
      </c>
      <c r="N268" s="324" t="s">
        <v>187</v>
      </c>
      <c r="O268" s="419" t="s">
        <v>1073</v>
      </c>
      <c r="P268" s="318"/>
      <c r="Q268" s="318"/>
      <c r="R268" s="326">
        <v>25.0</v>
      </c>
      <c r="S268" s="319">
        <v>3.0</v>
      </c>
      <c r="T268" s="332"/>
      <c r="U268" s="319">
        <v>6.0</v>
      </c>
      <c r="V268" s="319"/>
      <c r="W268" s="319"/>
      <c r="X268" s="319"/>
      <c r="Y268" s="319"/>
      <c r="Z268" s="319" t="s">
        <v>1095</v>
      </c>
      <c r="AA268" s="319"/>
      <c r="AB268" s="318"/>
      <c r="AC268" s="327" t="s">
        <v>1074</v>
      </c>
      <c r="AD268" s="319"/>
      <c r="AE268" s="319"/>
      <c r="AF268" s="319"/>
      <c r="AG268" s="319"/>
      <c r="AH268" s="319"/>
      <c r="AI268" s="319"/>
      <c r="AJ268" s="327"/>
      <c r="AK268" s="328"/>
      <c r="AL268" s="319"/>
      <c r="AM268" s="319"/>
      <c r="AN268" s="319"/>
      <c r="AO268" s="319"/>
      <c r="AP268" s="319"/>
      <c r="AQ268" s="319"/>
      <c r="AR268" s="319"/>
      <c r="AS268" s="327"/>
      <c r="AT268" s="344"/>
      <c r="AU268" s="345" t="s">
        <v>845</v>
      </c>
      <c r="AV268" s="330">
        <f>SQRT(($R268-Infrastructure!J$3)^2+($S268-Infrastructure!K$3)^2)</f>
        <v>36.20635303</v>
      </c>
      <c r="AW268" s="331">
        <f>SQRT(($R268-Infrastructure!J$4)^2+($S268-Infrastructure!K$4)^2)</f>
        <v>29.31091947</v>
      </c>
      <c r="AX268" s="331">
        <f>SQRT(($R268-Infrastructure!J$5)^2+($S268-Infrastructure!K$5)^2)</f>
        <v>25.38700455</v>
      </c>
      <c r="AY268" s="331">
        <f>SQRT(($R268-Infrastructure!J$6)^2+($S268-Infrastructure!K$6)^2)</f>
        <v>15.14265499</v>
      </c>
      <c r="AZ268" s="331">
        <f>SQRT(($R268-Infrastructure!J$7)^2+($S268-Infrastructure!K$7)^2)</f>
        <v>5.247856705</v>
      </c>
      <c r="BA268" s="331">
        <f>SQRT(($R268-Infrastructure!J$8)^2+($S268-Infrastructure!K$8)^2)</f>
        <v>5.770615219</v>
      </c>
      <c r="BB268" s="331">
        <f>SQRT(($R268-Infrastructure!J$9)^2+($S268-Infrastructure!K$9)^2)</f>
        <v>15.14628667</v>
      </c>
      <c r="BC268" s="331">
        <f>SQRT(($R268-Infrastructure!J$10)^2+($S268-Infrastructure!K$10)^2)</f>
        <v>19.20937271</v>
      </c>
      <c r="BD268" s="318"/>
      <c r="BE268" s="332"/>
      <c r="BF268" s="330">
        <f t="shared" si="14"/>
        <v>5.247856705</v>
      </c>
      <c r="BG268" s="333">
        <f t="shared" si="15"/>
        <v>36.20635303</v>
      </c>
      <c r="BH268" s="334"/>
      <c r="BI268" s="316"/>
      <c r="BJ268" s="318"/>
      <c r="BK268" s="318"/>
      <c r="BL268" s="318"/>
      <c r="BM268" s="318"/>
      <c r="BN268" s="318"/>
      <c r="BO268" s="318"/>
      <c r="BP268" s="318"/>
      <c r="BQ268" s="338"/>
      <c r="BR268" s="420"/>
      <c r="BS268" s="330">
        <f t="shared" si="16"/>
        <v>0</v>
      </c>
      <c r="BT268" s="331">
        <f t="shared" si="17"/>
        <v>0</v>
      </c>
      <c r="BU268" s="331"/>
      <c r="BV268" s="333"/>
      <c r="BW268" s="330"/>
      <c r="BX268" s="331"/>
      <c r="BY268" s="331"/>
      <c r="BZ268" s="340"/>
      <c r="CA268" s="316"/>
      <c r="CB268" s="318"/>
      <c r="CC268" s="318"/>
      <c r="CD268" s="318"/>
      <c r="CE268" s="318"/>
      <c r="CF268" s="318"/>
      <c r="CG268" s="318"/>
      <c r="CH268" s="318"/>
      <c r="CI268" s="338"/>
      <c r="CJ268" s="341"/>
      <c r="CK268" s="342">
        <f t="shared" si="18"/>
        <v>0</v>
      </c>
      <c r="CL268" s="333">
        <f t="shared" si="19"/>
        <v>0</v>
      </c>
      <c r="CM268" s="423"/>
      <c r="CN268" s="424"/>
      <c r="CO268" s="424"/>
      <c r="CP268" s="424"/>
    </row>
    <row r="269">
      <c r="A269" s="315" t="s">
        <v>25</v>
      </c>
      <c r="B269" s="316"/>
      <c r="C269" s="417">
        <v>43678.0</v>
      </c>
      <c r="D269" s="318"/>
      <c r="E269" s="319">
        <v>12.0</v>
      </c>
      <c r="F269" s="332"/>
      <c r="G269" s="321">
        <v>0.6611226851851851</v>
      </c>
      <c r="H269" s="323">
        <v>0.6614814814814814</v>
      </c>
      <c r="I269" s="323"/>
      <c r="J269" s="323"/>
      <c r="K269" s="323">
        <v>0.6657638888888889</v>
      </c>
      <c r="L269" s="322">
        <f t="shared" si="7"/>
        <v>0.004641203704</v>
      </c>
      <c r="M269" s="319" t="s">
        <v>168</v>
      </c>
      <c r="N269" s="324" t="s">
        <v>187</v>
      </c>
      <c r="O269" s="419" t="s">
        <v>1073</v>
      </c>
      <c r="P269" s="318"/>
      <c r="Q269" s="318"/>
      <c r="R269" s="326">
        <v>25.0</v>
      </c>
      <c r="S269" s="319">
        <v>3.0</v>
      </c>
      <c r="T269" s="332"/>
      <c r="U269" s="319">
        <v>9.0</v>
      </c>
      <c r="V269" s="319"/>
      <c r="W269" s="319"/>
      <c r="X269" s="319"/>
      <c r="Y269" s="319"/>
      <c r="Z269" s="319" t="s">
        <v>1095</v>
      </c>
      <c r="AA269" s="319"/>
      <c r="AB269" s="318"/>
      <c r="AC269" s="327" t="s">
        <v>1074</v>
      </c>
      <c r="AD269" s="319"/>
      <c r="AE269" s="319"/>
      <c r="AF269" s="319"/>
      <c r="AG269" s="319"/>
      <c r="AH269" s="319"/>
      <c r="AI269" s="319"/>
      <c r="AJ269" s="327"/>
      <c r="AK269" s="328"/>
      <c r="AL269" s="319"/>
      <c r="AM269" s="319"/>
      <c r="AN269" s="319"/>
      <c r="AO269" s="319"/>
      <c r="AP269" s="319"/>
      <c r="AQ269" s="319"/>
      <c r="AR269" s="319"/>
      <c r="AS269" s="327"/>
      <c r="AT269" s="344"/>
      <c r="AU269" s="345" t="s">
        <v>845</v>
      </c>
      <c r="AV269" s="330">
        <f>SQRT(($R269-Infrastructure!J$3)^2+($S269-Infrastructure!K$3)^2)</f>
        <v>36.20635303</v>
      </c>
      <c r="AW269" s="331">
        <f>SQRT(($R269-Infrastructure!J$4)^2+($S269-Infrastructure!K$4)^2)</f>
        <v>29.31091947</v>
      </c>
      <c r="AX269" s="331">
        <f>SQRT(($R269-Infrastructure!J$5)^2+($S269-Infrastructure!K$5)^2)</f>
        <v>25.38700455</v>
      </c>
      <c r="AY269" s="331">
        <f>SQRT(($R269-Infrastructure!J$6)^2+($S269-Infrastructure!K$6)^2)</f>
        <v>15.14265499</v>
      </c>
      <c r="AZ269" s="331">
        <f>SQRT(($R269-Infrastructure!J$7)^2+($S269-Infrastructure!K$7)^2)</f>
        <v>5.247856705</v>
      </c>
      <c r="BA269" s="331">
        <f>SQRT(($R269-Infrastructure!J$8)^2+($S269-Infrastructure!K$8)^2)</f>
        <v>5.770615219</v>
      </c>
      <c r="BB269" s="331">
        <f>SQRT(($R269-Infrastructure!J$9)^2+($S269-Infrastructure!K$9)^2)</f>
        <v>15.14628667</v>
      </c>
      <c r="BC269" s="331">
        <f>SQRT(($R269-Infrastructure!J$10)^2+($S269-Infrastructure!K$10)^2)</f>
        <v>19.20937271</v>
      </c>
      <c r="BD269" s="318"/>
      <c r="BE269" s="332"/>
      <c r="BF269" s="330">
        <f t="shared" si="14"/>
        <v>5.247856705</v>
      </c>
      <c r="BG269" s="333">
        <f t="shared" si="15"/>
        <v>36.20635303</v>
      </c>
      <c r="BH269" s="334"/>
      <c r="BI269" s="316"/>
      <c r="BJ269" s="318"/>
      <c r="BK269" s="318"/>
      <c r="BL269" s="318"/>
      <c r="BM269" s="318"/>
      <c r="BN269" s="318"/>
      <c r="BO269" s="318"/>
      <c r="BP269" s="318"/>
      <c r="BQ269" s="338"/>
      <c r="BR269" s="420"/>
      <c r="BS269" s="330">
        <f t="shared" si="16"/>
        <v>0</v>
      </c>
      <c r="BT269" s="331">
        <f t="shared" si="17"/>
        <v>0</v>
      </c>
      <c r="BU269" s="331"/>
      <c r="BV269" s="333"/>
      <c r="BW269" s="330"/>
      <c r="BX269" s="331"/>
      <c r="BY269" s="331"/>
      <c r="BZ269" s="340"/>
      <c r="CA269" s="316"/>
      <c r="CB269" s="318"/>
      <c r="CC269" s="318"/>
      <c r="CD269" s="318"/>
      <c r="CE269" s="318"/>
      <c r="CF269" s="318"/>
      <c r="CG269" s="318"/>
      <c r="CH269" s="318"/>
      <c r="CI269" s="338"/>
      <c r="CJ269" s="341"/>
      <c r="CK269" s="342">
        <f t="shared" si="18"/>
        <v>0</v>
      </c>
      <c r="CL269" s="333">
        <f t="shared" si="19"/>
        <v>0</v>
      </c>
      <c r="CM269" s="423"/>
      <c r="CN269" s="424"/>
      <c r="CO269" s="424"/>
      <c r="CP269" s="424"/>
    </row>
    <row r="270">
      <c r="A270" s="315" t="s">
        <v>25</v>
      </c>
      <c r="B270" s="316"/>
      <c r="C270" s="417">
        <v>43678.0</v>
      </c>
      <c r="D270" s="318"/>
      <c r="E270" s="319">
        <v>13.0</v>
      </c>
      <c r="F270" s="332"/>
      <c r="G270" s="321">
        <v>0.6694560185185185</v>
      </c>
      <c r="H270" s="323">
        <v>0.6700231481481481</v>
      </c>
      <c r="I270" s="323"/>
      <c r="J270" s="323"/>
      <c r="K270" s="323">
        <v>0.674224537037037</v>
      </c>
      <c r="L270" s="322">
        <f t="shared" si="7"/>
        <v>0.004768518519</v>
      </c>
      <c r="M270" s="319" t="s">
        <v>168</v>
      </c>
      <c r="N270" s="324" t="s">
        <v>187</v>
      </c>
      <c r="O270" s="419" t="s">
        <v>203</v>
      </c>
      <c r="P270" s="319" t="s">
        <v>211</v>
      </c>
      <c r="Q270" s="318"/>
      <c r="R270" s="326">
        <v>15.0</v>
      </c>
      <c r="S270" s="319">
        <v>3.0</v>
      </c>
      <c r="T270" s="324">
        <v>1.2</v>
      </c>
      <c r="U270" s="319">
        <v>4.0</v>
      </c>
      <c r="V270" s="319"/>
      <c r="W270" s="319"/>
      <c r="X270" s="319"/>
      <c r="Y270" s="319"/>
      <c r="Z270" s="319" t="s">
        <v>1117</v>
      </c>
      <c r="AA270" s="319"/>
      <c r="AB270" s="318"/>
      <c r="AC270" s="327">
        <v>4.0</v>
      </c>
      <c r="AD270" s="319"/>
      <c r="AE270" s="319"/>
      <c r="AF270" s="319"/>
      <c r="AG270" s="319"/>
      <c r="AH270" s="319"/>
      <c r="AI270" s="319"/>
      <c r="AJ270" s="327"/>
      <c r="AK270" s="328"/>
      <c r="AL270" s="319"/>
      <c r="AM270" s="319"/>
      <c r="AN270" s="319"/>
      <c r="AO270" s="319"/>
      <c r="AP270" s="319"/>
      <c r="AQ270" s="319"/>
      <c r="AR270" s="319"/>
      <c r="AS270" s="327"/>
      <c r="AT270" s="344"/>
      <c r="AU270" s="345" t="s">
        <v>845</v>
      </c>
      <c r="AV270" s="330">
        <f>SQRT(($R270-Infrastructure!J$3)^2+($S270-Infrastructure!K$3)^2)</f>
        <v>30.08155581</v>
      </c>
      <c r="AW270" s="331">
        <f>SQRT(($R270-Infrastructure!J$4)^2+($S270-Infrastructure!K$4)^2)</f>
        <v>21.2868504</v>
      </c>
      <c r="AX270" s="331">
        <f>SQRT(($R270-Infrastructure!J$5)^2+($S270-Infrastructure!K$5)^2)</f>
        <v>15.44344521</v>
      </c>
      <c r="AY270" s="331">
        <f>SQRT(($R270-Infrastructure!J$6)^2+($S270-Infrastructure!K$6)^2)</f>
        <v>5.594640292</v>
      </c>
      <c r="AZ270" s="331">
        <f>SQRT(($R270-Infrastructure!J$7)^2+($S270-Infrastructure!K$7)^2)</f>
        <v>6.126989473</v>
      </c>
      <c r="BA270" s="331">
        <f>SQRT(($R270-Infrastructure!J$8)^2+($S270-Infrastructure!K$8)^2)</f>
        <v>15.33949152</v>
      </c>
      <c r="BB270" s="331">
        <f>SQRT(($R270-Infrastructure!J$9)^2+($S270-Infrastructure!K$9)^2)</f>
        <v>25.08804496</v>
      </c>
      <c r="BC270" s="331">
        <f>SQRT(($R270-Infrastructure!J$10)^2+($S270-Infrastructure!K$10)^2)</f>
        <v>27.73084925</v>
      </c>
      <c r="BD270" s="318"/>
      <c r="BE270" s="332"/>
      <c r="BF270" s="330">
        <f t="shared" si="14"/>
        <v>5.594640292</v>
      </c>
      <c r="BG270" s="333">
        <f t="shared" si="15"/>
        <v>30.08155581</v>
      </c>
      <c r="BH270" s="334"/>
      <c r="BI270" s="316"/>
      <c r="BJ270" s="318"/>
      <c r="BK270" s="318"/>
      <c r="BL270" s="318"/>
      <c r="BM270" s="318"/>
      <c r="BN270" s="318"/>
      <c r="BO270" s="318"/>
      <c r="BP270" s="318"/>
      <c r="BQ270" s="338"/>
      <c r="BR270" s="420"/>
      <c r="BS270" s="330">
        <f t="shared" si="16"/>
        <v>0</v>
      </c>
      <c r="BT270" s="331">
        <f t="shared" si="17"/>
        <v>0</v>
      </c>
      <c r="BU270" s="331"/>
      <c r="BV270" s="333"/>
      <c r="BW270" s="330"/>
      <c r="BX270" s="331"/>
      <c r="BY270" s="331"/>
      <c r="BZ270" s="340"/>
      <c r="CA270" s="316"/>
      <c r="CB270" s="318"/>
      <c r="CC270" s="318"/>
      <c r="CD270" s="318"/>
      <c r="CE270" s="318"/>
      <c r="CF270" s="318"/>
      <c r="CG270" s="318"/>
      <c r="CH270" s="318"/>
      <c r="CI270" s="338"/>
      <c r="CJ270" s="341"/>
      <c r="CK270" s="342">
        <f t="shared" si="18"/>
        <v>0</v>
      </c>
      <c r="CL270" s="333">
        <f t="shared" si="19"/>
        <v>0</v>
      </c>
      <c r="CM270" s="421" t="s">
        <v>1118</v>
      </c>
      <c r="CN270" s="416"/>
      <c r="CO270" s="416"/>
      <c r="CP270" s="416"/>
    </row>
    <row r="271">
      <c r="A271" s="315" t="s">
        <v>25</v>
      </c>
      <c r="B271" s="316"/>
      <c r="C271" s="417">
        <v>43678.0</v>
      </c>
      <c r="D271" s="318"/>
      <c r="E271" s="319">
        <v>14.0</v>
      </c>
      <c r="F271" s="332"/>
      <c r="G271" s="321">
        <v>0.6763310185185185</v>
      </c>
      <c r="H271" s="323">
        <v>0.6769907407407407</v>
      </c>
      <c r="I271" s="323"/>
      <c r="J271" s="323"/>
      <c r="K271" s="323">
        <v>0.6812037037037038</v>
      </c>
      <c r="L271" s="322">
        <f t="shared" si="7"/>
        <v>0.004872685185</v>
      </c>
      <c r="M271" s="319" t="s">
        <v>168</v>
      </c>
      <c r="N271" s="324" t="s">
        <v>187</v>
      </c>
      <c r="O271" s="419" t="s">
        <v>203</v>
      </c>
      <c r="P271" s="319" t="s">
        <v>211</v>
      </c>
      <c r="Q271" s="318"/>
      <c r="R271" s="326">
        <v>15.0</v>
      </c>
      <c r="S271" s="319">
        <v>3.0</v>
      </c>
      <c r="T271" s="324">
        <v>1.2</v>
      </c>
      <c r="U271" s="319">
        <v>4.0</v>
      </c>
      <c r="V271" s="319"/>
      <c r="W271" s="319"/>
      <c r="X271" s="319"/>
      <c r="Y271" s="319"/>
      <c r="Z271" s="319" t="s">
        <v>1117</v>
      </c>
      <c r="AA271" s="319"/>
      <c r="AB271" s="318"/>
      <c r="AC271" s="327">
        <v>6.0</v>
      </c>
      <c r="AD271" s="319"/>
      <c r="AE271" s="319"/>
      <c r="AF271" s="319"/>
      <c r="AG271" s="319"/>
      <c r="AH271" s="319"/>
      <c r="AI271" s="319"/>
      <c r="AJ271" s="327"/>
      <c r="AK271" s="328"/>
      <c r="AL271" s="319"/>
      <c r="AM271" s="319"/>
      <c r="AN271" s="319"/>
      <c r="AO271" s="319"/>
      <c r="AP271" s="319"/>
      <c r="AQ271" s="319"/>
      <c r="AR271" s="319"/>
      <c r="AS271" s="327"/>
      <c r="AT271" s="344"/>
      <c r="AU271" s="345" t="s">
        <v>845</v>
      </c>
      <c r="AV271" s="330">
        <f>SQRT(($R271-Infrastructure!J$3)^2+($S271-Infrastructure!K$3)^2)</f>
        <v>30.08155581</v>
      </c>
      <c r="AW271" s="331">
        <f>SQRT(($R271-Infrastructure!J$4)^2+($S271-Infrastructure!K$4)^2)</f>
        <v>21.2868504</v>
      </c>
      <c r="AX271" s="331">
        <f>SQRT(($R271-Infrastructure!J$5)^2+($S271-Infrastructure!K$5)^2)</f>
        <v>15.44344521</v>
      </c>
      <c r="AY271" s="331">
        <f>SQRT(($R271-Infrastructure!J$6)^2+($S271-Infrastructure!K$6)^2)</f>
        <v>5.594640292</v>
      </c>
      <c r="AZ271" s="331">
        <f>SQRT(($R271-Infrastructure!J$7)^2+($S271-Infrastructure!K$7)^2)</f>
        <v>6.126989473</v>
      </c>
      <c r="BA271" s="331">
        <f>SQRT(($R271-Infrastructure!J$8)^2+($S271-Infrastructure!K$8)^2)</f>
        <v>15.33949152</v>
      </c>
      <c r="BB271" s="331">
        <f>SQRT(($R271-Infrastructure!J$9)^2+($S271-Infrastructure!K$9)^2)</f>
        <v>25.08804496</v>
      </c>
      <c r="BC271" s="331">
        <f>SQRT(($R271-Infrastructure!J$10)^2+($S271-Infrastructure!K$10)^2)</f>
        <v>27.73084925</v>
      </c>
      <c r="BD271" s="318"/>
      <c r="BE271" s="332"/>
      <c r="BF271" s="330">
        <f t="shared" si="14"/>
        <v>5.594640292</v>
      </c>
      <c r="BG271" s="333">
        <f t="shared" si="15"/>
        <v>30.08155581</v>
      </c>
      <c r="BH271" s="334"/>
      <c r="BI271" s="316"/>
      <c r="BJ271" s="318"/>
      <c r="BK271" s="318"/>
      <c r="BL271" s="318"/>
      <c r="BM271" s="318"/>
      <c r="BN271" s="318"/>
      <c r="BO271" s="318"/>
      <c r="BP271" s="318"/>
      <c r="BQ271" s="338"/>
      <c r="BR271" s="420"/>
      <c r="BS271" s="330">
        <f t="shared" si="16"/>
        <v>0</v>
      </c>
      <c r="BT271" s="331">
        <f t="shared" si="17"/>
        <v>0</v>
      </c>
      <c r="BU271" s="331"/>
      <c r="BV271" s="333"/>
      <c r="BW271" s="330"/>
      <c r="BX271" s="331"/>
      <c r="BY271" s="331"/>
      <c r="BZ271" s="340"/>
      <c r="CA271" s="316"/>
      <c r="CB271" s="318"/>
      <c r="CC271" s="318"/>
      <c r="CD271" s="318"/>
      <c r="CE271" s="318"/>
      <c r="CF271" s="318"/>
      <c r="CG271" s="318"/>
      <c r="CH271" s="318"/>
      <c r="CI271" s="338"/>
      <c r="CJ271" s="341"/>
      <c r="CK271" s="342">
        <f t="shared" si="18"/>
        <v>0</v>
      </c>
      <c r="CL271" s="333">
        <f t="shared" si="19"/>
        <v>0</v>
      </c>
      <c r="CM271" s="423"/>
      <c r="CN271" s="424"/>
      <c r="CO271" s="424"/>
      <c r="CP271" s="424"/>
    </row>
    <row r="272">
      <c r="A272" s="315" t="s">
        <v>25</v>
      </c>
      <c r="B272" s="316"/>
      <c r="C272" s="417">
        <v>43678.0</v>
      </c>
      <c r="D272" s="318"/>
      <c r="E272" s="319">
        <v>15.0</v>
      </c>
      <c r="F272" s="332"/>
      <c r="G272" s="321">
        <v>0.6832638888888889</v>
      </c>
      <c r="H272" s="323">
        <v>0.683587962962963</v>
      </c>
      <c r="I272" s="323"/>
      <c r="J272" s="323"/>
      <c r="K272" s="323">
        <v>0.7016319444444444</v>
      </c>
      <c r="L272" s="322">
        <f t="shared" si="7"/>
        <v>0.01836805556</v>
      </c>
      <c r="M272" s="319" t="s">
        <v>168</v>
      </c>
      <c r="N272" s="324" t="s">
        <v>187</v>
      </c>
      <c r="O272" s="419" t="s">
        <v>203</v>
      </c>
      <c r="P272" s="319" t="s">
        <v>211</v>
      </c>
      <c r="Q272" s="318"/>
      <c r="R272" s="326">
        <v>15.0</v>
      </c>
      <c r="S272" s="319">
        <v>3.0</v>
      </c>
      <c r="T272" s="324">
        <v>1.2</v>
      </c>
      <c r="U272" s="319">
        <v>6.0</v>
      </c>
      <c r="V272" s="319"/>
      <c r="W272" s="319"/>
      <c r="X272" s="319"/>
      <c r="Y272" s="319"/>
      <c r="Z272" s="319" t="s">
        <v>1117</v>
      </c>
      <c r="AA272" s="319"/>
      <c r="AB272" s="318"/>
      <c r="AC272" s="327">
        <v>6.0</v>
      </c>
      <c r="AD272" s="319"/>
      <c r="AE272" s="319"/>
      <c r="AF272" s="319"/>
      <c r="AG272" s="319"/>
      <c r="AH272" s="319"/>
      <c r="AI272" s="319"/>
      <c r="AJ272" s="327"/>
      <c r="AK272" s="328"/>
      <c r="AL272" s="319"/>
      <c r="AM272" s="319"/>
      <c r="AN272" s="319"/>
      <c r="AO272" s="319"/>
      <c r="AP272" s="319"/>
      <c r="AQ272" s="319"/>
      <c r="AR272" s="319"/>
      <c r="AS272" s="327"/>
      <c r="AT272" s="344"/>
      <c r="AU272" s="345" t="s">
        <v>845</v>
      </c>
      <c r="AV272" s="330">
        <f>SQRT(($R272-Infrastructure!J$3)^2+($S272-Infrastructure!K$3)^2)</f>
        <v>30.08155581</v>
      </c>
      <c r="AW272" s="331">
        <f>SQRT(($R272-Infrastructure!J$4)^2+($S272-Infrastructure!K$4)^2)</f>
        <v>21.2868504</v>
      </c>
      <c r="AX272" s="331">
        <f>SQRT(($R272-Infrastructure!J$5)^2+($S272-Infrastructure!K$5)^2)</f>
        <v>15.44344521</v>
      </c>
      <c r="AY272" s="331">
        <f>SQRT(($R272-Infrastructure!J$6)^2+($S272-Infrastructure!K$6)^2)</f>
        <v>5.594640292</v>
      </c>
      <c r="AZ272" s="331">
        <f>SQRT(($R272-Infrastructure!J$7)^2+($S272-Infrastructure!K$7)^2)</f>
        <v>6.126989473</v>
      </c>
      <c r="BA272" s="331">
        <f>SQRT(($R272-Infrastructure!J$8)^2+($S272-Infrastructure!K$8)^2)</f>
        <v>15.33949152</v>
      </c>
      <c r="BB272" s="331">
        <f>SQRT(($R272-Infrastructure!J$9)^2+($S272-Infrastructure!K$9)^2)</f>
        <v>25.08804496</v>
      </c>
      <c r="BC272" s="331">
        <f>SQRT(($R272-Infrastructure!J$10)^2+($S272-Infrastructure!K$10)^2)</f>
        <v>27.73084925</v>
      </c>
      <c r="BD272" s="318"/>
      <c r="BE272" s="332"/>
      <c r="BF272" s="330">
        <f t="shared" si="14"/>
        <v>5.594640292</v>
      </c>
      <c r="BG272" s="333">
        <f t="shared" si="15"/>
        <v>30.08155581</v>
      </c>
      <c r="BH272" s="334"/>
      <c r="BI272" s="316"/>
      <c r="BJ272" s="318"/>
      <c r="BK272" s="318"/>
      <c r="BL272" s="318"/>
      <c r="BM272" s="318"/>
      <c r="BN272" s="318"/>
      <c r="BO272" s="318"/>
      <c r="BP272" s="318"/>
      <c r="BQ272" s="338"/>
      <c r="BR272" s="420"/>
      <c r="BS272" s="330">
        <f t="shared" si="16"/>
        <v>0</v>
      </c>
      <c r="BT272" s="331">
        <f t="shared" si="17"/>
        <v>0</v>
      </c>
      <c r="BU272" s="331"/>
      <c r="BV272" s="333"/>
      <c r="BW272" s="330"/>
      <c r="BX272" s="331"/>
      <c r="BY272" s="331"/>
      <c r="BZ272" s="340"/>
      <c r="CA272" s="316"/>
      <c r="CB272" s="318"/>
      <c r="CC272" s="318"/>
      <c r="CD272" s="318"/>
      <c r="CE272" s="318"/>
      <c r="CF272" s="318"/>
      <c r="CG272" s="318"/>
      <c r="CH272" s="318"/>
      <c r="CI272" s="338"/>
      <c r="CJ272" s="341"/>
      <c r="CK272" s="342">
        <f t="shared" si="18"/>
        <v>0</v>
      </c>
      <c r="CL272" s="333">
        <f t="shared" si="19"/>
        <v>0</v>
      </c>
      <c r="CM272" s="458" t="s">
        <v>1119</v>
      </c>
      <c r="CN272" s="459"/>
      <c r="CO272" s="459"/>
      <c r="CP272" s="459"/>
    </row>
    <row r="273">
      <c r="A273" s="315" t="s">
        <v>25</v>
      </c>
      <c r="B273" s="316"/>
      <c r="C273" s="417">
        <v>43683.0</v>
      </c>
      <c r="D273" s="318"/>
      <c r="E273" s="318"/>
      <c r="F273" s="332"/>
      <c r="G273" s="321">
        <v>0.5871527777777777</v>
      </c>
      <c r="H273" s="323">
        <v>0.5875347222222222</v>
      </c>
      <c r="I273" s="323"/>
      <c r="J273" s="323"/>
      <c r="K273" s="323">
        <v>0.5917476851851852</v>
      </c>
      <c r="L273" s="322">
        <f t="shared" si="7"/>
        <v>0.004594907407</v>
      </c>
      <c r="M273" s="319" t="s">
        <v>166</v>
      </c>
      <c r="N273" s="324" t="s">
        <v>187</v>
      </c>
      <c r="O273" s="419" t="s">
        <v>1071</v>
      </c>
      <c r="P273" s="318"/>
      <c r="Q273" s="318"/>
      <c r="R273" s="326">
        <v>24.5</v>
      </c>
      <c r="S273" s="319">
        <v>7.5</v>
      </c>
      <c r="T273" s="324">
        <v>0.6</v>
      </c>
      <c r="U273" s="319">
        <v>6.0</v>
      </c>
      <c r="V273" s="319"/>
      <c r="W273" s="319"/>
      <c r="X273" s="319"/>
      <c r="Y273" s="319"/>
      <c r="Z273" s="319" t="s">
        <v>331</v>
      </c>
      <c r="AA273" s="319"/>
      <c r="AB273" s="318"/>
      <c r="AC273" s="327">
        <v>5.0</v>
      </c>
      <c r="AD273" s="319"/>
      <c r="AE273" s="319"/>
      <c r="AF273" s="319"/>
      <c r="AG273" s="319"/>
      <c r="AH273" s="319"/>
      <c r="AI273" s="319"/>
      <c r="AJ273" s="327"/>
      <c r="AK273" s="328"/>
      <c r="AL273" s="319"/>
      <c r="AM273" s="319"/>
      <c r="AN273" s="319"/>
      <c r="AO273" s="319"/>
      <c r="AP273" s="319"/>
      <c r="AQ273" s="319"/>
      <c r="AR273" s="319"/>
      <c r="AS273" s="327"/>
      <c r="AT273" s="344"/>
      <c r="AU273" s="345" t="s">
        <v>845</v>
      </c>
      <c r="AV273" s="330">
        <f>SQRT(($R273-Infrastructure!J$3)^2+($S273-Infrastructure!K$3)^2)</f>
        <v>32.75667871</v>
      </c>
      <c r="AW273" s="331">
        <f>SQRT(($R273-Infrastructure!J$4)^2+($S273-Infrastructure!K$4)^2)</f>
        <v>26.85386378</v>
      </c>
      <c r="AX273" s="331">
        <f>SQRT(($R273-Infrastructure!J$5)^2+($S273-Infrastructure!K$5)^2)</f>
        <v>24.9158584</v>
      </c>
      <c r="AY273" s="331">
        <f>SQRT(($R273-Infrastructure!J$6)^2+($S273-Infrastructure!K$6)^2)</f>
        <v>16.09968944</v>
      </c>
      <c r="AZ273" s="331">
        <f>SQRT(($R273-Infrastructure!J$7)^2+($S273-Infrastructure!K$7)^2)</f>
        <v>8.236504113</v>
      </c>
      <c r="BA273" s="331">
        <f>SQRT(($R273-Infrastructure!J$8)^2+($S273-Infrastructure!K$8)^2)</f>
        <v>9.121403401</v>
      </c>
      <c r="BB273" s="331">
        <f>SQRT(($R273-Infrastructure!J$9)^2+($S273-Infrastructure!K$9)^2)</f>
        <v>15.68470593</v>
      </c>
      <c r="BC273" s="331">
        <f>SQRT(($R273-Infrastructure!J$10)^2+($S273-Infrastructure!K$10)^2)</f>
        <v>17.21917536</v>
      </c>
      <c r="BD273" s="318"/>
      <c r="BE273" s="332"/>
      <c r="BF273" s="330">
        <f t="shared" si="14"/>
        <v>8.236504113</v>
      </c>
      <c r="BG273" s="333">
        <f t="shared" si="15"/>
        <v>32.75667871</v>
      </c>
      <c r="BH273" s="334"/>
      <c r="BI273" s="316"/>
      <c r="BJ273" s="318"/>
      <c r="BK273" s="318"/>
      <c r="BL273" s="318"/>
      <c r="BM273" s="318"/>
      <c r="BN273" s="318"/>
      <c r="BO273" s="318"/>
      <c r="BP273" s="318"/>
      <c r="BQ273" s="338"/>
      <c r="BR273" s="420"/>
      <c r="BS273" s="330">
        <f t="shared" si="16"/>
        <v>0</v>
      </c>
      <c r="BT273" s="331">
        <f t="shared" si="17"/>
        <v>0</v>
      </c>
      <c r="BU273" s="331"/>
      <c r="BV273" s="333"/>
      <c r="BW273" s="330"/>
      <c r="BX273" s="331"/>
      <c r="BY273" s="331"/>
      <c r="BZ273" s="340"/>
      <c r="CA273" s="316"/>
      <c r="CB273" s="318"/>
      <c r="CC273" s="318"/>
      <c r="CD273" s="318"/>
      <c r="CE273" s="318"/>
      <c r="CF273" s="318"/>
      <c r="CG273" s="318"/>
      <c r="CH273" s="318"/>
      <c r="CI273" s="338"/>
      <c r="CJ273" s="341"/>
      <c r="CK273" s="342">
        <f t="shared" si="18"/>
        <v>0</v>
      </c>
      <c r="CL273" s="333">
        <f t="shared" si="19"/>
        <v>0</v>
      </c>
      <c r="CM273" s="423"/>
      <c r="CN273" s="424"/>
      <c r="CO273" s="424"/>
      <c r="CP273" s="424"/>
    </row>
    <row r="274">
      <c r="A274" s="315" t="s">
        <v>25</v>
      </c>
      <c r="B274" s="316"/>
      <c r="C274" s="417">
        <v>43683.0</v>
      </c>
      <c r="D274" s="318"/>
      <c r="E274" s="318"/>
      <c r="F274" s="332"/>
      <c r="G274" s="321">
        <v>0.59375</v>
      </c>
      <c r="H274" s="323">
        <v>0.5944675925925926</v>
      </c>
      <c r="I274" s="323"/>
      <c r="J274" s="323"/>
      <c r="K274" s="323">
        <v>0.5986111111111111</v>
      </c>
      <c r="L274" s="322">
        <f t="shared" si="7"/>
        <v>0.004861111111</v>
      </c>
      <c r="M274" s="319" t="s">
        <v>166</v>
      </c>
      <c r="N274" s="324" t="s">
        <v>187</v>
      </c>
      <c r="O274" s="419" t="s">
        <v>1071</v>
      </c>
      <c r="P274" s="318"/>
      <c r="Q274" s="318"/>
      <c r="R274" s="326">
        <v>24.5</v>
      </c>
      <c r="S274" s="319">
        <v>7.5</v>
      </c>
      <c r="T274" s="324">
        <v>0.6</v>
      </c>
      <c r="U274" s="319">
        <v>8.0</v>
      </c>
      <c r="V274" s="319"/>
      <c r="W274" s="319"/>
      <c r="X274" s="319"/>
      <c r="Y274" s="319"/>
      <c r="Z274" s="319" t="s">
        <v>331</v>
      </c>
      <c r="AA274" s="319"/>
      <c r="AB274" s="318"/>
      <c r="AC274" s="327">
        <v>5.0</v>
      </c>
      <c r="AD274" s="319"/>
      <c r="AE274" s="319"/>
      <c r="AF274" s="319"/>
      <c r="AG274" s="319"/>
      <c r="AH274" s="319"/>
      <c r="AI274" s="319"/>
      <c r="AJ274" s="327"/>
      <c r="AK274" s="328"/>
      <c r="AL274" s="319"/>
      <c r="AM274" s="319"/>
      <c r="AN274" s="319"/>
      <c r="AO274" s="319"/>
      <c r="AP274" s="319"/>
      <c r="AQ274" s="319"/>
      <c r="AR274" s="319"/>
      <c r="AS274" s="327"/>
      <c r="AT274" s="344"/>
      <c r="AU274" s="345" t="s">
        <v>845</v>
      </c>
      <c r="AV274" s="330">
        <f>SQRT(($R274-Infrastructure!J$3)^2+($S274-Infrastructure!K$3)^2)</f>
        <v>32.75667871</v>
      </c>
      <c r="AW274" s="331">
        <f>SQRT(($R274-Infrastructure!J$4)^2+($S274-Infrastructure!K$4)^2)</f>
        <v>26.85386378</v>
      </c>
      <c r="AX274" s="331">
        <f>SQRT(($R274-Infrastructure!J$5)^2+($S274-Infrastructure!K$5)^2)</f>
        <v>24.9158584</v>
      </c>
      <c r="AY274" s="331">
        <f>SQRT(($R274-Infrastructure!J$6)^2+($S274-Infrastructure!K$6)^2)</f>
        <v>16.09968944</v>
      </c>
      <c r="AZ274" s="331">
        <f>SQRT(($R274-Infrastructure!J$7)^2+($S274-Infrastructure!K$7)^2)</f>
        <v>8.236504113</v>
      </c>
      <c r="BA274" s="331">
        <f>SQRT(($R274-Infrastructure!J$8)^2+($S274-Infrastructure!K$8)^2)</f>
        <v>9.121403401</v>
      </c>
      <c r="BB274" s="331">
        <f>SQRT(($R274-Infrastructure!J$9)^2+($S274-Infrastructure!K$9)^2)</f>
        <v>15.68470593</v>
      </c>
      <c r="BC274" s="331">
        <f>SQRT(($R274-Infrastructure!J$10)^2+($S274-Infrastructure!K$10)^2)</f>
        <v>17.21917536</v>
      </c>
      <c r="BD274" s="318"/>
      <c r="BE274" s="332"/>
      <c r="BF274" s="330">
        <f t="shared" si="14"/>
        <v>8.236504113</v>
      </c>
      <c r="BG274" s="333">
        <f t="shared" si="15"/>
        <v>32.75667871</v>
      </c>
      <c r="BH274" s="334"/>
      <c r="BI274" s="316"/>
      <c r="BJ274" s="318"/>
      <c r="BK274" s="318"/>
      <c r="BL274" s="318"/>
      <c r="BM274" s="318"/>
      <c r="BN274" s="318"/>
      <c r="BO274" s="318"/>
      <c r="BP274" s="318"/>
      <c r="BQ274" s="338"/>
      <c r="BR274" s="420"/>
      <c r="BS274" s="330">
        <f t="shared" si="16"/>
        <v>0</v>
      </c>
      <c r="BT274" s="331">
        <f t="shared" si="17"/>
        <v>0</v>
      </c>
      <c r="BU274" s="331"/>
      <c r="BV274" s="333"/>
      <c r="BW274" s="330"/>
      <c r="BX274" s="331"/>
      <c r="BY274" s="331"/>
      <c r="BZ274" s="340"/>
      <c r="CA274" s="316"/>
      <c r="CB274" s="318"/>
      <c r="CC274" s="318"/>
      <c r="CD274" s="318"/>
      <c r="CE274" s="318"/>
      <c r="CF274" s="318"/>
      <c r="CG274" s="318"/>
      <c r="CH274" s="318"/>
      <c r="CI274" s="338"/>
      <c r="CJ274" s="341"/>
      <c r="CK274" s="342">
        <f t="shared" si="18"/>
        <v>0</v>
      </c>
      <c r="CL274" s="333">
        <f t="shared" si="19"/>
        <v>0</v>
      </c>
      <c r="CM274" s="423"/>
      <c r="CN274" s="424"/>
      <c r="CO274" s="424"/>
      <c r="CP274" s="424"/>
    </row>
    <row r="275">
      <c r="A275" s="315" t="s">
        <v>25</v>
      </c>
      <c r="B275" s="316"/>
      <c r="C275" s="417">
        <v>43683.0</v>
      </c>
      <c r="D275" s="318"/>
      <c r="E275" s="318"/>
      <c r="F275" s="332"/>
      <c r="G275" s="321">
        <v>0.6007175925925926</v>
      </c>
      <c r="H275" s="323">
        <v>0.6012268518518519</v>
      </c>
      <c r="I275" s="323"/>
      <c r="J275" s="323"/>
      <c r="K275" s="323">
        <v>0.6053703703703703</v>
      </c>
      <c r="L275" s="322">
        <f t="shared" si="7"/>
        <v>0.004652777778</v>
      </c>
      <c r="M275" s="319" t="s">
        <v>166</v>
      </c>
      <c r="N275" s="324" t="s">
        <v>187</v>
      </c>
      <c r="O275" s="419" t="s">
        <v>1071</v>
      </c>
      <c r="P275" s="318"/>
      <c r="Q275" s="318"/>
      <c r="R275" s="326">
        <v>24.5</v>
      </c>
      <c r="S275" s="319">
        <v>7.5</v>
      </c>
      <c r="T275" s="324">
        <v>0.6</v>
      </c>
      <c r="U275" s="319">
        <v>9.0</v>
      </c>
      <c r="V275" s="319"/>
      <c r="W275" s="319"/>
      <c r="X275" s="319"/>
      <c r="Y275" s="319"/>
      <c r="Z275" s="319" t="s">
        <v>331</v>
      </c>
      <c r="AA275" s="319"/>
      <c r="AB275" s="318"/>
      <c r="AC275" s="327">
        <v>5.0</v>
      </c>
      <c r="AD275" s="319"/>
      <c r="AE275" s="319"/>
      <c r="AF275" s="319"/>
      <c r="AG275" s="319"/>
      <c r="AH275" s="319"/>
      <c r="AI275" s="319"/>
      <c r="AJ275" s="327"/>
      <c r="AK275" s="328"/>
      <c r="AL275" s="319"/>
      <c r="AM275" s="319"/>
      <c r="AN275" s="319"/>
      <c r="AO275" s="319"/>
      <c r="AP275" s="319"/>
      <c r="AQ275" s="319"/>
      <c r="AR275" s="319"/>
      <c r="AS275" s="327"/>
      <c r="AT275" s="344"/>
      <c r="AU275" s="345" t="s">
        <v>845</v>
      </c>
      <c r="AV275" s="330">
        <f>SQRT(($R275-Infrastructure!J$3)^2+($S275-Infrastructure!K$3)^2)</f>
        <v>32.75667871</v>
      </c>
      <c r="AW275" s="331">
        <f>SQRT(($R275-Infrastructure!J$4)^2+($S275-Infrastructure!K$4)^2)</f>
        <v>26.85386378</v>
      </c>
      <c r="AX275" s="331">
        <f>SQRT(($R275-Infrastructure!J$5)^2+($S275-Infrastructure!K$5)^2)</f>
        <v>24.9158584</v>
      </c>
      <c r="AY275" s="331">
        <f>SQRT(($R275-Infrastructure!J$6)^2+($S275-Infrastructure!K$6)^2)</f>
        <v>16.09968944</v>
      </c>
      <c r="AZ275" s="331">
        <f>SQRT(($R275-Infrastructure!J$7)^2+($S275-Infrastructure!K$7)^2)</f>
        <v>8.236504113</v>
      </c>
      <c r="BA275" s="331">
        <f>SQRT(($R275-Infrastructure!J$8)^2+($S275-Infrastructure!K$8)^2)</f>
        <v>9.121403401</v>
      </c>
      <c r="BB275" s="331">
        <f>SQRT(($R275-Infrastructure!J$9)^2+($S275-Infrastructure!K$9)^2)</f>
        <v>15.68470593</v>
      </c>
      <c r="BC275" s="331">
        <f>SQRT(($R275-Infrastructure!J$10)^2+($S275-Infrastructure!K$10)^2)</f>
        <v>17.21917536</v>
      </c>
      <c r="BD275" s="318"/>
      <c r="BE275" s="332"/>
      <c r="BF275" s="330">
        <f t="shared" si="14"/>
        <v>8.236504113</v>
      </c>
      <c r="BG275" s="333">
        <f t="shared" si="15"/>
        <v>32.75667871</v>
      </c>
      <c r="BH275" s="334"/>
      <c r="BI275" s="316"/>
      <c r="BJ275" s="318"/>
      <c r="BK275" s="318"/>
      <c r="BL275" s="318"/>
      <c r="BM275" s="318"/>
      <c r="BN275" s="318"/>
      <c r="BO275" s="318"/>
      <c r="BP275" s="318"/>
      <c r="BQ275" s="338"/>
      <c r="BR275" s="420"/>
      <c r="BS275" s="330">
        <f t="shared" si="16"/>
        <v>0</v>
      </c>
      <c r="BT275" s="331">
        <f t="shared" si="17"/>
        <v>0</v>
      </c>
      <c r="BU275" s="331"/>
      <c r="BV275" s="333"/>
      <c r="BW275" s="330"/>
      <c r="BX275" s="331"/>
      <c r="BY275" s="331"/>
      <c r="BZ275" s="340"/>
      <c r="CA275" s="316"/>
      <c r="CB275" s="318"/>
      <c r="CC275" s="318"/>
      <c r="CD275" s="318"/>
      <c r="CE275" s="318"/>
      <c r="CF275" s="318"/>
      <c r="CG275" s="318"/>
      <c r="CH275" s="318"/>
      <c r="CI275" s="338"/>
      <c r="CJ275" s="341"/>
      <c r="CK275" s="342">
        <f t="shared" si="18"/>
        <v>0</v>
      </c>
      <c r="CL275" s="333">
        <f t="shared" si="19"/>
        <v>0</v>
      </c>
      <c r="CM275" s="423"/>
      <c r="CN275" s="424"/>
      <c r="CO275" s="424"/>
      <c r="CP275" s="424"/>
    </row>
    <row r="276">
      <c r="A276" s="315" t="s">
        <v>25</v>
      </c>
      <c r="B276" s="316"/>
      <c r="C276" s="417">
        <v>43683.0</v>
      </c>
      <c r="D276" s="318"/>
      <c r="E276" s="318"/>
      <c r="F276" s="332"/>
      <c r="G276" s="321">
        <v>0.6075115740740741</v>
      </c>
      <c r="H276" s="323">
        <v>0.6083217592592592</v>
      </c>
      <c r="I276" s="323"/>
      <c r="J276" s="323"/>
      <c r="K276" s="323">
        <v>0.6118171296296296</v>
      </c>
      <c r="L276" s="322">
        <f t="shared" si="7"/>
        <v>0.004305555556</v>
      </c>
      <c r="M276" s="319" t="s">
        <v>166</v>
      </c>
      <c r="N276" s="324" t="s">
        <v>187</v>
      </c>
      <c r="O276" s="419" t="s">
        <v>1076</v>
      </c>
      <c r="P276" s="318"/>
      <c r="Q276" s="318"/>
      <c r="R276" s="326">
        <v>11.0</v>
      </c>
      <c r="S276" s="319">
        <v>8.0</v>
      </c>
      <c r="T276" s="332"/>
      <c r="U276" s="319">
        <v>1.0</v>
      </c>
      <c r="V276" s="319"/>
      <c r="W276" s="319"/>
      <c r="X276" s="319"/>
      <c r="Y276" s="319"/>
      <c r="Z276" s="319" t="s">
        <v>1095</v>
      </c>
      <c r="AA276" s="319"/>
      <c r="AB276" s="318"/>
      <c r="AC276" s="327">
        <v>1.5</v>
      </c>
      <c r="AD276" s="319"/>
      <c r="AE276" s="319"/>
      <c r="AF276" s="319"/>
      <c r="AG276" s="319"/>
      <c r="AH276" s="319"/>
      <c r="AI276" s="319"/>
      <c r="AJ276" s="327"/>
      <c r="AK276" s="328"/>
      <c r="AL276" s="319"/>
      <c r="AM276" s="319"/>
      <c r="AN276" s="319"/>
      <c r="AO276" s="319"/>
      <c r="AP276" s="319"/>
      <c r="AQ276" s="319"/>
      <c r="AR276" s="319"/>
      <c r="AS276" s="327"/>
      <c r="AT276" s="344"/>
      <c r="AU276" s="345" t="s">
        <v>845</v>
      </c>
      <c r="AV276" s="330">
        <f>SQRT(($R276-Infrastructure!J$3)^2+($S276-Infrastructure!K$3)^2)</f>
        <v>23.75920874</v>
      </c>
      <c r="AW276" s="331">
        <f>SQRT(($R276-Infrastructure!J$4)^2+($S276-Infrastructure!K$4)^2)</f>
        <v>14.95760676</v>
      </c>
      <c r="AX276" s="331">
        <f>SQRT(($R276-Infrastructure!J$5)^2+($S276-Infrastructure!K$5)^2)</f>
        <v>11.66619047</v>
      </c>
      <c r="AY276" s="331">
        <f>SQRT(($R276-Infrastructure!J$6)^2+($S276-Infrastructure!K$6)^2)</f>
        <v>7.752418977</v>
      </c>
      <c r="AZ276" s="331">
        <f>SQRT(($R276-Infrastructure!J$7)^2+($S276-Infrastructure!K$7)^2)</f>
        <v>12.22865487</v>
      </c>
      <c r="BA276" s="331">
        <f>SQRT(($R276-Infrastructure!J$8)^2+($S276-Infrastructure!K$8)^2)</f>
        <v>20.59368835</v>
      </c>
      <c r="BB276" s="331">
        <f>SQRT(($R276-Infrastructure!J$9)^2+($S276-Infrastructure!K$9)^2)</f>
        <v>29.1446393</v>
      </c>
      <c r="BC276" s="331">
        <f>SQRT(($R276-Infrastructure!J$10)^2+($S276-Infrastructure!K$10)^2)</f>
        <v>29.83286778</v>
      </c>
      <c r="BD276" s="318"/>
      <c r="BE276" s="332"/>
      <c r="BF276" s="330">
        <f t="shared" si="14"/>
        <v>7.752418977</v>
      </c>
      <c r="BG276" s="333">
        <f t="shared" si="15"/>
        <v>29.83286778</v>
      </c>
      <c r="BH276" s="334"/>
      <c r="BI276" s="316"/>
      <c r="BJ276" s="318"/>
      <c r="BK276" s="318"/>
      <c r="BL276" s="318"/>
      <c r="BM276" s="318"/>
      <c r="BN276" s="318"/>
      <c r="BO276" s="318"/>
      <c r="BP276" s="318"/>
      <c r="BQ276" s="338"/>
      <c r="BR276" s="420"/>
      <c r="BS276" s="330">
        <f t="shared" si="16"/>
        <v>0</v>
      </c>
      <c r="BT276" s="331">
        <f t="shared" si="17"/>
        <v>0</v>
      </c>
      <c r="BU276" s="331"/>
      <c r="BV276" s="333"/>
      <c r="BW276" s="330"/>
      <c r="BX276" s="331"/>
      <c r="BY276" s="331"/>
      <c r="BZ276" s="340"/>
      <c r="CA276" s="316"/>
      <c r="CB276" s="318"/>
      <c r="CC276" s="318"/>
      <c r="CD276" s="318"/>
      <c r="CE276" s="318"/>
      <c r="CF276" s="318"/>
      <c r="CG276" s="318"/>
      <c r="CH276" s="318"/>
      <c r="CI276" s="338"/>
      <c r="CJ276" s="341"/>
      <c r="CK276" s="342">
        <f t="shared" si="18"/>
        <v>0</v>
      </c>
      <c r="CL276" s="333">
        <f t="shared" si="19"/>
        <v>0</v>
      </c>
      <c r="CM276" s="423"/>
      <c r="CN276" s="424"/>
      <c r="CO276" s="424"/>
      <c r="CP276" s="424"/>
    </row>
    <row r="277">
      <c r="A277" s="315" t="s">
        <v>25</v>
      </c>
      <c r="B277" s="316"/>
      <c r="C277" s="417">
        <v>43683.0</v>
      </c>
      <c r="D277" s="318"/>
      <c r="E277" s="318"/>
      <c r="F277" s="332"/>
      <c r="G277" s="321">
        <v>0.6143171296296296</v>
      </c>
      <c r="H277" s="323">
        <v>0.6144791666666667</v>
      </c>
      <c r="I277" s="323"/>
      <c r="J277" s="323"/>
      <c r="K277" s="323">
        <v>0.6186342592592593</v>
      </c>
      <c r="L277" s="322">
        <f t="shared" si="7"/>
        <v>0.00431712963</v>
      </c>
      <c r="M277" s="319" t="s">
        <v>166</v>
      </c>
      <c r="N277" s="324" t="s">
        <v>187</v>
      </c>
      <c r="O277" s="419" t="s">
        <v>1076</v>
      </c>
      <c r="P277" s="318"/>
      <c r="Q277" s="318"/>
      <c r="R277" s="326">
        <v>11.0</v>
      </c>
      <c r="S277" s="319">
        <v>8.0</v>
      </c>
      <c r="T277" s="332"/>
      <c r="U277" s="319">
        <v>2.0</v>
      </c>
      <c r="V277" s="319"/>
      <c r="W277" s="319"/>
      <c r="X277" s="319"/>
      <c r="Y277" s="319"/>
      <c r="Z277" s="319" t="s">
        <v>1095</v>
      </c>
      <c r="AA277" s="319"/>
      <c r="AB277" s="318"/>
      <c r="AC277" s="327">
        <v>3.0</v>
      </c>
      <c r="AD277" s="319"/>
      <c r="AE277" s="319"/>
      <c r="AF277" s="319"/>
      <c r="AG277" s="319"/>
      <c r="AH277" s="319"/>
      <c r="AI277" s="319"/>
      <c r="AJ277" s="327"/>
      <c r="AK277" s="328"/>
      <c r="AL277" s="319"/>
      <c r="AM277" s="319"/>
      <c r="AN277" s="319"/>
      <c r="AO277" s="319"/>
      <c r="AP277" s="319"/>
      <c r="AQ277" s="319"/>
      <c r="AR277" s="319"/>
      <c r="AS277" s="327"/>
      <c r="AT277" s="344"/>
      <c r="AU277" s="345" t="s">
        <v>845</v>
      </c>
      <c r="AV277" s="330">
        <f>SQRT(($R277-Infrastructure!J$3)^2+($S277-Infrastructure!K$3)^2)</f>
        <v>23.75920874</v>
      </c>
      <c r="AW277" s="331">
        <f>SQRT(($R277-Infrastructure!J$4)^2+($S277-Infrastructure!K$4)^2)</f>
        <v>14.95760676</v>
      </c>
      <c r="AX277" s="331">
        <f>SQRT(($R277-Infrastructure!J$5)^2+($S277-Infrastructure!K$5)^2)</f>
        <v>11.66619047</v>
      </c>
      <c r="AY277" s="331">
        <f>SQRT(($R277-Infrastructure!J$6)^2+($S277-Infrastructure!K$6)^2)</f>
        <v>7.752418977</v>
      </c>
      <c r="AZ277" s="331">
        <f>SQRT(($R277-Infrastructure!J$7)^2+($S277-Infrastructure!K$7)^2)</f>
        <v>12.22865487</v>
      </c>
      <c r="BA277" s="331">
        <f>SQRT(($R277-Infrastructure!J$8)^2+($S277-Infrastructure!K$8)^2)</f>
        <v>20.59368835</v>
      </c>
      <c r="BB277" s="331">
        <f>SQRT(($R277-Infrastructure!J$9)^2+($S277-Infrastructure!K$9)^2)</f>
        <v>29.1446393</v>
      </c>
      <c r="BC277" s="331">
        <f>SQRT(($R277-Infrastructure!J$10)^2+($S277-Infrastructure!K$10)^2)</f>
        <v>29.83286778</v>
      </c>
      <c r="BD277" s="318"/>
      <c r="BE277" s="332"/>
      <c r="BF277" s="330">
        <f t="shared" si="14"/>
        <v>7.752418977</v>
      </c>
      <c r="BG277" s="333">
        <f t="shared" si="15"/>
        <v>29.83286778</v>
      </c>
      <c r="BH277" s="334"/>
      <c r="BI277" s="316"/>
      <c r="BJ277" s="318"/>
      <c r="BK277" s="318"/>
      <c r="BL277" s="318"/>
      <c r="BM277" s="318"/>
      <c r="BN277" s="318"/>
      <c r="BO277" s="318"/>
      <c r="BP277" s="318"/>
      <c r="BQ277" s="338"/>
      <c r="BR277" s="420"/>
      <c r="BS277" s="330">
        <f t="shared" si="16"/>
        <v>0</v>
      </c>
      <c r="BT277" s="331">
        <f t="shared" si="17"/>
        <v>0</v>
      </c>
      <c r="BU277" s="331"/>
      <c r="BV277" s="333"/>
      <c r="BW277" s="330"/>
      <c r="BX277" s="331"/>
      <c r="BY277" s="331"/>
      <c r="BZ277" s="340"/>
      <c r="CA277" s="316"/>
      <c r="CB277" s="318"/>
      <c r="CC277" s="318"/>
      <c r="CD277" s="318"/>
      <c r="CE277" s="318"/>
      <c r="CF277" s="318"/>
      <c r="CG277" s="318"/>
      <c r="CH277" s="318"/>
      <c r="CI277" s="338"/>
      <c r="CJ277" s="341"/>
      <c r="CK277" s="342">
        <f t="shared" si="18"/>
        <v>0</v>
      </c>
      <c r="CL277" s="333">
        <f t="shared" si="19"/>
        <v>0</v>
      </c>
      <c r="CM277" s="423"/>
      <c r="CN277" s="424"/>
      <c r="CO277" s="424"/>
      <c r="CP277" s="424"/>
    </row>
    <row r="278">
      <c r="A278" s="315" t="s">
        <v>25</v>
      </c>
      <c r="B278" s="316"/>
      <c r="C278" s="417">
        <v>43683.0</v>
      </c>
      <c r="D278" s="318"/>
      <c r="E278" s="318"/>
      <c r="F278" s="332"/>
      <c r="G278" s="321">
        <v>0.6207291666666667</v>
      </c>
      <c r="H278" s="323">
        <v>0.621087962962963</v>
      </c>
      <c r="I278" s="323"/>
      <c r="J278" s="323"/>
      <c r="K278" s="323">
        <v>0.6252430555555556</v>
      </c>
      <c r="L278" s="322">
        <f t="shared" si="7"/>
        <v>0.004513888889</v>
      </c>
      <c r="M278" s="319" t="s">
        <v>166</v>
      </c>
      <c r="N278" s="324" t="s">
        <v>187</v>
      </c>
      <c r="O278" s="419" t="s">
        <v>1076</v>
      </c>
      <c r="P278" s="318"/>
      <c r="Q278" s="318"/>
      <c r="R278" s="326">
        <v>11.0</v>
      </c>
      <c r="S278" s="319">
        <v>8.0</v>
      </c>
      <c r="T278" s="332"/>
      <c r="U278" s="319">
        <v>4.0</v>
      </c>
      <c r="V278" s="319"/>
      <c r="W278" s="319"/>
      <c r="X278" s="319"/>
      <c r="Y278" s="319"/>
      <c r="Z278" s="319" t="s">
        <v>1095</v>
      </c>
      <c r="AA278" s="319"/>
      <c r="AB278" s="318"/>
      <c r="AC278" s="327">
        <v>4.0</v>
      </c>
      <c r="AD278" s="319"/>
      <c r="AE278" s="319"/>
      <c r="AF278" s="319"/>
      <c r="AG278" s="319"/>
      <c r="AH278" s="319"/>
      <c r="AI278" s="319"/>
      <c r="AJ278" s="327"/>
      <c r="AK278" s="328"/>
      <c r="AL278" s="319"/>
      <c r="AM278" s="319"/>
      <c r="AN278" s="319"/>
      <c r="AO278" s="319"/>
      <c r="AP278" s="319"/>
      <c r="AQ278" s="319"/>
      <c r="AR278" s="319"/>
      <c r="AS278" s="327"/>
      <c r="AT278" s="344"/>
      <c r="AU278" s="345" t="s">
        <v>845</v>
      </c>
      <c r="AV278" s="330">
        <f>SQRT(($R278-Infrastructure!J$3)^2+($S278-Infrastructure!K$3)^2)</f>
        <v>23.75920874</v>
      </c>
      <c r="AW278" s="331">
        <f>SQRT(($R278-Infrastructure!J$4)^2+($S278-Infrastructure!K$4)^2)</f>
        <v>14.95760676</v>
      </c>
      <c r="AX278" s="331">
        <f>SQRT(($R278-Infrastructure!J$5)^2+($S278-Infrastructure!K$5)^2)</f>
        <v>11.66619047</v>
      </c>
      <c r="AY278" s="331">
        <f>SQRT(($R278-Infrastructure!J$6)^2+($S278-Infrastructure!K$6)^2)</f>
        <v>7.752418977</v>
      </c>
      <c r="AZ278" s="331">
        <f>SQRT(($R278-Infrastructure!J$7)^2+($S278-Infrastructure!K$7)^2)</f>
        <v>12.22865487</v>
      </c>
      <c r="BA278" s="331">
        <f>SQRT(($R278-Infrastructure!J$8)^2+($S278-Infrastructure!K$8)^2)</f>
        <v>20.59368835</v>
      </c>
      <c r="BB278" s="331">
        <f>SQRT(($R278-Infrastructure!J$9)^2+($S278-Infrastructure!K$9)^2)</f>
        <v>29.1446393</v>
      </c>
      <c r="BC278" s="331">
        <f>SQRT(($R278-Infrastructure!J$10)^2+($S278-Infrastructure!K$10)^2)</f>
        <v>29.83286778</v>
      </c>
      <c r="BD278" s="318"/>
      <c r="BE278" s="332"/>
      <c r="BF278" s="330">
        <f t="shared" si="14"/>
        <v>7.752418977</v>
      </c>
      <c r="BG278" s="333">
        <f t="shared" si="15"/>
        <v>29.83286778</v>
      </c>
      <c r="BH278" s="334"/>
      <c r="BI278" s="316"/>
      <c r="BJ278" s="318"/>
      <c r="BK278" s="318"/>
      <c r="BL278" s="318"/>
      <c r="BM278" s="318"/>
      <c r="BN278" s="318"/>
      <c r="BO278" s="318"/>
      <c r="BP278" s="318"/>
      <c r="BQ278" s="338"/>
      <c r="BR278" s="420"/>
      <c r="BS278" s="330">
        <f t="shared" si="16"/>
        <v>0</v>
      </c>
      <c r="BT278" s="331">
        <f t="shared" si="17"/>
        <v>0</v>
      </c>
      <c r="BU278" s="331"/>
      <c r="BV278" s="333"/>
      <c r="BW278" s="330"/>
      <c r="BX278" s="331"/>
      <c r="BY278" s="331"/>
      <c r="BZ278" s="340"/>
      <c r="CA278" s="316"/>
      <c r="CB278" s="318"/>
      <c r="CC278" s="318"/>
      <c r="CD278" s="318"/>
      <c r="CE278" s="318"/>
      <c r="CF278" s="318"/>
      <c r="CG278" s="318"/>
      <c r="CH278" s="318"/>
      <c r="CI278" s="338"/>
      <c r="CJ278" s="341"/>
      <c r="CK278" s="342">
        <f t="shared" si="18"/>
        <v>0</v>
      </c>
      <c r="CL278" s="333">
        <f t="shared" si="19"/>
        <v>0</v>
      </c>
      <c r="CM278" s="423"/>
      <c r="CN278" s="424"/>
      <c r="CO278" s="424"/>
      <c r="CP278" s="424"/>
    </row>
    <row r="279">
      <c r="A279" s="315" t="s">
        <v>25</v>
      </c>
      <c r="B279" s="316"/>
      <c r="C279" s="417">
        <v>43683.0</v>
      </c>
      <c r="D279" s="318"/>
      <c r="E279" s="318"/>
      <c r="F279" s="332"/>
      <c r="G279" s="321">
        <v>0.6274652777777778</v>
      </c>
      <c r="H279" s="323">
        <v>0.6285069444444444</v>
      </c>
      <c r="I279" s="323"/>
      <c r="J279" s="323"/>
      <c r="K279" s="323">
        <v>0.6326388888888889</v>
      </c>
      <c r="L279" s="322">
        <f t="shared" si="7"/>
        <v>0.005173611111</v>
      </c>
      <c r="M279" s="319" t="s">
        <v>166</v>
      </c>
      <c r="N279" s="324" t="s">
        <v>187</v>
      </c>
      <c r="O279" s="419" t="s">
        <v>1071</v>
      </c>
      <c r="P279" s="318"/>
      <c r="Q279" s="318"/>
      <c r="R279" s="457"/>
      <c r="S279" s="318"/>
      <c r="T279" s="332"/>
      <c r="U279" s="319">
        <v>0.4</v>
      </c>
      <c r="V279" s="319"/>
      <c r="W279" s="319"/>
      <c r="X279" s="319"/>
      <c r="Y279" s="319"/>
      <c r="Z279" s="319" t="s">
        <v>331</v>
      </c>
      <c r="AA279" s="319"/>
      <c r="AB279" s="318"/>
      <c r="AC279" s="327" t="s">
        <v>1072</v>
      </c>
      <c r="AD279" s="319"/>
      <c r="AE279" s="319"/>
      <c r="AF279" s="319"/>
      <c r="AG279" s="319"/>
      <c r="AH279" s="319"/>
      <c r="AI279" s="319"/>
      <c r="AJ279" s="327"/>
      <c r="AK279" s="328"/>
      <c r="AL279" s="319"/>
      <c r="AM279" s="319"/>
      <c r="AN279" s="319"/>
      <c r="AO279" s="319"/>
      <c r="AP279" s="319"/>
      <c r="AQ279" s="319"/>
      <c r="AR279" s="319"/>
      <c r="AS279" s="327"/>
      <c r="AT279" s="344"/>
      <c r="AU279" s="345" t="s">
        <v>845</v>
      </c>
      <c r="AV279" s="330">
        <f>SQRT(($R279-Infrastructure!J$3)^2+($S279-Infrastructure!K$3)^2)</f>
        <v>28.90155705</v>
      </c>
      <c r="AW279" s="331">
        <f>SQRT(($R279-Infrastructure!J$4)^2+($S279-Infrastructure!K$4)^2)</f>
        <v>17.80252791</v>
      </c>
      <c r="AX279" s="331">
        <f>SQRT(($R279-Infrastructure!J$5)^2+($S279-Infrastructure!K$5)^2)</f>
        <v>5.10881591</v>
      </c>
      <c r="AY279" s="331">
        <f>SQRT(($R279-Infrastructure!J$6)^2+($S279-Infrastructure!K$6)^2)</f>
        <v>10.10445446</v>
      </c>
      <c r="AZ279" s="331">
        <f>SQRT(($R279-Infrastructure!J$7)^2+($S279-Infrastructure!K$7)^2)</f>
        <v>20.502195</v>
      </c>
      <c r="BA279" s="331">
        <f>SQRT(($R279-Infrastructure!J$8)^2+($S279-Infrastructure!K$8)^2)</f>
        <v>30.10149498</v>
      </c>
      <c r="BB279" s="331">
        <f>SQRT(($R279-Infrastructure!J$9)^2+($S279-Infrastructure!K$9)^2)</f>
        <v>40.3238143</v>
      </c>
      <c r="BC279" s="331">
        <f>SQRT(($R279-Infrastructure!J$10)^2+($S279-Infrastructure!K$10)^2)</f>
        <v>42.72001873</v>
      </c>
      <c r="BD279" s="318"/>
      <c r="BE279" s="332"/>
      <c r="BF279" s="330">
        <f t="shared" si="14"/>
        <v>5.10881591</v>
      </c>
      <c r="BG279" s="333">
        <f t="shared" si="15"/>
        <v>42.72001873</v>
      </c>
      <c r="BH279" s="334"/>
      <c r="BI279" s="316"/>
      <c r="BJ279" s="318"/>
      <c r="BK279" s="318"/>
      <c r="BL279" s="318"/>
      <c r="BM279" s="318"/>
      <c r="BN279" s="318"/>
      <c r="BO279" s="318"/>
      <c r="BP279" s="318"/>
      <c r="BQ279" s="338"/>
      <c r="BR279" s="420"/>
      <c r="BS279" s="330">
        <f t="shared" si="16"/>
        <v>0</v>
      </c>
      <c r="BT279" s="331">
        <f t="shared" si="17"/>
        <v>0</v>
      </c>
      <c r="BU279" s="331"/>
      <c r="BV279" s="333"/>
      <c r="BW279" s="330"/>
      <c r="BX279" s="331"/>
      <c r="BY279" s="331"/>
      <c r="BZ279" s="340"/>
      <c r="CA279" s="316"/>
      <c r="CB279" s="318"/>
      <c r="CC279" s="318"/>
      <c r="CD279" s="318"/>
      <c r="CE279" s="318"/>
      <c r="CF279" s="318"/>
      <c r="CG279" s="318"/>
      <c r="CH279" s="318"/>
      <c r="CI279" s="338"/>
      <c r="CJ279" s="341"/>
      <c r="CK279" s="342">
        <f t="shared" si="18"/>
        <v>0</v>
      </c>
      <c r="CL279" s="333">
        <f t="shared" si="19"/>
        <v>0</v>
      </c>
      <c r="CM279" s="423"/>
      <c r="CN279" s="424"/>
      <c r="CO279" s="424"/>
      <c r="CP279" s="424"/>
    </row>
    <row r="280">
      <c r="A280" s="315" t="s">
        <v>25</v>
      </c>
      <c r="B280" s="316"/>
      <c r="C280" s="417">
        <v>43683.0</v>
      </c>
      <c r="D280" s="318"/>
      <c r="E280" s="318"/>
      <c r="F280" s="332"/>
      <c r="G280" s="321">
        <v>0.6347800925925926</v>
      </c>
      <c r="H280" s="323">
        <v>0.6351041666666667</v>
      </c>
      <c r="I280" s="323"/>
      <c r="J280" s="323"/>
      <c r="K280" s="323">
        <v>0.6392361111111111</v>
      </c>
      <c r="L280" s="322">
        <f t="shared" si="7"/>
        <v>0.004456018519</v>
      </c>
      <c r="M280" s="319" t="s">
        <v>166</v>
      </c>
      <c r="N280" s="324" t="s">
        <v>187</v>
      </c>
      <c r="O280" s="419" t="s">
        <v>1071</v>
      </c>
      <c r="P280" s="318"/>
      <c r="Q280" s="318"/>
      <c r="R280" s="457"/>
      <c r="S280" s="318"/>
      <c r="T280" s="332"/>
      <c r="U280" s="319">
        <v>2.0</v>
      </c>
      <c r="V280" s="319"/>
      <c r="W280" s="319"/>
      <c r="X280" s="319"/>
      <c r="Y280" s="319"/>
      <c r="Z280" s="319" t="s">
        <v>331</v>
      </c>
      <c r="AA280" s="319"/>
      <c r="AB280" s="318"/>
      <c r="AC280" s="327" t="s">
        <v>1072</v>
      </c>
      <c r="AD280" s="319"/>
      <c r="AE280" s="319"/>
      <c r="AF280" s="319"/>
      <c r="AG280" s="319"/>
      <c r="AH280" s="319"/>
      <c r="AI280" s="319"/>
      <c r="AJ280" s="327"/>
      <c r="AK280" s="328"/>
      <c r="AL280" s="319"/>
      <c r="AM280" s="319"/>
      <c r="AN280" s="319"/>
      <c r="AO280" s="319"/>
      <c r="AP280" s="319"/>
      <c r="AQ280" s="319"/>
      <c r="AR280" s="319"/>
      <c r="AS280" s="327"/>
      <c r="AT280" s="344"/>
      <c r="AU280" s="345" t="s">
        <v>845</v>
      </c>
      <c r="AV280" s="330">
        <f>SQRT(($R280-Infrastructure!J$3)^2+($S280-Infrastructure!K$3)^2)</f>
        <v>28.90155705</v>
      </c>
      <c r="AW280" s="331">
        <f>SQRT(($R280-Infrastructure!J$4)^2+($S280-Infrastructure!K$4)^2)</f>
        <v>17.80252791</v>
      </c>
      <c r="AX280" s="331">
        <f>SQRT(($R280-Infrastructure!J$5)^2+($S280-Infrastructure!K$5)^2)</f>
        <v>5.10881591</v>
      </c>
      <c r="AY280" s="331">
        <f>SQRT(($R280-Infrastructure!J$6)^2+($S280-Infrastructure!K$6)^2)</f>
        <v>10.10445446</v>
      </c>
      <c r="AZ280" s="331">
        <f>SQRT(($R280-Infrastructure!J$7)^2+($S280-Infrastructure!K$7)^2)</f>
        <v>20.502195</v>
      </c>
      <c r="BA280" s="331">
        <f>SQRT(($R280-Infrastructure!J$8)^2+($S280-Infrastructure!K$8)^2)</f>
        <v>30.10149498</v>
      </c>
      <c r="BB280" s="331">
        <f>SQRT(($R280-Infrastructure!J$9)^2+($S280-Infrastructure!K$9)^2)</f>
        <v>40.3238143</v>
      </c>
      <c r="BC280" s="331">
        <f>SQRT(($R280-Infrastructure!J$10)^2+($S280-Infrastructure!K$10)^2)</f>
        <v>42.72001873</v>
      </c>
      <c r="BD280" s="318"/>
      <c r="BE280" s="332"/>
      <c r="BF280" s="330">
        <f t="shared" si="14"/>
        <v>5.10881591</v>
      </c>
      <c r="BG280" s="333">
        <f t="shared" si="15"/>
        <v>42.72001873</v>
      </c>
      <c r="BH280" s="334"/>
      <c r="BI280" s="316"/>
      <c r="BJ280" s="318"/>
      <c r="BK280" s="318"/>
      <c r="BL280" s="318"/>
      <c r="BM280" s="318"/>
      <c r="BN280" s="318"/>
      <c r="BO280" s="318"/>
      <c r="BP280" s="318"/>
      <c r="BQ280" s="338"/>
      <c r="BR280" s="420"/>
      <c r="BS280" s="330">
        <f t="shared" si="16"/>
        <v>0</v>
      </c>
      <c r="BT280" s="331">
        <f t="shared" si="17"/>
        <v>0</v>
      </c>
      <c r="BU280" s="331"/>
      <c r="BV280" s="333"/>
      <c r="BW280" s="330"/>
      <c r="BX280" s="331"/>
      <c r="BY280" s="331"/>
      <c r="BZ280" s="340"/>
      <c r="CA280" s="316"/>
      <c r="CB280" s="318"/>
      <c r="CC280" s="318"/>
      <c r="CD280" s="318"/>
      <c r="CE280" s="318"/>
      <c r="CF280" s="318"/>
      <c r="CG280" s="318"/>
      <c r="CH280" s="318"/>
      <c r="CI280" s="338"/>
      <c r="CJ280" s="341"/>
      <c r="CK280" s="342">
        <f t="shared" si="18"/>
        <v>0</v>
      </c>
      <c r="CL280" s="333">
        <f t="shared" si="19"/>
        <v>0</v>
      </c>
      <c r="CM280" s="423"/>
      <c r="CN280" s="424"/>
      <c r="CO280" s="424"/>
      <c r="CP280" s="424"/>
    </row>
    <row r="281">
      <c r="A281" s="315" t="s">
        <v>25</v>
      </c>
      <c r="B281" s="316"/>
      <c r="C281" s="417">
        <v>43683.0</v>
      </c>
      <c r="D281" s="318"/>
      <c r="E281" s="318"/>
      <c r="F281" s="332"/>
      <c r="G281" s="321">
        <v>0.6413657407407407</v>
      </c>
      <c r="H281" s="323">
        <v>0.6416898148148148</v>
      </c>
      <c r="I281" s="323"/>
      <c r="J281" s="323"/>
      <c r="K281" s="323">
        <v>0.6458333333333334</v>
      </c>
      <c r="L281" s="322">
        <f t="shared" si="7"/>
        <v>0.004467592593</v>
      </c>
      <c r="M281" s="319" t="s">
        <v>166</v>
      </c>
      <c r="N281" s="324" t="s">
        <v>187</v>
      </c>
      <c r="O281" s="419" t="s">
        <v>1071</v>
      </c>
      <c r="P281" s="318"/>
      <c r="Q281" s="318"/>
      <c r="R281" s="457"/>
      <c r="S281" s="318"/>
      <c r="T281" s="332"/>
      <c r="U281" s="319">
        <v>8.0</v>
      </c>
      <c r="V281" s="319"/>
      <c r="W281" s="319"/>
      <c r="X281" s="319"/>
      <c r="Y281" s="319"/>
      <c r="Z281" s="319" t="s">
        <v>331</v>
      </c>
      <c r="AA281" s="319"/>
      <c r="AB281" s="318"/>
      <c r="AC281" s="327" t="s">
        <v>1072</v>
      </c>
      <c r="AD281" s="319"/>
      <c r="AE281" s="319"/>
      <c r="AF281" s="319"/>
      <c r="AG281" s="319"/>
      <c r="AH281" s="319"/>
      <c r="AI281" s="319"/>
      <c r="AJ281" s="327"/>
      <c r="AK281" s="328"/>
      <c r="AL281" s="319"/>
      <c r="AM281" s="319"/>
      <c r="AN281" s="319"/>
      <c r="AO281" s="319"/>
      <c r="AP281" s="319"/>
      <c r="AQ281" s="319"/>
      <c r="AR281" s="319"/>
      <c r="AS281" s="327"/>
      <c r="AT281" s="344"/>
      <c r="AU281" s="345" t="s">
        <v>845</v>
      </c>
      <c r="AV281" s="330">
        <f>SQRT(($R281-Infrastructure!J$3)^2+($S281-Infrastructure!K$3)^2)</f>
        <v>28.90155705</v>
      </c>
      <c r="AW281" s="331">
        <f>SQRT(($R281-Infrastructure!J$4)^2+($S281-Infrastructure!K$4)^2)</f>
        <v>17.80252791</v>
      </c>
      <c r="AX281" s="331">
        <f>SQRT(($R281-Infrastructure!J$5)^2+($S281-Infrastructure!K$5)^2)</f>
        <v>5.10881591</v>
      </c>
      <c r="AY281" s="331">
        <f>SQRT(($R281-Infrastructure!J$6)^2+($S281-Infrastructure!K$6)^2)</f>
        <v>10.10445446</v>
      </c>
      <c r="AZ281" s="331">
        <f>SQRT(($R281-Infrastructure!J$7)^2+($S281-Infrastructure!K$7)^2)</f>
        <v>20.502195</v>
      </c>
      <c r="BA281" s="331">
        <f>SQRT(($R281-Infrastructure!J$8)^2+($S281-Infrastructure!K$8)^2)</f>
        <v>30.10149498</v>
      </c>
      <c r="BB281" s="331">
        <f>SQRT(($R281-Infrastructure!J$9)^2+($S281-Infrastructure!K$9)^2)</f>
        <v>40.3238143</v>
      </c>
      <c r="BC281" s="331">
        <f>SQRT(($R281-Infrastructure!J$10)^2+($S281-Infrastructure!K$10)^2)</f>
        <v>42.72001873</v>
      </c>
      <c r="BD281" s="318"/>
      <c r="BE281" s="332"/>
      <c r="BF281" s="330">
        <f t="shared" si="14"/>
        <v>5.10881591</v>
      </c>
      <c r="BG281" s="333">
        <f t="shared" si="15"/>
        <v>42.72001873</v>
      </c>
      <c r="BH281" s="334"/>
      <c r="BI281" s="316"/>
      <c r="BJ281" s="318"/>
      <c r="BK281" s="318"/>
      <c r="BL281" s="318"/>
      <c r="BM281" s="318"/>
      <c r="BN281" s="318"/>
      <c r="BO281" s="318"/>
      <c r="BP281" s="318"/>
      <c r="BQ281" s="338"/>
      <c r="BR281" s="420"/>
      <c r="BS281" s="330">
        <f t="shared" si="16"/>
        <v>0</v>
      </c>
      <c r="BT281" s="331">
        <f t="shared" si="17"/>
        <v>0</v>
      </c>
      <c r="BU281" s="331"/>
      <c r="BV281" s="333"/>
      <c r="BW281" s="330"/>
      <c r="BX281" s="331"/>
      <c r="BY281" s="331"/>
      <c r="BZ281" s="340"/>
      <c r="CA281" s="316"/>
      <c r="CB281" s="318"/>
      <c r="CC281" s="318"/>
      <c r="CD281" s="318"/>
      <c r="CE281" s="318"/>
      <c r="CF281" s="318"/>
      <c r="CG281" s="318"/>
      <c r="CH281" s="318"/>
      <c r="CI281" s="338"/>
      <c r="CJ281" s="341"/>
      <c r="CK281" s="342">
        <f t="shared" si="18"/>
        <v>0</v>
      </c>
      <c r="CL281" s="333">
        <f t="shared" si="19"/>
        <v>0</v>
      </c>
      <c r="CM281" s="423"/>
      <c r="CN281" s="424"/>
      <c r="CO281" s="424"/>
      <c r="CP281" s="424"/>
    </row>
    <row r="282">
      <c r="A282" s="315" t="s">
        <v>25</v>
      </c>
      <c r="B282" s="316"/>
      <c r="C282" s="417">
        <v>43683.0</v>
      </c>
      <c r="D282" s="318"/>
      <c r="E282" s="318"/>
      <c r="F282" s="332"/>
      <c r="G282" s="321">
        <v>0.6483449074074074</v>
      </c>
      <c r="H282" s="323">
        <v>0.6491666666666667</v>
      </c>
      <c r="I282" s="323"/>
      <c r="J282" s="323"/>
      <c r="K282" s="323">
        <v>0.6532523148148148</v>
      </c>
      <c r="L282" s="322">
        <f t="shared" si="7"/>
        <v>0.004907407407</v>
      </c>
      <c r="M282" s="319" t="s">
        <v>166</v>
      </c>
      <c r="N282" s="324" t="s">
        <v>187</v>
      </c>
      <c r="O282" s="419" t="s">
        <v>1071</v>
      </c>
      <c r="P282" s="318"/>
      <c r="Q282" s="318"/>
      <c r="R282" s="326">
        <v>24.5</v>
      </c>
      <c r="S282" s="319">
        <v>7.5</v>
      </c>
      <c r="T282" s="324">
        <v>0.6</v>
      </c>
      <c r="U282" s="319">
        <v>1.0</v>
      </c>
      <c r="V282" s="319"/>
      <c r="W282" s="319"/>
      <c r="X282" s="319"/>
      <c r="Y282" s="319"/>
      <c r="Z282" s="319" t="s">
        <v>331</v>
      </c>
      <c r="AA282" s="319"/>
      <c r="AB282" s="318"/>
      <c r="AC282" s="327">
        <v>2.0</v>
      </c>
      <c r="AD282" s="319"/>
      <c r="AE282" s="319"/>
      <c r="AF282" s="319"/>
      <c r="AG282" s="319"/>
      <c r="AH282" s="319"/>
      <c r="AI282" s="319"/>
      <c r="AJ282" s="327"/>
      <c r="AK282" s="328"/>
      <c r="AL282" s="319"/>
      <c r="AM282" s="319"/>
      <c r="AN282" s="319"/>
      <c r="AO282" s="319"/>
      <c r="AP282" s="319"/>
      <c r="AQ282" s="319"/>
      <c r="AR282" s="319"/>
      <c r="AS282" s="327"/>
      <c r="AT282" s="344"/>
      <c r="AU282" s="345" t="s">
        <v>845</v>
      </c>
      <c r="AV282" s="330">
        <f>SQRT(($R282-Infrastructure!J$3)^2+($S282-Infrastructure!K$3)^2)</f>
        <v>32.75667871</v>
      </c>
      <c r="AW282" s="331">
        <f>SQRT(($R282-Infrastructure!J$4)^2+($S282-Infrastructure!K$4)^2)</f>
        <v>26.85386378</v>
      </c>
      <c r="AX282" s="331">
        <f>SQRT(($R282-Infrastructure!J$5)^2+($S282-Infrastructure!K$5)^2)</f>
        <v>24.9158584</v>
      </c>
      <c r="AY282" s="331">
        <f>SQRT(($R282-Infrastructure!J$6)^2+($S282-Infrastructure!K$6)^2)</f>
        <v>16.09968944</v>
      </c>
      <c r="AZ282" s="331">
        <f>SQRT(($R282-Infrastructure!J$7)^2+($S282-Infrastructure!K$7)^2)</f>
        <v>8.236504113</v>
      </c>
      <c r="BA282" s="331">
        <f>SQRT(($R282-Infrastructure!J$8)^2+($S282-Infrastructure!K$8)^2)</f>
        <v>9.121403401</v>
      </c>
      <c r="BB282" s="331">
        <f>SQRT(($R282-Infrastructure!J$9)^2+($S282-Infrastructure!K$9)^2)</f>
        <v>15.68470593</v>
      </c>
      <c r="BC282" s="331">
        <f>SQRT(($R282-Infrastructure!J$10)^2+($S282-Infrastructure!K$10)^2)</f>
        <v>17.21917536</v>
      </c>
      <c r="BD282" s="318"/>
      <c r="BE282" s="332"/>
      <c r="BF282" s="330">
        <f t="shared" si="14"/>
        <v>8.236504113</v>
      </c>
      <c r="BG282" s="333">
        <f t="shared" si="15"/>
        <v>32.75667871</v>
      </c>
      <c r="BH282" s="334"/>
      <c r="BI282" s="316"/>
      <c r="BJ282" s="318"/>
      <c r="BK282" s="318"/>
      <c r="BL282" s="318"/>
      <c r="BM282" s="318"/>
      <c r="BN282" s="318"/>
      <c r="BO282" s="318"/>
      <c r="BP282" s="318"/>
      <c r="BQ282" s="338"/>
      <c r="BR282" s="420"/>
      <c r="BS282" s="330">
        <f t="shared" si="16"/>
        <v>0</v>
      </c>
      <c r="BT282" s="331">
        <f t="shared" si="17"/>
        <v>0</v>
      </c>
      <c r="BU282" s="331"/>
      <c r="BV282" s="333"/>
      <c r="BW282" s="330"/>
      <c r="BX282" s="331"/>
      <c r="BY282" s="331"/>
      <c r="BZ282" s="340"/>
      <c r="CA282" s="316"/>
      <c r="CB282" s="318"/>
      <c r="CC282" s="318"/>
      <c r="CD282" s="318"/>
      <c r="CE282" s="318"/>
      <c r="CF282" s="318"/>
      <c r="CG282" s="318"/>
      <c r="CH282" s="318"/>
      <c r="CI282" s="338"/>
      <c r="CJ282" s="341"/>
      <c r="CK282" s="342">
        <f t="shared" si="18"/>
        <v>0</v>
      </c>
      <c r="CL282" s="333">
        <f t="shared" si="19"/>
        <v>0</v>
      </c>
      <c r="CM282" s="423"/>
      <c r="CN282" s="424"/>
      <c r="CO282" s="424"/>
      <c r="CP282" s="424"/>
    </row>
    <row r="283">
      <c r="A283" s="315" t="s">
        <v>25</v>
      </c>
      <c r="B283" s="316"/>
      <c r="C283" s="417">
        <v>43683.0</v>
      </c>
      <c r="D283" s="318"/>
      <c r="E283" s="318"/>
      <c r="F283" s="332"/>
      <c r="G283" s="321">
        <v>0.6553125</v>
      </c>
      <c r="H283" s="323">
        <v>0.6556597222222222</v>
      </c>
      <c r="I283" s="323"/>
      <c r="J283" s="323"/>
      <c r="K283" s="323">
        <v>0.6598379629629629</v>
      </c>
      <c r="L283" s="322">
        <f t="shared" si="7"/>
        <v>0.004525462963</v>
      </c>
      <c r="M283" s="319" t="s">
        <v>166</v>
      </c>
      <c r="N283" s="324" t="s">
        <v>187</v>
      </c>
      <c r="O283" s="419" t="s">
        <v>1071</v>
      </c>
      <c r="P283" s="318"/>
      <c r="Q283" s="318"/>
      <c r="R283" s="326">
        <v>24.5</v>
      </c>
      <c r="S283" s="319">
        <v>7.5</v>
      </c>
      <c r="T283" s="324">
        <v>0.6</v>
      </c>
      <c r="U283" s="319">
        <v>2.0</v>
      </c>
      <c r="V283" s="319"/>
      <c r="W283" s="319"/>
      <c r="X283" s="319"/>
      <c r="Y283" s="319"/>
      <c r="Z283" s="319" t="s">
        <v>331</v>
      </c>
      <c r="AA283" s="319"/>
      <c r="AB283" s="318"/>
      <c r="AC283" s="327">
        <v>3.0</v>
      </c>
      <c r="AD283" s="319"/>
      <c r="AE283" s="319"/>
      <c r="AF283" s="319"/>
      <c r="AG283" s="319"/>
      <c r="AH283" s="319"/>
      <c r="AI283" s="319"/>
      <c r="AJ283" s="327"/>
      <c r="AK283" s="328"/>
      <c r="AL283" s="319"/>
      <c r="AM283" s="319"/>
      <c r="AN283" s="319"/>
      <c r="AO283" s="319"/>
      <c r="AP283" s="319"/>
      <c r="AQ283" s="319"/>
      <c r="AR283" s="319"/>
      <c r="AS283" s="327"/>
      <c r="AT283" s="344"/>
      <c r="AU283" s="345" t="s">
        <v>845</v>
      </c>
      <c r="AV283" s="330">
        <f>SQRT(($R283-Infrastructure!J$3)^2+($S283-Infrastructure!K$3)^2)</f>
        <v>32.75667871</v>
      </c>
      <c r="AW283" s="331">
        <f>SQRT(($R283-Infrastructure!J$4)^2+($S283-Infrastructure!K$4)^2)</f>
        <v>26.85386378</v>
      </c>
      <c r="AX283" s="331">
        <f>SQRT(($R283-Infrastructure!J$5)^2+($S283-Infrastructure!K$5)^2)</f>
        <v>24.9158584</v>
      </c>
      <c r="AY283" s="331">
        <f>SQRT(($R283-Infrastructure!J$6)^2+($S283-Infrastructure!K$6)^2)</f>
        <v>16.09968944</v>
      </c>
      <c r="AZ283" s="331">
        <f>SQRT(($R283-Infrastructure!J$7)^2+($S283-Infrastructure!K$7)^2)</f>
        <v>8.236504113</v>
      </c>
      <c r="BA283" s="331">
        <f>SQRT(($R283-Infrastructure!J$8)^2+($S283-Infrastructure!K$8)^2)</f>
        <v>9.121403401</v>
      </c>
      <c r="BB283" s="331">
        <f>SQRT(($R283-Infrastructure!J$9)^2+($S283-Infrastructure!K$9)^2)</f>
        <v>15.68470593</v>
      </c>
      <c r="BC283" s="331">
        <f>SQRT(($R283-Infrastructure!J$10)^2+($S283-Infrastructure!K$10)^2)</f>
        <v>17.21917536</v>
      </c>
      <c r="BD283" s="318"/>
      <c r="BE283" s="332"/>
      <c r="BF283" s="330">
        <f t="shared" si="14"/>
        <v>8.236504113</v>
      </c>
      <c r="BG283" s="333">
        <f t="shared" si="15"/>
        <v>32.75667871</v>
      </c>
      <c r="BH283" s="334"/>
      <c r="BI283" s="316"/>
      <c r="BJ283" s="318"/>
      <c r="BK283" s="318"/>
      <c r="BL283" s="318"/>
      <c r="BM283" s="318"/>
      <c r="BN283" s="318"/>
      <c r="BO283" s="318"/>
      <c r="BP283" s="318"/>
      <c r="BQ283" s="338"/>
      <c r="BR283" s="420"/>
      <c r="BS283" s="330">
        <f t="shared" si="16"/>
        <v>0</v>
      </c>
      <c r="BT283" s="331">
        <f t="shared" si="17"/>
        <v>0</v>
      </c>
      <c r="BU283" s="331"/>
      <c r="BV283" s="333"/>
      <c r="BW283" s="330"/>
      <c r="BX283" s="331"/>
      <c r="BY283" s="331"/>
      <c r="BZ283" s="340"/>
      <c r="CA283" s="316"/>
      <c r="CB283" s="318"/>
      <c r="CC283" s="318"/>
      <c r="CD283" s="318"/>
      <c r="CE283" s="318"/>
      <c r="CF283" s="318"/>
      <c r="CG283" s="318"/>
      <c r="CH283" s="318"/>
      <c r="CI283" s="338"/>
      <c r="CJ283" s="341"/>
      <c r="CK283" s="342">
        <f t="shared" si="18"/>
        <v>0</v>
      </c>
      <c r="CL283" s="333">
        <f t="shared" si="19"/>
        <v>0</v>
      </c>
      <c r="CM283" s="423"/>
      <c r="CN283" s="424"/>
      <c r="CO283" s="424"/>
      <c r="CP283" s="424"/>
    </row>
    <row r="284">
      <c r="A284" s="315" t="s">
        <v>25</v>
      </c>
      <c r="B284" s="316"/>
      <c r="C284" s="417">
        <v>43683.0</v>
      </c>
      <c r="D284" s="318"/>
      <c r="E284" s="318"/>
      <c r="F284" s="332"/>
      <c r="G284" s="321">
        <v>0.6619444444444444</v>
      </c>
      <c r="H284" s="323">
        <v>0.6623611111111111</v>
      </c>
      <c r="I284" s="323"/>
      <c r="J284" s="323"/>
      <c r="K284" s="323">
        <v>0.6665162037037037</v>
      </c>
      <c r="L284" s="322">
        <f t="shared" si="7"/>
        <v>0.004571759259</v>
      </c>
      <c r="M284" s="319" t="s">
        <v>166</v>
      </c>
      <c r="N284" s="324" t="s">
        <v>187</v>
      </c>
      <c r="O284" s="419" t="s">
        <v>1071</v>
      </c>
      <c r="P284" s="318"/>
      <c r="Q284" s="318"/>
      <c r="R284" s="326">
        <v>24.5</v>
      </c>
      <c r="S284" s="319">
        <v>7.5</v>
      </c>
      <c r="T284" s="324">
        <v>0.6</v>
      </c>
      <c r="U284" s="319">
        <v>3.0</v>
      </c>
      <c r="V284" s="319"/>
      <c r="W284" s="319"/>
      <c r="X284" s="319"/>
      <c r="Y284" s="319"/>
      <c r="Z284" s="319" t="s">
        <v>331</v>
      </c>
      <c r="AA284" s="319"/>
      <c r="AB284" s="318"/>
      <c r="AC284" s="327">
        <v>3.0</v>
      </c>
      <c r="AD284" s="319"/>
      <c r="AE284" s="319"/>
      <c r="AF284" s="319"/>
      <c r="AG284" s="319"/>
      <c r="AH284" s="319"/>
      <c r="AI284" s="319"/>
      <c r="AJ284" s="327"/>
      <c r="AK284" s="328"/>
      <c r="AL284" s="319"/>
      <c r="AM284" s="319"/>
      <c r="AN284" s="319"/>
      <c r="AO284" s="319"/>
      <c r="AP284" s="319"/>
      <c r="AQ284" s="319"/>
      <c r="AR284" s="319"/>
      <c r="AS284" s="327"/>
      <c r="AT284" s="344"/>
      <c r="AU284" s="345" t="s">
        <v>845</v>
      </c>
      <c r="AV284" s="330">
        <f>SQRT(($R284-Infrastructure!J$3)^2+($S284-Infrastructure!K$3)^2)</f>
        <v>32.75667871</v>
      </c>
      <c r="AW284" s="331">
        <f>SQRT(($R284-Infrastructure!J$4)^2+($S284-Infrastructure!K$4)^2)</f>
        <v>26.85386378</v>
      </c>
      <c r="AX284" s="331">
        <f>SQRT(($R284-Infrastructure!J$5)^2+($S284-Infrastructure!K$5)^2)</f>
        <v>24.9158584</v>
      </c>
      <c r="AY284" s="331">
        <f>SQRT(($R284-Infrastructure!J$6)^2+($S284-Infrastructure!K$6)^2)</f>
        <v>16.09968944</v>
      </c>
      <c r="AZ284" s="331">
        <f>SQRT(($R284-Infrastructure!J$7)^2+($S284-Infrastructure!K$7)^2)</f>
        <v>8.236504113</v>
      </c>
      <c r="BA284" s="331">
        <f>SQRT(($R284-Infrastructure!J$8)^2+($S284-Infrastructure!K$8)^2)</f>
        <v>9.121403401</v>
      </c>
      <c r="BB284" s="331">
        <f>SQRT(($R284-Infrastructure!J$9)^2+($S284-Infrastructure!K$9)^2)</f>
        <v>15.68470593</v>
      </c>
      <c r="BC284" s="331">
        <f>SQRT(($R284-Infrastructure!J$10)^2+($S284-Infrastructure!K$10)^2)</f>
        <v>17.21917536</v>
      </c>
      <c r="BD284" s="318"/>
      <c r="BE284" s="332"/>
      <c r="BF284" s="330">
        <f t="shared" si="14"/>
        <v>8.236504113</v>
      </c>
      <c r="BG284" s="333">
        <f t="shared" si="15"/>
        <v>32.75667871</v>
      </c>
      <c r="BH284" s="334"/>
      <c r="BI284" s="316"/>
      <c r="BJ284" s="318"/>
      <c r="BK284" s="318"/>
      <c r="BL284" s="318"/>
      <c r="BM284" s="318"/>
      <c r="BN284" s="318"/>
      <c r="BO284" s="318"/>
      <c r="BP284" s="318"/>
      <c r="BQ284" s="338"/>
      <c r="BR284" s="420"/>
      <c r="BS284" s="330">
        <f t="shared" si="16"/>
        <v>0</v>
      </c>
      <c r="BT284" s="331">
        <f t="shared" si="17"/>
        <v>0</v>
      </c>
      <c r="BU284" s="331"/>
      <c r="BV284" s="333"/>
      <c r="BW284" s="330"/>
      <c r="BX284" s="331"/>
      <c r="BY284" s="331"/>
      <c r="BZ284" s="340"/>
      <c r="CA284" s="316"/>
      <c r="CB284" s="318"/>
      <c r="CC284" s="318"/>
      <c r="CD284" s="318"/>
      <c r="CE284" s="318"/>
      <c r="CF284" s="318"/>
      <c r="CG284" s="318"/>
      <c r="CH284" s="318"/>
      <c r="CI284" s="338"/>
      <c r="CJ284" s="341"/>
      <c r="CK284" s="342">
        <f t="shared" si="18"/>
        <v>0</v>
      </c>
      <c r="CL284" s="333">
        <f t="shared" si="19"/>
        <v>0</v>
      </c>
      <c r="CM284" s="423"/>
      <c r="CN284" s="424"/>
      <c r="CO284" s="424"/>
      <c r="CP284" s="424"/>
    </row>
    <row r="285">
      <c r="A285" s="315" t="s">
        <v>25</v>
      </c>
      <c r="B285" s="316"/>
      <c r="C285" s="417">
        <v>43683.0</v>
      </c>
      <c r="D285" s="318"/>
      <c r="E285" s="318"/>
      <c r="F285" s="332"/>
      <c r="G285" s="321">
        <v>0.6698032407407407</v>
      </c>
      <c r="H285" s="323">
        <v>0.6703240740740741</v>
      </c>
      <c r="I285" s="323"/>
      <c r="J285" s="323"/>
      <c r="K285" s="323">
        <v>0.674537037037037</v>
      </c>
      <c r="L285" s="322">
        <f t="shared" si="7"/>
        <v>0.004733796296</v>
      </c>
      <c r="M285" s="319" t="s">
        <v>166</v>
      </c>
      <c r="N285" s="324" t="s">
        <v>187</v>
      </c>
      <c r="O285" s="419" t="s">
        <v>206</v>
      </c>
      <c r="P285" s="318"/>
      <c r="Q285" s="318"/>
      <c r="R285" s="326">
        <v>22.0</v>
      </c>
      <c r="S285" s="319">
        <v>8.0</v>
      </c>
      <c r="T285" s="324">
        <v>1.3</v>
      </c>
      <c r="U285" s="319">
        <v>1.0</v>
      </c>
      <c r="V285" s="319"/>
      <c r="W285" s="319"/>
      <c r="X285" s="319"/>
      <c r="Y285" s="319"/>
      <c r="Z285" s="319" t="s">
        <v>1105</v>
      </c>
      <c r="AA285" s="319"/>
      <c r="AB285" s="318"/>
      <c r="AC285" s="327">
        <v>4.0</v>
      </c>
      <c r="AD285" s="319"/>
      <c r="AE285" s="319"/>
      <c r="AF285" s="319"/>
      <c r="AG285" s="319"/>
      <c r="AH285" s="319"/>
      <c r="AI285" s="319"/>
      <c r="AJ285" s="327"/>
      <c r="AK285" s="328"/>
      <c r="AL285" s="319"/>
      <c r="AM285" s="319"/>
      <c r="AN285" s="319"/>
      <c r="AO285" s="319"/>
      <c r="AP285" s="319"/>
      <c r="AQ285" s="319"/>
      <c r="AR285" s="319"/>
      <c r="AS285" s="327"/>
      <c r="AT285" s="344"/>
      <c r="AU285" s="345" t="s">
        <v>845</v>
      </c>
      <c r="AV285" s="330">
        <f>SQRT(($R285-Infrastructure!J$3)^2+($S285-Infrastructure!K$3)^2)</f>
        <v>30.56304959</v>
      </c>
      <c r="AW285" s="331">
        <f>SQRT(($R285-Infrastructure!J$4)^2+($S285-Infrastructure!K$4)^2)</f>
        <v>24.35836612</v>
      </c>
      <c r="AX285" s="331">
        <f>SQRT(($R285-Infrastructure!J$5)^2+($S285-Infrastructure!K$5)^2)</f>
        <v>22.48777446</v>
      </c>
      <c r="AY285" s="331">
        <f>SQRT(($R285-Infrastructure!J$6)^2+($S285-Infrastructure!K$6)^2)</f>
        <v>14.17391971</v>
      </c>
      <c r="AZ285" s="331">
        <f>SQRT(($R285-Infrastructure!J$7)^2+($S285-Infrastructure!K$7)^2)</f>
        <v>7.844743463</v>
      </c>
      <c r="BA285" s="331">
        <f>SQRT(($R285-Infrastructure!J$8)^2+($S285-Infrastructure!K$8)^2)</f>
        <v>11.17586686</v>
      </c>
      <c r="BB285" s="331">
        <f>SQRT(($R285-Infrastructure!J$9)^2+($S285-Infrastructure!K$9)^2)</f>
        <v>18.23211452</v>
      </c>
      <c r="BC285" s="331">
        <f>SQRT(($R285-Infrastructure!J$10)^2+($S285-Infrastructure!K$10)^2)</f>
        <v>19.31320792</v>
      </c>
      <c r="BD285" s="318"/>
      <c r="BE285" s="332"/>
      <c r="BF285" s="330">
        <f t="shared" si="14"/>
        <v>7.844743463</v>
      </c>
      <c r="BG285" s="333">
        <f t="shared" si="15"/>
        <v>30.56304959</v>
      </c>
      <c r="BH285" s="334"/>
      <c r="BI285" s="316"/>
      <c r="BJ285" s="318"/>
      <c r="BK285" s="318"/>
      <c r="BL285" s="318"/>
      <c r="BM285" s="318"/>
      <c r="BN285" s="318"/>
      <c r="BO285" s="318"/>
      <c r="BP285" s="318"/>
      <c r="BQ285" s="338"/>
      <c r="BR285" s="420"/>
      <c r="BS285" s="330">
        <f t="shared" si="16"/>
        <v>0</v>
      </c>
      <c r="BT285" s="331">
        <f t="shared" si="17"/>
        <v>0</v>
      </c>
      <c r="BU285" s="331"/>
      <c r="BV285" s="333"/>
      <c r="BW285" s="330"/>
      <c r="BX285" s="331"/>
      <c r="BY285" s="331"/>
      <c r="BZ285" s="340"/>
      <c r="CA285" s="316"/>
      <c r="CB285" s="318"/>
      <c r="CC285" s="318"/>
      <c r="CD285" s="318"/>
      <c r="CE285" s="318"/>
      <c r="CF285" s="318"/>
      <c r="CG285" s="318"/>
      <c r="CH285" s="318"/>
      <c r="CI285" s="338"/>
      <c r="CJ285" s="341"/>
      <c r="CK285" s="342">
        <f t="shared" si="18"/>
        <v>0</v>
      </c>
      <c r="CL285" s="333">
        <f t="shared" si="19"/>
        <v>0</v>
      </c>
      <c r="CM285" s="423"/>
      <c r="CN285" s="424"/>
      <c r="CO285" s="424"/>
      <c r="CP285" s="424"/>
    </row>
    <row r="286">
      <c r="A286" s="315" t="s">
        <v>25</v>
      </c>
      <c r="B286" s="316"/>
      <c r="C286" s="417">
        <v>43683.0</v>
      </c>
      <c r="D286" s="318"/>
      <c r="E286" s="318"/>
      <c r="F286" s="332"/>
      <c r="G286" s="321">
        <v>0.6767476851851851</v>
      </c>
      <c r="H286" s="323">
        <v>0.6771296296296296</v>
      </c>
      <c r="I286" s="323"/>
      <c r="J286" s="323"/>
      <c r="K286" s="323">
        <v>0.68125</v>
      </c>
      <c r="L286" s="322">
        <f t="shared" si="7"/>
        <v>0.004502314815</v>
      </c>
      <c r="M286" s="319" t="s">
        <v>166</v>
      </c>
      <c r="N286" s="324" t="s">
        <v>187</v>
      </c>
      <c r="O286" s="419" t="s">
        <v>206</v>
      </c>
      <c r="P286" s="318"/>
      <c r="Q286" s="318"/>
      <c r="R286" s="326">
        <v>22.0</v>
      </c>
      <c r="S286" s="319">
        <v>8.0</v>
      </c>
      <c r="T286" s="324">
        <v>1.3</v>
      </c>
      <c r="U286" s="319">
        <v>3.0</v>
      </c>
      <c r="V286" s="319"/>
      <c r="W286" s="319"/>
      <c r="X286" s="319"/>
      <c r="Y286" s="319"/>
      <c r="Z286" s="319" t="s">
        <v>1105</v>
      </c>
      <c r="AA286" s="319"/>
      <c r="AB286" s="318"/>
      <c r="AC286" s="327">
        <v>6.0</v>
      </c>
      <c r="AD286" s="319"/>
      <c r="AE286" s="319"/>
      <c r="AF286" s="319"/>
      <c r="AG286" s="319"/>
      <c r="AH286" s="319"/>
      <c r="AI286" s="319"/>
      <c r="AJ286" s="327"/>
      <c r="AK286" s="328"/>
      <c r="AL286" s="319"/>
      <c r="AM286" s="319"/>
      <c r="AN286" s="319"/>
      <c r="AO286" s="319"/>
      <c r="AP286" s="319"/>
      <c r="AQ286" s="319"/>
      <c r="AR286" s="319"/>
      <c r="AS286" s="327"/>
      <c r="AT286" s="344"/>
      <c r="AU286" s="345" t="s">
        <v>845</v>
      </c>
      <c r="AV286" s="330">
        <f>SQRT(($R286-Infrastructure!J$3)^2+($S286-Infrastructure!K$3)^2)</f>
        <v>30.56304959</v>
      </c>
      <c r="AW286" s="331">
        <f>SQRT(($R286-Infrastructure!J$4)^2+($S286-Infrastructure!K$4)^2)</f>
        <v>24.35836612</v>
      </c>
      <c r="AX286" s="331">
        <f>SQRT(($R286-Infrastructure!J$5)^2+($S286-Infrastructure!K$5)^2)</f>
        <v>22.48777446</v>
      </c>
      <c r="AY286" s="331">
        <f>SQRT(($R286-Infrastructure!J$6)^2+($S286-Infrastructure!K$6)^2)</f>
        <v>14.17391971</v>
      </c>
      <c r="AZ286" s="331">
        <f>SQRT(($R286-Infrastructure!J$7)^2+($S286-Infrastructure!K$7)^2)</f>
        <v>7.844743463</v>
      </c>
      <c r="BA286" s="331">
        <f>SQRT(($R286-Infrastructure!J$8)^2+($S286-Infrastructure!K$8)^2)</f>
        <v>11.17586686</v>
      </c>
      <c r="BB286" s="331">
        <f>SQRT(($R286-Infrastructure!J$9)^2+($S286-Infrastructure!K$9)^2)</f>
        <v>18.23211452</v>
      </c>
      <c r="BC286" s="331">
        <f>SQRT(($R286-Infrastructure!J$10)^2+($S286-Infrastructure!K$10)^2)</f>
        <v>19.31320792</v>
      </c>
      <c r="BD286" s="318"/>
      <c r="BE286" s="332"/>
      <c r="BF286" s="330">
        <f t="shared" si="14"/>
        <v>7.844743463</v>
      </c>
      <c r="BG286" s="333">
        <f t="shared" si="15"/>
        <v>30.56304959</v>
      </c>
      <c r="BH286" s="334"/>
      <c r="BI286" s="316"/>
      <c r="BJ286" s="318"/>
      <c r="BK286" s="318"/>
      <c r="BL286" s="318"/>
      <c r="BM286" s="318"/>
      <c r="BN286" s="318"/>
      <c r="BO286" s="318"/>
      <c r="BP286" s="318"/>
      <c r="BQ286" s="338"/>
      <c r="BR286" s="420"/>
      <c r="BS286" s="330">
        <f t="shared" si="16"/>
        <v>0</v>
      </c>
      <c r="BT286" s="331">
        <f t="shared" si="17"/>
        <v>0</v>
      </c>
      <c r="BU286" s="331"/>
      <c r="BV286" s="333"/>
      <c r="BW286" s="330"/>
      <c r="BX286" s="331"/>
      <c r="BY286" s="331"/>
      <c r="BZ286" s="340"/>
      <c r="CA286" s="316"/>
      <c r="CB286" s="318"/>
      <c r="CC286" s="318"/>
      <c r="CD286" s="318"/>
      <c r="CE286" s="318"/>
      <c r="CF286" s="318"/>
      <c r="CG286" s="318"/>
      <c r="CH286" s="318"/>
      <c r="CI286" s="338"/>
      <c r="CJ286" s="341"/>
      <c r="CK286" s="342">
        <f t="shared" si="18"/>
        <v>0</v>
      </c>
      <c r="CL286" s="333">
        <f t="shared" si="19"/>
        <v>0</v>
      </c>
      <c r="CM286" s="423"/>
      <c r="CN286" s="424"/>
      <c r="CO286" s="424"/>
      <c r="CP286" s="424"/>
    </row>
    <row r="287">
      <c r="A287" s="315" t="s">
        <v>25</v>
      </c>
      <c r="B287" s="316"/>
      <c r="C287" s="417">
        <v>43683.0</v>
      </c>
      <c r="D287" s="318"/>
      <c r="E287" s="318"/>
      <c r="F287" s="332"/>
      <c r="G287" s="321">
        <v>0.6830208333333333</v>
      </c>
      <c r="H287" s="323">
        <v>0.6833796296296296</v>
      </c>
      <c r="I287" s="323"/>
      <c r="J287" s="323"/>
      <c r="K287" s="323">
        <v>0.6875</v>
      </c>
      <c r="L287" s="322">
        <f t="shared" si="7"/>
        <v>0.004479166667</v>
      </c>
      <c r="M287" s="319" t="s">
        <v>166</v>
      </c>
      <c r="N287" s="324" t="s">
        <v>187</v>
      </c>
      <c r="O287" s="419" t="s">
        <v>206</v>
      </c>
      <c r="P287" s="318"/>
      <c r="Q287" s="318"/>
      <c r="R287" s="326">
        <v>22.0</v>
      </c>
      <c r="S287" s="319">
        <v>8.0</v>
      </c>
      <c r="T287" s="324">
        <v>1.3</v>
      </c>
      <c r="U287" s="319">
        <v>4.0</v>
      </c>
      <c r="V287" s="319"/>
      <c r="W287" s="319"/>
      <c r="X287" s="319"/>
      <c r="Y287" s="319"/>
      <c r="Z287" s="319" t="s">
        <v>1105</v>
      </c>
      <c r="AA287" s="319"/>
      <c r="AB287" s="318"/>
      <c r="AC287" s="327">
        <v>8.0</v>
      </c>
      <c r="AD287" s="319"/>
      <c r="AE287" s="319"/>
      <c r="AF287" s="319"/>
      <c r="AG287" s="319"/>
      <c r="AH287" s="319"/>
      <c r="AI287" s="319"/>
      <c r="AJ287" s="327"/>
      <c r="AK287" s="328"/>
      <c r="AL287" s="319"/>
      <c r="AM287" s="319"/>
      <c r="AN287" s="319"/>
      <c r="AO287" s="319"/>
      <c r="AP287" s="319"/>
      <c r="AQ287" s="319"/>
      <c r="AR287" s="319"/>
      <c r="AS287" s="327"/>
      <c r="AT287" s="344"/>
      <c r="AU287" s="345" t="s">
        <v>845</v>
      </c>
      <c r="AV287" s="330">
        <f>SQRT(($R287-Infrastructure!J$3)^2+($S287-Infrastructure!K$3)^2)</f>
        <v>30.56304959</v>
      </c>
      <c r="AW287" s="331">
        <f>SQRT(($R287-Infrastructure!J$4)^2+($S287-Infrastructure!K$4)^2)</f>
        <v>24.35836612</v>
      </c>
      <c r="AX287" s="331">
        <f>SQRT(($R287-Infrastructure!J$5)^2+($S287-Infrastructure!K$5)^2)</f>
        <v>22.48777446</v>
      </c>
      <c r="AY287" s="331">
        <f>SQRT(($R287-Infrastructure!J$6)^2+($S287-Infrastructure!K$6)^2)</f>
        <v>14.17391971</v>
      </c>
      <c r="AZ287" s="331">
        <f>SQRT(($R287-Infrastructure!J$7)^2+($S287-Infrastructure!K$7)^2)</f>
        <v>7.844743463</v>
      </c>
      <c r="BA287" s="331">
        <f>SQRT(($R287-Infrastructure!J$8)^2+($S287-Infrastructure!K$8)^2)</f>
        <v>11.17586686</v>
      </c>
      <c r="BB287" s="331">
        <f>SQRT(($R287-Infrastructure!J$9)^2+($S287-Infrastructure!K$9)^2)</f>
        <v>18.23211452</v>
      </c>
      <c r="BC287" s="331">
        <f>SQRT(($R287-Infrastructure!J$10)^2+($S287-Infrastructure!K$10)^2)</f>
        <v>19.31320792</v>
      </c>
      <c r="BD287" s="318"/>
      <c r="BE287" s="332"/>
      <c r="BF287" s="330">
        <f t="shared" si="14"/>
        <v>7.844743463</v>
      </c>
      <c r="BG287" s="333">
        <f t="shared" si="15"/>
        <v>30.56304959</v>
      </c>
      <c r="BH287" s="334"/>
      <c r="BI287" s="316"/>
      <c r="BJ287" s="318"/>
      <c r="BK287" s="318"/>
      <c r="BL287" s="318"/>
      <c r="BM287" s="318"/>
      <c r="BN287" s="318"/>
      <c r="BO287" s="318"/>
      <c r="BP287" s="318"/>
      <c r="BQ287" s="338"/>
      <c r="BR287" s="420"/>
      <c r="BS287" s="330">
        <f t="shared" si="16"/>
        <v>0</v>
      </c>
      <c r="BT287" s="331">
        <f t="shared" si="17"/>
        <v>0</v>
      </c>
      <c r="BU287" s="331"/>
      <c r="BV287" s="333"/>
      <c r="BW287" s="330"/>
      <c r="BX287" s="331"/>
      <c r="BY287" s="331"/>
      <c r="BZ287" s="340"/>
      <c r="CA287" s="316"/>
      <c r="CB287" s="318"/>
      <c r="CC287" s="318"/>
      <c r="CD287" s="318"/>
      <c r="CE287" s="318"/>
      <c r="CF287" s="318"/>
      <c r="CG287" s="318"/>
      <c r="CH287" s="318"/>
      <c r="CI287" s="338"/>
      <c r="CJ287" s="341"/>
      <c r="CK287" s="342">
        <f t="shared" si="18"/>
        <v>0</v>
      </c>
      <c r="CL287" s="333">
        <f t="shared" si="19"/>
        <v>0</v>
      </c>
      <c r="CM287" s="423"/>
      <c r="CN287" s="424"/>
      <c r="CO287" s="424"/>
      <c r="CP287" s="424"/>
    </row>
    <row r="288">
      <c r="A288" s="389" t="s">
        <v>26</v>
      </c>
      <c r="B288" s="390"/>
      <c r="C288" s="391">
        <v>43753.0</v>
      </c>
      <c r="D288" s="393" t="s">
        <v>1120</v>
      </c>
      <c r="E288" s="393">
        <v>1.0</v>
      </c>
      <c r="F288" s="394" t="s">
        <v>1121</v>
      </c>
      <c r="G288" s="395">
        <v>0.4152777777777778</v>
      </c>
      <c r="H288" s="456">
        <v>0.415625</v>
      </c>
      <c r="I288" s="456"/>
      <c r="J288" s="456"/>
      <c r="K288" s="456">
        <v>0.41597222222222224</v>
      </c>
      <c r="L288" s="396">
        <f t="shared" si="7"/>
        <v>0.0006944444444</v>
      </c>
      <c r="M288" s="393" t="s">
        <v>166</v>
      </c>
      <c r="N288" s="394" t="s">
        <v>187</v>
      </c>
      <c r="O288" s="399" t="s">
        <v>205</v>
      </c>
      <c r="P288" s="393" t="s">
        <v>213</v>
      </c>
      <c r="Q288" s="392"/>
      <c r="R288" s="400">
        <v>21.1</v>
      </c>
      <c r="S288" s="393">
        <v>4.13</v>
      </c>
      <c r="T288" s="394">
        <v>2.1</v>
      </c>
      <c r="U288" s="393">
        <v>0.3</v>
      </c>
      <c r="V288" s="393"/>
      <c r="W288" s="393"/>
      <c r="X288" s="393"/>
      <c r="Y288" s="393"/>
      <c r="Z288" s="393" t="s">
        <v>370</v>
      </c>
      <c r="AA288" s="393"/>
      <c r="AB288" s="392"/>
      <c r="AC288" s="401">
        <v>4.0</v>
      </c>
      <c r="AD288" s="393"/>
      <c r="AE288" s="393"/>
      <c r="AF288" s="393"/>
      <c r="AG288" s="393"/>
      <c r="AH288" s="393"/>
      <c r="AI288" s="393"/>
      <c r="AJ288" s="401"/>
      <c r="AK288" s="402"/>
      <c r="AL288" s="393"/>
      <c r="AM288" s="393"/>
      <c r="AN288" s="393"/>
      <c r="AO288" s="393"/>
      <c r="AP288" s="393"/>
      <c r="AQ288" s="393"/>
      <c r="AR288" s="393"/>
      <c r="AS288" s="401"/>
      <c r="AT288" s="460" t="s">
        <v>181</v>
      </c>
      <c r="AU288" s="394" t="s">
        <v>845</v>
      </c>
      <c r="AV288" s="405">
        <f>SQRT(($R288-Infrastructure!J$3)^2+($S288-Infrastructure!K$3)^2)</f>
        <v>32.73397165</v>
      </c>
      <c r="AW288" s="406">
        <f>SQRT(($R288-Infrastructure!J$4)^2+($S288-Infrastructure!K$4)^2)</f>
        <v>25.39348145</v>
      </c>
      <c r="AX288" s="406">
        <f>SQRT(($R288-Infrastructure!J$5)^2+($S288-Infrastructure!K$5)^2)</f>
        <v>21.42197236</v>
      </c>
      <c r="AY288" s="406">
        <f>SQRT(($R288-Infrastructure!J$6)^2+($S288-Infrastructure!K$6)^2)</f>
        <v>11.64769934</v>
      </c>
      <c r="AZ288" s="406">
        <f>SQRT(($R288-Infrastructure!J$7)^2+($S288-Infrastructure!K$7)^2)</f>
        <v>3.876712525</v>
      </c>
      <c r="BA288" s="406">
        <f>SQRT(($R288-Infrastructure!J$8)^2+($S288-Infrastructure!K$8)^2)</f>
        <v>9.781048001</v>
      </c>
      <c r="BB288" s="406">
        <f>SQRT(($R288-Infrastructure!J$9)^2+($S288-Infrastructure!K$9)^2)</f>
        <v>18.92487516</v>
      </c>
      <c r="BC288" s="406">
        <f>SQRT(($R288-Infrastructure!J$10)^2+($S288-Infrastructure!K$10)^2)</f>
        <v>21.80291036</v>
      </c>
      <c r="BD288" s="392"/>
      <c r="BE288" s="407"/>
      <c r="BF288" s="330">
        <f t="shared" si="14"/>
        <v>3.876712525</v>
      </c>
      <c r="BG288" s="333">
        <f t="shared" si="15"/>
        <v>32.73397165</v>
      </c>
      <c r="BH288" s="409"/>
      <c r="BI288" s="390"/>
      <c r="BJ288" s="392"/>
      <c r="BK288" s="393"/>
      <c r="BL288" s="392"/>
      <c r="BM288" s="393"/>
      <c r="BN288" s="393"/>
      <c r="BO288" s="392"/>
      <c r="BP288" s="392"/>
      <c r="BQ288" s="410"/>
      <c r="BR288" s="411"/>
      <c r="BS288" s="330">
        <f t="shared" si="16"/>
        <v>0</v>
      </c>
      <c r="BT288" s="331">
        <f t="shared" si="17"/>
        <v>0</v>
      </c>
      <c r="BU288" s="406"/>
      <c r="BV288" s="408"/>
      <c r="BW288" s="405"/>
      <c r="BX288" s="406"/>
      <c r="BY288" s="406"/>
      <c r="BZ288" s="412"/>
      <c r="CA288" s="390"/>
      <c r="CB288" s="392"/>
      <c r="CC288" s="392"/>
      <c r="CD288" s="392"/>
      <c r="CE288" s="393" t="s">
        <v>846</v>
      </c>
      <c r="CF288" s="393" t="s">
        <v>846</v>
      </c>
      <c r="CG288" s="392"/>
      <c r="CH288" s="392"/>
      <c r="CI288" s="410"/>
      <c r="CJ288" s="413"/>
      <c r="CK288" s="342">
        <f t="shared" si="18"/>
        <v>3.876712525</v>
      </c>
      <c r="CL288" s="333">
        <f t="shared" si="19"/>
        <v>9.781048001</v>
      </c>
      <c r="CM288" s="415" t="s">
        <v>1122</v>
      </c>
      <c r="CN288" s="416"/>
      <c r="CO288" s="416"/>
      <c r="CP288" s="416"/>
    </row>
    <row r="289">
      <c r="B289" s="316"/>
      <c r="C289" s="417">
        <v>43753.0</v>
      </c>
      <c r="D289" s="426" t="s">
        <v>1120</v>
      </c>
      <c r="E289" s="426">
        <v>1.0</v>
      </c>
      <c r="F289" s="324" t="s">
        <v>1121</v>
      </c>
      <c r="G289" s="321">
        <v>0.41597222222222224</v>
      </c>
      <c r="H289" s="323">
        <v>0.4166666666666667</v>
      </c>
      <c r="I289" s="323"/>
      <c r="J289" s="323"/>
      <c r="K289" s="323">
        <v>0.4170138888888889</v>
      </c>
      <c r="L289" s="322">
        <f t="shared" si="7"/>
        <v>0.001041666667</v>
      </c>
      <c r="M289" s="319" t="s">
        <v>166</v>
      </c>
      <c r="N289" s="324" t="s">
        <v>187</v>
      </c>
      <c r="O289" s="419" t="s">
        <v>205</v>
      </c>
      <c r="P289" s="426" t="s">
        <v>213</v>
      </c>
      <c r="Q289" s="318"/>
      <c r="R289" s="326">
        <v>21.1</v>
      </c>
      <c r="S289" s="319">
        <v>4.13</v>
      </c>
      <c r="T289" s="324">
        <v>2.1</v>
      </c>
      <c r="U289" s="319">
        <v>0.75</v>
      </c>
      <c r="V289" s="319"/>
      <c r="W289" s="319"/>
      <c r="X289" s="319"/>
      <c r="Y289" s="319"/>
      <c r="Z289" s="319" t="s">
        <v>370</v>
      </c>
      <c r="AA289" s="319"/>
      <c r="AB289" s="318"/>
      <c r="AC289" s="327">
        <v>4.0</v>
      </c>
      <c r="AD289" s="319"/>
      <c r="AE289" s="319"/>
      <c r="AF289" s="319"/>
      <c r="AG289" s="319"/>
      <c r="AH289" s="319"/>
      <c r="AI289" s="319"/>
      <c r="AJ289" s="327"/>
      <c r="AK289" s="328"/>
      <c r="AL289" s="319"/>
      <c r="AM289" s="319"/>
      <c r="AN289" s="319"/>
      <c r="AO289" s="319"/>
      <c r="AP289" s="319"/>
      <c r="AQ289" s="319"/>
      <c r="AR289" s="319"/>
      <c r="AS289" s="327"/>
      <c r="AT289" s="461" t="s">
        <v>181</v>
      </c>
      <c r="AU289" s="324" t="s">
        <v>845</v>
      </c>
      <c r="AV289" s="330">
        <f>SQRT(($R289-Infrastructure!J$3)^2+($S289-Infrastructure!K$3)^2)</f>
        <v>32.73397165</v>
      </c>
      <c r="AW289" s="331">
        <f>SQRT(($R289-Infrastructure!J$4)^2+($S289-Infrastructure!K$4)^2)</f>
        <v>25.39348145</v>
      </c>
      <c r="AX289" s="331">
        <f>SQRT(($R289-Infrastructure!J$5)^2+($S289-Infrastructure!K$5)^2)</f>
        <v>21.42197236</v>
      </c>
      <c r="AY289" s="331">
        <f>SQRT(($R289-Infrastructure!J$6)^2+($S289-Infrastructure!K$6)^2)</f>
        <v>11.64769934</v>
      </c>
      <c r="AZ289" s="331">
        <f>SQRT(($R289-Infrastructure!J$7)^2+($S289-Infrastructure!K$7)^2)</f>
        <v>3.876712525</v>
      </c>
      <c r="BA289" s="331">
        <f>SQRT(($R289-Infrastructure!J$8)^2+($S289-Infrastructure!K$8)^2)</f>
        <v>9.781048001</v>
      </c>
      <c r="BB289" s="331">
        <f>SQRT(($R289-Infrastructure!J$9)^2+($S289-Infrastructure!K$9)^2)</f>
        <v>18.92487516</v>
      </c>
      <c r="BC289" s="331">
        <f>SQRT(($R289-Infrastructure!J$10)^2+($S289-Infrastructure!K$10)^2)</f>
        <v>21.80291036</v>
      </c>
      <c r="BD289" s="318"/>
      <c r="BE289" s="332"/>
      <c r="BF289" s="330">
        <f t="shared" si="14"/>
        <v>3.876712525</v>
      </c>
      <c r="BG289" s="333">
        <f t="shared" si="15"/>
        <v>32.73397165</v>
      </c>
      <c r="BH289" s="334"/>
      <c r="BI289" s="316"/>
      <c r="BJ289" s="318"/>
      <c r="BK289" s="318"/>
      <c r="BL289" s="318"/>
      <c r="BM289" s="319"/>
      <c r="BN289" s="319"/>
      <c r="BO289" s="318"/>
      <c r="BP289" s="318"/>
      <c r="BQ289" s="338"/>
      <c r="BR289" s="420"/>
      <c r="BS289" s="330">
        <f t="shared" si="16"/>
        <v>0</v>
      </c>
      <c r="BT289" s="331">
        <f t="shared" si="17"/>
        <v>0</v>
      </c>
      <c r="BU289" s="331"/>
      <c r="BV289" s="333"/>
      <c r="BW289" s="330"/>
      <c r="BX289" s="331"/>
      <c r="BY289" s="331"/>
      <c r="BZ289" s="340"/>
      <c r="CA289" s="462" t="s">
        <v>846</v>
      </c>
      <c r="CB289" s="319" t="s">
        <v>846</v>
      </c>
      <c r="CC289" s="319" t="s">
        <v>846</v>
      </c>
      <c r="CD289" s="319" t="s">
        <v>846</v>
      </c>
      <c r="CE289" s="319" t="s">
        <v>846</v>
      </c>
      <c r="CF289" s="319" t="s">
        <v>846</v>
      </c>
      <c r="CG289" s="319" t="s">
        <v>846</v>
      </c>
      <c r="CH289" s="319" t="s">
        <v>846</v>
      </c>
      <c r="CI289" s="338"/>
      <c r="CJ289" s="341"/>
      <c r="CK289" s="342">
        <f t="shared" si="18"/>
        <v>3.876712525</v>
      </c>
      <c r="CL289" s="333">
        <f t="shared" si="19"/>
        <v>32.73397165</v>
      </c>
      <c r="CM289" s="423"/>
      <c r="CN289" s="424"/>
      <c r="CO289" s="424"/>
      <c r="CP289" s="424"/>
    </row>
    <row r="290">
      <c r="B290" s="316"/>
      <c r="C290" s="417">
        <v>43753.0</v>
      </c>
      <c r="D290" s="426" t="s">
        <v>1120</v>
      </c>
      <c r="E290" s="426">
        <v>1.0</v>
      </c>
      <c r="F290" s="324" t="s">
        <v>1121</v>
      </c>
      <c r="G290" s="321">
        <v>0.4170138888888889</v>
      </c>
      <c r="H290" s="323">
        <v>0.41782407407407407</v>
      </c>
      <c r="I290" s="323"/>
      <c r="J290" s="323"/>
      <c r="K290" s="323">
        <v>0.41822916666666665</v>
      </c>
      <c r="L290" s="322">
        <f t="shared" si="7"/>
        <v>0.001215277778</v>
      </c>
      <c r="M290" s="319" t="s">
        <v>166</v>
      </c>
      <c r="N290" s="324" t="s">
        <v>187</v>
      </c>
      <c r="O290" s="419" t="s">
        <v>205</v>
      </c>
      <c r="P290" s="426" t="s">
        <v>213</v>
      </c>
      <c r="Q290" s="318"/>
      <c r="R290" s="326">
        <v>21.1</v>
      </c>
      <c r="S290" s="319">
        <v>4.13</v>
      </c>
      <c r="T290" s="324">
        <v>2.1</v>
      </c>
      <c r="U290" s="319">
        <v>1.1</v>
      </c>
      <c r="V290" s="319"/>
      <c r="W290" s="319"/>
      <c r="X290" s="319"/>
      <c r="Y290" s="319"/>
      <c r="Z290" s="319" t="s">
        <v>370</v>
      </c>
      <c r="AA290" s="319"/>
      <c r="AB290" s="318"/>
      <c r="AC290" s="327">
        <v>4.0</v>
      </c>
      <c r="AD290" s="319"/>
      <c r="AE290" s="319"/>
      <c r="AF290" s="319"/>
      <c r="AG290" s="319"/>
      <c r="AH290" s="319"/>
      <c r="AI290" s="319"/>
      <c r="AJ290" s="327"/>
      <c r="AK290" s="328"/>
      <c r="AL290" s="319"/>
      <c r="AM290" s="319"/>
      <c r="AN290" s="319"/>
      <c r="AO290" s="319"/>
      <c r="AP290" s="319"/>
      <c r="AQ290" s="319"/>
      <c r="AR290" s="319"/>
      <c r="AS290" s="327"/>
      <c r="AT290" s="461" t="s">
        <v>182</v>
      </c>
      <c r="AU290" s="324" t="s">
        <v>845</v>
      </c>
      <c r="AV290" s="330">
        <f>SQRT(($R290-Infrastructure!J$3)^2+($S290-Infrastructure!K$3)^2)</f>
        <v>32.73397165</v>
      </c>
      <c r="AW290" s="331">
        <f>SQRT(($R290-Infrastructure!J$4)^2+($S290-Infrastructure!K$4)^2)</f>
        <v>25.39348145</v>
      </c>
      <c r="AX290" s="331">
        <f>SQRT(($R290-Infrastructure!J$5)^2+($S290-Infrastructure!K$5)^2)</f>
        <v>21.42197236</v>
      </c>
      <c r="AY290" s="331">
        <f>SQRT(($R290-Infrastructure!J$6)^2+($S290-Infrastructure!K$6)^2)</f>
        <v>11.64769934</v>
      </c>
      <c r="AZ290" s="331">
        <f>SQRT(($R290-Infrastructure!J$7)^2+($S290-Infrastructure!K$7)^2)</f>
        <v>3.876712525</v>
      </c>
      <c r="BA290" s="331">
        <f>SQRT(($R290-Infrastructure!J$8)^2+($S290-Infrastructure!K$8)^2)</f>
        <v>9.781048001</v>
      </c>
      <c r="BB290" s="331">
        <f>SQRT(($R290-Infrastructure!J$9)^2+($S290-Infrastructure!K$9)^2)</f>
        <v>18.92487516</v>
      </c>
      <c r="BC290" s="331">
        <f>SQRT(($R290-Infrastructure!J$10)^2+($S290-Infrastructure!K$10)^2)</f>
        <v>21.80291036</v>
      </c>
      <c r="BD290" s="318"/>
      <c r="BE290" s="332"/>
      <c r="BF290" s="330">
        <f t="shared" si="14"/>
        <v>3.876712525</v>
      </c>
      <c r="BG290" s="333">
        <f t="shared" si="15"/>
        <v>32.73397165</v>
      </c>
      <c r="BH290" s="334"/>
      <c r="BI290" s="316"/>
      <c r="BJ290" s="318"/>
      <c r="BK290" s="319" t="s">
        <v>846</v>
      </c>
      <c r="BL290" s="318"/>
      <c r="BM290" s="319" t="s">
        <v>846</v>
      </c>
      <c r="BN290" s="319" t="s">
        <v>846</v>
      </c>
      <c r="BO290" s="318"/>
      <c r="BP290" s="319" t="s">
        <v>846</v>
      </c>
      <c r="BQ290" s="338"/>
      <c r="BR290" s="420"/>
      <c r="BS290" s="330">
        <f t="shared" si="16"/>
        <v>3.876712525</v>
      </c>
      <c r="BT290" s="331">
        <f t="shared" si="17"/>
        <v>21.80291036</v>
      </c>
      <c r="BU290" s="331"/>
      <c r="BV290" s="333"/>
      <c r="BW290" s="330"/>
      <c r="BX290" s="331"/>
      <c r="BY290" s="331"/>
      <c r="BZ290" s="340"/>
      <c r="CA290" s="462" t="s">
        <v>846</v>
      </c>
      <c r="CB290" s="319" t="s">
        <v>846</v>
      </c>
      <c r="CC290" s="319" t="s">
        <v>846</v>
      </c>
      <c r="CD290" s="319" t="s">
        <v>846</v>
      </c>
      <c r="CE290" s="319" t="s">
        <v>846</v>
      </c>
      <c r="CF290" s="319" t="s">
        <v>846</v>
      </c>
      <c r="CG290" s="319" t="s">
        <v>846</v>
      </c>
      <c r="CH290" s="319" t="s">
        <v>846</v>
      </c>
      <c r="CI290" s="338"/>
      <c r="CJ290" s="341"/>
      <c r="CK290" s="342">
        <f t="shared" si="18"/>
        <v>3.876712525</v>
      </c>
      <c r="CL290" s="333">
        <f t="shared" si="19"/>
        <v>32.73397165</v>
      </c>
      <c r="CM290" s="423"/>
      <c r="CN290" s="424"/>
      <c r="CO290" s="424"/>
      <c r="CP290" s="424"/>
    </row>
    <row r="291">
      <c r="B291" s="316"/>
      <c r="C291" s="417">
        <v>43753.0</v>
      </c>
      <c r="D291" s="319" t="s">
        <v>1120</v>
      </c>
      <c r="E291" s="319">
        <v>2.0</v>
      </c>
      <c r="F291" s="324"/>
      <c r="G291" s="321">
        <v>0.41822916666666665</v>
      </c>
      <c r="H291" s="323">
        <v>0.4236111111111111</v>
      </c>
      <c r="I291" s="323"/>
      <c r="J291" s="323"/>
      <c r="K291" s="323">
        <v>0.4239583333333333</v>
      </c>
      <c r="L291" s="322">
        <f t="shared" si="7"/>
        <v>0.005729166667</v>
      </c>
      <c r="M291" s="319" t="s">
        <v>166</v>
      </c>
      <c r="N291" s="324" t="s">
        <v>187</v>
      </c>
      <c r="O291" s="419"/>
      <c r="P291" s="319"/>
      <c r="Q291" s="318"/>
      <c r="R291" s="326">
        <v>21.1</v>
      </c>
      <c r="S291" s="319">
        <v>4.13</v>
      </c>
      <c r="T291" s="324">
        <v>2.1</v>
      </c>
      <c r="U291" s="319">
        <v>1.6</v>
      </c>
      <c r="V291" s="319"/>
      <c r="W291" s="319"/>
      <c r="X291" s="319"/>
      <c r="Y291" s="319"/>
      <c r="Z291" s="319" t="s">
        <v>370</v>
      </c>
      <c r="AA291" s="319"/>
      <c r="AB291" s="318"/>
      <c r="AC291" s="327">
        <v>10.0</v>
      </c>
      <c r="AD291" s="319"/>
      <c r="AE291" s="319"/>
      <c r="AF291" s="319"/>
      <c r="AG291" s="319"/>
      <c r="AH291" s="319"/>
      <c r="AI291" s="319"/>
      <c r="AJ291" s="327"/>
      <c r="AK291" s="328"/>
      <c r="AL291" s="319"/>
      <c r="AM291" s="319"/>
      <c r="AN291" s="319"/>
      <c r="AO291" s="319"/>
      <c r="AP291" s="319"/>
      <c r="AQ291" s="319"/>
      <c r="AR291" s="319"/>
      <c r="AS291" s="327"/>
      <c r="AT291" s="461" t="s">
        <v>182</v>
      </c>
      <c r="AU291" s="324" t="s">
        <v>845</v>
      </c>
      <c r="AV291" s="330">
        <f>SQRT(($R291-Infrastructure!J$3)^2+($S291-Infrastructure!K$3)^2)</f>
        <v>32.73397165</v>
      </c>
      <c r="AW291" s="331">
        <f>SQRT(($R291-Infrastructure!J$4)^2+($S291-Infrastructure!K$4)^2)</f>
        <v>25.39348145</v>
      </c>
      <c r="AX291" s="331">
        <f>SQRT(($R291-Infrastructure!J$5)^2+($S291-Infrastructure!K$5)^2)</f>
        <v>21.42197236</v>
      </c>
      <c r="AY291" s="331">
        <f>SQRT(($R291-Infrastructure!J$6)^2+($S291-Infrastructure!K$6)^2)</f>
        <v>11.64769934</v>
      </c>
      <c r="AZ291" s="331">
        <f>SQRT(($R291-Infrastructure!J$7)^2+($S291-Infrastructure!K$7)^2)</f>
        <v>3.876712525</v>
      </c>
      <c r="BA291" s="331">
        <f>SQRT(($R291-Infrastructure!J$8)^2+($S291-Infrastructure!K$8)^2)</f>
        <v>9.781048001</v>
      </c>
      <c r="BB291" s="331">
        <f>SQRT(($R291-Infrastructure!J$9)^2+($S291-Infrastructure!K$9)^2)</f>
        <v>18.92487516</v>
      </c>
      <c r="BC291" s="331">
        <f>SQRT(($R291-Infrastructure!J$10)^2+($S291-Infrastructure!K$10)^2)</f>
        <v>21.80291036</v>
      </c>
      <c r="BD291" s="318"/>
      <c r="BE291" s="332"/>
      <c r="BF291" s="330">
        <f t="shared" si="14"/>
        <v>3.876712525</v>
      </c>
      <c r="BG291" s="333">
        <f t="shared" si="15"/>
        <v>32.73397165</v>
      </c>
      <c r="BH291" s="334"/>
      <c r="BI291" s="316"/>
      <c r="BJ291" s="318"/>
      <c r="BK291" s="318"/>
      <c r="BL291" s="319" t="s">
        <v>846</v>
      </c>
      <c r="BM291" s="319" t="s">
        <v>846</v>
      </c>
      <c r="BN291" s="319" t="s">
        <v>846</v>
      </c>
      <c r="BO291" s="318"/>
      <c r="BP291" s="319" t="s">
        <v>846</v>
      </c>
      <c r="BQ291" s="318"/>
      <c r="BR291" s="332"/>
      <c r="BS291" s="330">
        <f t="shared" si="16"/>
        <v>3.876712525</v>
      </c>
      <c r="BT291" s="331">
        <f t="shared" si="17"/>
        <v>21.80291036</v>
      </c>
      <c r="BU291" s="331"/>
      <c r="BV291" s="333"/>
      <c r="BW291" s="330"/>
      <c r="BX291" s="331"/>
      <c r="BY291" s="331"/>
      <c r="BZ291" s="340"/>
      <c r="CA291" s="462" t="s">
        <v>846</v>
      </c>
      <c r="CB291" s="318"/>
      <c r="CC291" s="426" t="s">
        <v>846</v>
      </c>
      <c r="CD291" s="426" t="s">
        <v>846</v>
      </c>
      <c r="CE291" s="426" t="s">
        <v>846</v>
      </c>
      <c r="CF291" s="426" t="s">
        <v>846</v>
      </c>
      <c r="CG291" s="426" t="s">
        <v>846</v>
      </c>
      <c r="CH291" s="426" t="s">
        <v>846</v>
      </c>
      <c r="CI291" s="318"/>
      <c r="CJ291" s="463"/>
      <c r="CK291" s="342">
        <f t="shared" si="18"/>
        <v>3.876712525</v>
      </c>
      <c r="CL291" s="333">
        <f t="shared" si="19"/>
        <v>32.73397165</v>
      </c>
      <c r="CM291" s="423"/>
      <c r="CN291" s="424"/>
      <c r="CO291" s="424"/>
      <c r="CP291" s="424"/>
    </row>
    <row r="292">
      <c r="B292" s="316"/>
      <c r="C292" s="417">
        <v>43753.0</v>
      </c>
      <c r="D292" s="426" t="s">
        <v>1120</v>
      </c>
      <c r="E292" s="426">
        <v>2.0</v>
      </c>
      <c r="F292" s="324" t="s">
        <v>1123</v>
      </c>
      <c r="G292" s="321">
        <v>0.4239583333333333</v>
      </c>
      <c r="H292" s="323">
        <v>0.42430555555555555</v>
      </c>
      <c r="I292" s="323"/>
      <c r="J292" s="323"/>
      <c r="K292" s="323">
        <v>0.42465277777777777</v>
      </c>
      <c r="L292" s="322">
        <f t="shared" si="7"/>
        <v>0.0006944444444</v>
      </c>
      <c r="M292" s="319" t="s">
        <v>166</v>
      </c>
      <c r="N292" s="324" t="s">
        <v>187</v>
      </c>
      <c r="O292" s="419" t="s">
        <v>205</v>
      </c>
      <c r="P292" s="426" t="s">
        <v>213</v>
      </c>
      <c r="Q292" s="318"/>
      <c r="R292" s="326">
        <v>21.1</v>
      </c>
      <c r="S292" s="319">
        <v>4.13</v>
      </c>
      <c r="T292" s="324">
        <v>2.1</v>
      </c>
      <c r="U292" s="319">
        <v>1.9</v>
      </c>
      <c r="V292" s="319"/>
      <c r="W292" s="319"/>
      <c r="X292" s="319"/>
      <c r="Y292" s="319"/>
      <c r="Z292" s="319" t="s">
        <v>370</v>
      </c>
      <c r="AA292" s="319"/>
      <c r="AB292" s="318"/>
      <c r="AC292" s="327">
        <v>10.0</v>
      </c>
      <c r="AD292" s="319"/>
      <c r="AE292" s="319"/>
      <c r="AF292" s="319"/>
      <c r="AG292" s="319"/>
      <c r="AH292" s="319"/>
      <c r="AI292" s="319"/>
      <c r="AJ292" s="327"/>
      <c r="AK292" s="328"/>
      <c r="AL292" s="319"/>
      <c r="AM292" s="319"/>
      <c r="AN292" s="319"/>
      <c r="AO292" s="319"/>
      <c r="AP292" s="319"/>
      <c r="AQ292" s="319"/>
      <c r="AR292" s="319"/>
      <c r="AS292" s="327"/>
      <c r="AT292" s="461" t="s">
        <v>182</v>
      </c>
      <c r="AU292" s="324" t="s">
        <v>845</v>
      </c>
      <c r="AV292" s="330">
        <f>SQRT(($R292-Infrastructure!J$3)^2+($S292-Infrastructure!K$3)^2)</f>
        <v>32.73397165</v>
      </c>
      <c r="AW292" s="331">
        <f>SQRT(($R292-Infrastructure!J$4)^2+($S292-Infrastructure!K$4)^2)</f>
        <v>25.39348145</v>
      </c>
      <c r="AX292" s="331">
        <f>SQRT(($R292-Infrastructure!J$5)^2+($S292-Infrastructure!K$5)^2)</f>
        <v>21.42197236</v>
      </c>
      <c r="AY292" s="331">
        <f>SQRT(($R292-Infrastructure!J$6)^2+($S292-Infrastructure!K$6)^2)</f>
        <v>11.64769934</v>
      </c>
      <c r="AZ292" s="331">
        <f>SQRT(($R292-Infrastructure!J$7)^2+($S292-Infrastructure!K$7)^2)</f>
        <v>3.876712525</v>
      </c>
      <c r="BA292" s="331">
        <f>SQRT(($R292-Infrastructure!J$8)^2+($S292-Infrastructure!K$8)^2)</f>
        <v>9.781048001</v>
      </c>
      <c r="BB292" s="331">
        <f>SQRT(($R292-Infrastructure!J$9)^2+($S292-Infrastructure!K$9)^2)</f>
        <v>18.92487516</v>
      </c>
      <c r="BC292" s="331">
        <f>SQRT(($R292-Infrastructure!J$10)^2+($S292-Infrastructure!K$10)^2)</f>
        <v>21.80291036</v>
      </c>
      <c r="BD292" s="318"/>
      <c r="BE292" s="332"/>
      <c r="BF292" s="330">
        <f t="shared" si="14"/>
        <v>3.876712525</v>
      </c>
      <c r="BG292" s="333">
        <f t="shared" si="15"/>
        <v>32.73397165</v>
      </c>
      <c r="BH292" s="334"/>
      <c r="BI292" s="316"/>
      <c r="BJ292" s="318"/>
      <c r="BK292" s="318"/>
      <c r="BL292" s="319" t="s">
        <v>846</v>
      </c>
      <c r="BM292" s="319" t="s">
        <v>846</v>
      </c>
      <c r="BN292" s="319" t="s">
        <v>846</v>
      </c>
      <c r="BO292" s="318"/>
      <c r="BP292" s="319" t="s">
        <v>846</v>
      </c>
      <c r="BQ292" s="338"/>
      <c r="BR292" s="420"/>
      <c r="BS292" s="330">
        <f t="shared" si="16"/>
        <v>3.876712525</v>
      </c>
      <c r="BT292" s="331">
        <f t="shared" si="17"/>
        <v>21.80291036</v>
      </c>
      <c r="BU292" s="331"/>
      <c r="BV292" s="333"/>
      <c r="BW292" s="330"/>
      <c r="BX292" s="331"/>
      <c r="BY292" s="331"/>
      <c r="BZ292" s="340"/>
      <c r="CA292" s="462" t="s">
        <v>846</v>
      </c>
      <c r="CB292" s="318"/>
      <c r="CC292" s="426" t="s">
        <v>846</v>
      </c>
      <c r="CD292" s="426" t="s">
        <v>846</v>
      </c>
      <c r="CE292" s="426" t="s">
        <v>846</v>
      </c>
      <c r="CF292" s="426" t="s">
        <v>846</v>
      </c>
      <c r="CG292" s="426" t="s">
        <v>846</v>
      </c>
      <c r="CH292" s="426" t="s">
        <v>846</v>
      </c>
      <c r="CI292" s="338"/>
      <c r="CJ292" s="341"/>
      <c r="CK292" s="342">
        <f t="shared" si="18"/>
        <v>3.876712525</v>
      </c>
      <c r="CL292" s="333">
        <f t="shared" si="19"/>
        <v>32.73397165</v>
      </c>
      <c r="CM292" s="423"/>
      <c r="CN292" s="424"/>
      <c r="CO292" s="424"/>
      <c r="CP292" s="424"/>
    </row>
    <row r="293">
      <c r="B293" s="316"/>
      <c r="C293" s="417">
        <v>43753.0</v>
      </c>
      <c r="D293" s="426" t="s">
        <v>1120</v>
      </c>
      <c r="E293" s="426">
        <v>2.0</v>
      </c>
      <c r="F293" s="324" t="s">
        <v>1123</v>
      </c>
      <c r="G293" s="321">
        <v>0.42465277777777777</v>
      </c>
      <c r="H293" s="323">
        <v>0.425</v>
      </c>
      <c r="I293" s="323"/>
      <c r="J293" s="323"/>
      <c r="K293" s="323">
        <v>0.4253472222222222</v>
      </c>
      <c r="L293" s="322">
        <f t="shared" si="7"/>
        <v>0.0006944444444</v>
      </c>
      <c r="M293" s="319" t="s">
        <v>166</v>
      </c>
      <c r="N293" s="324" t="s">
        <v>187</v>
      </c>
      <c r="O293" s="419" t="s">
        <v>205</v>
      </c>
      <c r="P293" s="426" t="s">
        <v>213</v>
      </c>
      <c r="Q293" s="318"/>
      <c r="R293" s="326">
        <v>21.1</v>
      </c>
      <c r="S293" s="319">
        <v>4.13</v>
      </c>
      <c r="T293" s="324">
        <v>2.1</v>
      </c>
      <c r="U293" s="319">
        <v>2.1</v>
      </c>
      <c r="V293" s="319"/>
      <c r="W293" s="319"/>
      <c r="X293" s="319"/>
      <c r="Y293" s="319"/>
      <c r="Z293" s="319" t="s">
        <v>370</v>
      </c>
      <c r="AA293" s="319"/>
      <c r="AB293" s="318"/>
      <c r="AC293" s="327">
        <v>10.0</v>
      </c>
      <c r="AD293" s="319"/>
      <c r="AE293" s="319"/>
      <c r="AF293" s="319"/>
      <c r="AG293" s="319"/>
      <c r="AH293" s="319"/>
      <c r="AI293" s="319"/>
      <c r="AJ293" s="327"/>
      <c r="AK293" s="328"/>
      <c r="AL293" s="319"/>
      <c r="AM293" s="319"/>
      <c r="AN293" s="319"/>
      <c r="AO293" s="319"/>
      <c r="AP293" s="319"/>
      <c r="AQ293" s="319"/>
      <c r="AR293" s="319"/>
      <c r="AS293" s="327"/>
      <c r="AT293" s="461" t="s">
        <v>182</v>
      </c>
      <c r="AU293" s="324" t="s">
        <v>845</v>
      </c>
      <c r="AV293" s="330">
        <f>SQRT(($R293-Infrastructure!J$3)^2+($S293-Infrastructure!K$3)^2)</f>
        <v>32.73397165</v>
      </c>
      <c r="AW293" s="331">
        <f>SQRT(($R293-Infrastructure!J$4)^2+($S293-Infrastructure!K$4)^2)</f>
        <v>25.39348145</v>
      </c>
      <c r="AX293" s="331">
        <f>SQRT(($R293-Infrastructure!J$5)^2+($S293-Infrastructure!K$5)^2)</f>
        <v>21.42197236</v>
      </c>
      <c r="AY293" s="331">
        <f>SQRT(($R293-Infrastructure!J$6)^2+($S293-Infrastructure!K$6)^2)</f>
        <v>11.64769934</v>
      </c>
      <c r="AZ293" s="331">
        <f>SQRT(($R293-Infrastructure!J$7)^2+($S293-Infrastructure!K$7)^2)</f>
        <v>3.876712525</v>
      </c>
      <c r="BA293" s="331">
        <f>SQRT(($R293-Infrastructure!J$8)^2+($S293-Infrastructure!K$8)^2)</f>
        <v>9.781048001</v>
      </c>
      <c r="BB293" s="331">
        <f>SQRT(($R293-Infrastructure!J$9)^2+($S293-Infrastructure!K$9)^2)</f>
        <v>18.92487516</v>
      </c>
      <c r="BC293" s="331">
        <f>SQRT(($R293-Infrastructure!J$10)^2+($S293-Infrastructure!K$10)^2)</f>
        <v>21.80291036</v>
      </c>
      <c r="BD293" s="318"/>
      <c r="BE293" s="332"/>
      <c r="BF293" s="330">
        <f t="shared" si="14"/>
        <v>3.876712525</v>
      </c>
      <c r="BG293" s="333">
        <f t="shared" si="15"/>
        <v>32.73397165</v>
      </c>
      <c r="BH293" s="334"/>
      <c r="BI293" s="316"/>
      <c r="BJ293" s="318"/>
      <c r="BK293" s="318"/>
      <c r="BL293" s="319" t="s">
        <v>846</v>
      </c>
      <c r="BM293" s="319" t="s">
        <v>846</v>
      </c>
      <c r="BN293" s="319" t="s">
        <v>846</v>
      </c>
      <c r="BO293" s="318"/>
      <c r="BP293" s="319" t="s">
        <v>846</v>
      </c>
      <c r="BQ293" s="338"/>
      <c r="BR293" s="420"/>
      <c r="BS293" s="330">
        <f t="shared" si="16"/>
        <v>3.876712525</v>
      </c>
      <c r="BT293" s="331">
        <f t="shared" si="17"/>
        <v>21.80291036</v>
      </c>
      <c r="BU293" s="331"/>
      <c r="BV293" s="333"/>
      <c r="BW293" s="330"/>
      <c r="BX293" s="331"/>
      <c r="BY293" s="331"/>
      <c r="BZ293" s="340"/>
      <c r="CA293" s="462" t="s">
        <v>846</v>
      </c>
      <c r="CB293" s="318"/>
      <c r="CC293" s="426" t="s">
        <v>846</v>
      </c>
      <c r="CD293" s="426" t="s">
        <v>846</v>
      </c>
      <c r="CE293" s="426" t="s">
        <v>846</v>
      </c>
      <c r="CF293" s="426" t="s">
        <v>846</v>
      </c>
      <c r="CG293" s="426" t="s">
        <v>846</v>
      </c>
      <c r="CH293" s="426" t="s">
        <v>846</v>
      </c>
      <c r="CI293" s="338"/>
      <c r="CJ293" s="341"/>
      <c r="CK293" s="342">
        <f t="shared" si="18"/>
        <v>3.876712525</v>
      </c>
      <c r="CL293" s="333">
        <f t="shared" si="19"/>
        <v>32.73397165</v>
      </c>
      <c r="CM293" s="423"/>
      <c r="CN293" s="424"/>
      <c r="CO293" s="424"/>
      <c r="CP293" s="424"/>
    </row>
    <row r="294">
      <c r="B294" s="316"/>
      <c r="C294" s="417">
        <v>43753.0</v>
      </c>
      <c r="D294" s="426" t="s">
        <v>1120</v>
      </c>
      <c r="E294" s="426">
        <v>2.0</v>
      </c>
      <c r="F294" s="324" t="s">
        <v>1123</v>
      </c>
      <c r="G294" s="321">
        <v>0.4253472222222222</v>
      </c>
      <c r="H294" s="323">
        <v>0.42569444444444443</v>
      </c>
      <c r="I294" s="323"/>
      <c r="J294" s="323"/>
      <c r="K294" s="323">
        <v>0.42604166666666665</v>
      </c>
      <c r="L294" s="322">
        <f t="shared" si="7"/>
        <v>0.0006944444444</v>
      </c>
      <c r="M294" s="319" t="s">
        <v>166</v>
      </c>
      <c r="N294" s="324" t="s">
        <v>187</v>
      </c>
      <c r="O294" s="419" t="s">
        <v>205</v>
      </c>
      <c r="P294" s="426" t="s">
        <v>213</v>
      </c>
      <c r="Q294" s="318"/>
      <c r="R294" s="326">
        <v>21.1</v>
      </c>
      <c r="S294" s="319">
        <v>4.13</v>
      </c>
      <c r="T294" s="324">
        <v>2.1</v>
      </c>
      <c r="U294" s="319">
        <v>2.5</v>
      </c>
      <c r="V294" s="319"/>
      <c r="W294" s="319"/>
      <c r="X294" s="319"/>
      <c r="Y294" s="319"/>
      <c r="Z294" s="319" t="s">
        <v>370</v>
      </c>
      <c r="AA294" s="319"/>
      <c r="AB294" s="318"/>
      <c r="AC294" s="327">
        <v>10.0</v>
      </c>
      <c r="AD294" s="319"/>
      <c r="AE294" s="319"/>
      <c r="AF294" s="319"/>
      <c r="AG294" s="319"/>
      <c r="AH294" s="319"/>
      <c r="AI294" s="319"/>
      <c r="AJ294" s="327"/>
      <c r="AK294" s="328"/>
      <c r="AL294" s="319"/>
      <c r="AM294" s="319"/>
      <c r="AN294" s="319"/>
      <c r="AO294" s="319"/>
      <c r="AP294" s="319"/>
      <c r="AQ294" s="319"/>
      <c r="AR294" s="319"/>
      <c r="AS294" s="327"/>
      <c r="AT294" s="461" t="s">
        <v>182</v>
      </c>
      <c r="AU294" s="324" t="s">
        <v>845</v>
      </c>
      <c r="AV294" s="330">
        <f>SQRT(($R294-Infrastructure!J$3)^2+($S294-Infrastructure!K$3)^2)</f>
        <v>32.73397165</v>
      </c>
      <c r="AW294" s="331">
        <f>SQRT(($R294-Infrastructure!J$4)^2+($S294-Infrastructure!K$4)^2)</f>
        <v>25.39348145</v>
      </c>
      <c r="AX294" s="331">
        <f>SQRT(($R294-Infrastructure!J$5)^2+($S294-Infrastructure!K$5)^2)</f>
        <v>21.42197236</v>
      </c>
      <c r="AY294" s="331">
        <f>SQRT(($R294-Infrastructure!J$6)^2+($S294-Infrastructure!K$6)^2)</f>
        <v>11.64769934</v>
      </c>
      <c r="AZ294" s="331">
        <f>SQRT(($R294-Infrastructure!J$7)^2+($S294-Infrastructure!K$7)^2)</f>
        <v>3.876712525</v>
      </c>
      <c r="BA294" s="331">
        <f>SQRT(($R294-Infrastructure!J$8)^2+($S294-Infrastructure!K$8)^2)</f>
        <v>9.781048001</v>
      </c>
      <c r="BB294" s="331">
        <f>SQRT(($R294-Infrastructure!J$9)^2+($S294-Infrastructure!K$9)^2)</f>
        <v>18.92487516</v>
      </c>
      <c r="BC294" s="331">
        <f>SQRT(($R294-Infrastructure!J$10)^2+($S294-Infrastructure!K$10)^2)</f>
        <v>21.80291036</v>
      </c>
      <c r="BD294" s="318"/>
      <c r="BE294" s="332"/>
      <c r="BF294" s="330">
        <f t="shared" si="14"/>
        <v>3.876712525</v>
      </c>
      <c r="BG294" s="333">
        <f t="shared" si="15"/>
        <v>32.73397165</v>
      </c>
      <c r="BH294" s="334"/>
      <c r="BI294" s="316"/>
      <c r="BJ294" s="318"/>
      <c r="BK294" s="318"/>
      <c r="BL294" s="319" t="s">
        <v>846</v>
      </c>
      <c r="BM294" s="319" t="s">
        <v>846</v>
      </c>
      <c r="BN294" s="319" t="s">
        <v>846</v>
      </c>
      <c r="BO294" s="318"/>
      <c r="BP294" s="319" t="s">
        <v>846</v>
      </c>
      <c r="BQ294" s="338"/>
      <c r="BR294" s="420"/>
      <c r="BS294" s="330">
        <f t="shared" si="16"/>
        <v>3.876712525</v>
      </c>
      <c r="BT294" s="331">
        <f t="shared" si="17"/>
        <v>21.80291036</v>
      </c>
      <c r="BU294" s="331"/>
      <c r="BV294" s="333"/>
      <c r="BW294" s="330"/>
      <c r="BX294" s="331"/>
      <c r="BY294" s="331"/>
      <c r="BZ294" s="340"/>
      <c r="CA294" s="462" t="s">
        <v>846</v>
      </c>
      <c r="CB294" s="319" t="s">
        <v>846</v>
      </c>
      <c r="CC294" s="426" t="s">
        <v>846</v>
      </c>
      <c r="CD294" s="426" t="s">
        <v>846</v>
      </c>
      <c r="CE294" s="426" t="s">
        <v>846</v>
      </c>
      <c r="CF294" s="426" t="s">
        <v>846</v>
      </c>
      <c r="CG294" s="426" t="s">
        <v>846</v>
      </c>
      <c r="CH294" s="426" t="s">
        <v>846</v>
      </c>
      <c r="CI294" s="338"/>
      <c r="CJ294" s="341"/>
      <c r="CK294" s="342">
        <f t="shared" si="18"/>
        <v>3.876712525</v>
      </c>
      <c r="CL294" s="333">
        <f t="shared" si="19"/>
        <v>32.73397165</v>
      </c>
      <c r="CM294" s="423"/>
      <c r="CN294" s="424"/>
      <c r="CO294" s="424"/>
      <c r="CP294" s="424"/>
    </row>
    <row r="295">
      <c r="B295" s="316"/>
      <c r="C295" s="417">
        <v>43753.0</v>
      </c>
      <c r="D295" s="426" t="s">
        <v>1120</v>
      </c>
      <c r="E295" s="426">
        <v>2.0</v>
      </c>
      <c r="F295" s="324" t="s">
        <v>1123</v>
      </c>
      <c r="G295" s="321">
        <v>0.42604166666666665</v>
      </c>
      <c r="H295" s="323">
        <v>0.4263888888888889</v>
      </c>
      <c r="I295" s="323"/>
      <c r="J295" s="323"/>
      <c r="K295" s="323">
        <v>0.4267361111111111</v>
      </c>
      <c r="L295" s="322">
        <f t="shared" si="7"/>
        <v>0.0006944444444</v>
      </c>
      <c r="M295" s="319" t="s">
        <v>166</v>
      </c>
      <c r="N295" s="324" t="s">
        <v>187</v>
      </c>
      <c r="O295" s="419" t="s">
        <v>205</v>
      </c>
      <c r="P295" s="426" t="s">
        <v>213</v>
      </c>
      <c r="Q295" s="318"/>
      <c r="R295" s="326">
        <v>21.1</v>
      </c>
      <c r="S295" s="319">
        <v>4.13</v>
      </c>
      <c r="T295" s="324">
        <v>2.1</v>
      </c>
      <c r="U295" s="319">
        <v>3.0</v>
      </c>
      <c r="V295" s="319"/>
      <c r="W295" s="319"/>
      <c r="X295" s="319"/>
      <c r="Y295" s="319"/>
      <c r="Z295" s="319" t="s">
        <v>370</v>
      </c>
      <c r="AA295" s="319"/>
      <c r="AB295" s="318"/>
      <c r="AC295" s="327">
        <v>10.0</v>
      </c>
      <c r="AD295" s="319"/>
      <c r="AE295" s="319"/>
      <c r="AF295" s="319"/>
      <c r="AG295" s="319"/>
      <c r="AH295" s="319"/>
      <c r="AI295" s="319"/>
      <c r="AJ295" s="327"/>
      <c r="AK295" s="328"/>
      <c r="AL295" s="319"/>
      <c r="AM295" s="319"/>
      <c r="AN295" s="319"/>
      <c r="AO295" s="319"/>
      <c r="AP295" s="319"/>
      <c r="AQ295" s="319"/>
      <c r="AR295" s="319"/>
      <c r="AS295" s="327"/>
      <c r="AT295" s="461" t="s">
        <v>182</v>
      </c>
      <c r="AU295" s="324" t="s">
        <v>845</v>
      </c>
      <c r="AV295" s="330">
        <f>SQRT(($R295-Infrastructure!J$3)^2+($S295-Infrastructure!K$3)^2)</f>
        <v>32.73397165</v>
      </c>
      <c r="AW295" s="331">
        <f>SQRT(($R295-Infrastructure!J$4)^2+($S295-Infrastructure!K$4)^2)</f>
        <v>25.39348145</v>
      </c>
      <c r="AX295" s="331">
        <f>SQRT(($R295-Infrastructure!J$5)^2+($S295-Infrastructure!K$5)^2)</f>
        <v>21.42197236</v>
      </c>
      <c r="AY295" s="331">
        <f>SQRT(($R295-Infrastructure!J$6)^2+($S295-Infrastructure!K$6)^2)</f>
        <v>11.64769934</v>
      </c>
      <c r="AZ295" s="331">
        <f>SQRT(($R295-Infrastructure!J$7)^2+($S295-Infrastructure!K$7)^2)</f>
        <v>3.876712525</v>
      </c>
      <c r="BA295" s="331">
        <f>SQRT(($R295-Infrastructure!J$8)^2+($S295-Infrastructure!K$8)^2)</f>
        <v>9.781048001</v>
      </c>
      <c r="BB295" s="331">
        <f>SQRT(($R295-Infrastructure!J$9)^2+($S295-Infrastructure!K$9)^2)</f>
        <v>18.92487516</v>
      </c>
      <c r="BC295" s="331">
        <f>SQRT(($R295-Infrastructure!J$10)^2+($S295-Infrastructure!K$10)^2)</f>
        <v>21.80291036</v>
      </c>
      <c r="BD295" s="318"/>
      <c r="BE295" s="332"/>
      <c r="BF295" s="330">
        <f t="shared" si="14"/>
        <v>3.876712525</v>
      </c>
      <c r="BG295" s="333">
        <f t="shared" si="15"/>
        <v>32.73397165</v>
      </c>
      <c r="BH295" s="334"/>
      <c r="BI295" s="316"/>
      <c r="BJ295" s="318"/>
      <c r="BK295" s="318"/>
      <c r="BL295" s="319" t="s">
        <v>846</v>
      </c>
      <c r="BM295" s="319" t="s">
        <v>846</v>
      </c>
      <c r="BN295" s="319" t="s">
        <v>846</v>
      </c>
      <c r="BO295" s="318"/>
      <c r="BP295" s="319" t="s">
        <v>846</v>
      </c>
      <c r="BQ295" s="338"/>
      <c r="BR295" s="420"/>
      <c r="BS295" s="330">
        <f t="shared" si="16"/>
        <v>3.876712525</v>
      </c>
      <c r="BT295" s="331">
        <f t="shared" si="17"/>
        <v>21.80291036</v>
      </c>
      <c r="BU295" s="331"/>
      <c r="BV295" s="333"/>
      <c r="BW295" s="330"/>
      <c r="BX295" s="331"/>
      <c r="BY295" s="331"/>
      <c r="BZ295" s="340"/>
      <c r="CA295" s="462" t="s">
        <v>846</v>
      </c>
      <c r="CB295" s="319" t="s">
        <v>846</v>
      </c>
      <c r="CC295" s="426" t="s">
        <v>846</v>
      </c>
      <c r="CD295" s="426" t="s">
        <v>846</v>
      </c>
      <c r="CE295" s="426" t="s">
        <v>846</v>
      </c>
      <c r="CF295" s="426" t="s">
        <v>846</v>
      </c>
      <c r="CG295" s="426" t="s">
        <v>846</v>
      </c>
      <c r="CH295" s="426" t="s">
        <v>846</v>
      </c>
      <c r="CI295" s="338"/>
      <c r="CJ295" s="341"/>
      <c r="CK295" s="342">
        <f t="shared" si="18"/>
        <v>3.876712525</v>
      </c>
      <c r="CL295" s="333">
        <f t="shared" si="19"/>
        <v>32.73397165</v>
      </c>
      <c r="CM295" s="423"/>
      <c r="CN295" s="424"/>
      <c r="CO295" s="424"/>
      <c r="CP295" s="424"/>
    </row>
    <row r="296">
      <c r="B296" s="316"/>
      <c r="C296" s="417">
        <v>43753.0</v>
      </c>
      <c r="D296" s="426" t="s">
        <v>1120</v>
      </c>
      <c r="E296" s="426">
        <v>2.0</v>
      </c>
      <c r="F296" s="324" t="s">
        <v>1123</v>
      </c>
      <c r="G296" s="321">
        <v>0.4267361111111111</v>
      </c>
      <c r="H296" s="323">
        <v>0.42725694444444445</v>
      </c>
      <c r="I296" s="323"/>
      <c r="J296" s="323"/>
      <c r="K296" s="323">
        <v>0.4276041666666667</v>
      </c>
      <c r="L296" s="322">
        <f t="shared" si="7"/>
        <v>0.0008680555556</v>
      </c>
      <c r="M296" s="319" t="s">
        <v>166</v>
      </c>
      <c r="N296" s="324" t="s">
        <v>187</v>
      </c>
      <c r="O296" s="419" t="s">
        <v>205</v>
      </c>
      <c r="P296" s="426" t="s">
        <v>213</v>
      </c>
      <c r="Q296" s="318"/>
      <c r="R296" s="326">
        <v>21.1</v>
      </c>
      <c r="S296" s="319">
        <v>4.13</v>
      </c>
      <c r="T296" s="324">
        <v>2.1</v>
      </c>
      <c r="U296" s="319">
        <v>3.6</v>
      </c>
      <c r="V296" s="319"/>
      <c r="W296" s="319"/>
      <c r="X296" s="319"/>
      <c r="Y296" s="319"/>
      <c r="Z296" s="319" t="s">
        <v>370</v>
      </c>
      <c r="AA296" s="319"/>
      <c r="AB296" s="318"/>
      <c r="AC296" s="327">
        <v>10.0</v>
      </c>
      <c r="AD296" s="319"/>
      <c r="AE296" s="319"/>
      <c r="AF296" s="319"/>
      <c r="AG296" s="319"/>
      <c r="AH296" s="319"/>
      <c r="AI296" s="319"/>
      <c r="AJ296" s="327"/>
      <c r="AK296" s="328"/>
      <c r="AL296" s="319"/>
      <c r="AM296" s="319"/>
      <c r="AN296" s="319"/>
      <c r="AO296" s="319"/>
      <c r="AP296" s="319"/>
      <c r="AQ296" s="319"/>
      <c r="AR296" s="319"/>
      <c r="AS296" s="327"/>
      <c r="AT296" s="461" t="s">
        <v>182</v>
      </c>
      <c r="AU296" s="324" t="s">
        <v>845</v>
      </c>
      <c r="AV296" s="330">
        <f>SQRT(($R296-Infrastructure!J$3)^2+($S296-Infrastructure!K$3)^2)</f>
        <v>32.73397165</v>
      </c>
      <c r="AW296" s="331">
        <f>SQRT(($R296-Infrastructure!J$4)^2+($S296-Infrastructure!K$4)^2)</f>
        <v>25.39348145</v>
      </c>
      <c r="AX296" s="331">
        <f>SQRT(($R296-Infrastructure!J$5)^2+($S296-Infrastructure!K$5)^2)</f>
        <v>21.42197236</v>
      </c>
      <c r="AY296" s="331">
        <f>SQRT(($R296-Infrastructure!J$6)^2+($S296-Infrastructure!K$6)^2)</f>
        <v>11.64769934</v>
      </c>
      <c r="AZ296" s="331">
        <f>SQRT(($R296-Infrastructure!J$7)^2+($S296-Infrastructure!K$7)^2)</f>
        <v>3.876712525</v>
      </c>
      <c r="BA296" s="331">
        <f>SQRT(($R296-Infrastructure!J$8)^2+($S296-Infrastructure!K$8)^2)</f>
        <v>9.781048001</v>
      </c>
      <c r="BB296" s="331">
        <f>SQRT(($R296-Infrastructure!J$9)^2+($S296-Infrastructure!K$9)^2)</f>
        <v>18.92487516</v>
      </c>
      <c r="BC296" s="331">
        <f>SQRT(($R296-Infrastructure!J$10)^2+($S296-Infrastructure!K$10)^2)</f>
        <v>21.80291036</v>
      </c>
      <c r="BD296" s="318"/>
      <c r="BE296" s="332"/>
      <c r="BF296" s="330">
        <f t="shared" si="14"/>
        <v>3.876712525</v>
      </c>
      <c r="BG296" s="333">
        <f t="shared" si="15"/>
        <v>32.73397165</v>
      </c>
      <c r="BH296" s="334"/>
      <c r="BI296" s="316"/>
      <c r="BJ296" s="318"/>
      <c r="BK296" s="318"/>
      <c r="BL296" s="319" t="s">
        <v>846</v>
      </c>
      <c r="BM296" s="319" t="s">
        <v>846</v>
      </c>
      <c r="BN296" s="319" t="s">
        <v>846</v>
      </c>
      <c r="BO296" s="318"/>
      <c r="BP296" s="319" t="s">
        <v>846</v>
      </c>
      <c r="BQ296" s="338"/>
      <c r="BR296" s="420"/>
      <c r="BS296" s="330">
        <f t="shared" si="16"/>
        <v>3.876712525</v>
      </c>
      <c r="BT296" s="331">
        <f t="shared" si="17"/>
        <v>21.80291036</v>
      </c>
      <c r="BU296" s="331"/>
      <c r="BV296" s="333"/>
      <c r="BW296" s="330"/>
      <c r="BX296" s="331"/>
      <c r="BY296" s="331"/>
      <c r="BZ296" s="340"/>
      <c r="CA296" s="462" t="s">
        <v>846</v>
      </c>
      <c r="CB296" s="319" t="s">
        <v>846</v>
      </c>
      <c r="CC296" s="426" t="s">
        <v>846</v>
      </c>
      <c r="CD296" s="426" t="s">
        <v>846</v>
      </c>
      <c r="CE296" s="426" t="s">
        <v>846</v>
      </c>
      <c r="CF296" s="426" t="s">
        <v>846</v>
      </c>
      <c r="CG296" s="426" t="s">
        <v>846</v>
      </c>
      <c r="CH296" s="426" t="s">
        <v>846</v>
      </c>
      <c r="CI296" s="338"/>
      <c r="CJ296" s="341"/>
      <c r="CK296" s="342">
        <f t="shared" si="18"/>
        <v>3.876712525</v>
      </c>
      <c r="CL296" s="333">
        <f t="shared" si="19"/>
        <v>32.73397165</v>
      </c>
      <c r="CM296" s="423"/>
      <c r="CN296" s="424"/>
      <c r="CO296" s="424"/>
      <c r="CP296" s="424"/>
    </row>
    <row r="297">
      <c r="B297" s="316"/>
      <c r="C297" s="417">
        <v>43753.0</v>
      </c>
      <c r="D297" s="426" t="s">
        <v>1120</v>
      </c>
      <c r="E297" s="426">
        <v>2.0</v>
      </c>
      <c r="F297" s="324" t="s">
        <v>1123</v>
      </c>
      <c r="G297" s="321">
        <v>0.4276041666666667</v>
      </c>
      <c r="H297" s="323">
        <v>0.428125</v>
      </c>
      <c r="I297" s="323"/>
      <c r="J297" s="323"/>
      <c r="K297" s="323">
        <v>0.4284722222222222</v>
      </c>
      <c r="L297" s="322">
        <f t="shared" si="7"/>
        <v>0.0008680555556</v>
      </c>
      <c r="M297" s="319" t="s">
        <v>166</v>
      </c>
      <c r="N297" s="324" t="s">
        <v>187</v>
      </c>
      <c r="O297" s="419" t="s">
        <v>205</v>
      </c>
      <c r="P297" s="426" t="s">
        <v>213</v>
      </c>
      <c r="Q297" s="318"/>
      <c r="R297" s="326">
        <v>21.1</v>
      </c>
      <c r="S297" s="319">
        <v>4.13</v>
      </c>
      <c r="T297" s="324">
        <v>2.1</v>
      </c>
      <c r="U297" s="319">
        <v>4.2</v>
      </c>
      <c r="V297" s="319"/>
      <c r="W297" s="319"/>
      <c r="X297" s="319"/>
      <c r="Y297" s="319"/>
      <c r="Z297" s="319" t="s">
        <v>370</v>
      </c>
      <c r="AA297" s="319"/>
      <c r="AB297" s="318"/>
      <c r="AC297" s="327">
        <v>10.0</v>
      </c>
      <c r="AD297" s="319"/>
      <c r="AE297" s="319"/>
      <c r="AF297" s="319"/>
      <c r="AG297" s="319"/>
      <c r="AH297" s="319"/>
      <c r="AI297" s="319"/>
      <c r="AJ297" s="327"/>
      <c r="AK297" s="328"/>
      <c r="AL297" s="319"/>
      <c r="AM297" s="319"/>
      <c r="AN297" s="319"/>
      <c r="AO297" s="319"/>
      <c r="AP297" s="319"/>
      <c r="AQ297" s="319"/>
      <c r="AR297" s="319"/>
      <c r="AS297" s="327"/>
      <c r="AT297" s="461" t="s">
        <v>182</v>
      </c>
      <c r="AU297" s="324" t="s">
        <v>845</v>
      </c>
      <c r="AV297" s="330">
        <f>SQRT(($R297-Infrastructure!J$3)^2+($S297-Infrastructure!K$3)^2)</f>
        <v>32.73397165</v>
      </c>
      <c r="AW297" s="331">
        <f>SQRT(($R297-Infrastructure!J$4)^2+($S297-Infrastructure!K$4)^2)</f>
        <v>25.39348145</v>
      </c>
      <c r="AX297" s="331">
        <f>SQRT(($R297-Infrastructure!J$5)^2+($S297-Infrastructure!K$5)^2)</f>
        <v>21.42197236</v>
      </c>
      <c r="AY297" s="331">
        <f>SQRT(($R297-Infrastructure!J$6)^2+($S297-Infrastructure!K$6)^2)</f>
        <v>11.64769934</v>
      </c>
      <c r="AZ297" s="331">
        <f>SQRT(($R297-Infrastructure!J$7)^2+($S297-Infrastructure!K$7)^2)</f>
        <v>3.876712525</v>
      </c>
      <c r="BA297" s="331">
        <f>SQRT(($R297-Infrastructure!J$8)^2+($S297-Infrastructure!K$8)^2)</f>
        <v>9.781048001</v>
      </c>
      <c r="BB297" s="331">
        <f>SQRT(($R297-Infrastructure!J$9)^2+($S297-Infrastructure!K$9)^2)</f>
        <v>18.92487516</v>
      </c>
      <c r="BC297" s="331">
        <f>SQRT(($R297-Infrastructure!J$10)^2+($S297-Infrastructure!K$10)^2)</f>
        <v>21.80291036</v>
      </c>
      <c r="BD297" s="318"/>
      <c r="BE297" s="332"/>
      <c r="BF297" s="330">
        <f t="shared" si="14"/>
        <v>3.876712525</v>
      </c>
      <c r="BG297" s="333">
        <f t="shared" si="15"/>
        <v>32.73397165</v>
      </c>
      <c r="BH297" s="334"/>
      <c r="BI297" s="316"/>
      <c r="BJ297" s="318"/>
      <c r="BK297" s="318"/>
      <c r="BL297" s="319" t="s">
        <v>846</v>
      </c>
      <c r="BM297" s="319" t="s">
        <v>846</v>
      </c>
      <c r="BN297" s="319" t="s">
        <v>846</v>
      </c>
      <c r="BO297" s="318"/>
      <c r="BP297" s="319" t="s">
        <v>846</v>
      </c>
      <c r="BQ297" s="338"/>
      <c r="BR297" s="420"/>
      <c r="BS297" s="330">
        <f t="shared" si="16"/>
        <v>3.876712525</v>
      </c>
      <c r="BT297" s="331">
        <f t="shared" si="17"/>
        <v>21.80291036</v>
      </c>
      <c r="BU297" s="331"/>
      <c r="BV297" s="333"/>
      <c r="BW297" s="330"/>
      <c r="BX297" s="331"/>
      <c r="BY297" s="331"/>
      <c r="BZ297" s="340"/>
      <c r="CA297" s="462" t="s">
        <v>846</v>
      </c>
      <c r="CB297" s="319" t="s">
        <v>846</v>
      </c>
      <c r="CC297" s="426" t="s">
        <v>846</v>
      </c>
      <c r="CD297" s="426" t="s">
        <v>846</v>
      </c>
      <c r="CE297" s="426" t="s">
        <v>846</v>
      </c>
      <c r="CF297" s="426" t="s">
        <v>846</v>
      </c>
      <c r="CG297" s="426" t="s">
        <v>846</v>
      </c>
      <c r="CH297" s="426" t="s">
        <v>846</v>
      </c>
      <c r="CI297" s="338"/>
      <c r="CJ297" s="341"/>
      <c r="CK297" s="342">
        <f t="shared" si="18"/>
        <v>3.876712525</v>
      </c>
      <c r="CL297" s="333">
        <f t="shared" si="19"/>
        <v>32.73397165</v>
      </c>
      <c r="CM297" s="423"/>
      <c r="CN297" s="424"/>
      <c r="CO297" s="424"/>
      <c r="CP297" s="424"/>
    </row>
    <row r="298">
      <c r="B298" s="316"/>
      <c r="C298" s="417">
        <v>43753.0</v>
      </c>
      <c r="D298" s="426" t="s">
        <v>1120</v>
      </c>
      <c r="E298" s="426">
        <v>2.0</v>
      </c>
      <c r="F298" s="324" t="s">
        <v>1123</v>
      </c>
      <c r="G298" s="321">
        <v>0.4284722222222222</v>
      </c>
      <c r="H298" s="323">
        <v>0.42864583333333334</v>
      </c>
      <c r="I298" s="323"/>
      <c r="J298" s="323"/>
      <c r="K298" s="323">
        <v>0.42939814814814814</v>
      </c>
      <c r="L298" s="322">
        <f t="shared" si="7"/>
        <v>0.0009259259259</v>
      </c>
      <c r="M298" s="319" t="s">
        <v>166</v>
      </c>
      <c r="N298" s="324" t="s">
        <v>187</v>
      </c>
      <c r="O298" s="419" t="s">
        <v>205</v>
      </c>
      <c r="P298" s="426" t="s">
        <v>213</v>
      </c>
      <c r="Q298" s="318"/>
      <c r="R298" s="326">
        <v>21.1</v>
      </c>
      <c r="S298" s="319">
        <v>4.13</v>
      </c>
      <c r="T298" s="324">
        <v>2.1</v>
      </c>
      <c r="U298" s="319">
        <v>4.8</v>
      </c>
      <c r="V298" s="319"/>
      <c r="W298" s="319"/>
      <c r="X298" s="319"/>
      <c r="Y298" s="319"/>
      <c r="Z298" s="319" t="s">
        <v>370</v>
      </c>
      <c r="AA298" s="319"/>
      <c r="AB298" s="318"/>
      <c r="AC298" s="327">
        <v>10.0</v>
      </c>
      <c r="AD298" s="319"/>
      <c r="AE298" s="319"/>
      <c r="AF298" s="319"/>
      <c r="AG298" s="319"/>
      <c r="AH298" s="319"/>
      <c r="AI298" s="319"/>
      <c r="AJ298" s="327"/>
      <c r="AK298" s="328"/>
      <c r="AL298" s="319"/>
      <c r="AM298" s="319"/>
      <c r="AN298" s="319"/>
      <c r="AO298" s="319"/>
      <c r="AP298" s="319"/>
      <c r="AQ298" s="319"/>
      <c r="AR298" s="319"/>
      <c r="AS298" s="327"/>
      <c r="AT298" s="461" t="s">
        <v>182</v>
      </c>
      <c r="AU298" s="324" t="s">
        <v>845</v>
      </c>
      <c r="AV298" s="330">
        <f>SQRT(($R298-Infrastructure!J$3)^2+($S298-Infrastructure!K$3)^2)</f>
        <v>32.73397165</v>
      </c>
      <c r="AW298" s="331">
        <f>SQRT(($R298-Infrastructure!J$4)^2+($S298-Infrastructure!K$4)^2)</f>
        <v>25.39348145</v>
      </c>
      <c r="AX298" s="331">
        <f>SQRT(($R298-Infrastructure!J$5)^2+($S298-Infrastructure!K$5)^2)</f>
        <v>21.42197236</v>
      </c>
      <c r="AY298" s="331">
        <f>SQRT(($R298-Infrastructure!J$6)^2+($S298-Infrastructure!K$6)^2)</f>
        <v>11.64769934</v>
      </c>
      <c r="AZ298" s="331">
        <f>SQRT(($R298-Infrastructure!J$7)^2+($S298-Infrastructure!K$7)^2)</f>
        <v>3.876712525</v>
      </c>
      <c r="BA298" s="331">
        <f>SQRT(($R298-Infrastructure!J$8)^2+($S298-Infrastructure!K$8)^2)</f>
        <v>9.781048001</v>
      </c>
      <c r="BB298" s="331">
        <f>SQRT(($R298-Infrastructure!J$9)^2+($S298-Infrastructure!K$9)^2)</f>
        <v>18.92487516</v>
      </c>
      <c r="BC298" s="331">
        <f>SQRT(($R298-Infrastructure!J$10)^2+($S298-Infrastructure!K$10)^2)</f>
        <v>21.80291036</v>
      </c>
      <c r="BD298" s="318"/>
      <c r="BE298" s="332"/>
      <c r="BF298" s="330">
        <f t="shared" si="14"/>
        <v>3.876712525</v>
      </c>
      <c r="BG298" s="333">
        <f t="shared" si="15"/>
        <v>32.73397165</v>
      </c>
      <c r="BH298" s="334"/>
      <c r="BI298" s="316"/>
      <c r="BJ298" s="318"/>
      <c r="BK298" s="318"/>
      <c r="BL298" s="319" t="s">
        <v>846</v>
      </c>
      <c r="BM298" s="319" t="s">
        <v>846</v>
      </c>
      <c r="BN298" s="319" t="s">
        <v>846</v>
      </c>
      <c r="BO298" s="318"/>
      <c r="BP298" s="319" t="s">
        <v>846</v>
      </c>
      <c r="BQ298" s="338"/>
      <c r="BR298" s="420"/>
      <c r="BS298" s="330">
        <f t="shared" si="16"/>
        <v>3.876712525</v>
      </c>
      <c r="BT298" s="331">
        <f t="shared" si="17"/>
        <v>21.80291036</v>
      </c>
      <c r="BU298" s="331"/>
      <c r="BV298" s="333"/>
      <c r="BW298" s="330"/>
      <c r="BX298" s="331"/>
      <c r="BY298" s="331"/>
      <c r="BZ298" s="340"/>
      <c r="CA298" s="462" t="s">
        <v>846</v>
      </c>
      <c r="CB298" s="319" t="s">
        <v>846</v>
      </c>
      <c r="CC298" s="426" t="s">
        <v>846</v>
      </c>
      <c r="CD298" s="426" t="s">
        <v>846</v>
      </c>
      <c r="CE298" s="426" t="s">
        <v>846</v>
      </c>
      <c r="CF298" s="426" t="s">
        <v>846</v>
      </c>
      <c r="CG298" s="426" t="s">
        <v>846</v>
      </c>
      <c r="CH298" s="426" t="s">
        <v>846</v>
      </c>
      <c r="CI298" s="338"/>
      <c r="CJ298" s="341"/>
      <c r="CK298" s="342">
        <f t="shared" si="18"/>
        <v>3.876712525</v>
      </c>
      <c r="CL298" s="333">
        <f t="shared" si="19"/>
        <v>32.73397165</v>
      </c>
      <c r="CM298" s="421" t="s">
        <v>1124</v>
      </c>
      <c r="CN298" s="416"/>
      <c r="CO298" s="416"/>
      <c r="CP298" s="416"/>
    </row>
    <row r="299">
      <c r="B299" s="316"/>
      <c r="C299" s="417">
        <v>43753.0</v>
      </c>
      <c r="D299" s="319" t="s">
        <v>1125</v>
      </c>
      <c r="E299" s="319">
        <v>3.0</v>
      </c>
      <c r="F299" s="332"/>
      <c r="G299" s="321">
        <v>0.4404513888888889</v>
      </c>
      <c r="H299" s="323">
        <v>0.4404513888888889</v>
      </c>
      <c r="I299" s="323"/>
      <c r="J299" s="323"/>
      <c r="K299" s="323">
        <v>0.4418402777777778</v>
      </c>
      <c r="L299" s="322">
        <f t="shared" si="7"/>
        <v>0.001388888889</v>
      </c>
      <c r="M299" s="319" t="s">
        <v>166</v>
      </c>
      <c r="N299" s="324" t="s">
        <v>187</v>
      </c>
      <c r="O299" s="419" t="s">
        <v>200</v>
      </c>
      <c r="P299" s="319" t="s">
        <v>239</v>
      </c>
      <c r="Q299" s="318"/>
      <c r="R299" s="326">
        <v>17.0</v>
      </c>
      <c r="S299" s="319">
        <v>7.0</v>
      </c>
      <c r="T299" s="332"/>
      <c r="U299" s="319">
        <v>7.5</v>
      </c>
      <c r="V299" s="319"/>
      <c r="W299" s="319"/>
      <c r="X299" s="319"/>
      <c r="Y299" s="319"/>
      <c r="Z299" s="319" t="s">
        <v>318</v>
      </c>
      <c r="AA299" s="319"/>
      <c r="AB299" s="318"/>
      <c r="AC299" s="327">
        <v>5.0</v>
      </c>
      <c r="AD299" s="319"/>
      <c r="AE299" s="319"/>
      <c r="AF299" s="319"/>
      <c r="AG299" s="319"/>
      <c r="AH299" s="319"/>
      <c r="AI299" s="319"/>
      <c r="AJ299" s="327"/>
      <c r="AK299" s="328"/>
      <c r="AL299" s="319"/>
      <c r="AM299" s="319"/>
      <c r="AN299" s="319"/>
      <c r="AO299" s="319"/>
      <c r="AP299" s="319"/>
      <c r="AQ299" s="319"/>
      <c r="AR299" s="319"/>
      <c r="AS299" s="327"/>
      <c r="AT299" s="461" t="s">
        <v>182</v>
      </c>
      <c r="AU299" s="324" t="s">
        <v>845</v>
      </c>
      <c r="AV299" s="330">
        <f>SQRT(($R299-Infrastructure!J$3)^2+($S299-Infrastructure!K$3)^2)</f>
        <v>27.90877998</v>
      </c>
      <c r="AW299" s="331">
        <f>SQRT(($R299-Infrastructure!J$4)^2+($S299-Infrastructure!K$4)^2)</f>
        <v>20.39436197</v>
      </c>
      <c r="AX299" s="331">
        <f>SQRT(($R299-Infrastructure!J$5)^2+($S299-Infrastructure!K$5)^2)</f>
        <v>17.40402252</v>
      </c>
      <c r="AY299" s="331">
        <f>SQRT(($R299-Infrastructure!J$6)^2+($S299-Infrastructure!K$6)^2)</f>
        <v>9.617692031</v>
      </c>
      <c r="AZ299" s="331">
        <f>SQRT(($R299-Infrastructure!J$7)^2+($S299-Infrastructure!K$7)^2)</f>
        <v>7.559100476</v>
      </c>
      <c r="BA299" s="331">
        <f>SQRT(($R299-Infrastructure!J$8)^2+($S299-Infrastructure!K$8)^2)</f>
        <v>14.71393897</v>
      </c>
      <c r="BB299" s="331">
        <f>SQRT(($R299-Infrastructure!J$9)^2+($S299-Infrastructure!K$9)^2)</f>
        <v>23.07834483</v>
      </c>
      <c r="BC299" s="331">
        <f>SQRT(($R299-Infrastructure!J$10)^2+($S299-Infrastructure!K$10)^2)</f>
        <v>24.35159132</v>
      </c>
      <c r="BD299" s="318"/>
      <c r="BE299" s="332"/>
      <c r="BF299" s="330">
        <f t="shared" si="14"/>
        <v>7.559100476</v>
      </c>
      <c r="BG299" s="333">
        <f t="shared" si="15"/>
        <v>27.90877998</v>
      </c>
      <c r="BH299" s="334"/>
      <c r="BI299" s="462" t="s">
        <v>846</v>
      </c>
      <c r="BJ299" s="319" t="s">
        <v>846</v>
      </c>
      <c r="BK299" s="319" t="s">
        <v>846</v>
      </c>
      <c r="BL299" s="319" t="s">
        <v>846</v>
      </c>
      <c r="BM299" s="319" t="s">
        <v>846</v>
      </c>
      <c r="BN299" s="319" t="s">
        <v>846</v>
      </c>
      <c r="BO299" s="319" t="s">
        <v>846</v>
      </c>
      <c r="BP299" s="319" t="s">
        <v>846</v>
      </c>
      <c r="BQ299" s="338"/>
      <c r="BR299" s="420"/>
      <c r="BS299" s="330">
        <f t="shared" si="16"/>
        <v>7.559100476</v>
      </c>
      <c r="BT299" s="331">
        <f t="shared" si="17"/>
        <v>27.90877998</v>
      </c>
      <c r="BU299" s="331"/>
      <c r="BV299" s="333"/>
      <c r="BW299" s="330"/>
      <c r="BX299" s="331"/>
      <c r="BY299" s="331"/>
      <c r="BZ299" s="340"/>
      <c r="CA299" s="462" t="s">
        <v>846</v>
      </c>
      <c r="CB299" s="319" t="s">
        <v>846</v>
      </c>
      <c r="CC299" s="319" t="s">
        <v>846</v>
      </c>
      <c r="CD299" s="319" t="s">
        <v>846</v>
      </c>
      <c r="CE299" s="319" t="s">
        <v>846</v>
      </c>
      <c r="CF299" s="319" t="s">
        <v>846</v>
      </c>
      <c r="CG299" s="319" t="s">
        <v>846</v>
      </c>
      <c r="CH299" s="319" t="s">
        <v>846</v>
      </c>
      <c r="CI299" s="338"/>
      <c r="CJ299" s="341"/>
      <c r="CK299" s="342">
        <f t="shared" si="18"/>
        <v>7.559100476</v>
      </c>
      <c r="CL299" s="333">
        <f t="shared" si="19"/>
        <v>27.90877998</v>
      </c>
      <c r="CM299" s="421" t="s">
        <v>1126</v>
      </c>
      <c r="CN299" s="416"/>
      <c r="CO299" s="416"/>
      <c r="CP299" s="416"/>
    </row>
    <row r="300">
      <c r="B300" s="316"/>
      <c r="C300" s="417">
        <v>43753.0</v>
      </c>
      <c r="D300" s="319" t="s">
        <v>1125</v>
      </c>
      <c r="E300" s="319">
        <v>4.0</v>
      </c>
      <c r="F300" s="332"/>
      <c r="G300" s="321">
        <v>0.4486111111111111</v>
      </c>
      <c r="H300" s="323">
        <v>0.4496527777777778</v>
      </c>
      <c r="I300" s="323"/>
      <c r="J300" s="323"/>
      <c r="K300" s="323">
        <v>0.4510416666666667</v>
      </c>
      <c r="L300" s="322">
        <f t="shared" si="7"/>
        <v>0.002430555556</v>
      </c>
      <c r="M300" s="319" t="s">
        <v>166</v>
      </c>
      <c r="N300" s="324" t="s">
        <v>187</v>
      </c>
      <c r="O300" s="419" t="s">
        <v>197</v>
      </c>
      <c r="P300" s="319" t="s">
        <v>257</v>
      </c>
      <c r="Q300" s="318"/>
      <c r="R300" s="326">
        <v>37.0</v>
      </c>
      <c r="S300" s="319">
        <v>7.0</v>
      </c>
      <c r="T300" s="324">
        <v>7.0</v>
      </c>
      <c r="U300" s="319">
        <v>7.0</v>
      </c>
      <c r="V300" s="319"/>
      <c r="W300" s="319"/>
      <c r="X300" s="319"/>
      <c r="Y300" s="319"/>
      <c r="Z300" s="319" t="s">
        <v>379</v>
      </c>
      <c r="AA300" s="319"/>
      <c r="AB300" s="318"/>
      <c r="AC300" s="327">
        <v>10.0</v>
      </c>
      <c r="AD300" s="319"/>
      <c r="AE300" s="319"/>
      <c r="AF300" s="319"/>
      <c r="AG300" s="319"/>
      <c r="AH300" s="319"/>
      <c r="AI300" s="319"/>
      <c r="AJ300" s="327"/>
      <c r="AK300" s="328"/>
      <c r="AL300" s="319"/>
      <c r="AM300" s="319"/>
      <c r="AN300" s="319"/>
      <c r="AO300" s="319"/>
      <c r="AP300" s="319"/>
      <c r="AQ300" s="319"/>
      <c r="AR300" s="319"/>
      <c r="AS300" s="327"/>
      <c r="AT300" s="461" t="s">
        <v>182</v>
      </c>
      <c r="AU300" s="324" t="s">
        <v>845</v>
      </c>
      <c r="AV300" s="330">
        <f>SQRT(($R300-Infrastructure!J$3)^2+($S300-Infrastructure!K$3)^2)</f>
        <v>43.25390156</v>
      </c>
      <c r="AW300" s="331">
        <f>SQRT(($R300-Infrastructure!J$4)^2+($S300-Infrastructure!K$4)^2)</f>
        <v>38.83207437</v>
      </c>
      <c r="AX300" s="331">
        <f>SQRT(($R300-Infrastructure!J$5)^2+($S300-Infrastructure!K$5)^2)</f>
        <v>37.34836007</v>
      </c>
      <c r="AY300" s="331">
        <f>SQRT(($R300-Infrastructure!J$6)^2+($S300-Infrastructure!K$6)^2)</f>
        <v>27.72183255</v>
      </c>
      <c r="AZ300" s="331">
        <f>SQRT(($R300-Infrastructure!J$7)^2+($S300-Infrastructure!K$7)^2)</f>
        <v>17.80842497</v>
      </c>
      <c r="BA300" s="331">
        <f>SQRT(($R300-Infrastructure!J$8)^2+($S300-Infrastructure!K$8)^2)</f>
        <v>9.617692031</v>
      </c>
      <c r="BB300" s="331">
        <f>SQRT(($R300-Infrastructure!J$9)^2+($S300-Infrastructure!K$9)^2)</f>
        <v>3.551056181</v>
      </c>
      <c r="BC300" s="331">
        <f>SQRT(($R300-Infrastructure!J$10)^2+($S300-Infrastructure!K$10)^2)</f>
        <v>8.544003745</v>
      </c>
      <c r="BD300" s="318"/>
      <c r="BE300" s="332"/>
      <c r="BF300" s="330">
        <f t="shared" si="14"/>
        <v>3.551056181</v>
      </c>
      <c r="BG300" s="333">
        <f t="shared" si="15"/>
        <v>43.25390156</v>
      </c>
      <c r="BH300" s="334"/>
      <c r="BI300" s="316"/>
      <c r="BJ300" s="318"/>
      <c r="BK300" s="318"/>
      <c r="BL300" s="318"/>
      <c r="BM300" s="318"/>
      <c r="BN300" s="319" t="s">
        <v>846</v>
      </c>
      <c r="BO300" s="319" t="s">
        <v>846</v>
      </c>
      <c r="BP300" s="319" t="s">
        <v>846</v>
      </c>
      <c r="BQ300" s="338"/>
      <c r="BR300" s="420"/>
      <c r="BS300" s="330">
        <f t="shared" si="16"/>
        <v>3.551056181</v>
      </c>
      <c r="BT300" s="331">
        <f t="shared" si="17"/>
        <v>9.617692031</v>
      </c>
      <c r="BU300" s="331"/>
      <c r="BV300" s="333"/>
      <c r="BW300" s="330"/>
      <c r="BX300" s="331"/>
      <c r="BY300" s="331"/>
      <c r="BZ300" s="340"/>
      <c r="CA300" s="316"/>
      <c r="CB300" s="318"/>
      <c r="CC300" s="318"/>
      <c r="CD300" s="318"/>
      <c r="CE300" s="319" t="s">
        <v>846</v>
      </c>
      <c r="CF300" s="319" t="s">
        <v>846</v>
      </c>
      <c r="CG300" s="319" t="s">
        <v>846</v>
      </c>
      <c r="CH300" s="319" t="s">
        <v>846</v>
      </c>
      <c r="CI300" s="338"/>
      <c r="CJ300" s="341"/>
      <c r="CK300" s="342">
        <f t="shared" si="18"/>
        <v>3.551056181</v>
      </c>
      <c r="CL300" s="333">
        <f t="shared" si="19"/>
        <v>17.80842497</v>
      </c>
      <c r="CM300" s="421" t="s">
        <v>1127</v>
      </c>
      <c r="CN300" s="416"/>
      <c r="CO300" s="416"/>
      <c r="CP300" s="416"/>
    </row>
    <row r="301">
      <c r="B301" s="464"/>
      <c r="C301" s="465">
        <v>43753.0</v>
      </c>
      <c r="D301" s="466" t="s">
        <v>1125</v>
      </c>
      <c r="E301" s="466">
        <v>5.0</v>
      </c>
      <c r="F301" s="467"/>
      <c r="G301" s="468">
        <v>0.4552083333333333</v>
      </c>
      <c r="H301" s="469">
        <v>0.45555555555555555</v>
      </c>
      <c r="I301" s="469"/>
      <c r="J301" s="469"/>
      <c r="K301" s="469">
        <v>0.45694444444444443</v>
      </c>
      <c r="L301" s="470">
        <f t="shared" si="7"/>
        <v>0.001736111111</v>
      </c>
      <c r="M301" s="466" t="s">
        <v>166</v>
      </c>
      <c r="N301" s="471" t="s">
        <v>187</v>
      </c>
      <c r="O301" s="472"/>
      <c r="P301" s="473"/>
      <c r="Q301" s="473"/>
      <c r="R301" s="474"/>
      <c r="S301" s="473"/>
      <c r="T301" s="467"/>
      <c r="U301" s="466">
        <v>0.0</v>
      </c>
      <c r="V301" s="466"/>
      <c r="W301" s="466"/>
      <c r="X301" s="466"/>
      <c r="Y301" s="466"/>
      <c r="Z301" s="473"/>
      <c r="AA301" s="473"/>
      <c r="AB301" s="473"/>
      <c r="AC301" s="475"/>
      <c r="AD301" s="473"/>
      <c r="AE301" s="473"/>
      <c r="AF301" s="473"/>
      <c r="AG301" s="473"/>
      <c r="AH301" s="473"/>
      <c r="AI301" s="473"/>
      <c r="AJ301" s="475"/>
      <c r="AK301" s="476"/>
      <c r="AL301" s="473"/>
      <c r="AM301" s="473"/>
      <c r="AN301" s="473"/>
      <c r="AO301" s="473"/>
      <c r="AP301" s="473"/>
      <c r="AQ301" s="473"/>
      <c r="AR301" s="473"/>
      <c r="AS301" s="475"/>
      <c r="AT301" s="477"/>
      <c r="AU301" s="471" t="s">
        <v>845</v>
      </c>
      <c r="AV301" s="478">
        <f>SQRT(($R301-Infrastructure!J$3)^2+($S301-Infrastructure!K$3)^2)</f>
        <v>28.90155705</v>
      </c>
      <c r="AW301" s="479">
        <f>SQRT(($R301-Infrastructure!J$4)^2+($S301-Infrastructure!K$4)^2)</f>
        <v>17.80252791</v>
      </c>
      <c r="AX301" s="479">
        <f>SQRT(($R301-Infrastructure!J$5)^2+($S301-Infrastructure!K$5)^2)</f>
        <v>5.10881591</v>
      </c>
      <c r="AY301" s="479">
        <f>SQRT(($R301-Infrastructure!J$6)^2+($S301-Infrastructure!K$6)^2)</f>
        <v>10.10445446</v>
      </c>
      <c r="AZ301" s="479">
        <f>SQRT(($R301-Infrastructure!J$7)^2+($S301-Infrastructure!K$7)^2)</f>
        <v>20.502195</v>
      </c>
      <c r="BA301" s="479">
        <f>SQRT(($R301-Infrastructure!J$8)^2+($S301-Infrastructure!K$8)^2)</f>
        <v>30.10149498</v>
      </c>
      <c r="BB301" s="479">
        <f>SQRT(($R301-Infrastructure!J$9)^2+($S301-Infrastructure!K$9)^2)</f>
        <v>40.3238143</v>
      </c>
      <c r="BC301" s="479">
        <f>SQRT(($R301-Infrastructure!J$10)^2+($S301-Infrastructure!K$10)^2)</f>
        <v>42.72001873</v>
      </c>
      <c r="BD301" s="473"/>
      <c r="BE301" s="467"/>
      <c r="BF301" s="478">
        <f t="shared" si="14"/>
        <v>5.10881591</v>
      </c>
      <c r="BG301" s="480">
        <f t="shared" si="15"/>
        <v>42.72001873</v>
      </c>
      <c r="BH301" s="481"/>
      <c r="BI301" s="464"/>
      <c r="BJ301" s="473"/>
      <c r="BK301" s="473"/>
      <c r="BL301" s="473"/>
      <c r="BM301" s="473"/>
      <c r="BN301" s="473"/>
      <c r="BO301" s="473"/>
      <c r="BP301" s="473"/>
      <c r="BQ301" s="473"/>
      <c r="BR301" s="467"/>
      <c r="BS301" s="478">
        <f t="shared" si="16"/>
        <v>0</v>
      </c>
      <c r="BT301" s="479">
        <f t="shared" si="17"/>
        <v>0</v>
      </c>
      <c r="BU301" s="479"/>
      <c r="BV301" s="480"/>
      <c r="BW301" s="478"/>
      <c r="BX301" s="479"/>
      <c r="BY301" s="479"/>
      <c r="BZ301" s="482"/>
      <c r="CA301" s="464"/>
      <c r="CB301" s="473"/>
      <c r="CC301" s="473"/>
      <c r="CD301" s="473"/>
      <c r="CE301" s="473"/>
      <c r="CF301" s="473"/>
      <c r="CG301" s="473"/>
      <c r="CH301" s="473"/>
      <c r="CI301" s="473"/>
      <c r="CJ301" s="475"/>
      <c r="CK301" s="483">
        <f t="shared" si="18"/>
        <v>0</v>
      </c>
      <c r="CL301" s="480">
        <f t="shared" si="19"/>
        <v>0</v>
      </c>
      <c r="CM301" s="484" t="s">
        <v>1128</v>
      </c>
      <c r="CN301" s="485"/>
      <c r="CO301" s="485"/>
      <c r="CP301" s="485"/>
    </row>
    <row r="302">
      <c r="B302" s="316"/>
      <c r="C302" s="417">
        <v>43753.0</v>
      </c>
      <c r="D302" s="319" t="s">
        <v>1125</v>
      </c>
      <c r="E302" s="319">
        <v>6.0</v>
      </c>
      <c r="F302" s="332"/>
      <c r="G302" s="321">
        <v>0.45902777777777776</v>
      </c>
      <c r="H302" s="323">
        <v>0.45925925925925926</v>
      </c>
      <c r="I302" s="323"/>
      <c r="J302" s="323"/>
      <c r="K302" s="323">
        <v>0.46064814814814814</v>
      </c>
      <c r="L302" s="322">
        <f t="shared" si="7"/>
        <v>0.00162037037</v>
      </c>
      <c r="M302" s="319" t="s">
        <v>166</v>
      </c>
      <c r="N302" s="324" t="s">
        <v>187</v>
      </c>
      <c r="O302" s="419" t="s">
        <v>1071</v>
      </c>
      <c r="P302" s="319" t="s">
        <v>238</v>
      </c>
      <c r="Q302" s="318"/>
      <c r="R302" s="326">
        <v>24.5</v>
      </c>
      <c r="S302" s="319">
        <v>7.5</v>
      </c>
      <c r="T302" s="324">
        <v>0.6</v>
      </c>
      <c r="U302" s="319">
        <v>10.0</v>
      </c>
      <c r="V302" s="319"/>
      <c r="W302" s="319"/>
      <c r="X302" s="319"/>
      <c r="Y302" s="319"/>
      <c r="Z302" s="319" t="s">
        <v>331</v>
      </c>
      <c r="AA302" s="319"/>
      <c r="AB302" s="318"/>
      <c r="AC302" s="327">
        <v>5.0</v>
      </c>
      <c r="AD302" s="319"/>
      <c r="AE302" s="319"/>
      <c r="AF302" s="319"/>
      <c r="AG302" s="319"/>
      <c r="AH302" s="319"/>
      <c r="AI302" s="319"/>
      <c r="AJ302" s="327"/>
      <c r="AK302" s="328"/>
      <c r="AL302" s="319"/>
      <c r="AM302" s="319"/>
      <c r="AN302" s="319"/>
      <c r="AO302" s="319"/>
      <c r="AP302" s="319"/>
      <c r="AQ302" s="319"/>
      <c r="AR302" s="319"/>
      <c r="AS302" s="327"/>
      <c r="AT302" s="461" t="s">
        <v>182</v>
      </c>
      <c r="AU302" s="324" t="s">
        <v>845</v>
      </c>
      <c r="AV302" s="330">
        <f>SQRT(($R302-Infrastructure!J$3)^2+($S302-Infrastructure!K$3)^2)</f>
        <v>32.75667871</v>
      </c>
      <c r="AW302" s="331">
        <f>SQRT(($R302-Infrastructure!J$4)^2+($S302-Infrastructure!K$4)^2)</f>
        <v>26.85386378</v>
      </c>
      <c r="AX302" s="331">
        <f>SQRT(($R302-Infrastructure!J$5)^2+($S302-Infrastructure!K$5)^2)</f>
        <v>24.9158584</v>
      </c>
      <c r="AY302" s="331">
        <f>SQRT(($R302-Infrastructure!J$6)^2+($S302-Infrastructure!K$6)^2)</f>
        <v>16.09968944</v>
      </c>
      <c r="AZ302" s="331">
        <f>SQRT(($R302-Infrastructure!J$7)^2+($S302-Infrastructure!K$7)^2)</f>
        <v>8.236504113</v>
      </c>
      <c r="BA302" s="331">
        <f>SQRT(($R302-Infrastructure!J$8)^2+($S302-Infrastructure!K$8)^2)</f>
        <v>9.121403401</v>
      </c>
      <c r="BB302" s="331">
        <f>SQRT(($R302-Infrastructure!J$9)^2+($S302-Infrastructure!K$9)^2)</f>
        <v>15.68470593</v>
      </c>
      <c r="BC302" s="331">
        <f>SQRT(($R302-Infrastructure!J$10)^2+($S302-Infrastructure!K$10)^2)</f>
        <v>17.21917536</v>
      </c>
      <c r="BD302" s="318"/>
      <c r="BE302" s="332"/>
      <c r="BF302" s="330">
        <f t="shared" si="14"/>
        <v>8.236504113</v>
      </c>
      <c r="BG302" s="333">
        <f t="shared" si="15"/>
        <v>32.75667871</v>
      </c>
      <c r="BH302" s="334"/>
      <c r="BI302" s="462" t="s">
        <v>846</v>
      </c>
      <c r="BJ302" s="319" t="s">
        <v>846</v>
      </c>
      <c r="BK302" s="319" t="s">
        <v>846</v>
      </c>
      <c r="BL302" s="319" t="s">
        <v>846</v>
      </c>
      <c r="BM302" s="319" t="s">
        <v>846</v>
      </c>
      <c r="BN302" s="319" t="s">
        <v>846</v>
      </c>
      <c r="BO302" s="319" t="s">
        <v>846</v>
      </c>
      <c r="BP302" s="319" t="s">
        <v>846</v>
      </c>
      <c r="BQ302" s="338"/>
      <c r="BR302" s="420"/>
      <c r="BS302" s="330">
        <f t="shared" si="16"/>
        <v>8.236504113</v>
      </c>
      <c r="BT302" s="331">
        <f t="shared" si="17"/>
        <v>32.75667871</v>
      </c>
      <c r="BU302" s="331"/>
      <c r="BV302" s="333"/>
      <c r="BW302" s="330"/>
      <c r="BX302" s="331"/>
      <c r="BY302" s="331"/>
      <c r="BZ302" s="340"/>
      <c r="CA302" s="462" t="s">
        <v>846</v>
      </c>
      <c r="CB302" s="319" t="s">
        <v>846</v>
      </c>
      <c r="CC302" s="319" t="s">
        <v>846</v>
      </c>
      <c r="CD302" s="319" t="s">
        <v>846</v>
      </c>
      <c r="CE302" s="319" t="s">
        <v>846</v>
      </c>
      <c r="CF302" s="319" t="s">
        <v>846</v>
      </c>
      <c r="CG302" s="319" t="s">
        <v>846</v>
      </c>
      <c r="CH302" s="319" t="s">
        <v>846</v>
      </c>
      <c r="CI302" s="338"/>
      <c r="CJ302" s="341"/>
      <c r="CK302" s="342">
        <f t="shared" si="18"/>
        <v>8.236504113</v>
      </c>
      <c r="CL302" s="333">
        <f t="shared" si="19"/>
        <v>32.75667871</v>
      </c>
      <c r="CM302" s="421" t="s">
        <v>1129</v>
      </c>
      <c r="CN302" s="416"/>
      <c r="CO302" s="416"/>
      <c r="CP302" s="416"/>
    </row>
    <row r="303">
      <c r="B303" s="316"/>
      <c r="C303" s="417">
        <v>43753.0</v>
      </c>
      <c r="D303" s="319" t="s">
        <v>1125</v>
      </c>
      <c r="E303" s="319">
        <v>7.0</v>
      </c>
      <c r="F303" s="332"/>
      <c r="G303" s="321">
        <v>0.4635416666666667</v>
      </c>
      <c r="H303" s="323">
        <v>0.4640625</v>
      </c>
      <c r="I303" s="323"/>
      <c r="J303" s="323"/>
      <c r="K303" s="323">
        <v>0.4654513888888889</v>
      </c>
      <c r="L303" s="322">
        <f t="shared" si="7"/>
        <v>0.001909722222</v>
      </c>
      <c r="M303" s="319" t="s">
        <v>166</v>
      </c>
      <c r="N303" s="324" t="s">
        <v>187</v>
      </c>
      <c r="O303" s="419" t="s">
        <v>198</v>
      </c>
      <c r="P303" s="319" t="s">
        <v>295</v>
      </c>
      <c r="Q303" s="318"/>
      <c r="R303" s="326">
        <v>10.3</v>
      </c>
      <c r="S303" s="319">
        <v>7.8</v>
      </c>
      <c r="T303" s="324">
        <v>3.0</v>
      </c>
      <c r="U303" s="319">
        <v>4.5</v>
      </c>
      <c r="V303" s="319"/>
      <c r="W303" s="319"/>
      <c r="X303" s="319"/>
      <c r="Y303" s="319"/>
      <c r="Z303" s="319" t="s">
        <v>343</v>
      </c>
      <c r="AA303" s="319"/>
      <c r="AB303" s="318"/>
      <c r="AC303" s="327">
        <v>10.0</v>
      </c>
      <c r="AD303" s="319"/>
      <c r="AE303" s="319"/>
      <c r="AF303" s="319"/>
      <c r="AG303" s="319"/>
      <c r="AH303" s="319"/>
      <c r="AI303" s="319"/>
      <c r="AJ303" s="327"/>
      <c r="AK303" s="328"/>
      <c r="AL303" s="319"/>
      <c r="AM303" s="319"/>
      <c r="AN303" s="319"/>
      <c r="AO303" s="319"/>
      <c r="AP303" s="319"/>
      <c r="AQ303" s="319"/>
      <c r="AR303" s="319"/>
      <c r="AS303" s="327"/>
      <c r="AT303" s="461" t="s">
        <v>182</v>
      </c>
      <c r="AU303" s="324" t="s">
        <v>845</v>
      </c>
      <c r="AV303" s="330">
        <f>SQRT(($R303-Infrastructure!J$3)^2+($S303-Infrastructure!K$3)^2)</f>
        <v>23.61292019</v>
      </c>
      <c r="AW303" s="331">
        <f>SQRT(($R303-Infrastructure!J$4)^2+($S303-Infrastructure!K$4)^2)</f>
        <v>14.57257699</v>
      </c>
      <c r="AX303" s="331">
        <f>SQRT(($R303-Infrastructure!J$5)^2+($S303-Infrastructure!K$5)^2)</f>
        <v>10.93846424</v>
      </c>
      <c r="AY303" s="331">
        <f>SQRT(($R303-Infrastructure!J$6)^2+($S303-Infrastructure!K$6)^2)</f>
        <v>7.502666193</v>
      </c>
      <c r="AZ303" s="331">
        <f>SQRT(($R303-Infrastructure!J$7)^2+($S303-Infrastructure!K$7)^2)</f>
        <v>12.66056871</v>
      </c>
      <c r="BA303" s="331">
        <f>SQRT(($R303-Infrastructure!J$8)^2+($S303-Infrastructure!K$8)^2)</f>
        <v>21.17285999</v>
      </c>
      <c r="BB303" s="331">
        <f>SQRT(($R303-Infrastructure!J$9)^2+($S303-Infrastructure!K$9)^2)</f>
        <v>29.82247475</v>
      </c>
      <c r="BC303" s="331">
        <f>SQRT(($R303-Infrastructure!J$10)^2+($S303-Infrastructure!K$10)^2)</f>
        <v>30.56026832</v>
      </c>
      <c r="BD303" s="318"/>
      <c r="BE303" s="332"/>
      <c r="BF303" s="330">
        <f t="shared" si="14"/>
        <v>7.502666193</v>
      </c>
      <c r="BG303" s="333">
        <f t="shared" si="15"/>
        <v>30.56026832</v>
      </c>
      <c r="BH303" s="334"/>
      <c r="BI303" s="316"/>
      <c r="BJ303" s="318"/>
      <c r="BK303" s="319" t="s">
        <v>846</v>
      </c>
      <c r="BL303" s="318"/>
      <c r="BM303" s="318"/>
      <c r="BN303" s="318"/>
      <c r="BO303" s="318"/>
      <c r="BP303" s="318"/>
      <c r="BQ303" s="338"/>
      <c r="BR303" s="420"/>
      <c r="BS303" s="330">
        <f t="shared" si="16"/>
        <v>10.93846424</v>
      </c>
      <c r="BT303" s="331">
        <f t="shared" si="17"/>
        <v>10.93846424</v>
      </c>
      <c r="BU303" s="331"/>
      <c r="BV303" s="333"/>
      <c r="BW303" s="330"/>
      <c r="BX303" s="331"/>
      <c r="BY303" s="331"/>
      <c r="BZ303" s="340"/>
      <c r="CA303" s="316"/>
      <c r="CB303" s="319" t="s">
        <v>846</v>
      </c>
      <c r="CC303" s="319" t="s">
        <v>846</v>
      </c>
      <c r="CD303" s="319" t="s">
        <v>846</v>
      </c>
      <c r="CE303" s="319" t="s">
        <v>846</v>
      </c>
      <c r="CF303" s="318"/>
      <c r="CG303" s="319" t="s">
        <v>846</v>
      </c>
      <c r="CH303" s="318"/>
      <c r="CI303" s="338"/>
      <c r="CJ303" s="341"/>
      <c r="CK303" s="342">
        <f t="shared" si="18"/>
        <v>7.502666193</v>
      </c>
      <c r="CL303" s="333">
        <f t="shared" si="19"/>
        <v>29.82247475</v>
      </c>
      <c r="CM303" s="421" t="s">
        <v>1129</v>
      </c>
      <c r="CN303" s="416"/>
      <c r="CO303" s="416"/>
      <c r="CP303" s="416"/>
    </row>
    <row r="304">
      <c r="B304" s="316"/>
      <c r="C304" s="417">
        <v>43753.0</v>
      </c>
      <c r="D304" s="319" t="s">
        <v>1125</v>
      </c>
      <c r="E304" s="319">
        <v>8.0</v>
      </c>
      <c r="F304" s="332"/>
      <c r="G304" s="321">
        <v>0.4684027777777778</v>
      </c>
      <c r="H304" s="323">
        <v>0.46857638888888886</v>
      </c>
      <c r="I304" s="323"/>
      <c r="J304" s="323"/>
      <c r="K304" s="323">
        <v>0.4699652777777778</v>
      </c>
      <c r="L304" s="322">
        <f t="shared" si="7"/>
        <v>0.0015625</v>
      </c>
      <c r="M304" s="319" t="s">
        <v>166</v>
      </c>
      <c r="N304" s="324" t="s">
        <v>187</v>
      </c>
      <c r="O304" s="419" t="s">
        <v>200</v>
      </c>
      <c r="P304" s="319" t="s">
        <v>239</v>
      </c>
      <c r="Q304" s="318"/>
      <c r="R304" s="326">
        <v>17.0</v>
      </c>
      <c r="S304" s="319">
        <v>7.0</v>
      </c>
      <c r="T304" s="332"/>
      <c r="U304" s="319">
        <v>7.5</v>
      </c>
      <c r="V304" s="319"/>
      <c r="W304" s="319"/>
      <c r="X304" s="319"/>
      <c r="Y304" s="319"/>
      <c r="Z304" s="319" t="s">
        <v>318</v>
      </c>
      <c r="AA304" s="319"/>
      <c r="AB304" s="318"/>
      <c r="AC304" s="327">
        <v>5.0</v>
      </c>
      <c r="AD304" s="319"/>
      <c r="AE304" s="319"/>
      <c r="AF304" s="319"/>
      <c r="AG304" s="319"/>
      <c r="AH304" s="319"/>
      <c r="AI304" s="319"/>
      <c r="AJ304" s="327"/>
      <c r="AK304" s="328"/>
      <c r="AL304" s="319"/>
      <c r="AM304" s="319"/>
      <c r="AN304" s="319"/>
      <c r="AO304" s="319"/>
      <c r="AP304" s="319"/>
      <c r="AQ304" s="319"/>
      <c r="AR304" s="319"/>
      <c r="AS304" s="327"/>
      <c r="AT304" s="461" t="s">
        <v>182</v>
      </c>
      <c r="AU304" s="324" t="s">
        <v>845</v>
      </c>
      <c r="AV304" s="330">
        <f>SQRT(($R304-Infrastructure!J$3)^2+($S304-Infrastructure!K$3)^2)</f>
        <v>27.90877998</v>
      </c>
      <c r="AW304" s="331">
        <f>SQRT(($R304-Infrastructure!J$4)^2+($S304-Infrastructure!K$4)^2)</f>
        <v>20.39436197</v>
      </c>
      <c r="AX304" s="331">
        <f>SQRT(($R304-Infrastructure!J$5)^2+($S304-Infrastructure!K$5)^2)</f>
        <v>17.40402252</v>
      </c>
      <c r="AY304" s="331">
        <f>SQRT(($R304-Infrastructure!J$6)^2+($S304-Infrastructure!K$6)^2)</f>
        <v>9.617692031</v>
      </c>
      <c r="AZ304" s="331">
        <f>SQRT(($R304-Infrastructure!J$7)^2+($S304-Infrastructure!K$7)^2)</f>
        <v>7.559100476</v>
      </c>
      <c r="BA304" s="331">
        <f>SQRT(($R304-Infrastructure!J$8)^2+($S304-Infrastructure!K$8)^2)</f>
        <v>14.71393897</v>
      </c>
      <c r="BB304" s="331">
        <f>SQRT(($R304-Infrastructure!J$9)^2+($S304-Infrastructure!K$9)^2)</f>
        <v>23.07834483</v>
      </c>
      <c r="BC304" s="331">
        <f>SQRT(($R304-Infrastructure!J$10)^2+($S304-Infrastructure!K$10)^2)</f>
        <v>24.35159132</v>
      </c>
      <c r="BD304" s="318"/>
      <c r="BE304" s="332"/>
      <c r="BF304" s="330">
        <f t="shared" si="14"/>
        <v>7.559100476</v>
      </c>
      <c r="BG304" s="333">
        <f t="shared" si="15"/>
        <v>27.90877998</v>
      </c>
      <c r="BH304" s="334"/>
      <c r="BI304" s="462" t="s">
        <v>846</v>
      </c>
      <c r="BJ304" s="319" t="s">
        <v>846</v>
      </c>
      <c r="BK304" s="319" t="s">
        <v>846</v>
      </c>
      <c r="BL304" s="319" t="s">
        <v>846</v>
      </c>
      <c r="BM304" s="319" t="s">
        <v>846</v>
      </c>
      <c r="BN304" s="319" t="s">
        <v>846</v>
      </c>
      <c r="BO304" s="318"/>
      <c r="BP304" s="319" t="s">
        <v>846</v>
      </c>
      <c r="BQ304" s="338"/>
      <c r="BR304" s="420"/>
      <c r="BS304" s="330">
        <f t="shared" si="16"/>
        <v>7.559100476</v>
      </c>
      <c r="BT304" s="331">
        <f t="shared" si="17"/>
        <v>27.90877998</v>
      </c>
      <c r="BU304" s="331"/>
      <c r="BV304" s="333"/>
      <c r="BW304" s="330"/>
      <c r="BX304" s="331"/>
      <c r="BY304" s="331"/>
      <c r="BZ304" s="340"/>
      <c r="CA304" s="462" t="s">
        <v>846</v>
      </c>
      <c r="CB304" s="319" t="s">
        <v>846</v>
      </c>
      <c r="CC304" s="319" t="s">
        <v>846</v>
      </c>
      <c r="CD304" s="319" t="s">
        <v>846</v>
      </c>
      <c r="CE304" s="319" t="s">
        <v>846</v>
      </c>
      <c r="CF304" s="319" t="s">
        <v>846</v>
      </c>
      <c r="CG304" s="319" t="s">
        <v>846</v>
      </c>
      <c r="CH304" s="319" t="s">
        <v>846</v>
      </c>
      <c r="CI304" s="338"/>
      <c r="CJ304" s="341"/>
      <c r="CK304" s="342">
        <f t="shared" si="18"/>
        <v>7.559100476</v>
      </c>
      <c r="CL304" s="333">
        <f t="shared" si="19"/>
        <v>27.90877998</v>
      </c>
      <c r="CM304" s="421" t="s">
        <v>1126</v>
      </c>
      <c r="CN304" s="416"/>
      <c r="CO304" s="416"/>
      <c r="CP304" s="416"/>
    </row>
    <row r="305">
      <c r="B305" s="316"/>
      <c r="C305" s="417">
        <v>43753.0</v>
      </c>
      <c r="D305" s="319" t="s">
        <v>1125</v>
      </c>
      <c r="E305" s="319">
        <v>9.0</v>
      </c>
      <c r="F305" s="332"/>
      <c r="G305" s="321">
        <v>0.4774305555555556</v>
      </c>
      <c r="H305" s="323">
        <v>0.478125</v>
      </c>
      <c r="I305" s="323"/>
      <c r="J305" s="323"/>
      <c r="K305" s="323">
        <v>0.4796875</v>
      </c>
      <c r="L305" s="322">
        <f t="shared" si="7"/>
        <v>0.002256944444</v>
      </c>
      <c r="M305" s="319" t="s">
        <v>166</v>
      </c>
      <c r="N305" s="324" t="s">
        <v>187</v>
      </c>
      <c r="O305" s="419" t="s">
        <v>207</v>
      </c>
      <c r="P305" s="319" t="s">
        <v>242</v>
      </c>
      <c r="Q305" s="318"/>
      <c r="R305" s="326">
        <v>25.8</v>
      </c>
      <c r="S305" s="319">
        <v>13.5</v>
      </c>
      <c r="T305" s="324">
        <v>1.56</v>
      </c>
      <c r="U305" s="319">
        <v>7.0</v>
      </c>
      <c r="V305" s="319"/>
      <c r="W305" s="319"/>
      <c r="X305" s="319"/>
      <c r="Y305" s="319"/>
      <c r="Z305" s="319" t="s">
        <v>374</v>
      </c>
      <c r="AA305" s="319"/>
      <c r="AB305" s="318"/>
      <c r="AC305" s="327">
        <v>10.0</v>
      </c>
      <c r="AD305" s="319"/>
      <c r="AE305" s="319"/>
      <c r="AF305" s="319"/>
      <c r="AG305" s="319"/>
      <c r="AH305" s="319"/>
      <c r="AI305" s="319"/>
      <c r="AJ305" s="327"/>
      <c r="AK305" s="328"/>
      <c r="AL305" s="319"/>
      <c r="AM305" s="319"/>
      <c r="AN305" s="319"/>
      <c r="AO305" s="319"/>
      <c r="AP305" s="319"/>
      <c r="AQ305" s="319"/>
      <c r="AR305" s="319"/>
      <c r="AS305" s="327"/>
      <c r="AT305" s="461" t="s">
        <v>182</v>
      </c>
      <c r="AU305" s="324" t="s">
        <v>845</v>
      </c>
      <c r="AV305" s="330">
        <f>SQRT(($R305-Infrastructure!J$3)^2+($S305-Infrastructure!K$3)^2)</f>
        <v>30.30462011</v>
      </c>
      <c r="AW305" s="331">
        <f>SQRT(($R305-Infrastructure!J$4)^2+($S305-Infrastructure!K$4)^2)</f>
        <v>26.45184304</v>
      </c>
      <c r="AX305" s="331">
        <f>SQRT(($R305-Infrastructure!J$5)^2+($S305-Infrastructure!K$5)^2)</f>
        <v>27.41842446</v>
      </c>
      <c r="AY305" s="331">
        <f>SQRT(($R305-Infrastructure!J$6)^2+($S305-Infrastructure!K$6)^2)</f>
        <v>20.51170398</v>
      </c>
      <c r="AZ305" s="331">
        <f>SQRT(($R305-Infrastructure!J$7)^2+($S305-Infrastructure!K$7)^2)</f>
        <v>14.22427503</v>
      </c>
      <c r="BA305" s="331">
        <f>SQRT(($R305-Infrastructure!J$8)^2+($S305-Infrastructure!K$8)^2)</f>
        <v>13.88272308</v>
      </c>
      <c r="BB305" s="331">
        <f>SQRT(($R305-Infrastructure!J$9)^2+($S305-Infrastructure!K$9)^2)</f>
        <v>16.49848478</v>
      </c>
      <c r="BC305" s="331">
        <f>SQRT(($R305-Infrastructure!J$10)^2+($S305-Infrastructure!K$10)^2)</f>
        <v>14.27900557</v>
      </c>
      <c r="BD305" s="318"/>
      <c r="BE305" s="332"/>
      <c r="BF305" s="330">
        <f t="shared" si="14"/>
        <v>13.88272308</v>
      </c>
      <c r="BG305" s="333">
        <f t="shared" si="15"/>
        <v>30.30462011</v>
      </c>
      <c r="BH305" s="334"/>
      <c r="BI305" s="316"/>
      <c r="BJ305" s="318"/>
      <c r="BK305" s="318"/>
      <c r="BL305" s="318"/>
      <c r="BM305" s="319" t="s">
        <v>846</v>
      </c>
      <c r="BN305" s="319" t="s">
        <v>846</v>
      </c>
      <c r="BO305" s="319" t="s">
        <v>846</v>
      </c>
      <c r="BP305" s="319" t="s">
        <v>846</v>
      </c>
      <c r="BQ305" s="338"/>
      <c r="BR305" s="420"/>
      <c r="BS305" s="330">
        <f t="shared" si="16"/>
        <v>13.88272308</v>
      </c>
      <c r="BT305" s="331">
        <f t="shared" si="17"/>
        <v>16.49848478</v>
      </c>
      <c r="BU305" s="331"/>
      <c r="BV305" s="333"/>
      <c r="BW305" s="330"/>
      <c r="BX305" s="331"/>
      <c r="BY305" s="331"/>
      <c r="BZ305" s="340"/>
      <c r="CA305" s="462" t="s">
        <v>846</v>
      </c>
      <c r="CB305" s="319" t="s">
        <v>846</v>
      </c>
      <c r="CC305" s="319" t="s">
        <v>846</v>
      </c>
      <c r="CD305" s="319" t="s">
        <v>846</v>
      </c>
      <c r="CE305" s="319" t="s">
        <v>846</v>
      </c>
      <c r="CF305" s="319" t="s">
        <v>846</v>
      </c>
      <c r="CG305" s="319" t="s">
        <v>846</v>
      </c>
      <c r="CH305" s="319" t="s">
        <v>846</v>
      </c>
      <c r="CI305" s="338"/>
      <c r="CJ305" s="341"/>
      <c r="CK305" s="342">
        <f t="shared" si="18"/>
        <v>13.88272308</v>
      </c>
      <c r="CL305" s="333">
        <f t="shared" si="19"/>
        <v>30.30462011</v>
      </c>
      <c r="CM305" s="421" t="s">
        <v>1130</v>
      </c>
      <c r="CN305" s="416"/>
      <c r="CO305" s="416"/>
      <c r="CP305" s="416"/>
    </row>
    <row r="306">
      <c r="B306" s="316"/>
      <c r="C306" s="417">
        <v>43753.0</v>
      </c>
      <c r="D306" s="319" t="s">
        <v>1131</v>
      </c>
      <c r="E306" s="319">
        <v>10.0</v>
      </c>
      <c r="F306" s="332"/>
      <c r="G306" s="321">
        <v>0.4826388888888889</v>
      </c>
      <c r="H306" s="323">
        <v>0.4840277777777778</v>
      </c>
      <c r="I306" s="323"/>
      <c r="J306" s="323"/>
      <c r="K306" s="323">
        <v>0.48541666666666666</v>
      </c>
      <c r="L306" s="322">
        <f t="shared" si="7"/>
        <v>0.002777777778</v>
      </c>
      <c r="M306" s="319" t="s">
        <v>166</v>
      </c>
      <c r="N306" s="324" t="s">
        <v>187</v>
      </c>
      <c r="O306" s="419" t="s">
        <v>205</v>
      </c>
      <c r="P306" s="319" t="s">
        <v>245</v>
      </c>
      <c r="Q306" s="318"/>
      <c r="R306" s="326">
        <v>21.1</v>
      </c>
      <c r="S306" s="319">
        <v>5.3</v>
      </c>
      <c r="T306" s="324">
        <v>1.3</v>
      </c>
      <c r="U306" s="319">
        <v>3.0</v>
      </c>
      <c r="V306" s="319"/>
      <c r="W306" s="319"/>
      <c r="X306" s="319"/>
      <c r="Y306" s="319"/>
      <c r="Z306" s="319" t="s">
        <v>370</v>
      </c>
      <c r="AA306" s="319"/>
      <c r="AB306" s="318"/>
      <c r="AC306" s="327">
        <v>6.0</v>
      </c>
      <c r="AD306" s="319"/>
      <c r="AE306" s="319"/>
      <c r="AF306" s="319"/>
      <c r="AG306" s="319"/>
      <c r="AH306" s="319"/>
      <c r="AI306" s="319"/>
      <c r="AJ306" s="327"/>
      <c r="AK306" s="328"/>
      <c r="AL306" s="319"/>
      <c r="AM306" s="319"/>
      <c r="AN306" s="319"/>
      <c r="AO306" s="319"/>
      <c r="AP306" s="319"/>
      <c r="AQ306" s="319"/>
      <c r="AR306" s="319"/>
      <c r="AS306" s="327"/>
      <c r="AT306" s="461" t="s">
        <v>182</v>
      </c>
      <c r="AU306" s="324" t="s">
        <v>846</v>
      </c>
      <c r="AV306" s="330">
        <f>SQRT(($R306-Infrastructure!J$3)^2+($S306-Infrastructure!K$3)^2)</f>
        <v>31.85780909</v>
      </c>
      <c r="AW306" s="331">
        <f>SQRT(($R306-Infrastructure!J$4)^2+($S306-Infrastructure!K$4)^2)</f>
        <v>24.78326048</v>
      </c>
      <c r="AX306" s="331">
        <f>SQRT(($R306-Infrastructure!J$5)^2+($S306-Infrastructure!K$5)^2)</f>
        <v>21.40093456</v>
      </c>
      <c r="AY306" s="331">
        <f>SQRT(($R306-Infrastructure!J$6)^2+($S306-Infrastructure!K$6)^2)</f>
        <v>12.08304597</v>
      </c>
      <c r="AZ306" s="331">
        <f>SQRT(($R306-Infrastructure!J$7)^2+($S306-Infrastructure!K$7)^2)</f>
        <v>5.035871325</v>
      </c>
      <c r="BA306" s="331">
        <f>SQRT(($R306-Infrastructure!J$8)^2+($S306-Infrastructure!K$8)^2)</f>
        <v>10.29563014</v>
      </c>
      <c r="BB306" s="331">
        <f>SQRT(($R306-Infrastructure!J$9)^2+($S306-Infrastructure!K$9)^2)</f>
        <v>18.90105817</v>
      </c>
      <c r="BC306" s="331">
        <f>SQRT(($R306-Infrastructure!J$10)^2+($S306-Infrastructure!K$10)^2)</f>
        <v>21.24382263</v>
      </c>
      <c r="BD306" s="318"/>
      <c r="BE306" s="332"/>
      <c r="BF306" s="330">
        <f t="shared" si="14"/>
        <v>5.035871325</v>
      </c>
      <c r="BG306" s="333">
        <f t="shared" si="15"/>
        <v>31.85780909</v>
      </c>
      <c r="BH306" s="334"/>
      <c r="BI306" s="316"/>
      <c r="BJ306" s="318"/>
      <c r="BK306" s="318"/>
      <c r="BL306" s="318"/>
      <c r="BM306" s="318"/>
      <c r="BN306" s="318"/>
      <c r="BO306" s="318"/>
      <c r="BP306" s="318"/>
      <c r="BQ306" s="338"/>
      <c r="BR306" s="420"/>
      <c r="BS306" s="330">
        <f t="shared" si="16"/>
        <v>0</v>
      </c>
      <c r="BT306" s="331">
        <f t="shared" si="17"/>
        <v>0</v>
      </c>
      <c r="BU306" s="331"/>
      <c r="BV306" s="333"/>
      <c r="BW306" s="330"/>
      <c r="BX306" s="331"/>
      <c r="BY306" s="331"/>
      <c r="BZ306" s="340"/>
      <c r="CA306" s="462" t="s">
        <v>846</v>
      </c>
      <c r="CB306" s="319" t="s">
        <v>846</v>
      </c>
      <c r="CC306" s="319" t="s">
        <v>846</v>
      </c>
      <c r="CD306" s="319" t="s">
        <v>846</v>
      </c>
      <c r="CE306" s="319" t="s">
        <v>846</v>
      </c>
      <c r="CF306" s="319" t="s">
        <v>846</v>
      </c>
      <c r="CG306" s="319" t="s">
        <v>846</v>
      </c>
      <c r="CH306" s="319" t="s">
        <v>846</v>
      </c>
      <c r="CI306" s="338"/>
      <c r="CJ306" s="341"/>
      <c r="CK306" s="342">
        <f t="shared" si="18"/>
        <v>5.035871325</v>
      </c>
      <c r="CL306" s="333">
        <f t="shared" si="19"/>
        <v>31.85780909</v>
      </c>
      <c r="CM306" s="421" t="s">
        <v>1132</v>
      </c>
      <c r="CN306" s="416"/>
      <c r="CO306" s="416"/>
      <c r="CP306" s="416"/>
    </row>
    <row r="307">
      <c r="B307" s="316"/>
      <c r="C307" s="417">
        <v>43753.0</v>
      </c>
      <c r="D307" s="319" t="s">
        <v>1131</v>
      </c>
      <c r="E307" s="319">
        <v>10.0</v>
      </c>
      <c r="F307" s="332"/>
      <c r="G307" s="321">
        <v>0.4826388888888889</v>
      </c>
      <c r="H307" s="323">
        <v>0.4840277777777778</v>
      </c>
      <c r="I307" s="323"/>
      <c r="J307" s="323"/>
      <c r="K307" s="323">
        <v>0.48541666666666666</v>
      </c>
      <c r="L307" s="322">
        <f t="shared" si="7"/>
        <v>0.002777777778</v>
      </c>
      <c r="M307" s="319" t="s">
        <v>166</v>
      </c>
      <c r="N307" s="324" t="s">
        <v>187</v>
      </c>
      <c r="O307" s="419" t="s">
        <v>198</v>
      </c>
      <c r="P307" s="319" t="s">
        <v>301</v>
      </c>
      <c r="Q307" s="318"/>
      <c r="R307" s="326">
        <v>10.0</v>
      </c>
      <c r="S307" s="319">
        <v>11.7</v>
      </c>
      <c r="T307" s="324">
        <v>0.4</v>
      </c>
      <c r="U307" s="319">
        <v>6.2</v>
      </c>
      <c r="V307" s="319"/>
      <c r="W307" s="319"/>
      <c r="X307" s="319"/>
      <c r="Y307" s="319"/>
      <c r="Z307" s="319" t="s">
        <v>343</v>
      </c>
      <c r="AA307" s="319"/>
      <c r="AB307" s="318"/>
      <c r="AC307" s="327">
        <v>8.0</v>
      </c>
      <c r="AD307" s="319"/>
      <c r="AE307" s="319"/>
      <c r="AF307" s="319"/>
      <c r="AG307" s="319"/>
      <c r="AH307" s="319"/>
      <c r="AI307" s="319"/>
      <c r="AJ307" s="327"/>
      <c r="AK307" s="328"/>
      <c r="AL307" s="319"/>
      <c r="AM307" s="319"/>
      <c r="AN307" s="319"/>
      <c r="AO307" s="319"/>
      <c r="AP307" s="319"/>
      <c r="AQ307" s="319"/>
      <c r="AR307" s="319"/>
      <c r="AS307" s="327"/>
      <c r="AT307" s="461" t="s">
        <v>182</v>
      </c>
      <c r="AU307" s="324" t="s">
        <v>846</v>
      </c>
      <c r="AV307" s="330">
        <f>SQRT(($R307-Infrastructure!J$3)^2+($S307-Infrastructure!K$3)^2)</f>
        <v>20.04819194</v>
      </c>
      <c r="AW307" s="331">
        <f>SQRT(($R307-Infrastructure!J$4)^2+($S307-Infrastructure!K$4)^2)</f>
        <v>11.9707978</v>
      </c>
      <c r="AX307" s="331">
        <f>SQRT(($R307-Infrastructure!J$5)^2+($S307-Infrastructure!K$5)^2)</f>
        <v>12.23315168</v>
      </c>
      <c r="AY307" s="331">
        <f>SQRT(($R307-Infrastructure!J$6)^2+($S307-Infrastructure!K$6)^2)</f>
        <v>11.40043859</v>
      </c>
      <c r="AZ307" s="331">
        <f>SQRT(($R307-Infrastructure!J$7)^2+($S307-Infrastructure!K$7)^2)</f>
        <v>15.49870962</v>
      </c>
      <c r="BA307" s="331">
        <f>SQRT(($R307-Infrastructure!J$8)^2+($S307-Infrastructure!K$8)^2)</f>
        <v>23.10779089</v>
      </c>
      <c r="BB307" s="331">
        <f>SQRT(($R307-Infrastructure!J$9)^2+($S307-Infrastructure!K$9)^2)</f>
        <v>30.71742177</v>
      </c>
      <c r="BC307" s="331">
        <f>SQRT(($R307-Infrastructure!J$10)^2+($S307-Infrastructure!K$10)^2)</f>
        <v>30.18095426</v>
      </c>
      <c r="BD307" s="318"/>
      <c r="BE307" s="332"/>
      <c r="BF307" s="330">
        <f t="shared" si="14"/>
        <v>11.40043859</v>
      </c>
      <c r="BG307" s="333">
        <f t="shared" si="15"/>
        <v>30.71742177</v>
      </c>
      <c r="BH307" s="334"/>
      <c r="BI307" s="316"/>
      <c r="BJ307" s="318"/>
      <c r="BK307" s="318"/>
      <c r="BL307" s="318"/>
      <c r="BM307" s="318"/>
      <c r="BN307" s="318"/>
      <c r="BO307" s="318"/>
      <c r="BP307" s="318"/>
      <c r="BQ307" s="338"/>
      <c r="BR307" s="420"/>
      <c r="BS307" s="330">
        <f t="shared" si="16"/>
        <v>0</v>
      </c>
      <c r="BT307" s="331">
        <f t="shared" si="17"/>
        <v>0</v>
      </c>
      <c r="BU307" s="331"/>
      <c r="BV307" s="333"/>
      <c r="BW307" s="330"/>
      <c r="BX307" s="331"/>
      <c r="BY307" s="331"/>
      <c r="BZ307" s="340"/>
      <c r="CA307" s="486" t="s">
        <v>846</v>
      </c>
      <c r="CB307" s="426" t="s">
        <v>846</v>
      </c>
      <c r="CC307" s="426" t="s">
        <v>846</v>
      </c>
      <c r="CD307" s="426" t="s">
        <v>846</v>
      </c>
      <c r="CE307" s="426" t="s">
        <v>846</v>
      </c>
      <c r="CF307" s="426" t="s">
        <v>846</v>
      </c>
      <c r="CG307" s="426" t="s">
        <v>846</v>
      </c>
      <c r="CH307" s="426" t="s">
        <v>846</v>
      </c>
      <c r="CI307" s="338"/>
      <c r="CJ307" s="341"/>
      <c r="CK307" s="342">
        <f t="shared" si="18"/>
        <v>11.40043859</v>
      </c>
      <c r="CL307" s="333">
        <f t="shared" si="19"/>
        <v>30.71742177</v>
      </c>
      <c r="CM307" s="423"/>
      <c r="CN307" s="424"/>
      <c r="CO307" s="424"/>
      <c r="CP307" s="424"/>
    </row>
    <row r="308">
      <c r="B308" s="316"/>
      <c r="C308" s="417">
        <v>43753.0</v>
      </c>
      <c r="D308" s="319" t="s">
        <v>1125</v>
      </c>
      <c r="E308" s="319">
        <v>11.0</v>
      </c>
      <c r="F308" s="332"/>
      <c r="G308" s="321">
        <v>0.48819444444444443</v>
      </c>
      <c r="H308" s="323">
        <v>0.4888888888888889</v>
      </c>
      <c r="I308" s="323"/>
      <c r="J308" s="323"/>
      <c r="K308" s="323">
        <v>0.49027777777777776</v>
      </c>
      <c r="L308" s="322">
        <f t="shared" si="7"/>
        <v>0.002083333333</v>
      </c>
      <c r="M308" s="319" t="s">
        <v>166</v>
      </c>
      <c r="N308" s="324" t="s">
        <v>187</v>
      </c>
      <c r="O308" s="419" t="s">
        <v>198</v>
      </c>
      <c r="P308" s="319" t="s">
        <v>295</v>
      </c>
      <c r="Q308" s="318"/>
      <c r="R308" s="326">
        <v>10.3</v>
      </c>
      <c r="S308" s="319">
        <v>7.8</v>
      </c>
      <c r="T308" s="324">
        <v>3.0</v>
      </c>
      <c r="U308" s="319">
        <v>3.3</v>
      </c>
      <c r="V308" s="319"/>
      <c r="W308" s="319"/>
      <c r="X308" s="319"/>
      <c r="Y308" s="319"/>
      <c r="Z308" s="319" t="s">
        <v>343</v>
      </c>
      <c r="AA308" s="319"/>
      <c r="AB308" s="318"/>
      <c r="AC308" s="327">
        <v>10.0</v>
      </c>
      <c r="AD308" s="319"/>
      <c r="AE308" s="319"/>
      <c r="AF308" s="319"/>
      <c r="AG308" s="319"/>
      <c r="AH308" s="319"/>
      <c r="AI308" s="319"/>
      <c r="AJ308" s="327"/>
      <c r="AK308" s="328"/>
      <c r="AL308" s="319"/>
      <c r="AM308" s="319"/>
      <c r="AN308" s="319"/>
      <c r="AO308" s="319"/>
      <c r="AP308" s="319"/>
      <c r="AQ308" s="319"/>
      <c r="AR308" s="319"/>
      <c r="AS308" s="327"/>
      <c r="AT308" s="461" t="s">
        <v>182</v>
      </c>
      <c r="AU308" s="324" t="s">
        <v>845</v>
      </c>
      <c r="AV308" s="330">
        <f>SQRT(($R308-Infrastructure!J$3)^2+($S308-Infrastructure!K$3)^2)</f>
        <v>23.61292019</v>
      </c>
      <c r="AW308" s="331">
        <f>SQRT(($R308-Infrastructure!J$4)^2+($S308-Infrastructure!K$4)^2)</f>
        <v>14.57257699</v>
      </c>
      <c r="AX308" s="331">
        <f>SQRT(($R308-Infrastructure!J$5)^2+($S308-Infrastructure!K$5)^2)</f>
        <v>10.93846424</v>
      </c>
      <c r="AY308" s="331">
        <f>SQRT(($R308-Infrastructure!J$6)^2+($S308-Infrastructure!K$6)^2)</f>
        <v>7.502666193</v>
      </c>
      <c r="AZ308" s="331">
        <f>SQRT(($R308-Infrastructure!J$7)^2+($S308-Infrastructure!K$7)^2)</f>
        <v>12.66056871</v>
      </c>
      <c r="BA308" s="331">
        <f>SQRT(($R308-Infrastructure!J$8)^2+($S308-Infrastructure!K$8)^2)</f>
        <v>21.17285999</v>
      </c>
      <c r="BB308" s="331">
        <f>SQRT(($R308-Infrastructure!J$9)^2+($S308-Infrastructure!K$9)^2)</f>
        <v>29.82247475</v>
      </c>
      <c r="BC308" s="331">
        <f>SQRT(($R308-Infrastructure!J$10)^2+($S308-Infrastructure!K$10)^2)</f>
        <v>30.56026832</v>
      </c>
      <c r="BD308" s="318"/>
      <c r="BE308" s="332"/>
      <c r="BF308" s="330">
        <f t="shared" si="14"/>
        <v>7.502666193</v>
      </c>
      <c r="BG308" s="333">
        <f t="shared" si="15"/>
        <v>30.56026832</v>
      </c>
      <c r="BH308" s="334"/>
      <c r="BI308" s="316"/>
      <c r="BJ308" s="318"/>
      <c r="BK308" s="319" t="s">
        <v>846</v>
      </c>
      <c r="BL308" s="318"/>
      <c r="BM308" s="318"/>
      <c r="BN308" s="318"/>
      <c r="BO308" s="318"/>
      <c r="BP308" s="318"/>
      <c r="BQ308" s="338"/>
      <c r="BR308" s="420"/>
      <c r="BS308" s="330">
        <f t="shared" si="16"/>
        <v>10.93846424</v>
      </c>
      <c r="BT308" s="331">
        <f t="shared" si="17"/>
        <v>10.93846424</v>
      </c>
      <c r="BU308" s="331"/>
      <c r="BV308" s="333"/>
      <c r="BW308" s="330"/>
      <c r="BX308" s="331"/>
      <c r="BY308" s="331"/>
      <c r="BZ308" s="340"/>
      <c r="CA308" s="462" t="s">
        <v>846</v>
      </c>
      <c r="CB308" s="319" t="s">
        <v>846</v>
      </c>
      <c r="CC308" s="319" t="s">
        <v>846</v>
      </c>
      <c r="CD308" s="319" t="s">
        <v>846</v>
      </c>
      <c r="CE308" s="319" t="s">
        <v>846</v>
      </c>
      <c r="CF308" s="319" t="s">
        <v>846</v>
      </c>
      <c r="CG308" s="318"/>
      <c r="CH308" s="318"/>
      <c r="CI308" s="338"/>
      <c r="CJ308" s="341"/>
      <c r="CK308" s="342">
        <f t="shared" si="18"/>
        <v>7.502666193</v>
      </c>
      <c r="CL308" s="333">
        <f t="shared" si="19"/>
        <v>23.61292019</v>
      </c>
      <c r="CM308" s="421" t="s">
        <v>1129</v>
      </c>
      <c r="CN308" s="416"/>
      <c r="CO308" s="416"/>
      <c r="CP308" s="416"/>
    </row>
    <row r="309">
      <c r="B309" s="316"/>
      <c r="C309" s="417">
        <v>43753.0</v>
      </c>
      <c r="D309" s="319" t="s">
        <v>1125</v>
      </c>
      <c r="E309" s="319">
        <v>12.0</v>
      </c>
      <c r="F309" s="332"/>
      <c r="G309" s="321">
        <v>0.4913194444444444</v>
      </c>
      <c r="H309" s="323">
        <v>0.4918402777777778</v>
      </c>
      <c r="I309" s="323"/>
      <c r="J309" s="323"/>
      <c r="K309" s="323">
        <v>0.49322916666666666</v>
      </c>
      <c r="L309" s="322">
        <f t="shared" si="7"/>
        <v>0.001909722222</v>
      </c>
      <c r="M309" s="319" t="s">
        <v>166</v>
      </c>
      <c r="N309" s="324" t="s">
        <v>187</v>
      </c>
      <c r="O309" s="419" t="s">
        <v>197</v>
      </c>
      <c r="P309" s="319" t="s">
        <v>257</v>
      </c>
      <c r="Q309" s="318"/>
      <c r="R309" s="326">
        <v>37.0</v>
      </c>
      <c r="S309" s="319">
        <v>7.0</v>
      </c>
      <c r="T309" s="324">
        <v>7.0</v>
      </c>
      <c r="U309" s="319">
        <v>6.9</v>
      </c>
      <c r="V309" s="319"/>
      <c r="W309" s="319"/>
      <c r="X309" s="319"/>
      <c r="Y309" s="319"/>
      <c r="Z309" s="319" t="s">
        <v>379</v>
      </c>
      <c r="AA309" s="319"/>
      <c r="AB309" s="318"/>
      <c r="AC309" s="327">
        <v>10.0</v>
      </c>
      <c r="AD309" s="319"/>
      <c r="AE309" s="319"/>
      <c r="AF309" s="319"/>
      <c r="AG309" s="319"/>
      <c r="AH309" s="319"/>
      <c r="AI309" s="319"/>
      <c r="AJ309" s="327"/>
      <c r="AK309" s="328"/>
      <c r="AL309" s="319"/>
      <c r="AM309" s="319"/>
      <c r="AN309" s="319"/>
      <c r="AO309" s="319"/>
      <c r="AP309" s="319"/>
      <c r="AQ309" s="319"/>
      <c r="AR309" s="319"/>
      <c r="AS309" s="327"/>
      <c r="AT309" s="461" t="s">
        <v>182</v>
      </c>
      <c r="AU309" s="324" t="s">
        <v>845</v>
      </c>
      <c r="AV309" s="330">
        <f>SQRT(($R309-Infrastructure!J$3)^2+($S309-Infrastructure!K$3)^2)</f>
        <v>43.25390156</v>
      </c>
      <c r="AW309" s="331">
        <f>SQRT(($R309-Infrastructure!J$4)^2+($S309-Infrastructure!K$4)^2)</f>
        <v>38.83207437</v>
      </c>
      <c r="AX309" s="331">
        <f>SQRT(($R309-Infrastructure!J$5)^2+($S309-Infrastructure!K$5)^2)</f>
        <v>37.34836007</v>
      </c>
      <c r="AY309" s="331">
        <f>SQRT(($R309-Infrastructure!J$6)^2+($S309-Infrastructure!K$6)^2)</f>
        <v>27.72183255</v>
      </c>
      <c r="AZ309" s="331">
        <f>SQRT(($R309-Infrastructure!J$7)^2+($S309-Infrastructure!K$7)^2)</f>
        <v>17.80842497</v>
      </c>
      <c r="BA309" s="331">
        <f>SQRT(($R309-Infrastructure!J$8)^2+($S309-Infrastructure!K$8)^2)</f>
        <v>9.617692031</v>
      </c>
      <c r="BB309" s="331">
        <f>SQRT(($R309-Infrastructure!J$9)^2+($S309-Infrastructure!K$9)^2)</f>
        <v>3.551056181</v>
      </c>
      <c r="BC309" s="331">
        <f>SQRT(($R309-Infrastructure!J$10)^2+($S309-Infrastructure!K$10)^2)</f>
        <v>8.544003745</v>
      </c>
      <c r="BD309" s="318"/>
      <c r="BE309" s="332"/>
      <c r="BF309" s="330">
        <f t="shared" si="14"/>
        <v>3.551056181</v>
      </c>
      <c r="BG309" s="333">
        <f t="shared" si="15"/>
        <v>43.25390156</v>
      </c>
      <c r="BH309" s="334"/>
      <c r="BI309" s="316"/>
      <c r="BJ309" s="318"/>
      <c r="BK309" s="318"/>
      <c r="BL309" s="319" t="s">
        <v>846</v>
      </c>
      <c r="BM309" s="318"/>
      <c r="BN309" s="318"/>
      <c r="BO309" s="319" t="s">
        <v>846</v>
      </c>
      <c r="BP309" s="319" t="s">
        <v>846</v>
      </c>
      <c r="BQ309" s="338"/>
      <c r="BR309" s="420"/>
      <c r="BS309" s="330">
        <f t="shared" si="16"/>
        <v>3.551056181</v>
      </c>
      <c r="BT309" s="331">
        <f t="shared" si="17"/>
        <v>27.72183255</v>
      </c>
      <c r="BU309" s="331"/>
      <c r="BV309" s="333"/>
      <c r="BW309" s="330"/>
      <c r="BX309" s="331"/>
      <c r="BY309" s="331"/>
      <c r="BZ309" s="340"/>
      <c r="CA309" s="316"/>
      <c r="CB309" s="318"/>
      <c r="CC309" s="319" t="s">
        <v>846</v>
      </c>
      <c r="CD309" s="319" t="s">
        <v>846</v>
      </c>
      <c r="CE309" s="319" t="s">
        <v>846</v>
      </c>
      <c r="CF309" s="319" t="s">
        <v>846</v>
      </c>
      <c r="CG309" s="319" t="s">
        <v>846</v>
      </c>
      <c r="CH309" s="319" t="s">
        <v>846</v>
      </c>
      <c r="CI309" s="338"/>
      <c r="CJ309" s="341"/>
      <c r="CK309" s="342">
        <f t="shared" si="18"/>
        <v>3.551056181</v>
      </c>
      <c r="CL309" s="333">
        <f t="shared" si="19"/>
        <v>37.34836007</v>
      </c>
      <c r="CM309" s="421" t="s">
        <v>1133</v>
      </c>
      <c r="CN309" s="416"/>
      <c r="CO309" s="416"/>
      <c r="CP309" s="416"/>
    </row>
    <row r="310">
      <c r="B310" s="464"/>
      <c r="C310" s="465">
        <v>43753.0</v>
      </c>
      <c r="D310" s="466" t="s">
        <v>1125</v>
      </c>
      <c r="E310" s="466">
        <v>13.0</v>
      </c>
      <c r="F310" s="467"/>
      <c r="G310" s="468">
        <v>0.4947916666666667</v>
      </c>
      <c r="H310" s="469">
        <v>0.4951388888888889</v>
      </c>
      <c r="I310" s="469"/>
      <c r="J310" s="469"/>
      <c r="K310" s="469">
        <v>0.4965277777777778</v>
      </c>
      <c r="L310" s="470">
        <f t="shared" si="7"/>
        <v>0.001736111111</v>
      </c>
      <c r="M310" s="466" t="s">
        <v>166</v>
      </c>
      <c r="N310" s="471" t="s">
        <v>187</v>
      </c>
      <c r="O310" s="472"/>
      <c r="P310" s="473"/>
      <c r="Q310" s="473"/>
      <c r="R310" s="474"/>
      <c r="S310" s="473"/>
      <c r="T310" s="467"/>
      <c r="U310" s="466">
        <v>0.0</v>
      </c>
      <c r="V310" s="466"/>
      <c r="W310" s="466"/>
      <c r="X310" s="466"/>
      <c r="Y310" s="466"/>
      <c r="Z310" s="473"/>
      <c r="AA310" s="473"/>
      <c r="AB310" s="473"/>
      <c r="AC310" s="475"/>
      <c r="AD310" s="473"/>
      <c r="AE310" s="473"/>
      <c r="AF310" s="473"/>
      <c r="AG310" s="473"/>
      <c r="AH310" s="473"/>
      <c r="AI310" s="473"/>
      <c r="AJ310" s="475"/>
      <c r="AK310" s="476"/>
      <c r="AL310" s="473"/>
      <c r="AM310" s="473"/>
      <c r="AN310" s="473"/>
      <c r="AO310" s="473"/>
      <c r="AP310" s="473"/>
      <c r="AQ310" s="473"/>
      <c r="AR310" s="473"/>
      <c r="AS310" s="475"/>
      <c r="AT310" s="477"/>
      <c r="AU310" s="471" t="s">
        <v>845</v>
      </c>
      <c r="AV310" s="478">
        <f>SQRT(($R310-Infrastructure!J$3)^2+($S310-Infrastructure!K$3)^2)</f>
        <v>28.90155705</v>
      </c>
      <c r="AW310" s="479">
        <f>SQRT(($R310-Infrastructure!J$4)^2+($S310-Infrastructure!K$4)^2)</f>
        <v>17.80252791</v>
      </c>
      <c r="AX310" s="479">
        <f>SQRT(($R310-Infrastructure!J$5)^2+($S310-Infrastructure!K$5)^2)</f>
        <v>5.10881591</v>
      </c>
      <c r="AY310" s="479">
        <f>SQRT(($R310-Infrastructure!J$6)^2+($S310-Infrastructure!K$6)^2)</f>
        <v>10.10445446</v>
      </c>
      <c r="AZ310" s="479">
        <f>SQRT(($R310-Infrastructure!J$7)^2+($S310-Infrastructure!K$7)^2)</f>
        <v>20.502195</v>
      </c>
      <c r="BA310" s="479">
        <f>SQRT(($R310-Infrastructure!J$8)^2+($S310-Infrastructure!K$8)^2)</f>
        <v>30.10149498</v>
      </c>
      <c r="BB310" s="479">
        <f>SQRT(($R310-Infrastructure!J$9)^2+($S310-Infrastructure!K$9)^2)</f>
        <v>40.3238143</v>
      </c>
      <c r="BC310" s="479">
        <f>SQRT(($R310-Infrastructure!J$10)^2+($S310-Infrastructure!K$10)^2)</f>
        <v>42.72001873</v>
      </c>
      <c r="BD310" s="473"/>
      <c r="BE310" s="467"/>
      <c r="BF310" s="478">
        <f t="shared" si="14"/>
        <v>5.10881591</v>
      </c>
      <c r="BG310" s="480">
        <f t="shared" si="15"/>
        <v>42.72001873</v>
      </c>
      <c r="BH310" s="481"/>
      <c r="BI310" s="464"/>
      <c r="BJ310" s="473"/>
      <c r="BK310" s="473"/>
      <c r="BL310" s="473"/>
      <c r="BM310" s="473"/>
      <c r="BN310" s="473"/>
      <c r="BO310" s="473"/>
      <c r="BP310" s="473"/>
      <c r="BQ310" s="473"/>
      <c r="BR310" s="467"/>
      <c r="BS310" s="478">
        <f t="shared" si="16"/>
        <v>0</v>
      </c>
      <c r="BT310" s="479">
        <f t="shared" si="17"/>
        <v>0</v>
      </c>
      <c r="BU310" s="479"/>
      <c r="BV310" s="480"/>
      <c r="BW310" s="478"/>
      <c r="BX310" s="479"/>
      <c r="BY310" s="479"/>
      <c r="BZ310" s="482"/>
      <c r="CA310" s="464"/>
      <c r="CB310" s="473"/>
      <c r="CC310" s="473"/>
      <c r="CD310" s="473"/>
      <c r="CE310" s="473"/>
      <c r="CF310" s="473"/>
      <c r="CG310" s="473"/>
      <c r="CH310" s="473"/>
      <c r="CI310" s="473"/>
      <c r="CJ310" s="475"/>
      <c r="CK310" s="483">
        <f t="shared" si="18"/>
        <v>0</v>
      </c>
      <c r="CL310" s="480">
        <f t="shared" si="19"/>
        <v>0</v>
      </c>
      <c r="CM310" s="484" t="s">
        <v>1128</v>
      </c>
      <c r="CN310" s="485"/>
      <c r="CO310" s="485"/>
      <c r="CP310" s="485"/>
    </row>
    <row r="311">
      <c r="B311" s="316"/>
      <c r="C311" s="417">
        <v>43753.0</v>
      </c>
      <c r="D311" s="319" t="s">
        <v>1125</v>
      </c>
      <c r="E311" s="319">
        <v>14.0</v>
      </c>
      <c r="F311" s="332"/>
      <c r="G311" s="321">
        <v>0.5649305555555556</v>
      </c>
      <c r="H311" s="323">
        <v>0.5664351851851852</v>
      </c>
      <c r="I311" s="323"/>
      <c r="J311" s="323"/>
      <c r="K311" s="323">
        <v>0.5678240740740741</v>
      </c>
      <c r="L311" s="322">
        <f t="shared" si="7"/>
        <v>0.002893518519</v>
      </c>
      <c r="M311" s="319" t="s">
        <v>166</v>
      </c>
      <c r="N311" s="324" t="s">
        <v>187</v>
      </c>
      <c r="O311" s="419" t="s">
        <v>1071</v>
      </c>
      <c r="P311" s="319" t="s">
        <v>238</v>
      </c>
      <c r="Q311" s="318"/>
      <c r="R311" s="326">
        <v>24.5</v>
      </c>
      <c r="S311" s="319">
        <v>7.5</v>
      </c>
      <c r="T311" s="332"/>
      <c r="U311" s="319">
        <v>4.0</v>
      </c>
      <c r="V311" s="319"/>
      <c r="W311" s="319"/>
      <c r="X311" s="319"/>
      <c r="Y311" s="319"/>
      <c r="Z311" s="319" t="s">
        <v>331</v>
      </c>
      <c r="AA311" s="319"/>
      <c r="AB311" s="318"/>
      <c r="AC311" s="327">
        <v>4.0</v>
      </c>
      <c r="AD311" s="319"/>
      <c r="AE311" s="319"/>
      <c r="AF311" s="319"/>
      <c r="AG311" s="319"/>
      <c r="AH311" s="319"/>
      <c r="AI311" s="319"/>
      <c r="AJ311" s="327"/>
      <c r="AK311" s="328"/>
      <c r="AL311" s="319"/>
      <c r="AM311" s="319"/>
      <c r="AN311" s="319"/>
      <c r="AO311" s="319"/>
      <c r="AP311" s="319"/>
      <c r="AQ311" s="319"/>
      <c r="AR311" s="319"/>
      <c r="AS311" s="327"/>
      <c r="AT311" s="461" t="s">
        <v>182</v>
      </c>
      <c r="AU311" s="324" t="s">
        <v>845</v>
      </c>
      <c r="AV311" s="330">
        <f>SQRT(($R311-Infrastructure!J$3)^2+($S311-Infrastructure!K$3)^2)</f>
        <v>32.75667871</v>
      </c>
      <c r="AW311" s="331">
        <f>SQRT(($R311-Infrastructure!J$4)^2+($S311-Infrastructure!K$4)^2)</f>
        <v>26.85386378</v>
      </c>
      <c r="AX311" s="331">
        <f>SQRT(($R311-Infrastructure!J$5)^2+($S311-Infrastructure!K$5)^2)</f>
        <v>24.9158584</v>
      </c>
      <c r="AY311" s="331">
        <f>SQRT(($R311-Infrastructure!J$6)^2+($S311-Infrastructure!K$6)^2)</f>
        <v>16.09968944</v>
      </c>
      <c r="AZ311" s="331">
        <f>SQRT(($R311-Infrastructure!J$7)^2+($S311-Infrastructure!K$7)^2)</f>
        <v>8.236504113</v>
      </c>
      <c r="BA311" s="331">
        <f>SQRT(($R311-Infrastructure!J$8)^2+($S311-Infrastructure!K$8)^2)</f>
        <v>9.121403401</v>
      </c>
      <c r="BB311" s="331">
        <f>SQRT(($R311-Infrastructure!J$9)^2+($S311-Infrastructure!K$9)^2)</f>
        <v>15.68470593</v>
      </c>
      <c r="BC311" s="331">
        <f>SQRT(($R311-Infrastructure!J$10)^2+($S311-Infrastructure!K$10)^2)</f>
        <v>17.21917536</v>
      </c>
      <c r="BD311" s="318"/>
      <c r="BE311" s="332"/>
      <c r="BF311" s="330">
        <f t="shared" si="14"/>
        <v>8.236504113</v>
      </c>
      <c r="BG311" s="333">
        <f t="shared" si="15"/>
        <v>32.75667871</v>
      </c>
      <c r="BH311" s="334"/>
      <c r="BI311" s="316"/>
      <c r="BJ311" s="318"/>
      <c r="BK311" s="318"/>
      <c r="BL311" s="318"/>
      <c r="BM311" s="319" t="s">
        <v>846</v>
      </c>
      <c r="BN311" s="318"/>
      <c r="BO311" s="319" t="s">
        <v>846</v>
      </c>
      <c r="BP311" s="319" t="s">
        <v>846</v>
      </c>
      <c r="BQ311" s="338"/>
      <c r="BR311" s="420"/>
      <c r="BS311" s="330">
        <f t="shared" si="16"/>
        <v>8.236504113</v>
      </c>
      <c r="BT311" s="331">
        <f t="shared" si="17"/>
        <v>17.21917536</v>
      </c>
      <c r="BU311" s="331"/>
      <c r="BV311" s="333"/>
      <c r="BW311" s="330"/>
      <c r="BX311" s="331"/>
      <c r="BY311" s="331"/>
      <c r="BZ311" s="340"/>
      <c r="CA311" s="462" t="s">
        <v>846</v>
      </c>
      <c r="CB311" s="319" t="s">
        <v>846</v>
      </c>
      <c r="CC311" s="319" t="s">
        <v>846</v>
      </c>
      <c r="CD311" s="319" t="s">
        <v>846</v>
      </c>
      <c r="CE311" s="319" t="s">
        <v>846</v>
      </c>
      <c r="CF311" s="319" t="s">
        <v>846</v>
      </c>
      <c r="CG311" s="319" t="s">
        <v>846</v>
      </c>
      <c r="CH311" s="319" t="s">
        <v>846</v>
      </c>
      <c r="CI311" s="338"/>
      <c r="CJ311" s="341"/>
      <c r="CK311" s="342">
        <f t="shared" si="18"/>
        <v>8.236504113</v>
      </c>
      <c r="CL311" s="333">
        <f t="shared" si="19"/>
        <v>32.75667871</v>
      </c>
      <c r="CM311" s="421" t="s">
        <v>1129</v>
      </c>
      <c r="CN311" s="416"/>
      <c r="CO311" s="416"/>
      <c r="CP311" s="416"/>
    </row>
    <row r="312">
      <c r="B312" s="316"/>
      <c r="C312" s="417">
        <v>43753.0</v>
      </c>
      <c r="D312" s="319" t="s">
        <v>1125</v>
      </c>
      <c r="E312" s="319">
        <v>15.0</v>
      </c>
      <c r="F312" s="332"/>
      <c r="G312" s="321">
        <v>0.5701388888888889</v>
      </c>
      <c r="H312" s="323">
        <v>0.5706597222222223</v>
      </c>
      <c r="I312" s="323"/>
      <c r="J312" s="323"/>
      <c r="K312" s="323">
        <v>0.5720486111111112</v>
      </c>
      <c r="L312" s="322">
        <f t="shared" si="7"/>
        <v>0.001909722222</v>
      </c>
      <c r="M312" s="319" t="s">
        <v>166</v>
      </c>
      <c r="N312" s="324" t="s">
        <v>187</v>
      </c>
      <c r="O312" s="419" t="s">
        <v>200</v>
      </c>
      <c r="P312" s="319" t="s">
        <v>239</v>
      </c>
      <c r="Q312" s="318"/>
      <c r="R312" s="326">
        <v>17.0</v>
      </c>
      <c r="S312" s="319">
        <v>7.0</v>
      </c>
      <c r="T312" s="332"/>
      <c r="U312" s="319">
        <v>5.0</v>
      </c>
      <c r="V312" s="319"/>
      <c r="W312" s="319"/>
      <c r="X312" s="319"/>
      <c r="Y312" s="319"/>
      <c r="Z312" s="319" t="s">
        <v>318</v>
      </c>
      <c r="AA312" s="319"/>
      <c r="AB312" s="318"/>
      <c r="AC312" s="327">
        <v>5.0</v>
      </c>
      <c r="AD312" s="319"/>
      <c r="AE312" s="319"/>
      <c r="AF312" s="319"/>
      <c r="AG312" s="319"/>
      <c r="AH312" s="319"/>
      <c r="AI312" s="319"/>
      <c r="AJ312" s="327"/>
      <c r="AK312" s="328"/>
      <c r="AL312" s="319"/>
      <c r="AM312" s="319"/>
      <c r="AN312" s="319"/>
      <c r="AO312" s="319"/>
      <c r="AP312" s="319"/>
      <c r="AQ312" s="319"/>
      <c r="AR312" s="319"/>
      <c r="AS312" s="327"/>
      <c r="AT312" s="461" t="s">
        <v>182</v>
      </c>
      <c r="AU312" s="324" t="s">
        <v>845</v>
      </c>
      <c r="AV312" s="330">
        <f>SQRT(($R312-Infrastructure!J$3)^2+($S312-Infrastructure!K$3)^2)</f>
        <v>27.90877998</v>
      </c>
      <c r="AW312" s="331">
        <f>SQRT(($R312-Infrastructure!J$4)^2+($S312-Infrastructure!K$4)^2)</f>
        <v>20.39436197</v>
      </c>
      <c r="AX312" s="331">
        <f>SQRT(($R312-Infrastructure!J$5)^2+($S312-Infrastructure!K$5)^2)</f>
        <v>17.40402252</v>
      </c>
      <c r="AY312" s="331">
        <f>SQRT(($R312-Infrastructure!J$6)^2+($S312-Infrastructure!K$6)^2)</f>
        <v>9.617692031</v>
      </c>
      <c r="AZ312" s="331">
        <f>SQRT(($R312-Infrastructure!J$7)^2+($S312-Infrastructure!K$7)^2)</f>
        <v>7.559100476</v>
      </c>
      <c r="BA312" s="331">
        <f>SQRT(($R312-Infrastructure!J$8)^2+($S312-Infrastructure!K$8)^2)</f>
        <v>14.71393897</v>
      </c>
      <c r="BB312" s="331">
        <f>SQRT(($R312-Infrastructure!J$9)^2+($S312-Infrastructure!K$9)^2)</f>
        <v>23.07834483</v>
      </c>
      <c r="BC312" s="331">
        <f>SQRT(($R312-Infrastructure!J$10)^2+($S312-Infrastructure!K$10)^2)</f>
        <v>24.35159132</v>
      </c>
      <c r="BD312" s="318"/>
      <c r="BE312" s="332"/>
      <c r="BF312" s="330">
        <f t="shared" si="14"/>
        <v>7.559100476</v>
      </c>
      <c r="BG312" s="333">
        <f t="shared" si="15"/>
        <v>27.90877998</v>
      </c>
      <c r="BH312" s="334"/>
      <c r="BI312" s="316"/>
      <c r="BJ312" s="318"/>
      <c r="BK312" s="318"/>
      <c r="BL312" s="319" t="s">
        <v>846</v>
      </c>
      <c r="BM312" s="319" t="s">
        <v>846</v>
      </c>
      <c r="BN312" s="319" t="s">
        <v>846</v>
      </c>
      <c r="BO312" s="318"/>
      <c r="BP312" s="318"/>
      <c r="BQ312" s="338"/>
      <c r="BR312" s="420"/>
      <c r="BS312" s="330">
        <f t="shared" si="16"/>
        <v>7.559100476</v>
      </c>
      <c r="BT312" s="331">
        <f t="shared" si="17"/>
        <v>14.71393897</v>
      </c>
      <c r="BU312" s="331"/>
      <c r="BV312" s="333"/>
      <c r="BW312" s="330"/>
      <c r="BX312" s="331"/>
      <c r="BY312" s="331"/>
      <c r="BZ312" s="340"/>
      <c r="CA312" s="462" t="s">
        <v>846</v>
      </c>
      <c r="CB312" s="319" t="s">
        <v>846</v>
      </c>
      <c r="CC312" s="319" t="s">
        <v>846</v>
      </c>
      <c r="CD312" s="319" t="s">
        <v>846</v>
      </c>
      <c r="CE312" s="319" t="s">
        <v>846</v>
      </c>
      <c r="CF312" s="319" t="s">
        <v>846</v>
      </c>
      <c r="CG312" s="319" t="s">
        <v>846</v>
      </c>
      <c r="CH312" s="319" t="s">
        <v>846</v>
      </c>
      <c r="CI312" s="338"/>
      <c r="CJ312" s="341"/>
      <c r="CK312" s="342">
        <f t="shared" si="18"/>
        <v>7.559100476</v>
      </c>
      <c r="CL312" s="333">
        <f t="shared" si="19"/>
        <v>27.90877998</v>
      </c>
      <c r="CM312" s="421" t="s">
        <v>1134</v>
      </c>
      <c r="CN312" s="416"/>
      <c r="CO312" s="416"/>
      <c r="CP312" s="416"/>
    </row>
    <row r="313">
      <c r="B313" s="464"/>
      <c r="C313" s="465">
        <v>43753.0</v>
      </c>
      <c r="D313" s="466" t="s">
        <v>1125</v>
      </c>
      <c r="E313" s="466">
        <v>16.0</v>
      </c>
      <c r="F313" s="467"/>
      <c r="G313" s="468">
        <v>0.5743055555555555</v>
      </c>
      <c r="H313" s="469">
        <v>0.5746527777777778</v>
      </c>
      <c r="I313" s="469"/>
      <c r="J313" s="469"/>
      <c r="K313" s="469">
        <v>0.5760416666666667</v>
      </c>
      <c r="L313" s="470">
        <f t="shared" si="7"/>
        <v>0.001736111111</v>
      </c>
      <c r="M313" s="466" t="s">
        <v>166</v>
      </c>
      <c r="N313" s="471" t="s">
        <v>187</v>
      </c>
      <c r="O313" s="472"/>
      <c r="P313" s="473"/>
      <c r="Q313" s="473"/>
      <c r="R313" s="474"/>
      <c r="S313" s="473"/>
      <c r="T313" s="467"/>
      <c r="U313" s="466">
        <v>0.0</v>
      </c>
      <c r="V313" s="466"/>
      <c r="W313" s="466"/>
      <c r="X313" s="466"/>
      <c r="Y313" s="466"/>
      <c r="Z313" s="473"/>
      <c r="AA313" s="473"/>
      <c r="AB313" s="473"/>
      <c r="AC313" s="475"/>
      <c r="AD313" s="473"/>
      <c r="AE313" s="473"/>
      <c r="AF313" s="473"/>
      <c r="AG313" s="473"/>
      <c r="AH313" s="473"/>
      <c r="AI313" s="473"/>
      <c r="AJ313" s="475"/>
      <c r="AK313" s="476"/>
      <c r="AL313" s="473"/>
      <c r="AM313" s="473"/>
      <c r="AN313" s="473"/>
      <c r="AO313" s="473"/>
      <c r="AP313" s="473"/>
      <c r="AQ313" s="473"/>
      <c r="AR313" s="473"/>
      <c r="AS313" s="475"/>
      <c r="AT313" s="477"/>
      <c r="AU313" s="471" t="s">
        <v>845</v>
      </c>
      <c r="AV313" s="478">
        <f>SQRT(($R313-Infrastructure!J$3)^2+($S313-Infrastructure!K$3)^2)</f>
        <v>28.90155705</v>
      </c>
      <c r="AW313" s="479">
        <f>SQRT(($R313-Infrastructure!J$4)^2+($S313-Infrastructure!K$4)^2)</f>
        <v>17.80252791</v>
      </c>
      <c r="AX313" s="479">
        <f>SQRT(($R313-Infrastructure!J$5)^2+($S313-Infrastructure!K$5)^2)</f>
        <v>5.10881591</v>
      </c>
      <c r="AY313" s="479">
        <f>SQRT(($R313-Infrastructure!J$6)^2+($S313-Infrastructure!K$6)^2)</f>
        <v>10.10445446</v>
      </c>
      <c r="AZ313" s="479">
        <f>SQRT(($R313-Infrastructure!J$7)^2+($S313-Infrastructure!K$7)^2)</f>
        <v>20.502195</v>
      </c>
      <c r="BA313" s="479">
        <f>SQRT(($R313-Infrastructure!J$8)^2+($S313-Infrastructure!K$8)^2)</f>
        <v>30.10149498</v>
      </c>
      <c r="BB313" s="479">
        <f>SQRT(($R313-Infrastructure!J$9)^2+($S313-Infrastructure!K$9)^2)</f>
        <v>40.3238143</v>
      </c>
      <c r="BC313" s="479">
        <f>SQRT(($R313-Infrastructure!J$10)^2+($S313-Infrastructure!K$10)^2)</f>
        <v>42.72001873</v>
      </c>
      <c r="BD313" s="473"/>
      <c r="BE313" s="467"/>
      <c r="BF313" s="478">
        <f t="shared" si="14"/>
        <v>5.10881591</v>
      </c>
      <c r="BG313" s="480">
        <f t="shared" si="15"/>
        <v>42.72001873</v>
      </c>
      <c r="BH313" s="481"/>
      <c r="BI313" s="464"/>
      <c r="BJ313" s="473"/>
      <c r="BK313" s="473"/>
      <c r="BL313" s="473"/>
      <c r="BM313" s="473"/>
      <c r="BN313" s="473"/>
      <c r="BO313" s="473"/>
      <c r="BP313" s="473"/>
      <c r="BQ313" s="473"/>
      <c r="BR313" s="467"/>
      <c r="BS313" s="478">
        <f t="shared" si="16"/>
        <v>0</v>
      </c>
      <c r="BT313" s="479">
        <f t="shared" si="17"/>
        <v>0</v>
      </c>
      <c r="BU313" s="479"/>
      <c r="BV313" s="480"/>
      <c r="BW313" s="478"/>
      <c r="BX313" s="479"/>
      <c r="BY313" s="479"/>
      <c r="BZ313" s="482"/>
      <c r="CA313" s="464"/>
      <c r="CB313" s="473"/>
      <c r="CC313" s="473"/>
      <c r="CD313" s="473"/>
      <c r="CE313" s="473"/>
      <c r="CF313" s="473"/>
      <c r="CG313" s="473"/>
      <c r="CH313" s="473"/>
      <c r="CI313" s="473"/>
      <c r="CJ313" s="475"/>
      <c r="CK313" s="483">
        <f t="shared" si="18"/>
        <v>0</v>
      </c>
      <c r="CL313" s="480">
        <f t="shared" si="19"/>
        <v>0</v>
      </c>
      <c r="CM313" s="484" t="s">
        <v>1128</v>
      </c>
      <c r="CN313" s="485"/>
      <c r="CO313" s="485"/>
      <c r="CP313" s="485"/>
    </row>
    <row r="314">
      <c r="B314" s="316"/>
      <c r="C314" s="417">
        <v>43753.0</v>
      </c>
      <c r="D314" s="319" t="s">
        <v>1125</v>
      </c>
      <c r="E314" s="319">
        <v>17.0</v>
      </c>
      <c r="F314" s="332"/>
      <c r="G314" s="321">
        <v>0.5784722222222223</v>
      </c>
      <c r="H314" s="323">
        <v>0.5788194444444444</v>
      </c>
      <c r="I314" s="323"/>
      <c r="J314" s="323"/>
      <c r="K314" s="323">
        <v>0.5802083333333333</v>
      </c>
      <c r="L314" s="322">
        <f t="shared" si="7"/>
        <v>0.001736111111</v>
      </c>
      <c r="M314" s="319" t="s">
        <v>166</v>
      </c>
      <c r="N314" s="324" t="s">
        <v>187</v>
      </c>
      <c r="O314" s="419" t="s">
        <v>200</v>
      </c>
      <c r="P314" s="319" t="s">
        <v>239</v>
      </c>
      <c r="Q314" s="318"/>
      <c r="R314" s="326">
        <v>17.0</v>
      </c>
      <c r="S314" s="319">
        <v>7.0</v>
      </c>
      <c r="T314" s="332"/>
      <c r="U314" s="319">
        <v>7.5</v>
      </c>
      <c r="V314" s="319"/>
      <c r="W314" s="319"/>
      <c r="X314" s="319"/>
      <c r="Y314" s="319"/>
      <c r="Z314" s="319" t="s">
        <v>318</v>
      </c>
      <c r="AA314" s="319"/>
      <c r="AB314" s="318"/>
      <c r="AC314" s="327">
        <v>5.0</v>
      </c>
      <c r="AD314" s="319"/>
      <c r="AE314" s="319"/>
      <c r="AF314" s="319"/>
      <c r="AG314" s="319"/>
      <c r="AH314" s="319"/>
      <c r="AI314" s="319"/>
      <c r="AJ314" s="327"/>
      <c r="AK314" s="328"/>
      <c r="AL314" s="319"/>
      <c r="AM314" s="319"/>
      <c r="AN314" s="319"/>
      <c r="AO314" s="319"/>
      <c r="AP314" s="319"/>
      <c r="AQ314" s="319"/>
      <c r="AR314" s="319"/>
      <c r="AS314" s="327"/>
      <c r="AT314" s="461" t="s">
        <v>182</v>
      </c>
      <c r="AU314" s="324" t="s">
        <v>845</v>
      </c>
      <c r="AV314" s="330">
        <f>SQRT(($R314-Infrastructure!J$3)^2+($S314-Infrastructure!K$3)^2)</f>
        <v>27.90877998</v>
      </c>
      <c r="AW314" s="331">
        <f>SQRT(($R314-Infrastructure!J$4)^2+($S314-Infrastructure!K$4)^2)</f>
        <v>20.39436197</v>
      </c>
      <c r="AX314" s="331">
        <f>SQRT(($R314-Infrastructure!J$5)^2+($S314-Infrastructure!K$5)^2)</f>
        <v>17.40402252</v>
      </c>
      <c r="AY314" s="331">
        <f>SQRT(($R314-Infrastructure!J$6)^2+($S314-Infrastructure!K$6)^2)</f>
        <v>9.617692031</v>
      </c>
      <c r="AZ314" s="331">
        <f>SQRT(($R314-Infrastructure!J$7)^2+($S314-Infrastructure!K$7)^2)</f>
        <v>7.559100476</v>
      </c>
      <c r="BA314" s="331">
        <f>SQRT(($R314-Infrastructure!J$8)^2+($S314-Infrastructure!K$8)^2)</f>
        <v>14.71393897</v>
      </c>
      <c r="BB314" s="331">
        <f>SQRT(($R314-Infrastructure!J$9)^2+($S314-Infrastructure!K$9)^2)</f>
        <v>23.07834483</v>
      </c>
      <c r="BC314" s="331">
        <f>SQRT(($R314-Infrastructure!J$10)^2+($S314-Infrastructure!K$10)^2)</f>
        <v>24.35159132</v>
      </c>
      <c r="BD314" s="318"/>
      <c r="BE314" s="332"/>
      <c r="BF314" s="330">
        <f t="shared" si="14"/>
        <v>7.559100476</v>
      </c>
      <c r="BG314" s="333">
        <f t="shared" si="15"/>
        <v>27.90877998</v>
      </c>
      <c r="BH314" s="334"/>
      <c r="BI314" s="316"/>
      <c r="BJ314" s="318"/>
      <c r="BK314" s="318"/>
      <c r="BL314" s="319" t="s">
        <v>846</v>
      </c>
      <c r="BM314" s="319" t="s">
        <v>846</v>
      </c>
      <c r="BN314" s="319" t="s">
        <v>846</v>
      </c>
      <c r="BO314" s="318"/>
      <c r="BP314" s="318"/>
      <c r="BQ314" s="338"/>
      <c r="BR314" s="420"/>
      <c r="BS314" s="330">
        <f t="shared" si="16"/>
        <v>7.559100476</v>
      </c>
      <c r="BT314" s="331">
        <f t="shared" si="17"/>
        <v>14.71393897</v>
      </c>
      <c r="BU314" s="331"/>
      <c r="BV314" s="333"/>
      <c r="BW314" s="330"/>
      <c r="BX314" s="331"/>
      <c r="BY314" s="331"/>
      <c r="BZ314" s="340"/>
      <c r="CA314" s="462" t="s">
        <v>990</v>
      </c>
      <c r="CB314" s="319" t="s">
        <v>990</v>
      </c>
      <c r="CC314" s="426" t="s">
        <v>990</v>
      </c>
      <c r="CD314" s="426" t="s">
        <v>990</v>
      </c>
      <c r="CE314" s="426" t="s">
        <v>990</v>
      </c>
      <c r="CF314" s="426" t="s">
        <v>990</v>
      </c>
      <c r="CG314" s="426" t="s">
        <v>990</v>
      </c>
      <c r="CH314" s="426" t="s">
        <v>990</v>
      </c>
      <c r="CI314" s="338"/>
      <c r="CJ314" s="341"/>
      <c r="CK314" s="342">
        <f t="shared" si="18"/>
        <v>0</v>
      </c>
      <c r="CL314" s="333">
        <f t="shared" si="19"/>
        <v>0</v>
      </c>
      <c r="CM314" s="421" t="s">
        <v>1126</v>
      </c>
      <c r="CN314" s="416"/>
      <c r="CO314" s="416"/>
      <c r="CP314" s="416"/>
    </row>
    <row r="315">
      <c r="B315" s="316"/>
      <c r="C315" s="417">
        <v>43753.0</v>
      </c>
      <c r="D315" s="319" t="s">
        <v>1125</v>
      </c>
      <c r="E315" s="319">
        <v>18.0</v>
      </c>
      <c r="F315" s="332"/>
      <c r="G315" s="321">
        <v>0.5826388888888889</v>
      </c>
      <c r="H315" s="323">
        <v>0.5831597222222222</v>
      </c>
      <c r="I315" s="323"/>
      <c r="J315" s="323"/>
      <c r="K315" s="323">
        <v>0.5847222222222223</v>
      </c>
      <c r="L315" s="322">
        <f t="shared" si="7"/>
        <v>0.002083333333</v>
      </c>
      <c r="M315" s="319" t="s">
        <v>166</v>
      </c>
      <c r="N315" s="324" t="s">
        <v>187</v>
      </c>
      <c r="O315" s="419" t="s">
        <v>207</v>
      </c>
      <c r="P315" s="319" t="s">
        <v>242</v>
      </c>
      <c r="Q315" s="318"/>
      <c r="R315" s="326">
        <v>25.8</v>
      </c>
      <c r="S315" s="319">
        <v>13.5</v>
      </c>
      <c r="T315" s="332"/>
      <c r="U315" s="319">
        <v>3.8</v>
      </c>
      <c r="V315" s="319"/>
      <c r="W315" s="319"/>
      <c r="X315" s="319"/>
      <c r="Y315" s="319"/>
      <c r="Z315" s="319" t="s">
        <v>374</v>
      </c>
      <c r="AA315" s="319"/>
      <c r="AB315" s="318"/>
      <c r="AC315" s="327">
        <v>10.0</v>
      </c>
      <c r="AD315" s="319"/>
      <c r="AE315" s="319"/>
      <c r="AF315" s="319"/>
      <c r="AG315" s="319"/>
      <c r="AH315" s="319"/>
      <c r="AI315" s="319"/>
      <c r="AJ315" s="327"/>
      <c r="AK315" s="328"/>
      <c r="AL315" s="319"/>
      <c r="AM315" s="319"/>
      <c r="AN315" s="319"/>
      <c r="AO315" s="319"/>
      <c r="AP315" s="319"/>
      <c r="AQ315" s="319"/>
      <c r="AR315" s="319"/>
      <c r="AS315" s="327"/>
      <c r="AT315" s="461" t="s">
        <v>182</v>
      </c>
      <c r="AU315" s="324" t="s">
        <v>845</v>
      </c>
      <c r="AV315" s="330">
        <f>SQRT(($R315-Infrastructure!J$3)^2+($S315-Infrastructure!K$3)^2)</f>
        <v>30.30462011</v>
      </c>
      <c r="AW315" s="331">
        <f>SQRT(($R315-Infrastructure!J$4)^2+($S315-Infrastructure!K$4)^2)</f>
        <v>26.45184304</v>
      </c>
      <c r="AX315" s="331">
        <f>SQRT(($R315-Infrastructure!J$5)^2+($S315-Infrastructure!K$5)^2)</f>
        <v>27.41842446</v>
      </c>
      <c r="AY315" s="331">
        <f>SQRT(($R315-Infrastructure!J$6)^2+($S315-Infrastructure!K$6)^2)</f>
        <v>20.51170398</v>
      </c>
      <c r="AZ315" s="331">
        <f>SQRT(($R315-Infrastructure!J$7)^2+($S315-Infrastructure!K$7)^2)</f>
        <v>14.22427503</v>
      </c>
      <c r="BA315" s="331">
        <f>SQRT(($R315-Infrastructure!J$8)^2+($S315-Infrastructure!K$8)^2)</f>
        <v>13.88272308</v>
      </c>
      <c r="BB315" s="331">
        <f>SQRT(($R315-Infrastructure!J$9)^2+($S315-Infrastructure!K$9)^2)</f>
        <v>16.49848478</v>
      </c>
      <c r="BC315" s="331">
        <f>SQRT(($R315-Infrastructure!J$10)^2+($S315-Infrastructure!K$10)^2)</f>
        <v>14.27900557</v>
      </c>
      <c r="BD315" s="318"/>
      <c r="BE315" s="332"/>
      <c r="BF315" s="330">
        <f t="shared" si="14"/>
        <v>13.88272308</v>
      </c>
      <c r="BG315" s="333">
        <f t="shared" si="15"/>
        <v>30.30462011</v>
      </c>
      <c r="BH315" s="334"/>
      <c r="BI315" s="316"/>
      <c r="BJ315" s="318"/>
      <c r="BK315" s="318"/>
      <c r="BL315" s="318"/>
      <c r="BM315" s="319" t="s">
        <v>846</v>
      </c>
      <c r="BN315" s="319" t="s">
        <v>846</v>
      </c>
      <c r="BO315" s="318"/>
      <c r="BP315" s="319" t="s">
        <v>846</v>
      </c>
      <c r="BQ315" s="338"/>
      <c r="BR315" s="420"/>
      <c r="BS315" s="330">
        <f t="shared" si="16"/>
        <v>13.88272308</v>
      </c>
      <c r="BT315" s="331">
        <f t="shared" si="17"/>
        <v>14.27900557</v>
      </c>
      <c r="BU315" s="331"/>
      <c r="BV315" s="333"/>
      <c r="BW315" s="330"/>
      <c r="BX315" s="331"/>
      <c r="BY315" s="331"/>
      <c r="BZ315" s="340"/>
      <c r="CA315" s="462" t="s">
        <v>846</v>
      </c>
      <c r="CB315" s="319" t="s">
        <v>846</v>
      </c>
      <c r="CC315" s="319" t="s">
        <v>846</v>
      </c>
      <c r="CD315" s="319" t="s">
        <v>846</v>
      </c>
      <c r="CE315" s="319" t="s">
        <v>846</v>
      </c>
      <c r="CF315" s="319" t="s">
        <v>846</v>
      </c>
      <c r="CG315" s="319" t="s">
        <v>846</v>
      </c>
      <c r="CH315" s="319" t="s">
        <v>846</v>
      </c>
      <c r="CI315" s="338"/>
      <c r="CJ315" s="341"/>
      <c r="CK315" s="342">
        <f t="shared" si="18"/>
        <v>13.88272308</v>
      </c>
      <c r="CL315" s="333">
        <f t="shared" si="19"/>
        <v>30.30462011</v>
      </c>
      <c r="CM315" s="421" t="s">
        <v>1129</v>
      </c>
      <c r="CN315" s="416"/>
      <c r="CO315" s="416"/>
      <c r="CP315" s="416"/>
    </row>
    <row r="316">
      <c r="B316" s="316"/>
      <c r="C316" s="417">
        <v>43753.0</v>
      </c>
      <c r="D316" s="319" t="s">
        <v>1131</v>
      </c>
      <c r="E316" s="319">
        <v>19.0</v>
      </c>
      <c r="F316" s="332"/>
      <c r="G316" s="321">
        <v>0.5878472222222222</v>
      </c>
      <c r="H316" s="323">
        <v>0.5887152777777778</v>
      </c>
      <c r="I316" s="323"/>
      <c r="J316" s="323"/>
      <c r="K316" s="323">
        <v>0.5901041666666667</v>
      </c>
      <c r="L316" s="322">
        <f t="shared" si="7"/>
        <v>0.002256944444</v>
      </c>
      <c r="M316" s="319" t="s">
        <v>166</v>
      </c>
      <c r="N316" s="324" t="s">
        <v>187</v>
      </c>
      <c r="O316" s="419" t="s">
        <v>203</v>
      </c>
      <c r="P316" s="319" t="s">
        <v>237</v>
      </c>
      <c r="Q316" s="318"/>
      <c r="R316" s="326">
        <v>14.84</v>
      </c>
      <c r="S316" s="319">
        <v>2.37</v>
      </c>
      <c r="T316" s="332"/>
      <c r="U316" s="319">
        <v>1.5</v>
      </c>
      <c r="V316" s="319"/>
      <c r="W316" s="319"/>
      <c r="X316" s="319"/>
      <c r="Y316" s="319"/>
      <c r="Z316" s="319" t="s">
        <v>357</v>
      </c>
      <c r="AA316" s="319"/>
      <c r="AB316" s="318"/>
      <c r="AC316" s="327">
        <v>6.0</v>
      </c>
      <c r="AD316" s="319"/>
      <c r="AE316" s="319"/>
      <c r="AF316" s="319"/>
      <c r="AG316" s="319"/>
      <c r="AH316" s="319"/>
      <c r="AI316" s="319"/>
      <c r="AJ316" s="327"/>
      <c r="AK316" s="328"/>
      <c r="AL316" s="319"/>
      <c r="AM316" s="319"/>
      <c r="AN316" s="319"/>
      <c r="AO316" s="319"/>
      <c r="AP316" s="319"/>
      <c r="AQ316" s="319"/>
      <c r="AR316" s="319"/>
      <c r="AS316" s="327"/>
      <c r="AT316" s="461" t="s">
        <v>182</v>
      </c>
      <c r="AU316" s="324" t="s">
        <v>846</v>
      </c>
      <c r="AV316" s="330">
        <f>SQRT(($R316-Infrastructure!J$3)^2+($S316-Infrastructure!K$3)^2)</f>
        <v>30.54603902</v>
      </c>
      <c r="AW316" s="331">
        <f>SQRT(($R316-Infrastructure!J$4)^2+($S316-Infrastructure!K$4)^2)</f>
        <v>21.61722693</v>
      </c>
      <c r="AX316" s="331">
        <f>SQRT(($R316-Infrastructure!J$5)^2+($S316-Infrastructure!K$5)^2)</f>
        <v>15.38416394</v>
      </c>
      <c r="AY316" s="331">
        <f>SQRT(($R316-Infrastructure!J$6)^2+($S316-Infrastructure!K$6)^2)</f>
        <v>5.172281895</v>
      </c>
      <c r="AZ316" s="331">
        <f>SQRT(($R316-Infrastructure!J$7)^2+($S316-Infrastructure!K$7)^2)</f>
        <v>6.026649152</v>
      </c>
      <c r="BA316" s="331">
        <f>SQRT(($R316-Infrastructure!J$8)^2+($S316-Infrastructure!K$8)^2)</f>
        <v>15.39975649</v>
      </c>
      <c r="BB316" s="331">
        <f>SQRT(($R316-Infrastructure!J$9)^2+($S316-Infrastructure!K$9)^2)</f>
        <v>25.3076767</v>
      </c>
      <c r="BC316" s="331">
        <f>SQRT(($R316-Infrastructure!J$10)^2+($S316-Infrastructure!K$10)^2)</f>
        <v>28.15213136</v>
      </c>
      <c r="BD316" s="318"/>
      <c r="BE316" s="332"/>
      <c r="BF316" s="330">
        <f t="shared" si="14"/>
        <v>5.172281895</v>
      </c>
      <c r="BG316" s="333">
        <f t="shared" si="15"/>
        <v>30.54603902</v>
      </c>
      <c r="BH316" s="334"/>
      <c r="BI316" s="316"/>
      <c r="BJ316" s="318"/>
      <c r="BK316" s="318"/>
      <c r="BL316" s="319" t="s">
        <v>846</v>
      </c>
      <c r="BM316" s="319" t="s">
        <v>846</v>
      </c>
      <c r="BN316" s="318"/>
      <c r="BO316" s="318"/>
      <c r="BP316" s="318"/>
      <c r="BQ316" s="338"/>
      <c r="BR316" s="420"/>
      <c r="BS316" s="330">
        <f t="shared" si="16"/>
        <v>5.172281895</v>
      </c>
      <c r="BT316" s="331">
        <f t="shared" si="17"/>
        <v>6.026649152</v>
      </c>
      <c r="BU316" s="331"/>
      <c r="BV316" s="333"/>
      <c r="BW316" s="330"/>
      <c r="BX316" s="331"/>
      <c r="BY316" s="331"/>
      <c r="BZ316" s="340"/>
      <c r="CA316" s="486" t="s">
        <v>990</v>
      </c>
      <c r="CB316" s="426" t="s">
        <v>990</v>
      </c>
      <c r="CC316" s="426" t="s">
        <v>990</v>
      </c>
      <c r="CD316" s="426" t="s">
        <v>990</v>
      </c>
      <c r="CE316" s="426" t="s">
        <v>990</v>
      </c>
      <c r="CF316" s="426" t="s">
        <v>990</v>
      </c>
      <c r="CG316" s="426" t="s">
        <v>990</v>
      </c>
      <c r="CH316" s="426" t="s">
        <v>990</v>
      </c>
      <c r="CI316" s="338"/>
      <c r="CJ316" s="341"/>
      <c r="CK316" s="342">
        <f t="shared" si="18"/>
        <v>0</v>
      </c>
      <c r="CL316" s="333">
        <f t="shared" si="19"/>
        <v>0</v>
      </c>
      <c r="CM316" s="421" t="s">
        <v>1135</v>
      </c>
      <c r="CN316" s="416"/>
      <c r="CO316" s="416"/>
      <c r="CP316" s="416"/>
    </row>
    <row r="317">
      <c r="B317" s="316"/>
      <c r="C317" s="417">
        <v>43753.0</v>
      </c>
      <c r="D317" s="319" t="s">
        <v>1131</v>
      </c>
      <c r="E317" s="319">
        <v>19.0</v>
      </c>
      <c r="F317" s="332"/>
      <c r="G317" s="321">
        <v>0.5878472222222222</v>
      </c>
      <c r="H317" s="323">
        <v>0.5887152777777778</v>
      </c>
      <c r="I317" s="323"/>
      <c r="J317" s="323"/>
      <c r="K317" s="323">
        <v>0.5901041666666667</v>
      </c>
      <c r="L317" s="322">
        <f t="shared" si="7"/>
        <v>0.002256944444</v>
      </c>
      <c r="M317" s="319" t="s">
        <v>166</v>
      </c>
      <c r="N317" s="324" t="s">
        <v>187</v>
      </c>
      <c r="O317" s="419" t="s">
        <v>204</v>
      </c>
      <c r="P317" s="319" t="s">
        <v>244</v>
      </c>
      <c r="Q317" s="318"/>
      <c r="R317" s="326">
        <v>17.6</v>
      </c>
      <c r="S317" s="319">
        <v>3.6</v>
      </c>
      <c r="T317" s="332"/>
      <c r="U317" s="319">
        <v>6.4</v>
      </c>
      <c r="V317" s="319"/>
      <c r="W317" s="319"/>
      <c r="X317" s="319"/>
      <c r="Y317" s="319"/>
      <c r="Z317" s="319" t="s">
        <v>365</v>
      </c>
      <c r="AA317" s="319"/>
      <c r="AB317" s="318"/>
      <c r="AC317" s="327">
        <v>8.0</v>
      </c>
      <c r="AD317" s="319"/>
      <c r="AE317" s="319"/>
      <c r="AF317" s="319"/>
      <c r="AG317" s="319"/>
      <c r="AH317" s="319"/>
      <c r="AI317" s="319"/>
      <c r="AJ317" s="327"/>
      <c r="AK317" s="328"/>
      <c r="AL317" s="319"/>
      <c r="AM317" s="319"/>
      <c r="AN317" s="319"/>
      <c r="AO317" s="319"/>
      <c r="AP317" s="319"/>
      <c r="AQ317" s="319"/>
      <c r="AR317" s="319"/>
      <c r="AS317" s="327"/>
      <c r="AT317" s="461" t="s">
        <v>182</v>
      </c>
      <c r="AU317" s="324" t="s">
        <v>846</v>
      </c>
      <c r="AV317" s="330">
        <f>SQRT(($R317-Infrastructure!J$3)^2+($S317-Infrastructure!K$3)^2)</f>
        <v>30.99193443</v>
      </c>
      <c r="AW317" s="331">
        <f>SQRT(($R317-Infrastructure!J$4)^2+($S317-Infrastructure!K$4)^2)</f>
        <v>22.84841351</v>
      </c>
      <c r="AX317" s="331">
        <f>SQRT(($R317-Infrastructure!J$5)^2+($S317-Infrastructure!K$5)^2)</f>
        <v>17.96273921</v>
      </c>
      <c r="AY317" s="331">
        <f>SQRT(($R317-Infrastructure!J$6)^2+($S317-Infrastructure!K$6)^2)</f>
        <v>8.19390017</v>
      </c>
      <c r="AZ317" s="331">
        <f>SQRT(($R317-Infrastructure!J$7)^2+($S317-Infrastructure!K$7)^2)</f>
        <v>4.393176527</v>
      </c>
      <c r="BA317" s="331">
        <f>SQRT(($R317-Infrastructure!J$8)^2+($S317-Infrastructure!K$8)^2)</f>
        <v>12.92826361</v>
      </c>
      <c r="BB317" s="331">
        <f>SQRT(($R317-Infrastructure!J$9)^2+($S317-Infrastructure!K$9)^2)</f>
        <v>22.45016704</v>
      </c>
      <c r="BC317" s="331">
        <f>SQRT(($R317-Infrastructure!J$10)^2+($S317-Infrastructure!K$10)^2)</f>
        <v>25.13404066</v>
      </c>
      <c r="BD317" s="318"/>
      <c r="BE317" s="332"/>
      <c r="BF317" s="330">
        <f t="shared" si="14"/>
        <v>4.393176527</v>
      </c>
      <c r="BG317" s="333">
        <f t="shared" si="15"/>
        <v>30.99193443</v>
      </c>
      <c r="BH317" s="334"/>
      <c r="BI317" s="316"/>
      <c r="BJ317" s="318"/>
      <c r="BK317" s="318"/>
      <c r="BL317" s="319" t="s">
        <v>846</v>
      </c>
      <c r="BM317" s="319" t="s">
        <v>846</v>
      </c>
      <c r="BN317" s="318"/>
      <c r="BO317" s="318"/>
      <c r="BP317" s="318"/>
      <c r="BQ317" s="338"/>
      <c r="BR317" s="420"/>
      <c r="BS317" s="330">
        <f t="shared" si="16"/>
        <v>4.393176527</v>
      </c>
      <c r="BT317" s="331">
        <f t="shared" si="17"/>
        <v>8.19390017</v>
      </c>
      <c r="BU317" s="331"/>
      <c r="BV317" s="333"/>
      <c r="BW317" s="330"/>
      <c r="BX317" s="331"/>
      <c r="BY317" s="331"/>
      <c r="BZ317" s="340"/>
      <c r="CA317" s="462" t="s">
        <v>990</v>
      </c>
      <c r="CB317" s="319" t="s">
        <v>990</v>
      </c>
      <c r="CC317" s="319" t="s">
        <v>990</v>
      </c>
      <c r="CD317" s="319" t="s">
        <v>990</v>
      </c>
      <c r="CE317" s="319" t="s">
        <v>990</v>
      </c>
      <c r="CF317" s="319" t="s">
        <v>990</v>
      </c>
      <c r="CG317" s="319" t="s">
        <v>990</v>
      </c>
      <c r="CH317" s="319" t="s">
        <v>990</v>
      </c>
      <c r="CI317" s="338"/>
      <c r="CJ317" s="341"/>
      <c r="CK317" s="342">
        <f t="shared" si="18"/>
        <v>0</v>
      </c>
      <c r="CL317" s="333">
        <f t="shared" si="19"/>
        <v>0</v>
      </c>
      <c r="CM317" s="423"/>
      <c r="CN317" s="424"/>
      <c r="CO317" s="424"/>
      <c r="CP317" s="424"/>
    </row>
    <row r="318">
      <c r="B318" s="316"/>
      <c r="C318" s="417">
        <v>43753.0</v>
      </c>
      <c r="D318" s="319" t="s">
        <v>1125</v>
      </c>
      <c r="E318" s="319">
        <v>20.0</v>
      </c>
      <c r="F318" s="332"/>
      <c r="G318" s="321">
        <v>0.5923611111111111</v>
      </c>
      <c r="H318" s="323">
        <v>0.5928819444444444</v>
      </c>
      <c r="I318" s="323"/>
      <c r="J318" s="323"/>
      <c r="K318" s="323">
        <v>0.5942708333333333</v>
      </c>
      <c r="L318" s="322">
        <f t="shared" si="7"/>
        <v>0.001909722222</v>
      </c>
      <c r="M318" s="319" t="s">
        <v>166</v>
      </c>
      <c r="N318" s="324" t="s">
        <v>187</v>
      </c>
      <c r="O318" s="419" t="s">
        <v>200</v>
      </c>
      <c r="P318" s="319" t="s">
        <v>239</v>
      </c>
      <c r="Q318" s="318"/>
      <c r="R318" s="326">
        <v>17.0</v>
      </c>
      <c r="S318" s="319">
        <v>7.0</v>
      </c>
      <c r="T318" s="332"/>
      <c r="U318" s="319">
        <v>7.5</v>
      </c>
      <c r="V318" s="319"/>
      <c r="W318" s="319"/>
      <c r="X318" s="319"/>
      <c r="Y318" s="319"/>
      <c r="Z318" s="319" t="s">
        <v>318</v>
      </c>
      <c r="AA318" s="319"/>
      <c r="AB318" s="318"/>
      <c r="AC318" s="327">
        <v>5.0</v>
      </c>
      <c r="AD318" s="319"/>
      <c r="AE318" s="319"/>
      <c r="AF318" s="319"/>
      <c r="AG318" s="319"/>
      <c r="AH318" s="319"/>
      <c r="AI318" s="319"/>
      <c r="AJ318" s="327"/>
      <c r="AK318" s="328"/>
      <c r="AL318" s="319"/>
      <c r="AM318" s="319"/>
      <c r="AN318" s="319"/>
      <c r="AO318" s="319"/>
      <c r="AP318" s="319"/>
      <c r="AQ318" s="319"/>
      <c r="AR318" s="319"/>
      <c r="AS318" s="327"/>
      <c r="AT318" s="461" t="s">
        <v>182</v>
      </c>
      <c r="AU318" s="324" t="s">
        <v>845</v>
      </c>
      <c r="AV318" s="330">
        <f>SQRT(($R318-Infrastructure!J$3)^2+($S318-Infrastructure!K$3)^2)</f>
        <v>27.90877998</v>
      </c>
      <c r="AW318" s="331">
        <f>SQRT(($R318-Infrastructure!J$4)^2+($S318-Infrastructure!K$4)^2)</f>
        <v>20.39436197</v>
      </c>
      <c r="AX318" s="331">
        <f>SQRT(($R318-Infrastructure!J$5)^2+($S318-Infrastructure!K$5)^2)</f>
        <v>17.40402252</v>
      </c>
      <c r="AY318" s="331">
        <f>SQRT(($R318-Infrastructure!J$6)^2+($S318-Infrastructure!K$6)^2)</f>
        <v>9.617692031</v>
      </c>
      <c r="AZ318" s="331">
        <f>SQRT(($R318-Infrastructure!J$7)^2+($S318-Infrastructure!K$7)^2)</f>
        <v>7.559100476</v>
      </c>
      <c r="BA318" s="331">
        <f>SQRT(($R318-Infrastructure!J$8)^2+($S318-Infrastructure!K$8)^2)</f>
        <v>14.71393897</v>
      </c>
      <c r="BB318" s="331">
        <f>SQRT(($R318-Infrastructure!J$9)^2+($S318-Infrastructure!K$9)^2)</f>
        <v>23.07834483</v>
      </c>
      <c r="BC318" s="331">
        <f>SQRT(($R318-Infrastructure!J$10)^2+($S318-Infrastructure!K$10)^2)</f>
        <v>24.35159132</v>
      </c>
      <c r="BD318" s="318"/>
      <c r="BE318" s="332"/>
      <c r="BF318" s="330">
        <f t="shared" si="14"/>
        <v>7.559100476</v>
      </c>
      <c r="BG318" s="333">
        <f t="shared" si="15"/>
        <v>27.90877998</v>
      </c>
      <c r="BH318" s="334"/>
      <c r="BI318" s="462" t="s">
        <v>846</v>
      </c>
      <c r="BJ318" s="319" t="s">
        <v>846</v>
      </c>
      <c r="BK318" s="319" t="s">
        <v>846</v>
      </c>
      <c r="BL318" s="319" t="s">
        <v>846</v>
      </c>
      <c r="BM318" s="319" t="s">
        <v>846</v>
      </c>
      <c r="BN318" s="319" t="s">
        <v>846</v>
      </c>
      <c r="BO318" s="318"/>
      <c r="BP318" s="319" t="s">
        <v>846</v>
      </c>
      <c r="BQ318" s="338"/>
      <c r="BR318" s="420"/>
      <c r="BS318" s="330">
        <f t="shared" si="16"/>
        <v>7.559100476</v>
      </c>
      <c r="BT318" s="331">
        <f t="shared" si="17"/>
        <v>27.90877998</v>
      </c>
      <c r="BU318" s="331"/>
      <c r="BV318" s="333"/>
      <c r="BW318" s="330"/>
      <c r="BX318" s="331"/>
      <c r="BY318" s="331"/>
      <c r="BZ318" s="340"/>
      <c r="CA318" s="462" t="s">
        <v>846</v>
      </c>
      <c r="CB318" s="319" t="s">
        <v>846</v>
      </c>
      <c r="CC318" s="319" t="s">
        <v>846</v>
      </c>
      <c r="CD318" s="319" t="s">
        <v>846</v>
      </c>
      <c r="CE318" s="319" t="s">
        <v>846</v>
      </c>
      <c r="CF318" s="319" t="s">
        <v>846</v>
      </c>
      <c r="CG318" s="319" t="s">
        <v>846</v>
      </c>
      <c r="CH318" s="319" t="s">
        <v>846</v>
      </c>
      <c r="CI318" s="338"/>
      <c r="CJ318" s="341"/>
      <c r="CK318" s="342">
        <f t="shared" si="18"/>
        <v>7.559100476</v>
      </c>
      <c r="CL318" s="333">
        <f t="shared" si="19"/>
        <v>27.90877998</v>
      </c>
      <c r="CM318" s="421" t="s">
        <v>1126</v>
      </c>
      <c r="CN318" s="416"/>
      <c r="CO318" s="416"/>
      <c r="CP318" s="416"/>
    </row>
    <row r="319">
      <c r="B319" s="316"/>
      <c r="C319" s="417">
        <v>43753.0</v>
      </c>
      <c r="D319" s="319" t="s">
        <v>1136</v>
      </c>
      <c r="E319" s="319">
        <v>21.0</v>
      </c>
      <c r="F319" s="332"/>
      <c r="G319" s="321">
        <v>0.6010416666666667</v>
      </c>
      <c r="H319" s="323">
        <v>0.6019097222222223</v>
      </c>
      <c r="I319" s="323"/>
      <c r="J319" s="323"/>
      <c r="K319" s="323">
        <v>0.6026041666666667</v>
      </c>
      <c r="L319" s="322">
        <f t="shared" si="7"/>
        <v>0.0015625</v>
      </c>
      <c r="M319" s="319" t="s">
        <v>166</v>
      </c>
      <c r="N319" s="324" t="s">
        <v>187</v>
      </c>
      <c r="O319" s="419" t="s">
        <v>201</v>
      </c>
      <c r="P319" s="319" t="s">
        <v>243</v>
      </c>
      <c r="Q319" s="318"/>
      <c r="R319" s="326">
        <v>10.0</v>
      </c>
      <c r="S319" s="319">
        <v>5.0</v>
      </c>
      <c r="T319" s="332"/>
      <c r="U319" s="319">
        <v>4.0</v>
      </c>
      <c r="V319" s="319"/>
      <c r="W319" s="319"/>
      <c r="X319" s="319"/>
      <c r="Y319" s="319"/>
      <c r="Z319" s="319" t="s">
        <v>1095</v>
      </c>
      <c r="AA319" s="319"/>
      <c r="AB319" s="318"/>
      <c r="AC319" s="463"/>
      <c r="AD319" s="318"/>
      <c r="AE319" s="318"/>
      <c r="AF319" s="318"/>
      <c r="AG319" s="318"/>
      <c r="AH319" s="318"/>
      <c r="AI319" s="318"/>
      <c r="AJ319" s="463"/>
      <c r="AK319" s="487"/>
      <c r="AL319" s="318"/>
      <c r="AM319" s="318"/>
      <c r="AN319" s="318"/>
      <c r="AO319" s="318"/>
      <c r="AP319" s="318"/>
      <c r="AQ319" s="318"/>
      <c r="AR319" s="318"/>
      <c r="AS319" s="463"/>
      <c r="AT319" s="461" t="s">
        <v>182</v>
      </c>
      <c r="AU319" s="324" t="s">
        <v>845</v>
      </c>
      <c r="AV319" s="330">
        <f>SQRT(($R319-Infrastructure!J$3)^2+($S319-Infrastructure!K$3)^2)</f>
        <v>26.02498799</v>
      </c>
      <c r="AW319" s="331">
        <f>SQRT(($R319-Infrastructure!J$4)^2+($S319-Infrastructure!K$4)^2)</f>
        <v>16.42954655</v>
      </c>
      <c r="AX319" s="331">
        <f>SQRT(($R319-Infrastructure!J$5)^2+($S319-Infrastructure!K$5)^2)</f>
        <v>10.30048543</v>
      </c>
      <c r="AY319" s="331">
        <f>SQRT(($R319-Infrastructure!J$6)^2+($S319-Infrastructure!K$6)^2)</f>
        <v>4.701063709</v>
      </c>
      <c r="AZ319" s="331">
        <f>SQRT(($R319-Infrastructure!J$7)^2+($S319-Infrastructure!K$7)^2)</f>
        <v>11.50391238</v>
      </c>
      <c r="BA319" s="331">
        <f>SQRT(($R319-Infrastructure!J$8)^2+($S319-Infrastructure!K$8)^2)</f>
        <v>20.64218981</v>
      </c>
      <c r="BB319" s="331">
        <f>SQRT(($R319-Infrastructure!J$9)^2+($S319-Infrastructure!K$9)^2)</f>
        <v>30.00016667</v>
      </c>
      <c r="BC319" s="331">
        <f>SQRT(($R319-Infrastructure!J$10)^2+($S319-Infrastructure!K$10)^2)</f>
        <v>31.6227766</v>
      </c>
      <c r="BD319" s="318"/>
      <c r="BE319" s="332"/>
      <c r="BF319" s="330">
        <f t="shared" si="14"/>
        <v>4.701063709</v>
      </c>
      <c r="BG319" s="333">
        <f t="shared" si="15"/>
        <v>31.6227766</v>
      </c>
      <c r="BH319" s="334"/>
      <c r="BI319" s="462" t="s">
        <v>846</v>
      </c>
      <c r="BJ319" s="318"/>
      <c r="BK319" s="319" t="s">
        <v>846</v>
      </c>
      <c r="BL319" s="319" t="s">
        <v>846</v>
      </c>
      <c r="BM319" s="319" t="s">
        <v>846</v>
      </c>
      <c r="BN319" s="319" t="s">
        <v>846</v>
      </c>
      <c r="BO319" s="318"/>
      <c r="BP319" s="318"/>
      <c r="BQ319" s="338"/>
      <c r="BR319" s="420"/>
      <c r="BS319" s="330">
        <f t="shared" si="16"/>
        <v>4.701063709</v>
      </c>
      <c r="BT319" s="331">
        <f t="shared" si="17"/>
        <v>26.02498799</v>
      </c>
      <c r="BU319" s="331"/>
      <c r="BV319" s="333"/>
      <c r="BW319" s="330"/>
      <c r="BX319" s="331"/>
      <c r="BY319" s="331"/>
      <c r="BZ319" s="340"/>
      <c r="CA319" s="462" t="s">
        <v>846</v>
      </c>
      <c r="CB319" s="319" t="s">
        <v>846</v>
      </c>
      <c r="CC319" s="319" t="s">
        <v>846</v>
      </c>
      <c r="CD319" s="319" t="s">
        <v>846</v>
      </c>
      <c r="CE319" s="319" t="s">
        <v>846</v>
      </c>
      <c r="CF319" s="319" t="s">
        <v>846</v>
      </c>
      <c r="CG319" s="319" t="s">
        <v>846</v>
      </c>
      <c r="CH319" s="319" t="s">
        <v>846</v>
      </c>
      <c r="CI319" s="338"/>
      <c r="CJ319" s="341"/>
      <c r="CK319" s="342">
        <f t="shared" si="18"/>
        <v>4.701063709</v>
      </c>
      <c r="CL319" s="333">
        <f t="shared" si="19"/>
        <v>31.6227766</v>
      </c>
      <c r="CM319" s="421" t="s">
        <v>1137</v>
      </c>
      <c r="CN319" s="416"/>
      <c r="CO319" s="416"/>
      <c r="CP319" s="416"/>
    </row>
    <row r="320">
      <c r="B320" s="316"/>
      <c r="C320" s="417">
        <v>43753.0</v>
      </c>
      <c r="D320" s="319" t="s">
        <v>1136</v>
      </c>
      <c r="E320" s="319">
        <v>21.0</v>
      </c>
      <c r="F320" s="332"/>
      <c r="G320" s="321">
        <v>0.6026041666666667</v>
      </c>
      <c r="H320" s="323">
        <v>0.6029513888888889</v>
      </c>
      <c r="I320" s="323"/>
      <c r="J320" s="323"/>
      <c r="K320" s="323">
        <v>0.6036458333333333</v>
      </c>
      <c r="L320" s="322">
        <f t="shared" si="7"/>
        <v>0.001041666667</v>
      </c>
      <c r="M320" s="319" t="s">
        <v>166</v>
      </c>
      <c r="N320" s="324" t="s">
        <v>187</v>
      </c>
      <c r="O320" s="419" t="s">
        <v>201</v>
      </c>
      <c r="P320" s="318"/>
      <c r="Q320" s="318"/>
      <c r="R320" s="326">
        <v>10.0</v>
      </c>
      <c r="S320" s="319">
        <v>5.0</v>
      </c>
      <c r="T320" s="332"/>
      <c r="U320" s="319">
        <v>6.8</v>
      </c>
      <c r="V320" s="319"/>
      <c r="W320" s="319"/>
      <c r="X320" s="319"/>
      <c r="Y320" s="319"/>
      <c r="Z320" s="319" t="s">
        <v>1095</v>
      </c>
      <c r="AA320" s="319"/>
      <c r="AB320" s="318"/>
      <c r="AC320" s="463"/>
      <c r="AD320" s="318"/>
      <c r="AE320" s="318"/>
      <c r="AF320" s="318"/>
      <c r="AG320" s="318"/>
      <c r="AH320" s="318"/>
      <c r="AI320" s="318"/>
      <c r="AJ320" s="463"/>
      <c r="AK320" s="487"/>
      <c r="AL320" s="318"/>
      <c r="AM320" s="318"/>
      <c r="AN320" s="318"/>
      <c r="AO320" s="318"/>
      <c r="AP320" s="318"/>
      <c r="AQ320" s="318"/>
      <c r="AR320" s="318"/>
      <c r="AS320" s="463"/>
      <c r="AT320" s="461" t="s">
        <v>182</v>
      </c>
      <c r="AU320" s="324" t="s">
        <v>845</v>
      </c>
      <c r="AV320" s="330">
        <f>SQRT(($R320-Infrastructure!J$3)^2+($S320-Infrastructure!K$3)^2)</f>
        <v>26.02498799</v>
      </c>
      <c r="AW320" s="331">
        <f>SQRT(($R320-Infrastructure!J$4)^2+($S320-Infrastructure!K$4)^2)</f>
        <v>16.42954655</v>
      </c>
      <c r="AX320" s="331">
        <f>SQRT(($R320-Infrastructure!J$5)^2+($S320-Infrastructure!K$5)^2)</f>
        <v>10.30048543</v>
      </c>
      <c r="AY320" s="331">
        <f>SQRT(($R320-Infrastructure!J$6)^2+($S320-Infrastructure!K$6)^2)</f>
        <v>4.701063709</v>
      </c>
      <c r="AZ320" s="331">
        <f>SQRT(($R320-Infrastructure!J$7)^2+($S320-Infrastructure!K$7)^2)</f>
        <v>11.50391238</v>
      </c>
      <c r="BA320" s="331">
        <f>SQRT(($R320-Infrastructure!J$8)^2+($S320-Infrastructure!K$8)^2)</f>
        <v>20.64218981</v>
      </c>
      <c r="BB320" s="331">
        <f>SQRT(($R320-Infrastructure!J$9)^2+($S320-Infrastructure!K$9)^2)</f>
        <v>30.00016667</v>
      </c>
      <c r="BC320" s="331">
        <f>SQRT(($R320-Infrastructure!J$10)^2+($S320-Infrastructure!K$10)^2)</f>
        <v>31.6227766</v>
      </c>
      <c r="BD320" s="318"/>
      <c r="BE320" s="332"/>
      <c r="BF320" s="330">
        <f t="shared" si="14"/>
        <v>4.701063709</v>
      </c>
      <c r="BG320" s="333">
        <f t="shared" si="15"/>
        <v>31.6227766</v>
      </c>
      <c r="BH320" s="334"/>
      <c r="BI320" s="316"/>
      <c r="BJ320" s="318"/>
      <c r="BK320" s="319" t="s">
        <v>846</v>
      </c>
      <c r="BL320" s="319" t="s">
        <v>846</v>
      </c>
      <c r="BM320" s="318"/>
      <c r="BN320" s="319" t="s">
        <v>846</v>
      </c>
      <c r="BO320" s="318"/>
      <c r="BP320" s="318"/>
      <c r="BQ320" s="338"/>
      <c r="BR320" s="420"/>
      <c r="BS320" s="330">
        <f t="shared" si="16"/>
        <v>4.701063709</v>
      </c>
      <c r="BT320" s="331">
        <f t="shared" si="17"/>
        <v>20.64218981</v>
      </c>
      <c r="BU320" s="331"/>
      <c r="BV320" s="333"/>
      <c r="BW320" s="330"/>
      <c r="BX320" s="331"/>
      <c r="BY320" s="331"/>
      <c r="BZ320" s="340"/>
      <c r="CA320" s="462" t="s">
        <v>846</v>
      </c>
      <c r="CB320" s="319" t="s">
        <v>846</v>
      </c>
      <c r="CC320" s="319" t="s">
        <v>846</v>
      </c>
      <c r="CD320" s="319" t="s">
        <v>846</v>
      </c>
      <c r="CE320" s="319" t="s">
        <v>846</v>
      </c>
      <c r="CF320" s="319" t="s">
        <v>846</v>
      </c>
      <c r="CG320" s="319" t="s">
        <v>846</v>
      </c>
      <c r="CH320" s="319" t="s">
        <v>846</v>
      </c>
      <c r="CI320" s="338"/>
      <c r="CJ320" s="341"/>
      <c r="CK320" s="342">
        <f t="shared" si="18"/>
        <v>4.701063709</v>
      </c>
      <c r="CL320" s="333">
        <f t="shared" si="19"/>
        <v>31.6227766</v>
      </c>
      <c r="CM320" s="421" t="s">
        <v>1138</v>
      </c>
      <c r="CN320" s="416"/>
      <c r="CO320" s="416"/>
      <c r="CP320" s="416"/>
    </row>
    <row r="321">
      <c r="B321" s="316"/>
      <c r="C321" s="417">
        <v>43753.0</v>
      </c>
      <c r="D321" s="319" t="s">
        <v>1136</v>
      </c>
      <c r="E321" s="319">
        <v>21.0</v>
      </c>
      <c r="F321" s="332"/>
      <c r="G321" s="321">
        <v>0.6036458333333333</v>
      </c>
      <c r="H321" s="323">
        <v>0.6038194444444445</v>
      </c>
      <c r="I321" s="323"/>
      <c r="J321" s="323"/>
      <c r="K321" s="323">
        <v>0.6045138888888889</v>
      </c>
      <c r="L321" s="322">
        <f t="shared" si="7"/>
        <v>0.0008680555556</v>
      </c>
      <c r="M321" s="319" t="s">
        <v>166</v>
      </c>
      <c r="N321" s="324" t="s">
        <v>187</v>
      </c>
      <c r="O321" s="419" t="s">
        <v>201</v>
      </c>
      <c r="P321" s="318"/>
      <c r="Q321" s="318"/>
      <c r="R321" s="326">
        <v>10.0</v>
      </c>
      <c r="S321" s="319">
        <v>5.0</v>
      </c>
      <c r="T321" s="332"/>
      <c r="U321" s="319">
        <v>3.0</v>
      </c>
      <c r="V321" s="319"/>
      <c r="W321" s="319"/>
      <c r="X321" s="319"/>
      <c r="Y321" s="319"/>
      <c r="Z321" s="319" t="s">
        <v>1095</v>
      </c>
      <c r="AA321" s="319"/>
      <c r="AB321" s="318"/>
      <c r="AC321" s="463"/>
      <c r="AD321" s="318"/>
      <c r="AE321" s="318"/>
      <c r="AF321" s="318"/>
      <c r="AG321" s="318"/>
      <c r="AH321" s="318"/>
      <c r="AI321" s="318"/>
      <c r="AJ321" s="463"/>
      <c r="AK321" s="487"/>
      <c r="AL321" s="318"/>
      <c r="AM321" s="318"/>
      <c r="AN321" s="318"/>
      <c r="AO321" s="318"/>
      <c r="AP321" s="318"/>
      <c r="AQ321" s="318"/>
      <c r="AR321" s="318"/>
      <c r="AS321" s="463"/>
      <c r="AT321" s="461" t="s">
        <v>182</v>
      </c>
      <c r="AU321" s="324" t="s">
        <v>845</v>
      </c>
      <c r="AV321" s="330">
        <f>SQRT(($R321-Infrastructure!J$3)^2+($S321-Infrastructure!K$3)^2)</f>
        <v>26.02498799</v>
      </c>
      <c r="AW321" s="331">
        <f>SQRT(($R321-Infrastructure!J$4)^2+($S321-Infrastructure!K$4)^2)</f>
        <v>16.42954655</v>
      </c>
      <c r="AX321" s="331">
        <f>SQRT(($R321-Infrastructure!J$5)^2+($S321-Infrastructure!K$5)^2)</f>
        <v>10.30048543</v>
      </c>
      <c r="AY321" s="331">
        <f>SQRT(($R321-Infrastructure!J$6)^2+($S321-Infrastructure!K$6)^2)</f>
        <v>4.701063709</v>
      </c>
      <c r="AZ321" s="331">
        <f>SQRT(($R321-Infrastructure!J$7)^2+($S321-Infrastructure!K$7)^2)</f>
        <v>11.50391238</v>
      </c>
      <c r="BA321" s="331">
        <f>SQRT(($R321-Infrastructure!J$8)^2+($S321-Infrastructure!K$8)^2)</f>
        <v>20.64218981</v>
      </c>
      <c r="BB321" s="331">
        <f>SQRT(($R321-Infrastructure!J$9)^2+($S321-Infrastructure!K$9)^2)</f>
        <v>30.00016667</v>
      </c>
      <c r="BC321" s="331">
        <f>SQRT(($R321-Infrastructure!J$10)^2+($S321-Infrastructure!K$10)^2)</f>
        <v>31.6227766</v>
      </c>
      <c r="BD321" s="318"/>
      <c r="BE321" s="332"/>
      <c r="BF321" s="330">
        <f t="shared" si="14"/>
        <v>4.701063709</v>
      </c>
      <c r="BG321" s="333">
        <f t="shared" si="15"/>
        <v>31.6227766</v>
      </c>
      <c r="BH321" s="334"/>
      <c r="BI321" s="316"/>
      <c r="BJ321" s="318"/>
      <c r="BK321" s="319" t="s">
        <v>846</v>
      </c>
      <c r="BL321" s="319" t="s">
        <v>846</v>
      </c>
      <c r="BM321" s="318"/>
      <c r="BN321" s="318"/>
      <c r="BO321" s="318"/>
      <c r="BP321" s="318"/>
      <c r="BQ321" s="338"/>
      <c r="BR321" s="420"/>
      <c r="BS321" s="330">
        <f t="shared" si="16"/>
        <v>4.701063709</v>
      </c>
      <c r="BT321" s="331">
        <f t="shared" si="17"/>
        <v>10.30048543</v>
      </c>
      <c r="BU321" s="331"/>
      <c r="BV321" s="333"/>
      <c r="BW321" s="330"/>
      <c r="BX321" s="331"/>
      <c r="BY321" s="331"/>
      <c r="BZ321" s="340"/>
      <c r="CA321" s="462" t="s">
        <v>846</v>
      </c>
      <c r="CB321" s="319" t="s">
        <v>846</v>
      </c>
      <c r="CC321" s="319" t="s">
        <v>846</v>
      </c>
      <c r="CD321" s="319" t="s">
        <v>846</v>
      </c>
      <c r="CE321" s="319" t="s">
        <v>846</v>
      </c>
      <c r="CF321" s="319" t="s">
        <v>846</v>
      </c>
      <c r="CG321" s="319" t="s">
        <v>846</v>
      </c>
      <c r="CH321" s="319" t="s">
        <v>846</v>
      </c>
      <c r="CI321" s="338"/>
      <c r="CJ321" s="341"/>
      <c r="CK321" s="342">
        <f t="shared" si="18"/>
        <v>4.701063709</v>
      </c>
      <c r="CL321" s="333">
        <f t="shared" si="19"/>
        <v>31.6227766</v>
      </c>
      <c r="CM321" s="423"/>
      <c r="CN321" s="424"/>
      <c r="CO321" s="424"/>
      <c r="CP321" s="424"/>
    </row>
    <row r="322">
      <c r="B322" s="316"/>
      <c r="C322" s="417">
        <v>43753.0</v>
      </c>
      <c r="D322" s="319" t="s">
        <v>1136</v>
      </c>
      <c r="E322" s="319">
        <v>21.0</v>
      </c>
      <c r="F322" s="332"/>
      <c r="G322" s="321">
        <v>0.6045138888888889</v>
      </c>
      <c r="H322" s="323">
        <v>0.6048611111111111</v>
      </c>
      <c r="I322" s="323"/>
      <c r="J322" s="323"/>
      <c r="K322" s="323">
        <v>0.6056712962962963</v>
      </c>
      <c r="L322" s="322">
        <f t="shared" si="7"/>
        <v>0.001157407407</v>
      </c>
      <c r="M322" s="319" t="s">
        <v>166</v>
      </c>
      <c r="N322" s="324" t="s">
        <v>187</v>
      </c>
      <c r="O322" s="419" t="s">
        <v>201</v>
      </c>
      <c r="P322" s="318"/>
      <c r="Q322" s="318"/>
      <c r="R322" s="326">
        <v>10.0</v>
      </c>
      <c r="S322" s="319">
        <v>5.0</v>
      </c>
      <c r="T322" s="332"/>
      <c r="U322" s="319">
        <v>5.0</v>
      </c>
      <c r="V322" s="319"/>
      <c r="W322" s="319"/>
      <c r="X322" s="319"/>
      <c r="Y322" s="319"/>
      <c r="Z322" s="319" t="s">
        <v>1095</v>
      </c>
      <c r="AA322" s="319"/>
      <c r="AB322" s="318"/>
      <c r="AC322" s="463"/>
      <c r="AD322" s="318"/>
      <c r="AE322" s="318"/>
      <c r="AF322" s="318"/>
      <c r="AG322" s="318"/>
      <c r="AH322" s="318"/>
      <c r="AI322" s="318"/>
      <c r="AJ322" s="463"/>
      <c r="AK322" s="487"/>
      <c r="AL322" s="318"/>
      <c r="AM322" s="318"/>
      <c r="AN322" s="318"/>
      <c r="AO322" s="318"/>
      <c r="AP322" s="318"/>
      <c r="AQ322" s="318"/>
      <c r="AR322" s="318"/>
      <c r="AS322" s="463"/>
      <c r="AT322" s="461" t="s">
        <v>182</v>
      </c>
      <c r="AU322" s="324" t="s">
        <v>845</v>
      </c>
      <c r="AV322" s="330">
        <f>SQRT(($R322-Infrastructure!J$3)^2+($S322-Infrastructure!K$3)^2)</f>
        <v>26.02498799</v>
      </c>
      <c r="AW322" s="331">
        <f>SQRT(($R322-Infrastructure!J$4)^2+($S322-Infrastructure!K$4)^2)</f>
        <v>16.42954655</v>
      </c>
      <c r="AX322" s="331">
        <f>SQRT(($R322-Infrastructure!J$5)^2+($S322-Infrastructure!K$5)^2)</f>
        <v>10.30048543</v>
      </c>
      <c r="AY322" s="331">
        <f>SQRT(($R322-Infrastructure!J$6)^2+($S322-Infrastructure!K$6)^2)</f>
        <v>4.701063709</v>
      </c>
      <c r="AZ322" s="331">
        <f>SQRT(($R322-Infrastructure!J$7)^2+($S322-Infrastructure!K$7)^2)</f>
        <v>11.50391238</v>
      </c>
      <c r="BA322" s="331">
        <f>SQRT(($R322-Infrastructure!J$8)^2+($S322-Infrastructure!K$8)^2)</f>
        <v>20.64218981</v>
      </c>
      <c r="BB322" s="331">
        <f>SQRT(($R322-Infrastructure!J$9)^2+($S322-Infrastructure!K$9)^2)</f>
        <v>30.00016667</v>
      </c>
      <c r="BC322" s="331">
        <f>SQRT(($R322-Infrastructure!J$10)^2+($S322-Infrastructure!K$10)^2)</f>
        <v>31.6227766</v>
      </c>
      <c r="BD322" s="318"/>
      <c r="BE322" s="332"/>
      <c r="BF322" s="330">
        <f t="shared" si="14"/>
        <v>4.701063709</v>
      </c>
      <c r="BG322" s="333">
        <f t="shared" si="15"/>
        <v>31.6227766</v>
      </c>
      <c r="BH322" s="334"/>
      <c r="BI322" s="316"/>
      <c r="BJ322" s="318"/>
      <c r="BK322" s="319" t="s">
        <v>846</v>
      </c>
      <c r="BL322" s="319" t="s">
        <v>846</v>
      </c>
      <c r="BM322" s="318"/>
      <c r="BN322" s="318"/>
      <c r="BO322" s="318"/>
      <c r="BP322" s="318"/>
      <c r="BQ322" s="338"/>
      <c r="BR322" s="420"/>
      <c r="BS322" s="330">
        <f t="shared" si="16"/>
        <v>4.701063709</v>
      </c>
      <c r="BT322" s="331">
        <f t="shared" si="17"/>
        <v>10.30048543</v>
      </c>
      <c r="BU322" s="331"/>
      <c r="BV322" s="333"/>
      <c r="BW322" s="330"/>
      <c r="BX322" s="331"/>
      <c r="BY322" s="331"/>
      <c r="BZ322" s="340"/>
      <c r="CA322" s="462" t="s">
        <v>846</v>
      </c>
      <c r="CB322" s="319" t="s">
        <v>846</v>
      </c>
      <c r="CC322" s="319" t="s">
        <v>846</v>
      </c>
      <c r="CD322" s="319" t="s">
        <v>846</v>
      </c>
      <c r="CE322" s="319" t="s">
        <v>846</v>
      </c>
      <c r="CF322" s="319" t="s">
        <v>846</v>
      </c>
      <c r="CG322" s="319" t="s">
        <v>846</v>
      </c>
      <c r="CH322" s="319" t="s">
        <v>846</v>
      </c>
      <c r="CI322" s="338"/>
      <c r="CJ322" s="341"/>
      <c r="CK322" s="342">
        <f t="shared" si="18"/>
        <v>4.701063709</v>
      </c>
      <c r="CL322" s="333">
        <f t="shared" si="19"/>
        <v>31.6227766</v>
      </c>
      <c r="CM322" s="423"/>
      <c r="CN322" s="424"/>
      <c r="CO322" s="424"/>
      <c r="CP322" s="424"/>
    </row>
    <row r="323">
      <c r="B323" s="316"/>
      <c r="C323" s="417">
        <v>43753.0</v>
      </c>
      <c r="D323" s="319" t="s">
        <v>1139</v>
      </c>
      <c r="E323" s="319">
        <v>22.0</v>
      </c>
      <c r="F323" s="332"/>
      <c r="G323" s="321">
        <v>0.6347222222222222</v>
      </c>
      <c r="H323" s="323">
        <v>0.6365740740740741</v>
      </c>
      <c r="I323" s="323"/>
      <c r="J323" s="323"/>
      <c r="K323" s="323">
        <v>0.6387152777777778</v>
      </c>
      <c r="L323" s="322">
        <f t="shared" si="7"/>
        <v>0.003993055556</v>
      </c>
      <c r="M323" s="319" t="s">
        <v>166</v>
      </c>
      <c r="N323" s="324" t="s">
        <v>188</v>
      </c>
      <c r="O323" s="419" t="s">
        <v>841</v>
      </c>
      <c r="P323" s="319" t="s">
        <v>232</v>
      </c>
      <c r="Q323" s="318"/>
      <c r="R323" s="326">
        <v>22.2</v>
      </c>
      <c r="S323" s="319">
        <v>40.0</v>
      </c>
      <c r="T323" s="332"/>
      <c r="U323" s="319">
        <v>5.0</v>
      </c>
      <c r="V323" s="319"/>
      <c r="W323" s="319"/>
      <c r="X323" s="319"/>
      <c r="Y323" s="319"/>
      <c r="Z323" s="319" t="s">
        <v>1140</v>
      </c>
      <c r="AA323" s="319"/>
      <c r="AB323" s="318"/>
      <c r="AC323" s="327">
        <v>15.75</v>
      </c>
      <c r="AD323" s="319"/>
      <c r="AE323" s="319"/>
      <c r="AF323" s="319"/>
      <c r="AG323" s="319"/>
      <c r="AH323" s="319"/>
      <c r="AI323" s="319"/>
      <c r="AJ323" s="327"/>
      <c r="AK323" s="328"/>
      <c r="AL323" s="319"/>
      <c r="AM323" s="319"/>
      <c r="AN323" s="319"/>
      <c r="AO323" s="319"/>
      <c r="AP323" s="319"/>
      <c r="AQ323" s="319"/>
      <c r="AR323" s="319"/>
      <c r="AS323" s="327"/>
      <c r="AT323" s="461" t="s">
        <v>182</v>
      </c>
      <c r="AU323" s="324" t="s">
        <v>845</v>
      </c>
      <c r="AV323" s="330">
        <f>SQRT(($R323-Infrastructure!J$3)^2+($S323-Infrastructure!K$3)^2)</f>
        <v>25.08904143</v>
      </c>
      <c r="AW323" s="331">
        <f>SQRT(($R323-Infrastructure!J$4)^2+($S323-Infrastructure!K$4)^2)</f>
        <v>31.60838496</v>
      </c>
      <c r="AX323" s="331">
        <f>SQRT(($R323-Infrastructure!J$5)^2+($S323-Infrastructure!K$5)^2)</f>
        <v>41.52420981</v>
      </c>
      <c r="AY323" s="331">
        <f>SQRT(($R323-Infrastructure!J$6)^2+($S323-Infrastructure!K$6)^2)</f>
        <v>41.50301194</v>
      </c>
      <c r="AZ323" s="331">
        <f>SQRT(($R323-Infrastructure!J$7)^2+($S323-Infrastructure!K$7)^2)</f>
        <v>39.73638131</v>
      </c>
      <c r="BA323" s="331">
        <f>SQRT(($R323-Infrastructure!J$8)^2+($S323-Infrastructure!K$8)^2)</f>
        <v>40.4783893</v>
      </c>
      <c r="BB323" s="331">
        <f>SQRT(($R323-Infrastructure!J$9)^2+($S323-Infrastructure!K$9)^2)</f>
        <v>39.17716171</v>
      </c>
      <c r="BC323" s="331">
        <f>SQRT(($R323-Infrastructure!J$10)^2+($S323-Infrastructure!K$10)^2)</f>
        <v>30.68941185</v>
      </c>
      <c r="BD323" s="318"/>
      <c r="BE323" s="332"/>
      <c r="BF323" s="330">
        <f t="shared" si="14"/>
        <v>25.08904143</v>
      </c>
      <c r="BG323" s="333">
        <f t="shared" si="15"/>
        <v>41.52420981</v>
      </c>
      <c r="BH323" s="334"/>
      <c r="BI323" s="316"/>
      <c r="BJ323" s="318"/>
      <c r="BK323" s="318"/>
      <c r="BL323" s="318"/>
      <c r="BM323" s="318"/>
      <c r="BN323" s="318"/>
      <c r="BO323" s="318"/>
      <c r="BP323" s="318"/>
      <c r="BQ323" s="338"/>
      <c r="BR323" s="420"/>
      <c r="BS323" s="330">
        <f t="shared" si="16"/>
        <v>0</v>
      </c>
      <c r="BT323" s="331">
        <f t="shared" si="17"/>
        <v>0</v>
      </c>
      <c r="BU323" s="331"/>
      <c r="BV323" s="333"/>
      <c r="BW323" s="330"/>
      <c r="BX323" s="331"/>
      <c r="BY323" s="331"/>
      <c r="BZ323" s="340"/>
      <c r="CA323" s="486" t="s">
        <v>846</v>
      </c>
      <c r="CB323" s="426" t="s">
        <v>846</v>
      </c>
      <c r="CC323" s="426" t="s">
        <v>846</v>
      </c>
      <c r="CD323" s="426" t="s">
        <v>846</v>
      </c>
      <c r="CE323" s="426" t="s">
        <v>846</v>
      </c>
      <c r="CF323" s="426" t="s">
        <v>846</v>
      </c>
      <c r="CG323" s="426" t="s">
        <v>846</v>
      </c>
      <c r="CH323" s="426" t="s">
        <v>846</v>
      </c>
      <c r="CI323" s="338"/>
      <c r="CJ323" s="341"/>
      <c r="CK323" s="342">
        <f t="shared" si="18"/>
        <v>25.08904143</v>
      </c>
      <c r="CL323" s="333">
        <f t="shared" si="19"/>
        <v>41.52420981</v>
      </c>
      <c r="CM323" s="421" t="s">
        <v>1141</v>
      </c>
      <c r="CN323" s="416"/>
      <c r="CO323" s="416"/>
      <c r="CP323" s="416"/>
    </row>
    <row r="324">
      <c r="B324" s="316"/>
      <c r="C324" s="417">
        <v>43753.0</v>
      </c>
      <c r="D324" s="319" t="s">
        <v>1139</v>
      </c>
      <c r="E324" s="319">
        <v>23.0</v>
      </c>
      <c r="F324" s="332"/>
      <c r="G324" s="321">
        <v>0.64375</v>
      </c>
      <c r="H324" s="323">
        <v>0.64375</v>
      </c>
      <c r="I324" s="323"/>
      <c r="J324" s="323"/>
      <c r="K324" s="323">
        <v>0.6447916666666667</v>
      </c>
      <c r="L324" s="322">
        <f t="shared" si="7"/>
        <v>0.001041666667</v>
      </c>
      <c r="M324" s="319" t="s">
        <v>166</v>
      </c>
      <c r="N324" s="324" t="s">
        <v>188</v>
      </c>
      <c r="O324" s="419" t="s">
        <v>841</v>
      </c>
      <c r="P324" s="319" t="s">
        <v>233</v>
      </c>
      <c r="Q324" s="318"/>
      <c r="R324" s="326">
        <v>21.2</v>
      </c>
      <c r="S324" s="319">
        <v>40.0</v>
      </c>
      <c r="T324" s="332"/>
      <c r="U324" s="319">
        <v>200.0</v>
      </c>
      <c r="V324" s="319"/>
      <c r="W324" s="319"/>
      <c r="X324" s="319"/>
      <c r="Y324" s="319"/>
      <c r="Z324" s="319" t="s">
        <v>387</v>
      </c>
      <c r="AA324" s="319"/>
      <c r="AB324" s="318"/>
      <c r="AC324" s="327">
        <v>102.3</v>
      </c>
      <c r="AD324" s="319"/>
      <c r="AE324" s="319"/>
      <c r="AF324" s="319"/>
      <c r="AG324" s="319"/>
      <c r="AH324" s="319"/>
      <c r="AI324" s="319"/>
      <c r="AJ324" s="327"/>
      <c r="AK324" s="328"/>
      <c r="AL324" s="319"/>
      <c r="AM324" s="319"/>
      <c r="AN324" s="319"/>
      <c r="AO324" s="319"/>
      <c r="AP324" s="319"/>
      <c r="AQ324" s="319"/>
      <c r="AR324" s="319"/>
      <c r="AS324" s="327"/>
      <c r="AT324" s="461" t="s">
        <v>183</v>
      </c>
      <c r="AU324" s="324" t="s">
        <v>845</v>
      </c>
      <c r="AV324" s="330">
        <f>SQRT(($R324-Infrastructure!J$3)^2+($S324-Infrastructure!K$3)^2)</f>
        <v>24.19628071</v>
      </c>
      <c r="AW324" s="331">
        <f>SQRT(($R324-Infrastructure!J$4)^2+($S324-Infrastructure!K$4)^2)</f>
        <v>30.90453041</v>
      </c>
      <c r="AX324" s="331">
        <f>SQRT(($R324-Infrastructure!J$5)^2+($S324-Infrastructure!K$5)^2)</f>
        <v>40.99097462</v>
      </c>
      <c r="AY324" s="331">
        <f>SQRT(($R324-Infrastructure!J$6)^2+($S324-Infrastructure!K$6)^2)</f>
        <v>41.22256664</v>
      </c>
      <c r="AZ324" s="331">
        <f>SQRT(($R324-Infrastructure!J$7)^2+($S324-Infrastructure!K$7)^2)</f>
        <v>39.70617081</v>
      </c>
      <c r="BA324" s="331">
        <f>SQRT(($R324-Infrastructure!J$8)^2+($S324-Infrastructure!K$8)^2)</f>
        <v>40.68537821</v>
      </c>
      <c r="BB324" s="331">
        <f>SQRT(($R324-Infrastructure!J$9)^2+($S324-Infrastructure!K$9)^2)</f>
        <v>39.64151864</v>
      </c>
      <c r="BC324" s="331">
        <f>SQRT(($R324-Infrastructure!J$10)^2+($S324-Infrastructure!K$10)^2)</f>
        <v>31.28002558</v>
      </c>
      <c r="BD324" s="318"/>
      <c r="BE324" s="332"/>
      <c r="BF324" s="330">
        <f t="shared" si="14"/>
        <v>24.19628071</v>
      </c>
      <c r="BG324" s="333">
        <f t="shared" si="15"/>
        <v>41.22256664</v>
      </c>
      <c r="BH324" s="334"/>
      <c r="BI324" s="316"/>
      <c r="BJ324" s="318"/>
      <c r="BK324" s="318"/>
      <c r="BL324" s="318"/>
      <c r="BM324" s="318"/>
      <c r="BN324" s="318"/>
      <c r="BO324" s="318"/>
      <c r="BP324" s="318"/>
      <c r="BQ324" s="338"/>
      <c r="BR324" s="420"/>
      <c r="BS324" s="330">
        <f t="shared" si="16"/>
        <v>0</v>
      </c>
      <c r="BT324" s="331">
        <f t="shared" si="17"/>
        <v>0</v>
      </c>
      <c r="BU324" s="331"/>
      <c r="BV324" s="333"/>
      <c r="BW324" s="330"/>
      <c r="BX324" s="331"/>
      <c r="BY324" s="331"/>
      <c r="BZ324" s="340"/>
      <c r="CA324" s="486" t="s">
        <v>846</v>
      </c>
      <c r="CB324" s="426" t="s">
        <v>846</v>
      </c>
      <c r="CC324" s="426" t="s">
        <v>846</v>
      </c>
      <c r="CD324" s="426" t="s">
        <v>846</v>
      </c>
      <c r="CE324" s="426" t="s">
        <v>846</v>
      </c>
      <c r="CF324" s="426" t="s">
        <v>846</v>
      </c>
      <c r="CG324" s="426" t="s">
        <v>846</v>
      </c>
      <c r="CH324" s="426" t="s">
        <v>846</v>
      </c>
      <c r="CI324" s="338"/>
      <c r="CJ324" s="341"/>
      <c r="CK324" s="342">
        <f t="shared" si="18"/>
        <v>24.19628071</v>
      </c>
      <c r="CL324" s="333">
        <f t="shared" si="19"/>
        <v>41.22256664</v>
      </c>
      <c r="CM324" s="421" t="s">
        <v>1142</v>
      </c>
      <c r="CN324" s="416"/>
      <c r="CO324" s="416"/>
      <c r="CP324" s="416"/>
    </row>
    <row r="325">
      <c r="B325" s="316"/>
      <c r="C325" s="417">
        <v>43753.0</v>
      </c>
      <c r="D325" s="319" t="s">
        <v>1139</v>
      </c>
      <c r="E325" s="319">
        <v>24.0</v>
      </c>
      <c r="F325" s="332"/>
      <c r="G325" s="321">
        <v>0.6506944444444445</v>
      </c>
      <c r="H325" s="323">
        <v>0.6512152777777778</v>
      </c>
      <c r="I325" s="323"/>
      <c r="J325" s="323"/>
      <c r="K325" s="323">
        <v>0.6519097222222222</v>
      </c>
      <c r="L325" s="322">
        <f t="shared" si="7"/>
        <v>0.001215277778</v>
      </c>
      <c r="M325" s="319" t="s">
        <v>166</v>
      </c>
      <c r="N325" s="324" t="s">
        <v>188</v>
      </c>
      <c r="O325" s="419" t="s">
        <v>841</v>
      </c>
      <c r="P325" s="319" t="s">
        <v>233</v>
      </c>
      <c r="Q325" s="318"/>
      <c r="R325" s="326">
        <v>21.2</v>
      </c>
      <c r="S325" s="319">
        <v>40.0</v>
      </c>
      <c r="T325" s="332"/>
      <c r="U325" s="319">
        <v>28.0</v>
      </c>
      <c r="V325" s="319"/>
      <c r="W325" s="319"/>
      <c r="X325" s="319"/>
      <c r="Y325" s="319"/>
      <c r="Z325" s="319" t="s">
        <v>387</v>
      </c>
      <c r="AA325" s="319"/>
      <c r="AB325" s="318"/>
      <c r="AC325" s="327">
        <v>52.5</v>
      </c>
      <c r="AD325" s="319"/>
      <c r="AE325" s="319"/>
      <c r="AF325" s="319"/>
      <c r="AG325" s="319"/>
      <c r="AH325" s="319"/>
      <c r="AI325" s="319"/>
      <c r="AJ325" s="327"/>
      <c r="AK325" s="328"/>
      <c r="AL325" s="319"/>
      <c r="AM325" s="319"/>
      <c r="AN325" s="319"/>
      <c r="AO325" s="319"/>
      <c r="AP325" s="319"/>
      <c r="AQ325" s="319"/>
      <c r="AR325" s="319"/>
      <c r="AS325" s="327"/>
      <c r="AT325" s="461" t="s">
        <v>183</v>
      </c>
      <c r="AU325" s="324" t="s">
        <v>845</v>
      </c>
      <c r="AV325" s="330">
        <f>SQRT(($R325-Infrastructure!J$3)^2+($S325-Infrastructure!K$3)^2)</f>
        <v>24.19628071</v>
      </c>
      <c r="AW325" s="331">
        <f>SQRT(($R325-Infrastructure!J$4)^2+($S325-Infrastructure!K$4)^2)</f>
        <v>30.90453041</v>
      </c>
      <c r="AX325" s="331">
        <f>SQRT(($R325-Infrastructure!J$5)^2+($S325-Infrastructure!K$5)^2)</f>
        <v>40.99097462</v>
      </c>
      <c r="AY325" s="331">
        <f>SQRT(($R325-Infrastructure!J$6)^2+($S325-Infrastructure!K$6)^2)</f>
        <v>41.22256664</v>
      </c>
      <c r="AZ325" s="331">
        <f>SQRT(($R325-Infrastructure!J$7)^2+($S325-Infrastructure!K$7)^2)</f>
        <v>39.70617081</v>
      </c>
      <c r="BA325" s="331">
        <f>SQRT(($R325-Infrastructure!J$8)^2+($S325-Infrastructure!K$8)^2)</f>
        <v>40.68537821</v>
      </c>
      <c r="BB325" s="331">
        <f>SQRT(($R325-Infrastructure!J$9)^2+($S325-Infrastructure!K$9)^2)</f>
        <v>39.64151864</v>
      </c>
      <c r="BC325" s="331">
        <f>SQRT(($R325-Infrastructure!J$10)^2+($S325-Infrastructure!K$10)^2)</f>
        <v>31.28002558</v>
      </c>
      <c r="BD325" s="318"/>
      <c r="BE325" s="332"/>
      <c r="BF325" s="330">
        <f t="shared" si="14"/>
        <v>24.19628071</v>
      </c>
      <c r="BG325" s="333">
        <f t="shared" si="15"/>
        <v>41.22256664</v>
      </c>
      <c r="BH325" s="334"/>
      <c r="BI325" s="316"/>
      <c r="BJ325" s="318"/>
      <c r="BK325" s="318"/>
      <c r="BL325" s="318"/>
      <c r="BM325" s="318"/>
      <c r="BN325" s="318"/>
      <c r="BO325" s="318"/>
      <c r="BP325" s="318"/>
      <c r="BQ325" s="338"/>
      <c r="BR325" s="420"/>
      <c r="BS325" s="330">
        <f t="shared" si="16"/>
        <v>0</v>
      </c>
      <c r="BT325" s="331">
        <f t="shared" si="17"/>
        <v>0</v>
      </c>
      <c r="BU325" s="331"/>
      <c r="BV325" s="333"/>
      <c r="BW325" s="330"/>
      <c r="BX325" s="331"/>
      <c r="BY325" s="331"/>
      <c r="BZ325" s="340"/>
      <c r="CA325" s="486" t="s">
        <v>846</v>
      </c>
      <c r="CB325" s="426" t="s">
        <v>846</v>
      </c>
      <c r="CC325" s="426" t="s">
        <v>846</v>
      </c>
      <c r="CD325" s="426" t="s">
        <v>846</v>
      </c>
      <c r="CE325" s="426" t="s">
        <v>846</v>
      </c>
      <c r="CF325" s="426" t="s">
        <v>846</v>
      </c>
      <c r="CG325" s="426" t="s">
        <v>846</v>
      </c>
      <c r="CH325" s="426" t="s">
        <v>846</v>
      </c>
      <c r="CI325" s="338"/>
      <c r="CJ325" s="341"/>
      <c r="CK325" s="342">
        <f t="shared" si="18"/>
        <v>24.19628071</v>
      </c>
      <c r="CL325" s="333">
        <f t="shared" si="19"/>
        <v>41.22256664</v>
      </c>
      <c r="CM325" s="421" t="s">
        <v>1143</v>
      </c>
      <c r="CN325" s="416"/>
      <c r="CO325" s="416"/>
      <c r="CP325" s="416"/>
    </row>
    <row r="326">
      <c r="B326" s="316"/>
      <c r="C326" s="417">
        <v>43753.0</v>
      </c>
      <c r="D326" s="319" t="s">
        <v>1139</v>
      </c>
      <c r="E326" s="319">
        <v>24.0</v>
      </c>
      <c r="F326" s="332"/>
      <c r="G326" s="321">
        <v>0.6519097222222222</v>
      </c>
      <c r="H326" s="323">
        <v>0.6526041666666667</v>
      </c>
      <c r="I326" s="323"/>
      <c r="J326" s="323"/>
      <c r="K326" s="323">
        <v>0.6532986111111111</v>
      </c>
      <c r="L326" s="322">
        <f t="shared" si="7"/>
        <v>0.001388888889</v>
      </c>
      <c r="M326" s="319" t="s">
        <v>166</v>
      </c>
      <c r="N326" s="324" t="s">
        <v>188</v>
      </c>
      <c r="O326" s="419" t="s">
        <v>841</v>
      </c>
      <c r="P326" s="318"/>
      <c r="Q326" s="318"/>
      <c r="R326" s="326">
        <v>21.2</v>
      </c>
      <c r="S326" s="319">
        <v>40.0</v>
      </c>
      <c r="T326" s="332"/>
      <c r="U326" s="319">
        <v>93.0</v>
      </c>
      <c r="V326" s="319"/>
      <c r="W326" s="319"/>
      <c r="X326" s="319"/>
      <c r="Y326" s="319"/>
      <c r="Z326" s="319" t="s">
        <v>387</v>
      </c>
      <c r="AA326" s="319"/>
      <c r="AB326" s="318"/>
      <c r="AC326" s="327">
        <v>52.5</v>
      </c>
      <c r="AD326" s="319"/>
      <c r="AE326" s="319"/>
      <c r="AF326" s="319"/>
      <c r="AG326" s="319"/>
      <c r="AH326" s="319"/>
      <c r="AI326" s="319"/>
      <c r="AJ326" s="327"/>
      <c r="AK326" s="328"/>
      <c r="AL326" s="319"/>
      <c r="AM326" s="319"/>
      <c r="AN326" s="319"/>
      <c r="AO326" s="319"/>
      <c r="AP326" s="319"/>
      <c r="AQ326" s="319"/>
      <c r="AR326" s="319"/>
      <c r="AS326" s="327"/>
      <c r="AT326" s="461" t="s">
        <v>183</v>
      </c>
      <c r="AU326" s="324" t="s">
        <v>845</v>
      </c>
      <c r="AV326" s="330">
        <f>SQRT(($R326-Infrastructure!J$3)^2+($S326-Infrastructure!K$3)^2)</f>
        <v>24.19628071</v>
      </c>
      <c r="AW326" s="331">
        <f>SQRT(($R326-Infrastructure!J$4)^2+($S326-Infrastructure!K$4)^2)</f>
        <v>30.90453041</v>
      </c>
      <c r="AX326" s="331">
        <f>SQRT(($R326-Infrastructure!J$5)^2+($S326-Infrastructure!K$5)^2)</f>
        <v>40.99097462</v>
      </c>
      <c r="AY326" s="331">
        <f>SQRT(($R326-Infrastructure!J$6)^2+($S326-Infrastructure!K$6)^2)</f>
        <v>41.22256664</v>
      </c>
      <c r="AZ326" s="331">
        <f>SQRT(($R326-Infrastructure!J$7)^2+($S326-Infrastructure!K$7)^2)</f>
        <v>39.70617081</v>
      </c>
      <c r="BA326" s="331">
        <f>SQRT(($R326-Infrastructure!J$8)^2+($S326-Infrastructure!K$8)^2)</f>
        <v>40.68537821</v>
      </c>
      <c r="BB326" s="331">
        <f>SQRT(($R326-Infrastructure!J$9)^2+($S326-Infrastructure!K$9)^2)</f>
        <v>39.64151864</v>
      </c>
      <c r="BC326" s="331">
        <f>SQRT(($R326-Infrastructure!J$10)^2+($S326-Infrastructure!K$10)^2)</f>
        <v>31.28002558</v>
      </c>
      <c r="BD326" s="318"/>
      <c r="BE326" s="332"/>
      <c r="BF326" s="330">
        <f t="shared" si="14"/>
        <v>24.19628071</v>
      </c>
      <c r="BG326" s="333">
        <f t="shared" si="15"/>
        <v>41.22256664</v>
      </c>
      <c r="BH326" s="334"/>
      <c r="BI326" s="316"/>
      <c r="BJ326" s="318"/>
      <c r="BK326" s="318"/>
      <c r="BL326" s="318"/>
      <c r="BM326" s="318"/>
      <c r="BN326" s="318"/>
      <c r="BO326" s="318"/>
      <c r="BP326" s="318"/>
      <c r="BQ326" s="338"/>
      <c r="BR326" s="420"/>
      <c r="BS326" s="330">
        <f t="shared" si="16"/>
        <v>0</v>
      </c>
      <c r="BT326" s="331">
        <f t="shared" si="17"/>
        <v>0</v>
      </c>
      <c r="BU326" s="331"/>
      <c r="BV326" s="333"/>
      <c r="BW326" s="330"/>
      <c r="BX326" s="331"/>
      <c r="BY326" s="331"/>
      <c r="BZ326" s="340"/>
      <c r="CA326" s="486" t="s">
        <v>846</v>
      </c>
      <c r="CB326" s="426" t="s">
        <v>846</v>
      </c>
      <c r="CC326" s="426" t="s">
        <v>846</v>
      </c>
      <c r="CD326" s="426" t="s">
        <v>846</v>
      </c>
      <c r="CE326" s="426" t="s">
        <v>846</v>
      </c>
      <c r="CF326" s="426" t="s">
        <v>846</v>
      </c>
      <c r="CG326" s="426" t="s">
        <v>846</v>
      </c>
      <c r="CH326" s="426" t="s">
        <v>846</v>
      </c>
      <c r="CI326" s="338"/>
      <c r="CJ326" s="341"/>
      <c r="CK326" s="342">
        <f t="shared" si="18"/>
        <v>24.19628071</v>
      </c>
      <c r="CL326" s="333">
        <f t="shared" si="19"/>
        <v>41.22256664</v>
      </c>
      <c r="CM326" s="423"/>
      <c r="CN326" s="424"/>
      <c r="CO326" s="424"/>
      <c r="CP326" s="424"/>
    </row>
    <row r="327">
      <c r="B327" s="316"/>
      <c r="C327" s="417">
        <v>43753.0</v>
      </c>
      <c r="D327" s="319" t="s">
        <v>1139</v>
      </c>
      <c r="E327" s="319">
        <v>24.0</v>
      </c>
      <c r="F327" s="332"/>
      <c r="G327" s="321">
        <v>0.6532986111111111</v>
      </c>
      <c r="H327" s="323">
        <v>0.653587962962963</v>
      </c>
      <c r="I327" s="323"/>
      <c r="J327" s="323"/>
      <c r="K327" s="323">
        <v>0.6542824074074074</v>
      </c>
      <c r="L327" s="322">
        <f t="shared" si="7"/>
        <v>0.0009837962963</v>
      </c>
      <c r="M327" s="319" t="s">
        <v>166</v>
      </c>
      <c r="N327" s="324" t="s">
        <v>188</v>
      </c>
      <c r="O327" s="419" t="s">
        <v>841</v>
      </c>
      <c r="P327" s="318"/>
      <c r="Q327" s="318"/>
      <c r="R327" s="326">
        <v>21.2</v>
      </c>
      <c r="S327" s="319">
        <v>40.0</v>
      </c>
      <c r="T327" s="332"/>
      <c r="U327" s="319">
        <v>28.0</v>
      </c>
      <c r="V327" s="319"/>
      <c r="W327" s="319"/>
      <c r="X327" s="319"/>
      <c r="Y327" s="319"/>
      <c r="Z327" s="319" t="s">
        <v>387</v>
      </c>
      <c r="AA327" s="319"/>
      <c r="AB327" s="318"/>
      <c r="AC327" s="327">
        <v>52.5</v>
      </c>
      <c r="AD327" s="319"/>
      <c r="AE327" s="319"/>
      <c r="AF327" s="319"/>
      <c r="AG327" s="319"/>
      <c r="AH327" s="319"/>
      <c r="AI327" s="319"/>
      <c r="AJ327" s="327"/>
      <c r="AK327" s="328"/>
      <c r="AL327" s="319"/>
      <c r="AM327" s="319"/>
      <c r="AN327" s="319"/>
      <c r="AO327" s="319"/>
      <c r="AP327" s="319"/>
      <c r="AQ327" s="319"/>
      <c r="AR327" s="319"/>
      <c r="AS327" s="327"/>
      <c r="AT327" s="461" t="s">
        <v>183</v>
      </c>
      <c r="AU327" s="324" t="s">
        <v>845</v>
      </c>
      <c r="AV327" s="330">
        <f>SQRT(($R327-Infrastructure!J$3)^2+($S327-Infrastructure!K$3)^2)</f>
        <v>24.19628071</v>
      </c>
      <c r="AW327" s="331">
        <f>SQRT(($R327-Infrastructure!J$4)^2+($S327-Infrastructure!K$4)^2)</f>
        <v>30.90453041</v>
      </c>
      <c r="AX327" s="331">
        <f>SQRT(($R327-Infrastructure!J$5)^2+($S327-Infrastructure!K$5)^2)</f>
        <v>40.99097462</v>
      </c>
      <c r="AY327" s="331">
        <f>SQRT(($R327-Infrastructure!J$6)^2+($S327-Infrastructure!K$6)^2)</f>
        <v>41.22256664</v>
      </c>
      <c r="AZ327" s="331">
        <f>SQRT(($R327-Infrastructure!J$7)^2+($S327-Infrastructure!K$7)^2)</f>
        <v>39.70617081</v>
      </c>
      <c r="BA327" s="331">
        <f>SQRT(($R327-Infrastructure!J$8)^2+($S327-Infrastructure!K$8)^2)</f>
        <v>40.68537821</v>
      </c>
      <c r="BB327" s="331">
        <f>SQRT(($R327-Infrastructure!J$9)^2+($S327-Infrastructure!K$9)^2)</f>
        <v>39.64151864</v>
      </c>
      <c r="BC327" s="331">
        <f>SQRT(($R327-Infrastructure!J$10)^2+($S327-Infrastructure!K$10)^2)</f>
        <v>31.28002558</v>
      </c>
      <c r="BD327" s="318"/>
      <c r="BE327" s="332"/>
      <c r="BF327" s="330">
        <f t="shared" si="14"/>
        <v>24.19628071</v>
      </c>
      <c r="BG327" s="333">
        <f t="shared" si="15"/>
        <v>41.22256664</v>
      </c>
      <c r="BH327" s="334"/>
      <c r="BI327" s="316"/>
      <c r="BJ327" s="318"/>
      <c r="BK327" s="318"/>
      <c r="BL327" s="318"/>
      <c r="BM327" s="318"/>
      <c r="BN327" s="318"/>
      <c r="BO327" s="318"/>
      <c r="BP327" s="318"/>
      <c r="BQ327" s="338"/>
      <c r="BR327" s="420"/>
      <c r="BS327" s="330">
        <f t="shared" si="16"/>
        <v>0</v>
      </c>
      <c r="BT327" s="331">
        <f t="shared" si="17"/>
        <v>0</v>
      </c>
      <c r="BU327" s="331"/>
      <c r="BV327" s="333"/>
      <c r="BW327" s="330"/>
      <c r="BX327" s="331"/>
      <c r="BY327" s="331"/>
      <c r="BZ327" s="340"/>
      <c r="CA327" s="486" t="s">
        <v>846</v>
      </c>
      <c r="CB327" s="426" t="s">
        <v>846</v>
      </c>
      <c r="CC327" s="426" t="s">
        <v>846</v>
      </c>
      <c r="CD327" s="426" t="s">
        <v>846</v>
      </c>
      <c r="CE327" s="426" t="s">
        <v>846</v>
      </c>
      <c r="CF327" s="426" t="s">
        <v>846</v>
      </c>
      <c r="CG327" s="426" t="s">
        <v>846</v>
      </c>
      <c r="CH327" s="426" t="s">
        <v>846</v>
      </c>
      <c r="CI327" s="338"/>
      <c r="CJ327" s="341"/>
      <c r="CK327" s="342">
        <f t="shared" si="18"/>
        <v>24.19628071</v>
      </c>
      <c r="CL327" s="333">
        <f t="shared" si="19"/>
        <v>41.22256664</v>
      </c>
      <c r="CM327" s="423"/>
      <c r="CN327" s="424"/>
      <c r="CO327" s="424"/>
      <c r="CP327" s="424"/>
    </row>
    <row r="328">
      <c r="B328" s="316"/>
      <c r="C328" s="417">
        <v>43753.0</v>
      </c>
      <c r="D328" s="319" t="s">
        <v>1139</v>
      </c>
      <c r="E328" s="319">
        <v>24.0</v>
      </c>
      <c r="F328" s="332"/>
      <c r="G328" s="321">
        <v>0.6542824074074074</v>
      </c>
      <c r="H328" s="323">
        <v>0.6550347222222223</v>
      </c>
      <c r="I328" s="323"/>
      <c r="J328" s="323"/>
      <c r="K328" s="323">
        <v>0.6557291666666667</v>
      </c>
      <c r="L328" s="322">
        <f t="shared" si="7"/>
        <v>0.001446759259</v>
      </c>
      <c r="M328" s="319" t="s">
        <v>166</v>
      </c>
      <c r="N328" s="324" t="s">
        <v>188</v>
      </c>
      <c r="O328" s="419" t="s">
        <v>841</v>
      </c>
      <c r="P328" s="318"/>
      <c r="Q328" s="318"/>
      <c r="R328" s="326">
        <v>21.2</v>
      </c>
      <c r="S328" s="319">
        <v>40.0</v>
      </c>
      <c r="T328" s="332"/>
      <c r="U328" s="319">
        <v>93.0</v>
      </c>
      <c r="V328" s="319"/>
      <c r="W328" s="319"/>
      <c r="X328" s="319"/>
      <c r="Y328" s="319"/>
      <c r="Z328" s="319" t="s">
        <v>387</v>
      </c>
      <c r="AA328" s="319"/>
      <c r="AB328" s="318"/>
      <c r="AC328" s="327">
        <v>52.5</v>
      </c>
      <c r="AD328" s="319"/>
      <c r="AE328" s="319"/>
      <c r="AF328" s="319"/>
      <c r="AG328" s="319"/>
      <c r="AH328" s="319"/>
      <c r="AI328" s="319"/>
      <c r="AJ328" s="327"/>
      <c r="AK328" s="328"/>
      <c r="AL328" s="319"/>
      <c r="AM328" s="319"/>
      <c r="AN328" s="319"/>
      <c r="AO328" s="319"/>
      <c r="AP328" s="319"/>
      <c r="AQ328" s="319"/>
      <c r="AR328" s="319"/>
      <c r="AS328" s="327"/>
      <c r="AT328" s="461" t="s">
        <v>183</v>
      </c>
      <c r="AU328" s="324" t="s">
        <v>845</v>
      </c>
      <c r="AV328" s="330">
        <f>SQRT(($R328-Infrastructure!J$3)^2+($S328-Infrastructure!K$3)^2)</f>
        <v>24.19628071</v>
      </c>
      <c r="AW328" s="331">
        <f>SQRT(($R328-Infrastructure!J$4)^2+($S328-Infrastructure!K$4)^2)</f>
        <v>30.90453041</v>
      </c>
      <c r="AX328" s="331">
        <f>SQRT(($R328-Infrastructure!J$5)^2+($S328-Infrastructure!K$5)^2)</f>
        <v>40.99097462</v>
      </c>
      <c r="AY328" s="331">
        <f>SQRT(($R328-Infrastructure!J$6)^2+($S328-Infrastructure!K$6)^2)</f>
        <v>41.22256664</v>
      </c>
      <c r="AZ328" s="331">
        <f>SQRT(($R328-Infrastructure!J$7)^2+($S328-Infrastructure!K$7)^2)</f>
        <v>39.70617081</v>
      </c>
      <c r="BA328" s="331">
        <f>SQRT(($R328-Infrastructure!J$8)^2+($S328-Infrastructure!K$8)^2)</f>
        <v>40.68537821</v>
      </c>
      <c r="BB328" s="331">
        <f>SQRT(($R328-Infrastructure!J$9)^2+($S328-Infrastructure!K$9)^2)</f>
        <v>39.64151864</v>
      </c>
      <c r="BC328" s="331">
        <f>SQRT(($R328-Infrastructure!J$10)^2+($S328-Infrastructure!K$10)^2)</f>
        <v>31.28002558</v>
      </c>
      <c r="BD328" s="318"/>
      <c r="BE328" s="332"/>
      <c r="BF328" s="330">
        <f t="shared" si="14"/>
        <v>24.19628071</v>
      </c>
      <c r="BG328" s="333">
        <f t="shared" si="15"/>
        <v>41.22256664</v>
      </c>
      <c r="BH328" s="334"/>
      <c r="BI328" s="316"/>
      <c r="BJ328" s="318"/>
      <c r="BK328" s="318"/>
      <c r="BL328" s="318"/>
      <c r="BM328" s="318"/>
      <c r="BN328" s="319"/>
      <c r="BO328" s="318"/>
      <c r="BP328" s="318"/>
      <c r="BQ328" s="338"/>
      <c r="BR328" s="420"/>
      <c r="BS328" s="330">
        <f t="shared" si="16"/>
        <v>0</v>
      </c>
      <c r="BT328" s="331">
        <f t="shared" si="17"/>
        <v>0</v>
      </c>
      <c r="BU328" s="331"/>
      <c r="BV328" s="333"/>
      <c r="BW328" s="330"/>
      <c r="BX328" s="331"/>
      <c r="BY328" s="331"/>
      <c r="BZ328" s="340"/>
      <c r="CA328" s="486" t="s">
        <v>846</v>
      </c>
      <c r="CB328" s="426" t="s">
        <v>846</v>
      </c>
      <c r="CC328" s="426" t="s">
        <v>846</v>
      </c>
      <c r="CD328" s="426" t="s">
        <v>846</v>
      </c>
      <c r="CE328" s="426" t="s">
        <v>846</v>
      </c>
      <c r="CF328" s="426" t="s">
        <v>846</v>
      </c>
      <c r="CG328" s="426" t="s">
        <v>846</v>
      </c>
      <c r="CH328" s="426" t="s">
        <v>846</v>
      </c>
      <c r="CI328" s="338"/>
      <c r="CJ328" s="341"/>
      <c r="CK328" s="342">
        <f t="shared" si="18"/>
        <v>24.19628071</v>
      </c>
      <c r="CL328" s="333">
        <f t="shared" si="19"/>
        <v>41.22256664</v>
      </c>
      <c r="CM328" s="423"/>
      <c r="CN328" s="424"/>
      <c r="CO328" s="424"/>
      <c r="CP328" s="424"/>
    </row>
    <row r="329">
      <c r="B329" s="316"/>
      <c r="C329" s="417">
        <v>43753.0</v>
      </c>
      <c r="D329" s="319" t="s">
        <v>1139</v>
      </c>
      <c r="E329" s="319">
        <v>25.0</v>
      </c>
      <c r="F329" s="332"/>
      <c r="G329" s="321">
        <v>0.6638888888888889</v>
      </c>
      <c r="H329" s="323">
        <v>0.6645833333333333</v>
      </c>
      <c r="I329" s="323"/>
      <c r="J329" s="323"/>
      <c r="K329" s="323">
        <v>0.665625</v>
      </c>
      <c r="L329" s="322">
        <f t="shared" si="7"/>
        <v>0.001736111111</v>
      </c>
      <c r="M329" s="319" t="s">
        <v>166</v>
      </c>
      <c r="N329" s="324" t="s">
        <v>188</v>
      </c>
      <c r="O329" s="419" t="s">
        <v>841</v>
      </c>
      <c r="P329" s="319" t="s">
        <v>233</v>
      </c>
      <c r="Q329" s="318"/>
      <c r="R329" s="326">
        <v>21.2</v>
      </c>
      <c r="S329" s="319">
        <v>40.0</v>
      </c>
      <c r="T329" s="332"/>
      <c r="U329" s="319">
        <v>14.0</v>
      </c>
      <c r="V329" s="319"/>
      <c r="W329" s="319"/>
      <c r="X329" s="319"/>
      <c r="Y329" s="319"/>
      <c r="Z329" s="319" t="s">
        <v>387</v>
      </c>
      <c r="AA329" s="319"/>
      <c r="AB329" s="318"/>
      <c r="AC329" s="327">
        <v>26.65</v>
      </c>
      <c r="AD329" s="319"/>
      <c r="AE329" s="319"/>
      <c r="AF329" s="319"/>
      <c r="AG329" s="319"/>
      <c r="AH329" s="319"/>
      <c r="AI329" s="319"/>
      <c r="AJ329" s="327"/>
      <c r="AK329" s="328"/>
      <c r="AL329" s="319"/>
      <c r="AM329" s="319"/>
      <c r="AN329" s="319"/>
      <c r="AO329" s="319"/>
      <c r="AP329" s="319"/>
      <c r="AQ329" s="319"/>
      <c r="AR329" s="319"/>
      <c r="AS329" s="327"/>
      <c r="AT329" s="461" t="s">
        <v>183</v>
      </c>
      <c r="AU329" s="324" t="s">
        <v>845</v>
      </c>
      <c r="AV329" s="330">
        <f>SQRT(($R329-Infrastructure!J$3)^2+($S329-Infrastructure!K$3)^2)</f>
        <v>24.19628071</v>
      </c>
      <c r="AW329" s="331">
        <f>SQRT(($R329-Infrastructure!J$4)^2+($S329-Infrastructure!K$4)^2)</f>
        <v>30.90453041</v>
      </c>
      <c r="AX329" s="331">
        <f>SQRT(($R329-Infrastructure!J$5)^2+($S329-Infrastructure!K$5)^2)</f>
        <v>40.99097462</v>
      </c>
      <c r="AY329" s="331">
        <f>SQRT(($R329-Infrastructure!J$6)^2+($S329-Infrastructure!K$6)^2)</f>
        <v>41.22256664</v>
      </c>
      <c r="AZ329" s="331">
        <f>SQRT(($R329-Infrastructure!J$7)^2+($S329-Infrastructure!K$7)^2)</f>
        <v>39.70617081</v>
      </c>
      <c r="BA329" s="331">
        <f>SQRT(($R329-Infrastructure!J$8)^2+($S329-Infrastructure!K$8)^2)</f>
        <v>40.68537821</v>
      </c>
      <c r="BB329" s="331">
        <f>SQRT(($R329-Infrastructure!J$9)^2+($S329-Infrastructure!K$9)^2)</f>
        <v>39.64151864</v>
      </c>
      <c r="BC329" s="331">
        <f>SQRT(($R329-Infrastructure!J$10)^2+($S329-Infrastructure!K$10)^2)</f>
        <v>31.28002558</v>
      </c>
      <c r="BD329" s="318"/>
      <c r="BE329" s="332"/>
      <c r="BF329" s="330">
        <f t="shared" si="14"/>
        <v>24.19628071</v>
      </c>
      <c r="BG329" s="333">
        <f t="shared" si="15"/>
        <v>41.22256664</v>
      </c>
      <c r="BH329" s="334"/>
      <c r="BI329" s="462" t="s">
        <v>846</v>
      </c>
      <c r="BJ329" s="318"/>
      <c r="BK329" s="318"/>
      <c r="BL329" s="318"/>
      <c r="BM329" s="318"/>
      <c r="BN329" s="318"/>
      <c r="BO329" s="318"/>
      <c r="BP329" s="319" t="s">
        <v>846</v>
      </c>
      <c r="BQ329" s="338"/>
      <c r="BR329" s="420"/>
      <c r="BS329" s="330">
        <f t="shared" si="16"/>
        <v>24.19628071</v>
      </c>
      <c r="BT329" s="331">
        <f t="shared" si="17"/>
        <v>31.28002558</v>
      </c>
      <c r="BU329" s="331"/>
      <c r="BV329" s="333"/>
      <c r="BW329" s="330"/>
      <c r="BX329" s="331"/>
      <c r="BY329" s="331"/>
      <c r="BZ329" s="340"/>
      <c r="CA329" s="486" t="s">
        <v>846</v>
      </c>
      <c r="CB329" s="426" t="s">
        <v>846</v>
      </c>
      <c r="CC329" s="426" t="s">
        <v>846</v>
      </c>
      <c r="CD329" s="426" t="s">
        <v>846</v>
      </c>
      <c r="CE329" s="426" t="s">
        <v>846</v>
      </c>
      <c r="CF329" s="426" t="s">
        <v>846</v>
      </c>
      <c r="CG329" s="426" t="s">
        <v>846</v>
      </c>
      <c r="CH329" s="426" t="s">
        <v>846</v>
      </c>
      <c r="CI329" s="338"/>
      <c r="CJ329" s="341"/>
      <c r="CK329" s="342">
        <f t="shared" si="18"/>
        <v>24.19628071</v>
      </c>
      <c r="CL329" s="333">
        <f t="shared" si="19"/>
        <v>41.22256664</v>
      </c>
      <c r="CM329" s="421" t="s">
        <v>1144</v>
      </c>
      <c r="CN329" s="416"/>
      <c r="CO329" s="416"/>
      <c r="CP329" s="416"/>
    </row>
    <row r="330">
      <c r="B330" s="316"/>
      <c r="C330" s="417">
        <v>43753.0</v>
      </c>
      <c r="D330" s="319" t="s">
        <v>1139</v>
      </c>
      <c r="E330" s="319">
        <v>26.0</v>
      </c>
      <c r="F330" s="332"/>
      <c r="G330" s="321">
        <v>0.6701388888888888</v>
      </c>
      <c r="H330" s="323">
        <v>0.6708333333333333</v>
      </c>
      <c r="I330" s="323"/>
      <c r="J330" s="323"/>
      <c r="K330" s="323">
        <v>0.6715277777777777</v>
      </c>
      <c r="L330" s="322">
        <f t="shared" si="7"/>
        <v>0.001388888889</v>
      </c>
      <c r="M330" s="319" t="s">
        <v>166</v>
      </c>
      <c r="N330" s="324" t="s">
        <v>188</v>
      </c>
      <c r="O330" s="419" t="s">
        <v>841</v>
      </c>
      <c r="P330" s="319" t="s">
        <v>233</v>
      </c>
      <c r="Q330" s="318"/>
      <c r="R330" s="326">
        <v>21.2</v>
      </c>
      <c r="S330" s="319">
        <v>40.0</v>
      </c>
      <c r="T330" s="332"/>
      <c r="U330" s="319">
        <v>125.0</v>
      </c>
      <c r="V330" s="319"/>
      <c r="W330" s="319"/>
      <c r="X330" s="319"/>
      <c r="Y330" s="319"/>
      <c r="Z330" s="319" t="s">
        <v>387</v>
      </c>
      <c r="AA330" s="319"/>
      <c r="AB330" s="318"/>
      <c r="AC330" s="327">
        <v>77.9</v>
      </c>
      <c r="AD330" s="319"/>
      <c r="AE330" s="319"/>
      <c r="AF330" s="319"/>
      <c r="AG330" s="319"/>
      <c r="AH330" s="319"/>
      <c r="AI330" s="319"/>
      <c r="AJ330" s="327"/>
      <c r="AK330" s="328"/>
      <c r="AL330" s="319"/>
      <c r="AM330" s="319"/>
      <c r="AN330" s="319"/>
      <c r="AO330" s="319"/>
      <c r="AP330" s="319"/>
      <c r="AQ330" s="319"/>
      <c r="AR330" s="319"/>
      <c r="AS330" s="327"/>
      <c r="AT330" s="461" t="s">
        <v>183</v>
      </c>
      <c r="AU330" s="324" t="s">
        <v>845</v>
      </c>
      <c r="AV330" s="330">
        <f>SQRT(($R330-Infrastructure!J$3)^2+($S330-Infrastructure!K$3)^2)</f>
        <v>24.19628071</v>
      </c>
      <c r="AW330" s="331">
        <f>SQRT(($R330-Infrastructure!J$4)^2+($S330-Infrastructure!K$4)^2)</f>
        <v>30.90453041</v>
      </c>
      <c r="AX330" s="331">
        <f>SQRT(($R330-Infrastructure!J$5)^2+($S330-Infrastructure!K$5)^2)</f>
        <v>40.99097462</v>
      </c>
      <c r="AY330" s="331">
        <f>SQRT(($R330-Infrastructure!J$6)^2+($S330-Infrastructure!K$6)^2)</f>
        <v>41.22256664</v>
      </c>
      <c r="AZ330" s="331">
        <f>SQRT(($R330-Infrastructure!J$7)^2+($S330-Infrastructure!K$7)^2)</f>
        <v>39.70617081</v>
      </c>
      <c r="BA330" s="331">
        <f>SQRT(($R330-Infrastructure!J$8)^2+($S330-Infrastructure!K$8)^2)</f>
        <v>40.68537821</v>
      </c>
      <c r="BB330" s="331">
        <f>SQRT(($R330-Infrastructure!J$9)^2+($S330-Infrastructure!K$9)^2)</f>
        <v>39.64151864</v>
      </c>
      <c r="BC330" s="331">
        <f>SQRT(($R330-Infrastructure!J$10)^2+($S330-Infrastructure!K$10)^2)</f>
        <v>31.28002558</v>
      </c>
      <c r="BD330" s="318"/>
      <c r="BE330" s="332"/>
      <c r="BF330" s="330">
        <f t="shared" si="14"/>
        <v>24.19628071</v>
      </c>
      <c r="BG330" s="333">
        <f t="shared" si="15"/>
        <v>41.22256664</v>
      </c>
      <c r="BH330" s="334"/>
      <c r="BI330" s="462" t="s">
        <v>846</v>
      </c>
      <c r="BJ330" s="318"/>
      <c r="BK330" s="318"/>
      <c r="BL330" s="318"/>
      <c r="BM330" s="318"/>
      <c r="BN330" s="318"/>
      <c r="BO330" s="318"/>
      <c r="BP330" s="318"/>
      <c r="BQ330" s="338"/>
      <c r="BR330" s="420"/>
      <c r="BS330" s="330">
        <f t="shared" si="16"/>
        <v>24.19628071</v>
      </c>
      <c r="BT330" s="331">
        <f t="shared" si="17"/>
        <v>24.19628071</v>
      </c>
      <c r="BU330" s="331"/>
      <c r="BV330" s="333"/>
      <c r="BW330" s="330"/>
      <c r="BX330" s="331"/>
      <c r="BY330" s="331"/>
      <c r="BZ330" s="340"/>
      <c r="CA330" s="486" t="s">
        <v>846</v>
      </c>
      <c r="CB330" s="426" t="s">
        <v>846</v>
      </c>
      <c r="CC330" s="426" t="s">
        <v>846</v>
      </c>
      <c r="CD330" s="426" t="s">
        <v>846</v>
      </c>
      <c r="CE330" s="426" t="s">
        <v>846</v>
      </c>
      <c r="CF330" s="426" t="s">
        <v>846</v>
      </c>
      <c r="CG330" s="426" t="s">
        <v>846</v>
      </c>
      <c r="CH330" s="426" t="s">
        <v>846</v>
      </c>
      <c r="CI330" s="338"/>
      <c r="CJ330" s="341"/>
      <c r="CK330" s="342">
        <f t="shared" si="18"/>
        <v>24.19628071</v>
      </c>
      <c r="CL330" s="333">
        <f t="shared" si="19"/>
        <v>41.22256664</v>
      </c>
      <c r="CM330" s="421" t="s">
        <v>1145</v>
      </c>
      <c r="CN330" s="416"/>
      <c r="CO330" s="416"/>
      <c r="CP330" s="416"/>
    </row>
    <row r="331">
      <c r="B331" s="316"/>
      <c r="C331" s="417">
        <v>43754.0</v>
      </c>
      <c r="D331" s="319" t="s">
        <v>1120</v>
      </c>
      <c r="E331" s="319">
        <v>27.0</v>
      </c>
      <c r="F331" s="332"/>
      <c r="G331" s="321">
        <v>0.40902777777777777</v>
      </c>
      <c r="H331" s="323">
        <v>0.409375</v>
      </c>
      <c r="I331" s="323"/>
      <c r="J331" s="323"/>
      <c r="K331" s="323">
        <v>0.4097222222222222</v>
      </c>
      <c r="L331" s="322">
        <f t="shared" si="7"/>
        <v>0.0006944444444</v>
      </c>
      <c r="M331" s="319" t="s">
        <v>166</v>
      </c>
      <c r="N331" s="324" t="s">
        <v>187</v>
      </c>
      <c r="O331" s="419" t="s">
        <v>205</v>
      </c>
      <c r="P331" s="319" t="s">
        <v>240</v>
      </c>
      <c r="Q331" s="318"/>
      <c r="R331" s="326">
        <v>21.1</v>
      </c>
      <c r="S331" s="319">
        <v>4.13</v>
      </c>
      <c r="T331" s="332"/>
      <c r="U331" s="319">
        <v>0.3</v>
      </c>
      <c r="V331" s="319"/>
      <c r="W331" s="319"/>
      <c r="X331" s="319"/>
      <c r="Y331" s="319"/>
      <c r="Z331" s="319" t="s">
        <v>370</v>
      </c>
      <c r="AA331" s="319"/>
      <c r="AB331" s="318"/>
      <c r="AC331" s="327">
        <v>4.0</v>
      </c>
      <c r="AD331" s="319"/>
      <c r="AE331" s="319"/>
      <c r="AF331" s="319"/>
      <c r="AG331" s="319"/>
      <c r="AH331" s="319"/>
      <c r="AI331" s="319"/>
      <c r="AJ331" s="327"/>
      <c r="AK331" s="328"/>
      <c r="AL331" s="319"/>
      <c r="AM331" s="319"/>
      <c r="AN331" s="319"/>
      <c r="AO331" s="319"/>
      <c r="AP331" s="319"/>
      <c r="AQ331" s="319"/>
      <c r="AR331" s="319"/>
      <c r="AS331" s="327"/>
      <c r="AT331" s="461" t="s">
        <v>181</v>
      </c>
      <c r="AU331" s="324" t="s">
        <v>845</v>
      </c>
      <c r="AV331" s="330">
        <f>SQRT(($R331-Infrastructure!J$3)^2+($S331-Infrastructure!K$3)^2)</f>
        <v>32.73397165</v>
      </c>
      <c r="AW331" s="331">
        <f>SQRT(($R331-Infrastructure!J$4)^2+($S331-Infrastructure!K$4)^2)</f>
        <v>25.39348145</v>
      </c>
      <c r="AX331" s="331">
        <f>SQRT(($R331-Infrastructure!J$5)^2+($S331-Infrastructure!K$5)^2)</f>
        <v>21.42197236</v>
      </c>
      <c r="AY331" s="331">
        <f>SQRT(($R331-Infrastructure!J$6)^2+($S331-Infrastructure!K$6)^2)</f>
        <v>11.64769934</v>
      </c>
      <c r="AZ331" s="331">
        <f>SQRT(($R331-Infrastructure!J$7)^2+($S331-Infrastructure!K$7)^2)</f>
        <v>3.876712525</v>
      </c>
      <c r="BA331" s="331">
        <f>SQRT(($R331-Infrastructure!J$8)^2+($S331-Infrastructure!K$8)^2)</f>
        <v>9.781048001</v>
      </c>
      <c r="BB331" s="331">
        <f>SQRT(($R331-Infrastructure!J$9)^2+($S331-Infrastructure!K$9)^2)</f>
        <v>18.92487516</v>
      </c>
      <c r="BC331" s="331">
        <f>SQRT(($R331-Infrastructure!J$10)^2+($S331-Infrastructure!K$10)^2)</f>
        <v>21.80291036</v>
      </c>
      <c r="BD331" s="318"/>
      <c r="BE331" s="332"/>
      <c r="BF331" s="330">
        <f t="shared" si="14"/>
        <v>3.876712525</v>
      </c>
      <c r="BG331" s="333">
        <f t="shared" si="15"/>
        <v>32.73397165</v>
      </c>
      <c r="BH331" s="334"/>
      <c r="BI331" s="316"/>
      <c r="BJ331" s="318"/>
      <c r="BK331" s="318"/>
      <c r="BL331" s="318"/>
      <c r="BM331" s="318"/>
      <c r="BN331" s="318"/>
      <c r="BO331" s="318"/>
      <c r="BP331" s="318"/>
      <c r="BQ331" s="338"/>
      <c r="BR331" s="420"/>
      <c r="BS331" s="330"/>
      <c r="BT331" s="331"/>
      <c r="BU331" s="331"/>
      <c r="BV331" s="333"/>
      <c r="BW331" s="330"/>
      <c r="BX331" s="331"/>
      <c r="BY331" s="331"/>
      <c r="BZ331" s="340"/>
      <c r="CA331" s="316"/>
      <c r="CB331" s="318"/>
      <c r="CC331" s="318"/>
      <c r="CD331" s="318"/>
      <c r="CE331" s="318"/>
      <c r="CF331" s="318"/>
      <c r="CG331" s="318"/>
      <c r="CH331" s="318"/>
      <c r="CI331" s="338"/>
      <c r="CJ331" s="341"/>
      <c r="CK331" s="342">
        <f t="shared" si="18"/>
        <v>0</v>
      </c>
      <c r="CL331" s="333">
        <f t="shared" si="19"/>
        <v>0</v>
      </c>
      <c r="CM331" s="421" t="s">
        <v>1122</v>
      </c>
      <c r="CN331" s="416"/>
      <c r="CO331" s="416"/>
      <c r="CP331" s="416"/>
    </row>
    <row r="332">
      <c r="B332" s="316"/>
      <c r="C332" s="417">
        <v>43754.0</v>
      </c>
      <c r="D332" s="319" t="s">
        <v>1120</v>
      </c>
      <c r="E332" s="319">
        <v>27.0</v>
      </c>
      <c r="F332" s="332"/>
      <c r="G332" s="321">
        <v>0.4097222222222222</v>
      </c>
      <c r="H332" s="323">
        <v>0.4107638888888889</v>
      </c>
      <c r="I332" s="323"/>
      <c r="J332" s="323"/>
      <c r="K332" s="323">
        <v>0.4111111111111111</v>
      </c>
      <c r="L332" s="322">
        <f t="shared" si="7"/>
        <v>0.001388888889</v>
      </c>
      <c r="M332" s="319" t="s">
        <v>166</v>
      </c>
      <c r="N332" s="324" t="s">
        <v>187</v>
      </c>
      <c r="O332" s="419" t="s">
        <v>205</v>
      </c>
      <c r="P332" s="318"/>
      <c r="Q332" s="318"/>
      <c r="R332" s="326">
        <v>21.1</v>
      </c>
      <c r="S332" s="319">
        <v>4.13</v>
      </c>
      <c r="T332" s="332"/>
      <c r="U332" s="319">
        <v>0.75</v>
      </c>
      <c r="V332" s="319"/>
      <c r="W332" s="319"/>
      <c r="X332" s="319"/>
      <c r="Y332" s="319"/>
      <c r="Z332" s="319" t="s">
        <v>370</v>
      </c>
      <c r="AA332" s="319"/>
      <c r="AB332" s="318"/>
      <c r="AC332" s="327">
        <v>4.0</v>
      </c>
      <c r="AD332" s="319"/>
      <c r="AE332" s="319"/>
      <c r="AF332" s="319"/>
      <c r="AG332" s="319"/>
      <c r="AH332" s="319"/>
      <c r="AI332" s="319"/>
      <c r="AJ332" s="327"/>
      <c r="AK332" s="328"/>
      <c r="AL332" s="319"/>
      <c r="AM332" s="319"/>
      <c r="AN332" s="319"/>
      <c r="AO332" s="319"/>
      <c r="AP332" s="319"/>
      <c r="AQ332" s="319"/>
      <c r="AR332" s="319"/>
      <c r="AS332" s="327"/>
      <c r="AT332" s="461" t="s">
        <v>181</v>
      </c>
      <c r="AU332" s="324" t="s">
        <v>845</v>
      </c>
      <c r="AV332" s="330">
        <f>SQRT(($R332-Infrastructure!J$3)^2+($S332-Infrastructure!K$3)^2)</f>
        <v>32.73397165</v>
      </c>
      <c r="AW332" s="331">
        <f>SQRT(($R332-Infrastructure!J$4)^2+($S332-Infrastructure!K$4)^2)</f>
        <v>25.39348145</v>
      </c>
      <c r="AX332" s="331">
        <f>SQRT(($R332-Infrastructure!J$5)^2+($S332-Infrastructure!K$5)^2)</f>
        <v>21.42197236</v>
      </c>
      <c r="AY332" s="331">
        <f>SQRT(($R332-Infrastructure!J$6)^2+($S332-Infrastructure!K$6)^2)</f>
        <v>11.64769934</v>
      </c>
      <c r="AZ332" s="331">
        <f>SQRT(($R332-Infrastructure!J$7)^2+($S332-Infrastructure!K$7)^2)</f>
        <v>3.876712525</v>
      </c>
      <c r="BA332" s="331">
        <f>SQRT(($R332-Infrastructure!J$8)^2+($S332-Infrastructure!K$8)^2)</f>
        <v>9.781048001</v>
      </c>
      <c r="BB332" s="331">
        <f>SQRT(($R332-Infrastructure!J$9)^2+($S332-Infrastructure!K$9)^2)</f>
        <v>18.92487516</v>
      </c>
      <c r="BC332" s="331">
        <f>SQRT(($R332-Infrastructure!J$10)^2+($S332-Infrastructure!K$10)^2)</f>
        <v>21.80291036</v>
      </c>
      <c r="BD332" s="318"/>
      <c r="BE332" s="332"/>
      <c r="BF332" s="330">
        <f t="shared" si="14"/>
        <v>3.876712525</v>
      </c>
      <c r="BG332" s="333">
        <f t="shared" si="15"/>
        <v>32.73397165</v>
      </c>
      <c r="BH332" s="334"/>
      <c r="BI332" s="316"/>
      <c r="BJ332" s="318"/>
      <c r="BK332" s="318"/>
      <c r="BL332" s="318"/>
      <c r="BM332" s="318"/>
      <c r="BN332" s="318"/>
      <c r="BO332" s="318"/>
      <c r="BP332" s="318"/>
      <c r="BQ332" s="338"/>
      <c r="BR332" s="420"/>
      <c r="BS332" s="330"/>
      <c r="BT332" s="331"/>
      <c r="BU332" s="331"/>
      <c r="BV332" s="333"/>
      <c r="BW332" s="330"/>
      <c r="BX332" s="331"/>
      <c r="BY332" s="331"/>
      <c r="BZ332" s="340"/>
      <c r="CA332" s="316"/>
      <c r="CB332" s="318"/>
      <c r="CC332" s="318"/>
      <c r="CD332" s="318"/>
      <c r="CE332" s="318"/>
      <c r="CF332" s="318"/>
      <c r="CG332" s="318"/>
      <c r="CH332" s="318"/>
      <c r="CI332" s="338"/>
      <c r="CJ332" s="341"/>
      <c r="CK332" s="342">
        <f t="shared" si="18"/>
        <v>0</v>
      </c>
      <c r="CL332" s="333">
        <f t="shared" si="19"/>
        <v>0</v>
      </c>
      <c r="CM332" s="423"/>
      <c r="CN332" s="424"/>
      <c r="CO332" s="424"/>
      <c r="CP332" s="424"/>
    </row>
    <row r="333">
      <c r="B333" s="316"/>
      <c r="C333" s="417">
        <v>43754.0</v>
      </c>
      <c r="D333" s="319" t="s">
        <v>1120</v>
      </c>
      <c r="E333" s="319">
        <v>27.0</v>
      </c>
      <c r="F333" s="332"/>
      <c r="G333" s="321">
        <v>0.4111111111111111</v>
      </c>
      <c r="H333" s="323">
        <v>0.4119791666666667</v>
      </c>
      <c r="I333" s="323"/>
      <c r="J333" s="323"/>
      <c r="K333" s="323">
        <v>0.4123263888888889</v>
      </c>
      <c r="L333" s="322">
        <f t="shared" si="7"/>
        <v>0.001215277778</v>
      </c>
      <c r="M333" s="319" t="s">
        <v>166</v>
      </c>
      <c r="N333" s="324" t="s">
        <v>187</v>
      </c>
      <c r="O333" s="419" t="s">
        <v>205</v>
      </c>
      <c r="P333" s="318"/>
      <c r="Q333" s="318"/>
      <c r="R333" s="326">
        <v>21.1</v>
      </c>
      <c r="S333" s="319">
        <v>4.13</v>
      </c>
      <c r="T333" s="332"/>
      <c r="U333" s="319">
        <v>1.1</v>
      </c>
      <c r="V333" s="319"/>
      <c r="W333" s="319"/>
      <c r="X333" s="319"/>
      <c r="Y333" s="319"/>
      <c r="Z333" s="319" t="s">
        <v>370</v>
      </c>
      <c r="AA333" s="319"/>
      <c r="AB333" s="318"/>
      <c r="AC333" s="327">
        <v>4.0</v>
      </c>
      <c r="AD333" s="319"/>
      <c r="AE333" s="319"/>
      <c r="AF333" s="319"/>
      <c r="AG333" s="319"/>
      <c r="AH333" s="319"/>
      <c r="AI333" s="319"/>
      <c r="AJ333" s="327"/>
      <c r="AK333" s="328"/>
      <c r="AL333" s="319"/>
      <c r="AM333" s="319"/>
      <c r="AN333" s="319"/>
      <c r="AO333" s="319"/>
      <c r="AP333" s="319"/>
      <c r="AQ333" s="319"/>
      <c r="AR333" s="319"/>
      <c r="AS333" s="327"/>
      <c r="AT333" s="461" t="s">
        <v>182</v>
      </c>
      <c r="AU333" s="324" t="s">
        <v>845</v>
      </c>
      <c r="AV333" s="330">
        <f>SQRT(($R333-Infrastructure!J$3)^2+($S333-Infrastructure!K$3)^2)</f>
        <v>32.73397165</v>
      </c>
      <c r="AW333" s="331">
        <f>SQRT(($R333-Infrastructure!J$4)^2+($S333-Infrastructure!K$4)^2)</f>
        <v>25.39348145</v>
      </c>
      <c r="AX333" s="331">
        <f>SQRT(($R333-Infrastructure!J$5)^2+($S333-Infrastructure!K$5)^2)</f>
        <v>21.42197236</v>
      </c>
      <c r="AY333" s="331">
        <f>SQRT(($R333-Infrastructure!J$6)^2+($S333-Infrastructure!K$6)^2)</f>
        <v>11.64769934</v>
      </c>
      <c r="AZ333" s="331">
        <f>SQRT(($R333-Infrastructure!J$7)^2+($S333-Infrastructure!K$7)^2)</f>
        <v>3.876712525</v>
      </c>
      <c r="BA333" s="331">
        <f>SQRT(($R333-Infrastructure!J$8)^2+($S333-Infrastructure!K$8)^2)</f>
        <v>9.781048001</v>
      </c>
      <c r="BB333" s="331">
        <f>SQRT(($R333-Infrastructure!J$9)^2+($S333-Infrastructure!K$9)^2)</f>
        <v>18.92487516</v>
      </c>
      <c r="BC333" s="331">
        <f>SQRT(($R333-Infrastructure!J$10)^2+($S333-Infrastructure!K$10)^2)</f>
        <v>21.80291036</v>
      </c>
      <c r="BD333" s="318"/>
      <c r="BE333" s="332"/>
      <c r="BF333" s="330">
        <f t="shared" si="14"/>
        <v>3.876712525</v>
      </c>
      <c r="BG333" s="333">
        <f t="shared" si="15"/>
        <v>32.73397165</v>
      </c>
      <c r="BH333" s="334"/>
      <c r="BI333" s="316"/>
      <c r="BJ333" s="318"/>
      <c r="BK333" s="318"/>
      <c r="BL333" s="318"/>
      <c r="BM333" s="318"/>
      <c r="BN333" s="318"/>
      <c r="BO333" s="318"/>
      <c r="BP333" s="318"/>
      <c r="BQ333" s="338"/>
      <c r="BR333" s="420"/>
      <c r="BS333" s="330"/>
      <c r="BT333" s="331"/>
      <c r="BU333" s="331"/>
      <c r="BV333" s="333"/>
      <c r="BW333" s="330"/>
      <c r="BX333" s="331"/>
      <c r="BY333" s="331"/>
      <c r="BZ333" s="340"/>
      <c r="CA333" s="316"/>
      <c r="CB333" s="318"/>
      <c r="CC333" s="318"/>
      <c r="CD333" s="318"/>
      <c r="CE333" s="318"/>
      <c r="CF333" s="318"/>
      <c r="CG333" s="318"/>
      <c r="CH333" s="318"/>
      <c r="CI333" s="338"/>
      <c r="CJ333" s="341"/>
      <c r="CK333" s="342">
        <f t="shared" si="18"/>
        <v>0</v>
      </c>
      <c r="CL333" s="333">
        <f t="shared" si="19"/>
        <v>0</v>
      </c>
      <c r="CM333" s="423"/>
      <c r="CN333" s="424"/>
      <c r="CO333" s="424"/>
      <c r="CP333" s="424"/>
    </row>
    <row r="334">
      <c r="B334" s="316"/>
      <c r="C334" s="417">
        <v>43754.0</v>
      </c>
      <c r="D334" s="319" t="s">
        <v>1120</v>
      </c>
      <c r="E334" s="319">
        <v>28.0</v>
      </c>
      <c r="F334" s="332"/>
      <c r="G334" s="321">
        <v>0.4152777777777778</v>
      </c>
      <c r="H334" s="323">
        <v>0.41631944444444446</v>
      </c>
      <c r="I334" s="323"/>
      <c r="J334" s="323"/>
      <c r="K334" s="323">
        <v>0.4166666666666667</v>
      </c>
      <c r="L334" s="322">
        <f t="shared" si="7"/>
        <v>0.001388888889</v>
      </c>
      <c r="M334" s="319" t="s">
        <v>166</v>
      </c>
      <c r="N334" s="324" t="s">
        <v>187</v>
      </c>
      <c r="O334" s="419" t="s">
        <v>205</v>
      </c>
      <c r="P334" s="319" t="s">
        <v>240</v>
      </c>
      <c r="Q334" s="318"/>
      <c r="R334" s="326">
        <v>21.1</v>
      </c>
      <c r="S334" s="319">
        <v>4.13</v>
      </c>
      <c r="T334" s="332"/>
      <c r="U334" s="319">
        <v>1.6</v>
      </c>
      <c r="V334" s="319"/>
      <c r="W334" s="319"/>
      <c r="X334" s="319"/>
      <c r="Y334" s="319"/>
      <c r="Z334" s="319" t="s">
        <v>370</v>
      </c>
      <c r="AA334" s="319"/>
      <c r="AB334" s="318"/>
      <c r="AC334" s="327">
        <v>10.0</v>
      </c>
      <c r="AD334" s="319"/>
      <c r="AE334" s="319"/>
      <c r="AF334" s="319"/>
      <c r="AG334" s="319"/>
      <c r="AH334" s="319"/>
      <c r="AI334" s="319"/>
      <c r="AJ334" s="327"/>
      <c r="AK334" s="328"/>
      <c r="AL334" s="319"/>
      <c r="AM334" s="319"/>
      <c r="AN334" s="319"/>
      <c r="AO334" s="319"/>
      <c r="AP334" s="319"/>
      <c r="AQ334" s="319"/>
      <c r="AR334" s="319"/>
      <c r="AS334" s="327"/>
      <c r="AT334" s="461" t="s">
        <v>182</v>
      </c>
      <c r="AU334" s="324" t="s">
        <v>845</v>
      </c>
      <c r="AV334" s="330">
        <f>SQRT(($R334-Infrastructure!J$3)^2+($S334-Infrastructure!K$3)^2)</f>
        <v>32.73397165</v>
      </c>
      <c r="AW334" s="331">
        <f>SQRT(($R334-Infrastructure!J$4)^2+($S334-Infrastructure!K$4)^2)</f>
        <v>25.39348145</v>
      </c>
      <c r="AX334" s="331">
        <f>SQRT(($R334-Infrastructure!J$5)^2+($S334-Infrastructure!K$5)^2)</f>
        <v>21.42197236</v>
      </c>
      <c r="AY334" s="331">
        <f>SQRT(($R334-Infrastructure!J$6)^2+($S334-Infrastructure!K$6)^2)</f>
        <v>11.64769934</v>
      </c>
      <c r="AZ334" s="331">
        <f>SQRT(($R334-Infrastructure!J$7)^2+($S334-Infrastructure!K$7)^2)</f>
        <v>3.876712525</v>
      </c>
      <c r="BA334" s="331">
        <f>SQRT(($R334-Infrastructure!J$8)^2+($S334-Infrastructure!K$8)^2)</f>
        <v>9.781048001</v>
      </c>
      <c r="BB334" s="331">
        <f>SQRT(($R334-Infrastructure!J$9)^2+($S334-Infrastructure!K$9)^2)</f>
        <v>18.92487516</v>
      </c>
      <c r="BC334" s="331">
        <f>SQRT(($R334-Infrastructure!J$10)^2+($S334-Infrastructure!K$10)^2)</f>
        <v>21.80291036</v>
      </c>
      <c r="BD334" s="318"/>
      <c r="BE334" s="332"/>
      <c r="BF334" s="330">
        <f t="shared" si="14"/>
        <v>3.876712525</v>
      </c>
      <c r="BG334" s="333">
        <f t="shared" si="15"/>
        <v>32.73397165</v>
      </c>
      <c r="BH334" s="334"/>
      <c r="BI334" s="316"/>
      <c r="BJ334" s="318"/>
      <c r="BK334" s="318"/>
      <c r="BL334" s="318"/>
      <c r="BM334" s="318"/>
      <c r="BN334" s="318"/>
      <c r="BO334" s="318"/>
      <c r="BP334" s="318"/>
      <c r="BQ334" s="338"/>
      <c r="BR334" s="420"/>
      <c r="BS334" s="330"/>
      <c r="BT334" s="331"/>
      <c r="BU334" s="331"/>
      <c r="BV334" s="333"/>
      <c r="BW334" s="330"/>
      <c r="BX334" s="331"/>
      <c r="BY334" s="331"/>
      <c r="BZ334" s="340"/>
      <c r="CA334" s="316"/>
      <c r="CB334" s="318"/>
      <c r="CC334" s="318"/>
      <c r="CD334" s="318"/>
      <c r="CE334" s="318"/>
      <c r="CF334" s="318"/>
      <c r="CG334" s="318"/>
      <c r="CH334" s="318"/>
      <c r="CI334" s="338"/>
      <c r="CJ334" s="341"/>
      <c r="CK334" s="342">
        <f t="shared" si="18"/>
        <v>0</v>
      </c>
      <c r="CL334" s="333">
        <f t="shared" si="19"/>
        <v>0</v>
      </c>
      <c r="CM334" s="423"/>
      <c r="CN334" s="424"/>
      <c r="CO334" s="424"/>
      <c r="CP334" s="424"/>
    </row>
    <row r="335">
      <c r="B335" s="316"/>
      <c r="C335" s="417">
        <v>43754.0</v>
      </c>
      <c r="D335" s="319" t="s">
        <v>1120</v>
      </c>
      <c r="E335" s="319">
        <v>28.0</v>
      </c>
      <c r="F335" s="332"/>
      <c r="G335" s="321">
        <v>0.4166666666666667</v>
      </c>
      <c r="H335" s="323">
        <v>0.4170138888888889</v>
      </c>
      <c r="I335" s="323"/>
      <c r="J335" s="323"/>
      <c r="K335" s="323">
        <v>0.4173611111111111</v>
      </c>
      <c r="L335" s="322">
        <f t="shared" si="7"/>
        <v>0.0006944444444</v>
      </c>
      <c r="M335" s="319" t="s">
        <v>166</v>
      </c>
      <c r="N335" s="324" t="s">
        <v>187</v>
      </c>
      <c r="O335" s="419" t="s">
        <v>205</v>
      </c>
      <c r="P335" s="318"/>
      <c r="Q335" s="318"/>
      <c r="R335" s="326">
        <v>21.1</v>
      </c>
      <c r="S335" s="319">
        <v>4.13</v>
      </c>
      <c r="T335" s="332"/>
      <c r="U335" s="319">
        <v>1.9</v>
      </c>
      <c r="V335" s="319"/>
      <c r="W335" s="319"/>
      <c r="X335" s="319"/>
      <c r="Y335" s="319"/>
      <c r="Z335" s="319" t="s">
        <v>370</v>
      </c>
      <c r="AA335" s="319"/>
      <c r="AB335" s="318"/>
      <c r="AC335" s="327">
        <v>10.0</v>
      </c>
      <c r="AD335" s="319"/>
      <c r="AE335" s="319"/>
      <c r="AF335" s="319"/>
      <c r="AG335" s="319"/>
      <c r="AH335" s="319"/>
      <c r="AI335" s="319"/>
      <c r="AJ335" s="327"/>
      <c r="AK335" s="328"/>
      <c r="AL335" s="319"/>
      <c r="AM335" s="319"/>
      <c r="AN335" s="319"/>
      <c r="AO335" s="319"/>
      <c r="AP335" s="319"/>
      <c r="AQ335" s="319"/>
      <c r="AR335" s="319"/>
      <c r="AS335" s="327"/>
      <c r="AT335" s="461" t="s">
        <v>182</v>
      </c>
      <c r="AU335" s="324" t="s">
        <v>845</v>
      </c>
      <c r="AV335" s="330">
        <f>SQRT(($R335-Infrastructure!J$3)^2+($S335-Infrastructure!K$3)^2)</f>
        <v>32.73397165</v>
      </c>
      <c r="AW335" s="331">
        <f>SQRT(($R335-Infrastructure!J$4)^2+($S335-Infrastructure!K$4)^2)</f>
        <v>25.39348145</v>
      </c>
      <c r="AX335" s="331">
        <f>SQRT(($R335-Infrastructure!J$5)^2+($S335-Infrastructure!K$5)^2)</f>
        <v>21.42197236</v>
      </c>
      <c r="AY335" s="331">
        <f>SQRT(($R335-Infrastructure!J$6)^2+($S335-Infrastructure!K$6)^2)</f>
        <v>11.64769934</v>
      </c>
      <c r="AZ335" s="331">
        <f>SQRT(($R335-Infrastructure!J$7)^2+($S335-Infrastructure!K$7)^2)</f>
        <v>3.876712525</v>
      </c>
      <c r="BA335" s="331">
        <f>SQRT(($R335-Infrastructure!J$8)^2+($S335-Infrastructure!K$8)^2)</f>
        <v>9.781048001</v>
      </c>
      <c r="BB335" s="331">
        <f>SQRT(($R335-Infrastructure!J$9)^2+($S335-Infrastructure!K$9)^2)</f>
        <v>18.92487516</v>
      </c>
      <c r="BC335" s="331">
        <f>SQRT(($R335-Infrastructure!J$10)^2+($S335-Infrastructure!K$10)^2)</f>
        <v>21.80291036</v>
      </c>
      <c r="BD335" s="318"/>
      <c r="BE335" s="332"/>
      <c r="BF335" s="330">
        <f t="shared" si="14"/>
        <v>3.876712525</v>
      </c>
      <c r="BG335" s="333">
        <f t="shared" si="15"/>
        <v>32.73397165</v>
      </c>
      <c r="BH335" s="334"/>
      <c r="BI335" s="316"/>
      <c r="BJ335" s="318"/>
      <c r="BK335" s="318"/>
      <c r="BL335" s="318"/>
      <c r="BM335" s="318"/>
      <c r="BN335" s="318"/>
      <c r="BO335" s="318"/>
      <c r="BP335" s="318"/>
      <c r="BQ335" s="338"/>
      <c r="BR335" s="420"/>
      <c r="BS335" s="330"/>
      <c r="BT335" s="331"/>
      <c r="BU335" s="331"/>
      <c r="BV335" s="333"/>
      <c r="BW335" s="330"/>
      <c r="BX335" s="331"/>
      <c r="BY335" s="331"/>
      <c r="BZ335" s="340"/>
      <c r="CA335" s="316"/>
      <c r="CB335" s="318"/>
      <c r="CC335" s="318"/>
      <c r="CD335" s="318"/>
      <c r="CE335" s="318"/>
      <c r="CF335" s="318"/>
      <c r="CG335" s="318"/>
      <c r="CH335" s="318"/>
      <c r="CI335" s="338"/>
      <c r="CJ335" s="341"/>
      <c r="CK335" s="342">
        <f t="shared" si="18"/>
        <v>0</v>
      </c>
      <c r="CL335" s="333">
        <f t="shared" si="19"/>
        <v>0</v>
      </c>
      <c r="CM335" s="423"/>
      <c r="CN335" s="424"/>
      <c r="CO335" s="424"/>
      <c r="CP335" s="424"/>
    </row>
    <row r="336">
      <c r="B336" s="316"/>
      <c r="C336" s="417">
        <v>43754.0</v>
      </c>
      <c r="D336" s="319" t="s">
        <v>1120</v>
      </c>
      <c r="E336" s="319">
        <v>28.0</v>
      </c>
      <c r="F336" s="332"/>
      <c r="G336" s="321">
        <v>0.4173611111111111</v>
      </c>
      <c r="H336" s="323">
        <v>0.41770833333333335</v>
      </c>
      <c r="I336" s="323"/>
      <c r="J336" s="323"/>
      <c r="K336" s="323">
        <v>0.41805555555555557</v>
      </c>
      <c r="L336" s="322">
        <f t="shared" si="7"/>
        <v>0.0006944444444</v>
      </c>
      <c r="M336" s="319" t="s">
        <v>166</v>
      </c>
      <c r="N336" s="324" t="s">
        <v>187</v>
      </c>
      <c r="O336" s="419" t="s">
        <v>205</v>
      </c>
      <c r="P336" s="318"/>
      <c r="Q336" s="318"/>
      <c r="R336" s="326">
        <v>21.1</v>
      </c>
      <c r="S336" s="319">
        <v>4.13</v>
      </c>
      <c r="T336" s="332"/>
      <c r="U336" s="319">
        <v>2.1</v>
      </c>
      <c r="V336" s="319"/>
      <c r="W336" s="319"/>
      <c r="X336" s="319"/>
      <c r="Y336" s="319"/>
      <c r="Z336" s="319" t="s">
        <v>370</v>
      </c>
      <c r="AA336" s="319"/>
      <c r="AB336" s="318"/>
      <c r="AC336" s="327">
        <v>10.0</v>
      </c>
      <c r="AD336" s="319"/>
      <c r="AE336" s="319"/>
      <c r="AF336" s="319"/>
      <c r="AG336" s="319"/>
      <c r="AH336" s="319"/>
      <c r="AI336" s="319"/>
      <c r="AJ336" s="327"/>
      <c r="AK336" s="328"/>
      <c r="AL336" s="319"/>
      <c r="AM336" s="319"/>
      <c r="AN336" s="319"/>
      <c r="AO336" s="319"/>
      <c r="AP336" s="319"/>
      <c r="AQ336" s="319"/>
      <c r="AR336" s="319"/>
      <c r="AS336" s="327"/>
      <c r="AT336" s="461" t="s">
        <v>182</v>
      </c>
      <c r="AU336" s="324" t="s">
        <v>845</v>
      </c>
      <c r="AV336" s="330">
        <f>SQRT(($R336-Infrastructure!J$3)^2+($S336-Infrastructure!K$3)^2)</f>
        <v>32.73397165</v>
      </c>
      <c r="AW336" s="331">
        <f>SQRT(($R336-Infrastructure!J$4)^2+($S336-Infrastructure!K$4)^2)</f>
        <v>25.39348145</v>
      </c>
      <c r="AX336" s="331">
        <f>SQRT(($R336-Infrastructure!J$5)^2+($S336-Infrastructure!K$5)^2)</f>
        <v>21.42197236</v>
      </c>
      <c r="AY336" s="331">
        <f>SQRT(($R336-Infrastructure!J$6)^2+($S336-Infrastructure!K$6)^2)</f>
        <v>11.64769934</v>
      </c>
      <c r="AZ336" s="331">
        <f>SQRT(($R336-Infrastructure!J$7)^2+($S336-Infrastructure!K$7)^2)</f>
        <v>3.876712525</v>
      </c>
      <c r="BA336" s="331">
        <f>SQRT(($R336-Infrastructure!J$8)^2+($S336-Infrastructure!K$8)^2)</f>
        <v>9.781048001</v>
      </c>
      <c r="BB336" s="331">
        <f>SQRT(($R336-Infrastructure!J$9)^2+($S336-Infrastructure!K$9)^2)</f>
        <v>18.92487516</v>
      </c>
      <c r="BC336" s="331">
        <f>SQRT(($R336-Infrastructure!J$10)^2+($S336-Infrastructure!K$10)^2)</f>
        <v>21.80291036</v>
      </c>
      <c r="BD336" s="318"/>
      <c r="BE336" s="332"/>
      <c r="BF336" s="330">
        <f t="shared" si="14"/>
        <v>3.876712525</v>
      </c>
      <c r="BG336" s="333">
        <f t="shared" si="15"/>
        <v>32.73397165</v>
      </c>
      <c r="BH336" s="334"/>
      <c r="BI336" s="316"/>
      <c r="BJ336" s="318"/>
      <c r="BK336" s="318"/>
      <c r="BL336" s="318"/>
      <c r="BM336" s="318"/>
      <c r="BN336" s="318"/>
      <c r="BO336" s="318"/>
      <c r="BP336" s="318"/>
      <c r="BQ336" s="338"/>
      <c r="BR336" s="420"/>
      <c r="BS336" s="330"/>
      <c r="BT336" s="331"/>
      <c r="BU336" s="331"/>
      <c r="BV336" s="333"/>
      <c r="BW336" s="330"/>
      <c r="BX336" s="331"/>
      <c r="BY336" s="331"/>
      <c r="BZ336" s="340"/>
      <c r="CA336" s="316"/>
      <c r="CB336" s="318"/>
      <c r="CC336" s="318"/>
      <c r="CD336" s="318"/>
      <c r="CE336" s="318"/>
      <c r="CF336" s="318"/>
      <c r="CG336" s="318"/>
      <c r="CH336" s="318"/>
      <c r="CI336" s="338"/>
      <c r="CJ336" s="341"/>
      <c r="CK336" s="342">
        <f t="shared" si="18"/>
        <v>0</v>
      </c>
      <c r="CL336" s="333">
        <f t="shared" si="19"/>
        <v>0</v>
      </c>
      <c r="CM336" s="423"/>
      <c r="CN336" s="424"/>
      <c r="CO336" s="424"/>
      <c r="CP336" s="424"/>
    </row>
    <row r="337">
      <c r="B337" s="316"/>
      <c r="C337" s="417">
        <v>43754.0</v>
      </c>
      <c r="D337" s="319" t="s">
        <v>1120</v>
      </c>
      <c r="E337" s="319">
        <v>28.0</v>
      </c>
      <c r="F337" s="332"/>
      <c r="G337" s="321">
        <v>0.41805555555555557</v>
      </c>
      <c r="H337" s="323">
        <v>0.4184027777777778</v>
      </c>
      <c r="I337" s="323"/>
      <c r="J337" s="323"/>
      <c r="K337" s="323">
        <v>0.41875</v>
      </c>
      <c r="L337" s="322">
        <f t="shared" si="7"/>
        <v>0.0006944444444</v>
      </c>
      <c r="M337" s="319" t="s">
        <v>166</v>
      </c>
      <c r="N337" s="324" t="s">
        <v>187</v>
      </c>
      <c r="O337" s="419" t="s">
        <v>205</v>
      </c>
      <c r="P337" s="318"/>
      <c r="Q337" s="318"/>
      <c r="R337" s="326">
        <v>21.1</v>
      </c>
      <c r="S337" s="319">
        <v>4.13</v>
      </c>
      <c r="T337" s="332"/>
      <c r="U337" s="319">
        <v>2.5</v>
      </c>
      <c r="V337" s="319"/>
      <c r="W337" s="319"/>
      <c r="X337" s="319"/>
      <c r="Y337" s="319"/>
      <c r="Z337" s="319" t="s">
        <v>370</v>
      </c>
      <c r="AA337" s="319"/>
      <c r="AB337" s="318"/>
      <c r="AC337" s="327">
        <v>10.0</v>
      </c>
      <c r="AD337" s="319"/>
      <c r="AE337" s="319"/>
      <c r="AF337" s="319"/>
      <c r="AG337" s="319"/>
      <c r="AH337" s="319"/>
      <c r="AI337" s="319"/>
      <c r="AJ337" s="327"/>
      <c r="AK337" s="328"/>
      <c r="AL337" s="319"/>
      <c r="AM337" s="319"/>
      <c r="AN337" s="319"/>
      <c r="AO337" s="319"/>
      <c r="AP337" s="319"/>
      <c r="AQ337" s="319"/>
      <c r="AR337" s="319"/>
      <c r="AS337" s="327"/>
      <c r="AT337" s="461" t="s">
        <v>182</v>
      </c>
      <c r="AU337" s="324" t="s">
        <v>845</v>
      </c>
      <c r="AV337" s="330">
        <f>SQRT(($R337-Infrastructure!J$3)^2+($S337-Infrastructure!K$3)^2)</f>
        <v>32.73397165</v>
      </c>
      <c r="AW337" s="331">
        <f>SQRT(($R337-Infrastructure!J$4)^2+($S337-Infrastructure!K$4)^2)</f>
        <v>25.39348145</v>
      </c>
      <c r="AX337" s="331">
        <f>SQRT(($R337-Infrastructure!J$5)^2+($S337-Infrastructure!K$5)^2)</f>
        <v>21.42197236</v>
      </c>
      <c r="AY337" s="331">
        <f>SQRT(($R337-Infrastructure!J$6)^2+($S337-Infrastructure!K$6)^2)</f>
        <v>11.64769934</v>
      </c>
      <c r="AZ337" s="331">
        <f>SQRT(($R337-Infrastructure!J$7)^2+($S337-Infrastructure!K$7)^2)</f>
        <v>3.876712525</v>
      </c>
      <c r="BA337" s="331">
        <f>SQRT(($R337-Infrastructure!J$8)^2+($S337-Infrastructure!K$8)^2)</f>
        <v>9.781048001</v>
      </c>
      <c r="BB337" s="331">
        <f>SQRT(($R337-Infrastructure!J$9)^2+($S337-Infrastructure!K$9)^2)</f>
        <v>18.92487516</v>
      </c>
      <c r="BC337" s="331">
        <f>SQRT(($R337-Infrastructure!J$10)^2+($S337-Infrastructure!K$10)^2)</f>
        <v>21.80291036</v>
      </c>
      <c r="BD337" s="318"/>
      <c r="BE337" s="332"/>
      <c r="BF337" s="330">
        <f t="shared" si="14"/>
        <v>3.876712525</v>
      </c>
      <c r="BG337" s="333">
        <f t="shared" si="15"/>
        <v>32.73397165</v>
      </c>
      <c r="BH337" s="334"/>
      <c r="BI337" s="316"/>
      <c r="BJ337" s="318"/>
      <c r="BK337" s="318"/>
      <c r="BL337" s="318"/>
      <c r="BM337" s="318"/>
      <c r="BN337" s="318"/>
      <c r="BO337" s="318"/>
      <c r="BP337" s="318"/>
      <c r="BQ337" s="338"/>
      <c r="BR337" s="420"/>
      <c r="BS337" s="330"/>
      <c r="BT337" s="331"/>
      <c r="BU337" s="331"/>
      <c r="BV337" s="333"/>
      <c r="BW337" s="330"/>
      <c r="BX337" s="331"/>
      <c r="BY337" s="331"/>
      <c r="BZ337" s="340"/>
      <c r="CA337" s="316"/>
      <c r="CB337" s="318"/>
      <c r="CC337" s="318"/>
      <c r="CD337" s="318"/>
      <c r="CE337" s="318"/>
      <c r="CF337" s="318"/>
      <c r="CG337" s="318"/>
      <c r="CH337" s="318"/>
      <c r="CI337" s="338"/>
      <c r="CJ337" s="341"/>
      <c r="CK337" s="342">
        <f t="shared" si="18"/>
        <v>0</v>
      </c>
      <c r="CL337" s="333">
        <f t="shared" si="19"/>
        <v>0</v>
      </c>
      <c r="CM337" s="423"/>
      <c r="CN337" s="424"/>
      <c r="CO337" s="424"/>
      <c r="CP337" s="424"/>
    </row>
    <row r="338">
      <c r="B338" s="316"/>
      <c r="C338" s="417">
        <v>43754.0</v>
      </c>
      <c r="D338" s="319" t="s">
        <v>1120</v>
      </c>
      <c r="E338" s="319">
        <v>28.0</v>
      </c>
      <c r="F338" s="332"/>
      <c r="G338" s="321">
        <v>0.41875</v>
      </c>
      <c r="H338" s="323">
        <v>0.41909722222222223</v>
      </c>
      <c r="I338" s="323"/>
      <c r="J338" s="323"/>
      <c r="K338" s="323">
        <v>0.41944444444444445</v>
      </c>
      <c r="L338" s="322">
        <f t="shared" si="7"/>
        <v>0.0006944444444</v>
      </c>
      <c r="M338" s="319" t="s">
        <v>166</v>
      </c>
      <c r="N338" s="324" t="s">
        <v>187</v>
      </c>
      <c r="O338" s="419" t="s">
        <v>205</v>
      </c>
      <c r="P338" s="318"/>
      <c r="Q338" s="318"/>
      <c r="R338" s="326">
        <v>21.1</v>
      </c>
      <c r="S338" s="319">
        <v>4.13</v>
      </c>
      <c r="T338" s="332"/>
      <c r="U338" s="319">
        <v>3.0</v>
      </c>
      <c r="V338" s="319"/>
      <c r="W338" s="319"/>
      <c r="X338" s="319"/>
      <c r="Y338" s="319"/>
      <c r="Z338" s="319" t="s">
        <v>370</v>
      </c>
      <c r="AA338" s="319"/>
      <c r="AB338" s="318"/>
      <c r="AC338" s="327">
        <v>10.0</v>
      </c>
      <c r="AD338" s="319"/>
      <c r="AE338" s="319"/>
      <c r="AF338" s="319"/>
      <c r="AG338" s="319"/>
      <c r="AH338" s="319"/>
      <c r="AI338" s="319"/>
      <c r="AJ338" s="327"/>
      <c r="AK338" s="328"/>
      <c r="AL338" s="319"/>
      <c r="AM338" s="319"/>
      <c r="AN338" s="319"/>
      <c r="AO338" s="319"/>
      <c r="AP338" s="319"/>
      <c r="AQ338" s="319"/>
      <c r="AR338" s="319"/>
      <c r="AS338" s="327"/>
      <c r="AT338" s="461" t="s">
        <v>182</v>
      </c>
      <c r="AU338" s="324" t="s">
        <v>845</v>
      </c>
      <c r="AV338" s="330">
        <f>SQRT(($R338-Infrastructure!J$3)^2+($S338-Infrastructure!K$3)^2)</f>
        <v>32.73397165</v>
      </c>
      <c r="AW338" s="331">
        <f>SQRT(($R338-Infrastructure!J$4)^2+($S338-Infrastructure!K$4)^2)</f>
        <v>25.39348145</v>
      </c>
      <c r="AX338" s="331">
        <f>SQRT(($R338-Infrastructure!J$5)^2+($S338-Infrastructure!K$5)^2)</f>
        <v>21.42197236</v>
      </c>
      <c r="AY338" s="331">
        <f>SQRT(($R338-Infrastructure!J$6)^2+($S338-Infrastructure!K$6)^2)</f>
        <v>11.64769934</v>
      </c>
      <c r="AZ338" s="331">
        <f>SQRT(($R338-Infrastructure!J$7)^2+($S338-Infrastructure!K$7)^2)</f>
        <v>3.876712525</v>
      </c>
      <c r="BA338" s="331">
        <f>SQRT(($R338-Infrastructure!J$8)^2+($S338-Infrastructure!K$8)^2)</f>
        <v>9.781048001</v>
      </c>
      <c r="BB338" s="331">
        <f>SQRT(($R338-Infrastructure!J$9)^2+($S338-Infrastructure!K$9)^2)</f>
        <v>18.92487516</v>
      </c>
      <c r="BC338" s="331">
        <f>SQRT(($R338-Infrastructure!J$10)^2+($S338-Infrastructure!K$10)^2)</f>
        <v>21.80291036</v>
      </c>
      <c r="BD338" s="318"/>
      <c r="BE338" s="332"/>
      <c r="BF338" s="330">
        <f t="shared" si="14"/>
        <v>3.876712525</v>
      </c>
      <c r="BG338" s="333">
        <f t="shared" si="15"/>
        <v>32.73397165</v>
      </c>
      <c r="BH338" s="334"/>
      <c r="BI338" s="316"/>
      <c r="BJ338" s="318"/>
      <c r="BK338" s="318"/>
      <c r="BL338" s="318"/>
      <c r="BM338" s="318"/>
      <c r="BN338" s="318"/>
      <c r="BO338" s="318"/>
      <c r="BP338" s="318"/>
      <c r="BQ338" s="338"/>
      <c r="BR338" s="420"/>
      <c r="BS338" s="330"/>
      <c r="BT338" s="331"/>
      <c r="BU338" s="331"/>
      <c r="BV338" s="333"/>
      <c r="BW338" s="330"/>
      <c r="BX338" s="331"/>
      <c r="BY338" s="331"/>
      <c r="BZ338" s="340"/>
      <c r="CA338" s="316"/>
      <c r="CB338" s="318"/>
      <c r="CC338" s="318"/>
      <c r="CD338" s="318"/>
      <c r="CE338" s="318"/>
      <c r="CF338" s="318"/>
      <c r="CG338" s="318"/>
      <c r="CH338" s="318"/>
      <c r="CI338" s="338"/>
      <c r="CJ338" s="341"/>
      <c r="CK338" s="342">
        <f t="shared" si="18"/>
        <v>0</v>
      </c>
      <c r="CL338" s="333">
        <f t="shared" si="19"/>
        <v>0</v>
      </c>
      <c r="CM338" s="423"/>
      <c r="CN338" s="424"/>
      <c r="CO338" s="424"/>
      <c r="CP338" s="424"/>
    </row>
    <row r="339">
      <c r="B339" s="316"/>
      <c r="C339" s="417">
        <v>43754.0</v>
      </c>
      <c r="D339" s="319" t="s">
        <v>1120</v>
      </c>
      <c r="E339" s="319">
        <v>28.0</v>
      </c>
      <c r="F339" s="332"/>
      <c r="G339" s="321">
        <v>0.41944444444444445</v>
      </c>
      <c r="H339" s="323">
        <v>0.4197916666666667</v>
      </c>
      <c r="I339" s="323"/>
      <c r="J339" s="323"/>
      <c r="K339" s="323">
        <v>0.4201388888888889</v>
      </c>
      <c r="L339" s="322">
        <f t="shared" si="7"/>
        <v>0.0006944444444</v>
      </c>
      <c r="M339" s="319" t="s">
        <v>166</v>
      </c>
      <c r="N339" s="324" t="s">
        <v>187</v>
      </c>
      <c r="O339" s="419" t="s">
        <v>205</v>
      </c>
      <c r="P339" s="318"/>
      <c r="Q339" s="318"/>
      <c r="R339" s="326">
        <v>21.1</v>
      </c>
      <c r="S339" s="319">
        <v>4.13</v>
      </c>
      <c r="T339" s="332"/>
      <c r="U339" s="319">
        <v>3.6</v>
      </c>
      <c r="V339" s="319"/>
      <c r="W339" s="319"/>
      <c r="X339" s="319"/>
      <c r="Y339" s="319"/>
      <c r="Z339" s="319" t="s">
        <v>370</v>
      </c>
      <c r="AA339" s="319"/>
      <c r="AB339" s="318"/>
      <c r="AC339" s="327">
        <v>10.0</v>
      </c>
      <c r="AD339" s="319"/>
      <c r="AE339" s="319"/>
      <c r="AF339" s="319"/>
      <c r="AG339" s="319"/>
      <c r="AH339" s="319"/>
      <c r="AI339" s="319"/>
      <c r="AJ339" s="327"/>
      <c r="AK339" s="328"/>
      <c r="AL339" s="319"/>
      <c r="AM339" s="319"/>
      <c r="AN339" s="319"/>
      <c r="AO339" s="319"/>
      <c r="AP339" s="319"/>
      <c r="AQ339" s="319"/>
      <c r="AR339" s="319"/>
      <c r="AS339" s="327"/>
      <c r="AT339" s="461" t="s">
        <v>182</v>
      </c>
      <c r="AU339" s="324" t="s">
        <v>845</v>
      </c>
      <c r="AV339" s="330">
        <f>SQRT(($R339-Infrastructure!J$3)^2+($S339-Infrastructure!K$3)^2)</f>
        <v>32.73397165</v>
      </c>
      <c r="AW339" s="331">
        <f>SQRT(($R339-Infrastructure!J$4)^2+($S339-Infrastructure!K$4)^2)</f>
        <v>25.39348145</v>
      </c>
      <c r="AX339" s="331">
        <f>SQRT(($R339-Infrastructure!J$5)^2+($S339-Infrastructure!K$5)^2)</f>
        <v>21.42197236</v>
      </c>
      <c r="AY339" s="331">
        <f>SQRT(($R339-Infrastructure!J$6)^2+($S339-Infrastructure!K$6)^2)</f>
        <v>11.64769934</v>
      </c>
      <c r="AZ339" s="331">
        <f>SQRT(($R339-Infrastructure!J$7)^2+($S339-Infrastructure!K$7)^2)</f>
        <v>3.876712525</v>
      </c>
      <c r="BA339" s="331">
        <f>SQRT(($R339-Infrastructure!J$8)^2+($S339-Infrastructure!K$8)^2)</f>
        <v>9.781048001</v>
      </c>
      <c r="BB339" s="331">
        <f>SQRT(($R339-Infrastructure!J$9)^2+($S339-Infrastructure!K$9)^2)</f>
        <v>18.92487516</v>
      </c>
      <c r="BC339" s="331">
        <f>SQRT(($R339-Infrastructure!J$10)^2+($S339-Infrastructure!K$10)^2)</f>
        <v>21.80291036</v>
      </c>
      <c r="BD339" s="318"/>
      <c r="BE339" s="332"/>
      <c r="BF339" s="330">
        <f t="shared" si="14"/>
        <v>3.876712525</v>
      </c>
      <c r="BG339" s="333">
        <f t="shared" si="15"/>
        <v>32.73397165</v>
      </c>
      <c r="BH339" s="334"/>
      <c r="BI339" s="316"/>
      <c r="BJ339" s="318"/>
      <c r="BK339" s="318"/>
      <c r="BL339" s="318"/>
      <c r="BM339" s="318"/>
      <c r="BN339" s="318"/>
      <c r="BO339" s="318"/>
      <c r="BP339" s="318"/>
      <c r="BQ339" s="338"/>
      <c r="BR339" s="420"/>
      <c r="BS339" s="330"/>
      <c r="BT339" s="331"/>
      <c r="BU339" s="331"/>
      <c r="BV339" s="333"/>
      <c r="BW339" s="330"/>
      <c r="BX339" s="331"/>
      <c r="BY339" s="331"/>
      <c r="BZ339" s="340"/>
      <c r="CA339" s="316"/>
      <c r="CB339" s="318"/>
      <c r="CC339" s="318"/>
      <c r="CD339" s="318"/>
      <c r="CE339" s="318"/>
      <c r="CF339" s="318"/>
      <c r="CG339" s="318"/>
      <c r="CH339" s="318"/>
      <c r="CI339" s="338"/>
      <c r="CJ339" s="341"/>
      <c r="CK339" s="342">
        <f t="shared" si="18"/>
        <v>0</v>
      </c>
      <c r="CL339" s="333">
        <f t="shared" si="19"/>
        <v>0</v>
      </c>
      <c r="CM339" s="423"/>
      <c r="CN339" s="424"/>
      <c r="CO339" s="424"/>
      <c r="CP339" s="424"/>
    </row>
    <row r="340">
      <c r="B340" s="316"/>
      <c r="C340" s="417">
        <v>43754.0</v>
      </c>
      <c r="D340" s="319" t="s">
        <v>1120</v>
      </c>
      <c r="E340" s="319">
        <v>28.0</v>
      </c>
      <c r="F340" s="332"/>
      <c r="G340" s="321">
        <v>0.4201388888888889</v>
      </c>
      <c r="H340" s="323">
        <v>0.4204861111111111</v>
      </c>
      <c r="I340" s="323"/>
      <c r="J340" s="323"/>
      <c r="K340" s="323">
        <v>0.42083333333333334</v>
      </c>
      <c r="L340" s="322">
        <f t="shared" si="7"/>
        <v>0.0006944444444</v>
      </c>
      <c r="M340" s="319" t="s">
        <v>166</v>
      </c>
      <c r="N340" s="324" t="s">
        <v>187</v>
      </c>
      <c r="O340" s="419" t="s">
        <v>205</v>
      </c>
      <c r="P340" s="318"/>
      <c r="Q340" s="318"/>
      <c r="R340" s="326">
        <v>21.1</v>
      </c>
      <c r="S340" s="319">
        <v>4.13</v>
      </c>
      <c r="T340" s="332"/>
      <c r="U340" s="319">
        <v>4.2</v>
      </c>
      <c r="V340" s="319"/>
      <c r="W340" s="319"/>
      <c r="X340" s="319"/>
      <c r="Y340" s="319"/>
      <c r="Z340" s="319" t="s">
        <v>370</v>
      </c>
      <c r="AA340" s="319"/>
      <c r="AB340" s="318"/>
      <c r="AC340" s="327">
        <v>10.0</v>
      </c>
      <c r="AD340" s="319"/>
      <c r="AE340" s="319"/>
      <c r="AF340" s="319"/>
      <c r="AG340" s="319"/>
      <c r="AH340" s="319"/>
      <c r="AI340" s="319"/>
      <c r="AJ340" s="327"/>
      <c r="AK340" s="328"/>
      <c r="AL340" s="319"/>
      <c r="AM340" s="319"/>
      <c r="AN340" s="319"/>
      <c r="AO340" s="319"/>
      <c r="AP340" s="319"/>
      <c r="AQ340" s="319"/>
      <c r="AR340" s="319"/>
      <c r="AS340" s="327"/>
      <c r="AT340" s="461" t="s">
        <v>182</v>
      </c>
      <c r="AU340" s="324" t="s">
        <v>845</v>
      </c>
      <c r="AV340" s="330">
        <f>SQRT(($R340-Infrastructure!J$3)^2+($S340-Infrastructure!K$3)^2)</f>
        <v>32.73397165</v>
      </c>
      <c r="AW340" s="331">
        <f>SQRT(($R340-Infrastructure!J$4)^2+($S340-Infrastructure!K$4)^2)</f>
        <v>25.39348145</v>
      </c>
      <c r="AX340" s="331">
        <f>SQRT(($R340-Infrastructure!J$5)^2+($S340-Infrastructure!K$5)^2)</f>
        <v>21.42197236</v>
      </c>
      <c r="AY340" s="331">
        <f>SQRT(($R340-Infrastructure!J$6)^2+($S340-Infrastructure!K$6)^2)</f>
        <v>11.64769934</v>
      </c>
      <c r="AZ340" s="331">
        <f>SQRT(($R340-Infrastructure!J$7)^2+($S340-Infrastructure!K$7)^2)</f>
        <v>3.876712525</v>
      </c>
      <c r="BA340" s="331">
        <f>SQRT(($R340-Infrastructure!J$8)^2+($S340-Infrastructure!K$8)^2)</f>
        <v>9.781048001</v>
      </c>
      <c r="BB340" s="331">
        <f>SQRT(($R340-Infrastructure!J$9)^2+($S340-Infrastructure!K$9)^2)</f>
        <v>18.92487516</v>
      </c>
      <c r="BC340" s="331">
        <f>SQRT(($R340-Infrastructure!J$10)^2+($S340-Infrastructure!K$10)^2)</f>
        <v>21.80291036</v>
      </c>
      <c r="BD340" s="318"/>
      <c r="BE340" s="332"/>
      <c r="BF340" s="330">
        <f t="shared" si="14"/>
        <v>3.876712525</v>
      </c>
      <c r="BG340" s="333">
        <f t="shared" si="15"/>
        <v>32.73397165</v>
      </c>
      <c r="BH340" s="334"/>
      <c r="BI340" s="316"/>
      <c r="BJ340" s="318"/>
      <c r="BK340" s="318"/>
      <c r="BL340" s="318"/>
      <c r="BM340" s="318"/>
      <c r="BN340" s="318"/>
      <c r="BO340" s="318"/>
      <c r="BP340" s="318"/>
      <c r="BQ340" s="338"/>
      <c r="BR340" s="420"/>
      <c r="BS340" s="330"/>
      <c r="BT340" s="331"/>
      <c r="BU340" s="331"/>
      <c r="BV340" s="333"/>
      <c r="BW340" s="330"/>
      <c r="BX340" s="331"/>
      <c r="BY340" s="331"/>
      <c r="BZ340" s="340"/>
      <c r="CA340" s="316"/>
      <c r="CB340" s="318"/>
      <c r="CC340" s="318"/>
      <c r="CD340" s="318"/>
      <c r="CE340" s="318"/>
      <c r="CF340" s="318"/>
      <c r="CG340" s="318"/>
      <c r="CH340" s="318"/>
      <c r="CI340" s="338"/>
      <c r="CJ340" s="341"/>
      <c r="CK340" s="342">
        <f t="shared" si="18"/>
        <v>0</v>
      </c>
      <c r="CL340" s="333">
        <f t="shared" si="19"/>
        <v>0</v>
      </c>
      <c r="CM340" s="423"/>
      <c r="CN340" s="424"/>
      <c r="CO340" s="424"/>
      <c r="CP340" s="424"/>
    </row>
    <row r="341">
      <c r="B341" s="316"/>
      <c r="C341" s="417">
        <v>43754.0</v>
      </c>
      <c r="D341" s="319" t="s">
        <v>1120</v>
      </c>
      <c r="E341" s="319">
        <v>28.0</v>
      </c>
      <c r="F341" s="332"/>
      <c r="G341" s="321">
        <v>0.42083333333333334</v>
      </c>
      <c r="H341" s="323">
        <v>0.42118055555555556</v>
      </c>
      <c r="I341" s="323"/>
      <c r="J341" s="323"/>
      <c r="K341" s="323">
        <v>0.4215277777777778</v>
      </c>
      <c r="L341" s="322">
        <f t="shared" si="7"/>
        <v>0.0006944444444</v>
      </c>
      <c r="M341" s="319" t="s">
        <v>166</v>
      </c>
      <c r="N341" s="324" t="s">
        <v>187</v>
      </c>
      <c r="O341" s="419" t="s">
        <v>205</v>
      </c>
      <c r="P341" s="318"/>
      <c r="Q341" s="318"/>
      <c r="R341" s="326">
        <v>21.1</v>
      </c>
      <c r="S341" s="319">
        <v>4.13</v>
      </c>
      <c r="T341" s="332"/>
      <c r="U341" s="319">
        <v>4.8</v>
      </c>
      <c r="V341" s="319"/>
      <c r="W341" s="319"/>
      <c r="X341" s="319"/>
      <c r="Y341" s="319"/>
      <c r="Z341" s="319" t="s">
        <v>370</v>
      </c>
      <c r="AA341" s="319"/>
      <c r="AB341" s="318"/>
      <c r="AC341" s="327">
        <v>10.0</v>
      </c>
      <c r="AD341" s="319"/>
      <c r="AE341" s="319"/>
      <c r="AF341" s="319"/>
      <c r="AG341" s="319"/>
      <c r="AH341" s="319"/>
      <c r="AI341" s="319"/>
      <c r="AJ341" s="327"/>
      <c r="AK341" s="328"/>
      <c r="AL341" s="319"/>
      <c r="AM341" s="319"/>
      <c r="AN341" s="319"/>
      <c r="AO341" s="319"/>
      <c r="AP341" s="319"/>
      <c r="AQ341" s="319"/>
      <c r="AR341" s="319"/>
      <c r="AS341" s="327"/>
      <c r="AT341" s="461" t="s">
        <v>182</v>
      </c>
      <c r="AU341" s="324" t="s">
        <v>845</v>
      </c>
      <c r="AV341" s="330">
        <f>SQRT(($R341-Infrastructure!J$3)^2+($S341-Infrastructure!K$3)^2)</f>
        <v>32.73397165</v>
      </c>
      <c r="AW341" s="331">
        <f>SQRT(($R341-Infrastructure!J$4)^2+($S341-Infrastructure!K$4)^2)</f>
        <v>25.39348145</v>
      </c>
      <c r="AX341" s="331">
        <f>SQRT(($R341-Infrastructure!J$5)^2+($S341-Infrastructure!K$5)^2)</f>
        <v>21.42197236</v>
      </c>
      <c r="AY341" s="331">
        <f>SQRT(($R341-Infrastructure!J$6)^2+($S341-Infrastructure!K$6)^2)</f>
        <v>11.64769934</v>
      </c>
      <c r="AZ341" s="331">
        <f>SQRT(($R341-Infrastructure!J$7)^2+($S341-Infrastructure!K$7)^2)</f>
        <v>3.876712525</v>
      </c>
      <c r="BA341" s="331">
        <f>SQRT(($R341-Infrastructure!J$8)^2+($S341-Infrastructure!K$8)^2)</f>
        <v>9.781048001</v>
      </c>
      <c r="BB341" s="331">
        <f>SQRT(($R341-Infrastructure!J$9)^2+($S341-Infrastructure!K$9)^2)</f>
        <v>18.92487516</v>
      </c>
      <c r="BC341" s="331">
        <f>SQRT(($R341-Infrastructure!J$10)^2+($S341-Infrastructure!K$10)^2)</f>
        <v>21.80291036</v>
      </c>
      <c r="BD341" s="318"/>
      <c r="BE341" s="332"/>
      <c r="BF341" s="330">
        <f t="shared" si="14"/>
        <v>3.876712525</v>
      </c>
      <c r="BG341" s="333">
        <f t="shared" si="15"/>
        <v>32.73397165</v>
      </c>
      <c r="BH341" s="334"/>
      <c r="BI341" s="316"/>
      <c r="BJ341" s="318"/>
      <c r="BK341" s="318"/>
      <c r="BL341" s="318"/>
      <c r="BM341" s="318"/>
      <c r="BN341" s="318"/>
      <c r="BO341" s="318"/>
      <c r="BP341" s="318"/>
      <c r="BQ341" s="338"/>
      <c r="BR341" s="420"/>
      <c r="BS341" s="330"/>
      <c r="BT341" s="331"/>
      <c r="BU341" s="331"/>
      <c r="BV341" s="333"/>
      <c r="BW341" s="330"/>
      <c r="BX341" s="331"/>
      <c r="BY341" s="331"/>
      <c r="BZ341" s="340"/>
      <c r="CA341" s="316"/>
      <c r="CB341" s="318"/>
      <c r="CC341" s="318"/>
      <c r="CD341" s="318"/>
      <c r="CE341" s="318"/>
      <c r="CF341" s="318"/>
      <c r="CG341" s="318"/>
      <c r="CH341" s="318"/>
      <c r="CI341" s="338"/>
      <c r="CJ341" s="341"/>
      <c r="CK341" s="342">
        <f t="shared" si="18"/>
        <v>0</v>
      </c>
      <c r="CL341" s="333">
        <f t="shared" si="19"/>
        <v>0</v>
      </c>
      <c r="CM341" s="421" t="s">
        <v>1124</v>
      </c>
      <c r="CN341" s="416"/>
      <c r="CO341" s="416"/>
      <c r="CP341" s="416"/>
    </row>
    <row r="342">
      <c r="B342" s="316"/>
      <c r="C342" s="417">
        <v>43754.0</v>
      </c>
      <c r="D342" s="319" t="s">
        <v>1125</v>
      </c>
      <c r="E342" s="319">
        <v>29.0</v>
      </c>
      <c r="F342" s="332"/>
      <c r="G342" s="321">
        <v>0.42430555555555555</v>
      </c>
      <c r="H342" s="323">
        <v>0.42465277777777777</v>
      </c>
      <c r="I342" s="323"/>
      <c r="J342" s="323"/>
      <c r="K342" s="323">
        <v>0.42604166666666665</v>
      </c>
      <c r="L342" s="322">
        <f t="shared" si="7"/>
        <v>0.001736111111</v>
      </c>
      <c r="M342" s="319" t="s">
        <v>166</v>
      </c>
      <c r="N342" s="324" t="s">
        <v>187</v>
      </c>
      <c r="O342" s="419" t="s">
        <v>200</v>
      </c>
      <c r="P342" s="319" t="s">
        <v>239</v>
      </c>
      <c r="Q342" s="318"/>
      <c r="R342" s="326">
        <v>17.0</v>
      </c>
      <c r="S342" s="319">
        <v>7.0</v>
      </c>
      <c r="T342" s="332"/>
      <c r="U342" s="319">
        <v>7.5</v>
      </c>
      <c r="V342" s="319"/>
      <c r="W342" s="319"/>
      <c r="X342" s="319"/>
      <c r="Y342" s="319"/>
      <c r="Z342" s="319" t="s">
        <v>318</v>
      </c>
      <c r="AA342" s="319"/>
      <c r="AB342" s="318"/>
      <c r="AC342" s="327">
        <v>5.0</v>
      </c>
      <c r="AD342" s="319"/>
      <c r="AE342" s="319"/>
      <c r="AF342" s="319"/>
      <c r="AG342" s="319"/>
      <c r="AH342" s="319"/>
      <c r="AI342" s="319"/>
      <c r="AJ342" s="327"/>
      <c r="AK342" s="328"/>
      <c r="AL342" s="319"/>
      <c r="AM342" s="319"/>
      <c r="AN342" s="319"/>
      <c r="AO342" s="319"/>
      <c r="AP342" s="319"/>
      <c r="AQ342" s="319"/>
      <c r="AR342" s="319"/>
      <c r="AS342" s="327"/>
      <c r="AT342" s="461" t="s">
        <v>182</v>
      </c>
      <c r="AU342" s="324" t="s">
        <v>845</v>
      </c>
      <c r="AV342" s="330">
        <f>SQRT(($R342-Infrastructure!J$3)^2+($S342-Infrastructure!K$3)^2)</f>
        <v>27.90877998</v>
      </c>
      <c r="AW342" s="331">
        <f>SQRT(($R342-Infrastructure!J$4)^2+($S342-Infrastructure!K$4)^2)</f>
        <v>20.39436197</v>
      </c>
      <c r="AX342" s="331">
        <f>SQRT(($R342-Infrastructure!J$5)^2+($S342-Infrastructure!K$5)^2)</f>
        <v>17.40402252</v>
      </c>
      <c r="AY342" s="331">
        <f>SQRT(($R342-Infrastructure!J$6)^2+($S342-Infrastructure!K$6)^2)</f>
        <v>9.617692031</v>
      </c>
      <c r="AZ342" s="331">
        <f>SQRT(($R342-Infrastructure!J$7)^2+($S342-Infrastructure!K$7)^2)</f>
        <v>7.559100476</v>
      </c>
      <c r="BA342" s="331">
        <f>SQRT(($R342-Infrastructure!J$8)^2+($S342-Infrastructure!K$8)^2)</f>
        <v>14.71393897</v>
      </c>
      <c r="BB342" s="331">
        <f>SQRT(($R342-Infrastructure!J$9)^2+($S342-Infrastructure!K$9)^2)</f>
        <v>23.07834483</v>
      </c>
      <c r="BC342" s="331">
        <f>SQRT(($R342-Infrastructure!J$10)^2+($S342-Infrastructure!K$10)^2)</f>
        <v>24.35159132</v>
      </c>
      <c r="BD342" s="318"/>
      <c r="BE342" s="332"/>
      <c r="BF342" s="330">
        <f t="shared" si="14"/>
        <v>7.559100476</v>
      </c>
      <c r="BG342" s="333">
        <f t="shared" si="15"/>
        <v>27.90877998</v>
      </c>
      <c r="BH342" s="334"/>
      <c r="BI342" s="316"/>
      <c r="BJ342" s="318"/>
      <c r="BK342" s="318"/>
      <c r="BL342" s="318"/>
      <c r="BM342" s="318"/>
      <c r="BN342" s="318"/>
      <c r="BO342" s="318"/>
      <c r="BP342" s="318"/>
      <c r="BQ342" s="338"/>
      <c r="BR342" s="420"/>
      <c r="BS342" s="330"/>
      <c r="BT342" s="331"/>
      <c r="BU342" s="331"/>
      <c r="BV342" s="333"/>
      <c r="BW342" s="330"/>
      <c r="BX342" s="331"/>
      <c r="BY342" s="331"/>
      <c r="BZ342" s="340"/>
      <c r="CA342" s="316"/>
      <c r="CB342" s="318"/>
      <c r="CC342" s="318"/>
      <c r="CD342" s="318"/>
      <c r="CE342" s="318"/>
      <c r="CF342" s="318"/>
      <c r="CG342" s="318"/>
      <c r="CH342" s="318"/>
      <c r="CI342" s="338"/>
      <c r="CJ342" s="341"/>
      <c r="CK342" s="342">
        <f t="shared" si="18"/>
        <v>0</v>
      </c>
      <c r="CL342" s="333">
        <f t="shared" si="19"/>
        <v>0</v>
      </c>
      <c r="CM342" s="421" t="s">
        <v>1126</v>
      </c>
      <c r="CN342" s="416"/>
      <c r="CO342" s="416"/>
      <c r="CP342" s="416"/>
    </row>
    <row r="343">
      <c r="B343" s="316"/>
      <c r="C343" s="417">
        <v>43754.0</v>
      </c>
      <c r="D343" s="319" t="s">
        <v>1125</v>
      </c>
      <c r="E343" s="319">
        <v>30.0</v>
      </c>
      <c r="F343" s="332"/>
      <c r="G343" s="321">
        <v>0.42916666666666664</v>
      </c>
      <c r="H343" s="323">
        <v>0.42951388888888886</v>
      </c>
      <c r="I343" s="323"/>
      <c r="J343" s="323"/>
      <c r="K343" s="323">
        <v>0.4309027777777778</v>
      </c>
      <c r="L343" s="322">
        <f t="shared" si="7"/>
        <v>0.001736111111</v>
      </c>
      <c r="M343" s="319" t="s">
        <v>166</v>
      </c>
      <c r="N343" s="324" t="s">
        <v>187</v>
      </c>
      <c r="O343" s="419" t="s">
        <v>1071</v>
      </c>
      <c r="P343" s="319" t="s">
        <v>238</v>
      </c>
      <c r="Q343" s="318"/>
      <c r="R343" s="326">
        <v>24.5</v>
      </c>
      <c r="S343" s="319">
        <v>7.5</v>
      </c>
      <c r="T343" s="332"/>
      <c r="U343" s="319">
        <v>4.0</v>
      </c>
      <c r="V343" s="319"/>
      <c r="W343" s="319"/>
      <c r="X343" s="319"/>
      <c r="Y343" s="319"/>
      <c r="Z343" s="319" t="s">
        <v>331</v>
      </c>
      <c r="AA343" s="319"/>
      <c r="AB343" s="318"/>
      <c r="AC343" s="327">
        <v>4.0</v>
      </c>
      <c r="AD343" s="319"/>
      <c r="AE343" s="319"/>
      <c r="AF343" s="319"/>
      <c r="AG343" s="319"/>
      <c r="AH343" s="319"/>
      <c r="AI343" s="319"/>
      <c r="AJ343" s="327"/>
      <c r="AK343" s="328"/>
      <c r="AL343" s="319"/>
      <c r="AM343" s="319"/>
      <c r="AN343" s="319"/>
      <c r="AO343" s="319"/>
      <c r="AP343" s="319"/>
      <c r="AQ343" s="319"/>
      <c r="AR343" s="319"/>
      <c r="AS343" s="327"/>
      <c r="AT343" s="461" t="s">
        <v>182</v>
      </c>
      <c r="AU343" s="324" t="s">
        <v>845</v>
      </c>
      <c r="AV343" s="330">
        <f>SQRT(($R343-Infrastructure!J$3)^2+($S343-Infrastructure!K$3)^2)</f>
        <v>32.75667871</v>
      </c>
      <c r="AW343" s="331">
        <f>SQRT(($R343-Infrastructure!J$4)^2+($S343-Infrastructure!K$4)^2)</f>
        <v>26.85386378</v>
      </c>
      <c r="AX343" s="331">
        <f>SQRT(($R343-Infrastructure!J$5)^2+($S343-Infrastructure!K$5)^2)</f>
        <v>24.9158584</v>
      </c>
      <c r="AY343" s="331">
        <f>SQRT(($R343-Infrastructure!J$6)^2+($S343-Infrastructure!K$6)^2)</f>
        <v>16.09968944</v>
      </c>
      <c r="AZ343" s="331">
        <f>SQRT(($R343-Infrastructure!J$7)^2+($S343-Infrastructure!K$7)^2)</f>
        <v>8.236504113</v>
      </c>
      <c r="BA343" s="331">
        <f>SQRT(($R343-Infrastructure!J$8)^2+($S343-Infrastructure!K$8)^2)</f>
        <v>9.121403401</v>
      </c>
      <c r="BB343" s="331">
        <f>SQRT(($R343-Infrastructure!J$9)^2+($S343-Infrastructure!K$9)^2)</f>
        <v>15.68470593</v>
      </c>
      <c r="BC343" s="331">
        <f>SQRT(($R343-Infrastructure!J$10)^2+($S343-Infrastructure!K$10)^2)</f>
        <v>17.21917536</v>
      </c>
      <c r="BD343" s="318"/>
      <c r="BE343" s="332"/>
      <c r="BF343" s="330">
        <f t="shared" si="14"/>
        <v>8.236504113</v>
      </c>
      <c r="BG343" s="333">
        <f t="shared" si="15"/>
        <v>32.75667871</v>
      </c>
      <c r="BH343" s="334"/>
      <c r="BI343" s="316"/>
      <c r="BJ343" s="318"/>
      <c r="BK343" s="318"/>
      <c r="BL343" s="318"/>
      <c r="BM343" s="318"/>
      <c r="BN343" s="318"/>
      <c r="BO343" s="318"/>
      <c r="BP343" s="318"/>
      <c r="BQ343" s="338"/>
      <c r="BR343" s="420"/>
      <c r="BS343" s="330"/>
      <c r="BT343" s="331"/>
      <c r="BU343" s="331"/>
      <c r="BV343" s="333"/>
      <c r="BW343" s="330"/>
      <c r="BX343" s="331"/>
      <c r="BY343" s="331"/>
      <c r="BZ343" s="340"/>
      <c r="CA343" s="316"/>
      <c r="CB343" s="318"/>
      <c r="CC343" s="318"/>
      <c r="CD343" s="318"/>
      <c r="CE343" s="318"/>
      <c r="CF343" s="318"/>
      <c r="CG343" s="318"/>
      <c r="CH343" s="318"/>
      <c r="CI343" s="338"/>
      <c r="CJ343" s="341"/>
      <c r="CK343" s="342">
        <f t="shared" si="18"/>
        <v>0</v>
      </c>
      <c r="CL343" s="333">
        <f t="shared" si="19"/>
        <v>0</v>
      </c>
      <c r="CM343" s="421" t="s">
        <v>1129</v>
      </c>
      <c r="CN343" s="416"/>
      <c r="CO343" s="416"/>
      <c r="CP343" s="416"/>
    </row>
    <row r="344">
      <c r="B344" s="316"/>
      <c r="C344" s="417">
        <v>43754.0</v>
      </c>
      <c r="D344" s="319" t="s">
        <v>1125</v>
      </c>
      <c r="E344" s="319">
        <v>31.0</v>
      </c>
      <c r="F344" s="332"/>
      <c r="G344" s="321">
        <v>0.4340277777777778</v>
      </c>
      <c r="H344" s="323">
        <v>0.43443287037037037</v>
      </c>
      <c r="I344" s="323"/>
      <c r="J344" s="323"/>
      <c r="K344" s="323">
        <v>0.43582175925925926</v>
      </c>
      <c r="L344" s="322">
        <f t="shared" si="7"/>
        <v>0.001793981481</v>
      </c>
      <c r="M344" s="319" t="s">
        <v>166</v>
      </c>
      <c r="N344" s="324" t="s">
        <v>187</v>
      </c>
      <c r="O344" s="419" t="s">
        <v>200</v>
      </c>
      <c r="P344" s="319" t="s">
        <v>239</v>
      </c>
      <c r="Q344" s="318"/>
      <c r="R344" s="326">
        <v>17.0</v>
      </c>
      <c r="S344" s="319">
        <v>7.0</v>
      </c>
      <c r="T344" s="332"/>
      <c r="U344" s="319">
        <v>7.5</v>
      </c>
      <c r="V344" s="319"/>
      <c r="W344" s="319"/>
      <c r="X344" s="319"/>
      <c r="Y344" s="319"/>
      <c r="Z344" s="319" t="s">
        <v>318</v>
      </c>
      <c r="AA344" s="319"/>
      <c r="AB344" s="318"/>
      <c r="AC344" s="327">
        <v>5.0</v>
      </c>
      <c r="AD344" s="319"/>
      <c r="AE344" s="319"/>
      <c r="AF344" s="319"/>
      <c r="AG344" s="319"/>
      <c r="AH344" s="319"/>
      <c r="AI344" s="319"/>
      <c r="AJ344" s="327"/>
      <c r="AK344" s="328"/>
      <c r="AL344" s="319"/>
      <c r="AM344" s="319"/>
      <c r="AN344" s="319"/>
      <c r="AO344" s="319"/>
      <c r="AP344" s="319"/>
      <c r="AQ344" s="319"/>
      <c r="AR344" s="319"/>
      <c r="AS344" s="327"/>
      <c r="AT344" s="461" t="s">
        <v>182</v>
      </c>
      <c r="AU344" s="324" t="s">
        <v>845</v>
      </c>
      <c r="AV344" s="330">
        <f>SQRT(($R344-Infrastructure!J$3)^2+($S344-Infrastructure!K$3)^2)</f>
        <v>27.90877998</v>
      </c>
      <c r="AW344" s="331">
        <f>SQRT(($R344-Infrastructure!J$4)^2+($S344-Infrastructure!K$4)^2)</f>
        <v>20.39436197</v>
      </c>
      <c r="AX344" s="331">
        <f>SQRT(($R344-Infrastructure!J$5)^2+($S344-Infrastructure!K$5)^2)</f>
        <v>17.40402252</v>
      </c>
      <c r="AY344" s="331">
        <f>SQRT(($R344-Infrastructure!J$6)^2+($S344-Infrastructure!K$6)^2)</f>
        <v>9.617692031</v>
      </c>
      <c r="AZ344" s="331">
        <f>SQRT(($R344-Infrastructure!J$7)^2+($S344-Infrastructure!K$7)^2)</f>
        <v>7.559100476</v>
      </c>
      <c r="BA344" s="331">
        <f>SQRT(($R344-Infrastructure!J$8)^2+($S344-Infrastructure!K$8)^2)</f>
        <v>14.71393897</v>
      </c>
      <c r="BB344" s="331">
        <f>SQRT(($R344-Infrastructure!J$9)^2+($S344-Infrastructure!K$9)^2)</f>
        <v>23.07834483</v>
      </c>
      <c r="BC344" s="331">
        <f>SQRT(($R344-Infrastructure!J$10)^2+($S344-Infrastructure!K$10)^2)</f>
        <v>24.35159132</v>
      </c>
      <c r="BD344" s="318"/>
      <c r="BE344" s="332"/>
      <c r="BF344" s="330">
        <f t="shared" si="14"/>
        <v>7.559100476</v>
      </c>
      <c r="BG344" s="333">
        <f t="shared" si="15"/>
        <v>27.90877998</v>
      </c>
      <c r="BH344" s="334"/>
      <c r="BI344" s="316"/>
      <c r="BJ344" s="318"/>
      <c r="BK344" s="318"/>
      <c r="BL344" s="318"/>
      <c r="BM344" s="318"/>
      <c r="BN344" s="318"/>
      <c r="BO344" s="318"/>
      <c r="BP344" s="318"/>
      <c r="BQ344" s="338"/>
      <c r="BR344" s="420"/>
      <c r="BS344" s="330"/>
      <c r="BT344" s="331"/>
      <c r="BU344" s="331"/>
      <c r="BV344" s="333"/>
      <c r="BW344" s="330"/>
      <c r="BX344" s="331"/>
      <c r="BY344" s="331"/>
      <c r="BZ344" s="340"/>
      <c r="CA344" s="316"/>
      <c r="CB344" s="318"/>
      <c r="CC344" s="318"/>
      <c r="CD344" s="318"/>
      <c r="CE344" s="318"/>
      <c r="CF344" s="318"/>
      <c r="CG344" s="318"/>
      <c r="CH344" s="318"/>
      <c r="CI344" s="338"/>
      <c r="CJ344" s="341"/>
      <c r="CK344" s="342">
        <f t="shared" si="18"/>
        <v>0</v>
      </c>
      <c r="CL344" s="333">
        <f t="shared" si="19"/>
        <v>0</v>
      </c>
      <c r="CM344" s="421" t="s">
        <v>1126</v>
      </c>
      <c r="CN344" s="416"/>
      <c r="CO344" s="416"/>
      <c r="CP344" s="416"/>
    </row>
    <row r="345">
      <c r="B345" s="316"/>
      <c r="C345" s="417">
        <v>43754.0</v>
      </c>
      <c r="D345" s="319" t="s">
        <v>1125</v>
      </c>
      <c r="E345" s="319">
        <v>32.0</v>
      </c>
      <c r="F345" s="332"/>
      <c r="G345" s="321">
        <v>0.4409722222222222</v>
      </c>
      <c r="H345" s="323">
        <v>0.44155092592592593</v>
      </c>
      <c r="I345" s="323"/>
      <c r="J345" s="323"/>
      <c r="K345" s="323">
        <v>0.4429398148148148</v>
      </c>
      <c r="L345" s="322">
        <f t="shared" si="7"/>
        <v>0.001967592593</v>
      </c>
      <c r="M345" s="319" t="s">
        <v>166</v>
      </c>
      <c r="N345" s="324" t="s">
        <v>187</v>
      </c>
      <c r="O345" s="419" t="s">
        <v>207</v>
      </c>
      <c r="P345" s="319" t="s">
        <v>242</v>
      </c>
      <c r="Q345" s="318"/>
      <c r="R345" s="326">
        <v>25.8</v>
      </c>
      <c r="S345" s="319">
        <v>13.5</v>
      </c>
      <c r="T345" s="332"/>
      <c r="U345" s="319">
        <v>7.3</v>
      </c>
      <c r="V345" s="319"/>
      <c r="W345" s="319"/>
      <c r="X345" s="319"/>
      <c r="Y345" s="319"/>
      <c r="Z345" s="319" t="s">
        <v>374</v>
      </c>
      <c r="AA345" s="319"/>
      <c r="AB345" s="318"/>
      <c r="AC345" s="327">
        <v>10.0</v>
      </c>
      <c r="AD345" s="319"/>
      <c r="AE345" s="319"/>
      <c r="AF345" s="319"/>
      <c r="AG345" s="319"/>
      <c r="AH345" s="319"/>
      <c r="AI345" s="319"/>
      <c r="AJ345" s="327"/>
      <c r="AK345" s="328"/>
      <c r="AL345" s="319"/>
      <c r="AM345" s="319"/>
      <c r="AN345" s="319"/>
      <c r="AO345" s="319"/>
      <c r="AP345" s="319"/>
      <c r="AQ345" s="319"/>
      <c r="AR345" s="319"/>
      <c r="AS345" s="327"/>
      <c r="AT345" s="461" t="s">
        <v>182</v>
      </c>
      <c r="AU345" s="324" t="s">
        <v>845</v>
      </c>
      <c r="AV345" s="330">
        <f>SQRT(($R345-Infrastructure!J$3)^2+($S345-Infrastructure!K$3)^2)</f>
        <v>30.30462011</v>
      </c>
      <c r="AW345" s="331">
        <f>SQRT(($R345-Infrastructure!J$4)^2+($S345-Infrastructure!K$4)^2)</f>
        <v>26.45184304</v>
      </c>
      <c r="AX345" s="331">
        <f>SQRT(($R345-Infrastructure!J$5)^2+($S345-Infrastructure!K$5)^2)</f>
        <v>27.41842446</v>
      </c>
      <c r="AY345" s="331">
        <f>SQRT(($R345-Infrastructure!J$6)^2+($S345-Infrastructure!K$6)^2)</f>
        <v>20.51170398</v>
      </c>
      <c r="AZ345" s="331">
        <f>SQRT(($R345-Infrastructure!J$7)^2+($S345-Infrastructure!K$7)^2)</f>
        <v>14.22427503</v>
      </c>
      <c r="BA345" s="331">
        <f>SQRT(($R345-Infrastructure!J$8)^2+($S345-Infrastructure!K$8)^2)</f>
        <v>13.88272308</v>
      </c>
      <c r="BB345" s="331">
        <f>SQRT(($R345-Infrastructure!J$9)^2+($S345-Infrastructure!K$9)^2)</f>
        <v>16.49848478</v>
      </c>
      <c r="BC345" s="331">
        <f>SQRT(($R345-Infrastructure!J$10)^2+($S345-Infrastructure!K$10)^2)</f>
        <v>14.27900557</v>
      </c>
      <c r="BD345" s="318"/>
      <c r="BE345" s="332"/>
      <c r="BF345" s="330">
        <f t="shared" si="14"/>
        <v>13.88272308</v>
      </c>
      <c r="BG345" s="333">
        <f t="shared" si="15"/>
        <v>30.30462011</v>
      </c>
      <c r="BH345" s="334"/>
      <c r="BI345" s="316"/>
      <c r="BJ345" s="318"/>
      <c r="BK345" s="318"/>
      <c r="BL345" s="318"/>
      <c r="BM345" s="318"/>
      <c r="BN345" s="318"/>
      <c r="BO345" s="318"/>
      <c r="BP345" s="318"/>
      <c r="BQ345" s="338"/>
      <c r="BR345" s="420"/>
      <c r="BS345" s="330"/>
      <c r="BT345" s="331"/>
      <c r="BU345" s="331"/>
      <c r="BV345" s="333"/>
      <c r="BW345" s="330"/>
      <c r="BX345" s="331"/>
      <c r="BY345" s="331"/>
      <c r="BZ345" s="340"/>
      <c r="CA345" s="316"/>
      <c r="CB345" s="318"/>
      <c r="CC345" s="318"/>
      <c r="CD345" s="318"/>
      <c r="CE345" s="318"/>
      <c r="CF345" s="318"/>
      <c r="CG345" s="318"/>
      <c r="CH345" s="318"/>
      <c r="CI345" s="338"/>
      <c r="CJ345" s="341"/>
      <c r="CK345" s="342">
        <f t="shared" si="18"/>
        <v>0</v>
      </c>
      <c r="CL345" s="333">
        <f t="shared" si="19"/>
        <v>0</v>
      </c>
      <c r="CM345" s="421" t="s">
        <v>1130</v>
      </c>
      <c r="CN345" s="416"/>
      <c r="CO345" s="416"/>
      <c r="CP345" s="416"/>
    </row>
    <row r="346">
      <c r="B346" s="316"/>
      <c r="C346" s="417">
        <v>43754.0</v>
      </c>
      <c r="D346" s="319" t="s">
        <v>1125</v>
      </c>
      <c r="E346" s="319">
        <v>33.0</v>
      </c>
      <c r="F346" s="332"/>
      <c r="G346" s="321">
        <v>0.44583333333333336</v>
      </c>
      <c r="H346" s="323">
        <v>0.4461805555555556</v>
      </c>
      <c r="I346" s="323"/>
      <c r="J346" s="323"/>
      <c r="K346" s="323">
        <v>0.44756944444444446</v>
      </c>
      <c r="L346" s="322">
        <f t="shared" si="7"/>
        <v>0.001736111111</v>
      </c>
      <c r="M346" s="319" t="s">
        <v>166</v>
      </c>
      <c r="N346" s="324" t="s">
        <v>187</v>
      </c>
      <c r="O346" s="419" t="s">
        <v>200</v>
      </c>
      <c r="P346" s="319" t="s">
        <v>239</v>
      </c>
      <c r="Q346" s="318"/>
      <c r="R346" s="326">
        <v>17.0</v>
      </c>
      <c r="S346" s="319">
        <v>7.0</v>
      </c>
      <c r="T346" s="332"/>
      <c r="U346" s="319">
        <v>7.5</v>
      </c>
      <c r="V346" s="319"/>
      <c r="W346" s="319"/>
      <c r="X346" s="319"/>
      <c r="Y346" s="319"/>
      <c r="Z346" s="319" t="s">
        <v>318</v>
      </c>
      <c r="AA346" s="319"/>
      <c r="AB346" s="318"/>
      <c r="AC346" s="327">
        <v>5.0</v>
      </c>
      <c r="AD346" s="319"/>
      <c r="AE346" s="319"/>
      <c r="AF346" s="319"/>
      <c r="AG346" s="319"/>
      <c r="AH346" s="319"/>
      <c r="AI346" s="319"/>
      <c r="AJ346" s="327"/>
      <c r="AK346" s="328"/>
      <c r="AL346" s="319"/>
      <c r="AM346" s="319"/>
      <c r="AN346" s="319"/>
      <c r="AO346" s="319"/>
      <c r="AP346" s="319"/>
      <c r="AQ346" s="319"/>
      <c r="AR346" s="319"/>
      <c r="AS346" s="327"/>
      <c r="AT346" s="461" t="s">
        <v>182</v>
      </c>
      <c r="AU346" s="324" t="s">
        <v>845</v>
      </c>
      <c r="AV346" s="330">
        <f>SQRT(($R346-Infrastructure!J$3)^2+($S346-Infrastructure!K$3)^2)</f>
        <v>27.90877998</v>
      </c>
      <c r="AW346" s="331">
        <f>SQRT(($R346-Infrastructure!J$4)^2+($S346-Infrastructure!K$4)^2)</f>
        <v>20.39436197</v>
      </c>
      <c r="AX346" s="331">
        <f>SQRT(($R346-Infrastructure!J$5)^2+($S346-Infrastructure!K$5)^2)</f>
        <v>17.40402252</v>
      </c>
      <c r="AY346" s="331">
        <f>SQRT(($R346-Infrastructure!J$6)^2+($S346-Infrastructure!K$6)^2)</f>
        <v>9.617692031</v>
      </c>
      <c r="AZ346" s="331">
        <f>SQRT(($R346-Infrastructure!J$7)^2+($S346-Infrastructure!K$7)^2)</f>
        <v>7.559100476</v>
      </c>
      <c r="BA346" s="331">
        <f>SQRT(($R346-Infrastructure!J$8)^2+($S346-Infrastructure!K$8)^2)</f>
        <v>14.71393897</v>
      </c>
      <c r="BB346" s="331">
        <f>SQRT(($R346-Infrastructure!J$9)^2+($S346-Infrastructure!K$9)^2)</f>
        <v>23.07834483</v>
      </c>
      <c r="BC346" s="331">
        <f>SQRT(($R346-Infrastructure!J$10)^2+($S346-Infrastructure!K$10)^2)</f>
        <v>24.35159132</v>
      </c>
      <c r="BD346" s="318"/>
      <c r="BE346" s="332"/>
      <c r="BF346" s="330">
        <f t="shared" si="14"/>
        <v>7.559100476</v>
      </c>
      <c r="BG346" s="333">
        <f t="shared" si="15"/>
        <v>27.90877998</v>
      </c>
      <c r="BH346" s="334"/>
      <c r="BI346" s="316"/>
      <c r="BJ346" s="318"/>
      <c r="BK346" s="318"/>
      <c r="BL346" s="318"/>
      <c r="BM346" s="318"/>
      <c r="BN346" s="318"/>
      <c r="BO346" s="318"/>
      <c r="BP346" s="318"/>
      <c r="BQ346" s="338"/>
      <c r="BR346" s="420"/>
      <c r="BS346" s="330"/>
      <c r="BT346" s="331"/>
      <c r="BU346" s="331"/>
      <c r="BV346" s="333"/>
      <c r="BW346" s="330"/>
      <c r="BX346" s="331"/>
      <c r="BY346" s="331"/>
      <c r="BZ346" s="340"/>
      <c r="CA346" s="316"/>
      <c r="CB346" s="318"/>
      <c r="CC346" s="318"/>
      <c r="CD346" s="318"/>
      <c r="CE346" s="318"/>
      <c r="CF346" s="318"/>
      <c r="CG346" s="318"/>
      <c r="CH346" s="318"/>
      <c r="CI346" s="338"/>
      <c r="CJ346" s="341"/>
      <c r="CK346" s="342">
        <f t="shared" si="18"/>
        <v>0</v>
      </c>
      <c r="CL346" s="333">
        <f t="shared" si="19"/>
        <v>0</v>
      </c>
      <c r="CM346" s="421" t="s">
        <v>1126</v>
      </c>
      <c r="CN346" s="416"/>
      <c r="CO346" s="416"/>
      <c r="CP346" s="416"/>
    </row>
    <row r="347">
      <c r="B347" s="316"/>
      <c r="C347" s="417">
        <v>43754.0</v>
      </c>
      <c r="D347" s="319" t="s">
        <v>1125</v>
      </c>
      <c r="E347" s="319">
        <v>34.0</v>
      </c>
      <c r="F347" s="332"/>
      <c r="G347" s="321">
        <v>0.45208333333333334</v>
      </c>
      <c r="H347" s="323">
        <v>0.45243055555555556</v>
      </c>
      <c r="I347" s="323"/>
      <c r="J347" s="323"/>
      <c r="K347" s="323">
        <v>0.45381944444444444</v>
      </c>
      <c r="L347" s="322">
        <f t="shared" si="7"/>
        <v>0.001736111111</v>
      </c>
      <c r="M347" s="319" t="s">
        <v>166</v>
      </c>
      <c r="N347" s="324" t="s">
        <v>187</v>
      </c>
      <c r="O347" s="488"/>
      <c r="P347" s="318"/>
      <c r="Q347" s="318"/>
      <c r="R347" s="457"/>
      <c r="S347" s="318"/>
      <c r="T347" s="332"/>
      <c r="U347" s="319">
        <v>0.0</v>
      </c>
      <c r="V347" s="319"/>
      <c r="W347" s="319"/>
      <c r="X347" s="319"/>
      <c r="Y347" s="319"/>
      <c r="Z347" s="318"/>
      <c r="AA347" s="318"/>
      <c r="AB347" s="318"/>
      <c r="AC347" s="463"/>
      <c r="AD347" s="318"/>
      <c r="AE347" s="318"/>
      <c r="AF347" s="318"/>
      <c r="AG347" s="318"/>
      <c r="AH347" s="318"/>
      <c r="AI347" s="318"/>
      <c r="AJ347" s="463"/>
      <c r="AK347" s="487"/>
      <c r="AL347" s="318"/>
      <c r="AM347" s="318"/>
      <c r="AN347" s="318"/>
      <c r="AO347" s="318"/>
      <c r="AP347" s="318"/>
      <c r="AQ347" s="318"/>
      <c r="AR347" s="318"/>
      <c r="AS347" s="463"/>
      <c r="AT347" s="344"/>
      <c r="AU347" s="324" t="s">
        <v>845</v>
      </c>
      <c r="AV347" s="330">
        <f>SQRT(($R347-Infrastructure!J$3)^2+($S347-Infrastructure!K$3)^2)</f>
        <v>28.90155705</v>
      </c>
      <c r="AW347" s="331">
        <f>SQRT(($R347-Infrastructure!J$4)^2+($S347-Infrastructure!K$4)^2)</f>
        <v>17.80252791</v>
      </c>
      <c r="AX347" s="331">
        <f>SQRT(($R347-Infrastructure!J$5)^2+($S347-Infrastructure!K$5)^2)</f>
        <v>5.10881591</v>
      </c>
      <c r="AY347" s="331">
        <f>SQRT(($R347-Infrastructure!J$6)^2+($S347-Infrastructure!K$6)^2)</f>
        <v>10.10445446</v>
      </c>
      <c r="AZ347" s="331">
        <f>SQRT(($R347-Infrastructure!J$7)^2+($S347-Infrastructure!K$7)^2)</f>
        <v>20.502195</v>
      </c>
      <c r="BA347" s="331">
        <f>SQRT(($R347-Infrastructure!J$8)^2+($S347-Infrastructure!K$8)^2)</f>
        <v>30.10149498</v>
      </c>
      <c r="BB347" s="331">
        <f>SQRT(($R347-Infrastructure!J$9)^2+($S347-Infrastructure!K$9)^2)</f>
        <v>40.3238143</v>
      </c>
      <c r="BC347" s="331">
        <f>SQRT(($R347-Infrastructure!J$10)^2+($S347-Infrastructure!K$10)^2)</f>
        <v>42.72001873</v>
      </c>
      <c r="BD347" s="318"/>
      <c r="BE347" s="332"/>
      <c r="BF347" s="330">
        <f t="shared" si="14"/>
        <v>5.10881591</v>
      </c>
      <c r="BG347" s="333">
        <f t="shared" si="15"/>
        <v>42.72001873</v>
      </c>
      <c r="BH347" s="334"/>
      <c r="BI347" s="316"/>
      <c r="BJ347" s="318"/>
      <c r="BK347" s="318"/>
      <c r="BL347" s="318"/>
      <c r="BM347" s="318"/>
      <c r="BN347" s="318"/>
      <c r="BO347" s="318"/>
      <c r="BP347" s="318"/>
      <c r="BQ347" s="338"/>
      <c r="BR347" s="420"/>
      <c r="BS347" s="330"/>
      <c r="BT347" s="331"/>
      <c r="BU347" s="331"/>
      <c r="BV347" s="333"/>
      <c r="BW347" s="330"/>
      <c r="BX347" s="331"/>
      <c r="BY347" s="331"/>
      <c r="BZ347" s="340"/>
      <c r="CA347" s="316"/>
      <c r="CB347" s="318"/>
      <c r="CC347" s="318"/>
      <c r="CD347" s="318"/>
      <c r="CE347" s="318"/>
      <c r="CF347" s="318"/>
      <c r="CG347" s="318"/>
      <c r="CH347" s="318"/>
      <c r="CI347" s="338"/>
      <c r="CJ347" s="341"/>
      <c r="CK347" s="342">
        <f t="shared" si="18"/>
        <v>0</v>
      </c>
      <c r="CL347" s="333">
        <f t="shared" si="19"/>
        <v>0</v>
      </c>
      <c r="CM347" s="421" t="s">
        <v>1128</v>
      </c>
      <c r="CN347" s="416"/>
      <c r="CO347" s="416"/>
      <c r="CP347" s="416"/>
    </row>
    <row r="348">
      <c r="B348" s="316"/>
      <c r="C348" s="417">
        <v>43754.0</v>
      </c>
      <c r="D348" s="319" t="s">
        <v>1125</v>
      </c>
      <c r="E348" s="319">
        <v>35.0</v>
      </c>
      <c r="F348" s="332"/>
      <c r="G348" s="321">
        <v>0.45625</v>
      </c>
      <c r="H348" s="323">
        <v>0.45711805555555557</v>
      </c>
      <c r="I348" s="323"/>
      <c r="J348" s="323"/>
      <c r="K348" s="323">
        <v>0.45850694444444445</v>
      </c>
      <c r="L348" s="322">
        <f t="shared" si="7"/>
        <v>0.002256944444</v>
      </c>
      <c r="M348" s="319" t="s">
        <v>166</v>
      </c>
      <c r="N348" s="324" t="s">
        <v>187</v>
      </c>
      <c r="O348" s="419" t="s">
        <v>198</v>
      </c>
      <c r="P348" s="319" t="s">
        <v>295</v>
      </c>
      <c r="Q348" s="318"/>
      <c r="R348" s="326">
        <v>10.3</v>
      </c>
      <c r="S348" s="319">
        <v>7.8</v>
      </c>
      <c r="T348" s="332"/>
      <c r="U348" s="319">
        <v>4.5</v>
      </c>
      <c r="V348" s="319"/>
      <c r="W348" s="319"/>
      <c r="X348" s="319"/>
      <c r="Y348" s="319"/>
      <c r="Z348" s="319" t="s">
        <v>343</v>
      </c>
      <c r="AA348" s="319"/>
      <c r="AB348" s="318"/>
      <c r="AC348" s="327">
        <v>10.0</v>
      </c>
      <c r="AD348" s="319"/>
      <c r="AE348" s="319"/>
      <c r="AF348" s="319"/>
      <c r="AG348" s="319"/>
      <c r="AH348" s="319"/>
      <c r="AI348" s="319"/>
      <c r="AJ348" s="327"/>
      <c r="AK348" s="328"/>
      <c r="AL348" s="319"/>
      <c r="AM348" s="319"/>
      <c r="AN348" s="319"/>
      <c r="AO348" s="319"/>
      <c r="AP348" s="319"/>
      <c r="AQ348" s="319"/>
      <c r="AR348" s="319"/>
      <c r="AS348" s="327"/>
      <c r="AT348" s="461" t="s">
        <v>182</v>
      </c>
      <c r="AU348" s="324" t="s">
        <v>845</v>
      </c>
      <c r="AV348" s="330">
        <f>SQRT(($R348-Infrastructure!J$3)^2+($S348-Infrastructure!K$3)^2)</f>
        <v>23.61292019</v>
      </c>
      <c r="AW348" s="331">
        <f>SQRT(($R348-Infrastructure!J$4)^2+($S348-Infrastructure!K$4)^2)</f>
        <v>14.57257699</v>
      </c>
      <c r="AX348" s="331">
        <f>SQRT(($R348-Infrastructure!J$5)^2+($S348-Infrastructure!K$5)^2)</f>
        <v>10.93846424</v>
      </c>
      <c r="AY348" s="331">
        <f>SQRT(($R348-Infrastructure!J$6)^2+($S348-Infrastructure!K$6)^2)</f>
        <v>7.502666193</v>
      </c>
      <c r="AZ348" s="331">
        <f>SQRT(($R348-Infrastructure!J$7)^2+($S348-Infrastructure!K$7)^2)</f>
        <v>12.66056871</v>
      </c>
      <c r="BA348" s="331">
        <f>SQRT(($R348-Infrastructure!J$8)^2+($S348-Infrastructure!K$8)^2)</f>
        <v>21.17285999</v>
      </c>
      <c r="BB348" s="331">
        <f>SQRT(($R348-Infrastructure!J$9)^2+($S348-Infrastructure!K$9)^2)</f>
        <v>29.82247475</v>
      </c>
      <c r="BC348" s="331">
        <f>SQRT(($R348-Infrastructure!J$10)^2+($S348-Infrastructure!K$10)^2)</f>
        <v>30.56026832</v>
      </c>
      <c r="BD348" s="318"/>
      <c r="BE348" s="332"/>
      <c r="BF348" s="330">
        <f t="shared" si="14"/>
        <v>7.502666193</v>
      </c>
      <c r="BG348" s="333">
        <f t="shared" si="15"/>
        <v>30.56026832</v>
      </c>
      <c r="BH348" s="334"/>
      <c r="BI348" s="316"/>
      <c r="BJ348" s="318"/>
      <c r="BK348" s="318"/>
      <c r="BL348" s="318"/>
      <c r="BM348" s="318"/>
      <c r="BN348" s="318"/>
      <c r="BO348" s="318"/>
      <c r="BP348" s="318"/>
      <c r="BQ348" s="338"/>
      <c r="BR348" s="420"/>
      <c r="BS348" s="330"/>
      <c r="BT348" s="331"/>
      <c r="BU348" s="331"/>
      <c r="BV348" s="333"/>
      <c r="BW348" s="330"/>
      <c r="BX348" s="331"/>
      <c r="BY348" s="331"/>
      <c r="BZ348" s="340"/>
      <c r="CA348" s="316"/>
      <c r="CB348" s="318"/>
      <c r="CC348" s="318"/>
      <c r="CD348" s="318"/>
      <c r="CE348" s="318"/>
      <c r="CF348" s="318"/>
      <c r="CG348" s="318"/>
      <c r="CH348" s="318"/>
      <c r="CI348" s="338"/>
      <c r="CJ348" s="341"/>
      <c r="CK348" s="342">
        <f t="shared" si="18"/>
        <v>0</v>
      </c>
      <c r="CL348" s="333">
        <f t="shared" si="19"/>
        <v>0</v>
      </c>
      <c r="CM348" s="421" t="s">
        <v>1129</v>
      </c>
      <c r="CN348" s="416"/>
      <c r="CO348" s="416"/>
      <c r="CP348" s="416"/>
    </row>
    <row r="349">
      <c r="B349" s="316"/>
      <c r="C349" s="417">
        <v>43754.0</v>
      </c>
      <c r="D349" s="319" t="s">
        <v>1125</v>
      </c>
      <c r="E349" s="319">
        <v>36.0</v>
      </c>
      <c r="F349" s="332"/>
      <c r="G349" s="321">
        <v>0.46111111111111114</v>
      </c>
      <c r="H349" s="323">
        <v>0.46163194444444444</v>
      </c>
      <c r="I349" s="323"/>
      <c r="J349" s="323"/>
      <c r="K349" s="323">
        <v>0.4630208333333333</v>
      </c>
      <c r="L349" s="322">
        <f t="shared" si="7"/>
        <v>0.001909722222</v>
      </c>
      <c r="M349" s="319" t="s">
        <v>166</v>
      </c>
      <c r="N349" s="324" t="s">
        <v>187</v>
      </c>
      <c r="O349" s="419" t="s">
        <v>197</v>
      </c>
      <c r="P349" s="319" t="s">
        <v>257</v>
      </c>
      <c r="Q349" s="318"/>
      <c r="R349" s="326">
        <v>37.0</v>
      </c>
      <c r="S349" s="319">
        <v>7.0</v>
      </c>
      <c r="T349" s="332"/>
      <c r="U349" s="319">
        <v>6.8</v>
      </c>
      <c r="V349" s="319"/>
      <c r="W349" s="319"/>
      <c r="X349" s="319"/>
      <c r="Y349" s="319"/>
      <c r="Z349" s="319" t="s">
        <v>379</v>
      </c>
      <c r="AA349" s="319"/>
      <c r="AB349" s="318"/>
      <c r="AC349" s="327">
        <v>10.0</v>
      </c>
      <c r="AD349" s="319"/>
      <c r="AE349" s="319"/>
      <c r="AF349" s="319"/>
      <c r="AG349" s="319"/>
      <c r="AH349" s="319"/>
      <c r="AI349" s="319"/>
      <c r="AJ349" s="327"/>
      <c r="AK349" s="328"/>
      <c r="AL349" s="319"/>
      <c r="AM349" s="319"/>
      <c r="AN349" s="319"/>
      <c r="AO349" s="319"/>
      <c r="AP349" s="319"/>
      <c r="AQ349" s="319"/>
      <c r="AR349" s="319"/>
      <c r="AS349" s="327"/>
      <c r="AT349" s="461" t="s">
        <v>182</v>
      </c>
      <c r="AU349" s="324" t="s">
        <v>845</v>
      </c>
      <c r="AV349" s="330">
        <f>SQRT(($R349-Infrastructure!J$3)^2+($S349-Infrastructure!K$3)^2)</f>
        <v>43.25390156</v>
      </c>
      <c r="AW349" s="331">
        <f>SQRT(($R349-Infrastructure!J$4)^2+($S349-Infrastructure!K$4)^2)</f>
        <v>38.83207437</v>
      </c>
      <c r="AX349" s="331">
        <f>SQRT(($R349-Infrastructure!J$5)^2+($S349-Infrastructure!K$5)^2)</f>
        <v>37.34836007</v>
      </c>
      <c r="AY349" s="331">
        <f>SQRT(($R349-Infrastructure!J$6)^2+($S349-Infrastructure!K$6)^2)</f>
        <v>27.72183255</v>
      </c>
      <c r="AZ349" s="331">
        <f>SQRT(($R349-Infrastructure!J$7)^2+($S349-Infrastructure!K$7)^2)</f>
        <v>17.80842497</v>
      </c>
      <c r="BA349" s="331">
        <f>SQRT(($R349-Infrastructure!J$8)^2+($S349-Infrastructure!K$8)^2)</f>
        <v>9.617692031</v>
      </c>
      <c r="BB349" s="331">
        <f>SQRT(($R349-Infrastructure!J$9)^2+($S349-Infrastructure!K$9)^2)</f>
        <v>3.551056181</v>
      </c>
      <c r="BC349" s="331">
        <f>SQRT(($R349-Infrastructure!J$10)^2+($S349-Infrastructure!K$10)^2)</f>
        <v>8.544003745</v>
      </c>
      <c r="BD349" s="318"/>
      <c r="BE349" s="332"/>
      <c r="BF349" s="330">
        <f t="shared" si="14"/>
        <v>3.551056181</v>
      </c>
      <c r="BG349" s="333">
        <f t="shared" si="15"/>
        <v>43.25390156</v>
      </c>
      <c r="BH349" s="334"/>
      <c r="BI349" s="316"/>
      <c r="BJ349" s="318"/>
      <c r="BK349" s="318"/>
      <c r="BL349" s="318"/>
      <c r="BM349" s="318"/>
      <c r="BN349" s="318"/>
      <c r="BO349" s="318"/>
      <c r="BP349" s="318"/>
      <c r="BQ349" s="338"/>
      <c r="BR349" s="420"/>
      <c r="BS349" s="330"/>
      <c r="BT349" s="331"/>
      <c r="BU349" s="331"/>
      <c r="BV349" s="333"/>
      <c r="BW349" s="330"/>
      <c r="BX349" s="331"/>
      <c r="BY349" s="331"/>
      <c r="BZ349" s="340"/>
      <c r="CA349" s="316"/>
      <c r="CB349" s="318"/>
      <c r="CC349" s="318"/>
      <c r="CD349" s="318"/>
      <c r="CE349" s="318"/>
      <c r="CF349" s="318"/>
      <c r="CG349" s="318"/>
      <c r="CH349" s="318"/>
      <c r="CI349" s="338"/>
      <c r="CJ349" s="341"/>
      <c r="CK349" s="342">
        <f t="shared" si="18"/>
        <v>0</v>
      </c>
      <c r="CL349" s="333">
        <f t="shared" si="19"/>
        <v>0</v>
      </c>
      <c r="CM349" s="421" t="s">
        <v>1130</v>
      </c>
      <c r="CN349" s="416"/>
      <c r="CO349" s="416"/>
      <c r="CP349" s="416"/>
    </row>
    <row r="350">
      <c r="B350" s="464"/>
      <c r="C350" s="465">
        <v>43754.0</v>
      </c>
      <c r="D350" s="466" t="s">
        <v>1125</v>
      </c>
      <c r="E350" s="466">
        <v>37.0</v>
      </c>
      <c r="F350" s="467"/>
      <c r="G350" s="468">
        <v>0.4673611111111111</v>
      </c>
      <c r="H350" s="469">
        <v>0.46770833333333334</v>
      </c>
      <c r="I350" s="469"/>
      <c r="J350" s="469"/>
      <c r="K350" s="469">
        <v>0.4690972222222222</v>
      </c>
      <c r="L350" s="470">
        <f t="shared" si="7"/>
        <v>0.001736111111</v>
      </c>
      <c r="M350" s="466" t="s">
        <v>166</v>
      </c>
      <c r="N350" s="471" t="s">
        <v>187</v>
      </c>
      <c r="O350" s="472"/>
      <c r="P350" s="473"/>
      <c r="Q350" s="473"/>
      <c r="R350" s="474"/>
      <c r="S350" s="473"/>
      <c r="T350" s="467"/>
      <c r="U350" s="466">
        <v>0.0</v>
      </c>
      <c r="V350" s="466"/>
      <c r="W350" s="466"/>
      <c r="X350" s="466"/>
      <c r="Y350" s="466"/>
      <c r="Z350" s="473"/>
      <c r="AA350" s="473"/>
      <c r="AB350" s="473"/>
      <c r="AC350" s="475"/>
      <c r="AD350" s="473"/>
      <c r="AE350" s="473"/>
      <c r="AF350" s="473"/>
      <c r="AG350" s="473"/>
      <c r="AH350" s="473"/>
      <c r="AI350" s="473"/>
      <c r="AJ350" s="475"/>
      <c r="AK350" s="476"/>
      <c r="AL350" s="473"/>
      <c r="AM350" s="473"/>
      <c r="AN350" s="473"/>
      <c r="AO350" s="473"/>
      <c r="AP350" s="473"/>
      <c r="AQ350" s="473"/>
      <c r="AR350" s="473"/>
      <c r="AS350" s="475"/>
      <c r="AT350" s="477"/>
      <c r="AU350" s="471" t="s">
        <v>845</v>
      </c>
      <c r="AV350" s="478">
        <f>SQRT(($R350-Infrastructure!J$3)^2+($S350-Infrastructure!K$3)^2)</f>
        <v>28.90155705</v>
      </c>
      <c r="AW350" s="479">
        <f>SQRT(($R350-Infrastructure!J$4)^2+($S350-Infrastructure!K$4)^2)</f>
        <v>17.80252791</v>
      </c>
      <c r="AX350" s="479">
        <f>SQRT(($R350-Infrastructure!J$5)^2+($S350-Infrastructure!K$5)^2)</f>
        <v>5.10881591</v>
      </c>
      <c r="AY350" s="479">
        <f>SQRT(($R350-Infrastructure!J$6)^2+($S350-Infrastructure!K$6)^2)</f>
        <v>10.10445446</v>
      </c>
      <c r="AZ350" s="479">
        <f>SQRT(($R350-Infrastructure!J$7)^2+($S350-Infrastructure!K$7)^2)</f>
        <v>20.502195</v>
      </c>
      <c r="BA350" s="479">
        <f>SQRT(($R350-Infrastructure!J$8)^2+($S350-Infrastructure!K$8)^2)</f>
        <v>30.10149498</v>
      </c>
      <c r="BB350" s="479">
        <f>SQRT(($R350-Infrastructure!J$9)^2+($S350-Infrastructure!K$9)^2)</f>
        <v>40.3238143</v>
      </c>
      <c r="BC350" s="479">
        <f>SQRT(($R350-Infrastructure!J$10)^2+($S350-Infrastructure!K$10)^2)</f>
        <v>42.72001873</v>
      </c>
      <c r="BD350" s="473"/>
      <c r="BE350" s="467"/>
      <c r="BF350" s="478">
        <f t="shared" si="14"/>
        <v>5.10881591</v>
      </c>
      <c r="BG350" s="480">
        <f t="shared" si="15"/>
        <v>42.72001873</v>
      </c>
      <c r="BH350" s="481"/>
      <c r="BI350" s="464"/>
      <c r="BJ350" s="473"/>
      <c r="BK350" s="473"/>
      <c r="BL350" s="473"/>
      <c r="BM350" s="473"/>
      <c r="BN350" s="473"/>
      <c r="BO350" s="473"/>
      <c r="BP350" s="473"/>
      <c r="BQ350" s="473"/>
      <c r="BR350" s="467"/>
      <c r="BS350" s="478"/>
      <c r="BT350" s="479"/>
      <c r="BU350" s="479"/>
      <c r="BV350" s="480"/>
      <c r="BW350" s="478"/>
      <c r="BX350" s="479"/>
      <c r="BY350" s="479"/>
      <c r="BZ350" s="482"/>
      <c r="CA350" s="464"/>
      <c r="CB350" s="473"/>
      <c r="CC350" s="473"/>
      <c r="CD350" s="473"/>
      <c r="CE350" s="473"/>
      <c r="CF350" s="473"/>
      <c r="CG350" s="473"/>
      <c r="CH350" s="473"/>
      <c r="CI350" s="473"/>
      <c r="CJ350" s="475"/>
      <c r="CK350" s="483">
        <f t="shared" si="18"/>
        <v>0</v>
      </c>
      <c r="CL350" s="480">
        <f t="shared" si="19"/>
        <v>0</v>
      </c>
      <c r="CM350" s="484" t="s">
        <v>1128</v>
      </c>
      <c r="CN350" s="485"/>
      <c r="CO350" s="485"/>
      <c r="CP350" s="485"/>
    </row>
    <row r="351">
      <c r="B351" s="316"/>
      <c r="C351" s="417">
        <v>43754.0</v>
      </c>
      <c r="D351" s="319" t="s">
        <v>1125</v>
      </c>
      <c r="E351" s="319">
        <v>38.0</v>
      </c>
      <c r="F351" s="332"/>
      <c r="G351" s="321">
        <v>0.47118055555555555</v>
      </c>
      <c r="H351" s="323">
        <v>0.471875</v>
      </c>
      <c r="I351" s="323"/>
      <c r="J351" s="323"/>
      <c r="K351" s="323">
        <v>0.4732638888888889</v>
      </c>
      <c r="L351" s="322">
        <f t="shared" si="7"/>
        <v>0.002083333333</v>
      </c>
      <c r="M351" s="319" t="s">
        <v>166</v>
      </c>
      <c r="N351" s="324" t="s">
        <v>187</v>
      </c>
      <c r="O351" s="419" t="s">
        <v>207</v>
      </c>
      <c r="P351" s="319" t="s">
        <v>242</v>
      </c>
      <c r="Q351" s="318"/>
      <c r="R351" s="326">
        <v>25.8</v>
      </c>
      <c r="S351" s="319">
        <v>13.5</v>
      </c>
      <c r="T351" s="332"/>
      <c r="U351" s="319">
        <v>3.8</v>
      </c>
      <c r="V351" s="319"/>
      <c r="W351" s="319"/>
      <c r="X351" s="319"/>
      <c r="Y351" s="319"/>
      <c r="Z351" s="319" t="s">
        <v>374</v>
      </c>
      <c r="AA351" s="319"/>
      <c r="AB351" s="318"/>
      <c r="AC351" s="327">
        <v>10.0</v>
      </c>
      <c r="AD351" s="319"/>
      <c r="AE351" s="319"/>
      <c r="AF351" s="319"/>
      <c r="AG351" s="319"/>
      <c r="AH351" s="319"/>
      <c r="AI351" s="319"/>
      <c r="AJ351" s="327"/>
      <c r="AK351" s="328"/>
      <c r="AL351" s="319"/>
      <c r="AM351" s="319"/>
      <c r="AN351" s="319"/>
      <c r="AO351" s="319"/>
      <c r="AP351" s="319"/>
      <c r="AQ351" s="319"/>
      <c r="AR351" s="319"/>
      <c r="AS351" s="327"/>
      <c r="AT351" s="461" t="s">
        <v>182</v>
      </c>
      <c r="AU351" s="324" t="s">
        <v>845</v>
      </c>
      <c r="AV351" s="330">
        <f>SQRT(($R351-Infrastructure!J$3)^2+($S351-Infrastructure!K$3)^2)</f>
        <v>30.30462011</v>
      </c>
      <c r="AW351" s="331">
        <f>SQRT(($R351-Infrastructure!J$4)^2+($S351-Infrastructure!K$4)^2)</f>
        <v>26.45184304</v>
      </c>
      <c r="AX351" s="331">
        <f>SQRT(($R351-Infrastructure!J$5)^2+($S351-Infrastructure!K$5)^2)</f>
        <v>27.41842446</v>
      </c>
      <c r="AY351" s="331">
        <f>SQRT(($R351-Infrastructure!J$6)^2+($S351-Infrastructure!K$6)^2)</f>
        <v>20.51170398</v>
      </c>
      <c r="AZ351" s="331">
        <f>SQRT(($R351-Infrastructure!J$7)^2+($S351-Infrastructure!K$7)^2)</f>
        <v>14.22427503</v>
      </c>
      <c r="BA351" s="331">
        <f>SQRT(($R351-Infrastructure!J$8)^2+($S351-Infrastructure!K$8)^2)</f>
        <v>13.88272308</v>
      </c>
      <c r="BB351" s="331">
        <f>SQRT(($R351-Infrastructure!J$9)^2+($S351-Infrastructure!K$9)^2)</f>
        <v>16.49848478</v>
      </c>
      <c r="BC351" s="331">
        <f>SQRT(($R351-Infrastructure!J$10)^2+($S351-Infrastructure!K$10)^2)</f>
        <v>14.27900557</v>
      </c>
      <c r="BD351" s="318"/>
      <c r="BE351" s="332"/>
      <c r="BF351" s="330">
        <f t="shared" si="14"/>
        <v>13.88272308</v>
      </c>
      <c r="BG351" s="333">
        <f t="shared" si="15"/>
        <v>30.30462011</v>
      </c>
      <c r="BH351" s="334"/>
      <c r="BI351" s="316"/>
      <c r="BJ351" s="318"/>
      <c r="BK351" s="318"/>
      <c r="BL351" s="318"/>
      <c r="BM351" s="318"/>
      <c r="BN351" s="318"/>
      <c r="BO351" s="318"/>
      <c r="BP351" s="318"/>
      <c r="BQ351" s="338"/>
      <c r="BR351" s="420"/>
      <c r="BS351" s="330"/>
      <c r="BT351" s="331"/>
      <c r="BU351" s="331"/>
      <c r="BV351" s="333"/>
      <c r="BW351" s="330"/>
      <c r="BX351" s="331"/>
      <c r="BY351" s="331"/>
      <c r="BZ351" s="340"/>
      <c r="CA351" s="316"/>
      <c r="CB351" s="318"/>
      <c r="CC351" s="318"/>
      <c r="CD351" s="318"/>
      <c r="CE351" s="318"/>
      <c r="CF351" s="318"/>
      <c r="CG351" s="318"/>
      <c r="CH351" s="318"/>
      <c r="CI351" s="338"/>
      <c r="CJ351" s="341"/>
      <c r="CK351" s="342">
        <f t="shared" si="18"/>
        <v>0</v>
      </c>
      <c r="CL351" s="333">
        <f t="shared" si="19"/>
        <v>0</v>
      </c>
      <c r="CM351" s="421" t="s">
        <v>1129</v>
      </c>
      <c r="CN351" s="416"/>
      <c r="CO351" s="416"/>
      <c r="CP351" s="416"/>
    </row>
    <row r="352">
      <c r="B352" s="316"/>
      <c r="C352" s="417">
        <v>43754.0</v>
      </c>
      <c r="D352" s="319" t="s">
        <v>1131</v>
      </c>
      <c r="E352" s="319">
        <v>39.0</v>
      </c>
      <c r="F352" s="332"/>
      <c r="G352" s="321">
        <v>0.47638888888888886</v>
      </c>
      <c r="H352" s="323">
        <v>0.47760416666666666</v>
      </c>
      <c r="I352" s="323"/>
      <c r="J352" s="323"/>
      <c r="K352" s="323">
        <v>0.47899305555555555</v>
      </c>
      <c r="L352" s="322">
        <f t="shared" si="7"/>
        <v>0.002604166667</v>
      </c>
      <c r="M352" s="319" t="s">
        <v>166</v>
      </c>
      <c r="N352" s="324" t="s">
        <v>187</v>
      </c>
      <c r="O352" s="419" t="s">
        <v>205</v>
      </c>
      <c r="P352" s="319" t="s">
        <v>245</v>
      </c>
      <c r="Q352" s="318"/>
      <c r="R352" s="326">
        <v>21.1</v>
      </c>
      <c r="S352" s="319">
        <v>5.3</v>
      </c>
      <c r="T352" s="332"/>
      <c r="U352" s="319">
        <v>3.0</v>
      </c>
      <c r="V352" s="319"/>
      <c r="W352" s="319"/>
      <c r="X352" s="319"/>
      <c r="Y352" s="319"/>
      <c r="Z352" s="319" t="s">
        <v>370</v>
      </c>
      <c r="AA352" s="319"/>
      <c r="AB352" s="318"/>
      <c r="AC352" s="327">
        <v>6.0</v>
      </c>
      <c r="AD352" s="319"/>
      <c r="AE352" s="319"/>
      <c r="AF352" s="319"/>
      <c r="AG352" s="319"/>
      <c r="AH352" s="319"/>
      <c r="AI352" s="319"/>
      <c r="AJ352" s="327"/>
      <c r="AK352" s="328"/>
      <c r="AL352" s="319"/>
      <c r="AM352" s="319"/>
      <c r="AN352" s="319"/>
      <c r="AO352" s="319"/>
      <c r="AP352" s="319"/>
      <c r="AQ352" s="319"/>
      <c r="AR352" s="319"/>
      <c r="AS352" s="327"/>
      <c r="AT352" s="461" t="s">
        <v>182</v>
      </c>
      <c r="AU352" s="324" t="s">
        <v>846</v>
      </c>
      <c r="AV352" s="330">
        <f>SQRT(($R352-Infrastructure!J$3)^2+($S352-Infrastructure!K$3)^2)</f>
        <v>31.85780909</v>
      </c>
      <c r="AW352" s="331">
        <f>SQRT(($R352-Infrastructure!J$4)^2+($S352-Infrastructure!K$4)^2)</f>
        <v>24.78326048</v>
      </c>
      <c r="AX352" s="331">
        <f>SQRT(($R352-Infrastructure!J$5)^2+($S352-Infrastructure!K$5)^2)</f>
        <v>21.40093456</v>
      </c>
      <c r="AY352" s="331">
        <f>SQRT(($R352-Infrastructure!J$6)^2+($S352-Infrastructure!K$6)^2)</f>
        <v>12.08304597</v>
      </c>
      <c r="AZ352" s="331">
        <f>SQRT(($R352-Infrastructure!J$7)^2+($S352-Infrastructure!K$7)^2)</f>
        <v>5.035871325</v>
      </c>
      <c r="BA352" s="331">
        <f>SQRT(($R352-Infrastructure!J$8)^2+($S352-Infrastructure!K$8)^2)</f>
        <v>10.29563014</v>
      </c>
      <c r="BB352" s="331">
        <f>SQRT(($R352-Infrastructure!J$9)^2+($S352-Infrastructure!K$9)^2)</f>
        <v>18.90105817</v>
      </c>
      <c r="BC352" s="331">
        <f>SQRT(($R352-Infrastructure!J$10)^2+($S352-Infrastructure!K$10)^2)</f>
        <v>21.24382263</v>
      </c>
      <c r="BD352" s="318"/>
      <c r="BE352" s="332"/>
      <c r="BF352" s="330">
        <f t="shared" si="14"/>
        <v>5.035871325</v>
      </c>
      <c r="BG352" s="333">
        <f t="shared" si="15"/>
        <v>31.85780909</v>
      </c>
      <c r="BH352" s="334"/>
      <c r="BI352" s="316"/>
      <c r="BJ352" s="318"/>
      <c r="BK352" s="318"/>
      <c r="BL352" s="318"/>
      <c r="BM352" s="318"/>
      <c r="BN352" s="318"/>
      <c r="BO352" s="318"/>
      <c r="BP352" s="318"/>
      <c r="BQ352" s="338"/>
      <c r="BR352" s="420"/>
      <c r="BS352" s="330"/>
      <c r="BT352" s="331"/>
      <c r="BU352" s="331"/>
      <c r="BV352" s="333"/>
      <c r="BW352" s="330"/>
      <c r="BX352" s="331"/>
      <c r="BY352" s="331"/>
      <c r="BZ352" s="340"/>
      <c r="CA352" s="316"/>
      <c r="CB352" s="318"/>
      <c r="CC352" s="318"/>
      <c r="CD352" s="318"/>
      <c r="CE352" s="318"/>
      <c r="CF352" s="318"/>
      <c r="CG352" s="318"/>
      <c r="CH352" s="318"/>
      <c r="CI352" s="338"/>
      <c r="CJ352" s="341"/>
      <c r="CK352" s="342">
        <f t="shared" si="18"/>
        <v>0</v>
      </c>
      <c r="CL352" s="333">
        <f t="shared" si="19"/>
        <v>0</v>
      </c>
      <c r="CM352" s="421" t="s">
        <v>1132</v>
      </c>
      <c r="CN352" s="416"/>
      <c r="CO352" s="416"/>
      <c r="CP352" s="416"/>
    </row>
    <row r="353">
      <c r="B353" s="316"/>
      <c r="C353" s="417">
        <v>43754.0</v>
      </c>
      <c r="D353" s="319" t="s">
        <v>1131</v>
      </c>
      <c r="E353" s="319">
        <v>39.0</v>
      </c>
      <c r="F353" s="332"/>
      <c r="G353" s="321">
        <v>0.47638888888888886</v>
      </c>
      <c r="H353" s="323">
        <v>0.47760416666666666</v>
      </c>
      <c r="I353" s="323"/>
      <c r="J353" s="323"/>
      <c r="K353" s="323">
        <v>0.47899305555555555</v>
      </c>
      <c r="L353" s="322">
        <f t="shared" si="7"/>
        <v>0.002604166667</v>
      </c>
      <c r="M353" s="319" t="s">
        <v>166</v>
      </c>
      <c r="N353" s="324" t="s">
        <v>187</v>
      </c>
      <c r="O353" s="419" t="s">
        <v>198</v>
      </c>
      <c r="P353" s="319" t="s">
        <v>301</v>
      </c>
      <c r="Q353" s="318"/>
      <c r="R353" s="326">
        <v>10.0</v>
      </c>
      <c r="S353" s="319">
        <v>11.7</v>
      </c>
      <c r="T353" s="332"/>
      <c r="U353" s="319">
        <v>6.2</v>
      </c>
      <c r="V353" s="319"/>
      <c r="W353" s="319"/>
      <c r="X353" s="319"/>
      <c r="Y353" s="319"/>
      <c r="Z353" s="319" t="s">
        <v>343</v>
      </c>
      <c r="AA353" s="319"/>
      <c r="AB353" s="318"/>
      <c r="AC353" s="327">
        <v>8.0</v>
      </c>
      <c r="AD353" s="319"/>
      <c r="AE353" s="319"/>
      <c r="AF353" s="319"/>
      <c r="AG353" s="319"/>
      <c r="AH353" s="319"/>
      <c r="AI353" s="319"/>
      <c r="AJ353" s="327"/>
      <c r="AK353" s="328"/>
      <c r="AL353" s="319"/>
      <c r="AM353" s="319"/>
      <c r="AN353" s="319"/>
      <c r="AO353" s="319"/>
      <c r="AP353" s="319"/>
      <c r="AQ353" s="319"/>
      <c r="AR353" s="319"/>
      <c r="AS353" s="327"/>
      <c r="AT353" s="461" t="s">
        <v>182</v>
      </c>
      <c r="AU353" s="324" t="s">
        <v>846</v>
      </c>
      <c r="AV353" s="330">
        <f>SQRT(($R353-Infrastructure!J$3)^2+($S353-Infrastructure!K$3)^2)</f>
        <v>20.04819194</v>
      </c>
      <c r="AW353" s="331">
        <f>SQRT(($R353-Infrastructure!J$4)^2+($S353-Infrastructure!K$4)^2)</f>
        <v>11.9707978</v>
      </c>
      <c r="AX353" s="331">
        <f>SQRT(($R353-Infrastructure!J$5)^2+($S353-Infrastructure!K$5)^2)</f>
        <v>12.23315168</v>
      </c>
      <c r="AY353" s="331">
        <f>SQRT(($R353-Infrastructure!J$6)^2+($S353-Infrastructure!K$6)^2)</f>
        <v>11.40043859</v>
      </c>
      <c r="AZ353" s="331">
        <f>SQRT(($R353-Infrastructure!J$7)^2+($S353-Infrastructure!K$7)^2)</f>
        <v>15.49870962</v>
      </c>
      <c r="BA353" s="331">
        <f>SQRT(($R353-Infrastructure!J$8)^2+($S353-Infrastructure!K$8)^2)</f>
        <v>23.10779089</v>
      </c>
      <c r="BB353" s="331">
        <f>SQRT(($R353-Infrastructure!J$9)^2+($S353-Infrastructure!K$9)^2)</f>
        <v>30.71742177</v>
      </c>
      <c r="BC353" s="331">
        <f>SQRT(($R353-Infrastructure!J$10)^2+($S353-Infrastructure!K$10)^2)</f>
        <v>30.18095426</v>
      </c>
      <c r="BD353" s="318"/>
      <c r="BE353" s="332"/>
      <c r="BF353" s="330">
        <f t="shared" si="14"/>
        <v>11.40043859</v>
      </c>
      <c r="BG353" s="333">
        <f t="shared" si="15"/>
        <v>30.71742177</v>
      </c>
      <c r="BH353" s="334"/>
      <c r="BI353" s="316"/>
      <c r="BJ353" s="318"/>
      <c r="BK353" s="318"/>
      <c r="BL353" s="318"/>
      <c r="BM353" s="318"/>
      <c r="BN353" s="318"/>
      <c r="BO353" s="318"/>
      <c r="BP353" s="318"/>
      <c r="BQ353" s="338"/>
      <c r="BR353" s="420"/>
      <c r="BS353" s="330"/>
      <c r="BT353" s="331"/>
      <c r="BU353" s="331"/>
      <c r="BV353" s="333"/>
      <c r="BW353" s="330"/>
      <c r="BX353" s="331"/>
      <c r="BY353" s="331"/>
      <c r="BZ353" s="340"/>
      <c r="CA353" s="316"/>
      <c r="CB353" s="318"/>
      <c r="CC353" s="318"/>
      <c r="CD353" s="318"/>
      <c r="CE353" s="318"/>
      <c r="CF353" s="318"/>
      <c r="CG353" s="318"/>
      <c r="CH353" s="318"/>
      <c r="CI353" s="338"/>
      <c r="CJ353" s="341"/>
      <c r="CK353" s="342">
        <f t="shared" si="18"/>
        <v>0</v>
      </c>
      <c r="CL353" s="333">
        <f t="shared" si="19"/>
        <v>0</v>
      </c>
      <c r="CM353" s="423"/>
      <c r="CN353" s="424"/>
      <c r="CO353" s="424"/>
      <c r="CP353" s="424"/>
    </row>
    <row r="354">
      <c r="B354" s="316"/>
      <c r="C354" s="417">
        <v>43754.0</v>
      </c>
      <c r="D354" s="319" t="s">
        <v>1125</v>
      </c>
      <c r="E354" s="319">
        <v>40.0</v>
      </c>
      <c r="F354" s="332"/>
      <c r="G354" s="321">
        <v>0.5458333333333333</v>
      </c>
      <c r="H354" s="323">
        <v>0.5461805555555556</v>
      </c>
      <c r="I354" s="323"/>
      <c r="J354" s="323"/>
      <c r="K354" s="323">
        <v>0.5475694444444444</v>
      </c>
      <c r="L354" s="322">
        <f t="shared" si="7"/>
        <v>0.001736111111</v>
      </c>
      <c r="M354" s="319" t="s">
        <v>166</v>
      </c>
      <c r="N354" s="324" t="s">
        <v>187</v>
      </c>
      <c r="O354" s="419" t="s">
        <v>200</v>
      </c>
      <c r="P354" s="319" t="s">
        <v>239</v>
      </c>
      <c r="Q354" s="318"/>
      <c r="R354" s="326">
        <v>17.0</v>
      </c>
      <c r="S354" s="319">
        <v>7.0</v>
      </c>
      <c r="T354" s="332"/>
      <c r="U354" s="319">
        <v>7.5</v>
      </c>
      <c r="V354" s="319"/>
      <c r="W354" s="319"/>
      <c r="X354" s="319"/>
      <c r="Y354" s="319"/>
      <c r="Z354" s="319" t="s">
        <v>318</v>
      </c>
      <c r="AA354" s="319"/>
      <c r="AB354" s="318"/>
      <c r="AC354" s="327">
        <v>5.0</v>
      </c>
      <c r="AD354" s="319"/>
      <c r="AE354" s="319"/>
      <c r="AF354" s="319"/>
      <c r="AG354" s="319"/>
      <c r="AH354" s="319"/>
      <c r="AI354" s="319"/>
      <c r="AJ354" s="327"/>
      <c r="AK354" s="328"/>
      <c r="AL354" s="319"/>
      <c r="AM354" s="319"/>
      <c r="AN354" s="319"/>
      <c r="AO354" s="319"/>
      <c r="AP354" s="319"/>
      <c r="AQ354" s="319"/>
      <c r="AR354" s="319"/>
      <c r="AS354" s="327"/>
      <c r="AT354" s="461" t="s">
        <v>182</v>
      </c>
      <c r="AU354" s="324" t="s">
        <v>845</v>
      </c>
      <c r="AV354" s="330">
        <f>SQRT(($R354-Infrastructure!J$3)^2+($S354-Infrastructure!K$3)^2)</f>
        <v>27.90877998</v>
      </c>
      <c r="AW354" s="331">
        <f>SQRT(($R354-Infrastructure!J$4)^2+($S354-Infrastructure!K$4)^2)</f>
        <v>20.39436197</v>
      </c>
      <c r="AX354" s="331">
        <f>SQRT(($R354-Infrastructure!J$5)^2+($S354-Infrastructure!K$5)^2)</f>
        <v>17.40402252</v>
      </c>
      <c r="AY354" s="331">
        <f>SQRT(($R354-Infrastructure!J$6)^2+($S354-Infrastructure!K$6)^2)</f>
        <v>9.617692031</v>
      </c>
      <c r="AZ354" s="331">
        <f>SQRT(($R354-Infrastructure!J$7)^2+($S354-Infrastructure!K$7)^2)</f>
        <v>7.559100476</v>
      </c>
      <c r="BA354" s="331">
        <f>SQRT(($R354-Infrastructure!J$8)^2+($S354-Infrastructure!K$8)^2)</f>
        <v>14.71393897</v>
      </c>
      <c r="BB354" s="331">
        <f>SQRT(($R354-Infrastructure!J$9)^2+($S354-Infrastructure!K$9)^2)</f>
        <v>23.07834483</v>
      </c>
      <c r="BC354" s="331">
        <f>SQRT(($R354-Infrastructure!J$10)^2+($S354-Infrastructure!K$10)^2)</f>
        <v>24.35159132</v>
      </c>
      <c r="BD354" s="318"/>
      <c r="BE354" s="332"/>
      <c r="BF354" s="330">
        <f t="shared" si="14"/>
        <v>7.559100476</v>
      </c>
      <c r="BG354" s="333">
        <f t="shared" si="15"/>
        <v>27.90877998</v>
      </c>
      <c r="BH354" s="334"/>
      <c r="BI354" s="316"/>
      <c r="BJ354" s="318"/>
      <c r="BK354" s="318"/>
      <c r="BL354" s="318"/>
      <c r="BM354" s="318"/>
      <c r="BN354" s="318"/>
      <c r="BO354" s="318"/>
      <c r="BP354" s="318"/>
      <c r="BQ354" s="338"/>
      <c r="BR354" s="420"/>
      <c r="BS354" s="330"/>
      <c r="BT354" s="331"/>
      <c r="BU354" s="331"/>
      <c r="BV354" s="333"/>
      <c r="BW354" s="330"/>
      <c r="BX354" s="331"/>
      <c r="BY354" s="331"/>
      <c r="BZ354" s="340"/>
      <c r="CA354" s="316"/>
      <c r="CB354" s="318"/>
      <c r="CC354" s="318"/>
      <c r="CD354" s="318"/>
      <c r="CE354" s="318"/>
      <c r="CF354" s="318"/>
      <c r="CG354" s="318"/>
      <c r="CH354" s="318"/>
      <c r="CI354" s="338"/>
      <c r="CJ354" s="341"/>
      <c r="CK354" s="342">
        <f t="shared" si="18"/>
        <v>0</v>
      </c>
      <c r="CL354" s="333">
        <f t="shared" si="19"/>
        <v>0</v>
      </c>
      <c r="CM354" s="421" t="s">
        <v>1126</v>
      </c>
      <c r="CN354" s="416"/>
      <c r="CO354" s="416"/>
      <c r="CP354" s="416"/>
    </row>
    <row r="355">
      <c r="B355" s="316"/>
      <c r="C355" s="417">
        <v>43754.0</v>
      </c>
      <c r="D355" s="319" t="s">
        <v>1136</v>
      </c>
      <c r="E355" s="319">
        <v>41.0</v>
      </c>
      <c r="F355" s="332"/>
      <c r="G355" s="321">
        <v>0.5510416666666667</v>
      </c>
      <c r="H355" s="323">
        <v>0.5524305555555555</v>
      </c>
      <c r="I355" s="323"/>
      <c r="J355" s="323"/>
      <c r="K355" s="323">
        <v>0.553125</v>
      </c>
      <c r="L355" s="322">
        <f t="shared" si="7"/>
        <v>0.002083333333</v>
      </c>
      <c r="M355" s="319" t="s">
        <v>166</v>
      </c>
      <c r="N355" s="324" t="s">
        <v>187</v>
      </c>
      <c r="O355" s="419" t="s">
        <v>201</v>
      </c>
      <c r="P355" s="319" t="s">
        <v>243</v>
      </c>
      <c r="Q355" s="318"/>
      <c r="R355" s="326">
        <v>10.0</v>
      </c>
      <c r="S355" s="319">
        <v>5.0</v>
      </c>
      <c r="T355" s="332"/>
      <c r="U355" s="319">
        <v>4.0</v>
      </c>
      <c r="V355" s="319"/>
      <c r="W355" s="319"/>
      <c r="X355" s="319"/>
      <c r="Y355" s="319"/>
      <c r="Z355" s="319" t="s">
        <v>1095</v>
      </c>
      <c r="AA355" s="319"/>
      <c r="AB355" s="318"/>
      <c r="AC355" s="463"/>
      <c r="AD355" s="318"/>
      <c r="AE355" s="318"/>
      <c r="AF355" s="318"/>
      <c r="AG355" s="318"/>
      <c r="AH355" s="318"/>
      <c r="AI355" s="318"/>
      <c r="AJ355" s="463"/>
      <c r="AK355" s="487"/>
      <c r="AL355" s="318"/>
      <c r="AM355" s="318"/>
      <c r="AN355" s="318"/>
      <c r="AO355" s="318"/>
      <c r="AP355" s="318"/>
      <c r="AQ355" s="318"/>
      <c r="AR355" s="318"/>
      <c r="AS355" s="463"/>
      <c r="AT355" s="461" t="s">
        <v>182</v>
      </c>
      <c r="AU355" s="324" t="s">
        <v>845</v>
      </c>
      <c r="AV355" s="330">
        <f>SQRT(($R355-Infrastructure!J$3)^2+($S355-Infrastructure!K$3)^2)</f>
        <v>26.02498799</v>
      </c>
      <c r="AW355" s="331">
        <f>SQRT(($R355-Infrastructure!J$4)^2+($S355-Infrastructure!K$4)^2)</f>
        <v>16.42954655</v>
      </c>
      <c r="AX355" s="331">
        <f>SQRT(($R355-Infrastructure!J$5)^2+($S355-Infrastructure!K$5)^2)</f>
        <v>10.30048543</v>
      </c>
      <c r="AY355" s="331">
        <f>SQRT(($R355-Infrastructure!J$6)^2+($S355-Infrastructure!K$6)^2)</f>
        <v>4.701063709</v>
      </c>
      <c r="AZ355" s="331">
        <f>SQRT(($R355-Infrastructure!J$7)^2+($S355-Infrastructure!K$7)^2)</f>
        <v>11.50391238</v>
      </c>
      <c r="BA355" s="331">
        <f>SQRT(($R355-Infrastructure!J$8)^2+($S355-Infrastructure!K$8)^2)</f>
        <v>20.64218981</v>
      </c>
      <c r="BB355" s="331">
        <f>SQRT(($R355-Infrastructure!J$9)^2+($S355-Infrastructure!K$9)^2)</f>
        <v>30.00016667</v>
      </c>
      <c r="BC355" s="331">
        <f>SQRT(($R355-Infrastructure!J$10)^2+($S355-Infrastructure!K$10)^2)</f>
        <v>31.6227766</v>
      </c>
      <c r="BD355" s="318"/>
      <c r="BE355" s="332"/>
      <c r="BF355" s="330">
        <f t="shared" si="14"/>
        <v>4.701063709</v>
      </c>
      <c r="BG355" s="333">
        <f t="shared" si="15"/>
        <v>31.6227766</v>
      </c>
      <c r="BH355" s="334"/>
      <c r="BI355" s="316"/>
      <c r="BJ355" s="318"/>
      <c r="BK355" s="318"/>
      <c r="BL355" s="318"/>
      <c r="BM355" s="318"/>
      <c r="BN355" s="318"/>
      <c r="BO355" s="318"/>
      <c r="BP355" s="318"/>
      <c r="BQ355" s="338"/>
      <c r="BR355" s="420"/>
      <c r="BS355" s="330"/>
      <c r="BT355" s="331"/>
      <c r="BU355" s="331"/>
      <c r="BV355" s="333"/>
      <c r="BW355" s="330"/>
      <c r="BX355" s="331"/>
      <c r="BY355" s="331"/>
      <c r="BZ355" s="340"/>
      <c r="CA355" s="316"/>
      <c r="CB355" s="318"/>
      <c r="CC355" s="318"/>
      <c r="CD355" s="318"/>
      <c r="CE355" s="318"/>
      <c r="CF355" s="318"/>
      <c r="CG355" s="318"/>
      <c r="CH355" s="318"/>
      <c r="CI355" s="338"/>
      <c r="CJ355" s="341"/>
      <c r="CK355" s="342">
        <f t="shared" si="18"/>
        <v>0</v>
      </c>
      <c r="CL355" s="333">
        <f t="shared" si="19"/>
        <v>0</v>
      </c>
      <c r="CM355" s="421" t="s">
        <v>1146</v>
      </c>
      <c r="CN355" s="416"/>
      <c r="CO355" s="416"/>
      <c r="CP355" s="416"/>
    </row>
    <row r="356">
      <c r="B356" s="316"/>
      <c r="C356" s="417">
        <v>43754.0</v>
      </c>
      <c r="D356" s="319" t="s">
        <v>1136</v>
      </c>
      <c r="E356" s="319">
        <v>41.0</v>
      </c>
      <c r="F356" s="332"/>
      <c r="G356" s="321">
        <v>0.5534722222222223</v>
      </c>
      <c r="H356" s="323">
        <v>0.5536458333333333</v>
      </c>
      <c r="I356" s="323"/>
      <c r="J356" s="323"/>
      <c r="K356" s="323">
        <v>0.5543402777777777</v>
      </c>
      <c r="L356" s="322">
        <f t="shared" si="7"/>
        <v>0.0008680555556</v>
      </c>
      <c r="M356" s="319" t="s">
        <v>166</v>
      </c>
      <c r="N356" s="324" t="s">
        <v>187</v>
      </c>
      <c r="O356" s="419" t="s">
        <v>201</v>
      </c>
      <c r="P356" s="318"/>
      <c r="Q356" s="318"/>
      <c r="R356" s="326">
        <v>10.0</v>
      </c>
      <c r="S356" s="319">
        <v>5.0</v>
      </c>
      <c r="T356" s="332"/>
      <c r="U356" s="319">
        <v>7.25</v>
      </c>
      <c r="V356" s="319"/>
      <c r="W356" s="319"/>
      <c r="X356" s="319"/>
      <c r="Y356" s="319"/>
      <c r="Z356" s="319" t="s">
        <v>1095</v>
      </c>
      <c r="AA356" s="319"/>
      <c r="AB356" s="318"/>
      <c r="AC356" s="463"/>
      <c r="AD356" s="318"/>
      <c r="AE356" s="318"/>
      <c r="AF356" s="318"/>
      <c r="AG356" s="318"/>
      <c r="AH356" s="318"/>
      <c r="AI356" s="318"/>
      <c r="AJ356" s="463"/>
      <c r="AK356" s="487"/>
      <c r="AL356" s="318"/>
      <c r="AM356" s="318"/>
      <c r="AN356" s="318"/>
      <c r="AO356" s="318"/>
      <c r="AP356" s="318"/>
      <c r="AQ356" s="318"/>
      <c r="AR356" s="318"/>
      <c r="AS356" s="463"/>
      <c r="AT356" s="461" t="s">
        <v>182</v>
      </c>
      <c r="AU356" s="324" t="s">
        <v>845</v>
      </c>
      <c r="AV356" s="330">
        <f>SQRT(($R356-Infrastructure!J$3)^2+($S356-Infrastructure!K$3)^2)</f>
        <v>26.02498799</v>
      </c>
      <c r="AW356" s="331">
        <f>SQRT(($R356-Infrastructure!J$4)^2+($S356-Infrastructure!K$4)^2)</f>
        <v>16.42954655</v>
      </c>
      <c r="AX356" s="331">
        <f>SQRT(($R356-Infrastructure!J$5)^2+($S356-Infrastructure!K$5)^2)</f>
        <v>10.30048543</v>
      </c>
      <c r="AY356" s="331">
        <f>SQRT(($R356-Infrastructure!J$6)^2+($S356-Infrastructure!K$6)^2)</f>
        <v>4.701063709</v>
      </c>
      <c r="AZ356" s="331">
        <f>SQRT(($R356-Infrastructure!J$7)^2+($S356-Infrastructure!K$7)^2)</f>
        <v>11.50391238</v>
      </c>
      <c r="BA356" s="331">
        <f>SQRT(($R356-Infrastructure!J$8)^2+($S356-Infrastructure!K$8)^2)</f>
        <v>20.64218981</v>
      </c>
      <c r="BB356" s="331">
        <f>SQRT(($R356-Infrastructure!J$9)^2+($S356-Infrastructure!K$9)^2)</f>
        <v>30.00016667</v>
      </c>
      <c r="BC356" s="331">
        <f>SQRT(($R356-Infrastructure!J$10)^2+($S356-Infrastructure!K$10)^2)</f>
        <v>31.6227766</v>
      </c>
      <c r="BD356" s="318"/>
      <c r="BE356" s="332"/>
      <c r="BF356" s="330">
        <f t="shared" si="14"/>
        <v>4.701063709</v>
      </c>
      <c r="BG356" s="333">
        <f t="shared" si="15"/>
        <v>31.6227766</v>
      </c>
      <c r="BH356" s="334"/>
      <c r="BI356" s="316"/>
      <c r="BJ356" s="318"/>
      <c r="BK356" s="318"/>
      <c r="BL356" s="318"/>
      <c r="BM356" s="318"/>
      <c r="BN356" s="318"/>
      <c r="BO356" s="318"/>
      <c r="BP356" s="318"/>
      <c r="BQ356" s="338"/>
      <c r="BR356" s="420"/>
      <c r="BS356" s="330"/>
      <c r="BT356" s="331"/>
      <c r="BU356" s="331"/>
      <c r="BV356" s="333"/>
      <c r="BW356" s="330"/>
      <c r="BX356" s="331"/>
      <c r="BY356" s="331"/>
      <c r="BZ356" s="340"/>
      <c r="CA356" s="316"/>
      <c r="CB356" s="318"/>
      <c r="CC356" s="318"/>
      <c r="CD356" s="318"/>
      <c r="CE356" s="318"/>
      <c r="CF356" s="318"/>
      <c r="CG356" s="318"/>
      <c r="CH356" s="318"/>
      <c r="CI356" s="338"/>
      <c r="CJ356" s="341"/>
      <c r="CK356" s="342">
        <f t="shared" si="18"/>
        <v>0</v>
      </c>
      <c r="CL356" s="333">
        <f t="shared" si="19"/>
        <v>0</v>
      </c>
      <c r="CM356" s="421" t="s">
        <v>1138</v>
      </c>
      <c r="CN356" s="416"/>
      <c r="CO356" s="416"/>
      <c r="CP356" s="416"/>
    </row>
    <row r="357">
      <c r="B357" s="316"/>
      <c r="C357" s="417">
        <v>43754.0</v>
      </c>
      <c r="D357" s="319" t="s">
        <v>1136</v>
      </c>
      <c r="E357" s="319">
        <v>41.0</v>
      </c>
      <c r="F357" s="332"/>
      <c r="G357" s="321">
        <v>0.5543402777777777</v>
      </c>
      <c r="H357" s="323">
        <v>0.5555555555555556</v>
      </c>
      <c r="I357" s="323"/>
      <c r="J357" s="323"/>
      <c r="K357" s="323">
        <v>0.55625</v>
      </c>
      <c r="L357" s="322">
        <f t="shared" si="7"/>
        <v>0.001909722222</v>
      </c>
      <c r="M357" s="319" t="s">
        <v>166</v>
      </c>
      <c r="N357" s="324" t="s">
        <v>187</v>
      </c>
      <c r="O357" s="419" t="s">
        <v>201</v>
      </c>
      <c r="P357" s="318"/>
      <c r="Q357" s="318"/>
      <c r="R357" s="326">
        <v>10.0</v>
      </c>
      <c r="S357" s="319">
        <v>5.0</v>
      </c>
      <c r="T357" s="332"/>
      <c r="U357" s="319">
        <v>3.0</v>
      </c>
      <c r="V357" s="319"/>
      <c r="W357" s="319"/>
      <c r="X357" s="319"/>
      <c r="Y357" s="319"/>
      <c r="Z357" s="319" t="s">
        <v>1095</v>
      </c>
      <c r="AA357" s="319"/>
      <c r="AB357" s="318"/>
      <c r="AC357" s="463"/>
      <c r="AD357" s="318"/>
      <c r="AE357" s="318"/>
      <c r="AF357" s="318"/>
      <c r="AG357" s="318"/>
      <c r="AH357" s="318"/>
      <c r="AI357" s="318"/>
      <c r="AJ357" s="463"/>
      <c r="AK357" s="487"/>
      <c r="AL357" s="318"/>
      <c r="AM357" s="318"/>
      <c r="AN357" s="318"/>
      <c r="AO357" s="318"/>
      <c r="AP357" s="318"/>
      <c r="AQ357" s="318"/>
      <c r="AR357" s="318"/>
      <c r="AS357" s="463"/>
      <c r="AT357" s="461" t="s">
        <v>182</v>
      </c>
      <c r="AU357" s="324" t="s">
        <v>845</v>
      </c>
      <c r="AV357" s="330">
        <f>SQRT(($R357-Infrastructure!J$3)^2+($S357-Infrastructure!K$3)^2)</f>
        <v>26.02498799</v>
      </c>
      <c r="AW357" s="331">
        <f>SQRT(($R357-Infrastructure!J$4)^2+($S357-Infrastructure!K$4)^2)</f>
        <v>16.42954655</v>
      </c>
      <c r="AX357" s="331">
        <f>SQRT(($R357-Infrastructure!J$5)^2+($S357-Infrastructure!K$5)^2)</f>
        <v>10.30048543</v>
      </c>
      <c r="AY357" s="331">
        <f>SQRT(($R357-Infrastructure!J$6)^2+($S357-Infrastructure!K$6)^2)</f>
        <v>4.701063709</v>
      </c>
      <c r="AZ357" s="331">
        <f>SQRT(($R357-Infrastructure!J$7)^2+($S357-Infrastructure!K$7)^2)</f>
        <v>11.50391238</v>
      </c>
      <c r="BA357" s="331">
        <f>SQRT(($R357-Infrastructure!J$8)^2+($S357-Infrastructure!K$8)^2)</f>
        <v>20.64218981</v>
      </c>
      <c r="BB357" s="331">
        <f>SQRT(($R357-Infrastructure!J$9)^2+($S357-Infrastructure!K$9)^2)</f>
        <v>30.00016667</v>
      </c>
      <c r="BC357" s="331">
        <f>SQRT(($R357-Infrastructure!J$10)^2+($S357-Infrastructure!K$10)^2)</f>
        <v>31.6227766</v>
      </c>
      <c r="BD357" s="318"/>
      <c r="BE357" s="332"/>
      <c r="BF357" s="330">
        <f t="shared" si="14"/>
        <v>4.701063709</v>
      </c>
      <c r="BG357" s="333">
        <f t="shared" si="15"/>
        <v>31.6227766</v>
      </c>
      <c r="BH357" s="334"/>
      <c r="BI357" s="316"/>
      <c r="BJ357" s="318"/>
      <c r="BK357" s="318"/>
      <c r="BL357" s="318"/>
      <c r="BM357" s="318"/>
      <c r="BN357" s="318"/>
      <c r="BO357" s="318"/>
      <c r="BP357" s="318"/>
      <c r="BQ357" s="338"/>
      <c r="BR357" s="420"/>
      <c r="BS357" s="330"/>
      <c r="BT357" s="331"/>
      <c r="BU357" s="331"/>
      <c r="BV357" s="333"/>
      <c r="BW357" s="330"/>
      <c r="BX357" s="331"/>
      <c r="BY357" s="331"/>
      <c r="BZ357" s="340"/>
      <c r="CA357" s="316"/>
      <c r="CB357" s="318"/>
      <c r="CC357" s="318"/>
      <c r="CD357" s="318"/>
      <c r="CE357" s="318"/>
      <c r="CF357" s="318"/>
      <c r="CG357" s="318"/>
      <c r="CH357" s="318"/>
      <c r="CI357" s="338"/>
      <c r="CJ357" s="341"/>
      <c r="CK357" s="342">
        <f t="shared" si="18"/>
        <v>0</v>
      </c>
      <c r="CL357" s="333">
        <f t="shared" si="19"/>
        <v>0</v>
      </c>
      <c r="CM357" s="423"/>
      <c r="CN357" s="424"/>
      <c r="CO357" s="424"/>
      <c r="CP357" s="424"/>
    </row>
    <row r="358">
      <c r="B358" s="316"/>
      <c r="C358" s="417">
        <v>43754.0</v>
      </c>
      <c r="D358" s="319" t="s">
        <v>1136</v>
      </c>
      <c r="E358" s="319">
        <v>41.0</v>
      </c>
      <c r="F358" s="332"/>
      <c r="G358" s="321">
        <v>0.55625</v>
      </c>
      <c r="H358" s="323">
        <v>0.5567708333333333</v>
      </c>
      <c r="I358" s="323"/>
      <c r="J358" s="323"/>
      <c r="K358" s="323">
        <v>0.5574652777777778</v>
      </c>
      <c r="L358" s="322">
        <f t="shared" si="7"/>
        <v>0.001215277778</v>
      </c>
      <c r="M358" s="319" t="s">
        <v>166</v>
      </c>
      <c r="N358" s="324" t="s">
        <v>187</v>
      </c>
      <c r="O358" s="419" t="s">
        <v>201</v>
      </c>
      <c r="P358" s="318"/>
      <c r="Q358" s="318"/>
      <c r="R358" s="326">
        <v>10.0</v>
      </c>
      <c r="S358" s="319">
        <v>5.0</v>
      </c>
      <c r="T358" s="332"/>
      <c r="U358" s="319">
        <v>5.0</v>
      </c>
      <c r="V358" s="319"/>
      <c r="W358" s="319"/>
      <c r="X358" s="319"/>
      <c r="Y358" s="319"/>
      <c r="Z358" s="319" t="s">
        <v>1095</v>
      </c>
      <c r="AA358" s="319"/>
      <c r="AB358" s="318"/>
      <c r="AC358" s="463"/>
      <c r="AD358" s="318"/>
      <c r="AE358" s="318"/>
      <c r="AF358" s="318"/>
      <c r="AG358" s="318"/>
      <c r="AH358" s="318"/>
      <c r="AI358" s="318"/>
      <c r="AJ358" s="463"/>
      <c r="AK358" s="487"/>
      <c r="AL358" s="318"/>
      <c r="AM358" s="318"/>
      <c r="AN358" s="318"/>
      <c r="AO358" s="318"/>
      <c r="AP358" s="318"/>
      <c r="AQ358" s="318"/>
      <c r="AR358" s="318"/>
      <c r="AS358" s="463"/>
      <c r="AT358" s="461" t="s">
        <v>182</v>
      </c>
      <c r="AU358" s="324" t="s">
        <v>845</v>
      </c>
      <c r="AV358" s="330">
        <f>SQRT(($R358-Infrastructure!J$3)^2+($S358-Infrastructure!K$3)^2)</f>
        <v>26.02498799</v>
      </c>
      <c r="AW358" s="331">
        <f>SQRT(($R358-Infrastructure!J$4)^2+($S358-Infrastructure!K$4)^2)</f>
        <v>16.42954655</v>
      </c>
      <c r="AX358" s="331">
        <f>SQRT(($R358-Infrastructure!J$5)^2+($S358-Infrastructure!K$5)^2)</f>
        <v>10.30048543</v>
      </c>
      <c r="AY358" s="331">
        <f>SQRT(($R358-Infrastructure!J$6)^2+($S358-Infrastructure!K$6)^2)</f>
        <v>4.701063709</v>
      </c>
      <c r="AZ358" s="331">
        <f>SQRT(($R358-Infrastructure!J$7)^2+($S358-Infrastructure!K$7)^2)</f>
        <v>11.50391238</v>
      </c>
      <c r="BA358" s="331">
        <f>SQRT(($R358-Infrastructure!J$8)^2+($S358-Infrastructure!K$8)^2)</f>
        <v>20.64218981</v>
      </c>
      <c r="BB358" s="331">
        <f>SQRT(($R358-Infrastructure!J$9)^2+($S358-Infrastructure!K$9)^2)</f>
        <v>30.00016667</v>
      </c>
      <c r="BC358" s="331">
        <f>SQRT(($R358-Infrastructure!J$10)^2+($S358-Infrastructure!K$10)^2)</f>
        <v>31.6227766</v>
      </c>
      <c r="BD358" s="318"/>
      <c r="BE358" s="332"/>
      <c r="BF358" s="330">
        <f t="shared" si="14"/>
        <v>4.701063709</v>
      </c>
      <c r="BG358" s="333">
        <f t="shared" si="15"/>
        <v>31.6227766</v>
      </c>
      <c r="BH358" s="334"/>
      <c r="BI358" s="316"/>
      <c r="BJ358" s="318"/>
      <c r="BK358" s="318"/>
      <c r="BL358" s="318"/>
      <c r="BM358" s="318"/>
      <c r="BN358" s="318"/>
      <c r="BO358" s="318"/>
      <c r="BP358" s="318"/>
      <c r="BQ358" s="338"/>
      <c r="BR358" s="420"/>
      <c r="BS358" s="330"/>
      <c r="BT358" s="331"/>
      <c r="BU358" s="331"/>
      <c r="BV358" s="333"/>
      <c r="BW358" s="330"/>
      <c r="BX358" s="331"/>
      <c r="BY358" s="331"/>
      <c r="BZ358" s="340"/>
      <c r="CA358" s="316"/>
      <c r="CB358" s="318"/>
      <c r="CC358" s="318"/>
      <c r="CD358" s="318"/>
      <c r="CE358" s="318"/>
      <c r="CF358" s="318"/>
      <c r="CG358" s="318"/>
      <c r="CH358" s="318"/>
      <c r="CI358" s="338"/>
      <c r="CJ358" s="341"/>
      <c r="CK358" s="342">
        <f t="shared" si="18"/>
        <v>0</v>
      </c>
      <c r="CL358" s="333">
        <f t="shared" si="19"/>
        <v>0</v>
      </c>
      <c r="CM358" s="423"/>
      <c r="CN358" s="424"/>
      <c r="CO358" s="424"/>
      <c r="CP358" s="424"/>
    </row>
    <row r="359">
      <c r="B359" s="316"/>
      <c r="C359" s="417">
        <v>43754.0</v>
      </c>
      <c r="D359" s="319" t="s">
        <v>1125</v>
      </c>
      <c r="E359" s="319">
        <v>42.0</v>
      </c>
      <c r="F359" s="332"/>
      <c r="G359" s="321">
        <v>0.5604166666666667</v>
      </c>
      <c r="H359" s="323">
        <v>0.5605902777777778</v>
      </c>
      <c r="I359" s="323"/>
      <c r="J359" s="323"/>
      <c r="K359" s="323">
        <v>0.5619791666666667</v>
      </c>
      <c r="L359" s="322">
        <f t="shared" si="7"/>
        <v>0.0015625</v>
      </c>
      <c r="M359" s="319" t="s">
        <v>166</v>
      </c>
      <c r="N359" s="324" t="s">
        <v>187</v>
      </c>
      <c r="O359" s="419" t="s">
        <v>200</v>
      </c>
      <c r="P359" s="319" t="s">
        <v>239</v>
      </c>
      <c r="Q359" s="318"/>
      <c r="R359" s="326">
        <v>17.0</v>
      </c>
      <c r="S359" s="319">
        <v>7.0</v>
      </c>
      <c r="T359" s="332"/>
      <c r="U359" s="319">
        <v>7.5</v>
      </c>
      <c r="V359" s="319"/>
      <c r="W359" s="319"/>
      <c r="X359" s="319"/>
      <c r="Y359" s="319"/>
      <c r="Z359" s="319" t="s">
        <v>318</v>
      </c>
      <c r="AA359" s="319"/>
      <c r="AB359" s="318"/>
      <c r="AC359" s="327">
        <v>5.0</v>
      </c>
      <c r="AD359" s="319"/>
      <c r="AE359" s="319"/>
      <c r="AF359" s="319"/>
      <c r="AG359" s="319"/>
      <c r="AH359" s="319"/>
      <c r="AI359" s="319"/>
      <c r="AJ359" s="327"/>
      <c r="AK359" s="328"/>
      <c r="AL359" s="319"/>
      <c r="AM359" s="319"/>
      <c r="AN359" s="319"/>
      <c r="AO359" s="319"/>
      <c r="AP359" s="319"/>
      <c r="AQ359" s="319"/>
      <c r="AR359" s="319"/>
      <c r="AS359" s="327"/>
      <c r="AT359" s="461" t="s">
        <v>182</v>
      </c>
      <c r="AU359" s="324" t="s">
        <v>845</v>
      </c>
      <c r="AV359" s="330">
        <f>SQRT(($R359-Infrastructure!J$3)^2+($S359-Infrastructure!K$3)^2)</f>
        <v>27.90877998</v>
      </c>
      <c r="AW359" s="331">
        <f>SQRT(($R359-Infrastructure!J$4)^2+($S359-Infrastructure!K$4)^2)</f>
        <v>20.39436197</v>
      </c>
      <c r="AX359" s="331">
        <f>SQRT(($R359-Infrastructure!J$5)^2+($S359-Infrastructure!K$5)^2)</f>
        <v>17.40402252</v>
      </c>
      <c r="AY359" s="331">
        <f>SQRT(($R359-Infrastructure!J$6)^2+($S359-Infrastructure!K$6)^2)</f>
        <v>9.617692031</v>
      </c>
      <c r="AZ359" s="331">
        <f>SQRT(($R359-Infrastructure!J$7)^2+($S359-Infrastructure!K$7)^2)</f>
        <v>7.559100476</v>
      </c>
      <c r="BA359" s="331">
        <f>SQRT(($R359-Infrastructure!J$8)^2+($S359-Infrastructure!K$8)^2)</f>
        <v>14.71393897</v>
      </c>
      <c r="BB359" s="331">
        <f>SQRT(($R359-Infrastructure!J$9)^2+($S359-Infrastructure!K$9)^2)</f>
        <v>23.07834483</v>
      </c>
      <c r="BC359" s="331">
        <f>SQRT(($R359-Infrastructure!J$10)^2+($S359-Infrastructure!K$10)^2)</f>
        <v>24.35159132</v>
      </c>
      <c r="BD359" s="318"/>
      <c r="BE359" s="332"/>
      <c r="BF359" s="330">
        <f t="shared" si="14"/>
        <v>7.559100476</v>
      </c>
      <c r="BG359" s="333">
        <f t="shared" si="15"/>
        <v>27.90877998</v>
      </c>
      <c r="BH359" s="334"/>
      <c r="BI359" s="316"/>
      <c r="BJ359" s="318"/>
      <c r="BK359" s="318"/>
      <c r="BL359" s="318"/>
      <c r="BM359" s="318"/>
      <c r="BN359" s="318"/>
      <c r="BO359" s="318"/>
      <c r="BP359" s="318"/>
      <c r="BQ359" s="338"/>
      <c r="BR359" s="420"/>
      <c r="BS359" s="330"/>
      <c r="BT359" s="331"/>
      <c r="BU359" s="331"/>
      <c r="BV359" s="333"/>
      <c r="BW359" s="330"/>
      <c r="BX359" s="331"/>
      <c r="BY359" s="331"/>
      <c r="BZ359" s="340"/>
      <c r="CA359" s="316"/>
      <c r="CB359" s="318"/>
      <c r="CC359" s="318"/>
      <c r="CD359" s="318"/>
      <c r="CE359" s="318"/>
      <c r="CF359" s="318"/>
      <c r="CG359" s="318"/>
      <c r="CH359" s="318"/>
      <c r="CI359" s="338"/>
      <c r="CJ359" s="341"/>
      <c r="CK359" s="342">
        <f t="shared" si="18"/>
        <v>0</v>
      </c>
      <c r="CL359" s="333">
        <f t="shared" si="19"/>
        <v>0</v>
      </c>
      <c r="CM359" s="421" t="s">
        <v>1126</v>
      </c>
      <c r="CN359" s="416"/>
      <c r="CO359" s="416"/>
      <c r="CP359" s="416"/>
    </row>
    <row r="360">
      <c r="B360" s="316"/>
      <c r="C360" s="417">
        <v>43754.0</v>
      </c>
      <c r="D360" s="319" t="s">
        <v>1125</v>
      </c>
      <c r="E360" s="319">
        <v>43.0</v>
      </c>
      <c r="F360" s="332"/>
      <c r="G360" s="321">
        <v>0.5645833333333333</v>
      </c>
      <c r="H360" s="323">
        <v>0.5654513888888889</v>
      </c>
      <c r="I360" s="323"/>
      <c r="J360" s="323"/>
      <c r="K360" s="323">
        <v>0.5668402777777778</v>
      </c>
      <c r="L360" s="322">
        <f t="shared" si="7"/>
        <v>0.002256944444</v>
      </c>
      <c r="M360" s="319" t="s">
        <v>166</v>
      </c>
      <c r="N360" s="324" t="s">
        <v>187</v>
      </c>
      <c r="O360" s="419" t="s">
        <v>1071</v>
      </c>
      <c r="P360" s="319" t="s">
        <v>238</v>
      </c>
      <c r="Q360" s="318"/>
      <c r="R360" s="326">
        <v>24.5</v>
      </c>
      <c r="S360" s="319">
        <v>7.5</v>
      </c>
      <c r="T360" s="332"/>
      <c r="U360" s="319">
        <v>10.0</v>
      </c>
      <c r="V360" s="319"/>
      <c r="W360" s="319"/>
      <c r="X360" s="319"/>
      <c r="Y360" s="319"/>
      <c r="Z360" s="319" t="s">
        <v>331</v>
      </c>
      <c r="AA360" s="319"/>
      <c r="AB360" s="318"/>
      <c r="AC360" s="327">
        <v>5.0</v>
      </c>
      <c r="AD360" s="319"/>
      <c r="AE360" s="319"/>
      <c r="AF360" s="319"/>
      <c r="AG360" s="319"/>
      <c r="AH360" s="319"/>
      <c r="AI360" s="319"/>
      <c r="AJ360" s="327"/>
      <c r="AK360" s="328"/>
      <c r="AL360" s="319"/>
      <c r="AM360" s="319"/>
      <c r="AN360" s="319"/>
      <c r="AO360" s="319"/>
      <c r="AP360" s="319"/>
      <c r="AQ360" s="319"/>
      <c r="AR360" s="319"/>
      <c r="AS360" s="327"/>
      <c r="AT360" s="461" t="s">
        <v>182</v>
      </c>
      <c r="AU360" s="324" t="s">
        <v>845</v>
      </c>
      <c r="AV360" s="330">
        <f>SQRT(($R360-Infrastructure!J$3)^2+($S360-Infrastructure!K$3)^2)</f>
        <v>32.75667871</v>
      </c>
      <c r="AW360" s="331">
        <f>SQRT(($R360-Infrastructure!J$4)^2+($S360-Infrastructure!K$4)^2)</f>
        <v>26.85386378</v>
      </c>
      <c r="AX360" s="331">
        <f>SQRT(($R360-Infrastructure!J$5)^2+($S360-Infrastructure!K$5)^2)</f>
        <v>24.9158584</v>
      </c>
      <c r="AY360" s="331">
        <f>SQRT(($R360-Infrastructure!J$6)^2+($S360-Infrastructure!K$6)^2)</f>
        <v>16.09968944</v>
      </c>
      <c r="AZ360" s="331">
        <f>SQRT(($R360-Infrastructure!J$7)^2+($S360-Infrastructure!K$7)^2)</f>
        <v>8.236504113</v>
      </c>
      <c r="BA360" s="331">
        <f>SQRT(($R360-Infrastructure!J$8)^2+($S360-Infrastructure!K$8)^2)</f>
        <v>9.121403401</v>
      </c>
      <c r="BB360" s="331">
        <f>SQRT(($R360-Infrastructure!J$9)^2+($S360-Infrastructure!K$9)^2)</f>
        <v>15.68470593</v>
      </c>
      <c r="BC360" s="331">
        <f>SQRT(($R360-Infrastructure!J$10)^2+($S360-Infrastructure!K$10)^2)</f>
        <v>17.21917536</v>
      </c>
      <c r="BD360" s="318"/>
      <c r="BE360" s="332"/>
      <c r="BF360" s="330">
        <f t="shared" si="14"/>
        <v>8.236504113</v>
      </c>
      <c r="BG360" s="333">
        <f t="shared" si="15"/>
        <v>32.75667871</v>
      </c>
      <c r="BH360" s="334"/>
      <c r="BI360" s="316"/>
      <c r="BJ360" s="318"/>
      <c r="BK360" s="318"/>
      <c r="BL360" s="318"/>
      <c r="BM360" s="318"/>
      <c r="BN360" s="318"/>
      <c r="BO360" s="318"/>
      <c r="BP360" s="318"/>
      <c r="BQ360" s="338"/>
      <c r="BR360" s="420"/>
      <c r="BS360" s="330"/>
      <c r="BT360" s="331"/>
      <c r="BU360" s="331"/>
      <c r="BV360" s="333"/>
      <c r="BW360" s="330"/>
      <c r="BX360" s="331"/>
      <c r="BY360" s="331"/>
      <c r="BZ360" s="340"/>
      <c r="CA360" s="316"/>
      <c r="CB360" s="318"/>
      <c r="CC360" s="318"/>
      <c r="CD360" s="318"/>
      <c r="CE360" s="318"/>
      <c r="CF360" s="318"/>
      <c r="CG360" s="318"/>
      <c r="CH360" s="318"/>
      <c r="CI360" s="338"/>
      <c r="CJ360" s="341"/>
      <c r="CK360" s="342">
        <f t="shared" si="18"/>
        <v>0</v>
      </c>
      <c r="CL360" s="333">
        <f t="shared" si="19"/>
        <v>0</v>
      </c>
      <c r="CM360" s="421" t="s">
        <v>1129</v>
      </c>
      <c r="CN360" s="416"/>
      <c r="CO360" s="416"/>
      <c r="CP360" s="416"/>
    </row>
    <row r="361">
      <c r="B361" s="316"/>
      <c r="C361" s="417">
        <v>43754.0</v>
      </c>
      <c r="D361" s="319" t="s">
        <v>1125</v>
      </c>
      <c r="E361" s="319">
        <v>44.0</v>
      </c>
      <c r="F361" s="332"/>
      <c r="G361" s="321">
        <v>0.5694444444444444</v>
      </c>
      <c r="H361" s="323">
        <v>0.5699652777777777</v>
      </c>
      <c r="I361" s="323"/>
      <c r="J361" s="323"/>
      <c r="K361" s="323">
        <v>0.5713541666666667</v>
      </c>
      <c r="L361" s="322">
        <f t="shared" si="7"/>
        <v>0.001909722222</v>
      </c>
      <c r="M361" s="319" t="s">
        <v>166</v>
      </c>
      <c r="N361" s="324" t="s">
        <v>187</v>
      </c>
      <c r="O361" s="419" t="s">
        <v>197</v>
      </c>
      <c r="P361" s="319" t="s">
        <v>257</v>
      </c>
      <c r="Q361" s="318"/>
      <c r="R361" s="326">
        <v>37.0</v>
      </c>
      <c r="S361" s="319">
        <v>7.0</v>
      </c>
      <c r="T361" s="332"/>
      <c r="U361" s="319">
        <v>7.0</v>
      </c>
      <c r="V361" s="319"/>
      <c r="W361" s="319"/>
      <c r="X361" s="319"/>
      <c r="Y361" s="319"/>
      <c r="Z361" s="319" t="s">
        <v>379</v>
      </c>
      <c r="AA361" s="319"/>
      <c r="AB361" s="318"/>
      <c r="AC361" s="327">
        <v>10.0</v>
      </c>
      <c r="AD361" s="319"/>
      <c r="AE361" s="319"/>
      <c r="AF361" s="319"/>
      <c r="AG361" s="319"/>
      <c r="AH361" s="319"/>
      <c r="AI361" s="319"/>
      <c r="AJ361" s="327"/>
      <c r="AK361" s="328"/>
      <c r="AL361" s="319"/>
      <c r="AM361" s="319"/>
      <c r="AN361" s="319"/>
      <c r="AO361" s="319"/>
      <c r="AP361" s="319"/>
      <c r="AQ361" s="319"/>
      <c r="AR361" s="319"/>
      <c r="AS361" s="327"/>
      <c r="AT361" s="461" t="s">
        <v>182</v>
      </c>
      <c r="AU361" s="324" t="s">
        <v>845</v>
      </c>
      <c r="AV361" s="330">
        <f>SQRT(($R361-Infrastructure!J$3)^2+($S361-Infrastructure!K$3)^2)</f>
        <v>43.25390156</v>
      </c>
      <c r="AW361" s="331">
        <f>SQRT(($R361-Infrastructure!J$4)^2+($S361-Infrastructure!K$4)^2)</f>
        <v>38.83207437</v>
      </c>
      <c r="AX361" s="331">
        <f>SQRT(($R361-Infrastructure!J$5)^2+($S361-Infrastructure!K$5)^2)</f>
        <v>37.34836007</v>
      </c>
      <c r="AY361" s="331">
        <f>SQRT(($R361-Infrastructure!J$6)^2+($S361-Infrastructure!K$6)^2)</f>
        <v>27.72183255</v>
      </c>
      <c r="AZ361" s="331">
        <f>SQRT(($R361-Infrastructure!J$7)^2+($S361-Infrastructure!K$7)^2)</f>
        <v>17.80842497</v>
      </c>
      <c r="BA361" s="331">
        <f>SQRT(($R361-Infrastructure!J$8)^2+($S361-Infrastructure!K$8)^2)</f>
        <v>9.617692031</v>
      </c>
      <c r="BB361" s="331">
        <f>SQRT(($R361-Infrastructure!J$9)^2+($S361-Infrastructure!K$9)^2)</f>
        <v>3.551056181</v>
      </c>
      <c r="BC361" s="331">
        <f>SQRT(($R361-Infrastructure!J$10)^2+($S361-Infrastructure!K$10)^2)</f>
        <v>8.544003745</v>
      </c>
      <c r="BD361" s="318"/>
      <c r="BE361" s="332"/>
      <c r="BF361" s="330">
        <f t="shared" si="14"/>
        <v>3.551056181</v>
      </c>
      <c r="BG361" s="333">
        <f t="shared" si="15"/>
        <v>43.25390156</v>
      </c>
      <c r="BH361" s="334"/>
      <c r="BI361" s="316"/>
      <c r="BJ361" s="318"/>
      <c r="BK361" s="318"/>
      <c r="BL361" s="318"/>
      <c r="BM361" s="318"/>
      <c r="BN361" s="318"/>
      <c r="BO361" s="318"/>
      <c r="BP361" s="318"/>
      <c r="BQ361" s="338"/>
      <c r="BR361" s="420"/>
      <c r="BS361" s="330"/>
      <c r="BT361" s="331"/>
      <c r="BU361" s="331"/>
      <c r="BV361" s="333"/>
      <c r="BW361" s="330"/>
      <c r="BX361" s="331"/>
      <c r="BY361" s="331"/>
      <c r="BZ361" s="340"/>
      <c r="CA361" s="316"/>
      <c r="CB361" s="318"/>
      <c r="CC361" s="318"/>
      <c r="CD361" s="318"/>
      <c r="CE361" s="318"/>
      <c r="CF361" s="318"/>
      <c r="CG361" s="318"/>
      <c r="CH361" s="318"/>
      <c r="CI361" s="338"/>
      <c r="CJ361" s="341"/>
      <c r="CK361" s="342">
        <f t="shared" si="18"/>
        <v>0</v>
      </c>
      <c r="CL361" s="333">
        <f t="shared" si="19"/>
        <v>0</v>
      </c>
      <c r="CM361" s="421" t="s">
        <v>1147</v>
      </c>
      <c r="CN361" s="416"/>
      <c r="CO361" s="416"/>
      <c r="CP361" s="416"/>
    </row>
    <row r="362">
      <c r="B362" s="316"/>
      <c r="C362" s="417">
        <v>43754.0</v>
      </c>
      <c r="D362" s="319" t="s">
        <v>1125</v>
      </c>
      <c r="E362" s="319">
        <v>45.0</v>
      </c>
      <c r="F362" s="332"/>
      <c r="G362" s="321">
        <v>0.5736111111111111</v>
      </c>
      <c r="H362" s="323">
        <v>0.5741319444444445</v>
      </c>
      <c r="I362" s="323"/>
      <c r="J362" s="323"/>
      <c r="K362" s="323">
        <v>0.5758680555555555</v>
      </c>
      <c r="L362" s="322">
        <f t="shared" si="7"/>
        <v>0.002256944444</v>
      </c>
      <c r="M362" s="319" t="s">
        <v>166</v>
      </c>
      <c r="N362" s="324" t="s">
        <v>187</v>
      </c>
      <c r="O362" s="419" t="s">
        <v>198</v>
      </c>
      <c r="P362" s="319" t="s">
        <v>295</v>
      </c>
      <c r="Q362" s="318"/>
      <c r="R362" s="326">
        <v>10.3</v>
      </c>
      <c r="S362" s="319">
        <v>7.8</v>
      </c>
      <c r="T362" s="332"/>
      <c r="U362" s="319">
        <v>3.3</v>
      </c>
      <c r="V362" s="319"/>
      <c r="W362" s="319"/>
      <c r="X362" s="319"/>
      <c r="Y362" s="319"/>
      <c r="Z362" s="319" t="s">
        <v>343</v>
      </c>
      <c r="AA362" s="319"/>
      <c r="AB362" s="318"/>
      <c r="AC362" s="327">
        <v>10.0</v>
      </c>
      <c r="AD362" s="319"/>
      <c r="AE362" s="319"/>
      <c r="AF362" s="319"/>
      <c r="AG362" s="319"/>
      <c r="AH362" s="319"/>
      <c r="AI362" s="319"/>
      <c r="AJ362" s="327"/>
      <c r="AK362" s="328"/>
      <c r="AL362" s="319"/>
      <c r="AM362" s="319"/>
      <c r="AN362" s="319"/>
      <c r="AO362" s="319"/>
      <c r="AP362" s="319"/>
      <c r="AQ362" s="319"/>
      <c r="AR362" s="319"/>
      <c r="AS362" s="327"/>
      <c r="AT362" s="344"/>
      <c r="AU362" s="324" t="s">
        <v>845</v>
      </c>
      <c r="AV362" s="330">
        <f>SQRT(($R362-Infrastructure!J$3)^2+($S362-Infrastructure!K$3)^2)</f>
        <v>23.61292019</v>
      </c>
      <c r="AW362" s="331">
        <f>SQRT(($R362-Infrastructure!J$4)^2+($S362-Infrastructure!K$4)^2)</f>
        <v>14.57257699</v>
      </c>
      <c r="AX362" s="331">
        <f>SQRT(($R362-Infrastructure!J$5)^2+($S362-Infrastructure!K$5)^2)</f>
        <v>10.93846424</v>
      </c>
      <c r="AY362" s="331">
        <f>SQRT(($R362-Infrastructure!J$6)^2+($S362-Infrastructure!K$6)^2)</f>
        <v>7.502666193</v>
      </c>
      <c r="AZ362" s="331">
        <f>SQRT(($R362-Infrastructure!J$7)^2+($S362-Infrastructure!K$7)^2)</f>
        <v>12.66056871</v>
      </c>
      <c r="BA362" s="331">
        <f>SQRT(($R362-Infrastructure!J$8)^2+($S362-Infrastructure!K$8)^2)</f>
        <v>21.17285999</v>
      </c>
      <c r="BB362" s="331">
        <f>SQRT(($R362-Infrastructure!J$9)^2+($S362-Infrastructure!K$9)^2)</f>
        <v>29.82247475</v>
      </c>
      <c r="BC362" s="331">
        <f>SQRT(($R362-Infrastructure!J$10)^2+($S362-Infrastructure!K$10)^2)</f>
        <v>30.56026832</v>
      </c>
      <c r="BD362" s="318"/>
      <c r="BE362" s="332"/>
      <c r="BF362" s="330">
        <f t="shared" si="14"/>
        <v>7.502666193</v>
      </c>
      <c r="BG362" s="333">
        <f t="shared" si="15"/>
        <v>30.56026832</v>
      </c>
      <c r="BH362" s="334"/>
      <c r="BI362" s="316"/>
      <c r="BJ362" s="318"/>
      <c r="BK362" s="318"/>
      <c r="BL362" s="318"/>
      <c r="BM362" s="318"/>
      <c r="BN362" s="318"/>
      <c r="BO362" s="318"/>
      <c r="BP362" s="318"/>
      <c r="BQ362" s="338"/>
      <c r="BR362" s="420"/>
      <c r="BS362" s="330"/>
      <c r="BT362" s="331"/>
      <c r="BU362" s="331"/>
      <c r="BV362" s="333"/>
      <c r="BW362" s="330"/>
      <c r="BX362" s="331"/>
      <c r="BY362" s="331"/>
      <c r="BZ362" s="340"/>
      <c r="CA362" s="316"/>
      <c r="CB362" s="318"/>
      <c r="CC362" s="318"/>
      <c r="CD362" s="318"/>
      <c r="CE362" s="318"/>
      <c r="CF362" s="318"/>
      <c r="CG362" s="318"/>
      <c r="CH362" s="318"/>
      <c r="CI362" s="338"/>
      <c r="CJ362" s="341"/>
      <c r="CK362" s="342">
        <f t="shared" si="18"/>
        <v>0</v>
      </c>
      <c r="CL362" s="333">
        <f t="shared" si="19"/>
        <v>0</v>
      </c>
      <c r="CM362" s="421" t="s">
        <v>1129</v>
      </c>
      <c r="CN362" s="416"/>
      <c r="CO362" s="416"/>
      <c r="CP362" s="416"/>
    </row>
    <row r="363">
      <c r="B363" s="464"/>
      <c r="C363" s="465">
        <v>43754.0</v>
      </c>
      <c r="D363" s="466" t="s">
        <v>1125</v>
      </c>
      <c r="E363" s="466">
        <v>46.0</v>
      </c>
      <c r="F363" s="467"/>
      <c r="G363" s="468">
        <v>0.5784722222222223</v>
      </c>
      <c r="H363" s="469">
        <v>0.5786458333333333</v>
      </c>
      <c r="I363" s="469"/>
      <c r="J363" s="469"/>
      <c r="K363" s="469">
        <v>0.5800347222222222</v>
      </c>
      <c r="L363" s="470">
        <f t="shared" si="7"/>
        <v>0.0015625</v>
      </c>
      <c r="M363" s="466" t="s">
        <v>166</v>
      </c>
      <c r="N363" s="467"/>
      <c r="O363" s="472"/>
      <c r="P363" s="473"/>
      <c r="Q363" s="473"/>
      <c r="R363" s="474"/>
      <c r="S363" s="473"/>
      <c r="T363" s="467"/>
      <c r="U363" s="466">
        <v>0.0</v>
      </c>
      <c r="V363" s="466"/>
      <c r="W363" s="466"/>
      <c r="X363" s="466"/>
      <c r="Y363" s="466"/>
      <c r="Z363" s="473"/>
      <c r="AA363" s="473"/>
      <c r="AB363" s="473"/>
      <c r="AC363" s="475"/>
      <c r="AD363" s="473"/>
      <c r="AE363" s="473"/>
      <c r="AF363" s="473"/>
      <c r="AG363" s="473"/>
      <c r="AH363" s="473"/>
      <c r="AI363" s="473"/>
      <c r="AJ363" s="475"/>
      <c r="AK363" s="476"/>
      <c r="AL363" s="473"/>
      <c r="AM363" s="473"/>
      <c r="AN363" s="473"/>
      <c r="AO363" s="473"/>
      <c r="AP363" s="473"/>
      <c r="AQ363" s="473"/>
      <c r="AR363" s="473"/>
      <c r="AS363" s="475"/>
      <c r="AT363" s="477"/>
      <c r="AU363" s="471" t="s">
        <v>845</v>
      </c>
      <c r="AV363" s="478">
        <f>SQRT(($R363-Infrastructure!J$3)^2+($S363-Infrastructure!K$3)^2)</f>
        <v>28.90155705</v>
      </c>
      <c r="AW363" s="479">
        <f>SQRT(($R363-Infrastructure!J$4)^2+($S363-Infrastructure!K$4)^2)</f>
        <v>17.80252791</v>
      </c>
      <c r="AX363" s="479">
        <f>SQRT(($R363-Infrastructure!J$5)^2+($S363-Infrastructure!K$5)^2)</f>
        <v>5.10881591</v>
      </c>
      <c r="AY363" s="479">
        <f>SQRT(($R363-Infrastructure!J$6)^2+($S363-Infrastructure!K$6)^2)</f>
        <v>10.10445446</v>
      </c>
      <c r="AZ363" s="479">
        <f>SQRT(($R363-Infrastructure!J$7)^2+($S363-Infrastructure!K$7)^2)</f>
        <v>20.502195</v>
      </c>
      <c r="BA363" s="479">
        <f>SQRT(($R363-Infrastructure!J$8)^2+($S363-Infrastructure!K$8)^2)</f>
        <v>30.10149498</v>
      </c>
      <c r="BB363" s="479">
        <f>SQRT(($R363-Infrastructure!J$9)^2+($S363-Infrastructure!K$9)^2)</f>
        <v>40.3238143</v>
      </c>
      <c r="BC363" s="479">
        <f>SQRT(($R363-Infrastructure!J$10)^2+($S363-Infrastructure!K$10)^2)</f>
        <v>42.72001873</v>
      </c>
      <c r="BD363" s="473"/>
      <c r="BE363" s="467"/>
      <c r="BF363" s="478">
        <f t="shared" si="14"/>
        <v>5.10881591</v>
      </c>
      <c r="BG363" s="480">
        <f t="shared" si="15"/>
        <v>42.72001873</v>
      </c>
      <c r="BH363" s="481"/>
      <c r="BI363" s="464"/>
      <c r="BJ363" s="473"/>
      <c r="BK363" s="473"/>
      <c r="BL363" s="473"/>
      <c r="BM363" s="473"/>
      <c r="BN363" s="473"/>
      <c r="BO363" s="473"/>
      <c r="BP363" s="473"/>
      <c r="BQ363" s="473"/>
      <c r="BR363" s="467"/>
      <c r="BS363" s="478"/>
      <c r="BT363" s="479"/>
      <c r="BU363" s="479"/>
      <c r="BV363" s="480"/>
      <c r="BW363" s="478"/>
      <c r="BX363" s="479"/>
      <c r="BY363" s="479"/>
      <c r="BZ363" s="482"/>
      <c r="CA363" s="464"/>
      <c r="CB363" s="473"/>
      <c r="CC363" s="473"/>
      <c r="CD363" s="473"/>
      <c r="CE363" s="473"/>
      <c r="CF363" s="473"/>
      <c r="CG363" s="473"/>
      <c r="CH363" s="473"/>
      <c r="CI363" s="473"/>
      <c r="CJ363" s="475"/>
      <c r="CK363" s="483">
        <f t="shared" si="18"/>
        <v>0</v>
      </c>
      <c r="CL363" s="480">
        <f t="shared" si="19"/>
        <v>0</v>
      </c>
      <c r="CM363" s="484" t="s">
        <v>1128</v>
      </c>
      <c r="CN363" s="485"/>
      <c r="CO363" s="485"/>
      <c r="CP363" s="485"/>
    </row>
    <row r="364">
      <c r="B364" s="316"/>
      <c r="C364" s="417">
        <v>43754.0</v>
      </c>
      <c r="D364" s="319" t="s">
        <v>1139</v>
      </c>
      <c r="E364" s="319">
        <v>47.0</v>
      </c>
      <c r="F364" s="332"/>
      <c r="G364" s="321">
        <v>0.5951388888888889</v>
      </c>
      <c r="H364" s="323">
        <v>0.5956597222222222</v>
      </c>
      <c r="I364" s="323"/>
      <c r="J364" s="323"/>
      <c r="K364" s="323">
        <v>0.5970486111111111</v>
      </c>
      <c r="L364" s="322">
        <f t="shared" si="7"/>
        <v>0.001909722222</v>
      </c>
      <c r="M364" s="319" t="s">
        <v>166</v>
      </c>
      <c r="N364" s="324" t="s">
        <v>188</v>
      </c>
      <c r="O364" s="419" t="s">
        <v>841</v>
      </c>
      <c r="P364" s="319" t="s">
        <v>232</v>
      </c>
      <c r="Q364" s="318"/>
      <c r="R364" s="326">
        <v>22.2</v>
      </c>
      <c r="S364" s="319">
        <v>40.0</v>
      </c>
      <c r="T364" s="332"/>
      <c r="U364" s="319">
        <v>5.0</v>
      </c>
      <c r="V364" s="319"/>
      <c r="W364" s="319"/>
      <c r="X364" s="319"/>
      <c r="Y364" s="319"/>
      <c r="Z364" s="319" t="s">
        <v>1140</v>
      </c>
      <c r="AA364" s="319"/>
      <c r="AB364" s="318"/>
      <c r="AC364" s="327">
        <v>15.75</v>
      </c>
      <c r="AD364" s="319"/>
      <c r="AE364" s="319"/>
      <c r="AF364" s="319"/>
      <c r="AG364" s="319"/>
      <c r="AH364" s="319"/>
      <c r="AI364" s="319"/>
      <c r="AJ364" s="327"/>
      <c r="AK364" s="328"/>
      <c r="AL364" s="319"/>
      <c r="AM364" s="319"/>
      <c r="AN364" s="319"/>
      <c r="AO364" s="319"/>
      <c r="AP364" s="319"/>
      <c r="AQ364" s="319"/>
      <c r="AR364" s="319"/>
      <c r="AS364" s="327"/>
      <c r="AT364" s="344"/>
      <c r="AU364" s="324" t="s">
        <v>845</v>
      </c>
      <c r="AV364" s="330">
        <f>SQRT(($R364-Infrastructure!J$3)^2+($S364-Infrastructure!K$3)^2)</f>
        <v>25.08904143</v>
      </c>
      <c r="AW364" s="331">
        <f>SQRT(($R364-Infrastructure!J$4)^2+($S364-Infrastructure!K$4)^2)</f>
        <v>31.60838496</v>
      </c>
      <c r="AX364" s="331">
        <f>SQRT(($R364-Infrastructure!J$5)^2+($S364-Infrastructure!K$5)^2)</f>
        <v>41.52420981</v>
      </c>
      <c r="AY364" s="331">
        <f>SQRT(($R364-Infrastructure!J$6)^2+($S364-Infrastructure!K$6)^2)</f>
        <v>41.50301194</v>
      </c>
      <c r="AZ364" s="331">
        <f>SQRT(($R364-Infrastructure!J$7)^2+($S364-Infrastructure!K$7)^2)</f>
        <v>39.73638131</v>
      </c>
      <c r="BA364" s="331">
        <f>SQRT(($R364-Infrastructure!J$8)^2+($S364-Infrastructure!K$8)^2)</f>
        <v>40.4783893</v>
      </c>
      <c r="BB364" s="331">
        <f>SQRT(($R364-Infrastructure!J$9)^2+($S364-Infrastructure!K$9)^2)</f>
        <v>39.17716171</v>
      </c>
      <c r="BC364" s="331">
        <f>SQRT(($R364-Infrastructure!J$10)^2+($S364-Infrastructure!K$10)^2)</f>
        <v>30.68941185</v>
      </c>
      <c r="BD364" s="318"/>
      <c r="BE364" s="332"/>
      <c r="BF364" s="330">
        <f t="shared" si="14"/>
        <v>25.08904143</v>
      </c>
      <c r="BG364" s="333">
        <f t="shared" si="15"/>
        <v>41.52420981</v>
      </c>
      <c r="BH364" s="334"/>
      <c r="BI364" s="316"/>
      <c r="BJ364" s="318"/>
      <c r="BK364" s="318"/>
      <c r="BL364" s="318"/>
      <c r="BM364" s="318"/>
      <c r="BN364" s="318"/>
      <c r="BO364" s="318"/>
      <c r="BP364" s="318"/>
      <c r="BQ364" s="338"/>
      <c r="BR364" s="420"/>
      <c r="BS364" s="330"/>
      <c r="BT364" s="331"/>
      <c r="BU364" s="331"/>
      <c r="BV364" s="333"/>
      <c r="BW364" s="330"/>
      <c r="BX364" s="331"/>
      <c r="BY364" s="331"/>
      <c r="BZ364" s="340"/>
      <c r="CA364" s="316"/>
      <c r="CB364" s="318"/>
      <c r="CC364" s="318"/>
      <c r="CD364" s="318"/>
      <c r="CE364" s="318"/>
      <c r="CF364" s="318"/>
      <c r="CG364" s="318"/>
      <c r="CH364" s="318"/>
      <c r="CI364" s="338"/>
      <c r="CJ364" s="341"/>
      <c r="CK364" s="342">
        <f t="shared" si="18"/>
        <v>0</v>
      </c>
      <c r="CL364" s="333">
        <f t="shared" si="19"/>
        <v>0</v>
      </c>
      <c r="CM364" s="421" t="s">
        <v>1148</v>
      </c>
      <c r="CN364" s="416"/>
      <c r="CO364" s="416"/>
      <c r="CP364" s="416"/>
    </row>
    <row r="365">
      <c r="B365" s="316"/>
      <c r="C365" s="417">
        <v>43754.0</v>
      </c>
      <c r="D365" s="319" t="s">
        <v>1139</v>
      </c>
      <c r="E365" s="319">
        <v>49.0</v>
      </c>
      <c r="F365" s="332"/>
      <c r="G365" s="321">
        <v>0.5996527777777778</v>
      </c>
      <c r="H365" s="323">
        <v>0.6010416666666667</v>
      </c>
      <c r="I365" s="323"/>
      <c r="J365" s="323"/>
      <c r="K365" s="323">
        <v>0.6024305555555556</v>
      </c>
      <c r="L365" s="322">
        <f t="shared" si="7"/>
        <v>0.002777777778</v>
      </c>
      <c r="M365" s="319" t="s">
        <v>166</v>
      </c>
      <c r="N365" s="324" t="s">
        <v>187</v>
      </c>
      <c r="O365" s="419" t="s">
        <v>206</v>
      </c>
      <c r="P365" s="319" t="s">
        <v>240</v>
      </c>
      <c r="Q365" s="318"/>
      <c r="R365" s="326">
        <v>21.4</v>
      </c>
      <c r="S365" s="319">
        <v>11.0</v>
      </c>
      <c r="T365" s="332"/>
      <c r="U365" s="319">
        <v>5.25</v>
      </c>
      <c r="V365" s="319"/>
      <c r="W365" s="319"/>
      <c r="X365" s="319"/>
      <c r="Y365" s="319"/>
      <c r="Z365" s="319" t="s">
        <v>347</v>
      </c>
      <c r="AA365" s="319"/>
      <c r="AB365" s="318"/>
      <c r="AC365" s="327">
        <v>10.0</v>
      </c>
      <c r="AD365" s="319"/>
      <c r="AE365" s="319"/>
      <c r="AF365" s="319"/>
      <c r="AG365" s="319"/>
      <c r="AH365" s="319"/>
      <c r="AI365" s="319"/>
      <c r="AJ365" s="327"/>
      <c r="AK365" s="328"/>
      <c r="AL365" s="319"/>
      <c r="AM365" s="319"/>
      <c r="AN365" s="319"/>
      <c r="AO365" s="319"/>
      <c r="AP365" s="319"/>
      <c r="AQ365" s="319"/>
      <c r="AR365" s="319"/>
      <c r="AS365" s="327"/>
      <c r="AT365" s="461" t="s">
        <v>182</v>
      </c>
      <c r="AU365" s="324" t="s">
        <v>846</v>
      </c>
      <c r="AV365" s="330">
        <f>SQRT(($R365-Infrastructure!J$3)^2+($S365-Infrastructure!K$3)^2)</f>
        <v>28.1300551</v>
      </c>
      <c r="AW365" s="331">
        <f>SQRT(($R365-Infrastructure!J$4)^2+($S365-Infrastructure!K$4)^2)</f>
        <v>22.74049252</v>
      </c>
      <c r="AX365" s="331">
        <f>SQRT(($R365-Infrastructure!J$5)^2+($S365-Infrastructure!K$5)^2)</f>
        <v>22.48777446</v>
      </c>
      <c r="AY365" s="331">
        <f>SQRT(($R365-Infrastructure!J$6)^2+($S365-Infrastructure!K$6)^2)</f>
        <v>15.56213353</v>
      </c>
      <c r="AZ365" s="331">
        <f>SQRT(($R365-Infrastructure!J$7)^2+($S365-Infrastructure!K$7)^2)</f>
        <v>10.73778376</v>
      </c>
      <c r="BA365" s="331">
        <f>SQRT(($R365-Infrastructure!J$8)^2+($S365-Infrastructure!K$8)^2)</f>
        <v>13.79057649</v>
      </c>
      <c r="BB365" s="331">
        <f>SQRT(($R365-Infrastructure!J$9)^2+($S365-Infrastructure!K$9)^2)</f>
        <v>19.51332878</v>
      </c>
      <c r="BC365" s="331">
        <f>SQRT(($R365-Infrastructure!J$10)^2+($S365-Infrastructure!K$10)^2)</f>
        <v>19.02524638</v>
      </c>
      <c r="BD365" s="318"/>
      <c r="BE365" s="332"/>
      <c r="BF365" s="330">
        <f t="shared" si="14"/>
        <v>10.73778376</v>
      </c>
      <c r="BG365" s="333">
        <f t="shared" si="15"/>
        <v>28.1300551</v>
      </c>
      <c r="BH365" s="334"/>
      <c r="BI365" s="316"/>
      <c r="BJ365" s="318"/>
      <c r="BK365" s="318"/>
      <c r="BL365" s="318"/>
      <c r="BM365" s="318"/>
      <c r="BN365" s="318"/>
      <c r="BO365" s="318"/>
      <c r="BP365" s="318"/>
      <c r="BQ365" s="338"/>
      <c r="BR365" s="420"/>
      <c r="BS365" s="330"/>
      <c r="BT365" s="331"/>
      <c r="BU365" s="331"/>
      <c r="BV365" s="333"/>
      <c r="BW365" s="330"/>
      <c r="BX365" s="331"/>
      <c r="BY365" s="331"/>
      <c r="BZ365" s="340"/>
      <c r="CA365" s="316"/>
      <c r="CB365" s="318"/>
      <c r="CC365" s="318"/>
      <c r="CD365" s="318"/>
      <c r="CE365" s="318"/>
      <c r="CF365" s="318"/>
      <c r="CG365" s="318"/>
      <c r="CH365" s="318"/>
      <c r="CI365" s="338"/>
      <c r="CJ365" s="341"/>
      <c r="CK365" s="342">
        <f t="shared" si="18"/>
        <v>0</v>
      </c>
      <c r="CL365" s="333">
        <f t="shared" si="19"/>
        <v>0</v>
      </c>
      <c r="CM365" s="421" t="s">
        <v>1149</v>
      </c>
      <c r="CN365" s="416"/>
      <c r="CO365" s="416"/>
      <c r="CP365" s="416"/>
    </row>
    <row r="366">
      <c r="B366" s="316"/>
      <c r="C366" s="417">
        <v>43754.0</v>
      </c>
      <c r="D366" s="319" t="s">
        <v>1139</v>
      </c>
      <c r="E366" s="319">
        <v>49.0</v>
      </c>
      <c r="F366" s="332"/>
      <c r="G366" s="321">
        <v>0.5996527777777778</v>
      </c>
      <c r="H366" s="323">
        <v>0.6010416666666667</v>
      </c>
      <c r="I366" s="323"/>
      <c r="J366" s="323"/>
      <c r="K366" s="323">
        <v>0.6024305555555556</v>
      </c>
      <c r="L366" s="322">
        <f t="shared" si="7"/>
        <v>0.002777777778</v>
      </c>
      <c r="M366" s="319" t="s">
        <v>166</v>
      </c>
      <c r="N366" s="324" t="s">
        <v>188</v>
      </c>
      <c r="O366" s="419" t="s">
        <v>841</v>
      </c>
      <c r="P366" s="319" t="s">
        <v>233</v>
      </c>
      <c r="Q366" s="318"/>
      <c r="R366" s="326">
        <v>21.2</v>
      </c>
      <c r="S366" s="319">
        <v>40.0</v>
      </c>
      <c r="T366" s="332"/>
      <c r="U366" s="319">
        <v>75.0</v>
      </c>
      <c r="V366" s="319"/>
      <c r="W366" s="319"/>
      <c r="X366" s="319"/>
      <c r="Y366" s="319"/>
      <c r="Z366" s="319" t="s">
        <v>387</v>
      </c>
      <c r="AA366" s="319"/>
      <c r="AB366" s="318"/>
      <c r="AC366" s="327">
        <v>52.5</v>
      </c>
      <c r="AD366" s="319"/>
      <c r="AE366" s="319"/>
      <c r="AF366" s="319"/>
      <c r="AG366" s="319"/>
      <c r="AH366" s="319"/>
      <c r="AI366" s="319"/>
      <c r="AJ366" s="327"/>
      <c r="AK366" s="328"/>
      <c r="AL366" s="319"/>
      <c r="AM366" s="319"/>
      <c r="AN366" s="319"/>
      <c r="AO366" s="319"/>
      <c r="AP366" s="319"/>
      <c r="AQ366" s="319"/>
      <c r="AR366" s="319"/>
      <c r="AS366" s="327"/>
      <c r="AT366" s="461" t="s">
        <v>183</v>
      </c>
      <c r="AU366" s="324" t="s">
        <v>846</v>
      </c>
      <c r="AV366" s="330">
        <f>SQRT(($R366-Infrastructure!J$3)^2+($S366-Infrastructure!K$3)^2)</f>
        <v>24.19628071</v>
      </c>
      <c r="AW366" s="331">
        <f>SQRT(($R366-Infrastructure!J$4)^2+($S366-Infrastructure!K$4)^2)</f>
        <v>30.90453041</v>
      </c>
      <c r="AX366" s="331">
        <f>SQRT(($R366-Infrastructure!J$5)^2+($S366-Infrastructure!K$5)^2)</f>
        <v>40.99097462</v>
      </c>
      <c r="AY366" s="331">
        <f>SQRT(($R366-Infrastructure!J$6)^2+($S366-Infrastructure!K$6)^2)</f>
        <v>41.22256664</v>
      </c>
      <c r="AZ366" s="331">
        <f>SQRT(($R366-Infrastructure!J$7)^2+($S366-Infrastructure!K$7)^2)</f>
        <v>39.70617081</v>
      </c>
      <c r="BA366" s="331">
        <f>SQRT(($R366-Infrastructure!J$8)^2+($S366-Infrastructure!K$8)^2)</f>
        <v>40.68537821</v>
      </c>
      <c r="BB366" s="331">
        <f>SQRT(($R366-Infrastructure!J$9)^2+($S366-Infrastructure!K$9)^2)</f>
        <v>39.64151864</v>
      </c>
      <c r="BC366" s="331">
        <f>SQRT(($R366-Infrastructure!J$10)^2+($S366-Infrastructure!K$10)^2)</f>
        <v>31.28002558</v>
      </c>
      <c r="BD366" s="318"/>
      <c r="BE366" s="332"/>
      <c r="BF366" s="330">
        <f t="shared" si="14"/>
        <v>24.19628071</v>
      </c>
      <c r="BG366" s="333">
        <f t="shared" si="15"/>
        <v>41.22256664</v>
      </c>
      <c r="BH366" s="334"/>
      <c r="BI366" s="316"/>
      <c r="BJ366" s="318"/>
      <c r="BK366" s="318"/>
      <c r="BL366" s="318"/>
      <c r="BM366" s="318"/>
      <c r="BN366" s="318"/>
      <c r="BO366" s="318"/>
      <c r="BP366" s="318"/>
      <c r="BQ366" s="338"/>
      <c r="BR366" s="420"/>
      <c r="BS366" s="330"/>
      <c r="BT366" s="331"/>
      <c r="BU366" s="331"/>
      <c r="BV366" s="333"/>
      <c r="BW366" s="330"/>
      <c r="BX366" s="331"/>
      <c r="BY366" s="331"/>
      <c r="BZ366" s="340"/>
      <c r="CA366" s="316"/>
      <c r="CB366" s="318"/>
      <c r="CC366" s="318"/>
      <c r="CD366" s="318"/>
      <c r="CE366" s="318"/>
      <c r="CF366" s="318"/>
      <c r="CG366" s="318"/>
      <c r="CH366" s="318"/>
      <c r="CI366" s="338"/>
      <c r="CJ366" s="341"/>
      <c r="CK366" s="342">
        <f t="shared" si="18"/>
        <v>0</v>
      </c>
      <c r="CL366" s="333">
        <f t="shared" si="19"/>
        <v>0</v>
      </c>
      <c r="CM366" s="423"/>
      <c r="CN366" s="424"/>
      <c r="CO366" s="424"/>
      <c r="CP366" s="424"/>
    </row>
    <row r="367">
      <c r="B367" s="316"/>
      <c r="C367" s="417">
        <v>43754.0</v>
      </c>
      <c r="D367" s="319" t="s">
        <v>1139</v>
      </c>
      <c r="E367" s="319">
        <v>50.0</v>
      </c>
      <c r="F367" s="332"/>
      <c r="G367" s="321">
        <v>0.6152777777777778</v>
      </c>
      <c r="H367" s="323">
        <v>0.6163194444444444</v>
      </c>
      <c r="I367" s="323"/>
      <c r="J367" s="323"/>
      <c r="K367" s="323">
        <v>0.6173611111111111</v>
      </c>
      <c r="L367" s="322">
        <f t="shared" si="7"/>
        <v>0.002083333333</v>
      </c>
      <c r="M367" s="319" t="s">
        <v>166</v>
      </c>
      <c r="N367" s="324" t="s">
        <v>188</v>
      </c>
      <c r="O367" s="419" t="s">
        <v>841</v>
      </c>
      <c r="P367" s="319" t="s">
        <v>233</v>
      </c>
      <c r="Q367" s="318"/>
      <c r="R367" s="326">
        <v>21.2</v>
      </c>
      <c r="S367" s="319">
        <v>40.0</v>
      </c>
      <c r="T367" s="332"/>
      <c r="U367" s="319">
        <v>200.0</v>
      </c>
      <c r="V367" s="319"/>
      <c r="W367" s="319"/>
      <c r="X367" s="319"/>
      <c r="Y367" s="319"/>
      <c r="Z367" s="319" t="s">
        <v>387</v>
      </c>
      <c r="AA367" s="319"/>
      <c r="AB367" s="318"/>
      <c r="AC367" s="327">
        <v>102.3</v>
      </c>
      <c r="AD367" s="319"/>
      <c r="AE367" s="319"/>
      <c r="AF367" s="319"/>
      <c r="AG367" s="319"/>
      <c r="AH367" s="319"/>
      <c r="AI367" s="319"/>
      <c r="AJ367" s="327"/>
      <c r="AK367" s="328"/>
      <c r="AL367" s="319"/>
      <c r="AM367" s="319"/>
      <c r="AN367" s="319"/>
      <c r="AO367" s="319"/>
      <c r="AP367" s="319"/>
      <c r="AQ367" s="319"/>
      <c r="AR367" s="319"/>
      <c r="AS367" s="327"/>
      <c r="AT367" s="461" t="s">
        <v>183</v>
      </c>
      <c r="AU367" s="324" t="s">
        <v>845</v>
      </c>
      <c r="AV367" s="330">
        <f>SQRT(($R367-Infrastructure!J$3)^2+($S367-Infrastructure!K$3)^2)</f>
        <v>24.19628071</v>
      </c>
      <c r="AW367" s="331">
        <f>SQRT(($R367-Infrastructure!J$4)^2+($S367-Infrastructure!K$4)^2)</f>
        <v>30.90453041</v>
      </c>
      <c r="AX367" s="331">
        <f>SQRT(($R367-Infrastructure!J$5)^2+($S367-Infrastructure!K$5)^2)</f>
        <v>40.99097462</v>
      </c>
      <c r="AY367" s="331">
        <f>SQRT(($R367-Infrastructure!J$6)^2+($S367-Infrastructure!K$6)^2)</f>
        <v>41.22256664</v>
      </c>
      <c r="AZ367" s="331">
        <f>SQRT(($R367-Infrastructure!J$7)^2+($S367-Infrastructure!K$7)^2)</f>
        <v>39.70617081</v>
      </c>
      <c r="BA367" s="331">
        <f>SQRT(($R367-Infrastructure!J$8)^2+($S367-Infrastructure!K$8)^2)</f>
        <v>40.68537821</v>
      </c>
      <c r="BB367" s="331">
        <f>SQRT(($R367-Infrastructure!J$9)^2+($S367-Infrastructure!K$9)^2)</f>
        <v>39.64151864</v>
      </c>
      <c r="BC367" s="331">
        <f>SQRT(($R367-Infrastructure!J$10)^2+($S367-Infrastructure!K$10)^2)</f>
        <v>31.28002558</v>
      </c>
      <c r="BD367" s="318"/>
      <c r="BE367" s="332"/>
      <c r="BF367" s="330">
        <f t="shared" si="14"/>
        <v>24.19628071</v>
      </c>
      <c r="BG367" s="333">
        <f t="shared" si="15"/>
        <v>41.22256664</v>
      </c>
      <c r="BH367" s="334"/>
      <c r="BI367" s="316"/>
      <c r="BJ367" s="318"/>
      <c r="BK367" s="318"/>
      <c r="BL367" s="318"/>
      <c r="BM367" s="318"/>
      <c r="BN367" s="318"/>
      <c r="BO367" s="318"/>
      <c r="BP367" s="318"/>
      <c r="BQ367" s="338"/>
      <c r="BR367" s="420"/>
      <c r="BS367" s="330"/>
      <c r="BT367" s="331"/>
      <c r="BU367" s="331"/>
      <c r="BV367" s="333"/>
      <c r="BW367" s="330"/>
      <c r="BX367" s="331"/>
      <c r="BY367" s="331"/>
      <c r="BZ367" s="340"/>
      <c r="CA367" s="316"/>
      <c r="CB367" s="318"/>
      <c r="CC367" s="318"/>
      <c r="CD367" s="318"/>
      <c r="CE367" s="318"/>
      <c r="CF367" s="318"/>
      <c r="CG367" s="318"/>
      <c r="CH367" s="318"/>
      <c r="CI367" s="338"/>
      <c r="CJ367" s="341"/>
      <c r="CK367" s="342">
        <f t="shared" si="18"/>
        <v>0</v>
      </c>
      <c r="CL367" s="333">
        <f t="shared" si="19"/>
        <v>0</v>
      </c>
      <c r="CM367" s="421" t="s">
        <v>1150</v>
      </c>
      <c r="CN367" s="416"/>
      <c r="CO367" s="416"/>
      <c r="CP367" s="416"/>
    </row>
    <row r="368">
      <c r="B368" s="316"/>
      <c r="C368" s="417">
        <v>43754.0</v>
      </c>
      <c r="D368" s="319" t="s">
        <v>1139</v>
      </c>
      <c r="E368" s="319">
        <v>51.0</v>
      </c>
      <c r="F368" s="332"/>
      <c r="G368" s="321">
        <v>0.6225694444444444</v>
      </c>
      <c r="H368" s="323">
        <v>0.6230902777777778</v>
      </c>
      <c r="I368" s="323"/>
      <c r="J368" s="323"/>
      <c r="K368" s="323">
        <v>0.6241319444444444</v>
      </c>
      <c r="L368" s="322">
        <f t="shared" si="7"/>
        <v>0.0015625</v>
      </c>
      <c r="M368" s="319" t="s">
        <v>166</v>
      </c>
      <c r="N368" s="324" t="s">
        <v>188</v>
      </c>
      <c r="O368" s="419" t="s">
        <v>841</v>
      </c>
      <c r="P368" s="319" t="s">
        <v>233</v>
      </c>
      <c r="Q368" s="318"/>
      <c r="R368" s="326">
        <v>21.2</v>
      </c>
      <c r="S368" s="319">
        <v>40.0</v>
      </c>
      <c r="T368" s="332"/>
      <c r="U368" s="319">
        <v>14.5</v>
      </c>
      <c r="V368" s="319"/>
      <c r="W368" s="319"/>
      <c r="X368" s="319"/>
      <c r="Y368" s="319"/>
      <c r="Z368" s="319" t="s">
        <v>387</v>
      </c>
      <c r="AA368" s="319"/>
      <c r="AB368" s="318"/>
      <c r="AC368" s="327">
        <v>26.65</v>
      </c>
      <c r="AD368" s="319"/>
      <c r="AE368" s="319"/>
      <c r="AF368" s="319"/>
      <c r="AG368" s="319"/>
      <c r="AH368" s="319"/>
      <c r="AI368" s="319"/>
      <c r="AJ368" s="327"/>
      <c r="AK368" s="328"/>
      <c r="AL368" s="319"/>
      <c r="AM368" s="319"/>
      <c r="AN368" s="319"/>
      <c r="AO368" s="319"/>
      <c r="AP368" s="319"/>
      <c r="AQ368" s="319"/>
      <c r="AR368" s="319"/>
      <c r="AS368" s="327"/>
      <c r="AT368" s="461" t="s">
        <v>183</v>
      </c>
      <c r="AU368" s="324" t="s">
        <v>845</v>
      </c>
      <c r="AV368" s="330">
        <f>SQRT(($R368-Infrastructure!J$3)^2+($S368-Infrastructure!K$3)^2)</f>
        <v>24.19628071</v>
      </c>
      <c r="AW368" s="331">
        <f>SQRT(($R368-Infrastructure!J$4)^2+($S368-Infrastructure!K$4)^2)</f>
        <v>30.90453041</v>
      </c>
      <c r="AX368" s="331">
        <f>SQRT(($R368-Infrastructure!J$5)^2+($S368-Infrastructure!K$5)^2)</f>
        <v>40.99097462</v>
      </c>
      <c r="AY368" s="331">
        <f>SQRT(($R368-Infrastructure!J$6)^2+($S368-Infrastructure!K$6)^2)</f>
        <v>41.22256664</v>
      </c>
      <c r="AZ368" s="331">
        <f>SQRT(($R368-Infrastructure!J$7)^2+($S368-Infrastructure!K$7)^2)</f>
        <v>39.70617081</v>
      </c>
      <c r="BA368" s="331">
        <f>SQRT(($R368-Infrastructure!J$8)^2+($S368-Infrastructure!K$8)^2)</f>
        <v>40.68537821</v>
      </c>
      <c r="BB368" s="331">
        <f>SQRT(($R368-Infrastructure!J$9)^2+($S368-Infrastructure!K$9)^2)</f>
        <v>39.64151864</v>
      </c>
      <c r="BC368" s="331">
        <f>SQRT(($R368-Infrastructure!J$10)^2+($S368-Infrastructure!K$10)^2)</f>
        <v>31.28002558</v>
      </c>
      <c r="BD368" s="318"/>
      <c r="BE368" s="332"/>
      <c r="BF368" s="330">
        <f t="shared" si="14"/>
        <v>24.19628071</v>
      </c>
      <c r="BG368" s="333">
        <f t="shared" si="15"/>
        <v>41.22256664</v>
      </c>
      <c r="BH368" s="334"/>
      <c r="BI368" s="316"/>
      <c r="BJ368" s="318"/>
      <c r="BK368" s="318"/>
      <c r="BL368" s="318"/>
      <c r="BM368" s="318"/>
      <c r="BN368" s="318"/>
      <c r="BO368" s="318"/>
      <c r="BP368" s="318"/>
      <c r="BQ368" s="338"/>
      <c r="BR368" s="420"/>
      <c r="BS368" s="330"/>
      <c r="BT368" s="331"/>
      <c r="BU368" s="331"/>
      <c r="BV368" s="333"/>
      <c r="BW368" s="330"/>
      <c r="BX368" s="331"/>
      <c r="BY368" s="331"/>
      <c r="BZ368" s="340"/>
      <c r="CA368" s="316"/>
      <c r="CB368" s="318"/>
      <c r="CC368" s="318"/>
      <c r="CD368" s="318"/>
      <c r="CE368" s="318"/>
      <c r="CF368" s="318"/>
      <c r="CG368" s="318"/>
      <c r="CH368" s="318"/>
      <c r="CI368" s="338"/>
      <c r="CJ368" s="341"/>
      <c r="CK368" s="342">
        <f t="shared" si="18"/>
        <v>0</v>
      </c>
      <c r="CL368" s="333">
        <f t="shared" si="19"/>
        <v>0</v>
      </c>
      <c r="CM368" s="421" t="s">
        <v>1151</v>
      </c>
      <c r="CN368" s="416"/>
      <c r="CO368" s="416"/>
      <c r="CP368" s="416"/>
    </row>
    <row r="369">
      <c r="B369" s="316"/>
      <c r="C369" s="417">
        <v>43754.0</v>
      </c>
      <c r="D369" s="319" t="s">
        <v>1139</v>
      </c>
      <c r="E369" s="319">
        <v>52.0</v>
      </c>
      <c r="F369" s="332"/>
      <c r="G369" s="321">
        <v>0.6284722222222222</v>
      </c>
      <c r="H369" s="323">
        <v>0.6296875</v>
      </c>
      <c r="I369" s="323"/>
      <c r="J369" s="323"/>
      <c r="K369" s="323">
        <v>0.6303819444444444</v>
      </c>
      <c r="L369" s="322">
        <f t="shared" si="7"/>
        <v>0.001909722222</v>
      </c>
      <c r="M369" s="319" t="s">
        <v>166</v>
      </c>
      <c r="N369" s="324" t="s">
        <v>188</v>
      </c>
      <c r="O369" s="419" t="s">
        <v>841</v>
      </c>
      <c r="P369" s="319" t="s">
        <v>233</v>
      </c>
      <c r="Q369" s="318"/>
      <c r="R369" s="326">
        <v>21.2</v>
      </c>
      <c r="S369" s="319">
        <v>40.0</v>
      </c>
      <c r="T369" s="332"/>
      <c r="U369" s="319">
        <v>138.0</v>
      </c>
      <c r="V369" s="319"/>
      <c r="W369" s="319"/>
      <c r="X369" s="319"/>
      <c r="Y369" s="319"/>
      <c r="Z369" s="319" t="s">
        <v>387</v>
      </c>
      <c r="AA369" s="319"/>
      <c r="AB369" s="318"/>
      <c r="AC369" s="327">
        <v>77.9</v>
      </c>
      <c r="AD369" s="319"/>
      <c r="AE369" s="319"/>
      <c r="AF369" s="319"/>
      <c r="AG369" s="319"/>
      <c r="AH369" s="319"/>
      <c r="AI369" s="319"/>
      <c r="AJ369" s="327"/>
      <c r="AK369" s="328"/>
      <c r="AL369" s="319"/>
      <c r="AM369" s="319"/>
      <c r="AN369" s="319"/>
      <c r="AO369" s="319"/>
      <c r="AP369" s="319"/>
      <c r="AQ369" s="319"/>
      <c r="AR369" s="319"/>
      <c r="AS369" s="327"/>
      <c r="AT369" s="461" t="s">
        <v>183</v>
      </c>
      <c r="AU369" s="324" t="s">
        <v>845</v>
      </c>
      <c r="AV369" s="330">
        <f>SQRT(($R369-Infrastructure!J$3)^2+($S369-Infrastructure!K$3)^2)</f>
        <v>24.19628071</v>
      </c>
      <c r="AW369" s="331">
        <f>SQRT(($R369-Infrastructure!J$4)^2+($S369-Infrastructure!K$4)^2)</f>
        <v>30.90453041</v>
      </c>
      <c r="AX369" s="331">
        <f>SQRT(($R369-Infrastructure!J$5)^2+($S369-Infrastructure!K$5)^2)</f>
        <v>40.99097462</v>
      </c>
      <c r="AY369" s="331">
        <f>SQRT(($R369-Infrastructure!J$6)^2+($S369-Infrastructure!K$6)^2)</f>
        <v>41.22256664</v>
      </c>
      <c r="AZ369" s="331">
        <f>SQRT(($R369-Infrastructure!J$7)^2+($S369-Infrastructure!K$7)^2)</f>
        <v>39.70617081</v>
      </c>
      <c r="BA369" s="331">
        <f>SQRT(($R369-Infrastructure!J$8)^2+($S369-Infrastructure!K$8)^2)</f>
        <v>40.68537821</v>
      </c>
      <c r="BB369" s="331">
        <f>SQRT(($R369-Infrastructure!J$9)^2+($S369-Infrastructure!K$9)^2)</f>
        <v>39.64151864</v>
      </c>
      <c r="BC369" s="331">
        <f>SQRT(($R369-Infrastructure!J$10)^2+($S369-Infrastructure!K$10)^2)</f>
        <v>31.28002558</v>
      </c>
      <c r="BD369" s="318"/>
      <c r="BE369" s="332"/>
      <c r="BF369" s="330">
        <f t="shared" si="14"/>
        <v>24.19628071</v>
      </c>
      <c r="BG369" s="333">
        <f t="shared" si="15"/>
        <v>41.22256664</v>
      </c>
      <c r="BH369" s="334"/>
      <c r="BI369" s="316"/>
      <c r="BJ369" s="318"/>
      <c r="BK369" s="318"/>
      <c r="BL369" s="318"/>
      <c r="BM369" s="318"/>
      <c r="BN369" s="318"/>
      <c r="BO369" s="318"/>
      <c r="BP369" s="318"/>
      <c r="BQ369" s="338"/>
      <c r="BR369" s="420"/>
      <c r="BS369" s="330"/>
      <c r="BT369" s="331"/>
      <c r="BU369" s="331"/>
      <c r="BV369" s="333"/>
      <c r="BW369" s="330"/>
      <c r="BX369" s="331"/>
      <c r="BY369" s="331"/>
      <c r="BZ369" s="340"/>
      <c r="CA369" s="316"/>
      <c r="CB369" s="318"/>
      <c r="CC369" s="318"/>
      <c r="CD369" s="318"/>
      <c r="CE369" s="318"/>
      <c r="CF369" s="318"/>
      <c r="CG369" s="318"/>
      <c r="CH369" s="318"/>
      <c r="CI369" s="338"/>
      <c r="CJ369" s="341"/>
      <c r="CK369" s="342">
        <f t="shared" si="18"/>
        <v>0</v>
      </c>
      <c r="CL369" s="333">
        <f t="shared" si="19"/>
        <v>0</v>
      </c>
      <c r="CM369" s="421" t="s">
        <v>1144</v>
      </c>
      <c r="CN369" s="416"/>
      <c r="CO369" s="416"/>
      <c r="CP369" s="416"/>
    </row>
    <row r="370">
      <c r="B370" s="316"/>
      <c r="C370" s="417">
        <v>43754.0</v>
      </c>
      <c r="D370" s="319" t="s">
        <v>1139</v>
      </c>
      <c r="E370" s="319">
        <v>48.0</v>
      </c>
      <c r="F370" s="332"/>
      <c r="G370" s="321">
        <v>0.6347222222222222</v>
      </c>
      <c r="H370" s="323">
        <v>0.6350694444444445</v>
      </c>
      <c r="I370" s="323"/>
      <c r="J370" s="323"/>
      <c r="K370" s="323">
        <v>0.6357638888888889</v>
      </c>
      <c r="L370" s="322">
        <f t="shared" si="7"/>
        <v>0.001041666667</v>
      </c>
      <c r="M370" s="319" t="s">
        <v>166</v>
      </c>
      <c r="N370" s="324" t="s">
        <v>188</v>
      </c>
      <c r="O370" s="419" t="s">
        <v>841</v>
      </c>
      <c r="P370" s="319" t="s">
        <v>233</v>
      </c>
      <c r="Q370" s="318"/>
      <c r="R370" s="326">
        <v>21.2</v>
      </c>
      <c r="S370" s="319">
        <v>40.0</v>
      </c>
      <c r="T370" s="332"/>
      <c r="U370" s="319">
        <v>28.0</v>
      </c>
      <c r="V370" s="319"/>
      <c r="W370" s="319"/>
      <c r="X370" s="319"/>
      <c r="Y370" s="319"/>
      <c r="Z370" s="319" t="s">
        <v>387</v>
      </c>
      <c r="AA370" s="319"/>
      <c r="AB370" s="318"/>
      <c r="AC370" s="327">
        <v>52.5</v>
      </c>
      <c r="AD370" s="319"/>
      <c r="AE370" s="319"/>
      <c r="AF370" s="319"/>
      <c r="AG370" s="319"/>
      <c r="AH370" s="319"/>
      <c r="AI370" s="319"/>
      <c r="AJ370" s="327"/>
      <c r="AK370" s="328"/>
      <c r="AL370" s="319"/>
      <c r="AM370" s="319"/>
      <c r="AN370" s="319"/>
      <c r="AO370" s="319"/>
      <c r="AP370" s="319"/>
      <c r="AQ370" s="319"/>
      <c r="AR370" s="319"/>
      <c r="AS370" s="327"/>
      <c r="AT370" s="461" t="s">
        <v>183</v>
      </c>
      <c r="AU370" s="324" t="s">
        <v>845</v>
      </c>
      <c r="AV370" s="330">
        <f>SQRT(($R370-Infrastructure!J$3)^2+($S370-Infrastructure!K$3)^2)</f>
        <v>24.19628071</v>
      </c>
      <c r="AW370" s="331">
        <f>SQRT(($R370-Infrastructure!J$4)^2+($S370-Infrastructure!K$4)^2)</f>
        <v>30.90453041</v>
      </c>
      <c r="AX370" s="331">
        <f>SQRT(($R370-Infrastructure!J$5)^2+($S370-Infrastructure!K$5)^2)</f>
        <v>40.99097462</v>
      </c>
      <c r="AY370" s="331">
        <f>SQRT(($R370-Infrastructure!J$6)^2+($S370-Infrastructure!K$6)^2)</f>
        <v>41.22256664</v>
      </c>
      <c r="AZ370" s="331">
        <f>SQRT(($R370-Infrastructure!J$7)^2+($S370-Infrastructure!K$7)^2)</f>
        <v>39.70617081</v>
      </c>
      <c r="BA370" s="331">
        <f>SQRT(($R370-Infrastructure!J$8)^2+($S370-Infrastructure!K$8)^2)</f>
        <v>40.68537821</v>
      </c>
      <c r="BB370" s="331">
        <f>SQRT(($R370-Infrastructure!J$9)^2+($S370-Infrastructure!K$9)^2)</f>
        <v>39.64151864</v>
      </c>
      <c r="BC370" s="331">
        <f>SQRT(($R370-Infrastructure!J$10)^2+($S370-Infrastructure!K$10)^2)</f>
        <v>31.28002558</v>
      </c>
      <c r="BD370" s="318"/>
      <c r="BE370" s="332"/>
      <c r="BF370" s="330">
        <f t="shared" si="14"/>
        <v>24.19628071</v>
      </c>
      <c r="BG370" s="333">
        <f t="shared" si="15"/>
        <v>41.22256664</v>
      </c>
      <c r="BH370" s="334"/>
      <c r="BI370" s="316"/>
      <c r="BJ370" s="318"/>
      <c r="BK370" s="318"/>
      <c r="BL370" s="318"/>
      <c r="BM370" s="318"/>
      <c r="BN370" s="318"/>
      <c r="BO370" s="318"/>
      <c r="BP370" s="318"/>
      <c r="BQ370" s="338"/>
      <c r="BR370" s="420"/>
      <c r="BS370" s="330"/>
      <c r="BT370" s="331"/>
      <c r="BU370" s="331"/>
      <c r="BV370" s="333"/>
      <c r="BW370" s="330"/>
      <c r="BX370" s="331"/>
      <c r="BY370" s="331"/>
      <c r="BZ370" s="340"/>
      <c r="CA370" s="316"/>
      <c r="CB370" s="318"/>
      <c r="CC370" s="318"/>
      <c r="CD370" s="318"/>
      <c r="CE370" s="318"/>
      <c r="CF370" s="318"/>
      <c r="CG370" s="318"/>
      <c r="CH370" s="318"/>
      <c r="CI370" s="338"/>
      <c r="CJ370" s="341"/>
      <c r="CK370" s="342">
        <f t="shared" si="18"/>
        <v>0</v>
      </c>
      <c r="CL370" s="333">
        <f t="shared" si="19"/>
        <v>0</v>
      </c>
      <c r="CM370" s="421" t="s">
        <v>1143</v>
      </c>
      <c r="CN370" s="416"/>
      <c r="CO370" s="416"/>
      <c r="CP370" s="416"/>
    </row>
    <row r="371">
      <c r="B371" s="316"/>
      <c r="C371" s="417">
        <v>43754.0</v>
      </c>
      <c r="D371" s="426" t="s">
        <v>1139</v>
      </c>
      <c r="E371" s="426">
        <v>48.0</v>
      </c>
      <c r="F371" s="332"/>
      <c r="G371" s="321">
        <v>0.6368055555555555</v>
      </c>
      <c r="H371" s="323">
        <v>0.6372685185185185</v>
      </c>
      <c r="I371" s="323"/>
      <c r="J371" s="323"/>
      <c r="K371" s="323">
        <v>0.6375</v>
      </c>
      <c r="L371" s="322">
        <f t="shared" si="7"/>
        <v>0.0006944444444</v>
      </c>
      <c r="M371" s="319" t="s">
        <v>166</v>
      </c>
      <c r="N371" s="324" t="s">
        <v>188</v>
      </c>
      <c r="O371" s="419" t="s">
        <v>841</v>
      </c>
      <c r="P371" s="318"/>
      <c r="Q371" s="318"/>
      <c r="R371" s="326">
        <v>21.2</v>
      </c>
      <c r="S371" s="319">
        <v>40.0</v>
      </c>
      <c r="T371" s="332"/>
      <c r="U371" s="319">
        <v>93.0</v>
      </c>
      <c r="V371" s="319"/>
      <c r="W371" s="319"/>
      <c r="X371" s="319"/>
      <c r="Y371" s="319"/>
      <c r="Z371" s="319" t="s">
        <v>387</v>
      </c>
      <c r="AA371" s="319"/>
      <c r="AB371" s="318"/>
      <c r="AC371" s="327">
        <v>52.5</v>
      </c>
      <c r="AD371" s="319"/>
      <c r="AE371" s="319"/>
      <c r="AF371" s="319"/>
      <c r="AG371" s="319"/>
      <c r="AH371" s="319"/>
      <c r="AI371" s="319"/>
      <c r="AJ371" s="327"/>
      <c r="AK371" s="328"/>
      <c r="AL371" s="319"/>
      <c r="AM371" s="319"/>
      <c r="AN371" s="319"/>
      <c r="AO371" s="319"/>
      <c r="AP371" s="319"/>
      <c r="AQ371" s="319"/>
      <c r="AR371" s="319"/>
      <c r="AS371" s="327"/>
      <c r="AT371" s="461" t="s">
        <v>183</v>
      </c>
      <c r="AU371" s="324" t="s">
        <v>845</v>
      </c>
      <c r="AV371" s="330">
        <f>SQRT(($R371-Infrastructure!J$3)^2+($S371-Infrastructure!K$3)^2)</f>
        <v>24.19628071</v>
      </c>
      <c r="AW371" s="331">
        <f>SQRT(($R371-Infrastructure!J$4)^2+($S371-Infrastructure!K$4)^2)</f>
        <v>30.90453041</v>
      </c>
      <c r="AX371" s="331">
        <f>SQRT(($R371-Infrastructure!J$5)^2+($S371-Infrastructure!K$5)^2)</f>
        <v>40.99097462</v>
      </c>
      <c r="AY371" s="331">
        <f>SQRT(($R371-Infrastructure!J$6)^2+($S371-Infrastructure!K$6)^2)</f>
        <v>41.22256664</v>
      </c>
      <c r="AZ371" s="331">
        <f>SQRT(($R371-Infrastructure!J$7)^2+($S371-Infrastructure!K$7)^2)</f>
        <v>39.70617081</v>
      </c>
      <c r="BA371" s="331">
        <f>SQRT(($R371-Infrastructure!J$8)^2+($S371-Infrastructure!K$8)^2)</f>
        <v>40.68537821</v>
      </c>
      <c r="BB371" s="331">
        <f>SQRT(($R371-Infrastructure!J$9)^2+($S371-Infrastructure!K$9)^2)</f>
        <v>39.64151864</v>
      </c>
      <c r="BC371" s="331">
        <f>SQRT(($R371-Infrastructure!J$10)^2+($S371-Infrastructure!K$10)^2)</f>
        <v>31.28002558</v>
      </c>
      <c r="BD371" s="318"/>
      <c r="BE371" s="332"/>
      <c r="BF371" s="330">
        <f t="shared" si="14"/>
        <v>24.19628071</v>
      </c>
      <c r="BG371" s="333">
        <f t="shared" si="15"/>
        <v>41.22256664</v>
      </c>
      <c r="BH371" s="334"/>
      <c r="BI371" s="316"/>
      <c r="BJ371" s="318"/>
      <c r="BK371" s="318"/>
      <c r="BL371" s="318"/>
      <c r="BM371" s="318"/>
      <c r="BN371" s="318"/>
      <c r="BO371" s="318"/>
      <c r="BP371" s="318"/>
      <c r="BQ371" s="338"/>
      <c r="BR371" s="420"/>
      <c r="BS371" s="330"/>
      <c r="BT371" s="331"/>
      <c r="BU371" s="331"/>
      <c r="BV371" s="333"/>
      <c r="BW371" s="330"/>
      <c r="BX371" s="331"/>
      <c r="BY371" s="331"/>
      <c r="BZ371" s="340"/>
      <c r="CA371" s="316"/>
      <c r="CB371" s="318"/>
      <c r="CC371" s="318"/>
      <c r="CD371" s="318"/>
      <c r="CE371" s="318"/>
      <c r="CF371" s="318"/>
      <c r="CG371" s="318"/>
      <c r="CH371" s="318"/>
      <c r="CI371" s="338"/>
      <c r="CJ371" s="341"/>
      <c r="CK371" s="342">
        <f t="shared" si="18"/>
        <v>0</v>
      </c>
      <c r="CL371" s="333">
        <f t="shared" si="19"/>
        <v>0</v>
      </c>
      <c r="CM371" s="423"/>
      <c r="CN371" s="424"/>
      <c r="CO371" s="424"/>
      <c r="CP371" s="424"/>
    </row>
    <row r="372">
      <c r="B372" s="316"/>
      <c r="C372" s="417">
        <v>43754.0</v>
      </c>
      <c r="D372" s="426" t="s">
        <v>1139</v>
      </c>
      <c r="E372" s="426">
        <v>48.0</v>
      </c>
      <c r="F372" s="332"/>
      <c r="G372" s="321">
        <v>0.6375</v>
      </c>
      <c r="H372" s="323">
        <v>0.6381944444444444</v>
      </c>
      <c r="I372" s="323"/>
      <c r="J372" s="323"/>
      <c r="K372" s="323">
        <v>0.6388888888888888</v>
      </c>
      <c r="L372" s="322">
        <f t="shared" si="7"/>
        <v>0.001388888889</v>
      </c>
      <c r="M372" s="319" t="s">
        <v>166</v>
      </c>
      <c r="N372" s="324" t="s">
        <v>188</v>
      </c>
      <c r="O372" s="419" t="s">
        <v>841</v>
      </c>
      <c r="P372" s="318"/>
      <c r="Q372" s="318"/>
      <c r="R372" s="326">
        <v>21.2</v>
      </c>
      <c r="S372" s="319">
        <v>40.0</v>
      </c>
      <c r="T372" s="332"/>
      <c r="U372" s="319">
        <v>28.0</v>
      </c>
      <c r="V372" s="319"/>
      <c r="W372" s="319"/>
      <c r="X372" s="319"/>
      <c r="Y372" s="319"/>
      <c r="Z372" s="319" t="s">
        <v>387</v>
      </c>
      <c r="AA372" s="319"/>
      <c r="AB372" s="318"/>
      <c r="AC372" s="327">
        <v>52.5</v>
      </c>
      <c r="AD372" s="319"/>
      <c r="AE372" s="319"/>
      <c r="AF372" s="319"/>
      <c r="AG372" s="319"/>
      <c r="AH372" s="319"/>
      <c r="AI372" s="319"/>
      <c r="AJ372" s="327"/>
      <c r="AK372" s="328"/>
      <c r="AL372" s="319"/>
      <c r="AM372" s="319"/>
      <c r="AN372" s="319"/>
      <c r="AO372" s="319"/>
      <c r="AP372" s="319"/>
      <c r="AQ372" s="319"/>
      <c r="AR372" s="319"/>
      <c r="AS372" s="327"/>
      <c r="AT372" s="461" t="s">
        <v>183</v>
      </c>
      <c r="AU372" s="324" t="s">
        <v>845</v>
      </c>
      <c r="AV372" s="330">
        <f>SQRT(($R372-Infrastructure!J$3)^2+($S372-Infrastructure!K$3)^2)</f>
        <v>24.19628071</v>
      </c>
      <c r="AW372" s="331">
        <f>SQRT(($R372-Infrastructure!J$4)^2+($S372-Infrastructure!K$4)^2)</f>
        <v>30.90453041</v>
      </c>
      <c r="AX372" s="331">
        <f>SQRT(($R372-Infrastructure!J$5)^2+($S372-Infrastructure!K$5)^2)</f>
        <v>40.99097462</v>
      </c>
      <c r="AY372" s="331">
        <f>SQRT(($R372-Infrastructure!J$6)^2+($S372-Infrastructure!K$6)^2)</f>
        <v>41.22256664</v>
      </c>
      <c r="AZ372" s="331">
        <f>SQRT(($R372-Infrastructure!J$7)^2+($S372-Infrastructure!K$7)^2)</f>
        <v>39.70617081</v>
      </c>
      <c r="BA372" s="331">
        <f>SQRT(($R372-Infrastructure!J$8)^2+($S372-Infrastructure!K$8)^2)</f>
        <v>40.68537821</v>
      </c>
      <c r="BB372" s="331">
        <f>SQRT(($R372-Infrastructure!J$9)^2+($S372-Infrastructure!K$9)^2)</f>
        <v>39.64151864</v>
      </c>
      <c r="BC372" s="331">
        <f>SQRT(($R372-Infrastructure!J$10)^2+($S372-Infrastructure!K$10)^2)</f>
        <v>31.28002558</v>
      </c>
      <c r="BD372" s="318"/>
      <c r="BE372" s="332"/>
      <c r="BF372" s="330">
        <f t="shared" si="14"/>
        <v>24.19628071</v>
      </c>
      <c r="BG372" s="333">
        <f t="shared" si="15"/>
        <v>41.22256664</v>
      </c>
      <c r="BH372" s="334"/>
      <c r="BI372" s="316"/>
      <c r="BJ372" s="318"/>
      <c r="BK372" s="318"/>
      <c r="BL372" s="318"/>
      <c r="BM372" s="318"/>
      <c r="BN372" s="318"/>
      <c r="BO372" s="318"/>
      <c r="BP372" s="318"/>
      <c r="BQ372" s="338"/>
      <c r="BR372" s="420"/>
      <c r="BS372" s="330"/>
      <c r="BT372" s="331"/>
      <c r="BU372" s="331"/>
      <c r="BV372" s="333"/>
      <c r="BW372" s="330"/>
      <c r="BX372" s="331"/>
      <c r="BY372" s="331"/>
      <c r="BZ372" s="340"/>
      <c r="CA372" s="316"/>
      <c r="CB372" s="318"/>
      <c r="CC372" s="318"/>
      <c r="CD372" s="318"/>
      <c r="CE372" s="318"/>
      <c r="CF372" s="318"/>
      <c r="CG372" s="318"/>
      <c r="CH372" s="318"/>
      <c r="CI372" s="338"/>
      <c r="CJ372" s="341"/>
      <c r="CK372" s="342">
        <f t="shared" si="18"/>
        <v>0</v>
      </c>
      <c r="CL372" s="333">
        <f t="shared" si="19"/>
        <v>0</v>
      </c>
      <c r="CM372" s="423"/>
      <c r="CN372" s="424"/>
      <c r="CO372" s="424"/>
      <c r="CP372" s="424"/>
    </row>
    <row r="373">
      <c r="B373" s="316"/>
      <c r="C373" s="417">
        <v>43754.0</v>
      </c>
      <c r="D373" s="426" t="s">
        <v>1139</v>
      </c>
      <c r="E373" s="426">
        <v>48.0</v>
      </c>
      <c r="F373" s="332"/>
      <c r="G373" s="321">
        <v>0.6388888888888888</v>
      </c>
      <c r="H373" s="323">
        <v>0.6399305555555556</v>
      </c>
      <c r="I373" s="323"/>
      <c r="J373" s="323"/>
      <c r="K373" s="323">
        <v>0.6438657407407408</v>
      </c>
      <c r="L373" s="322">
        <f t="shared" si="7"/>
        <v>0.004976851852</v>
      </c>
      <c r="M373" s="319" t="s">
        <v>166</v>
      </c>
      <c r="N373" s="324" t="s">
        <v>188</v>
      </c>
      <c r="O373" s="419" t="s">
        <v>841</v>
      </c>
      <c r="P373" s="318"/>
      <c r="Q373" s="318"/>
      <c r="R373" s="326">
        <v>21.2</v>
      </c>
      <c r="S373" s="319">
        <v>40.0</v>
      </c>
      <c r="T373" s="332"/>
      <c r="U373" s="319">
        <v>93.0</v>
      </c>
      <c r="V373" s="319"/>
      <c r="W373" s="319"/>
      <c r="X373" s="319"/>
      <c r="Y373" s="319"/>
      <c r="Z373" s="319" t="s">
        <v>387</v>
      </c>
      <c r="AA373" s="319"/>
      <c r="AB373" s="318"/>
      <c r="AC373" s="327">
        <v>52.5</v>
      </c>
      <c r="AD373" s="319"/>
      <c r="AE373" s="319"/>
      <c r="AF373" s="319"/>
      <c r="AG373" s="319"/>
      <c r="AH373" s="319"/>
      <c r="AI373" s="319"/>
      <c r="AJ373" s="327"/>
      <c r="AK373" s="328"/>
      <c r="AL373" s="319"/>
      <c r="AM373" s="319"/>
      <c r="AN373" s="319"/>
      <c r="AO373" s="319"/>
      <c r="AP373" s="319"/>
      <c r="AQ373" s="319"/>
      <c r="AR373" s="319"/>
      <c r="AS373" s="327"/>
      <c r="AT373" s="461" t="s">
        <v>183</v>
      </c>
      <c r="AU373" s="324" t="s">
        <v>845</v>
      </c>
      <c r="AV373" s="330">
        <f>SQRT(($R373-Infrastructure!J$3)^2+($S373-Infrastructure!K$3)^2)</f>
        <v>24.19628071</v>
      </c>
      <c r="AW373" s="331">
        <f>SQRT(($R373-Infrastructure!J$4)^2+($S373-Infrastructure!K$4)^2)</f>
        <v>30.90453041</v>
      </c>
      <c r="AX373" s="331">
        <f>SQRT(($R373-Infrastructure!J$5)^2+($S373-Infrastructure!K$5)^2)</f>
        <v>40.99097462</v>
      </c>
      <c r="AY373" s="331">
        <f>SQRT(($R373-Infrastructure!J$6)^2+($S373-Infrastructure!K$6)^2)</f>
        <v>41.22256664</v>
      </c>
      <c r="AZ373" s="331">
        <f>SQRT(($R373-Infrastructure!J$7)^2+($S373-Infrastructure!K$7)^2)</f>
        <v>39.70617081</v>
      </c>
      <c r="BA373" s="331">
        <f>SQRT(($R373-Infrastructure!J$8)^2+($S373-Infrastructure!K$8)^2)</f>
        <v>40.68537821</v>
      </c>
      <c r="BB373" s="331">
        <f>SQRT(($R373-Infrastructure!J$9)^2+($S373-Infrastructure!K$9)^2)</f>
        <v>39.64151864</v>
      </c>
      <c r="BC373" s="331">
        <f>SQRT(($R373-Infrastructure!J$10)^2+($S373-Infrastructure!K$10)^2)</f>
        <v>31.28002558</v>
      </c>
      <c r="BD373" s="318"/>
      <c r="BE373" s="332"/>
      <c r="BF373" s="330">
        <f t="shared" si="14"/>
        <v>24.19628071</v>
      </c>
      <c r="BG373" s="333">
        <f t="shared" si="15"/>
        <v>41.22256664</v>
      </c>
      <c r="BH373" s="334"/>
      <c r="BI373" s="316"/>
      <c r="BJ373" s="318"/>
      <c r="BK373" s="318"/>
      <c r="BL373" s="318"/>
      <c r="BM373" s="318"/>
      <c r="BN373" s="318"/>
      <c r="BO373" s="318"/>
      <c r="BP373" s="318"/>
      <c r="BQ373" s="338"/>
      <c r="BR373" s="420"/>
      <c r="BS373" s="330"/>
      <c r="BT373" s="331"/>
      <c r="BU373" s="331"/>
      <c r="BV373" s="333"/>
      <c r="BW373" s="330"/>
      <c r="BX373" s="331"/>
      <c r="BY373" s="331"/>
      <c r="BZ373" s="340"/>
      <c r="CA373" s="316"/>
      <c r="CB373" s="318"/>
      <c r="CC373" s="318"/>
      <c r="CD373" s="318"/>
      <c r="CE373" s="318"/>
      <c r="CF373" s="318"/>
      <c r="CG373" s="318"/>
      <c r="CH373" s="318"/>
      <c r="CI373" s="338"/>
      <c r="CJ373" s="341"/>
      <c r="CK373" s="342">
        <f t="shared" si="18"/>
        <v>0</v>
      </c>
      <c r="CL373" s="333">
        <f t="shared" si="19"/>
        <v>0</v>
      </c>
      <c r="CM373" s="423"/>
      <c r="CN373" s="424"/>
      <c r="CO373" s="424"/>
      <c r="CP373" s="424"/>
    </row>
    <row r="374">
      <c r="A374" s="389" t="s">
        <v>27</v>
      </c>
      <c r="B374" s="390"/>
      <c r="C374" s="391">
        <v>43760.0</v>
      </c>
      <c r="D374" s="393" t="s">
        <v>1120</v>
      </c>
      <c r="E374" s="393">
        <v>1.0</v>
      </c>
      <c r="F374" s="394" t="s">
        <v>1152</v>
      </c>
      <c r="G374" s="395">
        <v>0.4762152777777778</v>
      </c>
      <c r="H374" s="456">
        <v>0.4765625</v>
      </c>
      <c r="I374" s="456"/>
      <c r="J374" s="456"/>
      <c r="K374" s="456">
        <v>0.4769097222222222</v>
      </c>
      <c r="L374" s="456">
        <v>3.4722222222222224E-4</v>
      </c>
      <c r="M374" s="393" t="s">
        <v>166</v>
      </c>
      <c r="N374" s="394" t="s">
        <v>187</v>
      </c>
      <c r="O374" s="399" t="s">
        <v>205</v>
      </c>
      <c r="P374" s="393" t="s">
        <v>240</v>
      </c>
      <c r="Q374" s="392"/>
      <c r="R374" s="400">
        <v>21.1</v>
      </c>
      <c r="S374" s="393">
        <v>4.13</v>
      </c>
      <c r="T374" s="394">
        <v>2.1</v>
      </c>
      <c r="U374" s="393">
        <v>0.3</v>
      </c>
      <c r="V374" s="393"/>
      <c r="W374" s="393"/>
      <c r="X374" s="393"/>
      <c r="Y374" s="393"/>
      <c r="Z374" s="393" t="s">
        <v>370</v>
      </c>
      <c r="AA374" s="393"/>
      <c r="AB374" s="393" t="s">
        <v>1153</v>
      </c>
      <c r="AC374" s="401">
        <v>4.0</v>
      </c>
      <c r="AD374" s="393"/>
      <c r="AE374" s="393"/>
      <c r="AF374" s="393"/>
      <c r="AG374" s="393"/>
      <c r="AH374" s="393"/>
      <c r="AI374" s="393"/>
      <c r="AJ374" s="401"/>
      <c r="AK374" s="402"/>
      <c r="AL374" s="393"/>
      <c r="AM374" s="393"/>
      <c r="AN374" s="393"/>
      <c r="AO374" s="393"/>
      <c r="AP374" s="393"/>
      <c r="AQ374" s="393"/>
      <c r="AR374" s="393"/>
      <c r="AS374" s="401"/>
      <c r="AT374" s="460" t="s">
        <v>181</v>
      </c>
      <c r="AU374" s="394" t="s">
        <v>845</v>
      </c>
      <c r="AV374" s="405">
        <f>SQRT(($R374-Infrastructure!J$3)^2+($S374-Infrastructure!K$3)^2)</f>
        <v>32.73397165</v>
      </c>
      <c r="AW374" s="406">
        <f>SQRT(($R374-Infrastructure!J$4)^2+($S374-Infrastructure!K$4)^2)</f>
        <v>25.39348145</v>
      </c>
      <c r="AX374" s="406">
        <f>SQRT(($R374-Infrastructure!J$5)^2+($S374-Infrastructure!K$5)^2)</f>
        <v>21.42197236</v>
      </c>
      <c r="AY374" s="406">
        <f>SQRT(($R374-Infrastructure!J$6)^2+($S374-Infrastructure!K$6)^2)</f>
        <v>11.64769934</v>
      </c>
      <c r="AZ374" s="406">
        <f>SQRT(($R374-Infrastructure!J$7)^2+($S374-Infrastructure!K$7)^2)</f>
        <v>3.876712525</v>
      </c>
      <c r="BA374" s="406">
        <f>SQRT(($R374-Infrastructure!J$8)^2+($S374-Infrastructure!K$8)^2)</f>
        <v>9.781048001</v>
      </c>
      <c r="BB374" s="406">
        <f>SQRT(($R374-Infrastructure!J$9)^2+($S374-Infrastructure!K$9)^2)</f>
        <v>18.92487516</v>
      </c>
      <c r="BC374" s="406">
        <f>SQRT(($R374-Infrastructure!J$10)^2+($S374-Infrastructure!K$10)^2)</f>
        <v>21.80291036</v>
      </c>
      <c r="BD374" s="392"/>
      <c r="BE374" s="407"/>
      <c r="BF374" s="330">
        <f t="shared" si="14"/>
        <v>3.876712525</v>
      </c>
      <c r="BG374" s="333">
        <f t="shared" si="15"/>
        <v>32.73397165</v>
      </c>
      <c r="BH374" s="409"/>
      <c r="BI374" s="390"/>
      <c r="BJ374" s="392"/>
      <c r="BK374" s="392"/>
      <c r="BL374" s="392"/>
      <c r="BM374" s="392"/>
      <c r="BN374" s="392"/>
      <c r="BO374" s="392"/>
      <c r="BP374" s="392"/>
      <c r="BQ374" s="410"/>
      <c r="BR374" s="411"/>
      <c r="BS374" s="330"/>
      <c r="BT374" s="331"/>
      <c r="BU374" s="406"/>
      <c r="BV374" s="408"/>
      <c r="BW374" s="405"/>
      <c r="BX374" s="406"/>
      <c r="BY374" s="406"/>
      <c r="BZ374" s="412"/>
      <c r="CA374" s="390"/>
      <c r="CB374" s="392"/>
      <c r="CC374" s="392"/>
      <c r="CD374" s="392"/>
      <c r="CE374" s="392"/>
      <c r="CF374" s="392"/>
      <c r="CG374" s="392"/>
      <c r="CH374" s="392"/>
      <c r="CI374" s="410"/>
      <c r="CJ374" s="413"/>
      <c r="CK374" s="342">
        <f t="shared" si="18"/>
        <v>0</v>
      </c>
      <c r="CL374" s="333">
        <f t="shared" si="19"/>
        <v>0</v>
      </c>
      <c r="CM374" s="415" t="s">
        <v>1122</v>
      </c>
      <c r="CN374" s="416"/>
      <c r="CO374" s="416"/>
      <c r="CP374" s="416"/>
    </row>
    <row r="375">
      <c r="B375" s="316"/>
      <c r="C375" s="417">
        <v>43760.0</v>
      </c>
      <c r="D375" s="319" t="s">
        <v>1120</v>
      </c>
      <c r="E375" s="319">
        <v>1.0</v>
      </c>
      <c r="F375" s="324" t="s">
        <v>1154</v>
      </c>
      <c r="G375" s="321">
        <v>0.4769097222222222</v>
      </c>
      <c r="H375" s="323">
        <v>0.478125</v>
      </c>
      <c r="I375" s="323"/>
      <c r="J375" s="323"/>
      <c r="K375" s="323">
        <v>0.47847222222222224</v>
      </c>
      <c r="L375" s="323">
        <v>3.4722222222222224E-4</v>
      </c>
      <c r="M375" s="319" t="s">
        <v>166</v>
      </c>
      <c r="N375" s="324" t="s">
        <v>187</v>
      </c>
      <c r="O375" s="419" t="s">
        <v>205</v>
      </c>
      <c r="P375" s="426" t="s">
        <v>240</v>
      </c>
      <c r="Q375" s="318"/>
      <c r="R375" s="326">
        <v>21.1</v>
      </c>
      <c r="S375" s="319">
        <v>4.13</v>
      </c>
      <c r="T375" s="324">
        <v>2.1</v>
      </c>
      <c r="U375" s="319">
        <v>0.75</v>
      </c>
      <c r="V375" s="319"/>
      <c r="W375" s="319"/>
      <c r="X375" s="319"/>
      <c r="Y375" s="319"/>
      <c r="Z375" s="319" t="s">
        <v>370</v>
      </c>
      <c r="AA375" s="319"/>
      <c r="AB375" s="426" t="s">
        <v>1153</v>
      </c>
      <c r="AC375" s="327">
        <v>4.0</v>
      </c>
      <c r="AD375" s="319"/>
      <c r="AE375" s="319"/>
      <c r="AF375" s="319"/>
      <c r="AG375" s="319"/>
      <c r="AH375" s="319"/>
      <c r="AI375" s="319"/>
      <c r="AJ375" s="327"/>
      <c r="AK375" s="328"/>
      <c r="AL375" s="319"/>
      <c r="AM375" s="319"/>
      <c r="AN375" s="319"/>
      <c r="AO375" s="319"/>
      <c r="AP375" s="319"/>
      <c r="AQ375" s="319"/>
      <c r="AR375" s="319"/>
      <c r="AS375" s="327"/>
      <c r="AT375" s="461" t="s">
        <v>181</v>
      </c>
      <c r="AU375" s="324" t="s">
        <v>845</v>
      </c>
      <c r="AV375" s="330">
        <f>SQRT(($R375-Infrastructure!J$3)^2+($S375-Infrastructure!K$3)^2)</f>
        <v>32.73397165</v>
      </c>
      <c r="AW375" s="331">
        <f>SQRT(($R375-Infrastructure!J$4)^2+($S375-Infrastructure!K$4)^2)</f>
        <v>25.39348145</v>
      </c>
      <c r="AX375" s="331">
        <f>SQRT(($R375-Infrastructure!J$5)^2+($S375-Infrastructure!K$5)^2)</f>
        <v>21.42197236</v>
      </c>
      <c r="AY375" s="331">
        <f>SQRT(($R375-Infrastructure!J$6)^2+($S375-Infrastructure!K$6)^2)</f>
        <v>11.64769934</v>
      </c>
      <c r="AZ375" s="331">
        <f>SQRT(($R375-Infrastructure!J$7)^2+($S375-Infrastructure!K$7)^2)</f>
        <v>3.876712525</v>
      </c>
      <c r="BA375" s="331">
        <f>SQRT(($R375-Infrastructure!J$8)^2+($S375-Infrastructure!K$8)^2)</f>
        <v>9.781048001</v>
      </c>
      <c r="BB375" s="331">
        <f>SQRT(($R375-Infrastructure!J$9)^2+($S375-Infrastructure!K$9)^2)</f>
        <v>18.92487516</v>
      </c>
      <c r="BC375" s="331">
        <f>SQRT(($R375-Infrastructure!J$10)^2+($S375-Infrastructure!K$10)^2)</f>
        <v>21.80291036</v>
      </c>
      <c r="BD375" s="318"/>
      <c r="BE375" s="332"/>
      <c r="BF375" s="330">
        <f t="shared" si="14"/>
        <v>3.876712525</v>
      </c>
      <c r="BG375" s="333">
        <f t="shared" si="15"/>
        <v>32.73397165</v>
      </c>
      <c r="BH375" s="334"/>
      <c r="BI375" s="316"/>
      <c r="BJ375" s="318"/>
      <c r="BK375" s="318"/>
      <c r="BL375" s="318"/>
      <c r="BM375" s="318"/>
      <c r="BN375" s="318"/>
      <c r="BO375" s="318"/>
      <c r="BP375" s="318"/>
      <c r="BQ375" s="338"/>
      <c r="BR375" s="420"/>
      <c r="BS375" s="330"/>
      <c r="BT375" s="331"/>
      <c r="BU375" s="331"/>
      <c r="BV375" s="333"/>
      <c r="BW375" s="330"/>
      <c r="BX375" s="331"/>
      <c r="BY375" s="331"/>
      <c r="BZ375" s="340"/>
      <c r="CA375" s="316"/>
      <c r="CB375" s="318"/>
      <c r="CC375" s="318"/>
      <c r="CD375" s="318"/>
      <c r="CE375" s="318"/>
      <c r="CF375" s="318"/>
      <c r="CG375" s="318"/>
      <c r="CH375" s="318"/>
      <c r="CI375" s="338"/>
      <c r="CJ375" s="341"/>
      <c r="CK375" s="342">
        <f t="shared" si="18"/>
        <v>0</v>
      </c>
      <c r="CL375" s="333">
        <f t="shared" si="19"/>
        <v>0</v>
      </c>
      <c r="CM375" s="423"/>
      <c r="CN375" s="424"/>
      <c r="CO375" s="424"/>
      <c r="CP375" s="424"/>
    </row>
    <row r="376">
      <c r="B376" s="316"/>
      <c r="C376" s="417">
        <v>43760.0</v>
      </c>
      <c r="D376" s="319" t="s">
        <v>1120</v>
      </c>
      <c r="E376" s="319">
        <v>1.0</v>
      </c>
      <c r="F376" s="324" t="s">
        <v>1155</v>
      </c>
      <c r="G376" s="321">
        <v>0.47847222222222224</v>
      </c>
      <c r="H376" s="323">
        <v>0.47934027777777777</v>
      </c>
      <c r="I376" s="323"/>
      <c r="J376" s="323"/>
      <c r="K376" s="323">
        <v>0.4796875</v>
      </c>
      <c r="L376" s="323">
        <v>3.4722222222222224E-4</v>
      </c>
      <c r="M376" s="319" t="s">
        <v>166</v>
      </c>
      <c r="N376" s="324" t="s">
        <v>187</v>
      </c>
      <c r="O376" s="419" t="s">
        <v>205</v>
      </c>
      <c r="P376" s="426" t="s">
        <v>240</v>
      </c>
      <c r="Q376" s="318"/>
      <c r="R376" s="326">
        <v>21.1</v>
      </c>
      <c r="S376" s="319">
        <v>4.13</v>
      </c>
      <c r="T376" s="324">
        <v>2.1</v>
      </c>
      <c r="U376" s="319">
        <v>1.1</v>
      </c>
      <c r="V376" s="319"/>
      <c r="W376" s="319"/>
      <c r="X376" s="319"/>
      <c r="Y376" s="319"/>
      <c r="Z376" s="319" t="s">
        <v>370</v>
      </c>
      <c r="AA376" s="319"/>
      <c r="AB376" s="426" t="s">
        <v>1153</v>
      </c>
      <c r="AC376" s="327">
        <v>4.0</v>
      </c>
      <c r="AD376" s="319"/>
      <c r="AE376" s="319"/>
      <c r="AF376" s="319"/>
      <c r="AG376" s="319"/>
      <c r="AH376" s="319"/>
      <c r="AI376" s="319"/>
      <c r="AJ376" s="327"/>
      <c r="AK376" s="328"/>
      <c r="AL376" s="319"/>
      <c r="AM376" s="319"/>
      <c r="AN376" s="319"/>
      <c r="AO376" s="319"/>
      <c r="AP376" s="319"/>
      <c r="AQ376" s="319"/>
      <c r="AR376" s="319"/>
      <c r="AS376" s="327"/>
      <c r="AT376" s="461" t="s">
        <v>182</v>
      </c>
      <c r="AU376" s="324" t="s">
        <v>845</v>
      </c>
      <c r="AV376" s="330">
        <f>SQRT(($R376-Infrastructure!J$3)^2+($S376-Infrastructure!K$3)^2)</f>
        <v>32.73397165</v>
      </c>
      <c r="AW376" s="331">
        <f>SQRT(($R376-Infrastructure!J$4)^2+($S376-Infrastructure!K$4)^2)</f>
        <v>25.39348145</v>
      </c>
      <c r="AX376" s="331">
        <f>SQRT(($R376-Infrastructure!J$5)^2+($S376-Infrastructure!K$5)^2)</f>
        <v>21.42197236</v>
      </c>
      <c r="AY376" s="331">
        <f>SQRT(($R376-Infrastructure!J$6)^2+($S376-Infrastructure!K$6)^2)</f>
        <v>11.64769934</v>
      </c>
      <c r="AZ376" s="331">
        <f>SQRT(($R376-Infrastructure!J$7)^2+($S376-Infrastructure!K$7)^2)</f>
        <v>3.876712525</v>
      </c>
      <c r="BA376" s="331">
        <f>SQRT(($R376-Infrastructure!J$8)^2+($S376-Infrastructure!K$8)^2)</f>
        <v>9.781048001</v>
      </c>
      <c r="BB376" s="331">
        <f>SQRT(($R376-Infrastructure!J$9)^2+($S376-Infrastructure!K$9)^2)</f>
        <v>18.92487516</v>
      </c>
      <c r="BC376" s="331">
        <f>SQRT(($R376-Infrastructure!J$10)^2+($S376-Infrastructure!K$10)^2)</f>
        <v>21.80291036</v>
      </c>
      <c r="BD376" s="318"/>
      <c r="BE376" s="332"/>
      <c r="BF376" s="330">
        <f t="shared" si="14"/>
        <v>3.876712525</v>
      </c>
      <c r="BG376" s="333">
        <f t="shared" si="15"/>
        <v>32.73397165</v>
      </c>
      <c r="BH376" s="334"/>
      <c r="BI376" s="316"/>
      <c r="BJ376" s="318"/>
      <c r="BK376" s="318"/>
      <c r="BL376" s="318"/>
      <c r="BM376" s="318"/>
      <c r="BN376" s="318"/>
      <c r="BO376" s="318"/>
      <c r="BP376" s="318"/>
      <c r="BQ376" s="338"/>
      <c r="BR376" s="420"/>
      <c r="BS376" s="330"/>
      <c r="BT376" s="331"/>
      <c r="BU376" s="331"/>
      <c r="BV376" s="333"/>
      <c r="BW376" s="330"/>
      <c r="BX376" s="331"/>
      <c r="BY376" s="331"/>
      <c r="BZ376" s="340"/>
      <c r="CA376" s="316"/>
      <c r="CB376" s="318"/>
      <c r="CC376" s="318"/>
      <c r="CD376" s="318"/>
      <c r="CE376" s="318"/>
      <c r="CF376" s="318"/>
      <c r="CG376" s="318"/>
      <c r="CH376" s="318"/>
      <c r="CI376" s="338"/>
      <c r="CJ376" s="341"/>
      <c r="CK376" s="342">
        <f t="shared" si="18"/>
        <v>0</v>
      </c>
      <c r="CL376" s="333">
        <f t="shared" si="19"/>
        <v>0</v>
      </c>
      <c r="CM376" s="423"/>
      <c r="CN376" s="424"/>
      <c r="CO376" s="424"/>
      <c r="CP376" s="424"/>
    </row>
    <row r="377">
      <c r="B377" s="316"/>
      <c r="C377" s="417">
        <v>43760.0</v>
      </c>
      <c r="D377" s="319" t="s">
        <v>1120</v>
      </c>
      <c r="E377" s="319">
        <v>2.0</v>
      </c>
      <c r="F377" s="324" t="s">
        <v>1156</v>
      </c>
      <c r="G377" s="321">
        <v>0.4822916666666667</v>
      </c>
      <c r="H377" s="323">
        <v>0.4835069444444444</v>
      </c>
      <c r="I377" s="323"/>
      <c r="J377" s="323"/>
      <c r="K377" s="323">
        <v>0.48385416666666664</v>
      </c>
      <c r="L377" s="323">
        <v>3.4722222222222224E-4</v>
      </c>
      <c r="M377" s="319" t="s">
        <v>166</v>
      </c>
      <c r="N377" s="324" t="s">
        <v>187</v>
      </c>
      <c r="O377" s="419" t="s">
        <v>205</v>
      </c>
      <c r="P377" s="426" t="s">
        <v>240</v>
      </c>
      <c r="Q377" s="318"/>
      <c r="R377" s="326">
        <v>21.1</v>
      </c>
      <c r="S377" s="319">
        <v>4.13</v>
      </c>
      <c r="T377" s="324">
        <v>2.1</v>
      </c>
      <c r="U377" s="319">
        <v>1.6</v>
      </c>
      <c r="V377" s="319"/>
      <c r="W377" s="319"/>
      <c r="X377" s="319"/>
      <c r="Y377" s="319"/>
      <c r="Z377" s="319" t="s">
        <v>370</v>
      </c>
      <c r="AA377" s="319"/>
      <c r="AB377" s="319" t="s">
        <v>1157</v>
      </c>
      <c r="AC377" s="327">
        <v>10.0</v>
      </c>
      <c r="AD377" s="319"/>
      <c r="AE377" s="319"/>
      <c r="AF377" s="319"/>
      <c r="AG377" s="319"/>
      <c r="AH377" s="319"/>
      <c r="AI377" s="319"/>
      <c r="AJ377" s="327"/>
      <c r="AK377" s="328"/>
      <c r="AL377" s="319"/>
      <c r="AM377" s="319"/>
      <c r="AN377" s="319"/>
      <c r="AO377" s="319"/>
      <c r="AP377" s="319"/>
      <c r="AQ377" s="319"/>
      <c r="AR377" s="319"/>
      <c r="AS377" s="327"/>
      <c r="AT377" s="461" t="s">
        <v>182</v>
      </c>
      <c r="AU377" s="324" t="s">
        <v>845</v>
      </c>
      <c r="AV377" s="330">
        <f>SQRT(($R377-Infrastructure!J$3)^2+($S377-Infrastructure!K$3)^2)</f>
        <v>32.73397165</v>
      </c>
      <c r="AW377" s="331">
        <f>SQRT(($R377-Infrastructure!J$4)^2+($S377-Infrastructure!K$4)^2)</f>
        <v>25.39348145</v>
      </c>
      <c r="AX377" s="331">
        <f>SQRT(($R377-Infrastructure!J$5)^2+($S377-Infrastructure!K$5)^2)</f>
        <v>21.42197236</v>
      </c>
      <c r="AY377" s="331">
        <f>SQRT(($R377-Infrastructure!J$6)^2+($S377-Infrastructure!K$6)^2)</f>
        <v>11.64769934</v>
      </c>
      <c r="AZ377" s="331">
        <f>SQRT(($R377-Infrastructure!J$7)^2+($S377-Infrastructure!K$7)^2)</f>
        <v>3.876712525</v>
      </c>
      <c r="BA377" s="331">
        <f>SQRT(($R377-Infrastructure!J$8)^2+($S377-Infrastructure!K$8)^2)</f>
        <v>9.781048001</v>
      </c>
      <c r="BB377" s="331">
        <f>SQRT(($R377-Infrastructure!J$9)^2+($S377-Infrastructure!K$9)^2)</f>
        <v>18.92487516</v>
      </c>
      <c r="BC377" s="331">
        <f>SQRT(($R377-Infrastructure!J$10)^2+($S377-Infrastructure!K$10)^2)</f>
        <v>21.80291036</v>
      </c>
      <c r="BD377" s="318"/>
      <c r="BE377" s="332"/>
      <c r="BF377" s="330">
        <f t="shared" si="14"/>
        <v>3.876712525</v>
      </c>
      <c r="BG377" s="333">
        <f t="shared" si="15"/>
        <v>32.73397165</v>
      </c>
      <c r="BH377" s="334"/>
      <c r="BI377" s="316"/>
      <c r="BJ377" s="318"/>
      <c r="BK377" s="318"/>
      <c r="BL377" s="318"/>
      <c r="BM377" s="318"/>
      <c r="BN377" s="318"/>
      <c r="BO377" s="318"/>
      <c r="BP377" s="318"/>
      <c r="BQ377" s="338"/>
      <c r="BR377" s="420"/>
      <c r="BS377" s="330"/>
      <c r="BT377" s="331"/>
      <c r="BU377" s="331"/>
      <c r="BV377" s="333"/>
      <c r="BW377" s="330"/>
      <c r="BX377" s="331"/>
      <c r="BY377" s="331"/>
      <c r="BZ377" s="340"/>
      <c r="CA377" s="316"/>
      <c r="CB377" s="318"/>
      <c r="CC377" s="318"/>
      <c r="CD377" s="318"/>
      <c r="CE377" s="318"/>
      <c r="CF377" s="318"/>
      <c r="CG377" s="318"/>
      <c r="CH377" s="318"/>
      <c r="CI377" s="338"/>
      <c r="CJ377" s="341"/>
      <c r="CK377" s="342">
        <f t="shared" si="18"/>
        <v>0</v>
      </c>
      <c r="CL377" s="333">
        <f t="shared" si="19"/>
        <v>0</v>
      </c>
      <c r="CM377" s="423"/>
      <c r="CN377" s="424"/>
      <c r="CO377" s="424"/>
      <c r="CP377" s="424"/>
    </row>
    <row r="378">
      <c r="B378" s="316"/>
      <c r="C378" s="417">
        <v>43760.0</v>
      </c>
      <c r="D378" s="319" t="s">
        <v>1120</v>
      </c>
      <c r="E378" s="319">
        <v>2.0</v>
      </c>
      <c r="F378" s="324" t="s">
        <v>1158</v>
      </c>
      <c r="G378" s="321">
        <v>0.48385416666666664</v>
      </c>
      <c r="H378" s="323">
        <v>0.48454861111111114</v>
      </c>
      <c r="I378" s="323"/>
      <c r="J378" s="323"/>
      <c r="K378" s="323">
        <v>0.48489583333333336</v>
      </c>
      <c r="L378" s="323">
        <v>3.4722222222222224E-4</v>
      </c>
      <c r="M378" s="319" t="s">
        <v>166</v>
      </c>
      <c r="N378" s="324" t="s">
        <v>187</v>
      </c>
      <c r="O378" s="419" t="s">
        <v>205</v>
      </c>
      <c r="P378" s="426" t="s">
        <v>240</v>
      </c>
      <c r="Q378" s="318"/>
      <c r="R378" s="326">
        <v>21.1</v>
      </c>
      <c r="S378" s="319">
        <v>4.13</v>
      </c>
      <c r="T378" s="324">
        <v>2.1</v>
      </c>
      <c r="U378" s="319">
        <v>1.9</v>
      </c>
      <c r="V378" s="319"/>
      <c r="W378" s="319"/>
      <c r="X378" s="319"/>
      <c r="Y378" s="319"/>
      <c r="Z378" s="319" t="s">
        <v>370</v>
      </c>
      <c r="AA378" s="319"/>
      <c r="AB378" s="426" t="s">
        <v>1157</v>
      </c>
      <c r="AC378" s="327">
        <v>10.0</v>
      </c>
      <c r="AD378" s="319"/>
      <c r="AE378" s="319"/>
      <c r="AF378" s="319"/>
      <c r="AG378" s="319"/>
      <c r="AH378" s="319"/>
      <c r="AI378" s="319"/>
      <c r="AJ378" s="327"/>
      <c r="AK378" s="328"/>
      <c r="AL378" s="319"/>
      <c r="AM378" s="319"/>
      <c r="AN378" s="319"/>
      <c r="AO378" s="319"/>
      <c r="AP378" s="319"/>
      <c r="AQ378" s="319"/>
      <c r="AR378" s="319"/>
      <c r="AS378" s="327"/>
      <c r="AT378" s="461" t="s">
        <v>182</v>
      </c>
      <c r="AU378" s="324" t="s">
        <v>845</v>
      </c>
      <c r="AV378" s="330">
        <f>SQRT(($R378-Infrastructure!J$3)^2+($S378-Infrastructure!K$3)^2)</f>
        <v>32.73397165</v>
      </c>
      <c r="AW378" s="331">
        <f>SQRT(($R378-Infrastructure!J$4)^2+($S378-Infrastructure!K$4)^2)</f>
        <v>25.39348145</v>
      </c>
      <c r="AX378" s="331">
        <f>SQRT(($R378-Infrastructure!J$5)^2+($S378-Infrastructure!K$5)^2)</f>
        <v>21.42197236</v>
      </c>
      <c r="AY378" s="331">
        <f>SQRT(($R378-Infrastructure!J$6)^2+($S378-Infrastructure!K$6)^2)</f>
        <v>11.64769934</v>
      </c>
      <c r="AZ378" s="331">
        <f>SQRT(($R378-Infrastructure!J$7)^2+($S378-Infrastructure!K$7)^2)</f>
        <v>3.876712525</v>
      </c>
      <c r="BA378" s="331">
        <f>SQRT(($R378-Infrastructure!J$8)^2+($S378-Infrastructure!K$8)^2)</f>
        <v>9.781048001</v>
      </c>
      <c r="BB378" s="331">
        <f>SQRT(($R378-Infrastructure!J$9)^2+($S378-Infrastructure!K$9)^2)</f>
        <v>18.92487516</v>
      </c>
      <c r="BC378" s="331">
        <f>SQRT(($R378-Infrastructure!J$10)^2+($S378-Infrastructure!K$10)^2)</f>
        <v>21.80291036</v>
      </c>
      <c r="BD378" s="318"/>
      <c r="BE378" s="332"/>
      <c r="BF378" s="330">
        <f t="shared" si="14"/>
        <v>3.876712525</v>
      </c>
      <c r="BG378" s="333">
        <f t="shared" si="15"/>
        <v>32.73397165</v>
      </c>
      <c r="BH378" s="334"/>
      <c r="BI378" s="316"/>
      <c r="BJ378" s="318"/>
      <c r="BK378" s="318"/>
      <c r="BL378" s="318"/>
      <c r="BM378" s="318"/>
      <c r="BN378" s="318"/>
      <c r="BO378" s="318"/>
      <c r="BP378" s="318"/>
      <c r="BQ378" s="338"/>
      <c r="BR378" s="420"/>
      <c r="BS378" s="330"/>
      <c r="BT378" s="331"/>
      <c r="BU378" s="331"/>
      <c r="BV378" s="333"/>
      <c r="BW378" s="330"/>
      <c r="BX378" s="331"/>
      <c r="BY378" s="331"/>
      <c r="BZ378" s="340"/>
      <c r="CA378" s="316"/>
      <c r="CB378" s="318"/>
      <c r="CC378" s="318"/>
      <c r="CD378" s="318"/>
      <c r="CE378" s="318"/>
      <c r="CF378" s="318"/>
      <c r="CG378" s="318"/>
      <c r="CH378" s="318"/>
      <c r="CI378" s="338"/>
      <c r="CJ378" s="341"/>
      <c r="CK378" s="342">
        <f t="shared" si="18"/>
        <v>0</v>
      </c>
      <c r="CL378" s="333">
        <f t="shared" si="19"/>
        <v>0</v>
      </c>
      <c r="CM378" s="423"/>
      <c r="CN378" s="424"/>
      <c r="CO378" s="424"/>
      <c r="CP378" s="424"/>
    </row>
    <row r="379">
      <c r="B379" s="316"/>
      <c r="C379" s="417">
        <v>43760.0</v>
      </c>
      <c r="D379" s="319" t="s">
        <v>1120</v>
      </c>
      <c r="E379" s="319">
        <v>2.0</v>
      </c>
      <c r="F379" s="324" t="s">
        <v>1159</v>
      </c>
      <c r="G379" s="321">
        <v>0.48489583333333336</v>
      </c>
      <c r="H379" s="323">
        <v>0.4857638888888889</v>
      </c>
      <c r="I379" s="323"/>
      <c r="J379" s="323"/>
      <c r="K379" s="323">
        <v>0.4861111111111111</v>
      </c>
      <c r="L379" s="323">
        <v>3.4722222222222224E-4</v>
      </c>
      <c r="M379" s="319" t="s">
        <v>166</v>
      </c>
      <c r="N379" s="324" t="s">
        <v>187</v>
      </c>
      <c r="O379" s="419" t="s">
        <v>205</v>
      </c>
      <c r="P379" s="426" t="s">
        <v>240</v>
      </c>
      <c r="Q379" s="318"/>
      <c r="R379" s="326">
        <v>21.1</v>
      </c>
      <c r="S379" s="319">
        <v>4.13</v>
      </c>
      <c r="T379" s="324">
        <v>2.1</v>
      </c>
      <c r="U379" s="319">
        <v>2.1</v>
      </c>
      <c r="V379" s="319"/>
      <c r="W379" s="319"/>
      <c r="X379" s="319"/>
      <c r="Y379" s="319"/>
      <c r="Z379" s="319" t="s">
        <v>370</v>
      </c>
      <c r="AA379" s="319"/>
      <c r="AB379" s="426" t="s">
        <v>1157</v>
      </c>
      <c r="AC379" s="327">
        <v>10.0</v>
      </c>
      <c r="AD379" s="319"/>
      <c r="AE379" s="319"/>
      <c r="AF379" s="319"/>
      <c r="AG379" s="319"/>
      <c r="AH379" s="319"/>
      <c r="AI379" s="319"/>
      <c r="AJ379" s="327"/>
      <c r="AK379" s="328"/>
      <c r="AL379" s="319"/>
      <c r="AM379" s="319"/>
      <c r="AN379" s="319"/>
      <c r="AO379" s="319"/>
      <c r="AP379" s="319"/>
      <c r="AQ379" s="319"/>
      <c r="AR379" s="319"/>
      <c r="AS379" s="327"/>
      <c r="AT379" s="461" t="s">
        <v>182</v>
      </c>
      <c r="AU379" s="324" t="s">
        <v>845</v>
      </c>
      <c r="AV379" s="330">
        <f>SQRT(($R379-Infrastructure!J$3)^2+($S379-Infrastructure!K$3)^2)</f>
        <v>32.73397165</v>
      </c>
      <c r="AW379" s="331">
        <f>SQRT(($R379-Infrastructure!J$4)^2+($S379-Infrastructure!K$4)^2)</f>
        <v>25.39348145</v>
      </c>
      <c r="AX379" s="331">
        <f>SQRT(($R379-Infrastructure!J$5)^2+($S379-Infrastructure!K$5)^2)</f>
        <v>21.42197236</v>
      </c>
      <c r="AY379" s="331">
        <f>SQRT(($R379-Infrastructure!J$6)^2+($S379-Infrastructure!K$6)^2)</f>
        <v>11.64769934</v>
      </c>
      <c r="AZ379" s="331">
        <f>SQRT(($R379-Infrastructure!J$7)^2+($S379-Infrastructure!K$7)^2)</f>
        <v>3.876712525</v>
      </c>
      <c r="BA379" s="331">
        <f>SQRT(($R379-Infrastructure!J$8)^2+($S379-Infrastructure!K$8)^2)</f>
        <v>9.781048001</v>
      </c>
      <c r="BB379" s="331">
        <f>SQRT(($R379-Infrastructure!J$9)^2+($S379-Infrastructure!K$9)^2)</f>
        <v>18.92487516</v>
      </c>
      <c r="BC379" s="331">
        <f>SQRT(($R379-Infrastructure!J$10)^2+($S379-Infrastructure!K$10)^2)</f>
        <v>21.80291036</v>
      </c>
      <c r="BD379" s="318"/>
      <c r="BE379" s="332"/>
      <c r="BF379" s="330">
        <f t="shared" si="14"/>
        <v>3.876712525</v>
      </c>
      <c r="BG379" s="333">
        <f t="shared" si="15"/>
        <v>32.73397165</v>
      </c>
      <c r="BH379" s="334"/>
      <c r="BI379" s="316"/>
      <c r="BJ379" s="318"/>
      <c r="BK379" s="318"/>
      <c r="BL379" s="318"/>
      <c r="BM379" s="318"/>
      <c r="BN379" s="318"/>
      <c r="BO379" s="318"/>
      <c r="BP379" s="318"/>
      <c r="BQ379" s="338"/>
      <c r="BR379" s="420"/>
      <c r="BS379" s="330"/>
      <c r="BT379" s="331"/>
      <c r="BU379" s="331"/>
      <c r="BV379" s="333"/>
      <c r="BW379" s="330"/>
      <c r="BX379" s="331"/>
      <c r="BY379" s="331"/>
      <c r="BZ379" s="340"/>
      <c r="CA379" s="316"/>
      <c r="CB379" s="318"/>
      <c r="CC379" s="318"/>
      <c r="CD379" s="318"/>
      <c r="CE379" s="318"/>
      <c r="CF379" s="318"/>
      <c r="CG379" s="318"/>
      <c r="CH379" s="318"/>
      <c r="CI379" s="338"/>
      <c r="CJ379" s="341"/>
      <c r="CK379" s="342">
        <f t="shared" si="18"/>
        <v>0</v>
      </c>
      <c r="CL379" s="333">
        <f t="shared" si="19"/>
        <v>0</v>
      </c>
      <c r="CM379" s="423"/>
      <c r="CN379" s="424"/>
      <c r="CO379" s="424"/>
      <c r="CP379" s="424"/>
    </row>
    <row r="380">
      <c r="B380" s="316"/>
      <c r="C380" s="417">
        <v>43760.0</v>
      </c>
      <c r="D380" s="319" t="s">
        <v>1120</v>
      </c>
      <c r="E380" s="319">
        <v>2.0</v>
      </c>
      <c r="F380" s="324" t="s">
        <v>1160</v>
      </c>
      <c r="G380" s="321">
        <v>0.4861111111111111</v>
      </c>
      <c r="H380" s="323">
        <v>0.48663194444444446</v>
      </c>
      <c r="I380" s="323"/>
      <c r="J380" s="323"/>
      <c r="K380" s="323">
        <v>0.4869791666666667</v>
      </c>
      <c r="L380" s="323">
        <v>3.4722222222222224E-4</v>
      </c>
      <c r="M380" s="319" t="s">
        <v>166</v>
      </c>
      <c r="N380" s="324" t="s">
        <v>187</v>
      </c>
      <c r="O380" s="419" t="s">
        <v>205</v>
      </c>
      <c r="P380" s="426" t="s">
        <v>240</v>
      </c>
      <c r="Q380" s="318"/>
      <c r="R380" s="326">
        <v>21.1</v>
      </c>
      <c r="S380" s="319">
        <v>4.13</v>
      </c>
      <c r="T380" s="324">
        <v>2.1</v>
      </c>
      <c r="U380" s="319">
        <v>2.5</v>
      </c>
      <c r="V380" s="319"/>
      <c r="W380" s="319"/>
      <c r="X380" s="319"/>
      <c r="Y380" s="319"/>
      <c r="Z380" s="319" t="s">
        <v>370</v>
      </c>
      <c r="AA380" s="319"/>
      <c r="AB380" s="426" t="s">
        <v>1157</v>
      </c>
      <c r="AC380" s="327">
        <v>10.0</v>
      </c>
      <c r="AD380" s="319"/>
      <c r="AE380" s="319"/>
      <c r="AF380" s="319"/>
      <c r="AG380" s="319"/>
      <c r="AH380" s="319"/>
      <c r="AI380" s="319"/>
      <c r="AJ380" s="327"/>
      <c r="AK380" s="328"/>
      <c r="AL380" s="319"/>
      <c r="AM380" s="319"/>
      <c r="AN380" s="319"/>
      <c r="AO380" s="319"/>
      <c r="AP380" s="319"/>
      <c r="AQ380" s="319"/>
      <c r="AR380" s="319"/>
      <c r="AS380" s="327"/>
      <c r="AT380" s="461" t="s">
        <v>182</v>
      </c>
      <c r="AU380" s="324" t="s">
        <v>845</v>
      </c>
      <c r="AV380" s="330">
        <f>SQRT(($R380-Infrastructure!J$3)^2+($S380-Infrastructure!K$3)^2)</f>
        <v>32.73397165</v>
      </c>
      <c r="AW380" s="331">
        <f>SQRT(($R380-Infrastructure!J$4)^2+($S380-Infrastructure!K$4)^2)</f>
        <v>25.39348145</v>
      </c>
      <c r="AX380" s="331">
        <f>SQRT(($R380-Infrastructure!J$5)^2+($S380-Infrastructure!K$5)^2)</f>
        <v>21.42197236</v>
      </c>
      <c r="AY380" s="331">
        <f>SQRT(($R380-Infrastructure!J$6)^2+($S380-Infrastructure!K$6)^2)</f>
        <v>11.64769934</v>
      </c>
      <c r="AZ380" s="331">
        <f>SQRT(($R380-Infrastructure!J$7)^2+($S380-Infrastructure!K$7)^2)</f>
        <v>3.876712525</v>
      </c>
      <c r="BA380" s="331">
        <f>SQRT(($R380-Infrastructure!J$8)^2+($S380-Infrastructure!K$8)^2)</f>
        <v>9.781048001</v>
      </c>
      <c r="BB380" s="331">
        <f>SQRT(($R380-Infrastructure!J$9)^2+($S380-Infrastructure!K$9)^2)</f>
        <v>18.92487516</v>
      </c>
      <c r="BC380" s="331">
        <f>SQRT(($R380-Infrastructure!J$10)^2+($S380-Infrastructure!K$10)^2)</f>
        <v>21.80291036</v>
      </c>
      <c r="BD380" s="318"/>
      <c r="BE380" s="332"/>
      <c r="BF380" s="330">
        <f t="shared" si="14"/>
        <v>3.876712525</v>
      </c>
      <c r="BG380" s="333">
        <f t="shared" si="15"/>
        <v>32.73397165</v>
      </c>
      <c r="BH380" s="334"/>
      <c r="BI380" s="316"/>
      <c r="BJ380" s="318"/>
      <c r="BK380" s="318"/>
      <c r="BL380" s="318"/>
      <c r="BM380" s="318"/>
      <c r="BN380" s="318"/>
      <c r="BO380" s="318"/>
      <c r="BP380" s="318"/>
      <c r="BQ380" s="338"/>
      <c r="BR380" s="420"/>
      <c r="BS380" s="330"/>
      <c r="BT380" s="331"/>
      <c r="BU380" s="331"/>
      <c r="BV380" s="333"/>
      <c r="BW380" s="330"/>
      <c r="BX380" s="331"/>
      <c r="BY380" s="331"/>
      <c r="BZ380" s="340"/>
      <c r="CA380" s="316"/>
      <c r="CB380" s="318"/>
      <c r="CC380" s="318"/>
      <c r="CD380" s="318"/>
      <c r="CE380" s="318"/>
      <c r="CF380" s="318"/>
      <c r="CG380" s="318"/>
      <c r="CH380" s="318"/>
      <c r="CI380" s="338"/>
      <c r="CJ380" s="341"/>
      <c r="CK380" s="342">
        <f t="shared" si="18"/>
        <v>0</v>
      </c>
      <c r="CL380" s="333">
        <f t="shared" si="19"/>
        <v>0</v>
      </c>
      <c r="CM380" s="423"/>
      <c r="CN380" s="424"/>
      <c r="CO380" s="424"/>
      <c r="CP380" s="424"/>
    </row>
    <row r="381">
      <c r="B381" s="316"/>
      <c r="C381" s="417">
        <v>43760.0</v>
      </c>
      <c r="D381" s="319" t="s">
        <v>1120</v>
      </c>
      <c r="E381" s="319">
        <v>2.0</v>
      </c>
      <c r="F381" s="324" t="s">
        <v>1161</v>
      </c>
      <c r="G381" s="321">
        <v>0.4869791666666667</v>
      </c>
      <c r="H381" s="323">
        <v>0.4876736111111111</v>
      </c>
      <c r="I381" s="323"/>
      <c r="J381" s="323"/>
      <c r="K381" s="323">
        <v>0.48802083333333335</v>
      </c>
      <c r="L381" s="323">
        <v>3.4722222222222224E-4</v>
      </c>
      <c r="M381" s="319" t="s">
        <v>166</v>
      </c>
      <c r="N381" s="324" t="s">
        <v>187</v>
      </c>
      <c r="O381" s="419" t="s">
        <v>205</v>
      </c>
      <c r="P381" s="426" t="s">
        <v>240</v>
      </c>
      <c r="Q381" s="318"/>
      <c r="R381" s="326">
        <v>21.1</v>
      </c>
      <c r="S381" s="319">
        <v>4.13</v>
      </c>
      <c r="T381" s="324">
        <v>2.1</v>
      </c>
      <c r="U381" s="319">
        <v>3.0</v>
      </c>
      <c r="V381" s="319"/>
      <c r="W381" s="319"/>
      <c r="X381" s="319"/>
      <c r="Y381" s="319"/>
      <c r="Z381" s="319" t="s">
        <v>370</v>
      </c>
      <c r="AA381" s="319"/>
      <c r="AB381" s="426" t="s">
        <v>1157</v>
      </c>
      <c r="AC381" s="327">
        <v>10.0</v>
      </c>
      <c r="AD381" s="319"/>
      <c r="AE381" s="319"/>
      <c r="AF381" s="319"/>
      <c r="AG381" s="319"/>
      <c r="AH381" s="319"/>
      <c r="AI381" s="319"/>
      <c r="AJ381" s="327"/>
      <c r="AK381" s="328"/>
      <c r="AL381" s="319"/>
      <c r="AM381" s="319"/>
      <c r="AN381" s="319"/>
      <c r="AO381" s="319"/>
      <c r="AP381" s="319"/>
      <c r="AQ381" s="319"/>
      <c r="AR381" s="319"/>
      <c r="AS381" s="327"/>
      <c r="AT381" s="461" t="s">
        <v>182</v>
      </c>
      <c r="AU381" s="324" t="s">
        <v>845</v>
      </c>
      <c r="AV381" s="330">
        <f>SQRT(($R381-Infrastructure!J$3)^2+($S381-Infrastructure!K$3)^2)</f>
        <v>32.73397165</v>
      </c>
      <c r="AW381" s="331">
        <f>SQRT(($R381-Infrastructure!J$4)^2+($S381-Infrastructure!K$4)^2)</f>
        <v>25.39348145</v>
      </c>
      <c r="AX381" s="331">
        <f>SQRT(($R381-Infrastructure!J$5)^2+($S381-Infrastructure!K$5)^2)</f>
        <v>21.42197236</v>
      </c>
      <c r="AY381" s="331">
        <f>SQRT(($R381-Infrastructure!J$6)^2+($S381-Infrastructure!K$6)^2)</f>
        <v>11.64769934</v>
      </c>
      <c r="AZ381" s="331">
        <f>SQRT(($R381-Infrastructure!J$7)^2+($S381-Infrastructure!K$7)^2)</f>
        <v>3.876712525</v>
      </c>
      <c r="BA381" s="331">
        <f>SQRT(($R381-Infrastructure!J$8)^2+($S381-Infrastructure!K$8)^2)</f>
        <v>9.781048001</v>
      </c>
      <c r="BB381" s="331">
        <f>SQRT(($R381-Infrastructure!J$9)^2+($S381-Infrastructure!K$9)^2)</f>
        <v>18.92487516</v>
      </c>
      <c r="BC381" s="331">
        <f>SQRT(($R381-Infrastructure!J$10)^2+($S381-Infrastructure!K$10)^2)</f>
        <v>21.80291036</v>
      </c>
      <c r="BD381" s="318"/>
      <c r="BE381" s="332"/>
      <c r="BF381" s="330">
        <f t="shared" si="14"/>
        <v>3.876712525</v>
      </c>
      <c r="BG381" s="333">
        <f t="shared" si="15"/>
        <v>32.73397165</v>
      </c>
      <c r="BH381" s="334"/>
      <c r="BI381" s="316"/>
      <c r="BJ381" s="318"/>
      <c r="BK381" s="318"/>
      <c r="BL381" s="318"/>
      <c r="BM381" s="318"/>
      <c r="BN381" s="318"/>
      <c r="BO381" s="318"/>
      <c r="BP381" s="318"/>
      <c r="BQ381" s="338"/>
      <c r="BR381" s="420"/>
      <c r="BS381" s="330"/>
      <c r="BT381" s="331"/>
      <c r="BU381" s="331"/>
      <c r="BV381" s="333"/>
      <c r="BW381" s="330"/>
      <c r="BX381" s="331"/>
      <c r="BY381" s="331"/>
      <c r="BZ381" s="340"/>
      <c r="CA381" s="316"/>
      <c r="CB381" s="318"/>
      <c r="CC381" s="318"/>
      <c r="CD381" s="318"/>
      <c r="CE381" s="318"/>
      <c r="CF381" s="318"/>
      <c r="CG381" s="318"/>
      <c r="CH381" s="318"/>
      <c r="CI381" s="338"/>
      <c r="CJ381" s="341"/>
      <c r="CK381" s="342">
        <f t="shared" si="18"/>
        <v>0</v>
      </c>
      <c r="CL381" s="333">
        <f t="shared" si="19"/>
        <v>0</v>
      </c>
      <c r="CM381" s="423"/>
      <c r="CN381" s="424"/>
      <c r="CO381" s="424"/>
      <c r="CP381" s="424"/>
    </row>
    <row r="382">
      <c r="B382" s="316"/>
      <c r="C382" s="417">
        <v>43760.0</v>
      </c>
      <c r="D382" s="319" t="s">
        <v>1120</v>
      </c>
      <c r="E382" s="319">
        <v>2.0</v>
      </c>
      <c r="F382" s="324" t="s">
        <v>1162</v>
      </c>
      <c r="G382" s="321">
        <v>0.48802083333333335</v>
      </c>
      <c r="H382" s="323">
        <v>0.4888888888888889</v>
      </c>
      <c r="I382" s="323"/>
      <c r="J382" s="323"/>
      <c r="K382" s="323">
        <v>0.4892361111111111</v>
      </c>
      <c r="L382" s="323">
        <v>3.4722222222222224E-4</v>
      </c>
      <c r="M382" s="319" t="s">
        <v>166</v>
      </c>
      <c r="N382" s="324" t="s">
        <v>187</v>
      </c>
      <c r="O382" s="419" t="s">
        <v>205</v>
      </c>
      <c r="P382" s="426" t="s">
        <v>240</v>
      </c>
      <c r="Q382" s="318"/>
      <c r="R382" s="326">
        <v>21.1</v>
      </c>
      <c r="S382" s="319">
        <v>4.13</v>
      </c>
      <c r="T382" s="324">
        <v>2.1</v>
      </c>
      <c r="U382" s="319">
        <v>3.6</v>
      </c>
      <c r="V382" s="319"/>
      <c r="W382" s="319"/>
      <c r="X382" s="319"/>
      <c r="Y382" s="319"/>
      <c r="Z382" s="319" t="s">
        <v>370</v>
      </c>
      <c r="AA382" s="319"/>
      <c r="AB382" s="426" t="s">
        <v>1157</v>
      </c>
      <c r="AC382" s="327">
        <v>10.0</v>
      </c>
      <c r="AD382" s="319"/>
      <c r="AE382" s="319"/>
      <c r="AF382" s="319"/>
      <c r="AG382" s="319"/>
      <c r="AH382" s="319"/>
      <c r="AI382" s="319"/>
      <c r="AJ382" s="327"/>
      <c r="AK382" s="328"/>
      <c r="AL382" s="319"/>
      <c r="AM382" s="319"/>
      <c r="AN382" s="319"/>
      <c r="AO382" s="319"/>
      <c r="AP382" s="319"/>
      <c r="AQ382" s="319"/>
      <c r="AR382" s="319"/>
      <c r="AS382" s="327"/>
      <c r="AT382" s="461" t="s">
        <v>182</v>
      </c>
      <c r="AU382" s="324" t="s">
        <v>845</v>
      </c>
      <c r="AV382" s="330">
        <f>SQRT(($R382-Infrastructure!J$3)^2+($S382-Infrastructure!K$3)^2)</f>
        <v>32.73397165</v>
      </c>
      <c r="AW382" s="331">
        <f>SQRT(($R382-Infrastructure!J$4)^2+($S382-Infrastructure!K$4)^2)</f>
        <v>25.39348145</v>
      </c>
      <c r="AX382" s="331">
        <f>SQRT(($R382-Infrastructure!J$5)^2+($S382-Infrastructure!K$5)^2)</f>
        <v>21.42197236</v>
      </c>
      <c r="AY382" s="331">
        <f>SQRT(($R382-Infrastructure!J$6)^2+($S382-Infrastructure!K$6)^2)</f>
        <v>11.64769934</v>
      </c>
      <c r="AZ382" s="331">
        <f>SQRT(($R382-Infrastructure!J$7)^2+($S382-Infrastructure!K$7)^2)</f>
        <v>3.876712525</v>
      </c>
      <c r="BA382" s="331">
        <f>SQRT(($R382-Infrastructure!J$8)^2+($S382-Infrastructure!K$8)^2)</f>
        <v>9.781048001</v>
      </c>
      <c r="BB382" s="331">
        <f>SQRT(($R382-Infrastructure!J$9)^2+($S382-Infrastructure!K$9)^2)</f>
        <v>18.92487516</v>
      </c>
      <c r="BC382" s="331">
        <f>SQRT(($R382-Infrastructure!J$10)^2+($S382-Infrastructure!K$10)^2)</f>
        <v>21.80291036</v>
      </c>
      <c r="BD382" s="318"/>
      <c r="BE382" s="332"/>
      <c r="BF382" s="330">
        <f t="shared" si="14"/>
        <v>3.876712525</v>
      </c>
      <c r="BG382" s="333">
        <f t="shared" si="15"/>
        <v>32.73397165</v>
      </c>
      <c r="BH382" s="334"/>
      <c r="BI382" s="316"/>
      <c r="BJ382" s="318"/>
      <c r="BK382" s="318"/>
      <c r="BL382" s="318"/>
      <c r="BM382" s="318"/>
      <c r="BN382" s="318"/>
      <c r="BO382" s="318"/>
      <c r="BP382" s="318"/>
      <c r="BQ382" s="338"/>
      <c r="BR382" s="420"/>
      <c r="BS382" s="330"/>
      <c r="BT382" s="331"/>
      <c r="BU382" s="331"/>
      <c r="BV382" s="333"/>
      <c r="BW382" s="330"/>
      <c r="BX382" s="331"/>
      <c r="BY382" s="331"/>
      <c r="BZ382" s="340"/>
      <c r="CA382" s="316"/>
      <c r="CB382" s="318"/>
      <c r="CC382" s="318"/>
      <c r="CD382" s="318"/>
      <c r="CE382" s="318"/>
      <c r="CF382" s="318"/>
      <c r="CG382" s="318"/>
      <c r="CH382" s="318"/>
      <c r="CI382" s="338"/>
      <c r="CJ382" s="341"/>
      <c r="CK382" s="342">
        <f t="shared" si="18"/>
        <v>0</v>
      </c>
      <c r="CL382" s="333">
        <f t="shared" si="19"/>
        <v>0</v>
      </c>
      <c r="CM382" s="423"/>
      <c r="CN382" s="424"/>
      <c r="CO382" s="424"/>
      <c r="CP382" s="424"/>
    </row>
    <row r="383">
      <c r="B383" s="316"/>
      <c r="C383" s="417">
        <v>43760.0</v>
      </c>
      <c r="D383" s="319" t="s">
        <v>1120</v>
      </c>
      <c r="E383" s="319">
        <v>2.0</v>
      </c>
      <c r="F383" s="324" t="s">
        <v>1163</v>
      </c>
      <c r="G383" s="321">
        <v>0.4892361111111111</v>
      </c>
      <c r="H383" s="323">
        <v>0.48975694444444445</v>
      </c>
      <c r="I383" s="323"/>
      <c r="J383" s="323"/>
      <c r="K383" s="323">
        <v>0.4901041666666667</v>
      </c>
      <c r="L383" s="323">
        <v>3.4722222222222224E-4</v>
      </c>
      <c r="M383" s="319" t="s">
        <v>166</v>
      </c>
      <c r="N383" s="324" t="s">
        <v>187</v>
      </c>
      <c r="O383" s="419" t="s">
        <v>205</v>
      </c>
      <c r="P383" s="426" t="s">
        <v>240</v>
      </c>
      <c r="Q383" s="318"/>
      <c r="R383" s="326">
        <v>21.1</v>
      </c>
      <c r="S383" s="319">
        <v>4.13</v>
      </c>
      <c r="T383" s="324">
        <v>2.1</v>
      </c>
      <c r="U383" s="319">
        <v>4.2</v>
      </c>
      <c r="V383" s="319"/>
      <c r="W383" s="319"/>
      <c r="X383" s="319"/>
      <c r="Y383" s="319"/>
      <c r="Z383" s="319" t="s">
        <v>370</v>
      </c>
      <c r="AA383" s="319"/>
      <c r="AB383" s="426" t="s">
        <v>1157</v>
      </c>
      <c r="AC383" s="327">
        <v>10.0</v>
      </c>
      <c r="AD383" s="319"/>
      <c r="AE383" s="319"/>
      <c r="AF383" s="319"/>
      <c r="AG383" s="319"/>
      <c r="AH383" s="319"/>
      <c r="AI383" s="319"/>
      <c r="AJ383" s="327"/>
      <c r="AK383" s="328"/>
      <c r="AL383" s="319"/>
      <c r="AM383" s="319"/>
      <c r="AN383" s="319"/>
      <c r="AO383" s="319"/>
      <c r="AP383" s="319"/>
      <c r="AQ383" s="319"/>
      <c r="AR383" s="319"/>
      <c r="AS383" s="327"/>
      <c r="AT383" s="461" t="s">
        <v>182</v>
      </c>
      <c r="AU383" s="324" t="s">
        <v>845</v>
      </c>
      <c r="AV383" s="330">
        <f>SQRT(($R383-Infrastructure!J$3)^2+($S383-Infrastructure!K$3)^2)</f>
        <v>32.73397165</v>
      </c>
      <c r="AW383" s="331">
        <f>SQRT(($R383-Infrastructure!J$4)^2+($S383-Infrastructure!K$4)^2)</f>
        <v>25.39348145</v>
      </c>
      <c r="AX383" s="331">
        <f>SQRT(($R383-Infrastructure!J$5)^2+($S383-Infrastructure!K$5)^2)</f>
        <v>21.42197236</v>
      </c>
      <c r="AY383" s="331">
        <f>SQRT(($R383-Infrastructure!J$6)^2+($S383-Infrastructure!K$6)^2)</f>
        <v>11.64769934</v>
      </c>
      <c r="AZ383" s="331">
        <f>SQRT(($R383-Infrastructure!J$7)^2+($S383-Infrastructure!K$7)^2)</f>
        <v>3.876712525</v>
      </c>
      <c r="BA383" s="331">
        <f>SQRT(($R383-Infrastructure!J$8)^2+($S383-Infrastructure!K$8)^2)</f>
        <v>9.781048001</v>
      </c>
      <c r="BB383" s="331">
        <f>SQRT(($R383-Infrastructure!J$9)^2+($S383-Infrastructure!K$9)^2)</f>
        <v>18.92487516</v>
      </c>
      <c r="BC383" s="331">
        <f>SQRT(($R383-Infrastructure!J$10)^2+($S383-Infrastructure!K$10)^2)</f>
        <v>21.80291036</v>
      </c>
      <c r="BD383" s="318"/>
      <c r="BE383" s="332"/>
      <c r="BF383" s="330">
        <f t="shared" si="14"/>
        <v>3.876712525</v>
      </c>
      <c r="BG383" s="333">
        <f t="shared" si="15"/>
        <v>32.73397165</v>
      </c>
      <c r="BH383" s="334"/>
      <c r="BI383" s="316"/>
      <c r="BJ383" s="318"/>
      <c r="BK383" s="318"/>
      <c r="BL383" s="318"/>
      <c r="BM383" s="318"/>
      <c r="BN383" s="318"/>
      <c r="BO383" s="318"/>
      <c r="BP383" s="318"/>
      <c r="BQ383" s="338"/>
      <c r="BR383" s="420"/>
      <c r="BS383" s="330"/>
      <c r="BT383" s="331"/>
      <c r="BU383" s="331"/>
      <c r="BV383" s="333"/>
      <c r="BW383" s="330"/>
      <c r="BX383" s="331"/>
      <c r="BY383" s="331"/>
      <c r="BZ383" s="340"/>
      <c r="CA383" s="316"/>
      <c r="CB383" s="318"/>
      <c r="CC383" s="318"/>
      <c r="CD383" s="318"/>
      <c r="CE383" s="318"/>
      <c r="CF383" s="318"/>
      <c r="CG383" s="318"/>
      <c r="CH383" s="318"/>
      <c r="CI383" s="338"/>
      <c r="CJ383" s="341"/>
      <c r="CK383" s="342">
        <f t="shared" si="18"/>
        <v>0</v>
      </c>
      <c r="CL383" s="333">
        <f t="shared" si="19"/>
        <v>0</v>
      </c>
      <c r="CM383" s="423"/>
      <c r="CN383" s="424"/>
      <c r="CO383" s="424"/>
      <c r="CP383" s="424"/>
    </row>
    <row r="384">
      <c r="B384" s="316"/>
      <c r="C384" s="417">
        <v>43760.0</v>
      </c>
      <c r="D384" s="319" t="s">
        <v>1120</v>
      </c>
      <c r="E384" s="319">
        <v>2.0</v>
      </c>
      <c r="F384" s="324" t="s">
        <v>1164</v>
      </c>
      <c r="G384" s="321">
        <v>0.4901041666666667</v>
      </c>
      <c r="H384" s="323">
        <v>0.4904513888888889</v>
      </c>
      <c r="I384" s="323"/>
      <c r="J384" s="323"/>
      <c r="K384" s="323">
        <v>0.4907986111111111</v>
      </c>
      <c r="L384" s="323">
        <v>3.4722222222222224E-4</v>
      </c>
      <c r="M384" s="319" t="s">
        <v>166</v>
      </c>
      <c r="N384" s="324" t="s">
        <v>187</v>
      </c>
      <c r="O384" s="419" t="s">
        <v>205</v>
      </c>
      <c r="P384" s="426" t="s">
        <v>240</v>
      </c>
      <c r="Q384" s="318"/>
      <c r="R384" s="326">
        <v>21.1</v>
      </c>
      <c r="S384" s="319">
        <v>4.13</v>
      </c>
      <c r="T384" s="324">
        <v>2.1</v>
      </c>
      <c r="U384" s="319">
        <v>4.8</v>
      </c>
      <c r="V384" s="319"/>
      <c r="W384" s="319"/>
      <c r="X384" s="319"/>
      <c r="Y384" s="319"/>
      <c r="Z384" s="319" t="s">
        <v>370</v>
      </c>
      <c r="AA384" s="319"/>
      <c r="AB384" s="426" t="s">
        <v>1157</v>
      </c>
      <c r="AC384" s="327">
        <v>10.0</v>
      </c>
      <c r="AD384" s="319"/>
      <c r="AE384" s="319"/>
      <c r="AF384" s="319"/>
      <c r="AG384" s="319"/>
      <c r="AH384" s="319"/>
      <c r="AI384" s="319"/>
      <c r="AJ384" s="327"/>
      <c r="AK384" s="328"/>
      <c r="AL384" s="319"/>
      <c r="AM384" s="319"/>
      <c r="AN384" s="319"/>
      <c r="AO384" s="319"/>
      <c r="AP384" s="319"/>
      <c r="AQ384" s="319"/>
      <c r="AR384" s="319"/>
      <c r="AS384" s="327"/>
      <c r="AT384" s="461" t="s">
        <v>182</v>
      </c>
      <c r="AU384" s="324" t="s">
        <v>845</v>
      </c>
      <c r="AV384" s="330">
        <f>SQRT(($R384-Infrastructure!J$3)^2+($S384-Infrastructure!K$3)^2)</f>
        <v>32.73397165</v>
      </c>
      <c r="AW384" s="331">
        <f>SQRT(($R384-Infrastructure!J$4)^2+($S384-Infrastructure!K$4)^2)</f>
        <v>25.39348145</v>
      </c>
      <c r="AX384" s="331">
        <f>SQRT(($R384-Infrastructure!J$5)^2+($S384-Infrastructure!K$5)^2)</f>
        <v>21.42197236</v>
      </c>
      <c r="AY384" s="331">
        <f>SQRT(($R384-Infrastructure!J$6)^2+($S384-Infrastructure!K$6)^2)</f>
        <v>11.64769934</v>
      </c>
      <c r="AZ384" s="331">
        <f>SQRT(($R384-Infrastructure!J$7)^2+($S384-Infrastructure!K$7)^2)</f>
        <v>3.876712525</v>
      </c>
      <c r="BA384" s="331">
        <f>SQRT(($R384-Infrastructure!J$8)^2+($S384-Infrastructure!K$8)^2)</f>
        <v>9.781048001</v>
      </c>
      <c r="BB384" s="331">
        <f>SQRT(($R384-Infrastructure!J$9)^2+($S384-Infrastructure!K$9)^2)</f>
        <v>18.92487516</v>
      </c>
      <c r="BC384" s="331">
        <f>SQRT(($R384-Infrastructure!J$10)^2+($S384-Infrastructure!K$10)^2)</f>
        <v>21.80291036</v>
      </c>
      <c r="BD384" s="318"/>
      <c r="BE384" s="332"/>
      <c r="BF384" s="330">
        <f t="shared" si="14"/>
        <v>3.876712525</v>
      </c>
      <c r="BG384" s="333">
        <f t="shared" si="15"/>
        <v>32.73397165</v>
      </c>
      <c r="BH384" s="334"/>
      <c r="BI384" s="316"/>
      <c r="BJ384" s="318"/>
      <c r="BK384" s="318"/>
      <c r="BL384" s="318"/>
      <c r="BM384" s="318"/>
      <c r="BN384" s="318"/>
      <c r="BO384" s="318"/>
      <c r="BP384" s="318"/>
      <c r="BQ384" s="338"/>
      <c r="BR384" s="420"/>
      <c r="BS384" s="330"/>
      <c r="BT384" s="331"/>
      <c r="BU384" s="331"/>
      <c r="BV384" s="333"/>
      <c r="BW384" s="330"/>
      <c r="BX384" s="331"/>
      <c r="BY384" s="331"/>
      <c r="BZ384" s="340"/>
      <c r="CA384" s="316"/>
      <c r="CB384" s="318"/>
      <c r="CC384" s="318"/>
      <c r="CD384" s="318"/>
      <c r="CE384" s="318"/>
      <c r="CF384" s="318"/>
      <c r="CG384" s="318"/>
      <c r="CH384" s="318"/>
      <c r="CI384" s="338"/>
      <c r="CJ384" s="341"/>
      <c r="CK384" s="342">
        <f t="shared" si="18"/>
        <v>0</v>
      </c>
      <c r="CL384" s="333">
        <f t="shared" si="19"/>
        <v>0</v>
      </c>
      <c r="CM384" s="421" t="s">
        <v>1124</v>
      </c>
      <c r="CN384" s="416"/>
      <c r="CO384" s="416"/>
      <c r="CP384" s="416"/>
    </row>
    <row r="385">
      <c r="B385" s="316"/>
      <c r="C385" s="417">
        <v>43760.0</v>
      </c>
      <c r="D385" s="319" t="s">
        <v>1125</v>
      </c>
      <c r="E385" s="319">
        <v>3.0</v>
      </c>
      <c r="F385" s="324" t="s">
        <v>1165</v>
      </c>
      <c r="G385" s="321">
        <v>0.49444444444444446</v>
      </c>
      <c r="H385" s="323">
        <v>0.4947916666666667</v>
      </c>
      <c r="I385" s="323"/>
      <c r="J385" s="323"/>
      <c r="K385" s="323">
        <v>0.49618055555555557</v>
      </c>
      <c r="L385" s="323">
        <v>0.001388888888888889</v>
      </c>
      <c r="M385" s="319" t="s">
        <v>166</v>
      </c>
      <c r="N385" s="324" t="s">
        <v>187</v>
      </c>
      <c r="O385" s="419" t="s">
        <v>200</v>
      </c>
      <c r="P385" s="319" t="s">
        <v>239</v>
      </c>
      <c r="Q385" s="318"/>
      <c r="R385" s="326">
        <v>17.0</v>
      </c>
      <c r="S385" s="319">
        <v>7.0</v>
      </c>
      <c r="T385" s="332"/>
      <c r="U385" s="319">
        <v>7.5</v>
      </c>
      <c r="V385" s="319"/>
      <c r="W385" s="319"/>
      <c r="X385" s="319"/>
      <c r="Y385" s="319"/>
      <c r="Z385" s="319" t="s">
        <v>318</v>
      </c>
      <c r="AA385" s="319"/>
      <c r="AB385" s="319" t="s">
        <v>1166</v>
      </c>
      <c r="AC385" s="327">
        <v>5.0</v>
      </c>
      <c r="AD385" s="319"/>
      <c r="AE385" s="319"/>
      <c r="AF385" s="319"/>
      <c r="AG385" s="319"/>
      <c r="AH385" s="319"/>
      <c r="AI385" s="319"/>
      <c r="AJ385" s="327"/>
      <c r="AK385" s="328"/>
      <c r="AL385" s="319"/>
      <c r="AM385" s="319"/>
      <c r="AN385" s="319"/>
      <c r="AO385" s="319"/>
      <c r="AP385" s="319"/>
      <c r="AQ385" s="319"/>
      <c r="AR385" s="319"/>
      <c r="AS385" s="327"/>
      <c r="AT385" s="461" t="s">
        <v>182</v>
      </c>
      <c r="AU385" s="324" t="s">
        <v>845</v>
      </c>
      <c r="AV385" s="330">
        <f>SQRT(($R385-Infrastructure!J$3)^2+($S385-Infrastructure!K$3)^2)</f>
        <v>27.90877998</v>
      </c>
      <c r="AW385" s="331">
        <f>SQRT(($R385-Infrastructure!J$4)^2+($S385-Infrastructure!K$4)^2)</f>
        <v>20.39436197</v>
      </c>
      <c r="AX385" s="331">
        <f>SQRT(($R385-Infrastructure!J$5)^2+($S385-Infrastructure!K$5)^2)</f>
        <v>17.40402252</v>
      </c>
      <c r="AY385" s="331">
        <f>SQRT(($R385-Infrastructure!J$6)^2+($S385-Infrastructure!K$6)^2)</f>
        <v>9.617692031</v>
      </c>
      <c r="AZ385" s="331">
        <f>SQRT(($R385-Infrastructure!J$7)^2+($S385-Infrastructure!K$7)^2)</f>
        <v>7.559100476</v>
      </c>
      <c r="BA385" s="331">
        <f>SQRT(($R385-Infrastructure!J$8)^2+($S385-Infrastructure!K$8)^2)</f>
        <v>14.71393897</v>
      </c>
      <c r="BB385" s="331">
        <f>SQRT(($R385-Infrastructure!J$9)^2+($S385-Infrastructure!K$9)^2)</f>
        <v>23.07834483</v>
      </c>
      <c r="BC385" s="331">
        <f>SQRT(($R385-Infrastructure!J$10)^2+($S385-Infrastructure!K$10)^2)</f>
        <v>24.35159132</v>
      </c>
      <c r="BD385" s="318"/>
      <c r="BE385" s="332"/>
      <c r="BF385" s="330">
        <f t="shared" si="14"/>
        <v>7.559100476</v>
      </c>
      <c r="BG385" s="333">
        <f t="shared" si="15"/>
        <v>27.90877998</v>
      </c>
      <c r="BH385" s="334"/>
      <c r="BI385" s="316"/>
      <c r="BJ385" s="318"/>
      <c r="BK385" s="318"/>
      <c r="BL385" s="318"/>
      <c r="BM385" s="318"/>
      <c r="BN385" s="318"/>
      <c r="BO385" s="318"/>
      <c r="BP385" s="318"/>
      <c r="BQ385" s="338"/>
      <c r="BR385" s="420"/>
      <c r="BS385" s="330"/>
      <c r="BT385" s="331"/>
      <c r="BU385" s="331"/>
      <c r="BV385" s="333"/>
      <c r="BW385" s="330"/>
      <c r="BX385" s="331"/>
      <c r="BY385" s="331"/>
      <c r="BZ385" s="340"/>
      <c r="CA385" s="316"/>
      <c r="CB385" s="318"/>
      <c r="CC385" s="318"/>
      <c r="CD385" s="318"/>
      <c r="CE385" s="318"/>
      <c r="CF385" s="318"/>
      <c r="CG385" s="318"/>
      <c r="CH385" s="318"/>
      <c r="CI385" s="338"/>
      <c r="CJ385" s="341"/>
      <c r="CK385" s="342">
        <f t="shared" si="18"/>
        <v>0</v>
      </c>
      <c r="CL385" s="333">
        <f t="shared" si="19"/>
        <v>0</v>
      </c>
      <c r="CM385" s="421" t="s">
        <v>1126</v>
      </c>
      <c r="CN385" s="416"/>
      <c r="CO385" s="416"/>
      <c r="CP385" s="416"/>
    </row>
    <row r="386">
      <c r="B386" s="316"/>
      <c r="C386" s="417">
        <v>43760.0</v>
      </c>
      <c r="D386" s="319" t="s">
        <v>1125</v>
      </c>
      <c r="E386" s="319">
        <v>4.0</v>
      </c>
      <c r="F386" s="324" t="s">
        <v>1167</v>
      </c>
      <c r="G386" s="321">
        <v>0.4986111111111111</v>
      </c>
      <c r="H386" s="323">
        <v>0.49930555555555556</v>
      </c>
      <c r="I386" s="323"/>
      <c r="J386" s="323"/>
      <c r="K386" s="323">
        <v>0.5006944444444444</v>
      </c>
      <c r="L386" s="323">
        <v>0.001388888888888889</v>
      </c>
      <c r="M386" s="319" t="s">
        <v>166</v>
      </c>
      <c r="N386" s="324" t="s">
        <v>187</v>
      </c>
      <c r="O386" s="419" t="s">
        <v>197</v>
      </c>
      <c r="P386" s="319" t="s">
        <v>257</v>
      </c>
      <c r="Q386" s="318"/>
      <c r="R386" s="326">
        <v>37.0</v>
      </c>
      <c r="S386" s="319">
        <v>7.0</v>
      </c>
      <c r="T386" s="324">
        <v>7.0</v>
      </c>
      <c r="U386" s="319">
        <v>6.9</v>
      </c>
      <c r="V386" s="319"/>
      <c r="W386" s="319"/>
      <c r="X386" s="319"/>
      <c r="Y386" s="319"/>
      <c r="Z386" s="319" t="s">
        <v>379</v>
      </c>
      <c r="AA386" s="319"/>
      <c r="AB386" s="319" t="s">
        <v>1157</v>
      </c>
      <c r="AC386" s="327">
        <v>10.0</v>
      </c>
      <c r="AD386" s="319"/>
      <c r="AE386" s="319"/>
      <c r="AF386" s="319"/>
      <c r="AG386" s="319"/>
      <c r="AH386" s="319"/>
      <c r="AI386" s="319"/>
      <c r="AJ386" s="327"/>
      <c r="AK386" s="328"/>
      <c r="AL386" s="319"/>
      <c r="AM386" s="319"/>
      <c r="AN386" s="319"/>
      <c r="AO386" s="319"/>
      <c r="AP386" s="319"/>
      <c r="AQ386" s="319"/>
      <c r="AR386" s="319"/>
      <c r="AS386" s="327"/>
      <c r="AT386" s="461" t="s">
        <v>182</v>
      </c>
      <c r="AU386" s="324" t="s">
        <v>845</v>
      </c>
      <c r="AV386" s="330">
        <f>SQRT(($R386-Infrastructure!J$3)^2+($S386-Infrastructure!K$3)^2)</f>
        <v>43.25390156</v>
      </c>
      <c r="AW386" s="331">
        <f>SQRT(($R386-Infrastructure!J$4)^2+($S386-Infrastructure!K$4)^2)</f>
        <v>38.83207437</v>
      </c>
      <c r="AX386" s="331">
        <f>SQRT(($R386-Infrastructure!J$5)^2+($S386-Infrastructure!K$5)^2)</f>
        <v>37.34836007</v>
      </c>
      <c r="AY386" s="331">
        <f>SQRT(($R386-Infrastructure!J$6)^2+($S386-Infrastructure!K$6)^2)</f>
        <v>27.72183255</v>
      </c>
      <c r="AZ386" s="331">
        <f>SQRT(($R386-Infrastructure!J$7)^2+($S386-Infrastructure!K$7)^2)</f>
        <v>17.80842497</v>
      </c>
      <c r="BA386" s="331">
        <f>SQRT(($R386-Infrastructure!J$8)^2+($S386-Infrastructure!K$8)^2)</f>
        <v>9.617692031</v>
      </c>
      <c r="BB386" s="331">
        <f>SQRT(($R386-Infrastructure!J$9)^2+($S386-Infrastructure!K$9)^2)</f>
        <v>3.551056181</v>
      </c>
      <c r="BC386" s="331">
        <f>SQRT(($R386-Infrastructure!J$10)^2+($S386-Infrastructure!K$10)^2)</f>
        <v>8.544003745</v>
      </c>
      <c r="BD386" s="318"/>
      <c r="BE386" s="332"/>
      <c r="BF386" s="330">
        <f t="shared" si="14"/>
        <v>3.551056181</v>
      </c>
      <c r="BG386" s="333">
        <f t="shared" si="15"/>
        <v>43.25390156</v>
      </c>
      <c r="BH386" s="334"/>
      <c r="BI386" s="316"/>
      <c r="BJ386" s="318"/>
      <c r="BK386" s="318"/>
      <c r="BL386" s="318"/>
      <c r="BM386" s="318"/>
      <c r="BN386" s="318"/>
      <c r="BO386" s="318"/>
      <c r="BP386" s="318"/>
      <c r="BQ386" s="338"/>
      <c r="BR386" s="420"/>
      <c r="BS386" s="330"/>
      <c r="BT386" s="331"/>
      <c r="BU386" s="331"/>
      <c r="BV386" s="333"/>
      <c r="BW386" s="330"/>
      <c r="BX386" s="331"/>
      <c r="BY386" s="331"/>
      <c r="BZ386" s="340"/>
      <c r="CA386" s="316"/>
      <c r="CB386" s="318"/>
      <c r="CC386" s="318"/>
      <c r="CD386" s="318"/>
      <c r="CE386" s="318"/>
      <c r="CF386" s="318"/>
      <c r="CG386" s="318"/>
      <c r="CH386" s="318"/>
      <c r="CI386" s="338"/>
      <c r="CJ386" s="341"/>
      <c r="CK386" s="342">
        <f t="shared" si="18"/>
        <v>0</v>
      </c>
      <c r="CL386" s="333">
        <f t="shared" si="19"/>
        <v>0</v>
      </c>
      <c r="CM386" s="421" t="s">
        <v>1127</v>
      </c>
      <c r="CN386" s="416"/>
      <c r="CO386" s="416"/>
      <c r="CP386" s="416"/>
    </row>
    <row r="387">
      <c r="B387" s="355"/>
      <c r="C387" s="489">
        <v>43760.0</v>
      </c>
      <c r="D387" s="358" t="s">
        <v>1125</v>
      </c>
      <c r="E387" s="358">
        <v>5.0</v>
      </c>
      <c r="F387" s="359" t="s">
        <v>1168</v>
      </c>
      <c r="G387" s="360">
        <v>0.5034722222222222</v>
      </c>
      <c r="H387" s="362">
        <v>0.5038194444444445</v>
      </c>
      <c r="I387" s="362"/>
      <c r="J387" s="362"/>
      <c r="K387" s="362">
        <v>0.5053819444444444</v>
      </c>
      <c r="L387" s="362">
        <v>0.0015625</v>
      </c>
      <c r="M387" s="358" t="s">
        <v>166</v>
      </c>
      <c r="N387" s="359"/>
      <c r="O387" s="490"/>
      <c r="P387" s="357"/>
      <c r="Q387" s="357"/>
      <c r="R387" s="364"/>
      <c r="S387" s="358"/>
      <c r="T387" s="371"/>
      <c r="U387" s="358">
        <v>0.0</v>
      </c>
      <c r="V387" s="358"/>
      <c r="W387" s="358"/>
      <c r="X387" s="358"/>
      <c r="Y387" s="358"/>
      <c r="Z387" s="358"/>
      <c r="AA387" s="358"/>
      <c r="AB387" s="357"/>
      <c r="AC387" s="365"/>
      <c r="AD387" s="358"/>
      <c r="AE387" s="358"/>
      <c r="AF387" s="358"/>
      <c r="AG387" s="358"/>
      <c r="AH387" s="358"/>
      <c r="AI387" s="358"/>
      <c r="AJ387" s="365"/>
      <c r="AK387" s="366"/>
      <c r="AL387" s="358"/>
      <c r="AM387" s="358"/>
      <c r="AN387" s="358"/>
      <c r="AO387" s="358"/>
      <c r="AP387" s="358"/>
      <c r="AQ387" s="358"/>
      <c r="AR387" s="358"/>
      <c r="AS387" s="365"/>
      <c r="AT387" s="367"/>
      <c r="AU387" s="359" t="s">
        <v>845</v>
      </c>
      <c r="AV387" s="369">
        <f>SQRT(($R387-Infrastructure!J$3)^2+($S387-Infrastructure!K$3)^2)</f>
        <v>28.90155705</v>
      </c>
      <c r="AW387" s="370">
        <f>SQRT(($R387-Infrastructure!J$4)^2+($S387-Infrastructure!K$4)^2)</f>
        <v>17.80252791</v>
      </c>
      <c r="AX387" s="370">
        <f>SQRT(($R387-Infrastructure!J$5)^2+($S387-Infrastructure!K$5)^2)</f>
        <v>5.10881591</v>
      </c>
      <c r="AY387" s="370">
        <f>SQRT(($R387-Infrastructure!J$6)^2+($S387-Infrastructure!K$6)^2)</f>
        <v>10.10445446</v>
      </c>
      <c r="AZ387" s="370">
        <f>SQRT(($R387-Infrastructure!J$7)^2+($S387-Infrastructure!K$7)^2)</f>
        <v>20.502195</v>
      </c>
      <c r="BA387" s="370">
        <f>SQRT(($R387-Infrastructure!J$8)^2+($S387-Infrastructure!K$8)^2)</f>
        <v>30.10149498</v>
      </c>
      <c r="BB387" s="370">
        <f>SQRT(($R387-Infrastructure!J$9)^2+($S387-Infrastructure!K$9)^2)</f>
        <v>40.3238143</v>
      </c>
      <c r="BC387" s="370">
        <f>SQRT(($R387-Infrastructure!J$10)^2+($S387-Infrastructure!K$10)^2)</f>
        <v>42.72001873</v>
      </c>
      <c r="BD387" s="357"/>
      <c r="BE387" s="371"/>
      <c r="BF387" s="330">
        <f t="shared" si="14"/>
        <v>5.10881591</v>
      </c>
      <c r="BG387" s="333">
        <f t="shared" si="15"/>
        <v>42.72001873</v>
      </c>
      <c r="BH387" s="372"/>
      <c r="BI387" s="355"/>
      <c r="BJ387" s="357"/>
      <c r="BK387" s="357"/>
      <c r="BL387" s="357"/>
      <c r="BM387" s="357"/>
      <c r="BN387" s="357"/>
      <c r="BO387" s="357"/>
      <c r="BP387" s="357"/>
      <c r="BQ387" s="357"/>
      <c r="BR387" s="371"/>
      <c r="BS387" s="330"/>
      <c r="BT387" s="331"/>
      <c r="BU387" s="370"/>
      <c r="BV387" s="378"/>
      <c r="BW387" s="369"/>
      <c r="BX387" s="370"/>
      <c r="BY387" s="370"/>
      <c r="BZ387" s="379"/>
      <c r="CA387" s="355"/>
      <c r="CB387" s="357"/>
      <c r="CC387" s="357"/>
      <c r="CD387" s="357"/>
      <c r="CE387" s="357"/>
      <c r="CF387" s="357"/>
      <c r="CG387" s="357"/>
      <c r="CH387" s="357"/>
      <c r="CI387" s="357"/>
      <c r="CJ387" s="380"/>
      <c r="CK387" s="342">
        <f t="shared" si="18"/>
        <v>0</v>
      </c>
      <c r="CL387" s="333">
        <f t="shared" si="19"/>
        <v>0</v>
      </c>
      <c r="CM387" s="491" t="s">
        <v>1128</v>
      </c>
      <c r="CN387" s="492"/>
      <c r="CO387" s="492"/>
      <c r="CP387" s="492"/>
    </row>
    <row r="388">
      <c r="B388" s="316"/>
      <c r="C388" s="417">
        <v>43760.0</v>
      </c>
      <c r="D388" s="319" t="s">
        <v>1125</v>
      </c>
      <c r="E388" s="319">
        <v>6.0</v>
      </c>
      <c r="F388" s="324" t="s">
        <v>1169</v>
      </c>
      <c r="G388" s="321">
        <v>0.5069444444444444</v>
      </c>
      <c r="H388" s="323">
        <v>0.5072916666666667</v>
      </c>
      <c r="I388" s="323"/>
      <c r="J388" s="323"/>
      <c r="K388" s="323">
        <v>0.5086805555555556</v>
      </c>
      <c r="L388" s="323">
        <v>0.001388888888888889</v>
      </c>
      <c r="M388" s="319" t="s">
        <v>166</v>
      </c>
      <c r="N388" s="324" t="s">
        <v>187</v>
      </c>
      <c r="O388" s="419" t="s">
        <v>1071</v>
      </c>
      <c r="P388" s="319" t="s">
        <v>238</v>
      </c>
      <c r="Q388" s="318"/>
      <c r="R388" s="326">
        <v>24.5</v>
      </c>
      <c r="S388" s="319">
        <v>7.5</v>
      </c>
      <c r="T388" s="324">
        <v>0.6</v>
      </c>
      <c r="U388" s="319">
        <v>10.0</v>
      </c>
      <c r="V388" s="319"/>
      <c r="W388" s="319"/>
      <c r="X388" s="319"/>
      <c r="Y388" s="319"/>
      <c r="Z388" s="319" t="s">
        <v>331</v>
      </c>
      <c r="AA388" s="319"/>
      <c r="AB388" s="319" t="s">
        <v>1166</v>
      </c>
      <c r="AC388" s="327">
        <v>5.0</v>
      </c>
      <c r="AD388" s="319"/>
      <c r="AE388" s="319"/>
      <c r="AF388" s="319"/>
      <c r="AG388" s="319"/>
      <c r="AH388" s="319"/>
      <c r="AI388" s="319"/>
      <c r="AJ388" s="327"/>
      <c r="AK388" s="328"/>
      <c r="AL388" s="319"/>
      <c r="AM388" s="319"/>
      <c r="AN388" s="319"/>
      <c r="AO388" s="319"/>
      <c r="AP388" s="319"/>
      <c r="AQ388" s="319"/>
      <c r="AR388" s="319"/>
      <c r="AS388" s="327"/>
      <c r="AT388" s="461" t="s">
        <v>182</v>
      </c>
      <c r="AU388" s="324" t="s">
        <v>845</v>
      </c>
      <c r="AV388" s="330">
        <f>SQRT(($R388-Infrastructure!J$3)^2+($S388-Infrastructure!K$3)^2)</f>
        <v>32.75667871</v>
      </c>
      <c r="AW388" s="331">
        <f>SQRT(($R388-Infrastructure!J$4)^2+($S388-Infrastructure!K$4)^2)</f>
        <v>26.85386378</v>
      </c>
      <c r="AX388" s="331">
        <f>SQRT(($R388-Infrastructure!J$5)^2+($S388-Infrastructure!K$5)^2)</f>
        <v>24.9158584</v>
      </c>
      <c r="AY388" s="331">
        <f>SQRT(($R388-Infrastructure!J$6)^2+($S388-Infrastructure!K$6)^2)</f>
        <v>16.09968944</v>
      </c>
      <c r="AZ388" s="331">
        <f>SQRT(($R388-Infrastructure!J$7)^2+($S388-Infrastructure!K$7)^2)</f>
        <v>8.236504113</v>
      </c>
      <c r="BA388" s="331">
        <f>SQRT(($R388-Infrastructure!J$8)^2+($S388-Infrastructure!K$8)^2)</f>
        <v>9.121403401</v>
      </c>
      <c r="BB388" s="331">
        <f>SQRT(($R388-Infrastructure!J$9)^2+($S388-Infrastructure!K$9)^2)</f>
        <v>15.68470593</v>
      </c>
      <c r="BC388" s="331">
        <f>SQRT(($R388-Infrastructure!J$10)^2+($S388-Infrastructure!K$10)^2)</f>
        <v>17.21917536</v>
      </c>
      <c r="BD388" s="318"/>
      <c r="BE388" s="332"/>
      <c r="BF388" s="330">
        <f t="shared" si="14"/>
        <v>8.236504113</v>
      </c>
      <c r="BG388" s="333">
        <f t="shared" si="15"/>
        <v>32.75667871</v>
      </c>
      <c r="BH388" s="334"/>
      <c r="BI388" s="316"/>
      <c r="BJ388" s="318"/>
      <c r="BK388" s="318"/>
      <c r="BL388" s="318"/>
      <c r="BM388" s="318"/>
      <c r="BN388" s="318"/>
      <c r="BO388" s="318"/>
      <c r="BP388" s="318"/>
      <c r="BQ388" s="338"/>
      <c r="BR388" s="420"/>
      <c r="BS388" s="330"/>
      <c r="BT388" s="331"/>
      <c r="BU388" s="331"/>
      <c r="BV388" s="333"/>
      <c r="BW388" s="330"/>
      <c r="BX388" s="331"/>
      <c r="BY388" s="331"/>
      <c r="BZ388" s="340"/>
      <c r="CA388" s="316"/>
      <c r="CB388" s="318"/>
      <c r="CC388" s="318"/>
      <c r="CD388" s="318"/>
      <c r="CE388" s="318"/>
      <c r="CF388" s="318"/>
      <c r="CG388" s="318"/>
      <c r="CH388" s="318"/>
      <c r="CI388" s="338"/>
      <c r="CJ388" s="341"/>
      <c r="CK388" s="342">
        <f t="shared" si="18"/>
        <v>0</v>
      </c>
      <c r="CL388" s="333">
        <f t="shared" si="19"/>
        <v>0</v>
      </c>
      <c r="CM388" s="421" t="s">
        <v>1129</v>
      </c>
      <c r="CN388" s="416"/>
      <c r="CO388" s="416"/>
      <c r="CP388" s="416"/>
    </row>
    <row r="389">
      <c r="B389" s="316"/>
      <c r="C389" s="417">
        <v>43760.0</v>
      </c>
      <c r="D389" s="319" t="s">
        <v>1125</v>
      </c>
      <c r="E389" s="319">
        <v>7.0</v>
      </c>
      <c r="F389" s="324" t="s">
        <v>1170</v>
      </c>
      <c r="G389" s="321">
        <v>0.5115740740740741</v>
      </c>
      <c r="H389" s="323">
        <v>0.5126736111111111</v>
      </c>
      <c r="I389" s="323"/>
      <c r="J389" s="323"/>
      <c r="K389" s="323">
        <v>0.5140625</v>
      </c>
      <c r="L389" s="323">
        <v>0.001388888888888889</v>
      </c>
      <c r="M389" s="319" t="s">
        <v>166</v>
      </c>
      <c r="N389" s="324" t="s">
        <v>187</v>
      </c>
      <c r="O389" s="419" t="s">
        <v>198</v>
      </c>
      <c r="P389" s="319" t="s">
        <v>295</v>
      </c>
      <c r="Q389" s="318"/>
      <c r="R389" s="326">
        <v>10.3</v>
      </c>
      <c r="S389" s="319">
        <v>7.8</v>
      </c>
      <c r="T389" s="324">
        <v>3.0</v>
      </c>
      <c r="U389" s="319">
        <v>4.5</v>
      </c>
      <c r="V389" s="319"/>
      <c r="W389" s="319"/>
      <c r="X389" s="319"/>
      <c r="Y389" s="319"/>
      <c r="Z389" s="319" t="s">
        <v>343</v>
      </c>
      <c r="AA389" s="319"/>
      <c r="AB389" s="319" t="s">
        <v>1157</v>
      </c>
      <c r="AC389" s="327">
        <v>10.0</v>
      </c>
      <c r="AD389" s="319"/>
      <c r="AE389" s="319"/>
      <c r="AF389" s="319"/>
      <c r="AG389" s="319"/>
      <c r="AH389" s="319"/>
      <c r="AI389" s="319"/>
      <c r="AJ389" s="327"/>
      <c r="AK389" s="328"/>
      <c r="AL389" s="319"/>
      <c r="AM389" s="319"/>
      <c r="AN389" s="319"/>
      <c r="AO389" s="319"/>
      <c r="AP389" s="319"/>
      <c r="AQ389" s="319"/>
      <c r="AR389" s="319"/>
      <c r="AS389" s="327"/>
      <c r="AT389" s="461" t="s">
        <v>182</v>
      </c>
      <c r="AU389" s="324" t="s">
        <v>845</v>
      </c>
      <c r="AV389" s="330">
        <f>SQRT(($R389-Infrastructure!J$3)^2+($S389-Infrastructure!K$3)^2)</f>
        <v>23.61292019</v>
      </c>
      <c r="AW389" s="331">
        <f>SQRT(($R389-Infrastructure!J$4)^2+($S389-Infrastructure!K$4)^2)</f>
        <v>14.57257699</v>
      </c>
      <c r="AX389" s="331">
        <f>SQRT(($R389-Infrastructure!J$5)^2+($S389-Infrastructure!K$5)^2)</f>
        <v>10.93846424</v>
      </c>
      <c r="AY389" s="331">
        <f>SQRT(($R389-Infrastructure!J$6)^2+($S389-Infrastructure!K$6)^2)</f>
        <v>7.502666193</v>
      </c>
      <c r="AZ389" s="331">
        <f>SQRT(($R389-Infrastructure!J$7)^2+($S389-Infrastructure!K$7)^2)</f>
        <v>12.66056871</v>
      </c>
      <c r="BA389" s="331">
        <f>SQRT(($R389-Infrastructure!J$8)^2+($S389-Infrastructure!K$8)^2)</f>
        <v>21.17285999</v>
      </c>
      <c r="BB389" s="331">
        <f>SQRT(($R389-Infrastructure!J$9)^2+($S389-Infrastructure!K$9)^2)</f>
        <v>29.82247475</v>
      </c>
      <c r="BC389" s="331">
        <f>SQRT(($R389-Infrastructure!J$10)^2+($S389-Infrastructure!K$10)^2)</f>
        <v>30.56026832</v>
      </c>
      <c r="BD389" s="318"/>
      <c r="BE389" s="332"/>
      <c r="BF389" s="330">
        <f t="shared" si="14"/>
        <v>7.502666193</v>
      </c>
      <c r="BG389" s="333">
        <f t="shared" si="15"/>
        <v>30.56026832</v>
      </c>
      <c r="BH389" s="334"/>
      <c r="BI389" s="316"/>
      <c r="BJ389" s="318"/>
      <c r="BK389" s="318"/>
      <c r="BL389" s="318"/>
      <c r="BM389" s="318"/>
      <c r="BN389" s="318"/>
      <c r="BO389" s="318"/>
      <c r="BP389" s="318"/>
      <c r="BQ389" s="338"/>
      <c r="BR389" s="420"/>
      <c r="BS389" s="330"/>
      <c r="BT389" s="331"/>
      <c r="BU389" s="331"/>
      <c r="BV389" s="333"/>
      <c r="BW389" s="330"/>
      <c r="BX389" s="331"/>
      <c r="BY389" s="331"/>
      <c r="BZ389" s="340"/>
      <c r="CA389" s="316"/>
      <c r="CB389" s="318"/>
      <c r="CC389" s="318"/>
      <c r="CD389" s="318"/>
      <c r="CE389" s="318"/>
      <c r="CF389" s="318"/>
      <c r="CG389" s="318"/>
      <c r="CH389" s="318"/>
      <c r="CI389" s="338"/>
      <c r="CJ389" s="341"/>
      <c r="CK389" s="342">
        <f t="shared" si="18"/>
        <v>0</v>
      </c>
      <c r="CL389" s="333">
        <f t="shared" si="19"/>
        <v>0</v>
      </c>
      <c r="CM389" s="421" t="s">
        <v>1129</v>
      </c>
      <c r="CN389" s="416"/>
      <c r="CO389" s="416"/>
      <c r="CP389" s="416"/>
    </row>
    <row r="390">
      <c r="B390" s="316"/>
      <c r="C390" s="417">
        <v>43760.0</v>
      </c>
      <c r="D390" s="319" t="s">
        <v>1125</v>
      </c>
      <c r="E390" s="319">
        <v>8.0</v>
      </c>
      <c r="F390" s="324" t="s">
        <v>1171</v>
      </c>
      <c r="G390" s="321">
        <v>0.5746527777777778</v>
      </c>
      <c r="H390" s="323">
        <v>0.575</v>
      </c>
      <c r="I390" s="323"/>
      <c r="J390" s="323"/>
      <c r="K390" s="323">
        <v>0.5763888888888888</v>
      </c>
      <c r="L390" s="323">
        <v>0.001388888888888889</v>
      </c>
      <c r="M390" s="319" t="s">
        <v>166</v>
      </c>
      <c r="N390" s="324" t="s">
        <v>187</v>
      </c>
      <c r="O390" s="419" t="s">
        <v>200</v>
      </c>
      <c r="P390" s="319" t="s">
        <v>239</v>
      </c>
      <c r="Q390" s="318"/>
      <c r="R390" s="326">
        <v>17.0</v>
      </c>
      <c r="S390" s="319">
        <v>7.0</v>
      </c>
      <c r="T390" s="332"/>
      <c r="U390" s="319">
        <v>7.5</v>
      </c>
      <c r="V390" s="319"/>
      <c r="W390" s="319"/>
      <c r="X390" s="319"/>
      <c r="Y390" s="319"/>
      <c r="Z390" s="319" t="s">
        <v>318</v>
      </c>
      <c r="AA390" s="319"/>
      <c r="AB390" s="319" t="s">
        <v>1166</v>
      </c>
      <c r="AC390" s="327">
        <v>5.0</v>
      </c>
      <c r="AD390" s="319"/>
      <c r="AE390" s="319"/>
      <c r="AF390" s="319"/>
      <c r="AG390" s="319"/>
      <c r="AH390" s="319"/>
      <c r="AI390" s="319"/>
      <c r="AJ390" s="327"/>
      <c r="AK390" s="328"/>
      <c r="AL390" s="319"/>
      <c r="AM390" s="319"/>
      <c r="AN390" s="319"/>
      <c r="AO390" s="319"/>
      <c r="AP390" s="319"/>
      <c r="AQ390" s="319"/>
      <c r="AR390" s="319"/>
      <c r="AS390" s="327"/>
      <c r="AT390" s="461" t="s">
        <v>182</v>
      </c>
      <c r="AU390" s="324" t="s">
        <v>845</v>
      </c>
      <c r="AV390" s="330">
        <f>SQRT(($R390-Infrastructure!J$3)^2+($S390-Infrastructure!K$3)^2)</f>
        <v>27.90877998</v>
      </c>
      <c r="AW390" s="331">
        <f>SQRT(($R390-Infrastructure!J$4)^2+($S390-Infrastructure!K$4)^2)</f>
        <v>20.39436197</v>
      </c>
      <c r="AX390" s="331">
        <f>SQRT(($R390-Infrastructure!J$5)^2+($S390-Infrastructure!K$5)^2)</f>
        <v>17.40402252</v>
      </c>
      <c r="AY390" s="331">
        <f>SQRT(($R390-Infrastructure!J$6)^2+($S390-Infrastructure!K$6)^2)</f>
        <v>9.617692031</v>
      </c>
      <c r="AZ390" s="331">
        <f>SQRT(($R390-Infrastructure!J$7)^2+($S390-Infrastructure!K$7)^2)</f>
        <v>7.559100476</v>
      </c>
      <c r="BA390" s="331">
        <f>SQRT(($R390-Infrastructure!J$8)^2+($S390-Infrastructure!K$8)^2)</f>
        <v>14.71393897</v>
      </c>
      <c r="BB390" s="331">
        <f>SQRT(($R390-Infrastructure!J$9)^2+($S390-Infrastructure!K$9)^2)</f>
        <v>23.07834483</v>
      </c>
      <c r="BC390" s="331">
        <f>SQRT(($R390-Infrastructure!J$10)^2+($S390-Infrastructure!K$10)^2)</f>
        <v>24.35159132</v>
      </c>
      <c r="BD390" s="318"/>
      <c r="BE390" s="332"/>
      <c r="BF390" s="330">
        <f t="shared" si="14"/>
        <v>7.559100476</v>
      </c>
      <c r="BG390" s="333">
        <f t="shared" si="15"/>
        <v>27.90877998</v>
      </c>
      <c r="BH390" s="334"/>
      <c r="BI390" s="316"/>
      <c r="BJ390" s="318"/>
      <c r="BK390" s="318"/>
      <c r="BL390" s="318"/>
      <c r="BM390" s="318"/>
      <c r="BN390" s="318"/>
      <c r="BO390" s="318"/>
      <c r="BP390" s="318"/>
      <c r="BQ390" s="338"/>
      <c r="BR390" s="420"/>
      <c r="BS390" s="330"/>
      <c r="BT390" s="331"/>
      <c r="BU390" s="331"/>
      <c r="BV390" s="333"/>
      <c r="BW390" s="330"/>
      <c r="BX390" s="331"/>
      <c r="BY390" s="331"/>
      <c r="BZ390" s="340"/>
      <c r="CA390" s="316"/>
      <c r="CB390" s="318"/>
      <c r="CC390" s="318"/>
      <c r="CD390" s="318"/>
      <c r="CE390" s="318"/>
      <c r="CF390" s="318"/>
      <c r="CG390" s="318"/>
      <c r="CH390" s="318"/>
      <c r="CI390" s="338"/>
      <c r="CJ390" s="341"/>
      <c r="CK390" s="342">
        <f t="shared" si="18"/>
        <v>0</v>
      </c>
      <c r="CL390" s="333">
        <f t="shared" si="19"/>
        <v>0</v>
      </c>
      <c r="CM390" s="421" t="s">
        <v>1126</v>
      </c>
      <c r="CN390" s="416"/>
      <c r="CO390" s="416"/>
      <c r="CP390" s="416"/>
    </row>
    <row r="391">
      <c r="B391" s="316"/>
      <c r="C391" s="417">
        <v>43760.0</v>
      </c>
      <c r="D391" s="319" t="s">
        <v>1131</v>
      </c>
      <c r="E391" s="319">
        <v>10.0</v>
      </c>
      <c r="F391" s="324" t="s">
        <v>1172</v>
      </c>
      <c r="G391" s="321">
        <v>0.5819444444444445</v>
      </c>
      <c r="H391" s="323"/>
      <c r="I391" s="323"/>
      <c r="J391" s="323"/>
      <c r="K391" s="323">
        <v>0.5833333333333334</v>
      </c>
      <c r="L391" s="323">
        <v>0.001388888888888889</v>
      </c>
      <c r="M391" s="319" t="s">
        <v>166</v>
      </c>
      <c r="N391" s="324" t="s">
        <v>187</v>
      </c>
      <c r="O391" s="419" t="s">
        <v>205</v>
      </c>
      <c r="P391" s="319" t="s">
        <v>245</v>
      </c>
      <c r="Q391" s="318"/>
      <c r="R391" s="326">
        <v>21.1</v>
      </c>
      <c r="S391" s="319">
        <v>5.3</v>
      </c>
      <c r="T391" s="324">
        <v>1.3</v>
      </c>
      <c r="U391" s="319">
        <v>3.0</v>
      </c>
      <c r="V391" s="319"/>
      <c r="W391" s="319"/>
      <c r="X391" s="319"/>
      <c r="Y391" s="319"/>
      <c r="Z391" s="319" t="s">
        <v>370</v>
      </c>
      <c r="AA391" s="319"/>
      <c r="AB391" s="319" t="s">
        <v>1173</v>
      </c>
      <c r="AC391" s="327">
        <v>6.0</v>
      </c>
      <c r="AD391" s="319"/>
      <c r="AE391" s="319"/>
      <c r="AF391" s="319"/>
      <c r="AG391" s="319"/>
      <c r="AH391" s="319"/>
      <c r="AI391" s="319"/>
      <c r="AJ391" s="327"/>
      <c r="AK391" s="328"/>
      <c r="AL391" s="319"/>
      <c r="AM391" s="319"/>
      <c r="AN391" s="319"/>
      <c r="AO391" s="319"/>
      <c r="AP391" s="319"/>
      <c r="AQ391" s="319"/>
      <c r="AR391" s="319"/>
      <c r="AS391" s="327"/>
      <c r="AT391" s="461" t="s">
        <v>182</v>
      </c>
      <c r="AU391" s="324" t="s">
        <v>846</v>
      </c>
      <c r="AV391" s="330">
        <f>SQRT(($R391-Infrastructure!J$3)^2+($S391-Infrastructure!K$3)^2)</f>
        <v>31.85780909</v>
      </c>
      <c r="AW391" s="331">
        <f>SQRT(($R391-Infrastructure!J$4)^2+($S391-Infrastructure!K$4)^2)</f>
        <v>24.78326048</v>
      </c>
      <c r="AX391" s="331">
        <f>SQRT(($R391-Infrastructure!J$5)^2+($S391-Infrastructure!K$5)^2)</f>
        <v>21.40093456</v>
      </c>
      <c r="AY391" s="331">
        <f>SQRT(($R391-Infrastructure!J$6)^2+($S391-Infrastructure!K$6)^2)</f>
        <v>12.08304597</v>
      </c>
      <c r="AZ391" s="331">
        <f>SQRT(($R391-Infrastructure!J$7)^2+($S391-Infrastructure!K$7)^2)</f>
        <v>5.035871325</v>
      </c>
      <c r="BA391" s="331">
        <f>SQRT(($R391-Infrastructure!J$8)^2+($S391-Infrastructure!K$8)^2)</f>
        <v>10.29563014</v>
      </c>
      <c r="BB391" s="331">
        <f>SQRT(($R391-Infrastructure!J$9)^2+($S391-Infrastructure!K$9)^2)</f>
        <v>18.90105817</v>
      </c>
      <c r="BC391" s="331">
        <f>SQRT(($R391-Infrastructure!J$10)^2+($S391-Infrastructure!K$10)^2)</f>
        <v>21.24382263</v>
      </c>
      <c r="BD391" s="318"/>
      <c r="BE391" s="332"/>
      <c r="BF391" s="330">
        <f t="shared" si="14"/>
        <v>5.035871325</v>
      </c>
      <c r="BG391" s="333">
        <f t="shared" si="15"/>
        <v>31.85780909</v>
      </c>
      <c r="BH391" s="334"/>
      <c r="BI391" s="316"/>
      <c r="BJ391" s="318"/>
      <c r="BK391" s="318"/>
      <c r="BL391" s="318"/>
      <c r="BM391" s="318"/>
      <c r="BN391" s="318"/>
      <c r="BO391" s="318"/>
      <c r="BP391" s="318"/>
      <c r="BQ391" s="338"/>
      <c r="BR391" s="420"/>
      <c r="BS391" s="330"/>
      <c r="BT391" s="331"/>
      <c r="BU391" s="331"/>
      <c r="BV391" s="333"/>
      <c r="BW391" s="330"/>
      <c r="BX391" s="331"/>
      <c r="BY391" s="331"/>
      <c r="BZ391" s="340"/>
      <c r="CA391" s="316"/>
      <c r="CB391" s="318"/>
      <c r="CC391" s="318"/>
      <c r="CD391" s="318"/>
      <c r="CE391" s="318"/>
      <c r="CF391" s="318"/>
      <c r="CG391" s="318"/>
      <c r="CH391" s="318"/>
      <c r="CI391" s="338"/>
      <c r="CJ391" s="341"/>
      <c r="CK391" s="342">
        <f t="shared" si="18"/>
        <v>0</v>
      </c>
      <c r="CL391" s="333">
        <f t="shared" si="19"/>
        <v>0</v>
      </c>
      <c r="CM391" s="421" t="s">
        <v>1132</v>
      </c>
      <c r="CN391" s="416"/>
      <c r="CO391" s="416"/>
      <c r="CP391" s="416"/>
    </row>
    <row r="392">
      <c r="B392" s="316"/>
      <c r="C392" s="417">
        <v>43760.0</v>
      </c>
      <c r="D392" s="319" t="s">
        <v>1131</v>
      </c>
      <c r="E392" s="319">
        <v>10.0</v>
      </c>
      <c r="F392" s="324" t="s">
        <v>1174</v>
      </c>
      <c r="G392" s="321">
        <v>0.5819444444444445</v>
      </c>
      <c r="H392" s="323"/>
      <c r="I392" s="323"/>
      <c r="J392" s="323"/>
      <c r="K392" s="323">
        <v>0.5833333333333334</v>
      </c>
      <c r="L392" s="323">
        <v>0.001388888888888889</v>
      </c>
      <c r="M392" s="319" t="s">
        <v>166</v>
      </c>
      <c r="N392" s="324" t="s">
        <v>187</v>
      </c>
      <c r="O392" s="419" t="s">
        <v>198</v>
      </c>
      <c r="P392" s="319" t="s">
        <v>301</v>
      </c>
      <c r="Q392" s="318"/>
      <c r="R392" s="326">
        <v>10.0</v>
      </c>
      <c r="S392" s="319">
        <v>11.7</v>
      </c>
      <c r="T392" s="324">
        <v>0.4</v>
      </c>
      <c r="U392" s="319">
        <v>6.2</v>
      </c>
      <c r="V392" s="319"/>
      <c r="W392" s="319"/>
      <c r="X392" s="319"/>
      <c r="Y392" s="319"/>
      <c r="Z392" s="319" t="s">
        <v>343</v>
      </c>
      <c r="AA392" s="319"/>
      <c r="AB392" s="319" t="s">
        <v>1175</v>
      </c>
      <c r="AC392" s="327">
        <v>8.0</v>
      </c>
      <c r="AD392" s="319"/>
      <c r="AE392" s="319"/>
      <c r="AF392" s="319"/>
      <c r="AG392" s="319"/>
      <c r="AH392" s="319"/>
      <c r="AI392" s="319"/>
      <c r="AJ392" s="327"/>
      <c r="AK392" s="328"/>
      <c r="AL392" s="319"/>
      <c r="AM392" s="319"/>
      <c r="AN392" s="319"/>
      <c r="AO392" s="319"/>
      <c r="AP392" s="319"/>
      <c r="AQ392" s="319"/>
      <c r="AR392" s="319"/>
      <c r="AS392" s="327"/>
      <c r="AT392" s="461" t="s">
        <v>182</v>
      </c>
      <c r="AU392" s="324" t="s">
        <v>846</v>
      </c>
      <c r="AV392" s="330">
        <f>SQRT(($R392-Infrastructure!J$3)^2+($S392-Infrastructure!K$3)^2)</f>
        <v>20.04819194</v>
      </c>
      <c r="AW392" s="331">
        <f>SQRT(($R392-Infrastructure!J$4)^2+($S392-Infrastructure!K$4)^2)</f>
        <v>11.9707978</v>
      </c>
      <c r="AX392" s="331">
        <f>SQRT(($R392-Infrastructure!J$5)^2+($S392-Infrastructure!K$5)^2)</f>
        <v>12.23315168</v>
      </c>
      <c r="AY392" s="331">
        <f>SQRT(($R392-Infrastructure!J$6)^2+($S392-Infrastructure!K$6)^2)</f>
        <v>11.40043859</v>
      </c>
      <c r="AZ392" s="331">
        <f>SQRT(($R392-Infrastructure!J$7)^2+($S392-Infrastructure!K$7)^2)</f>
        <v>15.49870962</v>
      </c>
      <c r="BA392" s="331">
        <f>SQRT(($R392-Infrastructure!J$8)^2+($S392-Infrastructure!K$8)^2)</f>
        <v>23.10779089</v>
      </c>
      <c r="BB392" s="331">
        <f>SQRT(($R392-Infrastructure!J$9)^2+($S392-Infrastructure!K$9)^2)</f>
        <v>30.71742177</v>
      </c>
      <c r="BC392" s="331">
        <f>SQRT(($R392-Infrastructure!J$10)^2+($S392-Infrastructure!K$10)^2)</f>
        <v>30.18095426</v>
      </c>
      <c r="BD392" s="318"/>
      <c r="BE392" s="332"/>
      <c r="BF392" s="330">
        <f t="shared" si="14"/>
        <v>11.40043859</v>
      </c>
      <c r="BG392" s="333">
        <f t="shared" si="15"/>
        <v>30.71742177</v>
      </c>
      <c r="BH392" s="334"/>
      <c r="BI392" s="316"/>
      <c r="BJ392" s="318"/>
      <c r="BK392" s="318"/>
      <c r="BL392" s="318"/>
      <c r="BM392" s="318"/>
      <c r="BN392" s="318"/>
      <c r="BO392" s="318"/>
      <c r="BP392" s="318"/>
      <c r="BQ392" s="338"/>
      <c r="BR392" s="420"/>
      <c r="BS392" s="330"/>
      <c r="BT392" s="331"/>
      <c r="BU392" s="331"/>
      <c r="BV392" s="333"/>
      <c r="BW392" s="330"/>
      <c r="BX392" s="331"/>
      <c r="BY392" s="331"/>
      <c r="BZ392" s="340"/>
      <c r="CA392" s="316"/>
      <c r="CB392" s="318"/>
      <c r="CC392" s="318"/>
      <c r="CD392" s="318"/>
      <c r="CE392" s="318"/>
      <c r="CF392" s="318"/>
      <c r="CG392" s="318"/>
      <c r="CH392" s="318"/>
      <c r="CI392" s="338"/>
      <c r="CJ392" s="341"/>
      <c r="CK392" s="342">
        <f t="shared" si="18"/>
        <v>0</v>
      </c>
      <c r="CL392" s="333">
        <f t="shared" si="19"/>
        <v>0</v>
      </c>
      <c r="CM392" s="423"/>
      <c r="CN392" s="424"/>
      <c r="CO392" s="424"/>
      <c r="CP392" s="424"/>
    </row>
    <row r="393">
      <c r="B393" s="316"/>
      <c r="C393" s="417">
        <v>43760.0</v>
      </c>
      <c r="D393" s="319" t="s">
        <v>1125</v>
      </c>
      <c r="E393" s="319">
        <v>11.0</v>
      </c>
      <c r="F393" s="324" t="s">
        <v>1176</v>
      </c>
      <c r="G393" s="321">
        <v>0.5868055555555556</v>
      </c>
      <c r="H393" s="323">
        <v>0.5876736111111112</v>
      </c>
      <c r="I393" s="323"/>
      <c r="J393" s="323"/>
      <c r="K393" s="323">
        <v>0.5890625</v>
      </c>
      <c r="L393" s="323">
        <v>0.001388888888888889</v>
      </c>
      <c r="M393" s="319" t="s">
        <v>166</v>
      </c>
      <c r="N393" s="324" t="s">
        <v>187</v>
      </c>
      <c r="O393" s="419" t="s">
        <v>198</v>
      </c>
      <c r="P393" s="319" t="s">
        <v>295</v>
      </c>
      <c r="Q393" s="318"/>
      <c r="R393" s="326">
        <v>10.3</v>
      </c>
      <c r="S393" s="319">
        <v>7.8</v>
      </c>
      <c r="T393" s="324">
        <v>3.0</v>
      </c>
      <c r="U393" s="319">
        <v>3.3</v>
      </c>
      <c r="V393" s="319"/>
      <c r="W393" s="319"/>
      <c r="X393" s="319"/>
      <c r="Y393" s="319"/>
      <c r="Z393" s="319" t="s">
        <v>343</v>
      </c>
      <c r="AA393" s="319"/>
      <c r="AB393" s="319" t="s">
        <v>1157</v>
      </c>
      <c r="AC393" s="327">
        <v>10.0</v>
      </c>
      <c r="AD393" s="319"/>
      <c r="AE393" s="319"/>
      <c r="AF393" s="319"/>
      <c r="AG393" s="319"/>
      <c r="AH393" s="319"/>
      <c r="AI393" s="319"/>
      <c r="AJ393" s="327"/>
      <c r="AK393" s="328"/>
      <c r="AL393" s="319"/>
      <c r="AM393" s="319"/>
      <c r="AN393" s="319"/>
      <c r="AO393" s="319"/>
      <c r="AP393" s="319"/>
      <c r="AQ393" s="319"/>
      <c r="AR393" s="319"/>
      <c r="AS393" s="327"/>
      <c r="AT393" s="461" t="s">
        <v>182</v>
      </c>
      <c r="AU393" s="324" t="s">
        <v>845</v>
      </c>
      <c r="AV393" s="330">
        <f>SQRT(($R393-Infrastructure!J$3)^2+($S393-Infrastructure!K$3)^2)</f>
        <v>23.61292019</v>
      </c>
      <c r="AW393" s="331">
        <f>SQRT(($R393-Infrastructure!J$4)^2+($S393-Infrastructure!K$4)^2)</f>
        <v>14.57257699</v>
      </c>
      <c r="AX393" s="331">
        <f>SQRT(($R393-Infrastructure!J$5)^2+($S393-Infrastructure!K$5)^2)</f>
        <v>10.93846424</v>
      </c>
      <c r="AY393" s="331">
        <f>SQRT(($R393-Infrastructure!J$6)^2+($S393-Infrastructure!K$6)^2)</f>
        <v>7.502666193</v>
      </c>
      <c r="AZ393" s="331">
        <f>SQRT(($R393-Infrastructure!J$7)^2+($S393-Infrastructure!K$7)^2)</f>
        <v>12.66056871</v>
      </c>
      <c r="BA393" s="331">
        <f>SQRT(($R393-Infrastructure!J$8)^2+($S393-Infrastructure!K$8)^2)</f>
        <v>21.17285999</v>
      </c>
      <c r="BB393" s="331">
        <f>SQRT(($R393-Infrastructure!J$9)^2+($S393-Infrastructure!K$9)^2)</f>
        <v>29.82247475</v>
      </c>
      <c r="BC393" s="331">
        <f>SQRT(($R393-Infrastructure!J$10)^2+($S393-Infrastructure!K$10)^2)</f>
        <v>30.56026832</v>
      </c>
      <c r="BD393" s="318"/>
      <c r="BE393" s="332"/>
      <c r="BF393" s="330">
        <f t="shared" si="14"/>
        <v>7.502666193</v>
      </c>
      <c r="BG393" s="333">
        <f t="shared" si="15"/>
        <v>30.56026832</v>
      </c>
      <c r="BH393" s="334"/>
      <c r="BI393" s="316"/>
      <c r="BJ393" s="318"/>
      <c r="BK393" s="318"/>
      <c r="BL393" s="318"/>
      <c r="BM393" s="318"/>
      <c r="BN393" s="318"/>
      <c r="BO393" s="318"/>
      <c r="BP393" s="318"/>
      <c r="BQ393" s="338"/>
      <c r="BR393" s="420"/>
      <c r="BS393" s="330"/>
      <c r="BT393" s="331"/>
      <c r="BU393" s="331"/>
      <c r="BV393" s="333"/>
      <c r="BW393" s="330"/>
      <c r="BX393" s="331"/>
      <c r="BY393" s="331"/>
      <c r="BZ393" s="340"/>
      <c r="CA393" s="316"/>
      <c r="CB393" s="318"/>
      <c r="CC393" s="318"/>
      <c r="CD393" s="318"/>
      <c r="CE393" s="318"/>
      <c r="CF393" s="318"/>
      <c r="CG393" s="318"/>
      <c r="CH393" s="318"/>
      <c r="CI393" s="338"/>
      <c r="CJ393" s="341"/>
      <c r="CK393" s="342">
        <f t="shared" si="18"/>
        <v>0</v>
      </c>
      <c r="CL393" s="333">
        <f t="shared" si="19"/>
        <v>0</v>
      </c>
      <c r="CM393" s="421" t="s">
        <v>1129</v>
      </c>
      <c r="CN393" s="416"/>
      <c r="CO393" s="416"/>
      <c r="CP393" s="416"/>
    </row>
    <row r="394">
      <c r="B394" s="316"/>
      <c r="C394" s="417">
        <v>43760.0</v>
      </c>
      <c r="D394" s="319" t="s">
        <v>1125</v>
      </c>
      <c r="E394" s="319">
        <v>14.0</v>
      </c>
      <c r="F394" s="324" t="s">
        <v>1177</v>
      </c>
      <c r="G394" s="321">
        <v>0.5934027777777777</v>
      </c>
      <c r="H394" s="323">
        <v>0.5939236111111111</v>
      </c>
      <c r="I394" s="323"/>
      <c r="J394" s="323"/>
      <c r="K394" s="323">
        <v>0.5953125</v>
      </c>
      <c r="L394" s="323">
        <v>0.001388888888888889</v>
      </c>
      <c r="M394" s="319" t="s">
        <v>166</v>
      </c>
      <c r="N394" s="324" t="s">
        <v>187</v>
      </c>
      <c r="O394" s="419" t="s">
        <v>1071</v>
      </c>
      <c r="P394" s="319" t="s">
        <v>238</v>
      </c>
      <c r="Q394" s="318"/>
      <c r="R394" s="326">
        <v>24.5</v>
      </c>
      <c r="S394" s="319">
        <v>7.5</v>
      </c>
      <c r="T394" s="324">
        <v>0.6</v>
      </c>
      <c r="U394" s="319">
        <v>4.0</v>
      </c>
      <c r="V394" s="319"/>
      <c r="W394" s="319"/>
      <c r="X394" s="319"/>
      <c r="Y394" s="319"/>
      <c r="Z394" s="319" t="s">
        <v>331</v>
      </c>
      <c r="AA394" s="319"/>
      <c r="AB394" s="319" t="s">
        <v>1178</v>
      </c>
      <c r="AC394" s="327">
        <v>4.0</v>
      </c>
      <c r="AD394" s="319"/>
      <c r="AE394" s="319"/>
      <c r="AF394" s="319"/>
      <c r="AG394" s="319"/>
      <c r="AH394" s="319"/>
      <c r="AI394" s="319"/>
      <c r="AJ394" s="327"/>
      <c r="AK394" s="328"/>
      <c r="AL394" s="319"/>
      <c r="AM394" s="319"/>
      <c r="AN394" s="319"/>
      <c r="AO394" s="319"/>
      <c r="AP394" s="319"/>
      <c r="AQ394" s="319"/>
      <c r="AR394" s="319"/>
      <c r="AS394" s="327"/>
      <c r="AT394" s="461" t="s">
        <v>182</v>
      </c>
      <c r="AU394" s="324" t="s">
        <v>845</v>
      </c>
      <c r="AV394" s="330">
        <f>SQRT(($R394-Infrastructure!J$3)^2+($S394-Infrastructure!K$3)^2)</f>
        <v>32.75667871</v>
      </c>
      <c r="AW394" s="331">
        <f>SQRT(($R394-Infrastructure!J$4)^2+($S394-Infrastructure!K$4)^2)</f>
        <v>26.85386378</v>
      </c>
      <c r="AX394" s="331">
        <f>SQRT(($R394-Infrastructure!J$5)^2+($S394-Infrastructure!K$5)^2)</f>
        <v>24.9158584</v>
      </c>
      <c r="AY394" s="331">
        <f>SQRT(($R394-Infrastructure!J$6)^2+($S394-Infrastructure!K$6)^2)</f>
        <v>16.09968944</v>
      </c>
      <c r="AZ394" s="331">
        <f>SQRT(($R394-Infrastructure!J$7)^2+($S394-Infrastructure!K$7)^2)</f>
        <v>8.236504113</v>
      </c>
      <c r="BA394" s="331">
        <f>SQRT(($R394-Infrastructure!J$8)^2+($S394-Infrastructure!K$8)^2)</f>
        <v>9.121403401</v>
      </c>
      <c r="BB394" s="331">
        <f>SQRT(($R394-Infrastructure!J$9)^2+($S394-Infrastructure!K$9)^2)</f>
        <v>15.68470593</v>
      </c>
      <c r="BC394" s="331">
        <f>SQRT(($R394-Infrastructure!J$10)^2+($S394-Infrastructure!K$10)^2)</f>
        <v>17.21917536</v>
      </c>
      <c r="BD394" s="318"/>
      <c r="BE394" s="332"/>
      <c r="BF394" s="330">
        <f t="shared" si="14"/>
        <v>8.236504113</v>
      </c>
      <c r="BG394" s="333">
        <f t="shared" si="15"/>
        <v>32.75667871</v>
      </c>
      <c r="BH394" s="334"/>
      <c r="BI394" s="316"/>
      <c r="BJ394" s="318"/>
      <c r="BK394" s="318"/>
      <c r="BL394" s="318"/>
      <c r="BM394" s="318"/>
      <c r="BN394" s="318"/>
      <c r="BO394" s="318"/>
      <c r="BP394" s="318"/>
      <c r="BQ394" s="338"/>
      <c r="BR394" s="420"/>
      <c r="BS394" s="330"/>
      <c r="BT394" s="331"/>
      <c r="BU394" s="331"/>
      <c r="BV394" s="333"/>
      <c r="BW394" s="330"/>
      <c r="BX394" s="331"/>
      <c r="BY394" s="331"/>
      <c r="BZ394" s="340"/>
      <c r="CA394" s="316"/>
      <c r="CB394" s="318"/>
      <c r="CC394" s="318"/>
      <c r="CD394" s="318"/>
      <c r="CE394" s="318"/>
      <c r="CF394" s="318"/>
      <c r="CG394" s="318"/>
      <c r="CH394" s="318"/>
      <c r="CI394" s="338"/>
      <c r="CJ394" s="341"/>
      <c r="CK394" s="342">
        <f t="shared" si="18"/>
        <v>0</v>
      </c>
      <c r="CL394" s="333">
        <f t="shared" si="19"/>
        <v>0</v>
      </c>
      <c r="CM394" s="421" t="s">
        <v>1129</v>
      </c>
      <c r="CN394" s="416"/>
      <c r="CO394" s="416"/>
      <c r="CP394" s="416"/>
    </row>
    <row r="395">
      <c r="B395" s="316"/>
      <c r="C395" s="417">
        <v>43760.0</v>
      </c>
      <c r="D395" s="319" t="s">
        <v>1125</v>
      </c>
      <c r="E395" s="319">
        <v>15.0</v>
      </c>
      <c r="F395" s="324" t="s">
        <v>1179</v>
      </c>
      <c r="G395" s="321">
        <v>0.5993055555555555</v>
      </c>
      <c r="H395" s="323">
        <v>0.5996527777777778</v>
      </c>
      <c r="I395" s="323"/>
      <c r="J395" s="323"/>
      <c r="K395" s="323">
        <v>0.6010416666666667</v>
      </c>
      <c r="L395" s="323">
        <v>0.001388888888888889</v>
      </c>
      <c r="M395" s="319" t="s">
        <v>166</v>
      </c>
      <c r="N395" s="324" t="s">
        <v>187</v>
      </c>
      <c r="O395" s="419" t="s">
        <v>200</v>
      </c>
      <c r="P395" s="319" t="s">
        <v>239</v>
      </c>
      <c r="Q395" s="318"/>
      <c r="R395" s="326">
        <v>17.0</v>
      </c>
      <c r="S395" s="319">
        <v>7.0</v>
      </c>
      <c r="T395" s="332"/>
      <c r="U395" s="319">
        <v>7.5</v>
      </c>
      <c r="V395" s="319"/>
      <c r="W395" s="319"/>
      <c r="X395" s="319"/>
      <c r="Y395" s="319"/>
      <c r="Z395" s="319" t="s">
        <v>318</v>
      </c>
      <c r="AA395" s="319"/>
      <c r="AB395" s="319" t="s">
        <v>1166</v>
      </c>
      <c r="AC395" s="327">
        <v>5.0</v>
      </c>
      <c r="AD395" s="319"/>
      <c r="AE395" s="319"/>
      <c r="AF395" s="319"/>
      <c r="AG395" s="319"/>
      <c r="AH395" s="319"/>
      <c r="AI395" s="319"/>
      <c r="AJ395" s="327"/>
      <c r="AK395" s="328"/>
      <c r="AL395" s="319"/>
      <c r="AM395" s="319"/>
      <c r="AN395" s="319"/>
      <c r="AO395" s="319"/>
      <c r="AP395" s="319"/>
      <c r="AQ395" s="319"/>
      <c r="AR395" s="319"/>
      <c r="AS395" s="327"/>
      <c r="AT395" s="461" t="s">
        <v>182</v>
      </c>
      <c r="AU395" s="324" t="s">
        <v>845</v>
      </c>
      <c r="AV395" s="330">
        <f>SQRT(($R395-Infrastructure!J$3)^2+($S395-Infrastructure!K$3)^2)</f>
        <v>27.90877998</v>
      </c>
      <c r="AW395" s="331">
        <f>SQRT(($R395-Infrastructure!J$4)^2+($S395-Infrastructure!K$4)^2)</f>
        <v>20.39436197</v>
      </c>
      <c r="AX395" s="331">
        <f>SQRT(($R395-Infrastructure!J$5)^2+($S395-Infrastructure!K$5)^2)</f>
        <v>17.40402252</v>
      </c>
      <c r="AY395" s="331">
        <f>SQRT(($R395-Infrastructure!J$6)^2+($S395-Infrastructure!K$6)^2)</f>
        <v>9.617692031</v>
      </c>
      <c r="AZ395" s="331">
        <f>SQRT(($R395-Infrastructure!J$7)^2+($S395-Infrastructure!K$7)^2)</f>
        <v>7.559100476</v>
      </c>
      <c r="BA395" s="331">
        <f>SQRT(($R395-Infrastructure!J$8)^2+($S395-Infrastructure!K$8)^2)</f>
        <v>14.71393897</v>
      </c>
      <c r="BB395" s="331">
        <f>SQRT(($R395-Infrastructure!J$9)^2+($S395-Infrastructure!K$9)^2)</f>
        <v>23.07834483</v>
      </c>
      <c r="BC395" s="331">
        <f>SQRT(($R395-Infrastructure!J$10)^2+($S395-Infrastructure!K$10)^2)</f>
        <v>24.35159132</v>
      </c>
      <c r="BD395" s="318"/>
      <c r="BE395" s="332"/>
      <c r="BF395" s="330">
        <f t="shared" si="14"/>
        <v>7.559100476</v>
      </c>
      <c r="BG395" s="333">
        <f t="shared" si="15"/>
        <v>27.90877998</v>
      </c>
      <c r="BH395" s="334"/>
      <c r="BI395" s="316"/>
      <c r="BJ395" s="318"/>
      <c r="BK395" s="318"/>
      <c r="BL395" s="318"/>
      <c r="BM395" s="318"/>
      <c r="BN395" s="318"/>
      <c r="BO395" s="318"/>
      <c r="BP395" s="318"/>
      <c r="BQ395" s="338"/>
      <c r="BR395" s="420"/>
      <c r="BS395" s="330"/>
      <c r="BT395" s="331"/>
      <c r="BU395" s="331"/>
      <c r="BV395" s="333"/>
      <c r="BW395" s="330"/>
      <c r="BX395" s="331"/>
      <c r="BY395" s="331"/>
      <c r="BZ395" s="340"/>
      <c r="CA395" s="316"/>
      <c r="CB395" s="318"/>
      <c r="CC395" s="318"/>
      <c r="CD395" s="318"/>
      <c r="CE395" s="318"/>
      <c r="CF395" s="318"/>
      <c r="CG395" s="318"/>
      <c r="CH395" s="318"/>
      <c r="CI395" s="338"/>
      <c r="CJ395" s="341"/>
      <c r="CK395" s="342">
        <f t="shared" si="18"/>
        <v>0</v>
      </c>
      <c r="CL395" s="333">
        <f t="shared" si="19"/>
        <v>0</v>
      </c>
      <c r="CM395" s="421" t="s">
        <v>1180</v>
      </c>
      <c r="CN395" s="416"/>
      <c r="CO395" s="416"/>
      <c r="CP395" s="416"/>
    </row>
    <row r="396">
      <c r="B396" s="316"/>
      <c r="C396" s="417">
        <v>43760.0</v>
      </c>
      <c r="D396" s="319" t="s">
        <v>1125</v>
      </c>
      <c r="E396" s="319">
        <v>17.0</v>
      </c>
      <c r="F396" s="324" t="s">
        <v>1181</v>
      </c>
      <c r="G396" s="321">
        <v>0.6037037037037037</v>
      </c>
      <c r="H396" s="323">
        <v>0.6039930555555556</v>
      </c>
      <c r="I396" s="323"/>
      <c r="J396" s="323"/>
      <c r="K396" s="323">
        <v>0.6053819444444445</v>
      </c>
      <c r="L396" s="323">
        <v>0.001388888888888889</v>
      </c>
      <c r="M396" s="319" t="s">
        <v>166</v>
      </c>
      <c r="N396" s="324" t="s">
        <v>187</v>
      </c>
      <c r="O396" s="419" t="s">
        <v>200</v>
      </c>
      <c r="P396" s="319" t="s">
        <v>239</v>
      </c>
      <c r="Q396" s="318"/>
      <c r="R396" s="326">
        <v>17.0</v>
      </c>
      <c r="S396" s="319">
        <v>7.0</v>
      </c>
      <c r="T396" s="332"/>
      <c r="U396" s="319">
        <v>7.5</v>
      </c>
      <c r="V396" s="319"/>
      <c r="W396" s="319"/>
      <c r="X396" s="319"/>
      <c r="Y396" s="319"/>
      <c r="Z396" s="319" t="s">
        <v>318</v>
      </c>
      <c r="AA396" s="319"/>
      <c r="AB396" s="319" t="s">
        <v>1166</v>
      </c>
      <c r="AC396" s="327">
        <v>5.0</v>
      </c>
      <c r="AD396" s="319"/>
      <c r="AE396" s="319"/>
      <c r="AF396" s="319"/>
      <c r="AG396" s="319"/>
      <c r="AH396" s="319"/>
      <c r="AI396" s="319"/>
      <c r="AJ396" s="327"/>
      <c r="AK396" s="328"/>
      <c r="AL396" s="319"/>
      <c r="AM396" s="319"/>
      <c r="AN396" s="319"/>
      <c r="AO396" s="319"/>
      <c r="AP396" s="319"/>
      <c r="AQ396" s="319"/>
      <c r="AR396" s="319"/>
      <c r="AS396" s="327"/>
      <c r="AT396" s="461" t="s">
        <v>182</v>
      </c>
      <c r="AU396" s="324" t="s">
        <v>845</v>
      </c>
      <c r="AV396" s="330">
        <f>SQRT(($R396-Infrastructure!J$3)^2+($S396-Infrastructure!K$3)^2)</f>
        <v>27.90877998</v>
      </c>
      <c r="AW396" s="331">
        <f>SQRT(($R396-Infrastructure!J$4)^2+($S396-Infrastructure!K$4)^2)</f>
        <v>20.39436197</v>
      </c>
      <c r="AX396" s="331">
        <f>SQRT(($R396-Infrastructure!J$5)^2+($S396-Infrastructure!K$5)^2)</f>
        <v>17.40402252</v>
      </c>
      <c r="AY396" s="331">
        <f>SQRT(($R396-Infrastructure!J$6)^2+($S396-Infrastructure!K$6)^2)</f>
        <v>9.617692031</v>
      </c>
      <c r="AZ396" s="331">
        <f>SQRT(($R396-Infrastructure!J$7)^2+($S396-Infrastructure!K$7)^2)</f>
        <v>7.559100476</v>
      </c>
      <c r="BA396" s="331">
        <f>SQRT(($R396-Infrastructure!J$8)^2+($S396-Infrastructure!K$8)^2)</f>
        <v>14.71393897</v>
      </c>
      <c r="BB396" s="331">
        <f>SQRT(($R396-Infrastructure!J$9)^2+($S396-Infrastructure!K$9)^2)</f>
        <v>23.07834483</v>
      </c>
      <c r="BC396" s="331">
        <f>SQRT(($R396-Infrastructure!J$10)^2+($S396-Infrastructure!K$10)^2)</f>
        <v>24.35159132</v>
      </c>
      <c r="BD396" s="318"/>
      <c r="BE396" s="332"/>
      <c r="BF396" s="330">
        <f t="shared" si="14"/>
        <v>7.559100476</v>
      </c>
      <c r="BG396" s="333">
        <f t="shared" si="15"/>
        <v>27.90877998</v>
      </c>
      <c r="BH396" s="334"/>
      <c r="BI396" s="316"/>
      <c r="BJ396" s="318"/>
      <c r="BK396" s="318"/>
      <c r="BL396" s="318"/>
      <c r="BM396" s="318"/>
      <c r="BN396" s="318"/>
      <c r="BO396" s="318"/>
      <c r="BP396" s="318"/>
      <c r="BQ396" s="338"/>
      <c r="BR396" s="420"/>
      <c r="BS396" s="330"/>
      <c r="BT396" s="331"/>
      <c r="BU396" s="331"/>
      <c r="BV396" s="333"/>
      <c r="BW396" s="330"/>
      <c r="BX396" s="331"/>
      <c r="BY396" s="331"/>
      <c r="BZ396" s="340"/>
      <c r="CA396" s="316"/>
      <c r="CB396" s="318"/>
      <c r="CC396" s="318"/>
      <c r="CD396" s="318"/>
      <c r="CE396" s="318"/>
      <c r="CF396" s="318"/>
      <c r="CG396" s="318"/>
      <c r="CH396" s="318"/>
      <c r="CI396" s="338"/>
      <c r="CJ396" s="341"/>
      <c r="CK396" s="342">
        <f t="shared" si="18"/>
        <v>0</v>
      </c>
      <c r="CL396" s="333">
        <f t="shared" si="19"/>
        <v>0</v>
      </c>
      <c r="CM396" s="421" t="s">
        <v>1126</v>
      </c>
      <c r="CN396" s="416"/>
      <c r="CO396" s="416"/>
      <c r="CP396" s="416"/>
    </row>
    <row r="397">
      <c r="B397" s="316"/>
      <c r="C397" s="417">
        <v>43760.0</v>
      </c>
      <c r="D397" s="319" t="s">
        <v>1131</v>
      </c>
      <c r="E397" s="319">
        <v>19.0</v>
      </c>
      <c r="F397" s="324" t="s">
        <v>1182</v>
      </c>
      <c r="G397" s="321">
        <v>0.6111111111111112</v>
      </c>
      <c r="H397" s="323">
        <v>0.6123263888888889</v>
      </c>
      <c r="I397" s="323"/>
      <c r="J397" s="323"/>
      <c r="K397" s="323">
        <v>0.6137152777777778</v>
      </c>
      <c r="L397" s="323">
        <v>0.001388888888888889</v>
      </c>
      <c r="M397" s="319" t="s">
        <v>166</v>
      </c>
      <c r="N397" s="324" t="s">
        <v>187</v>
      </c>
      <c r="O397" s="419" t="s">
        <v>1183</v>
      </c>
      <c r="P397" s="319" t="s">
        <v>237</v>
      </c>
      <c r="Q397" s="318"/>
      <c r="R397" s="326">
        <v>14.84</v>
      </c>
      <c r="S397" s="319">
        <v>2.37</v>
      </c>
      <c r="T397" s="324">
        <v>1.2</v>
      </c>
      <c r="U397" s="319">
        <v>1.5</v>
      </c>
      <c r="V397" s="319"/>
      <c r="W397" s="319"/>
      <c r="X397" s="319"/>
      <c r="Y397" s="319"/>
      <c r="Z397" s="319" t="s">
        <v>357</v>
      </c>
      <c r="AA397" s="319"/>
      <c r="AB397" s="319" t="s">
        <v>1173</v>
      </c>
      <c r="AC397" s="327">
        <v>6.0</v>
      </c>
      <c r="AD397" s="319"/>
      <c r="AE397" s="319"/>
      <c r="AF397" s="319"/>
      <c r="AG397" s="319"/>
      <c r="AH397" s="319"/>
      <c r="AI397" s="319"/>
      <c r="AJ397" s="327"/>
      <c r="AK397" s="328"/>
      <c r="AL397" s="319"/>
      <c r="AM397" s="319"/>
      <c r="AN397" s="319"/>
      <c r="AO397" s="319"/>
      <c r="AP397" s="319"/>
      <c r="AQ397" s="319"/>
      <c r="AR397" s="319"/>
      <c r="AS397" s="327"/>
      <c r="AT397" s="461" t="s">
        <v>182</v>
      </c>
      <c r="AU397" s="324" t="s">
        <v>846</v>
      </c>
      <c r="AV397" s="330">
        <f>SQRT(($R397-Infrastructure!J$3)^2+($S397-Infrastructure!K$3)^2)</f>
        <v>30.54603902</v>
      </c>
      <c r="AW397" s="331">
        <f>SQRT(($R397-Infrastructure!J$4)^2+($S397-Infrastructure!K$4)^2)</f>
        <v>21.61722693</v>
      </c>
      <c r="AX397" s="331">
        <f>SQRT(($R397-Infrastructure!J$5)^2+($S397-Infrastructure!K$5)^2)</f>
        <v>15.38416394</v>
      </c>
      <c r="AY397" s="331">
        <f>SQRT(($R397-Infrastructure!J$6)^2+($S397-Infrastructure!K$6)^2)</f>
        <v>5.172281895</v>
      </c>
      <c r="AZ397" s="331">
        <f>SQRT(($R397-Infrastructure!J$7)^2+($S397-Infrastructure!K$7)^2)</f>
        <v>6.026649152</v>
      </c>
      <c r="BA397" s="331">
        <f>SQRT(($R397-Infrastructure!J$8)^2+($S397-Infrastructure!K$8)^2)</f>
        <v>15.39975649</v>
      </c>
      <c r="BB397" s="331">
        <f>SQRT(($R397-Infrastructure!J$9)^2+($S397-Infrastructure!K$9)^2)</f>
        <v>25.3076767</v>
      </c>
      <c r="BC397" s="331">
        <f>SQRT(($R397-Infrastructure!J$10)^2+($S397-Infrastructure!K$10)^2)</f>
        <v>28.15213136</v>
      </c>
      <c r="BD397" s="318"/>
      <c r="BE397" s="332"/>
      <c r="BF397" s="330">
        <f t="shared" si="14"/>
        <v>5.172281895</v>
      </c>
      <c r="BG397" s="333">
        <f t="shared" si="15"/>
        <v>30.54603902</v>
      </c>
      <c r="BH397" s="334"/>
      <c r="BI397" s="316"/>
      <c r="BJ397" s="318"/>
      <c r="BK397" s="318"/>
      <c r="BL397" s="318"/>
      <c r="BM397" s="318"/>
      <c r="BN397" s="318"/>
      <c r="BO397" s="318"/>
      <c r="BP397" s="318"/>
      <c r="BQ397" s="338"/>
      <c r="BR397" s="420"/>
      <c r="BS397" s="330"/>
      <c r="BT397" s="331"/>
      <c r="BU397" s="331"/>
      <c r="BV397" s="333"/>
      <c r="BW397" s="330"/>
      <c r="BX397" s="331"/>
      <c r="BY397" s="331"/>
      <c r="BZ397" s="340"/>
      <c r="CA397" s="316"/>
      <c r="CB397" s="318"/>
      <c r="CC397" s="318"/>
      <c r="CD397" s="318"/>
      <c r="CE397" s="318"/>
      <c r="CF397" s="318"/>
      <c r="CG397" s="318"/>
      <c r="CH397" s="318"/>
      <c r="CI397" s="338"/>
      <c r="CJ397" s="341"/>
      <c r="CK397" s="342">
        <f t="shared" si="18"/>
        <v>0</v>
      </c>
      <c r="CL397" s="333">
        <f t="shared" si="19"/>
        <v>0</v>
      </c>
      <c r="CM397" s="421" t="s">
        <v>1135</v>
      </c>
      <c r="CN397" s="416"/>
      <c r="CO397" s="416"/>
      <c r="CP397" s="416"/>
    </row>
    <row r="398">
      <c r="B398" s="316"/>
      <c r="C398" s="417">
        <v>43760.0</v>
      </c>
      <c r="D398" s="319" t="s">
        <v>1131</v>
      </c>
      <c r="E398" s="319">
        <v>19.0</v>
      </c>
      <c r="F398" s="324" t="s">
        <v>1184</v>
      </c>
      <c r="G398" s="321">
        <v>0.6111111111111112</v>
      </c>
      <c r="H398" s="323">
        <v>0.6123263888888889</v>
      </c>
      <c r="I398" s="323"/>
      <c r="J398" s="323"/>
      <c r="K398" s="323">
        <v>0.6137152777777778</v>
      </c>
      <c r="L398" s="323">
        <v>0.001388888888888889</v>
      </c>
      <c r="M398" s="319" t="s">
        <v>166</v>
      </c>
      <c r="N398" s="324" t="s">
        <v>187</v>
      </c>
      <c r="O398" s="419" t="s">
        <v>204</v>
      </c>
      <c r="P398" s="319" t="s">
        <v>244</v>
      </c>
      <c r="Q398" s="318"/>
      <c r="R398" s="326">
        <v>17.6</v>
      </c>
      <c r="S398" s="319">
        <v>3.6</v>
      </c>
      <c r="T398" s="324">
        <v>2.4</v>
      </c>
      <c r="U398" s="319">
        <v>6.4</v>
      </c>
      <c r="V398" s="319"/>
      <c r="W398" s="319"/>
      <c r="X398" s="319"/>
      <c r="Y398" s="319"/>
      <c r="Z398" s="319" t="s">
        <v>365</v>
      </c>
      <c r="AA398" s="319"/>
      <c r="AB398" s="319" t="s">
        <v>1175</v>
      </c>
      <c r="AC398" s="327">
        <v>8.0</v>
      </c>
      <c r="AD398" s="319"/>
      <c r="AE398" s="319"/>
      <c r="AF398" s="319"/>
      <c r="AG398" s="319"/>
      <c r="AH398" s="319"/>
      <c r="AI398" s="319"/>
      <c r="AJ398" s="327"/>
      <c r="AK398" s="328"/>
      <c r="AL398" s="319"/>
      <c r="AM398" s="319"/>
      <c r="AN398" s="319"/>
      <c r="AO398" s="319"/>
      <c r="AP398" s="319"/>
      <c r="AQ398" s="319"/>
      <c r="AR398" s="319"/>
      <c r="AS398" s="327"/>
      <c r="AT398" s="461" t="s">
        <v>182</v>
      </c>
      <c r="AU398" s="324" t="s">
        <v>846</v>
      </c>
      <c r="AV398" s="330">
        <f>SQRT(($R398-Infrastructure!J$3)^2+($S398-Infrastructure!K$3)^2)</f>
        <v>30.99193443</v>
      </c>
      <c r="AW398" s="331">
        <f>SQRT(($R398-Infrastructure!J$4)^2+($S398-Infrastructure!K$4)^2)</f>
        <v>22.84841351</v>
      </c>
      <c r="AX398" s="331">
        <f>SQRT(($R398-Infrastructure!J$5)^2+($S398-Infrastructure!K$5)^2)</f>
        <v>17.96273921</v>
      </c>
      <c r="AY398" s="331">
        <f>SQRT(($R398-Infrastructure!J$6)^2+($S398-Infrastructure!K$6)^2)</f>
        <v>8.19390017</v>
      </c>
      <c r="AZ398" s="331">
        <f>SQRT(($R398-Infrastructure!J$7)^2+($S398-Infrastructure!K$7)^2)</f>
        <v>4.393176527</v>
      </c>
      <c r="BA398" s="331">
        <f>SQRT(($R398-Infrastructure!J$8)^2+($S398-Infrastructure!K$8)^2)</f>
        <v>12.92826361</v>
      </c>
      <c r="BB398" s="331">
        <f>SQRT(($R398-Infrastructure!J$9)^2+($S398-Infrastructure!K$9)^2)</f>
        <v>22.45016704</v>
      </c>
      <c r="BC398" s="331">
        <f>SQRT(($R398-Infrastructure!J$10)^2+($S398-Infrastructure!K$10)^2)</f>
        <v>25.13404066</v>
      </c>
      <c r="BD398" s="318"/>
      <c r="BE398" s="332"/>
      <c r="BF398" s="330">
        <f t="shared" si="14"/>
        <v>4.393176527</v>
      </c>
      <c r="BG398" s="333">
        <f t="shared" si="15"/>
        <v>30.99193443</v>
      </c>
      <c r="BH398" s="334"/>
      <c r="BI398" s="316"/>
      <c r="BJ398" s="318"/>
      <c r="BK398" s="318"/>
      <c r="BL398" s="318"/>
      <c r="BM398" s="318"/>
      <c r="BN398" s="318"/>
      <c r="BO398" s="318"/>
      <c r="BP398" s="318"/>
      <c r="BQ398" s="338"/>
      <c r="BR398" s="420"/>
      <c r="BS398" s="330"/>
      <c r="BT398" s="331"/>
      <c r="BU398" s="331"/>
      <c r="BV398" s="333"/>
      <c r="BW398" s="330"/>
      <c r="BX398" s="331"/>
      <c r="BY398" s="331"/>
      <c r="BZ398" s="340"/>
      <c r="CA398" s="316"/>
      <c r="CB398" s="318"/>
      <c r="CC398" s="318"/>
      <c r="CD398" s="318"/>
      <c r="CE398" s="318"/>
      <c r="CF398" s="318"/>
      <c r="CG398" s="318"/>
      <c r="CH398" s="318"/>
      <c r="CI398" s="338"/>
      <c r="CJ398" s="341"/>
      <c r="CK398" s="342">
        <f t="shared" si="18"/>
        <v>0</v>
      </c>
      <c r="CL398" s="333">
        <f t="shared" si="19"/>
        <v>0</v>
      </c>
      <c r="CM398" s="423"/>
      <c r="CN398" s="424"/>
      <c r="CO398" s="424"/>
      <c r="CP398" s="424"/>
    </row>
    <row r="399">
      <c r="B399" s="316"/>
      <c r="C399" s="417">
        <v>43760.0</v>
      </c>
      <c r="D399" s="319" t="s">
        <v>1125</v>
      </c>
      <c r="E399" s="319">
        <v>20.0</v>
      </c>
      <c r="F399" s="324" t="s">
        <v>1185</v>
      </c>
      <c r="G399" s="321">
        <v>0.6173611111111111</v>
      </c>
      <c r="H399" s="323">
        <v>0.6177083333333333</v>
      </c>
      <c r="I399" s="323"/>
      <c r="J399" s="323"/>
      <c r="K399" s="323">
        <v>0.6190972222222222</v>
      </c>
      <c r="L399" s="323">
        <v>0.001388888888888889</v>
      </c>
      <c r="M399" s="319" t="s">
        <v>166</v>
      </c>
      <c r="N399" s="324" t="s">
        <v>187</v>
      </c>
      <c r="O399" s="419" t="s">
        <v>200</v>
      </c>
      <c r="P399" s="319" t="s">
        <v>239</v>
      </c>
      <c r="Q399" s="318"/>
      <c r="R399" s="326">
        <v>17.0</v>
      </c>
      <c r="S399" s="319">
        <v>7.0</v>
      </c>
      <c r="T399" s="332"/>
      <c r="U399" s="319">
        <v>7.5</v>
      </c>
      <c r="V399" s="319"/>
      <c r="W399" s="319"/>
      <c r="X399" s="319"/>
      <c r="Y399" s="319"/>
      <c r="Z399" s="319" t="s">
        <v>318</v>
      </c>
      <c r="AA399" s="319"/>
      <c r="AB399" s="319" t="s">
        <v>1166</v>
      </c>
      <c r="AC399" s="327">
        <v>5.0</v>
      </c>
      <c r="AD399" s="319"/>
      <c r="AE399" s="319"/>
      <c r="AF399" s="319"/>
      <c r="AG399" s="319"/>
      <c r="AH399" s="319"/>
      <c r="AI399" s="319"/>
      <c r="AJ399" s="327"/>
      <c r="AK399" s="328"/>
      <c r="AL399" s="319"/>
      <c r="AM399" s="319"/>
      <c r="AN399" s="319"/>
      <c r="AO399" s="319"/>
      <c r="AP399" s="319"/>
      <c r="AQ399" s="319"/>
      <c r="AR399" s="319"/>
      <c r="AS399" s="327"/>
      <c r="AT399" s="461" t="s">
        <v>182</v>
      </c>
      <c r="AU399" s="324" t="s">
        <v>845</v>
      </c>
      <c r="AV399" s="330">
        <f>SQRT(($R399-Infrastructure!J$3)^2+($S399-Infrastructure!K$3)^2)</f>
        <v>27.90877998</v>
      </c>
      <c r="AW399" s="331">
        <f>SQRT(($R399-Infrastructure!J$4)^2+($S399-Infrastructure!K$4)^2)</f>
        <v>20.39436197</v>
      </c>
      <c r="AX399" s="331">
        <f>SQRT(($R399-Infrastructure!J$5)^2+($S399-Infrastructure!K$5)^2)</f>
        <v>17.40402252</v>
      </c>
      <c r="AY399" s="331">
        <f>SQRT(($R399-Infrastructure!J$6)^2+($S399-Infrastructure!K$6)^2)</f>
        <v>9.617692031</v>
      </c>
      <c r="AZ399" s="331">
        <f>SQRT(($R399-Infrastructure!J$7)^2+($S399-Infrastructure!K$7)^2)</f>
        <v>7.559100476</v>
      </c>
      <c r="BA399" s="331">
        <f>SQRT(($R399-Infrastructure!J$8)^2+($S399-Infrastructure!K$8)^2)</f>
        <v>14.71393897</v>
      </c>
      <c r="BB399" s="331">
        <f>SQRT(($R399-Infrastructure!J$9)^2+($S399-Infrastructure!K$9)^2)</f>
        <v>23.07834483</v>
      </c>
      <c r="BC399" s="331">
        <f>SQRT(($R399-Infrastructure!J$10)^2+($S399-Infrastructure!K$10)^2)</f>
        <v>24.35159132</v>
      </c>
      <c r="BD399" s="318"/>
      <c r="BE399" s="332"/>
      <c r="BF399" s="330">
        <f t="shared" si="14"/>
        <v>7.559100476</v>
      </c>
      <c r="BG399" s="333">
        <f t="shared" si="15"/>
        <v>27.90877998</v>
      </c>
      <c r="BH399" s="334"/>
      <c r="BI399" s="316"/>
      <c r="BJ399" s="318"/>
      <c r="BK399" s="318"/>
      <c r="BL399" s="318"/>
      <c r="BM399" s="318"/>
      <c r="BN399" s="318"/>
      <c r="BO399" s="318"/>
      <c r="BP399" s="318"/>
      <c r="BQ399" s="338"/>
      <c r="BR399" s="420"/>
      <c r="BS399" s="330"/>
      <c r="BT399" s="331"/>
      <c r="BU399" s="331"/>
      <c r="BV399" s="333"/>
      <c r="BW399" s="330"/>
      <c r="BX399" s="331"/>
      <c r="BY399" s="331"/>
      <c r="BZ399" s="340"/>
      <c r="CA399" s="316"/>
      <c r="CB399" s="318"/>
      <c r="CC399" s="318"/>
      <c r="CD399" s="318"/>
      <c r="CE399" s="318"/>
      <c r="CF399" s="318"/>
      <c r="CG399" s="318"/>
      <c r="CH399" s="318"/>
      <c r="CI399" s="338"/>
      <c r="CJ399" s="341"/>
      <c r="CK399" s="342">
        <f t="shared" si="18"/>
        <v>0</v>
      </c>
      <c r="CL399" s="333">
        <f t="shared" si="19"/>
        <v>0</v>
      </c>
      <c r="CM399" s="421" t="s">
        <v>1126</v>
      </c>
      <c r="CN399" s="416"/>
      <c r="CO399" s="416"/>
      <c r="CP399" s="416"/>
    </row>
    <row r="400">
      <c r="B400" s="316"/>
      <c r="C400" s="417">
        <v>43760.0</v>
      </c>
      <c r="D400" s="319" t="s">
        <v>1136</v>
      </c>
      <c r="E400" s="319">
        <v>21.0</v>
      </c>
      <c r="F400" s="324" t="s">
        <v>1186</v>
      </c>
      <c r="G400" s="321">
        <v>0.6229166666666667</v>
      </c>
      <c r="H400" s="323">
        <v>0.6237847222222223</v>
      </c>
      <c r="I400" s="323"/>
      <c r="J400" s="323"/>
      <c r="K400" s="323">
        <v>0.6244791666666667</v>
      </c>
      <c r="L400" s="323">
        <v>6.944444444444445E-4</v>
      </c>
      <c r="M400" s="319" t="s">
        <v>166</v>
      </c>
      <c r="N400" s="324" t="s">
        <v>187</v>
      </c>
      <c r="O400" s="419" t="s">
        <v>201</v>
      </c>
      <c r="P400" s="319" t="s">
        <v>243</v>
      </c>
      <c r="Q400" s="318"/>
      <c r="R400" s="326">
        <v>10.0</v>
      </c>
      <c r="S400" s="319">
        <v>5.0</v>
      </c>
      <c r="T400" s="332"/>
      <c r="U400" s="319">
        <v>4.0</v>
      </c>
      <c r="V400" s="319"/>
      <c r="W400" s="319"/>
      <c r="X400" s="319"/>
      <c r="Y400" s="319"/>
      <c r="Z400" s="319" t="s">
        <v>1187</v>
      </c>
      <c r="AA400" s="319"/>
      <c r="AB400" s="319" t="s">
        <v>240</v>
      </c>
      <c r="AC400" s="327" t="s">
        <v>323</v>
      </c>
      <c r="AD400" s="319"/>
      <c r="AE400" s="319"/>
      <c r="AF400" s="319"/>
      <c r="AG400" s="319"/>
      <c r="AH400" s="319"/>
      <c r="AI400" s="319"/>
      <c r="AJ400" s="327"/>
      <c r="AK400" s="328"/>
      <c r="AL400" s="319"/>
      <c r="AM400" s="319"/>
      <c r="AN400" s="319"/>
      <c r="AO400" s="319"/>
      <c r="AP400" s="319"/>
      <c r="AQ400" s="319"/>
      <c r="AR400" s="319"/>
      <c r="AS400" s="327"/>
      <c r="AT400" s="461" t="s">
        <v>182</v>
      </c>
      <c r="AU400" s="324" t="s">
        <v>845</v>
      </c>
      <c r="AV400" s="330">
        <f>SQRT(($R400-Infrastructure!J$3)^2+($S400-Infrastructure!K$3)^2)</f>
        <v>26.02498799</v>
      </c>
      <c r="AW400" s="331">
        <f>SQRT(($R400-Infrastructure!J$4)^2+($S400-Infrastructure!K$4)^2)</f>
        <v>16.42954655</v>
      </c>
      <c r="AX400" s="331">
        <f>SQRT(($R400-Infrastructure!J$5)^2+($S400-Infrastructure!K$5)^2)</f>
        <v>10.30048543</v>
      </c>
      <c r="AY400" s="331">
        <f>SQRT(($R400-Infrastructure!J$6)^2+($S400-Infrastructure!K$6)^2)</f>
        <v>4.701063709</v>
      </c>
      <c r="AZ400" s="331">
        <f>SQRT(($R400-Infrastructure!J$7)^2+($S400-Infrastructure!K$7)^2)</f>
        <v>11.50391238</v>
      </c>
      <c r="BA400" s="331">
        <f>SQRT(($R400-Infrastructure!J$8)^2+($S400-Infrastructure!K$8)^2)</f>
        <v>20.64218981</v>
      </c>
      <c r="BB400" s="331">
        <f>SQRT(($R400-Infrastructure!J$9)^2+($S400-Infrastructure!K$9)^2)</f>
        <v>30.00016667</v>
      </c>
      <c r="BC400" s="331">
        <f>SQRT(($R400-Infrastructure!J$10)^2+($S400-Infrastructure!K$10)^2)</f>
        <v>31.6227766</v>
      </c>
      <c r="BD400" s="318"/>
      <c r="BE400" s="332"/>
      <c r="BF400" s="330">
        <f t="shared" si="14"/>
        <v>4.701063709</v>
      </c>
      <c r="BG400" s="333">
        <f t="shared" si="15"/>
        <v>31.6227766</v>
      </c>
      <c r="BH400" s="334"/>
      <c r="BI400" s="316"/>
      <c r="BJ400" s="318"/>
      <c r="BK400" s="318"/>
      <c r="BL400" s="318"/>
      <c r="BM400" s="318"/>
      <c r="BN400" s="318"/>
      <c r="BO400" s="318"/>
      <c r="BP400" s="318"/>
      <c r="BQ400" s="338"/>
      <c r="BR400" s="420"/>
      <c r="BS400" s="330"/>
      <c r="BT400" s="331"/>
      <c r="BU400" s="331"/>
      <c r="BV400" s="333"/>
      <c r="BW400" s="330"/>
      <c r="BX400" s="331"/>
      <c r="BY400" s="331"/>
      <c r="BZ400" s="340"/>
      <c r="CA400" s="316"/>
      <c r="CB400" s="318"/>
      <c r="CC400" s="318"/>
      <c r="CD400" s="318"/>
      <c r="CE400" s="318"/>
      <c r="CF400" s="318"/>
      <c r="CG400" s="318"/>
      <c r="CH400" s="318"/>
      <c r="CI400" s="338"/>
      <c r="CJ400" s="341"/>
      <c r="CK400" s="342">
        <f t="shared" si="18"/>
        <v>0</v>
      </c>
      <c r="CL400" s="333">
        <f t="shared" si="19"/>
        <v>0</v>
      </c>
      <c r="CM400" s="421" t="s">
        <v>1137</v>
      </c>
      <c r="CN400" s="416"/>
      <c r="CO400" s="416"/>
      <c r="CP400" s="416"/>
    </row>
    <row r="401">
      <c r="B401" s="316"/>
      <c r="C401" s="417">
        <v>43760.0</v>
      </c>
      <c r="D401" s="426" t="s">
        <v>1136</v>
      </c>
      <c r="E401" s="426">
        <v>21.0</v>
      </c>
      <c r="F401" s="324" t="s">
        <v>1188</v>
      </c>
      <c r="G401" s="321">
        <v>0.6244791666666667</v>
      </c>
      <c r="H401" s="323">
        <v>0.6248263888888889</v>
      </c>
      <c r="I401" s="323"/>
      <c r="J401" s="323"/>
      <c r="K401" s="323">
        <v>0.6255208333333333</v>
      </c>
      <c r="L401" s="323">
        <v>6.944444444444445E-4</v>
      </c>
      <c r="M401" s="319" t="s">
        <v>166</v>
      </c>
      <c r="N401" s="324" t="s">
        <v>187</v>
      </c>
      <c r="O401" s="419" t="s">
        <v>201</v>
      </c>
      <c r="P401" s="426" t="s">
        <v>243</v>
      </c>
      <c r="Q401" s="318"/>
      <c r="R401" s="326">
        <v>10.0</v>
      </c>
      <c r="S401" s="319">
        <v>5.0</v>
      </c>
      <c r="T401" s="332"/>
      <c r="U401" s="319">
        <v>7.3</v>
      </c>
      <c r="V401" s="319"/>
      <c r="W401" s="319"/>
      <c r="X401" s="319"/>
      <c r="Y401" s="319"/>
      <c r="Z401" s="319" t="s">
        <v>1187</v>
      </c>
      <c r="AA401" s="319"/>
      <c r="AB401" s="426" t="s">
        <v>240</v>
      </c>
      <c r="AC401" s="327" t="s">
        <v>323</v>
      </c>
      <c r="AD401" s="319"/>
      <c r="AE401" s="319"/>
      <c r="AF401" s="319"/>
      <c r="AG401" s="319"/>
      <c r="AH401" s="319"/>
      <c r="AI401" s="319"/>
      <c r="AJ401" s="327"/>
      <c r="AK401" s="328"/>
      <c r="AL401" s="319"/>
      <c r="AM401" s="319"/>
      <c r="AN401" s="319"/>
      <c r="AO401" s="319"/>
      <c r="AP401" s="319"/>
      <c r="AQ401" s="319"/>
      <c r="AR401" s="319"/>
      <c r="AS401" s="327"/>
      <c r="AT401" s="461" t="s">
        <v>182</v>
      </c>
      <c r="AU401" s="324" t="s">
        <v>845</v>
      </c>
      <c r="AV401" s="330">
        <f>SQRT(($R401-Infrastructure!J$3)^2+($S401-Infrastructure!K$3)^2)</f>
        <v>26.02498799</v>
      </c>
      <c r="AW401" s="331">
        <f>SQRT(($R401-Infrastructure!J$4)^2+($S401-Infrastructure!K$4)^2)</f>
        <v>16.42954655</v>
      </c>
      <c r="AX401" s="331">
        <f>SQRT(($R401-Infrastructure!J$5)^2+($S401-Infrastructure!K$5)^2)</f>
        <v>10.30048543</v>
      </c>
      <c r="AY401" s="331">
        <f>SQRT(($R401-Infrastructure!J$6)^2+($S401-Infrastructure!K$6)^2)</f>
        <v>4.701063709</v>
      </c>
      <c r="AZ401" s="331">
        <f>SQRT(($R401-Infrastructure!J$7)^2+($S401-Infrastructure!K$7)^2)</f>
        <v>11.50391238</v>
      </c>
      <c r="BA401" s="331">
        <f>SQRT(($R401-Infrastructure!J$8)^2+($S401-Infrastructure!K$8)^2)</f>
        <v>20.64218981</v>
      </c>
      <c r="BB401" s="331">
        <f>SQRT(($R401-Infrastructure!J$9)^2+($S401-Infrastructure!K$9)^2)</f>
        <v>30.00016667</v>
      </c>
      <c r="BC401" s="331">
        <f>SQRT(($R401-Infrastructure!J$10)^2+($S401-Infrastructure!K$10)^2)</f>
        <v>31.6227766</v>
      </c>
      <c r="BD401" s="318"/>
      <c r="BE401" s="332"/>
      <c r="BF401" s="330">
        <f t="shared" si="14"/>
        <v>4.701063709</v>
      </c>
      <c r="BG401" s="333">
        <f t="shared" si="15"/>
        <v>31.6227766</v>
      </c>
      <c r="BH401" s="334"/>
      <c r="BI401" s="316"/>
      <c r="BJ401" s="318"/>
      <c r="BK401" s="318"/>
      <c r="BL401" s="318"/>
      <c r="BM401" s="318"/>
      <c r="BN401" s="318"/>
      <c r="BO401" s="318"/>
      <c r="BP401" s="318"/>
      <c r="BQ401" s="338"/>
      <c r="BR401" s="420"/>
      <c r="BS401" s="330"/>
      <c r="BT401" s="331"/>
      <c r="BU401" s="331"/>
      <c r="BV401" s="333"/>
      <c r="BW401" s="330"/>
      <c r="BX401" s="331"/>
      <c r="BY401" s="331"/>
      <c r="BZ401" s="340"/>
      <c r="CA401" s="316"/>
      <c r="CB401" s="318"/>
      <c r="CC401" s="318"/>
      <c r="CD401" s="318"/>
      <c r="CE401" s="318"/>
      <c r="CF401" s="318"/>
      <c r="CG401" s="318"/>
      <c r="CH401" s="318"/>
      <c r="CI401" s="338"/>
      <c r="CJ401" s="341"/>
      <c r="CK401" s="342">
        <f t="shared" si="18"/>
        <v>0</v>
      </c>
      <c r="CL401" s="333">
        <f t="shared" si="19"/>
        <v>0</v>
      </c>
      <c r="CM401" s="421" t="s">
        <v>1138</v>
      </c>
      <c r="CN401" s="416"/>
      <c r="CO401" s="416"/>
      <c r="CP401" s="416"/>
    </row>
    <row r="402">
      <c r="B402" s="316"/>
      <c r="C402" s="417">
        <v>43760.0</v>
      </c>
      <c r="D402" s="426" t="s">
        <v>1136</v>
      </c>
      <c r="E402" s="426">
        <v>21.0</v>
      </c>
      <c r="F402" s="324" t="s">
        <v>1189</v>
      </c>
      <c r="G402" s="321">
        <v>0.6255208333333333</v>
      </c>
      <c r="H402" s="323">
        <v>0.6265625</v>
      </c>
      <c r="I402" s="323"/>
      <c r="J402" s="323"/>
      <c r="K402" s="323">
        <v>0.6272569444444445</v>
      </c>
      <c r="L402" s="323">
        <v>6.944444444444445E-4</v>
      </c>
      <c r="M402" s="319" t="s">
        <v>166</v>
      </c>
      <c r="N402" s="324" t="s">
        <v>187</v>
      </c>
      <c r="O402" s="419" t="s">
        <v>201</v>
      </c>
      <c r="P402" s="426" t="s">
        <v>243</v>
      </c>
      <c r="Q402" s="318"/>
      <c r="R402" s="326">
        <v>10.0</v>
      </c>
      <c r="S402" s="319">
        <v>5.0</v>
      </c>
      <c r="T402" s="332"/>
      <c r="U402" s="319">
        <v>2.0</v>
      </c>
      <c r="V402" s="319"/>
      <c r="W402" s="319"/>
      <c r="X402" s="319"/>
      <c r="Y402" s="319"/>
      <c r="Z402" s="319" t="s">
        <v>1187</v>
      </c>
      <c r="AA402" s="319"/>
      <c r="AB402" s="426" t="s">
        <v>240</v>
      </c>
      <c r="AC402" s="327" t="s">
        <v>323</v>
      </c>
      <c r="AD402" s="319"/>
      <c r="AE402" s="319"/>
      <c r="AF402" s="319"/>
      <c r="AG402" s="319"/>
      <c r="AH402" s="319"/>
      <c r="AI402" s="319"/>
      <c r="AJ402" s="327"/>
      <c r="AK402" s="328"/>
      <c r="AL402" s="319"/>
      <c r="AM402" s="319"/>
      <c r="AN402" s="319"/>
      <c r="AO402" s="319"/>
      <c r="AP402" s="319"/>
      <c r="AQ402" s="319"/>
      <c r="AR402" s="319"/>
      <c r="AS402" s="327"/>
      <c r="AT402" s="461" t="s">
        <v>182</v>
      </c>
      <c r="AU402" s="324" t="s">
        <v>845</v>
      </c>
      <c r="AV402" s="330">
        <f>SQRT(($R402-Infrastructure!J$3)^2+($S402-Infrastructure!K$3)^2)</f>
        <v>26.02498799</v>
      </c>
      <c r="AW402" s="331">
        <f>SQRT(($R402-Infrastructure!J$4)^2+($S402-Infrastructure!K$4)^2)</f>
        <v>16.42954655</v>
      </c>
      <c r="AX402" s="331">
        <f>SQRT(($R402-Infrastructure!J$5)^2+($S402-Infrastructure!K$5)^2)</f>
        <v>10.30048543</v>
      </c>
      <c r="AY402" s="331">
        <f>SQRT(($R402-Infrastructure!J$6)^2+($S402-Infrastructure!K$6)^2)</f>
        <v>4.701063709</v>
      </c>
      <c r="AZ402" s="331">
        <f>SQRT(($R402-Infrastructure!J$7)^2+($S402-Infrastructure!K$7)^2)</f>
        <v>11.50391238</v>
      </c>
      <c r="BA402" s="331">
        <f>SQRT(($R402-Infrastructure!J$8)^2+($S402-Infrastructure!K$8)^2)</f>
        <v>20.64218981</v>
      </c>
      <c r="BB402" s="331">
        <f>SQRT(($R402-Infrastructure!J$9)^2+($S402-Infrastructure!K$9)^2)</f>
        <v>30.00016667</v>
      </c>
      <c r="BC402" s="331">
        <f>SQRT(($R402-Infrastructure!J$10)^2+($S402-Infrastructure!K$10)^2)</f>
        <v>31.6227766</v>
      </c>
      <c r="BD402" s="318"/>
      <c r="BE402" s="332"/>
      <c r="BF402" s="330">
        <f t="shared" si="14"/>
        <v>4.701063709</v>
      </c>
      <c r="BG402" s="333">
        <f t="shared" si="15"/>
        <v>31.6227766</v>
      </c>
      <c r="BH402" s="334"/>
      <c r="BI402" s="316"/>
      <c r="BJ402" s="318"/>
      <c r="BK402" s="318"/>
      <c r="BL402" s="318"/>
      <c r="BM402" s="318"/>
      <c r="BN402" s="318"/>
      <c r="BO402" s="318"/>
      <c r="BP402" s="318"/>
      <c r="BQ402" s="338"/>
      <c r="BR402" s="420"/>
      <c r="BS402" s="330"/>
      <c r="BT402" s="331"/>
      <c r="BU402" s="331"/>
      <c r="BV402" s="333"/>
      <c r="BW402" s="330"/>
      <c r="BX402" s="331"/>
      <c r="BY402" s="331"/>
      <c r="BZ402" s="340"/>
      <c r="CA402" s="316"/>
      <c r="CB402" s="318"/>
      <c r="CC402" s="318"/>
      <c r="CD402" s="318"/>
      <c r="CE402" s="318"/>
      <c r="CF402" s="318"/>
      <c r="CG402" s="318"/>
      <c r="CH402" s="318"/>
      <c r="CI402" s="338"/>
      <c r="CJ402" s="341"/>
      <c r="CK402" s="342">
        <f t="shared" si="18"/>
        <v>0</v>
      </c>
      <c r="CL402" s="333">
        <f t="shared" si="19"/>
        <v>0</v>
      </c>
      <c r="CM402" s="421" t="s">
        <v>1190</v>
      </c>
      <c r="CN402" s="416"/>
      <c r="CO402" s="416"/>
      <c r="CP402" s="416"/>
    </row>
    <row r="403">
      <c r="B403" s="316"/>
      <c r="C403" s="417">
        <v>43760.0</v>
      </c>
      <c r="D403" s="426" t="s">
        <v>1136</v>
      </c>
      <c r="E403" s="426">
        <v>21.0</v>
      </c>
      <c r="F403" s="324" t="s">
        <v>1191</v>
      </c>
      <c r="G403" s="321">
        <v>0.6272569444444445</v>
      </c>
      <c r="H403" s="323">
        <v>0.6282986111111111</v>
      </c>
      <c r="I403" s="323"/>
      <c r="J403" s="323"/>
      <c r="K403" s="323">
        <v>0.6289930555555555</v>
      </c>
      <c r="L403" s="323">
        <v>6.944444444444445E-4</v>
      </c>
      <c r="M403" s="319" t="s">
        <v>166</v>
      </c>
      <c r="N403" s="324" t="s">
        <v>187</v>
      </c>
      <c r="O403" s="419" t="s">
        <v>201</v>
      </c>
      <c r="P403" s="426" t="s">
        <v>243</v>
      </c>
      <c r="Q403" s="318"/>
      <c r="R403" s="326">
        <v>10.0</v>
      </c>
      <c r="S403" s="319">
        <v>5.0</v>
      </c>
      <c r="T403" s="332"/>
      <c r="U403" s="319">
        <v>5.0</v>
      </c>
      <c r="V403" s="319"/>
      <c r="W403" s="319"/>
      <c r="X403" s="319"/>
      <c r="Y403" s="319"/>
      <c r="Z403" s="319" t="s">
        <v>1187</v>
      </c>
      <c r="AA403" s="319"/>
      <c r="AB403" s="426" t="s">
        <v>240</v>
      </c>
      <c r="AC403" s="327" t="s">
        <v>323</v>
      </c>
      <c r="AD403" s="319"/>
      <c r="AE403" s="319"/>
      <c r="AF403" s="319"/>
      <c r="AG403" s="319"/>
      <c r="AH403" s="319"/>
      <c r="AI403" s="319"/>
      <c r="AJ403" s="327"/>
      <c r="AK403" s="328"/>
      <c r="AL403" s="319"/>
      <c r="AM403" s="319"/>
      <c r="AN403" s="319"/>
      <c r="AO403" s="319"/>
      <c r="AP403" s="319"/>
      <c r="AQ403" s="319"/>
      <c r="AR403" s="319"/>
      <c r="AS403" s="327"/>
      <c r="AT403" s="461" t="s">
        <v>182</v>
      </c>
      <c r="AU403" s="324" t="s">
        <v>845</v>
      </c>
      <c r="AV403" s="330">
        <f>SQRT(($R403-Infrastructure!J$3)^2+($S403-Infrastructure!K$3)^2)</f>
        <v>26.02498799</v>
      </c>
      <c r="AW403" s="331">
        <f>SQRT(($R403-Infrastructure!J$4)^2+($S403-Infrastructure!K$4)^2)</f>
        <v>16.42954655</v>
      </c>
      <c r="AX403" s="331">
        <f>SQRT(($R403-Infrastructure!J$5)^2+($S403-Infrastructure!K$5)^2)</f>
        <v>10.30048543</v>
      </c>
      <c r="AY403" s="331">
        <f>SQRT(($R403-Infrastructure!J$6)^2+($S403-Infrastructure!K$6)^2)</f>
        <v>4.701063709</v>
      </c>
      <c r="AZ403" s="331">
        <f>SQRT(($R403-Infrastructure!J$7)^2+($S403-Infrastructure!K$7)^2)</f>
        <v>11.50391238</v>
      </c>
      <c r="BA403" s="331">
        <f>SQRT(($R403-Infrastructure!J$8)^2+($S403-Infrastructure!K$8)^2)</f>
        <v>20.64218981</v>
      </c>
      <c r="BB403" s="331">
        <f>SQRT(($R403-Infrastructure!J$9)^2+($S403-Infrastructure!K$9)^2)</f>
        <v>30.00016667</v>
      </c>
      <c r="BC403" s="331">
        <f>SQRT(($R403-Infrastructure!J$10)^2+($S403-Infrastructure!K$10)^2)</f>
        <v>31.6227766</v>
      </c>
      <c r="BD403" s="318"/>
      <c r="BE403" s="332"/>
      <c r="BF403" s="330">
        <f t="shared" si="14"/>
        <v>4.701063709</v>
      </c>
      <c r="BG403" s="333">
        <f t="shared" si="15"/>
        <v>31.6227766</v>
      </c>
      <c r="BH403" s="334"/>
      <c r="BI403" s="316"/>
      <c r="BJ403" s="318"/>
      <c r="BK403" s="318"/>
      <c r="BL403" s="318"/>
      <c r="BM403" s="318"/>
      <c r="BN403" s="318"/>
      <c r="BO403" s="318"/>
      <c r="BP403" s="318"/>
      <c r="BQ403" s="338"/>
      <c r="BR403" s="420"/>
      <c r="BS403" s="330"/>
      <c r="BT403" s="331"/>
      <c r="BU403" s="331"/>
      <c r="BV403" s="333"/>
      <c r="BW403" s="330"/>
      <c r="BX403" s="331"/>
      <c r="BY403" s="331"/>
      <c r="BZ403" s="340"/>
      <c r="CA403" s="316"/>
      <c r="CB403" s="318"/>
      <c r="CC403" s="318"/>
      <c r="CD403" s="318"/>
      <c r="CE403" s="318"/>
      <c r="CF403" s="318"/>
      <c r="CG403" s="318"/>
      <c r="CH403" s="318"/>
      <c r="CI403" s="338"/>
      <c r="CJ403" s="341"/>
      <c r="CK403" s="342">
        <f t="shared" si="18"/>
        <v>0</v>
      </c>
      <c r="CL403" s="333">
        <f t="shared" si="19"/>
        <v>0</v>
      </c>
      <c r="CM403" s="423"/>
      <c r="CN403" s="424"/>
      <c r="CO403" s="424"/>
      <c r="CP403" s="424"/>
    </row>
    <row r="404">
      <c r="B404" s="316"/>
      <c r="C404" s="417">
        <v>43760.0</v>
      </c>
      <c r="D404" s="319" t="s">
        <v>1139</v>
      </c>
      <c r="E404" s="319">
        <v>22.0</v>
      </c>
      <c r="F404" s="324" t="s">
        <v>1192</v>
      </c>
      <c r="G404" s="321">
        <v>0.6423611111111112</v>
      </c>
      <c r="H404" s="323">
        <v>0.6447916666666667</v>
      </c>
      <c r="I404" s="323"/>
      <c r="J404" s="323"/>
      <c r="K404" s="323">
        <v>0.6465277777777778</v>
      </c>
      <c r="L404" s="323">
        <v>0.001736111111111111</v>
      </c>
      <c r="M404" s="319" t="s">
        <v>166</v>
      </c>
      <c r="N404" s="324" t="s">
        <v>188</v>
      </c>
      <c r="O404" s="419" t="s">
        <v>841</v>
      </c>
      <c r="P404" s="319" t="s">
        <v>232</v>
      </c>
      <c r="Q404" s="319" t="s">
        <v>842</v>
      </c>
      <c r="R404" s="326">
        <v>22.2</v>
      </c>
      <c r="S404" s="319">
        <v>40.0</v>
      </c>
      <c r="T404" s="324">
        <v>1.5</v>
      </c>
      <c r="U404" s="319">
        <v>5.0</v>
      </c>
      <c r="V404" s="319"/>
      <c r="W404" s="319"/>
      <c r="X404" s="319"/>
      <c r="Y404" s="319"/>
      <c r="Z404" s="319" t="s">
        <v>1140</v>
      </c>
      <c r="AA404" s="319"/>
      <c r="AB404" s="319" t="s">
        <v>1193</v>
      </c>
      <c r="AC404" s="327">
        <v>15.75</v>
      </c>
      <c r="AD404" s="319"/>
      <c r="AE404" s="319"/>
      <c r="AF404" s="319"/>
      <c r="AG404" s="319"/>
      <c r="AH404" s="319"/>
      <c r="AI404" s="319"/>
      <c r="AJ404" s="327"/>
      <c r="AK404" s="328"/>
      <c r="AL404" s="319"/>
      <c r="AM404" s="319"/>
      <c r="AN404" s="319"/>
      <c r="AO404" s="319"/>
      <c r="AP404" s="319"/>
      <c r="AQ404" s="319"/>
      <c r="AR404" s="319"/>
      <c r="AS404" s="327"/>
      <c r="AT404" s="461" t="s">
        <v>182</v>
      </c>
      <c r="AU404" s="324" t="s">
        <v>845</v>
      </c>
      <c r="AV404" s="330">
        <f>SQRT(($R404-Infrastructure!J$3)^2+($S404-Infrastructure!K$3)^2)</f>
        <v>25.08904143</v>
      </c>
      <c r="AW404" s="331">
        <f>SQRT(($R404-Infrastructure!J$4)^2+($S404-Infrastructure!K$4)^2)</f>
        <v>31.60838496</v>
      </c>
      <c r="AX404" s="331">
        <f>SQRT(($R404-Infrastructure!J$5)^2+($S404-Infrastructure!K$5)^2)</f>
        <v>41.52420981</v>
      </c>
      <c r="AY404" s="331">
        <f>SQRT(($R404-Infrastructure!J$6)^2+($S404-Infrastructure!K$6)^2)</f>
        <v>41.50301194</v>
      </c>
      <c r="AZ404" s="331">
        <f>SQRT(($R404-Infrastructure!J$7)^2+($S404-Infrastructure!K$7)^2)</f>
        <v>39.73638131</v>
      </c>
      <c r="BA404" s="331">
        <f>SQRT(($R404-Infrastructure!J$8)^2+($S404-Infrastructure!K$8)^2)</f>
        <v>40.4783893</v>
      </c>
      <c r="BB404" s="331">
        <f>SQRT(($R404-Infrastructure!J$9)^2+($S404-Infrastructure!K$9)^2)</f>
        <v>39.17716171</v>
      </c>
      <c r="BC404" s="331">
        <f>SQRT(($R404-Infrastructure!J$10)^2+($S404-Infrastructure!K$10)^2)</f>
        <v>30.68941185</v>
      </c>
      <c r="BD404" s="318"/>
      <c r="BE404" s="332"/>
      <c r="BF404" s="330">
        <f t="shared" si="14"/>
        <v>25.08904143</v>
      </c>
      <c r="BG404" s="333">
        <f t="shared" si="15"/>
        <v>41.52420981</v>
      </c>
      <c r="BH404" s="334"/>
      <c r="BI404" s="316"/>
      <c r="BJ404" s="318"/>
      <c r="BK404" s="318"/>
      <c r="BL404" s="318"/>
      <c r="BM404" s="318"/>
      <c r="BN404" s="318"/>
      <c r="BO404" s="318"/>
      <c r="BP404" s="318"/>
      <c r="BQ404" s="338"/>
      <c r="BR404" s="420"/>
      <c r="BS404" s="330"/>
      <c r="BT404" s="331"/>
      <c r="BU404" s="331"/>
      <c r="BV404" s="333"/>
      <c r="BW404" s="330"/>
      <c r="BX404" s="331"/>
      <c r="BY404" s="331"/>
      <c r="BZ404" s="340"/>
      <c r="CA404" s="316"/>
      <c r="CB404" s="318"/>
      <c r="CC404" s="318"/>
      <c r="CD404" s="318"/>
      <c r="CE404" s="318"/>
      <c r="CF404" s="318"/>
      <c r="CG404" s="318"/>
      <c r="CH404" s="318"/>
      <c r="CI404" s="338"/>
      <c r="CJ404" s="341"/>
      <c r="CK404" s="342">
        <f t="shared" si="18"/>
        <v>0</v>
      </c>
      <c r="CL404" s="333">
        <f t="shared" si="19"/>
        <v>0</v>
      </c>
      <c r="CM404" s="421" t="s">
        <v>1141</v>
      </c>
      <c r="CN404" s="416"/>
      <c r="CO404" s="416"/>
      <c r="CP404" s="416"/>
    </row>
    <row r="405">
      <c r="B405" s="316"/>
      <c r="C405" s="417">
        <v>43760.0</v>
      </c>
      <c r="D405" s="319" t="s">
        <v>1139</v>
      </c>
      <c r="E405" s="319">
        <v>23.0</v>
      </c>
      <c r="F405" s="324" t="s">
        <v>1194</v>
      </c>
      <c r="G405" s="321">
        <v>0.6493055555555556</v>
      </c>
      <c r="H405" s="323">
        <v>0.6506944444444445</v>
      </c>
      <c r="I405" s="323"/>
      <c r="J405" s="323"/>
      <c r="K405" s="323">
        <v>0.6513888888888889</v>
      </c>
      <c r="L405" s="323">
        <v>6.944444444444445E-4</v>
      </c>
      <c r="M405" s="319" t="s">
        <v>166</v>
      </c>
      <c r="N405" s="324" t="s">
        <v>188</v>
      </c>
      <c r="O405" s="419" t="s">
        <v>841</v>
      </c>
      <c r="P405" s="319" t="s">
        <v>233</v>
      </c>
      <c r="Q405" s="319" t="s">
        <v>842</v>
      </c>
      <c r="R405" s="326">
        <v>21.2</v>
      </c>
      <c r="S405" s="319">
        <v>40.0</v>
      </c>
      <c r="T405" s="324">
        <v>1.55</v>
      </c>
      <c r="U405" s="319">
        <v>200.0</v>
      </c>
      <c r="V405" s="319"/>
      <c r="W405" s="319"/>
      <c r="X405" s="319"/>
      <c r="Y405" s="319"/>
      <c r="Z405" s="319" t="s">
        <v>387</v>
      </c>
      <c r="AA405" s="319"/>
      <c r="AB405" s="319" t="s">
        <v>1195</v>
      </c>
      <c r="AC405" s="327">
        <v>102.3</v>
      </c>
      <c r="AD405" s="319"/>
      <c r="AE405" s="319"/>
      <c r="AF405" s="319"/>
      <c r="AG405" s="319"/>
      <c r="AH405" s="319"/>
      <c r="AI405" s="319"/>
      <c r="AJ405" s="327"/>
      <c r="AK405" s="328"/>
      <c r="AL405" s="319"/>
      <c r="AM405" s="319"/>
      <c r="AN405" s="319"/>
      <c r="AO405" s="319"/>
      <c r="AP405" s="319"/>
      <c r="AQ405" s="319"/>
      <c r="AR405" s="319"/>
      <c r="AS405" s="327"/>
      <c r="AT405" s="461" t="s">
        <v>183</v>
      </c>
      <c r="AU405" s="324" t="s">
        <v>845</v>
      </c>
      <c r="AV405" s="330">
        <f>SQRT(($R405-Infrastructure!J$3)^2+($S405-Infrastructure!K$3)^2)</f>
        <v>24.19628071</v>
      </c>
      <c r="AW405" s="331">
        <f>SQRT(($R405-Infrastructure!J$4)^2+($S405-Infrastructure!K$4)^2)</f>
        <v>30.90453041</v>
      </c>
      <c r="AX405" s="331">
        <f>SQRT(($R405-Infrastructure!J$5)^2+($S405-Infrastructure!K$5)^2)</f>
        <v>40.99097462</v>
      </c>
      <c r="AY405" s="331">
        <f>SQRT(($R405-Infrastructure!J$6)^2+($S405-Infrastructure!K$6)^2)</f>
        <v>41.22256664</v>
      </c>
      <c r="AZ405" s="331">
        <f>SQRT(($R405-Infrastructure!J$7)^2+($S405-Infrastructure!K$7)^2)</f>
        <v>39.70617081</v>
      </c>
      <c r="BA405" s="331">
        <f>SQRT(($R405-Infrastructure!J$8)^2+($S405-Infrastructure!K$8)^2)</f>
        <v>40.68537821</v>
      </c>
      <c r="BB405" s="331">
        <f>SQRT(($R405-Infrastructure!J$9)^2+($S405-Infrastructure!K$9)^2)</f>
        <v>39.64151864</v>
      </c>
      <c r="BC405" s="331">
        <f>SQRT(($R405-Infrastructure!J$10)^2+($S405-Infrastructure!K$10)^2)</f>
        <v>31.28002558</v>
      </c>
      <c r="BD405" s="318"/>
      <c r="BE405" s="332"/>
      <c r="BF405" s="330">
        <f t="shared" si="14"/>
        <v>24.19628071</v>
      </c>
      <c r="BG405" s="333">
        <f t="shared" si="15"/>
        <v>41.22256664</v>
      </c>
      <c r="BH405" s="334"/>
      <c r="BI405" s="316"/>
      <c r="BJ405" s="318"/>
      <c r="BK405" s="318"/>
      <c r="BL405" s="318"/>
      <c r="BM405" s="318"/>
      <c r="BN405" s="318"/>
      <c r="BO405" s="318"/>
      <c r="BP405" s="318"/>
      <c r="BQ405" s="338"/>
      <c r="BR405" s="420"/>
      <c r="BS405" s="330"/>
      <c r="BT405" s="331"/>
      <c r="BU405" s="331"/>
      <c r="BV405" s="333"/>
      <c r="BW405" s="330"/>
      <c r="BX405" s="331"/>
      <c r="BY405" s="331"/>
      <c r="BZ405" s="340"/>
      <c r="CA405" s="316"/>
      <c r="CB405" s="318"/>
      <c r="CC405" s="318"/>
      <c r="CD405" s="318"/>
      <c r="CE405" s="318"/>
      <c r="CF405" s="318"/>
      <c r="CG405" s="318"/>
      <c r="CH405" s="318"/>
      <c r="CI405" s="338"/>
      <c r="CJ405" s="341"/>
      <c r="CK405" s="342">
        <f t="shared" si="18"/>
        <v>0</v>
      </c>
      <c r="CL405" s="333">
        <f t="shared" si="19"/>
        <v>0</v>
      </c>
      <c r="CM405" s="421" t="s">
        <v>1142</v>
      </c>
      <c r="CN405" s="416"/>
      <c r="CO405" s="416"/>
      <c r="CP405" s="416"/>
    </row>
    <row r="406">
      <c r="B406" s="316"/>
      <c r="C406" s="417">
        <v>43760.0</v>
      </c>
      <c r="D406" s="319" t="s">
        <v>1139</v>
      </c>
      <c r="E406" s="319">
        <v>24.0</v>
      </c>
      <c r="F406" s="324" t="s">
        <v>1196</v>
      </c>
      <c r="G406" s="321">
        <v>0.6564236111111111</v>
      </c>
      <c r="H406" s="323">
        <v>0.6571180555555556</v>
      </c>
      <c r="I406" s="323"/>
      <c r="J406" s="323"/>
      <c r="K406" s="323">
        <v>0.6578125</v>
      </c>
      <c r="L406" s="323">
        <v>6.944444444444445E-4</v>
      </c>
      <c r="M406" s="319" t="s">
        <v>166</v>
      </c>
      <c r="N406" s="324" t="s">
        <v>188</v>
      </c>
      <c r="O406" s="419" t="s">
        <v>841</v>
      </c>
      <c r="P406" s="319" t="s">
        <v>233</v>
      </c>
      <c r="Q406" s="319" t="s">
        <v>842</v>
      </c>
      <c r="R406" s="326">
        <v>21.2</v>
      </c>
      <c r="S406" s="319">
        <v>40.0</v>
      </c>
      <c r="T406" s="324">
        <v>1.55</v>
      </c>
      <c r="U406" s="319">
        <v>28.0</v>
      </c>
      <c r="V406" s="319"/>
      <c r="W406" s="319"/>
      <c r="X406" s="319"/>
      <c r="Y406" s="319"/>
      <c r="Z406" s="319" t="s">
        <v>387</v>
      </c>
      <c r="AA406" s="319"/>
      <c r="AB406" s="319" t="s">
        <v>1195</v>
      </c>
      <c r="AC406" s="327">
        <v>102.3</v>
      </c>
      <c r="AD406" s="319"/>
      <c r="AE406" s="319"/>
      <c r="AF406" s="319"/>
      <c r="AG406" s="319"/>
      <c r="AH406" s="319"/>
      <c r="AI406" s="319"/>
      <c r="AJ406" s="327"/>
      <c r="AK406" s="328"/>
      <c r="AL406" s="319"/>
      <c r="AM406" s="319"/>
      <c r="AN406" s="319"/>
      <c r="AO406" s="319"/>
      <c r="AP406" s="319"/>
      <c r="AQ406" s="319"/>
      <c r="AR406" s="319"/>
      <c r="AS406" s="327"/>
      <c r="AT406" s="461" t="s">
        <v>183</v>
      </c>
      <c r="AU406" s="324" t="s">
        <v>845</v>
      </c>
      <c r="AV406" s="330">
        <f>SQRT(($R406-Infrastructure!J$3)^2+($S406-Infrastructure!K$3)^2)</f>
        <v>24.19628071</v>
      </c>
      <c r="AW406" s="331">
        <f>SQRT(($R406-Infrastructure!J$4)^2+($S406-Infrastructure!K$4)^2)</f>
        <v>30.90453041</v>
      </c>
      <c r="AX406" s="331">
        <f>SQRT(($R406-Infrastructure!J$5)^2+($S406-Infrastructure!K$5)^2)</f>
        <v>40.99097462</v>
      </c>
      <c r="AY406" s="331">
        <f>SQRT(($R406-Infrastructure!J$6)^2+($S406-Infrastructure!K$6)^2)</f>
        <v>41.22256664</v>
      </c>
      <c r="AZ406" s="331">
        <f>SQRT(($R406-Infrastructure!J$7)^2+($S406-Infrastructure!K$7)^2)</f>
        <v>39.70617081</v>
      </c>
      <c r="BA406" s="331">
        <f>SQRT(($R406-Infrastructure!J$8)^2+($S406-Infrastructure!K$8)^2)</f>
        <v>40.68537821</v>
      </c>
      <c r="BB406" s="331">
        <f>SQRT(($R406-Infrastructure!J$9)^2+($S406-Infrastructure!K$9)^2)</f>
        <v>39.64151864</v>
      </c>
      <c r="BC406" s="331">
        <f>SQRT(($R406-Infrastructure!J$10)^2+($S406-Infrastructure!K$10)^2)</f>
        <v>31.28002558</v>
      </c>
      <c r="BD406" s="318"/>
      <c r="BE406" s="332"/>
      <c r="BF406" s="330">
        <f t="shared" si="14"/>
        <v>24.19628071</v>
      </c>
      <c r="BG406" s="333">
        <f t="shared" si="15"/>
        <v>41.22256664</v>
      </c>
      <c r="BH406" s="334"/>
      <c r="BI406" s="316"/>
      <c r="BJ406" s="318"/>
      <c r="BK406" s="318"/>
      <c r="BL406" s="318"/>
      <c r="BM406" s="318"/>
      <c r="BN406" s="318"/>
      <c r="BO406" s="318"/>
      <c r="BP406" s="318"/>
      <c r="BQ406" s="338"/>
      <c r="BR406" s="420"/>
      <c r="BS406" s="330"/>
      <c r="BT406" s="331"/>
      <c r="BU406" s="331"/>
      <c r="BV406" s="333"/>
      <c r="BW406" s="330"/>
      <c r="BX406" s="331"/>
      <c r="BY406" s="331"/>
      <c r="BZ406" s="340"/>
      <c r="CA406" s="316"/>
      <c r="CB406" s="318"/>
      <c r="CC406" s="318"/>
      <c r="CD406" s="318"/>
      <c r="CE406" s="318"/>
      <c r="CF406" s="318"/>
      <c r="CG406" s="318"/>
      <c r="CH406" s="318"/>
      <c r="CI406" s="338"/>
      <c r="CJ406" s="341"/>
      <c r="CK406" s="342">
        <f t="shared" si="18"/>
        <v>0</v>
      </c>
      <c r="CL406" s="333">
        <f t="shared" si="19"/>
        <v>0</v>
      </c>
      <c r="CM406" s="421" t="s">
        <v>1143</v>
      </c>
      <c r="CN406" s="416"/>
      <c r="CO406" s="416"/>
      <c r="CP406" s="416"/>
    </row>
    <row r="407">
      <c r="B407" s="316"/>
      <c r="C407" s="417">
        <v>43760.0</v>
      </c>
      <c r="D407" s="426" t="s">
        <v>1139</v>
      </c>
      <c r="E407" s="426">
        <v>24.0</v>
      </c>
      <c r="F407" s="324" t="s">
        <v>1197</v>
      </c>
      <c r="G407" s="321">
        <v>0.6578125</v>
      </c>
      <c r="H407" s="323">
        <v>0.6586805555555556</v>
      </c>
      <c r="I407" s="323"/>
      <c r="J407" s="323"/>
      <c r="K407" s="323">
        <v>0.659375</v>
      </c>
      <c r="L407" s="323">
        <v>6.944444444444445E-4</v>
      </c>
      <c r="M407" s="319" t="s">
        <v>166</v>
      </c>
      <c r="N407" s="324" t="s">
        <v>188</v>
      </c>
      <c r="O407" s="419" t="s">
        <v>841</v>
      </c>
      <c r="P407" s="426" t="s">
        <v>233</v>
      </c>
      <c r="Q407" s="319" t="s">
        <v>842</v>
      </c>
      <c r="R407" s="326">
        <v>21.2</v>
      </c>
      <c r="S407" s="319">
        <v>40.0</v>
      </c>
      <c r="T407" s="324">
        <v>1.55</v>
      </c>
      <c r="U407" s="319">
        <v>93.0</v>
      </c>
      <c r="V407" s="319"/>
      <c r="W407" s="319"/>
      <c r="X407" s="319"/>
      <c r="Y407" s="319"/>
      <c r="Z407" s="319" t="s">
        <v>387</v>
      </c>
      <c r="AA407" s="319"/>
      <c r="AB407" s="426" t="s">
        <v>1195</v>
      </c>
      <c r="AC407" s="327">
        <v>102.3</v>
      </c>
      <c r="AD407" s="319"/>
      <c r="AE407" s="319"/>
      <c r="AF407" s="319"/>
      <c r="AG407" s="319"/>
      <c r="AH407" s="319"/>
      <c r="AI407" s="319"/>
      <c r="AJ407" s="327"/>
      <c r="AK407" s="328"/>
      <c r="AL407" s="319"/>
      <c r="AM407" s="319"/>
      <c r="AN407" s="319"/>
      <c r="AO407" s="319"/>
      <c r="AP407" s="319"/>
      <c r="AQ407" s="319"/>
      <c r="AR407" s="319"/>
      <c r="AS407" s="327"/>
      <c r="AT407" s="461" t="s">
        <v>183</v>
      </c>
      <c r="AU407" s="324" t="s">
        <v>845</v>
      </c>
      <c r="AV407" s="330">
        <f>SQRT(($R407-Infrastructure!J$3)^2+($S407-Infrastructure!K$3)^2)</f>
        <v>24.19628071</v>
      </c>
      <c r="AW407" s="331">
        <f>SQRT(($R407-Infrastructure!J$4)^2+($S407-Infrastructure!K$4)^2)</f>
        <v>30.90453041</v>
      </c>
      <c r="AX407" s="331">
        <f>SQRT(($R407-Infrastructure!J$5)^2+($S407-Infrastructure!K$5)^2)</f>
        <v>40.99097462</v>
      </c>
      <c r="AY407" s="331">
        <f>SQRT(($R407-Infrastructure!J$6)^2+($S407-Infrastructure!K$6)^2)</f>
        <v>41.22256664</v>
      </c>
      <c r="AZ407" s="331">
        <f>SQRT(($R407-Infrastructure!J$7)^2+($S407-Infrastructure!K$7)^2)</f>
        <v>39.70617081</v>
      </c>
      <c r="BA407" s="331">
        <f>SQRT(($R407-Infrastructure!J$8)^2+($S407-Infrastructure!K$8)^2)</f>
        <v>40.68537821</v>
      </c>
      <c r="BB407" s="331">
        <f>SQRT(($R407-Infrastructure!J$9)^2+($S407-Infrastructure!K$9)^2)</f>
        <v>39.64151864</v>
      </c>
      <c r="BC407" s="331">
        <f>SQRT(($R407-Infrastructure!J$10)^2+($S407-Infrastructure!K$10)^2)</f>
        <v>31.28002558</v>
      </c>
      <c r="BD407" s="318"/>
      <c r="BE407" s="332"/>
      <c r="BF407" s="330">
        <f t="shared" si="14"/>
        <v>24.19628071</v>
      </c>
      <c r="BG407" s="333">
        <f t="shared" si="15"/>
        <v>41.22256664</v>
      </c>
      <c r="BH407" s="334"/>
      <c r="BI407" s="316"/>
      <c r="BJ407" s="318"/>
      <c r="BK407" s="318"/>
      <c r="BL407" s="318"/>
      <c r="BM407" s="318"/>
      <c r="BN407" s="318"/>
      <c r="BO407" s="318"/>
      <c r="BP407" s="318"/>
      <c r="BQ407" s="338"/>
      <c r="BR407" s="420"/>
      <c r="BS407" s="330"/>
      <c r="BT407" s="331"/>
      <c r="BU407" s="331"/>
      <c r="BV407" s="333"/>
      <c r="BW407" s="330"/>
      <c r="BX407" s="331"/>
      <c r="BY407" s="331"/>
      <c r="BZ407" s="340"/>
      <c r="CA407" s="316"/>
      <c r="CB407" s="318"/>
      <c r="CC407" s="318"/>
      <c r="CD407" s="318"/>
      <c r="CE407" s="318"/>
      <c r="CF407" s="318"/>
      <c r="CG407" s="318"/>
      <c r="CH407" s="318"/>
      <c r="CI407" s="338"/>
      <c r="CJ407" s="341"/>
      <c r="CK407" s="342">
        <f t="shared" si="18"/>
        <v>0</v>
      </c>
      <c r="CL407" s="333">
        <f t="shared" si="19"/>
        <v>0</v>
      </c>
      <c r="CM407" s="423"/>
      <c r="CN407" s="424"/>
      <c r="CO407" s="424"/>
      <c r="CP407" s="424"/>
    </row>
    <row r="408">
      <c r="B408" s="316"/>
      <c r="C408" s="417">
        <v>43760.0</v>
      </c>
      <c r="D408" s="426" t="s">
        <v>1139</v>
      </c>
      <c r="E408" s="426">
        <v>24.0</v>
      </c>
      <c r="F408" s="324" t="s">
        <v>1198</v>
      </c>
      <c r="G408" s="321">
        <v>0.659375</v>
      </c>
      <c r="H408" s="323">
        <v>0.6604166666666667</v>
      </c>
      <c r="I408" s="323"/>
      <c r="J408" s="323"/>
      <c r="K408" s="323">
        <v>0.6611111111111111</v>
      </c>
      <c r="L408" s="323">
        <v>6.944444444444445E-4</v>
      </c>
      <c r="M408" s="319" t="s">
        <v>166</v>
      </c>
      <c r="N408" s="324" t="s">
        <v>188</v>
      </c>
      <c r="O408" s="419" t="s">
        <v>841</v>
      </c>
      <c r="P408" s="426" t="s">
        <v>233</v>
      </c>
      <c r="Q408" s="319" t="s">
        <v>842</v>
      </c>
      <c r="R408" s="326">
        <v>21.2</v>
      </c>
      <c r="S408" s="319">
        <v>40.0</v>
      </c>
      <c r="T408" s="324">
        <v>1.55</v>
      </c>
      <c r="U408" s="319">
        <v>28.0</v>
      </c>
      <c r="V408" s="319"/>
      <c r="W408" s="319"/>
      <c r="X408" s="319"/>
      <c r="Y408" s="319"/>
      <c r="Z408" s="319" t="s">
        <v>387</v>
      </c>
      <c r="AA408" s="319"/>
      <c r="AB408" s="426" t="s">
        <v>1195</v>
      </c>
      <c r="AC408" s="327">
        <v>102.3</v>
      </c>
      <c r="AD408" s="319"/>
      <c r="AE408" s="319"/>
      <c r="AF408" s="319"/>
      <c r="AG408" s="319"/>
      <c r="AH408" s="319"/>
      <c r="AI408" s="319"/>
      <c r="AJ408" s="327"/>
      <c r="AK408" s="328"/>
      <c r="AL408" s="319"/>
      <c r="AM408" s="319"/>
      <c r="AN408" s="319"/>
      <c r="AO408" s="319"/>
      <c r="AP408" s="319"/>
      <c r="AQ408" s="319"/>
      <c r="AR408" s="319"/>
      <c r="AS408" s="327"/>
      <c r="AT408" s="461" t="s">
        <v>183</v>
      </c>
      <c r="AU408" s="324" t="s">
        <v>845</v>
      </c>
      <c r="AV408" s="330">
        <f>SQRT(($R408-Infrastructure!J$3)^2+($S408-Infrastructure!K$3)^2)</f>
        <v>24.19628071</v>
      </c>
      <c r="AW408" s="331">
        <f>SQRT(($R408-Infrastructure!J$4)^2+($S408-Infrastructure!K$4)^2)</f>
        <v>30.90453041</v>
      </c>
      <c r="AX408" s="331">
        <f>SQRT(($R408-Infrastructure!J$5)^2+($S408-Infrastructure!K$5)^2)</f>
        <v>40.99097462</v>
      </c>
      <c r="AY408" s="331">
        <f>SQRT(($R408-Infrastructure!J$6)^2+($S408-Infrastructure!K$6)^2)</f>
        <v>41.22256664</v>
      </c>
      <c r="AZ408" s="331">
        <f>SQRT(($R408-Infrastructure!J$7)^2+($S408-Infrastructure!K$7)^2)</f>
        <v>39.70617081</v>
      </c>
      <c r="BA408" s="331">
        <f>SQRT(($R408-Infrastructure!J$8)^2+($S408-Infrastructure!K$8)^2)</f>
        <v>40.68537821</v>
      </c>
      <c r="BB408" s="331">
        <f>SQRT(($R408-Infrastructure!J$9)^2+($S408-Infrastructure!K$9)^2)</f>
        <v>39.64151864</v>
      </c>
      <c r="BC408" s="331">
        <f>SQRT(($R408-Infrastructure!J$10)^2+($S408-Infrastructure!K$10)^2)</f>
        <v>31.28002558</v>
      </c>
      <c r="BD408" s="318"/>
      <c r="BE408" s="332"/>
      <c r="BF408" s="330">
        <f t="shared" si="14"/>
        <v>24.19628071</v>
      </c>
      <c r="BG408" s="333">
        <f t="shared" si="15"/>
        <v>41.22256664</v>
      </c>
      <c r="BH408" s="334"/>
      <c r="BI408" s="316"/>
      <c r="BJ408" s="318"/>
      <c r="BK408" s="318"/>
      <c r="BL408" s="318"/>
      <c r="BM408" s="318"/>
      <c r="BN408" s="318"/>
      <c r="BO408" s="318"/>
      <c r="BP408" s="318"/>
      <c r="BQ408" s="338"/>
      <c r="BR408" s="420"/>
      <c r="BS408" s="330"/>
      <c r="BT408" s="331"/>
      <c r="BU408" s="331"/>
      <c r="BV408" s="333"/>
      <c r="BW408" s="330"/>
      <c r="BX408" s="331"/>
      <c r="BY408" s="331"/>
      <c r="BZ408" s="340"/>
      <c r="CA408" s="316"/>
      <c r="CB408" s="318"/>
      <c r="CC408" s="318"/>
      <c r="CD408" s="318"/>
      <c r="CE408" s="318"/>
      <c r="CF408" s="318"/>
      <c r="CG408" s="318"/>
      <c r="CH408" s="318"/>
      <c r="CI408" s="338"/>
      <c r="CJ408" s="341"/>
      <c r="CK408" s="342">
        <f t="shared" si="18"/>
        <v>0</v>
      </c>
      <c r="CL408" s="333">
        <f t="shared" si="19"/>
        <v>0</v>
      </c>
      <c r="CM408" s="423"/>
      <c r="CN408" s="424"/>
      <c r="CO408" s="424"/>
      <c r="CP408" s="424"/>
    </row>
    <row r="409">
      <c r="B409" s="316"/>
      <c r="C409" s="417">
        <v>43760.0</v>
      </c>
      <c r="D409" s="426" t="s">
        <v>1139</v>
      </c>
      <c r="E409" s="426">
        <v>24.0</v>
      </c>
      <c r="F409" s="324" t="s">
        <v>1199</v>
      </c>
      <c r="G409" s="321">
        <v>0.6611111111111111</v>
      </c>
      <c r="H409" s="323">
        <v>0.6614583333333334</v>
      </c>
      <c r="I409" s="323"/>
      <c r="J409" s="323"/>
      <c r="K409" s="323">
        <v>0.6621527777777778</v>
      </c>
      <c r="L409" s="323">
        <v>6.944444444444445E-4</v>
      </c>
      <c r="M409" s="319" t="s">
        <v>166</v>
      </c>
      <c r="N409" s="324" t="s">
        <v>188</v>
      </c>
      <c r="O409" s="419" t="s">
        <v>841</v>
      </c>
      <c r="P409" s="426" t="s">
        <v>233</v>
      </c>
      <c r="Q409" s="319" t="s">
        <v>842</v>
      </c>
      <c r="R409" s="326">
        <v>21.2</v>
      </c>
      <c r="S409" s="319">
        <v>40.0</v>
      </c>
      <c r="T409" s="324">
        <v>1.55</v>
      </c>
      <c r="U409" s="319">
        <v>93.0</v>
      </c>
      <c r="V409" s="319"/>
      <c r="W409" s="319"/>
      <c r="X409" s="319"/>
      <c r="Y409" s="319"/>
      <c r="Z409" s="319" t="s">
        <v>387</v>
      </c>
      <c r="AA409" s="319"/>
      <c r="AB409" s="426" t="s">
        <v>1195</v>
      </c>
      <c r="AC409" s="327">
        <v>102.3</v>
      </c>
      <c r="AD409" s="319"/>
      <c r="AE409" s="319"/>
      <c r="AF409" s="319"/>
      <c r="AG409" s="319"/>
      <c r="AH409" s="319"/>
      <c r="AI409" s="319"/>
      <c r="AJ409" s="327"/>
      <c r="AK409" s="328"/>
      <c r="AL409" s="319"/>
      <c r="AM409" s="319"/>
      <c r="AN409" s="319"/>
      <c r="AO409" s="319"/>
      <c r="AP409" s="319"/>
      <c r="AQ409" s="319"/>
      <c r="AR409" s="319"/>
      <c r="AS409" s="327"/>
      <c r="AT409" s="461" t="s">
        <v>183</v>
      </c>
      <c r="AU409" s="324" t="s">
        <v>845</v>
      </c>
      <c r="AV409" s="330">
        <f>SQRT(($R409-Infrastructure!J$3)^2+($S409-Infrastructure!K$3)^2)</f>
        <v>24.19628071</v>
      </c>
      <c r="AW409" s="331">
        <f>SQRT(($R409-Infrastructure!J$4)^2+($S409-Infrastructure!K$4)^2)</f>
        <v>30.90453041</v>
      </c>
      <c r="AX409" s="331">
        <f>SQRT(($R409-Infrastructure!J$5)^2+($S409-Infrastructure!K$5)^2)</f>
        <v>40.99097462</v>
      </c>
      <c r="AY409" s="331">
        <f>SQRT(($R409-Infrastructure!J$6)^2+($S409-Infrastructure!K$6)^2)</f>
        <v>41.22256664</v>
      </c>
      <c r="AZ409" s="331">
        <f>SQRT(($R409-Infrastructure!J$7)^2+($S409-Infrastructure!K$7)^2)</f>
        <v>39.70617081</v>
      </c>
      <c r="BA409" s="331">
        <f>SQRT(($R409-Infrastructure!J$8)^2+($S409-Infrastructure!K$8)^2)</f>
        <v>40.68537821</v>
      </c>
      <c r="BB409" s="331">
        <f>SQRT(($R409-Infrastructure!J$9)^2+($S409-Infrastructure!K$9)^2)</f>
        <v>39.64151864</v>
      </c>
      <c r="BC409" s="331">
        <f>SQRT(($R409-Infrastructure!J$10)^2+($S409-Infrastructure!K$10)^2)</f>
        <v>31.28002558</v>
      </c>
      <c r="BD409" s="318"/>
      <c r="BE409" s="332"/>
      <c r="BF409" s="330">
        <f t="shared" si="14"/>
        <v>24.19628071</v>
      </c>
      <c r="BG409" s="333">
        <f t="shared" si="15"/>
        <v>41.22256664</v>
      </c>
      <c r="BH409" s="334"/>
      <c r="BI409" s="316"/>
      <c r="BJ409" s="318"/>
      <c r="BK409" s="318"/>
      <c r="BL409" s="318"/>
      <c r="BM409" s="318"/>
      <c r="BN409" s="318"/>
      <c r="BO409" s="318"/>
      <c r="BP409" s="318"/>
      <c r="BQ409" s="338"/>
      <c r="BR409" s="420"/>
      <c r="BS409" s="330"/>
      <c r="BT409" s="331"/>
      <c r="BU409" s="331"/>
      <c r="BV409" s="333"/>
      <c r="BW409" s="330"/>
      <c r="BX409" s="331"/>
      <c r="BY409" s="331"/>
      <c r="BZ409" s="340"/>
      <c r="CA409" s="316"/>
      <c r="CB409" s="318"/>
      <c r="CC409" s="318"/>
      <c r="CD409" s="318"/>
      <c r="CE409" s="318"/>
      <c r="CF409" s="318"/>
      <c r="CG409" s="318"/>
      <c r="CH409" s="318"/>
      <c r="CI409" s="338"/>
      <c r="CJ409" s="341"/>
      <c r="CK409" s="342">
        <f t="shared" si="18"/>
        <v>0</v>
      </c>
      <c r="CL409" s="333">
        <f t="shared" si="19"/>
        <v>0</v>
      </c>
      <c r="CM409" s="423"/>
      <c r="CN409" s="424"/>
      <c r="CO409" s="424"/>
      <c r="CP409" s="424"/>
    </row>
    <row r="410">
      <c r="B410" s="316"/>
      <c r="C410" s="417">
        <v>43760.0</v>
      </c>
      <c r="D410" s="319" t="s">
        <v>1139</v>
      </c>
      <c r="E410" s="319">
        <v>25.0</v>
      </c>
      <c r="F410" s="324" t="s">
        <v>1200</v>
      </c>
      <c r="G410" s="321">
        <v>0.6694444444444444</v>
      </c>
      <c r="H410" s="323">
        <v>0.6699074074074074</v>
      </c>
      <c r="I410" s="323"/>
      <c r="J410" s="323"/>
      <c r="K410" s="323">
        <v>0.6706018518518518</v>
      </c>
      <c r="L410" s="323">
        <v>6.944444444444445E-4</v>
      </c>
      <c r="M410" s="319" t="s">
        <v>166</v>
      </c>
      <c r="N410" s="324" t="s">
        <v>188</v>
      </c>
      <c r="O410" s="419" t="s">
        <v>841</v>
      </c>
      <c r="P410" s="319" t="s">
        <v>233</v>
      </c>
      <c r="Q410" s="319" t="s">
        <v>842</v>
      </c>
      <c r="R410" s="326">
        <v>21.2</v>
      </c>
      <c r="S410" s="319">
        <v>40.0</v>
      </c>
      <c r="T410" s="324">
        <v>1.55</v>
      </c>
      <c r="U410" s="319">
        <v>14.0</v>
      </c>
      <c r="V410" s="319"/>
      <c r="W410" s="319"/>
      <c r="X410" s="319"/>
      <c r="Y410" s="319"/>
      <c r="Z410" s="319" t="s">
        <v>387</v>
      </c>
      <c r="AA410" s="319"/>
      <c r="AB410" s="319" t="s">
        <v>1201</v>
      </c>
      <c r="AC410" s="327">
        <v>26.65</v>
      </c>
      <c r="AD410" s="319"/>
      <c r="AE410" s="319"/>
      <c r="AF410" s="319"/>
      <c r="AG410" s="319"/>
      <c r="AH410" s="319"/>
      <c r="AI410" s="319"/>
      <c r="AJ410" s="327"/>
      <c r="AK410" s="328"/>
      <c r="AL410" s="319"/>
      <c r="AM410" s="319"/>
      <c r="AN410" s="319"/>
      <c r="AO410" s="319"/>
      <c r="AP410" s="319"/>
      <c r="AQ410" s="319"/>
      <c r="AR410" s="319"/>
      <c r="AS410" s="327"/>
      <c r="AT410" s="461" t="s">
        <v>183</v>
      </c>
      <c r="AU410" s="324" t="s">
        <v>845</v>
      </c>
      <c r="AV410" s="330">
        <f>SQRT(($R410-Infrastructure!J$3)^2+($S410-Infrastructure!K$3)^2)</f>
        <v>24.19628071</v>
      </c>
      <c r="AW410" s="331">
        <f>SQRT(($R410-Infrastructure!J$4)^2+($S410-Infrastructure!K$4)^2)</f>
        <v>30.90453041</v>
      </c>
      <c r="AX410" s="331">
        <f>SQRT(($R410-Infrastructure!J$5)^2+($S410-Infrastructure!K$5)^2)</f>
        <v>40.99097462</v>
      </c>
      <c r="AY410" s="331">
        <f>SQRT(($R410-Infrastructure!J$6)^2+($S410-Infrastructure!K$6)^2)</f>
        <v>41.22256664</v>
      </c>
      <c r="AZ410" s="331">
        <f>SQRT(($R410-Infrastructure!J$7)^2+($S410-Infrastructure!K$7)^2)</f>
        <v>39.70617081</v>
      </c>
      <c r="BA410" s="331">
        <f>SQRT(($R410-Infrastructure!J$8)^2+($S410-Infrastructure!K$8)^2)</f>
        <v>40.68537821</v>
      </c>
      <c r="BB410" s="331">
        <f>SQRT(($R410-Infrastructure!J$9)^2+($S410-Infrastructure!K$9)^2)</f>
        <v>39.64151864</v>
      </c>
      <c r="BC410" s="331">
        <f>SQRT(($R410-Infrastructure!J$10)^2+($S410-Infrastructure!K$10)^2)</f>
        <v>31.28002558</v>
      </c>
      <c r="BD410" s="318"/>
      <c r="BE410" s="332"/>
      <c r="BF410" s="330">
        <f t="shared" si="14"/>
        <v>24.19628071</v>
      </c>
      <c r="BG410" s="333">
        <f t="shared" si="15"/>
        <v>41.22256664</v>
      </c>
      <c r="BH410" s="334"/>
      <c r="BI410" s="316"/>
      <c r="BJ410" s="318"/>
      <c r="BK410" s="318"/>
      <c r="BL410" s="318"/>
      <c r="BM410" s="318"/>
      <c r="BN410" s="318"/>
      <c r="BO410" s="318"/>
      <c r="BP410" s="318"/>
      <c r="BQ410" s="338"/>
      <c r="BR410" s="420"/>
      <c r="BS410" s="330"/>
      <c r="BT410" s="331"/>
      <c r="BU410" s="331"/>
      <c r="BV410" s="333"/>
      <c r="BW410" s="330"/>
      <c r="BX410" s="331"/>
      <c r="BY410" s="331"/>
      <c r="BZ410" s="340"/>
      <c r="CA410" s="316"/>
      <c r="CB410" s="318"/>
      <c r="CC410" s="318"/>
      <c r="CD410" s="318"/>
      <c r="CE410" s="318"/>
      <c r="CF410" s="318"/>
      <c r="CG410" s="318"/>
      <c r="CH410" s="318"/>
      <c r="CI410" s="338"/>
      <c r="CJ410" s="341"/>
      <c r="CK410" s="342">
        <f t="shared" si="18"/>
        <v>0</v>
      </c>
      <c r="CL410" s="333">
        <f t="shared" si="19"/>
        <v>0</v>
      </c>
      <c r="CM410" s="421" t="s">
        <v>1144</v>
      </c>
      <c r="CN410" s="416"/>
      <c r="CO410" s="416"/>
      <c r="CP410" s="416"/>
    </row>
    <row r="411">
      <c r="B411" s="316"/>
      <c r="C411" s="417">
        <v>43760.0</v>
      </c>
      <c r="D411" s="319" t="s">
        <v>1139</v>
      </c>
      <c r="E411" s="319">
        <v>26.0</v>
      </c>
      <c r="F411" s="324" t="s">
        <v>1202</v>
      </c>
      <c r="G411" s="321">
        <v>0.675</v>
      </c>
      <c r="H411" s="323">
        <v>0.6756944444444445</v>
      </c>
      <c r="I411" s="323"/>
      <c r="J411" s="323"/>
      <c r="K411" s="323">
        <v>0.6763888888888889</v>
      </c>
      <c r="L411" s="323">
        <v>6.944444444444445E-4</v>
      </c>
      <c r="M411" s="319" t="s">
        <v>166</v>
      </c>
      <c r="N411" s="324" t="s">
        <v>188</v>
      </c>
      <c r="O411" s="419" t="s">
        <v>841</v>
      </c>
      <c r="P411" s="319" t="s">
        <v>233</v>
      </c>
      <c r="Q411" s="319" t="s">
        <v>842</v>
      </c>
      <c r="R411" s="326">
        <v>21.2</v>
      </c>
      <c r="S411" s="319">
        <v>40.0</v>
      </c>
      <c r="T411" s="324">
        <v>1.55</v>
      </c>
      <c r="U411" s="319">
        <v>138.0</v>
      </c>
      <c r="V411" s="319"/>
      <c r="W411" s="319"/>
      <c r="X411" s="319"/>
      <c r="Y411" s="319"/>
      <c r="Z411" s="319" t="s">
        <v>387</v>
      </c>
      <c r="AA411" s="319"/>
      <c r="AB411" s="319" t="s">
        <v>1203</v>
      </c>
      <c r="AC411" s="327">
        <v>77.9</v>
      </c>
      <c r="AD411" s="319"/>
      <c r="AE411" s="319"/>
      <c r="AF411" s="319"/>
      <c r="AG411" s="319"/>
      <c r="AH411" s="319"/>
      <c r="AI411" s="319"/>
      <c r="AJ411" s="327"/>
      <c r="AK411" s="328"/>
      <c r="AL411" s="319"/>
      <c r="AM411" s="319"/>
      <c r="AN411" s="319"/>
      <c r="AO411" s="319"/>
      <c r="AP411" s="319"/>
      <c r="AQ411" s="319"/>
      <c r="AR411" s="319"/>
      <c r="AS411" s="327"/>
      <c r="AT411" s="461" t="s">
        <v>183</v>
      </c>
      <c r="AU411" s="324" t="s">
        <v>845</v>
      </c>
      <c r="AV411" s="330">
        <f>SQRT(($R411-Infrastructure!J$3)^2+($S411-Infrastructure!K$3)^2)</f>
        <v>24.19628071</v>
      </c>
      <c r="AW411" s="331">
        <f>SQRT(($R411-Infrastructure!J$4)^2+($S411-Infrastructure!K$4)^2)</f>
        <v>30.90453041</v>
      </c>
      <c r="AX411" s="331">
        <f>SQRT(($R411-Infrastructure!J$5)^2+($S411-Infrastructure!K$5)^2)</f>
        <v>40.99097462</v>
      </c>
      <c r="AY411" s="331">
        <f>SQRT(($R411-Infrastructure!J$6)^2+($S411-Infrastructure!K$6)^2)</f>
        <v>41.22256664</v>
      </c>
      <c r="AZ411" s="331">
        <f>SQRT(($R411-Infrastructure!J$7)^2+($S411-Infrastructure!K$7)^2)</f>
        <v>39.70617081</v>
      </c>
      <c r="BA411" s="331">
        <f>SQRT(($R411-Infrastructure!J$8)^2+($S411-Infrastructure!K$8)^2)</f>
        <v>40.68537821</v>
      </c>
      <c r="BB411" s="331">
        <f>SQRT(($R411-Infrastructure!J$9)^2+($S411-Infrastructure!K$9)^2)</f>
        <v>39.64151864</v>
      </c>
      <c r="BC411" s="331">
        <f>SQRT(($R411-Infrastructure!J$10)^2+($S411-Infrastructure!K$10)^2)</f>
        <v>31.28002558</v>
      </c>
      <c r="BD411" s="318"/>
      <c r="BE411" s="332"/>
      <c r="BF411" s="330">
        <f t="shared" si="14"/>
        <v>24.19628071</v>
      </c>
      <c r="BG411" s="333">
        <f t="shared" si="15"/>
        <v>41.22256664</v>
      </c>
      <c r="BH411" s="334"/>
      <c r="BI411" s="316"/>
      <c r="BJ411" s="318"/>
      <c r="BK411" s="318"/>
      <c r="BL411" s="318"/>
      <c r="BM411" s="318"/>
      <c r="BN411" s="318"/>
      <c r="BO411" s="318"/>
      <c r="BP411" s="318"/>
      <c r="BQ411" s="338"/>
      <c r="BR411" s="420"/>
      <c r="BS411" s="330"/>
      <c r="BT411" s="331"/>
      <c r="BU411" s="331"/>
      <c r="BV411" s="333"/>
      <c r="BW411" s="330"/>
      <c r="BX411" s="331"/>
      <c r="BY411" s="331"/>
      <c r="BZ411" s="340"/>
      <c r="CA411" s="316"/>
      <c r="CB411" s="318"/>
      <c r="CC411" s="318"/>
      <c r="CD411" s="318"/>
      <c r="CE411" s="318"/>
      <c r="CF411" s="318"/>
      <c r="CG411" s="318"/>
      <c r="CH411" s="318"/>
      <c r="CI411" s="338"/>
      <c r="CJ411" s="341"/>
      <c r="CK411" s="342">
        <f t="shared" si="18"/>
        <v>0</v>
      </c>
      <c r="CL411" s="333">
        <f t="shared" si="19"/>
        <v>0</v>
      </c>
      <c r="CM411" s="421" t="s">
        <v>1145</v>
      </c>
      <c r="CN411" s="416"/>
      <c r="CO411" s="416"/>
      <c r="CP411" s="416"/>
    </row>
    <row r="412">
      <c r="A412" s="493" t="s">
        <v>28</v>
      </c>
      <c r="B412" s="494"/>
      <c r="C412" s="495">
        <v>43896.0</v>
      </c>
      <c r="D412" s="496"/>
      <c r="E412" s="497">
        <v>1.0</v>
      </c>
      <c r="F412" s="498" t="s">
        <v>1204</v>
      </c>
      <c r="G412" s="499">
        <v>0.46944444444444444</v>
      </c>
      <c r="H412" s="500"/>
      <c r="I412" s="500"/>
      <c r="J412" s="500"/>
      <c r="K412" s="500">
        <v>0.4847222222222222</v>
      </c>
      <c r="L412" s="500">
        <f t="shared" ref="L412:L415" si="20">K412-G412</f>
        <v>0.01527777778</v>
      </c>
      <c r="M412" s="497" t="s">
        <v>166</v>
      </c>
      <c r="N412" s="498" t="s">
        <v>188</v>
      </c>
      <c r="O412" s="501"/>
      <c r="P412" s="497"/>
      <c r="Q412" s="497"/>
      <c r="R412" s="502">
        <v>21.2</v>
      </c>
      <c r="S412" s="497">
        <v>40.0</v>
      </c>
      <c r="T412" s="498"/>
      <c r="U412" s="497">
        <v>110.0</v>
      </c>
      <c r="V412" s="497"/>
      <c r="W412" s="497"/>
      <c r="X412" s="497"/>
      <c r="Y412" s="497"/>
      <c r="Z412" s="497"/>
      <c r="AA412" s="497"/>
      <c r="AB412" s="497"/>
      <c r="AC412" s="503"/>
      <c r="AD412" s="497"/>
      <c r="AE412" s="497"/>
      <c r="AF412" s="497"/>
      <c r="AG412" s="497"/>
      <c r="AH412" s="497"/>
      <c r="AI412" s="497"/>
      <c r="AJ412" s="503"/>
      <c r="AK412" s="504"/>
      <c r="AL412" s="497"/>
      <c r="AM412" s="497"/>
      <c r="AN412" s="497"/>
      <c r="AO412" s="497"/>
      <c r="AP412" s="497"/>
      <c r="AQ412" s="497"/>
      <c r="AR412" s="497"/>
      <c r="AS412" s="503"/>
      <c r="AT412" s="505" t="s">
        <v>183</v>
      </c>
      <c r="AU412" s="498" t="s">
        <v>845</v>
      </c>
      <c r="AV412" s="506">
        <f>SQRT(($R412-Infrastructure!J$3)^2+($S412-Infrastructure!K$3)^2)</f>
        <v>24.19628071</v>
      </c>
      <c r="AW412" s="507">
        <f>SQRT(($R412-Infrastructure!J$4)^2+($S412-Infrastructure!K$4)^2)</f>
        <v>30.90453041</v>
      </c>
      <c r="AX412" s="507">
        <f>SQRT(($R412-Infrastructure!J$5)^2+($S412-Infrastructure!K$5)^2)</f>
        <v>40.99097462</v>
      </c>
      <c r="AY412" s="507">
        <f>SQRT(($R412-Infrastructure!J$6)^2+($S412-Infrastructure!K$6)^2)</f>
        <v>41.22256664</v>
      </c>
      <c r="AZ412" s="507">
        <f>SQRT(($R412-Infrastructure!J$7)^2+($S412-Infrastructure!K$7)^2)</f>
        <v>39.70617081</v>
      </c>
      <c r="BA412" s="507">
        <f>SQRT(($R412-Infrastructure!J$8)^2+($S412-Infrastructure!K$8)^2)</f>
        <v>40.68537821</v>
      </c>
      <c r="BB412" s="507">
        <f>SQRT(($R412-Infrastructure!J$9)^2+($S412-Infrastructure!K$9)^2)</f>
        <v>39.64151864</v>
      </c>
      <c r="BC412" s="507">
        <f>SQRT(($R412-Infrastructure!J$10)^2+($S412-Infrastructure!K$10)^2)</f>
        <v>31.28002558</v>
      </c>
      <c r="BD412" s="496"/>
      <c r="BE412" s="508"/>
      <c r="BF412" s="509">
        <f t="shared" si="14"/>
        <v>24.19628071</v>
      </c>
      <c r="BG412" s="510">
        <f t="shared" si="15"/>
        <v>41.22256664</v>
      </c>
      <c r="BH412" s="511"/>
      <c r="BI412" s="494"/>
      <c r="BJ412" s="496"/>
      <c r="BK412" s="496"/>
      <c r="BL412" s="496"/>
      <c r="BM412" s="496"/>
      <c r="BN412" s="496"/>
      <c r="BO412" s="496"/>
      <c r="BP412" s="496"/>
      <c r="BQ412" s="496"/>
      <c r="BR412" s="508"/>
      <c r="BS412" s="509"/>
      <c r="BT412" s="512"/>
      <c r="BU412" s="507"/>
      <c r="BV412" s="513"/>
      <c r="BW412" s="514"/>
      <c r="BX412" s="515"/>
      <c r="BY412" s="507"/>
      <c r="BZ412" s="516"/>
      <c r="CA412" s="517"/>
      <c r="CB412" s="496"/>
      <c r="CC412" s="496"/>
      <c r="CD412" s="496"/>
      <c r="CE412" s="496"/>
      <c r="CF412" s="496"/>
      <c r="CG412" s="496"/>
      <c r="CH412" s="496"/>
      <c r="CI412" s="496"/>
      <c r="CJ412" s="518"/>
      <c r="CK412" s="519">
        <f t="shared" si="18"/>
        <v>0</v>
      </c>
      <c r="CL412" s="510">
        <f t="shared" si="19"/>
        <v>0</v>
      </c>
      <c r="CM412" s="520" t="s">
        <v>1205</v>
      </c>
      <c r="CN412" s="521"/>
      <c r="CO412" s="521"/>
      <c r="CP412" s="521"/>
    </row>
    <row r="413">
      <c r="B413" s="522"/>
      <c r="C413" s="523">
        <v>43896.0</v>
      </c>
      <c r="D413" s="524"/>
      <c r="E413" s="525">
        <v>2.0</v>
      </c>
      <c r="F413" s="526" t="s">
        <v>1206</v>
      </c>
      <c r="G413" s="527">
        <v>0.49375</v>
      </c>
      <c r="H413" s="528"/>
      <c r="I413" s="528"/>
      <c r="J413" s="528"/>
      <c r="K413" s="529">
        <v>0.5069444444444444</v>
      </c>
      <c r="L413" s="528">
        <f t="shared" si="20"/>
        <v>0.01319444444</v>
      </c>
      <c r="M413" s="525" t="s">
        <v>166</v>
      </c>
      <c r="N413" s="526" t="s">
        <v>188</v>
      </c>
      <c r="O413" s="530"/>
      <c r="P413" s="525"/>
      <c r="Q413" s="525"/>
      <c r="R413" s="531">
        <v>21.2</v>
      </c>
      <c r="S413" s="525">
        <v>40.0</v>
      </c>
      <c r="T413" s="526"/>
      <c r="U413" s="525">
        <v>50.0</v>
      </c>
      <c r="V413" s="525"/>
      <c r="W413" s="525"/>
      <c r="X413" s="525"/>
      <c r="Y413" s="525"/>
      <c r="Z413" s="525"/>
      <c r="AA413" s="525"/>
      <c r="AB413" s="525"/>
      <c r="AC413" s="532"/>
      <c r="AD413" s="525"/>
      <c r="AE413" s="525"/>
      <c r="AF413" s="525"/>
      <c r="AG413" s="525"/>
      <c r="AH413" s="525"/>
      <c r="AI413" s="525"/>
      <c r="AJ413" s="532"/>
      <c r="AK413" s="533"/>
      <c r="AL413" s="525"/>
      <c r="AM413" s="525"/>
      <c r="AN413" s="525"/>
      <c r="AO413" s="525"/>
      <c r="AP413" s="525"/>
      <c r="AQ413" s="525"/>
      <c r="AR413" s="525"/>
      <c r="AS413" s="532"/>
      <c r="AT413" s="534" t="s">
        <v>183</v>
      </c>
      <c r="AU413" s="526" t="s">
        <v>845</v>
      </c>
      <c r="AV413" s="509">
        <f>SQRT(($R413-Infrastructure!J$3)^2+($S413-Infrastructure!K$3)^2)</f>
        <v>24.19628071</v>
      </c>
      <c r="AW413" s="512">
        <f>SQRT(($R413-Infrastructure!J$4)^2+($S413-Infrastructure!K$4)^2)</f>
        <v>30.90453041</v>
      </c>
      <c r="AX413" s="512">
        <f>SQRT(($R413-Infrastructure!J$5)^2+($S413-Infrastructure!K$5)^2)</f>
        <v>40.99097462</v>
      </c>
      <c r="AY413" s="512">
        <f>SQRT(($R413-Infrastructure!J$6)^2+($S413-Infrastructure!K$6)^2)</f>
        <v>41.22256664</v>
      </c>
      <c r="AZ413" s="512">
        <f>SQRT(($R413-Infrastructure!J$7)^2+($S413-Infrastructure!K$7)^2)</f>
        <v>39.70617081</v>
      </c>
      <c r="BA413" s="512">
        <f>SQRT(($R413-Infrastructure!J$8)^2+($S413-Infrastructure!K$8)^2)</f>
        <v>40.68537821</v>
      </c>
      <c r="BB413" s="512">
        <f>SQRT(($R413-Infrastructure!J$9)^2+($S413-Infrastructure!K$9)^2)</f>
        <v>39.64151864</v>
      </c>
      <c r="BC413" s="512">
        <f>SQRT(($R413-Infrastructure!J$10)^2+($S413-Infrastructure!K$10)^2)</f>
        <v>31.28002558</v>
      </c>
      <c r="BD413" s="524"/>
      <c r="BE413" s="535"/>
      <c r="BF413" s="509">
        <f t="shared" si="14"/>
        <v>24.19628071</v>
      </c>
      <c r="BG413" s="510">
        <f t="shared" si="15"/>
        <v>41.22256664</v>
      </c>
      <c r="BH413" s="536"/>
      <c r="BI413" s="522"/>
      <c r="BJ413" s="524"/>
      <c r="BK413" s="524"/>
      <c r="BL413" s="524"/>
      <c r="BM413" s="524"/>
      <c r="BN413" s="524"/>
      <c r="BO413" s="524"/>
      <c r="BP413" s="524"/>
      <c r="BQ413" s="524"/>
      <c r="BR413" s="535"/>
      <c r="BS413" s="509"/>
      <c r="BT413" s="512"/>
      <c r="BU413" s="512"/>
      <c r="BV413" s="510"/>
      <c r="BW413" s="537"/>
      <c r="BX413" s="538"/>
      <c r="BY413" s="512"/>
      <c r="BZ413" s="539"/>
      <c r="CA413" s="540"/>
      <c r="CB413" s="524"/>
      <c r="CC413" s="524"/>
      <c r="CD413" s="524"/>
      <c r="CE413" s="524"/>
      <c r="CF413" s="524"/>
      <c r="CG413" s="524"/>
      <c r="CH413" s="524"/>
      <c r="CI413" s="524"/>
      <c r="CJ413" s="541"/>
      <c r="CK413" s="519">
        <f t="shared" si="18"/>
        <v>0</v>
      </c>
      <c r="CL413" s="510">
        <f t="shared" si="19"/>
        <v>0</v>
      </c>
      <c r="CM413" s="542" t="s">
        <v>1207</v>
      </c>
      <c r="CN413" s="521"/>
      <c r="CO413" s="521"/>
      <c r="CP413" s="521"/>
    </row>
    <row r="414">
      <c r="B414" s="522"/>
      <c r="C414" s="523">
        <v>43896.0</v>
      </c>
      <c r="D414" s="524"/>
      <c r="E414" s="525">
        <v>3.0</v>
      </c>
      <c r="F414" s="526" t="s">
        <v>1208</v>
      </c>
      <c r="G414" s="527">
        <v>0.5763888888888888</v>
      </c>
      <c r="H414" s="528"/>
      <c r="I414" s="528"/>
      <c r="J414" s="528"/>
      <c r="K414" s="528">
        <v>0.6041666666666666</v>
      </c>
      <c r="L414" s="528">
        <f t="shared" si="20"/>
        <v>0.02777777778</v>
      </c>
      <c r="M414" s="525" t="s">
        <v>166</v>
      </c>
      <c r="N414" s="526" t="s">
        <v>188</v>
      </c>
      <c r="O414" s="530"/>
      <c r="P414" s="525"/>
      <c r="Q414" s="525"/>
      <c r="R414" s="531">
        <v>21.2</v>
      </c>
      <c r="S414" s="525">
        <v>40.0</v>
      </c>
      <c r="T414" s="526"/>
      <c r="U414" s="525">
        <v>97.0</v>
      </c>
      <c r="V414" s="525"/>
      <c r="W414" s="525"/>
      <c r="X414" s="525"/>
      <c r="Y414" s="525"/>
      <c r="Z414" s="525"/>
      <c r="AA414" s="525"/>
      <c r="AB414" s="525"/>
      <c r="AC414" s="532"/>
      <c r="AD414" s="525"/>
      <c r="AE414" s="525"/>
      <c r="AF414" s="525"/>
      <c r="AG414" s="525"/>
      <c r="AH414" s="525"/>
      <c r="AI414" s="525"/>
      <c r="AJ414" s="532"/>
      <c r="AK414" s="533"/>
      <c r="AL414" s="525"/>
      <c r="AM414" s="525"/>
      <c r="AN414" s="525"/>
      <c r="AO414" s="525"/>
      <c r="AP414" s="525"/>
      <c r="AQ414" s="525"/>
      <c r="AR414" s="525"/>
      <c r="AS414" s="532"/>
      <c r="AT414" s="534" t="s">
        <v>183</v>
      </c>
      <c r="AU414" s="526" t="s">
        <v>845</v>
      </c>
      <c r="AV414" s="509">
        <f>SQRT(($R414-Infrastructure!J$3)^2+($S414-Infrastructure!K$3)^2)</f>
        <v>24.19628071</v>
      </c>
      <c r="AW414" s="512">
        <f>SQRT(($R414-Infrastructure!J$4)^2+($S414-Infrastructure!K$4)^2)</f>
        <v>30.90453041</v>
      </c>
      <c r="AX414" s="512">
        <f>SQRT(($R414-Infrastructure!J$5)^2+($S414-Infrastructure!K$5)^2)</f>
        <v>40.99097462</v>
      </c>
      <c r="AY414" s="512">
        <f>SQRT(($R414-Infrastructure!J$6)^2+($S414-Infrastructure!K$6)^2)</f>
        <v>41.22256664</v>
      </c>
      <c r="AZ414" s="512">
        <f>SQRT(($R414-Infrastructure!J$7)^2+($S414-Infrastructure!K$7)^2)</f>
        <v>39.70617081</v>
      </c>
      <c r="BA414" s="512">
        <f>SQRT(($R414-Infrastructure!J$8)^2+($S414-Infrastructure!K$8)^2)</f>
        <v>40.68537821</v>
      </c>
      <c r="BB414" s="512">
        <f>SQRT(($R414-Infrastructure!J$9)^2+($S414-Infrastructure!K$9)^2)</f>
        <v>39.64151864</v>
      </c>
      <c r="BC414" s="512">
        <f>SQRT(($R414-Infrastructure!J$10)^2+($S414-Infrastructure!K$10)^2)</f>
        <v>31.28002558</v>
      </c>
      <c r="BD414" s="524"/>
      <c r="BE414" s="535"/>
      <c r="BF414" s="509">
        <f t="shared" si="14"/>
        <v>24.19628071</v>
      </c>
      <c r="BG414" s="510">
        <f t="shared" si="15"/>
        <v>41.22256664</v>
      </c>
      <c r="BH414" s="536"/>
      <c r="BI414" s="522"/>
      <c r="BJ414" s="524"/>
      <c r="BK414" s="524"/>
      <c r="BL414" s="524"/>
      <c r="BM414" s="524"/>
      <c r="BN414" s="524"/>
      <c r="BO414" s="524"/>
      <c r="BP414" s="524"/>
      <c r="BQ414" s="524"/>
      <c r="BR414" s="535"/>
      <c r="BS414" s="509"/>
      <c r="BT414" s="512"/>
      <c r="BU414" s="512"/>
      <c r="BV414" s="510"/>
      <c r="BW414" s="537"/>
      <c r="BX414" s="538"/>
      <c r="BY414" s="512"/>
      <c r="BZ414" s="539"/>
      <c r="CA414" s="540"/>
      <c r="CB414" s="524"/>
      <c r="CC414" s="524"/>
      <c r="CD414" s="524"/>
      <c r="CE414" s="524"/>
      <c r="CF414" s="524"/>
      <c r="CG414" s="524"/>
      <c r="CH414" s="524"/>
      <c r="CI414" s="524"/>
      <c r="CJ414" s="541"/>
      <c r="CK414" s="519">
        <f t="shared" si="18"/>
        <v>0</v>
      </c>
      <c r="CL414" s="510">
        <f t="shared" si="19"/>
        <v>0</v>
      </c>
      <c r="CM414" s="542" t="s">
        <v>1209</v>
      </c>
      <c r="CN414" s="521"/>
      <c r="CO414" s="521"/>
      <c r="CP414" s="521"/>
    </row>
    <row r="415">
      <c r="B415" s="522"/>
      <c r="C415" s="523">
        <v>43896.0</v>
      </c>
      <c r="D415" s="524"/>
      <c r="E415" s="525">
        <v>4.0</v>
      </c>
      <c r="F415" s="526" t="s">
        <v>1210</v>
      </c>
      <c r="G415" s="527">
        <v>0.6111111111111112</v>
      </c>
      <c r="H415" s="528"/>
      <c r="I415" s="528"/>
      <c r="J415" s="528"/>
      <c r="K415" s="528">
        <v>0.6243055555555556</v>
      </c>
      <c r="L415" s="528">
        <f t="shared" si="20"/>
        <v>0.01319444444</v>
      </c>
      <c r="M415" s="525" t="s">
        <v>166</v>
      </c>
      <c r="N415" s="526" t="s">
        <v>188</v>
      </c>
      <c r="O415" s="530"/>
      <c r="P415" s="525"/>
      <c r="Q415" s="525"/>
      <c r="R415" s="531">
        <v>21.2</v>
      </c>
      <c r="S415" s="525">
        <v>40.0</v>
      </c>
      <c r="T415" s="526"/>
      <c r="U415" s="525">
        <v>150.0</v>
      </c>
      <c r="V415" s="525"/>
      <c r="W415" s="525"/>
      <c r="X415" s="525"/>
      <c r="Y415" s="525"/>
      <c r="Z415" s="525"/>
      <c r="AA415" s="525"/>
      <c r="AB415" s="525"/>
      <c r="AC415" s="532"/>
      <c r="AD415" s="525"/>
      <c r="AE415" s="525"/>
      <c r="AF415" s="525"/>
      <c r="AG415" s="525"/>
      <c r="AH415" s="525"/>
      <c r="AI415" s="525"/>
      <c r="AJ415" s="532"/>
      <c r="AK415" s="533"/>
      <c r="AL415" s="525"/>
      <c r="AM415" s="525"/>
      <c r="AN415" s="525"/>
      <c r="AO415" s="525"/>
      <c r="AP415" s="525"/>
      <c r="AQ415" s="525"/>
      <c r="AR415" s="525"/>
      <c r="AS415" s="532"/>
      <c r="AT415" s="534" t="s">
        <v>183</v>
      </c>
      <c r="AU415" s="526" t="s">
        <v>845</v>
      </c>
      <c r="AV415" s="543">
        <f>SQRT(($R415-Infrastructure!J$3)^2+($S415-Infrastructure!K$3)^2)</f>
        <v>24.19628071</v>
      </c>
      <c r="AW415" s="544">
        <f>SQRT(($R415-Infrastructure!J$4)^2+($S415-Infrastructure!K$4)^2)</f>
        <v>30.90453041</v>
      </c>
      <c r="AX415" s="544">
        <f>SQRT(($R415-Infrastructure!J$5)^2+($S415-Infrastructure!K$5)^2)</f>
        <v>40.99097462</v>
      </c>
      <c r="AY415" s="544">
        <f>SQRT(($R415-Infrastructure!J$6)^2+($S415-Infrastructure!K$6)^2)</f>
        <v>41.22256664</v>
      </c>
      <c r="AZ415" s="544">
        <f>SQRT(($R415-Infrastructure!J$7)^2+($S415-Infrastructure!K$7)^2)</f>
        <v>39.70617081</v>
      </c>
      <c r="BA415" s="544">
        <f>SQRT(($R415-Infrastructure!J$8)^2+($S415-Infrastructure!K$8)^2)</f>
        <v>40.68537821</v>
      </c>
      <c r="BB415" s="544">
        <f>SQRT(($R415-Infrastructure!J$9)^2+($S415-Infrastructure!K$9)^2)</f>
        <v>39.64151864</v>
      </c>
      <c r="BC415" s="544">
        <f>SQRT(($R415-Infrastructure!J$10)^2+($S415-Infrastructure!K$10)^2)</f>
        <v>31.28002558</v>
      </c>
      <c r="BD415" s="545"/>
      <c r="BE415" s="546"/>
      <c r="BF415" s="509">
        <f t="shared" si="14"/>
        <v>24.19628071</v>
      </c>
      <c r="BG415" s="510">
        <f t="shared" si="15"/>
        <v>41.22256664</v>
      </c>
      <c r="BH415" s="536"/>
      <c r="BI415" s="522"/>
      <c r="BJ415" s="524"/>
      <c r="BK415" s="524"/>
      <c r="BL415" s="524"/>
      <c r="BM415" s="524"/>
      <c r="BN415" s="524"/>
      <c r="BO415" s="524"/>
      <c r="BP415" s="524"/>
      <c r="BQ415" s="524"/>
      <c r="BR415" s="535"/>
      <c r="BS415" s="509"/>
      <c r="BT415" s="512"/>
      <c r="BU415" s="512"/>
      <c r="BV415" s="510"/>
      <c r="BW415" s="537"/>
      <c r="BX415" s="538"/>
      <c r="BY415" s="512"/>
      <c r="BZ415" s="539"/>
      <c r="CA415" s="540"/>
      <c r="CB415" s="524"/>
      <c r="CC415" s="524"/>
      <c r="CD415" s="524"/>
      <c r="CE415" s="524"/>
      <c r="CF415" s="524"/>
      <c r="CG415" s="524"/>
      <c r="CH415" s="524"/>
      <c r="CI415" s="524"/>
      <c r="CJ415" s="541"/>
      <c r="CK415" s="519">
        <f t="shared" si="18"/>
        <v>0</v>
      </c>
      <c r="CL415" s="510">
        <f t="shared" si="19"/>
        <v>0</v>
      </c>
      <c r="CM415" s="542" t="s">
        <v>1211</v>
      </c>
      <c r="CN415" s="521"/>
      <c r="CO415" s="521"/>
      <c r="CP415" s="521"/>
    </row>
    <row r="416">
      <c r="A416" s="547" t="s">
        <v>29</v>
      </c>
      <c r="B416" s="548"/>
      <c r="C416" s="549">
        <v>44012.0</v>
      </c>
      <c r="D416" s="550"/>
      <c r="E416" s="551">
        <v>1.0</v>
      </c>
      <c r="F416" s="552" t="s">
        <v>1212</v>
      </c>
      <c r="G416" s="553">
        <v>0.42777777777777776</v>
      </c>
      <c r="H416" s="554">
        <v>0.42777777777777776</v>
      </c>
      <c r="I416" s="554"/>
      <c r="J416" s="554"/>
      <c r="K416" s="554">
        <v>0.4395833333333333</v>
      </c>
      <c r="L416" s="554">
        <v>0.011805555555555555</v>
      </c>
      <c r="M416" s="555" t="s">
        <v>358</v>
      </c>
      <c r="N416" s="556" t="s">
        <v>187</v>
      </c>
      <c r="O416" s="557" t="s">
        <v>206</v>
      </c>
      <c r="P416" s="551" t="s">
        <v>218</v>
      </c>
      <c r="Q416" s="551"/>
      <c r="R416" s="555">
        <v>21.2</v>
      </c>
      <c r="S416" s="551">
        <v>8.7</v>
      </c>
      <c r="T416" s="556">
        <v>2.4</v>
      </c>
      <c r="U416" s="551">
        <v>1.5</v>
      </c>
      <c r="V416" s="551"/>
      <c r="W416" s="551"/>
      <c r="X416" s="551"/>
      <c r="Y416" s="551"/>
      <c r="Z416" s="551" t="s">
        <v>347</v>
      </c>
      <c r="AA416" s="551"/>
      <c r="AB416" s="551" t="s">
        <v>380</v>
      </c>
      <c r="AC416" s="558">
        <v>4.0</v>
      </c>
      <c r="AD416" s="551"/>
      <c r="AE416" s="551"/>
      <c r="AF416" s="551"/>
      <c r="AG416" s="551"/>
      <c r="AH416" s="551"/>
      <c r="AI416" s="551"/>
      <c r="AJ416" s="558"/>
      <c r="AK416" s="559"/>
      <c r="AL416" s="551"/>
      <c r="AM416" s="551"/>
      <c r="AN416" s="551"/>
      <c r="AO416" s="551"/>
      <c r="AP416" s="551"/>
      <c r="AQ416" s="551"/>
      <c r="AR416" s="551"/>
      <c r="AS416" s="558"/>
      <c r="AT416" s="560" t="s">
        <v>182</v>
      </c>
      <c r="AU416" s="556" t="s">
        <v>845</v>
      </c>
      <c r="AV416" s="561">
        <f>SQRT(($R416-Infrastructure!J$3)^2+($S416-Infrastructure!K$3)^2)</f>
        <v>29.50067796</v>
      </c>
      <c r="AW416" s="562">
        <f>SQRT(($R416-Infrastructure!J$4)^2+($S416-Infrastructure!K$4)^2)</f>
        <v>23.34652008</v>
      </c>
      <c r="AX416" s="562">
        <f>SQRT(($R416-Infrastructure!J$5)^2+($S416-Infrastructure!K$5)^2)</f>
        <v>21.79931192</v>
      </c>
      <c r="AY416" s="562">
        <f>SQRT(($R416-Infrastructure!J$6)^2+($S416-Infrastructure!K$6)^2)</f>
        <v>13.92012931</v>
      </c>
      <c r="AZ416" s="562">
        <f>SQRT(($R416-Infrastructure!J$7)^2+($S416-Infrastructure!K$7)^2)</f>
        <v>8.429116205</v>
      </c>
      <c r="BA416" s="562">
        <f>SQRT(($R416-Infrastructure!J$8)^2+($S416-Infrastructure!K$8)^2)</f>
        <v>12.2380554</v>
      </c>
      <c r="BB416" s="562">
        <f>SQRT(($R416-Infrastructure!J$9)^2+($S416-Infrastructure!K$9)^2)</f>
        <v>19.14157778</v>
      </c>
      <c r="BC416" s="562">
        <f>SQRT(($R416-Infrastructure!J$10)^2+($S416-Infrastructure!K$10)^2)</f>
        <v>19.82750615</v>
      </c>
      <c r="BD416" s="550"/>
      <c r="BE416" s="563"/>
      <c r="BF416" s="509">
        <f t="shared" si="14"/>
        <v>8.429116205</v>
      </c>
      <c r="BG416" s="510">
        <f t="shared" si="15"/>
        <v>29.50067796</v>
      </c>
      <c r="BH416" s="564"/>
      <c r="BI416" s="548"/>
      <c r="BJ416" s="550"/>
      <c r="BK416" s="550"/>
      <c r="BL416" s="550"/>
      <c r="BM416" s="550"/>
      <c r="BN416" s="550"/>
      <c r="BO416" s="550"/>
      <c r="BP416" s="550"/>
      <c r="BQ416" s="550"/>
      <c r="BR416" s="563"/>
      <c r="BS416" s="509"/>
      <c r="BT416" s="512"/>
      <c r="BU416" s="562"/>
      <c r="BV416" s="565"/>
      <c r="BW416" s="566"/>
      <c r="BX416" s="567"/>
      <c r="BY416" s="562"/>
      <c r="BZ416" s="568"/>
      <c r="CA416" s="569"/>
      <c r="CB416" s="550"/>
      <c r="CC416" s="550"/>
      <c r="CD416" s="550"/>
      <c r="CE416" s="550"/>
      <c r="CF416" s="550"/>
      <c r="CG416" s="550"/>
      <c r="CH416" s="550"/>
      <c r="CI416" s="550"/>
      <c r="CJ416" s="570"/>
      <c r="CK416" s="519">
        <f t="shared" si="18"/>
        <v>0</v>
      </c>
      <c r="CL416" s="510">
        <f t="shared" si="19"/>
        <v>0</v>
      </c>
      <c r="CM416" s="571"/>
      <c r="CN416" s="521"/>
      <c r="CO416" s="521"/>
      <c r="CP416" s="521"/>
    </row>
    <row r="417">
      <c r="B417" s="522"/>
      <c r="C417" s="523">
        <v>44012.0</v>
      </c>
      <c r="D417" s="524"/>
      <c r="E417" s="525">
        <v>2.0</v>
      </c>
      <c r="F417" s="572" t="s">
        <v>1213</v>
      </c>
      <c r="G417" s="527">
        <v>0.4583333333333333</v>
      </c>
      <c r="H417" s="528">
        <v>0.4583333333333333</v>
      </c>
      <c r="I417" s="528"/>
      <c r="J417" s="528"/>
      <c r="K417" s="528">
        <v>0.4722222222222222</v>
      </c>
      <c r="L417" s="528">
        <v>0.013888888888888888</v>
      </c>
      <c r="M417" s="531" t="s">
        <v>358</v>
      </c>
      <c r="N417" s="526" t="s">
        <v>187</v>
      </c>
      <c r="O417" s="530" t="s">
        <v>199</v>
      </c>
      <c r="P417" s="525" t="s">
        <v>220</v>
      </c>
      <c r="Q417" s="525" t="s">
        <v>1214</v>
      </c>
      <c r="R417" s="531">
        <v>16.2</v>
      </c>
      <c r="S417" s="525">
        <v>9.3</v>
      </c>
      <c r="T417" s="526">
        <v>0.01</v>
      </c>
      <c r="U417" s="525">
        <v>1.0</v>
      </c>
      <c r="V417" s="525"/>
      <c r="W417" s="525"/>
      <c r="X417" s="525"/>
      <c r="Y417" s="525"/>
      <c r="Z417" s="525" t="s">
        <v>351</v>
      </c>
      <c r="AA417" s="525"/>
      <c r="AB417" s="525" t="s">
        <v>380</v>
      </c>
      <c r="AC417" s="532">
        <v>4.0</v>
      </c>
      <c r="AD417" s="525"/>
      <c r="AE417" s="525"/>
      <c r="AF417" s="525"/>
      <c r="AG417" s="525"/>
      <c r="AH417" s="525"/>
      <c r="AI417" s="525"/>
      <c r="AJ417" s="532"/>
      <c r="AK417" s="533"/>
      <c r="AL417" s="525"/>
      <c r="AM417" s="525"/>
      <c r="AN417" s="525"/>
      <c r="AO417" s="525"/>
      <c r="AP417" s="525"/>
      <c r="AQ417" s="525"/>
      <c r="AR417" s="525"/>
      <c r="AS417" s="532"/>
      <c r="AT417" s="534" t="s">
        <v>182</v>
      </c>
      <c r="AU417" s="526" t="s">
        <v>845</v>
      </c>
      <c r="AV417" s="509">
        <f>SQRT(($R417-Infrastructure!J$3)^2+($S417-Infrastructure!K$3)^2)</f>
        <v>25.6204996</v>
      </c>
      <c r="AW417" s="512">
        <f>SQRT(($R417-Infrastructure!J$4)^2+($S417-Infrastructure!K$4)^2)</f>
        <v>18.56071119</v>
      </c>
      <c r="AX417" s="512">
        <f>SQRT(($R417-Infrastructure!J$5)^2+($S417-Infrastructure!K$5)^2)</f>
        <v>17.02615635</v>
      </c>
      <c r="AY417" s="512">
        <f>SQRT(($R417-Infrastructure!J$6)^2+($S417-Infrastructure!K$6)^2)</f>
        <v>10.87244223</v>
      </c>
      <c r="AZ417" s="512">
        <f>SQRT(($R417-Infrastructure!J$7)^2+($S417-Infrastructure!K$7)^2)</f>
        <v>9.974467404</v>
      </c>
      <c r="BA417" s="512">
        <f>SQRT(($R417-Infrastructure!J$8)^2+($S417-Infrastructure!K$8)^2)</f>
        <v>16.55928742</v>
      </c>
      <c r="BB417" s="512">
        <f>SQRT(($R417-Infrastructure!J$9)^2+($S417-Infrastructure!K$9)^2)</f>
        <v>24.1677471</v>
      </c>
      <c r="BC417" s="512">
        <f>SQRT(($R417-Infrastructure!J$10)^2+($S417-Infrastructure!K$10)^2)</f>
        <v>24.4730464</v>
      </c>
      <c r="BD417" s="524"/>
      <c r="BE417" s="535"/>
      <c r="BF417" s="509">
        <f t="shared" si="14"/>
        <v>9.974467404</v>
      </c>
      <c r="BG417" s="510">
        <f t="shared" si="15"/>
        <v>25.6204996</v>
      </c>
      <c r="BH417" s="536"/>
      <c r="BI417" s="522"/>
      <c r="BJ417" s="524"/>
      <c r="BK417" s="524"/>
      <c r="BL417" s="524"/>
      <c r="BM417" s="524"/>
      <c r="BN417" s="524"/>
      <c r="BO417" s="524"/>
      <c r="BP417" s="524"/>
      <c r="BQ417" s="524"/>
      <c r="BR417" s="535"/>
      <c r="BS417" s="509"/>
      <c r="BT417" s="512"/>
      <c r="BU417" s="512"/>
      <c r="BV417" s="510"/>
      <c r="BW417" s="537"/>
      <c r="BX417" s="538"/>
      <c r="BY417" s="512"/>
      <c r="BZ417" s="539"/>
      <c r="CA417" s="540"/>
      <c r="CB417" s="524"/>
      <c r="CC417" s="524"/>
      <c r="CD417" s="524"/>
      <c r="CE417" s="524"/>
      <c r="CF417" s="524"/>
      <c r="CG417" s="524"/>
      <c r="CH417" s="524"/>
      <c r="CI417" s="524"/>
      <c r="CJ417" s="541"/>
      <c r="CK417" s="519">
        <f t="shared" si="18"/>
        <v>0</v>
      </c>
      <c r="CL417" s="510">
        <f t="shared" si="19"/>
        <v>0</v>
      </c>
      <c r="CM417" s="542"/>
      <c r="CN417" s="521"/>
      <c r="CO417" s="521"/>
      <c r="CP417" s="521"/>
    </row>
    <row r="418">
      <c r="B418" s="522"/>
      <c r="C418" s="523">
        <v>44012.0</v>
      </c>
      <c r="D418" s="524"/>
      <c r="E418" s="525">
        <v>3.0</v>
      </c>
      <c r="F418" s="526" t="s">
        <v>1215</v>
      </c>
      <c r="G418" s="527">
        <v>0.4847222222222222</v>
      </c>
      <c r="H418" s="528">
        <v>0.4847222222222222</v>
      </c>
      <c r="I418" s="528"/>
      <c r="J418" s="528"/>
      <c r="K418" s="528">
        <v>0.5013888888888889</v>
      </c>
      <c r="L418" s="528">
        <v>0.016666666666666666</v>
      </c>
      <c r="M418" s="531" t="s">
        <v>358</v>
      </c>
      <c r="N418" s="526" t="s">
        <v>187</v>
      </c>
      <c r="O418" s="530" t="s">
        <v>200</v>
      </c>
      <c r="P418" s="525" t="s">
        <v>212</v>
      </c>
      <c r="Q418" s="525" t="s">
        <v>1214</v>
      </c>
      <c r="R418" s="531">
        <v>16.3</v>
      </c>
      <c r="S418" s="525">
        <v>6.5</v>
      </c>
      <c r="T418" s="526">
        <v>0.6</v>
      </c>
      <c r="U418" s="525">
        <v>3.0</v>
      </c>
      <c r="V418" s="525"/>
      <c r="W418" s="525"/>
      <c r="X418" s="525"/>
      <c r="Y418" s="525"/>
      <c r="Z418" s="525" t="s">
        <v>318</v>
      </c>
      <c r="AA418" s="525"/>
      <c r="AB418" s="525" t="s">
        <v>345</v>
      </c>
      <c r="AC418" s="532">
        <v>2.0</v>
      </c>
      <c r="AD418" s="525"/>
      <c r="AE418" s="525"/>
      <c r="AF418" s="525"/>
      <c r="AG418" s="525"/>
      <c r="AH418" s="525"/>
      <c r="AI418" s="525"/>
      <c r="AJ418" s="532"/>
      <c r="AK418" s="533"/>
      <c r="AL418" s="525"/>
      <c r="AM418" s="525"/>
      <c r="AN418" s="525"/>
      <c r="AO418" s="525"/>
      <c r="AP418" s="525"/>
      <c r="AQ418" s="525"/>
      <c r="AR418" s="525"/>
      <c r="AS418" s="532"/>
      <c r="AT418" s="534" t="s">
        <v>182</v>
      </c>
      <c r="AU418" s="526" t="s">
        <v>845</v>
      </c>
      <c r="AV418" s="509">
        <f>SQRT(($R418-Infrastructure!J$3)^2+($S418-Infrastructure!K$3)^2)</f>
        <v>27.88045911</v>
      </c>
      <c r="AW418" s="512">
        <f>SQRT(($R418-Infrastructure!J$4)^2+($S418-Infrastructure!K$4)^2)</f>
        <v>20.08108563</v>
      </c>
      <c r="AX418" s="512">
        <f>SQRT(($R418-Infrastructure!J$5)^2+($S418-Infrastructure!K$5)^2)</f>
        <v>16.65893154</v>
      </c>
      <c r="AY418" s="512">
        <f>SQRT(($R418-Infrastructure!J$6)^2+($S418-Infrastructure!K$6)^2)</f>
        <v>8.768124087</v>
      </c>
      <c r="AZ418" s="512">
        <f>SQRT(($R418-Infrastructure!J$7)^2+($S418-Infrastructure!K$7)^2)</f>
        <v>7.488658091</v>
      </c>
      <c r="BA418" s="512">
        <f>SQRT(($R418-Infrastructure!J$8)^2+($S418-Infrastructure!K$8)^2)</f>
        <v>15.12878052</v>
      </c>
      <c r="BB418" s="512">
        <f>SQRT(($R418-Infrastructure!J$9)^2+($S418-Infrastructure!K$9)^2)</f>
        <v>23.7413142</v>
      </c>
      <c r="BC418" s="512">
        <f>SQRT(($R418-Infrastructure!J$10)^2+($S418-Infrastructure!K$10)^2)</f>
        <v>25.17816514</v>
      </c>
      <c r="BD418" s="524"/>
      <c r="BE418" s="535"/>
      <c r="BF418" s="509">
        <f t="shared" si="14"/>
        <v>7.488658091</v>
      </c>
      <c r="BG418" s="510">
        <f t="shared" si="15"/>
        <v>27.88045911</v>
      </c>
      <c r="BH418" s="536"/>
      <c r="BI418" s="522"/>
      <c r="BJ418" s="524"/>
      <c r="BK418" s="524"/>
      <c r="BL418" s="524"/>
      <c r="BM418" s="524"/>
      <c r="BN418" s="524"/>
      <c r="BO418" s="524"/>
      <c r="BP418" s="524"/>
      <c r="BQ418" s="524"/>
      <c r="BR418" s="535"/>
      <c r="BS418" s="509"/>
      <c r="BT418" s="512"/>
      <c r="BU418" s="512"/>
      <c r="BV418" s="510"/>
      <c r="BW418" s="537"/>
      <c r="BX418" s="538"/>
      <c r="BY418" s="512"/>
      <c r="BZ418" s="539"/>
      <c r="CA418" s="540"/>
      <c r="CB418" s="524"/>
      <c r="CC418" s="524"/>
      <c r="CD418" s="524"/>
      <c r="CE418" s="524"/>
      <c r="CF418" s="524"/>
      <c r="CG418" s="524"/>
      <c r="CH418" s="524"/>
      <c r="CI418" s="524"/>
      <c r="CJ418" s="541"/>
      <c r="CK418" s="519">
        <f t="shared" si="18"/>
        <v>0</v>
      </c>
      <c r="CL418" s="510">
        <f t="shared" si="19"/>
        <v>0</v>
      </c>
      <c r="CM418" s="542"/>
      <c r="CN418" s="521"/>
      <c r="CO418" s="521"/>
      <c r="CP418" s="521"/>
    </row>
    <row r="419">
      <c r="B419" s="522"/>
      <c r="C419" s="523">
        <v>44012.0</v>
      </c>
      <c r="D419" s="524"/>
      <c r="E419" s="525">
        <v>4.0</v>
      </c>
      <c r="F419" s="526" t="s">
        <v>1215</v>
      </c>
      <c r="G419" s="527">
        <v>0.6326388888888889</v>
      </c>
      <c r="H419" s="528">
        <v>0.6326388888888889</v>
      </c>
      <c r="I419" s="528"/>
      <c r="J419" s="528"/>
      <c r="K419" s="528">
        <v>0.6513888888888889</v>
      </c>
      <c r="L419" s="528">
        <v>0.01875</v>
      </c>
      <c r="M419" s="531" t="s">
        <v>358</v>
      </c>
      <c r="N419" s="526" t="s">
        <v>187</v>
      </c>
      <c r="O419" s="530" t="s">
        <v>200</v>
      </c>
      <c r="P419" s="525" t="s">
        <v>212</v>
      </c>
      <c r="Q419" s="525" t="s">
        <v>1214</v>
      </c>
      <c r="R419" s="531">
        <v>16.3</v>
      </c>
      <c r="S419" s="525">
        <v>6.5</v>
      </c>
      <c r="T419" s="526">
        <v>0.6</v>
      </c>
      <c r="U419" s="525">
        <v>2.0</v>
      </c>
      <c r="V419" s="525"/>
      <c r="W419" s="525"/>
      <c r="X419" s="525"/>
      <c r="Y419" s="525"/>
      <c r="Z419" s="525" t="s">
        <v>318</v>
      </c>
      <c r="AA419" s="525"/>
      <c r="AB419" s="525" t="s">
        <v>337</v>
      </c>
      <c r="AC419" s="532">
        <v>2.0</v>
      </c>
      <c r="AD419" s="525"/>
      <c r="AE419" s="525"/>
      <c r="AF419" s="525"/>
      <c r="AG419" s="525"/>
      <c r="AH419" s="525"/>
      <c r="AI419" s="525"/>
      <c r="AJ419" s="532"/>
      <c r="AK419" s="533"/>
      <c r="AL419" s="525"/>
      <c r="AM419" s="525"/>
      <c r="AN419" s="525"/>
      <c r="AO419" s="525"/>
      <c r="AP419" s="525"/>
      <c r="AQ419" s="525"/>
      <c r="AR419" s="525"/>
      <c r="AS419" s="532"/>
      <c r="AT419" s="534" t="s">
        <v>182</v>
      </c>
      <c r="AU419" s="526" t="s">
        <v>845</v>
      </c>
      <c r="AV419" s="509">
        <f>SQRT(($R419-Infrastructure!J$3)^2+($S419-Infrastructure!K$3)^2)</f>
        <v>27.88045911</v>
      </c>
      <c r="AW419" s="512">
        <f>SQRT(($R419-Infrastructure!J$4)^2+($S419-Infrastructure!K$4)^2)</f>
        <v>20.08108563</v>
      </c>
      <c r="AX419" s="512">
        <f>SQRT(($R419-Infrastructure!J$5)^2+($S419-Infrastructure!K$5)^2)</f>
        <v>16.65893154</v>
      </c>
      <c r="AY419" s="512">
        <f>SQRT(($R419-Infrastructure!J$6)^2+($S419-Infrastructure!K$6)^2)</f>
        <v>8.768124087</v>
      </c>
      <c r="AZ419" s="512">
        <f>SQRT(($R419-Infrastructure!J$7)^2+($S419-Infrastructure!K$7)^2)</f>
        <v>7.488658091</v>
      </c>
      <c r="BA419" s="512">
        <f>SQRT(($R419-Infrastructure!J$8)^2+($S419-Infrastructure!K$8)^2)</f>
        <v>15.12878052</v>
      </c>
      <c r="BB419" s="512">
        <f>SQRT(($R419-Infrastructure!J$9)^2+($S419-Infrastructure!K$9)^2)</f>
        <v>23.7413142</v>
      </c>
      <c r="BC419" s="512">
        <f>SQRT(($R419-Infrastructure!J$10)^2+($S419-Infrastructure!K$10)^2)</f>
        <v>25.17816514</v>
      </c>
      <c r="BD419" s="524"/>
      <c r="BE419" s="535"/>
      <c r="BF419" s="509">
        <f t="shared" si="14"/>
        <v>7.488658091</v>
      </c>
      <c r="BG419" s="510">
        <f t="shared" si="15"/>
        <v>27.88045911</v>
      </c>
      <c r="BH419" s="536"/>
      <c r="BI419" s="522"/>
      <c r="BJ419" s="524"/>
      <c r="BK419" s="524"/>
      <c r="BL419" s="524"/>
      <c r="BM419" s="524"/>
      <c r="BN419" s="524"/>
      <c r="BO419" s="524"/>
      <c r="BP419" s="524"/>
      <c r="BQ419" s="524"/>
      <c r="BR419" s="535"/>
      <c r="BS419" s="509"/>
      <c r="BT419" s="512"/>
      <c r="BU419" s="512"/>
      <c r="BV419" s="510"/>
      <c r="BW419" s="537"/>
      <c r="BX419" s="538"/>
      <c r="BY419" s="512"/>
      <c r="BZ419" s="539"/>
      <c r="CA419" s="540"/>
      <c r="CB419" s="524"/>
      <c r="CC419" s="524"/>
      <c r="CD419" s="524"/>
      <c r="CE419" s="524"/>
      <c r="CF419" s="524"/>
      <c r="CG419" s="524"/>
      <c r="CH419" s="524"/>
      <c r="CI419" s="524"/>
      <c r="CJ419" s="541"/>
      <c r="CK419" s="519">
        <f t="shared" si="18"/>
        <v>0</v>
      </c>
      <c r="CL419" s="510">
        <f t="shared" si="19"/>
        <v>0</v>
      </c>
      <c r="CM419" s="542"/>
      <c r="CN419" s="521"/>
      <c r="CO419" s="521"/>
      <c r="CP419" s="521"/>
    </row>
    <row r="420">
      <c r="A420" s="389" t="s">
        <v>29</v>
      </c>
      <c r="B420" s="573"/>
      <c r="C420" s="574">
        <v>44096.0</v>
      </c>
      <c r="D420" s="575" t="s">
        <v>1214</v>
      </c>
      <c r="E420" s="576">
        <v>1.0</v>
      </c>
      <c r="F420" s="577" t="str">
        <f t="shared" ref="F420:F493" si="21">YEAR(C420)&amp;B420&amp;"/"&amp;TEXT(DAY(C420),"00")&amp;"-"&amp;IF(ISNUMBER(E420)=FALSE,IF(ISNUMBER(VALUE(LEFT(E420,2)))=FALSE,TEXT(LEFT(E420,1),"00")&amp;MID(E420,2,100),LEFT(E420,2)&amp;MID(E420,3,100)),TEXT(E420,"00"))</f>
        <v>2020/22-01</v>
      </c>
      <c r="G420" s="578">
        <v>0.4361111111111111</v>
      </c>
      <c r="H420" s="579">
        <v>0.4368055555555555</v>
      </c>
      <c r="I420" s="579"/>
      <c r="J420" s="579"/>
      <c r="K420" s="579">
        <v>0.4381944444444445</v>
      </c>
      <c r="L420" s="580">
        <f t="shared" ref="L420:L493" si="22">K420-H420</f>
        <v>0.001388888889</v>
      </c>
      <c r="M420" s="581" t="s">
        <v>358</v>
      </c>
      <c r="N420" s="582" t="s">
        <v>188</v>
      </c>
      <c r="O420" s="399" t="s">
        <v>196</v>
      </c>
      <c r="P420" s="583" t="s">
        <v>224</v>
      </c>
      <c r="Q420" s="581" t="s">
        <v>842</v>
      </c>
      <c r="R420" s="584">
        <v>21.4</v>
      </c>
      <c r="S420" s="585">
        <v>39.3</v>
      </c>
      <c r="T420" s="586">
        <v>1.2</v>
      </c>
      <c r="U420" s="587">
        <v>20.0</v>
      </c>
      <c r="V420" s="587"/>
      <c r="W420" s="587"/>
      <c r="X420" s="587"/>
      <c r="Y420" s="587"/>
      <c r="Z420" s="581" t="s">
        <v>387</v>
      </c>
      <c r="AA420" s="581"/>
      <c r="AB420" s="588" t="s">
        <v>413</v>
      </c>
      <c r="AC420" s="589">
        <v>26.6</v>
      </c>
      <c r="AD420" s="581"/>
      <c r="AE420" s="581"/>
      <c r="AF420" s="581"/>
      <c r="AG420" s="581"/>
      <c r="AH420" s="581"/>
      <c r="AI420" s="581"/>
      <c r="AJ420" s="589"/>
      <c r="AK420" s="590"/>
      <c r="AL420" s="581"/>
      <c r="AM420" s="581"/>
      <c r="AN420" s="581"/>
      <c r="AO420" s="581"/>
      <c r="AP420" s="581"/>
      <c r="AQ420" s="581"/>
      <c r="AR420" s="581"/>
      <c r="AS420" s="589"/>
      <c r="AT420" s="460" t="s">
        <v>183</v>
      </c>
      <c r="AU420" s="394" t="s">
        <v>846</v>
      </c>
      <c r="AV420" s="405">
        <f>SQRT(($R420-Infrastructure!J$3)^2+($S420-Infrastructure!K$3)^2)</f>
        <v>24.06345777</v>
      </c>
      <c r="AW420" s="406">
        <f>SQRT(($R420-Infrastructure!J$4)^2+($S420-Infrastructure!K$4)^2)</f>
        <v>30.54734031</v>
      </c>
      <c r="AX420" s="406">
        <f>SQRT(($R420-Infrastructure!J$5)^2+($S420-Infrastructure!K$5)^2)</f>
        <v>40.50345664</v>
      </c>
      <c r="AY420" s="406">
        <f>SQRT(($R420-Infrastructure!J$6)^2+($S420-Infrastructure!K$6)^2)</f>
        <v>40.60406384</v>
      </c>
      <c r="AZ420" s="406">
        <f>SQRT(($R420-Infrastructure!J$7)^2+($S420-Infrastructure!K$7)^2)</f>
        <v>39.01038323</v>
      </c>
      <c r="BA420" s="406">
        <f>SQRT(($R420-Infrastructure!J$8)^2+($S420-Infrastructure!K$8)^2)</f>
        <v>39.95860358</v>
      </c>
      <c r="BB420" s="406">
        <f>SQRT(($R420-Infrastructure!J$9)^2+($S420-Infrastructure!K$9)^2)</f>
        <v>38.93070767</v>
      </c>
      <c r="BC420" s="406">
        <f>SQRT(($R420-Infrastructure!J$10)^2+($S420-Infrastructure!K$10)^2)</f>
        <v>30.60147055</v>
      </c>
      <c r="BD420" s="392"/>
      <c r="BE420" s="407"/>
      <c r="BF420" s="330">
        <f t="shared" si="14"/>
        <v>24.06345777</v>
      </c>
      <c r="BG420" s="333">
        <f t="shared" si="15"/>
        <v>40.60406384</v>
      </c>
      <c r="BH420" s="591"/>
      <c r="BI420" s="573" t="s">
        <v>846</v>
      </c>
      <c r="BJ420" s="392"/>
      <c r="BK420" s="392"/>
      <c r="BL420" s="392"/>
      <c r="BM420" s="392"/>
      <c r="BN420" s="392"/>
      <c r="BO420" s="392"/>
      <c r="BP420" s="392"/>
      <c r="BQ420" s="410"/>
      <c r="BR420" s="411"/>
      <c r="BS420" s="330">
        <f t="shared" ref="BS420:BS742" si="23">MINIFS(AV420:BE420,BI420:BR420, "Y")</f>
        <v>24.06345777</v>
      </c>
      <c r="BT420" s="331">
        <f t="shared" ref="BT420:BT742" si="24">MAXIFS(AV420:BE420,BI420:BR420, "Y")</f>
        <v>24.06345777</v>
      </c>
      <c r="BU420" s="406"/>
      <c r="BV420" s="408"/>
      <c r="BW420" s="592"/>
      <c r="BX420" s="593"/>
      <c r="BY420" s="406"/>
      <c r="BZ420" s="412"/>
      <c r="CA420" s="390"/>
      <c r="CB420" s="392"/>
      <c r="CC420" s="392"/>
      <c r="CD420" s="392"/>
      <c r="CE420" s="392"/>
      <c r="CF420" s="392"/>
      <c r="CG420" s="392"/>
      <c r="CH420" s="392"/>
      <c r="CI420" s="410"/>
      <c r="CJ420" s="413"/>
      <c r="CK420" s="342">
        <f t="shared" si="18"/>
        <v>0</v>
      </c>
      <c r="CL420" s="333">
        <f t="shared" si="19"/>
        <v>0</v>
      </c>
      <c r="CM420" s="594"/>
      <c r="CN420" s="595"/>
      <c r="CO420" s="595"/>
      <c r="CP420" s="595"/>
    </row>
    <row r="421">
      <c r="B421" s="462"/>
      <c r="C421" s="596">
        <v>44096.0</v>
      </c>
      <c r="D421" s="597" t="s">
        <v>1214</v>
      </c>
      <c r="E421" s="598">
        <v>2.0</v>
      </c>
      <c r="F421" s="599" t="str">
        <f t="shared" si="21"/>
        <v>2020/22-02</v>
      </c>
      <c r="G421" s="600">
        <v>0.43645833333333334</v>
      </c>
      <c r="H421" s="601">
        <v>0.4368055555555555</v>
      </c>
      <c r="I421" s="601"/>
      <c r="J421" s="601"/>
      <c r="K421" s="601">
        <v>0.4381944444444445</v>
      </c>
      <c r="L421" s="602">
        <f t="shared" si="22"/>
        <v>0.001388888889</v>
      </c>
      <c r="M421" s="603" t="s">
        <v>358</v>
      </c>
      <c r="N421" s="604" t="s">
        <v>187</v>
      </c>
      <c r="O421" s="419" t="s">
        <v>200</v>
      </c>
      <c r="P421" s="605" t="s">
        <v>212</v>
      </c>
      <c r="Q421" s="603" t="s">
        <v>1214</v>
      </c>
      <c r="R421" s="606">
        <v>11.7</v>
      </c>
      <c r="S421" s="607">
        <v>8.2</v>
      </c>
      <c r="T421" s="608">
        <v>0.55</v>
      </c>
      <c r="U421" s="609">
        <v>7.0</v>
      </c>
      <c r="V421" s="609"/>
      <c r="W421" s="609"/>
      <c r="X421" s="609"/>
      <c r="Y421" s="609"/>
      <c r="Z421" s="603" t="s">
        <v>339</v>
      </c>
      <c r="AA421" s="603"/>
      <c r="AB421" s="610" t="s">
        <v>349</v>
      </c>
      <c r="AC421" s="611">
        <v>5.0</v>
      </c>
      <c r="AD421" s="610"/>
      <c r="AE421" s="610"/>
      <c r="AF421" s="610"/>
      <c r="AG421" s="610"/>
      <c r="AH421" s="610"/>
      <c r="AI421" s="610"/>
      <c r="AJ421" s="611"/>
      <c r="AK421" s="612"/>
      <c r="AL421" s="610"/>
      <c r="AM421" s="610"/>
      <c r="AN421" s="610"/>
      <c r="AO421" s="610"/>
      <c r="AP421" s="610"/>
      <c r="AQ421" s="610"/>
      <c r="AR421" s="610"/>
      <c r="AS421" s="611"/>
      <c r="AT421" s="461" t="s">
        <v>182</v>
      </c>
      <c r="AU421" s="324" t="s">
        <v>846</v>
      </c>
      <c r="AV421" s="330">
        <f>SQRT(($R421-Infrastructure!J$3)^2+($S421-Infrastructure!K$3)^2)</f>
        <v>23.92676326</v>
      </c>
      <c r="AW421" s="331">
        <f>SQRT(($R421-Infrastructure!J$4)^2+($S421-Infrastructure!K$4)^2)</f>
        <v>15.36749817</v>
      </c>
      <c r="AX421" s="331">
        <f>SQRT(($R421-Infrastructure!J$5)^2+($S421-Infrastructure!K$5)^2)</f>
        <v>12.39395014</v>
      </c>
      <c r="AY421" s="331">
        <f>SQRT(($R421-Infrastructure!J$6)^2+($S421-Infrastructure!K$6)^2)</f>
        <v>8.060397013</v>
      </c>
      <c r="AZ421" s="331">
        <f>SQRT(($R421-Infrastructure!J$7)^2+($S421-Infrastructure!K$7)^2)</f>
        <v>11.82581921</v>
      </c>
      <c r="BA421" s="331">
        <f>SQRT(($R421-Infrastructure!J$8)^2+($S421-Infrastructure!K$8)^2)</f>
        <v>20.02423532</v>
      </c>
      <c r="BB421" s="331">
        <f>SQRT(($R421-Infrastructure!J$9)^2+($S421-Infrastructure!K$9)^2)</f>
        <v>28.46928169</v>
      </c>
      <c r="BC421" s="331">
        <f>SQRT(($R421-Infrastructure!J$10)^2+($S421-Infrastructure!K$10)^2)</f>
        <v>29.10549776</v>
      </c>
      <c r="BD421" s="318"/>
      <c r="BE421" s="332"/>
      <c r="BF421" s="330">
        <f t="shared" si="14"/>
        <v>8.060397013</v>
      </c>
      <c r="BG421" s="333">
        <f t="shared" si="15"/>
        <v>29.10549776</v>
      </c>
      <c r="BH421" s="613"/>
      <c r="BI421" s="316"/>
      <c r="BJ421" s="318"/>
      <c r="BK421" s="318"/>
      <c r="BL421" s="318"/>
      <c r="BM421" s="318"/>
      <c r="BN421" s="318"/>
      <c r="BO421" s="318"/>
      <c r="BP421" s="319" t="s">
        <v>846</v>
      </c>
      <c r="BQ421" s="338"/>
      <c r="BR421" s="420"/>
      <c r="BS421" s="330">
        <f t="shared" si="23"/>
        <v>29.10549776</v>
      </c>
      <c r="BT421" s="331">
        <f t="shared" si="24"/>
        <v>29.10549776</v>
      </c>
      <c r="BU421" s="331"/>
      <c r="BV421" s="333"/>
      <c r="BW421" s="614">
        <v>15.19</v>
      </c>
      <c r="BX421" s="615">
        <v>10.06</v>
      </c>
      <c r="BY421" s="331">
        <f t="shared" ref="BY421:BY460" si="25">IF(BW421&gt;0, SQRT((R421-BW421)^2+(S421-BX421)^2))</f>
        <v>3.954706057</v>
      </c>
      <c r="BZ421" s="340"/>
      <c r="CA421" s="316"/>
      <c r="CB421" s="318"/>
      <c r="CC421" s="318"/>
      <c r="CD421" s="318"/>
      <c r="CE421" s="318"/>
      <c r="CF421" s="318"/>
      <c r="CG421" s="318"/>
      <c r="CH421" s="318"/>
      <c r="CI421" s="338"/>
      <c r="CJ421" s="341"/>
      <c r="CK421" s="342">
        <f t="shared" si="18"/>
        <v>0</v>
      </c>
      <c r="CL421" s="333">
        <f t="shared" si="19"/>
        <v>0</v>
      </c>
      <c r="CM421" s="616"/>
      <c r="CN421" s="617"/>
      <c r="CO421" s="617"/>
      <c r="CP421" s="617"/>
    </row>
    <row r="422">
      <c r="B422" s="462"/>
      <c r="C422" s="596">
        <v>44096.0</v>
      </c>
      <c r="D422" s="597" t="s">
        <v>1214</v>
      </c>
      <c r="E422" s="598" t="s">
        <v>1216</v>
      </c>
      <c r="F422" s="599" t="str">
        <f t="shared" si="21"/>
        <v>2020/22-02bis</v>
      </c>
      <c r="G422" s="600">
        <v>0.4407986111111111</v>
      </c>
      <c r="H422" s="601">
        <v>0.44108796296296293</v>
      </c>
      <c r="I422" s="601"/>
      <c r="J422" s="601"/>
      <c r="K422" s="601">
        <v>0.4424768518518518</v>
      </c>
      <c r="L422" s="602">
        <f t="shared" si="22"/>
        <v>0.001388888889</v>
      </c>
      <c r="M422" s="603" t="s">
        <v>358</v>
      </c>
      <c r="N422" s="604" t="s">
        <v>187</v>
      </c>
      <c r="O422" s="419" t="s">
        <v>200</v>
      </c>
      <c r="P422" s="605" t="s">
        <v>212</v>
      </c>
      <c r="Q422" s="603" t="s">
        <v>1214</v>
      </c>
      <c r="R422" s="606">
        <v>11.7</v>
      </c>
      <c r="S422" s="607">
        <v>8.2</v>
      </c>
      <c r="T422" s="608">
        <v>0.55</v>
      </c>
      <c r="U422" s="609">
        <v>7.0</v>
      </c>
      <c r="V422" s="609"/>
      <c r="W422" s="609"/>
      <c r="X422" s="609"/>
      <c r="Y422" s="609"/>
      <c r="Z422" s="603" t="s">
        <v>339</v>
      </c>
      <c r="AA422" s="603"/>
      <c r="AB422" s="610" t="s">
        <v>349</v>
      </c>
      <c r="AC422" s="611">
        <v>5.0</v>
      </c>
      <c r="AD422" s="610"/>
      <c r="AE422" s="610"/>
      <c r="AF422" s="610"/>
      <c r="AG422" s="610"/>
      <c r="AH422" s="610"/>
      <c r="AI422" s="610"/>
      <c r="AJ422" s="611"/>
      <c r="AK422" s="612"/>
      <c r="AL422" s="610"/>
      <c r="AM422" s="610"/>
      <c r="AN422" s="610"/>
      <c r="AO422" s="610"/>
      <c r="AP422" s="610"/>
      <c r="AQ422" s="610"/>
      <c r="AR422" s="610"/>
      <c r="AS422" s="611"/>
      <c r="AT422" s="461" t="s">
        <v>182</v>
      </c>
      <c r="AU422" s="324" t="s">
        <v>845</v>
      </c>
      <c r="AV422" s="330">
        <f>SQRT(($R422-Infrastructure!J$3)^2+($S422-Infrastructure!K$3)^2)</f>
        <v>23.92676326</v>
      </c>
      <c r="AW422" s="331">
        <f>SQRT(($R422-Infrastructure!J$4)^2+($S422-Infrastructure!K$4)^2)</f>
        <v>15.36749817</v>
      </c>
      <c r="AX422" s="331">
        <f>SQRT(($R422-Infrastructure!J$5)^2+($S422-Infrastructure!K$5)^2)</f>
        <v>12.39395014</v>
      </c>
      <c r="AY422" s="331">
        <f>SQRT(($R422-Infrastructure!J$6)^2+($S422-Infrastructure!K$6)^2)</f>
        <v>8.060397013</v>
      </c>
      <c r="AZ422" s="331">
        <f>SQRT(($R422-Infrastructure!J$7)^2+($S422-Infrastructure!K$7)^2)</f>
        <v>11.82581921</v>
      </c>
      <c r="BA422" s="331">
        <f>SQRT(($R422-Infrastructure!J$8)^2+($S422-Infrastructure!K$8)^2)</f>
        <v>20.02423532</v>
      </c>
      <c r="BB422" s="331">
        <f>SQRT(($R422-Infrastructure!J$9)^2+($S422-Infrastructure!K$9)^2)</f>
        <v>28.46928169</v>
      </c>
      <c r="BC422" s="331">
        <f>SQRT(($R422-Infrastructure!J$10)^2+($S422-Infrastructure!K$10)^2)</f>
        <v>29.10549776</v>
      </c>
      <c r="BD422" s="318"/>
      <c r="BE422" s="332"/>
      <c r="BF422" s="330">
        <f t="shared" si="14"/>
        <v>8.060397013</v>
      </c>
      <c r="BG422" s="333">
        <f t="shared" si="15"/>
        <v>29.10549776</v>
      </c>
      <c r="BH422" s="613"/>
      <c r="BI422" s="316"/>
      <c r="BJ422" s="318"/>
      <c r="BK422" s="318"/>
      <c r="BL422" s="318"/>
      <c r="BM422" s="318"/>
      <c r="BN422" s="319" t="s">
        <v>846</v>
      </c>
      <c r="BO422" s="318"/>
      <c r="BP422" s="319" t="s">
        <v>846</v>
      </c>
      <c r="BQ422" s="338"/>
      <c r="BR422" s="420"/>
      <c r="BS422" s="330">
        <f t="shared" si="23"/>
        <v>20.02423532</v>
      </c>
      <c r="BT422" s="331">
        <f t="shared" si="24"/>
        <v>29.10549776</v>
      </c>
      <c r="BU422" s="331"/>
      <c r="BV422" s="333"/>
      <c r="BW422" s="614">
        <v>16.98</v>
      </c>
      <c r="BX422" s="615">
        <v>9.22</v>
      </c>
      <c r="BY422" s="331">
        <f t="shared" si="25"/>
        <v>5.377620292</v>
      </c>
      <c r="BZ422" s="340"/>
      <c r="CA422" s="316"/>
      <c r="CB422" s="318"/>
      <c r="CC422" s="318"/>
      <c r="CD422" s="318"/>
      <c r="CE422" s="318"/>
      <c r="CF422" s="318"/>
      <c r="CG422" s="318"/>
      <c r="CH422" s="318"/>
      <c r="CI422" s="338"/>
      <c r="CJ422" s="341"/>
      <c r="CK422" s="342">
        <f t="shared" si="18"/>
        <v>0</v>
      </c>
      <c r="CL422" s="333">
        <f t="shared" si="19"/>
        <v>0</v>
      </c>
      <c r="CM422" s="616"/>
      <c r="CN422" s="617"/>
      <c r="CO422" s="617"/>
      <c r="CP422" s="617"/>
    </row>
    <row r="423">
      <c r="B423" s="462"/>
      <c r="C423" s="596">
        <v>44096.0</v>
      </c>
      <c r="D423" s="597" t="s">
        <v>1214</v>
      </c>
      <c r="E423" s="598">
        <v>3.0</v>
      </c>
      <c r="F423" s="599" t="str">
        <f t="shared" si="21"/>
        <v>2020/22-03</v>
      </c>
      <c r="G423" s="600">
        <v>0.44756944444444446</v>
      </c>
      <c r="H423" s="601">
        <v>0.4480324074074074</v>
      </c>
      <c r="I423" s="601"/>
      <c r="J423" s="601"/>
      <c r="K423" s="601">
        <v>0.44872685185185185</v>
      </c>
      <c r="L423" s="602">
        <f t="shared" si="22"/>
        <v>0.0006944444444</v>
      </c>
      <c r="M423" s="603" t="s">
        <v>358</v>
      </c>
      <c r="N423" s="604" t="s">
        <v>187</v>
      </c>
      <c r="O423" s="419" t="s">
        <v>199</v>
      </c>
      <c r="P423" s="605" t="s">
        <v>220</v>
      </c>
      <c r="Q423" s="603" t="s">
        <v>1214</v>
      </c>
      <c r="R423" s="606">
        <v>16.2</v>
      </c>
      <c r="S423" s="607">
        <v>9.6</v>
      </c>
      <c r="T423" s="618">
        <v>0.1</v>
      </c>
      <c r="U423" s="609">
        <v>6.8</v>
      </c>
      <c r="V423" s="609"/>
      <c r="W423" s="609"/>
      <c r="X423" s="609"/>
      <c r="Y423" s="609"/>
      <c r="Z423" s="603" t="s">
        <v>351</v>
      </c>
      <c r="AA423" s="603"/>
      <c r="AB423" s="610" t="s">
        <v>375</v>
      </c>
      <c r="AC423" s="611">
        <v>2.7</v>
      </c>
      <c r="AD423" s="610"/>
      <c r="AE423" s="610"/>
      <c r="AF423" s="610"/>
      <c r="AG423" s="610"/>
      <c r="AH423" s="610"/>
      <c r="AI423" s="610"/>
      <c r="AJ423" s="611"/>
      <c r="AK423" s="612"/>
      <c r="AL423" s="610"/>
      <c r="AM423" s="610"/>
      <c r="AN423" s="610"/>
      <c r="AO423" s="610"/>
      <c r="AP423" s="610"/>
      <c r="AQ423" s="610"/>
      <c r="AR423" s="610"/>
      <c r="AS423" s="611"/>
      <c r="AT423" s="461" t="s">
        <v>182</v>
      </c>
      <c r="AU423" s="324" t="s">
        <v>845</v>
      </c>
      <c r="AV423" s="330">
        <f>SQRT(($R423-Infrastructure!J$3)^2+($S423-Infrastructure!K$3)^2)</f>
        <v>25.39173094</v>
      </c>
      <c r="AW423" s="331">
        <f>SQRT(($R423-Infrastructure!J$4)^2+($S423-Infrastructure!K$4)^2)</f>
        <v>18.42525441</v>
      </c>
      <c r="AX423" s="331">
        <f>SQRT(($R423-Infrastructure!J$5)^2+($S423-Infrastructure!K$5)^2)</f>
        <v>17.10263138</v>
      </c>
      <c r="AY423" s="331">
        <f>SQRT(($R423-Infrastructure!J$6)^2+($S423-Infrastructure!K$6)^2)</f>
        <v>11.12205017</v>
      </c>
      <c r="AZ423" s="331">
        <f>SQRT(($R423-Infrastructure!J$7)^2+($S423-Infrastructure!K$7)^2)</f>
        <v>10.24597482</v>
      </c>
      <c r="BA423" s="331">
        <f>SQRT(($R423-Infrastructure!J$8)^2+($S423-Infrastructure!K$8)^2)</f>
        <v>16.72423391</v>
      </c>
      <c r="BB423" s="331">
        <f>SQRT(($R423-Infrastructure!J$9)^2+($S423-Infrastructure!K$9)^2)</f>
        <v>24.2216845</v>
      </c>
      <c r="BC423" s="331">
        <f>SQRT(($R423-Infrastructure!J$10)^2+($S423-Infrastructure!K$10)^2)</f>
        <v>24.40491754</v>
      </c>
      <c r="BD423" s="318"/>
      <c r="BE423" s="332"/>
      <c r="BF423" s="330">
        <f t="shared" si="14"/>
        <v>10.24597482</v>
      </c>
      <c r="BG423" s="333">
        <f t="shared" si="15"/>
        <v>25.39173094</v>
      </c>
      <c r="BH423" s="613"/>
      <c r="BI423" s="316"/>
      <c r="BJ423" s="318"/>
      <c r="BK423" s="318"/>
      <c r="BL423" s="318"/>
      <c r="BM423" s="318"/>
      <c r="BN423" s="318"/>
      <c r="BO423" s="318"/>
      <c r="BP423" s="319" t="s">
        <v>846</v>
      </c>
      <c r="BQ423" s="338"/>
      <c r="BR423" s="420"/>
      <c r="BS423" s="330">
        <f t="shared" si="23"/>
        <v>24.40491754</v>
      </c>
      <c r="BT423" s="331">
        <f t="shared" si="24"/>
        <v>24.40491754</v>
      </c>
      <c r="BU423" s="331"/>
      <c r="BV423" s="333"/>
      <c r="BW423" s="614">
        <v>16.88</v>
      </c>
      <c r="BX423" s="615">
        <v>8.82</v>
      </c>
      <c r="BY423" s="331">
        <f t="shared" si="25"/>
        <v>1.034794666</v>
      </c>
      <c r="BZ423" s="340"/>
      <c r="CA423" s="316"/>
      <c r="CB423" s="318"/>
      <c r="CC423" s="318"/>
      <c r="CD423" s="318"/>
      <c r="CE423" s="318"/>
      <c r="CF423" s="318"/>
      <c r="CG423" s="318"/>
      <c r="CH423" s="318"/>
      <c r="CI423" s="338"/>
      <c r="CJ423" s="341"/>
      <c r="CK423" s="342">
        <f t="shared" si="18"/>
        <v>0</v>
      </c>
      <c r="CL423" s="333">
        <f t="shared" si="19"/>
        <v>0</v>
      </c>
      <c r="CM423" s="616"/>
      <c r="CN423" s="617"/>
      <c r="CO423" s="617"/>
      <c r="CP423" s="617"/>
    </row>
    <row r="424">
      <c r="B424" s="462"/>
      <c r="C424" s="596">
        <v>44096.0</v>
      </c>
      <c r="D424" s="597" t="s">
        <v>1214</v>
      </c>
      <c r="E424" s="598">
        <v>4.0</v>
      </c>
      <c r="F424" s="619" t="str">
        <f t="shared" si="21"/>
        <v>2020/22-04</v>
      </c>
      <c r="G424" s="600">
        <v>0.4527777777777778</v>
      </c>
      <c r="H424" s="601">
        <v>0.4532986111111111</v>
      </c>
      <c r="I424" s="601"/>
      <c r="J424" s="601"/>
      <c r="K424" s="601">
        <v>0.45468749999999997</v>
      </c>
      <c r="L424" s="602">
        <f t="shared" si="22"/>
        <v>0.001388888889</v>
      </c>
      <c r="M424" s="603" t="s">
        <v>358</v>
      </c>
      <c r="N424" s="604" t="s">
        <v>187</v>
      </c>
      <c r="O424" s="419" t="s">
        <v>202</v>
      </c>
      <c r="P424" s="605" t="s">
        <v>212</v>
      </c>
      <c r="Q424" s="603"/>
      <c r="R424" s="606">
        <v>24.5</v>
      </c>
      <c r="S424" s="620">
        <v>7.5</v>
      </c>
      <c r="T424" s="608">
        <v>0.57</v>
      </c>
      <c r="U424" s="609">
        <v>3.8</v>
      </c>
      <c r="V424" s="609"/>
      <c r="W424" s="609"/>
      <c r="X424" s="609"/>
      <c r="Y424" s="609"/>
      <c r="Z424" s="603" t="s">
        <v>339</v>
      </c>
      <c r="AA424" s="603"/>
      <c r="AB424" s="610" t="s">
        <v>345</v>
      </c>
      <c r="AC424" s="621">
        <v>4.0</v>
      </c>
      <c r="AD424" s="603"/>
      <c r="AE424" s="603"/>
      <c r="AF424" s="603"/>
      <c r="AG424" s="603"/>
      <c r="AH424" s="603"/>
      <c r="AI424" s="603"/>
      <c r="AJ424" s="621"/>
      <c r="AK424" s="622"/>
      <c r="AL424" s="603"/>
      <c r="AM424" s="603"/>
      <c r="AN424" s="603"/>
      <c r="AO424" s="603"/>
      <c r="AP424" s="603"/>
      <c r="AQ424" s="603"/>
      <c r="AR424" s="603"/>
      <c r="AS424" s="621"/>
      <c r="AT424" s="461" t="s">
        <v>182</v>
      </c>
      <c r="AU424" s="324" t="s">
        <v>845</v>
      </c>
      <c r="AV424" s="330">
        <f>SQRT(($R424-Infrastructure!J$3)^2+($S424-Infrastructure!K$3)^2)</f>
        <v>32.75667871</v>
      </c>
      <c r="AW424" s="331">
        <f>SQRT(($R424-Infrastructure!J$4)^2+($S424-Infrastructure!K$4)^2)</f>
        <v>26.85386378</v>
      </c>
      <c r="AX424" s="331">
        <f>SQRT(($R424-Infrastructure!J$5)^2+($S424-Infrastructure!K$5)^2)</f>
        <v>24.9158584</v>
      </c>
      <c r="AY424" s="331">
        <f>SQRT(($R424-Infrastructure!J$6)^2+($S424-Infrastructure!K$6)^2)</f>
        <v>16.09968944</v>
      </c>
      <c r="AZ424" s="331">
        <f>SQRT(($R424-Infrastructure!J$7)^2+($S424-Infrastructure!K$7)^2)</f>
        <v>8.236504113</v>
      </c>
      <c r="BA424" s="331">
        <f>SQRT(($R424-Infrastructure!J$8)^2+($S424-Infrastructure!K$8)^2)</f>
        <v>9.121403401</v>
      </c>
      <c r="BB424" s="331">
        <f>SQRT(($R424-Infrastructure!J$9)^2+($S424-Infrastructure!K$9)^2)</f>
        <v>15.68470593</v>
      </c>
      <c r="BC424" s="331">
        <f>SQRT(($R424-Infrastructure!J$10)^2+($S424-Infrastructure!K$10)^2)</f>
        <v>17.21917536</v>
      </c>
      <c r="BD424" s="318"/>
      <c r="BE424" s="332"/>
      <c r="BF424" s="330">
        <f t="shared" si="14"/>
        <v>8.236504113</v>
      </c>
      <c r="BG424" s="333">
        <f t="shared" si="15"/>
        <v>32.75667871</v>
      </c>
      <c r="BH424" s="613"/>
      <c r="BI424" s="462" t="s">
        <v>846</v>
      </c>
      <c r="BJ424" s="318"/>
      <c r="BK424" s="319" t="s">
        <v>846</v>
      </c>
      <c r="BL424" s="319" t="s">
        <v>846</v>
      </c>
      <c r="BM424" s="319" t="s">
        <v>846</v>
      </c>
      <c r="BN424" s="318"/>
      <c r="BO424" s="319" t="s">
        <v>846</v>
      </c>
      <c r="BP424" s="318"/>
      <c r="BQ424" s="338"/>
      <c r="BR424" s="420"/>
      <c r="BS424" s="330">
        <f t="shared" si="23"/>
        <v>8.236504113</v>
      </c>
      <c r="BT424" s="331">
        <f t="shared" si="24"/>
        <v>32.75667871</v>
      </c>
      <c r="BU424" s="331"/>
      <c r="BV424" s="333"/>
      <c r="BW424" s="614">
        <v>16.81</v>
      </c>
      <c r="BX424" s="615">
        <v>8.75</v>
      </c>
      <c r="BY424" s="331">
        <f t="shared" si="25"/>
        <v>7.790930625</v>
      </c>
      <c r="BZ424" s="340"/>
      <c r="CA424" s="316"/>
      <c r="CB424" s="318"/>
      <c r="CC424" s="318"/>
      <c r="CD424" s="318"/>
      <c r="CE424" s="318"/>
      <c r="CF424" s="318"/>
      <c r="CG424" s="318"/>
      <c r="CH424" s="318"/>
      <c r="CI424" s="338"/>
      <c r="CJ424" s="341"/>
      <c r="CK424" s="342">
        <f t="shared" si="18"/>
        <v>0</v>
      </c>
      <c r="CL424" s="333">
        <f t="shared" si="19"/>
        <v>0</v>
      </c>
      <c r="CM424" s="616"/>
      <c r="CN424" s="617"/>
      <c r="CO424" s="617"/>
      <c r="CP424" s="617"/>
    </row>
    <row r="425">
      <c r="B425" s="462"/>
      <c r="C425" s="596">
        <v>44096.0</v>
      </c>
      <c r="D425" s="597" t="s">
        <v>1214</v>
      </c>
      <c r="E425" s="598" t="s">
        <v>1217</v>
      </c>
      <c r="F425" s="599" t="str">
        <f t="shared" si="21"/>
        <v>2020/22-04bis</v>
      </c>
      <c r="G425" s="600">
        <v>0.46319444444444446</v>
      </c>
      <c r="H425" s="601">
        <v>0.4637731481481482</v>
      </c>
      <c r="I425" s="601"/>
      <c r="J425" s="601"/>
      <c r="K425" s="601">
        <v>0.46516203703703707</v>
      </c>
      <c r="L425" s="602">
        <f t="shared" si="22"/>
        <v>0.001388888889</v>
      </c>
      <c r="M425" s="603" t="s">
        <v>358</v>
      </c>
      <c r="N425" s="604" t="s">
        <v>187</v>
      </c>
      <c r="O425" s="419" t="s">
        <v>202</v>
      </c>
      <c r="P425" s="605" t="s">
        <v>212</v>
      </c>
      <c r="Q425" s="603" t="s">
        <v>1214</v>
      </c>
      <c r="R425" s="606">
        <v>24.5</v>
      </c>
      <c r="S425" s="620">
        <v>7.5</v>
      </c>
      <c r="T425" s="608">
        <v>0.57</v>
      </c>
      <c r="U425" s="609">
        <v>2.5</v>
      </c>
      <c r="V425" s="609"/>
      <c r="W425" s="609"/>
      <c r="X425" s="609"/>
      <c r="Y425" s="609"/>
      <c r="Z425" s="603" t="s">
        <v>339</v>
      </c>
      <c r="AA425" s="603"/>
      <c r="AB425" s="610" t="s">
        <v>345</v>
      </c>
      <c r="AC425" s="611">
        <v>4.0</v>
      </c>
      <c r="AD425" s="610"/>
      <c r="AE425" s="610"/>
      <c r="AF425" s="610"/>
      <c r="AG425" s="610"/>
      <c r="AH425" s="610"/>
      <c r="AI425" s="610"/>
      <c r="AJ425" s="611"/>
      <c r="AK425" s="612"/>
      <c r="AL425" s="610"/>
      <c r="AM425" s="610"/>
      <c r="AN425" s="610"/>
      <c r="AO425" s="610"/>
      <c r="AP425" s="610"/>
      <c r="AQ425" s="610"/>
      <c r="AR425" s="610"/>
      <c r="AS425" s="611"/>
      <c r="AT425" s="461" t="s">
        <v>182</v>
      </c>
      <c r="AU425" s="324" t="s">
        <v>845</v>
      </c>
      <c r="AV425" s="330">
        <f>SQRT(($R425-Infrastructure!J$3)^2+($S425-Infrastructure!K$3)^2)</f>
        <v>32.75667871</v>
      </c>
      <c r="AW425" s="331">
        <f>SQRT(($R425-Infrastructure!J$4)^2+($S425-Infrastructure!K$4)^2)</f>
        <v>26.85386378</v>
      </c>
      <c r="AX425" s="331">
        <f>SQRT(($R425-Infrastructure!J$5)^2+($S425-Infrastructure!K$5)^2)</f>
        <v>24.9158584</v>
      </c>
      <c r="AY425" s="331">
        <f>SQRT(($R425-Infrastructure!J$6)^2+($S425-Infrastructure!K$6)^2)</f>
        <v>16.09968944</v>
      </c>
      <c r="AZ425" s="331">
        <f>SQRT(($R425-Infrastructure!J$7)^2+($S425-Infrastructure!K$7)^2)</f>
        <v>8.236504113</v>
      </c>
      <c r="BA425" s="331">
        <f>SQRT(($R425-Infrastructure!J$8)^2+($S425-Infrastructure!K$8)^2)</f>
        <v>9.121403401</v>
      </c>
      <c r="BB425" s="331">
        <f>SQRT(($R425-Infrastructure!J$9)^2+($S425-Infrastructure!K$9)^2)</f>
        <v>15.68470593</v>
      </c>
      <c r="BC425" s="331">
        <f>SQRT(($R425-Infrastructure!J$10)^2+($S425-Infrastructure!K$10)^2)</f>
        <v>17.21917536</v>
      </c>
      <c r="BD425" s="318"/>
      <c r="BE425" s="332"/>
      <c r="BF425" s="330">
        <f t="shared" si="14"/>
        <v>8.236504113</v>
      </c>
      <c r="BG425" s="333">
        <f t="shared" si="15"/>
        <v>32.75667871</v>
      </c>
      <c r="BH425" s="613"/>
      <c r="BI425" s="316"/>
      <c r="BJ425" s="318"/>
      <c r="BK425" s="318"/>
      <c r="BL425" s="318"/>
      <c r="BM425" s="318"/>
      <c r="BN425" s="319" t="s">
        <v>846</v>
      </c>
      <c r="BO425" s="318"/>
      <c r="BP425" s="319" t="s">
        <v>846</v>
      </c>
      <c r="BQ425" s="338"/>
      <c r="BR425" s="420"/>
      <c r="BS425" s="330">
        <f t="shared" si="23"/>
        <v>9.121403401</v>
      </c>
      <c r="BT425" s="331">
        <f t="shared" si="24"/>
        <v>17.21917536</v>
      </c>
      <c r="BU425" s="331"/>
      <c r="BV425" s="333"/>
      <c r="BW425" s="614">
        <v>20.71</v>
      </c>
      <c r="BX425" s="615">
        <v>6.8</v>
      </c>
      <c r="BY425" s="331">
        <f t="shared" si="25"/>
        <v>3.854101711</v>
      </c>
      <c r="BZ425" s="340"/>
      <c r="CA425" s="316"/>
      <c r="CB425" s="318"/>
      <c r="CC425" s="318"/>
      <c r="CD425" s="318"/>
      <c r="CE425" s="318"/>
      <c r="CF425" s="318"/>
      <c r="CG425" s="318"/>
      <c r="CH425" s="318"/>
      <c r="CI425" s="338"/>
      <c r="CJ425" s="341"/>
      <c r="CK425" s="342">
        <f t="shared" si="18"/>
        <v>0</v>
      </c>
      <c r="CL425" s="333">
        <f t="shared" si="19"/>
        <v>0</v>
      </c>
      <c r="CM425" s="616"/>
      <c r="CN425" s="617"/>
      <c r="CO425" s="617"/>
      <c r="CP425" s="617"/>
    </row>
    <row r="426">
      <c r="B426" s="462"/>
      <c r="C426" s="596">
        <v>44096.0</v>
      </c>
      <c r="D426" s="597" t="s">
        <v>1214</v>
      </c>
      <c r="E426" s="598">
        <v>5.0</v>
      </c>
      <c r="F426" s="599" t="str">
        <f t="shared" si="21"/>
        <v>2020/22-05</v>
      </c>
      <c r="G426" s="600">
        <v>0.4684027777777778</v>
      </c>
      <c r="H426" s="601">
        <v>0.46875</v>
      </c>
      <c r="I426" s="601"/>
      <c r="J426" s="601"/>
      <c r="K426" s="601">
        <v>0.4701388888888889</v>
      </c>
      <c r="L426" s="602">
        <f t="shared" si="22"/>
        <v>0.001388888889</v>
      </c>
      <c r="M426" s="603" t="s">
        <v>358</v>
      </c>
      <c r="N426" s="604" t="s">
        <v>187</v>
      </c>
      <c r="O426" s="419" t="s">
        <v>202</v>
      </c>
      <c r="P426" s="605" t="s">
        <v>212</v>
      </c>
      <c r="Q426" s="603" t="s">
        <v>1214</v>
      </c>
      <c r="R426" s="606">
        <v>24.5</v>
      </c>
      <c r="S426" s="620">
        <v>7.5</v>
      </c>
      <c r="T426" s="608">
        <v>0.57</v>
      </c>
      <c r="U426" s="609">
        <v>1.0</v>
      </c>
      <c r="V426" s="609"/>
      <c r="W426" s="609"/>
      <c r="X426" s="609"/>
      <c r="Y426" s="609"/>
      <c r="Z426" s="603" t="s">
        <v>339</v>
      </c>
      <c r="AA426" s="603"/>
      <c r="AB426" s="610" t="s">
        <v>341</v>
      </c>
      <c r="AC426" s="611">
        <v>3.0</v>
      </c>
      <c r="AD426" s="610"/>
      <c r="AE426" s="610"/>
      <c r="AF426" s="610"/>
      <c r="AG426" s="610"/>
      <c r="AH426" s="610"/>
      <c r="AI426" s="610"/>
      <c r="AJ426" s="611"/>
      <c r="AK426" s="612"/>
      <c r="AL426" s="610"/>
      <c r="AM426" s="610"/>
      <c r="AN426" s="610"/>
      <c r="AO426" s="610"/>
      <c r="AP426" s="610"/>
      <c r="AQ426" s="610"/>
      <c r="AR426" s="610"/>
      <c r="AS426" s="611"/>
      <c r="AT426" s="461" t="s">
        <v>182</v>
      </c>
      <c r="AU426" s="324" t="s">
        <v>845</v>
      </c>
      <c r="AV426" s="330">
        <f>SQRT(($R426-Infrastructure!J$3)^2+($S426-Infrastructure!K$3)^2)</f>
        <v>32.75667871</v>
      </c>
      <c r="AW426" s="331">
        <f>SQRT(($R426-Infrastructure!J$4)^2+($S426-Infrastructure!K$4)^2)</f>
        <v>26.85386378</v>
      </c>
      <c r="AX426" s="331">
        <f>SQRT(($R426-Infrastructure!J$5)^2+($S426-Infrastructure!K$5)^2)</f>
        <v>24.9158584</v>
      </c>
      <c r="AY426" s="331">
        <f>SQRT(($R426-Infrastructure!J$6)^2+($S426-Infrastructure!K$6)^2)</f>
        <v>16.09968944</v>
      </c>
      <c r="AZ426" s="331">
        <f>SQRT(($R426-Infrastructure!J$7)^2+($S426-Infrastructure!K$7)^2)</f>
        <v>8.236504113</v>
      </c>
      <c r="BA426" s="331">
        <f>SQRT(($R426-Infrastructure!J$8)^2+($S426-Infrastructure!K$8)^2)</f>
        <v>9.121403401</v>
      </c>
      <c r="BB426" s="331">
        <f>SQRT(($R426-Infrastructure!J$9)^2+($S426-Infrastructure!K$9)^2)</f>
        <v>15.68470593</v>
      </c>
      <c r="BC426" s="331">
        <f>SQRT(($R426-Infrastructure!J$10)^2+($S426-Infrastructure!K$10)^2)</f>
        <v>17.21917536</v>
      </c>
      <c r="BD426" s="318"/>
      <c r="BE426" s="332"/>
      <c r="BF426" s="330">
        <f t="shared" si="14"/>
        <v>8.236504113</v>
      </c>
      <c r="BG426" s="333">
        <f t="shared" si="15"/>
        <v>32.75667871</v>
      </c>
      <c r="BH426" s="613"/>
      <c r="BI426" s="316"/>
      <c r="BJ426" s="318"/>
      <c r="BK426" s="318"/>
      <c r="BL426" s="319" t="s">
        <v>846</v>
      </c>
      <c r="BM426" s="318"/>
      <c r="BN426" s="318"/>
      <c r="BO426" s="318"/>
      <c r="BP426" s="318"/>
      <c r="BQ426" s="338"/>
      <c r="BR426" s="420"/>
      <c r="BS426" s="330">
        <f t="shared" si="23"/>
        <v>16.09968944</v>
      </c>
      <c r="BT426" s="331">
        <f t="shared" si="24"/>
        <v>16.09968944</v>
      </c>
      <c r="BU426" s="331"/>
      <c r="BV426" s="333"/>
      <c r="BW426" s="614">
        <v>18.42</v>
      </c>
      <c r="BX426" s="615">
        <v>6.01</v>
      </c>
      <c r="BY426" s="331">
        <f t="shared" si="25"/>
        <v>6.25991214</v>
      </c>
      <c r="BZ426" s="340"/>
      <c r="CA426" s="316"/>
      <c r="CB426" s="318"/>
      <c r="CC426" s="318"/>
      <c r="CD426" s="318"/>
      <c r="CE426" s="318"/>
      <c r="CF426" s="318"/>
      <c r="CG426" s="318"/>
      <c r="CH426" s="318"/>
      <c r="CI426" s="338"/>
      <c r="CJ426" s="341"/>
      <c r="CK426" s="342">
        <f t="shared" si="18"/>
        <v>0</v>
      </c>
      <c r="CL426" s="333">
        <f t="shared" si="19"/>
        <v>0</v>
      </c>
      <c r="CM426" s="616"/>
      <c r="CN426" s="617"/>
      <c r="CO426" s="617"/>
      <c r="CP426" s="617"/>
    </row>
    <row r="427">
      <c r="B427" s="462"/>
      <c r="C427" s="596">
        <v>44096.0</v>
      </c>
      <c r="D427" s="597" t="s">
        <v>1214</v>
      </c>
      <c r="E427" s="598">
        <v>6.0</v>
      </c>
      <c r="F427" s="599" t="str">
        <f t="shared" si="21"/>
        <v>2020/22-06</v>
      </c>
      <c r="G427" s="600">
        <v>0.4753472222222222</v>
      </c>
      <c r="H427" s="601">
        <v>0.4756944444444444</v>
      </c>
      <c r="I427" s="601"/>
      <c r="J427" s="601"/>
      <c r="K427" s="601">
        <v>0.4777777777777778</v>
      </c>
      <c r="L427" s="602">
        <f t="shared" si="22"/>
        <v>0.002083333333</v>
      </c>
      <c r="M427" s="603" t="s">
        <v>358</v>
      </c>
      <c r="N427" s="604" t="s">
        <v>187</v>
      </c>
      <c r="O427" s="623" t="s">
        <v>205</v>
      </c>
      <c r="P427" s="605" t="s">
        <v>222</v>
      </c>
      <c r="Q427" s="603" t="s">
        <v>1214</v>
      </c>
      <c r="R427" s="606">
        <v>20.1</v>
      </c>
      <c r="S427" s="620">
        <v>5.3</v>
      </c>
      <c r="T427" s="618">
        <v>1.3</v>
      </c>
      <c r="U427" s="609">
        <v>3.0</v>
      </c>
      <c r="V427" s="609"/>
      <c r="W427" s="609"/>
      <c r="X427" s="609"/>
      <c r="Y427" s="609"/>
      <c r="Z427" s="603" t="s">
        <v>370</v>
      </c>
      <c r="AA427" s="603"/>
      <c r="AB427" s="610" t="s">
        <v>380</v>
      </c>
      <c r="AC427" s="611">
        <v>4.0</v>
      </c>
      <c r="AD427" s="610"/>
      <c r="AE427" s="610"/>
      <c r="AF427" s="610"/>
      <c r="AG427" s="610"/>
      <c r="AH427" s="610"/>
      <c r="AI427" s="610"/>
      <c r="AJ427" s="611"/>
      <c r="AK427" s="612"/>
      <c r="AL427" s="610"/>
      <c r="AM427" s="610"/>
      <c r="AN427" s="610"/>
      <c r="AO427" s="610"/>
      <c r="AP427" s="610"/>
      <c r="AQ427" s="610"/>
      <c r="AR427" s="610"/>
      <c r="AS427" s="611"/>
      <c r="AT427" s="461" t="s">
        <v>182</v>
      </c>
      <c r="AU427" s="324" t="s">
        <v>845</v>
      </c>
      <c r="AV427" s="330">
        <f>SQRT(($R427-Infrastructure!J$3)^2+($S427-Infrastructure!K$3)^2)</f>
        <v>31.19487137</v>
      </c>
      <c r="AW427" s="331">
        <f>SQRT(($R427-Infrastructure!J$4)^2+($S427-Infrastructure!K$4)^2)</f>
        <v>23.92509143</v>
      </c>
      <c r="AX427" s="331">
        <f>SQRT(($R427-Infrastructure!J$5)^2+($S427-Infrastructure!K$5)^2)</f>
        <v>20.40098037</v>
      </c>
      <c r="AY427" s="331">
        <f>SQRT(($R427-Infrastructure!J$6)^2+($S427-Infrastructure!K$6)^2)</f>
        <v>11.18033989</v>
      </c>
      <c r="AZ427" s="331">
        <f>SQRT(($R427-Infrastructure!J$7)^2+($S427-Infrastructure!K$7)^2)</f>
        <v>5.015974482</v>
      </c>
      <c r="BA427" s="331">
        <f>SQRT(($R427-Infrastructure!J$8)^2+($S427-Infrastructure!K$8)^2)</f>
        <v>11.18033989</v>
      </c>
      <c r="BB427" s="331">
        <f>SQRT(($R427-Infrastructure!J$9)^2+($S427-Infrastructure!K$9)^2)</f>
        <v>19.901005</v>
      </c>
      <c r="BC427" s="331">
        <f>SQRT(($R427-Infrastructure!J$10)^2+($S427-Infrastructure!K$10)^2)</f>
        <v>22.13820228</v>
      </c>
      <c r="BD427" s="318"/>
      <c r="BE427" s="332"/>
      <c r="BF427" s="330">
        <f t="shared" si="14"/>
        <v>5.015974482</v>
      </c>
      <c r="BG427" s="333">
        <f t="shared" si="15"/>
        <v>31.19487137</v>
      </c>
      <c r="BH427" s="613"/>
      <c r="BI427" s="462" t="s">
        <v>846</v>
      </c>
      <c r="BJ427" s="318"/>
      <c r="BK427" s="318"/>
      <c r="BL427" s="319" t="s">
        <v>846</v>
      </c>
      <c r="BM427" s="318"/>
      <c r="BN427" s="318"/>
      <c r="BO427" s="318"/>
      <c r="BP427" s="318"/>
      <c r="BQ427" s="338"/>
      <c r="BR427" s="420"/>
      <c r="BS427" s="330">
        <f t="shared" si="23"/>
        <v>11.18033989</v>
      </c>
      <c r="BT427" s="331">
        <f t="shared" si="24"/>
        <v>31.19487137</v>
      </c>
      <c r="BU427" s="331"/>
      <c r="BV427" s="333"/>
      <c r="BW427" s="614">
        <v>15.53</v>
      </c>
      <c r="BX427" s="615">
        <v>4.15</v>
      </c>
      <c r="BY427" s="331">
        <f t="shared" si="25"/>
        <v>4.712472812</v>
      </c>
      <c r="BZ427" s="340"/>
      <c r="CA427" s="316"/>
      <c r="CB427" s="318"/>
      <c r="CC427" s="318"/>
      <c r="CD427" s="318"/>
      <c r="CE427" s="318"/>
      <c r="CF427" s="318"/>
      <c r="CG427" s="318"/>
      <c r="CH427" s="318"/>
      <c r="CI427" s="338"/>
      <c r="CJ427" s="341"/>
      <c r="CK427" s="342">
        <f t="shared" si="18"/>
        <v>0</v>
      </c>
      <c r="CL427" s="333">
        <f t="shared" si="19"/>
        <v>0</v>
      </c>
      <c r="CM427" s="616"/>
      <c r="CN427" s="617"/>
      <c r="CO427" s="617"/>
      <c r="CP427" s="617"/>
    </row>
    <row r="428">
      <c r="B428" s="462"/>
      <c r="C428" s="596">
        <v>44096.0</v>
      </c>
      <c r="D428" s="597" t="s">
        <v>1214</v>
      </c>
      <c r="E428" s="598">
        <v>7.0</v>
      </c>
      <c r="F428" s="599" t="str">
        <f t="shared" si="21"/>
        <v>2020/22-07</v>
      </c>
      <c r="G428" s="600">
        <v>0.4840277777777778</v>
      </c>
      <c r="H428" s="601">
        <v>0.4846064814814815</v>
      </c>
      <c r="I428" s="601"/>
      <c r="J428" s="601"/>
      <c r="K428" s="601">
        <v>0.4862268518518518</v>
      </c>
      <c r="L428" s="602">
        <f t="shared" si="22"/>
        <v>0.00162037037</v>
      </c>
      <c r="M428" s="603" t="s">
        <v>358</v>
      </c>
      <c r="N428" s="604" t="s">
        <v>187</v>
      </c>
      <c r="O428" s="419" t="s">
        <v>197</v>
      </c>
      <c r="P428" s="605" t="s">
        <v>220</v>
      </c>
      <c r="Q428" s="603" t="s">
        <v>1214</v>
      </c>
      <c r="R428" s="606">
        <v>37.1</v>
      </c>
      <c r="S428" s="620">
        <v>7.0</v>
      </c>
      <c r="T428" s="618">
        <v>7.0</v>
      </c>
      <c r="U428" s="609">
        <v>1.5</v>
      </c>
      <c r="V428" s="609"/>
      <c r="W428" s="609"/>
      <c r="X428" s="609"/>
      <c r="Y428" s="609"/>
      <c r="Z428" s="603" t="s">
        <v>379</v>
      </c>
      <c r="AA428" s="603"/>
      <c r="AB428" s="610" t="s">
        <v>380</v>
      </c>
      <c r="AC428" s="611">
        <v>4.0</v>
      </c>
      <c r="AD428" s="610"/>
      <c r="AE428" s="610"/>
      <c r="AF428" s="610"/>
      <c r="AG428" s="610"/>
      <c r="AH428" s="610"/>
      <c r="AI428" s="610"/>
      <c r="AJ428" s="611"/>
      <c r="AK428" s="612"/>
      <c r="AL428" s="610"/>
      <c r="AM428" s="610"/>
      <c r="AN428" s="610"/>
      <c r="AO428" s="610"/>
      <c r="AP428" s="610"/>
      <c r="AQ428" s="610"/>
      <c r="AR428" s="610"/>
      <c r="AS428" s="611"/>
      <c r="AT428" s="461" t="s">
        <v>182</v>
      </c>
      <c r="AU428" s="324" t="s">
        <v>845</v>
      </c>
      <c r="AV428" s="330">
        <f>SQRT(($R428-Infrastructure!J$3)^2+($S428-Infrastructure!K$3)^2)</f>
        <v>43.34016613</v>
      </c>
      <c r="AW428" s="331">
        <f>SQRT(($R428-Infrastructure!J$4)^2+($S428-Infrastructure!K$4)^2)</f>
        <v>38.92813892</v>
      </c>
      <c r="AX428" s="331">
        <f>SQRT(($R428-Infrastructure!J$5)^2+($S428-Infrastructure!K$5)^2)</f>
        <v>37.44823093</v>
      </c>
      <c r="AY428" s="331">
        <f>SQRT(($R428-Infrastructure!J$6)^2+($S428-Infrastructure!K$6)^2)</f>
        <v>27.81887848</v>
      </c>
      <c r="AZ428" s="331">
        <f>SQRT(($R428-Infrastructure!J$7)^2+($S428-Infrastructure!K$7)^2)</f>
        <v>17.90111728</v>
      </c>
      <c r="BA428" s="331">
        <f>SQRT(($R428-Infrastructure!J$8)^2+($S428-Infrastructure!K$8)^2)</f>
        <v>9.689685237</v>
      </c>
      <c r="BB428" s="331">
        <f>SQRT(($R428-Infrastructure!J$9)^2+($S428-Infrastructure!K$9)^2)</f>
        <v>3.466987165</v>
      </c>
      <c r="BC428" s="331">
        <f>SQRT(($R428-Infrastructure!J$10)^2+($S428-Infrastructure!K$10)^2)</f>
        <v>8.50940656</v>
      </c>
      <c r="BD428" s="318"/>
      <c r="BE428" s="332"/>
      <c r="BF428" s="330">
        <f t="shared" si="14"/>
        <v>3.466987165</v>
      </c>
      <c r="BG428" s="333">
        <f t="shared" si="15"/>
        <v>43.34016613</v>
      </c>
      <c r="BH428" s="613"/>
      <c r="BI428" s="316"/>
      <c r="BJ428" s="318"/>
      <c r="BK428" s="318"/>
      <c r="BL428" s="319" t="s">
        <v>846</v>
      </c>
      <c r="BM428" s="318"/>
      <c r="BN428" s="318"/>
      <c r="BO428" s="318"/>
      <c r="BP428" s="318"/>
      <c r="BQ428" s="338"/>
      <c r="BR428" s="420"/>
      <c r="BS428" s="330">
        <f t="shared" si="23"/>
        <v>27.81887848</v>
      </c>
      <c r="BT428" s="331">
        <f t="shared" si="24"/>
        <v>27.81887848</v>
      </c>
      <c r="BU428" s="331"/>
      <c r="BV428" s="333"/>
      <c r="BW428" s="614">
        <v>17.03</v>
      </c>
      <c r="BX428" s="615">
        <v>3.57</v>
      </c>
      <c r="BY428" s="331">
        <f t="shared" si="25"/>
        <v>20.36098721</v>
      </c>
      <c r="BZ428" s="340"/>
      <c r="CA428" s="316"/>
      <c r="CB428" s="318"/>
      <c r="CC428" s="318"/>
      <c r="CD428" s="318"/>
      <c r="CE428" s="318"/>
      <c r="CF428" s="318"/>
      <c r="CG428" s="318"/>
      <c r="CH428" s="318"/>
      <c r="CI428" s="338"/>
      <c r="CJ428" s="341"/>
      <c r="CK428" s="342">
        <f t="shared" si="18"/>
        <v>0</v>
      </c>
      <c r="CL428" s="333">
        <f t="shared" si="19"/>
        <v>0</v>
      </c>
      <c r="CM428" s="616"/>
      <c r="CN428" s="617"/>
      <c r="CO428" s="617"/>
      <c r="CP428" s="617"/>
    </row>
    <row r="429">
      <c r="B429" s="462"/>
      <c r="C429" s="596">
        <v>44096.0</v>
      </c>
      <c r="D429" s="597" t="s">
        <v>1214</v>
      </c>
      <c r="E429" s="598">
        <v>8.0</v>
      </c>
      <c r="F429" s="599" t="str">
        <f t="shared" si="21"/>
        <v>2020/22-08</v>
      </c>
      <c r="G429" s="600">
        <v>0.4909722222222222</v>
      </c>
      <c r="H429" s="601">
        <v>0.4914930555555555</v>
      </c>
      <c r="I429" s="601"/>
      <c r="J429" s="601"/>
      <c r="K429" s="601">
        <v>0.4929398148148148</v>
      </c>
      <c r="L429" s="602">
        <f t="shared" si="22"/>
        <v>0.001446759259</v>
      </c>
      <c r="M429" s="603" t="s">
        <v>358</v>
      </c>
      <c r="N429" s="604" t="s">
        <v>187</v>
      </c>
      <c r="O429" s="419" t="s">
        <v>201</v>
      </c>
      <c r="P429" s="605" t="s">
        <v>212</v>
      </c>
      <c r="Q429" s="603" t="s">
        <v>1214</v>
      </c>
      <c r="R429" s="606">
        <v>16.3</v>
      </c>
      <c r="S429" s="620">
        <v>6.5</v>
      </c>
      <c r="T429" s="618">
        <v>0.6</v>
      </c>
      <c r="U429" s="609">
        <v>0.1</v>
      </c>
      <c r="V429" s="609"/>
      <c r="W429" s="609"/>
      <c r="X429" s="609"/>
      <c r="Y429" s="609"/>
      <c r="Z429" s="603" t="s">
        <v>335</v>
      </c>
      <c r="AA429" s="603"/>
      <c r="AB429" s="319" t="s">
        <v>322</v>
      </c>
      <c r="AC429" s="611">
        <v>0.5</v>
      </c>
      <c r="AD429" s="610"/>
      <c r="AE429" s="610"/>
      <c r="AF429" s="610"/>
      <c r="AG429" s="610"/>
      <c r="AH429" s="610"/>
      <c r="AI429" s="610"/>
      <c r="AJ429" s="611"/>
      <c r="AK429" s="612"/>
      <c r="AL429" s="610"/>
      <c r="AM429" s="610"/>
      <c r="AN429" s="610"/>
      <c r="AO429" s="610"/>
      <c r="AP429" s="610"/>
      <c r="AQ429" s="610"/>
      <c r="AR429" s="610"/>
      <c r="AS429" s="611"/>
      <c r="AT429" s="461" t="s">
        <v>181</v>
      </c>
      <c r="AU429" s="324" t="s">
        <v>845</v>
      </c>
      <c r="AV429" s="330">
        <f>SQRT(($R429-Infrastructure!J$3)^2+($S429-Infrastructure!K$3)^2)</f>
        <v>27.88045911</v>
      </c>
      <c r="AW429" s="331">
        <f>SQRT(($R429-Infrastructure!J$4)^2+($S429-Infrastructure!K$4)^2)</f>
        <v>20.08108563</v>
      </c>
      <c r="AX429" s="331">
        <f>SQRT(($R429-Infrastructure!J$5)^2+($S429-Infrastructure!K$5)^2)</f>
        <v>16.65893154</v>
      </c>
      <c r="AY429" s="331">
        <f>SQRT(($R429-Infrastructure!J$6)^2+($S429-Infrastructure!K$6)^2)</f>
        <v>8.768124087</v>
      </c>
      <c r="AZ429" s="331">
        <f>SQRT(($R429-Infrastructure!J$7)^2+($S429-Infrastructure!K$7)^2)</f>
        <v>7.488658091</v>
      </c>
      <c r="BA429" s="331">
        <f>SQRT(($R429-Infrastructure!J$8)^2+($S429-Infrastructure!K$8)^2)</f>
        <v>15.12878052</v>
      </c>
      <c r="BB429" s="331">
        <f>SQRT(($R429-Infrastructure!J$9)^2+($S429-Infrastructure!K$9)^2)</f>
        <v>23.7413142</v>
      </c>
      <c r="BC429" s="331">
        <f>SQRT(($R429-Infrastructure!J$10)^2+($S429-Infrastructure!K$10)^2)</f>
        <v>25.17816514</v>
      </c>
      <c r="BD429" s="318"/>
      <c r="BE429" s="332"/>
      <c r="BF429" s="330">
        <f t="shared" si="14"/>
        <v>7.488658091</v>
      </c>
      <c r="BG429" s="333">
        <f t="shared" si="15"/>
        <v>27.88045911</v>
      </c>
      <c r="BH429" s="613"/>
      <c r="BI429" s="316"/>
      <c r="BJ429" s="318"/>
      <c r="BK429" s="318"/>
      <c r="BL429" s="318"/>
      <c r="BM429" s="318"/>
      <c r="BN429" s="318"/>
      <c r="BO429" s="318"/>
      <c r="BP429" s="319" t="s">
        <v>846</v>
      </c>
      <c r="BQ429" s="338"/>
      <c r="BR429" s="420"/>
      <c r="BS429" s="330">
        <f t="shared" si="23"/>
        <v>25.17816514</v>
      </c>
      <c r="BT429" s="331">
        <f t="shared" si="24"/>
        <v>25.17816514</v>
      </c>
      <c r="BU429" s="331"/>
      <c r="BV429" s="333"/>
      <c r="BW429" s="614">
        <v>25.99</v>
      </c>
      <c r="BX429" s="615">
        <v>8.27</v>
      </c>
      <c r="BY429" s="331">
        <f t="shared" si="25"/>
        <v>9.850329944</v>
      </c>
      <c r="BZ429" s="340"/>
      <c r="CA429" s="316"/>
      <c r="CB429" s="318"/>
      <c r="CC429" s="318"/>
      <c r="CD429" s="318"/>
      <c r="CE429" s="318"/>
      <c r="CF429" s="318"/>
      <c r="CG429" s="318"/>
      <c r="CH429" s="318"/>
      <c r="CI429" s="338"/>
      <c r="CJ429" s="341"/>
      <c r="CK429" s="342">
        <f t="shared" si="18"/>
        <v>0</v>
      </c>
      <c r="CL429" s="333">
        <f t="shared" si="19"/>
        <v>0</v>
      </c>
      <c r="CM429" s="616"/>
      <c r="CN429" s="617"/>
      <c r="CO429" s="617"/>
      <c r="CP429" s="617"/>
    </row>
    <row r="430">
      <c r="B430" s="462"/>
      <c r="C430" s="596">
        <v>44096.0</v>
      </c>
      <c r="D430" s="597" t="s">
        <v>1214</v>
      </c>
      <c r="E430" s="598" t="s">
        <v>1218</v>
      </c>
      <c r="F430" s="619" t="str">
        <f t="shared" si="21"/>
        <v>2020/22-01bis</v>
      </c>
      <c r="G430" s="600">
        <v>0.5909722222222222</v>
      </c>
      <c r="H430" s="601">
        <v>0.5912037037037037</v>
      </c>
      <c r="I430" s="601"/>
      <c r="J430" s="601"/>
      <c r="K430" s="601">
        <v>0.5930555555555556</v>
      </c>
      <c r="L430" s="602">
        <f t="shared" si="22"/>
        <v>0.001851851852</v>
      </c>
      <c r="M430" s="603" t="s">
        <v>358</v>
      </c>
      <c r="N430" s="604" t="s">
        <v>188</v>
      </c>
      <c r="O430" s="419" t="s">
        <v>196</v>
      </c>
      <c r="P430" s="605" t="s">
        <v>224</v>
      </c>
      <c r="Q430" s="603" t="s">
        <v>842</v>
      </c>
      <c r="R430" s="606">
        <v>21.4</v>
      </c>
      <c r="S430" s="620">
        <v>39.3</v>
      </c>
      <c r="T430" s="618">
        <v>1.2</v>
      </c>
      <c r="U430" s="609">
        <v>20.0</v>
      </c>
      <c r="V430" s="609"/>
      <c r="W430" s="609"/>
      <c r="X430" s="609"/>
      <c r="Y430" s="609"/>
      <c r="Z430" s="603" t="s">
        <v>387</v>
      </c>
      <c r="AA430" s="603"/>
      <c r="AB430" s="624" t="s">
        <v>413</v>
      </c>
      <c r="AC430" s="621">
        <v>26.6</v>
      </c>
      <c r="AD430" s="603"/>
      <c r="AE430" s="603"/>
      <c r="AF430" s="603"/>
      <c r="AG430" s="603"/>
      <c r="AH430" s="603"/>
      <c r="AI430" s="603"/>
      <c r="AJ430" s="621"/>
      <c r="AK430" s="622"/>
      <c r="AL430" s="603"/>
      <c r="AM430" s="603"/>
      <c r="AN430" s="603"/>
      <c r="AO430" s="603"/>
      <c r="AP430" s="603"/>
      <c r="AQ430" s="603"/>
      <c r="AR430" s="603"/>
      <c r="AS430" s="621"/>
      <c r="AT430" s="461" t="s">
        <v>183</v>
      </c>
      <c r="AU430" s="324" t="s">
        <v>845</v>
      </c>
      <c r="AV430" s="330">
        <f>SQRT(($R430-Infrastructure!J$3)^2+($S430-Infrastructure!K$3)^2)</f>
        <v>24.06345777</v>
      </c>
      <c r="AW430" s="331">
        <f>SQRT(($R430-Infrastructure!J$4)^2+($S430-Infrastructure!K$4)^2)</f>
        <v>30.54734031</v>
      </c>
      <c r="AX430" s="331">
        <f>SQRT(($R430-Infrastructure!J$5)^2+($S430-Infrastructure!K$5)^2)</f>
        <v>40.50345664</v>
      </c>
      <c r="AY430" s="331">
        <f>SQRT(($R430-Infrastructure!J$6)^2+($S430-Infrastructure!K$6)^2)</f>
        <v>40.60406384</v>
      </c>
      <c r="AZ430" s="331">
        <f>SQRT(($R430-Infrastructure!J$7)^2+($S430-Infrastructure!K$7)^2)</f>
        <v>39.01038323</v>
      </c>
      <c r="BA430" s="331">
        <f>SQRT(($R430-Infrastructure!J$8)^2+($S430-Infrastructure!K$8)^2)</f>
        <v>39.95860358</v>
      </c>
      <c r="BB430" s="331">
        <f>SQRT(($R430-Infrastructure!J$9)^2+($S430-Infrastructure!K$9)^2)</f>
        <v>38.93070767</v>
      </c>
      <c r="BC430" s="331">
        <f>SQRT(($R430-Infrastructure!J$10)^2+($S430-Infrastructure!K$10)^2)</f>
        <v>30.60147055</v>
      </c>
      <c r="BD430" s="318"/>
      <c r="BE430" s="332"/>
      <c r="BF430" s="330">
        <f t="shared" si="14"/>
        <v>24.06345777</v>
      </c>
      <c r="BG430" s="333">
        <f t="shared" si="15"/>
        <v>40.60406384</v>
      </c>
      <c r="BH430" s="613"/>
      <c r="BI430" s="316"/>
      <c r="BJ430" s="318"/>
      <c r="BK430" s="318"/>
      <c r="BL430" s="318"/>
      <c r="BM430" s="318"/>
      <c r="BN430" s="318"/>
      <c r="BO430" s="318"/>
      <c r="BP430" s="319" t="s">
        <v>846</v>
      </c>
      <c r="BQ430" s="338"/>
      <c r="BR430" s="420"/>
      <c r="BS430" s="330">
        <f t="shared" si="23"/>
        <v>30.60147055</v>
      </c>
      <c r="BT430" s="331">
        <f t="shared" si="24"/>
        <v>30.60147055</v>
      </c>
      <c r="BU430" s="331"/>
      <c r="BV430" s="333"/>
      <c r="BW430" s="614">
        <v>22.31</v>
      </c>
      <c r="BX430" s="615">
        <v>7.69</v>
      </c>
      <c r="BY430" s="331">
        <f t="shared" si="25"/>
        <v>31.62309599</v>
      </c>
      <c r="BZ430" s="340"/>
      <c r="CA430" s="316"/>
      <c r="CB430" s="318"/>
      <c r="CC430" s="318"/>
      <c r="CD430" s="318"/>
      <c r="CE430" s="318"/>
      <c r="CF430" s="318"/>
      <c r="CG430" s="318"/>
      <c r="CH430" s="318"/>
      <c r="CI430" s="338"/>
      <c r="CJ430" s="341"/>
      <c r="CK430" s="342">
        <f t="shared" si="18"/>
        <v>0</v>
      </c>
      <c r="CL430" s="333">
        <f t="shared" si="19"/>
        <v>0</v>
      </c>
      <c r="CM430" s="616"/>
      <c r="CN430" s="617"/>
      <c r="CO430" s="617"/>
      <c r="CP430" s="617"/>
    </row>
    <row r="431">
      <c r="B431" s="462"/>
      <c r="C431" s="596">
        <v>44096.0</v>
      </c>
      <c r="D431" s="597" t="s">
        <v>1214</v>
      </c>
      <c r="E431" s="598">
        <v>9.0</v>
      </c>
      <c r="F431" s="599" t="str">
        <f t="shared" si="21"/>
        <v>2020/22-09</v>
      </c>
      <c r="G431" s="600">
        <v>0.5958333333333333</v>
      </c>
      <c r="H431" s="601">
        <v>0.5964699074074075</v>
      </c>
      <c r="I431" s="601"/>
      <c r="J431" s="601"/>
      <c r="K431" s="601">
        <v>0.5979745370370371</v>
      </c>
      <c r="L431" s="602">
        <f t="shared" si="22"/>
        <v>0.00150462963</v>
      </c>
      <c r="M431" s="603" t="s">
        <v>358</v>
      </c>
      <c r="N431" s="604" t="s">
        <v>187</v>
      </c>
      <c r="O431" s="623" t="s">
        <v>204</v>
      </c>
      <c r="P431" s="603" t="s">
        <v>214</v>
      </c>
      <c r="Q431" s="603" t="s">
        <v>1214</v>
      </c>
      <c r="R431" s="606">
        <v>18.6</v>
      </c>
      <c r="S431" s="620">
        <v>3.9</v>
      </c>
      <c r="T431" s="618">
        <v>2.5</v>
      </c>
      <c r="U431" s="609">
        <v>2.5</v>
      </c>
      <c r="V431" s="609"/>
      <c r="W431" s="609"/>
      <c r="X431" s="609"/>
      <c r="Y431" s="609"/>
      <c r="Z431" s="603" t="s">
        <v>365</v>
      </c>
      <c r="AA431" s="603"/>
      <c r="AB431" s="610" t="s">
        <v>384</v>
      </c>
      <c r="AC431" s="611">
        <v>6.0</v>
      </c>
      <c r="AD431" s="610"/>
      <c r="AE431" s="610"/>
      <c r="AF431" s="610"/>
      <c r="AG431" s="610"/>
      <c r="AH431" s="610"/>
      <c r="AI431" s="610"/>
      <c r="AJ431" s="611"/>
      <c r="AK431" s="612"/>
      <c r="AL431" s="610"/>
      <c r="AM431" s="610"/>
      <c r="AN431" s="610"/>
      <c r="AO431" s="610"/>
      <c r="AP431" s="610"/>
      <c r="AQ431" s="610"/>
      <c r="AR431" s="610"/>
      <c r="AS431" s="611"/>
      <c r="AT431" s="461" t="s">
        <v>182</v>
      </c>
      <c r="AU431" s="324" t="s">
        <v>845</v>
      </c>
      <c r="AV431" s="330">
        <f>SQRT(($R431-Infrastructure!J$3)^2+($S431-Infrastructure!K$3)^2)</f>
        <v>31.34022974</v>
      </c>
      <c r="AW431" s="331">
        <f>SQRT(($R431-Infrastructure!J$4)^2+($S431-Infrastructure!K$4)^2)</f>
        <v>23.46103152</v>
      </c>
      <c r="AX431" s="331">
        <f>SQRT(($R431-Infrastructure!J$5)^2+($S431-Infrastructure!K$5)^2)</f>
        <v>18.93805692</v>
      </c>
      <c r="AY431" s="331">
        <f>SQRT(($R431-Infrastructure!J$6)^2+($S431-Infrastructure!K$6)^2)</f>
        <v>9.230926281</v>
      </c>
      <c r="AZ431" s="331">
        <f>SQRT(($R431-Infrastructure!J$7)^2+($S431-Infrastructure!K$7)^2)</f>
        <v>4.070626487</v>
      </c>
      <c r="BA431" s="331">
        <f>SQRT(($R431-Infrastructure!J$8)^2+($S431-Infrastructure!K$8)^2)</f>
        <v>12.0503112</v>
      </c>
      <c r="BB431" s="331">
        <f>SQRT(($R431-Infrastructure!J$9)^2+($S431-Infrastructure!K$9)^2)</f>
        <v>21.43361845</v>
      </c>
      <c r="BC431" s="331">
        <f>SQRT(($R431-Infrastructure!J$10)^2+($S431-Infrastructure!K$10)^2)</f>
        <v>24.10746772</v>
      </c>
      <c r="BD431" s="318"/>
      <c r="BE431" s="332"/>
      <c r="BF431" s="330">
        <f t="shared" si="14"/>
        <v>4.070626487</v>
      </c>
      <c r="BG431" s="333">
        <f t="shared" si="15"/>
        <v>31.34022974</v>
      </c>
      <c r="BH431" s="613"/>
      <c r="BI431" s="316"/>
      <c r="BJ431" s="318"/>
      <c r="BK431" s="318"/>
      <c r="BL431" s="318"/>
      <c r="BM431" s="318"/>
      <c r="BN431" s="319" t="s">
        <v>846</v>
      </c>
      <c r="BO431" s="318"/>
      <c r="BP431" s="319" t="s">
        <v>846</v>
      </c>
      <c r="BQ431" s="338"/>
      <c r="BR431" s="420"/>
      <c r="BS431" s="330">
        <f t="shared" si="23"/>
        <v>12.0503112</v>
      </c>
      <c r="BT431" s="331">
        <f t="shared" si="24"/>
        <v>24.10746772</v>
      </c>
      <c r="BU431" s="331"/>
      <c r="BV431" s="333"/>
      <c r="BW431" s="614">
        <v>26.47</v>
      </c>
      <c r="BX431" s="615">
        <v>6.42</v>
      </c>
      <c r="BY431" s="331">
        <f t="shared" si="25"/>
        <v>8.263613011</v>
      </c>
      <c r="BZ431" s="340"/>
      <c r="CA431" s="316"/>
      <c r="CB431" s="318"/>
      <c r="CC431" s="318"/>
      <c r="CD431" s="318"/>
      <c r="CE431" s="318"/>
      <c r="CF431" s="318"/>
      <c r="CG431" s="318"/>
      <c r="CH431" s="318"/>
      <c r="CI431" s="338"/>
      <c r="CJ431" s="341"/>
      <c r="CK431" s="342">
        <f t="shared" si="18"/>
        <v>0</v>
      </c>
      <c r="CL431" s="333">
        <f t="shared" si="19"/>
        <v>0</v>
      </c>
      <c r="CM431" s="616"/>
      <c r="CN431" s="617"/>
      <c r="CO431" s="617"/>
      <c r="CP431" s="617"/>
    </row>
    <row r="432">
      <c r="B432" s="462"/>
      <c r="C432" s="596">
        <v>44096.0</v>
      </c>
      <c r="D432" s="597" t="s">
        <v>1214</v>
      </c>
      <c r="E432" s="598">
        <v>10.0</v>
      </c>
      <c r="F432" s="599" t="str">
        <f t="shared" si="21"/>
        <v>2020/22-10</v>
      </c>
      <c r="G432" s="600">
        <v>0.6</v>
      </c>
      <c r="H432" s="601">
        <v>0.600925925925926</v>
      </c>
      <c r="I432" s="601"/>
      <c r="J432" s="601"/>
      <c r="K432" s="601">
        <v>0.6016203703703703</v>
      </c>
      <c r="L432" s="602">
        <f t="shared" si="22"/>
        <v>0.0006944444444</v>
      </c>
      <c r="M432" s="603" t="s">
        <v>358</v>
      </c>
      <c r="N432" s="604" t="s">
        <v>187</v>
      </c>
      <c r="O432" s="419" t="s">
        <v>201</v>
      </c>
      <c r="P432" s="605" t="s">
        <v>212</v>
      </c>
      <c r="Q432" s="603" t="s">
        <v>1214</v>
      </c>
      <c r="R432" s="606">
        <v>15.0</v>
      </c>
      <c r="S432" s="607">
        <v>7.0</v>
      </c>
      <c r="T432" s="608">
        <v>0.55</v>
      </c>
      <c r="U432" s="609">
        <v>6.0</v>
      </c>
      <c r="V432" s="609"/>
      <c r="W432" s="609"/>
      <c r="X432" s="609"/>
      <c r="Y432" s="609"/>
      <c r="Z432" s="603" t="s">
        <v>339</v>
      </c>
      <c r="AA432" s="603"/>
      <c r="AB432" s="610" t="s">
        <v>345</v>
      </c>
      <c r="AC432" s="611">
        <v>4.0</v>
      </c>
      <c r="AD432" s="610"/>
      <c r="AE432" s="610"/>
      <c r="AF432" s="610"/>
      <c r="AG432" s="610"/>
      <c r="AH432" s="610"/>
      <c r="AI432" s="610"/>
      <c r="AJ432" s="611"/>
      <c r="AK432" s="612"/>
      <c r="AL432" s="610"/>
      <c r="AM432" s="610"/>
      <c r="AN432" s="610"/>
      <c r="AO432" s="610"/>
      <c r="AP432" s="610"/>
      <c r="AQ432" s="610"/>
      <c r="AR432" s="610"/>
      <c r="AS432" s="611"/>
      <c r="AT432" s="461" t="s">
        <v>182</v>
      </c>
      <c r="AU432" s="324" t="s">
        <v>845</v>
      </c>
      <c r="AV432" s="330">
        <f>SQRT(($R432-Infrastructure!J$3)^2+($S432-Infrastructure!K$3)^2)</f>
        <v>26.71516423</v>
      </c>
      <c r="AW432" s="331">
        <f>SQRT(($R432-Infrastructure!J$4)^2+($S432-Infrastructure!K$4)^2)</f>
        <v>18.72778684</v>
      </c>
      <c r="AX432" s="331">
        <f>SQRT(($R432-Infrastructure!J$5)^2+($S432-Infrastructure!K$5)^2)</f>
        <v>15.4175225</v>
      </c>
      <c r="AY432" s="331">
        <f>SQRT(($R432-Infrastructure!J$6)^2+($S432-Infrastructure!K$6)^2)</f>
        <v>8.300602388</v>
      </c>
      <c r="AZ432" s="331">
        <f>SQRT(($R432-Infrastructure!J$7)^2+($S432-Infrastructure!K$7)^2)</f>
        <v>8.668333173</v>
      </c>
      <c r="BA432" s="331">
        <f>SQRT(($R432-Infrastructure!J$8)^2+($S432-Infrastructure!K$8)^2)</f>
        <v>16.51968523</v>
      </c>
      <c r="BB432" s="331">
        <f>SQRT(($R432-Infrastructure!J$9)^2+($S432-Infrastructure!K$9)^2)</f>
        <v>25.07209604</v>
      </c>
      <c r="BC432" s="331">
        <f>SQRT(($R432-Infrastructure!J$10)^2+($S432-Infrastructure!K$10)^2)</f>
        <v>26.2488095</v>
      </c>
      <c r="BD432" s="318"/>
      <c r="BE432" s="332"/>
      <c r="BF432" s="330">
        <f t="shared" si="14"/>
        <v>8.300602388</v>
      </c>
      <c r="BG432" s="333">
        <f t="shared" si="15"/>
        <v>26.71516423</v>
      </c>
      <c r="BH432" s="613"/>
      <c r="BI432" s="462" t="s">
        <v>846</v>
      </c>
      <c r="BJ432" s="318"/>
      <c r="BK432" s="318"/>
      <c r="BL432" s="319" t="s">
        <v>846</v>
      </c>
      <c r="BM432" s="318"/>
      <c r="BN432" s="318"/>
      <c r="BO432" s="318"/>
      <c r="BP432" s="319" t="s">
        <v>846</v>
      </c>
      <c r="BQ432" s="338"/>
      <c r="BR432" s="420"/>
      <c r="BS432" s="330">
        <f t="shared" si="23"/>
        <v>8.300602388</v>
      </c>
      <c r="BT432" s="331">
        <f t="shared" si="24"/>
        <v>26.71516423</v>
      </c>
      <c r="BU432" s="331"/>
      <c r="BV432" s="333"/>
      <c r="BW432" s="614">
        <v>16.08</v>
      </c>
      <c r="BX432" s="615">
        <v>8.67</v>
      </c>
      <c r="BY432" s="331">
        <f t="shared" si="25"/>
        <v>1.988793604</v>
      </c>
      <c r="BZ432" s="340"/>
      <c r="CA432" s="316"/>
      <c r="CB432" s="318"/>
      <c r="CC432" s="318"/>
      <c r="CD432" s="318"/>
      <c r="CE432" s="318"/>
      <c r="CF432" s="318"/>
      <c r="CG432" s="318"/>
      <c r="CH432" s="318"/>
      <c r="CI432" s="338"/>
      <c r="CJ432" s="341"/>
      <c r="CK432" s="342">
        <f t="shared" si="18"/>
        <v>0</v>
      </c>
      <c r="CL432" s="333">
        <f t="shared" si="19"/>
        <v>0</v>
      </c>
      <c r="CM432" s="616"/>
      <c r="CN432" s="617"/>
      <c r="CO432" s="617"/>
      <c r="CP432" s="617"/>
    </row>
    <row r="433">
      <c r="B433" s="462"/>
      <c r="C433" s="596">
        <v>44096.0</v>
      </c>
      <c r="D433" s="597" t="s">
        <v>1214</v>
      </c>
      <c r="E433" s="598">
        <v>11.0</v>
      </c>
      <c r="F433" s="599" t="str">
        <f t="shared" si="21"/>
        <v>2020/22-11</v>
      </c>
      <c r="G433" s="600">
        <v>0.6079861111111111</v>
      </c>
      <c r="H433" s="601">
        <v>0.6083333333333333</v>
      </c>
      <c r="I433" s="601"/>
      <c r="J433" s="601"/>
      <c r="K433" s="601">
        <v>0.6122106481481482</v>
      </c>
      <c r="L433" s="602">
        <f t="shared" si="22"/>
        <v>0.003877314815</v>
      </c>
      <c r="M433" s="603" t="s">
        <v>358</v>
      </c>
      <c r="N433" s="604" t="s">
        <v>187</v>
      </c>
      <c r="O433" s="419" t="s">
        <v>203</v>
      </c>
      <c r="P433" s="605" t="s">
        <v>211</v>
      </c>
      <c r="Q433" s="603" t="s">
        <v>1214</v>
      </c>
      <c r="R433" s="606">
        <v>14.8</v>
      </c>
      <c r="S433" s="620">
        <v>2.4</v>
      </c>
      <c r="T433" s="618">
        <v>1.1</v>
      </c>
      <c r="U433" s="609">
        <v>0.2</v>
      </c>
      <c r="V433" s="609"/>
      <c r="W433" s="609"/>
      <c r="X433" s="609"/>
      <c r="Y433" s="609"/>
      <c r="Z433" s="603" t="s">
        <v>357</v>
      </c>
      <c r="AA433" s="603"/>
      <c r="AB433" s="610" t="s">
        <v>375</v>
      </c>
      <c r="AC433" s="611">
        <v>2.7</v>
      </c>
      <c r="AD433" s="610"/>
      <c r="AE433" s="610"/>
      <c r="AF433" s="610"/>
      <c r="AG433" s="610"/>
      <c r="AH433" s="610"/>
      <c r="AI433" s="610"/>
      <c r="AJ433" s="611"/>
      <c r="AK433" s="612"/>
      <c r="AL433" s="610"/>
      <c r="AM433" s="610"/>
      <c r="AN433" s="610"/>
      <c r="AO433" s="610"/>
      <c r="AP433" s="610"/>
      <c r="AQ433" s="610"/>
      <c r="AR433" s="610"/>
      <c r="AS433" s="611"/>
      <c r="AT433" s="461" t="s">
        <v>181</v>
      </c>
      <c r="AU433" s="324" t="s">
        <v>845</v>
      </c>
      <c r="AV433" s="330">
        <f>SQRT(($R433-Infrastructure!J$3)^2+($S433-Infrastructure!K$3)^2)</f>
        <v>30.50016393</v>
      </c>
      <c r="AW433" s="331">
        <f>SQRT(($R433-Infrastructure!J$4)^2+($S433-Infrastructure!K$4)^2)</f>
        <v>21.56780007</v>
      </c>
      <c r="AX433" s="331">
        <f>SQRT(($R433-Infrastructure!J$5)^2+($S433-Infrastructure!K$5)^2)</f>
        <v>15.33949152</v>
      </c>
      <c r="AY433" s="331">
        <f>SQRT(($R433-Infrastructure!J$6)^2+($S433-Infrastructure!K$6)^2)</f>
        <v>5.14781507</v>
      </c>
      <c r="AZ433" s="331">
        <f>SQRT(($R433-Infrastructure!J$7)^2+($S433-Infrastructure!K$7)^2)</f>
        <v>6.074537019</v>
      </c>
      <c r="BA433" s="331">
        <f>SQRT(($R433-Infrastructure!J$8)^2+($S433-Infrastructure!K$8)^2)</f>
        <v>15.44344521</v>
      </c>
      <c r="BB433" s="331">
        <f>SQRT(($R433-Infrastructure!J$9)^2+($S433-Infrastructure!K$9)^2)</f>
        <v>25.34423011</v>
      </c>
      <c r="BC433" s="331">
        <f>SQRT(($R433-Infrastructure!J$10)^2+($S433-Infrastructure!K$10)^2)</f>
        <v>28.17445652</v>
      </c>
      <c r="BD433" s="318"/>
      <c r="BE433" s="332"/>
      <c r="BF433" s="330">
        <f t="shared" si="14"/>
        <v>5.14781507</v>
      </c>
      <c r="BG433" s="333">
        <f t="shared" si="15"/>
        <v>30.50016393</v>
      </c>
      <c r="BH433" s="613"/>
      <c r="BI433" s="316"/>
      <c r="BJ433" s="318"/>
      <c r="BK433" s="318"/>
      <c r="BL433" s="319" t="s">
        <v>846</v>
      </c>
      <c r="BM433" s="318"/>
      <c r="BN433" s="318"/>
      <c r="BO433" s="318"/>
      <c r="BP433" s="318"/>
      <c r="BQ433" s="338"/>
      <c r="BR433" s="420"/>
      <c r="BS433" s="330">
        <f t="shared" si="23"/>
        <v>5.14781507</v>
      </c>
      <c r="BT433" s="331">
        <f t="shared" si="24"/>
        <v>5.14781507</v>
      </c>
      <c r="BU433" s="331"/>
      <c r="BV433" s="333"/>
      <c r="BW433" s="614"/>
      <c r="BX433" s="615"/>
      <c r="BY433" s="331" t="b">
        <f t="shared" si="25"/>
        <v>0</v>
      </c>
      <c r="BZ433" s="340"/>
      <c r="CA433" s="316"/>
      <c r="CB433" s="318"/>
      <c r="CC433" s="318"/>
      <c r="CD433" s="318"/>
      <c r="CE433" s="318"/>
      <c r="CF433" s="318"/>
      <c r="CG433" s="318"/>
      <c r="CH433" s="318"/>
      <c r="CI433" s="338"/>
      <c r="CJ433" s="341"/>
      <c r="CK433" s="342">
        <f t="shared" si="18"/>
        <v>0</v>
      </c>
      <c r="CL433" s="333">
        <f t="shared" si="19"/>
        <v>0</v>
      </c>
      <c r="CM433" s="616"/>
      <c r="CN433" s="617"/>
      <c r="CO433" s="617"/>
      <c r="CP433" s="617"/>
    </row>
    <row r="434">
      <c r="B434" s="462"/>
      <c r="C434" s="596">
        <v>44096.0</v>
      </c>
      <c r="D434" s="597" t="s">
        <v>1214</v>
      </c>
      <c r="E434" s="598">
        <v>12.0</v>
      </c>
      <c r="F434" s="619" t="str">
        <f t="shared" si="21"/>
        <v>2020/22-12</v>
      </c>
      <c r="G434" s="600">
        <v>0.61875</v>
      </c>
      <c r="H434" s="601">
        <v>0.6194444444444445</v>
      </c>
      <c r="I434" s="601"/>
      <c r="J434" s="601"/>
      <c r="K434" s="601">
        <v>0.6208333333333333</v>
      </c>
      <c r="L434" s="602">
        <f t="shared" si="22"/>
        <v>0.001388888889</v>
      </c>
      <c r="M434" s="603" t="s">
        <v>358</v>
      </c>
      <c r="N434" s="604" t="s">
        <v>187</v>
      </c>
      <c r="O434" s="419" t="s">
        <v>201</v>
      </c>
      <c r="P434" s="605" t="s">
        <v>212</v>
      </c>
      <c r="Q434" s="603"/>
      <c r="R434" s="606">
        <v>15.0</v>
      </c>
      <c r="S434" s="607">
        <v>7.0</v>
      </c>
      <c r="T434" s="608">
        <v>0.64</v>
      </c>
      <c r="U434" s="609">
        <v>0.1</v>
      </c>
      <c r="V434" s="609"/>
      <c r="W434" s="609"/>
      <c r="X434" s="609"/>
      <c r="Y434" s="609"/>
      <c r="Z434" s="603" t="s">
        <v>335</v>
      </c>
      <c r="AA434" s="603"/>
      <c r="AB434" s="319" t="s">
        <v>322</v>
      </c>
      <c r="AC434" s="621">
        <v>0.5</v>
      </c>
      <c r="AD434" s="603"/>
      <c r="AE434" s="603"/>
      <c r="AF434" s="603"/>
      <c r="AG434" s="603"/>
      <c r="AH434" s="603"/>
      <c r="AI434" s="603"/>
      <c r="AJ434" s="621"/>
      <c r="AK434" s="622"/>
      <c r="AL434" s="603"/>
      <c r="AM434" s="603"/>
      <c r="AN434" s="603"/>
      <c r="AO434" s="603"/>
      <c r="AP434" s="603"/>
      <c r="AQ434" s="603"/>
      <c r="AR434" s="603"/>
      <c r="AS434" s="621"/>
      <c r="AT434" s="461" t="s">
        <v>181</v>
      </c>
      <c r="AU434" s="324" t="s">
        <v>845</v>
      </c>
      <c r="AV434" s="330">
        <f>SQRT(($R434-Infrastructure!J$3)^2+($S434-Infrastructure!K$3)^2)</f>
        <v>26.71516423</v>
      </c>
      <c r="AW434" s="331">
        <f>SQRT(($R434-Infrastructure!J$4)^2+($S434-Infrastructure!K$4)^2)</f>
        <v>18.72778684</v>
      </c>
      <c r="AX434" s="331">
        <f>SQRT(($R434-Infrastructure!J$5)^2+($S434-Infrastructure!K$5)^2)</f>
        <v>15.4175225</v>
      </c>
      <c r="AY434" s="331">
        <f>SQRT(($R434-Infrastructure!J$6)^2+($S434-Infrastructure!K$6)^2)</f>
        <v>8.300602388</v>
      </c>
      <c r="AZ434" s="331">
        <f>SQRT(($R434-Infrastructure!J$7)^2+($S434-Infrastructure!K$7)^2)</f>
        <v>8.668333173</v>
      </c>
      <c r="BA434" s="331">
        <f>SQRT(($R434-Infrastructure!J$8)^2+($S434-Infrastructure!K$8)^2)</f>
        <v>16.51968523</v>
      </c>
      <c r="BB434" s="331">
        <f>SQRT(($R434-Infrastructure!J$9)^2+($S434-Infrastructure!K$9)^2)</f>
        <v>25.07209604</v>
      </c>
      <c r="BC434" s="331">
        <f>SQRT(($R434-Infrastructure!J$10)^2+($S434-Infrastructure!K$10)^2)</f>
        <v>26.2488095</v>
      </c>
      <c r="BD434" s="318"/>
      <c r="BE434" s="332"/>
      <c r="BF434" s="330">
        <f t="shared" si="14"/>
        <v>8.300602388</v>
      </c>
      <c r="BG434" s="333">
        <f t="shared" si="15"/>
        <v>26.71516423</v>
      </c>
      <c r="BH434" s="613"/>
      <c r="BI434" s="316"/>
      <c r="BJ434" s="318"/>
      <c r="BK434" s="318"/>
      <c r="BL434" s="318"/>
      <c r="BM434" s="319" t="s">
        <v>846</v>
      </c>
      <c r="BN434" s="318"/>
      <c r="BO434" s="318"/>
      <c r="BP434" s="318"/>
      <c r="BQ434" s="338"/>
      <c r="BR434" s="420"/>
      <c r="BS434" s="330">
        <f t="shared" si="23"/>
        <v>8.668333173</v>
      </c>
      <c r="BT434" s="331">
        <f t="shared" si="24"/>
        <v>8.668333173</v>
      </c>
      <c r="BU434" s="331"/>
      <c r="BV434" s="333"/>
      <c r="BW434" s="614">
        <v>16.37</v>
      </c>
      <c r="BX434" s="615">
        <v>2.25</v>
      </c>
      <c r="BY434" s="331">
        <f t="shared" si="25"/>
        <v>4.943622154</v>
      </c>
      <c r="BZ434" s="340"/>
      <c r="CA434" s="316"/>
      <c r="CB434" s="318"/>
      <c r="CC434" s="318"/>
      <c r="CD434" s="318"/>
      <c r="CE434" s="318"/>
      <c r="CF434" s="318"/>
      <c r="CG434" s="318"/>
      <c r="CH434" s="318"/>
      <c r="CI434" s="338"/>
      <c r="CJ434" s="341"/>
      <c r="CK434" s="342">
        <f t="shared" si="18"/>
        <v>0</v>
      </c>
      <c r="CL434" s="333">
        <f t="shared" si="19"/>
        <v>0</v>
      </c>
      <c r="CM434" s="616"/>
      <c r="CN434" s="617"/>
      <c r="CO434" s="617"/>
      <c r="CP434" s="617"/>
    </row>
    <row r="435">
      <c r="B435" s="462"/>
      <c r="C435" s="596">
        <v>44096.0</v>
      </c>
      <c r="D435" s="597" t="s">
        <v>986</v>
      </c>
      <c r="E435" s="598">
        <v>13.0</v>
      </c>
      <c r="F435" s="599" t="str">
        <f t="shared" si="21"/>
        <v>2020/22-13</v>
      </c>
      <c r="G435" s="600">
        <v>0.626736111111111</v>
      </c>
      <c r="H435" s="601">
        <v>0.6271412037037037</v>
      </c>
      <c r="I435" s="601"/>
      <c r="J435" s="601"/>
      <c r="K435" s="601">
        <v>0.6285300925925926</v>
      </c>
      <c r="L435" s="602">
        <f t="shared" si="22"/>
        <v>0.001388888889</v>
      </c>
      <c r="M435" s="603" t="s">
        <v>358</v>
      </c>
      <c r="N435" s="604" t="s">
        <v>187</v>
      </c>
      <c r="O435" s="419" t="s">
        <v>201</v>
      </c>
      <c r="P435" s="605" t="s">
        <v>212</v>
      </c>
      <c r="Q435" s="603" t="s">
        <v>1214</v>
      </c>
      <c r="R435" s="606">
        <v>22.0</v>
      </c>
      <c r="S435" s="607">
        <v>7.0</v>
      </c>
      <c r="T435" s="608">
        <v>0.64</v>
      </c>
      <c r="U435" s="609">
        <v>0.6</v>
      </c>
      <c r="V435" s="609"/>
      <c r="W435" s="609"/>
      <c r="X435" s="609"/>
      <c r="Y435" s="609"/>
      <c r="Z435" s="603" t="s">
        <v>335</v>
      </c>
      <c r="AA435" s="603"/>
      <c r="AB435" s="319" t="s">
        <v>329</v>
      </c>
      <c r="AC435" s="611">
        <v>1.5</v>
      </c>
      <c r="AD435" s="610"/>
      <c r="AE435" s="610"/>
      <c r="AF435" s="610"/>
      <c r="AG435" s="610"/>
      <c r="AH435" s="610"/>
      <c r="AI435" s="610"/>
      <c r="AJ435" s="611"/>
      <c r="AK435" s="612"/>
      <c r="AL435" s="610"/>
      <c r="AM435" s="610"/>
      <c r="AN435" s="610"/>
      <c r="AO435" s="610"/>
      <c r="AP435" s="610"/>
      <c r="AQ435" s="610"/>
      <c r="AR435" s="610"/>
      <c r="AS435" s="611"/>
      <c r="AT435" s="461" t="s">
        <v>181</v>
      </c>
      <c r="AU435" s="324" t="s">
        <v>845</v>
      </c>
      <c r="AV435" s="330">
        <f>SQRT(($R435-Infrastructure!J$3)^2+($S435-Infrastructure!K$3)^2)</f>
        <v>31.25539953</v>
      </c>
      <c r="AW435" s="331">
        <f>SQRT(($R435-Infrastructure!J$4)^2+($S435-Infrastructure!K$4)^2)</f>
        <v>24.77761086</v>
      </c>
      <c r="AX435" s="331">
        <f>SQRT(($R435-Infrastructure!J$5)^2+($S435-Infrastructure!K$5)^2)</f>
        <v>22.38079534</v>
      </c>
      <c r="AY435" s="331">
        <f>SQRT(($R435-Infrastructure!J$6)^2+($S435-Infrastructure!K$6)^2)</f>
        <v>13.65650028</v>
      </c>
      <c r="AZ435" s="331">
        <f>SQRT(($R435-Infrastructure!J$7)^2+($S435-Infrastructure!K$7)^2)</f>
        <v>6.865857558</v>
      </c>
      <c r="BA435" s="331">
        <f>SQRT(($R435-Infrastructure!J$8)^2+($S435-Infrastructure!K$8)^2)</f>
        <v>10.51189802</v>
      </c>
      <c r="BB435" s="331">
        <f>SQRT(($R435-Infrastructure!J$9)^2+($S435-Infrastructure!K$9)^2)</f>
        <v>18.1</v>
      </c>
      <c r="BC435" s="331">
        <f>SQRT(($R435-Infrastructure!J$10)^2+($S435-Infrastructure!K$10)^2)</f>
        <v>19.6977156</v>
      </c>
      <c r="BD435" s="318"/>
      <c r="BE435" s="332"/>
      <c r="BF435" s="330">
        <f t="shared" si="14"/>
        <v>6.865857558</v>
      </c>
      <c r="BG435" s="333">
        <f t="shared" si="15"/>
        <v>31.25539953</v>
      </c>
      <c r="BH435" s="613"/>
      <c r="BI435" s="316"/>
      <c r="BJ435" s="318"/>
      <c r="BK435" s="318"/>
      <c r="BL435" s="318"/>
      <c r="BM435" s="318"/>
      <c r="BN435" s="319" t="s">
        <v>846</v>
      </c>
      <c r="BO435" s="318"/>
      <c r="BP435" s="318"/>
      <c r="BQ435" s="338"/>
      <c r="BR435" s="420"/>
      <c r="BS435" s="330">
        <f t="shared" si="23"/>
        <v>10.51189802</v>
      </c>
      <c r="BT435" s="331">
        <f t="shared" si="24"/>
        <v>10.51189802</v>
      </c>
      <c r="BU435" s="331"/>
      <c r="BV435" s="333"/>
      <c r="BW435" s="614">
        <v>24.48</v>
      </c>
      <c r="BX435" s="615">
        <v>4.05</v>
      </c>
      <c r="BY435" s="331">
        <f t="shared" si="25"/>
        <v>3.85394603</v>
      </c>
      <c r="BZ435" s="340"/>
      <c r="CA435" s="316"/>
      <c r="CB435" s="318"/>
      <c r="CC435" s="318"/>
      <c r="CD435" s="318"/>
      <c r="CE435" s="318"/>
      <c r="CF435" s="318"/>
      <c r="CG435" s="318"/>
      <c r="CH435" s="318"/>
      <c r="CI435" s="338"/>
      <c r="CJ435" s="341"/>
      <c r="CK435" s="342">
        <f t="shared" si="18"/>
        <v>0</v>
      </c>
      <c r="CL435" s="333">
        <f t="shared" si="19"/>
        <v>0</v>
      </c>
      <c r="CM435" s="616"/>
      <c r="CN435" s="617"/>
      <c r="CO435" s="617"/>
      <c r="CP435" s="617"/>
    </row>
    <row r="436">
      <c r="B436" s="462"/>
      <c r="C436" s="596">
        <v>44096.0</v>
      </c>
      <c r="D436" s="597" t="s">
        <v>986</v>
      </c>
      <c r="E436" s="598">
        <v>14.0</v>
      </c>
      <c r="F436" s="599" t="str">
        <f t="shared" si="21"/>
        <v>2020/22-14</v>
      </c>
      <c r="G436" s="600">
        <v>0.6319444444444444</v>
      </c>
      <c r="H436" s="601">
        <v>0.6322916666666667</v>
      </c>
      <c r="I436" s="601"/>
      <c r="J436" s="601"/>
      <c r="K436" s="601">
        <v>0.634375</v>
      </c>
      <c r="L436" s="602">
        <f t="shared" si="22"/>
        <v>0.002083333333</v>
      </c>
      <c r="M436" s="603" t="s">
        <v>358</v>
      </c>
      <c r="N436" s="604" t="s">
        <v>187</v>
      </c>
      <c r="O436" s="419" t="s">
        <v>201</v>
      </c>
      <c r="P436" s="605" t="s">
        <v>212</v>
      </c>
      <c r="Q436" s="603" t="s">
        <v>1214</v>
      </c>
      <c r="R436" s="606">
        <v>10.0</v>
      </c>
      <c r="S436" s="607">
        <v>5.0</v>
      </c>
      <c r="T436" s="608">
        <v>0.55</v>
      </c>
      <c r="U436" s="609">
        <v>1.5</v>
      </c>
      <c r="V436" s="609"/>
      <c r="W436" s="609"/>
      <c r="X436" s="609"/>
      <c r="Y436" s="609"/>
      <c r="Z436" s="603" t="s">
        <v>339</v>
      </c>
      <c r="AA436" s="603"/>
      <c r="AB436" s="319" t="s">
        <v>337</v>
      </c>
      <c r="AC436" s="611">
        <v>2.5</v>
      </c>
      <c r="AD436" s="610"/>
      <c r="AE436" s="610"/>
      <c r="AF436" s="610"/>
      <c r="AG436" s="610"/>
      <c r="AH436" s="610"/>
      <c r="AI436" s="610"/>
      <c r="AJ436" s="611"/>
      <c r="AK436" s="612"/>
      <c r="AL436" s="610"/>
      <c r="AM436" s="610"/>
      <c r="AN436" s="610"/>
      <c r="AO436" s="610"/>
      <c r="AP436" s="610"/>
      <c r="AQ436" s="610"/>
      <c r="AR436" s="610"/>
      <c r="AS436" s="611"/>
      <c r="AT436" s="461" t="s">
        <v>182</v>
      </c>
      <c r="AU436" s="324" t="s">
        <v>845</v>
      </c>
      <c r="AV436" s="330">
        <f>SQRT(($R436-Infrastructure!J$3)^2+($S436-Infrastructure!K$3)^2)</f>
        <v>26.02498799</v>
      </c>
      <c r="AW436" s="331">
        <f>SQRT(($R436-Infrastructure!J$4)^2+($S436-Infrastructure!K$4)^2)</f>
        <v>16.42954655</v>
      </c>
      <c r="AX436" s="331">
        <f>SQRT(($R436-Infrastructure!J$5)^2+($S436-Infrastructure!K$5)^2)</f>
        <v>10.30048543</v>
      </c>
      <c r="AY436" s="331">
        <f>SQRT(($R436-Infrastructure!J$6)^2+($S436-Infrastructure!K$6)^2)</f>
        <v>4.701063709</v>
      </c>
      <c r="AZ436" s="331">
        <f>SQRT(($R436-Infrastructure!J$7)^2+($S436-Infrastructure!K$7)^2)</f>
        <v>11.50391238</v>
      </c>
      <c r="BA436" s="331">
        <f>SQRT(($R436-Infrastructure!J$8)^2+($S436-Infrastructure!K$8)^2)</f>
        <v>20.64218981</v>
      </c>
      <c r="BB436" s="331">
        <f>SQRT(($R436-Infrastructure!J$9)^2+($S436-Infrastructure!K$9)^2)</f>
        <v>30.00016667</v>
      </c>
      <c r="BC436" s="331">
        <f>SQRT(($R436-Infrastructure!J$10)^2+($S436-Infrastructure!K$10)^2)</f>
        <v>31.6227766</v>
      </c>
      <c r="BD436" s="318"/>
      <c r="BE436" s="332"/>
      <c r="BF436" s="330">
        <f t="shared" si="14"/>
        <v>4.701063709</v>
      </c>
      <c r="BG436" s="333">
        <f t="shared" si="15"/>
        <v>31.6227766</v>
      </c>
      <c r="BH436" s="613"/>
      <c r="BI436" s="316"/>
      <c r="BJ436" s="318"/>
      <c r="BK436" s="318"/>
      <c r="BL436" s="319" t="s">
        <v>846</v>
      </c>
      <c r="BM436" s="318"/>
      <c r="BN436" s="318"/>
      <c r="BO436" s="318"/>
      <c r="BP436" s="318"/>
      <c r="BQ436" s="338"/>
      <c r="BR436" s="420"/>
      <c r="BS436" s="330">
        <f t="shared" si="23"/>
        <v>4.701063709</v>
      </c>
      <c r="BT436" s="331">
        <f t="shared" si="24"/>
        <v>4.701063709</v>
      </c>
      <c r="BU436" s="331"/>
      <c r="BV436" s="333"/>
      <c r="BW436" s="614">
        <v>15.2</v>
      </c>
      <c r="BX436" s="615">
        <v>6.88</v>
      </c>
      <c r="BY436" s="331">
        <f t="shared" si="25"/>
        <v>5.529412265</v>
      </c>
      <c r="BZ436" s="340"/>
      <c r="CA436" s="316"/>
      <c r="CB436" s="318"/>
      <c r="CC436" s="318"/>
      <c r="CD436" s="318"/>
      <c r="CE436" s="318"/>
      <c r="CF436" s="318"/>
      <c r="CG436" s="318"/>
      <c r="CH436" s="318"/>
      <c r="CI436" s="338"/>
      <c r="CJ436" s="341"/>
      <c r="CK436" s="342">
        <f t="shared" si="18"/>
        <v>0</v>
      </c>
      <c r="CL436" s="333">
        <f t="shared" si="19"/>
        <v>0</v>
      </c>
      <c r="CM436" s="616"/>
      <c r="CN436" s="617"/>
      <c r="CO436" s="617"/>
      <c r="CP436" s="617"/>
    </row>
    <row r="437">
      <c r="B437" s="462"/>
      <c r="C437" s="596">
        <v>44096.0</v>
      </c>
      <c r="D437" s="597" t="s">
        <v>986</v>
      </c>
      <c r="E437" s="598">
        <v>15.0</v>
      </c>
      <c r="F437" s="599" t="str">
        <f t="shared" si="21"/>
        <v>2020/22-15</v>
      </c>
      <c r="G437" s="600">
        <v>0.6437499999999999</v>
      </c>
      <c r="H437" s="601">
        <v>0.6441550925925926</v>
      </c>
      <c r="I437" s="601"/>
      <c r="J437" s="601"/>
      <c r="K437" s="601">
        <v>0.6455439814814815</v>
      </c>
      <c r="L437" s="602">
        <f t="shared" si="22"/>
        <v>0.001388888889</v>
      </c>
      <c r="M437" s="603" t="s">
        <v>358</v>
      </c>
      <c r="N437" s="604" t="s">
        <v>188</v>
      </c>
      <c r="O437" s="419" t="s">
        <v>378</v>
      </c>
      <c r="P437" s="603" t="s">
        <v>217</v>
      </c>
      <c r="Q437" s="603" t="s">
        <v>851</v>
      </c>
      <c r="R437" s="606">
        <v>22.4</v>
      </c>
      <c r="S437" s="620">
        <v>39.6</v>
      </c>
      <c r="T437" s="618">
        <v>1.8</v>
      </c>
      <c r="U437" s="609">
        <v>3.0</v>
      </c>
      <c r="V437" s="609"/>
      <c r="W437" s="609"/>
      <c r="X437" s="609"/>
      <c r="Y437" s="609"/>
      <c r="Z437" s="603" t="s">
        <v>1140</v>
      </c>
      <c r="AA437" s="603"/>
      <c r="AB437" s="610" t="s">
        <v>407</v>
      </c>
      <c r="AC437" s="611">
        <v>15.75</v>
      </c>
      <c r="AD437" s="610"/>
      <c r="AE437" s="610"/>
      <c r="AF437" s="610"/>
      <c r="AG437" s="610"/>
      <c r="AH437" s="610"/>
      <c r="AI437" s="610"/>
      <c r="AJ437" s="611"/>
      <c r="AK437" s="612"/>
      <c r="AL437" s="610"/>
      <c r="AM437" s="610"/>
      <c r="AN437" s="610"/>
      <c r="AO437" s="610"/>
      <c r="AP437" s="610"/>
      <c r="AQ437" s="610"/>
      <c r="AR437" s="610"/>
      <c r="AS437" s="611"/>
      <c r="AT437" s="461" t="s">
        <v>182</v>
      </c>
      <c r="AU437" s="324" t="s">
        <v>845</v>
      </c>
      <c r="AV437" s="330">
        <f>SQRT(($R437-Infrastructure!J$3)^2+($S437-Infrastructure!K$3)^2)</f>
        <v>25.09541791</v>
      </c>
      <c r="AW437" s="331">
        <f>SQRT(($R437-Infrastructure!J$4)^2+($S437-Infrastructure!K$4)^2)</f>
        <v>31.47268657</v>
      </c>
      <c r="AX437" s="331">
        <f>SQRT(($R437-Infrastructure!J$5)^2+($S437-Infrastructure!K$5)^2)</f>
        <v>41.29818398</v>
      </c>
      <c r="AY437" s="331">
        <f>SQRT(($R437-Infrastructure!J$6)^2+($S437-Infrastructure!K$6)^2)</f>
        <v>41.17984944</v>
      </c>
      <c r="AZ437" s="331">
        <f>SQRT(($R437-Infrastructure!J$7)^2+($S437-Infrastructure!K$7)^2)</f>
        <v>39.34590195</v>
      </c>
      <c r="BA437" s="331">
        <f>SQRT(($R437-Infrastructure!J$8)^2+($S437-Infrastructure!K$8)^2)</f>
        <v>40.04722213</v>
      </c>
      <c r="BB437" s="331">
        <f>SQRT(($R437-Infrastructure!J$9)^2+($S437-Infrastructure!K$9)^2)</f>
        <v>38.72996256</v>
      </c>
      <c r="BC437" s="331">
        <f>SQRT(($R437-Infrastructure!J$10)^2+($S437-Infrastructure!K$10)^2)</f>
        <v>30.24764454</v>
      </c>
      <c r="BD437" s="318"/>
      <c r="BE437" s="332"/>
      <c r="BF437" s="330">
        <f t="shared" si="14"/>
        <v>25.09541791</v>
      </c>
      <c r="BG437" s="333">
        <f t="shared" si="15"/>
        <v>41.29818398</v>
      </c>
      <c r="BH437" s="613"/>
      <c r="BI437" s="316"/>
      <c r="BJ437" s="318"/>
      <c r="BK437" s="318"/>
      <c r="BL437" s="318"/>
      <c r="BM437" s="318"/>
      <c r="BN437" s="318"/>
      <c r="BO437" s="318"/>
      <c r="BP437" s="318"/>
      <c r="BQ437" s="338"/>
      <c r="BR437" s="420"/>
      <c r="BS437" s="330">
        <f t="shared" si="23"/>
        <v>0</v>
      </c>
      <c r="BT437" s="331">
        <f t="shared" si="24"/>
        <v>0</v>
      </c>
      <c r="BU437" s="331"/>
      <c r="BV437" s="333"/>
      <c r="BW437" s="614"/>
      <c r="BX437" s="615"/>
      <c r="BY437" s="331" t="b">
        <f t="shared" si="25"/>
        <v>0</v>
      </c>
      <c r="BZ437" s="340"/>
      <c r="CA437" s="316"/>
      <c r="CB437" s="318"/>
      <c r="CC437" s="318"/>
      <c r="CD437" s="318"/>
      <c r="CE437" s="318"/>
      <c r="CF437" s="318"/>
      <c r="CG437" s="318"/>
      <c r="CH437" s="318"/>
      <c r="CI437" s="338"/>
      <c r="CJ437" s="341"/>
      <c r="CK437" s="342">
        <f t="shared" si="18"/>
        <v>0</v>
      </c>
      <c r="CL437" s="333">
        <f t="shared" si="19"/>
        <v>0</v>
      </c>
      <c r="CM437" s="616"/>
      <c r="CN437" s="617"/>
      <c r="CO437" s="617"/>
      <c r="CP437" s="617"/>
    </row>
    <row r="438">
      <c r="B438" s="462"/>
      <c r="C438" s="596">
        <v>44096.0</v>
      </c>
      <c r="D438" s="597" t="s">
        <v>1214</v>
      </c>
      <c r="E438" s="598">
        <v>16.0</v>
      </c>
      <c r="F438" s="619" t="str">
        <f t="shared" si="21"/>
        <v>2020/22-16</v>
      </c>
      <c r="G438" s="600">
        <v>0.6944444444444445</v>
      </c>
      <c r="H438" s="601">
        <v>0.6947916666666667</v>
      </c>
      <c r="I438" s="601"/>
      <c r="J438" s="601"/>
      <c r="K438" s="601">
        <v>0.696875</v>
      </c>
      <c r="L438" s="602">
        <f t="shared" si="22"/>
        <v>0.002083333333</v>
      </c>
      <c r="M438" s="603" t="s">
        <v>358</v>
      </c>
      <c r="N438" s="604" t="s">
        <v>188</v>
      </c>
      <c r="O438" s="419" t="s">
        <v>378</v>
      </c>
      <c r="P438" s="603" t="s">
        <v>217</v>
      </c>
      <c r="Q438" s="603" t="s">
        <v>851</v>
      </c>
      <c r="R438" s="606">
        <v>22.4</v>
      </c>
      <c r="S438" s="620">
        <v>39.6</v>
      </c>
      <c r="T438" s="618">
        <v>1.8</v>
      </c>
      <c r="U438" s="609">
        <v>4.0</v>
      </c>
      <c r="V438" s="609"/>
      <c r="W438" s="609"/>
      <c r="X438" s="609"/>
      <c r="Y438" s="609"/>
      <c r="Z438" s="603" t="s">
        <v>1140</v>
      </c>
      <c r="AA438" s="603"/>
      <c r="AB438" s="624" t="s">
        <v>407</v>
      </c>
      <c r="AC438" s="621">
        <v>15.75</v>
      </c>
      <c r="AD438" s="603"/>
      <c r="AE438" s="603"/>
      <c r="AF438" s="603"/>
      <c r="AG438" s="603"/>
      <c r="AH438" s="603"/>
      <c r="AI438" s="603"/>
      <c r="AJ438" s="621"/>
      <c r="AK438" s="622"/>
      <c r="AL438" s="603"/>
      <c r="AM438" s="603"/>
      <c r="AN438" s="603"/>
      <c r="AO438" s="603"/>
      <c r="AP438" s="603"/>
      <c r="AQ438" s="603"/>
      <c r="AR438" s="603"/>
      <c r="AS438" s="621"/>
      <c r="AT438" s="461" t="s">
        <v>182</v>
      </c>
      <c r="AU438" s="324" t="s">
        <v>845</v>
      </c>
      <c r="AV438" s="330">
        <f>SQRT(($R438-Infrastructure!J$3)^2+($S438-Infrastructure!K$3)^2)</f>
        <v>25.09541791</v>
      </c>
      <c r="AW438" s="331">
        <f>SQRT(($R438-Infrastructure!J$4)^2+($S438-Infrastructure!K$4)^2)</f>
        <v>31.47268657</v>
      </c>
      <c r="AX438" s="331">
        <f>SQRT(($R438-Infrastructure!J$5)^2+($S438-Infrastructure!K$5)^2)</f>
        <v>41.29818398</v>
      </c>
      <c r="AY438" s="331">
        <f>SQRT(($R438-Infrastructure!J$6)^2+($S438-Infrastructure!K$6)^2)</f>
        <v>41.17984944</v>
      </c>
      <c r="AZ438" s="331">
        <f>SQRT(($R438-Infrastructure!J$7)^2+($S438-Infrastructure!K$7)^2)</f>
        <v>39.34590195</v>
      </c>
      <c r="BA438" s="331">
        <f>SQRT(($R438-Infrastructure!J$8)^2+($S438-Infrastructure!K$8)^2)</f>
        <v>40.04722213</v>
      </c>
      <c r="BB438" s="331">
        <f>SQRT(($R438-Infrastructure!J$9)^2+($S438-Infrastructure!K$9)^2)</f>
        <v>38.72996256</v>
      </c>
      <c r="BC438" s="331">
        <f>SQRT(($R438-Infrastructure!J$10)^2+($S438-Infrastructure!K$10)^2)</f>
        <v>30.24764454</v>
      </c>
      <c r="BD438" s="318"/>
      <c r="BE438" s="332"/>
      <c r="BF438" s="330">
        <f t="shared" si="14"/>
        <v>25.09541791</v>
      </c>
      <c r="BG438" s="333">
        <f t="shared" si="15"/>
        <v>41.29818398</v>
      </c>
      <c r="BH438" s="613"/>
      <c r="BI438" s="316"/>
      <c r="BJ438" s="318"/>
      <c r="BK438" s="318"/>
      <c r="BL438" s="318"/>
      <c r="BM438" s="318"/>
      <c r="BN438" s="318"/>
      <c r="BO438" s="318"/>
      <c r="BP438" s="318"/>
      <c r="BQ438" s="338"/>
      <c r="BR438" s="420"/>
      <c r="BS438" s="330">
        <f t="shared" si="23"/>
        <v>0</v>
      </c>
      <c r="BT438" s="331">
        <f t="shared" si="24"/>
        <v>0</v>
      </c>
      <c r="BU438" s="331"/>
      <c r="BV438" s="333"/>
      <c r="BW438" s="614"/>
      <c r="BX438" s="615"/>
      <c r="BY438" s="331" t="b">
        <f t="shared" si="25"/>
        <v>0</v>
      </c>
      <c r="BZ438" s="340"/>
      <c r="CA438" s="316"/>
      <c r="CB438" s="318"/>
      <c r="CC438" s="318"/>
      <c r="CD438" s="318"/>
      <c r="CE438" s="318"/>
      <c r="CF438" s="318"/>
      <c r="CG438" s="318"/>
      <c r="CH438" s="318"/>
      <c r="CI438" s="338"/>
      <c r="CJ438" s="341"/>
      <c r="CK438" s="342">
        <f t="shared" si="18"/>
        <v>0</v>
      </c>
      <c r="CL438" s="333">
        <f t="shared" si="19"/>
        <v>0</v>
      </c>
      <c r="CM438" s="616"/>
      <c r="CN438" s="617"/>
      <c r="CO438" s="617"/>
      <c r="CP438" s="617"/>
    </row>
    <row r="439">
      <c r="B439" s="462"/>
      <c r="C439" s="596">
        <v>44096.0</v>
      </c>
      <c r="D439" s="597" t="s">
        <v>1214</v>
      </c>
      <c r="E439" s="598">
        <v>17.0</v>
      </c>
      <c r="F439" s="599" t="str">
        <f t="shared" si="21"/>
        <v>2020/22-17</v>
      </c>
      <c r="G439" s="600">
        <v>0.7006944444444444</v>
      </c>
      <c r="H439" s="601">
        <v>0.7012731481481481</v>
      </c>
      <c r="I439" s="601"/>
      <c r="J439" s="601"/>
      <c r="K439" s="601">
        <v>0.7023726851851851</v>
      </c>
      <c r="L439" s="602">
        <f t="shared" si="22"/>
        <v>0.001099537037</v>
      </c>
      <c r="M439" s="603" t="s">
        <v>358</v>
      </c>
      <c r="N439" s="604" t="s">
        <v>188</v>
      </c>
      <c r="O439" s="419" t="s">
        <v>196</v>
      </c>
      <c r="P439" s="605" t="s">
        <v>224</v>
      </c>
      <c r="Q439" s="603" t="s">
        <v>842</v>
      </c>
      <c r="R439" s="606">
        <v>21.4</v>
      </c>
      <c r="S439" s="620">
        <v>39.3</v>
      </c>
      <c r="T439" s="618">
        <v>1.2</v>
      </c>
      <c r="U439" s="609">
        <v>14.0</v>
      </c>
      <c r="V439" s="609"/>
      <c r="W439" s="609"/>
      <c r="X439" s="609"/>
      <c r="Y439" s="609"/>
      <c r="Z439" s="603" t="s">
        <v>387</v>
      </c>
      <c r="AA439" s="603"/>
      <c r="AB439" s="610" t="s">
        <v>413</v>
      </c>
      <c r="AC439" s="611">
        <v>26.6</v>
      </c>
      <c r="AD439" s="610"/>
      <c r="AE439" s="610"/>
      <c r="AF439" s="610"/>
      <c r="AG439" s="610"/>
      <c r="AH439" s="610"/>
      <c r="AI439" s="610"/>
      <c r="AJ439" s="611"/>
      <c r="AK439" s="612"/>
      <c r="AL439" s="610"/>
      <c r="AM439" s="610"/>
      <c r="AN439" s="610"/>
      <c r="AO439" s="610"/>
      <c r="AP439" s="610"/>
      <c r="AQ439" s="610"/>
      <c r="AR439" s="610"/>
      <c r="AS439" s="611"/>
      <c r="AT439" s="461" t="s">
        <v>183</v>
      </c>
      <c r="AU439" s="324" t="s">
        <v>845</v>
      </c>
      <c r="AV439" s="330">
        <f>SQRT(($R439-Infrastructure!J$3)^2+($S439-Infrastructure!K$3)^2)</f>
        <v>24.06345777</v>
      </c>
      <c r="AW439" s="331">
        <f>SQRT(($R439-Infrastructure!J$4)^2+($S439-Infrastructure!K$4)^2)</f>
        <v>30.54734031</v>
      </c>
      <c r="AX439" s="331">
        <f>SQRT(($R439-Infrastructure!J$5)^2+($S439-Infrastructure!K$5)^2)</f>
        <v>40.50345664</v>
      </c>
      <c r="AY439" s="331">
        <f>SQRT(($R439-Infrastructure!J$6)^2+($S439-Infrastructure!K$6)^2)</f>
        <v>40.60406384</v>
      </c>
      <c r="AZ439" s="331">
        <f>SQRT(($R439-Infrastructure!J$7)^2+($S439-Infrastructure!K$7)^2)</f>
        <v>39.01038323</v>
      </c>
      <c r="BA439" s="331">
        <f>SQRT(($R439-Infrastructure!J$8)^2+($S439-Infrastructure!K$8)^2)</f>
        <v>39.95860358</v>
      </c>
      <c r="BB439" s="331">
        <f>SQRT(($R439-Infrastructure!J$9)^2+($S439-Infrastructure!K$9)^2)</f>
        <v>38.93070767</v>
      </c>
      <c r="BC439" s="331">
        <f>SQRT(($R439-Infrastructure!J$10)^2+($S439-Infrastructure!K$10)^2)</f>
        <v>30.60147055</v>
      </c>
      <c r="BD439" s="318"/>
      <c r="BE439" s="332"/>
      <c r="BF439" s="330">
        <f t="shared" si="14"/>
        <v>24.06345777</v>
      </c>
      <c r="BG439" s="333">
        <f t="shared" si="15"/>
        <v>40.60406384</v>
      </c>
      <c r="BH439" s="613"/>
      <c r="BI439" s="316"/>
      <c r="BJ439" s="318"/>
      <c r="BK439" s="318"/>
      <c r="BL439" s="318"/>
      <c r="BM439" s="318"/>
      <c r="BN439" s="318"/>
      <c r="BO439" s="318"/>
      <c r="BP439" s="318"/>
      <c r="BQ439" s="338"/>
      <c r="BR439" s="420"/>
      <c r="BS439" s="330">
        <f t="shared" si="23"/>
        <v>0</v>
      </c>
      <c r="BT439" s="331">
        <f t="shared" si="24"/>
        <v>0</v>
      </c>
      <c r="BU439" s="331"/>
      <c r="BV439" s="333"/>
      <c r="BW439" s="614"/>
      <c r="BX439" s="615"/>
      <c r="BY439" s="331" t="b">
        <f t="shared" si="25"/>
        <v>0</v>
      </c>
      <c r="BZ439" s="340"/>
      <c r="CA439" s="316"/>
      <c r="CB439" s="318"/>
      <c r="CC439" s="318"/>
      <c r="CD439" s="318"/>
      <c r="CE439" s="318"/>
      <c r="CF439" s="318"/>
      <c r="CG439" s="318"/>
      <c r="CH439" s="318"/>
      <c r="CI439" s="338"/>
      <c r="CJ439" s="341"/>
      <c r="CK439" s="342">
        <f t="shared" si="18"/>
        <v>0</v>
      </c>
      <c r="CL439" s="333">
        <f t="shared" si="19"/>
        <v>0</v>
      </c>
      <c r="CM439" s="616"/>
      <c r="CN439" s="617"/>
      <c r="CO439" s="617"/>
      <c r="CP439" s="617"/>
    </row>
    <row r="440">
      <c r="B440" s="462"/>
      <c r="C440" s="596">
        <v>44096.0</v>
      </c>
      <c r="D440" s="597" t="s">
        <v>1214</v>
      </c>
      <c r="E440" s="598">
        <v>18.0</v>
      </c>
      <c r="F440" s="599" t="str">
        <f t="shared" si="21"/>
        <v>2020/22-18</v>
      </c>
      <c r="G440" s="600">
        <v>0.7083333333333334</v>
      </c>
      <c r="H440" s="601">
        <v>0.7097222222222223</v>
      </c>
      <c r="I440" s="601"/>
      <c r="J440" s="601"/>
      <c r="K440" s="601">
        <v>0.7108796296296296</v>
      </c>
      <c r="L440" s="602">
        <f t="shared" si="22"/>
        <v>0.001157407407</v>
      </c>
      <c r="M440" s="603" t="s">
        <v>358</v>
      </c>
      <c r="N440" s="604" t="s">
        <v>188</v>
      </c>
      <c r="O440" s="419" t="s">
        <v>196</v>
      </c>
      <c r="P440" s="605" t="s">
        <v>224</v>
      </c>
      <c r="Q440" s="603" t="s">
        <v>842</v>
      </c>
      <c r="R440" s="606">
        <v>21.4</v>
      </c>
      <c r="S440" s="620">
        <v>39.3</v>
      </c>
      <c r="T440" s="618">
        <v>1.2</v>
      </c>
      <c r="U440" s="609">
        <v>115.0</v>
      </c>
      <c r="V440" s="609"/>
      <c r="W440" s="609"/>
      <c r="X440" s="609"/>
      <c r="Y440" s="609"/>
      <c r="Z440" s="603" t="s">
        <v>387</v>
      </c>
      <c r="AA440" s="603"/>
      <c r="AB440" s="610" t="s">
        <v>419</v>
      </c>
      <c r="AC440" s="611">
        <v>77.9</v>
      </c>
      <c r="AD440" s="610"/>
      <c r="AE440" s="610"/>
      <c r="AF440" s="610"/>
      <c r="AG440" s="610"/>
      <c r="AH440" s="610"/>
      <c r="AI440" s="610"/>
      <c r="AJ440" s="611"/>
      <c r="AK440" s="612"/>
      <c r="AL440" s="610"/>
      <c r="AM440" s="610"/>
      <c r="AN440" s="610"/>
      <c r="AO440" s="610"/>
      <c r="AP440" s="610"/>
      <c r="AQ440" s="610"/>
      <c r="AR440" s="610"/>
      <c r="AS440" s="611"/>
      <c r="AT440" s="461" t="s">
        <v>183</v>
      </c>
      <c r="AU440" s="324" t="s">
        <v>845</v>
      </c>
      <c r="AV440" s="330">
        <f>SQRT(($R440-Infrastructure!J$3)^2+($S440-Infrastructure!K$3)^2)</f>
        <v>24.06345777</v>
      </c>
      <c r="AW440" s="331">
        <f>SQRT(($R440-Infrastructure!J$4)^2+($S440-Infrastructure!K$4)^2)</f>
        <v>30.54734031</v>
      </c>
      <c r="AX440" s="331">
        <f>SQRT(($R440-Infrastructure!J$5)^2+($S440-Infrastructure!K$5)^2)</f>
        <v>40.50345664</v>
      </c>
      <c r="AY440" s="331">
        <f>SQRT(($R440-Infrastructure!J$6)^2+($S440-Infrastructure!K$6)^2)</f>
        <v>40.60406384</v>
      </c>
      <c r="AZ440" s="331">
        <f>SQRT(($R440-Infrastructure!J$7)^2+($S440-Infrastructure!K$7)^2)</f>
        <v>39.01038323</v>
      </c>
      <c r="BA440" s="331">
        <f>SQRT(($R440-Infrastructure!J$8)^2+($S440-Infrastructure!K$8)^2)</f>
        <v>39.95860358</v>
      </c>
      <c r="BB440" s="331">
        <f>SQRT(($R440-Infrastructure!J$9)^2+($S440-Infrastructure!K$9)^2)</f>
        <v>38.93070767</v>
      </c>
      <c r="BC440" s="331">
        <f>SQRT(($R440-Infrastructure!J$10)^2+($S440-Infrastructure!K$10)^2)</f>
        <v>30.60147055</v>
      </c>
      <c r="BD440" s="318"/>
      <c r="BE440" s="332"/>
      <c r="BF440" s="330">
        <f t="shared" si="14"/>
        <v>24.06345777</v>
      </c>
      <c r="BG440" s="333">
        <f t="shared" si="15"/>
        <v>40.60406384</v>
      </c>
      <c r="BH440" s="613"/>
      <c r="BI440" s="462" t="s">
        <v>846</v>
      </c>
      <c r="BJ440" s="318"/>
      <c r="BK440" s="318"/>
      <c r="BL440" s="319" t="s">
        <v>846</v>
      </c>
      <c r="BM440" s="318"/>
      <c r="BN440" s="318"/>
      <c r="BO440" s="318"/>
      <c r="BP440" s="318"/>
      <c r="BQ440" s="338"/>
      <c r="BR440" s="420"/>
      <c r="BS440" s="330">
        <f t="shared" si="23"/>
        <v>24.06345777</v>
      </c>
      <c r="BT440" s="331">
        <f t="shared" si="24"/>
        <v>40.60406384</v>
      </c>
      <c r="BU440" s="331"/>
      <c r="BV440" s="333"/>
      <c r="BW440" s="614">
        <v>14.41</v>
      </c>
      <c r="BX440" s="615">
        <v>12.02</v>
      </c>
      <c r="BY440" s="331">
        <f t="shared" si="25"/>
        <v>28.16129436</v>
      </c>
      <c r="BZ440" s="340"/>
      <c r="CA440" s="316"/>
      <c r="CB440" s="318"/>
      <c r="CC440" s="318"/>
      <c r="CD440" s="318"/>
      <c r="CE440" s="318"/>
      <c r="CF440" s="318"/>
      <c r="CG440" s="318"/>
      <c r="CH440" s="318"/>
      <c r="CI440" s="338"/>
      <c r="CJ440" s="341"/>
      <c r="CK440" s="342">
        <f t="shared" si="18"/>
        <v>0</v>
      </c>
      <c r="CL440" s="333">
        <f t="shared" si="19"/>
        <v>0</v>
      </c>
      <c r="CM440" s="616"/>
      <c r="CN440" s="617"/>
      <c r="CO440" s="617"/>
      <c r="CP440" s="617"/>
    </row>
    <row r="441">
      <c r="B441" s="462"/>
      <c r="C441" s="596">
        <v>44096.0</v>
      </c>
      <c r="D441" s="597" t="s">
        <v>1214</v>
      </c>
      <c r="E441" s="598">
        <v>19.0</v>
      </c>
      <c r="F441" s="599" t="str">
        <f t="shared" si="21"/>
        <v>2020/22-19</v>
      </c>
      <c r="G441" s="600">
        <v>0.7138888888888889</v>
      </c>
      <c r="H441" s="601">
        <v>0.7145833333333332</v>
      </c>
      <c r="I441" s="601"/>
      <c r="J441" s="601"/>
      <c r="K441" s="601">
        <v>0.7161458333333334</v>
      </c>
      <c r="L441" s="602">
        <f t="shared" si="22"/>
        <v>0.0015625</v>
      </c>
      <c r="M441" s="603" t="s">
        <v>358</v>
      </c>
      <c r="N441" s="604" t="s">
        <v>188</v>
      </c>
      <c r="O441" s="419" t="s">
        <v>196</v>
      </c>
      <c r="P441" s="605" t="s">
        <v>224</v>
      </c>
      <c r="Q441" s="603" t="s">
        <v>842</v>
      </c>
      <c r="R441" s="606">
        <v>21.4</v>
      </c>
      <c r="S441" s="620">
        <v>39.3</v>
      </c>
      <c r="T441" s="618">
        <v>1.2</v>
      </c>
      <c r="U441" s="609">
        <v>200.0</v>
      </c>
      <c r="V441" s="609"/>
      <c r="W441" s="609"/>
      <c r="X441" s="609"/>
      <c r="Y441" s="609"/>
      <c r="Z441" s="603" t="s">
        <v>387</v>
      </c>
      <c r="AA441" s="603"/>
      <c r="AB441" s="610" t="s">
        <v>422</v>
      </c>
      <c r="AC441" s="611">
        <v>102.3</v>
      </c>
      <c r="AD441" s="610"/>
      <c r="AE441" s="610"/>
      <c r="AF441" s="610"/>
      <c r="AG441" s="610"/>
      <c r="AH441" s="610"/>
      <c r="AI441" s="610"/>
      <c r="AJ441" s="611"/>
      <c r="AK441" s="612"/>
      <c r="AL441" s="610"/>
      <c r="AM441" s="610"/>
      <c r="AN441" s="610"/>
      <c r="AO441" s="610"/>
      <c r="AP441" s="610"/>
      <c r="AQ441" s="610"/>
      <c r="AR441" s="610"/>
      <c r="AS441" s="611"/>
      <c r="AT441" s="461" t="s">
        <v>183</v>
      </c>
      <c r="AU441" s="324" t="s">
        <v>845</v>
      </c>
      <c r="AV441" s="330">
        <f>SQRT(($R441-Infrastructure!J$3)^2+($S441-Infrastructure!K$3)^2)</f>
        <v>24.06345777</v>
      </c>
      <c r="AW441" s="331">
        <f>SQRT(($R441-Infrastructure!J$4)^2+($S441-Infrastructure!K$4)^2)</f>
        <v>30.54734031</v>
      </c>
      <c r="AX441" s="331">
        <f>SQRT(($R441-Infrastructure!J$5)^2+($S441-Infrastructure!K$5)^2)</f>
        <v>40.50345664</v>
      </c>
      <c r="AY441" s="331">
        <f>SQRT(($R441-Infrastructure!J$6)^2+($S441-Infrastructure!K$6)^2)</f>
        <v>40.60406384</v>
      </c>
      <c r="AZ441" s="331">
        <f>SQRT(($R441-Infrastructure!J$7)^2+($S441-Infrastructure!K$7)^2)</f>
        <v>39.01038323</v>
      </c>
      <c r="BA441" s="331">
        <f>SQRT(($R441-Infrastructure!J$8)^2+($S441-Infrastructure!K$8)^2)</f>
        <v>39.95860358</v>
      </c>
      <c r="BB441" s="331">
        <f>SQRT(($R441-Infrastructure!J$9)^2+($S441-Infrastructure!K$9)^2)</f>
        <v>38.93070767</v>
      </c>
      <c r="BC441" s="331">
        <f>SQRT(($R441-Infrastructure!J$10)^2+($S441-Infrastructure!K$10)^2)</f>
        <v>30.60147055</v>
      </c>
      <c r="BD441" s="318"/>
      <c r="BE441" s="332"/>
      <c r="BF441" s="330">
        <f t="shared" si="14"/>
        <v>24.06345777</v>
      </c>
      <c r="BG441" s="333">
        <f t="shared" si="15"/>
        <v>40.60406384</v>
      </c>
      <c r="BH441" s="613"/>
      <c r="BI441" s="316"/>
      <c r="BJ441" s="318"/>
      <c r="BK441" s="318"/>
      <c r="BL441" s="318"/>
      <c r="BM441" s="318"/>
      <c r="BN441" s="318"/>
      <c r="BO441" s="318"/>
      <c r="BP441" s="319" t="s">
        <v>846</v>
      </c>
      <c r="BQ441" s="338"/>
      <c r="BR441" s="420"/>
      <c r="BS441" s="330">
        <f t="shared" si="23"/>
        <v>30.60147055</v>
      </c>
      <c r="BT441" s="331">
        <f t="shared" si="24"/>
        <v>30.60147055</v>
      </c>
      <c r="BU441" s="331"/>
      <c r="BV441" s="333"/>
      <c r="BW441" s="614">
        <v>17.86</v>
      </c>
      <c r="BX441" s="615">
        <v>12.24</v>
      </c>
      <c r="BY441" s="331">
        <f t="shared" si="25"/>
        <v>27.2905698</v>
      </c>
      <c r="BZ441" s="340"/>
      <c r="CA441" s="316"/>
      <c r="CB441" s="318"/>
      <c r="CC441" s="318"/>
      <c r="CD441" s="318"/>
      <c r="CE441" s="318"/>
      <c r="CF441" s="318"/>
      <c r="CG441" s="318"/>
      <c r="CH441" s="318"/>
      <c r="CI441" s="338"/>
      <c r="CJ441" s="341"/>
      <c r="CK441" s="342">
        <f t="shared" si="18"/>
        <v>0</v>
      </c>
      <c r="CL441" s="333">
        <f t="shared" si="19"/>
        <v>0</v>
      </c>
      <c r="CM441" s="616"/>
      <c r="CN441" s="617"/>
      <c r="CO441" s="617"/>
      <c r="CP441" s="617"/>
    </row>
    <row r="442">
      <c r="B442" s="462"/>
      <c r="C442" s="596">
        <v>44097.0</v>
      </c>
      <c r="D442" s="597" t="s">
        <v>1214</v>
      </c>
      <c r="E442" s="598">
        <v>20.0</v>
      </c>
      <c r="F442" s="619" t="str">
        <f t="shared" si="21"/>
        <v>2020/23-20</v>
      </c>
      <c r="G442" s="600">
        <v>0.409375</v>
      </c>
      <c r="H442" s="601">
        <v>0.4099537037037037</v>
      </c>
      <c r="I442" s="601"/>
      <c r="J442" s="601"/>
      <c r="K442" s="601">
        <v>0.4113425925925926</v>
      </c>
      <c r="L442" s="602">
        <f t="shared" si="22"/>
        <v>0.001388888889</v>
      </c>
      <c r="M442" s="603" t="s">
        <v>358</v>
      </c>
      <c r="N442" s="604" t="s">
        <v>187</v>
      </c>
      <c r="O442" s="419" t="s">
        <v>201</v>
      </c>
      <c r="P442" s="605" t="s">
        <v>212</v>
      </c>
      <c r="Q442" s="603"/>
      <c r="R442" s="606">
        <v>17.0</v>
      </c>
      <c r="S442" s="607">
        <v>7.0</v>
      </c>
      <c r="T442" s="608">
        <v>0.55</v>
      </c>
      <c r="U442" s="625">
        <v>5.1</v>
      </c>
      <c r="V442" s="625"/>
      <c r="W442" s="625"/>
      <c r="X442" s="625"/>
      <c r="Y442" s="625"/>
      <c r="Z442" s="603" t="s">
        <v>339</v>
      </c>
      <c r="AA442" s="603"/>
      <c r="AB442" s="624" t="s">
        <v>349</v>
      </c>
      <c r="AC442" s="621">
        <v>5.0</v>
      </c>
      <c r="AD442" s="603"/>
      <c r="AE442" s="603"/>
      <c r="AF442" s="603"/>
      <c r="AG442" s="603"/>
      <c r="AH442" s="603"/>
      <c r="AI442" s="603"/>
      <c r="AJ442" s="621"/>
      <c r="AK442" s="622"/>
      <c r="AL442" s="603"/>
      <c r="AM442" s="603"/>
      <c r="AN442" s="603"/>
      <c r="AO442" s="603"/>
      <c r="AP442" s="603"/>
      <c r="AQ442" s="603"/>
      <c r="AR442" s="603"/>
      <c r="AS442" s="621"/>
      <c r="AT442" s="461" t="s">
        <v>182</v>
      </c>
      <c r="AU442" s="324" t="s">
        <v>845</v>
      </c>
      <c r="AV442" s="330">
        <f>SQRT(($R442-Infrastructure!J$3)^2+($S442-Infrastructure!K$3)^2)</f>
        <v>27.90877998</v>
      </c>
      <c r="AW442" s="331">
        <f>SQRT(($R442-Infrastructure!J$4)^2+($S442-Infrastructure!K$4)^2)</f>
        <v>20.39436197</v>
      </c>
      <c r="AX442" s="331">
        <f>SQRT(($R442-Infrastructure!J$5)^2+($S442-Infrastructure!K$5)^2)</f>
        <v>17.40402252</v>
      </c>
      <c r="AY442" s="331">
        <f>SQRT(($R442-Infrastructure!J$6)^2+($S442-Infrastructure!K$6)^2)</f>
        <v>9.617692031</v>
      </c>
      <c r="AZ442" s="331">
        <f>SQRT(($R442-Infrastructure!J$7)^2+($S442-Infrastructure!K$7)^2)</f>
        <v>7.559100476</v>
      </c>
      <c r="BA442" s="331">
        <f>SQRT(($R442-Infrastructure!J$8)^2+($S442-Infrastructure!K$8)^2)</f>
        <v>14.71393897</v>
      </c>
      <c r="BB442" s="331">
        <f>SQRT(($R442-Infrastructure!J$9)^2+($S442-Infrastructure!K$9)^2)</f>
        <v>23.07834483</v>
      </c>
      <c r="BC442" s="331">
        <f>SQRT(($R442-Infrastructure!J$10)^2+($S442-Infrastructure!K$10)^2)</f>
        <v>24.35159132</v>
      </c>
      <c r="BD442" s="318"/>
      <c r="BE442" s="332"/>
      <c r="BF442" s="330">
        <f t="shared" si="14"/>
        <v>7.559100476</v>
      </c>
      <c r="BG442" s="333">
        <f t="shared" si="15"/>
        <v>27.90877998</v>
      </c>
      <c r="BH442" s="613"/>
      <c r="BI442" s="316"/>
      <c r="BJ442" s="318"/>
      <c r="BK442" s="318"/>
      <c r="BL442" s="319" t="s">
        <v>846</v>
      </c>
      <c r="BM442" s="318"/>
      <c r="BN442" s="318"/>
      <c r="BO442" s="318"/>
      <c r="BP442" s="318"/>
      <c r="BQ442" s="338"/>
      <c r="BR442" s="420"/>
      <c r="BS442" s="330">
        <f t="shared" si="23"/>
        <v>9.617692031</v>
      </c>
      <c r="BT442" s="331">
        <f t="shared" si="24"/>
        <v>9.617692031</v>
      </c>
      <c r="BU442" s="331"/>
      <c r="BV442" s="333"/>
      <c r="BW442" s="614">
        <v>19.17</v>
      </c>
      <c r="BX442" s="615">
        <v>4.08</v>
      </c>
      <c r="BY442" s="331">
        <f t="shared" si="25"/>
        <v>3.638035184</v>
      </c>
      <c r="BZ442" s="340"/>
      <c r="CA442" s="316"/>
      <c r="CB442" s="318"/>
      <c r="CC442" s="318"/>
      <c r="CD442" s="318"/>
      <c r="CE442" s="318"/>
      <c r="CF442" s="318"/>
      <c r="CG442" s="318"/>
      <c r="CH442" s="318"/>
      <c r="CI442" s="338"/>
      <c r="CJ442" s="341"/>
      <c r="CK442" s="342">
        <f t="shared" si="18"/>
        <v>0</v>
      </c>
      <c r="CL442" s="333">
        <f t="shared" si="19"/>
        <v>0</v>
      </c>
      <c r="CM442" s="616"/>
      <c r="CN442" s="617"/>
      <c r="CO442" s="617"/>
      <c r="CP442" s="617"/>
    </row>
    <row r="443">
      <c r="B443" s="462"/>
      <c r="C443" s="596">
        <v>44097.0</v>
      </c>
      <c r="D443" s="597" t="s">
        <v>1214</v>
      </c>
      <c r="E443" s="598">
        <v>21.0</v>
      </c>
      <c r="F443" s="599" t="str">
        <f t="shared" si="21"/>
        <v>2020/23-21</v>
      </c>
      <c r="G443" s="600">
        <v>0.4152777777777778</v>
      </c>
      <c r="H443" s="601">
        <v>0.41562499999999997</v>
      </c>
      <c r="I443" s="601"/>
      <c r="J443" s="601"/>
      <c r="K443" s="601">
        <v>0.41701388888888885</v>
      </c>
      <c r="L443" s="602">
        <f t="shared" si="22"/>
        <v>0.001388888889</v>
      </c>
      <c r="M443" s="603" t="s">
        <v>358</v>
      </c>
      <c r="N443" s="604" t="s">
        <v>187</v>
      </c>
      <c r="O443" s="419" t="s">
        <v>201</v>
      </c>
      <c r="P443" s="605" t="s">
        <v>212</v>
      </c>
      <c r="Q443" s="603" t="s">
        <v>1214</v>
      </c>
      <c r="R443" s="606">
        <v>17.0</v>
      </c>
      <c r="S443" s="607">
        <v>7.0</v>
      </c>
      <c r="T443" s="608">
        <v>0.55</v>
      </c>
      <c r="U443" s="609">
        <v>6.5</v>
      </c>
      <c r="V443" s="609"/>
      <c r="W443" s="609"/>
      <c r="X443" s="609"/>
      <c r="Y443" s="609"/>
      <c r="Z443" s="603" t="s">
        <v>339</v>
      </c>
      <c r="AA443" s="603"/>
      <c r="AB443" s="610" t="s">
        <v>349</v>
      </c>
      <c r="AC443" s="611">
        <v>5.0</v>
      </c>
      <c r="AD443" s="610"/>
      <c r="AE443" s="610"/>
      <c r="AF443" s="610"/>
      <c r="AG443" s="610"/>
      <c r="AH443" s="610"/>
      <c r="AI443" s="610"/>
      <c r="AJ443" s="611"/>
      <c r="AK443" s="612"/>
      <c r="AL443" s="610"/>
      <c r="AM443" s="610"/>
      <c r="AN443" s="610"/>
      <c r="AO443" s="610"/>
      <c r="AP443" s="610"/>
      <c r="AQ443" s="610"/>
      <c r="AR443" s="610"/>
      <c r="AS443" s="611"/>
      <c r="AT443" s="461" t="s">
        <v>182</v>
      </c>
      <c r="AU443" s="324" t="s">
        <v>845</v>
      </c>
      <c r="AV443" s="330">
        <f>SQRT(($R443-Infrastructure!J$3)^2+($S443-Infrastructure!K$3)^2)</f>
        <v>27.90877998</v>
      </c>
      <c r="AW443" s="331">
        <f>SQRT(($R443-Infrastructure!J$4)^2+($S443-Infrastructure!K$4)^2)</f>
        <v>20.39436197</v>
      </c>
      <c r="AX443" s="331">
        <f>SQRT(($R443-Infrastructure!J$5)^2+($S443-Infrastructure!K$5)^2)</f>
        <v>17.40402252</v>
      </c>
      <c r="AY443" s="331">
        <f>SQRT(($R443-Infrastructure!J$6)^2+($S443-Infrastructure!K$6)^2)</f>
        <v>9.617692031</v>
      </c>
      <c r="AZ443" s="331">
        <f>SQRT(($R443-Infrastructure!J$7)^2+($S443-Infrastructure!K$7)^2)</f>
        <v>7.559100476</v>
      </c>
      <c r="BA443" s="331">
        <f>SQRT(($R443-Infrastructure!J$8)^2+($S443-Infrastructure!K$8)^2)</f>
        <v>14.71393897</v>
      </c>
      <c r="BB443" s="331">
        <f>SQRT(($R443-Infrastructure!J$9)^2+($S443-Infrastructure!K$9)^2)</f>
        <v>23.07834483</v>
      </c>
      <c r="BC443" s="331">
        <f>SQRT(($R443-Infrastructure!J$10)^2+($S443-Infrastructure!K$10)^2)</f>
        <v>24.35159132</v>
      </c>
      <c r="BD443" s="318"/>
      <c r="BE443" s="332"/>
      <c r="BF443" s="330">
        <f t="shared" si="14"/>
        <v>7.559100476</v>
      </c>
      <c r="BG443" s="333">
        <f t="shared" si="15"/>
        <v>27.90877998</v>
      </c>
      <c r="BH443" s="613"/>
      <c r="BI443" s="316"/>
      <c r="BJ443" s="318"/>
      <c r="BK443" s="318"/>
      <c r="BL443" s="318"/>
      <c r="BM443" s="319" t="s">
        <v>846</v>
      </c>
      <c r="BN443" s="318"/>
      <c r="BO443" s="318"/>
      <c r="BP443" s="318"/>
      <c r="BQ443" s="338"/>
      <c r="BR443" s="420"/>
      <c r="BS443" s="330">
        <f t="shared" si="23"/>
        <v>7.559100476</v>
      </c>
      <c r="BT443" s="331">
        <f t="shared" si="24"/>
        <v>7.559100476</v>
      </c>
      <c r="BU443" s="331"/>
      <c r="BV443" s="333"/>
      <c r="BW443" s="614">
        <v>16.98</v>
      </c>
      <c r="BX443" s="615">
        <v>5.83</v>
      </c>
      <c r="BY443" s="331">
        <f t="shared" si="25"/>
        <v>1.170170928</v>
      </c>
      <c r="BZ443" s="340"/>
      <c r="CA443" s="316"/>
      <c r="CB443" s="318"/>
      <c r="CC443" s="318"/>
      <c r="CD443" s="318"/>
      <c r="CE443" s="318"/>
      <c r="CF443" s="318"/>
      <c r="CG443" s="318"/>
      <c r="CH443" s="318"/>
      <c r="CI443" s="338"/>
      <c r="CJ443" s="341"/>
      <c r="CK443" s="342">
        <f t="shared" si="18"/>
        <v>0</v>
      </c>
      <c r="CL443" s="333">
        <f t="shared" si="19"/>
        <v>0</v>
      </c>
      <c r="CM443" s="616"/>
      <c r="CN443" s="617"/>
      <c r="CO443" s="617"/>
      <c r="CP443" s="617"/>
    </row>
    <row r="444">
      <c r="B444" s="462"/>
      <c r="C444" s="596">
        <v>44097.0</v>
      </c>
      <c r="D444" s="597" t="s">
        <v>1214</v>
      </c>
      <c r="E444" s="598">
        <v>22.0</v>
      </c>
      <c r="F444" s="599" t="str">
        <f t="shared" si="21"/>
        <v>2020/23-22</v>
      </c>
      <c r="G444" s="600">
        <v>0.41805555555555557</v>
      </c>
      <c r="H444" s="601">
        <v>0.4185763888888889</v>
      </c>
      <c r="I444" s="601"/>
      <c r="J444" s="601"/>
      <c r="K444" s="601">
        <v>0.4199652777777778</v>
      </c>
      <c r="L444" s="602">
        <f t="shared" si="22"/>
        <v>0.001388888889</v>
      </c>
      <c r="M444" s="603" t="s">
        <v>358</v>
      </c>
      <c r="N444" s="604" t="s">
        <v>187</v>
      </c>
      <c r="O444" s="419" t="s">
        <v>201</v>
      </c>
      <c r="P444" s="605" t="s">
        <v>212</v>
      </c>
      <c r="Q444" s="603" t="s">
        <v>1214</v>
      </c>
      <c r="R444" s="606">
        <v>17.0</v>
      </c>
      <c r="S444" s="607">
        <v>7.0</v>
      </c>
      <c r="T444" s="608">
        <v>0.55</v>
      </c>
      <c r="U444" s="609">
        <v>3.0</v>
      </c>
      <c r="V444" s="609"/>
      <c r="W444" s="609"/>
      <c r="X444" s="609"/>
      <c r="Y444" s="609"/>
      <c r="Z444" s="603" t="s">
        <v>339</v>
      </c>
      <c r="AA444" s="603"/>
      <c r="AB444" s="610" t="s">
        <v>349</v>
      </c>
      <c r="AC444" s="611">
        <v>5.0</v>
      </c>
      <c r="AD444" s="610"/>
      <c r="AE444" s="610"/>
      <c r="AF444" s="610"/>
      <c r="AG444" s="610"/>
      <c r="AH444" s="610"/>
      <c r="AI444" s="610"/>
      <c r="AJ444" s="611"/>
      <c r="AK444" s="612"/>
      <c r="AL444" s="610"/>
      <c r="AM444" s="610"/>
      <c r="AN444" s="610"/>
      <c r="AO444" s="610"/>
      <c r="AP444" s="610"/>
      <c r="AQ444" s="610"/>
      <c r="AR444" s="610"/>
      <c r="AS444" s="611"/>
      <c r="AT444" s="461" t="s">
        <v>182</v>
      </c>
      <c r="AU444" s="324" t="s">
        <v>845</v>
      </c>
      <c r="AV444" s="330">
        <f>SQRT(($R444-Infrastructure!J$3)^2+($S444-Infrastructure!K$3)^2)</f>
        <v>27.90877998</v>
      </c>
      <c r="AW444" s="331">
        <f>SQRT(($R444-Infrastructure!J$4)^2+($S444-Infrastructure!K$4)^2)</f>
        <v>20.39436197</v>
      </c>
      <c r="AX444" s="331">
        <f>SQRT(($R444-Infrastructure!J$5)^2+($S444-Infrastructure!K$5)^2)</f>
        <v>17.40402252</v>
      </c>
      <c r="AY444" s="331">
        <f>SQRT(($R444-Infrastructure!J$6)^2+($S444-Infrastructure!K$6)^2)</f>
        <v>9.617692031</v>
      </c>
      <c r="AZ444" s="331">
        <f>SQRT(($R444-Infrastructure!J$7)^2+($S444-Infrastructure!K$7)^2)</f>
        <v>7.559100476</v>
      </c>
      <c r="BA444" s="331">
        <f>SQRT(($R444-Infrastructure!J$8)^2+($S444-Infrastructure!K$8)^2)</f>
        <v>14.71393897</v>
      </c>
      <c r="BB444" s="331">
        <f>SQRT(($R444-Infrastructure!J$9)^2+($S444-Infrastructure!K$9)^2)</f>
        <v>23.07834483</v>
      </c>
      <c r="BC444" s="331">
        <f>SQRT(($R444-Infrastructure!J$10)^2+($S444-Infrastructure!K$10)^2)</f>
        <v>24.35159132</v>
      </c>
      <c r="BD444" s="318"/>
      <c r="BE444" s="332"/>
      <c r="BF444" s="330">
        <f t="shared" si="14"/>
        <v>7.559100476</v>
      </c>
      <c r="BG444" s="333">
        <f t="shared" si="15"/>
        <v>27.90877998</v>
      </c>
      <c r="BH444" s="613"/>
      <c r="BI444" s="316"/>
      <c r="BJ444" s="318"/>
      <c r="BK444" s="318"/>
      <c r="BL444" s="318"/>
      <c r="BM444" s="319" t="s">
        <v>846</v>
      </c>
      <c r="BN444" s="318"/>
      <c r="BO444" s="318"/>
      <c r="BP444" s="318"/>
      <c r="BQ444" s="338"/>
      <c r="BR444" s="420"/>
      <c r="BS444" s="330">
        <f t="shared" si="23"/>
        <v>7.559100476</v>
      </c>
      <c r="BT444" s="331">
        <f t="shared" si="24"/>
        <v>7.559100476</v>
      </c>
      <c r="BU444" s="331"/>
      <c r="BV444" s="333"/>
      <c r="BW444" s="614">
        <v>13.81</v>
      </c>
      <c r="BX444" s="615">
        <v>4.64</v>
      </c>
      <c r="BY444" s="331">
        <f t="shared" si="25"/>
        <v>3.968085181</v>
      </c>
      <c r="BZ444" s="340"/>
      <c r="CA444" s="316"/>
      <c r="CB444" s="318"/>
      <c r="CC444" s="318"/>
      <c r="CD444" s="318"/>
      <c r="CE444" s="318"/>
      <c r="CF444" s="318"/>
      <c r="CG444" s="318"/>
      <c r="CH444" s="318"/>
      <c r="CI444" s="338"/>
      <c r="CJ444" s="341"/>
      <c r="CK444" s="342">
        <f t="shared" si="18"/>
        <v>0</v>
      </c>
      <c r="CL444" s="333">
        <f t="shared" si="19"/>
        <v>0</v>
      </c>
      <c r="CM444" s="616"/>
      <c r="CN444" s="617"/>
      <c r="CO444" s="617"/>
      <c r="CP444" s="617"/>
    </row>
    <row r="445">
      <c r="B445" s="462"/>
      <c r="C445" s="596">
        <v>44097.0</v>
      </c>
      <c r="D445" s="597" t="s">
        <v>1214</v>
      </c>
      <c r="E445" s="598">
        <v>23.0</v>
      </c>
      <c r="F445" s="599" t="str">
        <f t="shared" si="21"/>
        <v>2020/23-23</v>
      </c>
      <c r="G445" s="600">
        <v>0.4211805555555555</v>
      </c>
      <c r="H445" s="601">
        <v>0.4223958333333333</v>
      </c>
      <c r="I445" s="601"/>
      <c r="J445" s="601"/>
      <c r="K445" s="601">
        <v>0.4237847222222222</v>
      </c>
      <c r="L445" s="602">
        <f t="shared" si="22"/>
        <v>0.001388888889</v>
      </c>
      <c r="M445" s="603" t="s">
        <v>358</v>
      </c>
      <c r="N445" s="604" t="s">
        <v>187</v>
      </c>
      <c r="O445" s="419" t="s">
        <v>201</v>
      </c>
      <c r="P445" s="605" t="s">
        <v>212</v>
      </c>
      <c r="Q445" s="603" t="s">
        <v>1214</v>
      </c>
      <c r="R445" s="606">
        <v>17.0</v>
      </c>
      <c r="S445" s="607">
        <v>7.0</v>
      </c>
      <c r="T445" s="618">
        <v>0.55</v>
      </c>
      <c r="U445" s="609">
        <v>7.0</v>
      </c>
      <c r="V445" s="609"/>
      <c r="W445" s="609"/>
      <c r="X445" s="609"/>
      <c r="Y445" s="609"/>
      <c r="Z445" s="603" t="s">
        <v>339</v>
      </c>
      <c r="AA445" s="603"/>
      <c r="AB445" s="610" t="s">
        <v>349</v>
      </c>
      <c r="AC445" s="611">
        <v>5.0</v>
      </c>
      <c r="AD445" s="610"/>
      <c r="AE445" s="610"/>
      <c r="AF445" s="610"/>
      <c r="AG445" s="610"/>
      <c r="AH445" s="610"/>
      <c r="AI445" s="610"/>
      <c r="AJ445" s="611"/>
      <c r="AK445" s="612"/>
      <c r="AL445" s="610"/>
      <c r="AM445" s="610"/>
      <c r="AN445" s="610"/>
      <c r="AO445" s="610"/>
      <c r="AP445" s="610"/>
      <c r="AQ445" s="610"/>
      <c r="AR445" s="610"/>
      <c r="AS445" s="611"/>
      <c r="AT445" s="461" t="s">
        <v>182</v>
      </c>
      <c r="AU445" s="324" t="s">
        <v>845</v>
      </c>
      <c r="AV445" s="330">
        <f>SQRT(($R445-Infrastructure!J$3)^2+($S445-Infrastructure!K$3)^2)</f>
        <v>27.90877998</v>
      </c>
      <c r="AW445" s="331">
        <f>SQRT(($R445-Infrastructure!J$4)^2+($S445-Infrastructure!K$4)^2)</f>
        <v>20.39436197</v>
      </c>
      <c r="AX445" s="331">
        <f>SQRT(($R445-Infrastructure!J$5)^2+($S445-Infrastructure!K$5)^2)</f>
        <v>17.40402252</v>
      </c>
      <c r="AY445" s="331">
        <f>SQRT(($R445-Infrastructure!J$6)^2+($S445-Infrastructure!K$6)^2)</f>
        <v>9.617692031</v>
      </c>
      <c r="AZ445" s="331">
        <f>SQRT(($R445-Infrastructure!J$7)^2+($S445-Infrastructure!K$7)^2)</f>
        <v>7.559100476</v>
      </c>
      <c r="BA445" s="331">
        <f>SQRT(($R445-Infrastructure!J$8)^2+($S445-Infrastructure!K$8)^2)</f>
        <v>14.71393897</v>
      </c>
      <c r="BB445" s="331">
        <f>SQRT(($R445-Infrastructure!J$9)^2+($S445-Infrastructure!K$9)^2)</f>
        <v>23.07834483</v>
      </c>
      <c r="BC445" s="331">
        <f>SQRT(($R445-Infrastructure!J$10)^2+($S445-Infrastructure!K$10)^2)</f>
        <v>24.35159132</v>
      </c>
      <c r="BD445" s="318"/>
      <c r="BE445" s="332"/>
      <c r="BF445" s="330">
        <f t="shared" si="14"/>
        <v>7.559100476</v>
      </c>
      <c r="BG445" s="333">
        <f t="shared" si="15"/>
        <v>27.90877998</v>
      </c>
      <c r="BH445" s="613"/>
      <c r="BI445" s="316"/>
      <c r="BJ445" s="318"/>
      <c r="BK445" s="319" t="s">
        <v>846</v>
      </c>
      <c r="BL445" s="318"/>
      <c r="BM445" s="318"/>
      <c r="BN445" s="318"/>
      <c r="BO445" s="318"/>
      <c r="BP445" s="319" t="s">
        <v>846</v>
      </c>
      <c r="BQ445" s="338"/>
      <c r="BR445" s="420"/>
      <c r="BS445" s="330">
        <f t="shared" si="23"/>
        <v>17.40402252</v>
      </c>
      <c r="BT445" s="331">
        <f t="shared" si="24"/>
        <v>24.35159132</v>
      </c>
      <c r="BU445" s="331"/>
      <c r="BV445" s="333"/>
      <c r="BW445" s="614">
        <v>17.0</v>
      </c>
      <c r="BX445" s="615">
        <v>7.27</v>
      </c>
      <c r="BY445" s="331">
        <f t="shared" si="25"/>
        <v>0.27</v>
      </c>
      <c r="BZ445" s="340"/>
      <c r="CA445" s="316"/>
      <c r="CB445" s="318"/>
      <c r="CC445" s="318"/>
      <c r="CD445" s="318"/>
      <c r="CE445" s="318"/>
      <c r="CF445" s="318"/>
      <c r="CG445" s="318"/>
      <c r="CH445" s="318"/>
      <c r="CI445" s="338"/>
      <c r="CJ445" s="341"/>
      <c r="CK445" s="342">
        <f t="shared" si="18"/>
        <v>0</v>
      </c>
      <c r="CL445" s="333">
        <f t="shared" si="19"/>
        <v>0</v>
      </c>
      <c r="CM445" s="616"/>
      <c r="CN445" s="617"/>
      <c r="CO445" s="617"/>
      <c r="CP445" s="617"/>
    </row>
    <row r="446">
      <c r="B446" s="462"/>
      <c r="C446" s="596">
        <v>44097.0</v>
      </c>
      <c r="D446" s="597" t="s">
        <v>1214</v>
      </c>
      <c r="E446" s="598">
        <v>24.0</v>
      </c>
      <c r="F446" s="619" t="str">
        <f t="shared" si="21"/>
        <v>2020/23-24</v>
      </c>
      <c r="G446" s="600">
        <v>0.42586805555555557</v>
      </c>
      <c r="H446" s="601">
        <v>0.4265046296296296</v>
      </c>
      <c r="I446" s="601"/>
      <c r="J446" s="601"/>
      <c r="K446" s="601">
        <v>0.4278935185185185</v>
      </c>
      <c r="L446" s="602">
        <f t="shared" si="22"/>
        <v>0.001388888889</v>
      </c>
      <c r="M446" s="603" t="s">
        <v>358</v>
      </c>
      <c r="N446" s="604" t="s">
        <v>187</v>
      </c>
      <c r="O446" s="419" t="s">
        <v>201</v>
      </c>
      <c r="P446" s="605" t="s">
        <v>212</v>
      </c>
      <c r="Q446" s="603"/>
      <c r="R446" s="606">
        <v>17.0</v>
      </c>
      <c r="S446" s="607">
        <v>7.0</v>
      </c>
      <c r="T446" s="608">
        <v>0.55</v>
      </c>
      <c r="U446" s="609">
        <v>2.0</v>
      </c>
      <c r="V446" s="609"/>
      <c r="W446" s="609"/>
      <c r="X446" s="609"/>
      <c r="Y446" s="609"/>
      <c r="Z446" s="603" t="s">
        <v>339</v>
      </c>
      <c r="AA446" s="603"/>
      <c r="AB446" s="610" t="s">
        <v>341</v>
      </c>
      <c r="AC446" s="621">
        <v>3.0</v>
      </c>
      <c r="AD446" s="603"/>
      <c r="AE446" s="603"/>
      <c r="AF446" s="603"/>
      <c r="AG446" s="603"/>
      <c r="AH446" s="603"/>
      <c r="AI446" s="603"/>
      <c r="AJ446" s="621"/>
      <c r="AK446" s="622"/>
      <c r="AL446" s="603"/>
      <c r="AM446" s="603"/>
      <c r="AN446" s="603"/>
      <c r="AO446" s="603"/>
      <c r="AP446" s="603"/>
      <c r="AQ446" s="603"/>
      <c r="AR446" s="603"/>
      <c r="AS446" s="621"/>
      <c r="AT446" s="461" t="s">
        <v>182</v>
      </c>
      <c r="AU446" s="324" t="s">
        <v>845</v>
      </c>
      <c r="AV446" s="330">
        <f>SQRT(($R446-Infrastructure!J$3)^2+($S446-Infrastructure!K$3)^2)</f>
        <v>27.90877998</v>
      </c>
      <c r="AW446" s="331">
        <f>SQRT(($R446-Infrastructure!J$4)^2+($S446-Infrastructure!K$4)^2)</f>
        <v>20.39436197</v>
      </c>
      <c r="AX446" s="331">
        <f>SQRT(($R446-Infrastructure!J$5)^2+($S446-Infrastructure!K$5)^2)</f>
        <v>17.40402252</v>
      </c>
      <c r="AY446" s="331">
        <f>SQRT(($R446-Infrastructure!J$6)^2+($S446-Infrastructure!K$6)^2)</f>
        <v>9.617692031</v>
      </c>
      <c r="AZ446" s="331">
        <f>SQRT(($R446-Infrastructure!J$7)^2+($S446-Infrastructure!K$7)^2)</f>
        <v>7.559100476</v>
      </c>
      <c r="BA446" s="331">
        <f>SQRT(($R446-Infrastructure!J$8)^2+($S446-Infrastructure!K$8)^2)</f>
        <v>14.71393897</v>
      </c>
      <c r="BB446" s="331">
        <f>SQRT(($R446-Infrastructure!J$9)^2+($S446-Infrastructure!K$9)^2)</f>
        <v>23.07834483</v>
      </c>
      <c r="BC446" s="331">
        <f>SQRT(($R446-Infrastructure!J$10)^2+($S446-Infrastructure!K$10)^2)</f>
        <v>24.35159132</v>
      </c>
      <c r="BD446" s="318"/>
      <c r="BE446" s="332"/>
      <c r="BF446" s="330">
        <f t="shared" si="14"/>
        <v>7.559100476</v>
      </c>
      <c r="BG446" s="333">
        <f t="shared" si="15"/>
        <v>27.90877998</v>
      </c>
      <c r="BH446" s="613"/>
      <c r="BI446" s="316"/>
      <c r="BJ446" s="318"/>
      <c r="BK446" s="318"/>
      <c r="BL446" s="318"/>
      <c r="BM446" s="319" t="s">
        <v>846</v>
      </c>
      <c r="BN446" s="318"/>
      <c r="BO446" s="318"/>
      <c r="BP446" s="318"/>
      <c r="BQ446" s="338"/>
      <c r="BR446" s="420"/>
      <c r="BS446" s="330">
        <f t="shared" si="23"/>
        <v>7.559100476</v>
      </c>
      <c r="BT446" s="331">
        <f t="shared" si="24"/>
        <v>7.559100476</v>
      </c>
      <c r="BU446" s="331"/>
      <c r="BV446" s="333"/>
      <c r="BW446" s="614"/>
      <c r="BX446" s="615"/>
      <c r="BY446" s="331" t="b">
        <f t="shared" si="25"/>
        <v>0</v>
      </c>
      <c r="BZ446" s="340"/>
      <c r="CA446" s="316"/>
      <c r="CB446" s="318"/>
      <c r="CC446" s="318"/>
      <c r="CD446" s="318"/>
      <c r="CE446" s="318"/>
      <c r="CF446" s="318"/>
      <c r="CG446" s="318"/>
      <c r="CH446" s="318"/>
      <c r="CI446" s="338"/>
      <c r="CJ446" s="341"/>
      <c r="CK446" s="342">
        <f t="shared" si="18"/>
        <v>0</v>
      </c>
      <c r="CL446" s="333">
        <f t="shared" si="19"/>
        <v>0</v>
      </c>
      <c r="CM446" s="616"/>
      <c r="CN446" s="617"/>
      <c r="CO446" s="617"/>
      <c r="CP446" s="617"/>
    </row>
    <row r="447">
      <c r="B447" s="462"/>
      <c r="C447" s="596">
        <v>44097.0</v>
      </c>
      <c r="D447" s="597" t="s">
        <v>1214</v>
      </c>
      <c r="E447" s="598">
        <v>25.0</v>
      </c>
      <c r="F447" s="599" t="str">
        <f t="shared" si="21"/>
        <v>2020/23-25</v>
      </c>
      <c r="G447" s="600">
        <v>0.4293402777777778</v>
      </c>
      <c r="H447" s="601">
        <v>0.4298611111111111</v>
      </c>
      <c r="I447" s="601"/>
      <c r="J447" s="601"/>
      <c r="K447" s="601">
        <v>0.43124999999999997</v>
      </c>
      <c r="L447" s="602">
        <f t="shared" si="22"/>
        <v>0.001388888889</v>
      </c>
      <c r="M447" s="603" t="s">
        <v>358</v>
      </c>
      <c r="N447" s="604" t="s">
        <v>187</v>
      </c>
      <c r="O447" s="419" t="s">
        <v>201</v>
      </c>
      <c r="P447" s="605" t="s">
        <v>212</v>
      </c>
      <c r="Q447" s="603" t="s">
        <v>1214</v>
      </c>
      <c r="R447" s="606">
        <v>17.0</v>
      </c>
      <c r="S447" s="607">
        <v>7.0</v>
      </c>
      <c r="T447" s="608">
        <v>0.55</v>
      </c>
      <c r="U447" s="609">
        <v>1.0</v>
      </c>
      <c r="V447" s="609"/>
      <c r="W447" s="609"/>
      <c r="X447" s="609"/>
      <c r="Y447" s="609"/>
      <c r="Z447" s="603" t="s">
        <v>339</v>
      </c>
      <c r="AA447" s="603"/>
      <c r="AB447" s="610" t="s">
        <v>341</v>
      </c>
      <c r="AC447" s="611">
        <v>3.0</v>
      </c>
      <c r="AD447" s="610"/>
      <c r="AE447" s="610"/>
      <c r="AF447" s="610"/>
      <c r="AG447" s="610"/>
      <c r="AH447" s="610"/>
      <c r="AI447" s="610"/>
      <c r="AJ447" s="611"/>
      <c r="AK447" s="612"/>
      <c r="AL447" s="610"/>
      <c r="AM447" s="610"/>
      <c r="AN447" s="610"/>
      <c r="AO447" s="610"/>
      <c r="AP447" s="610"/>
      <c r="AQ447" s="610"/>
      <c r="AR447" s="610"/>
      <c r="AS447" s="611"/>
      <c r="AT447" s="461" t="s">
        <v>182</v>
      </c>
      <c r="AU447" s="324" t="s">
        <v>845</v>
      </c>
      <c r="AV447" s="330">
        <f>SQRT(($R447-Infrastructure!J$3)^2+($S447-Infrastructure!K$3)^2)</f>
        <v>27.90877998</v>
      </c>
      <c r="AW447" s="331">
        <f>SQRT(($R447-Infrastructure!J$4)^2+($S447-Infrastructure!K$4)^2)</f>
        <v>20.39436197</v>
      </c>
      <c r="AX447" s="331">
        <f>SQRT(($R447-Infrastructure!J$5)^2+($S447-Infrastructure!K$5)^2)</f>
        <v>17.40402252</v>
      </c>
      <c r="AY447" s="331">
        <f>SQRT(($R447-Infrastructure!J$6)^2+($S447-Infrastructure!K$6)^2)</f>
        <v>9.617692031</v>
      </c>
      <c r="AZ447" s="331">
        <f>SQRT(($R447-Infrastructure!J$7)^2+($S447-Infrastructure!K$7)^2)</f>
        <v>7.559100476</v>
      </c>
      <c r="BA447" s="331">
        <f>SQRT(($R447-Infrastructure!J$8)^2+($S447-Infrastructure!K$8)^2)</f>
        <v>14.71393897</v>
      </c>
      <c r="BB447" s="331">
        <f>SQRT(($R447-Infrastructure!J$9)^2+($S447-Infrastructure!K$9)^2)</f>
        <v>23.07834483</v>
      </c>
      <c r="BC447" s="331">
        <f>SQRT(($R447-Infrastructure!J$10)^2+($S447-Infrastructure!K$10)^2)</f>
        <v>24.35159132</v>
      </c>
      <c r="BD447" s="318"/>
      <c r="BE447" s="332"/>
      <c r="BF447" s="330">
        <f t="shared" si="14"/>
        <v>7.559100476</v>
      </c>
      <c r="BG447" s="333">
        <f t="shared" si="15"/>
        <v>27.90877998</v>
      </c>
      <c r="BH447" s="613"/>
      <c r="BI447" s="316"/>
      <c r="BJ447" s="318"/>
      <c r="BK447" s="318"/>
      <c r="BL447" s="318"/>
      <c r="BM447" s="318"/>
      <c r="BN447" s="318"/>
      <c r="BO447" s="318"/>
      <c r="BP447" s="318"/>
      <c r="BQ447" s="338"/>
      <c r="BR447" s="420"/>
      <c r="BS447" s="330">
        <f t="shared" si="23"/>
        <v>0</v>
      </c>
      <c r="BT447" s="331">
        <f t="shared" si="24"/>
        <v>0</v>
      </c>
      <c r="BU447" s="331"/>
      <c r="BV447" s="333"/>
      <c r="BW447" s="614"/>
      <c r="BX447" s="615"/>
      <c r="BY447" s="331" t="b">
        <f t="shared" si="25"/>
        <v>0</v>
      </c>
      <c r="BZ447" s="340"/>
      <c r="CA447" s="316"/>
      <c r="CB447" s="318"/>
      <c r="CC447" s="318"/>
      <c r="CD447" s="318"/>
      <c r="CE447" s="318"/>
      <c r="CF447" s="318"/>
      <c r="CG447" s="318"/>
      <c r="CH447" s="318"/>
      <c r="CI447" s="338"/>
      <c r="CJ447" s="341"/>
      <c r="CK447" s="342">
        <f t="shared" si="18"/>
        <v>0</v>
      </c>
      <c r="CL447" s="333">
        <f t="shared" si="19"/>
        <v>0</v>
      </c>
      <c r="CM447" s="616"/>
      <c r="CN447" s="617"/>
      <c r="CO447" s="617"/>
      <c r="CP447" s="617"/>
    </row>
    <row r="448">
      <c r="B448" s="462"/>
      <c r="C448" s="596">
        <v>44097.0</v>
      </c>
      <c r="D448" s="597" t="s">
        <v>1214</v>
      </c>
      <c r="E448" s="598">
        <v>26.0</v>
      </c>
      <c r="F448" s="599" t="str">
        <f t="shared" si="21"/>
        <v>2020/23-26</v>
      </c>
      <c r="G448" s="600">
        <v>0.4329861111111111</v>
      </c>
      <c r="H448" s="601">
        <v>0.43385416666666665</v>
      </c>
      <c r="I448" s="601"/>
      <c r="J448" s="601"/>
      <c r="K448" s="601">
        <v>0.43524305555555554</v>
      </c>
      <c r="L448" s="602">
        <f t="shared" si="22"/>
        <v>0.001388888889</v>
      </c>
      <c r="M448" s="603" t="s">
        <v>358</v>
      </c>
      <c r="N448" s="604" t="s">
        <v>187</v>
      </c>
      <c r="O448" s="419" t="s">
        <v>201</v>
      </c>
      <c r="P448" s="605" t="s">
        <v>212</v>
      </c>
      <c r="Q448" s="603" t="s">
        <v>1214</v>
      </c>
      <c r="R448" s="606">
        <v>17.0</v>
      </c>
      <c r="S448" s="607">
        <v>7.0</v>
      </c>
      <c r="T448" s="608">
        <v>0.55</v>
      </c>
      <c r="U448" s="625">
        <v>5.0</v>
      </c>
      <c r="V448" s="625"/>
      <c r="W448" s="625"/>
      <c r="X448" s="625"/>
      <c r="Y448" s="625"/>
      <c r="Z448" s="603" t="s">
        <v>339</v>
      </c>
      <c r="AA448" s="603"/>
      <c r="AB448" s="610" t="s">
        <v>341</v>
      </c>
      <c r="AC448" s="611">
        <v>3.0</v>
      </c>
      <c r="AD448" s="610"/>
      <c r="AE448" s="610"/>
      <c r="AF448" s="610"/>
      <c r="AG448" s="610"/>
      <c r="AH448" s="610"/>
      <c r="AI448" s="610"/>
      <c r="AJ448" s="611"/>
      <c r="AK448" s="612"/>
      <c r="AL448" s="610"/>
      <c r="AM448" s="610"/>
      <c r="AN448" s="610"/>
      <c r="AO448" s="610"/>
      <c r="AP448" s="610"/>
      <c r="AQ448" s="610"/>
      <c r="AR448" s="610"/>
      <c r="AS448" s="611"/>
      <c r="AT448" s="461" t="s">
        <v>182</v>
      </c>
      <c r="AU448" s="324" t="s">
        <v>845</v>
      </c>
      <c r="AV448" s="330">
        <f>SQRT(($R448-Infrastructure!J$3)^2+($S448-Infrastructure!K$3)^2)</f>
        <v>27.90877998</v>
      </c>
      <c r="AW448" s="331">
        <f>SQRT(($R448-Infrastructure!J$4)^2+($S448-Infrastructure!K$4)^2)</f>
        <v>20.39436197</v>
      </c>
      <c r="AX448" s="331">
        <f>SQRT(($R448-Infrastructure!J$5)^2+($S448-Infrastructure!K$5)^2)</f>
        <v>17.40402252</v>
      </c>
      <c r="AY448" s="331">
        <f>SQRT(($R448-Infrastructure!J$6)^2+($S448-Infrastructure!K$6)^2)</f>
        <v>9.617692031</v>
      </c>
      <c r="AZ448" s="331">
        <f>SQRT(($R448-Infrastructure!J$7)^2+($S448-Infrastructure!K$7)^2)</f>
        <v>7.559100476</v>
      </c>
      <c r="BA448" s="331">
        <f>SQRT(($R448-Infrastructure!J$8)^2+($S448-Infrastructure!K$8)^2)</f>
        <v>14.71393897</v>
      </c>
      <c r="BB448" s="331">
        <f>SQRT(($R448-Infrastructure!J$9)^2+($S448-Infrastructure!K$9)^2)</f>
        <v>23.07834483</v>
      </c>
      <c r="BC448" s="331">
        <f>SQRT(($R448-Infrastructure!J$10)^2+($S448-Infrastructure!K$10)^2)</f>
        <v>24.35159132</v>
      </c>
      <c r="BD448" s="318"/>
      <c r="BE448" s="332"/>
      <c r="BF448" s="330">
        <f t="shared" si="14"/>
        <v>7.559100476</v>
      </c>
      <c r="BG448" s="333">
        <f t="shared" si="15"/>
        <v>27.90877998</v>
      </c>
      <c r="BH448" s="613"/>
      <c r="BI448" s="316"/>
      <c r="BJ448" s="318"/>
      <c r="BK448" s="318"/>
      <c r="BL448" s="318"/>
      <c r="BM448" s="319" t="s">
        <v>846</v>
      </c>
      <c r="BN448" s="318"/>
      <c r="BO448" s="318"/>
      <c r="BP448" s="318"/>
      <c r="BQ448" s="338"/>
      <c r="BR448" s="420"/>
      <c r="BS448" s="330">
        <f t="shared" si="23"/>
        <v>7.559100476</v>
      </c>
      <c r="BT448" s="331">
        <f t="shared" si="24"/>
        <v>7.559100476</v>
      </c>
      <c r="BU448" s="331"/>
      <c r="BV448" s="333"/>
      <c r="BW448" s="614">
        <v>13.28</v>
      </c>
      <c r="BX448" s="615">
        <v>11.15</v>
      </c>
      <c r="BY448" s="331">
        <f t="shared" si="25"/>
        <v>5.573230661</v>
      </c>
      <c r="BZ448" s="340"/>
      <c r="CA448" s="316"/>
      <c r="CB448" s="318"/>
      <c r="CC448" s="318"/>
      <c r="CD448" s="318"/>
      <c r="CE448" s="318"/>
      <c r="CF448" s="318"/>
      <c r="CG448" s="318"/>
      <c r="CH448" s="318"/>
      <c r="CI448" s="338"/>
      <c r="CJ448" s="341"/>
      <c r="CK448" s="342">
        <f t="shared" si="18"/>
        <v>0</v>
      </c>
      <c r="CL448" s="333">
        <f t="shared" si="19"/>
        <v>0</v>
      </c>
      <c r="CM448" s="616"/>
      <c r="CN448" s="617"/>
      <c r="CO448" s="617"/>
      <c r="CP448" s="617"/>
    </row>
    <row r="449">
      <c r="B449" s="462"/>
      <c r="C449" s="596">
        <v>44097.0</v>
      </c>
      <c r="D449" s="597" t="s">
        <v>1214</v>
      </c>
      <c r="E449" s="598">
        <v>27.0</v>
      </c>
      <c r="F449" s="599" t="str">
        <f t="shared" si="21"/>
        <v>2020/23-27</v>
      </c>
      <c r="G449" s="600">
        <v>0.43645833333333334</v>
      </c>
      <c r="H449" s="601">
        <v>0.4367476851851852</v>
      </c>
      <c r="I449" s="601"/>
      <c r="J449" s="601"/>
      <c r="K449" s="601">
        <v>0.4381365740740741</v>
      </c>
      <c r="L449" s="602">
        <f t="shared" si="22"/>
        <v>0.001388888889</v>
      </c>
      <c r="M449" s="603" t="s">
        <v>358</v>
      </c>
      <c r="N449" s="626" t="s">
        <v>187</v>
      </c>
      <c r="O449" s="419" t="s">
        <v>201</v>
      </c>
      <c r="P449" s="605" t="s">
        <v>212</v>
      </c>
      <c r="Q449" s="603" t="s">
        <v>1214</v>
      </c>
      <c r="R449" s="606">
        <v>17.0</v>
      </c>
      <c r="S449" s="607">
        <v>7.0</v>
      </c>
      <c r="T449" s="608">
        <v>0.55</v>
      </c>
      <c r="U449" s="609">
        <v>0.5</v>
      </c>
      <c r="V449" s="609"/>
      <c r="W449" s="609"/>
      <c r="X449" s="609"/>
      <c r="Y449" s="609"/>
      <c r="Z449" s="603" t="s">
        <v>335</v>
      </c>
      <c r="AA449" s="603"/>
      <c r="AB449" s="610" t="s">
        <v>341</v>
      </c>
      <c r="AC449" s="611">
        <v>3.0</v>
      </c>
      <c r="AD449" s="610"/>
      <c r="AE449" s="610"/>
      <c r="AF449" s="610"/>
      <c r="AG449" s="610"/>
      <c r="AH449" s="610"/>
      <c r="AI449" s="610"/>
      <c r="AJ449" s="611"/>
      <c r="AK449" s="612"/>
      <c r="AL449" s="610"/>
      <c r="AM449" s="610"/>
      <c r="AN449" s="610"/>
      <c r="AO449" s="610"/>
      <c r="AP449" s="610"/>
      <c r="AQ449" s="610"/>
      <c r="AR449" s="610"/>
      <c r="AS449" s="611"/>
      <c r="AT449" s="461" t="s">
        <v>181</v>
      </c>
      <c r="AU449" s="324" t="s">
        <v>845</v>
      </c>
      <c r="AV449" s="330">
        <f>SQRT(($R449-Infrastructure!J$3)^2+($S449-Infrastructure!K$3)^2)</f>
        <v>27.90877998</v>
      </c>
      <c r="AW449" s="331">
        <f>SQRT(($R449-Infrastructure!J$4)^2+($S449-Infrastructure!K$4)^2)</f>
        <v>20.39436197</v>
      </c>
      <c r="AX449" s="331">
        <f>SQRT(($R449-Infrastructure!J$5)^2+($S449-Infrastructure!K$5)^2)</f>
        <v>17.40402252</v>
      </c>
      <c r="AY449" s="331">
        <f>SQRT(($R449-Infrastructure!J$6)^2+($S449-Infrastructure!K$6)^2)</f>
        <v>9.617692031</v>
      </c>
      <c r="AZ449" s="331">
        <f>SQRT(($R449-Infrastructure!J$7)^2+($S449-Infrastructure!K$7)^2)</f>
        <v>7.559100476</v>
      </c>
      <c r="BA449" s="331">
        <f>SQRT(($R449-Infrastructure!J$8)^2+($S449-Infrastructure!K$8)^2)</f>
        <v>14.71393897</v>
      </c>
      <c r="BB449" s="331">
        <f>SQRT(($R449-Infrastructure!J$9)^2+($S449-Infrastructure!K$9)^2)</f>
        <v>23.07834483</v>
      </c>
      <c r="BC449" s="331">
        <f>SQRT(($R449-Infrastructure!J$10)^2+($S449-Infrastructure!K$10)^2)</f>
        <v>24.35159132</v>
      </c>
      <c r="BD449" s="318"/>
      <c r="BE449" s="332"/>
      <c r="BF449" s="330">
        <f t="shared" si="14"/>
        <v>7.559100476</v>
      </c>
      <c r="BG449" s="333">
        <f t="shared" si="15"/>
        <v>27.90877998</v>
      </c>
      <c r="BH449" s="613"/>
      <c r="BI449" s="316"/>
      <c r="BJ449" s="318"/>
      <c r="BK449" s="318"/>
      <c r="BL449" s="318"/>
      <c r="BM449" s="318"/>
      <c r="BN449" s="318"/>
      <c r="BO449" s="318"/>
      <c r="BP449" s="318"/>
      <c r="BQ449" s="338"/>
      <c r="BR449" s="420"/>
      <c r="BS449" s="330">
        <f t="shared" si="23"/>
        <v>0</v>
      </c>
      <c r="BT449" s="331">
        <f t="shared" si="24"/>
        <v>0</v>
      </c>
      <c r="BU449" s="331"/>
      <c r="BV449" s="333"/>
      <c r="BW449" s="614"/>
      <c r="BX449" s="615"/>
      <c r="BY449" s="331" t="b">
        <f t="shared" si="25"/>
        <v>0</v>
      </c>
      <c r="BZ449" s="340"/>
      <c r="CA449" s="316"/>
      <c r="CB449" s="318"/>
      <c r="CC449" s="318"/>
      <c r="CD449" s="318"/>
      <c r="CE449" s="318"/>
      <c r="CF449" s="318"/>
      <c r="CG449" s="318"/>
      <c r="CH449" s="318"/>
      <c r="CI449" s="338"/>
      <c r="CJ449" s="341"/>
      <c r="CK449" s="342">
        <f t="shared" si="18"/>
        <v>0</v>
      </c>
      <c r="CL449" s="333">
        <f t="shared" si="19"/>
        <v>0</v>
      </c>
      <c r="CM449" s="616"/>
      <c r="CN449" s="617"/>
      <c r="CO449" s="617"/>
      <c r="CP449" s="617"/>
    </row>
    <row r="450">
      <c r="B450" s="462"/>
      <c r="C450" s="596">
        <v>44097.0</v>
      </c>
      <c r="D450" s="597" t="s">
        <v>1214</v>
      </c>
      <c r="E450" s="598">
        <v>28.0</v>
      </c>
      <c r="F450" s="599" t="str">
        <f t="shared" si="21"/>
        <v>2020/23-28</v>
      </c>
      <c r="G450" s="600">
        <v>0.4451388888888889</v>
      </c>
      <c r="H450" s="601">
        <v>0.44571759259259264</v>
      </c>
      <c r="I450" s="601"/>
      <c r="J450" s="601"/>
      <c r="K450" s="601">
        <v>0.4471064814814815</v>
      </c>
      <c r="L450" s="602">
        <f t="shared" si="22"/>
        <v>0.001388888889</v>
      </c>
      <c r="M450" s="603" t="s">
        <v>358</v>
      </c>
      <c r="N450" s="604" t="s">
        <v>187</v>
      </c>
      <c r="O450" s="419" t="s">
        <v>202</v>
      </c>
      <c r="P450" s="605" t="s">
        <v>212</v>
      </c>
      <c r="Q450" s="603" t="s">
        <v>1214</v>
      </c>
      <c r="R450" s="606">
        <v>24.5</v>
      </c>
      <c r="S450" s="620">
        <v>7.5</v>
      </c>
      <c r="T450" s="608">
        <v>0.57</v>
      </c>
      <c r="U450" s="609">
        <v>4.0</v>
      </c>
      <c r="V450" s="609"/>
      <c r="W450" s="609"/>
      <c r="X450" s="609"/>
      <c r="Y450" s="609"/>
      <c r="Z450" s="603" t="s">
        <v>339</v>
      </c>
      <c r="AA450" s="603"/>
      <c r="AB450" s="610" t="s">
        <v>345</v>
      </c>
      <c r="AC450" s="611">
        <v>4.0</v>
      </c>
      <c r="AD450" s="610"/>
      <c r="AE450" s="610"/>
      <c r="AF450" s="610"/>
      <c r="AG450" s="610"/>
      <c r="AH450" s="610"/>
      <c r="AI450" s="610"/>
      <c r="AJ450" s="611"/>
      <c r="AK450" s="612"/>
      <c r="AL450" s="610"/>
      <c r="AM450" s="610"/>
      <c r="AN450" s="610"/>
      <c r="AO450" s="610"/>
      <c r="AP450" s="610"/>
      <c r="AQ450" s="610"/>
      <c r="AR450" s="610"/>
      <c r="AS450" s="611"/>
      <c r="AT450" s="461" t="s">
        <v>182</v>
      </c>
      <c r="AU450" s="324" t="s">
        <v>845</v>
      </c>
      <c r="AV450" s="330">
        <f>SQRT(($R450-Infrastructure!J$3)^2+($S450-Infrastructure!K$3)^2)</f>
        <v>32.75667871</v>
      </c>
      <c r="AW450" s="331">
        <f>SQRT(($R450-Infrastructure!J$4)^2+($S450-Infrastructure!K$4)^2)</f>
        <v>26.85386378</v>
      </c>
      <c r="AX450" s="331">
        <f>SQRT(($R450-Infrastructure!J$5)^2+($S450-Infrastructure!K$5)^2)</f>
        <v>24.9158584</v>
      </c>
      <c r="AY450" s="331">
        <f>SQRT(($R450-Infrastructure!J$6)^2+($S450-Infrastructure!K$6)^2)</f>
        <v>16.09968944</v>
      </c>
      <c r="AZ450" s="331">
        <f>SQRT(($R450-Infrastructure!J$7)^2+($S450-Infrastructure!K$7)^2)</f>
        <v>8.236504113</v>
      </c>
      <c r="BA450" s="331">
        <f>SQRT(($R450-Infrastructure!J$8)^2+($S450-Infrastructure!K$8)^2)</f>
        <v>9.121403401</v>
      </c>
      <c r="BB450" s="331">
        <f>SQRT(($R450-Infrastructure!J$9)^2+($S450-Infrastructure!K$9)^2)</f>
        <v>15.68470593</v>
      </c>
      <c r="BC450" s="331">
        <f>SQRT(($R450-Infrastructure!J$10)^2+($S450-Infrastructure!K$10)^2)</f>
        <v>17.21917536</v>
      </c>
      <c r="BD450" s="318"/>
      <c r="BE450" s="332"/>
      <c r="BF450" s="330">
        <f t="shared" si="14"/>
        <v>8.236504113</v>
      </c>
      <c r="BG450" s="333">
        <f t="shared" si="15"/>
        <v>32.75667871</v>
      </c>
      <c r="BH450" s="613"/>
      <c r="BI450" s="316"/>
      <c r="BJ450" s="318"/>
      <c r="BK450" s="318"/>
      <c r="BL450" s="318"/>
      <c r="BM450" s="318"/>
      <c r="BN450" s="319" t="s">
        <v>846</v>
      </c>
      <c r="BO450" s="318"/>
      <c r="BP450" s="318"/>
      <c r="BQ450" s="338"/>
      <c r="BR450" s="420"/>
      <c r="BS450" s="330">
        <f t="shared" si="23"/>
        <v>9.121403401</v>
      </c>
      <c r="BT450" s="331">
        <f t="shared" si="24"/>
        <v>9.121403401</v>
      </c>
      <c r="BU450" s="331"/>
      <c r="BV450" s="333"/>
      <c r="BW450" s="614">
        <v>28.21</v>
      </c>
      <c r="BX450" s="615">
        <v>4.28</v>
      </c>
      <c r="BY450" s="331">
        <f t="shared" si="25"/>
        <v>4.912484097</v>
      </c>
      <c r="BZ450" s="340"/>
      <c r="CA450" s="316"/>
      <c r="CB450" s="318"/>
      <c r="CC450" s="318"/>
      <c r="CD450" s="318"/>
      <c r="CE450" s="318"/>
      <c r="CF450" s="318"/>
      <c r="CG450" s="318"/>
      <c r="CH450" s="318"/>
      <c r="CI450" s="338"/>
      <c r="CJ450" s="341"/>
      <c r="CK450" s="342">
        <f t="shared" si="18"/>
        <v>0</v>
      </c>
      <c r="CL450" s="333">
        <f t="shared" si="19"/>
        <v>0</v>
      </c>
      <c r="CM450" s="616"/>
      <c r="CN450" s="617"/>
      <c r="CO450" s="617"/>
      <c r="CP450" s="617"/>
    </row>
    <row r="451">
      <c r="B451" s="462"/>
      <c r="C451" s="596">
        <v>44097.0</v>
      </c>
      <c r="D451" s="597" t="s">
        <v>1214</v>
      </c>
      <c r="E451" s="598">
        <v>29.0</v>
      </c>
      <c r="F451" s="599" t="str">
        <f t="shared" si="21"/>
        <v>2020/23-29</v>
      </c>
      <c r="G451" s="600">
        <v>0.45</v>
      </c>
      <c r="H451" s="601">
        <v>0.4506365740740741</v>
      </c>
      <c r="I451" s="601"/>
      <c r="J451" s="601"/>
      <c r="K451" s="601">
        <v>0.452025462962963</v>
      </c>
      <c r="L451" s="602">
        <f t="shared" si="22"/>
        <v>0.001388888889</v>
      </c>
      <c r="M451" s="603" t="s">
        <v>358</v>
      </c>
      <c r="N451" s="604" t="s">
        <v>187</v>
      </c>
      <c r="O451" s="419" t="s">
        <v>202</v>
      </c>
      <c r="P451" s="605" t="s">
        <v>212</v>
      </c>
      <c r="Q451" s="603" t="s">
        <v>1214</v>
      </c>
      <c r="R451" s="606">
        <v>24.5</v>
      </c>
      <c r="S451" s="620">
        <v>7.5</v>
      </c>
      <c r="T451" s="608">
        <v>0.57</v>
      </c>
      <c r="U451" s="609">
        <v>1.0</v>
      </c>
      <c r="V451" s="609"/>
      <c r="W451" s="609"/>
      <c r="X451" s="609"/>
      <c r="Y451" s="609"/>
      <c r="Z451" s="603" t="s">
        <v>335</v>
      </c>
      <c r="AA451" s="603"/>
      <c r="AB451" s="610" t="s">
        <v>345</v>
      </c>
      <c r="AC451" s="611">
        <v>4.0</v>
      </c>
      <c r="AD451" s="610"/>
      <c r="AE451" s="610"/>
      <c r="AF451" s="610"/>
      <c r="AG451" s="610"/>
      <c r="AH451" s="610"/>
      <c r="AI451" s="610"/>
      <c r="AJ451" s="611"/>
      <c r="AK451" s="612"/>
      <c r="AL451" s="610"/>
      <c r="AM451" s="610"/>
      <c r="AN451" s="610"/>
      <c r="AO451" s="610"/>
      <c r="AP451" s="610"/>
      <c r="AQ451" s="610"/>
      <c r="AR451" s="610"/>
      <c r="AS451" s="611"/>
      <c r="AT451" s="461" t="s">
        <v>182</v>
      </c>
      <c r="AU451" s="324" t="s">
        <v>845</v>
      </c>
      <c r="AV451" s="330">
        <f>SQRT(($R451-Infrastructure!J$3)^2+($S451-Infrastructure!K$3)^2)</f>
        <v>32.75667871</v>
      </c>
      <c r="AW451" s="331">
        <f>SQRT(($R451-Infrastructure!J$4)^2+($S451-Infrastructure!K$4)^2)</f>
        <v>26.85386378</v>
      </c>
      <c r="AX451" s="331">
        <f>SQRT(($R451-Infrastructure!J$5)^2+($S451-Infrastructure!K$5)^2)</f>
        <v>24.9158584</v>
      </c>
      <c r="AY451" s="331">
        <f>SQRT(($R451-Infrastructure!J$6)^2+($S451-Infrastructure!K$6)^2)</f>
        <v>16.09968944</v>
      </c>
      <c r="AZ451" s="331">
        <f>SQRT(($R451-Infrastructure!J$7)^2+($S451-Infrastructure!K$7)^2)</f>
        <v>8.236504113</v>
      </c>
      <c r="BA451" s="331">
        <f>SQRT(($R451-Infrastructure!J$8)^2+($S451-Infrastructure!K$8)^2)</f>
        <v>9.121403401</v>
      </c>
      <c r="BB451" s="331">
        <f>SQRT(($R451-Infrastructure!J$9)^2+($S451-Infrastructure!K$9)^2)</f>
        <v>15.68470593</v>
      </c>
      <c r="BC451" s="331">
        <f>SQRT(($R451-Infrastructure!J$10)^2+($S451-Infrastructure!K$10)^2)</f>
        <v>17.21917536</v>
      </c>
      <c r="BD451" s="318"/>
      <c r="BE451" s="332"/>
      <c r="BF451" s="330">
        <f t="shared" si="14"/>
        <v>8.236504113</v>
      </c>
      <c r="BG451" s="333">
        <f t="shared" si="15"/>
        <v>32.75667871</v>
      </c>
      <c r="BH451" s="613"/>
      <c r="BI451" s="316"/>
      <c r="BJ451" s="318"/>
      <c r="BK451" s="318"/>
      <c r="BL451" s="318"/>
      <c r="BM451" s="319" t="s">
        <v>846</v>
      </c>
      <c r="BN451" s="319" t="s">
        <v>846</v>
      </c>
      <c r="BO451" s="318"/>
      <c r="BP451" s="318"/>
      <c r="BQ451" s="338"/>
      <c r="BR451" s="420"/>
      <c r="BS451" s="330">
        <f t="shared" si="23"/>
        <v>8.236504113</v>
      </c>
      <c r="BT451" s="331">
        <f t="shared" si="24"/>
        <v>9.121403401</v>
      </c>
      <c r="BU451" s="331"/>
      <c r="BV451" s="333"/>
      <c r="BW451" s="614"/>
      <c r="BX451" s="615"/>
      <c r="BY451" s="331" t="b">
        <f t="shared" si="25"/>
        <v>0</v>
      </c>
      <c r="BZ451" s="340"/>
      <c r="CA451" s="316"/>
      <c r="CB451" s="318"/>
      <c r="CC451" s="318"/>
      <c r="CD451" s="318"/>
      <c r="CE451" s="318"/>
      <c r="CF451" s="318"/>
      <c r="CG451" s="318"/>
      <c r="CH451" s="318"/>
      <c r="CI451" s="338"/>
      <c r="CJ451" s="341"/>
      <c r="CK451" s="342">
        <f t="shared" si="18"/>
        <v>0</v>
      </c>
      <c r="CL451" s="333">
        <f t="shared" si="19"/>
        <v>0</v>
      </c>
      <c r="CM451" s="616"/>
      <c r="CN451" s="617"/>
      <c r="CO451" s="617"/>
      <c r="CP451" s="617"/>
    </row>
    <row r="452">
      <c r="B452" s="462"/>
      <c r="C452" s="596">
        <v>44097.0</v>
      </c>
      <c r="D452" s="597" t="s">
        <v>1214</v>
      </c>
      <c r="E452" s="598">
        <v>30.0</v>
      </c>
      <c r="F452" s="619" t="str">
        <f t="shared" si="21"/>
        <v>2020/23-30</v>
      </c>
      <c r="G452" s="600">
        <v>0.4600694444444444</v>
      </c>
      <c r="H452" s="601">
        <v>0.4604166666666667</v>
      </c>
      <c r="I452" s="601"/>
      <c r="J452" s="601"/>
      <c r="K452" s="601">
        <v>0.4618055555555556</v>
      </c>
      <c r="L452" s="602">
        <f t="shared" si="22"/>
        <v>0.001388888889</v>
      </c>
      <c r="M452" s="603" t="s">
        <v>358</v>
      </c>
      <c r="N452" s="604" t="s">
        <v>187</v>
      </c>
      <c r="O452" s="419" t="s">
        <v>202</v>
      </c>
      <c r="P452" s="605" t="s">
        <v>212</v>
      </c>
      <c r="Q452" s="603"/>
      <c r="R452" s="606">
        <v>24.5</v>
      </c>
      <c r="S452" s="620">
        <v>7.5</v>
      </c>
      <c r="T452" s="608">
        <v>0.57</v>
      </c>
      <c r="U452" s="609">
        <v>2.0</v>
      </c>
      <c r="V452" s="609"/>
      <c r="W452" s="609"/>
      <c r="X452" s="609"/>
      <c r="Y452" s="609"/>
      <c r="Z452" s="603" t="s">
        <v>339</v>
      </c>
      <c r="AA452" s="603"/>
      <c r="AB452" s="624" t="s">
        <v>345</v>
      </c>
      <c r="AC452" s="621">
        <v>4.0</v>
      </c>
      <c r="AD452" s="603"/>
      <c r="AE452" s="603"/>
      <c r="AF452" s="603"/>
      <c r="AG452" s="603"/>
      <c r="AH452" s="603"/>
      <c r="AI452" s="603"/>
      <c r="AJ452" s="621"/>
      <c r="AK452" s="622"/>
      <c r="AL452" s="603"/>
      <c r="AM452" s="603"/>
      <c r="AN452" s="603"/>
      <c r="AO452" s="603"/>
      <c r="AP452" s="603"/>
      <c r="AQ452" s="603"/>
      <c r="AR452" s="603"/>
      <c r="AS452" s="621"/>
      <c r="AT452" s="461" t="s">
        <v>182</v>
      </c>
      <c r="AU452" s="324" t="s">
        <v>845</v>
      </c>
      <c r="AV452" s="330">
        <f>SQRT(($R452-Infrastructure!J$3)^2+($S452-Infrastructure!K$3)^2)</f>
        <v>32.75667871</v>
      </c>
      <c r="AW452" s="331">
        <f>SQRT(($R452-Infrastructure!J$4)^2+($S452-Infrastructure!K$4)^2)</f>
        <v>26.85386378</v>
      </c>
      <c r="AX452" s="331">
        <f>SQRT(($R452-Infrastructure!J$5)^2+($S452-Infrastructure!K$5)^2)</f>
        <v>24.9158584</v>
      </c>
      <c r="AY452" s="331">
        <f>SQRT(($R452-Infrastructure!J$6)^2+($S452-Infrastructure!K$6)^2)</f>
        <v>16.09968944</v>
      </c>
      <c r="AZ452" s="331">
        <f>SQRT(($R452-Infrastructure!J$7)^2+($S452-Infrastructure!K$7)^2)</f>
        <v>8.236504113</v>
      </c>
      <c r="BA452" s="331">
        <f>SQRT(($R452-Infrastructure!J$8)^2+($S452-Infrastructure!K$8)^2)</f>
        <v>9.121403401</v>
      </c>
      <c r="BB452" s="331">
        <f>SQRT(($R452-Infrastructure!J$9)^2+($S452-Infrastructure!K$9)^2)</f>
        <v>15.68470593</v>
      </c>
      <c r="BC452" s="331">
        <f>SQRT(($R452-Infrastructure!J$10)^2+($S452-Infrastructure!K$10)^2)</f>
        <v>17.21917536</v>
      </c>
      <c r="BD452" s="318"/>
      <c r="BE452" s="332"/>
      <c r="BF452" s="330">
        <f t="shared" si="14"/>
        <v>8.236504113</v>
      </c>
      <c r="BG452" s="333">
        <f t="shared" si="15"/>
        <v>32.75667871</v>
      </c>
      <c r="BH452" s="613"/>
      <c r="BI452" s="316"/>
      <c r="BJ452" s="318"/>
      <c r="BK452" s="318"/>
      <c r="BL452" s="318"/>
      <c r="BM452" s="319" t="s">
        <v>846</v>
      </c>
      <c r="BN452" s="318"/>
      <c r="BO452" s="318"/>
      <c r="BP452" s="318"/>
      <c r="BQ452" s="338"/>
      <c r="BR452" s="420"/>
      <c r="BS452" s="330">
        <f t="shared" si="23"/>
        <v>8.236504113</v>
      </c>
      <c r="BT452" s="331">
        <f t="shared" si="24"/>
        <v>8.236504113</v>
      </c>
      <c r="BU452" s="331"/>
      <c r="BV452" s="333"/>
      <c r="BW452" s="614"/>
      <c r="BX452" s="615"/>
      <c r="BY452" s="331" t="b">
        <f t="shared" si="25"/>
        <v>0</v>
      </c>
      <c r="BZ452" s="340"/>
      <c r="CA452" s="316"/>
      <c r="CB452" s="318"/>
      <c r="CC452" s="318"/>
      <c r="CD452" s="318"/>
      <c r="CE452" s="318"/>
      <c r="CF452" s="318"/>
      <c r="CG452" s="318"/>
      <c r="CH452" s="318"/>
      <c r="CI452" s="338"/>
      <c r="CJ452" s="341"/>
      <c r="CK452" s="342">
        <f t="shared" si="18"/>
        <v>0</v>
      </c>
      <c r="CL452" s="333">
        <f t="shared" si="19"/>
        <v>0</v>
      </c>
      <c r="CM452" s="616"/>
      <c r="CN452" s="617"/>
      <c r="CO452" s="617"/>
      <c r="CP452" s="617"/>
    </row>
    <row r="453">
      <c r="B453" s="462"/>
      <c r="C453" s="596">
        <v>44097.0</v>
      </c>
      <c r="D453" s="597" t="s">
        <v>1214</v>
      </c>
      <c r="E453" s="598">
        <v>31.0</v>
      </c>
      <c r="F453" s="599" t="str">
        <f t="shared" si="21"/>
        <v>2020/23-31</v>
      </c>
      <c r="G453" s="600">
        <v>0.46319444444444446</v>
      </c>
      <c r="H453" s="601">
        <v>0.46371527777777777</v>
      </c>
      <c r="I453" s="601"/>
      <c r="J453" s="601"/>
      <c r="K453" s="601">
        <v>0.46510416666666665</v>
      </c>
      <c r="L453" s="602">
        <f t="shared" si="22"/>
        <v>0.001388888889</v>
      </c>
      <c r="M453" s="603" t="s">
        <v>358</v>
      </c>
      <c r="N453" s="604" t="s">
        <v>187</v>
      </c>
      <c r="O453" s="419" t="s">
        <v>202</v>
      </c>
      <c r="P453" s="605" t="s">
        <v>212</v>
      </c>
      <c r="Q453" s="603" t="s">
        <v>1214</v>
      </c>
      <c r="R453" s="606">
        <v>24.5</v>
      </c>
      <c r="S453" s="620">
        <v>7.5</v>
      </c>
      <c r="T453" s="608">
        <v>0.57</v>
      </c>
      <c r="U453" s="609">
        <v>0.5</v>
      </c>
      <c r="V453" s="609"/>
      <c r="W453" s="609"/>
      <c r="X453" s="609"/>
      <c r="Y453" s="609"/>
      <c r="Z453" s="603" t="s">
        <v>335</v>
      </c>
      <c r="AA453" s="603"/>
      <c r="AB453" s="610" t="s">
        <v>345</v>
      </c>
      <c r="AC453" s="611">
        <v>4.0</v>
      </c>
      <c r="AD453" s="610"/>
      <c r="AE453" s="610"/>
      <c r="AF453" s="610"/>
      <c r="AG453" s="610"/>
      <c r="AH453" s="610"/>
      <c r="AI453" s="610"/>
      <c r="AJ453" s="611"/>
      <c r="AK453" s="612"/>
      <c r="AL453" s="610"/>
      <c r="AM453" s="610"/>
      <c r="AN453" s="610"/>
      <c r="AO453" s="610"/>
      <c r="AP453" s="610"/>
      <c r="AQ453" s="610"/>
      <c r="AR453" s="610"/>
      <c r="AS453" s="611"/>
      <c r="AT453" s="461" t="s">
        <v>181</v>
      </c>
      <c r="AU453" s="324" t="s">
        <v>845</v>
      </c>
      <c r="AV453" s="330">
        <f>SQRT(($R453-Infrastructure!J$3)^2+($S453-Infrastructure!K$3)^2)</f>
        <v>32.75667871</v>
      </c>
      <c r="AW453" s="331">
        <f>SQRT(($R453-Infrastructure!J$4)^2+($S453-Infrastructure!K$4)^2)</f>
        <v>26.85386378</v>
      </c>
      <c r="AX453" s="331">
        <f>SQRT(($R453-Infrastructure!J$5)^2+($S453-Infrastructure!K$5)^2)</f>
        <v>24.9158584</v>
      </c>
      <c r="AY453" s="331">
        <f>SQRT(($R453-Infrastructure!J$6)^2+($S453-Infrastructure!K$6)^2)</f>
        <v>16.09968944</v>
      </c>
      <c r="AZ453" s="331">
        <f>SQRT(($R453-Infrastructure!J$7)^2+($S453-Infrastructure!K$7)^2)</f>
        <v>8.236504113</v>
      </c>
      <c r="BA453" s="331">
        <f>SQRT(($R453-Infrastructure!J$8)^2+($S453-Infrastructure!K$8)^2)</f>
        <v>9.121403401</v>
      </c>
      <c r="BB453" s="331">
        <f>SQRT(($R453-Infrastructure!J$9)^2+($S453-Infrastructure!K$9)^2)</f>
        <v>15.68470593</v>
      </c>
      <c r="BC453" s="331">
        <f>SQRT(($R453-Infrastructure!J$10)^2+($S453-Infrastructure!K$10)^2)</f>
        <v>17.21917536</v>
      </c>
      <c r="BD453" s="318"/>
      <c r="BE453" s="332"/>
      <c r="BF453" s="330">
        <f t="shared" si="14"/>
        <v>8.236504113</v>
      </c>
      <c r="BG453" s="333">
        <f t="shared" si="15"/>
        <v>32.75667871</v>
      </c>
      <c r="BH453" s="613"/>
      <c r="BI453" s="316"/>
      <c r="BJ453" s="318"/>
      <c r="BK453" s="318"/>
      <c r="BL453" s="319" t="s">
        <v>846</v>
      </c>
      <c r="BM453" s="318"/>
      <c r="BN453" s="318"/>
      <c r="BO453" s="318"/>
      <c r="BP453" s="318"/>
      <c r="BQ453" s="338"/>
      <c r="BR453" s="420"/>
      <c r="BS453" s="330">
        <f t="shared" si="23"/>
        <v>16.09968944</v>
      </c>
      <c r="BT453" s="331">
        <f t="shared" si="24"/>
        <v>16.09968944</v>
      </c>
      <c r="BU453" s="331"/>
      <c r="BV453" s="333"/>
      <c r="BW453" s="614"/>
      <c r="BX453" s="615"/>
      <c r="BY453" s="331" t="b">
        <f t="shared" si="25"/>
        <v>0</v>
      </c>
      <c r="BZ453" s="340"/>
      <c r="CA453" s="316"/>
      <c r="CB453" s="318"/>
      <c r="CC453" s="318"/>
      <c r="CD453" s="318"/>
      <c r="CE453" s="318"/>
      <c r="CF453" s="318"/>
      <c r="CG453" s="318"/>
      <c r="CH453" s="318"/>
      <c r="CI453" s="338"/>
      <c r="CJ453" s="341"/>
      <c r="CK453" s="342">
        <f t="shared" si="18"/>
        <v>0</v>
      </c>
      <c r="CL453" s="333">
        <f t="shared" si="19"/>
        <v>0</v>
      </c>
      <c r="CM453" s="616"/>
      <c r="CN453" s="617"/>
      <c r="CO453" s="617"/>
      <c r="CP453" s="617"/>
    </row>
    <row r="454">
      <c r="B454" s="462"/>
      <c r="C454" s="596">
        <v>44097.0</v>
      </c>
      <c r="D454" s="597" t="s">
        <v>1214</v>
      </c>
      <c r="E454" s="598">
        <v>32.0</v>
      </c>
      <c r="F454" s="599" t="str">
        <f t="shared" si="21"/>
        <v>2020/23-32</v>
      </c>
      <c r="G454" s="600">
        <v>0.466087962962963</v>
      </c>
      <c r="H454" s="601">
        <v>0.4666666666666666</v>
      </c>
      <c r="I454" s="601"/>
      <c r="J454" s="601"/>
      <c r="K454" s="601">
        <v>0.46875</v>
      </c>
      <c r="L454" s="602">
        <f t="shared" si="22"/>
        <v>0.002083333333</v>
      </c>
      <c r="M454" s="603" t="s">
        <v>358</v>
      </c>
      <c r="N454" s="604" t="s">
        <v>187</v>
      </c>
      <c r="O454" s="419" t="s">
        <v>202</v>
      </c>
      <c r="P454" s="605" t="s">
        <v>212</v>
      </c>
      <c r="Q454" s="603" t="s">
        <v>1214</v>
      </c>
      <c r="R454" s="606">
        <v>24.5</v>
      </c>
      <c r="S454" s="620">
        <v>7.5</v>
      </c>
      <c r="T454" s="608">
        <v>0.57</v>
      </c>
      <c r="U454" s="609">
        <v>0.25</v>
      </c>
      <c r="V454" s="609"/>
      <c r="W454" s="609"/>
      <c r="X454" s="609"/>
      <c r="Y454" s="609"/>
      <c r="Z454" s="603" t="s">
        <v>335</v>
      </c>
      <c r="AA454" s="603"/>
      <c r="AB454" s="610" t="s">
        <v>345</v>
      </c>
      <c r="AC454" s="611">
        <v>4.0</v>
      </c>
      <c r="AD454" s="610"/>
      <c r="AE454" s="610"/>
      <c r="AF454" s="610"/>
      <c r="AG454" s="610"/>
      <c r="AH454" s="610"/>
      <c r="AI454" s="610"/>
      <c r="AJ454" s="611"/>
      <c r="AK454" s="612"/>
      <c r="AL454" s="610"/>
      <c r="AM454" s="610"/>
      <c r="AN454" s="610"/>
      <c r="AO454" s="610"/>
      <c r="AP454" s="610"/>
      <c r="AQ454" s="610"/>
      <c r="AR454" s="610"/>
      <c r="AS454" s="611"/>
      <c r="AT454" s="461" t="s">
        <v>181</v>
      </c>
      <c r="AU454" s="324" t="s">
        <v>845</v>
      </c>
      <c r="AV454" s="330">
        <f>SQRT(($R454-Infrastructure!J$3)^2+($S454-Infrastructure!K$3)^2)</f>
        <v>32.75667871</v>
      </c>
      <c r="AW454" s="331">
        <f>SQRT(($R454-Infrastructure!J$4)^2+($S454-Infrastructure!K$4)^2)</f>
        <v>26.85386378</v>
      </c>
      <c r="AX454" s="331">
        <f>SQRT(($R454-Infrastructure!J$5)^2+($S454-Infrastructure!K$5)^2)</f>
        <v>24.9158584</v>
      </c>
      <c r="AY454" s="331">
        <f>SQRT(($R454-Infrastructure!J$6)^2+($S454-Infrastructure!K$6)^2)</f>
        <v>16.09968944</v>
      </c>
      <c r="AZ454" s="331">
        <f>SQRT(($R454-Infrastructure!J$7)^2+($S454-Infrastructure!K$7)^2)</f>
        <v>8.236504113</v>
      </c>
      <c r="BA454" s="331">
        <f>SQRT(($R454-Infrastructure!J$8)^2+($S454-Infrastructure!K$8)^2)</f>
        <v>9.121403401</v>
      </c>
      <c r="BB454" s="331">
        <f>SQRT(($R454-Infrastructure!J$9)^2+($S454-Infrastructure!K$9)^2)</f>
        <v>15.68470593</v>
      </c>
      <c r="BC454" s="331">
        <f>SQRT(($R454-Infrastructure!J$10)^2+($S454-Infrastructure!K$10)^2)</f>
        <v>17.21917536</v>
      </c>
      <c r="BD454" s="318"/>
      <c r="BE454" s="332"/>
      <c r="BF454" s="330">
        <f t="shared" si="14"/>
        <v>8.236504113</v>
      </c>
      <c r="BG454" s="333">
        <f t="shared" si="15"/>
        <v>32.75667871</v>
      </c>
      <c r="BH454" s="613"/>
      <c r="BI454" s="316"/>
      <c r="BJ454" s="318"/>
      <c r="BK454" s="318"/>
      <c r="BL454" s="318"/>
      <c r="BM454" s="318"/>
      <c r="BN454" s="318"/>
      <c r="BO454" s="318"/>
      <c r="BP454" s="318"/>
      <c r="BQ454" s="338"/>
      <c r="BR454" s="420"/>
      <c r="BS454" s="330">
        <f t="shared" si="23"/>
        <v>0</v>
      </c>
      <c r="BT454" s="331">
        <f t="shared" si="24"/>
        <v>0</v>
      </c>
      <c r="BU454" s="331"/>
      <c r="BV454" s="333"/>
      <c r="BW454" s="614"/>
      <c r="BX454" s="615"/>
      <c r="BY454" s="331" t="b">
        <f t="shared" si="25"/>
        <v>0</v>
      </c>
      <c r="BZ454" s="340"/>
      <c r="CA454" s="316"/>
      <c r="CB454" s="318"/>
      <c r="CC454" s="318"/>
      <c r="CD454" s="318"/>
      <c r="CE454" s="318"/>
      <c r="CF454" s="318"/>
      <c r="CG454" s="318"/>
      <c r="CH454" s="318"/>
      <c r="CI454" s="338"/>
      <c r="CJ454" s="341"/>
      <c r="CK454" s="342">
        <f t="shared" si="18"/>
        <v>0</v>
      </c>
      <c r="CL454" s="333">
        <f t="shared" si="19"/>
        <v>0</v>
      </c>
      <c r="CM454" s="616"/>
      <c r="CN454" s="617"/>
      <c r="CO454" s="617"/>
      <c r="CP454" s="617"/>
    </row>
    <row r="455">
      <c r="B455" s="462"/>
      <c r="C455" s="596">
        <v>44097.0</v>
      </c>
      <c r="D455" s="597" t="s">
        <v>1214</v>
      </c>
      <c r="E455" s="598">
        <v>33.0</v>
      </c>
      <c r="F455" s="599" t="str">
        <f t="shared" si="21"/>
        <v>2020/23-33</v>
      </c>
      <c r="G455" s="600">
        <v>0.4726273148148148</v>
      </c>
      <c r="H455" s="601">
        <v>0.47378472222222223</v>
      </c>
      <c r="I455" s="601"/>
      <c r="J455" s="601"/>
      <c r="K455" s="601">
        <v>0.4751736111111111</v>
      </c>
      <c r="L455" s="602">
        <f t="shared" si="22"/>
        <v>0.001388888889</v>
      </c>
      <c r="M455" s="603" t="s">
        <v>358</v>
      </c>
      <c r="N455" s="604" t="s">
        <v>187</v>
      </c>
      <c r="O455" s="419" t="s">
        <v>197</v>
      </c>
      <c r="P455" s="605" t="s">
        <v>220</v>
      </c>
      <c r="Q455" s="603" t="s">
        <v>1214</v>
      </c>
      <c r="R455" s="606">
        <v>37.1</v>
      </c>
      <c r="S455" s="620">
        <v>7.0</v>
      </c>
      <c r="T455" s="618">
        <v>7.0</v>
      </c>
      <c r="U455" s="625">
        <v>6.0</v>
      </c>
      <c r="V455" s="625"/>
      <c r="W455" s="625"/>
      <c r="X455" s="625"/>
      <c r="Y455" s="625"/>
      <c r="Z455" s="603" t="s">
        <v>379</v>
      </c>
      <c r="AA455" s="603"/>
      <c r="AB455" s="610" t="s">
        <v>392</v>
      </c>
      <c r="AC455" s="611">
        <v>10.0</v>
      </c>
      <c r="AD455" s="610"/>
      <c r="AE455" s="610"/>
      <c r="AF455" s="610"/>
      <c r="AG455" s="610"/>
      <c r="AH455" s="610"/>
      <c r="AI455" s="610"/>
      <c r="AJ455" s="611"/>
      <c r="AK455" s="612"/>
      <c r="AL455" s="610"/>
      <c r="AM455" s="610"/>
      <c r="AN455" s="610"/>
      <c r="AO455" s="610"/>
      <c r="AP455" s="610"/>
      <c r="AQ455" s="610"/>
      <c r="AR455" s="610"/>
      <c r="AS455" s="611"/>
      <c r="AT455" s="461" t="s">
        <v>182</v>
      </c>
      <c r="AU455" s="324" t="s">
        <v>845</v>
      </c>
      <c r="AV455" s="330">
        <f>SQRT(($R455-Infrastructure!J$3)^2+($S455-Infrastructure!K$3)^2)</f>
        <v>43.34016613</v>
      </c>
      <c r="AW455" s="331">
        <f>SQRT(($R455-Infrastructure!J$4)^2+($S455-Infrastructure!K$4)^2)</f>
        <v>38.92813892</v>
      </c>
      <c r="AX455" s="331">
        <f>SQRT(($R455-Infrastructure!J$5)^2+($S455-Infrastructure!K$5)^2)</f>
        <v>37.44823093</v>
      </c>
      <c r="AY455" s="331">
        <f>SQRT(($R455-Infrastructure!J$6)^2+($S455-Infrastructure!K$6)^2)</f>
        <v>27.81887848</v>
      </c>
      <c r="AZ455" s="331">
        <f>SQRT(($R455-Infrastructure!J$7)^2+($S455-Infrastructure!K$7)^2)</f>
        <v>17.90111728</v>
      </c>
      <c r="BA455" s="331">
        <f>SQRT(($R455-Infrastructure!J$8)^2+($S455-Infrastructure!K$8)^2)</f>
        <v>9.689685237</v>
      </c>
      <c r="BB455" s="331">
        <f>SQRT(($R455-Infrastructure!J$9)^2+($S455-Infrastructure!K$9)^2)</f>
        <v>3.466987165</v>
      </c>
      <c r="BC455" s="331">
        <f>SQRT(($R455-Infrastructure!J$10)^2+($S455-Infrastructure!K$10)^2)</f>
        <v>8.50940656</v>
      </c>
      <c r="BD455" s="318"/>
      <c r="BE455" s="332"/>
      <c r="BF455" s="330">
        <f t="shared" si="14"/>
        <v>3.466987165</v>
      </c>
      <c r="BG455" s="333">
        <f t="shared" si="15"/>
        <v>43.34016613</v>
      </c>
      <c r="BH455" s="613"/>
      <c r="BI455" s="316"/>
      <c r="BJ455" s="318"/>
      <c r="BK455" s="318"/>
      <c r="BL455" s="318"/>
      <c r="BM455" s="318"/>
      <c r="BN455" s="318"/>
      <c r="BO455" s="319" t="s">
        <v>846</v>
      </c>
      <c r="BP455" s="319" t="s">
        <v>846</v>
      </c>
      <c r="BQ455" s="338"/>
      <c r="BR455" s="420"/>
      <c r="BS455" s="330">
        <f t="shared" si="23"/>
        <v>3.466987165</v>
      </c>
      <c r="BT455" s="331">
        <f t="shared" si="24"/>
        <v>8.50940656</v>
      </c>
      <c r="BU455" s="331"/>
      <c r="BV455" s="333"/>
      <c r="BW455" s="614"/>
      <c r="BX455" s="615"/>
      <c r="BY455" s="331" t="b">
        <f t="shared" si="25"/>
        <v>0</v>
      </c>
      <c r="BZ455" s="340"/>
      <c r="CA455" s="316"/>
      <c r="CB455" s="318"/>
      <c r="CC455" s="318"/>
      <c r="CD455" s="318"/>
      <c r="CE455" s="318"/>
      <c r="CF455" s="318"/>
      <c r="CG455" s="318"/>
      <c r="CH455" s="318"/>
      <c r="CI455" s="338"/>
      <c r="CJ455" s="341"/>
      <c r="CK455" s="342">
        <f t="shared" si="18"/>
        <v>0</v>
      </c>
      <c r="CL455" s="333">
        <f t="shared" si="19"/>
        <v>0</v>
      </c>
      <c r="CM455" s="616"/>
      <c r="CN455" s="617"/>
      <c r="CO455" s="617"/>
      <c r="CP455" s="617"/>
    </row>
    <row r="456">
      <c r="B456" s="462"/>
      <c r="C456" s="596">
        <v>44097.0</v>
      </c>
      <c r="D456" s="597" t="s">
        <v>1214</v>
      </c>
      <c r="E456" s="598">
        <v>34.0</v>
      </c>
      <c r="F456" s="619" t="str">
        <f t="shared" si="21"/>
        <v>2020/23-34</v>
      </c>
      <c r="G456" s="600">
        <v>0.4763888888888889</v>
      </c>
      <c r="H456" s="601">
        <v>0.47662037037037036</v>
      </c>
      <c r="I456" s="601"/>
      <c r="J456" s="601"/>
      <c r="K456" s="601">
        <v>0.47800925925925924</v>
      </c>
      <c r="L456" s="602">
        <f t="shared" si="22"/>
        <v>0.001388888889</v>
      </c>
      <c r="M456" s="603" t="s">
        <v>358</v>
      </c>
      <c r="N456" s="604" t="s">
        <v>187</v>
      </c>
      <c r="O456" s="419" t="s">
        <v>197</v>
      </c>
      <c r="P456" s="605" t="s">
        <v>220</v>
      </c>
      <c r="Q456" s="603"/>
      <c r="R456" s="606">
        <v>37.1</v>
      </c>
      <c r="S456" s="620">
        <v>7.0</v>
      </c>
      <c r="T456" s="618">
        <v>7.0</v>
      </c>
      <c r="U456" s="609">
        <v>3.0</v>
      </c>
      <c r="V456" s="609"/>
      <c r="W456" s="609"/>
      <c r="X456" s="609"/>
      <c r="Y456" s="609"/>
      <c r="Z456" s="603" t="s">
        <v>379</v>
      </c>
      <c r="AA456" s="603"/>
      <c r="AB456" s="610" t="s">
        <v>392</v>
      </c>
      <c r="AC456" s="621">
        <v>10.0</v>
      </c>
      <c r="AD456" s="603"/>
      <c r="AE456" s="603"/>
      <c r="AF456" s="603"/>
      <c r="AG456" s="603"/>
      <c r="AH456" s="603"/>
      <c r="AI456" s="603"/>
      <c r="AJ456" s="621"/>
      <c r="AK456" s="622"/>
      <c r="AL456" s="603"/>
      <c r="AM456" s="603"/>
      <c r="AN456" s="603"/>
      <c r="AO456" s="603"/>
      <c r="AP456" s="603"/>
      <c r="AQ456" s="603"/>
      <c r="AR456" s="603"/>
      <c r="AS456" s="621"/>
      <c r="AT456" s="461" t="s">
        <v>182</v>
      </c>
      <c r="AU456" s="324" t="s">
        <v>845</v>
      </c>
      <c r="AV456" s="330">
        <f>SQRT(($R456-Infrastructure!J$3)^2+($S456-Infrastructure!K$3)^2)</f>
        <v>43.34016613</v>
      </c>
      <c r="AW456" s="331">
        <f>SQRT(($R456-Infrastructure!J$4)^2+($S456-Infrastructure!K$4)^2)</f>
        <v>38.92813892</v>
      </c>
      <c r="AX456" s="331">
        <f>SQRT(($R456-Infrastructure!J$5)^2+($S456-Infrastructure!K$5)^2)</f>
        <v>37.44823093</v>
      </c>
      <c r="AY456" s="331">
        <f>SQRT(($R456-Infrastructure!J$6)^2+($S456-Infrastructure!K$6)^2)</f>
        <v>27.81887848</v>
      </c>
      <c r="AZ456" s="331">
        <f>SQRT(($R456-Infrastructure!J$7)^2+($S456-Infrastructure!K$7)^2)</f>
        <v>17.90111728</v>
      </c>
      <c r="BA456" s="331">
        <f>SQRT(($R456-Infrastructure!J$8)^2+($S456-Infrastructure!K$8)^2)</f>
        <v>9.689685237</v>
      </c>
      <c r="BB456" s="331">
        <f>SQRT(($R456-Infrastructure!J$9)^2+($S456-Infrastructure!K$9)^2)</f>
        <v>3.466987165</v>
      </c>
      <c r="BC456" s="331">
        <f>SQRT(($R456-Infrastructure!J$10)^2+($S456-Infrastructure!K$10)^2)</f>
        <v>8.50940656</v>
      </c>
      <c r="BD456" s="318"/>
      <c r="BE456" s="332"/>
      <c r="BF456" s="330">
        <f t="shared" si="14"/>
        <v>3.466987165</v>
      </c>
      <c r="BG456" s="333">
        <f t="shared" si="15"/>
        <v>43.34016613</v>
      </c>
      <c r="BH456" s="613"/>
      <c r="BI456" s="316"/>
      <c r="BJ456" s="318"/>
      <c r="BK456" s="318"/>
      <c r="BL456" s="318"/>
      <c r="BM456" s="318"/>
      <c r="BN456" s="318"/>
      <c r="BO456" s="319" t="s">
        <v>846</v>
      </c>
      <c r="BP456" s="318"/>
      <c r="BQ456" s="338"/>
      <c r="BR456" s="420"/>
      <c r="BS456" s="330">
        <f t="shared" si="23"/>
        <v>3.466987165</v>
      </c>
      <c r="BT456" s="331">
        <f t="shared" si="24"/>
        <v>3.466987165</v>
      </c>
      <c r="BU456" s="331"/>
      <c r="BV456" s="333"/>
      <c r="BW456" s="614">
        <v>24.16</v>
      </c>
      <c r="BX456" s="615">
        <v>6.66</v>
      </c>
      <c r="BY456" s="331">
        <f t="shared" si="25"/>
        <v>12.944466</v>
      </c>
      <c r="BZ456" s="340"/>
      <c r="CA456" s="316"/>
      <c r="CB456" s="318"/>
      <c r="CC456" s="318"/>
      <c r="CD456" s="318"/>
      <c r="CE456" s="318"/>
      <c r="CF456" s="318"/>
      <c r="CG456" s="318"/>
      <c r="CH456" s="318"/>
      <c r="CI456" s="338"/>
      <c r="CJ456" s="341"/>
      <c r="CK456" s="342">
        <f t="shared" si="18"/>
        <v>0</v>
      </c>
      <c r="CL456" s="333">
        <f t="shared" si="19"/>
        <v>0</v>
      </c>
      <c r="CM456" s="616"/>
      <c r="CN456" s="617"/>
      <c r="CO456" s="617"/>
      <c r="CP456" s="617"/>
    </row>
    <row r="457">
      <c r="B457" s="462"/>
      <c r="C457" s="596">
        <v>44097.0</v>
      </c>
      <c r="D457" s="597"/>
      <c r="E457" s="598">
        <v>35.0</v>
      </c>
      <c r="F457" s="599" t="str">
        <f t="shared" si="21"/>
        <v>2020/23-35</v>
      </c>
      <c r="G457" s="600">
        <v>0.4826388888888889</v>
      </c>
      <c r="H457" s="601">
        <v>0.48333333333333334</v>
      </c>
      <c r="I457" s="601"/>
      <c r="J457" s="601"/>
      <c r="K457" s="601">
        <v>0.4847222222222222</v>
      </c>
      <c r="L457" s="602">
        <f t="shared" si="22"/>
        <v>0.001388888889</v>
      </c>
      <c r="M457" s="603" t="s">
        <v>358</v>
      </c>
      <c r="N457" s="604" t="s">
        <v>187</v>
      </c>
      <c r="O457" s="419" t="s">
        <v>198</v>
      </c>
      <c r="P457" s="605" t="s">
        <v>218</v>
      </c>
      <c r="Q457" s="603" t="s">
        <v>1214</v>
      </c>
      <c r="R457" s="606">
        <v>10.3</v>
      </c>
      <c r="S457" s="620">
        <v>7.9</v>
      </c>
      <c r="T457" s="618">
        <v>3.0</v>
      </c>
      <c r="U457" s="609">
        <v>4.5</v>
      </c>
      <c r="V457" s="609"/>
      <c r="W457" s="609"/>
      <c r="X457" s="609"/>
      <c r="Y457" s="609"/>
      <c r="Z457" s="603" t="s">
        <v>343</v>
      </c>
      <c r="AA457" s="603"/>
      <c r="AB457" s="610" t="s">
        <v>392</v>
      </c>
      <c r="AC457" s="611">
        <v>10.0</v>
      </c>
      <c r="AD457" s="610"/>
      <c r="AE457" s="610"/>
      <c r="AF457" s="610"/>
      <c r="AG457" s="610"/>
      <c r="AH457" s="610"/>
      <c r="AI457" s="610"/>
      <c r="AJ457" s="611"/>
      <c r="AK457" s="612"/>
      <c r="AL457" s="610"/>
      <c r="AM457" s="610"/>
      <c r="AN457" s="610"/>
      <c r="AO457" s="610"/>
      <c r="AP457" s="610"/>
      <c r="AQ457" s="610"/>
      <c r="AR457" s="610"/>
      <c r="AS457" s="611"/>
      <c r="AT457" s="461" t="s">
        <v>182</v>
      </c>
      <c r="AU457" s="324" t="s">
        <v>845</v>
      </c>
      <c r="AV457" s="330">
        <f>SQRT(($R457-Infrastructure!J$3)^2+($S457-Infrastructure!K$3)^2)</f>
        <v>23.52360517</v>
      </c>
      <c r="AW457" s="331">
        <f>SQRT(($R457-Infrastructure!J$4)^2+($S457-Infrastructure!K$4)^2)</f>
        <v>14.50413734</v>
      </c>
      <c r="AX457" s="331">
        <f>SQRT(($R457-Infrastructure!J$5)^2+($S457-Infrastructure!K$5)^2)</f>
        <v>10.96357606</v>
      </c>
      <c r="AY457" s="331">
        <f>SQRT(($R457-Infrastructure!J$6)^2+($S457-Infrastructure!K$6)^2)</f>
        <v>7.602631123</v>
      </c>
      <c r="AZ457" s="331">
        <f>SQRT(($R457-Infrastructure!J$7)^2+($S457-Infrastructure!K$7)^2)</f>
        <v>12.72006289</v>
      </c>
      <c r="BA457" s="331">
        <f>SQRT(($R457-Infrastructure!J$8)^2+($S457-Infrastructure!K$8)^2)</f>
        <v>21.20848887</v>
      </c>
      <c r="BB457" s="331">
        <f>SQRT(($R457-Infrastructure!J$9)^2+($S457-Infrastructure!K$9)^2)</f>
        <v>29.83169455</v>
      </c>
      <c r="BC457" s="331">
        <f>SQRT(($R457-Infrastructure!J$10)^2+($S457-Infrastructure!K$10)^2)</f>
        <v>30.53686297</v>
      </c>
      <c r="BD457" s="318"/>
      <c r="BE457" s="332"/>
      <c r="BF457" s="330">
        <f t="shared" si="14"/>
        <v>7.602631123</v>
      </c>
      <c r="BG457" s="333">
        <f t="shared" si="15"/>
        <v>30.53686297</v>
      </c>
      <c r="BH457" s="613"/>
      <c r="BI457" s="316"/>
      <c r="BJ457" s="318"/>
      <c r="BK457" s="318"/>
      <c r="BL457" s="319" t="s">
        <v>846</v>
      </c>
      <c r="BM457" s="318"/>
      <c r="BN457" s="318"/>
      <c r="BO457" s="318"/>
      <c r="BP457" s="318"/>
      <c r="BQ457" s="338"/>
      <c r="BR457" s="420"/>
      <c r="BS457" s="330">
        <f t="shared" si="23"/>
        <v>7.602631123</v>
      </c>
      <c r="BT457" s="331">
        <f t="shared" si="24"/>
        <v>7.602631123</v>
      </c>
      <c r="BU457" s="331"/>
      <c r="BV457" s="333"/>
      <c r="BW457" s="614"/>
      <c r="BX457" s="615"/>
      <c r="BY457" s="331" t="b">
        <f t="shared" si="25"/>
        <v>0</v>
      </c>
      <c r="BZ457" s="340"/>
      <c r="CA457" s="316"/>
      <c r="CB457" s="318"/>
      <c r="CC457" s="318"/>
      <c r="CD457" s="318"/>
      <c r="CE457" s="318"/>
      <c r="CF457" s="318"/>
      <c r="CG457" s="318"/>
      <c r="CH457" s="318"/>
      <c r="CI457" s="338"/>
      <c r="CJ457" s="341"/>
      <c r="CK457" s="342">
        <f t="shared" si="18"/>
        <v>0</v>
      </c>
      <c r="CL457" s="333">
        <f t="shared" si="19"/>
        <v>0</v>
      </c>
      <c r="CM457" s="616"/>
      <c r="CN457" s="617"/>
      <c r="CO457" s="617"/>
      <c r="CP457" s="617"/>
    </row>
    <row r="458">
      <c r="B458" s="462"/>
      <c r="C458" s="596">
        <v>44097.0</v>
      </c>
      <c r="D458" s="597"/>
      <c r="E458" s="598">
        <v>36.0</v>
      </c>
      <c r="F458" s="599" t="str">
        <f t="shared" si="21"/>
        <v>2020/23-36</v>
      </c>
      <c r="G458" s="600">
        <v>0.48541666666666666</v>
      </c>
      <c r="H458" s="601">
        <v>0.48663194444444446</v>
      </c>
      <c r="I458" s="601"/>
      <c r="J458" s="601"/>
      <c r="K458" s="601">
        <v>0.48802083333333335</v>
      </c>
      <c r="L458" s="602">
        <f t="shared" si="22"/>
        <v>0.001388888889</v>
      </c>
      <c r="M458" s="603" t="s">
        <v>358</v>
      </c>
      <c r="N458" s="604" t="s">
        <v>187</v>
      </c>
      <c r="O458" s="419" t="s">
        <v>198</v>
      </c>
      <c r="P458" s="605" t="s">
        <v>218</v>
      </c>
      <c r="Q458" s="603" t="s">
        <v>1214</v>
      </c>
      <c r="R458" s="606">
        <v>10.3</v>
      </c>
      <c r="S458" s="620">
        <v>7.9</v>
      </c>
      <c r="T458" s="618">
        <v>3.0</v>
      </c>
      <c r="U458" s="609">
        <v>3.0</v>
      </c>
      <c r="V458" s="609"/>
      <c r="W458" s="609"/>
      <c r="X458" s="609"/>
      <c r="Y458" s="609"/>
      <c r="Z458" s="603" t="s">
        <v>343</v>
      </c>
      <c r="AA458" s="603"/>
      <c r="AB458" s="610" t="s">
        <v>392</v>
      </c>
      <c r="AC458" s="611">
        <v>10.0</v>
      </c>
      <c r="AD458" s="610"/>
      <c r="AE458" s="610"/>
      <c r="AF458" s="610"/>
      <c r="AG458" s="610"/>
      <c r="AH458" s="610"/>
      <c r="AI458" s="610"/>
      <c r="AJ458" s="611"/>
      <c r="AK458" s="612"/>
      <c r="AL458" s="610"/>
      <c r="AM458" s="610"/>
      <c r="AN458" s="610"/>
      <c r="AO458" s="610"/>
      <c r="AP458" s="610"/>
      <c r="AQ458" s="610"/>
      <c r="AR458" s="610"/>
      <c r="AS458" s="611"/>
      <c r="AT458" s="461" t="s">
        <v>182</v>
      </c>
      <c r="AU458" s="324" t="s">
        <v>845</v>
      </c>
      <c r="AV458" s="330">
        <f>SQRT(($R458-Infrastructure!J$3)^2+($S458-Infrastructure!K$3)^2)</f>
        <v>23.52360517</v>
      </c>
      <c r="AW458" s="331">
        <f>SQRT(($R458-Infrastructure!J$4)^2+($S458-Infrastructure!K$4)^2)</f>
        <v>14.50413734</v>
      </c>
      <c r="AX458" s="331">
        <f>SQRT(($R458-Infrastructure!J$5)^2+($S458-Infrastructure!K$5)^2)</f>
        <v>10.96357606</v>
      </c>
      <c r="AY458" s="331">
        <f>SQRT(($R458-Infrastructure!J$6)^2+($S458-Infrastructure!K$6)^2)</f>
        <v>7.602631123</v>
      </c>
      <c r="AZ458" s="331">
        <f>SQRT(($R458-Infrastructure!J$7)^2+($S458-Infrastructure!K$7)^2)</f>
        <v>12.72006289</v>
      </c>
      <c r="BA458" s="331">
        <f>SQRT(($R458-Infrastructure!J$8)^2+($S458-Infrastructure!K$8)^2)</f>
        <v>21.20848887</v>
      </c>
      <c r="BB458" s="331">
        <f>SQRT(($R458-Infrastructure!J$9)^2+($S458-Infrastructure!K$9)^2)</f>
        <v>29.83169455</v>
      </c>
      <c r="BC458" s="331">
        <f>SQRT(($R458-Infrastructure!J$10)^2+($S458-Infrastructure!K$10)^2)</f>
        <v>30.53686297</v>
      </c>
      <c r="BD458" s="318"/>
      <c r="BE458" s="332"/>
      <c r="BF458" s="330">
        <f t="shared" si="14"/>
        <v>7.602631123</v>
      </c>
      <c r="BG458" s="333">
        <f t="shared" si="15"/>
        <v>30.53686297</v>
      </c>
      <c r="BH458" s="613"/>
      <c r="BI458" s="316"/>
      <c r="BJ458" s="318"/>
      <c r="BK458" s="318"/>
      <c r="BL458" s="319" t="s">
        <v>846</v>
      </c>
      <c r="BM458" s="318"/>
      <c r="BN458" s="318"/>
      <c r="BO458" s="318"/>
      <c r="BP458" s="318"/>
      <c r="BQ458" s="338"/>
      <c r="BR458" s="420"/>
      <c r="BS458" s="330">
        <f t="shared" si="23"/>
        <v>7.602631123</v>
      </c>
      <c r="BT458" s="331">
        <f t="shared" si="24"/>
        <v>7.602631123</v>
      </c>
      <c r="BU458" s="331"/>
      <c r="BV458" s="333"/>
      <c r="BW458" s="614"/>
      <c r="BX458" s="615"/>
      <c r="BY458" s="331" t="b">
        <f t="shared" si="25"/>
        <v>0</v>
      </c>
      <c r="BZ458" s="340"/>
      <c r="CA458" s="316"/>
      <c r="CB458" s="318"/>
      <c r="CC458" s="318"/>
      <c r="CD458" s="318"/>
      <c r="CE458" s="318"/>
      <c r="CF458" s="318"/>
      <c r="CG458" s="318"/>
      <c r="CH458" s="318"/>
      <c r="CI458" s="338"/>
      <c r="CJ458" s="341"/>
      <c r="CK458" s="342">
        <f t="shared" si="18"/>
        <v>0</v>
      </c>
      <c r="CL458" s="333">
        <f t="shared" si="19"/>
        <v>0</v>
      </c>
      <c r="CM458" s="616"/>
      <c r="CN458" s="617"/>
      <c r="CO458" s="617"/>
      <c r="CP458" s="617"/>
    </row>
    <row r="459">
      <c r="B459" s="462"/>
      <c r="C459" s="596">
        <v>44097.0</v>
      </c>
      <c r="D459" s="597"/>
      <c r="E459" s="598" t="s">
        <v>1219</v>
      </c>
      <c r="F459" s="599" t="str">
        <f t="shared" si="21"/>
        <v>2020/23-37A</v>
      </c>
      <c r="G459" s="627">
        <v>0.49444444444444446</v>
      </c>
      <c r="H459" s="628">
        <v>0.4954861111111111</v>
      </c>
      <c r="I459" s="628"/>
      <c r="J459" s="628"/>
      <c r="K459" s="628">
        <v>0.496875</v>
      </c>
      <c r="L459" s="322">
        <f t="shared" si="22"/>
        <v>0.001388888889</v>
      </c>
      <c r="M459" s="629" t="s">
        <v>358</v>
      </c>
      <c r="N459" s="324" t="s">
        <v>187</v>
      </c>
      <c r="O459" s="623" t="s">
        <v>205</v>
      </c>
      <c r="P459" s="605" t="s">
        <v>222</v>
      </c>
      <c r="Q459" s="630"/>
      <c r="R459" s="631">
        <v>20.1</v>
      </c>
      <c r="S459" s="632">
        <v>5.3</v>
      </c>
      <c r="T459" s="633">
        <v>1.3</v>
      </c>
      <c r="U459" s="609">
        <v>3.0</v>
      </c>
      <c r="V459" s="609"/>
      <c r="W459" s="609"/>
      <c r="X459" s="609"/>
      <c r="Y459" s="609"/>
      <c r="Z459" s="610" t="s">
        <v>370</v>
      </c>
      <c r="AA459" s="610"/>
      <c r="AB459" s="610" t="s">
        <v>380</v>
      </c>
      <c r="AC459" s="611">
        <v>4.0</v>
      </c>
      <c r="AD459" s="610"/>
      <c r="AE459" s="610"/>
      <c r="AF459" s="610"/>
      <c r="AG459" s="610"/>
      <c r="AH459" s="610"/>
      <c r="AI459" s="610"/>
      <c r="AJ459" s="611"/>
      <c r="AK459" s="612"/>
      <c r="AL459" s="610"/>
      <c r="AM459" s="610"/>
      <c r="AN459" s="610"/>
      <c r="AO459" s="610"/>
      <c r="AP459" s="610"/>
      <c r="AQ459" s="610"/>
      <c r="AR459" s="610"/>
      <c r="AS459" s="611"/>
      <c r="AT459" s="461" t="s">
        <v>182</v>
      </c>
      <c r="AU459" s="324" t="s">
        <v>846</v>
      </c>
      <c r="AV459" s="330">
        <f>SQRT(($R459-Infrastructure!J$3)^2+($S459-Infrastructure!K$3)^2)</f>
        <v>31.19487137</v>
      </c>
      <c r="AW459" s="331">
        <f>SQRT(($R459-Infrastructure!J$4)^2+($S459-Infrastructure!K$4)^2)</f>
        <v>23.92509143</v>
      </c>
      <c r="AX459" s="331">
        <f>SQRT(($R459-Infrastructure!J$5)^2+($S459-Infrastructure!K$5)^2)</f>
        <v>20.40098037</v>
      </c>
      <c r="AY459" s="331">
        <f>SQRT(($R459-Infrastructure!J$6)^2+($S459-Infrastructure!K$6)^2)</f>
        <v>11.18033989</v>
      </c>
      <c r="AZ459" s="331">
        <f>SQRT(($R459-Infrastructure!J$7)^2+($S459-Infrastructure!K$7)^2)</f>
        <v>5.015974482</v>
      </c>
      <c r="BA459" s="331">
        <f>SQRT(($R459-Infrastructure!J$8)^2+($S459-Infrastructure!K$8)^2)</f>
        <v>11.18033989</v>
      </c>
      <c r="BB459" s="331">
        <f>SQRT(($R459-Infrastructure!J$9)^2+($S459-Infrastructure!K$9)^2)</f>
        <v>19.901005</v>
      </c>
      <c r="BC459" s="331">
        <f>SQRT(($R459-Infrastructure!J$10)^2+($S459-Infrastructure!K$10)^2)</f>
        <v>22.13820228</v>
      </c>
      <c r="BD459" s="318"/>
      <c r="BE459" s="332"/>
      <c r="BF459" s="330">
        <f t="shared" si="14"/>
        <v>5.015974482</v>
      </c>
      <c r="BG459" s="333">
        <f t="shared" si="15"/>
        <v>31.19487137</v>
      </c>
      <c r="BH459" s="613"/>
      <c r="BI459" s="316"/>
      <c r="BJ459" s="318"/>
      <c r="BK459" s="318"/>
      <c r="BL459" s="319" t="s">
        <v>846</v>
      </c>
      <c r="BM459" s="318"/>
      <c r="BN459" s="318"/>
      <c r="BO459" s="318"/>
      <c r="BP459" s="318"/>
      <c r="BQ459" s="338"/>
      <c r="BR459" s="420"/>
      <c r="BS459" s="330">
        <f t="shared" si="23"/>
        <v>11.18033989</v>
      </c>
      <c r="BT459" s="331">
        <f t="shared" si="24"/>
        <v>11.18033989</v>
      </c>
      <c r="BU459" s="331"/>
      <c r="BV459" s="333"/>
      <c r="BW459" s="614"/>
      <c r="BX459" s="615"/>
      <c r="BY459" s="331" t="b">
        <f t="shared" si="25"/>
        <v>0</v>
      </c>
      <c r="BZ459" s="340"/>
      <c r="CA459" s="316"/>
      <c r="CB459" s="318"/>
      <c r="CC459" s="318"/>
      <c r="CD459" s="318"/>
      <c r="CE459" s="318"/>
      <c r="CF459" s="318"/>
      <c r="CG459" s="318"/>
      <c r="CH459" s="318"/>
      <c r="CI459" s="338"/>
      <c r="CJ459" s="341"/>
      <c r="CK459" s="342">
        <f t="shared" si="18"/>
        <v>0</v>
      </c>
      <c r="CL459" s="333">
        <f t="shared" si="19"/>
        <v>0</v>
      </c>
      <c r="CM459" s="616"/>
      <c r="CN459" s="617"/>
      <c r="CO459" s="617"/>
      <c r="CP459" s="617"/>
    </row>
    <row r="460">
      <c r="B460" s="462"/>
      <c r="C460" s="596">
        <v>44097.0</v>
      </c>
      <c r="D460" s="597"/>
      <c r="E460" s="598" t="s">
        <v>1220</v>
      </c>
      <c r="F460" s="599" t="str">
        <f t="shared" si="21"/>
        <v>2020/23-37B</v>
      </c>
      <c r="G460" s="627">
        <v>0.49444444444444446</v>
      </c>
      <c r="H460" s="628">
        <v>0.4954861111111111</v>
      </c>
      <c r="I460" s="628"/>
      <c r="J460" s="628"/>
      <c r="K460" s="628">
        <v>0.496875</v>
      </c>
      <c r="L460" s="322">
        <f t="shared" si="22"/>
        <v>0.001388888889</v>
      </c>
      <c r="M460" s="629" t="s">
        <v>358</v>
      </c>
      <c r="N460" s="324" t="s">
        <v>187</v>
      </c>
      <c r="O460" s="419" t="s">
        <v>198</v>
      </c>
      <c r="P460" s="630" t="s">
        <v>223</v>
      </c>
      <c r="Q460" s="630"/>
      <c r="R460" s="631">
        <v>10.0</v>
      </c>
      <c r="S460" s="632">
        <v>11.7</v>
      </c>
      <c r="T460" s="633">
        <v>0.4</v>
      </c>
      <c r="U460" s="609">
        <v>6.0</v>
      </c>
      <c r="V460" s="609"/>
      <c r="W460" s="609"/>
      <c r="X460" s="609"/>
      <c r="Y460" s="609"/>
      <c r="Z460" s="610" t="s">
        <v>343</v>
      </c>
      <c r="AA460" s="610"/>
      <c r="AB460" s="610" t="s">
        <v>384</v>
      </c>
      <c r="AC460" s="611">
        <v>6.0</v>
      </c>
      <c r="AD460" s="610"/>
      <c r="AE460" s="610"/>
      <c r="AF460" s="610"/>
      <c r="AG460" s="610"/>
      <c r="AH460" s="610"/>
      <c r="AI460" s="610"/>
      <c r="AJ460" s="611"/>
      <c r="AK460" s="612"/>
      <c r="AL460" s="610"/>
      <c r="AM460" s="610"/>
      <c r="AN460" s="610"/>
      <c r="AO460" s="610"/>
      <c r="AP460" s="610"/>
      <c r="AQ460" s="610"/>
      <c r="AR460" s="610"/>
      <c r="AS460" s="611"/>
      <c r="AT460" s="461" t="s">
        <v>182</v>
      </c>
      <c r="AU460" s="324" t="s">
        <v>846</v>
      </c>
      <c r="AV460" s="330">
        <f>SQRT(($R460-Infrastructure!J$3)^2+($S460-Infrastructure!K$3)^2)</f>
        <v>20.04819194</v>
      </c>
      <c r="AW460" s="331">
        <f>SQRT(($R460-Infrastructure!J$4)^2+($S460-Infrastructure!K$4)^2)</f>
        <v>11.9707978</v>
      </c>
      <c r="AX460" s="331">
        <f>SQRT(($R460-Infrastructure!J$5)^2+($S460-Infrastructure!K$5)^2)</f>
        <v>12.23315168</v>
      </c>
      <c r="AY460" s="331">
        <f>SQRT(($R460-Infrastructure!J$6)^2+($S460-Infrastructure!K$6)^2)</f>
        <v>11.40043859</v>
      </c>
      <c r="AZ460" s="331">
        <f>SQRT(($R460-Infrastructure!J$7)^2+($S460-Infrastructure!K$7)^2)</f>
        <v>15.49870962</v>
      </c>
      <c r="BA460" s="331">
        <f>SQRT(($R460-Infrastructure!J$8)^2+($S460-Infrastructure!K$8)^2)</f>
        <v>23.10779089</v>
      </c>
      <c r="BB460" s="331">
        <f>SQRT(($R460-Infrastructure!J$9)^2+($S460-Infrastructure!K$9)^2)</f>
        <v>30.71742177</v>
      </c>
      <c r="BC460" s="331">
        <f>SQRT(($R460-Infrastructure!J$10)^2+($S460-Infrastructure!K$10)^2)</f>
        <v>30.18095426</v>
      </c>
      <c r="BD460" s="318"/>
      <c r="BE460" s="332"/>
      <c r="BF460" s="330">
        <f t="shared" si="14"/>
        <v>11.40043859</v>
      </c>
      <c r="BG460" s="333">
        <f t="shared" si="15"/>
        <v>30.71742177</v>
      </c>
      <c r="BH460" s="613"/>
      <c r="BI460" s="316"/>
      <c r="BJ460" s="318"/>
      <c r="BK460" s="318"/>
      <c r="BL460" s="319" t="s">
        <v>846</v>
      </c>
      <c r="BM460" s="318"/>
      <c r="BN460" s="318"/>
      <c r="BO460" s="318"/>
      <c r="BP460" s="318"/>
      <c r="BQ460" s="338"/>
      <c r="BR460" s="420"/>
      <c r="BS460" s="330">
        <f t="shared" si="23"/>
        <v>11.40043859</v>
      </c>
      <c r="BT460" s="331">
        <f t="shared" si="24"/>
        <v>11.40043859</v>
      </c>
      <c r="BU460" s="331"/>
      <c r="BV460" s="333"/>
      <c r="BW460" s="614">
        <v>20.05</v>
      </c>
      <c r="BX460" s="615">
        <v>2.86</v>
      </c>
      <c r="BY460" s="331">
        <f t="shared" si="25"/>
        <v>13.38462177</v>
      </c>
      <c r="BZ460" s="340"/>
      <c r="CA460" s="316"/>
      <c r="CB460" s="318"/>
      <c r="CC460" s="318"/>
      <c r="CD460" s="318"/>
      <c r="CE460" s="318"/>
      <c r="CF460" s="318"/>
      <c r="CG460" s="318"/>
      <c r="CH460" s="318"/>
      <c r="CI460" s="338"/>
      <c r="CJ460" s="341"/>
      <c r="CK460" s="342">
        <f t="shared" si="18"/>
        <v>0</v>
      </c>
      <c r="CL460" s="333">
        <f t="shared" si="19"/>
        <v>0</v>
      </c>
      <c r="CM460" s="616"/>
      <c r="CN460" s="617"/>
      <c r="CO460" s="617"/>
      <c r="CP460" s="617"/>
    </row>
    <row r="461">
      <c r="B461" s="462"/>
      <c r="C461" s="596">
        <v>44097.0</v>
      </c>
      <c r="D461" s="597"/>
      <c r="E461" s="598">
        <v>38.0</v>
      </c>
      <c r="F461" s="599" t="str">
        <f t="shared" si="21"/>
        <v>2020/23-38</v>
      </c>
      <c r="G461" s="600">
        <v>0.5034722222222222</v>
      </c>
      <c r="H461" s="601">
        <v>0.5041666666666667</v>
      </c>
      <c r="I461" s="601"/>
      <c r="J461" s="601"/>
      <c r="K461" s="601">
        <v>0.5055555555555555</v>
      </c>
      <c r="L461" s="602">
        <f t="shared" si="22"/>
        <v>0.001388888889</v>
      </c>
      <c r="M461" s="603" t="s">
        <v>358</v>
      </c>
      <c r="N461" s="604" t="s">
        <v>187</v>
      </c>
      <c r="O461" s="419" t="s">
        <v>207</v>
      </c>
      <c r="P461" s="603" t="s">
        <v>210</v>
      </c>
      <c r="Q461" s="603"/>
      <c r="R461" s="606">
        <v>25.9</v>
      </c>
      <c r="S461" s="620">
        <v>13.5</v>
      </c>
      <c r="T461" s="618">
        <v>1.6</v>
      </c>
      <c r="U461" s="609">
        <v>7.0</v>
      </c>
      <c r="V461" s="609"/>
      <c r="W461" s="609"/>
      <c r="X461" s="609"/>
      <c r="Y461" s="609"/>
      <c r="Z461" s="603" t="s">
        <v>374</v>
      </c>
      <c r="AA461" s="603"/>
      <c r="AB461" s="610" t="s">
        <v>392</v>
      </c>
      <c r="AC461" s="611">
        <v>10.0</v>
      </c>
      <c r="AD461" s="610"/>
      <c r="AE461" s="610"/>
      <c r="AF461" s="610"/>
      <c r="AG461" s="610"/>
      <c r="AH461" s="610"/>
      <c r="AI461" s="610"/>
      <c r="AJ461" s="611"/>
      <c r="AK461" s="612"/>
      <c r="AL461" s="610"/>
      <c r="AM461" s="610"/>
      <c r="AN461" s="610"/>
      <c r="AO461" s="610"/>
      <c r="AP461" s="610"/>
      <c r="AQ461" s="610"/>
      <c r="AR461" s="610"/>
      <c r="AS461" s="611"/>
      <c r="AT461" s="461" t="s">
        <v>182</v>
      </c>
      <c r="AU461" s="324" t="s">
        <v>845</v>
      </c>
      <c r="AV461" s="330">
        <f>SQRT(($R461-Infrastructure!J$3)^2+($S461-Infrastructure!K$3)^2)</f>
        <v>30.39078808</v>
      </c>
      <c r="AW461" s="331">
        <f>SQRT(($R461-Infrastructure!J$4)^2+($S461-Infrastructure!K$4)^2)</f>
        <v>26.55051789</v>
      </c>
      <c r="AX461" s="331">
        <f>SQRT(($R461-Infrastructure!J$5)^2+($S461-Infrastructure!K$5)^2)</f>
        <v>27.51363298</v>
      </c>
      <c r="AY461" s="331">
        <f>SQRT(($R461-Infrastructure!J$6)^2+($S461-Infrastructure!K$6)^2)</f>
        <v>20.58834622</v>
      </c>
      <c r="AZ461" s="331">
        <f>SQRT(($R461-Infrastructure!J$7)^2+($S461-Infrastructure!K$7)^2)</f>
        <v>14.26183719</v>
      </c>
      <c r="BA461" s="331">
        <f>SQRT(($R461-Infrastructure!J$8)^2+($S461-Infrastructure!K$8)^2)</f>
        <v>13.85207566</v>
      </c>
      <c r="BB461" s="331">
        <f>SQRT(($R461-Infrastructure!J$9)^2+($S461-Infrastructure!K$9)^2)</f>
        <v>16.41249524</v>
      </c>
      <c r="BC461" s="331">
        <f>SQRT(($R461-Infrastructure!J$10)^2+($S461-Infrastructure!K$10)^2)</f>
        <v>14.17956276</v>
      </c>
      <c r="BD461" s="318"/>
      <c r="BE461" s="332"/>
      <c r="BF461" s="330">
        <f t="shared" si="14"/>
        <v>13.85207566</v>
      </c>
      <c r="BG461" s="333">
        <f t="shared" si="15"/>
        <v>30.39078808</v>
      </c>
      <c r="BH461" s="613"/>
      <c r="BI461" s="316"/>
      <c r="BJ461" s="318"/>
      <c r="BK461" s="318"/>
      <c r="BL461" s="318"/>
      <c r="BM461" s="318"/>
      <c r="BN461" s="318"/>
      <c r="BO461" s="318"/>
      <c r="BP461" s="318"/>
      <c r="BQ461" s="338"/>
      <c r="BR461" s="420"/>
      <c r="BS461" s="330">
        <f t="shared" si="23"/>
        <v>0</v>
      </c>
      <c r="BT461" s="331">
        <f t="shared" si="24"/>
        <v>0</v>
      </c>
      <c r="BU461" s="331"/>
      <c r="BV461" s="333"/>
      <c r="BW461" s="614"/>
      <c r="BX461" s="615"/>
      <c r="BY461" s="331"/>
      <c r="BZ461" s="340"/>
      <c r="CA461" s="316"/>
      <c r="CB461" s="318"/>
      <c r="CC461" s="318"/>
      <c r="CD461" s="318"/>
      <c r="CE461" s="318"/>
      <c r="CF461" s="318"/>
      <c r="CG461" s="318"/>
      <c r="CH461" s="318"/>
      <c r="CI461" s="338"/>
      <c r="CJ461" s="341"/>
      <c r="CK461" s="342">
        <f t="shared" si="18"/>
        <v>0</v>
      </c>
      <c r="CL461" s="333">
        <f t="shared" si="19"/>
        <v>0</v>
      </c>
      <c r="CM461" s="616"/>
      <c r="CN461" s="617"/>
      <c r="CO461" s="617"/>
      <c r="CP461" s="617"/>
    </row>
    <row r="462">
      <c r="A462" s="634"/>
      <c r="B462" s="635"/>
      <c r="C462" s="596">
        <v>44097.0</v>
      </c>
      <c r="D462" s="597" t="s">
        <v>1214</v>
      </c>
      <c r="E462" s="598">
        <v>39.0</v>
      </c>
      <c r="F462" s="619" t="str">
        <f t="shared" si="21"/>
        <v>2020/23-39</v>
      </c>
      <c r="G462" s="600">
        <v>0.50625</v>
      </c>
      <c r="H462" s="601">
        <v>0.5067708333333333</v>
      </c>
      <c r="I462" s="601"/>
      <c r="J462" s="601"/>
      <c r="K462" s="601">
        <v>0.5081597222222222</v>
      </c>
      <c r="L462" s="602">
        <f t="shared" si="22"/>
        <v>0.001388888889</v>
      </c>
      <c r="M462" s="603" t="s">
        <v>358</v>
      </c>
      <c r="N462" s="604" t="s">
        <v>187</v>
      </c>
      <c r="O462" s="419" t="s">
        <v>207</v>
      </c>
      <c r="P462" s="603" t="s">
        <v>210</v>
      </c>
      <c r="Q462" s="603"/>
      <c r="R462" s="606">
        <v>25.9</v>
      </c>
      <c r="S462" s="620">
        <v>13.5</v>
      </c>
      <c r="T462" s="618">
        <v>1.6</v>
      </c>
      <c r="U462" s="609">
        <v>4.0</v>
      </c>
      <c r="V462" s="609"/>
      <c r="W462" s="609"/>
      <c r="X462" s="609"/>
      <c r="Y462" s="609"/>
      <c r="Z462" s="603" t="s">
        <v>374</v>
      </c>
      <c r="AA462" s="603"/>
      <c r="AB462" s="624" t="s">
        <v>392</v>
      </c>
      <c r="AC462" s="621">
        <v>10.0</v>
      </c>
      <c r="AD462" s="603"/>
      <c r="AE462" s="603"/>
      <c r="AF462" s="603"/>
      <c r="AG462" s="603"/>
      <c r="AH462" s="603"/>
      <c r="AI462" s="603"/>
      <c r="AJ462" s="621"/>
      <c r="AK462" s="622"/>
      <c r="AL462" s="603"/>
      <c r="AM462" s="603"/>
      <c r="AN462" s="603"/>
      <c r="AO462" s="603"/>
      <c r="AP462" s="603"/>
      <c r="AQ462" s="603"/>
      <c r="AR462" s="603"/>
      <c r="AS462" s="621"/>
      <c r="AT462" s="636" t="s">
        <v>182</v>
      </c>
      <c r="AU462" s="637" t="s">
        <v>845</v>
      </c>
      <c r="AV462" s="330">
        <f>SQRT(($R462-Infrastructure!J$3)^2+($S462-Infrastructure!K$3)^2)</f>
        <v>30.39078808</v>
      </c>
      <c r="AW462" s="331">
        <f>SQRT(($R462-Infrastructure!J$4)^2+($S462-Infrastructure!K$4)^2)</f>
        <v>26.55051789</v>
      </c>
      <c r="AX462" s="331">
        <f>SQRT(($R462-Infrastructure!J$5)^2+($S462-Infrastructure!K$5)^2)</f>
        <v>27.51363298</v>
      </c>
      <c r="AY462" s="331">
        <f>SQRT(($R462-Infrastructure!J$6)^2+($S462-Infrastructure!K$6)^2)</f>
        <v>20.58834622</v>
      </c>
      <c r="AZ462" s="331">
        <f>SQRT(($R462-Infrastructure!J$7)^2+($S462-Infrastructure!K$7)^2)</f>
        <v>14.26183719</v>
      </c>
      <c r="BA462" s="331">
        <f>SQRT(($R462-Infrastructure!J$8)^2+($S462-Infrastructure!K$8)^2)</f>
        <v>13.85207566</v>
      </c>
      <c r="BB462" s="331">
        <f>SQRT(($R462-Infrastructure!J$9)^2+($S462-Infrastructure!K$9)^2)</f>
        <v>16.41249524</v>
      </c>
      <c r="BC462" s="331">
        <f>SQRT(($R462-Infrastructure!J$10)^2+($S462-Infrastructure!K$10)^2)</f>
        <v>14.17956276</v>
      </c>
      <c r="BD462" s="318"/>
      <c r="BE462" s="332"/>
      <c r="BF462" s="330">
        <f t="shared" si="14"/>
        <v>13.85207566</v>
      </c>
      <c r="BG462" s="333">
        <f t="shared" si="15"/>
        <v>30.39078808</v>
      </c>
      <c r="BH462" s="638"/>
      <c r="BI462" s="639"/>
      <c r="BJ462" s="640"/>
      <c r="BK462" s="640"/>
      <c r="BL462" s="640"/>
      <c r="BM462" s="640"/>
      <c r="BN462" s="640"/>
      <c r="BO462" s="640"/>
      <c r="BP462" s="640"/>
      <c r="BQ462" s="338"/>
      <c r="BR462" s="420"/>
      <c r="BS462" s="330">
        <f t="shared" si="23"/>
        <v>0</v>
      </c>
      <c r="BT462" s="331">
        <f t="shared" si="24"/>
        <v>0</v>
      </c>
      <c r="BU462" s="641"/>
      <c r="BV462" s="642"/>
      <c r="BW462" s="643"/>
      <c r="BX462" s="644"/>
      <c r="BY462" s="331" t="b">
        <f t="shared" ref="BY462:BY473" si="26">IF(BW462&gt;0, SQRT((R462-BW462)^2+(S462-BX462)^2))</f>
        <v>0</v>
      </c>
      <c r="BZ462" s="340"/>
      <c r="CA462" s="639"/>
      <c r="CB462" s="640"/>
      <c r="CC462" s="640"/>
      <c r="CD462" s="640"/>
      <c r="CE462" s="640"/>
      <c r="CF462" s="640"/>
      <c r="CG462" s="640"/>
      <c r="CH462" s="640"/>
      <c r="CI462" s="645"/>
      <c r="CJ462" s="646"/>
      <c r="CK462" s="342">
        <f t="shared" si="18"/>
        <v>0</v>
      </c>
      <c r="CL462" s="333">
        <f t="shared" si="19"/>
        <v>0</v>
      </c>
      <c r="CM462" s="647"/>
      <c r="CN462" s="617"/>
      <c r="CO462" s="617"/>
      <c r="CP462" s="617"/>
    </row>
    <row r="463">
      <c r="A463" s="389" t="s">
        <v>30</v>
      </c>
      <c r="B463" s="573"/>
      <c r="C463" s="574">
        <v>44103.0</v>
      </c>
      <c r="D463" s="392"/>
      <c r="E463" s="576">
        <v>1.0</v>
      </c>
      <c r="F463" s="577" t="str">
        <f t="shared" si="21"/>
        <v>2020/29-01</v>
      </c>
      <c r="G463" s="648">
        <v>0.4230902777777778</v>
      </c>
      <c r="H463" s="396">
        <v>0.4230902777777778</v>
      </c>
      <c r="I463" s="396"/>
      <c r="J463" s="396"/>
      <c r="K463" s="396">
        <v>0.4543402777777778</v>
      </c>
      <c r="L463" s="396">
        <f t="shared" si="22"/>
        <v>0.03125</v>
      </c>
      <c r="M463" s="583" t="s">
        <v>166</v>
      </c>
      <c r="N463" s="394" t="s">
        <v>187</v>
      </c>
      <c r="O463" s="399" t="s">
        <v>198</v>
      </c>
      <c r="P463" s="649" t="s">
        <v>223</v>
      </c>
      <c r="Q463" s="649"/>
      <c r="R463" s="650">
        <v>10.0</v>
      </c>
      <c r="S463" s="651">
        <v>11.7</v>
      </c>
      <c r="T463" s="652">
        <v>0.4</v>
      </c>
      <c r="U463" s="587">
        <v>1.0</v>
      </c>
      <c r="V463" s="587"/>
      <c r="W463" s="587"/>
      <c r="X463" s="587"/>
      <c r="Y463" s="587"/>
      <c r="Z463" s="653" t="s">
        <v>343</v>
      </c>
      <c r="AA463" s="653"/>
      <c r="AB463" s="653" t="s">
        <v>384</v>
      </c>
      <c r="AC463" s="654">
        <v>6.0</v>
      </c>
      <c r="AD463" s="653"/>
      <c r="AE463" s="653"/>
      <c r="AF463" s="653"/>
      <c r="AG463" s="653"/>
      <c r="AH463" s="653"/>
      <c r="AI463" s="653"/>
      <c r="AJ463" s="654"/>
      <c r="AK463" s="655"/>
      <c r="AL463" s="653"/>
      <c r="AM463" s="653"/>
      <c r="AN463" s="653"/>
      <c r="AO463" s="653"/>
      <c r="AP463" s="653"/>
      <c r="AQ463" s="653"/>
      <c r="AR463" s="653"/>
      <c r="AS463" s="654"/>
      <c r="AT463" s="460" t="s">
        <v>182</v>
      </c>
      <c r="AU463" s="394" t="s">
        <v>845</v>
      </c>
      <c r="AV463" s="405">
        <f>SQRT(($R463-Infrastructure!J$3)^2+($S463-Infrastructure!K$3)^2)</f>
        <v>20.04819194</v>
      </c>
      <c r="AW463" s="406">
        <f>SQRT(($R463-Infrastructure!J$4)^2+($S463-Infrastructure!K$4)^2)</f>
        <v>11.9707978</v>
      </c>
      <c r="AX463" s="406">
        <f>SQRT(($R463-Infrastructure!J$5)^2+($S463-Infrastructure!K$5)^2)</f>
        <v>12.23315168</v>
      </c>
      <c r="AY463" s="406">
        <f>SQRT(($R463-Infrastructure!J$6)^2+($S463-Infrastructure!K$6)^2)</f>
        <v>11.40043859</v>
      </c>
      <c r="AZ463" s="406">
        <f>SQRT(($R463-Infrastructure!J$7)^2+($S463-Infrastructure!K$7)^2)</f>
        <v>15.49870962</v>
      </c>
      <c r="BA463" s="406">
        <f>SQRT(($R463-Infrastructure!J$8)^2+($S463-Infrastructure!K$8)^2)</f>
        <v>23.10779089</v>
      </c>
      <c r="BB463" s="406">
        <f>SQRT(($R463-Infrastructure!J$9)^2+($S463-Infrastructure!K$9)^2)</f>
        <v>30.71742177</v>
      </c>
      <c r="BC463" s="406">
        <f>SQRT(($R463-Infrastructure!J$10)^2+($S463-Infrastructure!K$10)^2)</f>
        <v>30.18095426</v>
      </c>
      <c r="BD463" s="392"/>
      <c r="BE463" s="407"/>
      <c r="BF463" s="330">
        <f t="shared" si="14"/>
        <v>11.40043859</v>
      </c>
      <c r="BG463" s="333">
        <f t="shared" si="15"/>
        <v>30.71742177</v>
      </c>
      <c r="BH463" s="591"/>
      <c r="BI463" s="390"/>
      <c r="BJ463" s="392"/>
      <c r="BK463" s="392"/>
      <c r="BL463" s="393" t="s">
        <v>846</v>
      </c>
      <c r="BM463" s="392"/>
      <c r="BN463" s="392"/>
      <c r="BO463" s="392"/>
      <c r="BP463" s="392"/>
      <c r="BQ463" s="410"/>
      <c r="BR463" s="411"/>
      <c r="BS463" s="330">
        <f t="shared" si="23"/>
        <v>11.40043859</v>
      </c>
      <c r="BT463" s="331">
        <f t="shared" si="24"/>
        <v>11.40043859</v>
      </c>
      <c r="BU463" s="406"/>
      <c r="BV463" s="408"/>
      <c r="BW463" s="592">
        <v>11.28</v>
      </c>
      <c r="BX463" s="593">
        <v>5.75</v>
      </c>
      <c r="BY463" s="406">
        <f t="shared" si="26"/>
        <v>6.086123561</v>
      </c>
      <c r="BZ463" s="412"/>
      <c r="CA463" s="390"/>
      <c r="CB463" s="392"/>
      <c r="CC463" s="392"/>
      <c r="CD463" s="392"/>
      <c r="CE463" s="392"/>
      <c r="CF463" s="392"/>
      <c r="CG463" s="392"/>
      <c r="CH463" s="392"/>
      <c r="CI463" s="410"/>
      <c r="CJ463" s="413"/>
      <c r="CK463" s="342">
        <f t="shared" si="18"/>
        <v>0</v>
      </c>
      <c r="CL463" s="333">
        <f t="shared" si="19"/>
        <v>0</v>
      </c>
      <c r="CM463" s="656"/>
      <c r="CN463" s="617"/>
      <c r="CO463" s="617"/>
      <c r="CP463" s="617"/>
    </row>
    <row r="464">
      <c r="B464" s="462"/>
      <c r="C464" s="596">
        <v>44103.0</v>
      </c>
      <c r="D464" s="597" t="s">
        <v>986</v>
      </c>
      <c r="E464" s="598">
        <v>2.0</v>
      </c>
      <c r="F464" s="619" t="str">
        <f t="shared" si="21"/>
        <v>2020/29-02</v>
      </c>
      <c r="G464" s="657">
        <v>0.4618055555555556</v>
      </c>
      <c r="H464" s="322">
        <v>0.4618055555555556</v>
      </c>
      <c r="I464" s="322"/>
      <c r="J464" s="322"/>
      <c r="K464" s="322">
        <v>0.4895833333333333</v>
      </c>
      <c r="L464" s="322">
        <f t="shared" si="22"/>
        <v>0.02777777778</v>
      </c>
      <c r="M464" s="629" t="s">
        <v>166</v>
      </c>
      <c r="N464" s="324" t="s">
        <v>187</v>
      </c>
      <c r="O464" s="419" t="s">
        <v>197</v>
      </c>
      <c r="P464" s="319" t="s">
        <v>220</v>
      </c>
      <c r="Q464" s="630" t="s">
        <v>842</v>
      </c>
      <c r="R464" s="631">
        <v>37.1</v>
      </c>
      <c r="S464" s="632">
        <v>7.0</v>
      </c>
      <c r="T464" s="633">
        <v>7.0</v>
      </c>
      <c r="U464" s="609">
        <v>1.0</v>
      </c>
      <c r="V464" s="609"/>
      <c r="W464" s="609"/>
      <c r="X464" s="609"/>
      <c r="Y464" s="609"/>
      <c r="Z464" s="610" t="s">
        <v>379</v>
      </c>
      <c r="AA464" s="610"/>
      <c r="AB464" s="610" t="s">
        <v>384</v>
      </c>
      <c r="AC464" s="611">
        <v>6.0</v>
      </c>
      <c r="AD464" s="610"/>
      <c r="AE464" s="610"/>
      <c r="AF464" s="610"/>
      <c r="AG464" s="610"/>
      <c r="AH464" s="610"/>
      <c r="AI464" s="610"/>
      <c r="AJ464" s="611"/>
      <c r="AK464" s="612"/>
      <c r="AL464" s="610"/>
      <c r="AM464" s="610"/>
      <c r="AN464" s="610"/>
      <c r="AO464" s="610"/>
      <c r="AP464" s="610"/>
      <c r="AQ464" s="610"/>
      <c r="AR464" s="610"/>
      <c r="AS464" s="611"/>
      <c r="AT464" s="461" t="s">
        <v>182</v>
      </c>
      <c r="AU464" s="324" t="s">
        <v>845</v>
      </c>
      <c r="AV464" s="330">
        <f>SQRT(($R464-Infrastructure!J$3)^2+($S464-Infrastructure!K$3)^2)</f>
        <v>43.34016613</v>
      </c>
      <c r="AW464" s="331">
        <f>SQRT(($R464-Infrastructure!J$4)^2+($S464-Infrastructure!K$4)^2)</f>
        <v>38.92813892</v>
      </c>
      <c r="AX464" s="331">
        <f>SQRT(($R464-Infrastructure!J$5)^2+($S464-Infrastructure!K$5)^2)</f>
        <v>37.44823093</v>
      </c>
      <c r="AY464" s="331">
        <f>SQRT(($R464-Infrastructure!J$6)^2+($S464-Infrastructure!K$6)^2)</f>
        <v>27.81887848</v>
      </c>
      <c r="AZ464" s="331">
        <f>SQRT(($R464-Infrastructure!J$7)^2+($S464-Infrastructure!K$7)^2)</f>
        <v>17.90111728</v>
      </c>
      <c r="BA464" s="331">
        <f>SQRT(($R464-Infrastructure!J$8)^2+($S464-Infrastructure!K$8)^2)</f>
        <v>9.689685237</v>
      </c>
      <c r="BB464" s="331">
        <f>SQRT(($R464-Infrastructure!J$9)^2+($S464-Infrastructure!K$9)^2)</f>
        <v>3.466987165</v>
      </c>
      <c r="BC464" s="331">
        <f>SQRT(($R464-Infrastructure!J$10)^2+($S464-Infrastructure!K$10)^2)</f>
        <v>8.50940656</v>
      </c>
      <c r="BD464" s="318"/>
      <c r="BE464" s="332"/>
      <c r="BF464" s="330">
        <f t="shared" si="14"/>
        <v>3.466987165</v>
      </c>
      <c r="BG464" s="333">
        <f t="shared" si="15"/>
        <v>43.34016613</v>
      </c>
      <c r="BH464" s="613"/>
      <c r="BI464" s="316"/>
      <c r="BJ464" s="318"/>
      <c r="BK464" s="318"/>
      <c r="BL464" s="319" t="s">
        <v>846</v>
      </c>
      <c r="BM464" s="318"/>
      <c r="BN464" s="318"/>
      <c r="BO464" s="318"/>
      <c r="BP464" s="318"/>
      <c r="BQ464" s="338"/>
      <c r="BR464" s="420"/>
      <c r="BS464" s="330">
        <f t="shared" si="23"/>
        <v>27.81887848</v>
      </c>
      <c r="BT464" s="331">
        <f t="shared" si="24"/>
        <v>27.81887848</v>
      </c>
      <c r="BU464" s="331"/>
      <c r="BV464" s="333"/>
      <c r="BW464" s="614">
        <v>10.31</v>
      </c>
      <c r="BX464" s="615">
        <v>5.93</v>
      </c>
      <c r="BY464" s="331">
        <f t="shared" si="26"/>
        <v>26.81135953</v>
      </c>
      <c r="BZ464" s="340"/>
      <c r="CA464" s="316"/>
      <c r="CB464" s="318"/>
      <c r="CC464" s="318"/>
      <c r="CD464" s="318"/>
      <c r="CE464" s="318"/>
      <c r="CF464" s="318"/>
      <c r="CG464" s="318"/>
      <c r="CH464" s="318"/>
      <c r="CI464" s="338"/>
      <c r="CJ464" s="341"/>
      <c r="CK464" s="342">
        <f t="shared" si="18"/>
        <v>0</v>
      </c>
      <c r="CL464" s="333">
        <f t="shared" si="19"/>
        <v>0</v>
      </c>
      <c r="CM464" s="616"/>
      <c r="CN464" s="617"/>
      <c r="CO464" s="617"/>
      <c r="CP464" s="617"/>
    </row>
    <row r="465">
      <c r="B465" s="462"/>
      <c r="C465" s="596">
        <v>44103.0</v>
      </c>
      <c r="D465" s="597" t="s">
        <v>986</v>
      </c>
      <c r="E465" s="598">
        <v>3.0</v>
      </c>
      <c r="F465" s="658" t="str">
        <f t="shared" si="21"/>
        <v>2020/29-03</v>
      </c>
      <c r="G465" s="657">
        <v>0.4918402777777778</v>
      </c>
      <c r="H465" s="322">
        <v>0.4918402777777778</v>
      </c>
      <c r="I465" s="322"/>
      <c r="J465" s="322"/>
      <c r="K465" s="322">
        <v>0.5042824074074074</v>
      </c>
      <c r="L465" s="322">
        <f t="shared" si="22"/>
        <v>0.01244212963</v>
      </c>
      <c r="M465" s="630" t="s">
        <v>166</v>
      </c>
      <c r="N465" s="324" t="s">
        <v>187</v>
      </c>
      <c r="O465" s="419" t="s">
        <v>203</v>
      </c>
      <c r="P465" s="630" t="s">
        <v>227</v>
      </c>
      <c r="Q465" s="630"/>
      <c r="R465" s="631">
        <v>15.2</v>
      </c>
      <c r="S465" s="632">
        <v>3.4</v>
      </c>
      <c r="T465" s="633">
        <v>1.9</v>
      </c>
      <c r="U465" s="609">
        <v>0.2</v>
      </c>
      <c r="V465" s="609"/>
      <c r="W465" s="609"/>
      <c r="X465" s="609"/>
      <c r="Y465" s="609"/>
      <c r="Z465" s="610" t="s">
        <v>335</v>
      </c>
      <c r="AA465" s="610"/>
      <c r="AB465" s="610" t="s">
        <v>371</v>
      </c>
      <c r="AC465" s="611">
        <v>1.8</v>
      </c>
      <c r="AD465" s="610"/>
      <c r="AE465" s="610"/>
      <c r="AF465" s="610"/>
      <c r="AG465" s="610"/>
      <c r="AH465" s="610"/>
      <c r="AI465" s="610"/>
      <c r="AJ465" s="611"/>
      <c r="AK465" s="612"/>
      <c r="AL465" s="610"/>
      <c r="AM465" s="610"/>
      <c r="AN465" s="610"/>
      <c r="AO465" s="610"/>
      <c r="AP465" s="610"/>
      <c r="AQ465" s="610"/>
      <c r="AR465" s="610"/>
      <c r="AS465" s="611"/>
      <c r="AT465" s="461" t="s">
        <v>181</v>
      </c>
      <c r="AU465" s="324" t="s">
        <v>846</v>
      </c>
      <c r="AV465" s="330">
        <f>SQRT(($R465-Infrastructure!J$3)^2+($S465-Infrastructure!K$3)^2)</f>
        <v>29.84124662</v>
      </c>
      <c r="AW465" s="331">
        <f>SQRT(($R465-Infrastructure!J$4)^2+($S465-Infrastructure!K$4)^2)</f>
        <v>21.1567956</v>
      </c>
      <c r="AX465" s="331">
        <f>SQRT(($R465-Infrastructure!J$5)^2+($S465-Infrastructure!K$5)^2)</f>
        <v>15.59294712</v>
      </c>
      <c r="AY465" s="331">
        <f>SQRT(($R465-Infrastructure!J$6)^2+($S465-Infrastructure!K$6)^2)</f>
        <v>5.968249325</v>
      </c>
      <c r="AZ465" s="331">
        <f>SQRT(($R465-Infrastructure!J$7)^2+($S465-Infrastructure!K$7)^2)</f>
        <v>6.140032573</v>
      </c>
      <c r="BA465" s="331">
        <f>SQRT(($R465-Infrastructure!J$8)^2+($S465-Infrastructure!K$8)^2)</f>
        <v>15.21906699</v>
      </c>
      <c r="BB465" s="331">
        <f>SQRT(($R465-Infrastructure!J$9)^2+($S465-Infrastructure!K$9)^2)</f>
        <v>24.85819784</v>
      </c>
      <c r="BC465" s="331">
        <f>SQRT(($R465-Infrastructure!J$10)^2+($S465-Infrastructure!K$10)^2)</f>
        <v>27.37882393</v>
      </c>
      <c r="BD465" s="318"/>
      <c r="BE465" s="332"/>
      <c r="BF465" s="330">
        <f t="shared" si="14"/>
        <v>5.968249325</v>
      </c>
      <c r="BG465" s="333">
        <f t="shared" si="15"/>
        <v>29.84124662</v>
      </c>
      <c r="BH465" s="613"/>
      <c r="BI465" s="316"/>
      <c r="BJ465" s="318"/>
      <c r="BK465" s="318"/>
      <c r="BL465" s="319" t="s">
        <v>846</v>
      </c>
      <c r="BM465" s="318"/>
      <c r="BN465" s="318"/>
      <c r="BO465" s="318"/>
      <c r="BP465" s="318"/>
      <c r="BQ465" s="338"/>
      <c r="BR465" s="420"/>
      <c r="BS465" s="330">
        <f t="shared" si="23"/>
        <v>5.968249325</v>
      </c>
      <c r="BT465" s="331">
        <f t="shared" si="24"/>
        <v>5.968249325</v>
      </c>
      <c r="BU465" s="331"/>
      <c r="BV465" s="333"/>
      <c r="BW465" s="614">
        <v>9.12</v>
      </c>
      <c r="BX465" s="615">
        <v>4.37</v>
      </c>
      <c r="BY465" s="331">
        <f t="shared" si="26"/>
        <v>6.156890449</v>
      </c>
      <c r="BZ465" s="340"/>
      <c r="CA465" s="316"/>
      <c r="CB465" s="318"/>
      <c r="CC465" s="318"/>
      <c r="CD465" s="318"/>
      <c r="CE465" s="318"/>
      <c r="CF465" s="318"/>
      <c r="CG465" s="318"/>
      <c r="CH465" s="318"/>
      <c r="CI465" s="338"/>
      <c r="CJ465" s="341"/>
      <c r="CK465" s="342">
        <f t="shared" si="18"/>
        <v>0</v>
      </c>
      <c r="CL465" s="333">
        <f t="shared" si="19"/>
        <v>0</v>
      </c>
      <c r="CM465" s="616"/>
      <c r="CN465" s="617"/>
      <c r="CO465" s="617"/>
      <c r="CP465" s="617"/>
    </row>
    <row r="466">
      <c r="B466" s="462"/>
      <c r="C466" s="596">
        <v>44103.0</v>
      </c>
      <c r="D466" s="597" t="s">
        <v>986</v>
      </c>
      <c r="E466" s="598">
        <v>3.0</v>
      </c>
      <c r="F466" s="658" t="str">
        <f t="shared" si="21"/>
        <v>2020/29-03</v>
      </c>
      <c r="G466" s="657">
        <v>0.4918402777777778</v>
      </c>
      <c r="H466" s="322">
        <v>0.4918402777777778</v>
      </c>
      <c r="I466" s="322"/>
      <c r="J466" s="322"/>
      <c r="K466" s="322">
        <v>0.5042824074074074</v>
      </c>
      <c r="L466" s="322">
        <f t="shared" si="22"/>
        <v>0.01244212963</v>
      </c>
      <c r="M466" s="630" t="s">
        <v>166</v>
      </c>
      <c r="N466" s="324" t="s">
        <v>187</v>
      </c>
      <c r="O466" s="419" t="s">
        <v>207</v>
      </c>
      <c r="P466" s="319" t="s">
        <v>221</v>
      </c>
      <c r="Q466" s="630"/>
      <c r="R466" s="631">
        <v>26.0</v>
      </c>
      <c r="S466" s="632">
        <v>14.4</v>
      </c>
      <c r="T466" s="633">
        <v>1.0</v>
      </c>
      <c r="U466" s="609">
        <v>0.3</v>
      </c>
      <c r="V466" s="609"/>
      <c r="W466" s="609"/>
      <c r="X466" s="609"/>
      <c r="Y466" s="609"/>
      <c r="Z466" s="610" t="s">
        <v>374</v>
      </c>
      <c r="AA466" s="610"/>
      <c r="AB466" s="610" t="s">
        <v>375</v>
      </c>
      <c r="AC466" s="611">
        <v>2.7</v>
      </c>
      <c r="AD466" s="610"/>
      <c r="AE466" s="610"/>
      <c r="AF466" s="610"/>
      <c r="AG466" s="610"/>
      <c r="AH466" s="610"/>
      <c r="AI466" s="610"/>
      <c r="AJ466" s="611"/>
      <c r="AK466" s="612"/>
      <c r="AL466" s="610"/>
      <c r="AM466" s="610"/>
      <c r="AN466" s="610"/>
      <c r="AO466" s="610"/>
      <c r="AP466" s="610"/>
      <c r="AQ466" s="610"/>
      <c r="AR466" s="610"/>
      <c r="AS466" s="611"/>
      <c r="AT466" s="461" t="s">
        <v>181</v>
      </c>
      <c r="AU466" s="324" t="s">
        <v>846</v>
      </c>
      <c r="AV466" s="330">
        <f>SQRT(($R466-Infrastructure!J$3)^2+($S466-Infrastructure!K$3)^2)</f>
        <v>30.03231593</v>
      </c>
      <c r="AW466" s="331">
        <f>SQRT(($R466-Infrastructure!J$4)^2+($S466-Infrastructure!K$4)^2)</f>
        <v>26.51886121</v>
      </c>
      <c r="AX466" s="331">
        <f>SQRT(($R466-Infrastructure!J$5)^2+($S466-Infrastructure!K$5)^2)</f>
        <v>27.89587783</v>
      </c>
      <c r="AY466" s="331">
        <f>SQRT(($R466-Infrastructure!J$6)^2+($S466-Infrastructure!K$6)^2)</f>
        <v>21.2513529</v>
      </c>
      <c r="AZ466" s="331">
        <f>SQRT(($R466-Infrastructure!J$7)^2+($S466-Infrastructure!K$7)^2)</f>
        <v>15.13472828</v>
      </c>
      <c r="BA466" s="331">
        <f>SQRT(($R466-Infrastructure!J$8)^2+($S466-Infrastructure!K$8)^2)</f>
        <v>14.6840049</v>
      </c>
      <c r="BB466" s="331">
        <f>SQRT(($R466-Infrastructure!J$9)^2+($S466-Infrastructure!K$9)^2)</f>
        <v>16.80743883</v>
      </c>
      <c r="BC466" s="331">
        <f>SQRT(($R466-Infrastructure!J$10)^2+($S466-Infrastructure!K$10)^2)</f>
        <v>14.01285124</v>
      </c>
      <c r="BD466" s="318"/>
      <c r="BE466" s="332"/>
      <c r="BF466" s="330">
        <f t="shared" si="14"/>
        <v>14.01285124</v>
      </c>
      <c r="BG466" s="333">
        <f t="shared" si="15"/>
        <v>30.03231593</v>
      </c>
      <c r="BH466" s="613"/>
      <c r="BI466" s="316"/>
      <c r="BJ466" s="318"/>
      <c r="BK466" s="318"/>
      <c r="BL466" s="319" t="s">
        <v>846</v>
      </c>
      <c r="BM466" s="318"/>
      <c r="BN466" s="318"/>
      <c r="BO466" s="318"/>
      <c r="BP466" s="318"/>
      <c r="BQ466" s="338"/>
      <c r="BR466" s="420"/>
      <c r="BS466" s="330">
        <f t="shared" si="23"/>
        <v>21.2513529</v>
      </c>
      <c r="BT466" s="331">
        <f t="shared" si="24"/>
        <v>21.2513529</v>
      </c>
      <c r="BU466" s="331"/>
      <c r="BV466" s="333"/>
      <c r="BW466" s="614"/>
      <c r="BX466" s="615"/>
      <c r="BY466" s="331" t="b">
        <f t="shared" si="26"/>
        <v>0</v>
      </c>
      <c r="BZ466" s="340"/>
      <c r="CA466" s="316"/>
      <c r="CB466" s="318"/>
      <c r="CC466" s="318"/>
      <c r="CD466" s="318"/>
      <c r="CE466" s="318"/>
      <c r="CF466" s="318"/>
      <c r="CG466" s="318"/>
      <c r="CH466" s="318"/>
      <c r="CI466" s="338"/>
      <c r="CJ466" s="341"/>
      <c r="CK466" s="342">
        <f t="shared" si="18"/>
        <v>0</v>
      </c>
      <c r="CL466" s="333">
        <f t="shared" si="19"/>
        <v>0</v>
      </c>
      <c r="CM466" s="616"/>
      <c r="CN466" s="617"/>
      <c r="CO466" s="617"/>
      <c r="CP466" s="617"/>
    </row>
    <row r="467">
      <c r="B467" s="462"/>
      <c r="C467" s="596">
        <v>44103.0</v>
      </c>
      <c r="D467" s="597" t="s">
        <v>986</v>
      </c>
      <c r="E467" s="598">
        <v>4.0</v>
      </c>
      <c r="F467" s="658" t="str">
        <f t="shared" si="21"/>
        <v>2020/29-04</v>
      </c>
      <c r="G467" s="657">
        <v>0.5888888888888889</v>
      </c>
      <c r="H467" s="322">
        <v>0.5888888888888889</v>
      </c>
      <c r="I467" s="322"/>
      <c r="J467" s="322"/>
      <c r="K467" s="322">
        <v>0.6090277777777778</v>
      </c>
      <c r="L467" s="322">
        <f t="shared" si="22"/>
        <v>0.02013888889</v>
      </c>
      <c r="M467" s="629" t="s">
        <v>166</v>
      </c>
      <c r="N467" s="324" t="s">
        <v>187</v>
      </c>
      <c r="O467" s="419" t="s">
        <v>206</v>
      </c>
      <c r="P467" s="630" t="s">
        <v>223</v>
      </c>
      <c r="Q467" s="630"/>
      <c r="R467" s="631">
        <v>21.8</v>
      </c>
      <c r="S467" s="632">
        <v>7.0</v>
      </c>
      <c r="T467" s="633">
        <v>2.2</v>
      </c>
      <c r="U467" s="609">
        <v>0.2</v>
      </c>
      <c r="V467" s="609"/>
      <c r="W467" s="609"/>
      <c r="X467" s="609"/>
      <c r="Y467" s="609"/>
      <c r="Z467" s="610" t="s">
        <v>335</v>
      </c>
      <c r="AA467" s="610"/>
      <c r="AB467" s="610" t="s">
        <v>371</v>
      </c>
      <c r="AC467" s="611">
        <v>1.8</v>
      </c>
      <c r="AD467" s="610"/>
      <c r="AE467" s="610"/>
      <c r="AF467" s="610"/>
      <c r="AG467" s="610"/>
      <c r="AH467" s="610"/>
      <c r="AI467" s="610"/>
      <c r="AJ467" s="611"/>
      <c r="AK467" s="612"/>
      <c r="AL467" s="610"/>
      <c r="AM467" s="610"/>
      <c r="AN467" s="610"/>
      <c r="AO467" s="610"/>
      <c r="AP467" s="610"/>
      <c r="AQ467" s="610"/>
      <c r="AR467" s="610"/>
      <c r="AS467" s="611"/>
      <c r="AT467" s="461" t="s">
        <v>181</v>
      </c>
      <c r="AU467" s="324" t="s">
        <v>846</v>
      </c>
      <c r="AV467" s="330">
        <f>SQRT(($R467-Infrastructure!J$3)^2+($S467-Infrastructure!K$3)^2)</f>
        <v>31.11301978</v>
      </c>
      <c r="AW467" s="331">
        <f>SQRT(($R467-Infrastructure!J$4)^2+($S467-Infrastructure!K$4)^2)</f>
        <v>24.59776413</v>
      </c>
      <c r="AX467" s="331">
        <f>SQRT(($R467-Infrastructure!J$5)^2+($S467-Infrastructure!K$5)^2)</f>
        <v>22.18152384</v>
      </c>
      <c r="AY467" s="331">
        <f>SQRT(($R467-Infrastructure!J$6)^2+($S467-Infrastructure!K$6)^2)</f>
        <v>13.48258136</v>
      </c>
      <c r="AZ467" s="331">
        <f>SQRT(($R467-Infrastructure!J$7)^2+($S467-Infrastructure!K$7)^2)</f>
        <v>6.824954212</v>
      </c>
      <c r="BA467" s="331">
        <f>SQRT(($R467-Infrastructure!J$8)^2+($S467-Infrastructure!K$8)^2)</f>
        <v>10.66677083</v>
      </c>
      <c r="BB467" s="331">
        <f>SQRT(($R467-Infrastructure!J$9)^2+($S467-Infrastructure!K$9)^2)</f>
        <v>18.29890707</v>
      </c>
      <c r="BC467" s="331">
        <f>SQRT(($R467-Infrastructure!J$10)^2+($S467-Infrastructure!K$10)^2)</f>
        <v>19.88064385</v>
      </c>
      <c r="BD467" s="318"/>
      <c r="BE467" s="332"/>
      <c r="BF467" s="330">
        <f t="shared" si="14"/>
        <v>6.824954212</v>
      </c>
      <c r="BG467" s="333">
        <f t="shared" si="15"/>
        <v>31.11301978</v>
      </c>
      <c r="BH467" s="613"/>
      <c r="BI467" s="316"/>
      <c r="BJ467" s="318"/>
      <c r="BK467" s="318"/>
      <c r="BL467" s="318"/>
      <c r="BM467" s="318"/>
      <c r="BN467" s="318"/>
      <c r="BO467" s="318"/>
      <c r="BP467" s="318"/>
      <c r="BQ467" s="338"/>
      <c r="BR467" s="420"/>
      <c r="BS467" s="330">
        <f t="shared" si="23"/>
        <v>0</v>
      </c>
      <c r="BT467" s="331">
        <f t="shared" si="24"/>
        <v>0</v>
      </c>
      <c r="BU467" s="331"/>
      <c r="BV467" s="333"/>
      <c r="BW467" s="614"/>
      <c r="BX467" s="615"/>
      <c r="BY467" s="331" t="b">
        <f t="shared" si="26"/>
        <v>0</v>
      </c>
      <c r="BZ467" s="340"/>
      <c r="CA467" s="316"/>
      <c r="CB467" s="318"/>
      <c r="CC467" s="318"/>
      <c r="CD467" s="318"/>
      <c r="CE467" s="318"/>
      <c r="CF467" s="318"/>
      <c r="CG467" s="318"/>
      <c r="CH467" s="318"/>
      <c r="CI467" s="338"/>
      <c r="CJ467" s="341"/>
      <c r="CK467" s="342">
        <f t="shared" si="18"/>
        <v>0</v>
      </c>
      <c r="CL467" s="333">
        <f t="shared" si="19"/>
        <v>0</v>
      </c>
      <c r="CM467" s="616"/>
      <c r="CN467" s="617"/>
      <c r="CO467" s="617"/>
      <c r="CP467" s="617"/>
    </row>
    <row r="468">
      <c r="B468" s="462"/>
      <c r="C468" s="596">
        <v>44103.0</v>
      </c>
      <c r="D468" s="597" t="s">
        <v>986</v>
      </c>
      <c r="E468" s="598">
        <v>4.0</v>
      </c>
      <c r="F468" s="658" t="str">
        <f t="shared" si="21"/>
        <v>2020/29-04</v>
      </c>
      <c r="G468" s="657">
        <v>0.5888888888888889</v>
      </c>
      <c r="H468" s="322">
        <v>0.5888888888888889</v>
      </c>
      <c r="I468" s="322"/>
      <c r="J468" s="322"/>
      <c r="K468" s="322">
        <v>0.6090277777777778</v>
      </c>
      <c r="L468" s="322">
        <f t="shared" si="22"/>
        <v>0.02013888889</v>
      </c>
      <c r="M468" s="629" t="s">
        <v>166</v>
      </c>
      <c r="N468" s="324" t="s">
        <v>188</v>
      </c>
      <c r="O468" s="419" t="s">
        <v>378</v>
      </c>
      <c r="P468" s="319" t="s">
        <v>225</v>
      </c>
      <c r="Q468" s="630" t="s">
        <v>842</v>
      </c>
      <c r="R468" s="631">
        <v>22.4</v>
      </c>
      <c r="S468" s="632">
        <v>39.6</v>
      </c>
      <c r="T468" s="633">
        <v>1.0</v>
      </c>
      <c r="U468" s="609">
        <v>0.3</v>
      </c>
      <c r="V468" s="609"/>
      <c r="W468" s="609"/>
      <c r="X468" s="609"/>
      <c r="Y468" s="609"/>
      <c r="Z468" s="610" t="s">
        <v>1221</v>
      </c>
      <c r="AA468" s="610"/>
      <c r="AB468" s="610" t="s">
        <v>395</v>
      </c>
      <c r="AC468" s="611">
        <v>4.0</v>
      </c>
      <c r="AD468" s="610"/>
      <c r="AE468" s="610"/>
      <c r="AF468" s="610"/>
      <c r="AG468" s="610"/>
      <c r="AH468" s="610"/>
      <c r="AI468" s="610"/>
      <c r="AJ468" s="611"/>
      <c r="AK468" s="612"/>
      <c r="AL468" s="610"/>
      <c r="AM468" s="610"/>
      <c r="AN468" s="610"/>
      <c r="AO468" s="610"/>
      <c r="AP468" s="610"/>
      <c r="AQ468" s="610"/>
      <c r="AR468" s="610"/>
      <c r="AS468" s="611"/>
      <c r="AT468" s="461" t="s">
        <v>181</v>
      </c>
      <c r="AU468" s="324" t="s">
        <v>846</v>
      </c>
      <c r="AV468" s="330">
        <f>SQRT(($R468-Infrastructure!J$3)^2+($S468-Infrastructure!K$3)^2)</f>
        <v>25.09541791</v>
      </c>
      <c r="AW468" s="331">
        <f>SQRT(($R468-Infrastructure!J$4)^2+($S468-Infrastructure!K$4)^2)</f>
        <v>31.47268657</v>
      </c>
      <c r="AX468" s="331">
        <f>SQRT(($R468-Infrastructure!J$5)^2+($S468-Infrastructure!K$5)^2)</f>
        <v>41.29818398</v>
      </c>
      <c r="AY468" s="331">
        <f>SQRT(($R468-Infrastructure!J$6)^2+($S468-Infrastructure!K$6)^2)</f>
        <v>41.17984944</v>
      </c>
      <c r="AZ468" s="331">
        <f>SQRT(($R468-Infrastructure!J$7)^2+($S468-Infrastructure!K$7)^2)</f>
        <v>39.34590195</v>
      </c>
      <c r="BA468" s="331">
        <f>SQRT(($R468-Infrastructure!J$8)^2+($S468-Infrastructure!K$8)^2)</f>
        <v>40.04722213</v>
      </c>
      <c r="BB468" s="331">
        <f>SQRT(($R468-Infrastructure!J$9)^2+($S468-Infrastructure!K$9)^2)</f>
        <v>38.72996256</v>
      </c>
      <c r="BC468" s="331">
        <f>SQRT(($R468-Infrastructure!J$10)^2+($S468-Infrastructure!K$10)^2)</f>
        <v>30.24764454</v>
      </c>
      <c r="BD468" s="318"/>
      <c r="BE468" s="332"/>
      <c r="BF468" s="330">
        <f t="shared" si="14"/>
        <v>25.09541791</v>
      </c>
      <c r="BG468" s="333">
        <f t="shared" si="15"/>
        <v>41.29818398</v>
      </c>
      <c r="BH468" s="613"/>
      <c r="BI468" s="316"/>
      <c r="BJ468" s="318"/>
      <c r="BK468" s="318"/>
      <c r="BL468" s="319" t="s">
        <v>846</v>
      </c>
      <c r="BM468" s="318"/>
      <c r="BN468" s="318"/>
      <c r="BO468" s="318"/>
      <c r="BP468" s="318"/>
      <c r="BQ468" s="338"/>
      <c r="BR468" s="420"/>
      <c r="BS468" s="330">
        <f t="shared" si="23"/>
        <v>41.17984944</v>
      </c>
      <c r="BT468" s="331">
        <f t="shared" si="24"/>
        <v>41.17984944</v>
      </c>
      <c r="BU468" s="331"/>
      <c r="BV468" s="333"/>
      <c r="BW468" s="614"/>
      <c r="BX468" s="615"/>
      <c r="BY468" s="331" t="b">
        <f t="shared" si="26"/>
        <v>0</v>
      </c>
      <c r="BZ468" s="340"/>
      <c r="CA468" s="316"/>
      <c r="CB468" s="318"/>
      <c r="CC468" s="318"/>
      <c r="CD468" s="318"/>
      <c r="CE468" s="318"/>
      <c r="CF468" s="318"/>
      <c r="CG468" s="318"/>
      <c r="CH468" s="318"/>
      <c r="CI468" s="338"/>
      <c r="CJ468" s="341"/>
      <c r="CK468" s="342">
        <f t="shared" si="18"/>
        <v>0</v>
      </c>
      <c r="CL468" s="333">
        <f t="shared" si="19"/>
        <v>0</v>
      </c>
      <c r="CM468" s="616"/>
      <c r="CN468" s="617"/>
      <c r="CO468" s="617"/>
      <c r="CP468" s="617"/>
    </row>
    <row r="469">
      <c r="B469" s="462"/>
      <c r="C469" s="596">
        <v>44103.0</v>
      </c>
      <c r="D469" s="597" t="s">
        <v>986</v>
      </c>
      <c r="E469" s="598">
        <v>5.0</v>
      </c>
      <c r="F469" s="619" t="str">
        <f t="shared" si="21"/>
        <v>2020/29-05</v>
      </c>
      <c r="G469" s="657">
        <v>0.6347222222222222</v>
      </c>
      <c r="H469" s="322">
        <v>0.6347222222222222</v>
      </c>
      <c r="I469" s="322"/>
      <c r="J469" s="322"/>
      <c r="K469" s="322">
        <v>0.65</v>
      </c>
      <c r="L469" s="322">
        <f t="shared" si="22"/>
        <v>0.01527777778</v>
      </c>
      <c r="M469" s="630" t="s">
        <v>166</v>
      </c>
      <c r="N469" s="324" t="s">
        <v>187</v>
      </c>
      <c r="O469" s="419" t="s">
        <v>203</v>
      </c>
      <c r="P469" s="630" t="s">
        <v>227</v>
      </c>
      <c r="Q469" s="630"/>
      <c r="R469" s="631">
        <v>15.2</v>
      </c>
      <c r="S469" s="632">
        <v>3.4</v>
      </c>
      <c r="T469" s="633">
        <v>1.9</v>
      </c>
      <c r="U469" s="609">
        <v>0.01</v>
      </c>
      <c r="V469" s="609"/>
      <c r="W469" s="609"/>
      <c r="X469" s="609"/>
      <c r="Y469" s="609"/>
      <c r="Z469" s="610" t="s">
        <v>1222</v>
      </c>
      <c r="AA469" s="610"/>
      <c r="AB469" s="610" t="s">
        <v>371</v>
      </c>
      <c r="AC469" s="611">
        <v>1.8</v>
      </c>
      <c r="AD469" s="610"/>
      <c r="AE469" s="610"/>
      <c r="AF469" s="610"/>
      <c r="AG469" s="610"/>
      <c r="AH469" s="610"/>
      <c r="AI469" s="610"/>
      <c r="AJ469" s="611"/>
      <c r="AK469" s="612"/>
      <c r="AL469" s="610"/>
      <c r="AM469" s="610"/>
      <c r="AN469" s="610"/>
      <c r="AO469" s="610"/>
      <c r="AP469" s="610"/>
      <c r="AQ469" s="610"/>
      <c r="AR469" s="610"/>
      <c r="AS469" s="611"/>
      <c r="AT469" s="461" t="s">
        <v>181</v>
      </c>
      <c r="AU469" s="324" t="s">
        <v>846</v>
      </c>
      <c r="AV469" s="330">
        <f>SQRT(($R469-Infrastructure!J$3)^2+($S469-Infrastructure!K$3)^2)</f>
        <v>29.84124662</v>
      </c>
      <c r="AW469" s="331">
        <f>SQRT(($R469-Infrastructure!J$4)^2+($S469-Infrastructure!K$4)^2)</f>
        <v>21.1567956</v>
      </c>
      <c r="AX469" s="331">
        <f>SQRT(($R469-Infrastructure!J$5)^2+($S469-Infrastructure!K$5)^2)</f>
        <v>15.59294712</v>
      </c>
      <c r="AY469" s="331">
        <f>SQRT(($R469-Infrastructure!J$6)^2+($S469-Infrastructure!K$6)^2)</f>
        <v>5.968249325</v>
      </c>
      <c r="AZ469" s="331">
        <f>SQRT(($R469-Infrastructure!J$7)^2+($S469-Infrastructure!K$7)^2)</f>
        <v>6.140032573</v>
      </c>
      <c r="BA469" s="331">
        <f>SQRT(($R469-Infrastructure!J$8)^2+($S469-Infrastructure!K$8)^2)</f>
        <v>15.21906699</v>
      </c>
      <c r="BB469" s="331">
        <f>SQRT(($R469-Infrastructure!J$9)^2+($S469-Infrastructure!K$9)^2)</f>
        <v>24.85819784</v>
      </c>
      <c r="BC469" s="331">
        <f>SQRT(($R469-Infrastructure!J$10)^2+($S469-Infrastructure!K$10)^2)</f>
        <v>27.37882393</v>
      </c>
      <c r="BD469" s="318"/>
      <c r="BE469" s="332"/>
      <c r="BF469" s="330">
        <f t="shared" si="14"/>
        <v>5.968249325</v>
      </c>
      <c r="BG469" s="333">
        <f t="shared" si="15"/>
        <v>29.84124662</v>
      </c>
      <c r="BH469" s="613"/>
      <c r="BI469" s="316"/>
      <c r="BJ469" s="318"/>
      <c r="BK469" s="318"/>
      <c r="BL469" s="319" t="s">
        <v>846</v>
      </c>
      <c r="BM469" s="318"/>
      <c r="BN469" s="318"/>
      <c r="BO469" s="318"/>
      <c r="BP469" s="319" t="s">
        <v>846</v>
      </c>
      <c r="BQ469" s="338"/>
      <c r="BR469" s="420"/>
      <c r="BS469" s="330">
        <f t="shared" si="23"/>
        <v>5.968249325</v>
      </c>
      <c r="BT469" s="331">
        <f t="shared" si="24"/>
        <v>27.37882393</v>
      </c>
      <c r="BU469" s="331"/>
      <c r="BV469" s="333"/>
      <c r="BW469" s="614"/>
      <c r="BX469" s="615"/>
      <c r="BY469" s="331" t="b">
        <f t="shared" si="26"/>
        <v>0</v>
      </c>
      <c r="BZ469" s="340"/>
      <c r="CA469" s="316"/>
      <c r="CB469" s="318"/>
      <c r="CC469" s="318"/>
      <c r="CD469" s="318"/>
      <c r="CE469" s="318"/>
      <c r="CF469" s="318"/>
      <c r="CG469" s="318"/>
      <c r="CH469" s="318"/>
      <c r="CI469" s="338"/>
      <c r="CJ469" s="341"/>
      <c r="CK469" s="342">
        <f t="shared" si="18"/>
        <v>0</v>
      </c>
      <c r="CL469" s="333">
        <f t="shared" si="19"/>
        <v>0</v>
      </c>
      <c r="CM469" s="616"/>
      <c r="CN469" s="617"/>
      <c r="CO469" s="617"/>
      <c r="CP469" s="617"/>
    </row>
    <row r="470">
      <c r="B470" s="462"/>
      <c r="C470" s="596">
        <v>44103.0</v>
      </c>
      <c r="D470" s="597" t="s">
        <v>986</v>
      </c>
      <c r="E470" s="598">
        <v>5.0</v>
      </c>
      <c r="F470" s="619" t="str">
        <f t="shared" si="21"/>
        <v>2020/29-05</v>
      </c>
      <c r="G470" s="657">
        <v>0.6347222222222222</v>
      </c>
      <c r="H470" s="322">
        <v>0.6347222222222222</v>
      </c>
      <c r="I470" s="322"/>
      <c r="J470" s="322"/>
      <c r="K470" s="322">
        <v>0.65</v>
      </c>
      <c r="L470" s="322">
        <f t="shared" si="22"/>
        <v>0.01527777778</v>
      </c>
      <c r="M470" s="630" t="s">
        <v>169</v>
      </c>
      <c r="N470" s="324" t="s">
        <v>187</v>
      </c>
      <c r="O470" s="419" t="s">
        <v>198</v>
      </c>
      <c r="P470" s="319" t="s">
        <v>218</v>
      </c>
      <c r="Q470" s="630"/>
      <c r="R470" s="631">
        <v>10.3</v>
      </c>
      <c r="S470" s="632">
        <v>7.9</v>
      </c>
      <c r="T470" s="633">
        <v>3.0</v>
      </c>
      <c r="U470" s="609">
        <v>0.002</v>
      </c>
      <c r="V470" s="609"/>
      <c r="W470" s="609"/>
      <c r="X470" s="609"/>
      <c r="Y470" s="609"/>
      <c r="Z470" s="610" t="s">
        <v>1222</v>
      </c>
      <c r="AA470" s="610"/>
      <c r="AB470" s="610" t="s">
        <v>371</v>
      </c>
      <c r="AC470" s="611">
        <v>1.8</v>
      </c>
      <c r="AD470" s="610"/>
      <c r="AE470" s="610"/>
      <c r="AF470" s="610"/>
      <c r="AG470" s="610"/>
      <c r="AH470" s="610"/>
      <c r="AI470" s="610"/>
      <c r="AJ470" s="611"/>
      <c r="AK470" s="612"/>
      <c r="AL470" s="610"/>
      <c r="AM470" s="610"/>
      <c r="AN470" s="610"/>
      <c r="AO470" s="610"/>
      <c r="AP470" s="610"/>
      <c r="AQ470" s="610"/>
      <c r="AR470" s="610"/>
      <c r="AS470" s="611"/>
      <c r="AT470" s="461" t="s">
        <v>181</v>
      </c>
      <c r="AU470" s="324" t="s">
        <v>846</v>
      </c>
      <c r="AV470" s="330">
        <f>SQRT(($R470-Infrastructure!J$3)^2+($S470-Infrastructure!K$3)^2)</f>
        <v>23.52360517</v>
      </c>
      <c r="AW470" s="331">
        <f>SQRT(($R470-Infrastructure!J$4)^2+($S470-Infrastructure!K$4)^2)</f>
        <v>14.50413734</v>
      </c>
      <c r="AX470" s="331">
        <f>SQRT(($R470-Infrastructure!J$5)^2+($S470-Infrastructure!K$5)^2)</f>
        <v>10.96357606</v>
      </c>
      <c r="AY470" s="331">
        <f>SQRT(($R470-Infrastructure!J$6)^2+($S470-Infrastructure!K$6)^2)</f>
        <v>7.602631123</v>
      </c>
      <c r="AZ470" s="331">
        <f>SQRT(($R470-Infrastructure!J$7)^2+($S470-Infrastructure!K$7)^2)</f>
        <v>12.72006289</v>
      </c>
      <c r="BA470" s="331">
        <f>SQRT(($R470-Infrastructure!J$8)^2+($S470-Infrastructure!K$8)^2)</f>
        <v>21.20848887</v>
      </c>
      <c r="BB470" s="331">
        <f>SQRT(($R470-Infrastructure!J$9)^2+($S470-Infrastructure!K$9)^2)</f>
        <v>29.83169455</v>
      </c>
      <c r="BC470" s="331">
        <f>SQRT(($R470-Infrastructure!J$10)^2+($S470-Infrastructure!K$10)^2)</f>
        <v>30.53686297</v>
      </c>
      <c r="BD470" s="318"/>
      <c r="BE470" s="332"/>
      <c r="BF470" s="330">
        <f t="shared" si="14"/>
        <v>7.602631123</v>
      </c>
      <c r="BG470" s="333">
        <f t="shared" si="15"/>
        <v>30.53686297</v>
      </c>
      <c r="BH470" s="613"/>
      <c r="BI470" s="316"/>
      <c r="BJ470" s="318"/>
      <c r="BK470" s="318"/>
      <c r="BL470" s="319" t="s">
        <v>846</v>
      </c>
      <c r="BM470" s="318"/>
      <c r="BN470" s="318"/>
      <c r="BO470" s="318"/>
      <c r="BP470" s="318"/>
      <c r="BQ470" s="338"/>
      <c r="BR470" s="420"/>
      <c r="BS470" s="330">
        <f t="shared" si="23"/>
        <v>7.602631123</v>
      </c>
      <c r="BT470" s="331">
        <f t="shared" si="24"/>
        <v>7.602631123</v>
      </c>
      <c r="BU470" s="331"/>
      <c r="BV470" s="333"/>
      <c r="BW470" s="614">
        <v>8.16</v>
      </c>
      <c r="BX470" s="615">
        <v>3.88</v>
      </c>
      <c r="BY470" s="331">
        <f t="shared" si="26"/>
        <v>4.554119015</v>
      </c>
      <c r="BZ470" s="340"/>
      <c r="CA470" s="316"/>
      <c r="CB470" s="318"/>
      <c r="CC470" s="318"/>
      <c r="CD470" s="318"/>
      <c r="CE470" s="318"/>
      <c r="CF470" s="318"/>
      <c r="CG470" s="318"/>
      <c r="CH470" s="318"/>
      <c r="CI470" s="338"/>
      <c r="CJ470" s="341"/>
      <c r="CK470" s="342">
        <f t="shared" si="18"/>
        <v>0</v>
      </c>
      <c r="CL470" s="333">
        <f t="shared" si="19"/>
        <v>0</v>
      </c>
      <c r="CM470" s="616"/>
      <c r="CN470" s="617"/>
      <c r="CO470" s="617"/>
      <c r="CP470" s="617"/>
    </row>
    <row r="471">
      <c r="B471" s="462"/>
      <c r="C471" s="596">
        <v>44103.0</v>
      </c>
      <c r="D471" s="597" t="s">
        <v>986</v>
      </c>
      <c r="E471" s="598">
        <v>6.0</v>
      </c>
      <c r="F471" s="619" t="str">
        <f t="shared" si="21"/>
        <v>2020/29-06</v>
      </c>
      <c r="G471" s="657">
        <v>0.6652777777777777</v>
      </c>
      <c r="H471" s="322">
        <v>0.6652777777777777</v>
      </c>
      <c r="I471" s="322"/>
      <c r="J471" s="322"/>
      <c r="K471" s="322">
        <v>0.686111111111111</v>
      </c>
      <c r="L471" s="322">
        <f t="shared" si="22"/>
        <v>0.02083333333</v>
      </c>
      <c r="M471" s="629" t="s">
        <v>166</v>
      </c>
      <c r="N471" s="324" t="s">
        <v>187</v>
      </c>
      <c r="O471" s="419" t="s">
        <v>207</v>
      </c>
      <c r="P471" s="630" t="s">
        <v>210</v>
      </c>
      <c r="Q471" s="630"/>
      <c r="R471" s="631">
        <v>25.9</v>
      </c>
      <c r="S471" s="632">
        <v>13.5</v>
      </c>
      <c r="T471" s="633">
        <v>1.6</v>
      </c>
      <c r="U471" s="609">
        <v>0.03</v>
      </c>
      <c r="V471" s="609"/>
      <c r="W471" s="609"/>
      <c r="X471" s="609"/>
      <c r="Y471" s="609"/>
      <c r="Z471" s="659" t="s">
        <v>1222</v>
      </c>
      <c r="AA471" s="610"/>
      <c r="AB471" s="659" t="s">
        <v>371</v>
      </c>
      <c r="AC471" s="611">
        <v>1.8</v>
      </c>
      <c r="AD471" s="610"/>
      <c r="AE471" s="610"/>
      <c r="AF471" s="610"/>
      <c r="AG471" s="610"/>
      <c r="AH471" s="610"/>
      <c r="AI471" s="610"/>
      <c r="AJ471" s="611"/>
      <c r="AK471" s="612"/>
      <c r="AL471" s="610"/>
      <c r="AM471" s="610"/>
      <c r="AN471" s="610"/>
      <c r="AO471" s="610"/>
      <c r="AP471" s="610"/>
      <c r="AQ471" s="610"/>
      <c r="AR471" s="610"/>
      <c r="AS471" s="611"/>
      <c r="AT471" s="461" t="s">
        <v>181</v>
      </c>
      <c r="AU471" s="324" t="s">
        <v>846</v>
      </c>
      <c r="AV471" s="330">
        <f>SQRT(($R471-Infrastructure!J$3)^2+($S471-Infrastructure!K$3)^2)</f>
        <v>30.39078808</v>
      </c>
      <c r="AW471" s="331">
        <f>SQRT(($R471-Infrastructure!J$4)^2+($S471-Infrastructure!K$4)^2)</f>
        <v>26.55051789</v>
      </c>
      <c r="AX471" s="331">
        <f>SQRT(($R471-Infrastructure!J$5)^2+($S471-Infrastructure!K$5)^2)</f>
        <v>27.51363298</v>
      </c>
      <c r="AY471" s="331">
        <f>SQRT(($R471-Infrastructure!J$6)^2+($S471-Infrastructure!K$6)^2)</f>
        <v>20.58834622</v>
      </c>
      <c r="AZ471" s="331">
        <f>SQRT(($R471-Infrastructure!J$7)^2+($S471-Infrastructure!K$7)^2)</f>
        <v>14.26183719</v>
      </c>
      <c r="BA471" s="331">
        <f>SQRT(($R471-Infrastructure!J$8)^2+($S471-Infrastructure!K$8)^2)</f>
        <v>13.85207566</v>
      </c>
      <c r="BB471" s="331">
        <f>SQRT(($R471-Infrastructure!J$9)^2+($S471-Infrastructure!K$9)^2)</f>
        <v>16.41249524</v>
      </c>
      <c r="BC471" s="331">
        <f>SQRT(($R471-Infrastructure!J$10)^2+($S471-Infrastructure!K$10)^2)</f>
        <v>14.17956276</v>
      </c>
      <c r="BD471" s="318"/>
      <c r="BE471" s="332"/>
      <c r="BF471" s="330">
        <f t="shared" si="14"/>
        <v>13.85207566</v>
      </c>
      <c r="BG471" s="333">
        <f t="shared" si="15"/>
        <v>30.39078808</v>
      </c>
      <c r="BH471" s="613"/>
      <c r="BI471" s="316"/>
      <c r="BJ471" s="318"/>
      <c r="BK471" s="318"/>
      <c r="BL471" s="319" t="s">
        <v>846</v>
      </c>
      <c r="BM471" s="318"/>
      <c r="BN471" s="318"/>
      <c r="BO471" s="318"/>
      <c r="BP471" s="318"/>
      <c r="BQ471" s="338"/>
      <c r="BR471" s="420"/>
      <c r="BS471" s="330">
        <f t="shared" si="23"/>
        <v>20.58834622</v>
      </c>
      <c r="BT471" s="331">
        <f t="shared" si="24"/>
        <v>20.58834622</v>
      </c>
      <c r="BU471" s="331"/>
      <c r="BV471" s="333"/>
      <c r="BW471" s="614"/>
      <c r="BX471" s="615"/>
      <c r="BY471" s="331" t="b">
        <f t="shared" si="26"/>
        <v>0</v>
      </c>
      <c r="BZ471" s="340"/>
      <c r="CA471" s="316"/>
      <c r="CB471" s="318"/>
      <c r="CC471" s="318"/>
      <c r="CD471" s="318"/>
      <c r="CE471" s="318"/>
      <c r="CF471" s="318"/>
      <c r="CG471" s="318"/>
      <c r="CH471" s="318"/>
      <c r="CI471" s="338"/>
      <c r="CJ471" s="341"/>
      <c r="CK471" s="342">
        <f t="shared" si="18"/>
        <v>0</v>
      </c>
      <c r="CL471" s="333">
        <f t="shared" si="19"/>
        <v>0</v>
      </c>
      <c r="CM471" s="616"/>
      <c r="CN471" s="617"/>
      <c r="CO471" s="617"/>
      <c r="CP471" s="617"/>
    </row>
    <row r="472">
      <c r="B472" s="462"/>
      <c r="C472" s="596">
        <v>44103.0</v>
      </c>
      <c r="D472" s="597" t="s">
        <v>986</v>
      </c>
      <c r="E472" s="598">
        <v>6.0</v>
      </c>
      <c r="F472" s="619" t="str">
        <f t="shared" si="21"/>
        <v>2020/29-06</v>
      </c>
      <c r="G472" s="657">
        <v>0.6652777777777777</v>
      </c>
      <c r="H472" s="322">
        <v>0.6652777777777777</v>
      </c>
      <c r="I472" s="322"/>
      <c r="J472" s="322"/>
      <c r="K472" s="322">
        <v>0.686111111111111</v>
      </c>
      <c r="L472" s="322">
        <f t="shared" si="22"/>
        <v>0.02083333333</v>
      </c>
      <c r="M472" s="629" t="s">
        <v>170</v>
      </c>
      <c r="N472" s="324" t="s">
        <v>187</v>
      </c>
      <c r="O472" s="419" t="s">
        <v>198</v>
      </c>
      <c r="P472" s="319" t="s">
        <v>218</v>
      </c>
      <c r="Q472" s="630"/>
      <c r="R472" s="631">
        <v>10.3</v>
      </c>
      <c r="S472" s="632">
        <v>7.9</v>
      </c>
      <c r="T472" s="633">
        <v>3.0</v>
      </c>
      <c r="U472" s="625">
        <v>0.0115</v>
      </c>
      <c r="V472" s="625"/>
      <c r="W472" s="625"/>
      <c r="X472" s="625"/>
      <c r="Y472" s="625"/>
      <c r="Z472" s="659" t="s">
        <v>1222</v>
      </c>
      <c r="AA472" s="610"/>
      <c r="AB472" s="659" t="s">
        <v>371</v>
      </c>
      <c r="AC472" s="611">
        <v>1.8</v>
      </c>
      <c r="AD472" s="610"/>
      <c r="AE472" s="610"/>
      <c r="AF472" s="610"/>
      <c r="AG472" s="610"/>
      <c r="AH472" s="610"/>
      <c r="AI472" s="610"/>
      <c r="AJ472" s="611"/>
      <c r="AK472" s="612"/>
      <c r="AL472" s="610"/>
      <c r="AM472" s="610"/>
      <c r="AN472" s="610"/>
      <c r="AO472" s="610"/>
      <c r="AP472" s="610"/>
      <c r="AQ472" s="610"/>
      <c r="AR472" s="610"/>
      <c r="AS472" s="611"/>
      <c r="AT472" s="461" t="s">
        <v>181</v>
      </c>
      <c r="AU472" s="324" t="s">
        <v>846</v>
      </c>
      <c r="AV472" s="330">
        <f>SQRT(($R472-Infrastructure!J$3)^2+($S472-Infrastructure!K$3)^2)</f>
        <v>23.52360517</v>
      </c>
      <c r="AW472" s="331">
        <f>SQRT(($R472-Infrastructure!J$4)^2+($S472-Infrastructure!K$4)^2)</f>
        <v>14.50413734</v>
      </c>
      <c r="AX472" s="331">
        <f>SQRT(($R472-Infrastructure!J$5)^2+($S472-Infrastructure!K$5)^2)</f>
        <v>10.96357606</v>
      </c>
      <c r="AY472" s="331">
        <f>SQRT(($R472-Infrastructure!J$6)^2+($S472-Infrastructure!K$6)^2)</f>
        <v>7.602631123</v>
      </c>
      <c r="AZ472" s="331">
        <f>SQRT(($R472-Infrastructure!J$7)^2+($S472-Infrastructure!K$7)^2)</f>
        <v>12.72006289</v>
      </c>
      <c r="BA472" s="331">
        <f>SQRT(($R472-Infrastructure!J$8)^2+($S472-Infrastructure!K$8)^2)</f>
        <v>21.20848887</v>
      </c>
      <c r="BB472" s="331">
        <f>SQRT(($R472-Infrastructure!J$9)^2+($S472-Infrastructure!K$9)^2)</f>
        <v>29.83169455</v>
      </c>
      <c r="BC472" s="331">
        <f>SQRT(($R472-Infrastructure!J$10)^2+($S472-Infrastructure!K$10)^2)</f>
        <v>30.53686297</v>
      </c>
      <c r="BD472" s="318"/>
      <c r="BE472" s="332"/>
      <c r="BF472" s="330">
        <f t="shared" si="14"/>
        <v>7.602631123</v>
      </c>
      <c r="BG472" s="333">
        <f t="shared" si="15"/>
        <v>30.53686297</v>
      </c>
      <c r="BH472" s="613"/>
      <c r="BI472" s="316"/>
      <c r="BJ472" s="318"/>
      <c r="BK472" s="318"/>
      <c r="BL472" s="319" t="s">
        <v>846</v>
      </c>
      <c r="BM472" s="318"/>
      <c r="BN472" s="318"/>
      <c r="BO472" s="318"/>
      <c r="BP472" s="318"/>
      <c r="BQ472" s="338"/>
      <c r="BR472" s="420"/>
      <c r="BS472" s="330">
        <f t="shared" si="23"/>
        <v>7.602631123</v>
      </c>
      <c r="BT472" s="331">
        <f t="shared" si="24"/>
        <v>7.602631123</v>
      </c>
      <c r="BU472" s="331"/>
      <c r="BV472" s="333"/>
      <c r="BW472" s="614"/>
      <c r="BX472" s="615"/>
      <c r="BY472" s="331" t="b">
        <f t="shared" si="26"/>
        <v>0</v>
      </c>
      <c r="BZ472" s="340"/>
      <c r="CA472" s="316"/>
      <c r="CB472" s="318"/>
      <c r="CC472" s="318"/>
      <c r="CD472" s="318"/>
      <c r="CE472" s="318"/>
      <c r="CF472" s="318"/>
      <c r="CG472" s="318"/>
      <c r="CH472" s="318"/>
      <c r="CI472" s="338"/>
      <c r="CJ472" s="341"/>
      <c r="CK472" s="342">
        <f t="shared" si="18"/>
        <v>0</v>
      </c>
      <c r="CL472" s="333">
        <f t="shared" si="19"/>
        <v>0</v>
      </c>
      <c r="CM472" s="616"/>
      <c r="CN472" s="617"/>
      <c r="CO472" s="617"/>
      <c r="CP472" s="617"/>
    </row>
    <row r="473">
      <c r="B473" s="462"/>
      <c r="C473" s="596">
        <v>44103.0</v>
      </c>
      <c r="D473" s="597" t="s">
        <v>986</v>
      </c>
      <c r="E473" s="598">
        <v>7.0</v>
      </c>
      <c r="F473" s="658" t="str">
        <f t="shared" si="21"/>
        <v>2020/29-07</v>
      </c>
      <c r="G473" s="657">
        <v>0.7039930555555555</v>
      </c>
      <c r="H473" s="322">
        <v>0.7039930555555555</v>
      </c>
      <c r="I473" s="322"/>
      <c r="J473" s="322"/>
      <c r="K473" s="322">
        <v>0.7248263888888888</v>
      </c>
      <c r="L473" s="322">
        <f t="shared" si="22"/>
        <v>0.02083333333</v>
      </c>
      <c r="M473" s="630" t="s">
        <v>166</v>
      </c>
      <c r="N473" s="324" t="s">
        <v>187</v>
      </c>
      <c r="O473" s="419" t="s">
        <v>203</v>
      </c>
      <c r="P473" s="319" t="s">
        <v>211</v>
      </c>
      <c r="Q473" s="630"/>
      <c r="R473" s="631">
        <v>14.8</v>
      </c>
      <c r="S473" s="632">
        <v>2.4</v>
      </c>
      <c r="T473" s="633">
        <v>1.1</v>
      </c>
      <c r="U473" s="609">
        <v>0.4</v>
      </c>
      <c r="V473" s="609"/>
      <c r="W473" s="609"/>
      <c r="X473" s="609"/>
      <c r="Y473" s="609"/>
      <c r="Z473" s="610" t="s">
        <v>357</v>
      </c>
      <c r="AA473" s="610"/>
      <c r="AB473" s="610" t="s">
        <v>384</v>
      </c>
      <c r="AC473" s="611">
        <v>6.0</v>
      </c>
      <c r="AD473" s="610"/>
      <c r="AE473" s="610"/>
      <c r="AF473" s="610"/>
      <c r="AG473" s="610"/>
      <c r="AH473" s="610"/>
      <c r="AI473" s="610"/>
      <c r="AJ473" s="611"/>
      <c r="AK473" s="612"/>
      <c r="AL473" s="610"/>
      <c r="AM473" s="610"/>
      <c r="AN473" s="610"/>
      <c r="AO473" s="610"/>
      <c r="AP473" s="610"/>
      <c r="AQ473" s="610"/>
      <c r="AR473" s="610"/>
      <c r="AS473" s="611"/>
      <c r="AT473" s="461" t="s">
        <v>181</v>
      </c>
      <c r="AU473" s="324" t="s">
        <v>845</v>
      </c>
      <c r="AV473" s="330">
        <f>SQRT(($R473-Infrastructure!J$3)^2+($S473-Infrastructure!K$3)^2)</f>
        <v>30.50016393</v>
      </c>
      <c r="AW473" s="331">
        <f>SQRT(($R473-Infrastructure!J$4)^2+($S473-Infrastructure!K$4)^2)</f>
        <v>21.56780007</v>
      </c>
      <c r="AX473" s="331">
        <f>SQRT(($R473-Infrastructure!J$5)^2+($S473-Infrastructure!K$5)^2)</f>
        <v>15.33949152</v>
      </c>
      <c r="AY473" s="331">
        <f>SQRT(($R473-Infrastructure!J$6)^2+($S473-Infrastructure!K$6)^2)</f>
        <v>5.14781507</v>
      </c>
      <c r="AZ473" s="331">
        <f>SQRT(($R473-Infrastructure!J$7)^2+($S473-Infrastructure!K$7)^2)</f>
        <v>6.074537019</v>
      </c>
      <c r="BA473" s="331">
        <f>SQRT(($R473-Infrastructure!J$8)^2+($S473-Infrastructure!K$8)^2)</f>
        <v>15.44344521</v>
      </c>
      <c r="BB473" s="331">
        <f>SQRT(($R473-Infrastructure!J$9)^2+($S473-Infrastructure!K$9)^2)</f>
        <v>25.34423011</v>
      </c>
      <c r="BC473" s="331">
        <f>SQRT(($R473-Infrastructure!J$10)^2+($S473-Infrastructure!K$10)^2)</f>
        <v>28.17445652</v>
      </c>
      <c r="BD473" s="318"/>
      <c r="BE473" s="332"/>
      <c r="BF473" s="330">
        <f t="shared" si="14"/>
        <v>5.14781507</v>
      </c>
      <c r="BG473" s="333">
        <f t="shared" si="15"/>
        <v>30.50016393</v>
      </c>
      <c r="BH473" s="613"/>
      <c r="BI473" s="316"/>
      <c r="BJ473" s="318"/>
      <c r="BK473" s="319" t="s">
        <v>846</v>
      </c>
      <c r="BL473" s="318"/>
      <c r="BM473" s="318"/>
      <c r="BN473" s="318"/>
      <c r="BO473" s="318"/>
      <c r="BP473" s="318"/>
      <c r="BQ473" s="338"/>
      <c r="BR473" s="420"/>
      <c r="BS473" s="330">
        <f t="shared" si="23"/>
        <v>15.33949152</v>
      </c>
      <c r="BT473" s="331">
        <f t="shared" si="24"/>
        <v>15.33949152</v>
      </c>
      <c r="BU473" s="331"/>
      <c r="BV473" s="333"/>
      <c r="BW473" s="614">
        <v>10.98</v>
      </c>
      <c r="BX473" s="615">
        <v>4.61</v>
      </c>
      <c r="BY473" s="331">
        <f t="shared" si="26"/>
        <v>4.41321878</v>
      </c>
      <c r="BZ473" s="340"/>
      <c r="CA473" s="316"/>
      <c r="CB473" s="318"/>
      <c r="CC473" s="318"/>
      <c r="CD473" s="318"/>
      <c r="CE473" s="318"/>
      <c r="CF473" s="318"/>
      <c r="CG473" s="318"/>
      <c r="CH473" s="318"/>
      <c r="CI473" s="338"/>
      <c r="CJ473" s="341"/>
      <c r="CK473" s="342">
        <f t="shared" si="18"/>
        <v>0</v>
      </c>
      <c r="CL473" s="333">
        <f t="shared" si="19"/>
        <v>0</v>
      </c>
      <c r="CM473" s="616"/>
      <c r="CN473" s="617"/>
      <c r="CO473" s="617"/>
      <c r="CP473" s="617"/>
    </row>
    <row r="474">
      <c r="B474" s="462"/>
      <c r="C474" s="596">
        <v>44104.0</v>
      </c>
      <c r="D474" s="597" t="s">
        <v>986</v>
      </c>
      <c r="E474" s="598">
        <v>8.0</v>
      </c>
      <c r="F474" s="619" t="str">
        <f t="shared" si="21"/>
        <v>2020/30-08</v>
      </c>
      <c r="G474" s="657">
        <v>0.3704861111111111</v>
      </c>
      <c r="H474" s="322">
        <v>0.3704861111111111</v>
      </c>
      <c r="I474" s="322"/>
      <c r="J474" s="322"/>
      <c r="K474" s="322">
        <v>0.3975694444444444</v>
      </c>
      <c r="L474" s="322">
        <f t="shared" si="22"/>
        <v>0.02708333333</v>
      </c>
      <c r="M474" s="629" t="s">
        <v>166</v>
      </c>
      <c r="N474" s="324" t="s">
        <v>187</v>
      </c>
      <c r="O474" s="419" t="s">
        <v>199</v>
      </c>
      <c r="P474" s="319" t="s">
        <v>220</v>
      </c>
      <c r="Q474" s="630"/>
      <c r="R474" s="631">
        <v>16.2</v>
      </c>
      <c r="S474" s="632">
        <v>9.3</v>
      </c>
      <c r="T474" s="660">
        <v>0.01</v>
      </c>
      <c r="U474" s="609">
        <v>0.1</v>
      </c>
      <c r="V474" s="609"/>
      <c r="W474" s="609"/>
      <c r="X474" s="609"/>
      <c r="Y474" s="609"/>
      <c r="Z474" s="610" t="s">
        <v>335</v>
      </c>
      <c r="AA474" s="610"/>
      <c r="AB474" s="610" t="s">
        <v>375</v>
      </c>
      <c r="AC474" s="611">
        <v>2.7</v>
      </c>
      <c r="AD474" s="610"/>
      <c r="AE474" s="610"/>
      <c r="AF474" s="610"/>
      <c r="AG474" s="610"/>
      <c r="AH474" s="610"/>
      <c r="AI474" s="610"/>
      <c r="AJ474" s="611"/>
      <c r="AK474" s="612"/>
      <c r="AL474" s="610"/>
      <c r="AM474" s="610"/>
      <c r="AN474" s="610"/>
      <c r="AO474" s="610"/>
      <c r="AP474" s="610"/>
      <c r="AQ474" s="610"/>
      <c r="AR474" s="610"/>
      <c r="AS474" s="611"/>
      <c r="AT474" s="461" t="s">
        <v>181</v>
      </c>
      <c r="AU474" s="324" t="s">
        <v>845</v>
      </c>
      <c r="AV474" s="330">
        <f>SQRT(($R474-Infrastructure!J$3)^2+($S474-Infrastructure!K$3)^2)</f>
        <v>25.6204996</v>
      </c>
      <c r="AW474" s="331">
        <f>SQRT(($R474-Infrastructure!J$4)^2+($S474-Infrastructure!K$4)^2)</f>
        <v>18.56071119</v>
      </c>
      <c r="AX474" s="331">
        <f>SQRT(($R474-Infrastructure!J$5)^2+($S474-Infrastructure!K$5)^2)</f>
        <v>17.02615635</v>
      </c>
      <c r="AY474" s="331">
        <f>SQRT(($R474-Infrastructure!J$6)^2+($S474-Infrastructure!K$6)^2)</f>
        <v>10.87244223</v>
      </c>
      <c r="AZ474" s="331">
        <f>SQRT(($R474-Infrastructure!J$7)^2+($S474-Infrastructure!K$7)^2)</f>
        <v>9.974467404</v>
      </c>
      <c r="BA474" s="331">
        <f>SQRT(($R474-Infrastructure!J$8)^2+($S474-Infrastructure!K$8)^2)</f>
        <v>16.55928742</v>
      </c>
      <c r="BB474" s="331">
        <f>SQRT(($R474-Infrastructure!J$9)^2+($S474-Infrastructure!K$9)^2)</f>
        <v>24.1677471</v>
      </c>
      <c r="BC474" s="331">
        <f>SQRT(($R474-Infrastructure!J$10)^2+($S474-Infrastructure!K$10)^2)</f>
        <v>24.4730464</v>
      </c>
      <c r="BD474" s="318"/>
      <c r="BE474" s="332"/>
      <c r="BF474" s="330">
        <f t="shared" si="14"/>
        <v>9.974467404</v>
      </c>
      <c r="BG474" s="333">
        <f t="shared" si="15"/>
        <v>25.6204996</v>
      </c>
      <c r="BH474" s="613"/>
      <c r="BI474" s="316"/>
      <c r="BJ474" s="318"/>
      <c r="BK474" s="319"/>
      <c r="BL474" s="318"/>
      <c r="BM474" s="319"/>
      <c r="BN474" s="318"/>
      <c r="BO474" s="318"/>
      <c r="BP474" s="319"/>
      <c r="BQ474" s="338"/>
      <c r="BR474" s="420"/>
      <c r="BS474" s="330">
        <f t="shared" si="23"/>
        <v>0</v>
      </c>
      <c r="BT474" s="331">
        <f t="shared" si="24"/>
        <v>0</v>
      </c>
      <c r="BU474" s="331"/>
      <c r="BV474" s="333"/>
      <c r="BW474" s="614"/>
      <c r="BX474" s="615"/>
      <c r="BY474" s="331"/>
      <c r="BZ474" s="340"/>
      <c r="CA474" s="316"/>
      <c r="CB474" s="318"/>
      <c r="CC474" s="318"/>
      <c r="CD474" s="318"/>
      <c r="CE474" s="318"/>
      <c r="CF474" s="318"/>
      <c r="CG474" s="318"/>
      <c r="CH474" s="318"/>
      <c r="CI474" s="338"/>
      <c r="CJ474" s="341"/>
      <c r="CK474" s="342">
        <f t="shared" si="18"/>
        <v>0</v>
      </c>
      <c r="CL474" s="333">
        <f t="shared" si="19"/>
        <v>0</v>
      </c>
      <c r="CM474" s="616"/>
      <c r="CN474" s="617"/>
      <c r="CO474" s="617"/>
      <c r="CP474" s="617"/>
    </row>
    <row r="475">
      <c r="B475" s="462"/>
      <c r="C475" s="596">
        <v>44104.0</v>
      </c>
      <c r="D475" s="597" t="s">
        <v>986</v>
      </c>
      <c r="E475" s="598">
        <v>9.0</v>
      </c>
      <c r="F475" s="599" t="str">
        <f t="shared" si="21"/>
        <v>2020/30-09</v>
      </c>
      <c r="G475" s="657">
        <v>0.40850694444444446</v>
      </c>
      <c r="H475" s="322">
        <v>0.40850694444444446</v>
      </c>
      <c r="I475" s="322"/>
      <c r="J475" s="322"/>
      <c r="K475" s="322">
        <v>0.43472222222222223</v>
      </c>
      <c r="L475" s="322">
        <f t="shared" si="22"/>
        <v>0.02621527778</v>
      </c>
      <c r="M475" s="603" t="s">
        <v>166</v>
      </c>
      <c r="N475" s="604" t="s">
        <v>187</v>
      </c>
      <c r="O475" s="419" t="s">
        <v>198</v>
      </c>
      <c r="P475" s="603" t="s">
        <v>223</v>
      </c>
      <c r="Q475" s="603"/>
      <c r="R475" s="606">
        <v>10.0</v>
      </c>
      <c r="S475" s="620">
        <v>11.7</v>
      </c>
      <c r="T475" s="618">
        <v>0.4</v>
      </c>
      <c r="U475" s="609">
        <v>0.2</v>
      </c>
      <c r="V475" s="609"/>
      <c r="W475" s="609"/>
      <c r="X475" s="609"/>
      <c r="Y475" s="609"/>
      <c r="Z475" s="603" t="s">
        <v>335</v>
      </c>
      <c r="AA475" s="603"/>
      <c r="AB475" s="603" t="s">
        <v>371</v>
      </c>
      <c r="AC475" s="621">
        <v>1.8</v>
      </c>
      <c r="AD475" s="603"/>
      <c r="AE475" s="603"/>
      <c r="AF475" s="603"/>
      <c r="AG475" s="603"/>
      <c r="AH475" s="603"/>
      <c r="AI475" s="603"/>
      <c r="AJ475" s="621"/>
      <c r="AK475" s="622"/>
      <c r="AL475" s="603"/>
      <c r="AM475" s="603"/>
      <c r="AN475" s="603"/>
      <c r="AO475" s="603"/>
      <c r="AP475" s="603"/>
      <c r="AQ475" s="603"/>
      <c r="AR475" s="603"/>
      <c r="AS475" s="621"/>
      <c r="AT475" s="461" t="s">
        <v>181</v>
      </c>
      <c r="AU475" s="324" t="s">
        <v>846</v>
      </c>
      <c r="AV475" s="330">
        <f>SQRT(($R475-Infrastructure!J$3)^2+($S475-Infrastructure!K$3)^2)</f>
        <v>20.04819194</v>
      </c>
      <c r="AW475" s="331">
        <f>SQRT(($R475-Infrastructure!J$4)^2+($S475-Infrastructure!K$4)^2)</f>
        <v>11.9707978</v>
      </c>
      <c r="AX475" s="331">
        <f>SQRT(($R475-Infrastructure!J$5)^2+($S475-Infrastructure!K$5)^2)</f>
        <v>12.23315168</v>
      </c>
      <c r="AY475" s="331">
        <f>SQRT(($R475-Infrastructure!J$6)^2+($S475-Infrastructure!K$6)^2)</f>
        <v>11.40043859</v>
      </c>
      <c r="AZ475" s="331">
        <f>SQRT(($R475-Infrastructure!J$7)^2+($S475-Infrastructure!K$7)^2)</f>
        <v>15.49870962</v>
      </c>
      <c r="BA475" s="331">
        <f>SQRT(($R475-Infrastructure!J$8)^2+($S475-Infrastructure!K$8)^2)</f>
        <v>23.10779089</v>
      </c>
      <c r="BB475" s="331">
        <f>SQRT(($R475-Infrastructure!J$9)^2+($S475-Infrastructure!K$9)^2)</f>
        <v>30.71742177</v>
      </c>
      <c r="BC475" s="331">
        <f>SQRT(($R475-Infrastructure!J$10)^2+($S475-Infrastructure!K$10)^2)</f>
        <v>30.18095426</v>
      </c>
      <c r="BD475" s="318"/>
      <c r="BE475" s="332"/>
      <c r="BF475" s="330">
        <f t="shared" si="14"/>
        <v>11.40043859</v>
      </c>
      <c r="BG475" s="333">
        <f t="shared" si="15"/>
        <v>30.71742177</v>
      </c>
      <c r="BH475" s="613"/>
      <c r="BI475" s="316"/>
      <c r="BJ475" s="318"/>
      <c r="BK475" s="319"/>
      <c r="BL475" s="318"/>
      <c r="BM475" s="319"/>
      <c r="BN475" s="318"/>
      <c r="BO475" s="318"/>
      <c r="BP475" s="319"/>
      <c r="BQ475" s="338"/>
      <c r="BR475" s="420"/>
      <c r="BS475" s="330">
        <f t="shared" si="23"/>
        <v>0</v>
      </c>
      <c r="BT475" s="331">
        <f t="shared" si="24"/>
        <v>0</v>
      </c>
      <c r="BU475" s="331"/>
      <c r="BV475" s="333"/>
      <c r="BW475" s="614"/>
      <c r="BX475" s="615"/>
      <c r="BY475" s="331"/>
      <c r="BZ475" s="340"/>
      <c r="CA475" s="316"/>
      <c r="CB475" s="318"/>
      <c r="CC475" s="318"/>
      <c r="CD475" s="318"/>
      <c r="CE475" s="318"/>
      <c r="CF475" s="318"/>
      <c r="CG475" s="318"/>
      <c r="CH475" s="318"/>
      <c r="CI475" s="338"/>
      <c r="CJ475" s="341"/>
      <c r="CK475" s="342">
        <f t="shared" si="18"/>
        <v>0</v>
      </c>
      <c r="CL475" s="333">
        <f t="shared" si="19"/>
        <v>0</v>
      </c>
      <c r="CM475" s="616"/>
      <c r="CN475" s="617"/>
      <c r="CO475" s="617"/>
      <c r="CP475" s="617"/>
    </row>
    <row r="476">
      <c r="B476" s="462"/>
      <c r="C476" s="596">
        <v>44104.0</v>
      </c>
      <c r="D476" s="597" t="s">
        <v>986</v>
      </c>
      <c r="E476" s="598">
        <v>9.0</v>
      </c>
      <c r="F476" s="599" t="str">
        <f t="shared" si="21"/>
        <v>2020/30-09</v>
      </c>
      <c r="G476" s="657">
        <v>0.40850694444444446</v>
      </c>
      <c r="H476" s="322">
        <v>0.40850694444444446</v>
      </c>
      <c r="I476" s="322"/>
      <c r="J476" s="322"/>
      <c r="K476" s="322">
        <v>0.43472222222222223</v>
      </c>
      <c r="L476" s="322">
        <f t="shared" si="22"/>
        <v>0.02621527778</v>
      </c>
      <c r="M476" s="605" t="s">
        <v>166</v>
      </c>
      <c r="N476" s="604" t="s">
        <v>188</v>
      </c>
      <c r="O476" s="419" t="s">
        <v>378</v>
      </c>
      <c r="P476" s="605" t="s">
        <v>225</v>
      </c>
      <c r="Q476" s="603" t="s">
        <v>842</v>
      </c>
      <c r="R476" s="606">
        <v>22.4</v>
      </c>
      <c r="S476" s="620">
        <v>39.6</v>
      </c>
      <c r="T476" s="618">
        <v>1.0</v>
      </c>
      <c r="U476" s="609">
        <v>0.3</v>
      </c>
      <c r="V476" s="609"/>
      <c r="W476" s="609"/>
      <c r="X476" s="609"/>
      <c r="Y476" s="609"/>
      <c r="Z476" s="603" t="s">
        <v>1221</v>
      </c>
      <c r="AA476" s="603"/>
      <c r="AB476" s="603" t="s">
        <v>395</v>
      </c>
      <c r="AC476" s="621">
        <v>4.0</v>
      </c>
      <c r="AD476" s="603"/>
      <c r="AE476" s="603"/>
      <c r="AF476" s="603"/>
      <c r="AG476" s="603"/>
      <c r="AH476" s="603"/>
      <c r="AI476" s="603"/>
      <c r="AJ476" s="621"/>
      <c r="AK476" s="622"/>
      <c r="AL476" s="603"/>
      <c r="AM476" s="603"/>
      <c r="AN476" s="603"/>
      <c r="AO476" s="603"/>
      <c r="AP476" s="603"/>
      <c r="AQ476" s="603"/>
      <c r="AR476" s="603"/>
      <c r="AS476" s="621"/>
      <c r="AT476" s="461" t="s">
        <v>181</v>
      </c>
      <c r="AU476" s="324" t="s">
        <v>846</v>
      </c>
      <c r="AV476" s="330">
        <f>SQRT(($R476-Infrastructure!J$3)^2+($S476-Infrastructure!K$3)^2)</f>
        <v>25.09541791</v>
      </c>
      <c r="AW476" s="331">
        <f>SQRT(($R476-Infrastructure!J$4)^2+($S476-Infrastructure!K$4)^2)</f>
        <v>31.47268657</v>
      </c>
      <c r="AX476" s="331">
        <f>SQRT(($R476-Infrastructure!J$5)^2+($S476-Infrastructure!K$5)^2)</f>
        <v>41.29818398</v>
      </c>
      <c r="AY476" s="331">
        <f>SQRT(($R476-Infrastructure!J$6)^2+($S476-Infrastructure!K$6)^2)</f>
        <v>41.17984944</v>
      </c>
      <c r="AZ476" s="331">
        <f>SQRT(($R476-Infrastructure!J$7)^2+($S476-Infrastructure!K$7)^2)</f>
        <v>39.34590195</v>
      </c>
      <c r="BA476" s="331">
        <f>SQRT(($R476-Infrastructure!J$8)^2+($S476-Infrastructure!K$8)^2)</f>
        <v>40.04722213</v>
      </c>
      <c r="BB476" s="331">
        <f>SQRT(($R476-Infrastructure!J$9)^2+($S476-Infrastructure!K$9)^2)</f>
        <v>38.72996256</v>
      </c>
      <c r="BC476" s="331">
        <f>SQRT(($R476-Infrastructure!J$10)^2+($S476-Infrastructure!K$10)^2)</f>
        <v>30.24764454</v>
      </c>
      <c r="BD476" s="318"/>
      <c r="BE476" s="332"/>
      <c r="BF476" s="330">
        <f t="shared" si="14"/>
        <v>25.09541791</v>
      </c>
      <c r="BG476" s="333">
        <f t="shared" si="15"/>
        <v>41.29818398</v>
      </c>
      <c r="BH476" s="613"/>
      <c r="BI476" s="316"/>
      <c r="BJ476" s="318"/>
      <c r="BK476" s="319"/>
      <c r="BL476" s="318"/>
      <c r="BM476" s="319"/>
      <c r="BN476" s="318"/>
      <c r="BO476" s="318"/>
      <c r="BP476" s="319"/>
      <c r="BQ476" s="338"/>
      <c r="BR476" s="420"/>
      <c r="BS476" s="330">
        <f t="shared" si="23"/>
        <v>0</v>
      </c>
      <c r="BT476" s="331">
        <f t="shared" si="24"/>
        <v>0</v>
      </c>
      <c r="BU476" s="331"/>
      <c r="BV476" s="333"/>
      <c r="BW476" s="614"/>
      <c r="BX476" s="615"/>
      <c r="BY476" s="331"/>
      <c r="BZ476" s="340"/>
      <c r="CA476" s="316"/>
      <c r="CB476" s="318"/>
      <c r="CC476" s="318"/>
      <c r="CD476" s="318"/>
      <c r="CE476" s="318"/>
      <c r="CF476" s="318"/>
      <c r="CG476" s="318"/>
      <c r="CH476" s="318"/>
      <c r="CI476" s="338"/>
      <c r="CJ476" s="341"/>
      <c r="CK476" s="342">
        <f t="shared" si="18"/>
        <v>0</v>
      </c>
      <c r="CL476" s="333">
        <f t="shared" si="19"/>
        <v>0</v>
      </c>
      <c r="CM476" s="616"/>
      <c r="CN476" s="617"/>
      <c r="CO476" s="617"/>
      <c r="CP476" s="617"/>
    </row>
    <row r="477">
      <c r="B477" s="462"/>
      <c r="C477" s="596">
        <v>44104.0</v>
      </c>
      <c r="D477" s="597" t="s">
        <v>986</v>
      </c>
      <c r="E477" s="598">
        <v>10.0</v>
      </c>
      <c r="F477" s="599" t="str">
        <f t="shared" si="21"/>
        <v>2020/30-10</v>
      </c>
      <c r="G477" s="657">
        <v>0.44687499999999997</v>
      </c>
      <c r="H477" s="322">
        <v>0.44687499999999997</v>
      </c>
      <c r="I477" s="322"/>
      <c r="J477" s="322"/>
      <c r="K477" s="601">
        <v>0.4732638888888889</v>
      </c>
      <c r="L477" s="322">
        <f t="shared" si="22"/>
        <v>0.02638888889</v>
      </c>
      <c r="M477" s="603" t="s">
        <v>166</v>
      </c>
      <c r="N477" s="604" t="s">
        <v>187</v>
      </c>
      <c r="O477" s="623" t="s">
        <v>204</v>
      </c>
      <c r="P477" s="603" t="s">
        <v>214</v>
      </c>
      <c r="Q477" s="603"/>
      <c r="R477" s="606">
        <v>18.6</v>
      </c>
      <c r="S477" s="620">
        <v>3.9</v>
      </c>
      <c r="T477" s="618">
        <v>2.5</v>
      </c>
      <c r="U477" s="609">
        <v>0.05</v>
      </c>
      <c r="V477" s="609"/>
      <c r="W477" s="609"/>
      <c r="X477" s="609"/>
      <c r="Y477" s="609"/>
      <c r="Z477" s="603" t="s">
        <v>1222</v>
      </c>
      <c r="AA477" s="603"/>
      <c r="AB477" s="603" t="s">
        <v>371</v>
      </c>
      <c r="AC477" s="621">
        <v>1.8</v>
      </c>
      <c r="AD477" s="603"/>
      <c r="AE477" s="603"/>
      <c r="AF477" s="603"/>
      <c r="AG477" s="603"/>
      <c r="AH477" s="603"/>
      <c r="AI477" s="603"/>
      <c r="AJ477" s="621"/>
      <c r="AK477" s="622"/>
      <c r="AL477" s="603"/>
      <c r="AM477" s="603"/>
      <c r="AN477" s="603"/>
      <c r="AO477" s="603"/>
      <c r="AP477" s="603"/>
      <c r="AQ477" s="603"/>
      <c r="AR477" s="603"/>
      <c r="AS477" s="621"/>
      <c r="AT477" s="461" t="s">
        <v>181</v>
      </c>
      <c r="AU477" s="324" t="s">
        <v>845</v>
      </c>
      <c r="AV477" s="330">
        <f>SQRT(($R477-Infrastructure!J$3)^2+($S477-Infrastructure!K$3)^2)</f>
        <v>31.34022974</v>
      </c>
      <c r="AW477" s="331">
        <f>SQRT(($R477-Infrastructure!J$4)^2+($S477-Infrastructure!K$4)^2)</f>
        <v>23.46103152</v>
      </c>
      <c r="AX477" s="331">
        <f>SQRT(($R477-Infrastructure!J$5)^2+($S477-Infrastructure!K$5)^2)</f>
        <v>18.93805692</v>
      </c>
      <c r="AY477" s="331">
        <f>SQRT(($R477-Infrastructure!J$6)^2+($S477-Infrastructure!K$6)^2)</f>
        <v>9.230926281</v>
      </c>
      <c r="AZ477" s="331">
        <f>SQRT(($R477-Infrastructure!J$7)^2+($S477-Infrastructure!K$7)^2)</f>
        <v>4.070626487</v>
      </c>
      <c r="BA477" s="331">
        <f>SQRT(($R477-Infrastructure!J$8)^2+($S477-Infrastructure!K$8)^2)</f>
        <v>12.0503112</v>
      </c>
      <c r="BB477" s="331">
        <f>SQRT(($R477-Infrastructure!J$9)^2+($S477-Infrastructure!K$9)^2)</f>
        <v>21.43361845</v>
      </c>
      <c r="BC477" s="331">
        <f>SQRT(($R477-Infrastructure!J$10)^2+($S477-Infrastructure!K$10)^2)</f>
        <v>24.10746772</v>
      </c>
      <c r="BD477" s="318"/>
      <c r="BE477" s="332"/>
      <c r="BF477" s="330">
        <f t="shared" si="14"/>
        <v>4.070626487</v>
      </c>
      <c r="BG477" s="333">
        <f t="shared" si="15"/>
        <v>31.34022974</v>
      </c>
      <c r="BH477" s="613"/>
      <c r="BI477" s="316"/>
      <c r="BJ477" s="318"/>
      <c r="BK477" s="319"/>
      <c r="BL477" s="318"/>
      <c r="BM477" s="319"/>
      <c r="BN477" s="318"/>
      <c r="BO477" s="318"/>
      <c r="BP477" s="319"/>
      <c r="BQ477" s="338"/>
      <c r="BR477" s="420"/>
      <c r="BS477" s="330">
        <f t="shared" si="23"/>
        <v>0</v>
      </c>
      <c r="BT477" s="331">
        <f t="shared" si="24"/>
        <v>0</v>
      </c>
      <c r="BU477" s="331"/>
      <c r="BV477" s="333"/>
      <c r="BW477" s="614"/>
      <c r="BX477" s="615"/>
      <c r="BY477" s="331"/>
      <c r="BZ477" s="340"/>
      <c r="CA477" s="316"/>
      <c r="CB477" s="318"/>
      <c r="CC477" s="318"/>
      <c r="CD477" s="318"/>
      <c r="CE477" s="318"/>
      <c r="CF477" s="318"/>
      <c r="CG477" s="318"/>
      <c r="CH477" s="318"/>
      <c r="CI477" s="338"/>
      <c r="CJ477" s="341"/>
      <c r="CK477" s="342">
        <f t="shared" si="18"/>
        <v>0</v>
      </c>
      <c r="CL477" s="333">
        <f t="shared" si="19"/>
        <v>0</v>
      </c>
      <c r="CM477" s="616"/>
      <c r="CN477" s="617"/>
      <c r="CO477" s="617"/>
      <c r="CP477" s="617"/>
    </row>
    <row r="478">
      <c r="B478" s="462"/>
      <c r="C478" s="596">
        <v>44104.0</v>
      </c>
      <c r="D478" s="597" t="s">
        <v>986</v>
      </c>
      <c r="E478" s="598">
        <v>11.0</v>
      </c>
      <c r="F478" s="619" t="str">
        <f t="shared" si="21"/>
        <v>2020/30-11</v>
      </c>
      <c r="G478" s="657">
        <v>0.48090277777777773</v>
      </c>
      <c r="H478" s="322">
        <v>0.48090277777777773</v>
      </c>
      <c r="I478" s="322"/>
      <c r="J478" s="322"/>
      <c r="K478" s="322">
        <v>0.5111111111111112</v>
      </c>
      <c r="L478" s="322">
        <f t="shared" si="22"/>
        <v>0.03020833333</v>
      </c>
      <c r="M478" s="630" t="s">
        <v>166</v>
      </c>
      <c r="N478" s="324" t="s">
        <v>187</v>
      </c>
      <c r="O478" s="419" t="s">
        <v>198</v>
      </c>
      <c r="P478" s="319" t="s">
        <v>218</v>
      </c>
      <c r="Q478" s="630"/>
      <c r="R478" s="631">
        <v>10.3</v>
      </c>
      <c r="S478" s="632">
        <v>7.9</v>
      </c>
      <c r="T478" s="633">
        <v>3.0</v>
      </c>
      <c r="U478" s="609">
        <v>0.08</v>
      </c>
      <c r="V478" s="609"/>
      <c r="W478" s="609"/>
      <c r="X478" s="609"/>
      <c r="Y478" s="609"/>
      <c r="Z478" s="610" t="s">
        <v>1222</v>
      </c>
      <c r="AA478" s="610"/>
      <c r="AB478" s="610" t="s">
        <v>371</v>
      </c>
      <c r="AC478" s="611">
        <v>1.8</v>
      </c>
      <c r="AD478" s="610"/>
      <c r="AE478" s="610"/>
      <c r="AF478" s="610"/>
      <c r="AG478" s="610"/>
      <c r="AH478" s="610"/>
      <c r="AI478" s="610"/>
      <c r="AJ478" s="611"/>
      <c r="AK478" s="612"/>
      <c r="AL478" s="610"/>
      <c r="AM478" s="610"/>
      <c r="AN478" s="610"/>
      <c r="AO478" s="610"/>
      <c r="AP478" s="610"/>
      <c r="AQ478" s="610"/>
      <c r="AR478" s="610"/>
      <c r="AS478" s="611"/>
      <c r="AT478" s="461" t="s">
        <v>181</v>
      </c>
      <c r="AU478" s="324" t="s">
        <v>845</v>
      </c>
      <c r="AV478" s="330">
        <f>SQRT(($R478-Infrastructure!J$3)^2+($S478-Infrastructure!K$3)^2)</f>
        <v>23.52360517</v>
      </c>
      <c r="AW478" s="331">
        <f>SQRT(($R478-Infrastructure!J$4)^2+($S478-Infrastructure!K$4)^2)</f>
        <v>14.50413734</v>
      </c>
      <c r="AX478" s="331">
        <f>SQRT(($R478-Infrastructure!J$5)^2+($S478-Infrastructure!K$5)^2)</f>
        <v>10.96357606</v>
      </c>
      <c r="AY478" s="331">
        <f>SQRT(($R478-Infrastructure!J$6)^2+($S478-Infrastructure!K$6)^2)</f>
        <v>7.602631123</v>
      </c>
      <c r="AZ478" s="331">
        <f>SQRT(($R478-Infrastructure!J$7)^2+($S478-Infrastructure!K$7)^2)</f>
        <v>12.72006289</v>
      </c>
      <c r="BA478" s="331">
        <f>SQRT(($R478-Infrastructure!J$8)^2+($S478-Infrastructure!K$8)^2)</f>
        <v>21.20848887</v>
      </c>
      <c r="BB478" s="331">
        <f>SQRT(($R478-Infrastructure!J$9)^2+($S478-Infrastructure!K$9)^2)</f>
        <v>29.83169455</v>
      </c>
      <c r="BC478" s="331">
        <f>SQRT(($R478-Infrastructure!J$10)^2+($S478-Infrastructure!K$10)^2)</f>
        <v>30.53686297</v>
      </c>
      <c r="BD478" s="318"/>
      <c r="BE478" s="332"/>
      <c r="BF478" s="330">
        <f t="shared" si="14"/>
        <v>7.602631123</v>
      </c>
      <c r="BG478" s="333">
        <f t="shared" si="15"/>
        <v>30.53686297</v>
      </c>
      <c r="BH478" s="613"/>
      <c r="BI478" s="316"/>
      <c r="BJ478" s="318"/>
      <c r="BK478" s="319"/>
      <c r="BL478" s="318"/>
      <c r="BM478" s="319"/>
      <c r="BN478" s="318"/>
      <c r="BO478" s="318"/>
      <c r="BP478" s="319"/>
      <c r="BQ478" s="338"/>
      <c r="BR478" s="420"/>
      <c r="BS478" s="330">
        <f t="shared" si="23"/>
        <v>0</v>
      </c>
      <c r="BT478" s="331">
        <f t="shared" si="24"/>
        <v>0</v>
      </c>
      <c r="BU478" s="331"/>
      <c r="BV478" s="333"/>
      <c r="BW478" s="614"/>
      <c r="BX478" s="615"/>
      <c r="BY478" s="331"/>
      <c r="BZ478" s="340"/>
      <c r="CA478" s="316"/>
      <c r="CB478" s="318"/>
      <c r="CC478" s="318"/>
      <c r="CD478" s="318"/>
      <c r="CE478" s="318"/>
      <c r="CF478" s="318"/>
      <c r="CG478" s="318"/>
      <c r="CH478" s="318"/>
      <c r="CI478" s="338"/>
      <c r="CJ478" s="341"/>
      <c r="CK478" s="342">
        <f t="shared" si="18"/>
        <v>0</v>
      </c>
      <c r="CL478" s="333">
        <f t="shared" si="19"/>
        <v>0</v>
      </c>
      <c r="CM478" s="616"/>
      <c r="CN478" s="617"/>
      <c r="CO478" s="617"/>
      <c r="CP478" s="617"/>
    </row>
    <row r="479">
      <c r="B479" s="462"/>
      <c r="C479" s="596">
        <v>44104.0</v>
      </c>
      <c r="D479" s="597" t="s">
        <v>986</v>
      </c>
      <c r="E479" s="598">
        <v>12.0</v>
      </c>
      <c r="F479" s="619" t="str">
        <f t="shared" si="21"/>
        <v>2020/30-12</v>
      </c>
      <c r="G479" s="657">
        <v>0.5958333333333333</v>
      </c>
      <c r="H479" s="322">
        <v>0.5958333333333333</v>
      </c>
      <c r="I479" s="322"/>
      <c r="J479" s="322"/>
      <c r="K479" s="322">
        <v>0.6243055555555556</v>
      </c>
      <c r="L479" s="322">
        <f t="shared" si="22"/>
        <v>0.02847222222</v>
      </c>
      <c r="M479" s="630" t="s">
        <v>166</v>
      </c>
      <c r="N479" s="324" t="s">
        <v>187</v>
      </c>
      <c r="O479" s="419" t="s">
        <v>202</v>
      </c>
      <c r="P479" s="630" t="s">
        <v>255</v>
      </c>
      <c r="Q479" s="630"/>
      <c r="R479" s="631">
        <v>24.4</v>
      </c>
      <c r="S479" s="632">
        <v>9.7</v>
      </c>
      <c r="T479" s="633">
        <v>0.6</v>
      </c>
      <c r="U479" s="609">
        <v>0.15</v>
      </c>
      <c r="V479" s="609"/>
      <c r="W479" s="609"/>
      <c r="X479" s="609"/>
      <c r="Y479" s="609"/>
      <c r="Z479" s="610" t="s">
        <v>335</v>
      </c>
      <c r="AA479" s="610"/>
      <c r="AB479" s="610"/>
      <c r="AC479" s="611">
        <v>10.0</v>
      </c>
      <c r="AD479" s="610"/>
      <c r="AE479" s="610"/>
      <c r="AF479" s="610"/>
      <c r="AG479" s="610"/>
      <c r="AH479" s="610"/>
      <c r="AI479" s="610"/>
      <c r="AJ479" s="611"/>
      <c r="AK479" s="612"/>
      <c r="AL479" s="610"/>
      <c r="AM479" s="610"/>
      <c r="AN479" s="610"/>
      <c r="AO479" s="610"/>
      <c r="AP479" s="610"/>
      <c r="AQ479" s="610"/>
      <c r="AR479" s="610"/>
      <c r="AS479" s="611"/>
      <c r="AT479" s="461" t="s">
        <v>181</v>
      </c>
      <c r="AU479" s="324" t="s">
        <v>846</v>
      </c>
      <c r="AV479" s="330">
        <f>SQRT(($R479-Infrastructure!J$3)^2+($S479-Infrastructure!K$3)^2)</f>
        <v>31.28466078</v>
      </c>
      <c r="AW479" s="331">
        <f>SQRT(($R479-Infrastructure!J$4)^2+($S479-Infrastructure!K$4)^2)</f>
        <v>25.99423013</v>
      </c>
      <c r="AX479" s="331">
        <f>SQRT(($R479-Infrastructure!J$5)^2+($S479-Infrastructure!K$5)^2)</f>
        <v>25.12468905</v>
      </c>
      <c r="AY479" s="331">
        <f>SQRT(($R479-Infrastructure!J$6)^2+($S479-Infrastructure!K$6)^2)</f>
        <v>17.11286066</v>
      </c>
      <c r="AZ479" s="331">
        <f>SQRT(($R479-Infrastructure!J$7)^2+($S479-Infrastructure!K$7)^2)</f>
        <v>10.17693471</v>
      </c>
      <c r="BA479" s="331">
        <f>SQRT(($R479-Infrastructure!J$8)^2+($S479-Infrastructure!K$8)^2)</f>
        <v>10.9931797</v>
      </c>
      <c r="BB479" s="331">
        <f>SQRT(($R479-Infrastructure!J$9)^2+($S479-Infrastructure!K$9)^2)</f>
        <v>16.26407083</v>
      </c>
      <c r="BC479" s="331">
        <f>SQRT(($R479-Infrastructure!J$10)^2+($S479-Infrastructure!K$10)^2)</f>
        <v>16.47573974</v>
      </c>
      <c r="BD479" s="318"/>
      <c r="BE479" s="332"/>
      <c r="BF479" s="330">
        <f t="shared" si="14"/>
        <v>10.17693471</v>
      </c>
      <c r="BG479" s="333">
        <f t="shared" si="15"/>
        <v>31.28466078</v>
      </c>
      <c r="BH479" s="613"/>
      <c r="BI479" s="316"/>
      <c r="BJ479" s="318"/>
      <c r="BK479" s="319"/>
      <c r="BL479" s="318"/>
      <c r="BM479" s="319"/>
      <c r="BN479" s="318"/>
      <c r="BO479" s="318"/>
      <c r="BP479" s="319"/>
      <c r="BQ479" s="338"/>
      <c r="BR479" s="420"/>
      <c r="BS479" s="330">
        <f t="shared" si="23"/>
        <v>0</v>
      </c>
      <c r="BT479" s="331">
        <f t="shared" si="24"/>
        <v>0</v>
      </c>
      <c r="BU479" s="331"/>
      <c r="BV479" s="333"/>
      <c r="BW479" s="614"/>
      <c r="BX479" s="615"/>
      <c r="BY479" s="331"/>
      <c r="BZ479" s="340"/>
      <c r="CA479" s="316"/>
      <c r="CB479" s="318"/>
      <c r="CC479" s="318"/>
      <c r="CD479" s="318"/>
      <c r="CE479" s="318"/>
      <c r="CF479" s="318"/>
      <c r="CG479" s="318"/>
      <c r="CH479" s="318"/>
      <c r="CI479" s="338"/>
      <c r="CJ479" s="341"/>
      <c r="CK479" s="342">
        <f t="shared" si="18"/>
        <v>0</v>
      </c>
      <c r="CL479" s="333">
        <f t="shared" si="19"/>
        <v>0</v>
      </c>
      <c r="CM479" s="616"/>
      <c r="CN479" s="617"/>
      <c r="CO479" s="617"/>
      <c r="CP479" s="617"/>
    </row>
    <row r="480">
      <c r="B480" s="462"/>
      <c r="C480" s="596">
        <v>44104.0</v>
      </c>
      <c r="D480" s="597" t="s">
        <v>986</v>
      </c>
      <c r="E480" s="598">
        <v>12.0</v>
      </c>
      <c r="F480" s="619" t="str">
        <f t="shared" si="21"/>
        <v>2020/30-12</v>
      </c>
      <c r="G480" s="657">
        <v>0.5958333333333333</v>
      </c>
      <c r="H480" s="322">
        <v>0.5958333333333333</v>
      </c>
      <c r="I480" s="322"/>
      <c r="J480" s="322"/>
      <c r="K480" s="322">
        <v>0.6243055555555556</v>
      </c>
      <c r="L480" s="322">
        <f t="shared" si="22"/>
        <v>0.02847222222</v>
      </c>
      <c r="M480" s="630" t="s">
        <v>171</v>
      </c>
      <c r="N480" s="324" t="s">
        <v>187</v>
      </c>
      <c r="O480" s="419" t="s">
        <v>206</v>
      </c>
      <c r="P480" s="319" t="s">
        <v>218</v>
      </c>
      <c r="Q480" s="630"/>
      <c r="R480" s="631">
        <v>21.2</v>
      </c>
      <c r="S480" s="632">
        <v>8.7</v>
      </c>
      <c r="T480" s="633">
        <v>2.4</v>
      </c>
      <c r="U480" s="625">
        <v>0.0124</v>
      </c>
      <c r="V480" s="625"/>
      <c r="W480" s="625"/>
      <c r="X480" s="625"/>
      <c r="Y480" s="625"/>
      <c r="Z480" s="603" t="s">
        <v>1222</v>
      </c>
      <c r="AA480" s="603"/>
      <c r="AB480" s="603" t="s">
        <v>371</v>
      </c>
      <c r="AC480" s="621">
        <v>1.8</v>
      </c>
      <c r="AD480" s="603"/>
      <c r="AE480" s="603"/>
      <c r="AF480" s="603"/>
      <c r="AG480" s="603"/>
      <c r="AH480" s="603"/>
      <c r="AI480" s="603"/>
      <c r="AJ480" s="621"/>
      <c r="AK480" s="622"/>
      <c r="AL480" s="603"/>
      <c r="AM480" s="603"/>
      <c r="AN480" s="603"/>
      <c r="AO480" s="603"/>
      <c r="AP480" s="603"/>
      <c r="AQ480" s="603"/>
      <c r="AR480" s="603"/>
      <c r="AS480" s="621"/>
      <c r="AT480" s="461" t="s">
        <v>181</v>
      </c>
      <c r="AU480" s="324" t="s">
        <v>846</v>
      </c>
      <c r="AV480" s="330">
        <f>SQRT(($R480-Infrastructure!J$3)^2+($S480-Infrastructure!K$3)^2)</f>
        <v>29.50067796</v>
      </c>
      <c r="AW480" s="331">
        <f>SQRT(($R480-Infrastructure!J$4)^2+($S480-Infrastructure!K$4)^2)</f>
        <v>23.34652008</v>
      </c>
      <c r="AX480" s="331">
        <f>SQRT(($R480-Infrastructure!J$5)^2+($S480-Infrastructure!K$5)^2)</f>
        <v>21.79931192</v>
      </c>
      <c r="AY480" s="331">
        <f>SQRT(($R480-Infrastructure!J$6)^2+($S480-Infrastructure!K$6)^2)</f>
        <v>13.92012931</v>
      </c>
      <c r="AZ480" s="331">
        <f>SQRT(($R480-Infrastructure!J$7)^2+($S480-Infrastructure!K$7)^2)</f>
        <v>8.429116205</v>
      </c>
      <c r="BA480" s="331">
        <f>SQRT(($R480-Infrastructure!J$8)^2+($S480-Infrastructure!K$8)^2)</f>
        <v>12.2380554</v>
      </c>
      <c r="BB480" s="331">
        <f>SQRT(($R480-Infrastructure!J$9)^2+($S480-Infrastructure!K$9)^2)</f>
        <v>19.14157778</v>
      </c>
      <c r="BC480" s="331">
        <f>SQRT(($R480-Infrastructure!J$10)^2+($S480-Infrastructure!K$10)^2)</f>
        <v>19.82750615</v>
      </c>
      <c r="BD480" s="318"/>
      <c r="BE480" s="332"/>
      <c r="BF480" s="330">
        <f t="shared" si="14"/>
        <v>8.429116205</v>
      </c>
      <c r="BG480" s="333">
        <f t="shared" si="15"/>
        <v>29.50067796</v>
      </c>
      <c r="BH480" s="613"/>
      <c r="BI480" s="316"/>
      <c r="BJ480" s="318"/>
      <c r="BK480" s="319"/>
      <c r="BL480" s="318"/>
      <c r="BM480" s="319"/>
      <c r="BN480" s="318"/>
      <c r="BO480" s="318"/>
      <c r="BP480" s="319"/>
      <c r="BQ480" s="338"/>
      <c r="BR480" s="420"/>
      <c r="BS480" s="330">
        <f t="shared" si="23"/>
        <v>0</v>
      </c>
      <c r="BT480" s="331">
        <f t="shared" si="24"/>
        <v>0</v>
      </c>
      <c r="BU480" s="331"/>
      <c r="BV480" s="333"/>
      <c r="BW480" s="614"/>
      <c r="BX480" s="615"/>
      <c r="BY480" s="331"/>
      <c r="BZ480" s="340"/>
      <c r="CA480" s="316"/>
      <c r="CB480" s="318"/>
      <c r="CC480" s="318"/>
      <c r="CD480" s="318"/>
      <c r="CE480" s="318"/>
      <c r="CF480" s="318"/>
      <c r="CG480" s="318"/>
      <c r="CH480" s="318"/>
      <c r="CI480" s="338"/>
      <c r="CJ480" s="341"/>
      <c r="CK480" s="342">
        <f t="shared" si="18"/>
        <v>0</v>
      </c>
      <c r="CL480" s="333">
        <f t="shared" si="19"/>
        <v>0</v>
      </c>
      <c r="CM480" s="616"/>
      <c r="CN480" s="617"/>
      <c r="CO480" s="617"/>
      <c r="CP480" s="617"/>
    </row>
    <row r="481">
      <c r="B481" s="462"/>
      <c r="C481" s="596">
        <v>44104.0</v>
      </c>
      <c r="D481" s="597" t="s">
        <v>986</v>
      </c>
      <c r="E481" s="598">
        <v>13.0</v>
      </c>
      <c r="F481" s="599" t="str">
        <f t="shared" si="21"/>
        <v>2020/30-13</v>
      </c>
      <c r="G481" s="657">
        <v>0.6371527777777778</v>
      </c>
      <c r="H481" s="322">
        <v>0.6371527777777778</v>
      </c>
      <c r="I481" s="322"/>
      <c r="J481" s="322"/>
      <c r="K481" s="322">
        <v>0.6621527777777778</v>
      </c>
      <c r="L481" s="322">
        <f t="shared" si="22"/>
        <v>0.025</v>
      </c>
      <c r="M481" s="603" t="s">
        <v>166</v>
      </c>
      <c r="N481" s="604" t="s">
        <v>187</v>
      </c>
      <c r="O481" s="623" t="s">
        <v>205</v>
      </c>
      <c r="P481" s="605" t="s">
        <v>222</v>
      </c>
      <c r="Q481" s="603"/>
      <c r="R481" s="606">
        <v>20.1</v>
      </c>
      <c r="S481" s="620">
        <v>5.3</v>
      </c>
      <c r="T481" s="618">
        <v>1.3</v>
      </c>
      <c r="U481" s="609">
        <v>3.0</v>
      </c>
      <c r="V481" s="609"/>
      <c r="W481" s="609"/>
      <c r="X481" s="609"/>
      <c r="Y481" s="609"/>
      <c r="Z481" s="610" t="s">
        <v>370</v>
      </c>
      <c r="AA481" s="610"/>
      <c r="AB481" s="610" t="s">
        <v>384</v>
      </c>
      <c r="AC481" s="611">
        <v>6.0</v>
      </c>
      <c r="AD481" s="610"/>
      <c r="AE481" s="610"/>
      <c r="AF481" s="610"/>
      <c r="AG481" s="610"/>
      <c r="AH481" s="610"/>
      <c r="AI481" s="610"/>
      <c r="AJ481" s="611"/>
      <c r="AK481" s="612"/>
      <c r="AL481" s="610"/>
      <c r="AM481" s="610"/>
      <c r="AN481" s="610"/>
      <c r="AO481" s="610"/>
      <c r="AP481" s="610"/>
      <c r="AQ481" s="610"/>
      <c r="AR481" s="610"/>
      <c r="AS481" s="611"/>
      <c r="AT481" s="461" t="s">
        <v>182</v>
      </c>
      <c r="AU481" s="324" t="s">
        <v>845</v>
      </c>
      <c r="AV481" s="330">
        <f>SQRT(($R481-Infrastructure!J$3)^2+($S481-Infrastructure!K$3)^2)</f>
        <v>31.19487137</v>
      </c>
      <c r="AW481" s="331">
        <f>SQRT(($R481-Infrastructure!J$4)^2+($S481-Infrastructure!K$4)^2)</f>
        <v>23.92509143</v>
      </c>
      <c r="AX481" s="331">
        <f>SQRT(($R481-Infrastructure!J$5)^2+($S481-Infrastructure!K$5)^2)</f>
        <v>20.40098037</v>
      </c>
      <c r="AY481" s="331">
        <f>SQRT(($R481-Infrastructure!J$6)^2+($S481-Infrastructure!K$6)^2)</f>
        <v>11.18033989</v>
      </c>
      <c r="AZ481" s="331">
        <f>SQRT(($R481-Infrastructure!J$7)^2+($S481-Infrastructure!K$7)^2)</f>
        <v>5.015974482</v>
      </c>
      <c r="BA481" s="331">
        <f>SQRT(($R481-Infrastructure!J$8)^2+($S481-Infrastructure!K$8)^2)</f>
        <v>11.18033989</v>
      </c>
      <c r="BB481" s="331">
        <f>SQRT(($R481-Infrastructure!J$9)^2+($S481-Infrastructure!K$9)^2)</f>
        <v>19.901005</v>
      </c>
      <c r="BC481" s="331">
        <f>SQRT(($R481-Infrastructure!J$10)^2+($S481-Infrastructure!K$10)^2)</f>
        <v>22.13820228</v>
      </c>
      <c r="BD481" s="318"/>
      <c r="BE481" s="332"/>
      <c r="BF481" s="330">
        <f t="shared" si="14"/>
        <v>5.015974482</v>
      </c>
      <c r="BG481" s="333">
        <f t="shared" si="15"/>
        <v>31.19487137</v>
      </c>
      <c r="BH481" s="613"/>
      <c r="BI481" s="316"/>
      <c r="BJ481" s="318"/>
      <c r="BK481" s="319"/>
      <c r="BL481" s="318"/>
      <c r="BM481" s="319"/>
      <c r="BN481" s="318"/>
      <c r="BO481" s="318"/>
      <c r="BP481" s="319"/>
      <c r="BQ481" s="338"/>
      <c r="BR481" s="420"/>
      <c r="BS481" s="330">
        <f t="shared" si="23"/>
        <v>0</v>
      </c>
      <c r="BT481" s="331">
        <f t="shared" si="24"/>
        <v>0</v>
      </c>
      <c r="BU481" s="331"/>
      <c r="BV481" s="333"/>
      <c r="BW481" s="614"/>
      <c r="BX481" s="615"/>
      <c r="BY481" s="331"/>
      <c r="BZ481" s="340"/>
      <c r="CA481" s="316"/>
      <c r="CB481" s="318"/>
      <c r="CC481" s="318"/>
      <c r="CD481" s="318"/>
      <c r="CE481" s="318"/>
      <c r="CF481" s="318"/>
      <c r="CG481" s="318"/>
      <c r="CH481" s="318"/>
      <c r="CI481" s="338"/>
      <c r="CJ481" s="341"/>
      <c r="CK481" s="342">
        <f t="shared" si="18"/>
        <v>0</v>
      </c>
      <c r="CL481" s="333">
        <f t="shared" si="19"/>
        <v>0</v>
      </c>
      <c r="CM481" s="616"/>
      <c r="CN481" s="617"/>
      <c r="CO481" s="617"/>
      <c r="CP481" s="617"/>
    </row>
    <row r="482">
      <c r="B482" s="462"/>
      <c r="C482" s="596">
        <v>44104.0</v>
      </c>
      <c r="D482" s="597" t="s">
        <v>986</v>
      </c>
      <c r="E482" s="598">
        <v>14.0</v>
      </c>
      <c r="F482" s="658" t="str">
        <f t="shared" si="21"/>
        <v>2020/30-14</v>
      </c>
      <c r="G482" s="657">
        <v>0.6687500000000001</v>
      </c>
      <c r="H482" s="322">
        <v>0.6687500000000001</v>
      </c>
      <c r="I482" s="322"/>
      <c r="J482" s="322"/>
      <c r="K482" s="322">
        <v>0.6894097222222223</v>
      </c>
      <c r="L482" s="322">
        <f t="shared" si="22"/>
        <v>0.02065972222</v>
      </c>
      <c r="M482" s="630" t="s">
        <v>166</v>
      </c>
      <c r="N482" s="324" t="s">
        <v>187</v>
      </c>
      <c r="O482" s="419" t="s">
        <v>200</v>
      </c>
      <c r="P482" s="319" t="s">
        <v>212</v>
      </c>
      <c r="Q482" s="630"/>
      <c r="R482" s="631">
        <v>16.3</v>
      </c>
      <c r="S482" s="632">
        <v>6.5</v>
      </c>
      <c r="T482" s="633">
        <v>0.6</v>
      </c>
      <c r="U482" s="609">
        <v>0.6</v>
      </c>
      <c r="V482" s="609"/>
      <c r="W482" s="609"/>
      <c r="X482" s="609"/>
      <c r="Y482" s="609"/>
      <c r="Z482" s="610" t="s">
        <v>335</v>
      </c>
      <c r="AA482" s="610"/>
      <c r="AB482" s="319" t="s">
        <v>329</v>
      </c>
      <c r="AC482" s="611">
        <v>1.5</v>
      </c>
      <c r="AD482" s="610"/>
      <c r="AE482" s="610"/>
      <c r="AF482" s="610"/>
      <c r="AG482" s="610"/>
      <c r="AH482" s="610"/>
      <c r="AI482" s="610"/>
      <c r="AJ482" s="611"/>
      <c r="AK482" s="612"/>
      <c r="AL482" s="610"/>
      <c r="AM482" s="610"/>
      <c r="AN482" s="610"/>
      <c r="AO482" s="610"/>
      <c r="AP482" s="610"/>
      <c r="AQ482" s="610"/>
      <c r="AR482" s="610"/>
      <c r="AS482" s="611"/>
      <c r="AT482" s="461" t="s">
        <v>181</v>
      </c>
      <c r="AU482" s="324" t="s">
        <v>845</v>
      </c>
      <c r="AV482" s="330">
        <f>SQRT(($R482-Infrastructure!J$3)^2+($S482-Infrastructure!K$3)^2)</f>
        <v>27.88045911</v>
      </c>
      <c r="AW482" s="331">
        <f>SQRT(($R482-Infrastructure!J$4)^2+($S482-Infrastructure!K$4)^2)</f>
        <v>20.08108563</v>
      </c>
      <c r="AX482" s="331">
        <f>SQRT(($R482-Infrastructure!J$5)^2+($S482-Infrastructure!K$5)^2)</f>
        <v>16.65893154</v>
      </c>
      <c r="AY482" s="331">
        <f>SQRT(($R482-Infrastructure!J$6)^2+($S482-Infrastructure!K$6)^2)</f>
        <v>8.768124087</v>
      </c>
      <c r="AZ482" s="331">
        <f>SQRT(($R482-Infrastructure!J$7)^2+($S482-Infrastructure!K$7)^2)</f>
        <v>7.488658091</v>
      </c>
      <c r="BA482" s="331">
        <f>SQRT(($R482-Infrastructure!J$8)^2+($S482-Infrastructure!K$8)^2)</f>
        <v>15.12878052</v>
      </c>
      <c r="BB482" s="331">
        <f>SQRT(($R482-Infrastructure!J$9)^2+($S482-Infrastructure!K$9)^2)</f>
        <v>23.7413142</v>
      </c>
      <c r="BC482" s="331">
        <f>SQRT(($R482-Infrastructure!J$10)^2+($S482-Infrastructure!K$10)^2)</f>
        <v>25.17816514</v>
      </c>
      <c r="BD482" s="318"/>
      <c r="BE482" s="332"/>
      <c r="BF482" s="330">
        <f t="shared" si="14"/>
        <v>7.488658091</v>
      </c>
      <c r="BG482" s="333">
        <f t="shared" si="15"/>
        <v>27.88045911</v>
      </c>
      <c r="BH482" s="613"/>
      <c r="BI482" s="316"/>
      <c r="BJ482" s="318"/>
      <c r="BK482" s="319"/>
      <c r="BL482" s="318"/>
      <c r="BM482" s="319"/>
      <c r="BN482" s="318"/>
      <c r="BO482" s="318"/>
      <c r="BP482" s="319"/>
      <c r="BQ482" s="338"/>
      <c r="BR482" s="420"/>
      <c r="BS482" s="330">
        <f t="shared" si="23"/>
        <v>0</v>
      </c>
      <c r="BT482" s="331">
        <f t="shared" si="24"/>
        <v>0</v>
      </c>
      <c r="BU482" s="331"/>
      <c r="BV482" s="333"/>
      <c r="BW482" s="614"/>
      <c r="BX482" s="615"/>
      <c r="BY482" s="331"/>
      <c r="BZ482" s="340"/>
      <c r="CA482" s="316"/>
      <c r="CB482" s="318"/>
      <c r="CC482" s="318"/>
      <c r="CD482" s="318"/>
      <c r="CE482" s="318"/>
      <c r="CF482" s="318"/>
      <c r="CG482" s="318"/>
      <c r="CH482" s="318"/>
      <c r="CI482" s="338"/>
      <c r="CJ482" s="341"/>
      <c r="CK482" s="342">
        <f t="shared" si="18"/>
        <v>0</v>
      </c>
      <c r="CL482" s="333">
        <f t="shared" si="19"/>
        <v>0</v>
      </c>
      <c r="CM482" s="616"/>
      <c r="CN482" s="617"/>
      <c r="CO482" s="617"/>
      <c r="CP482" s="617"/>
    </row>
    <row r="483">
      <c r="B483" s="462"/>
      <c r="C483" s="596">
        <v>44104.0</v>
      </c>
      <c r="D483" s="597" t="s">
        <v>986</v>
      </c>
      <c r="E483" s="598">
        <v>15.0</v>
      </c>
      <c r="F483" s="658" t="str">
        <f t="shared" si="21"/>
        <v>2020/30-15</v>
      </c>
      <c r="G483" s="657">
        <v>0.6949652777777778</v>
      </c>
      <c r="H483" s="322">
        <v>0.6949652777777778</v>
      </c>
      <c r="I483" s="322"/>
      <c r="J483" s="322"/>
      <c r="K483" s="322">
        <v>0.7225694444444444</v>
      </c>
      <c r="L483" s="322">
        <f t="shared" si="22"/>
        <v>0.02760416667</v>
      </c>
      <c r="M483" s="630" t="s">
        <v>166</v>
      </c>
      <c r="N483" s="324" t="s">
        <v>187</v>
      </c>
      <c r="O483" s="419" t="s">
        <v>197</v>
      </c>
      <c r="P483" s="319" t="s">
        <v>220</v>
      </c>
      <c r="Q483" s="630"/>
      <c r="R483" s="631">
        <v>37.1</v>
      </c>
      <c r="S483" s="632">
        <v>7.0</v>
      </c>
      <c r="T483" s="633">
        <v>7.0</v>
      </c>
      <c r="U483" s="609">
        <v>1.5</v>
      </c>
      <c r="V483" s="609"/>
      <c r="W483" s="609"/>
      <c r="X483" s="609"/>
      <c r="Y483" s="609"/>
      <c r="Z483" s="610" t="s">
        <v>379</v>
      </c>
      <c r="AA483" s="610"/>
      <c r="AB483" s="610" t="s">
        <v>384</v>
      </c>
      <c r="AC483" s="611">
        <v>6.0</v>
      </c>
      <c r="AD483" s="610"/>
      <c r="AE483" s="610"/>
      <c r="AF483" s="610"/>
      <c r="AG483" s="610"/>
      <c r="AH483" s="610"/>
      <c r="AI483" s="610"/>
      <c r="AJ483" s="611"/>
      <c r="AK483" s="612"/>
      <c r="AL483" s="610"/>
      <c r="AM483" s="610"/>
      <c r="AN483" s="610"/>
      <c r="AO483" s="610"/>
      <c r="AP483" s="610"/>
      <c r="AQ483" s="610"/>
      <c r="AR483" s="610"/>
      <c r="AS483" s="611"/>
      <c r="AT483" s="461" t="s">
        <v>182</v>
      </c>
      <c r="AU483" s="324" t="s">
        <v>846</v>
      </c>
      <c r="AV483" s="330">
        <f>SQRT(($R483-Infrastructure!J$3)^2+($S483-Infrastructure!K$3)^2)</f>
        <v>43.34016613</v>
      </c>
      <c r="AW483" s="331">
        <f>SQRT(($R483-Infrastructure!J$4)^2+($S483-Infrastructure!K$4)^2)</f>
        <v>38.92813892</v>
      </c>
      <c r="AX483" s="331">
        <f>SQRT(($R483-Infrastructure!J$5)^2+($S483-Infrastructure!K$5)^2)</f>
        <v>37.44823093</v>
      </c>
      <c r="AY483" s="331">
        <f>SQRT(($R483-Infrastructure!J$6)^2+($S483-Infrastructure!K$6)^2)</f>
        <v>27.81887848</v>
      </c>
      <c r="AZ483" s="331">
        <f>SQRT(($R483-Infrastructure!J$7)^2+($S483-Infrastructure!K$7)^2)</f>
        <v>17.90111728</v>
      </c>
      <c r="BA483" s="331">
        <f>SQRT(($R483-Infrastructure!J$8)^2+($S483-Infrastructure!K$8)^2)</f>
        <v>9.689685237</v>
      </c>
      <c r="BB483" s="331">
        <f>SQRT(($R483-Infrastructure!J$9)^2+($S483-Infrastructure!K$9)^2)</f>
        <v>3.466987165</v>
      </c>
      <c r="BC483" s="331">
        <f>SQRT(($R483-Infrastructure!J$10)^2+($S483-Infrastructure!K$10)^2)</f>
        <v>8.50940656</v>
      </c>
      <c r="BD483" s="318"/>
      <c r="BE483" s="332"/>
      <c r="BF483" s="330">
        <f t="shared" si="14"/>
        <v>3.466987165</v>
      </c>
      <c r="BG483" s="333">
        <f t="shared" si="15"/>
        <v>43.34016613</v>
      </c>
      <c r="BH483" s="613"/>
      <c r="BI483" s="316"/>
      <c r="BJ483" s="318"/>
      <c r="BK483" s="319" t="s">
        <v>846</v>
      </c>
      <c r="BL483" s="318"/>
      <c r="BM483" s="319" t="s">
        <v>846</v>
      </c>
      <c r="BN483" s="318"/>
      <c r="BO483" s="318"/>
      <c r="BP483" s="319" t="s">
        <v>846</v>
      </c>
      <c r="BQ483" s="338"/>
      <c r="BR483" s="420"/>
      <c r="BS483" s="330">
        <f t="shared" si="23"/>
        <v>8.50940656</v>
      </c>
      <c r="BT483" s="331">
        <f t="shared" si="24"/>
        <v>37.44823093</v>
      </c>
      <c r="BU483" s="331"/>
      <c r="BV483" s="333"/>
      <c r="BW483" s="614">
        <v>19.73</v>
      </c>
      <c r="BX483" s="615">
        <v>11.26</v>
      </c>
      <c r="BY483" s="331">
        <f t="shared" ref="BY483:BY489" si="27">IF(BW483&gt;0, SQRT((R483-BW483)^2+(S483-BX483)^2))</f>
        <v>17.88475608</v>
      </c>
      <c r="BZ483" s="340"/>
      <c r="CA483" s="316"/>
      <c r="CB483" s="318"/>
      <c r="CC483" s="318"/>
      <c r="CD483" s="318"/>
      <c r="CE483" s="318"/>
      <c r="CF483" s="318"/>
      <c r="CG483" s="318"/>
      <c r="CH483" s="318"/>
      <c r="CI483" s="338"/>
      <c r="CJ483" s="341"/>
      <c r="CK483" s="342">
        <f t="shared" si="18"/>
        <v>0</v>
      </c>
      <c r="CL483" s="333">
        <f t="shared" si="19"/>
        <v>0</v>
      </c>
      <c r="CM483" s="616"/>
      <c r="CN483" s="617"/>
      <c r="CO483" s="617"/>
      <c r="CP483" s="617"/>
    </row>
    <row r="484">
      <c r="B484" s="462"/>
      <c r="C484" s="596">
        <v>44104.0</v>
      </c>
      <c r="D484" s="597" t="s">
        <v>986</v>
      </c>
      <c r="E484" s="598">
        <v>15.0</v>
      </c>
      <c r="F484" s="658" t="str">
        <f t="shared" si="21"/>
        <v>2020/30-15</v>
      </c>
      <c r="G484" s="657">
        <v>0.6949652777777778</v>
      </c>
      <c r="H484" s="322">
        <v>0.6949652777777778</v>
      </c>
      <c r="I484" s="322"/>
      <c r="J484" s="322"/>
      <c r="K484" s="322">
        <v>0.7225694444444444</v>
      </c>
      <c r="L484" s="322">
        <f t="shared" si="22"/>
        <v>0.02760416667</v>
      </c>
      <c r="M484" s="630" t="s">
        <v>166</v>
      </c>
      <c r="N484" s="324" t="s">
        <v>187</v>
      </c>
      <c r="O484" s="419" t="s">
        <v>201</v>
      </c>
      <c r="P484" s="319" t="s">
        <v>212</v>
      </c>
      <c r="Q484" s="630"/>
      <c r="R484" s="631"/>
      <c r="S484" s="661"/>
      <c r="T484" s="633"/>
      <c r="U484" s="609">
        <v>1.5</v>
      </c>
      <c r="V484" s="609"/>
      <c r="W484" s="609"/>
      <c r="X484" s="609"/>
      <c r="Y484" s="609"/>
      <c r="Z484" s="610" t="s">
        <v>339</v>
      </c>
      <c r="AA484" s="610"/>
      <c r="AB484" s="319" t="s">
        <v>337</v>
      </c>
      <c r="AC484" s="611">
        <v>2.5</v>
      </c>
      <c r="AD484" s="610"/>
      <c r="AE484" s="610"/>
      <c r="AF484" s="610"/>
      <c r="AG484" s="610"/>
      <c r="AH484" s="610"/>
      <c r="AI484" s="610"/>
      <c r="AJ484" s="611"/>
      <c r="AK484" s="612"/>
      <c r="AL484" s="610"/>
      <c r="AM484" s="610"/>
      <c r="AN484" s="610"/>
      <c r="AO484" s="610"/>
      <c r="AP484" s="610"/>
      <c r="AQ484" s="610"/>
      <c r="AR484" s="610"/>
      <c r="AS484" s="611"/>
      <c r="AT484" s="461" t="s">
        <v>182</v>
      </c>
      <c r="AU484" s="324" t="s">
        <v>846</v>
      </c>
      <c r="AV484" s="330">
        <f>SQRT(($R484-Infrastructure!J$3)^2+($S484-Infrastructure!K$3)^2)</f>
        <v>28.90155705</v>
      </c>
      <c r="AW484" s="331">
        <f>SQRT(($R484-Infrastructure!J$4)^2+($S484-Infrastructure!K$4)^2)</f>
        <v>17.80252791</v>
      </c>
      <c r="AX484" s="331">
        <f>SQRT(($R484-Infrastructure!J$5)^2+($S484-Infrastructure!K$5)^2)</f>
        <v>5.10881591</v>
      </c>
      <c r="AY484" s="331">
        <f>SQRT(($R484-Infrastructure!J$6)^2+($S484-Infrastructure!K$6)^2)</f>
        <v>10.10445446</v>
      </c>
      <c r="AZ484" s="331">
        <f>SQRT(($R484-Infrastructure!J$7)^2+($S484-Infrastructure!K$7)^2)</f>
        <v>20.502195</v>
      </c>
      <c r="BA484" s="331">
        <f>SQRT(($R484-Infrastructure!J$8)^2+($S484-Infrastructure!K$8)^2)</f>
        <v>30.10149498</v>
      </c>
      <c r="BB484" s="331">
        <f>SQRT(($R484-Infrastructure!J$9)^2+($S484-Infrastructure!K$9)^2)</f>
        <v>40.3238143</v>
      </c>
      <c r="BC484" s="331">
        <f>SQRT(($R484-Infrastructure!J$10)^2+($S484-Infrastructure!K$10)^2)</f>
        <v>42.72001873</v>
      </c>
      <c r="BD484" s="318"/>
      <c r="BE484" s="332"/>
      <c r="BF484" s="330">
        <f t="shared" si="14"/>
        <v>5.10881591</v>
      </c>
      <c r="BG484" s="333">
        <f t="shared" si="15"/>
        <v>42.72001873</v>
      </c>
      <c r="BH484" s="613"/>
      <c r="BI484" s="316"/>
      <c r="BJ484" s="318"/>
      <c r="BK484" s="318"/>
      <c r="BL484" s="318"/>
      <c r="BM484" s="318"/>
      <c r="BN484" s="319" t="s">
        <v>846</v>
      </c>
      <c r="BO484" s="318"/>
      <c r="BP484" s="318"/>
      <c r="BQ484" s="338"/>
      <c r="BR484" s="420"/>
      <c r="BS484" s="330">
        <f t="shared" si="23"/>
        <v>30.10149498</v>
      </c>
      <c r="BT484" s="331">
        <f t="shared" si="24"/>
        <v>30.10149498</v>
      </c>
      <c r="BU484" s="331"/>
      <c r="BV484" s="333"/>
      <c r="BW484" s="614">
        <v>20.77</v>
      </c>
      <c r="BX484" s="615">
        <v>6.12</v>
      </c>
      <c r="BY484" s="331">
        <f t="shared" si="27"/>
        <v>21.65288203</v>
      </c>
      <c r="BZ484" s="340"/>
      <c r="CA484" s="316"/>
      <c r="CB484" s="318"/>
      <c r="CC484" s="318"/>
      <c r="CD484" s="318"/>
      <c r="CE484" s="318"/>
      <c r="CF484" s="318"/>
      <c r="CG484" s="318"/>
      <c r="CH484" s="318"/>
      <c r="CI484" s="338"/>
      <c r="CJ484" s="341"/>
      <c r="CK484" s="342">
        <f t="shared" si="18"/>
        <v>0</v>
      </c>
      <c r="CL484" s="333">
        <f t="shared" si="19"/>
        <v>0</v>
      </c>
      <c r="CM484" s="616"/>
      <c r="CN484" s="617"/>
      <c r="CO484" s="617"/>
      <c r="CP484" s="617"/>
    </row>
    <row r="485">
      <c r="B485" s="462"/>
      <c r="C485" s="596">
        <v>44105.0</v>
      </c>
      <c r="D485" s="597" t="s">
        <v>986</v>
      </c>
      <c r="E485" s="598">
        <v>16.0</v>
      </c>
      <c r="F485" s="658" t="str">
        <f t="shared" si="21"/>
        <v>2020/01-16</v>
      </c>
      <c r="G485" s="657">
        <v>0.36284722222222227</v>
      </c>
      <c r="H485" s="322">
        <v>0.36284722222222227</v>
      </c>
      <c r="I485" s="322"/>
      <c r="J485" s="322"/>
      <c r="K485" s="322">
        <v>0.39618055555555554</v>
      </c>
      <c r="L485" s="322">
        <f t="shared" si="22"/>
        <v>0.03333333333</v>
      </c>
      <c r="M485" s="630" t="s">
        <v>166</v>
      </c>
      <c r="N485" s="324" t="s">
        <v>187</v>
      </c>
      <c r="O485" s="419" t="s">
        <v>198</v>
      </c>
      <c r="P485" s="319" t="s">
        <v>218</v>
      </c>
      <c r="Q485" s="630"/>
      <c r="R485" s="631">
        <v>10.3</v>
      </c>
      <c r="S485" s="632">
        <v>7.9</v>
      </c>
      <c r="T485" s="633">
        <v>3.0</v>
      </c>
      <c r="U485" s="609">
        <v>0.1</v>
      </c>
      <c r="V485" s="609"/>
      <c r="W485" s="609"/>
      <c r="X485" s="609"/>
      <c r="Y485" s="609"/>
      <c r="Z485" s="610" t="s">
        <v>357</v>
      </c>
      <c r="AA485" s="610"/>
      <c r="AB485" s="610" t="s">
        <v>380</v>
      </c>
      <c r="AC485" s="611">
        <v>4.0</v>
      </c>
      <c r="AD485" s="610"/>
      <c r="AE485" s="610"/>
      <c r="AF485" s="610"/>
      <c r="AG485" s="610"/>
      <c r="AH485" s="610"/>
      <c r="AI485" s="610"/>
      <c r="AJ485" s="611"/>
      <c r="AK485" s="612"/>
      <c r="AL485" s="610"/>
      <c r="AM485" s="610"/>
      <c r="AN485" s="610"/>
      <c r="AO485" s="610"/>
      <c r="AP485" s="610"/>
      <c r="AQ485" s="610"/>
      <c r="AR485" s="610"/>
      <c r="AS485" s="611"/>
      <c r="AT485" s="461" t="s">
        <v>181</v>
      </c>
      <c r="AU485" s="324" t="s">
        <v>845</v>
      </c>
      <c r="AV485" s="330">
        <f>SQRT(($R485-Infrastructure!J$3)^2+($S485-Infrastructure!K$3)^2)</f>
        <v>23.52360517</v>
      </c>
      <c r="AW485" s="331">
        <f>SQRT(($R485-Infrastructure!J$4)^2+($S485-Infrastructure!K$4)^2)</f>
        <v>14.50413734</v>
      </c>
      <c r="AX485" s="331">
        <f>SQRT(($R485-Infrastructure!J$5)^2+($S485-Infrastructure!K$5)^2)</f>
        <v>10.96357606</v>
      </c>
      <c r="AY485" s="331">
        <f>SQRT(($R485-Infrastructure!J$6)^2+($S485-Infrastructure!K$6)^2)</f>
        <v>7.602631123</v>
      </c>
      <c r="AZ485" s="331">
        <f>SQRT(($R485-Infrastructure!J$7)^2+($S485-Infrastructure!K$7)^2)</f>
        <v>12.72006289</v>
      </c>
      <c r="BA485" s="331">
        <f>SQRT(($R485-Infrastructure!J$8)^2+($S485-Infrastructure!K$8)^2)</f>
        <v>21.20848887</v>
      </c>
      <c r="BB485" s="331">
        <f>SQRT(($R485-Infrastructure!J$9)^2+($S485-Infrastructure!K$9)^2)</f>
        <v>29.83169455</v>
      </c>
      <c r="BC485" s="331">
        <f>SQRT(($R485-Infrastructure!J$10)^2+($S485-Infrastructure!K$10)^2)</f>
        <v>30.53686297</v>
      </c>
      <c r="BD485" s="318"/>
      <c r="BE485" s="332"/>
      <c r="BF485" s="330">
        <f t="shared" si="14"/>
        <v>7.602631123</v>
      </c>
      <c r="BG485" s="333">
        <f t="shared" si="15"/>
        <v>30.53686297</v>
      </c>
      <c r="BH485" s="613"/>
      <c r="BI485" s="316"/>
      <c r="BJ485" s="318"/>
      <c r="BK485" s="318"/>
      <c r="BL485" s="319" t="s">
        <v>846</v>
      </c>
      <c r="BM485" s="319" t="s">
        <v>846</v>
      </c>
      <c r="BN485" s="319" t="s">
        <v>846</v>
      </c>
      <c r="BO485" s="318"/>
      <c r="BP485" s="318"/>
      <c r="BQ485" s="338"/>
      <c r="BR485" s="420"/>
      <c r="BS485" s="330">
        <f t="shared" si="23"/>
        <v>7.602631123</v>
      </c>
      <c r="BT485" s="331">
        <f t="shared" si="24"/>
        <v>21.20848887</v>
      </c>
      <c r="BU485" s="331"/>
      <c r="BV485" s="333"/>
      <c r="BW485" s="614">
        <v>17.9</v>
      </c>
      <c r="BX485" s="615">
        <v>4.62</v>
      </c>
      <c r="BY485" s="331">
        <f t="shared" si="27"/>
        <v>8.277584189</v>
      </c>
      <c r="BZ485" s="340"/>
      <c r="CA485" s="316"/>
      <c r="CB485" s="318"/>
      <c r="CC485" s="318"/>
      <c r="CD485" s="318"/>
      <c r="CE485" s="318"/>
      <c r="CF485" s="318"/>
      <c r="CG485" s="318"/>
      <c r="CH485" s="318"/>
      <c r="CI485" s="338"/>
      <c r="CJ485" s="341"/>
      <c r="CK485" s="342">
        <f t="shared" si="18"/>
        <v>0</v>
      </c>
      <c r="CL485" s="333">
        <f t="shared" si="19"/>
        <v>0</v>
      </c>
      <c r="CM485" s="616"/>
      <c r="CN485" s="617"/>
      <c r="CO485" s="617"/>
      <c r="CP485" s="617"/>
    </row>
    <row r="486">
      <c r="B486" s="462"/>
      <c r="C486" s="596">
        <v>44105.0</v>
      </c>
      <c r="D486" s="597" t="s">
        <v>986</v>
      </c>
      <c r="E486" s="598">
        <v>17.0</v>
      </c>
      <c r="F486" s="658" t="str">
        <f t="shared" si="21"/>
        <v>2020/01-17</v>
      </c>
      <c r="G486" s="657">
        <v>0.4263888888888889</v>
      </c>
      <c r="H486" s="322">
        <v>0.4263888888888889</v>
      </c>
      <c r="I486" s="322"/>
      <c r="J486" s="322"/>
      <c r="K486" s="322">
        <v>0.4479166666666667</v>
      </c>
      <c r="L486" s="322">
        <f t="shared" si="22"/>
        <v>0.02152777778</v>
      </c>
      <c r="M486" s="630" t="s">
        <v>168</v>
      </c>
      <c r="N486" s="324" t="s">
        <v>187</v>
      </c>
      <c r="O486" s="419" t="s">
        <v>198</v>
      </c>
      <c r="P486" s="319" t="s">
        <v>218</v>
      </c>
      <c r="Q486" s="630"/>
      <c r="R486" s="631">
        <v>10.3</v>
      </c>
      <c r="S486" s="632">
        <v>7.9</v>
      </c>
      <c r="T486" s="633">
        <v>3.0</v>
      </c>
      <c r="U486" s="609">
        <v>2.0</v>
      </c>
      <c r="V486" s="609"/>
      <c r="W486" s="609"/>
      <c r="X486" s="609"/>
      <c r="Y486" s="609"/>
      <c r="Z486" s="610" t="s">
        <v>339</v>
      </c>
      <c r="AA486" s="610"/>
      <c r="AB486" s="610" t="s">
        <v>384</v>
      </c>
      <c r="AC486" s="611">
        <v>6.0</v>
      </c>
      <c r="AD486" s="610"/>
      <c r="AE486" s="610"/>
      <c r="AF486" s="610"/>
      <c r="AG486" s="610"/>
      <c r="AH486" s="610"/>
      <c r="AI486" s="610"/>
      <c r="AJ486" s="611"/>
      <c r="AK486" s="612"/>
      <c r="AL486" s="610"/>
      <c r="AM486" s="610"/>
      <c r="AN486" s="610"/>
      <c r="AO486" s="610"/>
      <c r="AP486" s="610"/>
      <c r="AQ486" s="610"/>
      <c r="AR486" s="610"/>
      <c r="AS486" s="611"/>
      <c r="AT486" s="461" t="s">
        <v>182</v>
      </c>
      <c r="AU486" s="324" t="s">
        <v>846</v>
      </c>
      <c r="AV486" s="330">
        <f>SQRT(($R486-Infrastructure!J$3)^2+($S486-Infrastructure!K$3)^2)</f>
        <v>23.52360517</v>
      </c>
      <c r="AW486" s="331">
        <f>SQRT(($R486-Infrastructure!J$4)^2+($S486-Infrastructure!K$4)^2)</f>
        <v>14.50413734</v>
      </c>
      <c r="AX486" s="331">
        <f>SQRT(($R486-Infrastructure!J$5)^2+($S486-Infrastructure!K$5)^2)</f>
        <v>10.96357606</v>
      </c>
      <c r="AY486" s="331">
        <f>SQRT(($R486-Infrastructure!J$6)^2+($S486-Infrastructure!K$6)^2)</f>
        <v>7.602631123</v>
      </c>
      <c r="AZ486" s="331">
        <f>SQRT(($R486-Infrastructure!J$7)^2+($S486-Infrastructure!K$7)^2)</f>
        <v>12.72006289</v>
      </c>
      <c r="BA486" s="331">
        <f>SQRT(($R486-Infrastructure!J$8)^2+($S486-Infrastructure!K$8)^2)</f>
        <v>21.20848887</v>
      </c>
      <c r="BB486" s="331">
        <f>SQRT(($R486-Infrastructure!J$9)^2+($S486-Infrastructure!K$9)^2)</f>
        <v>29.83169455</v>
      </c>
      <c r="BC486" s="331">
        <f>SQRT(($R486-Infrastructure!J$10)^2+($S486-Infrastructure!K$10)^2)</f>
        <v>30.53686297</v>
      </c>
      <c r="BD486" s="318"/>
      <c r="BE486" s="332"/>
      <c r="BF486" s="330">
        <f t="shared" si="14"/>
        <v>7.602631123</v>
      </c>
      <c r="BG486" s="333">
        <f t="shared" si="15"/>
        <v>30.53686297</v>
      </c>
      <c r="BH486" s="613"/>
      <c r="BI486" s="462" t="s">
        <v>846</v>
      </c>
      <c r="BJ486" s="318"/>
      <c r="BK486" s="318"/>
      <c r="BL486" s="319" t="s">
        <v>846</v>
      </c>
      <c r="BM486" s="319" t="s">
        <v>846</v>
      </c>
      <c r="BN486" s="319" t="s">
        <v>846</v>
      </c>
      <c r="BO486" s="318"/>
      <c r="BP486" s="319" t="s">
        <v>846</v>
      </c>
      <c r="BQ486" s="338"/>
      <c r="BR486" s="420"/>
      <c r="BS486" s="330">
        <f t="shared" si="23"/>
        <v>7.602631123</v>
      </c>
      <c r="BT486" s="331">
        <f t="shared" si="24"/>
        <v>30.53686297</v>
      </c>
      <c r="BU486" s="331"/>
      <c r="BV486" s="333"/>
      <c r="BW486" s="614">
        <v>16.62</v>
      </c>
      <c r="BX486" s="615">
        <v>8.2</v>
      </c>
      <c r="BY486" s="331">
        <f t="shared" si="27"/>
        <v>6.327116247</v>
      </c>
      <c r="BZ486" s="340"/>
      <c r="CA486" s="316"/>
      <c r="CB486" s="318"/>
      <c r="CC486" s="318"/>
      <c r="CD486" s="318"/>
      <c r="CE486" s="318"/>
      <c r="CF486" s="318"/>
      <c r="CG486" s="318"/>
      <c r="CH486" s="318"/>
      <c r="CI486" s="338"/>
      <c r="CJ486" s="341"/>
      <c r="CK486" s="342">
        <f t="shared" si="18"/>
        <v>0</v>
      </c>
      <c r="CL486" s="333">
        <f t="shared" si="19"/>
        <v>0</v>
      </c>
      <c r="CM486" s="616"/>
      <c r="CN486" s="617"/>
      <c r="CO486" s="617"/>
      <c r="CP486" s="617"/>
    </row>
    <row r="487">
      <c r="B487" s="462"/>
      <c r="C487" s="596">
        <v>44105.0</v>
      </c>
      <c r="D487" s="597" t="s">
        <v>986</v>
      </c>
      <c r="E487" s="598">
        <v>17.0</v>
      </c>
      <c r="F487" s="658" t="str">
        <f t="shared" si="21"/>
        <v>2020/01-17</v>
      </c>
      <c r="G487" s="657">
        <v>0.4263888888888889</v>
      </c>
      <c r="H487" s="322">
        <v>0.4263888888888889</v>
      </c>
      <c r="I487" s="322"/>
      <c r="J487" s="322"/>
      <c r="K487" s="322">
        <v>0.4479166666666667</v>
      </c>
      <c r="L487" s="322">
        <f t="shared" si="22"/>
        <v>0.02152777778</v>
      </c>
      <c r="M487" s="630" t="s">
        <v>166</v>
      </c>
      <c r="N487" s="324" t="s">
        <v>187</v>
      </c>
      <c r="O487" s="419" t="s">
        <v>198</v>
      </c>
      <c r="P487" s="319" t="s">
        <v>218</v>
      </c>
      <c r="Q487" s="630"/>
      <c r="R487" s="631">
        <v>10.3</v>
      </c>
      <c r="S487" s="632">
        <v>7.9</v>
      </c>
      <c r="T487" s="633">
        <v>3.0</v>
      </c>
      <c r="U487" s="609">
        <v>0.1</v>
      </c>
      <c r="V487" s="609"/>
      <c r="W487" s="609"/>
      <c r="X487" s="609"/>
      <c r="Y487" s="609"/>
      <c r="Z487" s="610" t="s">
        <v>1222</v>
      </c>
      <c r="AA487" s="610"/>
      <c r="AB487" s="610" t="s">
        <v>371</v>
      </c>
      <c r="AC487" s="611">
        <v>1.8</v>
      </c>
      <c r="AD487" s="610"/>
      <c r="AE487" s="610"/>
      <c r="AF487" s="610"/>
      <c r="AG487" s="610"/>
      <c r="AH487" s="610"/>
      <c r="AI487" s="610"/>
      <c r="AJ487" s="611"/>
      <c r="AK487" s="612"/>
      <c r="AL487" s="610"/>
      <c r="AM487" s="610"/>
      <c r="AN487" s="610"/>
      <c r="AO487" s="610"/>
      <c r="AP487" s="610"/>
      <c r="AQ487" s="610"/>
      <c r="AR487" s="610"/>
      <c r="AS487" s="611"/>
      <c r="AT487" s="461" t="s">
        <v>181</v>
      </c>
      <c r="AU487" s="324" t="s">
        <v>846</v>
      </c>
      <c r="AV487" s="330">
        <f>SQRT(($R487-Infrastructure!J$3)^2+($S487-Infrastructure!K$3)^2)</f>
        <v>23.52360517</v>
      </c>
      <c r="AW487" s="331">
        <f>SQRT(($R487-Infrastructure!J$4)^2+($S487-Infrastructure!K$4)^2)</f>
        <v>14.50413734</v>
      </c>
      <c r="AX487" s="331">
        <f>SQRT(($R487-Infrastructure!J$5)^2+($S487-Infrastructure!K$5)^2)</f>
        <v>10.96357606</v>
      </c>
      <c r="AY487" s="331">
        <f>SQRT(($R487-Infrastructure!J$6)^2+($S487-Infrastructure!K$6)^2)</f>
        <v>7.602631123</v>
      </c>
      <c r="AZ487" s="331">
        <f>SQRT(($R487-Infrastructure!J$7)^2+($S487-Infrastructure!K$7)^2)</f>
        <v>12.72006289</v>
      </c>
      <c r="BA487" s="331">
        <f>SQRT(($R487-Infrastructure!J$8)^2+($S487-Infrastructure!K$8)^2)</f>
        <v>21.20848887</v>
      </c>
      <c r="BB487" s="331">
        <f>SQRT(($R487-Infrastructure!J$9)^2+($S487-Infrastructure!K$9)^2)</f>
        <v>29.83169455</v>
      </c>
      <c r="BC487" s="331">
        <f>SQRT(($R487-Infrastructure!J$10)^2+($S487-Infrastructure!K$10)^2)</f>
        <v>30.53686297</v>
      </c>
      <c r="BD487" s="318"/>
      <c r="BE487" s="332"/>
      <c r="BF487" s="330">
        <f t="shared" si="14"/>
        <v>7.602631123</v>
      </c>
      <c r="BG487" s="333">
        <f t="shared" si="15"/>
        <v>30.53686297</v>
      </c>
      <c r="BH487" s="613"/>
      <c r="BI487" s="316"/>
      <c r="BJ487" s="318"/>
      <c r="BK487" s="318"/>
      <c r="BL487" s="319" t="s">
        <v>846</v>
      </c>
      <c r="BM487" s="318"/>
      <c r="BN487" s="318"/>
      <c r="BO487" s="318"/>
      <c r="BP487" s="318"/>
      <c r="BQ487" s="338"/>
      <c r="BR487" s="420"/>
      <c r="BS487" s="330">
        <f t="shared" si="23"/>
        <v>7.602631123</v>
      </c>
      <c r="BT487" s="331">
        <f t="shared" si="24"/>
        <v>7.602631123</v>
      </c>
      <c r="BU487" s="331"/>
      <c r="BV487" s="333"/>
      <c r="BW487" s="614">
        <v>10.83</v>
      </c>
      <c r="BX487" s="615">
        <v>3.57</v>
      </c>
      <c r="BY487" s="331">
        <f t="shared" si="27"/>
        <v>4.362315899</v>
      </c>
      <c r="BZ487" s="340"/>
      <c r="CA487" s="316"/>
      <c r="CB487" s="318"/>
      <c r="CC487" s="318"/>
      <c r="CD487" s="318"/>
      <c r="CE487" s="318"/>
      <c r="CF487" s="318"/>
      <c r="CG487" s="318"/>
      <c r="CH487" s="318"/>
      <c r="CI487" s="338"/>
      <c r="CJ487" s="341"/>
      <c r="CK487" s="342">
        <f t="shared" si="18"/>
        <v>0</v>
      </c>
      <c r="CL487" s="333">
        <f t="shared" si="19"/>
        <v>0</v>
      </c>
      <c r="CM487" s="616"/>
      <c r="CN487" s="617"/>
      <c r="CO487" s="617"/>
      <c r="CP487" s="617"/>
    </row>
    <row r="488">
      <c r="B488" s="462"/>
      <c r="C488" s="596">
        <v>44105.0</v>
      </c>
      <c r="D488" s="597" t="s">
        <v>986</v>
      </c>
      <c r="E488" s="598">
        <v>17.0</v>
      </c>
      <c r="F488" s="658" t="str">
        <f t="shared" si="21"/>
        <v>2020/01-17</v>
      </c>
      <c r="G488" s="657">
        <v>0.4479166666666667</v>
      </c>
      <c r="H488" s="322">
        <v>0.4479166666666667</v>
      </c>
      <c r="I488" s="322"/>
      <c r="J488" s="322"/>
      <c r="K488" s="322">
        <v>0.4907986111111111</v>
      </c>
      <c r="L488" s="322">
        <f t="shared" si="22"/>
        <v>0.04288194444</v>
      </c>
      <c r="M488" s="630" t="s">
        <v>168</v>
      </c>
      <c r="N488" s="324" t="s">
        <v>187</v>
      </c>
      <c r="O488" s="419" t="s">
        <v>198</v>
      </c>
      <c r="P488" s="319" t="s">
        <v>218</v>
      </c>
      <c r="Q488" s="630"/>
      <c r="R488" s="631">
        <v>10.3</v>
      </c>
      <c r="S488" s="632">
        <v>7.9</v>
      </c>
      <c r="T488" s="633">
        <v>3.0</v>
      </c>
      <c r="U488" s="609">
        <v>11.0</v>
      </c>
      <c r="V488" s="609"/>
      <c r="W488" s="609"/>
      <c r="X488" s="609"/>
      <c r="Y488" s="609"/>
      <c r="Z488" s="610" t="s">
        <v>339</v>
      </c>
      <c r="AA488" s="610"/>
      <c r="AB488" s="610" t="s">
        <v>384</v>
      </c>
      <c r="AC488" s="611">
        <v>6.0</v>
      </c>
      <c r="AD488" s="610"/>
      <c r="AE488" s="610"/>
      <c r="AF488" s="610"/>
      <c r="AG488" s="610"/>
      <c r="AH488" s="610"/>
      <c r="AI488" s="610"/>
      <c r="AJ488" s="611"/>
      <c r="AK488" s="612"/>
      <c r="AL488" s="610"/>
      <c r="AM488" s="610"/>
      <c r="AN488" s="610"/>
      <c r="AO488" s="610"/>
      <c r="AP488" s="610"/>
      <c r="AQ488" s="610"/>
      <c r="AR488" s="610"/>
      <c r="AS488" s="611"/>
      <c r="AT488" s="461" t="s">
        <v>183</v>
      </c>
      <c r="AU488" s="324" t="s">
        <v>846</v>
      </c>
      <c r="AV488" s="330">
        <f>SQRT(($R488-Infrastructure!J$3)^2+($S488-Infrastructure!K$3)^2)</f>
        <v>23.52360517</v>
      </c>
      <c r="AW488" s="331">
        <f>SQRT(($R488-Infrastructure!J$4)^2+($S488-Infrastructure!K$4)^2)</f>
        <v>14.50413734</v>
      </c>
      <c r="AX488" s="331">
        <f>SQRT(($R488-Infrastructure!J$5)^2+($S488-Infrastructure!K$5)^2)</f>
        <v>10.96357606</v>
      </c>
      <c r="AY488" s="331">
        <f>SQRT(($R488-Infrastructure!J$6)^2+($S488-Infrastructure!K$6)^2)</f>
        <v>7.602631123</v>
      </c>
      <c r="AZ488" s="331">
        <f>SQRT(($R488-Infrastructure!J$7)^2+($S488-Infrastructure!K$7)^2)</f>
        <v>12.72006289</v>
      </c>
      <c r="BA488" s="331">
        <f>SQRT(($R488-Infrastructure!J$8)^2+($S488-Infrastructure!K$8)^2)</f>
        <v>21.20848887</v>
      </c>
      <c r="BB488" s="331">
        <f>SQRT(($R488-Infrastructure!J$9)^2+($S488-Infrastructure!K$9)^2)</f>
        <v>29.83169455</v>
      </c>
      <c r="BC488" s="331">
        <f>SQRT(($R488-Infrastructure!J$10)^2+($S488-Infrastructure!K$10)^2)</f>
        <v>30.53686297</v>
      </c>
      <c r="BD488" s="318"/>
      <c r="BE488" s="332"/>
      <c r="BF488" s="330">
        <f t="shared" si="14"/>
        <v>7.602631123</v>
      </c>
      <c r="BG488" s="333">
        <f t="shared" si="15"/>
        <v>30.53686297</v>
      </c>
      <c r="BH488" s="613"/>
      <c r="BI488" s="316"/>
      <c r="BJ488" s="318"/>
      <c r="BK488" s="318"/>
      <c r="BL488" s="319" t="s">
        <v>846</v>
      </c>
      <c r="BM488" s="318"/>
      <c r="BN488" s="318"/>
      <c r="BO488" s="318"/>
      <c r="BP488" s="318"/>
      <c r="BQ488" s="338"/>
      <c r="BR488" s="420"/>
      <c r="BS488" s="330">
        <f t="shared" si="23"/>
        <v>7.602631123</v>
      </c>
      <c r="BT488" s="331">
        <f t="shared" si="24"/>
        <v>7.602631123</v>
      </c>
      <c r="BU488" s="331"/>
      <c r="BV488" s="333"/>
      <c r="BW488" s="614">
        <v>13.53</v>
      </c>
      <c r="BX488" s="615">
        <v>6.68</v>
      </c>
      <c r="BY488" s="331">
        <f t="shared" si="27"/>
        <v>3.452723563</v>
      </c>
      <c r="BZ488" s="340"/>
      <c r="CA488" s="316"/>
      <c r="CB488" s="318"/>
      <c r="CC488" s="318"/>
      <c r="CD488" s="318"/>
      <c r="CE488" s="318"/>
      <c r="CF488" s="318"/>
      <c r="CG488" s="318"/>
      <c r="CH488" s="318"/>
      <c r="CI488" s="338"/>
      <c r="CJ488" s="341"/>
      <c r="CK488" s="342">
        <f t="shared" si="18"/>
        <v>0</v>
      </c>
      <c r="CL488" s="333">
        <f t="shared" si="19"/>
        <v>0</v>
      </c>
      <c r="CM488" s="616"/>
      <c r="CN488" s="617"/>
      <c r="CO488" s="617"/>
      <c r="CP488" s="617"/>
    </row>
    <row r="489">
      <c r="A489" s="634"/>
      <c r="B489" s="635"/>
      <c r="C489" s="596">
        <v>44105.0</v>
      </c>
      <c r="D489" s="597" t="s">
        <v>986</v>
      </c>
      <c r="E489" s="598">
        <v>17.0</v>
      </c>
      <c r="F489" s="658" t="str">
        <f t="shared" si="21"/>
        <v>2020/01-17</v>
      </c>
      <c r="G489" s="657">
        <v>0.4479166666666667</v>
      </c>
      <c r="H489" s="322">
        <v>0.4479166666666667</v>
      </c>
      <c r="I489" s="322"/>
      <c r="J489" s="322"/>
      <c r="K489" s="322">
        <v>0.4907986111111111</v>
      </c>
      <c r="L489" s="322">
        <f t="shared" si="22"/>
        <v>0.04288194444</v>
      </c>
      <c r="M489" s="630" t="s">
        <v>166</v>
      </c>
      <c r="N489" s="324" t="s">
        <v>187</v>
      </c>
      <c r="O489" s="419" t="s">
        <v>198</v>
      </c>
      <c r="P489" s="319" t="s">
        <v>218</v>
      </c>
      <c r="Q489" s="630"/>
      <c r="R489" s="631">
        <v>10.3</v>
      </c>
      <c r="S489" s="632">
        <v>7.9</v>
      </c>
      <c r="T489" s="633">
        <v>3.0</v>
      </c>
      <c r="U489" s="609">
        <v>0.1</v>
      </c>
      <c r="V489" s="609"/>
      <c r="W489" s="609"/>
      <c r="X489" s="609"/>
      <c r="Y489" s="609"/>
      <c r="Z489" s="610" t="s">
        <v>1222</v>
      </c>
      <c r="AA489" s="610"/>
      <c r="AB489" s="610" t="s">
        <v>371</v>
      </c>
      <c r="AC489" s="611">
        <v>1.8</v>
      </c>
      <c r="AD489" s="610"/>
      <c r="AE489" s="610"/>
      <c r="AF489" s="610"/>
      <c r="AG489" s="610"/>
      <c r="AH489" s="610"/>
      <c r="AI489" s="610"/>
      <c r="AJ489" s="611"/>
      <c r="AK489" s="612"/>
      <c r="AL489" s="610"/>
      <c r="AM489" s="610"/>
      <c r="AN489" s="610"/>
      <c r="AO489" s="610"/>
      <c r="AP489" s="610"/>
      <c r="AQ489" s="610"/>
      <c r="AR489" s="610"/>
      <c r="AS489" s="611"/>
      <c r="AT489" s="636" t="s">
        <v>181</v>
      </c>
      <c r="AU489" s="637" t="s">
        <v>846</v>
      </c>
      <c r="AV489" s="662">
        <f>SQRT(($R489-Infrastructure!J$3)^2+($S489-Infrastructure!K$3)^2)</f>
        <v>23.52360517</v>
      </c>
      <c r="AW489" s="641">
        <f>SQRT(($R489-Infrastructure!J$4)^2+($S489-Infrastructure!K$4)^2)</f>
        <v>14.50413734</v>
      </c>
      <c r="AX489" s="641">
        <f>SQRT(($R489-Infrastructure!J$5)^2+($S489-Infrastructure!K$5)^2)</f>
        <v>10.96357606</v>
      </c>
      <c r="AY489" s="641">
        <f>SQRT(($R489-Infrastructure!J$6)^2+($S489-Infrastructure!K$6)^2)</f>
        <v>7.602631123</v>
      </c>
      <c r="AZ489" s="641">
        <f>SQRT(($R489-Infrastructure!J$7)^2+($S489-Infrastructure!K$7)^2)</f>
        <v>12.72006289</v>
      </c>
      <c r="BA489" s="641">
        <f>SQRT(($R489-Infrastructure!J$8)^2+($S489-Infrastructure!K$8)^2)</f>
        <v>21.20848887</v>
      </c>
      <c r="BB489" s="641">
        <f>SQRT(($R489-Infrastructure!J$9)^2+($S489-Infrastructure!K$9)^2)</f>
        <v>29.83169455</v>
      </c>
      <c r="BC489" s="641">
        <f>SQRT(($R489-Infrastructure!J$10)^2+($S489-Infrastructure!K$10)^2)</f>
        <v>30.53686297</v>
      </c>
      <c r="BD489" s="318"/>
      <c r="BE489" s="332"/>
      <c r="BF489" s="330">
        <f t="shared" si="14"/>
        <v>7.602631123</v>
      </c>
      <c r="BG489" s="333">
        <f t="shared" si="15"/>
        <v>30.53686297</v>
      </c>
      <c r="BH489" s="638"/>
      <c r="BI489" s="639"/>
      <c r="BJ489" s="640"/>
      <c r="BK489" s="640"/>
      <c r="BL489" s="663" t="s">
        <v>846</v>
      </c>
      <c r="BM489" s="640"/>
      <c r="BN489" s="640"/>
      <c r="BO489" s="640"/>
      <c r="BP489" s="640"/>
      <c r="BQ489" s="338"/>
      <c r="BR489" s="420"/>
      <c r="BS489" s="330">
        <f t="shared" si="23"/>
        <v>7.602631123</v>
      </c>
      <c r="BT489" s="331">
        <f t="shared" si="24"/>
        <v>7.602631123</v>
      </c>
      <c r="BU489" s="331"/>
      <c r="BV489" s="333"/>
      <c r="BW489" s="643">
        <v>14.98</v>
      </c>
      <c r="BX489" s="644">
        <v>2.78</v>
      </c>
      <c r="BY489" s="331">
        <f t="shared" si="27"/>
        <v>6.936627423</v>
      </c>
      <c r="BZ489" s="340"/>
      <c r="CA489" s="639"/>
      <c r="CB489" s="640"/>
      <c r="CC489" s="640"/>
      <c r="CD489" s="640"/>
      <c r="CE489" s="640"/>
      <c r="CF489" s="640"/>
      <c r="CG489" s="640"/>
      <c r="CH489" s="640"/>
      <c r="CI489" s="645"/>
      <c r="CJ489" s="646"/>
      <c r="CK489" s="342">
        <f t="shared" si="18"/>
        <v>0</v>
      </c>
      <c r="CL489" s="333">
        <f t="shared" si="19"/>
        <v>0</v>
      </c>
      <c r="CM489" s="647"/>
      <c r="CN489" s="617"/>
      <c r="CO489" s="617"/>
      <c r="CP489" s="617"/>
    </row>
    <row r="490">
      <c r="A490" s="664" t="s">
        <v>31</v>
      </c>
      <c r="B490" s="665"/>
      <c r="C490" s="666">
        <v>44120.0</v>
      </c>
      <c r="D490" s="667"/>
      <c r="E490" s="668">
        <v>1.0</v>
      </c>
      <c r="F490" s="669" t="str">
        <f t="shared" si="21"/>
        <v>2020/16-01</v>
      </c>
      <c r="G490" s="670">
        <v>0.5336805555555556</v>
      </c>
      <c r="H490" s="671">
        <v>0.5343749999999999</v>
      </c>
      <c r="I490" s="671"/>
      <c r="J490" s="671"/>
      <c r="K490" s="671">
        <v>0.5454861111111111</v>
      </c>
      <c r="L490" s="672">
        <f t="shared" si="22"/>
        <v>0.01111111111</v>
      </c>
      <c r="M490" s="673" t="s">
        <v>166</v>
      </c>
      <c r="N490" s="674" t="s">
        <v>188</v>
      </c>
      <c r="O490" s="675" t="s">
        <v>196</v>
      </c>
      <c r="P490" s="676" t="s">
        <v>224</v>
      </c>
      <c r="Q490" s="677" t="s">
        <v>842</v>
      </c>
      <c r="R490" s="678">
        <v>21.4</v>
      </c>
      <c r="S490" s="679">
        <v>39.3</v>
      </c>
      <c r="T490" s="680">
        <v>1.3</v>
      </c>
      <c r="U490" s="681">
        <v>70.0</v>
      </c>
      <c r="V490" s="681"/>
      <c r="W490" s="681"/>
      <c r="X490" s="681"/>
      <c r="Y490" s="681"/>
      <c r="Z490" s="682" t="s">
        <v>387</v>
      </c>
      <c r="AA490" s="682"/>
      <c r="AB490" s="682" t="s">
        <v>419</v>
      </c>
      <c r="AC490" s="683">
        <v>77.9</v>
      </c>
      <c r="AD490" s="682"/>
      <c r="AE490" s="682"/>
      <c r="AF490" s="682"/>
      <c r="AG490" s="682"/>
      <c r="AH490" s="682"/>
      <c r="AI490" s="682"/>
      <c r="AJ490" s="683"/>
      <c r="AK490" s="684"/>
      <c r="AL490" s="682"/>
      <c r="AM490" s="682"/>
      <c r="AN490" s="682"/>
      <c r="AO490" s="682"/>
      <c r="AP490" s="682"/>
      <c r="AQ490" s="682"/>
      <c r="AR490" s="682"/>
      <c r="AS490" s="683"/>
      <c r="AT490" s="685" t="s">
        <v>183</v>
      </c>
      <c r="AU490" s="674" t="s">
        <v>845</v>
      </c>
      <c r="AV490" s="686">
        <f>SQRT(($R490-Infrastructure!J$3)^2+($S490-Infrastructure!K$3)^2)</f>
        <v>24.06345777</v>
      </c>
      <c r="AW490" s="687">
        <f>SQRT(($R490-Infrastructure!J$4)^2+($S490-Infrastructure!K$4)^2)</f>
        <v>30.54734031</v>
      </c>
      <c r="AX490" s="687">
        <f>SQRT(($R490-Infrastructure!J$5)^2+($S490-Infrastructure!K$5)^2)</f>
        <v>40.50345664</v>
      </c>
      <c r="AY490" s="687">
        <f>SQRT(($R490-Infrastructure!J$6)^2+($S490-Infrastructure!K$6)^2)</f>
        <v>40.60406384</v>
      </c>
      <c r="AZ490" s="687">
        <f>SQRT(($R490-Infrastructure!J$7)^2+($S490-Infrastructure!K$7)^2)</f>
        <v>39.01038323</v>
      </c>
      <c r="BA490" s="687">
        <f>SQRT(($R490-Infrastructure!J$8)^2+($S490-Infrastructure!K$8)^2)</f>
        <v>39.95860358</v>
      </c>
      <c r="BB490" s="687">
        <f>SQRT(($R490-Infrastructure!J$9)^2+($S490-Infrastructure!K$9)^2)</f>
        <v>38.93070767</v>
      </c>
      <c r="BC490" s="687">
        <f>SQRT(($R490-Infrastructure!J$10)^2+($S490-Infrastructure!K$10)^2)</f>
        <v>30.60147055</v>
      </c>
      <c r="BD490" s="667"/>
      <c r="BE490" s="688"/>
      <c r="BF490" s="330">
        <f t="shared" si="14"/>
        <v>24.06345777</v>
      </c>
      <c r="BG490" s="333">
        <f t="shared" si="15"/>
        <v>40.60406384</v>
      </c>
      <c r="BH490" s="689"/>
      <c r="BI490" s="690"/>
      <c r="BJ490" s="667"/>
      <c r="BK490" s="667"/>
      <c r="BL490" s="676"/>
      <c r="BM490" s="667"/>
      <c r="BN490" s="667"/>
      <c r="BO490" s="667"/>
      <c r="BP490" s="667"/>
      <c r="BQ490" s="691"/>
      <c r="BR490" s="692"/>
      <c r="BS490" s="330">
        <f t="shared" si="23"/>
        <v>0</v>
      </c>
      <c r="BT490" s="331">
        <f t="shared" si="24"/>
        <v>0</v>
      </c>
      <c r="BU490" s="687"/>
      <c r="BV490" s="693"/>
      <c r="BW490" s="694"/>
      <c r="BX490" s="695"/>
      <c r="BY490" s="687"/>
      <c r="BZ490" s="696"/>
      <c r="CA490" s="690"/>
      <c r="CB490" s="667"/>
      <c r="CC490" s="667"/>
      <c r="CD490" s="667"/>
      <c r="CE490" s="667"/>
      <c r="CF490" s="667"/>
      <c r="CG490" s="667"/>
      <c r="CH490" s="667"/>
      <c r="CI490" s="691"/>
      <c r="CJ490" s="697"/>
      <c r="CK490" s="342">
        <f t="shared" si="18"/>
        <v>0</v>
      </c>
      <c r="CL490" s="333">
        <f t="shared" si="19"/>
        <v>0</v>
      </c>
      <c r="CM490" s="698"/>
      <c r="CN490" s="617"/>
      <c r="CO490" s="617"/>
      <c r="CP490" s="617"/>
    </row>
    <row r="491">
      <c r="A491" s="315" t="s">
        <v>32</v>
      </c>
      <c r="B491" s="462"/>
      <c r="C491" s="596">
        <v>44123.0</v>
      </c>
      <c r="D491" s="318"/>
      <c r="E491" s="598">
        <v>1.0</v>
      </c>
      <c r="F491" s="658" t="str">
        <f t="shared" si="21"/>
        <v>2020/19-01</v>
      </c>
      <c r="G491" s="627">
        <v>0.5989583333333334</v>
      </c>
      <c r="H491" s="601">
        <v>0.6010416666666667</v>
      </c>
      <c r="I491" s="601"/>
      <c r="J491" s="601"/>
      <c r="K491" s="601">
        <v>0.6288194444444445</v>
      </c>
      <c r="L491" s="602">
        <f t="shared" si="22"/>
        <v>0.02777777778</v>
      </c>
      <c r="M491" s="629" t="s">
        <v>166</v>
      </c>
      <c r="N491" s="324" t="s">
        <v>187</v>
      </c>
      <c r="O491" s="419" t="s">
        <v>207</v>
      </c>
      <c r="P491" s="319" t="s">
        <v>221</v>
      </c>
      <c r="Q491" s="630"/>
      <c r="R491" s="631">
        <v>26.4</v>
      </c>
      <c r="S491" s="632">
        <v>14.2</v>
      </c>
      <c r="T491" s="633">
        <v>1.3</v>
      </c>
      <c r="U491" s="609">
        <v>1.5</v>
      </c>
      <c r="V491" s="609"/>
      <c r="W491" s="609"/>
      <c r="X491" s="609"/>
      <c r="Y491" s="609"/>
      <c r="Z491" s="610" t="s">
        <v>374</v>
      </c>
      <c r="AA491" s="610"/>
      <c r="AB491" s="610" t="s">
        <v>380</v>
      </c>
      <c r="AC491" s="611">
        <v>4.0</v>
      </c>
      <c r="AD491" s="610"/>
      <c r="AE491" s="610"/>
      <c r="AF491" s="610"/>
      <c r="AG491" s="610"/>
      <c r="AH491" s="610"/>
      <c r="AI491" s="610"/>
      <c r="AJ491" s="611"/>
      <c r="AK491" s="612"/>
      <c r="AL491" s="610"/>
      <c r="AM491" s="610"/>
      <c r="AN491" s="610"/>
      <c r="AO491" s="610"/>
      <c r="AP491" s="610"/>
      <c r="AQ491" s="610"/>
      <c r="AR491" s="610"/>
      <c r="AS491" s="611"/>
      <c r="AT491" s="461" t="s">
        <v>182</v>
      </c>
      <c r="AU491" s="324" t="s">
        <v>845</v>
      </c>
      <c r="AV491" s="330">
        <f>SQRT(($R491-Infrastructure!J$3)^2+($S491-Infrastructure!K$3)^2)</f>
        <v>30.47917322</v>
      </c>
      <c r="AW491" s="331">
        <f>SQRT(($R491-Infrastructure!J$4)^2+($S491-Infrastructure!K$4)^2)</f>
        <v>26.94160352</v>
      </c>
      <c r="AX491" s="331">
        <f>SQRT(($R491-Infrastructure!J$5)^2+($S491-Infrastructure!K$5)^2)</f>
        <v>28.20815485</v>
      </c>
      <c r="AY491" s="331">
        <f>SQRT(($R491-Infrastructure!J$6)^2+($S491-Infrastructure!K$6)^2)</f>
        <v>21.42195136</v>
      </c>
      <c r="AZ491" s="331">
        <f>SQRT(($R491-Infrastructure!J$7)^2+($S491-Infrastructure!K$7)^2)</f>
        <v>15.10033112</v>
      </c>
      <c r="BA491" s="331">
        <f>SQRT(($R491-Infrastructure!J$8)^2+($S491-Infrastructure!K$8)^2)</f>
        <v>14.38401891</v>
      </c>
      <c r="BB491" s="331">
        <f>SQRT(($R491-Infrastructure!J$9)^2+($S491-Infrastructure!K$9)^2)</f>
        <v>16.36367929</v>
      </c>
      <c r="BC491" s="331">
        <f>SQRT(($R491-Infrastructure!J$10)^2+($S491-Infrastructure!K$10)^2)</f>
        <v>13.62350909</v>
      </c>
      <c r="BD491" s="318"/>
      <c r="BE491" s="332"/>
      <c r="BF491" s="330">
        <f t="shared" si="14"/>
        <v>13.62350909</v>
      </c>
      <c r="BG491" s="333">
        <f t="shared" si="15"/>
        <v>30.47917322</v>
      </c>
      <c r="BH491" s="613"/>
      <c r="BI491" s="316"/>
      <c r="BJ491" s="318"/>
      <c r="BK491" s="318"/>
      <c r="BL491" s="319"/>
      <c r="BM491" s="318"/>
      <c r="BN491" s="318"/>
      <c r="BO491" s="318"/>
      <c r="BP491" s="318"/>
      <c r="BQ491" s="338"/>
      <c r="BR491" s="420"/>
      <c r="BS491" s="330">
        <f t="shared" si="23"/>
        <v>0</v>
      </c>
      <c r="BT491" s="331">
        <f t="shared" si="24"/>
        <v>0</v>
      </c>
      <c r="BU491" s="331"/>
      <c r="BV491" s="333"/>
      <c r="BW491" s="614"/>
      <c r="BX491" s="615"/>
      <c r="BY491" s="331"/>
      <c r="BZ491" s="340"/>
      <c r="CA491" s="316"/>
      <c r="CB491" s="318"/>
      <c r="CC491" s="318"/>
      <c r="CD491" s="318"/>
      <c r="CE491" s="318"/>
      <c r="CF491" s="318"/>
      <c r="CG491" s="318"/>
      <c r="CH491" s="318"/>
      <c r="CI491" s="338"/>
      <c r="CJ491" s="341"/>
      <c r="CK491" s="342">
        <f t="shared" si="18"/>
        <v>0</v>
      </c>
      <c r="CL491" s="333">
        <f t="shared" si="19"/>
        <v>0</v>
      </c>
      <c r="CM491" s="616"/>
      <c r="CN491" s="617"/>
      <c r="CO491" s="617"/>
      <c r="CP491" s="617"/>
    </row>
    <row r="492">
      <c r="B492" s="462"/>
      <c r="C492" s="596">
        <v>44123.0</v>
      </c>
      <c r="D492" s="597" t="s">
        <v>1214</v>
      </c>
      <c r="E492" s="598">
        <v>2.0</v>
      </c>
      <c r="F492" s="699" t="str">
        <f t="shared" si="21"/>
        <v>2020/19-02</v>
      </c>
      <c r="G492" s="600">
        <v>0.6298611111111111</v>
      </c>
      <c r="H492" s="601">
        <v>0.6305555555555555</v>
      </c>
      <c r="I492" s="601"/>
      <c r="J492" s="601"/>
      <c r="K492" s="601">
        <v>0.6583333333333333</v>
      </c>
      <c r="L492" s="602">
        <f t="shared" si="22"/>
        <v>0.02777777778</v>
      </c>
      <c r="M492" s="700" t="s">
        <v>166</v>
      </c>
      <c r="N492" s="604" t="s">
        <v>187</v>
      </c>
      <c r="O492" s="701" t="s">
        <v>204</v>
      </c>
      <c r="P492" s="700" t="s">
        <v>260</v>
      </c>
      <c r="Q492" s="700" t="s">
        <v>1214</v>
      </c>
      <c r="R492" s="606">
        <v>18.4</v>
      </c>
      <c r="S492" s="620">
        <v>4.4</v>
      </c>
      <c r="T492" s="608">
        <v>2.6</v>
      </c>
      <c r="U492" s="609">
        <v>1.0</v>
      </c>
      <c r="V492" s="609"/>
      <c r="W492" s="609"/>
      <c r="X492" s="609"/>
      <c r="Y492" s="609"/>
      <c r="Z492" s="603" t="s">
        <v>365</v>
      </c>
      <c r="AA492" s="603"/>
      <c r="AB492" s="610" t="s">
        <v>380</v>
      </c>
      <c r="AC492" s="611">
        <v>4.0</v>
      </c>
      <c r="AD492" s="610"/>
      <c r="AE492" s="610"/>
      <c r="AF492" s="610"/>
      <c r="AG492" s="610"/>
      <c r="AH492" s="610"/>
      <c r="AI492" s="610"/>
      <c r="AJ492" s="611"/>
      <c r="AK492" s="612"/>
      <c r="AL492" s="610"/>
      <c r="AM492" s="610"/>
      <c r="AN492" s="610"/>
      <c r="AO492" s="610"/>
      <c r="AP492" s="610"/>
      <c r="AQ492" s="610"/>
      <c r="AR492" s="610"/>
      <c r="AS492" s="611"/>
      <c r="AT492" s="636" t="s">
        <v>182</v>
      </c>
      <c r="AU492" s="637" t="s">
        <v>845</v>
      </c>
      <c r="AV492" s="662">
        <f>SQRT(($R492-Infrastructure!J$3)^2+($S492-Infrastructure!K$3)^2)</f>
        <v>30.82109667</v>
      </c>
      <c r="AW492" s="641">
        <f>SQRT(($R492-Infrastructure!J$4)^2+($S492-Infrastructure!K$4)^2)</f>
        <v>23.00543414</v>
      </c>
      <c r="AX492" s="641">
        <f>SQRT(($R492-Infrastructure!J$5)^2+($S492-Infrastructure!K$5)^2)</f>
        <v>18.71309702</v>
      </c>
      <c r="AY492" s="641">
        <f>SQRT(($R492-Infrastructure!J$6)^2+($S492-Infrastructure!K$6)^2)</f>
        <v>9.257429449</v>
      </c>
      <c r="AZ492" s="641">
        <f>SQRT(($R492-Infrastructure!J$7)^2+($S492-Infrastructure!K$7)^2)</f>
        <v>4.606517123</v>
      </c>
      <c r="BA492" s="641">
        <f>SQRT(($R492-Infrastructure!J$8)^2+($S492-Infrastructure!K$8)^2)</f>
        <v>12.39758041</v>
      </c>
      <c r="BB492" s="641">
        <f>SQRT(($R492-Infrastructure!J$9)^2+($S492-Infrastructure!K$9)^2)</f>
        <v>21.61133962</v>
      </c>
      <c r="BC492" s="641">
        <f>SQRT(($R492-Infrastructure!J$10)^2+($S492-Infrastructure!K$10)^2)</f>
        <v>24.06075643</v>
      </c>
      <c r="BD492" s="318"/>
      <c r="BE492" s="332"/>
      <c r="BF492" s="330">
        <f t="shared" si="14"/>
        <v>4.606517123</v>
      </c>
      <c r="BG492" s="333">
        <f t="shared" si="15"/>
        <v>30.82109667</v>
      </c>
      <c r="BH492" s="613"/>
      <c r="BI492" s="316"/>
      <c r="BJ492" s="318"/>
      <c r="BK492" s="318"/>
      <c r="BL492" s="319"/>
      <c r="BM492" s="318"/>
      <c r="BN492" s="318"/>
      <c r="BO492" s="318"/>
      <c r="BP492" s="318"/>
      <c r="BQ492" s="338"/>
      <c r="BR492" s="420"/>
      <c r="BS492" s="330">
        <f t="shared" si="23"/>
        <v>0</v>
      </c>
      <c r="BT492" s="331">
        <f t="shared" si="24"/>
        <v>0</v>
      </c>
      <c r="BU492" s="331"/>
      <c r="BV492" s="333"/>
      <c r="BW492" s="614"/>
      <c r="BX492" s="615"/>
      <c r="BY492" s="331"/>
      <c r="BZ492" s="340"/>
      <c r="CA492" s="316"/>
      <c r="CB492" s="318"/>
      <c r="CC492" s="318"/>
      <c r="CD492" s="318"/>
      <c r="CE492" s="318"/>
      <c r="CF492" s="318"/>
      <c r="CG492" s="318"/>
      <c r="CH492" s="318"/>
      <c r="CI492" s="338"/>
      <c r="CJ492" s="341"/>
      <c r="CK492" s="342">
        <f t="shared" si="18"/>
        <v>0</v>
      </c>
      <c r="CL492" s="333">
        <f t="shared" si="19"/>
        <v>0</v>
      </c>
      <c r="CM492" s="616"/>
      <c r="CN492" s="617"/>
      <c r="CO492" s="617"/>
      <c r="CP492" s="617"/>
    </row>
    <row r="493">
      <c r="A493" s="664" t="s">
        <v>31</v>
      </c>
      <c r="B493" s="665"/>
      <c r="C493" s="666">
        <v>44133.0</v>
      </c>
      <c r="D493" s="667"/>
      <c r="E493" s="668">
        <v>1.0</v>
      </c>
      <c r="F493" s="669" t="str">
        <f t="shared" si="21"/>
        <v>2020/29-01</v>
      </c>
      <c r="G493" s="670">
        <v>0.4916666666666667</v>
      </c>
      <c r="H493" s="671">
        <v>0.4920138888888889</v>
      </c>
      <c r="I493" s="671"/>
      <c r="J493" s="671"/>
      <c r="K493" s="671">
        <v>0.5059027777777778</v>
      </c>
      <c r="L493" s="672">
        <f t="shared" si="22"/>
        <v>0.01388888889</v>
      </c>
      <c r="M493" s="673" t="s">
        <v>166</v>
      </c>
      <c r="N493" s="674" t="s">
        <v>188</v>
      </c>
      <c r="O493" s="675" t="s">
        <v>196</v>
      </c>
      <c r="P493" s="676" t="s">
        <v>224</v>
      </c>
      <c r="Q493" s="677" t="s">
        <v>842</v>
      </c>
      <c r="R493" s="678">
        <v>21.4</v>
      </c>
      <c r="S493" s="679">
        <v>39.3</v>
      </c>
      <c r="T493" s="680">
        <v>1.3</v>
      </c>
      <c r="U493" s="681">
        <v>65.0</v>
      </c>
      <c r="V493" s="681"/>
      <c r="W493" s="681"/>
      <c r="X493" s="681"/>
      <c r="Y493" s="681"/>
      <c r="Z493" s="682" t="s">
        <v>387</v>
      </c>
      <c r="AA493" s="682"/>
      <c r="AB493" s="682" t="s">
        <v>419</v>
      </c>
      <c r="AC493" s="683">
        <v>77.9</v>
      </c>
      <c r="AD493" s="682"/>
      <c r="AE493" s="682"/>
      <c r="AF493" s="682"/>
      <c r="AG493" s="682"/>
      <c r="AH493" s="682"/>
      <c r="AI493" s="682"/>
      <c r="AJ493" s="683"/>
      <c r="AK493" s="684"/>
      <c r="AL493" s="682"/>
      <c r="AM493" s="682"/>
      <c r="AN493" s="682"/>
      <c r="AO493" s="682"/>
      <c r="AP493" s="682"/>
      <c r="AQ493" s="682"/>
      <c r="AR493" s="682"/>
      <c r="AS493" s="683"/>
      <c r="AT493" s="685" t="s">
        <v>183</v>
      </c>
      <c r="AU493" s="674" t="s">
        <v>845</v>
      </c>
      <c r="AV493" s="686">
        <f>SQRT(($R493-Infrastructure!J$3)^2+($S493-Infrastructure!K$3)^2)</f>
        <v>24.06345777</v>
      </c>
      <c r="AW493" s="687">
        <f>SQRT(($R493-Infrastructure!J$4)^2+($S493-Infrastructure!K$4)^2)</f>
        <v>30.54734031</v>
      </c>
      <c r="AX493" s="687">
        <f>SQRT(($R493-Infrastructure!J$5)^2+($S493-Infrastructure!K$5)^2)</f>
        <v>40.50345664</v>
      </c>
      <c r="AY493" s="687">
        <f>SQRT(($R493-Infrastructure!J$6)^2+($S493-Infrastructure!K$6)^2)</f>
        <v>40.60406384</v>
      </c>
      <c r="AZ493" s="687">
        <f>SQRT(($R493-Infrastructure!J$7)^2+($S493-Infrastructure!K$7)^2)</f>
        <v>39.01038323</v>
      </c>
      <c r="BA493" s="687">
        <f>SQRT(($R493-Infrastructure!J$8)^2+($S493-Infrastructure!K$8)^2)</f>
        <v>39.95860358</v>
      </c>
      <c r="BB493" s="687">
        <f>SQRT(($R493-Infrastructure!J$9)^2+($S493-Infrastructure!K$9)^2)</f>
        <v>38.93070767</v>
      </c>
      <c r="BC493" s="687">
        <f>SQRT(($R493-Infrastructure!J$10)^2+($S493-Infrastructure!K$10)^2)</f>
        <v>30.60147055</v>
      </c>
      <c r="BD493" s="667"/>
      <c r="BE493" s="688"/>
      <c r="BF493" s="330">
        <f t="shared" si="14"/>
        <v>24.06345777</v>
      </c>
      <c r="BG493" s="333">
        <f t="shared" si="15"/>
        <v>40.60406384</v>
      </c>
      <c r="BH493" s="689"/>
      <c r="BI493" s="690"/>
      <c r="BJ493" s="667"/>
      <c r="BK493" s="667"/>
      <c r="BL493" s="676"/>
      <c r="BM493" s="667"/>
      <c r="BN493" s="667"/>
      <c r="BO493" s="667"/>
      <c r="BP493" s="667"/>
      <c r="BQ493" s="691"/>
      <c r="BR493" s="692"/>
      <c r="BS493" s="330">
        <f t="shared" si="23"/>
        <v>0</v>
      </c>
      <c r="BT493" s="331">
        <f t="shared" si="24"/>
        <v>0</v>
      </c>
      <c r="BU493" s="687"/>
      <c r="BV493" s="693"/>
      <c r="BW493" s="694"/>
      <c r="BX493" s="695"/>
      <c r="BY493" s="687"/>
      <c r="BZ493" s="696"/>
      <c r="CA493" s="690"/>
      <c r="CB493" s="667"/>
      <c r="CC493" s="667"/>
      <c r="CD493" s="667"/>
      <c r="CE493" s="667"/>
      <c r="CF493" s="667"/>
      <c r="CG493" s="667"/>
      <c r="CH493" s="667"/>
      <c r="CI493" s="691"/>
      <c r="CJ493" s="697"/>
      <c r="CK493" s="342">
        <f t="shared" si="18"/>
        <v>0</v>
      </c>
      <c r="CL493" s="333">
        <f t="shared" si="19"/>
        <v>0</v>
      </c>
      <c r="CM493" s="698"/>
      <c r="CN493" s="617"/>
      <c r="CO493" s="617"/>
      <c r="CP493" s="617"/>
    </row>
    <row r="494">
      <c r="A494" s="315" t="s">
        <v>33</v>
      </c>
      <c r="B494" s="462"/>
      <c r="C494" s="417">
        <v>44139.0</v>
      </c>
      <c r="D494" s="318"/>
      <c r="E494" s="319"/>
      <c r="F494" s="324"/>
      <c r="G494" s="600">
        <v>0.6041666666666666</v>
      </c>
      <c r="H494" s="601">
        <v>0.6041666666666666</v>
      </c>
      <c r="I494" s="601"/>
      <c r="J494" s="601"/>
      <c r="K494" s="601">
        <v>0.6152777777777778</v>
      </c>
      <c r="L494" s="323"/>
      <c r="M494" s="319" t="s">
        <v>166</v>
      </c>
      <c r="N494" s="324" t="s">
        <v>187</v>
      </c>
      <c r="O494" s="419" t="s">
        <v>200</v>
      </c>
      <c r="P494" s="319" t="s">
        <v>212</v>
      </c>
      <c r="Q494" s="319"/>
      <c r="R494" s="326">
        <v>16.3</v>
      </c>
      <c r="S494" s="319">
        <v>6.5</v>
      </c>
      <c r="T494" s="324"/>
      <c r="U494" s="319">
        <v>0.6</v>
      </c>
      <c r="V494" s="319"/>
      <c r="W494" s="319"/>
      <c r="X494" s="319"/>
      <c r="Y494" s="319"/>
      <c r="Z494" s="319"/>
      <c r="AA494" s="319"/>
      <c r="AB494" s="319"/>
      <c r="AC494" s="327">
        <v>2.5</v>
      </c>
      <c r="AD494" s="319"/>
      <c r="AE494" s="319"/>
      <c r="AF494" s="319"/>
      <c r="AG494" s="319"/>
      <c r="AH494" s="319"/>
      <c r="AI494" s="319"/>
      <c r="AJ494" s="327"/>
      <c r="AK494" s="328"/>
      <c r="AL494" s="319"/>
      <c r="AM494" s="319"/>
      <c r="AN494" s="319"/>
      <c r="AO494" s="319"/>
      <c r="AP494" s="319"/>
      <c r="AQ494" s="319"/>
      <c r="AR494" s="319"/>
      <c r="AS494" s="327"/>
      <c r="AT494" s="461" t="s">
        <v>181</v>
      </c>
      <c r="AU494" s="324" t="s">
        <v>845</v>
      </c>
      <c r="AV494" s="330">
        <f>SQRT(($R494-Infrastructure!J$3)^2+($S494-Infrastructure!K$3)^2)</f>
        <v>27.88045911</v>
      </c>
      <c r="AW494" s="331">
        <f>SQRT(($R494-Infrastructure!J$4)^2+($S494-Infrastructure!K$4)^2)</f>
        <v>20.08108563</v>
      </c>
      <c r="AX494" s="331">
        <f>SQRT(($R494-Infrastructure!J$5)^2+($S494-Infrastructure!K$5)^2)</f>
        <v>16.65893154</v>
      </c>
      <c r="AY494" s="331">
        <f>SQRT(($R494-Infrastructure!J$6)^2+($S494-Infrastructure!K$6)^2)</f>
        <v>8.768124087</v>
      </c>
      <c r="AZ494" s="331">
        <f>SQRT(($R494-Infrastructure!J$7)^2+($S494-Infrastructure!K$7)^2)</f>
        <v>7.488658091</v>
      </c>
      <c r="BA494" s="331">
        <f>SQRT(($R494-Infrastructure!J$8)^2+($S494-Infrastructure!K$8)^2)</f>
        <v>15.12878052</v>
      </c>
      <c r="BB494" s="331">
        <f>SQRT(($R494-Infrastructure!J$9)^2+($S494-Infrastructure!K$9)^2)</f>
        <v>23.7413142</v>
      </c>
      <c r="BC494" s="331">
        <f>SQRT(($R494-Infrastructure!J$10)^2+($S494-Infrastructure!K$10)^2)</f>
        <v>25.17816514</v>
      </c>
      <c r="BD494" s="318"/>
      <c r="BE494" s="332"/>
      <c r="BF494" s="330">
        <f t="shared" si="14"/>
        <v>7.488658091</v>
      </c>
      <c r="BG494" s="333">
        <f t="shared" si="15"/>
        <v>27.88045911</v>
      </c>
      <c r="BH494" s="613"/>
      <c r="BI494" s="316"/>
      <c r="BJ494" s="318"/>
      <c r="BK494" s="319" t="s">
        <v>846</v>
      </c>
      <c r="BL494" s="319" t="s">
        <v>846</v>
      </c>
      <c r="BM494" s="318"/>
      <c r="BN494" s="318"/>
      <c r="BO494" s="318"/>
      <c r="BP494" s="319"/>
      <c r="BQ494" s="338"/>
      <c r="BR494" s="420"/>
      <c r="BS494" s="330">
        <f t="shared" si="23"/>
        <v>8.768124087</v>
      </c>
      <c r="BT494" s="331">
        <f t="shared" si="24"/>
        <v>16.65893154</v>
      </c>
      <c r="BU494" s="331"/>
      <c r="BV494" s="333"/>
      <c r="BW494" s="614"/>
      <c r="BX494" s="615"/>
      <c r="BY494" s="331" t="b">
        <f t="shared" ref="BY494:BY524" si="28">IF(BW494&gt;0, SQRT((R494-BW494)^2+(S494-BX494)^2))</f>
        <v>0</v>
      </c>
      <c r="BZ494" s="340"/>
      <c r="CA494" s="316"/>
      <c r="CB494" s="318"/>
      <c r="CC494" s="318"/>
      <c r="CD494" s="318"/>
      <c r="CE494" s="318"/>
      <c r="CF494" s="318"/>
      <c r="CG494" s="318"/>
      <c r="CH494" s="318"/>
      <c r="CI494" s="338"/>
      <c r="CJ494" s="341"/>
      <c r="CK494" s="342">
        <f t="shared" si="18"/>
        <v>0</v>
      </c>
      <c r="CL494" s="333">
        <f t="shared" si="19"/>
        <v>0</v>
      </c>
      <c r="CM494" s="702" t="s">
        <v>1223</v>
      </c>
      <c r="CN494" s="595"/>
      <c r="CO494" s="595"/>
      <c r="CP494" s="595"/>
    </row>
    <row r="495">
      <c r="B495" s="462"/>
      <c r="C495" s="417">
        <v>44139.0</v>
      </c>
      <c r="D495" s="318"/>
      <c r="E495" s="319">
        <v>1.0</v>
      </c>
      <c r="F495" s="324"/>
      <c r="G495" s="600">
        <v>0.625</v>
      </c>
      <c r="H495" s="601">
        <v>0.625</v>
      </c>
      <c r="I495" s="601"/>
      <c r="J495" s="601"/>
      <c r="K495" s="601">
        <v>0.6319444444444444</v>
      </c>
      <c r="L495" s="323"/>
      <c r="M495" s="319" t="s">
        <v>166</v>
      </c>
      <c r="N495" s="324" t="s">
        <v>187</v>
      </c>
      <c r="O495" s="419" t="s">
        <v>200</v>
      </c>
      <c r="P495" s="319" t="s">
        <v>212</v>
      </c>
      <c r="Q495" s="319"/>
      <c r="R495" s="326">
        <v>16.3</v>
      </c>
      <c r="S495" s="319">
        <v>6.5</v>
      </c>
      <c r="T495" s="324"/>
      <c r="U495" s="319">
        <v>2.0</v>
      </c>
      <c r="V495" s="319"/>
      <c r="W495" s="319"/>
      <c r="X495" s="319"/>
      <c r="Y495" s="319"/>
      <c r="Z495" s="319"/>
      <c r="AA495" s="319"/>
      <c r="AB495" s="319"/>
      <c r="AC495" s="327">
        <v>2.5</v>
      </c>
      <c r="AD495" s="319"/>
      <c r="AE495" s="319"/>
      <c r="AF495" s="319"/>
      <c r="AG495" s="319"/>
      <c r="AH495" s="319"/>
      <c r="AI495" s="319"/>
      <c r="AJ495" s="327"/>
      <c r="AK495" s="328"/>
      <c r="AL495" s="319"/>
      <c r="AM495" s="319"/>
      <c r="AN495" s="319"/>
      <c r="AO495" s="319"/>
      <c r="AP495" s="319"/>
      <c r="AQ495" s="319"/>
      <c r="AR495" s="319"/>
      <c r="AS495" s="327"/>
      <c r="AT495" s="461" t="s">
        <v>182</v>
      </c>
      <c r="AU495" s="324" t="s">
        <v>845</v>
      </c>
      <c r="AV495" s="330">
        <f>SQRT(($R495-Infrastructure!J$3)^2+($S495-Infrastructure!K$3)^2)</f>
        <v>27.88045911</v>
      </c>
      <c r="AW495" s="331">
        <f>SQRT(($R495-Infrastructure!J$4)^2+($S495-Infrastructure!K$4)^2)</f>
        <v>20.08108563</v>
      </c>
      <c r="AX495" s="331">
        <f>SQRT(($R495-Infrastructure!J$5)^2+($S495-Infrastructure!K$5)^2)</f>
        <v>16.65893154</v>
      </c>
      <c r="AY495" s="331">
        <f>SQRT(($R495-Infrastructure!J$6)^2+($S495-Infrastructure!K$6)^2)</f>
        <v>8.768124087</v>
      </c>
      <c r="AZ495" s="331">
        <f>SQRT(($R495-Infrastructure!J$7)^2+($S495-Infrastructure!K$7)^2)</f>
        <v>7.488658091</v>
      </c>
      <c r="BA495" s="331">
        <f>SQRT(($R495-Infrastructure!J$8)^2+($S495-Infrastructure!K$8)^2)</f>
        <v>15.12878052</v>
      </c>
      <c r="BB495" s="331">
        <f>SQRT(($R495-Infrastructure!J$9)^2+($S495-Infrastructure!K$9)^2)</f>
        <v>23.7413142</v>
      </c>
      <c r="BC495" s="331">
        <f>SQRT(($R495-Infrastructure!J$10)^2+($S495-Infrastructure!K$10)^2)</f>
        <v>25.17816514</v>
      </c>
      <c r="BD495" s="318"/>
      <c r="BE495" s="332"/>
      <c r="BF495" s="330">
        <f t="shared" si="14"/>
        <v>7.488658091</v>
      </c>
      <c r="BG495" s="333">
        <f t="shared" si="15"/>
        <v>27.88045911</v>
      </c>
      <c r="BH495" s="613"/>
      <c r="BI495" s="316"/>
      <c r="BJ495" s="318"/>
      <c r="BK495" s="318"/>
      <c r="BL495" s="319" t="s">
        <v>846</v>
      </c>
      <c r="BM495" s="318"/>
      <c r="BN495" s="318"/>
      <c r="BO495" s="318"/>
      <c r="BP495" s="318"/>
      <c r="BQ495" s="338"/>
      <c r="BR495" s="420"/>
      <c r="BS495" s="330">
        <f t="shared" si="23"/>
        <v>8.768124087</v>
      </c>
      <c r="BT495" s="331">
        <f t="shared" si="24"/>
        <v>8.768124087</v>
      </c>
      <c r="BU495" s="331"/>
      <c r="BV495" s="333"/>
      <c r="BW495" s="614">
        <v>9.94</v>
      </c>
      <c r="BX495" s="615">
        <v>4.55</v>
      </c>
      <c r="BY495" s="331">
        <f t="shared" si="28"/>
        <v>6.652225192</v>
      </c>
      <c r="BZ495" s="340"/>
      <c r="CA495" s="316"/>
      <c r="CB495" s="318"/>
      <c r="CC495" s="318"/>
      <c r="CD495" s="318"/>
      <c r="CE495" s="318"/>
      <c r="CF495" s="318"/>
      <c r="CG495" s="318"/>
      <c r="CH495" s="318"/>
      <c r="CI495" s="338"/>
      <c r="CJ495" s="341"/>
      <c r="CK495" s="342">
        <f t="shared" si="18"/>
        <v>0</v>
      </c>
      <c r="CL495" s="333">
        <f t="shared" si="19"/>
        <v>0</v>
      </c>
      <c r="CM495" s="616"/>
      <c r="CN495" s="617"/>
      <c r="CO495" s="617"/>
      <c r="CP495" s="617"/>
    </row>
    <row r="496">
      <c r="B496" s="462"/>
      <c r="C496" s="417">
        <v>44139.0</v>
      </c>
      <c r="D496" s="318"/>
      <c r="E496" s="319">
        <v>2.0</v>
      </c>
      <c r="F496" s="324"/>
      <c r="G496" s="600">
        <v>0.638888888888889</v>
      </c>
      <c r="H496" s="601">
        <v>0.638888888888889</v>
      </c>
      <c r="I496" s="601"/>
      <c r="J496" s="601"/>
      <c r="K496" s="601">
        <v>0.6479166666666667</v>
      </c>
      <c r="L496" s="323"/>
      <c r="M496" s="319" t="s">
        <v>166</v>
      </c>
      <c r="N496" s="324" t="s">
        <v>187</v>
      </c>
      <c r="O496" s="419" t="s">
        <v>200</v>
      </c>
      <c r="P496" s="319" t="s">
        <v>212</v>
      </c>
      <c r="Q496" s="319"/>
      <c r="R496" s="326">
        <v>16.3</v>
      </c>
      <c r="S496" s="319">
        <v>6.5</v>
      </c>
      <c r="T496" s="324"/>
      <c r="U496" s="319">
        <v>2.0</v>
      </c>
      <c r="V496" s="319"/>
      <c r="W496" s="319"/>
      <c r="X496" s="319"/>
      <c r="Y496" s="319"/>
      <c r="Z496" s="319"/>
      <c r="AA496" s="319"/>
      <c r="AB496" s="319"/>
      <c r="AC496" s="327">
        <v>2.5</v>
      </c>
      <c r="AD496" s="319"/>
      <c r="AE496" s="319"/>
      <c r="AF496" s="319"/>
      <c r="AG496" s="319"/>
      <c r="AH496" s="319"/>
      <c r="AI496" s="319"/>
      <c r="AJ496" s="327"/>
      <c r="AK496" s="328"/>
      <c r="AL496" s="319"/>
      <c r="AM496" s="319"/>
      <c r="AN496" s="319"/>
      <c r="AO496" s="319"/>
      <c r="AP496" s="319"/>
      <c r="AQ496" s="319"/>
      <c r="AR496" s="319"/>
      <c r="AS496" s="327"/>
      <c r="AT496" s="461" t="s">
        <v>182</v>
      </c>
      <c r="AU496" s="324" t="s">
        <v>845</v>
      </c>
      <c r="AV496" s="330">
        <f>SQRT(($R496-Infrastructure!J$3)^2+($S496-Infrastructure!K$3)^2)</f>
        <v>27.88045911</v>
      </c>
      <c r="AW496" s="331">
        <f>SQRT(($R496-Infrastructure!J$4)^2+($S496-Infrastructure!K$4)^2)</f>
        <v>20.08108563</v>
      </c>
      <c r="AX496" s="331">
        <f>SQRT(($R496-Infrastructure!J$5)^2+($S496-Infrastructure!K$5)^2)</f>
        <v>16.65893154</v>
      </c>
      <c r="AY496" s="331">
        <f>SQRT(($R496-Infrastructure!J$6)^2+($S496-Infrastructure!K$6)^2)</f>
        <v>8.768124087</v>
      </c>
      <c r="AZ496" s="331">
        <f>SQRT(($R496-Infrastructure!J$7)^2+($S496-Infrastructure!K$7)^2)</f>
        <v>7.488658091</v>
      </c>
      <c r="BA496" s="331">
        <f>SQRT(($R496-Infrastructure!J$8)^2+($S496-Infrastructure!K$8)^2)</f>
        <v>15.12878052</v>
      </c>
      <c r="BB496" s="331">
        <f>SQRT(($R496-Infrastructure!J$9)^2+($S496-Infrastructure!K$9)^2)</f>
        <v>23.7413142</v>
      </c>
      <c r="BC496" s="331">
        <f>SQRT(($R496-Infrastructure!J$10)^2+($S496-Infrastructure!K$10)^2)</f>
        <v>25.17816514</v>
      </c>
      <c r="BD496" s="318"/>
      <c r="BE496" s="332"/>
      <c r="BF496" s="330">
        <f t="shared" si="14"/>
        <v>7.488658091</v>
      </c>
      <c r="BG496" s="333">
        <f t="shared" si="15"/>
        <v>27.88045911</v>
      </c>
      <c r="BH496" s="613"/>
      <c r="BI496" s="316"/>
      <c r="BJ496" s="319" t="s">
        <v>846</v>
      </c>
      <c r="BK496" s="319" t="s">
        <v>846</v>
      </c>
      <c r="BL496" s="319" t="s">
        <v>846</v>
      </c>
      <c r="BM496" s="319" t="s">
        <v>846</v>
      </c>
      <c r="BN496" s="318"/>
      <c r="BO496" s="318"/>
      <c r="BP496" s="318"/>
      <c r="BQ496" s="338"/>
      <c r="BR496" s="420"/>
      <c r="BS496" s="330">
        <f t="shared" si="23"/>
        <v>7.488658091</v>
      </c>
      <c r="BT496" s="331">
        <f t="shared" si="24"/>
        <v>20.08108563</v>
      </c>
      <c r="BU496" s="331"/>
      <c r="BV496" s="333"/>
      <c r="BW496" s="614">
        <v>9.48</v>
      </c>
      <c r="BX496" s="615">
        <v>5.31</v>
      </c>
      <c r="BY496" s="331">
        <f t="shared" si="28"/>
        <v>6.923041239</v>
      </c>
      <c r="BZ496" s="340"/>
      <c r="CA496" s="316"/>
      <c r="CB496" s="318"/>
      <c r="CC496" s="318"/>
      <c r="CD496" s="318"/>
      <c r="CE496" s="318"/>
      <c r="CF496" s="318"/>
      <c r="CG496" s="318"/>
      <c r="CH496" s="318"/>
      <c r="CI496" s="338"/>
      <c r="CJ496" s="341"/>
      <c r="CK496" s="342">
        <f t="shared" si="18"/>
        <v>0</v>
      </c>
      <c r="CL496" s="333">
        <f t="shared" si="19"/>
        <v>0</v>
      </c>
      <c r="CM496" s="616"/>
      <c r="CN496" s="617"/>
      <c r="CO496" s="617"/>
      <c r="CP496" s="617"/>
    </row>
    <row r="497">
      <c r="B497" s="462"/>
      <c r="C497" s="417">
        <v>44139.0</v>
      </c>
      <c r="D497" s="318"/>
      <c r="E497" s="319">
        <v>3.0</v>
      </c>
      <c r="F497" s="324"/>
      <c r="G497" s="600">
        <v>0.6625</v>
      </c>
      <c r="H497" s="601">
        <v>0.6625</v>
      </c>
      <c r="I497" s="601"/>
      <c r="J497" s="601"/>
      <c r="K497" s="601">
        <v>0.6673611111111111</v>
      </c>
      <c r="L497" s="323"/>
      <c r="M497" s="319" t="s">
        <v>166</v>
      </c>
      <c r="N497" s="324" t="s">
        <v>187</v>
      </c>
      <c r="O497" s="419" t="s">
        <v>200</v>
      </c>
      <c r="P497" s="319" t="s">
        <v>212</v>
      </c>
      <c r="Q497" s="319"/>
      <c r="R497" s="326">
        <v>16.3</v>
      </c>
      <c r="S497" s="319">
        <v>6.5</v>
      </c>
      <c r="T497" s="324"/>
      <c r="U497" s="319">
        <v>2.0</v>
      </c>
      <c r="V497" s="319"/>
      <c r="W497" s="319"/>
      <c r="X497" s="319"/>
      <c r="Y497" s="319"/>
      <c r="Z497" s="319"/>
      <c r="AA497" s="319"/>
      <c r="AB497" s="319"/>
      <c r="AC497" s="327">
        <v>2.5</v>
      </c>
      <c r="AD497" s="319"/>
      <c r="AE497" s="319"/>
      <c r="AF497" s="319"/>
      <c r="AG497" s="319"/>
      <c r="AH497" s="319"/>
      <c r="AI497" s="319"/>
      <c r="AJ497" s="327"/>
      <c r="AK497" s="328"/>
      <c r="AL497" s="319"/>
      <c r="AM497" s="319"/>
      <c r="AN497" s="319"/>
      <c r="AO497" s="319"/>
      <c r="AP497" s="319"/>
      <c r="AQ497" s="319"/>
      <c r="AR497" s="319"/>
      <c r="AS497" s="327"/>
      <c r="AT497" s="461" t="s">
        <v>182</v>
      </c>
      <c r="AU497" s="324" t="s">
        <v>845</v>
      </c>
      <c r="AV497" s="330">
        <f>SQRT(($R497-Infrastructure!J$3)^2+($S497-Infrastructure!K$3)^2)</f>
        <v>27.88045911</v>
      </c>
      <c r="AW497" s="331">
        <f>SQRT(($R497-Infrastructure!J$4)^2+($S497-Infrastructure!K$4)^2)</f>
        <v>20.08108563</v>
      </c>
      <c r="AX497" s="331">
        <f>SQRT(($R497-Infrastructure!J$5)^2+($S497-Infrastructure!K$5)^2)</f>
        <v>16.65893154</v>
      </c>
      <c r="AY497" s="331">
        <f>SQRT(($R497-Infrastructure!J$6)^2+($S497-Infrastructure!K$6)^2)</f>
        <v>8.768124087</v>
      </c>
      <c r="AZ497" s="331">
        <f>SQRT(($R497-Infrastructure!J$7)^2+($S497-Infrastructure!K$7)^2)</f>
        <v>7.488658091</v>
      </c>
      <c r="BA497" s="331">
        <f>SQRT(($R497-Infrastructure!J$8)^2+($S497-Infrastructure!K$8)^2)</f>
        <v>15.12878052</v>
      </c>
      <c r="BB497" s="331">
        <f>SQRT(($R497-Infrastructure!J$9)^2+($S497-Infrastructure!K$9)^2)</f>
        <v>23.7413142</v>
      </c>
      <c r="BC497" s="331">
        <f>SQRT(($R497-Infrastructure!J$10)^2+($S497-Infrastructure!K$10)^2)</f>
        <v>25.17816514</v>
      </c>
      <c r="BD497" s="318"/>
      <c r="BE497" s="332"/>
      <c r="BF497" s="330">
        <f t="shared" si="14"/>
        <v>7.488658091</v>
      </c>
      <c r="BG497" s="333">
        <f t="shared" si="15"/>
        <v>27.88045911</v>
      </c>
      <c r="BH497" s="613"/>
      <c r="BI497" s="316"/>
      <c r="BJ497" s="318"/>
      <c r="BK497" s="319" t="s">
        <v>846</v>
      </c>
      <c r="BL497" s="319" t="s">
        <v>846</v>
      </c>
      <c r="BM497" s="318"/>
      <c r="BN497" s="318"/>
      <c r="BO497" s="318"/>
      <c r="BP497" s="318"/>
      <c r="BQ497" s="338"/>
      <c r="BR497" s="420"/>
      <c r="BS497" s="330">
        <f t="shared" si="23"/>
        <v>8.768124087</v>
      </c>
      <c r="BT497" s="331">
        <f t="shared" si="24"/>
        <v>16.65893154</v>
      </c>
      <c r="BU497" s="331"/>
      <c r="BV497" s="333"/>
      <c r="BW497" s="614">
        <v>10.75</v>
      </c>
      <c r="BX497" s="615">
        <v>5.56</v>
      </c>
      <c r="BY497" s="331">
        <f t="shared" si="28"/>
        <v>5.629040771</v>
      </c>
      <c r="BZ497" s="340"/>
      <c r="CA497" s="316"/>
      <c r="CB497" s="318"/>
      <c r="CC497" s="318"/>
      <c r="CD497" s="318"/>
      <c r="CE497" s="318"/>
      <c r="CF497" s="318"/>
      <c r="CG497" s="318"/>
      <c r="CH497" s="318"/>
      <c r="CI497" s="338"/>
      <c r="CJ497" s="341"/>
      <c r="CK497" s="342">
        <f t="shared" si="18"/>
        <v>0</v>
      </c>
      <c r="CL497" s="333">
        <f t="shared" si="19"/>
        <v>0</v>
      </c>
      <c r="CM497" s="616"/>
      <c r="CN497" s="617"/>
      <c r="CO497" s="617"/>
      <c r="CP497" s="617"/>
    </row>
    <row r="498">
      <c r="B498" s="462"/>
      <c r="C498" s="417">
        <v>44139.0</v>
      </c>
      <c r="D498" s="318"/>
      <c r="E498" s="319">
        <v>4.0</v>
      </c>
      <c r="F498" s="324"/>
      <c r="G498" s="600">
        <v>0.6694444444444444</v>
      </c>
      <c r="H498" s="601">
        <v>0.6694444444444444</v>
      </c>
      <c r="I498" s="601"/>
      <c r="J498" s="601"/>
      <c r="K498" s="703">
        <v>0.675</v>
      </c>
      <c r="L498" s="323"/>
      <c r="M498" s="319" t="s">
        <v>166</v>
      </c>
      <c r="N498" s="324" t="s">
        <v>187</v>
      </c>
      <c r="O498" s="419" t="s">
        <v>201</v>
      </c>
      <c r="P498" s="319" t="s">
        <v>212</v>
      </c>
      <c r="Q498" s="319"/>
      <c r="R498" s="326"/>
      <c r="S498" s="319"/>
      <c r="T498" s="324"/>
      <c r="U498" s="319">
        <v>5.0</v>
      </c>
      <c r="V498" s="319"/>
      <c r="W498" s="319"/>
      <c r="X498" s="319"/>
      <c r="Y498" s="319"/>
      <c r="Z498" s="319"/>
      <c r="AA498" s="319"/>
      <c r="AB498" s="319"/>
      <c r="AC498" s="327">
        <v>5.0</v>
      </c>
      <c r="AD498" s="319"/>
      <c r="AE498" s="319"/>
      <c r="AF498" s="319"/>
      <c r="AG498" s="319"/>
      <c r="AH498" s="319"/>
      <c r="AI498" s="319"/>
      <c r="AJ498" s="327"/>
      <c r="AK498" s="328"/>
      <c r="AL498" s="319"/>
      <c r="AM498" s="319"/>
      <c r="AN498" s="319"/>
      <c r="AO498" s="319"/>
      <c r="AP498" s="319"/>
      <c r="AQ498" s="319"/>
      <c r="AR498" s="319"/>
      <c r="AS498" s="327"/>
      <c r="AT498" s="461" t="s">
        <v>182</v>
      </c>
      <c r="AU498" s="324" t="s">
        <v>845</v>
      </c>
      <c r="AV498" s="330">
        <f>SQRT(($R498-Infrastructure!J$3)^2+($S498-Infrastructure!K$3)^2)</f>
        <v>28.90155705</v>
      </c>
      <c r="AW498" s="331">
        <f>SQRT(($R498-Infrastructure!J$4)^2+($S498-Infrastructure!K$4)^2)</f>
        <v>17.80252791</v>
      </c>
      <c r="AX498" s="331">
        <f>SQRT(($R498-Infrastructure!J$5)^2+($S498-Infrastructure!K$5)^2)</f>
        <v>5.10881591</v>
      </c>
      <c r="AY498" s="331">
        <f>SQRT(($R498-Infrastructure!J$6)^2+($S498-Infrastructure!K$6)^2)</f>
        <v>10.10445446</v>
      </c>
      <c r="AZ498" s="331">
        <f>SQRT(($R498-Infrastructure!J$7)^2+($S498-Infrastructure!K$7)^2)</f>
        <v>20.502195</v>
      </c>
      <c r="BA498" s="331">
        <f>SQRT(($R498-Infrastructure!J$8)^2+($S498-Infrastructure!K$8)^2)</f>
        <v>30.10149498</v>
      </c>
      <c r="BB498" s="331">
        <f>SQRT(($R498-Infrastructure!J$9)^2+($S498-Infrastructure!K$9)^2)</f>
        <v>40.3238143</v>
      </c>
      <c r="BC498" s="331">
        <f>SQRT(($R498-Infrastructure!J$10)^2+($S498-Infrastructure!K$10)^2)</f>
        <v>42.72001873</v>
      </c>
      <c r="BD498" s="318"/>
      <c r="BE498" s="332"/>
      <c r="BF498" s="330">
        <f t="shared" si="14"/>
        <v>5.10881591</v>
      </c>
      <c r="BG498" s="333">
        <f t="shared" si="15"/>
        <v>42.72001873</v>
      </c>
      <c r="BH498" s="613"/>
      <c r="BI498" s="316"/>
      <c r="BJ498" s="318"/>
      <c r="BK498" s="319" t="s">
        <v>846</v>
      </c>
      <c r="BL498" s="319" t="s">
        <v>846</v>
      </c>
      <c r="BM498" s="319" t="s">
        <v>846</v>
      </c>
      <c r="BN498" s="318"/>
      <c r="BO498" s="318"/>
      <c r="BP498" s="318"/>
      <c r="BQ498" s="338"/>
      <c r="BR498" s="420"/>
      <c r="BS498" s="330">
        <f t="shared" si="23"/>
        <v>5.10881591</v>
      </c>
      <c r="BT498" s="331">
        <f t="shared" si="24"/>
        <v>20.502195</v>
      </c>
      <c r="BU498" s="331"/>
      <c r="BV498" s="333"/>
      <c r="BW498" s="614">
        <v>13.35</v>
      </c>
      <c r="BX498" s="615">
        <v>6.31</v>
      </c>
      <c r="BY498" s="331">
        <f t="shared" si="28"/>
        <v>14.76613016</v>
      </c>
      <c r="BZ498" s="340"/>
      <c r="CA498" s="316"/>
      <c r="CB498" s="318"/>
      <c r="CC498" s="318"/>
      <c r="CD498" s="318"/>
      <c r="CE498" s="318"/>
      <c r="CF498" s="318"/>
      <c r="CG498" s="318"/>
      <c r="CH498" s="318"/>
      <c r="CI498" s="338"/>
      <c r="CJ498" s="341"/>
      <c r="CK498" s="342">
        <f t="shared" si="18"/>
        <v>0</v>
      </c>
      <c r="CL498" s="333">
        <f t="shared" si="19"/>
        <v>0</v>
      </c>
      <c r="CM498" s="616"/>
      <c r="CN498" s="617"/>
      <c r="CO498" s="617"/>
      <c r="CP498" s="617"/>
    </row>
    <row r="499">
      <c r="B499" s="462"/>
      <c r="C499" s="417">
        <v>44139.0</v>
      </c>
      <c r="D499" s="318"/>
      <c r="E499" s="319">
        <v>5.0</v>
      </c>
      <c r="F499" s="324"/>
      <c r="G499" s="600">
        <v>0.6791666666666667</v>
      </c>
      <c r="H499" s="601">
        <v>0.6791666666666667</v>
      </c>
      <c r="I499" s="601"/>
      <c r="J499" s="601"/>
      <c r="K499" s="601">
        <v>0.6909722222222222</v>
      </c>
      <c r="L499" s="323"/>
      <c r="M499" s="319" t="s">
        <v>166</v>
      </c>
      <c r="N499" s="324" t="s">
        <v>187</v>
      </c>
      <c r="O499" s="419" t="s">
        <v>201</v>
      </c>
      <c r="P499" s="319" t="s">
        <v>212</v>
      </c>
      <c r="Q499" s="319"/>
      <c r="R499" s="326"/>
      <c r="S499" s="319"/>
      <c r="T499" s="324"/>
      <c r="U499" s="319">
        <v>1.0</v>
      </c>
      <c r="V499" s="319"/>
      <c r="W499" s="319"/>
      <c r="X499" s="319"/>
      <c r="Y499" s="319"/>
      <c r="Z499" s="319"/>
      <c r="AA499" s="319"/>
      <c r="AB499" s="319"/>
      <c r="AC499" s="327">
        <v>5.0</v>
      </c>
      <c r="AD499" s="319"/>
      <c r="AE499" s="319"/>
      <c r="AF499" s="319"/>
      <c r="AG499" s="319"/>
      <c r="AH499" s="319"/>
      <c r="AI499" s="319"/>
      <c r="AJ499" s="327"/>
      <c r="AK499" s="328"/>
      <c r="AL499" s="319"/>
      <c r="AM499" s="319"/>
      <c r="AN499" s="319"/>
      <c r="AO499" s="319"/>
      <c r="AP499" s="319"/>
      <c r="AQ499" s="319"/>
      <c r="AR499" s="319"/>
      <c r="AS499" s="327"/>
      <c r="AT499" s="461" t="s">
        <v>182</v>
      </c>
      <c r="AU499" s="324" t="s">
        <v>845</v>
      </c>
      <c r="AV499" s="330">
        <f>SQRT(($R499-Infrastructure!J$3)^2+($S499-Infrastructure!K$3)^2)</f>
        <v>28.90155705</v>
      </c>
      <c r="AW499" s="331">
        <f>SQRT(($R499-Infrastructure!J$4)^2+($S499-Infrastructure!K$4)^2)</f>
        <v>17.80252791</v>
      </c>
      <c r="AX499" s="331">
        <f>SQRT(($R499-Infrastructure!J$5)^2+($S499-Infrastructure!K$5)^2)</f>
        <v>5.10881591</v>
      </c>
      <c r="AY499" s="331">
        <f>SQRT(($R499-Infrastructure!J$6)^2+($S499-Infrastructure!K$6)^2)</f>
        <v>10.10445446</v>
      </c>
      <c r="AZ499" s="331">
        <f>SQRT(($R499-Infrastructure!J$7)^2+($S499-Infrastructure!K$7)^2)</f>
        <v>20.502195</v>
      </c>
      <c r="BA499" s="331">
        <f>SQRT(($R499-Infrastructure!J$8)^2+($S499-Infrastructure!K$8)^2)</f>
        <v>30.10149498</v>
      </c>
      <c r="BB499" s="331">
        <f>SQRT(($R499-Infrastructure!J$9)^2+($S499-Infrastructure!K$9)^2)</f>
        <v>40.3238143</v>
      </c>
      <c r="BC499" s="331">
        <f>SQRT(($R499-Infrastructure!J$10)^2+($S499-Infrastructure!K$10)^2)</f>
        <v>42.72001873</v>
      </c>
      <c r="BD499" s="318"/>
      <c r="BE499" s="332"/>
      <c r="BF499" s="330">
        <f t="shared" si="14"/>
        <v>5.10881591</v>
      </c>
      <c r="BG499" s="333">
        <f t="shared" si="15"/>
        <v>42.72001873</v>
      </c>
      <c r="BH499" s="613"/>
      <c r="BI499" s="316"/>
      <c r="BJ499" s="318"/>
      <c r="BK499" s="318"/>
      <c r="BL499" s="319" t="s">
        <v>846</v>
      </c>
      <c r="BM499" s="318"/>
      <c r="BN499" s="318"/>
      <c r="BO499" s="318"/>
      <c r="BP499" s="318"/>
      <c r="BQ499" s="338"/>
      <c r="BR499" s="420"/>
      <c r="BS499" s="330">
        <f t="shared" si="23"/>
        <v>10.10445446</v>
      </c>
      <c r="BT499" s="331">
        <f t="shared" si="24"/>
        <v>10.10445446</v>
      </c>
      <c r="BU499" s="331"/>
      <c r="BV499" s="333"/>
      <c r="BW499" s="614"/>
      <c r="BX499" s="615"/>
      <c r="BY499" s="331" t="b">
        <f t="shared" si="28"/>
        <v>0</v>
      </c>
      <c r="BZ499" s="340"/>
      <c r="CA499" s="316"/>
      <c r="CB499" s="318"/>
      <c r="CC499" s="318"/>
      <c r="CD499" s="318"/>
      <c r="CE499" s="318"/>
      <c r="CF499" s="318"/>
      <c r="CG499" s="318"/>
      <c r="CH499" s="318"/>
      <c r="CI499" s="338"/>
      <c r="CJ499" s="341"/>
      <c r="CK499" s="342">
        <f t="shared" si="18"/>
        <v>0</v>
      </c>
      <c r="CL499" s="333">
        <f t="shared" si="19"/>
        <v>0</v>
      </c>
      <c r="CM499" s="616"/>
      <c r="CN499" s="617"/>
      <c r="CO499" s="617"/>
      <c r="CP499" s="617"/>
    </row>
    <row r="500">
      <c r="B500" s="462"/>
      <c r="C500" s="417">
        <v>44139.0</v>
      </c>
      <c r="D500" s="318"/>
      <c r="E500" s="319">
        <v>6.0</v>
      </c>
      <c r="F500" s="324"/>
      <c r="G500" s="600">
        <v>0.7180555555555556</v>
      </c>
      <c r="H500" s="601">
        <v>0.7180555555555556</v>
      </c>
      <c r="I500" s="601"/>
      <c r="J500" s="601"/>
      <c r="K500" s="601">
        <v>0.7256944444444445</v>
      </c>
      <c r="L500" s="323"/>
      <c r="M500" s="319" t="s">
        <v>166</v>
      </c>
      <c r="N500" s="324" t="s">
        <v>187</v>
      </c>
      <c r="O500" s="419" t="s">
        <v>201</v>
      </c>
      <c r="P500" s="319" t="s">
        <v>212</v>
      </c>
      <c r="Q500" s="319"/>
      <c r="R500" s="326">
        <v>17.0</v>
      </c>
      <c r="S500" s="319">
        <v>7.0</v>
      </c>
      <c r="T500" s="324"/>
      <c r="U500" s="319">
        <v>3.0</v>
      </c>
      <c r="V500" s="319"/>
      <c r="W500" s="319"/>
      <c r="X500" s="319"/>
      <c r="Y500" s="319"/>
      <c r="Z500" s="319"/>
      <c r="AA500" s="319"/>
      <c r="AB500" s="319"/>
      <c r="AC500" s="327">
        <v>6.0</v>
      </c>
      <c r="AD500" s="319"/>
      <c r="AE500" s="319"/>
      <c r="AF500" s="319"/>
      <c r="AG500" s="319"/>
      <c r="AH500" s="319"/>
      <c r="AI500" s="319"/>
      <c r="AJ500" s="327"/>
      <c r="AK500" s="328"/>
      <c r="AL500" s="319"/>
      <c r="AM500" s="319"/>
      <c r="AN500" s="319"/>
      <c r="AO500" s="319"/>
      <c r="AP500" s="319"/>
      <c r="AQ500" s="319"/>
      <c r="AR500" s="319"/>
      <c r="AS500" s="327"/>
      <c r="AT500" s="461" t="s">
        <v>182</v>
      </c>
      <c r="AU500" s="324" t="s">
        <v>845</v>
      </c>
      <c r="AV500" s="330">
        <f>SQRT(($R500-Infrastructure!J$3)^2+($S500-Infrastructure!K$3)^2)</f>
        <v>27.90877998</v>
      </c>
      <c r="AW500" s="331">
        <f>SQRT(($R500-Infrastructure!J$4)^2+($S500-Infrastructure!K$4)^2)</f>
        <v>20.39436197</v>
      </c>
      <c r="AX500" s="331">
        <f>SQRT(($R500-Infrastructure!J$5)^2+($S500-Infrastructure!K$5)^2)</f>
        <v>17.40402252</v>
      </c>
      <c r="AY500" s="331">
        <f>SQRT(($R500-Infrastructure!J$6)^2+($S500-Infrastructure!K$6)^2)</f>
        <v>9.617692031</v>
      </c>
      <c r="AZ500" s="331">
        <f>SQRT(($R500-Infrastructure!J$7)^2+($S500-Infrastructure!K$7)^2)</f>
        <v>7.559100476</v>
      </c>
      <c r="BA500" s="331">
        <f>SQRT(($R500-Infrastructure!J$8)^2+($S500-Infrastructure!K$8)^2)</f>
        <v>14.71393897</v>
      </c>
      <c r="BB500" s="331">
        <f>SQRT(($R500-Infrastructure!J$9)^2+($S500-Infrastructure!K$9)^2)</f>
        <v>23.07834483</v>
      </c>
      <c r="BC500" s="331">
        <f>SQRT(($R500-Infrastructure!J$10)^2+($S500-Infrastructure!K$10)^2)</f>
        <v>24.35159132</v>
      </c>
      <c r="BD500" s="318"/>
      <c r="BE500" s="332"/>
      <c r="BF500" s="330">
        <f t="shared" si="14"/>
        <v>7.559100476</v>
      </c>
      <c r="BG500" s="333">
        <f t="shared" si="15"/>
        <v>27.90877998</v>
      </c>
      <c r="BH500" s="613"/>
      <c r="BI500" s="316"/>
      <c r="BJ500" s="318"/>
      <c r="BK500" s="318"/>
      <c r="BL500" s="319" t="s">
        <v>846</v>
      </c>
      <c r="BM500" s="319" t="s">
        <v>846</v>
      </c>
      <c r="BN500" s="319" t="s">
        <v>846</v>
      </c>
      <c r="BO500" s="318"/>
      <c r="BP500" s="318"/>
      <c r="BQ500" s="338"/>
      <c r="BR500" s="420"/>
      <c r="BS500" s="330">
        <f t="shared" si="23"/>
        <v>7.559100476</v>
      </c>
      <c r="BT500" s="331">
        <f t="shared" si="24"/>
        <v>14.71393897</v>
      </c>
      <c r="BU500" s="331"/>
      <c r="BV500" s="333"/>
      <c r="BW500" s="614">
        <v>15.79</v>
      </c>
      <c r="BX500" s="615">
        <v>3.81</v>
      </c>
      <c r="BY500" s="331">
        <f t="shared" si="28"/>
        <v>3.411773732</v>
      </c>
      <c r="BZ500" s="340"/>
      <c r="CA500" s="316"/>
      <c r="CB500" s="318"/>
      <c r="CC500" s="318"/>
      <c r="CD500" s="318"/>
      <c r="CE500" s="318"/>
      <c r="CF500" s="318"/>
      <c r="CG500" s="318"/>
      <c r="CH500" s="318"/>
      <c r="CI500" s="338"/>
      <c r="CJ500" s="341"/>
      <c r="CK500" s="342">
        <f t="shared" si="18"/>
        <v>0</v>
      </c>
      <c r="CL500" s="333">
        <f t="shared" si="19"/>
        <v>0</v>
      </c>
      <c r="CM500" s="616"/>
      <c r="CN500" s="617"/>
      <c r="CO500" s="617"/>
      <c r="CP500" s="617"/>
    </row>
    <row r="501">
      <c r="B501" s="462"/>
      <c r="C501" s="417">
        <v>44139.0</v>
      </c>
      <c r="D501" s="318"/>
      <c r="E501" s="319">
        <v>7.0</v>
      </c>
      <c r="F501" s="324"/>
      <c r="G501" s="600">
        <v>0.7284722222222223</v>
      </c>
      <c r="H501" s="601">
        <v>0.7284722222222223</v>
      </c>
      <c r="I501" s="601"/>
      <c r="J501" s="601"/>
      <c r="K501" s="703">
        <v>0.7305555555555555</v>
      </c>
      <c r="L501" s="323"/>
      <c r="M501" s="319" t="s">
        <v>166</v>
      </c>
      <c r="N501" s="324" t="s">
        <v>188</v>
      </c>
      <c r="O501" s="419" t="s">
        <v>378</v>
      </c>
      <c r="P501" s="319" t="s">
        <v>225</v>
      </c>
      <c r="Q501" s="319"/>
      <c r="R501" s="326">
        <v>22.4</v>
      </c>
      <c r="S501" s="319">
        <v>39.6</v>
      </c>
      <c r="T501" s="324"/>
      <c r="U501" s="319">
        <v>7.0</v>
      </c>
      <c r="V501" s="319"/>
      <c r="W501" s="319"/>
      <c r="X501" s="319"/>
      <c r="Y501" s="319"/>
      <c r="Z501" s="319"/>
      <c r="AA501" s="319"/>
      <c r="AB501" s="319"/>
      <c r="AC501" s="327">
        <v>22.1</v>
      </c>
      <c r="AD501" s="319"/>
      <c r="AE501" s="319"/>
      <c r="AF501" s="319"/>
      <c r="AG501" s="319"/>
      <c r="AH501" s="319"/>
      <c r="AI501" s="319"/>
      <c r="AJ501" s="327"/>
      <c r="AK501" s="328"/>
      <c r="AL501" s="319"/>
      <c r="AM501" s="319"/>
      <c r="AN501" s="319"/>
      <c r="AO501" s="319"/>
      <c r="AP501" s="319"/>
      <c r="AQ501" s="319"/>
      <c r="AR501" s="319"/>
      <c r="AS501" s="327"/>
      <c r="AT501" s="461" t="s">
        <v>182</v>
      </c>
      <c r="AU501" s="324" t="s">
        <v>845</v>
      </c>
      <c r="AV501" s="330">
        <f>SQRT(($R501-Infrastructure!J$3)^2+($S501-Infrastructure!K$3)^2)</f>
        <v>25.09541791</v>
      </c>
      <c r="AW501" s="331">
        <f>SQRT(($R501-Infrastructure!J$4)^2+($S501-Infrastructure!K$4)^2)</f>
        <v>31.47268657</v>
      </c>
      <c r="AX501" s="331">
        <f>SQRT(($R501-Infrastructure!J$5)^2+($S501-Infrastructure!K$5)^2)</f>
        <v>41.29818398</v>
      </c>
      <c r="AY501" s="331">
        <f>SQRT(($R501-Infrastructure!J$6)^2+($S501-Infrastructure!K$6)^2)</f>
        <v>41.17984944</v>
      </c>
      <c r="AZ501" s="331">
        <f>SQRT(($R501-Infrastructure!J$7)^2+($S501-Infrastructure!K$7)^2)</f>
        <v>39.34590195</v>
      </c>
      <c r="BA501" s="331">
        <f>SQRT(($R501-Infrastructure!J$8)^2+($S501-Infrastructure!K$8)^2)</f>
        <v>40.04722213</v>
      </c>
      <c r="BB501" s="331">
        <f>SQRT(($R501-Infrastructure!J$9)^2+($S501-Infrastructure!K$9)^2)</f>
        <v>38.72996256</v>
      </c>
      <c r="BC501" s="331">
        <f>SQRT(($R501-Infrastructure!J$10)^2+($S501-Infrastructure!K$10)^2)</f>
        <v>30.24764454</v>
      </c>
      <c r="BD501" s="318"/>
      <c r="BE501" s="332"/>
      <c r="BF501" s="330">
        <f t="shared" si="14"/>
        <v>25.09541791</v>
      </c>
      <c r="BG501" s="333">
        <f t="shared" si="15"/>
        <v>41.29818398</v>
      </c>
      <c r="BH501" s="613"/>
      <c r="BI501" s="316"/>
      <c r="BJ501" s="318"/>
      <c r="BK501" s="318"/>
      <c r="BL501" s="319" t="s">
        <v>846</v>
      </c>
      <c r="BM501" s="318"/>
      <c r="BN501" s="318"/>
      <c r="BO501" s="318"/>
      <c r="BP501" s="318"/>
      <c r="BQ501" s="338"/>
      <c r="BR501" s="420"/>
      <c r="BS501" s="330">
        <f t="shared" si="23"/>
        <v>41.17984944</v>
      </c>
      <c r="BT501" s="331">
        <f t="shared" si="24"/>
        <v>41.17984944</v>
      </c>
      <c r="BU501" s="331"/>
      <c r="BV501" s="333"/>
      <c r="BW501" s="614"/>
      <c r="BX501" s="615"/>
      <c r="BY501" s="331" t="b">
        <f t="shared" si="28"/>
        <v>0</v>
      </c>
      <c r="BZ501" s="340"/>
      <c r="CA501" s="316"/>
      <c r="CB501" s="318"/>
      <c r="CC501" s="318"/>
      <c r="CD501" s="318"/>
      <c r="CE501" s="318"/>
      <c r="CF501" s="318"/>
      <c r="CG501" s="318"/>
      <c r="CH501" s="318"/>
      <c r="CI501" s="338"/>
      <c r="CJ501" s="341"/>
      <c r="CK501" s="342">
        <f t="shared" si="18"/>
        <v>0</v>
      </c>
      <c r="CL501" s="333">
        <f t="shared" si="19"/>
        <v>0</v>
      </c>
      <c r="CM501" s="616"/>
      <c r="CN501" s="617"/>
      <c r="CO501" s="617"/>
      <c r="CP501" s="617"/>
    </row>
    <row r="502">
      <c r="B502" s="462"/>
      <c r="C502" s="417">
        <v>44139.0</v>
      </c>
      <c r="D502" s="318"/>
      <c r="E502" s="319"/>
      <c r="F502" s="324"/>
      <c r="G502" s="321">
        <v>0.7305555555555555</v>
      </c>
      <c r="H502" s="323">
        <v>0.7305555555555555</v>
      </c>
      <c r="I502" s="323"/>
      <c r="J502" s="323"/>
      <c r="K502" s="323">
        <v>0.7326388888888888</v>
      </c>
      <c r="L502" s="323"/>
      <c r="M502" s="319" t="s">
        <v>166</v>
      </c>
      <c r="N502" s="324" t="s">
        <v>188</v>
      </c>
      <c r="O502" s="419" t="s">
        <v>378</v>
      </c>
      <c r="P502" s="319" t="s">
        <v>225</v>
      </c>
      <c r="Q502" s="319"/>
      <c r="R502" s="326">
        <v>22.4</v>
      </c>
      <c r="S502" s="319">
        <v>39.6</v>
      </c>
      <c r="T502" s="324"/>
      <c r="U502" s="319">
        <v>10.0</v>
      </c>
      <c r="V502" s="319"/>
      <c r="W502" s="319"/>
      <c r="X502" s="319"/>
      <c r="Y502" s="319"/>
      <c r="Z502" s="319"/>
      <c r="AA502" s="319"/>
      <c r="AB502" s="319"/>
      <c r="AC502" s="327">
        <v>22.1</v>
      </c>
      <c r="AD502" s="319"/>
      <c r="AE502" s="319"/>
      <c r="AF502" s="319"/>
      <c r="AG502" s="319"/>
      <c r="AH502" s="319"/>
      <c r="AI502" s="319"/>
      <c r="AJ502" s="327"/>
      <c r="AK502" s="328"/>
      <c r="AL502" s="319"/>
      <c r="AM502" s="319"/>
      <c r="AN502" s="319"/>
      <c r="AO502" s="319"/>
      <c r="AP502" s="319"/>
      <c r="AQ502" s="319"/>
      <c r="AR502" s="319"/>
      <c r="AS502" s="327"/>
      <c r="AT502" s="461" t="s">
        <v>182</v>
      </c>
      <c r="AU502" s="324" t="s">
        <v>845</v>
      </c>
      <c r="AV502" s="330">
        <f>SQRT(($R502-Infrastructure!J$3)^2+($S502-Infrastructure!K$3)^2)</f>
        <v>25.09541791</v>
      </c>
      <c r="AW502" s="331">
        <f>SQRT(($R502-Infrastructure!J$4)^2+($S502-Infrastructure!K$4)^2)</f>
        <v>31.47268657</v>
      </c>
      <c r="AX502" s="331">
        <f>SQRT(($R502-Infrastructure!J$5)^2+($S502-Infrastructure!K$5)^2)</f>
        <v>41.29818398</v>
      </c>
      <c r="AY502" s="331">
        <f>SQRT(($R502-Infrastructure!J$6)^2+($S502-Infrastructure!K$6)^2)</f>
        <v>41.17984944</v>
      </c>
      <c r="AZ502" s="331">
        <f>SQRT(($R502-Infrastructure!J$7)^2+($S502-Infrastructure!K$7)^2)</f>
        <v>39.34590195</v>
      </c>
      <c r="BA502" s="331">
        <f>SQRT(($R502-Infrastructure!J$8)^2+($S502-Infrastructure!K$8)^2)</f>
        <v>40.04722213</v>
      </c>
      <c r="BB502" s="331">
        <f>SQRT(($R502-Infrastructure!J$9)^2+($S502-Infrastructure!K$9)^2)</f>
        <v>38.72996256</v>
      </c>
      <c r="BC502" s="331">
        <f>SQRT(($R502-Infrastructure!J$10)^2+($S502-Infrastructure!K$10)^2)</f>
        <v>30.24764454</v>
      </c>
      <c r="BD502" s="318"/>
      <c r="BE502" s="332"/>
      <c r="BF502" s="330">
        <f t="shared" si="14"/>
        <v>25.09541791</v>
      </c>
      <c r="BG502" s="333">
        <f t="shared" si="15"/>
        <v>41.29818398</v>
      </c>
      <c r="BH502" s="613"/>
      <c r="BI502" s="316"/>
      <c r="BJ502" s="318"/>
      <c r="BK502" s="318"/>
      <c r="BL502" s="318"/>
      <c r="BM502" s="318"/>
      <c r="BN502" s="318"/>
      <c r="BO502" s="318"/>
      <c r="BP502" s="318"/>
      <c r="BQ502" s="338"/>
      <c r="BR502" s="420"/>
      <c r="BS502" s="330">
        <f t="shared" si="23"/>
        <v>0</v>
      </c>
      <c r="BT502" s="331">
        <f t="shared" si="24"/>
        <v>0</v>
      </c>
      <c r="BU502" s="331"/>
      <c r="BV502" s="333"/>
      <c r="BW502" s="330"/>
      <c r="BX502" s="331"/>
      <c r="BY502" s="331" t="b">
        <f t="shared" si="28"/>
        <v>0</v>
      </c>
      <c r="BZ502" s="340"/>
      <c r="CA502" s="316"/>
      <c r="CB502" s="318"/>
      <c r="CC502" s="318"/>
      <c r="CD502" s="318"/>
      <c r="CE502" s="318"/>
      <c r="CF502" s="318"/>
      <c r="CG502" s="318"/>
      <c r="CH502" s="318"/>
      <c r="CI502" s="338"/>
      <c r="CJ502" s="341"/>
      <c r="CK502" s="342">
        <f t="shared" si="18"/>
        <v>0</v>
      </c>
      <c r="CL502" s="333">
        <f t="shared" si="19"/>
        <v>0</v>
      </c>
      <c r="CM502" s="702" t="s">
        <v>1224</v>
      </c>
      <c r="CN502" s="595"/>
      <c r="CO502" s="595"/>
      <c r="CP502" s="595"/>
    </row>
    <row r="503">
      <c r="B503" s="462"/>
      <c r="C503" s="417">
        <v>44139.0</v>
      </c>
      <c r="D503" s="318"/>
      <c r="E503" s="319"/>
      <c r="F503" s="324"/>
      <c r="G503" s="321">
        <v>0.7326388888888888</v>
      </c>
      <c r="H503" s="323">
        <v>0.7326388888888888</v>
      </c>
      <c r="I503" s="323"/>
      <c r="J503" s="323"/>
      <c r="K503" s="323">
        <v>0.7347222222222223</v>
      </c>
      <c r="L503" s="323"/>
      <c r="M503" s="319" t="s">
        <v>166</v>
      </c>
      <c r="N503" s="324" t="s">
        <v>188</v>
      </c>
      <c r="O503" s="419" t="s">
        <v>378</v>
      </c>
      <c r="P503" s="319" t="s">
        <v>225</v>
      </c>
      <c r="Q503" s="319"/>
      <c r="R503" s="326">
        <v>22.4</v>
      </c>
      <c r="S503" s="319">
        <v>39.6</v>
      </c>
      <c r="T503" s="324"/>
      <c r="U503" s="319">
        <v>13.0</v>
      </c>
      <c r="V503" s="319"/>
      <c r="W503" s="319"/>
      <c r="X503" s="319"/>
      <c r="Y503" s="319"/>
      <c r="Z503" s="319"/>
      <c r="AA503" s="319"/>
      <c r="AB503" s="319"/>
      <c r="AC503" s="327">
        <v>22.1</v>
      </c>
      <c r="AD503" s="319"/>
      <c r="AE503" s="319"/>
      <c r="AF503" s="319"/>
      <c r="AG503" s="319"/>
      <c r="AH503" s="319"/>
      <c r="AI503" s="319"/>
      <c r="AJ503" s="327"/>
      <c r="AK503" s="328"/>
      <c r="AL503" s="319"/>
      <c r="AM503" s="319"/>
      <c r="AN503" s="319"/>
      <c r="AO503" s="319"/>
      <c r="AP503" s="319"/>
      <c r="AQ503" s="319"/>
      <c r="AR503" s="319"/>
      <c r="AS503" s="327"/>
      <c r="AT503" s="461" t="s">
        <v>183</v>
      </c>
      <c r="AU503" s="324" t="s">
        <v>845</v>
      </c>
      <c r="AV503" s="330">
        <f>SQRT(($R503-Infrastructure!J$3)^2+($S503-Infrastructure!K$3)^2)</f>
        <v>25.09541791</v>
      </c>
      <c r="AW503" s="331">
        <f>SQRT(($R503-Infrastructure!J$4)^2+($S503-Infrastructure!K$4)^2)</f>
        <v>31.47268657</v>
      </c>
      <c r="AX503" s="331">
        <f>SQRT(($R503-Infrastructure!J$5)^2+($S503-Infrastructure!K$5)^2)</f>
        <v>41.29818398</v>
      </c>
      <c r="AY503" s="331">
        <f>SQRT(($R503-Infrastructure!J$6)^2+($S503-Infrastructure!K$6)^2)</f>
        <v>41.17984944</v>
      </c>
      <c r="AZ503" s="331">
        <f>SQRT(($R503-Infrastructure!J$7)^2+($S503-Infrastructure!K$7)^2)</f>
        <v>39.34590195</v>
      </c>
      <c r="BA503" s="331">
        <f>SQRT(($R503-Infrastructure!J$8)^2+($S503-Infrastructure!K$8)^2)</f>
        <v>40.04722213</v>
      </c>
      <c r="BB503" s="331">
        <f>SQRT(($R503-Infrastructure!J$9)^2+($S503-Infrastructure!K$9)^2)</f>
        <v>38.72996256</v>
      </c>
      <c r="BC503" s="331">
        <f>SQRT(($R503-Infrastructure!J$10)^2+($S503-Infrastructure!K$10)^2)</f>
        <v>30.24764454</v>
      </c>
      <c r="BD503" s="318"/>
      <c r="BE503" s="332"/>
      <c r="BF503" s="330">
        <f t="shared" si="14"/>
        <v>25.09541791</v>
      </c>
      <c r="BG503" s="333">
        <f t="shared" si="15"/>
        <v>41.29818398</v>
      </c>
      <c r="BH503" s="613"/>
      <c r="BI503" s="316"/>
      <c r="BJ503" s="318"/>
      <c r="BK503" s="318"/>
      <c r="BL503" s="318"/>
      <c r="BM503" s="318"/>
      <c r="BN503" s="318"/>
      <c r="BO503" s="318"/>
      <c r="BP503" s="318"/>
      <c r="BQ503" s="338"/>
      <c r="BR503" s="420"/>
      <c r="BS503" s="330">
        <f t="shared" si="23"/>
        <v>0</v>
      </c>
      <c r="BT503" s="331">
        <f t="shared" si="24"/>
        <v>0</v>
      </c>
      <c r="BU503" s="331"/>
      <c r="BV503" s="333"/>
      <c r="BW503" s="330"/>
      <c r="BX503" s="331"/>
      <c r="BY503" s="331" t="b">
        <f t="shared" si="28"/>
        <v>0</v>
      </c>
      <c r="BZ503" s="340"/>
      <c r="CA503" s="316"/>
      <c r="CB503" s="318"/>
      <c r="CC503" s="318"/>
      <c r="CD503" s="318"/>
      <c r="CE503" s="318"/>
      <c r="CF503" s="318"/>
      <c r="CG503" s="318"/>
      <c r="CH503" s="318"/>
      <c r="CI503" s="338"/>
      <c r="CJ503" s="341"/>
      <c r="CK503" s="342">
        <f t="shared" si="18"/>
        <v>0</v>
      </c>
      <c r="CL503" s="333">
        <f t="shared" si="19"/>
        <v>0</v>
      </c>
      <c r="CM503" s="702" t="s">
        <v>1224</v>
      </c>
      <c r="CN503" s="595"/>
      <c r="CO503" s="595"/>
      <c r="CP503" s="595"/>
    </row>
    <row r="504">
      <c r="A504" s="634"/>
      <c r="B504" s="635"/>
      <c r="C504" s="417">
        <v>44139.0</v>
      </c>
      <c r="D504" s="318"/>
      <c r="E504" s="319">
        <v>8.0</v>
      </c>
      <c r="F504" s="324"/>
      <c r="G504" s="321">
        <v>0.7347222222222223</v>
      </c>
      <c r="H504" s="323">
        <v>0.7347222222222223</v>
      </c>
      <c r="I504" s="323"/>
      <c r="J504" s="323"/>
      <c r="K504" s="323">
        <v>0.7361111111111112</v>
      </c>
      <c r="L504" s="323"/>
      <c r="M504" s="319" t="s">
        <v>166</v>
      </c>
      <c r="N504" s="324" t="s">
        <v>188</v>
      </c>
      <c r="O504" s="419" t="s">
        <v>196</v>
      </c>
      <c r="P504" s="319" t="s">
        <v>224</v>
      </c>
      <c r="Q504" s="319"/>
      <c r="R504" s="326">
        <v>21.4</v>
      </c>
      <c r="S504" s="319">
        <v>39.3</v>
      </c>
      <c r="T504" s="324"/>
      <c r="U504" s="319">
        <v>20.0</v>
      </c>
      <c r="V504" s="319"/>
      <c r="W504" s="319"/>
      <c r="X504" s="319"/>
      <c r="Y504" s="319"/>
      <c r="Z504" s="319"/>
      <c r="AA504" s="319"/>
      <c r="AB504" s="319"/>
      <c r="AC504" s="327">
        <v>102.3</v>
      </c>
      <c r="AD504" s="319"/>
      <c r="AE504" s="319"/>
      <c r="AF504" s="319"/>
      <c r="AG504" s="319"/>
      <c r="AH504" s="319"/>
      <c r="AI504" s="319"/>
      <c r="AJ504" s="327"/>
      <c r="AK504" s="328"/>
      <c r="AL504" s="319"/>
      <c r="AM504" s="319"/>
      <c r="AN504" s="319"/>
      <c r="AO504" s="319"/>
      <c r="AP504" s="319"/>
      <c r="AQ504" s="319"/>
      <c r="AR504" s="319"/>
      <c r="AS504" s="327"/>
      <c r="AT504" s="636" t="s">
        <v>183</v>
      </c>
      <c r="AU504" s="637" t="s">
        <v>845</v>
      </c>
      <c r="AV504" s="330">
        <f>SQRT(($R504-Infrastructure!J$3)^2+($S504-Infrastructure!K$3)^2)</f>
        <v>24.06345777</v>
      </c>
      <c r="AW504" s="331">
        <f>SQRT(($R504-Infrastructure!J$4)^2+($S504-Infrastructure!K$4)^2)</f>
        <v>30.54734031</v>
      </c>
      <c r="AX504" s="331">
        <f>SQRT(($R504-Infrastructure!J$5)^2+($S504-Infrastructure!K$5)^2)</f>
        <v>40.50345664</v>
      </c>
      <c r="AY504" s="331">
        <f>SQRT(($R504-Infrastructure!J$6)^2+($S504-Infrastructure!K$6)^2)</f>
        <v>40.60406384</v>
      </c>
      <c r="AZ504" s="331">
        <f>SQRT(($R504-Infrastructure!J$7)^2+($S504-Infrastructure!K$7)^2)</f>
        <v>39.01038323</v>
      </c>
      <c r="BA504" s="331">
        <f>SQRT(($R504-Infrastructure!J$8)^2+($S504-Infrastructure!K$8)^2)</f>
        <v>39.95860358</v>
      </c>
      <c r="BB504" s="331">
        <f>SQRT(($R504-Infrastructure!J$9)^2+($S504-Infrastructure!K$9)^2)</f>
        <v>38.93070767</v>
      </c>
      <c r="BC504" s="331">
        <f>SQRT(($R504-Infrastructure!J$10)^2+($S504-Infrastructure!K$10)^2)</f>
        <v>30.60147055</v>
      </c>
      <c r="BD504" s="318"/>
      <c r="BE504" s="332"/>
      <c r="BF504" s="330">
        <f t="shared" si="14"/>
        <v>24.06345777</v>
      </c>
      <c r="BG504" s="333">
        <f t="shared" si="15"/>
        <v>40.60406384</v>
      </c>
      <c r="BH504" s="638"/>
      <c r="BI504" s="639"/>
      <c r="BJ504" s="640"/>
      <c r="BK504" s="640"/>
      <c r="BL504" s="640"/>
      <c r="BM504" s="640"/>
      <c r="BN504" s="640"/>
      <c r="BO504" s="640"/>
      <c r="BP504" s="640"/>
      <c r="BQ504" s="338"/>
      <c r="BR504" s="420"/>
      <c r="BS504" s="330">
        <f t="shared" si="23"/>
        <v>0</v>
      </c>
      <c r="BT504" s="331">
        <f t="shared" si="24"/>
        <v>0</v>
      </c>
      <c r="BU504" s="641"/>
      <c r="BV504" s="642"/>
      <c r="BW504" s="643"/>
      <c r="BX504" s="644"/>
      <c r="BY504" s="331" t="b">
        <f t="shared" si="28"/>
        <v>0</v>
      </c>
      <c r="BZ504" s="340"/>
      <c r="CA504" s="639"/>
      <c r="CB504" s="640"/>
      <c r="CC504" s="640"/>
      <c r="CD504" s="640"/>
      <c r="CE504" s="640"/>
      <c r="CF504" s="640"/>
      <c r="CG504" s="640"/>
      <c r="CH504" s="640"/>
      <c r="CI504" s="645"/>
      <c r="CJ504" s="646"/>
      <c r="CK504" s="342">
        <f t="shared" si="18"/>
        <v>0</v>
      </c>
      <c r="CL504" s="333">
        <f t="shared" si="19"/>
        <v>0</v>
      </c>
      <c r="CM504" s="647"/>
      <c r="CN504" s="617"/>
      <c r="CO504" s="617"/>
      <c r="CP504" s="617"/>
    </row>
    <row r="505">
      <c r="A505" s="389" t="s">
        <v>34</v>
      </c>
      <c r="B505" s="573"/>
      <c r="C505" s="574">
        <v>44140.0</v>
      </c>
      <c r="D505" s="575" t="s">
        <v>1214</v>
      </c>
      <c r="E505" s="576">
        <v>12.0</v>
      </c>
      <c r="F505" s="704" t="str">
        <f t="shared" ref="F505:F526" si="29">YEAR(C505)&amp;B505&amp;"/"&amp;TEXT(DAY(C505),"00")&amp;"-"&amp;IF(ISNUMBER(E505)=FALSE,IF(ISNUMBER(VALUE(LEFT(E505,2)))=FALSE,TEXT(LEFT(E505,1),"00")&amp;MID(E505,2,100),LEFT(E505,2)&amp;MID(E505,3,100)),TEXT(E505,"00"))</f>
        <v>2020/05-12</v>
      </c>
      <c r="G505" s="648">
        <v>0.4513888888888889</v>
      </c>
      <c r="H505" s="396">
        <v>0.4513888888888889</v>
      </c>
      <c r="I505" s="396"/>
      <c r="J505" s="396"/>
      <c r="K505" s="396">
        <v>0.4527777777777778</v>
      </c>
      <c r="L505" s="580">
        <f t="shared" ref="L505:L526" si="30">K505-H505</f>
        <v>0.001388888889</v>
      </c>
      <c r="M505" s="581" t="s">
        <v>166</v>
      </c>
      <c r="N505" s="582" t="s">
        <v>188</v>
      </c>
      <c r="O505" s="399" t="s">
        <v>196</v>
      </c>
      <c r="P505" s="583" t="s">
        <v>224</v>
      </c>
      <c r="Q505" s="581" t="s">
        <v>842</v>
      </c>
      <c r="R505" s="584">
        <v>21.4</v>
      </c>
      <c r="S505" s="585">
        <v>39.3</v>
      </c>
      <c r="T505" s="586">
        <v>1.2</v>
      </c>
      <c r="U505" s="587">
        <v>20.0</v>
      </c>
      <c r="V505" s="587"/>
      <c r="W505" s="587"/>
      <c r="X505" s="587"/>
      <c r="Y505" s="587"/>
      <c r="Z505" s="581" t="s">
        <v>387</v>
      </c>
      <c r="AA505" s="581"/>
      <c r="AB505" s="653" t="s">
        <v>422</v>
      </c>
      <c r="AC505" s="654">
        <v>102.3</v>
      </c>
      <c r="AD505" s="653"/>
      <c r="AE505" s="653"/>
      <c r="AF505" s="653"/>
      <c r="AG505" s="653"/>
      <c r="AH505" s="653"/>
      <c r="AI505" s="653"/>
      <c r="AJ505" s="654"/>
      <c r="AK505" s="655"/>
      <c r="AL505" s="653"/>
      <c r="AM505" s="653"/>
      <c r="AN505" s="653"/>
      <c r="AO505" s="653"/>
      <c r="AP505" s="653"/>
      <c r="AQ505" s="653"/>
      <c r="AR505" s="653"/>
      <c r="AS505" s="654"/>
      <c r="AT505" s="460" t="s">
        <v>183</v>
      </c>
      <c r="AU505" s="394" t="s">
        <v>845</v>
      </c>
      <c r="AV505" s="405">
        <f>SQRT(($R505-Infrastructure!J$3)^2+($S505-Infrastructure!K$3)^2)</f>
        <v>24.06345777</v>
      </c>
      <c r="AW505" s="406">
        <f>SQRT(($R505-Infrastructure!J$4)^2+($S505-Infrastructure!K$4)^2)</f>
        <v>30.54734031</v>
      </c>
      <c r="AX505" s="406">
        <f>SQRT(($R505-Infrastructure!J$5)^2+($S505-Infrastructure!K$5)^2)</f>
        <v>40.50345664</v>
      </c>
      <c r="AY505" s="406">
        <f>SQRT(($R505-Infrastructure!J$6)^2+($S505-Infrastructure!K$6)^2)</f>
        <v>40.60406384</v>
      </c>
      <c r="AZ505" s="406">
        <f>SQRT(($R505-Infrastructure!J$7)^2+($S505-Infrastructure!K$7)^2)</f>
        <v>39.01038323</v>
      </c>
      <c r="BA505" s="406">
        <f>SQRT(($R505-Infrastructure!J$8)^2+($S505-Infrastructure!K$8)^2)</f>
        <v>39.95860358</v>
      </c>
      <c r="BB505" s="406">
        <f>SQRT(($R505-Infrastructure!J$9)^2+($S505-Infrastructure!K$9)^2)</f>
        <v>38.93070767</v>
      </c>
      <c r="BC505" s="406">
        <f>SQRT(($R505-Infrastructure!J$10)^2+($S505-Infrastructure!K$10)^2)</f>
        <v>30.60147055</v>
      </c>
      <c r="BD505" s="392"/>
      <c r="BE505" s="407"/>
      <c r="BF505" s="330">
        <f t="shared" si="14"/>
        <v>24.06345777</v>
      </c>
      <c r="BG505" s="333">
        <f t="shared" si="15"/>
        <v>40.60406384</v>
      </c>
      <c r="BH505" s="591"/>
      <c r="BI505" s="390"/>
      <c r="BJ505" s="392"/>
      <c r="BK505" s="392"/>
      <c r="BL505" s="392"/>
      <c r="BM505" s="392"/>
      <c r="BN505" s="392"/>
      <c r="BO505" s="392"/>
      <c r="BP505" s="392"/>
      <c r="BQ505" s="410"/>
      <c r="BR505" s="411"/>
      <c r="BS505" s="330">
        <f t="shared" si="23"/>
        <v>0</v>
      </c>
      <c r="BT505" s="331">
        <f t="shared" si="24"/>
        <v>0</v>
      </c>
      <c r="BU505" s="406"/>
      <c r="BV505" s="408"/>
      <c r="BW505" s="592"/>
      <c r="BX505" s="593"/>
      <c r="BY505" s="406" t="b">
        <f t="shared" si="28"/>
        <v>0</v>
      </c>
      <c r="BZ505" s="412"/>
      <c r="CA505" s="390"/>
      <c r="CB505" s="392"/>
      <c r="CC505" s="392"/>
      <c r="CD505" s="392"/>
      <c r="CE505" s="392"/>
      <c r="CF505" s="392"/>
      <c r="CG505" s="392"/>
      <c r="CH505" s="392"/>
      <c r="CI505" s="410"/>
      <c r="CJ505" s="413"/>
      <c r="CK505" s="342">
        <f t="shared" si="18"/>
        <v>0</v>
      </c>
      <c r="CL505" s="333">
        <f t="shared" si="19"/>
        <v>0</v>
      </c>
      <c r="CM505" s="656"/>
      <c r="CN505" s="617"/>
      <c r="CO505" s="617"/>
      <c r="CP505" s="617"/>
    </row>
    <row r="506">
      <c r="B506" s="462"/>
      <c r="C506" s="596">
        <v>44140.0</v>
      </c>
      <c r="D506" s="597" t="s">
        <v>1214</v>
      </c>
      <c r="E506" s="598">
        <v>13.0</v>
      </c>
      <c r="F506" s="599" t="str">
        <f t="shared" si="29"/>
        <v>2020/05-13</v>
      </c>
      <c r="G506" s="657">
        <v>0.45416666666666666</v>
      </c>
      <c r="H506" s="322">
        <v>0.45416666666666666</v>
      </c>
      <c r="I506" s="322"/>
      <c r="J506" s="322"/>
      <c r="K506" s="322">
        <v>0.45555555555555555</v>
      </c>
      <c r="L506" s="602">
        <f t="shared" si="30"/>
        <v>0.001388888889</v>
      </c>
      <c r="M506" s="603" t="s">
        <v>166</v>
      </c>
      <c r="N506" s="604" t="s">
        <v>188</v>
      </c>
      <c r="O506" s="419" t="s">
        <v>196</v>
      </c>
      <c r="P506" s="605" t="s">
        <v>224</v>
      </c>
      <c r="Q506" s="603" t="s">
        <v>842</v>
      </c>
      <c r="R506" s="606">
        <v>21.4</v>
      </c>
      <c r="S506" s="620">
        <v>39.3</v>
      </c>
      <c r="T506" s="618">
        <v>1.2</v>
      </c>
      <c r="U506" s="609">
        <v>16.0</v>
      </c>
      <c r="V506" s="609"/>
      <c r="W506" s="609"/>
      <c r="X506" s="609"/>
      <c r="Y506" s="609"/>
      <c r="Z506" s="603" t="s">
        <v>387</v>
      </c>
      <c r="AA506" s="603"/>
      <c r="AB506" s="610" t="s">
        <v>422</v>
      </c>
      <c r="AC506" s="611">
        <v>102.3</v>
      </c>
      <c r="AD506" s="610"/>
      <c r="AE506" s="610"/>
      <c r="AF506" s="610"/>
      <c r="AG506" s="610"/>
      <c r="AH506" s="610"/>
      <c r="AI506" s="610"/>
      <c r="AJ506" s="611"/>
      <c r="AK506" s="612"/>
      <c r="AL506" s="610"/>
      <c r="AM506" s="610"/>
      <c r="AN506" s="610"/>
      <c r="AO506" s="610"/>
      <c r="AP506" s="610"/>
      <c r="AQ506" s="610"/>
      <c r="AR506" s="610"/>
      <c r="AS506" s="611"/>
      <c r="AT506" s="461" t="s">
        <v>183</v>
      </c>
      <c r="AU506" s="324" t="s">
        <v>845</v>
      </c>
      <c r="AV506" s="330">
        <f>SQRT(($R506-Infrastructure!J$3)^2+($S506-Infrastructure!K$3)^2)</f>
        <v>24.06345777</v>
      </c>
      <c r="AW506" s="331">
        <f>SQRT(($R506-Infrastructure!J$4)^2+($S506-Infrastructure!K$4)^2)</f>
        <v>30.54734031</v>
      </c>
      <c r="AX506" s="331">
        <f>SQRT(($R506-Infrastructure!J$5)^2+($S506-Infrastructure!K$5)^2)</f>
        <v>40.50345664</v>
      </c>
      <c r="AY506" s="331">
        <f>SQRT(($R506-Infrastructure!J$6)^2+($S506-Infrastructure!K$6)^2)</f>
        <v>40.60406384</v>
      </c>
      <c r="AZ506" s="331">
        <f>SQRT(($R506-Infrastructure!J$7)^2+($S506-Infrastructure!K$7)^2)</f>
        <v>39.01038323</v>
      </c>
      <c r="BA506" s="331">
        <f>SQRT(($R506-Infrastructure!J$8)^2+($S506-Infrastructure!K$8)^2)</f>
        <v>39.95860358</v>
      </c>
      <c r="BB506" s="331">
        <f>SQRT(($R506-Infrastructure!J$9)^2+($S506-Infrastructure!K$9)^2)</f>
        <v>38.93070767</v>
      </c>
      <c r="BC506" s="331">
        <f>SQRT(($R506-Infrastructure!J$10)^2+($S506-Infrastructure!K$10)^2)</f>
        <v>30.60147055</v>
      </c>
      <c r="BD506" s="318"/>
      <c r="BE506" s="332"/>
      <c r="BF506" s="330">
        <f t="shared" si="14"/>
        <v>24.06345777</v>
      </c>
      <c r="BG506" s="333">
        <f t="shared" si="15"/>
        <v>40.60406384</v>
      </c>
      <c r="BH506" s="613"/>
      <c r="BI506" s="316"/>
      <c r="BJ506" s="318"/>
      <c r="BK506" s="318"/>
      <c r="BL506" s="318"/>
      <c r="BM506" s="318"/>
      <c r="BN506" s="318"/>
      <c r="BO506" s="318"/>
      <c r="BP506" s="318"/>
      <c r="BQ506" s="338"/>
      <c r="BR506" s="420"/>
      <c r="BS506" s="330">
        <f t="shared" si="23"/>
        <v>0</v>
      </c>
      <c r="BT506" s="331">
        <f t="shared" si="24"/>
        <v>0</v>
      </c>
      <c r="BU506" s="331"/>
      <c r="BV506" s="333"/>
      <c r="BW506" s="614"/>
      <c r="BX506" s="615"/>
      <c r="BY506" s="331" t="b">
        <f t="shared" si="28"/>
        <v>0</v>
      </c>
      <c r="BZ506" s="340"/>
      <c r="CA506" s="316"/>
      <c r="CB506" s="318"/>
      <c r="CC506" s="318"/>
      <c r="CD506" s="318"/>
      <c r="CE506" s="318"/>
      <c r="CF506" s="318"/>
      <c r="CG506" s="318"/>
      <c r="CH506" s="318"/>
      <c r="CI506" s="338"/>
      <c r="CJ506" s="341"/>
      <c r="CK506" s="342">
        <f t="shared" si="18"/>
        <v>0</v>
      </c>
      <c r="CL506" s="333">
        <f t="shared" si="19"/>
        <v>0</v>
      </c>
      <c r="CM506" s="616"/>
      <c r="CN506" s="617"/>
      <c r="CO506" s="617"/>
      <c r="CP506" s="617"/>
    </row>
    <row r="507">
      <c r="B507" s="462"/>
      <c r="C507" s="596">
        <v>44140.0</v>
      </c>
      <c r="D507" s="597" t="s">
        <v>1214</v>
      </c>
      <c r="E507" s="598">
        <v>14.0</v>
      </c>
      <c r="F507" s="599" t="str">
        <f t="shared" si="29"/>
        <v>2020/05-14</v>
      </c>
      <c r="G507" s="657">
        <v>0.45555555555555555</v>
      </c>
      <c r="H507" s="322">
        <v>0.45555555555555555</v>
      </c>
      <c r="I507" s="322"/>
      <c r="J507" s="322"/>
      <c r="K507" s="322">
        <v>0.4576388888888889</v>
      </c>
      <c r="L507" s="602">
        <f t="shared" si="30"/>
        <v>0.002083333333</v>
      </c>
      <c r="M507" s="603" t="s">
        <v>166</v>
      </c>
      <c r="N507" s="604" t="s">
        <v>188</v>
      </c>
      <c r="O507" s="419" t="s">
        <v>196</v>
      </c>
      <c r="P507" s="605" t="s">
        <v>224</v>
      </c>
      <c r="Q507" s="603" t="s">
        <v>842</v>
      </c>
      <c r="R507" s="606">
        <v>21.4</v>
      </c>
      <c r="S507" s="620">
        <v>39.3</v>
      </c>
      <c r="T507" s="618">
        <v>1.2</v>
      </c>
      <c r="U507" s="609">
        <v>14.0</v>
      </c>
      <c r="V507" s="609"/>
      <c r="W507" s="609"/>
      <c r="X507" s="609"/>
      <c r="Y507" s="609"/>
      <c r="Z507" s="603" t="s">
        <v>387</v>
      </c>
      <c r="AA507" s="603"/>
      <c r="AB507" s="610" t="s">
        <v>422</v>
      </c>
      <c r="AC507" s="611">
        <v>102.3</v>
      </c>
      <c r="AD507" s="610"/>
      <c r="AE507" s="610"/>
      <c r="AF507" s="610"/>
      <c r="AG507" s="610"/>
      <c r="AH507" s="610"/>
      <c r="AI507" s="610"/>
      <c r="AJ507" s="611"/>
      <c r="AK507" s="612"/>
      <c r="AL507" s="610"/>
      <c r="AM507" s="610"/>
      <c r="AN507" s="610"/>
      <c r="AO507" s="610"/>
      <c r="AP507" s="610"/>
      <c r="AQ507" s="610"/>
      <c r="AR507" s="610"/>
      <c r="AS507" s="611"/>
      <c r="AT507" s="461" t="s">
        <v>183</v>
      </c>
      <c r="AU507" s="324" t="s">
        <v>845</v>
      </c>
      <c r="AV507" s="330">
        <f>SQRT(($R507-Infrastructure!J$3)^2+($S507-Infrastructure!K$3)^2)</f>
        <v>24.06345777</v>
      </c>
      <c r="AW507" s="331">
        <f>SQRT(($R507-Infrastructure!J$4)^2+($S507-Infrastructure!K$4)^2)</f>
        <v>30.54734031</v>
      </c>
      <c r="AX507" s="331">
        <f>SQRT(($R507-Infrastructure!J$5)^2+($S507-Infrastructure!K$5)^2)</f>
        <v>40.50345664</v>
      </c>
      <c r="AY507" s="331">
        <f>SQRT(($R507-Infrastructure!J$6)^2+($S507-Infrastructure!K$6)^2)</f>
        <v>40.60406384</v>
      </c>
      <c r="AZ507" s="331">
        <f>SQRT(($R507-Infrastructure!J$7)^2+($S507-Infrastructure!K$7)^2)</f>
        <v>39.01038323</v>
      </c>
      <c r="BA507" s="331">
        <f>SQRT(($R507-Infrastructure!J$8)^2+($S507-Infrastructure!K$8)^2)</f>
        <v>39.95860358</v>
      </c>
      <c r="BB507" s="331">
        <f>SQRT(($R507-Infrastructure!J$9)^2+($S507-Infrastructure!K$9)^2)</f>
        <v>38.93070767</v>
      </c>
      <c r="BC507" s="331">
        <f>SQRT(($R507-Infrastructure!J$10)^2+($S507-Infrastructure!K$10)^2)</f>
        <v>30.60147055</v>
      </c>
      <c r="BD507" s="318"/>
      <c r="BE507" s="332"/>
      <c r="BF507" s="330">
        <f t="shared" si="14"/>
        <v>24.06345777</v>
      </c>
      <c r="BG507" s="333">
        <f t="shared" si="15"/>
        <v>40.60406384</v>
      </c>
      <c r="BH507" s="613"/>
      <c r="BI507" s="316"/>
      <c r="BJ507" s="318"/>
      <c r="BK507" s="318"/>
      <c r="BL507" s="318"/>
      <c r="BM507" s="318"/>
      <c r="BN507" s="318"/>
      <c r="BO507" s="318"/>
      <c r="BP507" s="318"/>
      <c r="BQ507" s="338"/>
      <c r="BR507" s="420"/>
      <c r="BS507" s="330">
        <f t="shared" si="23"/>
        <v>0</v>
      </c>
      <c r="BT507" s="331">
        <f t="shared" si="24"/>
        <v>0</v>
      </c>
      <c r="BU507" s="331"/>
      <c r="BV507" s="333"/>
      <c r="BW507" s="614"/>
      <c r="BX507" s="615"/>
      <c r="BY507" s="331" t="b">
        <f t="shared" si="28"/>
        <v>0</v>
      </c>
      <c r="BZ507" s="340"/>
      <c r="CA507" s="316"/>
      <c r="CB507" s="318"/>
      <c r="CC507" s="318"/>
      <c r="CD507" s="318"/>
      <c r="CE507" s="318"/>
      <c r="CF507" s="318"/>
      <c r="CG507" s="318"/>
      <c r="CH507" s="318"/>
      <c r="CI507" s="338"/>
      <c r="CJ507" s="341"/>
      <c r="CK507" s="342">
        <f t="shared" si="18"/>
        <v>0</v>
      </c>
      <c r="CL507" s="333">
        <f t="shared" si="19"/>
        <v>0</v>
      </c>
      <c r="CM507" s="616"/>
      <c r="CN507" s="617"/>
      <c r="CO507" s="617"/>
      <c r="CP507" s="617"/>
    </row>
    <row r="508">
      <c r="B508" s="462"/>
      <c r="C508" s="596">
        <v>44140.0</v>
      </c>
      <c r="D508" s="597" t="s">
        <v>1214</v>
      </c>
      <c r="E508" s="598">
        <v>15.0</v>
      </c>
      <c r="F508" s="619" t="str">
        <f t="shared" si="29"/>
        <v>2020/05-15</v>
      </c>
      <c r="G508" s="657">
        <v>0.4701388888888889</v>
      </c>
      <c r="H508" s="322">
        <v>0.4701388888888889</v>
      </c>
      <c r="I508" s="322"/>
      <c r="J508" s="322"/>
      <c r="K508" s="322">
        <v>0.47152777777777777</v>
      </c>
      <c r="L508" s="602">
        <f t="shared" si="30"/>
        <v>0.001388888889</v>
      </c>
      <c r="M508" s="603" t="s">
        <v>166</v>
      </c>
      <c r="N508" s="604" t="s">
        <v>188</v>
      </c>
      <c r="O508" s="419" t="s">
        <v>196</v>
      </c>
      <c r="P508" s="605" t="s">
        <v>224</v>
      </c>
      <c r="Q508" s="603" t="s">
        <v>842</v>
      </c>
      <c r="R508" s="606">
        <v>21.4</v>
      </c>
      <c r="S508" s="620">
        <v>39.3</v>
      </c>
      <c r="T508" s="618">
        <v>1.2</v>
      </c>
      <c r="U508" s="609">
        <v>15.0</v>
      </c>
      <c r="V508" s="609"/>
      <c r="W508" s="609"/>
      <c r="X508" s="609"/>
      <c r="Y508" s="609"/>
      <c r="Z508" s="603" t="s">
        <v>387</v>
      </c>
      <c r="AA508" s="603"/>
      <c r="AB508" s="610" t="s">
        <v>422</v>
      </c>
      <c r="AC508" s="621">
        <v>102.3</v>
      </c>
      <c r="AD508" s="603"/>
      <c r="AE508" s="603"/>
      <c r="AF508" s="603"/>
      <c r="AG508" s="603"/>
      <c r="AH508" s="603"/>
      <c r="AI508" s="603"/>
      <c r="AJ508" s="621"/>
      <c r="AK508" s="622"/>
      <c r="AL508" s="603"/>
      <c r="AM508" s="603"/>
      <c r="AN508" s="603"/>
      <c r="AO508" s="603"/>
      <c r="AP508" s="603"/>
      <c r="AQ508" s="603"/>
      <c r="AR508" s="603"/>
      <c r="AS508" s="621"/>
      <c r="AT508" s="461" t="s">
        <v>182</v>
      </c>
      <c r="AU508" s="324" t="s">
        <v>845</v>
      </c>
      <c r="AV508" s="330">
        <f>SQRT(($R508-Infrastructure!J$3)^2+($S508-Infrastructure!K$3)^2)</f>
        <v>24.06345777</v>
      </c>
      <c r="AW508" s="331">
        <f>SQRT(($R508-Infrastructure!J$4)^2+($S508-Infrastructure!K$4)^2)</f>
        <v>30.54734031</v>
      </c>
      <c r="AX508" s="331">
        <f>SQRT(($R508-Infrastructure!J$5)^2+($S508-Infrastructure!K$5)^2)</f>
        <v>40.50345664</v>
      </c>
      <c r="AY508" s="331">
        <f>SQRT(($R508-Infrastructure!J$6)^2+($S508-Infrastructure!K$6)^2)</f>
        <v>40.60406384</v>
      </c>
      <c r="AZ508" s="331">
        <f>SQRT(($R508-Infrastructure!J$7)^2+($S508-Infrastructure!K$7)^2)</f>
        <v>39.01038323</v>
      </c>
      <c r="BA508" s="331">
        <f>SQRT(($R508-Infrastructure!J$8)^2+($S508-Infrastructure!K$8)^2)</f>
        <v>39.95860358</v>
      </c>
      <c r="BB508" s="331">
        <f>SQRT(($R508-Infrastructure!J$9)^2+($S508-Infrastructure!K$9)^2)</f>
        <v>38.93070767</v>
      </c>
      <c r="BC508" s="331">
        <f>SQRT(($R508-Infrastructure!J$10)^2+($S508-Infrastructure!K$10)^2)</f>
        <v>30.60147055</v>
      </c>
      <c r="BD508" s="318"/>
      <c r="BE508" s="332"/>
      <c r="BF508" s="330">
        <f t="shared" si="14"/>
        <v>24.06345777</v>
      </c>
      <c r="BG508" s="333">
        <f t="shared" si="15"/>
        <v>40.60406384</v>
      </c>
      <c r="BH508" s="613"/>
      <c r="BI508" s="316"/>
      <c r="BJ508" s="318"/>
      <c r="BK508" s="318"/>
      <c r="BL508" s="318"/>
      <c r="BM508" s="318"/>
      <c r="BN508" s="318"/>
      <c r="BO508" s="318"/>
      <c r="BP508" s="318"/>
      <c r="BQ508" s="338"/>
      <c r="BR508" s="420"/>
      <c r="BS508" s="330">
        <f t="shared" si="23"/>
        <v>0</v>
      </c>
      <c r="BT508" s="331">
        <f t="shared" si="24"/>
        <v>0</v>
      </c>
      <c r="BU508" s="331"/>
      <c r="BV508" s="333"/>
      <c r="BW508" s="614"/>
      <c r="BX508" s="615"/>
      <c r="BY508" s="331" t="b">
        <f t="shared" si="28"/>
        <v>0</v>
      </c>
      <c r="BZ508" s="340"/>
      <c r="CA508" s="316"/>
      <c r="CB508" s="318"/>
      <c r="CC508" s="318"/>
      <c r="CD508" s="318"/>
      <c r="CE508" s="318"/>
      <c r="CF508" s="318"/>
      <c r="CG508" s="318"/>
      <c r="CH508" s="318"/>
      <c r="CI508" s="338"/>
      <c r="CJ508" s="341"/>
      <c r="CK508" s="342">
        <f t="shared" si="18"/>
        <v>0</v>
      </c>
      <c r="CL508" s="333">
        <f t="shared" si="19"/>
        <v>0</v>
      </c>
      <c r="CM508" s="702" t="s">
        <v>1225</v>
      </c>
      <c r="CN508" s="595"/>
      <c r="CO508" s="595"/>
      <c r="CP508" s="595"/>
    </row>
    <row r="509">
      <c r="B509" s="462"/>
      <c r="C509" s="596">
        <v>44140.0</v>
      </c>
      <c r="D509" s="597"/>
      <c r="E509" s="598">
        <v>16.0</v>
      </c>
      <c r="F509" s="599" t="str">
        <f t="shared" si="29"/>
        <v>2020/05-16</v>
      </c>
      <c r="G509" s="657">
        <v>0.47222222222222227</v>
      </c>
      <c r="H509" s="322">
        <v>0.47222222222222227</v>
      </c>
      <c r="I509" s="322"/>
      <c r="J509" s="322"/>
      <c r="K509" s="322">
        <v>0.4753472222222222</v>
      </c>
      <c r="L509" s="602">
        <f t="shared" si="30"/>
        <v>0.003125</v>
      </c>
      <c r="M509" s="603" t="s">
        <v>166</v>
      </c>
      <c r="N509" s="604" t="s">
        <v>188</v>
      </c>
      <c r="O509" s="419" t="s">
        <v>378</v>
      </c>
      <c r="P509" s="605" t="s">
        <v>225</v>
      </c>
      <c r="Q509" s="603" t="s">
        <v>842</v>
      </c>
      <c r="R509" s="606">
        <v>22.4</v>
      </c>
      <c r="S509" s="620">
        <v>39.6</v>
      </c>
      <c r="T509" s="618">
        <v>1.0</v>
      </c>
      <c r="U509" s="609">
        <v>7.0</v>
      </c>
      <c r="V509" s="609"/>
      <c r="W509" s="609"/>
      <c r="X509" s="609"/>
      <c r="Y509" s="609"/>
      <c r="Z509" s="603" t="s">
        <v>1140</v>
      </c>
      <c r="AA509" s="603"/>
      <c r="AB509" s="610" t="s">
        <v>410</v>
      </c>
      <c r="AC509" s="611">
        <v>22.1</v>
      </c>
      <c r="AD509" s="610"/>
      <c r="AE509" s="610"/>
      <c r="AF509" s="610"/>
      <c r="AG509" s="610"/>
      <c r="AH509" s="610"/>
      <c r="AI509" s="610"/>
      <c r="AJ509" s="611"/>
      <c r="AK509" s="612"/>
      <c r="AL509" s="610"/>
      <c r="AM509" s="610"/>
      <c r="AN509" s="610"/>
      <c r="AO509" s="610"/>
      <c r="AP509" s="610"/>
      <c r="AQ509" s="610"/>
      <c r="AR509" s="610"/>
      <c r="AS509" s="611"/>
      <c r="AT509" s="461" t="s">
        <v>182</v>
      </c>
      <c r="AU509" s="324" t="s">
        <v>845</v>
      </c>
      <c r="AV509" s="330">
        <f>SQRT(($R509-Infrastructure!J$3)^2+($S509-Infrastructure!K$3)^2)</f>
        <v>25.09541791</v>
      </c>
      <c r="AW509" s="331">
        <f>SQRT(($R509-Infrastructure!J$4)^2+($S509-Infrastructure!K$4)^2)</f>
        <v>31.47268657</v>
      </c>
      <c r="AX509" s="331">
        <f>SQRT(($R509-Infrastructure!J$5)^2+($S509-Infrastructure!K$5)^2)</f>
        <v>41.29818398</v>
      </c>
      <c r="AY509" s="331">
        <f>SQRT(($R509-Infrastructure!J$6)^2+($S509-Infrastructure!K$6)^2)</f>
        <v>41.17984944</v>
      </c>
      <c r="AZ509" s="331">
        <f>SQRT(($R509-Infrastructure!J$7)^2+($S509-Infrastructure!K$7)^2)</f>
        <v>39.34590195</v>
      </c>
      <c r="BA509" s="331">
        <f>SQRT(($R509-Infrastructure!J$8)^2+($S509-Infrastructure!K$8)^2)</f>
        <v>40.04722213</v>
      </c>
      <c r="BB509" s="331">
        <f>SQRT(($R509-Infrastructure!J$9)^2+($S509-Infrastructure!K$9)^2)</f>
        <v>38.72996256</v>
      </c>
      <c r="BC509" s="331">
        <f>SQRT(($R509-Infrastructure!J$10)^2+($S509-Infrastructure!K$10)^2)</f>
        <v>30.24764454</v>
      </c>
      <c r="BD509" s="318"/>
      <c r="BE509" s="332"/>
      <c r="BF509" s="330">
        <f t="shared" si="14"/>
        <v>25.09541791</v>
      </c>
      <c r="BG509" s="333">
        <f t="shared" si="15"/>
        <v>41.29818398</v>
      </c>
      <c r="BH509" s="613"/>
      <c r="BI509" s="316"/>
      <c r="BJ509" s="318"/>
      <c r="BK509" s="318"/>
      <c r="BL509" s="318"/>
      <c r="BM509" s="318"/>
      <c r="BN509" s="318"/>
      <c r="BO509" s="318"/>
      <c r="BP509" s="318"/>
      <c r="BQ509" s="338"/>
      <c r="BR509" s="420"/>
      <c r="BS509" s="330">
        <f t="shared" si="23"/>
        <v>0</v>
      </c>
      <c r="BT509" s="331">
        <f t="shared" si="24"/>
        <v>0</v>
      </c>
      <c r="BU509" s="331"/>
      <c r="BV509" s="333"/>
      <c r="BW509" s="614"/>
      <c r="BX509" s="615"/>
      <c r="BY509" s="331" t="b">
        <f t="shared" si="28"/>
        <v>0</v>
      </c>
      <c r="BZ509" s="340"/>
      <c r="CA509" s="316"/>
      <c r="CB509" s="318"/>
      <c r="CC509" s="318"/>
      <c r="CD509" s="318"/>
      <c r="CE509" s="318"/>
      <c r="CF509" s="318"/>
      <c r="CG509" s="318"/>
      <c r="CH509" s="318"/>
      <c r="CI509" s="338"/>
      <c r="CJ509" s="341"/>
      <c r="CK509" s="342">
        <f t="shared" si="18"/>
        <v>0</v>
      </c>
      <c r="CL509" s="333">
        <f t="shared" si="19"/>
        <v>0</v>
      </c>
      <c r="CM509" s="702" t="s">
        <v>1225</v>
      </c>
      <c r="CN509" s="595"/>
      <c r="CO509" s="595"/>
      <c r="CP509" s="595"/>
    </row>
    <row r="510">
      <c r="B510" s="462"/>
      <c r="C510" s="596">
        <v>44140.0</v>
      </c>
      <c r="D510" s="597"/>
      <c r="E510" s="598">
        <v>17.0</v>
      </c>
      <c r="F510" s="599" t="str">
        <f t="shared" si="29"/>
        <v>2020/05-17</v>
      </c>
      <c r="G510" s="657">
        <v>0.4753472222222222</v>
      </c>
      <c r="H510" s="322">
        <v>0.4753472222222222</v>
      </c>
      <c r="I510" s="322"/>
      <c r="J510" s="322"/>
      <c r="K510" s="322">
        <v>0.48078703703703707</v>
      </c>
      <c r="L510" s="602">
        <f t="shared" si="30"/>
        <v>0.005439814815</v>
      </c>
      <c r="M510" s="603" t="s">
        <v>166</v>
      </c>
      <c r="N510" s="604" t="s">
        <v>188</v>
      </c>
      <c r="O510" s="419" t="s">
        <v>378</v>
      </c>
      <c r="P510" s="605" t="s">
        <v>225</v>
      </c>
      <c r="Q510" s="603" t="s">
        <v>842</v>
      </c>
      <c r="R510" s="606">
        <v>22.4</v>
      </c>
      <c r="S510" s="620">
        <v>39.6</v>
      </c>
      <c r="T510" s="618">
        <v>1.0</v>
      </c>
      <c r="U510" s="609">
        <v>5.0</v>
      </c>
      <c r="V510" s="609"/>
      <c r="W510" s="609"/>
      <c r="X510" s="609"/>
      <c r="Y510" s="609"/>
      <c r="Z510" s="603" t="s">
        <v>1140</v>
      </c>
      <c r="AA510" s="603"/>
      <c r="AB510" s="610" t="s">
        <v>410</v>
      </c>
      <c r="AC510" s="611">
        <v>22.1</v>
      </c>
      <c r="AD510" s="610"/>
      <c r="AE510" s="610"/>
      <c r="AF510" s="610"/>
      <c r="AG510" s="610"/>
      <c r="AH510" s="610"/>
      <c r="AI510" s="610"/>
      <c r="AJ510" s="611"/>
      <c r="AK510" s="612"/>
      <c r="AL510" s="610"/>
      <c r="AM510" s="610"/>
      <c r="AN510" s="610"/>
      <c r="AO510" s="610"/>
      <c r="AP510" s="610"/>
      <c r="AQ510" s="610"/>
      <c r="AR510" s="610"/>
      <c r="AS510" s="611"/>
      <c r="AT510" s="461" t="s">
        <v>182</v>
      </c>
      <c r="AU510" s="324" t="s">
        <v>845</v>
      </c>
      <c r="AV510" s="330">
        <f>SQRT(($R510-Infrastructure!J$3)^2+($S510-Infrastructure!K$3)^2)</f>
        <v>25.09541791</v>
      </c>
      <c r="AW510" s="331">
        <f>SQRT(($R510-Infrastructure!J$4)^2+($S510-Infrastructure!K$4)^2)</f>
        <v>31.47268657</v>
      </c>
      <c r="AX510" s="331">
        <f>SQRT(($R510-Infrastructure!J$5)^2+($S510-Infrastructure!K$5)^2)</f>
        <v>41.29818398</v>
      </c>
      <c r="AY510" s="331">
        <f>SQRT(($R510-Infrastructure!J$6)^2+($S510-Infrastructure!K$6)^2)</f>
        <v>41.17984944</v>
      </c>
      <c r="AZ510" s="331">
        <f>SQRT(($R510-Infrastructure!J$7)^2+($S510-Infrastructure!K$7)^2)</f>
        <v>39.34590195</v>
      </c>
      <c r="BA510" s="331">
        <f>SQRT(($R510-Infrastructure!J$8)^2+($S510-Infrastructure!K$8)^2)</f>
        <v>40.04722213</v>
      </c>
      <c r="BB510" s="331">
        <f>SQRT(($R510-Infrastructure!J$9)^2+($S510-Infrastructure!K$9)^2)</f>
        <v>38.72996256</v>
      </c>
      <c r="BC510" s="331">
        <f>SQRT(($R510-Infrastructure!J$10)^2+($S510-Infrastructure!K$10)^2)</f>
        <v>30.24764454</v>
      </c>
      <c r="BD510" s="318"/>
      <c r="BE510" s="332"/>
      <c r="BF510" s="330">
        <f t="shared" si="14"/>
        <v>25.09541791</v>
      </c>
      <c r="BG510" s="333">
        <f t="shared" si="15"/>
        <v>41.29818398</v>
      </c>
      <c r="BH510" s="613"/>
      <c r="BI510" s="316"/>
      <c r="BJ510" s="318"/>
      <c r="BK510" s="318"/>
      <c r="BL510" s="318"/>
      <c r="BM510" s="318"/>
      <c r="BN510" s="318"/>
      <c r="BO510" s="318"/>
      <c r="BP510" s="318"/>
      <c r="BQ510" s="338"/>
      <c r="BR510" s="420"/>
      <c r="BS510" s="330">
        <f t="shared" si="23"/>
        <v>0</v>
      </c>
      <c r="BT510" s="331">
        <f t="shared" si="24"/>
        <v>0</v>
      </c>
      <c r="BU510" s="331"/>
      <c r="BV510" s="333"/>
      <c r="BW510" s="614"/>
      <c r="BX510" s="615"/>
      <c r="BY510" s="331" t="b">
        <f t="shared" si="28"/>
        <v>0</v>
      </c>
      <c r="BZ510" s="340"/>
      <c r="CA510" s="316"/>
      <c r="CB510" s="318"/>
      <c r="CC510" s="318"/>
      <c r="CD510" s="318"/>
      <c r="CE510" s="318"/>
      <c r="CF510" s="318"/>
      <c r="CG510" s="318"/>
      <c r="CH510" s="318"/>
      <c r="CI510" s="338"/>
      <c r="CJ510" s="341"/>
      <c r="CK510" s="342">
        <f t="shared" si="18"/>
        <v>0</v>
      </c>
      <c r="CL510" s="333">
        <f t="shared" si="19"/>
        <v>0</v>
      </c>
      <c r="CM510" s="702" t="s">
        <v>1225</v>
      </c>
      <c r="CN510" s="595"/>
      <c r="CO510" s="595"/>
      <c r="CP510" s="595"/>
    </row>
    <row r="511">
      <c r="B511" s="462"/>
      <c r="C511" s="596">
        <v>44140.0</v>
      </c>
      <c r="D511" s="597"/>
      <c r="E511" s="598">
        <v>18.0</v>
      </c>
      <c r="F511" s="599" t="str">
        <f t="shared" si="29"/>
        <v>2020/05-18</v>
      </c>
      <c r="G511" s="657">
        <v>0.4847222222222222</v>
      </c>
      <c r="H511" s="322">
        <v>0.4847222222222222</v>
      </c>
      <c r="I511" s="322"/>
      <c r="J511" s="322"/>
      <c r="K511" s="322">
        <v>0.5152777777777778</v>
      </c>
      <c r="L511" s="602">
        <f t="shared" si="30"/>
        <v>0.03055555556</v>
      </c>
      <c r="M511" s="603" t="s">
        <v>166</v>
      </c>
      <c r="N511" s="604" t="s">
        <v>188</v>
      </c>
      <c r="O511" s="419" t="s">
        <v>378</v>
      </c>
      <c r="P511" s="605" t="s">
        <v>225</v>
      </c>
      <c r="Q511" s="603" t="s">
        <v>842</v>
      </c>
      <c r="R511" s="606">
        <v>22.4</v>
      </c>
      <c r="S511" s="620">
        <v>39.6</v>
      </c>
      <c r="T511" s="618">
        <v>1.0</v>
      </c>
      <c r="U511" s="609">
        <v>1.0</v>
      </c>
      <c r="V511" s="609"/>
      <c r="W511" s="609"/>
      <c r="X511" s="609"/>
      <c r="Y511" s="609"/>
      <c r="Z511" s="603" t="s">
        <v>1221</v>
      </c>
      <c r="AA511" s="603"/>
      <c r="AB511" s="610" t="s">
        <v>410</v>
      </c>
      <c r="AC511" s="611">
        <v>22.1</v>
      </c>
      <c r="AD511" s="610"/>
      <c r="AE511" s="610"/>
      <c r="AF511" s="610"/>
      <c r="AG511" s="610"/>
      <c r="AH511" s="610"/>
      <c r="AI511" s="610"/>
      <c r="AJ511" s="611"/>
      <c r="AK511" s="612"/>
      <c r="AL511" s="610"/>
      <c r="AM511" s="610"/>
      <c r="AN511" s="610"/>
      <c r="AO511" s="610"/>
      <c r="AP511" s="610"/>
      <c r="AQ511" s="610"/>
      <c r="AR511" s="610"/>
      <c r="AS511" s="611"/>
      <c r="AT511" s="461" t="s">
        <v>182</v>
      </c>
      <c r="AU511" s="324" t="s">
        <v>845</v>
      </c>
      <c r="AV511" s="330">
        <f>SQRT(($R511-Infrastructure!J$3)^2+($S511-Infrastructure!K$3)^2)</f>
        <v>25.09541791</v>
      </c>
      <c r="AW511" s="331">
        <f>SQRT(($R511-Infrastructure!J$4)^2+($S511-Infrastructure!K$4)^2)</f>
        <v>31.47268657</v>
      </c>
      <c r="AX511" s="331">
        <f>SQRT(($R511-Infrastructure!J$5)^2+($S511-Infrastructure!K$5)^2)</f>
        <v>41.29818398</v>
      </c>
      <c r="AY511" s="331">
        <f>SQRT(($R511-Infrastructure!J$6)^2+($S511-Infrastructure!K$6)^2)</f>
        <v>41.17984944</v>
      </c>
      <c r="AZ511" s="331">
        <f>SQRT(($R511-Infrastructure!J$7)^2+($S511-Infrastructure!K$7)^2)</f>
        <v>39.34590195</v>
      </c>
      <c r="BA511" s="331">
        <f>SQRT(($R511-Infrastructure!J$8)^2+($S511-Infrastructure!K$8)^2)</f>
        <v>40.04722213</v>
      </c>
      <c r="BB511" s="331">
        <f>SQRT(($R511-Infrastructure!J$9)^2+($S511-Infrastructure!K$9)^2)</f>
        <v>38.72996256</v>
      </c>
      <c r="BC511" s="331">
        <f>SQRT(($R511-Infrastructure!J$10)^2+($S511-Infrastructure!K$10)^2)</f>
        <v>30.24764454</v>
      </c>
      <c r="BD511" s="318"/>
      <c r="BE511" s="332"/>
      <c r="BF511" s="330">
        <f t="shared" si="14"/>
        <v>25.09541791</v>
      </c>
      <c r="BG511" s="333">
        <f t="shared" si="15"/>
        <v>41.29818398</v>
      </c>
      <c r="BH511" s="613"/>
      <c r="BI511" s="316"/>
      <c r="BJ511" s="318"/>
      <c r="BK511" s="319" t="s">
        <v>846</v>
      </c>
      <c r="BL511" s="318"/>
      <c r="BM511" s="318"/>
      <c r="BN511" s="318"/>
      <c r="BO511" s="318"/>
      <c r="BP511" s="318"/>
      <c r="BQ511" s="338"/>
      <c r="BR511" s="420"/>
      <c r="BS511" s="330">
        <f t="shared" si="23"/>
        <v>41.29818398</v>
      </c>
      <c r="BT511" s="331">
        <f t="shared" si="24"/>
        <v>41.29818398</v>
      </c>
      <c r="BU511" s="331"/>
      <c r="BV511" s="333"/>
      <c r="BW511" s="614">
        <v>15.04</v>
      </c>
      <c r="BX511" s="615">
        <v>5.65</v>
      </c>
      <c r="BY511" s="331">
        <f t="shared" si="28"/>
        <v>34.73862548</v>
      </c>
      <c r="BZ511" s="340"/>
      <c r="CA511" s="316"/>
      <c r="CB511" s="318"/>
      <c r="CC511" s="318"/>
      <c r="CD511" s="318"/>
      <c r="CE511" s="318"/>
      <c r="CF511" s="318"/>
      <c r="CG511" s="318"/>
      <c r="CH511" s="318"/>
      <c r="CI511" s="338"/>
      <c r="CJ511" s="341"/>
      <c r="CK511" s="342">
        <f t="shared" si="18"/>
        <v>0</v>
      </c>
      <c r="CL511" s="333">
        <f t="shared" si="19"/>
        <v>0</v>
      </c>
      <c r="CM511" s="616"/>
      <c r="CN511" s="617"/>
      <c r="CO511" s="617"/>
      <c r="CP511" s="617"/>
    </row>
    <row r="512">
      <c r="B512" s="462"/>
      <c r="C512" s="596">
        <v>44140.0</v>
      </c>
      <c r="D512" s="597" t="s">
        <v>1214</v>
      </c>
      <c r="E512" s="598">
        <v>19.0</v>
      </c>
      <c r="F512" s="619" t="str">
        <f t="shared" si="29"/>
        <v>2020/05-19</v>
      </c>
      <c r="G512" s="657">
        <v>0.6541666666666667</v>
      </c>
      <c r="H512" s="322">
        <v>0.6541666666666667</v>
      </c>
      <c r="I512" s="322"/>
      <c r="J512" s="322"/>
      <c r="K512" s="322">
        <v>0.6590277777777778</v>
      </c>
      <c r="L512" s="602">
        <f t="shared" si="30"/>
        <v>0.004861111111</v>
      </c>
      <c r="M512" s="603" t="s">
        <v>166</v>
      </c>
      <c r="N512" s="604" t="s">
        <v>188</v>
      </c>
      <c r="O512" s="419" t="s">
        <v>378</v>
      </c>
      <c r="P512" s="605" t="s">
        <v>225</v>
      </c>
      <c r="Q512" s="603" t="s">
        <v>842</v>
      </c>
      <c r="R512" s="606">
        <v>22.4</v>
      </c>
      <c r="S512" s="620">
        <v>39.6</v>
      </c>
      <c r="T512" s="618">
        <v>1.0</v>
      </c>
      <c r="U512" s="609">
        <v>1.0</v>
      </c>
      <c r="V512" s="609"/>
      <c r="W512" s="609"/>
      <c r="X512" s="609"/>
      <c r="Y512" s="609"/>
      <c r="Z512" s="603" t="s">
        <v>1221</v>
      </c>
      <c r="AA512" s="603"/>
      <c r="AB512" s="610" t="s">
        <v>410</v>
      </c>
      <c r="AC512" s="621">
        <v>22.1</v>
      </c>
      <c r="AD512" s="603"/>
      <c r="AE512" s="603"/>
      <c r="AF512" s="603"/>
      <c r="AG512" s="603"/>
      <c r="AH512" s="603"/>
      <c r="AI512" s="603"/>
      <c r="AJ512" s="621"/>
      <c r="AK512" s="622"/>
      <c r="AL512" s="603"/>
      <c r="AM512" s="603"/>
      <c r="AN512" s="603"/>
      <c r="AO512" s="603"/>
      <c r="AP512" s="603"/>
      <c r="AQ512" s="603"/>
      <c r="AR512" s="603"/>
      <c r="AS512" s="621"/>
      <c r="AT512" s="461" t="s">
        <v>182</v>
      </c>
      <c r="AU512" s="324" t="s">
        <v>845</v>
      </c>
      <c r="AV512" s="330">
        <f>SQRT(($R512-Infrastructure!J$3)^2+($S512-Infrastructure!K$3)^2)</f>
        <v>25.09541791</v>
      </c>
      <c r="AW512" s="331">
        <f>SQRT(($R512-Infrastructure!J$4)^2+($S512-Infrastructure!K$4)^2)</f>
        <v>31.47268657</v>
      </c>
      <c r="AX512" s="331">
        <f>SQRT(($R512-Infrastructure!J$5)^2+($S512-Infrastructure!K$5)^2)</f>
        <v>41.29818398</v>
      </c>
      <c r="AY512" s="331">
        <f>SQRT(($R512-Infrastructure!J$6)^2+($S512-Infrastructure!K$6)^2)</f>
        <v>41.17984944</v>
      </c>
      <c r="AZ512" s="331">
        <f>SQRT(($R512-Infrastructure!J$7)^2+($S512-Infrastructure!K$7)^2)</f>
        <v>39.34590195</v>
      </c>
      <c r="BA512" s="331">
        <f>SQRT(($R512-Infrastructure!J$8)^2+($S512-Infrastructure!K$8)^2)</f>
        <v>40.04722213</v>
      </c>
      <c r="BB512" s="331">
        <f>SQRT(($R512-Infrastructure!J$9)^2+($S512-Infrastructure!K$9)^2)</f>
        <v>38.72996256</v>
      </c>
      <c r="BC512" s="331">
        <f>SQRT(($R512-Infrastructure!J$10)^2+($S512-Infrastructure!K$10)^2)</f>
        <v>30.24764454</v>
      </c>
      <c r="BD512" s="318"/>
      <c r="BE512" s="332"/>
      <c r="BF512" s="330">
        <f t="shared" si="14"/>
        <v>25.09541791</v>
      </c>
      <c r="BG512" s="333">
        <f t="shared" si="15"/>
        <v>41.29818398</v>
      </c>
      <c r="BH512" s="613"/>
      <c r="BI512" s="316"/>
      <c r="BJ512" s="318"/>
      <c r="BK512" s="318"/>
      <c r="BL512" s="318"/>
      <c r="BM512" s="318"/>
      <c r="BN512" s="318"/>
      <c r="BO512" s="318"/>
      <c r="BP512" s="318"/>
      <c r="BQ512" s="338"/>
      <c r="BR512" s="420"/>
      <c r="BS512" s="330">
        <f t="shared" si="23"/>
        <v>0</v>
      </c>
      <c r="BT512" s="331">
        <f t="shared" si="24"/>
        <v>0</v>
      </c>
      <c r="BU512" s="331"/>
      <c r="BV512" s="333"/>
      <c r="BW512" s="614"/>
      <c r="BX512" s="615"/>
      <c r="BY512" s="331" t="b">
        <f t="shared" si="28"/>
        <v>0</v>
      </c>
      <c r="BZ512" s="340"/>
      <c r="CA512" s="316"/>
      <c r="CB512" s="318"/>
      <c r="CC512" s="318"/>
      <c r="CD512" s="318"/>
      <c r="CE512" s="318"/>
      <c r="CF512" s="318"/>
      <c r="CG512" s="318"/>
      <c r="CH512" s="318"/>
      <c r="CI512" s="338"/>
      <c r="CJ512" s="341"/>
      <c r="CK512" s="342">
        <f t="shared" si="18"/>
        <v>0</v>
      </c>
      <c r="CL512" s="333">
        <f t="shared" si="19"/>
        <v>0</v>
      </c>
      <c r="CM512" s="702" t="s">
        <v>1225</v>
      </c>
      <c r="CN512" s="595"/>
      <c r="CO512" s="595"/>
      <c r="CP512" s="595"/>
    </row>
    <row r="513">
      <c r="B513" s="462"/>
      <c r="C513" s="596">
        <v>44140.0</v>
      </c>
      <c r="D513" s="597"/>
      <c r="E513" s="598">
        <v>20.0</v>
      </c>
      <c r="F513" s="599" t="str">
        <f t="shared" si="29"/>
        <v>2020/05-20</v>
      </c>
      <c r="G513" s="657">
        <v>0.6590277777777778</v>
      </c>
      <c r="H513" s="322">
        <v>0.6590277777777778</v>
      </c>
      <c r="I513" s="322"/>
      <c r="J513" s="322"/>
      <c r="K513" s="322">
        <v>0.6625</v>
      </c>
      <c r="L513" s="602">
        <f t="shared" si="30"/>
        <v>0.003472222222</v>
      </c>
      <c r="M513" s="603" t="s">
        <v>166</v>
      </c>
      <c r="N513" s="604" t="s">
        <v>188</v>
      </c>
      <c r="O513" s="419" t="s">
        <v>378</v>
      </c>
      <c r="P513" s="605" t="s">
        <v>225</v>
      </c>
      <c r="Q513" s="603" t="s">
        <v>842</v>
      </c>
      <c r="R513" s="606">
        <v>22.4</v>
      </c>
      <c r="S513" s="620">
        <v>39.6</v>
      </c>
      <c r="T513" s="618">
        <v>1.0</v>
      </c>
      <c r="U513" s="609">
        <v>2.0</v>
      </c>
      <c r="V513" s="609"/>
      <c r="W513" s="609"/>
      <c r="X513" s="609"/>
      <c r="Y513" s="609"/>
      <c r="Z513" s="603" t="s">
        <v>1221</v>
      </c>
      <c r="AA513" s="603"/>
      <c r="AB513" s="610" t="s">
        <v>410</v>
      </c>
      <c r="AC513" s="611">
        <v>22.1</v>
      </c>
      <c r="AD513" s="610"/>
      <c r="AE513" s="610"/>
      <c r="AF513" s="610"/>
      <c r="AG513" s="610"/>
      <c r="AH513" s="610"/>
      <c r="AI513" s="610"/>
      <c r="AJ513" s="611"/>
      <c r="AK513" s="612"/>
      <c r="AL513" s="610"/>
      <c r="AM513" s="610"/>
      <c r="AN513" s="610"/>
      <c r="AO513" s="610"/>
      <c r="AP513" s="610"/>
      <c r="AQ513" s="610"/>
      <c r="AR513" s="610"/>
      <c r="AS513" s="611"/>
      <c r="AT513" s="461" t="s">
        <v>182</v>
      </c>
      <c r="AU513" s="324" t="s">
        <v>845</v>
      </c>
      <c r="AV513" s="330">
        <f>SQRT(($R513-Infrastructure!J$3)^2+($S513-Infrastructure!K$3)^2)</f>
        <v>25.09541791</v>
      </c>
      <c r="AW513" s="331">
        <f>SQRT(($R513-Infrastructure!J$4)^2+($S513-Infrastructure!K$4)^2)</f>
        <v>31.47268657</v>
      </c>
      <c r="AX513" s="331">
        <f>SQRT(($R513-Infrastructure!J$5)^2+($S513-Infrastructure!K$5)^2)</f>
        <v>41.29818398</v>
      </c>
      <c r="AY513" s="331">
        <f>SQRT(($R513-Infrastructure!J$6)^2+($S513-Infrastructure!K$6)^2)</f>
        <v>41.17984944</v>
      </c>
      <c r="AZ513" s="331">
        <f>SQRT(($R513-Infrastructure!J$7)^2+($S513-Infrastructure!K$7)^2)</f>
        <v>39.34590195</v>
      </c>
      <c r="BA513" s="331">
        <f>SQRT(($R513-Infrastructure!J$8)^2+($S513-Infrastructure!K$8)^2)</f>
        <v>40.04722213</v>
      </c>
      <c r="BB513" s="331">
        <f>SQRT(($R513-Infrastructure!J$9)^2+($S513-Infrastructure!K$9)^2)</f>
        <v>38.72996256</v>
      </c>
      <c r="BC513" s="331">
        <f>SQRT(($R513-Infrastructure!J$10)^2+($S513-Infrastructure!K$10)^2)</f>
        <v>30.24764454</v>
      </c>
      <c r="BD513" s="318"/>
      <c r="BE513" s="332"/>
      <c r="BF513" s="330">
        <f t="shared" si="14"/>
        <v>25.09541791</v>
      </c>
      <c r="BG513" s="333">
        <f t="shared" si="15"/>
        <v>41.29818398</v>
      </c>
      <c r="BH513" s="613"/>
      <c r="BI513" s="316"/>
      <c r="BJ513" s="318"/>
      <c r="BK513" s="318"/>
      <c r="BL513" s="318"/>
      <c r="BM513" s="318"/>
      <c r="BN513" s="318"/>
      <c r="BO513" s="318"/>
      <c r="BP513" s="318"/>
      <c r="BQ513" s="338"/>
      <c r="BR513" s="420"/>
      <c r="BS513" s="330">
        <f t="shared" si="23"/>
        <v>0</v>
      </c>
      <c r="BT513" s="331">
        <f t="shared" si="24"/>
        <v>0</v>
      </c>
      <c r="BU513" s="331"/>
      <c r="BV513" s="333"/>
      <c r="BW513" s="614"/>
      <c r="BX513" s="615"/>
      <c r="BY513" s="331" t="b">
        <f t="shared" si="28"/>
        <v>0</v>
      </c>
      <c r="BZ513" s="340"/>
      <c r="CA513" s="316"/>
      <c r="CB513" s="318"/>
      <c r="CC513" s="318"/>
      <c r="CD513" s="318"/>
      <c r="CE513" s="318"/>
      <c r="CF513" s="318"/>
      <c r="CG513" s="318"/>
      <c r="CH513" s="318"/>
      <c r="CI513" s="338"/>
      <c r="CJ513" s="341"/>
      <c r="CK513" s="342">
        <f t="shared" si="18"/>
        <v>0</v>
      </c>
      <c r="CL513" s="333">
        <f t="shared" si="19"/>
        <v>0</v>
      </c>
      <c r="CM513" s="702" t="s">
        <v>1225</v>
      </c>
      <c r="CN513" s="595"/>
      <c r="CO513" s="595"/>
      <c r="CP513" s="595"/>
    </row>
    <row r="514">
      <c r="B514" s="462"/>
      <c r="C514" s="596">
        <v>44140.0</v>
      </c>
      <c r="D514" s="597"/>
      <c r="E514" s="598">
        <v>21.0</v>
      </c>
      <c r="F514" s="599" t="str">
        <f t="shared" si="29"/>
        <v>2020/05-21</v>
      </c>
      <c r="G514" s="657">
        <v>0.6638888888888889</v>
      </c>
      <c r="H514" s="322">
        <v>0.6638888888888889</v>
      </c>
      <c r="I514" s="322"/>
      <c r="J514" s="322"/>
      <c r="K514" s="322">
        <v>0.6652777777777777</v>
      </c>
      <c r="L514" s="602">
        <f t="shared" si="30"/>
        <v>0.001388888889</v>
      </c>
      <c r="M514" s="603" t="s">
        <v>166</v>
      </c>
      <c r="N514" s="604" t="s">
        <v>188</v>
      </c>
      <c r="O514" s="419" t="s">
        <v>378</v>
      </c>
      <c r="P514" s="605" t="s">
        <v>225</v>
      </c>
      <c r="Q514" s="603" t="s">
        <v>842</v>
      </c>
      <c r="R514" s="606">
        <v>22.4</v>
      </c>
      <c r="S514" s="620">
        <v>39.6</v>
      </c>
      <c r="T514" s="618">
        <v>1.0</v>
      </c>
      <c r="U514" s="609">
        <v>5.0</v>
      </c>
      <c r="V514" s="609"/>
      <c r="W514" s="609"/>
      <c r="X514" s="609"/>
      <c r="Y514" s="609"/>
      <c r="Z514" s="603" t="s">
        <v>1140</v>
      </c>
      <c r="AA514" s="603"/>
      <c r="AB514" s="610" t="s">
        <v>410</v>
      </c>
      <c r="AC514" s="611">
        <v>22.1</v>
      </c>
      <c r="AD514" s="610"/>
      <c r="AE514" s="610"/>
      <c r="AF514" s="610"/>
      <c r="AG514" s="610"/>
      <c r="AH514" s="610"/>
      <c r="AI514" s="610"/>
      <c r="AJ514" s="611"/>
      <c r="AK514" s="612"/>
      <c r="AL514" s="610"/>
      <c r="AM514" s="610"/>
      <c r="AN514" s="610"/>
      <c r="AO514" s="610"/>
      <c r="AP514" s="610"/>
      <c r="AQ514" s="610"/>
      <c r="AR514" s="610"/>
      <c r="AS514" s="611"/>
      <c r="AT514" s="461" t="s">
        <v>182</v>
      </c>
      <c r="AU514" s="324" t="s">
        <v>845</v>
      </c>
      <c r="AV514" s="330">
        <f>SQRT(($R514-Infrastructure!J$3)^2+($S514-Infrastructure!K$3)^2)</f>
        <v>25.09541791</v>
      </c>
      <c r="AW514" s="331">
        <f>SQRT(($R514-Infrastructure!J$4)^2+($S514-Infrastructure!K$4)^2)</f>
        <v>31.47268657</v>
      </c>
      <c r="AX514" s="331">
        <f>SQRT(($R514-Infrastructure!J$5)^2+($S514-Infrastructure!K$5)^2)</f>
        <v>41.29818398</v>
      </c>
      <c r="AY514" s="331">
        <f>SQRT(($R514-Infrastructure!J$6)^2+($S514-Infrastructure!K$6)^2)</f>
        <v>41.17984944</v>
      </c>
      <c r="AZ514" s="331">
        <f>SQRT(($R514-Infrastructure!J$7)^2+($S514-Infrastructure!K$7)^2)</f>
        <v>39.34590195</v>
      </c>
      <c r="BA514" s="331">
        <f>SQRT(($R514-Infrastructure!J$8)^2+($S514-Infrastructure!K$8)^2)</f>
        <v>40.04722213</v>
      </c>
      <c r="BB514" s="331">
        <f>SQRT(($R514-Infrastructure!J$9)^2+($S514-Infrastructure!K$9)^2)</f>
        <v>38.72996256</v>
      </c>
      <c r="BC514" s="331">
        <f>SQRT(($R514-Infrastructure!J$10)^2+($S514-Infrastructure!K$10)^2)</f>
        <v>30.24764454</v>
      </c>
      <c r="BD514" s="318"/>
      <c r="BE514" s="332"/>
      <c r="BF514" s="330">
        <f t="shared" si="14"/>
        <v>25.09541791</v>
      </c>
      <c r="BG514" s="333">
        <f t="shared" si="15"/>
        <v>41.29818398</v>
      </c>
      <c r="BH514" s="613"/>
      <c r="BI514" s="316"/>
      <c r="BJ514" s="318"/>
      <c r="BK514" s="318"/>
      <c r="BL514" s="318"/>
      <c r="BM514" s="318"/>
      <c r="BN514" s="318"/>
      <c r="BO514" s="318"/>
      <c r="BP514" s="318"/>
      <c r="BQ514" s="338"/>
      <c r="BR514" s="420"/>
      <c r="BS514" s="330">
        <f t="shared" si="23"/>
        <v>0</v>
      </c>
      <c r="BT514" s="331">
        <f t="shared" si="24"/>
        <v>0</v>
      </c>
      <c r="BU514" s="331"/>
      <c r="BV514" s="333"/>
      <c r="BW514" s="614"/>
      <c r="BX514" s="615"/>
      <c r="BY514" s="331" t="b">
        <f t="shared" si="28"/>
        <v>0</v>
      </c>
      <c r="BZ514" s="340"/>
      <c r="CA514" s="316"/>
      <c r="CB514" s="318"/>
      <c r="CC514" s="318"/>
      <c r="CD514" s="318"/>
      <c r="CE514" s="318"/>
      <c r="CF514" s="318"/>
      <c r="CG514" s="318"/>
      <c r="CH514" s="318"/>
      <c r="CI514" s="338"/>
      <c r="CJ514" s="341"/>
      <c r="CK514" s="342">
        <f t="shared" si="18"/>
        <v>0</v>
      </c>
      <c r="CL514" s="333">
        <f t="shared" si="19"/>
        <v>0</v>
      </c>
      <c r="CM514" s="702" t="s">
        <v>1225</v>
      </c>
      <c r="CN514" s="595"/>
      <c r="CO514" s="595"/>
      <c r="CP514" s="595"/>
    </row>
    <row r="515">
      <c r="B515" s="462"/>
      <c r="C515" s="596">
        <v>44140.0</v>
      </c>
      <c r="D515" s="597"/>
      <c r="E515" s="598">
        <v>22.0</v>
      </c>
      <c r="F515" s="599" t="str">
        <f t="shared" si="29"/>
        <v>2020/05-22</v>
      </c>
      <c r="G515" s="657">
        <v>0.6659722222222222</v>
      </c>
      <c r="H515" s="322">
        <v>0.6659722222222222</v>
      </c>
      <c r="I515" s="322"/>
      <c r="J515" s="322"/>
      <c r="K515" s="322">
        <v>0.6708333333333334</v>
      </c>
      <c r="L515" s="602">
        <f t="shared" si="30"/>
        <v>0.004861111111</v>
      </c>
      <c r="M515" s="603" t="s">
        <v>166</v>
      </c>
      <c r="N515" s="604" t="s">
        <v>188</v>
      </c>
      <c r="O515" s="419" t="s">
        <v>378</v>
      </c>
      <c r="P515" s="605" t="s">
        <v>225</v>
      </c>
      <c r="Q515" s="603" t="s">
        <v>842</v>
      </c>
      <c r="R515" s="606">
        <v>22.4</v>
      </c>
      <c r="S515" s="620">
        <v>39.6</v>
      </c>
      <c r="T515" s="618">
        <v>1.0</v>
      </c>
      <c r="U515" s="609">
        <v>7.0</v>
      </c>
      <c r="V515" s="609"/>
      <c r="W515" s="609"/>
      <c r="X515" s="609"/>
      <c r="Y515" s="609"/>
      <c r="Z515" s="603" t="s">
        <v>1140</v>
      </c>
      <c r="AA515" s="603"/>
      <c r="AB515" s="610" t="s">
        <v>410</v>
      </c>
      <c r="AC515" s="611">
        <v>22.1</v>
      </c>
      <c r="AD515" s="610"/>
      <c r="AE515" s="610"/>
      <c r="AF515" s="610"/>
      <c r="AG515" s="610"/>
      <c r="AH515" s="610"/>
      <c r="AI515" s="610"/>
      <c r="AJ515" s="611"/>
      <c r="AK515" s="612"/>
      <c r="AL515" s="610"/>
      <c r="AM515" s="610"/>
      <c r="AN515" s="610"/>
      <c r="AO515" s="610"/>
      <c r="AP515" s="610"/>
      <c r="AQ515" s="610"/>
      <c r="AR515" s="610"/>
      <c r="AS515" s="611"/>
      <c r="AT515" s="461" t="s">
        <v>182</v>
      </c>
      <c r="AU515" s="324" t="s">
        <v>845</v>
      </c>
      <c r="AV515" s="330">
        <f>SQRT(($R515-Infrastructure!J$3)^2+($S515-Infrastructure!K$3)^2)</f>
        <v>25.09541791</v>
      </c>
      <c r="AW515" s="331">
        <f>SQRT(($R515-Infrastructure!J$4)^2+($S515-Infrastructure!K$4)^2)</f>
        <v>31.47268657</v>
      </c>
      <c r="AX515" s="331">
        <f>SQRT(($R515-Infrastructure!J$5)^2+($S515-Infrastructure!K$5)^2)</f>
        <v>41.29818398</v>
      </c>
      <c r="AY515" s="331">
        <f>SQRT(($R515-Infrastructure!J$6)^2+($S515-Infrastructure!K$6)^2)</f>
        <v>41.17984944</v>
      </c>
      <c r="AZ515" s="331">
        <f>SQRT(($R515-Infrastructure!J$7)^2+($S515-Infrastructure!K$7)^2)</f>
        <v>39.34590195</v>
      </c>
      <c r="BA515" s="331">
        <f>SQRT(($R515-Infrastructure!J$8)^2+($S515-Infrastructure!K$8)^2)</f>
        <v>40.04722213</v>
      </c>
      <c r="BB515" s="331">
        <f>SQRT(($R515-Infrastructure!J$9)^2+($S515-Infrastructure!K$9)^2)</f>
        <v>38.72996256</v>
      </c>
      <c r="BC515" s="331">
        <f>SQRT(($R515-Infrastructure!J$10)^2+($S515-Infrastructure!K$10)^2)</f>
        <v>30.24764454</v>
      </c>
      <c r="BD515" s="318"/>
      <c r="BE515" s="332"/>
      <c r="BF515" s="330">
        <f t="shared" si="14"/>
        <v>25.09541791</v>
      </c>
      <c r="BG515" s="333">
        <f t="shared" si="15"/>
        <v>41.29818398</v>
      </c>
      <c r="BH515" s="613"/>
      <c r="BI515" s="316"/>
      <c r="BJ515" s="318"/>
      <c r="BK515" s="318"/>
      <c r="BL515" s="318"/>
      <c r="BM515" s="318"/>
      <c r="BN515" s="318"/>
      <c r="BO515" s="318"/>
      <c r="BP515" s="318"/>
      <c r="BQ515" s="338"/>
      <c r="BR515" s="420"/>
      <c r="BS515" s="330">
        <f t="shared" si="23"/>
        <v>0</v>
      </c>
      <c r="BT515" s="331">
        <f t="shared" si="24"/>
        <v>0</v>
      </c>
      <c r="BU515" s="331"/>
      <c r="BV515" s="333"/>
      <c r="BW515" s="614"/>
      <c r="BX515" s="615"/>
      <c r="BY515" s="331" t="b">
        <f t="shared" si="28"/>
        <v>0</v>
      </c>
      <c r="BZ515" s="340"/>
      <c r="CA515" s="316"/>
      <c r="CB515" s="318"/>
      <c r="CC515" s="318"/>
      <c r="CD515" s="318"/>
      <c r="CE515" s="318"/>
      <c r="CF515" s="318"/>
      <c r="CG515" s="318"/>
      <c r="CH515" s="318"/>
      <c r="CI515" s="338"/>
      <c r="CJ515" s="341"/>
      <c r="CK515" s="342">
        <f t="shared" si="18"/>
        <v>0</v>
      </c>
      <c r="CL515" s="333">
        <f t="shared" si="19"/>
        <v>0</v>
      </c>
      <c r="CM515" s="702" t="s">
        <v>1225</v>
      </c>
      <c r="CN515" s="595"/>
      <c r="CO515" s="595"/>
      <c r="CP515" s="595"/>
    </row>
    <row r="516">
      <c r="B516" s="635"/>
      <c r="C516" s="596">
        <v>44140.0</v>
      </c>
      <c r="D516" s="597" t="s">
        <v>1214</v>
      </c>
      <c r="E516" s="598">
        <v>23.0</v>
      </c>
      <c r="F516" s="619" t="str">
        <f t="shared" si="29"/>
        <v>2020/05-23</v>
      </c>
      <c r="G516" s="657">
        <v>0.6708333333333334</v>
      </c>
      <c r="H516" s="322">
        <v>0.6708333333333334</v>
      </c>
      <c r="I516" s="322"/>
      <c r="J516" s="322"/>
      <c r="K516" s="322">
        <v>0.6749999999999999</v>
      </c>
      <c r="L516" s="602">
        <f t="shared" si="30"/>
        <v>0.004166666667</v>
      </c>
      <c r="M516" s="603" t="s">
        <v>166</v>
      </c>
      <c r="N516" s="604" t="s">
        <v>188</v>
      </c>
      <c r="O516" s="419" t="s">
        <v>378</v>
      </c>
      <c r="P516" s="605" t="s">
        <v>225</v>
      </c>
      <c r="Q516" s="603" t="s">
        <v>842</v>
      </c>
      <c r="R516" s="606">
        <v>22.4</v>
      </c>
      <c r="S516" s="620">
        <v>39.6</v>
      </c>
      <c r="T516" s="618">
        <v>1.0</v>
      </c>
      <c r="U516" s="609">
        <v>20.0</v>
      </c>
      <c r="V516" s="609"/>
      <c r="W516" s="609"/>
      <c r="X516" s="609"/>
      <c r="Y516" s="609"/>
      <c r="Z516" s="603" t="s">
        <v>1140</v>
      </c>
      <c r="AA516" s="603"/>
      <c r="AB516" s="624" t="s">
        <v>410</v>
      </c>
      <c r="AC516" s="621">
        <v>22.1</v>
      </c>
      <c r="AD516" s="603"/>
      <c r="AE516" s="603"/>
      <c r="AF516" s="603"/>
      <c r="AG516" s="603"/>
      <c r="AH516" s="603"/>
      <c r="AI516" s="603"/>
      <c r="AJ516" s="621"/>
      <c r="AK516" s="622"/>
      <c r="AL516" s="603"/>
      <c r="AM516" s="603"/>
      <c r="AN516" s="603"/>
      <c r="AO516" s="603"/>
      <c r="AP516" s="603"/>
      <c r="AQ516" s="603"/>
      <c r="AR516" s="603"/>
      <c r="AS516" s="621"/>
      <c r="AT516" s="636" t="s">
        <v>183</v>
      </c>
      <c r="AU516" s="637" t="s">
        <v>845</v>
      </c>
      <c r="AV516" s="662">
        <f>SQRT(($R516-Infrastructure!J$3)^2+($S516-Infrastructure!K$3)^2)</f>
        <v>25.09541791</v>
      </c>
      <c r="AW516" s="641">
        <f>SQRT(($R516-Infrastructure!J$4)^2+($S516-Infrastructure!K$4)^2)</f>
        <v>31.47268657</v>
      </c>
      <c r="AX516" s="641">
        <f>SQRT(($R516-Infrastructure!J$5)^2+($S516-Infrastructure!K$5)^2)</f>
        <v>41.29818398</v>
      </c>
      <c r="AY516" s="641">
        <f>SQRT(($R516-Infrastructure!J$6)^2+($S516-Infrastructure!K$6)^2)</f>
        <v>41.17984944</v>
      </c>
      <c r="AZ516" s="641">
        <f>SQRT(($R516-Infrastructure!J$7)^2+($S516-Infrastructure!K$7)^2)</f>
        <v>39.34590195</v>
      </c>
      <c r="BA516" s="641">
        <f>SQRT(($R516-Infrastructure!J$8)^2+($S516-Infrastructure!K$8)^2)</f>
        <v>40.04722213</v>
      </c>
      <c r="BB516" s="641">
        <f>SQRT(($R516-Infrastructure!J$9)^2+($S516-Infrastructure!K$9)^2)</f>
        <v>38.72996256</v>
      </c>
      <c r="BC516" s="641">
        <f>SQRT(($R516-Infrastructure!J$10)^2+($S516-Infrastructure!K$10)^2)</f>
        <v>30.24764454</v>
      </c>
      <c r="BD516" s="318"/>
      <c r="BE516" s="332"/>
      <c r="BF516" s="330">
        <f t="shared" si="14"/>
        <v>25.09541791</v>
      </c>
      <c r="BG516" s="333">
        <f t="shared" si="15"/>
        <v>41.29818398</v>
      </c>
      <c r="BH516" s="638"/>
      <c r="BI516" s="639"/>
      <c r="BJ516" s="640"/>
      <c r="BK516" s="640"/>
      <c r="BL516" s="640"/>
      <c r="BM516" s="640"/>
      <c r="BN516" s="640"/>
      <c r="BO516" s="640"/>
      <c r="BP516" s="640"/>
      <c r="BQ516" s="338"/>
      <c r="BR516" s="420"/>
      <c r="BS516" s="330">
        <f t="shared" si="23"/>
        <v>0</v>
      </c>
      <c r="BT516" s="331">
        <f t="shared" si="24"/>
        <v>0</v>
      </c>
      <c r="BU516" s="641"/>
      <c r="BV516" s="642"/>
      <c r="BW516" s="643"/>
      <c r="BX516" s="644"/>
      <c r="BY516" s="331" t="b">
        <f t="shared" si="28"/>
        <v>0</v>
      </c>
      <c r="BZ516" s="340"/>
      <c r="CA516" s="639"/>
      <c r="CB516" s="640"/>
      <c r="CC516" s="640"/>
      <c r="CD516" s="640"/>
      <c r="CE516" s="640"/>
      <c r="CF516" s="640"/>
      <c r="CG516" s="640"/>
      <c r="CH516" s="640"/>
      <c r="CI516" s="645"/>
      <c r="CJ516" s="646"/>
      <c r="CK516" s="342">
        <f t="shared" si="18"/>
        <v>0</v>
      </c>
      <c r="CL516" s="333">
        <f t="shared" si="19"/>
        <v>0</v>
      </c>
      <c r="CM516" s="647"/>
      <c r="CN516" s="617"/>
      <c r="CO516" s="617"/>
      <c r="CP516" s="617"/>
    </row>
    <row r="517">
      <c r="A517" s="389" t="s">
        <v>35</v>
      </c>
      <c r="B517" s="573"/>
      <c r="C517" s="574">
        <v>44141.0</v>
      </c>
      <c r="D517" s="575" t="s">
        <v>1214</v>
      </c>
      <c r="E517" s="576">
        <v>24.0</v>
      </c>
      <c r="F517" s="577" t="str">
        <f t="shared" si="29"/>
        <v>2020/06-24</v>
      </c>
      <c r="G517" s="648">
        <v>0.47256944444444443</v>
      </c>
      <c r="H517" s="396">
        <v>0.47256944444444443</v>
      </c>
      <c r="I517" s="396"/>
      <c r="J517" s="396"/>
      <c r="K517" s="396">
        <v>0.47500000000000003</v>
      </c>
      <c r="L517" s="580">
        <f t="shared" si="30"/>
        <v>0.002430555556</v>
      </c>
      <c r="M517" s="581" t="s">
        <v>166</v>
      </c>
      <c r="N517" s="582" t="s">
        <v>188</v>
      </c>
      <c r="O517" s="399" t="s">
        <v>378</v>
      </c>
      <c r="P517" s="583" t="s">
        <v>225</v>
      </c>
      <c r="Q517" s="581" t="s">
        <v>842</v>
      </c>
      <c r="R517" s="584">
        <v>22.4</v>
      </c>
      <c r="S517" s="585">
        <v>39.6</v>
      </c>
      <c r="T517" s="586">
        <v>1.0</v>
      </c>
      <c r="U517" s="587">
        <v>1.0</v>
      </c>
      <c r="V517" s="587"/>
      <c r="W517" s="587"/>
      <c r="X517" s="587"/>
      <c r="Y517" s="587"/>
      <c r="Z517" s="581" t="s">
        <v>1221</v>
      </c>
      <c r="AA517" s="581"/>
      <c r="AB517" s="653" t="s">
        <v>410</v>
      </c>
      <c r="AC517" s="589">
        <v>22.1</v>
      </c>
      <c r="AD517" s="581"/>
      <c r="AE517" s="581"/>
      <c r="AF517" s="581"/>
      <c r="AG517" s="581"/>
      <c r="AH517" s="581"/>
      <c r="AI517" s="581"/>
      <c r="AJ517" s="589"/>
      <c r="AK517" s="590"/>
      <c r="AL517" s="581"/>
      <c r="AM517" s="581"/>
      <c r="AN517" s="581"/>
      <c r="AO517" s="581"/>
      <c r="AP517" s="581"/>
      <c r="AQ517" s="581"/>
      <c r="AR517" s="581"/>
      <c r="AS517" s="589"/>
      <c r="AT517" s="460" t="s">
        <v>182</v>
      </c>
      <c r="AU517" s="394" t="s">
        <v>845</v>
      </c>
      <c r="AV517" s="405">
        <f>SQRT(($R517-Infrastructure!J$3)^2+($S517-Infrastructure!K$3)^2)</f>
        <v>25.09541791</v>
      </c>
      <c r="AW517" s="406">
        <f>SQRT(($R517-Infrastructure!J$4)^2+($S517-Infrastructure!K$4)^2)</f>
        <v>31.47268657</v>
      </c>
      <c r="AX517" s="406">
        <f>SQRT(($R517-Infrastructure!J$5)^2+($S517-Infrastructure!K$5)^2)</f>
        <v>41.29818398</v>
      </c>
      <c r="AY517" s="406">
        <f>SQRT(($R517-Infrastructure!J$6)^2+($S517-Infrastructure!K$6)^2)</f>
        <v>41.17984944</v>
      </c>
      <c r="AZ517" s="406">
        <f>SQRT(($R517-Infrastructure!J$7)^2+($S517-Infrastructure!K$7)^2)</f>
        <v>39.34590195</v>
      </c>
      <c r="BA517" s="406">
        <f>SQRT(($R517-Infrastructure!J$8)^2+($S517-Infrastructure!K$8)^2)</f>
        <v>40.04722213</v>
      </c>
      <c r="BB517" s="406">
        <f>SQRT(($R517-Infrastructure!J$9)^2+($S517-Infrastructure!K$9)^2)</f>
        <v>38.72996256</v>
      </c>
      <c r="BC517" s="406">
        <f>SQRT(($R517-Infrastructure!J$10)^2+($S517-Infrastructure!K$10)^2)</f>
        <v>30.24764454</v>
      </c>
      <c r="BD517" s="392"/>
      <c r="BE517" s="407"/>
      <c r="BF517" s="330">
        <f t="shared" si="14"/>
        <v>25.09541791</v>
      </c>
      <c r="BG517" s="333">
        <f t="shared" si="15"/>
        <v>41.29818398</v>
      </c>
      <c r="BH517" s="591"/>
      <c r="BI517" s="390"/>
      <c r="BJ517" s="392"/>
      <c r="BK517" s="392"/>
      <c r="BL517" s="392"/>
      <c r="BM517" s="392"/>
      <c r="BN517" s="392"/>
      <c r="BO517" s="392"/>
      <c r="BP517" s="392"/>
      <c r="BQ517" s="410"/>
      <c r="BR517" s="411"/>
      <c r="BS517" s="330">
        <f t="shared" si="23"/>
        <v>0</v>
      </c>
      <c r="BT517" s="331">
        <f t="shared" si="24"/>
        <v>0</v>
      </c>
      <c r="BU517" s="406"/>
      <c r="BV517" s="408"/>
      <c r="BW517" s="592"/>
      <c r="BX517" s="593"/>
      <c r="BY517" s="406" t="b">
        <f t="shared" si="28"/>
        <v>0</v>
      </c>
      <c r="BZ517" s="412"/>
      <c r="CA517" s="390"/>
      <c r="CB517" s="392"/>
      <c r="CC517" s="392"/>
      <c r="CD517" s="392"/>
      <c r="CE517" s="392"/>
      <c r="CF517" s="392"/>
      <c r="CG517" s="392"/>
      <c r="CH517" s="392"/>
      <c r="CI517" s="410"/>
      <c r="CJ517" s="413"/>
      <c r="CK517" s="342">
        <f t="shared" si="18"/>
        <v>0</v>
      </c>
      <c r="CL517" s="333">
        <f t="shared" si="19"/>
        <v>0</v>
      </c>
      <c r="CM517" s="656"/>
      <c r="CN517" s="617"/>
      <c r="CO517" s="617"/>
      <c r="CP517" s="617"/>
    </row>
    <row r="518">
      <c r="B518" s="462"/>
      <c r="C518" s="596">
        <v>44141.0</v>
      </c>
      <c r="D518" s="597"/>
      <c r="E518" s="598">
        <v>25.0</v>
      </c>
      <c r="F518" s="599" t="str">
        <f t="shared" si="29"/>
        <v>2020/06-25</v>
      </c>
      <c r="G518" s="657">
        <v>0.48055555555555557</v>
      </c>
      <c r="H518" s="322">
        <v>0.48055555555555557</v>
      </c>
      <c r="I518" s="322"/>
      <c r="J518" s="322"/>
      <c r="K518" s="322">
        <v>0.48391203703703706</v>
      </c>
      <c r="L518" s="602">
        <f t="shared" si="30"/>
        <v>0.003356481481</v>
      </c>
      <c r="M518" s="603" t="s">
        <v>166</v>
      </c>
      <c r="N518" s="604" t="s">
        <v>188</v>
      </c>
      <c r="O518" s="419" t="s">
        <v>378</v>
      </c>
      <c r="P518" s="605" t="s">
        <v>225</v>
      </c>
      <c r="Q518" s="603" t="s">
        <v>842</v>
      </c>
      <c r="R518" s="606">
        <v>22.4</v>
      </c>
      <c r="S518" s="620">
        <v>39.6</v>
      </c>
      <c r="T518" s="618">
        <v>1.0</v>
      </c>
      <c r="U518" s="609">
        <v>1.0</v>
      </c>
      <c r="V518" s="609"/>
      <c r="W518" s="609"/>
      <c r="X518" s="609"/>
      <c r="Y518" s="609"/>
      <c r="Z518" s="603" t="s">
        <v>1221</v>
      </c>
      <c r="AA518" s="603"/>
      <c r="AB518" s="610" t="s">
        <v>410</v>
      </c>
      <c r="AC518" s="611">
        <v>22.1</v>
      </c>
      <c r="AD518" s="610"/>
      <c r="AE518" s="610"/>
      <c r="AF518" s="610"/>
      <c r="AG518" s="610"/>
      <c r="AH518" s="610"/>
      <c r="AI518" s="610"/>
      <c r="AJ518" s="611"/>
      <c r="AK518" s="612"/>
      <c r="AL518" s="610"/>
      <c r="AM518" s="610"/>
      <c r="AN518" s="610"/>
      <c r="AO518" s="610"/>
      <c r="AP518" s="610"/>
      <c r="AQ518" s="610"/>
      <c r="AR518" s="610"/>
      <c r="AS518" s="611"/>
      <c r="AT518" s="461" t="s">
        <v>182</v>
      </c>
      <c r="AU518" s="324" t="s">
        <v>845</v>
      </c>
      <c r="AV518" s="330">
        <f>SQRT(($R518-Infrastructure!J$3)^2+($S518-Infrastructure!K$3)^2)</f>
        <v>25.09541791</v>
      </c>
      <c r="AW518" s="331">
        <f>SQRT(($R518-Infrastructure!J$4)^2+($S518-Infrastructure!K$4)^2)</f>
        <v>31.47268657</v>
      </c>
      <c r="AX518" s="331">
        <f>SQRT(($R518-Infrastructure!J$5)^2+($S518-Infrastructure!K$5)^2)</f>
        <v>41.29818398</v>
      </c>
      <c r="AY518" s="331">
        <f>SQRT(($R518-Infrastructure!J$6)^2+($S518-Infrastructure!K$6)^2)</f>
        <v>41.17984944</v>
      </c>
      <c r="AZ518" s="331">
        <f>SQRT(($R518-Infrastructure!J$7)^2+($S518-Infrastructure!K$7)^2)</f>
        <v>39.34590195</v>
      </c>
      <c r="BA518" s="331">
        <f>SQRT(($R518-Infrastructure!J$8)^2+($S518-Infrastructure!K$8)^2)</f>
        <v>40.04722213</v>
      </c>
      <c r="BB518" s="331">
        <f>SQRT(($R518-Infrastructure!J$9)^2+($S518-Infrastructure!K$9)^2)</f>
        <v>38.72996256</v>
      </c>
      <c r="BC518" s="331">
        <f>SQRT(($R518-Infrastructure!J$10)^2+($S518-Infrastructure!K$10)^2)</f>
        <v>30.24764454</v>
      </c>
      <c r="BD518" s="318"/>
      <c r="BE518" s="332"/>
      <c r="BF518" s="330">
        <f t="shared" si="14"/>
        <v>25.09541791</v>
      </c>
      <c r="BG518" s="333">
        <f t="shared" si="15"/>
        <v>41.29818398</v>
      </c>
      <c r="BH518" s="613"/>
      <c r="BI518" s="316"/>
      <c r="BJ518" s="318"/>
      <c r="BK518" s="318"/>
      <c r="BL518" s="318"/>
      <c r="BM518" s="318"/>
      <c r="BN518" s="318"/>
      <c r="BO518" s="318"/>
      <c r="BP518" s="318"/>
      <c r="BQ518" s="338"/>
      <c r="BR518" s="420"/>
      <c r="BS518" s="330">
        <f t="shared" si="23"/>
        <v>0</v>
      </c>
      <c r="BT518" s="331">
        <f t="shared" si="24"/>
        <v>0</v>
      </c>
      <c r="BU518" s="331"/>
      <c r="BV518" s="333"/>
      <c r="BW518" s="614"/>
      <c r="BX518" s="615"/>
      <c r="BY518" s="331" t="b">
        <f t="shared" si="28"/>
        <v>0</v>
      </c>
      <c r="BZ518" s="340"/>
      <c r="CA518" s="316"/>
      <c r="CB518" s="318"/>
      <c r="CC518" s="318"/>
      <c r="CD518" s="318"/>
      <c r="CE518" s="318"/>
      <c r="CF518" s="318"/>
      <c r="CG518" s="318"/>
      <c r="CH518" s="318"/>
      <c r="CI518" s="338"/>
      <c r="CJ518" s="341"/>
      <c r="CK518" s="342">
        <f t="shared" si="18"/>
        <v>0</v>
      </c>
      <c r="CL518" s="333">
        <f t="shared" si="19"/>
        <v>0</v>
      </c>
      <c r="CM518" s="616"/>
      <c r="CN518" s="617"/>
      <c r="CO518" s="617"/>
      <c r="CP518" s="617"/>
    </row>
    <row r="519">
      <c r="B519" s="462"/>
      <c r="C519" s="596">
        <v>44141.0</v>
      </c>
      <c r="D519" s="597"/>
      <c r="E519" s="598">
        <v>26.0</v>
      </c>
      <c r="F519" s="599" t="str">
        <f t="shared" si="29"/>
        <v>2020/06-26</v>
      </c>
      <c r="G519" s="657">
        <v>0.4864583333333334</v>
      </c>
      <c r="H519" s="322">
        <v>0.4864583333333334</v>
      </c>
      <c r="I519" s="322"/>
      <c r="J519" s="322"/>
      <c r="K519" s="322">
        <v>0.4869791666666667</v>
      </c>
      <c r="L519" s="602">
        <f t="shared" si="30"/>
        <v>0.0005208333333</v>
      </c>
      <c r="M519" s="603" t="s">
        <v>166</v>
      </c>
      <c r="N519" s="604" t="s">
        <v>188</v>
      </c>
      <c r="O519" s="419" t="s">
        <v>378</v>
      </c>
      <c r="P519" s="605" t="s">
        <v>225</v>
      </c>
      <c r="Q519" s="603" t="s">
        <v>842</v>
      </c>
      <c r="R519" s="606">
        <v>22.4</v>
      </c>
      <c r="S519" s="620">
        <v>39.6</v>
      </c>
      <c r="T519" s="618">
        <v>1.0</v>
      </c>
      <c r="U519" s="609">
        <v>2.0</v>
      </c>
      <c r="V519" s="609"/>
      <c r="W519" s="609"/>
      <c r="X519" s="609"/>
      <c r="Y519" s="609"/>
      <c r="Z519" s="603" t="s">
        <v>1221</v>
      </c>
      <c r="AA519" s="603"/>
      <c r="AB519" s="610" t="s">
        <v>410</v>
      </c>
      <c r="AC519" s="611">
        <v>22.1</v>
      </c>
      <c r="AD519" s="610"/>
      <c r="AE519" s="610"/>
      <c r="AF519" s="610"/>
      <c r="AG519" s="610"/>
      <c r="AH519" s="610"/>
      <c r="AI519" s="610"/>
      <c r="AJ519" s="611"/>
      <c r="AK519" s="612"/>
      <c r="AL519" s="610"/>
      <c r="AM519" s="610"/>
      <c r="AN519" s="610"/>
      <c r="AO519" s="610"/>
      <c r="AP519" s="610"/>
      <c r="AQ519" s="610"/>
      <c r="AR519" s="610"/>
      <c r="AS519" s="611"/>
      <c r="AT519" s="461" t="s">
        <v>182</v>
      </c>
      <c r="AU519" s="324" t="s">
        <v>845</v>
      </c>
      <c r="AV519" s="330">
        <f>SQRT(($R519-Infrastructure!J$3)^2+($S519-Infrastructure!K$3)^2)</f>
        <v>25.09541791</v>
      </c>
      <c r="AW519" s="331">
        <f>SQRT(($R519-Infrastructure!J$4)^2+($S519-Infrastructure!K$4)^2)</f>
        <v>31.47268657</v>
      </c>
      <c r="AX519" s="331">
        <f>SQRT(($R519-Infrastructure!J$5)^2+($S519-Infrastructure!K$5)^2)</f>
        <v>41.29818398</v>
      </c>
      <c r="AY519" s="331">
        <f>SQRT(($R519-Infrastructure!J$6)^2+($S519-Infrastructure!K$6)^2)</f>
        <v>41.17984944</v>
      </c>
      <c r="AZ519" s="331">
        <f>SQRT(($R519-Infrastructure!J$7)^2+($S519-Infrastructure!K$7)^2)</f>
        <v>39.34590195</v>
      </c>
      <c r="BA519" s="331">
        <f>SQRT(($R519-Infrastructure!J$8)^2+($S519-Infrastructure!K$8)^2)</f>
        <v>40.04722213</v>
      </c>
      <c r="BB519" s="331">
        <f>SQRT(($R519-Infrastructure!J$9)^2+($S519-Infrastructure!K$9)^2)</f>
        <v>38.72996256</v>
      </c>
      <c r="BC519" s="331">
        <f>SQRT(($R519-Infrastructure!J$10)^2+($S519-Infrastructure!K$10)^2)</f>
        <v>30.24764454</v>
      </c>
      <c r="BD519" s="318"/>
      <c r="BE519" s="332"/>
      <c r="BF519" s="330">
        <f t="shared" si="14"/>
        <v>25.09541791</v>
      </c>
      <c r="BG519" s="333">
        <f t="shared" si="15"/>
        <v>41.29818398</v>
      </c>
      <c r="BH519" s="613"/>
      <c r="BI519" s="316"/>
      <c r="BJ519" s="318"/>
      <c r="BK519" s="318"/>
      <c r="BL519" s="318"/>
      <c r="BM519" s="318"/>
      <c r="BN519" s="318"/>
      <c r="BO519" s="318"/>
      <c r="BP519" s="318"/>
      <c r="BQ519" s="338"/>
      <c r="BR519" s="420"/>
      <c r="BS519" s="330">
        <f t="shared" si="23"/>
        <v>0</v>
      </c>
      <c r="BT519" s="331">
        <f t="shared" si="24"/>
        <v>0</v>
      </c>
      <c r="BU519" s="331"/>
      <c r="BV519" s="333"/>
      <c r="BW519" s="614"/>
      <c r="BX519" s="615"/>
      <c r="BY519" s="331" t="b">
        <f t="shared" si="28"/>
        <v>0</v>
      </c>
      <c r="BZ519" s="340"/>
      <c r="CA519" s="316"/>
      <c r="CB519" s="318"/>
      <c r="CC519" s="318"/>
      <c r="CD519" s="318"/>
      <c r="CE519" s="318"/>
      <c r="CF519" s="318"/>
      <c r="CG519" s="318"/>
      <c r="CH519" s="318"/>
      <c r="CI519" s="338"/>
      <c r="CJ519" s="341"/>
      <c r="CK519" s="342">
        <f t="shared" si="18"/>
        <v>0</v>
      </c>
      <c r="CL519" s="333">
        <f t="shared" si="19"/>
        <v>0</v>
      </c>
      <c r="CM519" s="616"/>
      <c r="CN519" s="617"/>
      <c r="CO519" s="617"/>
      <c r="CP519" s="617"/>
    </row>
    <row r="520">
      <c r="B520" s="462"/>
      <c r="C520" s="596">
        <v>44141.0</v>
      </c>
      <c r="D520" s="597"/>
      <c r="E520" s="598">
        <v>27.0</v>
      </c>
      <c r="F520" s="599" t="str">
        <f t="shared" si="29"/>
        <v>2020/06-27</v>
      </c>
      <c r="G520" s="657">
        <v>0.4888888888888889</v>
      </c>
      <c r="H520" s="322">
        <v>0.4888888888888889</v>
      </c>
      <c r="I520" s="322"/>
      <c r="J520" s="322"/>
      <c r="K520" s="322">
        <v>0.48940972222222223</v>
      </c>
      <c r="L520" s="602">
        <f t="shared" si="30"/>
        <v>0.0005208333333</v>
      </c>
      <c r="M520" s="603" t="s">
        <v>166</v>
      </c>
      <c r="N520" s="604" t="s">
        <v>188</v>
      </c>
      <c r="O520" s="419" t="s">
        <v>378</v>
      </c>
      <c r="P520" s="605" t="s">
        <v>225</v>
      </c>
      <c r="Q520" s="603" t="s">
        <v>842</v>
      </c>
      <c r="R520" s="606">
        <v>22.4</v>
      </c>
      <c r="S520" s="620">
        <v>39.6</v>
      </c>
      <c r="T520" s="618">
        <v>1.0</v>
      </c>
      <c r="U520" s="609">
        <v>5.0</v>
      </c>
      <c r="V520" s="609"/>
      <c r="W520" s="609"/>
      <c r="X520" s="609"/>
      <c r="Y520" s="609"/>
      <c r="Z520" s="603" t="s">
        <v>1140</v>
      </c>
      <c r="AA520" s="603"/>
      <c r="AB520" s="610" t="s">
        <v>410</v>
      </c>
      <c r="AC520" s="611">
        <v>22.1</v>
      </c>
      <c r="AD520" s="610"/>
      <c r="AE520" s="610"/>
      <c r="AF520" s="610"/>
      <c r="AG520" s="610"/>
      <c r="AH520" s="610"/>
      <c r="AI520" s="610"/>
      <c r="AJ520" s="611"/>
      <c r="AK520" s="612"/>
      <c r="AL520" s="610"/>
      <c r="AM520" s="610"/>
      <c r="AN520" s="610"/>
      <c r="AO520" s="610"/>
      <c r="AP520" s="610"/>
      <c r="AQ520" s="610"/>
      <c r="AR520" s="610"/>
      <c r="AS520" s="611"/>
      <c r="AT520" s="461" t="s">
        <v>182</v>
      </c>
      <c r="AU520" s="324" t="s">
        <v>845</v>
      </c>
      <c r="AV520" s="330">
        <f>SQRT(($R520-Infrastructure!J$3)^2+($S520-Infrastructure!K$3)^2)</f>
        <v>25.09541791</v>
      </c>
      <c r="AW520" s="331">
        <f>SQRT(($R520-Infrastructure!J$4)^2+($S520-Infrastructure!K$4)^2)</f>
        <v>31.47268657</v>
      </c>
      <c r="AX520" s="331">
        <f>SQRT(($R520-Infrastructure!J$5)^2+($S520-Infrastructure!K$5)^2)</f>
        <v>41.29818398</v>
      </c>
      <c r="AY520" s="331">
        <f>SQRT(($R520-Infrastructure!J$6)^2+($S520-Infrastructure!K$6)^2)</f>
        <v>41.17984944</v>
      </c>
      <c r="AZ520" s="331">
        <f>SQRT(($R520-Infrastructure!J$7)^2+($S520-Infrastructure!K$7)^2)</f>
        <v>39.34590195</v>
      </c>
      <c r="BA520" s="331">
        <f>SQRT(($R520-Infrastructure!J$8)^2+($S520-Infrastructure!K$8)^2)</f>
        <v>40.04722213</v>
      </c>
      <c r="BB520" s="331">
        <f>SQRT(($R520-Infrastructure!J$9)^2+($S520-Infrastructure!K$9)^2)</f>
        <v>38.72996256</v>
      </c>
      <c r="BC520" s="331">
        <f>SQRT(($R520-Infrastructure!J$10)^2+($S520-Infrastructure!K$10)^2)</f>
        <v>30.24764454</v>
      </c>
      <c r="BD520" s="318"/>
      <c r="BE520" s="332"/>
      <c r="BF520" s="330">
        <f t="shared" si="14"/>
        <v>25.09541791</v>
      </c>
      <c r="BG520" s="333">
        <f t="shared" si="15"/>
        <v>41.29818398</v>
      </c>
      <c r="BH520" s="613"/>
      <c r="BI520" s="316"/>
      <c r="BJ520" s="318"/>
      <c r="BK520" s="318"/>
      <c r="BL520" s="318"/>
      <c r="BM520" s="318"/>
      <c r="BN520" s="318"/>
      <c r="BO520" s="318"/>
      <c r="BP520" s="318"/>
      <c r="BQ520" s="338"/>
      <c r="BR520" s="420"/>
      <c r="BS520" s="330">
        <f t="shared" si="23"/>
        <v>0</v>
      </c>
      <c r="BT520" s="331">
        <f t="shared" si="24"/>
        <v>0</v>
      </c>
      <c r="BU520" s="331"/>
      <c r="BV520" s="333"/>
      <c r="BW520" s="614"/>
      <c r="BX520" s="615"/>
      <c r="BY520" s="331" t="b">
        <f t="shared" si="28"/>
        <v>0</v>
      </c>
      <c r="BZ520" s="340"/>
      <c r="CA520" s="316"/>
      <c r="CB520" s="318"/>
      <c r="CC520" s="318"/>
      <c r="CD520" s="318"/>
      <c r="CE520" s="318"/>
      <c r="CF520" s="318"/>
      <c r="CG520" s="318"/>
      <c r="CH520" s="318"/>
      <c r="CI520" s="338"/>
      <c r="CJ520" s="341"/>
      <c r="CK520" s="342">
        <f t="shared" si="18"/>
        <v>0</v>
      </c>
      <c r="CL520" s="333">
        <f t="shared" si="19"/>
        <v>0</v>
      </c>
      <c r="CM520" s="616"/>
      <c r="CN520" s="617"/>
      <c r="CO520" s="617"/>
      <c r="CP520" s="617"/>
    </row>
    <row r="521">
      <c r="B521" s="462"/>
      <c r="C521" s="596">
        <v>44141.0</v>
      </c>
      <c r="D521" s="597" t="s">
        <v>1214</v>
      </c>
      <c r="E521" s="598">
        <v>28.0</v>
      </c>
      <c r="F521" s="599" t="str">
        <f t="shared" si="29"/>
        <v>2020/06-28</v>
      </c>
      <c r="G521" s="657">
        <v>0.4914930555555555</v>
      </c>
      <c r="H521" s="322">
        <v>0.4914930555555555</v>
      </c>
      <c r="I521" s="322"/>
      <c r="J521" s="322"/>
      <c r="K521" s="322">
        <v>0.4916666666666667</v>
      </c>
      <c r="L521" s="602">
        <f t="shared" si="30"/>
        <v>0.0001736111111</v>
      </c>
      <c r="M521" s="603" t="s">
        <v>166</v>
      </c>
      <c r="N521" s="604" t="s">
        <v>188</v>
      </c>
      <c r="O521" s="419" t="s">
        <v>196</v>
      </c>
      <c r="P521" s="605" t="s">
        <v>224</v>
      </c>
      <c r="Q521" s="603" t="s">
        <v>842</v>
      </c>
      <c r="R521" s="606">
        <v>21.4</v>
      </c>
      <c r="S521" s="620">
        <v>39.3</v>
      </c>
      <c r="T521" s="618">
        <v>1.2</v>
      </c>
      <c r="U521" s="609">
        <v>20.0</v>
      </c>
      <c r="V521" s="609"/>
      <c r="W521" s="609"/>
      <c r="X521" s="609"/>
      <c r="Y521" s="609"/>
      <c r="Z521" s="603" t="s">
        <v>387</v>
      </c>
      <c r="AA521" s="603"/>
      <c r="AB521" s="610" t="s">
        <v>422</v>
      </c>
      <c r="AC521" s="611">
        <v>102.3</v>
      </c>
      <c r="AD521" s="610"/>
      <c r="AE521" s="610"/>
      <c r="AF521" s="610"/>
      <c r="AG521" s="610"/>
      <c r="AH521" s="610"/>
      <c r="AI521" s="610"/>
      <c r="AJ521" s="611"/>
      <c r="AK521" s="612"/>
      <c r="AL521" s="610"/>
      <c r="AM521" s="610"/>
      <c r="AN521" s="610"/>
      <c r="AO521" s="610"/>
      <c r="AP521" s="610"/>
      <c r="AQ521" s="610"/>
      <c r="AR521" s="610"/>
      <c r="AS521" s="611"/>
      <c r="AT521" s="461" t="s">
        <v>183</v>
      </c>
      <c r="AU521" s="324" t="s">
        <v>845</v>
      </c>
      <c r="AV521" s="330">
        <f>SQRT(($R521-Infrastructure!J$3)^2+($S521-Infrastructure!K$3)^2)</f>
        <v>24.06345777</v>
      </c>
      <c r="AW521" s="331">
        <f>SQRT(($R521-Infrastructure!J$4)^2+($S521-Infrastructure!K$4)^2)</f>
        <v>30.54734031</v>
      </c>
      <c r="AX521" s="331">
        <f>SQRT(($R521-Infrastructure!J$5)^2+($S521-Infrastructure!K$5)^2)</f>
        <v>40.50345664</v>
      </c>
      <c r="AY521" s="331">
        <f>SQRT(($R521-Infrastructure!J$6)^2+($S521-Infrastructure!K$6)^2)</f>
        <v>40.60406384</v>
      </c>
      <c r="AZ521" s="331">
        <f>SQRT(($R521-Infrastructure!J$7)^2+($S521-Infrastructure!K$7)^2)</f>
        <v>39.01038323</v>
      </c>
      <c r="BA521" s="331">
        <f>SQRT(($R521-Infrastructure!J$8)^2+($S521-Infrastructure!K$8)^2)</f>
        <v>39.95860358</v>
      </c>
      <c r="BB521" s="331">
        <f>SQRT(($R521-Infrastructure!J$9)^2+($S521-Infrastructure!K$9)^2)</f>
        <v>38.93070767</v>
      </c>
      <c r="BC521" s="331">
        <f>SQRT(($R521-Infrastructure!J$10)^2+($S521-Infrastructure!K$10)^2)</f>
        <v>30.60147055</v>
      </c>
      <c r="BD521" s="318"/>
      <c r="BE521" s="332"/>
      <c r="BF521" s="330">
        <f t="shared" si="14"/>
        <v>24.06345777</v>
      </c>
      <c r="BG521" s="333">
        <f t="shared" si="15"/>
        <v>40.60406384</v>
      </c>
      <c r="BH521" s="613"/>
      <c r="BI521" s="316"/>
      <c r="BJ521" s="318"/>
      <c r="BK521" s="318"/>
      <c r="BL521" s="318"/>
      <c r="BM521" s="318"/>
      <c r="BN521" s="318"/>
      <c r="BO521" s="318"/>
      <c r="BP521" s="318"/>
      <c r="BQ521" s="338"/>
      <c r="BR521" s="420"/>
      <c r="BS521" s="330">
        <f t="shared" si="23"/>
        <v>0</v>
      </c>
      <c r="BT521" s="331">
        <f t="shared" si="24"/>
        <v>0</v>
      </c>
      <c r="BU521" s="331"/>
      <c r="BV521" s="333"/>
      <c r="BW521" s="614"/>
      <c r="BX521" s="615"/>
      <c r="BY521" s="331" t="b">
        <f t="shared" si="28"/>
        <v>0</v>
      </c>
      <c r="BZ521" s="340"/>
      <c r="CA521" s="316"/>
      <c r="CB521" s="318"/>
      <c r="CC521" s="318"/>
      <c r="CD521" s="318"/>
      <c r="CE521" s="318"/>
      <c r="CF521" s="318"/>
      <c r="CG521" s="318"/>
      <c r="CH521" s="318"/>
      <c r="CI521" s="338"/>
      <c r="CJ521" s="341"/>
      <c r="CK521" s="342">
        <f t="shared" si="18"/>
        <v>0</v>
      </c>
      <c r="CL521" s="333">
        <f t="shared" si="19"/>
        <v>0</v>
      </c>
      <c r="CM521" s="616"/>
      <c r="CN521" s="617"/>
      <c r="CO521" s="617"/>
      <c r="CP521" s="617"/>
    </row>
    <row r="522">
      <c r="B522" s="462"/>
      <c r="C522" s="596">
        <v>44141.0</v>
      </c>
      <c r="D522" s="597"/>
      <c r="E522" s="598">
        <v>29.0</v>
      </c>
      <c r="F522" s="599" t="str">
        <f t="shared" si="29"/>
        <v>2020/06-29</v>
      </c>
      <c r="G522" s="657">
        <v>0.5031249999999999</v>
      </c>
      <c r="H522" s="322">
        <v>0.5031249999999999</v>
      </c>
      <c r="I522" s="322"/>
      <c r="J522" s="322"/>
      <c r="K522" s="322">
        <v>0.5152777777777778</v>
      </c>
      <c r="L522" s="602">
        <f t="shared" si="30"/>
        <v>0.01215277778</v>
      </c>
      <c r="M522" s="603" t="s">
        <v>166</v>
      </c>
      <c r="N522" s="604" t="s">
        <v>187</v>
      </c>
      <c r="O522" s="419" t="s">
        <v>198</v>
      </c>
      <c r="P522" s="605" t="s">
        <v>218</v>
      </c>
      <c r="Q522" s="603" t="s">
        <v>1214</v>
      </c>
      <c r="R522" s="606">
        <v>10.3</v>
      </c>
      <c r="S522" s="620">
        <v>7.9</v>
      </c>
      <c r="T522" s="618">
        <v>3.0</v>
      </c>
      <c r="U522" s="609">
        <v>1.0</v>
      </c>
      <c r="V522" s="609"/>
      <c r="W522" s="609"/>
      <c r="X522" s="609"/>
      <c r="Y522" s="609"/>
      <c r="Z522" s="603" t="s">
        <v>343</v>
      </c>
      <c r="AA522" s="603"/>
      <c r="AB522" s="610" t="s">
        <v>384</v>
      </c>
      <c r="AC522" s="611">
        <v>6.0</v>
      </c>
      <c r="AD522" s="610"/>
      <c r="AE522" s="610"/>
      <c r="AF522" s="610"/>
      <c r="AG522" s="610"/>
      <c r="AH522" s="610"/>
      <c r="AI522" s="610"/>
      <c r="AJ522" s="611"/>
      <c r="AK522" s="612"/>
      <c r="AL522" s="610"/>
      <c r="AM522" s="610"/>
      <c r="AN522" s="610"/>
      <c r="AO522" s="610"/>
      <c r="AP522" s="610"/>
      <c r="AQ522" s="610"/>
      <c r="AR522" s="610"/>
      <c r="AS522" s="611"/>
      <c r="AT522" s="461" t="s">
        <v>182</v>
      </c>
      <c r="AU522" s="324" t="s">
        <v>845</v>
      </c>
      <c r="AV522" s="330">
        <f>SQRT(($R522-Infrastructure!J$3)^2+($S522-Infrastructure!K$3)^2)</f>
        <v>23.52360517</v>
      </c>
      <c r="AW522" s="331">
        <f>SQRT(($R522-Infrastructure!J$4)^2+($S522-Infrastructure!K$4)^2)</f>
        <v>14.50413734</v>
      </c>
      <c r="AX522" s="331">
        <f>SQRT(($R522-Infrastructure!J$5)^2+($S522-Infrastructure!K$5)^2)</f>
        <v>10.96357606</v>
      </c>
      <c r="AY522" s="331">
        <f>SQRT(($R522-Infrastructure!J$6)^2+($S522-Infrastructure!K$6)^2)</f>
        <v>7.602631123</v>
      </c>
      <c r="AZ522" s="331">
        <f>SQRT(($R522-Infrastructure!J$7)^2+($S522-Infrastructure!K$7)^2)</f>
        <v>12.72006289</v>
      </c>
      <c r="BA522" s="331">
        <f>SQRT(($R522-Infrastructure!J$8)^2+($S522-Infrastructure!K$8)^2)</f>
        <v>21.20848887</v>
      </c>
      <c r="BB522" s="331">
        <f>SQRT(($R522-Infrastructure!J$9)^2+($S522-Infrastructure!K$9)^2)</f>
        <v>29.83169455</v>
      </c>
      <c r="BC522" s="331">
        <f>SQRT(($R522-Infrastructure!J$10)^2+($S522-Infrastructure!K$10)^2)</f>
        <v>30.53686297</v>
      </c>
      <c r="BD522" s="318"/>
      <c r="BE522" s="332"/>
      <c r="BF522" s="330">
        <f t="shared" si="14"/>
        <v>7.602631123</v>
      </c>
      <c r="BG522" s="333">
        <f t="shared" si="15"/>
        <v>30.53686297</v>
      </c>
      <c r="BH522" s="613"/>
      <c r="BI522" s="316"/>
      <c r="BJ522" s="318"/>
      <c r="BK522" s="318"/>
      <c r="BL522" s="319" t="s">
        <v>846</v>
      </c>
      <c r="BM522" s="318"/>
      <c r="BN522" s="318"/>
      <c r="BO522" s="318"/>
      <c r="BP522" s="318"/>
      <c r="BQ522" s="338"/>
      <c r="BR522" s="420"/>
      <c r="BS522" s="330">
        <f t="shared" si="23"/>
        <v>7.602631123</v>
      </c>
      <c r="BT522" s="331">
        <f t="shared" si="24"/>
        <v>7.602631123</v>
      </c>
      <c r="BU522" s="331"/>
      <c r="BV522" s="333"/>
      <c r="BW522" s="614"/>
      <c r="BX522" s="615"/>
      <c r="BY522" s="331" t="b">
        <f t="shared" si="28"/>
        <v>0</v>
      </c>
      <c r="BZ522" s="340"/>
      <c r="CA522" s="316"/>
      <c r="CB522" s="318"/>
      <c r="CC522" s="318"/>
      <c r="CD522" s="318"/>
      <c r="CE522" s="318"/>
      <c r="CF522" s="318"/>
      <c r="CG522" s="318"/>
      <c r="CH522" s="318"/>
      <c r="CI522" s="338"/>
      <c r="CJ522" s="341"/>
      <c r="CK522" s="342">
        <f t="shared" si="18"/>
        <v>0</v>
      </c>
      <c r="CL522" s="333">
        <f t="shared" si="19"/>
        <v>0</v>
      </c>
      <c r="CM522" s="616"/>
      <c r="CN522" s="617"/>
      <c r="CO522" s="617"/>
      <c r="CP522" s="617"/>
    </row>
    <row r="523">
      <c r="B523" s="462"/>
      <c r="C523" s="596">
        <v>44141.0</v>
      </c>
      <c r="D523" s="597"/>
      <c r="E523" s="598">
        <v>30.0</v>
      </c>
      <c r="F523" s="599" t="str">
        <f t="shared" si="29"/>
        <v>2020/06-30</v>
      </c>
      <c r="G523" s="657">
        <v>0.5170138888888889</v>
      </c>
      <c r="H523" s="322">
        <v>0.5170138888888889</v>
      </c>
      <c r="I523" s="322"/>
      <c r="J523" s="322"/>
      <c r="K523" s="322">
        <v>0.517361111111111</v>
      </c>
      <c r="L523" s="602">
        <f t="shared" si="30"/>
        <v>0.0003472222222</v>
      </c>
      <c r="M523" s="603" t="s">
        <v>166</v>
      </c>
      <c r="N523" s="604" t="s">
        <v>187</v>
      </c>
      <c r="O523" s="419" t="s">
        <v>198</v>
      </c>
      <c r="P523" s="605" t="s">
        <v>218</v>
      </c>
      <c r="Q523" s="603" t="s">
        <v>1214</v>
      </c>
      <c r="R523" s="606">
        <v>10.3</v>
      </c>
      <c r="S523" s="620">
        <v>7.9</v>
      </c>
      <c r="T523" s="618">
        <v>3.0</v>
      </c>
      <c r="U523" s="609">
        <v>2.0</v>
      </c>
      <c r="V523" s="609"/>
      <c r="W523" s="609"/>
      <c r="X523" s="609"/>
      <c r="Y523" s="609"/>
      <c r="Z523" s="603" t="s">
        <v>343</v>
      </c>
      <c r="AA523" s="603"/>
      <c r="AB523" s="610" t="s">
        <v>384</v>
      </c>
      <c r="AC523" s="611">
        <v>6.0</v>
      </c>
      <c r="AD523" s="610"/>
      <c r="AE523" s="610"/>
      <c r="AF523" s="610"/>
      <c r="AG523" s="610"/>
      <c r="AH523" s="610"/>
      <c r="AI523" s="610"/>
      <c r="AJ523" s="611"/>
      <c r="AK523" s="612"/>
      <c r="AL523" s="610"/>
      <c r="AM523" s="610"/>
      <c r="AN523" s="610"/>
      <c r="AO523" s="610"/>
      <c r="AP523" s="610"/>
      <c r="AQ523" s="610"/>
      <c r="AR523" s="610"/>
      <c r="AS523" s="611"/>
      <c r="AT523" s="461" t="s">
        <v>182</v>
      </c>
      <c r="AU523" s="324" t="s">
        <v>845</v>
      </c>
      <c r="AV523" s="330">
        <f>SQRT(($R523-Infrastructure!J$3)^2+($S523-Infrastructure!K$3)^2)</f>
        <v>23.52360517</v>
      </c>
      <c r="AW523" s="331">
        <f>SQRT(($R523-Infrastructure!J$4)^2+($S523-Infrastructure!K$4)^2)</f>
        <v>14.50413734</v>
      </c>
      <c r="AX523" s="331">
        <f>SQRT(($R523-Infrastructure!J$5)^2+($S523-Infrastructure!K$5)^2)</f>
        <v>10.96357606</v>
      </c>
      <c r="AY523" s="331">
        <f>SQRT(($R523-Infrastructure!J$6)^2+($S523-Infrastructure!K$6)^2)</f>
        <v>7.602631123</v>
      </c>
      <c r="AZ523" s="331">
        <f>SQRT(($R523-Infrastructure!J$7)^2+($S523-Infrastructure!K$7)^2)</f>
        <v>12.72006289</v>
      </c>
      <c r="BA523" s="331">
        <f>SQRT(($R523-Infrastructure!J$8)^2+($S523-Infrastructure!K$8)^2)</f>
        <v>21.20848887</v>
      </c>
      <c r="BB523" s="331">
        <f>SQRT(($R523-Infrastructure!J$9)^2+($S523-Infrastructure!K$9)^2)</f>
        <v>29.83169455</v>
      </c>
      <c r="BC523" s="331">
        <f>SQRT(($R523-Infrastructure!J$10)^2+($S523-Infrastructure!K$10)^2)</f>
        <v>30.53686297</v>
      </c>
      <c r="BD523" s="318"/>
      <c r="BE523" s="332"/>
      <c r="BF523" s="330">
        <f t="shared" si="14"/>
        <v>7.602631123</v>
      </c>
      <c r="BG523" s="333">
        <f t="shared" si="15"/>
        <v>30.53686297</v>
      </c>
      <c r="BH523" s="613"/>
      <c r="BI523" s="316"/>
      <c r="BJ523" s="319" t="s">
        <v>846</v>
      </c>
      <c r="BK523" s="318"/>
      <c r="BL523" s="318"/>
      <c r="BM523" s="318"/>
      <c r="BN523" s="318"/>
      <c r="BO523" s="318"/>
      <c r="BP523" s="318"/>
      <c r="BQ523" s="338"/>
      <c r="BR523" s="420"/>
      <c r="BS523" s="330">
        <f t="shared" si="23"/>
        <v>14.50413734</v>
      </c>
      <c r="BT523" s="331">
        <f t="shared" si="24"/>
        <v>14.50413734</v>
      </c>
      <c r="BU523" s="331"/>
      <c r="BV523" s="333"/>
      <c r="BW523" s="614"/>
      <c r="BX523" s="615"/>
      <c r="BY523" s="331" t="b">
        <f t="shared" si="28"/>
        <v>0</v>
      </c>
      <c r="BZ523" s="340"/>
      <c r="CA523" s="316"/>
      <c r="CB523" s="318"/>
      <c r="CC523" s="318"/>
      <c r="CD523" s="318"/>
      <c r="CE523" s="318"/>
      <c r="CF523" s="318"/>
      <c r="CG523" s="318"/>
      <c r="CH523" s="318"/>
      <c r="CI523" s="338"/>
      <c r="CJ523" s="341"/>
      <c r="CK523" s="342">
        <f t="shared" si="18"/>
        <v>0</v>
      </c>
      <c r="CL523" s="333">
        <f t="shared" si="19"/>
        <v>0</v>
      </c>
      <c r="CM523" s="616"/>
      <c r="CN523" s="617"/>
      <c r="CO523" s="617"/>
      <c r="CP523" s="617"/>
    </row>
    <row r="524">
      <c r="B524" s="462"/>
      <c r="C524" s="596">
        <v>44141.0</v>
      </c>
      <c r="D524" s="597"/>
      <c r="E524" s="598">
        <v>31.0</v>
      </c>
      <c r="F524" s="599" t="str">
        <f t="shared" si="29"/>
        <v>2020/06-31</v>
      </c>
      <c r="G524" s="657">
        <v>0.5187499999999999</v>
      </c>
      <c r="H524" s="322">
        <v>0.5187499999999999</v>
      </c>
      <c r="I524" s="322"/>
      <c r="J524" s="322"/>
      <c r="K524" s="322">
        <v>0.5190972222222222</v>
      </c>
      <c r="L524" s="602">
        <f t="shared" si="30"/>
        <v>0.0003472222222</v>
      </c>
      <c r="M524" s="603" t="s">
        <v>166</v>
      </c>
      <c r="N524" s="604" t="s">
        <v>187</v>
      </c>
      <c r="O524" s="419" t="s">
        <v>198</v>
      </c>
      <c r="P524" s="605" t="s">
        <v>218</v>
      </c>
      <c r="Q524" s="603" t="s">
        <v>1214</v>
      </c>
      <c r="R524" s="606">
        <v>10.3</v>
      </c>
      <c r="S524" s="620">
        <v>7.9</v>
      </c>
      <c r="T524" s="618">
        <v>3.0</v>
      </c>
      <c r="U524" s="609">
        <v>7.0</v>
      </c>
      <c r="V524" s="609"/>
      <c r="W524" s="609"/>
      <c r="X524" s="609"/>
      <c r="Y524" s="609"/>
      <c r="Z524" s="603" t="s">
        <v>343</v>
      </c>
      <c r="AA524" s="603"/>
      <c r="AB524" s="610" t="s">
        <v>384</v>
      </c>
      <c r="AC524" s="611">
        <v>6.0</v>
      </c>
      <c r="AD524" s="610"/>
      <c r="AE524" s="610"/>
      <c r="AF524" s="610"/>
      <c r="AG524" s="610"/>
      <c r="AH524" s="610"/>
      <c r="AI524" s="610"/>
      <c r="AJ524" s="611"/>
      <c r="AK524" s="612"/>
      <c r="AL524" s="610"/>
      <c r="AM524" s="610"/>
      <c r="AN524" s="610"/>
      <c r="AO524" s="610"/>
      <c r="AP524" s="610"/>
      <c r="AQ524" s="610"/>
      <c r="AR524" s="610"/>
      <c r="AS524" s="611"/>
      <c r="AT524" s="461" t="s">
        <v>182</v>
      </c>
      <c r="AU524" s="324" t="s">
        <v>845</v>
      </c>
      <c r="AV524" s="330">
        <f>SQRT(($R524-Infrastructure!J$3)^2+($S524-Infrastructure!K$3)^2)</f>
        <v>23.52360517</v>
      </c>
      <c r="AW524" s="331">
        <f>SQRT(($R524-Infrastructure!J$4)^2+($S524-Infrastructure!K$4)^2)</f>
        <v>14.50413734</v>
      </c>
      <c r="AX524" s="331">
        <f>SQRT(($R524-Infrastructure!J$5)^2+($S524-Infrastructure!K$5)^2)</f>
        <v>10.96357606</v>
      </c>
      <c r="AY524" s="331">
        <f>SQRT(($R524-Infrastructure!J$6)^2+($S524-Infrastructure!K$6)^2)</f>
        <v>7.602631123</v>
      </c>
      <c r="AZ524" s="331">
        <f>SQRT(($R524-Infrastructure!J$7)^2+($S524-Infrastructure!K$7)^2)</f>
        <v>12.72006289</v>
      </c>
      <c r="BA524" s="331">
        <f>SQRT(($R524-Infrastructure!J$8)^2+($S524-Infrastructure!K$8)^2)</f>
        <v>21.20848887</v>
      </c>
      <c r="BB524" s="331">
        <f>SQRT(($R524-Infrastructure!J$9)^2+($S524-Infrastructure!K$9)^2)</f>
        <v>29.83169455</v>
      </c>
      <c r="BC524" s="331">
        <f>SQRT(($R524-Infrastructure!J$10)^2+($S524-Infrastructure!K$10)^2)</f>
        <v>30.53686297</v>
      </c>
      <c r="BD524" s="318"/>
      <c r="BE524" s="332"/>
      <c r="BF524" s="330">
        <f t="shared" si="14"/>
        <v>7.602631123</v>
      </c>
      <c r="BG524" s="333">
        <f t="shared" si="15"/>
        <v>30.53686297</v>
      </c>
      <c r="BH524" s="613"/>
      <c r="BI524" s="316"/>
      <c r="BJ524" s="318"/>
      <c r="BK524" s="318"/>
      <c r="BL524" s="318"/>
      <c r="BM524" s="318"/>
      <c r="BN524" s="318"/>
      <c r="BO524" s="318"/>
      <c r="BP524" s="318"/>
      <c r="BQ524" s="338"/>
      <c r="BR524" s="420"/>
      <c r="BS524" s="330">
        <f t="shared" si="23"/>
        <v>0</v>
      </c>
      <c r="BT524" s="331">
        <f t="shared" si="24"/>
        <v>0</v>
      </c>
      <c r="BU524" s="331"/>
      <c r="BV524" s="333"/>
      <c r="BW524" s="614"/>
      <c r="BX524" s="615"/>
      <c r="BY524" s="331" t="b">
        <f t="shared" si="28"/>
        <v>0</v>
      </c>
      <c r="BZ524" s="340"/>
      <c r="CA524" s="316"/>
      <c r="CB524" s="318"/>
      <c r="CC524" s="318"/>
      <c r="CD524" s="318"/>
      <c r="CE524" s="318"/>
      <c r="CF524" s="318"/>
      <c r="CG524" s="318"/>
      <c r="CH524" s="318"/>
      <c r="CI524" s="338"/>
      <c r="CJ524" s="341"/>
      <c r="CK524" s="342">
        <f t="shared" si="18"/>
        <v>0</v>
      </c>
      <c r="CL524" s="333">
        <f t="shared" si="19"/>
        <v>0</v>
      </c>
      <c r="CM524" s="616"/>
      <c r="CN524" s="617"/>
      <c r="CO524" s="617"/>
      <c r="CP524" s="617"/>
    </row>
    <row r="525">
      <c r="B525" s="462"/>
      <c r="C525" s="596">
        <v>44141.0</v>
      </c>
      <c r="D525" s="597"/>
      <c r="E525" s="598">
        <v>32.0</v>
      </c>
      <c r="F525" s="599" t="str">
        <f t="shared" si="29"/>
        <v>2020/06-32</v>
      </c>
      <c r="G525" s="321">
        <v>0.5194444444444445</v>
      </c>
      <c r="H525" s="323">
        <v>0.5194444444444445</v>
      </c>
      <c r="I525" s="323"/>
      <c r="J525" s="323"/>
      <c r="K525" s="323">
        <v>0.5204861111111111</v>
      </c>
      <c r="L525" s="602">
        <f t="shared" si="30"/>
        <v>0.001041666667</v>
      </c>
      <c r="M525" s="603" t="s">
        <v>166</v>
      </c>
      <c r="N525" s="604" t="s">
        <v>187</v>
      </c>
      <c r="O525" s="419" t="s">
        <v>198</v>
      </c>
      <c r="P525" s="605" t="s">
        <v>218</v>
      </c>
      <c r="Q525" s="603" t="s">
        <v>1214</v>
      </c>
      <c r="R525" s="606">
        <v>10.3</v>
      </c>
      <c r="S525" s="620">
        <v>7.9</v>
      </c>
      <c r="T525" s="618">
        <v>3.0</v>
      </c>
      <c r="U525" s="609">
        <v>0.5</v>
      </c>
      <c r="V525" s="609"/>
      <c r="W525" s="609"/>
      <c r="X525" s="609"/>
      <c r="Y525" s="609"/>
      <c r="Z525" s="603" t="s">
        <v>343</v>
      </c>
      <c r="AA525" s="603"/>
      <c r="AB525" s="610" t="s">
        <v>384</v>
      </c>
      <c r="AC525" s="611">
        <v>6.0</v>
      </c>
      <c r="AD525" s="610"/>
      <c r="AE525" s="610"/>
      <c r="AF525" s="610"/>
      <c r="AG525" s="610"/>
      <c r="AH525" s="610"/>
      <c r="AI525" s="610"/>
      <c r="AJ525" s="611"/>
      <c r="AK525" s="612"/>
      <c r="AL525" s="610"/>
      <c r="AM525" s="610"/>
      <c r="AN525" s="610"/>
      <c r="AO525" s="610"/>
      <c r="AP525" s="610"/>
      <c r="AQ525" s="610"/>
      <c r="AR525" s="610"/>
      <c r="AS525" s="611"/>
      <c r="AT525" s="461" t="s">
        <v>181</v>
      </c>
      <c r="AU525" s="324" t="s">
        <v>845</v>
      </c>
      <c r="AV525" s="330">
        <f>SQRT(($R525-Infrastructure!J$3)^2+($S525-Infrastructure!K$3)^2)</f>
        <v>23.52360517</v>
      </c>
      <c r="AW525" s="331">
        <f>SQRT(($R525-Infrastructure!J$4)^2+($S525-Infrastructure!K$4)^2)</f>
        <v>14.50413734</v>
      </c>
      <c r="AX525" s="331">
        <f>SQRT(($R525-Infrastructure!J$5)^2+($S525-Infrastructure!K$5)^2)</f>
        <v>10.96357606</v>
      </c>
      <c r="AY525" s="331">
        <f>SQRT(($R525-Infrastructure!J$6)^2+($S525-Infrastructure!K$6)^2)</f>
        <v>7.602631123</v>
      </c>
      <c r="AZ525" s="331">
        <f>SQRT(($R525-Infrastructure!J$7)^2+($S525-Infrastructure!K$7)^2)</f>
        <v>12.72006289</v>
      </c>
      <c r="BA525" s="331">
        <f>SQRT(($R525-Infrastructure!J$8)^2+($S525-Infrastructure!K$8)^2)</f>
        <v>21.20848887</v>
      </c>
      <c r="BB525" s="331">
        <f>SQRT(($R525-Infrastructure!J$9)^2+($S525-Infrastructure!K$9)^2)</f>
        <v>29.83169455</v>
      </c>
      <c r="BC525" s="331">
        <f>SQRT(($R525-Infrastructure!J$10)^2+($S525-Infrastructure!K$10)^2)</f>
        <v>30.53686297</v>
      </c>
      <c r="BD525" s="318"/>
      <c r="BE525" s="332"/>
      <c r="BF525" s="330">
        <f t="shared" si="14"/>
        <v>7.602631123</v>
      </c>
      <c r="BG525" s="333">
        <f t="shared" si="15"/>
        <v>30.53686297</v>
      </c>
      <c r="BH525" s="613"/>
      <c r="BI525" s="316"/>
      <c r="BJ525" s="318"/>
      <c r="BK525" s="318"/>
      <c r="BL525" s="318"/>
      <c r="BM525" s="318"/>
      <c r="BN525" s="318"/>
      <c r="BO525" s="318"/>
      <c r="BP525" s="318"/>
      <c r="BQ525" s="338"/>
      <c r="BR525" s="420"/>
      <c r="BS525" s="330">
        <f t="shared" si="23"/>
        <v>0</v>
      </c>
      <c r="BT525" s="331">
        <f t="shared" si="24"/>
        <v>0</v>
      </c>
      <c r="BU525" s="331"/>
      <c r="BV525" s="333"/>
      <c r="BW525" s="614"/>
      <c r="BX525" s="615"/>
      <c r="BY525" s="331"/>
      <c r="BZ525" s="340"/>
      <c r="CA525" s="316"/>
      <c r="CB525" s="318"/>
      <c r="CC525" s="318"/>
      <c r="CD525" s="318"/>
      <c r="CE525" s="318"/>
      <c r="CF525" s="318"/>
      <c r="CG525" s="318"/>
      <c r="CH525" s="318"/>
      <c r="CI525" s="338"/>
      <c r="CJ525" s="341"/>
      <c r="CK525" s="342">
        <f t="shared" si="18"/>
        <v>0</v>
      </c>
      <c r="CL525" s="333">
        <f t="shared" si="19"/>
        <v>0</v>
      </c>
      <c r="CM525" s="702" t="s">
        <v>1225</v>
      </c>
      <c r="CN525" s="595"/>
      <c r="CO525" s="595"/>
      <c r="CP525" s="595"/>
    </row>
    <row r="526">
      <c r="A526" s="634"/>
      <c r="B526" s="635"/>
      <c r="C526" s="596">
        <v>44141.0</v>
      </c>
      <c r="D526" s="318"/>
      <c r="E526" s="610">
        <v>33.0</v>
      </c>
      <c r="F526" s="599" t="str">
        <f t="shared" si="29"/>
        <v>2020/06-33</v>
      </c>
      <c r="G526" s="657">
        <v>0.5210069444444444</v>
      </c>
      <c r="H526" s="322">
        <v>0.5210069444444444</v>
      </c>
      <c r="I526" s="322"/>
      <c r="J526" s="322"/>
      <c r="K526" s="322">
        <v>0.5222222222222223</v>
      </c>
      <c r="L526" s="602">
        <f t="shared" si="30"/>
        <v>0.001215277778</v>
      </c>
      <c r="M526" s="603" t="s">
        <v>166</v>
      </c>
      <c r="N526" s="604" t="s">
        <v>187</v>
      </c>
      <c r="O526" s="419" t="s">
        <v>198</v>
      </c>
      <c r="P526" s="605" t="s">
        <v>218</v>
      </c>
      <c r="Q526" s="603" t="s">
        <v>1214</v>
      </c>
      <c r="R526" s="606">
        <v>10.3</v>
      </c>
      <c r="S526" s="620">
        <v>7.9</v>
      </c>
      <c r="T526" s="618">
        <v>3.0</v>
      </c>
      <c r="U526" s="609">
        <v>0.2</v>
      </c>
      <c r="V526" s="609"/>
      <c r="W526" s="609"/>
      <c r="X526" s="609"/>
      <c r="Y526" s="609"/>
      <c r="Z526" s="603" t="s">
        <v>343</v>
      </c>
      <c r="AA526" s="603"/>
      <c r="AB526" s="610" t="s">
        <v>384</v>
      </c>
      <c r="AC526" s="611">
        <v>6.0</v>
      </c>
      <c r="AD526" s="610"/>
      <c r="AE526" s="610"/>
      <c r="AF526" s="610"/>
      <c r="AG526" s="610"/>
      <c r="AH526" s="610"/>
      <c r="AI526" s="610"/>
      <c r="AJ526" s="611"/>
      <c r="AK526" s="612"/>
      <c r="AL526" s="610"/>
      <c r="AM526" s="610"/>
      <c r="AN526" s="610"/>
      <c r="AO526" s="610"/>
      <c r="AP526" s="610"/>
      <c r="AQ526" s="610"/>
      <c r="AR526" s="610"/>
      <c r="AS526" s="611"/>
      <c r="AT526" s="636" t="s">
        <v>181</v>
      </c>
      <c r="AU526" s="637" t="s">
        <v>845</v>
      </c>
      <c r="AV526" s="330">
        <f>SQRT(($R526-Infrastructure!J$3)^2+($S526-Infrastructure!K$3)^2)</f>
        <v>23.52360517</v>
      </c>
      <c r="AW526" s="331">
        <f>SQRT(($R526-Infrastructure!J$4)^2+($S526-Infrastructure!K$4)^2)</f>
        <v>14.50413734</v>
      </c>
      <c r="AX526" s="331">
        <f>SQRT(($R526-Infrastructure!J$5)^2+($S526-Infrastructure!K$5)^2)</f>
        <v>10.96357606</v>
      </c>
      <c r="AY526" s="331">
        <f>SQRT(($R526-Infrastructure!J$6)^2+($S526-Infrastructure!K$6)^2)</f>
        <v>7.602631123</v>
      </c>
      <c r="AZ526" s="331">
        <f>SQRT(($R526-Infrastructure!J$7)^2+($S526-Infrastructure!K$7)^2)</f>
        <v>12.72006289</v>
      </c>
      <c r="BA526" s="331">
        <f>SQRT(($R526-Infrastructure!J$8)^2+($S526-Infrastructure!K$8)^2)</f>
        <v>21.20848887</v>
      </c>
      <c r="BB526" s="331">
        <f>SQRT(($R526-Infrastructure!J$9)^2+($S526-Infrastructure!K$9)^2)</f>
        <v>29.83169455</v>
      </c>
      <c r="BC526" s="331">
        <f>SQRT(($R526-Infrastructure!J$10)^2+($S526-Infrastructure!K$10)^2)</f>
        <v>30.53686297</v>
      </c>
      <c r="BD526" s="318"/>
      <c r="BE526" s="332"/>
      <c r="BF526" s="330">
        <f t="shared" si="14"/>
        <v>7.602631123</v>
      </c>
      <c r="BG526" s="333">
        <f t="shared" si="15"/>
        <v>30.53686297</v>
      </c>
      <c r="BH526" s="638"/>
      <c r="BI526" s="639"/>
      <c r="BJ526" s="640"/>
      <c r="BK526" s="640"/>
      <c r="BL526" s="640"/>
      <c r="BM526" s="640"/>
      <c r="BN526" s="640"/>
      <c r="BO526" s="640"/>
      <c r="BP526" s="640"/>
      <c r="BQ526" s="338"/>
      <c r="BR526" s="420"/>
      <c r="BS526" s="330">
        <f t="shared" si="23"/>
        <v>0</v>
      </c>
      <c r="BT526" s="331">
        <f t="shared" si="24"/>
        <v>0</v>
      </c>
      <c r="BU526" s="331"/>
      <c r="BV526" s="333"/>
      <c r="BW526" s="643"/>
      <c r="BX526" s="644"/>
      <c r="BY526" s="331" t="b">
        <f t="shared" ref="BY526:BY542" si="31">IF(BW526&gt;0, SQRT((R526-BW526)^2+(S526-BX526)^2))</f>
        <v>0</v>
      </c>
      <c r="BZ526" s="340"/>
      <c r="CA526" s="639"/>
      <c r="CB526" s="640"/>
      <c r="CC526" s="640"/>
      <c r="CD526" s="640"/>
      <c r="CE526" s="640"/>
      <c r="CF526" s="640"/>
      <c r="CG526" s="640"/>
      <c r="CH526" s="640"/>
      <c r="CI526" s="645"/>
      <c r="CJ526" s="646"/>
      <c r="CK526" s="342">
        <f t="shared" si="18"/>
        <v>0</v>
      </c>
      <c r="CL526" s="333">
        <f t="shared" si="19"/>
        <v>0</v>
      </c>
      <c r="CM526" s="647"/>
      <c r="CN526" s="617"/>
      <c r="CO526" s="617"/>
      <c r="CP526" s="617"/>
    </row>
    <row r="527">
      <c r="A527" s="389" t="s">
        <v>36</v>
      </c>
      <c r="B527" s="573"/>
      <c r="C527" s="391">
        <v>44144.0</v>
      </c>
      <c r="D527" s="392"/>
      <c r="E527" s="393">
        <v>1.0</v>
      </c>
      <c r="F527" s="394"/>
      <c r="G527" s="705">
        <v>0.3454861111111111</v>
      </c>
      <c r="H527" s="706">
        <v>0.3454861111111111</v>
      </c>
      <c r="I527" s="706"/>
      <c r="J527" s="706"/>
      <c r="K527" s="706">
        <v>0.7621527777777778</v>
      </c>
      <c r="L527" s="456"/>
      <c r="M527" s="393" t="s">
        <v>166</v>
      </c>
      <c r="N527" s="394" t="s">
        <v>187</v>
      </c>
      <c r="O527" s="399" t="s">
        <v>206</v>
      </c>
      <c r="P527" s="393" t="s">
        <v>223</v>
      </c>
      <c r="Q527" s="393"/>
      <c r="R527" s="400">
        <v>21.8</v>
      </c>
      <c r="S527" s="393">
        <v>7.0</v>
      </c>
      <c r="T527" s="394"/>
      <c r="U527" s="393">
        <v>1.0</v>
      </c>
      <c r="V527" s="393"/>
      <c r="W527" s="393"/>
      <c r="X527" s="393"/>
      <c r="Y527" s="393"/>
      <c r="Z527" s="393"/>
      <c r="AA527" s="393"/>
      <c r="AB527" s="393"/>
      <c r="AC527" s="401">
        <v>6.0</v>
      </c>
      <c r="AD527" s="393"/>
      <c r="AE527" s="393"/>
      <c r="AF527" s="393"/>
      <c r="AG527" s="393"/>
      <c r="AH527" s="393"/>
      <c r="AI527" s="393"/>
      <c r="AJ527" s="401"/>
      <c r="AK527" s="402"/>
      <c r="AL527" s="393"/>
      <c r="AM527" s="393"/>
      <c r="AN527" s="393"/>
      <c r="AO527" s="393"/>
      <c r="AP527" s="393"/>
      <c r="AQ527" s="393"/>
      <c r="AR527" s="393"/>
      <c r="AS527" s="401"/>
      <c r="AT527" s="460" t="s">
        <v>182</v>
      </c>
      <c r="AU527" s="394" t="s">
        <v>845</v>
      </c>
      <c r="AV527" s="405">
        <f>SQRT(($R527-Infrastructure!J$3)^2+($S527-Infrastructure!K$3)^2)</f>
        <v>31.11301978</v>
      </c>
      <c r="AW527" s="406">
        <f>SQRT(($R527-Infrastructure!J$4)^2+($S527-Infrastructure!K$4)^2)</f>
        <v>24.59776413</v>
      </c>
      <c r="AX527" s="406">
        <f>SQRT(($R527-Infrastructure!J$5)^2+($S527-Infrastructure!K$5)^2)</f>
        <v>22.18152384</v>
      </c>
      <c r="AY527" s="406">
        <f>SQRT(($R527-Infrastructure!J$6)^2+($S527-Infrastructure!K$6)^2)</f>
        <v>13.48258136</v>
      </c>
      <c r="AZ527" s="406">
        <f>SQRT(($R527-Infrastructure!J$7)^2+($S527-Infrastructure!K$7)^2)</f>
        <v>6.824954212</v>
      </c>
      <c r="BA527" s="406">
        <f>SQRT(($R527-Infrastructure!J$8)^2+($S527-Infrastructure!K$8)^2)</f>
        <v>10.66677083</v>
      </c>
      <c r="BB527" s="406">
        <f>SQRT(($R527-Infrastructure!J$9)^2+($S527-Infrastructure!K$9)^2)</f>
        <v>18.29890707</v>
      </c>
      <c r="BC527" s="406">
        <f>SQRT(($R527-Infrastructure!J$10)^2+($S527-Infrastructure!K$10)^2)</f>
        <v>19.88064385</v>
      </c>
      <c r="BD527" s="392"/>
      <c r="BE527" s="407"/>
      <c r="BF527" s="330">
        <f t="shared" si="14"/>
        <v>6.824954212</v>
      </c>
      <c r="BG527" s="333">
        <f t="shared" si="15"/>
        <v>31.11301978</v>
      </c>
      <c r="BH527" s="591"/>
      <c r="BI527" s="390"/>
      <c r="BJ527" s="393" t="s">
        <v>846</v>
      </c>
      <c r="BK527" s="392"/>
      <c r="BL527" s="392"/>
      <c r="BM527" s="392"/>
      <c r="BN527" s="392"/>
      <c r="BO527" s="392"/>
      <c r="BP527" s="392"/>
      <c r="BQ527" s="410"/>
      <c r="BR527" s="411"/>
      <c r="BS527" s="330">
        <f t="shared" si="23"/>
        <v>24.59776413</v>
      </c>
      <c r="BT527" s="331">
        <f t="shared" si="24"/>
        <v>24.59776413</v>
      </c>
      <c r="BU527" s="406"/>
      <c r="BV527" s="408"/>
      <c r="BW527" s="592">
        <v>13.14</v>
      </c>
      <c r="BX527" s="593">
        <v>3.21</v>
      </c>
      <c r="BY527" s="406">
        <f t="shared" si="31"/>
        <v>9.453025971</v>
      </c>
      <c r="BZ527" s="412"/>
      <c r="CA527" s="390"/>
      <c r="CB527" s="392"/>
      <c r="CC527" s="392"/>
      <c r="CD527" s="392"/>
      <c r="CE527" s="392"/>
      <c r="CF527" s="392"/>
      <c r="CG527" s="392"/>
      <c r="CH527" s="392"/>
      <c r="CI527" s="410"/>
      <c r="CJ527" s="413"/>
      <c r="CK527" s="342">
        <f t="shared" si="18"/>
        <v>0</v>
      </c>
      <c r="CL527" s="333">
        <f t="shared" si="19"/>
        <v>0</v>
      </c>
      <c r="CM527" s="656"/>
      <c r="CN527" s="617"/>
      <c r="CO527" s="617"/>
      <c r="CP527" s="617"/>
    </row>
    <row r="528">
      <c r="A528" s="634"/>
      <c r="B528" s="635"/>
      <c r="C528" s="417">
        <v>44145.0</v>
      </c>
      <c r="D528" s="318"/>
      <c r="E528" s="319">
        <v>2.0</v>
      </c>
      <c r="F528" s="324"/>
      <c r="G528" s="600">
        <v>0.3236111111111111</v>
      </c>
      <c r="H528" s="601">
        <v>0.3236111111111111</v>
      </c>
      <c r="I528" s="601"/>
      <c r="J528" s="601"/>
      <c r="K528" s="601">
        <v>0.7555555555555555</v>
      </c>
      <c r="L528" s="323"/>
      <c r="M528" s="319" t="s">
        <v>166</v>
      </c>
      <c r="N528" s="324" t="s">
        <v>187</v>
      </c>
      <c r="O528" s="419" t="s">
        <v>206</v>
      </c>
      <c r="P528" s="319" t="s">
        <v>223</v>
      </c>
      <c r="Q528" s="319"/>
      <c r="R528" s="326">
        <v>21.8</v>
      </c>
      <c r="S528" s="319">
        <v>7.0</v>
      </c>
      <c r="T528" s="324"/>
      <c r="U528" s="319">
        <v>1.0</v>
      </c>
      <c r="V528" s="319"/>
      <c r="W528" s="319"/>
      <c r="X528" s="319"/>
      <c r="Y528" s="319"/>
      <c r="Z528" s="319"/>
      <c r="AA528" s="319"/>
      <c r="AB528" s="319"/>
      <c r="AC528" s="327">
        <v>6.0</v>
      </c>
      <c r="AD528" s="319"/>
      <c r="AE528" s="319"/>
      <c r="AF528" s="319"/>
      <c r="AG528" s="319"/>
      <c r="AH528" s="319"/>
      <c r="AI528" s="319"/>
      <c r="AJ528" s="327"/>
      <c r="AK528" s="328"/>
      <c r="AL528" s="319"/>
      <c r="AM528" s="319"/>
      <c r="AN528" s="319"/>
      <c r="AO528" s="319"/>
      <c r="AP528" s="319"/>
      <c r="AQ528" s="319"/>
      <c r="AR528" s="319"/>
      <c r="AS528" s="327"/>
      <c r="AT528" s="636" t="s">
        <v>182</v>
      </c>
      <c r="AU528" s="637" t="s">
        <v>845</v>
      </c>
      <c r="AV528" s="662">
        <f>SQRT(($R528-Infrastructure!J$3)^2+($S528-Infrastructure!K$3)^2)</f>
        <v>31.11301978</v>
      </c>
      <c r="AW528" s="641">
        <f>SQRT(($R528-Infrastructure!J$4)^2+($S528-Infrastructure!K$4)^2)</f>
        <v>24.59776413</v>
      </c>
      <c r="AX528" s="641">
        <f>SQRT(($R528-Infrastructure!J$5)^2+($S528-Infrastructure!K$5)^2)</f>
        <v>22.18152384</v>
      </c>
      <c r="AY528" s="641">
        <f>SQRT(($R528-Infrastructure!J$6)^2+($S528-Infrastructure!K$6)^2)</f>
        <v>13.48258136</v>
      </c>
      <c r="AZ528" s="641">
        <f>SQRT(($R528-Infrastructure!J$7)^2+($S528-Infrastructure!K$7)^2)</f>
        <v>6.824954212</v>
      </c>
      <c r="BA528" s="641">
        <f>SQRT(($R528-Infrastructure!J$8)^2+($S528-Infrastructure!K$8)^2)</f>
        <v>10.66677083</v>
      </c>
      <c r="BB528" s="641">
        <f>SQRT(($R528-Infrastructure!J$9)^2+($S528-Infrastructure!K$9)^2)</f>
        <v>18.29890707</v>
      </c>
      <c r="BC528" s="641">
        <f>SQRT(($R528-Infrastructure!J$10)^2+($S528-Infrastructure!K$10)^2)</f>
        <v>19.88064385</v>
      </c>
      <c r="BD528" s="318"/>
      <c r="BE528" s="332"/>
      <c r="BF528" s="330">
        <f t="shared" si="14"/>
        <v>6.824954212</v>
      </c>
      <c r="BG528" s="333">
        <f t="shared" si="15"/>
        <v>31.11301978</v>
      </c>
      <c r="BH528" s="638"/>
      <c r="BI528" s="639"/>
      <c r="BJ528" s="663" t="s">
        <v>846</v>
      </c>
      <c r="BK528" s="640"/>
      <c r="BL528" s="640"/>
      <c r="BM528" s="640"/>
      <c r="BN528" s="640"/>
      <c r="BO528" s="640"/>
      <c r="BP528" s="640"/>
      <c r="BQ528" s="338"/>
      <c r="BR528" s="420"/>
      <c r="BS528" s="330">
        <f t="shared" si="23"/>
        <v>24.59776413</v>
      </c>
      <c r="BT528" s="331">
        <f t="shared" si="24"/>
        <v>24.59776413</v>
      </c>
      <c r="BU528" s="641"/>
      <c r="BV528" s="642"/>
      <c r="BW528" s="643">
        <v>13.76</v>
      </c>
      <c r="BX528" s="644">
        <v>1.8</v>
      </c>
      <c r="BY528" s="331">
        <f t="shared" si="31"/>
        <v>9.575050914</v>
      </c>
      <c r="BZ528" s="340"/>
      <c r="CA528" s="639"/>
      <c r="CB528" s="640"/>
      <c r="CC528" s="640"/>
      <c r="CD528" s="640"/>
      <c r="CE528" s="640"/>
      <c r="CF528" s="640"/>
      <c r="CG528" s="640"/>
      <c r="CH528" s="640"/>
      <c r="CI528" s="645"/>
      <c r="CJ528" s="646"/>
      <c r="CK528" s="342">
        <f t="shared" si="18"/>
        <v>0</v>
      </c>
      <c r="CL528" s="333">
        <f t="shared" si="19"/>
        <v>0</v>
      </c>
      <c r="CM528" s="647"/>
      <c r="CN528" s="617"/>
      <c r="CO528" s="617"/>
      <c r="CP528" s="617"/>
    </row>
    <row r="529">
      <c r="A529" s="389" t="s">
        <v>37</v>
      </c>
      <c r="B529" s="573"/>
      <c r="C529" s="391">
        <v>44147.0</v>
      </c>
      <c r="D529" s="392"/>
      <c r="E529" s="393">
        <v>3.0</v>
      </c>
      <c r="F529" s="394"/>
      <c r="G529" s="705">
        <v>0.6993055555555556</v>
      </c>
      <c r="H529" s="706">
        <v>0.6993055555555556</v>
      </c>
      <c r="I529" s="706"/>
      <c r="J529" s="706"/>
      <c r="K529" s="706">
        <v>0.7041666666666666</v>
      </c>
      <c r="L529" s="456"/>
      <c r="M529" s="393" t="s">
        <v>166</v>
      </c>
      <c r="N529" s="394" t="s">
        <v>188</v>
      </c>
      <c r="O529" s="399" t="s">
        <v>378</v>
      </c>
      <c r="P529" s="393" t="s">
        <v>225</v>
      </c>
      <c r="Q529" s="393"/>
      <c r="R529" s="400">
        <v>22.4</v>
      </c>
      <c r="S529" s="393">
        <v>39.6</v>
      </c>
      <c r="T529" s="394"/>
      <c r="U529" s="393">
        <v>1.0</v>
      </c>
      <c r="V529" s="393"/>
      <c r="W529" s="393"/>
      <c r="X529" s="393"/>
      <c r="Y529" s="393"/>
      <c r="Z529" s="393"/>
      <c r="AA529" s="393"/>
      <c r="AB529" s="393"/>
      <c r="AC529" s="401">
        <v>22.1</v>
      </c>
      <c r="AD529" s="393"/>
      <c r="AE529" s="393"/>
      <c r="AF529" s="393"/>
      <c r="AG529" s="393"/>
      <c r="AH529" s="393"/>
      <c r="AI529" s="393"/>
      <c r="AJ529" s="401"/>
      <c r="AK529" s="402"/>
      <c r="AL529" s="393"/>
      <c r="AM529" s="393"/>
      <c r="AN529" s="393"/>
      <c r="AO529" s="393"/>
      <c r="AP529" s="393"/>
      <c r="AQ529" s="393"/>
      <c r="AR529" s="393"/>
      <c r="AS529" s="401"/>
      <c r="AT529" s="460" t="s">
        <v>182</v>
      </c>
      <c r="AU529" s="394" t="s">
        <v>845</v>
      </c>
      <c r="AV529" s="405">
        <f>SQRT(($R529-Infrastructure!J$3)^2+($S529-Infrastructure!K$3)^2)</f>
        <v>25.09541791</v>
      </c>
      <c r="AW529" s="406">
        <f>SQRT(($R529-Infrastructure!J$4)^2+($S529-Infrastructure!K$4)^2)</f>
        <v>31.47268657</v>
      </c>
      <c r="AX529" s="406">
        <f>SQRT(($R529-Infrastructure!J$5)^2+($S529-Infrastructure!K$5)^2)</f>
        <v>41.29818398</v>
      </c>
      <c r="AY529" s="406">
        <f>SQRT(($R529-Infrastructure!J$6)^2+($S529-Infrastructure!K$6)^2)</f>
        <v>41.17984944</v>
      </c>
      <c r="AZ529" s="406">
        <f>SQRT(($R529-Infrastructure!J$7)^2+($S529-Infrastructure!K$7)^2)</f>
        <v>39.34590195</v>
      </c>
      <c r="BA529" s="406">
        <f>SQRT(($R529-Infrastructure!J$8)^2+($S529-Infrastructure!K$8)^2)</f>
        <v>40.04722213</v>
      </c>
      <c r="BB529" s="406">
        <f>SQRT(($R529-Infrastructure!J$9)^2+($S529-Infrastructure!K$9)^2)</f>
        <v>38.72996256</v>
      </c>
      <c r="BC529" s="406">
        <f>SQRT(($R529-Infrastructure!J$10)^2+($S529-Infrastructure!K$10)^2)</f>
        <v>30.24764454</v>
      </c>
      <c r="BD529" s="392"/>
      <c r="BE529" s="407"/>
      <c r="BF529" s="330">
        <f t="shared" si="14"/>
        <v>25.09541791</v>
      </c>
      <c r="BG529" s="333">
        <f t="shared" si="15"/>
        <v>41.29818398</v>
      </c>
      <c r="BH529" s="591"/>
      <c r="BI529" s="390"/>
      <c r="BJ529" s="392"/>
      <c r="BK529" s="392"/>
      <c r="BL529" s="392"/>
      <c r="BM529" s="392"/>
      <c r="BN529" s="392"/>
      <c r="BO529" s="392"/>
      <c r="BP529" s="392"/>
      <c r="BQ529" s="410"/>
      <c r="BR529" s="411"/>
      <c r="BS529" s="330">
        <f t="shared" si="23"/>
        <v>0</v>
      </c>
      <c r="BT529" s="331">
        <f t="shared" si="24"/>
        <v>0</v>
      </c>
      <c r="BU529" s="406"/>
      <c r="BV529" s="408"/>
      <c r="BW529" s="592"/>
      <c r="BX529" s="593"/>
      <c r="BY529" s="406" t="b">
        <f t="shared" si="31"/>
        <v>0</v>
      </c>
      <c r="BZ529" s="412"/>
      <c r="CA529" s="390"/>
      <c r="CB529" s="392"/>
      <c r="CC529" s="392"/>
      <c r="CD529" s="392"/>
      <c r="CE529" s="392"/>
      <c r="CF529" s="392"/>
      <c r="CG529" s="392"/>
      <c r="CH529" s="392"/>
      <c r="CI529" s="410"/>
      <c r="CJ529" s="413"/>
      <c r="CK529" s="342">
        <f t="shared" si="18"/>
        <v>0</v>
      </c>
      <c r="CL529" s="333">
        <f t="shared" si="19"/>
        <v>0</v>
      </c>
      <c r="CM529" s="656"/>
      <c r="CN529" s="617"/>
      <c r="CO529" s="617"/>
      <c r="CP529" s="617"/>
    </row>
    <row r="530">
      <c r="B530" s="462"/>
      <c r="C530" s="417">
        <v>44147.0</v>
      </c>
      <c r="D530" s="318"/>
      <c r="E530" s="319">
        <v>4.0</v>
      </c>
      <c r="F530" s="324"/>
      <c r="G530" s="600">
        <v>0.7048611111111112</v>
      </c>
      <c r="H530" s="601">
        <v>0.7048611111111112</v>
      </c>
      <c r="I530" s="601"/>
      <c r="J530" s="601"/>
      <c r="K530" s="601">
        <v>0.7062499999999999</v>
      </c>
      <c r="L530" s="323"/>
      <c r="M530" s="319" t="s">
        <v>166</v>
      </c>
      <c r="N530" s="324" t="s">
        <v>188</v>
      </c>
      <c r="O530" s="419" t="s">
        <v>378</v>
      </c>
      <c r="P530" s="319" t="s">
        <v>225</v>
      </c>
      <c r="Q530" s="319"/>
      <c r="R530" s="326">
        <v>22.4</v>
      </c>
      <c r="S530" s="319">
        <v>39.6</v>
      </c>
      <c r="T530" s="324"/>
      <c r="U530" s="319">
        <v>2.0</v>
      </c>
      <c r="V530" s="319"/>
      <c r="W530" s="319"/>
      <c r="X530" s="319"/>
      <c r="Y530" s="319"/>
      <c r="Z530" s="319"/>
      <c r="AA530" s="319"/>
      <c r="AB530" s="319"/>
      <c r="AC530" s="327">
        <v>22.1</v>
      </c>
      <c r="AD530" s="319"/>
      <c r="AE530" s="319"/>
      <c r="AF530" s="319"/>
      <c r="AG530" s="319"/>
      <c r="AH530" s="319"/>
      <c r="AI530" s="319"/>
      <c r="AJ530" s="327"/>
      <c r="AK530" s="328"/>
      <c r="AL530" s="319"/>
      <c r="AM530" s="319"/>
      <c r="AN530" s="319"/>
      <c r="AO530" s="319"/>
      <c r="AP530" s="319"/>
      <c r="AQ530" s="319"/>
      <c r="AR530" s="319"/>
      <c r="AS530" s="327"/>
      <c r="AT530" s="461" t="s">
        <v>182</v>
      </c>
      <c r="AU530" s="324" t="s">
        <v>845</v>
      </c>
      <c r="AV530" s="330">
        <f>SQRT(($R530-Infrastructure!J$3)^2+($S530-Infrastructure!K$3)^2)</f>
        <v>25.09541791</v>
      </c>
      <c r="AW530" s="331">
        <f>SQRT(($R530-Infrastructure!J$4)^2+($S530-Infrastructure!K$4)^2)</f>
        <v>31.47268657</v>
      </c>
      <c r="AX530" s="331">
        <f>SQRT(($R530-Infrastructure!J$5)^2+($S530-Infrastructure!K$5)^2)</f>
        <v>41.29818398</v>
      </c>
      <c r="AY530" s="331">
        <f>SQRT(($R530-Infrastructure!J$6)^2+($S530-Infrastructure!K$6)^2)</f>
        <v>41.17984944</v>
      </c>
      <c r="AZ530" s="331">
        <f>SQRT(($R530-Infrastructure!J$7)^2+($S530-Infrastructure!K$7)^2)</f>
        <v>39.34590195</v>
      </c>
      <c r="BA530" s="331">
        <f>SQRT(($R530-Infrastructure!J$8)^2+($S530-Infrastructure!K$8)^2)</f>
        <v>40.04722213</v>
      </c>
      <c r="BB530" s="331">
        <f>SQRT(($R530-Infrastructure!J$9)^2+($S530-Infrastructure!K$9)^2)</f>
        <v>38.72996256</v>
      </c>
      <c r="BC530" s="331">
        <f>SQRT(($R530-Infrastructure!J$10)^2+($S530-Infrastructure!K$10)^2)</f>
        <v>30.24764454</v>
      </c>
      <c r="BD530" s="318"/>
      <c r="BE530" s="332"/>
      <c r="BF530" s="330">
        <f t="shared" si="14"/>
        <v>25.09541791</v>
      </c>
      <c r="BG530" s="333">
        <f t="shared" si="15"/>
        <v>41.29818398</v>
      </c>
      <c r="BH530" s="613"/>
      <c r="BI530" s="316"/>
      <c r="BJ530" s="318"/>
      <c r="BK530" s="318"/>
      <c r="BL530" s="318"/>
      <c r="BM530" s="318"/>
      <c r="BN530" s="318"/>
      <c r="BO530" s="318"/>
      <c r="BP530" s="318"/>
      <c r="BQ530" s="338"/>
      <c r="BR530" s="420"/>
      <c r="BS530" s="330">
        <f t="shared" si="23"/>
        <v>0</v>
      </c>
      <c r="BT530" s="331">
        <f t="shared" si="24"/>
        <v>0</v>
      </c>
      <c r="BU530" s="331"/>
      <c r="BV530" s="333"/>
      <c r="BW530" s="614"/>
      <c r="BX530" s="615"/>
      <c r="BY530" s="331" t="b">
        <f t="shared" si="31"/>
        <v>0</v>
      </c>
      <c r="BZ530" s="340"/>
      <c r="CA530" s="316"/>
      <c r="CB530" s="318"/>
      <c r="CC530" s="318"/>
      <c r="CD530" s="318"/>
      <c r="CE530" s="318"/>
      <c r="CF530" s="318"/>
      <c r="CG530" s="318"/>
      <c r="CH530" s="318"/>
      <c r="CI530" s="338"/>
      <c r="CJ530" s="341"/>
      <c r="CK530" s="342">
        <f t="shared" si="18"/>
        <v>0</v>
      </c>
      <c r="CL530" s="333">
        <f t="shared" si="19"/>
        <v>0</v>
      </c>
      <c r="CM530" s="616"/>
      <c r="CN530" s="617"/>
      <c r="CO530" s="617"/>
      <c r="CP530" s="617"/>
    </row>
    <row r="531">
      <c r="B531" s="462"/>
      <c r="C531" s="417">
        <v>44147.0</v>
      </c>
      <c r="D531" s="318"/>
      <c r="E531" s="319">
        <v>5.0</v>
      </c>
      <c r="F531" s="324"/>
      <c r="G531" s="600">
        <v>0.7090277777777777</v>
      </c>
      <c r="H531" s="601">
        <v>0.7090277777777777</v>
      </c>
      <c r="I531" s="601"/>
      <c r="J531" s="601"/>
      <c r="K531" s="601">
        <v>0.7097222222222223</v>
      </c>
      <c r="L531" s="323"/>
      <c r="M531" s="319" t="s">
        <v>166</v>
      </c>
      <c r="N531" s="324" t="s">
        <v>188</v>
      </c>
      <c r="O531" s="419" t="s">
        <v>378</v>
      </c>
      <c r="P531" s="319" t="s">
        <v>225</v>
      </c>
      <c r="Q531" s="319"/>
      <c r="R531" s="326">
        <v>22.4</v>
      </c>
      <c r="S531" s="319">
        <v>39.6</v>
      </c>
      <c r="T531" s="324"/>
      <c r="U531" s="319">
        <v>7.0</v>
      </c>
      <c r="V531" s="319"/>
      <c r="W531" s="319"/>
      <c r="X531" s="319"/>
      <c r="Y531" s="319"/>
      <c r="Z531" s="319"/>
      <c r="AA531" s="319"/>
      <c r="AB531" s="319"/>
      <c r="AC531" s="327">
        <v>22.1</v>
      </c>
      <c r="AD531" s="319"/>
      <c r="AE531" s="319"/>
      <c r="AF531" s="319"/>
      <c r="AG531" s="319"/>
      <c r="AH531" s="319"/>
      <c r="AI531" s="319"/>
      <c r="AJ531" s="327"/>
      <c r="AK531" s="328"/>
      <c r="AL531" s="319"/>
      <c r="AM531" s="319"/>
      <c r="AN531" s="319"/>
      <c r="AO531" s="319"/>
      <c r="AP531" s="319"/>
      <c r="AQ531" s="319"/>
      <c r="AR531" s="319"/>
      <c r="AS531" s="327"/>
      <c r="AT531" s="461" t="s">
        <v>182</v>
      </c>
      <c r="AU531" s="324" t="s">
        <v>845</v>
      </c>
      <c r="AV531" s="330">
        <f>SQRT(($R531-Infrastructure!J$3)^2+($S531-Infrastructure!K$3)^2)</f>
        <v>25.09541791</v>
      </c>
      <c r="AW531" s="331">
        <f>SQRT(($R531-Infrastructure!J$4)^2+($S531-Infrastructure!K$4)^2)</f>
        <v>31.47268657</v>
      </c>
      <c r="AX531" s="331">
        <f>SQRT(($R531-Infrastructure!J$5)^2+($S531-Infrastructure!K$5)^2)</f>
        <v>41.29818398</v>
      </c>
      <c r="AY531" s="331">
        <f>SQRT(($R531-Infrastructure!J$6)^2+($S531-Infrastructure!K$6)^2)</f>
        <v>41.17984944</v>
      </c>
      <c r="AZ531" s="331">
        <f>SQRT(($R531-Infrastructure!J$7)^2+($S531-Infrastructure!K$7)^2)</f>
        <v>39.34590195</v>
      </c>
      <c r="BA531" s="331">
        <f>SQRT(($R531-Infrastructure!J$8)^2+($S531-Infrastructure!K$8)^2)</f>
        <v>40.04722213</v>
      </c>
      <c r="BB531" s="331">
        <f>SQRT(($R531-Infrastructure!J$9)^2+($S531-Infrastructure!K$9)^2)</f>
        <v>38.72996256</v>
      </c>
      <c r="BC531" s="331">
        <f>SQRT(($R531-Infrastructure!J$10)^2+($S531-Infrastructure!K$10)^2)</f>
        <v>30.24764454</v>
      </c>
      <c r="BD531" s="318"/>
      <c r="BE531" s="332"/>
      <c r="BF531" s="330">
        <f t="shared" si="14"/>
        <v>25.09541791</v>
      </c>
      <c r="BG531" s="333">
        <f t="shared" si="15"/>
        <v>41.29818398</v>
      </c>
      <c r="BH531" s="613"/>
      <c r="BI531" s="316"/>
      <c r="BJ531" s="318"/>
      <c r="BK531" s="318"/>
      <c r="BL531" s="318"/>
      <c r="BM531" s="318"/>
      <c r="BN531" s="318"/>
      <c r="BO531" s="318"/>
      <c r="BP531" s="318"/>
      <c r="BQ531" s="338"/>
      <c r="BR531" s="420"/>
      <c r="BS531" s="330">
        <f t="shared" si="23"/>
        <v>0</v>
      </c>
      <c r="BT531" s="331">
        <f t="shared" si="24"/>
        <v>0</v>
      </c>
      <c r="BU531" s="331"/>
      <c r="BV531" s="333"/>
      <c r="BW531" s="614"/>
      <c r="BX531" s="615"/>
      <c r="BY531" s="331" t="b">
        <f t="shared" si="31"/>
        <v>0</v>
      </c>
      <c r="BZ531" s="340"/>
      <c r="CA531" s="316"/>
      <c r="CB531" s="318"/>
      <c r="CC531" s="318"/>
      <c r="CD531" s="318"/>
      <c r="CE531" s="318"/>
      <c r="CF531" s="318"/>
      <c r="CG531" s="318"/>
      <c r="CH531" s="318"/>
      <c r="CI531" s="338"/>
      <c r="CJ531" s="341"/>
      <c r="CK531" s="342">
        <f t="shared" si="18"/>
        <v>0</v>
      </c>
      <c r="CL531" s="333">
        <f t="shared" si="19"/>
        <v>0</v>
      </c>
      <c r="CM531" s="616"/>
      <c r="CN531" s="617"/>
      <c r="CO531" s="617"/>
      <c r="CP531" s="617"/>
    </row>
    <row r="532">
      <c r="B532" s="462"/>
      <c r="C532" s="417">
        <v>44147.0</v>
      </c>
      <c r="D532" s="318"/>
      <c r="E532" s="319">
        <v>6.0</v>
      </c>
      <c r="F532" s="324"/>
      <c r="G532" s="600">
        <v>0.7104166666666667</v>
      </c>
      <c r="H532" s="601">
        <v>0.7104166666666667</v>
      </c>
      <c r="I532" s="601"/>
      <c r="J532" s="601"/>
      <c r="K532" s="601">
        <v>0.7118055555555555</v>
      </c>
      <c r="L532" s="323"/>
      <c r="M532" s="319" t="s">
        <v>166</v>
      </c>
      <c r="N532" s="324" t="s">
        <v>188</v>
      </c>
      <c r="O532" s="419" t="s">
        <v>196</v>
      </c>
      <c r="P532" s="319" t="s">
        <v>224</v>
      </c>
      <c r="Q532" s="319"/>
      <c r="R532" s="326">
        <v>21.4</v>
      </c>
      <c r="S532" s="319">
        <v>39.6</v>
      </c>
      <c r="T532" s="324"/>
      <c r="U532" s="319">
        <v>20.0</v>
      </c>
      <c r="V532" s="319"/>
      <c r="W532" s="319"/>
      <c r="X532" s="319"/>
      <c r="Y532" s="319"/>
      <c r="Z532" s="319"/>
      <c r="AA532" s="319"/>
      <c r="AB532" s="319"/>
      <c r="AC532" s="327">
        <v>52.5</v>
      </c>
      <c r="AD532" s="319"/>
      <c r="AE532" s="319"/>
      <c r="AF532" s="319"/>
      <c r="AG532" s="319"/>
      <c r="AH532" s="319"/>
      <c r="AI532" s="319"/>
      <c r="AJ532" s="327"/>
      <c r="AK532" s="328"/>
      <c r="AL532" s="319"/>
      <c r="AM532" s="319"/>
      <c r="AN532" s="319"/>
      <c r="AO532" s="319"/>
      <c r="AP532" s="319"/>
      <c r="AQ532" s="319"/>
      <c r="AR532" s="319"/>
      <c r="AS532" s="327"/>
      <c r="AT532" s="461" t="s">
        <v>183</v>
      </c>
      <c r="AU532" s="324" t="s">
        <v>845</v>
      </c>
      <c r="AV532" s="330">
        <f>SQRT(($R532-Infrastructure!J$3)^2+($S532-Infrastructure!K$3)^2)</f>
        <v>24.1946275</v>
      </c>
      <c r="AW532" s="331">
        <f>SQRT(($R532-Infrastructure!J$4)^2+($S532-Infrastructure!K$4)^2)</f>
        <v>30.75922626</v>
      </c>
      <c r="AX532" s="331">
        <f>SQRT(($R532-Infrastructure!J$5)^2+($S532-Infrastructure!K$5)^2)</f>
        <v>40.75708527</v>
      </c>
      <c r="AY532" s="331">
        <f>SQRT(($R532-Infrastructure!J$6)^2+($S532-Infrastructure!K$6)^2)</f>
        <v>40.89229756</v>
      </c>
      <c r="AZ532" s="331">
        <f>SQRT(($R532-Infrastructure!J$7)^2+($S532-Infrastructure!K$7)^2)</f>
        <v>39.31030399</v>
      </c>
      <c r="BA532" s="331">
        <f>SQRT(($R532-Infrastructure!J$8)^2+($S532-Infrastructure!K$8)^2)</f>
        <v>40.2514596</v>
      </c>
      <c r="BB532" s="331">
        <f>SQRT(($R532-Infrastructure!J$9)^2+($S532-Infrastructure!K$9)^2)</f>
        <v>39.19451492</v>
      </c>
      <c r="BC532" s="331">
        <f>SQRT(($R532-Infrastructure!J$10)^2+($S532-Infrastructure!K$10)^2)</f>
        <v>30.84023346</v>
      </c>
      <c r="BD532" s="318"/>
      <c r="BE532" s="332"/>
      <c r="BF532" s="330">
        <f t="shared" si="14"/>
        <v>24.1946275</v>
      </c>
      <c r="BG532" s="333">
        <f t="shared" si="15"/>
        <v>40.89229756</v>
      </c>
      <c r="BH532" s="613"/>
      <c r="BI532" s="316"/>
      <c r="BJ532" s="318"/>
      <c r="BK532" s="318"/>
      <c r="BL532" s="318"/>
      <c r="BM532" s="318"/>
      <c r="BN532" s="318"/>
      <c r="BO532" s="318"/>
      <c r="BP532" s="318"/>
      <c r="BQ532" s="338"/>
      <c r="BR532" s="420"/>
      <c r="BS532" s="330">
        <f t="shared" si="23"/>
        <v>0</v>
      </c>
      <c r="BT532" s="331">
        <f t="shared" si="24"/>
        <v>0</v>
      </c>
      <c r="BU532" s="331"/>
      <c r="BV532" s="333"/>
      <c r="BW532" s="614"/>
      <c r="BX532" s="615"/>
      <c r="BY532" s="331" t="b">
        <f t="shared" si="31"/>
        <v>0</v>
      </c>
      <c r="BZ532" s="340"/>
      <c r="CA532" s="316"/>
      <c r="CB532" s="318"/>
      <c r="CC532" s="318"/>
      <c r="CD532" s="318"/>
      <c r="CE532" s="318"/>
      <c r="CF532" s="318"/>
      <c r="CG532" s="318"/>
      <c r="CH532" s="318"/>
      <c r="CI532" s="338"/>
      <c r="CJ532" s="341"/>
      <c r="CK532" s="342">
        <f t="shared" si="18"/>
        <v>0</v>
      </c>
      <c r="CL532" s="333">
        <f t="shared" si="19"/>
        <v>0</v>
      </c>
      <c r="CM532" s="616"/>
      <c r="CN532" s="617"/>
      <c r="CO532" s="617"/>
      <c r="CP532" s="617"/>
    </row>
    <row r="533">
      <c r="B533" s="462"/>
      <c r="C533" s="417">
        <v>44147.0</v>
      </c>
      <c r="D533" s="318"/>
      <c r="E533" s="319">
        <v>7.0</v>
      </c>
      <c r="F533" s="324"/>
      <c r="G533" s="600">
        <v>0.7256944444444445</v>
      </c>
      <c r="H533" s="601">
        <v>0.7256944444444445</v>
      </c>
      <c r="I533" s="601"/>
      <c r="J533" s="601"/>
      <c r="K533" s="601">
        <v>0.7263888888888889</v>
      </c>
      <c r="L533" s="323"/>
      <c r="M533" s="319" t="s">
        <v>166</v>
      </c>
      <c r="N533" s="324" t="s">
        <v>188</v>
      </c>
      <c r="O533" s="419" t="s">
        <v>378</v>
      </c>
      <c r="P533" s="319" t="s">
        <v>225</v>
      </c>
      <c r="Q533" s="319"/>
      <c r="R533" s="326">
        <v>22.4</v>
      </c>
      <c r="S533" s="319">
        <v>39.6</v>
      </c>
      <c r="T533" s="324"/>
      <c r="U533" s="319">
        <v>10.0</v>
      </c>
      <c r="V533" s="319"/>
      <c r="W533" s="319"/>
      <c r="X533" s="319"/>
      <c r="Y533" s="319"/>
      <c r="Z533" s="319"/>
      <c r="AA533" s="319"/>
      <c r="AB533" s="319"/>
      <c r="AC533" s="327">
        <v>52.5</v>
      </c>
      <c r="AD533" s="319"/>
      <c r="AE533" s="319"/>
      <c r="AF533" s="319"/>
      <c r="AG533" s="319"/>
      <c r="AH533" s="319"/>
      <c r="AI533" s="319"/>
      <c r="AJ533" s="327"/>
      <c r="AK533" s="328"/>
      <c r="AL533" s="319"/>
      <c r="AM533" s="319"/>
      <c r="AN533" s="319"/>
      <c r="AO533" s="319"/>
      <c r="AP533" s="319"/>
      <c r="AQ533" s="319"/>
      <c r="AR533" s="319"/>
      <c r="AS533" s="327"/>
      <c r="AT533" s="461" t="s">
        <v>182</v>
      </c>
      <c r="AU533" s="324" t="s">
        <v>845</v>
      </c>
      <c r="AV533" s="330">
        <f>SQRT(($R533-Infrastructure!J$3)^2+($S533-Infrastructure!K$3)^2)</f>
        <v>25.09541791</v>
      </c>
      <c r="AW533" s="331">
        <f>SQRT(($R533-Infrastructure!J$4)^2+($S533-Infrastructure!K$4)^2)</f>
        <v>31.47268657</v>
      </c>
      <c r="AX533" s="331">
        <f>SQRT(($R533-Infrastructure!J$5)^2+($S533-Infrastructure!K$5)^2)</f>
        <v>41.29818398</v>
      </c>
      <c r="AY533" s="331">
        <f>SQRT(($R533-Infrastructure!J$6)^2+($S533-Infrastructure!K$6)^2)</f>
        <v>41.17984944</v>
      </c>
      <c r="AZ533" s="331">
        <f>SQRT(($R533-Infrastructure!J$7)^2+($S533-Infrastructure!K$7)^2)</f>
        <v>39.34590195</v>
      </c>
      <c r="BA533" s="331">
        <f>SQRT(($R533-Infrastructure!J$8)^2+($S533-Infrastructure!K$8)^2)</f>
        <v>40.04722213</v>
      </c>
      <c r="BB533" s="331">
        <f>SQRT(($R533-Infrastructure!J$9)^2+($S533-Infrastructure!K$9)^2)</f>
        <v>38.72996256</v>
      </c>
      <c r="BC533" s="331">
        <f>SQRT(($R533-Infrastructure!J$10)^2+($S533-Infrastructure!K$10)^2)</f>
        <v>30.24764454</v>
      </c>
      <c r="BD533" s="318"/>
      <c r="BE533" s="332"/>
      <c r="BF533" s="330">
        <f t="shared" si="14"/>
        <v>25.09541791</v>
      </c>
      <c r="BG533" s="333">
        <f t="shared" si="15"/>
        <v>41.29818398</v>
      </c>
      <c r="BH533" s="613"/>
      <c r="BI533" s="316"/>
      <c r="BJ533" s="319"/>
      <c r="BK533" s="318"/>
      <c r="BL533" s="319" t="s">
        <v>846</v>
      </c>
      <c r="BM533" s="318"/>
      <c r="BN533" s="318"/>
      <c r="BO533" s="318"/>
      <c r="BP533" s="318"/>
      <c r="BQ533" s="338"/>
      <c r="BR533" s="420"/>
      <c r="BS533" s="330">
        <f t="shared" si="23"/>
        <v>41.17984944</v>
      </c>
      <c r="BT533" s="331">
        <f t="shared" si="24"/>
        <v>41.17984944</v>
      </c>
      <c r="BU533" s="331"/>
      <c r="BV533" s="333"/>
      <c r="BW533" s="614"/>
      <c r="BX533" s="615"/>
      <c r="BY533" s="331" t="b">
        <f t="shared" si="31"/>
        <v>0</v>
      </c>
      <c r="BZ533" s="340"/>
      <c r="CA533" s="316"/>
      <c r="CB533" s="318"/>
      <c r="CC533" s="318"/>
      <c r="CD533" s="318"/>
      <c r="CE533" s="318"/>
      <c r="CF533" s="318"/>
      <c r="CG533" s="318"/>
      <c r="CH533" s="318"/>
      <c r="CI533" s="338"/>
      <c r="CJ533" s="341"/>
      <c r="CK533" s="342">
        <f t="shared" si="18"/>
        <v>0</v>
      </c>
      <c r="CL533" s="333">
        <f t="shared" si="19"/>
        <v>0</v>
      </c>
      <c r="CM533" s="616"/>
      <c r="CN533" s="617"/>
      <c r="CO533" s="617"/>
      <c r="CP533" s="617"/>
    </row>
    <row r="534">
      <c r="B534" s="462"/>
      <c r="C534" s="417">
        <v>44147.0</v>
      </c>
      <c r="D534" s="318"/>
      <c r="E534" s="319">
        <v>8.0</v>
      </c>
      <c r="F534" s="324"/>
      <c r="G534" s="600">
        <v>0.7277777777777777</v>
      </c>
      <c r="H534" s="601">
        <v>0.7277777777777777</v>
      </c>
      <c r="I534" s="601"/>
      <c r="J534" s="601"/>
      <c r="K534" s="601">
        <v>0.7284722222222223</v>
      </c>
      <c r="L534" s="323"/>
      <c r="M534" s="319" t="s">
        <v>166</v>
      </c>
      <c r="N534" s="324" t="s">
        <v>188</v>
      </c>
      <c r="O534" s="419" t="s">
        <v>378</v>
      </c>
      <c r="P534" s="319" t="s">
        <v>225</v>
      </c>
      <c r="Q534" s="319"/>
      <c r="R534" s="326">
        <v>22.4</v>
      </c>
      <c r="S534" s="319">
        <v>39.6</v>
      </c>
      <c r="T534" s="324"/>
      <c r="U534" s="319">
        <v>5.0</v>
      </c>
      <c r="V534" s="319"/>
      <c r="W534" s="319"/>
      <c r="X534" s="319"/>
      <c r="Y534" s="319"/>
      <c r="Z534" s="319"/>
      <c r="AA534" s="319"/>
      <c r="AB534" s="319"/>
      <c r="AC534" s="327">
        <v>22.1</v>
      </c>
      <c r="AD534" s="319"/>
      <c r="AE534" s="319"/>
      <c r="AF534" s="319"/>
      <c r="AG534" s="319"/>
      <c r="AH534" s="319"/>
      <c r="AI534" s="319"/>
      <c r="AJ534" s="327"/>
      <c r="AK534" s="328"/>
      <c r="AL534" s="319"/>
      <c r="AM534" s="319"/>
      <c r="AN534" s="319"/>
      <c r="AO534" s="319"/>
      <c r="AP534" s="319"/>
      <c r="AQ534" s="319"/>
      <c r="AR534" s="319"/>
      <c r="AS534" s="327"/>
      <c r="AT534" s="461" t="s">
        <v>182</v>
      </c>
      <c r="AU534" s="324" t="s">
        <v>845</v>
      </c>
      <c r="AV534" s="330">
        <f>SQRT(($R534-Infrastructure!J$3)^2+($S534-Infrastructure!K$3)^2)</f>
        <v>25.09541791</v>
      </c>
      <c r="AW534" s="331">
        <f>SQRT(($R534-Infrastructure!J$4)^2+($S534-Infrastructure!K$4)^2)</f>
        <v>31.47268657</v>
      </c>
      <c r="AX534" s="331">
        <f>SQRT(($R534-Infrastructure!J$5)^2+($S534-Infrastructure!K$5)^2)</f>
        <v>41.29818398</v>
      </c>
      <c r="AY534" s="331">
        <f>SQRT(($R534-Infrastructure!J$6)^2+($S534-Infrastructure!K$6)^2)</f>
        <v>41.17984944</v>
      </c>
      <c r="AZ534" s="331">
        <f>SQRT(($R534-Infrastructure!J$7)^2+($S534-Infrastructure!K$7)^2)</f>
        <v>39.34590195</v>
      </c>
      <c r="BA534" s="331">
        <f>SQRT(($R534-Infrastructure!J$8)^2+($S534-Infrastructure!K$8)^2)</f>
        <v>40.04722213</v>
      </c>
      <c r="BB534" s="331">
        <f>SQRT(($R534-Infrastructure!J$9)^2+($S534-Infrastructure!K$9)^2)</f>
        <v>38.72996256</v>
      </c>
      <c r="BC534" s="331">
        <f>SQRT(($R534-Infrastructure!J$10)^2+($S534-Infrastructure!K$10)^2)</f>
        <v>30.24764454</v>
      </c>
      <c r="BD534" s="318"/>
      <c r="BE534" s="332"/>
      <c r="BF534" s="330">
        <f t="shared" si="14"/>
        <v>25.09541791</v>
      </c>
      <c r="BG534" s="333">
        <f t="shared" si="15"/>
        <v>41.29818398</v>
      </c>
      <c r="BH534" s="613"/>
      <c r="BI534" s="316"/>
      <c r="BJ534" s="318"/>
      <c r="BK534" s="318"/>
      <c r="BL534" s="318"/>
      <c r="BM534" s="318"/>
      <c r="BN534" s="318"/>
      <c r="BO534" s="318"/>
      <c r="BP534" s="318"/>
      <c r="BQ534" s="338"/>
      <c r="BR534" s="420"/>
      <c r="BS534" s="330">
        <f t="shared" si="23"/>
        <v>0</v>
      </c>
      <c r="BT534" s="331">
        <f t="shared" si="24"/>
        <v>0</v>
      </c>
      <c r="BU534" s="331"/>
      <c r="BV534" s="333"/>
      <c r="BW534" s="614"/>
      <c r="BX534" s="615"/>
      <c r="BY534" s="331" t="b">
        <f t="shared" si="31"/>
        <v>0</v>
      </c>
      <c r="BZ534" s="340"/>
      <c r="CA534" s="316"/>
      <c r="CB534" s="318"/>
      <c r="CC534" s="318"/>
      <c r="CD534" s="318"/>
      <c r="CE534" s="318"/>
      <c r="CF534" s="318"/>
      <c r="CG534" s="318"/>
      <c r="CH534" s="318"/>
      <c r="CI534" s="338"/>
      <c r="CJ534" s="341"/>
      <c r="CK534" s="342">
        <f t="shared" si="18"/>
        <v>0</v>
      </c>
      <c r="CL534" s="333">
        <f t="shared" si="19"/>
        <v>0</v>
      </c>
      <c r="CM534" s="616"/>
      <c r="CN534" s="617"/>
      <c r="CO534" s="617"/>
      <c r="CP534" s="617"/>
    </row>
    <row r="535">
      <c r="B535" s="462"/>
      <c r="C535" s="596">
        <v>44154.0</v>
      </c>
      <c r="D535" s="597" t="s">
        <v>1214</v>
      </c>
      <c r="E535" s="598">
        <v>1.0</v>
      </c>
      <c r="F535" s="619" t="str">
        <f t="shared" ref="F535:F543" si="32">YEAR(C535)&amp;B535&amp;"/"&amp;TEXT(DAY(C535),"00")&amp;"-"&amp;IF(ISNUMBER(E535)=FALSE,IF(ISNUMBER(VALUE(LEFT(E535,2)))=FALSE,TEXT(LEFT(E535,1),"00")&amp;MID(E535,2,100),LEFT(E535,2)&amp;MID(E535,3,100)),TEXT(E535,"00"))</f>
        <v>2020/19-01</v>
      </c>
      <c r="G535" s="657">
        <v>0.7005208333333334</v>
      </c>
      <c r="H535" s="322">
        <v>0.7005208333333334</v>
      </c>
      <c r="I535" s="322"/>
      <c r="J535" s="322"/>
      <c r="K535" s="322">
        <v>0.7023726851851851</v>
      </c>
      <c r="L535" s="602">
        <f t="shared" ref="L535:L543" si="33">K535-H535</f>
        <v>0.001851851852</v>
      </c>
      <c r="M535" s="603" t="s">
        <v>166</v>
      </c>
      <c r="N535" s="604" t="s">
        <v>188</v>
      </c>
      <c r="O535" s="419" t="s">
        <v>378</v>
      </c>
      <c r="P535" s="605" t="s">
        <v>225</v>
      </c>
      <c r="Q535" s="603" t="s">
        <v>842</v>
      </c>
      <c r="R535" s="606">
        <v>22.4</v>
      </c>
      <c r="S535" s="620">
        <v>39.6</v>
      </c>
      <c r="T535" s="618">
        <v>1.0</v>
      </c>
      <c r="U535" s="609">
        <v>7.0</v>
      </c>
      <c r="V535" s="609"/>
      <c r="W535" s="609"/>
      <c r="X535" s="609"/>
      <c r="Y535" s="609"/>
      <c r="Z535" s="603" t="s">
        <v>1140</v>
      </c>
      <c r="AA535" s="603"/>
      <c r="AB535" s="610" t="s">
        <v>410</v>
      </c>
      <c r="AC535" s="621">
        <v>22.1</v>
      </c>
      <c r="AD535" s="603"/>
      <c r="AE535" s="603"/>
      <c r="AF535" s="603"/>
      <c r="AG535" s="603"/>
      <c r="AH535" s="603"/>
      <c r="AI535" s="603"/>
      <c r="AJ535" s="621"/>
      <c r="AK535" s="622"/>
      <c r="AL535" s="603"/>
      <c r="AM535" s="603"/>
      <c r="AN535" s="603"/>
      <c r="AO535" s="603"/>
      <c r="AP535" s="603"/>
      <c r="AQ535" s="603"/>
      <c r="AR535" s="603"/>
      <c r="AS535" s="621"/>
      <c r="AT535" s="461" t="s">
        <v>182</v>
      </c>
      <c r="AU535" s="324" t="s">
        <v>845</v>
      </c>
      <c r="AV535" s="330">
        <f>SQRT(($R535-Infrastructure!J$3)^2+($S535-Infrastructure!K$3)^2)</f>
        <v>25.09541791</v>
      </c>
      <c r="AW535" s="331">
        <f>SQRT(($R535-Infrastructure!J$4)^2+($S535-Infrastructure!K$4)^2)</f>
        <v>31.47268657</v>
      </c>
      <c r="AX535" s="331">
        <f>SQRT(($R535-Infrastructure!J$5)^2+($S535-Infrastructure!K$5)^2)</f>
        <v>41.29818398</v>
      </c>
      <c r="AY535" s="331">
        <f>SQRT(($R535-Infrastructure!J$6)^2+($S535-Infrastructure!K$6)^2)</f>
        <v>41.17984944</v>
      </c>
      <c r="AZ535" s="331">
        <f>SQRT(($R535-Infrastructure!J$7)^2+($S535-Infrastructure!K$7)^2)</f>
        <v>39.34590195</v>
      </c>
      <c r="BA535" s="331">
        <f>SQRT(($R535-Infrastructure!J$8)^2+($S535-Infrastructure!K$8)^2)</f>
        <v>40.04722213</v>
      </c>
      <c r="BB535" s="331">
        <f>SQRT(($R535-Infrastructure!J$9)^2+($S535-Infrastructure!K$9)^2)</f>
        <v>38.72996256</v>
      </c>
      <c r="BC535" s="331">
        <f>SQRT(($R535-Infrastructure!J$10)^2+($S535-Infrastructure!K$10)^2)</f>
        <v>30.24764454</v>
      </c>
      <c r="BD535" s="318"/>
      <c r="BE535" s="332"/>
      <c r="BF535" s="330">
        <f t="shared" si="14"/>
        <v>25.09541791</v>
      </c>
      <c r="BG535" s="333">
        <f t="shared" si="15"/>
        <v>41.29818398</v>
      </c>
      <c r="BH535" s="613"/>
      <c r="BI535" s="316"/>
      <c r="BJ535" s="318"/>
      <c r="BK535" s="318"/>
      <c r="BL535" s="319" t="s">
        <v>846</v>
      </c>
      <c r="BM535" s="318"/>
      <c r="BN535" s="318"/>
      <c r="BO535" s="318"/>
      <c r="BP535" s="318"/>
      <c r="BQ535" s="338"/>
      <c r="BR535" s="420"/>
      <c r="BS535" s="330">
        <f t="shared" si="23"/>
        <v>41.17984944</v>
      </c>
      <c r="BT535" s="331">
        <f t="shared" si="24"/>
        <v>41.17984944</v>
      </c>
      <c r="BU535" s="331"/>
      <c r="BV535" s="333"/>
      <c r="BW535" s="614"/>
      <c r="BX535" s="615"/>
      <c r="BY535" s="331" t="b">
        <f t="shared" si="31"/>
        <v>0</v>
      </c>
      <c r="BZ535" s="340"/>
      <c r="CA535" s="316"/>
      <c r="CB535" s="318"/>
      <c r="CC535" s="318"/>
      <c r="CD535" s="318"/>
      <c r="CE535" s="318"/>
      <c r="CF535" s="318"/>
      <c r="CG535" s="318"/>
      <c r="CH535" s="318"/>
      <c r="CI535" s="338"/>
      <c r="CJ535" s="341"/>
      <c r="CK535" s="342">
        <f t="shared" si="18"/>
        <v>0</v>
      </c>
      <c r="CL535" s="333">
        <f t="shared" si="19"/>
        <v>0</v>
      </c>
      <c r="CM535" s="616"/>
      <c r="CN535" s="617"/>
      <c r="CO535" s="617"/>
      <c r="CP535" s="617"/>
    </row>
    <row r="536">
      <c r="B536" s="462"/>
      <c r="C536" s="596">
        <v>44154.0</v>
      </c>
      <c r="D536" s="318"/>
      <c r="E536" s="610">
        <v>2.0</v>
      </c>
      <c r="F536" s="599" t="str">
        <f t="shared" si="32"/>
        <v>2020/19-02</v>
      </c>
      <c r="G536" s="657">
        <v>0.7390625000000001</v>
      </c>
      <c r="H536" s="322">
        <v>0.7390625000000001</v>
      </c>
      <c r="I536" s="322"/>
      <c r="J536" s="322"/>
      <c r="K536" s="322">
        <v>0.7401041666666667</v>
      </c>
      <c r="L536" s="602">
        <f t="shared" si="33"/>
        <v>0.001041666667</v>
      </c>
      <c r="M536" s="603" t="s">
        <v>166</v>
      </c>
      <c r="N536" s="604" t="s">
        <v>188</v>
      </c>
      <c r="O536" s="419" t="s">
        <v>378</v>
      </c>
      <c r="P536" s="605" t="s">
        <v>225</v>
      </c>
      <c r="Q536" s="603" t="s">
        <v>842</v>
      </c>
      <c r="R536" s="606">
        <v>22.4</v>
      </c>
      <c r="S536" s="620">
        <v>39.6</v>
      </c>
      <c r="T536" s="618">
        <v>1.0</v>
      </c>
      <c r="U536" s="609">
        <v>7.0</v>
      </c>
      <c r="V536" s="609"/>
      <c r="W536" s="609"/>
      <c r="X536" s="609"/>
      <c r="Y536" s="609"/>
      <c r="Z536" s="603" t="s">
        <v>1140</v>
      </c>
      <c r="AA536" s="603"/>
      <c r="AB536" s="610" t="s">
        <v>410</v>
      </c>
      <c r="AC536" s="611">
        <v>22.1</v>
      </c>
      <c r="AD536" s="610"/>
      <c r="AE536" s="610"/>
      <c r="AF536" s="610"/>
      <c r="AG536" s="610"/>
      <c r="AH536" s="610"/>
      <c r="AI536" s="610"/>
      <c r="AJ536" s="611"/>
      <c r="AK536" s="612"/>
      <c r="AL536" s="610"/>
      <c r="AM536" s="610"/>
      <c r="AN536" s="610"/>
      <c r="AO536" s="610"/>
      <c r="AP536" s="610"/>
      <c r="AQ536" s="610"/>
      <c r="AR536" s="610"/>
      <c r="AS536" s="611"/>
      <c r="AT536" s="461" t="s">
        <v>182</v>
      </c>
      <c r="AU536" s="324" t="s">
        <v>845</v>
      </c>
      <c r="AV536" s="330">
        <f>SQRT(($R536-Infrastructure!J$3)^2+($S536-Infrastructure!K$3)^2)</f>
        <v>25.09541791</v>
      </c>
      <c r="AW536" s="331">
        <f>SQRT(($R536-Infrastructure!J$4)^2+($S536-Infrastructure!K$4)^2)</f>
        <v>31.47268657</v>
      </c>
      <c r="AX536" s="331">
        <f>SQRT(($R536-Infrastructure!J$5)^2+($S536-Infrastructure!K$5)^2)</f>
        <v>41.29818398</v>
      </c>
      <c r="AY536" s="331">
        <f>SQRT(($R536-Infrastructure!J$6)^2+($S536-Infrastructure!K$6)^2)</f>
        <v>41.17984944</v>
      </c>
      <c r="AZ536" s="331">
        <f>SQRT(($R536-Infrastructure!J$7)^2+($S536-Infrastructure!K$7)^2)</f>
        <v>39.34590195</v>
      </c>
      <c r="BA536" s="331">
        <f>SQRT(($R536-Infrastructure!J$8)^2+($S536-Infrastructure!K$8)^2)</f>
        <v>40.04722213</v>
      </c>
      <c r="BB536" s="331">
        <f>SQRT(($R536-Infrastructure!J$9)^2+($S536-Infrastructure!K$9)^2)</f>
        <v>38.72996256</v>
      </c>
      <c r="BC536" s="331">
        <f>SQRT(($R536-Infrastructure!J$10)^2+($S536-Infrastructure!K$10)^2)</f>
        <v>30.24764454</v>
      </c>
      <c r="BD536" s="318"/>
      <c r="BE536" s="332"/>
      <c r="BF536" s="330">
        <f t="shared" si="14"/>
        <v>25.09541791</v>
      </c>
      <c r="BG536" s="333">
        <f t="shared" si="15"/>
        <v>41.29818398</v>
      </c>
      <c r="BH536" s="613"/>
      <c r="BI536" s="316"/>
      <c r="BJ536" s="319" t="s">
        <v>846</v>
      </c>
      <c r="BK536" s="318"/>
      <c r="BL536" s="318"/>
      <c r="BM536" s="318"/>
      <c r="BN536" s="318"/>
      <c r="BO536" s="318"/>
      <c r="BP536" s="318"/>
      <c r="BQ536" s="338"/>
      <c r="BR536" s="420"/>
      <c r="BS536" s="330">
        <f t="shared" si="23"/>
        <v>31.47268657</v>
      </c>
      <c r="BT536" s="331">
        <f t="shared" si="24"/>
        <v>31.47268657</v>
      </c>
      <c r="BU536" s="331"/>
      <c r="BV536" s="333"/>
      <c r="BW536" s="614"/>
      <c r="BX536" s="615"/>
      <c r="BY536" s="331" t="b">
        <f t="shared" si="31"/>
        <v>0</v>
      </c>
      <c r="BZ536" s="340"/>
      <c r="CA536" s="316"/>
      <c r="CB536" s="318"/>
      <c r="CC536" s="318"/>
      <c r="CD536" s="318"/>
      <c r="CE536" s="318"/>
      <c r="CF536" s="318"/>
      <c r="CG536" s="318"/>
      <c r="CH536" s="318"/>
      <c r="CI536" s="338"/>
      <c r="CJ536" s="341"/>
      <c r="CK536" s="342">
        <f t="shared" si="18"/>
        <v>0</v>
      </c>
      <c r="CL536" s="333">
        <f t="shared" si="19"/>
        <v>0</v>
      </c>
      <c r="CM536" s="616"/>
      <c r="CN536" s="617"/>
      <c r="CO536" s="617"/>
      <c r="CP536" s="617"/>
    </row>
    <row r="537">
      <c r="B537" s="462"/>
      <c r="C537" s="596">
        <v>44154.0</v>
      </c>
      <c r="D537" s="318"/>
      <c r="E537" s="610">
        <v>3.0</v>
      </c>
      <c r="F537" s="599" t="str">
        <f t="shared" si="32"/>
        <v>2020/19-03</v>
      </c>
      <c r="G537" s="657">
        <v>0.7409722222222223</v>
      </c>
      <c r="H537" s="322">
        <v>0.7409722222222223</v>
      </c>
      <c r="I537" s="322"/>
      <c r="J537" s="322"/>
      <c r="K537" s="322">
        <v>0.7414930555555556</v>
      </c>
      <c r="L537" s="602">
        <f t="shared" si="33"/>
        <v>0.0005208333333</v>
      </c>
      <c r="M537" s="603" t="s">
        <v>166</v>
      </c>
      <c r="N537" s="604" t="s">
        <v>188</v>
      </c>
      <c r="O537" s="419" t="s">
        <v>378</v>
      </c>
      <c r="P537" s="605" t="s">
        <v>225</v>
      </c>
      <c r="Q537" s="603" t="s">
        <v>842</v>
      </c>
      <c r="R537" s="606">
        <v>22.4</v>
      </c>
      <c r="S537" s="620">
        <v>39.6</v>
      </c>
      <c r="T537" s="618">
        <v>1.0</v>
      </c>
      <c r="U537" s="609">
        <v>1.0</v>
      </c>
      <c r="V537" s="609"/>
      <c r="W537" s="609"/>
      <c r="X537" s="609"/>
      <c r="Y537" s="609"/>
      <c r="Z537" s="603" t="s">
        <v>1221</v>
      </c>
      <c r="AA537" s="603"/>
      <c r="AB537" s="610" t="s">
        <v>410</v>
      </c>
      <c r="AC537" s="611">
        <v>22.1</v>
      </c>
      <c r="AD537" s="610"/>
      <c r="AE537" s="610"/>
      <c r="AF537" s="610"/>
      <c r="AG537" s="610"/>
      <c r="AH537" s="610"/>
      <c r="AI537" s="610"/>
      <c r="AJ537" s="611"/>
      <c r="AK537" s="612"/>
      <c r="AL537" s="610"/>
      <c r="AM537" s="610"/>
      <c r="AN537" s="610"/>
      <c r="AO537" s="610"/>
      <c r="AP537" s="610"/>
      <c r="AQ537" s="610"/>
      <c r="AR537" s="610"/>
      <c r="AS537" s="611"/>
      <c r="AT537" s="461" t="s">
        <v>182</v>
      </c>
      <c r="AU537" s="324" t="s">
        <v>845</v>
      </c>
      <c r="AV537" s="330">
        <f>SQRT(($R537-Infrastructure!J$3)^2+($S537-Infrastructure!K$3)^2)</f>
        <v>25.09541791</v>
      </c>
      <c r="AW537" s="331">
        <f>SQRT(($R537-Infrastructure!J$4)^2+($S537-Infrastructure!K$4)^2)</f>
        <v>31.47268657</v>
      </c>
      <c r="AX537" s="331">
        <f>SQRT(($R537-Infrastructure!J$5)^2+($S537-Infrastructure!K$5)^2)</f>
        <v>41.29818398</v>
      </c>
      <c r="AY537" s="331">
        <f>SQRT(($R537-Infrastructure!J$6)^2+($S537-Infrastructure!K$6)^2)</f>
        <v>41.17984944</v>
      </c>
      <c r="AZ537" s="331">
        <f>SQRT(($R537-Infrastructure!J$7)^2+($S537-Infrastructure!K$7)^2)</f>
        <v>39.34590195</v>
      </c>
      <c r="BA537" s="331">
        <f>SQRT(($R537-Infrastructure!J$8)^2+($S537-Infrastructure!K$8)^2)</f>
        <v>40.04722213</v>
      </c>
      <c r="BB537" s="331">
        <f>SQRT(($R537-Infrastructure!J$9)^2+($S537-Infrastructure!K$9)^2)</f>
        <v>38.72996256</v>
      </c>
      <c r="BC537" s="331">
        <f>SQRT(($R537-Infrastructure!J$10)^2+($S537-Infrastructure!K$10)^2)</f>
        <v>30.24764454</v>
      </c>
      <c r="BD537" s="318"/>
      <c r="BE537" s="332"/>
      <c r="BF537" s="330">
        <f t="shared" si="14"/>
        <v>25.09541791</v>
      </c>
      <c r="BG537" s="333">
        <f t="shared" si="15"/>
        <v>41.29818398</v>
      </c>
      <c r="BH537" s="613"/>
      <c r="BI537" s="316"/>
      <c r="BJ537" s="318"/>
      <c r="BK537" s="318"/>
      <c r="BL537" s="318"/>
      <c r="BM537" s="318"/>
      <c r="BN537" s="318"/>
      <c r="BO537" s="318"/>
      <c r="BP537" s="318"/>
      <c r="BQ537" s="338"/>
      <c r="BR537" s="420"/>
      <c r="BS537" s="330">
        <f t="shared" si="23"/>
        <v>0</v>
      </c>
      <c r="BT537" s="331">
        <f t="shared" si="24"/>
        <v>0</v>
      </c>
      <c r="BU537" s="331"/>
      <c r="BV537" s="333"/>
      <c r="BW537" s="614"/>
      <c r="BX537" s="615"/>
      <c r="BY537" s="331" t="b">
        <f t="shared" si="31"/>
        <v>0</v>
      </c>
      <c r="BZ537" s="340"/>
      <c r="CA537" s="316"/>
      <c r="CB537" s="318"/>
      <c r="CC537" s="318"/>
      <c r="CD537" s="318"/>
      <c r="CE537" s="318"/>
      <c r="CF537" s="318"/>
      <c r="CG537" s="318"/>
      <c r="CH537" s="318"/>
      <c r="CI537" s="338"/>
      <c r="CJ537" s="341"/>
      <c r="CK537" s="342">
        <f t="shared" si="18"/>
        <v>0</v>
      </c>
      <c r="CL537" s="333">
        <f t="shared" si="19"/>
        <v>0</v>
      </c>
      <c r="CM537" s="616"/>
      <c r="CN537" s="617"/>
      <c r="CO537" s="617"/>
      <c r="CP537" s="617"/>
    </row>
    <row r="538">
      <c r="B538" s="462"/>
      <c r="C538" s="596">
        <v>44154.0</v>
      </c>
      <c r="D538" s="318"/>
      <c r="E538" s="610">
        <v>4.0</v>
      </c>
      <c r="F538" s="599" t="str">
        <f t="shared" si="32"/>
        <v>2020/19-04</v>
      </c>
      <c r="G538" s="657">
        <v>0.7420138888888889</v>
      </c>
      <c r="H538" s="322">
        <v>0.7420138888888889</v>
      </c>
      <c r="I538" s="322"/>
      <c r="J538" s="322"/>
      <c r="K538" s="322">
        <v>0.7425925925925926</v>
      </c>
      <c r="L538" s="602">
        <f t="shared" si="33"/>
        <v>0.0005787037037</v>
      </c>
      <c r="M538" s="603" t="s">
        <v>166</v>
      </c>
      <c r="N538" s="604" t="s">
        <v>188</v>
      </c>
      <c r="O538" s="419" t="s">
        <v>378</v>
      </c>
      <c r="P538" s="605" t="s">
        <v>224</v>
      </c>
      <c r="Q538" s="603" t="s">
        <v>842</v>
      </c>
      <c r="R538" s="606">
        <v>22.4</v>
      </c>
      <c r="S538" s="620">
        <v>39.6</v>
      </c>
      <c r="T538" s="618">
        <v>1.0</v>
      </c>
      <c r="U538" s="609">
        <v>2.0</v>
      </c>
      <c r="V538" s="609"/>
      <c r="W538" s="609"/>
      <c r="X538" s="609"/>
      <c r="Y538" s="609"/>
      <c r="Z538" s="603" t="s">
        <v>1221</v>
      </c>
      <c r="AA538" s="603"/>
      <c r="AB538" s="610" t="s">
        <v>410</v>
      </c>
      <c r="AC538" s="611">
        <v>22.1</v>
      </c>
      <c r="AD538" s="610"/>
      <c r="AE538" s="610"/>
      <c r="AF538" s="610"/>
      <c r="AG538" s="610"/>
      <c r="AH538" s="610"/>
      <c r="AI538" s="610"/>
      <c r="AJ538" s="611"/>
      <c r="AK538" s="612"/>
      <c r="AL538" s="610"/>
      <c r="AM538" s="610"/>
      <c r="AN538" s="610"/>
      <c r="AO538" s="610"/>
      <c r="AP538" s="610"/>
      <c r="AQ538" s="610"/>
      <c r="AR538" s="610"/>
      <c r="AS538" s="611"/>
      <c r="AT538" s="461" t="s">
        <v>182</v>
      </c>
      <c r="AU538" s="324" t="s">
        <v>845</v>
      </c>
      <c r="AV538" s="330">
        <f>SQRT(($R538-Infrastructure!J$3)^2+($S538-Infrastructure!K$3)^2)</f>
        <v>25.09541791</v>
      </c>
      <c r="AW538" s="331">
        <f>SQRT(($R538-Infrastructure!J$4)^2+($S538-Infrastructure!K$4)^2)</f>
        <v>31.47268657</v>
      </c>
      <c r="AX538" s="331">
        <f>SQRT(($R538-Infrastructure!J$5)^2+($S538-Infrastructure!K$5)^2)</f>
        <v>41.29818398</v>
      </c>
      <c r="AY538" s="331">
        <f>SQRT(($R538-Infrastructure!J$6)^2+($S538-Infrastructure!K$6)^2)</f>
        <v>41.17984944</v>
      </c>
      <c r="AZ538" s="331">
        <f>SQRT(($R538-Infrastructure!J$7)^2+($S538-Infrastructure!K$7)^2)</f>
        <v>39.34590195</v>
      </c>
      <c r="BA538" s="331">
        <f>SQRT(($R538-Infrastructure!J$8)^2+($S538-Infrastructure!K$8)^2)</f>
        <v>40.04722213</v>
      </c>
      <c r="BB538" s="331">
        <f>SQRT(($R538-Infrastructure!J$9)^2+($S538-Infrastructure!K$9)^2)</f>
        <v>38.72996256</v>
      </c>
      <c r="BC538" s="331">
        <f>SQRT(($R538-Infrastructure!J$10)^2+($S538-Infrastructure!K$10)^2)</f>
        <v>30.24764454</v>
      </c>
      <c r="BD538" s="318"/>
      <c r="BE538" s="332"/>
      <c r="BF538" s="330">
        <f t="shared" si="14"/>
        <v>25.09541791</v>
      </c>
      <c r="BG538" s="333">
        <f t="shared" si="15"/>
        <v>41.29818398</v>
      </c>
      <c r="BH538" s="613"/>
      <c r="BI538" s="316"/>
      <c r="BJ538" s="318"/>
      <c r="BK538" s="318"/>
      <c r="BL538" s="318"/>
      <c r="BM538" s="318"/>
      <c r="BN538" s="318"/>
      <c r="BO538" s="318"/>
      <c r="BP538" s="318"/>
      <c r="BQ538" s="338"/>
      <c r="BR538" s="420"/>
      <c r="BS538" s="330">
        <f t="shared" si="23"/>
        <v>0</v>
      </c>
      <c r="BT538" s="331">
        <f t="shared" si="24"/>
        <v>0</v>
      </c>
      <c r="BU538" s="331"/>
      <c r="BV538" s="333"/>
      <c r="BW538" s="330"/>
      <c r="BX538" s="331"/>
      <c r="BY538" s="331" t="b">
        <f t="shared" si="31"/>
        <v>0</v>
      </c>
      <c r="BZ538" s="340"/>
      <c r="CA538" s="316"/>
      <c r="CB538" s="318"/>
      <c r="CC538" s="318"/>
      <c r="CD538" s="318"/>
      <c r="CE538" s="318"/>
      <c r="CF538" s="318"/>
      <c r="CG538" s="318"/>
      <c r="CH538" s="318"/>
      <c r="CI538" s="338"/>
      <c r="CJ538" s="341"/>
      <c r="CK538" s="342">
        <f t="shared" si="18"/>
        <v>0</v>
      </c>
      <c r="CL538" s="333">
        <f t="shared" si="19"/>
        <v>0</v>
      </c>
      <c r="CM538" s="702" t="s">
        <v>1226</v>
      </c>
      <c r="CN538" s="595"/>
      <c r="CO538" s="595"/>
      <c r="CP538" s="595"/>
    </row>
    <row r="539">
      <c r="B539" s="462"/>
      <c r="C539" s="596">
        <v>44154.0</v>
      </c>
      <c r="D539" s="318" t="s">
        <v>1214</v>
      </c>
      <c r="E539" s="610" t="s">
        <v>1217</v>
      </c>
      <c r="F539" s="599" t="str">
        <f t="shared" si="32"/>
        <v>2020/19-04bis</v>
      </c>
      <c r="G539" s="657">
        <v>0.7425925925925926</v>
      </c>
      <c r="H539" s="322">
        <v>0.7425925925925926</v>
      </c>
      <c r="I539" s="322"/>
      <c r="J539" s="322"/>
      <c r="K539" s="322">
        <v>0.743287037037037</v>
      </c>
      <c r="L539" s="602">
        <f t="shared" si="33"/>
        <v>0.0006944444444</v>
      </c>
      <c r="M539" s="603" t="s">
        <v>166</v>
      </c>
      <c r="N539" s="604" t="s">
        <v>188</v>
      </c>
      <c r="O539" s="419" t="s">
        <v>378</v>
      </c>
      <c r="P539" s="605" t="s">
        <v>225</v>
      </c>
      <c r="Q539" s="603" t="s">
        <v>842</v>
      </c>
      <c r="R539" s="606">
        <v>22.4</v>
      </c>
      <c r="S539" s="620">
        <v>39.6</v>
      </c>
      <c r="T539" s="618">
        <v>1.0</v>
      </c>
      <c r="U539" s="609">
        <v>3.0</v>
      </c>
      <c r="V539" s="609"/>
      <c r="W539" s="609"/>
      <c r="X539" s="609"/>
      <c r="Y539" s="609"/>
      <c r="Z539" s="603" t="s">
        <v>1221</v>
      </c>
      <c r="AA539" s="603"/>
      <c r="AB539" s="610" t="s">
        <v>410</v>
      </c>
      <c r="AC539" s="611">
        <v>22.1</v>
      </c>
      <c r="AD539" s="610"/>
      <c r="AE539" s="610"/>
      <c r="AF539" s="610"/>
      <c r="AG539" s="610"/>
      <c r="AH539" s="610"/>
      <c r="AI539" s="610"/>
      <c r="AJ539" s="611"/>
      <c r="AK539" s="612"/>
      <c r="AL539" s="610"/>
      <c r="AM539" s="610"/>
      <c r="AN539" s="610"/>
      <c r="AO539" s="610"/>
      <c r="AP539" s="610"/>
      <c r="AQ539" s="610"/>
      <c r="AR539" s="610"/>
      <c r="AS539" s="611"/>
      <c r="AT539" s="461" t="s">
        <v>182</v>
      </c>
      <c r="AU539" s="324" t="s">
        <v>845</v>
      </c>
      <c r="AV539" s="330">
        <f>SQRT(($R539-Infrastructure!J$3)^2+($S539-Infrastructure!K$3)^2)</f>
        <v>25.09541791</v>
      </c>
      <c r="AW539" s="331">
        <f>SQRT(($R539-Infrastructure!J$4)^2+($S539-Infrastructure!K$4)^2)</f>
        <v>31.47268657</v>
      </c>
      <c r="AX539" s="331">
        <f>SQRT(($R539-Infrastructure!J$5)^2+($S539-Infrastructure!K$5)^2)</f>
        <v>41.29818398</v>
      </c>
      <c r="AY539" s="331">
        <f>SQRT(($R539-Infrastructure!J$6)^2+($S539-Infrastructure!K$6)^2)</f>
        <v>41.17984944</v>
      </c>
      <c r="AZ539" s="331">
        <f>SQRT(($R539-Infrastructure!J$7)^2+($S539-Infrastructure!K$7)^2)</f>
        <v>39.34590195</v>
      </c>
      <c r="BA539" s="331">
        <f>SQRT(($R539-Infrastructure!J$8)^2+($S539-Infrastructure!K$8)^2)</f>
        <v>40.04722213</v>
      </c>
      <c r="BB539" s="331">
        <f>SQRT(($R539-Infrastructure!J$9)^2+($S539-Infrastructure!K$9)^2)</f>
        <v>38.72996256</v>
      </c>
      <c r="BC539" s="331">
        <f>SQRT(($R539-Infrastructure!J$10)^2+($S539-Infrastructure!K$10)^2)</f>
        <v>30.24764454</v>
      </c>
      <c r="BD539" s="318"/>
      <c r="BE539" s="332"/>
      <c r="BF539" s="330">
        <f t="shared" si="14"/>
        <v>25.09541791</v>
      </c>
      <c r="BG539" s="333">
        <f t="shared" si="15"/>
        <v>41.29818398</v>
      </c>
      <c r="BH539" s="613"/>
      <c r="BI539" s="316"/>
      <c r="BJ539" s="318"/>
      <c r="BK539" s="318"/>
      <c r="BL539" s="318"/>
      <c r="BM539" s="318"/>
      <c r="BN539" s="318"/>
      <c r="BO539" s="318"/>
      <c r="BP539" s="318"/>
      <c r="BQ539" s="338"/>
      <c r="BR539" s="420"/>
      <c r="BS539" s="330">
        <f t="shared" si="23"/>
        <v>0</v>
      </c>
      <c r="BT539" s="331">
        <f t="shared" si="24"/>
        <v>0</v>
      </c>
      <c r="BU539" s="331"/>
      <c r="BV539" s="333"/>
      <c r="BW539" s="614"/>
      <c r="BX539" s="615"/>
      <c r="BY539" s="331" t="b">
        <f t="shared" si="31"/>
        <v>0</v>
      </c>
      <c r="BZ539" s="340"/>
      <c r="CA539" s="316"/>
      <c r="CB539" s="318"/>
      <c r="CC539" s="318"/>
      <c r="CD539" s="318"/>
      <c r="CE539" s="318"/>
      <c r="CF539" s="318"/>
      <c r="CG539" s="318"/>
      <c r="CH539" s="318"/>
      <c r="CI539" s="338"/>
      <c r="CJ539" s="341"/>
      <c r="CK539" s="342">
        <f t="shared" si="18"/>
        <v>0</v>
      </c>
      <c r="CL539" s="333">
        <f t="shared" si="19"/>
        <v>0</v>
      </c>
      <c r="CM539" s="616"/>
      <c r="CN539" s="617"/>
      <c r="CO539" s="617"/>
      <c r="CP539" s="617"/>
    </row>
    <row r="540">
      <c r="B540" s="462"/>
      <c r="C540" s="596">
        <v>44154.0</v>
      </c>
      <c r="D540" s="318"/>
      <c r="E540" s="610">
        <v>5.0</v>
      </c>
      <c r="F540" s="599" t="str">
        <f t="shared" si="32"/>
        <v>2020/19-05</v>
      </c>
      <c r="G540" s="657">
        <v>0.7439236111111112</v>
      </c>
      <c r="H540" s="322">
        <v>0.7439236111111112</v>
      </c>
      <c r="I540" s="322"/>
      <c r="J540" s="322"/>
      <c r="K540" s="322">
        <v>0.7452546296296297</v>
      </c>
      <c r="L540" s="602">
        <f t="shared" si="33"/>
        <v>0.001331018519</v>
      </c>
      <c r="M540" s="603" t="s">
        <v>166</v>
      </c>
      <c r="N540" s="604" t="s">
        <v>188</v>
      </c>
      <c r="O540" s="419" t="s">
        <v>378</v>
      </c>
      <c r="P540" s="605" t="s">
        <v>224</v>
      </c>
      <c r="Q540" s="603" t="s">
        <v>842</v>
      </c>
      <c r="R540" s="606">
        <v>22.4</v>
      </c>
      <c r="S540" s="620">
        <v>39.6</v>
      </c>
      <c r="T540" s="618">
        <v>1.0</v>
      </c>
      <c r="U540" s="609">
        <v>7.0</v>
      </c>
      <c r="V540" s="609"/>
      <c r="W540" s="609"/>
      <c r="X540" s="609"/>
      <c r="Y540" s="609"/>
      <c r="Z540" s="603" t="s">
        <v>1140</v>
      </c>
      <c r="AA540" s="603"/>
      <c r="AB540" s="610" t="s">
        <v>410</v>
      </c>
      <c r="AC540" s="611">
        <v>22.1</v>
      </c>
      <c r="AD540" s="610"/>
      <c r="AE540" s="610"/>
      <c r="AF540" s="610"/>
      <c r="AG540" s="610"/>
      <c r="AH540" s="610"/>
      <c r="AI540" s="610"/>
      <c r="AJ540" s="611"/>
      <c r="AK540" s="612"/>
      <c r="AL540" s="610"/>
      <c r="AM540" s="610"/>
      <c r="AN540" s="610"/>
      <c r="AO540" s="610"/>
      <c r="AP540" s="610"/>
      <c r="AQ540" s="610"/>
      <c r="AR540" s="610"/>
      <c r="AS540" s="611"/>
      <c r="AT540" s="461" t="s">
        <v>182</v>
      </c>
      <c r="AU540" s="324" t="s">
        <v>845</v>
      </c>
      <c r="AV540" s="330">
        <f>SQRT(($R540-Infrastructure!J$3)^2+($S540-Infrastructure!K$3)^2)</f>
        <v>25.09541791</v>
      </c>
      <c r="AW540" s="331">
        <f>SQRT(($R540-Infrastructure!J$4)^2+($S540-Infrastructure!K$4)^2)</f>
        <v>31.47268657</v>
      </c>
      <c r="AX540" s="331">
        <f>SQRT(($R540-Infrastructure!J$5)^2+($S540-Infrastructure!K$5)^2)</f>
        <v>41.29818398</v>
      </c>
      <c r="AY540" s="331">
        <f>SQRT(($R540-Infrastructure!J$6)^2+($S540-Infrastructure!K$6)^2)</f>
        <v>41.17984944</v>
      </c>
      <c r="AZ540" s="331">
        <f>SQRT(($R540-Infrastructure!J$7)^2+($S540-Infrastructure!K$7)^2)</f>
        <v>39.34590195</v>
      </c>
      <c r="BA540" s="331">
        <f>SQRT(($R540-Infrastructure!J$8)^2+($S540-Infrastructure!K$8)^2)</f>
        <v>40.04722213</v>
      </c>
      <c r="BB540" s="331">
        <f>SQRT(($R540-Infrastructure!J$9)^2+($S540-Infrastructure!K$9)^2)</f>
        <v>38.72996256</v>
      </c>
      <c r="BC540" s="331">
        <f>SQRT(($R540-Infrastructure!J$10)^2+($S540-Infrastructure!K$10)^2)</f>
        <v>30.24764454</v>
      </c>
      <c r="BD540" s="318"/>
      <c r="BE540" s="332"/>
      <c r="BF540" s="330">
        <f t="shared" si="14"/>
        <v>25.09541791</v>
      </c>
      <c r="BG540" s="333">
        <f t="shared" si="15"/>
        <v>41.29818398</v>
      </c>
      <c r="BH540" s="613"/>
      <c r="BI540" s="316"/>
      <c r="BJ540" s="318"/>
      <c r="BK540" s="318"/>
      <c r="BL540" s="319" t="s">
        <v>846</v>
      </c>
      <c r="BM540" s="318"/>
      <c r="BN540" s="318"/>
      <c r="BO540" s="318"/>
      <c r="BP540" s="318"/>
      <c r="BQ540" s="338"/>
      <c r="BR540" s="420"/>
      <c r="BS540" s="330">
        <f t="shared" si="23"/>
        <v>41.17984944</v>
      </c>
      <c r="BT540" s="331">
        <f t="shared" si="24"/>
        <v>41.17984944</v>
      </c>
      <c r="BU540" s="331"/>
      <c r="BV540" s="333"/>
      <c r="BW540" s="614"/>
      <c r="BX540" s="615"/>
      <c r="BY540" s="331" t="b">
        <f t="shared" si="31"/>
        <v>0</v>
      </c>
      <c r="BZ540" s="340"/>
      <c r="CA540" s="316"/>
      <c r="CB540" s="318"/>
      <c r="CC540" s="318"/>
      <c r="CD540" s="318"/>
      <c r="CE540" s="318"/>
      <c r="CF540" s="318"/>
      <c r="CG540" s="318"/>
      <c r="CH540" s="318"/>
      <c r="CI540" s="338"/>
      <c r="CJ540" s="341"/>
      <c r="CK540" s="342">
        <f t="shared" si="18"/>
        <v>0</v>
      </c>
      <c r="CL540" s="333">
        <f t="shared" si="19"/>
        <v>0</v>
      </c>
      <c r="CM540" s="616"/>
      <c r="CN540" s="617"/>
      <c r="CO540" s="617"/>
      <c r="CP540" s="617"/>
    </row>
    <row r="541">
      <c r="B541" s="462"/>
      <c r="C541" s="596">
        <v>44154.0</v>
      </c>
      <c r="D541" s="318"/>
      <c r="E541" s="610">
        <v>6.0</v>
      </c>
      <c r="F541" s="599" t="str">
        <f t="shared" si="32"/>
        <v>2020/19-06</v>
      </c>
      <c r="G541" s="657">
        <v>0.7458333333333332</v>
      </c>
      <c r="H541" s="322">
        <v>0.7458333333333332</v>
      </c>
      <c r="I541" s="322"/>
      <c r="J541" s="322"/>
      <c r="K541" s="322">
        <v>0.7484953703703704</v>
      </c>
      <c r="L541" s="602">
        <f t="shared" si="33"/>
        <v>0.002662037037</v>
      </c>
      <c r="M541" s="603" t="s">
        <v>166</v>
      </c>
      <c r="N541" s="604" t="s">
        <v>188</v>
      </c>
      <c r="O541" s="419" t="s">
        <v>378</v>
      </c>
      <c r="P541" s="605" t="s">
        <v>225</v>
      </c>
      <c r="Q541" s="603" t="s">
        <v>842</v>
      </c>
      <c r="R541" s="606">
        <v>22.4</v>
      </c>
      <c r="S541" s="620">
        <v>39.6</v>
      </c>
      <c r="T541" s="618">
        <v>1.0</v>
      </c>
      <c r="U541" s="609">
        <v>10.0</v>
      </c>
      <c r="V541" s="609"/>
      <c r="W541" s="609"/>
      <c r="X541" s="609"/>
      <c r="Y541" s="609"/>
      <c r="Z541" s="603" t="s">
        <v>1140</v>
      </c>
      <c r="AA541" s="603"/>
      <c r="AB541" s="610" t="s">
        <v>410</v>
      </c>
      <c r="AC541" s="611">
        <v>22.1</v>
      </c>
      <c r="AD541" s="610"/>
      <c r="AE541" s="610"/>
      <c r="AF541" s="610"/>
      <c r="AG541" s="610"/>
      <c r="AH541" s="610"/>
      <c r="AI541" s="610"/>
      <c r="AJ541" s="611"/>
      <c r="AK541" s="612"/>
      <c r="AL541" s="610"/>
      <c r="AM541" s="610"/>
      <c r="AN541" s="610"/>
      <c r="AO541" s="610"/>
      <c r="AP541" s="610"/>
      <c r="AQ541" s="610"/>
      <c r="AR541" s="610"/>
      <c r="AS541" s="611"/>
      <c r="AT541" s="461" t="s">
        <v>182</v>
      </c>
      <c r="AU541" s="324" t="s">
        <v>845</v>
      </c>
      <c r="AV541" s="330">
        <f>SQRT(($R541-Infrastructure!J$3)^2+($S541-Infrastructure!K$3)^2)</f>
        <v>25.09541791</v>
      </c>
      <c r="AW541" s="331">
        <f>SQRT(($R541-Infrastructure!J$4)^2+($S541-Infrastructure!K$4)^2)</f>
        <v>31.47268657</v>
      </c>
      <c r="AX541" s="331">
        <f>SQRT(($R541-Infrastructure!J$5)^2+($S541-Infrastructure!K$5)^2)</f>
        <v>41.29818398</v>
      </c>
      <c r="AY541" s="331">
        <f>SQRT(($R541-Infrastructure!J$6)^2+($S541-Infrastructure!K$6)^2)</f>
        <v>41.17984944</v>
      </c>
      <c r="AZ541" s="331">
        <f>SQRT(($R541-Infrastructure!J$7)^2+($S541-Infrastructure!K$7)^2)</f>
        <v>39.34590195</v>
      </c>
      <c r="BA541" s="331">
        <f>SQRT(($R541-Infrastructure!J$8)^2+($S541-Infrastructure!K$8)^2)</f>
        <v>40.04722213</v>
      </c>
      <c r="BB541" s="331">
        <f>SQRT(($R541-Infrastructure!J$9)^2+($S541-Infrastructure!K$9)^2)</f>
        <v>38.72996256</v>
      </c>
      <c r="BC541" s="331">
        <f>SQRT(($R541-Infrastructure!J$10)^2+($S541-Infrastructure!K$10)^2)</f>
        <v>30.24764454</v>
      </c>
      <c r="BD541" s="318"/>
      <c r="BE541" s="332"/>
      <c r="BF541" s="330">
        <f t="shared" si="14"/>
        <v>25.09541791</v>
      </c>
      <c r="BG541" s="333">
        <f t="shared" si="15"/>
        <v>41.29818398</v>
      </c>
      <c r="BH541" s="613"/>
      <c r="BI541" s="316"/>
      <c r="BJ541" s="318"/>
      <c r="BK541" s="318"/>
      <c r="BL541" s="319" t="s">
        <v>846</v>
      </c>
      <c r="BM541" s="318"/>
      <c r="BN541" s="318"/>
      <c r="BO541" s="318"/>
      <c r="BP541" s="318"/>
      <c r="BQ541" s="338"/>
      <c r="BR541" s="420"/>
      <c r="BS541" s="330">
        <f t="shared" si="23"/>
        <v>41.17984944</v>
      </c>
      <c r="BT541" s="331">
        <f t="shared" si="24"/>
        <v>41.17984944</v>
      </c>
      <c r="BU541" s="331"/>
      <c r="BV541" s="333"/>
      <c r="BW541" s="614"/>
      <c r="BX541" s="615"/>
      <c r="BY541" s="331" t="b">
        <f t="shared" si="31"/>
        <v>0</v>
      </c>
      <c r="BZ541" s="340"/>
      <c r="CA541" s="316"/>
      <c r="CB541" s="318"/>
      <c r="CC541" s="318"/>
      <c r="CD541" s="318"/>
      <c r="CE541" s="318"/>
      <c r="CF541" s="318"/>
      <c r="CG541" s="318"/>
      <c r="CH541" s="318"/>
      <c r="CI541" s="338"/>
      <c r="CJ541" s="341"/>
      <c r="CK541" s="342">
        <f t="shared" si="18"/>
        <v>0</v>
      </c>
      <c r="CL541" s="333">
        <f t="shared" si="19"/>
        <v>0</v>
      </c>
      <c r="CM541" s="616"/>
      <c r="CN541" s="617"/>
      <c r="CO541" s="617"/>
      <c r="CP541" s="617"/>
    </row>
    <row r="542">
      <c r="A542" s="634"/>
      <c r="B542" s="635"/>
      <c r="C542" s="596">
        <v>44154.0</v>
      </c>
      <c r="D542" s="318"/>
      <c r="E542" s="610">
        <v>7.0</v>
      </c>
      <c r="F542" s="599" t="str">
        <f t="shared" si="32"/>
        <v>2020/19-07</v>
      </c>
      <c r="G542" s="657">
        <v>0.7494791666666667</v>
      </c>
      <c r="H542" s="322">
        <v>0.7494791666666667</v>
      </c>
      <c r="I542" s="322"/>
      <c r="J542" s="322"/>
      <c r="K542" s="322">
        <v>0.7504050925925926</v>
      </c>
      <c r="L542" s="602">
        <f t="shared" si="33"/>
        <v>0.0009259259259</v>
      </c>
      <c r="M542" s="603" t="s">
        <v>166</v>
      </c>
      <c r="N542" s="604" t="s">
        <v>188</v>
      </c>
      <c r="O542" s="419" t="s">
        <v>196</v>
      </c>
      <c r="P542" s="605" t="s">
        <v>224</v>
      </c>
      <c r="Q542" s="603" t="s">
        <v>842</v>
      </c>
      <c r="R542" s="606">
        <v>21.4</v>
      </c>
      <c r="S542" s="620">
        <v>39.3</v>
      </c>
      <c r="T542" s="618">
        <v>1.2</v>
      </c>
      <c r="U542" s="609">
        <v>20.0</v>
      </c>
      <c r="V542" s="609"/>
      <c r="W542" s="609"/>
      <c r="X542" s="609"/>
      <c r="Y542" s="609"/>
      <c r="Z542" s="603" t="s">
        <v>1221</v>
      </c>
      <c r="AA542" s="603"/>
      <c r="AB542" s="610" t="s">
        <v>416</v>
      </c>
      <c r="AC542" s="611">
        <v>52.5</v>
      </c>
      <c r="AD542" s="610"/>
      <c r="AE542" s="610"/>
      <c r="AF542" s="610"/>
      <c r="AG542" s="610"/>
      <c r="AH542" s="610"/>
      <c r="AI542" s="610"/>
      <c r="AJ542" s="611"/>
      <c r="AK542" s="612"/>
      <c r="AL542" s="610"/>
      <c r="AM542" s="610"/>
      <c r="AN542" s="610"/>
      <c r="AO542" s="610"/>
      <c r="AP542" s="610"/>
      <c r="AQ542" s="610"/>
      <c r="AR542" s="610"/>
      <c r="AS542" s="611"/>
      <c r="AT542" s="636" t="s">
        <v>183</v>
      </c>
      <c r="AU542" s="637" t="s">
        <v>845</v>
      </c>
      <c r="AV542" s="330">
        <f>SQRT(($R542-Infrastructure!J$3)^2+($S542-Infrastructure!K$3)^2)</f>
        <v>24.06345777</v>
      </c>
      <c r="AW542" s="331">
        <f>SQRT(($R542-Infrastructure!J$4)^2+($S542-Infrastructure!K$4)^2)</f>
        <v>30.54734031</v>
      </c>
      <c r="AX542" s="331">
        <f>SQRT(($R542-Infrastructure!J$5)^2+($S542-Infrastructure!K$5)^2)</f>
        <v>40.50345664</v>
      </c>
      <c r="AY542" s="331">
        <f>SQRT(($R542-Infrastructure!J$6)^2+($S542-Infrastructure!K$6)^2)</f>
        <v>40.60406384</v>
      </c>
      <c r="AZ542" s="331">
        <f>SQRT(($R542-Infrastructure!J$7)^2+($S542-Infrastructure!K$7)^2)</f>
        <v>39.01038323</v>
      </c>
      <c r="BA542" s="331">
        <f>SQRT(($R542-Infrastructure!J$8)^2+($S542-Infrastructure!K$8)^2)</f>
        <v>39.95860358</v>
      </c>
      <c r="BB542" s="331">
        <f>SQRT(($R542-Infrastructure!J$9)^2+($S542-Infrastructure!K$9)^2)</f>
        <v>38.93070767</v>
      </c>
      <c r="BC542" s="331">
        <f>SQRT(($R542-Infrastructure!J$10)^2+($S542-Infrastructure!K$10)^2)</f>
        <v>30.60147055</v>
      </c>
      <c r="BD542" s="318"/>
      <c r="BE542" s="332"/>
      <c r="BF542" s="330">
        <f t="shared" si="14"/>
        <v>24.06345777</v>
      </c>
      <c r="BG542" s="333">
        <f t="shared" si="15"/>
        <v>40.60406384</v>
      </c>
      <c r="BH542" s="638"/>
      <c r="BI542" s="639"/>
      <c r="BJ542" s="640"/>
      <c r="BK542" s="640"/>
      <c r="BL542" s="640"/>
      <c r="BM542" s="640"/>
      <c r="BN542" s="640"/>
      <c r="BO542" s="640"/>
      <c r="BP542" s="640"/>
      <c r="BQ542" s="338"/>
      <c r="BR542" s="420"/>
      <c r="BS542" s="330">
        <f t="shared" si="23"/>
        <v>0</v>
      </c>
      <c r="BT542" s="331">
        <f t="shared" si="24"/>
        <v>0</v>
      </c>
      <c r="BU542" s="331"/>
      <c r="BV542" s="333"/>
      <c r="BW542" s="643"/>
      <c r="BX542" s="644"/>
      <c r="BY542" s="331" t="b">
        <f t="shared" si="31"/>
        <v>0</v>
      </c>
      <c r="BZ542" s="340"/>
      <c r="CA542" s="639"/>
      <c r="CB542" s="640"/>
      <c r="CC542" s="640"/>
      <c r="CD542" s="640"/>
      <c r="CE542" s="640"/>
      <c r="CF542" s="640"/>
      <c r="CG542" s="640"/>
      <c r="CH542" s="640"/>
      <c r="CI542" s="645"/>
      <c r="CJ542" s="646"/>
      <c r="CK542" s="342">
        <f t="shared" si="18"/>
        <v>0</v>
      </c>
      <c r="CL542" s="333">
        <f t="shared" si="19"/>
        <v>0</v>
      </c>
      <c r="CM542" s="647"/>
      <c r="CN542" s="617"/>
      <c r="CO542" s="617"/>
      <c r="CP542" s="617"/>
    </row>
    <row r="543">
      <c r="A543" s="389" t="s">
        <v>36</v>
      </c>
      <c r="B543" s="573"/>
      <c r="C543" s="574">
        <v>44155.0</v>
      </c>
      <c r="D543" s="392"/>
      <c r="E543" s="576">
        <v>1.0</v>
      </c>
      <c r="F543" s="577" t="str">
        <f t="shared" si="32"/>
        <v>2020/20-01</v>
      </c>
      <c r="G543" s="707">
        <v>0.3536458333333334</v>
      </c>
      <c r="H543" s="706">
        <v>0.3546875</v>
      </c>
      <c r="I543" s="706"/>
      <c r="J543" s="706"/>
      <c r="K543" s="706">
        <v>0.7333333333333334</v>
      </c>
      <c r="L543" s="580">
        <f t="shared" si="33"/>
        <v>0.3786458333</v>
      </c>
      <c r="M543" s="708" t="s">
        <v>166</v>
      </c>
      <c r="N543" s="394" t="s">
        <v>187</v>
      </c>
      <c r="O543" s="399" t="s">
        <v>206</v>
      </c>
      <c r="P543" s="653" t="s">
        <v>223</v>
      </c>
      <c r="Q543" s="649"/>
      <c r="R543" s="650">
        <v>21.8</v>
      </c>
      <c r="S543" s="651">
        <v>7.0</v>
      </c>
      <c r="T543" s="577">
        <v>2.2</v>
      </c>
      <c r="U543" s="587">
        <v>1.0</v>
      </c>
      <c r="V543" s="587"/>
      <c r="W543" s="587"/>
      <c r="X543" s="587"/>
      <c r="Y543" s="587"/>
      <c r="Z543" s="653" t="s">
        <v>347</v>
      </c>
      <c r="AA543" s="653"/>
      <c r="AB543" s="653" t="s">
        <v>384</v>
      </c>
      <c r="AC543" s="654">
        <v>6.0</v>
      </c>
      <c r="AD543" s="610"/>
      <c r="AE543" s="610"/>
      <c r="AF543" s="610"/>
      <c r="AG543" s="610"/>
      <c r="AH543" s="610"/>
      <c r="AI543" s="610"/>
      <c r="AJ543" s="611"/>
      <c r="AK543" s="612"/>
      <c r="AL543" s="610"/>
      <c r="AM543" s="610"/>
      <c r="AN543" s="610"/>
      <c r="AO543" s="610"/>
      <c r="AP543" s="610"/>
      <c r="AQ543" s="610"/>
      <c r="AR543" s="610"/>
      <c r="AS543" s="611"/>
      <c r="AT543" s="461" t="s">
        <v>182</v>
      </c>
      <c r="AU543" s="394" t="s">
        <v>845</v>
      </c>
      <c r="AV543" s="405"/>
      <c r="AW543" s="406"/>
      <c r="AX543" s="406"/>
      <c r="AY543" s="406"/>
      <c r="AZ543" s="406"/>
      <c r="BA543" s="406"/>
      <c r="BB543" s="406"/>
      <c r="BC543" s="406"/>
      <c r="BD543" s="392"/>
      <c r="BE543" s="407"/>
      <c r="BF543" s="330">
        <f t="shared" si="14"/>
        <v>0</v>
      </c>
      <c r="BG543" s="333">
        <f t="shared" si="15"/>
        <v>0</v>
      </c>
      <c r="BH543" s="591"/>
      <c r="BI543" s="390"/>
      <c r="BJ543" s="392"/>
      <c r="BK543" s="393"/>
      <c r="BL543" s="392"/>
      <c r="BM543" s="392"/>
      <c r="BN543" s="392"/>
      <c r="BO543" s="392"/>
      <c r="BP543" s="392"/>
      <c r="BQ543" s="410"/>
      <c r="BR543" s="411"/>
      <c r="BS543" s="330">
        <f t="shared" si="23"/>
        <v>0</v>
      </c>
      <c r="BT543" s="331">
        <f t="shared" si="24"/>
        <v>0</v>
      </c>
      <c r="BU543" s="406"/>
      <c r="BV543" s="408"/>
      <c r="BW543" s="592"/>
      <c r="BX543" s="593"/>
      <c r="BY543" s="406"/>
      <c r="BZ543" s="412"/>
      <c r="CA543" s="390"/>
      <c r="CB543" s="392"/>
      <c r="CC543" s="392"/>
      <c r="CD543" s="392"/>
      <c r="CE543" s="392"/>
      <c r="CF543" s="392"/>
      <c r="CG543" s="392"/>
      <c r="CH543" s="392"/>
      <c r="CI543" s="410"/>
      <c r="CJ543" s="413"/>
      <c r="CK543" s="342">
        <f t="shared" si="18"/>
        <v>0</v>
      </c>
      <c r="CL543" s="333">
        <f t="shared" si="19"/>
        <v>0</v>
      </c>
      <c r="CM543" s="594"/>
      <c r="CN543" s="595"/>
      <c r="CO543" s="595"/>
      <c r="CP543" s="595"/>
    </row>
    <row r="544">
      <c r="B544" s="635"/>
      <c r="C544" s="417">
        <v>44160.0</v>
      </c>
      <c r="D544" s="318"/>
      <c r="E544" s="319">
        <v>1.0</v>
      </c>
      <c r="F544" s="324"/>
      <c r="G544" s="709">
        <v>0.34930555555555554</v>
      </c>
      <c r="H544" s="323">
        <v>0.34930555555555554</v>
      </c>
      <c r="I544" s="323"/>
      <c r="J544" s="323"/>
      <c r="K544" s="323">
        <v>0.6666666666666666</v>
      </c>
      <c r="L544" s="323"/>
      <c r="M544" s="319" t="s">
        <v>166</v>
      </c>
      <c r="N544" s="324" t="s">
        <v>187</v>
      </c>
      <c r="O544" s="419" t="s">
        <v>206</v>
      </c>
      <c r="P544" s="319" t="s">
        <v>223</v>
      </c>
      <c r="Q544" s="319"/>
      <c r="R544" s="326">
        <v>21.8</v>
      </c>
      <c r="S544" s="319">
        <v>7.0</v>
      </c>
      <c r="T544" s="324"/>
      <c r="U544" s="319">
        <v>2.0</v>
      </c>
      <c r="V544" s="319"/>
      <c r="W544" s="319"/>
      <c r="X544" s="319"/>
      <c r="Y544" s="319"/>
      <c r="Z544" s="319"/>
      <c r="AA544" s="319"/>
      <c r="AB544" s="319"/>
      <c r="AC544" s="327">
        <v>6.0</v>
      </c>
      <c r="AD544" s="319"/>
      <c r="AE544" s="319"/>
      <c r="AF544" s="319"/>
      <c r="AG544" s="319"/>
      <c r="AH544" s="319"/>
      <c r="AI544" s="319"/>
      <c r="AJ544" s="327"/>
      <c r="AK544" s="328"/>
      <c r="AL544" s="319"/>
      <c r="AM544" s="319"/>
      <c r="AN544" s="319"/>
      <c r="AO544" s="319"/>
      <c r="AP544" s="319"/>
      <c r="AQ544" s="319"/>
      <c r="AR544" s="319"/>
      <c r="AS544" s="327"/>
      <c r="AT544" s="636" t="s">
        <v>182</v>
      </c>
      <c r="AU544" s="637" t="s">
        <v>845</v>
      </c>
      <c r="AV544" s="662">
        <f>SQRT(($R544-Infrastructure!J$3)^2+($S544-Infrastructure!K$3)^2)</f>
        <v>31.11301978</v>
      </c>
      <c r="AW544" s="641">
        <f>SQRT(($R544-Infrastructure!J$4)^2+($S544-Infrastructure!K$4)^2)</f>
        <v>24.59776413</v>
      </c>
      <c r="AX544" s="641">
        <f>SQRT(($R544-Infrastructure!J$5)^2+($S544-Infrastructure!K$5)^2)</f>
        <v>22.18152384</v>
      </c>
      <c r="AY544" s="641">
        <f>SQRT(($R544-Infrastructure!J$6)^2+($S544-Infrastructure!K$6)^2)</f>
        <v>13.48258136</v>
      </c>
      <c r="AZ544" s="641">
        <f>SQRT(($R544-Infrastructure!J$7)^2+($S544-Infrastructure!K$7)^2)</f>
        <v>6.824954212</v>
      </c>
      <c r="BA544" s="641">
        <f>SQRT(($R544-Infrastructure!J$8)^2+($S544-Infrastructure!K$8)^2)</f>
        <v>10.66677083</v>
      </c>
      <c r="BB544" s="641">
        <f>SQRT(($R544-Infrastructure!J$9)^2+($S544-Infrastructure!K$9)^2)</f>
        <v>18.29890707</v>
      </c>
      <c r="BC544" s="641">
        <f>SQRT(($R544-Infrastructure!J$10)^2+($S544-Infrastructure!K$10)^2)</f>
        <v>19.88064385</v>
      </c>
      <c r="BD544" s="318"/>
      <c r="BE544" s="332"/>
      <c r="BF544" s="330">
        <f t="shared" si="14"/>
        <v>6.824954212</v>
      </c>
      <c r="BG544" s="333">
        <f t="shared" si="15"/>
        <v>31.11301978</v>
      </c>
      <c r="BH544" s="638"/>
      <c r="BI544" s="639"/>
      <c r="BJ544" s="640"/>
      <c r="BK544" s="663" t="s">
        <v>846</v>
      </c>
      <c r="BL544" s="640"/>
      <c r="BM544" s="640"/>
      <c r="BN544" s="640"/>
      <c r="BO544" s="640"/>
      <c r="BP544" s="640"/>
      <c r="BQ544" s="338"/>
      <c r="BR544" s="420"/>
      <c r="BS544" s="330">
        <f t="shared" si="23"/>
        <v>22.18152384</v>
      </c>
      <c r="BT544" s="331">
        <f t="shared" si="24"/>
        <v>22.18152384</v>
      </c>
      <c r="BU544" s="641"/>
      <c r="BV544" s="642"/>
      <c r="BW544" s="643">
        <v>0.05</v>
      </c>
      <c r="BX544" s="644">
        <v>15.04</v>
      </c>
      <c r="BY544" s="331">
        <f>IF(BW544&gt;0, SQRT((R544-BW544)^2+(S544-BX544)^2))</f>
        <v>23.18844755</v>
      </c>
      <c r="BZ544" s="340"/>
      <c r="CA544" s="639"/>
      <c r="CB544" s="640"/>
      <c r="CC544" s="640"/>
      <c r="CD544" s="640"/>
      <c r="CE544" s="640"/>
      <c r="CF544" s="640"/>
      <c r="CG544" s="640"/>
      <c r="CH544" s="640"/>
      <c r="CI544" s="645"/>
      <c r="CJ544" s="646"/>
      <c r="CK544" s="342">
        <f t="shared" si="18"/>
        <v>0</v>
      </c>
      <c r="CL544" s="333">
        <f t="shared" si="19"/>
        <v>0</v>
      </c>
      <c r="CM544" s="710" t="s">
        <v>1227</v>
      </c>
      <c r="CN544" s="595"/>
      <c r="CO544" s="595"/>
      <c r="CP544" s="595"/>
    </row>
    <row r="545">
      <c r="A545" s="389" t="s">
        <v>38</v>
      </c>
      <c r="B545" s="573"/>
      <c r="C545" s="711">
        <v>44165.0</v>
      </c>
      <c r="D545" s="712" t="s">
        <v>986</v>
      </c>
      <c r="E545" s="581">
        <v>1.0</v>
      </c>
      <c r="F545" s="577" t="str">
        <f t="shared" ref="F545:F591" si="34">YEAR(C545)&amp;B545&amp;"/"&amp;TEXT(DAY(C545),"00")&amp;"-"&amp;IF(ISNUMBER(E545)=FALSE,IF(ISNUMBER(VALUE(LEFT(E545,2)))=FALSE,TEXT(LEFT(E545,1),"00")&amp;MID(E545,2,100),LEFT(E545,2)&amp;MID(E545,3,100)),TEXT(E545,"00"))</f>
        <v>2020/30-01</v>
      </c>
      <c r="G545" s="713">
        <v>0.5946180555555556</v>
      </c>
      <c r="H545" s="580">
        <v>0.5946180555555556</v>
      </c>
      <c r="I545" s="580"/>
      <c r="J545" s="580"/>
      <c r="K545" s="580">
        <v>0.6026041666666667</v>
      </c>
      <c r="L545" s="580">
        <f t="shared" ref="L545:L591" si="35">K545-H545</f>
        <v>0.007986111111</v>
      </c>
      <c r="M545" s="708" t="s">
        <v>358</v>
      </c>
      <c r="N545" s="394" t="s">
        <v>187</v>
      </c>
      <c r="O545" s="399" t="s">
        <v>201</v>
      </c>
      <c r="P545" s="583" t="s">
        <v>212</v>
      </c>
      <c r="Q545" s="714" t="s">
        <v>851</v>
      </c>
      <c r="R545" s="584">
        <v>16.3</v>
      </c>
      <c r="S545" s="715">
        <v>6.5</v>
      </c>
      <c r="T545" s="716">
        <v>0.6</v>
      </c>
      <c r="U545" s="581">
        <v>6.9</v>
      </c>
      <c r="V545" s="581"/>
      <c r="W545" s="581"/>
      <c r="X545" s="581"/>
      <c r="Y545" s="581"/>
      <c r="Z545" s="581" t="s">
        <v>339</v>
      </c>
      <c r="AA545" s="581"/>
      <c r="AB545" s="588" t="s">
        <v>345</v>
      </c>
      <c r="AC545" s="589">
        <v>4.0</v>
      </c>
      <c r="AD545" s="603"/>
      <c r="AE545" s="603"/>
      <c r="AF545" s="603"/>
      <c r="AG545" s="603"/>
      <c r="AH545" s="603"/>
      <c r="AI545" s="603"/>
      <c r="AJ545" s="621"/>
      <c r="AK545" s="622"/>
      <c r="AL545" s="603"/>
      <c r="AM545" s="603"/>
      <c r="AN545" s="603"/>
      <c r="AO545" s="603"/>
      <c r="AP545" s="603"/>
      <c r="AQ545" s="603"/>
      <c r="AR545" s="603"/>
      <c r="AS545" s="621"/>
      <c r="AT545" s="461" t="s">
        <v>182</v>
      </c>
      <c r="AU545" s="394" t="s">
        <v>845</v>
      </c>
      <c r="AV545" s="405">
        <f>SQRT(($R545-Infrastructure!J$3)^2+($S545-Infrastructure!K$3)^2)</f>
        <v>27.88045911</v>
      </c>
      <c r="AW545" s="406">
        <f>SQRT(($R545-Infrastructure!J$4)^2+($S545-Infrastructure!K$4)^2)</f>
        <v>20.08108563</v>
      </c>
      <c r="AX545" s="406">
        <f>SQRT(($R545-Infrastructure!J$5)^2+($S545-Infrastructure!K$5)^2)</f>
        <v>16.65893154</v>
      </c>
      <c r="AY545" s="406">
        <f>SQRT(($R545-Infrastructure!J$6)^2+($S545-Infrastructure!K$6)^2)</f>
        <v>8.768124087</v>
      </c>
      <c r="AZ545" s="406">
        <f>SQRT(($R545-Infrastructure!J$7)^2+($S545-Infrastructure!K$7)^2)</f>
        <v>7.488658091</v>
      </c>
      <c r="BA545" s="406">
        <f>SQRT(($R545-Infrastructure!J$8)^2+($S545-Infrastructure!K$8)^2)</f>
        <v>15.12878052</v>
      </c>
      <c r="BB545" s="406">
        <f>SQRT(($R545-Infrastructure!J$9)^2+($S545-Infrastructure!K$9)^2)</f>
        <v>23.7413142</v>
      </c>
      <c r="BC545" s="406">
        <f>SQRT(($R545-Infrastructure!J$10)^2+($S545-Infrastructure!K$10)^2)</f>
        <v>25.17816514</v>
      </c>
      <c r="BD545" s="392"/>
      <c r="BE545" s="407"/>
      <c r="BF545" s="330">
        <f t="shared" si="14"/>
        <v>7.488658091</v>
      </c>
      <c r="BG545" s="333">
        <f t="shared" si="15"/>
        <v>27.88045911</v>
      </c>
      <c r="BH545" s="591"/>
      <c r="BI545" s="573" t="s">
        <v>846</v>
      </c>
      <c r="BJ545" s="410"/>
      <c r="BK545" s="410"/>
      <c r="BL545" s="393" t="s">
        <v>846</v>
      </c>
      <c r="BM545" s="393" t="s">
        <v>846</v>
      </c>
      <c r="BN545" s="393" t="s">
        <v>846</v>
      </c>
      <c r="BO545" s="717"/>
      <c r="BP545" s="393" t="s">
        <v>846</v>
      </c>
      <c r="BQ545" s="410"/>
      <c r="BR545" s="411"/>
      <c r="BS545" s="330">
        <f t="shared" si="23"/>
        <v>7.488658091</v>
      </c>
      <c r="BT545" s="331">
        <f t="shared" si="24"/>
        <v>27.88045911</v>
      </c>
      <c r="BU545" s="718">
        <v>0.593761574074074</v>
      </c>
      <c r="BV545" s="408"/>
      <c r="BW545" s="592"/>
      <c r="BX545" s="593"/>
      <c r="BY545" s="406"/>
      <c r="BZ545" s="412"/>
      <c r="CA545" s="390"/>
      <c r="CB545" s="392"/>
      <c r="CC545" s="392"/>
      <c r="CD545" s="392"/>
      <c r="CE545" s="392"/>
      <c r="CF545" s="392"/>
      <c r="CG545" s="392"/>
      <c r="CH545" s="392"/>
      <c r="CI545" s="410"/>
      <c r="CJ545" s="413"/>
      <c r="CK545" s="342">
        <f t="shared" si="18"/>
        <v>0</v>
      </c>
      <c r="CL545" s="333">
        <f t="shared" si="19"/>
        <v>0</v>
      </c>
      <c r="CM545" s="656"/>
      <c r="CN545" s="617"/>
      <c r="CO545" s="617"/>
      <c r="CP545" s="617"/>
    </row>
    <row r="546">
      <c r="B546" s="462"/>
      <c r="C546" s="719">
        <v>44165.0</v>
      </c>
      <c r="D546" s="720" t="s">
        <v>986</v>
      </c>
      <c r="E546" s="603">
        <v>2.0</v>
      </c>
      <c r="F546" s="619" t="str">
        <f t="shared" si="34"/>
        <v>2020/30-02</v>
      </c>
      <c r="G546" s="721">
        <v>0.6119791666666666</v>
      </c>
      <c r="H546" s="602">
        <v>0.6119791666666666</v>
      </c>
      <c r="I546" s="602"/>
      <c r="J546" s="602"/>
      <c r="K546" s="602">
        <v>0.6168402777777778</v>
      </c>
      <c r="L546" s="602">
        <f t="shared" si="35"/>
        <v>0.004861111111</v>
      </c>
      <c r="M546" s="629" t="s">
        <v>358</v>
      </c>
      <c r="N546" s="324" t="s">
        <v>187</v>
      </c>
      <c r="O546" s="419" t="s">
        <v>201</v>
      </c>
      <c r="P546" s="605" t="s">
        <v>212</v>
      </c>
      <c r="Q546" s="610" t="s">
        <v>851</v>
      </c>
      <c r="R546" s="606">
        <v>16.3</v>
      </c>
      <c r="S546" s="607">
        <v>6.5</v>
      </c>
      <c r="T546" s="608">
        <v>0.6</v>
      </c>
      <c r="U546" s="603">
        <v>4.0</v>
      </c>
      <c r="V546" s="603"/>
      <c r="W546" s="603"/>
      <c r="X546" s="603"/>
      <c r="Y546" s="603"/>
      <c r="Z546" s="603" t="s">
        <v>339</v>
      </c>
      <c r="AA546" s="603"/>
      <c r="AB546" s="610" t="s">
        <v>345</v>
      </c>
      <c r="AC546" s="611">
        <v>4.0</v>
      </c>
      <c r="AD546" s="610"/>
      <c r="AE546" s="610"/>
      <c r="AF546" s="610"/>
      <c r="AG546" s="610"/>
      <c r="AH546" s="610"/>
      <c r="AI546" s="610"/>
      <c r="AJ546" s="611"/>
      <c r="AK546" s="612"/>
      <c r="AL546" s="610"/>
      <c r="AM546" s="610"/>
      <c r="AN546" s="610"/>
      <c r="AO546" s="610"/>
      <c r="AP546" s="610"/>
      <c r="AQ546" s="610"/>
      <c r="AR546" s="610"/>
      <c r="AS546" s="611"/>
      <c r="AT546" s="461" t="s">
        <v>182</v>
      </c>
      <c r="AU546" s="324" t="s">
        <v>845</v>
      </c>
      <c r="AV546" s="330">
        <f>SQRT(($R546-Infrastructure!J$3)^2+($S546-Infrastructure!K$3)^2)</f>
        <v>27.88045911</v>
      </c>
      <c r="AW546" s="331">
        <f>SQRT(($R546-Infrastructure!J$4)^2+($S546-Infrastructure!K$4)^2)</f>
        <v>20.08108563</v>
      </c>
      <c r="AX546" s="331">
        <f>SQRT(($R546-Infrastructure!J$5)^2+($S546-Infrastructure!K$5)^2)</f>
        <v>16.65893154</v>
      </c>
      <c r="AY546" s="331">
        <f>SQRT(($R546-Infrastructure!J$6)^2+($S546-Infrastructure!K$6)^2)</f>
        <v>8.768124087</v>
      </c>
      <c r="AZ546" s="331">
        <f>SQRT(($R546-Infrastructure!J$7)^2+($S546-Infrastructure!K$7)^2)</f>
        <v>7.488658091</v>
      </c>
      <c r="BA546" s="331">
        <f>SQRT(($R546-Infrastructure!J$8)^2+($S546-Infrastructure!K$8)^2)</f>
        <v>15.12878052</v>
      </c>
      <c r="BB546" s="331">
        <f>SQRT(($R546-Infrastructure!J$9)^2+($S546-Infrastructure!K$9)^2)</f>
        <v>23.7413142</v>
      </c>
      <c r="BC546" s="331">
        <f>SQRT(($R546-Infrastructure!J$10)^2+($S546-Infrastructure!K$10)^2)</f>
        <v>25.17816514</v>
      </c>
      <c r="BD546" s="318"/>
      <c r="BE546" s="332"/>
      <c r="BF546" s="330">
        <f t="shared" si="14"/>
        <v>7.488658091</v>
      </c>
      <c r="BG546" s="333">
        <f t="shared" si="15"/>
        <v>27.88045911</v>
      </c>
      <c r="BH546" s="613"/>
      <c r="BI546" s="462" t="s">
        <v>846</v>
      </c>
      <c r="BJ546" s="338"/>
      <c r="BK546" s="338"/>
      <c r="BL546" s="319" t="s">
        <v>846</v>
      </c>
      <c r="BM546" s="319" t="s">
        <v>846</v>
      </c>
      <c r="BN546" s="319" t="s">
        <v>846</v>
      </c>
      <c r="BO546" s="722"/>
      <c r="BP546" s="318"/>
      <c r="BQ546" s="338"/>
      <c r="BR546" s="420"/>
      <c r="BS546" s="330">
        <f t="shared" si="23"/>
        <v>7.488658091</v>
      </c>
      <c r="BT546" s="331">
        <f t="shared" si="24"/>
        <v>27.88045911</v>
      </c>
      <c r="BU546" s="723">
        <v>0.6114699074074074</v>
      </c>
      <c r="BV546" s="333"/>
      <c r="BW546" s="614"/>
      <c r="BX546" s="615"/>
      <c r="BY546" s="331"/>
      <c r="BZ546" s="340"/>
      <c r="CA546" s="316"/>
      <c r="CB546" s="318"/>
      <c r="CC546" s="318"/>
      <c r="CD546" s="318"/>
      <c r="CE546" s="318"/>
      <c r="CF546" s="318"/>
      <c r="CG546" s="318"/>
      <c r="CH546" s="318"/>
      <c r="CI546" s="338"/>
      <c r="CJ546" s="341"/>
      <c r="CK546" s="342">
        <f t="shared" si="18"/>
        <v>0</v>
      </c>
      <c r="CL546" s="333">
        <f t="shared" si="19"/>
        <v>0</v>
      </c>
      <c r="CM546" s="616"/>
      <c r="CN546" s="617"/>
      <c r="CO546" s="617"/>
      <c r="CP546" s="617"/>
    </row>
    <row r="547">
      <c r="B547" s="462"/>
      <c r="C547" s="719">
        <v>44165.0</v>
      </c>
      <c r="D547" s="720" t="s">
        <v>986</v>
      </c>
      <c r="E547" s="603">
        <v>3.0</v>
      </c>
      <c r="F547" s="619" t="str">
        <f t="shared" si="34"/>
        <v>2020/30-03</v>
      </c>
      <c r="G547" s="721">
        <v>0.6225694444444444</v>
      </c>
      <c r="H547" s="602">
        <v>0.6225694444444444</v>
      </c>
      <c r="I547" s="602"/>
      <c r="J547" s="602"/>
      <c r="K547" s="602">
        <v>0.6277777777777778</v>
      </c>
      <c r="L547" s="602">
        <f t="shared" si="35"/>
        <v>0.005208333333</v>
      </c>
      <c r="M547" s="629" t="s">
        <v>358</v>
      </c>
      <c r="N547" s="324" t="s">
        <v>187</v>
      </c>
      <c r="O547" s="419" t="s">
        <v>201</v>
      </c>
      <c r="P547" s="605" t="s">
        <v>212</v>
      </c>
      <c r="Q547" s="610" t="s">
        <v>851</v>
      </c>
      <c r="R547" s="606">
        <v>16.3</v>
      </c>
      <c r="S547" s="607">
        <v>6.5</v>
      </c>
      <c r="T547" s="608">
        <v>0.6</v>
      </c>
      <c r="U547" s="603">
        <v>3.0</v>
      </c>
      <c r="V547" s="603"/>
      <c r="W547" s="603"/>
      <c r="X547" s="603"/>
      <c r="Y547" s="603"/>
      <c r="Z547" s="603" t="s">
        <v>339</v>
      </c>
      <c r="AA547" s="603"/>
      <c r="AB547" s="319" t="s">
        <v>337</v>
      </c>
      <c r="AC547" s="611">
        <v>2.5</v>
      </c>
      <c r="AD547" s="610"/>
      <c r="AE547" s="610"/>
      <c r="AF547" s="610"/>
      <c r="AG547" s="610"/>
      <c r="AH547" s="610"/>
      <c r="AI547" s="610"/>
      <c r="AJ547" s="611"/>
      <c r="AK547" s="612"/>
      <c r="AL547" s="610"/>
      <c r="AM547" s="610"/>
      <c r="AN547" s="610"/>
      <c r="AO547" s="610"/>
      <c r="AP547" s="610"/>
      <c r="AQ547" s="610"/>
      <c r="AR547" s="610"/>
      <c r="AS547" s="611"/>
      <c r="AT547" s="461" t="s">
        <v>182</v>
      </c>
      <c r="AU547" s="324" t="s">
        <v>845</v>
      </c>
      <c r="AV547" s="330">
        <f>SQRT(($R547-Infrastructure!J$3)^2+($S547-Infrastructure!K$3)^2)</f>
        <v>27.88045911</v>
      </c>
      <c r="AW547" s="331">
        <f>SQRT(($R547-Infrastructure!J$4)^2+($S547-Infrastructure!K$4)^2)</f>
        <v>20.08108563</v>
      </c>
      <c r="AX547" s="331">
        <f>SQRT(($R547-Infrastructure!J$5)^2+($S547-Infrastructure!K$5)^2)</f>
        <v>16.65893154</v>
      </c>
      <c r="AY547" s="331">
        <f>SQRT(($R547-Infrastructure!J$6)^2+($S547-Infrastructure!K$6)^2)</f>
        <v>8.768124087</v>
      </c>
      <c r="AZ547" s="331">
        <f>SQRT(($R547-Infrastructure!J$7)^2+($S547-Infrastructure!K$7)^2)</f>
        <v>7.488658091</v>
      </c>
      <c r="BA547" s="331">
        <f>SQRT(($R547-Infrastructure!J$8)^2+($S547-Infrastructure!K$8)^2)</f>
        <v>15.12878052</v>
      </c>
      <c r="BB547" s="331">
        <f>SQRT(($R547-Infrastructure!J$9)^2+($S547-Infrastructure!K$9)^2)</f>
        <v>23.7413142</v>
      </c>
      <c r="BC547" s="331">
        <f>SQRT(($R547-Infrastructure!J$10)^2+($S547-Infrastructure!K$10)^2)</f>
        <v>25.17816514</v>
      </c>
      <c r="BD547" s="318"/>
      <c r="BE547" s="332"/>
      <c r="BF547" s="330">
        <f t="shared" si="14"/>
        <v>7.488658091</v>
      </c>
      <c r="BG547" s="333">
        <f t="shared" si="15"/>
        <v>27.88045911</v>
      </c>
      <c r="BH547" s="613"/>
      <c r="BI547" s="462" t="s">
        <v>846</v>
      </c>
      <c r="BJ547" s="338"/>
      <c r="BK547" s="338"/>
      <c r="BL547" s="319" t="s">
        <v>846</v>
      </c>
      <c r="BM547" s="319" t="s">
        <v>846</v>
      </c>
      <c r="BN547" s="319" t="s">
        <v>846</v>
      </c>
      <c r="BO547" s="722"/>
      <c r="BP547" s="319" t="s">
        <v>846</v>
      </c>
      <c r="BQ547" s="338"/>
      <c r="BR547" s="420"/>
      <c r="BS547" s="330">
        <f t="shared" si="23"/>
        <v>7.488658091</v>
      </c>
      <c r="BT547" s="331">
        <f t="shared" si="24"/>
        <v>27.88045911</v>
      </c>
      <c r="BU547" s="723">
        <v>0.6216898148148148</v>
      </c>
      <c r="BV547" s="333"/>
      <c r="BW547" s="614"/>
      <c r="BX547" s="615"/>
      <c r="BY547" s="331"/>
      <c r="BZ547" s="340"/>
      <c r="CA547" s="316"/>
      <c r="CB547" s="318"/>
      <c r="CC547" s="318"/>
      <c r="CD547" s="318"/>
      <c r="CE547" s="318"/>
      <c r="CF547" s="318"/>
      <c r="CG547" s="318"/>
      <c r="CH547" s="318"/>
      <c r="CI547" s="338"/>
      <c r="CJ547" s="341"/>
      <c r="CK547" s="342">
        <f t="shared" si="18"/>
        <v>0</v>
      </c>
      <c r="CL547" s="333">
        <f t="shared" si="19"/>
        <v>0</v>
      </c>
      <c r="CM547" s="616"/>
      <c r="CN547" s="617"/>
      <c r="CO547" s="617"/>
      <c r="CP547" s="617"/>
    </row>
    <row r="548">
      <c r="B548" s="462"/>
      <c r="C548" s="719">
        <v>44165.0</v>
      </c>
      <c r="D548" s="720" t="s">
        <v>986</v>
      </c>
      <c r="E548" s="603">
        <v>4.0</v>
      </c>
      <c r="F548" s="619" t="str">
        <f t="shared" si="34"/>
        <v>2020/30-04</v>
      </c>
      <c r="G548" s="721">
        <v>0.6321180555555556</v>
      </c>
      <c r="H548" s="602">
        <v>0.6321180555555556</v>
      </c>
      <c r="I548" s="602"/>
      <c r="J548" s="602"/>
      <c r="K548" s="602">
        <v>0.634548611111111</v>
      </c>
      <c r="L548" s="602">
        <f t="shared" si="35"/>
        <v>0.002430555556</v>
      </c>
      <c r="M548" s="629" t="s">
        <v>358</v>
      </c>
      <c r="N548" s="324" t="s">
        <v>187</v>
      </c>
      <c r="O548" s="419" t="s">
        <v>201</v>
      </c>
      <c r="P548" s="605" t="s">
        <v>212</v>
      </c>
      <c r="Q548" s="610" t="s">
        <v>851</v>
      </c>
      <c r="R548" s="606">
        <v>16.3</v>
      </c>
      <c r="S548" s="607">
        <v>6.5</v>
      </c>
      <c r="T548" s="608">
        <v>0.6</v>
      </c>
      <c r="U548" s="603">
        <v>2.5</v>
      </c>
      <c r="V548" s="603"/>
      <c r="W548" s="603"/>
      <c r="X548" s="603"/>
      <c r="Y548" s="603"/>
      <c r="Z548" s="603" t="s">
        <v>339</v>
      </c>
      <c r="AA548" s="603"/>
      <c r="AB548" s="319" t="s">
        <v>337</v>
      </c>
      <c r="AC548" s="611">
        <v>2.5</v>
      </c>
      <c r="AD548" s="610"/>
      <c r="AE548" s="610"/>
      <c r="AF548" s="610"/>
      <c r="AG548" s="610"/>
      <c r="AH548" s="610"/>
      <c r="AI548" s="610"/>
      <c r="AJ548" s="611"/>
      <c r="AK548" s="612"/>
      <c r="AL548" s="610"/>
      <c r="AM548" s="610"/>
      <c r="AN548" s="610"/>
      <c r="AO548" s="610"/>
      <c r="AP548" s="610"/>
      <c r="AQ548" s="610"/>
      <c r="AR548" s="610"/>
      <c r="AS548" s="611"/>
      <c r="AT548" s="461" t="s">
        <v>182</v>
      </c>
      <c r="AU548" s="324" t="s">
        <v>845</v>
      </c>
      <c r="AV548" s="330">
        <f>SQRT(($R548-Infrastructure!J$3)^2+($S548-Infrastructure!K$3)^2)</f>
        <v>27.88045911</v>
      </c>
      <c r="AW548" s="331">
        <f>SQRT(($R548-Infrastructure!J$4)^2+($S548-Infrastructure!K$4)^2)</f>
        <v>20.08108563</v>
      </c>
      <c r="AX548" s="331">
        <f>SQRT(($R548-Infrastructure!J$5)^2+($S548-Infrastructure!K$5)^2)</f>
        <v>16.65893154</v>
      </c>
      <c r="AY548" s="331">
        <f>SQRT(($R548-Infrastructure!J$6)^2+($S548-Infrastructure!K$6)^2)</f>
        <v>8.768124087</v>
      </c>
      <c r="AZ548" s="331">
        <f>SQRT(($R548-Infrastructure!J$7)^2+($S548-Infrastructure!K$7)^2)</f>
        <v>7.488658091</v>
      </c>
      <c r="BA548" s="331">
        <f>SQRT(($R548-Infrastructure!J$8)^2+($S548-Infrastructure!K$8)^2)</f>
        <v>15.12878052</v>
      </c>
      <c r="BB548" s="331">
        <f>SQRT(($R548-Infrastructure!J$9)^2+($S548-Infrastructure!K$9)^2)</f>
        <v>23.7413142</v>
      </c>
      <c r="BC548" s="331">
        <f>SQRT(($R548-Infrastructure!J$10)^2+($S548-Infrastructure!K$10)^2)</f>
        <v>25.17816514</v>
      </c>
      <c r="BD548" s="318"/>
      <c r="BE548" s="332"/>
      <c r="BF548" s="330">
        <f t="shared" si="14"/>
        <v>7.488658091</v>
      </c>
      <c r="BG548" s="333">
        <f t="shared" si="15"/>
        <v>27.88045911</v>
      </c>
      <c r="BH548" s="613"/>
      <c r="BI548" s="462" t="s">
        <v>846</v>
      </c>
      <c r="BJ548" s="338"/>
      <c r="BK548" s="338"/>
      <c r="BL548" s="319" t="s">
        <v>846</v>
      </c>
      <c r="BM548" s="319" t="s">
        <v>846</v>
      </c>
      <c r="BN548" s="319" t="s">
        <v>846</v>
      </c>
      <c r="BO548" s="722"/>
      <c r="BP548" s="318"/>
      <c r="BQ548" s="338"/>
      <c r="BR548" s="420"/>
      <c r="BS548" s="330">
        <f t="shared" si="23"/>
        <v>7.488658091</v>
      </c>
      <c r="BT548" s="331">
        <f t="shared" si="24"/>
        <v>27.88045911</v>
      </c>
      <c r="BU548" s="723">
        <v>0.6315393518518518</v>
      </c>
      <c r="BV548" s="333"/>
      <c r="BW548" s="614"/>
      <c r="BX548" s="615"/>
      <c r="BY548" s="331"/>
      <c r="BZ548" s="340"/>
      <c r="CA548" s="316"/>
      <c r="CB548" s="318"/>
      <c r="CC548" s="318"/>
      <c r="CD548" s="318"/>
      <c r="CE548" s="318"/>
      <c r="CF548" s="318"/>
      <c r="CG548" s="318"/>
      <c r="CH548" s="318"/>
      <c r="CI548" s="338"/>
      <c r="CJ548" s="341"/>
      <c r="CK548" s="342">
        <f t="shared" si="18"/>
        <v>0</v>
      </c>
      <c r="CL548" s="333">
        <f t="shared" si="19"/>
        <v>0</v>
      </c>
      <c r="CM548" s="616"/>
      <c r="CN548" s="617"/>
      <c r="CO548" s="617"/>
      <c r="CP548" s="617"/>
    </row>
    <row r="549">
      <c r="B549" s="462"/>
      <c r="C549" s="719">
        <v>44165.0</v>
      </c>
      <c r="D549" s="720" t="s">
        <v>986</v>
      </c>
      <c r="E549" s="603">
        <v>5.0</v>
      </c>
      <c r="F549" s="619" t="str">
        <f t="shared" si="34"/>
        <v>2020/30-05</v>
      </c>
      <c r="G549" s="721">
        <v>0.6465277777777778</v>
      </c>
      <c r="H549" s="602">
        <v>0.6465277777777778</v>
      </c>
      <c r="I549" s="602"/>
      <c r="J549" s="602"/>
      <c r="K549" s="602">
        <v>0.6506944444444445</v>
      </c>
      <c r="L549" s="602">
        <f t="shared" si="35"/>
        <v>0.004166666667</v>
      </c>
      <c r="M549" s="629" t="s">
        <v>358</v>
      </c>
      <c r="N549" s="324" t="s">
        <v>187</v>
      </c>
      <c r="O549" s="419" t="s">
        <v>201</v>
      </c>
      <c r="P549" s="605" t="s">
        <v>212</v>
      </c>
      <c r="Q549" s="610" t="s">
        <v>851</v>
      </c>
      <c r="R549" s="606">
        <v>16.3</v>
      </c>
      <c r="S549" s="607">
        <v>6.5</v>
      </c>
      <c r="T549" s="608">
        <v>0.6</v>
      </c>
      <c r="U549" s="603">
        <v>2.0</v>
      </c>
      <c r="V549" s="603"/>
      <c r="W549" s="603"/>
      <c r="X549" s="603"/>
      <c r="Y549" s="603"/>
      <c r="Z549" s="603" t="s">
        <v>339</v>
      </c>
      <c r="AA549" s="603"/>
      <c r="AB549" s="319" t="s">
        <v>337</v>
      </c>
      <c r="AC549" s="611">
        <v>2.5</v>
      </c>
      <c r="AD549" s="610"/>
      <c r="AE549" s="610"/>
      <c r="AF549" s="610"/>
      <c r="AG549" s="610"/>
      <c r="AH549" s="610"/>
      <c r="AI549" s="610"/>
      <c r="AJ549" s="611"/>
      <c r="AK549" s="612"/>
      <c r="AL549" s="610"/>
      <c r="AM549" s="610"/>
      <c r="AN549" s="610"/>
      <c r="AO549" s="610"/>
      <c r="AP549" s="610"/>
      <c r="AQ549" s="610"/>
      <c r="AR549" s="610"/>
      <c r="AS549" s="611"/>
      <c r="AT549" s="461" t="s">
        <v>182</v>
      </c>
      <c r="AU549" s="324" t="s">
        <v>845</v>
      </c>
      <c r="AV549" s="330">
        <f>SQRT(($R549-Infrastructure!J$3)^2+($S549-Infrastructure!K$3)^2)</f>
        <v>27.88045911</v>
      </c>
      <c r="AW549" s="331">
        <f>SQRT(($R549-Infrastructure!J$4)^2+($S549-Infrastructure!K$4)^2)</f>
        <v>20.08108563</v>
      </c>
      <c r="AX549" s="331">
        <f>SQRT(($R549-Infrastructure!J$5)^2+($S549-Infrastructure!K$5)^2)</f>
        <v>16.65893154</v>
      </c>
      <c r="AY549" s="331">
        <f>SQRT(($R549-Infrastructure!J$6)^2+($S549-Infrastructure!K$6)^2)</f>
        <v>8.768124087</v>
      </c>
      <c r="AZ549" s="331">
        <f>SQRT(($R549-Infrastructure!J$7)^2+($S549-Infrastructure!K$7)^2)</f>
        <v>7.488658091</v>
      </c>
      <c r="BA549" s="331">
        <f>SQRT(($R549-Infrastructure!J$8)^2+($S549-Infrastructure!K$8)^2)</f>
        <v>15.12878052</v>
      </c>
      <c r="BB549" s="331">
        <f>SQRT(($R549-Infrastructure!J$9)^2+($S549-Infrastructure!K$9)^2)</f>
        <v>23.7413142</v>
      </c>
      <c r="BC549" s="331">
        <f>SQRT(($R549-Infrastructure!J$10)^2+($S549-Infrastructure!K$10)^2)</f>
        <v>25.17816514</v>
      </c>
      <c r="BD549" s="318"/>
      <c r="BE549" s="332"/>
      <c r="BF549" s="330">
        <f t="shared" si="14"/>
        <v>7.488658091</v>
      </c>
      <c r="BG549" s="333">
        <f t="shared" si="15"/>
        <v>27.88045911</v>
      </c>
      <c r="BH549" s="613"/>
      <c r="BI549" s="462" t="s">
        <v>846</v>
      </c>
      <c r="BJ549" s="338"/>
      <c r="BK549" s="338"/>
      <c r="BL549" s="319" t="s">
        <v>846</v>
      </c>
      <c r="BM549" s="319" t="s">
        <v>846</v>
      </c>
      <c r="BN549" s="319" t="s">
        <v>846</v>
      </c>
      <c r="BO549" s="722"/>
      <c r="BP549" s="318"/>
      <c r="BQ549" s="338"/>
      <c r="BR549" s="420"/>
      <c r="BS549" s="330">
        <f t="shared" si="23"/>
        <v>7.488658091</v>
      </c>
      <c r="BT549" s="331">
        <f t="shared" si="24"/>
        <v>27.88045911</v>
      </c>
      <c r="BU549" s="723">
        <v>0.6463425925925926</v>
      </c>
      <c r="BV549" s="333"/>
      <c r="BW549" s="614"/>
      <c r="BX549" s="615"/>
      <c r="BY549" s="331"/>
      <c r="BZ549" s="340"/>
      <c r="CA549" s="316"/>
      <c r="CB549" s="318"/>
      <c r="CC549" s="318"/>
      <c r="CD549" s="318"/>
      <c r="CE549" s="318"/>
      <c r="CF549" s="318"/>
      <c r="CG549" s="318"/>
      <c r="CH549" s="318"/>
      <c r="CI549" s="338"/>
      <c r="CJ549" s="341"/>
      <c r="CK549" s="342">
        <f t="shared" si="18"/>
        <v>0</v>
      </c>
      <c r="CL549" s="333">
        <f t="shared" si="19"/>
        <v>0</v>
      </c>
      <c r="CM549" s="616"/>
      <c r="CN549" s="617"/>
      <c r="CO549" s="617"/>
      <c r="CP549" s="617"/>
    </row>
    <row r="550">
      <c r="B550" s="462"/>
      <c r="C550" s="719">
        <v>44165.0</v>
      </c>
      <c r="D550" s="720" t="s">
        <v>986</v>
      </c>
      <c r="E550" s="603">
        <v>6.0</v>
      </c>
      <c r="F550" s="619" t="str">
        <f t="shared" si="34"/>
        <v>2020/30-06</v>
      </c>
      <c r="G550" s="721">
        <v>0.6543402777777778</v>
      </c>
      <c r="H550" s="602">
        <v>0.6543402777777778</v>
      </c>
      <c r="I550" s="602"/>
      <c r="J550" s="602"/>
      <c r="K550" s="602">
        <v>0.6592013888888889</v>
      </c>
      <c r="L550" s="602">
        <f t="shared" si="35"/>
        <v>0.004861111111</v>
      </c>
      <c r="M550" s="629" t="s">
        <v>358</v>
      </c>
      <c r="N550" s="324" t="s">
        <v>187</v>
      </c>
      <c r="O550" s="419" t="s">
        <v>201</v>
      </c>
      <c r="P550" s="605" t="s">
        <v>212</v>
      </c>
      <c r="Q550" s="610" t="s">
        <v>851</v>
      </c>
      <c r="R550" s="606">
        <v>16.3</v>
      </c>
      <c r="S550" s="607">
        <v>6.5</v>
      </c>
      <c r="T550" s="608">
        <v>0.6</v>
      </c>
      <c r="U550" s="603">
        <v>1.0</v>
      </c>
      <c r="V550" s="603"/>
      <c r="W550" s="603"/>
      <c r="X550" s="603"/>
      <c r="Y550" s="603"/>
      <c r="Z550" s="603" t="s">
        <v>339</v>
      </c>
      <c r="AA550" s="603"/>
      <c r="AB550" s="319" t="s">
        <v>329</v>
      </c>
      <c r="AC550" s="611">
        <v>1.5</v>
      </c>
      <c r="AD550" s="610"/>
      <c r="AE550" s="610"/>
      <c r="AF550" s="610"/>
      <c r="AG550" s="610"/>
      <c r="AH550" s="610"/>
      <c r="AI550" s="610"/>
      <c r="AJ550" s="611"/>
      <c r="AK550" s="612"/>
      <c r="AL550" s="610"/>
      <c r="AM550" s="610"/>
      <c r="AN550" s="610"/>
      <c r="AO550" s="610"/>
      <c r="AP550" s="610"/>
      <c r="AQ550" s="610"/>
      <c r="AR550" s="610"/>
      <c r="AS550" s="611"/>
      <c r="AT550" s="461" t="s">
        <v>182</v>
      </c>
      <c r="AU550" s="324" t="s">
        <v>845</v>
      </c>
      <c r="AV550" s="330">
        <f>SQRT(($R550-Infrastructure!J$3)^2+($S550-Infrastructure!K$3)^2)</f>
        <v>27.88045911</v>
      </c>
      <c r="AW550" s="331">
        <f>SQRT(($R550-Infrastructure!J$4)^2+($S550-Infrastructure!K$4)^2)</f>
        <v>20.08108563</v>
      </c>
      <c r="AX550" s="331">
        <f>SQRT(($R550-Infrastructure!J$5)^2+($S550-Infrastructure!K$5)^2)</f>
        <v>16.65893154</v>
      </c>
      <c r="AY550" s="331">
        <f>SQRT(($R550-Infrastructure!J$6)^2+($S550-Infrastructure!K$6)^2)</f>
        <v>8.768124087</v>
      </c>
      <c r="AZ550" s="331">
        <f>SQRT(($R550-Infrastructure!J$7)^2+($S550-Infrastructure!K$7)^2)</f>
        <v>7.488658091</v>
      </c>
      <c r="BA550" s="331">
        <f>SQRT(($R550-Infrastructure!J$8)^2+($S550-Infrastructure!K$8)^2)</f>
        <v>15.12878052</v>
      </c>
      <c r="BB550" s="331">
        <f>SQRT(($R550-Infrastructure!J$9)^2+($S550-Infrastructure!K$9)^2)</f>
        <v>23.7413142</v>
      </c>
      <c r="BC550" s="331">
        <f>SQRT(($R550-Infrastructure!J$10)^2+($S550-Infrastructure!K$10)^2)</f>
        <v>25.17816514</v>
      </c>
      <c r="BD550" s="318"/>
      <c r="BE550" s="332"/>
      <c r="BF550" s="330">
        <f t="shared" si="14"/>
        <v>7.488658091</v>
      </c>
      <c r="BG550" s="333">
        <f t="shared" si="15"/>
        <v>27.88045911</v>
      </c>
      <c r="BH550" s="613"/>
      <c r="BI550" s="462" t="s">
        <v>846</v>
      </c>
      <c r="BJ550" s="338"/>
      <c r="BK550" s="338"/>
      <c r="BL550" s="319" t="s">
        <v>846</v>
      </c>
      <c r="BM550" s="319" t="s">
        <v>846</v>
      </c>
      <c r="BN550" s="319" t="s">
        <v>846</v>
      </c>
      <c r="BO550" s="722"/>
      <c r="BP550" s="318"/>
      <c r="BQ550" s="338"/>
      <c r="BR550" s="420"/>
      <c r="BS550" s="330">
        <f t="shared" si="23"/>
        <v>7.488658091</v>
      </c>
      <c r="BT550" s="331">
        <f t="shared" si="24"/>
        <v>27.88045911</v>
      </c>
      <c r="BU550" s="723">
        <v>0.6537615740740741</v>
      </c>
      <c r="BV550" s="333"/>
      <c r="BW550" s="614"/>
      <c r="BX550" s="615"/>
      <c r="BY550" s="331"/>
      <c r="BZ550" s="340"/>
      <c r="CA550" s="316"/>
      <c r="CB550" s="318"/>
      <c r="CC550" s="318"/>
      <c r="CD550" s="318"/>
      <c r="CE550" s="318"/>
      <c r="CF550" s="318"/>
      <c r="CG550" s="318"/>
      <c r="CH550" s="318"/>
      <c r="CI550" s="338"/>
      <c r="CJ550" s="341"/>
      <c r="CK550" s="342">
        <f t="shared" si="18"/>
        <v>0</v>
      </c>
      <c r="CL550" s="333">
        <f t="shared" si="19"/>
        <v>0</v>
      </c>
      <c r="CM550" s="616"/>
      <c r="CN550" s="617"/>
      <c r="CO550" s="617"/>
      <c r="CP550" s="617"/>
    </row>
    <row r="551">
      <c r="B551" s="462"/>
      <c r="C551" s="719">
        <v>44165.0</v>
      </c>
      <c r="D551" s="720" t="s">
        <v>986</v>
      </c>
      <c r="E551" s="603">
        <v>7.0</v>
      </c>
      <c r="F551" s="619" t="str">
        <f t="shared" si="34"/>
        <v>2020/30-07</v>
      </c>
      <c r="G551" s="721">
        <v>0.6706597222222223</v>
      </c>
      <c r="H551" s="602">
        <v>0.6706597222222223</v>
      </c>
      <c r="I551" s="602"/>
      <c r="J551" s="602"/>
      <c r="K551" s="602">
        <v>0.6755208333333332</v>
      </c>
      <c r="L551" s="602">
        <f t="shared" si="35"/>
        <v>0.004861111111</v>
      </c>
      <c r="M551" s="629" t="s">
        <v>358</v>
      </c>
      <c r="N551" s="324" t="s">
        <v>187</v>
      </c>
      <c r="O551" s="701" t="s">
        <v>205</v>
      </c>
      <c r="P551" s="700" t="s">
        <v>213</v>
      </c>
      <c r="Q551" s="610" t="s">
        <v>851</v>
      </c>
      <c r="R551" s="606">
        <v>21.2</v>
      </c>
      <c r="S551" s="620">
        <v>4.1</v>
      </c>
      <c r="T551" s="608">
        <v>2.1</v>
      </c>
      <c r="U551" s="603">
        <v>3.5</v>
      </c>
      <c r="V551" s="603"/>
      <c r="W551" s="603"/>
      <c r="X551" s="603"/>
      <c r="Y551" s="603"/>
      <c r="Z551" s="603" t="s">
        <v>370</v>
      </c>
      <c r="AA551" s="603"/>
      <c r="AB551" s="610" t="s">
        <v>384</v>
      </c>
      <c r="AC551" s="611">
        <v>6.0</v>
      </c>
      <c r="AD551" s="610"/>
      <c r="AE551" s="610"/>
      <c r="AF551" s="610"/>
      <c r="AG551" s="610"/>
      <c r="AH551" s="610"/>
      <c r="AI551" s="610"/>
      <c r="AJ551" s="611"/>
      <c r="AK551" s="612"/>
      <c r="AL551" s="610"/>
      <c r="AM551" s="610"/>
      <c r="AN551" s="610"/>
      <c r="AO551" s="610"/>
      <c r="AP551" s="610"/>
      <c r="AQ551" s="610"/>
      <c r="AR551" s="610"/>
      <c r="AS551" s="611"/>
      <c r="AT551" s="461" t="s">
        <v>182</v>
      </c>
      <c r="AU551" s="324" t="s">
        <v>845</v>
      </c>
      <c r="AV551" s="330">
        <f>SQRT(($R551-Infrastructure!J$3)^2+($S551-Infrastructure!K$3)^2)</f>
        <v>32.82209622</v>
      </c>
      <c r="AW551" s="331">
        <f>SQRT(($R551-Infrastructure!J$4)^2+($S551-Infrastructure!K$4)^2)</f>
        <v>25.49392084</v>
      </c>
      <c r="AX551" s="331">
        <f>SQRT(($R551-Infrastructure!J$5)^2+($S551-Infrastructure!K$5)^2)</f>
        <v>21.52324325</v>
      </c>
      <c r="AY551" s="331">
        <f>SQRT(($R551-Infrastructure!J$6)^2+($S551-Infrastructure!K$6)^2)</f>
        <v>11.73243368</v>
      </c>
      <c r="AZ551" s="331">
        <f>SQRT(($R551-Infrastructure!J$7)^2+($S551-Infrastructure!K$7)^2)</f>
        <v>3.863935817</v>
      </c>
      <c r="BA551" s="331">
        <f>SQRT(($R551-Infrastructure!J$8)^2+($S551-Infrastructure!K$8)^2)</f>
        <v>9.67729301</v>
      </c>
      <c r="BB551" s="331">
        <f>SQRT(($R551-Infrastructure!J$9)^2+($S551-Infrastructure!K$9)^2)</f>
        <v>18.82657696</v>
      </c>
      <c r="BC551" s="331">
        <f>SQRT(($R551-Infrastructure!J$10)^2+($S551-Infrastructure!K$10)^2)</f>
        <v>21.73131381</v>
      </c>
      <c r="BD551" s="318"/>
      <c r="BE551" s="332"/>
      <c r="BF551" s="330">
        <f t="shared" si="14"/>
        <v>3.863935817</v>
      </c>
      <c r="BG551" s="333">
        <f t="shared" si="15"/>
        <v>32.82209622</v>
      </c>
      <c r="BH551" s="613"/>
      <c r="BI551" s="462" t="s">
        <v>846</v>
      </c>
      <c r="BJ551" s="338"/>
      <c r="BK551" s="338"/>
      <c r="BL551" s="319" t="s">
        <v>846</v>
      </c>
      <c r="BM551" s="319" t="s">
        <v>846</v>
      </c>
      <c r="BN551" s="319" t="s">
        <v>846</v>
      </c>
      <c r="BO551" s="722"/>
      <c r="BP551" s="319" t="s">
        <v>846</v>
      </c>
      <c r="BQ551" s="338"/>
      <c r="BR551" s="420"/>
      <c r="BS551" s="330">
        <f t="shared" si="23"/>
        <v>3.863935817</v>
      </c>
      <c r="BT551" s="331">
        <f t="shared" si="24"/>
        <v>32.82209622</v>
      </c>
      <c r="BU551" s="723">
        <v>0.6686111111111112</v>
      </c>
      <c r="BV551" s="333"/>
      <c r="BW551" s="614"/>
      <c r="BX551" s="615"/>
      <c r="BY551" s="331"/>
      <c r="BZ551" s="340"/>
      <c r="CA551" s="316"/>
      <c r="CB551" s="318"/>
      <c r="CC551" s="318"/>
      <c r="CD551" s="318"/>
      <c r="CE551" s="318"/>
      <c r="CF551" s="318"/>
      <c r="CG551" s="318"/>
      <c r="CH551" s="318"/>
      <c r="CI551" s="338"/>
      <c r="CJ551" s="341"/>
      <c r="CK551" s="342">
        <f t="shared" si="18"/>
        <v>0</v>
      </c>
      <c r="CL551" s="333">
        <f t="shared" si="19"/>
        <v>0</v>
      </c>
      <c r="CM551" s="616"/>
      <c r="CN551" s="617"/>
      <c r="CO551" s="617"/>
      <c r="CP551" s="617"/>
    </row>
    <row r="552">
      <c r="B552" s="462"/>
      <c r="C552" s="719">
        <v>44165.0</v>
      </c>
      <c r="D552" s="720" t="s">
        <v>986</v>
      </c>
      <c r="E552" s="603">
        <v>8.0</v>
      </c>
      <c r="F552" s="619" t="str">
        <f t="shared" si="34"/>
        <v>2020/30-08</v>
      </c>
      <c r="G552" s="721">
        <v>0.6920138888888889</v>
      </c>
      <c r="H552" s="602">
        <v>0.6920138888888889</v>
      </c>
      <c r="I552" s="602"/>
      <c r="J552" s="602"/>
      <c r="K552" s="602">
        <v>0.7037037037037037</v>
      </c>
      <c r="L552" s="602">
        <f t="shared" si="35"/>
        <v>0.01168981481</v>
      </c>
      <c r="M552" s="629" t="s">
        <v>358</v>
      </c>
      <c r="N552" s="324" t="s">
        <v>187</v>
      </c>
      <c r="O552" s="419" t="s">
        <v>197</v>
      </c>
      <c r="P552" s="605" t="s">
        <v>220</v>
      </c>
      <c r="Q552" s="344" t="s">
        <v>851</v>
      </c>
      <c r="R552" s="606">
        <v>37.1</v>
      </c>
      <c r="S552" s="620">
        <v>7.0</v>
      </c>
      <c r="T552" s="608">
        <v>7.0</v>
      </c>
      <c r="U552" s="603">
        <v>10.2</v>
      </c>
      <c r="V552" s="603"/>
      <c r="W552" s="603"/>
      <c r="X552" s="603"/>
      <c r="Y552" s="603"/>
      <c r="Z552" s="603" t="s">
        <v>379</v>
      </c>
      <c r="AA552" s="603"/>
      <c r="AB552" s="344" t="s">
        <v>392</v>
      </c>
      <c r="AC552" s="611">
        <v>10.0</v>
      </c>
      <c r="AD552" s="610"/>
      <c r="AE552" s="610"/>
      <c r="AF552" s="610"/>
      <c r="AG552" s="610"/>
      <c r="AH552" s="610"/>
      <c r="AI552" s="610"/>
      <c r="AJ552" s="611"/>
      <c r="AK552" s="612"/>
      <c r="AL552" s="610"/>
      <c r="AM552" s="610"/>
      <c r="AN552" s="610"/>
      <c r="AO552" s="610"/>
      <c r="AP552" s="610"/>
      <c r="AQ552" s="610"/>
      <c r="AR552" s="610"/>
      <c r="AS552" s="611"/>
      <c r="AT552" s="461" t="s">
        <v>183</v>
      </c>
      <c r="AU552" s="324" t="s">
        <v>845</v>
      </c>
      <c r="AV552" s="330">
        <f>SQRT(($R552-Infrastructure!J$3)^2+($S552-Infrastructure!K$3)^2)</f>
        <v>43.34016613</v>
      </c>
      <c r="AW552" s="331">
        <f>SQRT(($R552-Infrastructure!J$4)^2+($S552-Infrastructure!K$4)^2)</f>
        <v>38.92813892</v>
      </c>
      <c r="AX552" s="331">
        <f>SQRT(($R552-Infrastructure!J$5)^2+($S552-Infrastructure!K$5)^2)</f>
        <v>37.44823093</v>
      </c>
      <c r="AY552" s="331">
        <f>SQRT(($R552-Infrastructure!J$6)^2+($S552-Infrastructure!K$6)^2)</f>
        <v>27.81887848</v>
      </c>
      <c r="AZ552" s="331">
        <f>SQRT(($R552-Infrastructure!J$7)^2+($S552-Infrastructure!K$7)^2)</f>
        <v>17.90111728</v>
      </c>
      <c r="BA552" s="331">
        <f>SQRT(($R552-Infrastructure!J$8)^2+($S552-Infrastructure!K$8)^2)</f>
        <v>9.689685237</v>
      </c>
      <c r="BB552" s="331">
        <f>SQRT(($R552-Infrastructure!J$9)^2+($S552-Infrastructure!K$9)^2)</f>
        <v>3.466987165</v>
      </c>
      <c r="BC552" s="331">
        <f>SQRT(($R552-Infrastructure!J$10)^2+($S552-Infrastructure!K$10)^2)</f>
        <v>8.50940656</v>
      </c>
      <c r="BD552" s="318"/>
      <c r="BE552" s="332"/>
      <c r="BF552" s="330">
        <f t="shared" si="14"/>
        <v>3.466987165</v>
      </c>
      <c r="BG552" s="333">
        <f t="shared" si="15"/>
        <v>43.34016613</v>
      </c>
      <c r="BH552" s="613"/>
      <c r="BI552" s="316"/>
      <c r="BJ552" s="338"/>
      <c r="BK552" s="338"/>
      <c r="BL552" s="319"/>
      <c r="BM552" s="319" t="s">
        <v>846</v>
      </c>
      <c r="BN552" s="319" t="s">
        <v>846</v>
      </c>
      <c r="BO552" s="722"/>
      <c r="BP552" s="319" t="s">
        <v>846</v>
      </c>
      <c r="BQ552" s="338"/>
      <c r="BR552" s="420"/>
      <c r="BS552" s="330">
        <f t="shared" si="23"/>
        <v>8.50940656</v>
      </c>
      <c r="BT552" s="331">
        <f t="shared" si="24"/>
        <v>17.90111728</v>
      </c>
      <c r="BU552" s="723">
        <v>0.6926273148148148</v>
      </c>
      <c r="BV552" s="333"/>
      <c r="BW552" s="614"/>
      <c r="BX552" s="615"/>
      <c r="BY552" s="331"/>
      <c r="BZ552" s="340"/>
      <c r="CA552" s="316"/>
      <c r="CB552" s="318"/>
      <c r="CC552" s="318"/>
      <c r="CD552" s="318"/>
      <c r="CE552" s="318"/>
      <c r="CF552" s="318"/>
      <c r="CG552" s="318"/>
      <c r="CH552" s="318"/>
      <c r="CI552" s="338"/>
      <c r="CJ552" s="341"/>
      <c r="CK552" s="342">
        <f t="shared" si="18"/>
        <v>0</v>
      </c>
      <c r="CL552" s="333">
        <f t="shared" si="19"/>
        <v>0</v>
      </c>
      <c r="CM552" s="616"/>
      <c r="CN552" s="617"/>
      <c r="CO552" s="617"/>
      <c r="CP552" s="617"/>
    </row>
    <row r="553">
      <c r="B553" s="462"/>
      <c r="C553" s="719">
        <v>44166.0</v>
      </c>
      <c r="D553" s="720" t="s">
        <v>986</v>
      </c>
      <c r="E553" s="603">
        <v>9.0</v>
      </c>
      <c r="F553" s="619" t="str">
        <f t="shared" si="34"/>
        <v>2020/01-09</v>
      </c>
      <c r="G553" s="721">
        <v>0.4361111111111111</v>
      </c>
      <c r="H553" s="602">
        <v>0.4361111111111111</v>
      </c>
      <c r="I553" s="602"/>
      <c r="J553" s="602"/>
      <c r="K553" s="602">
        <v>0.4420138888888889</v>
      </c>
      <c r="L553" s="602">
        <f t="shared" si="35"/>
        <v>0.005902777778</v>
      </c>
      <c r="M553" s="629" t="s">
        <v>358</v>
      </c>
      <c r="N553" s="324" t="s">
        <v>187</v>
      </c>
      <c r="O553" s="419" t="s">
        <v>202</v>
      </c>
      <c r="P553" s="319" t="s">
        <v>212</v>
      </c>
      <c r="Q553" s="630" t="s">
        <v>851</v>
      </c>
      <c r="R553" s="631">
        <v>24.04</v>
      </c>
      <c r="S553" s="661">
        <v>9.7</v>
      </c>
      <c r="T553" s="619">
        <v>0.6</v>
      </c>
      <c r="U553" s="610">
        <v>7.0</v>
      </c>
      <c r="V553" s="610"/>
      <c r="W553" s="610"/>
      <c r="X553" s="610"/>
      <c r="Y553" s="610"/>
      <c r="Z553" s="630" t="s">
        <v>399</v>
      </c>
      <c r="AA553" s="630"/>
      <c r="AB553" s="630" t="s">
        <v>345</v>
      </c>
      <c r="AC553" s="611">
        <v>4.0</v>
      </c>
      <c r="AD553" s="610"/>
      <c r="AE553" s="610"/>
      <c r="AF553" s="610"/>
      <c r="AG553" s="610"/>
      <c r="AH553" s="610"/>
      <c r="AI553" s="610"/>
      <c r="AJ553" s="611"/>
      <c r="AK553" s="612"/>
      <c r="AL553" s="610"/>
      <c r="AM553" s="610"/>
      <c r="AN553" s="610"/>
      <c r="AO553" s="610"/>
      <c r="AP553" s="610"/>
      <c r="AQ553" s="610"/>
      <c r="AR553" s="610"/>
      <c r="AS553" s="611"/>
      <c r="AT553" s="461" t="s">
        <v>182</v>
      </c>
      <c r="AU553" s="324" t="s">
        <v>845</v>
      </c>
      <c r="AV553" s="330">
        <f>SQRT(($R553-Infrastructure!J$3)^2+($S553-Infrastructure!K$3)^2)</f>
        <v>31.00121933</v>
      </c>
      <c r="AW553" s="331">
        <f>SQRT(($R553-Infrastructure!J$4)^2+($S553-Infrastructure!K$4)^2)</f>
        <v>25.6523995</v>
      </c>
      <c r="AX553" s="331">
        <f>SQRT(($R553-Infrastructure!J$5)^2+($S553-Infrastructure!K$5)^2)</f>
        <v>24.77086191</v>
      </c>
      <c r="AY553" s="331">
        <f>SQRT(($R553-Infrastructure!J$6)^2+($S553-Infrastructure!K$6)^2)</f>
        <v>16.8131972</v>
      </c>
      <c r="AZ553" s="331">
        <f>SQRT(($R553-Infrastructure!J$7)^2+($S553-Infrastructure!K$7)^2)</f>
        <v>10.04448107</v>
      </c>
      <c r="BA553" s="331">
        <f>SQRT(($R553-Infrastructure!J$8)^2+($S553-Infrastructure!K$8)^2)</f>
        <v>11.18407797</v>
      </c>
      <c r="BB553" s="331">
        <f>SQRT(($R553-Infrastructure!J$9)^2+($S553-Infrastructure!K$9)^2)</f>
        <v>16.60968392</v>
      </c>
      <c r="BC553" s="331">
        <f>SQRT(($R553-Infrastructure!J$10)^2+($S553-Infrastructure!K$10)^2)</f>
        <v>16.8170033</v>
      </c>
      <c r="BD553" s="318"/>
      <c r="BE553" s="332"/>
      <c r="BF553" s="330">
        <f t="shared" si="14"/>
        <v>10.04448107</v>
      </c>
      <c r="BG553" s="333">
        <f t="shared" si="15"/>
        <v>31.00121933</v>
      </c>
      <c r="BH553" s="613"/>
      <c r="BI553" s="462" t="s">
        <v>846</v>
      </c>
      <c r="BJ553" s="338"/>
      <c r="BK553" s="338"/>
      <c r="BL553" s="319" t="s">
        <v>846</v>
      </c>
      <c r="BM553" s="319" t="s">
        <v>846</v>
      </c>
      <c r="BN553" s="319" t="s">
        <v>846</v>
      </c>
      <c r="BO553" s="722"/>
      <c r="BP553" s="319" t="s">
        <v>846</v>
      </c>
      <c r="BQ553" s="338"/>
      <c r="BR553" s="420"/>
      <c r="BS553" s="330">
        <f t="shared" si="23"/>
        <v>10.04448107</v>
      </c>
      <c r="BT553" s="331">
        <f t="shared" si="24"/>
        <v>31.00121933</v>
      </c>
      <c r="BU553" s="331"/>
      <c r="BV553" s="333"/>
      <c r="BW553" s="614"/>
      <c r="BX553" s="615"/>
      <c r="BY553" s="331"/>
      <c r="BZ553" s="340"/>
      <c r="CA553" s="316"/>
      <c r="CB553" s="318"/>
      <c r="CC553" s="318"/>
      <c r="CD553" s="318"/>
      <c r="CE553" s="318"/>
      <c r="CF553" s="318"/>
      <c r="CG553" s="318"/>
      <c r="CH553" s="318"/>
      <c r="CI553" s="338"/>
      <c r="CJ553" s="341"/>
      <c r="CK553" s="342">
        <f t="shared" si="18"/>
        <v>0</v>
      </c>
      <c r="CL553" s="333">
        <f t="shared" si="19"/>
        <v>0</v>
      </c>
      <c r="CM553" s="616"/>
      <c r="CN553" s="617"/>
      <c r="CO553" s="617"/>
      <c r="CP553" s="617"/>
    </row>
    <row r="554">
      <c r="B554" s="462"/>
      <c r="C554" s="719">
        <v>44166.0</v>
      </c>
      <c r="D554" s="720" t="s">
        <v>986</v>
      </c>
      <c r="E554" s="603">
        <v>10.0</v>
      </c>
      <c r="F554" s="619" t="str">
        <f t="shared" si="34"/>
        <v>2020/01-10</v>
      </c>
      <c r="G554" s="721">
        <v>0.4479166666666667</v>
      </c>
      <c r="H554" s="602">
        <v>0.4479166666666667</v>
      </c>
      <c r="I554" s="602"/>
      <c r="J554" s="602"/>
      <c r="K554" s="602">
        <v>0.4529513888888889</v>
      </c>
      <c r="L554" s="602">
        <f t="shared" si="35"/>
        <v>0.005034722222</v>
      </c>
      <c r="M554" s="629" t="s">
        <v>358</v>
      </c>
      <c r="N554" s="324" t="s">
        <v>187</v>
      </c>
      <c r="O554" s="419" t="s">
        <v>202</v>
      </c>
      <c r="P554" s="319" t="s">
        <v>212</v>
      </c>
      <c r="Q554" s="630" t="s">
        <v>851</v>
      </c>
      <c r="R554" s="631">
        <v>24.04</v>
      </c>
      <c r="S554" s="661">
        <v>9.7</v>
      </c>
      <c r="T554" s="619">
        <v>0.6</v>
      </c>
      <c r="U554" s="610">
        <v>4.0</v>
      </c>
      <c r="V554" s="610"/>
      <c r="W554" s="610"/>
      <c r="X554" s="610"/>
      <c r="Y554" s="610"/>
      <c r="Z554" s="630" t="s">
        <v>399</v>
      </c>
      <c r="AA554" s="630"/>
      <c r="AB554" s="630" t="s">
        <v>345</v>
      </c>
      <c r="AC554" s="611">
        <v>4.0</v>
      </c>
      <c r="AD554" s="610"/>
      <c r="AE554" s="610"/>
      <c r="AF554" s="610"/>
      <c r="AG554" s="610"/>
      <c r="AH554" s="610"/>
      <c r="AI554" s="610"/>
      <c r="AJ554" s="611"/>
      <c r="AK554" s="612"/>
      <c r="AL554" s="610"/>
      <c r="AM554" s="610"/>
      <c r="AN554" s="610"/>
      <c r="AO554" s="610"/>
      <c r="AP554" s="610"/>
      <c r="AQ554" s="610"/>
      <c r="AR554" s="610"/>
      <c r="AS554" s="611"/>
      <c r="AT554" s="461" t="s">
        <v>182</v>
      </c>
      <c r="AU554" s="324" t="s">
        <v>845</v>
      </c>
      <c r="AV554" s="330">
        <f>SQRT(($R554-Infrastructure!J$3)^2+($S554-Infrastructure!K$3)^2)</f>
        <v>31.00121933</v>
      </c>
      <c r="AW554" s="331">
        <f>SQRT(($R554-Infrastructure!J$4)^2+($S554-Infrastructure!K$4)^2)</f>
        <v>25.6523995</v>
      </c>
      <c r="AX554" s="331">
        <f>SQRT(($R554-Infrastructure!J$5)^2+($S554-Infrastructure!K$5)^2)</f>
        <v>24.77086191</v>
      </c>
      <c r="AY554" s="331">
        <f>SQRT(($R554-Infrastructure!J$6)^2+($S554-Infrastructure!K$6)^2)</f>
        <v>16.8131972</v>
      </c>
      <c r="AZ554" s="331">
        <f>SQRT(($R554-Infrastructure!J$7)^2+($S554-Infrastructure!K$7)^2)</f>
        <v>10.04448107</v>
      </c>
      <c r="BA554" s="331">
        <f>SQRT(($R554-Infrastructure!J$8)^2+($S554-Infrastructure!K$8)^2)</f>
        <v>11.18407797</v>
      </c>
      <c r="BB554" s="331">
        <f>SQRT(($R554-Infrastructure!J$9)^2+($S554-Infrastructure!K$9)^2)</f>
        <v>16.60968392</v>
      </c>
      <c r="BC554" s="331">
        <f>SQRT(($R554-Infrastructure!J$10)^2+($S554-Infrastructure!K$10)^2)</f>
        <v>16.8170033</v>
      </c>
      <c r="BD554" s="318"/>
      <c r="BE554" s="332"/>
      <c r="BF554" s="330">
        <f t="shared" si="14"/>
        <v>10.04448107</v>
      </c>
      <c r="BG554" s="333">
        <f t="shared" si="15"/>
        <v>31.00121933</v>
      </c>
      <c r="BH554" s="613"/>
      <c r="BI554" s="316"/>
      <c r="BJ554" s="338"/>
      <c r="BK554" s="338"/>
      <c r="BL554" s="319" t="s">
        <v>846</v>
      </c>
      <c r="BM554" s="319" t="s">
        <v>846</v>
      </c>
      <c r="BN554" s="319" t="s">
        <v>846</v>
      </c>
      <c r="BO554" s="722"/>
      <c r="BP554" s="319" t="s">
        <v>846</v>
      </c>
      <c r="BQ554" s="338"/>
      <c r="BR554" s="420"/>
      <c r="BS554" s="330">
        <f t="shared" si="23"/>
        <v>10.04448107</v>
      </c>
      <c r="BT554" s="331">
        <f t="shared" si="24"/>
        <v>16.8170033</v>
      </c>
      <c r="BU554" s="331"/>
      <c r="BV554" s="333"/>
      <c r="BW554" s="614"/>
      <c r="BX554" s="615"/>
      <c r="BY554" s="331"/>
      <c r="BZ554" s="340"/>
      <c r="CA554" s="316"/>
      <c r="CB554" s="318"/>
      <c r="CC554" s="318"/>
      <c r="CD554" s="318"/>
      <c r="CE554" s="318"/>
      <c r="CF554" s="318"/>
      <c r="CG554" s="318"/>
      <c r="CH554" s="318"/>
      <c r="CI554" s="338"/>
      <c r="CJ554" s="341"/>
      <c r="CK554" s="342">
        <f t="shared" si="18"/>
        <v>0</v>
      </c>
      <c r="CL554" s="333">
        <f t="shared" si="19"/>
        <v>0</v>
      </c>
      <c r="CM554" s="616"/>
      <c r="CN554" s="617"/>
      <c r="CO554" s="617"/>
      <c r="CP554" s="617"/>
    </row>
    <row r="555">
      <c r="B555" s="462"/>
      <c r="C555" s="719">
        <v>44166.0</v>
      </c>
      <c r="D555" s="720" t="s">
        <v>986</v>
      </c>
      <c r="E555" s="603">
        <v>11.0</v>
      </c>
      <c r="F555" s="619" t="str">
        <f t="shared" si="34"/>
        <v>2020/01-11</v>
      </c>
      <c r="G555" s="721">
        <v>0.4607638888888889</v>
      </c>
      <c r="H555" s="602">
        <v>0.4607638888888889</v>
      </c>
      <c r="I555" s="602"/>
      <c r="J555" s="602"/>
      <c r="K555" s="602">
        <v>0.46527777777777773</v>
      </c>
      <c r="L555" s="602">
        <f t="shared" si="35"/>
        <v>0.004513888889</v>
      </c>
      <c r="M555" s="629" t="s">
        <v>358</v>
      </c>
      <c r="N555" s="324" t="s">
        <v>187</v>
      </c>
      <c r="O555" s="419" t="s">
        <v>202</v>
      </c>
      <c r="P555" s="319" t="s">
        <v>212</v>
      </c>
      <c r="Q555" s="630" t="s">
        <v>851</v>
      </c>
      <c r="R555" s="631">
        <v>24.04</v>
      </c>
      <c r="S555" s="661">
        <v>9.7</v>
      </c>
      <c r="T555" s="619">
        <v>0.6</v>
      </c>
      <c r="U555" s="610">
        <v>3.0</v>
      </c>
      <c r="V555" s="610"/>
      <c r="W555" s="610"/>
      <c r="X555" s="610"/>
      <c r="Y555" s="610"/>
      <c r="Z555" s="630" t="s">
        <v>399</v>
      </c>
      <c r="AA555" s="630"/>
      <c r="AB555" s="319" t="s">
        <v>337</v>
      </c>
      <c r="AC555" s="611">
        <v>2.5</v>
      </c>
      <c r="AD555" s="610"/>
      <c r="AE555" s="610"/>
      <c r="AF555" s="610"/>
      <c r="AG555" s="610"/>
      <c r="AH555" s="610"/>
      <c r="AI555" s="610"/>
      <c r="AJ555" s="611"/>
      <c r="AK555" s="612"/>
      <c r="AL555" s="610"/>
      <c r="AM555" s="610"/>
      <c r="AN555" s="610"/>
      <c r="AO555" s="610"/>
      <c r="AP555" s="610"/>
      <c r="AQ555" s="610"/>
      <c r="AR555" s="610"/>
      <c r="AS555" s="611"/>
      <c r="AT555" s="461" t="s">
        <v>182</v>
      </c>
      <c r="AU555" s="324" t="s">
        <v>845</v>
      </c>
      <c r="AV555" s="330">
        <f>SQRT(($R555-Infrastructure!J$3)^2+($S555-Infrastructure!K$3)^2)</f>
        <v>31.00121933</v>
      </c>
      <c r="AW555" s="331">
        <f>SQRT(($R555-Infrastructure!J$4)^2+($S555-Infrastructure!K$4)^2)</f>
        <v>25.6523995</v>
      </c>
      <c r="AX555" s="331">
        <f>SQRT(($R555-Infrastructure!J$5)^2+($S555-Infrastructure!K$5)^2)</f>
        <v>24.77086191</v>
      </c>
      <c r="AY555" s="331">
        <f>SQRT(($R555-Infrastructure!J$6)^2+($S555-Infrastructure!K$6)^2)</f>
        <v>16.8131972</v>
      </c>
      <c r="AZ555" s="331">
        <f>SQRT(($R555-Infrastructure!J$7)^2+($S555-Infrastructure!K$7)^2)</f>
        <v>10.04448107</v>
      </c>
      <c r="BA555" s="331">
        <f>SQRT(($R555-Infrastructure!J$8)^2+($S555-Infrastructure!K$8)^2)</f>
        <v>11.18407797</v>
      </c>
      <c r="BB555" s="331">
        <f>SQRT(($R555-Infrastructure!J$9)^2+($S555-Infrastructure!K$9)^2)</f>
        <v>16.60968392</v>
      </c>
      <c r="BC555" s="331">
        <f>SQRT(($R555-Infrastructure!J$10)^2+($S555-Infrastructure!K$10)^2)</f>
        <v>16.8170033</v>
      </c>
      <c r="BD555" s="318"/>
      <c r="BE555" s="332"/>
      <c r="BF555" s="330">
        <f t="shared" si="14"/>
        <v>10.04448107</v>
      </c>
      <c r="BG555" s="333">
        <f t="shared" si="15"/>
        <v>31.00121933</v>
      </c>
      <c r="BH555" s="613"/>
      <c r="BI555" s="462" t="s">
        <v>846</v>
      </c>
      <c r="BJ555" s="338"/>
      <c r="BK555" s="338"/>
      <c r="BL555" s="319" t="s">
        <v>846</v>
      </c>
      <c r="BM555" s="319" t="s">
        <v>846</v>
      </c>
      <c r="BN555" s="319" t="s">
        <v>846</v>
      </c>
      <c r="BO555" s="722"/>
      <c r="BP555" s="319" t="s">
        <v>846</v>
      </c>
      <c r="BQ555" s="338"/>
      <c r="BR555" s="420"/>
      <c r="BS555" s="330">
        <f t="shared" si="23"/>
        <v>10.04448107</v>
      </c>
      <c r="BT555" s="331">
        <f t="shared" si="24"/>
        <v>31.00121933</v>
      </c>
      <c r="BU555" s="331"/>
      <c r="BV555" s="333"/>
      <c r="BW555" s="614"/>
      <c r="BX555" s="615"/>
      <c r="BY555" s="331"/>
      <c r="BZ555" s="340"/>
      <c r="CA555" s="316"/>
      <c r="CB555" s="318"/>
      <c r="CC555" s="318"/>
      <c r="CD555" s="318"/>
      <c r="CE555" s="318"/>
      <c r="CF555" s="318"/>
      <c r="CG555" s="318"/>
      <c r="CH555" s="318"/>
      <c r="CI555" s="338"/>
      <c r="CJ555" s="341"/>
      <c r="CK555" s="342">
        <f t="shared" si="18"/>
        <v>0</v>
      </c>
      <c r="CL555" s="333">
        <f t="shared" si="19"/>
        <v>0</v>
      </c>
      <c r="CM555" s="616"/>
      <c r="CN555" s="617"/>
      <c r="CO555" s="617"/>
      <c r="CP555" s="617"/>
    </row>
    <row r="556">
      <c r="B556" s="462"/>
      <c r="C556" s="719">
        <v>44166.0</v>
      </c>
      <c r="D556" s="720" t="s">
        <v>986</v>
      </c>
      <c r="E556" s="603" t="s">
        <v>1228</v>
      </c>
      <c r="F556" s="619" t="str">
        <f t="shared" si="34"/>
        <v>2020/01-12A</v>
      </c>
      <c r="G556" s="721">
        <v>0.4682291666666667</v>
      </c>
      <c r="H556" s="602">
        <v>0.4682291666666667</v>
      </c>
      <c r="I556" s="602"/>
      <c r="J556" s="602"/>
      <c r="K556" s="602">
        <v>0.47309027777777773</v>
      </c>
      <c r="L556" s="602">
        <f t="shared" si="35"/>
        <v>0.004861111111</v>
      </c>
      <c r="M556" s="629" t="s">
        <v>358</v>
      </c>
      <c r="N556" s="324" t="s">
        <v>187</v>
      </c>
      <c r="O556" s="419" t="s">
        <v>202</v>
      </c>
      <c r="P556" s="319" t="s">
        <v>212</v>
      </c>
      <c r="Q556" s="630" t="s">
        <v>851</v>
      </c>
      <c r="R556" s="631">
        <v>24.04</v>
      </c>
      <c r="S556" s="661">
        <v>9.7</v>
      </c>
      <c r="T556" s="619">
        <v>0.6</v>
      </c>
      <c r="U556" s="610">
        <v>3.0</v>
      </c>
      <c r="V556" s="610"/>
      <c r="W556" s="610"/>
      <c r="X556" s="610"/>
      <c r="Y556" s="610"/>
      <c r="Z556" s="630" t="s">
        <v>399</v>
      </c>
      <c r="AA556" s="630"/>
      <c r="AB556" s="319" t="s">
        <v>329</v>
      </c>
      <c r="AC556" s="611">
        <v>1.5</v>
      </c>
      <c r="AD556" s="610"/>
      <c r="AE556" s="610"/>
      <c r="AF556" s="610"/>
      <c r="AG556" s="610"/>
      <c r="AH556" s="610"/>
      <c r="AI556" s="610"/>
      <c r="AJ556" s="611"/>
      <c r="AK556" s="612"/>
      <c r="AL556" s="610"/>
      <c r="AM556" s="610"/>
      <c r="AN556" s="610"/>
      <c r="AO556" s="610"/>
      <c r="AP556" s="610"/>
      <c r="AQ556" s="610"/>
      <c r="AR556" s="610"/>
      <c r="AS556" s="611"/>
      <c r="AT556" s="461" t="s">
        <v>182</v>
      </c>
      <c r="AU556" s="324" t="s">
        <v>846</v>
      </c>
      <c r="AV556" s="330">
        <f>SQRT(($R556-Infrastructure!J$3)^2+($S556-Infrastructure!K$3)^2)</f>
        <v>31.00121933</v>
      </c>
      <c r="AW556" s="331">
        <f>SQRT(($R556-Infrastructure!J$4)^2+($S556-Infrastructure!K$4)^2)</f>
        <v>25.6523995</v>
      </c>
      <c r="AX556" s="331">
        <f>SQRT(($R556-Infrastructure!J$5)^2+($S556-Infrastructure!K$5)^2)</f>
        <v>24.77086191</v>
      </c>
      <c r="AY556" s="331">
        <f>SQRT(($R556-Infrastructure!J$6)^2+($S556-Infrastructure!K$6)^2)</f>
        <v>16.8131972</v>
      </c>
      <c r="AZ556" s="331">
        <f>SQRT(($R556-Infrastructure!J$7)^2+($S556-Infrastructure!K$7)^2)</f>
        <v>10.04448107</v>
      </c>
      <c r="BA556" s="331">
        <f>SQRT(($R556-Infrastructure!J$8)^2+($S556-Infrastructure!K$8)^2)</f>
        <v>11.18407797</v>
      </c>
      <c r="BB556" s="331">
        <f>SQRT(($R556-Infrastructure!J$9)^2+($S556-Infrastructure!K$9)^2)</f>
        <v>16.60968392</v>
      </c>
      <c r="BC556" s="331">
        <f>SQRT(($R556-Infrastructure!J$10)^2+($S556-Infrastructure!K$10)^2)</f>
        <v>16.8170033</v>
      </c>
      <c r="BD556" s="318"/>
      <c r="BE556" s="332"/>
      <c r="BF556" s="330">
        <f t="shared" si="14"/>
        <v>10.04448107</v>
      </c>
      <c r="BG556" s="333">
        <f t="shared" si="15"/>
        <v>31.00121933</v>
      </c>
      <c r="BH556" s="613"/>
      <c r="BI556" s="462" t="s">
        <v>846</v>
      </c>
      <c r="BJ556" s="338"/>
      <c r="BK556" s="338"/>
      <c r="BL556" s="319" t="s">
        <v>846</v>
      </c>
      <c r="BM556" s="319" t="s">
        <v>846</v>
      </c>
      <c r="BN556" s="319" t="s">
        <v>846</v>
      </c>
      <c r="BO556" s="722"/>
      <c r="BP556" s="319" t="s">
        <v>846</v>
      </c>
      <c r="BQ556" s="338"/>
      <c r="BR556" s="420"/>
      <c r="BS556" s="330">
        <f t="shared" si="23"/>
        <v>10.04448107</v>
      </c>
      <c r="BT556" s="331">
        <f t="shared" si="24"/>
        <v>31.00121933</v>
      </c>
      <c r="BU556" s="331"/>
      <c r="BV556" s="333"/>
      <c r="BW556" s="614"/>
      <c r="BX556" s="615"/>
      <c r="BY556" s="331"/>
      <c r="BZ556" s="340"/>
      <c r="CA556" s="316"/>
      <c r="CB556" s="318"/>
      <c r="CC556" s="318"/>
      <c r="CD556" s="318"/>
      <c r="CE556" s="318"/>
      <c r="CF556" s="318"/>
      <c r="CG556" s="318"/>
      <c r="CH556" s="318"/>
      <c r="CI556" s="338"/>
      <c r="CJ556" s="341"/>
      <c r="CK556" s="342">
        <f t="shared" si="18"/>
        <v>0</v>
      </c>
      <c r="CL556" s="333">
        <f t="shared" si="19"/>
        <v>0</v>
      </c>
      <c r="CM556" s="616"/>
      <c r="CN556" s="617"/>
      <c r="CO556" s="617"/>
      <c r="CP556" s="617"/>
    </row>
    <row r="557">
      <c r="B557" s="462"/>
      <c r="C557" s="719">
        <v>44166.0</v>
      </c>
      <c r="D557" s="720" t="s">
        <v>986</v>
      </c>
      <c r="E557" s="603" t="s">
        <v>1229</v>
      </c>
      <c r="F557" s="619" t="str">
        <f t="shared" si="34"/>
        <v>2020/01-12B</v>
      </c>
      <c r="G557" s="721">
        <v>0.4682291666666667</v>
      </c>
      <c r="H557" s="602">
        <v>0.4682291666666667</v>
      </c>
      <c r="I557" s="602"/>
      <c r="J557" s="602"/>
      <c r="K557" s="602">
        <v>0.47309027777777773</v>
      </c>
      <c r="L557" s="602">
        <f t="shared" si="35"/>
        <v>0.004861111111</v>
      </c>
      <c r="M557" s="629" t="s">
        <v>358</v>
      </c>
      <c r="N557" s="324" t="s">
        <v>187</v>
      </c>
      <c r="O557" s="419" t="s">
        <v>206</v>
      </c>
      <c r="P557" s="605" t="s">
        <v>218</v>
      </c>
      <c r="Q557" s="630" t="s">
        <v>851</v>
      </c>
      <c r="R557" s="631">
        <v>21.2</v>
      </c>
      <c r="S557" s="661">
        <v>8.7</v>
      </c>
      <c r="T557" s="619">
        <v>2.4</v>
      </c>
      <c r="U557" s="610">
        <v>6.5</v>
      </c>
      <c r="V557" s="610"/>
      <c r="W557" s="610"/>
      <c r="X557" s="610"/>
      <c r="Y557" s="610"/>
      <c r="Z557" s="610" t="s">
        <v>347</v>
      </c>
      <c r="AA557" s="610"/>
      <c r="AB557" s="610" t="s">
        <v>392</v>
      </c>
      <c r="AC557" s="611">
        <v>10.0</v>
      </c>
      <c r="AD557" s="610"/>
      <c r="AE557" s="610"/>
      <c r="AF557" s="610"/>
      <c r="AG557" s="610"/>
      <c r="AH557" s="610"/>
      <c r="AI557" s="610"/>
      <c r="AJ557" s="611"/>
      <c r="AK557" s="612"/>
      <c r="AL557" s="610"/>
      <c r="AM557" s="610"/>
      <c r="AN557" s="610"/>
      <c r="AO557" s="610"/>
      <c r="AP557" s="610"/>
      <c r="AQ557" s="610"/>
      <c r="AR557" s="610"/>
      <c r="AS557" s="611"/>
      <c r="AT557" s="461" t="s">
        <v>182</v>
      </c>
      <c r="AU557" s="324" t="s">
        <v>846</v>
      </c>
      <c r="AV557" s="330">
        <f>SQRT(($R557-Infrastructure!J$3)^2+($S557-Infrastructure!K$3)^2)</f>
        <v>29.50067796</v>
      </c>
      <c r="AW557" s="331">
        <f>SQRT(($R557-Infrastructure!J$4)^2+($S557-Infrastructure!K$4)^2)</f>
        <v>23.34652008</v>
      </c>
      <c r="AX557" s="331">
        <f>SQRT(($R557-Infrastructure!J$5)^2+($S557-Infrastructure!K$5)^2)</f>
        <v>21.79931192</v>
      </c>
      <c r="AY557" s="331">
        <f>SQRT(($R557-Infrastructure!J$6)^2+($S557-Infrastructure!K$6)^2)</f>
        <v>13.92012931</v>
      </c>
      <c r="AZ557" s="331">
        <f>SQRT(($R557-Infrastructure!J$7)^2+($S557-Infrastructure!K$7)^2)</f>
        <v>8.429116205</v>
      </c>
      <c r="BA557" s="331">
        <f>SQRT(($R557-Infrastructure!J$8)^2+($S557-Infrastructure!K$8)^2)</f>
        <v>12.2380554</v>
      </c>
      <c r="BB557" s="331">
        <f>SQRT(($R557-Infrastructure!J$9)^2+($S557-Infrastructure!K$9)^2)</f>
        <v>19.14157778</v>
      </c>
      <c r="BC557" s="331">
        <f>SQRT(($R557-Infrastructure!J$10)^2+($S557-Infrastructure!K$10)^2)</f>
        <v>19.82750615</v>
      </c>
      <c r="BD557" s="318"/>
      <c r="BE557" s="332"/>
      <c r="BF557" s="330">
        <f t="shared" si="14"/>
        <v>8.429116205</v>
      </c>
      <c r="BG557" s="333">
        <f t="shared" si="15"/>
        <v>29.50067796</v>
      </c>
      <c r="BH557" s="613"/>
      <c r="BI557" s="462" t="s">
        <v>846</v>
      </c>
      <c r="BJ557" s="338"/>
      <c r="BK557" s="338"/>
      <c r="BL557" s="319" t="s">
        <v>846</v>
      </c>
      <c r="BM557" s="319" t="s">
        <v>846</v>
      </c>
      <c r="BN557" s="319" t="s">
        <v>846</v>
      </c>
      <c r="BO557" s="722"/>
      <c r="BP557" s="319" t="s">
        <v>846</v>
      </c>
      <c r="BQ557" s="338"/>
      <c r="BR557" s="420"/>
      <c r="BS557" s="330">
        <f t="shared" si="23"/>
        <v>8.429116205</v>
      </c>
      <c r="BT557" s="331">
        <f t="shared" si="24"/>
        <v>29.50067796</v>
      </c>
      <c r="BU557" s="331"/>
      <c r="BV557" s="333"/>
      <c r="BW557" s="614"/>
      <c r="BX557" s="615"/>
      <c r="BY557" s="331"/>
      <c r="BZ557" s="340"/>
      <c r="CA557" s="316"/>
      <c r="CB557" s="318"/>
      <c r="CC557" s="318"/>
      <c r="CD557" s="318"/>
      <c r="CE557" s="318"/>
      <c r="CF557" s="318"/>
      <c r="CG557" s="318"/>
      <c r="CH557" s="318"/>
      <c r="CI557" s="338"/>
      <c r="CJ557" s="341"/>
      <c r="CK557" s="342">
        <f t="shared" si="18"/>
        <v>0</v>
      </c>
      <c r="CL557" s="333">
        <f t="shared" si="19"/>
        <v>0</v>
      </c>
      <c r="CM557" s="616"/>
      <c r="CN557" s="617"/>
      <c r="CO557" s="617"/>
      <c r="CP557" s="617"/>
    </row>
    <row r="558">
      <c r="B558" s="462"/>
      <c r="C558" s="719">
        <v>44166.0</v>
      </c>
      <c r="D558" s="720" t="s">
        <v>986</v>
      </c>
      <c r="E558" s="603">
        <v>13.0</v>
      </c>
      <c r="F558" s="619" t="str">
        <f t="shared" si="34"/>
        <v>2020/01-13</v>
      </c>
      <c r="G558" s="721">
        <v>0.4770833333333333</v>
      </c>
      <c r="H558" s="602">
        <v>0.4770833333333333</v>
      </c>
      <c r="I558" s="602"/>
      <c r="J558" s="602"/>
      <c r="K558" s="602">
        <v>0.48680555555555555</v>
      </c>
      <c r="L558" s="602">
        <f t="shared" si="35"/>
        <v>0.009722222222</v>
      </c>
      <c r="M558" s="629" t="s">
        <v>358</v>
      </c>
      <c r="N558" s="324" t="s">
        <v>187</v>
      </c>
      <c r="O558" s="419" t="s">
        <v>206</v>
      </c>
      <c r="P558" s="605" t="s">
        <v>218</v>
      </c>
      <c r="Q558" s="630" t="s">
        <v>851</v>
      </c>
      <c r="R558" s="631">
        <v>21.2</v>
      </c>
      <c r="S558" s="661">
        <v>8.7</v>
      </c>
      <c r="T558" s="619">
        <v>2.4</v>
      </c>
      <c r="U558" s="610">
        <v>6.5</v>
      </c>
      <c r="V558" s="610"/>
      <c r="W558" s="610"/>
      <c r="X558" s="610"/>
      <c r="Y558" s="610"/>
      <c r="Z558" s="630" t="s">
        <v>347</v>
      </c>
      <c r="AA558" s="630"/>
      <c r="AB558" s="630" t="s">
        <v>392</v>
      </c>
      <c r="AC558" s="611">
        <v>10.0</v>
      </c>
      <c r="AD558" s="610"/>
      <c r="AE558" s="610"/>
      <c r="AF558" s="610"/>
      <c r="AG558" s="610"/>
      <c r="AH558" s="610"/>
      <c r="AI558" s="610"/>
      <c r="AJ558" s="611"/>
      <c r="AK558" s="612"/>
      <c r="AL558" s="610"/>
      <c r="AM558" s="610"/>
      <c r="AN558" s="610"/>
      <c r="AO558" s="610"/>
      <c r="AP558" s="610"/>
      <c r="AQ558" s="610"/>
      <c r="AR558" s="610"/>
      <c r="AS558" s="611"/>
      <c r="AT558" s="461" t="s">
        <v>182</v>
      </c>
      <c r="AU558" s="324" t="s">
        <v>845</v>
      </c>
      <c r="AV558" s="330">
        <f>SQRT(($R558-Infrastructure!J$3)^2+($S558-Infrastructure!K$3)^2)</f>
        <v>29.50067796</v>
      </c>
      <c r="AW558" s="331">
        <f>SQRT(($R558-Infrastructure!J$4)^2+($S558-Infrastructure!K$4)^2)</f>
        <v>23.34652008</v>
      </c>
      <c r="AX558" s="331">
        <f>SQRT(($R558-Infrastructure!J$5)^2+($S558-Infrastructure!K$5)^2)</f>
        <v>21.79931192</v>
      </c>
      <c r="AY558" s="331">
        <f>SQRT(($R558-Infrastructure!J$6)^2+($S558-Infrastructure!K$6)^2)</f>
        <v>13.92012931</v>
      </c>
      <c r="AZ558" s="331">
        <f>SQRT(($R558-Infrastructure!J$7)^2+($S558-Infrastructure!K$7)^2)</f>
        <v>8.429116205</v>
      </c>
      <c r="BA558" s="331">
        <f>SQRT(($R558-Infrastructure!J$8)^2+($S558-Infrastructure!K$8)^2)</f>
        <v>12.2380554</v>
      </c>
      <c r="BB558" s="331">
        <f>SQRT(($R558-Infrastructure!J$9)^2+($S558-Infrastructure!K$9)^2)</f>
        <v>19.14157778</v>
      </c>
      <c r="BC558" s="331">
        <f>SQRT(($R558-Infrastructure!J$10)^2+($S558-Infrastructure!K$10)^2)</f>
        <v>19.82750615</v>
      </c>
      <c r="BD558" s="318"/>
      <c r="BE558" s="332"/>
      <c r="BF558" s="330">
        <f t="shared" si="14"/>
        <v>8.429116205</v>
      </c>
      <c r="BG558" s="333">
        <f t="shared" si="15"/>
        <v>29.50067796</v>
      </c>
      <c r="BH558" s="613"/>
      <c r="BI558" s="316"/>
      <c r="BJ558" s="338"/>
      <c r="BK558" s="338"/>
      <c r="BL558" s="319" t="s">
        <v>846</v>
      </c>
      <c r="BM558" s="319" t="s">
        <v>846</v>
      </c>
      <c r="BN558" s="318"/>
      <c r="BO558" s="722"/>
      <c r="BP558" s="318"/>
      <c r="BQ558" s="338"/>
      <c r="BR558" s="420"/>
      <c r="BS558" s="330">
        <f t="shared" si="23"/>
        <v>8.429116205</v>
      </c>
      <c r="BT558" s="331">
        <f t="shared" si="24"/>
        <v>13.92012931</v>
      </c>
      <c r="BU558" s="331"/>
      <c r="BV558" s="333"/>
      <c r="BW558" s="614"/>
      <c r="BX558" s="615"/>
      <c r="BY558" s="331"/>
      <c r="BZ558" s="340"/>
      <c r="CA558" s="316"/>
      <c r="CB558" s="318"/>
      <c r="CC558" s="318"/>
      <c r="CD558" s="318"/>
      <c r="CE558" s="318"/>
      <c r="CF558" s="318"/>
      <c r="CG558" s="318"/>
      <c r="CH558" s="318"/>
      <c r="CI558" s="338"/>
      <c r="CJ558" s="341"/>
      <c r="CK558" s="342">
        <f t="shared" si="18"/>
        <v>0</v>
      </c>
      <c r="CL558" s="333">
        <f t="shared" si="19"/>
        <v>0</v>
      </c>
      <c r="CM558" s="616"/>
      <c r="CN558" s="617"/>
      <c r="CO558" s="617"/>
      <c r="CP558" s="617"/>
    </row>
    <row r="559">
      <c r="B559" s="462"/>
      <c r="C559" s="719">
        <v>44166.0</v>
      </c>
      <c r="D559" s="720" t="s">
        <v>986</v>
      </c>
      <c r="E559" s="603">
        <v>14.0</v>
      </c>
      <c r="F559" s="619" t="str">
        <f t="shared" si="34"/>
        <v>2020/01-14</v>
      </c>
      <c r="G559" s="721">
        <v>0.5973958333333333</v>
      </c>
      <c r="H559" s="602">
        <v>0.5973958333333333</v>
      </c>
      <c r="I559" s="602"/>
      <c r="J559" s="602"/>
      <c r="K559" s="602">
        <v>0.6031828703703704</v>
      </c>
      <c r="L559" s="602">
        <f t="shared" si="35"/>
        <v>0.005787037037</v>
      </c>
      <c r="M559" s="629" t="s">
        <v>358</v>
      </c>
      <c r="N559" s="324" t="s">
        <v>187</v>
      </c>
      <c r="O559" s="419" t="s">
        <v>206</v>
      </c>
      <c r="P559" s="605" t="s">
        <v>218</v>
      </c>
      <c r="Q559" s="630" t="s">
        <v>851</v>
      </c>
      <c r="R559" s="631">
        <v>21.2</v>
      </c>
      <c r="S559" s="661">
        <v>8.7</v>
      </c>
      <c r="T559" s="619">
        <v>2.4</v>
      </c>
      <c r="U559" s="610">
        <v>3.75</v>
      </c>
      <c r="V559" s="610"/>
      <c r="W559" s="610"/>
      <c r="X559" s="610"/>
      <c r="Y559" s="610"/>
      <c r="Z559" s="610" t="s">
        <v>347</v>
      </c>
      <c r="AA559" s="610"/>
      <c r="AB559" s="610" t="s">
        <v>384</v>
      </c>
      <c r="AC559" s="611">
        <v>6.0</v>
      </c>
      <c r="AD559" s="610"/>
      <c r="AE559" s="610"/>
      <c r="AF559" s="610"/>
      <c r="AG559" s="610"/>
      <c r="AH559" s="610"/>
      <c r="AI559" s="610"/>
      <c r="AJ559" s="611"/>
      <c r="AK559" s="612"/>
      <c r="AL559" s="610"/>
      <c r="AM559" s="610"/>
      <c r="AN559" s="610"/>
      <c r="AO559" s="610"/>
      <c r="AP559" s="610"/>
      <c r="AQ559" s="610"/>
      <c r="AR559" s="610"/>
      <c r="AS559" s="611"/>
      <c r="AT559" s="461" t="s">
        <v>182</v>
      </c>
      <c r="AU559" s="324" t="s">
        <v>845</v>
      </c>
      <c r="AV559" s="330">
        <f>SQRT(($R559-Infrastructure!J$3)^2+($S559-Infrastructure!K$3)^2)</f>
        <v>29.50067796</v>
      </c>
      <c r="AW559" s="331">
        <f>SQRT(($R559-Infrastructure!J$4)^2+($S559-Infrastructure!K$4)^2)</f>
        <v>23.34652008</v>
      </c>
      <c r="AX559" s="331">
        <f>SQRT(($R559-Infrastructure!J$5)^2+($S559-Infrastructure!K$5)^2)</f>
        <v>21.79931192</v>
      </c>
      <c r="AY559" s="331">
        <f>SQRT(($R559-Infrastructure!J$6)^2+($S559-Infrastructure!K$6)^2)</f>
        <v>13.92012931</v>
      </c>
      <c r="AZ559" s="331">
        <f>SQRT(($R559-Infrastructure!J$7)^2+($S559-Infrastructure!K$7)^2)</f>
        <v>8.429116205</v>
      </c>
      <c r="BA559" s="331">
        <f>SQRT(($R559-Infrastructure!J$8)^2+($S559-Infrastructure!K$8)^2)</f>
        <v>12.2380554</v>
      </c>
      <c r="BB559" s="331">
        <f>SQRT(($R559-Infrastructure!J$9)^2+($S559-Infrastructure!K$9)^2)</f>
        <v>19.14157778</v>
      </c>
      <c r="BC559" s="331">
        <f>SQRT(($R559-Infrastructure!J$10)^2+($S559-Infrastructure!K$10)^2)</f>
        <v>19.82750615</v>
      </c>
      <c r="BD559" s="318"/>
      <c r="BE559" s="332"/>
      <c r="BF559" s="330">
        <f t="shared" si="14"/>
        <v>8.429116205</v>
      </c>
      <c r="BG559" s="333">
        <f t="shared" si="15"/>
        <v>29.50067796</v>
      </c>
      <c r="BH559" s="613"/>
      <c r="BI559" s="316"/>
      <c r="BJ559" s="338"/>
      <c r="BK559" s="338"/>
      <c r="BL559" s="319"/>
      <c r="BM559" s="319" t="s">
        <v>846</v>
      </c>
      <c r="BN559" s="318"/>
      <c r="BO559" s="722"/>
      <c r="BP559" s="318"/>
      <c r="BQ559" s="338"/>
      <c r="BR559" s="420"/>
      <c r="BS559" s="330">
        <f t="shared" si="23"/>
        <v>8.429116205</v>
      </c>
      <c r="BT559" s="331">
        <f t="shared" si="24"/>
        <v>8.429116205</v>
      </c>
      <c r="BU559" s="331"/>
      <c r="BV559" s="333"/>
      <c r="BW559" s="614"/>
      <c r="BX559" s="615"/>
      <c r="BY559" s="331"/>
      <c r="BZ559" s="340"/>
      <c r="CA559" s="316"/>
      <c r="CB559" s="318"/>
      <c r="CC559" s="318"/>
      <c r="CD559" s="318"/>
      <c r="CE559" s="318"/>
      <c r="CF559" s="318"/>
      <c r="CG559" s="318"/>
      <c r="CH559" s="318"/>
      <c r="CI559" s="338"/>
      <c r="CJ559" s="341"/>
      <c r="CK559" s="342">
        <f t="shared" si="18"/>
        <v>0</v>
      </c>
      <c r="CL559" s="333">
        <f t="shared" si="19"/>
        <v>0</v>
      </c>
      <c r="CM559" s="616"/>
      <c r="CN559" s="617"/>
      <c r="CO559" s="617"/>
      <c r="CP559" s="617"/>
    </row>
    <row r="560">
      <c r="B560" s="462"/>
      <c r="C560" s="719">
        <v>44166.0</v>
      </c>
      <c r="D560" s="720" t="s">
        <v>986</v>
      </c>
      <c r="E560" s="603">
        <v>15.0</v>
      </c>
      <c r="F560" s="619" t="str">
        <f t="shared" si="34"/>
        <v>2020/01-15</v>
      </c>
      <c r="G560" s="721">
        <v>0.6088541666666667</v>
      </c>
      <c r="H560" s="602">
        <v>0.6088541666666667</v>
      </c>
      <c r="I560" s="602"/>
      <c r="J560" s="602"/>
      <c r="K560" s="602">
        <v>0.6118055555555556</v>
      </c>
      <c r="L560" s="602">
        <f t="shared" si="35"/>
        <v>0.002951388889</v>
      </c>
      <c r="M560" s="629" t="s">
        <v>358</v>
      </c>
      <c r="N560" s="324" t="s">
        <v>187</v>
      </c>
      <c r="O560" s="419" t="s">
        <v>206</v>
      </c>
      <c r="P560" s="605" t="s">
        <v>218</v>
      </c>
      <c r="Q560" s="630" t="s">
        <v>851</v>
      </c>
      <c r="R560" s="631">
        <v>21.2</v>
      </c>
      <c r="S560" s="661">
        <v>8.7</v>
      </c>
      <c r="T560" s="619">
        <v>2.4</v>
      </c>
      <c r="U560" s="610">
        <v>1.5</v>
      </c>
      <c r="V560" s="610"/>
      <c r="W560" s="610"/>
      <c r="X560" s="610"/>
      <c r="Y560" s="610"/>
      <c r="Z560" s="610" t="s">
        <v>347</v>
      </c>
      <c r="AA560" s="610"/>
      <c r="AB560" s="610" t="s">
        <v>380</v>
      </c>
      <c r="AC560" s="611">
        <v>4.0</v>
      </c>
      <c r="AD560" s="610"/>
      <c r="AE560" s="610"/>
      <c r="AF560" s="610"/>
      <c r="AG560" s="610"/>
      <c r="AH560" s="610"/>
      <c r="AI560" s="610"/>
      <c r="AJ560" s="611"/>
      <c r="AK560" s="612"/>
      <c r="AL560" s="610"/>
      <c r="AM560" s="610"/>
      <c r="AN560" s="610"/>
      <c r="AO560" s="610"/>
      <c r="AP560" s="610"/>
      <c r="AQ560" s="610"/>
      <c r="AR560" s="610"/>
      <c r="AS560" s="611"/>
      <c r="AT560" s="461" t="s">
        <v>182</v>
      </c>
      <c r="AU560" s="324" t="s">
        <v>845</v>
      </c>
      <c r="AV560" s="330">
        <f>SQRT(($R560-Infrastructure!J$3)^2+($S560-Infrastructure!K$3)^2)</f>
        <v>29.50067796</v>
      </c>
      <c r="AW560" s="331">
        <f>SQRT(($R560-Infrastructure!J$4)^2+($S560-Infrastructure!K$4)^2)</f>
        <v>23.34652008</v>
      </c>
      <c r="AX560" s="331">
        <f>SQRT(($R560-Infrastructure!J$5)^2+($S560-Infrastructure!K$5)^2)</f>
        <v>21.79931192</v>
      </c>
      <c r="AY560" s="331">
        <f>SQRT(($R560-Infrastructure!J$6)^2+($S560-Infrastructure!K$6)^2)</f>
        <v>13.92012931</v>
      </c>
      <c r="AZ560" s="331">
        <f>SQRT(($R560-Infrastructure!J$7)^2+($S560-Infrastructure!K$7)^2)</f>
        <v>8.429116205</v>
      </c>
      <c r="BA560" s="331">
        <f>SQRT(($R560-Infrastructure!J$8)^2+($S560-Infrastructure!K$8)^2)</f>
        <v>12.2380554</v>
      </c>
      <c r="BB560" s="331">
        <f>SQRT(($R560-Infrastructure!J$9)^2+($S560-Infrastructure!K$9)^2)</f>
        <v>19.14157778</v>
      </c>
      <c r="BC560" s="331">
        <f>SQRT(($R560-Infrastructure!J$10)^2+($S560-Infrastructure!K$10)^2)</f>
        <v>19.82750615</v>
      </c>
      <c r="BD560" s="318"/>
      <c r="BE560" s="332"/>
      <c r="BF560" s="330">
        <f t="shared" si="14"/>
        <v>8.429116205</v>
      </c>
      <c r="BG560" s="333">
        <f t="shared" si="15"/>
        <v>29.50067796</v>
      </c>
      <c r="BH560" s="613"/>
      <c r="BI560" s="316"/>
      <c r="BJ560" s="338"/>
      <c r="BK560" s="338"/>
      <c r="BL560" s="319"/>
      <c r="BM560" s="318"/>
      <c r="BN560" s="318"/>
      <c r="BO560" s="722"/>
      <c r="BP560" s="318"/>
      <c r="BQ560" s="338"/>
      <c r="BR560" s="420"/>
      <c r="BS560" s="330">
        <f t="shared" si="23"/>
        <v>0</v>
      </c>
      <c r="BT560" s="331">
        <f t="shared" si="24"/>
        <v>0</v>
      </c>
      <c r="BU560" s="331"/>
      <c r="BV560" s="333"/>
      <c r="BW560" s="614"/>
      <c r="BX560" s="615"/>
      <c r="BY560" s="331"/>
      <c r="BZ560" s="340"/>
      <c r="CA560" s="316"/>
      <c r="CB560" s="318"/>
      <c r="CC560" s="318"/>
      <c r="CD560" s="318"/>
      <c r="CE560" s="318"/>
      <c r="CF560" s="318"/>
      <c r="CG560" s="318"/>
      <c r="CH560" s="318"/>
      <c r="CI560" s="338"/>
      <c r="CJ560" s="341"/>
      <c r="CK560" s="342">
        <f t="shared" si="18"/>
        <v>0</v>
      </c>
      <c r="CL560" s="333">
        <f t="shared" si="19"/>
        <v>0</v>
      </c>
      <c r="CM560" s="616"/>
      <c r="CN560" s="617"/>
      <c r="CO560" s="617"/>
      <c r="CP560" s="617"/>
    </row>
    <row r="561">
      <c r="B561" s="462"/>
      <c r="C561" s="719">
        <v>44166.0</v>
      </c>
      <c r="D561" s="720" t="s">
        <v>986</v>
      </c>
      <c r="E561" s="603">
        <v>16.0</v>
      </c>
      <c r="F561" s="619" t="str">
        <f t="shared" si="34"/>
        <v>2020/01-16</v>
      </c>
      <c r="G561" s="721">
        <v>0.6135416666666667</v>
      </c>
      <c r="H561" s="602">
        <v>0.6135416666666667</v>
      </c>
      <c r="I561" s="602"/>
      <c r="J561" s="602"/>
      <c r="K561" s="602">
        <v>0.6166666666666667</v>
      </c>
      <c r="L561" s="602">
        <f t="shared" si="35"/>
        <v>0.003125</v>
      </c>
      <c r="M561" s="629" t="s">
        <v>358</v>
      </c>
      <c r="N561" s="324" t="s">
        <v>187</v>
      </c>
      <c r="O561" s="419" t="s">
        <v>206</v>
      </c>
      <c r="P561" s="605" t="s">
        <v>218</v>
      </c>
      <c r="Q561" s="630" t="s">
        <v>851</v>
      </c>
      <c r="R561" s="631">
        <v>21.2</v>
      </c>
      <c r="S561" s="661">
        <v>8.7</v>
      </c>
      <c r="T561" s="619">
        <v>2.4</v>
      </c>
      <c r="U561" s="610">
        <v>1.0</v>
      </c>
      <c r="V561" s="610"/>
      <c r="W561" s="610"/>
      <c r="X561" s="610"/>
      <c r="Y561" s="610"/>
      <c r="Z561" s="610" t="s">
        <v>347</v>
      </c>
      <c r="AA561" s="610"/>
      <c r="AB561" s="610" t="s">
        <v>380</v>
      </c>
      <c r="AC561" s="611">
        <v>4.0</v>
      </c>
      <c r="AD561" s="610"/>
      <c r="AE561" s="610"/>
      <c r="AF561" s="610"/>
      <c r="AG561" s="610"/>
      <c r="AH561" s="610"/>
      <c r="AI561" s="610"/>
      <c r="AJ561" s="611"/>
      <c r="AK561" s="612"/>
      <c r="AL561" s="610"/>
      <c r="AM561" s="610"/>
      <c r="AN561" s="610"/>
      <c r="AO561" s="610"/>
      <c r="AP561" s="610"/>
      <c r="AQ561" s="610"/>
      <c r="AR561" s="610"/>
      <c r="AS561" s="611"/>
      <c r="AT561" s="461" t="s">
        <v>182</v>
      </c>
      <c r="AU561" s="324" t="s">
        <v>845</v>
      </c>
      <c r="AV561" s="330">
        <f>SQRT(($R561-Infrastructure!J$3)^2+($S561-Infrastructure!K$3)^2)</f>
        <v>29.50067796</v>
      </c>
      <c r="AW561" s="331">
        <f>SQRT(($R561-Infrastructure!J$4)^2+($S561-Infrastructure!K$4)^2)</f>
        <v>23.34652008</v>
      </c>
      <c r="AX561" s="331">
        <f>SQRT(($R561-Infrastructure!J$5)^2+($S561-Infrastructure!K$5)^2)</f>
        <v>21.79931192</v>
      </c>
      <c r="AY561" s="331">
        <f>SQRT(($R561-Infrastructure!J$6)^2+($S561-Infrastructure!K$6)^2)</f>
        <v>13.92012931</v>
      </c>
      <c r="AZ561" s="331">
        <f>SQRT(($R561-Infrastructure!J$7)^2+($S561-Infrastructure!K$7)^2)</f>
        <v>8.429116205</v>
      </c>
      <c r="BA561" s="331">
        <f>SQRT(($R561-Infrastructure!J$8)^2+($S561-Infrastructure!K$8)^2)</f>
        <v>12.2380554</v>
      </c>
      <c r="BB561" s="331">
        <f>SQRT(($R561-Infrastructure!J$9)^2+($S561-Infrastructure!K$9)^2)</f>
        <v>19.14157778</v>
      </c>
      <c r="BC561" s="331">
        <f>SQRT(($R561-Infrastructure!J$10)^2+($S561-Infrastructure!K$10)^2)</f>
        <v>19.82750615</v>
      </c>
      <c r="BD561" s="318"/>
      <c r="BE561" s="332"/>
      <c r="BF561" s="330">
        <f t="shared" si="14"/>
        <v>8.429116205</v>
      </c>
      <c r="BG561" s="333">
        <f t="shared" si="15"/>
        <v>29.50067796</v>
      </c>
      <c r="BH561" s="613"/>
      <c r="BI561" s="316"/>
      <c r="BJ561" s="338"/>
      <c r="BK561" s="338"/>
      <c r="BL561" s="319"/>
      <c r="BM561" s="318"/>
      <c r="BN561" s="318"/>
      <c r="BO561" s="722"/>
      <c r="BP561" s="318"/>
      <c r="BQ561" s="338"/>
      <c r="BR561" s="420"/>
      <c r="BS561" s="330">
        <f t="shared" si="23"/>
        <v>0</v>
      </c>
      <c r="BT561" s="331">
        <f t="shared" si="24"/>
        <v>0</v>
      </c>
      <c r="BU561" s="331"/>
      <c r="BV561" s="333"/>
      <c r="BW561" s="614"/>
      <c r="BX561" s="615"/>
      <c r="BY561" s="331"/>
      <c r="BZ561" s="340"/>
      <c r="CA561" s="316"/>
      <c r="CB561" s="318"/>
      <c r="CC561" s="318"/>
      <c r="CD561" s="318"/>
      <c r="CE561" s="318"/>
      <c r="CF561" s="318"/>
      <c r="CG561" s="318"/>
      <c r="CH561" s="318"/>
      <c r="CI561" s="338"/>
      <c r="CJ561" s="341"/>
      <c r="CK561" s="342">
        <f t="shared" si="18"/>
        <v>0</v>
      </c>
      <c r="CL561" s="333">
        <f t="shared" si="19"/>
        <v>0</v>
      </c>
      <c r="CM561" s="616"/>
      <c r="CN561" s="617"/>
      <c r="CO561" s="617"/>
      <c r="CP561" s="617"/>
    </row>
    <row r="562">
      <c r="B562" s="462"/>
      <c r="C562" s="719">
        <v>44166.0</v>
      </c>
      <c r="D562" s="720" t="s">
        <v>986</v>
      </c>
      <c r="E562" s="603">
        <v>17.0</v>
      </c>
      <c r="F562" s="619" t="str">
        <f t="shared" si="34"/>
        <v>2020/01-17</v>
      </c>
      <c r="G562" s="721">
        <v>0.6243055555555556</v>
      </c>
      <c r="H562" s="602">
        <v>0.6243055555555556</v>
      </c>
      <c r="I562" s="602"/>
      <c r="J562" s="602"/>
      <c r="K562" s="602">
        <v>0.6263888888888889</v>
      </c>
      <c r="L562" s="602">
        <f t="shared" si="35"/>
        <v>0.002083333333</v>
      </c>
      <c r="M562" s="629" t="s">
        <v>358</v>
      </c>
      <c r="N562" s="324" t="s">
        <v>187</v>
      </c>
      <c r="O562" s="419" t="s">
        <v>198</v>
      </c>
      <c r="P562" s="603" t="s">
        <v>213</v>
      </c>
      <c r="Q562" s="630" t="s">
        <v>851</v>
      </c>
      <c r="R562" s="631">
        <v>10.5</v>
      </c>
      <c r="S562" s="661">
        <v>10.9</v>
      </c>
      <c r="T562" s="619">
        <v>3.2</v>
      </c>
      <c r="U562" s="610">
        <v>6.5</v>
      </c>
      <c r="V562" s="610"/>
      <c r="W562" s="610"/>
      <c r="X562" s="610"/>
      <c r="Y562" s="610"/>
      <c r="Z562" s="610" t="s">
        <v>343</v>
      </c>
      <c r="AA562" s="610"/>
      <c r="AB562" s="630" t="s">
        <v>388</v>
      </c>
      <c r="AC562" s="611">
        <v>8.0</v>
      </c>
      <c r="AD562" s="610"/>
      <c r="AE562" s="610"/>
      <c r="AF562" s="610"/>
      <c r="AG562" s="610"/>
      <c r="AH562" s="610"/>
      <c r="AI562" s="610"/>
      <c r="AJ562" s="611"/>
      <c r="AK562" s="612"/>
      <c r="AL562" s="610"/>
      <c r="AM562" s="610"/>
      <c r="AN562" s="610"/>
      <c r="AO562" s="610"/>
      <c r="AP562" s="610"/>
      <c r="AQ562" s="610"/>
      <c r="AR562" s="610"/>
      <c r="AS562" s="611"/>
      <c r="AT562" s="461" t="s">
        <v>182</v>
      </c>
      <c r="AU562" s="324" t="s">
        <v>845</v>
      </c>
      <c r="AV562" s="330">
        <f>SQRT(($R562-Infrastructure!J$3)^2+($S562-Infrastructure!K$3)^2)</f>
        <v>20.99142682</v>
      </c>
      <c r="AW562" s="331">
        <f>SQRT(($R562-Infrastructure!J$4)^2+($S562-Infrastructure!K$4)^2)</f>
        <v>12.81600562</v>
      </c>
      <c r="AX562" s="331">
        <f>SQRT(($R562-Infrastructure!J$5)^2+($S562-Infrastructure!K$5)^2)</f>
        <v>12.25887434</v>
      </c>
      <c r="AY562" s="331">
        <f>SQRT(($R562-Infrastructure!J$6)^2+($S562-Infrastructure!K$6)^2)</f>
        <v>10.60754448</v>
      </c>
      <c r="AZ562" s="331">
        <f>SQRT(($R562-Infrastructure!J$7)^2+($S562-Infrastructure!K$7)^2)</f>
        <v>14.57257699</v>
      </c>
      <c r="BA562" s="331">
        <f>SQRT(($R562-Infrastructure!J$8)^2+($S562-Infrastructure!K$8)^2)</f>
        <v>22.28272874</v>
      </c>
      <c r="BB562" s="331">
        <f>SQRT(($R562-Infrastructure!J$9)^2+($S562-Infrastructure!K$9)^2)</f>
        <v>30.06476343</v>
      </c>
      <c r="BC562" s="331">
        <f>SQRT(($R562-Infrastructure!J$10)^2+($S562-Infrastructure!K$10)^2)</f>
        <v>29.78355251</v>
      </c>
      <c r="BD562" s="318"/>
      <c r="BE562" s="332"/>
      <c r="BF562" s="330">
        <f t="shared" si="14"/>
        <v>10.60754448</v>
      </c>
      <c r="BG562" s="333">
        <f t="shared" si="15"/>
        <v>30.06476343</v>
      </c>
      <c r="BH562" s="613"/>
      <c r="BI562" s="316"/>
      <c r="BJ562" s="338"/>
      <c r="BK562" s="338"/>
      <c r="BL562" s="319"/>
      <c r="BM562" s="318"/>
      <c r="BN562" s="318"/>
      <c r="BO562" s="722"/>
      <c r="BP562" s="318"/>
      <c r="BQ562" s="338"/>
      <c r="BR562" s="420"/>
      <c r="BS562" s="330">
        <f t="shared" si="23"/>
        <v>0</v>
      </c>
      <c r="BT562" s="331">
        <f t="shared" si="24"/>
        <v>0</v>
      </c>
      <c r="BU562" s="331"/>
      <c r="BV562" s="333"/>
      <c r="BW562" s="614"/>
      <c r="BX562" s="615"/>
      <c r="BY562" s="331"/>
      <c r="BZ562" s="340"/>
      <c r="CA562" s="316"/>
      <c r="CB562" s="318"/>
      <c r="CC562" s="318"/>
      <c r="CD562" s="318"/>
      <c r="CE562" s="318"/>
      <c r="CF562" s="318"/>
      <c r="CG562" s="318"/>
      <c r="CH562" s="318"/>
      <c r="CI562" s="338"/>
      <c r="CJ562" s="341"/>
      <c r="CK562" s="342">
        <f t="shared" si="18"/>
        <v>0</v>
      </c>
      <c r="CL562" s="333">
        <f t="shared" si="19"/>
        <v>0</v>
      </c>
      <c r="CM562" s="616"/>
      <c r="CN562" s="617"/>
      <c r="CO562" s="617"/>
      <c r="CP562" s="617"/>
    </row>
    <row r="563">
      <c r="B563" s="462"/>
      <c r="C563" s="719">
        <v>44166.0</v>
      </c>
      <c r="D563" s="720" t="s">
        <v>986</v>
      </c>
      <c r="E563" s="603">
        <v>18.0</v>
      </c>
      <c r="F563" s="619" t="str">
        <f t="shared" si="34"/>
        <v>2020/01-18</v>
      </c>
      <c r="G563" s="721">
        <v>0.6295138888888888</v>
      </c>
      <c r="H563" s="602">
        <v>0.6295138888888888</v>
      </c>
      <c r="I563" s="602"/>
      <c r="J563" s="602"/>
      <c r="K563" s="602">
        <v>0.6322916666666667</v>
      </c>
      <c r="L563" s="602">
        <f t="shared" si="35"/>
        <v>0.002777777778</v>
      </c>
      <c r="M563" s="629" t="s">
        <v>358</v>
      </c>
      <c r="N563" s="324" t="s">
        <v>187</v>
      </c>
      <c r="O563" s="419" t="s">
        <v>198</v>
      </c>
      <c r="P563" s="700" t="s">
        <v>213</v>
      </c>
      <c r="Q563" s="630" t="s">
        <v>851</v>
      </c>
      <c r="R563" s="631">
        <v>10.5</v>
      </c>
      <c r="S563" s="661">
        <v>10.9</v>
      </c>
      <c r="T563" s="619">
        <v>3.2</v>
      </c>
      <c r="U563" s="610">
        <v>3.75</v>
      </c>
      <c r="V563" s="610"/>
      <c r="W563" s="610"/>
      <c r="X563" s="610"/>
      <c r="Y563" s="610"/>
      <c r="Z563" s="630" t="s">
        <v>343</v>
      </c>
      <c r="AA563" s="630"/>
      <c r="AB563" s="630" t="s">
        <v>384</v>
      </c>
      <c r="AC563" s="611">
        <v>6.0</v>
      </c>
      <c r="AD563" s="610"/>
      <c r="AE563" s="610"/>
      <c r="AF563" s="610"/>
      <c r="AG563" s="610"/>
      <c r="AH563" s="610"/>
      <c r="AI563" s="610"/>
      <c r="AJ563" s="611"/>
      <c r="AK563" s="612"/>
      <c r="AL563" s="610"/>
      <c r="AM563" s="610"/>
      <c r="AN563" s="610"/>
      <c r="AO563" s="610"/>
      <c r="AP563" s="610"/>
      <c r="AQ563" s="610"/>
      <c r="AR563" s="610"/>
      <c r="AS563" s="611"/>
      <c r="AT563" s="461" t="s">
        <v>182</v>
      </c>
      <c r="AU563" s="324" t="s">
        <v>845</v>
      </c>
      <c r="AV563" s="330">
        <f>SQRT(($R563-Infrastructure!J$3)^2+($S563-Infrastructure!K$3)^2)</f>
        <v>20.99142682</v>
      </c>
      <c r="AW563" s="331">
        <f>SQRT(($R563-Infrastructure!J$4)^2+($S563-Infrastructure!K$4)^2)</f>
        <v>12.81600562</v>
      </c>
      <c r="AX563" s="331">
        <f>SQRT(($R563-Infrastructure!J$5)^2+($S563-Infrastructure!K$5)^2)</f>
        <v>12.25887434</v>
      </c>
      <c r="AY563" s="331">
        <f>SQRT(($R563-Infrastructure!J$6)^2+($S563-Infrastructure!K$6)^2)</f>
        <v>10.60754448</v>
      </c>
      <c r="AZ563" s="331">
        <f>SQRT(($R563-Infrastructure!J$7)^2+($S563-Infrastructure!K$7)^2)</f>
        <v>14.57257699</v>
      </c>
      <c r="BA563" s="331">
        <f>SQRT(($R563-Infrastructure!J$8)^2+($S563-Infrastructure!K$8)^2)</f>
        <v>22.28272874</v>
      </c>
      <c r="BB563" s="331">
        <f>SQRT(($R563-Infrastructure!J$9)^2+($S563-Infrastructure!K$9)^2)</f>
        <v>30.06476343</v>
      </c>
      <c r="BC563" s="331">
        <f>SQRT(($R563-Infrastructure!J$10)^2+($S563-Infrastructure!K$10)^2)</f>
        <v>29.78355251</v>
      </c>
      <c r="BD563" s="318"/>
      <c r="BE563" s="332"/>
      <c r="BF563" s="330">
        <f t="shared" si="14"/>
        <v>10.60754448</v>
      </c>
      <c r="BG563" s="333">
        <f t="shared" si="15"/>
        <v>30.06476343</v>
      </c>
      <c r="BH563" s="613"/>
      <c r="BI563" s="316"/>
      <c r="BJ563" s="338"/>
      <c r="BK563" s="338"/>
      <c r="BL563" s="319"/>
      <c r="BM563" s="318"/>
      <c r="BN563" s="318"/>
      <c r="BO563" s="722"/>
      <c r="BP563" s="318"/>
      <c r="BQ563" s="338"/>
      <c r="BR563" s="420"/>
      <c r="BS563" s="330">
        <f t="shared" si="23"/>
        <v>0</v>
      </c>
      <c r="BT563" s="331">
        <f t="shared" si="24"/>
        <v>0</v>
      </c>
      <c r="BU563" s="331"/>
      <c r="BV563" s="333"/>
      <c r="BW563" s="614"/>
      <c r="BX563" s="615"/>
      <c r="BY563" s="331"/>
      <c r="BZ563" s="340"/>
      <c r="CA563" s="316"/>
      <c r="CB563" s="318"/>
      <c r="CC563" s="318"/>
      <c r="CD563" s="318"/>
      <c r="CE563" s="318"/>
      <c r="CF563" s="318"/>
      <c r="CG563" s="318"/>
      <c r="CH563" s="318"/>
      <c r="CI563" s="338"/>
      <c r="CJ563" s="341"/>
      <c r="CK563" s="342">
        <f t="shared" si="18"/>
        <v>0</v>
      </c>
      <c r="CL563" s="333">
        <f t="shared" si="19"/>
        <v>0</v>
      </c>
      <c r="CM563" s="616"/>
      <c r="CN563" s="617"/>
      <c r="CO563" s="617"/>
      <c r="CP563" s="617"/>
    </row>
    <row r="564">
      <c r="B564" s="462"/>
      <c r="C564" s="719">
        <v>44166.0</v>
      </c>
      <c r="D564" s="720" t="s">
        <v>986</v>
      </c>
      <c r="E564" s="603">
        <v>19.0</v>
      </c>
      <c r="F564" s="619" t="str">
        <f t="shared" si="34"/>
        <v>2020/01-19</v>
      </c>
      <c r="G564" s="721">
        <v>0.6347222222222222</v>
      </c>
      <c r="H564" s="602">
        <v>0.6347222222222222</v>
      </c>
      <c r="I564" s="602"/>
      <c r="J564" s="602"/>
      <c r="K564" s="602">
        <v>0.6368055555555555</v>
      </c>
      <c r="L564" s="602">
        <f t="shared" si="35"/>
        <v>0.002083333333</v>
      </c>
      <c r="M564" s="629" t="s">
        <v>358</v>
      </c>
      <c r="N564" s="324" t="s">
        <v>187</v>
      </c>
      <c r="O564" s="419" t="s">
        <v>198</v>
      </c>
      <c r="P564" s="603" t="s">
        <v>213</v>
      </c>
      <c r="Q564" s="630" t="s">
        <v>851</v>
      </c>
      <c r="R564" s="631">
        <v>10.5</v>
      </c>
      <c r="S564" s="661">
        <v>10.9</v>
      </c>
      <c r="T564" s="619">
        <v>3.2</v>
      </c>
      <c r="U564" s="610">
        <v>1.5</v>
      </c>
      <c r="V564" s="610"/>
      <c r="W564" s="610"/>
      <c r="X564" s="610"/>
      <c r="Y564" s="610"/>
      <c r="Z564" s="610" t="s">
        <v>343</v>
      </c>
      <c r="AA564" s="610"/>
      <c r="AB564" s="630" t="s">
        <v>380</v>
      </c>
      <c r="AC564" s="611">
        <v>4.0</v>
      </c>
      <c r="AD564" s="610"/>
      <c r="AE564" s="610"/>
      <c r="AF564" s="610"/>
      <c r="AG564" s="610"/>
      <c r="AH564" s="610"/>
      <c r="AI564" s="610"/>
      <c r="AJ564" s="611"/>
      <c r="AK564" s="612"/>
      <c r="AL564" s="610"/>
      <c r="AM564" s="610"/>
      <c r="AN564" s="610"/>
      <c r="AO564" s="610"/>
      <c r="AP564" s="610"/>
      <c r="AQ564" s="610"/>
      <c r="AR564" s="610"/>
      <c r="AS564" s="611"/>
      <c r="AT564" s="461" t="s">
        <v>182</v>
      </c>
      <c r="AU564" s="324" t="s">
        <v>845</v>
      </c>
      <c r="AV564" s="330">
        <f>SQRT(($R564-Infrastructure!J$3)^2+($S564-Infrastructure!K$3)^2)</f>
        <v>20.99142682</v>
      </c>
      <c r="AW564" s="331">
        <f>SQRT(($R564-Infrastructure!J$4)^2+($S564-Infrastructure!K$4)^2)</f>
        <v>12.81600562</v>
      </c>
      <c r="AX564" s="331">
        <f>SQRT(($R564-Infrastructure!J$5)^2+($S564-Infrastructure!K$5)^2)</f>
        <v>12.25887434</v>
      </c>
      <c r="AY564" s="331">
        <f>SQRT(($R564-Infrastructure!J$6)^2+($S564-Infrastructure!K$6)^2)</f>
        <v>10.60754448</v>
      </c>
      <c r="AZ564" s="331">
        <f>SQRT(($R564-Infrastructure!J$7)^2+($S564-Infrastructure!K$7)^2)</f>
        <v>14.57257699</v>
      </c>
      <c r="BA564" s="331">
        <f>SQRT(($R564-Infrastructure!J$8)^2+($S564-Infrastructure!K$8)^2)</f>
        <v>22.28272874</v>
      </c>
      <c r="BB564" s="331">
        <f>SQRT(($R564-Infrastructure!J$9)^2+($S564-Infrastructure!K$9)^2)</f>
        <v>30.06476343</v>
      </c>
      <c r="BC564" s="331">
        <f>SQRT(($R564-Infrastructure!J$10)^2+($S564-Infrastructure!K$10)^2)</f>
        <v>29.78355251</v>
      </c>
      <c r="BD564" s="318"/>
      <c r="BE564" s="332"/>
      <c r="BF564" s="330">
        <f t="shared" si="14"/>
        <v>10.60754448</v>
      </c>
      <c r="BG564" s="333">
        <f t="shared" si="15"/>
        <v>30.06476343</v>
      </c>
      <c r="BH564" s="613"/>
      <c r="BI564" s="316"/>
      <c r="BJ564" s="338"/>
      <c r="BK564" s="338"/>
      <c r="BL564" s="319"/>
      <c r="BM564" s="318"/>
      <c r="BN564" s="318"/>
      <c r="BO564" s="722"/>
      <c r="BP564" s="318"/>
      <c r="BQ564" s="338"/>
      <c r="BR564" s="420"/>
      <c r="BS564" s="330">
        <f t="shared" si="23"/>
        <v>0</v>
      </c>
      <c r="BT564" s="331">
        <f t="shared" si="24"/>
        <v>0</v>
      </c>
      <c r="BU564" s="331"/>
      <c r="BV564" s="333"/>
      <c r="BW564" s="614"/>
      <c r="BX564" s="615"/>
      <c r="BY564" s="331"/>
      <c r="BZ564" s="340"/>
      <c r="CA564" s="316"/>
      <c r="CB564" s="318"/>
      <c r="CC564" s="318"/>
      <c r="CD564" s="318"/>
      <c r="CE564" s="318"/>
      <c r="CF564" s="318"/>
      <c r="CG564" s="318"/>
      <c r="CH564" s="318"/>
      <c r="CI564" s="338"/>
      <c r="CJ564" s="341"/>
      <c r="CK564" s="342">
        <f t="shared" si="18"/>
        <v>0</v>
      </c>
      <c r="CL564" s="333">
        <f t="shared" si="19"/>
        <v>0</v>
      </c>
      <c r="CM564" s="616"/>
      <c r="CN564" s="617"/>
      <c r="CO564" s="617"/>
      <c r="CP564" s="617"/>
    </row>
    <row r="565">
      <c r="B565" s="462"/>
      <c r="C565" s="719">
        <v>44166.0</v>
      </c>
      <c r="D565" s="720" t="s">
        <v>986</v>
      </c>
      <c r="E565" s="603">
        <v>20.0</v>
      </c>
      <c r="F565" s="619" t="str">
        <f t="shared" si="34"/>
        <v>2020/01-20</v>
      </c>
      <c r="G565" s="721">
        <v>0.6435763888888889</v>
      </c>
      <c r="H565" s="602">
        <v>0.6435763888888889</v>
      </c>
      <c r="I565" s="602"/>
      <c r="J565" s="602"/>
      <c r="K565" s="602">
        <v>0.6456597222222222</v>
      </c>
      <c r="L565" s="602">
        <f t="shared" si="35"/>
        <v>0.002083333333</v>
      </c>
      <c r="M565" s="629" t="s">
        <v>358</v>
      </c>
      <c r="N565" s="324" t="s">
        <v>187</v>
      </c>
      <c r="O565" s="419" t="s">
        <v>199</v>
      </c>
      <c r="P565" s="605" t="s">
        <v>220</v>
      </c>
      <c r="Q565" s="630" t="s">
        <v>851</v>
      </c>
      <c r="R565" s="631">
        <v>16.2</v>
      </c>
      <c r="S565" s="661">
        <v>9.3</v>
      </c>
      <c r="T565" s="619">
        <v>0.1</v>
      </c>
      <c r="U565" s="610">
        <v>6.4</v>
      </c>
      <c r="V565" s="610"/>
      <c r="W565" s="610"/>
      <c r="X565" s="610"/>
      <c r="Y565" s="610"/>
      <c r="Z565" s="610" t="s">
        <v>351</v>
      </c>
      <c r="AA565" s="610"/>
      <c r="AB565" s="610" t="s">
        <v>388</v>
      </c>
      <c r="AC565" s="611">
        <v>8.0</v>
      </c>
      <c r="AD565" s="610"/>
      <c r="AE565" s="610"/>
      <c r="AF565" s="610"/>
      <c r="AG565" s="610"/>
      <c r="AH565" s="610"/>
      <c r="AI565" s="610"/>
      <c r="AJ565" s="611"/>
      <c r="AK565" s="612"/>
      <c r="AL565" s="610"/>
      <c r="AM565" s="610"/>
      <c r="AN565" s="610"/>
      <c r="AO565" s="610"/>
      <c r="AP565" s="610"/>
      <c r="AQ565" s="610"/>
      <c r="AR565" s="610"/>
      <c r="AS565" s="611"/>
      <c r="AT565" s="461" t="s">
        <v>182</v>
      </c>
      <c r="AU565" s="324" t="s">
        <v>845</v>
      </c>
      <c r="AV565" s="330">
        <f>SQRT(($R565-Infrastructure!J$3)^2+($S565-Infrastructure!K$3)^2)</f>
        <v>25.6204996</v>
      </c>
      <c r="AW565" s="331">
        <f>SQRT(($R565-Infrastructure!J$4)^2+($S565-Infrastructure!K$4)^2)</f>
        <v>18.56071119</v>
      </c>
      <c r="AX565" s="331">
        <f>SQRT(($R565-Infrastructure!J$5)^2+($S565-Infrastructure!K$5)^2)</f>
        <v>17.02615635</v>
      </c>
      <c r="AY565" s="331">
        <f>SQRT(($R565-Infrastructure!J$6)^2+($S565-Infrastructure!K$6)^2)</f>
        <v>10.87244223</v>
      </c>
      <c r="AZ565" s="331">
        <f>SQRT(($R565-Infrastructure!J$7)^2+($S565-Infrastructure!K$7)^2)</f>
        <v>9.974467404</v>
      </c>
      <c r="BA565" s="331">
        <f>SQRT(($R565-Infrastructure!J$8)^2+($S565-Infrastructure!K$8)^2)</f>
        <v>16.55928742</v>
      </c>
      <c r="BB565" s="331">
        <f>SQRT(($R565-Infrastructure!J$9)^2+($S565-Infrastructure!K$9)^2)</f>
        <v>24.1677471</v>
      </c>
      <c r="BC565" s="331">
        <f>SQRT(($R565-Infrastructure!J$10)^2+($S565-Infrastructure!K$10)^2)</f>
        <v>24.4730464</v>
      </c>
      <c r="BD565" s="318"/>
      <c r="BE565" s="332"/>
      <c r="BF565" s="330">
        <f t="shared" si="14"/>
        <v>9.974467404</v>
      </c>
      <c r="BG565" s="333">
        <f t="shared" si="15"/>
        <v>25.6204996</v>
      </c>
      <c r="BH565" s="613"/>
      <c r="BI565" s="316"/>
      <c r="BJ565" s="338"/>
      <c r="BK565" s="338"/>
      <c r="BL565" s="319"/>
      <c r="BM565" s="319" t="s">
        <v>846</v>
      </c>
      <c r="BN565" s="318"/>
      <c r="BO565" s="722"/>
      <c r="BP565" s="318"/>
      <c r="BQ565" s="338"/>
      <c r="BR565" s="420"/>
      <c r="BS565" s="330">
        <f t="shared" si="23"/>
        <v>9.974467404</v>
      </c>
      <c r="BT565" s="331">
        <f t="shared" si="24"/>
        <v>9.974467404</v>
      </c>
      <c r="BU565" s="331"/>
      <c r="BV565" s="333"/>
      <c r="BW565" s="614"/>
      <c r="BX565" s="615"/>
      <c r="BY565" s="331"/>
      <c r="BZ565" s="340"/>
      <c r="CA565" s="316"/>
      <c r="CB565" s="318"/>
      <c r="CC565" s="318"/>
      <c r="CD565" s="318"/>
      <c r="CE565" s="318"/>
      <c r="CF565" s="318"/>
      <c r="CG565" s="318"/>
      <c r="CH565" s="318"/>
      <c r="CI565" s="338"/>
      <c r="CJ565" s="341"/>
      <c r="CK565" s="342">
        <f t="shared" si="18"/>
        <v>0</v>
      </c>
      <c r="CL565" s="333">
        <f t="shared" si="19"/>
        <v>0</v>
      </c>
      <c r="CM565" s="616"/>
      <c r="CN565" s="617"/>
      <c r="CO565" s="617"/>
      <c r="CP565" s="617"/>
    </row>
    <row r="566">
      <c r="B566" s="462"/>
      <c r="C566" s="719">
        <v>44166.0</v>
      </c>
      <c r="D566" s="720" t="s">
        <v>986</v>
      </c>
      <c r="E566" s="603">
        <v>21.0</v>
      </c>
      <c r="F566" s="619" t="str">
        <f t="shared" si="34"/>
        <v>2020/01-21</v>
      </c>
      <c r="G566" s="721">
        <v>0.6484375</v>
      </c>
      <c r="H566" s="602">
        <v>0.6484375</v>
      </c>
      <c r="I566" s="602"/>
      <c r="J566" s="602"/>
      <c r="K566" s="602">
        <v>0.6506944444444445</v>
      </c>
      <c r="L566" s="602">
        <f t="shared" si="35"/>
        <v>0.002256944444</v>
      </c>
      <c r="M566" s="629" t="s">
        <v>358</v>
      </c>
      <c r="N566" s="324" t="s">
        <v>187</v>
      </c>
      <c r="O566" s="419" t="s">
        <v>199</v>
      </c>
      <c r="P566" s="620" t="s">
        <v>220</v>
      </c>
      <c r="Q566" s="630" t="s">
        <v>851</v>
      </c>
      <c r="R566" s="631">
        <v>16.2</v>
      </c>
      <c r="S566" s="661">
        <v>9.3</v>
      </c>
      <c r="T566" s="619">
        <v>0.1</v>
      </c>
      <c r="U566" s="610">
        <v>3.75</v>
      </c>
      <c r="V566" s="610"/>
      <c r="W566" s="610"/>
      <c r="X566" s="610"/>
      <c r="Y566" s="610"/>
      <c r="Z566" s="610" t="s">
        <v>351</v>
      </c>
      <c r="AA566" s="610"/>
      <c r="AB566" s="610" t="s">
        <v>384</v>
      </c>
      <c r="AC566" s="611">
        <v>6.0</v>
      </c>
      <c r="AD566" s="610"/>
      <c r="AE566" s="610"/>
      <c r="AF566" s="610"/>
      <c r="AG566" s="610"/>
      <c r="AH566" s="610"/>
      <c r="AI566" s="610"/>
      <c r="AJ566" s="611"/>
      <c r="AK566" s="612"/>
      <c r="AL566" s="610"/>
      <c r="AM566" s="610"/>
      <c r="AN566" s="610"/>
      <c r="AO566" s="610"/>
      <c r="AP566" s="610"/>
      <c r="AQ566" s="610"/>
      <c r="AR566" s="610"/>
      <c r="AS566" s="611"/>
      <c r="AT566" s="461" t="s">
        <v>182</v>
      </c>
      <c r="AU566" s="324" t="s">
        <v>845</v>
      </c>
      <c r="AV566" s="330">
        <f>SQRT(($R566-Infrastructure!J$3)^2+($S566-Infrastructure!K$3)^2)</f>
        <v>25.6204996</v>
      </c>
      <c r="AW566" s="331">
        <f>SQRT(($R566-Infrastructure!J$4)^2+($S566-Infrastructure!K$4)^2)</f>
        <v>18.56071119</v>
      </c>
      <c r="AX566" s="331">
        <f>SQRT(($R566-Infrastructure!J$5)^2+($S566-Infrastructure!K$5)^2)</f>
        <v>17.02615635</v>
      </c>
      <c r="AY566" s="331">
        <f>SQRT(($R566-Infrastructure!J$6)^2+($S566-Infrastructure!K$6)^2)</f>
        <v>10.87244223</v>
      </c>
      <c r="AZ566" s="331">
        <f>SQRT(($R566-Infrastructure!J$7)^2+($S566-Infrastructure!K$7)^2)</f>
        <v>9.974467404</v>
      </c>
      <c r="BA566" s="331">
        <f>SQRT(($R566-Infrastructure!J$8)^2+($S566-Infrastructure!K$8)^2)</f>
        <v>16.55928742</v>
      </c>
      <c r="BB566" s="331">
        <f>SQRT(($R566-Infrastructure!J$9)^2+($S566-Infrastructure!K$9)^2)</f>
        <v>24.1677471</v>
      </c>
      <c r="BC566" s="331">
        <f>SQRT(($R566-Infrastructure!J$10)^2+($S566-Infrastructure!K$10)^2)</f>
        <v>24.4730464</v>
      </c>
      <c r="BD566" s="318"/>
      <c r="BE566" s="332"/>
      <c r="BF566" s="330">
        <f t="shared" si="14"/>
        <v>9.974467404</v>
      </c>
      <c r="BG566" s="333">
        <f t="shared" si="15"/>
        <v>25.6204996</v>
      </c>
      <c r="BH566" s="613"/>
      <c r="BI566" s="316"/>
      <c r="BJ566" s="338"/>
      <c r="BK566" s="338"/>
      <c r="BL566" s="319"/>
      <c r="BM566" s="318"/>
      <c r="BN566" s="318"/>
      <c r="BO566" s="722"/>
      <c r="BP566" s="318"/>
      <c r="BQ566" s="338"/>
      <c r="BR566" s="420"/>
      <c r="BS566" s="330">
        <f t="shared" si="23"/>
        <v>0</v>
      </c>
      <c r="BT566" s="331">
        <f t="shared" si="24"/>
        <v>0</v>
      </c>
      <c r="BU566" s="331"/>
      <c r="BV566" s="333"/>
      <c r="BW566" s="614"/>
      <c r="BX566" s="615"/>
      <c r="BY566" s="331"/>
      <c r="BZ566" s="340"/>
      <c r="CA566" s="316"/>
      <c r="CB566" s="318"/>
      <c r="CC566" s="318"/>
      <c r="CD566" s="318"/>
      <c r="CE566" s="318"/>
      <c r="CF566" s="318"/>
      <c r="CG566" s="318"/>
      <c r="CH566" s="318"/>
      <c r="CI566" s="338"/>
      <c r="CJ566" s="341"/>
      <c r="CK566" s="342">
        <f t="shared" si="18"/>
        <v>0</v>
      </c>
      <c r="CL566" s="333">
        <f t="shared" si="19"/>
        <v>0</v>
      </c>
      <c r="CM566" s="616"/>
      <c r="CN566" s="617"/>
      <c r="CO566" s="617"/>
      <c r="CP566" s="617"/>
    </row>
    <row r="567">
      <c r="B567" s="462"/>
      <c r="C567" s="719">
        <v>44166.0</v>
      </c>
      <c r="D567" s="720" t="s">
        <v>986</v>
      </c>
      <c r="E567" s="603">
        <v>22.0</v>
      </c>
      <c r="F567" s="619" t="str">
        <f t="shared" si="34"/>
        <v>2020/01-22</v>
      </c>
      <c r="G567" s="721">
        <v>0.6527777777777778</v>
      </c>
      <c r="H567" s="602">
        <v>0.6527777777777778</v>
      </c>
      <c r="I567" s="602"/>
      <c r="J567" s="602"/>
      <c r="K567" s="602">
        <v>0.65625</v>
      </c>
      <c r="L567" s="602">
        <f t="shared" si="35"/>
        <v>0.003472222222</v>
      </c>
      <c r="M567" s="629" t="s">
        <v>358</v>
      </c>
      <c r="N567" s="324" t="s">
        <v>187</v>
      </c>
      <c r="O567" s="419" t="s">
        <v>199</v>
      </c>
      <c r="P567" s="605" t="s">
        <v>220</v>
      </c>
      <c r="Q567" s="630" t="s">
        <v>851</v>
      </c>
      <c r="R567" s="631">
        <v>16.2</v>
      </c>
      <c r="S567" s="661">
        <v>9.3</v>
      </c>
      <c r="T567" s="619">
        <v>0.1</v>
      </c>
      <c r="U567" s="610">
        <v>1.5</v>
      </c>
      <c r="V567" s="610"/>
      <c r="W567" s="610"/>
      <c r="X567" s="610"/>
      <c r="Y567" s="610"/>
      <c r="Z567" s="610" t="s">
        <v>351</v>
      </c>
      <c r="AA567" s="610"/>
      <c r="AB567" s="610" t="s">
        <v>380</v>
      </c>
      <c r="AC567" s="611">
        <v>4.0</v>
      </c>
      <c r="AD567" s="610"/>
      <c r="AE567" s="610"/>
      <c r="AF567" s="610"/>
      <c r="AG567" s="610"/>
      <c r="AH567" s="610"/>
      <c r="AI567" s="610"/>
      <c r="AJ567" s="611"/>
      <c r="AK567" s="612"/>
      <c r="AL567" s="610"/>
      <c r="AM567" s="610"/>
      <c r="AN567" s="610"/>
      <c r="AO567" s="610"/>
      <c r="AP567" s="610"/>
      <c r="AQ567" s="610"/>
      <c r="AR567" s="610"/>
      <c r="AS567" s="611"/>
      <c r="AT567" s="461" t="s">
        <v>182</v>
      </c>
      <c r="AU567" s="324" t="s">
        <v>845</v>
      </c>
      <c r="AV567" s="330">
        <f>SQRT(($R567-Infrastructure!J$3)^2+($S567-Infrastructure!K$3)^2)</f>
        <v>25.6204996</v>
      </c>
      <c r="AW567" s="331">
        <f>SQRT(($R567-Infrastructure!J$4)^2+($S567-Infrastructure!K$4)^2)</f>
        <v>18.56071119</v>
      </c>
      <c r="AX567" s="331">
        <f>SQRT(($R567-Infrastructure!J$5)^2+($S567-Infrastructure!K$5)^2)</f>
        <v>17.02615635</v>
      </c>
      <c r="AY567" s="331">
        <f>SQRT(($R567-Infrastructure!J$6)^2+($S567-Infrastructure!K$6)^2)</f>
        <v>10.87244223</v>
      </c>
      <c r="AZ567" s="331">
        <f>SQRT(($R567-Infrastructure!J$7)^2+($S567-Infrastructure!K$7)^2)</f>
        <v>9.974467404</v>
      </c>
      <c r="BA567" s="331">
        <f>SQRT(($R567-Infrastructure!J$8)^2+($S567-Infrastructure!K$8)^2)</f>
        <v>16.55928742</v>
      </c>
      <c r="BB567" s="331">
        <f>SQRT(($R567-Infrastructure!J$9)^2+($S567-Infrastructure!K$9)^2)</f>
        <v>24.1677471</v>
      </c>
      <c r="BC567" s="331">
        <f>SQRT(($R567-Infrastructure!J$10)^2+($S567-Infrastructure!K$10)^2)</f>
        <v>24.4730464</v>
      </c>
      <c r="BD567" s="318"/>
      <c r="BE567" s="332"/>
      <c r="BF567" s="330">
        <f t="shared" si="14"/>
        <v>9.974467404</v>
      </c>
      <c r="BG567" s="333">
        <f t="shared" si="15"/>
        <v>25.6204996</v>
      </c>
      <c r="BH567" s="613"/>
      <c r="BI567" s="316"/>
      <c r="BJ567" s="338"/>
      <c r="BK567" s="338"/>
      <c r="BL567" s="319"/>
      <c r="BM567" s="318"/>
      <c r="BN567" s="318"/>
      <c r="BO567" s="722"/>
      <c r="BP567" s="318"/>
      <c r="BQ567" s="338"/>
      <c r="BR567" s="420"/>
      <c r="BS567" s="330">
        <f t="shared" si="23"/>
        <v>0</v>
      </c>
      <c r="BT567" s="331">
        <f t="shared" si="24"/>
        <v>0</v>
      </c>
      <c r="BU567" s="331"/>
      <c r="BV567" s="333"/>
      <c r="BW567" s="614"/>
      <c r="BX567" s="615"/>
      <c r="BY567" s="331"/>
      <c r="BZ567" s="340"/>
      <c r="CA567" s="316"/>
      <c r="CB567" s="318"/>
      <c r="CC567" s="318"/>
      <c r="CD567" s="318"/>
      <c r="CE567" s="318"/>
      <c r="CF567" s="318"/>
      <c r="CG567" s="318"/>
      <c r="CH567" s="318"/>
      <c r="CI567" s="338"/>
      <c r="CJ567" s="341"/>
      <c r="CK567" s="342">
        <f t="shared" si="18"/>
        <v>0</v>
      </c>
      <c r="CL567" s="333">
        <f t="shared" si="19"/>
        <v>0</v>
      </c>
      <c r="CM567" s="616"/>
      <c r="CN567" s="617"/>
      <c r="CO567" s="617"/>
      <c r="CP567" s="617"/>
    </row>
    <row r="568">
      <c r="B568" s="462"/>
      <c r="C568" s="719">
        <v>44166.0</v>
      </c>
      <c r="D568" s="720" t="s">
        <v>986</v>
      </c>
      <c r="E568" s="603">
        <v>23.0</v>
      </c>
      <c r="F568" s="619" t="str">
        <f t="shared" si="34"/>
        <v>2020/01-23</v>
      </c>
      <c r="G568" s="721">
        <v>0.6618055555555555</v>
      </c>
      <c r="H568" s="602">
        <v>0.6618055555555555</v>
      </c>
      <c r="I568" s="602"/>
      <c r="J568" s="602"/>
      <c r="K568" s="602">
        <v>0.6645833333333333</v>
      </c>
      <c r="L568" s="602">
        <f t="shared" si="35"/>
        <v>0.002777777778</v>
      </c>
      <c r="M568" s="629" t="s">
        <v>358</v>
      </c>
      <c r="N568" s="324" t="s">
        <v>187</v>
      </c>
      <c r="O568" s="419" t="s">
        <v>203</v>
      </c>
      <c r="P568" s="605" t="s">
        <v>211</v>
      </c>
      <c r="Q568" s="630" t="s">
        <v>851</v>
      </c>
      <c r="R568" s="631">
        <v>14.8</v>
      </c>
      <c r="S568" s="661">
        <v>2.4</v>
      </c>
      <c r="T568" s="619">
        <v>1.1</v>
      </c>
      <c r="U568" s="610">
        <v>6.5</v>
      </c>
      <c r="V568" s="610"/>
      <c r="W568" s="610"/>
      <c r="X568" s="610"/>
      <c r="Y568" s="610"/>
      <c r="Z568" s="610" t="s">
        <v>357</v>
      </c>
      <c r="AA568" s="610"/>
      <c r="AB568" s="610" t="s">
        <v>384</v>
      </c>
      <c r="AC568" s="611">
        <v>6.0</v>
      </c>
      <c r="AD568" s="610"/>
      <c r="AE568" s="610"/>
      <c r="AF568" s="610"/>
      <c r="AG568" s="610"/>
      <c r="AH568" s="610"/>
      <c r="AI568" s="610"/>
      <c r="AJ568" s="611"/>
      <c r="AK568" s="612"/>
      <c r="AL568" s="610"/>
      <c r="AM568" s="610"/>
      <c r="AN568" s="610"/>
      <c r="AO568" s="610"/>
      <c r="AP568" s="610"/>
      <c r="AQ568" s="610"/>
      <c r="AR568" s="610"/>
      <c r="AS568" s="611"/>
      <c r="AT568" s="461" t="s">
        <v>182</v>
      </c>
      <c r="AU568" s="324" t="s">
        <v>845</v>
      </c>
      <c r="AV568" s="330">
        <f>SQRT(($R568-Infrastructure!J$3)^2+($S568-Infrastructure!K$3)^2)</f>
        <v>30.50016393</v>
      </c>
      <c r="AW568" s="331">
        <f>SQRT(($R568-Infrastructure!J$4)^2+($S568-Infrastructure!K$4)^2)</f>
        <v>21.56780007</v>
      </c>
      <c r="AX568" s="331">
        <f>SQRT(($R568-Infrastructure!J$5)^2+($S568-Infrastructure!K$5)^2)</f>
        <v>15.33949152</v>
      </c>
      <c r="AY568" s="331">
        <f>SQRT(($R568-Infrastructure!J$6)^2+($S568-Infrastructure!K$6)^2)</f>
        <v>5.14781507</v>
      </c>
      <c r="AZ568" s="331">
        <f>SQRT(($R568-Infrastructure!J$7)^2+($S568-Infrastructure!K$7)^2)</f>
        <v>6.074537019</v>
      </c>
      <c r="BA568" s="331">
        <f>SQRT(($R568-Infrastructure!J$8)^2+($S568-Infrastructure!K$8)^2)</f>
        <v>15.44344521</v>
      </c>
      <c r="BB568" s="331">
        <f>SQRT(($R568-Infrastructure!J$9)^2+($S568-Infrastructure!K$9)^2)</f>
        <v>25.34423011</v>
      </c>
      <c r="BC568" s="331">
        <f>SQRT(($R568-Infrastructure!J$10)^2+($S568-Infrastructure!K$10)^2)</f>
        <v>28.17445652</v>
      </c>
      <c r="BD568" s="318"/>
      <c r="BE568" s="332"/>
      <c r="BF568" s="330">
        <f t="shared" si="14"/>
        <v>5.14781507</v>
      </c>
      <c r="BG568" s="333">
        <f t="shared" si="15"/>
        <v>30.50016393</v>
      </c>
      <c r="BH568" s="613"/>
      <c r="BI568" s="316"/>
      <c r="BJ568" s="338"/>
      <c r="BK568" s="338"/>
      <c r="BL568" s="319" t="s">
        <v>846</v>
      </c>
      <c r="BM568" s="319" t="s">
        <v>846</v>
      </c>
      <c r="BN568" s="319" t="s">
        <v>846</v>
      </c>
      <c r="BO568" s="722"/>
      <c r="BP568" s="319" t="s">
        <v>846</v>
      </c>
      <c r="BQ568" s="338"/>
      <c r="BR568" s="420"/>
      <c r="BS568" s="330">
        <f t="shared" si="23"/>
        <v>5.14781507</v>
      </c>
      <c r="BT568" s="331">
        <f t="shared" si="24"/>
        <v>28.17445652</v>
      </c>
      <c r="BU568" s="331"/>
      <c r="BV568" s="333"/>
      <c r="BW568" s="614"/>
      <c r="BX568" s="615"/>
      <c r="BY568" s="331"/>
      <c r="BZ568" s="340"/>
      <c r="CA568" s="316"/>
      <c r="CB568" s="318"/>
      <c r="CC568" s="318"/>
      <c r="CD568" s="318"/>
      <c r="CE568" s="318"/>
      <c r="CF568" s="318"/>
      <c r="CG568" s="318"/>
      <c r="CH568" s="318"/>
      <c r="CI568" s="338"/>
      <c r="CJ568" s="341"/>
      <c r="CK568" s="342">
        <f t="shared" si="18"/>
        <v>0</v>
      </c>
      <c r="CL568" s="333">
        <f t="shared" si="19"/>
        <v>0</v>
      </c>
      <c r="CM568" s="616"/>
      <c r="CN568" s="617"/>
      <c r="CO568" s="617"/>
      <c r="CP568" s="617"/>
    </row>
    <row r="569">
      <c r="B569" s="462"/>
      <c r="C569" s="719">
        <v>44166.0</v>
      </c>
      <c r="D569" s="720" t="s">
        <v>986</v>
      </c>
      <c r="E569" s="603">
        <v>24.0</v>
      </c>
      <c r="F569" s="619" t="str">
        <f t="shared" si="34"/>
        <v>2020/01-24</v>
      </c>
      <c r="G569" s="721">
        <v>0.6664930555555556</v>
      </c>
      <c r="H569" s="602">
        <v>0.6664930555555556</v>
      </c>
      <c r="I569" s="602"/>
      <c r="J569" s="602"/>
      <c r="K569" s="602">
        <v>0.6680555555555556</v>
      </c>
      <c r="L569" s="602">
        <f t="shared" si="35"/>
        <v>0.0015625</v>
      </c>
      <c r="M569" s="629" t="s">
        <v>358</v>
      </c>
      <c r="N569" s="324" t="s">
        <v>187</v>
      </c>
      <c r="O569" s="419" t="s">
        <v>203</v>
      </c>
      <c r="P569" s="319" t="s">
        <v>211</v>
      </c>
      <c r="Q569" s="630" t="s">
        <v>851</v>
      </c>
      <c r="R569" s="606">
        <v>14.8</v>
      </c>
      <c r="S569" s="607">
        <v>2.4</v>
      </c>
      <c r="T569" s="599">
        <v>1.1</v>
      </c>
      <c r="U569" s="610">
        <v>3.75</v>
      </c>
      <c r="V569" s="610"/>
      <c r="W569" s="610"/>
      <c r="X569" s="610"/>
      <c r="Y569" s="610"/>
      <c r="Z569" s="630" t="s">
        <v>357</v>
      </c>
      <c r="AA569" s="630"/>
      <c r="AB569" s="610" t="s">
        <v>384</v>
      </c>
      <c r="AC569" s="611">
        <v>6.0</v>
      </c>
      <c r="AD569" s="610"/>
      <c r="AE569" s="610"/>
      <c r="AF569" s="610"/>
      <c r="AG569" s="610"/>
      <c r="AH569" s="610"/>
      <c r="AI569" s="610"/>
      <c r="AJ569" s="611"/>
      <c r="AK569" s="612"/>
      <c r="AL569" s="610"/>
      <c r="AM569" s="610"/>
      <c r="AN569" s="610"/>
      <c r="AO569" s="610"/>
      <c r="AP569" s="610"/>
      <c r="AQ569" s="610"/>
      <c r="AR569" s="610"/>
      <c r="AS569" s="611"/>
      <c r="AT569" s="461" t="s">
        <v>182</v>
      </c>
      <c r="AU569" s="324" t="s">
        <v>845</v>
      </c>
      <c r="AV569" s="330">
        <f>SQRT(($R569-Infrastructure!J$3)^2+($S569-Infrastructure!K$3)^2)</f>
        <v>30.50016393</v>
      </c>
      <c r="AW569" s="331">
        <f>SQRT(($R569-Infrastructure!J$4)^2+($S569-Infrastructure!K$4)^2)</f>
        <v>21.56780007</v>
      </c>
      <c r="AX569" s="331">
        <f>SQRT(($R569-Infrastructure!J$5)^2+($S569-Infrastructure!K$5)^2)</f>
        <v>15.33949152</v>
      </c>
      <c r="AY569" s="331">
        <f>SQRT(($R569-Infrastructure!J$6)^2+($S569-Infrastructure!K$6)^2)</f>
        <v>5.14781507</v>
      </c>
      <c r="AZ569" s="331">
        <f>SQRT(($R569-Infrastructure!J$7)^2+($S569-Infrastructure!K$7)^2)</f>
        <v>6.074537019</v>
      </c>
      <c r="BA569" s="331">
        <f>SQRT(($R569-Infrastructure!J$8)^2+($S569-Infrastructure!K$8)^2)</f>
        <v>15.44344521</v>
      </c>
      <c r="BB569" s="331">
        <f>SQRT(($R569-Infrastructure!J$9)^2+($S569-Infrastructure!K$9)^2)</f>
        <v>25.34423011</v>
      </c>
      <c r="BC569" s="331">
        <f>SQRT(($R569-Infrastructure!J$10)^2+($S569-Infrastructure!K$10)^2)</f>
        <v>28.17445652</v>
      </c>
      <c r="BD569" s="318"/>
      <c r="BE569" s="332"/>
      <c r="BF569" s="330">
        <f t="shared" si="14"/>
        <v>5.14781507</v>
      </c>
      <c r="BG569" s="333">
        <f t="shared" si="15"/>
        <v>30.50016393</v>
      </c>
      <c r="BH569" s="613"/>
      <c r="BI569" s="316"/>
      <c r="BJ569" s="338"/>
      <c r="BK569" s="338"/>
      <c r="BL569" s="319" t="s">
        <v>846</v>
      </c>
      <c r="BM569" s="319" t="s">
        <v>846</v>
      </c>
      <c r="BN569" s="319" t="s">
        <v>846</v>
      </c>
      <c r="BO569" s="722"/>
      <c r="BP569" s="319" t="s">
        <v>846</v>
      </c>
      <c r="BQ569" s="338"/>
      <c r="BR569" s="420"/>
      <c r="BS569" s="330">
        <f t="shared" si="23"/>
        <v>5.14781507</v>
      </c>
      <c r="BT569" s="331">
        <f t="shared" si="24"/>
        <v>28.17445652</v>
      </c>
      <c r="BU569" s="331"/>
      <c r="BV569" s="333"/>
      <c r="BW569" s="614"/>
      <c r="BX569" s="615"/>
      <c r="BY569" s="331"/>
      <c r="BZ569" s="340"/>
      <c r="CA569" s="316"/>
      <c r="CB569" s="318"/>
      <c r="CC569" s="318"/>
      <c r="CD569" s="318"/>
      <c r="CE569" s="318"/>
      <c r="CF569" s="318"/>
      <c r="CG569" s="318"/>
      <c r="CH569" s="318"/>
      <c r="CI569" s="338"/>
      <c r="CJ569" s="341"/>
      <c r="CK569" s="342">
        <f t="shared" si="18"/>
        <v>0</v>
      </c>
      <c r="CL569" s="333">
        <f t="shared" si="19"/>
        <v>0</v>
      </c>
      <c r="CM569" s="616"/>
      <c r="CN569" s="617"/>
      <c r="CO569" s="617"/>
      <c r="CP569" s="617"/>
    </row>
    <row r="570">
      <c r="B570" s="462"/>
      <c r="C570" s="719">
        <v>44166.0</v>
      </c>
      <c r="D570" s="720" t="s">
        <v>986</v>
      </c>
      <c r="E570" s="603">
        <v>25.0</v>
      </c>
      <c r="F570" s="619" t="str">
        <f t="shared" si="34"/>
        <v>2020/01-25</v>
      </c>
      <c r="G570" s="721">
        <v>0.6703125</v>
      </c>
      <c r="H570" s="602">
        <v>0.6703125</v>
      </c>
      <c r="I570" s="602"/>
      <c r="J570" s="602"/>
      <c r="K570" s="602">
        <v>0.6723958333333333</v>
      </c>
      <c r="L570" s="602">
        <f t="shared" si="35"/>
        <v>0.002083333333</v>
      </c>
      <c r="M570" s="629" t="s">
        <v>358</v>
      </c>
      <c r="N570" s="324" t="s">
        <v>187</v>
      </c>
      <c r="O570" s="419" t="s">
        <v>203</v>
      </c>
      <c r="P570" s="605" t="s">
        <v>211</v>
      </c>
      <c r="Q570" s="630" t="s">
        <v>851</v>
      </c>
      <c r="R570" s="631">
        <v>14.8</v>
      </c>
      <c r="S570" s="661">
        <v>2.4</v>
      </c>
      <c r="T570" s="619">
        <v>1.1</v>
      </c>
      <c r="U570" s="610">
        <v>1.5</v>
      </c>
      <c r="V570" s="610"/>
      <c r="W570" s="610"/>
      <c r="X570" s="610"/>
      <c r="Y570" s="610"/>
      <c r="Z570" s="610" t="s">
        <v>357</v>
      </c>
      <c r="AA570" s="610"/>
      <c r="AB570" s="610" t="s">
        <v>380</v>
      </c>
      <c r="AC570" s="611">
        <v>4.0</v>
      </c>
      <c r="AD570" s="610"/>
      <c r="AE570" s="610"/>
      <c r="AF570" s="610"/>
      <c r="AG570" s="610"/>
      <c r="AH570" s="610"/>
      <c r="AI570" s="610"/>
      <c r="AJ570" s="611"/>
      <c r="AK570" s="612"/>
      <c r="AL570" s="610"/>
      <c r="AM570" s="610"/>
      <c r="AN570" s="610"/>
      <c r="AO570" s="610"/>
      <c r="AP570" s="610"/>
      <c r="AQ570" s="610"/>
      <c r="AR570" s="610"/>
      <c r="AS570" s="611"/>
      <c r="AT570" s="461" t="s">
        <v>182</v>
      </c>
      <c r="AU570" s="324" t="s">
        <v>845</v>
      </c>
      <c r="AV570" s="330">
        <f>SQRT(($R570-Infrastructure!J$3)^2+($S570-Infrastructure!K$3)^2)</f>
        <v>30.50016393</v>
      </c>
      <c r="AW570" s="331">
        <f>SQRT(($R570-Infrastructure!J$4)^2+($S570-Infrastructure!K$4)^2)</f>
        <v>21.56780007</v>
      </c>
      <c r="AX570" s="331">
        <f>SQRT(($R570-Infrastructure!J$5)^2+($S570-Infrastructure!K$5)^2)</f>
        <v>15.33949152</v>
      </c>
      <c r="AY570" s="331">
        <f>SQRT(($R570-Infrastructure!J$6)^2+($S570-Infrastructure!K$6)^2)</f>
        <v>5.14781507</v>
      </c>
      <c r="AZ570" s="331">
        <f>SQRT(($R570-Infrastructure!J$7)^2+($S570-Infrastructure!K$7)^2)</f>
        <v>6.074537019</v>
      </c>
      <c r="BA570" s="331">
        <f>SQRT(($R570-Infrastructure!J$8)^2+($S570-Infrastructure!K$8)^2)</f>
        <v>15.44344521</v>
      </c>
      <c r="BB570" s="331">
        <f>SQRT(($R570-Infrastructure!J$9)^2+($S570-Infrastructure!K$9)^2)</f>
        <v>25.34423011</v>
      </c>
      <c r="BC570" s="331">
        <f>SQRT(($R570-Infrastructure!J$10)^2+($S570-Infrastructure!K$10)^2)</f>
        <v>28.17445652</v>
      </c>
      <c r="BD570" s="318"/>
      <c r="BE570" s="332"/>
      <c r="BF570" s="330">
        <f t="shared" si="14"/>
        <v>5.14781507</v>
      </c>
      <c r="BG570" s="333">
        <f t="shared" si="15"/>
        <v>30.50016393</v>
      </c>
      <c r="BH570" s="613"/>
      <c r="BI570" s="316"/>
      <c r="BJ570" s="338"/>
      <c r="BK570" s="338"/>
      <c r="BL570" s="319" t="s">
        <v>846</v>
      </c>
      <c r="BM570" s="319" t="s">
        <v>846</v>
      </c>
      <c r="BN570" s="318"/>
      <c r="BO570" s="722"/>
      <c r="BP570" s="318"/>
      <c r="BQ570" s="338"/>
      <c r="BR570" s="420"/>
      <c r="BS570" s="330">
        <f t="shared" si="23"/>
        <v>5.14781507</v>
      </c>
      <c r="BT570" s="331">
        <f t="shared" si="24"/>
        <v>6.074537019</v>
      </c>
      <c r="BU570" s="331"/>
      <c r="BV570" s="333"/>
      <c r="BW570" s="614"/>
      <c r="BX570" s="615"/>
      <c r="BY570" s="331"/>
      <c r="BZ570" s="340"/>
      <c r="CA570" s="316"/>
      <c r="CB570" s="318"/>
      <c r="CC570" s="318"/>
      <c r="CD570" s="318"/>
      <c r="CE570" s="318"/>
      <c r="CF570" s="318"/>
      <c r="CG570" s="318"/>
      <c r="CH570" s="318"/>
      <c r="CI570" s="338"/>
      <c r="CJ570" s="341"/>
      <c r="CK570" s="342">
        <f t="shared" si="18"/>
        <v>0</v>
      </c>
      <c r="CL570" s="333">
        <f t="shared" si="19"/>
        <v>0</v>
      </c>
      <c r="CM570" s="616"/>
      <c r="CN570" s="617"/>
      <c r="CO570" s="617"/>
      <c r="CP570" s="617"/>
    </row>
    <row r="571">
      <c r="B571" s="635"/>
      <c r="C571" s="724">
        <v>44166.0</v>
      </c>
      <c r="D571" s="725" t="s">
        <v>986</v>
      </c>
      <c r="E571" s="726">
        <v>26.0</v>
      </c>
      <c r="F571" s="727" t="str">
        <f t="shared" si="34"/>
        <v>2020/01-26</v>
      </c>
      <c r="G571" s="728">
        <v>0.6803819444444444</v>
      </c>
      <c r="H571" s="729">
        <v>0.6803819444444444</v>
      </c>
      <c r="I571" s="729"/>
      <c r="J571" s="729"/>
      <c r="K571" s="729">
        <v>0.6833333333333332</v>
      </c>
      <c r="L571" s="729">
        <f t="shared" si="35"/>
        <v>0.002951388889</v>
      </c>
      <c r="M571" s="730" t="s">
        <v>358</v>
      </c>
      <c r="N571" s="637" t="s">
        <v>187</v>
      </c>
      <c r="O571" s="731" t="s">
        <v>203</v>
      </c>
      <c r="P571" s="663" t="s">
        <v>211</v>
      </c>
      <c r="Q571" s="732" t="s">
        <v>851</v>
      </c>
      <c r="R571" s="733">
        <v>14.8</v>
      </c>
      <c r="S571" s="734">
        <v>2.4</v>
      </c>
      <c r="T571" s="735">
        <v>1.1</v>
      </c>
      <c r="U571" s="736">
        <v>0.24</v>
      </c>
      <c r="V571" s="736"/>
      <c r="W571" s="736"/>
      <c r="X571" s="736"/>
      <c r="Y571" s="736"/>
      <c r="Z571" s="732" t="s">
        <v>357</v>
      </c>
      <c r="AA571" s="732"/>
      <c r="AB571" s="736" t="s">
        <v>371</v>
      </c>
      <c r="AC571" s="737">
        <v>1.8</v>
      </c>
      <c r="AD571" s="736"/>
      <c r="AE571" s="736"/>
      <c r="AF571" s="736"/>
      <c r="AG571" s="736"/>
      <c r="AH571" s="736"/>
      <c r="AI571" s="736"/>
      <c r="AJ571" s="737"/>
      <c r="AK571" s="738"/>
      <c r="AL571" s="736"/>
      <c r="AM571" s="736"/>
      <c r="AN571" s="736"/>
      <c r="AO571" s="736"/>
      <c r="AP571" s="736"/>
      <c r="AQ571" s="736"/>
      <c r="AR571" s="736"/>
      <c r="AS571" s="737"/>
      <c r="AT571" s="636" t="s">
        <v>181</v>
      </c>
      <c r="AU571" s="637" t="s">
        <v>845</v>
      </c>
      <c r="AV571" s="662">
        <f>SQRT(($R571-Infrastructure!J$3)^2+($S571-Infrastructure!K$3)^2)</f>
        <v>30.50016393</v>
      </c>
      <c r="AW571" s="641">
        <f>SQRT(($R571-Infrastructure!J$4)^2+($S571-Infrastructure!K$4)^2)</f>
        <v>21.56780007</v>
      </c>
      <c r="AX571" s="641">
        <f>SQRT(($R571-Infrastructure!J$5)^2+($S571-Infrastructure!K$5)^2)</f>
        <v>15.33949152</v>
      </c>
      <c r="AY571" s="641">
        <f>SQRT(($R571-Infrastructure!J$6)^2+($S571-Infrastructure!K$6)^2)</f>
        <v>5.14781507</v>
      </c>
      <c r="AZ571" s="641">
        <f>SQRT(($R571-Infrastructure!J$7)^2+($S571-Infrastructure!K$7)^2)</f>
        <v>6.074537019</v>
      </c>
      <c r="BA571" s="641">
        <f>SQRT(($R571-Infrastructure!J$8)^2+($S571-Infrastructure!K$8)^2)</f>
        <v>15.44344521</v>
      </c>
      <c r="BB571" s="641">
        <f>SQRT(($R571-Infrastructure!J$9)^2+($S571-Infrastructure!K$9)^2)</f>
        <v>25.34423011</v>
      </c>
      <c r="BC571" s="641">
        <f>SQRT(($R571-Infrastructure!J$10)^2+($S571-Infrastructure!K$10)^2)</f>
        <v>28.17445652</v>
      </c>
      <c r="BD571" s="640"/>
      <c r="BE571" s="739"/>
      <c r="BF571" s="662">
        <f t="shared" si="14"/>
        <v>5.14781507</v>
      </c>
      <c r="BG571" s="642">
        <f t="shared" si="15"/>
        <v>30.50016393</v>
      </c>
      <c r="BH571" s="638"/>
      <c r="BI571" s="639"/>
      <c r="BJ571" s="645"/>
      <c r="BK571" s="645"/>
      <c r="BL571" s="663"/>
      <c r="BM571" s="640"/>
      <c r="BN571" s="640"/>
      <c r="BO571" s="740"/>
      <c r="BP571" s="640"/>
      <c r="BQ571" s="645"/>
      <c r="BR571" s="741"/>
      <c r="BS571" s="662">
        <f t="shared" si="23"/>
        <v>0</v>
      </c>
      <c r="BT571" s="641">
        <f t="shared" si="24"/>
        <v>0</v>
      </c>
      <c r="BU571" s="641"/>
      <c r="BV571" s="642"/>
      <c r="BW571" s="643"/>
      <c r="BX571" s="644"/>
      <c r="BY571" s="641"/>
      <c r="BZ571" s="742"/>
      <c r="CA571" s="639"/>
      <c r="CB571" s="640"/>
      <c r="CC571" s="640"/>
      <c r="CD571" s="640"/>
      <c r="CE571" s="640"/>
      <c r="CF571" s="640"/>
      <c r="CG571" s="640"/>
      <c r="CH571" s="640"/>
      <c r="CI571" s="645"/>
      <c r="CJ571" s="646"/>
      <c r="CK571" s="743">
        <f t="shared" si="18"/>
        <v>0</v>
      </c>
      <c r="CL571" s="642">
        <f t="shared" si="19"/>
        <v>0</v>
      </c>
      <c r="CM571" s="647"/>
      <c r="CN571" s="617"/>
      <c r="CO571" s="617"/>
      <c r="CP571" s="617"/>
    </row>
    <row r="572">
      <c r="B572" s="462"/>
      <c r="C572" s="719">
        <v>44167.0</v>
      </c>
      <c r="D572" s="720" t="s">
        <v>986</v>
      </c>
      <c r="E572" s="603">
        <v>27.0</v>
      </c>
      <c r="F572" s="619" t="str">
        <f t="shared" si="34"/>
        <v>2020/02-27</v>
      </c>
      <c r="G572" s="721">
        <v>0.42569444444444443</v>
      </c>
      <c r="H572" s="602">
        <v>0.42569444444444443</v>
      </c>
      <c r="I572" s="602"/>
      <c r="J572" s="602"/>
      <c r="K572" s="602">
        <v>0.4284722222222222</v>
      </c>
      <c r="L572" s="602">
        <f t="shared" si="35"/>
        <v>0.002777777778</v>
      </c>
      <c r="M572" s="629" t="s">
        <v>358</v>
      </c>
      <c r="N572" s="324" t="s">
        <v>188</v>
      </c>
      <c r="O572" s="419" t="s">
        <v>378</v>
      </c>
      <c r="P572" s="603" t="s">
        <v>217</v>
      </c>
      <c r="Q572" s="630" t="s">
        <v>851</v>
      </c>
      <c r="R572" s="631">
        <v>22.4</v>
      </c>
      <c r="S572" s="661">
        <v>39.6</v>
      </c>
      <c r="T572" s="619">
        <v>1.8</v>
      </c>
      <c r="U572" s="610">
        <v>10.0</v>
      </c>
      <c r="V572" s="610"/>
      <c r="W572" s="610"/>
      <c r="X572" s="610"/>
      <c r="Y572" s="610"/>
      <c r="Z572" s="610" t="s">
        <v>1140</v>
      </c>
      <c r="AA572" s="610"/>
      <c r="AB572" s="610" t="s">
        <v>410</v>
      </c>
      <c r="AC572" s="611">
        <v>22.1</v>
      </c>
      <c r="AD572" s="610"/>
      <c r="AE572" s="610"/>
      <c r="AF572" s="610"/>
      <c r="AG572" s="610"/>
      <c r="AH572" s="610"/>
      <c r="AI572" s="610"/>
      <c r="AJ572" s="611"/>
      <c r="AK572" s="612"/>
      <c r="AL572" s="610"/>
      <c r="AM572" s="610"/>
      <c r="AN572" s="610"/>
      <c r="AO572" s="610"/>
      <c r="AP572" s="610"/>
      <c r="AQ572" s="610"/>
      <c r="AR572" s="610"/>
      <c r="AS572" s="611"/>
      <c r="AT572" s="461" t="s">
        <v>182</v>
      </c>
      <c r="AU572" s="324" t="s">
        <v>845</v>
      </c>
      <c r="AV572" s="330">
        <f>SQRT(($R572-Infrastructure!J$3)^2+($S572-Infrastructure!K$3)^2)</f>
        <v>25.09541791</v>
      </c>
      <c r="AW572" s="331">
        <f>SQRT(($R572-Infrastructure!J$4)^2+($S572-Infrastructure!K$4)^2)</f>
        <v>31.47268657</v>
      </c>
      <c r="AX572" s="331">
        <f>SQRT(($R572-Infrastructure!J$5)^2+($S572-Infrastructure!K$5)^2)</f>
        <v>41.29818398</v>
      </c>
      <c r="AY572" s="331">
        <f>SQRT(($R572-Infrastructure!J$6)^2+($S572-Infrastructure!K$6)^2)</f>
        <v>41.17984944</v>
      </c>
      <c r="AZ572" s="331">
        <f>SQRT(($R572-Infrastructure!J$7)^2+($S572-Infrastructure!K$7)^2)</f>
        <v>39.34590195</v>
      </c>
      <c r="BA572" s="331">
        <f>SQRT(($R572-Infrastructure!J$8)^2+($S572-Infrastructure!K$8)^2)</f>
        <v>40.04722213</v>
      </c>
      <c r="BB572" s="331">
        <f>SQRT(($R572-Infrastructure!J$9)^2+($S572-Infrastructure!K$9)^2)</f>
        <v>38.72996256</v>
      </c>
      <c r="BC572" s="331">
        <f>SQRT(($R572-Infrastructure!J$10)^2+($S572-Infrastructure!K$10)^2)</f>
        <v>30.24764454</v>
      </c>
      <c r="BD572" s="318"/>
      <c r="BE572" s="332"/>
      <c r="BF572" s="330">
        <f t="shared" si="14"/>
        <v>25.09541791</v>
      </c>
      <c r="BG572" s="333">
        <f t="shared" si="15"/>
        <v>41.29818398</v>
      </c>
      <c r="BH572" s="613"/>
      <c r="BI572" s="462" t="s">
        <v>846</v>
      </c>
      <c r="BJ572" s="338"/>
      <c r="BK572" s="338"/>
      <c r="BL572" s="319" t="s">
        <v>846</v>
      </c>
      <c r="BM572" s="319" t="s">
        <v>846</v>
      </c>
      <c r="BN572" s="319"/>
      <c r="BO572" s="722"/>
      <c r="BP572" s="319" t="s">
        <v>846</v>
      </c>
      <c r="BQ572" s="338"/>
      <c r="BR572" s="420"/>
      <c r="BS572" s="330">
        <f t="shared" si="23"/>
        <v>25.09541791</v>
      </c>
      <c r="BT572" s="331">
        <f t="shared" si="24"/>
        <v>41.17984944</v>
      </c>
      <c r="BU572" s="331"/>
      <c r="BV572" s="333"/>
      <c r="BW572" s="614"/>
      <c r="BX572" s="615"/>
      <c r="BY572" s="331"/>
      <c r="BZ572" s="340"/>
      <c r="CA572" s="316"/>
      <c r="CB572" s="318"/>
      <c r="CC572" s="318"/>
      <c r="CD572" s="318"/>
      <c r="CE572" s="318"/>
      <c r="CF572" s="318"/>
      <c r="CG572" s="318"/>
      <c r="CH572" s="318"/>
      <c r="CI572" s="338"/>
      <c r="CJ572" s="341"/>
      <c r="CK572" s="342">
        <f t="shared" si="18"/>
        <v>0</v>
      </c>
      <c r="CL572" s="333">
        <f t="shared" si="19"/>
        <v>0</v>
      </c>
      <c r="CM572" s="616"/>
      <c r="CN572" s="617"/>
      <c r="CO572" s="617"/>
      <c r="CP572" s="617"/>
    </row>
    <row r="573">
      <c r="B573" s="462"/>
      <c r="C573" s="719">
        <v>44167.0</v>
      </c>
      <c r="D573" s="720" t="s">
        <v>986</v>
      </c>
      <c r="E573" s="603">
        <v>28.0</v>
      </c>
      <c r="F573" s="619" t="str">
        <f t="shared" si="34"/>
        <v>2020/02-28</v>
      </c>
      <c r="G573" s="721">
        <v>0.43263888888888885</v>
      </c>
      <c r="H573" s="602">
        <v>0.43263888888888885</v>
      </c>
      <c r="I573" s="602"/>
      <c r="J573" s="602"/>
      <c r="K573" s="602">
        <v>0.4354166666666666</v>
      </c>
      <c r="L573" s="602">
        <f t="shared" si="35"/>
        <v>0.002777777778</v>
      </c>
      <c r="M573" s="629" t="s">
        <v>358</v>
      </c>
      <c r="N573" s="324" t="s">
        <v>188</v>
      </c>
      <c r="O573" s="419" t="s">
        <v>378</v>
      </c>
      <c r="P573" s="603" t="s">
        <v>217</v>
      </c>
      <c r="Q573" s="630" t="s">
        <v>851</v>
      </c>
      <c r="R573" s="631">
        <v>22.4</v>
      </c>
      <c r="S573" s="661">
        <v>39.6</v>
      </c>
      <c r="T573" s="633">
        <v>1.8</v>
      </c>
      <c r="U573" s="603">
        <v>10.0</v>
      </c>
      <c r="V573" s="603"/>
      <c r="W573" s="603"/>
      <c r="X573" s="603"/>
      <c r="Y573" s="603"/>
      <c r="Z573" s="610" t="s">
        <v>1140</v>
      </c>
      <c r="AA573" s="610"/>
      <c r="AB573" s="610" t="s">
        <v>407</v>
      </c>
      <c r="AC573" s="611">
        <v>15.75</v>
      </c>
      <c r="AD573" s="610"/>
      <c r="AE573" s="610"/>
      <c r="AF573" s="610"/>
      <c r="AG573" s="610"/>
      <c r="AH573" s="610"/>
      <c r="AI573" s="610"/>
      <c r="AJ573" s="611"/>
      <c r="AK573" s="612"/>
      <c r="AL573" s="610"/>
      <c r="AM573" s="610"/>
      <c r="AN573" s="610"/>
      <c r="AO573" s="610"/>
      <c r="AP573" s="610"/>
      <c r="AQ573" s="610"/>
      <c r="AR573" s="610"/>
      <c r="AS573" s="611"/>
      <c r="AT573" s="461" t="s">
        <v>182</v>
      </c>
      <c r="AU573" s="324" t="s">
        <v>845</v>
      </c>
      <c r="AV573" s="330">
        <f>SQRT(($R573-Infrastructure!J$3)^2+($S573-Infrastructure!K$3)^2)</f>
        <v>25.09541791</v>
      </c>
      <c r="AW573" s="331">
        <f>SQRT(($R573-Infrastructure!J$4)^2+($S573-Infrastructure!K$4)^2)</f>
        <v>31.47268657</v>
      </c>
      <c r="AX573" s="331">
        <f>SQRT(($R573-Infrastructure!J$5)^2+($S573-Infrastructure!K$5)^2)</f>
        <v>41.29818398</v>
      </c>
      <c r="AY573" s="331">
        <f>SQRT(($R573-Infrastructure!J$6)^2+($S573-Infrastructure!K$6)^2)</f>
        <v>41.17984944</v>
      </c>
      <c r="AZ573" s="331">
        <f>SQRT(($R573-Infrastructure!J$7)^2+($S573-Infrastructure!K$7)^2)</f>
        <v>39.34590195</v>
      </c>
      <c r="BA573" s="331">
        <f>SQRT(($R573-Infrastructure!J$8)^2+($S573-Infrastructure!K$8)^2)</f>
        <v>40.04722213</v>
      </c>
      <c r="BB573" s="331">
        <f>SQRT(($R573-Infrastructure!J$9)^2+($S573-Infrastructure!K$9)^2)</f>
        <v>38.72996256</v>
      </c>
      <c r="BC573" s="331">
        <f>SQRT(($R573-Infrastructure!J$10)^2+($S573-Infrastructure!K$10)^2)</f>
        <v>30.24764454</v>
      </c>
      <c r="BD573" s="318"/>
      <c r="BE573" s="332"/>
      <c r="BF573" s="330">
        <f t="shared" si="14"/>
        <v>25.09541791</v>
      </c>
      <c r="BG573" s="333">
        <f t="shared" si="15"/>
        <v>41.29818398</v>
      </c>
      <c r="BH573" s="613"/>
      <c r="BI573" s="462" t="s">
        <v>846</v>
      </c>
      <c r="BJ573" s="338"/>
      <c r="BK573" s="338"/>
      <c r="BL573" s="319" t="s">
        <v>846</v>
      </c>
      <c r="BM573" s="319" t="s">
        <v>846</v>
      </c>
      <c r="BN573" s="319"/>
      <c r="BO573" s="722"/>
      <c r="BP573" s="319" t="s">
        <v>846</v>
      </c>
      <c r="BQ573" s="338"/>
      <c r="BR573" s="420"/>
      <c r="BS573" s="330">
        <f t="shared" si="23"/>
        <v>25.09541791</v>
      </c>
      <c r="BT573" s="331">
        <f t="shared" si="24"/>
        <v>41.17984944</v>
      </c>
      <c r="BU573" s="331"/>
      <c r="BV573" s="333"/>
      <c r="BW573" s="614"/>
      <c r="BX573" s="615"/>
      <c r="BY573" s="331"/>
      <c r="BZ573" s="340"/>
      <c r="CA573" s="316"/>
      <c r="CB573" s="318"/>
      <c r="CC573" s="318"/>
      <c r="CD573" s="318"/>
      <c r="CE573" s="318"/>
      <c r="CF573" s="318"/>
      <c r="CG573" s="318"/>
      <c r="CH573" s="318"/>
      <c r="CI573" s="338"/>
      <c r="CJ573" s="341"/>
      <c r="CK573" s="342">
        <f t="shared" si="18"/>
        <v>0</v>
      </c>
      <c r="CL573" s="333">
        <f t="shared" si="19"/>
        <v>0</v>
      </c>
      <c r="CM573" s="616"/>
      <c r="CN573" s="617"/>
      <c r="CO573" s="617"/>
      <c r="CP573" s="617"/>
    </row>
    <row r="574">
      <c r="B574" s="462"/>
      <c r="C574" s="719">
        <v>44167.0</v>
      </c>
      <c r="D574" s="720" t="s">
        <v>986</v>
      </c>
      <c r="E574" s="603">
        <v>29.0</v>
      </c>
      <c r="F574" s="619" t="str">
        <f t="shared" si="34"/>
        <v>2020/02-29</v>
      </c>
      <c r="G574" s="721">
        <v>0.43854166666666666</v>
      </c>
      <c r="H574" s="602">
        <v>0.43854166666666666</v>
      </c>
      <c r="I574" s="602"/>
      <c r="J574" s="602"/>
      <c r="K574" s="602">
        <v>0.44131944444444443</v>
      </c>
      <c r="L574" s="602">
        <f t="shared" si="35"/>
        <v>0.002777777778</v>
      </c>
      <c r="M574" s="629" t="s">
        <v>358</v>
      </c>
      <c r="N574" s="324" t="s">
        <v>188</v>
      </c>
      <c r="O574" s="419" t="s">
        <v>378</v>
      </c>
      <c r="P574" s="603" t="s">
        <v>217</v>
      </c>
      <c r="Q574" s="630" t="s">
        <v>851</v>
      </c>
      <c r="R574" s="631">
        <v>22.4</v>
      </c>
      <c r="S574" s="661">
        <v>39.6</v>
      </c>
      <c r="T574" s="633">
        <v>1.8</v>
      </c>
      <c r="U574" s="603">
        <v>2.5</v>
      </c>
      <c r="V574" s="603"/>
      <c r="W574" s="603"/>
      <c r="X574" s="603"/>
      <c r="Y574" s="603"/>
      <c r="Z574" s="610" t="s">
        <v>1221</v>
      </c>
      <c r="AA574" s="610"/>
      <c r="AB574" s="610" t="s">
        <v>403</v>
      </c>
      <c r="AC574" s="611">
        <v>8.0</v>
      </c>
      <c r="AD574" s="610"/>
      <c r="AE574" s="610"/>
      <c r="AF574" s="610"/>
      <c r="AG574" s="610"/>
      <c r="AH574" s="610"/>
      <c r="AI574" s="610"/>
      <c r="AJ574" s="611"/>
      <c r="AK574" s="612"/>
      <c r="AL574" s="610"/>
      <c r="AM574" s="610"/>
      <c r="AN574" s="610"/>
      <c r="AO574" s="610"/>
      <c r="AP574" s="610"/>
      <c r="AQ574" s="610"/>
      <c r="AR574" s="610"/>
      <c r="AS574" s="611"/>
      <c r="AT574" s="461" t="s">
        <v>182</v>
      </c>
      <c r="AU574" s="324" t="s">
        <v>845</v>
      </c>
      <c r="AV574" s="330">
        <f>SQRT(($R574-Infrastructure!J$3)^2+($S574-Infrastructure!K$3)^2)</f>
        <v>25.09541791</v>
      </c>
      <c r="AW574" s="331">
        <f>SQRT(($R574-Infrastructure!J$4)^2+($S574-Infrastructure!K$4)^2)</f>
        <v>31.47268657</v>
      </c>
      <c r="AX574" s="331">
        <f>SQRT(($R574-Infrastructure!J$5)^2+($S574-Infrastructure!K$5)^2)</f>
        <v>41.29818398</v>
      </c>
      <c r="AY574" s="331">
        <f>SQRT(($R574-Infrastructure!J$6)^2+($S574-Infrastructure!K$6)^2)</f>
        <v>41.17984944</v>
      </c>
      <c r="AZ574" s="331">
        <f>SQRT(($R574-Infrastructure!J$7)^2+($S574-Infrastructure!K$7)^2)</f>
        <v>39.34590195</v>
      </c>
      <c r="BA574" s="331">
        <f>SQRT(($R574-Infrastructure!J$8)^2+($S574-Infrastructure!K$8)^2)</f>
        <v>40.04722213</v>
      </c>
      <c r="BB574" s="331">
        <f>SQRT(($R574-Infrastructure!J$9)^2+($S574-Infrastructure!K$9)^2)</f>
        <v>38.72996256</v>
      </c>
      <c r="BC574" s="331">
        <f>SQRT(($R574-Infrastructure!J$10)^2+($S574-Infrastructure!K$10)^2)</f>
        <v>30.24764454</v>
      </c>
      <c r="BD574" s="318"/>
      <c r="BE574" s="332"/>
      <c r="BF574" s="330">
        <f t="shared" si="14"/>
        <v>25.09541791</v>
      </c>
      <c r="BG574" s="333">
        <f t="shared" si="15"/>
        <v>41.29818398</v>
      </c>
      <c r="BH574" s="613"/>
      <c r="BI574" s="316"/>
      <c r="BJ574" s="338"/>
      <c r="BK574" s="338"/>
      <c r="BL574" s="319"/>
      <c r="BM574" s="318"/>
      <c r="BN574" s="318"/>
      <c r="BO574" s="722"/>
      <c r="BP574" s="318"/>
      <c r="BQ574" s="338"/>
      <c r="BR574" s="420"/>
      <c r="BS574" s="330">
        <f t="shared" si="23"/>
        <v>0</v>
      </c>
      <c r="BT574" s="331">
        <f t="shared" si="24"/>
        <v>0</v>
      </c>
      <c r="BU574" s="331"/>
      <c r="BV574" s="333"/>
      <c r="BW574" s="614"/>
      <c r="BX574" s="615"/>
      <c r="BY574" s="331"/>
      <c r="BZ574" s="340"/>
      <c r="CA574" s="316"/>
      <c r="CB574" s="318"/>
      <c r="CC574" s="318"/>
      <c r="CD574" s="318"/>
      <c r="CE574" s="318"/>
      <c r="CF574" s="318"/>
      <c r="CG574" s="318"/>
      <c r="CH574" s="318"/>
      <c r="CI574" s="338"/>
      <c r="CJ574" s="341"/>
      <c r="CK574" s="342">
        <f t="shared" si="18"/>
        <v>0</v>
      </c>
      <c r="CL574" s="333">
        <f t="shared" si="19"/>
        <v>0</v>
      </c>
      <c r="CM574" s="616"/>
      <c r="CN574" s="617"/>
      <c r="CO574" s="617"/>
      <c r="CP574" s="617"/>
    </row>
    <row r="575">
      <c r="B575" s="462"/>
      <c r="C575" s="719">
        <v>44167.0</v>
      </c>
      <c r="D575" s="720" t="s">
        <v>986</v>
      </c>
      <c r="E575" s="603" t="s">
        <v>1230</v>
      </c>
      <c r="F575" s="619" t="str">
        <f t="shared" si="34"/>
        <v>2020/02-29A</v>
      </c>
      <c r="G575" s="721">
        <v>0.44178240740740743</v>
      </c>
      <c r="H575" s="602">
        <v>0.44178240740740743</v>
      </c>
      <c r="I575" s="602"/>
      <c r="J575" s="602"/>
      <c r="K575" s="602">
        <v>0.4431712962962963</v>
      </c>
      <c r="L575" s="602">
        <f t="shared" si="35"/>
        <v>0.001388888889</v>
      </c>
      <c r="M575" s="629" t="s">
        <v>358</v>
      </c>
      <c r="N575" s="324" t="s">
        <v>188</v>
      </c>
      <c r="O575" s="419" t="s">
        <v>378</v>
      </c>
      <c r="P575" s="603" t="s">
        <v>217</v>
      </c>
      <c r="Q575" s="630" t="s">
        <v>851</v>
      </c>
      <c r="R575" s="631">
        <v>22.4</v>
      </c>
      <c r="S575" s="661">
        <v>39.6</v>
      </c>
      <c r="T575" s="633">
        <v>1.8</v>
      </c>
      <c r="U575" s="610">
        <v>5.0</v>
      </c>
      <c r="V575" s="610"/>
      <c r="W575" s="610"/>
      <c r="X575" s="610"/>
      <c r="Y575" s="610"/>
      <c r="Z575" s="610" t="s">
        <v>1140</v>
      </c>
      <c r="AA575" s="610"/>
      <c r="AB575" s="610" t="s">
        <v>403</v>
      </c>
      <c r="AC575" s="611">
        <v>8.0</v>
      </c>
      <c r="AD575" s="610"/>
      <c r="AE575" s="610"/>
      <c r="AF575" s="610"/>
      <c r="AG575" s="610"/>
      <c r="AH575" s="610"/>
      <c r="AI575" s="610"/>
      <c r="AJ575" s="611"/>
      <c r="AK575" s="612"/>
      <c r="AL575" s="610"/>
      <c r="AM575" s="610"/>
      <c r="AN575" s="610"/>
      <c r="AO575" s="610"/>
      <c r="AP575" s="610"/>
      <c r="AQ575" s="610"/>
      <c r="AR575" s="610"/>
      <c r="AS575" s="611"/>
      <c r="AT575" s="461" t="s">
        <v>182</v>
      </c>
      <c r="AU575" s="324" t="s">
        <v>845</v>
      </c>
      <c r="AV575" s="330">
        <f>SQRT(($R575-Infrastructure!J$3)^2+($S575-Infrastructure!K$3)^2)</f>
        <v>25.09541791</v>
      </c>
      <c r="AW575" s="331">
        <f>SQRT(($R575-Infrastructure!J$4)^2+($S575-Infrastructure!K$4)^2)</f>
        <v>31.47268657</v>
      </c>
      <c r="AX575" s="331">
        <f>SQRT(($R575-Infrastructure!J$5)^2+($S575-Infrastructure!K$5)^2)</f>
        <v>41.29818398</v>
      </c>
      <c r="AY575" s="331">
        <f>SQRT(($R575-Infrastructure!J$6)^2+($S575-Infrastructure!K$6)^2)</f>
        <v>41.17984944</v>
      </c>
      <c r="AZ575" s="331">
        <f>SQRT(($R575-Infrastructure!J$7)^2+($S575-Infrastructure!K$7)^2)</f>
        <v>39.34590195</v>
      </c>
      <c r="BA575" s="331">
        <f>SQRT(($R575-Infrastructure!J$8)^2+($S575-Infrastructure!K$8)^2)</f>
        <v>40.04722213</v>
      </c>
      <c r="BB575" s="331">
        <f>SQRT(($R575-Infrastructure!J$9)^2+($S575-Infrastructure!K$9)^2)</f>
        <v>38.72996256</v>
      </c>
      <c r="BC575" s="331">
        <f>SQRT(($R575-Infrastructure!J$10)^2+($S575-Infrastructure!K$10)^2)</f>
        <v>30.24764454</v>
      </c>
      <c r="BD575" s="318"/>
      <c r="BE575" s="332"/>
      <c r="BF575" s="330">
        <f t="shared" si="14"/>
        <v>25.09541791</v>
      </c>
      <c r="BG575" s="333">
        <f t="shared" si="15"/>
        <v>41.29818398</v>
      </c>
      <c r="BH575" s="613"/>
      <c r="BI575" s="462" t="s">
        <v>846</v>
      </c>
      <c r="BJ575" s="338"/>
      <c r="BK575" s="338"/>
      <c r="BL575" s="319" t="s">
        <v>846</v>
      </c>
      <c r="BM575" s="319" t="s">
        <v>846</v>
      </c>
      <c r="BN575" s="319"/>
      <c r="BO575" s="722"/>
      <c r="BP575" s="319" t="s">
        <v>846</v>
      </c>
      <c r="BQ575" s="338"/>
      <c r="BR575" s="420"/>
      <c r="BS575" s="330">
        <f t="shared" si="23"/>
        <v>25.09541791</v>
      </c>
      <c r="BT575" s="331">
        <f t="shared" si="24"/>
        <v>41.17984944</v>
      </c>
      <c r="BU575" s="331"/>
      <c r="BV575" s="333"/>
      <c r="BW575" s="614"/>
      <c r="BX575" s="615"/>
      <c r="BY575" s="331"/>
      <c r="BZ575" s="340"/>
      <c r="CA575" s="316"/>
      <c r="CB575" s="318"/>
      <c r="CC575" s="318"/>
      <c r="CD575" s="318"/>
      <c r="CE575" s="318"/>
      <c r="CF575" s="318"/>
      <c r="CG575" s="318"/>
      <c r="CH575" s="318"/>
      <c r="CI575" s="338"/>
      <c r="CJ575" s="341"/>
      <c r="CK575" s="342">
        <f t="shared" si="18"/>
        <v>0</v>
      </c>
      <c r="CL575" s="333">
        <f t="shared" si="19"/>
        <v>0</v>
      </c>
      <c r="CM575" s="616"/>
      <c r="CN575" s="617"/>
      <c r="CO575" s="617"/>
      <c r="CP575" s="617"/>
    </row>
    <row r="576">
      <c r="B576" s="462"/>
      <c r="C576" s="719">
        <v>44167.0</v>
      </c>
      <c r="D576" s="720" t="s">
        <v>986</v>
      </c>
      <c r="E576" s="603" t="s">
        <v>1231</v>
      </c>
      <c r="F576" s="619" t="str">
        <f t="shared" si="34"/>
        <v>2020/02-29B</v>
      </c>
      <c r="G576" s="721">
        <v>0.44375000000000003</v>
      </c>
      <c r="H576" s="602">
        <v>0.44375000000000003</v>
      </c>
      <c r="I576" s="602"/>
      <c r="J576" s="602"/>
      <c r="K576" s="602">
        <v>0.4451388888888889</v>
      </c>
      <c r="L576" s="602">
        <f t="shared" si="35"/>
        <v>0.001388888889</v>
      </c>
      <c r="M576" s="629" t="s">
        <v>358</v>
      </c>
      <c r="N576" s="324" t="s">
        <v>188</v>
      </c>
      <c r="O576" s="419" t="s">
        <v>378</v>
      </c>
      <c r="P576" s="603" t="s">
        <v>217</v>
      </c>
      <c r="Q576" s="630" t="s">
        <v>851</v>
      </c>
      <c r="R576" s="631">
        <v>22.4</v>
      </c>
      <c r="S576" s="661">
        <v>39.6</v>
      </c>
      <c r="T576" s="633">
        <v>1.8</v>
      </c>
      <c r="U576" s="610">
        <v>7.5</v>
      </c>
      <c r="V576" s="610"/>
      <c r="W576" s="610"/>
      <c r="X576" s="610"/>
      <c r="Y576" s="610"/>
      <c r="Z576" s="610" t="s">
        <v>1140</v>
      </c>
      <c r="AA576" s="610"/>
      <c r="AB576" s="610" t="s">
        <v>403</v>
      </c>
      <c r="AC576" s="611">
        <v>8.0</v>
      </c>
      <c r="AD576" s="610"/>
      <c r="AE576" s="610"/>
      <c r="AF576" s="610"/>
      <c r="AG576" s="610"/>
      <c r="AH576" s="610"/>
      <c r="AI576" s="610"/>
      <c r="AJ576" s="611"/>
      <c r="AK576" s="612"/>
      <c r="AL576" s="610"/>
      <c r="AM576" s="610"/>
      <c r="AN576" s="610"/>
      <c r="AO576" s="610"/>
      <c r="AP576" s="610"/>
      <c r="AQ576" s="610"/>
      <c r="AR576" s="610"/>
      <c r="AS576" s="611"/>
      <c r="AT576" s="461" t="s">
        <v>182</v>
      </c>
      <c r="AU576" s="324" t="s">
        <v>845</v>
      </c>
      <c r="AV576" s="330">
        <f>SQRT(($R576-Infrastructure!J$3)^2+($S576-Infrastructure!K$3)^2)</f>
        <v>25.09541791</v>
      </c>
      <c r="AW576" s="331">
        <f>SQRT(($R576-Infrastructure!J$4)^2+($S576-Infrastructure!K$4)^2)</f>
        <v>31.47268657</v>
      </c>
      <c r="AX576" s="331">
        <f>SQRT(($R576-Infrastructure!J$5)^2+($S576-Infrastructure!K$5)^2)</f>
        <v>41.29818398</v>
      </c>
      <c r="AY576" s="331">
        <f>SQRT(($R576-Infrastructure!J$6)^2+($S576-Infrastructure!K$6)^2)</f>
        <v>41.17984944</v>
      </c>
      <c r="AZ576" s="331">
        <f>SQRT(($R576-Infrastructure!J$7)^2+($S576-Infrastructure!K$7)^2)</f>
        <v>39.34590195</v>
      </c>
      <c r="BA576" s="331">
        <f>SQRT(($R576-Infrastructure!J$8)^2+($S576-Infrastructure!K$8)^2)</f>
        <v>40.04722213</v>
      </c>
      <c r="BB576" s="331">
        <f>SQRT(($R576-Infrastructure!J$9)^2+($S576-Infrastructure!K$9)^2)</f>
        <v>38.72996256</v>
      </c>
      <c r="BC576" s="331">
        <f>SQRT(($R576-Infrastructure!J$10)^2+($S576-Infrastructure!K$10)^2)</f>
        <v>30.24764454</v>
      </c>
      <c r="BD576" s="318"/>
      <c r="BE576" s="332"/>
      <c r="BF576" s="330">
        <f t="shared" si="14"/>
        <v>25.09541791</v>
      </c>
      <c r="BG576" s="333">
        <f t="shared" si="15"/>
        <v>41.29818398</v>
      </c>
      <c r="BH576" s="613"/>
      <c r="BI576" s="462" t="s">
        <v>846</v>
      </c>
      <c r="BJ576" s="338"/>
      <c r="BK576" s="338"/>
      <c r="BL576" s="319" t="s">
        <v>846</v>
      </c>
      <c r="BM576" s="319" t="s">
        <v>846</v>
      </c>
      <c r="BN576" s="319"/>
      <c r="BO576" s="722"/>
      <c r="BP576" s="319" t="s">
        <v>846</v>
      </c>
      <c r="BQ576" s="338"/>
      <c r="BR576" s="420"/>
      <c r="BS576" s="330">
        <f t="shared" si="23"/>
        <v>25.09541791</v>
      </c>
      <c r="BT576" s="331">
        <f t="shared" si="24"/>
        <v>41.17984944</v>
      </c>
      <c r="BU576" s="331"/>
      <c r="BV576" s="333"/>
      <c r="BW576" s="614"/>
      <c r="BX576" s="615"/>
      <c r="BY576" s="331"/>
      <c r="BZ576" s="340"/>
      <c r="CA576" s="316"/>
      <c r="CB576" s="318"/>
      <c r="CC576" s="318"/>
      <c r="CD576" s="318"/>
      <c r="CE576" s="318"/>
      <c r="CF576" s="318"/>
      <c r="CG576" s="318"/>
      <c r="CH576" s="318"/>
      <c r="CI576" s="338"/>
      <c r="CJ576" s="341"/>
      <c r="CK576" s="342">
        <f t="shared" si="18"/>
        <v>0</v>
      </c>
      <c r="CL576" s="333">
        <f t="shared" si="19"/>
        <v>0</v>
      </c>
      <c r="CM576" s="616"/>
      <c r="CN576" s="617"/>
      <c r="CO576" s="617"/>
      <c r="CP576" s="617"/>
    </row>
    <row r="577">
      <c r="B577" s="462"/>
      <c r="C577" s="719">
        <v>44167.0</v>
      </c>
      <c r="D577" s="720" t="s">
        <v>986</v>
      </c>
      <c r="E577" s="603" t="s">
        <v>1232</v>
      </c>
      <c r="F577" s="619" t="str">
        <f t="shared" si="34"/>
        <v>2020/02-29C</v>
      </c>
      <c r="G577" s="721">
        <v>0.4451388888888889</v>
      </c>
      <c r="H577" s="602">
        <v>0.4451388888888889</v>
      </c>
      <c r="I577" s="602"/>
      <c r="J577" s="602"/>
      <c r="K577" s="602">
        <v>0.4479166666666667</v>
      </c>
      <c r="L577" s="602">
        <f t="shared" si="35"/>
        <v>0.002777777778</v>
      </c>
      <c r="M577" s="629" t="s">
        <v>358</v>
      </c>
      <c r="N577" s="324" t="s">
        <v>188</v>
      </c>
      <c r="O577" s="419" t="s">
        <v>378</v>
      </c>
      <c r="P577" s="603" t="s">
        <v>217</v>
      </c>
      <c r="Q577" s="630" t="s">
        <v>851</v>
      </c>
      <c r="R577" s="631">
        <v>22.4</v>
      </c>
      <c r="S577" s="661">
        <v>39.6</v>
      </c>
      <c r="T577" s="633">
        <v>1.8</v>
      </c>
      <c r="U577" s="610">
        <v>10.0</v>
      </c>
      <c r="V577" s="610"/>
      <c r="W577" s="610"/>
      <c r="X577" s="610"/>
      <c r="Y577" s="610"/>
      <c r="Z577" s="610" t="s">
        <v>1140</v>
      </c>
      <c r="AA577" s="610"/>
      <c r="AB577" s="610" t="s">
        <v>403</v>
      </c>
      <c r="AC577" s="611">
        <v>8.0</v>
      </c>
      <c r="AD577" s="610"/>
      <c r="AE577" s="610"/>
      <c r="AF577" s="610"/>
      <c r="AG577" s="610"/>
      <c r="AH577" s="610"/>
      <c r="AI577" s="610"/>
      <c r="AJ577" s="611"/>
      <c r="AK577" s="612"/>
      <c r="AL577" s="610"/>
      <c r="AM577" s="610"/>
      <c r="AN577" s="610"/>
      <c r="AO577" s="610"/>
      <c r="AP577" s="610"/>
      <c r="AQ577" s="610"/>
      <c r="AR577" s="610"/>
      <c r="AS577" s="611"/>
      <c r="AT577" s="461" t="s">
        <v>182</v>
      </c>
      <c r="AU577" s="324" t="s">
        <v>845</v>
      </c>
      <c r="AV577" s="330">
        <f>SQRT(($R577-Infrastructure!J$3)^2+($S577-Infrastructure!K$3)^2)</f>
        <v>25.09541791</v>
      </c>
      <c r="AW577" s="331">
        <f>SQRT(($R577-Infrastructure!J$4)^2+($S577-Infrastructure!K$4)^2)</f>
        <v>31.47268657</v>
      </c>
      <c r="AX577" s="331">
        <f>SQRT(($R577-Infrastructure!J$5)^2+($S577-Infrastructure!K$5)^2)</f>
        <v>41.29818398</v>
      </c>
      <c r="AY577" s="331">
        <f>SQRT(($R577-Infrastructure!J$6)^2+($S577-Infrastructure!K$6)^2)</f>
        <v>41.17984944</v>
      </c>
      <c r="AZ577" s="331">
        <f>SQRT(($R577-Infrastructure!J$7)^2+($S577-Infrastructure!K$7)^2)</f>
        <v>39.34590195</v>
      </c>
      <c r="BA577" s="331">
        <f>SQRT(($R577-Infrastructure!J$8)^2+($S577-Infrastructure!K$8)^2)</f>
        <v>40.04722213</v>
      </c>
      <c r="BB577" s="331">
        <f>SQRT(($R577-Infrastructure!J$9)^2+($S577-Infrastructure!K$9)^2)</f>
        <v>38.72996256</v>
      </c>
      <c r="BC577" s="331">
        <f>SQRT(($R577-Infrastructure!J$10)^2+($S577-Infrastructure!K$10)^2)</f>
        <v>30.24764454</v>
      </c>
      <c r="BD577" s="318"/>
      <c r="BE577" s="332"/>
      <c r="BF577" s="330">
        <f t="shared" si="14"/>
        <v>25.09541791</v>
      </c>
      <c r="BG577" s="333">
        <f t="shared" si="15"/>
        <v>41.29818398</v>
      </c>
      <c r="BH577" s="613"/>
      <c r="BI577" s="462" t="s">
        <v>846</v>
      </c>
      <c r="BJ577" s="338"/>
      <c r="BK577" s="338"/>
      <c r="BL577" s="319" t="s">
        <v>846</v>
      </c>
      <c r="BM577" s="319" t="s">
        <v>846</v>
      </c>
      <c r="BN577" s="319"/>
      <c r="BO577" s="722"/>
      <c r="BP577" s="319" t="s">
        <v>846</v>
      </c>
      <c r="BQ577" s="338"/>
      <c r="BR577" s="420"/>
      <c r="BS577" s="330">
        <f t="shared" si="23"/>
        <v>25.09541791</v>
      </c>
      <c r="BT577" s="331">
        <f t="shared" si="24"/>
        <v>41.17984944</v>
      </c>
      <c r="BU577" s="331"/>
      <c r="BV577" s="333"/>
      <c r="BW577" s="614"/>
      <c r="BX577" s="615"/>
      <c r="BY577" s="331"/>
      <c r="BZ577" s="340"/>
      <c r="CA577" s="316"/>
      <c r="CB577" s="318"/>
      <c r="CC577" s="318"/>
      <c r="CD577" s="318"/>
      <c r="CE577" s="318"/>
      <c r="CF577" s="318"/>
      <c r="CG577" s="318"/>
      <c r="CH577" s="318"/>
      <c r="CI577" s="338"/>
      <c r="CJ577" s="341"/>
      <c r="CK577" s="342">
        <f t="shared" si="18"/>
        <v>0</v>
      </c>
      <c r="CL577" s="333">
        <f t="shared" si="19"/>
        <v>0</v>
      </c>
      <c r="CM577" s="616"/>
      <c r="CN577" s="617"/>
      <c r="CO577" s="617"/>
      <c r="CP577" s="617"/>
    </row>
    <row r="578">
      <c r="B578" s="462"/>
      <c r="C578" s="719">
        <v>44167.0</v>
      </c>
      <c r="D578" s="720" t="s">
        <v>986</v>
      </c>
      <c r="E578" s="603">
        <v>30.0</v>
      </c>
      <c r="F578" s="619" t="str">
        <f t="shared" si="34"/>
        <v>2020/02-30</v>
      </c>
      <c r="G578" s="721">
        <v>0.45208333333333334</v>
      </c>
      <c r="H578" s="602">
        <v>0.45208333333333334</v>
      </c>
      <c r="I578" s="602"/>
      <c r="J578" s="602"/>
      <c r="K578" s="602">
        <v>0.45694444444444443</v>
      </c>
      <c r="L578" s="602">
        <f t="shared" si="35"/>
        <v>0.004861111111</v>
      </c>
      <c r="M578" s="629" t="s">
        <v>358</v>
      </c>
      <c r="N578" s="324" t="s">
        <v>188</v>
      </c>
      <c r="O578" s="419" t="s">
        <v>378</v>
      </c>
      <c r="P578" s="603" t="s">
        <v>217</v>
      </c>
      <c r="Q578" s="630" t="s">
        <v>851</v>
      </c>
      <c r="R578" s="631">
        <v>22.4</v>
      </c>
      <c r="S578" s="661">
        <v>39.6</v>
      </c>
      <c r="T578" s="633">
        <v>1.8</v>
      </c>
      <c r="U578" s="610">
        <v>1.0</v>
      </c>
      <c r="V578" s="610"/>
      <c r="W578" s="610"/>
      <c r="X578" s="610"/>
      <c r="Y578" s="610"/>
      <c r="Z578" s="610" t="s">
        <v>1221</v>
      </c>
      <c r="AA578" s="610"/>
      <c r="AB578" s="610" t="s">
        <v>398</v>
      </c>
      <c r="AC578" s="611">
        <v>6.0</v>
      </c>
      <c r="AD578" s="610"/>
      <c r="AE578" s="610"/>
      <c r="AF578" s="610"/>
      <c r="AG578" s="610"/>
      <c r="AH578" s="610"/>
      <c r="AI578" s="610"/>
      <c r="AJ578" s="611"/>
      <c r="AK578" s="612"/>
      <c r="AL578" s="610"/>
      <c r="AM578" s="610"/>
      <c r="AN578" s="610"/>
      <c r="AO578" s="610"/>
      <c r="AP578" s="610"/>
      <c r="AQ578" s="610"/>
      <c r="AR578" s="610"/>
      <c r="AS578" s="611"/>
      <c r="AT578" s="461" t="s">
        <v>182</v>
      </c>
      <c r="AU578" s="324" t="s">
        <v>845</v>
      </c>
      <c r="AV578" s="330">
        <f>SQRT(($R578-Infrastructure!J$3)^2+($S578-Infrastructure!K$3)^2)</f>
        <v>25.09541791</v>
      </c>
      <c r="AW578" s="331">
        <f>SQRT(($R578-Infrastructure!J$4)^2+($S578-Infrastructure!K$4)^2)</f>
        <v>31.47268657</v>
      </c>
      <c r="AX578" s="331">
        <f>SQRT(($R578-Infrastructure!J$5)^2+($S578-Infrastructure!K$5)^2)</f>
        <v>41.29818398</v>
      </c>
      <c r="AY578" s="331">
        <f>SQRT(($R578-Infrastructure!J$6)^2+($S578-Infrastructure!K$6)^2)</f>
        <v>41.17984944</v>
      </c>
      <c r="AZ578" s="331">
        <f>SQRT(($R578-Infrastructure!J$7)^2+($S578-Infrastructure!K$7)^2)</f>
        <v>39.34590195</v>
      </c>
      <c r="BA578" s="331">
        <f>SQRT(($R578-Infrastructure!J$8)^2+($S578-Infrastructure!K$8)^2)</f>
        <v>40.04722213</v>
      </c>
      <c r="BB578" s="331">
        <f>SQRT(($R578-Infrastructure!J$9)^2+($S578-Infrastructure!K$9)^2)</f>
        <v>38.72996256</v>
      </c>
      <c r="BC578" s="331">
        <f>SQRT(($R578-Infrastructure!J$10)^2+($S578-Infrastructure!K$10)^2)</f>
        <v>30.24764454</v>
      </c>
      <c r="BD578" s="318"/>
      <c r="BE578" s="332"/>
      <c r="BF578" s="330">
        <f t="shared" si="14"/>
        <v>25.09541791</v>
      </c>
      <c r="BG578" s="333">
        <f t="shared" si="15"/>
        <v>41.29818398</v>
      </c>
      <c r="BH578" s="613"/>
      <c r="BI578" s="462" t="s">
        <v>846</v>
      </c>
      <c r="BJ578" s="338"/>
      <c r="BK578" s="338"/>
      <c r="BL578" s="319"/>
      <c r="BM578" s="319" t="s">
        <v>846</v>
      </c>
      <c r="BN578" s="318"/>
      <c r="BO578" s="722"/>
      <c r="BP578" s="318"/>
      <c r="BQ578" s="338"/>
      <c r="BR578" s="420"/>
      <c r="BS578" s="330">
        <f t="shared" si="23"/>
        <v>25.09541791</v>
      </c>
      <c r="BT578" s="331">
        <f t="shared" si="24"/>
        <v>39.34590195</v>
      </c>
      <c r="BU578" s="331"/>
      <c r="BV578" s="333"/>
      <c r="BW578" s="614"/>
      <c r="BX578" s="615"/>
      <c r="BY578" s="331"/>
      <c r="BZ578" s="340"/>
      <c r="CA578" s="316"/>
      <c r="CB578" s="318"/>
      <c r="CC578" s="318"/>
      <c r="CD578" s="318"/>
      <c r="CE578" s="318"/>
      <c r="CF578" s="318"/>
      <c r="CG578" s="318"/>
      <c r="CH578" s="318"/>
      <c r="CI578" s="338"/>
      <c r="CJ578" s="341"/>
      <c r="CK578" s="342">
        <f t="shared" si="18"/>
        <v>0</v>
      </c>
      <c r="CL578" s="333">
        <f t="shared" si="19"/>
        <v>0</v>
      </c>
      <c r="CM578" s="616"/>
      <c r="CN578" s="617"/>
      <c r="CO578" s="617"/>
      <c r="CP578" s="617"/>
    </row>
    <row r="579">
      <c r="B579" s="462"/>
      <c r="C579" s="719">
        <v>44167.0</v>
      </c>
      <c r="D579" s="720" t="s">
        <v>986</v>
      </c>
      <c r="E579" s="603">
        <v>31.0</v>
      </c>
      <c r="F579" s="619" t="str">
        <f t="shared" si="34"/>
        <v>2020/02-31</v>
      </c>
      <c r="G579" s="721">
        <v>0.45694444444444443</v>
      </c>
      <c r="H579" s="602">
        <v>0.45694444444444443</v>
      </c>
      <c r="I579" s="602"/>
      <c r="J579" s="602"/>
      <c r="K579" s="602">
        <v>0.4597222222222222</v>
      </c>
      <c r="L579" s="602">
        <f t="shared" si="35"/>
        <v>0.002777777778</v>
      </c>
      <c r="M579" s="629" t="s">
        <v>358</v>
      </c>
      <c r="N579" s="324" t="s">
        <v>188</v>
      </c>
      <c r="O579" s="419" t="s">
        <v>196</v>
      </c>
      <c r="P579" s="605" t="s">
        <v>224</v>
      </c>
      <c r="Q579" s="630" t="s">
        <v>842</v>
      </c>
      <c r="R579" s="631">
        <v>21.4</v>
      </c>
      <c r="S579" s="661">
        <v>39.3</v>
      </c>
      <c r="T579" s="619">
        <v>1.3</v>
      </c>
      <c r="U579" s="610">
        <v>20.0</v>
      </c>
      <c r="V579" s="610"/>
      <c r="W579" s="610"/>
      <c r="X579" s="610"/>
      <c r="Y579" s="610"/>
      <c r="Z579" s="610" t="s">
        <v>387</v>
      </c>
      <c r="AA579" s="610"/>
      <c r="AB579" s="610" t="s">
        <v>413</v>
      </c>
      <c r="AC579" s="611">
        <v>26.6</v>
      </c>
      <c r="AD579" s="610"/>
      <c r="AE579" s="610"/>
      <c r="AF579" s="610"/>
      <c r="AG579" s="610"/>
      <c r="AH579" s="610"/>
      <c r="AI579" s="610"/>
      <c r="AJ579" s="611"/>
      <c r="AK579" s="612"/>
      <c r="AL579" s="610"/>
      <c r="AM579" s="610"/>
      <c r="AN579" s="610"/>
      <c r="AO579" s="610"/>
      <c r="AP579" s="610"/>
      <c r="AQ579" s="610"/>
      <c r="AR579" s="610"/>
      <c r="AS579" s="611"/>
      <c r="AT579" s="461" t="s">
        <v>183</v>
      </c>
      <c r="AU579" s="324" t="s">
        <v>845</v>
      </c>
      <c r="AV579" s="330">
        <f>SQRT(($R579-Infrastructure!J$3)^2+($S579-Infrastructure!K$3)^2)</f>
        <v>24.06345777</v>
      </c>
      <c r="AW579" s="331">
        <f>SQRT(($R579-Infrastructure!J$4)^2+($S579-Infrastructure!K$4)^2)</f>
        <v>30.54734031</v>
      </c>
      <c r="AX579" s="331">
        <f>SQRT(($R579-Infrastructure!J$5)^2+($S579-Infrastructure!K$5)^2)</f>
        <v>40.50345664</v>
      </c>
      <c r="AY579" s="331">
        <f>SQRT(($R579-Infrastructure!J$6)^2+($S579-Infrastructure!K$6)^2)</f>
        <v>40.60406384</v>
      </c>
      <c r="AZ579" s="331">
        <f>SQRT(($R579-Infrastructure!J$7)^2+($S579-Infrastructure!K$7)^2)</f>
        <v>39.01038323</v>
      </c>
      <c r="BA579" s="331">
        <f>SQRT(($R579-Infrastructure!J$8)^2+($S579-Infrastructure!K$8)^2)</f>
        <v>39.95860358</v>
      </c>
      <c r="BB579" s="331">
        <f>SQRT(($R579-Infrastructure!J$9)^2+($S579-Infrastructure!K$9)^2)</f>
        <v>38.93070767</v>
      </c>
      <c r="BC579" s="331">
        <f>SQRT(($R579-Infrastructure!J$10)^2+($S579-Infrastructure!K$10)^2)</f>
        <v>30.60147055</v>
      </c>
      <c r="BD579" s="318"/>
      <c r="BE579" s="332"/>
      <c r="BF579" s="330">
        <f t="shared" si="14"/>
        <v>24.06345777</v>
      </c>
      <c r="BG579" s="333">
        <f t="shared" si="15"/>
        <v>40.60406384</v>
      </c>
      <c r="BH579" s="613"/>
      <c r="BI579" s="462" t="s">
        <v>846</v>
      </c>
      <c r="BJ579" s="338"/>
      <c r="BK579" s="338"/>
      <c r="BL579" s="319"/>
      <c r="BM579" s="318"/>
      <c r="BN579" s="318"/>
      <c r="BO579" s="722"/>
      <c r="BP579" s="318"/>
      <c r="BQ579" s="338"/>
      <c r="BR579" s="420"/>
      <c r="BS579" s="330">
        <f t="shared" si="23"/>
        <v>24.06345777</v>
      </c>
      <c r="BT579" s="331">
        <f t="shared" si="24"/>
        <v>24.06345777</v>
      </c>
      <c r="BU579" s="331"/>
      <c r="BV579" s="333"/>
      <c r="BW579" s="614"/>
      <c r="BX579" s="615"/>
      <c r="BY579" s="331"/>
      <c r="BZ579" s="340"/>
      <c r="CA579" s="316"/>
      <c r="CB579" s="318"/>
      <c r="CC579" s="318"/>
      <c r="CD579" s="318"/>
      <c r="CE579" s="318"/>
      <c r="CF579" s="318"/>
      <c r="CG579" s="318"/>
      <c r="CH579" s="318"/>
      <c r="CI579" s="338"/>
      <c r="CJ579" s="341"/>
      <c r="CK579" s="342">
        <f t="shared" si="18"/>
        <v>0</v>
      </c>
      <c r="CL579" s="333">
        <f t="shared" si="19"/>
        <v>0</v>
      </c>
      <c r="CM579" s="616"/>
      <c r="CN579" s="617"/>
      <c r="CO579" s="617"/>
      <c r="CP579" s="617"/>
    </row>
    <row r="580">
      <c r="B580" s="462"/>
      <c r="C580" s="719">
        <v>44167.0</v>
      </c>
      <c r="D580" s="720" t="s">
        <v>986</v>
      </c>
      <c r="E580" s="603">
        <v>32.0</v>
      </c>
      <c r="F580" s="619" t="str">
        <f t="shared" si="34"/>
        <v>2020/02-32</v>
      </c>
      <c r="G580" s="721">
        <v>0.46319444444444446</v>
      </c>
      <c r="H580" s="602">
        <v>0.46319444444444446</v>
      </c>
      <c r="I580" s="602"/>
      <c r="J580" s="602"/>
      <c r="K580" s="602">
        <v>0.46597222222222223</v>
      </c>
      <c r="L580" s="602">
        <f t="shared" si="35"/>
        <v>0.002777777778</v>
      </c>
      <c r="M580" s="629" t="s">
        <v>358</v>
      </c>
      <c r="N580" s="324" t="s">
        <v>188</v>
      </c>
      <c r="O580" s="419" t="s">
        <v>378</v>
      </c>
      <c r="P580" s="605" t="s">
        <v>224</v>
      </c>
      <c r="Q580" s="630" t="s">
        <v>842</v>
      </c>
      <c r="R580" s="631">
        <v>22.4</v>
      </c>
      <c r="S580" s="661">
        <v>39.6</v>
      </c>
      <c r="T580" s="619">
        <v>1.1</v>
      </c>
      <c r="U580" s="603">
        <v>10.0</v>
      </c>
      <c r="V580" s="603"/>
      <c r="W580" s="603"/>
      <c r="X580" s="603"/>
      <c r="Y580" s="603"/>
      <c r="Z580" s="610" t="s">
        <v>1140</v>
      </c>
      <c r="AA580" s="610"/>
      <c r="AB580" s="610" t="s">
        <v>410</v>
      </c>
      <c r="AC580" s="611">
        <v>22.1</v>
      </c>
      <c r="AD580" s="610"/>
      <c r="AE580" s="610"/>
      <c r="AF580" s="610"/>
      <c r="AG580" s="610"/>
      <c r="AH580" s="610"/>
      <c r="AI580" s="610"/>
      <c r="AJ580" s="611"/>
      <c r="AK580" s="612"/>
      <c r="AL580" s="610"/>
      <c r="AM580" s="610"/>
      <c r="AN580" s="610"/>
      <c r="AO580" s="610"/>
      <c r="AP580" s="610"/>
      <c r="AQ580" s="610"/>
      <c r="AR580" s="610"/>
      <c r="AS580" s="611"/>
      <c r="AT580" s="461" t="s">
        <v>182</v>
      </c>
      <c r="AU580" s="324" t="s">
        <v>845</v>
      </c>
      <c r="AV580" s="330">
        <f>SQRT(($R580-Infrastructure!J$3)^2+($S580-Infrastructure!K$3)^2)</f>
        <v>25.09541791</v>
      </c>
      <c r="AW580" s="331">
        <f>SQRT(($R580-Infrastructure!J$4)^2+($S580-Infrastructure!K$4)^2)</f>
        <v>31.47268657</v>
      </c>
      <c r="AX580" s="331">
        <f>SQRT(($R580-Infrastructure!J$5)^2+($S580-Infrastructure!K$5)^2)</f>
        <v>41.29818398</v>
      </c>
      <c r="AY580" s="331">
        <f>SQRT(($R580-Infrastructure!J$6)^2+($S580-Infrastructure!K$6)^2)</f>
        <v>41.17984944</v>
      </c>
      <c r="AZ580" s="331">
        <f>SQRT(($R580-Infrastructure!J$7)^2+($S580-Infrastructure!K$7)^2)</f>
        <v>39.34590195</v>
      </c>
      <c r="BA580" s="331">
        <f>SQRT(($R580-Infrastructure!J$8)^2+($S580-Infrastructure!K$8)^2)</f>
        <v>40.04722213</v>
      </c>
      <c r="BB580" s="331">
        <f>SQRT(($R580-Infrastructure!J$9)^2+($S580-Infrastructure!K$9)^2)</f>
        <v>38.72996256</v>
      </c>
      <c r="BC580" s="331">
        <f>SQRT(($R580-Infrastructure!J$10)^2+($S580-Infrastructure!K$10)^2)</f>
        <v>30.24764454</v>
      </c>
      <c r="BD580" s="318"/>
      <c r="BE580" s="332"/>
      <c r="BF580" s="330">
        <f t="shared" si="14"/>
        <v>25.09541791</v>
      </c>
      <c r="BG580" s="333">
        <f t="shared" si="15"/>
        <v>41.29818398</v>
      </c>
      <c r="BH580" s="613"/>
      <c r="BI580" s="462" t="s">
        <v>846</v>
      </c>
      <c r="BJ580" s="338"/>
      <c r="BK580" s="338"/>
      <c r="BL580" s="319" t="s">
        <v>846</v>
      </c>
      <c r="BM580" s="319" t="s">
        <v>846</v>
      </c>
      <c r="BN580" s="319"/>
      <c r="BO580" s="722"/>
      <c r="BP580" s="319" t="s">
        <v>846</v>
      </c>
      <c r="BQ580" s="338"/>
      <c r="BR580" s="420"/>
      <c r="BS580" s="330">
        <f t="shared" si="23"/>
        <v>25.09541791</v>
      </c>
      <c r="BT580" s="331">
        <f t="shared" si="24"/>
        <v>41.17984944</v>
      </c>
      <c r="BU580" s="331"/>
      <c r="BV580" s="333"/>
      <c r="BW580" s="614"/>
      <c r="BX580" s="615"/>
      <c r="BY580" s="331"/>
      <c r="BZ580" s="340"/>
      <c r="CA580" s="316"/>
      <c r="CB580" s="318"/>
      <c r="CC580" s="318"/>
      <c r="CD580" s="318"/>
      <c r="CE580" s="318"/>
      <c r="CF580" s="318"/>
      <c r="CG580" s="318"/>
      <c r="CH580" s="318"/>
      <c r="CI580" s="338"/>
      <c r="CJ580" s="341"/>
      <c r="CK580" s="342">
        <f t="shared" si="18"/>
        <v>0</v>
      </c>
      <c r="CL580" s="333">
        <f t="shared" si="19"/>
        <v>0</v>
      </c>
      <c r="CM580" s="616"/>
      <c r="CN580" s="617"/>
      <c r="CO580" s="617"/>
      <c r="CP580" s="617"/>
    </row>
    <row r="581">
      <c r="B581" s="462"/>
      <c r="C581" s="719">
        <v>44167.0</v>
      </c>
      <c r="D581" s="720" t="s">
        <v>986</v>
      </c>
      <c r="E581" s="603">
        <v>33.0</v>
      </c>
      <c r="F581" s="619" t="str">
        <f t="shared" si="34"/>
        <v>2020/02-33</v>
      </c>
      <c r="G581" s="721">
        <v>0.4680555555555555</v>
      </c>
      <c r="H581" s="602">
        <v>0.4680555555555555</v>
      </c>
      <c r="I581" s="602"/>
      <c r="J581" s="602"/>
      <c r="K581" s="602">
        <v>0.4701388888888889</v>
      </c>
      <c r="L581" s="602">
        <f t="shared" si="35"/>
        <v>0.002083333333</v>
      </c>
      <c r="M581" s="629" t="s">
        <v>358</v>
      </c>
      <c r="N581" s="324" t="s">
        <v>188</v>
      </c>
      <c r="O581" s="419" t="s">
        <v>378</v>
      </c>
      <c r="P581" s="605" t="s">
        <v>224</v>
      </c>
      <c r="Q581" s="630" t="s">
        <v>842</v>
      </c>
      <c r="R581" s="631">
        <v>22.4</v>
      </c>
      <c r="S581" s="661">
        <v>39.6</v>
      </c>
      <c r="T581" s="633">
        <v>1.1</v>
      </c>
      <c r="U581" s="603">
        <v>10.0</v>
      </c>
      <c r="V581" s="603"/>
      <c r="W581" s="603"/>
      <c r="X581" s="603"/>
      <c r="Y581" s="603"/>
      <c r="Z581" s="610" t="s">
        <v>1140</v>
      </c>
      <c r="AA581" s="610"/>
      <c r="AB581" s="610" t="s">
        <v>407</v>
      </c>
      <c r="AC581" s="611">
        <v>15.74</v>
      </c>
      <c r="AD581" s="610"/>
      <c r="AE581" s="610"/>
      <c r="AF581" s="610"/>
      <c r="AG581" s="610"/>
      <c r="AH581" s="610"/>
      <c r="AI581" s="610"/>
      <c r="AJ581" s="611"/>
      <c r="AK581" s="612"/>
      <c r="AL581" s="610"/>
      <c r="AM581" s="610"/>
      <c r="AN581" s="610"/>
      <c r="AO581" s="610"/>
      <c r="AP581" s="610"/>
      <c r="AQ581" s="610"/>
      <c r="AR581" s="610"/>
      <c r="AS581" s="611"/>
      <c r="AT581" s="461" t="s">
        <v>182</v>
      </c>
      <c r="AU581" s="324" t="s">
        <v>845</v>
      </c>
      <c r="AV581" s="330">
        <f>SQRT(($R581-Infrastructure!J$3)^2+($S581-Infrastructure!K$3)^2)</f>
        <v>25.09541791</v>
      </c>
      <c r="AW581" s="331">
        <f>SQRT(($R581-Infrastructure!J$4)^2+($S581-Infrastructure!K$4)^2)</f>
        <v>31.47268657</v>
      </c>
      <c r="AX581" s="331">
        <f>SQRT(($R581-Infrastructure!J$5)^2+($S581-Infrastructure!K$5)^2)</f>
        <v>41.29818398</v>
      </c>
      <c r="AY581" s="331">
        <f>SQRT(($R581-Infrastructure!J$6)^2+($S581-Infrastructure!K$6)^2)</f>
        <v>41.17984944</v>
      </c>
      <c r="AZ581" s="331">
        <f>SQRT(($R581-Infrastructure!J$7)^2+($S581-Infrastructure!K$7)^2)</f>
        <v>39.34590195</v>
      </c>
      <c r="BA581" s="331">
        <f>SQRT(($R581-Infrastructure!J$8)^2+($S581-Infrastructure!K$8)^2)</f>
        <v>40.04722213</v>
      </c>
      <c r="BB581" s="331">
        <f>SQRT(($R581-Infrastructure!J$9)^2+($S581-Infrastructure!K$9)^2)</f>
        <v>38.72996256</v>
      </c>
      <c r="BC581" s="331">
        <f>SQRT(($R581-Infrastructure!J$10)^2+($S581-Infrastructure!K$10)^2)</f>
        <v>30.24764454</v>
      </c>
      <c r="BD581" s="318"/>
      <c r="BE581" s="332"/>
      <c r="BF581" s="330">
        <f t="shared" si="14"/>
        <v>25.09541791</v>
      </c>
      <c r="BG581" s="333">
        <f t="shared" si="15"/>
        <v>41.29818398</v>
      </c>
      <c r="BH581" s="613"/>
      <c r="BI581" s="462" t="s">
        <v>846</v>
      </c>
      <c r="BJ581" s="338"/>
      <c r="BK581" s="338"/>
      <c r="BL581" s="319" t="s">
        <v>846</v>
      </c>
      <c r="BM581" s="319" t="s">
        <v>846</v>
      </c>
      <c r="BN581" s="319"/>
      <c r="BO581" s="722"/>
      <c r="BP581" s="319" t="s">
        <v>846</v>
      </c>
      <c r="BQ581" s="338"/>
      <c r="BR581" s="420"/>
      <c r="BS581" s="330">
        <f t="shared" si="23"/>
        <v>25.09541791</v>
      </c>
      <c r="BT581" s="331">
        <f t="shared" si="24"/>
        <v>41.17984944</v>
      </c>
      <c r="BU581" s="331"/>
      <c r="BV581" s="333"/>
      <c r="BW581" s="614"/>
      <c r="BX581" s="615"/>
      <c r="BY581" s="331"/>
      <c r="BZ581" s="340"/>
      <c r="CA581" s="316"/>
      <c r="CB581" s="318"/>
      <c r="CC581" s="318"/>
      <c r="CD581" s="318"/>
      <c r="CE581" s="318"/>
      <c r="CF581" s="318"/>
      <c r="CG581" s="318"/>
      <c r="CH581" s="318"/>
      <c r="CI581" s="338"/>
      <c r="CJ581" s="341"/>
      <c r="CK581" s="342">
        <f t="shared" si="18"/>
        <v>0</v>
      </c>
      <c r="CL581" s="333">
        <f t="shared" si="19"/>
        <v>0</v>
      </c>
      <c r="CM581" s="616"/>
      <c r="CN581" s="617"/>
      <c r="CO581" s="617"/>
      <c r="CP581" s="617"/>
    </row>
    <row r="582">
      <c r="B582" s="462"/>
      <c r="C582" s="719">
        <v>44167.0</v>
      </c>
      <c r="D582" s="720" t="s">
        <v>986</v>
      </c>
      <c r="E582" s="603">
        <v>34.0</v>
      </c>
      <c r="F582" s="619" t="str">
        <f t="shared" si="34"/>
        <v>2020/02-34</v>
      </c>
      <c r="G582" s="721">
        <v>0.4770833333333333</v>
      </c>
      <c r="H582" s="602">
        <v>0.4770833333333333</v>
      </c>
      <c r="I582" s="602"/>
      <c r="J582" s="602"/>
      <c r="K582" s="602">
        <v>0.4798611111111111</v>
      </c>
      <c r="L582" s="602">
        <f t="shared" si="35"/>
        <v>0.002777777778</v>
      </c>
      <c r="M582" s="629" t="s">
        <v>358</v>
      </c>
      <c r="N582" s="324" t="s">
        <v>187</v>
      </c>
      <c r="O582" s="419" t="s">
        <v>201</v>
      </c>
      <c r="P582" s="605" t="s">
        <v>212</v>
      </c>
      <c r="Q582" s="744" t="s">
        <v>851</v>
      </c>
      <c r="R582" s="606">
        <v>16.3</v>
      </c>
      <c r="S582" s="607">
        <v>6.5</v>
      </c>
      <c r="T582" s="608">
        <v>0.6</v>
      </c>
      <c r="U582" s="603">
        <v>7.0</v>
      </c>
      <c r="V582" s="603"/>
      <c r="W582" s="603"/>
      <c r="X582" s="603"/>
      <c r="Y582" s="603"/>
      <c r="Z582" s="603" t="s">
        <v>339</v>
      </c>
      <c r="AA582" s="603"/>
      <c r="AB582" s="744" t="s">
        <v>345</v>
      </c>
      <c r="AC582" s="621">
        <v>4.0</v>
      </c>
      <c r="AD582" s="603"/>
      <c r="AE582" s="603"/>
      <c r="AF582" s="603"/>
      <c r="AG582" s="603"/>
      <c r="AH582" s="603"/>
      <c r="AI582" s="603"/>
      <c r="AJ582" s="621"/>
      <c r="AK582" s="622"/>
      <c r="AL582" s="603"/>
      <c r="AM582" s="603"/>
      <c r="AN582" s="603"/>
      <c r="AO582" s="603"/>
      <c r="AP582" s="603"/>
      <c r="AQ582" s="603"/>
      <c r="AR582" s="603"/>
      <c r="AS582" s="621"/>
      <c r="AT582" s="461" t="s">
        <v>182</v>
      </c>
      <c r="AU582" s="324" t="s">
        <v>845</v>
      </c>
      <c r="AV582" s="330">
        <f>SQRT(($R582-Infrastructure!J$3)^2+($S582-Infrastructure!K$3)^2)</f>
        <v>27.88045911</v>
      </c>
      <c r="AW582" s="331">
        <f>SQRT(($R582-Infrastructure!J$4)^2+($S582-Infrastructure!K$4)^2)</f>
        <v>20.08108563</v>
      </c>
      <c r="AX582" s="331">
        <f>SQRT(($R582-Infrastructure!J$5)^2+($S582-Infrastructure!K$5)^2)</f>
        <v>16.65893154</v>
      </c>
      <c r="AY582" s="331">
        <f>SQRT(($R582-Infrastructure!J$6)^2+($S582-Infrastructure!K$6)^2)</f>
        <v>8.768124087</v>
      </c>
      <c r="AZ582" s="331">
        <f>SQRT(($R582-Infrastructure!J$7)^2+($S582-Infrastructure!K$7)^2)</f>
        <v>7.488658091</v>
      </c>
      <c r="BA582" s="331">
        <f>SQRT(($R582-Infrastructure!J$8)^2+($S582-Infrastructure!K$8)^2)</f>
        <v>15.12878052</v>
      </c>
      <c r="BB582" s="331">
        <f>SQRT(($R582-Infrastructure!J$9)^2+($S582-Infrastructure!K$9)^2)</f>
        <v>23.7413142</v>
      </c>
      <c r="BC582" s="331">
        <f>SQRT(($R582-Infrastructure!J$10)^2+($S582-Infrastructure!K$10)^2)</f>
        <v>25.17816514</v>
      </c>
      <c r="BD582" s="318"/>
      <c r="BE582" s="332"/>
      <c r="BF582" s="330">
        <f t="shared" si="14"/>
        <v>7.488658091</v>
      </c>
      <c r="BG582" s="333">
        <f t="shared" si="15"/>
        <v>27.88045911</v>
      </c>
      <c r="BH582" s="613"/>
      <c r="BI582" s="462" t="s">
        <v>846</v>
      </c>
      <c r="BJ582" s="338"/>
      <c r="BK582" s="338"/>
      <c r="BL582" s="319" t="s">
        <v>846</v>
      </c>
      <c r="BM582" s="319" t="s">
        <v>846</v>
      </c>
      <c r="BN582" s="319" t="s">
        <v>846</v>
      </c>
      <c r="BO582" s="722"/>
      <c r="BP582" s="319" t="s">
        <v>846</v>
      </c>
      <c r="BQ582" s="338"/>
      <c r="BR582" s="420"/>
      <c r="BS582" s="330">
        <f t="shared" si="23"/>
        <v>7.488658091</v>
      </c>
      <c r="BT582" s="331">
        <f t="shared" si="24"/>
        <v>27.88045911</v>
      </c>
      <c r="BU582" s="331"/>
      <c r="BV582" s="333"/>
      <c r="BW582" s="614"/>
      <c r="BX582" s="615"/>
      <c r="BY582" s="331"/>
      <c r="BZ582" s="340"/>
      <c r="CA582" s="316"/>
      <c r="CB582" s="318"/>
      <c r="CC582" s="318"/>
      <c r="CD582" s="318"/>
      <c r="CE582" s="318"/>
      <c r="CF582" s="318"/>
      <c r="CG582" s="318"/>
      <c r="CH582" s="318"/>
      <c r="CI582" s="338"/>
      <c r="CJ582" s="341"/>
      <c r="CK582" s="342">
        <f t="shared" si="18"/>
        <v>0</v>
      </c>
      <c r="CL582" s="333">
        <f t="shared" si="19"/>
        <v>0</v>
      </c>
      <c r="CM582" s="616"/>
      <c r="CN582" s="617"/>
      <c r="CO582" s="617"/>
      <c r="CP582" s="617"/>
    </row>
    <row r="583">
      <c r="B583" s="462"/>
      <c r="C583" s="719">
        <v>44167.0</v>
      </c>
      <c r="D583" s="720" t="s">
        <v>986</v>
      </c>
      <c r="E583" s="603">
        <v>35.0</v>
      </c>
      <c r="F583" s="619" t="str">
        <f t="shared" si="34"/>
        <v>2020/02-35</v>
      </c>
      <c r="G583" s="721">
        <v>0.48055555555555557</v>
      </c>
      <c r="H583" s="602">
        <v>0.48055555555555557</v>
      </c>
      <c r="I583" s="602"/>
      <c r="J583" s="602"/>
      <c r="K583" s="602">
        <v>0.48333333333333334</v>
      </c>
      <c r="L583" s="602">
        <f t="shared" si="35"/>
        <v>0.002777777778</v>
      </c>
      <c r="M583" s="629" t="s">
        <v>358</v>
      </c>
      <c r="N583" s="324" t="s">
        <v>187</v>
      </c>
      <c r="O583" s="419" t="s">
        <v>201</v>
      </c>
      <c r="P583" s="605" t="s">
        <v>212</v>
      </c>
      <c r="Q583" s="610" t="s">
        <v>851</v>
      </c>
      <c r="R583" s="606">
        <v>16.3</v>
      </c>
      <c r="S583" s="607">
        <v>6.5</v>
      </c>
      <c r="T583" s="608">
        <v>0.6</v>
      </c>
      <c r="U583" s="603">
        <v>4.0</v>
      </c>
      <c r="V583" s="603"/>
      <c r="W583" s="603"/>
      <c r="X583" s="603"/>
      <c r="Y583" s="603"/>
      <c r="Z583" s="603" t="s">
        <v>339</v>
      </c>
      <c r="AA583" s="603"/>
      <c r="AB583" s="610" t="s">
        <v>345</v>
      </c>
      <c r="AC583" s="611">
        <v>4.0</v>
      </c>
      <c r="AD583" s="610"/>
      <c r="AE583" s="610"/>
      <c r="AF583" s="610"/>
      <c r="AG583" s="610"/>
      <c r="AH583" s="610"/>
      <c r="AI583" s="610"/>
      <c r="AJ583" s="611"/>
      <c r="AK583" s="612"/>
      <c r="AL583" s="610"/>
      <c r="AM583" s="610"/>
      <c r="AN583" s="610"/>
      <c r="AO583" s="610"/>
      <c r="AP583" s="610"/>
      <c r="AQ583" s="610"/>
      <c r="AR583" s="610"/>
      <c r="AS583" s="611"/>
      <c r="AT583" s="461" t="s">
        <v>182</v>
      </c>
      <c r="AU583" s="324" t="s">
        <v>845</v>
      </c>
      <c r="AV583" s="330">
        <f>SQRT(($R583-Infrastructure!J$3)^2+($S583-Infrastructure!K$3)^2)</f>
        <v>27.88045911</v>
      </c>
      <c r="AW583" s="331">
        <f>SQRT(($R583-Infrastructure!J$4)^2+($S583-Infrastructure!K$4)^2)</f>
        <v>20.08108563</v>
      </c>
      <c r="AX583" s="331">
        <f>SQRT(($R583-Infrastructure!J$5)^2+($S583-Infrastructure!K$5)^2)</f>
        <v>16.65893154</v>
      </c>
      <c r="AY583" s="331">
        <f>SQRT(($R583-Infrastructure!J$6)^2+($S583-Infrastructure!K$6)^2)</f>
        <v>8.768124087</v>
      </c>
      <c r="AZ583" s="331">
        <f>SQRT(($R583-Infrastructure!J$7)^2+($S583-Infrastructure!K$7)^2)</f>
        <v>7.488658091</v>
      </c>
      <c r="BA583" s="331">
        <f>SQRT(($R583-Infrastructure!J$8)^2+($S583-Infrastructure!K$8)^2)</f>
        <v>15.12878052</v>
      </c>
      <c r="BB583" s="331">
        <f>SQRT(($R583-Infrastructure!J$9)^2+($S583-Infrastructure!K$9)^2)</f>
        <v>23.7413142</v>
      </c>
      <c r="BC583" s="331">
        <f>SQRT(($R583-Infrastructure!J$10)^2+($S583-Infrastructure!K$10)^2)</f>
        <v>25.17816514</v>
      </c>
      <c r="BD583" s="318"/>
      <c r="BE583" s="332"/>
      <c r="BF583" s="330">
        <f t="shared" si="14"/>
        <v>7.488658091</v>
      </c>
      <c r="BG583" s="333">
        <f t="shared" si="15"/>
        <v>27.88045911</v>
      </c>
      <c r="BH583" s="613"/>
      <c r="BI583" s="462" t="s">
        <v>846</v>
      </c>
      <c r="BJ583" s="338"/>
      <c r="BK583" s="338"/>
      <c r="BL583" s="319" t="s">
        <v>846</v>
      </c>
      <c r="BM583" s="319" t="s">
        <v>846</v>
      </c>
      <c r="BN583" s="319" t="s">
        <v>846</v>
      </c>
      <c r="BO583" s="722"/>
      <c r="BP583" s="318"/>
      <c r="BQ583" s="338"/>
      <c r="BR583" s="420"/>
      <c r="BS583" s="330">
        <f t="shared" si="23"/>
        <v>7.488658091</v>
      </c>
      <c r="BT583" s="331">
        <f t="shared" si="24"/>
        <v>27.88045911</v>
      </c>
      <c r="BU583" s="331"/>
      <c r="BV583" s="333"/>
      <c r="BW583" s="614"/>
      <c r="BX583" s="615"/>
      <c r="BY583" s="331"/>
      <c r="BZ583" s="340"/>
      <c r="CA583" s="316"/>
      <c r="CB583" s="318"/>
      <c r="CC583" s="318"/>
      <c r="CD583" s="318"/>
      <c r="CE583" s="318"/>
      <c r="CF583" s="318"/>
      <c r="CG583" s="318"/>
      <c r="CH583" s="318"/>
      <c r="CI583" s="338"/>
      <c r="CJ583" s="341"/>
      <c r="CK583" s="342">
        <f t="shared" si="18"/>
        <v>0</v>
      </c>
      <c r="CL583" s="333">
        <f t="shared" si="19"/>
        <v>0</v>
      </c>
      <c r="CM583" s="616"/>
      <c r="CN583" s="617"/>
      <c r="CO583" s="617"/>
      <c r="CP583" s="617"/>
    </row>
    <row r="584">
      <c r="B584" s="462"/>
      <c r="C584" s="719">
        <v>44167.0</v>
      </c>
      <c r="D584" s="720" t="s">
        <v>986</v>
      </c>
      <c r="E584" s="603">
        <v>36.0</v>
      </c>
      <c r="F584" s="619" t="str">
        <f t="shared" si="34"/>
        <v>2020/02-36</v>
      </c>
      <c r="G584" s="721">
        <v>0.48541666666666666</v>
      </c>
      <c r="H584" s="602">
        <v>0.48541666666666666</v>
      </c>
      <c r="I584" s="602"/>
      <c r="J584" s="602"/>
      <c r="K584" s="602">
        <v>0.48819444444444443</v>
      </c>
      <c r="L584" s="602">
        <f t="shared" si="35"/>
        <v>0.002777777778</v>
      </c>
      <c r="M584" s="629" t="s">
        <v>358</v>
      </c>
      <c r="N584" s="324" t="s">
        <v>187</v>
      </c>
      <c r="O584" s="419" t="s">
        <v>201</v>
      </c>
      <c r="P584" s="605" t="s">
        <v>212</v>
      </c>
      <c r="Q584" s="610" t="s">
        <v>851</v>
      </c>
      <c r="R584" s="606">
        <v>16.3</v>
      </c>
      <c r="S584" s="607">
        <v>6.5</v>
      </c>
      <c r="T584" s="608">
        <v>0.6</v>
      </c>
      <c r="U584" s="603">
        <v>3.0</v>
      </c>
      <c r="V584" s="603"/>
      <c r="W584" s="603"/>
      <c r="X584" s="603"/>
      <c r="Y584" s="603"/>
      <c r="Z584" s="603" t="s">
        <v>339</v>
      </c>
      <c r="AA584" s="603"/>
      <c r="AB584" s="319" t="s">
        <v>337</v>
      </c>
      <c r="AC584" s="611">
        <v>2.5</v>
      </c>
      <c r="AD584" s="610"/>
      <c r="AE584" s="610"/>
      <c r="AF584" s="610"/>
      <c r="AG584" s="610"/>
      <c r="AH584" s="610"/>
      <c r="AI584" s="610"/>
      <c r="AJ584" s="611"/>
      <c r="AK584" s="612"/>
      <c r="AL584" s="610"/>
      <c r="AM584" s="610"/>
      <c r="AN584" s="610"/>
      <c r="AO584" s="610"/>
      <c r="AP584" s="610"/>
      <c r="AQ584" s="610"/>
      <c r="AR584" s="610"/>
      <c r="AS584" s="611"/>
      <c r="AT584" s="461" t="s">
        <v>182</v>
      </c>
      <c r="AU584" s="324" t="s">
        <v>845</v>
      </c>
      <c r="AV584" s="330">
        <f>SQRT(($R584-Infrastructure!J$3)^2+($S584-Infrastructure!K$3)^2)</f>
        <v>27.88045911</v>
      </c>
      <c r="AW584" s="331">
        <f>SQRT(($R584-Infrastructure!J$4)^2+($S584-Infrastructure!K$4)^2)</f>
        <v>20.08108563</v>
      </c>
      <c r="AX584" s="331">
        <f>SQRT(($R584-Infrastructure!J$5)^2+($S584-Infrastructure!K$5)^2)</f>
        <v>16.65893154</v>
      </c>
      <c r="AY584" s="331">
        <f>SQRT(($R584-Infrastructure!J$6)^2+($S584-Infrastructure!K$6)^2)</f>
        <v>8.768124087</v>
      </c>
      <c r="AZ584" s="331">
        <f>SQRT(($R584-Infrastructure!J$7)^2+($S584-Infrastructure!K$7)^2)</f>
        <v>7.488658091</v>
      </c>
      <c r="BA584" s="331">
        <f>SQRT(($R584-Infrastructure!J$8)^2+($S584-Infrastructure!K$8)^2)</f>
        <v>15.12878052</v>
      </c>
      <c r="BB584" s="331">
        <f>SQRT(($R584-Infrastructure!J$9)^2+($S584-Infrastructure!K$9)^2)</f>
        <v>23.7413142</v>
      </c>
      <c r="BC584" s="331">
        <f>SQRT(($R584-Infrastructure!J$10)^2+($S584-Infrastructure!K$10)^2)</f>
        <v>25.17816514</v>
      </c>
      <c r="BD584" s="318"/>
      <c r="BE584" s="332"/>
      <c r="BF584" s="330">
        <f t="shared" si="14"/>
        <v>7.488658091</v>
      </c>
      <c r="BG584" s="333">
        <f t="shared" si="15"/>
        <v>27.88045911</v>
      </c>
      <c r="BH584" s="613"/>
      <c r="BI584" s="462" t="s">
        <v>846</v>
      </c>
      <c r="BJ584" s="338"/>
      <c r="BK584" s="338"/>
      <c r="BL584" s="319" t="s">
        <v>846</v>
      </c>
      <c r="BM584" s="319" t="s">
        <v>846</v>
      </c>
      <c r="BN584" s="319" t="s">
        <v>846</v>
      </c>
      <c r="BO584" s="722"/>
      <c r="BP584" s="319" t="s">
        <v>846</v>
      </c>
      <c r="BQ584" s="338"/>
      <c r="BR584" s="420"/>
      <c r="BS584" s="330">
        <f t="shared" si="23"/>
        <v>7.488658091</v>
      </c>
      <c r="BT584" s="331">
        <f t="shared" si="24"/>
        <v>27.88045911</v>
      </c>
      <c r="BU584" s="331"/>
      <c r="BV584" s="333"/>
      <c r="BW584" s="614"/>
      <c r="BX584" s="615"/>
      <c r="BY584" s="331"/>
      <c r="BZ584" s="340"/>
      <c r="CA584" s="316"/>
      <c r="CB584" s="318"/>
      <c r="CC584" s="318"/>
      <c r="CD584" s="318"/>
      <c r="CE584" s="318"/>
      <c r="CF584" s="318"/>
      <c r="CG584" s="318"/>
      <c r="CH584" s="318"/>
      <c r="CI584" s="338"/>
      <c r="CJ584" s="341"/>
      <c r="CK584" s="342">
        <f t="shared" si="18"/>
        <v>0</v>
      </c>
      <c r="CL584" s="333">
        <f t="shared" si="19"/>
        <v>0</v>
      </c>
      <c r="CM584" s="616"/>
      <c r="CN584" s="617"/>
      <c r="CO584" s="617"/>
      <c r="CP584" s="617"/>
    </row>
    <row r="585">
      <c r="B585" s="462"/>
      <c r="C585" s="719">
        <v>44167.0</v>
      </c>
      <c r="D585" s="720" t="s">
        <v>986</v>
      </c>
      <c r="E585" s="603">
        <v>37.0</v>
      </c>
      <c r="F585" s="619" t="str">
        <f t="shared" si="34"/>
        <v>2020/02-37</v>
      </c>
      <c r="G585" s="721">
        <v>0.48871527777777773</v>
      </c>
      <c r="H585" s="602">
        <v>0.48871527777777773</v>
      </c>
      <c r="I585" s="602"/>
      <c r="J585" s="602"/>
      <c r="K585" s="602">
        <v>0.4914930555555555</v>
      </c>
      <c r="L585" s="602">
        <f t="shared" si="35"/>
        <v>0.002777777778</v>
      </c>
      <c r="M585" s="629" t="s">
        <v>358</v>
      </c>
      <c r="N585" s="324" t="s">
        <v>187</v>
      </c>
      <c r="O585" s="419" t="s">
        <v>201</v>
      </c>
      <c r="P585" s="605" t="s">
        <v>212</v>
      </c>
      <c r="Q585" s="610" t="s">
        <v>851</v>
      </c>
      <c r="R585" s="606">
        <v>16.3</v>
      </c>
      <c r="S585" s="607">
        <v>6.5</v>
      </c>
      <c r="T585" s="608">
        <v>0.6</v>
      </c>
      <c r="U585" s="603">
        <v>2.5</v>
      </c>
      <c r="V585" s="603"/>
      <c r="W585" s="603"/>
      <c r="X585" s="603"/>
      <c r="Y585" s="603"/>
      <c r="Z585" s="603" t="s">
        <v>339</v>
      </c>
      <c r="AA585" s="603"/>
      <c r="AB585" s="319" t="s">
        <v>337</v>
      </c>
      <c r="AC585" s="611">
        <v>2.5</v>
      </c>
      <c r="AD585" s="610"/>
      <c r="AE585" s="610"/>
      <c r="AF585" s="610"/>
      <c r="AG585" s="610"/>
      <c r="AH585" s="610"/>
      <c r="AI585" s="610"/>
      <c r="AJ585" s="611"/>
      <c r="AK585" s="612"/>
      <c r="AL585" s="610"/>
      <c r="AM585" s="610"/>
      <c r="AN585" s="610"/>
      <c r="AO585" s="610"/>
      <c r="AP585" s="610"/>
      <c r="AQ585" s="610"/>
      <c r="AR585" s="610"/>
      <c r="AS585" s="611"/>
      <c r="AT585" s="461" t="s">
        <v>182</v>
      </c>
      <c r="AU585" s="324" t="s">
        <v>845</v>
      </c>
      <c r="AV585" s="330">
        <f>SQRT(($R585-Infrastructure!J$3)^2+($S585-Infrastructure!K$3)^2)</f>
        <v>27.88045911</v>
      </c>
      <c r="AW585" s="331">
        <f>SQRT(($R585-Infrastructure!J$4)^2+($S585-Infrastructure!K$4)^2)</f>
        <v>20.08108563</v>
      </c>
      <c r="AX585" s="331">
        <f>SQRT(($R585-Infrastructure!J$5)^2+($S585-Infrastructure!K$5)^2)</f>
        <v>16.65893154</v>
      </c>
      <c r="AY585" s="331">
        <f>SQRT(($R585-Infrastructure!J$6)^2+($S585-Infrastructure!K$6)^2)</f>
        <v>8.768124087</v>
      </c>
      <c r="AZ585" s="331">
        <f>SQRT(($R585-Infrastructure!J$7)^2+($S585-Infrastructure!K$7)^2)</f>
        <v>7.488658091</v>
      </c>
      <c r="BA585" s="331">
        <f>SQRT(($R585-Infrastructure!J$8)^2+($S585-Infrastructure!K$8)^2)</f>
        <v>15.12878052</v>
      </c>
      <c r="BB585" s="331">
        <f>SQRT(($R585-Infrastructure!J$9)^2+($S585-Infrastructure!K$9)^2)</f>
        <v>23.7413142</v>
      </c>
      <c r="BC585" s="331">
        <f>SQRT(($R585-Infrastructure!J$10)^2+($S585-Infrastructure!K$10)^2)</f>
        <v>25.17816514</v>
      </c>
      <c r="BD585" s="318"/>
      <c r="BE585" s="332"/>
      <c r="BF585" s="330">
        <f t="shared" si="14"/>
        <v>7.488658091</v>
      </c>
      <c r="BG585" s="333">
        <f t="shared" si="15"/>
        <v>27.88045911</v>
      </c>
      <c r="BH585" s="613"/>
      <c r="BI585" s="462" t="s">
        <v>846</v>
      </c>
      <c r="BJ585" s="338"/>
      <c r="BK585" s="338"/>
      <c r="BL585" s="319" t="s">
        <v>846</v>
      </c>
      <c r="BM585" s="319" t="s">
        <v>846</v>
      </c>
      <c r="BN585" s="319" t="s">
        <v>846</v>
      </c>
      <c r="BO585" s="722"/>
      <c r="BP585" s="319" t="s">
        <v>846</v>
      </c>
      <c r="BQ585" s="338"/>
      <c r="BR585" s="420"/>
      <c r="BS585" s="330">
        <f t="shared" si="23"/>
        <v>7.488658091</v>
      </c>
      <c r="BT585" s="331">
        <f t="shared" si="24"/>
        <v>27.88045911</v>
      </c>
      <c r="BU585" s="331"/>
      <c r="BV585" s="333"/>
      <c r="BW585" s="614"/>
      <c r="BX585" s="615"/>
      <c r="BY585" s="331"/>
      <c r="BZ585" s="340"/>
      <c r="CA585" s="316"/>
      <c r="CB585" s="318"/>
      <c r="CC585" s="318"/>
      <c r="CD585" s="318"/>
      <c r="CE585" s="318"/>
      <c r="CF585" s="318"/>
      <c r="CG585" s="318"/>
      <c r="CH585" s="318"/>
      <c r="CI585" s="338"/>
      <c r="CJ585" s="341"/>
      <c r="CK585" s="342">
        <f t="shared" si="18"/>
        <v>0</v>
      </c>
      <c r="CL585" s="333">
        <f t="shared" si="19"/>
        <v>0</v>
      </c>
      <c r="CM585" s="616"/>
      <c r="CN585" s="617"/>
      <c r="CO585" s="617"/>
      <c r="CP585" s="617"/>
    </row>
    <row r="586">
      <c r="B586" s="462"/>
      <c r="C586" s="719">
        <v>44167.0</v>
      </c>
      <c r="D586" s="720" t="s">
        <v>986</v>
      </c>
      <c r="E586" s="603">
        <v>38.0</v>
      </c>
      <c r="F586" s="619" t="str">
        <f t="shared" si="34"/>
        <v>2020/02-38</v>
      </c>
      <c r="G586" s="721">
        <v>0.4918402777777778</v>
      </c>
      <c r="H586" s="602">
        <v>0.4918402777777778</v>
      </c>
      <c r="I586" s="602"/>
      <c r="J586" s="602"/>
      <c r="K586" s="602">
        <v>0.49461805555555555</v>
      </c>
      <c r="L586" s="602">
        <f t="shared" si="35"/>
        <v>0.002777777778</v>
      </c>
      <c r="M586" s="629" t="s">
        <v>358</v>
      </c>
      <c r="N586" s="324" t="s">
        <v>187</v>
      </c>
      <c r="O586" s="419" t="s">
        <v>201</v>
      </c>
      <c r="P586" s="605" t="s">
        <v>212</v>
      </c>
      <c r="Q586" s="610" t="s">
        <v>851</v>
      </c>
      <c r="R586" s="606">
        <v>16.3</v>
      </c>
      <c r="S586" s="607">
        <v>6.5</v>
      </c>
      <c r="T586" s="608">
        <v>0.6</v>
      </c>
      <c r="U586" s="603">
        <v>2.0</v>
      </c>
      <c r="V586" s="603"/>
      <c r="W586" s="603"/>
      <c r="X586" s="603"/>
      <c r="Y586" s="603"/>
      <c r="Z586" s="603" t="s">
        <v>339</v>
      </c>
      <c r="AA586" s="603"/>
      <c r="AB586" s="319" t="s">
        <v>337</v>
      </c>
      <c r="AC586" s="611">
        <v>2.5</v>
      </c>
      <c r="AD586" s="610"/>
      <c r="AE586" s="610"/>
      <c r="AF586" s="610"/>
      <c r="AG586" s="610"/>
      <c r="AH586" s="610"/>
      <c r="AI586" s="610"/>
      <c r="AJ586" s="611"/>
      <c r="AK586" s="612"/>
      <c r="AL586" s="610"/>
      <c r="AM586" s="610"/>
      <c r="AN586" s="610"/>
      <c r="AO586" s="610"/>
      <c r="AP586" s="610"/>
      <c r="AQ586" s="610"/>
      <c r="AR586" s="610"/>
      <c r="AS586" s="611"/>
      <c r="AT586" s="461" t="s">
        <v>182</v>
      </c>
      <c r="AU586" s="324" t="s">
        <v>845</v>
      </c>
      <c r="AV586" s="330">
        <f>SQRT(($R586-Infrastructure!J$3)^2+($S586-Infrastructure!K$3)^2)</f>
        <v>27.88045911</v>
      </c>
      <c r="AW586" s="331">
        <f>SQRT(($R586-Infrastructure!J$4)^2+($S586-Infrastructure!K$4)^2)</f>
        <v>20.08108563</v>
      </c>
      <c r="AX586" s="331">
        <f>SQRT(($R586-Infrastructure!J$5)^2+($S586-Infrastructure!K$5)^2)</f>
        <v>16.65893154</v>
      </c>
      <c r="AY586" s="331">
        <f>SQRT(($R586-Infrastructure!J$6)^2+($S586-Infrastructure!K$6)^2)</f>
        <v>8.768124087</v>
      </c>
      <c r="AZ586" s="331">
        <f>SQRT(($R586-Infrastructure!J$7)^2+($S586-Infrastructure!K$7)^2)</f>
        <v>7.488658091</v>
      </c>
      <c r="BA586" s="331">
        <f>SQRT(($R586-Infrastructure!J$8)^2+($S586-Infrastructure!K$8)^2)</f>
        <v>15.12878052</v>
      </c>
      <c r="BB586" s="331">
        <f>SQRT(($R586-Infrastructure!J$9)^2+($S586-Infrastructure!K$9)^2)</f>
        <v>23.7413142</v>
      </c>
      <c r="BC586" s="331">
        <f>SQRT(($R586-Infrastructure!J$10)^2+($S586-Infrastructure!K$10)^2)</f>
        <v>25.17816514</v>
      </c>
      <c r="BD586" s="318"/>
      <c r="BE586" s="332"/>
      <c r="BF586" s="330">
        <f t="shared" si="14"/>
        <v>7.488658091</v>
      </c>
      <c r="BG586" s="333">
        <f t="shared" si="15"/>
        <v>27.88045911</v>
      </c>
      <c r="BH586" s="613"/>
      <c r="BI586" s="462" t="s">
        <v>846</v>
      </c>
      <c r="BJ586" s="338"/>
      <c r="BK586" s="338"/>
      <c r="BL586" s="319" t="s">
        <v>846</v>
      </c>
      <c r="BM586" s="319" t="s">
        <v>846</v>
      </c>
      <c r="BN586" s="319" t="s">
        <v>846</v>
      </c>
      <c r="BO586" s="722"/>
      <c r="BP586" s="319" t="s">
        <v>846</v>
      </c>
      <c r="BQ586" s="338"/>
      <c r="BR586" s="420"/>
      <c r="BS586" s="330">
        <f t="shared" si="23"/>
        <v>7.488658091</v>
      </c>
      <c r="BT586" s="331">
        <f t="shared" si="24"/>
        <v>27.88045911</v>
      </c>
      <c r="BU586" s="331"/>
      <c r="BV586" s="333"/>
      <c r="BW586" s="614"/>
      <c r="BX586" s="615"/>
      <c r="BY586" s="331"/>
      <c r="BZ586" s="340"/>
      <c r="CA586" s="316"/>
      <c r="CB586" s="318"/>
      <c r="CC586" s="318"/>
      <c r="CD586" s="318"/>
      <c r="CE586" s="318"/>
      <c r="CF586" s="318"/>
      <c r="CG586" s="318"/>
      <c r="CH586" s="318"/>
      <c r="CI586" s="338"/>
      <c r="CJ586" s="341"/>
      <c r="CK586" s="342">
        <f t="shared" si="18"/>
        <v>0</v>
      </c>
      <c r="CL586" s="333">
        <f t="shared" si="19"/>
        <v>0</v>
      </c>
      <c r="CM586" s="616"/>
      <c r="CN586" s="617"/>
      <c r="CO586" s="617"/>
      <c r="CP586" s="617"/>
    </row>
    <row r="587">
      <c r="B587" s="462"/>
      <c r="C587" s="719">
        <v>44167.0</v>
      </c>
      <c r="D587" s="720" t="s">
        <v>986</v>
      </c>
      <c r="E587" s="603">
        <v>39.0</v>
      </c>
      <c r="F587" s="619" t="str">
        <f t="shared" si="34"/>
        <v>2020/02-39</v>
      </c>
      <c r="G587" s="721">
        <v>0.49600694444444443</v>
      </c>
      <c r="H587" s="602">
        <v>0.49600694444444443</v>
      </c>
      <c r="I587" s="602"/>
      <c r="J587" s="602"/>
      <c r="K587" s="602">
        <v>0.4987847222222222</v>
      </c>
      <c r="L587" s="602">
        <f t="shared" si="35"/>
        <v>0.002777777778</v>
      </c>
      <c r="M587" s="629" t="s">
        <v>358</v>
      </c>
      <c r="N587" s="324" t="s">
        <v>187</v>
      </c>
      <c r="O587" s="419" t="s">
        <v>201</v>
      </c>
      <c r="P587" s="605" t="s">
        <v>212</v>
      </c>
      <c r="Q587" s="610" t="s">
        <v>851</v>
      </c>
      <c r="R587" s="606">
        <v>16.3</v>
      </c>
      <c r="S587" s="607">
        <v>6.5</v>
      </c>
      <c r="T587" s="608">
        <v>0.6</v>
      </c>
      <c r="U587" s="603">
        <v>1.0</v>
      </c>
      <c r="V587" s="603"/>
      <c r="W587" s="603"/>
      <c r="X587" s="603"/>
      <c r="Y587" s="603"/>
      <c r="Z587" s="603" t="s">
        <v>339</v>
      </c>
      <c r="AA587" s="603"/>
      <c r="AB587" s="319" t="s">
        <v>329</v>
      </c>
      <c r="AC587" s="611">
        <v>1.5</v>
      </c>
      <c r="AD587" s="610"/>
      <c r="AE587" s="610"/>
      <c r="AF587" s="610"/>
      <c r="AG587" s="610"/>
      <c r="AH587" s="610"/>
      <c r="AI587" s="610"/>
      <c r="AJ587" s="611"/>
      <c r="AK587" s="612"/>
      <c r="AL587" s="610"/>
      <c r="AM587" s="610"/>
      <c r="AN587" s="610"/>
      <c r="AO587" s="610"/>
      <c r="AP587" s="610"/>
      <c r="AQ587" s="610"/>
      <c r="AR587" s="610"/>
      <c r="AS587" s="611"/>
      <c r="AT587" s="461" t="s">
        <v>182</v>
      </c>
      <c r="AU587" s="324" t="s">
        <v>845</v>
      </c>
      <c r="AV587" s="330">
        <f>SQRT(($R587-Infrastructure!J$3)^2+($S587-Infrastructure!K$3)^2)</f>
        <v>27.88045911</v>
      </c>
      <c r="AW587" s="331">
        <f>SQRT(($R587-Infrastructure!J$4)^2+($S587-Infrastructure!K$4)^2)</f>
        <v>20.08108563</v>
      </c>
      <c r="AX587" s="331">
        <f>SQRT(($R587-Infrastructure!J$5)^2+($S587-Infrastructure!K$5)^2)</f>
        <v>16.65893154</v>
      </c>
      <c r="AY587" s="331">
        <f>SQRT(($R587-Infrastructure!J$6)^2+($S587-Infrastructure!K$6)^2)</f>
        <v>8.768124087</v>
      </c>
      <c r="AZ587" s="331">
        <f>SQRT(($R587-Infrastructure!J$7)^2+($S587-Infrastructure!K$7)^2)</f>
        <v>7.488658091</v>
      </c>
      <c r="BA587" s="331">
        <f>SQRT(($R587-Infrastructure!J$8)^2+($S587-Infrastructure!K$8)^2)</f>
        <v>15.12878052</v>
      </c>
      <c r="BB587" s="331">
        <f>SQRT(($R587-Infrastructure!J$9)^2+($S587-Infrastructure!K$9)^2)</f>
        <v>23.7413142</v>
      </c>
      <c r="BC587" s="331">
        <f>SQRT(($R587-Infrastructure!J$10)^2+($S587-Infrastructure!K$10)^2)</f>
        <v>25.17816514</v>
      </c>
      <c r="BD587" s="318"/>
      <c r="BE587" s="332"/>
      <c r="BF587" s="330">
        <f t="shared" si="14"/>
        <v>7.488658091</v>
      </c>
      <c r="BG587" s="333">
        <f t="shared" si="15"/>
        <v>27.88045911</v>
      </c>
      <c r="BH587" s="613"/>
      <c r="BI587" s="462" t="s">
        <v>846</v>
      </c>
      <c r="BJ587" s="338"/>
      <c r="BK587" s="338"/>
      <c r="BL587" s="319" t="s">
        <v>846</v>
      </c>
      <c r="BM587" s="319" t="s">
        <v>846</v>
      </c>
      <c r="BN587" s="319" t="s">
        <v>846</v>
      </c>
      <c r="BO587" s="722"/>
      <c r="BP587" s="318"/>
      <c r="BQ587" s="338"/>
      <c r="BR587" s="420"/>
      <c r="BS587" s="330">
        <f t="shared" si="23"/>
        <v>7.488658091</v>
      </c>
      <c r="BT587" s="331">
        <f t="shared" si="24"/>
        <v>27.88045911</v>
      </c>
      <c r="BU587" s="331"/>
      <c r="BV587" s="333"/>
      <c r="BW587" s="614"/>
      <c r="BX587" s="615"/>
      <c r="BY587" s="331"/>
      <c r="BZ587" s="340"/>
      <c r="CA587" s="316"/>
      <c r="CB587" s="318"/>
      <c r="CC587" s="318"/>
      <c r="CD587" s="318"/>
      <c r="CE587" s="318"/>
      <c r="CF587" s="318"/>
      <c r="CG587" s="318"/>
      <c r="CH587" s="318"/>
      <c r="CI587" s="338"/>
      <c r="CJ587" s="341"/>
      <c r="CK587" s="342">
        <f t="shared" si="18"/>
        <v>0</v>
      </c>
      <c r="CL587" s="333">
        <f t="shared" si="19"/>
        <v>0</v>
      </c>
      <c r="CM587" s="616"/>
      <c r="CN587" s="617"/>
      <c r="CO587" s="617"/>
      <c r="CP587" s="617"/>
    </row>
    <row r="588">
      <c r="B588" s="462"/>
      <c r="C588" s="719">
        <v>44167.0</v>
      </c>
      <c r="D588" s="720" t="s">
        <v>986</v>
      </c>
      <c r="E588" s="603">
        <v>40.0</v>
      </c>
      <c r="F588" s="619" t="str">
        <f t="shared" si="34"/>
        <v>2020/02-40</v>
      </c>
      <c r="G588" s="721">
        <v>0.4998263888888889</v>
      </c>
      <c r="H588" s="602">
        <v>0.4998263888888889</v>
      </c>
      <c r="I588" s="602"/>
      <c r="J588" s="602"/>
      <c r="K588" s="602">
        <v>0.5026041666666666</v>
      </c>
      <c r="L588" s="602">
        <f t="shared" si="35"/>
        <v>0.002777777778</v>
      </c>
      <c r="M588" s="629" t="s">
        <v>358</v>
      </c>
      <c r="N588" s="324" t="s">
        <v>187</v>
      </c>
      <c r="O588" s="419" t="s">
        <v>206</v>
      </c>
      <c r="P588" s="605" t="s">
        <v>218</v>
      </c>
      <c r="Q588" s="630" t="s">
        <v>851</v>
      </c>
      <c r="R588" s="631">
        <v>21.2</v>
      </c>
      <c r="S588" s="661">
        <v>8.7</v>
      </c>
      <c r="T588" s="619">
        <v>2.4</v>
      </c>
      <c r="U588" s="610">
        <v>3.75</v>
      </c>
      <c r="V588" s="610"/>
      <c r="W588" s="610"/>
      <c r="X588" s="610"/>
      <c r="Y588" s="610"/>
      <c r="Z588" s="610" t="s">
        <v>347</v>
      </c>
      <c r="AA588" s="610"/>
      <c r="AB588" s="610" t="s">
        <v>384</v>
      </c>
      <c r="AC588" s="611">
        <v>6.0</v>
      </c>
      <c r="AD588" s="610"/>
      <c r="AE588" s="610"/>
      <c r="AF588" s="610"/>
      <c r="AG588" s="610"/>
      <c r="AH588" s="610"/>
      <c r="AI588" s="610"/>
      <c r="AJ588" s="611"/>
      <c r="AK588" s="612"/>
      <c r="AL588" s="610"/>
      <c r="AM588" s="610"/>
      <c r="AN588" s="610"/>
      <c r="AO588" s="610"/>
      <c r="AP588" s="610"/>
      <c r="AQ588" s="610"/>
      <c r="AR588" s="610"/>
      <c r="AS588" s="611"/>
      <c r="AT588" s="461" t="s">
        <v>182</v>
      </c>
      <c r="AU588" s="324" t="s">
        <v>845</v>
      </c>
      <c r="AV588" s="330">
        <f>SQRT(($R588-Infrastructure!J$3)^2+($S588-Infrastructure!K$3)^2)</f>
        <v>29.50067796</v>
      </c>
      <c r="AW588" s="331">
        <f>SQRT(($R588-Infrastructure!J$4)^2+($S588-Infrastructure!K$4)^2)</f>
        <v>23.34652008</v>
      </c>
      <c r="AX588" s="331">
        <f>SQRT(($R588-Infrastructure!J$5)^2+($S588-Infrastructure!K$5)^2)</f>
        <v>21.79931192</v>
      </c>
      <c r="AY588" s="331">
        <f>SQRT(($R588-Infrastructure!J$6)^2+($S588-Infrastructure!K$6)^2)</f>
        <v>13.92012931</v>
      </c>
      <c r="AZ588" s="331">
        <f>SQRT(($R588-Infrastructure!J$7)^2+($S588-Infrastructure!K$7)^2)</f>
        <v>8.429116205</v>
      </c>
      <c r="BA588" s="331">
        <f>SQRT(($R588-Infrastructure!J$8)^2+($S588-Infrastructure!K$8)^2)</f>
        <v>12.2380554</v>
      </c>
      <c r="BB588" s="331">
        <f>SQRT(($R588-Infrastructure!J$9)^2+($S588-Infrastructure!K$9)^2)</f>
        <v>19.14157778</v>
      </c>
      <c r="BC588" s="331">
        <f>SQRT(($R588-Infrastructure!J$10)^2+($S588-Infrastructure!K$10)^2)</f>
        <v>19.82750615</v>
      </c>
      <c r="BD588" s="318"/>
      <c r="BE588" s="332"/>
      <c r="BF588" s="330">
        <f t="shared" si="14"/>
        <v>8.429116205</v>
      </c>
      <c r="BG588" s="333">
        <f t="shared" si="15"/>
        <v>29.50067796</v>
      </c>
      <c r="BH588" s="613"/>
      <c r="BI588" s="316"/>
      <c r="BJ588" s="338"/>
      <c r="BK588" s="338"/>
      <c r="BL588" s="319" t="s">
        <v>846</v>
      </c>
      <c r="BM588" s="319" t="s">
        <v>846</v>
      </c>
      <c r="BN588" s="318"/>
      <c r="BO588" s="722"/>
      <c r="BP588" s="318"/>
      <c r="BQ588" s="338"/>
      <c r="BR588" s="420"/>
      <c r="BS588" s="330">
        <f t="shared" si="23"/>
        <v>8.429116205</v>
      </c>
      <c r="BT588" s="331">
        <f t="shared" si="24"/>
        <v>13.92012931</v>
      </c>
      <c r="BU588" s="331"/>
      <c r="BV588" s="333"/>
      <c r="BW588" s="614"/>
      <c r="BX588" s="615"/>
      <c r="BY588" s="331"/>
      <c r="BZ588" s="340"/>
      <c r="CA588" s="316"/>
      <c r="CB588" s="318"/>
      <c r="CC588" s="318"/>
      <c r="CD588" s="318"/>
      <c r="CE588" s="318"/>
      <c r="CF588" s="318"/>
      <c r="CG588" s="318"/>
      <c r="CH588" s="318"/>
      <c r="CI588" s="338"/>
      <c r="CJ588" s="341"/>
      <c r="CK588" s="342">
        <f t="shared" si="18"/>
        <v>0</v>
      </c>
      <c r="CL588" s="333">
        <f t="shared" si="19"/>
        <v>0</v>
      </c>
      <c r="CM588" s="616"/>
      <c r="CN588" s="617"/>
      <c r="CO588" s="617"/>
      <c r="CP588" s="617"/>
    </row>
    <row r="589">
      <c r="B589" s="462"/>
      <c r="C589" s="719">
        <v>44167.0</v>
      </c>
      <c r="D589" s="720" t="s">
        <v>986</v>
      </c>
      <c r="E589" s="603">
        <v>41.0</v>
      </c>
      <c r="F589" s="619" t="str">
        <f t="shared" si="34"/>
        <v>2020/02-41</v>
      </c>
      <c r="G589" s="721">
        <v>0.5055555555555555</v>
      </c>
      <c r="H589" s="602">
        <v>0.5055555555555555</v>
      </c>
      <c r="I589" s="602"/>
      <c r="J589" s="602"/>
      <c r="K589" s="602">
        <v>0.5083333333333333</v>
      </c>
      <c r="L589" s="602">
        <f t="shared" si="35"/>
        <v>0.002777777778</v>
      </c>
      <c r="M589" s="629" t="s">
        <v>358</v>
      </c>
      <c r="N589" s="324" t="s">
        <v>187</v>
      </c>
      <c r="O589" s="419" t="s">
        <v>206</v>
      </c>
      <c r="P589" s="605" t="s">
        <v>218</v>
      </c>
      <c r="Q589" s="630" t="s">
        <v>851</v>
      </c>
      <c r="R589" s="631">
        <v>21.2</v>
      </c>
      <c r="S589" s="661">
        <v>8.7</v>
      </c>
      <c r="T589" s="619">
        <v>2.4</v>
      </c>
      <c r="U589" s="610">
        <v>1.5</v>
      </c>
      <c r="V589" s="610"/>
      <c r="W589" s="610"/>
      <c r="X589" s="610"/>
      <c r="Y589" s="610"/>
      <c r="Z589" s="610" t="s">
        <v>347</v>
      </c>
      <c r="AA589" s="610"/>
      <c r="AB589" s="610" t="s">
        <v>380</v>
      </c>
      <c r="AC589" s="611">
        <v>4.0</v>
      </c>
      <c r="AD589" s="610"/>
      <c r="AE589" s="610"/>
      <c r="AF589" s="610"/>
      <c r="AG589" s="610"/>
      <c r="AH589" s="610"/>
      <c r="AI589" s="610"/>
      <c r="AJ589" s="611"/>
      <c r="AK589" s="612"/>
      <c r="AL589" s="610"/>
      <c r="AM589" s="610"/>
      <c r="AN589" s="610"/>
      <c r="AO589" s="610"/>
      <c r="AP589" s="610"/>
      <c r="AQ589" s="610"/>
      <c r="AR589" s="610"/>
      <c r="AS589" s="611"/>
      <c r="AT589" s="461" t="s">
        <v>182</v>
      </c>
      <c r="AU589" s="324" t="s">
        <v>845</v>
      </c>
      <c r="AV589" s="330">
        <f>SQRT(($R589-Infrastructure!J$3)^2+($S589-Infrastructure!K$3)^2)</f>
        <v>29.50067796</v>
      </c>
      <c r="AW589" s="331">
        <f>SQRT(($R589-Infrastructure!J$4)^2+($S589-Infrastructure!K$4)^2)</f>
        <v>23.34652008</v>
      </c>
      <c r="AX589" s="331">
        <f>SQRT(($R589-Infrastructure!J$5)^2+($S589-Infrastructure!K$5)^2)</f>
        <v>21.79931192</v>
      </c>
      <c r="AY589" s="331">
        <f>SQRT(($R589-Infrastructure!J$6)^2+($S589-Infrastructure!K$6)^2)</f>
        <v>13.92012931</v>
      </c>
      <c r="AZ589" s="331">
        <f>SQRT(($R589-Infrastructure!J$7)^2+($S589-Infrastructure!K$7)^2)</f>
        <v>8.429116205</v>
      </c>
      <c r="BA589" s="331">
        <f>SQRT(($R589-Infrastructure!J$8)^2+($S589-Infrastructure!K$8)^2)</f>
        <v>12.2380554</v>
      </c>
      <c r="BB589" s="331">
        <f>SQRT(($R589-Infrastructure!J$9)^2+($S589-Infrastructure!K$9)^2)</f>
        <v>19.14157778</v>
      </c>
      <c r="BC589" s="331">
        <f>SQRT(($R589-Infrastructure!J$10)^2+($S589-Infrastructure!K$10)^2)</f>
        <v>19.82750615</v>
      </c>
      <c r="BD589" s="318"/>
      <c r="BE589" s="332"/>
      <c r="BF589" s="330">
        <f t="shared" si="14"/>
        <v>8.429116205</v>
      </c>
      <c r="BG589" s="333">
        <f t="shared" si="15"/>
        <v>29.50067796</v>
      </c>
      <c r="BH589" s="613"/>
      <c r="BI589" s="316"/>
      <c r="BJ589" s="338"/>
      <c r="BK589" s="338"/>
      <c r="BL589" s="319"/>
      <c r="BM589" s="318"/>
      <c r="BN589" s="318"/>
      <c r="BO589" s="722"/>
      <c r="BP589" s="318"/>
      <c r="BQ589" s="338"/>
      <c r="BR589" s="420"/>
      <c r="BS589" s="330">
        <f t="shared" si="23"/>
        <v>0</v>
      </c>
      <c r="BT589" s="331">
        <f t="shared" si="24"/>
        <v>0</v>
      </c>
      <c r="BU589" s="331"/>
      <c r="BV589" s="333"/>
      <c r="BW589" s="614"/>
      <c r="BX589" s="615"/>
      <c r="BY589" s="331"/>
      <c r="BZ589" s="340"/>
      <c r="CA589" s="316"/>
      <c r="CB589" s="318"/>
      <c r="CC589" s="318"/>
      <c r="CD589" s="318"/>
      <c r="CE589" s="318"/>
      <c r="CF589" s="318"/>
      <c r="CG589" s="318"/>
      <c r="CH589" s="318"/>
      <c r="CI589" s="338"/>
      <c r="CJ589" s="341"/>
      <c r="CK589" s="342">
        <f t="shared" si="18"/>
        <v>0</v>
      </c>
      <c r="CL589" s="333">
        <f t="shared" si="19"/>
        <v>0</v>
      </c>
      <c r="CM589" s="616"/>
      <c r="CN589" s="617"/>
      <c r="CO589" s="617"/>
      <c r="CP589" s="617"/>
    </row>
    <row r="590">
      <c r="B590" s="462"/>
      <c r="C590" s="719">
        <v>44167.0</v>
      </c>
      <c r="D590" s="720" t="s">
        <v>986</v>
      </c>
      <c r="E590" s="603">
        <v>42.0</v>
      </c>
      <c r="F590" s="619" t="str">
        <f t="shared" si="34"/>
        <v>2020/02-42</v>
      </c>
      <c r="G590" s="721">
        <v>0.5086805555555556</v>
      </c>
      <c r="H590" s="602">
        <v>0.5086805555555556</v>
      </c>
      <c r="I590" s="602"/>
      <c r="J590" s="602"/>
      <c r="K590" s="602">
        <v>0.5114583333333333</v>
      </c>
      <c r="L590" s="602">
        <f t="shared" si="35"/>
        <v>0.002777777778</v>
      </c>
      <c r="M590" s="629" t="s">
        <v>358</v>
      </c>
      <c r="N590" s="324" t="s">
        <v>187</v>
      </c>
      <c r="O590" s="419" t="s">
        <v>206</v>
      </c>
      <c r="P590" s="605" t="s">
        <v>218</v>
      </c>
      <c r="Q590" s="630" t="s">
        <v>851</v>
      </c>
      <c r="R590" s="631">
        <v>21.2</v>
      </c>
      <c r="S590" s="661">
        <v>8.7</v>
      </c>
      <c r="T590" s="619">
        <v>2.4</v>
      </c>
      <c r="U590" s="610">
        <v>1.0</v>
      </c>
      <c r="V590" s="610"/>
      <c r="W590" s="610"/>
      <c r="X590" s="610"/>
      <c r="Y590" s="610"/>
      <c r="Z590" s="610" t="s">
        <v>347</v>
      </c>
      <c r="AA590" s="610"/>
      <c r="AB590" s="610" t="s">
        <v>380</v>
      </c>
      <c r="AC590" s="611">
        <v>4.0</v>
      </c>
      <c r="AD590" s="610"/>
      <c r="AE590" s="610"/>
      <c r="AF590" s="610"/>
      <c r="AG590" s="610"/>
      <c r="AH590" s="610"/>
      <c r="AI590" s="610"/>
      <c r="AJ590" s="611"/>
      <c r="AK590" s="612"/>
      <c r="AL590" s="610"/>
      <c r="AM590" s="610"/>
      <c r="AN590" s="610"/>
      <c r="AO590" s="610"/>
      <c r="AP590" s="610"/>
      <c r="AQ590" s="610"/>
      <c r="AR590" s="610"/>
      <c r="AS590" s="611"/>
      <c r="AT590" s="461" t="s">
        <v>182</v>
      </c>
      <c r="AU590" s="324" t="s">
        <v>845</v>
      </c>
      <c r="AV590" s="330">
        <f>SQRT(($R590-Infrastructure!J$3)^2+($S590-Infrastructure!K$3)^2)</f>
        <v>29.50067796</v>
      </c>
      <c r="AW590" s="331">
        <f>SQRT(($R590-Infrastructure!J$4)^2+($S590-Infrastructure!K$4)^2)</f>
        <v>23.34652008</v>
      </c>
      <c r="AX590" s="331">
        <f>SQRT(($R590-Infrastructure!J$5)^2+($S590-Infrastructure!K$5)^2)</f>
        <v>21.79931192</v>
      </c>
      <c r="AY590" s="331">
        <f>SQRT(($R590-Infrastructure!J$6)^2+($S590-Infrastructure!K$6)^2)</f>
        <v>13.92012931</v>
      </c>
      <c r="AZ590" s="331">
        <f>SQRT(($R590-Infrastructure!J$7)^2+($S590-Infrastructure!K$7)^2)</f>
        <v>8.429116205</v>
      </c>
      <c r="BA590" s="331">
        <f>SQRT(($R590-Infrastructure!J$8)^2+($S590-Infrastructure!K$8)^2)</f>
        <v>12.2380554</v>
      </c>
      <c r="BB590" s="331">
        <f>SQRT(($R590-Infrastructure!J$9)^2+($S590-Infrastructure!K$9)^2)</f>
        <v>19.14157778</v>
      </c>
      <c r="BC590" s="331">
        <f>SQRT(($R590-Infrastructure!J$10)^2+($S590-Infrastructure!K$10)^2)</f>
        <v>19.82750615</v>
      </c>
      <c r="BD590" s="318"/>
      <c r="BE590" s="332"/>
      <c r="BF590" s="330">
        <f t="shared" si="14"/>
        <v>8.429116205</v>
      </c>
      <c r="BG590" s="333">
        <f t="shared" si="15"/>
        <v>29.50067796</v>
      </c>
      <c r="BH590" s="613"/>
      <c r="BI590" s="316"/>
      <c r="BJ590" s="338"/>
      <c r="BK590" s="338"/>
      <c r="BL590" s="319"/>
      <c r="BM590" s="318"/>
      <c r="BN590" s="318"/>
      <c r="BO590" s="722"/>
      <c r="BP590" s="318"/>
      <c r="BQ590" s="338"/>
      <c r="BR590" s="420"/>
      <c r="BS590" s="330">
        <f t="shared" si="23"/>
        <v>0</v>
      </c>
      <c r="BT590" s="331">
        <f t="shared" si="24"/>
        <v>0</v>
      </c>
      <c r="BU590" s="331"/>
      <c r="BV590" s="333"/>
      <c r="BW590" s="614"/>
      <c r="BX590" s="615"/>
      <c r="BY590" s="331"/>
      <c r="BZ590" s="340"/>
      <c r="CA590" s="316"/>
      <c r="CB590" s="318"/>
      <c r="CC590" s="318"/>
      <c r="CD590" s="318"/>
      <c r="CE590" s="318"/>
      <c r="CF590" s="318"/>
      <c r="CG590" s="318"/>
      <c r="CH590" s="318"/>
      <c r="CI590" s="338"/>
      <c r="CJ590" s="341"/>
      <c r="CK590" s="342">
        <f t="shared" si="18"/>
        <v>0</v>
      </c>
      <c r="CL590" s="333">
        <f t="shared" si="19"/>
        <v>0</v>
      </c>
      <c r="CM590" s="616"/>
      <c r="CN590" s="617"/>
      <c r="CO590" s="617"/>
      <c r="CP590" s="617"/>
    </row>
    <row r="591">
      <c r="B591" s="462"/>
      <c r="C591" s="719">
        <v>44167.0</v>
      </c>
      <c r="D591" s="720" t="s">
        <v>986</v>
      </c>
      <c r="E591" s="603">
        <v>43.0</v>
      </c>
      <c r="F591" s="619" t="str">
        <f t="shared" si="34"/>
        <v>2020/02-43</v>
      </c>
      <c r="G591" s="721">
        <v>0.5142361111111111</v>
      </c>
      <c r="H591" s="602">
        <v>0.5142361111111111</v>
      </c>
      <c r="I591" s="602"/>
      <c r="J591" s="602"/>
      <c r="K591" s="602">
        <v>0.5208333333333334</v>
      </c>
      <c r="L591" s="602">
        <f t="shared" si="35"/>
        <v>0.006597222222</v>
      </c>
      <c r="M591" s="629" t="s">
        <v>358</v>
      </c>
      <c r="N591" s="324" t="s">
        <v>188</v>
      </c>
      <c r="O591" s="419" t="s">
        <v>196</v>
      </c>
      <c r="P591" s="605" t="s">
        <v>224</v>
      </c>
      <c r="Q591" s="630" t="s">
        <v>842</v>
      </c>
      <c r="R591" s="631">
        <v>21.4</v>
      </c>
      <c r="S591" s="661">
        <v>39.3</v>
      </c>
      <c r="T591" s="619">
        <v>1.3</v>
      </c>
      <c r="U591" s="610">
        <v>40.0</v>
      </c>
      <c r="V591" s="610"/>
      <c r="W591" s="610"/>
      <c r="X591" s="610"/>
      <c r="Y591" s="610"/>
      <c r="Z591" s="610" t="s">
        <v>387</v>
      </c>
      <c r="AA591" s="610"/>
      <c r="AB591" s="610" t="s">
        <v>413</v>
      </c>
      <c r="AC591" s="611">
        <v>26.6</v>
      </c>
      <c r="AD591" s="610"/>
      <c r="AE591" s="610"/>
      <c r="AF591" s="610"/>
      <c r="AG591" s="610"/>
      <c r="AH591" s="610"/>
      <c r="AI591" s="610"/>
      <c r="AJ591" s="611"/>
      <c r="AK591" s="612"/>
      <c r="AL591" s="610"/>
      <c r="AM591" s="610"/>
      <c r="AN591" s="610"/>
      <c r="AO591" s="610"/>
      <c r="AP591" s="610"/>
      <c r="AQ591" s="610"/>
      <c r="AR591" s="610"/>
      <c r="AS591" s="611"/>
      <c r="AT591" s="461" t="s">
        <v>183</v>
      </c>
      <c r="AU591" s="324" t="s">
        <v>845</v>
      </c>
      <c r="AV591" s="330">
        <f>SQRT(($R591-Infrastructure!J$3)^2+($S591-Infrastructure!K$3)^2)</f>
        <v>24.06345777</v>
      </c>
      <c r="AW591" s="331">
        <f>SQRT(($R591-Infrastructure!J$4)^2+($S591-Infrastructure!K$4)^2)</f>
        <v>30.54734031</v>
      </c>
      <c r="AX591" s="331">
        <f>SQRT(($R591-Infrastructure!J$5)^2+($S591-Infrastructure!K$5)^2)</f>
        <v>40.50345664</v>
      </c>
      <c r="AY591" s="331">
        <f>SQRT(($R591-Infrastructure!J$6)^2+($S591-Infrastructure!K$6)^2)</f>
        <v>40.60406384</v>
      </c>
      <c r="AZ591" s="331">
        <f>SQRT(($R591-Infrastructure!J$7)^2+($S591-Infrastructure!K$7)^2)</f>
        <v>39.01038323</v>
      </c>
      <c r="BA591" s="331">
        <f>SQRT(($R591-Infrastructure!J$8)^2+($S591-Infrastructure!K$8)^2)</f>
        <v>39.95860358</v>
      </c>
      <c r="BB591" s="331">
        <f>SQRT(($R591-Infrastructure!J$9)^2+($S591-Infrastructure!K$9)^2)</f>
        <v>38.93070767</v>
      </c>
      <c r="BC591" s="331">
        <f>SQRT(($R591-Infrastructure!J$10)^2+($S591-Infrastructure!K$10)^2)</f>
        <v>30.60147055</v>
      </c>
      <c r="BD591" s="318"/>
      <c r="BE591" s="332"/>
      <c r="BF591" s="330">
        <f t="shared" si="14"/>
        <v>24.06345777</v>
      </c>
      <c r="BG591" s="333">
        <f t="shared" si="15"/>
        <v>40.60406384</v>
      </c>
      <c r="BH591" s="613"/>
      <c r="BI591" s="462" t="s">
        <v>846</v>
      </c>
      <c r="BJ591" s="338"/>
      <c r="BK591" s="338"/>
      <c r="BL591" s="319" t="s">
        <v>846</v>
      </c>
      <c r="BM591" s="319" t="s">
        <v>846</v>
      </c>
      <c r="BN591" s="319" t="s">
        <v>846</v>
      </c>
      <c r="BO591" s="722"/>
      <c r="BP591" s="319" t="s">
        <v>846</v>
      </c>
      <c r="BQ591" s="338"/>
      <c r="BR591" s="420"/>
      <c r="BS591" s="330">
        <f t="shared" si="23"/>
        <v>24.06345777</v>
      </c>
      <c r="BT591" s="331">
        <f t="shared" si="24"/>
        <v>40.60406384</v>
      </c>
      <c r="BU591" s="331"/>
      <c r="BV591" s="333"/>
      <c r="BW591" s="614"/>
      <c r="BX591" s="615"/>
      <c r="BY591" s="331"/>
      <c r="BZ591" s="340"/>
      <c r="CA591" s="316"/>
      <c r="CB591" s="318"/>
      <c r="CC591" s="318"/>
      <c r="CD591" s="318"/>
      <c r="CE591" s="318"/>
      <c r="CF591" s="318"/>
      <c r="CG591" s="318"/>
      <c r="CH591" s="318"/>
      <c r="CI591" s="338"/>
      <c r="CJ591" s="341"/>
      <c r="CK591" s="342">
        <f t="shared" si="18"/>
        <v>0</v>
      </c>
      <c r="CL591" s="333">
        <f t="shared" si="19"/>
        <v>0</v>
      </c>
      <c r="CM591" s="616"/>
      <c r="CN591" s="617"/>
      <c r="CO591" s="617"/>
      <c r="CP591" s="617"/>
    </row>
    <row r="592">
      <c r="A592" s="389" t="s">
        <v>29</v>
      </c>
      <c r="B592" s="573"/>
      <c r="C592" s="391">
        <v>44180.0</v>
      </c>
      <c r="D592" s="392"/>
      <c r="E592" s="393">
        <v>1.0</v>
      </c>
      <c r="F592" s="394"/>
      <c r="G592" s="705">
        <v>0.45937500000000003</v>
      </c>
      <c r="H592" s="706">
        <v>0.4607638888888889</v>
      </c>
      <c r="I592" s="706"/>
      <c r="J592" s="706"/>
      <c r="K592" s="706">
        <v>0.46458333333333335</v>
      </c>
      <c r="L592" s="456"/>
      <c r="M592" s="400" t="s">
        <v>358</v>
      </c>
      <c r="N592" s="394" t="s">
        <v>187</v>
      </c>
      <c r="O592" s="399" t="s">
        <v>201</v>
      </c>
      <c r="P592" s="393" t="s">
        <v>212</v>
      </c>
      <c r="Q592" s="393"/>
      <c r="R592" s="400">
        <v>16.5</v>
      </c>
      <c r="S592" s="393">
        <v>7.0</v>
      </c>
      <c r="T592" s="394"/>
      <c r="U592" s="393">
        <v>4.0</v>
      </c>
      <c r="V592" s="393"/>
      <c r="W592" s="393"/>
      <c r="X592" s="393"/>
      <c r="Y592" s="393"/>
      <c r="Z592" s="393"/>
      <c r="AA592" s="393"/>
      <c r="AB592" s="393"/>
      <c r="AC592" s="401">
        <v>4.0</v>
      </c>
      <c r="AD592" s="393"/>
      <c r="AE592" s="393"/>
      <c r="AF592" s="393"/>
      <c r="AG592" s="393"/>
      <c r="AH592" s="393"/>
      <c r="AI592" s="393"/>
      <c r="AJ592" s="401"/>
      <c r="AK592" s="402"/>
      <c r="AL592" s="393"/>
      <c r="AM592" s="393"/>
      <c r="AN592" s="393"/>
      <c r="AO592" s="393"/>
      <c r="AP592" s="393"/>
      <c r="AQ592" s="393"/>
      <c r="AR592" s="393"/>
      <c r="AS592" s="401"/>
      <c r="AT592" s="460" t="s">
        <v>182</v>
      </c>
      <c r="AU592" s="394" t="s">
        <v>845</v>
      </c>
      <c r="AV592" s="405">
        <f>SQRT(($R592-Infrastructure!J$3)^2+($S592-Infrastructure!K$3)^2)</f>
        <v>27.60163039</v>
      </c>
      <c r="AW592" s="406">
        <f>SQRT(($R592-Infrastructure!J$4)^2+($S592-Infrastructure!K$4)^2)</f>
        <v>19.97198037</v>
      </c>
      <c r="AX592" s="406">
        <f>SQRT(($R592-Infrastructure!J$5)^2+($S592-Infrastructure!K$5)^2)</f>
        <v>16.9070991</v>
      </c>
      <c r="AY592" s="406">
        <f>SQRT(($R592-Infrastructure!J$6)^2+($S592-Infrastructure!K$6)^2)</f>
        <v>9.265527508</v>
      </c>
      <c r="AZ592" s="406">
        <f>SQRT(($R592-Infrastructure!J$7)^2+($S592-Infrastructure!K$7)^2)</f>
        <v>7.80320447</v>
      </c>
      <c r="BA592" s="406">
        <f>SQRT(($R592-Infrastructure!J$8)^2+($S592-Infrastructure!K$8)^2)</f>
        <v>15.16080473</v>
      </c>
      <c r="BB592" s="406">
        <f>SQRT(($R592-Infrastructure!J$9)^2+($S592-Infrastructure!K$9)^2)</f>
        <v>23.5766834</v>
      </c>
      <c r="BC592" s="406">
        <f>SQRT(($R592-Infrastructure!J$10)^2+($S592-Infrastructure!K$10)^2)</f>
        <v>24.82438317</v>
      </c>
      <c r="BD592" s="392"/>
      <c r="BE592" s="407"/>
      <c r="BF592" s="330">
        <f t="shared" si="14"/>
        <v>7.80320447</v>
      </c>
      <c r="BG592" s="333">
        <f t="shared" si="15"/>
        <v>27.60163039</v>
      </c>
      <c r="BH592" s="591"/>
      <c r="BI592" s="390"/>
      <c r="BJ592" s="392"/>
      <c r="BK592" s="392"/>
      <c r="BL592" s="393" t="s">
        <v>846</v>
      </c>
      <c r="BM592" s="392"/>
      <c r="BN592" s="392"/>
      <c r="BO592" s="392"/>
      <c r="BP592" s="392"/>
      <c r="BQ592" s="410"/>
      <c r="BR592" s="411"/>
      <c r="BS592" s="330">
        <f t="shared" si="23"/>
        <v>9.265527508</v>
      </c>
      <c r="BT592" s="331">
        <f t="shared" si="24"/>
        <v>9.265527508</v>
      </c>
      <c r="BU592" s="406"/>
      <c r="BV592" s="408"/>
      <c r="BW592" s="592">
        <v>17.55</v>
      </c>
      <c r="BX592" s="593">
        <v>1.13</v>
      </c>
      <c r="BY592" s="406">
        <f t="shared" ref="BY592:BY663" si="36">IF(BW592&gt;0, SQRT((R592-BW592)^2+(S592-BX592)^2))</f>
        <v>5.963170298</v>
      </c>
      <c r="BZ592" s="412"/>
      <c r="CA592" s="390"/>
      <c r="CB592" s="392"/>
      <c r="CC592" s="392"/>
      <c r="CD592" s="392"/>
      <c r="CE592" s="392"/>
      <c r="CF592" s="392"/>
      <c r="CG592" s="392"/>
      <c r="CH592" s="392"/>
      <c r="CI592" s="410"/>
      <c r="CJ592" s="413"/>
      <c r="CK592" s="342">
        <f t="shared" si="18"/>
        <v>0</v>
      </c>
      <c r="CL592" s="333">
        <f t="shared" si="19"/>
        <v>0</v>
      </c>
      <c r="CM592" s="656"/>
      <c r="CN592" s="617"/>
      <c r="CO592" s="617"/>
      <c r="CP592" s="617"/>
    </row>
    <row r="593">
      <c r="B593" s="462"/>
      <c r="C593" s="417">
        <v>44180.0</v>
      </c>
      <c r="D593" s="318"/>
      <c r="E593" s="319">
        <v>2.0</v>
      </c>
      <c r="F593" s="324"/>
      <c r="G593" s="600">
        <v>0.4703703703703704</v>
      </c>
      <c r="H593" s="601">
        <v>0.4706597222222222</v>
      </c>
      <c r="I593" s="601"/>
      <c r="J593" s="601"/>
      <c r="K593" s="601">
        <v>0.4746527777777778</v>
      </c>
      <c r="L593" s="323"/>
      <c r="M593" s="326" t="s">
        <v>358</v>
      </c>
      <c r="N593" s="324" t="s">
        <v>187</v>
      </c>
      <c r="O593" s="419" t="s">
        <v>206</v>
      </c>
      <c r="P593" s="319" t="s">
        <v>223</v>
      </c>
      <c r="Q593" s="319"/>
      <c r="R593" s="326">
        <v>21.8</v>
      </c>
      <c r="S593" s="319">
        <v>7.0</v>
      </c>
      <c r="T593" s="324"/>
      <c r="U593" s="319">
        <v>4.0</v>
      </c>
      <c r="V593" s="319"/>
      <c r="W593" s="319"/>
      <c r="X593" s="319"/>
      <c r="Y593" s="319"/>
      <c r="Z593" s="319"/>
      <c r="AA593" s="319"/>
      <c r="AB593" s="319"/>
      <c r="AC593" s="327">
        <v>6.0</v>
      </c>
      <c r="AD593" s="319"/>
      <c r="AE593" s="319"/>
      <c r="AF593" s="319"/>
      <c r="AG593" s="319"/>
      <c r="AH593" s="319"/>
      <c r="AI593" s="319"/>
      <c r="AJ593" s="327"/>
      <c r="AK593" s="328"/>
      <c r="AL593" s="319"/>
      <c r="AM593" s="319"/>
      <c r="AN593" s="319"/>
      <c r="AO593" s="319"/>
      <c r="AP593" s="319"/>
      <c r="AQ593" s="319"/>
      <c r="AR593" s="319"/>
      <c r="AS593" s="327"/>
      <c r="AT593" s="461" t="s">
        <v>182</v>
      </c>
      <c r="AU593" s="324" t="s">
        <v>845</v>
      </c>
      <c r="AV593" s="330">
        <f>SQRT(($R593-Infrastructure!J$3)^2+($S593-Infrastructure!K$3)^2)</f>
        <v>31.11301978</v>
      </c>
      <c r="AW593" s="331">
        <f>SQRT(($R593-Infrastructure!J$4)^2+($S593-Infrastructure!K$4)^2)</f>
        <v>24.59776413</v>
      </c>
      <c r="AX593" s="331">
        <f>SQRT(($R593-Infrastructure!J$5)^2+($S593-Infrastructure!K$5)^2)</f>
        <v>22.18152384</v>
      </c>
      <c r="AY593" s="331">
        <f>SQRT(($R593-Infrastructure!J$6)^2+($S593-Infrastructure!K$6)^2)</f>
        <v>13.48258136</v>
      </c>
      <c r="AZ593" s="331">
        <f>SQRT(($R593-Infrastructure!J$7)^2+($S593-Infrastructure!K$7)^2)</f>
        <v>6.824954212</v>
      </c>
      <c r="BA593" s="331">
        <f>SQRT(($R593-Infrastructure!J$8)^2+($S593-Infrastructure!K$8)^2)</f>
        <v>10.66677083</v>
      </c>
      <c r="BB593" s="331">
        <f>SQRT(($R593-Infrastructure!J$9)^2+($S593-Infrastructure!K$9)^2)</f>
        <v>18.29890707</v>
      </c>
      <c r="BC593" s="331">
        <f>SQRT(($R593-Infrastructure!J$10)^2+($S593-Infrastructure!K$10)^2)</f>
        <v>19.88064385</v>
      </c>
      <c r="BD593" s="318"/>
      <c r="BE593" s="332"/>
      <c r="BF593" s="330">
        <f t="shared" si="14"/>
        <v>6.824954212</v>
      </c>
      <c r="BG593" s="333">
        <f t="shared" si="15"/>
        <v>31.11301978</v>
      </c>
      <c r="BH593" s="613"/>
      <c r="BI593" s="316"/>
      <c r="BJ593" s="318"/>
      <c r="BK593" s="318"/>
      <c r="BL593" s="318"/>
      <c r="BM593" s="319" t="s">
        <v>846</v>
      </c>
      <c r="BN593" s="318"/>
      <c r="BO593" s="318"/>
      <c r="BP593" s="318"/>
      <c r="BQ593" s="338"/>
      <c r="BR593" s="420"/>
      <c r="BS593" s="330">
        <f t="shared" si="23"/>
        <v>6.824954212</v>
      </c>
      <c r="BT593" s="331">
        <f t="shared" si="24"/>
        <v>6.824954212</v>
      </c>
      <c r="BU593" s="331"/>
      <c r="BV593" s="333"/>
      <c r="BW593" s="614">
        <v>24.21</v>
      </c>
      <c r="BX593" s="615">
        <v>2.02</v>
      </c>
      <c r="BY593" s="331">
        <f t="shared" si="36"/>
        <v>5.532494916</v>
      </c>
      <c r="BZ593" s="340"/>
      <c r="CA593" s="316"/>
      <c r="CB593" s="318"/>
      <c r="CC593" s="318"/>
      <c r="CD593" s="318"/>
      <c r="CE593" s="318"/>
      <c r="CF593" s="318"/>
      <c r="CG593" s="318"/>
      <c r="CH593" s="318"/>
      <c r="CI593" s="338"/>
      <c r="CJ593" s="341"/>
      <c r="CK593" s="342">
        <f t="shared" si="18"/>
        <v>0</v>
      </c>
      <c r="CL593" s="333">
        <f t="shared" si="19"/>
        <v>0</v>
      </c>
      <c r="CM593" s="616"/>
      <c r="CN593" s="617"/>
      <c r="CO593" s="617"/>
      <c r="CP593" s="617"/>
    </row>
    <row r="594">
      <c r="B594" s="462"/>
      <c r="C594" s="417">
        <v>44180.0</v>
      </c>
      <c r="D594" s="318"/>
      <c r="E594" s="319">
        <v>3.0</v>
      </c>
      <c r="F594" s="324"/>
      <c r="G594" s="600">
        <v>0.5440972222222222</v>
      </c>
      <c r="H594" s="601">
        <v>0.5449652777777778</v>
      </c>
      <c r="I594" s="601"/>
      <c r="J594" s="601"/>
      <c r="K594" s="601">
        <v>0.5484375</v>
      </c>
      <c r="L594" s="323"/>
      <c r="M594" s="326" t="s">
        <v>358</v>
      </c>
      <c r="N594" s="324" t="s">
        <v>187</v>
      </c>
      <c r="O594" s="419" t="s">
        <v>197</v>
      </c>
      <c r="P594" s="319" t="s">
        <v>220</v>
      </c>
      <c r="Q594" s="319"/>
      <c r="R594" s="326">
        <v>37.1</v>
      </c>
      <c r="S594" s="319">
        <v>7.0</v>
      </c>
      <c r="T594" s="324"/>
      <c r="U594" s="319">
        <v>7.0</v>
      </c>
      <c r="V594" s="319"/>
      <c r="W594" s="319"/>
      <c r="X594" s="319"/>
      <c r="Y594" s="319"/>
      <c r="Z594" s="319"/>
      <c r="AA594" s="319"/>
      <c r="AB594" s="319"/>
      <c r="AC594" s="327">
        <v>8.0</v>
      </c>
      <c r="AD594" s="319"/>
      <c r="AE594" s="319"/>
      <c r="AF594" s="319"/>
      <c r="AG594" s="319"/>
      <c r="AH594" s="319"/>
      <c r="AI594" s="319"/>
      <c r="AJ594" s="327"/>
      <c r="AK594" s="328"/>
      <c r="AL594" s="319"/>
      <c r="AM594" s="319"/>
      <c r="AN594" s="319"/>
      <c r="AO594" s="319"/>
      <c r="AP594" s="319"/>
      <c r="AQ594" s="319"/>
      <c r="AR594" s="319"/>
      <c r="AS594" s="327"/>
      <c r="AT594" s="461" t="s">
        <v>182</v>
      </c>
      <c r="AU594" s="324" t="s">
        <v>845</v>
      </c>
      <c r="AV594" s="330">
        <f>SQRT(($R594-Infrastructure!J$3)^2+($S594-Infrastructure!K$3)^2)</f>
        <v>43.34016613</v>
      </c>
      <c r="AW594" s="331">
        <f>SQRT(($R594-Infrastructure!J$4)^2+($S594-Infrastructure!K$4)^2)</f>
        <v>38.92813892</v>
      </c>
      <c r="AX594" s="331">
        <f>SQRT(($R594-Infrastructure!J$5)^2+($S594-Infrastructure!K$5)^2)</f>
        <v>37.44823093</v>
      </c>
      <c r="AY594" s="331">
        <f>SQRT(($R594-Infrastructure!J$6)^2+($S594-Infrastructure!K$6)^2)</f>
        <v>27.81887848</v>
      </c>
      <c r="AZ594" s="331">
        <f>SQRT(($R594-Infrastructure!J$7)^2+($S594-Infrastructure!K$7)^2)</f>
        <v>17.90111728</v>
      </c>
      <c r="BA594" s="331">
        <f>SQRT(($R594-Infrastructure!J$8)^2+($S594-Infrastructure!K$8)^2)</f>
        <v>9.689685237</v>
      </c>
      <c r="BB594" s="331">
        <f>SQRT(($R594-Infrastructure!J$9)^2+($S594-Infrastructure!K$9)^2)</f>
        <v>3.466987165</v>
      </c>
      <c r="BC594" s="331">
        <f>SQRT(($R594-Infrastructure!J$10)^2+($S594-Infrastructure!K$10)^2)</f>
        <v>8.50940656</v>
      </c>
      <c r="BD594" s="318"/>
      <c r="BE594" s="332"/>
      <c r="BF594" s="330">
        <f t="shared" si="14"/>
        <v>3.466987165</v>
      </c>
      <c r="BG594" s="333">
        <f t="shared" si="15"/>
        <v>43.34016613</v>
      </c>
      <c r="BH594" s="613"/>
      <c r="BI594" s="462" t="s">
        <v>846</v>
      </c>
      <c r="BJ594" s="318"/>
      <c r="BK594" s="318"/>
      <c r="BL594" s="318"/>
      <c r="BM594" s="318"/>
      <c r="BN594" s="318"/>
      <c r="BO594" s="318"/>
      <c r="BP594" s="318"/>
      <c r="BQ594" s="338"/>
      <c r="BR594" s="420"/>
      <c r="BS594" s="330">
        <f t="shared" si="23"/>
        <v>43.34016613</v>
      </c>
      <c r="BT594" s="331">
        <f t="shared" si="24"/>
        <v>43.34016613</v>
      </c>
      <c r="BU594" s="331"/>
      <c r="BV594" s="333"/>
      <c r="BW594" s="614">
        <v>16.99</v>
      </c>
      <c r="BX594" s="615">
        <v>11.62</v>
      </c>
      <c r="BY594" s="331">
        <f t="shared" si="36"/>
        <v>20.63386779</v>
      </c>
      <c r="BZ594" s="340"/>
      <c r="CA594" s="316"/>
      <c r="CB594" s="318"/>
      <c r="CC594" s="318"/>
      <c r="CD594" s="318"/>
      <c r="CE594" s="318"/>
      <c r="CF594" s="318"/>
      <c r="CG594" s="318"/>
      <c r="CH594" s="318"/>
      <c r="CI594" s="338"/>
      <c r="CJ594" s="341"/>
      <c r="CK594" s="342">
        <f t="shared" si="18"/>
        <v>0</v>
      </c>
      <c r="CL594" s="333">
        <f t="shared" si="19"/>
        <v>0</v>
      </c>
      <c r="CM594" s="616"/>
      <c r="CN594" s="617"/>
      <c r="CO594" s="617"/>
      <c r="CP594" s="617"/>
    </row>
    <row r="595">
      <c r="B595" s="462"/>
      <c r="C595" s="417">
        <v>44180.0</v>
      </c>
      <c r="D595" s="318"/>
      <c r="E595" s="319">
        <v>4.0</v>
      </c>
      <c r="F595" s="324"/>
      <c r="G595" s="600">
        <v>0.5589120370370371</v>
      </c>
      <c r="H595" s="601">
        <v>0.5597222222222222</v>
      </c>
      <c r="I595" s="601"/>
      <c r="J595" s="601"/>
      <c r="K595" s="601">
        <v>0.56875</v>
      </c>
      <c r="L595" s="323"/>
      <c r="M595" s="326" t="s">
        <v>358</v>
      </c>
      <c r="N595" s="324" t="s">
        <v>187</v>
      </c>
      <c r="O595" s="419" t="s">
        <v>198</v>
      </c>
      <c r="P595" s="319" t="s">
        <v>218</v>
      </c>
      <c r="Q595" s="319"/>
      <c r="R595" s="326">
        <v>10.3</v>
      </c>
      <c r="S595" s="319">
        <v>7.9</v>
      </c>
      <c r="T595" s="324"/>
      <c r="U595" s="319">
        <v>5.0</v>
      </c>
      <c r="V595" s="319"/>
      <c r="W595" s="319"/>
      <c r="X595" s="319"/>
      <c r="Y595" s="319"/>
      <c r="Z595" s="319"/>
      <c r="AA595" s="319"/>
      <c r="AB595" s="319"/>
      <c r="AC595" s="327">
        <v>6.0</v>
      </c>
      <c r="AD595" s="319"/>
      <c r="AE595" s="319"/>
      <c r="AF595" s="319"/>
      <c r="AG595" s="319"/>
      <c r="AH595" s="319"/>
      <c r="AI595" s="319"/>
      <c r="AJ595" s="327"/>
      <c r="AK595" s="328"/>
      <c r="AL595" s="319"/>
      <c r="AM595" s="319"/>
      <c r="AN595" s="319"/>
      <c r="AO595" s="319"/>
      <c r="AP595" s="319"/>
      <c r="AQ595" s="319"/>
      <c r="AR595" s="319"/>
      <c r="AS595" s="327"/>
      <c r="AT595" s="461" t="s">
        <v>182</v>
      </c>
      <c r="AU595" s="324" t="s">
        <v>845</v>
      </c>
      <c r="AV595" s="330">
        <f>SQRT(($R595-Infrastructure!J$3)^2+($S595-Infrastructure!K$3)^2)</f>
        <v>23.52360517</v>
      </c>
      <c r="AW595" s="331">
        <f>SQRT(($R595-Infrastructure!J$4)^2+($S595-Infrastructure!K$4)^2)</f>
        <v>14.50413734</v>
      </c>
      <c r="AX595" s="331">
        <f>SQRT(($R595-Infrastructure!J$5)^2+($S595-Infrastructure!K$5)^2)</f>
        <v>10.96357606</v>
      </c>
      <c r="AY595" s="331">
        <f>SQRT(($R595-Infrastructure!J$6)^2+($S595-Infrastructure!K$6)^2)</f>
        <v>7.602631123</v>
      </c>
      <c r="AZ595" s="331">
        <f>SQRT(($R595-Infrastructure!J$7)^2+($S595-Infrastructure!K$7)^2)</f>
        <v>12.72006289</v>
      </c>
      <c r="BA595" s="331">
        <f>SQRT(($R595-Infrastructure!J$8)^2+($S595-Infrastructure!K$8)^2)</f>
        <v>21.20848887</v>
      </c>
      <c r="BB595" s="331">
        <f>SQRT(($R595-Infrastructure!J$9)^2+($S595-Infrastructure!K$9)^2)</f>
        <v>29.83169455</v>
      </c>
      <c r="BC595" s="331">
        <f>SQRT(($R595-Infrastructure!J$10)^2+($S595-Infrastructure!K$10)^2)</f>
        <v>30.53686297</v>
      </c>
      <c r="BD595" s="318"/>
      <c r="BE595" s="332"/>
      <c r="BF595" s="330">
        <f t="shared" si="14"/>
        <v>7.602631123</v>
      </c>
      <c r="BG595" s="333">
        <f t="shared" si="15"/>
        <v>30.53686297</v>
      </c>
      <c r="BH595" s="613"/>
      <c r="BI595" s="316"/>
      <c r="BJ595" s="319" t="s">
        <v>846</v>
      </c>
      <c r="BK595" s="319" t="s">
        <v>846</v>
      </c>
      <c r="BL595" s="318"/>
      <c r="BM595" s="318"/>
      <c r="BN595" s="318"/>
      <c r="BO595" s="318"/>
      <c r="BP595" s="318"/>
      <c r="BQ595" s="338"/>
      <c r="BR595" s="420"/>
      <c r="BS595" s="330">
        <f t="shared" si="23"/>
        <v>10.96357606</v>
      </c>
      <c r="BT595" s="331">
        <f t="shared" si="24"/>
        <v>14.50413734</v>
      </c>
      <c r="BU595" s="331"/>
      <c r="BV595" s="333"/>
      <c r="BW595" s="614">
        <v>9.88</v>
      </c>
      <c r="BX595" s="615">
        <v>11.92</v>
      </c>
      <c r="BY595" s="331">
        <f t="shared" si="36"/>
        <v>4.04188075</v>
      </c>
      <c r="BZ595" s="340"/>
      <c r="CA595" s="316"/>
      <c r="CB595" s="318"/>
      <c r="CC595" s="318"/>
      <c r="CD595" s="318"/>
      <c r="CE595" s="318"/>
      <c r="CF595" s="318"/>
      <c r="CG595" s="318"/>
      <c r="CH595" s="318"/>
      <c r="CI595" s="338"/>
      <c r="CJ595" s="341"/>
      <c r="CK595" s="342">
        <f t="shared" si="18"/>
        <v>0</v>
      </c>
      <c r="CL595" s="333">
        <f t="shared" si="19"/>
        <v>0</v>
      </c>
      <c r="CM595" s="616"/>
      <c r="CN595" s="617"/>
      <c r="CO595" s="617"/>
      <c r="CP595" s="617"/>
    </row>
    <row r="596">
      <c r="B596" s="462"/>
      <c r="C596" s="417">
        <v>44180.0</v>
      </c>
      <c r="D596" s="318"/>
      <c r="E596" s="319">
        <v>5.0</v>
      </c>
      <c r="F596" s="324"/>
      <c r="G596" s="600">
        <v>0.5852430555555556</v>
      </c>
      <c r="H596" s="601">
        <v>0.5857638888888889</v>
      </c>
      <c r="I596" s="601"/>
      <c r="J596" s="601"/>
      <c r="K596" s="601">
        <v>0.5968749999999999</v>
      </c>
      <c r="L596" s="323"/>
      <c r="M596" s="326" t="s">
        <v>168</v>
      </c>
      <c r="N596" s="324" t="s">
        <v>187</v>
      </c>
      <c r="O596" s="419" t="s">
        <v>202</v>
      </c>
      <c r="P596" s="319" t="s">
        <v>212</v>
      </c>
      <c r="Q596" s="319"/>
      <c r="R596" s="326">
        <v>24.4</v>
      </c>
      <c r="S596" s="319">
        <v>9.7</v>
      </c>
      <c r="T596" s="324"/>
      <c r="U596" s="319">
        <v>3.0</v>
      </c>
      <c r="V596" s="319"/>
      <c r="W596" s="319"/>
      <c r="X596" s="319"/>
      <c r="Y596" s="319"/>
      <c r="Z596" s="319"/>
      <c r="AA596" s="319"/>
      <c r="AB596" s="319"/>
      <c r="AC596" s="327">
        <v>3.0</v>
      </c>
      <c r="AD596" s="319"/>
      <c r="AE596" s="319"/>
      <c r="AF596" s="319"/>
      <c r="AG596" s="319"/>
      <c r="AH596" s="319"/>
      <c r="AI596" s="319"/>
      <c r="AJ596" s="327"/>
      <c r="AK596" s="328"/>
      <c r="AL596" s="319"/>
      <c r="AM596" s="319"/>
      <c r="AN596" s="319"/>
      <c r="AO596" s="319"/>
      <c r="AP596" s="319"/>
      <c r="AQ596" s="319"/>
      <c r="AR596" s="319"/>
      <c r="AS596" s="327"/>
      <c r="AT596" s="461" t="s">
        <v>182</v>
      </c>
      <c r="AU596" s="324" t="s">
        <v>845</v>
      </c>
      <c r="AV596" s="330">
        <f>SQRT(($R596-Infrastructure!J$3)^2+($S596-Infrastructure!K$3)^2)</f>
        <v>31.28466078</v>
      </c>
      <c r="AW596" s="331">
        <f>SQRT(($R596-Infrastructure!J$4)^2+($S596-Infrastructure!K$4)^2)</f>
        <v>25.99423013</v>
      </c>
      <c r="AX596" s="331">
        <f>SQRT(($R596-Infrastructure!J$5)^2+($S596-Infrastructure!K$5)^2)</f>
        <v>25.12468905</v>
      </c>
      <c r="AY596" s="331">
        <f>SQRT(($R596-Infrastructure!J$6)^2+($S596-Infrastructure!K$6)^2)</f>
        <v>17.11286066</v>
      </c>
      <c r="AZ596" s="331">
        <f>SQRT(($R596-Infrastructure!J$7)^2+($S596-Infrastructure!K$7)^2)</f>
        <v>10.17693471</v>
      </c>
      <c r="BA596" s="331">
        <f>SQRT(($R596-Infrastructure!J$8)^2+($S596-Infrastructure!K$8)^2)</f>
        <v>10.9931797</v>
      </c>
      <c r="BB596" s="331">
        <f>SQRT(($R596-Infrastructure!J$9)^2+($S596-Infrastructure!K$9)^2)</f>
        <v>16.26407083</v>
      </c>
      <c r="BC596" s="331">
        <f>SQRT(($R596-Infrastructure!J$10)^2+($S596-Infrastructure!K$10)^2)</f>
        <v>16.47573974</v>
      </c>
      <c r="BD596" s="318"/>
      <c r="BE596" s="332"/>
      <c r="BF596" s="330">
        <f t="shared" si="14"/>
        <v>10.17693471</v>
      </c>
      <c r="BG596" s="333">
        <f t="shared" si="15"/>
        <v>31.28466078</v>
      </c>
      <c r="BH596" s="613"/>
      <c r="BI596" s="316"/>
      <c r="BJ596" s="318"/>
      <c r="BK596" s="318"/>
      <c r="BL596" s="319" t="s">
        <v>846</v>
      </c>
      <c r="BM596" s="318"/>
      <c r="BN596" s="318"/>
      <c r="BO596" s="318"/>
      <c r="BP596" s="318"/>
      <c r="BQ596" s="338"/>
      <c r="BR596" s="420"/>
      <c r="BS596" s="330">
        <f t="shared" si="23"/>
        <v>17.11286066</v>
      </c>
      <c r="BT596" s="331">
        <f t="shared" si="24"/>
        <v>17.11286066</v>
      </c>
      <c r="BU596" s="331"/>
      <c r="BV596" s="333"/>
      <c r="BW596" s="614">
        <v>23.42</v>
      </c>
      <c r="BX596" s="615">
        <v>3.63</v>
      </c>
      <c r="BY596" s="331">
        <f t="shared" si="36"/>
        <v>6.148601467</v>
      </c>
      <c r="BZ596" s="340"/>
      <c r="CA596" s="316"/>
      <c r="CB596" s="318"/>
      <c r="CC596" s="318"/>
      <c r="CD596" s="318"/>
      <c r="CE596" s="318"/>
      <c r="CF596" s="318"/>
      <c r="CG596" s="318"/>
      <c r="CH596" s="318"/>
      <c r="CI596" s="338"/>
      <c r="CJ596" s="341"/>
      <c r="CK596" s="342">
        <f t="shared" si="18"/>
        <v>0</v>
      </c>
      <c r="CL596" s="333">
        <f t="shared" si="19"/>
        <v>0</v>
      </c>
      <c r="CM596" s="616"/>
      <c r="CN596" s="617"/>
      <c r="CO596" s="617"/>
      <c r="CP596" s="617"/>
    </row>
    <row r="597">
      <c r="B597" s="462"/>
      <c r="C597" s="417">
        <v>44181.0</v>
      </c>
      <c r="D597" s="318"/>
      <c r="E597" s="319">
        <v>1.0</v>
      </c>
      <c r="F597" s="324"/>
      <c r="G597" s="627">
        <v>0.40381944444444445</v>
      </c>
      <c r="H597" s="628">
        <v>0.4048611111111111</v>
      </c>
      <c r="I597" s="628"/>
      <c r="J597" s="628"/>
      <c r="K597" s="628">
        <v>0.4076388888888889</v>
      </c>
      <c r="L597" s="323"/>
      <c r="M597" s="326" t="s">
        <v>358</v>
      </c>
      <c r="N597" s="324" t="s">
        <v>187</v>
      </c>
      <c r="O597" s="419" t="s">
        <v>205</v>
      </c>
      <c r="P597" s="319" t="s">
        <v>213</v>
      </c>
      <c r="Q597" s="319"/>
      <c r="R597" s="326">
        <v>21.1</v>
      </c>
      <c r="S597" s="319">
        <v>4.1</v>
      </c>
      <c r="T597" s="324"/>
      <c r="U597" s="319">
        <v>3.8</v>
      </c>
      <c r="V597" s="319"/>
      <c r="W597" s="319"/>
      <c r="X597" s="319"/>
      <c r="Y597" s="319"/>
      <c r="Z597" s="319"/>
      <c r="AA597" s="319"/>
      <c r="AB597" s="319"/>
      <c r="AC597" s="327">
        <v>6.0</v>
      </c>
      <c r="AD597" s="319"/>
      <c r="AE597" s="319"/>
      <c r="AF597" s="319"/>
      <c r="AG597" s="319"/>
      <c r="AH597" s="319"/>
      <c r="AI597" s="319"/>
      <c r="AJ597" s="327"/>
      <c r="AK597" s="328"/>
      <c r="AL597" s="319"/>
      <c r="AM597" s="319"/>
      <c r="AN597" s="319"/>
      <c r="AO597" s="319"/>
      <c r="AP597" s="319"/>
      <c r="AQ597" s="319"/>
      <c r="AR597" s="319"/>
      <c r="AS597" s="327"/>
      <c r="AT597" s="461" t="s">
        <v>182</v>
      </c>
      <c r="AU597" s="324" t="s">
        <v>845</v>
      </c>
      <c r="AV597" s="330">
        <f>SQRT(($R597-Infrastructure!J$3)^2+($S597-Infrastructure!K$3)^2)</f>
        <v>32.75667871</v>
      </c>
      <c r="AW597" s="331">
        <f>SQRT(($R597-Infrastructure!J$4)^2+($S597-Infrastructure!K$4)^2)</f>
        <v>25.40964384</v>
      </c>
      <c r="AX597" s="331">
        <f>SQRT(($R597-Infrastructure!J$5)^2+($S597-Infrastructure!K$5)^2)</f>
        <v>21.42335175</v>
      </c>
      <c r="AY597" s="331">
        <f>SQRT(($R597-Infrastructure!J$6)^2+($S597-Infrastructure!K$6)^2)</f>
        <v>11.63786922</v>
      </c>
      <c r="AZ597" s="331">
        <f>SQRT(($R597-Infrastructure!J$7)^2+($S597-Infrastructure!K$7)^2)</f>
        <v>3.847076812</v>
      </c>
      <c r="BA597" s="331">
        <f>SQRT(($R597-Infrastructure!J$8)^2+($S597-Infrastructure!K$8)^2)</f>
        <v>9.769339793</v>
      </c>
      <c r="BB597" s="331">
        <f>SQRT(($R597-Infrastructure!J$9)^2+($S597-Infrastructure!K$9)^2)</f>
        <v>18.92643654</v>
      </c>
      <c r="BC597" s="331">
        <f>SQRT(($R597-Infrastructure!J$10)^2+($S597-Infrastructure!K$10)^2)</f>
        <v>21.81788257</v>
      </c>
      <c r="BD597" s="318"/>
      <c r="BE597" s="332"/>
      <c r="BF597" s="330">
        <f t="shared" si="14"/>
        <v>3.847076812</v>
      </c>
      <c r="BG597" s="333">
        <f t="shared" si="15"/>
        <v>32.75667871</v>
      </c>
      <c r="BH597" s="613"/>
      <c r="BI597" s="316"/>
      <c r="BJ597" s="318"/>
      <c r="BK597" s="318"/>
      <c r="BL597" s="319" t="s">
        <v>846</v>
      </c>
      <c r="BM597" s="318"/>
      <c r="BN597" s="318"/>
      <c r="BO597" s="318"/>
      <c r="BP597" s="318"/>
      <c r="BQ597" s="338"/>
      <c r="BR597" s="420"/>
      <c r="BS597" s="330">
        <f t="shared" si="23"/>
        <v>11.63786922</v>
      </c>
      <c r="BT597" s="331">
        <f t="shared" si="24"/>
        <v>11.63786922</v>
      </c>
      <c r="BU597" s="331"/>
      <c r="BV597" s="333"/>
      <c r="BW597" s="614">
        <v>17.97</v>
      </c>
      <c r="BX597" s="615">
        <v>2.42</v>
      </c>
      <c r="BY597" s="331">
        <f t="shared" si="36"/>
        <v>3.552365409</v>
      </c>
      <c r="BZ597" s="340"/>
      <c r="CA597" s="316"/>
      <c r="CB597" s="318"/>
      <c r="CC597" s="318"/>
      <c r="CD597" s="318"/>
      <c r="CE597" s="318"/>
      <c r="CF597" s="318"/>
      <c r="CG597" s="318"/>
      <c r="CH597" s="318"/>
      <c r="CI597" s="338"/>
      <c r="CJ597" s="341"/>
      <c r="CK597" s="342">
        <f t="shared" si="18"/>
        <v>0</v>
      </c>
      <c r="CL597" s="333">
        <f t="shared" si="19"/>
        <v>0</v>
      </c>
      <c r="CM597" s="616"/>
      <c r="CN597" s="617"/>
      <c r="CO597" s="617"/>
      <c r="CP597" s="617"/>
    </row>
    <row r="598">
      <c r="B598" s="462"/>
      <c r="C598" s="417">
        <v>44181.0</v>
      </c>
      <c r="D598" s="318"/>
      <c r="E598" s="319">
        <v>2.0</v>
      </c>
      <c r="F598" s="324"/>
      <c r="G598" s="627">
        <v>0.409375</v>
      </c>
      <c r="H598" s="628">
        <v>0.41111111111111115</v>
      </c>
      <c r="I598" s="628"/>
      <c r="J598" s="628"/>
      <c r="K598" s="628">
        <v>0.41250000000000003</v>
      </c>
      <c r="L598" s="323"/>
      <c r="M598" s="326" t="s">
        <v>358</v>
      </c>
      <c r="N598" s="324" t="s">
        <v>187</v>
      </c>
      <c r="O598" s="419" t="s">
        <v>205</v>
      </c>
      <c r="P598" s="319" t="s">
        <v>213</v>
      </c>
      <c r="Q598" s="319"/>
      <c r="R598" s="326">
        <v>21.1</v>
      </c>
      <c r="S598" s="319">
        <v>4.1</v>
      </c>
      <c r="T598" s="324"/>
      <c r="U598" s="319">
        <v>6.5</v>
      </c>
      <c r="V598" s="319"/>
      <c r="W598" s="319"/>
      <c r="X598" s="319"/>
      <c r="Y598" s="319"/>
      <c r="Z598" s="319"/>
      <c r="AA598" s="319"/>
      <c r="AB598" s="319"/>
      <c r="AC598" s="327">
        <v>8.0</v>
      </c>
      <c r="AD598" s="319"/>
      <c r="AE598" s="319"/>
      <c r="AF598" s="319"/>
      <c r="AG598" s="319"/>
      <c r="AH598" s="319"/>
      <c r="AI598" s="319"/>
      <c r="AJ598" s="327"/>
      <c r="AK598" s="328"/>
      <c r="AL598" s="319"/>
      <c r="AM598" s="319"/>
      <c r="AN598" s="319"/>
      <c r="AO598" s="319"/>
      <c r="AP598" s="319"/>
      <c r="AQ598" s="319"/>
      <c r="AR598" s="319"/>
      <c r="AS598" s="327"/>
      <c r="AT598" s="461" t="s">
        <v>182</v>
      </c>
      <c r="AU598" s="324" t="s">
        <v>845</v>
      </c>
      <c r="AV598" s="330">
        <f>SQRT(($R598-Infrastructure!J$3)^2+($S598-Infrastructure!K$3)^2)</f>
        <v>32.75667871</v>
      </c>
      <c r="AW598" s="331">
        <f>SQRT(($R598-Infrastructure!J$4)^2+($S598-Infrastructure!K$4)^2)</f>
        <v>25.40964384</v>
      </c>
      <c r="AX598" s="331">
        <f>SQRT(($R598-Infrastructure!J$5)^2+($S598-Infrastructure!K$5)^2)</f>
        <v>21.42335175</v>
      </c>
      <c r="AY598" s="331">
        <f>SQRT(($R598-Infrastructure!J$6)^2+($S598-Infrastructure!K$6)^2)</f>
        <v>11.63786922</v>
      </c>
      <c r="AZ598" s="331">
        <f>SQRT(($R598-Infrastructure!J$7)^2+($S598-Infrastructure!K$7)^2)</f>
        <v>3.847076812</v>
      </c>
      <c r="BA598" s="331">
        <f>SQRT(($R598-Infrastructure!J$8)^2+($S598-Infrastructure!K$8)^2)</f>
        <v>9.769339793</v>
      </c>
      <c r="BB598" s="331">
        <f>SQRT(($R598-Infrastructure!J$9)^2+($S598-Infrastructure!K$9)^2)</f>
        <v>18.92643654</v>
      </c>
      <c r="BC598" s="331">
        <f>SQRT(($R598-Infrastructure!J$10)^2+($S598-Infrastructure!K$10)^2)</f>
        <v>21.81788257</v>
      </c>
      <c r="BD598" s="318"/>
      <c r="BE598" s="332"/>
      <c r="BF598" s="330">
        <f t="shared" si="14"/>
        <v>3.847076812</v>
      </c>
      <c r="BG598" s="333">
        <f t="shared" si="15"/>
        <v>32.75667871</v>
      </c>
      <c r="BH598" s="613"/>
      <c r="BI598" s="316"/>
      <c r="BJ598" s="318"/>
      <c r="BK598" s="318"/>
      <c r="BL598" s="318"/>
      <c r="BM598" s="319" t="s">
        <v>846</v>
      </c>
      <c r="BN598" s="318"/>
      <c r="BO598" s="318"/>
      <c r="BP598" s="318"/>
      <c r="BQ598" s="338"/>
      <c r="BR598" s="420"/>
      <c r="BS598" s="330">
        <f t="shared" si="23"/>
        <v>3.847076812</v>
      </c>
      <c r="BT598" s="331">
        <f t="shared" si="24"/>
        <v>3.847076812</v>
      </c>
      <c r="BU598" s="331"/>
      <c r="BV598" s="333"/>
      <c r="BW598" s="614">
        <v>19.03</v>
      </c>
      <c r="BX598" s="615">
        <v>1.7</v>
      </c>
      <c r="BY598" s="331">
        <f t="shared" si="36"/>
        <v>3.169369022</v>
      </c>
      <c r="BZ598" s="340"/>
      <c r="CA598" s="316"/>
      <c r="CB598" s="318"/>
      <c r="CC598" s="318"/>
      <c r="CD598" s="318"/>
      <c r="CE598" s="318"/>
      <c r="CF598" s="318"/>
      <c r="CG598" s="318"/>
      <c r="CH598" s="318"/>
      <c r="CI598" s="338"/>
      <c r="CJ598" s="341"/>
      <c r="CK598" s="342">
        <f t="shared" si="18"/>
        <v>0</v>
      </c>
      <c r="CL598" s="333">
        <f t="shared" si="19"/>
        <v>0</v>
      </c>
      <c r="CM598" s="616"/>
      <c r="CN598" s="617"/>
      <c r="CO598" s="617"/>
      <c r="CP598" s="617"/>
    </row>
    <row r="599">
      <c r="B599" s="462"/>
      <c r="C599" s="417">
        <v>44181.0</v>
      </c>
      <c r="D599" s="318"/>
      <c r="E599" s="319">
        <v>3.0</v>
      </c>
      <c r="F599" s="324"/>
      <c r="G599" s="600">
        <v>0.4157986111111111</v>
      </c>
      <c r="H599" s="601">
        <v>0.41631944444444446</v>
      </c>
      <c r="I599" s="601"/>
      <c r="J599" s="601"/>
      <c r="K599" s="601">
        <v>0.41770833333333335</v>
      </c>
      <c r="L599" s="323"/>
      <c r="M599" s="326" t="s">
        <v>358</v>
      </c>
      <c r="N599" s="324" t="s">
        <v>187</v>
      </c>
      <c r="O599" s="419" t="s">
        <v>205</v>
      </c>
      <c r="P599" s="319" t="s">
        <v>222</v>
      </c>
      <c r="Q599" s="319"/>
      <c r="R599" s="326">
        <v>20.1</v>
      </c>
      <c r="S599" s="319">
        <v>5.3</v>
      </c>
      <c r="T599" s="324"/>
      <c r="U599" s="319">
        <v>0.5</v>
      </c>
      <c r="V599" s="319"/>
      <c r="W599" s="319"/>
      <c r="X599" s="319"/>
      <c r="Y599" s="319"/>
      <c r="Z599" s="319"/>
      <c r="AA599" s="319"/>
      <c r="AB599" s="319"/>
      <c r="AC599" s="327">
        <v>1.8</v>
      </c>
      <c r="AD599" s="319"/>
      <c r="AE599" s="319"/>
      <c r="AF599" s="319"/>
      <c r="AG599" s="319"/>
      <c r="AH599" s="319"/>
      <c r="AI599" s="319"/>
      <c r="AJ599" s="327"/>
      <c r="AK599" s="328"/>
      <c r="AL599" s="319"/>
      <c r="AM599" s="319"/>
      <c r="AN599" s="319"/>
      <c r="AO599" s="319"/>
      <c r="AP599" s="319"/>
      <c r="AQ599" s="319"/>
      <c r="AR599" s="319"/>
      <c r="AS599" s="327"/>
      <c r="AT599" s="461" t="s">
        <v>181</v>
      </c>
      <c r="AU599" s="324" t="s">
        <v>845</v>
      </c>
      <c r="AV599" s="330">
        <f>SQRT(($R599-Infrastructure!J$3)^2+($S599-Infrastructure!K$3)^2)</f>
        <v>31.19487137</v>
      </c>
      <c r="AW599" s="331">
        <f>SQRT(($R599-Infrastructure!J$4)^2+($S599-Infrastructure!K$4)^2)</f>
        <v>23.92509143</v>
      </c>
      <c r="AX599" s="331">
        <f>SQRT(($R599-Infrastructure!J$5)^2+($S599-Infrastructure!K$5)^2)</f>
        <v>20.40098037</v>
      </c>
      <c r="AY599" s="331">
        <f>SQRT(($R599-Infrastructure!J$6)^2+($S599-Infrastructure!K$6)^2)</f>
        <v>11.18033989</v>
      </c>
      <c r="AZ599" s="331">
        <f>SQRT(($R599-Infrastructure!J$7)^2+($S599-Infrastructure!K$7)^2)</f>
        <v>5.015974482</v>
      </c>
      <c r="BA599" s="331">
        <f>SQRT(($R599-Infrastructure!J$8)^2+($S599-Infrastructure!K$8)^2)</f>
        <v>11.18033989</v>
      </c>
      <c r="BB599" s="331">
        <f>SQRT(($R599-Infrastructure!J$9)^2+($S599-Infrastructure!K$9)^2)</f>
        <v>19.901005</v>
      </c>
      <c r="BC599" s="331">
        <f>SQRT(($R599-Infrastructure!J$10)^2+($S599-Infrastructure!K$10)^2)</f>
        <v>22.13820228</v>
      </c>
      <c r="BD599" s="318"/>
      <c r="BE599" s="332"/>
      <c r="BF599" s="330">
        <f t="shared" si="14"/>
        <v>5.015974482</v>
      </c>
      <c r="BG599" s="333">
        <f t="shared" si="15"/>
        <v>31.19487137</v>
      </c>
      <c r="BH599" s="613"/>
      <c r="BI599" s="316"/>
      <c r="BJ599" s="318"/>
      <c r="BK599" s="318"/>
      <c r="BL599" s="319" t="s">
        <v>846</v>
      </c>
      <c r="BM599" s="318"/>
      <c r="BN599" s="318"/>
      <c r="BO599" s="318"/>
      <c r="BP599" s="318"/>
      <c r="BQ599" s="338"/>
      <c r="BR599" s="420"/>
      <c r="BS599" s="330">
        <f t="shared" si="23"/>
        <v>11.18033989</v>
      </c>
      <c r="BT599" s="331">
        <f t="shared" si="24"/>
        <v>11.18033989</v>
      </c>
      <c r="BU599" s="331"/>
      <c r="BV599" s="333"/>
      <c r="BW599" s="614"/>
      <c r="BX599" s="615"/>
      <c r="BY599" s="331" t="b">
        <f t="shared" si="36"/>
        <v>0</v>
      </c>
      <c r="BZ599" s="340"/>
      <c r="CA599" s="316"/>
      <c r="CB599" s="318"/>
      <c r="CC599" s="318"/>
      <c r="CD599" s="318"/>
      <c r="CE599" s="318"/>
      <c r="CF599" s="318"/>
      <c r="CG599" s="318"/>
      <c r="CH599" s="318"/>
      <c r="CI599" s="338"/>
      <c r="CJ599" s="341"/>
      <c r="CK599" s="342">
        <f t="shared" si="18"/>
        <v>0</v>
      </c>
      <c r="CL599" s="333">
        <f t="shared" si="19"/>
        <v>0</v>
      </c>
      <c r="CM599" s="616"/>
      <c r="CN599" s="617"/>
      <c r="CO599" s="617"/>
      <c r="CP599" s="617"/>
    </row>
    <row r="600">
      <c r="B600" s="462"/>
      <c r="C600" s="417">
        <v>44181.0</v>
      </c>
      <c r="D600" s="318"/>
      <c r="E600" s="319">
        <v>3.0</v>
      </c>
      <c r="F600" s="324"/>
      <c r="G600" s="600">
        <v>0.4185763888888889</v>
      </c>
      <c r="H600" s="601">
        <v>0.41909722222222223</v>
      </c>
      <c r="I600" s="601"/>
      <c r="J600" s="601"/>
      <c r="K600" s="601">
        <v>0.4204861111111111</v>
      </c>
      <c r="L600" s="323"/>
      <c r="M600" s="326" t="s">
        <v>358</v>
      </c>
      <c r="N600" s="324" t="s">
        <v>187</v>
      </c>
      <c r="O600" s="419" t="s">
        <v>205</v>
      </c>
      <c r="P600" s="319" t="s">
        <v>222</v>
      </c>
      <c r="Q600" s="319"/>
      <c r="R600" s="326">
        <v>20.1</v>
      </c>
      <c r="S600" s="319">
        <v>5.3</v>
      </c>
      <c r="T600" s="324"/>
      <c r="U600" s="319">
        <v>0.5</v>
      </c>
      <c r="V600" s="319"/>
      <c r="W600" s="319"/>
      <c r="X600" s="319"/>
      <c r="Y600" s="319"/>
      <c r="Z600" s="319"/>
      <c r="AA600" s="319"/>
      <c r="AB600" s="319"/>
      <c r="AC600" s="327">
        <v>1.8</v>
      </c>
      <c r="AD600" s="319"/>
      <c r="AE600" s="319"/>
      <c r="AF600" s="319"/>
      <c r="AG600" s="319"/>
      <c r="AH600" s="319"/>
      <c r="AI600" s="319"/>
      <c r="AJ600" s="327"/>
      <c r="AK600" s="328"/>
      <c r="AL600" s="319"/>
      <c r="AM600" s="319"/>
      <c r="AN600" s="319"/>
      <c r="AO600" s="319"/>
      <c r="AP600" s="319"/>
      <c r="AQ600" s="319"/>
      <c r="AR600" s="319"/>
      <c r="AS600" s="327"/>
      <c r="AT600" s="461" t="s">
        <v>181</v>
      </c>
      <c r="AU600" s="324" t="s">
        <v>845</v>
      </c>
      <c r="AV600" s="330">
        <f>SQRT(($R600-Infrastructure!J$3)^2+($S600-Infrastructure!K$3)^2)</f>
        <v>31.19487137</v>
      </c>
      <c r="AW600" s="331">
        <f>SQRT(($R600-Infrastructure!J$4)^2+($S600-Infrastructure!K$4)^2)</f>
        <v>23.92509143</v>
      </c>
      <c r="AX600" s="331">
        <f>SQRT(($R600-Infrastructure!J$5)^2+($S600-Infrastructure!K$5)^2)</f>
        <v>20.40098037</v>
      </c>
      <c r="AY600" s="331">
        <f>SQRT(($R600-Infrastructure!J$6)^2+($S600-Infrastructure!K$6)^2)</f>
        <v>11.18033989</v>
      </c>
      <c r="AZ600" s="331">
        <f>SQRT(($R600-Infrastructure!J$7)^2+($S600-Infrastructure!K$7)^2)</f>
        <v>5.015974482</v>
      </c>
      <c r="BA600" s="331">
        <f>SQRT(($R600-Infrastructure!J$8)^2+($S600-Infrastructure!K$8)^2)</f>
        <v>11.18033989</v>
      </c>
      <c r="BB600" s="331">
        <f>SQRT(($R600-Infrastructure!J$9)^2+($S600-Infrastructure!K$9)^2)</f>
        <v>19.901005</v>
      </c>
      <c r="BC600" s="331">
        <f>SQRT(($R600-Infrastructure!J$10)^2+($S600-Infrastructure!K$10)^2)</f>
        <v>22.13820228</v>
      </c>
      <c r="BD600" s="318"/>
      <c r="BE600" s="332"/>
      <c r="BF600" s="330">
        <f t="shared" si="14"/>
        <v>5.015974482</v>
      </c>
      <c r="BG600" s="333">
        <f t="shared" si="15"/>
        <v>31.19487137</v>
      </c>
      <c r="BH600" s="613"/>
      <c r="BI600" s="316"/>
      <c r="BJ600" s="318"/>
      <c r="BK600" s="318"/>
      <c r="BL600" s="318"/>
      <c r="BM600" s="318"/>
      <c r="BN600" s="318"/>
      <c r="BO600" s="318"/>
      <c r="BP600" s="318"/>
      <c r="BQ600" s="338"/>
      <c r="BR600" s="420"/>
      <c r="BS600" s="330">
        <f t="shared" si="23"/>
        <v>0</v>
      </c>
      <c r="BT600" s="331">
        <f t="shared" si="24"/>
        <v>0</v>
      </c>
      <c r="BU600" s="331"/>
      <c r="BV600" s="333"/>
      <c r="BW600" s="330"/>
      <c r="BX600" s="331"/>
      <c r="BY600" s="331" t="b">
        <f t="shared" si="36"/>
        <v>0</v>
      </c>
      <c r="BZ600" s="340"/>
      <c r="CA600" s="316"/>
      <c r="CB600" s="318"/>
      <c r="CC600" s="318"/>
      <c r="CD600" s="318"/>
      <c r="CE600" s="318"/>
      <c r="CF600" s="318"/>
      <c r="CG600" s="318"/>
      <c r="CH600" s="318"/>
      <c r="CI600" s="338"/>
      <c r="CJ600" s="341"/>
      <c r="CK600" s="342">
        <f t="shared" si="18"/>
        <v>0</v>
      </c>
      <c r="CL600" s="333">
        <f t="shared" si="19"/>
        <v>0</v>
      </c>
      <c r="CM600" s="702" t="s">
        <v>1223</v>
      </c>
      <c r="CN600" s="595"/>
      <c r="CO600" s="595"/>
      <c r="CP600" s="595"/>
    </row>
    <row r="601">
      <c r="B601" s="462"/>
      <c r="C601" s="417">
        <v>44181.0</v>
      </c>
      <c r="D601" s="318"/>
      <c r="E601" s="319">
        <v>4.0</v>
      </c>
      <c r="F601" s="324"/>
      <c r="G601" s="627">
        <v>0.4215277777777778</v>
      </c>
      <c r="H601" s="628">
        <v>0.4230902777777778</v>
      </c>
      <c r="I601" s="628"/>
      <c r="J601" s="628"/>
      <c r="K601" s="628">
        <v>0.4244791666666667</v>
      </c>
      <c r="L601" s="323"/>
      <c r="M601" s="326" t="s">
        <v>358</v>
      </c>
      <c r="N601" s="324" t="s">
        <v>187</v>
      </c>
      <c r="O601" s="419" t="s">
        <v>205</v>
      </c>
      <c r="P601" s="319" t="s">
        <v>222</v>
      </c>
      <c r="Q601" s="319"/>
      <c r="R601" s="326">
        <v>20.1</v>
      </c>
      <c r="S601" s="319">
        <v>5.3</v>
      </c>
      <c r="T601" s="324"/>
      <c r="U601" s="319">
        <v>1.5</v>
      </c>
      <c r="V601" s="319"/>
      <c r="W601" s="319"/>
      <c r="X601" s="319"/>
      <c r="Y601" s="319"/>
      <c r="Z601" s="319"/>
      <c r="AA601" s="319"/>
      <c r="AB601" s="319"/>
      <c r="AC601" s="327">
        <v>4.0</v>
      </c>
      <c r="AD601" s="319"/>
      <c r="AE601" s="319"/>
      <c r="AF601" s="319"/>
      <c r="AG601" s="319"/>
      <c r="AH601" s="319"/>
      <c r="AI601" s="319"/>
      <c r="AJ601" s="327"/>
      <c r="AK601" s="328"/>
      <c r="AL601" s="319"/>
      <c r="AM601" s="319"/>
      <c r="AN601" s="319"/>
      <c r="AO601" s="319"/>
      <c r="AP601" s="319"/>
      <c r="AQ601" s="319"/>
      <c r="AR601" s="319"/>
      <c r="AS601" s="327"/>
      <c r="AT601" s="461" t="s">
        <v>182</v>
      </c>
      <c r="AU601" s="324" t="s">
        <v>845</v>
      </c>
      <c r="AV601" s="330">
        <f>SQRT(($R601-Infrastructure!J$3)^2+($S601-Infrastructure!K$3)^2)</f>
        <v>31.19487137</v>
      </c>
      <c r="AW601" s="331">
        <f>SQRT(($R601-Infrastructure!J$4)^2+($S601-Infrastructure!K$4)^2)</f>
        <v>23.92509143</v>
      </c>
      <c r="AX601" s="331">
        <f>SQRT(($R601-Infrastructure!J$5)^2+($S601-Infrastructure!K$5)^2)</f>
        <v>20.40098037</v>
      </c>
      <c r="AY601" s="331">
        <f>SQRT(($R601-Infrastructure!J$6)^2+($S601-Infrastructure!K$6)^2)</f>
        <v>11.18033989</v>
      </c>
      <c r="AZ601" s="331">
        <f>SQRT(($R601-Infrastructure!J$7)^2+($S601-Infrastructure!K$7)^2)</f>
        <v>5.015974482</v>
      </c>
      <c r="BA601" s="331">
        <f>SQRT(($R601-Infrastructure!J$8)^2+($S601-Infrastructure!K$8)^2)</f>
        <v>11.18033989</v>
      </c>
      <c r="BB601" s="331">
        <f>SQRT(($R601-Infrastructure!J$9)^2+($S601-Infrastructure!K$9)^2)</f>
        <v>19.901005</v>
      </c>
      <c r="BC601" s="331">
        <f>SQRT(($R601-Infrastructure!J$10)^2+($S601-Infrastructure!K$10)^2)</f>
        <v>22.13820228</v>
      </c>
      <c r="BD601" s="318"/>
      <c r="BE601" s="332"/>
      <c r="BF601" s="330">
        <f t="shared" si="14"/>
        <v>5.015974482</v>
      </c>
      <c r="BG601" s="333">
        <f t="shared" si="15"/>
        <v>31.19487137</v>
      </c>
      <c r="BH601" s="613"/>
      <c r="BI601" s="316"/>
      <c r="BJ601" s="318"/>
      <c r="BK601" s="318"/>
      <c r="BL601" s="318"/>
      <c r="BM601" s="318"/>
      <c r="BN601" s="318"/>
      <c r="BO601" s="318"/>
      <c r="BP601" s="318"/>
      <c r="BQ601" s="338"/>
      <c r="BR601" s="420"/>
      <c r="BS601" s="330">
        <f t="shared" si="23"/>
        <v>0</v>
      </c>
      <c r="BT601" s="331">
        <f t="shared" si="24"/>
        <v>0</v>
      </c>
      <c r="BU601" s="331"/>
      <c r="BV601" s="333"/>
      <c r="BW601" s="614"/>
      <c r="BX601" s="615"/>
      <c r="BY601" s="331" t="b">
        <f t="shared" si="36"/>
        <v>0</v>
      </c>
      <c r="BZ601" s="340"/>
      <c r="CA601" s="316"/>
      <c r="CB601" s="318"/>
      <c r="CC601" s="318"/>
      <c r="CD601" s="318"/>
      <c r="CE601" s="318"/>
      <c r="CF601" s="318"/>
      <c r="CG601" s="318"/>
      <c r="CH601" s="318"/>
      <c r="CI601" s="338"/>
      <c r="CJ601" s="341"/>
      <c r="CK601" s="342">
        <f t="shared" si="18"/>
        <v>0</v>
      </c>
      <c r="CL601" s="333">
        <f t="shared" si="19"/>
        <v>0</v>
      </c>
      <c r="CM601" s="616"/>
      <c r="CN601" s="617"/>
      <c r="CO601" s="617"/>
      <c r="CP601" s="617"/>
    </row>
    <row r="602">
      <c r="B602" s="462"/>
      <c r="C602" s="417">
        <v>44181.0</v>
      </c>
      <c r="D602" s="318"/>
      <c r="E602" s="319">
        <v>5.0</v>
      </c>
      <c r="F602" s="324"/>
      <c r="G602" s="600">
        <v>0.42586805555555557</v>
      </c>
      <c r="H602" s="601">
        <v>0.42690972222222223</v>
      </c>
      <c r="I602" s="601"/>
      <c r="J602" s="601"/>
      <c r="K602" s="601">
        <v>0.4282986111111111</v>
      </c>
      <c r="L602" s="323"/>
      <c r="M602" s="326" t="s">
        <v>358</v>
      </c>
      <c r="N602" s="324" t="s">
        <v>187</v>
      </c>
      <c r="O602" s="419" t="s">
        <v>205</v>
      </c>
      <c r="P602" s="319" t="s">
        <v>222</v>
      </c>
      <c r="Q602" s="319"/>
      <c r="R602" s="326">
        <v>20.1</v>
      </c>
      <c r="S602" s="319">
        <v>5.3</v>
      </c>
      <c r="T602" s="324"/>
      <c r="U602" s="319">
        <v>3.8</v>
      </c>
      <c r="V602" s="319"/>
      <c r="W602" s="319"/>
      <c r="X602" s="319"/>
      <c r="Y602" s="319"/>
      <c r="Z602" s="319"/>
      <c r="AA602" s="319"/>
      <c r="AB602" s="319"/>
      <c r="AC602" s="327">
        <v>6.0</v>
      </c>
      <c r="AD602" s="319"/>
      <c r="AE602" s="319"/>
      <c r="AF602" s="319"/>
      <c r="AG602" s="319"/>
      <c r="AH602" s="319"/>
      <c r="AI602" s="319"/>
      <c r="AJ602" s="327"/>
      <c r="AK602" s="328"/>
      <c r="AL602" s="319"/>
      <c r="AM602" s="319"/>
      <c r="AN602" s="319"/>
      <c r="AO602" s="319"/>
      <c r="AP602" s="319"/>
      <c r="AQ602" s="319"/>
      <c r="AR602" s="319"/>
      <c r="AS602" s="327"/>
      <c r="AT602" s="461" t="s">
        <v>182</v>
      </c>
      <c r="AU602" s="324" t="s">
        <v>845</v>
      </c>
      <c r="AV602" s="330">
        <f>SQRT(($R602-Infrastructure!J$3)^2+($S602-Infrastructure!K$3)^2)</f>
        <v>31.19487137</v>
      </c>
      <c r="AW602" s="331">
        <f>SQRT(($R602-Infrastructure!J$4)^2+($S602-Infrastructure!K$4)^2)</f>
        <v>23.92509143</v>
      </c>
      <c r="AX602" s="331">
        <f>SQRT(($R602-Infrastructure!J$5)^2+($S602-Infrastructure!K$5)^2)</f>
        <v>20.40098037</v>
      </c>
      <c r="AY602" s="331">
        <f>SQRT(($R602-Infrastructure!J$6)^2+($S602-Infrastructure!K$6)^2)</f>
        <v>11.18033989</v>
      </c>
      <c r="AZ602" s="331">
        <f>SQRT(($R602-Infrastructure!J$7)^2+($S602-Infrastructure!K$7)^2)</f>
        <v>5.015974482</v>
      </c>
      <c r="BA602" s="331">
        <f>SQRT(($R602-Infrastructure!J$8)^2+($S602-Infrastructure!K$8)^2)</f>
        <v>11.18033989</v>
      </c>
      <c r="BB602" s="331">
        <f>SQRT(($R602-Infrastructure!J$9)^2+($S602-Infrastructure!K$9)^2)</f>
        <v>19.901005</v>
      </c>
      <c r="BC602" s="331">
        <f>SQRT(($R602-Infrastructure!J$10)^2+($S602-Infrastructure!K$10)^2)</f>
        <v>22.13820228</v>
      </c>
      <c r="BD602" s="318"/>
      <c r="BE602" s="332"/>
      <c r="BF602" s="330">
        <f t="shared" si="14"/>
        <v>5.015974482</v>
      </c>
      <c r="BG602" s="333">
        <f t="shared" si="15"/>
        <v>31.19487137</v>
      </c>
      <c r="BH602" s="613"/>
      <c r="BI602" s="316"/>
      <c r="BJ602" s="318"/>
      <c r="BK602" s="318"/>
      <c r="BL602" s="318"/>
      <c r="BM602" s="318"/>
      <c r="BN602" s="318"/>
      <c r="BO602" s="318"/>
      <c r="BP602" s="318"/>
      <c r="BQ602" s="338"/>
      <c r="BR602" s="420"/>
      <c r="BS602" s="330">
        <f t="shared" si="23"/>
        <v>0</v>
      </c>
      <c r="BT602" s="331">
        <f t="shared" si="24"/>
        <v>0</v>
      </c>
      <c r="BU602" s="331"/>
      <c r="BV602" s="333"/>
      <c r="BW602" s="614"/>
      <c r="BX602" s="615"/>
      <c r="BY602" s="331" t="b">
        <f t="shared" si="36"/>
        <v>0</v>
      </c>
      <c r="BZ602" s="340"/>
      <c r="CA602" s="316"/>
      <c r="CB602" s="318"/>
      <c r="CC602" s="318"/>
      <c r="CD602" s="318"/>
      <c r="CE602" s="318"/>
      <c r="CF602" s="318"/>
      <c r="CG602" s="318"/>
      <c r="CH602" s="318"/>
      <c r="CI602" s="338"/>
      <c r="CJ602" s="341"/>
      <c r="CK602" s="342">
        <f t="shared" si="18"/>
        <v>0</v>
      </c>
      <c r="CL602" s="333">
        <f t="shared" si="19"/>
        <v>0</v>
      </c>
      <c r="CM602" s="616"/>
      <c r="CN602" s="617"/>
      <c r="CO602" s="617"/>
      <c r="CP602" s="617"/>
    </row>
    <row r="603">
      <c r="B603" s="462"/>
      <c r="C603" s="417">
        <v>44181.0</v>
      </c>
      <c r="D603" s="318"/>
      <c r="E603" s="319">
        <v>6.0</v>
      </c>
      <c r="F603" s="324"/>
      <c r="G603" s="627">
        <v>0.4291666666666667</v>
      </c>
      <c r="H603" s="628">
        <v>0.4302083333333333</v>
      </c>
      <c r="I603" s="628"/>
      <c r="J603" s="628"/>
      <c r="K603" s="628">
        <v>0.4315972222222222</v>
      </c>
      <c r="L603" s="323"/>
      <c r="M603" s="326" t="s">
        <v>358</v>
      </c>
      <c r="N603" s="324" t="s">
        <v>187</v>
      </c>
      <c r="O603" s="419" t="s">
        <v>205</v>
      </c>
      <c r="P603" s="319" t="s">
        <v>222</v>
      </c>
      <c r="Q603" s="319"/>
      <c r="R603" s="326">
        <v>20.1</v>
      </c>
      <c r="S603" s="319">
        <v>5.3</v>
      </c>
      <c r="T603" s="324"/>
      <c r="U603" s="319">
        <v>6.5</v>
      </c>
      <c r="V603" s="319"/>
      <c r="W603" s="319"/>
      <c r="X603" s="319"/>
      <c r="Y603" s="319"/>
      <c r="Z603" s="319"/>
      <c r="AA603" s="319"/>
      <c r="AB603" s="319"/>
      <c r="AC603" s="327">
        <v>6.0</v>
      </c>
      <c r="AD603" s="319"/>
      <c r="AE603" s="319"/>
      <c r="AF603" s="319"/>
      <c r="AG603" s="319"/>
      <c r="AH603" s="319"/>
      <c r="AI603" s="319"/>
      <c r="AJ603" s="327"/>
      <c r="AK603" s="328"/>
      <c r="AL603" s="319"/>
      <c r="AM603" s="319"/>
      <c r="AN603" s="319"/>
      <c r="AO603" s="319"/>
      <c r="AP603" s="319"/>
      <c r="AQ603" s="319"/>
      <c r="AR603" s="319"/>
      <c r="AS603" s="327"/>
      <c r="AT603" s="461" t="s">
        <v>182</v>
      </c>
      <c r="AU603" s="324" t="s">
        <v>845</v>
      </c>
      <c r="AV603" s="330">
        <f>SQRT(($R603-Infrastructure!J$3)^2+($S603-Infrastructure!K$3)^2)</f>
        <v>31.19487137</v>
      </c>
      <c r="AW603" s="331">
        <f>SQRT(($R603-Infrastructure!J$4)^2+($S603-Infrastructure!K$4)^2)</f>
        <v>23.92509143</v>
      </c>
      <c r="AX603" s="331">
        <f>SQRT(($R603-Infrastructure!J$5)^2+($S603-Infrastructure!K$5)^2)</f>
        <v>20.40098037</v>
      </c>
      <c r="AY603" s="331">
        <f>SQRT(($R603-Infrastructure!J$6)^2+($S603-Infrastructure!K$6)^2)</f>
        <v>11.18033989</v>
      </c>
      <c r="AZ603" s="331">
        <f>SQRT(($R603-Infrastructure!J$7)^2+($S603-Infrastructure!K$7)^2)</f>
        <v>5.015974482</v>
      </c>
      <c r="BA603" s="331">
        <f>SQRT(($R603-Infrastructure!J$8)^2+($S603-Infrastructure!K$8)^2)</f>
        <v>11.18033989</v>
      </c>
      <c r="BB603" s="331">
        <f>SQRT(($R603-Infrastructure!J$9)^2+($S603-Infrastructure!K$9)^2)</f>
        <v>19.901005</v>
      </c>
      <c r="BC603" s="331">
        <f>SQRT(($R603-Infrastructure!J$10)^2+($S603-Infrastructure!K$10)^2)</f>
        <v>22.13820228</v>
      </c>
      <c r="BD603" s="318"/>
      <c r="BE603" s="332"/>
      <c r="BF603" s="330">
        <f t="shared" si="14"/>
        <v>5.015974482</v>
      </c>
      <c r="BG603" s="333">
        <f t="shared" si="15"/>
        <v>31.19487137</v>
      </c>
      <c r="BH603" s="613"/>
      <c r="BI603" s="316"/>
      <c r="BJ603" s="318"/>
      <c r="BK603" s="318"/>
      <c r="BL603" s="319" t="s">
        <v>846</v>
      </c>
      <c r="BM603" s="318"/>
      <c r="BN603" s="318"/>
      <c r="BO603" s="318"/>
      <c r="BP603" s="318"/>
      <c r="BQ603" s="338"/>
      <c r="BR603" s="420"/>
      <c r="BS603" s="330">
        <f t="shared" si="23"/>
        <v>11.18033989</v>
      </c>
      <c r="BT603" s="331">
        <f t="shared" si="24"/>
        <v>11.18033989</v>
      </c>
      <c r="BU603" s="331"/>
      <c r="BV603" s="333"/>
      <c r="BW603" s="614"/>
      <c r="BX603" s="615"/>
      <c r="BY603" s="331" t="b">
        <f t="shared" si="36"/>
        <v>0</v>
      </c>
      <c r="BZ603" s="340"/>
      <c r="CA603" s="316"/>
      <c r="CB603" s="318"/>
      <c r="CC603" s="318"/>
      <c r="CD603" s="318"/>
      <c r="CE603" s="318"/>
      <c r="CF603" s="318"/>
      <c r="CG603" s="318"/>
      <c r="CH603" s="318"/>
      <c r="CI603" s="338"/>
      <c r="CJ603" s="341"/>
      <c r="CK603" s="342">
        <f t="shared" si="18"/>
        <v>0</v>
      </c>
      <c r="CL603" s="333">
        <f t="shared" si="19"/>
        <v>0</v>
      </c>
      <c r="CM603" s="616"/>
      <c r="CN603" s="617"/>
      <c r="CO603" s="617"/>
      <c r="CP603" s="617"/>
    </row>
    <row r="604">
      <c r="B604" s="462"/>
      <c r="C604" s="417">
        <v>44181.0</v>
      </c>
      <c r="D604" s="318"/>
      <c r="E604" s="319">
        <v>7.0</v>
      </c>
      <c r="F604" s="324"/>
      <c r="G604" s="600">
        <v>0.4329861111111111</v>
      </c>
      <c r="H604" s="601">
        <v>0.43350694444444443</v>
      </c>
      <c r="I604" s="601"/>
      <c r="J604" s="601"/>
      <c r="K604" s="601">
        <v>0.4348958333333333</v>
      </c>
      <c r="L604" s="323"/>
      <c r="M604" s="326" t="s">
        <v>358</v>
      </c>
      <c r="N604" s="324" t="s">
        <v>187</v>
      </c>
      <c r="O604" s="419" t="s">
        <v>207</v>
      </c>
      <c r="P604" s="319" t="s">
        <v>221</v>
      </c>
      <c r="Q604" s="319"/>
      <c r="R604" s="326">
        <v>26.0</v>
      </c>
      <c r="S604" s="319">
        <v>14.4</v>
      </c>
      <c r="T604" s="324"/>
      <c r="U604" s="319">
        <v>1.6</v>
      </c>
      <c r="V604" s="319"/>
      <c r="W604" s="319"/>
      <c r="X604" s="319"/>
      <c r="Y604" s="319"/>
      <c r="Z604" s="319"/>
      <c r="AA604" s="319"/>
      <c r="AB604" s="319"/>
      <c r="AC604" s="327">
        <v>2.7</v>
      </c>
      <c r="AD604" s="319"/>
      <c r="AE604" s="319"/>
      <c r="AF604" s="319"/>
      <c r="AG604" s="319"/>
      <c r="AH604" s="319"/>
      <c r="AI604" s="319"/>
      <c r="AJ604" s="327"/>
      <c r="AK604" s="328"/>
      <c r="AL604" s="319"/>
      <c r="AM604" s="319"/>
      <c r="AN604" s="319"/>
      <c r="AO604" s="319"/>
      <c r="AP604" s="319"/>
      <c r="AQ604" s="319"/>
      <c r="AR604" s="319"/>
      <c r="AS604" s="327"/>
      <c r="AT604" s="461" t="s">
        <v>182</v>
      </c>
      <c r="AU604" s="324" t="s">
        <v>845</v>
      </c>
      <c r="AV604" s="330">
        <f>SQRT(($R604-Infrastructure!J$3)^2+($S604-Infrastructure!K$3)^2)</f>
        <v>30.03231593</v>
      </c>
      <c r="AW604" s="331">
        <f>SQRT(($R604-Infrastructure!J$4)^2+($S604-Infrastructure!K$4)^2)</f>
        <v>26.51886121</v>
      </c>
      <c r="AX604" s="331">
        <f>SQRT(($R604-Infrastructure!J$5)^2+($S604-Infrastructure!K$5)^2)</f>
        <v>27.89587783</v>
      </c>
      <c r="AY604" s="331">
        <f>SQRT(($R604-Infrastructure!J$6)^2+($S604-Infrastructure!K$6)^2)</f>
        <v>21.2513529</v>
      </c>
      <c r="AZ604" s="331">
        <f>SQRT(($R604-Infrastructure!J$7)^2+($S604-Infrastructure!K$7)^2)</f>
        <v>15.13472828</v>
      </c>
      <c r="BA604" s="331">
        <f>SQRT(($R604-Infrastructure!J$8)^2+($S604-Infrastructure!K$8)^2)</f>
        <v>14.6840049</v>
      </c>
      <c r="BB604" s="331">
        <f>SQRT(($R604-Infrastructure!J$9)^2+($S604-Infrastructure!K$9)^2)</f>
        <v>16.80743883</v>
      </c>
      <c r="BC604" s="331">
        <f>SQRT(($R604-Infrastructure!J$10)^2+($S604-Infrastructure!K$10)^2)</f>
        <v>14.01285124</v>
      </c>
      <c r="BD604" s="318"/>
      <c r="BE604" s="332"/>
      <c r="BF604" s="330">
        <f t="shared" si="14"/>
        <v>14.01285124</v>
      </c>
      <c r="BG604" s="333">
        <f t="shared" si="15"/>
        <v>30.03231593</v>
      </c>
      <c r="BH604" s="613"/>
      <c r="BI604" s="316"/>
      <c r="BJ604" s="318"/>
      <c r="BK604" s="318"/>
      <c r="BL604" s="319" t="s">
        <v>846</v>
      </c>
      <c r="BM604" s="318"/>
      <c r="BN604" s="318"/>
      <c r="BO604" s="318"/>
      <c r="BP604" s="318"/>
      <c r="BQ604" s="338"/>
      <c r="BR604" s="420"/>
      <c r="BS604" s="330">
        <f t="shared" si="23"/>
        <v>21.2513529</v>
      </c>
      <c r="BT604" s="331">
        <f t="shared" si="24"/>
        <v>21.2513529</v>
      </c>
      <c r="BU604" s="331"/>
      <c r="BV604" s="333"/>
      <c r="BW604" s="614"/>
      <c r="BX604" s="615"/>
      <c r="BY604" s="331" t="b">
        <f t="shared" si="36"/>
        <v>0</v>
      </c>
      <c r="BZ604" s="340"/>
      <c r="CA604" s="316"/>
      <c r="CB604" s="318"/>
      <c r="CC604" s="318"/>
      <c r="CD604" s="318"/>
      <c r="CE604" s="318"/>
      <c r="CF604" s="318"/>
      <c r="CG604" s="318"/>
      <c r="CH604" s="318"/>
      <c r="CI604" s="338"/>
      <c r="CJ604" s="341"/>
      <c r="CK604" s="342">
        <f t="shared" si="18"/>
        <v>0</v>
      </c>
      <c r="CL604" s="333">
        <f t="shared" si="19"/>
        <v>0</v>
      </c>
      <c r="CM604" s="616"/>
      <c r="CN604" s="617"/>
      <c r="CO604" s="617"/>
      <c r="CP604" s="617"/>
    </row>
    <row r="605">
      <c r="B605" s="462"/>
      <c r="C605" s="417">
        <v>44181.0</v>
      </c>
      <c r="D605" s="318"/>
      <c r="E605" s="319">
        <v>8.0</v>
      </c>
      <c r="F605" s="324"/>
      <c r="G605" s="627">
        <v>0.43645833333333334</v>
      </c>
      <c r="H605" s="628">
        <v>0.4369791666666667</v>
      </c>
      <c r="I605" s="628"/>
      <c r="J605" s="628"/>
      <c r="K605" s="628">
        <v>0.4383680555555556</v>
      </c>
      <c r="L605" s="323"/>
      <c r="M605" s="326" t="s">
        <v>358</v>
      </c>
      <c r="N605" s="324" t="s">
        <v>187</v>
      </c>
      <c r="O605" s="419" t="s">
        <v>207</v>
      </c>
      <c r="P605" s="319" t="s">
        <v>219</v>
      </c>
      <c r="Q605" s="319"/>
      <c r="R605" s="326">
        <v>25.9</v>
      </c>
      <c r="S605" s="319">
        <v>12.4</v>
      </c>
      <c r="T605" s="324"/>
      <c r="U605" s="319">
        <v>6.5</v>
      </c>
      <c r="V605" s="319"/>
      <c r="W605" s="319"/>
      <c r="X605" s="319"/>
      <c r="Y605" s="319"/>
      <c r="Z605" s="319"/>
      <c r="AA605" s="319"/>
      <c r="AB605" s="319"/>
      <c r="AC605" s="327">
        <v>8.0</v>
      </c>
      <c r="AD605" s="319"/>
      <c r="AE605" s="319"/>
      <c r="AF605" s="319"/>
      <c r="AG605" s="319"/>
      <c r="AH605" s="319"/>
      <c r="AI605" s="319"/>
      <c r="AJ605" s="327"/>
      <c r="AK605" s="328"/>
      <c r="AL605" s="319"/>
      <c r="AM605" s="319"/>
      <c r="AN605" s="319"/>
      <c r="AO605" s="319"/>
      <c r="AP605" s="319"/>
      <c r="AQ605" s="319"/>
      <c r="AR605" s="319"/>
      <c r="AS605" s="327"/>
      <c r="AT605" s="461" t="s">
        <v>182</v>
      </c>
      <c r="AU605" s="324" t="s">
        <v>845</v>
      </c>
      <c r="AV605" s="330">
        <f>SQRT(($R605-Infrastructure!J$3)^2+($S605-Infrastructure!K$3)^2)</f>
        <v>30.96271952</v>
      </c>
      <c r="AW605" s="331">
        <f>SQRT(($R605-Infrastructure!J$4)^2+($S605-Infrastructure!K$4)^2)</f>
        <v>26.75070093</v>
      </c>
      <c r="AX605" s="331">
        <f>SQRT(($R605-Infrastructure!J$5)^2+($S605-Infrastructure!K$5)^2)</f>
        <v>27.19797787</v>
      </c>
      <c r="AY605" s="331">
        <f>SQRT(($R605-Infrastructure!J$6)^2+($S605-Infrastructure!K$6)^2)</f>
        <v>19.901005</v>
      </c>
      <c r="AZ605" s="331">
        <f>SQRT(($R605-Infrastructure!J$7)^2+($S605-Infrastructure!K$7)^2)</f>
        <v>13.25028302</v>
      </c>
      <c r="BA605" s="331">
        <f>SQRT(($R605-Infrastructure!J$8)^2+($S605-Infrastructure!K$8)^2)</f>
        <v>12.8082005</v>
      </c>
      <c r="BB605" s="331">
        <f>SQRT(($R605-Infrastructure!J$9)^2+($S605-Infrastructure!K$9)^2)</f>
        <v>15.87765726</v>
      </c>
      <c r="BC605" s="331">
        <f>SQRT(($R605-Infrastructure!J$10)^2+($S605-Infrastructure!K$10)^2)</f>
        <v>14.33771251</v>
      </c>
      <c r="BD605" s="318"/>
      <c r="BE605" s="332"/>
      <c r="BF605" s="330">
        <f t="shared" si="14"/>
        <v>12.8082005</v>
      </c>
      <c r="BG605" s="333">
        <f t="shared" si="15"/>
        <v>30.96271952</v>
      </c>
      <c r="BH605" s="613"/>
      <c r="BI605" s="316"/>
      <c r="BJ605" s="318"/>
      <c r="BK605" s="318"/>
      <c r="BL605" s="319" t="s">
        <v>846</v>
      </c>
      <c r="BM605" s="318"/>
      <c r="BN605" s="318"/>
      <c r="BO605" s="318"/>
      <c r="BP605" s="318"/>
      <c r="BQ605" s="338"/>
      <c r="BR605" s="420"/>
      <c r="BS605" s="330">
        <f t="shared" si="23"/>
        <v>19.901005</v>
      </c>
      <c r="BT605" s="331">
        <f t="shared" si="24"/>
        <v>19.901005</v>
      </c>
      <c r="BU605" s="331"/>
      <c r="BV605" s="333"/>
      <c r="BW605" s="614"/>
      <c r="BX605" s="615"/>
      <c r="BY605" s="331" t="b">
        <f t="shared" si="36"/>
        <v>0</v>
      </c>
      <c r="BZ605" s="340"/>
      <c r="CA605" s="316"/>
      <c r="CB605" s="318"/>
      <c r="CC605" s="318"/>
      <c r="CD605" s="318"/>
      <c r="CE605" s="318"/>
      <c r="CF605" s="318"/>
      <c r="CG605" s="318"/>
      <c r="CH605" s="318"/>
      <c r="CI605" s="338"/>
      <c r="CJ605" s="341"/>
      <c r="CK605" s="342">
        <f t="shared" si="18"/>
        <v>0</v>
      </c>
      <c r="CL605" s="333">
        <f t="shared" si="19"/>
        <v>0</v>
      </c>
      <c r="CM605" s="616"/>
      <c r="CN605" s="617"/>
      <c r="CO605" s="617"/>
      <c r="CP605" s="617"/>
    </row>
    <row r="606">
      <c r="B606" s="462"/>
      <c r="C606" s="417">
        <v>44181.0</v>
      </c>
      <c r="D606" s="318"/>
      <c r="E606" s="319">
        <v>9.0</v>
      </c>
      <c r="F606" s="324"/>
      <c r="G606" s="600">
        <v>0.44189814814814815</v>
      </c>
      <c r="H606" s="601">
        <v>0.4434027777777778</v>
      </c>
      <c r="I606" s="601"/>
      <c r="J606" s="601"/>
      <c r="K606" s="601">
        <v>0.4447916666666667</v>
      </c>
      <c r="L606" s="323"/>
      <c r="M606" s="326" t="s">
        <v>358</v>
      </c>
      <c r="N606" s="324" t="s">
        <v>187</v>
      </c>
      <c r="O606" s="419" t="s">
        <v>197</v>
      </c>
      <c r="P606" s="319" t="s">
        <v>220</v>
      </c>
      <c r="Q606" s="319"/>
      <c r="R606" s="326">
        <v>37.1</v>
      </c>
      <c r="S606" s="319">
        <v>7.0</v>
      </c>
      <c r="T606" s="324"/>
      <c r="U606" s="319">
        <v>0.5</v>
      </c>
      <c r="V606" s="319"/>
      <c r="W606" s="319"/>
      <c r="X606" s="319"/>
      <c r="Y606" s="319"/>
      <c r="Z606" s="319"/>
      <c r="AA606" s="319"/>
      <c r="AB606" s="319"/>
      <c r="AC606" s="327">
        <v>4.0</v>
      </c>
      <c r="AD606" s="319"/>
      <c r="AE606" s="319"/>
      <c r="AF606" s="319"/>
      <c r="AG606" s="319"/>
      <c r="AH606" s="319"/>
      <c r="AI606" s="319"/>
      <c r="AJ606" s="327"/>
      <c r="AK606" s="328"/>
      <c r="AL606" s="319"/>
      <c r="AM606" s="319"/>
      <c r="AN606" s="319"/>
      <c r="AO606" s="319"/>
      <c r="AP606" s="319"/>
      <c r="AQ606" s="319"/>
      <c r="AR606" s="319"/>
      <c r="AS606" s="327"/>
      <c r="AT606" s="461" t="s">
        <v>181</v>
      </c>
      <c r="AU606" s="324" t="s">
        <v>845</v>
      </c>
      <c r="AV606" s="330">
        <f>SQRT(($R606-Infrastructure!J$3)^2+($S606-Infrastructure!K$3)^2)</f>
        <v>43.34016613</v>
      </c>
      <c r="AW606" s="331">
        <f>SQRT(($R606-Infrastructure!J$4)^2+($S606-Infrastructure!K$4)^2)</f>
        <v>38.92813892</v>
      </c>
      <c r="AX606" s="331">
        <f>SQRT(($R606-Infrastructure!J$5)^2+($S606-Infrastructure!K$5)^2)</f>
        <v>37.44823093</v>
      </c>
      <c r="AY606" s="331">
        <f>SQRT(($R606-Infrastructure!J$6)^2+($S606-Infrastructure!K$6)^2)</f>
        <v>27.81887848</v>
      </c>
      <c r="AZ606" s="331">
        <f>SQRT(($R606-Infrastructure!J$7)^2+($S606-Infrastructure!K$7)^2)</f>
        <v>17.90111728</v>
      </c>
      <c r="BA606" s="331">
        <f>SQRT(($R606-Infrastructure!J$8)^2+($S606-Infrastructure!K$8)^2)</f>
        <v>9.689685237</v>
      </c>
      <c r="BB606" s="331">
        <f>SQRT(($R606-Infrastructure!J$9)^2+($S606-Infrastructure!K$9)^2)</f>
        <v>3.466987165</v>
      </c>
      <c r="BC606" s="331">
        <f>SQRT(($R606-Infrastructure!J$10)^2+($S606-Infrastructure!K$10)^2)</f>
        <v>8.50940656</v>
      </c>
      <c r="BD606" s="318"/>
      <c r="BE606" s="332"/>
      <c r="BF606" s="330">
        <f t="shared" si="14"/>
        <v>3.466987165</v>
      </c>
      <c r="BG606" s="333">
        <f t="shared" si="15"/>
        <v>43.34016613</v>
      </c>
      <c r="BH606" s="613"/>
      <c r="BI606" s="316"/>
      <c r="BJ606" s="318"/>
      <c r="BK606" s="318"/>
      <c r="BL606" s="318"/>
      <c r="BM606" s="318"/>
      <c r="BN606" s="318"/>
      <c r="BO606" s="318"/>
      <c r="BP606" s="318"/>
      <c r="BQ606" s="338"/>
      <c r="BR606" s="420"/>
      <c r="BS606" s="330">
        <f t="shared" si="23"/>
        <v>0</v>
      </c>
      <c r="BT606" s="331">
        <f t="shared" si="24"/>
        <v>0</v>
      </c>
      <c r="BU606" s="331"/>
      <c r="BV606" s="333"/>
      <c r="BW606" s="614"/>
      <c r="BX606" s="615"/>
      <c r="BY606" s="331" t="b">
        <f t="shared" si="36"/>
        <v>0</v>
      </c>
      <c r="BZ606" s="340"/>
      <c r="CA606" s="316"/>
      <c r="CB606" s="318"/>
      <c r="CC606" s="318"/>
      <c r="CD606" s="318"/>
      <c r="CE606" s="318"/>
      <c r="CF606" s="318"/>
      <c r="CG606" s="318"/>
      <c r="CH606" s="318"/>
      <c r="CI606" s="338"/>
      <c r="CJ606" s="341"/>
      <c r="CK606" s="342">
        <f t="shared" si="18"/>
        <v>0</v>
      </c>
      <c r="CL606" s="333">
        <f t="shared" si="19"/>
        <v>0</v>
      </c>
      <c r="CM606" s="616"/>
      <c r="CN606" s="617"/>
      <c r="CO606" s="617"/>
      <c r="CP606" s="617"/>
    </row>
    <row r="607">
      <c r="B607" s="462"/>
      <c r="C607" s="417">
        <v>44181.0</v>
      </c>
      <c r="D607" s="318"/>
      <c r="E607" s="319">
        <v>10.0</v>
      </c>
      <c r="F607" s="324"/>
      <c r="G607" s="627">
        <v>0.4454861111111111</v>
      </c>
      <c r="H607" s="628">
        <v>0.44675925925925924</v>
      </c>
      <c r="I607" s="628"/>
      <c r="J607" s="628"/>
      <c r="K607" s="628">
        <v>0.44826388888888885</v>
      </c>
      <c r="L607" s="323"/>
      <c r="M607" s="326" t="s">
        <v>358</v>
      </c>
      <c r="N607" s="324" t="s">
        <v>187</v>
      </c>
      <c r="O607" s="419" t="s">
        <v>197</v>
      </c>
      <c r="P607" s="319" t="s">
        <v>220</v>
      </c>
      <c r="Q607" s="319"/>
      <c r="R607" s="326">
        <v>37.1</v>
      </c>
      <c r="S607" s="319">
        <v>7.0</v>
      </c>
      <c r="T607" s="324"/>
      <c r="U607" s="319">
        <v>1.5</v>
      </c>
      <c r="V607" s="319"/>
      <c r="W607" s="319"/>
      <c r="X607" s="319"/>
      <c r="Y607" s="319"/>
      <c r="Z607" s="319"/>
      <c r="AA607" s="319"/>
      <c r="AB607" s="319"/>
      <c r="AC607" s="327">
        <v>4.0</v>
      </c>
      <c r="AD607" s="319"/>
      <c r="AE607" s="319"/>
      <c r="AF607" s="319"/>
      <c r="AG607" s="319"/>
      <c r="AH607" s="319"/>
      <c r="AI607" s="319"/>
      <c r="AJ607" s="327"/>
      <c r="AK607" s="328"/>
      <c r="AL607" s="319"/>
      <c r="AM607" s="319"/>
      <c r="AN607" s="319"/>
      <c r="AO607" s="319"/>
      <c r="AP607" s="319"/>
      <c r="AQ607" s="319"/>
      <c r="AR607" s="319"/>
      <c r="AS607" s="327"/>
      <c r="AT607" s="461" t="s">
        <v>182</v>
      </c>
      <c r="AU607" s="324" t="s">
        <v>845</v>
      </c>
      <c r="AV607" s="330">
        <f>SQRT(($R607-Infrastructure!J$3)^2+($S607-Infrastructure!K$3)^2)</f>
        <v>43.34016613</v>
      </c>
      <c r="AW607" s="331">
        <f>SQRT(($R607-Infrastructure!J$4)^2+($S607-Infrastructure!K$4)^2)</f>
        <v>38.92813892</v>
      </c>
      <c r="AX607" s="331">
        <f>SQRT(($R607-Infrastructure!J$5)^2+($S607-Infrastructure!K$5)^2)</f>
        <v>37.44823093</v>
      </c>
      <c r="AY607" s="331">
        <f>SQRT(($R607-Infrastructure!J$6)^2+($S607-Infrastructure!K$6)^2)</f>
        <v>27.81887848</v>
      </c>
      <c r="AZ607" s="331">
        <f>SQRT(($R607-Infrastructure!J$7)^2+($S607-Infrastructure!K$7)^2)</f>
        <v>17.90111728</v>
      </c>
      <c r="BA607" s="331">
        <f>SQRT(($R607-Infrastructure!J$8)^2+($S607-Infrastructure!K$8)^2)</f>
        <v>9.689685237</v>
      </c>
      <c r="BB607" s="331">
        <f>SQRT(($R607-Infrastructure!J$9)^2+($S607-Infrastructure!K$9)^2)</f>
        <v>3.466987165</v>
      </c>
      <c r="BC607" s="331">
        <f>SQRT(($R607-Infrastructure!J$10)^2+($S607-Infrastructure!K$10)^2)</f>
        <v>8.50940656</v>
      </c>
      <c r="BD607" s="318"/>
      <c r="BE607" s="332"/>
      <c r="BF607" s="330">
        <f t="shared" si="14"/>
        <v>3.466987165</v>
      </c>
      <c r="BG607" s="333">
        <f t="shared" si="15"/>
        <v>43.34016613</v>
      </c>
      <c r="BH607" s="613"/>
      <c r="BI607" s="316"/>
      <c r="BJ607" s="318"/>
      <c r="BK607" s="318"/>
      <c r="BL607" s="319" t="s">
        <v>846</v>
      </c>
      <c r="BM607" s="318"/>
      <c r="BN607" s="318"/>
      <c r="BO607" s="318"/>
      <c r="BP607" s="318"/>
      <c r="BQ607" s="338"/>
      <c r="BR607" s="420"/>
      <c r="BS607" s="330">
        <f t="shared" si="23"/>
        <v>27.81887848</v>
      </c>
      <c r="BT607" s="331">
        <f t="shared" si="24"/>
        <v>27.81887848</v>
      </c>
      <c r="BU607" s="331"/>
      <c r="BV607" s="333"/>
      <c r="BW607" s="614"/>
      <c r="BX607" s="615"/>
      <c r="BY607" s="331" t="b">
        <f t="shared" si="36"/>
        <v>0</v>
      </c>
      <c r="BZ607" s="340"/>
      <c r="CA607" s="316"/>
      <c r="CB607" s="318"/>
      <c r="CC607" s="318"/>
      <c r="CD607" s="318"/>
      <c r="CE607" s="318"/>
      <c r="CF607" s="318"/>
      <c r="CG607" s="318"/>
      <c r="CH607" s="318"/>
      <c r="CI607" s="338"/>
      <c r="CJ607" s="341"/>
      <c r="CK607" s="342">
        <f t="shared" si="18"/>
        <v>0</v>
      </c>
      <c r="CL607" s="333">
        <f t="shared" si="19"/>
        <v>0</v>
      </c>
      <c r="CM607" s="616"/>
      <c r="CN607" s="617"/>
      <c r="CO607" s="617"/>
      <c r="CP607" s="617"/>
    </row>
    <row r="608">
      <c r="B608" s="462"/>
      <c r="C608" s="417">
        <v>44181.0</v>
      </c>
      <c r="D608" s="318"/>
      <c r="E608" s="319">
        <v>11.0</v>
      </c>
      <c r="F608" s="324"/>
      <c r="G608" s="600">
        <v>0.44965277777777773</v>
      </c>
      <c r="H608" s="601">
        <v>0.45034722222222223</v>
      </c>
      <c r="I608" s="601"/>
      <c r="J608" s="601"/>
      <c r="K608" s="601">
        <v>0.4517361111111111</v>
      </c>
      <c r="L608" s="323"/>
      <c r="M608" s="326" t="s">
        <v>358</v>
      </c>
      <c r="N608" s="324" t="s">
        <v>187</v>
      </c>
      <c r="O608" s="419" t="s">
        <v>197</v>
      </c>
      <c r="P608" s="319" t="s">
        <v>220</v>
      </c>
      <c r="Q608" s="319"/>
      <c r="R608" s="326">
        <v>37.1</v>
      </c>
      <c r="S608" s="319">
        <v>7.0</v>
      </c>
      <c r="T608" s="324"/>
      <c r="U608" s="319">
        <v>3.8</v>
      </c>
      <c r="V608" s="319"/>
      <c r="W608" s="319"/>
      <c r="X608" s="319"/>
      <c r="Y608" s="319"/>
      <c r="Z608" s="319"/>
      <c r="AA608" s="319"/>
      <c r="AB608" s="319"/>
      <c r="AC608" s="327">
        <v>6.0</v>
      </c>
      <c r="AD608" s="319"/>
      <c r="AE608" s="319"/>
      <c r="AF608" s="319"/>
      <c r="AG608" s="319"/>
      <c r="AH608" s="319"/>
      <c r="AI608" s="319"/>
      <c r="AJ608" s="327"/>
      <c r="AK608" s="328"/>
      <c r="AL608" s="319"/>
      <c r="AM608" s="319"/>
      <c r="AN608" s="319"/>
      <c r="AO608" s="319"/>
      <c r="AP608" s="319"/>
      <c r="AQ608" s="319"/>
      <c r="AR608" s="319"/>
      <c r="AS608" s="327"/>
      <c r="AT608" s="461" t="s">
        <v>182</v>
      </c>
      <c r="AU608" s="324" t="s">
        <v>845</v>
      </c>
      <c r="AV608" s="330">
        <f>SQRT(($R608-Infrastructure!J$3)^2+($S608-Infrastructure!K$3)^2)</f>
        <v>43.34016613</v>
      </c>
      <c r="AW608" s="331">
        <f>SQRT(($R608-Infrastructure!J$4)^2+($S608-Infrastructure!K$4)^2)</f>
        <v>38.92813892</v>
      </c>
      <c r="AX608" s="331">
        <f>SQRT(($R608-Infrastructure!J$5)^2+($S608-Infrastructure!K$5)^2)</f>
        <v>37.44823093</v>
      </c>
      <c r="AY608" s="331">
        <f>SQRT(($R608-Infrastructure!J$6)^2+($S608-Infrastructure!K$6)^2)</f>
        <v>27.81887848</v>
      </c>
      <c r="AZ608" s="331">
        <f>SQRT(($R608-Infrastructure!J$7)^2+($S608-Infrastructure!K$7)^2)</f>
        <v>17.90111728</v>
      </c>
      <c r="BA608" s="331">
        <f>SQRT(($R608-Infrastructure!J$8)^2+($S608-Infrastructure!K$8)^2)</f>
        <v>9.689685237</v>
      </c>
      <c r="BB608" s="331">
        <f>SQRT(($R608-Infrastructure!J$9)^2+($S608-Infrastructure!K$9)^2)</f>
        <v>3.466987165</v>
      </c>
      <c r="BC608" s="331">
        <f>SQRT(($R608-Infrastructure!J$10)^2+($S608-Infrastructure!K$10)^2)</f>
        <v>8.50940656</v>
      </c>
      <c r="BD608" s="318"/>
      <c r="BE608" s="332"/>
      <c r="BF608" s="330">
        <f t="shared" si="14"/>
        <v>3.466987165</v>
      </c>
      <c r="BG608" s="333">
        <f t="shared" si="15"/>
        <v>43.34016613</v>
      </c>
      <c r="BH608" s="613"/>
      <c r="BI608" s="316"/>
      <c r="BJ608" s="318"/>
      <c r="BK608" s="318"/>
      <c r="BL608" s="319" t="s">
        <v>846</v>
      </c>
      <c r="BM608" s="318"/>
      <c r="BN608" s="318"/>
      <c r="BO608" s="318"/>
      <c r="BP608" s="318"/>
      <c r="BQ608" s="338"/>
      <c r="BR608" s="420"/>
      <c r="BS608" s="330">
        <f t="shared" si="23"/>
        <v>27.81887848</v>
      </c>
      <c r="BT608" s="331">
        <f t="shared" si="24"/>
        <v>27.81887848</v>
      </c>
      <c r="BU608" s="331"/>
      <c r="BV608" s="333"/>
      <c r="BW608" s="614"/>
      <c r="BX608" s="615"/>
      <c r="BY608" s="331" t="b">
        <f t="shared" si="36"/>
        <v>0</v>
      </c>
      <c r="BZ608" s="340"/>
      <c r="CA608" s="316"/>
      <c r="CB608" s="318"/>
      <c r="CC608" s="318"/>
      <c r="CD608" s="318"/>
      <c r="CE608" s="318"/>
      <c r="CF608" s="318"/>
      <c r="CG608" s="318"/>
      <c r="CH608" s="318"/>
      <c r="CI608" s="338"/>
      <c r="CJ608" s="341"/>
      <c r="CK608" s="342">
        <f t="shared" si="18"/>
        <v>0</v>
      </c>
      <c r="CL608" s="333">
        <f t="shared" si="19"/>
        <v>0</v>
      </c>
      <c r="CM608" s="616"/>
      <c r="CN608" s="617"/>
      <c r="CO608" s="617"/>
      <c r="CP608" s="617"/>
    </row>
    <row r="609">
      <c r="B609" s="462"/>
      <c r="C609" s="417">
        <v>44181.0</v>
      </c>
      <c r="D609" s="318"/>
      <c r="E609" s="319">
        <v>12.0</v>
      </c>
      <c r="F609" s="324"/>
      <c r="G609" s="627">
        <v>0.453125</v>
      </c>
      <c r="H609" s="628">
        <v>0.4534722222222222</v>
      </c>
      <c r="I609" s="628"/>
      <c r="J609" s="628"/>
      <c r="K609" s="628">
        <v>0.4548611111111111</v>
      </c>
      <c r="L609" s="323"/>
      <c r="M609" s="326" t="s">
        <v>358</v>
      </c>
      <c r="N609" s="324" t="s">
        <v>187</v>
      </c>
      <c r="O609" s="419" t="s">
        <v>197</v>
      </c>
      <c r="P609" s="319" t="s">
        <v>220</v>
      </c>
      <c r="Q609" s="319"/>
      <c r="R609" s="326">
        <v>37.1</v>
      </c>
      <c r="S609" s="319">
        <v>7.0</v>
      </c>
      <c r="T609" s="324"/>
      <c r="U609" s="319">
        <v>6.5</v>
      </c>
      <c r="V609" s="319"/>
      <c r="W609" s="319"/>
      <c r="X609" s="319"/>
      <c r="Y609" s="319"/>
      <c r="Z609" s="319"/>
      <c r="AA609" s="319"/>
      <c r="AB609" s="319"/>
      <c r="AC609" s="327">
        <v>8.0</v>
      </c>
      <c r="AD609" s="319"/>
      <c r="AE609" s="319"/>
      <c r="AF609" s="319"/>
      <c r="AG609" s="319"/>
      <c r="AH609" s="319"/>
      <c r="AI609" s="319"/>
      <c r="AJ609" s="327"/>
      <c r="AK609" s="328"/>
      <c r="AL609" s="319"/>
      <c r="AM609" s="319"/>
      <c r="AN609" s="319"/>
      <c r="AO609" s="319"/>
      <c r="AP609" s="319"/>
      <c r="AQ609" s="319"/>
      <c r="AR609" s="319"/>
      <c r="AS609" s="327"/>
      <c r="AT609" s="461" t="s">
        <v>182</v>
      </c>
      <c r="AU609" s="324" t="s">
        <v>845</v>
      </c>
      <c r="AV609" s="330">
        <f>SQRT(($R609-Infrastructure!J$3)^2+($S609-Infrastructure!K$3)^2)</f>
        <v>43.34016613</v>
      </c>
      <c r="AW609" s="331">
        <f>SQRT(($R609-Infrastructure!J$4)^2+($S609-Infrastructure!K$4)^2)</f>
        <v>38.92813892</v>
      </c>
      <c r="AX609" s="331">
        <f>SQRT(($R609-Infrastructure!J$5)^2+($S609-Infrastructure!K$5)^2)</f>
        <v>37.44823093</v>
      </c>
      <c r="AY609" s="331">
        <f>SQRT(($R609-Infrastructure!J$6)^2+($S609-Infrastructure!K$6)^2)</f>
        <v>27.81887848</v>
      </c>
      <c r="AZ609" s="331">
        <f>SQRT(($R609-Infrastructure!J$7)^2+($S609-Infrastructure!K$7)^2)</f>
        <v>17.90111728</v>
      </c>
      <c r="BA609" s="331">
        <f>SQRT(($R609-Infrastructure!J$8)^2+($S609-Infrastructure!K$8)^2)</f>
        <v>9.689685237</v>
      </c>
      <c r="BB609" s="331">
        <f>SQRT(($R609-Infrastructure!J$9)^2+($S609-Infrastructure!K$9)^2)</f>
        <v>3.466987165</v>
      </c>
      <c r="BC609" s="331">
        <f>SQRT(($R609-Infrastructure!J$10)^2+($S609-Infrastructure!K$10)^2)</f>
        <v>8.50940656</v>
      </c>
      <c r="BD609" s="318"/>
      <c r="BE609" s="332"/>
      <c r="BF609" s="330">
        <f t="shared" si="14"/>
        <v>3.466987165</v>
      </c>
      <c r="BG609" s="333">
        <f t="shared" si="15"/>
        <v>43.34016613</v>
      </c>
      <c r="BH609" s="613"/>
      <c r="BI609" s="316"/>
      <c r="BJ609" s="318"/>
      <c r="BK609" s="318"/>
      <c r="BL609" s="318"/>
      <c r="BM609" s="318"/>
      <c r="BN609" s="318"/>
      <c r="BO609" s="318"/>
      <c r="BP609" s="318"/>
      <c r="BQ609" s="338"/>
      <c r="BR609" s="420"/>
      <c r="BS609" s="330">
        <f t="shared" si="23"/>
        <v>0</v>
      </c>
      <c r="BT609" s="331">
        <f t="shared" si="24"/>
        <v>0</v>
      </c>
      <c r="BU609" s="331"/>
      <c r="BV609" s="333"/>
      <c r="BW609" s="614"/>
      <c r="BX609" s="615"/>
      <c r="BY609" s="331" t="b">
        <f t="shared" si="36"/>
        <v>0</v>
      </c>
      <c r="BZ609" s="340"/>
      <c r="CA609" s="316"/>
      <c r="CB609" s="318"/>
      <c r="CC609" s="318"/>
      <c r="CD609" s="318"/>
      <c r="CE609" s="318"/>
      <c r="CF609" s="318"/>
      <c r="CG609" s="318"/>
      <c r="CH609" s="318"/>
      <c r="CI609" s="338"/>
      <c r="CJ609" s="341"/>
      <c r="CK609" s="342">
        <f t="shared" si="18"/>
        <v>0</v>
      </c>
      <c r="CL609" s="333">
        <f t="shared" si="19"/>
        <v>0</v>
      </c>
      <c r="CM609" s="616"/>
      <c r="CN609" s="617"/>
      <c r="CO609" s="617"/>
      <c r="CP609" s="617"/>
    </row>
    <row r="610">
      <c r="B610" s="462"/>
      <c r="C610" s="417">
        <v>44181.0</v>
      </c>
      <c r="D610" s="318"/>
      <c r="E610" s="319">
        <v>13.0</v>
      </c>
      <c r="F610" s="324"/>
      <c r="G610" s="627">
        <v>0.45607638888888885</v>
      </c>
      <c r="H610" s="628">
        <v>0.4564236111111111</v>
      </c>
      <c r="I610" s="628"/>
      <c r="J610" s="628"/>
      <c r="K610" s="628">
        <v>0.4578125</v>
      </c>
      <c r="L610" s="323"/>
      <c r="M610" s="326" t="s">
        <v>358</v>
      </c>
      <c r="N610" s="324" t="s">
        <v>187</v>
      </c>
      <c r="O610" s="419" t="s">
        <v>197</v>
      </c>
      <c r="P610" s="319" t="s">
        <v>220</v>
      </c>
      <c r="Q610" s="319"/>
      <c r="R610" s="326">
        <v>37.1</v>
      </c>
      <c r="S610" s="319">
        <v>7.0</v>
      </c>
      <c r="T610" s="324"/>
      <c r="U610" s="319">
        <v>10.5</v>
      </c>
      <c r="V610" s="319"/>
      <c r="W610" s="319"/>
      <c r="X610" s="319"/>
      <c r="Y610" s="319"/>
      <c r="Z610" s="319"/>
      <c r="AA610" s="319"/>
      <c r="AB610" s="319"/>
      <c r="AC610" s="327">
        <v>8.0</v>
      </c>
      <c r="AD610" s="319"/>
      <c r="AE610" s="319"/>
      <c r="AF610" s="319"/>
      <c r="AG610" s="319"/>
      <c r="AH610" s="319"/>
      <c r="AI610" s="319"/>
      <c r="AJ610" s="327"/>
      <c r="AK610" s="328"/>
      <c r="AL610" s="319"/>
      <c r="AM610" s="319"/>
      <c r="AN610" s="319"/>
      <c r="AO610" s="319"/>
      <c r="AP610" s="319"/>
      <c r="AQ610" s="319"/>
      <c r="AR610" s="319"/>
      <c r="AS610" s="327"/>
      <c r="AT610" s="461" t="s">
        <v>183</v>
      </c>
      <c r="AU610" s="324" t="s">
        <v>845</v>
      </c>
      <c r="AV610" s="330">
        <f>SQRT(($R610-Infrastructure!J$3)^2+($S610-Infrastructure!K$3)^2)</f>
        <v>43.34016613</v>
      </c>
      <c r="AW610" s="331">
        <f>SQRT(($R610-Infrastructure!J$4)^2+($S610-Infrastructure!K$4)^2)</f>
        <v>38.92813892</v>
      </c>
      <c r="AX610" s="331">
        <f>SQRT(($R610-Infrastructure!J$5)^2+($S610-Infrastructure!K$5)^2)</f>
        <v>37.44823093</v>
      </c>
      <c r="AY610" s="331">
        <f>SQRT(($R610-Infrastructure!J$6)^2+($S610-Infrastructure!K$6)^2)</f>
        <v>27.81887848</v>
      </c>
      <c r="AZ610" s="331">
        <f>SQRT(($R610-Infrastructure!J$7)^2+($S610-Infrastructure!K$7)^2)</f>
        <v>17.90111728</v>
      </c>
      <c r="BA610" s="331">
        <f>SQRT(($R610-Infrastructure!J$8)^2+($S610-Infrastructure!K$8)^2)</f>
        <v>9.689685237</v>
      </c>
      <c r="BB610" s="331">
        <f>SQRT(($R610-Infrastructure!J$9)^2+($S610-Infrastructure!K$9)^2)</f>
        <v>3.466987165</v>
      </c>
      <c r="BC610" s="331">
        <f>SQRT(($R610-Infrastructure!J$10)^2+($S610-Infrastructure!K$10)^2)</f>
        <v>8.50940656</v>
      </c>
      <c r="BD610" s="318"/>
      <c r="BE610" s="332"/>
      <c r="BF610" s="330">
        <f t="shared" si="14"/>
        <v>3.466987165</v>
      </c>
      <c r="BG610" s="333">
        <f t="shared" si="15"/>
        <v>43.34016613</v>
      </c>
      <c r="BH610" s="613"/>
      <c r="BI610" s="316"/>
      <c r="BJ610" s="318"/>
      <c r="BK610" s="318"/>
      <c r="BL610" s="318"/>
      <c r="BM610" s="318"/>
      <c r="BN610" s="318"/>
      <c r="BO610" s="318"/>
      <c r="BP610" s="318"/>
      <c r="BQ610" s="338"/>
      <c r="BR610" s="420"/>
      <c r="BS610" s="330">
        <f t="shared" si="23"/>
        <v>0</v>
      </c>
      <c r="BT610" s="331">
        <f t="shared" si="24"/>
        <v>0</v>
      </c>
      <c r="BU610" s="331"/>
      <c r="BV610" s="333"/>
      <c r="BW610" s="614"/>
      <c r="BX610" s="615"/>
      <c r="BY610" s="331" t="b">
        <f t="shared" si="36"/>
        <v>0</v>
      </c>
      <c r="BZ610" s="340"/>
      <c r="CA610" s="316"/>
      <c r="CB610" s="318"/>
      <c r="CC610" s="318"/>
      <c r="CD610" s="318"/>
      <c r="CE610" s="318"/>
      <c r="CF610" s="318"/>
      <c r="CG610" s="318"/>
      <c r="CH610" s="318"/>
      <c r="CI610" s="338"/>
      <c r="CJ610" s="341"/>
      <c r="CK610" s="342">
        <f t="shared" si="18"/>
        <v>0</v>
      </c>
      <c r="CL610" s="333">
        <f t="shared" si="19"/>
        <v>0</v>
      </c>
      <c r="CM610" s="616"/>
      <c r="CN610" s="617"/>
      <c r="CO610" s="617"/>
      <c r="CP610" s="617"/>
    </row>
    <row r="611">
      <c r="B611" s="462"/>
      <c r="C611" s="417">
        <v>44181.0</v>
      </c>
      <c r="D611" s="318"/>
      <c r="E611" s="319">
        <v>14.0</v>
      </c>
      <c r="F611" s="324"/>
      <c r="G611" s="600">
        <v>0.4597222222222222</v>
      </c>
      <c r="H611" s="601">
        <v>0.45989583333333334</v>
      </c>
      <c r="I611" s="601"/>
      <c r="J611" s="601"/>
      <c r="K611" s="601">
        <v>0.4612847222222222</v>
      </c>
      <c r="L611" s="323"/>
      <c r="M611" s="326" t="s">
        <v>358</v>
      </c>
      <c r="N611" s="324" t="s">
        <v>187</v>
      </c>
      <c r="O611" s="419" t="s">
        <v>197</v>
      </c>
      <c r="P611" s="319" t="s">
        <v>220</v>
      </c>
      <c r="Q611" s="319"/>
      <c r="R611" s="326">
        <v>37.1</v>
      </c>
      <c r="S611" s="319">
        <v>7.0</v>
      </c>
      <c r="T611" s="324"/>
      <c r="U611" s="319">
        <v>10.5</v>
      </c>
      <c r="V611" s="319"/>
      <c r="W611" s="319"/>
      <c r="X611" s="319"/>
      <c r="Y611" s="319"/>
      <c r="Z611" s="319"/>
      <c r="AA611" s="319"/>
      <c r="AB611" s="319"/>
      <c r="AC611" s="327">
        <v>6.0</v>
      </c>
      <c r="AD611" s="319"/>
      <c r="AE611" s="319"/>
      <c r="AF611" s="319"/>
      <c r="AG611" s="319"/>
      <c r="AH611" s="319"/>
      <c r="AI611" s="319"/>
      <c r="AJ611" s="327"/>
      <c r="AK611" s="328"/>
      <c r="AL611" s="319"/>
      <c r="AM611" s="319"/>
      <c r="AN611" s="319"/>
      <c r="AO611" s="319"/>
      <c r="AP611" s="319"/>
      <c r="AQ611" s="319"/>
      <c r="AR611" s="319"/>
      <c r="AS611" s="327"/>
      <c r="AT611" s="461" t="s">
        <v>183</v>
      </c>
      <c r="AU611" s="324" t="s">
        <v>845</v>
      </c>
      <c r="AV611" s="330">
        <f>SQRT(($R611-Infrastructure!J$3)^2+($S611-Infrastructure!K$3)^2)</f>
        <v>43.34016613</v>
      </c>
      <c r="AW611" s="331">
        <f>SQRT(($R611-Infrastructure!J$4)^2+($S611-Infrastructure!K$4)^2)</f>
        <v>38.92813892</v>
      </c>
      <c r="AX611" s="331">
        <f>SQRT(($R611-Infrastructure!J$5)^2+($S611-Infrastructure!K$5)^2)</f>
        <v>37.44823093</v>
      </c>
      <c r="AY611" s="331">
        <f>SQRT(($R611-Infrastructure!J$6)^2+($S611-Infrastructure!K$6)^2)</f>
        <v>27.81887848</v>
      </c>
      <c r="AZ611" s="331">
        <f>SQRT(($R611-Infrastructure!J$7)^2+($S611-Infrastructure!K$7)^2)</f>
        <v>17.90111728</v>
      </c>
      <c r="BA611" s="331">
        <f>SQRT(($R611-Infrastructure!J$8)^2+($S611-Infrastructure!K$8)^2)</f>
        <v>9.689685237</v>
      </c>
      <c r="BB611" s="331">
        <f>SQRT(($R611-Infrastructure!J$9)^2+($S611-Infrastructure!K$9)^2)</f>
        <v>3.466987165</v>
      </c>
      <c r="BC611" s="331">
        <f>SQRT(($R611-Infrastructure!J$10)^2+($S611-Infrastructure!K$10)^2)</f>
        <v>8.50940656</v>
      </c>
      <c r="BD611" s="318"/>
      <c r="BE611" s="332"/>
      <c r="BF611" s="330">
        <f t="shared" si="14"/>
        <v>3.466987165</v>
      </c>
      <c r="BG611" s="333">
        <f t="shared" si="15"/>
        <v>43.34016613</v>
      </c>
      <c r="BH611" s="613"/>
      <c r="BI611" s="316"/>
      <c r="BJ611" s="318"/>
      <c r="BK611" s="318"/>
      <c r="BL611" s="319" t="s">
        <v>846</v>
      </c>
      <c r="BM611" s="318"/>
      <c r="BN611" s="319" t="s">
        <v>846</v>
      </c>
      <c r="BO611" s="318"/>
      <c r="BP611" s="319" t="s">
        <v>846</v>
      </c>
      <c r="BQ611" s="338"/>
      <c r="BR611" s="420"/>
      <c r="BS611" s="330">
        <f t="shared" si="23"/>
        <v>8.50940656</v>
      </c>
      <c r="BT611" s="331">
        <f t="shared" si="24"/>
        <v>27.81887848</v>
      </c>
      <c r="BU611" s="331"/>
      <c r="BV611" s="333"/>
      <c r="BW611" s="614">
        <v>20.78</v>
      </c>
      <c r="BX611" s="615">
        <v>5.32</v>
      </c>
      <c r="BY611" s="331">
        <f t="shared" si="36"/>
        <v>16.40624271</v>
      </c>
      <c r="BZ611" s="340"/>
      <c r="CA611" s="316"/>
      <c r="CB611" s="318"/>
      <c r="CC611" s="318"/>
      <c r="CD611" s="318"/>
      <c r="CE611" s="318"/>
      <c r="CF611" s="318"/>
      <c r="CG611" s="318"/>
      <c r="CH611" s="318"/>
      <c r="CI611" s="338"/>
      <c r="CJ611" s="341"/>
      <c r="CK611" s="342">
        <f t="shared" si="18"/>
        <v>0</v>
      </c>
      <c r="CL611" s="333">
        <f t="shared" si="19"/>
        <v>0</v>
      </c>
      <c r="CM611" s="616"/>
      <c r="CN611" s="617"/>
      <c r="CO611" s="617"/>
      <c r="CP611" s="617"/>
    </row>
    <row r="612">
      <c r="B612" s="462"/>
      <c r="C612" s="417">
        <v>44181.0</v>
      </c>
      <c r="D612" s="318"/>
      <c r="E612" s="319">
        <v>15.0</v>
      </c>
      <c r="F612" s="324"/>
      <c r="G612" s="627">
        <v>0.4630208333333334</v>
      </c>
      <c r="H612" s="628">
        <v>0.46371527777777777</v>
      </c>
      <c r="I612" s="628"/>
      <c r="J612" s="628"/>
      <c r="K612" s="628">
        <v>0.46510416666666665</v>
      </c>
      <c r="L612" s="323"/>
      <c r="M612" s="326" t="s">
        <v>358</v>
      </c>
      <c r="N612" s="324" t="s">
        <v>187</v>
      </c>
      <c r="O612" s="419" t="s">
        <v>197</v>
      </c>
      <c r="P612" s="319" t="s">
        <v>220</v>
      </c>
      <c r="Q612" s="319"/>
      <c r="R612" s="326">
        <v>37.1</v>
      </c>
      <c r="S612" s="319">
        <v>7.0</v>
      </c>
      <c r="T612" s="324"/>
      <c r="U612" s="319">
        <v>9.3</v>
      </c>
      <c r="V612" s="319"/>
      <c r="W612" s="319"/>
      <c r="X612" s="319"/>
      <c r="Y612" s="319"/>
      <c r="Z612" s="319"/>
      <c r="AA612" s="319"/>
      <c r="AB612" s="319"/>
      <c r="AC612" s="327">
        <v>4.0</v>
      </c>
      <c r="AD612" s="319"/>
      <c r="AE612" s="319"/>
      <c r="AF612" s="319"/>
      <c r="AG612" s="319"/>
      <c r="AH612" s="319"/>
      <c r="AI612" s="319"/>
      <c r="AJ612" s="327"/>
      <c r="AK612" s="328"/>
      <c r="AL612" s="319"/>
      <c r="AM612" s="319"/>
      <c r="AN612" s="319"/>
      <c r="AO612" s="319"/>
      <c r="AP612" s="319"/>
      <c r="AQ612" s="319"/>
      <c r="AR612" s="319"/>
      <c r="AS612" s="327"/>
      <c r="AT612" s="461" t="s">
        <v>182</v>
      </c>
      <c r="AU612" s="324" t="s">
        <v>845</v>
      </c>
      <c r="AV612" s="330">
        <f>SQRT(($R612-Infrastructure!J$3)^2+($S612-Infrastructure!K$3)^2)</f>
        <v>43.34016613</v>
      </c>
      <c r="AW612" s="331">
        <f>SQRT(($R612-Infrastructure!J$4)^2+($S612-Infrastructure!K$4)^2)</f>
        <v>38.92813892</v>
      </c>
      <c r="AX612" s="331">
        <f>SQRT(($R612-Infrastructure!J$5)^2+($S612-Infrastructure!K$5)^2)</f>
        <v>37.44823093</v>
      </c>
      <c r="AY612" s="331">
        <f>SQRT(($R612-Infrastructure!J$6)^2+($S612-Infrastructure!K$6)^2)</f>
        <v>27.81887848</v>
      </c>
      <c r="AZ612" s="331">
        <f>SQRT(($R612-Infrastructure!J$7)^2+($S612-Infrastructure!K$7)^2)</f>
        <v>17.90111728</v>
      </c>
      <c r="BA612" s="331">
        <f>SQRT(($R612-Infrastructure!J$8)^2+($S612-Infrastructure!K$8)^2)</f>
        <v>9.689685237</v>
      </c>
      <c r="BB612" s="331">
        <f>SQRT(($R612-Infrastructure!J$9)^2+($S612-Infrastructure!K$9)^2)</f>
        <v>3.466987165</v>
      </c>
      <c r="BC612" s="331">
        <f>SQRT(($R612-Infrastructure!J$10)^2+($S612-Infrastructure!K$10)^2)</f>
        <v>8.50940656</v>
      </c>
      <c r="BD612" s="318"/>
      <c r="BE612" s="332"/>
      <c r="BF612" s="330">
        <f t="shared" si="14"/>
        <v>3.466987165</v>
      </c>
      <c r="BG612" s="333">
        <f t="shared" si="15"/>
        <v>43.34016613</v>
      </c>
      <c r="BH612" s="613"/>
      <c r="BI612" s="316"/>
      <c r="BJ612" s="318"/>
      <c r="BK612" s="318"/>
      <c r="BL612" s="318"/>
      <c r="BM612" s="318"/>
      <c r="BN612" s="319" t="s">
        <v>846</v>
      </c>
      <c r="BO612" s="318"/>
      <c r="BP612" s="318"/>
      <c r="BQ612" s="338"/>
      <c r="BR612" s="420"/>
      <c r="BS612" s="330">
        <f t="shared" si="23"/>
        <v>9.689685237</v>
      </c>
      <c r="BT612" s="331">
        <f t="shared" si="24"/>
        <v>9.689685237</v>
      </c>
      <c r="BU612" s="331"/>
      <c r="BV612" s="333"/>
      <c r="BW612" s="614">
        <v>25.05</v>
      </c>
      <c r="BX612" s="615">
        <v>4.49</v>
      </c>
      <c r="BY612" s="331">
        <f t="shared" si="36"/>
        <v>12.30863924</v>
      </c>
      <c r="BZ612" s="340"/>
      <c r="CA612" s="316"/>
      <c r="CB612" s="318"/>
      <c r="CC612" s="318"/>
      <c r="CD612" s="318"/>
      <c r="CE612" s="318"/>
      <c r="CF612" s="318"/>
      <c r="CG612" s="318"/>
      <c r="CH612" s="318"/>
      <c r="CI612" s="338"/>
      <c r="CJ612" s="341"/>
      <c r="CK612" s="342">
        <f t="shared" si="18"/>
        <v>0</v>
      </c>
      <c r="CL612" s="333">
        <f t="shared" si="19"/>
        <v>0</v>
      </c>
      <c r="CM612" s="616"/>
      <c r="CN612" s="617"/>
      <c r="CO612" s="617"/>
      <c r="CP612" s="617"/>
    </row>
    <row r="613">
      <c r="B613" s="462"/>
      <c r="C613" s="417">
        <v>44181.0</v>
      </c>
      <c r="D613" s="318"/>
      <c r="E613" s="319">
        <v>16.0</v>
      </c>
      <c r="F613" s="324"/>
      <c r="G613" s="627">
        <v>0.46579861111111115</v>
      </c>
      <c r="H613" s="628">
        <v>0.46649305555555554</v>
      </c>
      <c r="I613" s="628"/>
      <c r="J613" s="628"/>
      <c r="K613" s="628">
        <v>0.4678819444444444</v>
      </c>
      <c r="L613" s="323"/>
      <c r="M613" s="326" t="s">
        <v>358</v>
      </c>
      <c r="N613" s="324" t="s">
        <v>187</v>
      </c>
      <c r="O613" s="419" t="s">
        <v>197</v>
      </c>
      <c r="P613" s="319" t="s">
        <v>220</v>
      </c>
      <c r="Q613" s="319"/>
      <c r="R613" s="326">
        <v>37.1</v>
      </c>
      <c r="S613" s="319">
        <v>7.0</v>
      </c>
      <c r="T613" s="324"/>
      <c r="U613" s="319">
        <v>4.5</v>
      </c>
      <c r="V613" s="319"/>
      <c r="W613" s="319"/>
      <c r="X613" s="319"/>
      <c r="Y613" s="319"/>
      <c r="Z613" s="319"/>
      <c r="AA613" s="319"/>
      <c r="AB613" s="319"/>
      <c r="AC613" s="327">
        <v>4.0</v>
      </c>
      <c r="AD613" s="319"/>
      <c r="AE613" s="319"/>
      <c r="AF613" s="319"/>
      <c r="AG613" s="319"/>
      <c r="AH613" s="319"/>
      <c r="AI613" s="319"/>
      <c r="AJ613" s="327"/>
      <c r="AK613" s="328"/>
      <c r="AL613" s="319"/>
      <c r="AM613" s="319"/>
      <c r="AN613" s="319"/>
      <c r="AO613" s="319"/>
      <c r="AP613" s="319"/>
      <c r="AQ613" s="319"/>
      <c r="AR613" s="319"/>
      <c r="AS613" s="327"/>
      <c r="AT613" s="461" t="s">
        <v>182</v>
      </c>
      <c r="AU613" s="324" t="s">
        <v>845</v>
      </c>
      <c r="AV613" s="330">
        <f>SQRT(($R613-Infrastructure!J$3)^2+($S613-Infrastructure!K$3)^2)</f>
        <v>43.34016613</v>
      </c>
      <c r="AW613" s="331">
        <f>SQRT(($R613-Infrastructure!J$4)^2+($S613-Infrastructure!K$4)^2)</f>
        <v>38.92813892</v>
      </c>
      <c r="AX613" s="331">
        <f>SQRT(($R613-Infrastructure!J$5)^2+($S613-Infrastructure!K$5)^2)</f>
        <v>37.44823093</v>
      </c>
      <c r="AY613" s="331">
        <f>SQRT(($R613-Infrastructure!J$6)^2+($S613-Infrastructure!K$6)^2)</f>
        <v>27.81887848</v>
      </c>
      <c r="AZ613" s="331">
        <f>SQRT(($R613-Infrastructure!J$7)^2+($S613-Infrastructure!K$7)^2)</f>
        <v>17.90111728</v>
      </c>
      <c r="BA613" s="331">
        <f>SQRT(($R613-Infrastructure!J$8)^2+($S613-Infrastructure!K$8)^2)</f>
        <v>9.689685237</v>
      </c>
      <c r="BB613" s="331">
        <f>SQRT(($R613-Infrastructure!J$9)^2+($S613-Infrastructure!K$9)^2)</f>
        <v>3.466987165</v>
      </c>
      <c r="BC613" s="331">
        <f>SQRT(($R613-Infrastructure!J$10)^2+($S613-Infrastructure!K$10)^2)</f>
        <v>8.50940656</v>
      </c>
      <c r="BD613" s="318"/>
      <c r="BE613" s="332"/>
      <c r="BF613" s="330">
        <f t="shared" si="14"/>
        <v>3.466987165</v>
      </c>
      <c r="BG613" s="333">
        <f t="shared" si="15"/>
        <v>43.34016613</v>
      </c>
      <c r="BH613" s="613"/>
      <c r="BI613" s="316"/>
      <c r="BJ613" s="318"/>
      <c r="BK613" s="318"/>
      <c r="BL613" s="319" t="s">
        <v>846</v>
      </c>
      <c r="BM613" s="318"/>
      <c r="BN613" s="319" t="s">
        <v>846</v>
      </c>
      <c r="BO613" s="318"/>
      <c r="BP613" s="318"/>
      <c r="BQ613" s="338"/>
      <c r="BR613" s="420"/>
      <c r="BS613" s="330">
        <f t="shared" si="23"/>
        <v>9.689685237</v>
      </c>
      <c r="BT613" s="331">
        <f t="shared" si="24"/>
        <v>27.81887848</v>
      </c>
      <c r="BU613" s="331"/>
      <c r="BV613" s="333"/>
      <c r="BW613" s="614"/>
      <c r="BX613" s="615"/>
      <c r="BY613" s="331" t="b">
        <f t="shared" si="36"/>
        <v>0</v>
      </c>
      <c r="BZ613" s="340"/>
      <c r="CA613" s="316"/>
      <c r="CB613" s="318"/>
      <c r="CC613" s="318"/>
      <c r="CD613" s="318"/>
      <c r="CE613" s="318"/>
      <c r="CF613" s="318"/>
      <c r="CG613" s="318"/>
      <c r="CH613" s="318"/>
      <c r="CI613" s="338"/>
      <c r="CJ613" s="341"/>
      <c r="CK613" s="342">
        <f t="shared" si="18"/>
        <v>0</v>
      </c>
      <c r="CL613" s="333">
        <f t="shared" si="19"/>
        <v>0</v>
      </c>
      <c r="CM613" s="616"/>
      <c r="CN613" s="617"/>
      <c r="CO613" s="617"/>
      <c r="CP613" s="617"/>
    </row>
    <row r="614">
      <c r="B614" s="462"/>
      <c r="C614" s="417">
        <v>44181.0</v>
      </c>
      <c r="D614" s="318"/>
      <c r="E614" s="319">
        <v>17.0</v>
      </c>
      <c r="F614" s="324"/>
      <c r="G614" s="600">
        <v>0.4701388888888889</v>
      </c>
      <c r="H614" s="601">
        <v>0.47118055555555555</v>
      </c>
      <c r="I614" s="601"/>
      <c r="J614" s="601"/>
      <c r="K614" s="601">
        <v>0.47256944444444443</v>
      </c>
      <c r="L614" s="323"/>
      <c r="M614" s="326" t="s">
        <v>358</v>
      </c>
      <c r="N614" s="324" t="s">
        <v>187</v>
      </c>
      <c r="O614" s="419" t="s">
        <v>197</v>
      </c>
      <c r="P614" s="319" t="s">
        <v>220</v>
      </c>
      <c r="Q614" s="319"/>
      <c r="R614" s="326">
        <v>37.1</v>
      </c>
      <c r="S614" s="319">
        <v>7.0</v>
      </c>
      <c r="T614" s="324"/>
      <c r="U614" s="319">
        <v>10.2</v>
      </c>
      <c r="V614" s="319"/>
      <c r="W614" s="319"/>
      <c r="X614" s="319"/>
      <c r="Y614" s="319"/>
      <c r="Z614" s="319"/>
      <c r="AA614" s="319"/>
      <c r="AB614" s="319"/>
      <c r="AC614" s="327">
        <v>10.0</v>
      </c>
      <c r="AD614" s="319"/>
      <c r="AE614" s="319"/>
      <c r="AF614" s="319"/>
      <c r="AG614" s="319"/>
      <c r="AH614" s="319"/>
      <c r="AI614" s="319"/>
      <c r="AJ614" s="327"/>
      <c r="AK614" s="328"/>
      <c r="AL614" s="319"/>
      <c r="AM614" s="319"/>
      <c r="AN614" s="319"/>
      <c r="AO614" s="319"/>
      <c r="AP614" s="319"/>
      <c r="AQ614" s="319"/>
      <c r="AR614" s="319"/>
      <c r="AS614" s="327"/>
      <c r="AT614" s="461" t="s">
        <v>183</v>
      </c>
      <c r="AU614" s="324" t="s">
        <v>845</v>
      </c>
      <c r="AV614" s="330">
        <f>SQRT(($R614-Infrastructure!J$3)^2+($S614-Infrastructure!K$3)^2)</f>
        <v>43.34016613</v>
      </c>
      <c r="AW614" s="331">
        <f>SQRT(($R614-Infrastructure!J$4)^2+($S614-Infrastructure!K$4)^2)</f>
        <v>38.92813892</v>
      </c>
      <c r="AX614" s="331">
        <f>SQRT(($R614-Infrastructure!J$5)^2+($S614-Infrastructure!K$5)^2)</f>
        <v>37.44823093</v>
      </c>
      <c r="AY614" s="331">
        <f>SQRT(($R614-Infrastructure!J$6)^2+($S614-Infrastructure!K$6)^2)</f>
        <v>27.81887848</v>
      </c>
      <c r="AZ614" s="331">
        <f>SQRT(($R614-Infrastructure!J$7)^2+($S614-Infrastructure!K$7)^2)</f>
        <v>17.90111728</v>
      </c>
      <c r="BA614" s="331">
        <f>SQRT(($R614-Infrastructure!J$8)^2+($S614-Infrastructure!K$8)^2)</f>
        <v>9.689685237</v>
      </c>
      <c r="BB614" s="331">
        <f>SQRT(($R614-Infrastructure!J$9)^2+($S614-Infrastructure!K$9)^2)</f>
        <v>3.466987165</v>
      </c>
      <c r="BC614" s="331">
        <f>SQRT(($R614-Infrastructure!J$10)^2+($S614-Infrastructure!K$10)^2)</f>
        <v>8.50940656</v>
      </c>
      <c r="BD614" s="318"/>
      <c r="BE614" s="332"/>
      <c r="BF614" s="330">
        <f t="shared" si="14"/>
        <v>3.466987165</v>
      </c>
      <c r="BG614" s="333">
        <f t="shared" si="15"/>
        <v>43.34016613</v>
      </c>
      <c r="BH614" s="613"/>
      <c r="BI614" s="316"/>
      <c r="BJ614" s="318"/>
      <c r="BK614" s="318"/>
      <c r="BL614" s="318"/>
      <c r="BM614" s="318"/>
      <c r="BN614" s="318"/>
      <c r="BO614" s="318"/>
      <c r="BP614" s="318"/>
      <c r="BQ614" s="338"/>
      <c r="BR614" s="420"/>
      <c r="BS614" s="330">
        <f t="shared" si="23"/>
        <v>0</v>
      </c>
      <c r="BT614" s="331">
        <f t="shared" si="24"/>
        <v>0</v>
      </c>
      <c r="BU614" s="331"/>
      <c r="BV614" s="333"/>
      <c r="BW614" s="614"/>
      <c r="BX614" s="615"/>
      <c r="BY614" s="331" t="b">
        <f t="shared" si="36"/>
        <v>0</v>
      </c>
      <c r="BZ614" s="340"/>
      <c r="CA614" s="316"/>
      <c r="CB614" s="318"/>
      <c r="CC614" s="318"/>
      <c r="CD614" s="318"/>
      <c r="CE614" s="318"/>
      <c r="CF614" s="318"/>
      <c r="CG614" s="318"/>
      <c r="CH614" s="318"/>
      <c r="CI614" s="338"/>
      <c r="CJ614" s="341"/>
      <c r="CK614" s="342">
        <f t="shared" si="18"/>
        <v>0</v>
      </c>
      <c r="CL614" s="333">
        <f t="shared" si="19"/>
        <v>0</v>
      </c>
      <c r="CM614" s="616"/>
      <c r="CN614" s="617"/>
      <c r="CO614" s="617"/>
      <c r="CP614" s="617"/>
    </row>
    <row r="615">
      <c r="B615" s="462"/>
      <c r="C615" s="417">
        <v>44181.0</v>
      </c>
      <c r="D615" s="318"/>
      <c r="E615" s="319">
        <v>18.0</v>
      </c>
      <c r="F615" s="324"/>
      <c r="G615" s="600">
        <v>0.4822916666666666</v>
      </c>
      <c r="H615" s="601">
        <v>0.48281250000000003</v>
      </c>
      <c r="I615" s="601"/>
      <c r="J615" s="601"/>
      <c r="K615" s="601">
        <v>0.4842013888888889</v>
      </c>
      <c r="L615" s="323"/>
      <c r="M615" s="326" t="s">
        <v>358</v>
      </c>
      <c r="N615" s="324" t="s">
        <v>187</v>
      </c>
      <c r="O615" s="419" t="s">
        <v>205</v>
      </c>
      <c r="P615" s="319" t="s">
        <v>213</v>
      </c>
      <c r="Q615" s="319"/>
      <c r="R615" s="326">
        <v>21.1</v>
      </c>
      <c r="S615" s="319">
        <v>4.1</v>
      </c>
      <c r="T615" s="324"/>
      <c r="U615" s="319">
        <v>3.8</v>
      </c>
      <c r="V615" s="319"/>
      <c r="W615" s="319"/>
      <c r="X615" s="319"/>
      <c r="Y615" s="319"/>
      <c r="Z615" s="319"/>
      <c r="AA615" s="319"/>
      <c r="AB615" s="319"/>
      <c r="AC615" s="327">
        <v>6.0</v>
      </c>
      <c r="AD615" s="319"/>
      <c r="AE615" s="319"/>
      <c r="AF615" s="319"/>
      <c r="AG615" s="319"/>
      <c r="AH615" s="319"/>
      <c r="AI615" s="319"/>
      <c r="AJ615" s="327"/>
      <c r="AK615" s="328"/>
      <c r="AL615" s="319"/>
      <c r="AM615" s="319"/>
      <c r="AN615" s="319"/>
      <c r="AO615" s="319"/>
      <c r="AP615" s="319"/>
      <c r="AQ615" s="319"/>
      <c r="AR615" s="319"/>
      <c r="AS615" s="327"/>
      <c r="AT615" s="461" t="s">
        <v>182</v>
      </c>
      <c r="AU615" s="324" t="s">
        <v>845</v>
      </c>
      <c r="AV615" s="330">
        <f>SQRT(($R615-Infrastructure!J$3)^2+($S615-Infrastructure!K$3)^2)</f>
        <v>32.75667871</v>
      </c>
      <c r="AW615" s="331">
        <f>SQRT(($R615-Infrastructure!J$4)^2+($S615-Infrastructure!K$4)^2)</f>
        <v>25.40964384</v>
      </c>
      <c r="AX615" s="331">
        <f>SQRT(($R615-Infrastructure!J$5)^2+($S615-Infrastructure!K$5)^2)</f>
        <v>21.42335175</v>
      </c>
      <c r="AY615" s="331">
        <f>SQRT(($R615-Infrastructure!J$6)^2+($S615-Infrastructure!K$6)^2)</f>
        <v>11.63786922</v>
      </c>
      <c r="AZ615" s="331">
        <f>SQRT(($R615-Infrastructure!J$7)^2+($S615-Infrastructure!K$7)^2)</f>
        <v>3.847076812</v>
      </c>
      <c r="BA615" s="331">
        <f>SQRT(($R615-Infrastructure!J$8)^2+($S615-Infrastructure!K$8)^2)</f>
        <v>9.769339793</v>
      </c>
      <c r="BB615" s="331">
        <f>SQRT(($R615-Infrastructure!J$9)^2+($S615-Infrastructure!K$9)^2)</f>
        <v>18.92643654</v>
      </c>
      <c r="BC615" s="331">
        <f>SQRT(($R615-Infrastructure!J$10)^2+($S615-Infrastructure!K$10)^2)</f>
        <v>21.81788257</v>
      </c>
      <c r="BD615" s="318"/>
      <c r="BE615" s="332"/>
      <c r="BF615" s="330">
        <f t="shared" si="14"/>
        <v>3.847076812</v>
      </c>
      <c r="BG615" s="333">
        <f t="shared" si="15"/>
        <v>32.75667871</v>
      </c>
      <c r="BH615" s="613"/>
      <c r="BI615" s="316"/>
      <c r="BJ615" s="318"/>
      <c r="BK615" s="318"/>
      <c r="BL615" s="319" t="s">
        <v>846</v>
      </c>
      <c r="BM615" s="318"/>
      <c r="BN615" s="318"/>
      <c r="BO615" s="318"/>
      <c r="BP615" s="318"/>
      <c r="BQ615" s="338"/>
      <c r="BR615" s="420"/>
      <c r="BS615" s="330">
        <f t="shared" si="23"/>
        <v>11.63786922</v>
      </c>
      <c r="BT615" s="331">
        <f t="shared" si="24"/>
        <v>11.63786922</v>
      </c>
      <c r="BU615" s="331"/>
      <c r="BV615" s="333"/>
      <c r="BW615" s="614">
        <v>17.98</v>
      </c>
      <c r="BX615" s="615">
        <v>1.57</v>
      </c>
      <c r="BY615" s="331">
        <f t="shared" si="36"/>
        <v>4.016876896</v>
      </c>
      <c r="BZ615" s="340"/>
      <c r="CA615" s="316"/>
      <c r="CB615" s="318"/>
      <c r="CC615" s="318"/>
      <c r="CD615" s="318"/>
      <c r="CE615" s="318"/>
      <c r="CF615" s="318"/>
      <c r="CG615" s="318"/>
      <c r="CH615" s="318"/>
      <c r="CI615" s="338"/>
      <c r="CJ615" s="341"/>
      <c r="CK615" s="342">
        <f t="shared" si="18"/>
        <v>0</v>
      </c>
      <c r="CL615" s="333">
        <f t="shared" si="19"/>
        <v>0</v>
      </c>
      <c r="CM615" s="616"/>
      <c r="CN615" s="617"/>
      <c r="CO615" s="617"/>
      <c r="CP615" s="617"/>
    </row>
    <row r="616">
      <c r="B616" s="462"/>
      <c r="C616" s="417">
        <v>44181.0</v>
      </c>
      <c r="D616" s="318"/>
      <c r="E616" s="319">
        <v>19.0</v>
      </c>
      <c r="F616" s="324"/>
      <c r="G616" s="600">
        <v>0.48587962962962966</v>
      </c>
      <c r="H616" s="601">
        <v>0.4864583333333334</v>
      </c>
      <c r="I616" s="601"/>
      <c r="J616" s="601"/>
      <c r="K616" s="601">
        <v>0.48796296296296293</v>
      </c>
      <c r="L616" s="323"/>
      <c r="M616" s="326" t="s">
        <v>358</v>
      </c>
      <c r="N616" s="324" t="s">
        <v>187</v>
      </c>
      <c r="O616" s="419" t="s">
        <v>205</v>
      </c>
      <c r="P616" s="319" t="s">
        <v>213</v>
      </c>
      <c r="Q616" s="319"/>
      <c r="R616" s="326">
        <v>21.2</v>
      </c>
      <c r="S616" s="319">
        <v>4.1</v>
      </c>
      <c r="T616" s="324"/>
      <c r="U616" s="319">
        <v>6.5</v>
      </c>
      <c r="V616" s="319"/>
      <c r="W616" s="319"/>
      <c r="X616" s="319"/>
      <c r="Y616" s="319"/>
      <c r="Z616" s="319"/>
      <c r="AA616" s="319"/>
      <c r="AB616" s="319"/>
      <c r="AC616" s="327">
        <v>8.0</v>
      </c>
      <c r="AD616" s="319"/>
      <c r="AE616" s="319"/>
      <c r="AF616" s="319"/>
      <c r="AG616" s="319"/>
      <c r="AH616" s="319"/>
      <c r="AI616" s="319"/>
      <c r="AJ616" s="327"/>
      <c r="AK616" s="328"/>
      <c r="AL616" s="319"/>
      <c r="AM616" s="319"/>
      <c r="AN616" s="319"/>
      <c r="AO616" s="319"/>
      <c r="AP616" s="319"/>
      <c r="AQ616" s="319"/>
      <c r="AR616" s="319"/>
      <c r="AS616" s="327"/>
      <c r="AT616" s="461" t="s">
        <v>182</v>
      </c>
      <c r="AU616" s="324" t="s">
        <v>845</v>
      </c>
      <c r="AV616" s="330">
        <f>SQRT(($R616-Infrastructure!J$3)^2+($S616-Infrastructure!K$3)^2)</f>
        <v>32.82209622</v>
      </c>
      <c r="AW616" s="331">
        <f>SQRT(($R616-Infrastructure!J$4)^2+($S616-Infrastructure!K$4)^2)</f>
        <v>25.49392084</v>
      </c>
      <c r="AX616" s="331">
        <f>SQRT(($R616-Infrastructure!J$5)^2+($S616-Infrastructure!K$5)^2)</f>
        <v>21.52324325</v>
      </c>
      <c r="AY616" s="331">
        <f>SQRT(($R616-Infrastructure!J$6)^2+($S616-Infrastructure!K$6)^2)</f>
        <v>11.73243368</v>
      </c>
      <c r="AZ616" s="331">
        <f>SQRT(($R616-Infrastructure!J$7)^2+($S616-Infrastructure!K$7)^2)</f>
        <v>3.863935817</v>
      </c>
      <c r="BA616" s="331">
        <f>SQRT(($R616-Infrastructure!J$8)^2+($S616-Infrastructure!K$8)^2)</f>
        <v>9.67729301</v>
      </c>
      <c r="BB616" s="331">
        <f>SQRT(($R616-Infrastructure!J$9)^2+($S616-Infrastructure!K$9)^2)</f>
        <v>18.82657696</v>
      </c>
      <c r="BC616" s="331">
        <f>SQRT(($R616-Infrastructure!J$10)^2+($S616-Infrastructure!K$10)^2)</f>
        <v>21.73131381</v>
      </c>
      <c r="BD616" s="318"/>
      <c r="BE616" s="332"/>
      <c r="BF616" s="330">
        <f t="shared" si="14"/>
        <v>3.863935817</v>
      </c>
      <c r="BG616" s="333">
        <f t="shared" si="15"/>
        <v>32.82209622</v>
      </c>
      <c r="BH616" s="613"/>
      <c r="BI616" s="316"/>
      <c r="BJ616" s="318"/>
      <c r="BK616" s="318"/>
      <c r="BL616" s="318"/>
      <c r="BM616" s="319" t="s">
        <v>846</v>
      </c>
      <c r="BN616" s="319" t="s">
        <v>846</v>
      </c>
      <c r="BO616" s="318"/>
      <c r="BP616" s="318"/>
      <c r="BQ616" s="338"/>
      <c r="BR616" s="420"/>
      <c r="BS616" s="330">
        <f t="shared" si="23"/>
        <v>3.863935817</v>
      </c>
      <c r="BT616" s="331">
        <f t="shared" si="24"/>
        <v>9.67729301</v>
      </c>
      <c r="BU616" s="331"/>
      <c r="BV616" s="333"/>
      <c r="BW616" s="614">
        <v>20.29</v>
      </c>
      <c r="BX616" s="615">
        <v>1.11</v>
      </c>
      <c r="BY616" s="331">
        <f t="shared" si="36"/>
        <v>3.125411973</v>
      </c>
      <c r="BZ616" s="340"/>
      <c r="CA616" s="316"/>
      <c r="CB616" s="318"/>
      <c r="CC616" s="318"/>
      <c r="CD616" s="318"/>
      <c r="CE616" s="318"/>
      <c r="CF616" s="318"/>
      <c r="CG616" s="318"/>
      <c r="CH616" s="318"/>
      <c r="CI616" s="338"/>
      <c r="CJ616" s="341"/>
      <c r="CK616" s="342">
        <f t="shared" si="18"/>
        <v>0</v>
      </c>
      <c r="CL616" s="333">
        <f t="shared" si="19"/>
        <v>0</v>
      </c>
      <c r="CM616" s="616"/>
      <c r="CN616" s="617"/>
      <c r="CO616" s="617"/>
      <c r="CP616" s="617"/>
    </row>
    <row r="617">
      <c r="B617" s="462"/>
      <c r="C617" s="417">
        <v>44181.0</v>
      </c>
      <c r="D617" s="318"/>
      <c r="E617" s="319">
        <v>20.0</v>
      </c>
      <c r="F617" s="324"/>
      <c r="G617" s="600">
        <v>0.5636574074074074</v>
      </c>
      <c r="H617" s="601">
        <v>0.5649305555555556</v>
      </c>
      <c r="I617" s="601"/>
      <c r="J617" s="601"/>
      <c r="K617" s="601">
        <v>0.5663194444444445</v>
      </c>
      <c r="L617" s="323"/>
      <c r="M617" s="326" t="s">
        <v>358</v>
      </c>
      <c r="N617" s="324" t="s">
        <v>187</v>
      </c>
      <c r="O617" s="419" t="s">
        <v>201</v>
      </c>
      <c r="P617" s="319" t="s">
        <v>212</v>
      </c>
      <c r="Q617" s="319"/>
      <c r="R617" s="326">
        <v>16.3</v>
      </c>
      <c r="S617" s="319">
        <v>6.5</v>
      </c>
      <c r="T617" s="324"/>
      <c r="U617" s="319">
        <v>0.5</v>
      </c>
      <c r="V617" s="319"/>
      <c r="W617" s="319"/>
      <c r="X617" s="319"/>
      <c r="Y617" s="319"/>
      <c r="Z617" s="319"/>
      <c r="AA617" s="319"/>
      <c r="AB617" s="319"/>
      <c r="AC617" s="327">
        <v>1.0</v>
      </c>
      <c r="AD617" s="319"/>
      <c r="AE617" s="319"/>
      <c r="AF617" s="319"/>
      <c r="AG617" s="319"/>
      <c r="AH617" s="319"/>
      <c r="AI617" s="319"/>
      <c r="AJ617" s="327"/>
      <c r="AK617" s="328"/>
      <c r="AL617" s="319"/>
      <c r="AM617" s="319"/>
      <c r="AN617" s="319"/>
      <c r="AO617" s="319"/>
      <c r="AP617" s="319"/>
      <c r="AQ617" s="319"/>
      <c r="AR617" s="319"/>
      <c r="AS617" s="327"/>
      <c r="AT617" s="461" t="s">
        <v>181</v>
      </c>
      <c r="AU617" s="324" t="s">
        <v>845</v>
      </c>
      <c r="AV617" s="330">
        <f>SQRT(($R617-Infrastructure!J$3)^2+($S617-Infrastructure!K$3)^2)</f>
        <v>27.88045911</v>
      </c>
      <c r="AW617" s="331">
        <f>SQRT(($R617-Infrastructure!J$4)^2+($S617-Infrastructure!K$4)^2)</f>
        <v>20.08108563</v>
      </c>
      <c r="AX617" s="331">
        <f>SQRT(($R617-Infrastructure!J$5)^2+($S617-Infrastructure!K$5)^2)</f>
        <v>16.65893154</v>
      </c>
      <c r="AY617" s="331">
        <f>SQRT(($R617-Infrastructure!J$6)^2+($S617-Infrastructure!K$6)^2)</f>
        <v>8.768124087</v>
      </c>
      <c r="AZ617" s="331">
        <f>SQRT(($R617-Infrastructure!J$7)^2+($S617-Infrastructure!K$7)^2)</f>
        <v>7.488658091</v>
      </c>
      <c r="BA617" s="331">
        <f>SQRT(($R617-Infrastructure!J$8)^2+($S617-Infrastructure!K$8)^2)</f>
        <v>15.12878052</v>
      </c>
      <c r="BB617" s="331">
        <f>SQRT(($R617-Infrastructure!J$9)^2+($S617-Infrastructure!K$9)^2)</f>
        <v>23.7413142</v>
      </c>
      <c r="BC617" s="331">
        <f>SQRT(($R617-Infrastructure!J$10)^2+($S617-Infrastructure!K$10)^2)</f>
        <v>25.17816514</v>
      </c>
      <c r="BD617" s="318"/>
      <c r="BE617" s="332"/>
      <c r="BF617" s="330">
        <f t="shared" si="14"/>
        <v>7.488658091</v>
      </c>
      <c r="BG617" s="333">
        <f t="shared" si="15"/>
        <v>27.88045911</v>
      </c>
      <c r="BH617" s="613"/>
      <c r="BI617" s="316"/>
      <c r="BJ617" s="318"/>
      <c r="BK617" s="318"/>
      <c r="BL617" s="319" t="s">
        <v>846</v>
      </c>
      <c r="BM617" s="318"/>
      <c r="BN617" s="318"/>
      <c r="BO617" s="318"/>
      <c r="BP617" s="318"/>
      <c r="BQ617" s="338"/>
      <c r="BR617" s="420"/>
      <c r="BS617" s="330">
        <f t="shared" si="23"/>
        <v>8.768124087</v>
      </c>
      <c r="BT617" s="331">
        <f t="shared" si="24"/>
        <v>8.768124087</v>
      </c>
      <c r="BU617" s="331"/>
      <c r="BV617" s="333"/>
      <c r="BW617" s="614"/>
      <c r="BX617" s="615"/>
      <c r="BY617" s="331" t="b">
        <f t="shared" si="36"/>
        <v>0</v>
      </c>
      <c r="BZ617" s="340"/>
      <c r="CA617" s="316"/>
      <c r="CB617" s="318"/>
      <c r="CC617" s="318"/>
      <c r="CD617" s="318"/>
      <c r="CE617" s="318"/>
      <c r="CF617" s="318"/>
      <c r="CG617" s="318"/>
      <c r="CH617" s="318"/>
      <c r="CI617" s="338"/>
      <c r="CJ617" s="341"/>
      <c r="CK617" s="342">
        <f t="shared" si="18"/>
        <v>0</v>
      </c>
      <c r="CL617" s="333">
        <f t="shared" si="19"/>
        <v>0</v>
      </c>
      <c r="CM617" s="616"/>
      <c r="CN617" s="617"/>
      <c r="CO617" s="617"/>
      <c r="CP617" s="617"/>
    </row>
    <row r="618">
      <c r="B618" s="462"/>
      <c r="C618" s="417">
        <v>44181.0</v>
      </c>
      <c r="D618" s="318"/>
      <c r="E618" s="319">
        <v>21.0</v>
      </c>
      <c r="F618" s="324"/>
      <c r="G618" s="600">
        <v>0.5672453703703704</v>
      </c>
      <c r="H618" s="601">
        <v>0.5684027777777778</v>
      </c>
      <c r="I618" s="601"/>
      <c r="J618" s="601"/>
      <c r="K618" s="601">
        <v>0.5697916666666667</v>
      </c>
      <c r="L618" s="323"/>
      <c r="M618" s="326" t="s">
        <v>358</v>
      </c>
      <c r="N618" s="324" t="s">
        <v>187</v>
      </c>
      <c r="O618" s="419" t="s">
        <v>201</v>
      </c>
      <c r="P618" s="319" t="s">
        <v>212</v>
      </c>
      <c r="Q618" s="319"/>
      <c r="R618" s="326">
        <v>16.3</v>
      </c>
      <c r="S618" s="319">
        <v>6.5</v>
      </c>
      <c r="T618" s="324"/>
      <c r="U618" s="319">
        <v>1.5</v>
      </c>
      <c r="V618" s="319"/>
      <c r="W618" s="319"/>
      <c r="X618" s="319"/>
      <c r="Y618" s="319"/>
      <c r="Z618" s="319"/>
      <c r="AA618" s="319"/>
      <c r="AB618" s="319"/>
      <c r="AC618" s="327">
        <v>2.5</v>
      </c>
      <c r="AD618" s="319"/>
      <c r="AE618" s="319"/>
      <c r="AF618" s="319"/>
      <c r="AG618" s="319"/>
      <c r="AH618" s="319"/>
      <c r="AI618" s="319"/>
      <c r="AJ618" s="327"/>
      <c r="AK618" s="328"/>
      <c r="AL618" s="319"/>
      <c r="AM618" s="319"/>
      <c r="AN618" s="319"/>
      <c r="AO618" s="319"/>
      <c r="AP618" s="319"/>
      <c r="AQ618" s="319"/>
      <c r="AR618" s="319"/>
      <c r="AS618" s="327"/>
      <c r="AT618" s="461" t="s">
        <v>182</v>
      </c>
      <c r="AU618" s="324" t="s">
        <v>845</v>
      </c>
      <c r="AV618" s="330">
        <f>SQRT(($R618-Infrastructure!J$3)^2+($S618-Infrastructure!K$3)^2)</f>
        <v>27.88045911</v>
      </c>
      <c r="AW618" s="331">
        <f>SQRT(($R618-Infrastructure!J$4)^2+($S618-Infrastructure!K$4)^2)</f>
        <v>20.08108563</v>
      </c>
      <c r="AX618" s="331">
        <f>SQRT(($R618-Infrastructure!J$5)^2+($S618-Infrastructure!K$5)^2)</f>
        <v>16.65893154</v>
      </c>
      <c r="AY618" s="331">
        <f>SQRT(($R618-Infrastructure!J$6)^2+($S618-Infrastructure!K$6)^2)</f>
        <v>8.768124087</v>
      </c>
      <c r="AZ618" s="331">
        <f>SQRT(($R618-Infrastructure!J$7)^2+($S618-Infrastructure!K$7)^2)</f>
        <v>7.488658091</v>
      </c>
      <c r="BA618" s="331">
        <f>SQRT(($R618-Infrastructure!J$8)^2+($S618-Infrastructure!K$8)^2)</f>
        <v>15.12878052</v>
      </c>
      <c r="BB618" s="331">
        <f>SQRT(($R618-Infrastructure!J$9)^2+($S618-Infrastructure!K$9)^2)</f>
        <v>23.7413142</v>
      </c>
      <c r="BC618" s="331">
        <f>SQRT(($R618-Infrastructure!J$10)^2+($S618-Infrastructure!K$10)^2)</f>
        <v>25.17816514</v>
      </c>
      <c r="BD618" s="318"/>
      <c r="BE618" s="332"/>
      <c r="BF618" s="330">
        <f t="shared" si="14"/>
        <v>7.488658091</v>
      </c>
      <c r="BG618" s="333">
        <f t="shared" si="15"/>
        <v>27.88045911</v>
      </c>
      <c r="BH618" s="613"/>
      <c r="BI618" s="316"/>
      <c r="BJ618" s="318"/>
      <c r="BK618" s="318"/>
      <c r="BL618" s="319" t="s">
        <v>846</v>
      </c>
      <c r="BM618" s="318"/>
      <c r="BN618" s="318"/>
      <c r="BO618" s="318"/>
      <c r="BP618" s="318"/>
      <c r="BQ618" s="338"/>
      <c r="BR618" s="420"/>
      <c r="BS618" s="330">
        <f t="shared" si="23"/>
        <v>8.768124087</v>
      </c>
      <c r="BT618" s="331">
        <f t="shared" si="24"/>
        <v>8.768124087</v>
      </c>
      <c r="BU618" s="331"/>
      <c r="BV618" s="333"/>
      <c r="BW618" s="614"/>
      <c r="BX618" s="615"/>
      <c r="BY618" s="331" t="b">
        <f t="shared" si="36"/>
        <v>0</v>
      </c>
      <c r="BZ618" s="340"/>
      <c r="CA618" s="316"/>
      <c r="CB618" s="318"/>
      <c r="CC618" s="318"/>
      <c r="CD618" s="318"/>
      <c r="CE618" s="318"/>
      <c r="CF618" s="318"/>
      <c r="CG618" s="318"/>
      <c r="CH618" s="318"/>
      <c r="CI618" s="338"/>
      <c r="CJ618" s="341"/>
      <c r="CK618" s="342">
        <f t="shared" si="18"/>
        <v>0</v>
      </c>
      <c r="CL618" s="333">
        <f t="shared" si="19"/>
        <v>0</v>
      </c>
      <c r="CM618" s="616"/>
      <c r="CN618" s="617"/>
      <c r="CO618" s="617"/>
      <c r="CP618" s="617"/>
    </row>
    <row r="619">
      <c r="B619" s="462"/>
      <c r="C619" s="417">
        <v>44181.0</v>
      </c>
      <c r="D619" s="318"/>
      <c r="E619" s="319">
        <v>22.0</v>
      </c>
      <c r="F619" s="324"/>
      <c r="G619" s="600">
        <v>0.5703125</v>
      </c>
      <c r="H619" s="601">
        <v>0.5708333333333333</v>
      </c>
      <c r="I619" s="601"/>
      <c r="J619" s="601"/>
      <c r="K619" s="601">
        <v>0.5722222222222222</v>
      </c>
      <c r="L619" s="323"/>
      <c r="M619" s="326" t="s">
        <v>358</v>
      </c>
      <c r="N619" s="324" t="s">
        <v>187</v>
      </c>
      <c r="O619" s="419" t="s">
        <v>201</v>
      </c>
      <c r="P619" s="319" t="s">
        <v>212</v>
      </c>
      <c r="Q619" s="319"/>
      <c r="R619" s="326">
        <v>16.3</v>
      </c>
      <c r="S619" s="319">
        <v>6.5</v>
      </c>
      <c r="T619" s="324"/>
      <c r="U619" s="319">
        <v>2.5</v>
      </c>
      <c r="V619" s="319"/>
      <c r="W619" s="319"/>
      <c r="X619" s="319"/>
      <c r="Y619" s="319"/>
      <c r="Z619" s="319"/>
      <c r="AA619" s="319"/>
      <c r="AB619" s="319"/>
      <c r="AC619" s="327">
        <v>2.5</v>
      </c>
      <c r="AD619" s="319"/>
      <c r="AE619" s="319"/>
      <c r="AF619" s="319"/>
      <c r="AG619" s="319"/>
      <c r="AH619" s="319"/>
      <c r="AI619" s="319"/>
      <c r="AJ619" s="327"/>
      <c r="AK619" s="328"/>
      <c r="AL619" s="319"/>
      <c r="AM619" s="319"/>
      <c r="AN619" s="319"/>
      <c r="AO619" s="319"/>
      <c r="AP619" s="319"/>
      <c r="AQ619" s="319"/>
      <c r="AR619" s="319"/>
      <c r="AS619" s="327"/>
      <c r="AT619" s="461" t="s">
        <v>182</v>
      </c>
      <c r="AU619" s="324" t="s">
        <v>845</v>
      </c>
      <c r="AV619" s="330">
        <f>SQRT(($R619-Infrastructure!J$3)^2+($S619-Infrastructure!K$3)^2)</f>
        <v>27.88045911</v>
      </c>
      <c r="AW619" s="331">
        <f>SQRT(($R619-Infrastructure!J$4)^2+($S619-Infrastructure!K$4)^2)</f>
        <v>20.08108563</v>
      </c>
      <c r="AX619" s="331">
        <f>SQRT(($R619-Infrastructure!J$5)^2+($S619-Infrastructure!K$5)^2)</f>
        <v>16.65893154</v>
      </c>
      <c r="AY619" s="331">
        <f>SQRT(($R619-Infrastructure!J$6)^2+($S619-Infrastructure!K$6)^2)</f>
        <v>8.768124087</v>
      </c>
      <c r="AZ619" s="331">
        <f>SQRT(($R619-Infrastructure!J$7)^2+($S619-Infrastructure!K$7)^2)</f>
        <v>7.488658091</v>
      </c>
      <c r="BA619" s="331">
        <f>SQRT(($R619-Infrastructure!J$8)^2+($S619-Infrastructure!K$8)^2)</f>
        <v>15.12878052</v>
      </c>
      <c r="BB619" s="331">
        <f>SQRT(($R619-Infrastructure!J$9)^2+($S619-Infrastructure!K$9)^2)</f>
        <v>23.7413142</v>
      </c>
      <c r="BC619" s="331">
        <f>SQRT(($R619-Infrastructure!J$10)^2+($S619-Infrastructure!K$10)^2)</f>
        <v>25.17816514</v>
      </c>
      <c r="BD619" s="318"/>
      <c r="BE619" s="332"/>
      <c r="BF619" s="330">
        <f t="shared" si="14"/>
        <v>7.488658091</v>
      </c>
      <c r="BG619" s="333">
        <f t="shared" si="15"/>
        <v>27.88045911</v>
      </c>
      <c r="BH619" s="613"/>
      <c r="BI619" s="316"/>
      <c r="BJ619" s="318"/>
      <c r="BK619" s="319" t="s">
        <v>846</v>
      </c>
      <c r="BL619" s="319" t="s">
        <v>846</v>
      </c>
      <c r="BM619" s="319" t="s">
        <v>846</v>
      </c>
      <c r="BN619" s="318"/>
      <c r="BO619" s="318"/>
      <c r="BP619" s="318"/>
      <c r="BQ619" s="338"/>
      <c r="BR619" s="420"/>
      <c r="BS619" s="330">
        <f t="shared" si="23"/>
        <v>7.488658091</v>
      </c>
      <c r="BT619" s="331">
        <f t="shared" si="24"/>
        <v>16.65893154</v>
      </c>
      <c r="BU619" s="331"/>
      <c r="BV619" s="333"/>
      <c r="BW619" s="614">
        <v>9.38</v>
      </c>
      <c r="BX619" s="615">
        <v>5.47</v>
      </c>
      <c r="BY619" s="331">
        <f t="shared" si="36"/>
        <v>6.996234702</v>
      </c>
      <c r="BZ619" s="340"/>
      <c r="CA619" s="316"/>
      <c r="CB619" s="318"/>
      <c r="CC619" s="318"/>
      <c r="CD619" s="318"/>
      <c r="CE619" s="318"/>
      <c r="CF619" s="318"/>
      <c r="CG619" s="318"/>
      <c r="CH619" s="318"/>
      <c r="CI619" s="338"/>
      <c r="CJ619" s="341"/>
      <c r="CK619" s="342">
        <f t="shared" si="18"/>
        <v>0</v>
      </c>
      <c r="CL619" s="333">
        <f t="shared" si="19"/>
        <v>0</v>
      </c>
      <c r="CM619" s="616"/>
      <c r="CN619" s="617"/>
      <c r="CO619" s="617"/>
      <c r="CP619" s="617"/>
    </row>
    <row r="620">
      <c r="B620" s="462"/>
      <c r="C620" s="417">
        <v>44181.0</v>
      </c>
      <c r="D620" s="318"/>
      <c r="E620" s="319">
        <v>23.0</v>
      </c>
      <c r="F620" s="324"/>
      <c r="G620" s="600">
        <v>0.5725694444444445</v>
      </c>
      <c r="H620" s="601">
        <v>0.5732638888888889</v>
      </c>
      <c r="I620" s="601"/>
      <c r="J620" s="601"/>
      <c r="K620" s="601">
        <v>0.5746527777777778</v>
      </c>
      <c r="L620" s="323"/>
      <c r="M620" s="326" t="s">
        <v>358</v>
      </c>
      <c r="N620" s="324" t="s">
        <v>187</v>
      </c>
      <c r="O620" s="419" t="s">
        <v>201</v>
      </c>
      <c r="P620" s="319" t="s">
        <v>212</v>
      </c>
      <c r="Q620" s="319"/>
      <c r="R620" s="326">
        <v>16.3</v>
      </c>
      <c r="S620" s="319">
        <v>6.5</v>
      </c>
      <c r="T620" s="324"/>
      <c r="U620" s="319">
        <v>3.0</v>
      </c>
      <c r="V620" s="319"/>
      <c r="W620" s="319"/>
      <c r="X620" s="319"/>
      <c r="Y620" s="319"/>
      <c r="Z620" s="319"/>
      <c r="AA620" s="319"/>
      <c r="AB620" s="319"/>
      <c r="AC620" s="327">
        <v>2.5</v>
      </c>
      <c r="AD620" s="319"/>
      <c r="AE620" s="319"/>
      <c r="AF620" s="319"/>
      <c r="AG620" s="319"/>
      <c r="AH620" s="319"/>
      <c r="AI620" s="319"/>
      <c r="AJ620" s="327"/>
      <c r="AK620" s="328"/>
      <c r="AL620" s="319"/>
      <c r="AM620" s="319"/>
      <c r="AN620" s="319"/>
      <c r="AO620" s="319"/>
      <c r="AP620" s="319"/>
      <c r="AQ620" s="319"/>
      <c r="AR620" s="319"/>
      <c r="AS620" s="327"/>
      <c r="AT620" s="461" t="s">
        <v>182</v>
      </c>
      <c r="AU620" s="324" t="s">
        <v>845</v>
      </c>
      <c r="AV620" s="330">
        <f>SQRT(($R620-Infrastructure!J$3)^2+($S620-Infrastructure!K$3)^2)</f>
        <v>27.88045911</v>
      </c>
      <c r="AW620" s="331">
        <f>SQRT(($R620-Infrastructure!J$4)^2+($S620-Infrastructure!K$4)^2)</f>
        <v>20.08108563</v>
      </c>
      <c r="AX620" s="331">
        <f>SQRT(($R620-Infrastructure!J$5)^2+($S620-Infrastructure!K$5)^2)</f>
        <v>16.65893154</v>
      </c>
      <c r="AY620" s="331">
        <f>SQRT(($R620-Infrastructure!J$6)^2+($S620-Infrastructure!K$6)^2)</f>
        <v>8.768124087</v>
      </c>
      <c r="AZ620" s="331">
        <f>SQRT(($R620-Infrastructure!J$7)^2+($S620-Infrastructure!K$7)^2)</f>
        <v>7.488658091</v>
      </c>
      <c r="BA620" s="331">
        <f>SQRT(($R620-Infrastructure!J$8)^2+($S620-Infrastructure!K$8)^2)</f>
        <v>15.12878052</v>
      </c>
      <c r="BB620" s="331">
        <f>SQRT(($R620-Infrastructure!J$9)^2+($S620-Infrastructure!K$9)^2)</f>
        <v>23.7413142</v>
      </c>
      <c r="BC620" s="331">
        <f>SQRT(($R620-Infrastructure!J$10)^2+($S620-Infrastructure!K$10)^2)</f>
        <v>25.17816514</v>
      </c>
      <c r="BD620" s="318"/>
      <c r="BE620" s="332"/>
      <c r="BF620" s="330">
        <f t="shared" si="14"/>
        <v>7.488658091</v>
      </c>
      <c r="BG620" s="333">
        <f t="shared" si="15"/>
        <v>27.88045911</v>
      </c>
      <c r="BH620" s="613"/>
      <c r="BI620" s="316"/>
      <c r="BJ620" s="318"/>
      <c r="BK620" s="318"/>
      <c r="BL620" s="319" t="s">
        <v>846</v>
      </c>
      <c r="BM620" s="318"/>
      <c r="BN620" s="318"/>
      <c r="BO620" s="318"/>
      <c r="BP620" s="318"/>
      <c r="BQ620" s="338"/>
      <c r="BR620" s="420"/>
      <c r="BS620" s="330">
        <f t="shared" si="23"/>
        <v>8.768124087</v>
      </c>
      <c r="BT620" s="331">
        <f t="shared" si="24"/>
        <v>8.768124087</v>
      </c>
      <c r="BU620" s="331"/>
      <c r="BV620" s="333"/>
      <c r="BW620" s="614">
        <v>7.1</v>
      </c>
      <c r="BX620" s="615">
        <v>7.96</v>
      </c>
      <c r="BY620" s="331">
        <f t="shared" si="36"/>
        <v>9.315127482</v>
      </c>
      <c r="BZ620" s="340"/>
      <c r="CA620" s="316"/>
      <c r="CB620" s="318"/>
      <c r="CC620" s="318"/>
      <c r="CD620" s="318"/>
      <c r="CE620" s="318"/>
      <c r="CF620" s="318"/>
      <c r="CG620" s="318"/>
      <c r="CH620" s="318"/>
      <c r="CI620" s="338"/>
      <c r="CJ620" s="341"/>
      <c r="CK620" s="342">
        <f t="shared" si="18"/>
        <v>0</v>
      </c>
      <c r="CL620" s="333">
        <f t="shared" si="19"/>
        <v>0</v>
      </c>
      <c r="CM620" s="616"/>
      <c r="CN620" s="617"/>
      <c r="CO620" s="617"/>
      <c r="CP620" s="617"/>
    </row>
    <row r="621">
      <c r="B621" s="462"/>
      <c r="C621" s="417">
        <v>44181.0</v>
      </c>
      <c r="D621" s="318"/>
      <c r="E621" s="319">
        <v>24.0</v>
      </c>
      <c r="F621" s="324"/>
      <c r="G621" s="600">
        <v>0.5751157407407407</v>
      </c>
      <c r="H621" s="601">
        <v>0.5758680555555555</v>
      </c>
      <c r="I621" s="601"/>
      <c r="J621" s="601"/>
      <c r="K621" s="601">
        <v>0.5772569444444444</v>
      </c>
      <c r="L621" s="323"/>
      <c r="M621" s="326" t="s">
        <v>358</v>
      </c>
      <c r="N621" s="324" t="s">
        <v>187</v>
      </c>
      <c r="O621" s="419" t="s">
        <v>201</v>
      </c>
      <c r="P621" s="319" t="s">
        <v>212</v>
      </c>
      <c r="Q621" s="319"/>
      <c r="R621" s="326">
        <v>16.3</v>
      </c>
      <c r="S621" s="319">
        <v>6.5</v>
      </c>
      <c r="T621" s="324"/>
      <c r="U621" s="319">
        <v>4.0</v>
      </c>
      <c r="V621" s="319"/>
      <c r="W621" s="319"/>
      <c r="X621" s="319"/>
      <c r="Y621" s="319"/>
      <c r="Z621" s="319"/>
      <c r="AA621" s="319"/>
      <c r="AB621" s="319"/>
      <c r="AC621" s="327">
        <v>2.5</v>
      </c>
      <c r="AD621" s="319"/>
      <c r="AE621" s="319"/>
      <c r="AF621" s="319"/>
      <c r="AG621" s="319"/>
      <c r="AH621" s="319"/>
      <c r="AI621" s="319"/>
      <c r="AJ621" s="327"/>
      <c r="AK621" s="328"/>
      <c r="AL621" s="319"/>
      <c r="AM621" s="319"/>
      <c r="AN621" s="319"/>
      <c r="AO621" s="319"/>
      <c r="AP621" s="319"/>
      <c r="AQ621" s="319"/>
      <c r="AR621" s="319"/>
      <c r="AS621" s="327"/>
      <c r="AT621" s="461" t="s">
        <v>182</v>
      </c>
      <c r="AU621" s="324" t="s">
        <v>845</v>
      </c>
      <c r="AV621" s="330">
        <f>SQRT(($R621-Infrastructure!J$3)^2+($S621-Infrastructure!K$3)^2)</f>
        <v>27.88045911</v>
      </c>
      <c r="AW621" s="331">
        <f>SQRT(($R621-Infrastructure!J$4)^2+($S621-Infrastructure!K$4)^2)</f>
        <v>20.08108563</v>
      </c>
      <c r="AX621" s="331">
        <f>SQRT(($R621-Infrastructure!J$5)^2+($S621-Infrastructure!K$5)^2)</f>
        <v>16.65893154</v>
      </c>
      <c r="AY621" s="331">
        <f>SQRT(($R621-Infrastructure!J$6)^2+($S621-Infrastructure!K$6)^2)</f>
        <v>8.768124087</v>
      </c>
      <c r="AZ621" s="331">
        <f>SQRT(($R621-Infrastructure!J$7)^2+($S621-Infrastructure!K$7)^2)</f>
        <v>7.488658091</v>
      </c>
      <c r="BA621" s="331">
        <f>SQRT(($R621-Infrastructure!J$8)^2+($S621-Infrastructure!K$8)^2)</f>
        <v>15.12878052</v>
      </c>
      <c r="BB621" s="331">
        <f>SQRT(($R621-Infrastructure!J$9)^2+($S621-Infrastructure!K$9)^2)</f>
        <v>23.7413142</v>
      </c>
      <c r="BC621" s="331">
        <f>SQRT(($R621-Infrastructure!J$10)^2+($S621-Infrastructure!K$10)^2)</f>
        <v>25.17816514</v>
      </c>
      <c r="BD621" s="318"/>
      <c r="BE621" s="332"/>
      <c r="BF621" s="330">
        <f t="shared" si="14"/>
        <v>7.488658091</v>
      </c>
      <c r="BG621" s="333">
        <f t="shared" si="15"/>
        <v>27.88045911</v>
      </c>
      <c r="BH621" s="613"/>
      <c r="BI621" s="462" t="s">
        <v>846</v>
      </c>
      <c r="BJ621" s="319" t="s">
        <v>846</v>
      </c>
      <c r="BK621" s="319" t="s">
        <v>846</v>
      </c>
      <c r="BL621" s="319" t="s">
        <v>846</v>
      </c>
      <c r="BM621" s="319" t="s">
        <v>846</v>
      </c>
      <c r="BN621" s="318"/>
      <c r="BO621" s="318"/>
      <c r="BP621" s="318"/>
      <c r="BQ621" s="338"/>
      <c r="BR621" s="420"/>
      <c r="BS621" s="330">
        <f t="shared" si="23"/>
        <v>7.488658091</v>
      </c>
      <c r="BT621" s="331">
        <f t="shared" si="24"/>
        <v>27.88045911</v>
      </c>
      <c r="BU621" s="331"/>
      <c r="BV621" s="333"/>
      <c r="BW621" s="614">
        <v>6.49</v>
      </c>
      <c r="BX621" s="615">
        <v>9.83</v>
      </c>
      <c r="BY621" s="331">
        <f t="shared" si="36"/>
        <v>10.35977799</v>
      </c>
      <c r="BZ621" s="340"/>
      <c r="CA621" s="316"/>
      <c r="CB621" s="318"/>
      <c r="CC621" s="318"/>
      <c r="CD621" s="318"/>
      <c r="CE621" s="318"/>
      <c r="CF621" s="318"/>
      <c r="CG621" s="318"/>
      <c r="CH621" s="318"/>
      <c r="CI621" s="338"/>
      <c r="CJ621" s="341"/>
      <c r="CK621" s="342">
        <f t="shared" si="18"/>
        <v>0</v>
      </c>
      <c r="CL621" s="333">
        <f t="shared" si="19"/>
        <v>0</v>
      </c>
      <c r="CM621" s="616"/>
      <c r="CN621" s="617"/>
      <c r="CO621" s="617"/>
      <c r="CP621" s="617"/>
    </row>
    <row r="622">
      <c r="B622" s="462"/>
      <c r="C622" s="417">
        <v>44181.0</v>
      </c>
      <c r="D622" s="318"/>
      <c r="E622" s="319">
        <v>25.0</v>
      </c>
      <c r="F622" s="324"/>
      <c r="G622" s="600">
        <v>0.5791087962962963</v>
      </c>
      <c r="H622" s="601">
        <v>0.5800347222222222</v>
      </c>
      <c r="I622" s="601"/>
      <c r="J622" s="601"/>
      <c r="K622" s="601">
        <v>0.5814236111111112</v>
      </c>
      <c r="L622" s="323"/>
      <c r="M622" s="326" t="s">
        <v>358</v>
      </c>
      <c r="N622" s="324" t="s">
        <v>187</v>
      </c>
      <c r="O622" s="419" t="s">
        <v>201</v>
      </c>
      <c r="P622" s="319" t="s">
        <v>212</v>
      </c>
      <c r="Q622" s="319"/>
      <c r="R622" s="326">
        <v>16.3</v>
      </c>
      <c r="S622" s="319">
        <v>6.5</v>
      </c>
      <c r="T622" s="324"/>
      <c r="U622" s="319">
        <v>7.0</v>
      </c>
      <c r="V622" s="319"/>
      <c r="W622" s="319"/>
      <c r="X622" s="319"/>
      <c r="Y622" s="319"/>
      <c r="Z622" s="319"/>
      <c r="AA622" s="319"/>
      <c r="AB622" s="319"/>
      <c r="AC622" s="327">
        <v>4.0</v>
      </c>
      <c r="AD622" s="319"/>
      <c r="AE622" s="319"/>
      <c r="AF622" s="319"/>
      <c r="AG622" s="319"/>
      <c r="AH622" s="319"/>
      <c r="AI622" s="319"/>
      <c r="AJ622" s="327"/>
      <c r="AK622" s="328"/>
      <c r="AL622" s="319"/>
      <c r="AM622" s="319"/>
      <c r="AN622" s="319"/>
      <c r="AO622" s="319"/>
      <c r="AP622" s="319"/>
      <c r="AQ622" s="319"/>
      <c r="AR622" s="319"/>
      <c r="AS622" s="327"/>
      <c r="AT622" s="461" t="s">
        <v>182</v>
      </c>
      <c r="AU622" s="324" t="s">
        <v>845</v>
      </c>
      <c r="AV622" s="330">
        <f>SQRT(($R622-Infrastructure!J$3)^2+($S622-Infrastructure!K$3)^2)</f>
        <v>27.88045911</v>
      </c>
      <c r="AW622" s="331">
        <f>SQRT(($R622-Infrastructure!J$4)^2+($S622-Infrastructure!K$4)^2)</f>
        <v>20.08108563</v>
      </c>
      <c r="AX622" s="331">
        <f>SQRT(($R622-Infrastructure!J$5)^2+($S622-Infrastructure!K$5)^2)</f>
        <v>16.65893154</v>
      </c>
      <c r="AY622" s="331">
        <f>SQRT(($R622-Infrastructure!J$6)^2+($S622-Infrastructure!K$6)^2)</f>
        <v>8.768124087</v>
      </c>
      <c r="AZ622" s="331">
        <f>SQRT(($R622-Infrastructure!J$7)^2+($S622-Infrastructure!K$7)^2)</f>
        <v>7.488658091</v>
      </c>
      <c r="BA622" s="331">
        <f>SQRT(($R622-Infrastructure!J$8)^2+($S622-Infrastructure!K$8)^2)</f>
        <v>15.12878052</v>
      </c>
      <c r="BB622" s="331">
        <f>SQRT(($R622-Infrastructure!J$9)^2+($S622-Infrastructure!K$9)^2)</f>
        <v>23.7413142</v>
      </c>
      <c r="BC622" s="331">
        <f>SQRT(($R622-Infrastructure!J$10)^2+($S622-Infrastructure!K$10)^2)</f>
        <v>25.17816514</v>
      </c>
      <c r="BD622" s="318"/>
      <c r="BE622" s="332"/>
      <c r="BF622" s="330">
        <f t="shared" si="14"/>
        <v>7.488658091</v>
      </c>
      <c r="BG622" s="333">
        <f t="shared" si="15"/>
        <v>27.88045911</v>
      </c>
      <c r="BH622" s="613"/>
      <c r="BI622" s="316"/>
      <c r="BJ622" s="318"/>
      <c r="BK622" s="319" t="s">
        <v>846</v>
      </c>
      <c r="BL622" s="319" t="s">
        <v>846</v>
      </c>
      <c r="BM622" s="318"/>
      <c r="BN622" s="318"/>
      <c r="BO622" s="318"/>
      <c r="BP622" s="318"/>
      <c r="BQ622" s="338"/>
      <c r="BR622" s="420"/>
      <c r="BS622" s="330">
        <f t="shared" si="23"/>
        <v>8.768124087</v>
      </c>
      <c r="BT622" s="331">
        <f t="shared" si="24"/>
        <v>16.65893154</v>
      </c>
      <c r="BU622" s="331"/>
      <c r="BV622" s="333"/>
      <c r="BW622" s="614">
        <v>8.81</v>
      </c>
      <c r="BX622" s="615">
        <v>8.9</v>
      </c>
      <c r="BY622" s="331">
        <f t="shared" si="36"/>
        <v>7.865119198</v>
      </c>
      <c r="BZ622" s="340"/>
      <c r="CA622" s="316"/>
      <c r="CB622" s="318"/>
      <c r="CC622" s="318"/>
      <c r="CD622" s="318"/>
      <c r="CE622" s="318"/>
      <c r="CF622" s="318"/>
      <c r="CG622" s="318"/>
      <c r="CH622" s="318"/>
      <c r="CI622" s="338"/>
      <c r="CJ622" s="341"/>
      <c r="CK622" s="342">
        <f t="shared" si="18"/>
        <v>0</v>
      </c>
      <c r="CL622" s="333">
        <f t="shared" si="19"/>
        <v>0</v>
      </c>
      <c r="CM622" s="616"/>
      <c r="CN622" s="617"/>
      <c r="CO622" s="617"/>
      <c r="CP622" s="617"/>
    </row>
    <row r="623">
      <c r="B623" s="462"/>
      <c r="C623" s="417">
        <v>44181.0</v>
      </c>
      <c r="D623" s="318"/>
      <c r="E623" s="319">
        <v>26.0</v>
      </c>
      <c r="F623" s="324"/>
      <c r="G623" s="600">
        <v>0.5847222222222223</v>
      </c>
      <c r="H623" s="601">
        <v>0.5854166666666667</v>
      </c>
      <c r="I623" s="601"/>
      <c r="J623" s="601"/>
      <c r="K623" s="601">
        <v>0.5868055555555556</v>
      </c>
      <c r="L623" s="323"/>
      <c r="M623" s="326" t="s">
        <v>358</v>
      </c>
      <c r="N623" s="324" t="s">
        <v>187</v>
      </c>
      <c r="O623" s="419" t="s">
        <v>202</v>
      </c>
      <c r="P623" s="319" t="s">
        <v>212</v>
      </c>
      <c r="Q623" s="319"/>
      <c r="R623" s="326">
        <v>24.4</v>
      </c>
      <c r="S623" s="319">
        <v>9.7</v>
      </c>
      <c r="T623" s="324"/>
      <c r="U623" s="319">
        <v>7.0</v>
      </c>
      <c r="V623" s="319"/>
      <c r="W623" s="319"/>
      <c r="X623" s="319"/>
      <c r="Y623" s="319"/>
      <c r="Z623" s="319"/>
      <c r="AA623" s="319"/>
      <c r="AB623" s="319"/>
      <c r="AC623" s="327">
        <v>4.0</v>
      </c>
      <c r="AD623" s="319"/>
      <c r="AE623" s="319"/>
      <c r="AF623" s="319"/>
      <c r="AG623" s="319"/>
      <c r="AH623" s="319"/>
      <c r="AI623" s="319"/>
      <c r="AJ623" s="327"/>
      <c r="AK623" s="328"/>
      <c r="AL623" s="319"/>
      <c r="AM623" s="319"/>
      <c r="AN623" s="319"/>
      <c r="AO623" s="319"/>
      <c r="AP623" s="319"/>
      <c r="AQ623" s="319"/>
      <c r="AR623" s="319"/>
      <c r="AS623" s="327"/>
      <c r="AT623" s="461" t="s">
        <v>182</v>
      </c>
      <c r="AU623" s="324" t="s">
        <v>845</v>
      </c>
      <c r="AV623" s="330">
        <f>SQRT(($R623-Infrastructure!J$3)^2+($S623-Infrastructure!K$3)^2)</f>
        <v>31.28466078</v>
      </c>
      <c r="AW623" s="331">
        <f>SQRT(($R623-Infrastructure!J$4)^2+($S623-Infrastructure!K$4)^2)</f>
        <v>25.99423013</v>
      </c>
      <c r="AX623" s="331">
        <f>SQRT(($R623-Infrastructure!J$5)^2+($S623-Infrastructure!K$5)^2)</f>
        <v>25.12468905</v>
      </c>
      <c r="AY623" s="331">
        <f>SQRT(($R623-Infrastructure!J$6)^2+($S623-Infrastructure!K$6)^2)</f>
        <v>17.11286066</v>
      </c>
      <c r="AZ623" s="331">
        <f>SQRT(($R623-Infrastructure!J$7)^2+($S623-Infrastructure!K$7)^2)</f>
        <v>10.17693471</v>
      </c>
      <c r="BA623" s="331">
        <f>SQRT(($R623-Infrastructure!J$8)^2+($S623-Infrastructure!K$8)^2)</f>
        <v>10.9931797</v>
      </c>
      <c r="BB623" s="331">
        <f>SQRT(($R623-Infrastructure!J$9)^2+($S623-Infrastructure!K$9)^2)</f>
        <v>16.26407083</v>
      </c>
      <c r="BC623" s="331">
        <f>SQRT(($R623-Infrastructure!J$10)^2+($S623-Infrastructure!K$10)^2)</f>
        <v>16.47573974</v>
      </c>
      <c r="BD623" s="318"/>
      <c r="BE623" s="332"/>
      <c r="BF623" s="330">
        <f t="shared" si="14"/>
        <v>10.17693471</v>
      </c>
      <c r="BG623" s="333">
        <f t="shared" si="15"/>
        <v>31.28466078</v>
      </c>
      <c r="BH623" s="613"/>
      <c r="BI623" s="316"/>
      <c r="BJ623" s="318"/>
      <c r="BK623" s="319" t="s">
        <v>846</v>
      </c>
      <c r="BL623" s="318"/>
      <c r="BM623" s="319" t="s">
        <v>846</v>
      </c>
      <c r="BN623" s="318"/>
      <c r="BO623" s="318"/>
      <c r="BP623" s="319" t="s">
        <v>846</v>
      </c>
      <c r="BQ623" s="338"/>
      <c r="BR623" s="420"/>
      <c r="BS623" s="330">
        <f t="shared" si="23"/>
        <v>10.17693471</v>
      </c>
      <c r="BT623" s="331">
        <f t="shared" si="24"/>
        <v>25.12468905</v>
      </c>
      <c r="BU623" s="331"/>
      <c r="BV623" s="333"/>
      <c r="BW623" s="614">
        <v>15.04</v>
      </c>
      <c r="BX623" s="615">
        <v>9.82</v>
      </c>
      <c r="BY623" s="331">
        <f t="shared" si="36"/>
        <v>9.360769199</v>
      </c>
      <c r="BZ623" s="340"/>
      <c r="CA623" s="316"/>
      <c r="CB623" s="318"/>
      <c r="CC623" s="318"/>
      <c r="CD623" s="318"/>
      <c r="CE623" s="318"/>
      <c r="CF623" s="318"/>
      <c r="CG623" s="318"/>
      <c r="CH623" s="318"/>
      <c r="CI623" s="338"/>
      <c r="CJ623" s="341"/>
      <c r="CK623" s="342">
        <f t="shared" si="18"/>
        <v>0</v>
      </c>
      <c r="CL623" s="333">
        <f t="shared" si="19"/>
        <v>0</v>
      </c>
      <c r="CM623" s="616"/>
      <c r="CN623" s="617"/>
      <c r="CO623" s="617"/>
      <c r="CP623" s="617"/>
    </row>
    <row r="624">
      <c r="B624" s="462"/>
      <c r="C624" s="417">
        <v>44181.0</v>
      </c>
      <c r="D624" s="318"/>
      <c r="E624" s="319">
        <v>27.0</v>
      </c>
      <c r="F624" s="324"/>
      <c r="G624" s="600">
        <v>0.5875578703703704</v>
      </c>
      <c r="H624" s="601">
        <v>0.5878472222222222</v>
      </c>
      <c r="I624" s="601"/>
      <c r="J624" s="601"/>
      <c r="K624" s="601">
        <v>0.5892361111111112</v>
      </c>
      <c r="L624" s="323"/>
      <c r="M624" s="326" t="s">
        <v>358</v>
      </c>
      <c r="N624" s="324" t="s">
        <v>187</v>
      </c>
      <c r="O624" s="419" t="s">
        <v>202</v>
      </c>
      <c r="P624" s="319" t="s">
        <v>212</v>
      </c>
      <c r="Q624" s="319"/>
      <c r="R624" s="326">
        <v>24.4</v>
      </c>
      <c r="S624" s="319">
        <v>9.7</v>
      </c>
      <c r="T624" s="324"/>
      <c r="U624" s="319">
        <v>5.0</v>
      </c>
      <c r="V624" s="319"/>
      <c r="W624" s="319"/>
      <c r="X624" s="319"/>
      <c r="Y624" s="319"/>
      <c r="Z624" s="319"/>
      <c r="AA624" s="319"/>
      <c r="AB624" s="319"/>
      <c r="AC624" s="327">
        <v>4.0</v>
      </c>
      <c r="AD624" s="319"/>
      <c r="AE624" s="319"/>
      <c r="AF624" s="319"/>
      <c r="AG624" s="319"/>
      <c r="AH624" s="319"/>
      <c r="AI624" s="319"/>
      <c r="AJ624" s="327"/>
      <c r="AK624" s="328"/>
      <c r="AL624" s="319"/>
      <c r="AM624" s="319"/>
      <c r="AN624" s="319"/>
      <c r="AO624" s="319"/>
      <c r="AP624" s="319"/>
      <c r="AQ624" s="319"/>
      <c r="AR624" s="319"/>
      <c r="AS624" s="327"/>
      <c r="AT624" s="461" t="s">
        <v>182</v>
      </c>
      <c r="AU624" s="324" t="s">
        <v>845</v>
      </c>
      <c r="AV624" s="330">
        <f>SQRT(($R624-Infrastructure!J$3)^2+($S624-Infrastructure!K$3)^2)</f>
        <v>31.28466078</v>
      </c>
      <c r="AW624" s="331">
        <f>SQRT(($R624-Infrastructure!J$4)^2+($S624-Infrastructure!K$4)^2)</f>
        <v>25.99423013</v>
      </c>
      <c r="AX624" s="331">
        <f>SQRT(($R624-Infrastructure!J$5)^2+($S624-Infrastructure!K$5)^2)</f>
        <v>25.12468905</v>
      </c>
      <c r="AY624" s="331">
        <f>SQRT(($R624-Infrastructure!J$6)^2+($S624-Infrastructure!K$6)^2)</f>
        <v>17.11286066</v>
      </c>
      <c r="AZ624" s="331">
        <f>SQRT(($R624-Infrastructure!J$7)^2+($S624-Infrastructure!K$7)^2)</f>
        <v>10.17693471</v>
      </c>
      <c r="BA624" s="331">
        <f>SQRT(($R624-Infrastructure!J$8)^2+($S624-Infrastructure!K$8)^2)</f>
        <v>10.9931797</v>
      </c>
      <c r="BB624" s="331">
        <f>SQRT(($R624-Infrastructure!J$9)^2+($S624-Infrastructure!K$9)^2)</f>
        <v>16.26407083</v>
      </c>
      <c r="BC624" s="331">
        <f>SQRT(($R624-Infrastructure!J$10)^2+($S624-Infrastructure!K$10)^2)</f>
        <v>16.47573974</v>
      </c>
      <c r="BD624" s="318"/>
      <c r="BE624" s="332"/>
      <c r="BF624" s="330">
        <f t="shared" si="14"/>
        <v>10.17693471</v>
      </c>
      <c r="BG624" s="333">
        <f t="shared" si="15"/>
        <v>31.28466078</v>
      </c>
      <c r="BH624" s="613"/>
      <c r="BI624" s="316"/>
      <c r="BJ624" s="318"/>
      <c r="BK624" s="318"/>
      <c r="BL624" s="318"/>
      <c r="BM624" s="319" t="s">
        <v>846</v>
      </c>
      <c r="BN624" s="318"/>
      <c r="BO624" s="318"/>
      <c r="BP624" s="319" t="s">
        <v>846</v>
      </c>
      <c r="BQ624" s="338"/>
      <c r="BR624" s="420"/>
      <c r="BS624" s="330">
        <f t="shared" si="23"/>
        <v>10.17693471</v>
      </c>
      <c r="BT624" s="331">
        <f t="shared" si="24"/>
        <v>16.47573974</v>
      </c>
      <c r="BU624" s="331"/>
      <c r="BV624" s="333"/>
      <c r="BW624" s="614">
        <v>22.19</v>
      </c>
      <c r="BX624" s="615">
        <v>8.43</v>
      </c>
      <c r="BY624" s="331">
        <f t="shared" si="36"/>
        <v>2.54892134</v>
      </c>
      <c r="BZ624" s="340"/>
      <c r="CA624" s="316"/>
      <c r="CB624" s="318"/>
      <c r="CC624" s="318"/>
      <c r="CD624" s="318"/>
      <c r="CE624" s="318"/>
      <c r="CF624" s="318"/>
      <c r="CG624" s="318"/>
      <c r="CH624" s="318"/>
      <c r="CI624" s="338"/>
      <c r="CJ624" s="341"/>
      <c r="CK624" s="342">
        <f t="shared" si="18"/>
        <v>0</v>
      </c>
      <c r="CL624" s="333">
        <f t="shared" si="19"/>
        <v>0</v>
      </c>
      <c r="CM624" s="616"/>
      <c r="CN624" s="617"/>
      <c r="CO624" s="617"/>
      <c r="CP624" s="617"/>
    </row>
    <row r="625">
      <c r="B625" s="462"/>
      <c r="C625" s="417">
        <v>44181.0</v>
      </c>
      <c r="D625" s="318"/>
      <c r="E625" s="319">
        <v>28.0</v>
      </c>
      <c r="F625" s="324"/>
      <c r="G625" s="600">
        <v>0.5901620370370371</v>
      </c>
      <c r="H625" s="601">
        <v>0.5906250000000001</v>
      </c>
      <c r="I625" s="601"/>
      <c r="J625" s="601"/>
      <c r="K625" s="601">
        <v>0.592013888888889</v>
      </c>
      <c r="L625" s="323"/>
      <c r="M625" s="326" t="s">
        <v>358</v>
      </c>
      <c r="N625" s="324" t="s">
        <v>187</v>
      </c>
      <c r="O625" s="419" t="s">
        <v>202</v>
      </c>
      <c r="P625" s="319" t="s">
        <v>212</v>
      </c>
      <c r="Q625" s="319"/>
      <c r="R625" s="326">
        <v>24.4</v>
      </c>
      <c r="S625" s="319">
        <v>9.7</v>
      </c>
      <c r="T625" s="324"/>
      <c r="U625" s="319">
        <v>3.0</v>
      </c>
      <c r="V625" s="319"/>
      <c r="W625" s="319"/>
      <c r="X625" s="319"/>
      <c r="Y625" s="319"/>
      <c r="Z625" s="319"/>
      <c r="AA625" s="319"/>
      <c r="AB625" s="319"/>
      <c r="AC625" s="327">
        <v>4.0</v>
      </c>
      <c r="AD625" s="319"/>
      <c r="AE625" s="319"/>
      <c r="AF625" s="319"/>
      <c r="AG625" s="319"/>
      <c r="AH625" s="319"/>
      <c r="AI625" s="319"/>
      <c r="AJ625" s="327"/>
      <c r="AK625" s="328"/>
      <c r="AL625" s="319"/>
      <c r="AM625" s="319"/>
      <c r="AN625" s="319"/>
      <c r="AO625" s="319"/>
      <c r="AP625" s="319"/>
      <c r="AQ625" s="319"/>
      <c r="AR625" s="319"/>
      <c r="AS625" s="327"/>
      <c r="AT625" s="461" t="s">
        <v>182</v>
      </c>
      <c r="AU625" s="324" t="s">
        <v>845</v>
      </c>
      <c r="AV625" s="330">
        <f>SQRT(($R625-Infrastructure!J$3)^2+($S625-Infrastructure!K$3)^2)</f>
        <v>31.28466078</v>
      </c>
      <c r="AW625" s="331">
        <f>SQRT(($R625-Infrastructure!J$4)^2+($S625-Infrastructure!K$4)^2)</f>
        <v>25.99423013</v>
      </c>
      <c r="AX625" s="331">
        <f>SQRT(($R625-Infrastructure!J$5)^2+($S625-Infrastructure!K$5)^2)</f>
        <v>25.12468905</v>
      </c>
      <c r="AY625" s="331">
        <f>SQRT(($R625-Infrastructure!J$6)^2+($S625-Infrastructure!K$6)^2)</f>
        <v>17.11286066</v>
      </c>
      <c r="AZ625" s="331">
        <f>SQRT(($R625-Infrastructure!J$7)^2+($S625-Infrastructure!K$7)^2)</f>
        <v>10.17693471</v>
      </c>
      <c r="BA625" s="331">
        <f>SQRT(($R625-Infrastructure!J$8)^2+($S625-Infrastructure!K$8)^2)</f>
        <v>10.9931797</v>
      </c>
      <c r="BB625" s="331">
        <f>SQRT(($R625-Infrastructure!J$9)^2+($S625-Infrastructure!K$9)^2)</f>
        <v>16.26407083</v>
      </c>
      <c r="BC625" s="331">
        <f>SQRT(($R625-Infrastructure!J$10)^2+($S625-Infrastructure!K$10)^2)</f>
        <v>16.47573974</v>
      </c>
      <c r="BD625" s="318"/>
      <c r="BE625" s="332"/>
      <c r="BF625" s="330">
        <f t="shared" si="14"/>
        <v>10.17693471</v>
      </c>
      <c r="BG625" s="333">
        <f t="shared" si="15"/>
        <v>31.28466078</v>
      </c>
      <c r="BH625" s="613"/>
      <c r="BI625" s="316"/>
      <c r="BJ625" s="318"/>
      <c r="BK625" s="318"/>
      <c r="BL625" s="318"/>
      <c r="BM625" s="319" t="s">
        <v>846</v>
      </c>
      <c r="BN625" s="318"/>
      <c r="BO625" s="318"/>
      <c r="BP625" s="318"/>
      <c r="BQ625" s="338"/>
      <c r="BR625" s="420"/>
      <c r="BS625" s="330">
        <f t="shared" si="23"/>
        <v>10.17693471</v>
      </c>
      <c r="BT625" s="331">
        <f t="shared" si="24"/>
        <v>10.17693471</v>
      </c>
      <c r="BU625" s="331"/>
      <c r="BV625" s="333"/>
      <c r="BW625" s="614"/>
      <c r="BX625" s="615"/>
      <c r="BY625" s="331" t="b">
        <f t="shared" si="36"/>
        <v>0</v>
      </c>
      <c r="BZ625" s="340"/>
      <c r="CA625" s="316"/>
      <c r="CB625" s="318"/>
      <c r="CC625" s="318"/>
      <c r="CD625" s="318"/>
      <c r="CE625" s="318"/>
      <c r="CF625" s="318"/>
      <c r="CG625" s="318"/>
      <c r="CH625" s="318"/>
      <c r="CI625" s="338"/>
      <c r="CJ625" s="341"/>
      <c r="CK625" s="342">
        <f t="shared" si="18"/>
        <v>0</v>
      </c>
      <c r="CL625" s="333">
        <f t="shared" si="19"/>
        <v>0</v>
      </c>
      <c r="CM625" s="616"/>
      <c r="CN625" s="617"/>
      <c r="CO625" s="617"/>
      <c r="CP625" s="617"/>
    </row>
    <row r="626">
      <c r="B626" s="462"/>
      <c r="C626" s="417">
        <v>44181.0</v>
      </c>
      <c r="D626" s="318"/>
      <c r="E626" s="319">
        <v>29.0</v>
      </c>
      <c r="F626" s="324"/>
      <c r="G626" s="600">
        <v>0.5924768518518518</v>
      </c>
      <c r="H626" s="601">
        <v>0.5934027777777778</v>
      </c>
      <c r="I626" s="601"/>
      <c r="J626" s="601"/>
      <c r="K626" s="601">
        <v>0.5947916666666667</v>
      </c>
      <c r="L626" s="323"/>
      <c r="M626" s="326" t="s">
        <v>358</v>
      </c>
      <c r="N626" s="324" t="s">
        <v>187</v>
      </c>
      <c r="O626" s="419" t="s">
        <v>202</v>
      </c>
      <c r="P626" s="319" t="s">
        <v>212</v>
      </c>
      <c r="Q626" s="319"/>
      <c r="R626" s="326">
        <v>24.4</v>
      </c>
      <c r="S626" s="319">
        <v>9.7</v>
      </c>
      <c r="T626" s="324"/>
      <c r="U626" s="319">
        <v>1.0</v>
      </c>
      <c r="V626" s="319"/>
      <c r="W626" s="319"/>
      <c r="X626" s="319"/>
      <c r="Y626" s="319"/>
      <c r="Z626" s="319"/>
      <c r="AA626" s="319"/>
      <c r="AB626" s="319"/>
      <c r="AC626" s="327">
        <v>4.0</v>
      </c>
      <c r="AD626" s="319"/>
      <c r="AE626" s="319"/>
      <c r="AF626" s="319"/>
      <c r="AG626" s="319"/>
      <c r="AH626" s="319"/>
      <c r="AI626" s="319"/>
      <c r="AJ626" s="327"/>
      <c r="AK626" s="328"/>
      <c r="AL626" s="319"/>
      <c r="AM626" s="319"/>
      <c r="AN626" s="319"/>
      <c r="AO626" s="319"/>
      <c r="AP626" s="319"/>
      <c r="AQ626" s="319"/>
      <c r="AR626" s="319"/>
      <c r="AS626" s="327"/>
      <c r="AT626" s="461" t="s">
        <v>182</v>
      </c>
      <c r="AU626" s="324" t="s">
        <v>845</v>
      </c>
      <c r="AV626" s="330">
        <f>SQRT(($R626-Infrastructure!J$3)^2+($S626-Infrastructure!K$3)^2)</f>
        <v>31.28466078</v>
      </c>
      <c r="AW626" s="331">
        <f>SQRT(($R626-Infrastructure!J$4)^2+($S626-Infrastructure!K$4)^2)</f>
        <v>25.99423013</v>
      </c>
      <c r="AX626" s="331">
        <f>SQRT(($R626-Infrastructure!J$5)^2+($S626-Infrastructure!K$5)^2)</f>
        <v>25.12468905</v>
      </c>
      <c r="AY626" s="331">
        <f>SQRT(($R626-Infrastructure!J$6)^2+($S626-Infrastructure!K$6)^2)</f>
        <v>17.11286066</v>
      </c>
      <c r="AZ626" s="331">
        <f>SQRT(($R626-Infrastructure!J$7)^2+($S626-Infrastructure!K$7)^2)</f>
        <v>10.17693471</v>
      </c>
      <c r="BA626" s="331">
        <f>SQRT(($R626-Infrastructure!J$8)^2+($S626-Infrastructure!K$8)^2)</f>
        <v>10.9931797</v>
      </c>
      <c r="BB626" s="331">
        <f>SQRT(($R626-Infrastructure!J$9)^2+($S626-Infrastructure!K$9)^2)</f>
        <v>16.26407083</v>
      </c>
      <c r="BC626" s="331">
        <f>SQRT(($R626-Infrastructure!J$10)^2+($S626-Infrastructure!K$10)^2)</f>
        <v>16.47573974</v>
      </c>
      <c r="BD626" s="318"/>
      <c r="BE626" s="332"/>
      <c r="BF626" s="330">
        <f t="shared" si="14"/>
        <v>10.17693471</v>
      </c>
      <c r="BG626" s="333">
        <f t="shared" si="15"/>
        <v>31.28466078</v>
      </c>
      <c r="BH626" s="613"/>
      <c r="BI626" s="316"/>
      <c r="BJ626" s="318"/>
      <c r="BK626" s="318"/>
      <c r="BL626" s="318"/>
      <c r="BM626" s="318"/>
      <c r="BN626" s="318"/>
      <c r="BO626" s="318"/>
      <c r="BP626" s="318"/>
      <c r="BQ626" s="338"/>
      <c r="BR626" s="420"/>
      <c r="BS626" s="330">
        <f t="shared" si="23"/>
        <v>0</v>
      </c>
      <c r="BT626" s="331">
        <f t="shared" si="24"/>
        <v>0</v>
      </c>
      <c r="BU626" s="331"/>
      <c r="BV626" s="333"/>
      <c r="BW626" s="614"/>
      <c r="BX626" s="615"/>
      <c r="BY626" s="331" t="b">
        <f t="shared" si="36"/>
        <v>0</v>
      </c>
      <c r="BZ626" s="340"/>
      <c r="CA626" s="316"/>
      <c r="CB626" s="318"/>
      <c r="CC626" s="318"/>
      <c r="CD626" s="318"/>
      <c r="CE626" s="318"/>
      <c r="CF626" s="318"/>
      <c r="CG626" s="318"/>
      <c r="CH626" s="318"/>
      <c r="CI626" s="338"/>
      <c r="CJ626" s="341"/>
      <c r="CK626" s="342">
        <f t="shared" si="18"/>
        <v>0</v>
      </c>
      <c r="CL626" s="333">
        <f t="shared" si="19"/>
        <v>0</v>
      </c>
      <c r="CM626" s="616"/>
      <c r="CN626" s="617"/>
      <c r="CO626" s="617"/>
      <c r="CP626" s="617"/>
    </row>
    <row r="627">
      <c r="B627" s="462"/>
      <c r="C627" s="417">
        <v>44181.0</v>
      </c>
      <c r="D627" s="318"/>
      <c r="E627" s="319">
        <v>30.0</v>
      </c>
      <c r="F627" s="324"/>
      <c r="G627" s="600">
        <v>0.6035879629629629</v>
      </c>
      <c r="H627" s="601">
        <v>0.6038194444444445</v>
      </c>
      <c r="I627" s="601"/>
      <c r="J627" s="601"/>
      <c r="K627" s="601">
        <v>0.6055555555555555</v>
      </c>
      <c r="L627" s="323"/>
      <c r="M627" s="326" t="s">
        <v>358</v>
      </c>
      <c r="N627" s="324" t="s">
        <v>188</v>
      </c>
      <c r="O627" s="419" t="s">
        <v>378</v>
      </c>
      <c r="P627" s="319" t="s">
        <v>217</v>
      </c>
      <c r="Q627" s="319"/>
      <c r="R627" s="326">
        <v>22.4</v>
      </c>
      <c r="S627" s="319">
        <v>39.6</v>
      </c>
      <c r="T627" s="324"/>
      <c r="U627" s="319">
        <v>2.5</v>
      </c>
      <c r="V627" s="319"/>
      <c r="W627" s="319"/>
      <c r="X627" s="319"/>
      <c r="Y627" s="319"/>
      <c r="Z627" s="319"/>
      <c r="AA627" s="319"/>
      <c r="AB627" s="319"/>
      <c r="AC627" s="327">
        <v>8.0</v>
      </c>
      <c r="AD627" s="319"/>
      <c r="AE627" s="319"/>
      <c r="AF627" s="319"/>
      <c r="AG627" s="319"/>
      <c r="AH627" s="319"/>
      <c r="AI627" s="319"/>
      <c r="AJ627" s="327"/>
      <c r="AK627" s="328"/>
      <c r="AL627" s="319"/>
      <c r="AM627" s="319"/>
      <c r="AN627" s="319"/>
      <c r="AO627" s="319"/>
      <c r="AP627" s="319"/>
      <c r="AQ627" s="319"/>
      <c r="AR627" s="319"/>
      <c r="AS627" s="327"/>
      <c r="AT627" s="461" t="s">
        <v>182</v>
      </c>
      <c r="AU627" s="324" t="s">
        <v>846</v>
      </c>
      <c r="AV627" s="330">
        <f>SQRT(($R627-Infrastructure!J$3)^2+($S627-Infrastructure!K$3)^2)</f>
        <v>25.09541791</v>
      </c>
      <c r="AW627" s="331">
        <f>SQRT(($R627-Infrastructure!J$4)^2+($S627-Infrastructure!K$4)^2)</f>
        <v>31.47268657</v>
      </c>
      <c r="AX627" s="331">
        <f>SQRT(($R627-Infrastructure!J$5)^2+($S627-Infrastructure!K$5)^2)</f>
        <v>41.29818398</v>
      </c>
      <c r="AY627" s="331">
        <f>SQRT(($R627-Infrastructure!J$6)^2+($S627-Infrastructure!K$6)^2)</f>
        <v>41.17984944</v>
      </c>
      <c r="AZ627" s="331">
        <f>SQRT(($R627-Infrastructure!J$7)^2+($S627-Infrastructure!K$7)^2)</f>
        <v>39.34590195</v>
      </c>
      <c r="BA627" s="331">
        <f>SQRT(($R627-Infrastructure!J$8)^2+($S627-Infrastructure!K$8)^2)</f>
        <v>40.04722213</v>
      </c>
      <c r="BB627" s="331">
        <f>SQRT(($R627-Infrastructure!J$9)^2+($S627-Infrastructure!K$9)^2)</f>
        <v>38.72996256</v>
      </c>
      <c r="BC627" s="331">
        <f>SQRT(($R627-Infrastructure!J$10)^2+($S627-Infrastructure!K$10)^2)</f>
        <v>30.24764454</v>
      </c>
      <c r="BD627" s="318"/>
      <c r="BE627" s="332"/>
      <c r="BF627" s="330">
        <f t="shared" si="14"/>
        <v>25.09541791</v>
      </c>
      <c r="BG627" s="333">
        <f t="shared" si="15"/>
        <v>41.29818398</v>
      </c>
      <c r="BH627" s="613"/>
      <c r="BI627" s="316"/>
      <c r="BJ627" s="318"/>
      <c r="BK627" s="318"/>
      <c r="BL627" s="318"/>
      <c r="BM627" s="318"/>
      <c r="BN627" s="318"/>
      <c r="BO627" s="318"/>
      <c r="BP627" s="318"/>
      <c r="BQ627" s="338"/>
      <c r="BR627" s="420"/>
      <c r="BS627" s="330">
        <f t="shared" si="23"/>
        <v>0</v>
      </c>
      <c r="BT627" s="331">
        <f t="shared" si="24"/>
        <v>0</v>
      </c>
      <c r="BU627" s="331"/>
      <c r="BV627" s="333"/>
      <c r="BW627" s="614"/>
      <c r="BX627" s="615"/>
      <c r="BY627" s="331" t="b">
        <f t="shared" si="36"/>
        <v>0</v>
      </c>
      <c r="BZ627" s="340"/>
      <c r="CA627" s="316"/>
      <c r="CB627" s="318"/>
      <c r="CC627" s="318"/>
      <c r="CD627" s="318"/>
      <c r="CE627" s="318"/>
      <c r="CF627" s="318"/>
      <c r="CG627" s="318"/>
      <c r="CH627" s="318"/>
      <c r="CI627" s="338"/>
      <c r="CJ627" s="341"/>
      <c r="CK627" s="342">
        <f t="shared" si="18"/>
        <v>0</v>
      </c>
      <c r="CL627" s="333">
        <f t="shared" si="19"/>
        <v>0</v>
      </c>
      <c r="CM627" s="616"/>
      <c r="CN627" s="617"/>
      <c r="CO627" s="617"/>
      <c r="CP627" s="617"/>
    </row>
    <row r="628">
      <c r="B628" s="462"/>
      <c r="C628" s="417">
        <v>44181.0</v>
      </c>
      <c r="D628" s="318"/>
      <c r="E628" s="319">
        <v>31.0</v>
      </c>
      <c r="F628" s="324"/>
      <c r="G628" s="600">
        <v>0.6043402777777778</v>
      </c>
      <c r="H628" s="601">
        <v>0.6059027777777778</v>
      </c>
      <c r="I628" s="601"/>
      <c r="J628" s="601"/>
      <c r="K628" s="601">
        <v>0.6072916666666667</v>
      </c>
      <c r="L628" s="323"/>
      <c r="M628" s="326" t="s">
        <v>358</v>
      </c>
      <c r="N628" s="324" t="s">
        <v>188</v>
      </c>
      <c r="O628" s="419" t="s">
        <v>378</v>
      </c>
      <c r="P628" s="319" t="s">
        <v>217</v>
      </c>
      <c r="Q628" s="319"/>
      <c r="R628" s="326">
        <v>22.4</v>
      </c>
      <c r="S628" s="319">
        <v>39.6</v>
      </c>
      <c r="T628" s="324"/>
      <c r="U628" s="319">
        <v>11.0</v>
      </c>
      <c r="V628" s="319"/>
      <c r="W628" s="319"/>
      <c r="X628" s="319"/>
      <c r="Y628" s="319"/>
      <c r="Z628" s="319"/>
      <c r="AA628" s="319"/>
      <c r="AB628" s="319"/>
      <c r="AC628" s="327">
        <v>8.0</v>
      </c>
      <c r="AD628" s="319"/>
      <c r="AE628" s="319"/>
      <c r="AF628" s="319"/>
      <c r="AG628" s="319"/>
      <c r="AH628" s="319"/>
      <c r="AI628" s="319"/>
      <c r="AJ628" s="327"/>
      <c r="AK628" s="328"/>
      <c r="AL628" s="319"/>
      <c r="AM628" s="319"/>
      <c r="AN628" s="319"/>
      <c r="AO628" s="319"/>
      <c r="AP628" s="319"/>
      <c r="AQ628" s="319"/>
      <c r="AR628" s="319"/>
      <c r="AS628" s="327"/>
      <c r="AT628" s="461" t="s">
        <v>183</v>
      </c>
      <c r="AU628" s="324" t="s">
        <v>846</v>
      </c>
      <c r="AV628" s="330">
        <f>SQRT(($R628-Infrastructure!J$3)^2+($S628-Infrastructure!K$3)^2)</f>
        <v>25.09541791</v>
      </c>
      <c r="AW628" s="331">
        <f>SQRT(($R628-Infrastructure!J$4)^2+($S628-Infrastructure!K$4)^2)</f>
        <v>31.47268657</v>
      </c>
      <c r="AX628" s="331">
        <f>SQRT(($R628-Infrastructure!J$5)^2+($S628-Infrastructure!K$5)^2)</f>
        <v>41.29818398</v>
      </c>
      <c r="AY628" s="331">
        <f>SQRT(($R628-Infrastructure!J$6)^2+($S628-Infrastructure!K$6)^2)</f>
        <v>41.17984944</v>
      </c>
      <c r="AZ628" s="331">
        <f>SQRT(($R628-Infrastructure!J$7)^2+($S628-Infrastructure!K$7)^2)</f>
        <v>39.34590195</v>
      </c>
      <c r="BA628" s="331">
        <f>SQRT(($R628-Infrastructure!J$8)^2+($S628-Infrastructure!K$8)^2)</f>
        <v>40.04722213</v>
      </c>
      <c r="BB628" s="331">
        <f>SQRT(($R628-Infrastructure!J$9)^2+($S628-Infrastructure!K$9)^2)</f>
        <v>38.72996256</v>
      </c>
      <c r="BC628" s="331">
        <f>SQRT(($R628-Infrastructure!J$10)^2+($S628-Infrastructure!K$10)^2)</f>
        <v>30.24764454</v>
      </c>
      <c r="BD628" s="318"/>
      <c r="BE628" s="332"/>
      <c r="BF628" s="330">
        <f t="shared" si="14"/>
        <v>25.09541791</v>
      </c>
      <c r="BG628" s="333">
        <f t="shared" si="15"/>
        <v>41.29818398</v>
      </c>
      <c r="BH628" s="613"/>
      <c r="BI628" s="316"/>
      <c r="BJ628" s="318"/>
      <c r="BK628" s="319" t="s">
        <v>846</v>
      </c>
      <c r="BL628" s="318"/>
      <c r="BM628" s="318"/>
      <c r="BN628" s="318"/>
      <c r="BO628" s="318"/>
      <c r="BP628" s="318"/>
      <c r="BQ628" s="338"/>
      <c r="BR628" s="420"/>
      <c r="BS628" s="330">
        <f t="shared" si="23"/>
        <v>41.29818398</v>
      </c>
      <c r="BT628" s="331">
        <f t="shared" si="24"/>
        <v>41.29818398</v>
      </c>
      <c r="BU628" s="331"/>
      <c r="BV628" s="333"/>
      <c r="BW628" s="614">
        <v>7.77</v>
      </c>
      <c r="BX628" s="615">
        <v>15.55</v>
      </c>
      <c r="BY628" s="331">
        <f t="shared" si="36"/>
        <v>28.15030018</v>
      </c>
      <c r="BZ628" s="340"/>
      <c r="CA628" s="316"/>
      <c r="CB628" s="318"/>
      <c r="CC628" s="318"/>
      <c r="CD628" s="318"/>
      <c r="CE628" s="318"/>
      <c r="CF628" s="318"/>
      <c r="CG628" s="318"/>
      <c r="CH628" s="318"/>
      <c r="CI628" s="338"/>
      <c r="CJ628" s="341"/>
      <c r="CK628" s="342">
        <f t="shared" si="18"/>
        <v>0</v>
      </c>
      <c r="CL628" s="333">
        <f t="shared" si="19"/>
        <v>0</v>
      </c>
      <c r="CM628" s="616"/>
      <c r="CN628" s="617"/>
      <c r="CO628" s="617"/>
      <c r="CP628" s="617"/>
    </row>
    <row r="629">
      <c r="B629" s="462"/>
      <c r="C629" s="417">
        <v>44181.0</v>
      </c>
      <c r="D629" s="318"/>
      <c r="E629" s="319">
        <v>32.0</v>
      </c>
      <c r="F629" s="324"/>
      <c r="G629" s="600">
        <v>0.6079861111111111</v>
      </c>
      <c r="H629" s="601">
        <v>0.6085069444444444</v>
      </c>
      <c r="I629" s="601"/>
      <c r="J629" s="601"/>
      <c r="K629" s="601">
        <v>0.6098958333333333</v>
      </c>
      <c r="L629" s="323"/>
      <c r="M629" s="326" t="s">
        <v>358</v>
      </c>
      <c r="N629" s="324" t="s">
        <v>188</v>
      </c>
      <c r="O629" s="419" t="s">
        <v>378</v>
      </c>
      <c r="P629" s="319" t="s">
        <v>217</v>
      </c>
      <c r="Q629" s="319"/>
      <c r="R629" s="326">
        <v>22.4</v>
      </c>
      <c r="S629" s="319">
        <v>39.6</v>
      </c>
      <c r="T629" s="324"/>
      <c r="U629" s="319">
        <v>7.0</v>
      </c>
      <c r="V629" s="319"/>
      <c r="W629" s="319"/>
      <c r="X629" s="319"/>
      <c r="Y629" s="319"/>
      <c r="Z629" s="319"/>
      <c r="AA629" s="319"/>
      <c r="AB629" s="319"/>
      <c r="AC629" s="327">
        <v>8.0</v>
      </c>
      <c r="AD629" s="319"/>
      <c r="AE629" s="319"/>
      <c r="AF629" s="319"/>
      <c r="AG629" s="319"/>
      <c r="AH629" s="319"/>
      <c r="AI629" s="319"/>
      <c r="AJ629" s="327"/>
      <c r="AK629" s="328"/>
      <c r="AL629" s="319"/>
      <c r="AM629" s="319"/>
      <c r="AN629" s="319"/>
      <c r="AO629" s="319"/>
      <c r="AP629" s="319"/>
      <c r="AQ629" s="319"/>
      <c r="AR629" s="319"/>
      <c r="AS629" s="327"/>
      <c r="AT629" s="461" t="s">
        <v>182</v>
      </c>
      <c r="AU629" s="324" t="s">
        <v>845</v>
      </c>
      <c r="AV629" s="330">
        <f>SQRT(($R629-Infrastructure!J$3)^2+($S629-Infrastructure!K$3)^2)</f>
        <v>25.09541791</v>
      </c>
      <c r="AW629" s="331">
        <f>SQRT(($R629-Infrastructure!J$4)^2+($S629-Infrastructure!K$4)^2)</f>
        <v>31.47268657</v>
      </c>
      <c r="AX629" s="331">
        <f>SQRT(($R629-Infrastructure!J$5)^2+($S629-Infrastructure!K$5)^2)</f>
        <v>41.29818398</v>
      </c>
      <c r="AY629" s="331">
        <f>SQRT(($R629-Infrastructure!J$6)^2+($S629-Infrastructure!K$6)^2)</f>
        <v>41.17984944</v>
      </c>
      <c r="AZ629" s="331">
        <f>SQRT(($R629-Infrastructure!J$7)^2+($S629-Infrastructure!K$7)^2)</f>
        <v>39.34590195</v>
      </c>
      <c r="BA629" s="331">
        <f>SQRT(($R629-Infrastructure!J$8)^2+($S629-Infrastructure!K$8)^2)</f>
        <v>40.04722213</v>
      </c>
      <c r="BB629" s="331">
        <f>SQRT(($R629-Infrastructure!J$9)^2+($S629-Infrastructure!K$9)^2)</f>
        <v>38.72996256</v>
      </c>
      <c r="BC629" s="331">
        <f>SQRT(($R629-Infrastructure!J$10)^2+($S629-Infrastructure!K$10)^2)</f>
        <v>30.24764454</v>
      </c>
      <c r="BD629" s="318"/>
      <c r="BE629" s="332"/>
      <c r="BF629" s="330">
        <f t="shared" si="14"/>
        <v>25.09541791</v>
      </c>
      <c r="BG629" s="333">
        <f t="shared" si="15"/>
        <v>41.29818398</v>
      </c>
      <c r="BH629" s="613"/>
      <c r="BI629" s="316"/>
      <c r="BJ629" s="318"/>
      <c r="BK629" s="318"/>
      <c r="BL629" s="318"/>
      <c r="BM629" s="318"/>
      <c r="BN629" s="318"/>
      <c r="BO629" s="318"/>
      <c r="BP629" s="319" t="s">
        <v>846</v>
      </c>
      <c r="BQ629" s="338"/>
      <c r="BR629" s="420"/>
      <c r="BS629" s="330">
        <f t="shared" si="23"/>
        <v>30.24764454</v>
      </c>
      <c r="BT629" s="331">
        <f t="shared" si="24"/>
        <v>30.24764454</v>
      </c>
      <c r="BU629" s="331"/>
      <c r="BV629" s="333"/>
      <c r="BW629" s="614">
        <v>12.43</v>
      </c>
      <c r="BX629" s="615">
        <v>12.23</v>
      </c>
      <c r="BY629" s="331">
        <f t="shared" si="36"/>
        <v>29.12932886</v>
      </c>
      <c r="BZ629" s="340"/>
      <c r="CA629" s="316"/>
      <c r="CB629" s="318"/>
      <c r="CC629" s="318"/>
      <c r="CD629" s="318"/>
      <c r="CE629" s="318"/>
      <c r="CF629" s="318"/>
      <c r="CG629" s="318"/>
      <c r="CH629" s="318"/>
      <c r="CI629" s="338"/>
      <c r="CJ629" s="341"/>
      <c r="CK629" s="342">
        <f t="shared" si="18"/>
        <v>0</v>
      </c>
      <c r="CL629" s="333">
        <f t="shared" si="19"/>
        <v>0</v>
      </c>
      <c r="CM629" s="616"/>
      <c r="CN629" s="617"/>
      <c r="CO629" s="617"/>
      <c r="CP629" s="617"/>
    </row>
    <row r="630">
      <c r="B630" s="462"/>
      <c r="C630" s="417">
        <v>44181.0</v>
      </c>
      <c r="D630" s="318"/>
      <c r="E630" s="319">
        <v>33.0</v>
      </c>
      <c r="F630" s="324"/>
      <c r="G630" s="600">
        <v>0.6130208333333333</v>
      </c>
      <c r="H630" s="601">
        <v>0.6138888888888888</v>
      </c>
      <c r="I630" s="601"/>
      <c r="J630" s="601"/>
      <c r="K630" s="601">
        <v>0.6152777777777778</v>
      </c>
      <c r="L630" s="323"/>
      <c r="M630" s="326" t="s">
        <v>358</v>
      </c>
      <c r="N630" s="324" t="s">
        <v>188</v>
      </c>
      <c r="O630" s="419" t="s">
        <v>378</v>
      </c>
      <c r="P630" s="319" t="s">
        <v>217</v>
      </c>
      <c r="Q630" s="319"/>
      <c r="R630" s="326">
        <v>22.4</v>
      </c>
      <c r="S630" s="319">
        <v>39.6</v>
      </c>
      <c r="T630" s="324"/>
      <c r="U630" s="319">
        <v>10.0</v>
      </c>
      <c r="V630" s="319"/>
      <c r="W630" s="319"/>
      <c r="X630" s="319"/>
      <c r="Y630" s="319"/>
      <c r="Z630" s="319"/>
      <c r="AA630" s="319"/>
      <c r="AB630" s="319"/>
      <c r="AC630" s="327">
        <v>15.8</v>
      </c>
      <c r="AD630" s="319"/>
      <c r="AE630" s="319"/>
      <c r="AF630" s="319"/>
      <c r="AG630" s="319"/>
      <c r="AH630" s="319"/>
      <c r="AI630" s="319"/>
      <c r="AJ630" s="327"/>
      <c r="AK630" s="328"/>
      <c r="AL630" s="319"/>
      <c r="AM630" s="319"/>
      <c r="AN630" s="319"/>
      <c r="AO630" s="319"/>
      <c r="AP630" s="319"/>
      <c r="AQ630" s="319"/>
      <c r="AR630" s="319"/>
      <c r="AS630" s="327"/>
      <c r="AT630" s="461" t="s">
        <v>182</v>
      </c>
      <c r="AU630" s="324" t="s">
        <v>845</v>
      </c>
      <c r="AV630" s="330">
        <f>SQRT(($R630-Infrastructure!J$3)^2+($S630-Infrastructure!K$3)^2)</f>
        <v>25.09541791</v>
      </c>
      <c r="AW630" s="331">
        <f>SQRT(($R630-Infrastructure!J$4)^2+($S630-Infrastructure!K$4)^2)</f>
        <v>31.47268657</v>
      </c>
      <c r="AX630" s="331">
        <f>SQRT(($R630-Infrastructure!J$5)^2+($S630-Infrastructure!K$5)^2)</f>
        <v>41.29818398</v>
      </c>
      <c r="AY630" s="331">
        <f>SQRT(($R630-Infrastructure!J$6)^2+($S630-Infrastructure!K$6)^2)</f>
        <v>41.17984944</v>
      </c>
      <c r="AZ630" s="331">
        <f>SQRT(($R630-Infrastructure!J$7)^2+($S630-Infrastructure!K$7)^2)</f>
        <v>39.34590195</v>
      </c>
      <c r="BA630" s="331">
        <f>SQRT(($R630-Infrastructure!J$8)^2+($S630-Infrastructure!K$8)^2)</f>
        <v>40.04722213</v>
      </c>
      <c r="BB630" s="331">
        <f>SQRT(($R630-Infrastructure!J$9)^2+($S630-Infrastructure!K$9)^2)</f>
        <v>38.72996256</v>
      </c>
      <c r="BC630" s="331">
        <f>SQRT(($R630-Infrastructure!J$10)^2+($S630-Infrastructure!K$10)^2)</f>
        <v>30.24764454</v>
      </c>
      <c r="BD630" s="318"/>
      <c r="BE630" s="332"/>
      <c r="BF630" s="330">
        <f t="shared" si="14"/>
        <v>25.09541791</v>
      </c>
      <c r="BG630" s="333">
        <f t="shared" si="15"/>
        <v>41.29818398</v>
      </c>
      <c r="BH630" s="613"/>
      <c r="BI630" s="462" t="s">
        <v>846</v>
      </c>
      <c r="BJ630" s="318"/>
      <c r="BK630" s="319" t="s">
        <v>846</v>
      </c>
      <c r="BL630" s="319" t="s">
        <v>846</v>
      </c>
      <c r="BM630" s="318"/>
      <c r="BN630" s="318"/>
      <c r="BO630" s="318"/>
      <c r="BP630" s="319" t="s">
        <v>846</v>
      </c>
      <c r="BQ630" s="338"/>
      <c r="BR630" s="420"/>
      <c r="BS630" s="330">
        <f t="shared" si="23"/>
        <v>25.09541791</v>
      </c>
      <c r="BT630" s="331">
        <f t="shared" si="24"/>
        <v>41.29818398</v>
      </c>
      <c r="BU630" s="331"/>
      <c r="BV630" s="333"/>
      <c r="BW630" s="614">
        <v>7.72</v>
      </c>
      <c r="BX630" s="615">
        <v>14.62</v>
      </c>
      <c r="BY630" s="331">
        <f t="shared" si="36"/>
        <v>28.97417471</v>
      </c>
      <c r="BZ630" s="340"/>
      <c r="CA630" s="316"/>
      <c r="CB630" s="318"/>
      <c r="CC630" s="318"/>
      <c r="CD630" s="318"/>
      <c r="CE630" s="318"/>
      <c r="CF630" s="318"/>
      <c r="CG630" s="318"/>
      <c r="CH630" s="318"/>
      <c r="CI630" s="338"/>
      <c r="CJ630" s="341"/>
      <c r="CK630" s="342">
        <f t="shared" si="18"/>
        <v>0</v>
      </c>
      <c r="CL630" s="333">
        <f t="shared" si="19"/>
        <v>0</v>
      </c>
      <c r="CM630" s="616"/>
      <c r="CN630" s="617"/>
      <c r="CO630" s="617"/>
      <c r="CP630" s="617"/>
    </row>
    <row r="631">
      <c r="B631" s="462"/>
      <c r="C631" s="417">
        <v>44181.0</v>
      </c>
      <c r="D631" s="318"/>
      <c r="E631" s="319">
        <v>34.0</v>
      </c>
      <c r="F631" s="324"/>
      <c r="G631" s="600">
        <v>0.615625</v>
      </c>
      <c r="H631" s="601">
        <v>0.6163194444444444</v>
      </c>
      <c r="I631" s="601"/>
      <c r="J631" s="601"/>
      <c r="K631" s="601">
        <v>0.6177083333333333</v>
      </c>
      <c r="L631" s="323"/>
      <c r="M631" s="326" t="s">
        <v>358</v>
      </c>
      <c r="N631" s="324" t="s">
        <v>188</v>
      </c>
      <c r="O631" s="419" t="s">
        <v>378</v>
      </c>
      <c r="P631" s="319" t="s">
        <v>217</v>
      </c>
      <c r="Q631" s="319"/>
      <c r="R631" s="326">
        <v>22.4</v>
      </c>
      <c r="S631" s="319">
        <v>39.6</v>
      </c>
      <c r="T631" s="324"/>
      <c r="U631" s="319">
        <v>17.0</v>
      </c>
      <c r="V631" s="319"/>
      <c r="W631" s="319"/>
      <c r="X631" s="319"/>
      <c r="Y631" s="319"/>
      <c r="Z631" s="319"/>
      <c r="AA631" s="319"/>
      <c r="AB631" s="319"/>
      <c r="AC631" s="327">
        <v>15.8</v>
      </c>
      <c r="AD631" s="319"/>
      <c r="AE631" s="319"/>
      <c r="AF631" s="319"/>
      <c r="AG631" s="319"/>
      <c r="AH631" s="319"/>
      <c r="AI631" s="319"/>
      <c r="AJ631" s="327"/>
      <c r="AK631" s="328"/>
      <c r="AL631" s="319"/>
      <c r="AM631" s="319"/>
      <c r="AN631" s="319"/>
      <c r="AO631" s="319"/>
      <c r="AP631" s="319"/>
      <c r="AQ631" s="319"/>
      <c r="AR631" s="319"/>
      <c r="AS631" s="327"/>
      <c r="AT631" s="461" t="s">
        <v>183</v>
      </c>
      <c r="AU631" s="324" t="s">
        <v>845</v>
      </c>
      <c r="AV631" s="330">
        <f>SQRT(($R631-Infrastructure!J$3)^2+($S631-Infrastructure!K$3)^2)</f>
        <v>25.09541791</v>
      </c>
      <c r="AW631" s="331">
        <f>SQRT(($R631-Infrastructure!J$4)^2+($S631-Infrastructure!K$4)^2)</f>
        <v>31.47268657</v>
      </c>
      <c r="AX631" s="331">
        <f>SQRT(($R631-Infrastructure!J$5)^2+($S631-Infrastructure!K$5)^2)</f>
        <v>41.29818398</v>
      </c>
      <c r="AY631" s="331">
        <f>SQRT(($R631-Infrastructure!J$6)^2+($S631-Infrastructure!K$6)^2)</f>
        <v>41.17984944</v>
      </c>
      <c r="AZ631" s="331">
        <f>SQRT(($R631-Infrastructure!J$7)^2+($S631-Infrastructure!K$7)^2)</f>
        <v>39.34590195</v>
      </c>
      <c r="BA631" s="331">
        <f>SQRT(($R631-Infrastructure!J$8)^2+($S631-Infrastructure!K$8)^2)</f>
        <v>40.04722213</v>
      </c>
      <c r="BB631" s="331">
        <f>SQRT(($R631-Infrastructure!J$9)^2+($S631-Infrastructure!K$9)^2)</f>
        <v>38.72996256</v>
      </c>
      <c r="BC631" s="331">
        <f>SQRT(($R631-Infrastructure!J$10)^2+($S631-Infrastructure!K$10)^2)</f>
        <v>30.24764454</v>
      </c>
      <c r="BD631" s="318"/>
      <c r="BE631" s="332"/>
      <c r="BF631" s="330">
        <f t="shared" si="14"/>
        <v>25.09541791</v>
      </c>
      <c r="BG631" s="333">
        <f t="shared" si="15"/>
        <v>41.29818398</v>
      </c>
      <c r="BH631" s="613"/>
      <c r="BI631" s="462" t="s">
        <v>846</v>
      </c>
      <c r="BJ631" s="318"/>
      <c r="BK631" s="318"/>
      <c r="BL631" s="318"/>
      <c r="BM631" s="318"/>
      <c r="BN631" s="318"/>
      <c r="BO631" s="318"/>
      <c r="BP631" s="319" t="s">
        <v>846</v>
      </c>
      <c r="BQ631" s="338"/>
      <c r="BR631" s="420"/>
      <c r="BS631" s="330">
        <f t="shared" si="23"/>
        <v>25.09541791</v>
      </c>
      <c r="BT631" s="331">
        <f t="shared" si="24"/>
        <v>30.24764454</v>
      </c>
      <c r="BU631" s="331"/>
      <c r="BV631" s="333"/>
      <c r="BW631" s="614">
        <v>14.3</v>
      </c>
      <c r="BX631" s="615">
        <v>14.18</v>
      </c>
      <c r="BY631" s="331">
        <f t="shared" si="36"/>
        <v>26.67932533</v>
      </c>
      <c r="BZ631" s="340"/>
      <c r="CA631" s="316"/>
      <c r="CB631" s="318"/>
      <c r="CC631" s="318"/>
      <c r="CD631" s="318"/>
      <c r="CE631" s="318"/>
      <c r="CF631" s="318"/>
      <c r="CG631" s="318"/>
      <c r="CH631" s="318"/>
      <c r="CI631" s="338"/>
      <c r="CJ631" s="341"/>
      <c r="CK631" s="342">
        <f t="shared" si="18"/>
        <v>0</v>
      </c>
      <c r="CL631" s="333">
        <f t="shared" si="19"/>
        <v>0</v>
      </c>
      <c r="CM631" s="616"/>
      <c r="CN631" s="617"/>
      <c r="CO631" s="617"/>
      <c r="CP631" s="617"/>
    </row>
    <row r="632">
      <c r="B632" s="462"/>
      <c r="C632" s="417">
        <v>44181.0</v>
      </c>
      <c r="D632" s="318"/>
      <c r="E632" s="319">
        <v>35.0</v>
      </c>
      <c r="F632" s="324"/>
      <c r="G632" s="600">
        <v>0.6197916666666666</v>
      </c>
      <c r="H632" s="601">
        <v>0.6201388888888889</v>
      </c>
      <c r="I632" s="601"/>
      <c r="J632" s="601"/>
      <c r="K632" s="601">
        <v>0.6215277777777778</v>
      </c>
      <c r="L632" s="323"/>
      <c r="M632" s="326" t="s">
        <v>358</v>
      </c>
      <c r="N632" s="324" t="s">
        <v>188</v>
      </c>
      <c r="O632" s="419" t="s">
        <v>196</v>
      </c>
      <c r="P632" s="319" t="s">
        <v>216</v>
      </c>
      <c r="Q632" s="319"/>
      <c r="R632" s="326">
        <v>21.4</v>
      </c>
      <c r="S632" s="319">
        <v>39.3</v>
      </c>
      <c r="T632" s="324"/>
      <c r="U632" s="319">
        <v>40.0</v>
      </c>
      <c r="V632" s="319"/>
      <c r="W632" s="319"/>
      <c r="X632" s="319"/>
      <c r="Y632" s="319"/>
      <c r="Z632" s="319"/>
      <c r="AA632" s="319"/>
      <c r="AB632" s="319"/>
      <c r="AC632" s="327">
        <v>52.5</v>
      </c>
      <c r="AD632" s="319"/>
      <c r="AE632" s="319"/>
      <c r="AF632" s="319"/>
      <c r="AG632" s="319"/>
      <c r="AH632" s="319"/>
      <c r="AI632" s="319"/>
      <c r="AJ632" s="327"/>
      <c r="AK632" s="328"/>
      <c r="AL632" s="319"/>
      <c r="AM632" s="319"/>
      <c r="AN632" s="319"/>
      <c r="AO632" s="319"/>
      <c r="AP632" s="319"/>
      <c r="AQ632" s="319"/>
      <c r="AR632" s="319"/>
      <c r="AS632" s="327"/>
      <c r="AT632" s="461" t="s">
        <v>183</v>
      </c>
      <c r="AU632" s="324" t="s">
        <v>845</v>
      </c>
      <c r="AV632" s="330">
        <f>SQRT(($R632-Infrastructure!J$3)^2+($S632-Infrastructure!K$3)^2)</f>
        <v>24.06345777</v>
      </c>
      <c r="AW632" s="331">
        <f>SQRT(($R632-Infrastructure!J$4)^2+($S632-Infrastructure!K$4)^2)</f>
        <v>30.54734031</v>
      </c>
      <c r="AX632" s="331">
        <f>SQRT(($R632-Infrastructure!J$5)^2+($S632-Infrastructure!K$5)^2)</f>
        <v>40.50345664</v>
      </c>
      <c r="AY632" s="331">
        <f>SQRT(($R632-Infrastructure!J$6)^2+($S632-Infrastructure!K$6)^2)</f>
        <v>40.60406384</v>
      </c>
      <c r="AZ632" s="331">
        <f>SQRT(($R632-Infrastructure!J$7)^2+($S632-Infrastructure!K$7)^2)</f>
        <v>39.01038323</v>
      </c>
      <c r="BA632" s="331">
        <f>SQRT(($R632-Infrastructure!J$8)^2+($S632-Infrastructure!K$8)^2)</f>
        <v>39.95860358</v>
      </c>
      <c r="BB632" s="331">
        <f>SQRT(($R632-Infrastructure!J$9)^2+($S632-Infrastructure!K$9)^2)</f>
        <v>38.93070767</v>
      </c>
      <c r="BC632" s="331">
        <f>SQRT(($R632-Infrastructure!J$10)^2+($S632-Infrastructure!K$10)^2)</f>
        <v>30.60147055</v>
      </c>
      <c r="BD632" s="318"/>
      <c r="BE632" s="332"/>
      <c r="BF632" s="330">
        <f t="shared" si="14"/>
        <v>24.06345777</v>
      </c>
      <c r="BG632" s="333">
        <f t="shared" si="15"/>
        <v>40.60406384</v>
      </c>
      <c r="BH632" s="613"/>
      <c r="BI632" s="462" t="s">
        <v>846</v>
      </c>
      <c r="BJ632" s="318"/>
      <c r="BK632" s="318"/>
      <c r="BL632" s="318"/>
      <c r="BM632" s="318"/>
      <c r="BN632" s="318"/>
      <c r="BO632" s="318"/>
      <c r="BP632" s="319" t="s">
        <v>846</v>
      </c>
      <c r="BQ632" s="338"/>
      <c r="BR632" s="420"/>
      <c r="BS632" s="330">
        <f t="shared" si="23"/>
        <v>24.06345777</v>
      </c>
      <c r="BT632" s="331">
        <f t="shared" si="24"/>
        <v>30.60147055</v>
      </c>
      <c r="BU632" s="331"/>
      <c r="BV632" s="333"/>
      <c r="BW632" s="614">
        <v>9.02</v>
      </c>
      <c r="BX632" s="615">
        <v>12.8</v>
      </c>
      <c r="BY632" s="331">
        <f t="shared" si="36"/>
        <v>29.24917777</v>
      </c>
      <c r="BZ632" s="340"/>
      <c r="CA632" s="316"/>
      <c r="CB632" s="318"/>
      <c r="CC632" s="318"/>
      <c r="CD632" s="318"/>
      <c r="CE632" s="318"/>
      <c r="CF632" s="318"/>
      <c r="CG632" s="318"/>
      <c r="CH632" s="318"/>
      <c r="CI632" s="338"/>
      <c r="CJ632" s="341"/>
      <c r="CK632" s="342">
        <f t="shared" si="18"/>
        <v>0</v>
      </c>
      <c r="CL632" s="333">
        <f t="shared" si="19"/>
        <v>0</v>
      </c>
      <c r="CM632" s="616"/>
      <c r="CN632" s="617"/>
      <c r="CO632" s="617"/>
      <c r="CP632" s="617"/>
    </row>
    <row r="633">
      <c r="B633" s="462"/>
      <c r="C633" s="417">
        <v>44181.0</v>
      </c>
      <c r="D633" s="318"/>
      <c r="E633" s="319">
        <v>36.0</v>
      </c>
      <c r="F633" s="324"/>
      <c r="G633" s="600">
        <v>0.6251736111111111</v>
      </c>
      <c r="H633" s="601">
        <v>0.6255208333333333</v>
      </c>
      <c r="I633" s="601"/>
      <c r="J633" s="601"/>
      <c r="K633" s="601">
        <v>0.6269097222222222</v>
      </c>
      <c r="L633" s="323"/>
      <c r="M633" s="326" t="s">
        <v>358</v>
      </c>
      <c r="N633" s="324" t="s">
        <v>188</v>
      </c>
      <c r="O633" s="419" t="s">
        <v>378</v>
      </c>
      <c r="P633" s="319" t="s">
        <v>225</v>
      </c>
      <c r="Q633" s="319"/>
      <c r="R633" s="326">
        <v>22.4</v>
      </c>
      <c r="S633" s="319">
        <v>39.6</v>
      </c>
      <c r="T633" s="324"/>
      <c r="U633" s="319">
        <v>2.5</v>
      </c>
      <c r="V633" s="319"/>
      <c r="W633" s="319"/>
      <c r="X633" s="319"/>
      <c r="Y633" s="319"/>
      <c r="Z633" s="319"/>
      <c r="AA633" s="319"/>
      <c r="AB633" s="319"/>
      <c r="AC633" s="327">
        <v>8.0</v>
      </c>
      <c r="AD633" s="319"/>
      <c r="AE633" s="319"/>
      <c r="AF633" s="319"/>
      <c r="AG633" s="319"/>
      <c r="AH633" s="319"/>
      <c r="AI633" s="319"/>
      <c r="AJ633" s="327"/>
      <c r="AK633" s="328"/>
      <c r="AL633" s="319"/>
      <c r="AM633" s="319"/>
      <c r="AN633" s="319"/>
      <c r="AO633" s="319"/>
      <c r="AP633" s="319"/>
      <c r="AQ633" s="319"/>
      <c r="AR633" s="319"/>
      <c r="AS633" s="327"/>
      <c r="AT633" s="461" t="s">
        <v>182</v>
      </c>
      <c r="AU633" s="324" t="s">
        <v>845</v>
      </c>
      <c r="AV633" s="330">
        <f>SQRT(($R633-Infrastructure!J$3)^2+($S633-Infrastructure!K$3)^2)</f>
        <v>25.09541791</v>
      </c>
      <c r="AW633" s="331">
        <f>SQRT(($R633-Infrastructure!J$4)^2+($S633-Infrastructure!K$4)^2)</f>
        <v>31.47268657</v>
      </c>
      <c r="AX633" s="331">
        <f>SQRT(($R633-Infrastructure!J$5)^2+($S633-Infrastructure!K$5)^2)</f>
        <v>41.29818398</v>
      </c>
      <c r="AY633" s="331">
        <f>SQRT(($R633-Infrastructure!J$6)^2+($S633-Infrastructure!K$6)^2)</f>
        <v>41.17984944</v>
      </c>
      <c r="AZ633" s="331">
        <f>SQRT(($R633-Infrastructure!J$7)^2+($S633-Infrastructure!K$7)^2)</f>
        <v>39.34590195</v>
      </c>
      <c r="BA633" s="331">
        <f>SQRT(($R633-Infrastructure!J$8)^2+($S633-Infrastructure!K$8)^2)</f>
        <v>40.04722213</v>
      </c>
      <c r="BB633" s="331">
        <f>SQRT(($R633-Infrastructure!J$9)^2+($S633-Infrastructure!K$9)^2)</f>
        <v>38.72996256</v>
      </c>
      <c r="BC633" s="331">
        <f>SQRT(($R633-Infrastructure!J$10)^2+($S633-Infrastructure!K$10)^2)</f>
        <v>30.24764454</v>
      </c>
      <c r="BD633" s="318"/>
      <c r="BE633" s="332"/>
      <c r="BF633" s="330">
        <f t="shared" si="14"/>
        <v>25.09541791</v>
      </c>
      <c r="BG633" s="333">
        <f t="shared" si="15"/>
        <v>41.29818398</v>
      </c>
      <c r="BH633" s="613"/>
      <c r="BI633" s="316"/>
      <c r="BJ633" s="318"/>
      <c r="BK633" s="318"/>
      <c r="BL633" s="318"/>
      <c r="BM633" s="318"/>
      <c r="BN633" s="318"/>
      <c r="BO633" s="318"/>
      <c r="BP633" s="318"/>
      <c r="BQ633" s="338"/>
      <c r="BR633" s="420"/>
      <c r="BS633" s="330">
        <f t="shared" si="23"/>
        <v>0</v>
      </c>
      <c r="BT633" s="331">
        <f t="shared" si="24"/>
        <v>0</v>
      </c>
      <c r="BU633" s="331"/>
      <c r="BV633" s="333"/>
      <c r="BW633" s="614"/>
      <c r="BX633" s="615"/>
      <c r="BY633" s="331" t="b">
        <f t="shared" si="36"/>
        <v>0</v>
      </c>
      <c r="BZ633" s="340"/>
      <c r="CA633" s="316"/>
      <c r="CB633" s="318"/>
      <c r="CC633" s="318"/>
      <c r="CD633" s="318"/>
      <c r="CE633" s="318"/>
      <c r="CF633" s="318"/>
      <c r="CG633" s="318"/>
      <c r="CH633" s="318"/>
      <c r="CI633" s="338"/>
      <c r="CJ633" s="341"/>
      <c r="CK633" s="342">
        <f t="shared" si="18"/>
        <v>0</v>
      </c>
      <c r="CL633" s="333">
        <f t="shared" si="19"/>
        <v>0</v>
      </c>
      <c r="CM633" s="616"/>
      <c r="CN633" s="617"/>
      <c r="CO633" s="617"/>
      <c r="CP633" s="617"/>
    </row>
    <row r="634">
      <c r="B634" s="462"/>
      <c r="C634" s="417">
        <v>44181.0</v>
      </c>
      <c r="D634" s="318"/>
      <c r="E634" s="319">
        <v>37.0</v>
      </c>
      <c r="F634" s="324"/>
      <c r="G634" s="600">
        <v>0.6315393518518518</v>
      </c>
      <c r="H634" s="601">
        <v>0.6317708333333333</v>
      </c>
      <c r="I634" s="601"/>
      <c r="J634" s="601"/>
      <c r="K634" s="601">
        <v>0.6331597222222222</v>
      </c>
      <c r="L634" s="323"/>
      <c r="M634" s="326" t="s">
        <v>358</v>
      </c>
      <c r="N634" s="324" t="s">
        <v>188</v>
      </c>
      <c r="O634" s="419" t="s">
        <v>378</v>
      </c>
      <c r="P634" s="319" t="s">
        <v>225</v>
      </c>
      <c r="Q634" s="319"/>
      <c r="R634" s="326">
        <v>22.4</v>
      </c>
      <c r="S634" s="319">
        <v>39.6</v>
      </c>
      <c r="T634" s="324"/>
      <c r="U634" s="319">
        <v>10.0</v>
      </c>
      <c r="V634" s="319"/>
      <c r="W634" s="319"/>
      <c r="X634" s="319"/>
      <c r="Y634" s="319"/>
      <c r="Z634" s="319"/>
      <c r="AA634" s="319"/>
      <c r="AB634" s="319"/>
      <c r="AC634" s="327">
        <v>22.1</v>
      </c>
      <c r="AD634" s="319"/>
      <c r="AE634" s="319"/>
      <c r="AF634" s="319"/>
      <c r="AG634" s="319"/>
      <c r="AH634" s="319"/>
      <c r="AI634" s="319"/>
      <c r="AJ634" s="327"/>
      <c r="AK634" s="328"/>
      <c r="AL634" s="319"/>
      <c r="AM634" s="319"/>
      <c r="AN634" s="319"/>
      <c r="AO634" s="319"/>
      <c r="AP634" s="319"/>
      <c r="AQ634" s="319"/>
      <c r="AR634" s="319"/>
      <c r="AS634" s="327"/>
      <c r="AT634" s="461" t="s">
        <v>182</v>
      </c>
      <c r="AU634" s="324" t="s">
        <v>845</v>
      </c>
      <c r="AV634" s="330">
        <f>SQRT(($R634-Infrastructure!J$3)^2+($S634-Infrastructure!K$3)^2)</f>
        <v>25.09541791</v>
      </c>
      <c r="AW634" s="331">
        <f>SQRT(($R634-Infrastructure!J$4)^2+($S634-Infrastructure!K$4)^2)</f>
        <v>31.47268657</v>
      </c>
      <c r="AX634" s="331">
        <f>SQRT(($R634-Infrastructure!J$5)^2+($S634-Infrastructure!K$5)^2)</f>
        <v>41.29818398</v>
      </c>
      <c r="AY634" s="331">
        <f>SQRT(($R634-Infrastructure!J$6)^2+($S634-Infrastructure!K$6)^2)</f>
        <v>41.17984944</v>
      </c>
      <c r="AZ634" s="331">
        <f>SQRT(($R634-Infrastructure!J$7)^2+($S634-Infrastructure!K$7)^2)</f>
        <v>39.34590195</v>
      </c>
      <c r="BA634" s="331">
        <f>SQRT(($R634-Infrastructure!J$8)^2+($S634-Infrastructure!K$8)^2)</f>
        <v>40.04722213</v>
      </c>
      <c r="BB634" s="331">
        <f>SQRT(($R634-Infrastructure!J$9)^2+($S634-Infrastructure!K$9)^2)</f>
        <v>38.72996256</v>
      </c>
      <c r="BC634" s="331">
        <f>SQRT(($R634-Infrastructure!J$10)^2+($S634-Infrastructure!K$10)^2)</f>
        <v>30.24764454</v>
      </c>
      <c r="BD634" s="318"/>
      <c r="BE634" s="332"/>
      <c r="BF634" s="330">
        <f t="shared" si="14"/>
        <v>25.09541791</v>
      </c>
      <c r="BG634" s="333">
        <f t="shared" si="15"/>
        <v>41.29818398</v>
      </c>
      <c r="BH634" s="613"/>
      <c r="BI634" s="316"/>
      <c r="BJ634" s="318"/>
      <c r="BK634" s="318"/>
      <c r="BL634" s="318"/>
      <c r="BM634" s="318"/>
      <c r="BN634" s="318"/>
      <c r="BO634" s="318"/>
      <c r="BP634" s="318"/>
      <c r="BQ634" s="338"/>
      <c r="BR634" s="420"/>
      <c r="BS634" s="330">
        <f t="shared" si="23"/>
        <v>0</v>
      </c>
      <c r="BT634" s="331">
        <f t="shared" si="24"/>
        <v>0</v>
      </c>
      <c r="BU634" s="331"/>
      <c r="BV634" s="333"/>
      <c r="BW634" s="614"/>
      <c r="BX634" s="615"/>
      <c r="BY634" s="331" t="b">
        <f t="shared" si="36"/>
        <v>0</v>
      </c>
      <c r="BZ634" s="340"/>
      <c r="CA634" s="316"/>
      <c r="CB634" s="318"/>
      <c r="CC634" s="318"/>
      <c r="CD634" s="318"/>
      <c r="CE634" s="318"/>
      <c r="CF634" s="318"/>
      <c r="CG634" s="318"/>
      <c r="CH634" s="318"/>
      <c r="CI634" s="338"/>
      <c r="CJ634" s="341"/>
      <c r="CK634" s="342">
        <f t="shared" si="18"/>
        <v>0</v>
      </c>
      <c r="CL634" s="333">
        <f t="shared" si="19"/>
        <v>0</v>
      </c>
      <c r="CM634" s="616"/>
      <c r="CN634" s="617"/>
      <c r="CO634" s="617"/>
      <c r="CP634" s="617"/>
    </row>
    <row r="635">
      <c r="B635" s="462"/>
      <c r="C635" s="417">
        <v>44181.0</v>
      </c>
      <c r="D635" s="318"/>
      <c r="E635" s="319">
        <v>38.0</v>
      </c>
      <c r="F635" s="324"/>
      <c r="G635" s="600">
        <v>0.6340856481481482</v>
      </c>
      <c r="H635" s="601">
        <v>0.6348958333333333</v>
      </c>
      <c r="I635" s="601"/>
      <c r="J635" s="601"/>
      <c r="K635" s="601">
        <v>0.6362847222222222</v>
      </c>
      <c r="L635" s="323"/>
      <c r="M635" s="326" t="s">
        <v>358</v>
      </c>
      <c r="N635" s="324" t="s">
        <v>188</v>
      </c>
      <c r="O635" s="419" t="s">
        <v>196</v>
      </c>
      <c r="P635" s="319" t="s">
        <v>225</v>
      </c>
      <c r="Q635" s="319"/>
      <c r="R635" s="326">
        <v>21.4</v>
      </c>
      <c r="S635" s="319">
        <v>39.3</v>
      </c>
      <c r="T635" s="324"/>
      <c r="U635" s="319">
        <v>20.0</v>
      </c>
      <c r="V635" s="319"/>
      <c r="W635" s="319"/>
      <c r="X635" s="319"/>
      <c r="Y635" s="319"/>
      <c r="Z635" s="319"/>
      <c r="AA635" s="319"/>
      <c r="AB635" s="319"/>
      <c r="AC635" s="327">
        <v>26.7</v>
      </c>
      <c r="AD635" s="319"/>
      <c r="AE635" s="319"/>
      <c r="AF635" s="319"/>
      <c r="AG635" s="319"/>
      <c r="AH635" s="319"/>
      <c r="AI635" s="319"/>
      <c r="AJ635" s="327"/>
      <c r="AK635" s="328"/>
      <c r="AL635" s="319"/>
      <c r="AM635" s="319"/>
      <c r="AN635" s="319"/>
      <c r="AO635" s="319"/>
      <c r="AP635" s="319"/>
      <c r="AQ635" s="319"/>
      <c r="AR635" s="319"/>
      <c r="AS635" s="327"/>
      <c r="AT635" s="461" t="s">
        <v>183</v>
      </c>
      <c r="AU635" s="324" t="s">
        <v>845</v>
      </c>
      <c r="AV635" s="330">
        <f>SQRT(($R635-Infrastructure!J$3)^2+($S635-Infrastructure!K$3)^2)</f>
        <v>24.06345777</v>
      </c>
      <c r="AW635" s="331">
        <f>SQRT(($R635-Infrastructure!J$4)^2+($S635-Infrastructure!K$4)^2)</f>
        <v>30.54734031</v>
      </c>
      <c r="AX635" s="331">
        <f>SQRT(($R635-Infrastructure!J$5)^2+($S635-Infrastructure!K$5)^2)</f>
        <v>40.50345664</v>
      </c>
      <c r="AY635" s="331">
        <f>SQRT(($R635-Infrastructure!J$6)^2+($S635-Infrastructure!K$6)^2)</f>
        <v>40.60406384</v>
      </c>
      <c r="AZ635" s="331">
        <f>SQRT(($R635-Infrastructure!J$7)^2+($S635-Infrastructure!K$7)^2)</f>
        <v>39.01038323</v>
      </c>
      <c r="BA635" s="331">
        <f>SQRT(($R635-Infrastructure!J$8)^2+($S635-Infrastructure!K$8)^2)</f>
        <v>39.95860358</v>
      </c>
      <c r="BB635" s="331">
        <f>SQRT(($R635-Infrastructure!J$9)^2+($S635-Infrastructure!K$9)^2)</f>
        <v>38.93070767</v>
      </c>
      <c r="BC635" s="331">
        <f>SQRT(($R635-Infrastructure!J$10)^2+($S635-Infrastructure!K$10)^2)</f>
        <v>30.60147055</v>
      </c>
      <c r="BD635" s="318"/>
      <c r="BE635" s="332"/>
      <c r="BF635" s="330">
        <f t="shared" si="14"/>
        <v>24.06345777</v>
      </c>
      <c r="BG635" s="333">
        <f t="shared" si="15"/>
        <v>40.60406384</v>
      </c>
      <c r="BH635" s="613"/>
      <c r="BI635" s="462" t="s">
        <v>846</v>
      </c>
      <c r="BJ635" s="318"/>
      <c r="BK635" s="318"/>
      <c r="BL635" s="318"/>
      <c r="BM635" s="318"/>
      <c r="BN635" s="318"/>
      <c r="BO635" s="318"/>
      <c r="BP635" s="318"/>
      <c r="BQ635" s="338"/>
      <c r="BR635" s="420"/>
      <c r="BS635" s="330">
        <f t="shared" si="23"/>
        <v>24.06345777</v>
      </c>
      <c r="BT635" s="331">
        <f t="shared" si="24"/>
        <v>24.06345777</v>
      </c>
      <c r="BU635" s="331"/>
      <c r="BV635" s="333"/>
      <c r="BW635" s="614"/>
      <c r="BX635" s="615"/>
      <c r="BY635" s="331" t="b">
        <f t="shared" si="36"/>
        <v>0</v>
      </c>
      <c r="BZ635" s="340"/>
      <c r="CA635" s="316"/>
      <c r="CB635" s="318"/>
      <c r="CC635" s="318"/>
      <c r="CD635" s="318"/>
      <c r="CE635" s="318"/>
      <c r="CF635" s="318"/>
      <c r="CG635" s="318"/>
      <c r="CH635" s="318"/>
      <c r="CI635" s="338"/>
      <c r="CJ635" s="341"/>
      <c r="CK635" s="342">
        <f t="shared" si="18"/>
        <v>0</v>
      </c>
      <c r="CL635" s="333">
        <f t="shared" si="19"/>
        <v>0</v>
      </c>
      <c r="CM635" s="616"/>
      <c r="CN635" s="617"/>
      <c r="CO635" s="617"/>
      <c r="CP635" s="617"/>
    </row>
    <row r="636">
      <c r="B636" s="462"/>
      <c r="C636" s="417">
        <v>44181.0</v>
      </c>
      <c r="D636" s="318"/>
      <c r="E636" s="319">
        <v>39.0</v>
      </c>
      <c r="F636" s="324"/>
      <c r="G636" s="600">
        <v>0.6802083333333333</v>
      </c>
      <c r="H636" s="601">
        <v>0.68125</v>
      </c>
      <c r="I636" s="601"/>
      <c r="J636" s="601"/>
      <c r="K636" s="601">
        <v>0.6826388888888889</v>
      </c>
      <c r="L636" s="323"/>
      <c r="M636" s="326" t="s">
        <v>358</v>
      </c>
      <c r="N636" s="324" t="s">
        <v>187</v>
      </c>
      <c r="O636" s="419" t="s">
        <v>206</v>
      </c>
      <c r="P636" s="319" t="s">
        <v>223</v>
      </c>
      <c r="Q636" s="319"/>
      <c r="R636" s="326">
        <v>21.8</v>
      </c>
      <c r="S636" s="319">
        <v>7.0</v>
      </c>
      <c r="T636" s="324"/>
      <c r="U636" s="319">
        <v>2.0</v>
      </c>
      <c r="V636" s="319"/>
      <c r="W636" s="319"/>
      <c r="X636" s="319"/>
      <c r="Y636" s="319"/>
      <c r="Z636" s="319"/>
      <c r="AA636" s="319"/>
      <c r="AB636" s="319"/>
      <c r="AC636" s="327">
        <v>6.0</v>
      </c>
      <c r="AD636" s="319"/>
      <c r="AE636" s="319"/>
      <c r="AF636" s="319"/>
      <c r="AG636" s="319"/>
      <c r="AH636" s="319"/>
      <c r="AI636" s="319"/>
      <c r="AJ636" s="327"/>
      <c r="AK636" s="328"/>
      <c r="AL636" s="319"/>
      <c r="AM636" s="319"/>
      <c r="AN636" s="319"/>
      <c r="AO636" s="319"/>
      <c r="AP636" s="319"/>
      <c r="AQ636" s="319"/>
      <c r="AR636" s="319"/>
      <c r="AS636" s="327"/>
      <c r="AT636" s="461" t="s">
        <v>182</v>
      </c>
      <c r="AU636" s="324" t="s">
        <v>845</v>
      </c>
      <c r="AV636" s="330">
        <f>SQRT(($R636-Infrastructure!J$3)^2+($S636-Infrastructure!K$3)^2)</f>
        <v>31.11301978</v>
      </c>
      <c r="AW636" s="331">
        <f>SQRT(($R636-Infrastructure!J$4)^2+($S636-Infrastructure!K$4)^2)</f>
        <v>24.59776413</v>
      </c>
      <c r="AX636" s="331">
        <f>SQRT(($R636-Infrastructure!J$5)^2+($S636-Infrastructure!K$5)^2)</f>
        <v>22.18152384</v>
      </c>
      <c r="AY636" s="331">
        <f>SQRT(($R636-Infrastructure!J$6)^2+($S636-Infrastructure!K$6)^2)</f>
        <v>13.48258136</v>
      </c>
      <c r="AZ636" s="331">
        <f>SQRT(($R636-Infrastructure!J$7)^2+($S636-Infrastructure!K$7)^2)</f>
        <v>6.824954212</v>
      </c>
      <c r="BA636" s="331">
        <f>SQRT(($R636-Infrastructure!J$8)^2+($S636-Infrastructure!K$8)^2)</f>
        <v>10.66677083</v>
      </c>
      <c r="BB636" s="331">
        <f>SQRT(($R636-Infrastructure!J$9)^2+($S636-Infrastructure!K$9)^2)</f>
        <v>18.29890707</v>
      </c>
      <c r="BC636" s="331">
        <f>SQRT(($R636-Infrastructure!J$10)^2+($S636-Infrastructure!K$10)^2)</f>
        <v>19.88064385</v>
      </c>
      <c r="BD636" s="318"/>
      <c r="BE636" s="332"/>
      <c r="BF636" s="330">
        <f t="shared" si="14"/>
        <v>6.824954212</v>
      </c>
      <c r="BG636" s="333">
        <f t="shared" si="15"/>
        <v>31.11301978</v>
      </c>
      <c r="BH636" s="613"/>
      <c r="BI636" s="316"/>
      <c r="BJ636" s="318"/>
      <c r="BK636" s="318"/>
      <c r="BL636" s="319" t="s">
        <v>846</v>
      </c>
      <c r="BM636" s="318"/>
      <c r="BN636" s="318"/>
      <c r="BO636" s="318"/>
      <c r="BP636" s="318"/>
      <c r="BQ636" s="338"/>
      <c r="BR636" s="420"/>
      <c r="BS636" s="330">
        <f t="shared" si="23"/>
        <v>13.48258136</v>
      </c>
      <c r="BT636" s="331">
        <f t="shared" si="24"/>
        <v>13.48258136</v>
      </c>
      <c r="BU636" s="331"/>
      <c r="BV636" s="333"/>
      <c r="BW636" s="614"/>
      <c r="BX636" s="615"/>
      <c r="BY636" s="331" t="b">
        <f t="shared" si="36"/>
        <v>0</v>
      </c>
      <c r="BZ636" s="340"/>
      <c r="CA636" s="316"/>
      <c r="CB636" s="318"/>
      <c r="CC636" s="318"/>
      <c r="CD636" s="318"/>
      <c r="CE636" s="318"/>
      <c r="CF636" s="318"/>
      <c r="CG636" s="318"/>
      <c r="CH636" s="318"/>
      <c r="CI636" s="338"/>
      <c r="CJ636" s="341"/>
      <c r="CK636" s="342">
        <f t="shared" si="18"/>
        <v>0</v>
      </c>
      <c r="CL636" s="333">
        <f t="shared" si="19"/>
        <v>0</v>
      </c>
      <c r="CM636" s="616"/>
      <c r="CN636" s="617"/>
      <c r="CO636" s="617"/>
      <c r="CP636" s="617"/>
    </row>
    <row r="637">
      <c r="B637" s="462"/>
      <c r="C637" s="417">
        <v>44181.0</v>
      </c>
      <c r="D637" s="318"/>
      <c r="E637" s="319">
        <v>40.0</v>
      </c>
      <c r="F637" s="324"/>
      <c r="G637" s="600">
        <v>0.6829861111111111</v>
      </c>
      <c r="H637" s="601">
        <v>0.6833333333333332</v>
      </c>
      <c r="I637" s="601"/>
      <c r="J637" s="601"/>
      <c r="K637" s="601">
        <v>0.6847222222222222</v>
      </c>
      <c r="L637" s="323"/>
      <c r="M637" s="326" t="s">
        <v>358</v>
      </c>
      <c r="N637" s="324" t="s">
        <v>187</v>
      </c>
      <c r="O637" s="419" t="s">
        <v>206</v>
      </c>
      <c r="P637" s="319" t="s">
        <v>223</v>
      </c>
      <c r="Q637" s="319"/>
      <c r="R637" s="326">
        <v>21.8</v>
      </c>
      <c r="S637" s="319">
        <v>7.0</v>
      </c>
      <c r="T637" s="324"/>
      <c r="U637" s="319">
        <v>4.0</v>
      </c>
      <c r="V637" s="319"/>
      <c r="W637" s="319"/>
      <c r="X637" s="319"/>
      <c r="Y637" s="319"/>
      <c r="Z637" s="319"/>
      <c r="AA637" s="319"/>
      <c r="AB637" s="319"/>
      <c r="AC637" s="327">
        <v>6.0</v>
      </c>
      <c r="AD637" s="319"/>
      <c r="AE637" s="319"/>
      <c r="AF637" s="319"/>
      <c r="AG637" s="319"/>
      <c r="AH637" s="319"/>
      <c r="AI637" s="319"/>
      <c r="AJ637" s="327"/>
      <c r="AK637" s="328"/>
      <c r="AL637" s="319"/>
      <c r="AM637" s="319"/>
      <c r="AN637" s="319"/>
      <c r="AO637" s="319"/>
      <c r="AP637" s="319"/>
      <c r="AQ637" s="319"/>
      <c r="AR637" s="319"/>
      <c r="AS637" s="327"/>
      <c r="AT637" s="461" t="s">
        <v>182</v>
      </c>
      <c r="AU637" s="324" t="s">
        <v>845</v>
      </c>
      <c r="AV637" s="330">
        <f>SQRT(($R637-Infrastructure!J$3)^2+($S637-Infrastructure!K$3)^2)</f>
        <v>31.11301978</v>
      </c>
      <c r="AW637" s="331">
        <f>SQRT(($R637-Infrastructure!J$4)^2+($S637-Infrastructure!K$4)^2)</f>
        <v>24.59776413</v>
      </c>
      <c r="AX637" s="331">
        <f>SQRT(($R637-Infrastructure!J$5)^2+($S637-Infrastructure!K$5)^2)</f>
        <v>22.18152384</v>
      </c>
      <c r="AY637" s="331">
        <f>SQRT(($R637-Infrastructure!J$6)^2+($S637-Infrastructure!K$6)^2)</f>
        <v>13.48258136</v>
      </c>
      <c r="AZ637" s="331">
        <f>SQRT(($R637-Infrastructure!J$7)^2+($S637-Infrastructure!K$7)^2)</f>
        <v>6.824954212</v>
      </c>
      <c r="BA637" s="331">
        <f>SQRT(($R637-Infrastructure!J$8)^2+($S637-Infrastructure!K$8)^2)</f>
        <v>10.66677083</v>
      </c>
      <c r="BB637" s="331">
        <f>SQRT(($R637-Infrastructure!J$9)^2+($S637-Infrastructure!K$9)^2)</f>
        <v>18.29890707</v>
      </c>
      <c r="BC637" s="331">
        <f>SQRT(($R637-Infrastructure!J$10)^2+($S637-Infrastructure!K$10)^2)</f>
        <v>19.88064385</v>
      </c>
      <c r="BD637" s="318"/>
      <c r="BE637" s="332"/>
      <c r="BF637" s="330">
        <f t="shared" si="14"/>
        <v>6.824954212</v>
      </c>
      <c r="BG637" s="333">
        <f t="shared" si="15"/>
        <v>31.11301978</v>
      </c>
      <c r="BH637" s="613"/>
      <c r="BI637" s="316"/>
      <c r="BJ637" s="318"/>
      <c r="BK637" s="318"/>
      <c r="BL637" s="318"/>
      <c r="BM637" s="318"/>
      <c r="BN637" s="319" t="s">
        <v>846</v>
      </c>
      <c r="BO637" s="318"/>
      <c r="BP637" s="318"/>
      <c r="BQ637" s="338"/>
      <c r="BR637" s="420"/>
      <c r="BS637" s="330">
        <f t="shared" si="23"/>
        <v>10.66677083</v>
      </c>
      <c r="BT637" s="331">
        <f t="shared" si="24"/>
        <v>10.66677083</v>
      </c>
      <c r="BU637" s="331"/>
      <c r="BV637" s="333"/>
      <c r="BW637" s="614">
        <v>17.4</v>
      </c>
      <c r="BX637" s="615">
        <v>4.08</v>
      </c>
      <c r="BY637" s="331">
        <f t="shared" si="36"/>
        <v>5.280757521</v>
      </c>
      <c r="BZ637" s="340"/>
      <c r="CA637" s="316"/>
      <c r="CB637" s="318"/>
      <c r="CC637" s="318"/>
      <c r="CD637" s="318"/>
      <c r="CE637" s="318"/>
      <c r="CF637" s="318"/>
      <c r="CG637" s="318"/>
      <c r="CH637" s="318"/>
      <c r="CI637" s="338"/>
      <c r="CJ637" s="341"/>
      <c r="CK637" s="342">
        <f t="shared" si="18"/>
        <v>0</v>
      </c>
      <c r="CL637" s="333">
        <f t="shared" si="19"/>
        <v>0</v>
      </c>
      <c r="CM637" s="616"/>
      <c r="CN637" s="617"/>
      <c r="CO637" s="617"/>
      <c r="CP637" s="617"/>
    </row>
    <row r="638">
      <c r="B638" s="462"/>
      <c r="C638" s="417">
        <v>44181.0</v>
      </c>
      <c r="D638" s="318"/>
      <c r="E638" s="319">
        <v>41.0</v>
      </c>
      <c r="F638" s="324"/>
      <c r="G638" s="600">
        <v>0.6854166666666667</v>
      </c>
      <c r="H638" s="601">
        <v>0.6859375</v>
      </c>
      <c r="I638" s="601"/>
      <c r="J638" s="601"/>
      <c r="K638" s="601">
        <v>0.6873263888888889</v>
      </c>
      <c r="L638" s="323"/>
      <c r="M638" s="326" t="s">
        <v>358</v>
      </c>
      <c r="N638" s="324" t="s">
        <v>187</v>
      </c>
      <c r="O638" s="419" t="s">
        <v>198</v>
      </c>
      <c r="P638" s="319" t="s">
        <v>218</v>
      </c>
      <c r="Q638" s="319"/>
      <c r="R638" s="326">
        <v>10.3</v>
      </c>
      <c r="S638" s="319">
        <v>7.9</v>
      </c>
      <c r="T638" s="324"/>
      <c r="U638" s="319">
        <v>2.0</v>
      </c>
      <c r="V638" s="319"/>
      <c r="W638" s="319"/>
      <c r="X638" s="319"/>
      <c r="Y638" s="319"/>
      <c r="Z638" s="319"/>
      <c r="AA638" s="319"/>
      <c r="AB638" s="319"/>
      <c r="AC638" s="327">
        <v>4.0</v>
      </c>
      <c r="AD638" s="319"/>
      <c r="AE638" s="319"/>
      <c r="AF638" s="319"/>
      <c r="AG638" s="319"/>
      <c r="AH638" s="319"/>
      <c r="AI638" s="319"/>
      <c r="AJ638" s="327"/>
      <c r="AK638" s="328"/>
      <c r="AL638" s="319"/>
      <c r="AM638" s="319"/>
      <c r="AN638" s="319"/>
      <c r="AO638" s="319"/>
      <c r="AP638" s="319"/>
      <c r="AQ638" s="319"/>
      <c r="AR638" s="319"/>
      <c r="AS638" s="327"/>
      <c r="AT638" s="461" t="s">
        <v>182</v>
      </c>
      <c r="AU638" s="324" t="s">
        <v>845</v>
      </c>
      <c r="AV638" s="330">
        <f>SQRT(($R638-Infrastructure!J$3)^2+($S638-Infrastructure!K$3)^2)</f>
        <v>23.52360517</v>
      </c>
      <c r="AW638" s="331">
        <f>SQRT(($R638-Infrastructure!J$4)^2+($S638-Infrastructure!K$4)^2)</f>
        <v>14.50413734</v>
      </c>
      <c r="AX638" s="331">
        <f>SQRT(($R638-Infrastructure!J$5)^2+($S638-Infrastructure!K$5)^2)</f>
        <v>10.96357606</v>
      </c>
      <c r="AY638" s="331">
        <f>SQRT(($R638-Infrastructure!J$6)^2+($S638-Infrastructure!K$6)^2)</f>
        <v>7.602631123</v>
      </c>
      <c r="AZ638" s="331">
        <f>SQRT(($R638-Infrastructure!J$7)^2+($S638-Infrastructure!K$7)^2)</f>
        <v>12.72006289</v>
      </c>
      <c r="BA638" s="331">
        <f>SQRT(($R638-Infrastructure!J$8)^2+($S638-Infrastructure!K$8)^2)</f>
        <v>21.20848887</v>
      </c>
      <c r="BB638" s="331">
        <f>SQRT(($R638-Infrastructure!J$9)^2+($S638-Infrastructure!K$9)^2)</f>
        <v>29.83169455</v>
      </c>
      <c r="BC638" s="331">
        <f>SQRT(($R638-Infrastructure!J$10)^2+($S638-Infrastructure!K$10)^2)</f>
        <v>30.53686297</v>
      </c>
      <c r="BD638" s="318"/>
      <c r="BE638" s="332"/>
      <c r="BF638" s="330">
        <f t="shared" si="14"/>
        <v>7.602631123</v>
      </c>
      <c r="BG638" s="333">
        <f t="shared" si="15"/>
        <v>30.53686297</v>
      </c>
      <c r="BH638" s="613"/>
      <c r="BI638" s="316"/>
      <c r="BJ638" s="318"/>
      <c r="BK638" s="318"/>
      <c r="BL638" s="319" t="s">
        <v>846</v>
      </c>
      <c r="BM638" s="318"/>
      <c r="BN638" s="318"/>
      <c r="BO638" s="318"/>
      <c r="BP638" s="318"/>
      <c r="BQ638" s="338"/>
      <c r="BR638" s="420"/>
      <c r="BS638" s="330">
        <f t="shared" si="23"/>
        <v>7.602631123</v>
      </c>
      <c r="BT638" s="331">
        <f t="shared" si="24"/>
        <v>7.602631123</v>
      </c>
      <c r="BU638" s="331"/>
      <c r="BV638" s="333"/>
      <c r="BW638" s="614">
        <v>3.23</v>
      </c>
      <c r="BX638" s="615">
        <v>10.71</v>
      </c>
      <c r="BY638" s="331">
        <f t="shared" si="36"/>
        <v>7.607956362</v>
      </c>
      <c r="BZ638" s="340"/>
      <c r="CA638" s="316"/>
      <c r="CB638" s="318"/>
      <c r="CC638" s="318"/>
      <c r="CD638" s="318"/>
      <c r="CE638" s="318"/>
      <c r="CF638" s="318"/>
      <c r="CG638" s="318"/>
      <c r="CH638" s="318"/>
      <c r="CI638" s="338"/>
      <c r="CJ638" s="341"/>
      <c r="CK638" s="342">
        <f t="shared" si="18"/>
        <v>0</v>
      </c>
      <c r="CL638" s="333">
        <f t="shared" si="19"/>
        <v>0</v>
      </c>
      <c r="CM638" s="616"/>
      <c r="CN638" s="617"/>
      <c r="CO638" s="617"/>
      <c r="CP638" s="617"/>
    </row>
    <row r="639">
      <c r="B639" s="462"/>
      <c r="C639" s="417">
        <v>44181.0</v>
      </c>
      <c r="D639" s="318"/>
      <c r="E639" s="319">
        <v>42.0</v>
      </c>
      <c r="F639" s="324"/>
      <c r="G639" s="600">
        <v>0.688888888888889</v>
      </c>
      <c r="H639" s="601">
        <v>0.6892361111111112</v>
      </c>
      <c r="I639" s="601"/>
      <c r="J639" s="601"/>
      <c r="K639" s="601">
        <v>0.6906249999999999</v>
      </c>
      <c r="L639" s="323"/>
      <c r="M639" s="326" t="s">
        <v>358</v>
      </c>
      <c r="N639" s="324" t="s">
        <v>187</v>
      </c>
      <c r="O639" s="419" t="s">
        <v>198</v>
      </c>
      <c r="P639" s="319" t="s">
        <v>218</v>
      </c>
      <c r="Q639" s="319"/>
      <c r="R639" s="326">
        <v>10.3</v>
      </c>
      <c r="S639" s="319">
        <v>7.9</v>
      </c>
      <c r="T639" s="324"/>
      <c r="U639" s="319">
        <v>5.0</v>
      </c>
      <c r="V639" s="319"/>
      <c r="W639" s="319"/>
      <c r="X639" s="319"/>
      <c r="Y639" s="319"/>
      <c r="Z639" s="319"/>
      <c r="AA639" s="319"/>
      <c r="AB639" s="319"/>
      <c r="AC639" s="327">
        <v>6.0</v>
      </c>
      <c r="AD639" s="319"/>
      <c r="AE639" s="319"/>
      <c r="AF639" s="319"/>
      <c r="AG639" s="319"/>
      <c r="AH639" s="319"/>
      <c r="AI639" s="319"/>
      <c r="AJ639" s="327"/>
      <c r="AK639" s="328"/>
      <c r="AL639" s="319"/>
      <c r="AM639" s="319"/>
      <c r="AN639" s="319"/>
      <c r="AO639" s="319"/>
      <c r="AP639" s="319"/>
      <c r="AQ639" s="319"/>
      <c r="AR639" s="319"/>
      <c r="AS639" s="327"/>
      <c r="AT639" s="461" t="s">
        <v>182</v>
      </c>
      <c r="AU639" s="324" t="s">
        <v>845</v>
      </c>
      <c r="AV639" s="330">
        <f>SQRT(($R639-Infrastructure!J$3)^2+($S639-Infrastructure!K$3)^2)</f>
        <v>23.52360517</v>
      </c>
      <c r="AW639" s="331">
        <f>SQRT(($R639-Infrastructure!J$4)^2+($S639-Infrastructure!K$4)^2)</f>
        <v>14.50413734</v>
      </c>
      <c r="AX639" s="331">
        <f>SQRT(($R639-Infrastructure!J$5)^2+($S639-Infrastructure!K$5)^2)</f>
        <v>10.96357606</v>
      </c>
      <c r="AY639" s="331">
        <f>SQRT(($R639-Infrastructure!J$6)^2+($S639-Infrastructure!K$6)^2)</f>
        <v>7.602631123</v>
      </c>
      <c r="AZ639" s="331">
        <f>SQRT(($R639-Infrastructure!J$7)^2+($S639-Infrastructure!K$7)^2)</f>
        <v>12.72006289</v>
      </c>
      <c r="BA639" s="331">
        <f>SQRT(($R639-Infrastructure!J$8)^2+($S639-Infrastructure!K$8)^2)</f>
        <v>21.20848887</v>
      </c>
      <c r="BB639" s="331">
        <f>SQRT(($R639-Infrastructure!J$9)^2+($S639-Infrastructure!K$9)^2)</f>
        <v>29.83169455</v>
      </c>
      <c r="BC639" s="331">
        <f>SQRT(($R639-Infrastructure!J$10)^2+($S639-Infrastructure!K$10)^2)</f>
        <v>30.53686297</v>
      </c>
      <c r="BD639" s="318"/>
      <c r="BE639" s="332"/>
      <c r="BF639" s="330">
        <f t="shared" si="14"/>
        <v>7.602631123</v>
      </c>
      <c r="BG639" s="333">
        <f t="shared" si="15"/>
        <v>30.53686297</v>
      </c>
      <c r="BH639" s="613"/>
      <c r="BI639" s="316"/>
      <c r="BJ639" s="318"/>
      <c r="BK639" s="319" t="s">
        <v>846</v>
      </c>
      <c r="BL639" s="318"/>
      <c r="BM639" s="318"/>
      <c r="BN639" s="318"/>
      <c r="BO639" s="318"/>
      <c r="BP639" s="318"/>
      <c r="BQ639" s="338"/>
      <c r="BR639" s="420"/>
      <c r="BS639" s="330">
        <f t="shared" si="23"/>
        <v>10.96357606</v>
      </c>
      <c r="BT639" s="331">
        <f t="shared" si="24"/>
        <v>10.96357606</v>
      </c>
      <c r="BU639" s="331"/>
      <c r="BV639" s="333"/>
      <c r="BW639" s="614"/>
      <c r="BX639" s="615"/>
      <c r="BY639" s="331" t="b">
        <f t="shared" si="36"/>
        <v>0</v>
      </c>
      <c r="BZ639" s="340"/>
      <c r="CA639" s="316"/>
      <c r="CB639" s="318"/>
      <c r="CC639" s="318"/>
      <c r="CD639" s="318"/>
      <c r="CE639" s="318"/>
      <c r="CF639" s="318"/>
      <c r="CG639" s="318"/>
      <c r="CH639" s="318"/>
      <c r="CI639" s="338"/>
      <c r="CJ639" s="341"/>
      <c r="CK639" s="342">
        <f t="shared" si="18"/>
        <v>0</v>
      </c>
      <c r="CL639" s="333">
        <f t="shared" si="19"/>
        <v>0</v>
      </c>
      <c r="CM639" s="616"/>
      <c r="CN639" s="617"/>
      <c r="CO639" s="617"/>
      <c r="CP639" s="617"/>
    </row>
    <row r="640">
      <c r="B640" s="462"/>
      <c r="C640" s="417">
        <v>44181.0</v>
      </c>
      <c r="D640" s="318"/>
      <c r="E640" s="319">
        <v>43.0</v>
      </c>
      <c r="F640" s="324"/>
      <c r="G640" s="600">
        <v>0.6977430555555556</v>
      </c>
      <c r="H640" s="601">
        <v>0.6982638888888889</v>
      </c>
      <c r="I640" s="601"/>
      <c r="J640" s="601"/>
      <c r="K640" s="601">
        <v>0.6996527777777778</v>
      </c>
      <c r="L640" s="323"/>
      <c r="M640" s="326" t="s">
        <v>358</v>
      </c>
      <c r="N640" s="324" t="s">
        <v>187</v>
      </c>
      <c r="O640" s="419" t="s">
        <v>201</v>
      </c>
      <c r="P640" s="319" t="s">
        <v>212</v>
      </c>
      <c r="Q640" s="319"/>
      <c r="R640" s="326">
        <v>23.3</v>
      </c>
      <c r="S640" s="319">
        <v>11.8</v>
      </c>
      <c r="T640" s="324"/>
      <c r="U640" s="319">
        <v>5.0</v>
      </c>
      <c r="V640" s="319"/>
      <c r="W640" s="319"/>
      <c r="X640" s="319"/>
      <c r="Y640" s="319"/>
      <c r="Z640" s="319"/>
      <c r="AA640" s="319"/>
      <c r="AB640" s="319"/>
      <c r="AC640" s="327">
        <v>5.0</v>
      </c>
      <c r="AD640" s="319"/>
      <c r="AE640" s="319"/>
      <c r="AF640" s="319"/>
      <c r="AG640" s="319"/>
      <c r="AH640" s="319"/>
      <c r="AI640" s="319"/>
      <c r="AJ640" s="327"/>
      <c r="AK640" s="328"/>
      <c r="AL640" s="319"/>
      <c r="AM640" s="319"/>
      <c r="AN640" s="319"/>
      <c r="AO640" s="319"/>
      <c r="AP640" s="319"/>
      <c r="AQ640" s="319"/>
      <c r="AR640" s="319"/>
      <c r="AS640" s="327"/>
      <c r="AT640" s="461" t="s">
        <v>182</v>
      </c>
      <c r="AU640" s="324" t="s">
        <v>845</v>
      </c>
      <c r="AV640" s="330">
        <f>SQRT(($R640-Infrastructure!J$3)^2+($S640-Infrastructure!K$3)^2)</f>
        <v>29.14395306</v>
      </c>
      <c r="AW640" s="331">
        <f>SQRT(($R640-Infrastructure!J$4)^2+($S640-Infrastructure!K$4)^2)</f>
        <v>24.35077001</v>
      </c>
      <c r="AX640" s="331">
        <f>SQRT(($R640-Infrastructure!J$5)^2+($S640-Infrastructure!K$5)^2)</f>
        <v>24.53263133</v>
      </c>
      <c r="AY640" s="331">
        <f>SQRT(($R640-Infrastructure!J$6)^2+($S640-Infrastructure!K$6)^2)</f>
        <v>17.5068558</v>
      </c>
      <c r="AZ640" s="331">
        <f>SQRT(($R640-Infrastructure!J$7)^2+($S640-Infrastructure!K$7)^2)</f>
        <v>11.83596215</v>
      </c>
      <c r="BA640" s="331">
        <f>SQRT(($R640-Infrastructure!J$8)^2+($S640-Infrastructure!K$8)^2)</f>
        <v>13.36001497</v>
      </c>
      <c r="BB640" s="331">
        <f>SQRT(($R640-Infrastructure!J$9)^2+($S640-Infrastructure!K$9)^2)</f>
        <v>17.99388785</v>
      </c>
      <c r="BC640" s="331">
        <f>SQRT(($R640-Infrastructure!J$10)^2+($S640-Infrastructure!K$10)^2)</f>
        <v>17.0038231</v>
      </c>
      <c r="BD640" s="318"/>
      <c r="BE640" s="332"/>
      <c r="BF640" s="330">
        <f t="shared" si="14"/>
        <v>11.83596215</v>
      </c>
      <c r="BG640" s="333">
        <f t="shared" si="15"/>
        <v>29.14395306</v>
      </c>
      <c r="BH640" s="613"/>
      <c r="BI640" s="316"/>
      <c r="BJ640" s="318"/>
      <c r="BK640" s="318"/>
      <c r="BL640" s="319" t="s">
        <v>846</v>
      </c>
      <c r="BM640" s="318"/>
      <c r="BN640" s="318"/>
      <c r="BO640" s="318"/>
      <c r="BP640" s="318"/>
      <c r="BQ640" s="338"/>
      <c r="BR640" s="420"/>
      <c r="BS640" s="330">
        <f t="shared" si="23"/>
        <v>17.5068558</v>
      </c>
      <c r="BT640" s="331">
        <f t="shared" si="24"/>
        <v>17.5068558</v>
      </c>
      <c r="BU640" s="331"/>
      <c r="BV640" s="333"/>
      <c r="BW640" s="614"/>
      <c r="BX640" s="615"/>
      <c r="BY640" s="331" t="b">
        <f t="shared" si="36"/>
        <v>0</v>
      </c>
      <c r="BZ640" s="340"/>
      <c r="CA640" s="316"/>
      <c r="CB640" s="318"/>
      <c r="CC640" s="318"/>
      <c r="CD640" s="318"/>
      <c r="CE640" s="318"/>
      <c r="CF640" s="318"/>
      <c r="CG640" s="318"/>
      <c r="CH640" s="318"/>
      <c r="CI640" s="338"/>
      <c r="CJ640" s="341"/>
      <c r="CK640" s="342">
        <f t="shared" si="18"/>
        <v>0</v>
      </c>
      <c r="CL640" s="333">
        <f t="shared" si="19"/>
        <v>0</v>
      </c>
      <c r="CM640" s="616"/>
      <c r="CN640" s="617"/>
      <c r="CO640" s="617"/>
      <c r="CP640" s="617"/>
    </row>
    <row r="641">
      <c r="B641" s="462"/>
      <c r="C641" s="417">
        <v>44181.0</v>
      </c>
      <c r="D641" s="318"/>
      <c r="E641" s="319">
        <v>44.0</v>
      </c>
      <c r="F641" s="324"/>
      <c r="G641" s="600">
        <v>0.7026041666666667</v>
      </c>
      <c r="H641" s="601">
        <v>0.7029513888888889</v>
      </c>
      <c r="I641" s="601"/>
      <c r="J641" s="601"/>
      <c r="K641" s="601">
        <v>0.7043402777777777</v>
      </c>
      <c r="L641" s="323"/>
      <c r="M641" s="326" t="s">
        <v>358</v>
      </c>
      <c r="N641" s="324" t="s">
        <v>187</v>
      </c>
      <c r="O641" s="419" t="s">
        <v>201</v>
      </c>
      <c r="P641" s="319" t="s">
        <v>212</v>
      </c>
      <c r="Q641" s="319"/>
      <c r="R641" s="326">
        <v>20.0</v>
      </c>
      <c r="S641" s="319">
        <v>0.5</v>
      </c>
      <c r="T641" s="324"/>
      <c r="U641" s="319">
        <v>3.0</v>
      </c>
      <c r="V641" s="319"/>
      <c r="W641" s="319"/>
      <c r="X641" s="319"/>
      <c r="Y641" s="319"/>
      <c r="Z641" s="319"/>
      <c r="AA641" s="319"/>
      <c r="AB641" s="319"/>
      <c r="AC641" s="327">
        <v>5.0</v>
      </c>
      <c r="AD641" s="319"/>
      <c r="AE641" s="319"/>
      <c r="AF641" s="319"/>
      <c r="AG641" s="319"/>
      <c r="AH641" s="319"/>
      <c r="AI641" s="319"/>
      <c r="AJ641" s="327"/>
      <c r="AK641" s="328"/>
      <c r="AL641" s="319"/>
      <c r="AM641" s="319"/>
      <c r="AN641" s="319"/>
      <c r="AO641" s="319"/>
      <c r="AP641" s="319"/>
      <c r="AQ641" s="319"/>
      <c r="AR641" s="319"/>
      <c r="AS641" s="327"/>
      <c r="AT641" s="461" t="s">
        <v>182</v>
      </c>
      <c r="AU641" s="324" t="s">
        <v>845</v>
      </c>
      <c r="AV641" s="330">
        <f>SQRT(($R641-Infrastructure!J$3)^2+($S641-Infrastructure!K$3)^2)</f>
        <v>34.90916785</v>
      </c>
      <c r="AW641" s="331">
        <f>SQRT(($R641-Infrastructure!J$4)^2+($S641-Infrastructure!K$4)^2)</f>
        <v>26.67170786</v>
      </c>
      <c r="AX641" s="331">
        <f>SQRT(($R641-Infrastructure!J$5)^2+($S641-Infrastructure!K$5)^2)</f>
        <v>20.8146583</v>
      </c>
      <c r="AY641" s="331">
        <f>SQRT(($R641-Infrastructure!J$6)^2+($S641-Infrastructure!K$6)^2)</f>
        <v>9.902019996</v>
      </c>
      <c r="AZ641" s="331">
        <f>SQRT(($R641-Infrastructure!J$7)^2+($S641-Infrastructure!K$7)^2)</f>
        <v>0.5385164807</v>
      </c>
      <c r="BA641" s="331">
        <f>SQRT(($R641-Infrastructure!J$8)^2+($S641-Infrastructure!K$8)^2)</f>
        <v>10.10198</v>
      </c>
      <c r="BB641" s="331">
        <f>SQRT(($R641-Infrastructure!J$9)^2+($S641-Infrastructure!K$9)^2)</f>
        <v>20.52218312</v>
      </c>
      <c r="BC641" s="331">
        <f>SQRT(($R641-Infrastructure!J$10)^2+($S641-Infrastructure!K$10)^2)</f>
        <v>24.70323865</v>
      </c>
      <c r="BD641" s="318"/>
      <c r="BE641" s="332"/>
      <c r="BF641" s="330">
        <f t="shared" si="14"/>
        <v>0.5385164807</v>
      </c>
      <c r="BG641" s="333">
        <f t="shared" si="15"/>
        <v>34.90916785</v>
      </c>
      <c r="BH641" s="613"/>
      <c r="BI641" s="316"/>
      <c r="BJ641" s="318"/>
      <c r="BK641" s="318"/>
      <c r="BL641" s="318"/>
      <c r="BM641" s="319" t="s">
        <v>846</v>
      </c>
      <c r="BN641" s="318"/>
      <c r="BO641" s="318"/>
      <c r="BP641" s="318"/>
      <c r="BQ641" s="338"/>
      <c r="BR641" s="420"/>
      <c r="BS641" s="330">
        <f t="shared" si="23"/>
        <v>0.5385164807</v>
      </c>
      <c r="BT641" s="331">
        <f t="shared" si="24"/>
        <v>0.5385164807</v>
      </c>
      <c r="BU641" s="331"/>
      <c r="BV641" s="333"/>
      <c r="BW641" s="614"/>
      <c r="BX641" s="615"/>
      <c r="BY641" s="331" t="b">
        <f t="shared" si="36"/>
        <v>0</v>
      </c>
      <c r="BZ641" s="340"/>
      <c r="CA641" s="316"/>
      <c r="CB641" s="318"/>
      <c r="CC641" s="318"/>
      <c r="CD641" s="318"/>
      <c r="CE641" s="318"/>
      <c r="CF641" s="318"/>
      <c r="CG641" s="318"/>
      <c r="CH641" s="318"/>
      <c r="CI641" s="338"/>
      <c r="CJ641" s="341"/>
      <c r="CK641" s="342">
        <f t="shared" si="18"/>
        <v>0</v>
      </c>
      <c r="CL641" s="333">
        <f t="shared" si="19"/>
        <v>0</v>
      </c>
      <c r="CM641" s="616"/>
      <c r="CN641" s="617"/>
      <c r="CO641" s="617"/>
      <c r="CP641" s="617"/>
    </row>
    <row r="642">
      <c r="B642" s="462"/>
      <c r="C642" s="417">
        <v>44181.0</v>
      </c>
      <c r="D642" s="318"/>
      <c r="E642" s="319">
        <v>45.0</v>
      </c>
      <c r="F642" s="324"/>
      <c r="G642" s="600">
        <v>0.7061921296296297</v>
      </c>
      <c r="H642" s="601">
        <v>0.7065972222222222</v>
      </c>
      <c r="I642" s="601"/>
      <c r="J642" s="601"/>
      <c r="K642" s="601">
        <v>0.7079861111111111</v>
      </c>
      <c r="L642" s="323"/>
      <c r="M642" s="326" t="s">
        <v>358</v>
      </c>
      <c r="N642" s="324" t="s">
        <v>187</v>
      </c>
      <c r="O642" s="419" t="s">
        <v>201</v>
      </c>
      <c r="P642" s="319" t="s">
        <v>212</v>
      </c>
      <c r="Q642" s="319"/>
      <c r="R642" s="326">
        <v>3.5</v>
      </c>
      <c r="S642" s="319">
        <v>7.2</v>
      </c>
      <c r="T642" s="324"/>
      <c r="U642" s="319">
        <v>7.0</v>
      </c>
      <c r="V642" s="319"/>
      <c r="W642" s="319"/>
      <c r="X642" s="319"/>
      <c r="Y642" s="319"/>
      <c r="Z642" s="319"/>
      <c r="AA642" s="319"/>
      <c r="AB642" s="319"/>
      <c r="AC642" s="327">
        <v>5.0</v>
      </c>
      <c r="AD642" s="319"/>
      <c r="AE642" s="319"/>
      <c r="AF642" s="319"/>
      <c r="AG642" s="319"/>
      <c r="AH642" s="319"/>
      <c r="AI642" s="319"/>
      <c r="AJ642" s="327"/>
      <c r="AK642" s="328"/>
      <c r="AL642" s="319"/>
      <c r="AM642" s="319"/>
      <c r="AN642" s="319"/>
      <c r="AO642" s="319"/>
      <c r="AP642" s="319"/>
      <c r="AQ642" s="319"/>
      <c r="AR642" s="319"/>
      <c r="AS642" s="327"/>
      <c r="AT642" s="461" t="s">
        <v>182</v>
      </c>
      <c r="AU642" s="324" t="s">
        <v>845</v>
      </c>
      <c r="AV642" s="330">
        <f>SQRT(($R642-Infrastructure!J$3)^2+($S642-Infrastructure!K$3)^2)</f>
        <v>22.03020654</v>
      </c>
      <c r="AW642" s="331">
        <f>SQRT(($R642-Infrastructure!J$4)^2+($S642-Infrastructure!K$4)^2)</f>
        <v>11.26055061</v>
      </c>
      <c r="AX642" s="331">
        <f>SQRT(($R642-Infrastructure!J$5)^2+($S642-Infrastructure!K$5)^2)</f>
        <v>4.341658669</v>
      </c>
      <c r="AY642" s="331">
        <f>SQRT(($R642-Infrastructure!J$6)^2+($S642-Infrastructure!K$6)^2)</f>
        <v>9.548298278</v>
      </c>
      <c r="AZ642" s="331">
        <f>SQRT(($R642-Infrastructure!J$7)^2+($S642-Infrastructure!K$7)^2)</f>
        <v>18.34693435</v>
      </c>
      <c r="BA642" s="331">
        <f>SQRT(($R642-Infrastructure!J$8)^2+($S642-Infrastructure!K$8)^2)</f>
        <v>27.48035662</v>
      </c>
      <c r="BB642" s="331">
        <f>SQRT(($R642-Infrastructure!J$9)^2+($S642-Infrastructure!K$9)^2)</f>
        <v>36.56036105</v>
      </c>
      <c r="BC642" s="331">
        <f>SQRT(($R642-Infrastructure!J$10)^2+($S642-Infrastructure!K$10)^2)</f>
        <v>37.32412089</v>
      </c>
      <c r="BD642" s="318"/>
      <c r="BE642" s="332"/>
      <c r="BF642" s="330">
        <f t="shared" si="14"/>
        <v>4.341658669</v>
      </c>
      <c r="BG642" s="333">
        <f t="shared" si="15"/>
        <v>37.32412089</v>
      </c>
      <c r="BH642" s="613"/>
      <c r="BI642" s="316"/>
      <c r="BJ642" s="318"/>
      <c r="BK642" s="319" t="s">
        <v>846</v>
      </c>
      <c r="BL642" s="318"/>
      <c r="BM642" s="318"/>
      <c r="BN642" s="318"/>
      <c r="BO642" s="318"/>
      <c r="BP642" s="318"/>
      <c r="BQ642" s="338"/>
      <c r="BR642" s="420"/>
      <c r="BS642" s="330">
        <f t="shared" si="23"/>
        <v>4.341658669</v>
      </c>
      <c r="BT642" s="331">
        <f t="shared" si="24"/>
        <v>4.341658669</v>
      </c>
      <c r="BU642" s="331"/>
      <c r="BV642" s="333"/>
      <c r="BW642" s="614">
        <v>8.43</v>
      </c>
      <c r="BX642" s="615">
        <v>7.55</v>
      </c>
      <c r="BY642" s="331">
        <f t="shared" si="36"/>
        <v>4.94240832</v>
      </c>
      <c r="BZ642" s="340"/>
      <c r="CA642" s="316"/>
      <c r="CB642" s="318"/>
      <c r="CC642" s="318"/>
      <c r="CD642" s="318"/>
      <c r="CE642" s="318"/>
      <c r="CF642" s="318"/>
      <c r="CG642" s="318"/>
      <c r="CH642" s="318"/>
      <c r="CI642" s="338"/>
      <c r="CJ642" s="341"/>
      <c r="CK642" s="342">
        <f t="shared" si="18"/>
        <v>0</v>
      </c>
      <c r="CL642" s="333">
        <f t="shared" si="19"/>
        <v>0</v>
      </c>
      <c r="CM642" s="616"/>
      <c r="CN642" s="617"/>
      <c r="CO642" s="617"/>
      <c r="CP642" s="617"/>
    </row>
    <row r="643">
      <c r="B643" s="462"/>
      <c r="C643" s="417">
        <v>44181.0</v>
      </c>
      <c r="D643" s="318"/>
      <c r="E643" s="319">
        <v>46.0</v>
      </c>
      <c r="F643" s="324"/>
      <c r="G643" s="600">
        <v>0.7104166666666667</v>
      </c>
      <c r="H643" s="601">
        <v>0.7109375</v>
      </c>
      <c r="I643" s="601"/>
      <c r="J643" s="601"/>
      <c r="K643" s="601">
        <v>0.712326388888889</v>
      </c>
      <c r="L643" s="323"/>
      <c r="M643" s="326" t="s">
        <v>358</v>
      </c>
      <c r="N643" s="324" t="s">
        <v>187</v>
      </c>
      <c r="O643" s="419" t="s">
        <v>201</v>
      </c>
      <c r="P643" s="319" t="s">
        <v>212</v>
      </c>
      <c r="Q643" s="319"/>
      <c r="R643" s="326">
        <v>17.6</v>
      </c>
      <c r="S643" s="319">
        <v>10.0</v>
      </c>
      <c r="T643" s="324"/>
      <c r="U643" s="319">
        <v>10.0</v>
      </c>
      <c r="V643" s="319"/>
      <c r="W643" s="319"/>
      <c r="X643" s="319"/>
      <c r="Y643" s="319"/>
      <c r="Z643" s="319"/>
      <c r="AA643" s="319"/>
      <c r="AB643" s="319"/>
      <c r="AC643" s="327">
        <v>5.0</v>
      </c>
      <c r="AD643" s="319"/>
      <c r="AE643" s="319"/>
      <c r="AF643" s="319"/>
      <c r="AG643" s="319"/>
      <c r="AH643" s="319"/>
      <c r="AI643" s="319"/>
      <c r="AJ643" s="327"/>
      <c r="AK643" s="328"/>
      <c r="AL643" s="319"/>
      <c r="AM643" s="319"/>
      <c r="AN643" s="319"/>
      <c r="AO643" s="319"/>
      <c r="AP643" s="319"/>
      <c r="AQ643" s="319"/>
      <c r="AR643" s="319"/>
      <c r="AS643" s="327"/>
      <c r="AT643" s="461" t="s">
        <v>182</v>
      </c>
      <c r="AU643" s="324" t="s">
        <v>845</v>
      </c>
      <c r="AV643" s="330">
        <f>SQRT(($R643-Infrastructure!J$3)^2+($S643-Infrastructure!K$3)^2)</f>
        <v>26.0311352</v>
      </c>
      <c r="AW643" s="331">
        <f>SQRT(($R643-Infrastructure!J$4)^2+($S643-Infrastructure!K$4)^2)</f>
        <v>19.52562419</v>
      </c>
      <c r="AX643" s="331">
        <f>SQRT(($R643-Infrastructure!J$5)^2+($S643-Infrastructure!K$5)^2)</f>
        <v>18.55855598</v>
      </c>
      <c r="AY643" s="331">
        <f>SQRT(($R643-Infrastructure!J$6)^2+($S643-Infrastructure!K$6)^2)</f>
        <v>12.2613213</v>
      </c>
      <c r="AZ643" s="331">
        <f>SQRT(($R643-Infrastructure!J$7)^2+($S643-Infrastructure!K$7)^2)</f>
        <v>10.12422837</v>
      </c>
      <c r="BA643" s="331">
        <f>SQRT(($R643-Infrastructure!J$8)^2+($S643-Infrastructure!K$8)^2)</f>
        <v>15.82213639</v>
      </c>
      <c r="BB643" s="331">
        <f>SQRT(($R643-Infrastructure!J$9)^2+($S643-Infrastructure!K$9)^2)</f>
        <v>22.9296751</v>
      </c>
      <c r="BC643" s="331">
        <f>SQRT(($R643-Infrastructure!J$10)^2+($S643-Infrastructure!K$10)^2)</f>
        <v>22.95125269</v>
      </c>
      <c r="BD643" s="318"/>
      <c r="BE643" s="332"/>
      <c r="BF643" s="330">
        <f t="shared" si="14"/>
        <v>10.12422837</v>
      </c>
      <c r="BG643" s="333">
        <f t="shared" si="15"/>
        <v>26.0311352</v>
      </c>
      <c r="BH643" s="613"/>
      <c r="BI643" s="316"/>
      <c r="BJ643" s="318"/>
      <c r="BK643" s="319" t="s">
        <v>846</v>
      </c>
      <c r="BL643" s="319" t="s">
        <v>846</v>
      </c>
      <c r="BM643" s="318"/>
      <c r="BN643" s="319" t="s">
        <v>846</v>
      </c>
      <c r="BO643" s="318"/>
      <c r="BP643" s="318"/>
      <c r="BQ643" s="338"/>
      <c r="BR643" s="420"/>
      <c r="BS643" s="330">
        <f t="shared" si="23"/>
        <v>12.2613213</v>
      </c>
      <c r="BT643" s="331">
        <f t="shared" si="24"/>
        <v>18.55855598</v>
      </c>
      <c r="BU643" s="331"/>
      <c r="BV643" s="333"/>
      <c r="BW643" s="614">
        <v>15.35</v>
      </c>
      <c r="BX643" s="615">
        <v>5.8</v>
      </c>
      <c r="BY643" s="331">
        <f t="shared" si="36"/>
        <v>4.764714052</v>
      </c>
      <c r="BZ643" s="340"/>
      <c r="CA643" s="316"/>
      <c r="CB643" s="318"/>
      <c r="CC643" s="318"/>
      <c r="CD643" s="318"/>
      <c r="CE643" s="318"/>
      <c r="CF643" s="318"/>
      <c r="CG643" s="318"/>
      <c r="CH643" s="318"/>
      <c r="CI643" s="338"/>
      <c r="CJ643" s="341"/>
      <c r="CK643" s="342">
        <f t="shared" si="18"/>
        <v>0</v>
      </c>
      <c r="CL643" s="333">
        <f t="shared" si="19"/>
        <v>0</v>
      </c>
      <c r="CM643" s="616"/>
      <c r="CN643" s="617"/>
      <c r="CO643" s="617"/>
      <c r="CP643" s="617"/>
    </row>
    <row r="644">
      <c r="B644" s="462"/>
      <c r="C644" s="417">
        <v>44181.0</v>
      </c>
      <c r="D644" s="318"/>
      <c r="E644" s="319">
        <v>47.0</v>
      </c>
      <c r="F644" s="324"/>
      <c r="G644" s="600">
        <v>0.7142361111111111</v>
      </c>
      <c r="H644" s="601">
        <v>0.7144097222222222</v>
      </c>
      <c r="I644" s="601"/>
      <c r="J644" s="601"/>
      <c r="K644" s="601">
        <v>0.7157986111111111</v>
      </c>
      <c r="L644" s="323"/>
      <c r="M644" s="326" t="s">
        <v>358</v>
      </c>
      <c r="N644" s="324" t="s">
        <v>187</v>
      </c>
      <c r="O644" s="419" t="s">
        <v>201</v>
      </c>
      <c r="P644" s="319" t="s">
        <v>212</v>
      </c>
      <c r="Q644" s="319"/>
      <c r="R644" s="326">
        <v>12.0</v>
      </c>
      <c r="S644" s="319">
        <v>2.0</v>
      </c>
      <c r="T644" s="324"/>
      <c r="U644" s="319">
        <v>4.0</v>
      </c>
      <c r="V644" s="319"/>
      <c r="W644" s="319"/>
      <c r="X644" s="319"/>
      <c r="Y644" s="319"/>
      <c r="Z644" s="319"/>
      <c r="AA644" s="319"/>
      <c r="AB644" s="319"/>
      <c r="AC644" s="327">
        <v>5.0</v>
      </c>
      <c r="AD644" s="319"/>
      <c r="AE644" s="319"/>
      <c r="AF644" s="319"/>
      <c r="AG644" s="319"/>
      <c r="AH644" s="319"/>
      <c r="AI644" s="319"/>
      <c r="AJ644" s="327"/>
      <c r="AK644" s="328"/>
      <c r="AL644" s="319"/>
      <c r="AM644" s="319"/>
      <c r="AN644" s="319"/>
      <c r="AO644" s="319"/>
      <c r="AP644" s="319"/>
      <c r="AQ644" s="319"/>
      <c r="AR644" s="319"/>
      <c r="AS644" s="327"/>
      <c r="AT644" s="461" t="s">
        <v>182</v>
      </c>
      <c r="AU644" s="324" t="s">
        <v>845</v>
      </c>
      <c r="AV644" s="330">
        <f>SQRT(($R644-Infrastructure!J$3)^2+($S644-Infrastructure!K$3)^2)</f>
        <v>29.57870856</v>
      </c>
      <c r="AW644" s="331">
        <f>SQRT(($R644-Infrastructure!J$4)^2+($S644-Infrastructure!K$4)^2)</f>
        <v>20.0232365</v>
      </c>
      <c r="AX644" s="331">
        <f>SQRT(($R644-Infrastructure!J$5)^2+($S644-Infrastructure!K$5)^2)</f>
        <v>12.68463638</v>
      </c>
      <c r="AY644" s="331">
        <f>SQRT(($R644-Infrastructure!J$6)^2+($S644-Infrastructure!K$6)^2)</f>
        <v>2.549509757</v>
      </c>
      <c r="AZ644" s="331">
        <f>SQRT(($R644-Infrastructure!J$7)^2+($S644-Infrastructure!K$7)^2)</f>
        <v>8.668333173</v>
      </c>
      <c r="BA644" s="331">
        <f>SQRT(($R644-Infrastructure!J$8)^2+($S644-Infrastructure!K$8)^2)</f>
        <v>18.17965896</v>
      </c>
      <c r="BB644" s="331">
        <f>SQRT(($R644-Infrastructure!J$9)^2+($S644-Infrastructure!K$9)^2)</f>
        <v>28.17108447</v>
      </c>
      <c r="BC644" s="331">
        <f>SQRT(($R644-Infrastructure!J$10)^2+($S644-Infrastructure!K$10)^2)</f>
        <v>30.87069808</v>
      </c>
      <c r="BD644" s="318"/>
      <c r="BE644" s="332"/>
      <c r="BF644" s="330">
        <f t="shared" si="14"/>
        <v>2.549509757</v>
      </c>
      <c r="BG644" s="333">
        <f t="shared" si="15"/>
        <v>30.87069808</v>
      </c>
      <c r="BH644" s="613"/>
      <c r="BI644" s="316"/>
      <c r="BJ644" s="318"/>
      <c r="BK644" s="318"/>
      <c r="BL644" s="319" t="s">
        <v>846</v>
      </c>
      <c r="BM644" s="319" t="s">
        <v>846</v>
      </c>
      <c r="BN644" s="318"/>
      <c r="BO644" s="318"/>
      <c r="BP644" s="318"/>
      <c r="BQ644" s="338"/>
      <c r="BR644" s="420"/>
      <c r="BS644" s="330">
        <f t="shared" si="23"/>
        <v>2.549509757</v>
      </c>
      <c r="BT644" s="331">
        <f t="shared" si="24"/>
        <v>8.668333173</v>
      </c>
      <c r="BU644" s="331"/>
      <c r="BV644" s="333"/>
      <c r="BW644" s="614">
        <v>13.75</v>
      </c>
      <c r="BX644" s="615">
        <v>3.38</v>
      </c>
      <c r="BY644" s="331">
        <f t="shared" si="36"/>
        <v>2.228654302</v>
      </c>
      <c r="BZ644" s="340"/>
      <c r="CA644" s="316"/>
      <c r="CB644" s="318"/>
      <c r="CC644" s="318"/>
      <c r="CD644" s="318"/>
      <c r="CE644" s="318"/>
      <c r="CF644" s="318"/>
      <c r="CG644" s="318"/>
      <c r="CH644" s="318"/>
      <c r="CI644" s="338"/>
      <c r="CJ644" s="341"/>
      <c r="CK644" s="342">
        <f t="shared" si="18"/>
        <v>0</v>
      </c>
      <c r="CL644" s="333">
        <f t="shared" si="19"/>
        <v>0</v>
      </c>
      <c r="CM644" s="616"/>
      <c r="CN644" s="617"/>
      <c r="CO644" s="617"/>
      <c r="CP644" s="617"/>
    </row>
    <row r="645">
      <c r="B645" s="462"/>
      <c r="C645" s="417">
        <v>44181.0</v>
      </c>
      <c r="D645" s="318"/>
      <c r="E645" s="319">
        <v>48.0</v>
      </c>
      <c r="F645" s="324"/>
      <c r="G645" s="600">
        <v>0.7267939814814816</v>
      </c>
      <c r="H645" s="601">
        <v>0.7274305555555555</v>
      </c>
      <c r="I645" s="601"/>
      <c r="J645" s="601"/>
      <c r="K645" s="601">
        <v>0.7288194444444445</v>
      </c>
      <c r="L645" s="323"/>
      <c r="M645" s="326" t="s">
        <v>358</v>
      </c>
      <c r="N645" s="324" t="s">
        <v>187</v>
      </c>
      <c r="O645" s="419" t="s">
        <v>203</v>
      </c>
      <c r="P645" s="319" t="s">
        <v>211</v>
      </c>
      <c r="Q645" s="319"/>
      <c r="R645" s="326">
        <v>14.8</v>
      </c>
      <c r="S645" s="319">
        <v>2.4</v>
      </c>
      <c r="T645" s="324"/>
      <c r="U645" s="319">
        <v>6.0</v>
      </c>
      <c r="V645" s="319"/>
      <c r="W645" s="319"/>
      <c r="X645" s="319"/>
      <c r="Y645" s="319"/>
      <c r="Z645" s="319"/>
      <c r="AA645" s="319"/>
      <c r="AB645" s="319"/>
      <c r="AC645" s="327">
        <v>6.0</v>
      </c>
      <c r="AD645" s="319"/>
      <c r="AE645" s="319"/>
      <c r="AF645" s="319"/>
      <c r="AG645" s="319"/>
      <c r="AH645" s="319"/>
      <c r="AI645" s="319"/>
      <c r="AJ645" s="327"/>
      <c r="AK645" s="328"/>
      <c r="AL645" s="319"/>
      <c r="AM645" s="319"/>
      <c r="AN645" s="319"/>
      <c r="AO645" s="319"/>
      <c r="AP645" s="319"/>
      <c r="AQ645" s="319"/>
      <c r="AR645" s="319"/>
      <c r="AS645" s="327"/>
      <c r="AT645" s="461" t="s">
        <v>182</v>
      </c>
      <c r="AU645" s="324" t="s">
        <v>845</v>
      </c>
      <c r="AV645" s="330">
        <f>SQRT(($R645-Infrastructure!J$3)^2+($S645-Infrastructure!K$3)^2)</f>
        <v>30.50016393</v>
      </c>
      <c r="AW645" s="331">
        <f>SQRT(($R645-Infrastructure!J$4)^2+($S645-Infrastructure!K$4)^2)</f>
        <v>21.56780007</v>
      </c>
      <c r="AX645" s="331">
        <f>SQRT(($R645-Infrastructure!J$5)^2+($S645-Infrastructure!K$5)^2)</f>
        <v>15.33949152</v>
      </c>
      <c r="AY645" s="331">
        <f>SQRT(($R645-Infrastructure!J$6)^2+($S645-Infrastructure!K$6)^2)</f>
        <v>5.14781507</v>
      </c>
      <c r="AZ645" s="331">
        <f>SQRT(($R645-Infrastructure!J$7)^2+($S645-Infrastructure!K$7)^2)</f>
        <v>6.074537019</v>
      </c>
      <c r="BA645" s="331">
        <f>SQRT(($R645-Infrastructure!J$8)^2+($S645-Infrastructure!K$8)^2)</f>
        <v>15.44344521</v>
      </c>
      <c r="BB645" s="331">
        <f>SQRT(($R645-Infrastructure!J$9)^2+($S645-Infrastructure!K$9)^2)</f>
        <v>25.34423011</v>
      </c>
      <c r="BC645" s="331">
        <f>SQRT(($R645-Infrastructure!J$10)^2+($S645-Infrastructure!K$10)^2)</f>
        <v>28.17445652</v>
      </c>
      <c r="BD645" s="318"/>
      <c r="BE645" s="332"/>
      <c r="BF645" s="330">
        <f t="shared" si="14"/>
        <v>5.14781507</v>
      </c>
      <c r="BG645" s="333">
        <f t="shared" si="15"/>
        <v>30.50016393</v>
      </c>
      <c r="BH645" s="613"/>
      <c r="BI645" s="316"/>
      <c r="BJ645" s="318"/>
      <c r="BK645" s="318"/>
      <c r="BL645" s="319" t="s">
        <v>846</v>
      </c>
      <c r="BM645" s="319" t="s">
        <v>846</v>
      </c>
      <c r="BN645" s="318"/>
      <c r="BO645" s="318"/>
      <c r="BP645" s="318"/>
      <c r="BQ645" s="338"/>
      <c r="BR645" s="420"/>
      <c r="BS645" s="330">
        <f t="shared" si="23"/>
        <v>5.14781507</v>
      </c>
      <c r="BT645" s="331">
        <f t="shared" si="24"/>
        <v>6.074537019</v>
      </c>
      <c r="BU645" s="331"/>
      <c r="BV645" s="333"/>
      <c r="BW645" s="614">
        <v>17.0</v>
      </c>
      <c r="BX645" s="615">
        <v>0.34</v>
      </c>
      <c r="BY645" s="331">
        <f t="shared" si="36"/>
        <v>3.013901126</v>
      </c>
      <c r="BZ645" s="340"/>
      <c r="CA645" s="316"/>
      <c r="CB645" s="318"/>
      <c r="CC645" s="318"/>
      <c r="CD645" s="318"/>
      <c r="CE645" s="318"/>
      <c r="CF645" s="318"/>
      <c r="CG645" s="318"/>
      <c r="CH645" s="318"/>
      <c r="CI645" s="338"/>
      <c r="CJ645" s="341"/>
      <c r="CK645" s="342">
        <f t="shared" si="18"/>
        <v>0</v>
      </c>
      <c r="CL645" s="333">
        <f t="shared" si="19"/>
        <v>0</v>
      </c>
      <c r="CM645" s="616"/>
      <c r="CN645" s="617"/>
      <c r="CO645" s="617"/>
      <c r="CP645" s="617"/>
    </row>
    <row r="646">
      <c r="B646" s="462"/>
      <c r="C646" s="417">
        <v>44181.0</v>
      </c>
      <c r="D646" s="318"/>
      <c r="E646" s="319">
        <v>49.0</v>
      </c>
      <c r="F646" s="324"/>
      <c r="G646" s="600">
        <v>0.7295138888888889</v>
      </c>
      <c r="H646" s="601">
        <v>0.7300347222222222</v>
      </c>
      <c r="I646" s="601"/>
      <c r="J646" s="601"/>
      <c r="K646" s="601">
        <v>0.7314236111111111</v>
      </c>
      <c r="L646" s="323"/>
      <c r="M646" s="326" t="s">
        <v>358</v>
      </c>
      <c r="N646" s="324" t="s">
        <v>187</v>
      </c>
      <c r="O646" s="419" t="s">
        <v>199</v>
      </c>
      <c r="P646" s="319" t="s">
        <v>220</v>
      </c>
      <c r="Q646" s="319"/>
      <c r="R646" s="326">
        <v>16.2</v>
      </c>
      <c r="S646" s="319">
        <v>9.3</v>
      </c>
      <c r="T646" s="324"/>
      <c r="U646" s="319">
        <v>3.0</v>
      </c>
      <c r="V646" s="319"/>
      <c r="W646" s="319"/>
      <c r="X646" s="319"/>
      <c r="Y646" s="319"/>
      <c r="Z646" s="319"/>
      <c r="AA646" s="319"/>
      <c r="AB646" s="319"/>
      <c r="AC646" s="327">
        <v>6.0</v>
      </c>
      <c r="AD646" s="319"/>
      <c r="AE646" s="319"/>
      <c r="AF646" s="319"/>
      <c r="AG646" s="319"/>
      <c r="AH646" s="319"/>
      <c r="AI646" s="319"/>
      <c r="AJ646" s="327"/>
      <c r="AK646" s="328"/>
      <c r="AL646" s="319"/>
      <c r="AM646" s="319"/>
      <c r="AN646" s="319"/>
      <c r="AO646" s="319"/>
      <c r="AP646" s="319"/>
      <c r="AQ646" s="319"/>
      <c r="AR646" s="319"/>
      <c r="AS646" s="327"/>
      <c r="AT646" s="461" t="s">
        <v>182</v>
      </c>
      <c r="AU646" s="324" t="s">
        <v>845</v>
      </c>
      <c r="AV646" s="330">
        <f>SQRT(($R646-Infrastructure!J$3)^2+($S646-Infrastructure!K$3)^2)</f>
        <v>25.6204996</v>
      </c>
      <c r="AW646" s="331">
        <f>SQRT(($R646-Infrastructure!J$4)^2+($S646-Infrastructure!K$4)^2)</f>
        <v>18.56071119</v>
      </c>
      <c r="AX646" s="331">
        <f>SQRT(($R646-Infrastructure!J$5)^2+($S646-Infrastructure!K$5)^2)</f>
        <v>17.02615635</v>
      </c>
      <c r="AY646" s="331">
        <f>SQRT(($R646-Infrastructure!J$6)^2+($S646-Infrastructure!K$6)^2)</f>
        <v>10.87244223</v>
      </c>
      <c r="AZ646" s="331">
        <f>SQRT(($R646-Infrastructure!J$7)^2+($S646-Infrastructure!K$7)^2)</f>
        <v>9.974467404</v>
      </c>
      <c r="BA646" s="331">
        <f>SQRT(($R646-Infrastructure!J$8)^2+($S646-Infrastructure!K$8)^2)</f>
        <v>16.55928742</v>
      </c>
      <c r="BB646" s="331">
        <f>SQRT(($R646-Infrastructure!J$9)^2+($S646-Infrastructure!K$9)^2)</f>
        <v>24.1677471</v>
      </c>
      <c r="BC646" s="331">
        <f>SQRT(($R646-Infrastructure!J$10)^2+($S646-Infrastructure!K$10)^2)</f>
        <v>24.4730464</v>
      </c>
      <c r="BD646" s="318"/>
      <c r="BE646" s="332"/>
      <c r="BF646" s="330">
        <f t="shared" si="14"/>
        <v>9.974467404</v>
      </c>
      <c r="BG646" s="333">
        <f t="shared" si="15"/>
        <v>25.6204996</v>
      </c>
      <c r="BH646" s="613"/>
      <c r="BI646" s="316"/>
      <c r="BJ646" s="318"/>
      <c r="BK646" s="318"/>
      <c r="BL646" s="318"/>
      <c r="BM646" s="318"/>
      <c r="BN646" s="318"/>
      <c r="BO646" s="318"/>
      <c r="BP646" s="318"/>
      <c r="BQ646" s="338"/>
      <c r="BR646" s="420"/>
      <c r="BS646" s="330">
        <f t="shared" si="23"/>
        <v>0</v>
      </c>
      <c r="BT646" s="331">
        <f t="shared" si="24"/>
        <v>0</v>
      </c>
      <c r="BU646" s="331"/>
      <c r="BV646" s="333"/>
      <c r="BW646" s="614"/>
      <c r="BX646" s="615"/>
      <c r="BY646" s="331" t="b">
        <f t="shared" si="36"/>
        <v>0</v>
      </c>
      <c r="BZ646" s="340"/>
      <c r="CA646" s="316"/>
      <c r="CB646" s="318"/>
      <c r="CC646" s="318"/>
      <c r="CD646" s="318"/>
      <c r="CE646" s="318"/>
      <c r="CF646" s="318"/>
      <c r="CG646" s="318"/>
      <c r="CH646" s="318"/>
      <c r="CI646" s="338"/>
      <c r="CJ646" s="341"/>
      <c r="CK646" s="342">
        <f t="shared" si="18"/>
        <v>0</v>
      </c>
      <c r="CL646" s="333">
        <f t="shared" si="19"/>
        <v>0</v>
      </c>
      <c r="CM646" s="616"/>
      <c r="CN646" s="617"/>
      <c r="CO646" s="617"/>
      <c r="CP646" s="617"/>
    </row>
    <row r="647">
      <c r="B647" s="462"/>
      <c r="C647" s="417">
        <v>44181.0</v>
      </c>
      <c r="D647" s="318"/>
      <c r="E647" s="319">
        <v>50.0</v>
      </c>
      <c r="F647" s="324"/>
      <c r="G647" s="600">
        <v>0.7366898148148149</v>
      </c>
      <c r="H647" s="601">
        <v>0.7369791666666666</v>
      </c>
      <c r="I647" s="601"/>
      <c r="J647" s="601"/>
      <c r="K647" s="601">
        <v>0.7383680555555556</v>
      </c>
      <c r="L647" s="323"/>
      <c r="M647" s="326" t="s">
        <v>358</v>
      </c>
      <c r="N647" s="324" t="s">
        <v>187</v>
      </c>
      <c r="O647" s="419" t="s">
        <v>204</v>
      </c>
      <c r="P647" s="319" t="s">
        <v>215</v>
      </c>
      <c r="Q647" s="319"/>
      <c r="R647" s="326">
        <v>18.3</v>
      </c>
      <c r="S647" s="319">
        <v>3.2</v>
      </c>
      <c r="T647" s="324"/>
      <c r="U647" s="319">
        <v>8.0</v>
      </c>
      <c r="V647" s="319"/>
      <c r="W647" s="319"/>
      <c r="X647" s="319"/>
      <c r="Y647" s="319"/>
      <c r="Z647" s="319"/>
      <c r="AA647" s="319"/>
      <c r="AB647" s="319"/>
      <c r="AC647" s="327">
        <v>8.0</v>
      </c>
      <c r="AD647" s="319"/>
      <c r="AE647" s="319"/>
      <c r="AF647" s="319"/>
      <c r="AG647" s="319"/>
      <c r="AH647" s="319"/>
      <c r="AI647" s="319"/>
      <c r="AJ647" s="327"/>
      <c r="AK647" s="328"/>
      <c r="AL647" s="319"/>
      <c r="AM647" s="319"/>
      <c r="AN647" s="319"/>
      <c r="AO647" s="319"/>
      <c r="AP647" s="319"/>
      <c r="AQ647" s="319"/>
      <c r="AR647" s="319"/>
      <c r="AS647" s="327"/>
      <c r="AT647" s="461" t="s">
        <v>182</v>
      </c>
      <c r="AU647" s="324" t="s">
        <v>845</v>
      </c>
      <c r="AV647" s="330">
        <f>SQRT(($R647-Infrastructure!J$3)^2+($S647-Infrastructure!K$3)^2)</f>
        <v>31.72459614</v>
      </c>
      <c r="AW647" s="331">
        <f>SQRT(($R647-Infrastructure!J$4)^2+($S647-Infrastructure!K$4)^2)</f>
        <v>23.64571843</v>
      </c>
      <c r="AX647" s="331">
        <f>SQRT(($R647-Infrastructure!J$5)^2+($S647-Infrastructure!K$5)^2)</f>
        <v>18.69679117</v>
      </c>
      <c r="AY647" s="331">
        <f>SQRT(($R647-Infrastructure!J$6)^2+($S647-Infrastructure!K$6)^2)</f>
        <v>8.697700846</v>
      </c>
      <c r="AZ647" s="331">
        <f>SQRT(($R647-Infrastructure!J$7)^2+($S647-Infrastructure!K$7)^2)</f>
        <v>3.640054945</v>
      </c>
      <c r="BA647" s="331">
        <f>SQRT(($R647-Infrastructure!J$8)^2+($S647-Infrastructure!K$8)^2)</f>
        <v>12.15113163</v>
      </c>
      <c r="BB647" s="331">
        <f>SQRT(($R647-Infrastructure!J$9)^2+($S647-Infrastructure!K$9)^2)</f>
        <v>21.78302091</v>
      </c>
      <c r="BC647" s="331">
        <f>SQRT(($R647-Infrastructure!J$10)^2+($S647-Infrastructure!K$10)^2)</f>
        <v>24.7008097</v>
      </c>
      <c r="BD647" s="318"/>
      <c r="BE647" s="332"/>
      <c r="BF647" s="330">
        <f t="shared" si="14"/>
        <v>3.640054945</v>
      </c>
      <c r="BG647" s="333">
        <f t="shared" si="15"/>
        <v>31.72459614</v>
      </c>
      <c r="BH647" s="613"/>
      <c r="BI647" s="316"/>
      <c r="BJ647" s="318"/>
      <c r="BK647" s="318"/>
      <c r="BL647" s="319" t="s">
        <v>846</v>
      </c>
      <c r="BM647" s="318"/>
      <c r="BN647" s="319" t="s">
        <v>846</v>
      </c>
      <c r="BO647" s="318"/>
      <c r="BP647" s="318"/>
      <c r="BQ647" s="338"/>
      <c r="BR647" s="420"/>
      <c r="BS647" s="330">
        <f t="shared" si="23"/>
        <v>8.697700846</v>
      </c>
      <c r="BT647" s="331">
        <f t="shared" si="24"/>
        <v>12.15113163</v>
      </c>
      <c r="BU647" s="331"/>
      <c r="BV647" s="333"/>
      <c r="BW647" s="614"/>
      <c r="BX647" s="615"/>
      <c r="BY647" s="331" t="b">
        <f t="shared" si="36"/>
        <v>0</v>
      </c>
      <c r="BZ647" s="340"/>
      <c r="CA647" s="316"/>
      <c r="CB647" s="318"/>
      <c r="CC647" s="318"/>
      <c r="CD647" s="318"/>
      <c r="CE647" s="318"/>
      <c r="CF647" s="318"/>
      <c r="CG647" s="318"/>
      <c r="CH647" s="318"/>
      <c r="CI647" s="338"/>
      <c r="CJ647" s="341"/>
      <c r="CK647" s="342">
        <f t="shared" si="18"/>
        <v>0</v>
      </c>
      <c r="CL647" s="333">
        <f t="shared" si="19"/>
        <v>0</v>
      </c>
      <c r="CM647" s="616"/>
      <c r="CN647" s="617"/>
      <c r="CO647" s="617"/>
      <c r="CP647" s="617"/>
    </row>
    <row r="648">
      <c r="B648" s="462"/>
      <c r="C648" s="417">
        <v>44181.0</v>
      </c>
      <c r="D648" s="318"/>
      <c r="E648" s="319">
        <v>51.0</v>
      </c>
      <c r="F648" s="324"/>
      <c r="G648" s="600">
        <v>0.7390625000000001</v>
      </c>
      <c r="H648" s="601">
        <v>0.7395833333333334</v>
      </c>
      <c r="I648" s="601"/>
      <c r="J648" s="601"/>
      <c r="K648" s="601">
        <v>0.7409722222222223</v>
      </c>
      <c r="L648" s="323"/>
      <c r="M648" s="326" t="s">
        <v>358</v>
      </c>
      <c r="N648" s="324" t="s">
        <v>187</v>
      </c>
      <c r="O648" s="419" t="s">
        <v>207</v>
      </c>
      <c r="P648" s="319" t="s">
        <v>223</v>
      </c>
      <c r="Q648" s="319"/>
      <c r="R648" s="326">
        <v>26.4</v>
      </c>
      <c r="S648" s="319">
        <v>14.4</v>
      </c>
      <c r="T648" s="324"/>
      <c r="U648" s="319">
        <v>5.0</v>
      </c>
      <c r="V648" s="319"/>
      <c r="W648" s="319"/>
      <c r="X648" s="319"/>
      <c r="Y648" s="319"/>
      <c r="Z648" s="319"/>
      <c r="AA648" s="319"/>
      <c r="AB648" s="319"/>
      <c r="AC648" s="327">
        <v>6.0</v>
      </c>
      <c r="AD648" s="319"/>
      <c r="AE648" s="319"/>
      <c r="AF648" s="319"/>
      <c r="AG648" s="319"/>
      <c r="AH648" s="319"/>
      <c r="AI648" s="319"/>
      <c r="AJ648" s="327"/>
      <c r="AK648" s="328"/>
      <c r="AL648" s="319"/>
      <c r="AM648" s="319"/>
      <c r="AN648" s="319"/>
      <c r="AO648" s="319"/>
      <c r="AP648" s="319"/>
      <c r="AQ648" s="319"/>
      <c r="AR648" s="319"/>
      <c r="AS648" s="327"/>
      <c r="AT648" s="461" t="s">
        <v>182</v>
      </c>
      <c r="AU648" s="324" t="s">
        <v>845</v>
      </c>
      <c r="AV648" s="330">
        <f>SQRT(($R648-Infrastructure!J$3)^2+($S648-Infrastructure!K$3)^2)</f>
        <v>30.38321905</v>
      </c>
      <c r="AW648" s="331">
        <f>SQRT(($R648-Infrastructure!J$4)^2+($S648-Infrastructure!K$4)^2)</f>
        <v>26.91560885</v>
      </c>
      <c r="AX648" s="331">
        <f>SQRT(($R648-Infrastructure!J$5)^2+($S648-Infrastructure!K$5)^2)</f>
        <v>28.27330897</v>
      </c>
      <c r="AY648" s="331">
        <f>SQRT(($R648-Infrastructure!J$6)^2+($S648-Infrastructure!K$6)^2)</f>
        <v>21.55226206</v>
      </c>
      <c r="AZ648" s="331">
        <f>SQRT(($R648-Infrastructure!J$7)^2+($S648-Infrastructure!K$7)^2)</f>
        <v>15.28463281</v>
      </c>
      <c r="BA648" s="331">
        <f>SQRT(($R648-Infrastructure!J$8)^2+($S648-Infrastructure!K$8)^2)</f>
        <v>14.57737974</v>
      </c>
      <c r="BB648" s="331">
        <f>SQRT(($R648-Infrastructure!J$9)^2+($S648-Infrastructure!K$9)^2)</f>
        <v>16.47573974</v>
      </c>
      <c r="BC648" s="331">
        <f>SQRT(($R648-Infrastructure!J$10)^2+($S648-Infrastructure!K$10)^2)</f>
        <v>13.61322886</v>
      </c>
      <c r="BD648" s="318"/>
      <c r="BE648" s="332"/>
      <c r="BF648" s="330">
        <f t="shared" si="14"/>
        <v>13.61322886</v>
      </c>
      <c r="BG648" s="333">
        <f t="shared" si="15"/>
        <v>30.38321905</v>
      </c>
      <c r="BH648" s="613"/>
      <c r="BI648" s="316"/>
      <c r="BJ648" s="318"/>
      <c r="BK648" s="318"/>
      <c r="BL648" s="318"/>
      <c r="BM648" s="318"/>
      <c r="BN648" s="319" t="s">
        <v>846</v>
      </c>
      <c r="BO648" s="318"/>
      <c r="BP648" s="318"/>
      <c r="BQ648" s="338"/>
      <c r="BR648" s="420"/>
      <c r="BS648" s="330">
        <f t="shared" si="23"/>
        <v>14.57737974</v>
      </c>
      <c r="BT648" s="331">
        <f t="shared" si="24"/>
        <v>14.57737974</v>
      </c>
      <c r="BU648" s="331"/>
      <c r="BV648" s="333"/>
      <c r="BW648" s="614">
        <v>24.39</v>
      </c>
      <c r="BX648" s="615">
        <v>4.97</v>
      </c>
      <c r="BY648" s="331">
        <f t="shared" si="36"/>
        <v>9.641835925</v>
      </c>
      <c r="BZ648" s="340"/>
      <c r="CA648" s="316"/>
      <c r="CB648" s="318"/>
      <c r="CC648" s="318"/>
      <c r="CD648" s="318"/>
      <c r="CE648" s="318"/>
      <c r="CF648" s="318"/>
      <c r="CG648" s="318"/>
      <c r="CH648" s="318"/>
      <c r="CI648" s="338"/>
      <c r="CJ648" s="341"/>
      <c r="CK648" s="342">
        <f t="shared" si="18"/>
        <v>0</v>
      </c>
      <c r="CL648" s="333">
        <f t="shared" si="19"/>
        <v>0</v>
      </c>
      <c r="CM648" s="616"/>
      <c r="CN648" s="617"/>
      <c r="CO648" s="617"/>
      <c r="CP648" s="617"/>
    </row>
    <row r="649">
      <c r="B649" s="462"/>
      <c r="C649" s="417">
        <v>44181.0</v>
      </c>
      <c r="D649" s="318"/>
      <c r="E649" s="319">
        <v>52.0</v>
      </c>
      <c r="F649" s="324"/>
      <c r="G649" s="600">
        <v>0.7430555555555555</v>
      </c>
      <c r="H649" s="601">
        <v>0.7434027777777777</v>
      </c>
      <c r="I649" s="601"/>
      <c r="J649" s="601"/>
      <c r="K649" s="601">
        <v>0.7447916666666666</v>
      </c>
      <c r="L649" s="323"/>
      <c r="M649" s="326" t="s">
        <v>358</v>
      </c>
      <c r="N649" s="324" t="s">
        <v>187</v>
      </c>
      <c r="O649" s="419" t="s">
        <v>198</v>
      </c>
      <c r="P649" s="319" t="s">
        <v>223</v>
      </c>
      <c r="Q649" s="319"/>
      <c r="R649" s="326">
        <v>10.0</v>
      </c>
      <c r="S649" s="319">
        <v>11.7</v>
      </c>
      <c r="T649" s="324"/>
      <c r="U649" s="319">
        <v>4.0</v>
      </c>
      <c r="V649" s="319"/>
      <c r="W649" s="319"/>
      <c r="X649" s="319"/>
      <c r="Y649" s="319"/>
      <c r="Z649" s="319"/>
      <c r="AA649" s="319"/>
      <c r="AB649" s="319"/>
      <c r="AC649" s="327">
        <v>4.0</v>
      </c>
      <c r="AD649" s="319"/>
      <c r="AE649" s="319"/>
      <c r="AF649" s="319"/>
      <c r="AG649" s="319"/>
      <c r="AH649" s="319"/>
      <c r="AI649" s="319"/>
      <c r="AJ649" s="327"/>
      <c r="AK649" s="328"/>
      <c r="AL649" s="319"/>
      <c r="AM649" s="319"/>
      <c r="AN649" s="319"/>
      <c r="AO649" s="319"/>
      <c r="AP649" s="319"/>
      <c r="AQ649" s="319"/>
      <c r="AR649" s="319"/>
      <c r="AS649" s="327"/>
      <c r="AT649" s="461" t="s">
        <v>182</v>
      </c>
      <c r="AU649" s="324" t="s">
        <v>845</v>
      </c>
      <c r="AV649" s="330">
        <f>SQRT(($R649-Infrastructure!J$3)^2+($S649-Infrastructure!K$3)^2)</f>
        <v>20.04819194</v>
      </c>
      <c r="AW649" s="331">
        <f>SQRT(($R649-Infrastructure!J$4)^2+($S649-Infrastructure!K$4)^2)</f>
        <v>11.9707978</v>
      </c>
      <c r="AX649" s="331">
        <f>SQRT(($R649-Infrastructure!J$5)^2+($S649-Infrastructure!K$5)^2)</f>
        <v>12.23315168</v>
      </c>
      <c r="AY649" s="331">
        <f>SQRT(($R649-Infrastructure!J$6)^2+($S649-Infrastructure!K$6)^2)</f>
        <v>11.40043859</v>
      </c>
      <c r="AZ649" s="331">
        <f>SQRT(($R649-Infrastructure!J$7)^2+($S649-Infrastructure!K$7)^2)</f>
        <v>15.49870962</v>
      </c>
      <c r="BA649" s="331">
        <f>SQRT(($R649-Infrastructure!J$8)^2+($S649-Infrastructure!K$8)^2)</f>
        <v>23.10779089</v>
      </c>
      <c r="BB649" s="331">
        <f>SQRT(($R649-Infrastructure!J$9)^2+($S649-Infrastructure!K$9)^2)</f>
        <v>30.71742177</v>
      </c>
      <c r="BC649" s="331">
        <f>SQRT(($R649-Infrastructure!J$10)^2+($S649-Infrastructure!K$10)^2)</f>
        <v>30.18095426</v>
      </c>
      <c r="BD649" s="318"/>
      <c r="BE649" s="332"/>
      <c r="BF649" s="330">
        <f t="shared" si="14"/>
        <v>11.40043859</v>
      </c>
      <c r="BG649" s="333">
        <f t="shared" si="15"/>
        <v>30.71742177</v>
      </c>
      <c r="BH649" s="613"/>
      <c r="BI649" s="316"/>
      <c r="BJ649" s="319" t="s">
        <v>846</v>
      </c>
      <c r="BK649" s="318"/>
      <c r="BL649" s="318"/>
      <c r="BM649" s="318"/>
      <c r="BN649" s="318"/>
      <c r="BO649" s="318"/>
      <c r="BP649" s="318"/>
      <c r="BQ649" s="338"/>
      <c r="BR649" s="420"/>
      <c r="BS649" s="330">
        <f t="shared" si="23"/>
        <v>11.9707978</v>
      </c>
      <c r="BT649" s="331">
        <f t="shared" si="24"/>
        <v>11.9707978</v>
      </c>
      <c r="BU649" s="331"/>
      <c r="BV649" s="333"/>
      <c r="BW649" s="614"/>
      <c r="BX649" s="615"/>
      <c r="BY649" s="331" t="b">
        <f t="shared" si="36"/>
        <v>0</v>
      </c>
      <c r="BZ649" s="340"/>
      <c r="CA649" s="316"/>
      <c r="CB649" s="318"/>
      <c r="CC649" s="318"/>
      <c r="CD649" s="318"/>
      <c r="CE649" s="318"/>
      <c r="CF649" s="318"/>
      <c r="CG649" s="318"/>
      <c r="CH649" s="318"/>
      <c r="CI649" s="338"/>
      <c r="CJ649" s="341"/>
      <c r="CK649" s="342">
        <f t="shared" si="18"/>
        <v>0</v>
      </c>
      <c r="CL649" s="333">
        <f t="shared" si="19"/>
        <v>0</v>
      </c>
      <c r="CM649" s="616"/>
      <c r="CN649" s="617"/>
      <c r="CO649" s="617"/>
      <c r="CP649" s="617"/>
    </row>
    <row r="650">
      <c r="B650" s="462"/>
      <c r="C650" s="417">
        <v>44181.0</v>
      </c>
      <c r="D650" s="318"/>
      <c r="E650" s="319">
        <v>53.0</v>
      </c>
      <c r="F650" s="324"/>
      <c r="G650" s="600">
        <v>0.7473958333333334</v>
      </c>
      <c r="H650" s="601">
        <v>0.7477430555555555</v>
      </c>
      <c r="I650" s="601"/>
      <c r="J650" s="601"/>
      <c r="K650" s="601">
        <v>0.7519097222222223</v>
      </c>
      <c r="L650" s="323"/>
      <c r="M650" s="326" t="s">
        <v>358</v>
      </c>
      <c r="N650" s="324" t="s">
        <v>188</v>
      </c>
      <c r="O650" s="419" t="s">
        <v>378</v>
      </c>
      <c r="P650" s="319" t="s">
        <v>225</v>
      </c>
      <c r="Q650" s="319"/>
      <c r="R650" s="326">
        <v>22.4</v>
      </c>
      <c r="S650" s="319">
        <v>39.6</v>
      </c>
      <c r="T650" s="324"/>
      <c r="U650" s="319">
        <v>7.5</v>
      </c>
      <c r="V650" s="319"/>
      <c r="W650" s="319"/>
      <c r="X650" s="319"/>
      <c r="Y650" s="319"/>
      <c r="Z650" s="319"/>
      <c r="AA650" s="319"/>
      <c r="AB650" s="319"/>
      <c r="AC650" s="327">
        <v>22.1</v>
      </c>
      <c r="AD650" s="319"/>
      <c r="AE650" s="319"/>
      <c r="AF650" s="319"/>
      <c r="AG650" s="319"/>
      <c r="AH650" s="319"/>
      <c r="AI650" s="319"/>
      <c r="AJ650" s="327"/>
      <c r="AK650" s="328"/>
      <c r="AL650" s="319"/>
      <c r="AM650" s="319"/>
      <c r="AN650" s="319"/>
      <c r="AO650" s="319"/>
      <c r="AP650" s="319"/>
      <c r="AQ650" s="319"/>
      <c r="AR650" s="319"/>
      <c r="AS650" s="327"/>
      <c r="AT650" s="461" t="s">
        <v>182</v>
      </c>
      <c r="AU650" s="324" t="s">
        <v>845</v>
      </c>
      <c r="AV650" s="330">
        <f>SQRT(($R650-Infrastructure!J$3)^2+($S650-Infrastructure!K$3)^2)</f>
        <v>25.09541791</v>
      </c>
      <c r="AW650" s="331">
        <f>SQRT(($R650-Infrastructure!J$4)^2+($S650-Infrastructure!K$4)^2)</f>
        <v>31.47268657</v>
      </c>
      <c r="AX650" s="331">
        <f>SQRT(($R650-Infrastructure!J$5)^2+($S650-Infrastructure!K$5)^2)</f>
        <v>41.29818398</v>
      </c>
      <c r="AY650" s="331">
        <f>SQRT(($R650-Infrastructure!J$6)^2+($S650-Infrastructure!K$6)^2)</f>
        <v>41.17984944</v>
      </c>
      <c r="AZ650" s="331">
        <f>SQRT(($R650-Infrastructure!J$7)^2+($S650-Infrastructure!K$7)^2)</f>
        <v>39.34590195</v>
      </c>
      <c r="BA650" s="331">
        <f>SQRT(($R650-Infrastructure!J$8)^2+($S650-Infrastructure!K$8)^2)</f>
        <v>40.04722213</v>
      </c>
      <c r="BB650" s="331">
        <f>SQRT(($R650-Infrastructure!J$9)^2+($S650-Infrastructure!K$9)^2)</f>
        <v>38.72996256</v>
      </c>
      <c r="BC650" s="331">
        <f>SQRT(($R650-Infrastructure!J$10)^2+($S650-Infrastructure!K$10)^2)</f>
        <v>30.24764454</v>
      </c>
      <c r="BD650" s="318"/>
      <c r="BE650" s="332"/>
      <c r="BF650" s="330">
        <f t="shared" si="14"/>
        <v>25.09541791</v>
      </c>
      <c r="BG650" s="333">
        <f t="shared" si="15"/>
        <v>41.29818398</v>
      </c>
      <c r="BH650" s="613"/>
      <c r="BI650" s="316"/>
      <c r="BJ650" s="318"/>
      <c r="BK650" s="318"/>
      <c r="BL650" s="318"/>
      <c r="BM650" s="318"/>
      <c r="BN650" s="318"/>
      <c r="BO650" s="318"/>
      <c r="BP650" s="318"/>
      <c r="BQ650" s="338"/>
      <c r="BR650" s="420"/>
      <c r="BS650" s="330">
        <f t="shared" si="23"/>
        <v>0</v>
      </c>
      <c r="BT650" s="331">
        <f t="shared" si="24"/>
        <v>0</v>
      </c>
      <c r="BU650" s="331"/>
      <c r="BV650" s="333"/>
      <c r="BW650" s="614"/>
      <c r="BX650" s="615"/>
      <c r="BY650" s="331" t="b">
        <f t="shared" si="36"/>
        <v>0</v>
      </c>
      <c r="BZ650" s="340"/>
      <c r="CA650" s="316"/>
      <c r="CB650" s="318"/>
      <c r="CC650" s="318"/>
      <c r="CD650" s="318"/>
      <c r="CE650" s="318"/>
      <c r="CF650" s="318"/>
      <c r="CG650" s="318"/>
      <c r="CH650" s="318"/>
      <c r="CI650" s="338"/>
      <c r="CJ650" s="341"/>
      <c r="CK650" s="342">
        <f t="shared" si="18"/>
        <v>0</v>
      </c>
      <c r="CL650" s="333">
        <f t="shared" si="19"/>
        <v>0</v>
      </c>
      <c r="CM650" s="702" t="s">
        <v>1233</v>
      </c>
      <c r="CN650" s="595"/>
      <c r="CO650" s="595"/>
      <c r="CP650" s="595"/>
    </row>
    <row r="651">
      <c r="A651" s="745" t="s">
        <v>39</v>
      </c>
      <c r="B651" s="746" t="s">
        <v>1234</v>
      </c>
      <c r="C651" s="747">
        <v>44201.0</v>
      </c>
      <c r="D651" s="748"/>
      <c r="E651" s="749">
        <v>1.0</v>
      </c>
      <c r="F651" s="750" t="s">
        <v>1235</v>
      </c>
      <c r="G651" s="751">
        <v>0.5767361111111111</v>
      </c>
      <c r="H651" s="752">
        <v>0.578125</v>
      </c>
      <c r="I651" s="752"/>
      <c r="J651" s="752"/>
      <c r="K651" s="752">
        <v>0.5829861111111111</v>
      </c>
      <c r="L651" s="752">
        <v>0.004861111111111111</v>
      </c>
      <c r="M651" s="753" t="s">
        <v>166</v>
      </c>
      <c r="N651" s="750" t="s">
        <v>187</v>
      </c>
      <c r="O651" s="754" t="s">
        <v>205</v>
      </c>
      <c r="P651" s="749" t="s">
        <v>213</v>
      </c>
      <c r="Q651" s="749" t="s">
        <v>851</v>
      </c>
      <c r="R651" s="753">
        <v>21.1</v>
      </c>
      <c r="S651" s="749">
        <v>4.1</v>
      </c>
      <c r="T651" s="750">
        <v>2.1</v>
      </c>
      <c r="U651" s="749" t="s">
        <v>1236</v>
      </c>
      <c r="V651" s="749"/>
      <c r="W651" s="749"/>
      <c r="X651" s="749"/>
      <c r="Y651" s="749"/>
      <c r="Z651" s="749" t="s">
        <v>370</v>
      </c>
      <c r="AA651" s="749"/>
      <c r="AB651" s="749" t="s">
        <v>392</v>
      </c>
      <c r="AC651" s="755">
        <v>10.0</v>
      </c>
      <c r="AD651" s="749"/>
      <c r="AE651" s="749"/>
      <c r="AF651" s="749"/>
      <c r="AG651" s="749"/>
      <c r="AH651" s="749"/>
      <c r="AI651" s="749"/>
      <c r="AJ651" s="755"/>
      <c r="AK651" s="756"/>
      <c r="AL651" s="749"/>
      <c r="AM651" s="749"/>
      <c r="AN651" s="749"/>
      <c r="AO651" s="749"/>
      <c r="AP651" s="749"/>
      <c r="AQ651" s="749"/>
      <c r="AR651" s="749"/>
      <c r="AS651" s="755"/>
      <c r="AT651" s="757" t="s">
        <v>182</v>
      </c>
      <c r="AU651" s="750" t="s">
        <v>845</v>
      </c>
      <c r="AV651" s="758">
        <f>SQRT(($R651-Infrastructure!J$3)^2+($S651-Infrastructure!K$3)^2)</f>
        <v>32.75667871</v>
      </c>
      <c r="AW651" s="759">
        <f>SQRT(($R651-Infrastructure!J$4)^2+($S651-Infrastructure!K$4)^2)</f>
        <v>25.40964384</v>
      </c>
      <c r="AX651" s="759">
        <f>SQRT(($R651-Infrastructure!J$5)^2+($S651-Infrastructure!K$5)^2)</f>
        <v>21.42335175</v>
      </c>
      <c r="AY651" s="759">
        <f>SQRT(($R651-Infrastructure!J$6)^2+($S651-Infrastructure!K$6)^2)</f>
        <v>11.63786922</v>
      </c>
      <c r="AZ651" s="759">
        <f>SQRT(($R651-Infrastructure!J$7)^2+($S651-Infrastructure!K$7)^2)</f>
        <v>3.847076812</v>
      </c>
      <c r="BA651" s="759">
        <f>SQRT(($R651-Infrastructure!J$8)^2+($S651-Infrastructure!K$8)^2)</f>
        <v>9.769339793</v>
      </c>
      <c r="BB651" s="759">
        <f>SQRT(($R651-Infrastructure!J$9)^2+($S651-Infrastructure!K$9)^2)</f>
        <v>18.92643654</v>
      </c>
      <c r="BC651" s="759">
        <f>SQRT(($R651-Infrastructure!J$10)^2+($S651-Infrastructure!K$10)^2)</f>
        <v>21.81788257</v>
      </c>
      <c r="BD651" s="748"/>
      <c r="BE651" s="760"/>
      <c r="BF651" s="330">
        <f t="shared" si="14"/>
        <v>3.847076812</v>
      </c>
      <c r="BG651" s="333">
        <f t="shared" si="15"/>
        <v>32.75667871</v>
      </c>
      <c r="BH651" s="761"/>
      <c r="BI651" s="762"/>
      <c r="BJ651" s="748"/>
      <c r="BK651" s="748"/>
      <c r="BL651" s="748"/>
      <c r="BM651" s="748"/>
      <c r="BN651" s="748"/>
      <c r="BO651" s="748"/>
      <c r="BP651" s="748"/>
      <c r="BQ651" s="763"/>
      <c r="BR651" s="764"/>
      <c r="BS651" s="330">
        <f t="shared" si="23"/>
        <v>0</v>
      </c>
      <c r="BT651" s="331">
        <f t="shared" si="24"/>
        <v>0</v>
      </c>
      <c r="BU651" s="759"/>
      <c r="BV651" s="765"/>
      <c r="BW651" s="758"/>
      <c r="BX651" s="759"/>
      <c r="BY651" s="759" t="b">
        <f t="shared" si="36"/>
        <v>0</v>
      </c>
      <c r="BZ651" s="766"/>
      <c r="CA651" s="762"/>
      <c r="CB651" s="748"/>
      <c r="CC651" s="748"/>
      <c r="CD651" s="748"/>
      <c r="CE651" s="748"/>
      <c r="CF651" s="748"/>
      <c r="CG651" s="748"/>
      <c r="CH651" s="748"/>
      <c r="CI651" s="763"/>
      <c r="CJ651" s="767"/>
      <c r="CK651" s="342">
        <f t="shared" si="18"/>
        <v>0</v>
      </c>
      <c r="CL651" s="333">
        <f t="shared" si="19"/>
        <v>0</v>
      </c>
      <c r="CM651" s="768"/>
      <c r="CN651" s="617"/>
      <c r="CO651" s="617"/>
      <c r="CP651" s="617"/>
    </row>
    <row r="652">
      <c r="B652" s="462" t="s">
        <v>1234</v>
      </c>
      <c r="C652" s="417">
        <v>44201.0</v>
      </c>
      <c r="D652" s="318"/>
      <c r="E652" s="319">
        <v>2.0</v>
      </c>
      <c r="F652" s="324" t="s">
        <v>1237</v>
      </c>
      <c r="G652" s="321">
        <v>0.5920138888888888</v>
      </c>
      <c r="H652" s="323">
        <v>0.5928819444444444</v>
      </c>
      <c r="I652" s="323"/>
      <c r="J652" s="323"/>
      <c r="K652" s="323">
        <v>0.5956597222222222</v>
      </c>
      <c r="L652" s="323">
        <v>0.002777777777777778</v>
      </c>
      <c r="M652" s="326" t="s">
        <v>166</v>
      </c>
      <c r="N652" s="324" t="s">
        <v>188</v>
      </c>
      <c r="O652" s="419" t="s">
        <v>196</v>
      </c>
      <c r="P652" s="319" t="s">
        <v>216</v>
      </c>
      <c r="Q652" s="319" t="s">
        <v>851</v>
      </c>
      <c r="R652" s="326">
        <v>21.4</v>
      </c>
      <c r="S652" s="319">
        <v>39.3</v>
      </c>
      <c r="T652" s="324">
        <v>1.8</v>
      </c>
      <c r="U652" s="319">
        <v>20.0</v>
      </c>
      <c r="V652" s="319"/>
      <c r="W652" s="319"/>
      <c r="X652" s="319"/>
      <c r="Y652" s="319"/>
      <c r="Z652" s="319" t="s">
        <v>387</v>
      </c>
      <c r="AA652" s="319"/>
      <c r="AB652" s="319" t="s">
        <v>413</v>
      </c>
      <c r="AC652" s="327">
        <v>26.6</v>
      </c>
      <c r="AD652" s="319"/>
      <c r="AE652" s="319"/>
      <c r="AF652" s="319"/>
      <c r="AG652" s="319"/>
      <c r="AH652" s="319"/>
      <c r="AI652" s="319"/>
      <c r="AJ652" s="327"/>
      <c r="AK652" s="328"/>
      <c r="AL652" s="319"/>
      <c r="AM652" s="319"/>
      <c r="AN652" s="319"/>
      <c r="AO652" s="319"/>
      <c r="AP652" s="319"/>
      <c r="AQ652" s="319"/>
      <c r="AR652" s="319"/>
      <c r="AS652" s="327"/>
      <c r="AT652" s="461" t="s">
        <v>183</v>
      </c>
      <c r="AU652" s="324" t="s">
        <v>845</v>
      </c>
      <c r="AV652" s="330">
        <f>SQRT(($R652-Infrastructure!J$3)^2+($S652-Infrastructure!K$3)^2)</f>
        <v>24.06345777</v>
      </c>
      <c r="AW652" s="331">
        <f>SQRT(($R652-Infrastructure!J$4)^2+($S652-Infrastructure!K$4)^2)</f>
        <v>30.54734031</v>
      </c>
      <c r="AX652" s="331">
        <f>SQRT(($R652-Infrastructure!J$5)^2+($S652-Infrastructure!K$5)^2)</f>
        <v>40.50345664</v>
      </c>
      <c r="AY652" s="331">
        <f>SQRT(($R652-Infrastructure!J$6)^2+($S652-Infrastructure!K$6)^2)</f>
        <v>40.60406384</v>
      </c>
      <c r="AZ652" s="331">
        <f>SQRT(($R652-Infrastructure!J$7)^2+($S652-Infrastructure!K$7)^2)</f>
        <v>39.01038323</v>
      </c>
      <c r="BA652" s="331">
        <f>SQRT(($R652-Infrastructure!J$8)^2+($S652-Infrastructure!K$8)^2)</f>
        <v>39.95860358</v>
      </c>
      <c r="BB652" s="331">
        <f>SQRT(($R652-Infrastructure!J$9)^2+($S652-Infrastructure!K$9)^2)</f>
        <v>38.93070767</v>
      </c>
      <c r="BC652" s="331">
        <f>SQRT(($R652-Infrastructure!J$10)^2+($S652-Infrastructure!K$10)^2)</f>
        <v>30.60147055</v>
      </c>
      <c r="BD652" s="318"/>
      <c r="BE652" s="332"/>
      <c r="BF652" s="330">
        <f t="shared" si="14"/>
        <v>24.06345777</v>
      </c>
      <c r="BG652" s="333">
        <f t="shared" si="15"/>
        <v>40.60406384</v>
      </c>
      <c r="BH652" s="334"/>
      <c r="BI652" s="316"/>
      <c r="BJ652" s="318"/>
      <c r="BK652" s="318"/>
      <c r="BL652" s="318"/>
      <c r="BM652" s="318"/>
      <c r="BN652" s="318"/>
      <c r="BO652" s="318"/>
      <c r="BP652" s="318"/>
      <c r="BQ652" s="338"/>
      <c r="BR652" s="420"/>
      <c r="BS652" s="330">
        <f t="shared" si="23"/>
        <v>0</v>
      </c>
      <c r="BT652" s="331">
        <f t="shared" si="24"/>
        <v>0</v>
      </c>
      <c r="BU652" s="331"/>
      <c r="BV652" s="333"/>
      <c r="BW652" s="330"/>
      <c r="BX652" s="331"/>
      <c r="BY652" s="331" t="b">
        <f t="shared" si="36"/>
        <v>0</v>
      </c>
      <c r="BZ652" s="340"/>
      <c r="CA652" s="316"/>
      <c r="CB652" s="318"/>
      <c r="CC652" s="318"/>
      <c r="CD652" s="318"/>
      <c r="CE652" s="318"/>
      <c r="CF652" s="318"/>
      <c r="CG652" s="318"/>
      <c r="CH652" s="318"/>
      <c r="CI652" s="338"/>
      <c r="CJ652" s="341"/>
      <c r="CK652" s="342">
        <f t="shared" si="18"/>
        <v>0</v>
      </c>
      <c r="CL652" s="333">
        <f t="shared" si="19"/>
        <v>0</v>
      </c>
      <c r="CM652" s="616"/>
      <c r="CN652" s="617"/>
      <c r="CO652" s="617"/>
      <c r="CP652" s="617"/>
    </row>
    <row r="653">
      <c r="B653" s="462" t="s">
        <v>1234</v>
      </c>
      <c r="C653" s="417">
        <v>44201.0</v>
      </c>
      <c r="D653" s="318"/>
      <c r="E653" s="319">
        <v>3.0</v>
      </c>
      <c r="F653" s="324" t="s">
        <v>1238</v>
      </c>
      <c r="G653" s="321">
        <v>0.6065972222222222</v>
      </c>
      <c r="H653" s="323">
        <v>0.6069444444444444</v>
      </c>
      <c r="I653" s="323"/>
      <c r="J653" s="323"/>
      <c r="K653" s="323">
        <v>0.6090277777777777</v>
      </c>
      <c r="L653" s="323">
        <v>0.0020833333333333333</v>
      </c>
      <c r="M653" s="326" t="s">
        <v>166</v>
      </c>
      <c r="N653" s="324" t="s">
        <v>188</v>
      </c>
      <c r="O653" s="419" t="s">
        <v>196</v>
      </c>
      <c r="P653" s="319" t="s">
        <v>216</v>
      </c>
      <c r="Q653" s="319" t="s">
        <v>851</v>
      </c>
      <c r="R653" s="326">
        <v>21.4</v>
      </c>
      <c r="S653" s="319">
        <v>39.3</v>
      </c>
      <c r="T653" s="324">
        <v>1.8</v>
      </c>
      <c r="U653" s="319">
        <v>20.0</v>
      </c>
      <c r="V653" s="319"/>
      <c r="W653" s="319"/>
      <c r="X653" s="319"/>
      <c r="Y653" s="319"/>
      <c r="Z653" s="319" t="s">
        <v>387</v>
      </c>
      <c r="AA653" s="319"/>
      <c r="AB653" s="319" t="s">
        <v>413</v>
      </c>
      <c r="AC653" s="327">
        <v>26.6</v>
      </c>
      <c r="AD653" s="319"/>
      <c r="AE653" s="319"/>
      <c r="AF653" s="319"/>
      <c r="AG653" s="319"/>
      <c r="AH653" s="319"/>
      <c r="AI653" s="319"/>
      <c r="AJ653" s="327"/>
      <c r="AK653" s="328"/>
      <c r="AL653" s="319"/>
      <c r="AM653" s="319"/>
      <c r="AN653" s="319"/>
      <c r="AO653" s="319"/>
      <c r="AP653" s="319"/>
      <c r="AQ653" s="319"/>
      <c r="AR653" s="319"/>
      <c r="AS653" s="327"/>
      <c r="AT653" s="461" t="s">
        <v>183</v>
      </c>
      <c r="AU653" s="324" t="s">
        <v>845</v>
      </c>
      <c r="AV653" s="330">
        <f>SQRT(($R653-Infrastructure!J$3)^2+($S653-Infrastructure!K$3)^2)</f>
        <v>24.06345777</v>
      </c>
      <c r="AW653" s="331">
        <f>SQRT(($R653-Infrastructure!J$4)^2+($S653-Infrastructure!K$4)^2)</f>
        <v>30.54734031</v>
      </c>
      <c r="AX653" s="331">
        <f>SQRT(($R653-Infrastructure!J$5)^2+($S653-Infrastructure!K$5)^2)</f>
        <v>40.50345664</v>
      </c>
      <c r="AY653" s="331">
        <f>SQRT(($R653-Infrastructure!J$6)^2+($S653-Infrastructure!K$6)^2)</f>
        <v>40.60406384</v>
      </c>
      <c r="AZ653" s="331">
        <f>SQRT(($R653-Infrastructure!J$7)^2+($S653-Infrastructure!K$7)^2)</f>
        <v>39.01038323</v>
      </c>
      <c r="BA653" s="331">
        <f>SQRT(($R653-Infrastructure!J$8)^2+($S653-Infrastructure!K$8)^2)</f>
        <v>39.95860358</v>
      </c>
      <c r="BB653" s="331">
        <f>SQRT(($R653-Infrastructure!J$9)^2+($S653-Infrastructure!K$9)^2)</f>
        <v>38.93070767</v>
      </c>
      <c r="BC653" s="331">
        <f>SQRT(($R653-Infrastructure!J$10)^2+($S653-Infrastructure!K$10)^2)</f>
        <v>30.60147055</v>
      </c>
      <c r="BD653" s="318"/>
      <c r="BE653" s="332"/>
      <c r="BF653" s="330">
        <f t="shared" si="14"/>
        <v>24.06345777</v>
      </c>
      <c r="BG653" s="333">
        <f t="shared" si="15"/>
        <v>40.60406384</v>
      </c>
      <c r="BH653" s="334"/>
      <c r="BI653" s="316"/>
      <c r="BJ653" s="318"/>
      <c r="BK653" s="318"/>
      <c r="BL653" s="318"/>
      <c r="BM653" s="318"/>
      <c r="BN653" s="318"/>
      <c r="BO653" s="318"/>
      <c r="BP653" s="318"/>
      <c r="BQ653" s="338"/>
      <c r="BR653" s="420"/>
      <c r="BS653" s="330">
        <f t="shared" si="23"/>
        <v>0</v>
      </c>
      <c r="BT653" s="331">
        <f t="shared" si="24"/>
        <v>0</v>
      </c>
      <c r="BU653" s="331"/>
      <c r="BV653" s="333"/>
      <c r="BW653" s="330"/>
      <c r="BX653" s="331"/>
      <c r="BY653" s="331" t="b">
        <f t="shared" si="36"/>
        <v>0</v>
      </c>
      <c r="BZ653" s="340"/>
      <c r="CA653" s="316"/>
      <c r="CB653" s="318"/>
      <c r="CC653" s="318"/>
      <c r="CD653" s="318"/>
      <c r="CE653" s="318"/>
      <c r="CF653" s="318"/>
      <c r="CG653" s="318"/>
      <c r="CH653" s="318"/>
      <c r="CI653" s="338"/>
      <c r="CJ653" s="341"/>
      <c r="CK653" s="342">
        <f t="shared" si="18"/>
        <v>0</v>
      </c>
      <c r="CL653" s="333">
        <f t="shared" si="19"/>
        <v>0</v>
      </c>
      <c r="CM653" s="616"/>
      <c r="CN653" s="617"/>
      <c r="CO653" s="617"/>
      <c r="CP653" s="617"/>
    </row>
    <row r="654">
      <c r="A654" s="634"/>
      <c r="B654" s="635" t="s">
        <v>1234</v>
      </c>
      <c r="C654" s="769">
        <v>44201.0</v>
      </c>
      <c r="D654" s="640"/>
      <c r="E654" s="663">
        <v>4.0</v>
      </c>
      <c r="F654" s="637" t="s">
        <v>1239</v>
      </c>
      <c r="G654" s="770">
        <v>0.6090277777777777</v>
      </c>
      <c r="H654" s="771">
        <v>0.609375</v>
      </c>
      <c r="I654" s="771"/>
      <c r="J654" s="771"/>
      <c r="K654" s="771">
        <v>0.6104166666666667</v>
      </c>
      <c r="L654" s="771">
        <v>0.0010416666666666667</v>
      </c>
      <c r="M654" s="772" t="s">
        <v>166</v>
      </c>
      <c r="N654" s="637" t="s">
        <v>188</v>
      </c>
      <c r="O654" s="731" t="s">
        <v>196</v>
      </c>
      <c r="P654" s="663" t="s">
        <v>216</v>
      </c>
      <c r="Q654" s="663" t="s">
        <v>851</v>
      </c>
      <c r="R654" s="772">
        <v>21.4</v>
      </c>
      <c r="S654" s="663">
        <v>39.3</v>
      </c>
      <c r="T654" s="637">
        <v>1.8</v>
      </c>
      <c r="U654" s="663">
        <v>25.0</v>
      </c>
      <c r="V654" s="663"/>
      <c r="W654" s="663"/>
      <c r="X654" s="663"/>
      <c r="Y654" s="663"/>
      <c r="Z654" s="663" t="s">
        <v>387</v>
      </c>
      <c r="AA654" s="663"/>
      <c r="AB654" s="663" t="s">
        <v>413</v>
      </c>
      <c r="AC654" s="773">
        <v>26.6</v>
      </c>
      <c r="AD654" s="319"/>
      <c r="AE654" s="319"/>
      <c r="AF654" s="319"/>
      <c r="AG654" s="319"/>
      <c r="AH654" s="319"/>
      <c r="AI654" s="319"/>
      <c r="AJ654" s="327"/>
      <c r="AK654" s="328"/>
      <c r="AL654" s="319"/>
      <c r="AM654" s="319"/>
      <c r="AN654" s="319"/>
      <c r="AO654" s="319"/>
      <c r="AP654" s="319"/>
      <c r="AQ654" s="319"/>
      <c r="AR654" s="319"/>
      <c r="AS654" s="327"/>
      <c r="AT654" s="461" t="s">
        <v>183</v>
      </c>
      <c r="AU654" s="324" t="s">
        <v>845</v>
      </c>
      <c r="AV654" s="330">
        <f>SQRT(($R654-Infrastructure!J$3)^2+($S654-Infrastructure!K$3)^2)</f>
        <v>24.06345777</v>
      </c>
      <c r="AW654" s="331">
        <f>SQRT(($R654-Infrastructure!J$4)^2+($S654-Infrastructure!K$4)^2)</f>
        <v>30.54734031</v>
      </c>
      <c r="AX654" s="331">
        <f>SQRT(($R654-Infrastructure!J$5)^2+($S654-Infrastructure!K$5)^2)</f>
        <v>40.50345664</v>
      </c>
      <c r="AY654" s="331">
        <f>SQRT(($R654-Infrastructure!J$6)^2+($S654-Infrastructure!K$6)^2)</f>
        <v>40.60406384</v>
      </c>
      <c r="AZ654" s="331">
        <f>SQRT(($R654-Infrastructure!J$7)^2+($S654-Infrastructure!K$7)^2)</f>
        <v>39.01038323</v>
      </c>
      <c r="BA654" s="331">
        <f>SQRT(($R654-Infrastructure!J$8)^2+($S654-Infrastructure!K$8)^2)</f>
        <v>39.95860358</v>
      </c>
      <c r="BB654" s="331">
        <f>SQRT(($R654-Infrastructure!J$9)^2+($S654-Infrastructure!K$9)^2)</f>
        <v>38.93070767</v>
      </c>
      <c r="BC654" s="331">
        <f>SQRT(($R654-Infrastructure!J$10)^2+($S654-Infrastructure!K$10)^2)</f>
        <v>30.60147055</v>
      </c>
      <c r="BD654" s="318"/>
      <c r="BE654" s="332"/>
      <c r="BF654" s="330">
        <f t="shared" si="14"/>
        <v>24.06345777</v>
      </c>
      <c r="BG654" s="333">
        <f t="shared" si="15"/>
        <v>40.60406384</v>
      </c>
      <c r="BH654" s="774"/>
      <c r="BI654" s="639"/>
      <c r="BJ654" s="640"/>
      <c r="BK654" s="640"/>
      <c r="BL654" s="640"/>
      <c r="BM654" s="640"/>
      <c r="BN654" s="640"/>
      <c r="BO654" s="640"/>
      <c r="BP654" s="640"/>
      <c r="BQ654" s="338"/>
      <c r="BR654" s="420"/>
      <c r="BS654" s="330">
        <f t="shared" si="23"/>
        <v>0</v>
      </c>
      <c r="BT654" s="331">
        <f t="shared" si="24"/>
        <v>0</v>
      </c>
      <c r="BU654" s="331"/>
      <c r="BV654" s="333"/>
      <c r="BW654" s="662"/>
      <c r="BX654" s="641"/>
      <c r="BY654" s="331" t="b">
        <f t="shared" si="36"/>
        <v>0</v>
      </c>
      <c r="BZ654" s="340"/>
      <c r="CA654" s="639"/>
      <c r="CB654" s="640"/>
      <c r="CC654" s="640"/>
      <c r="CD654" s="640"/>
      <c r="CE654" s="640"/>
      <c r="CF654" s="640"/>
      <c r="CG654" s="640"/>
      <c r="CH654" s="640"/>
      <c r="CI654" s="645"/>
      <c r="CJ654" s="646"/>
      <c r="CK654" s="342">
        <f t="shared" si="18"/>
        <v>0</v>
      </c>
      <c r="CL654" s="333">
        <f t="shared" si="19"/>
        <v>0</v>
      </c>
      <c r="CM654" s="647"/>
      <c r="CN654" s="617"/>
      <c r="CO654" s="617"/>
      <c r="CP654" s="617"/>
    </row>
    <row r="655">
      <c r="A655" s="664" t="s">
        <v>40</v>
      </c>
      <c r="B655" s="665" t="s">
        <v>1234</v>
      </c>
      <c r="C655" s="775">
        <v>44203.0</v>
      </c>
      <c r="D655" s="667"/>
      <c r="E655" s="676">
        <v>1.0</v>
      </c>
      <c r="F655" s="674" t="s">
        <v>1240</v>
      </c>
      <c r="G655" s="776">
        <v>0.6346643518518519</v>
      </c>
      <c r="H655" s="777">
        <v>0.6354166666666666</v>
      </c>
      <c r="I655" s="777"/>
      <c r="J655" s="777"/>
      <c r="K655" s="777">
        <v>0.6396990740740741</v>
      </c>
      <c r="L655" s="777">
        <v>0.0042824074074074075</v>
      </c>
      <c r="M655" s="778" t="s">
        <v>166</v>
      </c>
      <c r="N655" s="674" t="s">
        <v>187</v>
      </c>
      <c r="O655" s="675" t="s">
        <v>203</v>
      </c>
      <c r="P655" s="676" t="s">
        <v>227</v>
      </c>
      <c r="Q655" s="676" t="s">
        <v>842</v>
      </c>
      <c r="R655" s="778">
        <v>15.2</v>
      </c>
      <c r="S655" s="676">
        <v>3.4</v>
      </c>
      <c r="T655" s="674">
        <v>1.9</v>
      </c>
      <c r="U655" s="676">
        <v>2.0</v>
      </c>
      <c r="V655" s="676"/>
      <c r="W655" s="676"/>
      <c r="X655" s="676"/>
      <c r="Y655" s="676"/>
      <c r="Z655" s="676" t="s">
        <v>357</v>
      </c>
      <c r="AA655" s="676"/>
      <c r="AB655" s="676" t="s">
        <v>1241</v>
      </c>
      <c r="AC655" s="779">
        <v>4.0</v>
      </c>
      <c r="AD655" s="676"/>
      <c r="AE655" s="676"/>
      <c r="AF655" s="676"/>
      <c r="AG655" s="676"/>
      <c r="AH655" s="676"/>
      <c r="AI655" s="676"/>
      <c r="AJ655" s="779"/>
      <c r="AK655" s="780"/>
      <c r="AL655" s="676"/>
      <c r="AM655" s="676"/>
      <c r="AN655" s="676"/>
      <c r="AO655" s="676"/>
      <c r="AP655" s="676"/>
      <c r="AQ655" s="676"/>
      <c r="AR655" s="676"/>
      <c r="AS655" s="779"/>
      <c r="AT655" s="685" t="s">
        <v>182</v>
      </c>
      <c r="AU655" s="674" t="s">
        <v>845</v>
      </c>
      <c r="AV655" s="686">
        <f>SQRT(($R655-Infrastructure!J$3)^2+($S655-Infrastructure!K$3)^2)</f>
        <v>29.84124662</v>
      </c>
      <c r="AW655" s="687">
        <f>SQRT(($R655-Infrastructure!J$4)^2+($S655-Infrastructure!K$4)^2)</f>
        <v>21.1567956</v>
      </c>
      <c r="AX655" s="687">
        <f>SQRT(($R655-Infrastructure!J$5)^2+($S655-Infrastructure!K$5)^2)</f>
        <v>15.59294712</v>
      </c>
      <c r="AY655" s="687">
        <f>SQRT(($R655-Infrastructure!J$6)^2+($S655-Infrastructure!K$6)^2)</f>
        <v>5.968249325</v>
      </c>
      <c r="AZ655" s="687">
        <f>SQRT(($R655-Infrastructure!J$7)^2+($S655-Infrastructure!K$7)^2)</f>
        <v>6.140032573</v>
      </c>
      <c r="BA655" s="687">
        <f>SQRT(($R655-Infrastructure!J$8)^2+($S655-Infrastructure!K$8)^2)</f>
        <v>15.21906699</v>
      </c>
      <c r="BB655" s="687">
        <f>SQRT(($R655-Infrastructure!J$9)^2+($S655-Infrastructure!K$9)^2)</f>
        <v>24.85819784</v>
      </c>
      <c r="BC655" s="687">
        <f>SQRT(($R655-Infrastructure!J$10)^2+($S655-Infrastructure!K$10)^2)</f>
        <v>27.37882393</v>
      </c>
      <c r="BD655" s="667"/>
      <c r="BE655" s="688"/>
      <c r="BF655" s="330">
        <f t="shared" si="14"/>
        <v>5.968249325</v>
      </c>
      <c r="BG655" s="333">
        <f t="shared" si="15"/>
        <v>29.84124662</v>
      </c>
      <c r="BH655" s="781"/>
      <c r="BI655" s="690"/>
      <c r="BJ655" s="667"/>
      <c r="BK655" s="667"/>
      <c r="BL655" s="667"/>
      <c r="BM655" s="667"/>
      <c r="BN655" s="667"/>
      <c r="BO655" s="667"/>
      <c r="BP655" s="667"/>
      <c r="BQ655" s="691"/>
      <c r="BR655" s="692"/>
      <c r="BS655" s="330">
        <f t="shared" si="23"/>
        <v>0</v>
      </c>
      <c r="BT655" s="331">
        <f t="shared" si="24"/>
        <v>0</v>
      </c>
      <c r="BU655" s="687"/>
      <c r="BV655" s="693"/>
      <c r="BW655" s="686"/>
      <c r="BX655" s="687"/>
      <c r="BY655" s="687" t="b">
        <f t="shared" si="36"/>
        <v>0</v>
      </c>
      <c r="BZ655" s="696"/>
      <c r="CA655" s="690"/>
      <c r="CB655" s="667"/>
      <c r="CC655" s="667"/>
      <c r="CD655" s="667"/>
      <c r="CE655" s="667"/>
      <c r="CF655" s="667"/>
      <c r="CG655" s="667"/>
      <c r="CH655" s="667"/>
      <c r="CI655" s="691"/>
      <c r="CJ655" s="697"/>
      <c r="CK655" s="342">
        <f t="shared" si="18"/>
        <v>0</v>
      </c>
      <c r="CL655" s="333">
        <f t="shared" si="19"/>
        <v>0</v>
      </c>
      <c r="CM655" s="698"/>
      <c r="CN655" s="617"/>
      <c r="CO655" s="617"/>
      <c r="CP655" s="617"/>
    </row>
    <row r="656">
      <c r="A656" s="315" t="s">
        <v>41</v>
      </c>
      <c r="B656" s="462" t="s">
        <v>1242</v>
      </c>
      <c r="C656" s="417">
        <v>44215.0</v>
      </c>
      <c r="D656" s="318"/>
      <c r="E656" s="319">
        <v>1.0</v>
      </c>
      <c r="F656" s="324" t="s">
        <v>1243</v>
      </c>
      <c r="G656" s="321">
        <v>0.684375</v>
      </c>
      <c r="H656" s="323">
        <v>0.6847222222222222</v>
      </c>
      <c r="I656" s="323"/>
      <c r="J656" s="323"/>
      <c r="K656" s="323">
        <v>0.6855902777777778</v>
      </c>
      <c r="L656" s="323">
        <v>8.680555555555555E-4</v>
      </c>
      <c r="M656" s="326" t="s">
        <v>166</v>
      </c>
      <c r="N656" s="324" t="s">
        <v>188</v>
      </c>
      <c r="O656" s="419" t="s">
        <v>196</v>
      </c>
      <c r="P656" s="319" t="s">
        <v>216</v>
      </c>
      <c r="Q656" s="319" t="s">
        <v>851</v>
      </c>
      <c r="R656" s="326">
        <v>21.4</v>
      </c>
      <c r="S656" s="319">
        <v>39.3</v>
      </c>
      <c r="T656" s="324">
        <v>1.8</v>
      </c>
      <c r="U656" s="319">
        <v>20.0</v>
      </c>
      <c r="V656" s="319"/>
      <c r="W656" s="319"/>
      <c r="X656" s="319"/>
      <c r="Y656" s="319"/>
      <c r="Z656" s="319" t="s">
        <v>387</v>
      </c>
      <c r="AA656" s="319"/>
      <c r="AB656" s="319" t="s">
        <v>413</v>
      </c>
      <c r="AC656" s="327">
        <v>26.6</v>
      </c>
      <c r="AD656" s="319"/>
      <c r="AE656" s="319"/>
      <c r="AF656" s="319"/>
      <c r="AG656" s="319"/>
      <c r="AH656" s="319"/>
      <c r="AI656" s="319"/>
      <c r="AJ656" s="327"/>
      <c r="AK656" s="328"/>
      <c r="AL656" s="319"/>
      <c r="AM656" s="319"/>
      <c r="AN656" s="319"/>
      <c r="AO656" s="319"/>
      <c r="AP656" s="319"/>
      <c r="AQ656" s="319"/>
      <c r="AR656" s="319"/>
      <c r="AS656" s="327"/>
      <c r="AT656" s="461" t="s">
        <v>183</v>
      </c>
      <c r="AU656" s="324" t="s">
        <v>845</v>
      </c>
      <c r="AV656" s="330">
        <f>SQRT(($R656-Infrastructure!J$3)^2+($S656-Infrastructure!K$3)^2)</f>
        <v>24.06345777</v>
      </c>
      <c r="AW656" s="331">
        <f>SQRT(($R656-Infrastructure!J$4)^2+($S656-Infrastructure!K$4)^2)</f>
        <v>30.54734031</v>
      </c>
      <c r="AX656" s="331">
        <f>SQRT(($R656-Infrastructure!J$5)^2+($S656-Infrastructure!K$5)^2)</f>
        <v>40.50345664</v>
      </c>
      <c r="AY656" s="331">
        <f>SQRT(($R656-Infrastructure!J$6)^2+($S656-Infrastructure!K$6)^2)</f>
        <v>40.60406384</v>
      </c>
      <c r="AZ656" s="331">
        <f>SQRT(($R656-Infrastructure!J$7)^2+($S656-Infrastructure!K$7)^2)</f>
        <v>39.01038323</v>
      </c>
      <c r="BA656" s="331">
        <f>SQRT(($R656-Infrastructure!J$8)^2+($S656-Infrastructure!K$8)^2)</f>
        <v>39.95860358</v>
      </c>
      <c r="BB656" s="331">
        <f>SQRT(($R656-Infrastructure!J$9)^2+($S656-Infrastructure!K$9)^2)</f>
        <v>38.93070767</v>
      </c>
      <c r="BC656" s="331">
        <f>SQRT(($R656-Infrastructure!J$10)^2+($S656-Infrastructure!K$10)^2)</f>
        <v>30.60147055</v>
      </c>
      <c r="BD656" s="318"/>
      <c r="BE656" s="332"/>
      <c r="BF656" s="330">
        <f t="shared" si="14"/>
        <v>24.06345777</v>
      </c>
      <c r="BG656" s="333">
        <f t="shared" si="15"/>
        <v>40.60406384</v>
      </c>
      <c r="BH656" s="334"/>
      <c r="BI656" s="316"/>
      <c r="BJ656" s="318"/>
      <c r="BK656" s="318"/>
      <c r="BL656" s="318"/>
      <c r="BM656" s="318"/>
      <c r="BN656" s="318"/>
      <c r="BO656" s="318"/>
      <c r="BP656" s="318"/>
      <c r="BQ656" s="338"/>
      <c r="BR656" s="420"/>
      <c r="BS656" s="330">
        <f t="shared" si="23"/>
        <v>0</v>
      </c>
      <c r="BT656" s="331">
        <f t="shared" si="24"/>
        <v>0</v>
      </c>
      <c r="BU656" s="331"/>
      <c r="BV656" s="333"/>
      <c r="BW656" s="330"/>
      <c r="BX656" s="331"/>
      <c r="BY656" s="331" t="b">
        <f t="shared" si="36"/>
        <v>0</v>
      </c>
      <c r="BZ656" s="340"/>
      <c r="CA656" s="316"/>
      <c r="CB656" s="318"/>
      <c r="CC656" s="318"/>
      <c r="CD656" s="318"/>
      <c r="CE656" s="318"/>
      <c r="CF656" s="318"/>
      <c r="CG656" s="318"/>
      <c r="CH656" s="318"/>
      <c r="CI656" s="338"/>
      <c r="CJ656" s="341"/>
      <c r="CK656" s="342">
        <f t="shared" si="18"/>
        <v>0</v>
      </c>
      <c r="CL656" s="333">
        <f t="shared" si="19"/>
        <v>0</v>
      </c>
      <c r="CM656" s="616"/>
      <c r="CN656" s="617"/>
      <c r="CO656" s="617"/>
      <c r="CP656" s="617"/>
    </row>
    <row r="657">
      <c r="B657" s="462" t="s">
        <v>1242</v>
      </c>
      <c r="C657" s="417">
        <v>44215.0</v>
      </c>
      <c r="D657" s="318"/>
      <c r="E657" s="319">
        <v>2.0</v>
      </c>
      <c r="F657" s="324" t="s">
        <v>1244</v>
      </c>
      <c r="G657" s="321">
        <v>0.6862847222222223</v>
      </c>
      <c r="H657" s="323">
        <v>0.6864583333333333</v>
      </c>
      <c r="I657" s="323"/>
      <c r="J657" s="323"/>
      <c r="K657" s="323">
        <v>0.6873263888888889</v>
      </c>
      <c r="L657" s="323">
        <v>8.680555555555555E-4</v>
      </c>
      <c r="M657" s="326" t="s">
        <v>166</v>
      </c>
      <c r="N657" s="324" t="s">
        <v>188</v>
      </c>
      <c r="O657" s="419" t="s">
        <v>196</v>
      </c>
      <c r="P657" s="319" t="s">
        <v>216</v>
      </c>
      <c r="Q657" s="319" t="s">
        <v>851</v>
      </c>
      <c r="R657" s="326">
        <v>21.4</v>
      </c>
      <c r="S657" s="319">
        <v>39.3</v>
      </c>
      <c r="T657" s="324">
        <v>1.8</v>
      </c>
      <c r="U657" s="319">
        <v>35.0</v>
      </c>
      <c r="V657" s="319"/>
      <c r="W657" s="319"/>
      <c r="X657" s="319"/>
      <c r="Y657" s="319"/>
      <c r="Z657" s="319" t="s">
        <v>387</v>
      </c>
      <c r="AA657" s="319"/>
      <c r="AB657" s="319" t="s">
        <v>413</v>
      </c>
      <c r="AC657" s="327">
        <v>26.6</v>
      </c>
      <c r="AD657" s="319"/>
      <c r="AE657" s="319"/>
      <c r="AF657" s="319"/>
      <c r="AG657" s="319"/>
      <c r="AH657" s="319"/>
      <c r="AI657" s="319"/>
      <c r="AJ657" s="327"/>
      <c r="AK657" s="328"/>
      <c r="AL657" s="319"/>
      <c r="AM657" s="319"/>
      <c r="AN657" s="319"/>
      <c r="AO657" s="319"/>
      <c r="AP657" s="319"/>
      <c r="AQ657" s="319"/>
      <c r="AR657" s="319"/>
      <c r="AS657" s="327"/>
      <c r="AT657" s="461" t="s">
        <v>183</v>
      </c>
      <c r="AU657" s="324" t="s">
        <v>845</v>
      </c>
      <c r="AV657" s="330">
        <f>SQRT(($R657-Infrastructure!J$3)^2+($S657-Infrastructure!K$3)^2)</f>
        <v>24.06345777</v>
      </c>
      <c r="AW657" s="331">
        <f>SQRT(($R657-Infrastructure!J$4)^2+($S657-Infrastructure!K$4)^2)</f>
        <v>30.54734031</v>
      </c>
      <c r="AX657" s="331">
        <f>SQRT(($R657-Infrastructure!J$5)^2+($S657-Infrastructure!K$5)^2)</f>
        <v>40.50345664</v>
      </c>
      <c r="AY657" s="331">
        <f>SQRT(($R657-Infrastructure!J$6)^2+($S657-Infrastructure!K$6)^2)</f>
        <v>40.60406384</v>
      </c>
      <c r="AZ657" s="331">
        <f>SQRT(($R657-Infrastructure!J$7)^2+($S657-Infrastructure!K$7)^2)</f>
        <v>39.01038323</v>
      </c>
      <c r="BA657" s="331">
        <f>SQRT(($R657-Infrastructure!J$8)^2+($S657-Infrastructure!K$8)^2)</f>
        <v>39.95860358</v>
      </c>
      <c r="BB657" s="331">
        <f>SQRT(($R657-Infrastructure!J$9)^2+($S657-Infrastructure!K$9)^2)</f>
        <v>38.93070767</v>
      </c>
      <c r="BC657" s="331">
        <f>SQRT(($R657-Infrastructure!J$10)^2+($S657-Infrastructure!K$10)^2)</f>
        <v>30.60147055</v>
      </c>
      <c r="BD657" s="318"/>
      <c r="BE657" s="332"/>
      <c r="BF657" s="330">
        <f t="shared" si="14"/>
        <v>24.06345777</v>
      </c>
      <c r="BG657" s="333">
        <f t="shared" si="15"/>
        <v>40.60406384</v>
      </c>
      <c r="BH657" s="334"/>
      <c r="BI657" s="316"/>
      <c r="BJ657" s="318"/>
      <c r="BK657" s="318"/>
      <c r="BL657" s="318"/>
      <c r="BM657" s="318"/>
      <c r="BN657" s="318"/>
      <c r="BO657" s="318"/>
      <c r="BP657" s="318"/>
      <c r="BQ657" s="338"/>
      <c r="BR657" s="420"/>
      <c r="BS657" s="330">
        <f t="shared" si="23"/>
        <v>0</v>
      </c>
      <c r="BT657" s="331">
        <f t="shared" si="24"/>
        <v>0</v>
      </c>
      <c r="BU657" s="331"/>
      <c r="BV657" s="333"/>
      <c r="BW657" s="330"/>
      <c r="BX657" s="331"/>
      <c r="BY657" s="331" t="b">
        <f t="shared" si="36"/>
        <v>0</v>
      </c>
      <c r="BZ657" s="340"/>
      <c r="CA657" s="316"/>
      <c r="CB657" s="318"/>
      <c r="CC657" s="318"/>
      <c r="CD657" s="318"/>
      <c r="CE657" s="318"/>
      <c r="CF657" s="318"/>
      <c r="CG657" s="318"/>
      <c r="CH657" s="318"/>
      <c r="CI657" s="338"/>
      <c r="CJ657" s="341"/>
      <c r="CK657" s="342">
        <f t="shared" si="18"/>
        <v>0</v>
      </c>
      <c r="CL657" s="333">
        <f t="shared" si="19"/>
        <v>0</v>
      </c>
      <c r="CM657" s="616"/>
      <c r="CN657" s="617"/>
      <c r="CO657" s="617"/>
      <c r="CP657" s="617"/>
    </row>
    <row r="658">
      <c r="B658" s="462" t="s">
        <v>1242</v>
      </c>
      <c r="C658" s="417">
        <v>44215.0</v>
      </c>
      <c r="D658" s="318"/>
      <c r="E658" s="319">
        <v>3.0</v>
      </c>
      <c r="F658" s="324" t="s">
        <v>1245</v>
      </c>
      <c r="G658" s="321">
        <v>0.6951388888888889</v>
      </c>
      <c r="H658" s="323">
        <v>0.6953125</v>
      </c>
      <c r="I658" s="323"/>
      <c r="J658" s="323"/>
      <c r="K658" s="323">
        <v>0.696412037037037</v>
      </c>
      <c r="L658" s="323">
        <v>0.001099537037037037</v>
      </c>
      <c r="M658" s="326" t="s">
        <v>166</v>
      </c>
      <c r="N658" s="324" t="s">
        <v>188</v>
      </c>
      <c r="O658" s="419" t="s">
        <v>196</v>
      </c>
      <c r="P658" s="319" t="s">
        <v>224</v>
      </c>
      <c r="Q658" s="319" t="s">
        <v>842</v>
      </c>
      <c r="R658" s="326">
        <v>21.4</v>
      </c>
      <c r="S658" s="319">
        <v>39.3</v>
      </c>
      <c r="T658" s="324">
        <v>1.8</v>
      </c>
      <c r="U658" s="319">
        <v>65.0</v>
      </c>
      <c r="V658" s="319"/>
      <c r="W658" s="319"/>
      <c r="X658" s="319"/>
      <c r="Y658" s="319"/>
      <c r="Z658" s="319" t="s">
        <v>387</v>
      </c>
      <c r="AA658" s="319"/>
      <c r="AB658" s="319" t="s">
        <v>419</v>
      </c>
      <c r="AC658" s="327">
        <v>77.9</v>
      </c>
      <c r="AD658" s="319"/>
      <c r="AE658" s="319"/>
      <c r="AF658" s="319"/>
      <c r="AG658" s="319"/>
      <c r="AH658" s="319"/>
      <c r="AI658" s="319"/>
      <c r="AJ658" s="327"/>
      <c r="AK658" s="328"/>
      <c r="AL658" s="319"/>
      <c r="AM658" s="319"/>
      <c r="AN658" s="319"/>
      <c r="AO658" s="319"/>
      <c r="AP658" s="319"/>
      <c r="AQ658" s="319"/>
      <c r="AR658" s="319"/>
      <c r="AS658" s="327"/>
      <c r="AT658" s="461" t="s">
        <v>183</v>
      </c>
      <c r="AU658" s="324" t="s">
        <v>845</v>
      </c>
      <c r="AV658" s="330">
        <f>SQRT(($R658-Infrastructure!J$3)^2+($S658-Infrastructure!K$3)^2)</f>
        <v>24.06345777</v>
      </c>
      <c r="AW658" s="331">
        <f>SQRT(($R658-Infrastructure!J$4)^2+($S658-Infrastructure!K$4)^2)</f>
        <v>30.54734031</v>
      </c>
      <c r="AX658" s="331">
        <f>SQRT(($R658-Infrastructure!J$5)^2+($S658-Infrastructure!K$5)^2)</f>
        <v>40.50345664</v>
      </c>
      <c r="AY658" s="331">
        <f>SQRT(($R658-Infrastructure!J$6)^2+($S658-Infrastructure!K$6)^2)</f>
        <v>40.60406384</v>
      </c>
      <c r="AZ658" s="331">
        <f>SQRT(($R658-Infrastructure!J$7)^2+($S658-Infrastructure!K$7)^2)</f>
        <v>39.01038323</v>
      </c>
      <c r="BA658" s="331">
        <f>SQRT(($R658-Infrastructure!J$8)^2+($S658-Infrastructure!K$8)^2)</f>
        <v>39.95860358</v>
      </c>
      <c r="BB658" s="331">
        <f>SQRT(($R658-Infrastructure!J$9)^2+($S658-Infrastructure!K$9)^2)</f>
        <v>38.93070767</v>
      </c>
      <c r="BC658" s="331">
        <f>SQRT(($R658-Infrastructure!J$10)^2+($S658-Infrastructure!K$10)^2)</f>
        <v>30.60147055</v>
      </c>
      <c r="BD658" s="318"/>
      <c r="BE658" s="332"/>
      <c r="BF658" s="330">
        <f t="shared" si="14"/>
        <v>24.06345777</v>
      </c>
      <c r="BG658" s="333">
        <f t="shared" si="15"/>
        <v>40.60406384</v>
      </c>
      <c r="BH658" s="334"/>
      <c r="BI658" s="316"/>
      <c r="BJ658" s="318"/>
      <c r="BK658" s="318"/>
      <c r="BL658" s="318"/>
      <c r="BM658" s="318"/>
      <c r="BN658" s="318"/>
      <c r="BO658" s="318"/>
      <c r="BP658" s="318"/>
      <c r="BQ658" s="338"/>
      <c r="BR658" s="420"/>
      <c r="BS658" s="330">
        <f t="shared" si="23"/>
        <v>0</v>
      </c>
      <c r="BT658" s="331">
        <f t="shared" si="24"/>
        <v>0</v>
      </c>
      <c r="BU658" s="331"/>
      <c r="BV658" s="333"/>
      <c r="BW658" s="330"/>
      <c r="BX658" s="331"/>
      <c r="BY658" s="331" t="b">
        <f t="shared" si="36"/>
        <v>0</v>
      </c>
      <c r="BZ658" s="340"/>
      <c r="CA658" s="316"/>
      <c r="CB658" s="318"/>
      <c r="CC658" s="318"/>
      <c r="CD658" s="318"/>
      <c r="CE658" s="318"/>
      <c r="CF658" s="318"/>
      <c r="CG658" s="318"/>
      <c r="CH658" s="318"/>
      <c r="CI658" s="338"/>
      <c r="CJ658" s="341"/>
      <c r="CK658" s="342">
        <f t="shared" si="18"/>
        <v>0</v>
      </c>
      <c r="CL658" s="333">
        <f t="shared" si="19"/>
        <v>0</v>
      </c>
      <c r="CM658" s="702" t="s">
        <v>1246</v>
      </c>
      <c r="CN658" s="595"/>
      <c r="CO658" s="595"/>
      <c r="CP658" s="595"/>
    </row>
    <row r="659">
      <c r="B659" s="462" t="s">
        <v>1242</v>
      </c>
      <c r="C659" s="417">
        <v>44215.0</v>
      </c>
      <c r="D659" s="318"/>
      <c r="E659" s="319">
        <v>4.0</v>
      </c>
      <c r="F659" s="324" t="s">
        <v>1247</v>
      </c>
      <c r="G659" s="321">
        <v>0.7053819444444445</v>
      </c>
      <c r="H659" s="323">
        <v>0.7055555555555556</v>
      </c>
      <c r="I659" s="323"/>
      <c r="J659" s="323"/>
      <c r="K659" s="323">
        <v>0.70625</v>
      </c>
      <c r="L659" s="323">
        <v>6.944444444444445E-4</v>
      </c>
      <c r="M659" s="326" t="s">
        <v>166</v>
      </c>
      <c r="N659" s="324" t="s">
        <v>188</v>
      </c>
      <c r="O659" s="419" t="s">
        <v>196</v>
      </c>
      <c r="P659" s="319" t="s">
        <v>224</v>
      </c>
      <c r="Q659" s="319" t="s">
        <v>842</v>
      </c>
      <c r="R659" s="326">
        <v>21.4</v>
      </c>
      <c r="S659" s="319">
        <v>39.3</v>
      </c>
      <c r="T659" s="324">
        <v>1.8</v>
      </c>
      <c r="U659" s="319">
        <v>30.0</v>
      </c>
      <c r="V659" s="319"/>
      <c r="W659" s="319"/>
      <c r="X659" s="319"/>
      <c r="Y659" s="319"/>
      <c r="Z659" s="319" t="s">
        <v>387</v>
      </c>
      <c r="AA659" s="319"/>
      <c r="AB659" s="319" t="s">
        <v>419</v>
      </c>
      <c r="AC659" s="327">
        <v>77.9</v>
      </c>
      <c r="AD659" s="319"/>
      <c r="AE659" s="319"/>
      <c r="AF659" s="319"/>
      <c r="AG659" s="319"/>
      <c r="AH659" s="319"/>
      <c r="AI659" s="319"/>
      <c r="AJ659" s="327"/>
      <c r="AK659" s="328"/>
      <c r="AL659" s="319"/>
      <c r="AM659" s="319"/>
      <c r="AN659" s="319"/>
      <c r="AO659" s="319"/>
      <c r="AP659" s="319"/>
      <c r="AQ659" s="319"/>
      <c r="AR659" s="319"/>
      <c r="AS659" s="327"/>
      <c r="AT659" s="461" t="s">
        <v>183</v>
      </c>
      <c r="AU659" s="324" t="s">
        <v>845</v>
      </c>
      <c r="AV659" s="330">
        <f>SQRT(($R659-Infrastructure!J$3)^2+($S659-Infrastructure!K$3)^2)</f>
        <v>24.06345777</v>
      </c>
      <c r="AW659" s="331">
        <f>SQRT(($R659-Infrastructure!J$4)^2+($S659-Infrastructure!K$4)^2)</f>
        <v>30.54734031</v>
      </c>
      <c r="AX659" s="331">
        <f>SQRT(($R659-Infrastructure!J$5)^2+($S659-Infrastructure!K$5)^2)</f>
        <v>40.50345664</v>
      </c>
      <c r="AY659" s="331">
        <f>SQRT(($R659-Infrastructure!J$6)^2+($S659-Infrastructure!K$6)^2)</f>
        <v>40.60406384</v>
      </c>
      <c r="AZ659" s="331">
        <f>SQRT(($R659-Infrastructure!J$7)^2+($S659-Infrastructure!K$7)^2)</f>
        <v>39.01038323</v>
      </c>
      <c r="BA659" s="331">
        <f>SQRT(($R659-Infrastructure!J$8)^2+($S659-Infrastructure!K$8)^2)</f>
        <v>39.95860358</v>
      </c>
      <c r="BB659" s="331">
        <f>SQRT(($R659-Infrastructure!J$9)^2+($S659-Infrastructure!K$9)^2)</f>
        <v>38.93070767</v>
      </c>
      <c r="BC659" s="331">
        <f>SQRT(($R659-Infrastructure!J$10)^2+($S659-Infrastructure!K$10)^2)</f>
        <v>30.60147055</v>
      </c>
      <c r="BD659" s="318"/>
      <c r="BE659" s="332"/>
      <c r="BF659" s="330">
        <f t="shared" si="14"/>
        <v>24.06345777</v>
      </c>
      <c r="BG659" s="333">
        <f t="shared" si="15"/>
        <v>40.60406384</v>
      </c>
      <c r="BH659" s="334"/>
      <c r="BI659" s="316"/>
      <c r="BJ659" s="318"/>
      <c r="BK659" s="318"/>
      <c r="BL659" s="318"/>
      <c r="BM659" s="318"/>
      <c r="BN659" s="318"/>
      <c r="BO659" s="318"/>
      <c r="BP659" s="318"/>
      <c r="BQ659" s="338"/>
      <c r="BR659" s="420"/>
      <c r="BS659" s="330">
        <f t="shared" si="23"/>
        <v>0</v>
      </c>
      <c r="BT659" s="331">
        <f t="shared" si="24"/>
        <v>0</v>
      </c>
      <c r="BU659" s="331"/>
      <c r="BV659" s="333"/>
      <c r="BW659" s="330"/>
      <c r="BX659" s="331"/>
      <c r="BY659" s="331" t="b">
        <f t="shared" si="36"/>
        <v>0</v>
      </c>
      <c r="BZ659" s="340"/>
      <c r="CA659" s="316"/>
      <c r="CB659" s="318"/>
      <c r="CC659" s="318"/>
      <c r="CD659" s="318"/>
      <c r="CE659" s="318"/>
      <c r="CF659" s="318"/>
      <c r="CG659" s="318"/>
      <c r="CH659" s="318"/>
      <c r="CI659" s="338"/>
      <c r="CJ659" s="341"/>
      <c r="CK659" s="342">
        <f t="shared" si="18"/>
        <v>0</v>
      </c>
      <c r="CL659" s="333">
        <f t="shared" si="19"/>
        <v>0</v>
      </c>
      <c r="CM659" s="616"/>
      <c r="CN659" s="617"/>
      <c r="CO659" s="617"/>
      <c r="CP659" s="617"/>
    </row>
    <row r="660">
      <c r="B660" s="462" t="s">
        <v>1242</v>
      </c>
      <c r="C660" s="417">
        <v>44215.0</v>
      </c>
      <c r="D660" s="318"/>
      <c r="E660" s="319">
        <v>3.0</v>
      </c>
      <c r="F660" s="324" t="s">
        <v>1245</v>
      </c>
      <c r="G660" s="321">
        <v>0.7069444444444445</v>
      </c>
      <c r="H660" s="323">
        <v>0.7072916666666667</v>
      </c>
      <c r="I660" s="323"/>
      <c r="J660" s="323"/>
      <c r="K660" s="323">
        <v>0.7083333333333334</v>
      </c>
      <c r="L660" s="323">
        <v>0.0010416666666666667</v>
      </c>
      <c r="M660" s="326" t="s">
        <v>166</v>
      </c>
      <c r="N660" s="324" t="s">
        <v>188</v>
      </c>
      <c r="O660" s="419" t="s">
        <v>196</v>
      </c>
      <c r="P660" s="319" t="s">
        <v>224</v>
      </c>
      <c r="Q660" s="319" t="s">
        <v>842</v>
      </c>
      <c r="R660" s="326">
        <v>21.4</v>
      </c>
      <c r="S660" s="319">
        <v>39.3</v>
      </c>
      <c r="T660" s="324">
        <v>1.8</v>
      </c>
      <c r="U660" s="319">
        <v>25.0</v>
      </c>
      <c r="V660" s="319"/>
      <c r="W660" s="319"/>
      <c r="X660" s="319"/>
      <c r="Y660" s="319"/>
      <c r="Z660" s="319" t="s">
        <v>387</v>
      </c>
      <c r="AA660" s="319"/>
      <c r="AB660" s="319" t="s">
        <v>419</v>
      </c>
      <c r="AC660" s="327">
        <v>77.9</v>
      </c>
      <c r="AD660" s="319"/>
      <c r="AE660" s="319"/>
      <c r="AF660" s="319"/>
      <c r="AG660" s="319"/>
      <c r="AH660" s="319"/>
      <c r="AI660" s="319"/>
      <c r="AJ660" s="327"/>
      <c r="AK660" s="328"/>
      <c r="AL660" s="319"/>
      <c r="AM660" s="319"/>
      <c r="AN660" s="319"/>
      <c r="AO660" s="319"/>
      <c r="AP660" s="319"/>
      <c r="AQ660" s="319"/>
      <c r="AR660" s="319"/>
      <c r="AS660" s="327"/>
      <c r="AT660" s="461" t="s">
        <v>183</v>
      </c>
      <c r="AU660" s="324" t="s">
        <v>845</v>
      </c>
      <c r="AV660" s="330">
        <f>SQRT(($R660-Infrastructure!J$3)^2+($S660-Infrastructure!K$3)^2)</f>
        <v>24.06345777</v>
      </c>
      <c r="AW660" s="331">
        <f>SQRT(($R660-Infrastructure!J$4)^2+($S660-Infrastructure!K$4)^2)</f>
        <v>30.54734031</v>
      </c>
      <c r="AX660" s="331">
        <f>SQRT(($R660-Infrastructure!J$5)^2+($S660-Infrastructure!K$5)^2)</f>
        <v>40.50345664</v>
      </c>
      <c r="AY660" s="331">
        <f>SQRT(($R660-Infrastructure!J$6)^2+($S660-Infrastructure!K$6)^2)</f>
        <v>40.60406384</v>
      </c>
      <c r="AZ660" s="331">
        <f>SQRT(($R660-Infrastructure!J$7)^2+($S660-Infrastructure!K$7)^2)</f>
        <v>39.01038323</v>
      </c>
      <c r="BA660" s="331">
        <f>SQRT(($R660-Infrastructure!J$8)^2+($S660-Infrastructure!K$8)^2)</f>
        <v>39.95860358</v>
      </c>
      <c r="BB660" s="331">
        <f>SQRT(($R660-Infrastructure!J$9)^2+($S660-Infrastructure!K$9)^2)</f>
        <v>38.93070767</v>
      </c>
      <c r="BC660" s="331">
        <f>SQRT(($R660-Infrastructure!J$10)^2+($S660-Infrastructure!K$10)^2)</f>
        <v>30.60147055</v>
      </c>
      <c r="BD660" s="318"/>
      <c r="BE660" s="332"/>
      <c r="BF660" s="330">
        <f t="shared" si="14"/>
        <v>24.06345777</v>
      </c>
      <c r="BG660" s="333">
        <f t="shared" si="15"/>
        <v>40.60406384</v>
      </c>
      <c r="BH660" s="334"/>
      <c r="BI660" s="316"/>
      <c r="BJ660" s="318"/>
      <c r="BK660" s="318"/>
      <c r="BL660" s="318"/>
      <c r="BM660" s="318"/>
      <c r="BN660" s="318"/>
      <c r="BO660" s="318"/>
      <c r="BP660" s="318"/>
      <c r="BQ660" s="338"/>
      <c r="BR660" s="420"/>
      <c r="BS660" s="330">
        <f t="shared" si="23"/>
        <v>0</v>
      </c>
      <c r="BT660" s="331">
        <f t="shared" si="24"/>
        <v>0</v>
      </c>
      <c r="BU660" s="331"/>
      <c r="BV660" s="333"/>
      <c r="BW660" s="330"/>
      <c r="BX660" s="331"/>
      <c r="BY660" s="331" t="b">
        <f t="shared" si="36"/>
        <v>0</v>
      </c>
      <c r="BZ660" s="340"/>
      <c r="CA660" s="316"/>
      <c r="CB660" s="318"/>
      <c r="CC660" s="318"/>
      <c r="CD660" s="318"/>
      <c r="CE660" s="318"/>
      <c r="CF660" s="318"/>
      <c r="CG660" s="318"/>
      <c r="CH660" s="318"/>
      <c r="CI660" s="338"/>
      <c r="CJ660" s="341"/>
      <c r="CK660" s="342">
        <f t="shared" si="18"/>
        <v>0</v>
      </c>
      <c r="CL660" s="333">
        <f t="shared" si="19"/>
        <v>0</v>
      </c>
      <c r="CM660" s="616"/>
      <c r="CN660" s="617"/>
      <c r="CO660" s="617"/>
      <c r="CP660" s="617"/>
    </row>
    <row r="661">
      <c r="B661" s="462" t="s">
        <v>1242</v>
      </c>
      <c r="C661" s="417">
        <v>44215.0</v>
      </c>
      <c r="D661" s="318"/>
      <c r="E661" s="319">
        <v>6.0</v>
      </c>
      <c r="F661" s="324" t="s">
        <v>1248</v>
      </c>
      <c r="G661" s="321">
        <v>0.7097800925925926</v>
      </c>
      <c r="H661" s="323">
        <v>0.7098958333333333</v>
      </c>
      <c r="I661" s="323"/>
      <c r="J661" s="323"/>
      <c r="K661" s="323">
        <v>0.7109375</v>
      </c>
      <c r="L661" s="323">
        <v>0.0010416666666666667</v>
      </c>
      <c r="M661" s="326" t="s">
        <v>166</v>
      </c>
      <c r="N661" s="324" t="s">
        <v>188</v>
      </c>
      <c r="O661" s="419" t="s">
        <v>196</v>
      </c>
      <c r="P661" s="319" t="s">
        <v>224</v>
      </c>
      <c r="Q661" s="319" t="s">
        <v>842</v>
      </c>
      <c r="R661" s="326">
        <v>21.4</v>
      </c>
      <c r="S661" s="319">
        <v>39.3</v>
      </c>
      <c r="T661" s="324">
        <v>1.8</v>
      </c>
      <c r="U661" s="319">
        <v>25.0</v>
      </c>
      <c r="V661" s="319"/>
      <c r="W661" s="319"/>
      <c r="X661" s="319"/>
      <c r="Y661" s="319"/>
      <c r="Z661" s="319" t="s">
        <v>387</v>
      </c>
      <c r="AA661" s="319"/>
      <c r="AB661" s="319" t="s">
        <v>419</v>
      </c>
      <c r="AC661" s="327">
        <v>77.9</v>
      </c>
      <c r="AD661" s="319"/>
      <c r="AE661" s="319"/>
      <c r="AF661" s="319"/>
      <c r="AG661" s="319"/>
      <c r="AH661" s="319"/>
      <c r="AI661" s="319"/>
      <c r="AJ661" s="327"/>
      <c r="AK661" s="328"/>
      <c r="AL661" s="319"/>
      <c r="AM661" s="319"/>
      <c r="AN661" s="319"/>
      <c r="AO661" s="319"/>
      <c r="AP661" s="319"/>
      <c r="AQ661" s="319"/>
      <c r="AR661" s="319"/>
      <c r="AS661" s="327"/>
      <c r="AT661" s="461" t="s">
        <v>183</v>
      </c>
      <c r="AU661" s="324" t="s">
        <v>845</v>
      </c>
      <c r="AV661" s="330">
        <f>SQRT(($R661-Infrastructure!J$3)^2+($S661-Infrastructure!K$3)^2)</f>
        <v>24.06345777</v>
      </c>
      <c r="AW661" s="331">
        <f>SQRT(($R661-Infrastructure!J$4)^2+($S661-Infrastructure!K$4)^2)</f>
        <v>30.54734031</v>
      </c>
      <c r="AX661" s="331">
        <f>SQRT(($R661-Infrastructure!J$5)^2+($S661-Infrastructure!K$5)^2)</f>
        <v>40.50345664</v>
      </c>
      <c r="AY661" s="331">
        <f>SQRT(($R661-Infrastructure!J$6)^2+($S661-Infrastructure!K$6)^2)</f>
        <v>40.60406384</v>
      </c>
      <c r="AZ661" s="331">
        <f>SQRT(($R661-Infrastructure!J$7)^2+($S661-Infrastructure!K$7)^2)</f>
        <v>39.01038323</v>
      </c>
      <c r="BA661" s="331">
        <f>SQRT(($R661-Infrastructure!J$8)^2+($S661-Infrastructure!K$8)^2)</f>
        <v>39.95860358</v>
      </c>
      <c r="BB661" s="331">
        <f>SQRT(($R661-Infrastructure!J$9)^2+($S661-Infrastructure!K$9)^2)</f>
        <v>38.93070767</v>
      </c>
      <c r="BC661" s="331">
        <f>SQRT(($R661-Infrastructure!J$10)^2+($S661-Infrastructure!K$10)^2)</f>
        <v>30.60147055</v>
      </c>
      <c r="BD661" s="318"/>
      <c r="BE661" s="332"/>
      <c r="BF661" s="330">
        <f t="shared" si="14"/>
        <v>24.06345777</v>
      </c>
      <c r="BG661" s="333">
        <f t="shared" si="15"/>
        <v>40.60406384</v>
      </c>
      <c r="BH661" s="334"/>
      <c r="BI661" s="316"/>
      <c r="BJ661" s="318"/>
      <c r="BK661" s="318"/>
      <c r="BL661" s="318"/>
      <c r="BM661" s="318"/>
      <c r="BN661" s="318"/>
      <c r="BO661" s="318"/>
      <c r="BP661" s="318"/>
      <c r="BQ661" s="338"/>
      <c r="BR661" s="420"/>
      <c r="BS661" s="330">
        <f t="shared" si="23"/>
        <v>0</v>
      </c>
      <c r="BT661" s="331">
        <f t="shared" si="24"/>
        <v>0</v>
      </c>
      <c r="BU661" s="331"/>
      <c r="BV661" s="333"/>
      <c r="BW661" s="330"/>
      <c r="BX661" s="331"/>
      <c r="BY661" s="331" t="b">
        <f t="shared" si="36"/>
        <v>0</v>
      </c>
      <c r="BZ661" s="340"/>
      <c r="CA661" s="316"/>
      <c r="CB661" s="318"/>
      <c r="CC661" s="318"/>
      <c r="CD661" s="318"/>
      <c r="CE661" s="318"/>
      <c r="CF661" s="318"/>
      <c r="CG661" s="318"/>
      <c r="CH661" s="318"/>
      <c r="CI661" s="338"/>
      <c r="CJ661" s="341"/>
      <c r="CK661" s="342">
        <f t="shared" si="18"/>
        <v>0</v>
      </c>
      <c r="CL661" s="333">
        <f t="shared" si="19"/>
        <v>0</v>
      </c>
      <c r="CM661" s="616"/>
      <c r="CN661" s="617"/>
      <c r="CO661" s="617"/>
      <c r="CP661" s="617"/>
    </row>
    <row r="662">
      <c r="B662" s="462" t="s">
        <v>1242</v>
      </c>
      <c r="C662" s="417">
        <v>44215.0</v>
      </c>
      <c r="D662" s="318"/>
      <c r="E662" s="319">
        <v>7.0</v>
      </c>
      <c r="F662" s="324" t="s">
        <v>1249</v>
      </c>
      <c r="G662" s="321">
        <v>0.7127314814814815</v>
      </c>
      <c r="H662" s="323">
        <v>0.7131944444444445</v>
      </c>
      <c r="I662" s="323"/>
      <c r="J662" s="323"/>
      <c r="K662" s="323">
        <v>0.7144097222222222</v>
      </c>
      <c r="L662" s="323">
        <v>0.0012152777777777778</v>
      </c>
      <c r="M662" s="326" t="s">
        <v>166</v>
      </c>
      <c r="N662" s="324" t="s">
        <v>188</v>
      </c>
      <c r="O662" s="419" t="s">
        <v>196</v>
      </c>
      <c r="P662" s="319" t="s">
        <v>224</v>
      </c>
      <c r="Q662" s="319" t="s">
        <v>842</v>
      </c>
      <c r="R662" s="326">
        <v>21.4</v>
      </c>
      <c r="S662" s="319">
        <v>39.3</v>
      </c>
      <c r="T662" s="324">
        <v>1.8</v>
      </c>
      <c r="U662" s="319">
        <v>15.0</v>
      </c>
      <c r="V662" s="319"/>
      <c r="W662" s="319"/>
      <c r="X662" s="319"/>
      <c r="Y662" s="319"/>
      <c r="Z662" s="319" t="s">
        <v>387</v>
      </c>
      <c r="AA662" s="319"/>
      <c r="AB662" s="319" t="s">
        <v>419</v>
      </c>
      <c r="AC662" s="327">
        <v>77.9</v>
      </c>
      <c r="AD662" s="319"/>
      <c r="AE662" s="319"/>
      <c r="AF662" s="319"/>
      <c r="AG662" s="319"/>
      <c r="AH662" s="319"/>
      <c r="AI662" s="319"/>
      <c r="AJ662" s="327"/>
      <c r="AK662" s="328"/>
      <c r="AL662" s="319"/>
      <c r="AM662" s="319"/>
      <c r="AN662" s="319"/>
      <c r="AO662" s="319"/>
      <c r="AP662" s="319"/>
      <c r="AQ662" s="319"/>
      <c r="AR662" s="319"/>
      <c r="AS662" s="327"/>
      <c r="AT662" s="461" t="s">
        <v>183</v>
      </c>
      <c r="AU662" s="324" t="s">
        <v>845</v>
      </c>
      <c r="AV662" s="330">
        <f>SQRT(($R662-Infrastructure!J$3)^2+($S662-Infrastructure!K$3)^2)</f>
        <v>24.06345777</v>
      </c>
      <c r="AW662" s="331">
        <f>SQRT(($R662-Infrastructure!J$4)^2+($S662-Infrastructure!K$4)^2)</f>
        <v>30.54734031</v>
      </c>
      <c r="AX662" s="331">
        <f>SQRT(($R662-Infrastructure!J$5)^2+($S662-Infrastructure!K$5)^2)</f>
        <v>40.50345664</v>
      </c>
      <c r="AY662" s="331">
        <f>SQRT(($R662-Infrastructure!J$6)^2+($S662-Infrastructure!K$6)^2)</f>
        <v>40.60406384</v>
      </c>
      <c r="AZ662" s="331">
        <f>SQRT(($R662-Infrastructure!J$7)^2+($S662-Infrastructure!K$7)^2)</f>
        <v>39.01038323</v>
      </c>
      <c r="BA662" s="331">
        <f>SQRT(($R662-Infrastructure!J$8)^2+($S662-Infrastructure!K$8)^2)</f>
        <v>39.95860358</v>
      </c>
      <c r="BB662" s="331">
        <f>SQRT(($R662-Infrastructure!J$9)^2+($S662-Infrastructure!K$9)^2)</f>
        <v>38.93070767</v>
      </c>
      <c r="BC662" s="331">
        <f>SQRT(($R662-Infrastructure!J$10)^2+($S662-Infrastructure!K$10)^2)</f>
        <v>30.60147055</v>
      </c>
      <c r="BD662" s="318"/>
      <c r="BE662" s="332"/>
      <c r="BF662" s="330">
        <f t="shared" si="14"/>
        <v>24.06345777</v>
      </c>
      <c r="BG662" s="333">
        <f t="shared" si="15"/>
        <v>40.60406384</v>
      </c>
      <c r="BH662" s="334"/>
      <c r="BI662" s="316"/>
      <c r="BJ662" s="318"/>
      <c r="BK662" s="318"/>
      <c r="BL662" s="318"/>
      <c r="BM662" s="318"/>
      <c r="BN662" s="318"/>
      <c r="BO662" s="318"/>
      <c r="BP662" s="318"/>
      <c r="BQ662" s="338"/>
      <c r="BR662" s="420"/>
      <c r="BS662" s="330">
        <f t="shared" si="23"/>
        <v>0</v>
      </c>
      <c r="BT662" s="331">
        <f t="shared" si="24"/>
        <v>0</v>
      </c>
      <c r="BU662" s="331"/>
      <c r="BV662" s="333"/>
      <c r="BW662" s="330"/>
      <c r="BX662" s="331"/>
      <c r="BY662" s="331" t="b">
        <f t="shared" si="36"/>
        <v>0</v>
      </c>
      <c r="BZ662" s="340"/>
      <c r="CA662" s="316"/>
      <c r="CB662" s="318"/>
      <c r="CC662" s="318"/>
      <c r="CD662" s="318"/>
      <c r="CE662" s="318"/>
      <c r="CF662" s="318"/>
      <c r="CG662" s="318"/>
      <c r="CH662" s="318"/>
      <c r="CI662" s="338"/>
      <c r="CJ662" s="341"/>
      <c r="CK662" s="342">
        <f t="shared" si="18"/>
        <v>0</v>
      </c>
      <c r="CL662" s="333">
        <f t="shared" si="19"/>
        <v>0</v>
      </c>
      <c r="CM662" s="616"/>
      <c r="CN662" s="617"/>
      <c r="CO662" s="617"/>
      <c r="CP662" s="617"/>
    </row>
    <row r="663">
      <c r="B663" s="462" t="s">
        <v>1242</v>
      </c>
      <c r="C663" s="417">
        <v>44215.0</v>
      </c>
      <c r="D663" s="318"/>
      <c r="E663" s="319">
        <v>8.0</v>
      </c>
      <c r="F663" s="324" t="s">
        <v>1250</v>
      </c>
      <c r="G663" s="321">
        <v>0.7154513888888889</v>
      </c>
      <c r="H663" s="323">
        <v>0.7163194444444444</v>
      </c>
      <c r="I663" s="323"/>
      <c r="J663" s="323"/>
      <c r="K663" s="323">
        <v>0.7178819444444444</v>
      </c>
      <c r="L663" s="323">
        <v>0.0015625</v>
      </c>
      <c r="M663" s="326" t="s">
        <v>166</v>
      </c>
      <c r="N663" s="324" t="s">
        <v>188</v>
      </c>
      <c r="O663" s="419" t="s">
        <v>196</v>
      </c>
      <c r="P663" s="319" t="s">
        <v>224</v>
      </c>
      <c r="Q663" s="319" t="s">
        <v>842</v>
      </c>
      <c r="R663" s="326">
        <v>21.4</v>
      </c>
      <c r="S663" s="319">
        <v>39.3</v>
      </c>
      <c r="T663" s="324">
        <v>1.8</v>
      </c>
      <c r="U663" s="319">
        <v>15.0</v>
      </c>
      <c r="V663" s="319"/>
      <c r="W663" s="319"/>
      <c r="X663" s="319"/>
      <c r="Y663" s="319"/>
      <c r="Z663" s="319" t="s">
        <v>387</v>
      </c>
      <c r="AA663" s="319"/>
      <c r="AB663" s="319" t="s">
        <v>419</v>
      </c>
      <c r="AC663" s="327">
        <v>77.9</v>
      </c>
      <c r="AD663" s="319"/>
      <c r="AE663" s="319"/>
      <c r="AF663" s="319"/>
      <c r="AG663" s="319"/>
      <c r="AH663" s="319"/>
      <c r="AI663" s="319"/>
      <c r="AJ663" s="327"/>
      <c r="AK663" s="328"/>
      <c r="AL663" s="319"/>
      <c r="AM663" s="319"/>
      <c r="AN663" s="319"/>
      <c r="AO663" s="319"/>
      <c r="AP663" s="319"/>
      <c r="AQ663" s="319"/>
      <c r="AR663" s="319"/>
      <c r="AS663" s="327"/>
      <c r="AT663" s="461" t="s">
        <v>183</v>
      </c>
      <c r="AU663" s="324" t="s">
        <v>845</v>
      </c>
      <c r="AV663" s="330">
        <f>SQRT(($R663-Infrastructure!J$3)^2+($S663-Infrastructure!K$3)^2)</f>
        <v>24.06345777</v>
      </c>
      <c r="AW663" s="331">
        <f>SQRT(($R663-Infrastructure!J$4)^2+($S663-Infrastructure!K$4)^2)</f>
        <v>30.54734031</v>
      </c>
      <c r="AX663" s="331">
        <f>SQRT(($R663-Infrastructure!J$5)^2+($S663-Infrastructure!K$5)^2)</f>
        <v>40.50345664</v>
      </c>
      <c r="AY663" s="331">
        <f>SQRT(($R663-Infrastructure!J$6)^2+($S663-Infrastructure!K$6)^2)</f>
        <v>40.60406384</v>
      </c>
      <c r="AZ663" s="331">
        <f>SQRT(($R663-Infrastructure!J$7)^2+($S663-Infrastructure!K$7)^2)</f>
        <v>39.01038323</v>
      </c>
      <c r="BA663" s="331">
        <f>SQRT(($R663-Infrastructure!J$8)^2+($S663-Infrastructure!K$8)^2)</f>
        <v>39.95860358</v>
      </c>
      <c r="BB663" s="331">
        <f>SQRT(($R663-Infrastructure!J$9)^2+($S663-Infrastructure!K$9)^2)</f>
        <v>38.93070767</v>
      </c>
      <c r="BC663" s="331">
        <f>SQRT(($R663-Infrastructure!J$10)^2+($S663-Infrastructure!K$10)^2)</f>
        <v>30.60147055</v>
      </c>
      <c r="BD663" s="318"/>
      <c r="BE663" s="332"/>
      <c r="BF663" s="330">
        <f t="shared" si="14"/>
        <v>24.06345777</v>
      </c>
      <c r="BG663" s="333">
        <f t="shared" si="15"/>
        <v>40.60406384</v>
      </c>
      <c r="BH663" s="334"/>
      <c r="BI663" s="316"/>
      <c r="BJ663" s="318"/>
      <c r="BK663" s="318"/>
      <c r="BL663" s="318"/>
      <c r="BM663" s="318"/>
      <c r="BN663" s="318"/>
      <c r="BO663" s="318"/>
      <c r="BP663" s="318"/>
      <c r="BQ663" s="338"/>
      <c r="BR663" s="420"/>
      <c r="BS663" s="330">
        <f t="shared" si="23"/>
        <v>0</v>
      </c>
      <c r="BT663" s="331">
        <f t="shared" si="24"/>
        <v>0</v>
      </c>
      <c r="BU663" s="331"/>
      <c r="BV663" s="333"/>
      <c r="BW663" s="330"/>
      <c r="BX663" s="331"/>
      <c r="BY663" s="331" t="b">
        <f t="shared" si="36"/>
        <v>0</v>
      </c>
      <c r="BZ663" s="340"/>
      <c r="CA663" s="316"/>
      <c r="CB663" s="318"/>
      <c r="CC663" s="318"/>
      <c r="CD663" s="318"/>
      <c r="CE663" s="318"/>
      <c r="CF663" s="318"/>
      <c r="CG663" s="318"/>
      <c r="CH663" s="318"/>
      <c r="CI663" s="338"/>
      <c r="CJ663" s="341"/>
      <c r="CK663" s="342">
        <f t="shared" si="18"/>
        <v>0</v>
      </c>
      <c r="CL663" s="333">
        <f t="shared" si="19"/>
        <v>0</v>
      </c>
      <c r="CM663" s="616"/>
      <c r="CN663" s="617"/>
      <c r="CO663" s="617"/>
      <c r="CP663" s="617"/>
    </row>
    <row r="664">
      <c r="B664" s="462" t="s">
        <v>1242</v>
      </c>
      <c r="C664" s="417">
        <v>44215.0</v>
      </c>
      <c r="D664" s="318"/>
      <c r="E664" s="318"/>
      <c r="F664" s="324" t="s">
        <v>1251</v>
      </c>
      <c r="G664" s="321">
        <v>0.7197916666666667</v>
      </c>
      <c r="H664" s="322"/>
      <c r="I664" s="322"/>
      <c r="J664" s="322"/>
      <c r="K664" s="323">
        <v>0.7201388888888889</v>
      </c>
      <c r="L664" s="323">
        <v>3.4722222222222224E-4</v>
      </c>
      <c r="M664" s="326" t="s">
        <v>166</v>
      </c>
      <c r="N664" s="324" t="s">
        <v>188</v>
      </c>
      <c r="O664" s="488"/>
      <c r="P664" s="319" t="s">
        <v>231</v>
      </c>
      <c r="Q664" s="318"/>
      <c r="R664" s="457"/>
      <c r="S664" s="318"/>
      <c r="T664" s="332"/>
      <c r="U664" s="318"/>
      <c r="V664" s="318"/>
      <c r="W664" s="318"/>
      <c r="X664" s="318"/>
      <c r="Y664" s="318"/>
      <c r="Z664" s="318"/>
      <c r="AA664" s="318"/>
      <c r="AB664" s="318"/>
      <c r="AC664" s="463"/>
      <c r="AD664" s="318"/>
      <c r="AE664" s="318"/>
      <c r="AF664" s="318"/>
      <c r="AG664" s="318"/>
      <c r="AH664" s="318"/>
      <c r="AI664" s="318"/>
      <c r="AJ664" s="463"/>
      <c r="AK664" s="487"/>
      <c r="AL664" s="318"/>
      <c r="AM664" s="318"/>
      <c r="AN664" s="318"/>
      <c r="AO664" s="318"/>
      <c r="AP664" s="318"/>
      <c r="AQ664" s="318"/>
      <c r="AR664" s="318"/>
      <c r="AS664" s="463"/>
      <c r="AT664" s="344"/>
      <c r="AU664" s="332"/>
      <c r="AV664" s="330">
        <f>SQRT(($R664-Infrastructure!J$3)^2+($S664-Infrastructure!K$3)^2)</f>
        <v>28.90155705</v>
      </c>
      <c r="AW664" s="331">
        <f>SQRT(($R664-Infrastructure!J$4)^2+($S664-Infrastructure!K$4)^2)</f>
        <v>17.80252791</v>
      </c>
      <c r="AX664" s="331">
        <f>SQRT(($R664-Infrastructure!J$5)^2+($S664-Infrastructure!K$5)^2)</f>
        <v>5.10881591</v>
      </c>
      <c r="AY664" s="331">
        <f>SQRT(($R664-Infrastructure!J$6)^2+($S664-Infrastructure!K$6)^2)</f>
        <v>10.10445446</v>
      </c>
      <c r="AZ664" s="331">
        <f>SQRT(($R664-Infrastructure!J$7)^2+($S664-Infrastructure!K$7)^2)</f>
        <v>20.502195</v>
      </c>
      <c r="BA664" s="331">
        <f>SQRT(($R664-Infrastructure!J$8)^2+($S664-Infrastructure!K$8)^2)</f>
        <v>30.10149498</v>
      </c>
      <c r="BB664" s="331">
        <f>SQRT(($R664-Infrastructure!J$9)^2+($S664-Infrastructure!K$9)^2)</f>
        <v>40.3238143</v>
      </c>
      <c r="BC664" s="331">
        <f>SQRT(($R664-Infrastructure!J$10)^2+($S664-Infrastructure!K$10)^2)</f>
        <v>42.72001873</v>
      </c>
      <c r="BD664" s="318"/>
      <c r="BE664" s="332"/>
      <c r="BF664" s="330">
        <f t="shared" si="14"/>
        <v>5.10881591</v>
      </c>
      <c r="BG664" s="333">
        <f t="shared" si="15"/>
        <v>42.72001873</v>
      </c>
      <c r="BH664" s="334"/>
      <c r="BI664" s="316"/>
      <c r="BJ664" s="318"/>
      <c r="BK664" s="318"/>
      <c r="BL664" s="318"/>
      <c r="BM664" s="318"/>
      <c r="BN664" s="318"/>
      <c r="BO664" s="318"/>
      <c r="BP664" s="318"/>
      <c r="BQ664" s="338"/>
      <c r="BR664" s="420"/>
      <c r="BS664" s="330">
        <f t="shared" si="23"/>
        <v>0</v>
      </c>
      <c r="BT664" s="331">
        <f t="shared" si="24"/>
        <v>0</v>
      </c>
      <c r="BU664" s="331"/>
      <c r="BV664" s="333"/>
      <c r="BW664" s="330"/>
      <c r="BX664" s="331"/>
      <c r="BY664" s="331"/>
      <c r="BZ664" s="340"/>
      <c r="CA664" s="316"/>
      <c r="CB664" s="318"/>
      <c r="CC664" s="318"/>
      <c r="CD664" s="318"/>
      <c r="CE664" s="318"/>
      <c r="CF664" s="318"/>
      <c r="CG664" s="318"/>
      <c r="CH664" s="318"/>
      <c r="CI664" s="338"/>
      <c r="CJ664" s="341"/>
      <c r="CK664" s="342">
        <f t="shared" si="18"/>
        <v>0</v>
      </c>
      <c r="CL664" s="333">
        <f t="shared" si="19"/>
        <v>0</v>
      </c>
      <c r="CM664" s="616"/>
      <c r="CN664" s="617"/>
      <c r="CO664" s="617"/>
      <c r="CP664" s="617"/>
    </row>
    <row r="665">
      <c r="A665" s="634"/>
      <c r="B665" s="635" t="s">
        <v>1242</v>
      </c>
      <c r="C665" s="769">
        <v>44215.0</v>
      </c>
      <c r="D665" s="640"/>
      <c r="E665" s="640"/>
      <c r="F665" s="637" t="s">
        <v>1251</v>
      </c>
      <c r="G665" s="770">
        <v>0.7215277777777778</v>
      </c>
      <c r="H665" s="782"/>
      <c r="I665" s="782"/>
      <c r="J665" s="782"/>
      <c r="K665" s="771">
        <v>0.7234375</v>
      </c>
      <c r="L665" s="771">
        <v>0.0019097222222222222</v>
      </c>
      <c r="M665" s="772" t="s">
        <v>358</v>
      </c>
      <c r="N665" s="637" t="s">
        <v>188</v>
      </c>
      <c r="O665" s="783"/>
      <c r="P665" s="663" t="s">
        <v>231</v>
      </c>
      <c r="Q665" s="640"/>
      <c r="R665" s="784"/>
      <c r="S665" s="640"/>
      <c r="T665" s="739"/>
      <c r="U665" s="640"/>
      <c r="V665" s="640"/>
      <c r="W665" s="640"/>
      <c r="X665" s="640"/>
      <c r="Y665" s="640"/>
      <c r="Z665" s="640"/>
      <c r="AA665" s="640"/>
      <c r="AB665" s="640"/>
      <c r="AC665" s="785"/>
      <c r="AD665" s="640"/>
      <c r="AE665" s="640"/>
      <c r="AF665" s="640"/>
      <c r="AG665" s="640"/>
      <c r="AH665" s="640"/>
      <c r="AI665" s="640"/>
      <c r="AJ665" s="785"/>
      <c r="AK665" s="786"/>
      <c r="AL665" s="640"/>
      <c r="AM665" s="640"/>
      <c r="AN665" s="640"/>
      <c r="AO665" s="640"/>
      <c r="AP665" s="640"/>
      <c r="AQ665" s="640"/>
      <c r="AR665" s="640"/>
      <c r="AS665" s="785"/>
      <c r="AT665" s="787"/>
      <c r="AU665" s="739"/>
      <c r="AV665" s="330">
        <f>SQRT(($R665-Infrastructure!J$3)^2+($S665-Infrastructure!K$3)^2)</f>
        <v>28.90155705</v>
      </c>
      <c r="AW665" s="331">
        <f>SQRT(($R665-Infrastructure!J$4)^2+($S665-Infrastructure!K$4)^2)</f>
        <v>17.80252791</v>
      </c>
      <c r="AX665" s="331">
        <f>SQRT(($R665-Infrastructure!J$5)^2+($S665-Infrastructure!K$5)^2)</f>
        <v>5.10881591</v>
      </c>
      <c r="AY665" s="331">
        <f>SQRT(($R665-Infrastructure!J$6)^2+($S665-Infrastructure!K$6)^2)</f>
        <v>10.10445446</v>
      </c>
      <c r="AZ665" s="331">
        <f>SQRT(($R665-Infrastructure!J$7)^2+($S665-Infrastructure!K$7)^2)</f>
        <v>20.502195</v>
      </c>
      <c r="BA665" s="331">
        <f>SQRT(($R665-Infrastructure!J$8)^2+($S665-Infrastructure!K$8)^2)</f>
        <v>30.10149498</v>
      </c>
      <c r="BB665" s="331">
        <f>SQRT(($R665-Infrastructure!J$9)^2+($S665-Infrastructure!K$9)^2)</f>
        <v>40.3238143</v>
      </c>
      <c r="BC665" s="331">
        <f>SQRT(($R665-Infrastructure!J$10)^2+($S665-Infrastructure!K$10)^2)</f>
        <v>42.72001873</v>
      </c>
      <c r="BD665" s="318"/>
      <c r="BE665" s="332"/>
      <c r="BF665" s="330">
        <f t="shared" si="14"/>
        <v>5.10881591</v>
      </c>
      <c r="BG665" s="333">
        <f t="shared" si="15"/>
        <v>42.72001873</v>
      </c>
      <c r="BH665" s="774"/>
      <c r="BI665" s="639"/>
      <c r="BJ665" s="640"/>
      <c r="BK665" s="640"/>
      <c r="BL665" s="640"/>
      <c r="BM665" s="640"/>
      <c r="BN665" s="640"/>
      <c r="BO665" s="640"/>
      <c r="BP665" s="640"/>
      <c r="BQ665" s="338"/>
      <c r="BR665" s="420"/>
      <c r="BS665" s="330">
        <f t="shared" si="23"/>
        <v>0</v>
      </c>
      <c r="BT665" s="331">
        <f t="shared" si="24"/>
        <v>0</v>
      </c>
      <c r="BU665" s="641"/>
      <c r="BV665" s="642"/>
      <c r="BW665" s="662"/>
      <c r="BX665" s="641"/>
      <c r="BY665" s="331"/>
      <c r="BZ665" s="340"/>
      <c r="CA665" s="639"/>
      <c r="CB665" s="640"/>
      <c r="CC665" s="640"/>
      <c r="CD665" s="640"/>
      <c r="CE665" s="640"/>
      <c r="CF665" s="640"/>
      <c r="CG665" s="640"/>
      <c r="CH665" s="640"/>
      <c r="CI665" s="645"/>
      <c r="CJ665" s="646"/>
      <c r="CK665" s="342">
        <f t="shared" si="18"/>
        <v>0</v>
      </c>
      <c r="CL665" s="333">
        <f t="shared" si="19"/>
        <v>0</v>
      </c>
      <c r="CM665" s="647"/>
      <c r="CN665" s="617"/>
      <c r="CO665" s="617"/>
      <c r="CP665" s="617"/>
    </row>
    <row r="666">
      <c r="A666" s="389" t="s">
        <v>42</v>
      </c>
      <c r="B666" s="573" t="s">
        <v>1242</v>
      </c>
      <c r="C666" s="391">
        <v>44216.0</v>
      </c>
      <c r="D666" s="392"/>
      <c r="E666" s="393">
        <v>1.0</v>
      </c>
      <c r="F666" s="394" t="s">
        <v>1252</v>
      </c>
      <c r="G666" s="395">
        <v>0.4671296296296296</v>
      </c>
      <c r="H666" s="456">
        <v>0.4690972222222222</v>
      </c>
      <c r="I666" s="456"/>
      <c r="J666" s="456"/>
      <c r="K666" s="456">
        <v>0.5125</v>
      </c>
      <c r="L666" s="456">
        <v>0.043402777777777776</v>
      </c>
      <c r="M666" s="400" t="s">
        <v>166</v>
      </c>
      <c r="N666" s="394" t="s">
        <v>187</v>
      </c>
      <c r="O666" s="399" t="s">
        <v>206</v>
      </c>
      <c r="P666" s="393" t="s">
        <v>223</v>
      </c>
      <c r="Q666" s="393" t="s">
        <v>851</v>
      </c>
      <c r="R666" s="400">
        <v>21.4</v>
      </c>
      <c r="S666" s="393">
        <v>11.1</v>
      </c>
      <c r="T666" s="394">
        <v>2.5</v>
      </c>
      <c r="U666" s="393">
        <v>7.5</v>
      </c>
      <c r="V666" s="393"/>
      <c r="W666" s="393"/>
      <c r="X666" s="393"/>
      <c r="Y666" s="393"/>
      <c r="Z666" s="393" t="s">
        <v>347</v>
      </c>
      <c r="AA666" s="393"/>
      <c r="AB666" s="393" t="s">
        <v>388</v>
      </c>
      <c r="AC666" s="401">
        <v>8.0</v>
      </c>
      <c r="AD666" s="393"/>
      <c r="AE666" s="393"/>
      <c r="AF666" s="393"/>
      <c r="AG666" s="393"/>
      <c r="AH666" s="393"/>
      <c r="AI666" s="393"/>
      <c r="AJ666" s="401"/>
      <c r="AK666" s="402"/>
      <c r="AL666" s="393"/>
      <c r="AM666" s="393"/>
      <c r="AN666" s="393"/>
      <c r="AO666" s="393"/>
      <c r="AP666" s="393"/>
      <c r="AQ666" s="393"/>
      <c r="AR666" s="393"/>
      <c r="AS666" s="401"/>
      <c r="AT666" s="460" t="s">
        <v>182</v>
      </c>
      <c r="AU666" s="394" t="s">
        <v>845</v>
      </c>
      <c r="AV666" s="405">
        <f>SQRT(($R666-Infrastructure!J$3)^2+($S666-Infrastructure!K$3)^2)</f>
        <v>28.06652811</v>
      </c>
      <c r="AW666" s="406">
        <f>SQRT(($R666-Infrastructure!J$4)^2+($S666-Infrastructure!K$4)^2)</f>
        <v>22.71079039</v>
      </c>
      <c r="AX666" s="406">
        <f>SQRT(($R666-Infrastructure!J$5)^2+($S666-Infrastructure!K$5)^2)</f>
        <v>22.51421773</v>
      </c>
      <c r="AY666" s="406">
        <f>SQRT(($R666-Infrastructure!J$6)^2+($S666-Infrastructure!K$6)^2)</f>
        <v>15.63105883</v>
      </c>
      <c r="AZ666" s="406">
        <f>SQRT(($R666-Infrastructure!J$7)^2+($S666-Infrastructure!K$7)^2)</f>
        <v>10.83743512</v>
      </c>
      <c r="BA666" s="406">
        <f>SQRT(($R666-Infrastructure!J$8)^2+($S666-Infrastructure!K$8)^2)</f>
        <v>13.8683092</v>
      </c>
      <c r="BB666" s="406">
        <f>SQRT(($R666-Infrastructure!J$9)^2+($S666-Infrastructure!K$9)^2)</f>
        <v>19.54379697</v>
      </c>
      <c r="BC666" s="406">
        <f>SQRT(($R666-Infrastructure!J$10)^2+($S666-Infrastructure!K$10)^2)</f>
        <v>19.00447316</v>
      </c>
      <c r="BD666" s="392"/>
      <c r="BE666" s="407"/>
      <c r="BF666" s="330">
        <f t="shared" si="14"/>
        <v>10.83743512</v>
      </c>
      <c r="BG666" s="333">
        <f t="shared" si="15"/>
        <v>28.06652811</v>
      </c>
      <c r="BH666" s="409"/>
      <c r="BI666" s="390"/>
      <c r="BJ666" s="392"/>
      <c r="BK666" s="392"/>
      <c r="BL666" s="392"/>
      <c r="BM666" s="392"/>
      <c r="BN666" s="392"/>
      <c r="BO666" s="392"/>
      <c r="BP666" s="392"/>
      <c r="BQ666" s="410"/>
      <c r="BR666" s="411"/>
      <c r="BS666" s="330">
        <f t="shared" si="23"/>
        <v>0</v>
      </c>
      <c r="BT666" s="331">
        <f t="shared" si="24"/>
        <v>0</v>
      </c>
      <c r="BU666" s="406"/>
      <c r="BV666" s="408"/>
      <c r="BW666" s="405"/>
      <c r="BX666" s="406"/>
      <c r="BY666" s="406" t="b">
        <f t="shared" ref="BY666:BY669" si="37">IF(BW666&gt;0, SQRT((R666-BW666)^2+(S666-BX666)^2))</f>
        <v>0</v>
      </c>
      <c r="BZ666" s="412"/>
      <c r="CA666" s="390"/>
      <c r="CB666" s="392"/>
      <c r="CC666" s="392"/>
      <c r="CD666" s="392"/>
      <c r="CE666" s="392"/>
      <c r="CF666" s="392"/>
      <c r="CG666" s="392"/>
      <c r="CH666" s="392"/>
      <c r="CI666" s="410"/>
      <c r="CJ666" s="413"/>
      <c r="CK666" s="342">
        <f t="shared" si="18"/>
        <v>0</v>
      </c>
      <c r="CL666" s="333">
        <f t="shared" si="19"/>
        <v>0</v>
      </c>
      <c r="CM666" s="656"/>
      <c r="CN666" s="617"/>
      <c r="CO666" s="617"/>
      <c r="CP666" s="617"/>
    </row>
    <row r="667">
      <c r="B667" s="462" t="s">
        <v>1242</v>
      </c>
      <c r="C667" s="417">
        <v>44216.0</v>
      </c>
      <c r="D667" s="318"/>
      <c r="E667" s="319">
        <v>2.0</v>
      </c>
      <c r="F667" s="324" t="s">
        <v>1253</v>
      </c>
      <c r="G667" s="321">
        <v>0.5737847222222222</v>
      </c>
      <c r="H667" s="323">
        <v>0.575</v>
      </c>
      <c r="I667" s="323"/>
      <c r="J667" s="323"/>
      <c r="K667" s="323">
        <v>0.6166666666666667</v>
      </c>
      <c r="L667" s="323">
        <v>0.041666666666666664</v>
      </c>
      <c r="M667" s="326" t="s">
        <v>166</v>
      </c>
      <c r="N667" s="324" t="s">
        <v>187</v>
      </c>
      <c r="O667" s="419" t="s">
        <v>198</v>
      </c>
      <c r="P667" s="319" t="s">
        <v>223</v>
      </c>
      <c r="Q667" s="319" t="s">
        <v>851</v>
      </c>
      <c r="R667" s="326">
        <v>10.0</v>
      </c>
      <c r="S667" s="319">
        <v>11.7</v>
      </c>
      <c r="T667" s="324">
        <v>0.4</v>
      </c>
      <c r="U667" s="319">
        <v>3.0</v>
      </c>
      <c r="V667" s="319"/>
      <c r="W667" s="319"/>
      <c r="X667" s="319"/>
      <c r="Y667" s="319"/>
      <c r="Z667" s="319" t="s">
        <v>343</v>
      </c>
      <c r="AA667" s="319"/>
      <c r="AB667" s="319" t="s">
        <v>384</v>
      </c>
      <c r="AC667" s="327">
        <v>6.0</v>
      </c>
      <c r="AD667" s="319"/>
      <c r="AE667" s="319"/>
      <c r="AF667" s="319"/>
      <c r="AG667" s="319"/>
      <c r="AH667" s="319"/>
      <c r="AI667" s="319"/>
      <c r="AJ667" s="327"/>
      <c r="AK667" s="328"/>
      <c r="AL667" s="319"/>
      <c r="AM667" s="319"/>
      <c r="AN667" s="319"/>
      <c r="AO667" s="319"/>
      <c r="AP667" s="319"/>
      <c r="AQ667" s="319"/>
      <c r="AR667" s="319"/>
      <c r="AS667" s="327"/>
      <c r="AT667" s="461" t="s">
        <v>182</v>
      </c>
      <c r="AU667" s="324" t="s">
        <v>845</v>
      </c>
      <c r="AV667" s="330">
        <f>SQRT(($R667-Infrastructure!J$3)^2+($S667-Infrastructure!K$3)^2)</f>
        <v>20.04819194</v>
      </c>
      <c r="AW667" s="331">
        <f>SQRT(($R667-Infrastructure!J$4)^2+($S667-Infrastructure!K$4)^2)</f>
        <v>11.9707978</v>
      </c>
      <c r="AX667" s="331">
        <f>SQRT(($R667-Infrastructure!J$5)^2+($S667-Infrastructure!K$5)^2)</f>
        <v>12.23315168</v>
      </c>
      <c r="AY667" s="331">
        <f>SQRT(($R667-Infrastructure!J$6)^2+($S667-Infrastructure!K$6)^2)</f>
        <v>11.40043859</v>
      </c>
      <c r="AZ667" s="331">
        <f>SQRT(($R667-Infrastructure!J$7)^2+($S667-Infrastructure!K$7)^2)</f>
        <v>15.49870962</v>
      </c>
      <c r="BA667" s="331">
        <f>SQRT(($R667-Infrastructure!J$8)^2+($S667-Infrastructure!K$8)^2)</f>
        <v>23.10779089</v>
      </c>
      <c r="BB667" s="331">
        <f>SQRT(($R667-Infrastructure!J$9)^2+($S667-Infrastructure!K$9)^2)</f>
        <v>30.71742177</v>
      </c>
      <c r="BC667" s="331">
        <f>SQRT(($R667-Infrastructure!J$10)^2+($S667-Infrastructure!K$10)^2)</f>
        <v>30.18095426</v>
      </c>
      <c r="BD667" s="318"/>
      <c r="BE667" s="332"/>
      <c r="BF667" s="330">
        <f t="shared" si="14"/>
        <v>11.40043859</v>
      </c>
      <c r="BG667" s="333">
        <f t="shared" si="15"/>
        <v>30.71742177</v>
      </c>
      <c r="BH667" s="334"/>
      <c r="BI667" s="316"/>
      <c r="BJ667" s="318"/>
      <c r="BK667" s="318"/>
      <c r="BL667" s="318"/>
      <c r="BM667" s="318"/>
      <c r="BN667" s="318"/>
      <c r="BO667" s="318"/>
      <c r="BP667" s="318"/>
      <c r="BQ667" s="338"/>
      <c r="BR667" s="420"/>
      <c r="BS667" s="330">
        <f t="shared" si="23"/>
        <v>0</v>
      </c>
      <c r="BT667" s="331">
        <f t="shared" si="24"/>
        <v>0</v>
      </c>
      <c r="BU667" s="331"/>
      <c r="BV667" s="333"/>
      <c r="BW667" s="330"/>
      <c r="BX667" s="331"/>
      <c r="BY667" s="331" t="b">
        <f t="shared" si="37"/>
        <v>0</v>
      </c>
      <c r="BZ667" s="340"/>
      <c r="CA667" s="316"/>
      <c r="CB667" s="318"/>
      <c r="CC667" s="318"/>
      <c r="CD667" s="318"/>
      <c r="CE667" s="318"/>
      <c r="CF667" s="318"/>
      <c r="CG667" s="318"/>
      <c r="CH667" s="318"/>
      <c r="CI667" s="338"/>
      <c r="CJ667" s="341"/>
      <c r="CK667" s="342">
        <f t="shared" si="18"/>
        <v>0</v>
      </c>
      <c r="CL667" s="333">
        <f t="shared" si="19"/>
        <v>0</v>
      </c>
      <c r="CM667" s="616"/>
      <c r="CN667" s="617"/>
      <c r="CO667" s="617"/>
      <c r="CP667" s="617"/>
    </row>
    <row r="668">
      <c r="B668" s="462" t="s">
        <v>1242</v>
      </c>
      <c r="C668" s="417">
        <v>44216.0</v>
      </c>
      <c r="D668" s="318"/>
      <c r="E668" s="319">
        <v>3.0</v>
      </c>
      <c r="F668" s="324" t="s">
        <v>1254</v>
      </c>
      <c r="G668" s="321">
        <v>0.6583333333333333</v>
      </c>
      <c r="H668" s="323">
        <v>0.6592013888888889</v>
      </c>
      <c r="I668" s="323"/>
      <c r="J668" s="323"/>
      <c r="K668" s="323">
        <v>0.7052083333333333</v>
      </c>
      <c r="L668" s="323">
        <v>0.04600694444444445</v>
      </c>
      <c r="M668" s="326" t="s">
        <v>166</v>
      </c>
      <c r="N668" s="324" t="s">
        <v>188</v>
      </c>
      <c r="O668" s="419" t="s">
        <v>378</v>
      </c>
      <c r="P668" s="319" t="s">
        <v>217</v>
      </c>
      <c r="Q668" s="319" t="s">
        <v>851</v>
      </c>
      <c r="R668" s="326">
        <v>22.4</v>
      </c>
      <c r="S668" s="319">
        <v>39.6</v>
      </c>
      <c r="T668" s="324">
        <v>1.8</v>
      </c>
      <c r="U668" s="319">
        <v>8.5</v>
      </c>
      <c r="V668" s="319"/>
      <c r="W668" s="319"/>
      <c r="X668" s="319"/>
      <c r="Y668" s="319"/>
      <c r="Z668" s="319" t="s">
        <v>1140</v>
      </c>
      <c r="AA668" s="319"/>
      <c r="AB668" s="319" t="s">
        <v>410</v>
      </c>
      <c r="AC668" s="327">
        <v>22.1</v>
      </c>
      <c r="AD668" s="319"/>
      <c r="AE668" s="319"/>
      <c r="AF668" s="319"/>
      <c r="AG668" s="319"/>
      <c r="AH668" s="319"/>
      <c r="AI668" s="319"/>
      <c r="AJ668" s="327"/>
      <c r="AK668" s="328"/>
      <c r="AL668" s="319"/>
      <c r="AM668" s="319"/>
      <c r="AN668" s="319"/>
      <c r="AO668" s="319"/>
      <c r="AP668" s="319"/>
      <c r="AQ668" s="319"/>
      <c r="AR668" s="319"/>
      <c r="AS668" s="327"/>
      <c r="AT668" s="461" t="s">
        <v>182</v>
      </c>
      <c r="AU668" s="324" t="s">
        <v>845</v>
      </c>
      <c r="AV668" s="330">
        <f>SQRT(($R668-Infrastructure!J$3)^2+($S668-Infrastructure!K$3)^2)</f>
        <v>25.09541791</v>
      </c>
      <c r="AW668" s="331">
        <f>SQRT(($R668-Infrastructure!J$4)^2+($S668-Infrastructure!K$4)^2)</f>
        <v>31.47268657</v>
      </c>
      <c r="AX668" s="331">
        <f>SQRT(($R668-Infrastructure!J$5)^2+($S668-Infrastructure!K$5)^2)</f>
        <v>41.29818398</v>
      </c>
      <c r="AY668" s="331">
        <f>SQRT(($R668-Infrastructure!J$6)^2+($S668-Infrastructure!K$6)^2)</f>
        <v>41.17984944</v>
      </c>
      <c r="AZ668" s="331">
        <f>SQRT(($R668-Infrastructure!J$7)^2+($S668-Infrastructure!K$7)^2)</f>
        <v>39.34590195</v>
      </c>
      <c r="BA668" s="331">
        <f>SQRT(($R668-Infrastructure!J$8)^2+($S668-Infrastructure!K$8)^2)</f>
        <v>40.04722213</v>
      </c>
      <c r="BB668" s="331">
        <f>SQRT(($R668-Infrastructure!J$9)^2+($S668-Infrastructure!K$9)^2)</f>
        <v>38.72996256</v>
      </c>
      <c r="BC668" s="331">
        <f>SQRT(($R668-Infrastructure!J$10)^2+($S668-Infrastructure!K$10)^2)</f>
        <v>30.24764454</v>
      </c>
      <c r="BD668" s="318"/>
      <c r="BE668" s="332"/>
      <c r="BF668" s="330">
        <f t="shared" si="14"/>
        <v>25.09541791</v>
      </c>
      <c r="BG668" s="333">
        <f t="shared" si="15"/>
        <v>41.29818398</v>
      </c>
      <c r="BH668" s="334"/>
      <c r="BI668" s="316"/>
      <c r="BJ668" s="318"/>
      <c r="BK668" s="318"/>
      <c r="BL668" s="318"/>
      <c r="BM668" s="318"/>
      <c r="BN668" s="318"/>
      <c r="BO668" s="318"/>
      <c r="BP668" s="318"/>
      <c r="BQ668" s="338"/>
      <c r="BR668" s="420"/>
      <c r="BS668" s="330">
        <f t="shared" si="23"/>
        <v>0</v>
      </c>
      <c r="BT668" s="331">
        <f t="shared" si="24"/>
        <v>0</v>
      </c>
      <c r="BU668" s="331"/>
      <c r="BV668" s="333"/>
      <c r="BW668" s="330"/>
      <c r="BX668" s="331"/>
      <c r="BY668" s="331" t="b">
        <f t="shared" si="37"/>
        <v>0</v>
      </c>
      <c r="BZ668" s="340"/>
      <c r="CA668" s="316"/>
      <c r="CB668" s="318"/>
      <c r="CC668" s="318"/>
      <c r="CD668" s="318"/>
      <c r="CE668" s="318"/>
      <c r="CF668" s="318"/>
      <c r="CG668" s="318"/>
      <c r="CH668" s="318"/>
      <c r="CI668" s="338"/>
      <c r="CJ668" s="341"/>
      <c r="CK668" s="342">
        <f t="shared" si="18"/>
        <v>0</v>
      </c>
      <c r="CL668" s="333">
        <f t="shared" si="19"/>
        <v>0</v>
      </c>
      <c r="CM668" s="616"/>
      <c r="CN668" s="617"/>
      <c r="CO668" s="617"/>
      <c r="CP668" s="617"/>
    </row>
    <row r="669">
      <c r="B669" s="462" t="s">
        <v>1242</v>
      </c>
      <c r="C669" s="417">
        <v>44217.0</v>
      </c>
      <c r="D669" s="318"/>
      <c r="E669" s="319">
        <v>4.0</v>
      </c>
      <c r="F669" s="324" t="s">
        <v>1255</v>
      </c>
      <c r="G669" s="321">
        <v>0.5835069444444444</v>
      </c>
      <c r="H669" s="323">
        <v>0.5850694444444444</v>
      </c>
      <c r="I669" s="323"/>
      <c r="J669" s="323"/>
      <c r="K669" s="323">
        <v>0.6423611111111112</v>
      </c>
      <c r="L669" s="323">
        <v>0.057291666666666664</v>
      </c>
      <c r="M669" s="326" t="s">
        <v>166</v>
      </c>
      <c r="N669" s="324" t="s">
        <v>187</v>
      </c>
      <c r="O669" s="419" t="s">
        <v>198</v>
      </c>
      <c r="P669" s="319" t="s">
        <v>213</v>
      </c>
      <c r="Q669" s="319" t="s">
        <v>851</v>
      </c>
      <c r="R669" s="326">
        <v>10.5</v>
      </c>
      <c r="S669" s="319">
        <v>10.9</v>
      </c>
      <c r="T669" s="324">
        <v>3.2</v>
      </c>
      <c r="U669" s="319">
        <v>0.5</v>
      </c>
      <c r="V669" s="319"/>
      <c r="W669" s="319"/>
      <c r="X669" s="319"/>
      <c r="Y669" s="319"/>
      <c r="Z669" s="319" t="s">
        <v>343</v>
      </c>
      <c r="AA669" s="319"/>
      <c r="AB669" s="319" t="s">
        <v>1256</v>
      </c>
      <c r="AC669" s="327">
        <v>2.7</v>
      </c>
      <c r="AD669" s="319"/>
      <c r="AE669" s="319"/>
      <c r="AF669" s="319"/>
      <c r="AG669" s="319"/>
      <c r="AH669" s="319"/>
      <c r="AI669" s="319"/>
      <c r="AJ669" s="327"/>
      <c r="AK669" s="328"/>
      <c r="AL669" s="319"/>
      <c r="AM669" s="319"/>
      <c r="AN669" s="319"/>
      <c r="AO669" s="319"/>
      <c r="AP669" s="319"/>
      <c r="AQ669" s="319"/>
      <c r="AR669" s="319"/>
      <c r="AS669" s="327"/>
      <c r="AT669" s="461" t="s">
        <v>181</v>
      </c>
      <c r="AU669" s="324" t="s">
        <v>845</v>
      </c>
      <c r="AV669" s="330">
        <f>SQRT(($R669-Infrastructure!J$3)^2+($S669-Infrastructure!K$3)^2)</f>
        <v>20.99142682</v>
      </c>
      <c r="AW669" s="331">
        <f>SQRT(($R669-Infrastructure!J$4)^2+($S669-Infrastructure!K$4)^2)</f>
        <v>12.81600562</v>
      </c>
      <c r="AX669" s="331">
        <f>SQRT(($R669-Infrastructure!J$5)^2+($S669-Infrastructure!K$5)^2)</f>
        <v>12.25887434</v>
      </c>
      <c r="AY669" s="331">
        <f>SQRT(($R669-Infrastructure!J$6)^2+($S669-Infrastructure!K$6)^2)</f>
        <v>10.60754448</v>
      </c>
      <c r="AZ669" s="331">
        <f>SQRT(($R669-Infrastructure!J$7)^2+($S669-Infrastructure!K$7)^2)</f>
        <v>14.57257699</v>
      </c>
      <c r="BA669" s="331">
        <f>SQRT(($R669-Infrastructure!J$8)^2+($S669-Infrastructure!K$8)^2)</f>
        <v>22.28272874</v>
      </c>
      <c r="BB669" s="331">
        <f>SQRT(($R669-Infrastructure!J$9)^2+($S669-Infrastructure!K$9)^2)</f>
        <v>30.06476343</v>
      </c>
      <c r="BC669" s="331">
        <f>SQRT(($R669-Infrastructure!J$10)^2+($S669-Infrastructure!K$10)^2)</f>
        <v>29.78355251</v>
      </c>
      <c r="BD669" s="318"/>
      <c r="BE669" s="332"/>
      <c r="BF669" s="330">
        <f t="shared" si="14"/>
        <v>10.60754448</v>
      </c>
      <c r="BG669" s="333">
        <f t="shared" si="15"/>
        <v>30.06476343</v>
      </c>
      <c r="BH669" s="334"/>
      <c r="BI669" s="316"/>
      <c r="BJ669" s="318"/>
      <c r="BK669" s="318"/>
      <c r="BL669" s="318"/>
      <c r="BM669" s="318"/>
      <c r="BN669" s="318"/>
      <c r="BO669" s="318"/>
      <c r="BP669" s="318"/>
      <c r="BQ669" s="338"/>
      <c r="BR669" s="420"/>
      <c r="BS669" s="330">
        <f t="shared" si="23"/>
        <v>0</v>
      </c>
      <c r="BT669" s="331">
        <f t="shared" si="24"/>
        <v>0</v>
      </c>
      <c r="BU669" s="331"/>
      <c r="BV669" s="333"/>
      <c r="BW669" s="330"/>
      <c r="BX669" s="331"/>
      <c r="BY669" s="331" t="b">
        <f t="shared" si="37"/>
        <v>0</v>
      </c>
      <c r="BZ669" s="340"/>
      <c r="CA669" s="316"/>
      <c r="CB669" s="318"/>
      <c r="CC669" s="318"/>
      <c r="CD669" s="318"/>
      <c r="CE669" s="318"/>
      <c r="CF669" s="318"/>
      <c r="CG669" s="318"/>
      <c r="CH669" s="318"/>
      <c r="CI669" s="338"/>
      <c r="CJ669" s="341"/>
      <c r="CK669" s="342">
        <f t="shared" si="18"/>
        <v>0</v>
      </c>
      <c r="CL669" s="333">
        <f t="shared" si="19"/>
        <v>0</v>
      </c>
      <c r="CM669" s="616"/>
      <c r="CN669" s="617"/>
      <c r="CO669" s="617"/>
      <c r="CP669" s="617"/>
    </row>
    <row r="670">
      <c r="B670" s="462" t="s">
        <v>1242</v>
      </c>
      <c r="C670" s="417">
        <v>44217.0</v>
      </c>
      <c r="D670" s="318"/>
      <c r="E670" s="318"/>
      <c r="F670" s="324" t="s">
        <v>1257</v>
      </c>
      <c r="G670" s="321">
        <v>0.6434027777777778</v>
      </c>
      <c r="H670" s="322"/>
      <c r="I670" s="322"/>
      <c r="J670" s="322"/>
      <c r="K670" s="323">
        <v>0.6479166666666667</v>
      </c>
      <c r="L670" s="323">
        <v>0.0045138888888888885</v>
      </c>
      <c r="M670" s="326" t="s">
        <v>166</v>
      </c>
      <c r="N670" s="324" t="s">
        <v>188</v>
      </c>
      <c r="O670" s="488"/>
      <c r="P670" s="319" t="s">
        <v>231</v>
      </c>
      <c r="Q670" s="318"/>
      <c r="R670" s="457"/>
      <c r="S670" s="318"/>
      <c r="T670" s="332"/>
      <c r="U670" s="318"/>
      <c r="V670" s="318"/>
      <c r="W670" s="318"/>
      <c r="X670" s="318"/>
      <c r="Y670" s="318"/>
      <c r="Z670" s="318"/>
      <c r="AA670" s="318"/>
      <c r="AB670" s="318"/>
      <c r="AC670" s="463"/>
      <c r="AD670" s="318"/>
      <c r="AE670" s="318"/>
      <c r="AF670" s="318"/>
      <c r="AG670" s="318"/>
      <c r="AH670" s="318"/>
      <c r="AI670" s="318"/>
      <c r="AJ670" s="463"/>
      <c r="AK670" s="487"/>
      <c r="AL670" s="318"/>
      <c r="AM670" s="318"/>
      <c r="AN670" s="318"/>
      <c r="AO670" s="318"/>
      <c r="AP670" s="318"/>
      <c r="AQ670" s="318"/>
      <c r="AR670" s="318"/>
      <c r="AS670" s="463"/>
      <c r="AT670" s="344"/>
      <c r="AU670" s="332"/>
      <c r="AV670" s="330">
        <f>SQRT(($R670-Infrastructure!J$3)^2+($S670-Infrastructure!K$3)^2)</f>
        <v>28.90155705</v>
      </c>
      <c r="AW670" s="331">
        <f>SQRT(($R670-Infrastructure!J$4)^2+($S670-Infrastructure!K$4)^2)</f>
        <v>17.80252791</v>
      </c>
      <c r="AX670" s="331">
        <f>SQRT(($R670-Infrastructure!J$5)^2+($S670-Infrastructure!K$5)^2)</f>
        <v>5.10881591</v>
      </c>
      <c r="AY670" s="331">
        <f>SQRT(($R670-Infrastructure!J$6)^2+($S670-Infrastructure!K$6)^2)</f>
        <v>10.10445446</v>
      </c>
      <c r="AZ670" s="331">
        <f>SQRT(($R670-Infrastructure!J$7)^2+($S670-Infrastructure!K$7)^2)</f>
        <v>20.502195</v>
      </c>
      <c r="BA670" s="331">
        <f>SQRT(($R670-Infrastructure!J$8)^2+($S670-Infrastructure!K$8)^2)</f>
        <v>30.10149498</v>
      </c>
      <c r="BB670" s="331">
        <f>SQRT(($R670-Infrastructure!J$9)^2+($S670-Infrastructure!K$9)^2)</f>
        <v>40.3238143</v>
      </c>
      <c r="BC670" s="331">
        <f>SQRT(($R670-Infrastructure!J$10)^2+($S670-Infrastructure!K$10)^2)</f>
        <v>42.72001873</v>
      </c>
      <c r="BD670" s="318"/>
      <c r="BE670" s="332"/>
      <c r="BF670" s="330">
        <f t="shared" si="14"/>
        <v>5.10881591</v>
      </c>
      <c r="BG670" s="333">
        <f t="shared" si="15"/>
        <v>42.72001873</v>
      </c>
      <c r="BH670" s="334"/>
      <c r="BI670" s="316"/>
      <c r="BJ670" s="318"/>
      <c r="BK670" s="318"/>
      <c r="BL670" s="318"/>
      <c r="BM670" s="318"/>
      <c r="BN670" s="318"/>
      <c r="BO670" s="318"/>
      <c r="BP670" s="318"/>
      <c r="BQ670" s="338"/>
      <c r="BR670" s="420"/>
      <c r="BS670" s="330">
        <f t="shared" si="23"/>
        <v>0</v>
      </c>
      <c r="BT670" s="331">
        <f t="shared" si="24"/>
        <v>0</v>
      </c>
      <c r="BU670" s="331"/>
      <c r="BV670" s="333"/>
      <c r="BW670" s="330"/>
      <c r="BX670" s="331"/>
      <c r="BY670" s="331"/>
      <c r="BZ670" s="340"/>
      <c r="CA670" s="316"/>
      <c r="CB670" s="318"/>
      <c r="CC670" s="318"/>
      <c r="CD670" s="318"/>
      <c r="CE670" s="318"/>
      <c r="CF670" s="318"/>
      <c r="CG670" s="318"/>
      <c r="CH670" s="318"/>
      <c r="CI670" s="338"/>
      <c r="CJ670" s="341"/>
      <c r="CK670" s="342">
        <f t="shared" si="18"/>
        <v>0</v>
      </c>
      <c r="CL670" s="333">
        <f t="shared" si="19"/>
        <v>0</v>
      </c>
      <c r="CM670" s="616"/>
      <c r="CN670" s="617"/>
      <c r="CO670" s="617"/>
      <c r="CP670" s="617"/>
    </row>
    <row r="671">
      <c r="A671" s="634"/>
      <c r="B671" s="635" t="s">
        <v>1242</v>
      </c>
      <c r="C671" s="769">
        <v>44217.0</v>
      </c>
      <c r="D671" s="640"/>
      <c r="E671" s="640"/>
      <c r="F671" s="637" t="s">
        <v>1257</v>
      </c>
      <c r="G671" s="770">
        <v>0.6512152777777778</v>
      </c>
      <c r="H671" s="782"/>
      <c r="I671" s="782"/>
      <c r="J671" s="782"/>
      <c r="K671" s="771">
        <v>0.6527777777777778</v>
      </c>
      <c r="L671" s="771">
        <v>0.0015625</v>
      </c>
      <c r="M671" s="772" t="s">
        <v>358</v>
      </c>
      <c r="N671" s="637" t="s">
        <v>188</v>
      </c>
      <c r="O671" s="783"/>
      <c r="P671" s="663" t="s">
        <v>231</v>
      </c>
      <c r="Q671" s="640"/>
      <c r="R671" s="784"/>
      <c r="S671" s="640"/>
      <c r="T671" s="739"/>
      <c r="U671" s="640"/>
      <c r="V671" s="640"/>
      <c r="W671" s="640"/>
      <c r="X671" s="640"/>
      <c r="Y671" s="640"/>
      <c r="Z671" s="640"/>
      <c r="AA671" s="640"/>
      <c r="AB671" s="640"/>
      <c r="AC671" s="785"/>
      <c r="AD671" s="640"/>
      <c r="AE671" s="640"/>
      <c r="AF671" s="640"/>
      <c r="AG671" s="640"/>
      <c r="AH671" s="640"/>
      <c r="AI671" s="640"/>
      <c r="AJ671" s="785"/>
      <c r="AK671" s="786"/>
      <c r="AL671" s="640"/>
      <c r="AM671" s="640"/>
      <c r="AN671" s="640"/>
      <c r="AO671" s="640"/>
      <c r="AP671" s="640"/>
      <c r="AQ671" s="640"/>
      <c r="AR671" s="640"/>
      <c r="AS671" s="785"/>
      <c r="AT671" s="787"/>
      <c r="AU671" s="739"/>
      <c r="AV671" s="330">
        <f>SQRT(($R671-Infrastructure!J$3)^2+($S671-Infrastructure!K$3)^2)</f>
        <v>28.90155705</v>
      </c>
      <c r="AW671" s="331">
        <f>SQRT(($R671-Infrastructure!J$4)^2+($S671-Infrastructure!K$4)^2)</f>
        <v>17.80252791</v>
      </c>
      <c r="AX671" s="331">
        <f>SQRT(($R671-Infrastructure!J$5)^2+($S671-Infrastructure!K$5)^2)</f>
        <v>5.10881591</v>
      </c>
      <c r="AY671" s="331">
        <f>SQRT(($R671-Infrastructure!J$6)^2+($S671-Infrastructure!K$6)^2)</f>
        <v>10.10445446</v>
      </c>
      <c r="AZ671" s="331">
        <f>SQRT(($R671-Infrastructure!J$7)^2+($S671-Infrastructure!K$7)^2)</f>
        <v>20.502195</v>
      </c>
      <c r="BA671" s="331">
        <f>SQRT(($R671-Infrastructure!J$8)^2+($S671-Infrastructure!K$8)^2)</f>
        <v>30.10149498</v>
      </c>
      <c r="BB671" s="331">
        <f>SQRT(($R671-Infrastructure!J$9)^2+($S671-Infrastructure!K$9)^2)</f>
        <v>40.3238143</v>
      </c>
      <c r="BC671" s="331">
        <f>SQRT(($R671-Infrastructure!J$10)^2+($S671-Infrastructure!K$10)^2)</f>
        <v>42.72001873</v>
      </c>
      <c r="BD671" s="318"/>
      <c r="BE671" s="332"/>
      <c r="BF671" s="330">
        <f t="shared" si="14"/>
        <v>5.10881591</v>
      </c>
      <c r="BG671" s="333">
        <f t="shared" si="15"/>
        <v>42.72001873</v>
      </c>
      <c r="BH671" s="774"/>
      <c r="BI671" s="639"/>
      <c r="BJ671" s="640"/>
      <c r="BK671" s="640"/>
      <c r="BL671" s="640"/>
      <c r="BM671" s="640"/>
      <c r="BN671" s="640"/>
      <c r="BO671" s="640"/>
      <c r="BP671" s="640"/>
      <c r="BQ671" s="338"/>
      <c r="BR671" s="420"/>
      <c r="BS671" s="330">
        <f t="shared" si="23"/>
        <v>0</v>
      </c>
      <c r="BT671" s="331">
        <f t="shared" si="24"/>
        <v>0</v>
      </c>
      <c r="BU671" s="331"/>
      <c r="BV671" s="333"/>
      <c r="BW671" s="662"/>
      <c r="BX671" s="641"/>
      <c r="BY671" s="331"/>
      <c r="BZ671" s="340"/>
      <c r="CA671" s="639"/>
      <c r="CB671" s="640"/>
      <c r="CC671" s="640"/>
      <c r="CD671" s="640"/>
      <c r="CE671" s="640"/>
      <c r="CF671" s="640"/>
      <c r="CG671" s="640"/>
      <c r="CH671" s="640"/>
      <c r="CI671" s="645"/>
      <c r="CJ671" s="646"/>
      <c r="CK671" s="342">
        <f t="shared" si="18"/>
        <v>0</v>
      </c>
      <c r="CL671" s="333">
        <f t="shared" si="19"/>
        <v>0</v>
      </c>
      <c r="CM671" s="647"/>
      <c r="CN671" s="617"/>
      <c r="CO671" s="617"/>
      <c r="CP671" s="617"/>
    </row>
    <row r="672">
      <c r="A672" s="664" t="s">
        <v>43</v>
      </c>
      <c r="B672" s="665" t="s">
        <v>1242</v>
      </c>
      <c r="C672" s="775">
        <v>44217.0</v>
      </c>
      <c r="D672" s="667"/>
      <c r="E672" s="676">
        <v>1.0</v>
      </c>
      <c r="F672" s="674" t="s">
        <v>1258</v>
      </c>
      <c r="G672" s="776">
        <v>0.4947916666666667</v>
      </c>
      <c r="H672" s="777">
        <v>0.4954861111111111</v>
      </c>
      <c r="I672" s="777"/>
      <c r="J672" s="777"/>
      <c r="K672" s="777">
        <v>0.503125</v>
      </c>
      <c r="L672" s="777">
        <v>0.007638888888888889</v>
      </c>
      <c r="M672" s="778" t="s">
        <v>166</v>
      </c>
      <c r="N672" s="674" t="s">
        <v>187</v>
      </c>
      <c r="O672" s="675" t="s">
        <v>196</v>
      </c>
      <c r="P672" s="676" t="s">
        <v>224</v>
      </c>
      <c r="Q672" s="676" t="s">
        <v>842</v>
      </c>
      <c r="R672" s="778">
        <v>21.4</v>
      </c>
      <c r="S672" s="676">
        <v>39.3</v>
      </c>
      <c r="T672" s="674">
        <v>1.8</v>
      </c>
      <c r="U672" s="676">
        <v>60.0</v>
      </c>
      <c r="V672" s="676"/>
      <c r="W672" s="676"/>
      <c r="X672" s="676"/>
      <c r="Y672" s="676"/>
      <c r="Z672" s="676" t="s">
        <v>387</v>
      </c>
      <c r="AA672" s="676"/>
      <c r="AB672" s="676" t="s">
        <v>419</v>
      </c>
      <c r="AC672" s="779">
        <v>77.9</v>
      </c>
      <c r="AD672" s="676"/>
      <c r="AE672" s="676"/>
      <c r="AF672" s="676"/>
      <c r="AG672" s="676"/>
      <c r="AH672" s="676"/>
      <c r="AI672" s="676"/>
      <c r="AJ672" s="779"/>
      <c r="AK672" s="780"/>
      <c r="AL672" s="676"/>
      <c r="AM672" s="676"/>
      <c r="AN672" s="676"/>
      <c r="AO672" s="676"/>
      <c r="AP672" s="676"/>
      <c r="AQ672" s="676"/>
      <c r="AR672" s="676"/>
      <c r="AS672" s="779"/>
      <c r="AT672" s="685" t="s">
        <v>183</v>
      </c>
      <c r="AU672" s="674" t="s">
        <v>845</v>
      </c>
      <c r="AV672" s="686">
        <f>SQRT(($R672-Infrastructure!J$3)^2+($S672-Infrastructure!K$3)^2)</f>
        <v>24.06345777</v>
      </c>
      <c r="AW672" s="687">
        <f>SQRT(($R672-Infrastructure!J$4)^2+($S672-Infrastructure!K$4)^2)</f>
        <v>30.54734031</v>
      </c>
      <c r="AX672" s="687">
        <f>SQRT(($R672-Infrastructure!J$5)^2+($S672-Infrastructure!K$5)^2)</f>
        <v>40.50345664</v>
      </c>
      <c r="AY672" s="687">
        <f>SQRT(($R672-Infrastructure!J$6)^2+($S672-Infrastructure!K$6)^2)</f>
        <v>40.60406384</v>
      </c>
      <c r="AZ672" s="687">
        <f>SQRT(($R672-Infrastructure!J$7)^2+($S672-Infrastructure!K$7)^2)</f>
        <v>39.01038323</v>
      </c>
      <c r="BA672" s="687">
        <f>SQRT(($R672-Infrastructure!J$8)^2+($S672-Infrastructure!K$8)^2)</f>
        <v>39.95860358</v>
      </c>
      <c r="BB672" s="687">
        <f>SQRT(($R672-Infrastructure!J$9)^2+($S672-Infrastructure!K$9)^2)</f>
        <v>38.93070767</v>
      </c>
      <c r="BC672" s="687">
        <f>SQRT(($R672-Infrastructure!J$10)^2+($S672-Infrastructure!K$10)^2)</f>
        <v>30.60147055</v>
      </c>
      <c r="BD672" s="667"/>
      <c r="BE672" s="688"/>
      <c r="BF672" s="330">
        <f t="shared" si="14"/>
        <v>24.06345777</v>
      </c>
      <c r="BG672" s="333">
        <f t="shared" si="15"/>
        <v>40.60406384</v>
      </c>
      <c r="BH672" s="781"/>
      <c r="BI672" s="690"/>
      <c r="BJ672" s="667"/>
      <c r="BK672" s="667"/>
      <c r="BL672" s="667"/>
      <c r="BM672" s="667"/>
      <c r="BN672" s="667"/>
      <c r="BO672" s="667"/>
      <c r="BP672" s="667"/>
      <c r="BQ672" s="691"/>
      <c r="BR672" s="692"/>
      <c r="BS672" s="330">
        <f t="shared" si="23"/>
        <v>0</v>
      </c>
      <c r="BT672" s="331">
        <f t="shared" si="24"/>
        <v>0</v>
      </c>
      <c r="BU672" s="687"/>
      <c r="BV672" s="693"/>
      <c r="BW672" s="686"/>
      <c r="BX672" s="687"/>
      <c r="BY672" s="687" t="b">
        <f t="shared" ref="BY672:BY742" si="38">IF(BW672&gt;0, SQRT((R672-BW672)^2+(S672-BX672)^2))</f>
        <v>0</v>
      </c>
      <c r="BZ672" s="696"/>
      <c r="CA672" s="690"/>
      <c r="CB672" s="667"/>
      <c r="CC672" s="667"/>
      <c r="CD672" s="667"/>
      <c r="CE672" s="667"/>
      <c r="CF672" s="667"/>
      <c r="CG672" s="667"/>
      <c r="CH672" s="667"/>
      <c r="CI672" s="691"/>
      <c r="CJ672" s="697"/>
      <c r="CK672" s="342">
        <f t="shared" si="18"/>
        <v>0</v>
      </c>
      <c r="CL672" s="333">
        <f t="shared" si="19"/>
        <v>0</v>
      </c>
      <c r="CM672" s="698"/>
      <c r="CN672" s="617"/>
      <c r="CO672" s="617"/>
      <c r="CP672" s="617"/>
    </row>
    <row r="673">
      <c r="A673" s="315" t="s">
        <v>44</v>
      </c>
      <c r="B673" s="462" t="s">
        <v>1259</v>
      </c>
      <c r="C673" s="417">
        <v>44257.0</v>
      </c>
      <c r="D673" s="318"/>
      <c r="E673" s="319">
        <v>1.0</v>
      </c>
      <c r="F673" s="324" t="s">
        <v>1260</v>
      </c>
      <c r="G673" s="321">
        <v>0.4762152777777778</v>
      </c>
      <c r="H673" s="323">
        <v>0.47881944444444446</v>
      </c>
      <c r="I673" s="323"/>
      <c r="J673" s="323"/>
      <c r="K673" s="323">
        <v>0.48159722222222223</v>
      </c>
      <c r="L673" s="323">
        <v>0.002777777777777778</v>
      </c>
      <c r="M673" s="326" t="s">
        <v>358</v>
      </c>
      <c r="N673" s="324" t="s">
        <v>187</v>
      </c>
      <c r="O673" s="419" t="s">
        <v>205</v>
      </c>
      <c r="P673" s="319" t="s">
        <v>213</v>
      </c>
      <c r="Q673" s="319" t="s">
        <v>851</v>
      </c>
      <c r="R673" s="326">
        <v>21.1</v>
      </c>
      <c r="S673" s="319">
        <v>4.1</v>
      </c>
      <c r="T673" s="324">
        <v>2.1</v>
      </c>
      <c r="U673" s="319">
        <v>3.5</v>
      </c>
      <c r="V673" s="319"/>
      <c r="W673" s="319"/>
      <c r="X673" s="319"/>
      <c r="Y673" s="319"/>
      <c r="Z673" s="319" t="s">
        <v>370</v>
      </c>
      <c r="AA673" s="319"/>
      <c r="AB673" s="319" t="s">
        <v>384</v>
      </c>
      <c r="AC673" s="327">
        <v>6.0</v>
      </c>
      <c r="AD673" s="319"/>
      <c r="AE673" s="319"/>
      <c r="AF673" s="319"/>
      <c r="AG673" s="319"/>
      <c r="AH673" s="319"/>
      <c r="AI673" s="319"/>
      <c r="AJ673" s="327"/>
      <c r="AK673" s="328"/>
      <c r="AL673" s="319"/>
      <c r="AM673" s="319"/>
      <c r="AN673" s="319"/>
      <c r="AO673" s="319"/>
      <c r="AP673" s="319"/>
      <c r="AQ673" s="319"/>
      <c r="AR673" s="319"/>
      <c r="AS673" s="327"/>
      <c r="AT673" s="461" t="s">
        <v>182</v>
      </c>
      <c r="AU673" s="324" t="s">
        <v>845</v>
      </c>
      <c r="AV673" s="330">
        <f>SQRT(($R673-Infrastructure!J$3)^2+($S673-Infrastructure!K$3)^2)</f>
        <v>32.75667871</v>
      </c>
      <c r="AW673" s="331">
        <f>SQRT(($R673-Infrastructure!J$4)^2+($S673-Infrastructure!K$4)^2)</f>
        <v>25.40964384</v>
      </c>
      <c r="AX673" s="331">
        <f>SQRT(($R673-Infrastructure!J$5)^2+($S673-Infrastructure!K$5)^2)</f>
        <v>21.42335175</v>
      </c>
      <c r="AY673" s="331">
        <f>SQRT(($R673-Infrastructure!J$6)^2+($S673-Infrastructure!K$6)^2)</f>
        <v>11.63786922</v>
      </c>
      <c r="AZ673" s="331">
        <f>SQRT(($R673-Infrastructure!J$7)^2+($S673-Infrastructure!K$7)^2)</f>
        <v>3.847076812</v>
      </c>
      <c r="BA673" s="331">
        <f>SQRT(($R673-Infrastructure!J$8)^2+($S673-Infrastructure!K$8)^2)</f>
        <v>9.769339793</v>
      </c>
      <c r="BB673" s="331">
        <f>SQRT(($R673-Infrastructure!J$9)^2+($S673-Infrastructure!K$9)^2)</f>
        <v>18.92643654</v>
      </c>
      <c r="BC673" s="331">
        <f>SQRT(($R673-Infrastructure!J$10)^2+($S673-Infrastructure!K$10)^2)</f>
        <v>21.81788257</v>
      </c>
      <c r="BD673" s="318"/>
      <c r="BE673" s="332"/>
      <c r="BF673" s="330">
        <f t="shared" si="14"/>
        <v>3.847076812</v>
      </c>
      <c r="BG673" s="333">
        <f t="shared" si="15"/>
        <v>32.75667871</v>
      </c>
      <c r="BH673" s="334"/>
      <c r="BI673" s="462" t="s">
        <v>845</v>
      </c>
      <c r="BJ673" s="319" t="s">
        <v>845</v>
      </c>
      <c r="BK673" s="319" t="s">
        <v>845</v>
      </c>
      <c r="BL673" s="788" t="s">
        <v>845</v>
      </c>
      <c r="BM673" s="319" t="s">
        <v>846</v>
      </c>
      <c r="BN673" s="788" t="s">
        <v>845</v>
      </c>
      <c r="BO673" s="319" t="s">
        <v>845</v>
      </c>
      <c r="BP673" s="319" t="s">
        <v>845</v>
      </c>
      <c r="BQ673" s="788" t="s">
        <v>845</v>
      </c>
      <c r="BR673" s="789" t="s">
        <v>845</v>
      </c>
      <c r="BS673" s="330">
        <f t="shared" si="23"/>
        <v>3.847076812</v>
      </c>
      <c r="BT673" s="331">
        <f t="shared" si="24"/>
        <v>3.847076812</v>
      </c>
      <c r="BU673" s="331"/>
      <c r="BV673" s="333"/>
      <c r="BW673" s="330"/>
      <c r="BX673" s="331"/>
      <c r="BY673" s="331" t="b">
        <f t="shared" si="38"/>
        <v>0</v>
      </c>
      <c r="BZ673" s="340"/>
      <c r="CA673" s="316"/>
      <c r="CB673" s="318"/>
      <c r="CC673" s="318"/>
      <c r="CD673" s="319" t="s">
        <v>846</v>
      </c>
      <c r="CE673" s="319" t="s">
        <v>846</v>
      </c>
      <c r="CF673" s="338"/>
      <c r="CG673" s="318"/>
      <c r="CH673" s="318"/>
      <c r="CI673" s="338"/>
      <c r="CJ673" s="341"/>
      <c r="CK673" s="342">
        <f t="shared" si="18"/>
        <v>3.847076812</v>
      </c>
      <c r="CL673" s="333">
        <f t="shared" si="19"/>
        <v>11.63786922</v>
      </c>
      <c r="CM673" s="702"/>
      <c r="CN673" s="595"/>
      <c r="CO673" s="595"/>
      <c r="CP673" s="595"/>
    </row>
    <row r="674">
      <c r="B674" s="462" t="s">
        <v>1259</v>
      </c>
      <c r="C674" s="417">
        <v>44257.0</v>
      </c>
      <c r="D674" s="318"/>
      <c r="E674" s="319">
        <v>2.0</v>
      </c>
      <c r="F674" s="324" t="s">
        <v>1261</v>
      </c>
      <c r="G674" s="321">
        <v>0.48333333333333334</v>
      </c>
      <c r="H674" s="323">
        <v>0.4864583333333333</v>
      </c>
      <c r="I674" s="323"/>
      <c r="J674" s="323"/>
      <c r="K674" s="323">
        <v>0.4892361111111111</v>
      </c>
      <c r="L674" s="323">
        <v>0.002777777777777778</v>
      </c>
      <c r="M674" s="326" t="s">
        <v>358</v>
      </c>
      <c r="N674" s="324" t="s">
        <v>187</v>
      </c>
      <c r="O674" s="419" t="s">
        <v>205</v>
      </c>
      <c r="P674" s="319" t="s">
        <v>213</v>
      </c>
      <c r="Q674" s="319" t="s">
        <v>851</v>
      </c>
      <c r="R674" s="326">
        <v>21.1</v>
      </c>
      <c r="S674" s="319">
        <v>4.1</v>
      </c>
      <c r="T674" s="324">
        <v>2.1</v>
      </c>
      <c r="U674" s="319">
        <v>6.4</v>
      </c>
      <c r="V674" s="319"/>
      <c r="W674" s="319"/>
      <c r="X674" s="319"/>
      <c r="Y674" s="319"/>
      <c r="Z674" s="319" t="s">
        <v>370</v>
      </c>
      <c r="AA674" s="319"/>
      <c r="AB674" s="319" t="s">
        <v>388</v>
      </c>
      <c r="AC674" s="327">
        <v>8.0</v>
      </c>
      <c r="AD674" s="319"/>
      <c r="AE674" s="319"/>
      <c r="AF674" s="319"/>
      <c r="AG674" s="319"/>
      <c r="AH674" s="319"/>
      <c r="AI674" s="319"/>
      <c r="AJ674" s="327"/>
      <c r="AK674" s="328"/>
      <c r="AL674" s="319"/>
      <c r="AM674" s="319"/>
      <c r="AN674" s="319"/>
      <c r="AO674" s="319"/>
      <c r="AP674" s="319"/>
      <c r="AQ674" s="319"/>
      <c r="AR674" s="319"/>
      <c r="AS674" s="327"/>
      <c r="AT674" s="461" t="s">
        <v>182</v>
      </c>
      <c r="AU674" s="324" t="s">
        <v>845</v>
      </c>
      <c r="AV674" s="330">
        <f>SQRT(($R674-Infrastructure!J$3)^2+($S674-Infrastructure!K$3)^2)</f>
        <v>32.75667871</v>
      </c>
      <c r="AW674" s="331">
        <f>SQRT(($R674-Infrastructure!J$4)^2+($S674-Infrastructure!K$4)^2)</f>
        <v>25.40964384</v>
      </c>
      <c r="AX674" s="331">
        <f>SQRT(($R674-Infrastructure!J$5)^2+($S674-Infrastructure!K$5)^2)</f>
        <v>21.42335175</v>
      </c>
      <c r="AY674" s="331">
        <f>SQRT(($R674-Infrastructure!J$6)^2+($S674-Infrastructure!K$6)^2)</f>
        <v>11.63786922</v>
      </c>
      <c r="AZ674" s="331">
        <f>SQRT(($R674-Infrastructure!J$7)^2+($S674-Infrastructure!K$7)^2)</f>
        <v>3.847076812</v>
      </c>
      <c r="BA674" s="331">
        <f>SQRT(($R674-Infrastructure!J$8)^2+($S674-Infrastructure!K$8)^2)</f>
        <v>9.769339793</v>
      </c>
      <c r="BB674" s="331">
        <f>SQRT(($R674-Infrastructure!J$9)^2+($S674-Infrastructure!K$9)^2)</f>
        <v>18.92643654</v>
      </c>
      <c r="BC674" s="331">
        <f>SQRT(($R674-Infrastructure!J$10)^2+($S674-Infrastructure!K$10)^2)</f>
        <v>21.81788257</v>
      </c>
      <c r="BD674" s="318"/>
      <c r="BE674" s="332"/>
      <c r="BF674" s="330">
        <f t="shared" si="14"/>
        <v>3.847076812</v>
      </c>
      <c r="BG674" s="333">
        <f t="shared" si="15"/>
        <v>32.75667871</v>
      </c>
      <c r="BH674" s="334"/>
      <c r="BI674" s="462" t="s">
        <v>845</v>
      </c>
      <c r="BJ674" s="319" t="s">
        <v>845</v>
      </c>
      <c r="BK674" s="319" t="s">
        <v>845</v>
      </c>
      <c r="BL674" s="788" t="s">
        <v>845</v>
      </c>
      <c r="BM674" s="319" t="s">
        <v>846</v>
      </c>
      <c r="BN674" s="788" t="s">
        <v>845</v>
      </c>
      <c r="BO674" s="319" t="s">
        <v>845</v>
      </c>
      <c r="BP674" s="319" t="s">
        <v>845</v>
      </c>
      <c r="BQ674" s="788" t="s">
        <v>845</v>
      </c>
      <c r="BR674" s="789" t="s">
        <v>845</v>
      </c>
      <c r="BS674" s="330">
        <f t="shared" si="23"/>
        <v>3.847076812</v>
      </c>
      <c r="BT674" s="331">
        <f t="shared" si="24"/>
        <v>3.847076812</v>
      </c>
      <c r="BU674" s="331"/>
      <c r="BV674" s="333"/>
      <c r="BW674" s="330"/>
      <c r="BX674" s="331"/>
      <c r="BY674" s="331" t="b">
        <f t="shared" si="38"/>
        <v>0</v>
      </c>
      <c r="BZ674" s="340"/>
      <c r="CA674" s="316"/>
      <c r="CB674" s="318"/>
      <c r="CC674" s="318"/>
      <c r="CD674" s="319" t="s">
        <v>846</v>
      </c>
      <c r="CE674" s="319" t="s">
        <v>846</v>
      </c>
      <c r="CF674" s="338"/>
      <c r="CG674" s="318"/>
      <c r="CH674" s="318"/>
      <c r="CI674" s="338"/>
      <c r="CJ674" s="341"/>
      <c r="CK674" s="342">
        <f t="shared" si="18"/>
        <v>3.847076812</v>
      </c>
      <c r="CL674" s="333">
        <f t="shared" si="19"/>
        <v>11.63786922</v>
      </c>
      <c r="CM674" s="702"/>
      <c r="CN674" s="595"/>
      <c r="CO674" s="595"/>
      <c r="CP674" s="595"/>
    </row>
    <row r="675">
      <c r="B675" s="462" t="s">
        <v>1259</v>
      </c>
      <c r="C675" s="417">
        <v>44257.0</v>
      </c>
      <c r="D675" s="318"/>
      <c r="E675" s="319">
        <v>3.0</v>
      </c>
      <c r="F675" s="324" t="s">
        <v>1262</v>
      </c>
      <c r="G675" s="321">
        <v>0.49050925925925926</v>
      </c>
      <c r="H675" s="323">
        <v>0.4921875</v>
      </c>
      <c r="I675" s="323"/>
      <c r="J675" s="323"/>
      <c r="K675" s="323">
        <v>0.49496527777777777</v>
      </c>
      <c r="L675" s="323">
        <v>0.002777777777777778</v>
      </c>
      <c r="M675" s="326" t="s">
        <v>358</v>
      </c>
      <c r="N675" s="324" t="s">
        <v>187</v>
      </c>
      <c r="O675" s="419" t="s">
        <v>206</v>
      </c>
      <c r="P675" s="319" t="s">
        <v>218</v>
      </c>
      <c r="Q675" s="319" t="s">
        <v>851</v>
      </c>
      <c r="R675" s="326">
        <v>21.2</v>
      </c>
      <c r="S675" s="319">
        <v>8.7</v>
      </c>
      <c r="T675" s="324">
        <v>2.4</v>
      </c>
      <c r="U675" s="319">
        <v>6.5</v>
      </c>
      <c r="V675" s="319"/>
      <c r="W675" s="319"/>
      <c r="X675" s="319"/>
      <c r="Y675" s="319"/>
      <c r="Z675" s="319" t="s">
        <v>347</v>
      </c>
      <c r="AA675" s="319"/>
      <c r="AB675" s="319" t="s">
        <v>392</v>
      </c>
      <c r="AC675" s="327">
        <v>10.0</v>
      </c>
      <c r="AD675" s="319"/>
      <c r="AE675" s="319"/>
      <c r="AF675" s="319"/>
      <c r="AG675" s="319"/>
      <c r="AH675" s="319"/>
      <c r="AI675" s="319"/>
      <c r="AJ675" s="327"/>
      <c r="AK675" s="328"/>
      <c r="AL675" s="319"/>
      <c r="AM675" s="319"/>
      <c r="AN675" s="319"/>
      <c r="AO675" s="319"/>
      <c r="AP675" s="319"/>
      <c r="AQ675" s="319"/>
      <c r="AR675" s="319"/>
      <c r="AS675" s="327"/>
      <c r="AT675" s="461" t="s">
        <v>182</v>
      </c>
      <c r="AU675" s="324" t="s">
        <v>845</v>
      </c>
      <c r="AV675" s="330">
        <f>SQRT(($R675-Infrastructure!J$3)^2+($S675-Infrastructure!K$3)^2)</f>
        <v>29.50067796</v>
      </c>
      <c r="AW675" s="331">
        <f>SQRT(($R675-Infrastructure!J$4)^2+($S675-Infrastructure!K$4)^2)</f>
        <v>23.34652008</v>
      </c>
      <c r="AX675" s="331">
        <f>SQRT(($R675-Infrastructure!J$5)^2+($S675-Infrastructure!K$5)^2)</f>
        <v>21.79931192</v>
      </c>
      <c r="AY675" s="331">
        <f>SQRT(($R675-Infrastructure!J$6)^2+($S675-Infrastructure!K$6)^2)</f>
        <v>13.92012931</v>
      </c>
      <c r="AZ675" s="331">
        <f>SQRT(($R675-Infrastructure!J$7)^2+($S675-Infrastructure!K$7)^2)</f>
        <v>8.429116205</v>
      </c>
      <c r="BA675" s="331">
        <f>SQRT(($R675-Infrastructure!J$8)^2+($S675-Infrastructure!K$8)^2)</f>
        <v>12.2380554</v>
      </c>
      <c r="BB675" s="331">
        <f>SQRT(($R675-Infrastructure!J$9)^2+($S675-Infrastructure!K$9)^2)</f>
        <v>19.14157778</v>
      </c>
      <c r="BC675" s="331">
        <f>SQRT(($R675-Infrastructure!J$10)^2+($S675-Infrastructure!K$10)^2)</f>
        <v>19.82750615</v>
      </c>
      <c r="BD675" s="318"/>
      <c r="BE675" s="332"/>
      <c r="BF675" s="330">
        <f t="shared" si="14"/>
        <v>8.429116205</v>
      </c>
      <c r="BG675" s="333">
        <f t="shared" si="15"/>
        <v>29.50067796</v>
      </c>
      <c r="BH675" s="334"/>
      <c r="BI675" s="462" t="s">
        <v>845</v>
      </c>
      <c r="BJ675" s="319" t="s">
        <v>845</v>
      </c>
      <c r="BK675" s="319" t="s">
        <v>845</v>
      </c>
      <c r="BL675" s="788" t="s">
        <v>845</v>
      </c>
      <c r="BM675" s="319" t="s">
        <v>845</v>
      </c>
      <c r="BN675" s="788" t="s">
        <v>845</v>
      </c>
      <c r="BO675" s="319" t="s">
        <v>845</v>
      </c>
      <c r="BP675" s="319" t="s">
        <v>845</v>
      </c>
      <c r="BQ675" s="788" t="s">
        <v>845</v>
      </c>
      <c r="BR675" s="789" t="s">
        <v>845</v>
      </c>
      <c r="BS675" s="330">
        <f t="shared" si="23"/>
        <v>0</v>
      </c>
      <c r="BT675" s="331">
        <f t="shared" si="24"/>
        <v>0</v>
      </c>
      <c r="BU675" s="331"/>
      <c r="BV675" s="333"/>
      <c r="BW675" s="330"/>
      <c r="BX675" s="331"/>
      <c r="BY675" s="331" t="b">
        <f t="shared" si="38"/>
        <v>0</v>
      </c>
      <c r="BZ675" s="340"/>
      <c r="CA675" s="316"/>
      <c r="CB675" s="318"/>
      <c r="CC675" s="318"/>
      <c r="CD675" s="318"/>
      <c r="CE675" s="318"/>
      <c r="CF675" s="338"/>
      <c r="CG675" s="318"/>
      <c r="CH675" s="318"/>
      <c r="CI675" s="338"/>
      <c r="CJ675" s="341"/>
      <c r="CK675" s="342">
        <f t="shared" si="18"/>
        <v>0</v>
      </c>
      <c r="CL675" s="333">
        <f t="shared" si="19"/>
        <v>0</v>
      </c>
      <c r="CM675" s="616"/>
      <c r="CN675" s="617"/>
      <c r="CO675" s="617"/>
      <c r="CP675" s="617"/>
    </row>
    <row r="676">
      <c r="B676" s="462" t="s">
        <v>1259</v>
      </c>
      <c r="C676" s="417">
        <v>44257.0</v>
      </c>
      <c r="D676" s="318"/>
      <c r="E676" s="319">
        <v>4.0</v>
      </c>
      <c r="F676" s="324" t="s">
        <v>1263</v>
      </c>
      <c r="G676" s="321">
        <v>0.4967013888888889</v>
      </c>
      <c r="H676" s="323">
        <v>0.4979166666666667</v>
      </c>
      <c r="I676" s="323"/>
      <c r="J676" s="323"/>
      <c r="K676" s="323">
        <v>0.5006944444444444</v>
      </c>
      <c r="L676" s="323">
        <v>0.002777777777777778</v>
      </c>
      <c r="M676" s="326" t="s">
        <v>358</v>
      </c>
      <c r="N676" s="324" t="s">
        <v>187</v>
      </c>
      <c r="O676" s="419" t="s">
        <v>206</v>
      </c>
      <c r="P676" s="319" t="s">
        <v>218</v>
      </c>
      <c r="Q676" s="319" t="s">
        <v>851</v>
      </c>
      <c r="R676" s="326">
        <v>21.2</v>
      </c>
      <c r="S676" s="319">
        <v>8.7</v>
      </c>
      <c r="T676" s="324">
        <v>2.4</v>
      </c>
      <c r="U676" s="319">
        <v>4.5</v>
      </c>
      <c r="V676" s="319"/>
      <c r="W676" s="319"/>
      <c r="X676" s="319"/>
      <c r="Y676" s="319"/>
      <c r="Z676" s="319" t="s">
        <v>347</v>
      </c>
      <c r="AA676" s="319"/>
      <c r="AB676" s="319" t="s">
        <v>388</v>
      </c>
      <c r="AC676" s="327">
        <v>8.0</v>
      </c>
      <c r="AD676" s="319"/>
      <c r="AE676" s="319"/>
      <c r="AF676" s="319"/>
      <c r="AG676" s="319"/>
      <c r="AH676" s="319"/>
      <c r="AI676" s="319"/>
      <c r="AJ676" s="327"/>
      <c r="AK676" s="328"/>
      <c r="AL676" s="319"/>
      <c r="AM676" s="319"/>
      <c r="AN676" s="319"/>
      <c r="AO676" s="319"/>
      <c r="AP676" s="319"/>
      <c r="AQ676" s="319"/>
      <c r="AR676" s="319"/>
      <c r="AS676" s="327"/>
      <c r="AT676" s="461" t="s">
        <v>182</v>
      </c>
      <c r="AU676" s="324" t="s">
        <v>845</v>
      </c>
      <c r="AV676" s="330">
        <f>SQRT(($R676-Infrastructure!J$3)^2+($S676-Infrastructure!K$3)^2)</f>
        <v>29.50067796</v>
      </c>
      <c r="AW676" s="331">
        <f>SQRT(($R676-Infrastructure!J$4)^2+($S676-Infrastructure!K$4)^2)</f>
        <v>23.34652008</v>
      </c>
      <c r="AX676" s="331">
        <f>SQRT(($R676-Infrastructure!J$5)^2+($S676-Infrastructure!K$5)^2)</f>
        <v>21.79931192</v>
      </c>
      <c r="AY676" s="331">
        <f>SQRT(($R676-Infrastructure!J$6)^2+($S676-Infrastructure!K$6)^2)</f>
        <v>13.92012931</v>
      </c>
      <c r="AZ676" s="331">
        <f>SQRT(($R676-Infrastructure!J$7)^2+($S676-Infrastructure!K$7)^2)</f>
        <v>8.429116205</v>
      </c>
      <c r="BA676" s="331">
        <f>SQRT(($R676-Infrastructure!J$8)^2+($S676-Infrastructure!K$8)^2)</f>
        <v>12.2380554</v>
      </c>
      <c r="BB676" s="331">
        <f>SQRT(($R676-Infrastructure!J$9)^2+($S676-Infrastructure!K$9)^2)</f>
        <v>19.14157778</v>
      </c>
      <c r="BC676" s="331">
        <f>SQRT(($R676-Infrastructure!J$10)^2+($S676-Infrastructure!K$10)^2)</f>
        <v>19.82750615</v>
      </c>
      <c r="BD676" s="318"/>
      <c r="BE676" s="332"/>
      <c r="BF676" s="330">
        <f t="shared" si="14"/>
        <v>8.429116205</v>
      </c>
      <c r="BG676" s="333">
        <f t="shared" si="15"/>
        <v>29.50067796</v>
      </c>
      <c r="BH676" s="334"/>
      <c r="BI676" s="462" t="s">
        <v>845</v>
      </c>
      <c r="BJ676" s="319" t="s">
        <v>845</v>
      </c>
      <c r="BK676" s="319" t="s">
        <v>845</v>
      </c>
      <c r="BL676" s="788" t="s">
        <v>845</v>
      </c>
      <c r="BM676" s="319" t="s">
        <v>845</v>
      </c>
      <c r="BN676" s="788" t="s">
        <v>845</v>
      </c>
      <c r="BO676" s="319" t="s">
        <v>845</v>
      </c>
      <c r="BP676" s="319" t="s">
        <v>845</v>
      </c>
      <c r="BQ676" s="788" t="s">
        <v>845</v>
      </c>
      <c r="BR676" s="789" t="s">
        <v>845</v>
      </c>
      <c r="BS676" s="330">
        <f t="shared" si="23"/>
        <v>0</v>
      </c>
      <c r="BT676" s="331">
        <f t="shared" si="24"/>
        <v>0</v>
      </c>
      <c r="BU676" s="331"/>
      <c r="BV676" s="333"/>
      <c r="BW676" s="330"/>
      <c r="BX676" s="331"/>
      <c r="BY676" s="331" t="b">
        <f t="shared" si="38"/>
        <v>0</v>
      </c>
      <c r="BZ676" s="340"/>
      <c r="CA676" s="316"/>
      <c r="CB676" s="318"/>
      <c r="CC676" s="318"/>
      <c r="CD676" s="318"/>
      <c r="CE676" s="318"/>
      <c r="CF676" s="338"/>
      <c r="CG676" s="318"/>
      <c r="CH676" s="318"/>
      <c r="CI676" s="338"/>
      <c r="CJ676" s="341"/>
      <c r="CK676" s="342">
        <f t="shared" si="18"/>
        <v>0</v>
      </c>
      <c r="CL676" s="333">
        <f t="shared" si="19"/>
        <v>0</v>
      </c>
      <c r="CM676" s="616"/>
      <c r="CN676" s="617"/>
      <c r="CO676" s="617"/>
      <c r="CP676" s="617"/>
    </row>
    <row r="677">
      <c r="B677" s="462" t="s">
        <v>1259</v>
      </c>
      <c r="C677" s="417">
        <v>44257.0</v>
      </c>
      <c r="D677" s="318"/>
      <c r="E677" s="319">
        <v>5.0</v>
      </c>
      <c r="F677" s="324" t="s">
        <v>1264</v>
      </c>
      <c r="G677" s="321">
        <v>0.5690972222222223</v>
      </c>
      <c r="H677" s="323">
        <v>0.5697916666666667</v>
      </c>
      <c r="I677" s="323"/>
      <c r="J677" s="323"/>
      <c r="K677" s="323">
        <v>0.5725694444444445</v>
      </c>
      <c r="L677" s="323">
        <v>0.002777777777777778</v>
      </c>
      <c r="M677" s="326" t="s">
        <v>358</v>
      </c>
      <c r="N677" s="324" t="s">
        <v>187</v>
      </c>
      <c r="O677" s="419" t="s">
        <v>198</v>
      </c>
      <c r="P677" s="319" t="s">
        <v>218</v>
      </c>
      <c r="Q677" s="319" t="s">
        <v>851</v>
      </c>
      <c r="R677" s="326">
        <v>10.3</v>
      </c>
      <c r="S677" s="319">
        <v>7.9</v>
      </c>
      <c r="T677" s="324">
        <v>3.0</v>
      </c>
      <c r="U677" s="319">
        <v>6.5</v>
      </c>
      <c r="V677" s="319"/>
      <c r="W677" s="319"/>
      <c r="X677" s="319"/>
      <c r="Y677" s="319"/>
      <c r="Z677" s="319" t="s">
        <v>343</v>
      </c>
      <c r="AA677" s="319"/>
      <c r="AB677" s="319" t="s">
        <v>392</v>
      </c>
      <c r="AC677" s="327">
        <v>10.0</v>
      </c>
      <c r="AD677" s="319"/>
      <c r="AE677" s="319"/>
      <c r="AF677" s="319"/>
      <c r="AG677" s="319"/>
      <c r="AH677" s="319"/>
      <c r="AI677" s="319"/>
      <c r="AJ677" s="327"/>
      <c r="AK677" s="328"/>
      <c r="AL677" s="319"/>
      <c r="AM677" s="319"/>
      <c r="AN677" s="319"/>
      <c r="AO677" s="319"/>
      <c r="AP677" s="319"/>
      <c r="AQ677" s="319"/>
      <c r="AR677" s="319"/>
      <c r="AS677" s="327"/>
      <c r="AT677" s="461" t="s">
        <v>182</v>
      </c>
      <c r="AU677" s="324" t="s">
        <v>845</v>
      </c>
      <c r="AV677" s="330">
        <f>SQRT(($R677-Infrastructure!J$3)^2+($S677-Infrastructure!K$3)^2)</f>
        <v>23.52360517</v>
      </c>
      <c r="AW677" s="331">
        <f>SQRT(($R677-Infrastructure!J$4)^2+($S677-Infrastructure!K$4)^2)</f>
        <v>14.50413734</v>
      </c>
      <c r="AX677" s="331">
        <f>SQRT(($R677-Infrastructure!J$5)^2+($S677-Infrastructure!K$5)^2)</f>
        <v>10.96357606</v>
      </c>
      <c r="AY677" s="331">
        <f>SQRT(($R677-Infrastructure!J$6)^2+($S677-Infrastructure!K$6)^2)</f>
        <v>7.602631123</v>
      </c>
      <c r="AZ677" s="331">
        <f>SQRT(($R677-Infrastructure!J$7)^2+($S677-Infrastructure!K$7)^2)</f>
        <v>12.72006289</v>
      </c>
      <c r="BA677" s="331">
        <f>SQRT(($R677-Infrastructure!J$8)^2+($S677-Infrastructure!K$8)^2)</f>
        <v>21.20848887</v>
      </c>
      <c r="BB677" s="331">
        <f>SQRT(($R677-Infrastructure!J$9)^2+($S677-Infrastructure!K$9)^2)</f>
        <v>29.83169455</v>
      </c>
      <c r="BC677" s="331">
        <f>SQRT(($R677-Infrastructure!J$10)^2+($S677-Infrastructure!K$10)^2)</f>
        <v>30.53686297</v>
      </c>
      <c r="BD677" s="318"/>
      <c r="BE677" s="332"/>
      <c r="BF677" s="330">
        <f t="shared" si="14"/>
        <v>7.602631123</v>
      </c>
      <c r="BG677" s="333">
        <f t="shared" si="15"/>
        <v>30.53686297</v>
      </c>
      <c r="BH677" s="334"/>
      <c r="BI677" s="462" t="s">
        <v>845</v>
      </c>
      <c r="BJ677" s="319" t="s">
        <v>845</v>
      </c>
      <c r="BK677" s="319" t="s">
        <v>846</v>
      </c>
      <c r="BL677" s="788" t="s">
        <v>845</v>
      </c>
      <c r="BM677" s="319" t="s">
        <v>845</v>
      </c>
      <c r="BN677" s="788" t="s">
        <v>845</v>
      </c>
      <c r="BO677" s="319" t="s">
        <v>845</v>
      </c>
      <c r="BP677" s="319" t="s">
        <v>845</v>
      </c>
      <c r="BQ677" s="788" t="s">
        <v>845</v>
      </c>
      <c r="BR677" s="789" t="s">
        <v>845</v>
      </c>
      <c r="BS677" s="330">
        <f t="shared" si="23"/>
        <v>10.96357606</v>
      </c>
      <c r="BT677" s="331">
        <f t="shared" si="24"/>
        <v>10.96357606</v>
      </c>
      <c r="BU677" s="331"/>
      <c r="BV677" s="333"/>
      <c r="BW677" s="330"/>
      <c r="BX677" s="331"/>
      <c r="BY677" s="331" t="b">
        <f t="shared" si="38"/>
        <v>0</v>
      </c>
      <c r="BZ677" s="340"/>
      <c r="CA677" s="316"/>
      <c r="CB677" s="319"/>
      <c r="CC677" s="319" t="s">
        <v>846</v>
      </c>
      <c r="CD677" s="319" t="s">
        <v>846</v>
      </c>
      <c r="CE677" s="318"/>
      <c r="CF677" s="338"/>
      <c r="CG677" s="318"/>
      <c r="CH677" s="318"/>
      <c r="CI677" s="338"/>
      <c r="CJ677" s="341"/>
      <c r="CK677" s="342">
        <f t="shared" si="18"/>
        <v>7.602631123</v>
      </c>
      <c r="CL677" s="333">
        <f t="shared" si="19"/>
        <v>10.96357606</v>
      </c>
      <c r="CM677" s="702"/>
      <c r="CN677" s="595"/>
      <c r="CO677" s="595"/>
      <c r="CP677" s="595"/>
    </row>
    <row r="678">
      <c r="B678" s="462" t="s">
        <v>1259</v>
      </c>
      <c r="C678" s="417">
        <v>44257.0</v>
      </c>
      <c r="D678" s="318"/>
      <c r="E678" s="319">
        <v>6.0</v>
      </c>
      <c r="F678" s="324" t="s">
        <v>1265</v>
      </c>
      <c r="G678" s="321">
        <v>0.5741319444444445</v>
      </c>
      <c r="H678" s="323">
        <v>0.575</v>
      </c>
      <c r="I678" s="323"/>
      <c r="J678" s="323"/>
      <c r="K678" s="323">
        <v>0.5777777777777777</v>
      </c>
      <c r="L678" s="323">
        <v>0.002777777777777778</v>
      </c>
      <c r="M678" s="326" t="s">
        <v>358</v>
      </c>
      <c r="N678" s="324" t="s">
        <v>187</v>
      </c>
      <c r="O678" s="419" t="s">
        <v>198</v>
      </c>
      <c r="P678" s="319" t="s">
        <v>218</v>
      </c>
      <c r="Q678" s="319" t="s">
        <v>851</v>
      </c>
      <c r="R678" s="326">
        <v>10.3</v>
      </c>
      <c r="S678" s="319">
        <v>7.9</v>
      </c>
      <c r="T678" s="324">
        <v>3.0</v>
      </c>
      <c r="U678" s="319">
        <v>4.5</v>
      </c>
      <c r="V678" s="319"/>
      <c r="W678" s="319"/>
      <c r="X678" s="319"/>
      <c r="Y678" s="319"/>
      <c r="Z678" s="319" t="s">
        <v>343</v>
      </c>
      <c r="AA678" s="319"/>
      <c r="AB678" s="319" t="s">
        <v>388</v>
      </c>
      <c r="AC678" s="327">
        <v>8.0</v>
      </c>
      <c r="AD678" s="319"/>
      <c r="AE678" s="319"/>
      <c r="AF678" s="319"/>
      <c r="AG678" s="319"/>
      <c r="AH678" s="319"/>
      <c r="AI678" s="319"/>
      <c r="AJ678" s="327"/>
      <c r="AK678" s="328"/>
      <c r="AL678" s="319"/>
      <c r="AM678" s="319"/>
      <c r="AN678" s="319"/>
      <c r="AO678" s="319"/>
      <c r="AP678" s="319"/>
      <c r="AQ678" s="319"/>
      <c r="AR678" s="319"/>
      <c r="AS678" s="327"/>
      <c r="AT678" s="461" t="s">
        <v>182</v>
      </c>
      <c r="AU678" s="324" t="s">
        <v>845</v>
      </c>
      <c r="AV678" s="330">
        <f>SQRT(($R678-Infrastructure!J$3)^2+($S678-Infrastructure!K$3)^2)</f>
        <v>23.52360517</v>
      </c>
      <c r="AW678" s="331">
        <f>SQRT(($R678-Infrastructure!J$4)^2+($S678-Infrastructure!K$4)^2)</f>
        <v>14.50413734</v>
      </c>
      <c r="AX678" s="331">
        <f>SQRT(($R678-Infrastructure!J$5)^2+($S678-Infrastructure!K$5)^2)</f>
        <v>10.96357606</v>
      </c>
      <c r="AY678" s="331">
        <f>SQRT(($R678-Infrastructure!J$6)^2+($S678-Infrastructure!K$6)^2)</f>
        <v>7.602631123</v>
      </c>
      <c r="AZ678" s="331">
        <f>SQRT(($R678-Infrastructure!J$7)^2+($S678-Infrastructure!K$7)^2)</f>
        <v>12.72006289</v>
      </c>
      <c r="BA678" s="331">
        <f>SQRT(($R678-Infrastructure!J$8)^2+($S678-Infrastructure!K$8)^2)</f>
        <v>21.20848887</v>
      </c>
      <c r="BB678" s="331">
        <f>SQRT(($R678-Infrastructure!J$9)^2+($S678-Infrastructure!K$9)^2)</f>
        <v>29.83169455</v>
      </c>
      <c r="BC678" s="331">
        <f>SQRT(($R678-Infrastructure!J$10)^2+($S678-Infrastructure!K$10)^2)</f>
        <v>30.53686297</v>
      </c>
      <c r="BD678" s="318"/>
      <c r="BE678" s="332"/>
      <c r="BF678" s="330">
        <f t="shared" si="14"/>
        <v>7.602631123</v>
      </c>
      <c r="BG678" s="333">
        <f t="shared" si="15"/>
        <v>30.53686297</v>
      </c>
      <c r="BH678" s="334"/>
      <c r="BI678" s="462" t="s">
        <v>845</v>
      </c>
      <c r="BJ678" s="319" t="s">
        <v>846</v>
      </c>
      <c r="BK678" s="319" t="s">
        <v>845</v>
      </c>
      <c r="BL678" s="788" t="s">
        <v>845</v>
      </c>
      <c r="BM678" s="319" t="s">
        <v>845</v>
      </c>
      <c r="BN678" s="788" t="s">
        <v>845</v>
      </c>
      <c r="BO678" s="319" t="s">
        <v>845</v>
      </c>
      <c r="BP678" s="319" t="s">
        <v>845</v>
      </c>
      <c r="BQ678" s="788" t="s">
        <v>845</v>
      </c>
      <c r="BR678" s="789" t="s">
        <v>845</v>
      </c>
      <c r="BS678" s="330">
        <f t="shared" si="23"/>
        <v>14.50413734</v>
      </c>
      <c r="BT678" s="331">
        <f t="shared" si="24"/>
        <v>14.50413734</v>
      </c>
      <c r="BU678" s="331"/>
      <c r="BV678" s="333"/>
      <c r="BW678" s="330"/>
      <c r="BX678" s="331"/>
      <c r="BY678" s="331" t="b">
        <f t="shared" si="38"/>
        <v>0</v>
      </c>
      <c r="BZ678" s="340"/>
      <c r="CA678" s="316"/>
      <c r="CB678" s="319" t="s">
        <v>846</v>
      </c>
      <c r="CC678" s="319" t="s">
        <v>846</v>
      </c>
      <c r="CD678" s="319" t="s">
        <v>846</v>
      </c>
      <c r="CE678" s="318"/>
      <c r="CF678" s="338"/>
      <c r="CG678" s="318"/>
      <c r="CH678" s="318"/>
      <c r="CI678" s="338"/>
      <c r="CJ678" s="341"/>
      <c r="CK678" s="342">
        <f t="shared" si="18"/>
        <v>7.602631123</v>
      </c>
      <c r="CL678" s="333">
        <f t="shared" si="19"/>
        <v>14.50413734</v>
      </c>
      <c r="CM678" s="702"/>
      <c r="CN678" s="595"/>
      <c r="CO678" s="595"/>
      <c r="CP678" s="595"/>
    </row>
    <row r="679">
      <c r="B679" s="462" t="s">
        <v>1259</v>
      </c>
      <c r="C679" s="417">
        <v>44257.0</v>
      </c>
      <c r="D679" s="318"/>
      <c r="E679" s="319">
        <v>7.0</v>
      </c>
      <c r="F679" s="324" t="s">
        <v>1266</v>
      </c>
      <c r="G679" s="321">
        <v>0.5786458333333333</v>
      </c>
      <c r="H679" s="323">
        <v>0.5802083333333333</v>
      </c>
      <c r="I679" s="323"/>
      <c r="J679" s="323"/>
      <c r="K679" s="323">
        <v>0.5829861111111111</v>
      </c>
      <c r="L679" s="323">
        <v>0.002777777777777778</v>
      </c>
      <c r="M679" s="326" t="s">
        <v>358</v>
      </c>
      <c r="N679" s="324" t="s">
        <v>187</v>
      </c>
      <c r="O679" s="419" t="s">
        <v>207</v>
      </c>
      <c r="P679" s="319" t="s">
        <v>221</v>
      </c>
      <c r="Q679" s="319" t="s">
        <v>851</v>
      </c>
      <c r="R679" s="326">
        <v>26.4</v>
      </c>
      <c r="S679" s="319">
        <v>14.2</v>
      </c>
      <c r="T679" s="324">
        <v>1.3</v>
      </c>
      <c r="U679" s="319">
        <v>1.6</v>
      </c>
      <c r="V679" s="319"/>
      <c r="W679" s="319"/>
      <c r="X679" s="319"/>
      <c r="Y679" s="319"/>
      <c r="Z679" s="319" t="s">
        <v>374</v>
      </c>
      <c r="AA679" s="319"/>
      <c r="AB679" s="319" t="s">
        <v>380</v>
      </c>
      <c r="AC679" s="327">
        <v>4.0</v>
      </c>
      <c r="AD679" s="319"/>
      <c r="AE679" s="319"/>
      <c r="AF679" s="319"/>
      <c r="AG679" s="319"/>
      <c r="AH679" s="319"/>
      <c r="AI679" s="319"/>
      <c r="AJ679" s="327"/>
      <c r="AK679" s="328"/>
      <c r="AL679" s="319"/>
      <c r="AM679" s="319"/>
      <c r="AN679" s="319"/>
      <c r="AO679" s="319"/>
      <c r="AP679" s="319"/>
      <c r="AQ679" s="319"/>
      <c r="AR679" s="319"/>
      <c r="AS679" s="327"/>
      <c r="AT679" s="461" t="s">
        <v>182</v>
      </c>
      <c r="AU679" s="324" t="s">
        <v>845</v>
      </c>
      <c r="AV679" s="330">
        <f>SQRT(($R679-Infrastructure!J$3)^2+($S679-Infrastructure!K$3)^2)</f>
        <v>30.47917322</v>
      </c>
      <c r="AW679" s="331">
        <f>SQRT(($R679-Infrastructure!J$4)^2+($S679-Infrastructure!K$4)^2)</f>
        <v>26.94160352</v>
      </c>
      <c r="AX679" s="331">
        <f>SQRT(($R679-Infrastructure!J$5)^2+($S679-Infrastructure!K$5)^2)</f>
        <v>28.20815485</v>
      </c>
      <c r="AY679" s="331">
        <f>SQRT(($R679-Infrastructure!J$6)^2+($S679-Infrastructure!K$6)^2)</f>
        <v>21.42195136</v>
      </c>
      <c r="AZ679" s="331">
        <f>SQRT(($R679-Infrastructure!J$7)^2+($S679-Infrastructure!K$7)^2)</f>
        <v>15.10033112</v>
      </c>
      <c r="BA679" s="331">
        <f>SQRT(($R679-Infrastructure!J$8)^2+($S679-Infrastructure!K$8)^2)</f>
        <v>14.38401891</v>
      </c>
      <c r="BB679" s="331">
        <f>SQRT(($R679-Infrastructure!J$9)^2+($S679-Infrastructure!K$9)^2)</f>
        <v>16.36367929</v>
      </c>
      <c r="BC679" s="331">
        <f>SQRT(($R679-Infrastructure!J$10)^2+($S679-Infrastructure!K$10)^2)</f>
        <v>13.62350909</v>
      </c>
      <c r="BD679" s="318"/>
      <c r="BE679" s="332"/>
      <c r="BF679" s="330">
        <f t="shared" si="14"/>
        <v>13.62350909</v>
      </c>
      <c r="BG679" s="333">
        <f t="shared" si="15"/>
        <v>30.47917322</v>
      </c>
      <c r="BH679" s="334"/>
      <c r="BI679" s="462" t="s">
        <v>845</v>
      </c>
      <c r="BJ679" s="319" t="s">
        <v>845</v>
      </c>
      <c r="BK679" s="319" t="s">
        <v>845</v>
      </c>
      <c r="BL679" s="788" t="s">
        <v>845</v>
      </c>
      <c r="BM679" s="319" t="s">
        <v>845</v>
      </c>
      <c r="BN679" s="788" t="s">
        <v>845</v>
      </c>
      <c r="BO679" s="319" t="s">
        <v>845</v>
      </c>
      <c r="BP679" s="319" t="s">
        <v>845</v>
      </c>
      <c r="BQ679" s="788" t="s">
        <v>845</v>
      </c>
      <c r="BR679" s="789" t="s">
        <v>845</v>
      </c>
      <c r="BS679" s="330">
        <f t="shared" si="23"/>
        <v>0</v>
      </c>
      <c r="BT679" s="331">
        <f t="shared" si="24"/>
        <v>0</v>
      </c>
      <c r="BU679" s="331"/>
      <c r="BV679" s="333"/>
      <c r="BW679" s="330"/>
      <c r="BX679" s="331"/>
      <c r="BY679" s="331" t="b">
        <f t="shared" si="38"/>
        <v>0</v>
      </c>
      <c r="BZ679" s="340"/>
      <c r="CA679" s="316"/>
      <c r="CB679" s="318"/>
      <c r="CC679" s="318"/>
      <c r="CD679" s="318"/>
      <c r="CE679" s="318"/>
      <c r="CF679" s="338"/>
      <c r="CG679" s="318"/>
      <c r="CH679" s="318"/>
      <c r="CI679" s="338"/>
      <c r="CJ679" s="341"/>
      <c r="CK679" s="342">
        <f t="shared" si="18"/>
        <v>0</v>
      </c>
      <c r="CL679" s="333">
        <f t="shared" si="19"/>
        <v>0</v>
      </c>
      <c r="CM679" s="616"/>
      <c r="CN679" s="617"/>
      <c r="CO679" s="617"/>
      <c r="CP679" s="617"/>
    </row>
    <row r="680">
      <c r="B680" s="462" t="s">
        <v>1259</v>
      </c>
      <c r="C680" s="417">
        <v>44257.0</v>
      </c>
      <c r="D680" s="318"/>
      <c r="E680" s="319" t="s">
        <v>1267</v>
      </c>
      <c r="F680" s="324" t="s">
        <v>1268</v>
      </c>
      <c r="G680" s="321">
        <v>0.5864583333333333</v>
      </c>
      <c r="H680" s="323">
        <v>0.5873263888888889</v>
      </c>
      <c r="I680" s="323"/>
      <c r="J680" s="323"/>
      <c r="K680" s="323">
        <v>0.5928819444444444</v>
      </c>
      <c r="L680" s="323">
        <v>0.005555555555555556</v>
      </c>
      <c r="M680" s="326" t="s">
        <v>358</v>
      </c>
      <c r="N680" s="324" t="s">
        <v>187</v>
      </c>
      <c r="O680" s="419" t="s">
        <v>207</v>
      </c>
      <c r="P680" s="319" t="s">
        <v>219</v>
      </c>
      <c r="Q680" s="319" t="s">
        <v>851</v>
      </c>
      <c r="R680" s="326">
        <v>25.9</v>
      </c>
      <c r="S680" s="319">
        <v>12.4</v>
      </c>
      <c r="T680" s="324">
        <v>1.7</v>
      </c>
      <c r="U680" s="319">
        <v>6.5</v>
      </c>
      <c r="V680" s="319"/>
      <c r="W680" s="319"/>
      <c r="X680" s="319"/>
      <c r="Y680" s="319"/>
      <c r="Z680" s="319" t="s">
        <v>374</v>
      </c>
      <c r="AA680" s="319"/>
      <c r="AB680" s="319" t="s">
        <v>388</v>
      </c>
      <c r="AC680" s="327">
        <v>8.0</v>
      </c>
      <c r="AD680" s="319"/>
      <c r="AE680" s="319"/>
      <c r="AF680" s="319"/>
      <c r="AG680" s="319"/>
      <c r="AH680" s="319"/>
      <c r="AI680" s="319"/>
      <c r="AJ680" s="327"/>
      <c r="AK680" s="328"/>
      <c r="AL680" s="319"/>
      <c r="AM680" s="319"/>
      <c r="AN680" s="319"/>
      <c r="AO680" s="319"/>
      <c r="AP680" s="319"/>
      <c r="AQ680" s="319"/>
      <c r="AR680" s="319"/>
      <c r="AS680" s="327"/>
      <c r="AT680" s="461" t="s">
        <v>182</v>
      </c>
      <c r="AU680" s="324" t="s">
        <v>846</v>
      </c>
      <c r="AV680" s="330">
        <f>SQRT(($R680-Infrastructure!J$3)^2+($S680-Infrastructure!K$3)^2)</f>
        <v>30.96271952</v>
      </c>
      <c r="AW680" s="331">
        <f>SQRT(($R680-Infrastructure!J$4)^2+($S680-Infrastructure!K$4)^2)</f>
        <v>26.75070093</v>
      </c>
      <c r="AX680" s="331">
        <f>SQRT(($R680-Infrastructure!J$5)^2+($S680-Infrastructure!K$5)^2)</f>
        <v>27.19797787</v>
      </c>
      <c r="AY680" s="331">
        <f>SQRT(($R680-Infrastructure!J$6)^2+($S680-Infrastructure!K$6)^2)</f>
        <v>19.901005</v>
      </c>
      <c r="AZ680" s="331">
        <f>SQRT(($R680-Infrastructure!J$7)^2+($S680-Infrastructure!K$7)^2)</f>
        <v>13.25028302</v>
      </c>
      <c r="BA680" s="331">
        <f>SQRT(($R680-Infrastructure!J$8)^2+($S680-Infrastructure!K$8)^2)</f>
        <v>12.8082005</v>
      </c>
      <c r="BB680" s="331">
        <f>SQRT(($R680-Infrastructure!J$9)^2+($S680-Infrastructure!K$9)^2)</f>
        <v>15.87765726</v>
      </c>
      <c r="BC680" s="331">
        <f>SQRT(($R680-Infrastructure!J$10)^2+($S680-Infrastructure!K$10)^2)</f>
        <v>14.33771251</v>
      </c>
      <c r="BD680" s="318"/>
      <c r="BE680" s="332"/>
      <c r="BF680" s="330">
        <f t="shared" si="14"/>
        <v>12.8082005</v>
      </c>
      <c r="BG680" s="333">
        <f t="shared" si="15"/>
        <v>30.96271952</v>
      </c>
      <c r="BH680" s="334"/>
      <c r="BI680" s="462" t="s">
        <v>845</v>
      </c>
      <c r="BJ680" s="319" t="s">
        <v>845</v>
      </c>
      <c r="BK680" s="319" t="s">
        <v>845</v>
      </c>
      <c r="BL680" s="788" t="s">
        <v>845</v>
      </c>
      <c r="BM680" s="319" t="s">
        <v>846</v>
      </c>
      <c r="BN680" s="788" t="s">
        <v>845</v>
      </c>
      <c r="BO680" s="319" t="s">
        <v>845</v>
      </c>
      <c r="BP680" s="319" t="s">
        <v>845</v>
      </c>
      <c r="BQ680" s="788" t="s">
        <v>845</v>
      </c>
      <c r="BR680" s="789" t="s">
        <v>845</v>
      </c>
      <c r="BS680" s="330">
        <f t="shared" si="23"/>
        <v>13.25028302</v>
      </c>
      <c r="BT680" s="331">
        <f t="shared" si="24"/>
        <v>13.25028302</v>
      </c>
      <c r="BU680" s="331"/>
      <c r="BV680" s="333"/>
      <c r="BW680" s="330"/>
      <c r="BX680" s="331"/>
      <c r="BY680" s="331" t="b">
        <f t="shared" si="38"/>
        <v>0</v>
      </c>
      <c r="BZ680" s="340"/>
      <c r="CA680" s="316"/>
      <c r="CB680" s="318"/>
      <c r="CC680" s="318"/>
      <c r="CD680" s="318"/>
      <c r="CE680" s="319" t="s">
        <v>846</v>
      </c>
      <c r="CF680" s="338"/>
      <c r="CG680" s="319" t="s">
        <v>846</v>
      </c>
      <c r="CH680" s="319" t="s">
        <v>846</v>
      </c>
      <c r="CI680" s="338"/>
      <c r="CJ680" s="341"/>
      <c r="CK680" s="342">
        <f t="shared" si="18"/>
        <v>13.25028302</v>
      </c>
      <c r="CL680" s="333">
        <f t="shared" si="19"/>
        <v>15.87765726</v>
      </c>
      <c r="CM680" s="702"/>
      <c r="CN680" s="595"/>
      <c r="CO680" s="595"/>
      <c r="CP680" s="595"/>
    </row>
    <row r="681">
      <c r="B681" s="462" t="s">
        <v>1259</v>
      </c>
      <c r="C681" s="417">
        <v>44257.0</v>
      </c>
      <c r="D681" s="318"/>
      <c r="E681" s="319" t="s">
        <v>1269</v>
      </c>
      <c r="F681" s="324" t="s">
        <v>1270</v>
      </c>
      <c r="G681" s="657"/>
      <c r="H681" s="322"/>
      <c r="I681" s="322"/>
      <c r="J681" s="322"/>
      <c r="K681" s="322"/>
      <c r="L681" s="322"/>
      <c r="M681" s="457"/>
      <c r="N681" s="324" t="s">
        <v>187</v>
      </c>
      <c r="O681" s="419" t="s">
        <v>197</v>
      </c>
      <c r="P681" s="319" t="s">
        <v>220</v>
      </c>
      <c r="Q681" s="319" t="s">
        <v>851</v>
      </c>
      <c r="R681" s="326">
        <v>37.1</v>
      </c>
      <c r="S681" s="319">
        <v>7.0</v>
      </c>
      <c r="T681" s="324">
        <v>7.0</v>
      </c>
      <c r="U681" s="319">
        <v>6.5</v>
      </c>
      <c r="V681" s="319"/>
      <c r="W681" s="319"/>
      <c r="X681" s="319"/>
      <c r="Y681" s="319"/>
      <c r="Z681" s="319" t="s">
        <v>379</v>
      </c>
      <c r="AA681" s="319"/>
      <c r="AB681" s="319" t="s">
        <v>392</v>
      </c>
      <c r="AC681" s="327">
        <v>10.0</v>
      </c>
      <c r="AD681" s="319"/>
      <c r="AE681" s="319"/>
      <c r="AF681" s="319"/>
      <c r="AG681" s="319"/>
      <c r="AH681" s="319"/>
      <c r="AI681" s="319"/>
      <c r="AJ681" s="327"/>
      <c r="AK681" s="328"/>
      <c r="AL681" s="319"/>
      <c r="AM681" s="319"/>
      <c r="AN681" s="319"/>
      <c r="AO681" s="319"/>
      <c r="AP681" s="319"/>
      <c r="AQ681" s="319"/>
      <c r="AR681" s="319"/>
      <c r="AS681" s="327"/>
      <c r="AT681" s="461" t="s">
        <v>182</v>
      </c>
      <c r="AU681" s="324" t="s">
        <v>846</v>
      </c>
      <c r="AV681" s="330">
        <f>SQRT(($R681-Infrastructure!J$3)^2+($S681-Infrastructure!K$3)^2)</f>
        <v>43.34016613</v>
      </c>
      <c r="AW681" s="331">
        <f>SQRT(($R681-Infrastructure!J$4)^2+($S681-Infrastructure!K$4)^2)</f>
        <v>38.92813892</v>
      </c>
      <c r="AX681" s="331">
        <f>SQRT(($R681-Infrastructure!J$5)^2+($S681-Infrastructure!K$5)^2)</f>
        <v>37.44823093</v>
      </c>
      <c r="AY681" s="331">
        <f>SQRT(($R681-Infrastructure!J$6)^2+($S681-Infrastructure!K$6)^2)</f>
        <v>27.81887848</v>
      </c>
      <c r="AZ681" s="331">
        <f>SQRT(($R681-Infrastructure!J$7)^2+($S681-Infrastructure!K$7)^2)</f>
        <v>17.90111728</v>
      </c>
      <c r="BA681" s="331">
        <f>SQRT(($R681-Infrastructure!J$8)^2+($S681-Infrastructure!K$8)^2)</f>
        <v>9.689685237</v>
      </c>
      <c r="BB681" s="331">
        <f>SQRT(($R681-Infrastructure!J$9)^2+($S681-Infrastructure!K$9)^2)</f>
        <v>3.466987165</v>
      </c>
      <c r="BC681" s="331">
        <f>SQRT(($R681-Infrastructure!J$10)^2+($S681-Infrastructure!K$10)^2)</f>
        <v>8.50940656</v>
      </c>
      <c r="BD681" s="318"/>
      <c r="BE681" s="332"/>
      <c r="BF681" s="330">
        <f t="shared" si="14"/>
        <v>3.466987165</v>
      </c>
      <c r="BG681" s="333">
        <f t="shared" si="15"/>
        <v>43.34016613</v>
      </c>
      <c r="BH681" s="334"/>
      <c r="BI681" s="462" t="s">
        <v>845</v>
      </c>
      <c r="BJ681" s="319" t="s">
        <v>845</v>
      </c>
      <c r="BK681" s="319" t="s">
        <v>845</v>
      </c>
      <c r="BL681" s="788" t="s">
        <v>845</v>
      </c>
      <c r="BM681" s="319" t="s">
        <v>845</v>
      </c>
      <c r="BN681" s="788" t="s">
        <v>845</v>
      </c>
      <c r="BO681" s="319" t="s">
        <v>845</v>
      </c>
      <c r="BP681" s="319" t="s">
        <v>845</v>
      </c>
      <c r="BQ681" s="788" t="s">
        <v>845</v>
      </c>
      <c r="BR681" s="789" t="s">
        <v>845</v>
      </c>
      <c r="BS681" s="330">
        <f t="shared" si="23"/>
        <v>0</v>
      </c>
      <c r="BT681" s="331">
        <f t="shared" si="24"/>
        <v>0</v>
      </c>
      <c r="BU681" s="331"/>
      <c r="BV681" s="333"/>
      <c r="BW681" s="330"/>
      <c r="BX681" s="331"/>
      <c r="BY681" s="331" t="b">
        <f t="shared" si="38"/>
        <v>0</v>
      </c>
      <c r="BZ681" s="340"/>
      <c r="CA681" s="316"/>
      <c r="CB681" s="318"/>
      <c r="CC681" s="318"/>
      <c r="CD681" s="318"/>
      <c r="CE681" s="318"/>
      <c r="CF681" s="338"/>
      <c r="CG681" s="318"/>
      <c r="CH681" s="318"/>
      <c r="CI681" s="338"/>
      <c r="CJ681" s="341"/>
      <c r="CK681" s="342">
        <f t="shared" si="18"/>
        <v>0</v>
      </c>
      <c r="CL681" s="333">
        <f t="shared" si="19"/>
        <v>0</v>
      </c>
      <c r="CM681" s="616"/>
      <c r="CN681" s="617"/>
      <c r="CO681" s="617"/>
      <c r="CP681" s="617"/>
    </row>
    <row r="682">
      <c r="B682" s="462" t="s">
        <v>1259</v>
      </c>
      <c r="C682" s="417">
        <v>44257.0</v>
      </c>
      <c r="D682" s="318"/>
      <c r="E682" s="319">
        <v>9.0</v>
      </c>
      <c r="F682" s="324" t="s">
        <v>1271</v>
      </c>
      <c r="G682" s="321">
        <v>0.5984375</v>
      </c>
      <c r="H682" s="323">
        <v>0.5993055555555555</v>
      </c>
      <c r="I682" s="323"/>
      <c r="J682" s="323"/>
      <c r="K682" s="323">
        <v>0.6020833333333333</v>
      </c>
      <c r="L682" s="323">
        <v>0.002777777777777778</v>
      </c>
      <c r="M682" s="326" t="s">
        <v>358</v>
      </c>
      <c r="N682" s="324" t="s">
        <v>187</v>
      </c>
      <c r="O682" s="419" t="s">
        <v>199</v>
      </c>
      <c r="P682" s="319" t="s">
        <v>220</v>
      </c>
      <c r="Q682" s="319" t="s">
        <v>851</v>
      </c>
      <c r="R682" s="326">
        <v>16.2</v>
      </c>
      <c r="S682" s="319">
        <v>9.3</v>
      </c>
      <c r="T682" s="324">
        <v>0.1</v>
      </c>
      <c r="U682" s="319">
        <v>3.75</v>
      </c>
      <c r="V682" s="319"/>
      <c r="W682" s="319"/>
      <c r="X682" s="319"/>
      <c r="Y682" s="319"/>
      <c r="Z682" s="319" t="s">
        <v>351</v>
      </c>
      <c r="AA682" s="319"/>
      <c r="AB682" s="319" t="s">
        <v>384</v>
      </c>
      <c r="AC682" s="327">
        <v>6.0</v>
      </c>
      <c r="AD682" s="319"/>
      <c r="AE682" s="319"/>
      <c r="AF682" s="319"/>
      <c r="AG682" s="319"/>
      <c r="AH682" s="319"/>
      <c r="AI682" s="319"/>
      <c r="AJ682" s="327"/>
      <c r="AK682" s="328"/>
      <c r="AL682" s="319"/>
      <c r="AM682" s="319"/>
      <c r="AN682" s="319"/>
      <c r="AO682" s="319"/>
      <c r="AP682" s="319"/>
      <c r="AQ682" s="319"/>
      <c r="AR682" s="319"/>
      <c r="AS682" s="327"/>
      <c r="AT682" s="461" t="s">
        <v>182</v>
      </c>
      <c r="AU682" s="324" t="s">
        <v>845</v>
      </c>
      <c r="AV682" s="330">
        <f>SQRT(($R682-Infrastructure!J$3)^2+($S682-Infrastructure!K$3)^2)</f>
        <v>25.6204996</v>
      </c>
      <c r="AW682" s="331">
        <f>SQRT(($R682-Infrastructure!J$4)^2+($S682-Infrastructure!K$4)^2)</f>
        <v>18.56071119</v>
      </c>
      <c r="AX682" s="331">
        <f>SQRT(($R682-Infrastructure!J$5)^2+($S682-Infrastructure!K$5)^2)</f>
        <v>17.02615635</v>
      </c>
      <c r="AY682" s="331">
        <f>SQRT(($R682-Infrastructure!J$6)^2+($S682-Infrastructure!K$6)^2)</f>
        <v>10.87244223</v>
      </c>
      <c r="AZ682" s="331">
        <f>SQRT(($R682-Infrastructure!J$7)^2+($S682-Infrastructure!K$7)^2)</f>
        <v>9.974467404</v>
      </c>
      <c r="BA682" s="331">
        <f>SQRT(($R682-Infrastructure!J$8)^2+($S682-Infrastructure!K$8)^2)</f>
        <v>16.55928742</v>
      </c>
      <c r="BB682" s="331">
        <f>SQRT(($R682-Infrastructure!J$9)^2+($S682-Infrastructure!K$9)^2)</f>
        <v>24.1677471</v>
      </c>
      <c r="BC682" s="331">
        <f>SQRT(($R682-Infrastructure!J$10)^2+($S682-Infrastructure!K$10)^2)</f>
        <v>24.4730464</v>
      </c>
      <c r="BD682" s="318"/>
      <c r="BE682" s="332"/>
      <c r="BF682" s="330">
        <f t="shared" si="14"/>
        <v>9.974467404</v>
      </c>
      <c r="BG682" s="333">
        <f t="shared" si="15"/>
        <v>25.6204996</v>
      </c>
      <c r="BH682" s="334"/>
      <c r="BI682" s="462" t="s">
        <v>845</v>
      </c>
      <c r="BJ682" s="319" t="s">
        <v>845</v>
      </c>
      <c r="BK682" s="319" t="s">
        <v>845</v>
      </c>
      <c r="BL682" s="788" t="s">
        <v>845</v>
      </c>
      <c r="BM682" s="319" t="s">
        <v>845</v>
      </c>
      <c r="BN682" s="788" t="s">
        <v>845</v>
      </c>
      <c r="BO682" s="319" t="s">
        <v>845</v>
      </c>
      <c r="BP682" s="319" t="s">
        <v>845</v>
      </c>
      <c r="BQ682" s="788" t="s">
        <v>845</v>
      </c>
      <c r="BR682" s="789" t="s">
        <v>845</v>
      </c>
      <c r="BS682" s="330">
        <f t="shared" si="23"/>
        <v>0</v>
      </c>
      <c r="BT682" s="331">
        <f t="shared" si="24"/>
        <v>0</v>
      </c>
      <c r="BU682" s="331"/>
      <c r="BV682" s="333"/>
      <c r="BW682" s="330"/>
      <c r="BX682" s="331"/>
      <c r="BY682" s="331" t="b">
        <f t="shared" si="38"/>
        <v>0</v>
      </c>
      <c r="BZ682" s="340"/>
      <c r="CA682" s="316"/>
      <c r="CB682" s="318"/>
      <c r="CC682" s="318"/>
      <c r="CD682" s="318"/>
      <c r="CE682" s="318"/>
      <c r="CF682" s="338"/>
      <c r="CG682" s="318"/>
      <c r="CH682" s="318"/>
      <c r="CI682" s="338"/>
      <c r="CJ682" s="341"/>
      <c r="CK682" s="342">
        <f t="shared" si="18"/>
        <v>0</v>
      </c>
      <c r="CL682" s="333">
        <f t="shared" si="19"/>
        <v>0</v>
      </c>
      <c r="CM682" s="616"/>
      <c r="CN682" s="617"/>
      <c r="CO682" s="617"/>
      <c r="CP682" s="617"/>
    </row>
    <row r="683">
      <c r="B683" s="462" t="s">
        <v>1259</v>
      </c>
      <c r="C683" s="417">
        <v>44257.0</v>
      </c>
      <c r="D683" s="318"/>
      <c r="E683" s="319">
        <v>10.0</v>
      </c>
      <c r="F683" s="324" t="s">
        <v>1272</v>
      </c>
      <c r="G683" s="321">
        <v>0.6026041666666667</v>
      </c>
      <c r="H683" s="323">
        <v>0.6036458333333333</v>
      </c>
      <c r="I683" s="323"/>
      <c r="J683" s="323"/>
      <c r="K683" s="323">
        <v>0.6064236111111111</v>
      </c>
      <c r="L683" s="323">
        <v>0.002777777777777778</v>
      </c>
      <c r="M683" s="326" t="s">
        <v>358</v>
      </c>
      <c r="N683" s="324" t="s">
        <v>187</v>
      </c>
      <c r="O683" s="419" t="s">
        <v>199</v>
      </c>
      <c r="P683" s="319" t="s">
        <v>220</v>
      </c>
      <c r="Q683" s="319" t="s">
        <v>851</v>
      </c>
      <c r="R683" s="326">
        <v>16.2</v>
      </c>
      <c r="S683" s="319">
        <v>9.3</v>
      </c>
      <c r="T683" s="324">
        <v>0.1</v>
      </c>
      <c r="U683" s="319">
        <v>2.5</v>
      </c>
      <c r="V683" s="319"/>
      <c r="W683" s="319"/>
      <c r="X683" s="319"/>
      <c r="Y683" s="319"/>
      <c r="Z683" s="319" t="s">
        <v>351</v>
      </c>
      <c r="AA683" s="319"/>
      <c r="AB683" s="319" t="s">
        <v>380</v>
      </c>
      <c r="AC683" s="327">
        <v>4.0</v>
      </c>
      <c r="AD683" s="319"/>
      <c r="AE683" s="319"/>
      <c r="AF683" s="319"/>
      <c r="AG683" s="319"/>
      <c r="AH683" s="319"/>
      <c r="AI683" s="319"/>
      <c r="AJ683" s="327"/>
      <c r="AK683" s="328"/>
      <c r="AL683" s="319"/>
      <c r="AM683" s="319"/>
      <c r="AN683" s="319"/>
      <c r="AO683" s="319"/>
      <c r="AP683" s="319"/>
      <c r="AQ683" s="319"/>
      <c r="AR683" s="319"/>
      <c r="AS683" s="327"/>
      <c r="AT683" s="461" t="s">
        <v>182</v>
      </c>
      <c r="AU683" s="324" t="s">
        <v>845</v>
      </c>
      <c r="AV683" s="330">
        <f>SQRT(($R683-Infrastructure!J$3)^2+($S683-Infrastructure!K$3)^2)</f>
        <v>25.6204996</v>
      </c>
      <c r="AW683" s="331">
        <f>SQRT(($R683-Infrastructure!J$4)^2+($S683-Infrastructure!K$4)^2)</f>
        <v>18.56071119</v>
      </c>
      <c r="AX683" s="331">
        <f>SQRT(($R683-Infrastructure!J$5)^2+($S683-Infrastructure!K$5)^2)</f>
        <v>17.02615635</v>
      </c>
      <c r="AY683" s="331">
        <f>SQRT(($R683-Infrastructure!J$6)^2+($S683-Infrastructure!K$6)^2)</f>
        <v>10.87244223</v>
      </c>
      <c r="AZ683" s="331">
        <f>SQRT(($R683-Infrastructure!J$7)^2+($S683-Infrastructure!K$7)^2)</f>
        <v>9.974467404</v>
      </c>
      <c r="BA683" s="331">
        <f>SQRT(($R683-Infrastructure!J$8)^2+($S683-Infrastructure!K$8)^2)</f>
        <v>16.55928742</v>
      </c>
      <c r="BB683" s="331">
        <f>SQRT(($R683-Infrastructure!J$9)^2+($S683-Infrastructure!K$9)^2)</f>
        <v>24.1677471</v>
      </c>
      <c r="BC683" s="331">
        <f>SQRT(($R683-Infrastructure!J$10)^2+($S683-Infrastructure!K$10)^2)</f>
        <v>24.4730464</v>
      </c>
      <c r="BD683" s="318"/>
      <c r="BE683" s="332"/>
      <c r="BF683" s="330">
        <f t="shared" si="14"/>
        <v>9.974467404</v>
      </c>
      <c r="BG683" s="333">
        <f t="shared" si="15"/>
        <v>25.6204996</v>
      </c>
      <c r="BH683" s="334"/>
      <c r="BI683" s="462" t="s">
        <v>845</v>
      </c>
      <c r="BJ683" s="319" t="s">
        <v>845</v>
      </c>
      <c r="BK683" s="319" t="s">
        <v>845</v>
      </c>
      <c r="BL683" s="788" t="s">
        <v>845</v>
      </c>
      <c r="BM683" s="319" t="s">
        <v>845</v>
      </c>
      <c r="BN683" s="788" t="s">
        <v>845</v>
      </c>
      <c r="BO683" s="319" t="s">
        <v>845</v>
      </c>
      <c r="BP683" s="319" t="s">
        <v>845</v>
      </c>
      <c r="BQ683" s="788" t="s">
        <v>845</v>
      </c>
      <c r="BR683" s="789" t="s">
        <v>845</v>
      </c>
      <c r="BS683" s="330">
        <f t="shared" si="23"/>
        <v>0</v>
      </c>
      <c r="BT683" s="331">
        <f t="shared" si="24"/>
        <v>0</v>
      </c>
      <c r="BU683" s="331"/>
      <c r="BV683" s="333"/>
      <c r="BW683" s="330"/>
      <c r="BX683" s="331"/>
      <c r="BY683" s="331" t="b">
        <f t="shared" si="38"/>
        <v>0</v>
      </c>
      <c r="BZ683" s="340"/>
      <c r="CA683" s="316"/>
      <c r="CB683" s="318"/>
      <c r="CC683" s="318"/>
      <c r="CD683" s="318"/>
      <c r="CE683" s="318"/>
      <c r="CF683" s="338"/>
      <c r="CG683" s="318"/>
      <c r="CH683" s="318"/>
      <c r="CI683" s="338"/>
      <c r="CJ683" s="341"/>
      <c r="CK683" s="342">
        <f t="shared" si="18"/>
        <v>0</v>
      </c>
      <c r="CL683" s="333">
        <f t="shared" si="19"/>
        <v>0</v>
      </c>
      <c r="CM683" s="616"/>
      <c r="CN683" s="617"/>
      <c r="CO683" s="617"/>
      <c r="CP683" s="617"/>
    </row>
    <row r="684">
      <c r="B684" s="462" t="s">
        <v>1259</v>
      </c>
      <c r="C684" s="417">
        <v>44257.0</v>
      </c>
      <c r="D684" s="318"/>
      <c r="E684" s="319">
        <v>11.0</v>
      </c>
      <c r="F684" s="324" t="s">
        <v>1273</v>
      </c>
      <c r="G684" s="321">
        <v>0.608738425925926</v>
      </c>
      <c r="H684" s="323">
        <v>0.609375</v>
      </c>
      <c r="I684" s="323"/>
      <c r="J684" s="323"/>
      <c r="K684" s="323">
        <v>0.6121527777777778</v>
      </c>
      <c r="L684" s="323">
        <v>0.002777777777777778</v>
      </c>
      <c r="M684" s="326" t="s">
        <v>358</v>
      </c>
      <c r="N684" s="324" t="s">
        <v>187</v>
      </c>
      <c r="O684" s="419" t="s">
        <v>197</v>
      </c>
      <c r="P684" s="319" t="s">
        <v>220</v>
      </c>
      <c r="Q684" s="319" t="s">
        <v>851</v>
      </c>
      <c r="R684" s="326">
        <v>37.1</v>
      </c>
      <c r="S684" s="319">
        <v>7.0</v>
      </c>
      <c r="T684" s="324">
        <v>7.0</v>
      </c>
      <c r="U684" s="319">
        <v>3.75</v>
      </c>
      <c r="V684" s="319"/>
      <c r="W684" s="319"/>
      <c r="X684" s="319"/>
      <c r="Y684" s="319"/>
      <c r="Z684" s="319" t="s">
        <v>379</v>
      </c>
      <c r="AA684" s="319"/>
      <c r="AB684" s="319" t="s">
        <v>384</v>
      </c>
      <c r="AC684" s="327">
        <v>6.0</v>
      </c>
      <c r="AD684" s="319"/>
      <c r="AE684" s="319"/>
      <c r="AF684" s="319"/>
      <c r="AG684" s="319"/>
      <c r="AH684" s="319"/>
      <c r="AI684" s="319"/>
      <c r="AJ684" s="327"/>
      <c r="AK684" s="328"/>
      <c r="AL684" s="319"/>
      <c r="AM684" s="319"/>
      <c r="AN684" s="319"/>
      <c r="AO684" s="319"/>
      <c r="AP684" s="319"/>
      <c r="AQ684" s="319"/>
      <c r="AR684" s="319"/>
      <c r="AS684" s="327"/>
      <c r="AT684" s="461" t="s">
        <v>182</v>
      </c>
      <c r="AU684" s="324" t="s">
        <v>845</v>
      </c>
      <c r="AV684" s="330">
        <f>SQRT(($R684-Infrastructure!J$3)^2+($S684-Infrastructure!K$3)^2)</f>
        <v>43.34016613</v>
      </c>
      <c r="AW684" s="331">
        <f>SQRT(($R684-Infrastructure!J$4)^2+($S684-Infrastructure!K$4)^2)</f>
        <v>38.92813892</v>
      </c>
      <c r="AX684" s="331">
        <f>SQRT(($R684-Infrastructure!J$5)^2+($S684-Infrastructure!K$5)^2)</f>
        <v>37.44823093</v>
      </c>
      <c r="AY684" s="331">
        <f>SQRT(($R684-Infrastructure!J$6)^2+($S684-Infrastructure!K$6)^2)</f>
        <v>27.81887848</v>
      </c>
      <c r="AZ684" s="331">
        <f>SQRT(($R684-Infrastructure!J$7)^2+($S684-Infrastructure!K$7)^2)</f>
        <v>17.90111728</v>
      </c>
      <c r="BA684" s="331">
        <f>SQRT(($R684-Infrastructure!J$8)^2+($S684-Infrastructure!K$8)^2)</f>
        <v>9.689685237</v>
      </c>
      <c r="BB684" s="331">
        <f>SQRT(($R684-Infrastructure!J$9)^2+($S684-Infrastructure!K$9)^2)</f>
        <v>3.466987165</v>
      </c>
      <c r="BC684" s="331">
        <f>SQRT(($R684-Infrastructure!J$10)^2+($S684-Infrastructure!K$10)^2)</f>
        <v>8.50940656</v>
      </c>
      <c r="BD684" s="318"/>
      <c r="BE684" s="332"/>
      <c r="BF684" s="330">
        <f t="shared" si="14"/>
        <v>3.466987165</v>
      </c>
      <c r="BG684" s="333">
        <f t="shared" si="15"/>
        <v>43.34016613</v>
      </c>
      <c r="BH684" s="334"/>
      <c r="BI684" s="462" t="s">
        <v>845</v>
      </c>
      <c r="BJ684" s="319" t="s">
        <v>845</v>
      </c>
      <c r="BK684" s="319" t="s">
        <v>845</v>
      </c>
      <c r="BL684" s="788" t="s">
        <v>845</v>
      </c>
      <c r="BM684" s="319" t="s">
        <v>845</v>
      </c>
      <c r="BN684" s="788" t="s">
        <v>845</v>
      </c>
      <c r="BO684" s="319" t="s">
        <v>845</v>
      </c>
      <c r="BP684" s="319" t="s">
        <v>845</v>
      </c>
      <c r="BQ684" s="788" t="s">
        <v>845</v>
      </c>
      <c r="BR684" s="789" t="s">
        <v>845</v>
      </c>
      <c r="BS684" s="330">
        <f t="shared" si="23"/>
        <v>0</v>
      </c>
      <c r="BT684" s="331">
        <f t="shared" si="24"/>
        <v>0</v>
      </c>
      <c r="BU684" s="331"/>
      <c r="BV684" s="333"/>
      <c r="BW684" s="330"/>
      <c r="BX684" s="331"/>
      <c r="BY684" s="331" t="b">
        <f t="shared" si="38"/>
        <v>0</v>
      </c>
      <c r="BZ684" s="340"/>
      <c r="CA684" s="316"/>
      <c r="CB684" s="318"/>
      <c r="CC684" s="318"/>
      <c r="CD684" s="318"/>
      <c r="CE684" s="318"/>
      <c r="CF684" s="338"/>
      <c r="CG684" s="319" t="s">
        <v>846</v>
      </c>
      <c r="CH684" s="318"/>
      <c r="CI684" s="338"/>
      <c r="CJ684" s="341"/>
      <c r="CK684" s="342">
        <f t="shared" si="18"/>
        <v>3.466987165</v>
      </c>
      <c r="CL684" s="333">
        <f t="shared" si="19"/>
        <v>3.466987165</v>
      </c>
      <c r="CM684" s="702"/>
      <c r="CN684" s="595"/>
      <c r="CO684" s="595"/>
      <c r="CP684" s="595"/>
    </row>
    <row r="685">
      <c r="B685" s="462" t="s">
        <v>1259</v>
      </c>
      <c r="C685" s="417">
        <v>44257.0</v>
      </c>
      <c r="D685" s="318"/>
      <c r="E685" s="319">
        <v>12.0</v>
      </c>
      <c r="F685" s="324" t="s">
        <v>1274</v>
      </c>
      <c r="G685" s="321">
        <v>0.6164930555555556</v>
      </c>
      <c r="H685" s="323">
        <v>0.6175347222222223</v>
      </c>
      <c r="I685" s="323"/>
      <c r="J685" s="323"/>
      <c r="K685" s="323">
        <v>0.6203125</v>
      </c>
      <c r="L685" s="323">
        <v>0.002777777777777778</v>
      </c>
      <c r="M685" s="326" t="s">
        <v>358</v>
      </c>
      <c r="N685" s="324" t="s">
        <v>187</v>
      </c>
      <c r="O685" s="419" t="s">
        <v>197</v>
      </c>
      <c r="P685" s="319" t="s">
        <v>220</v>
      </c>
      <c r="Q685" s="319" t="s">
        <v>851</v>
      </c>
      <c r="R685" s="326">
        <v>37.1</v>
      </c>
      <c r="S685" s="319">
        <v>7.0</v>
      </c>
      <c r="T685" s="324">
        <v>7.0</v>
      </c>
      <c r="U685" s="319">
        <v>6.5</v>
      </c>
      <c r="V685" s="319"/>
      <c r="W685" s="319"/>
      <c r="X685" s="319"/>
      <c r="Y685" s="319"/>
      <c r="Z685" s="319" t="s">
        <v>379</v>
      </c>
      <c r="AA685" s="319"/>
      <c r="AB685" s="319" t="s">
        <v>388</v>
      </c>
      <c r="AC685" s="327">
        <v>8.0</v>
      </c>
      <c r="AD685" s="319"/>
      <c r="AE685" s="319"/>
      <c r="AF685" s="319"/>
      <c r="AG685" s="319"/>
      <c r="AH685" s="319"/>
      <c r="AI685" s="319"/>
      <c r="AJ685" s="327"/>
      <c r="AK685" s="328"/>
      <c r="AL685" s="319"/>
      <c r="AM685" s="319"/>
      <c r="AN685" s="319"/>
      <c r="AO685" s="319"/>
      <c r="AP685" s="319"/>
      <c r="AQ685" s="319"/>
      <c r="AR685" s="319"/>
      <c r="AS685" s="327"/>
      <c r="AT685" s="461" t="s">
        <v>182</v>
      </c>
      <c r="AU685" s="324" t="s">
        <v>845</v>
      </c>
      <c r="AV685" s="330">
        <f>SQRT(($R685-Infrastructure!J$3)^2+($S685-Infrastructure!K$3)^2)</f>
        <v>43.34016613</v>
      </c>
      <c r="AW685" s="331">
        <f>SQRT(($R685-Infrastructure!J$4)^2+($S685-Infrastructure!K$4)^2)</f>
        <v>38.92813892</v>
      </c>
      <c r="AX685" s="331">
        <f>SQRT(($R685-Infrastructure!J$5)^2+($S685-Infrastructure!K$5)^2)</f>
        <v>37.44823093</v>
      </c>
      <c r="AY685" s="331">
        <f>SQRT(($R685-Infrastructure!J$6)^2+($S685-Infrastructure!K$6)^2)</f>
        <v>27.81887848</v>
      </c>
      <c r="AZ685" s="331">
        <f>SQRT(($R685-Infrastructure!J$7)^2+($S685-Infrastructure!K$7)^2)</f>
        <v>17.90111728</v>
      </c>
      <c r="BA685" s="331">
        <f>SQRT(($R685-Infrastructure!J$8)^2+($S685-Infrastructure!K$8)^2)</f>
        <v>9.689685237</v>
      </c>
      <c r="BB685" s="331">
        <f>SQRT(($R685-Infrastructure!J$9)^2+($S685-Infrastructure!K$9)^2)</f>
        <v>3.466987165</v>
      </c>
      <c r="BC685" s="331">
        <f>SQRT(($R685-Infrastructure!J$10)^2+($S685-Infrastructure!K$10)^2)</f>
        <v>8.50940656</v>
      </c>
      <c r="BD685" s="318"/>
      <c r="BE685" s="332"/>
      <c r="BF685" s="330">
        <f t="shared" si="14"/>
        <v>3.466987165</v>
      </c>
      <c r="BG685" s="333">
        <f t="shared" si="15"/>
        <v>43.34016613</v>
      </c>
      <c r="BH685" s="334"/>
      <c r="BI685" s="462" t="s">
        <v>845</v>
      </c>
      <c r="BJ685" s="319" t="s">
        <v>845</v>
      </c>
      <c r="BK685" s="319" t="s">
        <v>845</v>
      </c>
      <c r="BL685" s="788" t="s">
        <v>845</v>
      </c>
      <c r="BM685" s="319" t="s">
        <v>845</v>
      </c>
      <c r="BN685" s="788" t="s">
        <v>845</v>
      </c>
      <c r="BO685" s="319" t="s">
        <v>845</v>
      </c>
      <c r="BP685" s="319" t="s">
        <v>845</v>
      </c>
      <c r="BQ685" s="788" t="s">
        <v>845</v>
      </c>
      <c r="BR685" s="789" t="s">
        <v>845</v>
      </c>
      <c r="BS685" s="330">
        <f t="shared" si="23"/>
        <v>0</v>
      </c>
      <c r="BT685" s="331">
        <f t="shared" si="24"/>
        <v>0</v>
      </c>
      <c r="BU685" s="331"/>
      <c r="BV685" s="333"/>
      <c r="BW685" s="330"/>
      <c r="BX685" s="331"/>
      <c r="BY685" s="331" t="b">
        <f t="shared" si="38"/>
        <v>0</v>
      </c>
      <c r="BZ685" s="340"/>
      <c r="CA685" s="316"/>
      <c r="CB685" s="318"/>
      <c r="CC685" s="318"/>
      <c r="CD685" s="318"/>
      <c r="CE685" s="318"/>
      <c r="CF685" s="338"/>
      <c r="CG685" s="319" t="s">
        <v>846</v>
      </c>
      <c r="CH685" s="318"/>
      <c r="CI685" s="338"/>
      <c r="CJ685" s="341"/>
      <c r="CK685" s="342">
        <f t="shared" si="18"/>
        <v>3.466987165</v>
      </c>
      <c r="CL685" s="333">
        <f t="shared" si="19"/>
        <v>3.466987165</v>
      </c>
      <c r="CM685" s="702"/>
      <c r="CN685" s="595"/>
      <c r="CO685" s="595"/>
      <c r="CP685" s="595"/>
    </row>
    <row r="686">
      <c r="B686" s="462" t="s">
        <v>1259</v>
      </c>
      <c r="C686" s="417">
        <v>44257.0</v>
      </c>
      <c r="D686" s="318"/>
      <c r="E686" s="319">
        <v>13.0</v>
      </c>
      <c r="F686" s="324" t="s">
        <v>1275</v>
      </c>
      <c r="G686" s="321">
        <v>0.6282986111111111</v>
      </c>
      <c r="H686" s="323">
        <v>0.6298611111111111</v>
      </c>
      <c r="I686" s="323"/>
      <c r="J686" s="323"/>
      <c r="K686" s="323">
        <v>0.6333333333333333</v>
      </c>
      <c r="L686" s="323">
        <v>0.003472222222222222</v>
      </c>
      <c r="M686" s="326" t="s">
        <v>358</v>
      </c>
      <c r="N686" s="324" t="s">
        <v>187</v>
      </c>
      <c r="O686" s="419" t="s">
        <v>200</v>
      </c>
      <c r="P686" s="319" t="s">
        <v>212</v>
      </c>
      <c r="Q686" s="319" t="s">
        <v>851</v>
      </c>
      <c r="R686" s="326">
        <v>16.3</v>
      </c>
      <c r="S686" s="319">
        <v>6.5</v>
      </c>
      <c r="T686" s="324">
        <v>0.6</v>
      </c>
      <c r="U686" s="319">
        <v>7.0</v>
      </c>
      <c r="V686" s="319"/>
      <c r="W686" s="319"/>
      <c r="X686" s="319"/>
      <c r="Y686" s="319"/>
      <c r="Z686" s="319" t="s">
        <v>318</v>
      </c>
      <c r="AA686" s="319"/>
      <c r="AB686" s="319" t="s">
        <v>341</v>
      </c>
      <c r="AC686" s="327">
        <v>8.0</v>
      </c>
      <c r="AD686" s="319"/>
      <c r="AE686" s="319"/>
      <c r="AF686" s="319"/>
      <c r="AG686" s="319"/>
      <c r="AH686" s="319"/>
      <c r="AI686" s="319"/>
      <c r="AJ686" s="327"/>
      <c r="AK686" s="328"/>
      <c r="AL686" s="319"/>
      <c r="AM686" s="319"/>
      <c r="AN686" s="319"/>
      <c r="AO686" s="319"/>
      <c r="AP686" s="319"/>
      <c r="AQ686" s="319"/>
      <c r="AR686" s="319"/>
      <c r="AS686" s="327"/>
      <c r="AT686" s="461" t="s">
        <v>182</v>
      </c>
      <c r="AU686" s="324" t="s">
        <v>845</v>
      </c>
      <c r="AV686" s="330">
        <f>SQRT(($R686-Infrastructure!J$3)^2+($S686-Infrastructure!K$3)^2)</f>
        <v>27.88045911</v>
      </c>
      <c r="AW686" s="331">
        <f>SQRT(($R686-Infrastructure!J$4)^2+($S686-Infrastructure!K$4)^2)</f>
        <v>20.08108563</v>
      </c>
      <c r="AX686" s="331">
        <f>SQRT(($R686-Infrastructure!J$5)^2+($S686-Infrastructure!K$5)^2)</f>
        <v>16.65893154</v>
      </c>
      <c r="AY686" s="331">
        <f>SQRT(($R686-Infrastructure!J$6)^2+($S686-Infrastructure!K$6)^2)</f>
        <v>8.768124087</v>
      </c>
      <c r="AZ686" s="331">
        <f>SQRT(($R686-Infrastructure!J$7)^2+($S686-Infrastructure!K$7)^2)</f>
        <v>7.488658091</v>
      </c>
      <c r="BA686" s="331">
        <f>SQRT(($R686-Infrastructure!J$8)^2+($S686-Infrastructure!K$8)^2)</f>
        <v>15.12878052</v>
      </c>
      <c r="BB686" s="331">
        <f>SQRT(($R686-Infrastructure!J$9)^2+($S686-Infrastructure!K$9)^2)</f>
        <v>23.7413142</v>
      </c>
      <c r="BC686" s="331">
        <f>SQRT(($R686-Infrastructure!J$10)^2+($S686-Infrastructure!K$10)^2)</f>
        <v>25.17816514</v>
      </c>
      <c r="BD686" s="318"/>
      <c r="BE686" s="332"/>
      <c r="BF686" s="330">
        <f t="shared" si="14"/>
        <v>7.488658091</v>
      </c>
      <c r="BG686" s="333">
        <f t="shared" si="15"/>
        <v>27.88045911</v>
      </c>
      <c r="BH686" s="334"/>
      <c r="BI686" s="462" t="s">
        <v>846</v>
      </c>
      <c r="BJ686" s="319" t="s">
        <v>846</v>
      </c>
      <c r="BK686" s="319" t="s">
        <v>846</v>
      </c>
      <c r="BL686" s="788" t="s">
        <v>845</v>
      </c>
      <c r="BM686" s="319" t="s">
        <v>846</v>
      </c>
      <c r="BN686" s="788" t="s">
        <v>845</v>
      </c>
      <c r="BO686" s="319" t="s">
        <v>846</v>
      </c>
      <c r="BP686" s="319" t="s">
        <v>846</v>
      </c>
      <c r="BQ686" s="788" t="s">
        <v>845</v>
      </c>
      <c r="BR686" s="789" t="s">
        <v>845</v>
      </c>
      <c r="BS686" s="330">
        <f t="shared" si="23"/>
        <v>7.488658091</v>
      </c>
      <c r="BT686" s="331">
        <f t="shared" si="24"/>
        <v>27.88045911</v>
      </c>
      <c r="BU686" s="331"/>
      <c r="BV686" s="333"/>
      <c r="BW686" s="614">
        <v>14.8</v>
      </c>
      <c r="BX686" s="615">
        <v>11.7</v>
      </c>
      <c r="BY686" s="331">
        <f t="shared" si="38"/>
        <v>5.412023651</v>
      </c>
      <c r="BZ686" s="340"/>
      <c r="CA686" s="462" t="s">
        <v>846</v>
      </c>
      <c r="CB686" s="319" t="s">
        <v>846</v>
      </c>
      <c r="CC686" s="319" t="s">
        <v>846</v>
      </c>
      <c r="CD686" s="319" t="s">
        <v>846</v>
      </c>
      <c r="CE686" s="319" t="s">
        <v>846</v>
      </c>
      <c r="CF686" s="338"/>
      <c r="CG686" s="319" t="s">
        <v>846</v>
      </c>
      <c r="CH686" s="319" t="s">
        <v>846</v>
      </c>
      <c r="CI686" s="338"/>
      <c r="CJ686" s="341"/>
      <c r="CK686" s="342">
        <f t="shared" si="18"/>
        <v>7.488658091</v>
      </c>
      <c r="CL686" s="333">
        <f t="shared" si="19"/>
        <v>27.88045911</v>
      </c>
      <c r="CM686" s="702"/>
      <c r="CN686" s="595"/>
      <c r="CO686" s="595"/>
      <c r="CP686" s="595"/>
    </row>
    <row r="687">
      <c r="B687" s="462" t="s">
        <v>1259</v>
      </c>
      <c r="C687" s="417">
        <v>44257.0</v>
      </c>
      <c r="D687" s="318"/>
      <c r="E687" s="319">
        <v>14.0</v>
      </c>
      <c r="F687" s="324" t="s">
        <v>1276</v>
      </c>
      <c r="G687" s="321">
        <v>0.6348958333333333</v>
      </c>
      <c r="H687" s="323">
        <v>0.6355902777777778</v>
      </c>
      <c r="I687" s="323"/>
      <c r="J687" s="323"/>
      <c r="K687" s="323">
        <v>0.638425925925926</v>
      </c>
      <c r="L687" s="323">
        <v>0.0028356481481481483</v>
      </c>
      <c r="M687" s="326" t="s">
        <v>358</v>
      </c>
      <c r="N687" s="324" t="s">
        <v>187</v>
      </c>
      <c r="O687" s="419" t="s">
        <v>200</v>
      </c>
      <c r="P687" s="319" t="s">
        <v>212</v>
      </c>
      <c r="Q687" s="319" t="s">
        <v>851</v>
      </c>
      <c r="R687" s="326">
        <v>16.3</v>
      </c>
      <c r="S687" s="319">
        <v>6.5</v>
      </c>
      <c r="T687" s="324">
        <v>0.6</v>
      </c>
      <c r="U687" s="319">
        <v>2.5</v>
      </c>
      <c r="V687" s="319"/>
      <c r="W687" s="319"/>
      <c r="X687" s="319"/>
      <c r="Y687" s="319"/>
      <c r="Z687" s="319" t="s">
        <v>318</v>
      </c>
      <c r="AA687" s="319"/>
      <c r="AB687" s="319" t="s">
        <v>329</v>
      </c>
      <c r="AC687" s="327">
        <v>26.6</v>
      </c>
      <c r="AD687" s="319"/>
      <c r="AE687" s="319"/>
      <c r="AF687" s="319"/>
      <c r="AG687" s="319"/>
      <c r="AH687" s="319"/>
      <c r="AI687" s="319"/>
      <c r="AJ687" s="327"/>
      <c r="AK687" s="328"/>
      <c r="AL687" s="319"/>
      <c r="AM687" s="319"/>
      <c r="AN687" s="319"/>
      <c r="AO687" s="319"/>
      <c r="AP687" s="319"/>
      <c r="AQ687" s="319"/>
      <c r="AR687" s="319"/>
      <c r="AS687" s="327"/>
      <c r="AT687" s="461" t="s">
        <v>182</v>
      </c>
      <c r="AU687" s="324" t="s">
        <v>845</v>
      </c>
      <c r="AV687" s="330">
        <f>SQRT(($R687-Infrastructure!J$3)^2+($S687-Infrastructure!K$3)^2)</f>
        <v>27.88045911</v>
      </c>
      <c r="AW687" s="331">
        <f>SQRT(($R687-Infrastructure!J$4)^2+($S687-Infrastructure!K$4)^2)</f>
        <v>20.08108563</v>
      </c>
      <c r="AX687" s="331">
        <f>SQRT(($R687-Infrastructure!J$5)^2+($S687-Infrastructure!K$5)^2)</f>
        <v>16.65893154</v>
      </c>
      <c r="AY687" s="331">
        <f>SQRT(($R687-Infrastructure!J$6)^2+($S687-Infrastructure!K$6)^2)</f>
        <v>8.768124087</v>
      </c>
      <c r="AZ687" s="331">
        <f>SQRT(($R687-Infrastructure!J$7)^2+($S687-Infrastructure!K$7)^2)</f>
        <v>7.488658091</v>
      </c>
      <c r="BA687" s="331">
        <f>SQRT(($R687-Infrastructure!J$8)^2+($S687-Infrastructure!K$8)^2)</f>
        <v>15.12878052</v>
      </c>
      <c r="BB687" s="331">
        <f>SQRT(($R687-Infrastructure!J$9)^2+($S687-Infrastructure!K$9)^2)</f>
        <v>23.7413142</v>
      </c>
      <c r="BC687" s="331">
        <f>SQRT(($R687-Infrastructure!J$10)^2+($S687-Infrastructure!K$10)^2)</f>
        <v>25.17816514</v>
      </c>
      <c r="BD687" s="318"/>
      <c r="BE687" s="332"/>
      <c r="BF687" s="330">
        <f t="shared" si="14"/>
        <v>7.488658091</v>
      </c>
      <c r="BG687" s="333">
        <f t="shared" si="15"/>
        <v>27.88045911</v>
      </c>
      <c r="BH687" s="334"/>
      <c r="BI687" s="462" t="s">
        <v>846</v>
      </c>
      <c r="BJ687" s="319" t="s">
        <v>846</v>
      </c>
      <c r="BK687" s="319" t="s">
        <v>846</v>
      </c>
      <c r="BL687" s="788" t="s">
        <v>845</v>
      </c>
      <c r="BM687" s="319" t="s">
        <v>846</v>
      </c>
      <c r="BN687" s="788" t="s">
        <v>845</v>
      </c>
      <c r="BO687" s="319" t="s">
        <v>845</v>
      </c>
      <c r="BP687" s="319" t="s">
        <v>846</v>
      </c>
      <c r="BQ687" s="788" t="s">
        <v>845</v>
      </c>
      <c r="BR687" s="789" t="s">
        <v>845</v>
      </c>
      <c r="BS687" s="330">
        <f t="shared" si="23"/>
        <v>7.488658091</v>
      </c>
      <c r="BT687" s="331">
        <f t="shared" si="24"/>
        <v>27.88045911</v>
      </c>
      <c r="BU687" s="331"/>
      <c r="BV687" s="333"/>
      <c r="BW687" s="614">
        <v>19.4</v>
      </c>
      <c r="BX687" s="615">
        <v>9.0</v>
      </c>
      <c r="BY687" s="331">
        <f t="shared" si="38"/>
        <v>3.98246155</v>
      </c>
      <c r="BZ687" s="340"/>
      <c r="CA687" s="462" t="s">
        <v>846</v>
      </c>
      <c r="CB687" s="319" t="s">
        <v>846</v>
      </c>
      <c r="CC687" s="319" t="s">
        <v>846</v>
      </c>
      <c r="CD687" s="319" t="s">
        <v>846</v>
      </c>
      <c r="CE687" s="319" t="s">
        <v>846</v>
      </c>
      <c r="CF687" s="338"/>
      <c r="CG687" s="319" t="s">
        <v>846</v>
      </c>
      <c r="CH687" s="319" t="s">
        <v>846</v>
      </c>
      <c r="CI687" s="338"/>
      <c r="CJ687" s="341"/>
      <c r="CK687" s="342">
        <f t="shared" si="18"/>
        <v>7.488658091</v>
      </c>
      <c r="CL687" s="333">
        <f t="shared" si="19"/>
        <v>27.88045911</v>
      </c>
      <c r="CM687" s="702"/>
      <c r="CN687" s="595"/>
      <c r="CO687" s="595"/>
      <c r="CP687" s="595"/>
    </row>
    <row r="688">
      <c r="B688" s="462" t="s">
        <v>1259</v>
      </c>
      <c r="C688" s="417">
        <v>44257.0</v>
      </c>
      <c r="D688" s="318"/>
      <c r="E688" s="319">
        <v>15.0</v>
      </c>
      <c r="F688" s="324" t="s">
        <v>1277</v>
      </c>
      <c r="G688" s="321">
        <v>0.64375</v>
      </c>
      <c r="H688" s="323">
        <v>0.6444444444444445</v>
      </c>
      <c r="I688" s="323"/>
      <c r="J688" s="323"/>
      <c r="K688" s="323">
        <v>0.6472222222222223</v>
      </c>
      <c r="L688" s="323">
        <v>0.002777777777777778</v>
      </c>
      <c r="M688" s="326" t="s">
        <v>358</v>
      </c>
      <c r="N688" s="324" t="s">
        <v>187</v>
      </c>
      <c r="O688" s="419" t="s">
        <v>202</v>
      </c>
      <c r="P688" s="319" t="s">
        <v>212</v>
      </c>
      <c r="Q688" s="319" t="s">
        <v>851</v>
      </c>
      <c r="R688" s="326">
        <v>24.4</v>
      </c>
      <c r="S688" s="319">
        <v>9.7</v>
      </c>
      <c r="T688" s="324">
        <v>0.6</v>
      </c>
      <c r="U688" s="319">
        <v>15.0</v>
      </c>
      <c r="V688" s="319"/>
      <c r="W688" s="319"/>
      <c r="X688" s="319"/>
      <c r="Y688" s="319"/>
      <c r="Z688" s="319" t="s">
        <v>391</v>
      </c>
      <c r="AA688" s="319"/>
      <c r="AB688" s="319" t="s">
        <v>349</v>
      </c>
      <c r="AC688" s="327">
        <v>26.6</v>
      </c>
      <c r="AD688" s="319"/>
      <c r="AE688" s="319"/>
      <c r="AF688" s="319"/>
      <c r="AG688" s="319"/>
      <c r="AH688" s="319"/>
      <c r="AI688" s="319"/>
      <c r="AJ688" s="327"/>
      <c r="AK688" s="328"/>
      <c r="AL688" s="319"/>
      <c r="AM688" s="319"/>
      <c r="AN688" s="319"/>
      <c r="AO688" s="319"/>
      <c r="AP688" s="319"/>
      <c r="AQ688" s="319"/>
      <c r="AR688" s="319"/>
      <c r="AS688" s="327"/>
      <c r="AT688" s="461" t="s">
        <v>183</v>
      </c>
      <c r="AU688" s="324" t="s">
        <v>845</v>
      </c>
      <c r="AV688" s="330">
        <f>SQRT(($R688-Infrastructure!J$3)^2+($S688-Infrastructure!K$3)^2)</f>
        <v>31.28466078</v>
      </c>
      <c r="AW688" s="331">
        <f>SQRT(($R688-Infrastructure!J$4)^2+($S688-Infrastructure!K$4)^2)</f>
        <v>25.99423013</v>
      </c>
      <c r="AX688" s="331">
        <f>SQRT(($R688-Infrastructure!J$5)^2+($S688-Infrastructure!K$5)^2)</f>
        <v>25.12468905</v>
      </c>
      <c r="AY688" s="331">
        <f>SQRT(($R688-Infrastructure!J$6)^2+($S688-Infrastructure!K$6)^2)</f>
        <v>17.11286066</v>
      </c>
      <c r="AZ688" s="331">
        <f>SQRT(($R688-Infrastructure!J$7)^2+($S688-Infrastructure!K$7)^2)</f>
        <v>10.17693471</v>
      </c>
      <c r="BA688" s="331">
        <f>SQRT(($R688-Infrastructure!J$8)^2+($S688-Infrastructure!K$8)^2)</f>
        <v>10.9931797</v>
      </c>
      <c r="BB688" s="331">
        <f>SQRT(($R688-Infrastructure!J$9)^2+($S688-Infrastructure!K$9)^2)</f>
        <v>16.26407083</v>
      </c>
      <c r="BC688" s="331">
        <f>SQRT(($R688-Infrastructure!J$10)^2+($S688-Infrastructure!K$10)^2)</f>
        <v>16.47573974</v>
      </c>
      <c r="BD688" s="318"/>
      <c r="BE688" s="332"/>
      <c r="BF688" s="330">
        <f t="shared" si="14"/>
        <v>10.17693471</v>
      </c>
      <c r="BG688" s="333">
        <f t="shared" si="15"/>
        <v>31.28466078</v>
      </c>
      <c r="BH688" s="334"/>
      <c r="BI688" s="462" t="s">
        <v>846</v>
      </c>
      <c r="BJ688" s="319" t="s">
        <v>846</v>
      </c>
      <c r="BK688" s="319" t="s">
        <v>846</v>
      </c>
      <c r="BL688" s="788" t="s">
        <v>845</v>
      </c>
      <c r="BM688" s="319" t="s">
        <v>846</v>
      </c>
      <c r="BN688" s="788" t="s">
        <v>845</v>
      </c>
      <c r="BO688" s="319" t="s">
        <v>846</v>
      </c>
      <c r="BP688" s="319" t="s">
        <v>846</v>
      </c>
      <c r="BQ688" s="788" t="s">
        <v>845</v>
      </c>
      <c r="BR688" s="789" t="s">
        <v>845</v>
      </c>
      <c r="BS688" s="330">
        <f t="shared" si="23"/>
        <v>10.17693471</v>
      </c>
      <c r="BT688" s="331">
        <f t="shared" si="24"/>
        <v>31.28466078</v>
      </c>
      <c r="BU688" s="331"/>
      <c r="BV688" s="333"/>
      <c r="BW688" s="614">
        <v>17.0</v>
      </c>
      <c r="BX688" s="615">
        <v>10.8</v>
      </c>
      <c r="BY688" s="331">
        <f t="shared" si="38"/>
        <v>7.481310046</v>
      </c>
      <c r="BZ688" s="340"/>
      <c r="CA688" s="462" t="s">
        <v>846</v>
      </c>
      <c r="CB688" s="319" t="s">
        <v>846</v>
      </c>
      <c r="CC688" s="319" t="s">
        <v>846</v>
      </c>
      <c r="CD688" s="319" t="s">
        <v>846</v>
      </c>
      <c r="CE688" s="319" t="s">
        <v>846</v>
      </c>
      <c r="CF688" s="338"/>
      <c r="CG688" s="319" t="s">
        <v>846</v>
      </c>
      <c r="CH688" s="319" t="s">
        <v>846</v>
      </c>
      <c r="CI688" s="338"/>
      <c r="CJ688" s="341"/>
      <c r="CK688" s="342">
        <f t="shared" si="18"/>
        <v>10.17693471</v>
      </c>
      <c r="CL688" s="333">
        <f t="shared" si="19"/>
        <v>31.28466078</v>
      </c>
      <c r="CM688" s="702"/>
      <c r="CN688" s="595"/>
      <c r="CO688" s="595"/>
      <c r="CP688" s="595"/>
    </row>
    <row r="689">
      <c r="B689" s="462" t="s">
        <v>1259</v>
      </c>
      <c r="C689" s="417">
        <v>44257.0</v>
      </c>
      <c r="D689" s="318"/>
      <c r="E689" s="319">
        <v>16.0</v>
      </c>
      <c r="F689" s="324" t="s">
        <v>1278</v>
      </c>
      <c r="G689" s="321">
        <v>0.6497106481481482</v>
      </c>
      <c r="H689" s="323">
        <v>0.6505208333333333</v>
      </c>
      <c r="I689" s="323"/>
      <c r="J689" s="323"/>
      <c r="K689" s="323">
        <v>0.6532986111111111</v>
      </c>
      <c r="L689" s="323">
        <v>0.002777777777777778</v>
      </c>
      <c r="M689" s="326" t="s">
        <v>358</v>
      </c>
      <c r="N689" s="324" t="s">
        <v>187</v>
      </c>
      <c r="O689" s="419" t="s">
        <v>202</v>
      </c>
      <c r="P689" s="319" t="s">
        <v>212</v>
      </c>
      <c r="Q689" s="319" t="s">
        <v>851</v>
      </c>
      <c r="R689" s="326">
        <v>24.4</v>
      </c>
      <c r="S689" s="319">
        <v>9.7</v>
      </c>
      <c r="T689" s="324">
        <v>0.6</v>
      </c>
      <c r="U689" s="319">
        <v>10.0</v>
      </c>
      <c r="V689" s="319"/>
      <c r="W689" s="319"/>
      <c r="X689" s="319"/>
      <c r="Y689" s="319"/>
      <c r="Z689" s="319" t="s">
        <v>391</v>
      </c>
      <c r="AA689" s="319"/>
      <c r="AB689" s="319" t="s">
        <v>345</v>
      </c>
      <c r="AC689" s="327">
        <v>26.6</v>
      </c>
      <c r="AD689" s="319"/>
      <c r="AE689" s="319"/>
      <c r="AF689" s="319"/>
      <c r="AG689" s="319"/>
      <c r="AH689" s="319"/>
      <c r="AI689" s="319"/>
      <c r="AJ689" s="327"/>
      <c r="AK689" s="328"/>
      <c r="AL689" s="319"/>
      <c r="AM689" s="319"/>
      <c r="AN689" s="319"/>
      <c r="AO689" s="319"/>
      <c r="AP689" s="319"/>
      <c r="AQ689" s="319"/>
      <c r="AR689" s="319"/>
      <c r="AS689" s="327"/>
      <c r="AT689" s="461" t="s">
        <v>183</v>
      </c>
      <c r="AU689" s="324" t="s">
        <v>845</v>
      </c>
      <c r="AV689" s="330">
        <f>SQRT(($R689-Infrastructure!J$3)^2+($S689-Infrastructure!K$3)^2)</f>
        <v>31.28466078</v>
      </c>
      <c r="AW689" s="331">
        <f>SQRT(($R689-Infrastructure!J$4)^2+($S689-Infrastructure!K$4)^2)</f>
        <v>25.99423013</v>
      </c>
      <c r="AX689" s="331">
        <f>SQRT(($R689-Infrastructure!J$5)^2+($S689-Infrastructure!K$5)^2)</f>
        <v>25.12468905</v>
      </c>
      <c r="AY689" s="331">
        <f>SQRT(($R689-Infrastructure!J$6)^2+($S689-Infrastructure!K$6)^2)</f>
        <v>17.11286066</v>
      </c>
      <c r="AZ689" s="331">
        <f>SQRT(($R689-Infrastructure!J$7)^2+($S689-Infrastructure!K$7)^2)</f>
        <v>10.17693471</v>
      </c>
      <c r="BA689" s="331">
        <f>SQRT(($R689-Infrastructure!J$8)^2+($S689-Infrastructure!K$8)^2)</f>
        <v>10.9931797</v>
      </c>
      <c r="BB689" s="331">
        <f>SQRT(($R689-Infrastructure!J$9)^2+($S689-Infrastructure!K$9)^2)</f>
        <v>16.26407083</v>
      </c>
      <c r="BC689" s="331">
        <f>SQRT(($R689-Infrastructure!J$10)^2+($S689-Infrastructure!K$10)^2)</f>
        <v>16.47573974</v>
      </c>
      <c r="BD689" s="318"/>
      <c r="BE689" s="332"/>
      <c r="BF689" s="330">
        <f t="shared" si="14"/>
        <v>10.17693471</v>
      </c>
      <c r="BG689" s="333">
        <f t="shared" si="15"/>
        <v>31.28466078</v>
      </c>
      <c r="BH689" s="334"/>
      <c r="BI689" s="462" t="s">
        <v>846</v>
      </c>
      <c r="BJ689" s="319" t="s">
        <v>846</v>
      </c>
      <c r="BK689" s="319" t="s">
        <v>846</v>
      </c>
      <c r="BL689" s="788" t="s">
        <v>845</v>
      </c>
      <c r="BM689" s="319" t="s">
        <v>846</v>
      </c>
      <c r="BN689" s="788" t="s">
        <v>845</v>
      </c>
      <c r="BO689" s="319" t="s">
        <v>846</v>
      </c>
      <c r="BP689" s="319" t="s">
        <v>846</v>
      </c>
      <c r="BQ689" s="788" t="s">
        <v>845</v>
      </c>
      <c r="BR689" s="789" t="s">
        <v>845</v>
      </c>
      <c r="BS689" s="330">
        <f t="shared" si="23"/>
        <v>10.17693471</v>
      </c>
      <c r="BT689" s="331">
        <f t="shared" si="24"/>
        <v>31.28466078</v>
      </c>
      <c r="BU689" s="331"/>
      <c r="BV689" s="333"/>
      <c r="BW689" s="614">
        <v>17.8</v>
      </c>
      <c r="BX689" s="615">
        <v>10.1</v>
      </c>
      <c r="BY689" s="331">
        <f t="shared" si="38"/>
        <v>6.612110102</v>
      </c>
      <c r="BZ689" s="340"/>
      <c r="CA689" s="462" t="s">
        <v>846</v>
      </c>
      <c r="CB689" s="319" t="s">
        <v>846</v>
      </c>
      <c r="CC689" s="319" t="s">
        <v>846</v>
      </c>
      <c r="CD689" s="319" t="s">
        <v>846</v>
      </c>
      <c r="CE689" s="319" t="s">
        <v>846</v>
      </c>
      <c r="CF689" s="338"/>
      <c r="CG689" s="319" t="s">
        <v>846</v>
      </c>
      <c r="CH689" s="319" t="s">
        <v>846</v>
      </c>
      <c r="CI689" s="338"/>
      <c r="CJ689" s="341"/>
      <c r="CK689" s="342">
        <f t="shared" si="18"/>
        <v>10.17693471</v>
      </c>
      <c r="CL689" s="333">
        <f t="shared" si="19"/>
        <v>31.28466078</v>
      </c>
      <c r="CM689" s="702"/>
      <c r="CN689" s="595"/>
      <c r="CO689" s="595"/>
      <c r="CP689" s="595"/>
    </row>
    <row r="690">
      <c r="B690" s="462" t="s">
        <v>1259</v>
      </c>
      <c r="C690" s="417">
        <v>44257.0</v>
      </c>
      <c r="D690" s="318"/>
      <c r="E690" s="319">
        <v>17.0</v>
      </c>
      <c r="F690" s="324" t="s">
        <v>1279</v>
      </c>
      <c r="G690" s="321">
        <v>0.6552083333333333</v>
      </c>
      <c r="H690" s="323">
        <v>0.6569444444444444</v>
      </c>
      <c r="I690" s="323"/>
      <c r="J690" s="323"/>
      <c r="K690" s="323">
        <v>0.6590277777777778</v>
      </c>
      <c r="L690" s="323">
        <v>0.0020833333333333333</v>
      </c>
      <c r="M690" s="326" t="s">
        <v>358</v>
      </c>
      <c r="N690" s="324" t="s">
        <v>187</v>
      </c>
      <c r="O690" s="419" t="s">
        <v>201</v>
      </c>
      <c r="P690" s="319" t="s">
        <v>212</v>
      </c>
      <c r="Q690" s="319" t="s">
        <v>851</v>
      </c>
      <c r="R690" s="326"/>
      <c r="S690" s="319"/>
      <c r="T690" s="324">
        <v>0.6</v>
      </c>
      <c r="U690" s="319">
        <v>3.0</v>
      </c>
      <c r="V690" s="319"/>
      <c r="W690" s="319"/>
      <c r="X690" s="319"/>
      <c r="Y690" s="319"/>
      <c r="Z690" s="319" t="s">
        <v>339</v>
      </c>
      <c r="AA690" s="319"/>
      <c r="AB690" s="319" t="s">
        <v>341</v>
      </c>
      <c r="AC690" s="327">
        <v>26.6</v>
      </c>
      <c r="AD690" s="319"/>
      <c r="AE690" s="319"/>
      <c r="AF690" s="319"/>
      <c r="AG690" s="319"/>
      <c r="AH690" s="319"/>
      <c r="AI690" s="319"/>
      <c r="AJ690" s="327"/>
      <c r="AK690" s="328"/>
      <c r="AL690" s="319"/>
      <c r="AM690" s="319"/>
      <c r="AN690" s="319"/>
      <c r="AO690" s="319"/>
      <c r="AP690" s="319"/>
      <c r="AQ690" s="319"/>
      <c r="AR690" s="319"/>
      <c r="AS690" s="327"/>
      <c r="AT690" s="461" t="s">
        <v>182</v>
      </c>
      <c r="AU690" s="324" t="s">
        <v>845</v>
      </c>
      <c r="AV690" s="330">
        <f>SQRT(($R690-Infrastructure!J$3)^2+($S690-Infrastructure!K$3)^2)</f>
        <v>28.90155705</v>
      </c>
      <c r="AW690" s="331">
        <f>SQRT(($R690-Infrastructure!J$4)^2+($S690-Infrastructure!K$4)^2)</f>
        <v>17.80252791</v>
      </c>
      <c r="AX690" s="331">
        <f>SQRT(($R690-Infrastructure!J$5)^2+($S690-Infrastructure!K$5)^2)</f>
        <v>5.10881591</v>
      </c>
      <c r="AY690" s="331">
        <f>SQRT(($R690-Infrastructure!J$6)^2+($S690-Infrastructure!K$6)^2)</f>
        <v>10.10445446</v>
      </c>
      <c r="AZ690" s="331">
        <f>SQRT(($R690-Infrastructure!J$7)^2+($S690-Infrastructure!K$7)^2)</f>
        <v>20.502195</v>
      </c>
      <c r="BA690" s="331">
        <f>SQRT(($R690-Infrastructure!J$8)^2+($S690-Infrastructure!K$8)^2)</f>
        <v>30.10149498</v>
      </c>
      <c r="BB690" s="331">
        <f>SQRT(($R690-Infrastructure!J$9)^2+($S690-Infrastructure!K$9)^2)</f>
        <v>40.3238143</v>
      </c>
      <c r="BC690" s="331">
        <f>SQRT(($R690-Infrastructure!J$10)^2+($S690-Infrastructure!K$10)^2)</f>
        <v>42.72001873</v>
      </c>
      <c r="BD690" s="318"/>
      <c r="BE690" s="332"/>
      <c r="BF690" s="330">
        <f t="shared" si="14"/>
        <v>5.10881591</v>
      </c>
      <c r="BG690" s="333">
        <f t="shared" si="15"/>
        <v>42.72001873</v>
      </c>
      <c r="BH690" s="334"/>
      <c r="BI690" s="462" t="s">
        <v>845</v>
      </c>
      <c r="BJ690" s="319" t="s">
        <v>845</v>
      </c>
      <c r="BK690" s="319" t="s">
        <v>846</v>
      </c>
      <c r="BL690" s="788" t="s">
        <v>845</v>
      </c>
      <c r="BM690" s="319" t="s">
        <v>846</v>
      </c>
      <c r="BN690" s="788" t="s">
        <v>845</v>
      </c>
      <c r="BO690" s="319" t="s">
        <v>845</v>
      </c>
      <c r="BP690" s="319" t="s">
        <v>846</v>
      </c>
      <c r="BQ690" s="788" t="s">
        <v>845</v>
      </c>
      <c r="BR690" s="789" t="s">
        <v>845</v>
      </c>
      <c r="BS690" s="330">
        <f t="shared" si="23"/>
        <v>5.10881591</v>
      </c>
      <c r="BT690" s="331">
        <f t="shared" si="24"/>
        <v>42.72001873</v>
      </c>
      <c r="BU690" s="331"/>
      <c r="BV690" s="333"/>
      <c r="BW690" s="614">
        <v>17.6</v>
      </c>
      <c r="BX690" s="615">
        <v>9.7</v>
      </c>
      <c r="BY690" s="331">
        <f t="shared" si="38"/>
        <v>20.09601951</v>
      </c>
      <c r="BZ690" s="340"/>
      <c r="CA690" s="462" t="s">
        <v>846</v>
      </c>
      <c r="CB690" s="319"/>
      <c r="CC690" s="319" t="s">
        <v>846</v>
      </c>
      <c r="CD690" s="319" t="s">
        <v>846</v>
      </c>
      <c r="CE690" s="319" t="s">
        <v>846</v>
      </c>
      <c r="CF690" s="338"/>
      <c r="CG690" s="319" t="s">
        <v>846</v>
      </c>
      <c r="CH690" s="319" t="s">
        <v>846</v>
      </c>
      <c r="CI690" s="338"/>
      <c r="CJ690" s="341"/>
      <c r="CK690" s="342">
        <f t="shared" si="18"/>
        <v>5.10881591</v>
      </c>
      <c r="CL690" s="333">
        <f t="shared" si="19"/>
        <v>42.72001873</v>
      </c>
      <c r="CM690" s="702"/>
      <c r="CN690" s="595"/>
      <c r="CO690" s="595"/>
      <c r="CP690" s="595"/>
    </row>
    <row r="691">
      <c r="B691" s="462" t="s">
        <v>1259</v>
      </c>
      <c r="C691" s="417">
        <v>44257.0</v>
      </c>
      <c r="D691" s="318"/>
      <c r="E691" s="319" t="s">
        <v>1280</v>
      </c>
      <c r="F691" s="324" t="s">
        <v>1281</v>
      </c>
      <c r="G691" s="321">
        <v>0.6748842592592592</v>
      </c>
      <c r="H691" s="323">
        <v>0.6763888888888889</v>
      </c>
      <c r="I691" s="323"/>
      <c r="J691" s="323"/>
      <c r="K691" s="323">
        <v>0.6791666666666667</v>
      </c>
      <c r="L691" s="323">
        <v>0.002777777777777778</v>
      </c>
      <c r="M691" s="326" t="s">
        <v>358</v>
      </c>
      <c r="N691" s="324" t="s">
        <v>187</v>
      </c>
      <c r="O691" s="419" t="s">
        <v>204</v>
      </c>
      <c r="P691" s="319" t="s">
        <v>214</v>
      </c>
      <c r="Q691" s="318"/>
      <c r="R691" s="326">
        <v>18.6</v>
      </c>
      <c r="S691" s="319">
        <v>3.9</v>
      </c>
      <c r="T691" s="324">
        <v>2.5</v>
      </c>
      <c r="U691" s="319">
        <v>4.0</v>
      </c>
      <c r="V691" s="319"/>
      <c r="W691" s="319"/>
      <c r="X691" s="319"/>
      <c r="Y691" s="319"/>
      <c r="Z691" s="319" t="s">
        <v>365</v>
      </c>
      <c r="AA691" s="319"/>
      <c r="AB691" s="319" t="s">
        <v>384</v>
      </c>
      <c r="AC691" s="327">
        <v>26.6</v>
      </c>
      <c r="AD691" s="319"/>
      <c r="AE691" s="319"/>
      <c r="AF691" s="319"/>
      <c r="AG691" s="319"/>
      <c r="AH691" s="319"/>
      <c r="AI691" s="319"/>
      <c r="AJ691" s="327"/>
      <c r="AK691" s="328"/>
      <c r="AL691" s="319"/>
      <c r="AM691" s="319"/>
      <c r="AN691" s="319"/>
      <c r="AO691" s="319"/>
      <c r="AP691" s="319"/>
      <c r="AQ691" s="319"/>
      <c r="AR691" s="319"/>
      <c r="AS691" s="327"/>
      <c r="AT691" s="461" t="s">
        <v>182</v>
      </c>
      <c r="AU691" s="324" t="s">
        <v>846</v>
      </c>
      <c r="AV691" s="330">
        <f>SQRT(($R691-Infrastructure!J$3)^2+($S691-Infrastructure!K$3)^2)</f>
        <v>31.34022974</v>
      </c>
      <c r="AW691" s="331">
        <f>SQRT(($R691-Infrastructure!J$4)^2+($S691-Infrastructure!K$4)^2)</f>
        <v>23.46103152</v>
      </c>
      <c r="AX691" s="331">
        <f>SQRT(($R691-Infrastructure!J$5)^2+($S691-Infrastructure!K$5)^2)</f>
        <v>18.93805692</v>
      </c>
      <c r="AY691" s="331">
        <f>SQRT(($R691-Infrastructure!J$6)^2+($S691-Infrastructure!K$6)^2)</f>
        <v>9.230926281</v>
      </c>
      <c r="AZ691" s="331">
        <f>SQRT(($R691-Infrastructure!J$7)^2+($S691-Infrastructure!K$7)^2)</f>
        <v>4.070626487</v>
      </c>
      <c r="BA691" s="331">
        <f>SQRT(($R691-Infrastructure!J$8)^2+($S691-Infrastructure!K$8)^2)</f>
        <v>12.0503112</v>
      </c>
      <c r="BB691" s="331">
        <f>SQRT(($R691-Infrastructure!J$9)^2+($S691-Infrastructure!K$9)^2)</f>
        <v>21.43361845</v>
      </c>
      <c r="BC691" s="331">
        <f>SQRT(($R691-Infrastructure!J$10)^2+($S691-Infrastructure!K$10)^2)</f>
        <v>24.10746772</v>
      </c>
      <c r="BD691" s="318"/>
      <c r="BE691" s="332"/>
      <c r="BF691" s="330">
        <f t="shared" si="14"/>
        <v>4.070626487</v>
      </c>
      <c r="BG691" s="333">
        <f t="shared" si="15"/>
        <v>31.34022974</v>
      </c>
      <c r="BH691" s="334"/>
      <c r="BI691" s="462" t="s">
        <v>845</v>
      </c>
      <c r="BJ691" s="319" t="s">
        <v>846</v>
      </c>
      <c r="BK691" s="319" t="s">
        <v>846</v>
      </c>
      <c r="BL691" s="788" t="s">
        <v>845</v>
      </c>
      <c r="BM691" s="319" t="s">
        <v>846</v>
      </c>
      <c r="BN691" s="788" t="s">
        <v>845</v>
      </c>
      <c r="BO691" s="319" t="s">
        <v>845</v>
      </c>
      <c r="BP691" s="319" t="s">
        <v>846</v>
      </c>
      <c r="BQ691" s="788" t="s">
        <v>845</v>
      </c>
      <c r="BR691" s="789" t="s">
        <v>845</v>
      </c>
      <c r="BS691" s="330">
        <f t="shared" si="23"/>
        <v>4.070626487</v>
      </c>
      <c r="BT691" s="331">
        <f t="shared" si="24"/>
        <v>24.10746772</v>
      </c>
      <c r="BU691" s="331"/>
      <c r="BV691" s="333"/>
      <c r="BW691" s="330"/>
      <c r="BX691" s="331"/>
      <c r="BY691" s="331" t="b">
        <f t="shared" si="38"/>
        <v>0</v>
      </c>
      <c r="BZ691" s="340"/>
      <c r="CA691" s="462" t="s">
        <v>846</v>
      </c>
      <c r="CB691" s="319"/>
      <c r="CC691" s="319" t="s">
        <v>846</v>
      </c>
      <c r="CD691" s="319" t="s">
        <v>846</v>
      </c>
      <c r="CE691" s="319" t="s">
        <v>846</v>
      </c>
      <c r="CF691" s="338"/>
      <c r="CG691" s="319" t="s">
        <v>846</v>
      </c>
      <c r="CH691" s="319" t="s">
        <v>846</v>
      </c>
      <c r="CI691" s="338"/>
      <c r="CJ691" s="341"/>
      <c r="CK691" s="342">
        <f t="shared" si="18"/>
        <v>4.070626487</v>
      </c>
      <c r="CL691" s="333">
        <f t="shared" si="19"/>
        <v>31.34022974</v>
      </c>
      <c r="CM691" s="702"/>
      <c r="CN691" s="595"/>
      <c r="CO691" s="595"/>
      <c r="CP691" s="595"/>
    </row>
    <row r="692">
      <c r="B692" s="462" t="s">
        <v>1259</v>
      </c>
      <c r="C692" s="417">
        <v>44257.0</v>
      </c>
      <c r="D692" s="318"/>
      <c r="E692" s="319" t="s">
        <v>1282</v>
      </c>
      <c r="F692" s="324" t="s">
        <v>1283</v>
      </c>
      <c r="G692" s="657"/>
      <c r="H692" s="322"/>
      <c r="I692" s="322"/>
      <c r="J692" s="322"/>
      <c r="K692" s="322"/>
      <c r="L692" s="322"/>
      <c r="M692" s="457"/>
      <c r="N692" s="324" t="s">
        <v>187</v>
      </c>
      <c r="O692" s="419" t="s">
        <v>201</v>
      </c>
      <c r="P692" s="319" t="s">
        <v>212</v>
      </c>
      <c r="Q692" s="319" t="s">
        <v>851</v>
      </c>
      <c r="R692" s="326"/>
      <c r="S692" s="319"/>
      <c r="T692" s="324">
        <v>0.6</v>
      </c>
      <c r="U692" s="319">
        <v>3.0</v>
      </c>
      <c r="V692" s="319"/>
      <c r="W692" s="319"/>
      <c r="X692" s="319"/>
      <c r="Y692" s="319"/>
      <c r="Z692" s="319" t="s">
        <v>339</v>
      </c>
      <c r="AA692" s="319"/>
      <c r="AB692" s="319" t="s">
        <v>337</v>
      </c>
      <c r="AC692" s="327">
        <v>26.6</v>
      </c>
      <c r="AD692" s="319"/>
      <c r="AE692" s="319"/>
      <c r="AF692" s="319"/>
      <c r="AG692" s="319"/>
      <c r="AH692" s="319"/>
      <c r="AI692" s="319"/>
      <c r="AJ692" s="327"/>
      <c r="AK692" s="328"/>
      <c r="AL692" s="319"/>
      <c r="AM692" s="319"/>
      <c r="AN692" s="319"/>
      <c r="AO692" s="319"/>
      <c r="AP692" s="319"/>
      <c r="AQ692" s="319"/>
      <c r="AR692" s="319"/>
      <c r="AS692" s="327"/>
      <c r="AT692" s="461" t="s">
        <v>182</v>
      </c>
      <c r="AU692" s="324" t="s">
        <v>846</v>
      </c>
      <c r="AV692" s="330">
        <f>SQRT(($R692-Infrastructure!J$3)^2+($S692-Infrastructure!K$3)^2)</f>
        <v>28.90155705</v>
      </c>
      <c r="AW692" s="331">
        <f>SQRT(($R692-Infrastructure!J$4)^2+($S692-Infrastructure!K$4)^2)</f>
        <v>17.80252791</v>
      </c>
      <c r="AX692" s="331">
        <f>SQRT(($R692-Infrastructure!J$5)^2+($S692-Infrastructure!K$5)^2)</f>
        <v>5.10881591</v>
      </c>
      <c r="AY692" s="331">
        <f>SQRT(($R692-Infrastructure!J$6)^2+($S692-Infrastructure!K$6)^2)</f>
        <v>10.10445446</v>
      </c>
      <c r="AZ692" s="331">
        <f>SQRT(($R692-Infrastructure!J$7)^2+($S692-Infrastructure!K$7)^2)</f>
        <v>20.502195</v>
      </c>
      <c r="BA692" s="331">
        <f>SQRT(($R692-Infrastructure!J$8)^2+($S692-Infrastructure!K$8)^2)</f>
        <v>30.10149498</v>
      </c>
      <c r="BB692" s="331">
        <f>SQRT(($R692-Infrastructure!J$9)^2+($S692-Infrastructure!K$9)^2)</f>
        <v>40.3238143</v>
      </c>
      <c r="BC692" s="331">
        <f>SQRT(($R692-Infrastructure!J$10)^2+($S692-Infrastructure!K$10)^2)</f>
        <v>42.72001873</v>
      </c>
      <c r="BD692" s="318"/>
      <c r="BE692" s="332"/>
      <c r="BF692" s="330">
        <f t="shared" si="14"/>
        <v>5.10881591</v>
      </c>
      <c r="BG692" s="333">
        <f t="shared" si="15"/>
        <v>42.72001873</v>
      </c>
      <c r="BH692" s="334"/>
      <c r="BI692" s="462" t="s">
        <v>845</v>
      </c>
      <c r="BJ692" s="319" t="s">
        <v>845</v>
      </c>
      <c r="BK692" s="319" t="s">
        <v>845</v>
      </c>
      <c r="BL692" s="788" t="s">
        <v>845</v>
      </c>
      <c r="BM692" s="319" t="s">
        <v>845</v>
      </c>
      <c r="BN692" s="788" t="s">
        <v>845</v>
      </c>
      <c r="BO692" s="319" t="s">
        <v>845</v>
      </c>
      <c r="BP692" s="319" t="s">
        <v>845</v>
      </c>
      <c r="BQ692" s="788" t="s">
        <v>845</v>
      </c>
      <c r="BR692" s="789" t="s">
        <v>845</v>
      </c>
      <c r="BS692" s="330">
        <f t="shared" si="23"/>
        <v>0</v>
      </c>
      <c r="BT692" s="331">
        <f t="shared" si="24"/>
        <v>0</v>
      </c>
      <c r="BU692" s="331"/>
      <c r="BV692" s="333"/>
      <c r="BW692" s="330"/>
      <c r="BX692" s="331"/>
      <c r="BY692" s="331" t="b">
        <f t="shared" si="38"/>
        <v>0</v>
      </c>
      <c r="BZ692" s="340"/>
      <c r="CA692" s="316"/>
      <c r="CB692" s="318"/>
      <c r="CC692" s="318"/>
      <c r="CD692" s="318"/>
      <c r="CE692" s="318"/>
      <c r="CF692" s="338"/>
      <c r="CG692" s="318"/>
      <c r="CH692" s="318"/>
      <c r="CI692" s="338"/>
      <c r="CJ692" s="341"/>
      <c r="CK692" s="342">
        <f t="shared" si="18"/>
        <v>0</v>
      </c>
      <c r="CL692" s="333">
        <f t="shared" si="19"/>
        <v>0</v>
      </c>
      <c r="CM692" s="616"/>
      <c r="CN692" s="617"/>
      <c r="CO692" s="617"/>
      <c r="CP692" s="617"/>
    </row>
    <row r="693">
      <c r="B693" s="462" t="s">
        <v>1259</v>
      </c>
      <c r="C693" s="417">
        <v>44257.0</v>
      </c>
      <c r="D693" s="318"/>
      <c r="E693" s="319">
        <v>19.0</v>
      </c>
      <c r="F693" s="324" t="s">
        <v>1284</v>
      </c>
      <c r="G693" s="321">
        <v>0.6827546296296296</v>
      </c>
      <c r="H693" s="323">
        <v>0.6831597222222222</v>
      </c>
      <c r="I693" s="323"/>
      <c r="J693" s="323"/>
      <c r="K693" s="323">
        <v>0.6859375</v>
      </c>
      <c r="L693" s="323">
        <v>0.002777777777777778</v>
      </c>
      <c r="M693" s="326" t="s">
        <v>358</v>
      </c>
      <c r="N693" s="324" t="s">
        <v>188</v>
      </c>
      <c r="O693" s="419" t="s">
        <v>378</v>
      </c>
      <c r="P693" s="319" t="s">
        <v>217</v>
      </c>
      <c r="Q693" s="319" t="s">
        <v>851</v>
      </c>
      <c r="R693" s="326">
        <v>22.4</v>
      </c>
      <c r="S693" s="319">
        <v>39.6</v>
      </c>
      <c r="T693" s="324">
        <v>1.8</v>
      </c>
      <c r="U693" s="319">
        <v>10.0</v>
      </c>
      <c r="V693" s="319"/>
      <c r="W693" s="319"/>
      <c r="X693" s="319"/>
      <c r="Y693" s="319"/>
      <c r="Z693" s="319" t="s">
        <v>383</v>
      </c>
      <c r="AA693" s="319"/>
      <c r="AB693" s="319" t="s">
        <v>410</v>
      </c>
      <c r="AC693" s="327">
        <v>26.6</v>
      </c>
      <c r="AD693" s="319"/>
      <c r="AE693" s="319"/>
      <c r="AF693" s="319"/>
      <c r="AG693" s="319"/>
      <c r="AH693" s="319"/>
      <c r="AI693" s="319"/>
      <c r="AJ693" s="327"/>
      <c r="AK693" s="328"/>
      <c r="AL693" s="319"/>
      <c r="AM693" s="319"/>
      <c r="AN693" s="319"/>
      <c r="AO693" s="319"/>
      <c r="AP693" s="319"/>
      <c r="AQ693" s="319"/>
      <c r="AR693" s="319"/>
      <c r="AS693" s="327"/>
      <c r="AT693" s="461" t="s">
        <v>183</v>
      </c>
      <c r="AU693" s="324" t="s">
        <v>845</v>
      </c>
      <c r="AV693" s="330">
        <f>SQRT(($R693-Infrastructure!J$3)^2+($S693-Infrastructure!K$3)^2)</f>
        <v>25.09541791</v>
      </c>
      <c r="AW693" s="331">
        <f>SQRT(($R693-Infrastructure!J$4)^2+($S693-Infrastructure!K$4)^2)</f>
        <v>31.47268657</v>
      </c>
      <c r="AX693" s="331">
        <f>SQRT(($R693-Infrastructure!J$5)^2+($S693-Infrastructure!K$5)^2)</f>
        <v>41.29818398</v>
      </c>
      <c r="AY693" s="331">
        <f>SQRT(($R693-Infrastructure!J$6)^2+($S693-Infrastructure!K$6)^2)</f>
        <v>41.17984944</v>
      </c>
      <c r="AZ693" s="331">
        <f>SQRT(($R693-Infrastructure!J$7)^2+($S693-Infrastructure!K$7)^2)</f>
        <v>39.34590195</v>
      </c>
      <c r="BA693" s="331">
        <f>SQRT(($R693-Infrastructure!J$8)^2+($S693-Infrastructure!K$8)^2)</f>
        <v>40.04722213</v>
      </c>
      <c r="BB693" s="331">
        <f>SQRT(($R693-Infrastructure!J$9)^2+($S693-Infrastructure!K$9)^2)</f>
        <v>38.72996256</v>
      </c>
      <c r="BC693" s="331">
        <f>SQRT(($R693-Infrastructure!J$10)^2+($S693-Infrastructure!K$10)^2)</f>
        <v>30.24764454</v>
      </c>
      <c r="BD693" s="318"/>
      <c r="BE693" s="332"/>
      <c r="BF693" s="330">
        <f t="shared" si="14"/>
        <v>25.09541791</v>
      </c>
      <c r="BG693" s="333">
        <f t="shared" si="15"/>
        <v>41.29818398</v>
      </c>
      <c r="BH693" s="334"/>
      <c r="BI693" s="462" t="s">
        <v>845</v>
      </c>
      <c r="BJ693" s="319" t="s">
        <v>845</v>
      </c>
      <c r="BK693" s="319" t="s">
        <v>845</v>
      </c>
      <c r="BL693" s="788" t="s">
        <v>845</v>
      </c>
      <c r="BM693" s="319" t="s">
        <v>845</v>
      </c>
      <c r="BN693" s="788" t="s">
        <v>845</v>
      </c>
      <c r="BO693" s="319" t="s">
        <v>845</v>
      </c>
      <c r="BP693" s="319" t="s">
        <v>845</v>
      </c>
      <c r="BQ693" s="788" t="s">
        <v>845</v>
      </c>
      <c r="BR693" s="789" t="s">
        <v>845</v>
      </c>
      <c r="BS693" s="330">
        <f t="shared" si="23"/>
        <v>0</v>
      </c>
      <c r="BT693" s="331">
        <f t="shared" si="24"/>
        <v>0</v>
      </c>
      <c r="BU693" s="331"/>
      <c r="BV693" s="333"/>
      <c r="BW693" s="330"/>
      <c r="BX693" s="331"/>
      <c r="BY693" s="331" t="b">
        <f t="shared" si="38"/>
        <v>0</v>
      </c>
      <c r="BZ693" s="340"/>
      <c r="CA693" s="316"/>
      <c r="CB693" s="318"/>
      <c r="CC693" s="318"/>
      <c r="CD693" s="318"/>
      <c r="CE693" s="318"/>
      <c r="CF693" s="338"/>
      <c r="CG693" s="318"/>
      <c r="CH693" s="318"/>
      <c r="CI693" s="338"/>
      <c r="CJ693" s="341"/>
      <c r="CK693" s="342">
        <f t="shared" si="18"/>
        <v>0</v>
      </c>
      <c r="CL693" s="333">
        <f t="shared" si="19"/>
        <v>0</v>
      </c>
      <c r="CM693" s="616"/>
      <c r="CN693" s="617"/>
      <c r="CO693" s="617"/>
      <c r="CP693" s="617"/>
    </row>
    <row r="694">
      <c r="B694" s="462" t="s">
        <v>1259</v>
      </c>
      <c r="C694" s="417">
        <v>44257.0</v>
      </c>
      <c r="D694" s="318"/>
      <c r="E694" s="319">
        <v>20.0</v>
      </c>
      <c r="F694" s="324" t="s">
        <v>1285</v>
      </c>
      <c r="G694" s="321">
        <v>0.6877314814814814</v>
      </c>
      <c r="H694" s="323">
        <v>0.6881944444444444</v>
      </c>
      <c r="I694" s="323"/>
      <c r="J694" s="323"/>
      <c r="K694" s="323">
        <v>0.6909722222222222</v>
      </c>
      <c r="L694" s="323">
        <v>0.002777777777777778</v>
      </c>
      <c r="M694" s="326" t="s">
        <v>358</v>
      </c>
      <c r="N694" s="324" t="s">
        <v>188</v>
      </c>
      <c r="O694" s="419" t="s">
        <v>378</v>
      </c>
      <c r="P694" s="319" t="s">
        <v>225</v>
      </c>
      <c r="Q694" s="319" t="s">
        <v>842</v>
      </c>
      <c r="R694" s="326">
        <v>22.4</v>
      </c>
      <c r="S694" s="319">
        <v>39.6</v>
      </c>
      <c r="T694" s="324">
        <v>1.0</v>
      </c>
      <c r="U694" s="319">
        <v>10.0</v>
      </c>
      <c r="V694" s="319"/>
      <c r="W694" s="319"/>
      <c r="X694" s="319"/>
      <c r="Y694" s="319"/>
      <c r="Z694" s="319" t="s">
        <v>1140</v>
      </c>
      <c r="AA694" s="319"/>
      <c r="AB694" s="319" t="s">
        <v>410</v>
      </c>
      <c r="AC694" s="327">
        <v>26.6</v>
      </c>
      <c r="AD694" s="319"/>
      <c r="AE694" s="319"/>
      <c r="AF694" s="319"/>
      <c r="AG694" s="319"/>
      <c r="AH694" s="319"/>
      <c r="AI694" s="319"/>
      <c r="AJ694" s="327"/>
      <c r="AK694" s="328"/>
      <c r="AL694" s="319"/>
      <c r="AM694" s="319"/>
      <c r="AN694" s="319"/>
      <c r="AO694" s="319"/>
      <c r="AP694" s="319"/>
      <c r="AQ694" s="319"/>
      <c r="AR694" s="319"/>
      <c r="AS694" s="327"/>
      <c r="AT694" s="461" t="s">
        <v>183</v>
      </c>
      <c r="AU694" s="324" t="s">
        <v>845</v>
      </c>
      <c r="AV694" s="330">
        <f>SQRT(($R694-Infrastructure!J$3)^2+($S694-Infrastructure!K$3)^2)</f>
        <v>25.09541791</v>
      </c>
      <c r="AW694" s="331">
        <f>SQRT(($R694-Infrastructure!J$4)^2+($S694-Infrastructure!K$4)^2)</f>
        <v>31.47268657</v>
      </c>
      <c r="AX694" s="331">
        <f>SQRT(($R694-Infrastructure!J$5)^2+($S694-Infrastructure!K$5)^2)</f>
        <v>41.29818398</v>
      </c>
      <c r="AY694" s="331">
        <f>SQRT(($R694-Infrastructure!J$6)^2+($S694-Infrastructure!K$6)^2)</f>
        <v>41.17984944</v>
      </c>
      <c r="AZ694" s="331">
        <f>SQRT(($R694-Infrastructure!J$7)^2+($S694-Infrastructure!K$7)^2)</f>
        <v>39.34590195</v>
      </c>
      <c r="BA694" s="331">
        <f>SQRT(($R694-Infrastructure!J$8)^2+($S694-Infrastructure!K$8)^2)</f>
        <v>40.04722213</v>
      </c>
      <c r="BB694" s="331">
        <f>SQRT(($R694-Infrastructure!J$9)^2+($S694-Infrastructure!K$9)^2)</f>
        <v>38.72996256</v>
      </c>
      <c r="BC694" s="331">
        <f>SQRT(($R694-Infrastructure!J$10)^2+($S694-Infrastructure!K$10)^2)</f>
        <v>30.24764454</v>
      </c>
      <c r="BD694" s="318"/>
      <c r="BE694" s="332"/>
      <c r="BF694" s="330">
        <f t="shared" si="14"/>
        <v>25.09541791</v>
      </c>
      <c r="BG694" s="333">
        <f t="shared" si="15"/>
        <v>41.29818398</v>
      </c>
      <c r="BH694" s="334"/>
      <c r="BI694" s="462" t="s">
        <v>845</v>
      </c>
      <c r="BJ694" s="319" t="s">
        <v>845</v>
      </c>
      <c r="BK694" s="319" t="s">
        <v>845</v>
      </c>
      <c r="BL694" s="788" t="s">
        <v>845</v>
      </c>
      <c r="BM694" s="319" t="s">
        <v>845</v>
      </c>
      <c r="BN694" s="788" t="s">
        <v>845</v>
      </c>
      <c r="BO694" s="319" t="s">
        <v>845</v>
      </c>
      <c r="BP694" s="319" t="s">
        <v>845</v>
      </c>
      <c r="BQ694" s="788" t="s">
        <v>845</v>
      </c>
      <c r="BR694" s="789" t="s">
        <v>845</v>
      </c>
      <c r="BS694" s="330">
        <f t="shared" si="23"/>
        <v>0</v>
      </c>
      <c r="BT694" s="331">
        <f t="shared" si="24"/>
        <v>0</v>
      </c>
      <c r="BU694" s="331"/>
      <c r="BV694" s="333"/>
      <c r="BW694" s="330"/>
      <c r="BX694" s="331"/>
      <c r="BY694" s="331" t="b">
        <f t="shared" si="38"/>
        <v>0</v>
      </c>
      <c r="BZ694" s="340"/>
      <c r="CA694" s="316"/>
      <c r="CB694" s="318"/>
      <c r="CC694" s="318"/>
      <c r="CD694" s="318"/>
      <c r="CE694" s="318"/>
      <c r="CF694" s="338"/>
      <c r="CG694" s="318"/>
      <c r="CH694" s="318"/>
      <c r="CI694" s="338"/>
      <c r="CJ694" s="341"/>
      <c r="CK694" s="342">
        <f t="shared" si="18"/>
        <v>0</v>
      </c>
      <c r="CL694" s="333">
        <f t="shared" si="19"/>
        <v>0</v>
      </c>
      <c r="CM694" s="616"/>
      <c r="CN694" s="617"/>
      <c r="CO694" s="617"/>
      <c r="CP694" s="617"/>
    </row>
    <row r="695">
      <c r="B695" s="462" t="s">
        <v>1259</v>
      </c>
      <c r="C695" s="417">
        <v>44257.0</v>
      </c>
      <c r="D695" s="318"/>
      <c r="E695" s="319">
        <v>21.0</v>
      </c>
      <c r="F695" s="324" t="s">
        <v>1286</v>
      </c>
      <c r="G695" s="321">
        <v>0.69375</v>
      </c>
      <c r="H695" s="323">
        <v>0.6940972222222223</v>
      </c>
      <c r="I695" s="323"/>
      <c r="J695" s="323"/>
      <c r="K695" s="323">
        <v>0.696875</v>
      </c>
      <c r="L695" s="323">
        <v>0.002777777777777778</v>
      </c>
      <c r="M695" s="326" t="s">
        <v>358</v>
      </c>
      <c r="N695" s="324" t="s">
        <v>188</v>
      </c>
      <c r="O695" s="419" t="s">
        <v>378</v>
      </c>
      <c r="P695" s="319" t="s">
        <v>225</v>
      </c>
      <c r="Q695" s="319" t="s">
        <v>842</v>
      </c>
      <c r="R695" s="326">
        <v>22.4</v>
      </c>
      <c r="S695" s="319">
        <v>39.6</v>
      </c>
      <c r="T695" s="324">
        <v>1.0</v>
      </c>
      <c r="U695" s="319">
        <v>3.0</v>
      </c>
      <c r="V695" s="319"/>
      <c r="W695" s="319"/>
      <c r="X695" s="319"/>
      <c r="Y695" s="319"/>
      <c r="Z695" s="319" t="s">
        <v>1140</v>
      </c>
      <c r="AA695" s="319"/>
      <c r="AB695" s="319" t="s">
        <v>403</v>
      </c>
      <c r="AC695" s="327">
        <v>26.6</v>
      </c>
      <c r="AD695" s="319"/>
      <c r="AE695" s="319"/>
      <c r="AF695" s="319"/>
      <c r="AG695" s="319"/>
      <c r="AH695" s="319"/>
      <c r="AI695" s="319"/>
      <c r="AJ695" s="327"/>
      <c r="AK695" s="328"/>
      <c r="AL695" s="319"/>
      <c r="AM695" s="319"/>
      <c r="AN695" s="319"/>
      <c r="AO695" s="319"/>
      <c r="AP695" s="319"/>
      <c r="AQ695" s="319"/>
      <c r="AR695" s="319"/>
      <c r="AS695" s="327"/>
      <c r="AT695" s="461" t="s">
        <v>182</v>
      </c>
      <c r="AU695" s="324" t="s">
        <v>845</v>
      </c>
      <c r="AV695" s="330">
        <f>SQRT(($R695-Infrastructure!J$3)^2+($S695-Infrastructure!K$3)^2)</f>
        <v>25.09541791</v>
      </c>
      <c r="AW695" s="331">
        <f>SQRT(($R695-Infrastructure!J$4)^2+($S695-Infrastructure!K$4)^2)</f>
        <v>31.47268657</v>
      </c>
      <c r="AX695" s="331">
        <f>SQRT(($R695-Infrastructure!J$5)^2+($S695-Infrastructure!K$5)^2)</f>
        <v>41.29818398</v>
      </c>
      <c r="AY695" s="331">
        <f>SQRT(($R695-Infrastructure!J$6)^2+($S695-Infrastructure!K$6)^2)</f>
        <v>41.17984944</v>
      </c>
      <c r="AZ695" s="331">
        <f>SQRT(($R695-Infrastructure!J$7)^2+($S695-Infrastructure!K$7)^2)</f>
        <v>39.34590195</v>
      </c>
      <c r="BA695" s="331">
        <f>SQRT(($R695-Infrastructure!J$8)^2+($S695-Infrastructure!K$8)^2)</f>
        <v>40.04722213</v>
      </c>
      <c r="BB695" s="331">
        <f>SQRT(($R695-Infrastructure!J$9)^2+($S695-Infrastructure!K$9)^2)</f>
        <v>38.72996256</v>
      </c>
      <c r="BC695" s="331">
        <f>SQRT(($R695-Infrastructure!J$10)^2+($S695-Infrastructure!K$10)^2)</f>
        <v>30.24764454</v>
      </c>
      <c r="BD695" s="318"/>
      <c r="BE695" s="332"/>
      <c r="BF695" s="330">
        <f t="shared" si="14"/>
        <v>25.09541791</v>
      </c>
      <c r="BG695" s="333">
        <f t="shared" si="15"/>
        <v>41.29818398</v>
      </c>
      <c r="BH695" s="334"/>
      <c r="BI695" s="462" t="s">
        <v>845</v>
      </c>
      <c r="BJ695" s="319" t="s">
        <v>845</v>
      </c>
      <c r="BK695" s="319" t="s">
        <v>845</v>
      </c>
      <c r="BL695" s="788" t="s">
        <v>845</v>
      </c>
      <c r="BM695" s="319" t="s">
        <v>845</v>
      </c>
      <c r="BN695" s="788" t="s">
        <v>845</v>
      </c>
      <c r="BO695" s="319" t="s">
        <v>845</v>
      </c>
      <c r="BP695" s="319" t="s">
        <v>845</v>
      </c>
      <c r="BQ695" s="788" t="s">
        <v>845</v>
      </c>
      <c r="BR695" s="789" t="s">
        <v>845</v>
      </c>
      <c r="BS695" s="330">
        <f t="shared" si="23"/>
        <v>0</v>
      </c>
      <c r="BT695" s="331">
        <f t="shared" si="24"/>
        <v>0</v>
      </c>
      <c r="BU695" s="331"/>
      <c r="BV695" s="333"/>
      <c r="BW695" s="330"/>
      <c r="BX695" s="331"/>
      <c r="BY695" s="331" t="b">
        <f t="shared" si="38"/>
        <v>0</v>
      </c>
      <c r="BZ695" s="340"/>
      <c r="CA695" s="316"/>
      <c r="CB695" s="318"/>
      <c r="CC695" s="318"/>
      <c r="CD695" s="318"/>
      <c r="CE695" s="318"/>
      <c r="CF695" s="338"/>
      <c r="CG695" s="318"/>
      <c r="CH695" s="318"/>
      <c r="CI695" s="338"/>
      <c r="CJ695" s="341"/>
      <c r="CK695" s="342">
        <f t="shared" si="18"/>
        <v>0</v>
      </c>
      <c r="CL695" s="333">
        <f t="shared" si="19"/>
        <v>0</v>
      </c>
      <c r="CM695" s="616"/>
      <c r="CN695" s="617"/>
      <c r="CO695" s="617"/>
      <c r="CP695" s="617"/>
    </row>
    <row r="696">
      <c r="B696" s="462" t="s">
        <v>1259</v>
      </c>
      <c r="C696" s="417">
        <v>44257.0</v>
      </c>
      <c r="D696" s="318"/>
      <c r="E696" s="319">
        <v>22.0</v>
      </c>
      <c r="F696" s="324" t="s">
        <v>1287</v>
      </c>
      <c r="G696" s="321">
        <v>0.7006944444444444</v>
      </c>
      <c r="H696" s="323">
        <v>0.7013888888888888</v>
      </c>
      <c r="I696" s="323"/>
      <c r="J696" s="323"/>
      <c r="K696" s="323">
        <v>0.7034722222222223</v>
      </c>
      <c r="L696" s="323">
        <v>0.0020833333333333333</v>
      </c>
      <c r="M696" s="326" t="s">
        <v>358</v>
      </c>
      <c r="N696" s="324" t="s">
        <v>188</v>
      </c>
      <c r="O696" s="419" t="s">
        <v>196</v>
      </c>
      <c r="P696" s="319" t="s">
        <v>224</v>
      </c>
      <c r="Q696" s="319" t="s">
        <v>842</v>
      </c>
      <c r="R696" s="326">
        <v>21.4</v>
      </c>
      <c r="S696" s="319">
        <v>39.3</v>
      </c>
      <c r="T696" s="324">
        <v>1.8</v>
      </c>
      <c r="U696" s="319">
        <v>50.0</v>
      </c>
      <c r="V696" s="319"/>
      <c r="W696" s="319"/>
      <c r="X696" s="319"/>
      <c r="Y696" s="319"/>
      <c r="Z696" s="319" t="s">
        <v>387</v>
      </c>
      <c r="AA696" s="319"/>
      <c r="AB696" s="319" t="s">
        <v>416</v>
      </c>
      <c r="AC696" s="327">
        <v>26.6</v>
      </c>
      <c r="AD696" s="319"/>
      <c r="AE696" s="319"/>
      <c r="AF696" s="319"/>
      <c r="AG696" s="319"/>
      <c r="AH696" s="319"/>
      <c r="AI696" s="319"/>
      <c r="AJ696" s="327"/>
      <c r="AK696" s="328"/>
      <c r="AL696" s="319"/>
      <c r="AM696" s="319"/>
      <c r="AN696" s="319"/>
      <c r="AO696" s="319"/>
      <c r="AP696" s="319"/>
      <c r="AQ696" s="319"/>
      <c r="AR696" s="319"/>
      <c r="AS696" s="327"/>
      <c r="AT696" s="461" t="s">
        <v>183</v>
      </c>
      <c r="AU696" s="324" t="s">
        <v>845</v>
      </c>
      <c r="AV696" s="330">
        <f>SQRT(($R696-Infrastructure!J$3)^2+($S696-Infrastructure!K$3)^2)</f>
        <v>24.06345777</v>
      </c>
      <c r="AW696" s="331">
        <f>SQRT(($R696-Infrastructure!J$4)^2+($S696-Infrastructure!K$4)^2)</f>
        <v>30.54734031</v>
      </c>
      <c r="AX696" s="331">
        <f>SQRT(($R696-Infrastructure!J$5)^2+($S696-Infrastructure!K$5)^2)</f>
        <v>40.50345664</v>
      </c>
      <c r="AY696" s="331">
        <f>SQRT(($R696-Infrastructure!J$6)^2+($S696-Infrastructure!K$6)^2)</f>
        <v>40.60406384</v>
      </c>
      <c r="AZ696" s="331">
        <f>SQRT(($R696-Infrastructure!J$7)^2+($S696-Infrastructure!K$7)^2)</f>
        <v>39.01038323</v>
      </c>
      <c r="BA696" s="331">
        <f>SQRT(($R696-Infrastructure!J$8)^2+($S696-Infrastructure!K$8)^2)</f>
        <v>39.95860358</v>
      </c>
      <c r="BB696" s="331">
        <f>SQRT(($R696-Infrastructure!J$9)^2+($S696-Infrastructure!K$9)^2)</f>
        <v>38.93070767</v>
      </c>
      <c r="BC696" s="331">
        <f>SQRT(($R696-Infrastructure!J$10)^2+($S696-Infrastructure!K$10)^2)</f>
        <v>30.60147055</v>
      </c>
      <c r="BD696" s="318"/>
      <c r="BE696" s="332"/>
      <c r="BF696" s="330">
        <f t="shared" si="14"/>
        <v>24.06345777</v>
      </c>
      <c r="BG696" s="333">
        <f t="shared" si="15"/>
        <v>40.60406384</v>
      </c>
      <c r="BH696" s="334"/>
      <c r="BI696" s="462" t="s">
        <v>846</v>
      </c>
      <c r="BJ696" s="319" t="s">
        <v>845</v>
      </c>
      <c r="BK696" s="319" t="s">
        <v>845</v>
      </c>
      <c r="BL696" s="788" t="s">
        <v>845</v>
      </c>
      <c r="BM696" s="319" t="s">
        <v>845</v>
      </c>
      <c r="BN696" s="788" t="s">
        <v>845</v>
      </c>
      <c r="BO696" s="319" t="s">
        <v>845</v>
      </c>
      <c r="BP696" s="319" t="s">
        <v>846</v>
      </c>
      <c r="BQ696" s="788" t="s">
        <v>845</v>
      </c>
      <c r="BR696" s="789" t="s">
        <v>845</v>
      </c>
      <c r="BS696" s="330">
        <f t="shared" si="23"/>
        <v>24.06345777</v>
      </c>
      <c r="BT696" s="331">
        <f t="shared" si="24"/>
        <v>30.60147055</v>
      </c>
      <c r="BU696" s="331"/>
      <c r="BV696" s="333"/>
      <c r="BW696" s="614">
        <v>15.2</v>
      </c>
      <c r="BX696" s="615">
        <v>20.9</v>
      </c>
      <c r="BY696" s="331">
        <f t="shared" si="38"/>
        <v>19.41648784</v>
      </c>
      <c r="BZ696" s="340"/>
      <c r="CA696" s="462" t="s">
        <v>846</v>
      </c>
      <c r="CB696" s="318"/>
      <c r="CC696" s="318"/>
      <c r="CD696" s="319" t="s">
        <v>846</v>
      </c>
      <c r="CE696" s="318"/>
      <c r="CF696" s="338"/>
      <c r="CG696" s="318"/>
      <c r="CH696" s="318"/>
      <c r="CI696" s="338"/>
      <c r="CJ696" s="341"/>
      <c r="CK696" s="342">
        <f t="shared" si="18"/>
        <v>24.06345777</v>
      </c>
      <c r="CL696" s="333">
        <f t="shared" si="19"/>
        <v>40.60406384</v>
      </c>
      <c r="CM696" s="702"/>
      <c r="CN696" s="595"/>
      <c r="CO696" s="595"/>
      <c r="CP696" s="595"/>
    </row>
    <row r="697">
      <c r="B697" s="462" t="s">
        <v>1259</v>
      </c>
      <c r="C697" s="417">
        <v>44257.0</v>
      </c>
      <c r="D697" s="318"/>
      <c r="E697" s="319">
        <v>23.0</v>
      </c>
      <c r="F697" s="324" t="s">
        <v>1288</v>
      </c>
      <c r="G697" s="321">
        <v>0.7076388888888889</v>
      </c>
      <c r="H697" s="323">
        <v>0.7081597222222222</v>
      </c>
      <c r="I697" s="323"/>
      <c r="J697" s="323"/>
      <c r="K697" s="323">
        <v>0.7109375</v>
      </c>
      <c r="L697" s="323">
        <v>0.002777777777777778</v>
      </c>
      <c r="M697" s="326" t="s">
        <v>358</v>
      </c>
      <c r="N697" s="324" t="s">
        <v>188</v>
      </c>
      <c r="O697" s="419" t="s">
        <v>196</v>
      </c>
      <c r="P697" s="319" t="s">
        <v>216</v>
      </c>
      <c r="Q697" s="319" t="s">
        <v>851</v>
      </c>
      <c r="R697" s="326">
        <v>21.4</v>
      </c>
      <c r="S697" s="319">
        <v>39.3</v>
      </c>
      <c r="T697" s="324">
        <v>1.8</v>
      </c>
      <c r="U697" s="319">
        <v>25.0</v>
      </c>
      <c r="V697" s="319"/>
      <c r="W697" s="319"/>
      <c r="X697" s="319"/>
      <c r="Y697" s="319"/>
      <c r="Z697" s="319" t="s">
        <v>387</v>
      </c>
      <c r="AA697" s="319"/>
      <c r="AB697" s="319" t="s">
        <v>413</v>
      </c>
      <c r="AC697" s="327">
        <v>26.6</v>
      </c>
      <c r="AD697" s="319"/>
      <c r="AE697" s="319"/>
      <c r="AF697" s="319"/>
      <c r="AG697" s="319"/>
      <c r="AH697" s="319"/>
      <c r="AI697" s="319"/>
      <c r="AJ697" s="327"/>
      <c r="AK697" s="328"/>
      <c r="AL697" s="319"/>
      <c r="AM697" s="319"/>
      <c r="AN697" s="319"/>
      <c r="AO697" s="319"/>
      <c r="AP697" s="319"/>
      <c r="AQ697" s="319"/>
      <c r="AR697" s="319"/>
      <c r="AS697" s="327"/>
      <c r="AT697" s="461" t="s">
        <v>183</v>
      </c>
      <c r="AU697" s="324" t="s">
        <v>845</v>
      </c>
      <c r="AV697" s="330">
        <f>SQRT(($R697-Infrastructure!J$3)^2+($S697-Infrastructure!K$3)^2)</f>
        <v>24.06345777</v>
      </c>
      <c r="AW697" s="331">
        <f>SQRT(($R697-Infrastructure!J$4)^2+($S697-Infrastructure!K$4)^2)</f>
        <v>30.54734031</v>
      </c>
      <c r="AX697" s="331">
        <f>SQRT(($R697-Infrastructure!J$5)^2+($S697-Infrastructure!K$5)^2)</f>
        <v>40.50345664</v>
      </c>
      <c r="AY697" s="331">
        <f>SQRT(($R697-Infrastructure!J$6)^2+($S697-Infrastructure!K$6)^2)</f>
        <v>40.60406384</v>
      </c>
      <c r="AZ697" s="331">
        <f>SQRT(($R697-Infrastructure!J$7)^2+($S697-Infrastructure!K$7)^2)</f>
        <v>39.01038323</v>
      </c>
      <c r="BA697" s="331">
        <f>SQRT(($R697-Infrastructure!J$8)^2+($S697-Infrastructure!K$8)^2)</f>
        <v>39.95860358</v>
      </c>
      <c r="BB697" s="331">
        <f>SQRT(($R697-Infrastructure!J$9)^2+($S697-Infrastructure!K$9)^2)</f>
        <v>38.93070767</v>
      </c>
      <c r="BC697" s="331">
        <f>SQRT(($R697-Infrastructure!J$10)^2+($S697-Infrastructure!K$10)^2)</f>
        <v>30.60147055</v>
      </c>
      <c r="BD697" s="318"/>
      <c r="BE697" s="332"/>
      <c r="BF697" s="330">
        <f t="shared" si="14"/>
        <v>24.06345777</v>
      </c>
      <c r="BG697" s="333">
        <f t="shared" si="15"/>
        <v>40.60406384</v>
      </c>
      <c r="BH697" s="334"/>
      <c r="BI697" s="462" t="s">
        <v>845</v>
      </c>
      <c r="BJ697" s="319" t="s">
        <v>845</v>
      </c>
      <c r="BK697" s="319" t="s">
        <v>845</v>
      </c>
      <c r="BL697" s="788" t="s">
        <v>845</v>
      </c>
      <c r="BM697" s="319" t="s">
        <v>845</v>
      </c>
      <c r="BN697" s="788" t="s">
        <v>845</v>
      </c>
      <c r="BO697" s="319" t="s">
        <v>845</v>
      </c>
      <c r="BP697" s="319" t="s">
        <v>845</v>
      </c>
      <c r="BQ697" s="788" t="s">
        <v>845</v>
      </c>
      <c r="BR697" s="789" t="s">
        <v>845</v>
      </c>
      <c r="BS697" s="330">
        <f t="shared" si="23"/>
        <v>0</v>
      </c>
      <c r="BT697" s="331">
        <f t="shared" si="24"/>
        <v>0</v>
      </c>
      <c r="BU697" s="331"/>
      <c r="BV697" s="333"/>
      <c r="BW697" s="330"/>
      <c r="BX697" s="331"/>
      <c r="BY697" s="331" t="b">
        <f t="shared" si="38"/>
        <v>0</v>
      </c>
      <c r="BZ697" s="340"/>
      <c r="CA697" s="316"/>
      <c r="CB697" s="318"/>
      <c r="CC697" s="318"/>
      <c r="CD697" s="319" t="s">
        <v>846</v>
      </c>
      <c r="CE697" s="318"/>
      <c r="CF697" s="338"/>
      <c r="CG697" s="318"/>
      <c r="CH697" s="318"/>
      <c r="CI697" s="338"/>
      <c r="CJ697" s="341"/>
      <c r="CK697" s="342">
        <f t="shared" si="18"/>
        <v>40.60406384</v>
      </c>
      <c r="CL697" s="333">
        <f t="shared" si="19"/>
        <v>40.60406384</v>
      </c>
      <c r="CM697" s="702"/>
      <c r="CN697" s="595"/>
      <c r="CO697" s="595"/>
      <c r="CP697" s="595"/>
    </row>
    <row r="698">
      <c r="B698" s="462" t="s">
        <v>1259</v>
      </c>
      <c r="C698" s="417">
        <v>44258.0</v>
      </c>
      <c r="D698" s="318"/>
      <c r="E698" s="319">
        <v>1.0</v>
      </c>
      <c r="F698" s="324" t="s">
        <v>1289</v>
      </c>
      <c r="G698" s="321">
        <v>0.4036458333333333</v>
      </c>
      <c r="H698" s="323">
        <v>0.4046875</v>
      </c>
      <c r="I698" s="323"/>
      <c r="J698" s="323"/>
      <c r="K698" s="323">
        <v>0.4074652777777778</v>
      </c>
      <c r="L698" s="323">
        <v>0.002777777777777778</v>
      </c>
      <c r="M698" s="326" t="s">
        <v>166</v>
      </c>
      <c r="N698" s="324" t="s">
        <v>187</v>
      </c>
      <c r="O698" s="419" t="s">
        <v>199</v>
      </c>
      <c r="P698" s="319" t="s">
        <v>220</v>
      </c>
      <c r="Q698" s="319" t="s">
        <v>1290</v>
      </c>
      <c r="R698" s="326">
        <v>16.2</v>
      </c>
      <c r="S698" s="319">
        <v>9.3</v>
      </c>
      <c r="T698" s="324">
        <v>0.1</v>
      </c>
      <c r="U698" s="319">
        <v>3.75</v>
      </c>
      <c r="V698" s="319"/>
      <c r="W698" s="319"/>
      <c r="X698" s="319"/>
      <c r="Y698" s="319"/>
      <c r="Z698" s="319" t="s">
        <v>351</v>
      </c>
      <c r="AA698" s="319"/>
      <c r="AB698" s="319" t="s">
        <v>384</v>
      </c>
      <c r="AC698" s="327">
        <v>6.0</v>
      </c>
      <c r="AD698" s="319"/>
      <c r="AE698" s="319"/>
      <c r="AF698" s="319"/>
      <c r="AG698" s="319"/>
      <c r="AH698" s="319"/>
      <c r="AI698" s="319"/>
      <c r="AJ698" s="327"/>
      <c r="AK698" s="328"/>
      <c r="AL698" s="319"/>
      <c r="AM698" s="319"/>
      <c r="AN698" s="319"/>
      <c r="AO698" s="319"/>
      <c r="AP698" s="319"/>
      <c r="AQ698" s="319"/>
      <c r="AR698" s="319"/>
      <c r="AS698" s="327"/>
      <c r="AT698" s="461" t="s">
        <v>182</v>
      </c>
      <c r="AU698" s="324" t="s">
        <v>845</v>
      </c>
      <c r="AV698" s="330">
        <f>SQRT(($R698-Infrastructure!J$3)^2+($S698-Infrastructure!K$3)^2)</f>
        <v>25.6204996</v>
      </c>
      <c r="AW698" s="331">
        <f>SQRT(($R698-Infrastructure!J$4)^2+($S698-Infrastructure!K$4)^2)</f>
        <v>18.56071119</v>
      </c>
      <c r="AX698" s="331">
        <f>SQRT(($R698-Infrastructure!J$5)^2+($S698-Infrastructure!K$5)^2)</f>
        <v>17.02615635</v>
      </c>
      <c r="AY698" s="331">
        <f>SQRT(($R698-Infrastructure!J$6)^2+($S698-Infrastructure!K$6)^2)</f>
        <v>10.87244223</v>
      </c>
      <c r="AZ698" s="331">
        <f>SQRT(($R698-Infrastructure!J$7)^2+($S698-Infrastructure!K$7)^2)</f>
        <v>9.974467404</v>
      </c>
      <c r="BA698" s="331">
        <f>SQRT(($R698-Infrastructure!J$8)^2+($S698-Infrastructure!K$8)^2)</f>
        <v>16.55928742</v>
      </c>
      <c r="BB698" s="331">
        <f>SQRT(($R698-Infrastructure!J$9)^2+($S698-Infrastructure!K$9)^2)</f>
        <v>24.1677471</v>
      </c>
      <c r="BC698" s="331">
        <f>SQRT(($R698-Infrastructure!J$10)^2+($S698-Infrastructure!K$10)^2)</f>
        <v>24.4730464</v>
      </c>
      <c r="BD698" s="318"/>
      <c r="BE698" s="332"/>
      <c r="BF698" s="330">
        <f t="shared" si="14"/>
        <v>9.974467404</v>
      </c>
      <c r="BG698" s="333">
        <f t="shared" si="15"/>
        <v>25.6204996</v>
      </c>
      <c r="BH698" s="334"/>
      <c r="BI698" s="462" t="s">
        <v>845</v>
      </c>
      <c r="BJ698" s="319" t="s">
        <v>845</v>
      </c>
      <c r="BK698" s="319" t="s">
        <v>845</v>
      </c>
      <c r="BL698" s="788" t="s">
        <v>845</v>
      </c>
      <c r="BM698" s="319" t="s">
        <v>845</v>
      </c>
      <c r="BN698" s="788" t="s">
        <v>845</v>
      </c>
      <c r="BO698" s="319" t="s">
        <v>845</v>
      </c>
      <c r="BP698" s="319" t="s">
        <v>845</v>
      </c>
      <c r="BQ698" s="788" t="s">
        <v>845</v>
      </c>
      <c r="BR698" s="789" t="s">
        <v>845</v>
      </c>
      <c r="BS698" s="330">
        <f t="shared" si="23"/>
        <v>0</v>
      </c>
      <c r="BT698" s="331">
        <f t="shared" si="24"/>
        <v>0</v>
      </c>
      <c r="BU698" s="331"/>
      <c r="BV698" s="333"/>
      <c r="BW698" s="330"/>
      <c r="BX698" s="331"/>
      <c r="BY698" s="331" t="b">
        <f t="shared" si="38"/>
        <v>0</v>
      </c>
      <c r="BZ698" s="340"/>
      <c r="CA698" s="316"/>
      <c r="CB698" s="318"/>
      <c r="CC698" s="318"/>
      <c r="CD698" s="319" t="s">
        <v>846</v>
      </c>
      <c r="CE698" s="318"/>
      <c r="CF698" s="338"/>
      <c r="CG698" s="318"/>
      <c r="CH698" s="318"/>
      <c r="CI698" s="338"/>
      <c r="CJ698" s="341"/>
      <c r="CK698" s="342">
        <f t="shared" si="18"/>
        <v>10.87244223</v>
      </c>
      <c r="CL698" s="333">
        <f t="shared" si="19"/>
        <v>10.87244223</v>
      </c>
      <c r="CM698" s="702"/>
      <c r="CN698" s="595"/>
      <c r="CO698" s="595"/>
      <c r="CP698" s="595"/>
    </row>
    <row r="699">
      <c r="B699" s="462" t="s">
        <v>1259</v>
      </c>
      <c r="C699" s="417">
        <v>44258.0</v>
      </c>
      <c r="D699" s="318"/>
      <c r="E699" s="319">
        <v>2.0</v>
      </c>
      <c r="F699" s="324" t="s">
        <v>1291</v>
      </c>
      <c r="G699" s="321">
        <v>0.4095486111111111</v>
      </c>
      <c r="H699" s="323">
        <v>0.41041666666666665</v>
      </c>
      <c r="I699" s="323"/>
      <c r="J699" s="323"/>
      <c r="K699" s="323">
        <v>0.4131944444444444</v>
      </c>
      <c r="L699" s="323">
        <v>0.002777777777777778</v>
      </c>
      <c r="M699" s="326" t="s">
        <v>166</v>
      </c>
      <c r="N699" s="324" t="s">
        <v>187</v>
      </c>
      <c r="O699" s="419" t="s">
        <v>199</v>
      </c>
      <c r="P699" s="319" t="s">
        <v>220</v>
      </c>
      <c r="Q699" s="319" t="s">
        <v>1290</v>
      </c>
      <c r="R699" s="326">
        <v>16.2</v>
      </c>
      <c r="S699" s="319">
        <v>9.3</v>
      </c>
      <c r="T699" s="324">
        <v>0.1</v>
      </c>
      <c r="U699" s="319">
        <v>2.5</v>
      </c>
      <c r="V699" s="319"/>
      <c r="W699" s="319"/>
      <c r="X699" s="319"/>
      <c r="Y699" s="319"/>
      <c r="Z699" s="319" t="s">
        <v>351</v>
      </c>
      <c r="AA699" s="319"/>
      <c r="AB699" s="319" t="s">
        <v>380</v>
      </c>
      <c r="AC699" s="327">
        <v>4.0</v>
      </c>
      <c r="AD699" s="319"/>
      <c r="AE699" s="319"/>
      <c r="AF699" s="319"/>
      <c r="AG699" s="319"/>
      <c r="AH699" s="319"/>
      <c r="AI699" s="319"/>
      <c r="AJ699" s="327"/>
      <c r="AK699" s="328"/>
      <c r="AL699" s="319"/>
      <c r="AM699" s="319"/>
      <c r="AN699" s="319"/>
      <c r="AO699" s="319"/>
      <c r="AP699" s="319"/>
      <c r="AQ699" s="319"/>
      <c r="AR699" s="319"/>
      <c r="AS699" s="327"/>
      <c r="AT699" s="461" t="s">
        <v>182</v>
      </c>
      <c r="AU699" s="324" t="s">
        <v>845</v>
      </c>
      <c r="AV699" s="330">
        <f>SQRT(($R699-Infrastructure!J$3)^2+($S699-Infrastructure!K$3)^2)</f>
        <v>25.6204996</v>
      </c>
      <c r="AW699" s="331">
        <f>SQRT(($R699-Infrastructure!J$4)^2+($S699-Infrastructure!K$4)^2)</f>
        <v>18.56071119</v>
      </c>
      <c r="AX699" s="331">
        <f>SQRT(($R699-Infrastructure!J$5)^2+($S699-Infrastructure!K$5)^2)</f>
        <v>17.02615635</v>
      </c>
      <c r="AY699" s="331">
        <f>SQRT(($R699-Infrastructure!J$6)^2+($S699-Infrastructure!K$6)^2)</f>
        <v>10.87244223</v>
      </c>
      <c r="AZ699" s="331">
        <f>SQRT(($R699-Infrastructure!J$7)^2+($S699-Infrastructure!K$7)^2)</f>
        <v>9.974467404</v>
      </c>
      <c r="BA699" s="331">
        <f>SQRT(($R699-Infrastructure!J$8)^2+($S699-Infrastructure!K$8)^2)</f>
        <v>16.55928742</v>
      </c>
      <c r="BB699" s="331">
        <f>SQRT(($R699-Infrastructure!J$9)^2+($S699-Infrastructure!K$9)^2)</f>
        <v>24.1677471</v>
      </c>
      <c r="BC699" s="331">
        <f>SQRT(($R699-Infrastructure!J$10)^2+($S699-Infrastructure!K$10)^2)</f>
        <v>24.4730464</v>
      </c>
      <c r="BD699" s="318"/>
      <c r="BE699" s="332"/>
      <c r="BF699" s="330">
        <f t="shared" si="14"/>
        <v>9.974467404</v>
      </c>
      <c r="BG699" s="333">
        <f t="shared" si="15"/>
        <v>25.6204996</v>
      </c>
      <c r="BH699" s="334"/>
      <c r="BI699" s="462" t="s">
        <v>845</v>
      </c>
      <c r="BJ699" s="319" t="s">
        <v>845</v>
      </c>
      <c r="BK699" s="319" t="s">
        <v>845</v>
      </c>
      <c r="BL699" s="788" t="s">
        <v>845</v>
      </c>
      <c r="BM699" s="319" t="s">
        <v>845</v>
      </c>
      <c r="BN699" s="788" t="s">
        <v>845</v>
      </c>
      <c r="BO699" s="319" t="s">
        <v>845</v>
      </c>
      <c r="BP699" s="319" t="s">
        <v>845</v>
      </c>
      <c r="BQ699" s="788" t="s">
        <v>845</v>
      </c>
      <c r="BR699" s="789" t="s">
        <v>845</v>
      </c>
      <c r="BS699" s="330">
        <f t="shared" si="23"/>
        <v>0</v>
      </c>
      <c r="BT699" s="331">
        <f t="shared" si="24"/>
        <v>0</v>
      </c>
      <c r="BU699" s="331"/>
      <c r="BV699" s="333"/>
      <c r="BW699" s="330"/>
      <c r="BX699" s="331"/>
      <c r="BY699" s="331" t="b">
        <f t="shared" si="38"/>
        <v>0</v>
      </c>
      <c r="BZ699" s="340"/>
      <c r="CA699" s="316"/>
      <c r="CB699" s="318"/>
      <c r="CC699" s="318"/>
      <c r="CD699" s="319" t="s">
        <v>846</v>
      </c>
      <c r="CE699" s="318"/>
      <c r="CF699" s="338"/>
      <c r="CG699" s="318"/>
      <c r="CH699" s="318"/>
      <c r="CI699" s="338"/>
      <c r="CJ699" s="341"/>
      <c r="CK699" s="342">
        <f t="shared" si="18"/>
        <v>10.87244223</v>
      </c>
      <c r="CL699" s="333">
        <f t="shared" si="19"/>
        <v>10.87244223</v>
      </c>
      <c r="CM699" s="702"/>
      <c r="CN699" s="595"/>
      <c r="CO699" s="595"/>
      <c r="CP699" s="595"/>
    </row>
    <row r="700">
      <c r="B700" s="462" t="s">
        <v>1259</v>
      </c>
      <c r="C700" s="417">
        <v>44258.0</v>
      </c>
      <c r="D700" s="318"/>
      <c r="E700" s="319">
        <v>3.0</v>
      </c>
      <c r="F700" s="324" t="s">
        <v>1292</v>
      </c>
      <c r="G700" s="321">
        <v>0.4131944444444444</v>
      </c>
      <c r="H700" s="323">
        <v>0.4137152777777778</v>
      </c>
      <c r="I700" s="323"/>
      <c r="J700" s="323"/>
      <c r="K700" s="323">
        <v>0.41649305555555555</v>
      </c>
      <c r="L700" s="323">
        <v>0.002777777777777778</v>
      </c>
      <c r="M700" s="326" t="s">
        <v>166</v>
      </c>
      <c r="N700" s="324" t="s">
        <v>187</v>
      </c>
      <c r="O700" s="419" t="s">
        <v>199</v>
      </c>
      <c r="P700" s="319" t="s">
        <v>220</v>
      </c>
      <c r="Q700" s="319" t="s">
        <v>1290</v>
      </c>
      <c r="R700" s="326">
        <v>16.2</v>
      </c>
      <c r="S700" s="319">
        <v>9.3</v>
      </c>
      <c r="T700" s="324">
        <v>0.1</v>
      </c>
      <c r="U700" s="319">
        <v>3.0</v>
      </c>
      <c r="V700" s="319"/>
      <c r="W700" s="319"/>
      <c r="X700" s="319"/>
      <c r="Y700" s="319"/>
      <c r="Z700" s="319" t="s">
        <v>351</v>
      </c>
      <c r="AA700" s="319"/>
      <c r="AB700" s="319" t="s">
        <v>380</v>
      </c>
      <c r="AC700" s="327">
        <v>4.0</v>
      </c>
      <c r="AD700" s="319"/>
      <c r="AE700" s="319"/>
      <c r="AF700" s="319"/>
      <c r="AG700" s="319"/>
      <c r="AH700" s="319"/>
      <c r="AI700" s="319"/>
      <c r="AJ700" s="327"/>
      <c r="AK700" s="328"/>
      <c r="AL700" s="319"/>
      <c r="AM700" s="319"/>
      <c r="AN700" s="319"/>
      <c r="AO700" s="319"/>
      <c r="AP700" s="319"/>
      <c r="AQ700" s="319"/>
      <c r="AR700" s="319"/>
      <c r="AS700" s="327"/>
      <c r="AT700" s="461" t="s">
        <v>182</v>
      </c>
      <c r="AU700" s="324" t="s">
        <v>845</v>
      </c>
      <c r="AV700" s="330">
        <f>SQRT(($R700-Infrastructure!J$3)^2+($S700-Infrastructure!K$3)^2)</f>
        <v>25.6204996</v>
      </c>
      <c r="AW700" s="331">
        <f>SQRT(($R700-Infrastructure!J$4)^2+($S700-Infrastructure!K$4)^2)</f>
        <v>18.56071119</v>
      </c>
      <c r="AX700" s="331">
        <f>SQRT(($R700-Infrastructure!J$5)^2+($S700-Infrastructure!K$5)^2)</f>
        <v>17.02615635</v>
      </c>
      <c r="AY700" s="331">
        <f>SQRT(($R700-Infrastructure!J$6)^2+($S700-Infrastructure!K$6)^2)</f>
        <v>10.87244223</v>
      </c>
      <c r="AZ700" s="331">
        <f>SQRT(($R700-Infrastructure!J$7)^2+($S700-Infrastructure!K$7)^2)</f>
        <v>9.974467404</v>
      </c>
      <c r="BA700" s="331">
        <f>SQRT(($R700-Infrastructure!J$8)^2+($S700-Infrastructure!K$8)^2)</f>
        <v>16.55928742</v>
      </c>
      <c r="BB700" s="331">
        <f>SQRT(($R700-Infrastructure!J$9)^2+($S700-Infrastructure!K$9)^2)</f>
        <v>24.1677471</v>
      </c>
      <c r="BC700" s="331">
        <f>SQRT(($R700-Infrastructure!J$10)^2+($S700-Infrastructure!K$10)^2)</f>
        <v>24.4730464</v>
      </c>
      <c r="BD700" s="318"/>
      <c r="BE700" s="332"/>
      <c r="BF700" s="330">
        <f t="shared" si="14"/>
        <v>9.974467404</v>
      </c>
      <c r="BG700" s="333">
        <f t="shared" si="15"/>
        <v>25.6204996</v>
      </c>
      <c r="BH700" s="334"/>
      <c r="BI700" s="462" t="s">
        <v>845</v>
      </c>
      <c r="BJ700" s="319" t="s">
        <v>845</v>
      </c>
      <c r="BK700" s="319" t="s">
        <v>845</v>
      </c>
      <c r="BL700" s="788" t="s">
        <v>845</v>
      </c>
      <c r="BM700" s="319" t="s">
        <v>845</v>
      </c>
      <c r="BN700" s="788" t="s">
        <v>845</v>
      </c>
      <c r="BO700" s="319" t="s">
        <v>845</v>
      </c>
      <c r="BP700" s="319" t="s">
        <v>845</v>
      </c>
      <c r="BQ700" s="788" t="s">
        <v>845</v>
      </c>
      <c r="BR700" s="789" t="s">
        <v>845</v>
      </c>
      <c r="BS700" s="330">
        <f t="shared" si="23"/>
        <v>0</v>
      </c>
      <c r="BT700" s="331">
        <f t="shared" si="24"/>
        <v>0</v>
      </c>
      <c r="BU700" s="331"/>
      <c r="BV700" s="333"/>
      <c r="BW700" s="330"/>
      <c r="BX700" s="331"/>
      <c r="BY700" s="331" t="b">
        <f t="shared" si="38"/>
        <v>0</v>
      </c>
      <c r="BZ700" s="340"/>
      <c r="CA700" s="316"/>
      <c r="CB700" s="318"/>
      <c r="CC700" s="318"/>
      <c r="CD700" s="319" t="s">
        <v>846</v>
      </c>
      <c r="CE700" s="318"/>
      <c r="CF700" s="338"/>
      <c r="CG700" s="318"/>
      <c r="CH700" s="318"/>
      <c r="CI700" s="338"/>
      <c r="CJ700" s="341"/>
      <c r="CK700" s="342">
        <f t="shared" si="18"/>
        <v>10.87244223</v>
      </c>
      <c r="CL700" s="333">
        <f t="shared" si="19"/>
        <v>10.87244223</v>
      </c>
      <c r="CM700" s="702"/>
      <c r="CN700" s="595"/>
      <c r="CO700" s="595"/>
      <c r="CP700" s="595"/>
    </row>
    <row r="701">
      <c r="B701" s="462" t="s">
        <v>1259</v>
      </c>
      <c r="C701" s="417">
        <v>44258.0</v>
      </c>
      <c r="D701" s="318"/>
      <c r="E701" s="319">
        <v>4.0</v>
      </c>
      <c r="F701" s="324" t="s">
        <v>1293</v>
      </c>
      <c r="G701" s="321">
        <v>0.41649305555555555</v>
      </c>
      <c r="H701" s="323">
        <v>0.4170138888888889</v>
      </c>
      <c r="I701" s="323"/>
      <c r="J701" s="323"/>
      <c r="K701" s="323">
        <v>0.4197916666666667</v>
      </c>
      <c r="L701" s="323">
        <v>0.002777777777777778</v>
      </c>
      <c r="M701" s="326" t="s">
        <v>166</v>
      </c>
      <c r="N701" s="324" t="s">
        <v>187</v>
      </c>
      <c r="O701" s="419" t="s">
        <v>199</v>
      </c>
      <c r="P701" s="319" t="s">
        <v>220</v>
      </c>
      <c r="Q701" s="319" t="s">
        <v>1290</v>
      </c>
      <c r="R701" s="326">
        <v>16.2</v>
      </c>
      <c r="S701" s="319">
        <v>9.3</v>
      </c>
      <c r="T701" s="324">
        <v>0.1</v>
      </c>
      <c r="U701" s="319">
        <v>3.5</v>
      </c>
      <c r="V701" s="319"/>
      <c r="W701" s="319"/>
      <c r="X701" s="319"/>
      <c r="Y701" s="319"/>
      <c r="Z701" s="319" t="s">
        <v>351</v>
      </c>
      <c r="AA701" s="319"/>
      <c r="AB701" s="319" t="s">
        <v>380</v>
      </c>
      <c r="AC701" s="327">
        <v>4.0</v>
      </c>
      <c r="AD701" s="319"/>
      <c r="AE701" s="319"/>
      <c r="AF701" s="319"/>
      <c r="AG701" s="319"/>
      <c r="AH701" s="319"/>
      <c r="AI701" s="319"/>
      <c r="AJ701" s="327"/>
      <c r="AK701" s="328"/>
      <c r="AL701" s="319"/>
      <c r="AM701" s="319"/>
      <c r="AN701" s="319"/>
      <c r="AO701" s="319"/>
      <c r="AP701" s="319"/>
      <c r="AQ701" s="319"/>
      <c r="AR701" s="319"/>
      <c r="AS701" s="327"/>
      <c r="AT701" s="461" t="s">
        <v>182</v>
      </c>
      <c r="AU701" s="324" t="s">
        <v>845</v>
      </c>
      <c r="AV701" s="330">
        <f>SQRT(($R701-Infrastructure!J$3)^2+($S701-Infrastructure!K$3)^2)</f>
        <v>25.6204996</v>
      </c>
      <c r="AW701" s="331">
        <f>SQRT(($R701-Infrastructure!J$4)^2+($S701-Infrastructure!K$4)^2)</f>
        <v>18.56071119</v>
      </c>
      <c r="AX701" s="331">
        <f>SQRT(($R701-Infrastructure!J$5)^2+($S701-Infrastructure!K$5)^2)</f>
        <v>17.02615635</v>
      </c>
      <c r="AY701" s="331">
        <f>SQRT(($R701-Infrastructure!J$6)^2+($S701-Infrastructure!K$6)^2)</f>
        <v>10.87244223</v>
      </c>
      <c r="AZ701" s="331">
        <f>SQRT(($R701-Infrastructure!J$7)^2+($S701-Infrastructure!K$7)^2)</f>
        <v>9.974467404</v>
      </c>
      <c r="BA701" s="331">
        <f>SQRT(($R701-Infrastructure!J$8)^2+($S701-Infrastructure!K$8)^2)</f>
        <v>16.55928742</v>
      </c>
      <c r="BB701" s="331">
        <f>SQRT(($R701-Infrastructure!J$9)^2+($S701-Infrastructure!K$9)^2)</f>
        <v>24.1677471</v>
      </c>
      <c r="BC701" s="331">
        <f>SQRT(($R701-Infrastructure!J$10)^2+($S701-Infrastructure!K$10)^2)</f>
        <v>24.4730464</v>
      </c>
      <c r="BD701" s="318"/>
      <c r="BE701" s="332"/>
      <c r="BF701" s="330">
        <f t="shared" si="14"/>
        <v>9.974467404</v>
      </c>
      <c r="BG701" s="333">
        <f t="shared" si="15"/>
        <v>25.6204996</v>
      </c>
      <c r="BH701" s="334"/>
      <c r="BI701" s="462" t="s">
        <v>845</v>
      </c>
      <c r="BJ701" s="319" t="s">
        <v>845</v>
      </c>
      <c r="BK701" s="319" t="s">
        <v>845</v>
      </c>
      <c r="BL701" s="788" t="s">
        <v>845</v>
      </c>
      <c r="BM701" s="319" t="s">
        <v>845</v>
      </c>
      <c r="BN701" s="788" t="s">
        <v>845</v>
      </c>
      <c r="BO701" s="319" t="s">
        <v>845</v>
      </c>
      <c r="BP701" s="319" t="s">
        <v>845</v>
      </c>
      <c r="BQ701" s="788" t="s">
        <v>845</v>
      </c>
      <c r="BR701" s="789" t="s">
        <v>845</v>
      </c>
      <c r="BS701" s="330">
        <f t="shared" si="23"/>
        <v>0</v>
      </c>
      <c r="BT701" s="331">
        <f t="shared" si="24"/>
        <v>0</v>
      </c>
      <c r="BU701" s="331"/>
      <c r="BV701" s="333"/>
      <c r="BW701" s="330"/>
      <c r="BX701" s="331"/>
      <c r="BY701" s="331" t="b">
        <f t="shared" si="38"/>
        <v>0</v>
      </c>
      <c r="BZ701" s="340"/>
      <c r="CA701" s="316"/>
      <c r="CB701" s="318"/>
      <c r="CC701" s="318"/>
      <c r="CD701" s="319" t="s">
        <v>846</v>
      </c>
      <c r="CE701" s="318"/>
      <c r="CF701" s="338"/>
      <c r="CG701" s="318"/>
      <c r="CH701" s="318"/>
      <c r="CI701" s="338"/>
      <c r="CJ701" s="341"/>
      <c r="CK701" s="342">
        <f t="shared" si="18"/>
        <v>10.87244223</v>
      </c>
      <c r="CL701" s="333">
        <f t="shared" si="19"/>
        <v>10.87244223</v>
      </c>
      <c r="CM701" s="702"/>
      <c r="CN701" s="595"/>
      <c r="CO701" s="595"/>
      <c r="CP701" s="595"/>
    </row>
    <row r="702">
      <c r="B702" s="462" t="s">
        <v>1259</v>
      </c>
      <c r="C702" s="417">
        <v>44258.0</v>
      </c>
      <c r="D702" s="318"/>
      <c r="E702" s="319">
        <v>5.0</v>
      </c>
      <c r="F702" s="324" t="s">
        <v>1294</v>
      </c>
      <c r="G702" s="321">
        <v>0.4197916666666667</v>
      </c>
      <c r="H702" s="323">
        <v>0.4201388888888889</v>
      </c>
      <c r="I702" s="323"/>
      <c r="J702" s="323"/>
      <c r="K702" s="323">
        <v>0.42291666666666666</v>
      </c>
      <c r="L702" s="323">
        <v>0.002777777777777778</v>
      </c>
      <c r="M702" s="326" t="s">
        <v>166</v>
      </c>
      <c r="N702" s="324" t="s">
        <v>187</v>
      </c>
      <c r="O702" s="419" t="s">
        <v>199</v>
      </c>
      <c r="P702" s="319" t="s">
        <v>220</v>
      </c>
      <c r="Q702" s="319" t="s">
        <v>1290</v>
      </c>
      <c r="R702" s="326">
        <v>16.2</v>
      </c>
      <c r="S702" s="319">
        <v>9.3</v>
      </c>
      <c r="T702" s="324">
        <v>0.1</v>
      </c>
      <c r="U702" s="319">
        <v>4.0</v>
      </c>
      <c r="V702" s="319"/>
      <c r="W702" s="319"/>
      <c r="X702" s="319"/>
      <c r="Y702" s="319"/>
      <c r="Z702" s="319" t="s">
        <v>351</v>
      </c>
      <c r="AA702" s="319"/>
      <c r="AB702" s="319" t="s">
        <v>380</v>
      </c>
      <c r="AC702" s="327">
        <v>4.0</v>
      </c>
      <c r="AD702" s="319"/>
      <c r="AE702" s="319"/>
      <c r="AF702" s="319"/>
      <c r="AG702" s="319"/>
      <c r="AH702" s="319"/>
      <c r="AI702" s="319"/>
      <c r="AJ702" s="327"/>
      <c r="AK702" s="328"/>
      <c r="AL702" s="319"/>
      <c r="AM702" s="319"/>
      <c r="AN702" s="319"/>
      <c r="AO702" s="319"/>
      <c r="AP702" s="319"/>
      <c r="AQ702" s="319"/>
      <c r="AR702" s="319"/>
      <c r="AS702" s="327"/>
      <c r="AT702" s="461" t="s">
        <v>182</v>
      </c>
      <c r="AU702" s="324" t="s">
        <v>845</v>
      </c>
      <c r="AV702" s="330">
        <f>SQRT(($R702-Infrastructure!J$3)^2+($S702-Infrastructure!K$3)^2)</f>
        <v>25.6204996</v>
      </c>
      <c r="AW702" s="331">
        <f>SQRT(($R702-Infrastructure!J$4)^2+($S702-Infrastructure!K$4)^2)</f>
        <v>18.56071119</v>
      </c>
      <c r="AX702" s="331">
        <f>SQRT(($R702-Infrastructure!J$5)^2+($S702-Infrastructure!K$5)^2)</f>
        <v>17.02615635</v>
      </c>
      <c r="AY702" s="331">
        <f>SQRT(($R702-Infrastructure!J$6)^2+($S702-Infrastructure!K$6)^2)</f>
        <v>10.87244223</v>
      </c>
      <c r="AZ702" s="331">
        <f>SQRT(($R702-Infrastructure!J$7)^2+($S702-Infrastructure!K$7)^2)</f>
        <v>9.974467404</v>
      </c>
      <c r="BA702" s="331">
        <f>SQRT(($R702-Infrastructure!J$8)^2+($S702-Infrastructure!K$8)^2)</f>
        <v>16.55928742</v>
      </c>
      <c r="BB702" s="331">
        <f>SQRT(($R702-Infrastructure!J$9)^2+($S702-Infrastructure!K$9)^2)</f>
        <v>24.1677471</v>
      </c>
      <c r="BC702" s="331">
        <f>SQRT(($R702-Infrastructure!J$10)^2+($S702-Infrastructure!K$10)^2)</f>
        <v>24.4730464</v>
      </c>
      <c r="BD702" s="318"/>
      <c r="BE702" s="332"/>
      <c r="BF702" s="330">
        <f t="shared" si="14"/>
        <v>9.974467404</v>
      </c>
      <c r="BG702" s="333">
        <f t="shared" si="15"/>
        <v>25.6204996</v>
      </c>
      <c r="BH702" s="334"/>
      <c r="BI702" s="462" t="s">
        <v>845</v>
      </c>
      <c r="BJ702" s="319" t="s">
        <v>845</v>
      </c>
      <c r="BK702" s="319" t="s">
        <v>845</v>
      </c>
      <c r="BL702" s="788" t="s">
        <v>845</v>
      </c>
      <c r="BM702" s="319" t="s">
        <v>845</v>
      </c>
      <c r="BN702" s="788" t="s">
        <v>845</v>
      </c>
      <c r="BO702" s="319" t="s">
        <v>845</v>
      </c>
      <c r="BP702" s="319" t="s">
        <v>845</v>
      </c>
      <c r="BQ702" s="788" t="s">
        <v>845</v>
      </c>
      <c r="BR702" s="789" t="s">
        <v>845</v>
      </c>
      <c r="BS702" s="330">
        <f t="shared" si="23"/>
        <v>0</v>
      </c>
      <c r="BT702" s="331">
        <f t="shared" si="24"/>
        <v>0</v>
      </c>
      <c r="BU702" s="331"/>
      <c r="BV702" s="333"/>
      <c r="BW702" s="330"/>
      <c r="BX702" s="331"/>
      <c r="BY702" s="331" t="b">
        <f t="shared" si="38"/>
        <v>0</v>
      </c>
      <c r="BZ702" s="340"/>
      <c r="CA702" s="316"/>
      <c r="CB702" s="318"/>
      <c r="CC702" s="318"/>
      <c r="CD702" s="319" t="s">
        <v>846</v>
      </c>
      <c r="CE702" s="318"/>
      <c r="CF702" s="338"/>
      <c r="CG702" s="318"/>
      <c r="CH702" s="318"/>
      <c r="CI702" s="338"/>
      <c r="CJ702" s="341"/>
      <c r="CK702" s="342">
        <f t="shared" si="18"/>
        <v>10.87244223</v>
      </c>
      <c r="CL702" s="333">
        <f t="shared" si="19"/>
        <v>10.87244223</v>
      </c>
      <c r="CM702" s="702"/>
      <c r="CN702" s="595"/>
      <c r="CO702" s="595"/>
      <c r="CP702" s="595"/>
    </row>
    <row r="703">
      <c r="B703" s="462" t="s">
        <v>1259</v>
      </c>
      <c r="C703" s="417">
        <v>44258.0</v>
      </c>
      <c r="D703" s="318"/>
      <c r="E703" s="319">
        <v>6.0</v>
      </c>
      <c r="F703" s="324" t="s">
        <v>1295</v>
      </c>
      <c r="G703" s="321">
        <v>0.42291666666666666</v>
      </c>
      <c r="H703" s="323">
        <v>0.4236111111111111</v>
      </c>
      <c r="I703" s="323"/>
      <c r="J703" s="323"/>
      <c r="K703" s="323">
        <v>0.4263888888888889</v>
      </c>
      <c r="L703" s="323">
        <v>0.002777777777777778</v>
      </c>
      <c r="M703" s="326" t="s">
        <v>166</v>
      </c>
      <c r="N703" s="324" t="s">
        <v>187</v>
      </c>
      <c r="O703" s="419" t="s">
        <v>199</v>
      </c>
      <c r="P703" s="319" t="s">
        <v>220</v>
      </c>
      <c r="Q703" s="319" t="s">
        <v>1290</v>
      </c>
      <c r="R703" s="326">
        <v>16.2</v>
      </c>
      <c r="S703" s="319">
        <v>9.3</v>
      </c>
      <c r="T703" s="324">
        <v>0.1</v>
      </c>
      <c r="U703" s="319">
        <v>4.5</v>
      </c>
      <c r="V703" s="319"/>
      <c r="W703" s="319"/>
      <c r="X703" s="319"/>
      <c r="Y703" s="319"/>
      <c r="Z703" s="319" t="s">
        <v>351</v>
      </c>
      <c r="AA703" s="319"/>
      <c r="AB703" s="319" t="s">
        <v>380</v>
      </c>
      <c r="AC703" s="327">
        <v>4.0</v>
      </c>
      <c r="AD703" s="319"/>
      <c r="AE703" s="319"/>
      <c r="AF703" s="319"/>
      <c r="AG703" s="319"/>
      <c r="AH703" s="319"/>
      <c r="AI703" s="319"/>
      <c r="AJ703" s="327"/>
      <c r="AK703" s="328"/>
      <c r="AL703" s="319"/>
      <c r="AM703" s="319"/>
      <c r="AN703" s="319"/>
      <c r="AO703" s="319"/>
      <c r="AP703" s="319"/>
      <c r="AQ703" s="319"/>
      <c r="AR703" s="319"/>
      <c r="AS703" s="327"/>
      <c r="AT703" s="461" t="s">
        <v>182</v>
      </c>
      <c r="AU703" s="324" t="s">
        <v>845</v>
      </c>
      <c r="AV703" s="330">
        <f>SQRT(($R703-Infrastructure!J$3)^2+($S703-Infrastructure!K$3)^2)</f>
        <v>25.6204996</v>
      </c>
      <c r="AW703" s="331">
        <f>SQRT(($R703-Infrastructure!J$4)^2+($S703-Infrastructure!K$4)^2)</f>
        <v>18.56071119</v>
      </c>
      <c r="AX703" s="331">
        <f>SQRT(($R703-Infrastructure!J$5)^2+($S703-Infrastructure!K$5)^2)</f>
        <v>17.02615635</v>
      </c>
      <c r="AY703" s="331">
        <f>SQRT(($R703-Infrastructure!J$6)^2+($S703-Infrastructure!K$6)^2)</f>
        <v>10.87244223</v>
      </c>
      <c r="AZ703" s="331">
        <f>SQRT(($R703-Infrastructure!J$7)^2+($S703-Infrastructure!K$7)^2)</f>
        <v>9.974467404</v>
      </c>
      <c r="BA703" s="331">
        <f>SQRT(($R703-Infrastructure!J$8)^2+($S703-Infrastructure!K$8)^2)</f>
        <v>16.55928742</v>
      </c>
      <c r="BB703" s="331">
        <f>SQRT(($R703-Infrastructure!J$9)^2+($S703-Infrastructure!K$9)^2)</f>
        <v>24.1677471</v>
      </c>
      <c r="BC703" s="331">
        <f>SQRT(($R703-Infrastructure!J$10)^2+($S703-Infrastructure!K$10)^2)</f>
        <v>24.4730464</v>
      </c>
      <c r="BD703" s="318"/>
      <c r="BE703" s="332"/>
      <c r="BF703" s="330">
        <f t="shared" si="14"/>
        <v>9.974467404</v>
      </c>
      <c r="BG703" s="333">
        <f t="shared" si="15"/>
        <v>25.6204996</v>
      </c>
      <c r="BH703" s="334"/>
      <c r="BI703" s="462" t="s">
        <v>845</v>
      </c>
      <c r="BJ703" s="319" t="s">
        <v>845</v>
      </c>
      <c r="BK703" s="319" t="s">
        <v>845</v>
      </c>
      <c r="BL703" s="788" t="s">
        <v>845</v>
      </c>
      <c r="BM703" s="319" t="s">
        <v>845</v>
      </c>
      <c r="BN703" s="788" t="s">
        <v>845</v>
      </c>
      <c r="BO703" s="319" t="s">
        <v>845</v>
      </c>
      <c r="BP703" s="319" t="s">
        <v>845</v>
      </c>
      <c r="BQ703" s="788" t="s">
        <v>845</v>
      </c>
      <c r="BR703" s="789" t="s">
        <v>845</v>
      </c>
      <c r="BS703" s="330">
        <f t="shared" si="23"/>
        <v>0</v>
      </c>
      <c r="BT703" s="331">
        <f t="shared" si="24"/>
        <v>0</v>
      </c>
      <c r="BU703" s="331"/>
      <c r="BV703" s="333"/>
      <c r="BW703" s="330"/>
      <c r="BX703" s="331"/>
      <c r="BY703" s="331" t="b">
        <f t="shared" si="38"/>
        <v>0</v>
      </c>
      <c r="BZ703" s="340"/>
      <c r="CA703" s="316"/>
      <c r="CB703" s="318"/>
      <c r="CC703" s="318"/>
      <c r="CD703" s="319" t="s">
        <v>846</v>
      </c>
      <c r="CE703" s="318"/>
      <c r="CF703" s="338"/>
      <c r="CG703" s="318"/>
      <c r="CH703" s="318"/>
      <c r="CI703" s="338"/>
      <c r="CJ703" s="341"/>
      <c r="CK703" s="342">
        <f t="shared" si="18"/>
        <v>10.87244223</v>
      </c>
      <c r="CL703" s="333">
        <f t="shared" si="19"/>
        <v>10.87244223</v>
      </c>
      <c r="CM703" s="702"/>
      <c r="CN703" s="595"/>
      <c r="CO703" s="595"/>
      <c r="CP703" s="595"/>
    </row>
    <row r="704">
      <c r="B704" s="462" t="s">
        <v>1259</v>
      </c>
      <c r="C704" s="417">
        <v>44258.0</v>
      </c>
      <c r="D704" s="318"/>
      <c r="E704" s="319">
        <v>7.0</v>
      </c>
      <c r="F704" s="324" t="s">
        <v>1296</v>
      </c>
      <c r="G704" s="321">
        <v>0.4263888888888889</v>
      </c>
      <c r="H704" s="323">
        <v>0.4267361111111111</v>
      </c>
      <c r="I704" s="323"/>
      <c r="J704" s="323"/>
      <c r="K704" s="323">
        <v>0.42951388888888886</v>
      </c>
      <c r="L704" s="323">
        <v>0.002777777777777778</v>
      </c>
      <c r="M704" s="326" t="s">
        <v>166</v>
      </c>
      <c r="N704" s="324" t="s">
        <v>187</v>
      </c>
      <c r="O704" s="419" t="s">
        <v>199</v>
      </c>
      <c r="P704" s="319" t="s">
        <v>220</v>
      </c>
      <c r="Q704" s="319" t="s">
        <v>1290</v>
      </c>
      <c r="R704" s="326">
        <v>16.2</v>
      </c>
      <c r="S704" s="319">
        <v>9.3</v>
      </c>
      <c r="T704" s="324">
        <v>0.1</v>
      </c>
      <c r="U704" s="319">
        <v>5.0</v>
      </c>
      <c r="V704" s="319"/>
      <c r="W704" s="319"/>
      <c r="X704" s="319"/>
      <c r="Y704" s="319"/>
      <c r="Z704" s="319" t="s">
        <v>351</v>
      </c>
      <c r="AA704" s="319"/>
      <c r="AB704" s="319" t="s">
        <v>380</v>
      </c>
      <c r="AC704" s="327">
        <v>4.0</v>
      </c>
      <c r="AD704" s="319"/>
      <c r="AE704" s="319"/>
      <c r="AF704" s="319"/>
      <c r="AG704" s="319"/>
      <c r="AH704" s="319"/>
      <c r="AI704" s="319"/>
      <c r="AJ704" s="327"/>
      <c r="AK704" s="328"/>
      <c r="AL704" s="319"/>
      <c r="AM704" s="319"/>
      <c r="AN704" s="319"/>
      <c r="AO704" s="319"/>
      <c r="AP704" s="319"/>
      <c r="AQ704" s="319"/>
      <c r="AR704" s="319"/>
      <c r="AS704" s="327"/>
      <c r="AT704" s="461" t="s">
        <v>182</v>
      </c>
      <c r="AU704" s="324" t="s">
        <v>845</v>
      </c>
      <c r="AV704" s="330">
        <f>SQRT(($R704-Infrastructure!J$3)^2+($S704-Infrastructure!K$3)^2)</f>
        <v>25.6204996</v>
      </c>
      <c r="AW704" s="331">
        <f>SQRT(($R704-Infrastructure!J$4)^2+($S704-Infrastructure!K$4)^2)</f>
        <v>18.56071119</v>
      </c>
      <c r="AX704" s="331">
        <f>SQRT(($R704-Infrastructure!J$5)^2+($S704-Infrastructure!K$5)^2)</f>
        <v>17.02615635</v>
      </c>
      <c r="AY704" s="331">
        <f>SQRT(($R704-Infrastructure!J$6)^2+($S704-Infrastructure!K$6)^2)</f>
        <v>10.87244223</v>
      </c>
      <c r="AZ704" s="331">
        <f>SQRT(($R704-Infrastructure!J$7)^2+($S704-Infrastructure!K$7)^2)</f>
        <v>9.974467404</v>
      </c>
      <c r="BA704" s="331">
        <f>SQRT(($R704-Infrastructure!J$8)^2+($S704-Infrastructure!K$8)^2)</f>
        <v>16.55928742</v>
      </c>
      <c r="BB704" s="331">
        <f>SQRT(($R704-Infrastructure!J$9)^2+($S704-Infrastructure!K$9)^2)</f>
        <v>24.1677471</v>
      </c>
      <c r="BC704" s="331">
        <f>SQRT(($R704-Infrastructure!J$10)^2+($S704-Infrastructure!K$10)^2)</f>
        <v>24.4730464</v>
      </c>
      <c r="BD704" s="318"/>
      <c r="BE704" s="332"/>
      <c r="BF704" s="330">
        <f t="shared" si="14"/>
        <v>9.974467404</v>
      </c>
      <c r="BG704" s="333">
        <f t="shared" si="15"/>
        <v>25.6204996</v>
      </c>
      <c r="BH704" s="334"/>
      <c r="BI704" s="462" t="s">
        <v>845</v>
      </c>
      <c r="BJ704" s="319" t="s">
        <v>845</v>
      </c>
      <c r="BK704" s="319" t="s">
        <v>845</v>
      </c>
      <c r="BL704" s="788" t="s">
        <v>845</v>
      </c>
      <c r="BM704" s="319" t="s">
        <v>845</v>
      </c>
      <c r="BN704" s="788" t="s">
        <v>845</v>
      </c>
      <c r="BO704" s="319" t="s">
        <v>845</v>
      </c>
      <c r="BP704" s="319" t="s">
        <v>845</v>
      </c>
      <c r="BQ704" s="788" t="s">
        <v>845</v>
      </c>
      <c r="BR704" s="789" t="s">
        <v>845</v>
      </c>
      <c r="BS704" s="330">
        <f t="shared" si="23"/>
        <v>0</v>
      </c>
      <c r="BT704" s="331">
        <f t="shared" si="24"/>
        <v>0</v>
      </c>
      <c r="BU704" s="331"/>
      <c r="BV704" s="333"/>
      <c r="BW704" s="330"/>
      <c r="BX704" s="331"/>
      <c r="BY704" s="331" t="b">
        <f t="shared" si="38"/>
        <v>0</v>
      </c>
      <c r="BZ704" s="340"/>
      <c r="CA704" s="316"/>
      <c r="CB704" s="318"/>
      <c r="CC704" s="318"/>
      <c r="CD704" s="319" t="s">
        <v>846</v>
      </c>
      <c r="CE704" s="318"/>
      <c r="CF704" s="338"/>
      <c r="CG704" s="318"/>
      <c r="CH704" s="318"/>
      <c r="CI704" s="338"/>
      <c r="CJ704" s="341"/>
      <c r="CK704" s="342">
        <f t="shared" si="18"/>
        <v>10.87244223</v>
      </c>
      <c r="CL704" s="333">
        <f t="shared" si="19"/>
        <v>10.87244223</v>
      </c>
      <c r="CM704" s="702"/>
      <c r="CN704" s="595"/>
      <c r="CO704" s="595"/>
      <c r="CP704" s="595"/>
    </row>
    <row r="705">
      <c r="B705" s="462" t="s">
        <v>1259</v>
      </c>
      <c r="C705" s="417">
        <v>44258.0</v>
      </c>
      <c r="D705" s="318"/>
      <c r="E705" s="319">
        <v>8.0</v>
      </c>
      <c r="F705" s="324" t="s">
        <v>1297</v>
      </c>
      <c r="G705" s="321">
        <v>0.43940972222222224</v>
      </c>
      <c r="H705" s="323">
        <v>0.44027777777777777</v>
      </c>
      <c r="I705" s="323"/>
      <c r="J705" s="323"/>
      <c r="K705" s="323">
        <v>0.44340277777777776</v>
      </c>
      <c r="L705" s="323">
        <v>0.003125</v>
      </c>
      <c r="M705" s="326" t="s">
        <v>166</v>
      </c>
      <c r="N705" s="324" t="s">
        <v>187</v>
      </c>
      <c r="O705" s="419" t="s">
        <v>197</v>
      </c>
      <c r="P705" s="319" t="s">
        <v>220</v>
      </c>
      <c r="Q705" s="319" t="s">
        <v>1298</v>
      </c>
      <c r="R705" s="326">
        <v>37.1</v>
      </c>
      <c r="S705" s="319">
        <v>7.0</v>
      </c>
      <c r="T705" s="324">
        <v>7.0</v>
      </c>
      <c r="U705" s="319">
        <v>3.75</v>
      </c>
      <c r="V705" s="319"/>
      <c r="W705" s="319"/>
      <c r="X705" s="319"/>
      <c r="Y705" s="319"/>
      <c r="Z705" s="319" t="s">
        <v>379</v>
      </c>
      <c r="AA705" s="319"/>
      <c r="AB705" s="319" t="s">
        <v>384</v>
      </c>
      <c r="AC705" s="327">
        <v>6.0</v>
      </c>
      <c r="AD705" s="319"/>
      <c r="AE705" s="319"/>
      <c r="AF705" s="319"/>
      <c r="AG705" s="319"/>
      <c r="AH705" s="319"/>
      <c r="AI705" s="319"/>
      <c r="AJ705" s="327"/>
      <c r="AK705" s="328"/>
      <c r="AL705" s="319"/>
      <c r="AM705" s="319"/>
      <c r="AN705" s="319"/>
      <c r="AO705" s="319"/>
      <c r="AP705" s="319"/>
      <c r="AQ705" s="319"/>
      <c r="AR705" s="319"/>
      <c r="AS705" s="327"/>
      <c r="AT705" s="461" t="s">
        <v>182</v>
      </c>
      <c r="AU705" s="324" t="s">
        <v>845</v>
      </c>
      <c r="AV705" s="330">
        <f>SQRT(($R705-Infrastructure!J$3)^2+($S705-Infrastructure!K$3)^2)</f>
        <v>43.34016613</v>
      </c>
      <c r="AW705" s="331">
        <f>SQRT(($R705-Infrastructure!J$4)^2+($S705-Infrastructure!K$4)^2)</f>
        <v>38.92813892</v>
      </c>
      <c r="AX705" s="331">
        <f>SQRT(($R705-Infrastructure!J$5)^2+($S705-Infrastructure!K$5)^2)</f>
        <v>37.44823093</v>
      </c>
      <c r="AY705" s="331">
        <f>SQRT(($R705-Infrastructure!J$6)^2+($S705-Infrastructure!K$6)^2)</f>
        <v>27.81887848</v>
      </c>
      <c r="AZ705" s="331">
        <f>SQRT(($R705-Infrastructure!J$7)^2+($S705-Infrastructure!K$7)^2)</f>
        <v>17.90111728</v>
      </c>
      <c r="BA705" s="331">
        <f>SQRT(($R705-Infrastructure!J$8)^2+($S705-Infrastructure!K$8)^2)</f>
        <v>9.689685237</v>
      </c>
      <c r="BB705" s="331">
        <f>SQRT(($R705-Infrastructure!J$9)^2+($S705-Infrastructure!K$9)^2)</f>
        <v>3.466987165</v>
      </c>
      <c r="BC705" s="331">
        <f>SQRT(($R705-Infrastructure!J$10)^2+($S705-Infrastructure!K$10)^2)</f>
        <v>8.50940656</v>
      </c>
      <c r="BD705" s="318"/>
      <c r="BE705" s="332"/>
      <c r="BF705" s="330">
        <f t="shared" si="14"/>
        <v>3.466987165</v>
      </c>
      <c r="BG705" s="333">
        <f t="shared" si="15"/>
        <v>43.34016613</v>
      </c>
      <c r="BH705" s="334"/>
      <c r="BI705" s="462" t="s">
        <v>845</v>
      </c>
      <c r="BJ705" s="319" t="s">
        <v>845</v>
      </c>
      <c r="BK705" s="319" t="s">
        <v>845</v>
      </c>
      <c r="BL705" s="788" t="s">
        <v>845</v>
      </c>
      <c r="BM705" s="319" t="s">
        <v>845</v>
      </c>
      <c r="BN705" s="788" t="s">
        <v>845</v>
      </c>
      <c r="BO705" s="319" t="s">
        <v>845</v>
      </c>
      <c r="BP705" s="319" t="s">
        <v>845</v>
      </c>
      <c r="BQ705" s="788" t="s">
        <v>845</v>
      </c>
      <c r="BR705" s="789" t="s">
        <v>845</v>
      </c>
      <c r="BS705" s="330">
        <f t="shared" si="23"/>
        <v>0</v>
      </c>
      <c r="BT705" s="331">
        <f t="shared" si="24"/>
        <v>0</v>
      </c>
      <c r="BU705" s="331"/>
      <c r="BV705" s="333"/>
      <c r="BW705" s="330"/>
      <c r="BX705" s="331"/>
      <c r="BY705" s="331" t="b">
        <f t="shared" si="38"/>
        <v>0</v>
      </c>
      <c r="BZ705" s="340"/>
      <c r="CA705" s="316"/>
      <c r="CB705" s="318"/>
      <c r="CC705" s="318"/>
      <c r="CD705" s="319"/>
      <c r="CE705" s="318"/>
      <c r="CF705" s="338"/>
      <c r="CG705" s="319" t="s">
        <v>846</v>
      </c>
      <c r="CH705" s="319" t="s">
        <v>846</v>
      </c>
      <c r="CI705" s="338"/>
      <c r="CJ705" s="341"/>
      <c r="CK705" s="342">
        <f t="shared" si="18"/>
        <v>3.466987165</v>
      </c>
      <c r="CL705" s="333">
        <f t="shared" si="19"/>
        <v>8.50940656</v>
      </c>
      <c r="CM705" s="702"/>
      <c r="CN705" s="595"/>
      <c r="CO705" s="595"/>
      <c r="CP705" s="595"/>
    </row>
    <row r="706">
      <c r="B706" s="462" t="s">
        <v>1259</v>
      </c>
      <c r="C706" s="417">
        <v>44258.0</v>
      </c>
      <c r="D706" s="318"/>
      <c r="E706" s="319">
        <v>9.0</v>
      </c>
      <c r="F706" s="324" t="s">
        <v>1299</v>
      </c>
      <c r="G706" s="321">
        <v>0.44340277777777776</v>
      </c>
      <c r="H706" s="323">
        <v>0.4440972222222222</v>
      </c>
      <c r="I706" s="323"/>
      <c r="J706" s="323"/>
      <c r="K706" s="323">
        <v>0.446875</v>
      </c>
      <c r="L706" s="323">
        <v>0.002777777777777778</v>
      </c>
      <c r="M706" s="326" t="s">
        <v>166</v>
      </c>
      <c r="N706" s="324" t="s">
        <v>187</v>
      </c>
      <c r="O706" s="419" t="s">
        <v>197</v>
      </c>
      <c r="P706" s="319" t="s">
        <v>220</v>
      </c>
      <c r="Q706" s="319" t="s">
        <v>1298</v>
      </c>
      <c r="R706" s="326">
        <v>37.1</v>
      </c>
      <c r="S706" s="319">
        <v>7.0</v>
      </c>
      <c r="T706" s="324">
        <v>7.0</v>
      </c>
      <c r="U706" s="319">
        <v>4.5</v>
      </c>
      <c r="V706" s="319"/>
      <c r="W706" s="319"/>
      <c r="X706" s="319"/>
      <c r="Y706" s="319"/>
      <c r="Z706" s="319" t="s">
        <v>379</v>
      </c>
      <c r="AA706" s="319"/>
      <c r="AB706" s="319" t="s">
        <v>384</v>
      </c>
      <c r="AC706" s="327">
        <v>6.0</v>
      </c>
      <c r="AD706" s="319"/>
      <c r="AE706" s="319"/>
      <c r="AF706" s="319"/>
      <c r="AG706" s="319"/>
      <c r="AH706" s="319"/>
      <c r="AI706" s="319"/>
      <c r="AJ706" s="327"/>
      <c r="AK706" s="328"/>
      <c r="AL706" s="319"/>
      <c r="AM706" s="319"/>
      <c r="AN706" s="319"/>
      <c r="AO706" s="319"/>
      <c r="AP706" s="319"/>
      <c r="AQ706" s="319"/>
      <c r="AR706" s="319"/>
      <c r="AS706" s="327"/>
      <c r="AT706" s="461" t="s">
        <v>182</v>
      </c>
      <c r="AU706" s="324" t="s">
        <v>845</v>
      </c>
      <c r="AV706" s="330">
        <f>SQRT(($R706-Infrastructure!J$3)^2+($S706-Infrastructure!K$3)^2)</f>
        <v>43.34016613</v>
      </c>
      <c r="AW706" s="331">
        <f>SQRT(($R706-Infrastructure!J$4)^2+($S706-Infrastructure!K$4)^2)</f>
        <v>38.92813892</v>
      </c>
      <c r="AX706" s="331">
        <f>SQRT(($R706-Infrastructure!J$5)^2+($S706-Infrastructure!K$5)^2)</f>
        <v>37.44823093</v>
      </c>
      <c r="AY706" s="331">
        <f>SQRT(($R706-Infrastructure!J$6)^2+($S706-Infrastructure!K$6)^2)</f>
        <v>27.81887848</v>
      </c>
      <c r="AZ706" s="331">
        <f>SQRT(($R706-Infrastructure!J$7)^2+($S706-Infrastructure!K$7)^2)</f>
        <v>17.90111728</v>
      </c>
      <c r="BA706" s="331">
        <f>SQRT(($R706-Infrastructure!J$8)^2+($S706-Infrastructure!K$8)^2)</f>
        <v>9.689685237</v>
      </c>
      <c r="BB706" s="331">
        <f>SQRT(($R706-Infrastructure!J$9)^2+($S706-Infrastructure!K$9)^2)</f>
        <v>3.466987165</v>
      </c>
      <c r="BC706" s="331">
        <f>SQRT(($R706-Infrastructure!J$10)^2+($S706-Infrastructure!K$10)^2)</f>
        <v>8.50940656</v>
      </c>
      <c r="BD706" s="318"/>
      <c r="BE706" s="332"/>
      <c r="BF706" s="330">
        <f t="shared" si="14"/>
        <v>3.466987165</v>
      </c>
      <c r="BG706" s="333">
        <f t="shared" si="15"/>
        <v>43.34016613</v>
      </c>
      <c r="BH706" s="334"/>
      <c r="BI706" s="462" t="s">
        <v>845</v>
      </c>
      <c r="BJ706" s="319" t="s">
        <v>845</v>
      </c>
      <c r="BK706" s="319" t="s">
        <v>845</v>
      </c>
      <c r="BL706" s="788" t="s">
        <v>845</v>
      </c>
      <c r="BM706" s="319" t="s">
        <v>845</v>
      </c>
      <c r="BN706" s="788" t="s">
        <v>845</v>
      </c>
      <c r="BO706" s="319" t="s">
        <v>845</v>
      </c>
      <c r="BP706" s="319" t="s">
        <v>845</v>
      </c>
      <c r="BQ706" s="788" t="s">
        <v>845</v>
      </c>
      <c r="BR706" s="789" t="s">
        <v>845</v>
      </c>
      <c r="BS706" s="330">
        <f t="shared" si="23"/>
        <v>0</v>
      </c>
      <c r="BT706" s="331">
        <f t="shared" si="24"/>
        <v>0</v>
      </c>
      <c r="BU706" s="331"/>
      <c r="BV706" s="333"/>
      <c r="BW706" s="330"/>
      <c r="BX706" s="331"/>
      <c r="BY706" s="331" t="b">
        <f t="shared" si="38"/>
        <v>0</v>
      </c>
      <c r="BZ706" s="340"/>
      <c r="CA706" s="316"/>
      <c r="CB706" s="318"/>
      <c r="CC706" s="318"/>
      <c r="CD706" s="318"/>
      <c r="CE706" s="318"/>
      <c r="CF706" s="338"/>
      <c r="CG706" s="319" t="s">
        <v>846</v>
      </c>
      <c r="CH706" s="319" t="s">
        <v>846</v>
      </c>
      <c r="CI706" s="338"/>
      <c r="CJ706" s="341"/>
      <c r="CK706" s="342">
        <f t="shared" si="18"/>
        <v>3.466987165</v>
      </c>
      <c r="CL706" s="333">
        <f t="shared" si="19"/>
        <v>8.50940656</v>
      </c>
      <c r="CM706" s="702"/>
      <c r="CN706" s="595"/>
      <c r="CO706" s="595"/>
      <c r="CP706" s="595"/>
    </row>
    <row r="707">
      <c r="B707" s="462" t="s">
        <v>1259</v>
      </c>
      <c r="C707" s="417">
        <v>44258.0</v>
      </c>
      <c r="D707" s="318"/>
      <c r="E707" s="319">
        <v>10.0</v>
      </c>
      <c r="F707" s="324" t="s">
        <v>1300</v>
      </c>
      <c r="G707" s="321">
        <v>0.446875</v>
      </c>
      <c r="H707" s="323">
        <v>0.44722222222222224</v>
      </c>
      <c r="I707" s="323"/>
      <c r="J707" s="323"/>
      <c r="K707" s="323">
        <v>0.45</v>
      </c>
      <c r="L707" s="323">
        <v>0.002777777777777778</v>
      </c>
      <c r="M707" s="326" t="s">
        <v>166</v>
      </c>
      <c r="N707" s="324" t="s">
        <v>187</v>
      </c>
      <c r="O707" s="419" t="s">
        <v>197</v>
      </c>
      <c r="P707" s="319" t="s">
        <v>220</v>
      </c>
      <c r="Q707" s="319" t="s">
        <v>1298</v>
      </c>
      <c r="R707" s="326">
        <v>37.1</v>
      </c>
      <c r="S707" s="319">
        <v>7.0</v>
      </c>
      <c r="T707" s="324">
        <v>7.0</v>
      </c>
      <c r="U707" s="319">
        <v>5.0</v>
      </c>
      <c r="V707" s="319"/>
      <c r="W707" s="319"/>
      <c r="X707" s="319"/>
      <c r="Y707" s="319"/>
      <c r="Z707" s="319" t="s">
        <v>379</v>
      </c>
      <c r="AA707" s="319"/>
      <c r="AB707" s="319" t="s">
        <v>384</v>
      </c>
      <c r="AC707" s="327">
        <v>6.0</v>
      </c>
      <c r="AD707" s="319"/>
      <c r="AE707" s="319"/>
      <c r="AF707" s="319"/>
      <c r="AG707" s="319"/>
      <c r="AH707" s="319"/>
      <c r="AI707" s="319"/>
      <c r="AJ707" s="327"/>
      <c r="AK707" s="328"/>
      <c r="AL707" s="319"/>
      <c r="AM707" s="319"/>
      <c r="AN707" s="319"/>
      <c r="AO707" s="319"/>
      <c r="AP707" s="319"/>
      <c r="AQ707" s="319"/>
      <c r="AR707" s="319"/>
      <c r="AS707" s="327"/>
      <c r="AT707" s="461" t="s">
        <v>182</v>
      </c>
      <c r="AU707" s="324" t="s">
        <v>845</v>
      </c>
      <c r="AV707" s="330">
        <f>SQRT(($R707-Infrastructure!J$3)^2+($S707-Infrastructure!K$3)^2)</f>
        <v>43.34016613</v>
      </c>
      <c r="AW707" s="331">
        <f>SQRT(($R707-Infrastructure!J$4)^2+($S707-Infrastructure!K$4)^2)</f>
        <v>38.92813892</v>
      </c>
      <c r="AX707" s="331">
        <f>SQRT(($R707-Infrastructure!J$5)^2+($S707-Infrastructure!K$5)^2)</f>
        <v>37.44823093</v>
      </c>
      <c r="AY707" s="331">
        <f>SQRT(($R707-Infrastructure!J$6)^2+($S707-Infrastructure!K$6)^2)</f>
        <v>27.81887848</v>
      </c>
      <c r="AZ707" s="331">
        <f>SQRT(($R707-Infrastructure!J$7)^2+($S707-Infrastructure!K$7)^2)</f>
        <v>17.90111728</v>
      </c>
      <c r="BA707" s="331">
        <f>SQRT(($R707-Infrastructure!J$8)^2+($S707-Infrastructure!K$8)^2)</f>
        <v>9.689685237</v>
      </c>
      <c r="BB707" s="331">
        <f>SQRT(($R707-Infrastructure!J$9)^2+($S707-Infrastructure!K$9)^2)</f>
        <v>3.466987165</v>
      </c>
      <c r="BC707" s="331">
        <f>SQRT(($R707-Infrastructure!J$10)^2+($S707-Infrastructure!K$10)^2)</f>
        <v>8.50940656</v>
      </c>
      <c r="BD707" s="318"/>
      <c r="BE707" s="332"/>
      <c r="BF707" s="330">
        <f t="shared" si="14"/>
        <v>3.466987165</v>
      </c>
      <c r="BG707" s="333">
        <f t="shared" si="15"/>
        <v>43.34016613</v>
      </c>
      <c r="BH707" s="334"/>
      <c r="BI707" s="462" t="s">
        <v>845</v>
      </c>
      <c r="BJ707" s="319" t="s">
        <v>845</v>
      </c>
      <c r="BK707" s="319" t="s">
        <v>845</v>
      </c>
      <c r="BL707" s="788" t="s">
        <v>845</v>
      </c>
      <c r="BM707" s="319" t="s">
        <v>845</v>
      </c>
      <c r="BN707" s="788" t="s">
        <v>845</v>
      </c>
      <c r="BO707" s="319" t="s">
        <v>845</v>
      </c>
      <c r="BP707" s="319" t="s">
        <v>846</v>
      </c>
      <c r="BQ707" s="788" t="s">
        <v>845</v>
      </c>
      <c r="BR707" s="789" t="s">
        <v>845</v>
      </c>
      <c r="BS707" s="330">
        <f t="shared" si="23"/>
        <v>8.50940656</v>
      </c>
      <c r="BT707" s="331">
        <f t="shared" si="24"/>
        <v>8.50940656</v>
      </c>
      <c r="BU707" s="331"/>
      <c r="BV707" s="333"/>
      <c r="BW707" s="330"/>
      <c r="BX707" s="331"/>
      <c r="BY707" s="331" t="b">
        <f t="shared" si="38"/>
        <v>0</v>
      </c>
      <c r="BZ707" s="340"/>
      <c r="CA707" s="316"/>
      <c r="CB707" s="318"/>
      <c r="CC707" s="318"/>
      <c r="CD707" s="318"/>
      <c r="CE707" s="318"/>
      <c r="CF707" s="338"/>
      <c r="CG707" s="319" t="s">
        <v>846</v>
      </c>
      <c r="CH707" s="319" t="s">
        <v>846</v>
      </c>
      <c r="CI707" s="338"/>
      <c r="CJ707" s="341"/>
      <c r="CK707" s="342">
        <f t="shared" si="18"/>
        <v>3.466987165</v>
      </c>
      <c r="CL707" s="333">
        <f t="shared" si="19"/>
        <v>8.50940656</v>
      </c>
      <c r="CM707" s="702"/>
      <c r="CN707" s="595"/>
      <c r="CO707" s="595"/>
      <c r="CP707" s="595"/>
    </row>
    <row r="708">
      <c r="B708" s="462" t="s">
        <v>1259</v>
      </c>
      <c r="C708" s="417">
        <v>44258.0</v>
      </c>
      <c r="D708" s="318"/>
      <c r="E708" s="319">
        <v>11.0</v>
      </c>
      <c r="F708" s="324" t="s">
        <v>1301</v>
      </c>
      <c r="G708" s="321">
        <v>0.45</v>
      </c>
      <c r="H708" s="323">
        <v>0.45034722222222223</v>
      </c>
      <c r="I708" s="323"/>
      <c r="J708" s="323"/>
      <c r="K708" s="323">
        <v>0.453125</v>
      </c>
      <c r="L708" s="323">
        <v>0.002777777777777778</v>
      </c>
      <c r="M708" s="326" t="s">
        <v>166</v>
      </c>
      <c r="N708" s="324" t="s">
        <v>187</v>
      </c>
      <c r="O708" s="419" t="s">
        <v>197</v>
      </c>
      <c r="P708" s="319" t="s">
        <v>220</v>
      </c>
      <c r="Q708" s="319" t="s">
        <v>1298</v>
      </c>
      <c r="R708" s="326">
        <v>37.1</v>
      </c>
      <c r="S708" s="319">
        <v>7.0</v>
      </c>
      <c r="T708" s="324">
        <v>7.0</v>
      </c>
      <c r="U708" s="319">
        <v>5.5</v>
      </c>
      <c r="V708" s="319"/>
      <c r="W708" s="319"/>
      <c r="X708" s="319"/>
      <c r="Y708" s="319"/>
      <c r="Z708" s="319" t="s">
        <v>379</v>
      </c>
      <c r="AA708" s="319"/>
      <c r="AB708" s="319" t="s">
        <v>384</v>
      </c>
      <c r="AC708" s="327">
        <v>6.0</v>
      </c>
      <c r="AD708" s="319"/>
      <c r="AE708" s="319"/>
      <c r="AF708" s="319"/>
      <c r="AG708" s="319"/>
      <c r="AH708" s="319"/>
      <c r="AI708" s="319"/>
      <c r="AJ708" s="327"/>
      <c r="AK708" s="328"/>
      <c r="AL708" s="319"/>
      <c r="AM708" s="319"/>
      <c r="AN708" s="319"/>
      <c r="AO708" s="319"/>
      <c r="AP708" s="319"/>
      <c r="AQ708" s="319"/>
      <c r="AR708" s="319"/>
      <c r="AS708" s="327"/>
      <c r="AT708" s="461" t="s">
        <v>182</v>
      </c>
      <c r="AU708" s="324" t="s">
        <v>845</v>
      </c>
      <c r="AV708" s="330">
        <f>SQRT(($R708-Infrastructure!J$3)^2+($S708-Infrastructure!K$3)^2)</f>
        <v>43.34016613</v>
      </c>
      <c r="AW708" s="331">
        <f>SQRT(($R708-Infrastructure!J$4)^2+($S708-Infrastructure!K$4)^2)</f>
        <v>38.92813892</v>
      </c>
      <c r="AX708" s="331">
        <f>SQRT(($R708-Infrastructure!J$5)^2+($S708-Infrastructure!K$5)^2)</f>
        <v>37.44823093</v>
      </c>
      <c r="AY708" s="331">
        <f>SQRT(($R708-Infrastructure!J$6)^2+($S708-Infrastructure!K$6)^2)</f>
        <v>27.81887848</v>
      </c>
      <c r="AZ708" s="331">
        <f>SQRT(($R708-Infrastructure!J$7)^2+($S708-Infrastructure!K$7)^2)</f>
        <v>17.90111728</v>
      </c>
      <c r="BA708" s="331">
        <f>SQRT(($R708-Infrastructure!J$8)^2+($S708-Infrastructure!K$8)^2)</f>
        <v>9.689685237</v>
      </c>
      <c r="BB708" s="331">
        <f>SQRT(($R708-Infrastructure!J$9)^2+($S708-Infrastructure!K$9)^2)</f>
        <v>3.466987165</v>
      </c>
      <c r="BC708" s="331">
        <f>SQRT(($R708-Infrastructure!J$10)^2+($S708-Infrastructure!K$10)^2)</f>
        <v>8.50940656</v>
      </c>
      <c r="BD708" s="318"/>
      <c r="BE708" s="332"/>
      <c r="BF708" s="330">
        <f t="shared" si="14"/>
        <v>3.466987165</v>
      </c>
      <c r="BG708" s="333">
        <f t="shared" si="15"/>
        <v>43.34016613</v>
      </c>
      <c r="BH708" s="334"/>
      <c r="BI708" s="462" t="s">
        <v>845</v>
      </c>
      <c r="BJ708" s="319" t="s">
        <v>845</v>
      </c>
      <c r="BK708" s="319" t="s">
        <v>845</v>
      </c>
      <c r="BL708" s="788" t="s">
        <v>845</v>
      </c>
      <c r="BM708" s="319" t="s">
        <v>846</v>
      </c>
      <c r="BN708" s="788" t="s">
        <v>845</v>
      </c>
      <c r="BO708" s="319" t="s">
        <v>845</v>
      </c>
      <c r="BP708" s="319" t="s">
        <v>846</v>
      </c>
      <c r="BQ708" s="788" t="s">
        <v>845</v>
      </c>
      <c r="BR708" s="789" t="s">
        <v>845</v>
      </c>
      <c r="BS708" s="330">
        <f t="shared" si="23"/>
        <v>8.50940656</v>
      </c>
      <c r="BT708" s="331">
        <f t="shared" si="24"/>
        <v>17.90111728</v>
      </c>
      <c r="BU708" s="331"/>
      <c r="BV708" s="333"/>
      <c r="BW708" s="330"/>
      <c r="BX708" s="331"/>
      <c r="BY708" s="331" t="b">
        <f t="shared" si="38"/>
        <v>0</v>
      </c>
      <c r="BZ708" s="340"/>
      <c r="CA708" s="316"/>
      <c r="CB708" s="318"/>
      <c r="CC708" s="318"/>
      <c r="CD708" s="319" t="s">
        <v>846</v>
      </c>
      <c r="CE708" s="318"/>
      <c r="CF708" s="338"/>
      <c r="CG708" s="319" t="s">
        <v>846</v>
      </c>
      <c r="CH708" s="319" t="s">
        <v>846</v>
      </c>
      <c r="CI708" s="338"/>
      <c r="CJ708" s="341"/>
      <c r="CK708" s="342">
        <f t="shared" si="18"/>
        <v>3.466987165</v>
      </c>
      <c r="CL708" s="333">
        <f t="shared" si="19"/>
        <v>27.81887848</v>
      </c>
      <c r="CM708" s="702"/>
      <c r="CN708" s="595"/>
      <c r="CO708" s="595"/>
      <c r="CP708" s="595"/>
    </row>
    <row r="709">
      <c r="B709" s="462" t="s">
        <v>1259</v>
      </c>
      <c r="C709" s="417">
        <v>44258.0</v>
      </c>
      <c r="D709" s="318"/>
      <c r="E709" s="319">
        <v>12.0</v>
      </c>
      <c r="F709" s="324" t="s">
        <v>1302</v>
      </c>
      <c r="G709" s="321">
        <v>0.4600694444444444</v>
      </c>
      <c r="H709" s="323">
        <v>0.4609375</v>
      </c>
      <c r="I709" s="323"/>
      <c r="J709" s="323"/>
      <c r="K709" s="323">
        <v>0.46371527777777777</v>
      </c>
      <c r="L709" s="323">
        <v>0.002777777777777778</v>
      </c>
      <c r="M709" s="326" t="s">
        <v>166</v>
      </c>
      <c r="N709" s="324" t="s">
        <v>187</v>
      </c>
      <c r="O709" s="419" t="s">
        <v>201</v>
      </c>
      <c r="P709" s="319" t="s">
        <v>212</v>
      </c>
      <c r="Q709" s="319" t="s">
        <v>851</v>
      </c>
      <c r="R709" s="326">
        <v>16.3</v>
      </c>
      <c r="S709" s="319">
        <v>6.5</v>
      </c>
      <c r="T709" s="324">
        <v>0.55</v>
      </c>
      <c r="U709" s="319">
        <v>6.9</v>
      </c>
      <c r="V709" s="319"/>
      <c r="W709" s="319"/>
      <c r="X709" s="319"/>
      <c r="Y709" s="319"/>
      <c r="Z709" s="319" t="s">
        <v>339</v>
      </c>
      <c r="AA709" s="319"/>
      <c r="AB709" s="319" t="s">
        <v>345</v>
      </c>
      <c r="AC709" s="327">
        <v>4.0</v>
      </c>
      <c r="AD709" s="319"/>
      <c r="AE709" s="319"/>
      <c r="AF709" s="319"/>
      <c r="AG709" s="319"/>
      <c r="AH709" s="319"/>
      <c r="AI709" s="319"/>
      <c r="AJ709" s="327"/>
      <c r="AK709" s="328"/>
      <c r="AL709" s="319"/>
      <c r="AM709" s="319"/>
      <c r="AN709" s="319"/>
      <c r="AO709" s="319"/>
      <c r="AP709" s="319"/>
      <c r="AQ709" s="319"/>
      <c r="AR709" s="319"/>
      <c r="AS709" s="327"/>
      <c r="AT709" s="461" t="s">
        <v>182</v>
      </c>
      <c r="AU709" s="324" t="s">
        <v>845</v>
      </c>
      <c r="AV709" s="330">
        <f>SQRT(($R709-Infrastructure!J$3)^2+($S709-Infrastructure!K$3)^2)</f>
        <v>27.88045911</v>
      </c>
      <c r="AW709" s="331">
        <f>SQRT(($R709-Infrastructure!J$4)^2+($S709-Infrastructure!K$4)^2)</f>
        <v>20.08108563</v>
      </c>
      <c r="AX709" s="331">
        <f>SQRT(($R709-Infrastructure!J$5)^2+($S709-Infrastructure!K$5)^2)</f>
        <v>16.65893154</v>
      </c>
      <c r="AY709" s="331">
        <f>SQRT(($R709-Infrastructure!J$6)^2+($S709-Infrastructure!K$6)^2)</f>
        <v>8.768124087</v>
      </c>
      <c r="AZ709" s="331">
        <f>SQRT(($R709-Infrastructure!J$7)^2+($S709-Infrastructure!K$7)^2)</f>
        <v>7.488658091</v>
      </c>
      <c r="BA709" s="331">
        <f>SQRT(($R709-Infrastructure!J$8)^2+($S709-Infrastructure!K$8)^2)</f>
        <v>15.12878052</v>
      </c>
      <c r="BB709" s="331">
        <f>SQRT(($R709-Infrastructure!J$9)^2+($S709-Infrastructure!K$9)^2)</f>
        <v>23.7413142</v>
      </c>
      <c r="BC709" s="331">
        <f>SQRT(($R709-Infrastructure!J$10)^2+($S709-Infrastructure!K$10)^2)</f>
        <v>25.17816514</v>
      </c>
      <c r="BD709" s="318"/>
      <c r="BE709" s="332"/>
      <c r="BF709" s="330">
        <f t="shared" si="14"/>
        <v>7.488658091</v>
      </c>
      <c r="BG709" s="333">
        <f t="shared" si="15"/>
        <v>27.88045911</v>
      </c>
      <c r="BH709" s="334"/>
      <c r="BI709" s="462" t="s">
        <v>846</v>
      </c>
      <c r="BJ709" s="319" t="s">
        <v>846</v>
      </c>
      <c r="BK709" s="319" t="s">
        <v>846</v>
      </c>
      <c r="BL709" s="788" t="s">
        <v>845</v>
      </c>
      <c r="BM709" s="319" t="s">
        <v>846</v>
      </c>
      <c r="BN709" s="788" t="s">
        <v>845</v>
      </c>
      <c r="BO709" s="319" t="s">
        <v>846</v>
      </c>
      <c r="BP709" s="319" t="s">
        <v>846</v>
      </c>
      <c r="BQ709" s="788" t="s">
        <v>845</v>
      </c>
      <c r="BR709" s="789" t="s">
        <v>845</v>
      </c>
      <c r="BS709" s="330">
        <f t="shared" si="23"/>
        <v>7.488658091</v>
      </c>
      <c r="BT709" s="331">
        <f t="shared" si="24"/>
        <v>27.88045911</v>
      </c>
      <c r="BU709" s="331"/>
      <c r="BV709" s="333"/>
      <c r="BW709" s="614">
        <v>16.7</v>
      </c>
      <c r="BX709" s="615">
        <v>11.1</v>
      </c>
      <c r="BY709" s="331">
        <f t="shared" si="38"/>
        <v>4.617358552</v>
      </c>
      <c r="BZ709" s="340"/>
      <c r="CA709" s="462" t="s">
        <v>846</v>
      </c>
      <c r="CB709" s="319" t="s">
        <v>846</v>
      </c>
      <c r="CC709" s="319" t="s">
        <v>846</v>
      </c>
      <c r="CD709" s="319" t="s">
        <v>846</v>
      </c>
      <c r="CE709" s="319" t="s">
        <v>846</v>
      </c>
      <c r="CF709" s="338"/>
      <c r="CG709" s="319" t="s">
        <v>846</v>
      </c>
      <c r="CH709" s="319" t="s">
        <v>846</v>
      </c>
      <c r="CI709" s="338"/>
      <c r="CJ709" s="341"/>
      <c r="CK709" s="342">
        <f t="shared" si="18"/>
        <v>7.488658091</v>
      </c>
      <c r="CL709" s="333">
        <f t="shared" si="19"/>
        <v>27.88045911</v>
      </c>
      <c r="CM709" s="702"/>
      <c r="CN709" s="595"/>
      <c r="CO709" s="595"/>
      <c r="CP709" s="595"/>
    </row>
    <row r="710">
      <c r="B710" s="462" t="s">
        <v>1259</v>
      </c>
      <c r="C710" s="417">
        <v>44258.0</v>
      </c>
      <c r="D710" s="318"/>
      <c r="E710" s="319">
        <v>13.0</v>
      </c>
      <c r="F710" s="324" t="s">
        <v>1303</v>
      </c>
      <c r="G710" s="321">
        <v>0.4640625</v>
      </c>
      <c r="H710" s="323">
        <v>0.46510416666666665</v>
      </c>
      <c r="I710" s="323"/>
      <c r="J710" s="323"/>
      <c r="K710" s="323">
        <v>0.4678819444444444</v>
      </c>
      <c r="L710" s="323">
        <v>0.002777777777777778</v>
      </c>
      <c r="M710" s="326" t="s">
        <v>166</v>
      </c>
      <c r="N710" s="324" t="s">
        <v>187</v>
      </c>
      <c r="O710" s="419" t="s">
        <v>201</v>
      </c>
      <c r="P710" s="319" t="s">
        <v>212</v>
      </c>
      <c r="Q710" s="319" t="s">
        <v>851</v>
      </c>
      <c r="R710" s="326">
        <v>16.3</v>
      </c>
      <c r="S710" s="319">
        <v>6.5</v>
      </c>
      <c r="T710" s="324">
        <v>0.55</v>
      </c>
      <c r="U710" s="319">
        <v>4.0</v>
      </c>
      <c r="V710" s="319"/>
      <c r="W710" s="319"/>
      <c r="X710" s="319"/>
      <c r="Y710" s="319"/>
      <c r="Z710" s="319" t="s">
        <v>339</v>
      </c>
      <c r="AA710" s="319"/>
      <c r="AB710" s="319" t="s">
        <v>345</v>
      </c>
      <c r="AC710" s="327">
        <v>4.0</v>
      </c>
      <c r="AD710" s="319"/>
      <c r="AE710" s="319"/>
      <c r="AF710" s="319"/>
      <c r="AG710" s="319"/>
      <c r="AH710" s="319"/>
      <c r="AI710" s="319"/>
      <c r="AJ710" s="327"/>
      <c r="AK710" s="328"/>
      <c r="AL710" s="319"/>
      <c r="AM710" s="319"/>
      <c r="AN710" s="319"/>
      <c r="AO710" s="319"/>
      <c r="AP710" s="319"/>
      <c r="AQ710" s="319"/>
      <c r="AR710" s="319"/>
      <c r="AS710" s="327"/>
      <c r="AT710" s="461" t="s">
        <v>182</v>
      </c>
      <c r="AU710" s="324" t="s">
        <v>845</v>
      </c>
      <c r="AV710" s="330">
        <f>SQRT(($R710-Infrastructure!J$3)^2+($S710-Infrastructure!K$3)^2)</f>
        <v>27.88045911</v>
      </c>
      <c r="AW710" s="331">
        <f>SQRT(($R710-Infrastructure!J$4)^2+($S710-Infrastructure!K$4)^2)</f>
        <v>20.08108563</v>
      </c>
      <c r="AX710" s="331">
        <f>SQRT(($R710-Infrastructure!J$5)^2+($S710-Infrastructure!K$5)^2)</f>
        <v>16.65893154</v>
      </c>
      <c r="AY710" s="331">
        <f>SQRT(($R710-Infrastructure!J$6)^2+($S710-Infrastructure!K$6)^2)</f>
        <v>8.768124087</v>
      </c>
      <c r="AZ710" s="331">
        <f>SQRT(($R710-Infrastructure!J$7)^2+($S710-Infrastructure!K$7)^2)</f>
        <v>7.488658091</v>
      </c>
      <c r="BA710" s="331">
        <f>SQRT(($R710-Infrastructure!J$8)^2+($S710-Infrastructure!K$8)^2)</f>
        <v>15.12878052</v>
      </c>
      <c r="BB710" s="331">
        <f>SQRT(($R710-Infrastructure!J$9)^2+($S710-Infrastructure!K$9)^2)</f>
        <v>23.7413142</v>
      </c>
      <c r="BC710" s="331">
        <f>SQRT(($R710-Infrastructure!J$10)^2+($S710-Infrastructure!K$10)^2)</f>
        <v>25.17816514</v>
      </c>
      <c r="BD710" s="318"/>
      <c r="BE710" s="332"/>
      <c r="BF710" s="330">
        <f t="shared" si="14"/>
        <v>7.488658091</v>
      </c>
      <c r="BG710" s="333">
        <f t="shared" si="15"/>
        <v>27.88045911</v>
      </c>
      <c r="BH710" s="334"/>
      <c r="BI710" s="462" t="s">
        <v>846</v>
      </c>
      <c r="BJ710" s="319" t="s">
        <v>846</v>
      </c>
      <c r="BK710" s="319" t="s">
        <v>846</v>
      </c>
      <c r="BL710" s="788" t="s">
        <v>845</v>
      </c>
      <c r="BM710" s="319" t="s">
        <v>846</v>
      </c>
      <c r="BN710" s="788" t="s">
        <v>845</v>
      </c>
      <c r="BO710" s="319" t="s">
        <v>846</v>
      </c>
      <c r="BP710" s="319" t="s">
        <v>846</v>
      </c>
      <c r="BQ710" s="788" t="s">
        <v>845</v>
      </c>
      <c r="BR710" s="789" t="s">
        <v>845</v>
      </c>
      <c r="BS710" s="330">
        <f t="shared" si="23"/>
        <v>7.488658091</v>
      </c>
      <c r="BT710" s="331">
        <f t="shared" si="24"/>
        <v>27.88045911</v>
      </c>
      <c r="BU710" s="331"/>
      <c r="BV710" s="333"/>
      <c r="BW710" s="614">
        <v>16.0</v>
      </c>
      <c r="BX710" s="615">
        <v>11.0</v>
      </c>
      <c r="BY710" s="331">
        <f t="shared" si="38"/>
        <v>4.509988914</v>
      </c>
      <c r="BZ710" s="340"/>
      <c r="CA710" s="462" t="s">
        <v>846</v>
      </c>
      <c r="CB710" s="319" t="s">
        <v>846</v>
      </c>
      <c r="CC710" s="319" t="s">
        <v>846</v>
      </c>
      <c r="CD710" s="319" t="s">
        <v>846</v>
      </c>
      <c r="CE710" s="319" t="s">
        <v>846</v>
      </c>
      <c r="CF710" s="338"/>
      <c r="CG710" s="319" t="s">
        <v>846</v>
      </c>
      <c r="CH710" s="319" t="s">
        <v>846</v>
      </c>
      <c r="CI710" s="338"/>
      <c r="CJ710" s="341"/>
      <c r="CK710" s="342">
        <f t="shared" si="18"/>
        <v>7.488658091</v>
      </c>
      <c r="CL710" s="333">
        <f t="shared" si="19"/>
        <v>27.88045911</v>
      </c>
      <c r="CM710" s="702"/>
      <c r="CN710" s="595"/>
      <c r="CO710" s="595"/>
      <c r="CP710" s="595"/>
    </row>
    <row r="711">
      <c r="B711" s="462" t="s">
        <v>1259</v>
      </c>
      <c r="C711" s="417">
        <v>44258.0</v>
      </c>
      <c r="D711" s="318"/>
      <c r="E711" s="319">
        <v>14.0</v>
      </c>
      <c r="F711" s="324" t="s">
        <v>1304</v>
      </c>
      <c r="G711" s="321">
        <v>0.4701388888888889</v>
      </c>
      <c r="H711" s="323">
        <v>0.4713541666666667</v>
      </c>
      <c r="I711" s="323"/>
      <c r="J711" s="323"/>
      <c r="K711" s="323">
        <v>0.47413194444444445</v>
      </c>
      <c r="L711" s="323">
        <v>0.002777777777777778</v>
      </c>
      <c r="M711" s="326" t="s">
        <v>166</v>
      </c>
      <c r="N711" s="324" t="s">
        <v>187</v>
      </c>
      <c r="O711" s="419" t="s">
        <v>201</v>
      </c>
      <c r="P711" s="319" t="s">
        <v>212</v>
      </c>
      <c r="Q711" s="319" t="s">
        <v>851</v>
      </c>
      <c r="R711" s="326">
        <v>16.3</v>
      </c>
      <c r="S711" s="319">
        <v>6.5</v>
      </c>
      <c r="T711" s="324">
        <v>0.55</v>
      </c>
      <c r="U711" s="319">
        <v>3.0</v>
      </c>
      <c r="V711" s="319"/>
      <c r="W711" s="319"/>
      <c r="X711" s="319"/>
      <c r="Y711" s="319"/>
      <c r="Z711" s="319" t="s">
        <v>339</v>
      </c>
      <c r="AA711" s="319"/>
      <c r="AB711" s="319" t="s">
        <v>337</v>
      </c>
      <c r="AC711" s="327">
        <v>2.5</v>
      </c>
      <c r="AD711" s="319"/>
      <c r="AE711" s="319"/>
      <c r="AF711" s="319"/>
      <c r="AG711" s="319"/>
      <c r="AH711" s="319"/>
      <c r="AI711" s="319"/>
      <c r="AJ711" s="327"/>
      <c r="AK711" s="328"/>
      <c r="AL711" s="319"/>
      <c r="AM711" s="319"/>
      <c r="AN711" s="319"/>
      <c r="AO711" s="319"/>
      <c r="AP711" s="319"/>
      <c r="AQ711" s="319"/>
      <c r="AR711" s="319"/>
      <c r="AS711" s="327"/>
      <c r="AT711" s="461" t="s">
        <v>182</v>
      </c>
      <c r="AU711" s="324" t="s">
        <v>845</v>
      </c>
      <c r="AV711" s="330">
        <f>SQRT(($R711-Infrastructure!J$3)^2+($S711-Infrastructure!K$3)^2)</f>
        <v>27.88045911</v>
      </c>
      <c r="AW711" s="331">
        <f>SQRT(($R711-Infrastructure!J$4)^2+($S711-Infrastructure!K$4)^2)</f>
        <v>20.08108563</v>
      </c>
      <c r="AX711" s="331">
        <f>SQRT(($R711-Infrastructure!J$5)^2+($S711-Infrastructure!K$5)^2)</f>
        <v>16.65893154</v>
      </c>
      <c r="AY711" s="331">
        <f>SQRT(($R711-Infrastructure!J$6)^2+($S711-Infrastructure!K$6)^2)</f>
        <v>8.768124087</v>
      </c>
      <c r="AZ711" s="331">
        <f>SQRT(($R711-Infrastructure!J$7)^2+($S711-Infrastructure!K$7)^2)</f>
        <v>7.488658091</v>
      </c>
      <c r="BA711" s="331">
        <f>SQRT(($R711-Infrastructure!J$8)^2+($S711-Infrastructure!K$8)^2)</f>
        <v>15.12878052</v>
      </c>
      <c r="BB711" s="331">
        <f>SQRT(($R711-Infrastructure!J$9)^2+($S711-Infrastructure!K$9)^2)</f>
        <v>23.7413142</v>
      </c>
      <c r="BC711" s="331">
        <f>SQRT(($R711-Infrastructure!J$10)^2+($S711-Infrastructure!K$10)^2)</f>
        <v>25.17816514</v>
      </c>
      <c r="BD711" s="318"/>
      <c r="BE711" s="332"/>
      <c r="BF711" s="330">
        <f t="shared" si="14"/>
        <v>7.488658091</v>
      </c>
      <c r="BG711" s="333">
        <f t="shared" si="15"/>
        <v>27.88045911</v>
      </c>
      <c r="BH711" s="334"/>
      <c r="BI711" s="462" t="s">
        <v>846</v>
      </c>
      <c r="BJ711" s="319" t="s">
        <v>846</v>
      </c>
      <c r="BK711" s="319" t="s">
        <v>846</v>
      </c>
      <c r="BL711" s="788" t="s">
        <v>845</v>
      </c>
      <c r="BM711" s="319" t="s">
        <v>846</v>
      </c>
      <c r="BN711" s="788" t="s">
        <v>845</v>
      </c>
      <c r="BO711" s="319" t="s">
        <v>846</v>
      </c>
      <c r="BP711" s="319" t="s">
        <v>846</v>
      </c>
      <c r="BQ711" s="788" t="s">
        <v>845</v>
      </c>
      <c r="BR711" s="789" t="s">
        <v>845</v>
      </c>
      <c r="BS711" s="330">
        <f t="shared" si="23"/>
        <v>7.488658091</v>
      </c>
      <c r="BT711" s="331">
        <f t="shared" si="24"/>
        <v>27.88045911</v>
      </c>
      <c r="BU711" s="331"/>
      <c r="BV711" s="333"/>
      <c r="BW711" s="614">
        <v>16.8</v>
      </c>
      <c r="BX711" s="615">
        <v>10.9</v>
      </c>
      <c r="BY711" s="331">
        <f t="shared" si="38"/>
        <v>4.428317965</v>
      </c>
      <c r="BZ711" s="340"/>
      <c r="CA711" s="462" t="s">
        <v>846</v>
      </c>
      <c r="CB711" s="319" t="s">
        <v>846</v>
      </c>
      <c r="CC711" s="319" t="s">
        <v>846</v>
      </c>
      <c r="CD711" s="319" t="s">
        <v>846</v>
      </c>
      <c r="CE711" s="319" t="s">
        <v>846</v>
      </c>
      <c r="CF711" s="338"/>
      <c r="CG711" s="319" t="s">
        <v>846</v>
      </c>
      <c r="CH711" s="319" t="s">
        <v>846</v>
      </c>
      <c r="CI711" s="338"/>
      <c r="CJ711" s="341"/>
      <c r="CK711" s="342">
        <f t="shared" si="18"/>
        <v>7.488658091</v>
      </c>
      <c r="CL711" s="333">
        <f t="shared" si="19"/>
        <v>27.88045911</v>
      </c>
      <c r="CM711" s="702"/>
      <c r="CN711" s="595"/>
      <c r="CO711" s="595"/>
      <c r="CP711" s="595"/>
    </row>
    <row r="712">
      <c r="B712" s="462" t="s">
        <v>1259</v>
      </c>
      <c r="C712" s="417">
        <v>44258.0</v>
      </c>
      <c r="D712" s="318"/>
      <c r="E712" s="319">
        <v>15.0</v>
      </c>
      <c r="F712" s="324" t="s">
        <v>1305</v>
      </c>
      <c r="G712" s="321">
        <v>0.4744791666666667</v>
      </c>
      <c r="H712" s="323">
        <v>0.4753472222222222</v>
      </c>
      <c r="I712" s="323"/>
      <c r="J712" s="323"/>
      <c r="K712" s="323">
        <v>0.478125</v>
      </c>
      <c r="L712" s="323">
        <v>0.002777777777777778</v>
      </c>
      <c r="M712" s="326" t="s">
        <v>166</v>
      </c>
      <c r="N712" s="324" t="s">
        <v>187</v>
      </c>
      <c r="O712" s="419" t="s">
        <v>201</v>
      </c>
      <c r="P712" s="319" t="s">
        <v>212</v>
      </c>
      <c r="Q712" s="319" t="s">
        <v>851</v>
      </c>
      <c r="R712" s="326">
        <v>16.3</v>
      </c>
      <c r="S712" s="319">
        <v>6.5</v>
      </c>
      <c r="T712" s="324">
        <v>0.55</v>
      </c>
      <c r="U712" s="319">
        <v>2.5</v>
      </c>
      <c r="V712" s="319"/>
      <c r="W712" s="319"/>
      <c r="X712" s="319"/>
      <c r="Y712" s="319"/>
      <c r="Z712" s="319" t="s">
        <v>339</v>
      </c>
      <c r="AA712" s="319"/>
      <c r="AB712" s="319" t="s">
        <v>337</v>
      </c>
      <c r="AC712" s="327">
        <v>2.5</v>
      </c>
      <c r="AD712" s="319"/>
      <c r="AE712" s="319"/>
      <c r="AF712" s="319"/>
      <c r="AG712" s="319"/>
      <c r="AH712" s="319"/>
      <c r="AI712" s="319"/>
      <c r="AJ712" s="327"/>
      <c r="AK712" s="328"/>
      <c r="AL712" s="319"/>
      <c r="AM712" s="319"/>
      <c r="AN712" s="319"/>
      <c r="AO712" s="319"/>
      <c r="AP712" s="319"/>
      <c r="AQ712" s="319"/>
      <c r="AR712" s="319"/>
      <c r="AS712" s="327"/>
      <c r="AT712" s="461" t="s">
        <v>182</v>
      </c>
      <c r="AU712" s="324" t="s">
        <v>845</v>
      </c>
      <c r="AV712" s="330">
        <f>SQRT(($R712-Infrastructure!J$3)^2+($S712-Infrastructure!K$3)^2)</f>
        <v>27.88045911</v>
      </c>
      <c r="AW712" s="331">
        <f>SQRT(($R712-Infrastructure!J$4)^2+($S712-Infrastructure!K$4)^2)</f>
        <v>20.08108563</v>
      </c>
      <c r="AX712" s="331">
        <f>SQRT(($R712-Infrastructure!J$5)^2+($S712-Infrastructure!K$5)^2)</f>
        <v>16.65893154</v>
      </c>
      <c r="AY712" s="331">
        <f>SQRT(($R712-Infrastructure!J$6)^2+($S712-Infrastructure!K$6)^2)</f>
        <v>8.768124087</v>
      </c>
      <c r="AZ712" s="331">
        <f>SQRT(($R712-Infrastructure!J$7)^2+($S712-Infrastructure!K$7)^2)</f>
        <v>7.488658091</v>
      </c>
      <c r="BA712" s="331">
        <f>SQRT(($R712-Infrastructure!J$8)^2+($S712-Infrastructure!K$8)^2)</f>
        <v>15.12878052</v>
      </c>
      <c r="BB712" s="331">
        <f>SQRT(($R712-Infrastructure!J$9)^2+($S712-Infrastructure!K$9)^2)</f>
        <v>23.7413142</v>
      </c>
      <c r="BC712" s="331">
        <f>SQRT(($R712-Infrastructure!J$10)^2+($S712-Infrastructure!K$10)^2)</f>
        <v>25.17816514</v>
      </c>
      <c r="BD712" s="318"/>
      <c r="BE712" s="332"/>
      <c r="BF712" s="330">
        <f t="shared" si="14"/>
        <v>7.488658091</v>
      </c>
      <c r="BG712" s="333">
        <f t="shared" si="15"/>
        <v>27.88045911</v>
      </c>
      <c r="BH712" s="334"/>
      <c r="BI712" s="462" t="s">
        <v>846</v>
      </c>
      <c r="BJ712" s="319" t="s">
        <v>846</v>
      </c>
      <c r="BK712" s="319" t="s">
        <v>846</v>
      </c>
      <c r="BL712" s="788" t="s">
        <v>845</v>
      </c>
      <c r="BM712" s="319" t="s">
        <v>846</v>
      </c>
      <c r="BN712" s="788" t="s">
        <v>845</v>
      </c>
      <c r="BO712" s="319" t="s">
        <v>846</v>
      </c>
      <c r="BP712" s="319" t="s">
        <v>846</v>
      </c>
      <c r="BQ712" s="788" t="s">
        <v>845</v>
      </c>
      <c r="BR712" s="789" t="s">
        <v>845</v>
      </c>
      <c r="BS712" s="330">
        <f t="shared" si="23"/>
        <v>7.488658091</v>
      </c>
      <c r="BT712" s="331">
        <f t="shared" si="24"/>
        <v>27.88045911</v>
      </c>
      <c r="BU712" s="331"/>
      <c r="BV712" s="333"/>
      <c r="BW712" s="614">
        <v>15.5</v>
      </c>
      <c r="BX712" s="615">
        <v>11.5</v>
      </c>
      <c r="BY712" s="331">
        <f t="shared" si="38"/>
        <v>5.06359556</v>
      </c>
      <c r="BZ712" s="340"/>
      <c r="CA712" s="462" t="s">
        <v>846</v>
      </c>
      <c r="CB712" s="319" t="s">
        <v>846</v>
      </c>
      <c r="CC712" s="319" t="s">
        <v>846</v>
      </c>
      <c r="CD712" s="319" t="s">
        <v>846</v>
      </c>
      <c r="CE712" s="319" t="s">
        <v>846</v>
      </c>
      <c r="CF712" s="338"/>
      <c r="CG712" s="319" t="s">
        <v>846</v>
      </c>
      <c r="CH712" s="319" t="s">
        <v>846</v>
      </c>
      <c r="CI712" s="338"/>
      <c r="CJ712" s="341"/>
      <c r="CK712" s="342">
        <f t="shared" si="18"/>
        <v>7.488658091</v>
      </c>
      <c r="CL712" s="333">
        <f t="shared" si="19"/>
        <v>27.88045911</v>
      </c>
      <c r="CM712" s="702"/>
      <c r="CN712" s="595"/>
      <c r="CO712" s="595"/>
      <c r="CP712" s="595"/>
    </row>
    <row r="713">
      <c r="B713" s="462" t="s">
        <v>1259</v>
      </c>
      <c r="C713" s="417">
        <v>44258.0</v>
      </c>
      <c r="D713" s="318"/>
      <c r="E713" s="319">
        <v>16.0</v>
      </c>
      <c r="F713" s="324" t="s">
        <v>1306</v>
      </c>
      <c r="G713" s="321">
        <v>0.47847222222222224</v>
      </c>
      <c r="H713" s="323">
        <v>0.47899305555555555</v>
      </c>
      <c r="I713" s="323"/>
      <c r="J713" s="323"/>
      <c r="K713" s="323">
        <v>0.4817708333333333</v>
      </c>
      <c r="L713" s="323">
        <v>0.002777777777777778</v>
      </c>
      <c r="M713" s="326" t="s">
        <v>166</v>
      </c>
      <c r="N713" s="324" t="s">
        <v>187</v>
      </c>
      <c r="O713" s="419" t="s">
        <v>201</v>
      </c>
      <c r="P713" s="319" t="s">
        <v>212</v>
      </c>
      <c r="Q713" s="319" t="s">
        <v>851</v>
      </c>
      <c r="R713" s="326">
        <v>16.3</v>
      </c>
      <c r="S713" s="319">
        <v>6.5</v>
      </c>
      <c r="T713" s="324">
        <v>0.55</v>
      </c>
      <c r="U713" s="319">
        <v>2.0</v>
      </c>
      <c r="V713" s="319"/>
      <c r="W713" s="319"/>
      <c r="X713" s="319"/>
      <c r="Y713" s="319"/>
      <c r="Z713" s="319" t="s">
        <v>339</v>
      </c>
      <c r="AA713" s="319"/>
      <c r="AB713" s="319" t="s">
        <v>337</v>
      </c>
      <c r="AC713" s="327">
        <v>2.5</v>
      </c>
      <c r="AD713" s="319"/>
      <c r="AE713" s="319"/>
      <c r="AF713" s="319"/>
      <c r="AG713" s="319"/>
      <c r="AH713" s="319"/>
      <c r="AI713" s="319"/>
      <c r="AJ713" s="327"/>
      <c r="AK713" s="328"/>
      <c r="AL713" s="319"/>
      <c r="AM713" s="319"/>
      <c r="AN713" s="319"/>
      <c r="AO713" s="319"/>
      <c r="AP713" s="319"/>
      <c r="AQ713" s="319"/>
      <c r="AR713" s="319"/>
      <c r="AS713" s="327"/>
      <c r="AT713" s="461" t="s">
        <v>182</v>
      </c>
      <c r="AU713" s="324" t="s">
        <v>845</v>
      </c>
      <c r="AV713" s="330">
        <f>SQRT(($R713-Infrastructure!J$3)^2+($S713-Infrastructure!K$3)^2)</f>
        <v>27.88045911</v>
      </c>
      <c r="AW713" s="331">
        <f>SQRT(($R713-Infrastructure!J$4)^2+($S713-Infrastructure!K$4)^2)</f>
        <v>20.08108563</v>
      </c>
      <c r="AX713" s="331">
        <f>SQRT(($R713-Infrastructure!J$5)^2+($S713-Infrastructure!K$5)^2)</f>
        <v>16.65893154</v>
      </c>
      <c r="AY713" s="331">
        <f>SQRT(($R713-Infrastructure!J$6)^2+($S713-Infrastructure!K$6)^2)</f>
        <v>8.768124087</v>
      </c>
      <c r="AZ713" s="331">
        <f>SQRT(($R713-Infrastructure!J$7)^2+($S713-Infrastructure!K$7)^2)</f>
        <v>7.488658091</v>
      </c>
      <c r="BA713" s="331">
        <f>SQRT(($R713-Infrastructure!J$8)^2+($S713-Infrastructure!K$8)^2)</f>
        <v>15.12878052</v>
      </c>
      <c r="BB713" s="331">
        <f>SQRT(($R713-Infrastructure!J$9)^2+($S713-Infrastructure!K$9)^2)</f>
        <v>23.7413142</v>
      </c>
      <c r="BC713" s="331">
        <f>SQRT(($R713-Infrastructure!J$10)^2+($S713-Infrastructure!K$10)^2)</f>
        <v>25.17816514</v>
      </c>
      <c r="BD713" s="318"/>
      <c r="BE713" s="332"/>
      <c r="BF713" s="330">
        <f t="shared" si="14"/>
        <v>7.488658091</v>
      </c>
      <c r="BG713" s="333">
        <f t="shared" si="15"/>
        <v>27.88045911</v>
      </c>
      <c r="BH713" s="334"/>
      <c r="BI713" s="462" t="s">
        <v>845</v>
      </c>
      <c r="BJ713" s="319" t="s">
        <v>846</v>
      </c>
      <c r="BK713" s="319" t="s">
        <v>846</v>
      </c>
      <c r="BL713" s="788" t="s">
        <v>845</v>
      </c>
      <c r="BM713" s="319" t="s">
        <v>846</v>
      </c>
      <c r="BN713" s="788" t="s">
        <v>845</v>
      </c>
      <c r="BO713" s="319" t="s">
        <v>846</v>
      </c>
      <c r="BP713" s="319" t="s">
        <v>846</v>
      </c>
      <c r="BQ713" s="788" t="s">
        <v>845</v>
      </c>
      <c r="BR713" s="789" t="s">
        <v>845</v>
      </c>
      <c r="BS713" s="330">
        <f t="shared" si="23"/>
        <v>7.488658091</v>
      </c>
      <c r="BT713" s="331">
        <f t="shared" si="24"/>
        <v>25.17816514</v>
      </c>
      <c r="BU713" s="331"/>
      <c r="BV713" s="333"/>
      <c r="BW713" s="614">
        <v>14.2</v>
      </c>
      <c r="BX713" s="615">
        <v>8.5</v>
      </c>
      <c r="BY713" s="331">
        <f t="shared" si="38"/>
        <v>2.9</v>
      </c>
      <c r="BZ713" s="340"/>
      <c r="CA713" s="462" t="s">
        <v>846</v>
      </c>
      <c r="CB713" s="319" t="s">
        <v>846</v>
      </c>
      <c r="CC713" s="319" t="s">
        <v>846</v>
      </c>
      <c r="CD713" s="319" t="s">
        <v>846</v>
      </c>
      <c r="CE713" s="319" t="s">
        <v>846</v>
      </c>
      <c r="CF713" s="338"/>
      <c r="CG713" s="319" t="s">
        <v>846</v>
      </c>
      <c r="CH713" s="319" t="s">
        <v>846</v>
      </c>
      <c r="CI713" s="338"/>
      <c r="CJ713" s="341"/>
      <c r="CK713" s="342">
        <f t="shared" si="18"/>
        <v>7.488658091</v>
      </c>
      <c r="CL713" s="333">
        <f t="shared" si="19"/>
        <v>27.88045911</v>
      </c>
      <c r="CM713" s="702"/>
      <c r="CN713" s="595"/>
      <c r="CO713" s="595"/>
      <c r="CP713" s="595"/>
    </row>
    <row r="714">
      <c r="B714" s="462" t="s">
        <v>1259</v>
      </c>
      <c r="C714" s="417">
        <v>44258.0</v>
      </c>
      <c r="D714" s="318"/>
      <c r="E714" s="319">
        <v>17.0</v>
      </c>
      <c r="F714" s="324" t="s">
        <v>1307</v>
      </c>
      <c r="G714" s="321">
        <v>0.4844907407407407</v>
      </c>
      <c r="H714" s="323">
        <v>0.4852430555555556</v>
      </c>
      <c r="I714" s="323"/>
      <c r="J714" s="323"/>
      <c r="K714" s="323">
        <v>0.48802083333333335</v>
      </c>
      <c r="L714" s="323">
        <v>0.002777777777777778</v>
      </c>
      <c r="M714" s="326" t="s">
        <v>166</v>
      </c>
      <c r="N714" s="324" t="s">
        <v>187</v>
      </c>
      <c r="O714" s="419" t="s">
        <v>201</v>
      </c>
      <c r="P714" s="319" t="s">
        <v>212</v>
      </c>
      <c r="Q714" s="319" t="s">
        <v>851</v>
      </c>
      <c r="R714" s="326">
        <v>16.3</v>
      </c>
      <c r="S714" s="319">
        <v>6.5</v>
      </c>
      <c r="T714" s="324">
        <v>0.55</v>
      </c>
      <c r="U714" s="319">
        <v>1.0</v>
      </c>
      <c r="V714" s="319"/>
      <c r="W714" s="319"/>
      <c r="X714" s="319"/>
      <c r="Y714" s="319"/>
      <c r="Z714" s="319" t="s">
        <v>339</v>
      </c>
      <c r="AA714" s="319"/>
      <c r="AB714" s="319" t="s">
        <v>333</v>
      </c>
      <c r="AC714" s="327">
        <v>2.0</v>
      </c>
      <c r="AD714" s="319"/>
      <c r="AE714" s="319"/>
      <c r="AF714" s="319"/>
      <c r="AG714" s="319"/>
      <c r="AH714" s="319"/>
      <c r="AI714" s="319"/>
      <c r="AJ714" s="327"/>
      <c r="AK714" s="328"/>
      <c r="AL714" s="319"/>
      <c r="AM714" s="319"/>
      <c r="AN714" s="319"/>
      <c r="AO714" s="319"/>
      <c r="AP714" s="319"/>
      <c r="AQ714" s="319"/>
      <c r="AR714" s="319"/>
      <c r="AS714" s="327"/>
      <c r="AT714" s="461" t="s">
        <v>182</v>
      </c>
      <c r="AU714" s="324" t="s">
        <v>845</v>
      </c>
      <c r="AV714" s="330">
        <f>SQRT(($R714-Infrastructure!J$3)^2+($S714-Infrastructure!K$3)^2)</f>
        <v>27.88045911</v>
      </c>
      <c r="AW714" s="331">
        <f>SQRT(($R714-Infrastructure!J$4)^2+($S714-Infrastructure!K$4)^2)</f>
        <v>20.08108563</v>
      </c>
      <c r="AX714" s="331">
        <f>SQRT(($R714-Infrastructure!J$5)^2+($S714-Infrastructure!K$5)^2)</f>
        <v>16.65893154</v>
      </c>
      <c r="AY714" s="331">
        <f>SQRT(($R714-Infrastructure!J$6)^2+($S714-Infrastructure!K$6)^2)</f>
        <v>8.768124087</v>
      </c>
      <c r="AZ714" s="331">
        <f>SQRT(($R714-Infrastructure!J$7)^2+($S714-Infrastructure!K$7)^2)</f>
        <v>7.488658091</v>
      </c>
      <c r="BA714" s="331">
        <f>SQRT(($R714-Infrastructure!J$8)^2+($S714-Infrastructure!K$8)^2)</f>
        <v>15.12878052</v>
      </c>
      <c r="BB714" s="331">
        <f>SQRT(($R714-Infrastructure!J$9)^2+($S714-Infrastructure!K$9)^2)</f>
        <v>23.7413142</v>
      </c>
      <c r="BC714" s="331">
        <f>SQRT(($R714-Infrastructure!J$10)^2+($S714-Infrastructure!K$10)^2)</f>
        <v>25.17816514</v>
      </c>
      <c r="BD714" s="318"/>
      <c r="BE714" s="332"/>
      <c r="BF714" s="330">
        <f t="shared" si="14"/>
        <v>7.488658091</v>
      </c>
      <c r="BG714" s="333">
        <f t="shared" si="15"/>
        <v>27.88045911</v>
      </c>
      <c r="BH714" s="334"/>
      <c r="BI714" s="462" t="s">
        <v>845</v>
      </c>
      <c r="BJ714" s="319" t="s">
        <v>845</v>
      </c>
      <c r="BK714" s="319" t="s">
        <v>846</v>
      </c>
      <c r="BL714" s="788" t="s">
        <v>845</v>
      </c>
      <c r="BM714" s="319" t="s">
        <v>846</v>
      </c>
      <c r="BN714" s="788" t="s">
        <v>845</v>
      </c>
      <c r="BO714" s="319" t="s">
        <v>845</v>
      </c>
      <c r="BP714" s="319" t="s">
        <v>845</v>
      </c>
      <c r="BQ714" s="788" t="s">
        <v>845</v>
      </c>
      <c r="BR714" s="789" t="s">
        <v>845</v>
      </c>
      <c r="BS714" s="330">
        <f t="shared" si="23"/>
        <v>7.488658091</v>
      </c>
      <c r="BT714" s="331">
        <f t="shared" si="24"/>
        <v>16.65893154</v>
      </c>
      <c r="BU714" s="331"/>
      <c r="BV714" s="333"/>
      <c r="BW714" s="330"/>
      <c r="BX714" s="331"/>
      <c r="BY714" s="331" t="b">
        <f t="shared" si="38"/>
        <v>0</v>
      </c>
      <c r="BZ714" s="340"/>
      <c r="CA714" s="462" t="s">
        <v>846</v>
      </c>
      <c r="CB714" s="319" t="s">
        <v>846</v>
      </c>
      <c r="CC714" s="319" t="s">
        <v>846</v>
      </c>
      <c r="CD714" s="319" t="s">
        <v>846</v>
      </c>
      <c r="CE714" s="319" t="s">
        <v>846</v>
      </c>
      <c r="CF714" s="338"/>
      <c r="CG714" s="319" t="s">
        <v>846</v>
      </c>
      <c r="CH714" s="319" t="s">
        <v>846</v>
      </c>
      <c r="CI714" s="338"/>
      <c r="CJ714" s="341"/>
      <c r="CK714" s="342">
        <f t="shared" si="18"/>
        <v>7.488658091</v>
      </c>
      <c r="CL714" s="333">
        <f t="shared" si="19"/>
        <v>27.88045911</v>
      </c>
      <c r="CM714" s="702"/>
      <c r="CN714" s="595"/>
      <c r="CO714" s="595"/>
      <c r="CP714" s="595"/>
    </row>
    <row r="715">
      <c r="B715" s="462" t="s">
        <v>1259</v>
      </c>
      <c r="C715" s="417">
        <v>44258.0</v>
      </c>
      <c r="D715" s="318"/>
      <c r="E715" s="319">
        <v>18.0</v>
      </c>
      <c r="F715" s="324" t="s">
        <v>1308</v>
      </c>
      <c r="G715" s="321">
        <v>0.48836805555555557</v>
      </c>
      <c r="H715" s="323">
        <v>0.4890625</v>
      </c>
      <c r="I715" s="323"/>
      <c r="J715" s="323"/>
      <c r="K715" s="323">
        <v>0.4918402777777778</v>
      </c>
      <c r="L715" s="323">
        <v>0.002777777777777778</v>
      </c>
      <c r="M715" s="326" t="s">
        <v>166</v>
      </c>
      <c r="N715" s="324" t="s">
        <v>187</v>
      </c>
      <c r="O715" s="419" t="s">
        <v>201</v>
      </c>
      <c r="P715" s="319" t="s">
        <v>212</v>
      </c>
      <c r="Q715" s="319" t="s">
        <v>851</v>
      </c>
      <c r="R715" s="326">
        <v>16.3</v>
      </c>
      <c r="S715" s="319">
        <v>6.5</v>
      </c>
      <c r="T715" s="324">
        <v>0.55</v>
      </c>
      <c r="U715" s="319">
        <v>0.5</v>
      </c>
      <c r="V715" s="319"/>
      <c r="W715" s="319"/>
      <c r="X715" s="319"/>
      <c r="Y715" s="319"/>
      <c r="Z715" s="319" t="s">
        <v>339</v>
      </c>
      <c r="AA715" s="319"/>
      <c r="AB715" s="319" t="s">
        <v>333</v>
      </c>
      <c r="AC715" s="327">
        <v>2.0</v>
      </c>
      <c r="AD715" s="319"/>
      <c r="AE715" s="319"/>
      <c r="AF715" s="319"/>
      <c r="AG715" s="319"/>
      <c r="AH715" s="319"/>
      <c r="AI715" s="319"/>
      <c r="AJ715" s="327"/>
      <c r="AK715" s="328"/>
      <c r="AL715" s="319"/>
      <c r="AM715" s="319"/>
      <c r="AN715" s="319"/>
      <c r="AO715" s="319"/>
      <c r="AP715" s="319"/>
      <c r="AQ715" s="319"/>
      <c r="AR715" s="319"/>
      <c r="AS715" s="327"/>
      <c r="AT715" s="461" t="s">
        <v>181</v>
      </c>
      <c r="AU715" s="324" t="s">
        <v>845</v>
      </c>
      <c r="AV715" s="330">
        <f>SQRT(($R715-Infrastructure!J$3)^2+($S715-Infrastructure!K$3)^2)</f>
        <v>27.88045911</v>
      </c>
      <c r="AW715" s="331">
        <f>SQRT(($R715-Infrastructure!J$4)^2+($S715-Infrastructure!K$4)^2)</f>
        <v>20.08108563</v>
      </c>
      <c r="AX715" s="331">
        <f>SQRT(($R715-Infrastructure!J$5)^2+($S715-Infrastructure!K$5)^2)</f>
        <v>16.65893154</v>
      </c>
      <c r="AY715" s="331">
        <f>SQRT(($R715-Infrastructure!J$6)^2+($S715-Infrastructure!K$6)^2)</f>
        <v>8.768124087</v>
      </c>
      <c r="AZ715" s="331">
        <f>SQRT(($R715-Infrastructure!J$7)^2+($S715-Infrastructure!K$7)^2)</f>
        <v>7.488658091</v>
      </c>
      <c r="BA715" s="331">
        <f>SQRT(($R715-Infrastructure!J$8)^2+($S715-Infrastructure!K$8)^2)</f>
        <v>15.12878052</v>
      </c>
      <c r="BB715" s="331">
        <f>SQRT(($R715-Infrastructure!J$9)^2+($S715-Infrastructure!K$9)^2)</f>
        <v>23.7413142</v>
      </c>
      <c r="BC715" s="331">
        <f>SQRT(($R715-Infrastructure!J$10)^2+($S715-Infrastructure!K$10)^2)</f>
        <v>25.17816514</v>
      </c>
      <c r="BD715" s="318"/>
      <c r="BE715" s="332"/>
      <c r="BF715" s="330">
        <f t="shared" si="14"/>
        <v>7.488658091</v>
      </c>
      <c r="BG715" s="333">
        <f t="shared" si="15"/>
        <v>27.88045911</v>
      </c>
      <c r="BH715" s="334"/>
      <c r="BI715" s="462" t="s">
        <v>845</v>
      </c>
      <c r="BJ715" s="319" t="s">
        <v>845</v>
      </c>
      <c r="BK715" s="319" t="s">
        <v>845</v>
      </c>
      <c r="BL715" s="788" t="s">
        <v>845</v>
      </c>
      <c r="BM715" s="319" t="s">
        <v>846</v>
      </c>
      <c r="BN715" s="788" t="s">
        <v>845</v>
      </c>
      <c r="BO715" s="319" t="s">
        <v>845</v>
      </c>
      <c r="BP715" s="319" t="s">
        <v>845</v>
      </c>
      <c r="BQ715" s="788" t="s">
        <v>845</v>
      </c>
      <c r="BR715" s="789" t="s">
        <v>845</v>
      </c>
      <c r="BS715" s="330">
        <f t="shared" si="23"/>
        <v>7.488658091</v>
      </c>
      <c r="BT715" s="331">
        <f t="shared" si="24"/>
        <v>7.488658091</v>
      </c>
      <c r="BU715" s="331"/>
      <c r="BV715" s="333"/>
      <c r="BW715" s="330"/>
      <c r="BX715" s="331"/>
      <c r="BY715" s="331" t="b">
        <f t="shared" si="38"/>
        <v>0</v>
      </c>
      <c r="BZ715" s="340"/>
      <c r="CA715" s="316"/>
      <c r="CB715" s="318"/>
      <c r="CC715" s="319" t="s">
        <v>846</v>
      </c>
      <c r="CD715" s="319" t="s">
        <v>846</v>
      </c>
      <c r="CE715" s="319" t="s">
        <v>846</v>
      </c>
      <c r="CF715" s="338"/>
      <c r="CG715" s="318"/>
      <c r="CH715" s="318"/>
      <c r="CI715" s="338"/>
      <c r="CJ715" s="341"/>
      <c r="CK715" s="342">
        <f t="shared" si="18"/>
        <v>7.488658091</v>
      </c>
      <c r="CL715" s="333">
        <f t="shared" si="19"/>
        <v>16.65893154</v>
      </c>
      <c r="CM715" s="702"/>
      <c r="CN715" s="595"/>
      <c r="CO715" s="595"/>
      <c r="CP715" s="595"/>
    </row>
    <row r="716">
      <c r="B716" s="462" t="s">
        <v>1259</v>
      </c>
      <c r="C716" s="417">
        <v>44258.0</v>
      </c>
      <c r="D716" s="318"/>
      <c r="E716" s="319">
        <v>19.0</v>
      </c>
      <c r="F716" s="324" t="s">
        <v>1309</v>
      </c>
      <c r="G716" s="321">
        <v>0.49270833333333336</v>
      </c>
      <c r="H716" s="323">
        <v>0.4934027777777778</v>
      </c>
      <c r="I716" s="323"/>
      <c r="J716" s="323"/>
      <c r="K716" s="323">
        <v>0.49618055555555557</v>
      </c>
      <c r="L716" s="323">
        <v>0.002777777777777778</v>
      </c>
      <c r="M716" s="326" t="s">
        <v>166</v>
      </c>
      <c r="N716" s="324" t="s">
        <v>187</v>
      </c>
      <c r="O716" s="419" t="s">
        <v>201</v>
      </c>
      <c r="P716" s="319" t="s">
        <v>212</v>
      </c>
      <c r="Q716" s="319" t="s">
        <v>851</v>
      </c>
      <c r="R716" s="326">
        <v>16.3</v>
      </c>
      <c r="S716" s="319">
        <v>6.5</v>
      </c>
      <c r="T716" s="324">
        <v>0.55</v>
      </c>
      <c r="U716" s="319">
        <v>0.3</v>
      </c>
      <c r="V716" s="319"/>
      <c r="W716" s="319"/>
      <c r="X716" s="319"/>
      <c r="Y716" s="319"/>
      <c r="Z716" s="319" t="s">
        <v>339</v>
      </c>
      <c r="AA716" s="319"/>
      <c r="AB716" s="319" t="s">
        <v>333</v>
      </c>
      <c r="AC716" s="327">
        <v>2.0</v>
      </c>
      <c r="AD716" s="319"/>
      <c r="AE716" s="319"/>
      <c r="AF716" s="319"/>
      <c r="AG716" s="319"/>
      <c r="AH716" s="319"/>
      <c r="AI716" s="319"/>
      <c r="AJ716" s="327"/>
      <c r="AK716" s="328"/>
      <c r="AL716" s="319"/>
      <c r="AM716" s="319"/>
      <c r="AN716" s="319"/>
      <c r="AO716" s="319"/>
      <c r="AP716" s="319"/>
      <c r="AQ716" s="319"/>
      <c r="AR716" s="319"/>
      <c r="AS716" s="327"/>
      <c r="AT716" s="461" t="s">
        <v>181</v>
      </c>
      <c r="AU716" s="324" t="s">
        <v>845</v>
      </c>
      <c r="AV716" s="330">
        <f>SQRT(($R716-Infrastructure!J$3)^2+($S716-Infrastructure!K$3)^2)</f>
        <v>27.88045911</v>
      </c>
      <c r="AW716" s="331">
        <f>SQRT(($R716-Infrastructure!J$4)^2+($S716-Infrastructure!K$4)^2)</f>
        <v>20.08108563</v>
      </c>
      <c r="AX716" s="331">
        <f>SQRT(($R716-Infrastructure!J$5)^2+($S716-Infrastructure!K$5)^2)</f>
        <v>16.65893154</v>
      </c>
      <c r="AY716" s="331">
        <f>SQRT(($R716-Infrastructure!J$6)^2+($S716-Infrastructure!K$6)^2)</f>
        <v>8.768124087</v>
      </c>
      <c r="AZ716" s="331">
        <f>SQRT(($R716-Infrastructure!J$7)^2+($S716-Infrastructure!K$7)^2)</f>
        <v>7.488658091</v>
      </c>
      <c r="BA716" s="331">
        <f>SQRT(($R716-Infrastructure!J$8)^2+($S716-Infrastructure!K$8)^2)</f>
        <v>15.12878052</v>
      </c>
      <c r="BB716" s="331">
        <f>SQRT(($R716-Infrastructure!J$9)^2+($S716-Infrastructure!K$9)^2)</f>
        <v>23.7413142</v>
      </c>
      <c r="BC716" s="331">
        <f>SQRT(($R716-Infrastructure!J$10)^2+($S716-Infrastructure!K$10)^2)</f>
        <v>25.17816514</v>
      </c>
      <c r="BD716" s="318"/>
      <c r="BE716" s="332"/>
      <c r="BF716" s="330">
        <f t="shared" si="14"/>
        <v>7.488658091</v>
      </c>
      <c r="BG716" s="333">
        <f t="shared" si="15"/>
        <v>27.88045911</v>
      </c>
      <c r="BH716" s="334"/>
      <c r="BI716" s="462" t="s">
        <v>845</v>
      </c>
      <c r="BJ716" s="319" t="s">
        <v>845</v>
      </c>
      <c r="BK716" s="319" t="s">
        <v>845</v>
      </c>
      <c r="BL716" s="788" t="s">
        <v>845</v>
      </c>
      <c r="BM716" s="319" t="s">
        <v>845</v>
      </c>
      <c r="BN716" s="788" t="s">
        <v>845</v>
      </c>
      <c r="BO716" s="319" t="s">
        <v>845</v>
      </c>
      <c r="BP716" s="319" t="s">
        <v>845</v>
      </c>
      <c r="BQ716" s="788" t="s">
        <v>845</v>
      </c>
      <c r="BR716" s="789" t="s">
        <v>845</v>
      </c>
      <c r="BS716" s="330">
        <f t="shared" si="23"/>
        <v>0</v>
      </c>
      <c r="BT716" s="331">
        <f t="shared" si="24"/>
        <v>0</v>
      </c>
      <c r="BU716" s="331"/>
      <c r="BV716" s="333"/>
      <c r="BW716" s="330"/>
      <c r="BX716" s="331"/>
      <c r="BY716" s="331" t="b">
        <f t="shared" si="38"/>
        <v>0</v>
      </c>
      <c r="BZ716" s="340"/>
      <c r="CA716" s="316"/>
      <c r="CB716" s="318"/>
      <c r="CC716" s="318"/>
      <c r="CD716" s="318"/>
      <c r="CE716" s="319" t="s">
        <v>846</v>
      </c>
      <c r="CF716" s="338"/>
      <c r="CG716" s="318"/>
      <c r="CH716" s="318"/>
      <c r="CI716" s="338"/>
      <c r="CJ716" s="341"/>
      <c r="CK716" s="342">
        <f t="shared" si="18"/>
        <v>7.488658091</v>
      </c>
      <c r="CL716" s="333">
        <f t="shared" si="19"/>
        <v>7.488658091</v>
      </c>
      <c r="CM716" s="702"/>
      <c r="CN716" s="595"/>
      <c r="CO716" s="595"/>
      <c r="CP716" s="595"/>
    </row>
    <row r="717">
      <c r="B717" s="462" t="s">
        <v>1259</v>
      </c>
      <c r="C717" s="417">
        <v>44258.0</v>
      </c>
      <c r="D717" s="318"/>
      <c r="E717" s="319" t="s">
        <v>1310</v>
      </c>
      <c r="F717" s="324" t="s">
        <v>1311</v>
      </c>
      <c r="G717" s="321">
        <v>0.5725694444444445</v>
      </c>
      <c r="H717" s="323">
        <v>0.5741319444444445</v>
      </c>
      <c r="I717" s="323"/>
      <c r="J717" s="323"/>
      <c r="K717" s="323">
        <v>0.5769675925925926</v>
      </c>
      <c r="L717" s="323">
        <v>0.0028356481481481483</v>
      </c>
      <c r="M717" s="326" t="s">
        <v>166</v>
      </c>
      <c r="N717" s="324" t="s">
        <v>187</v>
      </c>
      <c r="O717" s="419" t="s">
        <v>205</v>
      </c>
      <c r="P717" s="319" t="s">
        <v>213</v>
      </c>
      <c r="Q717" s="318"/>
      <c r="R717" s="326">
        <v>21.1</v>
      </c>
      <c r="S717" s="319">
        <v>4.1</v>
      </c>
      <c r="T717" s="324">
        <v>2.1</v>
      </c>
      <c r="U717" s="319">
        <v>3.5</v>
      </c>
      <c r="V717" s="319"/>
      <c r="W717" s="319"/>
      <c r="X717" s="319"/>
      <c r="Y717" s="319"/>
      <c r="Z717" s="319" t="s">
        <v>370</v>
      </c>
      <c r="AA717" s="319"/>
      <c r="AB717" s="319" t="s">
        <v>384</v>
      </c>
      <c r="AC717" s="327">
        <v>6.0</v>
      </c>
      <c r="AD717" s="319"/>
      <c r="AE717" s="319"/>
      <c r="AF717" s="319"/>
      <c r="AG717" s="319"/>
      <c r="AH717" s="319"/>
      <c r="AI717" s="319"/>
      <c r="AJ717" s="327"/>
      <c r="AK717" s="328"/>
      <c r="AL717" s="319"/>
      <c r="AM717" s="319"/>
      <c r="AN717" s="319"/>
      <c r="AO717" s="319"/>
      <c r="AP717" s="319"/>
      <c r="AQ717" s="319"/>
      <c r="AR717" s="319"/>
      <c r="AS717" s="327"/>
      <c r="AT717" s="461" t="s">
        <v>182</v>
      </c>
      <c r="AU717" s="324" t="s">
        <v>846</v>
      </c>
      <c r="AV717" s="330">
        <f>SQRT(($R717-Infrastructure!J$3)^2+($S717-Infrastructure!K$3)^2)</f>
        <v>32.75667871</v>
      </c>
      <c r="AW717" s="331">
        <f>SQRT(($R717-Infrastructure!J$4)^2+($S717-Infrastructure!K$4)^2)</f>
        <v>25.40964384</v>
      </c>
      <c r="AX717" s="331">
        <f>SQRT(($R717-Infrastructure!J$5)^2+($S717-Infrastructure!K$5)^2)</f>
        <v>21.42335175</v>
      </c>
      <c r="AY717" s="331">
        <f>SQRT(($R717-Infrastructure!J$6)^2+($S717-Infrastructure!K$6)^2)</f>
        <v>11.63786922</v>
      </c>
      <c r="AZ717" s="331">
        <f>SQRT(($R717-Infrastructure!J$7)^2+($S717-Infrastructure!K$7)^2)</f>
        <v>3.847076812</v>
      </c>
      <c r="BA717" s="331">
        <f>SQRT(($R717-Infrastructure!J$8)^2+($S717-Infrastructure!K$8)^2)</f>
        <v>9.769339793</v>
      </c>
      <c r="BB717" s="331">
        <f>SQRT(($R717-Infrastructure!J$9)^2+($S717-Infrastructure!K$9)^2)</f>
        <v>18.92643654</v>
      </c>
      <c r="BC717" s="331">
        <f>SQRT(($R717-Infrastructure!J$10)^2+($S717-Infrastructure!K$10)^2)</f>
        <v>21.81788257</v>
      </c>
      <c r="BD717" s="318"/>
      <c r="BE717" s="332"/>
      <c r="BF717" s="330">
        <f t="shared" si="14"/>
        <v>3.847076812</v>
      </c>
      <c r="BG717" s="333">
        <f t="shared" si="15"/>
        <v>32.75667871</v>
      </c>
      <c r="BH717" s="334"/>
      <c r="BI717" s="462" t="s">
        <v>846</v>
      </c>
      <c r="BJ717" s="319" t="s">
        <v>846</v>
      </c>
      <c r="BK717" s="319" t="s">
        <v>846</v>
      </c>
      <c r="BL717" s="788" t="s">
        <v>845</v>
      </c>
      <c r="BM717" s="319" t="s">
        <v>846</v>
      </c>
      <c r="BN717" s="788" t="s">
        <v>845</v>
      </c>
      <c r="BO717" s="319" t="s">
        <v>846</v>
      </c>
      <c r="BP717" s="319" t="s">
        <v>846</v>
      </c>
      <c r="BQ717" s="788" t="s">
        <v>845</v>
      </c>
      <c r="BR717" s="789" t="s">
        <v>845</v>
      </c>
      <c r="BS717" s="330">
        <f t="shared" si="23"/>
        <v>3.847076812</v>
      </c>
      <c r="BT717" s="331">
        <f t="shared" si="24"/>
        <v>32.75667871</v>
      </c>
      <c r="BU717" s="331"/>
      <c r="BV717" s="333"/>
      <c r="BW717" s="330"/>
      <c r="BX717" s="331"/>
      <c r="BY717" s="331" t="b">
        <f t="shared" si="38"/>
        <v>0</v>
      </c>
      <c r="BZ717" s="340"/>
      <c r="CA717" s="462" t="s">
        <v>846</v>
      </c>
      <c r="CB717" s="318"/>
      <c r="CC717" s="319" t="s">
        <v>846</v>
      </c>
      <c r="CD717" s="319" t="s">
        <v>846</v>
      </c>
      <c r="CE717" s="319" t="s">
        <v>846</v>
      </c>
      <c r="CF717" s="338"/>
      <c r="CG717" s="319" t="s">
        <v>846</v>
      </c>
      <c r="CH717" s="319" t="s">
        <v>846</v>
      </c>
      <c r="CI717" s="338"/>
      <c r="CJ717" s="341"/>
      <c r="CK717" s="342">
        <f t="shared" si="18"/>
        <v>3.847076812</v>
      </c>
      <c r="CL717" s="333">
        <f t="shared" si="19"/>
        <v>32.75667871</v>
      </c>
      <c r="CM717" s="702"/>
      <c r="CN717" s="595"/>
      <c r="CO717" s="595"/>
      <c r="CP717" s="595"/>
    </row>
    <row r="718">
      <c r="B718" s="462" t="s">
        <v>1259</v>
      </c>
      <c r="C718" s="417">
        <v>44258.0</v>
      </c>
      <c r="D718" s="318"/>
      <c r="E718" s="319" t="s">
        <v>1312</v>
      </c>
      <c r="F718" s="324" t="s">
        <v>1313</v>
      </c>
      <c r="G718" s="657"/>
      <c r="H718" s="322"/>
      <c r="I718" s="322"/>
      <c r="J718" s="322"/>
      <c r="K718" s="322"/>
      <c r="L718" s="322"/>
      <c r="M718" s="457"/>
      <c r="N718" s="324" t="s">
        <v>187</v>
      </c>
      <c r="O718" s="419" t="s">
        <v>202</v>
      </c>
      <c r="P718" s="319" t="s">
        <v>212</v>
      </c>
      <c r="Q718" s="319" t="s">
        <v>851</v>
      </c>
      <c r="R718" s="326">
        <v>24.4</v>
      </c>
      <c r="S718" s="319">
        <v>9.7</v>
      </c>
      <c r="T718" s="324">
        <v>0.57</v>
      </c>
      <c r="U718" s="319">
        <v>7.0</v>
      </c>
      <c r="V718" s="319"/>
      <c r="W718" s="319"/>
      <c r="X718" s="319"/>
      <c r="Y718" s="319"/>
      <c r="Z718" s="319" t="s">
        <v>339</v>
      </c>
      <c r="AA718" s="319"/>
      <c r="AB718" s="319" t="s">
        <v>345</v>
      </c>
      <c r="AC718" s="327">
        <v>4.0</v>
      </c>
      <c r="AD718" s="319"/>
      <c r="AE718" s="319"/>
      <c r="AF718" s="319"/>
      <c r="AG718" s="319"/>
      <c r="AH718" s="319"/>
      <c r="AI718" s="319"/>
      <c r="AJ718" s="327"/>
      <c r="AK718" s="328"/>
      <c r="AL718" s="319"/>
      <c r="AM718" s="319"/>
      <c r="AN718" s="319"/>
      <c r="AO718" s="319"/>
      <c r="AP718" s="319"/>
      <c r="AQ718" s="319"/>
      <c r="AR718" s="319"/>
      <c r="AS718" s="327"/>
      <c r="AT718" s="461" t="s">
        <v>182</v>
      </c>
      <c r="AU718" s="324" t="s">
        <v>846</v>
      </c>
      <c r="AV718" s="330">
        <f>SQRT(($R718-Infrastructure!J$3)^2+($S718-Infrastructure!K$3)^2)</f>
        <v>31.28466078</v>
      </c>
      <c r="AW718" s="331">
        <f>SQRT(($R718-Infrastructure!J$4)^2+($S718-Infrastructure!K$4)^2)</f>
        <v>25.99423013</v>
      </c>
      <c r="AX718" s="331">
        <f>SQRT(($R718-Infrastructure!J$5)^2+($S718-Infrastructure!K$5)^2)</f>
        <v>25.12468905</v>
      </c>
      <c r="AY718" s="331">
        <f>SQRT(($R718-Infrastructure!J$6)^2+($S718-Infrastructure!K$6)^2)</f>
        <v>17.11286066</v>
      </c>
      <c r="AZ718" s="331">
        <f>SQRT(($R718-Infrastructure!J$7)^2+($S718-Infrastructure!K$7)^2)</f>
        <v>10.17693471</v>
      </c>
      <c r="BA718" s="331">
        <f>SQRT(($R718-Infrastructure!J$8)^2+($S718-Infrastructure!K$8)^2)</f>
        <v>10.9931797</v>
      </c>
      <c r="BB718" s="331">
        <f>SQRT(($R718-Infrastructure!J$9)^2+($S718-Infrastructure!K$9)^2)</f>
        <v>16.26407083</v>
      </c>
      <c r="BC718" s="331">
        <f>SQRT(($R718-Infrastructure!J$10)^2+($S718-Infrastructure!K$10)^2)</f>
        <v>16.47573974</v>
      </c>
      <c r="BD718" s="318"/>
      <c r="BE718" s="332"/>
      <c r="BF718" s="330">
        <f t="shared" si="14"/>
        <v>10.17693471</v>
      </c>
      <c r="BG718" s="333">
        <f t="shared" si="15"/>
        <v>31.28466078</v>
      </c>
      <c r="BH718" s="334"/>
      <c r="BI718" s="462" t="s">
        <v>845</v>
      </c>
      <c r="BJ718" s="319" t="s">
        <v>845</v>
      </c>
      <c r="BK718" s="319" t="s">
        <v>845</v>
      </c>
      <c r="BL718" s="788" t="s">
        <v>845</v>
      </c>
      <c r="BM718" s="319" t="s">
        <v>845</v>
      </c>
      <c r="BN718" s="788" t="s">
        <v>845</v>
      </c>
      <c r="BO718" s="319" t="s">
        <v>845</v>
      </c>
      <c r="BP718" s="319" t="s">
        <v>845</v>
      </c>
      <c r="BQ718" s="788" t="s">
        <v>845</v>
      </c>
      <c r="BR718" s="789" t="s">
        <v>845</v>
      </c>
      <c r="BS718" s="330">
        <f t="shared" si="23"/>
        <v>0</v>
      </c>
      <c r="BT718" s="331">
        <f t="shared" si="24"/>
        <v>0</v>
      </c>
      <c r="BU718" s="331"/>
      <c r="BV718" s="333"/>
      <c r="BW718" s="330"/>
      <c r="BX718" s="331"/>
      <c r="BY718" s="331" t="b">
        <f t="shared" si="38"/>
        <v>0</v>
      </c>
      <c r="BZ718" s="340"/>
      <c r="CA718" s="462" t="s">
        <v>846</v>
      </c>
      <c r="CB718" s="319" t="s">
        <v>846</v>
      </c>
      <c r="CC718" s="319" t="s">
        <v>846</v>
      </c>
      <c r="CD718" s="319" t="s">
        <v>846</v>
      </c>
      <c r="CE718" s="319" t="s">
        <v>846</v>
      </c>
      <c r="CF718" s="338"/>
      <c r="CG718" s="319" t="s">
        <v>846</v>
      </c>
      <c r="CH718" s="319" t="s">
        <v>846</v>
      </c>
      <c r="CI718" s="338"/>
      <c r="CJ718" s="341"/>
      <c r="CK718" s="342">
        <f t="shared" si="18"/>
        <v>10.17693471</v>
      </c>
      <c r="CL718" s="333">
        <f t="shared" si="19"/>
        <v>31.28466078</v>
      </c>
      <c r="CM718" s="702"/>
      <c r="CN718" s="595"/>
      <c r="CO718" s="595"/>
      <c r="CP718" s="595"/>
    </row>
    <row r="719">
      <c r="B719" s="462" t="s">
        <v>1259</v>
      </c>
      <c r="C719" s="417">
        <v>44258.0</v>
      </c>
      <c r="D719" s="318"/>
      <c r="E719" s="319">
        <v>21.0</v>
      </c>
      <c r="F719" s="324" t="s">
        <v>1314</v>
      </c>
      <c r="G719" s="321">
        <v>0.5809027777777778</v>
      </c>
      <c r="H719" s="323">
        <v>0.5817708333333333</v>
      </c>
      <c r="I719" s="323"/>
      <c r="J719" s="323"/>
      <c r="K719" s="323">
        <v>0.5848958333333333</v>
      </c>
      <c r="L719" s="323">
        <v>0.003125</v>
      </c>
      <c r="M719" s="326" t="s">
        <v>166</v>
      </c>
      <c r="N719" s="324" t="s">
        <v>187</v>
      </c>
      <c r="O719" s="419" t="s">
        <v>197</v>
      </c>
      <c r="P719" s="319" t="s">
        <v>220</v>
      </c>
      <c r="Q719" s="319" t="s">
        <v>1298</v>
      </c>
      <c r="R719" s="326">
        <v>37.1</v>
      </c>
      <c r="S719" s="319">
        <v>7.0</v>
      </c>
      <c r="T719" s="324">
        <v>7.0</v>
      </c>
      <c r="U719" s="319">
        <v>7.0</v>
      </c>
      <c r="V719" s="319"/>
      <c r="W719" s="319"/>
      <c r="X719" s="319"/>
      <c r="Y719" s="319"/>
      <c r="Z719" s="319" t="s">
        <v>379</v>
      </c>
      <c r="AA719" s="319"/>
      <c r="AB719" s="319" t="s">
        <v>392</v>
      </c>
      <c r="AC719" s="327">
        <v>10.0</v>
      </c>
      <c r="AD719" s="319"/>
      <c r="AE719" s="319"/>
      <c r="AF719" s="319"/>
      <c r="AG719" s="319"/>
      <c r="AH719" s="319"/>
      <c r="AI719" s="319"/>
      <c r="AJ719" s="327"/>
      <c r="AK719" s="328"/>
      <c r="AL719" s="319"/>
      <c r="AM719" s="319"/>
      <c r="AN719" s="319"/>
      <c r="AO719" s="319"/>
      <c r="AP719" s="319"/>
      <c r="AQ719" s="319"/>
      <c r="AR719" s="319"/>
      <c r="AS719" s="327"/>
      <c r="AT719" s="461" t="s">
        <v>182</v>
      </c>
      <c r="AU719" s="324" t="s">
        <v>845</v>
      </c>
      <c r="AV719" s="330">
        <f>SQRT(($R719-Infrastructure!J$3)^2+($S719-Infrastructure!K$3)^2)</f>
        <v>43.34016613</v>
      </c>
      <c r="AW719" s="331">
        <f>SQRT(($R719-Infrastructure!J$4)^2+($S719-Infrastructure!K$4)^2)</f>
        <v>38.92813892</v>
      </c>
      <c r="AX719" s="331">
        <f>SQRT(($R719-Infrastructure!J$5)^2+($S719-Infrastructure!K$5)^2)</f>
        <v>37.44823093</v>
      </c>
      <c r="AY719" s="331">
        <f>SQRT(($R719-Infrastructure!J$6)^2+($S719-Infrastructure!K$6)^2)</f>
        <v>27.81887848</v>
      </c>
      <c r="AZ719" s="331">
        <f>SQRT(($R719-Infrastructure!J$7)^2+($S719-Infrastructure!K$7)^2)</f>
        <v>17.90111728</v>
      </c>
      <c r="BA719" s="331">
        <f>SQRT(($R719-Infrastructure!J$8)^2+($S719-Infrastructure!K$8)^2)</f>
        <v>9.689685237</v>
      </c>
      <c r="BB719" s="331">
        <f>SQRT(($R719-Infrastructure!J$9)^2+($S719-Infrastructure!K$9)^2)</f>
        <v>3.466987165</v>
      </c>
      <c r="BC719" s="331">
        <f>SQRT(($R719-Infrastructure!J$10)^2+($S719-Infrastructure!K$10)^2)</f>
        <v>8.50940656</v>
      </c>
      <c r="BD719" s="318"/>
      <c r="BE719" s="332"/>
      <c r="BF719" s="330">
        <f t="shared" si="14"/>
        <v>3.466987165</v>
      </c>
      <c r="BG719" s="333">
        <f t="shared" si="15"/>
        <v>43.34016613</v>
      </c>
      <c r="BH719" s="334"/>
      <c r="BI719" s="462" t="s">
        <v>845</v>
      </c>
      <c r="BJ719" s="319" t="s">
        <v>845</v>
      </c>
      <c r="BK719" s="319" t="s">
        <v>845</v>
      </c>
      <c r="BL719" s="788" t="s">
        <v>845</v>
      </c>
      <c r="BM719" s="319" t="s">
        <v>845</v>
      </c>
      <c r="BN719" s="788" t="s">
        <v>845</v>
      </c>
      <c r="BO719" s="319" t="s">
        <v>845</v>
      </c>
      <c r="BP719" s="319" t="s">
        <v>845</v>
      </c>
      <c r="BQ719" s="788" t="s">
        <v>845</v>
      </c>
      <c r="BR719" s="789" t="s">
        <v>845</v>
      </c>
      <c r="BS719" s="330">
        <f t="shared" si="23"/>
        <v>0</v>
      </c>
      <c r="BT719" s="331">
        <f t="shared" si="24"/>
        <v>0</v>
      </c>
      <c r="BU719" s="331"/>
      <c r="BV719" s="333"/>
      <c r="BW719" s="330"/>
      <c r="BX719" s="331"/>
      <c r="BY719" s="331" t="b">
        <f t="shared" si="38"/>
        <v>0</v>
      </c>
      <c r="BZ719" s="340"/>
      <c r="CA719" s="316"/>
      <c r="CB719" s="318"/>
      <c r="CC719" s="318"/>
      <c r="CD719" s="318"/>
      <c r="CE719" s="318"/>
      <c r="CF719" s="338"/>
      <c r="CG719" s="318"/>
      <c r="CH719" s="318"/>
      <c r="CI719" s="338"/>
      <c r="CJ719" s="341"/>
      <c r="CK719" s="342">
        <f t="shared" si="18"/>
        <v>0</v>
      </c>
      <c r="CL719" s="333">
        <f t="shared" si="19"/>
        <v>0</v>
      </c>
      <c r="CM719" s="616"/>
      <c r="CN719" s="617"/>
      <c r="CO719" s="617"/>
      <c r="CP719" s="617"/>
    </row>
    <row r="720">
      <c r="B720" s="462" t="s">
        <v>1259</v>
      </c>
      <c r="C720" s="417">
        <v>44258.0</v>
      </c>
      <c r="D720" s="318"/>
      <c r="E720" s="319">
        <v>22.0</v>
      </c>
      <c r="F720" s="324" t="s">
        <v>1315</v>
      </c>
      <c r="G720" s="321">
        <v>0.5861111111111111</v>
      </c>
      <c r="H720" s="323">
        <v>0.5868055555555556</v>
      </c>
      <c r="I720" s="323"/>
      <c r="J720" s="323"/>
      <c r="K720" s="323">
        <v>0.5895833333333333</v>
      </c>
      <c r="L720" s="323">
        <v>0.002777777777777778</v>
      </c>
      <c r="M720" s="326" t="s">
        <v>166</v>
      </c>
      <c r="N720" s="324" t="s">
        <v>187</v>
      </c>
      <c r="O720" s="419" t="s">
        <v>202</v>
      </c>
      <c r="P720" s="319" t="s">
        <v>212</v>
      </c>
      <c r="Q720" s="319" t="s">
        <v>851</v>
      </c>
      <c r="R720" s="326">
        <v>24.4</v>
      </c>
      <c r="S720" s="319">
        <v>9.7</v>
      </c>
      <c r="T720" s="324">
        <v>0.57</v>
      </c>
      <c r="U720" s="319">
        <v>7.0</v>
      </c>
      <c r="V720" s="319"/>
      <c r="W720" s="319"/>
      <c r="X720" s="319"/>
      <c r="Y720" s="319"/>
      <c r="Z720" s="319" t="s">
        <v>339</v>
      </c>
      <c r="AA720" s="319"/>
      <c r="AB720" s="319" t="s">
        <v>345</v>
      </c>
      <c r="AC720" s="327">
        <v>4.0</v>
      </c>
      <c r="AD720" s="319"/>
      <c r="AE720" s="319"/>
      <c r="AF720" s="319"/>
      <c r="AG720" s="319"/>
      <c r="AH720" s="319"/>
      <c r="AI720" s="319"/>
      <c r="AJ720" s="327"/>
      <c r="AK720" s="328"/>
      <c r="AL720" s="319"/>
      <c r="AM720" s="319"/>
      <c r="AN720" s="319"/>
      <c r="AO720" s="319"/>
      <c r="AP720" s="319"/>
      <c r="AQ720" s="319"/>
      <c r="AR720" s="319"/>
      <c r="AS720" s="327"/>
      <c r="AT720" s="461" t="s">
        <v>182</v>
      </c>
      <c r="AU720" s="324" t="s">
        <v>845</v>
      </c>
      <c r="AV720" s="330">
        <f>SQRT(($R720-Infrastructure!J$3)^2+($S720-Infrastructure!K$3)^2)</f>
        <v>31.28466078</v>
      </c>
      <c r="AW720" s="331">
        <f>SQRT(($R720-Infrastructure!J$4)^2+($S720-Infrastructure!K$4)^2)</f>
        <v>25.99423013</v>
      </c>
      <c r="AX720" s="331">
        <f>SQRT(($R720-Infrastructure!J$5)^2+($S720-Infrastructure!K$5)^2)</f>
        <v>25.12468905</v>
      </c>
      <c r="AY720" s="331">
        <f>SQRT(($R720-Infrastructure!J$6)^2+($S720-Infrastructure!K$6)^2)</f>
        <v>17.11286066</v>
      </c>
      <c r="AZ720" s="331">
        <f>SQRT(($R720-Infrastructure!J$7)^2+($S720-Infrastructure!K$7)^2)</f>
        <v>10.17693471</v>
      </c>
      <c r="BA720" s="331">
        <f>SQRT(($R720-Infrastructure!J$8)^2+($S720-Infrastructure!K$8)^2)</f>
        <v>10.9931797</v>
      </c>
      <c r="BB720" s="331">
        <f>SQRT(($R720-Infrastructure!J$9)^2+($S720-Infrastructure!K$9)^2)</f>
        <v>16.26407083</v>
      </c>
      <c r="BC720" s="331">
        <f>SQRT(($R720-Infrastructure!J$10)^2+($S720-Infrastructure!K$10)^2)</f>
        <v>16.47573974</v>
      </c>
      <c r="BD720" s="318"/>
      <c r="BE720" s="332"/>
      <c r="BF720" s="330">
        <f t="shared" si="14"/>
        <v>10.17693471</v>
      </c>
      <c r="BG720" s="333">
        <f t="shared" si="15"/>
        <v>31.28466078</v>
      </c>
      <c r="BH720" s="334"/>
      <c r="BI720" s="462" t="s">
        <v>846</v>
      </c>
      <c r="BJ720" s="319" t="s">
        <v>846</v>
      </c>
      <c r="BK720" s="319" t="s">
        <v>846</v>
      </c>
      <c r="BL720" s="788" t="s">
        <v>845</v>
      </c>
      <c r="BM720" s="319" t="s">
        <v>846</v>
      </c>
      <c r="BN720" s="788" t="s">
        <v>845</v>
      </c>
      <c r="BO720" s="319" t="s">
        <v>846</v>
      </c>
      <c r="BP720" s="319" t="s">
        <v>846</v>
      </c>
      <c r="BQ720" s="788" t="s">
        <v>845</v>
      </c>
      <c r="BR720" s="789" t="s">
        <v>845</v>
      </c>
      <c r="BS720" s="330">
        <f t="shared" si="23"/>
        <v>10.17693471</v>
      </c>
      <c r="BT720" s="331">
        <f t="shared" si="24"/>
        <v>31.28466078</v>
      </c>
      <c r="BU720" s="331"/>
      <c r="BV720" s="333"/>
      <c r="BW720" s="614">
        <v>16.0</v>
      </c>
      <c r="BX720" s="615">
        <v>11.0</v>
      </c>
      <c r="BY720" s="331">
        <f t="shared" si="38"/>
        <v>8.5</v>
      </c>
      <c r="BZ720" s="340"/>
      <c r="CA720" s="316"/>
      <c r="CB720" s="318"/>
      <c r="CC720" s="318"/>
      <c r="CD720" s="318"/>
      <c r="CE720" s="318"/>
      <c r="CF720" s="338"/>
      <c r="CG720" s="319" t="s">
        <v>846</v>
      </c>
      <c r="CH720" s="319" t="s">
        <v>846</v>
      </c>
      <c r="CI720" s="338"/>
      <c r="CJ720" s="341"/>
      <c r="CK720" s="342">
        <f t="shared" si="18"/>
        <v>16.26407083</v>
      </c>
      <c r="CL720" s="333">
        <f t="shared" si="19"/>
        <v>16.47573974</v>
      </c>
      <c r="CM720" s="702"/>
      <c r="CN720" s="595"/>
      <c r="CO720" s="595"/>
      <c r="CP720" s="595"/>
    </row>
    <row r="721">
      <c r="B721" s="462" t="s">
        <v>1259</v>
      </c>
      <c r="C721" s="417">
        <v>44258.0</v>
      </c>
      <c r="D721" s="318"/>
      <c r="E721" s="319">
        <v>23.0</v>
      </c>
      <c r="F721" s="324" t="s">
        <v>1316</v>
      </c>
      <c r="G721" s="321">
        <v>0.5901041666666667</v>
      </c>
      <c r="H721" s="323">
        <v>0.5909722222222222</v>
      </c>
      <c r="I721" s="323"/>
      <c r="J721" s="323"/>
      <c r="K721" s="323">
        <v>0.5940972222222223</v>
      </c>
      <c r="L721" s="323">
        <v>0.003125</v>
      </c>
      <c r="M721" s="326" t="s">
        <v>166</v>
      </c>
      <c r="N721" s="324" t="s">
        <v>187</v>
      </c>
      <c r="O721" s="419" t="s">
        <v>202</v>
      </c>
      <c r="P721" s="319" t="s">
        <v>212</v>
      </c>
      <c r="Q721" s="319" t="s">
        <v>851</v>
      </c>
      <c r="R721" s="326">
        <v>24.4</v>
      </c>
      <c r="S721" s="319">
        <v>9.7</v>
      </c>
      <c r="T721" s="324">
        <v>0.57</v>
      </c>
      <c r="U721" s="319">
        <v>4.0</v>
      </c>
      <c r="V721" s="319"/>
      <c r="W721" s="319"/>
      <c r="X721" s="319"/>
      <c r="Y721" s="319"/>
      <c r="Z721" s="319" t="s">
        <v>339</v>
      </c>
      <c r="AA721" s="319"/>
      <c r="AB721" s="319" t="s">
        <v>345</v>
      </c>
      <c r="AC721" s="327">
        <v>4.0</v>
      </c>
      <c r="AD721" s="319"/>
      <c r="AE721" s="319"/>
      <c r="AF721" s="319"/>
      <c r="AG721" s="319"/>
      <c r="AH721" s="319"/>
      <c r="AI721" s="319"/>
      <c r="AJ721" s="327"/>
      <c r="AK721" s="328"/>
      <c r="AL721" s="319"/>
      <c r="AM721" s="319"/>
      <c r="AN721" s="319"/>
      <c r="AO721" s="319"/>
      <c r="AP721" s="319"/>
      <c r="AQ721" s="319"/>
      <c r="AR721" s="319"/>
      <c r="AS721" s="327"/>
      <c r="AT721" s="461" t="s">
        <v>182</v>
      </c>
      <c r="AU721" s="324" t="s">
        <v>845</v>
      </c>
      <c r="AV721" s="330">
        <f>SQRT(($R721-Infrastructure!J$3)^2+($S721-Infrastructure!K$3)^2)</f>
        <v>31.28466078</v>
      </c>
      <c r="AW721" s="331">
        <f>SQRT(($R721-Infrastructure!J$4)^2+($S721-Infrastructure!K$4)^2)</f>
        <v>25.99423013</v>
      </c>
      <c r="AX721" s="331">
        <f>SQRT(($R721-Infrastructure!J$5)^2+($S721-Infrastructure!K$5)^2)</f>
        <v>25.12468905</v>
      </c>
      <c r="AY721" s="331">
        <f>SQRT(($R721-Infrastructure!J$6)^2+($S721-Infrastructure!K$6)^2)</f>
        <v>17.11286066</v>
      </c>
      <c r="AZ721" s="331">
        <f>SQRT(($R721-Infrastructure!J$7)^2+($S721-Infrastructure!K$7)^2)</f>
        <v>10.17693471</v>
      </c>
      <c r="BA721" s="331">
        <f>SQRT(($R721-Infrastructure!J$8)^2+($S721-Infrastructure!K$8)^2)</f>
        <v>10.9931797</v>
      </c>
      <c r="BB721" s="331">
        <f>SQRT(($R721-Infrastructure!J$9)^2+($S721-Infrastructure!K$9)^2)</f>
        <v>16.26407083</v>
      </c>
      <c r="BC721" s="331">
        <f>SQRT(($R721-Infrastructure!J$10)^2+($S721-Infrastructure!K$10)^2)</f>
        <v>16.47573974</v>
      </c>
      <c r="BD721" s="318"/>
      <c r="BE721" s="332"/>
      <c r="BF721" s="330">
        <f t="shared" si="14"/>
        <v>10.17693471</v>
      </c>
      <c r="BG721" s="333">
        <f t="shared" si="15"/>
        <v>31.28466078</v>
      </c>
      <c r="BH721" s="334"/>
      <c r="BI721" s="462" t="s">
        <v>846</v>
      </c>
      <c r="BJ721" s="319" t="s">
        <v>846</v>
      </c>
      <c r="BK721" s="319" t="s">
        <v>846</v>
      </c>
      <c r="BL721" s="788" t="s">
        <v>845</v>
      </c>
      <c r="BM721" s="319" t="s">
        <v>846</v>
      </c>
      <c r="BN721" s="788" t="s">
        <v>845</v>
      </c>
      <c r="BO721" s="319" t="s">
        <v>845</v>
      </c>
      <c r="BP721" s="319" t="s">
        <v>846</v>
      </c>
      <c r="BQ721" s="788" t="s">
        <v>845</v>
      </c>
      <c r="BR721" s="789" t="s">
        <v>845</v>
      </c>
      <c r="BS721" s="330">
        <f t="shared" si="23"/>
        <v>10.17693471</v>
      </c>
      <c r="BT721" s="331">
        <f t="shared" si="24"/>
        <v>31.28466078</v>
      </c>
      <c r="BU721" s="331"/>
      <c r="BV721" s="333"/>
      <c r="BW721" s="614">
        <v>15.7</v>
      </c>
      <c r="BX721" s="615">
        <v>11.0</v>
      </c>
      <c r="BY721" s="331">
        <f t="shared" si="38"/>
        <v>8.796590248</v>
      </c>
      <c r="BZ721" s="340"/>
      <c r="CA721" s="462" t="s">
        <v>846</v>
      </c>
      <c r="CB721" s="319" t="s">
        <v>846</v>
      </c>
      <c r="CC721" s="319" t="s">
        <v>846</v>
      </c>
      <c r="CD721" s="319" t="s">
        <v>846</v>
      </c>
      <c r="CE721" s="319" t="s">
        <v>846</v>
      </c>
      <c r="CF721" s="338"/>
      <c r="CG721" s="319" t="s">
        <v>846</v>
      </c>
      <c r="CH721" s="319" t="s">
        <v>846</v>
      </c>
      <c r="CI721" s="338"/>
      <c r="CJ721" s="341"/>
      <c r="CK721" s="342">
        <f t="shared" si="18"/>
        <v>10.17693471</v>
      </c>
      <c r="CL721" s="333">
        <f t="shared" si="19"/>
        <v>31.28466078</v>
      </c>
      <c r="CM721" s="702"/>
      <c r="CN721" s="595"/>
      <c r="CO721" s="595"/>
      <c r="CP721" s="595"/>
    </row>
    <row r="722">
      <c r="B722" s="462" t="s">
        <v>1259</v>
      </c>
      <c r="C722" s="417">
        <v>44258.0</v>
      </c>
      <c r="D722" s="318"/>
      <c r="E722" s="319">
        <v>24.0</v>
      </c>
      <c r="F722" s="324" t="s">
        <v>1317</v>
      </c>
      <c r="G722" s="321">
        <v>0.5986111111111111</v>
      </c>
      <c r="H722" s="323">
        <v>0.5991319444444444</v>
      </c>
      <c r="I722" s="323"/>
      <c r="J722" s="323"/>
      <c r="K722" s="323">
        <v>0.6019675925925926</v>
      </c>
      <c r="L722" s="323">
        <v>0.0028356481481481483</v>
      </c>
      <c r="M722" s="326" t="s">
        <v>166</v>
      </c>
      <c r="N722" s="324" t="s">
        <v>187</v>
      </c>
      <c r="O722" s="419" t="s">
        <v>202</v>
      </c>
      <c r="P722" s="319" t="s">
        <v>212</v>
      </c>
      <c r="Q722" s="319" t="s">
        <v>851</v>
      </c>
      <c r="R722" s="326">
        <v>24.4</v>
      </c>
      <c r="S722" s="319">
        <v>9.7</v>
      </c>
      <c r="T722" s="324">
        <v>0.57</v>
      </c>
      <c r="U722" s="319">
        <v>3.0</v>
      </c>
      <c r="V722" s="319"/>
      <c r="W722" s="319"/>
      <c r="X722" s="319"/>
      <c r="Y722" s="319"/>
      <c r="Z722" s="319" t="s">
        <v>339</v>
      </c>
      <c r="AA722" s="319"/>
      <c r="AB722" s="319" t="s">
        <v>337</v>
      </c>
      <c r="AC722" s="327">
        <v>2.5</v>
      </c>
      <c r="AD722" s="319"/>
      <c r="AE722" s="319"/>
      <c r="AF722" s="319"/>
      <c r="AG722" s="319"/>
      <c r="AH722" s="319"/>
      <c r="AI722" s="319"/>
      <c r="AJ722" s="327"/>
      <c r="AK722" s="328"/>
      <c r="AL722" s="319"/>
      <c r="AM722" s="319"/>
      <c r="AN722" s="319"/>
      <c r="AO722" s="319"/>
      <c r="AP722" s="319"/>
      <c r="AQ722" s="319"/>
      <c r="AR722" s="319"/>
      <c r="AS722" s="327"/>
      <c r="AT722" s="461" t="s">
        <v>182</v>
      </c>
      <c r="AU722" s="324" t="s">
        <v>845</v>
      </c>
      <c r="AV722" s="330">
        <f>SQRT(($R722-Infrastructure!J$3)^2+($S722-Infrastructure!K$3)^2)</f>
        <v>31.28466078</v>
      </c>
      <c r="AW722" s="331">
        <f>SQRT(($R722-Infrastructure!J$4)^2+($S722-Infrastructure!K$4)^2)</f>
        <v>25.99423013</v>
      </c>
      <c r="AX722" s="331">
        <f>SQRT(($R722-Infrastructure!J$5)^2+($S722-Infrastructure!K$5)^2)</f>
        <v>25.12468905</v>
      </c>
      <c r="AY722" s="331">
        <f>SQRT(($R722-Infrastructure!J$6)^2+($S722-Infrastructure!K$6)^2)</f>
        <v>17.11286066</v>
      </c>
      <c r="AZ722" s="331">
        <f>SQRT(($R722-Infrastructure!J$7)^2+($S722-Infrastructure!K$7)^2)</f>
        <v>10.17693471</v>
      </c>
      <c r="BA722" s="331">
        <f>SQRT(($R722-Infrastructure!J$8)^2+($S722-Infrastructure!K$8)^2)</f>
        <v>10.9931797</v>
      </c>
      <c r="BB722" s="331">
        <f>SQRT(($R722-Infrastructure!J$9)^2+($S722-Infrastructure!K$9)^2)</f>
        <v>16.26407083</v>
      </c>
      <c r="BC722" s="331">
        <f>SQRT(($R722-Infrastructure!J$10)^2+($S722-Infrastructure!K$10)^2)</f>
        <v>16.47573974</v>
      </c>
      <c r="BD722" s="318"/>
      <c r="BE722" s="332"/>
      <c r="BF722" s="330">
        <f t="shared" si="14"/>
        <v>10.17693471</v>
      </c>
      <c r="BG722" s="333">
        <f t="shared" si="15"/>
        <v>31.28466078</v>
      </c>
      <c r="BH722" s="334"/>
      <c r="BI722" s="462" t="s">
        <v>846</v>
      </c>
      <c r="BJ722" s="319" t="s">
        <v>846</v>
      </c>
      <c r="BK722" s="319" t="s">
        <v>846</v>
      </c>
      <c r="BL722" s="788" t="s">
        <v>845</v>
      </c>
      <c r="BM722" s="319" t="s">
        <v>846</v>
      </c>
      <c r="BN722" s="788" t="s">
        <v>845</v>
      </c>
      <c r="BO722" s="319" t="s">
        <v>846</v>
      </c>
      <c r="BP722" s="319" t="s">
        <v>846</v>
      </c>
      <c r="BQ722" s="788" t="s">
        <v>845</v>
      </c>
      <c r="BR722" s="789" t="s">
        <v>845</v>
      </c>
      <c r="BS722" s="330">
        <f t="shared" si="23"/>
        <v>10.17693471</v>
      </c>
      <c r="BT722" s="331">
        <f t="shared" si="24"/>
        <v>31.28466078</v>
      </c>
      <c r="BU722" s="331"/>
      <c r="BV722" s="333"/>
      <c r="BW722" s="614">
        <v>19.7</v>
      </c>
      <c r="BX722" s="615">
        <v>9.8</v>
      </c>
      <c r="BY722" s="331">
        <f t="shared" si="38"/>
        <v>4.701063709</v>
      </c>
      <c r="BZ722" s="340"/>
      <c r="CA722" s="462" t="s">
        <v>846</v>
      </c>
      <c r="CB722" s="319" t="s">
        <v>846</v>
      </c>
      <c r="CC722" s="319" t="s">
        <v>846</v>
      </c>
      <c r="CD722" s="319" t="s">
        <v>846</v>
      </c>
      <c r="CE722" s="319" t="s">
        <v>846</v>
      </c>
      <c r="CF722" s="338"/>
      <c r="CG722" s="319" t="s">
        <v>846</v>
      </c>
      <c r="CH722" s="319" t="s">
        <v>846</v>
      </c>
      <c r="CI722" s="338"/>
      <c r="CJ722" s="341"/>
      <c r="CK722" s="342">
        <f t="shared" si="18"/>
        <v>10.17693471</v>
      </c>
      <c r="CL722" s="333">
        <f t="shared" si="19"/>
        <v>31.28466078</v>
      </c>
      <c r="CM722" s="702"/>
      <c r="CN722" s="595"/>
      <c r="CO722" s="595"/>
      <c r="CP722" s="595"/>
    </row>
    <row r="723">
      <c r="B723" s="462" t="s">
        <v>1259</v>
      </c>
      <c r="C723" s="417">
        <v>44258.0</v>
      </c>
      <c r="D723" s="318"/>
      <c r="E723" s="319">
        <v>25.0</v>
      </c>
      <c r="F723" s="324" t="s">
        <v>1318</v>
      </c>
      <c r="G723" s="321">
        <v>0.6037037037037037</v>
      </c>
      <c r="H723" s="323">
        <v>0.6041666666666666</v>
      </c>
      <c r="I723" s="323"/>
      <c r="J723" s="323"/>
      <c r="K723" s="323">
        <v>0.6069444444444444</v>
      </c>
      <c r="L723" s="323">
        <v>0.002777777777777778</v>
      </c>
      <c r="M723" s="326" t="s">
        <v>166</v>
      </c>
      <c r="N723" s="324" t="s">
        <v>187</v>
      </c>
      <c r="O723" s="419" t="s">
        <v>202</v>
      </c>
      <c r="P723" s="319" t="s">
        <v>212</v>
      </c>
      <c r="Q723" s="319" t="s">
        <v>851</v>
      </c>
      <c r="R723" s="326">
        <v>24.4</v>
      </c>
      <c r="S723" s="319">
        <v>9.7</v>
      </c>
      <c r="T723" s="324">
        <v>0.57</v>
      </c>
      <c r="U723" s="319">
        <v>3.0</v>
      </c>
      <c r="V723" s="319"/>
      <c r="W723" s="319"/>
      <c r="X723" s="319"/>
      <c r="Y723" s="319"/>
      <c r="Z723" s="319" t="s">
        <v>339</v>
      </c>
      <c r="AA723" s="319"/>
      <c r="AB723" s="319" t="s">
        <v>341</v>
      </c>
      <c r="AC723" s="327">
        <v>3.0</v>
      </c>
      <c r="AD723" s="319"/>
      <c r="AE723" s="319"/>
      <c r="AF723" s="319"/>
      <c r="AG723" s="319"/>
      <c r="AH723" s="319"/>
      <c r="AI723" s="319"/>
      <c r="AJ723" s="327"/>
      <c r="AK723" s="328"/>
      <c r="AL723" s="319"/>
      <c r="AM723" s="319"/>
      <c r="AN723" s="319"/>
      <c r="AO723" s="319"/>
      <c r="AP723" s="319"/>
      <c r="AQ723" s="319"/>
      <c r="AR723" s="319"/>
      <c r="AS723" s="327"/>
      <c r="AT723" s="461" t="s">
        <v>182</v>
      </c>
      <c r="AU723" s="324" t="s">
        <v>845</v>
      </c>
      <c r="AV723" s="330">
        <f>SQRT(($R723-Infrastructure!J$3)^2+($S723-Infrastructure!K$3)^2)</f>
        <v>31.28466078</v>
      </c>
      <c r="AW723" s="331">
        <f>SQRT(($R723-Infrastructure!J$4)^2+($S723-Infrastructure!K$4)^2)</f>
        <v>25.99423013</v>
      </c>
      <c r="AX723" s="331">
        <f>SQRT(($R723-Infrastructure!J$5)^2+($S723-Infrastructure!K$5)^2)</f>
        <v>25.12468905</v>
      </c>
      <c r="AY723" s="331">
        <f>SQRT(($R723-Infrastructure!J$6)^2+($S723-Infrastructure!K$6)^2)</f>
        <v>17.11286066</v>
      </c>
      <c r="AZ723" s="331">
        <f>SQRT(($R723-Infrastructure!J$7)^2+($S723-Infrastructure!K$7)^2)</f>
        <v>10.17693471</v>
      </c>
      <c r="BA723" s="331">
        <f>SQRT(($R723-Infrastructure!J$8)^2+($S723-Infrastructure!K$8)^2)</f>
        <v>10.9931797</v>
      </c>
      <c r="BB723" s="331">
        <f>SQRT(($R723-Infrastructure!J$9)^2+($S723-Infrastructure!K$9)^2)</f>
        <v>16.26407083</v>
      </c>
      <c r="BC723" s="331">
        <f>SQRT(($R723-Infrastructure!J$10)^2+($S723-Infrastructure!K$10)^2)</f>
        <v>16.47573974</v>
      </c>
      <c r="BD723" s="318"/>
      <c r="BE723" s="332"/>
      <c r="BF723" s="330">
        <f t="shared" si="14"/>
        <v>10.17693471</v>
      </c>
      <c r="BG723" s="333">
        <f t="shared" si="15"/>
        <v>31.28466078</v>
      </c>
      <c r="BH723" s="334"/>
      <c r="BI723" s="462" t="s">
        <v>846</v>
      </c>
      <c r="BJ723" s="319" t="s">
        <v>845</v>
      </c>
      <c r="BK723" s="319" t="s">
        <v>846</v>
      </c>
      <c r="BL723" s="788" t="s">
        <v>845</v>
      </c>
      <c r="BM723" s="319" t="s">
        <v>846</v>
      </c>
      <c r="BN723" s="788" t="s">
        <v>845</v>
      </c>
      <c r="BO723" s="319" t="s">
        <v>846</v>
      </c>
      <c r="BP723" s="319" t="s">
        <v>846</v>
      </c>
      <c r="BQ723" s="788" t="s">
        <v>845</v>
      </c>
      <c r="BR723" s="789" t="s">
        <v>845</v>
      </c>
      <c r="BS723" s="330">
        <f t="shared" si="23"/>
        <v>10.17693471</v>
      </c>
      <c r="BT723" s="331">
        <f t="shared" si="24"/>
        <v>31.28466078</v>
      </c>
      <c r="BU723" s="331"/>
      <c r="BV723" s="333"/>
      <c r="BW723" s="614">
        <v>20.3</v>
      </c>
      <c r="BX723" s="615">
        <v>10.4</v>
      </c>
      <c r="BY723" s="331">
        <f t="shared" si="38"/>
        <v>4.159326869</v>
      </c>
      <c r="BZ723" s="340"/>
      <c r="CA723" s="462" t="s">
        <v>846</v>
      </c>
      <c r="CB723" s="319" t="s">
        <v>846</v>
      </c>
      <c r="CC723" s="319" t="s">
        <v>846</v>
      </c>
      <c r="CD723" s="319" t="s">
        <v>846</v>
      </c>
      <c r="CE723" s="319" t="s">
        <v>846</v>
      </c>
      <c r="CF723" s="338"/>
      <c r="CG723" s="319" t="s">
        <v>846</v>
      </c>
      <c r="CH723" s="319" t="s">
        <v>846</v>
      </c>
      <c r="CI723" s="338"/>
      <c r="CJ723" s="341"/>
      <c r="CK723" s="342">
        <f t="shared" si="18"/>
        <v>10.17693471</v>
      </c>
      <c r="CL723" s="333">
        <f t="shared" si="19"/>
        <v>31.28466078</v>
      </c>
      <c r="CM723" s="702"/>
      <c r="CN723" s="595"/>
      <c r="CO723" s="595"/>
      <c r="CP723" s="595"/>
    </row>
    <row r="724">
      <c r="B724" s="462" t="s">
        <v>1259</v>
      </c>
      <c r="C724" s="417">
        <v>44258.0</v>
      </c>
      <c r="D724" s="318"/>
      <c r="E724" s="319">
        <v>26.0</v>
      </c>
      <c r="F724" s="324" t="s">
        <v>1319</v>
      </c>
      <c r="G724" s="321">
        <v>0.609837962962963</v>
      </c>
      <c r="H724" s="323">
        <v>0.6104166666666667</v>
      </c>
      <c r="I724" s="323"/>
      <c r="J724" s="323"/>
      <c r="K724" s="323">
        <v>0.6131944444444445</v>
      </c>
      <c r="L724" s="323">
        <v>0.002777777777777778</v>
      </c>
      <c r="M724" s="326" t="s">
        <v>166</v>
      </c>
      <c r="N724" s="324" t="s">
        <v>187</v>
      </c>
      <c r="O724" s="419" t="s">
        <v>206</v>
      </c>
      <c r="P724" s="319" t="s">
        <v>218</v>
      </c>
      <c r="Q724" s="318"/>
      <c r="R724" s="326">
        <v>21.2</v>
      </c>
      <c r="S724" s="319">
        <v>8.7</v>
      </c>
      <c r="T724" s="324">
        <v>2.4</v>
      </c>
      <c r="U724" s="319">
        <v>6.5</v>
      </c>
      <c r="V724" s="319"/>
      <c r="W724" s="319"/>
      <c r="X724" s="319"/>
      <c r="Y724" s="319"/>
      <c r="Z724" s="319" t="s">
        <v>347</v>
      </c>
      <c r="AA724" s="319"/>
      <c r="AB724" s="319" t="s">
        <v>392</v>
      </c>
      <c r="AC724" s="327">
        <v>10.0</v>
      </c>
      <c r="AD724" s="319"/>
      <c r="AE724" s="319"/>
      <c r="AF724" s="319"/>
      <c r="AG724" s="319"/>
      <c r="AH724" s="319"/>
      <c r="AI724" s="319"/>
      <c r="AJ724" s="327"/>
      <c r="AK724" s="328"/>
      <c r="AL724" s="319"/>
      <c r="AM724" s="319"/>
      <c r="AN724" s="319"/>
      <c r="AO724" s="319"/>
      <c r="AP724" s="319"/>
      <c r="AQ724" s="319"/>
      <c r="AR724" s="319"/>
      <c r="AS724" s="327"/>
      <c r="AT724" s="461" t="s">
        <v>182</v>
      </c>
      <c r="AU724" s="324" t="s">
        <v>845</v>
      </c>
      <c r="AV724" s="330">
        <f>SQRT(($R724-Infrastructure!J$3)^2+($S724-Infrastructure!K$3)^2)</f>
        <v>29.50067796</v>
      </c>
      <c r="AW724" s="331">
        <f>SQRT(($R724-Infrastructure!J$4)^2+($S724-Infrastructure!K$4)^2)</f>
        <v>23.34652008</v>
      </c>
      <c r="AX724" s="331">
        <f>SQRT(($R724-Infrastructure!J$5)^2+($S724-Infrastructure!K$5)^2)</f>
        <v>21.79931192</v>
      </c>
      <c r="AY724" s="331">
        <f>SQRT(($R724-Infrastructure!J$6)^2+($S724-Infrastructure!K$6)^2)</f>
        <v>13.92012931</v>
      </c>
      <c r="AZ724" s="331">
        <f>SQRT(($R724-Infrastructure!J$7)^2+($S724-Infrastructure!K$7)^2)</f>
        <v>8.429116205</v>
      </c>
      <c r="BA724" s="331">
        <f>SQRT(($R724-Infrastructure!J$8)^2+($S724-Infrastructure!K$8)^2)</f>
        <v>12.2380554</v>
      </c>
      <c r="BB724" s="331">
        <f>SQRT(($R724-Infrastructure!J$9)^2+($S724-Infrastructure!K$9)^2)</f>
        <v>19.14157778</v>
      </c>
      <c r="BC724" s="331">
        <f>SQRT(($R724-Infrastructure!J$10)^2+($S724-Infrastructure!K$10)^2)</f>
        <v>19.82750615</v>
      </c>
      <c r="BD724" s="318"/>
      <c r="BE724" s="332"/>
      <c r="BF724" s="330">
        <f t="shared" si="14"/>
        <v>8.429116205</v>
      </c>
      <c r="BG724" s="333">
        <f t="shared" si="15"/>
        <v>29.50067796</v>
      </c>
      <c r="BH724" s="334"/>
      <c r="BI724" s="462" t="s">
        <v>845</v>
      </c>
      <c r="BJ724" s="319" t="s">
        <v>846</v>
      </c>
      <c r="BK724" s="319" t="s">
        <v>845</v>
      </c>
      <c r="BL724" s="788" t="s">
        <v>845</v>
      </c>
      <c r="BM724" s="319" t="s">
        <v>846</v>
      </c>
      <c r="BN724" s="788" t="s">
        <v>845</v>
      </c>
      <c r="BO724" s="319" t="s">
        <v>845</v>
      </c>
      <c r="BP724" s="319" t="s">
        <v>845</v>
      </c>
      <c r="BQ724" s="788" t="s">
        <v>845</v>
      </c>
      <c r="BR724" s="789" t="s">
        <v>845</v>
      </c>
      <c r="BS724" s="330">
        <f t="shared" si="23"/>
        <v>8.429116205</v>
      </c>
      <c r="BT724" s="331">
        <f t="shared" si="24"/>
        <v>23.34652008</v>
      </c>
      <c r="BU724" s="331"/>
      <c r="BV724" s="333"/>
      <c r="BW724" s="614">
        <v>9.6</v>
      </c>
      <c r="BX724" s="615">
        <v>6.9</v>
      </c>
      <c r="BY724" s="331">
        <f t="shared" si="38"/>
        <v>11.73882447</v>
      </c>
      <c r="BZ724" s="340"/>
      <c r="CA724" s="462" t="s">
        <v>846</v>
      </c>
      <c r="CB724" s="319" t="s">
        <v>846</v>
      </c>
      <c r="CC724" s="319" t="s">
        <v>846</v>
      </c>
      <c r="CD724" s="319" t="s">
        <v>846</v>
      </c>
      <c r="CE724" s="319" t="s">
        <v>846</v>
      </c>
      <c r="CF724" s="338"/>
      <c r="CG724" s="319" t="s">
        <v>846</v>
      </c>
      <c r="CH724" s="319" t="s">
        <v>846</v>
      </c>
      <c r="CI724" s="338"/>
      <c r="CJ724" s="341"/>
      <c r="CK724" s="342">
        <f t="shared" si="18"/>
        <v>8.429116205</v>
      </c>
      <c r="CL724" s="333">
        <f t="shared" si="19"/>
        <v>29.50067796</v>
      </c>
      <c r="CM724" s="702"/>
      <c r="CN724" s="595"/>
      <c r="CO724" s="595"/>
      <c r="CP724" s="595"/>
    </row>
    <row r="725">
      <c r="B725" s="462" t="s">
        <v>1259</v>
      </c>
      <c r="C725" s="417">
        <v>44258.0</v>
      </c>
      <c r="D725" s="318"/>
      <c r="E725" s="319">
        <v>27.0</v>
      </c>
      <c r="F725" s="324" t="s">
        <v>1320</v>
      </c>
      <c r="G725" s="321">
        <v>0.6194444444444445</v>
      </c>
      <c r="H725" s="323">
        <v>0.6201388888888889</v>
      </c>
      <c r="I725" s="323"/>
      <c r="J725" s="323"/>
      <c r="K725" s="323">
        <v>0.6229166666666667</v>
      </c>
      <c r="L725" s="323">
        <v>0.002777777777777778</v>
      </c>
      <c r="M725" s="326" t="s">
        <v>166</v>
      </c>
      <c r="N725" s="324" t="s">
        <v>187</v>
      </c>
      <c r="O725" s="419" t="s">
        <v>201</v>
      </c>
      <c r="P725" s="319" t="s">
        <v>212</v>
      </c>
      <c r="Q725" s="319" t="s">
        <v>851</v>
      </c>
      <c r="R725" s="326">
        <v>16.3</v>
      </c>
      <c r="S725" s="319">
        <v>6.5</v>
      </c>
      <c r="T725" s="324">
        <v>0.55</v>
      </c>
      <c r="U725" s="319">
        <v>1.0</v>
      </c>
      <c r="V725" s="319"/>
      <c r="W725" s="319"/>
      <c r="X725" s="319"/>
      <c r="Y725" s="319"/>
      <c r="Z725" s="319" t="s">
        <v>339</v>
      </c>
      <c r="AA725" s="319"/>
      <c r="AB725" s="319" t="s">
        <v>333</v>
      </c>
      <c r="AC725" s="327">
        <v>2.0</v>
      </c>
      <c r="AD725" s="319"/>
      <c r="AE725" s="319"/>
      <c r="AF725" s="319"/>
      <c r="AG725" s="319"/>
      <c r="AH725" s="319"/>
      <c r="AI725" s="319"/>
      <c r="AJ725" s="327"/>
      <c r="AK725" s="328"/>
      <c r="AL725" s="319"/>
      <c r="AM725" s="319"/>
      <c r="AN725" s="319"/>
      <c r="AO725" s="319"/>
      <c r="AP725" s="319"/>
      <c r="AQ725" s="319"/>
      <c r="AR725" s="319"/>
      <c r="AS725" s="327"/>
      <c r="AT725" s="461" t="s">
        <v>182</v>
      </c>
      <c r="AU725" s="324" t="s">
        <v>845</v>
      </c>
      <c r="AV725" s="330">
        <f>SQRT(($R725-Infrastructure!J$3)^2+($S725-Infrastructure!K$3)^2)</f>
        <v>27.88045911</v>
      </c>
      <c r="AW725" s="331">
        <f>SQRT(($R725-Infrastructure!J$4)^2+($S725-Infrastructure!K$4)^2)</f>
        <v>20.08108563</v>
      </c>
      <c r="AX725" s="331">
        <f>SQRT(($R725-Infrastructure!J$5)^2+($S725-Infrastructure!K$5)^2)</f>
        <v>16.65893154</v>
      </c>
      <c r="AY725" s="331">
        <f>SQRT(($R725-Infrastructure!J$6)^2+($S725-Infrastructure!K$6)^2)</f>
        <v>8.768124087</v>
      </c>
      <c r="AZ725" s="331">
        <f>SQRT(($R725-Infrastructure!J$7)^2+($S725-Infrastructure!K$7)^2)</f>
        <v>7.488658091</v>
      </c>
      <c r="BA725" s="331">
        <f>SQRT(($R725-Infrastructure!J$8)^2+($S725-Infrastructure!K$8)^2)</f>
        <v>15.12878052</v>
      </c>
      <c r="BB725" s="331">
        <f>SQRT(($R725-Infrastructure!J$9)^2+($S725-Infrastructure!K$9)^2)</f>
        <v>23.7413142</v>
      </c>
      <c r="BC725" s="331">
        <f>SQRT(($R725-Infrastructure!J$10)^2+($S725-Infrastructure!K$10)^2)</f>
        <v>25.17816514</v>
      </c>
      <c r="BD725" s="318"/>
      <c r="BE725" s="332"/>
      <c r="BF725" s="330">
        <f t="shared" si="14"/>
        <v>7.488658091</v>
      </c>
      <c r="BG725" s="333">
        <f t="shared" si="15"/>
        <v>27.88045911</v>
      </c>
      <c r="BH725" s="334"/>
      <c r="BI725" s="462" t="s">
        <v>845</v>
      </c>
      <c r="BJ725" s="319" t="s">
        <v>845</v>
      </c>
      <c r="BK725" s="319" t="s">
        <v>846</v>
      </c>
      <c r="BL725" s="788" t="s">
        <v>845</v>
      </c>
      <c r="BM725" s="319" t="s">
        <v>846</v>
      </c>
      <c r="BN725" s="788" t="s">
        <v>845</v>
      </c>
      <c r="BO725" s="319" t="s">
        <v>845</v>
      </c>
      <c r="BP725" s="319" t="s">
        <v>845</v>
      </c>
      <c r="BQ725" s="788" t="s">
        <v>845</v>
      </c>
      <c r="BR725" s="789" t="s">
        <v>845</v>
      </c>
      <c r="BS725" s="330">
        <f t="shared" si="23"/>
        <v>7.488658091</v>
      </c>
      <c r="BT725" s="331">
        <f t="shared" si="24"/>
        <v>16.65893154</v>
      </c>
      <c r="BU725" s="331"/>
      <c r="BV725" s="333"/>
      <c r="BW725" s="614">
        <v>11.8</v>
      </c>
      <c r="BX725" s="615">
        <v>6.2</v>
      </c>
      <c r="BY725" s="331">
        <f t="shared" si="38"/>
        <v>4.509988914</v>
      </c>
      <c r="BZ725" s="340"/>
      <c r="CA725" s="316"/>
      <c r="CB725" s="318"/>
      <c r="CC725" s="318"/>
      <c r="CD725" s="319" t="s">
        <v>846</v>
      </c>
      <c r="CE725" s="318"/>
      <c r="CF725" s="338"/>
      <c r="CG725" s="318"/>
      <c r="CH725" s="318"/>
      <c r="CI725" s="338"/>
      <c r="CJ725" s="341"/>
      <c r="CK725" s="342">
        <f t="shared" si="18"/>
        <v>8.768124087</v>
      </c>
      <c r="CL725" s="333">
        <f t="shared" si="19"/>
        <v>8.768124087</v>
      </c>
      <c r="CM725" s="702"/>
      <c r="CN725" s="595"/>
      <c r="CO725" s="595"/>
      <c r="CP725" s="595"/>
    </row>
    <row r="726">
      <c r="B726" s="462" t="s">
        <v>1259</v>
      </c>
      <c r="C726" s="417">
        <v>44258.0</v>
      </c>
      <c r="D726" s="318"/>
      <c r="E726" s="319">
        <v>28.0</v>
      </c>
      <c r="F726" s="324" t="s">
        <v>1321</v>
      </c>
      <c r="G726" s="321">
        <v>0.6253472222222223</v>
      </c>
      <c r="H726" s="323">
        <v>0.6260416666666667</v>
      </c>
      <c r="I726" s="323"/>
      <c r="J726" s="323"/>
      <c r="K726" s="323">
        <v>0.628125</v>
      </c>
      <c r="L726" s="323">
        <v>0.0020833333333333333</v>
      </c>
      <c r="M726" s="326" t="s">
        <v>166</v>
      </c>
      <c r="N726" s="324" t="s">
        <v>187</v>
      </c>
      <c r="O726" s="419" t="s">
        <v>201</v>
      </c>
      <c r="P726" s="319" t="s">
        <v>212</v>
      </c>
      <c r="Q726" s="319" t="s">
        <v>851</v>
      </c>
      <c r="R726" s="326">
        <v>16.3</v>
      </c>
      <c r="S726" s="319">
        <v>6.5</v>
      </c>
      <c r="T726" s="324">
        <v>0.55</v>
      </c>
      <c r="U726" s="319">
        <v>0.5</v>
      </c>
      <c r="V726" s="319"/>
      <c r="W726" s="319"/>
      <c r="X726" s="319"/>
      <c r="Y726" s="319"/>
      <c r="Z726" s="319" t="s">
        <v>339</v>
      </c>
      <c r="AA726" s="319"/>
      <c r="AB726" s="319" t="s">
        <v>326</v>
      </c>
      <c r="AC726" s="327">
        <v>1.0</v>
      </c>
      <c r="AD726" s="319"/>
      <c r="AE726" s="319"/>
      <c r="AF726" s="319"/>
      <c r="AG726" s="319"/>
      <c r="AH726" s="319"/>
      <c r="AI726" s="319"/>
      <c r="AJ726" s="327"/>
      <c r="AK726" s="328"/>
      <c r="AL726" s="319"/>
      <c r="AM726" s="319"/>
      <c r="AN726" s="319"/>
      <c r="AO726" s="319"/>
      <c r="AP726" s="319"/>
      <c r="AQ726" s="319"/>
      <c r="AR726" s="319"/>
      <c r="AS726" s="327"/>
      <c r="AT726" s="461" t="s">
        <v>181</v>
      </c>
      <c r="AU726" s="324" t="s">
        <v>845</v>
      </c>
      <c r="AV726" s="330">
        <f>SQRT(($R726-Infrastructure!J$3)^2+($S726-Infrastructure!K$3)^2)</f>
        <v>27.88045911</v>
      </c>
      <c r="AW726" s="331">
        <f>SQRT(($R726-Infrastructure!J$4)^2+($S726-Infrastructure!K$4)^2)</f>
        <v>20.08108563</v>
      </c>
      <c r="AX726" s="331">
        <f>SQRT(($R726-Infrastructure!J$5)^2+($S726-Infrastructure!K$5)^2)</f>
        <v>16.65893154</v>
      </c>
      <c r="AY726" s="331">
        <f>SQRT(($R726-Infrastructure!J$6)^2+($S726-Infrastructure!K$6)^2)</f>
        <v>8.768124087</v>
      </c>
      <c r="AZ726" s="331">
        <f>SQRT(($R726-Infrastructure!J$7)^2+($S726-Infrastructure!K$7)^2)</f>
        <v>7.488658091</v>
      </c>
      <c r="BA726" s="331">
        <f>SQRT(($R726-Infrastructure!J$8)^2+($S726-Infrastructure!K$8)^2)</f>
        <v>15.12878052</v>
      </c>
      <c r="BB726" s="331">
        <f>SQRT(($R726-Infrastructure!J$9)^2+($S726-Infrastructure!K$9)^2)</f>
        <v>23.7413142</v>
      </c>
      <c r="BC726" s="331">
        <f>SQRT(($R726-Infrastructure!J$10)^2+($S726-Infrastructure!K$10)^2)</f>
        <v>25.17816514</v>
      </c>
      <c r="BD726" s="318"/>
      <c r="BE726" s="332"/>
      <c r="BF726" s="330">
        <f t="shared" si="14"/>
        <v>7.488658091</v>
      </c>
      <c r="BG726" s="333">
        <f t="shared" si="15"/>
        <v>27.88045911</v>
      </c>
      <c r="BH726" s="334"/>
      <c r="BI726" s="462" t="s">
        <v>845</v>
      </c>
      <c r="BJ726" s="319" t="s">
        <v>845</v>
      </c>
      <c r="BK726" s="319" t="s">
        <v>846</v>
      </c>
      <c r="BL726" s="788" t="s">
        <v>845</v>
      </c>
      <c r="BM726" s="319" t="s">
        <v>846</v>
      </c>
      <c r="BN726" s="788" t="s">
        <v>845</v>
      </c>
      <c r="BO726" s="319" t="s">
        <v>845</v>
      </c>
      <c r="BP726" s="319" t="s">
        <v>845</v>
      </c>
      <c r="BQ726" s="788" t="s">
        <v>845</v>
      </c>
      <c r="BR726" s="789" t="s">
        <v>845</v>
      </c>
      <c r="BS726" s="330">
        <f t="shared" si="23"/>
        <v>7.488658091</v>
      </c>
      <c r="BT726" s="331">
        <f t="shared" si="24"/>
        <v>16.65893154</v>
      </c>
      <c r="BU726" s="331"/>
      <c r="BV726" s="333"/>
      <c r="BW726" s="330"/>
      <c r="BX726" s="331"/>
      <c r="BY726" s="331" t="b">
        <f t="shared" si="38"/>
        <v>0</v>
      </c>
      <c r="BZ726" s="340"/>
      <c r="CA726" s="462" t="s">
        <v>846</v>
      </c>
      <c r="CB726" s="319" t="s">
        <v>846</v>
      </c>
      <c r="CC726" s="319" t="s">
        <v>846</v>
      </c>
      <c r="CD726" s="319" t="s">
        <v>846</v>
      </c>
      <c r="CE726" s="319" t="s">
        <v>846</v>
      </c>
      <c r="CF726" s="338"/>
      <c r="CG726" s="319" t="s">
        <v>846</v>
      </c>
      <c r="CH726" s="319" t="s">
        <v>846</v>
      </c>
      <c r="CI726" s="338"/>
      <c r="CJ726" s="341"/>
      <c r="CK726" s="342">
        <f t="shared" si="18"/>
        <v>7.488658091</v>
      </c>
      <c r="CL726" s="333">
        <f t="shared" si="19"/>
        <v>27.88045911</v>
      </c>
      <c r="CM726" s="702"/>
      <c r="CN726" s="595"/>
      <c r="CO726" s="595"/>
      <c r="CP726" s="595"/>
    </row>
    <row r="727">
      <c r="B727" s="462" t="s">
        <v>1259</v>
      </c>
      <c r="C727" s="417">
        <v>44258.0</v>
      </c>
      <c r="D727" s="318"/>
      <c r="E727" s="319">
        <v>29.0</v>
      </c>
      <c r="F727" s="324" t="s">
        <v>1322</v>
      </c>
      <c r="G727" s="321">
        <v>0.634375</v>
      </c>
      <c r="H727" s="323">
        <v>0.6347222222222222</v>
      </c>
      <c r="I727" s="323"/>
      <c r="J727" s="323"/>
      <c r="K727" s="323">
        <v>0.6375</v>
      </c>
      <c r="L727" s="323">
        <v>0.002777777777777778</v>
      </c>
      <c r="M727" s="326" t="s">
        <v>166</v>
      </c>
      <c r="N727" s="324" t="s">
        <v>187</v>
      </c>
      <c r="O727" s="419" t="s">
        <v>202</v>
      </c>
      <c r="P727" s="319" t="s">
        <v>212</v>
      </c>
      <c r="Q727" s="319" t="s">
        <v>851</v>
      </c>
      <c r="R727" s="326">
        <v>24.4</v>
      </c>
      <c r="S727" s="319">
        <v>9.7</v>
      </c>
      <c r="T727" s="324">
        <v>0.57</v>
      </c>
      <c r="U727" s="319">
        <v>15.0</v>
      </c>
      <c r="V727" s="319"/>
      <c r="W727" s="319"/>
      <c r="X727" s="319"/>
      <c r="Y727" s="319"/>
      <c r="Z727" s="319" t="s">
        <v>391</v>
      </c>
      <c r="AA727" s="319"/>
      <c r="AB727" s="319" t="s">
        <v>345</v>
      </c>
      <c r="AC727" s="327">
        <v>4.0</v>
      </c>
      <c r="AD727" s="319"/>
      <c r="AE727" s="319"/>
      <c r="AF727" s="319"/>
      <c r="AG727" s="319"/>
      <c r="AH727" s="319"/>
      <c r="AI727" s="319"/>
      <c r="AJ727" s="327"/>
      <c r="AK727" s="328"/>
      <c r="AL727" s="319"/>
      <c r="AM727" s="319"/>
      <c r="AN727" s="319"/>
      <c r="AO727" s="319"/>
      <c r="AP727" s="319"/>
      <c r="AQ727" s="319"/>
      <c r="AR727" s="319"/>
      <c r="AS727" s="327"/>
      <c r="AT727" s="461" t="s">
        <v>183</v>
      </c>
      <c r="AU727" s="324" t="s">
        <v>845</v>
      </c>
      <c r="AV727" s="330">
        <f>SQRT(($R727-Infrastructure!J$3)^2+($S727-Infrastructure!K$3)^2)</f>
        <v>31.28466078</v>
      </c>
      <c r="AW727" s="331">
        <f>SQRT(($R727-Infrastructure!J$4)^2+($S727-Infrastructure!K$4)^2)</f>
        <v>25.99423013</v>
      </c>
      <c r="AX727" s="331">
        <f>SQRT(($R727-Infrastructure!J$5)^2+($S727-Infrastructure!K$5)^2)</f>
        <v>25.12468905</v>
      </c>
      <c r="AY727" s="331">
        <f>SQRT(($R727-Infrastructure!J$6)^2+($S727-Infrastructure!K$6)^2)</f>
        <v>17.11286066</v>
      </c>
      <c r="AZ727" s="331">
        <f>SQRT(($R727-Infrastructure!J$7)^2+($S727-Infrastructure!K$7)^2)</f>
        <v>10.17693471</v>
      </c>
      <c r="BA727" s="331">
        <f>SQRT(($R727-Infrastructure!J$8)^2+($S727-Infrastructure!K$8)^2)</f>
        <v>10.9931797</v>
      </c>
      <c r="BB727" s="331">
        <f>SQRT(($R727-Infrastructure!J$9)^2+($S727-Infrastructure!K$9)^2)</f>
        <v>16.26407083</v>
      </c>
      <c r="BC727" s="331">
        <f>SQRT(($R727-Infrastructure!J$10)^2+($S727-Infrastructure!K$10)^2)</f>
        <v>16.47573974</v>
      </c>
      <c r="BD727" s="318"/>
      <c r="BE727" s="332"/>
      <c r="BF727" s="330">
        <f t="shared" si="14"/>
        <v>10.17693471</v>
      </c>
      <c r="BG727" s="333">
        <f t="shared" si="15"/>
        <v>31.28466078</v>
      </c>
      <c r="BH727" s="334"/>
      <c r="BI727" s="462" t="s">
        <v>846</v>
      </c>
      <c r="BJ727" s="319" t="s">
        <v>846</v>
      </c>
      <c r="BK727" s="319" t="s">
        <v>846</v>
      </c>
      <c r="BL727" s="788" t="s">
        <v>845</v>
      </c>
      <c r="BM727" s="319" t="s">
        <v>846</v>
      </c>
      <c r="BN727" s="788" t="s">
        <v>845</v>
      </c>
      <c r="BO727" s="319" t="s">
        <v>846</v>
      </c>
      <c r="BP727" s="319" t="s">
        <v>846</v>
      </c>
      <c r="BQ727" s="788" t="s">
        <v>845</v>
      </c>
      <c r="BR727" s="789" t="s">
        <v>845</v>
      </c>
      <c r="BS727" s="330">
        <f t="shared" si="23"/>
        <v>10.17693471</v>
      </c>
      <c r="BT727" s="331">
        <f t="shared" si="24"/>
        <v>31.28466078</v>
      </c>
      <c r="BU727" s="331"/>
      <c r="BV727" s="333"/>
      <c r="BW727" s="614">
        <v>16.6</v>
      </c>
      <c r="BX727" s="615">
        <v>11.1</v>
      </c>
      <c r="BY727" s="331">
        <f t="shared" si="38"/>
        <v>7.924645102</v>
      </c>
      <c r="BZ727" s="340"/>
      <c r="CA727" s="316"/>
      <c r="CB727" s="318"/>
      <c r="CC727" s="319" t="s">
        <v>846</v>
      </c>
      <c r="CD727" s="319" t="s">
        <v>846</v>
      </c>
      <c r="CE727" s="319" t="s">
        <v>846</v>
      </c>
      <c r="CF727" s="338"/>
      <c r="CG727" s="319" t="s">
        <v>846</v>
      </c>
      <c r="CH727" s="319" t="s">
        <v>846</v>
      </c>
      <c r="CI727" s="338"/>
      <c r="CJ727" s="341"/>
      <c r="CK727" s="342">
        <f t="shared" si="18"/>
        <v>10.17693471</v>
      </c>
      <c r="CL727" s="333">
        <f t="shared" si="19"/>
        <v>25.12468905</v>
      </c>
      <c r="CM727" s="702"/>
      <c r="CN727" s="595"/>
      <c r="CO727" s="595"/>
      <c r="CP727" s="595"/>
    </row>
    <row r="728">
      <c r="B728" s="462" t="s">
        <v>1259</v>
      </c>
      <c r="C728" s="417">
        <v>44258.0</v>
      </c>
      <c r="D728" s="318"/>
      <c r="E728" s="319">
        <v>30.0</v>
      </c>
      <c r="F728" s="324" t="s">
        <v>1323</v>
      </c>
      <c r="G728" s="321">
        <v>0.6394097222222223</v>
      </c>
      <c r="H728" s="323">
        <v>0.6397569444444444</v>
      </c>
      <c r="I728" s="323"/>
      <c r="J728" s="323"/>
      <c r="K728" s="323">
        <v>0.6425347222222222</v>
      </c>
      <c r="L728" s="323">
        <v>0.002777777777777778</v>
      </c>
      <c r="M728" s="326" t="s">
        <v>166</v>
      </c>
      <c r="N728" s="324" t="s">
        <v>187</v>
      </c>
      <c r="O728" s="419" t="s">
        <v>202</v>
      </c>
      <c r="P728" s="319" t="s">
        <v>212</v>
      </c>
      <c r="Q728" s="319" t="s">
        <v>851</v>
      </c>
      <c r="R728" s="326">
        <v>24.4</v>
      </c>
      <c r="S728" s="319">
        <v>9.7</v>
      </c>
      <c r="T728" s="324">
        <v>0.57</v>
      </c>
      <c r="U728" s="319">
        <v>10.0</v>
      </c>
      <c r="V728" s="319"/>
      <c r="W728" s="319"/>
      <c r="X728" s="319"/>
      <c r="Y728" s="319"/>
      <c r="Z728" s="319" t="s">
        <v>391</v>
      </c>
      <c r="AA728" s="319"/>
      <c r="AB728" s="319" t="s">
        <v>337</v>
      </c>
      <c r="AC728" s="327">
        <v>2.5</v>
      </c>
      <c r="AD728" s="319"/>
      <c r="AE728" s="319"/>
      <c r="AF728" s="319"/>
      <c r="AG728" s="319"/>
      <c r="AH728" s="319"/>
      <c r="AI728" s="319"/>
      <c r="AJ728" s="327"/>
      <c r="AK728" s="328"/>
      <c r="AL728" s="319"/>
      <c r="AM728" s="319"/>
      <c r="AN728" s="319"/>
      <c r="AO728" s="319"/>
      <c r="AP728" s="319"/>
      <c r="AQ728" s="319"/>
      <c r="AR728" s="319"/>
      <c r="AS728" s="327"/>
      <c r="AT728" s="461" t="s">
        <v>183</v>
      </c>
      <c r="AU728" s="324" t="s">
        <v>845</v>
      </c>
      <c r="AV728" s="330">
        <f>SQRT(($R728-Infrastructure!J$3)^2+($S728-Infrastructure!K$3)^2)</f>
        <v>31.28466078</v>
      </c>
      <c r="AW728" s="331">
        <f>SQRT(($R728-Infrastructure!J$4)^2+($S728-Infrastructure!K$4)^2)</f>
        <v>25.99423013</v>
      </c>
      <c r="AX728" s="331">
        <f>SQRT(($R728-Infrastructure!J$5)^2+($S728-Infrastructure!K$5)^2)</f>
        <v>25.12468905</v>
      </c>
      <c r="AY728" s="331">
        <f>SQRT(($R728-Infrastructure!J$6)^2+($S728-Infrastructure!K$6)^2)</f>
        <v>17.11286066</v>
      </c>
      <c r="AZ728" s="331">
        <f>SQRT(($R728-Infrastructure!J$7)^2+($S728-Infrastructure!K$7)^2)</f>
        <v>10.17693471</v>
      </c>
      <c r="BA728" s="331">
        <f>SQRT(($R728-Infrastructure!J$8)^2+($S728-Infrastructure!K$8)^2)</f>
        <v>10.9931797</v>
      </c>
      <c r="BB728" s="331">
        <f>SQRT(($R728-Infrastructure!J$9)^2+($S728-Infrastructure!K$9)^2)</f>
        <v>16.26407083</v>
      </c>
      <c r="BC728" s="331">
        <f>SQRT(($R728-Infrastructure!J$10)^2+($S728-Infrastructure!K$10)^2)</f>
        <v>16.47573974</v>
      </c>
      <c r="BD728" s="318"/>
      <c r="BE728" s="332"/>
      <c r="BF728" s="330">
        <f t="shared" si="14"/>
        <v>10.17693471</v>
      </c>
      <c r="BG728" s="333">
        <f t="shared" si="15"/>
        <v>31.28466078</v>
      </c>
      <c r="BH728" s="334"/>
      <c r="BI728" s="462" t="s">
        <v>846</v>
      </c>
      <c r="BJ728" s="319" t="s">
        <v>846</v>
      </c>
      <c r="BK728" s="319" t="s">
        <v>846</v>
      </c>
      <c r="BL728" s="788" t="s">
        <v>845</v>
      </c>
      <c r="BM728" s="319" t="s">
        <v>846</v>
      </c>
      <c r="BN728" s="788" t="s">
        <v>845</v>
      </c>
      <c r="BO728" s="319" t="s">
        <v>846</v>
      </c>
      <c r="BP728" s="319" t="s">
        <v>846</v>
      </c>
      <c r="BQ728" s="788" t="s">
        <v>845</v>
      </c>
      <c r="BR728" s="789" t="s">
        <v>845</v>
      </c>
      <c r="BS728" s="330">
        <f t="shared" si="23"/>
        <v>10.17693471</v>
      </c>
      <c r="BT728" s="331">
        <f t="shared" si="24"/>
        <v>31.28466078</v>
      </c>
      <c r="BU728" s="331"/>
      <c r="BV728" s="333"/>
      <c r="BW728" s="614">
        <v>16.6</v>
      </c>
      <c r="BX728" s="615">
        <v>11.1</v>
      </c>
      <c r="BY728" s="331">
        <f t="shared" si="38"/>
        <v>7.924645102</v>
      </c>
      <c r="BZ728" s="340"/>
      <c r="CA728" s="462" t="s">
        <v>846</v>
      </c>
      <c r="CB728" s="319" t="s">
        <v>846</v>
      </c>
      <c r="CC728" s="319" t="s">
        <v>846</v>
      </c>
      <c r="CD728" s="319" t="s">
        <v>846</v>
      </c>
      <c r="CE728" s="319" t="s">
        <v>846</v>
      </c>
      <c r="CF728" s="338"/>
      <c r="CG728" s="319" t="s">
        <v>846</v>
      </c>
      <c r="CH728" s="319" t="s">
        <v>846</v>
      </c>
      <c r="CI728" s="338"/>
      <c r="CJ728" s="341"/>
      <c r="CK728" s="342">
        <f t="shared" si="18"/>
        <v>10.17693471</v>
      </c>
      <c r="CL728" s="333">
        <f t="shared" si="19"/>
        <v>31.28466078</v>
      </c>
      <c r="CM728" s="702"/>
      <c r="CN728" s="595"/>
      <c r="CO728" s="595"/>
      <c r="CP728" s="595"/>
    </row>
    <row r="729">
      <c r="B729" s="462" t="s">
        <v>1259</v>
      </c>
      <c r="C729" s="417">
        <v>44258.0</v>
      </c>
      <c r="D729" s="318"/>
      <c r="E729" s="319">
        <v>31.0</v>
      </c>
      <c r="F729" s="324" t="s">
        <v>1324</v>
      </c>
      <c r="G729" s="321">
        <v>0.6458912037037037</v>
      </c>
      <c r="H729" s="323">
        <v>0.6465277777777778</v>
      </c>
      <c r="I729" s="323"/>
      <c r="J729" s="323"/>
      <c r="K729" s="323">
        <v>0.6493055555555556</v>
      </c>
      <c r="L729" s="323">
        <v>0.002777777777777778</v>
      </c>
      <c r="M729" s="326" t="s">
        <v>166</v>
      </c>
      <c r="N729" s="324" t="s">
        <v>187</v>
      </c>
      <c r="O729" s="419" t="s">
        <v>201</v>
      </c>
      <c r="P729" s="319" t="s">
        <v>212</v>
      </c>
      <c r="Q729" s="319" t="s">
        <v>851</v>
      </c>
      <c r="R729" s="326">
        <v>16.3</v>
      </c>
      <c r="S729" s="319">
        <v>6.5</v>
      </c>
      <c r="T729" s="324">
        <v>0.55</v>
      </c>
      <c r="U729" s="319">
        <v>2.0</v>
      </c>
      <c r="V729" s="319"/>
      <c r="W729" s="319"/>
      <c r="X729" s="319"/>
      <c r="Y729" s="319"/>
      <c r="Z729" s="319" t="s">
        <v>339</v>
      </c>
      <c r="AA729" s="319"/>
      <c r="AB729" s="319" t="s">
        <v>345</v>
      </c>
      <c r="AC729" s="327">
        <v>4.0</v>
      </c>
      <c r="AD729" s="319"/>
      <c r="AE729" s="319"/>
      <c r="AF729" s="319"/>
      <c r="AG729" s="319"/>
      <c r="AH729" s="319"/>
      <c r="AI729" s="319"/>
      <c r="AJ729" s="327"/>
      <c r="AK729" s="328"/>
      <c r="AL729" s="319"/>
      <c r="AM729" s="319"/>
      <c r="AN729" s="319"/>
      <c r="AO729" s="319"/>
      <c r="AP729" s="319"/>
      <c r="AQ729" s="319"/>
      <c r="AR729" s="319"/>
      <c r="AS729" s="327"/>
      <c r="AT729" s="461" t="s">
        <v>182</v>
      </c>
      <c r="AU729" s="324" t="s">
        <v>845</v>
      </c>
      <c r="AV729" s="330">
        <f>SQRT(($R729-Infrastructure!J$3)^2+($S729-Infrastructure!K$3)^2)</f>
        <v>27.88045911</v>
      </c>
      <c r="AW729" s="331">
        <f>SQRT(($R729-Infrastructure!J$4)^2+($S729-Infrastructure!K$4)^2)</f>
        <v>20.08108563</v>
      </c>
      <c r="AX729" s="331">
        <f>SQRT(($R729-Infrastructure!J$5)^2+($S729-Infrastructure!K$5)^2)</f>
        <v>16.65893154</v>
      </c>
      <c r="AY729" s="331">
        <f>SQRT(($R729-Infrastructure!J$6)^2+($S729-Infrastructure!K$6)^2)</f>
        <v>8.768124087</v>
      </c>
      <c r="AZ729" s="331">
        <f>SQRT(($R729-Infrastructure!J$7)^2+($S729-Infrastructure!K$7)^2)</f>
        <v>7.488658091</v>
      </c>
      <c r="BA729" s="331">
        <f>SQRT(($R729-Infrastructure!J$8)^2+($S729-Infrastructure!K$8)^2)</f>
        <v>15.12878052</v>
      </c>
      <c r="BB729" s="331">
        <f>SQRT(($R729-Infrastructure!J$9)^2+($S729-Infrastructure!K$9)^2)</f>
        <v>23.7413142</v>
      </c>
      <c r="BC729" s="331">
        <f>SQRT(($R729-Infrastructure!J$10)^2+($S729-Infrastructure!K$10)^2)</f>
        <v>25.17816514</v>
      </c>
      <c r="BD729" s="318"/>
      <c r="BE729" s="332"/>
      <c r="BF729" s="330">
        <f t="shared" si="14"/>
        <v>7.488658091</v>
      </c>
      <c r="BG729" s="333">
        <f t="shared" si="15"/>
        <v>27.88045911</v>
      </c>
      <c r="BH729" s="334"/>
      <c r="BI729" s="462" t="s">
        <v>845</v>
      </c>
      <c r="BJ729" s="319" t="s">
        <v>845</v>
      </c>
      <c r="BK729" s="319" t="s">
        <v>846</v>
      </c>
      <c r="BL729" s="788" t="s">
        <v>845</v>
      </c>
      <c r="BM729" s="319" t="s">
        <v>846</v>
      </c>
      <c r="BN729" s="788" t="s">
        <v>845</v>
      </c>
      <c r="BO729" s="319" t="s">
        <v>845</v>
      </c>
      <c r="BP729" s="319" t="s">
        <v>845</v>
      </c>
      <c r="BQ729" s="788" t="s">
        <v>845</v>
      </c>
      <c r="BR729" s="789" t="s">
        <v>845</v>
      </c>
      <c r="BS729" s="330">
        <f t="shared" si="23"/>
        <v>7.488658091</v>
      </c>
      <c r="BT729" s="331">
        <f t="shared" si="24"/>
        <v>16.65893154</v>
      </c>
      <c r="BU729" s="331"/>
      <c r="BV729" s="333"/>
      <c r="BW729" s="614">
        <v>11.0</v>
      </c>
      <c r="BX729" s="615">
        <v>6.0</v>
      </c>
      <c r="BY729" s="331">
        <f t="shared" si="38"/>
        <v>5.323532662</v>
      </c>
      <c r="BZ729" s="340"/>
      <c r="CA729" s="462" t="s">
        <v>846</v>
      </c>
      <c r="CB729" s="319" t="s">
        <v>846</v>
      </c>
      <c r="CC729" s="319" t="s">
        <v>846</v>
      </c>
      <c r="CD729" s="319" t="s">
        <v>846</v>
      </c>
      <c r="CE729" s="319" t="s">
        <v>846</v>
      </c>
      <c r="CF729" s="338"/>
      <c r="CG729" s="319" t="s">
        <v>846</v>
      </c>
      <c r="CH729" s="319" t="s">
        <v>846</v>
      </c>
      <c r="CI729" s="338"/>
      <c r="CJ729" s="341"/>
      <c r="CK729" s="342">
        <f t="shared" si="18"/>
        <v>7.488658091</v>
      </c>
      <c r="CL729" s="333">
        <f t="shared" si="19"/>
        <v>27.88045911</v>
      </c>
      <c r="CM729" s="702"/>
      <c r="CN729" s="595"/>
      <c r="CO729" s="595"/>
      <c r="CP729" s="595"/>
    </row>
    <row r="730">
      <c r="B730" s="462" t="s">
        <v>1259</v>
      </c>
      <c r="C730" s="417">
        <v>44258.0</v>
      </c>
      <c r="D730" s="318"/>
      <c r="E730" s="319">
        <v>32.0</v>
      </c>
      <c r="F730" s="324" t="s">
        <v>1325</v>
      </c>
      <c r="G730" s="321">
        <v>0.6508101851851852</v>
      </c>
      <c r="H730" s="323">
        <v>0.6515625</v>
      </c>
      <c r="I730" s="323"/>
      <c r="J730" s="323"/>
      <c r="K730" s="323">
        <v>0.6543402777777778</v>
      </c>
      <c r="L730" s="323">
        <v>0.002777777777777778</v>
      </c>
      <c r="M730" s="326" t="s">
        <v>166</v>
      </c>
      <c r="N730" s="324" t="s">
        <v>187</v>
      </c>
      <c r="O730" s="419" t="s">
        <v>201</v>
      </c>
      <c r="P730" s="319" t="s">
        <v>212</v>
      </c>
      <c r="Q730" s="319" t="s">
        <v>851</v>
      </c>
      <c r="R730" s="326">
        <v>16.3</v>
      </c>
      <c r="S730" s="319">
        <v>6.5</v>
      </c>
      <c r="T730" s="324">
        <v>0.55</v>
      </c>
      <c r="U730" s="319">
        <v>2.5</v>
      </c>
      <c r="V730" s="319"/>
      <c r="W730" s="319"/>
      <c r="X730" s="319"/>
      <c r="Y730" s="319"/>
      <c r="Z730" s="319" t="s">
        <v>339</v>
      </c>
      <c r="AA730" s="319"/>
      <c r="AB730" s="319" t="s">
        <v>337</v>
      </c>
      <c r="AC730" s="327">
        <v>2.5</v>
      </c>
      <c r="AD730" s="319"/>
      <c r="AE730" s="319"/>
      <c r="AF730" s="319"/>
      <c r="AG730" s="319"/>
      <c r="AH730" s="319"/>
      <c r="AI730" s="319"/>
      <c r="AJ730" s="327"/>
      <c r="AK730" s="328"/>
      <c r="AL730" s="319"/>
      <c r="AM730" s="319"/>
      <c r="AN730" s="319"/>
      <c r="AO730" s="319"/>
      <c r="AP730" s="319"/>
      <c r="AQ730" s="319"/>
      <c r="AR730" s="319"/>
      <c r="AS730" s="327"/>
      <c r="AT730" s="461" t="s">
        <v>182</v>
      </c>
      <c r="AU730" s="324" t="s">
        <v>845</v>
      </c>
      <c r="AV730" s="330">
        <f>SQRT(($R730-Infrastructure!J$3)^2+($S730-Infrastructure!K$3)^2)</f>
        <v>27.88045911</v>
      </c>
      <c r="AW730" s="331">
        <f>SQRT(($R730-Infrastructure!J$4)^2+($S730-Infrastructure!K$4)^2)</f>
        <v>20.08108563</v>
      </c>
      <c r="AX730" s="331">
        <f>SQRT(($R730-Infrastructure!J$5)^2+($S730-Infrastructure!K$5)^2)</f>
        <v>16.65893154</v>
      </c>
      <c r="AY730" s="331">
        <f>SQRT(($R730-Infrastructure!J$6)^2+($S730-Infrastructure!K$6)^2)</f>
        <v>8.768124087</v>
      </c>
      <c r="AZ730" s="331">
        <f>SQRT(($R730-Infrastructure!J$7)^2+($S730-Infrastructure!K$7)^2)</f>
        <v>7.488658091</v>
      </c>
      <c r="BA730" s="331">
        <f>SQRT(($R730-Infrastructure!J$8)^2+($S730-Infrastructure!K$8)^2)</f>
        <v>15.12878052</v>
      </c>
      <c r="BB730" s="331">
        <f>SQRT(($R730-Infrastructure!J$9)^2+($S730-Infrastructure!K$9)^2)</f>
        <v>23.7413142</v>
      </c>
      <c r="BC730" s="331">
        <f>SQRT(($R730-Infrastructure!J$10)^2+($S730-Infrastructure!K$10)^2)</f>
        <v>25.17816514</v>
      </c>
      <c r="BD730" s="318"/>
      <c r="BE730" s="332"/>
      <c r="BF730" s="330">
        <f t="shared" si="14"/>
        <v>7.488658091</v>
      </c>
      <c r="BG730" s="333">
        <f t="shared" si="15"/>
        <v>27.88045911</v>
      </c>
      <c r="BH730" s="334"/>
      <c r="BI730" s="462" t="s">
        <v>846</v>
      </c>
      <c r="BJ730" s="319" t="s">
        <v>846</v>
      </c>
      <c r="BK730" s="319" t="s">
        <v>846</v>
      </c>
      <c r="BL730" s="788" t="s">
        <v>845</v>
      </c>
      <c r="BM730" s="319" t="s">
        <v>846</v>
      </c>
      <c r="BN730" s="788" t="s">
        <v>845</v>
      </c>
      <c r="BO730" s="319" t="s">
        <v>846</v>
      </c>
      <c r="BP730" s="319" t="s">
        <v>846</v>
      </c>
      <c r="BQ730" s="788" t="s">
        <v>845</v>
      </c>
      <c r="BR730" s="789" t="s">
        <v>845</v>
      </c>
      <c r="BS730" s="330">
        <f t="shared" si="23"/>
        <v>7.488658091</v>
      </c>
      <c r="BT730" s="331">
        <f t="shared" si="24"/>
        <v>27.88045911</v>
      </c>
      <c r="BU730" s="331"/>
      <c r="BV730" s="333"/>
      <c r="BW730" s="614">
        <v>16.9</v>
      </c>
      <c r="BX730" s="615">
        <v>9.9</v>
      </c>
      <c r="BY730" s="331">
        <f t="shared" si="38"/>
        <v>3.4525353</v>
      </c>
      <c r="BZ730" s="340"/>
      <c r="CA730" s="462" t="s">
        <v>846</v>
      </c>
      <c r="CB730" s="319" t="s">
        <v>846</v>
      </c>
      <c r="CC730" s="319" t="s">
        <v>846</v>
      </c>
      <c r="CD730" s="319" t="s">
        <v>846</v>
      </c>
      <c r="CE730" s="319" t="s">
        <v>846</v>
      </c>
      <c r="CF730" s="338"/>
      <c r="CG730" s="319" t="s">
        <v>846</v>
      </c>
      <c r="CH730" s="319" t="s">
        <v>846</v>
      </c>
      <c r="CI730" s="338"/>
      <c r="CJ730" s="341"/>
      <c r="CK730" s="342">
        <f t="shared" si="18"/>
        <v>7.488658091</v>
      </c>
      <c r="CL730" s="333">
        <f t="shared" si="19"/>
        <v>27.88045911</v>
      </c>
      <c r="CM730" s="702"/>
      <c r="CN730" s="595"/>
      <c r="CO730" s="595"/>
      <c r="CP730" s="595"/>
    </row>
    <row r="731">
      <c r="B731" s="462" t="s">
        <v>1259</v>
      </c>
      <c r="C731" s="417">
        <v>44258.0</v>
      </c>
      <c r="D731" s="318"/>
      <c r="E731" s="319">
        <v>33.0</v>
      </c>
      <c r="F731" s="324" t="s">
        <v>1326</v>
      </c>
      <c r="G731" s="321">
        <v>0.6594328703703703</v>
      </c>
      <c r="H731" s="323">
        <v>0.6597222222222222</v>
      </c>
      <c r="I731" s="323"/>
      <c r="J731" s="323"/>
      <c r="K731" s="323">
        <v>0.6625</v>
      </c>
      <c r="L731" s="323">
        <v>0.002777777777777778</v>
      </c>
      <c r="M731" s="326" t="s">
        <v>166</v>
      </c>
      <c r="N731" s="324" t="s">
        <v>187</v>
      </c>
      <c r="O731" s="419" t="s">
        <v>203</v>
      </c>
      <c r="P731" s="319" t="s">
        <v>211</v>
      </c>
      <c r="Q731" s="319" t="s">
        <v>851</v>
      </c>
      <c r="R731" s="326">
        <v>14.8</v>
      </c>
      <c r="S731" s="319">
        <v>2.4</v>
      </c>
      <c r="T731" s="324">
        <v>1.1</v>
      </c>
      <c r="U731" s="319">
        <v>0.3</v>
      </c>
      <c r="V731" s="319"/>
      <c r="W731" s="319"/>
      <c r="X731" s="319"/>
      <c r="Y731" s="319"/>
      <c r="Z731" s="319" t="s">
        <v>357</v>
      </c>
      <c r="AA731" s="319"/>
      <c r="AB731" s="319" t="s">
        <v>371</v>
      </c>
      <c r="AC731" s="327">
        <v>1.8</v>
      </c>
      <c r="AD731" s="319"/>
      <c r="AE731" s="319"/>
      <c r="AF731" s="319"/>
      <c r="AG731" s="319"/>
      <c r="AH731" s="319"/>
      <c r="AI731" s="319"/>
      <c r="AJ731" s="327"/>
      <c r="AK731" s="328"/>
      <c r="AL731" s="319"/>
      <c r="AM731" s="319"/>
      <c r="AN731" s="319"/>
      <c r="AO731" s="319"/>
      <c r="AP731" s="319"/>
      <c r="AQ731" s="319"/>
      <c r="AR731" s="319"/>
      <c r="AS731" s="327"/>
      <c r="AT731" s="461" t="s">
        <v>181</v>
      </c>
      <c r="AU731" s="324" t="s">
        <v>845</v>
      </c>
      <c r="AV731" s="330">
        <f>SQRT(($R731-Infrastructure!J$3)^2+($S731-Infrastructure!K$3)^2)</f>
        <v>30.50016393</v>
      </c>
      <c r="AW731" s="331">
        <f>SQRT(($R731-Infrastructure!J$4)^2+($S731-Infrastructure!K$4)^2)</f>
        <v>21.56780007</v>
      </c>
      <c r="AX731" s="331">
        <f>SQRT(($R731-Infrastructure!J$5)^2+($S731-Infrastructure!K$5)^2)</f>
        <v>15.33949152</v>
      </c>
      <c r="AY731" s="331">
        <f>SQRT(($R731-Infrastructure!J$6)^2+($S731-Infrastructure!K$6)^2)</f>
        <v>5.14781507</v>
      </c>
      <c r="AZ731" s="331">
        <f>SQRT(($R731-Infrastructure!J$7)^2+($S731-Infrastructure!K$7)^2)</f>
        <v>6.074537019</v>
      </c>
      <c r="BA731" s="331">
        <f>SQRT(($R731-Infrastructure!J$8)^2+($S731-Infrastructure!K$8)^2)</f>
        <v>15.44344521</v>
      </c>
      <c r="BB731" s="331">
        <f>SQRT(($R731-Infrastructure!J$9)^2+($S731-Infrastructure!K$9)^2)</f>
        <v>25.34423011</v>
      </c>
      <c r="BC731" s="331">
        <f>SQRT(($R731-Infrastructure!J$10)^2+($S731-Infrastructure!K$10)^2)</f>
        <v>28.17445652</v>
      </c>
      <c r="BD731" s="318"/>
      <c r="BE731" s="332"/>
      <c r="BF731" s="330">
        <f t="shared" si="14"/>
        <v>5.14781507</v>
      </c>
      <c r="BG731" s="333">
        <f t="shared" si="15"/>
        <v>30.50016393</v>
      </c>
      <c r="BH731" s="334"/>
      <c r="BI731" s="462" t="s">
        <v>845</v>
      </c>
      <c r="BJ731" s="319" t="s">
        <v>845</v>
      </c>
      <c r="BK731" s="319" t="s">
        <v>845</v>
      </c>
      <c r="BL731" s="788" t="s">
        <v>845</v>
      </c>
      <c r="BM731" s="319" t="s">
        <v>846</v>
      </c>
      <c r="BN731" s="788" t="s">
        <v>845</v>
      </c>
      <c r="BO731" s="319" t="s">
        <v>845</v>
      </c>
      <c r="BP731" s="319" t="s">
        <v>845</v>
      </c>
      <c r="BQ731" s="788" t="s">
        <v>845</v>
      </c>
      <c r="BR731" s="789" t="s">
        <v>845</v>
      </c>
      <c r="BS731" s="330">
        <f t="shared" si="23"/>
        <v>6.074537019</v>
      </c>
      <c r="BT731" s="331">
        <f t="shared" si="24"/>
        <v>6.074537019</v>
      </c>
      <c r="BU731" s="331"/>
      <c r="BV731" s="333"/>
      <c r="BW731" s="330"/>
      <c r="BX731" s="331"/>
      <c r="BY731" s="331" t="b">
        <f t="shared" si="38"/>
        <v>0</v>
      </c>
      <c r="BZ731" s="340"/>
      <c r="CA731" s="316"/>
      <c r="CB731" s="318"/>
      <c r="CC731" s="319" t="s">
        <v>846</v>
      </c>
      <c r="CD731" s="319" t="s">
        <v>846</v>
      </c>
      <c r="CE731" s="319" t="s">
        <v>846</v>
      </c>
      <c r="CF731" s="338"/>
      <c r="CG731" s="319" t="s">
        <v>846</v>
      </c>
      <c r="CH731" s="318"/>
      <c r="CI731" s="338"/>
      <c r="CJ731" s="341"/>
      <c r="CK731" s="342">
        <f t="shared" si="18"/>
        <v>5.14781507</v>
      </c>
      <c r="CL731" s="333">
        <f t="shared" si="19"/>
        <v>25.34423011</v>
      </c>
      <c r="CM731" s="702"/>
      <c r="CN731" s="595"/>
      <c r="CO731" s="595"/>
      <c r="CP731" s="595"/>
    </row>
    <row r="732">
      <c r="B732" s="462" t="s">
        <v>1259</v>
      </c>
      <c r="C732" s="417">
        <v>44258.0</v>
      </c>
      <c r="D732" s="318"/>
      <c r="E732" s="319" t="s">
        <v>1327</v>
      </c>
      <c r="F732" s="324" t="s">
        <v>1328</v>
      </c>
      <c r="G732" s="321">
        <v>0.6666666666666666</v>
      </c>
      <c r="H732" s="323">
        <v>0.6673032407407408</v>
      </c>
      <c r="I732" s="323"/>
      <c r="J732" s="323"/>
      <c r="K732" s="323">
        <v>0.6704861111111111</v>
      </c>
      <c r="L732" s="323">
        <v>0.00318287037037037</v>
      </c>
      <c r="M732" s="326" t="s">
        <v>166</v>
      </c>
      <c r="N732" s="324" t="s">
        <v>187</v>
      </c>
      <c r="O732" s="419" t="s">
        <v>203</v>
      </c>
      <c r="P732" s="319" t="s">
        <v>227</v>
      </c>
      <c r="Q732" s="318"/>
      <c r="R732" s="326">
        <v>15.2</v>
      </c>
      <c r="S732" s="319">
        <v>3.4</v>
      </c>
      <c r="T732" s="324">
        <v>1.9</v>
      </c>
      <c r="U732" s="319">
        <v>2.5</v>
      </c>
      <c r="V732" s="319"/>
      <c r="W732" s="319"/>
      <c r="X732" s="319"/>
      <c r="Y732" s="319"/>
      <c r="Z732" s="319" t="s">
        <v>357</v>
      </c>
      <c r="AA732" s="319"/>
      <c r="AB732" s="319" t="s">
        <v>384</v>
      </c>
      <c r="AC732" s="327">
        <v>6.0</v>
      </c>
      <c r="AD732" s="319"/>
      <c r="AE732" s="319"/>
      <c r="AF732" s="319"/>
      <c r="AG732" s="319"/>
      <c r="AH732" s="319"/>
      <c r="AI732" s="319"/>
      <c r="AJ732" s="327"/>
      <c r="AK732" s="328"/>
      <c r="AL732" s="319"/>
      <c r="AM732" s="319"/>
      <c r="AN732" s="319"/>
      <c r="AO732" s="319"/>
      <c r="AP732" s="319"/>
      <c r="AQ732" s="319"/>
      <c r="AR732" s="319"/>
      <c r="AS732" s="327"/>
      <c r="AT732" s="461" t="s">
        <v>182</v>
      </c>
      <c r="AU732" s="324" t="s">
        <v>846</v>
      </c>
      <c r="AV732" s="330">
        <f>SQRT(($R732-Infrastructure!J$3)^2+($S732-Infrastructure!K$3)^2)</f>
        <v>29.84124662</v>
      </c>
      <c r="AW732" s="331">
        <f>SQRT(($R732-Infrastructure!J$4)^2+($S732-Infrastructure!K$4)^2)</f>
        <v>21.1567956</v>
      </c>
      <c r="AX732" s="331">
        <f>SQRT(($R732-Infrastructure!J$5)^2+($S732-Infrastructure!K$5)^2)</f>
        <v>15.59294712</v>
      </c>
      <c r="AY732" s="331">
        <f>SQRT(($R732-Infrastructure!J$6)^2+($S732-Infrastructure!K$6)^2)</f>
        <v>5.968249325</v>
      </c>
      <c r="AZ732" s="331">
        <f>SQRT(($R732-Infrastructure!J$7)^2+($S732-Infrastructure!K$7)^2)</f>
        <v>6.140032573</v>
      </c>
      <c r="BA732" s="331">
        <f>SQRT(($R732-Infrastructure!J$8)^2+($S732-Infrastructure!K$8)^2)</f>
        <v>15.21906699</v>
      </c>
      <c r="BB732" s="331">
        <f>SQRT(($R732-Infrastructure!J$9)^2+($S732-Infrastructure!K$9)^2)</f>
        <v>24.85819784</v>
      </c>
      <c r="BC732" s="331">
        <f>SQRT(($R732-Infrastructure!J$10)^2+($S732-Infrastructure!K$10)^2)</f>
        <v>27.37882393</v>
      </c>
      <c r="BD732" s="318"/>
      <c r="BE732" s="332"/>
      <c r="BF732" s="330">
        <f t="shared" si="14"/>
        <v>5.968249325</v>
      </c>
      <c r="BG732" s="333">
        <f t="shared" si="15"/>
        <v>29.84124662</v>
      </c>
      <c r="BH732" s="334"/>
      <c r="BI732" s="462" t="s">
        <v>845</v>
      </c>
      <c r="BJ732" s="319" t="s">
        <v>845</v>
      </c>
      <c r="BK732" s="319" t="s">
        <v>845</v>
      </c>
      <c r="BL732" s="788" t="s">
        <v>845</v>
      </c>
      <c r="BM732" s="319" t="s">
        <v>846</v>
      </c>
      <c r="BN732" s="788" t="s">
        <v>845</v>
      </c>
      <c r="BO732" s="319" t="s">
        <v>845</v>
      </c>
      <c r="BP732" s="319" t="s">
        <v>845</v>
      </c>
      <c r="BQ732" s="788" t="s">
        <v>845</v>
      </c>
      <c r="BR732" s="789" t="s">
        <v>845</v>
      </c>
      <c r="BS732" s="330">
        <f t="shared" si="23"/>
        <v>6.140032573</v>
      </c>
      <c r="BT732" s="331">
        <f t="shared" si="24"/>
        <v>6.140032573</v>
      </c>
      <c r="BU732" s="331"/>
      <c r="BV732" s="333"/>
      <c r="BW732" s="330"/>
      <c r="BX732" s="331"/>
      <c r="BY732" s="331" t="b">
        <f t="shared" si="38"/>
        <v>0</v>
      </c>
      <c r="BZ732" s="340"/>
      <c r="CA732" s="462" t="s">
        <v>846</v>
      </c>
      <c r="CB732" s="319" t="s">
        <v>846</v>
      </c>
      <c r="CC732" s="319" t="s">
        <v>846</v>
      </c>
      <c r="CD732" s="319" t="s">
        <v>846</v>
      </c>
      <c r="CE732" s="319" t="s">
        <v>846</v>
      </c>
      <c r="CF732" s="338"/>
      <c r="CG732" s="319" t="s">
        <v>846</v>
      </c>
      <c r="CH732" s="319" t="s">
        <v>846</v>
      </c>
      <c r="CI732" s="338"/>
      <c r="CJ732" s="341"/>
      <c r="CK732" s="342">
        <f t="shared" si="18"/>
        <v>5.968249325</v>
      </c>
      <c r="CL732" s="333">
        <f t="shared" si="19"/>
        <v>29.84124662</v>
      </c>
      <c r="CM732" s="702"/>
      <c r="CN732" s="595"/>
      <c r="CO732" s="595"/>
      <c r="CP732" s="595"/>
    </row>
    <row r="733">
      <c r="B733" s="462" t="s">
        <v>1259</v>
      </c>
      <c r="C733" s="417">
        <v>44258.0</v>
      </c>
      <c r="D733" s="318"/>
      <c r="E733" s="319" t="s">
        <v>1329</v>
      </c>
      <c r="F733" s="324" t="s">
        <v>1330</v>
      </c>
      <c r="G733" s="657"/>
      <c r="H733" s="322"/>
      <c r="I733" s="322"/>
      <c r="J733" s="322"/>
      <c r="K733" s="322"/>
      <c r="L733" s="322"/>
      <c r="M733" s="457"/>
      <c r="N733" s="324" t="s">
        <v>188</v>
      </c>
      <c r="O733" s="419" t="s">
        <v>378</v>
      </c>
      <c r="P733" s="319" t="s">
        <v>225</v>
      </c>
      <c r="Q733" s="319" t="s">
        <v>842</v>
      </c>
      <c r="R733" s="326">
        <v>22.4</v>
      </c>
      <c r="S733" s="319">
        <v>39.6</v>
      </c>
      <c r="T733" s="324">
        <v>1.0</v>
      </c>
      <c r="U733" s="319">
        <v>10.0</v>
      </c>
      <c r="V733" s="319"/>
      <c r="W733" s="319"/>
      <c r="X733" s="319"/>
      <c r="Y733" s="319"/>
      <c r="Z733" s="319" t="s">
        <v>1140</v>
      </c>
      <c r="AA733" s="319"/>
      <c r="AB733" s="319" t="s">
        <v>410</v>
      </c>
      <c r="AC733" s="327">
        <v>22.1</v>
      </c>
      <c r="AD733" s="319"/>
      <c r="AE733" s="319"/>
      <c r="AF733" s="319"/>
      <c r="AG733" s="319"/>
      <c r="AH733" s="319"/>
      <c r="AI733" s="319"/>
      <c r="AJ733" s="327"/>
      <c r="AK733" s="328"/>
      <c r="AL733" s="319"/>
      <c r="AM733" s="319"/>
      <c r="AN733" s="319"/>
      <c r="AO733" s="319"/>
      <c r="AP733" s="319"/>
      <c r="AQ733" s="319"/>
      <c r="AR733" s="319"/>
      <c r="AS733" s="327"/>
      <c r="AT733" s="461" t="s">
        <v>183</v>
      </c>
      <c r="AU733" s="324" t="s">
        <v>846</v>
      </c>
      <c r="AV733" s="330">
        <f>SQRT(($R733-Infrastructure!J$3)^2+($S733-Infrastructure!K$3)^2)</f>
        <v>25.09541791</v>
      </c>
      <c r="AW733" s="331">
        <f>SQRT(($R733-Infrastructure!J$4)^2+($S733-Infrastructure!K$4)^2)</f>
        <v>31.47268657</v>
      </c>
      <c r="AX733" s="331">
        <f>SQRT(($R733-Infrastructure!J$5)^2+($S733-Infrastructure!K$5)^2)</f>
        <v>41.29818398</v>
      </c>
      <c r="AY733" s="331">
        <f>SQRT(($R733-Infrastructure!J$6)^2+($S733-Infrastructure!K$6)^2)</f>
        <v>41.17984944</v>
      </c>
      <c r="AZ733" s="331">
        <f>SQRT(($R733-Infrastructure!J$7)^2+($S733-Infrastructure!K$7)^2)</f>
        <v>39.34590195</v>
      </c>
      <c r="BA733" s="331">
        <f>SQRT(($R733-Infrastructure!J$8)^2+($S733-Infrastructure!K$8)^2)</f>
        <v>40.04722213</v>
      </c>
      <c r="BB733" s="331">
        <f>SQRT(($R733-Infrastructure!J$9)^2+($S733-Infrastructure!K$9)^2)</f>
        <v>38.72996256</v>
      </c>
      <c r="BC733" s="331">
        <f>SQRT(($R733-Infrastructure!J$10)^2+($S733-Infrastructure!K$10)^2)</f>
        <v>30.24764454</v>
      </c>
      <c r="BD733" s="318"/>
      <c r="BE733" s="332"/>
      <c r="BF733" s="330">
        <f t="shared" si="14"/>
        <v>25.09541791</v>
      </c>
      <c r="BG733" s="333">
        <f t="shared" si="15"/>
        <v>41.29818398</v>
      </c>
      <c r="BH733" s="334"/>
      <c r="BI733" s="462" t="s">
        <v>845</v>
      </c>
      <c r="BJ733" s="319" t="s">
        <v>845</v>
      </c>
      <c r="BK733" s="319" t="s">
        <v>845</v>
      </c>
      <c r="BL733" s="788" t="s">
        <v>845</v>
      </c>
      <c r="BM733" s="319" t="s">
        <v>845</v>
      </c>
      <c r="BN733" s="788" t="s">
        <v>845</v>
      </c>
      <c r="BO733" s="319" t="s">
        <v>845</v>
      </c>
      <c r="BP733" s="319" t="s">
        <v>845</v>
      </c>
      <c r="BQ733" s="788" t="s">
        <v>845</v>
      </c>
      <c r="BR733" s="789" t="s">
        <v>845</v>
      </c>
      <c r="BS733" s="330">
        <f t="shared" si="23"/>
        <v>0</v>
      </c>
      <c r="BT733" s="331">
        <f t="shared" si="24"/>
        <v>0</v>
      </c>
      <c r="BU733" s="331"/>
      <c r="BV733" s="333"/>
      <c r="BW733" s="330"/>
      <c r="BX733" s="331"/>
      <c r="BY733" s="331" t="b">
        <f t="shared" si="38"/>
        <v>0</v>
      </c>
      <c r="BZ733" s="340"/>
      <c r="CA733" s="316"/>
      <c r="CB733" s="318"/>
      <c r="CC733" s="318"/>
      <c r="CD733" s="319" t="s">
        <v>846</v>
      </c>
      <c r="CE733" s="319" t="s">
        <v>846</v>
      </c>
      <c r="CF733" s="338"/>
      <c r="CG733" s="318"/>
      <c r="CH733" s="318"/>
      <c r="CI733" s="338"/>
      <c r="CJ733" s="341"/>
      <c r="CK733" s="342">
        <f t="shared" si="18"/>
        <v>39.34590195</v>
      </c>
      <c r="CL733" s="333">
        <f t="shared" si="19"/>
        <v>41.17984944</v>
      </c>
      <c r="CM733" s="702"/>
      <c r="CN733" s="595"/>
      <c r="CO733" s="595"/>
      <c r="CP733" s="595"/>
    </row>
    <row r="734">
      <c r="B734" s="462" t="s">
        <v>1259</v>
      </c>
      <c r="C734" s="417">
        <v>44258.0</v>
      </c>
      <c r="D734" s="318"/>
      <c r="E734" s="319">
        <v>35.0</v>
      </c>
      <c r="F734" s="324" t="s">
        <v>1331</v>
      </c>
      <c r="G734" s="321">
        <v>0.6947916666666667</v>
      </c>
      <c r="H734" s="323">
        <v>0.6956597222222223</v>
      </c>
      <c r="I734" s="323"/>
      <c r="J734" s="323"/>
      <c r="K734" s="323">
        <v>0.6970486111111112</v>
      </c>
      <c r="L734" s="323">
        <v>0.001388888888888889</v>
      </c>
      <c r="M734" s="326" t="s">
        <v>166</v>
      </c>
      <c r="N734" s="324" t="s">
        <v>188</v>
      </c>
      <c r="O734" s="419" t="s">
        <v>378</v>
      </c>
      <c r="P734" s="319" t="s">
        <v>225</v>
      </c>
      <c r="Q734" s="319" t="s">
        <v>842</v>
      </c>
      <c r="R734" s="326">
        <v>22.4</v>
      </c>
      <c r="S734" s="319">
        <v>39.6</v>
      </c>
      <c r="T734" s="324">
        <v>1.0</v>
      </c>
      <c r="U734" s="319">
        <v>1.0</v>
      </c>
      <c r="V734" s="319"/>
      <c r="W734" s="319"/>
      <c r="X734" s="319"/>
      <c r="Y734" s="319"/>
      <c r="Z734" s="319" t="s">
        <v>1221</v>
      </c>
      <c r="AA734" s="319"/>
      <c r="AB734" s="319" t="s">
        <v>398</v>
      </c>
      <c r="AC734" s="327">
        <v>6.0</v>
      </c>
      <c r="AD734" s="319"/>
      <c r="AE734" s="319"/>
      <c r="AF734" s="319"/>
      <c r="AG734" s="319"/>
      <c r="AH734" s="319"/>
      <c r="AI734" s="319"/>
      <c r="AJ734" s="327"/>
      <c r="AK734" s="328"/>
      <c r="AL734" s="319"/>
      <c r="AM734" s="319"/>
      <c r="AN734" s="319"/>
      <c r="AO734" s="319"/>
      <c r="AP734" s="319"/>
      <c r="AQ734" s="319"/>
      <c r="AR734" s="319"/>
      <c r="AS734" s="327"/>
      <c r="AT734" s="461" t="s">
        <v>182</v>
      </c>
      <c r="AU734" s="324" t="s">
        <v>845</v>
      </c>
      <c r="AV734" s="330">
        <f>SQRT(($R734-Infrastructure!J$3)^2+($S734-Infrastructure!K$3)^2)</f>
        <v>25.09541791</v>
      </c>
      <c r="AW734" s="331">
        <f>SQRT(($R734-Infrastructure!J$4)^2+($S734-Infrastructure!K$4)^2)</f>
        <v>31.47268657</v>
      </c>
      <c r="AX734" s="331">
        <f>SQRT(($R734-Infrastructure!J$5)^2+($S734-Infrastructure!K$5)^2)</f>
        <v>41.29818398</v>
      </c>
      <c r="AY734" s="331">
        <f>SQRT(($R734-Infrastructure!J$6)^2+($S734-Infrastructure!K$6)^2)</f>
        <v>41.17984944</v>
      </c>
      <c r="AZ734" s="331">
        <f>SQRT(($R734-Infrastructure!J$7)^2+($S734-Infrastructure!K$7)^2)</f>
        <v>39.34590195</v>
      </c>
      <c r="BA734" s="331">
        <f>SQRT(($R734-Infrastructure!J$8)^2+($S734-Infrastructure!K$8)^2)</f>
        <v>40.04722213</v>
      </c>
      <c r="BB734" s="331">
        <f>SQRT(($R734-Infrastructure!J$9)^2+($S734-Infrastructure!K$9)^2)</f>
        <v>38.72996256</v>
      </c>
      <c r="BC734" s="331">
        <f>SQRT(($R734-Infrastructure!J$10)^2+($S734-Infrastructure!K$10)^2)</f>
        <v>30.24764454</v>
      </c>
      <c r="BD734" s="318"/>
      <c r="BE734" s="332"/>
      <c r="BF734" s="330">
        <f t="shared" si="14"/>
        <v>25.09541791</v>
      </c>
      <c r="BG734" s="333">
        <f t="shared" si="15"/>
        <v>41.29818398</v>
      </c>
      <c r="BH734" s="334"/>
      <c r="BI734" s="462" t="s">
        <v>845</v>
      </c>
      <c r="BJ734" s="319" t="s">
        <v>845</v>
      </c>
      <c r="BK734" s="319" t="s">
        <v>845</v>
      </c>
      <c r="BL734" s="788" t="s">
        <v>845</v>
      </c>
      <c r="BM734" s="319" t="s">
        <v>845</v>
      </c>
      <c r="BN734" s="788" t="s">
        <v>845</v>
      </c>
      <c r="BO734" s="319" t="s">
        <v>845</v>
      </c>
      <c r="BP734" s="319" t="s">
        <v>845</v>
      </c>
      <c r="BQ734" s="788" t="s">
        <v>845</v>
      </c>
      <c r="BR734" s="789" t="s">
        <v>845</v>
      </c>
      <c r="BS734" s="330">
        <f t="shared" si="23"/>
        <v>0</v>
      </c>
      <c r="BT734" s="331">
        <f t="shared" si="24"/>
        <v>0</v>
      </c>
      <c r="BU734" s="331"/>
      <c r="BV734" s="333"/>
      <c r="BW734" s="330"/>
      <c r="BX734" s="331"/>
      <c r="BY734" s="331" t="b">
        <f t="shared" si="38"/>
        <v>0</v>
      </c>
      <c r="BZ734" s="340"/>
      <c r="CA734" s="316"/>
      <c r="CB734" s="318"/>
      <c r="CC734" s="318"/>
      <c r="CD734" s="319" t="s">
        <v>846</v>
      </c>
      <c r="CE734" s="319" t="s">
        <v>846</v>
      </c>
      <c r="CF734" s="338"/>
      <c r="CG734" s="318"/>
      <c r="CH734" s="318"/>
      <c r="CI734" s="338"/>
      <c r="CJ734" s="341"/>
      <c r="CK734" s="342">
        <f t="shared" si="18"/>
        <v>39.34590195</v>
      </c>
      <c r="CL734" s="333">
        <f t="shared" si="19"/>
        <v>41.17984944</v>
      </c>
      <c r="CM734" s="702"/>
      <c r="CN734" s="595"/>
      <c r="CO734" s="595"/>
      <c r="CP734" s="595"/>
    </row>
    <row r="735">
      <c r="B735" s="462" t="s">
        <v>1259</v>
      </c>
      <c r="C735" s="417">
        <v>44258.0</v>
      </c>
      <c r="D735" s="318"/>
      <c r="E735" s="319">
        <v>36.0</v>
      </c>
      <c r="F735" s="324" t="s">
        <v>1332</v>
      </c>
      <c r="G735" s="321">
        <v>0.6984375</v>
      </c>
      <c r="H735" s="323">
        <v>0.6993055555555555</v>
      </c>
      <c r="I735" s="323"/>
      <c r="J735" s="323"/>
      <c r="K735" s="323">
        <v>0.7006944444444444</v>
      </c>
      <c r="L735" s="323">
        <v>0.001388888888888889</v>
      </c>
      <c r="M735" s="326" t="s">
        <v>166</v>
      </c>
      <c r="N735" s="324" t="s">
        <v>188</v>
      </c>
      <c r="O735" s="419" t="s">
        <v>378</v>
      </c>
      <c r="P735" s="319" t="s">
        <v>225</v>
      </c>
      <c r="Q735" s="319" t="s">
        <v>842</v>
      </c>
      <c r="R735" s="326">
        <v>22.4</v>
      </c>
      <c r="S735" s="319">
        <v>39.6</v>
      </c>
      <c r="T735" s="324">
        <v>1.0</v>
      </c>
      <c r="U735" s="319">
        <v>2.0</v>
      </c>
      <c r="V735" s="319"/>
      <c r="W735" s="319"/>
      <c r="X735" s="319"/>
      <c r="Y735" s="319"/>
      <c r="Z735" s="319" t="s">
        <v>1221</v>
      </c>
      <c r="AA735" s="319"/>
      <c r="AB735" s="319" t="s">
        <v>398</v>
      </c>
      <c r="AC735" s="327">
        <v>6.0</v>
      </c>
      <c r="AD735" s="319"/>
      <c r="AE735" s="319"/>
      <c r="AF735" s="319"/>
      <c r="AG735" s="319"/>
      <c r="AH735" s="319"/>
      <c r="AI735" s="319"/>
      <c r="AJ735" s="327"/>
      <c r="AK735" s="328"/>
      <c r="AL735" s="319"/>
      <c r="AM735" s="319"/>
      <c r="AN735" s="319"/>
      <c r="AO735" s="319"/>
      <c r="AP735" s="319"/>
      <c r="AQ735" s="319"/>
      <c r="AR735" s="319"/>
      <c r="AS735" s="327"/>
      <c r="AT735" s="461" t="s">
        <v>182</v>
      </c>
      <c r="AU735" s="324" t="s">
        <v>845</v>
      </c>
      <c r="AV735" s="330">
        <f>SQRT(($R735-Infrastructure!J$3)^2+($S735-Infrastructure!K$3)^2)</f>
        <v>25.09541791</v>
      </c>
      <c r="AW735" s="331">
        <f>SQRT(($R735-Infrastructure!J$4)^2+($S735-Infrastructure!K$4)^2)</f>
        <v>31.47268657</v>
      </c>
      <c r="AX735" s="331">
        <f>SQRT(($R735-Infrastructure!J$5)^2+($S735-Infrastructure!K$5)^2)</f>
        <v>41.29818398</v>
      </c>
      <c r="AY735" s="331">
        <f>SQRT(($R735-Infrastructure!J$6)^2+($S735-Infrastructure!K$6)^2)</f>
        <v>41.17984944</v>
      </c>
      <c r="AZ735" s="331">
        <f>SQRT(($R735-Infrastructure!J$7)^2+($S735-Infrastructure!K$7)^2)</f>
        <v>39.34590195</v>
      </c>
      <c r="BA735" s="331">
        <f>SQRT(($R735-Infrastructure!J$8)^2+($S735-Infrastructure!K$8)^2)</f>
        <v>40.04722213</v>
      </c>
      <c r="BB735" s="331">
        <f>SQRT(($R735-Infrastructure!J$9)^2+($S735-Infrastructure!K$9)^2)</f>
        <v>38.72996256</v>
      </c>
      <c r="BC735" s="331">
        <f>SQRT(($R735-Infrastructure!J$10)^2+($S735-Infrastructure!K$10)^2)</f>
        <v>30.24764454</v>
      </c>
      <c r="BD735" s="318"/>
      <c r="BE735" s="332"/>
      <c r="BF735" s="330">
        <f t="shared" si="14"/>
        <v>25.09541791</v>
      </c>
      <c r="BG735" s="333">
        <f t="shared" si="15"/>
        <v>41.29818398</v>
      </c>
      <c r="BH735" s="334"/>
      <c r="BI735" s="462" t="s">
        <v>845</v>
      </c>
      <c r="BJ735" s="319" t="s">
        <v>845</v>
      </c>
      <c r="BK735" s="319" t="s">
        <v>845</v>
      </c>
      <c r="BL735" s="788" t="s">
        <v>845</v>
      </c>
      <c r="BM735" s="319" t="s">
        <v>845</v>
      </c>
      <c r="BN735" s="788" t="s">
        <v>845</v>
      </c>
      <c r="BO735" s="319" t="s">
        <v>845</v>
      </c>
      <c r="BP735" s="319" t="s">
        <v>845</v>
      </c>
      <c r="BQ735" s="788" t="s">
        <v>845</v>
      </c>
      <c r="BR735" s="789" t="s">
        <v>845</v>
      </c>
      <c r="BS735" s="330">
        <f t="shared" si="23"/>
        <v>0</v>
      </c>
      <c r="BT735" s="331">
        <f t="shared" si="24"/>
        <v>0</v>
      </c>
      <c r="BU735" s="331"/>
      <c r="BV735" s="333"/>
      <c r="BW735" s="330"/>
      <c r="BX735" s="331"/>
      <c r="BY735" s="331" t="b">
        <f t="shared" si="38"/>
        <v>0</v>
      </c>
      <c r="BZ735" s="340"/>
      <c r="CA735" s="316"/>
      <c r="CB735" s="318"/>
      <c r="CC735" s="318"/>
      <c r="CD735" s="318"/>
      <c r="CE735" s="318"/>
      <c r="CF735" s="338"/>
      <c r="CG735" s="318"/>
      <c r="CH735" s="318"/>
      <c r="CI735" s="338"/>
      <c r="CJ735" s="341"/>
      <c r="CK735" s="342">
        <f t="shared" si="18"/>
        <v>0</v>
      </c>
      <c r="CL735" s="333">
        <f t="shared" si="19"/>
        <v>0</v>
      </c>
      <c r="CM735" s="616"/>
      <c r="CN735" s="617"/>
      <c r="CO735" s="617"/>
      <c r="CP735" s="617"/>
    </row>
    <row r="736">
      <c r="B736" s="462" t="s">
        <v>1259</v>
      </c>
      <c r="C736" s="417">
        <v>44258.0</v>
      </c>
      <c r="D736" s="318"/>
      <c r="E736" s="319">
        <v>37.0</v>
      </c>
      <c r="F736" s="324" t="s">
        <v>1333</v>
      </c>
      <c r="G736" s="321">
        <v>0.7013888888888888</v>
      </c>
      <c r="H736" s="323">
        <v>0.7019097222222223</v>
      </c>
      <c r="I736" s="323"/>
      <c r="J736" s="323"/>
      <c r="K736" s="323">
        <v>0.7032986111111111</v>
      </c>
      <c r="L736" s="323">
        <v>0.001388888888888889</v>
      </c>
      <c r="M736" s="326" t="s">
        <v>166</v>
      </c>
      <c r="N736" s="324" t="s">
        <v>188</v>
      </c>
      <c r="O736" s="419" t="s">
        <v>196</v>
      </c>
      <c r="P736" s="319" t="s">
        <v>216</v>
      </c>
      <c r="Q736" s="319" t="s">
        <v>851</v>
      </c>
      <c r="R736" s="326">
        <v>21.4</v>
      </c>
      <c r="S736" s="319">
        <v>39.3</v>
      </c>
      <c r="T736" s="324">
        <v>1.8</v>
      </c>
      <c r="U736" s="319">
        <v>25.0</v>
      </c>
      <c r="V736" s="319"/>
      <c r="W736" s="319"/>
      <c r="X736" s="319"/>
      <c r="Y736" s="319"/>
      <c r="Z736" s="319" t="s">
        <v>387</v>
      </c>
      <c r="AA736" s="319"/>
      <c r="AB736" s="319" t="s">
        <v>413</v>
      </c>
      <c r="AC736" s="327">
        <v>26.6</v>
      </c>
      <c r="AD736" s="319"/>
      <c r="AE736" s="319"/>
      <c r="AF736" s="319"/>
      <c r="AG736" s="319"/>
      <c r="AH736" s="319"/>
      <c r="AI736" s="319"/>
      <c r="AJ736" s="327"/>
      <c r="AK736" s="328"/>
      <c r="AL736" s="319"/>
      <c r="AM736" s="319"/>
      <c r="AN736" s="319"/>
      <c r="AO736" s="319"/>
      <c r="AP736" s="319"/>
      <c r="AQ736" s="319"/>
      <c r="AR736" s="319"/>
      <c r="AS736" s="327"/>
      <c r="AT736" s="461" t="s">
        <v>183</v>
      </c>
      <c r="AU736" s="324" t="s">
        <v>845</v>
      </c>
      <c r="AV736" s="330">
        <f>SQRT(($R736-Infrastructure!J$3)^2+($S736-Infrastructure!K$3)^2)</f>
        <v>24.06345777</v>
      </c>
      <c r="AW736" s="331">
        <f>SQRT(($R736-Infrastructure!J$4)^2+($S736-Infrastructure!K$4)^2)</f>
        <v>30.54734031</v>
      </c>
      <c r="AX736" s="331">
        <f>SQRT(($R736-Infrastructure!J$5)^2+($S736-Infrastructure!K$5)^2)</f>
        <v>40.50345664</v>
      </c>
      <c r="AY736" s="331">
        <f>SQRT(($R736-Infrastructure!J$6)^2+($S736-Infrastructure!K$6)^2)</f>
        <v>40.60406384</v>
      </c>
      <c r="AZ736" s="331">
        <f>SQRT(($R736-Infrastructure!J$7)^2+($S736-Infrastructure!K$7)^2)</f>
        <v>39.01038323</v>
      </c>
      <c r="BA736" s="331">
        <f>SQRT(($R736-Infrastructure!J$8)^2+($S736-Infrastructure!K$8)^2)</f>
        <v>39.95860358</v>
      </c>
      <c r="BB736" s="331">
        <f>SQRT(($R736-Infrastructure!J$9)^2+($S736-Infrastructure!K$9)^2)</f>
        <v>38.93070767</v>
      </c>
      <c r="BC736" s="331">
        <f>SQRT(($R736-Infrastructure!J$10)^2+($S736-Infrastructure!K$10)^2)</f>
        <v>30.60147055</v>
      </c>
      <c r="BD736" s="318"/>
      <c r="BE736" s="332"/>
      <c r="BF736" s="330">
        <f t="shared" si="14"/>
        <v>24.06345777</v>
      </c>
      <c r="BG736" s="333">
        <f t="shared" si="15"/>
        <v>40.60406384</v>
      </c>
      <c r="BH736" s="334"/>
      <c r="BI736" s="462" t="s">
        <v>845</v>
      </c>
      <c r="BJ736" s="319" t="s">
        <v>845</v>
      </c>
      <c r="BK736" s="319" t="s">
        <v>845</v>
      </c>
      <c r="BL736" s="788" t="s">
        <v>845</v>
      </c>
      <c r="BM736" s="319" t="s">
        <v>845</v>
      </c>
      <c r="BN736" s="788" t="s">
        <v>845</v>
      </c>
      <c r="BO736" s="319" t="s">
        <v>845</v>
      </c>
      <c r="BP736" s="319" t="s">
        <v>845</v>
      </c>
      <c r="BQ736" s="788" t="s">
        <v>845</v>
      </c>
      <c r="BR736" s="789" t="s">
        <v>845</v>
      </c>
      <c r="BS736" s="330">
        <f t="shared" si="23"/>
        <v>0</v>
      </c>
      <c r="BT736" s="331">
        <f t="shared" si="24"/>
        <v>0</v>
      </c>
      <c r="BU736" s="331"/>
      <c r="BV736" s="333"/>
      <c r="BW736" s="330"/>
      <c r="BX736" s="331"/>
      <c r="BY736" s="331" t="b">
        <f t="shared" si="38"/>
        <v>0</v>
      </c>
      <c r="BZ736" s="340"/>
      <c r="CA736" s="316"/>
      <c r="CB736" s="318"/>
      <c r="CC736" s="318"/>
      <c r="CD736" s="318"/>
      <c r="CE736" s="318"/>
      <c r="CF736" s="338"/>
      <c r="CG736" s="318"/>
      <c r="CH736" s="318"/>
      <c r="CI736" s="338"/>
      <c r="CJ736" s="341"/>
      <c r="CK736" s="342">
        <f t="shared" si="18"/>
        <v>0</v>
      </c>
      <c r="CL736" s="333">
        <f t="shared" si="19"/>
        <v>0</v>
      </c>
      <c r="CM736" s="616"/>
      <c r="CN736" s="617"/>
      <c r="CO736" s="617"/>
      <c r="CP736" s="617"/>
    </row>
    <row r="737">
      <c r="B737" s="462" t="s">
        <v>1259</v>
      </c>
      <c r="C737" s="417">
        <v>44258.0</v>
      </c>
      <c r="D737" s="318"/>
      <c r="E737" s="319">
        <v>38.0</v>
      </c>
      <c r="F737" s="324" t="s">
        <v>1334</v>
      </c>
      <c r="G737" s="321">
        <v>0.7083333333333334</v>
      </c>
      <c r="H737" s="323">
        <v>0.7102430555555556</v>
      </c>
      <c r="I737" s="323"/>
      <c r="J737" s="323"/>
      <c r="K737" s="323">
        <v>0.7119791666666667</v>
      </c>
      <c r="L737" s="323">
        <v>0.001736111111111111</v>
      </c>
      <c r="M737" s="326" t="s">
        <v>166</v>
      </c>
      <c r="N737" s="324" t="s">
        <v>188</v>
      </c>
      <c r="O737" s="419" t="s">
        <v>196</v>
      </c>
      <c r="P737" s="319" t="s">
        <v>216</v>
      </c>
      <c r="Q737" s="319" t="s">
        <v>851</v>
      </c>
      <c r="R737" s="326">
        <v>21.4</v>
      </c>
      <c r="S737" s="319">
        <v>39.3</v>
      </c>
      <c r="T737" s="324">
        <v>1.8</v>
      </c>
      <c r="U737" s="319">
        <v>140.0</v>
      </c>
      <c r="V737" s="319"/>
      <c r="W737" s="319"/>
      <c r="X737" s="319"/>
      <c r="Y737" s="319"/>
      <c r="Z737" s="319" t="s">
        <v>387</v>
      </c>
      <c r="AA737" s="319"/>
      <c r="AB737" s="319" t="s">
        <v>419</v>
      </c>
      <c r="AC737" s="327">
        <v>77.9</v>
      </c>
      <c r="AD737" s="319"/>
      <c r="AE737" s="319"/>
      <c r="AF737" s="319"/>
      <c r="AG737" s="319"/>
      <c r="AH737" s="319"/>
      <c r="AI737" s="319"/>
      <c r="AJ737" s="327"/>
      <c r="AK737" s="328"/>
      <c r="AL737" s="319"/>
      <c r="AM737" s="319"/>
      <c r="AN737" s="319"/>
      <c r="AO737" s="319"/>
      <c r="AP737" s="319"/>
      <c r="AQ737" s="319"/>
      <c r="AR737" s="319"/>
      <c r="AS737" s="327"/>
      <c r="AT737" s="461" t="s">
        <v>183</v>
      </c>
      <c r="AU737" s="324" t="s">
        <v>845</v>
      </c>
      <c r="AV737" s="330">
        <f>SQRT(($R737-Infrastructure!J$3)^2+($S737-Infrastructure!K$3)^2)</f>
        <v>24.06345777</v>
      </c>
      <c r="AW737" s="331">
        <f>SQRT(($R737-Infrastructure!J$4)^2+($S737-Infrastructure!K$4)^2)</f>
        <v>30.54734031</v>
      </c>
      <c r="AX737" s="331">
        <f>SQRT(($R737-Infrastructure!J$5)^2+($S737-Infrastructure!K$5)^2)</f>
        <v>40.50345664</v>
      </c>
      <c r="AY737" s="331">
        <f>SQRT(($R737-Infrastructure!J$6)^2+($S737-Infrastructure!K$6)^2)</f>
        <v>40.60406384</v>
      </c>
      <c r="AZ737" s="331">
        <f>SQRT(($R737-Infrastructure!J$7)^2+($S737-Infrastructure!K$7)^2)</f>
        <v>39.01038323</v>
      </c>
      <c r="BA737" s="331">
        <f>SQRT(($R737-Infrastructure!J$8)^2+($S737-Infrastructure!K$8)^2)</f>
        <v>39.95860358</v>
      </c>
      <c r="BB737" s="331">
        <f>SQRT(($R737-Infrastructure!J$9)^2+($S737-Infrastructure!K$9)^2)</f>
        <v>38.93070767</v>
      </c>
      <c r="BC737" s="331">
        <f>SQRT(($R737-Infrastructure!J$10)^2+($S737-Infrastructure!K$10)^2)</f>
        <v>30.60147055</v>
      </c>
      <c r="BD737" s="318"/>
      <c r="BE737" s="332"/>
      <c r="BF737" s="330">
        <f t="shared" si="14"/>
        <v>24.06345777</v>
      </c>
      <c r="BG737" s="333">
        <f t="shared" si="15"/>
        <v>40.60406384</v>
      </c>
      <c r="BH737" s="334"/>
      <c r="BI737" s="462" t="s">
        <v>846</v>
      </c>
      <c r="BJ737" s="319" t="s">
        <v>846</v>
      </c>
      <c r="BK737" s="319" t="s">
        <v>845</v>
      </c>
      <c r="BL737" s="788" t="s">
        <v>845</v>
      </c>
      <c r="BM737" s="319" t="s">
        <v>845</v>
      </c>
      <c r="BN737" s="788" t="s">
        <v>845</v>
      </c>
      <c r="BO737" s="319" t="s">
        <v>845</v>
      </c>
      <c r="BP737" s="319" t="s">
        <v>846</v>
      </c>
      <c r="BQ737" s="788" t="s">
        <v>845</v>
      </c>
      <c r="BR737" s="789" t="s">
        <v>845</v>
      </c>
      <c r="BS737" s="330">
        <f t="shared" si="23"/>
        <v>24.06345777</v>
      </c>
      <c r="BT737" s="331">
        <f t="shared" si="24"/>
        <v>30.60147055</v>
      </c>
      <c r="BU737" s="331"/>
      <c r="BV737" s="333"/>
      <c r="BW737" s="614">
        <v>9.3</v>
      </c>
      <c r="BX737" s="615">
        <v>18.1</v>
      </c>
      <c r="BY737" s="331">
        <f t="shared" si="38"/>
        <v>24.41003892</v>
      </c>
      <c r="BZ737" s="340"/>
      <c r="CA737" s="462" t="s">
        <v>846</v>
      </c>
      <c r="CB737" s="319" t="s">
        <v>846</v>
      </c>
      <c r="CC737" s="319" t="s">
        <v>846</v>
      </c>
      <c r="CD737" s="319" t="s">
        <v>846</v>
      </c>
      <c r="CE737" s="319" t="s">
        <v>846</v>
      </c>
      <c r="CF737" s="788"/>
      <c r="CG737" s="319" t="s">
        <v>846</v>
      </c>
      <c r="CH737" s="319" t="s">
        <v>846</v>
      </c>
      <c r="CI737" s="338"/>
      <c r="CJ737" s="341"/>
      <c r="CK737" s="342">
        <f t="shared" si="18"/>
        <v>24.06345777</v>
      </c>
      <c r="CL737" s="333">
        <f t="shared" si="19"/>
        <v>40.60406384</v>
      </c>
      <c r="CM737" s="616"/>
      <c r="CN737" s="617"/>
      <c r="CO737" s="617"/>
      <c r="CP737" s="617"/>
    </row>
    <row r="738">
      <c r="B738" s="462" t="s">
        <v>1259</v>
      </c>
      <c r="C738" s="417">
        <v>44258.0</v>
      </c>
      <c r="D738" s="318"/>
      <c r="E738" s="319">
        <v>39.0</v>
      </c>
      <c r="F738" s="324" t="s">
        <v>1335</v>
      </c>
      <c r="G738" s="321">
        <v>0.7159722222222222</v>
      </c>
      <c r="H738" s="323">
        <v>0.7164930555555555</v>
      </c>
      <c r="I738" s="323"/>
      <c r="J738" s="323"/>
      <c r="K738" s="323">
        <v>0.7180555555555556</v>
      </c>
      <c r="L738" s="323">
        <v>0.0015625</v>
      </c>
      <c r="M738" s="326" t="s">
        <v>166</v>
      </c>
      <c r="N738" s="324" t="s">
        <v>188</v>
      </c>
      <c r="O738" s="419" t="s">
        <v>196</v>
      </c>
      <c r="P738" s="319" t="s">
        <v>224</v>
      </c>
      <c r="Q738" s="319" t="s">
        <v>842</v>
      </c>
      <c r="R738" s="326">
        <v>21.4</v>
      </c>
      <c r="S738" s="319">
        <v>39.3</v>
      </c>
      <c r="T738" s="324">
        <v>1.2</v>
      </c>
      <c r="U738" s="319">
        <v>48.0</v>
      </c>
      <c r="V738" s="319"/>
      <c r="W738" s="319"/>
      <c r="X738" s="319"/>
      <c r="Y738" s="319"/>
      <c r="Z738" s="319" t="s">
        <v>387</v>
      </c>
      <c r="AA738" s="319"/>
      <c r="AB738" s="319" t="s">
        <v>416</v>
      </c>
      <c r="AC738" s="327">
        <v>52.5</v>
      </c>
      <c r="AD738" s="319"/>
      <c r="AE738" s="319"/>
      <c r="AF738" s="319"/>
      <c r="AG738" s="319"/>
      <c r="AH738" s="319"/>
      <c r="AI738" s="319"/>
      <c r="AJ738" s="327"/>
      <c r="AK738" s="328"/>
      <c r="AL738" s="319"/>
      <c r="AM738" s="319"/>
      <c r="AN738" s="319"/>
      <c r="AO738" s="319"/>
      <c r="AP738" s="319"/>
      <c r="AQ738" s="319"/>
      <c r="AR738" s="319"/>
      <c r="AS738" s="327"/>
      <c r="AT738" s="461" t="s">
        <v>183</v>
      </c>
      <c r="AU738" s="324" t="s">
        <v>845</v>
      </c>
      <c r="AV738" s="330">
        <f>SQRT(($R738-Infrastructure!J$3)^2+($S738-Infrastructure!K$3)^2)</f>
        <v>24.06345777</v>
      </c>
      <c r="AW738" s="331">
        <f>SQRT(($R738-Infrastructure!J$4)^2+($S738-Infrastructure!K$4)^2)</f>
        <v>30.54734031</v>
      </c>
      <c r="AX738" s="331">
        <f>SQRT(($R738-Infrastructure!J$5)^2+($S738-Infrastructure!K$5)^2)</f>
        <v>40.50345664</v>
      </c>
      <c r="AY738" s="331">
        <f>SQRT(($R738-Infrastructure!J$6)^2+($S738-Infrastructure!K$6)^2)</f>
        <v>40.60406384</v>
      </c>
      <c r="AZ738" s="331">
        <f>SQRT(($R738-Infrastructure!J$7)^2+($S738-Infrastructure!K$7)^2)</f>
        <v>39.01038323</v>
      </c>
      <c r="BA738" s="331">
        <f>SQRT(($R738-Infrastructure!J$8)^2+($S738-Infrastructure!K$8)^2)</f>
        <v>39.95860358</v>
      </c>
      <c r="BB738" s="331">
        <f>SQRT(($R738-Infrastructure!J$9)^2+($S738-Infrastructure!K$9)^2)</f>
        <v>38.93070767</v>
      </c>
      <c r="BC738" s="331">
        <f>SQRT(($R738-Infrastructure!J$10)^2+($S738-Infrastructure!K$10)^2)</f>
        <v>30.60147055</v>
      </c>
      <c r="BD738" s="318"/>
      <c r="BE738" s="332"/>
      <c r="BF738" s="330">
        <f t="shared" si="14"/>
        <v>24.06345777</v>
      </c>
      <c r="BG738" s="333">
        <f t="shared" si="15"/>
        <v>40.60406384</v>
      </c>
      <c r="BH738" s="334"/>
      <c r="BI738" s="462" t="s">
        <v>846</v>
      </c>
      <c r="BJ738" s="319" t="s">
        <v>845</v>
      </c>
      <c r="BK738" s="319" t="s">
        <v>845</v>
      </c>
      <c r="BL738" s="788" t="s">
        <v>845</v>
      </c>
      <c r="BM738" s="319" t="s">
        <v>845</v>
      </c>
      <c r="BN738" s="788" t="s">
        <v>845</v>
      </c>
      <c r="BO738" s="319" t="s">
        <v>845</v>
      </c>
      <c r="BP738" s="319" t="s">
        <v>845</v>
      </c>
      <c r="BQ738" s="788" t="s">
        <v>845</v>
      </c>
      <c r="BR738" s="789" t="s">
        <v>845</v>
      </c>
      <c r="BS738" s="330">
        <f t="shared" si="23"/>
        <v>24.06345777</v>
      </c>
      <c r="BT738" s="331">
        <f t="shared" si="24"/>
        <v>24.06345777</v>
      </c>
      <c r="BU738" s="331"/>
      <c r="BV738" s="333"/>
      <c r="BW738" s="330"/>
      <c r="BX738" s="331"/>
      <c r="BY738" s="331" t="b">
        <f t="shared" si="38"/>
        <v>0</v>
      </c>
      <c r="BZ738" s="340"/>
      <c r="CA738" s="462" t="s">
        <v>846</v>
      </c>
      <c r="CB738" s="318"/>
      <c r="CC738" s="318"/>
      <c r="CD738" s="318"/>
      <c r="CE738" s="318"/>
      <c r="CF738" s="338"/>
      <c r="CG738" s="318"/>
      <c r="CH738" s="318"/>
      <c r="CI738" s="338"/>
      <c r="CJ738" s="341"/>
      <c r="CK738" s="342">
        <f t="shared" si="18"/>
        <v>24.06345777</v>
      </c>
      <c r="CL738" s="333">
        <f t="shared" si="19"/>
        <v>24.06345777</v>
      </c>
      <c r="CM738" s="702"/>
      <c r="CN738" s="595"/>
      <c r="CO738" s="595"/>
      <c r="CP738" s="595"/>
    </row>
    <row r="739">
      <c r="B739" s="462" t="s">
        <v>1259</v>
      </c>
      <c r="C739" s="417">
        <v>44258.0</v>
      </c>
      <c r="D739" s="318"/>
      <c r="E739" s="319">
        <v>40.0</v>
      </c>
      <c r="F739" s="324" t="s">
        <v>1336</v>
      </c>
      <c r="G739" s="321">
        <v>0.7220486111111111</v>
      </c>
      <c r="H739" s="323">
        <v>0.7225694444444445</v>
      </c>
      <c r="I739" s="323"/>
      <c r="J739" s="323"/>
      <c r="K739" s="323">
        <v>0.7246527777777778</v>
      </c>
      <c r="L739" s="323">
        <v>0.0020833333333333333</v>
      </c>
      <c r="M739" s="326" t="s">
        <v>166</v>
      </c>
      <c r="N739" s="324" t="s">
        <v>188</v>
      </c>
      <c r="O739" s="419" t="s">
        <v>196</v>
      </c>
      <c r="P739" s="319" t="s">
        <v>224</v>
      </c>
      <c r="Q739" s="319" t="s">
        <v>842</v>
      </c>
      <c r="R739" s="326">
        <v>21.4</v>
      </c>
      <c r="S739" s="319">
        <v>39.3</v>
      </c>
      <c r="T739" s="324">
        <v>1.2</v>
      </c>
      <c r="U739" s="319">
        <v>180.0</v>
      </c>
      <c r="V739" s="319"/>
      <c r="W739" s="319"/>
      <c r="X739" s="319"/>
      <c r="Y739" s="319"/>
      <c r="Z739" s="319" t="s">
        <v>387</v>
      </c>
      <c r="AA739" s="319"/>
      <c r="AB739" s="319" t="s">
        <v>422</v>
      </c>
      <c r="AC739" s="327">
        <v>102.3</v>
      </c>
      <c r="AD739" s="319"/>
      <c r="AE739" s="319"/>
      <c r="AF739" s="319"/>
      <c r="AG739" s="319"/>
      <c r="AH739" s="319"/>
      <c r="AI739" s="319"/>
      <c r="AJ739" s="327"/>
      <c r="AK739" s="328"/>
      <c r="AL739" s="319"/>
      <c r="AM739" s="319"/>
      <c r="AN739" s="319"/>
      <c r="AO739" s="319"/>
      <c r="AP739" s="319"/>
      <c r="AQ739" s="319"/>
      <c r="AR739" s="319"/>
      <c r="AS739" s="327"/>
      <c r="AT739" s="461" t="s">
        <v>183</v>
      </c>
      <c r="AU739" s="324" t="s">
        <v>845</v>
      </c>
      <c r="AV739" s="330">
        <f>SQRT(($R739-Infrastructure!J$3)^2+($S739-Infrastructure!K$3)^2)</f>
        <v>24.06345777</v>
      </c>
      <c r="AW739" s="331">
        <f>SQRT(($R739-Infrastructure!J$4)^2+($S739-Infrastructure!K$4)^2)</f>
        <v>30.54734031</v>
      </c>
      <c r="AX739" s="331">
        <f>SQRT(($R739-Infrastructure!J$5)^2+($S739-Infrastructure!K$5)^2)</f>
        <v>40.50345664</v>
      </c>
      <c r="AY739" s="331">
        <f>SQRT(($R739-Infrastructure!J$6)^2+($S739-Infrastructure!K$6)^2)</f>
        <v>40.60406384</v>
      </c>
      <c r="AZ739" s="331">
        <f>SQRT(($R739-Infrastructure!J$7)^2+($S739-Infrastructure!K$7)^2)</f>
        <v>39.01038323</v>
      </c>
      <c r="BA739" s="331">
        <f>SQRT(($R739-Infrastructure!J$8)^2+($S739-Infrastructure!K$8)^2)</f>
        <v>39.95860358</v>
      </c>
      <c r="BB739" s="331">
        <f>SQRT(($R739-Infrastructure!J$9)^2+($S739-Infrastructure!K$9)^2)</f>
        <v>38.93070767</v>
      </c>
      <c r="BC739" s="331">
        <f>SQRT(($R739-Infrastructure!J$10)^2+($S739-Infrastructure!K$10)^2)</f>
        <v>30.60147055</v>
      </c>
      <c r="BD739" s="318"/>
      <c r="BE739" s="332"/>
      <c r="BF739" s="330">
        <f t="shared" si="14"/>
        <v>24.06345777</v>
      </c>
      <c r="BG739" s="333">
        <f t="shared" si="15"/>
        <v>40.60406384</v>
      </c>
      <c r="BH739" s="334"/>
      <c r="BI739" s="462" t="s">
        <v>846</v>
      </c>
      <c r="BJ739" s="319" t="s">
        <v>845</v>
      </c>
      <c r="BK739" s="319" t="s">
        <v>845</v>
      </c>
      <c r="BL739" s="788" t="s">
        <v>845</v>
      </c>
      <c r="BM739" s="319" t="s">
        <v>845</v>
      </c>
      <c r="BN739" s="788" t="s">
        <v>845</v>
      </c>
      <c r="BO739" s="319" t="s">
        <v>845</v>
      </c>
      <c r="BP739" s="319" t="s">
        <v>845</v>
      </c>
      <c r="BQ739" s="788" t="s">
        <v>845</v>
      </c>
      <c r="BR739" s="789" t="s">
        <v>845</v>
      </c>
      <c r="BS739" s="330">
        <f t="shared" si="23"/>
        <v>24.06345777</v>
      </c>
      <c r="BT739" s="331">
        <f t="shared" si="24"/>
        <v>24.06345777</v>
      </c>
      <c r="BU739" s="331"/>
      <c r="BV739" s="333"/>
      <c r="BW739" s="330"/>
      <c r="BX739" s="331"/>
      <c r="BY739" s="331" t="b">
        <f t="shared" si="38"/>
        <v>0</v>
      </c>
      <c r="BZ739" s="340"/>
      <c r="CA739" s="462" t="s">
        <v>846</v>
      </c>
      <c r="CB739" s="319" t="s">
        <v>846</v>
      </c>
      <c r="CC739" s="319" t="s">
        <v>846</v>
      </c>
      <c r="CD739" s="319" t="s">
        <v>846</v>
      </c>
      <c r="CE739" s="319" t="s">
        <v>846</v>
      </c>
      <c r="CF739" s="338"/>
      <c r="CG739" s="319" t="s">
        <v>846</v>
      </c>
      <c r="CH739" s="319" t="s">
        <v>846</v>
      </c>
      <c r="CI739" s="338"/>
      <c r="CJ739" s="341"/>
      <c r="CK739" s="342">
        <f t="shared" si="18"/>
        <v>24.06345777</v>
      </c>
      <c r="CL739" s="333">
        <f t="shared" si="19"/>
        <v>40.60406384</v>
      </c>
      <c r="CM739" s="702"/>
      <c r="CN739" s="595"/>
      <c r="CO739" s="595"/>
      <c r="CP739" s="595"/>
    </row>
    <row r="740">
      <c r="B740" s="462" t="s">
        <v>1259</v>
      </c>
      <c r="C740" s="417">
        <v>44258.0</v>
      </c>
      <c r="D740" s="318"/>
      <c r="E740" s="318"/>
      <c r="F740" s="324" t="s">
        <v>1337</v>
      </c>
      <c r="G740" s="321">
        <v>0.725</v>
      </c>
      <c r="H740" s="322"/>
      <c r="I740" s="322"/>
      <c r="J740" s="322"/>
      <c r="K740" s="323">
        <v>0.7277777777777777</v>
      </c>
      <c r="L740" s="323">
        <v>0.002777777777777778</v>
      </c>
      <c r="M740" s="326" t="s">
        <v>166</v>
      </c>
      <c r="N740" s="324" t="s">
        <v>188</v>
      </c>
      <c r="O740" s="488"/>
      <c r="P740" s="319" t="s">
        <v>231</v>
      </c>
      <c r="Q740" s="318"/>
      <c r="R740" s="457"/>
      <c r="S740" s="318"/>
      <c r="T740" s="332"/>
      <c r="U740" s="318"/>
      <c r="V740" s="318"/>
      <c r="W740" s="318"/>
      <c r="X740" s="318"/>
      <c r="Y740" s="318"/>
      <c r="Z740" s="318"/>
      <c r="AA740" s="318"/>
      <c r="AB740" s="318"/>
      <c r="AC740" s="463"/>
      <c r="AD740" s="318"/>
      <c r="AE740" s="318"/>
      <c r="AF740" s="318"/>
      <c r="AG740" s="318"/>
      <c r="AH740" s="318"/>
      <c r="AI740" s="318"/>
      <c r="AJ740" s="463"/>
      <c r="AK740" s="487"/>
      <c r="AL740" s="318"/>
      <c r="AM740" s="318"/>
      <c r="AN740" s="318"/>
      <c r="AO740" s="318"/>
      <c r="AP740" s="318"/>
      <c r="AQ740" s="318"/>
      <c r="AR740" s="318"/>
      <c r="AS740" s="463"/>
      <c r="AT740" s="344"/>
      <c r="AU740" s="332"/>
      <c r="AV740" s="330">
        <f>SQRT(($R740-Infrastructure!J$3)^2+($S740-Infrastructure!K$3)^2)</f>
        <v>28.90155705</v>
      </c>
      <c r="AW740" s="331">
        <f>SQRT(($R740-Infrastructure!J$4)^2+($S740-Infrastructure!K$4)^2)</f>
        <v>17.80252791</v>
      </c>
      <c r="AX740" s="331">
        <f>SQRT(($R740-Infrastructure!J$5)^2+($S740-Infrastructure!K$5)^2)</f>
        <v>5.10881591</v>
      </c>
      <c r="AY740" s="331">
        <f>SQRT(($R740-Infrastructure!J$6)^2+($S740-Infrastructure!K$6)^2)</f>
        <v>10.10445446</v>
      </c>
      <c r="AZ740" s="331">
        <f>SQRT(($R740-Infrastructure!J$7)^2+($S740-Infrastructure!K$7)^2)</f>
        <v>20.502195</v>
      </c>
      <c r="BA740" s="331">
        <f>SQRT(($R740-Infrastructure!J$8)^2+($S740-Infrastructure!K$8)^2)</f>
        <v>30.10149498</v>
      </c>
      <c r="BB740" s="331">
        <f>SQRT(($R740-Infrastructure!J$9)^2+($S740-Infrastructure!K$9)^2)</f>
        <v>40.3238143</v>
      </c>
      <c r="BC740" s="331">
        <f>SQRT(($R740-Infrastructure!J$10)^2+($S740-Infrastructure!K$10)^2)</f>
        <v>42.72001873</v>
      </c>
      <c r="BD740" s="318"/>
      <c r="BE740" s="332"/>
      <c r="BF740" s="330">
        <f t="shared" si="14"/>
        <v>5.10881591</v>
      </c>
      <c r="BG740" s="333">
        <f t="shared" si="15"/>
        <v>42.72001873</v>
      </c>
      <c r="BH740" s="334"/>
      <c r="BI740" s="462" t="s">
        <v>845</v>
      </c>
      <c r="BJ740" s="319" t="s">
        <v>845</v>
      </c>
      <c r="BK740" s="319" t="s">
        <v>845</v>
      </c>
      <c r="BL740" s="788" t="s">
        <v>845</v>
      </c>
      <c r="BM740" s="319" t="s">
        <v>845</v>
      </c>
      <c r="BN740" s="788" t="s">
        <v>845</v>
      </c>
      <c r="BO740" s="319" t="s">
        <v>845</v>
      </c>
      <c r="BP740" s="319" t="s">
        <v>845</v>
      </c>
      <c r="BQ740" s="788" t="s">
        <v>845</v>
      </c>
      <c r="BR740" s="789" t="s">
        <v>845</v>
      </c>
      <c r="BS740" s="330">
        <f t="shared" si="23"/>
        <v>0</v>
      </c>
      <c r="BT740" s="331">
        <f t="shared" si="24"/>
        <v>0</v>
      </c>
      <c r="BU740" s="331"/>
      <c r="BV740" s="333"/>
      <c r="BW740" s="330"/>
      <c r="BX740" s="331"/>
      <c r="BY740" s="331" t="b">
        <f t="shared" si="38"/>
        <v>0</v>
      </c>
      <c r="BZ740" s="340"/>
      <c r="CA740" s="462" t="s">
        <v>846</v>
      </c>
      <c r="CB740" s="319" t="s">
        <v>846</v>
      </c>
      <c r="CC740" s="319" t="s">
        <v>846</v>
      </c>
      <c r="CD740" s="319" t="s">
        <v>846</v>
      </c>
      <c r="CE740" s="319" t="s">
        <v>846</v>
      </c>
      <c r="CF740" s="338"/>
      <c r="CG740" s="318"/>
      <c r="CH740" s="319" t="s">
        <v>846</v>
      </c>
      <c r="CI740" s="338"/>
      <c r="CJ740" s="341"/>
      <c r="CK740" s="342">
        <f t="shared" si="18"/>
        <v>5.10881591</v>
      </c>
      <c r="CL740" s="333">
        <f t="shared" si="19"/>
        <v>42.72001873</v>
      </c>
      <c r="CM740" s="702"/>
      <c r="CN740" s="595"/>
      <c r="CO740" s="595"/>
      <c r="CP740" s="595"/>
    </row>
    <row r="741">
      <c r="A741" s="634"/>
      <c r="B741" s="635" t="s">
        <v>1259</v>
      </c>
      <c r="C741" s="769">
        <v>44258.0</v>
      </c>
      <c r="D741" s="640"/>
      <c r="E741" s="640"/>
      <c r="F741" s="637" t="s">
        <v>1337</v>
      </c>
      <c r="G741" s="770">
        <v>0.7284722222222222</v>
      </c>
      <c r="H741" s="782"/>
      <c r="I741" s="782"/>
      <c r="J741" s="782"/>
      <c r="K741" s="771">
        <v>0.7333333333333333</v>
      </c>
      <c r="L741" s="771">
        <v>0.004861111111111111</v>
      </c>
      <c r="M741" s="772" t="s">
        <v>358</v>
      </c>
      <c r="N741" s="637" t="s">
        <v>188</v>
      </c>
      <c r="O741" s="783"/>
      <c r="P741" s="663" t="s">
        <v>231</v>
      </c>
      <c r="Q741" s="640"/>
      <c r="R741" s="784"/>
      <c r="S741" s="640"/>
      <c r="T741" s="739"/>
      <c r="U741" s="640"/>
      <c r="V741" s="640"/>
      <c r="W741" s="640"/>
      <c r="X741" s="640"/>
      <c r="Y741" s="640"/>
      <c r="Z741" s="640"/>
      <c r="AA741" s="640"/>
      <c r="AB741" s="640"/>
      <c r="AC741" s="785"/>
      <c r="AD741" s="640"/>
      <c r="AE741" s="640"/>
      <c r="AF741" s="640"/>
      <c r="AG741" s="640"/>
      <c r="AH741" s="640"/>
      <c r="AI741" s="640"/>
      <c r="AJ741" s="785"/>
      <c r="AK741" s="786"/>
      <c r="AL741" s="640"/>
      <c r="AM741" s="640"/>
      <c r="AN741" s="640"/>
      <c r="AO741" s="640"/>
      <c r="AP741" s="640"/>
      <c r="AQ741" s="640"/>
      <c r="AR741" s="640"/>
      <c r="AS741" s="785"/>
      <c r="AT741" s="787"/>
      <c r="AU741" s="739"/>
      <c r="AV741" s="330">
        <f>SQRT(($R741-Infrastructure!J$3)^2+($S741-Infrastructure!K$3)^2)</f>
        <v>28.90155705</v>
      </c>
      <c r="AW741" s="331">
        <f>SQRT(($R741-Infrastructure!J$4)^2+($S741-Infrastructure!K$4)^2)</f>
        <v>17.80252791</v>
      </c>
      <c r="AX741" s="331">
        <f>SQRT(($R741-Infrastructure!J$5)^2+($S741-Infrastructure!K$5)^2)</f>
        <v>5.10881591</v>
      </c>
      <c r="AY741" s="331">
        <f>SQRT(($R741-Infrastructure!J$6)^2+($S741-Infrastructure!K$6)^2)</f>
        <v>10.10445446</v>
      </c>
      <c r="AZ741" s="331">
        <f>SQRT(($R741-Infrastructure!J$7)^2+($S741-Infrastructure!K$7)^2)</f>
        <v>20.502195</v>
      </c>
      <c r="BA741" s="331">
        <f>SQRT(($R741-Infrastructure!J$8)^2+($S741-Infrastructure!K$8)^2)</f>
        <v>30.10149498</v>
      </c>
      <c r="BB741" s="331">
        <f>SQRT(($R741-Infrastructure!J$9)^2+($S741-Infrastructure!K$9)^2)</f>
        <v>40.3238143</v>
      </c>
      <c r="BC741" s="331">
        <f>SQRT(($R741-Infrastructure!J$10)^2+($S741-Infrastructure!K$10)^2)</f>
        <v>42.72001873</v>
      </c>
      <c r="BD741" s="318"/>
      <c r="BE741" s="332"/>
      <c r="BF741" s="330">
        <f t="shared" si="14"/>
        <v>5.10881591</v>
      </c>
      <c r="BG741" s="333">
        <f t="shared" si="15"/>
        <v>42.72001873</v>
      </c>
      <c r="BH741" s="774"/>
      <c r="BI741" s="635" t="s">
        <v>845</v>
      </c>
      <c r="BJ741" s="663" t="s">
        <v>845</v>
      </c>
      <c r="BK741" s="663" t="s">
        <v>845</v>
      </c>
      <c r="BL741" s="790" t="s">
        <v>845</v>
      </c>
      <c r="BM741" s="663" t="s">
        <v>845</v>
      </c>
      <c r="BN741" s="790" t="s">
        <v>845</v>
      </c>
      <c r="BO741" s="663" t="s">
        <v>845</v>
      </c>
      <c r="BP741" s="663" t="s">
        <v>845</v>
      </c>
      <c r="BQ741" s="788" t="s">
        <v>845</v>
      </c>
      <c r="BR741" s="789" t="s">
        <v>845</v>
      </c>
      <c r="BS741" s="330">
        <f t="shared" si="23"/>
        <v>0</v>
      </c>
      <c r="BT741" s="331">
        <f t="shared" si="24"/>
        <v>0</v>
      </c>
      <c r="BU741" s="641"/>
      <c r="BV741" s="642"/>
      <c r="BW741" s="662"/>
      <c r="BX741" s="641"/>
      <c r="BY741" s="331" t="b">
        <f t="shared" si="38"/>
        <v>0</v>
      </c>
      <c r="BZ741" s="340"/>
      <c r="CA741" s="635" t="s">
        <v>846</v>
      </c>
      <c r="CB741" s="663" t="s">
        <v>846</v>
      </c>
      <c r="CC741" s="663" t="s">
        <v>846</v>
      </c>
      <c r="CD741" s="663" t="s">
        <v>846</v>
      </c>
      <c r="CE741" s="663" t="s">
        <v>846</v>
      </c>
      <c r="CF741" s="645"/>
      <c r="CG741" s="663" t="s">
        <v>846</v>
      </c>
      <c r="CH741" s="663" t="s">
        <v>846</v>
      </c>
      <c r="CI741" s="338"/>
      <c r="CJ741" s="341"/>
      <c r="CK741" s="342">
        <f t="shared" si="18"/>
        <v>5.10881591</v>
      </c>
      <c r="CL741" s="333">
        <f t="shared" si="19"/>
        <v>42.72001873</v>
      </c>
      <c r="CM741" s="710"/>
      <c r="CN741" s="595"/>
      <c r="CO741" s="595"/>
      <c r="CP741" s="595"/>
    </row>
    <row r="742">
      <c r="A742" s="389" t="s">
        <v>42</v>
      </c>
      <c r="B742" s="573" t="s">
        <v>1338</v>
      </c>
      <c r="C742" s="391">
        <v>44266.0</v>
      </c>
      <c r="D742" s="392"/>
      <c r="E742" s="393">
        <v>1.0</v>
      </c>
      <c r="F742" s="394" t="s">
        <v>1339</v>
      </c>
      <c r="G742" s="395">
        <v>0.6826388888888889</v>
      </c>
      <c r="H742" s="456">
        <v>0.6829861111111111</v>
      </c>
      <c r="I742" s="456"/>
      <c r="J742" s="456"/>
      <c r="K742" s="456">
        <v>0.7298611111111111</v>
      </c>
      <c r="L742" s="456">
        <v>0.046875</v>
      </c>
      <c r="M742" s="400" t="s">
        <v>166</v>
      </c>
      <c r="N742" s="394" t="s">
        <v>188</v>
      </c>
      <c r="O742" s="399" t="s">
        <v>378</v>
      </c>
      <c r="P742" s="393" t="s">
        <v>225</v>
      </c>
      <c r="Q742" s="393" t="s">
        <v>842</v>
      </c>
      <c r="R742" s="400">
        <v>22.4</v>
      </c>
      <c r="S742" s="393">
        <v>39.6</v>
      </c>
      <c r="T742" s="394">
        <v>1.0</v>
      </c>
      <c r="U742" s="393">
        <v>6.5</v>
      </c>
      <c r="V742" s="393"/>
      <c r="W742" s="393"/>
      <c r="X742" s="393"/>
      <c r="Y742" s="393"/>
      <c r="Z742" s="393" t="s">
        <v>1140</v>
      </c>
      <c r="AA742" s="393"/>
      <c r="AB742" s="393" t="s">
        <v>407</v>
      </c>
      <c r="AC742" s="401">
        <v>15.75</v>
      </c>
      <c r="AD742" s="393"/>
      <c r="AE742" s="393"/>
      <c r="AF742" s="393"/>
      <c r="AG742" s="393"/>
      <c r="AH742" s="393"/>
      <c r="AI742" s="393"/>
      <c r="AJ742" s="401"/>
      <c r="AK742" s="402"/>
      <c r="AL742" s="393"/>
      <c r="AM742" s="393"/>
      <c r="AN742" s="393"/>
      <c r="AO742" s="393"/>
      <c r="AP742" s="393"/>
      <c r="AQ742" s="393"/>
      <c r="AR742" s="393"/>
      <c r="AS742" s="401"/>
      <c r="AT742" s="460" t="s">
        <v>182</v>
      </c>
      <c r="AU742" s="394" t="s">
        <v>845</v>
      </c>
      <c r="AV742" s="405">
        <f>SQRT(($R742-Infrastructure!J$3)^2+($S742-Infrastructure!K$3)^2)</f>
        <v>25.09541791</v>
      </c>
      <c r="AW742" s="406">
        <f>SQRT(($R742-Infrastructure!J$4)^2+($S742-Infrastructure!K$4)^2)</f>
        <v>31.47268657</v>
      </c>
      <c r="AX742" s="406">
        <f>SQRT(($R742-Infrastructure!J$5)^2+($S742-Infrastructure!K$5)^2)</f>
        <v>41.29818398</v>
      </c>
      <c r="AY742" s="406">
        <f>SQRT(($R742-Infrastructure!J$6)^2+($S742-Infrastructure!K$6)^2)</f>
        <v>41.17984944</v>
      </c>
      <c r="AZ742" s="406">
        <f>SQRT(($R742-Infrastructure!J$7)^2+($S742-Infrastructure!K$7)^2)</f>
        <v>39.34590195</v>
      </c>
      <c r="BA742" s="406">
        <f>SQRT(($R742-Infrastructure!J$8)^2+($S742-Infrastructure!K$8)^2)</f>
        <v>40.04722213</v>
      </c>
      <c r="BB742" s="406">
        <f>SQRT(($R742-Infrastructure!J$9)^2+($S742-Infrastructure!K$9)^2)</f>
        <v>38.72996256</v>
      </c>
      <c r="BC742" s="406">
        <f>SQRT(($R742-Infrastructure!J$10)^2+($S742-Infrastructure!K$10)^2)</f>
        <v>30.24764454</v>
      </c>
      <c r="BD742" s="392"/>
      <c r="BE742" s="407"/>
      <c r="BF742" s="330">
        <f t="shared" si="14"/>
        <v>25.09541791</v>
      </c>
      <c r="BG742" s="333">
        <f t="shared" si="15"/>
        <v>41.29818398</v>
      </c>
      <c r="BH742" s="409"/>
      <c r="BI742" s="390"/>
      <c r="BJ742" s="392"/>
      <c r="BK742" s="392"/>
      <c r="BL742" s="392"/>
      <c r="BM742" s="392"/>
      <c r="BN742" s="392"/>
      <c r="BO742" s="392"/>
      <c r="BP742" s="392"/>
      <c r="BQ742" s="410"/>
      <c r="BR742" s="411"/>
      <c r="BS742" s="330">
        <f t="shared" si="23"/>
        <v>0</v>
      </c>
      <c r="BT742" s="331">
        <f t="shared" si="24"/>
        <v>0</v>
      </c>
      <c r="BU742" s="406"/>
      <c r="BV742" s="408"/>
      <c r="BW742" s="405"/>
      <c r="BX742" s="406"/>
      <c r="BY742" s="406" t="b">
        <f t="shared" si="38"/>
        <v>0</v>
      </c>
      <c r="BZ742" s="412"/>
      <c r="CA742" s="390"/>
      <c r="CB742" s="392"/>
      <c r="CC742" s="392"/>
      <c r="CD742" s="392"/>
      <c r="CE742" s="392"/>
      <c r="CF742" s="392"/>
      <c r="CG742" s="392"/>
      <c r="CH742" s="392"/>
      <c r="CI742" s="410"/>
      <c r="CJ742" s="413"/>
      <c r="CK742" s="342">
        <f t="shared" si="18"/>
        <v>0</v>
      </c>
      <c r="CL742" s="333">
        <f t="shared" si="19"/>
        <v>0</v>
      </c>
      <c r="CM742" s="656"/>
      <c r="CN742" s="617"/>
      <c r="CO742" s="617"/>
      <c r="CP742" s="617"/>
    </row>
    <row r="743">
      <c r="B743" s="462" t="s">
        <v>1338</v>
      </c>
      <c r="C743" s="417">
        <v>44266.0</v>
      </c>
      <c r="D743" s="318"/>
      <c r="E743" s="318"/>
      <c r="F743" s="324" t="s">
        <v>1340</v>
      </c>
      <c r="G743" s="321">
        <v>0.7305555555555555</v>
      </c>
      <c r="H743" s="322"/>
      <c r="I743" s="322"/>
      <c r="J743" s="322"/>
      <c r="K743" s="323">
        <v>0.7326388888888888</v>
      </c>
      <c r="L743" s="323">
        <v>0.0020833333333333333</v>
      </c>
      <c r="M743" s="326" t="s">
        <v>166</v>
      </c>
      <c r="N743" s="324" t="s">
        <v>188</v>
      </c>
      <c r="O743" s="488"/>
      <c r="P743" s="319" t="s">
        <v>231</v>
      </c>
      <c r="Q743" s="318"/>
      <c r="R743" s="457"/>
      <c r="S743" s="318"/>
      <c r="T743" s="332"/>
      <c r="U743" s="318"/>
      <c r="V743" s="318"/>
      <c r="W743" s="318"/>
      <c r="X743" s="318"/>
      <c r="Y743" s="318"/>
      <c r="Z743" s="318"/>
      <c r="AA743" s="318"/>
      <c r="AB743" s="318"/>
      <c r="AC743" s="463"/>
      <c r="AD743" s="318"/>
      <c r="AE743" s="318"/>
      <c r="AF743" s="318"/>
      <c r="AG743" s="318"/>
      <c r="AH743" s="318"/>
      <c r="AI743" s="318"/>
      <c r="AJ743" s="463"/>
      <c r="AK743" s="487"/>
      <c r="AL743" s="318"/>
      <c r="AM743" s="318"/>
      <c r="AN743" s="318"/>
      <c r="AO743" s="318"/>
      <c r="AP743" s="318"/>
      <c r="AQ743" s="318"/>
      <c r="AR743" s="318"/>
      <c r="AS743" s="463"/>
      <c r="AT743" s="344"/>
      <c r="AU743" s="332"/>
      <c r="AV743" s="330">
        <f>SQRT(($R743-Infrastructure!J$3)^2+($S743-Infrastructure!K$3)^2)</f>
        <v>28.90155705</v>
      </c>
      <c r="AW743" s="331">
        <f>SQRT(($R743-Infrastructure!J$4)^2+($S743-Infrastructure!K$4)^2)</f>
        <v>17.80252791</v>
      </c>
      <c r="AX743" s="331">
        <f>SQRT(($R743-Infrastructure!J$5)^2+($S743-Infrastructure!K$5)^2)</f>
        <v>5.10881591</v>
      </c>
      <c r="AY743" s="331">
        <f>SQRT(($R743-Infrastructure!J$6)^2+($S743-Infrastructure!K$6)^2)</f>
        <v>10.10445446</v>
      </c>
      <c r="AZ743" s="331">
        <f>SQRT(($R743-Infrastructure!J$7)^2+($S743-Infrastructure!K$7)^2)</f>
        <v>20.502195</v>
      </c>
      <c r="BA743" s="331">
        <f>SQRT(($R743-Infrastructure!J$8)^2+($S743-Infrastructure!K$8)^2)</f>
        <v>30.10149498</v>
      </c>
      <c r="BB743" s="331">
        <f>SQRT(($R743-Infrastructure!J$9)^2+($S743-Infrastructure!K$9)^2)</f>
        <v>40.3238143</v>
      </c>
      <c r="BC743" s="331">
        <f>SQRT(($R743-Infrastructure!J$10)^2+($S743-Infrastructure!K$10)^2)</f>
        <v>42.72001873</v>
      </c>
      <c r="BD743" s="318"/>
      <c r="BE743" s="332"/>
      <c r="BF743" s="330">
        <f t="shared" si="14"/>
        <v>5.10881591</v>
      </c>
      <c r="BG743" s="333">
        <f t="shared" si="15"/>
        <v>42.72001873</v>
      </c>
      <c r="BH743" s="334"/>
      <c r="BI743" s="316"/>
      <c r="BJ743" s="318"/>
      <c r="BK743" s="318"/>
      <c r="BL743" s="318"/>
      <c r="BM743" s="318"/>
      <c r="BN743" s="318"/>
      <c r="BO743" s="318"/>
      <c r="BP743" s="318"/>
      <c r="BQ743" s="338"/>
      <c r="BR743" s="420"/>
      <c r="BS743" s="330"/>
      <c r="BT743" s="331"/>
      <c r="BU743" s="331"/>
      <c r="BV743" s="333"/>
      <c r="BW743" s="330"/>
      <c r="BX743" s="331"/>
      <c r="BY743" s="331"/>
      <c r="BZ743" s="340"/>
      <c r="CA743" s="316"/>
      <c r="CB743" s="318"/>
      <c r="CC743" s="318"/>
      <c r="CD743" s="318"/>
      <c r="CE743" s="318"/>
      <c r="CF743" s="318"/>
      <c r="CG743" s="318"/>
      <c r="CH743" s="318"/>
      <c r="CI743" s="338"/>
      <c r="CJ743" s="341"/>
      <c r="CK743" s="342">
        <f t="shared" si="18"/>
        <v>0</v>
      </c>
      <c r="CL743" s="333">
        <f t="shared" si="19"/>
        <v>0</v>
      </c>
      <c r="CM743" s="616"/>
      <c r="CN743" s="617"/>
      <c r="CO743" s="617"/>
      <c r="CP743" s="617"/>
    </row>
    <row r="744">
      <c r="A744" s="634"/>
      <c r="B744" s="635" t="s">
        <v>1338</v>
      </c>
      <c r="C744" s="769">
        <v>44266.0</v>
      </c>
      <c r="D744" s="640"/>
      <c r="E744" s="640"/>
      <c r="F744" s="637" t="s">
        <v>1340</v>
      </c>
      <c r="G744" s="770">
        <v>0.7333333333333333</v>
      </c>
      <c r="H744" s="782"/>
      <c r="I744" s="782"/>
      <c r="J744" s="782"/>
      <c r="K744" s="771">
        <v>0.7361111111111112</v>
      </c>
      <c r="L744" s="771">
        <v>0.002777777777777778</v>
      </c>
      <c r="M744" s="772" t="s">
        <v>358</v>
      </c>
      <c r="N744" s="637" t="s">
        <v>188</v>
      </c>
      <c r="O744" s="783"/>
      <c r="P744" s="663" t="s">
        <v>231</v>
      </c>
      <c r="Q744" s="640"/>
      <c r="R744" s="784"/>
      <c r="S744" s="640"/>
      <c r="T744" s="739"/>
      <c r="U744" s="640"/>
      <c r="V744" s="640"/>
      <c r="W744" s="640"/>
      <c r="X744" s="640"/>
      <c r="Y744" s="640"/>
      <c r="Z744" s="640"/>
      <c r="AA744" s="640"/>
      <c r="AB744" s="640"/>
      <c r="AC744" s="785"/>
      <c r="AD744" s="640"/>
      <c r="AE744" s="640"/>
      <c r="AF744" s="640"/>
      <c r="AG744" s="640"/>
      <c r="AH744" s="640"/>
      <c r="AI744" s="640"/>
      <c r="AJ744" s="785"/>
      <c r="AK744" s="786"/>
      <c r="AL744" s="640"/>
      <c r="AM744" s="640"/>
      <c r="AN744" s="640"/>
      <c r="AO744" s="640"/>
      <c r="AP744" s="640"/>
      <c r="AQ744" s="640"/>
      <c r="AR744" s="640"/>
      <c r="AS744" s="785"/>
      <c r="AT744" s="787"/>
      <c r="AU744" s="739"/>
      <c r="AV744" s="662">
        <f>SQRT(($R744-Infrastructure!J$3)^2+($S744-Infrastructure!K$3)^2)</f>
        <v>28.90155705</v>
      </c>
      <c r="AW744" s="641">
        <f>SQRT(($R744-Infrastructure!J$4)^2+($S744-Infrastructure!K$4)^2)</f>
        <v>17.80252791</v>
      </c>
      <c r="AX744" s="641">
        <f>SQRT(($R744-Infrastructure!J$5)^2+($S744-Infrastructure!K$5)^2)</f>
        <v>5.10881591</v>
      </c>
      <c r="AY744" s="641">
        <f>SQRT(($R744-Infrastructure!J$6)^2+($S744-Infrastructure!K$6)^2)</f>
        <v>10.10445446</v>
      </c>
      <c r="AZ744" s="641">
        <f>SQRT(($R744-Infrastructure!J$7)^2+($S744-Infrastructure!K$7)^2)</f>
        <v>20.502195</v>
      </c>
      <c r="BA744" s="641">
        <f>SQRT(($R744-Infrastructure!J$8)^2+($S744-Infrastructure!K$8)^2)</f>
        <v>30.10149498</v>
      </c>
      <c r="BB744" s="641">
        <f>SQRT(($R744-Infrastructure!J$9)^2+($S744-Infrastructure!K$9)^2)</f>
        <v>40.3238143</v>
      </c>
      <c r="BC744" s="641">
        <f>SQRT(($R744-Infrastructure!J$10)^2+($S744-Infrastructure!K$10)^2)</f>
        <v>42.72001873</v>
      </c>
      <c r="BD744" s="318"/>
      <c r="BE744" s="332"/>
      <c r="BF744" s="330">
        <f t="shared" si="14"/>
        <v>5.10881591</v>
      </c>
      <c r="BG744" s="333">
        <f t="shared" si="15"/>
        <v>42.72001873</v>
      </c>
      <c r="BH744" s="774"/>
      <c r="BI744" s="639"/>
      <c r="BJ744" s="640"/>
      <c r="BK744" s="640"/>
      <c r="BL744" s="640"/>
      <c r="BM744" s="640"/>
      <c r="BN744" s="640"/>
      <c r="BO744" s="640"/>
      <c r="BP744" s="640"/>
      <c r="BQ744" s="338"/>
      <c r="BR744" s="420"/>
      <c r="BS744" s="330"/>
      <c r="BT744" s="331"/>
      <c r="BU744" s="641"/>
      <c r="BV744" s="642"/>
      <c r="BW744" s="662"/>
      <c r="BX744" s="641"/>
      <c r="BY744" s="331"/>
      <c r="BZ744" s="340"/>
      <c r="CA744" s="639"/>
      <c r="CB744" s="640"/>
      <c r="CC744" s="640"/>
      <c r="CD744" s="640"/>
      <c r="CE744" s="640"/>
      <c r="CF744" s="640"/>
      <c r="CG744" s="640"/>
      <c r="CH744" s="640"/>
      <c r="CI744" s="338"/>
      <c r="CJ744" s="341"/>
      <c r="CK744" s="342">
        <f t="shared" si="18"/>
        <v>0</v>
      </c>
      <c r="CL744" s="333">
        <f t="shared" si="19"/>
        <v>0</v>
      </c>
      <c r="CM744" s="647"/>
      <c r="CN744" s="617"/>
      <c r="CO744" s="617"/>
      <c r="CP744" s="617"/>
    </row>
    <row r="745">
      <c r="A745" s="791" t="s">
        <v>45</v>
      </c>
      <c r="B745" s="573" t="s">
        <v>1341</v>
      </c>
      <c r="C745" s="391">
        <v>44287.0</v>
      </c>
      <c r="D745" s="392"/>
      <c r="E745" s="393">
        <v>1.0</v>
      </c>
      <c r="F745" s="394" t="s">
        <v>1342</v>
      </c>
      <c r="G745" s="395">
        <v>0.5750578703703704</v>
      </c>
      <c r="H745" s="456">
        <v>0.5756944444444444</v>
      </c>
      <c r="I745" s="456"/>
      <c r="J745" s="456"/>
      <c r="K745" s="456">
        <v>0.5802083333333333</v>
      </c>
      <c r="L745" s="456">
        <v>0.0045138888888888885</v>
      </c>
      <c r="M745" s="400" t="s">
        <v>358</v>
      </c>
      <c r="N745" s="394" t="s">
        <v>188</v>
      </c>
      <c r="O745" s="399" t="s">
        <v>378</v>
      </c>
      <c r="P745" s="393" t="s">
        <v>225</v>
      </c>
      <c r="Q745" s="393" t="s">
        <v>842</v>
      </c>
      <c r="R745" s="400">
        <v>22.4</v>
      </c>
      <c r="S745" s="393">
        <v>39.6</v>
      </c>
      <c r="T745" s="394">
        <v>1.0</v>
      </c>
      <c r="U745" s="393">
        <v>15.0</v>
      </c>
      <c r="V745" s="393"/>
      <c r="W745" s="393"/>
      <c r="X745" s="393"/>
      <c r="Y745" s="393"/>
      <c r="Z745" s="393" t="s">
        <v>1343</v>
      </c>
      <c r="AA745" s="393"/>
      <c r="AB745" s="393" t="s">
        <v>1344</v>
      </c>
      <c r="AC745" s="401">
        <v>22.1</v>
      </c>
      <c r="AD745" s="393"/>
      <c r="AE745" s="393"/>
      <c r="AF745" s="393"/>
      <c r="AG745" s="393"/>
      <c r="AH745" s="393"/>
      <c r="AI745" s="393"/>
      <c r="AJ745" s="401"/>
      <c r="AK745" s="402"/>
      <c r="AL745" s="393"/>
      <c r="AM745" s="393"/>
      <c r="AN745" s="393"/>
      <c r="AO745" s="393"/>
      <c r="AP745" s="393"/>
      <c r="AQ745" s="393"/>
      <c r="AR745" s="393"/>
      <c r="AS745" s="401"/>
      <c r="AT745" s="460" t="s">
        <v>183</v>
      </c>
      <c r="AU745" s="394" t="s">
        <v>845</v>
      </c>
      <c r="AV745" s="405">
        <f>SQRT(($R745-Infrastructure!J$3)^2+($S745-Infrastructure!K$3)^2)</f>
        <v>25.09541791</v>
      </c>
      <c r="AW745" s="406">
        <f>SQRT(($R745-Infrastructure!J$4)^2+($S745-Infrastructure!K$4)^2)</f>
        <v>31.47268657</v>
      </c>
      <c r="AX745" s="406">
        <f>SQRT(($R745-Infrastructure!J$5)^2+($S745-Infrastructure!K$5)^2)</f>
        <v>41.29818398</v>
      </c>
      <c r="AY745" s="406">
        <f>SQRT(($R745-Infrastructure!J$6)^2+($S745-Infrastructure!K$6)^2)</f>
        <v>41.17984944</v>
      </c>
      <c r="AZ745" s="406">
        <f>SQRT(($R745-Infrastructure!J$7)^2+($S745-Infrastructure!K$7)^2)</f>
        <v>39.34590195</v>
      </c>
      <c r="BA745" s="406">
        <f>SQRT(($R745-Infrastructure!J$8)^2+($S745-Infrastructure!K$8)^2)</f>
        <v>40.04722213</v>
      </c>
      <c r="BB745" s="406">
        <f>SQRT(($R745-Infrastructure!J$9)^2+($S745-Infrastructure!K$9)^2)</f>
        <v>38.72996256</v>
      </c>
      <c r="BC745" s="406">
        <f>SQRT(($R745-Infrastructure!J$10)^2+($S745-Infrastructure!K$10)^2)</f>
        <v>30.24764454</v>
      </c>
      <c r="BD745" s="392"/>
      <c r="BE745" s="407"/>
      <c r="BF745" s="330">
        <f t="shared" si="14"/>
        <v>25.09541791</v>
      </c>
      <c r="BG745" s="333">
        <f t="shared" si="15"/>
        <v>41.29818398</v>
      </c>
      <c r="BH745" s="409"/>
      <c r="BI745" s="573" t="s">
        <v>845</v>
      </c>
      <c r="BJ745" s="393" t="s">
        <v>845</v>
      </c>
      <c r="BK745" s="393" t="s">
        <v>845</v>
      </c>
      <c r="BL745" s="792" t="s">
        <v>845</v>
      </c>
      <c r="BM745" s="393" t="s">
        <v>845</v>
      </c>
      <c r="BN745" s="393" t="s">
        <v>845</v>
      </c>
      <c r="BO745" s="393" t="s">
        <v>845</v>
      </c>
      <c r="BP745" s="393" t="s">
        <v>845</v>
      </c>
      <c r="BQ745" s="792" t="s">
        <v>845</v>
      </c>
      <c r="BR745" s="793" t="s">
        <v>845</v>
      </c>
      <c r="BS745" s="330">
        <f t="shared" ref="BS745:BS826" si="39">MINIFS(AV745:BE745,BI745:BR745, "Y")</f>
        <v>0</v>
      </c>
      <c r="BT745" s="331">
        <f t="shared" ref="BT745:BT826" si="40">MAXIFS(AV745:BE745,BI745:BR745, "Y")</f>
        <v>0</v>
      </c>
      <c r="BU745" s="406"/>
      <c r="BV745" s="408"/>
      <c r="BW745" s="405"/>
      <c r="BX745" s="406"/>
      <c r="BY745" s="406" t="b">
        <f t="shared" ref="BY745:BY826" si="41">IF(BW745&gt;0, SQRT((R745-BW745)^2+(S745-BX745)^2))</f>
        <v>0</v>
      </c>
      <c r="BZ745" s="412"/>
      <c r="CA745" s="573" t="s">
        <v>846</v>
      </c>
      <c r="CB745" s="392"/>
      <c r="CC745" s="393"/>
      <c r="CD745" s="410"/>
      <c r="CE745" s="393"/>
      <c r="CF745" s="393"/>
      <c r="CG745" s="393"/>
      <c r="CH745" s="392"/>
      <c r="CI745" s="410"/>
      <c r="CJ745" s="413"/>
      <c r="CK745" s="342">
        <f t="shared" si="18"/>
        <v>25.09541791</v>
      </c>
      <c r="CL745" s="333">
        <f t="shared" si="19"/>
        <v>25.09541791</v>
      </c>
      <c r="CM745" s="656"/>
      <c r="CN745" s="617"/>
      <c r="CO745" s="617"/>
      <c r="CP745" s="617"/>
    </row>
    <row r="746">
      <c r="A746" s="794"/>
      <c r="B746" s="462" t="s">
        <v>1341</v>
      </c>
      <c r="C746" s="417">
        <v>44287.0</v>
      </c>
      <c r="D746" s="318"/>
      <c r="E746" s="319">
        <v>2.0</v>
      </c>
      <c r="F746" s="324" t="s">
        <v>1345</v>
      </c>
      <c r="G746" s="321">
        <v>0.5810763888888889</v>
      </c>
      <c r="H746" s="323">
        <v>0.5817708333333333</v>
      </c>
      <c r="I746" s="323"/>
      <c r="J746" s="323"/>
      <c r="K746" s="323">
        <v>0.5861111111111111</v>
      </c>
      <c r="L746" s="323">
        <v>0.004340277777777778</v>
      </c>
      <c r="M746" s="326" t="s">
        <v>358</v>
      </c>
      <c r="N746" s="324" t="s">
        <v>188</v>
      </c>
      <c r="O746" s="419" t="s">
        <v>378</v>
      </c>
      <c r="P746" s="319" t="s">
        <v>225</v>
      </c>
      <c r="Q746" s="319" t="s">
        <v>842</v>
      </c>
      <c r="R746" s="326">
        <v>22.4</v>
      </c>
      <c r="S746" s="319">
        <v>39.6</v>
      </c>
      <c r="T746" s="324">
        <v>1.0</v>
      </c>
      <c r="U746" s="319">
        <v>10.0</v>
      </c>
      <c r="V746" s="319"/>
      <c r="W746" s="319"/>
      <c r="X746" s="319"/>
      <c r="Y746" s="319"/>
      <c r="Z746" s="319" t="s">
        <v>1343</v>
      </c>
      <c r="AA746" s="319"/>
      <c r="AB746" s="319" t="s">
        <v>1344</v>
      </c>
      <c r="AC746" s="327">
        <v>22.1</v>
      </c>
      <c r="AD746" s="319"/>
      <c r="AE746" s="319"/>
      <c r="AF746" s="319"/>
      <c r="AG746" s="319"/>
      <c r="AH746" s="319"/>
      <c r="AI746" s="319"/>
      <c r="AJ746" s="327"/>
      <c r="AK746" s="328"/>
      <c r="AL746" s="319"/>
      <c r="AM746" s="319"/>
      <c r="AN746" s="319"/>
      <c r="AO746" s="319"/>
      <c r="AP746" s="319"/>
      <c r="AQ746" s="319"/>
      <c r="AR746" s="319"/>
      <c r="AS746" s="327"/>
      <c r="AT746" s="461" t="s">
        <v>183</v>
      </c>
      <c r="AU746" s="324" t="s">
        <v>845</v>
      </c>
      <c r="AV746" s="330">
        <f>SQRT(($R746-Infrastructure!J$3)^2+($S746-Infrastructure!K$3)^2)</f>
        <v>25.09541791</v>
      </c>
      <c r="AW746" s="331">
        <f>SQRT(($R746-Infrastructure!J$4)^2+($S746-Infrastructure!K$4)^2)</f>
        <v>31.47268657</v>
      </c>
      <c r="AX746" s="331">
        <f>SQRT(($R746-Infrastructure!J$5)^2+($S746-Infrastructure!K$5)^2)</f>
        <v>41.29818398</v>
      </c>
      <c r="AY746" s="331">
        <f>SQRT(($R746-Infrastructure!J$6)^2+($S746-Infrastructure!K$6)^2)</f>
        <v>41.17984944</v>
      </c>
      <c r="AZ746" s="331">
        <f>SQRT(($R746-Infrastructure!J$7)^2+($S746-Infrastructure!K$7)^2)</f>
        <v>39.34590195</v>
      </c>
      <c r="BA746" s="331">
        <f>SQRT(($R746-Infrastructure!J$8)^2+($S746-Infrastructure!K$8)^2)</f>
        <v>40.04722213</v>
      </c>
      <c r="BB746" s="331">
        <f>SQRT(($R746-Infrastructure!J$9)^2+($S746-Infrastructure!K$9)^2)</f>
        <v>38.72996256</v>
      </c>
      <c r="BC746" s="331">
        <f>SQRT(($R746-Infrastructure!J$10)^2+($S746-Infrastructure!K$10)^2)</f>
        <v>30.24764454</v>
      </c>
      <c r="BD746" s="318"/>
      <c r="BE746" s="332"/>
      <c r="BF746" s="330">
        <f t="shared" si="14"/>
        <v>25.09541791</v>
      </c>
      <c r="BG746" s="333">
        <f t="shared" si="15"/>
        <v>41.29818398</v>
      </c>
      <c r="BH746" s="334"/>
      <c r="BI746" s="462" t="s">
        <v>845</v>
      </c>
      <c r="BJ746" s="319" t="s">
        <v>845</v>
      </c>
      <c r="BK746" s="319" t="s">
        <v>845</v>
      </c>
      <c r="BL746" s="788" t="s">
        <v>845</v>
      </c>
      <c r="BM746" s="319" t="s">
        <v>845</v>
      </c>
      <c r="BN746" s="319" t="s">
        <v>845</v>
      </c>
      <c r="BO746" s="319" t="s">
        <v>845</v>
      </c>
      <c r="BP746" s="319" t="s">
        <v>845</v>
      </c>
      <c r="BQ746" s="788" t="s">
        <v>845</v>
      </c>
      <c r="BR746" s="789" t="s">
        <v>845</v>
      </c>
      <c r="BS746" s="330">
        <f t="shared" si="39"/>
        <v>0</v>
      </c>
      <c r="BT746" s="331">
        <f t="shared" si="40"/>
        <v>0</v>
      </c>
      <c r="BU746" s="331"/>
      <c r="BV746" s="333"/>
      <c r="BW746" s="330"/>
      <c r="BX746" s="331"/>
      <c r="BY746" s="331" t="b">
        <f t="shared" si="41"/>
        <v>0</v>
      </c>
      <c r="BZ746" s="340"/>
      <c r="CA746" s="462" t="s">
        <v>846</v>
      </c>
      <c r="CB746" s="318"/>
      <c r="CC746" s="318"/>
      <c r="CD746" s="338"/>
      <c r="CE746" s="318"/>
      <c r="CF746" s="318"/>
      <c r="CG746" s="318"/>
      <c r="CH746" s="318"/>
      <c r="CI746" s="338"/>
      <c r="CJ746" s="341"/>
      <c r="CK746" s="342">
        <f t="shared" si="18"/>
        <v>25.09541791</v>
      </c>
      <c r="CL746" s="333">
        <f t="shared" si="19"/>
        <v>25.09541791</v>
      </c>
      <c r="CM746" s="616"/>
      <c r="CN746" s="617"/>
      <c r="CO746" s="617"/>
      <c r="CP746" s="617"/>
    </row>
    <row r="747">
      <c r="A747" s="794"/>
      <c r="B747" s="462" t="s">
        <v>1341</v>
      </c>
      <c r="C747" s="417">
        <v>44287.0</v>
      </c>
      <c r="D747" s="318"/>
      <c r="E747" s="319">
        <v>3.0</v>
      </c>
      <c r="F747" s="324" t="s">
        <v>1346</v>
      </c>
      <c r="G747" s="321">
        <v>0.5892361111111111</v>
      </c>
      <c r="H747" s="323">
        <v>0.5901041666666667</v>
      </c>
      <c r="I747" s="323"/>
      <c r="J747" s="323"/>
      <c r="K747" s="323">
        <v>0.5942708333333333</v>
      </c>
      <c r="L747" s="323">
        <v>0.004166666666666667</v>
      </c>
      <c r="M747" s="326" t="s">
        <v>358</v>
      </c>
      <c r="N747" s="324" t="s">
        <v>188</v>
      </c>
      <c r="O747" s="419" t="s">
        <v>378</v>
      </c>
      <c r="P747" s="319" t="s">
        <v>225</v>
      </c>
      <c r="Q747" s="319" t="s">
        <v>842</v>
      </c>
      <c r="R747" s="326">
        <v>22.4</v>
      </c>
      <c r="S747" s="319">
        <v>39.6</v>
      </c>
      <c r="T747" s="324">
        <v>1.0</v>
      </c>
      <c r="U747" s="319">
        <v>1.5</v>
      </c>
      <c r="V747" s="319"/>
      <c r="W747" s="319"/>
      <c r="X747" s="319"/>
      <c r="Y747" s="319"/>
      <c r="Z747" s="319" t="s">
        <v>1343</v>
      </c>
      <c r="AA747" s="319"/>
      <c r="AB747" s="319">
        <v>8.0</v>
      </c>
      <c r="AC747" s="327">
        <v>6.0</v>
      </c>
      <c r="AD747" s="319"/>
      <c r="AE747" s="319"/>
      <c r="AF747" s="319"/>
      <c r="AG747" s="319"/>
      <c r="AH747" s="319"/>
      <c r="AI747" s="319"/>
      <c r="AJ747" s="327"/>
      <c r="AK747" s="328"/>
      <c r="AL747" s="319"/>
      <c r="AM747" s="319"/>
      <c r="AN747" s="319"/>
      <c r="AO747" s="319"/>
      <c r="AP747" s="319"/>
      <c r="AQ747" s="319"/>
      <c r="AR747" s="319"/>
      <c r="AS747" s="327"/>
      <c r="AT747" s="461" t="s">
        <v>182</v>
      </c>
      <c r="AU747" s="324" t="s">
        <v>845</v>
      </c>
      <c r="AV747" s="330">
        <f>SQRT(($R747-Infrastructure!J$3)^2+($S747-Infrastructure!K$3)^2)</f>
        <v>25.09541791</v>
      </c>
      <c r="AW747" s="331">
        <f>SQRT(($R747-Infrastructure!J$4)^2+($S747-Infrastructure!K$4)^2)</f>
        <v>31.47268657</v>
      </c>
      <c r="AX747" s="331">
        <f>SQRT(($R747-Infrastructure!J$5)^2+($S747-Infrastructure!K$5)^2)</f>
        <v>41.29818398</v>
      </c>
      <c r="AY747" s="331">
        <f>SQRT(($R747-Infrastructure!J$6)^2+($S747-Infrastructure!K$6)^2)</f>
        <v>41.17984944</v>
      </c>
      <c r="AZ747" s="331">
        <f>SQRT(($R747-Infrastructure!J$7)^2+($S747-Infrastructure!K$7)^2)</f>
        <v>39.34590195</v>
      </c>
      <c r="BA747" s="331">
        <f>SQRT(($R747-Infrastructure!J$8)^2+($S747-Infrastructure!K$8)^2)</f>
        <v>40.04722213</v>
      </c>
      <c r="BB747" s="331">
        <f>SQRT(($R747-Infrastructure!J$9)^2+($S747-Infrastructure!K$9)^2)</f>
        <v>38.72996256</v>
      </c>
      <c r="BC747" s="331">
        <f>SQRT(($R747-Infrastructure!J$10)^2+($S747-Infrastructure!K$10)^2)</f>
        <v>30.24764454</v>
      </c>
      <c r="BD747" s="318"/>
      <c r="BE747" s="332"/>
      <c r="BF747" s="330">
        <f t="shared" si="14"/>
        <v>25.09541791</v>
      </c>
      <c r="BG747" s="333">
        <f t="shared" si="15"/>
        <v>41.29818398</v>
      </c>
      <c r="BH747" s="334"/>
      <c r="BI747" s="462" t="s">
        <v>845</v>
      </c>
      <c r="BJ747" s="319" t="s">
        <v>845</v>
      </c>
      <c r="BK747" s="319" t="s">
        <v>845</v>
      </c>
      <c r="BL747" s="788" t="s">
        <v>845</v>
      </c>
      <c r="BM747" s="319" t="s">
        <v>845</v>
      </c>
      <c r="BN747" s="319" t="s">
        <v>845</v>
      </c>
      <c r="BO747" s="319" t="s">
        <v>845</v>
      </c>
      <c r="BP747" s="319" t="s">
        <v>845</v>
      </c>
      <c r="BQ747" s="788" t="s">
        <v>845</v>
      </c>
      <c r="BR747" s="789" t="s">
        <v>845</v>
      </c>
      <c r="BS747" s="330">
        <f t="shared" si="39"/>
        <v>0</v>
      </c>
      <c r="BT747" s="331">
        <f t="shared" si="40"/>
        <v>0</v>
      </c>
      <c r="BU747" s="331"/>
      <c r="BV747" s="333"/>
      <c r="BW747" s="330"/>
      <c r="BX747" s="331"/>
      <c r="BY747" s="331" t="b">
        <f t="shared" si="41"/>
        <v>0</v>
      </c>
      <c r="BZ747" s="340"/>
      <c r="CA747" s="316"/>
      <c r="CB747" s="318"/>
      <c r="CC747" s="318"/>
      <c r="CD747" s="338"/>
      <c r="CE747" s="318"/>
      <c r="CF747" s="318"/>
      <c r="CG747" s="318"/>
      <c r="CH747" s="318"/>
      <c r="CI747" s="338"/>
      <c r="CJ747" s="341"/>
      <c r="CK747" s="342">
        <f t="shared" si="18"/>
        <v>0</v>
      </c>
      <c r="CL747" s="333">
        <f t="shared" si="19"/>
        <v>0</v>
      </c>
      <c r="CM747" s="616"/>
      <c r="CN747" s="617"/>
      <c r="CO747" s="617"/>
      <c r="CP747" s="617"/>
    </row>
    <row r="748">
      <c r="A748" s="794"/>
      <c r="B748" s="462" t="s">
        <v>1341</v>
      </c>
      <c r="C748" s="417">
        <v>44287.0</v>
      </c>
      <c r="D748" s="318"/>
      <c r="E748" s="319">
        <v>4.0</v>
      </c>
      <c r="F748" s="324" t="s">
        <v>1347</v>
      </c>
      <c r="G748" s="321">
        <v>0.6075231481481481</v>
      </c>
      <c r="H748" s="323">
        <v>0.6083333333333333</v>
      </c>
      <c r="I748" s="323"/>
      <c r="J748" s="323"/>
      <c r="K748" s="323">
        <v>0.6147569444444444</v>
      </c>
      <c r="L748" s="323">
        <v>0.006423611111111111</v>
      </c>
      <c r="M748" s="326" t="s">
        <v>358</v>
      </c>
      <c r="N748" s="324" t="s">
        <v>187</v>
      </c>
      <c r="O748" s="419" t="s">
        <v>205</v>
      </c>
      <c r="P748" s="319" t="s">
        <v>222</v>
      </c>
      <c r="Q748" s="318"/>
      <c r="R748" s="326">
        <v>20.1</v>
      </c>
      <c r="S748" s="319">
        <v>5.3</v>
      </c>
      <c r="T748" s="324">
        <v>1.3</v>
      </c>
      <c r="U748" s="319">
        <v>5.0</v>
      </c>
      <c r="V748" s="319"/>
      <c r="W748" s="319"/>
      <c r="X748" s="319"/>
      <c r="Y748" s="319"/>
      <c r="Z748" s="319" t="s">
        <v>370</v>
      </c>
      <c r="AA748" s="319"/>
      <c r="AB748" s="319" t="s">
        <v>1173</v>
      </c>
      <c r="AC748" s="327">
        <v>6.0</v>
      </c>
      <c r="AD748" s="319"/>
      <c r="AE748" s="319"/>
      <c r="AF748" s="319"/>
      <c r="AG748" s="319"/>
      <c r="AH748" s="319"/>
      <c r="AI748" s="319"/>
      <c r="AJ748" s="327"/>
      <c r="AK748" s="328"/>
      <c r="AL748" s="319"/>
      <c r="AM748" s="319"/>
      <c r="AN748" s="319"/>
      <c r="AO748" s="319"/>
      <c r="AP748" s="319"/>
      <c r="AQ748" s="319"/>
      <c r="AR748" s="319"/>
      <c r="AS748" s="327"/>
      <c r="AT748" s="461" t="s">
        <v>182</v>
      </c>
      <c r="AU748" s="324" t="s">
        <v>845</v>
      </c>
      <c r="AV748" s="330">
        <f>SQRT(($R748-Infrastructure!J$3)^2+($S748-Infrastructure!K$3)^2)</f>
        <v>31.19487137</v>
      </c>
      <c r="AW748" s="331">
        <f>SQRT(($R748-Infrastructure!J$4)^2+($S748-Infrastructure!K$4)^2)</f>
        <v>23.92509143</v>
      </c>
      <c r="AX748" s="331">
        <f>SQRT(($R748-Infrastructure!J$5)^2+($S748-Infrastructure!K$5)^2)</f>
        <v>20.40098037</v>
      </c>
      <c r="AY748" s="331">
        <f>SQRT(($R748-Infrastructure!J$6)^2+($S748-Infrastructure!K$6)^2)</f>
        <v>11.18033989</v>
      </c>
      <c r="AZ748" s="331">
        <f>SQRT(($R748-Infrastructure!J$7)^2+($S748-Infrastructure!K$7)^2)</f>
        <v>5.015974482</v>
      </c>
      <c r="BA748" s="331">
        <f>SQRT(($R748-Infrastructure!J$8)^2+($S748-Infrastructure!K$8)^2)</f>
        <v>11.18033989</v>
      </c>
      <c r="BB748" s="331">
        <f>SQRT(($R748-Infrastructure!J$9)^2+($S748-Infrastructure!K$9)^2)</f>
        <v>19.901005</v>
      </c>
      <c r="BC748" s="331">
        <f>SQRT(($R748-Infrastructure!J$10)^2+($S748-Infrastructure!K$10)^2)</f>
        <v>22.13820228</v>
      </c>
      <c r="BD748" s="318"/>
      <c r="BE748" s="332"/>
      <c r="BF748" s="330">
        <f t="shared" si="14"/>
        <v>5.015974482</v>
      </c>
      <c r="BG748" s="333">
        <f t="shared" si="15"/>
        <v>31.19487137</v>
      </c>
      <c r="BH748" s="334"/>
      <c r="BI748" s="462" t="s">
        <v>845</v>
      </c>
      <c r="BJ748" s="319" t="s">
        <v>845</v>
      </c>
      <c r="BK748" s="319" t="s">
        <v>845</v>
      </c>
      <c r="BL748" s="788" t="s">
        <v>845</v>
      </c>
      <c r="BM748" s="319" t="s">
        <v>845</v>
      </c>
      <c r="BN748" s="319" t="s">
        <v>845</v>
      </c>
      <c r="BO748" s="319" t="s">
        <v>845</v>
      </c>
      <c r="BP748" s="319" t="s">
        <v>845</v>
      </c>
      <c r="BQ748" s="788" t="s">
        <v>845</v>
      </c>
      <c r="BR748" s="789" t="s">
        <v>845</v>
      </c>
      <c r="BS748" s="330">
        <f t="shared" si="39"/>
        <v>0</v>
      </c>
      <c r="BT748" s="331">
        <f t="shared" si="40"/>
        <v>0</v>
      </c>
      <c r="BU748" s="331"/>
      <c r="BV748" s="333"/>
      <c r="BW748" s="330"/>
      <c r="BX748" s="331"/>
      <c r="BY748" s="331" t="b">
        <f t="shared" si="41"/>
        <v>0</v>
      </c>
      <c r="BZ748" s="340"/>
      <c r="CA748" s="316"/>
      <c r="CB748" s="318"/>
      <c r="CC748" s="318"/>
      <c r="CD748" s="338"/>
      <c r="CE748" s="318"/>
      <c r="CF748" s="318"/>
      <c r="CG748" s="318"/>
      <c r="CH748" s="318"/>
      <c r="CI748" s="338"/>
      <c r="CJ748" s="341"/>
      <c r="CK748" s="342">
        <f t="shared" si="18"/>
        <v>0</v>
      </c>
      <c r="CL748" s="333">
        <f t="shared" si="19"/>
        <v>0</v>
      </c>
      <c r="CM748" s="616"/>
      <c r="CN748" s="617"/>
      <c r="CO748" s="617"/>
      <c r="CP748" s="617"/>
    </row>
    <row r="749">
      <c r="A749" s="794"/>
      <c r="B749" s="462" t="s">
        <v>1341</v>
      </c>
      <c r="C749" s="417">
        <v>44287.0</v>
      </c>
      <c r="D749" s="318"/>
      <c r="E749" s="319">
        <v>5.0</v>
      </c>
      <c r="F749" s="324" t="s">
        <v>1348</v>
      </c>
      <c r="G749" s="321">
        <v>0.6152777777777778</v>
      </c>
      <c r="H749" s="323">
        <v>0.6166666666666667</v>
      </c>
      <c r="I749" s="323"/>
      <c r="J749" s="323"/>
      <c r="K749" s="323">
        <v>0.6208333333333333</v>
      </c>
      <c r="L749" s="323">
        <v>0.004166666666666667</v>
      </c>
      <c r="M749" s="326" t="s">
        <v>358</v>
      </c>
      <c r="N749" s="324" t="s">
        <v>187</v>
      </c>
      <c r="O749" s="419" t="s">
        <v>205</v>
      </c>
      <c r="P749" s="319" t="s">
        <v>222</v>
      </c>
      <c r="Q749" s="318"/>
      <c r="R749" s="326">
        <v>20.1</v>
      </c>
      <c r="S749" s="319">
        <v>5.3</v>
      </c>
      <c r="T749" s="324">
        <v>1.3</v>
      </c>
      <c r="U749" s="319">
        <v>1.0</v>
      </c>
      <c r="V749" s="319"/>
      <c r="W749" s="319"/>
      <c r="X749" s="319"/>
      <c r="Y749" s="319"/>
      <c r="Z749" s="319" t="s">
        <v>370</v>
      </c>
      <c r="AA749" s="319"/>
      <c r="AB749" s="319" t="s">
        <v>1173</v>
      </c>
      <c r="AC749" s="327">
        <v>6.0</v>
      </c>
      <c r="AD749" s="319"/>
      <c r="AE749" s="319"/>
      <c r="AF749" s="319"/>
      <c r="AG749" s="319"/>
      <c r="AH749" s="319"/>
      <c r="AI749" s="319"/>
      <c r="AJ749" s="327"/>
      <c r="AK749" s="328"/>
      <c r="AL749" s="319"/>
      <c r="AM749" s="319"/>
      <c r="AN749" s="319"/>
      <c r="AO749" s="319"/>
      <c r="AP749" s="319"/>
      <c r="AQ749" s="319"/>
      <c r="AR749" s="319"/>
      <c r="AS749" s="327"/>
      <c r="AT749" s="461" t="s">
        <v>182</v>
      </c>
      <c r="AU749" s="324" t="s">
        <v>845</v>
      </c>
      <c r="AV749" s="330">
        <f>SQRT(($R749-Infrastructure!J$3)^2+($S749-Infrastructure!K$3)^2)</f>
        <v>31.19487137</v>
      </c>
      <c r="AW749" s="331">
        <f>SQRT(($R749-Infrastructure!J$4)^2+($S749-Infrastructure!K$4)^2)</f>
        <v>23.92509143</v>
      </c>
      <c r="AX749" s="331">
        <f>SQRT(($R749-Infrastructure!J$5)^2+($S749-Infrastructure!K$5)^2)</f>
        <v>20.40098037</v>
      </c>
      <c r="AY749" s="331">
        <f>SQRT(($R749-Infrastructure!J$6)^2+($S749-Infrastructure!K$6)^2)</f>
        <v>11.18033989</v>
      </c>
      <c r="AZ749" s="331">
        <f>SQRT(($R749-Infrastructure!J$7)^2+($S749-Infrastructure!K$7)^2)</f>
        <v>5.015974482</v>
      </c>
      <c r="BA749" s="331">
        <f>SQRT(($R749-Infrastructure!J$8)^2+($S749-Infrastructure!K$8)^2)</f>
        <v>11.18033989</v>
      </c>
      <c r="BB749" s="331">
        <f>SQRT(($R749-Infrastructure!J$9)^2+($S749-Infrastructure!K$9)^2)</f>
        <v>19.901005</v>
      </c>
      <c r="BC749" s="331">
        <f>SQRT(($R749-Infrastructure!J$10)^2+($S749-Infrastructure!K$10)^2)</f>
        <v>22.13820228</v>
      </c>
      <c r="BD749" s="318"/>
      <c r="BE749" s="332"/>
      <c r="BF749" s="330">
        <f t="shared" si="14"/>
        <v>5.015974482</v>
      </c>
      <c r="BG749" s="333">
        <f t="shared" si="15"/>
        <v>31.19487137</v>
      </c>
      <c r="BH749" s="334"/>
      <c r="BI749" s="462" t="s">
        <v>845</v>
      </c>
      <c r="BJ749" s="319" t="s">
        <v>845</v>
      </c>
      <c r="BK749" s="319" t="s">
        <v>845</v>
      </c>
      <c r="BL749" s="788" t="s">
        <v>845</v>
      </c>
      <c r="BM749" s="319" t="s">
        <v>845</v>
      </c>
      <c r="BN749" s="319" t="s">
        <v>845</v>
      </c>
      <c r="BO749" s="319" t="s">
        <v>845</v>
      </c>
      <c r="BP749" s="319" t="s">
        <v>845</v>
      </c>
      <c r="BQ749" s="788" t="s">
        <v>845</v>
      </c>
      <c r="BR749" s="789" t="s">
        <v>845</v>
      </c>
      <c r="BS749" s="330">
        <f t="shared" si="39"/>
        <v>0</v>
      </c>
      <c r="BT749" s="331">
        <f t="shared" si="40"/>
        <v>0</v>
      </c>
      <c r="BU749" s="331"/>
      <c r="BV749" s="333"/>
      <c r="BW749" s="330"/>
      <c r="BX749" s="331"/>
      <c r="BY749" s="331" t="b">
        <f t="shared" si="41"/>
        <v>0</v>
      </c>
      <c r="BZ749" s="340"/>
      <c r="CA749" s="316"/>
      <c r="CB749" s="318"/>
      <c r="CC749" s="318"/>
      <c r="CD749" s="338"/>
      <c r="CE749" s="318"/>
      <c r="CF749" s="318"/>
      <c r="CG749" s="318"/>
      <c r="CH749" s="318"/>
      <c r="CI749" s="338"/>
      <c r="CJ749" s="341"/>
      <c r="CK749" s="342">
        <f t="shared" si="18"/>
        <v>0</v>
      </c>
      <c r="CL749" s="333">
        <f t="shared" si="19"/>
        <v>0</v>
      </c>
      <c r="CM749" s="616"/>
      <c r="CN749" s="617"/>
      <c r="CO749" s="617"/>
      <c r="CP749" s="617"/>
    </row>
    <row r="750">
      <c r="A750" s="794"/>
      <c r="B750" s="462" t="s">
        <v>1341</v>
      </c>
      <c r="C750" s="417">
        <v>44287.0</v>
      </c>
      <c r="D750" s="318"/>
      <c r="E750" s="319">
        <v>6.0</v>
      </c>
      <c r="F750" s="324" t="s">
        <v>1349</v>
      </c>
      <c r="G750" s="321">
        <v>0.6277199074074075</v>
      </c>
      <c r="H750" s="323">
        <v>0.6284722222222222</v>
      </c>
      <c r="I750" s="323"/>
      <c r="J750" s="323"/>
      <c r="K750" s="323">
        <v>0.6328125</v>
      </c>
      <c r="L750" s="323">
        <v>0.004340277777777778</v>
      </c>
      <c r="M750" s="326" t="s">
        <v>358</v>
      </c>
      <c r="N750" s="324" t="s">
        <v>187</v>
      </c>
      <c r="O750" s="419" t="s">
        <v>201</v>
      </c>
      <c r="P750" s="319" t="s">
        <v>212</v>
      </c>
      <c r="Q750" s="318"/>
      <c r="R750" s="326">
        <v>16.3</v>
      </c>
      <c r="S750" s="319">
        <v>6.5</v>
      </c>
      <c r="T750" s="324">
        <v>0.6</v>
      </c>
      <c r="U750" s="319">
        <v>1.5</v>
      </c>
      <c r="V750" s="319"/>
      <c r="W750" s="319"/>
      <c r="X750" s="319"/>
      <c r="Y750" s="319"/>
      <c r="Z750" s="319" t="s">
        <v>339</v>
      </c>
      <c r="AA750" s="319"/>
      <c r="AB750" s="319" t="s">
        <v>1350</v>
      </c>
      <c r="AC750" s="327">
        <v>1.0</v>
      </c>
      <c r="AD750" s="319"/>
      <c r="AE750" s="319"/>
      <c r="AF750" s="319"/>
      <c r="AG750" s="319"/>
      <c r="AH750" s="319"/>
      <c r="AI750" s="319"/>
      <c r="AJ750" s="327"/>
      <c r="AK750" s="328"/>
      <c r="AL750" s="319"/>
      <c r="AM750" s="319"/>
      <c r="AN750" s="319"/>
      <c r="AO750" s="319"/>
      <c r="AP750" s="319"/>
      <c r="AQ750" s="319"/>
      <c r="AR750" s="319"/>
      <c r="AS750" s="327"/>
      <c r="AT750" s="461" t="s">
        <v>182</v>
      </c>
      <c r="AU750" s="324" t="s">
        <v>845</v>
      </c>
      <c r="AV750" s="330">
        <f>SQRT(($R750-Infrastructure!J$3)^2+($S750-Infrastructure!K$3)^2)</f>
        <v>27.88045911</v>
      </c>
      <c r="AW750" s="331">
        <f>SQRT(($R750-Infrastructure!J$4)^2+($S750-Infrastructure!K$4)^2)</f>
        <v>20.08108563</v>
      </c>
      <c r="AX750" s="331">
        <f>SQRT(($R750-Infrastructure!J$5)^2+($S750-Infrastructure!K$5)^2)</f>
        <v>16.65893154</v>
      </c>
      <c r="AY750" s="331">
        <f>SQRT(($R750-Infrastructure!J$6)^2+($S750-Infrastructure!K$6)^2)</f>
        <v>8.768124087</v>
      </c>
      <c r="AZ750" s="331">
        <f>SQRT(($R750-Infrastructure!J$7)^2+($S750-Infrastructure!K$7)^2)</f>
        <v>7.488658091</v>
      </c>
      <c r="BA750" s="331">
        <f>SQRT(($R750-Infrastructure!J$8)^2+($S750-Infrastructure!K$8)^2)</f>
        <v>15.12878052</v>
      </c>
      <c r="BB750" s="331">
        <f>SQRT(($R750-Infrastructure!J$9)^2+($S750-Infrastructure!K$9)^2)</f>
        <v>23.7413142</v>
      </c>
      <c r="BC750" s="331">
        <f>SQRT(($R750-Infrastructure!J$10)^2+($S750-Infrastructure!K$10)^2)</f>
        <v>25.17816514</v>
      </c>
      <c r="BD750" s="318"/>
      <c r="BE750" s="332"/>
      <c r="BF750" s="330">
        <f t="shared" si="14"/>
        <v>7.488658091</v>
      </c>
      <c r="BG750" s="333">
        <f t="shared" si="15"/>
        <v>27.88045911</v>
      </c>
      <c r="BH750" s="334"/>
      <c r="BI750" s="462" t="s">
        <v>846</v>
      </c>
      <c r="BJ750" s="319" t="s">
        <v>845</v>
      </c>
      <c r="BK750" s="319" t="s">
        <v>846</v>
      </c>
      <c r="BL750" s="788" t="s">
        <v>845</v>
      </c>
      <c r="BM750" s="319" t="s">
        <v>846</v>
      </c>
      <c r="BN750" s="319" t="s">
        <v>846</v>
      </c>
      <c r="BO750" s="319" t="s">
        <v>845</v>
      </c>
      <c r="BP750" s="319" t="s">
        <v>845</v>
      </c>
      <c r="BQ750" s="788" t="s">
        <v>845</v>
      </c>
      <c r="BR750" s="789" t="s">
        <v>845</v>
      </c>
      <c r="BS750" s="330">
        <f t="shared" si="39"/>
        <v>7.488658091</v>
      </c>
      <c r="BT750" s="331">
        <f t="shared" si="40"/>
        <v>27.88045911</v>
      </c>
      <c r="BU750" s="331"/>
      <c r="BV750" s="333"/>
      <c r="BW750" s="614">
        <v>13.9</v>
      </c>
      <c r="BX750" s="615">
        <v>9.7</v>
      </c>
      <c r="BY750" s="331">
        <f t="shared" si="41"/>
        <v>4</v>
      </c>
      <c r="BZ750" s="340"/>
      <c r="CA750" s="462" t="s">
        <v>846</v>
      </c>
      <c r="CB750" s="318"/>
      <c r="CC750" s="426" t="s">
        <v>846</v>
      </c>
      <c r="CD750" s="338"/>
      <c r="CE750" s="426" t="s">
        <v>846</v>
      </c>
      <c r="CF750" s="426" t="s">
        <v>846</v>
      </c>
      <c r="CG750" s="426" t="s">
        <v>846</v>
      </c>
      <c r="CH750" s="319" t="s">
        <v>846</v>
      </c>
      <c r="CI750" s="338"/>
      <c r="CJ750" s="341"/>
      <c r="CK750" s="342">
        <f t="shared" si="18"/>
        <v>7.488658091</v>
      </c>
      <c r="CL750" s="333">
        <f t="shared" si="19"/>
        <v>27.88045911</v>
      </c>
      <c r="CM750" s="616"/>
      <c r="CN750" s="617"/>
      <c r="CO750" s="617"/>
      <c r="CP750" s="617"/>
    </row>
    <row r="751">
      <c r="A751" s="794"/>
      <c r="B751" s="462" t="s">
        <v>1341</v>
      </c>
      <c r="C751" s="417">
        <v>44287.0</v>
      </c>
      <c r="D751" s="318"/>
      <c r="E751" s="319">
        <v>7.0</v>
      </c>
      <c r="F751" s="324" t="s">
        <v>1351</v>
      </c>
      <c r="G751" s="321">
        <v>0.6361689814814815</v>
      </c>
      <c r="H751" s="323">
        <v>0.6369212962962963</v>
      </c>
      <c r="I751" s="323"/>
      <c r="J751" s="323"/>
      <c r="K751" s="323">
        <v>0.641087962962963</v>
      </c>
      <c r="L751" s="323">
        <v>0.004166666666666667</v>
      </c>
      <c r="M751" s="326" t="s">
        <v>358</v>
      </c>
      <c r="N751" s="324" t="s">
        <v>187</v>
      </c>
      <c r="O751" s="419" t="s">
        <v>201</v>
      </c>
      <c r="P751" s="319" t="s">
        <v>212</v>
      </c>
      <c r="Q751" s="318"/>
      <c r="R751" s="326">
        <v>16.3</v>
      </c>
      <c r="S751" s="319">
        <v>6.5</v>
      </c>
      <c r="T751" s="324">
        <v>0.6</v>
      </c>
      <c r="U751" s="319">
        <v>4.0</v>
      </c>
      <c r="V751" s="319"/>
      <c r="W751" s="319"/>
      <c r="X751" s="319"/>
      <c r="Y751" s="319"/>
      <c r="Z751" s="319" t="s">
        <v>339</v>
      </c>
      <c r="AA751" s="319"/>
      <c r="AB751" s="319" t="s">
        <v>1352</v>
      </c>
      <c r="AC751" s="327">
        <v>2.5</v>
      </c>
      <c r="AD751" s="319"/>
      <c r="AE751" s="319"/>
      <c r="AF751" s="319"/>
      <c r="AG751" s="319"/>
      <c r="AH751" s="319"/>
      <c r="AI751" s="319"/>
      <c r="AJ751" s="327"/>
      <c r="AK751" s="328"/>
      <c r="AL751" s="319"/>
      <c r="AM751" s="319"/>
      <c r="AN751" s="319"/>
      <c r="AO751" s="319"/>
      <c r="AP751" s="319"/>
      <c r="AQ751" s="319"/>
      <c r="AR751" s="319"/>
      <c r="AS751" s="327"/>
      <c r="AT751" s="461" t="s">
        <v>182</v>
      </c>
      <c r="AU751" s="324" t="s">
        <v>845</v>
      </c>
      <c r="AV751" s="330">
        <f>SQRT(($R751-Infrastructure!J$3)^2+($S751-Infrastructure!K$3)^2)</f>
        <v>27.88045911</v>
      </c>
      <c r="AW751" s="331">
        <f>SQRT(($R751-Infrastructure!J$4)^2+($S751-Infrastructure!K$4)^2)</f>
        <v>20.08108563</v>
      </c>
      <c r="AX751" s="331">
        <f>SQRT(($R751-Infrastructure!J$5)^2+($S751-Infrastructure!K$5)^2)</f>
        <v>16.65893154</v>
      </c>
      <c r="AY751" s="331">
        <f>SQRT(($R751-Infrastructure!J$6)^2+($S751-Infrastructure!K$6)^2)</f>
        <v>8.768124087</v>
      </c>
      <c r="AZ751" s="331">
        <f>SQRT(($R751-Infrastructure!J$7)^2+($S751-Infrastructure!K$7)^2)</f>
        <v>7.488658091</v>
      </c>
      <c r="BA751" s="331">
        <f>SQRT(($R751-Infrastructure!J$8)^2+($S751-Infrastructure!K$8)^2)</f>
        <v>15.12878052</v>
      </c>
      <c r="BB751" s="331">
        <f>SQRT(($R751-Infrastructure!J$9)^2+($S751-Infrastructure!K$9)^2)</f>
        <v>23.7413142</v>
      </c>
      <c r="BC751" s="331">
        <f>SQRT(($R751-Infrastructure!J$10)^2+($S751-Infrastructure!K$10)^2)</f>
        <v>25.17816514</v>
      </c>
      <c r="BD751" s="318"/>
      <c r="BE751" s="332"/>
      <c r="BF751" s="330">
        <f t="shared" si="14"/>
        <v>7.488658091</v>
      </c>
      <c r="BG751" s="333">
        <f t="shared" si="15"/>
        <v>27.88045911</v>
      </c>
      <c r="BH751" s="334"/>
      <c r="BI751" s="462" t="s">
        <v>846</v>
      </c>
      <c r="BJ751" s="319" t="s">
        <v>846</v>
      </c>
      <c r="BK751" s="319" t="s">
        <v>846</v>
      </c>
      <c r="BL751" s="788" t="s">
        <v>845</v>
      </c>
      <c r="BM751" s="319" t="s">
        <v>846</v>
      </c>
      <c r="BN751" s="319" t="s">
        <v>846</v>
      </c>
      <c r="BO751" s="319" t="s">
        <v>845</v>
      </c>
      <c r="BP751" s="319" t="s">
        <v>846</v>
      </c>
      <c r="BQ751" s="788" t="s">
        <v>845</v>
      </c>
      <c r="BR751" s="789" t="s">
        <v>845</v>
      </c>
      <c r="BS751" s="330">
        <f t="shared" si="39"/>
        <v>7.488658091</v>
      </c>
      <c r="BT751" s="331">
        <f t="shared" si="40"/>
        <v>27.88045911</v>
      </c>
      <c r="BU751" s="331"/>
      <c r="BV751" s="333"/>
      <c r="BW751" s="614">
        <v>16.0</v>
      </c>
      <c r="BX751" s="615">
        <v>9.5</v>
      </c>
      <c r="BY751" s="331">
        <f t="shared" si="41"/>
        <v>3.014962686</v>
      </c>
      <c r="BZ751" s="340"/>
      <c r="CA751" s="462" t="s">
        <v>846</v>
      </c>
      <c r="CB751" s="319" t="s">
        <v>846</v>
      </c>
      <c r="CC751" s="319" t="s">
        <v>846</v>
      </c>
      <c r="CD751" s="338"/>
      <c r="CE751" s="319" t="s">
        <v>846</v>
      </c>
      <c r="CF751" s="319" t="s">
        <v>846</v>
      </c>
      <c r="CG751" s="319" t="s">
        <v>846</v>
      </c>
      <c r="CH751" s="319" t="s">
        <v>846</v>
      </c>
      <c r="CI751" s="338"/>
      <c r="CJ751" s="341"/>
      <c r="CK751" s="342">
        <f t="shared" si="18"/>
        <v>7.488658091</v>
      </c>
      <c r="CL751" s="333">
        <f t="shared" si="19"/>
        <v>27.88045911</v>
      </c>
      <c r="CM751" s="616"/>
      <c r="CN751" s="617"/>
      <c r="CO751" s="617"/>
      <c r="CP751" s="617"/>
    </row>
    <row r="752">
      <c r="A752" s="794"/>
      <c r="B752" s="462" t="s">
        <v>1341</v>
      </c>
      <c r="C752" s="417">
        <v>44287.0</v>
      </c>
      <c r="D752" s="318"/>
      <c r="E752" s="319">
        <v>8.0</v>
      </c>
      <c r="F752" s="324" t="s">
        <v>1353</v>
      </c>
      <c r="G752" s="321">
        <v>0.6438078703703703</v>
      </c>
      <c r="H752" s="323">
        <v>0.6443287037037037</v>
      </c>
      <c r="I752" s="323"/>
      <c r="J752" s="323"/>
      <c r="K752" s="323">
        <v>0.6484953703703704</v>
      </c>
      <c r="L752" s="323">
        <v>0.004166666666666667</v>
      </c>
      <c r="M752" s="326" t="s">
        <v>358</v>
      </c>
      <c r="N752" s="324" t="s">
        <v>187</v>
      </c>
      <c r="O752" s="419" t="s">
        <v>201</v>
      </c>
      <c r="P752" s="319" t="s">
        <v>212</v>
      </c>
      <c r="Q752" s="318"/>
      <c r="R752" s="326">
        <v>16.3</v>
      </c>
      <c r="S752" s="319">
        <v>6.5</v>
      </c>
      <c r="T752" s="324">
        <v>0.6</v>
      </c>
      <c r="U752" s="319">
        <v>3.0</v>
      </c>
      <c r="V752" s="319"/>
      <c r="W752" s="319"/>
      <c r="X752" s="319"/>
      <c r="Y752" s="319"/>
      <c r="Z752" s="319" t="s">
        <v>339</v>
      </c>
      <c r="AA752" s="319"/>
      <c r="AB752" s="319" t="s">
        <v>1352</v>
      </c>
      <c r="AC752" s="327">
        <v>2.5</v>
      </c>
      <c r="AD752" s="319"/>
      <c r="AE752" s="319"/>
      <c r="AF752" s="319"/>
      <c r="AG752" s="319"/>
      <c r="AH752" s="319"/>
      <c r="AI752" s="319"/>
      <c r="AJ752" s="327"/>
      <c r="AK752" s="328"/>
      <c r="AL752" s="319"/>
      <c r="AM752" s="319"/>
      <c r="AN752" s="319"/>
      <c r="AO752" s="319"/>
      <c r="AP752" s="319"/>
      <c r="AQ752" s="319"/>
      <c r="AR752" s="319"/>
      <c r="AS752" s="327"/>
      <c r="AT752" s="461" t="s">
        <v>182</v>
      </c>
      <c r="AU752" s="324" t="s">
        <v>845</v>
      </c>
      <c r="AV752" s="330">
        <f>SQRT(($R752-Infrastructure!J$3)^2+($S752-Infrastructure!K$3)^2)</f>
        <v>27.88045911</v>
      </c>
      <c r="AW752" s="331">
        <f>SQRT(($R752-Infrastructure!J$4)^2+($S752-Infrastructure!K$4)^2)</f>
        <v>20.08108563</v>
      </c>
      <c r="AX752" s="331">
        <f>SQRT(($R752-Infrastructure!J$5)^2+($S752-Infrastructure!K$5)^2)</f>
        <v>16.65893154</v>
      </c>
      <c r="AY752" s="331">
        <f>SQRT(($R752-Infrastructure!J$6)^2+($S752-Infrastructure!K$6)^2)</f>
        <v>8.768124087</v>
      </c>
      <c r="AZ752" s="331">
        <f>SQRT(($R752-Infrastructure!J$7)^2+($S752-Infrastructure!K$7)^2)</f>
        <v>7.488658091</v>
      </c>
      <c r="BA752" s="331">
        <f>SQRT(($R752-Infrastructure!J$8)^2+($S752-Infrastructure!K$8)^2)</f>
        <v>15.12878052</v>
      </c>
      <c r="BB752" s="331">
        <f>SQRT(($R752-Infrastructure!J$9)^2+($S752-Infrastructure!K$9)^2)</f>
        <v>23.7413142</v>
      </c>
      <c r="BC752" s="331">
        <f>SQRT(($R752-Infrastructure!J$10)^2+($S752-Infrastructure!K$10)^2)</f>
        <v>25.17816514</v>
      </c>
      <c r="BD752" s="318"/>
      <c r="BE752" s="332"/>
      <c r="BF752" s="330">
        <f t="shared" si="14"/>
        <v>7.488658091</v>
      </c>
      <c r="BG752" s="333">
        <f t="shared" si="15"/>
        <v>27.88045911</v>
      </c>
      <c r="BH752" s="334"/>
      <c r="BI752" s="462" t="s">
        <v>846</v>
      </c>
      <c r="BJ752" s="319" t="s">
        <v>846</v>
      </c>
      <c r="BK752" s="319" t="s">
        <v>846</v>
      </c>
      <c r="BL752" s="788" t="s">
        <v>845</v>
      </c>
      <c r="BM752" s="319" t="s">
        <v>846</v>
      </c>
      <c r="BN752" s="319" t="s">
        <v>846</v>
      </c>
      <c r="BO752" s="319" t="s">
        <v>845</v>
      </c>
      <c r="BP752" s="319" t="s">
        <v>846</v>
      </c>
      <c r="BQ752" s="788" t="s">
        <v>845</v>
      </c>
      <c r="BR752" s="789" t="s">
        <v>845</v>
      </c>
      <c r="BS752" s="330">
        <f t="shared" si="39"/>
        <v>7.488658091</v>
      </c>
      <c r="BT752" s="331">
        <f t="shared" si="40"/>
        <v>27.88045911</v>
      </c>
      <c r="BU752" s="331"/>
      <c r="BV752" s="333"/>
      <c r="BW752" s="614">
        <v>15.5</v>
      </c>
      <c r="BX752" s="615">
        <v>8.0</v>
      </c>
      <c r="BY752" s="331">
        <f t="shared" si="41"/>
        <v>1.7</v>
      </c>
      <c r="BZ752" s="340"/>
      <c r="CA752" s="462" t="s">
        <v>846</v>
      </c>
      <c r="CB752" s="319" t="s">
        <v>846</v>
      </c>
      <c r="CC752" s="319" t="s">
        <v>846</v>
      </c>
      <c r="CD752" s="338"/>
      <c r="CE752" s="319" t="s">
        <v>846</v>
      </c>
      <c r="CF752" s="319" t="s">
        <v>846</v>
      </c>
      <c r="CG752" s="319" t="s">
        <v>846</v>
      </c>
      <c r="CH752" s="319" t="s">
        <v>846</v>
      </c>
      <c r="CI752" s="338"/>
      <c r="CJ752" s="341"/>
      <c r="CK752" s="342">
        <f t="shared" si="18"/>
        <v>7.488658091</v>
      </c>
      <c r="CL752" s="333">
        <f t="shared" si="19"/>
        <v>27.88045911</v>
      </c>
      <c r="CM752" s="616"/>
      <c r="CN752" s="617"/>
      <c r="CO752" s="617"/>
      <c r="CP752" s="617"/>
    </row>
    <row r="753">
      <c r="A753" s="794"/>
      <c r="B753" s="462" t="s">
        <v>1341</v>
      </c>
      <c r="C753" s="417">
        <v>44287.0</v>
      </c>
      <c r="D753" s="318"/>
      <c r="E753" s="319">
        <v>9.0</v>
      </c>
      <c r="F753" s="324" t="s">
        <v>1354</v>
      </c>
      <c r="G753" s="321">
        <v>0.6528935185185185</v>
      </c>
      <c r="H753" s="323">
        <v>0.6534722222222222</v>
      </c>
      <c r="I753" s="323"/>
      <c r="J753" s="323"/>
      <c r="K753" s="323">
        <v>0.6576388888888889</v>
      </c>
      <c r="L753" s="323">
        <v>0.004166666666666667</v>
      </c>
      <c r="M753" s="326" t="s">
        <v>358</v>
      </c>
      <c r="N753" s="324" t="s">
        <v>187</v>
      </c>
      <c r="O753" s="419" t="s">
        <v>201</v>
      </c>
      <c r="P753" s="319" t="s">
        <v>212</v>
      </c>
      <c r="Q753" s="318"/>
      <c r="R753" s="326">
        <v>4.0</v>
      </c>
      <c r="S753" s="319">
        <v>4.5</v>
      </c>
      <c r="T753" s="324">
        <v>0.6</v>
      </c>
      <c r="U753" s="319">
        <v>5.0</v>
      </c>
      <c r="V753" s="319"/>
      <c r="W753" s="319"/>
      <c r="X753" s="319"/>
      <c r="Y753" s="319"/>
      <c r="Z753" s="319" t="s">
        <v>339</v>
      </c>
      <c r="AA753" s="319"/>
      <c r="AB753" s="319" t="s">
        <v>1352</v>
      </c>
      <c r="AC753" s="327">
        <v>2.5</v>
      </c>
      <c r="AD753" s="319"/>
      <c r="AE753" s="319"/>
      <c r="AF753" s="319"/>
      <c r="AG753" s="319"/>
      <c r="AH753" s="319"/>
      <c r="AI753" s="319"/>
      <c r="AJ753" s="327"/>
      <c r="AK753" s="328"/>
      <c r="AL753" s="319"/>
      <c r="AM753" s="319"/>
      <c r="AN753" s="319"/>
      <c r="AO753" s="319"/>
      <c r="AP753" s="319"/>
      <c r="AQ753" s="319"/>
      <c r="AR753" s="319"/>
      <c r="AS753" s="327"/>
      <c r="AT753" s="461" t="s">
        <v>182</v>
      </c>
      <c r="AU753" s="324" t="s">
        <v>845</v>
      </c>
      <c r="AV753" s="330">
        <f>SQRT(($R753-Infrastructure!J$3)^2+($S753-Infrastructure!K$3)^2)</f>
        <v>24.77599645</v>
      </c>
      <c r="AW753" s="331">
        <f>SQRT(($R753-Infrastructure!J$4)^2+($S753-Infrastructure!K$4)^2)</f>
        <v>13.9778396</v>
      </c>
      <c r="AX753" s="331">
        <f>SQRT(($R753-Infrastructure!J$5)^2+($S753-Infrastructure!K$5)^2)</f>
        <v>4.341658669</v>
      </c>
      <c r="AY753" s="331">
        <f>SQRT(($R753-Infrastructure!J$6)^2+($S753-Infrastructure!K$6)^2)</f>
        <v>7.406078585</v>
      </c>
      <c r="AZ753" s="331">
        <f>SQRT(($R753-Infrastructure!J$7)^2+($S753-Infrastructure!K$7)^2)</f>
        <v>17.02615635</v>
      </c>
      <c r="BA753" s="331">
        <f>SQRT(($R753-Infrastructure!J$8)^2+($S753-Infrastructure!K$8)^2)</f>
        <v>26.43577122</v>
      </c>
      <c r="BB753" s="331">
        <f>SQRT(($R753-Infrastructure!J$9)^2+($S753-Infrastructure!K$9)^2)</f>
        <v>36.00499965</v>
      </c>
      <c r="BC753" s="331">
        <f>SQRT(($R753-Infrastructure!J$10)^2+($S753-Infrastructure!K$10)^2)</f>
        <v>37.5</v>
      </c>
      <c r="BD753" s="318"/>
      <c r="BE753" s="332"/>
      <c r="BF753" s="330">
        <f t="shared" si="14"/>
        <v>4.341658669</v>
      </c>
      <c r="BG753" s="333">
        <f t="shared" si="15"/>
        <v>37.5</v>
      </c>
      <c r="BH753" s="334"/>
      <c r="BI753" s="462" t="s">
        <v>846</v>
      </c>
      <c r="BJ753" s="319" t="s">
        <v>846</v>
      </c>
      <c r="BK753" s="319" t="s">
        <v>846</v>
      </c>
      <c r="BL753" s="788" t="s">
        <v>845</v>
      </c>
      <c r="BM753" s="319" t="s">
        <v>846</v>
      </c>
      <c r="BN753" s="319" t="s">
        <v>846</v>
      </c>
      <c r="BO753" s="319" t="s">
        <v>845</v>
      </c>
      <c r="BP753" s="319" t="s">
        <v>846</v>
      </c>
      <c r="BQ753" s="788" t="s">
        <v>845</v>
      </c>
      <c r="BR753" s="789" t="s">
        <v>845</v>
      </c>
      <c r="BS753" s="330">
        <f t="shared" si="39"/>
        <v>4.341658669</v>
      </c>
      <c r="BT753" s="331">
        <f t="shared" si="40"/>
        <v>37.5</v>
      </c>
      <c r="BU753" s="331"/>
      <c r="BV753" s="333"/>
      <c r="BW753" s="614">
        <v>9.7</v>
      </c>
      <c r="BX753" s="615">
        <v>10.0</v>
      </c>
      <c r="BY753" s="331">
        <f t="shared" si="41"/>
        <v>7.920858539</v>
      </c>
      <c r="BZ753" s="340"/>
      <c r="CA753" s="462" t="s">
        <v>846</v>
      </c>
      <c r="CB753" s="319" t="s">
        <v>846</v>
      </c>
      <c r="CC753" s="319" t="s">
        <v>846</v>
      </c>
      <c r="CD753" s="338"/>
      <c r="CE753" s="319" t="s">
        <v>846</v>
      </c>
      <c r="CF753" s="319" t="s">
        <v>846</v>
      </c>
      <c r="CG753" s="318"/>
      <c r="CH753" s="318"/>
      <c r="CI753" s="338"/>
      <c r="CJ753" s="341"/>
      <c r="CK753" s="342">
        <f t="shared" si="18"/>
        <v>4.341658669</v>
      </c>
      <c r="CL753" s="333">
        <f t="shared" si="19"/>
        <v>26.43577122</v>
      </c>
      <c r="CM753" s="616"/>
      <c r="CN753" s="617"/>
      <c r="CO753" s="617"/>
      <c r="CP753" s="617"/>
    </row>
    <row r="754">
      <c r="A754" s="794"/>
      <c r="B754" s="462" t="s">
        <v>1341</v>
      </c>
      <c r="C754" s="417">
        <v>44287.0</v>
      </c>
      <c r="D754" s="318"/>
      <c r="E754" s="319">
        <v>10.0</v>
      </c>
      <c r="F754" s="324" t="s">
        <v>1355</v>
      </c>
      <c r="G754" s="321">
        <v>0.6592013888888889</v>
      </c>
      <c r="H754" s="323">
        <v>0.6601273148148148</v>
      </c>
      <c r="I754" s="323"/>
      <c r="J754" s="323"/>
      <c r="K754" s="323">
        <v>0.6652777777777777</v>
      </c>
      <c r="L754" s="323">
        <v>0.005150462962962963</v>
      </c>
      <c r="M754" s="326" t="s">
        <v>358</v>
      </c>
      <c r="N754" s="324" t="s">
        <v>187</v>
      </c>
      <c r="O754" s="419" t="s">
        <v>201</v>
      </c>
      <c r="P754" s="319" t="s">
        <v>212</v>
      </c>
      <c r="Q754" s="318"/>
      <c r="R754" s="326">
        <v>4.0</v>
      </c>
      <c r="S754" s="319">
        <v>4.5</v>
      </c>
      <c r="T754" s="324">
        <v>0.6</v>
      </c>
      <c r="U754" s="319">
        <v>3.0</v>
      </c>
      <c r="V754" s="319"/>
      <c r="W754" s="319"/>
      <c r="X754" s="319"/>
      <c r="Y754" s="319"/>
      <c r="Z754" s="319" t="s">
        <v>339</v>
      </c>
      <c r="AA754" s="319"/>
      <c r="AB754" s="319" t="s">
        <v>1352</v>
      </c>
      <c r="AC754" s="327">
        <v>2.5</v>
      </c>
      <c r="AD754" s="319"/>
      <c r="AE754" s="319"/>
      <c r="AF754" s="319"/>
      <c r="AG754" s="319"/>
      <c r="AH754" s="319"/>
      <c r="AI754" s="319"/>
      <c r="AJ754" s="327"/>
      <c r="AK754" s="328"/>
      <c r="AL754" s="319"/>
      <c r="AM754" s="319"/>
      <c r="AN754" s="319"/>
      <c r="AO754" s="319"/>
      <c r="AP754" s="319"/>
      <c r="AQ754" s="319"/>
      <c r="AR754" s="319"/>
      <c r="AS754" s="327"/>
      <c r="AT754" s="461" t="s">
        <v>182</v>
      </c>
      <c r="AU754" s="324" t="s">
        <v>845</v>
      </c>
      <c r="AV754" s="330">
        <f>SQRT(($R754-Infrastructure!J$3)^2+($S754-Infrastructure!K$3)^2)</f>
        <v>24.77599645</v>
      </c>
      <c r="AW754" s="331">
        <f>SQRT(($R754-Infrastructure!J$4)^2+($S754-Infrastructure!K$4)^2)</f>
        <v>13.9778396</v>
      </c>
      <c r="AX754" s="331">
        <f>SQRT(($R754-Infrastructure!J$5)^2+($S754-Infrastructure!K$5)^2)</f>
        <v>4.341658669</v>
      </c>
      <c r="AY754" s="331">
        <f>SQRT(($R754-Infrastructure!J$6)^2+($S754-Infrastructure!K$6)^2)</f>
        <v>7.406078585</v>
      </c>
      <c r="AZ754" s="331">
        <f>SQRT(($R754-Infrastructure!J$7)^2+($S754-Infrastructure!K$7)^2)</f>
        <v>17.02615635</v>
      </c>
      <c r="BA754" s="331">
        <f>SQRT(($R754-Infrastructure!J$8)^2+($S754-Infrastructure!K$8)^2)</f>
        <v>26.43577122</v>
      </c>
      <c r="BB754" s="331">
        <f>SQRT(($R754-Infrastructure!J$9)^2+($S754-Infrastructure!K$9)^2)</f>
        <v>36.00499965</v>
      </c>
      <c r="BC754" s="331">
        <f>SQRT(($R754-Infrastructure!J$10)^2+($S754-Infrastructure!K$10)^2)</f>
        <v>37.5</v>
      </c>
      <c r="BD754" s="318"/>
      <c r="BE754" s="332"/>
      <c r="BF754" s="330">
        <f t="shared" si="14"/>
        <v>4.341658669</v>
      </c>
      <c r="BG754" s="333">
        <f t="shared" si="15"/>
        <v>37.5</v>
      </c>
      <c r="BH754" s="334"/>
      <c r="BI754" s="462" t="s">
        <v>846</v>
      </c>
      <c r="BJ754" s="319" t="s">
        <v>846</v>
      </c>
      <c r="BK754" s="319" t="s">
        <v>846</v>
      </c>
      <c r="BL754" s="788" t="s">
        <v>845</v>
      </c>
      <c r="BM754" s="319" t="s">
        <v>846</v>
      </c>
      <c r="BN754" s="319" t="s">
        <v>846</v>
      </c>
      <c r="BO754" s="319" t="s">
        <v>845</v>
      </c>
      <c r="BP754" s="319" t="s">
        <v>845</v>
      </c>
      <c r="BQ754" s="788" t="s">
        <v>845</v>
      </c>
      <c r="BR754" s="789" t="s">
        <v>845</v>
      </c>
      <c r="BS754" s="330">
        <f t="shared" si="39"/>
        <v>4.341658669</v>
      </c>
      <c r="BT754" s="331">
        <f t="shared" si="40"/>
        <v>26.43577122</v>
      </c>
      <c r="BU754" s="331"/>
      <c r="BV754" s="333"/>
      <c r="BW754" s="614">
        <v>6.6</v>
      </c>
      <c r="BX754" s="615">
        <v>11.8</v>
      </c>
      <c r="BY754" s="331">
        <f t="shared" si="41"/>
        <v>7.749193506</v>
      </c>
      <c r="BZ754" s="340"/>
      <c r="CA754" s="462" t="s">
        <v>846</v>
      </c>
      <c r="CB754" s="319" t="s">
        <v>846</v>
      </c>
      <c r="CC754" s="319" t="s">
        <v>846</v>
      </c>
      <c r="CD754" s="338"/>
      <c r="CE754" s="319" t="s">
        <v>846</v>
      </c>
      <c r="CF754" s="319" t="s">
        <v>846</v>
      </c>
      <c r="CG754" s="318"/>
      <c r="CH754" s="318"/>
      <c r="CI754" s="338"/>
      <c r="CJ754" s="341"/>
      <c r="CK754" s="342">
        <f t="shared" si="18"/>
        <v>4.341658669</v>
      </c>
      <c r="CL754" s="333">
        <f t="shared" si="19"/>
        <v>26.43577122</v>
      </c>
      <c r="CM754" s="616"/>
      <c r="CN754" s="617"/>
      <c r="CO754" s="617"/>
      <c r="CP754" s="617"/>
    </row>
    <row r="755">
      <c r="A755" s="794"/>
      <c r="B755" s="462" t="s">
        <v>1341</v>
      </c>
      <c r="C755" s="417">
        <v>44287.0</v>
      </c>
      <c r="D755" s="318"/>
      <c r="E755" s="319" t="s">
        <v>1356</v>
      </c>
      <c r="F755" s="324" t="s">
        <v>1357</v>
      </c>
      <c r="G755" s="321">
        <v>0.6666666666666666</v>
      </c>
      <c r="H755" s="323">
        <v>0.6671875</v>
      </c>
      <c r="I755" s="323"/>
      <c r="J755" s="323"/>
      <c r="K755" s="323">
        <v>0.6673611111111111</v>
      </c>
      <c r="L755" s="323">
        <v>1.7361111111111112E-4</v>
      </c>
      <c r="M755" s="326" t="s">
        <v>358</v>
      </c>
      <c r="N755" s="324" t="s">
        <v>187</v>
      </c>
      <c r="O755" s="419" t="s">
        <v>201</v>
      </c>
      <c r="P755" s="319" t="s">
        <v>212</v>
      </c>
      <c r="Q755" s="318"/>
      <c r="R755" s="326">
        <v>4.0</v>
      </c>
      <c r="S755" s="319">
        <v>4.5</v>
      </c>
      <c r="T755" s="324">
        <v>0.6</v>
      </c>
      <c r="U755" s="319">
        <v>1.0</v>
      </c>
      <c r="V755" s="319"/>
      <c r="W755" s="319"/>
      <c r="X755" s="319"/>
      <c r="Y755" s="319"/>
      <c r="Z755" s="319" t="s">
        <v>339</v>
      </c>
      <c r="AA755" s="319"/>
      <c r="AB755" s="319" t="s">
        <v>1358</v>
      </c>
      <c r="AC755" s="327">
        <v>1.5</v>
      </c>
      <c r="AD755" s="319"/>
      <c r="AE755" s="319"/>
      <c r="AF755" s="319"/>
      <c r="AG755" s="319"/>
      <c r="AH755" s="319"/>
      <c r="AI755" s="319"/>
      <c r="AJ755" s="327"/>
      <c r="AK755" s="328"/>
      <c r="AL755" s="319"/>
      <c r="AM755" s="319"/>
      <c r="AN755" s="319"/>
      <c r="AO755" s="319"/>
      <c r="AP755" s="319"/>
      <c r="AQ755" s="319"/>
      <c r="AR755" s="319"/>
      <c r="AS755" s="327"/>
      <c r="AT755" s="461" t="s">
        <v>182</v>
      </c>
      <c r="AU755" s="324" t="s">
        <v>845</v>
      </c>
      <c r="AV755" s="330">
        <f>SQRT(($R755-Infrastructure!J$3)^2+($S755-Infrastructure!K$3)^2)</f>
        <v>24.77599645</v>
      </c>
      <c r="AW755" s="331">
        <f>SQRT(($R755-Infrastructure!J$4)^2+($S755-Infrastructure!K$4)^2)</f>
        <v>13.9778396</v>
      </c>
      <c r="AX755" s="331">
        <f>SQRT(($R755-Infrastructure!J$5)^2+($S755-Infrastructure!K$5)^2)</f>
        <v>4.341658669</v>
      </c>
      <c r="AY755" s="331">
        <f>SQRT(($R755-Infrastructure!J$6)^2+($S755-Infrastructure!K$6)^2)</f>
        <v>7.406078585</v>
      </c>
      <c r="AZ755" s="331">
        <f>SQRT(($R755-Infrastructure!J$7)^2+($S755-Infrastructure!K$7)^2)</f>
        <v>17.02615635</v>
      </c>
      <c r="BA755" s="331">
        <f>SQRT(($R755-Infrastructure!J$8)^2+($S755-Infrastructure!K$8)^2)</f>
        <v>26.43577122</v>
      </c>
      <c r="BB755" s="331">
        <f>SQRT(($R755-Infrastructure!J$9)^2+($S755-Infrastructure!K$9)^2)</f>
        <v>36.00499965</v>
      </c>
      <c r="BC755" s="331">
        <f>SQRT(($R755-Infrastructure!J$10)^2+($S755-Infrastructure!K$10)^2)</f>
        <v>37.5</v>
      </c>
      <c r="BD755" s="318"/>
      <c r="BE755" s="332"/>
      <c r="BF755" s="330">
        <f t="shared" si="14"/>
        <v>4.341658669</v>
      </c>
      <c r="BG755" s="333">
        <f t="shared" si="15"/>
        <v>37.5</v>
      </c>
      <c r="BH755" s="334"/>
      <c r="BI755" s="462" t="s">
        <v>845</v>
      </c>
      <c r="BJ755" s="319" t="s">
        <v>845</v>
      </c>
      <c r="BK755" s="319" t="s">
        <v>846</v>
      </c>
      <c r="BL755" s="788" t="s">
        <v>845</v>
      </c>
      <c r="BM755" s="319" t="s">
        <v>846</v>
      </c>
      <c r="BN755" s="319" t="s">
        <v>845</v>
      </c>
      <c r="BO755" s="319" t="s">
        <v>845</v>
      </c>
      <c r="BP755" s="319" t="s">
        <v>845</v>
      </c>
      <c r="BQ755" s="788" t="s">
        <v>845</v>
      </c>
      <c r="BR755" s="789" t="s">
        <v>845</v>
      </c>
      <c r="BS755" s="330">
        <f t="shared" si="39"/>
        <v>4.341658669</v>
      </c>
      <c r="BT755" s="331">
        <f t="shared" si="40"/>
        <v>17.02615635</v>
      </c>
      <c r="BU755" s="331"/>
      <c r="BV755" s="333"/>
      <c r="BW755" s="330"/>
      <c r="BX755" s="331"/>
      <c r="BY755" s="331" t="b">
        <f t="shared" si="41"/>
        <v>0</v>
      </c>
      <c r="BZ755" s="340"/>
      <c r="CA755" s="316"/>
      <c r="CB755" s="319" t="s">
        <v>846</v>
      </c>
      <c r="CC755" s="318"/>
      <c r="CD755" s="338"/>
      <c r="CE755" s="319" t="s">
        <v>846</v>
      </c>
      <c r="CF755" s="318"/>
      <c r="CG755" s="318"/>
      <c r="CH755" s="318"/>
      <c r="CI755" s="338"/>
      <c r="CJ755" s="341"/>
      <c r="CK755" s="342">
        <f t="shared" si="18"/>
        <v>13.9778396</v>
      </c>
      <c r="CL755" s="333">
        <f t="shared" si="19"/>
        <v>17.02615635</v>
      </c>
      <c r="CM755" s="795" t="s">
        <v>1359</v>
      </c>
      <c r="CN755" s="796"/>
      <c r="CO755" s="796"/>
      <c r="CP755" s="796"/>
    </row>
    <row r="756">
      <c r="A756" s="794"/>
      <c r="B756" s="462" t="s">
        <v>1341</v>
      </c>
      <c r="C756" s="417">
        <v>44287.0</v>
      </c>
      <c r="D756" s="318"/>
      <c r="E756" s="319" t="s">
        <v>1360</v>
      </c>
      <c r="F756" s="324" t="s">
        <v>1361</v>
      </c>
      <c r="G756" s="321">
        <v>0.6675347222222222</v>
      </c>
      <c r="H756" s="323">
        <v>0.6675347222222222</v>
      </c>
      <c r="I756" s="323"/>
      <c r="J756" s="323"/>
      <c r="K756" s="323">
        <v>0.6677083333333333</v>
      </c>
      <c r="L756" s="323">
        <v>1.7361111111111112E-4</v>
      </c>
      <c r="M756" s="326" t="s">
        <v>358</v>
      </c>
      <c r="N756" s="324" t="s">
        <v>187</v>
      </c>
      <c r="O756" s="419" t="s">
        <v>201</v>
      </c>
      <c r="P756" s="319" t="s">
        <v>212</v>
      </c>
      <c r="Q756" s="318"/>
      <c r="R756" s="326">
        <v>4.0</v>
      </c>
      <c r="S756" s="319">
        <v>4.5</v>
      </c>
      <c r="T756" s="324">
        <v>0.6</v>
      </c>
      <c r="U756" s="319">
        <v>1.0</v>
      </c>
      <c r="V756" s="319"/>
      <c r="W756" s="319"/>
      <c r="X756" s="319"/>
      <c r="Y756" s="319"/>
      <c r="Z756" s="319" t="s">
        <v>339</v>
      </c>
      <c r="AA756" s="319"/>
      <c r="AB756" s="319" t="s">
        <v>1358</v>
      </c>
      <c r="AC756" s="327">
        <v>1.5</v>
      </c>
      <c r="AD756" s="319"/>
      <c r="AE756" s="319"/>
      <c r="AF756" s="319"/>
      <c r="AG756" s="319"/>
      <c r="AH756" s="319"/>
      <c r="AI756" s="319"/>
      <c r="AJ756" s="327"/>
      <c r="AK756" s="328"/>
      <c r="AL756" s="319"/>
      <c r="AM756" s="319"/>
      <c r="AN756" s="319"/>
      <c r="AO756" s="319"/>
      <c r="AP756" s="319"/>
      <c r="AQ756" s="319"/>
      <c r="AR756" s="319"/>
      <c r="AS756" s="327"/>
      <c r="AT756" s="461" t="s">
        <v>182</v>
      </c>
      <c r="AU756" s="324" t="s">
        <v>845</v>
      </c>
      <c r="AV756" s="330">
        <f>SQRT(($R756-Infrastructure!J$3)^2+($S756-Infrastructure!K$3)^2)</f>
        <v>24.77599645</v>
      </c>
      <c r="AW756" s="331">
        <f>SQRT(($R756-Infrastructure!J$4)^2+($S756-Infrastructure!K$4)^2)</f>
        <v>13.9778396</v>
      </c>
      <c r="AX756" s="331">
        <f>SQRT(($R756-Infrastructure!J$5)^2+($S756-Infrastructure!K$5)^2)</f>
        <v>4.341658669</v>
      </c>
      <c r="AY756" s="331">
        <f>SQRT(($R756-Infrastructure!J$6)^2+($S756-Infrastructure!K$6)^2)</f>
        <v>7.406078585</v>
      </c>
      <c r="AZ756" s="331">
        <f>SQRT(($R756-Infrastructure!J$7)^2+($S756-Infrastructure!K$7)^2)</f>
        <v>17.02615635</v>
      </c>
      <c r="BA756" s="331">
        <f>SQRT(($R756-Infrastructure!J$8)^2+($S756-Infrastructure!K$8)^2)</f>
        <v>26.43577122</v>
      </c>
      <c r="BB756" s="331">
        <f>SQRT(($R756-Infrastructure!J$9)^2+($S756-Infrastructure!K$9)^2)</f>
        <v>36.00499965</v>
      </c>
      <c r="BC756" s="331">
        <f>SQRT(($R756-Infrastructure!J$10)^2+($S756-Infrastructure!K$10)^2)</f>
        <v>37.5</v>
      </c>
      <c r="BD756" s="318"/>
      <c r="BE756" s="332"/>
      <c r="BF756" s="330">
        <f t="shared" si="14"/>
        <v>4.341658669</v>
      </c>
      <c r="BG756" s="333">
        <f t="shared" si="15"/>
        <v>37.5</v>
      </c>
      <c r="BH756" s="334"/>
      <c r="BI756" s="462" t="s">
        <v>845</v>
      </c>
      <c r="BJ756" s="319" t="s">
        <v>845</v>
      </c>
      <c r="BK756" s="319" t="s">
        <v>846</v>
      </c>
      <c r="BL756" s="788" t="s">
        <v>845</v>
      </c>
      <c r="BM756" s="319" t="s">
        <v>846</v>
      </c>
      <c r="BN756" s="319" t="s">
        <v>845</v>
      </c>
      <c r="BO756" s="319" t="s">
        <v>845</v>
      </c>
      <c r="BP756" s="319" t="s">
        <v>845</v>
      </c>
      <c r="BQ756" s="788" t="s">
        <v>845</v>
      </c>
      <c r="BR756" s="789" t="s">
        <v>845</v>
      </c>
      <c r="BS756" s="330">
        <f t="shared" si="39"/>
        <v>4.341658669</v>
      </c>
      <c r="BT756" s="331">
        <f t="shared" si="40"/>
        <v>17.02615635</v>
      </c>
      <c r="BU756" s="331"/>
      <c r="BV756" s="333"/>
      <c r="BW756" s="330"/>
      <c r="BX756" s="331"/>
      <c r="BY756" s="331" t="b">
        <f t="shared" si="41"/>
        <v>0</v>
      </c>
      <c r="BZ756" s="340"/>
      <c r="CA756" s="316"/>
      <c r="CB756" s="318"/>
      <c r="CC756" s="318"/>
      <c r="CD756" s="338"/>
      <c r="CE756" s="318"/>
      <c r="CF756" s="318"/>
      <c r="CG756" s="318"/>
      <c r="CH756" s="318"/>
      <c r="CI756" s="338"/>
      <c r="CJ756" s="341"/>
      <c r="CK756" s="342">
        <f t="shared" si="18"/>
        <v>0</v>
      </c>
      <c r="CL756" s="333">
        <f t="shared" si="19"/>
        <v>0</v>
      </c>
      <c r="CM756" s="797"/>
      <c r="CN756" s="796"/>
      <c r="CO756" s="796"/>
      <c r="CP756" s="796"/>
    </row>
    <row r="757">
      <c r="A757" s="794"/>
      <c r="B757" s="462" t="s">
        <v>1341</v>
      </c>
      <c r="C757" s="417">
        <v>44287.0</v>
      </c>
      <c r="D757" s="318"/>
      <c r="E757" s="319" t="s">
        <v>1362</v>
      </c>
      <c r="F757" s="324" t="s">
        <v>1363</v>
      </c>
      <c r="G757" s="321">
        <v>0.6678819444444445</v>
      </c>
      <c r="H757" s="323">
        <v>0.6678819444444445</v>
      </c>
      <c r="I757" s="323"/>
      <c r="J757" s="323"/>
      <c r="K757" s="323">
        <v>0.6680555555555555</v>
      </c>
      <c r="L757" s="323">
        <v>1.7361111111111112E-4</v>
      </c>
      <c r="M757" s="326" t="s">
        <v>358</v>
      </c>
      <c r="N757" s="324" t="s">
        <v>187</v>
      </c>
      <c r="O757" s="419" t="s">
        <v>201</v>
      </c>
      <c r="P757" s="319" t="s">
        <v>212</v>
      </c>
      <c r="Q757" s="318"/>
      <c r="R757" s="326">
        <v>4.0</v>
      </c>
      <c r="S757" s="319">
        <v>4.5</v>
      </c>
      <c r="T757" s="324">
        <v>0.6</v>
      </c>
      <c r="U757" s="319">
        <v>1.0</v>
      </c>
      <c r="V757" s="319"/>
      <c r="W757" s="319"/>
      <c r="X757" s="319"/>
      <c r="Y757" s="319"/>
      <c r="Z757" s="319" t="s">
        <v>339</v>
      </c>
      <c r="AA757" s="319"/>
      <c r="AB757" s="319" t="s">
        <v>1358</v>
      </c>
      <c r="AC757" s="327">
        <v>1.5</v>
      </c>
      <c r="AD757" s="319"/>
      <c r="AE757" s="319"/>
      <c r="AF757" s="319"/>
      <c r="AG757" s="319"/>
      <c r="AH757" s="319"/>
      <c r="AI757" s="319"/>
      <c r="AJ757" s="327"/>
      <c r="AK757" s="328"/>
      <c r="AL757" s="319"/>
      <c r="AM757" s="319"/>
      <c r="AN757" s="319"/>
      <c r="AO757" s="319"/>
      <c r="AP757" s="319"/>
      <c r="AQ757" s="319"/>
      <c r="AR757" s="319"/>
      <c r="AS757" s="327"/>
      <c r="AT757" s="461" t="s">
        <v>182</v>
      </c>
      <c r="AU757" s="324" t="s">
        <v>845</v>
      </c>
      <c r="AV757" s="330">
        <f>SQRT(($R757-Infrastructure!J$3)^2+($S757-Infrastructure!K$3)^2)</f>
        <v>24.77599645</v>
      </c>
      <c r="AW757" s="331">
        <f>SQRT(($R757-Infrastructure!J$4)^2+($S757-Infrastructure!K$4)^2)</f>
        <v>13.9778396</v>
      </c>
      <c r="AX757" s="331">
        <f>SQRT(($R757-Infrastructure!J$5)^2+($S757-Infrastructure!K$5)^2)</f>
        <v>4.341658669</v>
      </c>
      <c r="AY757" s="331">
        <f>SQRT(($R757-Infrastructure!J$6)^2+($S757-Infrastructure!K$6)^2)</f>
        <v>7.406078585</v>
      </c>
      <c r="AZ757" s="331">
        <f>SQRT(($R757-Infrastructure!J$7)^2+($S757-Infrastructure!K$7)^2)</f>
        <v>17.02615635</v>
      </c>
      <c r="BA757" s="331">
        <f>SQRT(($R757-Infrastructure!J$8)^2+($S757-Infrastructure!K$8)^2)</f>
        <v>26.43577122</v>
      </c>
      <c r="BB757" s="331">
        <f>SQRT(($R757-Infrastructure!J$9)^2+($S757-Infrastructure!K$9)^2)</f>
        <v>36.00499965</v>
      </c>
      <c r="BC757" s="331">
        <f>SQRT(($R757-Infrastructure!J$10)^2+($S757-Infrastructure!K$10)^2)</f>
        <v>37.5</v>
      </c>
      <c r="BD757" s="318"/>
      <c r="BE757" s="332"/>
      <c r="BF757" s="330">
        <f t="shared" si="14"/>
        <v>4.341658669</v>
      </c>
      <c r="BG757" s="333">
        <f t="shared" si="15"/>
        <v>37.5</v>
      </c>
      <c r="BH757" s="334"/>
      <c r="BI757" s="462" t="s">
        <v>845</v>
      </c>
      <c r="BJ757" s="319" t="s">
        <v>845</v>
      </c>
      <c r="BK757" s="319" t="s">
        <v>846</v>
      </c>
      <c r="BL757" s="788" t="s">
        <v>845</v>
      </c>
      <c r="BM757" s="319" t="s">
        <v>846</v>
      </c>
      <c r="BN757" s="319" t="s">
        <v>845</v>
      </c>
      <c r="BO757" s="319" t="s">
        <v>845</v>
      </c>
      <c r="BP757" s="319" t="s">
        <v>845</v>
      </c>
      <c r="BQ757" s="788" t="s">
        <v>845</v>
      </c>
      <c r="BR757" s="789" t="s">
        <v>845</v>
      </c>
      <c r="BS757" s="330">
        <f t="shared" si="39"/>
        <v>4.341658669</v>
      </c>
      <c r="BT757" s="331">
        <f t="shared" si="40"/>
        <v>17.02615635</v>
      </c>
      <c r="BU757" s="331"/>
      <c r="BV757" s="333"/>
      <c r="BW757" s="330"/>
      <c r="BX757" s="331"/>
      <c r="BY757" s="331" t="b">
        <f t="shared" si="41"/>
        <v>0</v>
      </c>
      <c r="BZ757" s="340"/>
      <c r="CA757" s="316"/>
      <c r="CB757" s="318"/>
      <c r="CC757" s="318"/>
      <c r="CD757" s="338"/>
      <c r="CE757" s="318"/>
      <c r="CF757" s="318"/>
      <c r="CG757" s="318"/>
      <c r="CH757" s="318"/>
      <c r="CI757" s="338"/>
      <c r="CJ757" s="341"/>
      <c r="CK757" s="342">
        <f t="shared" si="18"/>
        <v>0</v>
      </c>
      <c r="CL757" s="333">
        <f t="shared" si="19"/>
        <v>0</v>
      </c>
      <c r="CM757" s="797"/>
      <c r="CN757" s="796"/>
      <c r="CO757" s="796"/>
      <c r="CP757" s="796"/>
    </row>
    <row r="758">
      <c r="A758" s="794"/>
      <c r="B758" s="462" t="s">
        <v>1341</v>
      </c>
      <c r="C758" s="417">
        <v>44287.0</v>
      </c>
      <c r="D758" s="318"/>
      <c r="E758" s="319" t="s">
        <v>1364</v>
      </c>
      <c r="F758" s="324" t="s">
        <v>1365</v>
      </c>
      <c r="G758" s="321">
        <v>0.6682291666666667</v>
      </c>
      <c r="H758" s="323">
        <v>0.6682291666666667</v>
      </c>
      <c r="I758" s="323"/>
      <c r="J758" s="323"/>
      <c r="K758" s="323">
        <v>0.6684027777777778</v>
      </c>
      <c r="L758" s="323">
        <v>1.7361111111111112E-4</v>
      </c>
      <c r="M758" s="326" t="s">
        <v>358</v>
      </c>
      <c r="N758" s="324" t="s">
        <v>187</v>
      </c>
      <c r="O758" s="419" t="s">
        <v>201</v>
      </c>
      <c r="P758" s="319" t="s">
        <v>212</v>
      </c>
      <c r="Q758" s="318"/>
      <c r="R758" s="326">
        <v>4.0</v>
      </c>
      <c r="S758" s="319">
        <v>4.5</v>
      </c>
      <c r="T758" s="324">
        <v>0.6</v>
      </c>
      <c r="U758" s="319">
        <v>1.0</v>
      </c>
      <c r="V758" s="319"/>
      <c r="W758" s="319"/>
      <c r="X758" s="319"/>
      <c r="Y758" s="319"/>
      <c r="Z758" s="319" t="s">
        <v>339</v>
      </c>
      <c r="AA758" s="319"/>
      <c r="AB758" s="319" t="s">
        <v>1358</v>
      </c>
      <c r="AC758" s="327">
        <v>1.5</v>
      </c>
      <c r="AD758" s="319"/>
      <c r="AE758" s="319"/>
      <c r="AF758" s="319"/>
      <c r="AG758" s="319"/>
      <c r="AH758" s="319"/>
      <c r="AI758" s="319"/>
      <c r="AJ758" s="327"/>
      <c r="AK758" s="328"/>
      <c r="AL758" s="319"/>
      <c r="AM758" s="319"/>
      <c r="AN758" s="319"/>
      <c r="AO758" s="319"/>
      <c r="AP758" s="319"/>
      <c r="AQ758" s="319"/>
      <c r="AR758" s="319"/>
      <c r="AS758" s="327"/>
      <c r="AT758" s="461" t="s">
        <v>182</v>
      </c>
      <c r="AU758" s="324" t="s">
        <v>845</v>
      </c>
      <c r="AV758" s="330">
        <f>SQRT(($R758-Infrastructure!J$3)^2+($S758-Infrastructure!K$3)^2)</f>
        <v>24.77599645</v>
      </c>
      <c r="AW758" s="331">
        <f>SQRT(($R758-Infrastructure!J$4)^2+($S758-Infrastructure!K$4)^2)</f>
        <v>13.9778396</v>
      </c>
      <c r="AX758" s="331">
        <f>SQRT(($R758-Infrastructure!J$5)^2+($S758-Infrastructure!K$5)^2)</f>
        <v>4.341658669</v>
      </c>
      <c r="AY758" s="331">
        <f>SQRT(($R758-Infrastructure!J$6)^2+($S758-Infrastructure!K$6)^2)</f>
        <v>7.406078585</v>
      </c>
      <c r="AZ758" s="331">
        <f>SQRT(($R758-Infrastructure!J$7)^2+($S758-Infrastructure!K$7)^2)</f>
        <v>17.02615635</v>
      </c>
      <c r="BA758" s="331">
        <f>SQRT(($R758-Infrastructure!J$8)^2+($S758-Infrastructure!K$8)^2)</f>
        <v>26.43577122</v>
      </c>
      <c r="BB758" s="331">
        <f>SQRT(($R758-Infrastructure!J$9)^2+($S758-Infrastructure!K$9)^2)</f>
        <v>36.00499965</v>
      </c>
      <c r="BC758" s="331">
        <f>SQRT(($R758-Infrastructure!J$10)^2+($S758-Infrastructure!K$10)^2)</f>
        <v>37.5</v>
      </c>
      <c r="BD758" s="318"/>
      <c r="BE758" s="332"/>
      <c r="BF758" s="330">
        <f t="shared" si="14"/>
        <v>4.341658669</v>
      </c>
      <c r="BG758" s="333">
        <f t="shared" si="15"/>
        <v>37.5</v>
      </c>
      <c r="BH758" s="334"/>
      <c r="BI758" s="462" t="s">
        <v>845</v>
      </c>
      <c r="BJ758" s="319" t="s">
        <v>845</v>
      </c>
      <c r="BK758" s="319" t="s">
        <v>846</v>
      </c>
      <c r="BL758" s="788" t="s">
        <v>845</v>
      </c>
      <c r="BM758" s="319" t="s">
        <v>846</v>
      </c>
      <c r="BN758" s="319" t="s">
        <v>845</v>
      </c>
      <c r="BO758" s="319" t="s">
        <v>845</v>
      </c>
      <c r="BP758" s="319" t="s">
        <v>845</v>
      </c>
      <c r="BQ758" s="788" t="s">
        <v>845</v>
      </c>
      <c r="BR758" s="789" t="s">
        <v>845</v>
      </c>
      <c r="BS758" s="330">
        <f t="shared" si="39"/>
        <v>4.341658669</v>
      </c>
      <c r="BT758" s="331">
        <f t="shared" si="40"/>
        <v>17.02615635</v>
      </c>
      <c r="BU758" s="331"/>
      <c r="BV758" s="333"/>
      <c r="BW758" s="330"/>
      <c r="BX758" s="331"/>
      <c r="BY758" s="331" t="b">
        <f t="shared" si="41"/>
        <v>0</v>
      </c>
      <c r="BZ758" s="340"/>
      <c r="CA758" s="316"/>
      <c r="CB758" s="318"/>
      <c r="CC758" s="318"/>
      <c r="CD758" s="338"/>
      <c r="CE758" s="318"/>
      <c r="CF758" s="318"/>
      <c r="CG758" s="318"/>
      <c r="CH758" s="318"/>
      <c r="CI758" s="338"/>
      <c r="CJ758" s="341"/>
      <c r="CK758" s="342">
        <f t="shared" si="18"/>
        <v>0</v>
      </c>
      <c r="CL758" s="333">
        <f t="shared" si="19"/>
        <v>0</v>
      </c>
      <c r="CM758" s="797"/>
      <c r="CN758" s="796"/>
      <c r="CO758" s="796"/>
      <c r="CP758" s="796"/>
    </row>
    <row r="759">
      <c r="A759" s="794"/>
      <c r="B759" s="462" t="s">
        <v>1341</v>
      </c>
      <c r="C759" s="417">
        <v>44287.0</v>
      </c>
      <c r="D759" s="318"/>
      <c r="E759" s="319" t="s">
        <v>1366</v>
      </c>
      <c r="F759" s="324" t="s">
        <v>1367</v>
      </c>
      <c r="G759" s="321">
        <v>0.6685763888888889</v>
      </c>
      <c r="H759" s="323">
        <v>0.6685763888888889</v>
      </c>
      <c r="I759" s="323"/>
      <c r="J759" s="323"/>
      <c r="K759" s="323">
        <v>0.66875</v>
      </c>
      <c r="L759" s="323">
        <v>1.7361111111111112E-4</v>
      </c>
      <c r="M759" s="326" t="s">
        <v>358</v>
      </c>
      <c r="N759" s="324" t="s">
        <v>187</v>
      </c>
      <c r="O759" s="419" t="s">
        <v>201</v>
      </c>
      <c r="P759" s="319" t="s">
        <v>212</v>
      </c>
      <c r="Q759" s="318"/>
      <c r="R759" s="326">
        <v>4.0</v>
      </c>
      <c r="S759" s="319">
        <v>4.5</v>
      </c>
      <c r="T759" s="324">
        <v>0.6</v>
      </c>
      <c r="U759" s="319">
        <v>1.0</v>
      </c>
      <c r="V759" s="319"/>
      <c r="W759" s="319"/>
      <c r="X759" s="319"/>
      <c r="Y759" s="319"/>
      <c r="Z759" s="319" t="s">
        <v>339</v>
      </c>
      <c r="AA759" s="319"/>
      <c r="AB759" s="319" t="s">
        <v>1358</v>
      </c>
      <c r="AC759" s="327">
        <v>1.5</v>
      </c>
      <c r="AD759" s="319"/>
      <c r="AE759" s="319"/>
      <c r="AF759" s="319"/>
      <c r="AG759" s="319"/>
      <c r="AH759" s="319"/>
      <c r="AI759" s="319"/>
      <c r="AJ759" s="327"/>
      <c r="AK759" s="328"/>
      <c r="AL759" s="319"/>
      <c r="AM759" s="319"/>
      <c r="AN759" s="319"/>
      <c r="AO759" s="319"/>
      <c r="AP759" s="319"/>
      <c r="AQ759" s="319"/>
      <c r="AR759" s="319"/>
      <c r="AS759" s="327"/>
      <c r="AT759" s="461" t="s">
        <v>182</v>
      </c>
      <c r="AU759" s="324" t="s">
        <v>845</v>
      </c>
      <c r="AV759" s="330">
        <f>SQRT(($R759-Infrastructure!J$3)^2+($S759-Infrastructure!K$3)^2)</f>
        <v>24.77599645</v>
      </c>
      <c r="AW759" s="331">
        <f>SQRT(($R759-Infrastructure!J$4)^2+($S759-Infrastructure!K$4)^2)</f>
        <v>13.9778396</v>
      </c>
      <c r="AX759" s="331">
        <f>SQRT(($R759-Infrastructure!J$5)^2+($S759-Infrastructure!K$5)^2)</f>
        <v>4.341658669</v>
      </c>
      <c r="AY759" s="331">
        <f>SQRT(($R759-Infrastructure!J$6)^2+($S759-Infrastructure!K$6)^2)</f>
        <v>7.406078585</v>
      </c>
      <c r="AZ759" s="331">
        <f>SQRT(($R759-Infrastructure!J$7)^2+($S759-Infrastructure!K$7)^2)</f>
        <v>17.02615635</v>
      </c>
      <c r="BA759" s="331">
        <f>SQRT(($R759-Infrastructure!J$8)^2+($S759-Infrastructure!K$8)^2)</f>
        <v>26.43577122</v>
      </c>
      <c r="BB759" s="331">
        <f>SQRT(($R759-Infrastructure!J$9)^2+($S759-Infrastructure!K$9)^2)</f>
        <v>36.00499965</v>
      </c>
      <c r="BC759" s="331">
        <f>SQRT(($R759-Infrastructure!J$10)^2+($S759-Infrastructure!K$10)^2)</f>
        <v>37.5</v>
      </c>
      <c r="BD759" s="318"/>
      <c r="BE759" s="332"/>
      <c r="BF759" s="330">
        <f t="shared" si="14"/>
        <v>4.341658669</v>
      </c>
      <c r="BG759" s="333">
        <f t="shared" si="15"/>
        <v>37.5</v>
      </c>
      <c r="BH759" s="334"/>
      <c r="BI759" s="462" t="s">
        <v>845</v>
      </c>
      <c r="BJ759" s="319" t="s">
        <v>845</v>
      </c>
      <c r="BK759" s="319" t="s">
        <v>846</v>
      </c>
      <c r="BL759" s="788" t="s">
        <v>845</v>
      </c>
      <c r="BM759" s="319" t="s">
        <v>846</v>
      </c>
      <c r="BN759" s="319" t="s">
        <v>845</v>
      </c>
      <c r="BO759" s="319" t="s">
        <v>845</v>
      </c>
      <c r="BP759" s="319" t="s">
        <v>845</v>
      </c>
      <c r="BQ759" s="788" t="s">
        <v>845</v>
      </c>
      <c r="BR759" s="789" t="s">
        <v>845</v>
      </c>
      <c r="BS759" s="330">
        <f t="shared" si="39"/>
        <v>4.341658669</v>
      </c>
      <c r="BT759" s="331">
        <f t="shared" si="40"/>
        <v>17.02615635</v>
      </c>
      <c r="BU759" s="331"/>
      <c r="BV759" s="333"/>
      <c r="BW759" s="330"/>
      <c r="BX759" s="331"/>
      <c r="BY759" s="331" t="b">
        <f t="shared" si="41"/>
        <v>0</v>
      </c>
      <c r="BZ759" s="340"/>
      <c r="CA759" s="316"/>
      <c r="CB759" s="318"/>
      <c r="CC759" s="318"/>
      <c r="CD759" s="338"/>
      <c r="CE759" s="318"/>
      <c r="CF759" s="318"/>
      <c r="CG759" s="318"/>
      <c r="CH759" s="318"/>
      <c r="CI759" s="338"/>
      <c r="CJ759" s="341"/>
      <c r="CK759" s="342">
        <f t="shared" si="18"/>
        <v>0</v>
      </c>
      <c r="CL759" s="333">
        <f t="shared" si="19"/>
        <v>0</v>
      </c>
      <c r="CM759" s="797"/>
      <c r="CN759" s="796"/>
      <c r="CO759" s="796"/>
      <c r="CP759" s="796"/>
    </row>
    <row r="760">
      <c r="A760" s="794"/>
      <c r="B760" s="462" t="s">
        <v>1341</v>
      </c>
      <c r="C760" s="417">
        <v>44287.0</v>
      </c>
      <c r="D760" s="318"/>
      <c r="E760" s="319" t="s">
        <v>1368</v>
      </c>
      <c r="F760" s="324" t="s">
        <v>1369</v>
      </c>
      <c r="G760" s="321">
        <v>0.6689236111111111</v>
      </c>
      <c r="H760" s="323">
        <v>0.6689236111111111</v>
      </c>
      <c r="I760" s="323"/>
      <c r="J760" s="323"/>
      <c r="K760" s="323">
        <v>0.6690972222222222</v>
      </c>
      <c r="L760" s="323">
        <v>1.7361111111111112E-4</v>
      </c>
      <c r="M760" s="326" t="s">
        <v>358</v>
      </c>
      <c r="N760" s="324" t="s">
        <v>187</v>
      </c>
      <c r="O760" s="419" t="s">
        <v>201</v>
      </c>
      <c r="P760" s="319" t="s">
        <v>212</v>
      </c>
      <c r="Q760" s="318"/>
      <c r="R760" s="326">
        <v>4.0</v>
      </c>
      <c r="S760" s="319">
        <v>4.5</v>
      </c>
      <c r="T760" s="324">
        <v>0.6</v>
      </c>
      <c r="U760" s="319">
        <v>1.0</v>
      </c>
      <c r="V760" s="319"/>
      <c r="W760" s="319"/>
      <c r="X760" s="319"/>
      <c r="Y760" s="319"/>
      <c r="Z760" s="319" t="s">
        <v>339</v>
      </c>
      <c r="AA760" s="319"/>
      <c r="AB760" s="319" t="s">
        <v>1358</v>
      </c>
      <c r="AC760" s="327">
        <v>1.5</v>
      </c>
      <c r="AD760" s="319"/>
      <c r="AE760" s="319"/>
      <c r="AF760" s="319"/>
      <c r="AG760" s="319"/>
      <c r="AH760" s="319"/>
      <c r="AI760" s="319"/>
      <c r="AJ760" s="327"/>
      <c r="AK760" s="328"/>
      <c r="AL760" s="319"/>
      <c r="AM760" s="319"/>
      <c r="AN760" s="319"/>
      <c r="AO760" s="319"/>
      <c r="AP760" s="319"/>
      <c r="AQ760" s="319"/>
      <c r="AR760" s="319"/>
      <c r="AS760" s="327"/>
      <c r="AT760" s="461" t="s">
        <v>182</v>
      </c>
      <c r="AU760" s="324" t="s">
        <v>845</v>
      </c>
      <c r="AV760" s="330">
        <f>SQRT(($R760-Infrastructure!J$3)^2+($S760-Infrastructure!K$3)^2)</f>
        <v>24.77599645</v>
      </c>
      <c r="AW760" s="331">
        <f>SQRT(($R760-Infrastructure!J$4)^2+($S760-Infrastructure!K$4)^2)</f>
        <v>13.9778396</v>
      </c>
      <c r="AX760" s="331">
        <f>SQRT(($R760-Infrastructure!J$5)^2+($S760-Infrastructure!K$5)^2)</f>
        <v>4.341658669</v>
      </c>
      <c r="AY760" s="331">
        <f>SQRT(($R760-Infrastructure!J$6)^2+($S760-Infrastructure!K$6)^2)</f>
        <v>7.406078585</v>
      </c>
      <c r="AZ760" s="331">
        <f>SQRT(($R760-Infrastructure!J$7)^2+($S760-Infrastructure!K$7)^2)</f>
        <v>17.02615635</v>
      </c>
      <c r="BA760" s="331">
        <f>SQRT(($R760-Infrastructure!J$8)^2+($S760-Infrastructure!K$8)^2)</f>
        <v>26.43577122</v>
      </c>
      <c r="BB760" s="331">
        <f>SQRT(($R760-Infrastructure!J$9)^2+($S760-Infrastructure!K$9)^2)</f>
        <v>36.00499965</v>
      </c>
      <c r="BC760" s="331">
        <f>SQRT(($R760-Infrastructure!J$10)^2+($S760-Infrastructure!K$10)^2)</f>
        <v>37.5</v>
      </c>
      <c r="BD760" s="318"/>
      <c r="BE760" s="332"/>
      <c r="BF760" s="330">
        <f t="shared" si="14"/>
        <v>4.341658669</v>
      </c>
      <c r="BG760" s="333">
        <f t="shared" si="15"/>
        <v>37.5</v>
      </c>
      <c r="BH760" s="334"/>
      <c r="BI760" s="462" t="s">
        <v>845</v>
      </c>
      <c r="BJ760" s="319" t="s">
        <v>845</v>
      </c>
      <c r="BK760" s="319" t="s">
        <v>846</v>
      </c>
      <c r="BL760" s="788" t="s">
        <v>845</v>
      </c>
      <c r="BM760" s="319" t="s">
        <v>846</v>
      </c>
      <c r="BN760" s="319" t="s">
        <v>845</v>
      </c>
      <c r="BO760" s="319" t="s">
        <v>845</v>
      </c>
      <c r="BP760" s="319" t="s">
        <v>845</v>
      </c>
      <c r="BQ760" s="788" t="s">
        <v>845</v>
      </c>
      <c r="BR760" s="789" t="s">
        <v>845</v>
      </c>
      <c r="BS760" s="330">
        <f t="shared" si="39"/>
        <v>4.341658669</v>
      </c>
      <c r="BT760" s="331">
        <f t="shared" si="40"/>
        <v>17.02615635</v>
      </c>
      <c r="BU760" s="331"/>
      <c r="BV760" s="333"/>
      <c r="BW760" s="330"/>
      <c r="BX760" s="331"/>
      <c r="BY760" s="331" t="b">
        <f t="shared" si="41"/>
        <v>0</v>
      </c>
      <c r="BZ760" s="340"/>
      <c r="CA760" s="316"/>
      <c r="CB760" s="318"/>
      <c r="CC760" s="318"/>
      <c r="CD760" s="338"/>
      <c r="CE760" s="318"/>
      <c r="CF760" s="318"/>
      <c r="CG760" s="318"/>
      <c r="CH760" s="318"/>
      <c r="CI760" s="338"/>
      <c r="CJ760" s="341"/>
      <c r="CK760" s="342">
        <f t="shared" si="18"/>
        <v>0</v>
      </c>
      <c r="CL760" s="333">
        <f t="shared" si="19"/>
        <v>0</v>
      </c>
      <c r="CM760" s="797"/>
      <c r="CN760" s="796"/>
      <c r="CO760" s="796"/>
      <c r="CP760" s="796"/>
    </row>
    <row r="761">
      <c r="A761" s="794"/>
      <c r="B761" s="462" t="s">
        <v>1341</v>
      </c>
      <c r="C761" s="417">
        <v>44287.0</v>
      </c>
      <c r="D761" s="318"/>
      <c r="E761" s="319" t="s">
        <v>1370</v>
      </c>
      <c r="F761" s="324" t="s">
        <v>1371</v>
      </c>
      <c r="G761" s="321">
        <v>0.6692708333333334</v>
      </c>
      <c r="H761" s="323">
        <v>0.6692708333333334</v>
      </c>
      <c r="I761" s="323"/>
      <c r="J761" s="323"/>
      <c r="K761" s="323">
        <v>0.6694444444444444</v>
      </c>
      <c r="L761" s="323">
        <v>1.7361111111111112E-4</v>
      </c>
      <c r="M761" s="326" t="s">
        <v>358</v>
      </c>
      <c r="N761" s="324" t="s">
        <v>187</v>
      </c>
      <c r="O761" s="419" t="s">
        <v>201</v>
      </c>
      <c r="P761" s="319" t="s">
        <v>212</v>
      </c>
      <c r="Q761" s="318"/>
      <c r="R761" s="326">
        <v>4.0</v>
      </c>
      <c r="S761" s="319">
        <v>4.5</v>
      </c>
      <c r="T761" s="324">
        <v>0.6</v>
      </c>
      <c r="U761" s="319">
        <v>1.0</v>
      </c>
      <c r="V761" s="319"/>
      <c r="W761" s="319"/>
      <c r="X761" s="319"/>
      <c r="Y761" s="319"/>
      <c r="Z761" s="319" t="s">
        <v>339</v>
      </c>
      <c r="AA761" s="319"/>
      <c r="AB761" s="319" t="s">
        <v>1358</v>
      </c>
      <c r="AC761" s="327">
        <v>1.5</v>
      </c>
      <c r="AD761" s="319"/>
      <c r="AE761" s="319"/>
      <c r="AF761" s="319"/>
      <c r="AG761" s="319"/>
      <c r="AH761" s="319"/>
      <c r="AI761" s="319"/>
      <c r="AJ761" s="327"/>
      <c r="AK761" s="328"/>
      <c r="AL761" s="319"/>
      <c r="AM761" s="319"/>
      <c r="AN761" s="319"/>
      <c r="AO761" s="319"/>
      <c r="AP761" s="319"/>
      <c r="AQ761" s="319"/>
      <c r="AR761" s="319"/>
      <c r="AS761" s="327"/>
      <c r="AT761" s="461" t="s">
        <v>182</v>
      </c>
      <c r="AU761" s="324" t="s">
        <v>845</v>
      </c>
      <c r="AV761" s="330">
        <f>SQRT(($R761-Infrastructure!J$3)^2+($S761-Infrastructure!K$3)^2)</f>
        <v>24.77599645</v>
      </c>
      <c r="AW761" s="331">
        <f>SQRT(($R761-Infrastructure!J$4)^2+($S761-Infrastructure!K$4)^2)</f>
        <v>13.9778396</v>
      </c>
      <c r="AX761" s="331">
        <f>SQRT(($R761-Infrastructure!J$5)^2+($S761-Infrastructure!K$5)^2)</f>
        <v>4.341658669</v>
      </c>
      <c r="AY761" s="331">
        <f>SQRT(($R761-Infrastructure!J$6)^2+($S761-Infrastructure!K$6)^2)</f>
        <v>7.406078585</v>
      </c>
      <c r="AZ761" s="331">
        <f>SQRT(($R761-Infrastructure!J$7)^2+($S761-Infrastructure!K$7)^2)</f>
        <v>17.02615635</v>
      </c>
      <c r="BA761" s="331">
        <f>SQRT(($R761-Infrastructure!J$8)^2+($S761-Infrastructure!K$8)^2)</f>
        <v>26.43577122</v>
      </c>
      <c r="BB761" s="331">
        <f>SQRT(($R761-Infrastructure!J$9)^2+($S761-Infrastructure!K$9)^2)</f>
        <v>36.00499965</v>
      </c>
      <c r="BC761" s="331">
        <f>SQRT(($R761-Infrastructure!J$10)^2+($S761-Infrastructure!K$10)^2)</f>
        <v>37.5</v>
      </c>
      <c r="BD761" s="318"/>
      <c r="BE761" s="332"/>
      <c r="BF761" s="330">
        <f t="shared" si="14"/>
        <v>4.341658669</v>
      </c>
      <c r="BG761" s="333">
        <f t="shared" si="15"/>
        <v>37.5</v>
      </c>
      <c r="BH761" s="334"/>
      <c r="BI761" s="462" t="s">
        <v>845</v>
      </c>
      <c r="BJ761" s="319" t="s">
        <v>845</v>
      </c>
      <c r="BK761" s="319" t="s">
        <v>846</v>
      </c>
      <c r="BL761" s="788" t="s">
        <v>845</v>
      </c>
      <c r="BM761" s="319" t="s">
        <v>846</v>
      </c>
      <c r="BN761" s="319" t="s">
        <v>845</v>
      </c>
      <c r="BO761" s="319" t="s">
        <v>845</v>
      </c>
      <c r="BP761" s="319" t="s">
        <v>845</v>
      </c>
      <c r="BQ761" s="788" t="s">
        <v>845</v>
      </c>
      <c r="BR761" s="789" t="s">
        <v>845</v>
      </c>
      <c r="BS761" s="330">
        <f t="shared" si="39"/>
        <v>4.341658669</v>
      </c>
      <c r="BT761" s="331">
        <f t="shared" si="40"/>
        <v>17.02615635</v>
      </c>
      <c r="BU761" s="331"/>
      <c r="BV761" s="333"/>
      <c r="BW761" s="330"/>
      <c r="BX761" s="331"/>
      <c r="BY761" s="331" t="b">
        <f t="shared" si="41"/>
        <v>0</v>
      </c>
      <c r="BZ761" s="340"/>
      <c r="CA761" s="316"/>
      <c r="CB761" s="318"/>
      <c r="CC761" s="318"/>
      <c r="CD761" s="338"/>
      <c r="CE761" s="318"/>
      <c r="CF761" s="318"/>
      <c r="CG761" s="318"/>
      <c r="CH761" s="318"/>
      <c r="CI761" s="338"/>
      <c r="CJ761" s="341"/>
      <c r="CK761" s="342">
        <f t="shared" si="18"/>
        <v>0</v>
      </c>
      <c r="CL761" s="333">
        <f t="shared" si="19"/>
        <v>0</v>
      </c>
      <c r="CM761" s="797"/>
      <c r="CN761" s="796"/>
      <c r="CO761" s="796"/>
      <c r="CP761" s="796"/>
    </row>
    <row r="762">
      <c r="A762" s="794"/>
      <c r="B762" s="462" t="s">
        <v>1341</v>
      </c>
      <c r="C762" s="417">
        <v>44287.0</v>
      </c>
      <c r="D762" s="318"/>
      <c r="E762" s="319" t="s">
        <v>1372</v>
      </c>
      <c r="F762" s="324" t="s">
        <v>1373</v>
      </c>
      <c r="G762" s="321">
        <v>0.6696180555555555</v>
      </c>
      <c r="H762" s="323">
        <v>0.6696180555555555</v>
      </c>
      <c r="I762" s="323"/>
      <c r="J762" s="323"/>
      <c r="K762" s="323">
        <v>0.6697916666666667</v>
      </c>
      <c r="L762" s="323">
        <v>1.7361111111111112E-4</v>
      </c>
      <c r="M762" s="326" t="s">
        <v>358</v>
      </c>
      <c r="N762" s="324" t="s">
        <v>187</v>
      </c>
      <c r="O762" s="419" t="s">
        <v>201</v>
      </c>
      <c r="P762" s="319" t="s">
        <v>212</v>
      </c>
      <c r="Q762" s="318"/>
      <c r="R762" s="326">
        <v>4.0</v>
      </c>
      <c r="S762" s="319">
        <v>4.5</v>
      </c>
      <c r="T762" s="324">
        <v>0.6</v>
      </c>
      <c r="U762" s="319">
        <v>1.0</v>
      </c>
      <c r="V762" s="319"/>
      <c r="W762" s="319"/>
      <c r="X762" s="319"/>
      <c r="Y762" s="319"/>
      <c r="Z762" s="319" t="s">
        <v>339</v>
      </c>
      <c r="AA762" s="319"/>
      <c r="AB762" s="319" t="s">
        <v>1358</v>
      </c>
      <c r="AC762" s="327">
        <v>1.5</v>
      </c>
      <c r="AD762" s="319"/>
      <c r="AE762" s="319"/>
      <c r="AF762" s="319"/>
      <c r="AG762" s="319"/>
      <c r="AH762" s="319"/>
      <c r="AI762" s="319"/>
      <c r="AJ762" s="327"/>
      <c r="AK762" s="328"/>
      <c r="AL762" s="319"/>
      <c r="AM762" s="319"/>
      <c r="AN762" s="319"/>
      <c r="AO762" s="319"/>
      <c r="AP762" s="319"/>
      <c r="AQ762" s="319"/>
      <c r="AR762" s="319"/>
      <c r="AS762" s="327"/>
      <c r="AT762" s="461" t="s">
        <v>182</v>
      </c>
      <c r="AU762" s="324" t="s">
        <v>845</v>
      </c>
      <c r="AV762" s="330">
        <f>SQRT(($R762-Infrastructure!J$3)^2+($S762-Infrastructure!K$3)^2)</f>
        <v>24.77599645</v>
      </c>
      <c r="AW762" s="331">
        <f>SQRT(($R762-Infrastructure!J$4)^2+($S762-Infrastructure!K$4)^2)</f>
        <v>13.9778396</v>
      </c>
      <c r="AX762" s="331">
        <f>SQRT(($R762-Infrastructure!J$5)^2+($S762-Infrastructure!K$5)^2)</f>
        <v>4.341658669</v>
      </c>
      <c r="AY762" s="331">
        <f>SQRT(($R762-Infrastructure!J$6)^2+($S762-Infrastructure!K$6)^2)</f>
        <v>7.406078585</v>
      </c>
      <c r="AZ762" s="331">
        <f>SQRT(($R762-Infrastructure!J$7)^2+($S762-Infrastructure!K$7)^2)</f>
        <v>17.02615635</v>
      </c>
      <c r="BA762" s="331">
        <f>SQRT(($R762-Infrastructure!J$8)^2+($S762-Infrastructure!K$8)^2)</f>
        <v>26.43577122</v>
      </c>
      <c r="BB762" s="331">
        <f>SQRT(($R762-Infrastructure!J$9)^2+($S762-Infrastructure!K$9)^2)</f>
        <v>36.00499965</v>
      </c>
      <c r="BC762" s="331">
        <f>SQRT(($R762-Infrastructure!J$10)^2+($S762-Infrastructure!K$10)^2)</f>
        <v>37.5</v>
      </c>
      <c r="BD762" s="318"/>
      <c r="BE762" s="332"/>
      <c r="BF762" s="330">
        <f t="shared" si="14"/>
        <v>4.341658669</v>
      </c>
      <c r="BG762" s="333">
        <f t="shared" si="15"/>
        <v>37.5</v>
      </c>
      <c r="BH762" s="334"/>
      <c r="BI762" s="462" t="s">
        <v>845</v>
      </c>
      <c r="BJ762" s="319" t="s">
        <v>845</v>
      </c>
      <c r="BK762" s="319" t="s">
        <v>846</v>
      </c>
      <c r="BL762" s="788" t="s">
        <v>845</v>
      </c>
      <c r="BM762" s="319" t="s">
        <v>846</v>
      </c>
      <c r="BN762" s="319" t="s">
        <v>845</v>
      </c>
      <c r="BO762" s="319" t="s">
        <v>845</v>
      </c>
      <c r="BP762" s="319" t="s">
        <v>845</v>
      </c>
      <c r="BQ762" s="788" t="s">
        <v>845</v>
      </c>
      <c r="BR762" s="789" t="s">
        <v>845</v>
      </c>
      <c r="BS762" s="330">
        <f t="shared" si="39"/>
        <v>4.341658669</v>
      </c>
      <c r="BT762" s="331">
        <f t="shared" si="40"/>
        <v>17.02615635</v>
      </c>
      <c r="BU762" s="331"/>
      <c r="BV762" s="333"/>
      <c r="BW762" s="330"/>
      <c r="BX762" s="331"/>
      <c r="BY762" s="331" t="b">
        <f t="shared" si="41"/>
        <v>0</v>
      </c>
      <c r="BZ762" s="340"/>
      <c r="CA762" s="316"/>
      <c r="CB762" s="318"/>
      <c r="CC762" s="318"/>
      <c r="CD762" s="338"/>
      <c r="CE762" s="318"/>
      <c r="CF762" s="318"/>
      <c r="CG762" s="318"/>
      <c r="CH762" s="318"/>
      <c r="CI762" s="338"/>
      <c r="CJ762" s="341"/>
      <c r="CK762" s="342">
        <f t="shared" si="18"/>
        <v>0</v>
      </c>
      <c r="CL762" s="333">
        <f t="shared" si="19"/>
        <v>0</v>
      </c>
      <c r="CM762" s="797"/>
      <c r="CN762" s="796"/>
      <c r="CO762" s="796"/>
      <c r="CP762" s="796"/>
    </row>
    <row r="763">
      <c r="A763" s="794"/>
      <c r="B763" s="462" t="s">
        <v>1341</v>
      </c>
      <c r="C763" s="417">
        <v>44287.0</v>
      </c>
      <c r="D763" s="318"/>
      <c r="E763" s="319">
        <v>12.0</v>
      </c>
      <c r="F763" s="324" t="s">
        <v>1374</v>
      </c>
      <c r="G763" s="321">
        <v>0.6972222222222222</v>
      </c>
      <c r="H763" s="323">
        <v>0.6980902777777778</v>
      </c>
      <c r="I763" s="323"/>
      <c r="J763" s="323"/>
      <c r="K763" s="323">
        <v>0.7022569444444444</v>
      </c>
      <c r="L763" s="323">
        <v>0.004166666666666667</v>
      </c>
      <c r="M763" s="326" t="s">
        <v>358</v>
      </c>
      <c r="N763" s="324" t="s">
        <v>187</v>
      </c>
      <c r="O763" s="419" t="s">
        <v>206</v>
      </c>
      <c r="P763" s="319" t="s">
        <v>218</v>
      </c>
      <c r="Q763" s="318"/>
      <c r="R763" s="326">
        <v>21.2</v>
      </c>
      <c r="S763" s="319">
        <v>8.7</v>
      </c>
      <c r="T763" s="324">
        <v>2.4</v>
      </c>
      <c r="U763" s="319">
        <v>6.0</v>
      </c>
      <c r="V763" s="319"/>
      <c r="W763" s="319"/>
      <c r="X763" s="319"/>
      <c r="Y763" s="319"/>
      <c r="Z763" s="319" t="s">
        <v>347</v>
      </c>
      <c r="AA763" s="319"/>
      <c r="AB763" s="319" t="s">
        <v>1175</v>
      </c>
      <c r="AC763" s="327">
        <v>8.0</v>
      </c>
      <c r="AD763" s="319"/>
      <c r="AE763" s="319"/>
      <c r="AF763" s="319"/>
      <c r="AG763" s="319"/>
      <c r="AH763" s="319"/>
      <c r="AI763" s="319"/>
      <c r="AJ763" s="327"/>
      <c r="AK763" s="328"/>
      <c r="AL763" s="319"/>
      <c r="AM763" s="319"/>
      <c r="AN763" s="319"/>
      <c r="AO763" s="319"/>
      <c r="AP763" s="319"/>
      <c r="AQ763" s="319"/>
      <c r="AR763" s="319"/>
      <c r="AS763" s="327"/>
      <c r="AT763" s="461" t="s">
        <v>182</v>
      </c>
      <c r="AU763" s="324" t="s">
        <v>845</v>
      </c>
      <c r="AV763" s="330">
        <f>SQRT(($R763-Infrastructure!J$3)^2+($S763-Infrastructure!K$3)^2)</f>
        <v>29.50067796</v>
      </c>
      <c r="AW763" s="331">
        <f>SQRT(($R763-Infrastructure!J$4)^2+($S763-Infrastructure!K$4)^2)</f>
        <v>23.34652008</v>
      </c>
      <c r="AX763" s="331">
        <f>SQRT(($R763-Infrastructure!J$5)^2+($S763-Infrastructure!K$5)^2)</f>
        <v>21.79931192</v>
      </c>
      <c r="AY763" s="331">
        <f>SQRT(($R763-Infrastructure!J$6)^2+($S763-Infrastructure!K$6)^2)</f>
        <v>13.92012931</v>
      </c>
      <c r="AZ763" s="331">
        <f>SQRT(($R763-Infrastructure!J$7)^2+($S763-Infrastructure!K$7)^2)</f>
        <v>8.429116205</v>
      </c>
      <c r="BA763" s="331">
        <f>SQRT(($R763-Infrastructure!J$8)^2+($S763-Infrastructure!K$8)^2)</f>
        <v>12.2380554</v>
      </c>
      <c r="BB763" s="331">
        <f>SQRT(($R763-Infrastructure!J$9)^2+($S763-Infrastructure!K$9)^2)</f>
        <v>19.14157778</v>
      </c>
      <c r="BC763" s="331">
        <f>SQRT(($R763-Infrastructure!J$10)^2+($S763-Infrastructure!K$10)^2)</f>
        <v>19.82750615</v>
      </c>
      <c r="BD763" s="318"/>
      <c r="BE763" s="332"/>
      <c r="BF763" s="330">
        <f t="shared" si="14"/>
        <v>8.429116205</v>
      </c>
      <c r="BG763" s="333">
        <f t="shared" si="15"/>
        <v>29.50067796</v>
      </c>
      <c r="BH763" s="334"/>
      <c r="BI763" s="462" t="s">
        <v>845</v>
      </c>
      <c r="BJ763" s="319" t="s">
        <v>845</v>
      </c>
      <c r="BK763" s="319" t="s">
        <v>846</v>
      </c>
      <c r="BL763" s="788" t="s">
        <v>845</v>
      </c>
      <c r="BM763" s="319" t="s">
        <v>846</v>
      </c>
      <c r="BN763" s="319" t="s">
        <v>845</v>
      </c>
      <c r="BO763" s="319" t="s">
        <v>845</v>
      </c>
      <c r="BP763" s="319" t="s">
        <v>845</v>
      </c>
      <c r="BQ763" s="788" t="s">
        <v>845</v>
      </c>
      <c r="BR763" s="789" t="s">
        <v>845</v>
      </c>
      <c r="BS763" s="330">
        <f t="shared" si="39"/>
        <v>8.429116205</v>
      </c>
      <c r="BT763" s="331">
        <f t="shared" si="40"/>
        <v>21.79931192</v>
      </c>
      <c r="BU763" s="331"/>
      <c r="BV763" s="333"/>
      <c r="BW763" s="330"/>
      <c r="BX763" s="331"/>
      <c r="BY763" s="331" t="b">
        <f t="shared" si="41"/>
        <v>0</v>
      </c>
      <c r="BZ763" s="340"/>
      <c r="CA763" s="316"/>
      <c r="CB763" s="318"/>
      <c r="CC763" s="318"/>
      <c r="CD763" s="338"/>
      <c r="CE763" s="318"/>
      <c r="CF763" s="318"/>
      <c r="CG763" s="318"/>
      <c r="CH763" s="318"/>
      <c r="CI763" s="338"/>
      <c r="CJ763" s="341"/>
      <c r="CK763" s="342">
        <f t="shared" si="18"/>
        <v>0</v>
      </c>
      <c r="CL763" s="333">
        <f t="shared" si="19"/>
        <v>0</v>
      </c>
      <c r="CM763" s="616"/>
      <c r="CN763" s="617"/>
      <c r="CO763" s="617"/>
      <c r="CP763" s="617"/>
    </row>
    <row r="764">
      <c r="A764" s="794"/>
      <c r="B764" s="462" t="s">
        <v>1341</v>
      </c>
      <c r="C764" s="417">
        <v>44287.0</v>
      </c>
      <c r="D764" s="318"/>
      <c r="E764" s="319">
        <v>13.0</v>
      </c>
      <c r="F764" s="324" t="s">
        <v>1375</v>
      </c>
      <c r="G764" s="321">
        <v>0.7028935185185186</v>
      </c>
      <c r="H764" s="323">
        <v>0.7036458333333333</v>
      </c>
      <c r="I764" s="323"/>
      <c r="J764" s="323"/>
      <c r="K764" s="323">
        <v>0.7064236111111111</v>
      </c>
      <c r="L764" s="323">
        <v>0.002777777777777778</v>
      </c>
      <c r="M764" s="326" t="s">
        <v>358</v>
      </c>
      <c r="N764" s="324" t="s">
        <v>187</v>
      </c>
      <c r="O764" s="419" t="s">
        <v>198</v>
      </c>
      <c r="P764" s="319" t="s">
        <v>218</v>
      </c>
      <c r="Q764" s="318"/>
      <c r="R764" s="326">
        <v>10.3</v>
      </c>
      <c r="S764" s="319">
        <v>7.9</v>
      </c>
      <c r="T764" s="324">
        <v>3.0</v>
      </c>
      <c r="U764" s="319">
        <v>7.0</v>
      </c>
      <c r="V764" s="319"/>
      <c r="W764" s="319"/>
      <c r="X764" s="319"/>
      <c r="Y764" s="319"/>
      <c r="Z764" s="319" t="s">
        <v>343</v>
      </c>
      <c r="AA764" s="319"/>
      <c r="AB764" s="319" t="s">
        <v>1175</v>
      </c>
      <c r="AC764" s="327">
        <v>8.0</v>
      </c>
      <c r="AD764" s="319"/>
      <c r="AE764" s="319"/>
      <c r="AF764" s="319"/>
      <c r="AG764" s="319"/>
      <c r="AH764" s="319"/>
      <c r="AI764" s="319"/>
      <c r="AJ764" s="327"/>
      <c r="AK764" s="328"/>
      <c r="AL764" s="319"/>
      <c r="AM764" s="319"/>
      <c r="AN764" s="319"/>
      <c r="AO764" s="319"/>
      <c r="AP764" s="319"/>
      <c r="AQ764" s="319"/>
      <c r="AR764" s="319"/>
      <c r="AS764" s="327"/>
      <c r="AT764" s="461" t="s">
        <v>182</v>
      </c>
      <c r="AU764" s="324" t="s">
        <v>845</v>
      </c>
      <c r="AV764" s="330">
        <f>SQRT(($R764-Infrastructure!J$3)^2+($S764-Infrastructure!K$3)^2)</f>
        <v>23.52360517</v>
      </c>
      <c r="AW764" s="331">
        <f>SQRT(($R764-Infrastructure!J$4)^2+($S764-Infrastructure!K$4)^2)</f>
        <v>14.50413734</v>
      </c>
      <c r="AX764" s="331">
        <f>SQRT(($R764-Infrastructure!J$5)^2+($S764-Infrastructure!K$5)^2)</f>
        <v>10.96357606</v>
      </c>
      <c r="AY764" s="331">
        <f>SQRT(($R764-Infrastructure!J$6)^2+($S764-Infrastructure!K$6)^2)</f>
        <v>7.602631123</v>
      </c>
      <c r="AZ764" s="331">
        <f>SQRT(($R764-Infrastructure!J$7)^2+($S764-Infrastructure!K$7)^2)</f>
        <v>12.72006289</v>
      </c>
      <c r="BA764" s="331">
        <f>SQRT(($R764-Infrastructure!J$8)^2+($S764-Infrastructure!K$8)^2)</f>
        <v>21.20848887</v>
      </c>
      <c r="BB764" s="331">
        <f>SQRT(($R764-Infrastructure!J$9)^2+($S764-Infrastructure!K$9)^2)</f>
        <v>29.83169455</v>
      </c>
      <c r="BC764" s="331">
        <f>SQRT(($R764-Infrastructure!J$10)^2+($S764-Infrastructure!K$10)^2)</f>
        <v>30.53686297</v>
      </c>
      <c r="BD764" s="318"/>
      <c r="BE764" s="332"/>
      <c r="BF764" s="330">
        <f t="shared" si="14"/>
        <v>7.602631123</v>
      </c>
      <c r="BG764" s="333">
        <f t="shared" si="15"/>
        <v>30.53686297</v>
      </c>
      <c r="BH764" s="334"/>
      <c r="BI764" s="462" t="s">
        <v>845</v>
      </c>
      <c r="BJ764" s="319" t="s">
        <v>846</v>
      </c>
      <c r="BK764" s="319" t="s">
        <v>846</v>
      </c>
      <c r="BL764" s="788" t="s">
        <v>845</v>
      </c>
      <c r="BM764" s="319" t="s">
        <v>846</v>
      </c>
      <c r="BN764" s="319" t="s">
        <v>845</v>
      </c>
      <c r="BO764" s="319" t="s">
        <v>845</v>
      </c>
      <c r="BP764" s="319" t="s">
        <v>845</v>
      </c>
      <c r="BQ764" s="788" t="s">
        <v>845</v>
      </c>
      <c r="BR764" s="789" t="s">
        <v>845</v>
      </c>
      <c r="BS764" s="330">
        <f t="shared" si="39"/>
        <v>10.96357606</v>
      </c>
      <c r="BT764" s="331">
        <f t="shared" si="40"/>
        <v>14.50413734</v>
      </c>
      <c r="BU764" s="331"/>
      <c r="BV764" s="333"/>
      <c r="BW764" s="614">
        <v>5.2</v>
      </c>
      <c r="BX764" s="615">
        <v>10.7</v>
      </c>
      <c r="BY764" s="331">
        <f t="shared" si="41"/>
        <v>5.818075283</v>
      </c>
      <c r="BZ764" s="340"/>
      <c r="CA764" s="316"/>
      <c r="CB764" s="319" t="s">
        <v>846</v>
      </c>
      <c r="CC764" s="318"/>
      <c r="CD764" s="338"/>
      <c r="CE764" s="318"/>
      <c r="CF764" s="318"/>
      <c r="CG764" s="318"/>
      <c r="CH764" s="319" t="s">
        <v>846</v>
      </c>
      <c r="CI764" s="338"/>
      <c r="CJ764" s="341"/>
      <c r="CK764" s="342">
        <f t="shared" si="18"/>
        <v>14.50413734</v>
      </c>
      <c r="CL764" s="333">
        <f t="shared" si="19"/>
        <v>30.53686297</v>
      </c>
      <c r="CM764" s="616"/>
      <c r="CN764" s="617"/>
      <c r="CO764" s="617"/>
      <c r="CP764" s="617"/>
    </row>
    <row r="765">
      <c r="A765" s="794"/>
      <c r="B765" s="462" t="s">
        <v>1341</v>
      </c>
      <c r="C765" s="417">
        <v>44287.0</v>
      </c>
      <c r="D765" s="318"/>
      <c r="E765" s="319">
        <v>14.0</v>
      </c>
      <c r="F765" s="324" t="s">
        <v>1376</v>
      </c>
      <c r="G765" s="321">
        <v>0.7067708333333333</v>
      </c>
      <c r="H765" s="323">
        <v>0.7083333333333334</v>
      </c>
      <c r="I765" s="323"/>
      <c r="J765" s="323"/>
      <c r="K765" s="323">
        <v>0.7111111111111111</v>
      </c>
      <c r="L765" s="323">
        <v>0.002777777777777778</v>
      </c>
      <c r="M765" s="326" t="s">
        <v>358</v>
      </c>
      <c r="N765" s="324" t="s">
        <v>187</v>
      </c>
      <c r="O765" s="419" t="s">
        <v>198</v>
      </c>
      <c r="P765" s="319" t="s">
        <v>218</v>
      </c>
      <c r="Q765" s="318"/>
      <c r="R765" s="326">
        <v>10.3</v>
      </c>
      <c r="S765" s="319">
        <v>7.9</v>
      </c>
      <c r="T765" s="324">
        <v>3.0</v>
      </c>
      <c r="U765" s="319">
        <v>5.0</v>
      </c>
      <c r="V765" s="319"/>
      <c r="W765" s="319"/>
      <c r="X765" s="319"/>
      <c r="Y765" s="319"/>
      <c r="Z765" s="319" t="s">
        <v>343</v>
      </c>
      <c r="AA765" s="319"/>
      <c r="AB765" s="319" t="s">
        <v>1175</v>
      </c>
      <c r="AC765" s="327">
        <v>8.0</v>
      </c>
      <c r="AD765" s="319"/>
      <c r="AE765" s="319"/>
      <c r="AF765" s="319"/>
      <c r="AG765" s="319"/>
      <c r="AH765" s="319"/>
      <c r="AI765" s="319"/>
      <c r="AJ765" s="327"/>
      <c r="AK765" s="328"/>
      <c r="AL765" s="319"/>
      <c r="AM765" s="319"/>
      <c r="AN765" s="319"/>
      <c r="AO765" s="319"/>
      <c r="AP765" s="319"/>
      <c r="AQ765" s="319"/>
      <c r="AR765" s="319"/>
      <c r="AS765" s="327"/>
      <c r="AT765" s="461" t="s">
        <v>182</v>
      </c>
      <c r="AU765" s="324" t="s">
        <v>845</v>
      </c>
      <c r="AV765" s="330">
        <f>SQRT(($R765-Infrastructure!J$3)^2+($S765-Infrastructure!K$3)^2)</f>
        <v>23.52360517</v>
      </c>
      <c r="AW765" s="331">
        <f>SQRT(($R765-Infrastructure!J$4)^2+($S765-Infrastructure!K$4)^2)</f>
        <v>14.50413734</v>
      </c>
      <c r="AX765" s="331">
        <f>SQRT(($R765-Infrastructure!J$5)^2+($S765-Infrastructure!K$5)^2)</f>
        <v>10.96357606</v>
      </c>
      <c r="AY765" s="331">
        <f>SQRT(($R765-Infrastructure!J$6)^2+($S765-Infrastructure!K$6)^2)</f>
        <v>7.602631123</v>
      </c>
      <c r="AZ765" s="331">
        <f>SQRT(($R765-Infrastructure!J$7)^2+($S765-Infrastructure!K$7)^2)</f>
        <v>12.72006289</v>
      </c>
      <c r="BA765" s="331">
        <f>SQRT(($R765-Infrastructure!J$8)^2+($S765-Infrastructure!K$8)^2)</f>
        <v>21.20848887</v>
      </c>
      <c r="BB765" s="331">
        <f>SQRT(($R765-Infrastructure!J$9)^2+($S765-Infrastructure!K$9)^2)</f>
        <v>29.83169455</v>
      </c>
      <c r="BC765" s="331">
        <f>SQRT(($R765-Infrastructure!J$10)^2+($S765-Infrastructure!K$10)^2)</f>
        <v>30.53686297</v>
      </c>
      <c r="BD765" s="318"/>
      <c r="BE765" s="332"/>
      <c r="BF765" s="330">
        <f t="shared" si="14"/>
        <v>7.602631123</v>
      </c>
      <c r="BG765" s="333">
        <f t="shared" si="15"/>
        <v>30.53686297</v>
      </c>
      <c r="BH765" s="334"/>
      <c r="BI765" s="462" t="s">
        <v>845</v>
      </c>
      <c r="BJ765" s="319" t="s">
        <v>846</v>
      </c>
      <c r="BK765" s="319" t="s">
        <v>846</v>
      </c>
      <c r="BL765" s="788" t="s">
        <v>845</v>
      </c>
      <c r="BM765" s="319" t="s">
        <v>846</v>
      </c>
      <c r="BN765" s="319" t="s">
        <v>845</v>
      </c>
      <c r="BO765" s="319" t="s">
        <v>845</v>
      </c>
      <c r="BP765" s="319" t="s">
        <v>845</v>
      </c>
      <c r="BQ765" s="788" t="s">
        <v>845</v>
      </c>
      <c r="BR765" s="789" t="s">
        <v>845</v>
      </c>
      <c r="BS765" s="330">
        <f t="shared" si="39"/>
        <v>10.96357606</v>
      </c>
      <c r="BT765" s="331">
        <f t="shared" si="40"/>
        <v>14.50413734</v>
      </c>
      <c r="BU765" s="331"/>
      <c r="BV765" s="333"/>
      <c r="BW765" s="330"/>
      <c r="BX765" s="331"/>
      <c r="BY765" s="331" t="b">
        <f t="shared" si="41"/>
        <v>0</v>
      </c>
      <c r="BZ765" s="340"/>
      <c r="CA765" s="316"/>
      <c r="CB765" s="319" t="s">
        <v>846</v>
      </c>
      <c r="CC765" s="318"/>
      <c r="CD765" s="338"/>
      <c r="CE765" s="318"/>
      <c r="CF765" s="318"/>
      <c r="CG765" s="318"/>
      <c r="CH765" s="319" t="s">
        <v>846</v>
      </c>
      <c r="CI765" s="338"/>
      <c r="CJ765" s="341"/>
      <c r="CK765" s="342">
        <f t="shared" si="18"/>
        <v>14.50413734</v>
      </c>
      <c r="CL765" s="333">
        <f t="shared" si="19"/>
        <v>30.53686297</v>
      </c>
      <c r="CM765" s="616"/>
      <c r="CN765" s="617"/>
      <c r="CO765" s="617"/>
      <c r="CP765" s="617"/>
    </row>
    <row r="766">
      <c r="A766" s="794"/>
      <c r="B766" s="462" t="s">
        <v>1341</v>
      </c>
      <c r="C766" s="417">
        <v>44287.0</v>
      </c>
      <c r="D766" s="318"/>
      <c r="E766" s="319">
        <v>15.0</v>
      </c>
      <c r="F766" s="324" t="s">
        <v>1377</v>
      </c>
      <c r="G766" s="321">
        <v>0.7114583333333333</v>
      </c>
      <c r="H766" s="323">
        <v>0.7119791666666667</v>
      </c>
      <c r="I766" s="323"/>
      <c r="J766" s="323"/>
      <c r="K766" s="323">
        <v>0.7142361111111111</v>
      </c>
      <c r="L766" s="323">
        <v>0.0022569444444444442</v>
      </c>
      <c r="M766" s="326" t="s">
        <v>358</v>
      </c>
      <c r="N766" s="324" t="s">
        <v>187</v>
      </c>
      <c r="O766" s="419" t="s">
        <v>197</v>
      </c>
      <c r="P766" s="319" t="s">
        <v>220</v>
      </c>
      <c r="Q766" s="319" t="s">
        <v>842</v>
      </c>
      <c r="R766" s="326">
        <v>37.1</v>
      </c>
      <c r="S766" s="319">
        <v>7.0</v>
      </c>
      <c r="T766" s="324">
        <v>6.5</v>
      </c>
      <c r="U766" s="319">
        <v>5.0</v>
      </c>
      <c r="V766" s="319"/>
      <c r="W766" s="319"/>
      <c r="X766" s="319"/>
      <c r="Y766" s="319"/>
      <c r="Z766" s="319" t="s">
        <v>379</v>
      </c>
      <c r="AA766" s="319"/>
      <c r="AB766" s="319" t="s">
        <v>1173</v>
      </c>
      <c r="AC766" s="327">
        <v>6.0</v>
      </c>
      <c r="AD766" s="319"/>
      <c r="AE766" s="319"/>
      <c r="AF766" s="319"/>
      <c r="AG766" s="319"/>
      <c r="AH766" s="319"/>
      <c r="AI766" s="319"/>
      <c r="AJ766" s="327"/>
      <c r="AK766" s="328"/>
      <c r="AL766" s="319"/>
      <c r="AM766" s="319"/>
      <c r="AN766" s="319"/>
      <c r="AO766" s="319"/>
      <c r="AP766" s="319"/>
      <c r="AQ766" s="319"/>
      <c r="AR766" s="319"/>
      <c r="AS766" s="327"/>
      <c r="AT766" s="461" t="s">
        <v>182</v>
      </c>
      <c r="AU766" s="324" t="s">
        <v>845</v>
      </c>
      <c r="AV766" s="330">
        <f>SQRT(($R766-Infrastructure!J$3)^2+($S766-Infrastructure!K$3)^2)</f>
        <v>43.34016613</v>
      </c>
      <c r="AW766" s="331">
        <f>SQRT(($R766-Infrastructure!J$4)^2+($S766-Infrastructure!K$4)^2)</f>
        <v>38.92813892</v>
      </c>
      <c r="AX766" s="331">
        <f>SQRT(($R766-Infrastructure!J$5)^2+($S766-Infrastructure!K$5)^2)</f>
        <v>37.44823093</v>
      </c>
      <c r="AY766" s="331">
        <f>SQRT(($R766-Infrastructure!J$6)^2+($S766-Infrastructure!K$6)^2)</f>
        <v>27.81887848</v>
      </c>
      <c r="AZ766" s="331">
        <f>SQRT(($R766-Infrastructure!J$7)^2+($S766-Infrastructure!K$7)^2)</f>
        <v>17.90111728</v>
      </c>
      <c r="BA766" s="331">
        <f>SQRT(($R766-Infrastructure!J$8)^2+($S766-Infrastructure!K$8)^2)</f>
        <v>9.689685237</v>
      </c>
      <c r="BB766" s="331">
        <f>SQRT(($R766-Infrastructure!J$9)^2+($S766-Infrastructure!K$9)^2)</f>
        <v>3.466987165</v>
      </c>
      <c r="BC766" s="331">
        <f>SQRT(($R766-Infrastructure!J$10)^2+($S766-Infrastructure!K$10)^2)</f>
        <v>8.50940656</v>
      </c>
      <c r="BD766" s="318"/>
      <c r="BE766" s="332"/>
      <c r="BF766" s="330">
        <f t="shared" si="14"/>
        <v>3.466987165</v>
      </c>
      <c r="BG766" s="333">
        <f t="shared" si="15"/>
        <v>43.34016613</v>
      </c>
      <c r="BH766" s="334"/>
      <c r="BI766" s="462" t="s">
        <v>845</v>
      </c>
      <c r="BJ766" s="319" t="s">
        <v>845</v>
      </c>
      <c r="BK766" s="319" t="s">
        <v>845</v>
      </c>
      <c r="BL766" s="788" t="s">
        <v>845</v>
      </c>
      <c r="BM766" s="319" t="s">
        <v>845</v>
      </c>
      <c r="BN766" s="319" t="s">
        <v>845</v>
      </c>
      <c r="BO766" s="319" t="s">
        <v>845</v>
      </c>
      <c r="BP766" s="319" t="s">
        <v>845</v>
      </c>
      <c r="BQ766" s="788" t="s">
        <v>845</v>
      </c>
      <c r="BR766" s="789" t="s">
        <v>845</v>
      </c>
      <c r="BS766" s="330">
        <f t="shared" si="39"/>
        <v>0</v>
      </c>
      <c r="BT766" s="331">
        <f t="shared" si="40"/>
        <v>0</v>
      </c>
      <c r="BU766" s="331"/>
      <c r="BV766" s="333"/>
      <c r="BW766" s="330"/>
      <c r="BX766" s="331"/>
      <c r="BY766" s="331" t="b">
        <f t="shared" si="41"/>
        <v>0</v>
      </c>
      <c r="BZ766" s="340"/>
      <c r="CA766" s="316"/>
      <c r="CB766" s="318"/>
      <c r="CC766" s="318"/>
      <c r="CD766" s="338"/>
      <c r="CE766" s="318"/>
      <c r="CF766" s="318"/>
      <c r="CG766" s="319" t="s">
        <v>846</v>
      </c>
      <c r="CH766" s="318"/>
      <c r="CI766" s="338"/>
      <c r="CJ766" s="341"/>
      <c r="CK766" s="342">
        <f t="shared" si="18"/>
        <v>3.466987165</v>
      </c>
      <c r="CL766" s="333">
        <f t="shared" si="19"/>
        <v>3.466987165</v>
      </c>
      <c r="CM766" s="616"/>
      <c r="CN766" s="617"/>
      <c r="CO766" s="617"/>
      <c r="CP766" s="617"/>
    </row>
    <row r="767">
      <c r="A767" s="794"/>
      <c r="B767" s="462" t="s">
        <v>1341</v>
      </c>
      <c r="C767" s="417">
        <v>44287.0</v>
      </c>
      <c r="D767" s="318"/>
      <c r="E767" s="319">
        <v>16.0</v>
      </c>
      <c r="F767" s="324" t="s">
        <v>1378</v>
      </c>
      <c r="G767" s="321">
        <v>0.7145833333333333</v>
      </c>
      <c r="H767" s="323">
        <v>0.7149884259259259</v>
      </c>
      <c r="I767" s="323"/>
      <c r="J767" s="323"/>
      <c r="K767" s="323">
        <v>0.7182291666666667</v>
      </c>
      <c r="L767" s="323">
        <v>0.0032407407407407406</v>
      </c>
      <c r="M767" s="326" t="s">
        <v>358</v>
      </c>
      <c r="N767" s="324" t="s">
        <v>187</v>
      </c>
      <c r="O767" s="419" t="s">
        <v>197</v>
      </c>
      <c r="P767" s="319" t="s">
        <v>220</v>
      </c>
      <c r="Q767" s="319" t="s">
        <v>842</v>
      </c>
      <c r="R767" s="326">
        <v>37.1</v>
      </c>
      <c r="S767" s="319">
        <v>7.0</v>
      </c>
      <c r="T767" s="324">
        <v>6.5</v>
      </c>
      <c r="U767" s="319">
        <v>3.0</v>
      </c>
      <c r="V767" s="319"/>
      <c r="W767" s="319"/>
      <c r="X767" s="319"/>
      <c r="Y767" s="319"/>
      <c r="Z767" s="319" t="s">
        <v>379</v>
      </c>
      <c r="AA767" s="319"/>
      <c r="AB767" s="319" t="s">
        <v>1173</v>
      </c>
      <c r="AC767" s="327">
        <v>6.0</v>
      </c>
      <c r="AD767" s="319"/>
      <c r="AE767" s="319"/>
      <c r="AF767" s="319"/>
      <c r="AG767" s="319"/>
      <c r="AH767" s="319"/>
      <c r="AI767" s="319"/>
      <c r="AJ767" s="327"/>
      <c r="AK767" s="328"/>
      <c r="AL767" s="319"/>
      <c r="AM767" s="319"/>
      <c r="AN767" s="319"/>
      <c r="AO767" s="319"/>
      <c r="AP767" s="319"/>
      <c r="AQ767" s="319"/>
      <c r="AR767" s="319"/>
      <c r="AS767" s="327"/>
      <c r="AT767" s="461" t="s">
        <v>182</v>
      </c>
      <c r="AU767" s="324" t="s">
        <v>845</v>
      </c>
      <c r="AV767" s="330">
        <f>SQRT(($R767-Infrastructure!J$3)^2+($S767-Infrastructure!K$3)^2)</f>
        <v>43.34016613</v>
      </c>
      <c r="AW767" s="331">
        <f>SQRT(($R767-Infrastructure!J$4)^2+($S767-Infrastructure!K$4)^2)</f>
        <v>38.92813892</v>
      </c>
      <c r="AX767" s="331">
        <f>SQRT(($R767-Infrastructure!J$5)^2+($S767-Infrastructure!K$5)^2)</f>
        <v>37.44823093</v>
      </c>
      <c r="AY767" s="331">
        <f>SQRT(($R767-Infrastructure!J$6)^2+($S767-Infrastructure!K$6)^2)</f>
        <v>27.81887848</v>
      </c>
      <c r="AZ767" s="331">
        <f>SQRT(($R767-Infrastructure!J$7)^2+($S767-Infrastructure!K$7)^2)</f>
        <v>17.90111728</v>
      </c>
      <c r="BA767" s="331">
        <f>SQRT(($R767-Infrastructure!J$8)^2+($S767-Infrastructure!K$8)^2)</f>
        <v>9.689685237</v>
      </c>
      <c r="BB767" s="331">
        <f>SQRT(($R767-Infrastructure!J$9)^2+($S767-Infrastructure!K$9)^2)</f>
        <v>3.466987165</v>
      </c>
      <c r="BC767" s="331">
        <f>SQRT(($R767-Infrastructure!J$10)^2+($S767-Infrastructure!K$10)^2)</f>
        <v>8.50940656</v>
      </c>
      <c r="BD767" s="318"/>
      <c r="BE767" s="332"/>
      <c r="BF767" s="330">
        <f t="shared" si="14"/>
        <v>3.466987165</v>
      </c>
      <c r="BG767" s="333">
        <f t="shared" si="15"/>
        <v>43.34016613</v>
      </c>
      <c r="BH767" s="334"/>
      <c r="BI767" s="462" t="s">
        <v>845</v>
      </c>
      <c r="BJ767" s="319" t="s">
        <v>845</v>
      </c>
      <c r="BK767" s="319" t="s">
        <v>845</v>
      </c>
      <c r="BL767" s="788" t="s">
        <v>845</v>
      </c>
      <c r="BM767" s="319" t="s">
        <v>845</v>
      </c>
      <c r="BN767" s="319" t="s">
        <v>845</v>
      </c>
      <c r="BO767" s="319" t="s">
        <v>845</v>
      </c>
      <c r="BP767" s="319" t="s">
        <v>845</v>
      </c>
      <c r="BQ767" s="788" t="s">
        <v>845</v>
      </c>
      <c r="BR767" s="789" t="s">
        <v>845</v>
      </c>
      <c r="BS767" s="330">
        <f t="shared" si="39"/>
        <v>0</v>
      </c>
      <c r="BT767" s="331">
        <f t="shared" si="40"/>
        <v>0</v>
      </c>
      <c r="BU767" s="331"/>
      <c r="BV767" s="333"/>
      <c r="BW767" s="330"/>
      <c r="BX767" s="331"/>
      <c r="BY767" s="331" t="b">
        <f t="shared" si="41"/>
        <v>0</v>
      </c>
      <c r="BZ767" s="340"/>
      <c r="CA767" s="316"/>
      <c r="CB767" s="318"/>
      <c r="CC767" s="318"/>
      <c r="CD767" s="338"/>
      <c r="CE767" s="318"/>
      <c r="CF767" s="318"/>
      <c r="CG767" s="319" t="s">
        <v>846</v>
      </c>
      <c r="CH767" s="318"/>
      <c r="CI767" s="338"/>
      <c r="CJ767" s="341"/>
      <c r="CK767" s="342">
        <f t="shared" si="18"/>
        <v>3.466987165</v>
      </c>
      <c r="CL767" s="333">
        <f t="shared" si="19"/>
        <v>3.466987165</v>
      </c>
      <c r="CM767" s="616"/>
      <c r="CN767" s="617"/>
      <c r="CO767" s="617"/>
      <c r="CP767" s="617"/>
    </row>
    <row r="768">
      <c r="A768" s="794"/>
      <c r="B768" s="462" t="s">
        <v>1341</v>
      </c>
      <c r="C768" s="417">
        <v>44287.0</v>
      </c>
      <c r="D768" s="318"/>
      <c r="E768" s="319">
        <v>17.0</v>
      </c>
      <c r="F768" s="324" t="s">
        <v>1379</v>
      </c>
      <c r="G768" s="321">
        <v>0.7203703703703703</v>
      </c>
      <c r="H768" s="323">
        <v>0.7208333333333333</v>
      </c>
      <c r="I768" s="323"/>
      <c r="J768" s="323"/>
      <c r="K768" s="323">
        <v>0.7225694444444445</v>
      </c>
      <c r="L768" s="323">
        <v>0.001736111111111111</v>
      </c>
      <c r="M768" s="326" t="s">
        <v>358</v>
      </c>
      <c r="N768" s="324" t="s">
        <v>187</v>
      </c>
      <c r="O768" s="419" t="s">
        <v>197</v>
      </c>
      <c r="P768" s="319" t="s">
        <v>220</v>
      </c>
      <c r="Q768" s="319" t="s">
        <v>842</v>
      </c>
      <c r="R768" s="326">
        <v>37.1</v>
      </c>
      <c r="S768" s="319">
        <v>7.0</v>
      </c>
      <c r="T768" s="324">
        <v>6.5</v>
      </c>
      <c r="U768" s="319">
        <v>9.0</v>
      </c>
      <c r="V768" s="319"/>
      <c r="W768" s="319"/>
      <c r="X768" s="319"/>
      <c r="Y768" s="319"/>
      <c r="Z768" s="319" t="s">
        <v>379</v>
      </c>
      <c r="AA768" s="319"/>
      <c r="AB768" s="319" t="s">
        <v>1175</v>
      </c>
      <c r="AC768" s="327">
        <v>8.0</v>
      </c>
      <c r="AD768" s="319"/>
      <c r="AE768" s="319"/>
      <c r="AF768" s="319"/>
      <c r="AG768" s="319"/>
      <c r="AH768" s="319"/>
      <c r="AI768" s="319"/>
      <c r="AJ768" s="327"/>
      <c r="AK768" s="328"/>
      <c r="AL768" s="319"/>
      <c r="AM768" s="319"/>
      <c r="AN768" s="319"/>
      <c r="AO768" s="319"/>
      <c r="AP768" s="319"/>
      <c r="AQ768" s="319"/>
      <c r="AR768" s="319"/>
      <c r="AS768" s="327"/>
      <c r="AT768" s="461" t="s">
        <v>182</v>
      </c>
      <c r="AU768" s="324" t="s">
        <v>845</v>
      </c>
      <c r="AV768" s="330">
        <f>SQRT(($R768-Infrastructure!J$3)^2+($S768-Infrastructure!K$3)^2)</f>
        <v>43.34016613</v>
      </c>
      <c r="AW768" s="331">
        <f>SQRT(($R768-Infrastructure!J$4)^2+($S768-Infrastructure!K$4)^2)</f>
        <v>38.92813892</v>
      </c>
      <c r="AX768" s="331">
        <f>SQRT(($R768-Infrastructure!J$5)^2+($S768-Infrastructure!K$5)^2)</f>
        <v>37.44823093</v>
      </c>
      <c r="AY768" s="331">
        <f>SQRT(($R768-Infrastructure!J$6)^2+($S768-Infrastructure!K$6)^2)</f>
        <v>27.81887848</v>
      </c>
      <c r="AZ768" s="331">
        <f>SQRT(($R768-Infrastructure!J$7)^2+($S768-Infrastructure!K$7)^2)</f>
        <v>17.90111728</v>
      </c>
      <c r="BA768" s="331">
        <f>SQRT(($R768-Infrastructure!J$8)^2+($S768-Infrastructure!K$8)^2)</f>
        <v>9.689685237</v>
      </c>
      <c r="BB768" s="331">
        <f>SQRT(($R768-Infrastructure!J$9)^2+($S768-Infrastructure!K$9)^2)</f>
        <v>3.466987165</v>
      </c>
      <c r="BC768" s="331">
        <f>SQRT(($R768-Infrastructure!J$10)^2+($S768-Infrastructure!K$10)^2)</f>
        <v>8.50940656</v>
      </c>
      <c r="BD768" s="318"/>
      <c r="BE768" s="332"/>
      <c r="BF768" s="330">
        <f t="shared" si="14"/>
        <v>3.466987165</v>
      </c>
      <c r="BG768" s="333">
        <f t="shared" si="15"/>
        <v>43.34016613</v>
      </c>
      <c r="BH768" s="334"/>
      <c r="BI768" s="462" t="s">
        <v>845</v>
      </c>
      <c r="BJ768" s="319" t="s">
        <v>845</v>
      </c>
      <c r="BK768" s="319" t="s">
        <v>845</v>
      </c>
      <c r="BL768" s="788" t="s">
        <v>845</v>
      </c>
      <c r="BM768" s="319" t="s">
        <v>845</v>
      </c>
      <c r="BN768" s="319" t="s">
        <v>845</v>
      </c>
      <c r="BO768" s="319" t="s">
        <v>845</v>
      </c>
      <c r="BP768" s="319" t="s">
        <v>845</v>
      </c>
      <c r="BQ768" s="788" t="s">
        <v>845</v>
      </c>
      <c r="BR768" s="789" t="s">
        <v>845</v>
      </c>
      <c r="BS768" s="330">
        <f t="shared" si="39"/>
        <v>0</v>
      </c>
      <c r="BT768" s="331">
        <f t="shared" si="40"/>
        <v>0</v>
      </c>
      <c r="BU768" s="331"/>
      <c r="BV768" s="333"/>
      <c r="BW768" s="330"/>
      <c r="BX768" s="331"/>
      <c r="BY768" s="331" t="b">
        <f t="shared" si="41"/>
        <v>0</v>
      </c>
      <c r="BZ768" s="340"/>
      <c r="CA768" s="316"/>
      <c r="CB768" s="318"/>
      <c r="CC768" s="318"/>
      <c r="CD768" s="338"/>
      <c r="CE768" s="318"/>
      <c r="CF768" s="318"/>
      <c r="CG768" s="319" t="s">
        <v>846</v>
      </c>
      <c r="CH768" s="318"/>
      <c r="CI768" s="338"/>
      <c r="CJ768" s="341"/>
      <c r="CK768" s="342">
        <f t="shared" si="18"/>
        <v>3.466987165</v>
      </c>
      <c r="CL768" s="333">
        <f t="shared" si="19"/>
        <v>3.466987165</v>
      </c>
      <c r="CM768" s="616"/>
      <c r="CN768" s="617"/>
      <c r="CO768" s="617"/>
      <c r="CP768" s="617"/>
    </row>
    <row r="769">
      <c r="A769" s="794"/>
      <c r="B769" s="462" t="s">
        <v>1341</v>
      </c>
      <c r="C769" s="417">
        <v>44287.0</v>
      </c>
      <c r="D769" s="318"/>
      <c r="E769" s="319">
        <v>18.0</v>
      </c>
      <c r="F769" s="324" t="s">
        <v>1380</v>
      </c>
      <c r="G769" s="321">
        <v>0.7229166666666667</v>
      </c>
      <c r="H769" s="323">
        <v>0.7241898148148148</v>
      </c>
      <c r="I769" s="323"/>
      <c r="J769" s="323"/>
      <c r="K769" s="323">
        <v>0.7274305555555556</v>
      </c>
      <c r="L769" s="323">
        <v>0.0032407407407407406</v>
      </c>
      <c r="M769" s="326" t="s">
        <v>358</v>
      </c>
      <c r="N769" s="324" t="s">
        <v>187</v>
      </c>
      <c r="O769" s="419" t="s">
        <v>197</v>
      </c>
      <c r="P769" s="319" t="s">
        <v>220</v>
      </c>
      <c r="Q769" s="319" t="s">
        <v>842</v>
      </c>
      <c r="R769" s="326">
        <v>37.1</v>
      </c>
      <c r="S769" s="319">
        <v>7.0</v>
      </c>
      <c r="T769" s="324">
        <v>6.5</v>
      </c>
      <c r="U769" s="319">
        <v>5.0</v>
      </c>
      <c r="V769" s="319"/>
      <c r="W769" s="319"/>
      <c r="X769" s="319"/>
      <c r="Y769" s="319"/>
      <c r="Z769" s="319" t="s">
        <v>379</v>
      </c>
      <c r="AA769" s="319"/>
      <c r="AB769" s="319" t="s">
        <v>1175</v>
      </c>
      <c r="AC769" s="327">
        <v>8.0</v>
      </c>
      <c r="AD769" s="319"/>
      <c r="AE769" s="319"/>
      <c r="AF769" s="319"/>
      <c r="AG769" s="319"/>
      <c r="AH769" s="319"/>
      <c r="AI769" s="319"/>
      <c r="AJ769" s="327"/>
      <c r="AK769" s="328"/>
      <c r="AL769" s="319"/>
      <c r="AM769" s="319"/>
      <c r="AN769" s="319"/>
      <c r="AO769" s="319"/>
      <c r="AP769" s="319"/>
      <c r="AQ769" s="319"/>
      <c r="AR769" s="319"/>
      <c r="AS769" s="327"/>
      <c r="AT769" s="461" t="s">
        <v>182</v>
      </c>
      <c r="AU769" s="324" t="s">
        <v>845</v>
      </c>
      <c r="AV769" s="330">
        <f>SQRT(($R769-Infrastructure!J$3)^2+($S769-Infrastructure!K$3)^2)</f>
        <v>43.34016613</v>
      </c>
      <c r="AW769" s="331">
        <f>SQRT(($R769-Infrastructure!J$4)^2+($S769-Infrastructure!K$4)^2)</f>
        <v>38.92813892</v>
      </c>
      <c r="AX769" s="331">
        <f>SQRT(($R769-Infrastructure!J$5)^2+($S769-Infrastructure!K$5)^2)</f>
        <v>37.44823093</v>
      </c>
      <c r="AY769" s="331">
        <f>SQRT(($R769-Infrastructure!J$6)^2+($S769-Infrastructure!K$6)^2)</f>
        <v>27.81887848</v>
      </c>
      <c r="AZ769" s="331">
        <f>SQRT(($R769-Infrastructure!J$7)^2+($S769-Infrastructure!K$7)^2)</f>
        <v>17.90111728</v>
      </c>
      <c r="BA769" s="331">
        <f>SQRT(($R769-Infrastructure!J$8)^2+($S769-Infrastructure!K$8)^2)</f>
        <v>9.689685237</v>
      </c>
      <c r="BB769" s="331">
        <f>SQRT(($R769-Infrastructure!J$9)^2+($S769-Infrastructure!K$9)^2)</f>
        <v>3.466987165</v>
      </c>
      <c r="BC769" s="331">
        <f>SQRT(($R769-Infrastructure!J$10)^2+($S769-Infrastructure!K$10)^2)</f>
        <v>8.50940656</v>
      </c>
      <c r="BD769" s="318"/>
      <c r="BE769" s="332"/>
      <c r="BF769" s="330">
        <f t="shared" si="14"/>
        <v>3.466987165</v>
      </c>
      <c r="BG769" s="333">
        <f t="shared" si="15"/>
        <v>43.34016613</v>
      </c>
      <c r="BH769" s="334"/>
      <c r="BI769" s="462" t="s">
        <v>845</v>
      </c>
      <c r="BJ769" s="319" t="s">
        <v>845</v>
      </c>
      <c r="BK769" s="319" t="s">
        <v>845</v>
      </c>
      <c r="BL769" s="788" t="s">
        <v>845</v>
      </c>
      <c r="BM769" s="319" t="s">
        <v>845</v>
      </c>
      <c r="BN769" s="319" t="s">
        <v>845</v>
      </c>
      <c r="BO769" s="319" t="s">
        <v>845</v>
      </c>
      <c r="BP769" s="319" t="s">
        <v>845</v>
      </c>
      <c r="BQ769" s="788" t="s">
        <v>845</v>
      </c>
      <c r="BR769" s="789" t="s">
        <v>845</v>
      </c>
      <c r="BS769" s="330">
        <f t="shared" si="39"/>
        <v>0</v>
      </c>
      <c r="BT769" s="331">
        <f t="shared" si="40"/>
        <v>0</v>
      </c>
      <c r="BU769" s="331"/>
      <c r="BV769" s="333"/>
      <c r="BW769" s="330"/>
      <c r="BX769" s="331"/>
      <c r="BY769" s="331" t="b">
        <f t="shared" si="41"/>
        <v>0</v>
      </c>
      <c r="BZ769" s="340"/>
      <c r="CA769" s="316"/>
      <c r="CB769" s="318"/>
      <c r="CC769" s="318"/>
      <c r="CD769" s="338"/>
      <c r="CE769" s="318"/>
      <c r="CF769" s="318"/>
      <c r="CG769" s="319" t="s">
        <v>846</v>
      </c>
      <c r="CH769" s="318"/>
      <c r="CI769" s="338"/>
      <c r="CJ769" s="341"/>
      <c r="CK769" s="342">
        <f t="shared" si="18"/>
        <v>3.466987165</v>
      </c>
      <c r="CL769" s="333">
        <f t="shared" si="19"/>
        <v>3.466987165</v>
      </c>
      <c r="CM769" s="616"/>
      <c r="CN769" s="617"/>
      <c r="CO769" s="617"/>
      <c r="CP769" s="617"/>
    </row>
    <row r="770">
      <c r="A770" s="794"/>
      <c r="B770" s="798" t="s">
        <v>1341</v>
      </c>
      <c r="C770" s="799">
        <v>44287.0</v>
      </c>
      <c r="D770" s="800"/>
      <c r="E770" s="801"/>
      <c r="F770" s="802"/>
      <c r="G770" s="803">
        <v>0.7361111111111112</v>
      </c>
      <c r="H770" s="804"/>
      <c r="I770" s="804"/>
      <c r="J770" s="804"/>
      <c r="K770" s="804">
        <v>0.7416666666666667</v>
      </c>
      <c r="L770" s="804"/>
      <c r="M770" s="805"/>
      <c r="N770" s="802"/>
      <c r="O770" s="806"/>
      <c r="P770" s="801"/>
      <c r="Q770" s="800"/>
      <c r="R770" s="805"/>
      <c r="S770" s="801"/>
      <c r="T770" s="802"/>
      <c r="U770" s="801"/>
      <c r="V770" s="801"/>
      <c r="W770" s="801"/>
      <c r="X770" s="801"/>
      <c r="Y770" s="801"/>
      <c r="Z770" s="801"/>
      <c r="AA770" s="801"/>
      <c r="AB770" s="801"/>
      <c r="AC770" s="807"/>
      <c r="AD770" s="808"/>
      <c r="AE770" s="808"/>
      <c r="AF770" s="808"/>
      <c r="AG770" s="808"/>
      <c r="AH770" s="808"/>
      <c r="AI770" s="808"/>
      <c r="AJ770" s="807"/>
      <c r="AK770" s="809"/>
      <c r="AL770" s="808"/>
      <c r="AM770" s="808"/>
      <c r="AN770" s="808"/>
      <c r="AO770" s="808"/>
      <c r="AP770" s="808"/>
      <c r="AQ770" s="808"/>
      <c r="AR770" s="808"/>
      <c r="AS770" s="807"/>
      <c r="AT770" s="810"/>
      <c r="AU770" s="811"/>
      <c r="AV770" s="330"/>
      <c r="AW770" s="331"/>
      <c r="AX770" s="331"/>
      <c r="AY770" s="331"/>
      <c r="AZ770" s="331"/>
      <c r="BA770" s="331"/>
      <c r="BB770" s="331"/>
      <c r="BC770" s="331"/>
      <c r="BD770" s="318"/>
      <c r="BE770" s="332"/>
      <c r="BF770" s="330">
        <f t="shared" si="14"/>
        <v>0</v>
      </c>
      <c r="BG770" s="333">
        <f t="shared" si="15"/>
        <v>0</v>
      </c>
      <c r="BH770" s="812"/>
      <c r="BI770" s="798" t="s">
        <v>845</v>
      </c>
      <c r="BJ770" s="801" t="s">
        <v>845</v>
      </c>
      <c r="BK770" s="801" t="s">
        <v>845</v>
      </c>
      <c r="BL770" s="801" t="s">
        <v>845</v>
      </c>
      <c r="BM770" s="801" t="s">
        <v>845</v>
      </c>
      <c r="BN770" s="801" t="s">
        <v>845</v>
      </c>
      <c r="BO770" s="801" t="s">
        <v>845</v>
      </c>
      <c r="BP770" s="801" t="s">
        <v>846</v>
      </c>
      <c r="BQ770" s="788" t="s">
        <v>845</v>
      </c>
      <c r="BR770" s="789" t="s">
        <v>845</v>
      </c>
      <c r="BS770" s="330">
        <f t="shared" si="39"/>
        <v>0</v>
      </c>
      <c r="BT770" s="331">
        <f t="shared" si="40"/>
        <v>0</v>
      </c>
      <c r="BU770" s="813"/>
      <c r="BV770" s="814"/>
      <c r="BW770" s="815"/>
      <c r="BX770" s="813"/>
      <c r="BY770" s="331" t="b">
        <f t="shared" si="41"/>
        <v>0</v>
      </c>
      <c r="BZ770" s="340"/>
      <c r="CA770" s="816"/>
      <c r="CB770" s="800"/>
      <c r="CC770" s="800"/>
      <c r="CD770" s="800"/>
      <c r="CE770" s="800"/>
      <c r="CF770" s="800"/>
      <c r="CG770" s="801" t="s">
        <v>846</v>
      </c>
      <c r="CH770" s="801" t="s">
        <v>846</v>
      </c>
      <c r="CI770" s="338"/>
      <c r="CJ770" s="341"/>
      <c r="CK770" s="342">
        <f t="shared" si="18"/>
        <v>0</v>
      </c>
      <c r="CL770" s="333">
        <f t="shared" si="19"/>
        <v>0</v>
      </c>
      <c r="CM770" s="817" t="s">
        <v>1381</v>
      </c>
      <c r="CN770" s="818"/>
      <c r="CO770" s="818"/>
      <c r="CP770" s="818"/>
    </row>
    <row r="771">
      <c r="A771" s="794"/>
      <c r="B771" s="462" t="s">
        <v>1341</v>
      </c>
      <c r="C771" s="417">
        <v>44288.0</v>
      </c>
      <c r="D771" s="318"/>
      <c r="E771" s="319">
        <v>1.0</v>
      </c>
      <c r="F771" s="324" t="s">
        <v>1382</v>
      </c>
      <c r="G771" s="321">
        <v>0.4154513888888889</v>
      </c>
      <c r="H771" s="323">
        <v>0.4160300925925926</v>
      </c>
      <c r="I771" s="323"/>
      <c r="J771" s="323"/>
      <c r="K771" s="323">
        <v>0.41898148148148145</v>
      </c>
      <c r="L771" s="323">
        <v>0.002951388888888889</v>
      </c>
      <c r="M771" s="326" t="s">
        <v>358</v>
      </c>
      <c r="N771" s="324" t="s">
        <v>187</v>
      </c>
      <c r="O771" s="419" t="s">
        <v>1383</v>
      </c>
      <c r="P771" s="319" t="s">
        <v>212</v>
      </c>
      <c r="Q771" s="318"/>
      <c r="R771" s="326">
        <v>11.5</v>
      </c>
      <c r="S771" s="319">
        <v>8.5</v>
      </c>
      <c r="T771" s="324">
        <v>0.6</v>
      </c>
      <c r="U771" s="319">
        <v>1.5</v>
      </c>
      <c r="V771" s="319"/>
      <c r="W771" s="319"/>
      <c r="X771" s="319"/>
      <c r="Y771" s="319"/>
      <c r="Z771" s="319" t="s">
        <v>339</v>
      </c>
      <c r="AA771" s="319"/>
      <c r="AB771" s="319" t="s">
        <v>1352</v>
      </c>
      <c r="AC771" s="327">
        <v>2.5</v>
      </c>
      <c r="AD771" s="319"/>
      <c r="AE771" s="319"/>
      <c r="AF771" s="319"/>
      <c r="AG771" s="319"/>
      <c r="AH771" s="319"/>
      <c r="AI771" s="319"/>
      <c r="AJ771" s="327"/>
      <c r="AK771" s="328"/>
      <c r="AL771" s="319"/>
      <c r="AM771" s="319"/>
      <c r="AN771" s="319"/>
      <c r="AO771" s="319"/>
      <c r="AP771" s="319"/>
      <c r="AQ771" s="319"/>
      <c r="AR771" s="319"/>
      <c r="AS771" s="327"/>
      <c r="AT771" s="461" t="s">
        <v>182</v>
      </c>
      <c r="AU771" s="324" t="s">
        <v>845</v>
      </c>
      <c r="AV771" s="330">
        <f>SQRT(($R771-Infrastructure!J$3)^2+($S771-Infrastructure!K$3)^2)</f>
        <v>23.56692598</v>
      </c>
      <c r="AW771" s="331">
        <f>SQRT(($R771-Infrastructure!J$4)^2+($S771-Infrastructure!K$4)^2)</f>
        <v>15.02431363</v>
      </c>
      <c r="AX771" s="331">
        <f>SQRT(($R771-Infrastructure!J$5)^2+($S771-Infrastructure!K$5)^2)</f>
        <v>12.28006515</v>
      </c>
      <c r="AY771" s="331">
        <f>SQRT(($R771-Infrastructure!J$6)^2+($S771-Infrastructure!K$6)^2)</f>
        <v>8.318653737</v>
      </c>
      <c r="AZ771" s="331">
        <f>SQRT(($R771-Infrastructure!J$7)^2+($S771-Infrastructure!K$7)^2)</f>
        <v>12.175385</v>
      </c>
      <c r="BA771" s="331">
        <f>SQRT(($R771-Infrastructure!J$8)^2+($S771-Infrastructure!K$8)^2)</f>
        <v>20.32732152</v>
      </c>
      <c r="BB771" s="331">
        <f>SQRT(($R771-Infrastructure!J$9)^2+($S771-Infrastructure!K$9)^2)</f>
        <v>28.70209052</v>
      </c>
      <c r="BC771" s="331">
        <f>SQRT(($R771-Infrastructure!J$10)^2+($S771-Infrastructure!K$10)^2)</f>
        <v>29.23183196</v>
      </c>
      <c r="BD771" s="318"/>
      <c r="BE771" s="332"/>
      <c r="BF771" s="330">
        <f t="shared" si="14"/>
        <v>8.318653737</v>
      </c>
      <c r="BG771" s="333">
        <f t="shared" si="15"/>
        <v>29.23183196</v>
      </c>
      <c r="BH771" s="334"/>
      <c r="BI771" s="462" t="s">
        <v>845</v>
      </c>
      <c r="BJ771" s="319" t="s">
        <v>845</v>
      </c>
      <c r="BK771" s="319" t="s">
        <v>845</v>
      </c>
      <c r="BL771" s="788" t="s">
        <v>845</v>
      </c>
      <c r="BM771" s="319" t="s">
        <v>846</v>
      </c>
      <c r="BN771" s="319" t="s">
        <v>845</v>
      </c>
      <c r="BO771" s="319" t="s">
        <v>845</v>
      </c>
      <c r="BP771" s="319" t="s">
        <v>845</v>
      </c>
      <c r="BQ771" s="788" t="s">
        <v>845</v>
      </c>
      <c r="BR771" s="789" t="s">
        <v>845</v>
      </c>
      <c r="BS771" s="330">
        <f t="shared" si="39"/>
        <v>12.175385</v>
      </c>
      <c r="BT771" s="331">
        <f t="shared" si="40"/>
        <v>12.175385</v>
      </c>
      <c r="BU771" s="331"/>
      <c r="BV771" s="333"/>
      <c r="BW771" s="330"/>
      <c r="BX771" s="331"/>
      <c r="BY771" s="331" t="b">
        <f t="shared" si="41"/>
        <v>0</v>
      </c>
      <c r="BZ771" s="340"/>
      <c r="CA771" s="316"/>
      <c r="CB771" s="319" t="s">
        <v>846</v>
      </c>
      <c r="CC771" s="318"/>
      <c r="CD771" s="319" t="s">
        <v>846</v>
      </c>
      <c r="CE771" s="319" t="s">
        <v>846</v>
      </c>
      <c r="CF771" s="319" t="s">
        <v>846</v>
      </c>
      <c r="CG771" s="318"/>
      <c r="CH771" s="318"/>
      <c r="CI771" s="338"/>
      <c r="CJ771" s="341"/>
      <c r="CK771" s="342">
        <f t="shared" si="18"/>
        <v>8.318653737</v>
      </c>
      <c r="CL771" s="333">
        <f t="shared" si="19"/>
        <v>20.32732152</v>
      </c>
      <c r="CM771" s="616"/>
      <c r="CN771" s="617"/>
      <c r="CO771" s="617"/>
      <c r="CP771" s="617"/>
    </row>
    <row r="772">
      <c r="A772" s="794"/>
      <c r="B772" s="462" t="s">
        <v>1341</v>
      </c>
      <c r="C772" s="417">
        <v>44288.0</v>
      </c>
      <c r="D772" s="318"/>
      <c r="E772" s="319">
        <v>2.0</v>
      </c>
      <c r="F772" s="324" t="s">
        <v>1384</v>
      </c>
      <c r="G772" s="321">
        <v>0.41898148148148145</v>
      </c>
      <c r="H772" s="323">
        <v>0.4197916666666667</v>
      </c>
      <c r="I772" s="323"/>
      <c r="J772" s="323"/>
      <c r="K772" s="323">
        <v>0.421875</v>
      </c>
      <c r="L772" s="323">
        <v>0.0020833333333333333</v>
      </c>
      <c r="M772" s="326" t="s">
        <v>358</v>
      </c>
      <c r="N772" s="324" t="s">
        <v>187</v>
      </c>
      <c r="O772" s="419" t="s">
        <v>1383</v>
      </c>
      <c r="P772" s="319" t="s">
        <v>212</v>
      </c>
      <c r="Q772" s="318"/>
      <c r="R772" s="326">
        <v>11.5</v>
      </c>
      <c r="S772" s="319">
        <v>8.5</v>
      </c>
      <c r="T772" s="324">
        <v>0.6</v>
      </c>
      <c r="U772" s="319">
        <v>2.0</v>
      </c>
      <c r="V772" s="319"/>
      <c r="W772" s="319"/>
      <c r="X772" s="319"/>
      <c r="Y772" s="319"/>
      <c r="Z772" s="319" t="s">
        <v>339</v>
      </c>
      <c r="AA772" s="319"/>
      <c r="AB772" s="319" t="s">
        <v>1352</v>
      </c>
      <c r="AC772" s="327">
        <v>2.5</v>
      </c>
      <c r="AD772" s="319"/>
      <c r="AE772" s="319"/>
      <c r="AF772" s="319"/>
      <c r="AG772" s="319"/>
      <c r="AH772" s="319"/>
      <c r="AI772" s="319"/>
      <c r="AJ772" s="327"/>
      <c r="AK772" s="328"/>
      <c r="AL772" s="319"/>
      <c r="AM772" s="319"/>
      <c r="AN772" s="319"/>
      <c r="AO772" s="319"/>
      <c r="AP772" s="319"/>
      <c r="AQ772" s="319"/>
      <c r="AR772" s="319"/>
      <c r="AS772" s="327"/>
      <c r="AT772" s="461" t="s">
        <v>182</v>
      </c>
      <c r="AU772" s="324" t="s">
        <v>845</v>
      </c>
      <c r="AV772" s="330">
        <f>SQRT(($R772-Infrastructure!J$3)^2+($S772-Infrastructure!K$3)^2)</f>
        <v>23.56692598</v>
      </c>
      <c r="AW772" s="331">
        <f>SQRT(($R772-Infrastructure!J$4)^2+($S772-Infrastructure!K$4)^2)</f>
        <v>15.02431363</v>
      </c>
      <c r="AX772" s="331">
        <f>SQRT(($R772-Infrastructure!J$5)^2+($S772-Infrastructure!K$5)^2)</f>
        <v>12.28006515</v>
      </c>
      <c r="AY772" s="331">
        <f>SQRT(($R772-Infrastructure!J$6)^2+($S772-Infrastructure!K$6)^2)</f>
        <v>8.318653737</v>
      </c>
      <c r="AZ772" s="331">
        <f>SQRT(($R772-Infrastructure!J$7)^2+($S772-Infrastructure!K$7)^2)</f>
        <v>12.175385</v>
      </c>
      <c r="BA772" s="331">
        <f>SQRT(($R772-Infrastructure!J$8)^2+($S772-Infrastructure!K$8)^2)</f>
        <v>20.32732152</v>
      </c>
      <c r="BB772" s="331">
        <f>SQRT(($R772-Infrastructure!J$9)^2+($S772-Infrastructure!K$9)^2)</f>
        <v>28.70209052</v>
      </c>
      <c r="BC772" s="331">
        <f>SQRT(($R772-Infrastructure!J$10)^2+($S772-Infrastructure!K$10)^2)</f>
        <v>29.23183196</v>
      </c>
      <c r="BD772" s="318"/>
      <c r="BE772" s="332"/>
      <c r="BF772" s="330">
        <f t="shared" si="14"/>
        <v>8.318653737</v>
      </c>
      <c r="BG772" s="333">
        <f t="shared" si="15"/>
        <v>29.23183196</v>
      </c>
      <c r="BH772" s="334"/>
      <c r="BI772" s="462" t="s">
        <v>845</v>
      </c>
      <c r="BJ772" s="319" t="s">
        <v>845</v>
      </c>
      <c r="BK772" s="319" t="s">
        <v>845</v>
      </c>
      <c r="BL772" s="788" t="s">
        <v>845</v>
      </c>
      <c r="BM772" s="319" t="s">
        <v>846</v>
      </c>
      <c r="BN772" s="319" t="s">
        <v>845</v>
      </c>
      <c r="BO772" s="319" t="s">
        <v>845</v>
      </c>
      <c r="BP772" s="319" t="s">
        <v>845</v>
      </c>
      <c r="BQ772" s="788" t="s">
        <v>845</v>
      </c>
      <c r="BR772" s="789" t="s">
        <v>845</v>
      </c>
      <c r="BS772" s="330">
        <f t="shared" si="39"/>
        <v>12.175385</v>
      </c>
      <c r="BT772" s="331">
        <f t="shared" si="40"/>
        <v>12.175385</v>
      </c>
      <c r="BU772" s="331"/>
      <c r="BV772" s="333"/>
      <c r="BW772" s="330"/>
      <c r="BX772" s="331"/>
      <c r="BY772" s="331" t="b">
        <f t="shared" si="41"/>
        <v>0</v>
      </c>
      <c r="BZ772" s="340"/>
      <c r="CA772" s="316"/>
      <c r="CB772" s="319" t="s">
        <v>846</v>
      </c>
      <c r="CC772" s="319" t="s">
        <v>846</v>
      </c>
      <c r="CD772" s="319" t="s">
        <v>846</v>
      </c>
      <c r="CE772" s="319" t="s">
        <v>846</v>
      </c>
      <c r="CF772" s="319" t="s">
        <v>846</v>
      </c>
      <c r="CG772" s="318"/>
      <c r="CH772" s="318"/>
      <c r="CI772" s="338"/>
      <c r="CJ772" s="341"/>
      <c r="CK772" s="342">
        <f t="shared" si="18"/>
        <v>8.318653737</v>
      </c>
      <c r="CL772" s="333">
        <f t="shared" si="19"/>
        <v>20.32732152</v>
      </c>
      <c r="CM772" s="616"/>
      <c r="CN772" s="617"/>
      <c r="CO772" s="617"/>
      <c r="CP772" s="617"/>
    </row>
    <row r="773">
      <c r="A773" s="794"/>
      <c r="B773" s="462" t="s">
        <v>1341</v>
      </c>
      <c r="C773" s="417">
        <v>44288.0</v>
      </c>
      <c r="D773" s="318"/>
      <c r="E773" s="319">
        <v>3.0</v>
      </c>
      <c r="F773" s="324" t="s">
        <v>1385</v>
      </c>
      <c r="G773" s="321">
        <v>0.421875</v>
      </c>
      <c r="H773" s="323">
        <v>0.42239583333333336</v>
      </c>
      <c r="I773" s="323"/>
      <c r="J773" s="323"/>
      <c r="K773" s="323">
        <v>0.4244791666666667</v>
      </c>
      <c r="L773" s="323">
        <v>0.0020833333333333333</v>
      </c>
      <c r="M773" s="326" t="s">
        <v>358</v>
      </c>
      <c r="N773" s="324" t="s">
        <v>187</v>
      </c>
      <c r="O773" s="419" t="s">
        <v>1383</v>
      </c>
      <c r="P773" s="319" t="s">
        <v>212</v>
      </c>
      <c r="Q773" s="318"/>
      <c r="R773" s="326">
        <v>11.5</v>
      </c>
      <c r="S773" s="319">
        <v>8.5</v>
      </c>
      <c r="T773" s="324">
        <v>0.6</v>
      </c>
      <c r="U773" s="319">
        <v>2.5</v>
      </c>
      <c r="V773" s="319"/>
      <c r="W773" s="319"/>
      <c r="X773" s="319"/>
      <c r="Y773" s="319"/>
      <c r="Z773" s="319" t="s">
        <v>339</v>
      </c>
      <c r="AA773" s="319"/>
      <c r="AB773" s="319" t="s">
        <v>1352</v>
      </c>
      <c r="AC773" s="327">
        <v>2.5</v>
      </c>
      <c r="AD773" s="319"/>
      <c r="AE773" s="319"/>
      <c r="AF773" s="319"/>
      <c r="AG773" s="319"/>
      <c r="AH773" s="319"/>
      <c r="AI773" s="319"/>
      <c r="AJ773" s="327"/>
      <c r="AK773" s="328"/>
      <c r="AL773" s="319"/>
      <c r="AM773" s="319"/>
      <c r="AN773" s="319"/>
      <c r="AO773" s="319"/>
      <c r="AP773" s="319"/>
      <c r="AQ773" s="319"/>
      <c r="AR773" s="319"/>
      <c r="AS773" s="327"/>
      <c r="AT773" s="461" t="s">
        <v>182</v>
      </c>
      <c r="AU773" s="324" t="s">
        <v>845</v>
      </c>
      <c r="AV773" s="330">
        <f>SQRT(($R773-Infrastructure!J$3)^2+($S773-Infrastructure!K$3)^2)</f>
        <v>23.56692598</v>
      </c>
      <c r="AW773" s="331">
        <f>SQRT(($R773-Infrastructure!J$4)^2+($S773-Infrastructure!K$4)^2)</f>
        <v>15.02431363</v>
      </c>
      <c r="AX773" s="331">
        <f>SQRT(($R773-Infrastructure!J$5)^2+($S773-Infrastructure!K$5)^2)</f>
        <v>12.28006515</v>
      </c>
      <c r="AY773" s="331">
        <f>SQRT(($R773-Infrastructure!J$6)^2+($S773-Infrastructure!K$6)^2)</f>
        <v>8.318653737</v>
      </c>
      <c r="AZ773" s="331">
        <f>SQRT(($R773-Infrastructure!J$7)^2+($S773-Infrastructure!K$7)^2)</f>
        <v>12.175385</v>
      </c>
      <c r="BA773" s="331">
        <f>SQRT(($R773-Infrastructure!J$8)^2+($S773-Infrastructure!K$8)^2)</f>
        <v>20.32732152</v>
      </c>
      <c r="BB773" s="331">
        <f>SQRT(($R773-Infrastructure!J$9)^2+($S773-Infrastructure!K$9)^2)</f>
        <v>28.70209052</v>
      </c>
      <c r="BC773" s="331">
        <f>SQRT(($R773-Infrastructure!J$10)^2+($S773-Infrastructure!K$10)^2)</f>
        <v>29.23183196</v>
      </c>
      <c r="BD773" s="318"/>
      <c r="BE773" s="332"/>
      <c r="BF773" s="330">
        <f t="shared" si="14"/>
        <v>8.318653737</v>
      </c>
      <c r="BG773" s="333">
        <f t="shared" si="15"/>
        <v>29.23183196</v>
      </c>
      <c r="BH773" s="334"/>
      <c r="BI773" s="462" t="s">
        <v>845</v>
      </c>
      <c r="BJ773" s="319" t="s">
        <v>846</v>
      </c>
      <c r="BK773" s="319" t="s">
        <v>846</v>
      </c>
      <c r="BL773" s="788" t="s">
        <v>845</v>
      </c>
      <c r="BM773" s="319" t="s">
        <v>846</v>
      </c>
      <c r="BN773" s="319" t="s">
        <v>846</v>
      </c>
      <c r="BO773" s="319" t="s">
        <v>845</v>
      </c>
      <c r="BP773" s="319" t="s">
        <v>845</v>
      </c>
      <c r="BQ773" s="788" t="s">
        <v>845</v>
      </c>
      <c r="BR773" s="789" t="s">
        <v>845</v>
      </c>
      <c r="BS773" s="330">
        <f t="shared" si="39"/>
        <v>12.175385</v>
      </c>
      <c r="BT773" s="331">
        <f t="shared" si="40"/>
        <v>20.32732152</v>
      </c>
      <c r="BU773" s="331"/>
      <c r="BV773" s="333"/>
      <c r="BW773" s="614">
        <v>9.7</v>
      </c>
      <c r="BX773" s="615">
        <v>7.7</v>
      </c>
      <c r="BY773" s="331">
        <f t="shared" si="41"/>
        <v>1.96977156</v>
      </c>
      <c r="BZ773" s="340"/>
      <c r="CA773" s="462" t="s">
        <v>846</v>
      </c>
      <c r="CB773" s="319" t="s">
        <v>846</v>
      </c>
      <c r="CC773" s="319" t="s">
        <v>846</v>
      </c>
      <c r="CD773" s="319" t="s">
        <v>846</v>
      </c>
      <c r="CE773" s="319" t="s">
        <v>846</v>
      </c>
      <c r="CF773" s="319" t="s">
        <v>846</v>
      </c>
      <c r="CG773" s="319" t="s">
        <v>846</v>
      </c>
      <c r="CH773" s="318"/>
      <c r="CI773" s="338"/>
      <c r="CJ773" s="341"/>
      <c r="CK773" s="342">
        <f t="shared" si="18"/>
        <v>8.318653737</v>
      </c>
      <c r="CL773" s="333">
        <f t="shared" si="19"/>
        <v>28.70209052</v>
      </c>
      <c r="CM773" s="616"/>
      <c r="CN773" s="617"/>
      <c r="CO773" s="617"/>
      <c r="CP773" s="617"/>
    </row>
    <row r="774">
      <c r="A774" s="794"/>
      <c r="B774" s="462" t="s">
        <v>1341</v>
      </c>
      <c r="C774" s="417">
        <v>44288.0</v>
      </c>
      <c r="D774" s="318"/>
      <c r="E774" s="319">
        <v>4.0</v>
      </c>
      <c r="F774" s="324" t="s">
        <v>1386</v>
      </c>
      <c r="G774" s="321">
        <v>0.4244791666666667</v>
      </c>
      <c r="H774" s="323">
        <v>0.425</v>
      </c>
      <c r="I774" s="323"/>
      <c r="J774" s="323"/>
      <c r="K774" s="323">
        <v>0.4270833333333333</v>
      </c>
      <c r="L774" s="323">
        <v>0.0020833333333333333</v>
      </c>
      <c r="M774" s="326" t="s">
        <v>358</v>
      </c>
      <c r="N774" s="324" t="s">
        <v>187</v>
      </c>
      <c r="O774" s="419" t="s">
        <v>1383</v>
      </c>
      <c r="P774" s="319" t="s">
        <v>212</v>
      </c>
      <c r="Q774" s="318"/>
      <c r="R774" s="326">
        <v>11.5</v>
      </c>
      <c r="S774" s="319">
        <v>8.5</v>
      </c>
      <c r="T774" s="324">
        <v>0.6</v>
      </c>
      <c r="U774" s="319">
        <v>3.0</v>
      </c>
      <c r="V774" s="319"/>
      <c r="W774" s="319"/>
      <c r="X774" s="319"/>
      <c r="Y774" s="319"/>
      <c r="Z774" s="319" t="s">
        <v>339</v>
      </c>
      <c r="AA774" s="319"/>
      <c r="AB774" s="319" t="s">
        <v>1352</v>
      </c>
      <c r="AC774" s="327">
        <v>2.5</v>
      </c>
      <c r="AD774" s="319"/>
      <c r="AE774" s="319"/>
      <c r="AF774" s="319"/>
      <c r="AG774" s="319"/>
      <c r="AH774" s="319"/>
      <c r="AI774" s="319"/>
      <c r="AJ774" s="327"/>
      <c r="AK774" s="328"/>
      <c r="AL774" s="319"/>
      <c r="AM774" s="319"/>
      <c r="AN774" s="319"/>
      <c r="AO774" s="319"/>
      <c r="AP774" s="319"/>
      <c r="AQ774" s="319"/>
      <c r="AR774" s="319"/>
      <c r="AS774" s="327"/>
      <c r="AT774" s="461" t="s">
        <v>182</v>
      </c>
      <c r="AU774" s="324" t="s">
        <v>845</v>
      </c>
      <c r="AV774" s="330">
        <f>SQRT(($R774-Infrastructure!J$3)^2+($S774-Infrastructure!K$3)^2)</f>
        <v>23.56692598</v>
      </c>
      <c r="AW774" s="331">
        <f>SQRT(($R774-Infrastructure!J$4)^2+($S774-Infrastructure!K$4)^2)</f>
        <v>15.02431363</v>
      </c>
      <c r="AX774" s="331">
        <f>SQRT(($R774-Infrastructure!J$5)^2+($S774-Infrastructure!K$5)^2)</f>
        <v>12.28006515</v>
      </c>
      <c r="AY774" s="331">
        <f>SQRT(($R774-Infrastructure!J$6)^2+($S774-Infrastructure!K$6)^2)</f>
        <v>8.318653737</v>
      </c>
      <c r="AZ774" s="331">
        <f>SQRT(($R774-Infrastructure!J$7)^2+($S774-Infrastructure!K$7)^2)</f>
        <v>12.175385</v>
      </c>
      <c r="BA774" s="331">
        <f>SQRT(($R774-Infrastructure!J$8)^2+($S774-Infrastructure!K$8)^2)</f>
        <v>20.32732152</v>
      </c>
      <c r="BB774" s="331">
        <f>SQRT(($R774-Infrastructure!J$9)^2+($S774-Infrastructure!K$9)^2)</f>
        <v>28.70209052</v>
      </c>
      <c r="BC774" s="331">
        <f>SQRT(($R774-Infrastructure!J$10)^2+($S774-Infrastructure!K$10)^2)</f>
        <v>29.23183196</v>
      </c>
      <c r="BD774" s="318"/>
      <c r="BE774" s="332"/>
      <c r="BF774" s="330">
        <f t="shared" si="14"/>
        <v>8.318653737</v>
      </c>
      <c r="BG774" s="333">
        <f t="shared" si="15"/>
        <v>29.23183196</v>
      </c>
      <c r="BH774" s="334"/>
      <c r="BI774" s="462" t="s">
        <v>846</v>
      </c>
      <c r="BJ774" s="319" t="s">
        <v>846</v>
      </c>
      <c r="BK774" s="319" t="s">
        <v>846</v>
      </c>
      <c r="BL774" s="788" t="s">
        <v>845</v>
      </c>
      <c r="BM774" s="319" t="s">
        <v>846</v>
      </c>
      <c r="BN774" s="319" t="s">
        <v>846</v>
      </c>
      <c r="BO774" s="319" t="s">
        <v>845</v>
      </c>
      <c r="BP774" s="319" t="s">
        <v>845</v>
      </c>
      <c r="BQ774" s="788" t="s">
        <v>845</v>
      </c>
      <c r="BR774" s="789" t="s">
        <v>845</v>
      </c>
      <c r="BS774" s="330">
        <f t="shared" si="39"/>
        <v>12.175385</v>
      </c>
      <c r="BT774" s="331">
        <f t="shared" si="40"/>
        <v>23.56692598</v>
      </c>
      <c r="BU774" s="331"/>
      <c r="BV774" s="333"/>
      <c r="BW774" s="614">
        <v>10.9</v>
      </c>
      <c r="BX774" s="615">
        <v>8.4</v>
      </c>
      <c r="BY774" s="331">
        <f t="shared" si="41"/>
        <v>0.608276253</v>
      </c>
      <c r="BZ774" s="340"/>
      <c r="CA774" s="462" t="s">
        <v>846</v>
      </c>
      <c r="CB774" s="319" t="s">
        <v>846</v>
      </c>
      <c r="CC774" s="319" t="s">
        <v>846</v>
      </c>
      <c r="CD774" s="319" t="s">
        <v>846</v>
      </c>
      <c r="CE774" s="319" t="s">
        <v>846</v>
      </c>
      <c r="CF774" s="319" t="s">
        <v>846</v>
      </c>
      <c r="CG774" s="319" t="s">
        <v>846</v>
      </c>
      <c r="CH774" s="319" t="s">
        <v>846</v>
      </c>
      <c r="CI774" s="338"/>
      <c r="CJ774" s="341"/>
      <c r="CK774" s="342">
        <f t="shared" si="18"/>
        <v>8.318653737</v>
      </c>
      <c r="CL774" s="333">
        <f t="shared" si="19"/>
        <v>29.23183196</v>
      </c>
      <c r="CM774" s="616"/>
      <c r="CN774" s="617"/>
      <c r="CO774" s="617"/>
      <c r="CP774" s="617"/>
    </row>
    <row r="775">
      <c r="A775" s="794"/>
      <c r="B775" s="462" t="s">
        <v>1341</v>
      </c>
      <c r="C775" s="417">
        <v>44288.0</v>
      </c>
      <c r="D775" s="318"/>
      <c r="E775" s="319">
        <v>5.0</v>
      </c>
      <c r="F775" s="324" t="s">
        <v>1387</v>
      </c>
      <c r="G775" s="321">
        <v>0.4270833333333333</v>
      </c>
      <c r="H775" s="323">
        <v>0.4270833333333333</v>
      </c>
      <c r="I775" s="323"/>
      <c r="J775" s="323"/>
      <c r="K775" s="323">
        <v>0.4300347222222222</v>
      </c>
      <c r="L775" s="323">
        <v>0.002951388888888889</v>
      </c>
      <c r="M775" s="326" t="s">
        <v>358</v>
      </c>
      <c r="N775" s="324" t="s">
        <v>187</v>
      </c>
      <c r="O775" s="419" t="s">
        <v>1383</v>
      </c>
      <c r="P775" s="319" t="s">
        <v>212</v>
      </c>
      <c r="Q775" s="318"/>
      <c r="R775" s="326">
        <v>11.5</v>
      </c>
      <c r="S775" s="319">
        <v>8.5</v>
      </c>
      <c r="T775" s="324">
        <v>0.6</v>
      </c>
      <c r="U775" s="319">
        <v>4.0</v>
      </c>
      <c r="V775" s="319"/>
      <c r="W775" s="319"/>
      <c r="X775" s="319"/>
      <c r="Y775" s="319"/>
      <c r="Z775" s="319" t="s">
        <v>339</v>
      </c>
      <c r="AA775" s="319"/>
      <c r="AB775" s="319" t="s">
        <v>1352</v>
      </c>
      <c r="AC775" s="327">
        <v>2.5</v>
      </c>
      <c r="AD775" s="319"/>
      <c r="AE775" s="319"/>
      <c r="AF775" s="319"/>
      <c r="AG775" s="319"/>
      <c r="AH775" s="319"/>
      <c r="AI775" s="319"/>
      <c r="AJ775" s="327"/>
      <c r="AK775" s="328"/>
      <c r="AL775" s="319"/>
      <c r="AM775" s="319"/>
      <c r="AN775" s="319"/>
      <c r="AO775" s="319"/>
      <c r="AP775" s="319"/>
      <c r="AQ775" s="319"/>
      <c r="AR775" s="319"/>
      <c r="AS775" s="327"/>
      <c r="AT775" s="461" t="s">
        <v>182</v>
      </c>
      <c r="AU775" s="324" t="s">
        <v>845</v>
      </c>
      <c r="AV775" s="330">
        <f>SQRT(($R775-Infrastructure!J$3)^2+($S775-Infrastructure!K$3)^2)</f>
        <v>23.56692598</v>
      </c>
      <c r="AW775" s="331">
        <f>SQRT(($R775-Infrastructure!J$4)^2+($S775-Infrastructure!K$4)^2)</f>
        <v>15.02431363</v>
      </c>
      <c r="AX775" s="331">
        <f>SQRT(($R775-Infrastructure!J$5)^2+($S775-Infrastructure!K$5)^2)</f>
        <v>12.28006515</v>
      </c>
      <c r="AY775" s="331">
        <f>SQRT(($R775-Infrastructure!J$6)^2+($S775-Infrastructure!K$6)^2)</f>
        <v>8.318653737</v>
      </c>
      <c r="AZ775" s="331">
        <f>SQRT(($R775-Infrastructure!J$7)^2+($S775-Infrastructure!K$7)^2)</f>
        <v>12.175385</v>
      </c>
      <c r="BA775" s="331">
        <f>SQRT(($R775-Infrastructure!J$8)^2+($S775-Infrastructure!K$8)^2)</f>
        <v>20.32732152</v>
      </c>
      <c r="BB775" s="331">
        <f>SQRT(($R775-Infrastructure!J$9)^2+($S775-Infrastructure!K$9)^2)</f>
        <v>28.70209052</v>
      </c>
      <c r="BC775" s="331">
        <f>SQRT(($R775-Infrastructure!J$10)^2+($S775-Infrastructure!K$10)^2)</f>
        <v>29.23183196</v>
      </c>
      <c r="BD775" s="318"/>
      <c r="BE775" s="332"/>
      <c r="BF775" s="330">
        <f t="shared" si="14"/>
        <v>8.318653737</v>
      </c>
      <c r="BG775" s="333">
        <f t="shared" si="15"/>
        <v>29.23183196</v>
      </c>
      <c r="BH775" s="334"/>
      <c r="BI775" s="462" t="s">
        <v>846</v>
      </c>
      <c r="BJ775" s="319" t="s">
        <v>846</v>
      </c>
      <c r="BK775" s="319" t="s">
        <v>846</v>
      </c>
      <c r="BL775" s="788" t="s">
        <v>845</v>
      </c>
      <c r="BM775" s="319" t="s">
        <v>846</v>
      </c>
      <c r="BN775" s="319" t="s">
        <v>846</v>
      </c>
      <c r="BO775" s="319" t="s">
        <v>845</v>
      </c>
      <c r="BP775" s="319" t="s">
        <v>846</v>
      </c>
      <c r="BQ775" s="788" t="s">
        <v>845</v>
      </c>
      <c r="BR775" s="789" t="s">
        <v>845</v>
      </c>
      <c r="BS775" s="330">
        <f t="shared" si="39"/>
        <v>12.175385</v>
      </c>
      <c r="BT775" s="331">
        <f t="shared" si="40"/>
        <v>29.23183196</v>
      </c>
      <c r="BU775" s="331"/>
      <c r="BV775" s="333"/>
      <c r="BW775" s="614">
        <v>12.4</v>
      </c>
      <c r="BX775" s="615">
        <v>9.7</v>
      </c>
      <c r="BY775" s="331">
        <f t="shared" si="41"/>
        <v>1.5</v>
      </c>
      <c r="BZ775" s="340"/>
      <c r="CA775" s="462" t="s">
        <v>846</v>
      </c>
      <c r="CB775" s="319" t="s">
        <v>846</v>
      </c>
      <c r="CC775" s="319" t="s">
        <v>846</v>
      </c>
      <c r="CD775" s="319" t="s">
        <v>846</v>
      </c>
      <c r="CE775" s="319" t="s">
        <v>846</v>
      </c>
      <c r="CF775" s="319" t="s">
        <v>846</v>
      </c>
      <c r="CG775" s="319" t="s">
        <v>846</v>
      </c>
      <c r="CH775" s="319" t="s">
        <v>846</v>
      </c>
      <c r="CI775" s="338"/>
      <c r="CJ775" s="341"/>
      <c r="CK775" s="342">
        <f t="shared" si="18"/>
        <v>8.318653737</v>
      </c>
      <c r="CL775" s="333">
        <f t="shared" si="19"/>
        <v>29.23183196</v>
      </c>
      <c r="CM775" s="616"/>
      <c r="CN775" s="617"/>
      <c r="CO775" s="617"/>
      <c r="CP775" s="617"/>
    </row>
    <row r="776">
      <c r="A776" s="794"/>
      <c r="B776" s="462" t="s">
        <v>1341</v>
      </c>
      <c r="C776" s="417">
        <v>44288.0</v>
      </c>
      <c r="D776" s="318"/>
      <c r="E776" s="319">
        <v>6.0</v>
      </c>
      <c r="F776" s="324" t="s">
        <v>1388</v>
      </c>
      <c r="G776" s="321">
        <v>0.4326388888888889</v>
      </c>
      <c r="H776" s="323">
        <v>0.43333333333333335</v>
      </c>
      <c r="I776" s="323"/>
      <c r="J776" s="323"/>
      <c r="K776" s="323">
        <v>0.4357638888888889</v>
      </c>
      <c r="L776" s="323">
        <v>0.0024305555555555556</v>
      </c>
      <c r="M776" s="326" t="s">
        <v>358</v>
      </c>
      <c r="N776" s="324" t="s">
        <v>187</v>
      </c>
      <c r="O776" s="419" t="s">
        <v>1383</v>
      </c>
      <c r="P776" s="319" t="s">
        <v>212</v>
      </c>
      <c r="Q776" s="318"/>
      <c r="R776" s="326">
        <v>11.5</v>
      </c>
      <c r="S776" s="319">
        <v>8.5</v>
      </c>
      <c r="T776" s="324">
        <v>0.6</v>
      </c>
      <c r="U776" s="319">
        <v>8.0</v>
      </c>
      <c r="V776" s="319"/>
      <c r="W776" s="319"/>
      <c r="X776" s="319"/>
      <c r="Y776" s="319"/>
      <c r="Z776" s="319" t="s">
        <v>339</v>
      </c>
      <c r="AA776" s="319"/>
      <c r="AB776" s="319" t="s">
        <v>1389</v>
      </c>
      <c r="AC776" s="327">
        <v>4.0</v>
      </c>
      <c r="AD776" s="319"/>
      <c r="AE776" s="319"/>
      <c r="AF776" s="319"/>
      <c r="AG776" s="319"/>
      <c r="AH776" s="319"/>
      <c r="AI776" s="319"/>
      <c r="AJ776" s="327"/>
      <c r="AK776" s="328"/>
      <c r="AL776" s="319"/>
      <c r="AM776" s="319"/>
      <c r="AN776" s="319"/>
      <c r="AO776" s="319"/>
      <c r="AP776" s="319"/>
      <c r="AQ776" s="319"/>
      <c r="AR776" s="319"/>
      <c r="AS776" s="327"/>
      <c r="AT776" s="461" t="s">
        <v>182</v>
      </c>
      <c r="AU776" s="324" t="s">
        <v>845</v>
      </c>
      <c r="AV776" s="330">
        <f>SQRT(($R776-Infrastructure!J$3)^2+($S776-Infrastructure!K$3)^2)</f>
        <v>23.56692598</v>
      </c>
      <c r="AW776" s="331">
        <f>SQRT(($R776-Infrastructure!J$4)^2+($S776-Infrastructure!K$4)^2)</f>
        <v>15.02431363</v>
      </c>
      <c r="AX776" s="331">
        <f>SQRT(($R776-Infrastructure!J$5)^2+($S776-Infrastructure!K$5)^2)</f>
        <v>12.28006515</v>
      </c>
      <c r="AY776" s="331">
        <f>SQRT(($R776-Infrastructure!J$6)^2+($S776-Infrastructure!K$6)^2)</f>
        <v>8.318653737</v>
      </c>
      <c r="AZ776" s="331">
        <f>SQRT(($R776-Infrastructure!J$7)^2+($S776-Infrastructure!K$7)^2)</f>
        <v>12.175385</v>
      </c>
      <c r="BA776" s="331">
        <f>SQRT(($R776-Infrastructure!J$8)^2+($S776-Infrastructure!K$8)^2)</f>
        <v>20.32732152</v>
      </c>
      <c r="BB776" s="331">
        <f>SQRT(($R776-Infrastructure!J$9)^2+($S776-Infrastructure!K$9)^2)</f>
        <v>28.70209052</v>
      </c>
      <c r="BC776" s="331">
        <f>SQRT(($R776-Infrastructure!J$10)^2+($S776-Infrastructure!K$10)^2)</f>
        <v>29.23183196</v>
      </c>
      <c r="BD776" s="318"/>
      <c r="BE776" s="332"/>
      <c r="BF776" s="330">
        <f t="shared" si="14"/>
        <v>8.318653737</v>
      </c>
      <c r="BG776" s="333">
        <f t="shared" si="15"/>
        <v>29.23183196</v>
      </c>
      <c r="BH776" s="334"/>
      <c r="BI776" s="462" t="s">
        <v>846</v>
      </c>
      <c r="BJ776" s="319" t="s">
        <v>846</v>
      </c>
      <c r="BK776" s="319" t="s">
        <v>846</v>
      </c>
      <c r="BL776" s="788" t="s">
        <v>845</v>
      </c>
      <c r="BM776" s="319" t="s">
        <v>846</v>
      </c>
      <c r="BN776" s="319" t="s">
        <v>846</v>
      </c>
      <c r="BO776" s="319" t="s">
        <v>845</v>
      </c>
      <c r="BP776" s="319" t="s">
        <v>846</v>
      </c>
      <c r="BQ776" s="788" t="s">
        <v>845</v>
      </c>
      <c r="BR776" s="789" t="s">
        <v>845</v>
      </c>
      <c r="BS776" s="330">
        <f t="shared" si="39"/>
        <v>12.175385</v>
      </c>
      <c r="BT776" s="331">
        <f t="shared" si="40"/>
        <v>29.23183196</v>
      </c>
      <c r="BU776" s="331"/>
      <c r="BV776" s="333"/>
      <c r="BW776" s="614">
        <v>16.3</v>
      </c>
      <c r="BX776" s="615">
        <v>9.8</v>
      </c>
      <c r="BY776" s="331">
        <f t="shared" si="41"/>
        <v>4.972926704</v>
      </c>
      <c r="BZ776" s="340"/>
      <c r="CA776" s="462" t="s">
        <v>846</v>
      </c>
      <c r="CB776" s="319" t="s">
        <v>846</v>
      </c>
      <c r="CC776" s="319" t="s">
        <v>846</v>
      </c>
      <c r="CD776" s="319" t="s">
        <v>846</v>
      </c>
      <c r="CE776" s="319" t="s">
        <v>846</v>
      </c>
      <c r="CF776" s="319" t="s">
        <v>846</v>
      </c>
      <c r="CG776" s="319" t="s">
        <v>846</v>
      </c>
      <c r="CH776" s="319" t="s">
        <v>846</v>
      </c>
      <c r="CI776" s="338"/>
      <c r="CJ776" s="341"/>
      <c r="CK776" s="342">
        <f t="shared" si="18"/>
        <v>8.318653737</v>
      </c>
      <c r="CL776" s="333">
        <f t="shared" si="19"/>
        <v>29.23183196</v>
      </c>
      <c r="CM776" s="616"/>
      <c r="CN776" s="617"/>
      <c r="CO776" s="617"/>
      <c r="CP776" s="617"/>
    </row>
    <row r="777">
      <c r="A777" s="794"/>
      <c r="B777" s="462" t="s">
        <v>1341</v>
      </c>
      <c r="C777" s="417">
        <v>44288.0</v>
      </c>
      <c r="D777" s="318"/>
      <c r="E777" s="319">
        <v>7.0</v>
      </c>
      <c r="F777" s="324" t="s">
        <v>1390</v>
      </c>
      <c r="G777" s="321">
        <v>0.43703703703703706</v>
      </c>
      <c r="H777" s="323">
        <v>0.4375</v>
      </c>
      <c r="I777" s="323"/>
      <c r="J777" s="323"/>
      <c r="K777" s="323">
        <v>0.44253472222222223</v>
      </c>
      <c r="L777" s="323">
        <v>0.0050347222222222225</v>
      </c>
      <c r="M777" s="326" t="s">
        <v>358</v>
      </c>
      <c r="N777" s="324" t="s">
        <v>187</v>
      </c>
      <c r="O777" s="419" t="s">
        <v>199</v>
      </c>
      <c r="P777" s="319" t="s">
        <v>220</v>
      </c>
      <c r="Q777" s="318"/>
      <c r="R777" s="326">
        <v>16.2</v>
      </c>
      <c r="S777" s="319">
        <v>9.3</v>
      </c>
      <c r="T777" s="324">
        <v>0.1</v>
      </c>
      <c r="U777" s="319">
        <v>8.0</v>
      </c>
      <c r="V777" s="319"/>
      <c r="W777" s="319"/>
      <c r="X777" s="319"/>
      <c r="Y777" s="319"/>
      <c r="Z777" s="319" t="s">
        <v>351</v>
      </c>
      <c r="AA777" s="319"/>
      <c r="AB777" s="319" t="s">
        <v>1175</v>
      </c>
      <c r="AC777" s="327">
        <v>8.0</v>
      </c>
      <c r="AD777" s="319"/>
      <c r="AE777" s="319"/>
      <c r="AF777" s="319"/>
      <c r="AG777" s="319"/>
      <c r="AH777" s="319"/>
      <c r="AI777" s="319"/>
      <c r="AJ777" s="327"/>
      <c r="AK777" s="328"/>
      <c r="AL777" s="319"/>
      <c r="AM777" s="319"/>
      <c r="AN777" s="319"/>
      <c r="AO777" s="319"/>
      <c r="AP777" s="319"/>
      <c r="AQ777" s="319"/>
      <c r="AR777" s="319"/>
      <c r="AS777" s="327"/>
      <c r="AT777" s="461" t="s">
        <v>182</v>
      </c>
      <c r="AU777" s="324" t="s">
        <v>845</v>
      </c>
      <c r="AV777" s="330">
        <f>SQRT(($R777-Infrastructure!J$3)^2+($S777-Infrastructure!K$3)^2)</f>
        <v>25.6204996</v>
      </c>
      <c r="AW777" s="331">
        <f>SQRT(($R777-Infrastructure!J$4)^2+($S777-Infrastructure!K$4)^2)</f>
        <v>18.56071119</v>
      </c>
      <c r="AX777" s="331">
        <f>SQRT(($R777-Infrastructure!J$5)^2+($S777-Infrastructure!K$5)^2)</f>
        <v>17.02615635</v>
      </c>
      <c r="AY777" s="331">
        <f>SQRT(($R777-Infrastructure!J$6)^2+($S777-Infrastructure!K$6)^2)</f>
        <v>10.87244223</v>
      </c>
      <c r="AZ777" s="331">
        <f>SQRT(($R777-Infrastructure!J$7)^2+($S777-Infrastructure!K$7)^2)</f>
        <v>9.974467404</v>
      </c>
      <c r="BA777" s="331">
        <f>SQRT(($R777-Infrastructure!J$8)^2+($S777-Infrastructure!K$8)^2)</f>
        <v>16.55928742</v>
      </c>
      <c r="BB777" s="331">
        <f>SQRT(($R777-Infrastructure!J$9)^2+($S777-Infrastructure!K$9)^2)</f>
        <v>24.1677471</v>
      </c>
      <c r="BC777" s="331">
        <f>SQRT(($R777-Infrastructure!J$10)^2+($S777-Infrastructure!K$10)^2)</f>
        <v>24.4730464</v>
      </c>
      <c r="BD777" s="318"/>
      <c r="BE777" s="332"/>
      <c r="BF777" s="330">
        <f t="shared" si="14"/>
        <v>9.974467404</v>
      </c>
      <c r="BG777" s="333">
        <f t="shared" si="15"/>
        <v>25.6204996</v>
      </c>
      <c r="BH777" s="334"/>
      <c r="BI777" s="462" t="s">
        <v>845</v>
      </c>
      <c r="BJ777" s="319" t="s">
        <v>845</v>
      </c>
      <c r="BK777" s="319" t="s">
        <v>845</v>
      </c>
      <c r="BL777" s="788" t="s">
        <v>845</v>
      </c>
      <c r="BM777" s="319" t="s">
        <v>845</v>
      </c>
      <c r="BN777" s="319" t="s">
        <v>845</v>
      </c>
      <c r="BO777" s="319" t="s">
        <v>845</v>
      </c>
      <c r="BP777" s="319" t="s">
        <v>845</v>
      </c>
      <c r="BQ777" s="788" t="s">
        <v>845</v>
      </c>
      <c r="BR777" s="789" t="s">
        <v>845</v>
      </c>
      <c r="BS777" s="330">
        <f t="shared" si="39"/>
        <v>0</v>
      </c>
      <c r="BT777" s="331">
        <f t="shared" si="40"/>
        <v>0</v>
      </c>
      <c r="BU777" s="331"/>
      <c r="BV777" s="333"/>
      <c r="BW777" s="330"/>
      <c r="BX777" s="331"/>
      <c r="BY777" s="331" t="b">
        <f t="shared" si="41"/>
        <v>0</v>
      </c>
      <c r="BZ777" s="340"/>
      <c r="CA777" s="316"/>
      <c r="CB777" s="318"/>
      <c r="CC777" s="318"/>
      <c r="CD777" s="318"/>
      <c r="CE777" s="318"/>
      <c r="CF777" s="318"/>
      <c r="CG777" s="318"/>
      <c r="CH777" s="318"/>
      <c r="CI777" s="338"/>
      <c r="CJ777" s="341"/>
      <c r="CK777" s="342">
        <f t="shared" si="18"/>
        <v>0</v>
      </c>
      <c r="CL777" s="333">
        <f t="shared" si="19"/>
        <v>0</v>
      </c>
      <c r="CM777" s="616"/>
      <c r="CN777" s="617"/>
      <c r="CO777" s="617"/>
      <c r="CP777" s="617"/>
    </row>
    <row r="778">
      <c r="A778" s="794"/>
      <c r="B778" s="462" t="s">
        <v>1341</v>
      </c>
      <c r="C778" s="417">
        <v>44288.0</v>
      </c>
      <c r="D778" s="318"/>
      <c r="E778" s="319">
        <v>8.0</v>
      </c>
      <c r="F778" s="324" t="s">
        <v>1391</v>
      </c>
      <c r="G778" s="321">
        <v>0.44253472222222223</v>
      </c>
      <c r="H778" s="323">
        <v>0.4432291666666667</v>
      </c>
      <c r="I778" s="323"/>
      <c r="J778" s="323"/>
      <c r="K778" s="323">
        <v>0.44537037037037036</v>
      </c>
      <c r="L778" s="323">
        <v>0.0021412037037037038</v>
      </c>
      <c r="M778" s="326" t="s">
        <v>358</v>
      </c>
      <c r="N778" s="324" t="s">
        <v>187</v>
      </c>
      <c r="O778" s="419" t="s">
        <v>199</v>
      </c>
      <c r="P778" s="319" t="s">
        <v>220</v>
      </c>
      <c r="Q778" s="318"/>
      <c r="R778" s="326">
        <v>16.2</v>
      </c>
      <c r="S778" s="319">
        <v>9.3</v>
      </c>
      <c r="T778" s="324">
        <v>0.1</v>
      </c>
      <c r="U778" s="319">
        <v>7.0</v>
      </c>
      <c r="V778" s="319"/>
      <c r="W778" s="319"/>
      <c r="X778" s="319"/>
      <c r="Y778" s="319"/>
      <c r="Z778" s="319" t="s">
        <v>357</v>
      </c>
      <c r="AA778" s="319"/>
      <c r="AB778" s="319" t="s">
        <v>1175</v>
      </c>
      <c r="AC778" s="327">
        <v>8.0</v>
      </c>
      <c r="AD778" s="319"/>
      <c r="AE778" s="319"/>
      <c r="AF778" s="319"/>
      <c r="AG778" s="319"/>
      <c r="AH778" s="319"/>
      <c r="AI778" s="319"/>
      <c r="AJ778" s="327"/>
      <c r="AK778" s="328"/>
      <c r="AL778" s="319"/>
      <c r="AM778" s="319"/>
      <c r="AN778" s="319"/>
      <c r="AO778" s="319"/>
      <c r="AP778" s="319"/>
      <c r="AQ778" s="319"/>
      <c r="AR778" s="319"/>
      <c r="AS778" s="327"/>
      <c r="AT778" s="461" t="s">
        <v>182</v>
      </c>
      <c r="AU778" s="324" t="s">
        <v>845</v>
      </c>
      <c r="AV778" s="330">
        <f>SQRT(($R778-Infrastructure!J$3)^2+($S778-Infrastructure!K$3)^2)</f>
        <v>25.6204996</v>
      </c>
      <c r="AW778" s="331">
        <f>SQRT(($R778-Infrastructure!J$4)^2+($S778-Infrastructure!K$4)^2)</f>
        <v>18.56071119</v>
      </c>
      <c r="AX778" s="331">
        <f>SQRT(($R778-Infrastructure!J$5)^2+($S778-Infrastructure!K$5)^2)</f>
        <v>17.02615635</v>
      </c>
      <c r="AY778" s="331">
        <f>SQRT(($R778-Infrastructure!J$6)^2+($S778-Infrastructure!K$6)^2)</f>
        <v>10.87244223</v>
      </c>
      <c r="AZ778" s="331">
        <f>SQRT(($R778-Infrastructure!J$7)^2+($S778-Infrastructure!K$7)^2)</f>
        <v>9.974467404</v>
      </c>
      <c r="BA778" s="331">
        <f>SQRT(($R778-Infrastructure!J$8)^2+($S778-Infrastructure!K$8)^2)</f>
        <v>16.55928742</v>
      </c>
      <c r="BB778" s="331">
        <f>SQRT(($R778-Infrastructure!J$9)^2+($S778-Infrastructure!K$9)^2)</f>
        <v>24.1677471</v>
      </c>
      <c r="BC778" s="331">
        <f>SQRT(($R778-Infrastructure!J$10)^2+($S778-Infrastructure!K$10)^2)</f>
        <v>24.4730464</v>
      </c>
      <c r="BD778" s="318"/>
      <c r="BE778" s="332"/>
      <c r="BF778" s="330">
        <f t="shared" si="14"/>
        <v>9.974467404</v>
      </c>
      <c r="BG778" s="333">
        <f t="shared" si="15"/>
        <v>25.6204996</v>
      </c>
      <c r="BH778" s="334"/>
      <c r="BI778" s="462" t="s">
        <v>845</v>
      </c>
      <c r="BJ778" s="319" t="s">
        <v>845</v>
      </c>
      <c r="BK778" s="319" t="s">
        <v>845</v>
      </c>
      <c r="BL778" s="788" t="s">
        <v>845</v>
      </c>
      <c r="BM778" s="319" t="s">
        <v>845</v>
      </c>
      <c r="BN778" s="319" t="s">
        <v>845</v>
      </c>
      <c r="BO778" s="319" t="s">
        <v>845</v>
      </c>
      <c r="BP778" s="319" t="s">
        <v>845</v>
      </c>
      <c r="BQ778" s="788" t="s">
        <v>845</v>
      </c>
      <c r="BR778" s="789" t="s">
        <v>845</v>
      </c>
      <c r="BS778" s="330">
        <f t="shared" si="39"/>
        <v>0</v>
      </c>
      <c r="BT778" s="331">
        <f t="shared" si="40"/>
        <v>0</v>
      </c>
      <c r="BU778" s="331"/>
      <c r="BV778" s="333"/>
      <c r="BW778" s="330"/>
      <c r="BX778" s="331"/>
      <c r="BY778" s="331" t="b">
        <f t="shared" si="41"/>
        <v>0</v>
      </c>
      <c r="BZ778" s="340"/>
      <c r="CA778" s="316"/>
      <c r="CB778" s="318"/>
      <c r="CC778" s="318"/>
      <c r="CD778" s="318"/>
      <c r="CE778" s="318"/>
      <c r="CF778" s="318"/>
      <c r="CG778" s="318"/>
      <c r="CH778" s="318"/>
      <c r="CI778" s="338"/>
      <c r="CJ778" s="341"/>
      <c r="CK778" s="342">
        <f t="shared" si="18"/>
        <v>0</v>
      </c>
      <c r="CL778" s="333">
        <f t="shared" si="19"/>
        <v>0</v>
      </c>
      <c r="CM778" s="616"/>
      <c r="CN778" s="617"/>
      <c r="CO778" s="617"/>
      <c r="CP778" s="617"/>
    </row>
    <row r="779">
      <c r="A779" s="794"/>
      <c r="B779" s="462" t="s">
        <v>1341</v>
      </c>
      <c r="C779" s="417">
        <v>44288.0</v>
      </c>
      <c r="D779" s="318"/>
      <c r="E779" s="319">
        <v>9.0</v>
      </c>
      <c r="F779" s="324" t="s">
        <v>1392</v>
      </c>
      <c r="G779" s="321">
        <v>0.44537037037037036</v>
      </c>
      <c r="H779" s="323">
        <v>0.44635416666666666</v>
      </c>
      <c r="I779" s="323"/>
      <c r="J779" s="323"/>
      <c r="K779" s="323">
        <v>0.4484375</v>
      </c>
      <c r="L779" s="323">
        <v>0.0020833333333333333</v>
      </c>
      <c r="M779" s="326" t="s">
        <v>358</v>
      </c>
      <c r="N779" s="324" t="s">
        <v>187</v>
      </c>
      <c r="O779" s="419" t="s">
        <v>199</v>
      </c>
      <c r="P779" s="319" t="s">
        <v>220</v>
      </c>
      <c r="Q779" s="318"/>
      <c r="R779" s="326">
        <v>16.2</v>
      </c>
      <c r="S779" s="319">
        <v>9.3</v>
      </c>
      <c r="T779" s="324">
        <v>0.1</v>
      </c>
      <c r="U779" s="319">
        <v>6.0</v>
      </c>
      <c r="V779" s="319"/>
      <c r="W779" s="319"/>
      <c r="X779" s="319"/>
      <c r="Y779" s="319"/>
      <c r="Z779" s="319" t="s">
        <v>365</v>
      </c>
      <c r="AA779" s="319"/>
      <c r="AB779" s="319" t="s">
        <v>1175</v>
      </c>
      <c r="AC779" s="327">
        <v>8.0</v>
      </c>
      <c r="AD779" s="319"/>
      <c r="AE779" s="319"/>
      <c r="AF779" s="319"/>
      <c r="AG779" s="319"/>
      <c r="AH779" s="319"/>
      <c r="AI779" s="319"/>
      <c r="AJ779" s="327"/>
      <c r="AK779" s="328"/>
      <c r="AL779" s="319"/>
      <c r="AM779" s="319"/>
      <c r="AN779" s="319"/>
      <c r="AO779" s="319"/>
      <c r="AP779" s="319"/>
      <c r="AQ779" s="319"/>
      <c r="AR779" s="319"/>
      <c r="AS779" s="327"/>
      <c r="AT779" s="461" t="s">
        <v>182</v>
      </c>
      <c r="AU779" s="324" t="s">
        <v>845</v>
      </c>
      <c r="AV779" s="330">
        <f>SQRT(($R779-Infrastructure!J$3)^2+($S779-Infrastructure!K$3)^2)</f>
        <v>25.6204996</v>
      </c>
      <c r="AW779" s="331">
        <f>SQRT(($R779-Infrastructure!J$4)^2+($S779-Infrastructure!K$4)^2)</f>
        <v>18.56071119</v>
      </c>
      <c r="AX779" s="331">
        <f>SQRT(($R779-Infrastructure!J$5)^2+($S779-Infrastructure!K$5)^2)</f>
        <v>17.02615635</v>
      </c>
      <c r="AY779" s="331">
        <f>SQRT(($R779-Infrastructure!J$6)^2+($S779-Infrastructure!K$6)^2)</f>
        <v>10.87244223</v>
      </c>
      <c r="AZ779" s="331">
        <f>SQRT(($R779-Infrastructure!J$7)^2+($S779-Infrastructure!K$7)^2)</f>
        <v>9.974467404</v>
      </c>
      <c r="BA779" s="331">
        <f>SQRT(($R779-Infrastructure!J$8)^2+($S779-Infrastructure!K$8)^2)</f>
        <v>16.55928742</v>
      </c>
      <c r="BB779" s="331">
        <f>SQRT(($R779-Infrastructure!J$9)^2+($S779-Infrastructure!K$9)^2)</f>
        <v>24.1677471</v>
      </c>
      <c r="BC779" s="331">
        <f>SQRT(($R779-Infrastructure!J$10)^2+($S779-Infrastructure!K$10)^2)</f>
        <v>24.4730464</v>
      </c>
      <c r="BD779" s="318"/>
      <c r="BE779" s="332"/>
      <c r="BF779" s="330">
        <f t="shared" si="14"/>
        <v>9.974467404</v>
      </c>
      <c r="BG779" s="333">
        <f t="shared" si="15"/>
        <v>25.6204996</v>
      </c>
      <c r="BH779" s="334"/>
      <c r="BI779" s="462" t="s">
        <v>845</v>
      </c>
      <c r="BJ779" s="319" t="s">
        <v>845</v>
      </c>
      <c r="BK779" s="319" t="s">
        <v>845</v>
      </c>
      <c r="BL779" s="788" t="s">
        <v>845</v>
      </c>
      <c r="BM779" s="319" t="s">
        <v>845</v>
      </c>
      <c r="BN779" s="319" t="s">
        <v>845</v>
      </c>
      <c r="BO779" s="319" t="s">
        <v>845</v>
      </c>
      <c r="BP779" s="319" t="s">
        <v>845</v>
      </c>
      <c r="BQ779" s="788" t="s">
        <v>845</v>
      </c>
      <c r="BR779" s="789" t="s">
        <v>845</v>
      </c>
      <c r="BS779" s="330">
        <f t="shared" si="39"/>
        <v>0</v>
      </c>
      <c r="BT779" s="331">
        <f t="shared" si="40"/>
        <v>0</v>
      </c>
      <c r="BU779" s="331"/>
      <c r="BV779" s="333"/>
      <c r="BW779" s="330"/>
      <c r="BX779" s="331"/>
      <c r="BY779" s="331" t="b">
        <f t="shared" si="41"/>
        <v>0</v>
      </c>
      <c r="BZ779" s="340"/>
      <c r="CA779" s="316"/>
      <c r="CB779" s="318"/>
      <c r="CC779" s="318"/>
      <c r="CD779" s="318"/>
      <c r="CE779" s="318"/>
      <c r="CF779" s="318"/>
      <c r="CG779" s="318"/>
      <c r="CH779" s="318"/>
      <c r="CI779" s="338"/>
      <c r="CJ779" s="341"/>
      <c r="CK779" s="342">
        <f t="shared" si="18"/>
        <v>0</v>
      </c>
      <c r="CL779" s="333">
        <f t="shared" si="19"/>
        <v>0</v>
      </c>
      <c r="CM779" s="616"/>
      <c r="CN779" s="617"/>
      <c r="CO779" s="617"/>
      <c r="CP779" s="617"/>
    </row>
    <row r="780">
      <c r="A780" s="794"/>
      <c r="B780" s="462" t="s">
        <v>1341</v>
      </c>
      <c r="C780" s="417">
        <v>44288.0</v>
      </c>
      <c r="D780" s="318"/>
      <c r="E780" s="319">
        <v>10.0</v>
      </c>
      <c r="F780" s="324" t="s">
        <v>1393</v>
      </c>
      <c r="G780" s="321">
        <v>0.45</v>
      </c>
      <c r="H780" s="323">
        <v>0.4504050925925926</v>
      </c>
      <c r="I780" s="323"/>
      <c r="J780" s="323"/>
      <c r="K780" s="323">
        <v>0.4564236111111111</v>
      </c>
      <c r="L780" s="323">
        <v>0.0060185185185185185</v>
      </c>
      <c r="M780" s="326" t="s">
        <v>358</v>
      </c>
      <c r="N780" s="324" t="s">
        <v>187</v>
      </c>
      <c r="O780" s="419" t="s">
        <v>199</v>
      </c>
      <c r="P780" s="319" t="s">
        <v>220</v>
      </c>
      <c r="Q780" s="318"/>
      <c r="R780" s="326">
        <v>16.2</v>
      </c>
      <c r="S780" s="319">
        <v>9.3</v>
      </c>
      <c r="T780" s="324">
        <v>0.1</v>
      </c>
      <c r="U780" s="319">
        <v>6.0</v>
      </c>
      <c r="V780" s="319"/>
      <c r="W780" s="319"/>
      <c r="X780" s="319"/>
      <c r="Y780" s="319"/>
      <c r="Z780" s="319" t="s">
        <v>370</v>
      </c>
      <c r="AA780" s="319"/>
      <c r="AB780" s="319" t="s">
        <v>1241</v>
      </c>
      <c r="AC780" s="327">
        <v>4.0</v>
      </c>
      <c r="AD780" s="319"/>
      <c r="AE780" s="319"/>
      <c r="AF780" s="319"/>
      <c r="AG780" s="319"/>
      <c r="AH780" s="319"/>
      <c r="AI780" s="319"/>
      <c r="AJ780" s="327"/>
      <c r="AK780" s="328"/>
      <c r="AL780" s="319"/>
      <c r="AM780" s="319"/>
      <c r="AN780" s="319"/>
      <c r="AO780" s="319"/>
      <c r="AP780" s="319"/>
      <c r="AQ780" s="319"/>
      <c r="AR780" s="319"/>
      <c r="AS780" s="327"/>
      <c r="AT780" s="461" t="s">
        <v>182</v>
      </c>
      <c r="AU780" s="324" t="s">
        <v>845</v>
      </c>
      <c r="AV780" s="330">
        <f>SQRT(($R780-Infrastructure!J$3)^2+($S780-Infrastructure!K$3)^2)</f>
        <v>25.6204996</v>
      </c>
      <c r="AW780" s="331">
        <f>SQRT(($R780-Infrastructure!J$4)^2+($S780-Infrastructure!K$4)^2)</f>
        <v>18.56071119</v>
      </c>
      <c r="AX780" s="331">
        <f>SQRT(($R780-Infrastructure!J$5)^2+($S780-Infrastructure!K$5)^2)</f>
        <v>17.02615635</v>
      </c>
      <c r="AY780" s="331">
        <f>SQRT(($R780-Infrastructure!J$6)^2+($S780-Infrastructure!K$6)^2)</f>
        <v>10.87244223</v>
      </c>
      <c r="AZ780" s="331">
        <f>SQRT(($R780-Infrastructure!J$7)^2+($S780-Infrastructure!K$7)^2)</f>
        <v>9.974467404</v>
      </c>
      <c r="BA780" s="331">
        <f>SQRT(($R780-Infrastructure!J$8)^2+($S780-Infrastructure!K$8)^2)</f>
        <v>16.55928742</v>
      </c>
      <c r="BB780" s="331">
        <f>SQRT(($R780-Infrastructure!J$9)^2+($S780-Infrastructure!K$9)^2)</f>
        <v>24.1677471</v>
      </c>
      <c r="BC780" s="331">
        <f>SQRT(($R780-Infrastructure!J$10)^2+($S780-Infrastructure!K$10)^2)</f>
        <v>24.4730464</v>
      </c>
      <c r="BD780" s="318"/>
      <c r="BE780" s="332"/>
      <c r="BF780" s="330">
        <f t="shared" si="14"/>
        <v>9.974467404</v>
      </c>
      <c r="BG780" s="333">
        <f t="shared" si="15"/>
        <v>25.6204996</v>
      </c>
      <c r="BH780" s="334"/>
      <c r="BI780" s="462" t="s">
        <v>845</v>
      </c>
      <c r="BJ780" s="319" t="s">
        <v>845</v>
      </c>
      <c r="BK780" s="319" t="s">
        <v>845</v>
      </c>
      <c r="BL780" s="788" t="s">
        <v>845</v>
      </c>
      <c r="BM780" s="319" t="s">
        <v>845</v>
      </c>
      <c r="BN780" s="319" t="s">
        <v>845</v>
      </c>
      <c r="BO780" s="319" t="s">
        <v>845</v>
      </c>
      <c r="BP780" s="319" t="s">
        <v>845</v>
      </c>
      <c r="BQ780" s="788" t="s">
        <v>845</v>
      </c>
      <c r="BR780" s="789" t="s">
        <v>845</v>
      </c>
      <c r="BS780" s="330">
        <f t="shared" si="39"/>
        <v>0</v>
      </c>
      <c r="BT780" s="331">
        <f t="shared" si="40"/>
        <v>0</v>
      </c>
      <c r="BU780" s="331"/>
      <c r="BV780" s="333"/>
      <c r="BW780" s="330"/>
      <c r="BX780" s="331"/>
      <c r="BY780" s="331" t="b">
        <f t="shared" si="41"/>
        <v>0</v>
      </c>
      <c r="BZ780" s="340"/>
      <c r="CA780" s="316"/>
      <c r="CB780" s="318"/>
      <c r="CC780" s="318"/>
      <c r="CD780" s="319" t="s">
        <v>846</v>
      </c>
      <c r="CE780" s="318"/>
      <c r="CF780" s="318"/>
      <c r="CG780" s="318"/>
      <c r="CH780" s="318"/>
      <c r="CI780" s="338"/>
      <c r="CJ780" s="341"/>
      <c r="CK780" s="342">
        <f t="shared" si="18"/>
        <v>10.87244223</v>
      </c>
      <c r="CL780" s="333">
        <f t="shared" si="19"/>
        <v>10.87244223</v>
      </c>
      <c r="CM780" s="616"/>
      <c r="CN780" s="617"/>
      <c r="CO780" s="617"/>
      <c r="CP780" s="617"/>
    </row>
    <row r="781">
      <c r="A781" s="794"/>
      <c r="B781" s="462" t="s">
        <v>1341</v>
      </c>
      <c r="C781" s="417">
        <v>44288.0</v>
      </c>
      <c r="D781" s="318"/>
      <c r="E781" s="319">
        <v>11.0</v>
      </c>
      <c r="F781" s="324" t="s">
        <v>1394</v>
      </c>
      <c r="G781" s="321">
        <v>0.45729166666666665</v>
      </c>
      <c r="H781" s="323">
        <v>0.4588541666666667</v>
      </c>
      <c r="I781" s="323"/>
      <c r="J781" s="323"/>
      <c r="K781" s="323">
        <v>0.4609375</v>
      </c>
      <c r="L781" s="323">
        <v>0.0020833333333333333</v>
      </c>
      <c r="M781" s="326" t="s">
        <v>358</v>
      </c>
      <c r="N781" s="324" t="s">
        <v>187</v>
      </c>
      <c r="O781" s="419" t="s">
        <v>206</v>
      </c>
      <c r="P781" s="319" t="s">
        <v>218</v>
      </c>
      <c r="Q781" s="318"/>
      <c r="R781" s="326">
        <v>21.2</v>
      </c>
      <c r="S781" s="319">
        <v>8.7</v>
      </c>
      <c r="T781" s="324">
        <v>2.4</v>
      </c>
      <c r="U781" s="319">
        <v>8.0</v>
      </c>
      <c r="V781" s="319"/>
      <c r="W781" s="319"/>
      <c r="X781" s="319"/>
      <c r="Y781" s="319"/>
      <c r="Z781" s="319" t="s">
        <v>347</v>
      </c>
      <c r="AA781" s="319"/>
      <c r="AB781" s="319" t="s">
        <v>1173</v>
      </c>
      <c r="AC781" s="327">
        <v>6.0</v>
      </c>
      <c r="AD781" s="319"/>
      <c r="AE781" s="319"/>
      <c r="AF781" s="319"/>
      <c r="AG781" s="319"/>
      <c r="AH781" s="319"/>
      <c r="AI781" s="319"/>
      <c r="AJ781" s="327"/>
      <c r="AK781" s="328"/>
      <c r="AL781" s="319"/>
      <c r="AM781" s="319"/>
      <c r="AN781" s="319"/>
      <c r="AO781" s="319"/>
      <c r="AP781" s="319"/>
      <c r="AQ781" s="319"/>
      <c r="AR781" s="319"/>
      <c r="AS781" s="327"/>
      <c r="AT781" s="461" t="s">
        <v>182</v>
      </c>
      <c r="AU781" s="324" t="s">
        <v>845</v>
      </c>
      <c r="AV781" s="330">
        <f>SQRT(($R781-Infrastructure!J$3)^2+($S781-Infrastructure!K$3)^2)</f>
        <v>29.50067796</v>
      </c>
      <c r="AW781" s="331">
        <f>SQRT(($R781-Infrastructure!J$4)^2+($S781-Infrastructure!K$4)^2)</f>
        <v>23.34652008</v>
      </c>
      <c r="AX781" s="331">
        <f>SQRT(($R781-Infrastructure!J$5)^2+($S781-Infrastructure!K$5)^2)</f>
        <v>21.79931192</v>
      </c>
      <c r="AY781" s="331">
        <f>SQRT(($R781-Infrastructure!J$6)^2+($S781-Infrastructure!K$6)^2)</f>
        <v>13.92012931</v>
      </c>
      <c r="AZ781" s="331">
        <f>SQRT(($R781-Infrastructure!J$7)^2+($S781-Infrastructure!K$7)^2)</f>
        <v>8.429116205</v>
      </c>
      <c r="BA781" s="331">
        <f>SQRT(($R781-Infrastructure!J$8)^2+($S781-Infrastructure!K$8)^2)</f>
        <v>12.2380554</v>
      </c>
      <c r="BB781" s="331">
        <f>SQRT(($R781-Infrastructure!J$9)^2+($S781-Infrastructure!K$9)^2)</f>
        <v>19.14157778</v>
      </c>
      <c r="BC781" s="331">
        <f>SQRT(($R781-Infrastructure!J$10)^2+($S781-Infrastructure!K$10)^2)</f>
        <v>19.82750615</v>
      </c>
      <c r="BD781" s="318"/>
      <c r="BE781" s="332"/>
      <c r="BF781" s="330">
        <f t="shared" si="14"/>
        <v>8.429116205</v>
      </c>
      <c r="BG781" s="333">
        <f t="shared" si="15"/>
        <v>29.50067796</v>
      </c>
      <c r="BH781" s="334"/>
      <c r="BI781" s="462" t="s">
        <v>846</v>
      </c>
      <c r="BJ781" s="319" t="s">
        <v>846</v>
      </c>
      <c r="BK781" s="319" t="s">
        <v>845</v>
      </c>
      <c r="BL781" s="788" t="s">
        <v>845</v>
      </c>
      <c r="BM781" s="319" t="s">
        <v>846</v>
      </c>
      <c r="BN781" s="319" t="s">
        <v>846</v>
      </c>
      <c r="BO781" s="319" t="s">
        <v>845</v>
      </c>
      <c r="BP781" s="319" t="s">
        <v>845</v>
      </c>
      <c r="BQ781" s="788" t="s">
        <v>845</v>
      </c>
      <c r="BR781" s="789" t="s">
        <v>845</v>
      </c>
      <c r="BS781" s="330">
        <f t="shared" si="39"/>
        <v>8.429116205</v>
      </c>
      <c r="BT781" s="331">
        <f t="shared" si="40"/>
        <v>29.50067796</v>
      </c>
      <c r="BU781" s="331"/>
      <c r="BV781" s="333"/>
      <c r="BW781" s="614">
        <v>13.3</v>
      </c>
      <c r="BX781" s="615">
        <v>8.1</v>
      </c>
      <c r="BY781" s="331">
        <f t="shared" si="41"/>
        <v>7.922752047</v>
      </c>
      <c r="BZ781" s="340"/>
      <c r="CA781" s="462" t="s">
        <v>846</v>
      </c>
      <c r="CB781" s="319" t="s">
        <v>846</v>
      </c>
      <c r="CC781" s="318"/>
      <c r="CD781" s="319" t="s">
        <v>846</v>
      </c>
      <c r="CE781" s="319" t="s">
        <v>846</v>
      </c>
      <c r="CF781" s="319" t="s">
        <v>846</v>
      </c>
      <c r="CG781" s="318"/>
      <c r="CH781" s="319" t="s">
        <v>846</v>
      </c>
      <c r="CI781" s="338"/>
      <c r="CJ781" s="341"/>
      <c r="CK781" s="342">
        <f t="shared" si="18"/>
        <v>8.429116205</v>
      </c>
      <c r="CL781" s="333">
        <f t="shared" si="19"/>
        <v>29.50067796</v>
      </c>
      <c r="CM781" s="616"/>
      <c r="CN781" s="617"/>
      <c r="CO781" s="617"/>
      <c r="CP781" s="617"/>
    </row>
    <row r="782">
      <c r="A782" s="794"/>
      <c r="B782" s="462" t="s">
        <v>1341</v>
      </c>
      <c r="C782" s="417">
        <v>44288.0</v>
      </c>
      <c r="D782" s="318"/>
      <c r="E782" s="319">
        <v>12.0</v>
      </c>
      <c r="F782" s="324" t="s">
        <v>1395</v>
      </c>
      <c r="G782" s="321">
        <v>0.4609375</v>
      </c>
      <c r="H782" s="323">
        <v>0.46163194444444444</v>
      </c>
      <c r="I782" s="323"/>
      <c r="J782" s="323"/>
      <c r="K782" s="323">
        <v>0.46412037037037035</v>
      </c>
      <c r="L782" s="323">
        <v>0.002488425925925926</v>
      </c>
      <c r="M782" s="326" t="s">
        <v>358</v>
      </c>
      <c r="N782" s="324" t="s">
        <v>187</v>
      </c>
      <c r="O782" s="419" t="s">
        <v>206</v>
      </c>
      <c r="P782" s="319" t="s">
        <v>218</v>
      </c>
      <c r="Q782" s="318"/>
      <c r="R782" s="326">
        <v>21.2</v>
      </c>
      <c r="S782" s="319">
        <v>8.7</v>
      </c>
      <c r="T782" s="324">
        <v>2.4</v>
      </c>
      <c r="U782" s="319">
        <v>5.0</v>
      </c>
      <c r="V782" s="319"/>
      <c r="W782" s="319"/>
      <c r="X782" s="319"/>
      <c r="Y782" s="319"/>
      <c r="Z782" s="319" t="s">
        <v>347</v>
      </c>
      <c r="AA782" s="319"/>
      <c r="AB782" s="319" t="s">
        <v>1173</v>
      </c>
      <c r="AC782" s="327">
        <v>6.0</v>
      </c>
      <c r="AD782" s="319"/>
      <c r="AE782" s="319"/>
      <c r="AF782" s="319"/>
      <c r="AG782" s="319"/>
      <c r="AH782" s="319"/>
      <c r="AI782" s="319"/>
      <c r="AJ782" s="327"/>
      <c r="AK782" s="328"/>
      <c r="AL782" s="319"/>
      <c r="AM782" s="319"/>
      <c r="AN782" s="319"/>
      <c r="AO782" s="319"/>
      <c r="AP782" s="319"/>
      <c r="AQ782" s="319"/>
      <c r="AR782" s="319"/>
      <c r="AS782" s="327"/>
      <c r="AT782" s="461" t="s">
        <v>182</v>
      </c>
      <c r="AU782" s="324" t="s">
        <v>845</v>
      </c>
      <c r="AV782" s="330">
        <f>SQRT(($R782-Infrastructure!J$3)^2+($S782-Infrastructure!K$3)^2)</f>
        <v>29.50067796</v>
      </c>
      <c r="AW782" s="331">
        <f>SQRT(($R782-Infrastructure!J$4)^2+($S782-Infrastructure!K$4)^2)</f>
        <v>23.34652008</v>
      </c>
      <c r="AX782" s="331">
        <f>SQRT(($R782-Infrastructure!J$5)^2+($S782-Infrastructure!K$5)^2)</f>
        <v>21.79931192</v>
      </c>
      <c r="AY782" s="331">
        <f>SQRT(($R782-Infrastructure!J$6)^2+($S782-Infrastructure!K$6)^2)</f>
        <v>13.92012931</v>
      </c>
      <c r="AZ782" s="331">
        <f>SQRT(($R782-Infrastructure!J$7)^2+($S782-Infrastructure!K$7)^2)</f>
        <v>8.429116205</v>
      </c>
      <c r="BA782" s="331">
        <f>SQRT(($R782-Infrastructure!J$8)^2+($S782-Infrastructure!K$8)^2)</f>
        <v>12.2380554</v>
      </c>
      <c r="BB782" s="331">
        <f>SQRT(($R782-Infrastructure!J$9)^2+($S782-Infrastructure!K$9)^2)</f>
        <v>19.14157778</v>
      </c>
      <c r="BC782" s="331">
        <f>SQRT(($R782-Infrastructure!J$10)^2+($S782-Infrastructure!K$10)^2)</f>
        <v>19.82750615</v>
      </c>
      <c r="BD782" s="318"/>
      <c r="BE782" s="332"/>
      <c r="BF782" s="330">
        <f t="shared" si="14"/>
        <v>8.429116205</v>
      </c>
      <c r="BG782" s="333">
        <f t="shared" si="15"/>
        <v>29.50067796</v>
      </c>
      <c r="BH782" s="334"/>
      <c r="BI782" s="462" t="s">
        <v>846</v>
      </c>
      <c r="BJ782" s="319" t="s">
        <v>846</v>
      </c>
      <c r="BK782" s="319" t="s">
        <v>845</v>
      </c>
      <c r="BL782" s="788" t="s">
        <v>845</v>
      </c>
      <c r="BM782" s="319" t="s">
        <v>846</v>
      </c>
      <c r="BN782" s="319" t="s">
        <v>845</v>
      </c>
      <c r="BO782" s="319" t="s">
        <v>845</v>
      </c>
      <c r="BP782" s="319" t="s">
        <v>845</v>
      </c>
      <c r="BQ782" s="788" t="s">
        <v>845</v>
      </c>
      <c r="BR782" s="789" t="s">
        <v>845</v>
      </c>
      <c r="BS782" s="330">
        <f t="shared" si="39"/>
        <v>8.429116205</v>
      </c>
      <c r="BT782" s="331">
        <f t="shared" si="40"/>
        <v>29.50067796</v>
      </c>
      <c r="BU782" s="331"/>
      <c r="BV782" s="333"/>
      <c r="BW782" s="330"/>
      <c r="BX782" s="331"/>
      <c r="BY782" s="331" t="b">
        <f t="shared" si="41"/>
        <v>0</v>
      </c>
      <c r="BZ782" s="340"/>
      <c r="CA782" s="316"/>
      <c r="CB782" s="318"/>
      <c r="CC782" s="318"/>
      <c r="CD782" s="319" t="s">
        <v>846</v>
      </c>
      <c r="CE782" s="318"/>
      <c r="CF782" s="318"/>
      <c r="CG782" s="318"/>
      <c r="CH782" s="318"/>
      <c r="CI782" s="338"/>
      <c r="CJ782" s="341"/>
      <c r="CK782" s="342">
        <f t="shared" si="18"/>
        <v>13.92012931</v>
      </c>
      <c r="CL782" s="333">
        <f t="shared" si="19"/>
        <v>13.92012931</v>
      </c>
      <c r="CM782" s="616"/>
      <c r="CN782" s="617"/>
      <c r="CO782" s="617"/>
      <c r="CP782" s="617"/>
    </row>
    <row r="783">
      <c r="A783" s="794"/>
      <c r="B783" s="462" t="s">
        <v>1341</v>
      </c>
      <c r="C783" s="417">
        <v>44288.0</v>
      </c>
      <c r="D783" s="318"/>
      <c r="E783" s="319">
        <v>13.0</v>
      </c>
      <c r="F783" s="324" t="s">
        <v>1396</v>
      </c>
      <c r="G783" s="321">
        <v>0.46412037037037035</v>
      </c>
      <c r="H783" s="323">
        <v>0.46475694444444443</v>
      </c>
      <c r="I783" s="323"/>
      <c r="J783" s="323"/>
      <c r="K783" s="323">
        <v>0.46684027777777776</v>
      </c>
      <c r="L783" s="323">
        <v>0.0020833333333333333</v>
      </c>
      <c r="M783" s="326" t="s">
        <v>358</v>
      </c>
      <c r="N783" s="324" t="s">
        <v>187</v>
      </c>
      <c r="O783" s="419" t="s">
        <v>206</v>
      </c>
      <c r="P783" s="319" t="s">
        <v>218</v>
      </c>
      <c r="Q783" s="318"/>
      <c r="R783" s="326">
        <v>21.2</v>
      </c>
      <c r="S783" s="319">
        <v>8.7</v>
      </c>
      <c r="T783" s="324">
        <v>2.4</v>
      </c>
      <c r="U783" s="319">
        <v>4.0</v>
      </c>
      <c r="V783" s="319"/>
      <c r="W783" s="319"/>
      <c r="X783" s="319"/>
      <c r="Y783" s="319"/>
      <c r="Z783" s="319" t="s">
        <v>347</v>
      </c>
      <c r="AA783" s="319"/>
      <c r="AB783" s="319" t="s">
        <v>1173</v>
      </c>
      <c r="AC783" s="327">
        <v>6.0</v>
      </c>
      <c r="AD783" s="319"/>
      <c r="AE783" s="319"/>
      <c r="AF783" s="319"/>
      <c r="AG783" s="319"/>
      <c r="AH783" s="319"/>
      <c r="AI783" s="319"/>
      <c r="AJ783" s="327"/>
      <c r="AK783" s="328"/>
      <c r="AL783" s="319"/>
      <c r="AM783" s="319"/>
      <c r="AN783" s="319"/>
      <c r="AO783" s="319"/>
      <c r="AP783" s="319"/>
      <c r="AQ783" s="319"/>
      <c r="AR783" s="319"/>
      <c r="AS783" s="327"/>
      <c r="AT783" s="461" t="s">
        <v>182</v>
      </c>
      <c r="AU783" s="324" t="s">
        <v>845</v>
      </c>
      <c r="AV783" s="330">
        <f>SQRT(($R783-Infrastructure!J$3)^2+($S783-Infrastructure!K$3)^2)</f>
        <v>29.50067796</v>
      </c>
      <c r="AW783" s="331">
        <f>SQRT(($R783-Infrastructure!J$4)^2+($S783-Infrastructure!K$4)^2)</f>
        <v>23.34652008</v>
      </c>
      <c r="AX783" s="331">
        <f>SQRT(($R783-Infrastructure!J$5)^2+($S783-Infrastructure!K$5)^2)</f>
        <v>21.79931192</v>
      </c>
      <c r="AY783" s="331">
        <f>SQRT(($R783-Infrastructure!J$6)^2+($S783-Infrastructure!K$6)^2)</f>
        <v>13.92012931</v>
      </c>
      <c r="AZ783" s="331">
        <f>SQRT(($R783-Infrastructure!J$7)^2+($S783-Infrastructure!K$7)^2)</f>
        <v>8.429116205</v>
      </c>
      <c r="BA783" s="331">
        <f>SQRT(($R783-Infrastructure!J$8)^2+($S783-Infrastructure!K$8)^2)</f>
        <v>12.2380554</v>
      </c>
      <c r="BB783" s="331">
        <f>SQRT(($R783-Infrastructure!J$9)^2+($S783-Infrastructure!K$9)^2)</f>
        <v>19.14157778</v>
      </c>
      <c r="BC783" s="331">
        <f>SQRT(($R783-Infrastructure!J$10)^2+($S783-Infrastructure!K$10)^2)</f>
        <v>19.82750615</v>
      </c>
      <c r="BD783" s="318"/>
      <c r="BE783" s="332"/>
      <c r="BF783" s="330">
        <f t="shared" si="14"/>
        <v>8.429116205</v>
      </c>
      <c r="BG783" s="333">
        <f t="shared" si="15"/>
        <v>29.50067796</v>
      </c>
      <c r="BH783" s="334"/>
      <c r="BI783" s="462" t="s">
        <v>845</v>
      </c>
      <c r="BJ783" s="319" t="s">
        <v>845</v>
      </c>
      <c r="BK783" s="319" t="s">
        <v>845</v>
      </c>
      <c r="BL783" s="788" t="s">
        <v>845</v>
      </c>
      <c r="BM783" s="319" t="s">
        <v>845</v>
      </c>
      <c r="BN783" s="319" t="s">
        <v>845</v>
      </c>
      <c r="BO783" s="319" t="s">
        <v>845</v>
      </c>
      <c r="BP783" s="319" t="s">
        <v>845</v>
      </c>
      <c r="BQ783" s="788" t="s">
        <v>845</v>
      </c>
      <c r="BR783" s="789" t="s">
        <v>845</v>
      </c>
      <c r="BS783" s="330">
        <f t="shared" si="39"/>
        <v>0</v>
      </c>
      <c r="BT783" s="331">
        <f t="shared" si="40"/>
        <v>0</v>
      </c>
      <c r="BU783" s="331"/>
      <c r="BV783" s="333"/>
      <c r="BW783" s="330"/>
      <c r="BX783" s="331"/>
      <c r="BY783" s="331" t="b">
        <f t="shared" si="41"/>
        <v>0</v>
      </c>
      <c r="BZ783" s="340"/>
      <c r="CA783" s="316"/>
      <c r="CB783" s="318"/>
      <c r="CC783" s="318"/>
      <c r="CD783" s="318"/>
      <c r="CE783" s="318"/>
      <c r="CF783" s="318"/>
      <c r="CG783" s="318"/>
      <c r="CH783" s="318"/>
      <c r="CI783" s="338"/>
      <c r="CJ783" s="341"/>
      <c r="CK783" s="342">
        <f t="shared" si="18"/>
        <v>0</v>
      </c>
      <c r="CL783" s="333">
        <f t="shared" si="19"/>
        <v>0</v>
      </c>
      <c r="CM783" s="616"/>
      <c r="CN783" s="617"/>
      <c r="CO783" s="617"/>
      <c r="CP783" s="617"/>
    </row>
    <row r="784">
      <c r="A784" s="794"/>
      <c r="B784" s="462" t="s">
        <v>1341</v>
      </c>
      <c r="C784" s="417">
        <v>44288.0</v>
      </c>
      <c r="D784" s="318"/>
      <c r="E784" s="319">
        <v>14.0</v>
      </c>
      <c r="F784" s="324" t="s">
        <v>1397</v>
      </c>
      <c r="G784" s="321">
        <v>0.46684027777777776</v>
      </c>
      <c r="H784" s="323">
        <v>0.4675347222222222</v>
      </c>
      <c r="I784" s="323"/>
      <c r="J784" s="323"/>
      <c r="K784" s="323">
        <v>0.46857638888888886</v>
      </c>
      <c r="L784" s="323">
        <v>0.0010416666666666667</v>
      </c>
      <c r="M784" s="326" t="s">
        <v>358</v>
      </c>
      <c r="N784" s="324" t="s">
        <v>187</v>
      </c>
      <c r="O784" s="419" t="s">
        <v>206</v>
      </c>
      <c r="P784" s="319" t="s">
        <v>218</v>
      </c>
      <c r="Q784" s="318"/>
      <c r="R784" s="326">
        <v>21.2</v>
      </c>
      <c r="S784" s="319">
        <v>8.7</v>
      </c>
      <c r="T784" s="324">
        <v>2.4</v>
      </c>
      <c r="U784" s="319">
        <v>3.0</v>
      </c>
      <c r="V784" s="319"/>
      <c r="W784" s="319"/>
      <c r="X784" s="319"/>
      <c r="Y784" s="319"/>
      <c r="Z784" s="319" t="s">
        <v>347</v>
      </c>
      <c r="AA784" s="319"/>
      <c r="AB784" s="319" t="s">
        <v>1173</v>
      </c>
      <c r="AC784" s="327">
        <v>6.0</v>
      </c>
      <c r="AD784" s="319"/>
      <c r="AE784" s="319"/>
      <c r="AF784" s="319"/>
      <c r="AG784" s="319"/>
      <c r="AH784" s="319"/>
      <c r="AI784" s="319"/>
      <c r="AJ784" s="327"/>
      <c r="AK784" s="328"/>
      <c r="AL784" s="319"/>
      <c r="AM784" s="319"/>
      <c r="AN784" s="319"/>
      <c r="AO784" s="319"/>
      <c r="AP784" s="319"/>
      <c r="AQ784" s="319"/>
      <c r="AR784" s="319"/>
      <c r="AS784" s="327"/>
      <c r="AT784" s="461" t="s">
        <v>182</v>
      </c>
      <c r="AU784" s="324" t="s">
        <v>845</v>
      </c>
      <c r="AV784" s="330">
        <f>SQRT(($R784-Infrastructure!J$3)^2+($S784-Infrastructure!K$3)^2)</f>
        <v>29.50067796</v>
      </c>
      <c r="AW784" s="331">
        <f>SQRT(($R784-Infrastructure!J$4)^2+($S784-Infrastructure!K$4)^2)</f>
        <v>23.34652008</v>
      </c>
      <c r="AX784" s="331">
        <f>SQRT(($R784-Infrastructure!J$5)^2+($S784-Infrastructure!K$5)^2)</f>
        <v>21.79931192</v>
      </c>
      <c r="AY784" s="331">
        <f>SQRT(($R784-Infrastructure!J$6)^2+($S784-Infrastructure!K$6)^2)</f>
        <v>13.92012931</v>
      </c>
      <c r="AZ784" s="331">
        <f>SQRT(($R784-Infrastructure!J$7)^2+($S784-Infrastructure!K$7)^2)</f>
        <v>8.429116205</v>
      </c>
      <c r="BA784" s="331">
        <f>SQRT(($R784-Infrastructure!J$8)^2+($S784-Infrastructure!K$8)^2)</f>
        <v>12.2380554</v>
      </c>
      <c r="BB784" s="331">
        <f>SQRT(($R784-Infrastructure!J$9)^2+($S784-Infrastructure!K$9)^2)</f>
        <v>19.14157778</v>
      </c>
      <c r="BC784" s="331">
        <f>SQRT(($R784-Infrastructure!J$10)^2+($S784-Infrastructure!K$10)^2)</f>
        <v>19.82750615</v>
      </c>
      <c r="BD784" s="318"/>
      <c r="BE784" s="332"/>
      <c r="BF784" s="330">
        <f t="shared" si="14"/>
        <v>8.429116205</v>
      </c>
      <c r="BG784" s="333">
        <f t="shared" si="15"/>
        <v>29.50067796</v>
      </c>
      <c r="BH784" s="334"/>
      <c r="BI784" s="462" t="s">
        <v>845</v>
      </c>
      <c r="BJ784" s="319" t="s">
        <v>845</v>
      </c>
      <c r="BK784" s="319" t="s">
        <v>845</v>
      </c>
      <c r="BL784" s="788" t="s">
        <v>845</v>
      </c>
      <c r="BM784" s="319" t="s">
        <v>845</v>
      </c>
      <c r="BN784" s="319" t="s">
        <v>845</v>
      </c>
      <c r="BO784" s="319" t="s">
        <v>845</v>
      </c>
      <c r="BP784" s="319" t="s">
        <v>845</v>
      </c>
      <c r="BQ784" s="788" t="s">
        <v>845</v>
      </c>
      <c r="BR784" s="789" t="s">
        <v>845</v>
      </c>
      <c r="BS784" s="330">
        <f t="shared" si="39"/>
        <v>0</v>
      </c>
      <c r="BT784" s="331">
        <f t="shared" si="40"/>
        <v>0</v>
      </c>
      <c r="BU784" s="331"/>
      <c r="BV784" s="333"/>
      <c r="BW784" s="330"/>
      <c r="BX784" s="331"/>
      <c r="BY784" s="331" t="b">
        <f t="shared" si="41"/>
        <v>0</v>
      </c>
      <c r="BZ784" s="340"/>
      <c r="CA784" s="316"/>
      <c r="CB784" s="318"/>
      <c r="CC784" s="318"/>
      <c r="CD784" s="318"/>
      <c r="CE784" s="318"/>
      <c r="CF784" s="318"/>
      <c r="CG784" s="318"/>
      <c r="CH784" s="318"/>
      <c r="CI784" s="338"/>
      <c r="CJ784" s="341"/>
      <c r="CK784" s="342">
        <f t="shared" si="18"/>
        <v>0</v>
      </c>
      <c r="CL784" s="333">
        <f t="shared" si="19"/>
        <v>0</v>
      </c>
      <c r="CM784" s="616"/>
      <c r="CN784" s="617"/>
      <c r="CO784" s="617"/>
      <c r="CP784" s="617"/>
    </row>
    <row r="785">
      <c r="A785" s="794"/>
      <c r="B785" s="462" t="s">
        <v>1341</v>
      </c>
      <c r="C785" s="417">
        <v>44288.0</v>
      </c>
      <c r="D785" s="318"/>
      <c r="E785" s="319">
        <v>15.0</v>
      </c>
      <c r="F785" s="324" t="s">
        <v>1398</v>
      </c>
      <c r="G785" s="321">
        <v>0.46857638888888886</v>
      </c>
      <c r="H785" s="323">
        <v>0.4699074074074074</v>
      </c>
      <c r="I785" s="323"/>
      <c r="J785" s="323"/>
      <c r="K785" s="323">
        <v>0.4703125</v>
      </c>
      <c r="L785" s="323">
        <v>4.050925925925926E-4</v>
      </c>
      <c r="M785" s="326" t="s">
        <v>358</v>
      </c>
      <c r="N785" s="324" t="s">
        <v>187</v>
      </c>
      <c r="O785" s="419" t="s">
        <v>206</v>
      </c>
      <c r="P785" s="319" t="s">
        <v>218</v>
      </c>
      <c r="Q785" s="318"/>
      <c r="R785" s="326">
        <v>21.2</v>
      </c>
      <c r="S785" s="319">
        <v>8.7</v>
      </c>
      <c r="T785" s="324">
        <v>2.4</v>
      </c>
      <c r="U785" s="319">
        <v>2.0</v>
      </c>
      <c r="V785" s="319"/>
      <c r="W785" s="319"/>
      <c r="X785" s="319"/>
      <c r="Y785" s="319"/>
      <c r="Z785" s="319" t="s">
        <v>347</v>
      </c>
      <c r="AA785" s="319"/>
      <c r="AB785" s="319" t="s">
        <v>1173</v>
      </c>
      <c r="AC785" s="327">
        <v>6.0</v>
      </c>
      <c r="AD785" s="319"/>
      <c r="AE785" s="319"/>
      <c r="AF785" s="319"/>
      <c r="AG785" s="319"/>
      <c r="AH785" s="319"/>
      <c r="AI785" s="319"/>
      <c r="AJ785" s="327"/>
      <c r="AK785" s="328"/>
      <c r="AL785" s="319"/>
      <c r="AM785" s="319"/>
      <c r="AN785" s="319"/>
      <c r="AO785" s="319"/>
      <c r="AP785" s="319"/>
      <c r="AQ785" s="319"/>
      <c r="AR785" s="319"/>
      <c r="AS785" s="327"/>
      <c r="AT785" s="461" t="s">
        <v>182</v>
      </c>
      <c r="AU785" s="324" t="s">
        <v>845</v>
      </c>
      <c r="AV785" s="330">
        <f>SQRT(($R785-Infrastructure!J$3)^2+($S785-Infrastructure!K$3)^2)</f>
        <v>29.50067796</v>
      </c>
      <c r="AW785" s="331">
        <f>SQRT(($R785-Infrastructure!J$4)^2+($S785-Infrastructure!K$4)^2)</f>
        <v>23.34652008</v>
      </c>
      <c r="AX785" s="331">
        <f>SQRT(($R785-Infrastructure!J$5)^2+($S785-Infrastructure!K$5)^2)</f>
        <v>21.79931192</v>
      </c>
      <c r="AY785" s="331">
        <f>SQRT(($R785-Infrastructure!J$6)^2+($S785-Infrastructure!K$6)^2)</f>
        <v>13.92012931</v>
      </c>
      <c r="AZ785" s="331">
        <f>SQRT(($R785-Infrastructure!J$7)^2+($S785-Infrastructure!K$7)^2)</f>
        <v>8.429116205</v>
      </c>
      <c r="BA785" s="331">
        <f>SQRT(($R785-Infrastructure!J$8)^2+($S785-Infrastructure!K$8)^2)</f>
        <v>12.2380554</v>
      </c>
      <c r="BB785" s="331">
        <f>SQRT(($R785-Infrastructure!J$9)^2+($S785-Infrastructure!K$9)^2)</f>
        <v>19.14157778</v>
      </c>
      <c r="BC785" s="331">
        <f>SQRT(($R785-Infrastructure!J$10)^2+($S785-Infrastructure!K$10)^2)</f>
        <v>19.82750615</v>
      </c>
      <c r="BD785" s="318"/>
      <c r="BE785" s="332"/>
      <c r="BF785" s="330">
        <f t="shared" si="14"/>
        <v>8.429116205</v>
      </c>
      <c r="BG785" s="333">
        <f t="shared" si="15"/>
        <v>29.50067796</v>
      </c>
      <c r="BH785" s="334"/>
      <c r="BI785" s="462" t="s">
        <v>845</v>
      </c>
      <c r="BJ785" s="319" t="s">
        <v>845</v>
      </c>
      <c r="BK785" s="319" t="s">
        <v>845</v>
      </c>
      <c r="BL785" s="788" t="s">
        <v>845</v>
      </c>
      <c r="BM785" s="319" t="s">
        <v>845</v>
      </c>
      <c r="BN785" s="319" t="s">
        <v>845</v>
      </c>
      <c r="BO785" s="319" t="s">
        <v>845</v>
      </c>
      <c r="BP785" s="319" t="s">
        <v>845</v>
      </c>
      <c r="BQ785" s="788" t="s">
        <v>845</v>
      </c>
      <c r="BR785" s="789" t="s">
        <v>845</v>
      </c>
      <c r="BS785" s="330">
        <f t="shared" si="39"/>
        <v>0</v>
      </c>
      <c r="BT785" s="331">
        <f t="shared" si="40"/>
        <v>0</v>
      </c>
      <c r="BU785" s="331"/>
      <c r="BV785" s="333"/>
      <c r="BW785" s="330"/>
      <c r="BX785" s="331"/>
      <c r="BY785" s="331" t="b">
        <f t="shared" si="41"/>
        <v>0</v>
      </c>
      <c r="BZ785" s="340"/>
      <c r="CA785" s="316"/>
      <c r="CB785" s="318"/>
      <c r="CC785" s="318"/>
      <c r="CD785" s="318"/>
      <c r="CE785" s="318"/>
      <c r="CF785" s="318"/>
      <c r="CG785" s="318"/>
      <c r="CH785" s="318"/>
      <c r="CI785" s="338"/>
      <c r="CJ785" s="341"/>
      <c r="CK785" s="342">
        <f t="shared" si="18"/>
        <v>0</v>
      </c>
      <c r="CL785" s="333">
        <f t="shared" si="19"/>
        <v>0</v>
      </c>
      <c r="CM785" s="616"/>
      <c r="CN785" s="617"/>
      <c r="CO785" s="617"/>
      <c r="CP785" s="617"/>
    </row>
    <row r="786">
      <c r="A786" s="794"/>
      <c r="B786" s="462" t="s">
        <v>1341</v>
      </c>
      <c r="C786" s="417">
        <v>44288.0</v>
      </c>
      <c r="D786" s="318"/>
      <c r="E786" s="319">
        <v>16.0</v>
      </c>
      <c r="F786" s="324" t="s">
        <v>1399</v>
      </c>
      <c r="G786" s="321">
        <v>0.4703125</v>
      </c>
      <c r="H786" s="323">
        <v>0.4717013888888889</v>
      </c>
      <c r="I786" s="323"/>
      <c r="J786" s="323"/>
      <c r="K786" s="323">
        <v>0.4739583333333333</v>
      </c>
      <c r="L786" s="323">
        <v>0.0022569444444444442</v>
      </c>
      <c r="M786" s="326" t="s">
        <v>358</v>
      </c>
      <c r="N786" s="324" t="s">
        <v>187</v>
      </c>
      <c r="O786" s="419" t="s">
        <v>206</v>
      </c>
      <c r="P786" s="319" t="s">
        <v>218</v>
      </c>
      <c r="Q786" s="318"/>
      <c r="R786" s="326">
        <v>21.2</v>
      </c>
      <c r="S786" s="319">
        <v>8.7</v>
      </c>
      <c r="T786" s="324">
        <v>2.4</v>
      </c>
      <c r="U786" s="319">
        <v>1.0</v>
      </c>
      <c r="V786" s="319"/>
      <c r="W786" s="319"/>
      <c r="X786" s="319"/>
      <c r="Y786" s="319"/>
      <c r="Z786" s="319" t="s">
        <v>347</v>
      </c>
      <c r="AA786" s="319"/>
      <c r="AB786" s="319" t="s">
        <v>1173</v>
      </c>
      <c r="AC786" s="327">
        <v>6.0</v>
      </c>
      <c r="AD786" s="319"/>
      <c r="AE786" s="319"/>
      <c r="AF786" s="319"/>
      <c r="AG786" s="319"/>
      <c r="AH786" s="319"/>
      <c r="AI786" s="319"/>
      <c r="AJ786" s="327"/>
      <c r="AK786" s="328"/>
      <c r="AL786" s="319"/>
      <c r="AM786" s="319"/>
      <c r="AN786" s="319"/>
      <c r="AO786" s="319"/>
      <c r="AP786" s="319"/>
      <c r="AQ786" s="319"/>
      <c r="AR786" s="319"/>
      <c r="AS786" s="327"/>
      <c r="AT786" s="461" t="s">
        <v>182</v>
      </c>
      <c r="AU786" s="324" t="s">
        <v>845</v>
      </c>
      <c r="AV786" s="330">
        <f>SQRT(($R786-Infrastructure!J$3)^2+($S786-Infrastructure!K$3)^2)</f>
        <v>29.50067796</v>
      </c>
      <c r="AW786" s="331">
        <f>SQRT(($R786-Infrastructure!J$4)^2+($S786-Infrastructure!K$4)^2)</f>
        <v>23.34652008</v>
      </c>
      <c r="AX786" s="331">
        <f>SQRT(($R786-Infrastructure!J$5)^2+($S786-Infrastructure!K$5)^2)</f>
        <v>21.79931192</v>
      </c>
      <c r="AY786" s="331">
        <f>SQRT(($R786-Infrastructure!J$6)^2+($S786-Infrastructure!K$6)^2)</f>
        <v>13.92012931</v>
      </c>
      <c r="AZ786" s="331">
        <f>SQRT(($R786-Infrastructure!J$7)^2+($S786-Infrastructure!K$7)^2)</f>
        <v>8.429116205</v>
      </c>
      <c r="BA786" s="331">
        <f>SQRT(($R786-Infrastructure!J$8)^2+($S786-Infrastructure!K$8)^2)</f>
        <v>12.2380554</v>
      </c>
      <c r="BB786" s="331">
        <f>SQRT(($R786-Infrastructure!J$9)^2+($S786-Infrastructure!K$9)^2)</f>
        <v>19.14157778</v>
      </c>
      <c r="BC786" s="331">
        <f>SQRT(($R786-Infrastructure!J$10)^2+($S786-Infrastructure!K$10)^2)</f>
        <v>19.82750615</v>
      </c>
      <c r="BD786" s="318"/>
      <c r="BE786" s="332"/>
      <c r="BF786" s="330">
        <f t="shared" si="14"/>
        <v>8.429116205</v>
      </c>
      <c r="BG786" s="333">
        <f t="shared" si="15"/>
        <v>29.50067796</v>
      </c>
      <c r="BH786" s="334"/>
      <c r="BI786" s="462" t="s">
        <v>845</v>
      </c>
      <c r="BJ786" s="319" t="s">
        <v>845</v>
      </c>
      <c r="BK786" s="319" t="s">
        <v>845</v>
      </c>
      <c r="BL786" s="788" t="s">
        <v>845</v>
      </c>
      <c r="BM786" s="319" t="s">
        <v>845</v>
      </c>
      <c r="BN786" s="319" t="s">
        <v>845</v>
      </c>
      <c r="BO786" s="319" t="s">
        <v>845</v>
      </c>
      <c r="BP786" s="319" t="s">
        <v>845</v>
      </c>
      <c r="BQ786" s="788" t="s">
        <v>845</v>
      </c>
      <c r="BR786" s="789" t="s">
        <v>845</v>
      </c>
      <c r="BS786" s="330">
        <f t="shared" si="39"/>
        <v>0</v>
      </c>
      <c r="BT786" s="331">
        <f t="shared" si="40"/>
        <v>0</v>
      </c>
      <c r="BU786" s="331"/>
      <c r="BV786" s="333"/>
      <c r="BW786" s="330"/>
      <c r="BX786" s="331"/>
      <c r="BY786" s="331" t="b">
        <f t="shared" si="41"/>
        <v>0</v>
      </c>
      <c r="BZ786" s="340"/>
      <c r="CA786" s="316"/>
      <c r="CB786" s="318"/>
      <c r="CC786" s="318"/>
      <c r="CD786" s="318"/>
      <c r="CE786" s="318"/>
      <c r="CF786" s="318"/>
      <c r="CG786" s="318"/>
      <c r="CH786" s="318"/>
      <c r="CI786" s="338"/>
      <c r="CJ786" s="341"/>
      <c r="CK786" s="342">
        <f t="shared" si="18"/>
        <v>0</v>
      </c>
      <c r="CL786" s="333">
        <f t="shared" si="19"/>
        <v>0</v>
      </c>
      <c r="CM786" s="616"/>
      <c r="CN786" s="617"/>
      <c r="CO786" s="617"/>
      <c r="CP786" s="617"/>
    </row>
    <row r="787">
      <c r="A787" s="794"/>
      <c r="B787" s="462" t="s">
        <v>1341</v>
      </c>
      <c r="C787" s="417">
        <v>44288.0</v>
      </c>
      <c r="D787" s="318"/>
      <c r="E787" s="319">
        <v>17.0</v>
      </c>
      <c r="F787" s="324" t="s">
        <v>1400</v>
      </c>
      <c r="G787" s="321">
        <v>0.4739583333333333</v>
      </c>
      <c r="H787" s="323">
        <v>0.4756944444444444</v>
      </c>
      <c r="I787" s="323"/>
      <c r="J787" s="323"/>
      <c r="K787" s="323">
        <v>0.47638888888888886</v>
      </c>
      <c r="L787" s="323">
        <v>6.944444444444445E-4</v>
      </c>
      <c r="M787" s="326" t="s">
        <v>358</v>
      </c>
      <c r="N787" s="324" t="s">
        <v>187</v>
      </c>
      <c r="O787" s="419" t="s">
        <v>206</v>
      </c>
      <c r="P787" s="319" t="s">
        <v>218</v>
      </c>
      <c r="Q787" s="318"/>
      <c r="R787" s="326">
        <v>21.2</v>
      </c>
      <c r="S787" s="319">
        <v>8.7</v>
      </c>
      <c r="T787" s="324">
        <v>2.4</v>
      </c>
      <c r="U787" s="319">
        <v>0.5</v>
      </c>
      <c r="V787" s="319"/>
      <c r="W787" s="319"/>
      <c r="X787" s="319"/>
      <c r="Y787" s="319"/>
      <c r="Z787" s="319" t="s">
        <v>347</v>
      </c>
      <c r="AA787" s="319"/>
      <c r="AB787" s="319" t="s">
        <v>1173</v>
      </c>
      <c r="AC787" s="327">
        <v>6.0</v>
      </c>
      <c r="AD787" s="319"/>
      <c r="AE787" s="319"/>
      <c r="AF787" s="319"/>
      <c r="AG787" s="319"/>
      <c r="AH787" s="319"/>
      <c r="AI787" s="319"/>
      <c r="AJ787" s="327"/>
      <c r="AK787" s="328"/>
      <c r="AL787" s="319"/>
      <c r="AM787" s="319"/>
      <c r="AN787" s="319"/>
      <c r="AO787" s="319"/>
      <c r="AP787" s="319"/>
      <c r="AQ787" s="319"/>
      <c r="AR787" s="319"/>
      <c r="AS787" s="327"/>
      <c r="AT787" s="461" t="s">
        <v>181</v>
      </c>
      <c r="AU787" s="324" t="s">
        <v>845</v>
      </c>
      <c r="AV787" s="330">
        <f>SQRT(($R787-Infrastructure!J$3)^2+($S787-Infrastructure!K$3)^2)</f>
        <v>29.50067796</v>
      </c>
      <c r="AW787" s="331">
        <f>SQRT(($R787-Infrastructure!J$4)^2+($S787-Infrastructure!K$4)^2)</f>
        <v>23.34652008</v>
      </c>
      <c r="AX787" s="331">
        <f>SQRT(($R787-Infrastructure!J$5)^2+($S787-Infrastructure!K$5)^2)</f>
        <v>21.79931192</v>
      </c>
      <c r="AY787" s="331">
        <f>SQRT(($R787-Infrastructure!J$6)^2+($S787-Infrastructure!K$6)^2)</f>
        <v>13.92012931</v>
      </c>
      <c r="AZ787" s="331">
        <f>SQRT(($R787-Infrastructure!J$7)^2+($S787-Infrastructure!K$7)^2)</f>
        <v>8.429116205</v>
      </c>
      <c r="BA787" s="331">
        <f>SQRT(($R787-Infrastructure!J$8)^2+($S787-Infrastructure!K$8)^2)</f>
        <v>12.2380554</v>
      </c>
      <c r="BB787" s="331">
        <f>SQRT(($R787-Infrastructure!J$9)^2+($S787-Infrastructure!K$9)^2)</f>
        <v>19.14157778</v>
      </c>
      <c r="BC787" s="331">
        <f>SQRT(($R787-Infrastructure!J$10)^2+($S787-Infrastructure!K$10)^2)</f>
        <v>19.82750615</v>
      </c>
      <c r="BD787" s="318"/>
      <c r="BE787" s="332"/>
      <c r="BF787" s="330">
        <f t="shared" si="14"/>
        <v>8.429116205</v>
      </c>
      <c r="BG787" s="333">
        <f t="shared" si="15"/>
        <v>29.50067796</v>
      </c>
      <c r="BH787" s="334"/>
      <c r="BI787" s="462" t="s">
        <v>845</v>
      </c>
      <c r="BJ787" s="319" t="s">
        <v>845</v>
      </c>
      <c r="BK787" s="319" t="s">
        <v>845</v>
      </c>
      <c r="BL787" s="788" t="s">
        <v>845</v>
      </c>
      <c r="BM787" s="319" t="s">
        <v>845</v>
      </c>
      <c r="BN787" s="319" t="s">
        <v>845</v>
      </c>
      <c r="BO787" s="319" t="s">
        <v>845</v>
      </c>
      <c r="BP787" s="319" t="s">
        <v>845</v>
      </c>
      <c r="BQ787" s="788" t="s">
        <v>845</v>
      </c>
      <c r="BR787" s="789" t="s">
        <v>845</v>
      </c>
      <c r="BS787" s="330">
        <f t="shared" si="39"/>
        <v>0</v>
      </c>
      <c r="BT787" s="331">
        <f t="shared" si="40"/>
        <v>0</v>
      </c>
      <c r="BU787" s="331"/>
      <c r="BV787" s="333"/>
      <c r="BW787" s="330"/>
      <c r="BX787" s="331"/>
      <c r="BY787" s="331" t="b">
        <f t="shared" si="41"/>
        <v>0</v>
      </c>
      <c r="BZ787" s="340"/>
      <c r="CA787" s="316"/>
      <c r="CB787" s="318"/>
      <c r="CC787" s="318"/>
      <c r="CD787" s="318"/>
      <c r="CE787" s="318"/>
      <c r="CF787" s="318"/>
      <c r="CG787" s="318"/>
      <c r="CH787" s="318"/>
      <c r="CI787" s="338"/>
      <c r="CJ787" s="341"/>
      <c r="CK787" s="342">
        <f t="shared" si="18"/>
        <v>0</v>
      </c>
      <c r="CL787" s="333">
        <f t="shared" si="19"/>
        <v>0</v>
      </c>
      <c r="CM787" s="616"/>
      <c r="CN787" s="617"/>
      <c r="CO787" s="617"/>
      <c r="CP787" s="617"/>
    </row>
    <row r="788">
      <c r="A788" s="794"/>
      <c r="B788" s="462" t="s">
        <v>1341</v>
      </c>
      <c r="C788" s="417">
        <v>44288.0</v>
      </c>
      <c r="D788" s="318"/>
      <c r="E788" s="319">
        <v>18.0</v>
      </c>
      <c r="F788" s="324" t="s">
        <v>1401</v>
      </c>
      <c r="G788" s="321">
        <v>0.4826388888888889</v>
      </c>
      <c r="H788" s="323">
        <v>0.4829861111111111</v>
      </c>
      <c r="I788" s="323"/>
      <c r="J788" s="323"/>
      <c r="K788" s="323">
        <v>0.48489583333333336</v>
      </c>
      <c r="L788" s="323">
        <v>0.0019097222222222222</v>
      </c>
      <c r="M788" s="326" t="s">
        <v>358</v>
      </c>
      <c r="N788" s="324" t="s">
        <v>187</v>
      </c>
      <c r="O788" s="419" t="s">
        <v>202</v>
      </c>
      <c r="P788" s="319" t="s">
        <v>228</v>
      </c>
      <c r="Q788" s="318"/>
      <c r="R788" s="326">
        <v>24.4</v>
      </c>
      <c r="S788" s="319">
        <v>9.7</v>
      </c>
      <c r="T788" s="324">
        <v>0.57</v>
      </c>
      <c r="U788" s="319">
        <v>16.0</v>
      </c>
      <c r="V788" s="319"/>
      <c r="W788" s="319"/>
      <c r="X788" s="319"/>
      <c r="Y788" s="319"/>
      <c r="Z788" s="319" t="s">
        <v>331</v>
      </c>
      <c r="AA788" s="319"/>
      <c r="AB788" s="319" t="s">
        <v>363</v>
      </c>
      <c r="AC788" s="327">
        <v>10.0</v>
      </c>
      <c r="AD788" s="319"/>
      <c r="AE788" s="319"/>
      <c r="AF788" s="319"/>
      <c r="AG788" s="319"/>
      <c r="AH788" s="319"/>
      <c r="AI788" s="319"/>
      <c r="AJ788" s="327"/>
      <c r="AK788" s="328"/>
      <c r="AL788" s="319"/>
      <c r="AM788" s="319"/>
      <c r="AN788" s="319"/>
      <c r="AO788" s="319"/>
      <c r="AP788" s="319"/>
      <c r="AQ788" s="319"/>
      <c r="AR788" s="319"/>
      <c r="AS788" s="327"/>
      <c r="AT788" s="461" t="s">
        <v>183</v>
      </c>
      <c r="AU788" s="324" t="s">
        <v>845</v>
      </c>
      <c r="AV788" s="330">
        <f>SQRT(($R788-Infrastructure!J$3)^2+($S788-Infrastructure!K$3)^2)</f>
        <v>31.28466078</v>
      </c>
      <c r="AW788" s="331">
        <f>SQRT(($R788-Infrastructure!J$4)^2+($S788-Infrastructure!K$4)^2)</f>
        <v>25.99423013</v>
      </c>
      <c r="AX788" s="331">
        <f>SQRT(($R788-Infrastructure!J$5)^2+($S788-Infrastructure!K$5)^2)</f>
        <v>25.12468905</v>
      </c>
      <c r="AY788" s="331">
        <f>SQRT(($R788-Infrastructure!J$6)^2+($S788-Infrastructure!K$6)^2)</f>
        <v>17.11286066</v>
      </c>
      <c r="AZ788" s="331">
        <f>SQRT(($R788-Infrastructure!J$7)^2+($S788-Infrastructure!K$7)^2)</f>
        <v>10.17693471</v>
      </c>
      <c r="BA788" s="331">
        <f>SQRT(($R788-Infrastructure!J$8)^2+($S788-Infrastructure!K$8)^2)</f>
        <v>10.9931797</v>
      </c>
      <c r="BB788" s="331">
        <f>SQRT(($R788-Infrastructure!J$9)^2+($S788-Infrastructure!K$9)^2)</f>
        <v>16.26407083</v>
      </c>
      <c r="BC788" s="331">
        <f>SQRT(($R788-Infrastructure!J$10)^2+($S788-Infrastructure!K$10)^2)</f>
        <v>16.47573974</v>
      </c>
      <c r="BD788" s="318"/>
      <c r="BE788" s="332"/>
      <c r="BF788" s="330">
        <f t="shared" si="14"/>
        <v>10.17693471</v>
      </c>
      <c r="BG788" s="333">
        <f t="shared" si="15"/>
        <v>31.28466078</v>
      </c>
      <c r="BH788" s="334"/>
      <c r="BI788" s="462" t="s">
        <v>846</v>
      </c>
      <c r="BJ788" s="319" t="s">
        <v>846</v>
      </c>
      <c r="BK788" s="319" t="s">
        <v>846</v>
      </c>
      <c r="BL788" s="788" t="s">
        <v>845</v>
      </c>
      <c r="BM788" s="319" t="s">
        <v>846</v>
      </c>
      <c r="BN788" s="319" t="s">
        <v>846</v>
      </c>
      <c r="BO788" s="319" t="s">
        <v>845</v>
      </c>
      <c r="BP788" s="319" t="s">
        <v>846</v>
      </c>
      <c r="BQ788" s="788" t="s">
        <v>845</v>
      </c>
      <c r="BR788" s="789" t="s">
        <v>845</v>
      </c>
      <c r="BS788" s="330">
        <f t="shared" si="39"/>
        <v>10.17693471</v>
      </c>
      <c r="BT788" s="331">
        <f t="shared" si="40"/>
        <v>31.28466078</v>
      </c>
      <c r="BU788" s="331"/>
      <c r="BV788" s="333"/>
      <c r="BW788" s="614">
        <v>19.0</v>
      </c>
      <c r="BX788" s="615">
        <v>8.9</v>
      </c>
      <c r="BY788" s="331">
        <f t="shared" si="41"/>
        <v>5.458937626</v>
      </c>
      <c r="BZ788" s="340"/>
      <c r="CA788" s="462" t="s">
        <v>846</v>
      </c>
      <c r="CB788" s="318"/>
      <c r="CC788" s="319" t="s">
        <v>846</v>
      </c>
      <c r="CD788" s="319" t="s">
        <v>846</v>
      </c>
      <c r="CE788" s="319" t="s">
        <v>846</v>
      </c>
      <c r="CF788" s="319" t="s">
        <v>846</v>
      </c>
      <c r="CG788" s="319" t="s">
        <v>846</v>
      </c>
      <c r="CH788" s="319" t="s">
        <v>846</v>
      </c>
      <c r="CI788" s="338"/>
      <c r="CJ788" s="341"/>
      <c r="CK788" s="342">
        <f t="shared" si="18"/>
        <v>10.17693471</v>
      </c>
      <c r="CL788" s="333">
        <f t="shared" si="19"/>
        <v>31.28466078</v>
      </c>
      <c r="CM788" s="616"/>
      <c r="CN788" s="617"/>
      <c r="CO788" s="617"/>
      <c r="CP788" s="617"/>
    </row>
    <row r="789">
      <c r="A789" s="794"/>
      <c r="B789" s="462" t="s">
        <v>1341</v>
      </c>
      <c r="C789" s="417">
        <v>44288.0</v>
      </c>
      <c r="D789" s="318"/>
      <c r="E789" s="319">
        <v>19.0</v>
      </c>
      <c r="F789" s="324" t="s">
        <v>1402</v>
      </c>
      <c r="G789" s="321">
        <v>0.48489583333333336</v>
      </c>
      <c r="H789" s="323">
        <v>0.4855324074074074</v>
      </c>
      <c r="I789" s="323"/>
      <c r="J789" s="323"/>
      <c r="K789" s="323">
        <v>0.48680555555555555</v>
      </c>
      <c r="L789" s="323">
        <v>0.0012731481481481483</v>
      </c>
      <c r="M789" s="326" t="s">
        <v>358</v>
      </c>
      <c r="N789" s="324" t="s">
        <v>187</v>
      </c>
      <c r="O789" s="419" t="s">
        <v>202</v>
      </c>
      <c r="P789" s="319" t="s">
        <v>228</v>
      </c>
      <c r="Q789" s="318"/>
      <c r="R789" s="326">
        <v>24.4</v>
      </c>
      <c r="S789" s="319">
        <v>9.7</v>
      </c>
      <c r="T789" s="324">
        <v>0.57</v>
      </c>
      <c r="U789" s="319">
        <v>14.0</v>
      </c>
      <c r="V789" s="319"/>
      <c r="W789" s="319"/>
      <c r="X789" s="319"/>
      <c r="Y789" s="319"/>
      <c r="Z789" s="319" t="s">
        <v>331</v>
      </c>
      <c r="AA789" s="319"/>
      <c r="AB789" s="319" t="s">
        <v>363</v>
      </c>
      <c r="AC789" s="327">
        <v>10.0</v>
      </c>
      <c r="AD789" s="319"/>
      <c r="AE789" s="319"/>
      <c r="AF789" s="319"/>
      <c r="AG789" s="319"/>
      <c r="AH789" s="319"/>
      <c r="AI789" s="319"/>
      <c r="AJ789" s="327"/>
      <c r="AK789" s="328"/>
      <c r="AL789" s="319"/>
      <c r="AM789" s="319"/>
      <c r="AN789" s="319"/>
      <c r="AO789" s="319"/>
      <c r="AP789" s="319"/>
      <c r="AQ789" s="319"/>
      <c r="AR789" s="319"/>
      <c r="AS789" s="327"/>
      <c r="AT789" s="461" t="s">
        <v>183</v>
      </c>
      <c r="AU789" s="324" t="s">
        <v>845</v>
      </c>
      <c r="AV789" s="330">
        <f>SQRT(($R789-Infrastructure!J$3)^2+($S789-Infrastructure!K$3)^2)</f>
        <v>31.28466078</v>
      </c>
      <c r="AW789" s="331">
        <f>SQRT(($R789-Infrastructure!J$4)^2+($S789-Infrastructure!K$4)^2)</f>
        <v>25.99423013</v>
      </c>
      <c r="AX789" s="331">
        <f>SQRT(($R789-Infrastructure!J$5)^2+($S789-Infrastructure!K$5)^2)</f>
        <v>25.12468905</v>
      </c>
      <c r="AY789" s="331">
        <f>SQRT(($R789-Infrastructure!J$6)^2+($S789-Infrastructure!K$6)^2)</f>
        <v>17.11286066</v>
      </c>
      <c r="AZ789" s="331">
        <f>SQRT(($R789-Infrastructure!J$7)^2+($S789-Infrastructure!K$7)^2)</f>
        <v>10.17693471</v>
      </c>
      <c r="BA789" s="331">
        <f>SQRT(($R789-Infrastructure!J$8)^2+($S789-Infrastructure!K$8)^2)</f>
        <v>10.9931797</v>
      </c>
      <c r="BB789" s="331">
        <f>SQRT(($R789-Infrastructure!J$9)^2+($S789-Infrastructure!K$9)^2)</f>
        <v>16.26407083</v>
      </c>
      <c r="BC789" s="331">
        <f>SQRT(($R789-Infrastructure!J$10)^2+($S789-Infrastructure!K$10)^2)</f>
        <v>16.47573974</v>
      </c>
      <c r="BD789" s="318"/>
      <c r="BE789" s="332"/>
      <c r="BF789" s="330">
        <f t="shared" si="14"/>
        <v>10.17693471</v>
      </c>
      <c r="BG789" s="333">
        <f t="shared" si="15"/>
        <v>31.28466078</v>
      </c>
      <c r="BH789" s="334"/>
      <c r="BI789" s="462" t="s">
        <v>846</v>
      </c>
      <c r="BJ789" s="319" t="s">
        <v>845</v>
      </c>
      <c r="BK789" s="319" t="s">
        <v>846</v>
      </c>
      <c r="BL789" s="788" t="s">
        <v>845</v>
      </c>
      <c r="BM789" s="319" t="s">
        <v>846</v>
      </c>
      <c r="BN789" s="319" t="s">
        <v>846</v>
      </c>
      <c r="BO789" s="319" t="s">
        <v>845</v>
      </c>
      <c r="BP789" s="319" t="s">
        <v>846</v>
      </c>
      <c r="BQ789" s="788" t="s">
        <v>845</v>
      </c>
      <c r="BR789" s="789" t="s">
        <v>845</v>
      </c>
      <c r="BS789" s="330">
        <f t="shared" si="39"/>
        <v>10.17693471</v>
      </c>
      <c r="BT789" s="331">
        <f t="shared" si="40"/>
        <v>31.28466078</v>
      </c>
      <c r="BU789" s="331"/>
      <c r="BV789" s="333"/>
      <c r="BW789" s="614">
        <v>17.0</v>
      </c>
      <c r="BX789" s="615">
        <v>10.0</v>
      </c>
      <c r="BY789" s="331">
        <f t="shared" si="41"/>
        <v>7.406078585</v>
      </c>
      <c r="BZ789" s="340"/>
      <c r="CA789" s="462" t="s">
        <v>846</v>
      </c>
      <c r="CB789" s="318"/>
      <c r="CC789" s="319" t="s">
        <v>846</v>
      </c>
      <c r="CD789" s="319" t="s">
        <v>846</v>
      </c>
      <c r="CE789" s="319" t="s">
        <v>846</v>
      </c>
      <c r="CF789" s="319" t="s">
        <v>846</v>
      </c>
      <c r="CG789" s="319" t="s">
        <v>846</v>
      </c>
      <c r="CH789" s="319" t="s">
        <v>846</v>
      </c>
      <c r="CI789" s="338"/>
      <c r="CJ789" s="341"/>
      <c r="CK789" s="342">
        <f t="shared" si="18"/>
        <v>10.17693471</v>
      </c>
      <c r="CL789" s="333">
        <f t="shared" si="19"/>
        <v>31.28466078</v>
      </c>
      <c r="CM789" s="616"/>
      <c r="CN789" s="617"/>
      <c r="CO789" s="617"/>
      <c r="CP789" s="617"/>
    </row>
    <row r="790">
      <c r="A790" s="794"/>
      <c r="B790" s="462" t="s">
        <v>1341</v>
      </c>
      <c r="C790" s="417">
        <v>44288.0</v>
      </c>
      <c r="D790" s="318"/>
      <c r="E790" s="319">
        <v>20.0</v>
      </c>
      <c r="F790" s="324" t="s">
        <v>1403</v>
      </c>
      <c r="G790" s="321">
        <v>0.48680555555555555</v>
      </c>
      <c r="H790" s="323">
        <v>0.48726851851851855</v>
      </c>
      <c r="I790" s="323"/>
      <c r="J790" s="323"/>
      <c r="K790" s="323">
        <v>0.48842592592592593</v>
      </c>
      <c r="L790" s="323">
        <v>0.0011574074074074073</v>
      </c>
      <c r="M790" s="326" t="s">
        <v>358</v>
      </c>
      <c r="N790" s="324" t="s">
        <v>187</v>
      </c>
      <c r="O790" s="419" t="s">
        <v>202</v>
      </c>
      <c r="P790" s="319" t="s">
        <v>228</v>
      </c>
      <c r="Q790" s="318"/>
      <c r="R790" s="326">
        <v>24.4</v>
      </c>
      <c r="S790" s="319">
        <v>9.7</v>
      </c>
      <c r="T790" s="324">
        <v>0.57</v>
      </c>
      <c r="U790" s="319">
        <v>12.0</v>
      </c>
      <c r="V790" s="319"/>
      <c r="W790" s="319"/>
      <c r="X790" s="319"/>
      <c r="Y790" s="319"/>
      <c r="Z790" s="319" t="s">
        <v>331</v>
      </c>
      <c r="AA790" s="319"/>
      <c r="AB790" s="319" t="s">
        <v>363</v>
      </c>
      <c r="AC790" s="327">
        <v>10.0</v>
      </c>
      <c r="AD790" s="319"/>
      <c r="AE790" s="319"/>
      <c r="AF790" s="319"/>
      <c r="AG790" s="319"/>
      <c r="AH790" s="319"/>
      <c r="AI790" s="319"/>
      <c r="AJ790" s="327"/>
      <c r="AK790" s="328"/>
      <c r="AL790" s="319"/>
      <c r="AM790" s="319"/>
      <c r="AN790" s="319"/>
      <c r="AO790" s="319"/>
      <c r="AP790" s="319"/>
      <c r="AQ790" s="319"/>
      <c r="AR790" s="319"/>
      <c r="AS790" s="327"/>
      <c r="AT790" s="461" t="s">
        <v>183</v>
      </c>
      <c r="AU790" s="324" t="s">
        <v>845</v>
      </c>
      <c r="AV790" s="330">
        <f>SQRT(($R790-Infrastructure!J$3)^2+($S790-Infrastructure!K$3)^2)</f>
        <v>31.28466078</v>
      </c>
      <c r="AW790" s="331">
        <f>SQRT(($R790-Infrastructure!J$4)^2+($S790-Infrastructure!K$4)^2)</f>
        <v>25.99423013</v>
      </c>
      <c r="AX790" s="331">
        <f>SQRT(($R790-Infrastructure!J$5)^2+($S790-Infrastructure!K$5)^2)</f>
        <v>25.12468905</v>
      </c>
      <c r="AY790" s="331">
        <f>SQRT(($R790-Infrastructure!J$6)^2+($S790-Infrastructure!K$6)^2)</f>
        <v>17.11286066</v>
      </c>
      <c r="AZ790" s="331">
        <f>SQRT(($R790-Infrastructure!J$7)^2+($S790-Infrastructure!K$7)^2)</f>
        <v>10.17693471</v>
      </c>
      <c r="BA790" s="331">
        <f>SQRT(($R790-Infrastructure!J$8)^2+($S790-Infrastructure!K$8)^2)</f>
        <v>10.9931797</v>
      </c>
      <c r="BB790" s="331">
        <f>SQRT(($R790-Infrastructure!J$9)^2+($S790-Infrastructure!K$9)^2)</f>
        <v>16.26407083</v>
      </c>
      <c r="BC790" s="331">
        <f>SQRT(($R790-Infrastructure!J$10)^2+($S790-Infrastructure!K$10)^2)</f>
        <v>16.47573974</v>
      </c>
      <c r="BD790" s="318"/>
      <c r="BE790" s="332"/>
      <c r="BF790" s="330">
        <f t="shared" si="14"/>
        <v>10.17693471</v>
      </c>
      <c r="BG790" s="333">
        <f t="shared" si="15"/>
        <v>31.28466078</v>
      </c>
      <c r="BH790" s="334"/>
      <c r="BI790" s="462" t="s">
        <v>846</v>
      </c>
      <c r="BJ790" s="319" t="s">
        <v>845</v>
      </c>
      <c r="BK790" s="319" t="s">
        <v>846</v>
      </c>
      <c r="BL790" s="788" t="s">
        <v>845</v>
      </c>
      <c r="BM790" s="319" t="s">
        <v>846</v>
      </c>
      <c r="BN790" s="319" t="s">
        <v>846</v>
      </c>
      <c r="BO790" s="319" t="s">
        <v>845</v>
      </c>
      <c r="BP790" s="319" t="s">
        <v>846</v>
      </c>
      <c r="BQ790" s="788" t="s">
        <v>845</v>
      </c>
      <c r="BR790" s="789" t="s">
        <v>845</v>
      </c>
      <c r="BS790" s="330">
        <f t="shared" si="39"/>
        <v>10.17693471</v>
      </c>
      <c r="BT790" s="331">
        <f t="shared" si="40"/>
        <v>31.28466078</v>
      </c>
      <c r="BU790" s="331"/>
      <c r="BV790" s="333"/>
      <c r="BW790" s="614">
        <v>18.7</v>
      </c>
      <c r="BX790" s="615">
        <v>9.7</v>
      </c>
      <c r="BY790" s="331">
        <f t="shared" si="41"/>
        <v>5.7</v>
      </c>
      <c r="BZ790" s="340"/>
      <c r="CA790" s="462" t="s">
        <v>846</v>
      </c>
      <c r="CB790" s="318"/>
      <c r="CC790" s="319" t="s">
        <v>846</v>
      </c>
      <c r="CD790" s="319" t="s">
        <v>846</v>
      </c>
      <c r="CE790" s="319" t="s">
        <v>846</v>
      </c>
      <c r="CF790" s="319" t="s">
        <v>846</v>
      </c>
      <c r="CG790" s="319" t="s">
        <v>846</v>
      </c>
      <c r="CH790" s="319" t="s">
        <v>846</v>
      </c>
      <c r="CI790" s="338"/>
      <c r="CJ790" s="341"/>
      <c r="CK790" s="342">
        <f t="shared" si="18"/>
        <v>10.17693471</v>
      </c>
      <c r="CL790" s="333">
        <f t="shared" si="19"/>
        <v>31.28466078</v>
      </c>
      <c r="CM790" s="616"/>
      <c r="CN790" s="617"/>
      <c r="CO790" s="617"/>
      <c r="CP790" s="617"/>
    </row>
    <row r="791">
      <c r="A791" s="794"/>
      <c r="B791" s="462" t="s">
        <v>1341</v>
      </c>
      <c r="C791" s="417">
        <v>44288.0</v>
      </c>
      <c r="D791" s="318"/>
      <c r="E791" s="319">
        <v>21.0</v>
      </c>
      <c r="F791" s="324" t="s">
        <v>1404</v>
      </c>
      <c r="G791" s="321">
        <v>0.5706597222222223</v>
      </c>
      <c r="H791" s="323">
        <v>0.5711805555555556</v>
      </c>
      <c r="I791" s="323"/>
      <c r="J791" s="323"/>
      <c r="K791" s="323">
        <v>0.5782986111111111</v>
      </c>
      <c r="L791" s="323">
        <v>0.007118055555555555</v>
      </c>
      <c r="M791" s="326" t="s">
        <v>358</v>
      </c>
      <c r="N791" s="324" t="s">
        <v>187</v>
      </c>
      <c r="O791" s="419" t="s">
        <v>202</v>
      </c>
      <c r="P791" s="319" t="s">
        <v>228</v>
      </c>
      <c r="Q791" s="318"/>
      <c r="R791" s="326">
        <v>24.4</v>
      </c>
      <c r="S791" s="319">
        <v>9.7</v>
      </c>
      <c r="T791" s="324">
        <v>0.57</v>
      </c>
      <c r="U791" s="319">
        <v>10.0</v>
      </c>
      <c r="V791" s="319"/>
      <c r="W791" s="319"/>
      <c r="X791" s="319"/>
      <c r="Y791" s="319"/>
      <c r="Z791" s="319" t="s">
        <v>331</v>
      </c>
      <c r="AA791" s="319"/>
      <c r="AB791" s="319" t="s">
        <v>363</v>
      </c>
      <c r="AC791" s="327">
        <v>10.0</v>
      </c>
      <c r="AD791" s="319"/>
      <c r="AE791" s="319"/>
      <c r="AF791" s="319"/>
      <c r="AG791" s="319"/>
      <c r="AH791" s="319"/>
      <c r="AI791" s="319"/>
      <c r="AJ791" s="327"/>
      <c r="AK791" s="328"/>
      <c r="AL791" s="319"/>
      <c r="AM791" s="319"/>
      <c r="AN791" s="319"/>
      <c r="AO791" s="319"/>
      <c r="AP791" s="319"/>
      <c r="AQ791" s="319"/>
      <c r="AR791" s="319"/>
      <c r="AS791" s="327"/>
      <c r="AT791" s="461" t="s">
        <v>183</v>
      </c>
      <c r="AU791" s="324" t="s">
        <v>845</v>
      </c>
      <c r="AV791" s="330">
        <f>SQRT(($R791-Infrastructure!J$3)^2+($S791-Infrastructure!K$3)^2)</f>
        <v>31.28466078</v>
      </c>
      <c r="AW791" s="331">
        <f>SQRT(($R791-Infrastructure!J$4)^2+($S791-Infrastructure!K$4)^2)</f>
        <v>25.99423013</v>
      </c>
      <c r="AX791" s="331">
        <f>SQRT(($R791-Infrastructure!J$5)^2+($S791-Infrastructure!K$5)^2)</f>
        <v>25.12468905</v>
      </c>
      <c r="AY791" s="331">
        <f>SQRT(($R791-Infrastructure!J$6)^2+($S791-Infrastructure!K$6)^2)</f>
        <v>17.11286066</v>
      </c>
      <c r="AZ791" s="331">
        <f>SQRT(($R791-Infrastructure!J$7)^2+($S791-Infrastructure!K$7)^2)</f>
        <v>10.17693471</v>
      </c>
      <c r="BA791" s="331">
        <f>SQRT(($R791-Infrastructure!J$8)^2+($S791-Infrastructure!K$8)^2)</f>
        <v>10.9931797</v>
      </c>
      <c r="BB791" s="331">
        <f>SQRT(($R791-Infrastructure!J$9)^2+($S791-Infrastructure!K$9)^2)</f>
        <v>16.26407083</v>
      </c>
      <c r="BC791" s="331">
        <f>SQRT(($R791-Infrastructure!J$10)^2+($S791-Infrastructure!K$10)^2)</f>
        <v>16.47573974</v>
      </c>
      <c r="BD791" s="318"/>
      <c r="BE791" s="332"/>
      <c r="BF791" s="330">
        <f t="shared" si="14"/>
        <v>10.17693471</v>
      </c>
      <c r="BG791" s="333">
        <f t="shared" si="15"/>
        <v>31.28466078</v>
      </c>
      <c r="BH791" s="334"/>
      <c r="BI791" s="462" t="s">
        <v>846</v>
      </c>
      <c r="BJ791" s="319" t="s">
        <v>846</v>
      </c>
      <c r="BK791" s="319" t="s">
        <v>846</v>
      </c>
      <c r="BL791" s="788" t="s">
        <v>845</v>
      </c>
      <c r="BM791" s="319" t="s">
        <v>846</v>
      </c>
      <c r="BN791" s="319" t="s">
        <v>846</v>
      </c>
      <c r="BO791" s="319" t="s">
        <v>845</v>
      </c>
      <c r="BP791" s="319" t="s">
        <v>846</v>
      </c>
      <c r="BQ791" s="788" t="s">
        <v>845</v>
      </c>
      <c r="BR791" s="789" t="s">
        <v>845</v>
      </c>
      <c r="BS791" s="330">
        <f t="shared" si="39"/>
        <v>10.17693471</v>
      </c>
      <c r="BT791" s="331">
        <f t="shared" si="40"/>
        <v>31.28466078</v>
      </c>
      <c r="BU791" s="331"/>
      <c r="BV791" s="333"/>
      <c r="BW791" s="614">
        <v>18.35</v>
      </c>
      <c r="BX791" s="615">
        <v>9.07</v>
      </c>
      <c r="BY791" s="331">
        <f t="shared" si="41"/>
        <v>6.08271321</v>
      </c>
      <c r="BZ791" s="340"/>
      <c r="CA791" s="316"/>
      <c r="CB791" s="318"/>
      <c r="CC791" s="318"/>
      <c r="CD791" s="319" t="s">
        <v>846</v>
      </c>
      <c r="CE791" s="319" t="s">
        <v>846</v>
      </c>
      <c r="CF791" s="319" t="s">
        <v>846</v>
      </c>
      <c r="CG791" s="319" t="s">
        <v>846</v>
      </c>
      <c r="CH791" s="319" t="s">
        <v>846</v>
      </c>
      <c r="CI791" s="338"/>
      <c r="CJ791" s="341"/>
      <c r="CK791" s="342">
        <f t="shared" si="18"/>
        <v>10.17693471</v>
      </c>
      <c r="CL791" s="333">
        <f t="shared" si="19"/>
        <v>17.11286066</v>
      </c>
      <c r="CM791" s="616"/>
      <c r="CN791" s="617"/>
      <c r="CO791" s="617"/>
      <c r="CP791" s="617"/>
    </row>
    <row r="792">
      <c r="A792" s="794"/>
      <c r="B792" s="462" t="s">
        <v>1341</v>
      </c>
      <c r="C792" s="417">
        <v>44288.0</v>
      </c>
      <c r="D792" s="318"/>
      <c r="E792" s="319">
        <v>22.0</v>
      </c>
      <c r="F792" s="324" t="s">
        <v>1405</v>
      </c>
      <c r="G792" s="321">
        <v>0.5782986111111111</v>
      </c>
      <c r="H792" s="323">
        <v>0.5786458333333333</v>
      </c>
      <c r="I792" s="323"/>
      <c r="J792" s="323"/>
      <c r="K792" s="323">
        <v>0.5803819444444445</v>
      </c>
      <c r="L792" s="323">
        <v>0.001736111111111111</v>
      </c>
      <c r="M792" s="326" t="s">
        <v>358</v>
      </c>
      <c r="N792" s="324" t="s">
        <v>187</v>
      </c>
      <c r="O792" s="419" t="s">
        <v>202</v>
      </c>
      <c r="P792" s="319" t="s">
        <v>228</v>
      </c>
      <c r="Q792" s="318"/>
      <c r="R792" s="326">
        <v>24.4</v>
      </c>
      <c r="S792" s="319">
        <v>9.7</v>
      </c>
      <c r="T792" s="324">
        <v>0.57</v>
      </c>
      <c r="U792" s="319">
        <v>7.0</v>
      </c>
      <c r="V792" s="319"/>
      <c r="W792" s="319"/>
      <c r="X792" s="319"/>
      <c r="Y792" s="319"/>
      <c r="Z792" s="319" t="s">
        <v>331</v>
      </c>
      <c r="AA792" s="319"/>
      <c r="AB792" s="319" t="s">
        <v>363</v>
      </c>
      <c r="AC792" s="327">
        <v>10.0</v>
      </c>
      <c r="AD792" s="319"/>
      <c r="AE792" s="319"/>
      <c r="AF792" s="319"/>
      <c r="AG792" s="319"/>
      <c r="AH792" s="319"/>
      <c r="AI792" s="319"/>
      <c r="AJ792" s="327"/>
      <c r="AK792" s="328"/>
      <c r="AL792" s="319"/>
      <c r="AM792" s="319"/>
      <c r="AN792" s="319"/>
      <c r="AO792" s="319"/>
      <c r="AP792" s="319"/>
      <c r="AQ792" s="319"/>
      <c r="AR792" s="319"/>
      <c r="AS792" s="327"/>
      <c r="AT792" s="461" t="s">
        <v>182</v>
      </c>
      <c r="AU792" s="324" t="s">
        <v>845</v>
      </c>
      <c r="AV792" s="330">
        <f>SQRT(($R792-Infrastructure!J$3)^2+($S792-Infrastructure!K$3)^2)</f>
        <v>31.28466078</v>
      </c>
      <c r="AW792" s="331">
        <f>SQRT(($R792-Infrastructure!J$4)^2+($S792-Infrastructure!K$4)^2)</f>
        <v>25.99423013</v>
      </c>
      <c r="AX792" s="331">
        <f>SQRT(($R792-Infrastructure!J$5)^2+($S792-Infrastructure!K$5)^2)</f>
        <v>25.12468905</v>
      </c>
      <c r="AY792" s="331">
        <f>SQRT(($R792-Infrastructure!J$6)^2+($S792-Infrastructure!K$6)^2)</f>
        <v>17.11286066</v>
      </c>
      <c r="AZ792" s="331">
        <f>SQRT(($R792-Infrastructure!J$7)^2+($S792-Infrastructure!K$7)^2)</f>
        <v>10.17693471</v>
      </c>
      <c r="BA792" s="331">
        <f>SQRT(($R792-Infrastructure!J$8)^2+($S792-Infrastructure!K$8)^2)</f>
        <v>10.9931797</v>
      </c>
      <c r="BB792" s="331">
        <f>SQRT(($R792-Infrastructure!J$9)^2+($S792-Infrastructure!K$9)^2)</f>
        <v>16.26407083</v>
      </c>
      <c r="BC792" s="331">
        <f>SQRT(($R792-Infrastructure!J$10)^2+($S792-Infrastructure!K$10)^2)</f>
        <v>16.47573974</v>
      </c>
      <c r="BD792" s="318"/>
      <c r="BE792" s="332"/>
      <c r="BF792" s="330">
        <f t="shared" si="14"/>
        <v>10.17693471</v>
      </c>
      <c r="BG792" s="333">
        <f t="shared" si="15"/>
        <v>31.28466078</v>
      </c>
      <c r="BH792" s="334"/>
      <c r="BI792" s="462" t="s">
        <v>846</v>
      </c>
      <c r="BJ792" s="319" t="s">
        <v>845</v>
      </c>
      <c r="BK792" s="319" t="s">
        <v>846</v>
      </c>
      <c r="BL792" s="788" t="s">
        <v>845</v>
      </c>
      <c r="BM792" s="319" t="s">
        <v>846</v>
      </c>
      <c r="BN792" s="319" t="s">
        <v>846</v>
      </c>
      <c r="BO792" s="319" t="s">
        <v>845</v>
      </c>
      <c r="BP792" s="319" t="s">
        <v>846</v>
      </c>
      <c r="BQ792" s="788" t="s">
        <v>845</v>
      </c>
      <c r="BR792" s="789" t="s">
        <v>845</v>
      </c>
      <c r="BS792" s="330">
        <f t="shared" si="39"/>
        <v>10.17693471</v>
      </c>
      <c r="BT792" s="331">
        <f t="shared" si="40"/>
        <v>31.28466078</v>
      </c>
      <c r="BU792" s="331"/>
      <c r="BV792" s="333"/>
      <c r="BW792" s="330"/>
      <c r="BX792" s="331"/>
      <c r="BY792" s="331" t="b">
        <f t="shared" si="41"/>
        <v>0</v>
      </c>
      <c r="BZ792" s="340"/>
      <c r="CA792" s="316"/>
      <c r="CB792" s="318"/>
      <c r="CC792" s="318"/>
      <c r="CD792" s="318"/>
      <c r="CE792" s="319" t="s">
        <v>846</v>
      </c>
      <c r="CF792" s="319" t="s">
        <v>846</v>
      </c>
      <c r="CG792" s="318"/>
      <c r="CH792" s="319" t="s">
        <v>846</v>
      </c>
      <c r="CI792" s="338"/>
      <c r="CJ792" s="341"/>
      <c r="CK792" s="342">
        <f t="shared" si="18"/>
        <v>10.17693471</v>
      </c>
      <c r="CL792" s="333">
        <f t="shared" si="19"/>
        <v>16.47573974</v>
      </c>
      <c r="CM792" s="616"/>
      <c r="CN792" s="617"/>
      <c r="CO792" s="617"/>
      <c r="CP792" s="617"/>
    </row>
    <row r="793">
      <c r="A793" s="794"/>
      <c r="B793" s="462" t="s">
        <v>1341</v>
      </c>
      <c r="C793" s="417">
        <v>44288.0</v>
      </c>
      <c r="D793" s="318"/>
      <c r="E793" s="319">
        <v>23.0</v>
      </c>
      <c r="F793" s="324" t="s">
        <v>1406</v>
      </c>
      <c r="G793" s="321">
        <v>0.5803819444444445</v>
      </c>
      <c r="H793" s="323">
        <v>0.5809027777777778</v>
      </c>
      <c r="I793" s="323"/>
      <c r="J793" s="323"/>
      <c r="K793" s="323">
        <v>0.5836805555555555</v>
      </c>
      <c r="L793" s="323">
        <v>0.002777777777777778</v>
      </c>
      <c r="M793" s="326" t="s">
        <v>358</v>
      </c>
      <c r="N793" s="324" t="s">
        <v>187</v>
      </c>
      <c r="O793" s="419" t="s">
        <v>202</v>
      </c>
      <c r="P793" s="319" t="s">
        <v>228</v>
      </c>
      <c r="Q793" s="318"/>
      <c r="R793" s="326">
        <v>24.4</v>
      </c>
      <c r="S793" s="319">
        <v>9.7</v>
      </c>
      <c r="T793" s="324">
        <v>0.57</v>
      </c>
      <c r="U793" s="319">
        <v>5.0</v>
      </c>
      <c r="V793" s="319"/>
      <c r="W793" s="319"/>
      <c r="X793" s="319"/>
      <c r="Y793" s="319"/>
      <c r="Z793" s="319" t="s">
        <v>331</v>
      </c>
      <c r="AA793" s="319"/>
      <c r="AB793" s="319" t="s">
        <v>363</v>
      </c>
      <c r="AC793" s="327">
        <v>10.0</v>
      </c>
      <c r="AD793" s="319"/>
      <c r="AE793" s="319"/>
      <c r="AF793" s="319"/>
      <c r="AG793" s="319"/>
      <c r="AH793" s="319"/>
      <c r="AI793" s="319"/>
      <c r="AJ793" s="327"/>
      <c r="AK793" s="328"/>
      <c r="AL793" s="319"/>
      <c r="AM793" s="319"/>
      <c r="AN793" s="319"/>
      <c r="AO793" s="319"/>
      <c r="AP793" s="319"/>
      <c r="AQ793" s="319"/>
      <c r="AR793" s="319"/>
      <c r="AS793" s="327"/>
      <c r="AT793" s="461" t="s">
        <v>182</v>
      </c>
      <c r="AU793" s="324" t="s">
        <v>845</v>
      </c>
      <c r="AV793" s="330">
        <f>SQRT(($R793-Infrastructure!J$3)^2+($S793-Infrastructure!K$3)^2)</f>
        <v>31.28466078</v>
      </c>
      <c r="AW793" s="331">
        <f>SQRT(($R793-Infrastructure!J$4)^2+($S793-Infrastructure!K$4)^2)</f>
        <v>25.99423013</v>
      </c>
      <c r="AX793" s="331">
        <f>SQRT(($R793-Infrastructure!J$5)^2+($S793-Infrastructure!K$5)^2)</f>
        <v>25.12468905</v>
      </c>
      <c r="AY793" s="331">
        <f>SQRT(($R793-Infrastructure!J$6)^2+($S793-Infrastructure!K$6)^2)</f>
        <v>17.11286066</v>
      </c>
      <c r="AZ793" s="331">
        <f>SQRT(($R793-Infrastructure!J$7)^2+($S793-Infrastructure!K$7)^2)</f>
        <v>10.17693471</v>
      </c>
      <c r="BA793" s="331">
        <f>SQRT(($R793-Infrastructure!J$8)^2+($S793-Infrastructure!K$8)^2)</f>
        <v>10.9931797</v>
      </c>
      <c r="BB793" s="331">
        <f>SQRT(($R793-Infrastructure!J$9)^2+($S793-Infrastructure!K$9)^2)</f>
        <v>16.26407083</v>
      </c>
      <c r="BC793" s="331">
        <f>SQRT(($R793-Infrastructure!J$10)^2+($S793-Infrastructure!K$10)^2)</f>
        <v>16.47573974</v>
      </c>
      <c r="BD793" s="318"/>
      <c r="BE793" s="332"/>
      <c r="BF793" s="330">
        <f t="shared" si="14"/>
        <v>10.17693471</v>
      </c>
      <c r="BG793" s="333">
        <f t="shared" si="15"/>
        <v>31.28466078</v>
      </c>
      <c r="BH793" s="334"/>
      <c r="BI793" s="462" t="s">
        <v>846</v>
      </c>
      <c r="BJ793" s="319" t="s">
        <v>845</v>
      </c>
      <c r="BK793" s="319" t="s">
        <v>846</v>
      </c>
      <c r="BL793" s="788" t="s">
        <v>845</v>
      </c>
      <c r="BM793" s="319" t="s">
        <v>846</v>
      </c>
      <c r="BN793" s="319" t="s">
        <v>845</v>
      </c>
      <c r="BO793" s="319" t="s">
        <v>845</v>
      </c>
      <c r="BP793" s="319" t="s">
        <v>845</v>
      </c>
      <c r="BQ793" s="788" t="s">
        <v>845</v>
      </c>
      <c r="BR793" s="789" t="s">
        <v>845</v>
      </c>
      <c r="BS793" s="330">
        <f t="shared" si="39"/>
        <v>10.17693471</v>
      </c>
      <c r="BT793" s="331">
        <f t="shared" si="40"/>
        <v>31.28466078</v>
      </c>
      <c r="BU793" s="331"/>
      <c r="BV793" s="333"/>
      <c r="BW793" s="330"/>
      <c r="BX793" s="331"/>
      <c r="BY793" s="331" t="b">
        <f t="shared" si="41"/>
        <v>0</v>
      </c>
      <c r="BZ793" s="340"/>
      <c r="CA793" s="316"/>
      <c r="CB793" s="318"/>
      <c r="CC793" s="318"/>
      <c r="CD793" s="318"/>
      <c r="CE793" s="319" t="s">
        <v>846</v>
      </c>
      <c r="CF793" s="318"/>
      <c r="CG793" s="318"/>
      <c r="CH793" s="318"/>
      <c r="CI793" s="338"/>
      <c r="CJ793" s="341"/>
      <c r="CK793" s="342">
        <f t="shared" si="18"/>
        <v>10.17693471</v>
      </c>
      <c r="CL793" s="333">
        <f t="shared" si="19"/>
        <v>10.17693471</v>
      </c>
      <c r="CM793" s="616"/>
      <c r="CN793" s="617"/>
      <c r="CO793" s="617"/>
      <c r="CP793" s="617"/>
    </row>
    <row r="794">
      <c r="A794" s="794"/>
      <c r="B794" s="462" t="s">
        <v>1341</v>
      </c>
      <c r="C794" s="417">
        <v>44288.0</v>
      </c>
      <c r="D794" s="318"/>
      <c r="E794" s="319">
        <v>24.0</v>
      </c>
      <c r="F794" s="324" t="s">
        <v>1407</v>
      </c>
      <c r="G794" s="321">
        <v>0.5861111111111111</v>
      </c>
      <c r="H794" s="323">
        <v>0.5866319444444444</v>
      </c>
      <c r="I794" s="323"/>
      <c r="J794" s="323"/>
      <c r="K794" s="323">
        <v>0.5883680555555556</v>
      </c>
      <c r="L794" s="323">
        <v>0.001736111111111111</v>
      </c>
      <c r="M794" s="326" t="s">
        <v>358</v>
      </c>
      <c r="N794" s="324" t="s">
        <v>187</v>
      </c>
      <c r="O794" s="419" t="s">
        <v>203</v>
      </c>
      <c r="P794" s="319" t="s">
        <v>211</v>
      </c>
      <c r="Q794" s="318"/>
      <c r="R794" s="326">
        <v>14.8</v>
      </c>
      <c r="S794" s="319">
        <v>2.4</v>
      </c>
      <c r="T794" s="324">
        <v>1.1</v>
      </c>
      <c r="U794" s="319">
        <v>7.0</v>
      </c>
      <c r="V794" s="319"/>
      <c r="W794" s="319"/>
      <c r="X794" s="319"/>
      <c r="Y794" s="319"/>
      <c r="Z794" s="319" t="s">
        <v>357</v>
      </c>
      <c r="AA794" s="319"/>
      <c r="AB794" s="319" t="s">
        <v>1173</v>
      </c>
      <c r="AC794" s="327">
        <v>6.0</v>
      </c>
      <c r="AD794" s="319"/>
      <c r="AE794" s="319"/>
      <c r="AF794" s="319"/>
      <c r="AG794" s="319"/>
      <c r="AH794" s="319"/>
      <c r="AI794" s="319"/>
      <c r="AJ794" s="327"/>
      <c r="AK794" s="328"/>
      <c r="AL794" s="319"/>
      <c r="AM794" s="319"/>
      <c r="AN794" s="319"/>
      <c r="AO794" s="319"/>
      <c r="AP794" s="319"/>
      <c r="AQ794" s="319"/>
      <c r="AR794" s="319"/>
      <c r="AS794" s="327"/>
      <c r="AT794" s="461" t="s">
        <v>182</v>
      </c>
      <c r="AU794" s="324" t="s">
        <v>845</v>
      </c>
      <c r="AV794" s="330">
        <f>SQRT(($R794-Infrastructure!J$3)^2+($S794-Infrastructure!K$3)^2)</f>
        <v>30.50016393</v>
      </c>
      <c r="AW794" s="331">
        <f>SQRT(($R794-Infrastructure!J$4)^2+($S794-Infrastructure!K$4)^2)</f>
        <v>21.56780007</v>
      </c>
      <c r="AX794" s="331">
        <f>SQRT(($R794-Infrastructure!J$5)^2+($S794-Infrastructure!K$5)^2)</f>
        <v>15.33949152</v>
      </c>
      <c r="AY794" s="331">
        <f>SQRT(($R794-Infrastructure!J$6)^2+($S794-Infrastructure!K$6)^2)</f>
        <v>5.14781507</v>
      </c>
      <c r="AZ794" s="331">
        <f>SQRT(($R794-Infrastructure!J$7)^2+($S794-Infrastructure!K$7)^2)</f>
        <v>6.074537019</v>
      </c>
      <c r="BA794" s="331">
        <f>SQRT(($R794-Infrastructure!J$8)^2+($S794-Infrastructure!K$8)^2)</f>
        <v>15.44344521</v>
      </c>
      <c r="BB794" s="331">
        <f>SQRT(($R794-Infrastructure!J$9)^2+($S794-Infrastructure!K$9)^2)</f>
        <v>25.34423011</v>
      </c>
      <c r="BC794" s="331">
        <f>SQRT(($R794-Infrastructure!J$10)^2+($S794-Infrastructure!K$10)^2)</f>
        <v>28.17445652</v>
      </c>
      <c r="BD794" s="318"/>
      <c r="BE794" s="332"/>
      <c r="BF794" s="330">
        <f t="shared" si="14"/>
        <v>5.14781507</v>
      </c>
      <c r="BG794" s="333">
        <f t="shared" si="15"/>
        <v>30.50016393</v>
      </c>
      <c r="BH794" s="334"/>
      <c r="BI794" s="462" t="s">
        <v>845</v>
      </c>
      <c r="BJ794" s="319" t="s">
        <v>846</v>
      </c>
      <c r="BK794" s="319" t="s">
        <v>846</v>
      </c>
      <c r="BL794" s="788" t="s">
        <v>845</v>
      </c>
      <c r="BM794" s="319" t="s">
        <v>846</v>
      </c>
      <c r="BN794" s="319" t="s">
        <v>846</v>
      </c>
      <c r="BO794" s="319" t="s">
        <v>845</v>
      </c>
      <c r="BP794" s="319" t="s">
        <v>845</v>
      </c>
      <c r="BQ794" s="788" t="s">
        <v>845</v>
      </c>
      <c r="BR794" s="789" t="s">
        <v>845</v>
      </c>
      <c r="BS794" s="330">
        <f t="shared" si="39"/>
        <v>6.074537019</v>
      </c>
      <c r="BT794" s="331">
        <f t="shared" si="40"/>
        <v>21.56780007</v>
      </c>
      <c r="BU794" s="331"/>
      <c r="BV794" s="333"/>
      <c r="BW794" s="614">
        <v>13.4</v>
      </c>
      <c r="BX794" s="615">
        <v>4.8</v>
      </c>
      <c r="BY794" s="331">
        <f t="shared" si="41"/>
        <v>2.778488798</v>
      </c>
      <c r="BZ794" s="340"/>
      <c r="CA794" s="316"/>
      <c r="CB794" s="318"/>
      <c r="CC794" s="319" t="s">
        <v>846</v>
      </c>
      <c r="CD794" s="319" t="s">
        <v>846</v>
      </c>
      <c r="CE794" s="319" t="s">
        <v>846</v>
      </c>
      <c r="CF794" s="319" t="s">
        <v>846</v>
      </c>
      <c r="CG794" s="318"/>
      <c r="CH794" s="318"/>
      <c r="CI794" s="338"/>
      <c r="CJ794" s="341"/>
      <c r="CK794" s="342">
        <f t="shared" si="18"/>
        <v>5.14781507</v>
      </c>
      <c r="CL794" s="333">
        <f t="shared" si="19"/>
        <v>15.44344521</v>
      </c>
      <c r="CM794" s="616"/>
      <c r="CN794" s="617"/>
      <c r="CO794" s="617"/>
      <c r="CP794" s="617"/>
    </row>
    <row r="795">
      <c r="A795" s="794"/>
      <c r="B795" s="462" t="s">
        <v>1341</v>
      </c>
      <c r="C795" s="417">
        <v>44288.0</v>
      </c>
      <c r="D795" s="318"/>
      <c r="E795" s="319">
        <v>25.0</v>
      </c>
      <c r="F795" s="324" t="s">
        <v>1408</v>
      </c>
      <c r="G795" s="321">
        <v>0.5901041666666667</v>
      </c>
      <c r="H795" s="323">
        <v>0.5902777777777778</v>
      </c>
      <c r="I795" s="323"/>
      <c r="J795" s="323"/>
      <c r="K795" s="323">
        <v>0.5925347222222223</v>
      </c>
      <c r="L795" s="323">
        <v>0.0022569444444444442</v>
      </c>
      <c r="M795" s="326" t="s">
        <v>358</v>
      </c>
      <c r="N795" s="324" t="s">
        <v>187</v>
      </c>
      <c r="O795" s="419" t="s">
        <v>203</v>
      </c>
      <c r="P795" s="319" t="s">
        <v>227</v>
      </c>
      <c r="Q795" s="318"/>
      <c r="R795" s="326">
        <v>15.2</v>
      </c>
      <c r="S795" s="319">
        <v>3.4</v>
      </c>
      <c r="T795" s="324">
        <v>1.9</v>
      </c>
      <c r="U795" s="319">
        <v>7.0</v>
      </c>
      <c r="V795" s="319"/>
      <c r="W795" s="319"/>
      <c r="X795" s="319"/>
      <c r="Y795" s="319"/>
      <c r="Z795" s="319" t="s">
        <v>357</v>
      </c>
      <c r="AA795" s="319"/>
      <c r="AB795" s="319" t="s">
        <v>1173</v>
      </c>
      <c r="AC795" s="327">
        <v>6.0</v>
      </c>
      <c r="AD795" s="319"/>
      <c r="AE795" s="319"/>
      <c r="AF795" s="319"/>
      <c r="AG795" s="319"/>
      <c r="AH795" s="319"/>
      <c r="AI795" s="319"/>
      <c r="AJ795" s="327"/>
      <c r="AK795" s="328"/>
      <c r="AL795" s="319"/>
      <c r="AM795" s="319"/>
      <c r="AN795" s="319"/>
      <c r="AO795" s="319"/>
      <c r="AP795" s="319"/>
      <c r="AQ795" s="319"/>
      <c r="AR795" s="319"/>
      <c r="AS795" s="327"/>
      <c r="AT795" s="461" t="s">
        <v>182</v>
      </c>
      <c r="AU795" s="324" t="s">
        <v>845</v>
      </c>
      <c r="AV795" s="330">
        <f>SQRT(($R795-Infrastructure!J$3)^2+($S795-Infrastructure!K$3)^2)</f>
        <v>29.84124662</v>
      </c>
      <c r="AW795" s="331">
        <f>SQRT(($R795-Infrastructure!J$4)^2+($S795-Infrastructure!K$4)^2)</f>
        <v>21.1567956</v>
      </c>
      <c r="AX795" s="331">
        <f>SQRT(($R795-Infrastructure!J$5)^2+($S795-Infrastructure!K$5)^2)</f>
        <v>15.59294712</v>
      </c>
      <c r="AY795" s="331">
        <f>SQRT(($R795-Infrastructure!J$6)^2+($S795-Infrastructure!K$6)^2)</f>
        <v>5.968249325</v>
      </c>
      <c r="AZ795" s="331">
        <f>SQRT(($R795-Infrastructure!J$7)^2+($S795-Infrastructure!K$7)^2)</f>
        <v>6.140032573</v>
      </c>
      <c r="BA795" s="331">
        <f>SQRT(($R795-Infrastructure!J$8)^2+($S795-Infrastructure!K$8)^2)</f>
        <v>15.21906699</v>
      </c>
      <c r="BB795" s="331">
        <f>SQRT(($R795-Infrastructure!J$9)^2+($S795-Infrastructure!K$9)^2)</f>
        <v>24.85819784</v>
      </c>
      <c r="BC795" s="331">
        <f>SQRT(($R795-Infrastructure!J$10)^2+($S795-Infrastructure!K$10)^2)</f>
        <v>27.37882393</v>
      </c>
      <c r="BD795" s="318"/>
      <c r="BE795" s="332"/>
      <c r="BF795" s="330">
        <f t="shared" si="14"/>
        <v>5.968249325</v>
      </c>
      <c r="BG795" s="333">
        <f t="shared" si="15"/>
        <v>29.84124662</v>
      </c>
      <c r="BH795" s="334"/>
      <c r="BI795" s="462" t="s">
        <v>845</v>
      </c>
      <c r="BJ795" s="319" t="s">
        <v>845</v>
      </c>
      <c r="BK795" s="319" t="s">
        <v>846</v>
      </c>
      <c r="BL795" s="788" t="s">
        <v>845</v>
      </c>
      <c r="BM795" s="319" t="s">
        <v>846</v>
      </c>
      <c r="BN795" s="319" t="s">
        <v>846</v>
      </c>
      <c r="BO795" s="319" t="s">
        <v>845</v>
      </c>
      <c r="BP795" s="319" t="s">
        <v>845</v>
      </c>
      <c r="BQ795" s="788" t="s">
        <v>845</v>
      </c>
      <c r="BR795" s="789" t="s">
        <v>845</v>
      </c>
      <c r="BS795" s="330">
        <f t="shared" si="39"/>
        <v>6.140032573</v>
      </c>
      <c r="BT795" s="331">
        <f t="shared" si="40"/>
        <v>15.59294712</v>
      </c>
      <c r="BU795" s="331"/>
      <c r="BV795" s="333"/>
      <c r="BW795" s="330"/>
      <c r="BX795" s="331"/>
      <c r="BY795" s="331" t="b">
        <f t="shared" si="41"/>
        <v>0</v>
      </c>
      <c r="BZ795" s="340"/>
      <c r="CA795" s="316"/>
      <c r="CB795" s="318"/>
      <c r="CC795" s="319" t="s">
        <v>846</v>
      </c>
      <c r="CD795" s="319" t="s">
        <v>846</v>
      </c>
      <c r="CE795" s="319" t="s">
        <v>846</v>
      </c>
      <c r="CF795" s="319" t="s">
        <v>846</v>
      </c>
      <c r="CG795" s="318"/>
      <c r="CH795" s="318"/>
      <c r="CI795" s="338"/>
      <c r="CJ795" s="341"/>
      <c r="CK795" s="342">
        <f t="shared" si="18"/>
        <v>5.968249325</v>
      </c>
      <c r="CL795" s="333">
        <f t="shared" si="19"/>
        <v>15.59294712</v>
      </c>
      <c r="CM795" s="616"/>
      <c r="CN795" s="617"/>
      <c r="CO795" s="617"/>
      <c r="CP795" s="617"/>
    </row>
    <row r="796">
      <c r="A796" s="794"/>
      <c r="B796" s="462" t="s">
        <v>1341</v>
      </c>
      <c r="C796" s="417">
        <v>44288.0</v>
      </c>
      <c r="D796" s="318"/>
      <c r="E796" s="319">
        <v>26.0</v>
      </c>
      <c r="F796" s="324" t="s">
        <v>1409</v>
      </c>
      <c r="G796" s="321">
        <v>0.5953125</v>
      </c>
      <c r="H796" s="323">
        <v>0.5960069444444445</v>
      </c>
      <c r="I796" s="323"/>
      <c r="J796" s="323"/>
      <c r="K796" s="323">
        <v>0.5970486111111111</v>
      </c>
      <c r="L796" s="323">
        <v>0.0010416666666666667</v>
      </c>
      <c r="M796" s="326" t="s">
        <v>358</v>
      </c>
      <c r="N796" s="324" t="s">
        <v>187</v>
      </c>
      <c r="O796" s="419" t="s">
        <v>203</v>
      </c>
      <c r="P796" s="319" t="s">
        <v>211</v>
      </c>
      <c r="Q796" s="318"/>
      <c r="R796" s="326">
        <v>14.8</v>
      </c>
      <c r="S796" s="319">
        <v>2.4</v>
      </c>
      <c r="T796" s="324">
        <v>1.1</v>
      </c>
      <c r="U796" s="319">
        <v>5.0</v>
      </c>
      <c r="V796" s="319"/>
      <c r="W796" s="319"/>
      <c r="X796" s="319"/>
      <c r="Y796" s="319"/>
      <c r="Z796" s="319" t="s">
        <v>357</v>
      </c>
      <c r="AA796" s="319"/>
      <c r="AB796" s="319" t="s">
        <v>1241</v>
      </c>
      <c r="AC796" s="327">
        <v>4.0</v>
      </c>
      <c r="AD796" s="319"/>
      <c r="AE796" s="319"/>
      <c r="AF796" s="319"/>
      <c r="AG796" s="319"/>
      <c r="AH796" s="319"/>
      <c r="AI796" s="319"/>
      <c r="AJ796" s="327"/>
      <c r="AK796" s="328"/>
      <c r="AL796" s="319"/>
      <c r="AM796" s="319"/>
      <c r="AN796" s="319"/>
      <c r="AO796" s="319"/>
      <c r="AP796" s="319"/>
      <c r="AQ796" s="319"/>
      <c r="AR796" s="319"/>
      <c r="AS796" s="327"/>
      <c r="AT796" s="461" t="s">
        <v>182</v>
      </c>
      <c r="AU796" s="324" t="s">
        <v>845</v>
      </c>
      <c r="AV796" s="330">
        <f>SQRT(($R796-Infrastructure!J$3)^2+($S796-Infrastructure!K$3)^2)</f>
        <v>30.50016393</v>
      </c>
      <c r="AW796" s="331">
        <f>SQRT(($R796-Infrastructure!J$4)^2+($S796-Infrastructure!K$4)^2)</f>
        <v>21.56780007</v>
      </c>
      <c r="AX796" s="331">
        <f>SQRT(($R796-Infrastructure!J$5)^2+($S796-Infrastructure!K$5)^2)</f>
        <v>15.33949152</v>
      </c>
      <c r="AY796" s="331">
        <f>SQRT(($R796-Infrastructure!J$6)^2+($S796-Infrastructure!K$6)^2)</f>
        <v>5.14781507</v>
      </c>
      <c r="AZ796" s="331">
        <f>SQRT(($R796-Infrastructure!J$7)^2+($S796-Infrastructure!K$7)^2)</f>
        <v>6.074537019</v>
      </c>
      <c r="BA796" s="331">
        <f>SQRT(($R796-Infrastructure!J$8)^2+($S796-Infrastructure!K$8)^2)</f>
        <v>15.44344521</v>
      </c>
      <c r="BB796" s="331">
        <f>SQRT(($R796-Infrastructure!J$9)^2+($S796-Infrastructure!K$9)^2)</f>
        <v>25.34423011</v>
      </c>
      <c r="BC796" s="331">
        <f>SQRT(($R796-Infrastructure!J$10)^2+($S796-Infrastructure!K$10)^2)</f>
        <v>28.17445652</v>
      </c>
      <c r="BD796" s="318"/>
      <c r="BE796" s="332"/>
      <c r="BF796" s="330">
        <f t="shared" si="14"/>
        <v>5.14781507</v>
      </c>
      <c r="BG796" s="333">
        <f t="shared" si="15"/>
        <v>30.50016393</v>
      </c>
      <c r="BH796" s="334"/>
      <c r="BI796" s="462" t="s">
        <v>846</v>
      </c>
      <c r="BJ796" s="319" t="s">
        <v>846</v>
      </c>
      <c r="BK796" s="319" t="s">
        <v>846</v>
      </c>
      <c r="BL796" s="788" t="s">
        <v>845</v>
      </c>
      <c r="BM796" s="319" t="s">
        <v>846</v>
      </c>
      <c r="BN796" s="319" t="s">
        <v>846</v>
      </c>
      <c r="BO796" s="319" t="s">
        <v>845</v>
      </c>
      <c r="BP796" s="319" t="s">
        <v>845</v>
      </c>
      <c r="BQ796" s="788" t="s">
        <v>845</v>
      </c>
      <c r="BR796" s="789" t="s">
        <v>845</v>
      </c>
      <c r="BS796" s="330">
        <f t="shared" si="39"/>
        <v>6.074537019</v>
      </c>
      <c r="BT796" s="331">
        <f t="shared" si="40"/>
        <v>30.50016393</v>
      </c>
      <c r="BU796" s="331"/>
      <c r="BV796" s="333"/>
      <c r="BW796" s="614">
        <v>12.25</v>
      </c>
      <c r="BX796" s="615">
        <v>7.6</v>
      </c>
      <c r="BY796" s="331">
        <f t="shared" si="41"/>
        <v>5.791588728</v>
      </c>
      <c r="BZ796" s="340"/>
      <c r="CA796" s="316"/>
      <c r="CB796" s="318"/>
      <c r="CC796" s="319" t="s">
        <v>846</v>
      </c>
      <c r="CD796" s="319" t="s">
        <v>846</v>
      </c>
      <c r="CE796" s="319" t="s">
        <v>846</v>
      </c>
      <c r="CF796" s="319" t="s">
        <v>846</v>
      </c>
      <c r="CG796" s="319" t="s">
        <v>846</v>
      </c>
      <c r="CH796" s="319" t="s">
        <v>846</v>
      </c>
      <c r="CI796" s="338"/>
      <c r="CJ796" s="341"/>
      <c r="CK796" s="342">
        <f t="shared" si="18"/>
        <v>5.14781507</v>
      </c>
      <c r="CL796" s="333">
        <f t="shared" si="19"/>
        <v>28.17445652</v>
      </c>
      <c r="CM796" s="616"/>
      <c r="CN796" s="617"/>
      <c r="CO796" s="617"/>
      <c r="CP796" s="617"/>
    </row>
    <row r="797">
      <c r="A797" s="794"/>
      <c r="B797" s="462" t="s">
        <v>1341</v>
      </c>
      <c r="C797" s="417">
        <v>44288.0</v>
      </c>
      <c r="D797" s="318"/>
      <c r="E797" s="319">
        <v>27.0</v>
      </c>
      <c r="F797" s="324" t="s">
        <v>1410</v>
      </c>
      <c r="G797" s="321">
        <v>0.5986111111111111</v>
      </c>
      <c r="H797" s="323">
        <v>0.5988425925925925</v>
      </c>
      <c r="I797" s="323"/>
      <c r="J797" s="323"/>
      <c r="K797" s="323">
        <v>0.6</v>
      </c>
      <c r="L797" s="323">
        <v>0.0011574074074074073</v>
      </c>
      <c r="M797" s="326" t="s">
        <v>358</v>
      </c>
      <c r="N797" s="324" t="s">
        <v>187</v>
      </c>
      <c r="O797" s="419" t="s">
        <v>203</v>
      </c>
      <c r="P797" s="319" t="s">
        <v>227</v>
      </c>
      <c r="Q797" s="318"/>
      <c r="R797" s="326">
        <v>15.2</v>
      </c>
      <c r="S797" s="319">
        <v>3.4</v>
      </c>
      <c r="T797" s="324">
        <v>1.9</v>
      </c>
      <c r="U797" s="319">
        <v>5.0</v>
      </c>
      <c r="V797" s="319"/>
      <c r="W797" s="319"/>
      <c r="X797" s="319"/>
      <c r="Y797" s="319"/>
      <c r="Z797" s="319" t="s">
        <v>357</v>
      </c>
      <c r="AA797" s="319"/>
      <c r="AB797" s="319" t="s">
        <v>1241</v>
      </c>
      <c r="AC797" s="327">
        <v>4.0</v>
      </c>
      <c r="AD797" s="319"/>
      <c r="AE797" s="319"/>
      <c r="AF797" s="319"/>
      <c r="AG797" s="319"/>
      <c r="AH797" s="319"/>
      <c r="AI797" s="319"/>
      <c r="AJ797" s="327"/>
      <c r="AK797" s="328"/>
      <c r="AL797" s="319"/>
      <c r="AM797" s="319"/>
      <c r="AN797" s="319"/>
      <c r="AO797" s="319"/>
      <c r="AP797" s="319"/>
      <c r="AQ797" s="319"/>
      <c r="AR797" s="319"/>
      <c r="AS797" s="327"/>
      <c r="AT797" s="461" t="s">
        <v>182</v>
      </c>
      <c r="AU797" s="324" t="s">
        <v>845</v>
      </c>
      <c r="AV797" s="330">
        <f>SQRT(($R797-Infrastructure!J$3)^2+($S797-Infrastructure!K$3)^2)</f>
        <v>29.84124662</v>
      </c>
      <c r="AW797" s="331">
        <f>SQRT(($R797-Infrastructure!J$4)^2+($S797-Infrastructure!K$4)^2)</f>
        <v>21.1567956</v>
      </c>
      <c r="AX797" s="331">
        <f>SQRT(($R797-Infrastructure!J$5)^2+($S797-Infrastructure!K$5)^2)</f>
        <v>15.59294712</v>
      </c>
      <c r="AY797" s="331">
        <f>SQRT(($R797-Infrastructure!J$6)^2+($S797-Infrastructure!K$6)^2)</f>
        <v>5.968249325</v>
      </c>
      <c r="AZ797" s="331">
        <f>SQRT(($R797-Infrastructure!J$7)^2+($S797-Infrastructure!K$7)^2)</f>
        <v>6.140032573</v>
      </c>
      <c r="BA797" s="331">
        <f>SQRT(($R797-Infrastructure!J$8)^2+($S797-Infrastructure!K$8)^2)</f>
        <v>15.21906699</v>
      </c>
      <c r="BB797" s="331">
        <f>SQRT(($R797-Infrastructure!J$9)^2+($S797-Infrastructure!K$9)^2)</f>
        <v>24.85819784</v>
      </c>
      <c r="BC797" s="331">
        <f>SQRT(($R797-Infrastructure!J$10)^2+($S797-Infrastructure!K$10)^2)</f>
        <v>27.37882393</v>
      </c>
      <c r="BD797" s="318"/>
      <c r="BE797" s="332"/>
      <c r="BF797" s="330">
        <f t="shared" si="14"/>
        <v>5.968249325</v>
      </c>
      <c r="BG797" s="333">
        <f t="shared" si="15"/>
        <v>29.84124662</v>
      </c>
      <c r="BH797" s="334"/>
      <c r="BI797" s="462" t="s">
        <v>846</v>
      </c>
      <c r="BJ797" s="319" t="s">
        <v>845</v>
      </c>
      <c r="BK797" s="319" t="s">
        <v>846</v>
      </c>
      <c r="BL797" s="788" t="s">
        <v>845</v>
      </c>
      <c r="BM797" s="319" t="s">
        <v>846</v>
      </c>
      <c r="BN797" s="319" t="s">
        <v>846</v>
      </c>
      <c r="BO797" s="319" t="s">
        <v>845</v>
      </c>
      <c r="BP797" s="319" t="s">
        <v>845</v>
      </c>
      <c r="BQ797" s="788" t="s">
        <v>845</v>
      </c>
      <c r="BR797" s="789" t="s">
        <v>845</v>
      </c>
      <c r="BS797" s="330">
        <f t="shared" si="39"/>
        <v>6.140032573</v>
      </c>
      <c r="BT797" s="331">
        <f t="shared" si="40"/>
        <v>29.84124662</v>
      </c>
      <c r="BU797" s="331"/>
      <c r="BV797" s="333"/>
      <c r="BW797" s="614">
        <v>11.9</v>
      </c>
      <c r="BX797" s="615">
        <v>8.0</v>
      </c>
      <c r="BY797" s="331">
        <f t="shared" si="41"/>
        <v>5.661271942</v>
      </c>
      <c r="BZ797" s="340"/>
      <c r="CA797" s="316"/>
      <c r="CB797" s="318"/>
      <c r="CC797" s="319" t="s">
        <v>846</v>
      </c>
      <c r="CD797" s="319" t="s">
        <v>846</v>
      </c>
      <c r="CE797" s="319" t="s">
        <v>846</v>
      </c>
      <c r="CF797" s="319" t="s">
        <v>846</v>
      </c>
      <c r="CG797" s="318"/>
      <c r="CH797" s="319" t="s">
        <v>846</v>
      </c>
      <c r="CI797" s="338"/>
      <c r="CJ797" s="341"/>
      <c r="CK797" s="342">
        <f t="shared" si="18"/>
        <v>5.968249325</v>
      </c>
      <c r="CL797" s="333">
        <f t="shared" si="19"/>
        <v>27.37882393</v>
      </c>
      <c r="CM797" s="616"/>
      <c r="CN797" s="617"/>
      <c r="CO797" s="617"/>
      <c r="CP797" s="617"/>
    </row>
    <row r="798">
      <c r="A798" s="794"/>
      <c r="B798" s="462" t="s">
        <v>1341</v>
      </c>
      <c r="C798" s="417">
        <v>44288.0</v>
      </c>
      <c r="D798" s="318"/>
      <c r="E798" s="319">
        <v>28.0</v>
      </c>
      <c r="F798" s="324" t="s">
        <v>1411</v>
      </c>
      <c r="G798" s="321">
        <v>0.6039930555555556</v>
      </c>
      <c r="H798" s="323">
        <v>0.6045138888888889</v>
      </c>
      <c r="I798" s="323"/>
      <c r="J798" s="323"/>
      <c r="K798" s="323">
        <v>0.6055555555555555</v>
      </c>
      <c r="L798" s="323">
        <v>0.0010416666666666667</v>
      </c>
      <c r="M798" s="326" t="s">
        <v>358</v>
      </c>
      <c r="N798" s="324" t="s">
        <v>187</v>
      </c>
      <c r="O798" s="419" t="s">
        <v>203</v>
      </c>
      <c r="P798" s="319" t="s">
        <v>211</v>
      </c>
      <c r="Q798" s="318"/>
      <c r="R798" s="326">
        <v>14.8</v>
      </c>
      <c r="S798" s="319">
        <v>2.4</v>
      </c>
      <c r="T798" s="324">
        <v>1.1</v>
      </c>
      <c r="U798" s="319">
        <v>2.0</v>
      </c>
      <c r="V798" s="319"/>
      <c r="W798" s="319"/>
      <c r="X798" s="319"/>
      <c r="Y798" s="319"/>
      <c r="Z798" s="319" t="s">
        <v>357</v>
      </c>
      <c r="AA798" s="319"/>
      <c r="AB798" s="319" t="s">
        <v>1412</v>
      </c>
      <c r="AC798" s="327">
        <v>1.8</v>
      </c>
      <c r="AD798" s="319"/>
      <c r="AE798" s="319"/>
      <c r="AF798" s="319"/>
      <c r="AG798" s="319"/>
      <c r="AH798" s="319"/>
      <c r="AI798" s="319"/>
      <c r="AJ798" s="327"/>
      <c r="AK798" s="328"/>
      <c r="AL798" s="319"/>
      <c r="AM798" s="319"/>
      <c r="AN798" s="319"/>
      <c r="AO798" s="319"/>
      <c r="AP798" s="319"/>
      <c r="AQ798" s="319"/>
      <c r="AR798" s="319"/>
      <c r="AS798" s="327"/>
      <c r="AT798" s="461" t="s">
        <v>182</v>
      </c>
      <c r="AU798" s="324" t="s">
        <v>845</v>
      </c>
      <c r="AV798" s="330">
        <f>SQRT(($R798-Infrastructure!J$3)^2+($S798-Infrastructure!K$3)^2)</f>
        <v>30.50016393</v>
      </c>
      <c r="AW798" s="331">
        <f>SQRT(($R798-Infrastructure!J$4)^2+($S798-Infrastructure!K$4)^2)</f>
        <v>21.56780007</v>
      </c>
      <c r="AX798" s="331">
        <f>SQRT(($R798-Infrastructure!J$5)^2+($S798-Infrastructure!K$5)^2)</f>
        <v>15.33949152</v>
      </c>
      <c r="AY798" s="331">
        <f>SQRT(($R798-Infrastructure!J$6)^2+($S798-Infrastructure!K$6)^2)</f>
        <v>5.14781507</v>
      </c>
      <c r="AZ798" s="331">
        <f>SQRT(($R798-Infrastructure!J$7)^2+($S798-Infrastructure!K$7)^2)</f>
        <v>6.074537019</v>
      </c>
      <c r="BA798" s="331">
        <f>SQRT(($R798-Infrastructure!J$8)^2+($S798-Infrastructure!K$8)^2)</f>
        <v>15.44344521</v>
      </c>
      <c r="BB798" s="331">
        <f>SQRT(($R798-Infrastructure!J$9)^2+($S798-Infrastructure!K$9)^2)</f>
        <v>25.34423011</v>
      </c>
      <c r="BC798" s="331">
        <f>SQRT(($R798-Infrastructure!J$10)^2+($S798-Infrastructure!K$10)^2)</f>
        <v>28.17445652</v>
      </c>
      <c r="BD798" s="318"/>
      <c r="BE798" s="332"/>
      <c r="BF798" s="330">
        <f t="shared" si="14"/>
        <v>5.14781507</v>
      </c>
      <c r="BG798" s="333">
        <f t="shared" si="15"/>
        <v>30.50016393</v>
      </c>
      <c r="BH798" s="334"/>
      <c r="BI798" s="462" t="s">
        <v>845</v>
      </c>
      <c r="BJ798" s="319" t="s">
        <v>845</v>
      </c>
      <c r="BK798" s="319" t="s">
        <v>846</v>
      </c>
      <c r="BL798" s="788" t="s">
        <v>845</v>
      </c>
      <c r="BM798" s="319" t="s">
        <v>846</v>
      </c>
      <c r="BN798" s="319" t="s">
        <v>846</v>
      </c>
      <c r="BO798" s="319" t="s">
        <v>845</v>
      </c>
      <c r="BP798" s="319" t="s">
        <v>845</v>
      </c>
      <c r="BQ798" s="788" t="s">
        <v>845</v>
      </c>
      <c r="BR798" s="789" t="s">
        <v>845</v>
      </c>
      <c r="BS798" s="330">
        <f t="shared" si="39"/>
        <v>6.074537019</v>
      </c>
      <c r="BT798" s="331">
        <f t="shared" si="40"/>
        <v>15.44344521</v>
      </c>
      <c r="BU798" s="331"/>
      <c r="BV798" s="333"/>
      <c r="BW798" s="330"/>
      <c r="BX798" s="331"/>
      <c r="BY798" s="331" t="b">
        <f t="shared" si="41"/>
        <v>0</v>
      </c>
      <c r="BZ798" s="340"/>
      <c r="CA798" s="316"/>
      <c r="CB798" s="318"/>
      <c r="CC798" s="319" t="s">
        <v>846</v>
      </c>
      <c r="CD798" s="319" t="s">
        <v>846</v>
      </c>
      <c r="CE798" s="319" t="s">
        <v>846</v>
      </c>
      <c r="CF798" s="319" t="s">
        <v>846</v>
      </c>
      <c r="CG798" s="319" t="s">
        <v>846</v>
      </c>
      <c r="CH798" s="318"/>
      <c r="CI798" s="338"/>
      <c r="CJ798" s="341"/>
      <c r="CK798" s="342">
        <f t="shared" si="18"/>
        <v>5.14781507</v>
      </c>
      <c r="CL798" s="333">
        <f t="shared" si="19"/>
        <v>25.34423011</v>
      </c>
      <c r="CM798" s="616"/>
      <c r="CN798" s="617"/>
      <c r="CO798" s="617"/>
      <c r="CP798" s="617"/>
    </row>
    <row r="799">
      <c r="A799" s="794"/>
      <c r="B799" s="462" t="s">
        <v>1341</v>
      </c>
      <c r="C799" s="417">
        <v>44288.0</v>
      </c>
      <c r="D799" s="318"/>
      <c r="E799" s="319">
        <v>29.0</v>
      </c>
      <c r="F799" s="324" t="s">
        <v>1413</v>
      </c>
      <c r="G799" s="321">
        <v>0.6072916666666667</v>
      </c>
      <c r="H799" s="323">
        <v>0.6074652777777778</v>
      </c>
      <c r="I799" s="323"/>
      <c r="J799" s="323"/>
      <c r="K799" s="323">
        <v>0.6086805555555556</v>
      </c>
      <c r="L799" s="323">
        <v>0.0012152777777777778</v>
      </c>
      <c r="M799" s="326" t="s">
        <v>358</v>
      </c>
      <c r="N799" s="324" t="s">
        <v>187</v>
      </c>
      <c r="O799" s="419" t="s">
        <v>203</v>
      </c>
      <c r="P799" s="319" t="s">
        <v>227</v>
      </c>
      <c r="Q799" s="318"/>
      <c r="R799" s="326">
        <v>15.2</v>
      </c>
      <c r="S799" s="319">
        <v>3.4</v>
      </c>
      <c r="T799" s="324">
        <v>1.9</v>
      </c>
      <c r="U799" s="319">
        <v>2.0</v>
      </c>
      <c r="V799" s="319"/>
      <c r="W799" s="319"/>
      <c r="X799" s="319"/>
      <c r="Y799" s="319"/>
      <c r="Z799" s="319" t="s">
        <v>357</v>
      </c>
      <c r="AA799" s="319"/>
      <c r="AB799" s="319" t="s">
        <v>1412</v>
      </c>
      <c r="AC799" s="327">
        <v>1.8</v>
      </c>
      <c r="AD799" s="319"/>
      <c r="AE799" s="319"/>
      <c r="AF799" s="319"/>
      <c r="AG799" s="319"/>
      <c r="AH799" s="319"/>
      <c r="AI799" s="319"/>
      <c r="AJ799" s="327"/>
      <c r="AK799" s="328"/>
      <c r="AL799" s="319"/>
      <c r="AM799" s="319"/>
      <c r="AN799" s="319"/>
      <c r="AO799" s="319"/>
      <c r="AP799" s="319"/>
      <c r="AQ799" s="319"/>
      <c r="AR799" s="319"/>
      <c r="AS799" s="327"/>
      <c r="AT799" s="461" t="s">
        <v>182</v>
      </c>
      <c r="AU799" s="324" t="s">
        <v>845</v>
      </c>
      <c r="AV799" s="330">
        <f>SQRT(($R799-Infrastructure!J$3)^2+($S799-Infrastructure!K$3)^2)</f>
        <v>29.84124662</v>
      </c>
      <c r="AW799" s="331">
        <f>SQRT(($R799-Infrastructure!J$4)^2+($S799-Infrastructure!K$4)^2)</f>
        <v>21.1567956</v>
      </c>
      <c r="AX799" s="331">
        <f>SQRT(($R799-Infrastructure!J$5)^2+($S799-Infrastructure!K$5)^2)</f>
        <v>15.59294712</v>
      </c>
      <c r="AY799" s="331">
        <f>SQRT(($R799-Infrastructure!J$6)^2+($S799-Infrastructure!K$6)^2)</f>
        <v>5.968249325</v>
      </c>
      <c r="AZ799" s="331">
        <f>SQRT(($R799-Infrastructure!J$7)^2+($S799-Infrastructure!K$7)^2)</f>
        <v>6.140032573</v>
      </c>
      <c r="BA799" s="331">
        <f>SQRT(($R799-Infrastructure!J$8)^2+($S799-Infrastructure!K$8)^2)</f>
        <v>15.21906699</v>
      </c>
      <c r="BB799" s="331">
        <f>SQRT(($R799-Infrastructure!J$9)^2+($S799-Infrastructure!K$9)^2)</f>
        <v>24.85819784</v>
      </c>
      <c r="BC799" s="331">
        <f>SQRT(($R799-Infrastructure!J$10)^2+($S799-Infrastructure!K$10)^2)</f>
        <v>27.37882393</v>
      </c>
      <c r="BD799" s="318"/>
      <c r="BE799" s="332"/>
      <c r="BF799" s="330">
        <f t="shared" si="14"/>
        <v>5.968249325</v>
      </c>
      <c r="BG799" s="333">
        <f t="shared" si="15"/>
        <v>29.84124662</v>
      </c>
      <c r="BH799" s="334"/>
      <c r="BI799" s="462" t="s">
        <v>845</v>
      </c>
      <c r="BJ799" s="319" t="s">
        <v>845</v>
      </c>
      <c r="BK799" s="319" t="s">
        <v>846</v>
      </c>
      <c r="BL799" s="788" t="s">
        <v>845</v>
      </c>
      <c r="BM799" s="319" t="s">
        <v>846</v>
      </c>
      <c r="BN799" s="319" t="s">
        <v>846</v>
      </c>
      <c r="BO799" s="319" t="s">
        <v>845</v>
      </c>
      <c r="BP799" s="319" t="s">
        <v>846</v>
      </c>
      <c r="BQ799" s="788" t="s">
        <v>845</v>
      </c>
      <c r="BR799" s="789" t="s">
        <v>845</v>
      </c>
      <c r="BS799" s="330">
        <f t="shared" si="39"/>
        <v>6.140032573</v>
      </c>
      <c r="BT799" s="331">
        <f t="shared" si="40"/>
        <v>27.37882393</v>
      </c>
      <c r="BU799" s="331"/>
      <c r="BV799" s="333"/>
      <c r="BW799" s="330"/>
      <c r="BX799" s="331"/>
      <c r="BY799" s="331" t="b">
        <f t="shared" si="41"/>
        <v>0</v>
      </c>
      <c r="BZ799" s="340"/>
      <c r="CA799" s="316"/>
      <c r="CB799" s="318"/>
      <c r="CC799" s="319" t="s">
        <v>846</v>
      </c>
      <c r="CD799" s="319" t="s">
        <v>846</v>
      </c>
      <c r="CE799" s="319" t="s">
        <v>846</v>
      </c>
      <c r="CF799" s="319" t="s">
        <v>846</v>
      </c>
      <c r="CG799" s="318"/>
      <c r="CH799" s="319" t="s">
        <v>846</v>
      </c>
      <c r="CI799" s="338"/>
      <c r="CJ799" s="341"/>
      <c r="CK799" s="342">
        <f t="shared" si="18"/>
        <v>5.968249325</v>
      </c>
      <c r="CL799" s="333">
        <f t="shared" si="19"/>
        <v>27.37882393</v>
      </c>
      <c r="CM799" s="616"/>
      <c r="CN799" s="617"/>
      <c r="CO799" s="617"/>
      <c r="CP799" s="617"/>
    </row>
    <row r="800">
      <c r="A800" s="794"/>
      <c r="B800" s="462" t="s">
        <v>1341</v>
      </c>
      <c r="C800" s="417">
        <v>44288.0</v>
      </c>
      <c r="D800" s="318"/>
      <c r="E800" s="319">
        <v>30.0</v>
      </c>
      <c r="F800" s="324" t="s">
        <v>1414</v>
      </c>
      <c r="G800" s="321">
        <v>0.6095486111111111</v>
      </c>
      <c r="H800" s="323">
        <v>0.6098958333333333</v>
      </c>
      <c r="I800" s="323"/>
      <c r="J800" s="323"/>
      <c r="K800" s="323">
        <v>0.6118055555555556</v>
      </c>
      <c r="L800" s="323">
        <v>0.0019097222222222222</v>
      </c>
      <c r="M800" s="326" t="s">
        <v>358</v>
      </c>
      <c r="N800" s="324" t="s">
        <v>187</v>
      </c>
      <c r="O800" s="419" t="s">
        <v>207</v>
      </c>
      <c r="P800" s="319" t="s">
        <v>219</v>
      </c>
      <c r="Q800" s="318"/>
      <c r="R800" s="326">
        <v>25.9</v>
      </c>
      <c r="S800" s="319">
        <v>12.4</v>
      </c>
      <c r="T800" s="324">
        <v>1.7</v>
      </c>
      <c r="U800" s="319">
        <v>8.0</v>
      </c>
      <c r="V800" s="319"/>
      <c r="W800" s="319"/>
      <c r="X800" s="319"/>
      <c r="Y800" s="319"/>
      <c r="Z800" s="319" t="s">
        <v>374</v>
      </c>
      <c r="AA800" s="319"/>
      <c r="AB800" s="319" t="s">
        <v>1175</v>
      </c>
      <c r="AC800" s="327">
        <v>8.0</v>
      </c>
      <c r="AD800" s="319"/>
      <c r="AE800" s="319"/>
      <c r="AF800" s="319"/>
      <c r="AG800" s="319"/>
      <c r="AH800" s="319"/>
      <c r="AI800" s="319"/>
      <c r="AJ800" s="327"/>
      <c r="AK800" s="328"/>
      <c r="AL800" s="319"/>
      <c r="AM800" s="319"/>
      <c r="AN800" s="319"/>
      <c r="AO800" s="319"/>
      <c r="AP800" s="319"/>
      <c r="AQ800" s="319"/>
      <c r="AR800" s="319"/>
      <c r="AS800" s="327"/>
      <c r="AT800" s="461" t="s">
        <v>182</v>
      </c>
      <c r="AU800" s="324" t="s">
        <v>845</v>
      </c>
      <c r="AV800" s="330">
        <f>SQRT(($R800-Infrastructure!J$3)^2+($S800-Infrastructure!K$3)^2)</f>
        <v>30.96271952</v>
      </c>
      <c r="AW800" s="331">
        <f>SQRT(($R800-Infrastructure!J$4)^2+($S800-Infrastructure!K$4)^2)</f>
        <v>26.75070093</v>
      </c>
      <c r="AX800" s="331">
        <f>SQRT(($R800-Infrastructure!J$5)^2+($S800-Infrastructure!K$5)^2)</f>
        <v>27.19797787</v>
      </c>
      <c r="AY800" s="331">
        <f>SQRT(($R800-Infrastructure!J$6)^2+($S800-Infrastructure!K$6)^2)</f>
        <v>19.901005</v>
      </c>
      <c r="AZ800" s="331">
        <f>SQRT(($R800-Infrastructure!J$7)^2+($S800-Infrastructure!K$7)^2)</f>
        <v>13.25028302</v>
      </c>
      <c r="BA800" s="331">
        <f>SQRT(($R800-Infrastructure!J$8)^2+($S800-Infrastructure!K$8)^2)</f>
        <v>12.8082005</v>
      </c>
      <c r="BB800" s="331">
        <f>SQRT(($R800-Infrastructure!J$9)^2+($S800-Infrastructure!K$9)^2)</f>
        <v>15.87765726</v>
      </c>
      <c r="BC800" s="331">
        <f>SQRT(($R800-Infrastructure!J$10)^2+($S800-Infrastructure!K$10)^2)</f>
        <v>14.33771251</v>
      </c>
      <c r="BD800" s="318"/>
      <c r="BE800" s="332"/>
      <c r="BF800" s="330">
        <f t="shared" si="14"/>
        <v>12.8082005</v>
      </c>
      <c r="BG800" s="333">
        <f t="shared" si="15"/>
        <v>30.96271952</v>
      </c>
      <c r="BH800" s="334"/>
      <c r="BI800" s="462" t="s">
        <v>845</v>
      </c>
      <c r="BJ800" s="319" t="s">
        <v>845</v>
      </c>
      <c r="BK800" s="319" t="s">
        <v>845</v>
      </c>
      <c r="BL800" s="788" t="s">
        <v>845</v>
      </c>
      <c r="BM800" s="319" t="s">
        <v>846</v>
      </c>
      <c r="BN800" s="319" t="s">
        <v>846</v>
      </c>
      <c r="BO800" s="319" t="s">
        <v>845</v>
      </c>
      <c r="BP800" s="319" t="s">
        <v>846</v>
      </c>
      <c r="BQ800" s="788" t="s">
        <v>845</v>
      </c>
      <c r="BR800" s="789" t="s">
        <v>845</v>
      </c>
      <c r="BS800" s="330">
        <f t="shared" si="39"/>
        <v>12.8082005</v>
      </c>
      <c r="BT800" s="331">
        <f t="shared" si="40"/>
        <v>14.33771251</v>
      </c>
      <c r="BU800" s="331"/>
      <c r="BV800" s="333"/>
      <c r="BW800" s="330"/>
      <c r="BX800" s="331"/>
      <c r="BY800" s="331" t="b">
        <f t="shared" si="41"/>
        <v>0</v>
      </c>
      <c r="BZ800" s="340"/>
      <c r="CA800" s="316"/>
      <c r="CB800" s="318"/>
      <c r="CC800" s="318"/>
      <c r="CD800" s="319" t="s">
        <v>846</v>
      </c>
      <c r="CE800" s="319" t="s">
        <v>846</v>
      </c>
      <c r="CF800" s="319" t="s">
        <v>846</v>
      </c>
      <c r="CG800" s="319" t="s">
        <v>846</v>
      </c>
      <c r="CH800" s="319" t="s">
        <v>846</v>
      </c>
      <c r="CI800" s="338"/>
      <c r="CJ800" s="341"/>
      <c r="CK800" s="342">
        <f t="shared" si="18"/>
        <v>12.8082005</v>
      </c>
      <c r="CL800" s="333">
        <f t="shared" si="19"/>
        <v>19.901005</v>
      </c>
      <c r="CM800" s="616"/>
      <c r="CN800" s="617"/>
      <c r="CO800" s="617"/>
      <c r="CP800" s="617"/>
    </row>
    <row r="801">
      <c r="A801" s="794"/>
      <c r="B801" s="462" t="s">
        <v>1341</v>
      </c>
      <c r="C801" s="417">
        <v>44288.0</v>
      </c>
      <c r="D801" s="318"/>
      <c r="E801" s="319">
        <v>31.0</v>
      </c>
      <c r="F801" s="324" t="s">
        <v>1415</v>
      </c>
      <c r="G801" s="321">
        <v>0.6140046296296297</v>
      </c>
      <c r="H801" s="323">
        <v>0.6144097222222222</v>
      </c>
      <c r="I801" s="323"/>
      <c r="J801" s="323"/>
      <c r="K801" s="323">
        <v>0.6184027777777777</v>
      </c>
      <c r="L801" s="323">
        <v>0.003993055555555555</v>
      </c>
      <c r="M801" s="326" t="s">
        <v>358</v>
      </c>
      <c r="N801" s="324" t="s">
        <v>187</v>
      </c>
      <c r="O801" s="419" t="s">
        <v>207</v>
      </c>
      <c r="P801" s="319" t="s">
        <v>221</v>
      </c>
      <c r="Q801" s="318"/>
      <c r="R801" s="326">
        <v>26.0</v>
      </c>
      <c r="S801" s="319">
        <v>14.4</v>
      </c>
      <c r="T801" s="324">
        <v>1.0</v>
      </c>
      <c r="U801" s="319">
        <v>7.0</v>
      </c>
      <c r="V801" s="319"/>
      <c r="W801" s="319"/>
      <c r="X801" s="319"/>
      <c r="Y801" s="319"/>
      <c r="Z801" s="319" t="s">
        <v>374</v>
      </c>
      <c r="AA801" s="319"/>
      <c r="AB801" s="319" t="s">
        <v>1241</v>
      </c>
      <c r="AC801" s="327">
        <v>4.0</v>
      </c>
      <c r="AD801" s="319"/>
      <c r="AE801" s="319"/>
      <c r="AF801" s="319"/>
      <c r="AG801" s="319"/>
      <c r="AH801" s="319"/>
      <c r="AI801" s="319"/>
      <c r="AJ801" s="327"/>
      <c r="AK801" s="328"/>
      <c r="AL801" s="319"/>
      <c r="AM801" s="319"/>
      <c r="AN801" s="319"/>
      <c r="AO801" s="319"/>
      <c r="AP801" s="319"/>
      <c r="AQ801" s="319"/>
      <c r="AR801" s="319"/>
      <c r="AS801" s="327"/>
      <c r="AT801" s="461" t="s">
        <v>182</v>
      </c>
      <c r="AU801" s="324" t="s">
        <v>845</v>
      </c>
      <c r="AV801" s="330">
        <f>SQRT(($R801-Infrastructure!J$3)^2+($S801-Infrastructure!K$3)^2)</f>
        <v>30.03231593</v>
      </c>
      <c r="AW801" s="331">
        <f>SQRT(($R801-Infrastructure!J$4)^2+($S801-Infrastructure!K$4)^2)</f>
        <v>26.51886121</v>
      </c>
      <c r="AX801" s="331">
        <f>SQRT(($R801-Infrastructure!J$5)^2+($S801-Infrastructure!K$5)^2)</f>
        <v>27.89587783</v>
      </c>
      <c r="AY801" s="331">
        <f>SQRT(($R801-Infrastructure!J$6)^2+($S801-Infrastructure!K$6)^2)</f>
        <v>21.2513529</v>
      </c>
      <c r="AZ801" s="331">
        <f>SQRT(($R801-Infrastructure!J$7)^2+($S801-Infrastructure!K$7)^2)</f>
        <v>15.13472828</v>
      </c>
      <c r="BA801" s="331">
        <f>SQRT(($R801-Infrastructure!J$8)^2+($S801-Infrastructure!K$8)^2)</f>
        <v>14.6840049</v>
      </c>
      <c r="BB801" s="331">
        <f>SQRT(($R801-Infrastructure!J$9)^2+($S801-Infrastructure!K$9)^2)</f>
        <v>16.80743883</v>
      </c>
      <c r="BC801" s="331">
        <f>SQRT(($R801-Infrastructure!J$10)^2+($S801-Infrastructure!K$10)^2)</f>
        <v>14.01285124</v>
      </c>
      <c r="BD801" s="318"/>
      <c r="BE801" s="332"/>
      <c r="BF801" s="330">
        <f t="shared" si="14"/>
        <v>14.01285124</v>
      </c>
      <c r="BG801" s="333">
        <f t="shared" si="15"/>
        <v>30.03231593</v>
      </c>
      <c r="BH801" s="334"/>
      <c r="BI801" s="462" t="s">
        <v>846</v>
      </c>
      <c r="BJ801" s="319" t="s">
        <v>846</v>
      </c>
      <c r="BK801" s="319" t="s">
        <v>845</v>
      </c>
      <c r="BL801" s="788" t="s">
        <v>845</v>
      </c>
      <c r="BM801" s="319" t="s">
        <v>846</v>
      </c>
      <c r="BN801" s="319" t="s">
        <v>846</v>
      </c>
      <c r="BO801" s="319" t="s">
        <v>845</v>
      </c>
      <c r="BP801" s="319" t="s">
        <v>846</v>
      </c>
      <c r="BQ801" s="788" t="s">
        <v>845</v>
      </c>
      <c r="BR801" s="789" t="s">
        <v>845</v>
      </c>
      <c r="BS801" s="330">
        <f t="shared" si="39"/>
        <v>14.01285124</v>
      </c>
      <c r="BT801" s="331">
        <f t="shared" si="40"/>
        <v>30.03231593</v>
      </c>
      <c r="BU801" s="331"/>
      <c r="BV801" s="333"/>
      <c r="BW801" s="614">
        <v>17.6</v>
      </c>
      <c r="BX801" s="615">
        <v>9.7</v>
      </c>
      <c r="BY801" s="331">
        <f t="shared" si="41"/>
        <v>9.625487001</v>
      </c>
      <c r="BZ801" s="340"/>
      <c r="CA801" s="462" t="s">
        <v>846</v>
      </c>
      <c r="CB801" s="319" t="s">
        <v>846</v>
      </c>
      <c r="CC801" s="319" t="s">
        <v>846</v>
      </c>
      <c r="CD801" s="319" t="s">
        <v>846</v>
      </c>
      <c r="CE801" s="319" t="s">
        <v>846</v>
      </c>
      <c r="CF801" s="319" t="s">
        <v>846</v>
      </c>
      <c r="CG801" s="319" t="s">
        <v>846</v>
      </c>
      <c r="CH801" s="319" t="s">
        <v>846</v>
      </c>
      <c r="CI801" s="338"/>
      <c r="CJ801" s="341"/>
      <c r="CK801" s="342">
        <f t="shared" si="18"/>
        <v>14.01285124</v>
      </c>
      <c r="CL801" s="333">
        <f t="shared" si="19"/>
        <v>30.03231593</v>
      </c>
      <c r="CM801" s="616"/>
      <c r="CN801" s="617"/>
      <c r="CO801" s="617"/>
      <c r="CP801" s="617"/>
    </row>
    <row r="802">
      <c r="A802" s="794"/>
      <c r="B802" s="462" t="s">
        <v>1341</v>
      </c>
      <c r="C802" s="417">
        <v>44288.0</v>
      </c>
      <c r="D802" s="318"/>
      <c r="E802" s="319">
        <v>32.0</v>
      </c>
      <c r="F802" s="324" t="s">
        <v>1416</v>
      </c>
      <c r="G802" s="321">
        <v>0.6204861111111111</v>
      </c>
      <c r="H802" s="323">
        <v>0.6208333333333333</v>
      </c>
      <c r="I802" s="323"/>
      <c r="J802" s="323"/>
      <c r="K802" s="323">
        <v>0.6243055555555556</v>
      </c>
      <c r="L802" s="323">
        <v>0.003472222222222222</v>
      </c>
      <c r="M802" s="326" t="s">
        <v>358</v>
      </c>
      <c r="N802" s="324" t="s">
        <v>187</v>
      </c>
      <c r="O802" s="419" t="s">
        <v>207</v>
      </c>
      <c r="P802" s="319" t="s">
        <v>226</v>
      </c>
      <c r="Q802" s="318"/>
      <c r="R802" s="326">
        <v>26.1</v>
      </c>
      <c r="S802" s="319">
        <v>13.5</v>
      </c>
      <c r="T802" s="324">
        <v>1.3</v>
      </c>
      <c r="U802" s="319">
        <v>5.0</v>
      </c>
      <c r="V802" s="319"/>
      <c r="W802" s="319"/>
      <c r="X802" s="319"/>
      <c r="Y802" s="319"/>
      <c r="Z802" s="319" t="s">
        <v>374</v>
      </c>
      <c r="AA802" s="319"/>
      <c r="AB802" s="319" t="s">
        <v>1241</v>
      </c>
      <c r="AC802" s="327">
        <v>4.0</v>
      </c>
      <c r="AD802" s="319"/>
      <c r="AE802" s="319"/>
      <c r="AF802" s="319"/>
      <c r="AG802" s="319"/>
      <c r="AH802" s="319"/>
      <c r="AI802" s="319"/>
      <c r="AJ802" s="327"/>
      <c r="AK802" s="328"/>
      <c r="AL802" s="319"/>
      <c r="AM802" s="319"/>
      <c r="AN802" s="319"/>
      <c r="AO802" s="319"/>
      <c r="AP802" s="319"/>
      <c r="AQ802" s="319"/>
      <c r="AR802" s="319"/>
      <c r="AS802" s="327"/>
      <c r="AT802" s="461" t="s">
        <v>182</v>
      </c>
      <c r="AU802" s="324" t="s">
        <v>845</v>
      </c>
      <c r="AV802" s="330">
        <f>SQRT(($R802-Infrastructure!J$3)^2+($S802-Infrastructure!K$3)^2)</f>
        <v>30.56337678</v>
      </c>
      <c r="AW802" s="331">
        <f>SQRT(($R802-Infrastructure!J$4)^2+($S802-Infrastructure!K$4)^2)</f>
        <v>26.74789711</v>
      </c>
      <c r="AX802" s="331">
        <f>SQRT(($R802-Infrastructure!J$5)^2+($S802-Infrastructure!K$5)^2)</f>
        <v>27.70415131</v>
      </c>
      <c r="AY802" s="331">
        <f>SQRT(($R802-Infrastructure!J$6)^2+($S802-Infrastructure!K$6)^2)</f>
        <v>20.74222746</v>
      </c>
      <c r="AZ802" s="331">
        <f>SQRT(($R802-Infrastructure!J$7)^2+($S802-Infrastructure!K$7)^2)</f>
        <v>14.33875866</v>
      </c>
      <c r="BA802" s="331">
        <f>SQRT(($R802-Infrastructure!J$8)^2+($S802-Infrastructure!K$8)^2)</f>
        <v>13.79275172</v>
      </c>
      <c r="BB802" s="331">
        <f>SQRT(($R802-Infrastructure!J$9)^2+($S802-Infrastructure!K$9)^2)</f>
        <v>16.24099751</v>
      </c>
      <c r="BC802" s="331">
        <f>SQRT(($R802-Infrastructure!J$10)^2+($S802-Infrastructure!K$10)^2)</f>
        <v>13.98070098</v>
      </c>
      <c r="BD802" s="318"/>
      <c r="BE802" s="332"/>
      <c r="BF802" s="330">
        <f t="shared" si="14"/>
        <v>13.79275172</v>
      </c>
      <c r="BG802" s="333">
        <f t="shared" si="15"/>
        <v>30.56337678</v>
      </c>
      <c r="BH802" s="334"/>
      <c r="BI802" s="462" t="s">
        <v>846</v>
      </c>
      <c r="BJ802" s="319" t="s">
        <v>846</v>
      </c>
      <c r="BK802" s="319" t="s">
        <v>846</v>
      </c>
      <c r="BL802" s="788" t="s">
        <v>845</v>
      </c>
      <c r="BM802" s="319" t="s">
        <v>846</v>
      </c>
      <c r="BN802" s="319" t="s">
        <v>846</v>
      </c>
      <c r="BO802" s="319" t="s">
        <v>845</v>
      </c>
      <c r="BP802" s="319" t="s">
        <v>846</v>
      </c>
      <c r="BQ802" s="788" t="s">
        <v>845</v>
      </c>
      <c r="BR802" s="789" t="s">
        <v>845</v>
      </c>
      <c r="BS802" s="330">
        <f t="shared" si="39"/>
        <v>13.79275172</v>
      </c>
      <c r="BT802" s="331">
        <f t="shared" si="40"/>
        <v>30.56337678</v>
      </c>
      <c r="BU802" s="331"/>
      <c r="BV802" s="333"/>
      <c r="BW802" s="614">
        <v>18.7</v>
      </c>
      <c r="BX802" s="615">
        <v>8.9</v>
      </c>
      <c r="BY802" s="331">
        <f t="shared" si="41"/>
        <v>8.713208364</v>
      </c>
      <c r="BZ802" s="340"/>
      <c r="CA802" s="462" t="s">
        <v>846</v>
      </c>
      <c r="CB802" s="319" t="s">
        <v>846</v>
      </c>
      <c r="CC802" s="318"/>
      <c r="CD802" s="319" t="s">
        <v>846</v>
      </c>
      <c r="CE802" s="319" t="s">
        <v>846</v>
      </c>
      <c r="CF802" s="319" t="s">
        <v>846</v>
      </c>
      <c r="CG802" s="319" t="s">
        <v>846</v>
      </c>
      <c r="CH802" s="319" t="s">
        <v>846</v>
      </c>
      <c r="CI802" s="338"/>
      <c r="CJ802" s="341"/>
      <c r="CK802" s="342">
        <f t="shared" si="18"/>
        <v>13.79275172</v>
      </c>
      <c r="CL802" s="333">
        <f t="shared" si="19"/>
        <v>30.56337678</v>
      </c>
      <c r="CM802" s="616"/>
      <c r="CN802" s="617"/>
      <c r="CO802" s="617"/>
      <c r="CP802" s="617"/>
    </row>
    <row r="803">
      <c r="A803" s="794"/>
      <c r="B803" s="462" t="s">
        <v>1341</v>
      </c>
      <c r="C803" s="417">
        <v>44288.0</v>
      </c>
      <c r="D803" s="318"/>
      <c r="E803" s="319">
        <v>33.0</v>
      </c>
      <c r="F803" s="324" t="s">
        <v>1417</v>
      </c>
      <c r="G803" s="321">
        <v>0.6256944444444444</v>
      </c>
      <c r="H803" s="323">
        <v>0.6264467592592593</v>
      </c>
      <c r="I803" s="323"/>
      <c r="J803" s="323"/>
      <c r="K803" s="323">
        <v>0.6283564814814815</v>
      </c>
      <c r="L803" s="323">
        <v>0.0019097222222222222</v>
      </c>
      <c r="M803" s="326" t="s">
        <v>358</v>
      </c>
      <c r="N803" s="324" t="s">
        <v>187</v>
      </c>
      <c r="O803" s="419" t="s">
        <v>207</v>
      </c>
      <c r="P803" s="319" t="s">
        <v>221</v>
      </c>
      <c r="Q803" s="318"/>
      <c r="R803" s="326">
        <v>26.0</v>
      </c>
      <c r="S803" s="319">
        <v>14.4</v>
      </c>
      <c r="T803" s="324">
        <v>1.0</v>
      </c>
      <c r="U803" s="319">
        <v>2.0</v>
      </c>
      <c r="V803" s="319"/>
      <c r="W803" s="319"/>
      <c r="X803" s="319"/>
      <c r="Y803" s="319"/>
      <c r="Z803" s="319" t="s">
        <v>374</v>
      </c>
      <c r="AA803" s="319"/>
      <c r="AB803" s="319" t="s">
        <v>1256</v>
      </c>
      <c r="AC803" s="327">
        <v>2.7</v>
      </c>
      <c r="AD803" s="319"/>
      <c r="AE803" s="319"/>
      <c r="AF803" s="319"/>
      <c r="AG803" s="319"/>
      <c r="AH803" s="319"/>
      <c r="AI803" s="319"/>
      <c r="AJ803" s="327"/>
      <c r="AK803" s="328"/>
      <c r="AL803" s="319"/>
      <c r="AM803" s="319"/>
      <c r="AN803" s="319"/>
      <c r="AO803" s="319"/>
      <c r="AP803" s="319"/>
      <c r="AQ803" s="319"/>
      <c r="AR803" s="319"/>
      <c r="AS803" s="327"/>
      <c r="AT803" s="461" t="s">
        <v>182</v>
      </c>
      <c r="AU803" s="324" t="s">
        <v>845</v>
      </c>
      <c r="AV803" s="330">
        <f>SQRT(($R803-Infrastructure!J$3)^2+($S803-Infrastructure!K$3)^2)</f>
        <v>30.03231593</v>
      </c>
      <c r="AW803" s="331">
        <f>SQRT(($R803-Infrastructure!J$4)^2+($S803-Infrastructure!K$4)^2)</f>
        <v>26.51886121</v>
      </c>
      <c r="AX803" s="331">
        <f>SQRT(($R803-Infrastructure!J$5)^2+($S803-Infrastructure!K$5)^2)</f>
        <v>27.89587783</v>
      </c>
      <c r="AY803" s="331">
        <f>SQRT(($R803-Infrastructure!J$6)^2+($S803-Infrastructure!K$6)^2)</f>
        <v>21.2513529</v>
      </c>
      <c r="AZ803" s="331">
        <f>SQRT(($R803-Infrastructure!J$7)^2+($S803-Infrastructure!K$7)^2)</f>
        <v>15.13472828</v>
      </c>
      <c r="BA803" s="331">
        <f>SQRT(($R803-Infrastructure!J$8)^2+($S803-Infrastructure!K$8)^2)</f>
        <v>14.6840049</v>
      </c>
      <c r="BB803" s="331">
        <f>SQRT(($R803-Infrastructure!J$9)^2+($S803-Infrastructure!K$9)^2)</f>
        <v>16.80743883</v>
      </c>
      <c r="BC803" s="331">
        <f>SQRT(($R803-Infrastructure!J$10)^2+($S803-Infrastructure!K$10)^2)</f>
        <v>14.01285124</v>
      </c>
      <c r="BD803" s="318"/>
      <c r="BE803" s="332"/>
      <c r="BF803" s="330">
        <f t="shared" si="14"/>
        <v>14.01285124</v>
      </c>
      <c r="BG803" s="333">
        <f t="shared" si="15"/>
        <v>30.03231593</v>
      </c>
      <c r="BH803" s="334"/>
      <c r="BI803" s="462" t="s">
        <v>846</v>
      </c>
      <c r="BJ803" s="319" t="s">
        <v>845</v>
      </c>
      <c r="BK803" s="319" t="s">
        <v>846</v>
      </c>
      <c r="BL803" s="788" t="s">
        <v>845</v>
      </c>
      <c r="BM803" s="319" t="s">
        <v>846</v>
      </c>
      <c r="BN803" s="319" t="s">
        <v>845</v>
      </c>
      <c r="BO803" s="319" t="s">
        <v>845</v>
      </c>
      <c r="BP803" s="319" t="s">
        <v>846</v>
      </c>
      <c r="BQ803" s="788" t="s">
        <v>845</v>
      </c>
      <c r="BR803" s="789" t="s">
        <v>845</v>
      </c>
      <c r="BS803" s="330">
        <f t="shared" si="39"/>
        <v>14.01285124</v>
      </c>
      <c r="BT803" s="331">
        <f t="shared" si="40"/>
        <v>30.03231593</v>
      </c>
      <c r="BU803" s="331"/>
      <c r="BV803" s="333"/>
      <c r="BW803" s="614">
        <v>16.4</v>
      </c>
      <c r="BX803" s="615">
        <v>14.8</v>
      </c>
      <c r="BY803" s="331">
        <f t="shared" si="41"/>
        <v>9.60832972</v>
      </c>
      <c r="BZ803" s="340"/>
      <c r="CA803" s="462" t="s">
        <v>846</v>
      </c>
      <c r="CB803" s="319" t="s">
        <v>846</v>
      </c>
      <c r="CC803" s="318"/>
      <c r="CD803" s="318"/>
      <c r="CE803" s="319" t="s">
        <v>846</v>
      </c>
      <c r="CF803" s="319" t="s">
        <v>846</v>
      </c>
      <c r="CG803" s="318"/>
      <c r="CH803" s="319" t="s">
        <v>846</v>
      </c>
      <c r="CI803" s="338"/>
      <c r="CJ803" s="341"/>
      <c r="CK803" s="342">
        <f t="shared" si="18"/>
        <v>14.01285124</v>
      </c>
      <c r="CL803" s="333">
        <f t="shared" si="19"/>
        <v>30.03231593</v>
      </c>
      <c r="CM803" s="616"/>
      <c r="CN803" s="617"/>
      <c r="CO803" s="617"/>
      <c r="CP803" s="617"/>
    </row>
    <row r="804">
      <c r="A804" s="794"/>
      <c r="B804" s="462" t="s">
        <v>1341</v>
      </c>
      <c r="C804" s="417">
        <v>44288.0</v>
      </c>
      <c r="D804" s="318"/>
      <c r="E804" s="319" t="s">
        <v>1327</v>
      </c>
      <c r="F804" s="324" t="s">
        <v>1418</v>
      </c>
      <c r="G804" s="321">
        <v>0.657349537037037</v>
      </c>
      <c r="H804" s="323">
        <v>0.6575231481481482</v>
      </c>
      <c r="I804" s="323"/>
      <c r="J804" s="323"/>
      <c r="K804" s="323">
        <v>0.6642361111111111</v>
      </c>
      <c r="L804" s="323">
        <v>0.006712962962962963</v>
      </c>
      <c r="M804" s="326" t="s">
        <v>358</v>
      </c>
      <c r="N804" s="324" t="s">
        <v>188</v>
      </c>
      <c r="O804" s="419" t="s">
        <v>378</v>
      </c>
      <c r="P804" s="319" t="s">
        <v>225</v>
      </c>
      <c r="Q804" s="319" t="s">
        <v>842</v>
      </c>
      <c r="R804" s="326">
        <v>22.4</v>
      </c>
      <c r="S804" s="319">
        <v>39.6</v>
      </c>
      <c r="T804" s="324">
        <v>1.0</v>
      </c>
      <c r="U804" s="319">
        <v>17.0</v>
      </c>
      <c r="V804" s="319"/>
      <c r="W804" s="319"/>
      <c r="X804" s="319"/>
      <c r="Y804" s="319"/>
      <c r="Z804" s="319" t="s">
        <v>1140</v>
      </c>
      <c r="AA804" s="319"/>
      <c r="AB804" s="319" t="s">
        <v>410</v>
      </c>
      <c r="AC804" s="327">
        <v>22.1</v>
      </c>
      <c r="AD804" s="319"/>
      <c r="AE804" s="319"/>
      <c r="AF804" s="319"/>
      <c r="AG804" s="319"/>
      <c r="AH804" s="319"/>
      <c r="AI804" s="319"/>
      <c r="AJ804" s="327"/>
      <c r="AK804" s="328"/>
      <c r="AL804" s="319"/>
      <c r="AM804" s="319"/>
      <c r="AN804" s="319"/>
      <c r="AO804" s="319"/>
      <c r="AP804" s="319"/>
      <c r="AQ804" s="319"/>
      <c r="AR804" s="319"/>
      <c r="AS804" s="327"/>
      <c r="AT804" s="461" t="s">
        <v>183</v>
      </c>
      <c r="AU804" s="324" t="s">
        <v>845</v>
      </c>
      <c r="AV804" s="330">
        <f>SQRT(($R804-Infrastructure!J$3)^2+($S804-Infrastructure!K$3)^2)</f>
        <v>25.09541791</v>
      </c>
      <c r="AW804" s="331">
        <f>SQRT(($R804-Infrastructure!J$4)^2+($S804-Infrastructure!K$4)^2)</f>
        <v>31.47268657</v>
      </c>
      <c r="AX804" s="331">
        <f>SQRT(($R804-Infrastructure!J$5)^2+($S804-Infrastructure!K$5)^2)</f>
        <v>41.29818398</v>
      </c>
      <c r="AY804" s="331">
        <f>SQRT(($R804-Infrastructure!J$6)^2+($S804-Infrastructure!K$6)^2)</f>
        <v>41.17984944</v>
      </c>
      <c r="AZ804" s="331">
        <f>SQRT(($R804-Infrastructure!J$7)^2+($S804-Infrastructure!K$7)^2)</f>
        <v>39.34590195</v>
      </c>
      <c r="BA804" s="331">
        <f>SQRT(($R804-Infrastructure!J$8)^2+($S804-Infrastructure!K$8)^2)</f>
        <v>40.04722213</v>
      </c>
      <c r="BB804" s="331">
        <f>SQRT(($R804-Infrastructure!J$9)^2+($S804-Infrastructure!K$9)^2)</f>
        <v>38.72996256</v>
      </c>
      <c r="BC804" s="331">
        <f>SQRT(($R804-Infrastructure!J$10)^2+($S804-Infrastructure!K$10)^2)</f>
        <v>30.24764454</v>
      </c>
      <c r="BD804" s="318"/>
      <c r="BE804" s="332"/>
      <c r="BF804" s="330">
        <f t="shared" si="14"/>
        <v>25.09541791</v>
      </c>
      <c r="BG804" s="333">
        <f t="shared" si="15"/>
        <v>41.29818398</v>
      </c>
      <c r="BH804" s="334"/>
      <c r="BI804" s="462" t="s">
        <v>846</v>
      </c>
      <c r="BJ804" s="319" t="s">
        <v>845</v>
      </c>
      <c r="BK804" s="319" t="s">
        <v>846</v>
      </c>
      <c r="BL804" s="788" t="s">
        <v>845</v>
      </c>
      <c r="BM804" s="319" t="s">
        <v>845</v>
      </c>
      <c r="BN804" s="319" t="s">
        <v>845</v>
      </c>
      <c r="BO804" s="319" t="s">
        <v>845</v>
      </c>
      <c r="BP804" s="319" t="s">
        <v>845</v>
      </c>
      <c r="BQ804" s="788" t="s">
        <v>845</v>
      </c>
      <c r="BR804" s="789" t="s">
        <v>845</v>
      </c>
      <c r="BS804" s="330">
        <f t="shared" si="39"/>
        <v>25.09541791</v>
      </c>
      <c r="BT804" s="331">
        <f t="shared" si="40"/>
        <v>41.29818398</v>
      </c>
      <c r="BU804" s="331"/>
      <c r="BV804" s="333"/>
      <c r="BW804" s="330"/>
      <c r="BX804" s="331"/>
      <c r="BY804" s="331" t="b">
        <f t="shared" si="41"/>
        <v>0</v>
      </c>
      <c r="BZ804" s="340"/>
      <c r="CA804" s="462" t="s">
        <v>846</v>
      </c>
      <c r="CB804" s="318"/>
      <c r="CC804" s="318"/>
      <c r="CD804" s="319" t="s">
        <v>846</v>
      </c>
      <c r="CE804" s="318"/>
      <c r="CF804" s="318"/>
      <c r="CG804" s="318"/>
      <c r="CH804" s="318"/>
      <c r="CI804" s="338"/>
      <c r="CJ804" s="341"/>
      <c r="CK804" s="342">
        <f t="shared" si="18"/>
        <v>25.09541791</v>
      </c>
      <c r="CL804" s="333">
        <f t="shared" si="19"/>
        <v>41.17984944</v>
      </c>
      <c r="CM804" s="795" t="s">
        <v>1419</v>
      </c>
      <c r="CN804" s="796"/>
      <c r="CO804" s="796"/>
      <c r="CP804" s="796"/>
    </row>
    <row r="805">
      <c r="A805" s="794"/>
      <c r="B805" s="462" t="s">
        <v>1341</v>
      </c>
      <c r="C805" s="417">
        <v>44288.0</v>
      </c>
      <c r="D805" s="318"/>
      <c r="E805" s="319" t="s">
        <v>1329</v>
      </c>
      <c r="F805" s="324" t="s">
        <v>1420</v>
      </c>
      <c r="G805" s="321">
        <v>0.6642361111111111</v>
      </c>
      <c r="H805" s="323">
        <v>0.6645833333333333</v>
      </c>
      <c r="I805" s="323"/>
      <c r="J805" s="323"/>
      <c r="K805" s="323">
        <v>0.6649305555555556</v>
      </c>
      <c r="L805" s="323">
        <v>3.4722222222222224E-4</v>
      </c>
      <c r="M805" s="326" t="s">
        <v>358</v>
      </c>
      <c r="N805" s="324" t="s">
        <v>188</v>
      </c>
      <c r="O805" s="419" t="s">
        <v>378</v>
      </c>
      <c r="P805" s="319" t="s">
        <v>225</v>
      </c>
      <c r="Q805" s="319" t="s">
        <v>842</v>
      </c>
      <c r="R805" s="326">
        <v>22.4</v>
      </c>
      <c r="S805" s="319">
        <v>39.6</v>
      </c>
      <c r="T805" s="324">
        <v>1.0</v>
      </c>
      <c r="U805" s="319">
        <v>16.0</v>
      </c>
      <c r="V805" s="319"/>
      <c r="W805" s="319"/>
      <c r="X805" s="319"/>
      <c r="Y805" s="319"/>
      <c r="Z805" s="319" t="s">
        <v>1140</v>
      </c>
      <c r="AA805" s="319"/>
      <c r="AB805" s="319" t="s">
        <v>410</v>
      </c>
      <c r="AC805" s="327">
        <v>22.1</v>
      </c>
      <c r="AD805" s="319"/>
      <c r="AE805" s="319"/>
      <c r="AF805" s="319"/>
      <c r="AG805" s="319"/>
      <c r="AH805" s="319"/>
      <c r="AI805" s="319"/>
      <c r="AJ805" s="327"/>
      <c r="AK805" s="328"/>
      <c r="AL805" s="319"/>
      <c r="AM805" s="319"/>
      <c r="AN805" s="319"/>
      <c r="AO805" s="319"/>
      <c r="AP805" s="319"/>
      <c r="AQ805" s="319"/>
      <c r="AR805" s="319"/>
      <c r="AS805" s="327"/>
      <c r="AT805" s="461" t="s">
        <v>183</v>
      </c>
      <c r="AU805" s="324" t="s">
        <v>845</v>
      </c>
      <c r="AV805" s="330">
        <f>SQRT(($R805-Infrastructure!J$3)^2+($S805-Infrastructure!K$3)^2)</f>
        <v>25.09541791</v>
      </c>
      <c r="AW805" s="331">
        <f>SQRT(($R805-Infrastructure!J$4)^2+($S805-Infrastructure!K$4)^2)</f>
        <v>31.47268657</v>
      </c>
      <c r="AX805" s="331">
        <f>SQRT(($R805-Infrastructure!J$5)^2+($S805-Infrastructure!K$5)^2)</f>
        <v>41.29818398</v>
      </c>
      <c r="AY805" s="331">
        <f>SQRT(($R805-Infrastructure!J$6)^2+($S805-Infrastructure!K$6)^2)</f>
        <v>41.17984944</v>
      </c>
      <c r="AZ805" s="331">
        <f>SQRT(($R805-Infrastructure!J$7)^2+($S805-Infrastructure!K$7)^2)</f>
        <v>39.34590195</v>
      </c>
      <c r="BA805" s="331">
        <f>SQRT(($R805-Infrastructure!J$8)^2+($S805-Infrastructure!K$8)^2)</f>
        <v>40.04722213</v>
      </c>
      <c r="BB805" s="331">
        <f>SQRT(($R805-Infrastructure!J$9)^2+($S805-Infrastructure!K$9)^2)</f>
        <v>38.72996256</v>
      </c>
      <c r="BC805" s="331">
        <f>SQRT(($R805-Infrastructure!J$10)^2+($S805-Infrastructure!K$10)^2)</f>
        <v>30.24764454</v>
      </c>
      <c r="BD805" s="318"/>
      <c r="BE805" s="332"/>
      <c r="BF805" s="330">
        <f t="shared" si="14"/>
        <v>25.09541791</v>
      </c>
      <c r="BG805" s="333">
        <f t="shared" si="15"/>
        <v>41.29818398</v>
      </c>
      <c r="BH805" s="334"/>
      <c r="BI805" s="462" t="s">
        <v>845</v>
      </c>
      <c r="BJ805" s="319" t="s">
        <v>845</v>
      </c>
      <c r="BK805" s="319" t="s">
        <v>845</v>
      </c>
      <c r="BL805" s="788" t="s">
        <v>845</v>
      </c>
      <c r="BM805" s="319" t="s">
        <v>845</v>
      </c>
      <c r="BN805" s="319" t="s">
        <v>845</v>
      </c>
      <c r="BO805" s="319" t="s">
        <v>845</v>
      </c>
      <c r="BP805" s="319" t="s">
        <v>845</v>
      </c>
      <c r="BQ805" s="788" t="s">
        <v>845</v>
      </c>
      <c r="BR805" s="789" t="s">
        <v>845</v>
      </c>
      <c r="BS805" s="330">
        <f t="shared" si="39"/>
        <v>0</v>
      </c>
      <c r="BT805" s="331">
        <f t="shared" si="40"/>
        <v>0</v>
      </c>
      <c r="BU805" s="331"/>
      <c r="BV805" s="333"/>
      <c r="BW805" s="330"/>
      <c r="BX805" s="331"/>
      <c r="BY805" s="331" t="b">
        <f t="shared" si="41"/>
        <v>0</v>
      </c>
      <c r="BZ805" s="340"/>
      <c r="CA805" s="462" t="s">
        <v>846</v>
      </c>
      <c r="CB805" s="318"/>
      <c r="CC805" s="318"/>
      <c r="CD805" s="319" t="s">
        <v>846</v>
      </c>
      <c r="CE805" s="318"/>
      <c r="CF805" s="318"/>
      <c r="CG805" s="318"/>
      <c r="CH805" s="318"/>
      <c r="CI805" s="338"/>
      <c r="CJ805" s="341"/>
      <c r="CK805" s="342">
        <f t="shared" si="18"/>
        <v>25.09541791</v>
      </c>
      <c r="CL805" s="333">
        <f t="shared" si="19"/>
        <v>41.17984944</v>
      </c>
      <c r="CM805" s="797"/>
      <c r="CN805" s="796"/>
      <c r="CO805" s="796"/>
      <c r="CP805" s="796"/>
    </row>
    <row r="806">
      <c r="A806" s="794"/>
      <c r="B806" s="462" t="s">
        <v>1341</v>
      </c>
      <c r="C806" s="417">
        <v>44288.0</v>
      </c>
      <c r="D806" s="318"/>
      <c r="E806" s="319" t="s">
        <v>1421</v>
      </c>
      <c r="F806" s="324" t="s">
        <v>1422</v>
      </c>
      <c r="G806" s="321">
        <v>0.6649305555555556</v>
      </c>
      <c r="H806" s="323">
        <v>0.6651041666666667</v>
      </c>
      <c r="I806" s="323"/>
      <c r="J806" s="323"/>
      <c r="K806" s="323">
        <v>0.6652777777777777</v>
      </c>
      <c r="L806" s="323">
        <v>1.7361111111111112E-4</v>
      </c>
      <c r="M806" s="326" t="s">
        <v>358</v>
      </c>
      <c r="N806" s="324" t="s">
        <v>188</v>
      </c>
      <c r="O806" s="419" t="s">
        <v>378</v>
      </c>
      <c r="P806" s="319" t="s">
        <v>225</v>
      </c>
      <c r="Q806" s="319" t="s">
        <v>842</v>
      </c>
      <c r="R806" s="326">
        <v>22.4</v>
      </c>
      <c r="S806" s="319">
        <v>39.6</v>
      </c>
      <c r="T806" s="324">
        <v>1.0</v>
      </c>
      <c r="U806" s="319">
        <v>15.0</v>
      </c>
      <c r="V806" s="319"/>
      <c r="W806" s="319"/>
      <c r="X806" s="319"/>
      <c r="Y806" s="319"/>
      <c r="Z806" s="319" t="s">
        <v>1140</v>
      </c>
      <c r="AA806" s="319"/>
      <c r="AB806" s="319" t="s">
        <v>410</v>
      </c>
      <c r="AC806" s="327">
        <v>22.1</v>
      </c>
      <c r="AD806" s="319"/>
      <c r="AE806" s="319"/>
      <c r="AF806" s="319"/>
      <c r="AG806" s="319"/>
      <c r="AH806" s="319"/>
      <c r="AI806" s="319"/>
      <c r="AJ806" s="327"/>
      <c r="AK806" s="328"/>
      <c r="AL806" s="319"/>
      <c r="AM806" s="319"/>
      <c r="AN806" s="319"/>
      <c r="AO806" s="319"/>
      <c r="AP806" s="319"/>
      <c r="AQ806" s="319"/>
      <c r="AR806" s="319"/>
      <c r="AS806" s="327"/>
      <c r="AT806" s="461" t="s">
        <v>183</v>
      </c>
      <c r="AU806" s="324" t="s">
        <v>845</v>
      </c>
      <c r="AV806" s="330">
        <f>SQRT(($R806-Infrastructure!J$3)^2+($S806-Infrastructure!K$3)^2)</f>
        <v>25.09541791</v>
      </c>
      <c r="AW806" s="331">
        <f>SQRT(($R806-Infrastructure!J$4)^2+($S806-Infrastructure!K$4)^2)</f>
        <v>31.47268657</v>
      </c>
      <c r="AX806" s="331">
        <f>SQRT(($R806-Infrastructure!J$5)^2+($S806-Infrastructure!K$5)^2)</f>
        <v>41.29818398</v>
      </c>
      <c r="AY806" s="331">
        <f>SQRT(($R806-Infrastructure!J$6)^2+($S806-Infrastructure!K$6)^2)</f>
        <v>41.17984944</v>
      </c>
      <c r="AZ806" s="331">
        <f>SQRT(($R806-Infrastructure!J$7)^2+($S806-Infrastructure!K$7)^2)</f>
        <v>39.34590195</v>
      </c>
      <c r="BA806" s="331">
        <f>SQRT(($R806-Infrastructure!J$8)^2+($S806-Infrastructure!K$8)^2)</f>
        <v>40.04722213</v>
      </c>
      <c r="BB806" s="331">
        <f>SQRT(($R806-Infrastructure!J$9)^2+($S806-Infrastructure!K$9)^2)</f>
        <v>38.72996256</v>
      </c>
      <c r="BC806" s="331">
        <f>SQRT(($R806-Infrastructure!J$10)^2+($S806-Infrastructure!K$10)^2)</f>
        <v>30.24764454</v>
      </c>
      <c r="BD806" s="318"/>
      <c r="BE806" s="332"/>
      <c r="BF806" s="330">
        <f t="shared" si="14"/>
        <v>25.09541791</v>
      </c>
      <c r="BG806" s="333">
        <f t="shared" si="15"/>
        <v>41.29818398</v>
      </c>
      <c r="BH806" s="334"/>
      <c r="BI806" s="462" t="s">
        <v>845</v>
      </c>
      <c r="BJ806" s="319" t="s">
        <v>845</v>
      </c>
      <c r="BK806" s="319" t="s">
        <v>845</v>
      </c>
      <c r="BL806" s="788" t="s">
        <v>845</v>
      </c>
      <c r="BM806" s="319" t="s">
        <v>845</v>
      </c>
      <c r="BN806" s="319" t="s">
        <v>845</v>
      </c>
      <c r="BO806" s="319" t="s">
        <v>845</v>
      </c>
      <c r="BP806" s="319" t="s">
        <v>845</v>
      </c>
      <c r="BQ806" s="788" t="s">
        <v>845</v>
      </c>
      <c r="BR806" s="789" t="s">
        <v>845</v>
      </c>
      <c r="BS806" s="330">
        <f t="shared" si="39"/>
        <v>0</v>
      </c>
      <c r="BT806" s="331">
        <f t="shared" si="40"/>
        <v>0</v>
      </c>
      <c r="BU806" s="331"/>
      <c r="BV806" s="333"/>
      <c r="BW806" s="330"/>
      <c r="BX806" s="331"/>
      <c r="BY806" s="331" t="b">
        <f t="shared" si="41"/>
        <v>0</v>
      </c>
      <c r="BZ806" s="340"/>
      <c r="CA806" s="462" t="s">
        <v>846</v>
      </c>
      <c r="CB806" s="318"/>
      <c r="CC806" s="318"/>
      <c r="CD806" s="319" t="s">
        <v>846</v>
      </c>
      <c r="CE806" s="318"/>
      <c r="CF806" s="318"/>
      <c r="CG806" s="318"/>
      <c r="CH806" s="318"/>
      <c r="CI806" s="338"/>
      <c r="CJ806" s="341"/>
      <c r="CK806" s="342">
        <f t="shared" si="18"/>
        <v>25.09541791</v>
      </c>
      <c r="CL806" s="333">
        <f t="shared" si="19"/>
        <v>41.17984944</v>
      </c>
      <c r="CM806" s="797"/>
      <c r="CN806" s="796"/>
      <c r="CO806" s="796"/>
      <c r="CP806" s="796"/>
    </row>
    <row r="807">
      <c r="A807" s="794"/>
      <c r="B807" s="462" t="s">
        <v>1341</v>
      </c>
      <c r="C807" s="417">
        <v>44288.0</v>
      </c>
      <c r="D807" s="318"/>
      <c r="E807" s="319" t="s">
        <v>1423</v>
      </c>
      <c r="F807" s="324" t="s">
        <v>1424</v>
      </c>
      <c r="G807" s="321">
        <v>0.6652777777777777</v>
      </c>
      <c r="H807" s="323">
        <v>0.665625</v>
      </c>
      <c r="I807" s="323"/>
      <c r="J807" s="323"/>
      <c r="K807" s="323">
        <v>0.6659722222222222</v>
      </c>
      <c r="L807" s="323">
        <v>3.4722222222222224E-4</v>
      </c>
      <c r="M807" s="326" t="s">
        <v>358</v>
      </c>
      <c r="N807" s="324" t="s">
        <v>188</v>
      </c>
      <c r="O807" s="419" t="s">
        <v>378</v>
      </c>
      <c r="P807" s="319" t="s">
        <v>225</v>
      </c>
      <c r="Q807" s="319" t="s">
        <v>842</v>
      </c>
      <c r="R807" s="326">
        <v>22.4</v>
      </c>
      <c r="S807" s="319">
        <v>39.6</v>
      </c>
      <c r="T807" s="324">
        <v>1.0</v>
      </c>
      <c r="U807" s="319">
        <v>14.0</v>
      </c>
      <c r="V807" s="319"/>
      <c r="W807" s="319"/>
      <c r="X807" s="319"/>
      <c r="Y807" s="319"/>
      <c r="Z807" s="319" t="s">
        <v>1140</v>
      </c>
      <c r="AA807" s="319"/>
      <c r="AB807" s="319" t="s">
        <v>410</v>
      </c>
      <c r="AC807" s="327">
        <v>22.1</v>
      </c>
      <c r="AD807" s="319"/>
      <c r="AE807" s="319"/>
      <c r="AF807" s="319"/>
      <c r="AG807" s="319"/>
      <c r="AH807" s="319"/>
      <c r="AI807" s="319"/>
      <c r="AJ807" s="327"/>
      <c r="AK807" s="328"/>
      <c r="AL807" s="319"/>
      <c r="AM807" s="319"/>
      <c r="AN807" s="319"/>
      <c r="AO807" s="319"/>
      <c r="AP807" s="319"/>
      <c r="AQ807" s="319"/>
      <c r="AR807" s="319"/>
      <c r="AS807" s="327"/>
      <c r="AT807" s="461" t="s">
        <v>183</v>
      </c>
      <c r="AU807" s="324" t="s">
        <v>845</v>
      </c>
      <c r="AV807" s="330">
        <f>SQRT(($R807-Infrastructure!J$3)^2+($S807-Infrastructure!K$3)^2)</f>
        <v>25.09541791</v>
      </c>
      <c r="AW807" s="331">
        <f>SQRT(($R807-Infrastructure!J$4)^2+($S807-Infrastructure!K$4)^2)</f>
        <v>31.47268657</v>
      </c>
      <c r="AX807" s="331">
        <f>SQRT(($R807-Infrastructure!J$5)^2+($S807-Infrastructure!K$5)^2)</f>
        <v>41.29818398</v>
      </c>
      <c r="AY807" s="331">
        <f>SQRT(($R807-Infrastructure!J$6)^2+($S807-Infrastructure!K$6)^2)</f>
        <v>41.17984944</v>
      </c>
      <c r="AZ807" s="331">
        <f>SQRT(($R807-Infrastructure!J$7)^2+($S807-Infrastructure!K$7)^2)</f>
        <v>39.34590195</v>
      </c>
      <c r="BA807" s="331">
        <f>SQRT(($R807-Infrastructure!J$8)^2+($S807-Infrastructure!K$8)^2)</f>
        <v>40.04722213</v>
      </c>
      <c r="BB807" s="331">
        <f>SQRT(($R807-Infrastructure!J$9)^2+($S807-Infrastructure!K$9)^2)</f>
        <v>38.72996256</v>
      </c>
      <c r="BC807" s="331">
        <f>SQRT(($R807-Infrastructure!J$10)^2+($S807-Infrastructure!K$10)^2)</f>
        <v>30.24764454</v>
      </c>
      <c r="BD807" s="318"/>
      <c r="BE807" s="332"/>
      <c r="BF807" s="330">
        <f t="shared" si="14"/>
        <v>25.09541791</v>
      </c>
      <c r="BG807" s="333">
        <f t="shared" si="15"/>
        <v>41.29818398</v>
      </c>
      <c r="BH807" s="334"/>
      <c r="BI807" s="462" t="s">
        <v>845</v>
      </c>
      <c r="BJ807" s="319" t="s">
        <v>845</v>
      </c>
      <c r="BK807" s="319" t="s">
        <v>845</v>
      </c>
      <c r="BL807" s="788" t="s">
        <v>845</v>
      </c>
      <c r="BM807" s="319" t="s">
        <v>845</v>
      </c>
      <c r="BN807" s="319" t="s">
        <v>845</v>
      </c>
      <c r="BO807" s="319" t="s">
        <v>845</v>
      </c>
      <c r="BP807" s="319" t="s">
        <v>845</v>
      </c>
      <c r="BQ807" s="788" t="s">
        <v>845</v>
      </c>
      <c r="BR807" s="789" t="s">
        <v>845</v>
      </c>
      <c r="BS807" s="330">
        <f t="shared" si="39"/>
        <v>0</v>
      </c>
      <c r="BT807" s="331">
        <f t="shared" si="40"/>
        <v>0</v>
      </c>
      <c r="BU807" s="331"/>
      <c r="BV807" s="333"/>
      <c r="BW807" s="330"/>
      <c r="BX807" s="331"/>
      <c r="BY807" s="331" t="b">
        <f t="shared" si="41"/>
        <v>0</v>
      </c>
      <c r="BZ807" s="340"/>
      <c r="CA807" s="462" t="s">
        <v>846</v>
      </c>
      <c r="CB807" s="318"/>
      <c r="CC807" s="318"/>
      <c r="CD807" s="319" t="s">
        <v>846</v>
      </c>
      <c r="CE807" s="318"/>
      <c r="CF807" s="318"/>
      <c r="CG807" s="318"/>
      <c r="CH807" s="318"/>
      <c r="CI807" s="338"/>
      <c r="CJ807" s="341"/>
      <c r="CK807" s="342">
        <f t="shared" si="18"/>
        <v>25.09541791</v>
      </c>
      <c r="CL807" s="333">
        <f t="shared" si="19"/>
        <v>41.17984944</v>
      </c>
      <c r="CM807" s="797"/>
      <c r="CN807" s="796"/>
      <c r="CO807" s="796"/>
      <c r="CP807" s="796"/>
    </row>
    <row r="808">
      <c r="A808" s="794"/>
      <c r="B808" s="462" t="s">
        <v>1341</v>
      </c>
      <c r="C808" s="417">
        <v>44288.0</v>
      </c>
      <c r="D808" s="318"/>
      <c r="E808" s="319" t="s">
        <v>1425</v>
      </c>
      <c r="F808" s="324" t="s">
        <v>1426</v>
      </c>
      <c r="G808" s="321">
        <v>0.6659722222222222</v>
      </c>
      <c r="H808" s="323">
        <v>0.6663194444444445</v>
      </c>
      <c r="I808" s="323"/>
      <c r="J808" s="323"/>
      <c r="K808" s="323">
        <v>0.6665509259259259</v>
      </c>
      <c r="L808" s="323">
        <v>2.314814814814815E-4</v>
      </c>
      <c r="M808" s="326" t="s">
        <v>358</v>
      </c>
      <c r="N808" s="324" t="s">
        <v>188</v>
      </c>
      <c r="O808" s="419" t="s">
        <v>378</v>
      </c>
      <c r="P808" s="319" t="s">
        <v>225</v>
      </c>
      <c r="Q808" s="319" t="s">
        <v>842</v>
      </c>
      <c r="R808" s="326">
        <v>22.4</v>
      </c>
      <c r="S808" s="319">
        <v>39.6</v>
      </c>
      <c r="T808" s="324">
        <v>1.0</v>
      </c>
      <c r="U808" s="319">
        <v>13.0</v>
      </c>
      <c r="V808" s="319"/>
      <c r="W808" s="319"/>
      <c r="X808" s="319"/>
      <c r="Y808" s="319"/>
      <c r="Z808" s="319" t="s">
        <v>1140</v>
      </c>
      <c r="AA808" s="319"/>
      <c r="AB808" s="319" t="s">
        <v>410</v>
      </c>
      <c r="AC808" s="327">
        <v>22.1</v>
      </c>
      <c r="AD808" s="319"/>
      <c r="AE808" s="319"/>
      <c r="AF808" s="319"/>
      <c r="AG808" s="319"/>
      <c r="AH808" s="319"/>
      <c r="AI808" s="319"/>
      <c r="AJ808" s="327"/>
      <c r="AK808" s="328"/>
      <c r="AL808" s="319"/>
      <c r="AM808" s="319"/>
      <c r="AN808" s="319"/>
      <c r="AO808" s="319"/>
      <c r="AP808" s="319"/>
      <c r="AQ808" s="319"/>
      <c r="AR808" s="319"/>
      <c r="AS808" s="327"/>
      <c r="AT808" s="461" t="s">
        <v>183</v>
      </c>
      <c r="AU808" s="324" t="s">
        <v>845</v>
      </c>
      <c r="AV808" s="330">
        <f>SQRT(($R808-Infrastructure!J$3)^2+($S808-Infrastructure!K$3)^2)</f>
        <v>25.09541791</v>
      </c>
      <c r="AW808" s="331">
        <f>SQRT(($R808-Infrastructure!J$4)^2+($S808-Infrastructure!K$4)^2)</f>
        <v>31.47268657</v>
      </c>
      <c r="AX808" s="331">
        <f>SQRT(($R808-Infrastructure!J$5)^2+($S808-Infrastructure!K$5)^2)</f>
        <v>41.29818398</v>
      </c>
      <c r="AY808" s="331">
        <f>SQRT(($R808-Infrastructure!J$6)^2+($S808-Infrastructure!K$6)^2)</f>
        <v>41.17984944</v>
      </c>
      <c r="AZ808" s="331">
        <f>SQRT(($R808-Infrastructure!J$7)^2+($S808-Infrastructure!K$7)^2)</f>
        <v>39.34590195</v>
      </c>
      <c r="BA808" s="331">
        <f>SQRT(($R808-Infrastructure!J$8)^2+($S808-Infrastructure!K$8)^2)</f>
        <v>40.04722213</v>
      </c>
      <c r="BB808" s="331">
        <f>SQRT(($R808-Infrastructure!J$9)^2+($S808-Infrastructure!K$9)^2)</f>
        <v>38.72996256</v>
      </c>
      <c r="BC808" s="331">
        <f>SQRT(($R808-Infrastructure!J$10)^2+($S808-Infrastructure!K$10)^2)</f>
        <v>30.24764454</v>
      </c>
      <c r="BD808" s="318"/>
      <c r="BE808" s="332"/>
      <c r="BF808" s="330">
        <f t="shared" si="14"/>
        <v>25.09541791</v>
      </c>
      <c r="BG808" s="333">
        <f t="shared" si="15"/>
        <v>41.29818398</v>
      </c>
      <c r="BH808" s="334"/>
      <c r="BI808" s="462" t="s">
        <v>845</v>
      </c>
      <c r="BJ808" s="319" t="s">
        <v>845</v>
      </c>
      <c r="BK808" s="319" t="s">
        <v>845</v>
      </c>
      <c r="BL808" s="788" t="s">
        <v>845</v>
      </c>
      <c r="BM808" s="319" t="s">
        <v>845</v>
      </c>
      <c r="BN808" s="319" t="s">
        <v>845</v>
      </c>
      <c r="BO808" s="319" t="s">
        <v>845</v>
      </c>
      <c r="BP808" s="319" t="s">
        <v>845</v>
      </c>
      <c r="BQ808" s="788" t="s">
        <v>845</v>
      </c>
      <c r="BR808" s="789" t="s">
        <v>845</v>
      </c>
      <c r="BS808" s="330">
        <f t="shared" si="39"/>
        <v>0</v>
      </c>
      <c r="BT808" s="331">
        <f t="shared" si="40"/>
        <v>0</v>
      </c>
      <c r="BU808" s="331"/>
      <c r="BV808" s="333"/>
      <c r="BW808" s="330"/>
      <c r="BX808" s="331"/>
      <c r="BY808" s="331" t="b">
        <f t="shared" si="41"/>
        <v>0</v>
      </c>
      <c r="BZ808" s="340"/>
      <c r="CA808" s="462" t="s">
        <v>846</v>
      </c>
      <c r="CB808" s="318"/>
      <c r="CC808" s="318"/>
      <c r="CD808" s="319" t="s">
        <v>846</v>
      </c>
      <c r="CE808" s="318"/>
      <c r="CF808" s="318"/>
      <c r="CG808" s="318"/>
      <c r="CH808" s="318"/>
      <c r="CI808" s="338"/>
      <c r="CJ808" s="341"/>
      <c r="CK808" s="342">
        <f t="shared" si="18"/>
        <v>25.09541791</v>
      </c>
      <c r="CL808" s="333">
        <f t="shared" si="19"/>
        <v>41.17984944</v>
      </c>
      <c r="CM808" s="797"/>
      <c r="CN808" s="796"/>
      <c r="CO808" s="796"/>
      <c r="CP808" s="796"/>
    </row>
    <row r="809">
      <c r="A809" s="794"/>
      <c r="B809" s="462" t="s">
        <v>1341</v>
      </c>
      <c r="C809" s="417">
        <v>44288.0</v>
      </c>
      <c r="D809" s="318"/>
      <c r="E809" s="319" t="s">
        <v>1427</v>
      </c>
      <c r="F809" s="324" t="s">
        <v>1428</v>
      </c>
      <c r="G809" s="321">
        <v>0.6665509259259259</v>
      </c>
      <c r="H809" s="323">
        <v>0.6668402777777778</v>
      </c>
      <c r="I809" s="323"/>
      <c r="J809" s="323"/>
      <c r="K809" s="323">
        <v>0.6670138888888889</v>
      </c>
      <c r="L809" s="323">
        <v>1.7361111111111112E-4</v>
      </c>
      <c r="M809" s="326" t="s">
        <v>358</v>
      </c>
      <c r="N809" s="324" t="s">
        <v>188</v>
      </c>
      <c r="O809" s="419" t="s">
        <v>378</v>
      </c>
      <c r="P809" s="319" t="s">
        <v>225</v>
      </c>
      <c r="Q809" s="319" t="s">
        <v>842</v>
      </c>
      <c r="R809" s="326">
        <v>22.4</v>
      </c>
      <c r="S809" s="319">
        <v>39.6</v>
      </c>
      <c r="T809" s="324">
        <v>1.0</v>
      </c>
      <c r="U809" s="319">
        <v>12.0</v>
      </c>
      <c r="V809" s="319"/>
      <c r="W809" s="319"/>
      <c r="X809" s="319"/>
      <c r="Y809" s="319"/>
      <c r="Z809" s="319" t="s">
        <v>1140</v>
      </c>
      <c r="AA809" s="319"/>
      <c r="AB809" s="319" t="s">
        <v>410</v>
      </c>
      <c r="AC809" s="327">
        <v>22.1</v>
      </c>
      <c r="AD809" s="319"/>
      <c r="AE809" s="319"/>
      <c r="AF809" s="319"/>
      <c r="AG809" s="319"/>
      <c r="AH809" s="319"/>
      <c r="AI809" s="319"/>
      <c r="AJ809" s="327"/>
      <c r="AK809" s="328"/>
      <c r="AL809" s="319"/>
      <c r="AM809" s="319"/>
      <c r="AN809" s="319"/>
      <c r="AO809" s="319"/>
      <c r="AP809" s="319"/>
      <c r="AQ809" s="319"/>
      <c r="AR809" s="319"/>
      <c r="AS809" s="327"/>
      <c r="AT809" s="461" t="s">
        <v>183</v>
      </c>
      <c r="AU809" s="324" t="s">
        <v>845</v>
      </c>
      <c r="AV809" s="330">
        <f>SQRT(($R809-Infrastructure!J$3)^2+($S809-Infrastructure!K$3)^2)</f>
        <v>25.09541791</v>
      </c>
      <c r="AW809" s="331">
        <f>SQRT(($R809-Infrastructure!J$4)^2+($S809-Infrastructure!K$4)^2)</f>
        <v>31.47268657</v>
      </c>
      <c r="AX809" s="331">
        <f>SQRT(($R809-Infrastructure!J$5)^2+($S809-Infrastructure!K$5)^2)</f>
        <v>41.29818398</v>
      </c>
      <c r="AY809" s="331">
        <f>SQRT(($R809-Infrastructure!J$6)^2+($S809-Infrastructure!K$6)^2)</f>
        <v>41.17984944</v>
      </c>
      <c r="AZ809" s="331">
        <f>SQRT(($R809-Infrastructure!J$7)^2+($S809-Infrastructure!K$7)^2)</f>
        <v>39.34590195</v>
      </c>
      <c r="BA809" s="331">
        <f>SQRT(($R809-Infrastructure!J$8)^2+($S809-Infrastructure!K$8)^2)</f>
        <v>40.04722213</v>
      </c>
      <c r="BB809" s="331">
        <f>SQRT(($R809-Infrastructure!J$9)^2+($S809-Infrastructure!K$9)^2)</f>
        <v>38.72996256</v>
      </c>
      <c r="BC809" s="331">
        <f>SQRT(($R809-Infrastructure!J$10)^2+($S809-Infrastructure!K$10)^2)</f>
        <v>30.24764454</v>
      </c>
      <c r="BD809" s="318"/>
      <c r="BE809" s="332"/>
      <c r="BF809" s="330">
        <f t="shared" si="14"/>
        <v>25.09541791</v>
      </c>
      <c r="BG809" s="333">
        <f t="shared" si="15"/>
        <v>41.29818398</v>
      </c>
      <c r="BH809" s="334"/>
      <c r="BI809" s="462" t="s">
        <v>845</v>
      </c>
      <c r="BJ809" s="319" t="s">
        <v>845</v>
      </c>
      <c r="BK809" s="319" t="s">
        <v>845</v>
      </c>
      <c r="BL809" s="788" t="s">
        <v>845</v>
      </c>
      <c r="BM809" s="319" t="s">
        <v>845</v>
      </c>
      <c r="BN809" s="319" t="s">
        <v>845</v>
      </c>
      <c r="BO809" s="319" t="s">
        <v>845</v>
      </c>
      <c r="BP809" s="319" t="s">
        <v>845</v>
      </c>
      <c r="BQ809" s="788" t="s">
        <v>845</v>
      </c>
      <c r="BR809" s="789" t="s">
        <v>845</v>
      </c>
      <c r="BS809" s="330">
        <f t="shared" si="39"/>
        <v>0</v>
      </c>
      <c r="BT809" s="331">
        <f t="shared" si="40"/>
        <v>0</v>
      </c>
      <c r="BU809" s="331"/>
      <c r="BV809" s="333"/>
      <c r="BW809" s="330"/>
      <c r="BX809" s="331"/>
      <c r="BY809" s="331" t="b">
        <f t="shared" si="41"/>
        <v>0</v>
      </c>
      <c r="BZ809" s="340"/>
      <c r="CA809" s="462" t="s">
        <v>846</v>
      </c>
      <c r="CB809" s="318"/>
      <c r="CC809" s="318"/>
      <c r="CD809" s="319" t="s">
        <v>846</v>
      </c>
      <c r="CE809" s="318"/>
      <c r="CF809" s="318"/>
      <c r="CG809" s="318"/>
      <c r="CH809" s="318"/>
      <c r="CI809" s="338"/>
      <c r="CJ809" s="341"/>
      <c r="CK809" s="342">
        <f t="shared" si="18"/>
        <v>25.09541791</v>
      </c>
      <c r="CL809" s="333">
        <f t="shared" si="19"/>
        <v>41.17984944</v>
      </c>
      <c r="CM809" s="797"/>
      <c r="CN809" s="796"/>
      <c r="CO809" s="796"/>
      <c r="CP809" s="796"/>
    </row>
    <row r="810">
      <c r="A810" s="794"/>
      <c r="B810" s="462" t="s">
        <v>1341</v>
      </c>
      <c r="C810" s="417">
        <v>44288.0</v>
      </c>
      <c r="D810" s="318"/>
      <c r="E810" s="319" t="s">
        <v>1429</v>
      </c>
      <c r="F810" s="324" t="s">
        <v>1430</v>
      </c>
      <c r="G810" s="321">
        <v>0.6670138888888889</v>
      </c>
      <c r="H810" s="323">
        <v>0.6671875</v>
      </c>
      <c r="I810" s="323"/>
      <c r="J810" s="323"/>
      <c r="K810" s="323">
        <v>0.6673611111111111</v>
      </c>
      <c r="L810" s="323">
        <v>1.7361111111111112E-4</v>
      </c>
      <c r="M810" s="326" t="s">
        <v>358</v>
      </c>
      <c r="N810" s="324" t="s">
        <v>188</v>
      </c>
      <c r="O810" s="419" t="s">
        <v>378</v>
      </c>
      <c r="P810" s="319" t="s">
        <v>225</v>
      </c>
      <c r="Q810" s="319" t="s">
        <v>842</v>
      </c>
      <c r="R810" s="326">
        <v>22.4</v>
      </c>
      <c r="S810" s="319">
        <v>39.6</v>
      </c>
      <c r="T810" s="324">
        <v>1.0</v>
      </c>
      <c r="U810" s="319">
        <v>11.0</v>
      </c>
      <c r="V810" s="319"/>
      <c r="W810" s="319"/>
      <c r="X810" s="319"/>
      <c r="Y810" s="319"/>
      <c r="Z810" s="319" t="s">
        <v>1140</v>
      </c>
      <c r="AA810" s="319"/>
      <c r="AB810" s="319" t="s">
        <v>410</v>
      </c>
      <c r="AC810" s="327">
        <v>22.1</v>
      </c>
      <c r="AD810" s="319"/>
      <c r="AE810" s="319"/>
      <c r="AF810" s="319"/>
      <c r="AG810" s="319"/>
      <c r="AH810" s="319"/>
      <c r="AI810" s="319"/>
      <c r="AJ810" s="327"/>
      <c r="AK810" s="328"/>
      <c r="AL810" s="319"/>
      <c r="AM810" s="319"/>
      <c r="AN810" s="319"/>
      <c r="AO810" s="319"/>
      <c r="AP810" s="319"/>
      <c r="AQ810" s="319"/>
      <c r="AR810" s="319"/>
      <c r="AS810" s="327"/>
      <c r="AT810" s="461" t="s">
        <v>183</v>
      </c>
      <c r="AU810" s="324" t="s">
        <v>845</v>
      </c>
      <c r="AV810" s="330">
        <f>SQRT(($R810-Infrastructure!J$3)^2+($S810-Infrastructure!K$3)^2)</f>
        <v>25.09541791</v>
      </c>
      <c r="AW810" s="331">
        <f>SQRT(($R810-Infrastructure!J$4)^2+($S810-Infrastructure!K$4)^2)</f>
        <v>31.47268657</v>
      </c>
      <c r="AX810" s="331">
        <f>SQRT(($R810-Infrastructure!J$5)^2+($S810-Infrastructure!K$5)^2)</f>
        <v>41.29818398</v>
      </c>
      <c r="AY810" s="331">
        <f>SQRT(($R810-Infrastructure!J$6)^2+($S810-Infrastructure!K$6)^2)</f>
        <v>41.17984944</v>
      </c>
      <c r="AZ810" s="331">
        <f>SQRT(($R810-Infrastructure!J$7)^2+($S810-Infrastructure!K$7)^2)</f>
        <v>39.34590195</v>
      </c>
      <c r="BA810" s="331">
        <f>SQRT(($R810-Infrastructure!J$8)^2+($S810-Infrastructure!K$8)^2)</f>
        <v>40.04722213</v>
      </c>
      <c r="BB810" s="331">
        <f>SQRT(($R810-Infrastructure!J$9)^2+($S810-Infrastructure!K$9)^2)</f>
        <v>38.72996256</v>
      </c>
      <c r="BC810" s="331">
        <f>SQRT(($R810-Infrastructure!J$10)^2+($S810-Infrastructure!K$10)^2)</f>
        <v>30.24764454</v>
      </c>
      <c r="BD810" s="318"/>
      <c r="BE810" s="332"/>
      <c r="BF810" s="330">
        <f t="shared" si="14"/>
        <v>25.09541791</v>
      </c>
      <c r="BG810" s="333">
        <f t="shared" si="15"/>
        <v>41.29818398</v>
      </c>
      <c r="BH810" s="334"/>
      <c r="BI810" s="462" t="s">
        <v>845</v>
      </c>
      <c r="BJ810" s="319" t="s">
        <v>845</v>
      </c>
      <c r="BK810" s="319" t="s">
        <v>845</v>
      </c>
      <c r="BL810" s="788" t="s">
        <v>845</v>
      </c>
      <c r="BM810" s="319" t="s">
        <v>845</v>
      </c>
      <c r="BN810" s="319" t="s">
        <v>845</v>
      </c>
      <c r="BO810" s="319" t="s">
        <v>845</v>
      </c>
      <c r="BP810" s="319" t="s">
        <v>845</v>
      </c>
      <c r="BQ810" s="788" t="s">
        <v>845</v>
      </c>
      <c r="BR810" s="789" t="s">
        <v>845</v>
      </c>
      <c r="BS810" s="330">
        <f t="shared" si="39"/>
        <v>0</v>
      </c>
      <c r="BT810" s="331">
        <f t="shared" si="40"/>
        <v>0</v>
      </c>
      <c r="BU810" s="331"/>
      <c r="BV810" s="333"/>
      <c r="BW810" s="330"/>
      <c r="BX810" s="331"/>
      <c r="BY810" s="331" t="b">
        <f t="shared" si="41"/>
        <v>0</v>
      </c>
      <c r="BZ810" s="340"/>
      <c r="CA810" s="462"/>
      <c r="CB810" s="318"/>
      <c r="CC810" s="318"/>
      <c r="CD810" s="319" t="s">
        <v>846</v>
      </c>
      <c r="CE810" s="318"/>
      <c r="CF810" s="318"/>
      <c r="CG810" s="318"/>
      <c r="CH810" s="318"/>
      <c r="CI810" s="338"/>
      <c r="CJ810" s="341"/>
      <c r="CK810" s="342">
        <f t="shared" si="18"/>
        <v>41.17984944</v>
      </c>
      <c r="CL810" s="333">
        <f t="shared" si="19"/>
        <v>41.17984944</v>
      </c>
      <c r="CM810" s="797"/>
      <c r="CN810" s="796"/>
      <c r="CO810" s="796"/>
      <c r="CP810" s="796"/>
    </row>
    <row r="811">
      <c r="A811" s="794"/>
      <c r="B811" s="462" t="s">
        <v>1341</v>
      </c>
      <c r="C811" s="417">
        <v>44288.0</v>
      </c>
      <c r="D811" s="318"/>
      <c r="E811" s="319" t="s">
        <v>1431</v>
      </c>
      <c r="F811" s="324" t="s">
        <v>1432</v>
      </c>
      <c r="G811" s="321">
        <v>0.6673611111111111</v>
      </c>
      <c r="H811" s="323">
        <v>0.6675347222222222</v>
      </c>
      <c r="I811" s="323"/>
      <c r="J811" s="323"/>
      <c r="K811" s="323">
        <v>0.6677083333333333</v>
      </c>
      <c r="L811" s="323">
        <v>1.7361111111111112E-4</v>
      </c>
      <c r="M811" s="326" t="s">
        <v>358</v>
      </c>
      <c r="N811" s="324" t="s">
        <v>188</v>
      </c>
      <c r="O811" s="419" t="s">
        <v>378</v>
      </c>
      <c r="P811" s="319" t="s">
        <v>225</v>
      </c>
      <c r="Q811" s="319" t="s">
        <v>842</v>
      </c>
      <c r="R811" s="326">
        <v>22.4</v>
      </c>
      <c r="S811" s="319">
        <v>39.6</v>
      </c>
      <c r="T811" s="324">
        <v>1.0</v>
      </c>
      <c r="U811" s="319">
        <v>10.0</v>
      </c>
      <c r="V811" s="319"/>
      <c r="W811" s="319"/>
      <c r="X811" s="319"/>
      <c r="Y811" s="319"/>
      <c r="Z811" s="319" t="s">
        <v>1140</v>
      </c>
      <c r="AA811" s="319"/>
      <c r="AB811" s="319" t="s">
        <v>410</v>
      </c>
      <c r="AC811" s="327">
        <v>22.1</v>
      </c>
      <c r="AD811" s="319"/>
      <c r="AE811" s="319"/>
      <c r="AF811" s="319"/>
      <c r="AG811" s="319"/>
      <c r="AH811" s="319"/>
      <c r="AI811" s="319"/>
      <c r="AJ811" s="327"/>
      <c r="AK811" s="328"/>
      <c r="AL811" s="319"/>
      <c r="AM811" s="319"/>
      <c r="AN811" s="319"/>
      <c r="AO811" s="319"/>
      <c r="AP811" s="319"/>
      <c r="AQ811" s="319"/>
      <c r="AR811" s="319"/>
      <c r="AS811" s="327"/>
      <c r="AT811" s="461" t="s">
        <v>183</v>
      </c>
      <c r="AU811" s="324" t="s">
        <v>845</v>
      </c>
      <c r="AV811" s="330">
        <f>SQRT(($R811-Infrastructure!J$3)^2+($S811-Infrastructure!K$3)^2)</f>
        <v>25.09541791</v>
      </c>
      <c r="AW811" s="331">
        <f>SQRT(($R811-Infrastructure!J$4)^2+($S811-Infrastructure!K$4)^2)</f>
        <v>31.47268657</v>
      </c>
      <c r="AX811" s="331">
        <f>SQRT(($R811-Infrastructure!J$5)^2+($S811-Infrastructure!K$5)^2)</f>
        <v>41.29818398</v>
      </c>
      <c r="AY811" s="331">
        <f>SQRT(($R811-Infrastructure!J$6)^2+($S811-Infrastructure!K$6)^2)</f>
        <v>41.17984944</v>
      </c>
      <c r="AZ811" s="331">
        <f>SQRT(($R811-Infrastructure!J$7)^2+($S811-Infrastructure!K$7)^2)</f>
        <v>39.34590195</v>
      </c>
      <c r="BA811" s="331">
        <f>SQRT(($R811-Infrastructure!J$8)^2+($S811-Infrastructure!K$8)^2)</f>
        <v>40.04722213</v>
      </c>
      <c r="BB811" s="331">
        <f>SQRT(($R811-Infrastructure!J$9)^2+($S811-Infrastructure!K$9)^2)</f>
        <v>38.72996256</v>
      </c>
      <c r="BC811" s="331">
        <f>SQRT(($R811-Infrastructure!J$10)^2+($S811-Infrastructure!K$10)^2)</f>
        <v>30.24764454</v>
      </c>
      <c r="BD811" s="318"/>
      <c r="BE811" s="332"/>
      <c r="BF811" s="330">
        <f t="shared" si="14"/>
        <v>25.09541791</v>
      </c>
      <c r="BG811" s="333">
        <f t="shared" si="15"/>
        <v>41.29818398</v>
      </c>
      <c r="BH811" s="334"/>
      <c r="BI811" s="462" t="s">
        <v>845</v>
      </c>
      <c r="BJ811" s="319" t="s">
        <v>845</v>
      </c>
      <c r="BK811" s="319" t="s">
        <v>845</v>
      </c>
      <c r="BL811" s="788" t="s">
        <v>845</v>
      </c>
      <c r="BM811" s="319" t="s">
        <v>845</v>
      </c>
      <c r="BN811" s="319" t="s">
        <v>845</v>
      </c>
      <c r="BO811" s="319" t="s">
        <v>845</v>
      </c>
      <c r="BP811" s="319" t="s">
        <v>845</v>
      </c>
      <c r="BQ811" s="788" t="s">
        <v>845</v>
      </c>
      <c r="BR811" s="789" t="s">
        <v>845</v>
      </c>
      <c r="BS811" s="330">
        <f t="shared" si="39"/>
        <v>0</v>
      </c>
      <c r="BT811" s="331">
        <f t="shared" si="40"/>
        <v>0</v>
      </c>
      <c r="BU811" s="331"/>
      <c r="BV811" s="333"/>
      <c r="BW811" s="330"/>
      <c r="BX811" s="331"/>
      <c r="BY811" s="331" t="b">
        <f t="shared" si="41"/>
        <v>0</v>
      </c>
      <c r="BZ811" s="340"/>
      <c r="CA811" s="316"/>
      <c r="CB811" s="318"/>
      <c r="CC811" s="318"/>
      <c r="CD811" s="319" t="s">
        <v>846</v>
      </c>
      <c r="CE811" s="318"/>
      <c r="CF811" s="318"/>
      <c r="CG811" s="318"/>
      <c r="CH811" s="318"/>
      <c r="CI811" s="338"/>
      <c r="CJ811" s="341"/>
      <c r="CK811" s="342">
        <f t="shared" si="18"/>
        <v>41.17984944</v>
      </c>
      <c r="CL811" s="333">
        <f t="shared" si="19"/>
        <v>41.17984944</v>
      </c>
      <c r="CM811" s="797"/>
      <c r="CN811" s="796"/>
      <c r="CO811" s="796"/>
      <c r="CP811" s="796"/>
    </row>
    <row r="812">
      <c r="A812" s="794"/>
      <c r="B812" s="462" t="s">
        <v>1341</v>
      </c>
      <c r="C812" s="417">
        <v>44288.0</v>
      </c>
      <c r="D812" s="318"/>
      <c r="E812" s="319" t="s">
        <v>1433</v>
      </c>
      <c r="F812" s="324" t="s">
        <v>1434</v>
      </c>
      <c r="G812" s="321">
        <v>0.6677083333333333</v>
      </c>
      <c r="H812" s="323">
        <v>0.6678819444444445</v>
      </c>
      <c r="I812" s="323"/>
      <c r="J812" s="323"/>
      <c r="K812" s="323">
        <v>0.6680555555555555</v>
      </c>
      <c r="L812" s="323">
        <v>1.7361111111111112E-4</v>
      </c>
      <c r="M812" s="326" t="s">
        <v>358</v>
      </c>
      <c r="N812" s="324" t="s">
        <v>188</v>
      </c>
      <c r="O812" s="419" t="s">
        <v>378</v>
      </c>
      <c r="P812" s="319" t="s">
        <v>225</v>
      </c>
      <c r="Q812" s="319" t="s">
        <v>842</v>
      </c>
      <c r="R812" s="326">
        <v>22.4</v>
      </c>
      <c r="S812" s="319">
        <v>39.6</v>
      </c>
      <c r="T812" s="324">
        <v>1.0</v>
      </c>
      <c r="U812" s="319">
        <v>9.0</v>
      </c>
      <c r="V812" s="319"/>
      <c r="W812" s="319"/>
      <c r="X812" s="319"/>
      <c r="Y812" s="319"/>
      <c r="Z812" s="319" t="s">
        <v>1140</v>
      </c>
      <c r="AA812" s="319"/>
      <c r="AB812" s="319" t="s">
        <v>410</v>
      </c>
      <c r="AC812" s="327">
        <v>22.1</v>
      </c>
      <c r="AD812" s="319"/>
      <c r="AE812" s="319"/>
      <c r="AF812" s="319"/>
      <c r="AG812" s="319"/>
      <c r="AH812" s="319"/>
      <c r="AI812" s="319"/>
      <c r="AJ812" s="327"/>
      <c r="AK812" s="328"/>
      <c r="AL812" s="319"/>
      <c r="AM812" s="319"/>
      <c r="AN812" s="319"/>
      <c r="AO812" s="319"/>
      <c r="AP812" s="319"/>
      <c r="AQ812" s="319"/>
      <c r="AR812" s="319"/>
      <c r="AS812" s="327"/>
      <c r="AT812" s="461" t="s">
        <v>182</v>
      </c>
      <c r="AU812" s="324" t="s">
        <v>845</v>
      </c>
      <c r="AV812" s="330">
        <f>SQRT(($R812-Infrastructure!J$3)^2+($S812-Infrastructure!K$3)^2)</f>
        <v>25.09541791</v>
      </c>
      <c r="AW812" s="331">
        <f>SQRT(($R812-Infrastructure!J$4)^2+($S812-Infrastructure!K$4)^2)</f>
        <v>31.47268657</v>
      </c>
      <c r="AX812" s="331">
        <f>SQRT(($R812-Infrastructure!J$5)^2+($S812-Infrastructure!K$5)^2)</f>
        <v>41.29818398</v>
      </c>
      <c r="AY812" s="331">
        <f>SQRT(($R812-Infrastructure!J$6)^2+($S812-Infrastructure!K$6)^2)</f>
        <v>41.17984944</v>
      </c>
      <c r="AZ812" s="331">
        <f>SQRT(($R812-Infrastructure!J$7)^2+($S812-Infrastructure!K$7)^2)</f>
        <v>39.34590195</v>
      </c>
      <c r="BA812" s="331">
        <f>SQRT(($R812-Infrastructure!J$8)^2+($S812-Infrastructure!K$8)^2)</f>
        <v>40.04722213</v>
      </c>
      <c r="BB812" s="331">
        <f>SQRT(($R812-Infrastructure!J$9)^2+($S812-Infrastructure!K$9)^2)</f>
        <v>38.72996256</v>
      </c>
      <c r="BC812" s="331">
        <f>SQRT(($R812-Infrastructure!J$10)^2+($S812-Infrastructure!K$10)^2)</f>
        <v>30.24764454</v>
      </c>
      <c r="BD812" s="318"/>
      <c r="BE812" s="332"/>
      <c r="BF812" s="330">
        <f t="shared" si="14"/>
        <v>25.09541791</v>
      </c>
      <c r="BG812" s="333">
        <f t="shared" si="15"/>
        <v>41.29818398</v>
      </c>
      <c r="BH812" s="334"/>
      <c r="BI812" s="462" t="s">
        <v>845</v>
      </c>
      <c r="BJ812" s="319" t="s">
        <v>845</v>
      </c>
      <c r="BK812" s="319" t="s">
        <v>845</v>
      </c>
      <c r="BL812" s="788" t="s">
        <v>845</v>
      </c>
      <c r="BM812" s="319" t="s">
        <v>845</v>
      </c>
      <c r="BN812" s="319" t="s">
        <v>845</v>
      </c>
      <c r="BO812" s="319" t="s">
        <v>845</v>
      </c>
      <c r="BP812" s="319" t="s">
        <v>845</v>
      </c>
      <c r="BQ812" s="788" t="s">
        <v>845</v>
      </c>
      <c r="BR812" s="789" t="s">
        <v>845</v>
      </c>
      <c r="BS812" s="330">
        <f t="shared" si="39"/>
        <v>0</v>
      </c>
      <c r="BT812" s="331">
        <f t="shared" si="40"/>
        <v>0</v>
      </c>
      <c r="BU812" s="331"/>
      <c r="BV812" s="333"/>
      <c r="BW812" s="330"/>
      <c r="BX812" s="331"/>
      <c r="BY812" s="331" t="b">
        <f t="shared" si="41"/>
        <v>0</v>
      </c>
      <c r="BZ812" s="340"/>
      <c r="CA812" s="316"/>
      <c r="CB812" s="318"/>
      <c r="CC812" s="318"/>
      <c r="CD812" s="318"/>
      <c r="CE812" s="318"/>
      <c r="CF812" s="318"/>
      <c r="CG812" s="318"/>
      <c r="CH812" s="318"/>
      <c r="CI812" s="338"/>
      <c r="CJ812" s="341"/>
      <c r="CK812" s="342">
        <f t="shared" si="18"/>
        <v>0</v>
      </c>
      <c r="CL812" s="333">
        <f t="shared" si="19"/>
        <v>0</v>
      </c>
      <c r="CM812" s="797"/>
      <c r="CN812" s="796"/>
      <c r="CO812" s="796"/>
      <c r="CP812" s="796"/>
    </row>
    <row r="813">
      <c r="A813" s="794"/>
      <c r="B813" s="462" t="s">
        <v>1341</v>
      </c>
      <c r="C813" s="417">
        <v>44288.0</v>
      </c>
      <c r="D813" s="318"/>
      <c r="E813" s="319" t="s">
        <v>1435</v>
      </c>
      <c r="F813" s="324" t="s">
        <v>1436</v>
      </c>
      <c r="G813" s="321">
        <v>0.6680555555555555</v>
      </c>
      <c r="H813" s="323">
        <v>0.6684027777777778</v>
      </c>
      <c r="I813" s="323"/>
      <c r="J813" s="323"/>
      <c r="K813" s="323">
        <v>0.6685763888888889</v>
      </c>
      <c r="L813" s="323">
        <v>1.7361111111111112E-4</v>
      </c>
      <c r="M813" s="326" t="s">
        <v>358</v>
      </c>
      <c r="N813" s="324" t="s">
        <v>188</v>
      </c>
      <c r="O813" s="419" t="s">
        <v>378</v>
      </c>
      <c r="P813" s="319" t="s">
        <v>225</v>
      </c>
      <c r="Q813" s="319" t="s">
        <v>842</v>
      </c>
      <c r="R813" s="326">
        <v>22.4</v>
      </c>
      <c r="S813" s="319">
        <v>39.6</v>
      </c>
      <c r="T813" s="324">
        <v>1.0</v>
      </c>
      <c r="U813" s="319">
        <v>8.0</v>
      </c>
      <c r="V813" s="319"/>
      <c r="W813" s="319"/>
      <c r="X813" s="319"/>
      <c r="Y813" s="319"/>
      <c r="Z813" s="319" t="s">
        <v>1140</v>
      </c>
      <c r="AA813" s="319"/>
      <c r="AB813" s="319" t="s">
        <v>410</v>
      </c>
      <c r="AC813" s="327">
        <v>22.1</v>
      </c>
      <c r="AD813" s="319"/>
      <c r="AE813" s="319"/>
      <c r="AF813" s="319"/>
      <c r="AG813" s="319"/>
      <c r="AH813" s="319"/>
      <c r="AI813" s="319"/>
      <c r="AJ813" s="327"/>
      <c r="AK813" s="328"/>
      <c r="AL813" s="319"/>
      <c r="AM813" s="319"/>
      <c r="AN813" s="319"/>
      <c r="AO813" s="319"/>
      <c r="AP813" s="319"/>
      <c r="AQ813" s="319"/>
      <c r="AR813" s="319"/>
      <c r="AS813" s="327"/>
      <c r="AT813" s="461" t="s">
        <v>182</v>
      </c>
      <c r="AU813" s="324" t="s">
        <v>845</v>
      </c>
      <c r="AV813" s="330">
        <f>SQRT(($R813-Infrastructure!J$3)^2+($S813-Infrastructure!K$3)^2)</f>
        <v>25.09541791</v>
      </c>
      <c r="AW813" s="331">
        <f>SQRT(($R813-Infrastructure!J$4)^2+($S813-Infrastructure!K$4)^2)</f>
        <v>31.47268657</v>
      </c>
      <c r="AX813" s="331">
        <f>SQRT(($R813-Infrastructure!J$5)^2+($S813-Infrastructure!K$5)^2)</f>
        <v>41.29818398</v>
      </c>
      <c r="AY813" s="331">
        <f>SQRT(($R813-Infrastructure!J$6)^2+($S813-Infrastructure!K$6)^2)</f>
        <v>41.17984944</v>
      </c>
      <c r="AZ813" s="331">
        <f>SQRT(($R813-Infrastructure!J$7)^2+($S813-Infrastructure!K$7)^2)</f>
        <v>39.34590195</v>
      </c>
      <c r="BA813" s="331">
        <f>SQRT(($R813-Infrastructure!J$8)^2+($S813-Infrastructure!K$8)^2)</f>
        <v>40.04722213</v>
      </c>
      <c r="BB813" s="331">
        <f>SQRT(($R813-Infrastructure!J$9)^2+($S813-Infrastructure!K$9)^2)</f>
        <v>38.72996256</v>
      </c>
      <c r="BC813" s="331">
        <f>SQRT(($R813-Infrastructure!J$10)^2+($S813-Infrastructure!K$10)^2)</f>
        <v>30.24764454</v>
      </c>
      <c r="BD813" s="318"/>
      <c r="BE813" s="332"/>
      <c r="BF813" s="330">
        <f t="shared" si="14"/>
        <v>25.09541791</v>
      </c>
      <c r="BG813" s="333">
        <f t="shared" si="15"/>
        <v>41.29818398</v>
      </c>
      <c r="BH813" s="334"/>
      <c r="BI813" s="462" t="s">
        <v>845</v>
      </c>
      <c r="BJ813" s="319" t="s">
        <v>845</v>
      </c>
      <c r="BK813" s="319" t="s">
        <v>845</v>
      </c>
      <c r="BL813" s="788" t="s">
        <v>845</v>
      </c>
      <c r="BM813" s="319" t="s">
        <v>845</v>
      </c>
      <c r="BN813" s="319" t="s">
        <v>845</v>
      </c>
      <c r="BO813" s="319" t="s">
        <v>845</v>
      </c>
      <c r="BP813" s="319" t="s">
        <v>845</v>
      </c>
      <c r="BQ813" s="788" t="s">
        <v>845</v>
      </c>
      <c r="BR813" s="789" t="s">
        <v>845</v>
      </c>
      <c r="BS813" s="330">
        <f t="shared" si="39"/>
        <v>0</v>
      </c>
      <c r="BT813" s="331">
        <f t="shared" si="40"/>
        <v>0</v>
      </c>
      <c r="BU813" s="331"/>
      <c r="BV813" s="333"/>
      <c r="BW813" s="330"/>
      <c r="BX813" s="331"/>
      <c r="BY813" s="331" t="b">
        <f t="shared" si="41"/>
        <v>0</v>
      </c>
      <c r="BZ813" s="340"/>
      <c r="CA813" s="316"/>
      <c r="CB813" s="318"/>
      <c r="CC813" s="318"/>
      <c r="CD813" s="318"/>
      <c r="CE813" s="318"/>
      <c r="CF813" s="318"/>
      <c r="CG813" s="318"/>
      <c r="CH813" s="318"/>
      <c r="CI813" s="338"/>
      <c r="CJ813" s="341"/>
      <c r="CK813" s="342">
        <f t="shared" si="18"/>
        <v>0</v>
      </c>
      <c r="CL813" s="333">
        <f t="shared" si="19"/>
        <v>0</v>
      </c>
      <c r="CM813" s="797"/>
      <c r="CN813" s="796"/>
      <c r="CO813" s="796"/>
      <c r="CP813" s="796"/>
    </row>
    <row r="814">
      <c r="A814" s="794"/>
      <c r="B814" s="462" t="s">
        <v>1341</v>
      </c>
      <c r="C814" s="417">
        <v>44288.0</v>
      </c>
      <c r="D814" s="318"/>
      <c r="E814" s="319" t="s">
        <v>1437</v>
      </c>
      <c r="F814" s="324" t="s">
        <v>1438</v>
      </c>
      <c r="G814" s="321">
        <v>0.6685763888888889</v>
      </c>
      <c r="H814" s="323">
        <v>0.66875</v>
      </c>
      <c r="I814" s="323"/>
      <c r="J814" s="323"/>
      <c r="K814" s="323">
        <v>0.6689236111111111</v>
      </c>
      <c r="L814" s="323">
        <v>1.7361111111111112E-4</v>
      </c>
      <c r="M814" s="326" t="s">
        <v>358</v>
      </c>
      <c r="N814" s="324" t="s">
        <v>188</v>
      </c>
      <c r="O814" s="419" t="s">
        <v>378</v>
      </c>
      <c r="P814" s="319" t="s">
        <v>225</v>
      </c>
      <c r="Q814" s="319" t="s">
        <v>842</v>
      </c>
      <c r="R814" s="326">
        <v>22.4</v>
      </c>
      <c r="S814" s="319">
        <v>39.6</v>
      </c>
      <c r="T814" s="324">
        <v>1.0</v>
      </c>
      <c r="U814" s="319">
        <v>7.0</v>
      </c>
      <c r="V814" s="319"/>
      <c r="W814" s="319"/>
      <c r="X814" s="319"/>
      <c r="Y814" s="319"/>
      <c r="Z814" s="319" t="s">
        <v>1140</v>
      </c>
      <c r="AA814" s="319"/>
      <c r="AB814" s="319" t="s">
        <v>410</v>
      </c>
      <c r="AC814" s="327">
        <v>22.1</v>
      </c>
      <c r="AD814" s="319"/>
      <c r="AE814" s="319"/>
      <c r="AF814" s="319"/>
      <c r="AG814" s="319"/>
      <c r="AH814" s="319"/>
      <c r="AI814" s="319"/>
      <c r="AJ814" s="327"/>
      <c r="AK814" s="328"/>
      <c r="AL814" s="319"/>
      <c r="AM814" s="319"/>
      <c r="AN814" s="319"/>
      <c r="AO814" s="319"/>
      <c r="AP814" s="319"/>
      <c r="AQ814" s="319"/>
      <c r="AR814" s="319"/>
      <c r="AS814" s="327"/>
      <c r="AT814" s="461" t="s">
        <v>182</v>
      </c>
      <c r="AU814" s="324" t="s">
        <v>845</v>
      </c>
      <c r="AV814" s="330">
        <f>SQRT(($R814-Infrastructure!J$3)^2+($S814-Infrastructure!K$3)^2)</f>
        <v>25.09541791</v>
      </c>
      <c r="AW814" s="331">
        <f>SQRT(($R814-Infrastructure!J$4)^2+($S814-Infrastructure!K$4)^2)</f>
        <v>31.47268657</v>
      </c>
      <c r="AX814" s="331">
        <f>SQRT(($R814-Infrastructure!J$5)^2+($S814-Infrastructure!K$5)^2)</f>
        <v>41.29818398</v>
      </c>
      <c r="AY814" s="331">
        <f>SQRT(($R814-Infrastructure!J$6)^2+($S814-Infrastructure!K$6)^2)</f>
        <v>41.17984944</v>
      </c>
      <c r="AZ814" s="331">
        <f>SQRT(($R814-Infrastructure!J$7)^2+($S814-Infrastructure!K$7)^2)</f>
        <v>39.34590195</v>
      </c>
      <c r="BA814" s="331">
        <f>SQRT(($R814-Infrastructure!J$8)^2+($S814-Infrastructure!K$8)^2)</f>
        <v>40.04722213</v>
      </c>
      <c r="BB814" s="331">
        <f>SQRT(($R814-Infrastructure!J$9)^2+($S814-Infrastructure!K$9)^2)</f>
        <v>38.72996256</v>
      </c>
      <c r="BC814" s="331">
        <f>SQRT(($R814-Infrastructure!J$10)^2+($S814-Infrastructure!K$10)^2)</f>
        <v>30.24764454</v>
      </c>
      <c r="BD814" s="318"/>
      <c r="BE814" s="332"/>
      <c r="BF814" s="330">
        <f t="shared" si="14"/>
        <v>25.09541791</v>
      </c>
      <c r="BG814" s="333">
        <f t="shared" si="15"/>
        <v>41.29818398</v>
      </c>
      <c r="BH814" s="334"/>
      <c r="BI814" s="462" t="s">
        <v>845</v>
      </c>
      <c r="BJ814" s="319" t="s">
        <v>845</v>
      </c>
      <c r="BK814" s="319" t="s">
        <v>845</v>
      </c>
      <c r="BL814" s="788" t="s">
        <v>845</v>
      </c>
      <c r="BM814" s="319" t="s">
        <v>845</v>
      </c>
      <c r="BN814" s="319" t="s">
        <v>845</v>
      </c>
      <c r="BO814" s="319" t="s">
        <v>845</v>
      </c>
      <c r="BP814" s="319" t="s">
        <v>845</v>
      </c>
      <c r="BQ814" s="788" t="s">
        <v>845</v>
      </c>
      <c r="BR814" s="789" t="s">
        <v>845</v>
      </c>
      <c r="BS814" s="330">
        <f t="shared" si="39"/>
        <v>0</v>
      </c>
      <c r="BT814" s="331">
        <f t="shared" si="40"/>
        <v>0</v>
      </c>
      <c r="BU814" s="331"/>
      <c r="BV814" s="333"/>
      <c r="BW814" s="330"/>
      <c r="BX814" s="331"/>
      <c r="BY814" s="331" t="b">
        <f t="shared" si="41"/>
        <v>0</v>
      </c>
      <c r="BZ814" s="340"/>
      <c r="CA814" s="316"/>
      <c r="CB814" s="318"/>
      <c r="CC814" s="318"/>
      <c r="CD814" s="318"/>
      <c r="CE814" s="318"/>
      <c r="CF814" s="318"/>
      <c r="CG814" s="318"/>
      <c r="CH814" s="318"/>
      <c r="CI814" s="338"/>
      <c r="CJ814" s="341"/>
      <c r="CK814" s="342">
        <f t="shared" si="18"/>
        <v>0</v>
      </c>
      <c r="CL814" s="333">
        <f t="shared" si="19"/>
        <v>0</v>
      </c>
      <c r="CM814" s="797"/>
      <c r="CN814" s="796"/>
      <c r="CO814" s="796"/>
      <c r="CP814" s="796"/>
    </row>
    <row r="815">
      <c r="A815" s="794"/>
      <c r="B815" s="462" t="s">
        <v>1341</v>
      </c>
      <c r="C815" s="417">
        <v>44288.0</v>
      </c>
      <c r="D815" s="318"/>
      <c r="E815" s="319" t="s">
        <v>1439</v>
      </c>
      <c r="F815" s="324" t="s">
        <v>1440</v>
      </c>
      <c r="G815" s="321">
        <v>0.6689236111111111</v>
      </c>
      <c r="H815" s="323">
        <v>0.6690972222222222</v>
      </c>
      <c r="I815" s="323"/>
      <c r="J815" s="323"/>
      <c r="K815" s="323">
        <v>0.6692708333333334</v>
      </c>
      <c r="L815" s="323">
        <v>1.7361111111111112E-4</v>
      </c>
      <c r="M815" s="326" t="s">
        <v>358</v>
      </c>
      <c r="N815" s="324" t="s">
        <v>188</v>
      </c>
      <c r="O815" s="419" t="s">
        <v>378</v>
      </c>
      <c r="P815" s="319" t="s">
        <v>225</v>
      </c>
      <c r="Q815" s="319" t="s">
        <v>842</v>
      </c>
      <c r="R815" s="326">
        <v>22.4</v>
      </c>
      <c r="S815" s="319">
        <v>39.6</v>
      </c>
      <c r="T815" s="324">
        <v>1.0</v>
      </c>
      <c r="U815" s="319">
        <v>6.0</v>
      </c>
      <c r="V815" s="319"/>
      <c r="W815" s="319"/>
      <c r="X815" s="319"/>
      <c r="Y815" s="319"/>
      <c r="Z815" s="319" t="s">
        <v>1140</v>
      </c>
      <c r="AA815" s="319"/>
      <c r="AB815" s="319" t="s">
        <v>410</v>
      </c>
      <c r="AC815" s="327">
        <v>22.1</v>
      </c>
      <c r="AD815" s="319"/>
      <c r="AE815" s="319"/>
      <c r="AF815" s="319"/>
      <c r="AG815" s="319"/>
      <c r="AH815" s="319"/>
      <c r="AI815" s="319"/>
      <c r="AJ815" s="327"/>
      <c r="AK815" s="328"/>
      <c r="AL815" s="319"/>
      <c r="AM815" s="319"/>
      <c r="AN815" s="319"/>
      <c r="AO815" s="319"/>
      <c r="AP815" s="319"/>
      <c r="AQ815" s="319"/>
      <c r="AR815" s="319"/>
      <c r="AS815" s="327"/>
      <c r="AT815" s="461" t="s">
        <v>182</v>
      </c>
      <c r="AU815" s="324" t="s">
        <v>845</v>
      </c>
      <c r="AV815" s="330">
        <f>SQRT(($R815-Infrastructure!J$3)^2+($S815-Infrastructure!K$3)^2)</f>
        <v>25.09541791</v>
      </c>
      <c r="AW815" s="331">
        <f>SQRT(($R815-Infrastructure!J$4)^2+($S815-Infrastructure!K$4)^2)</f>
        <v>31.47268657</v>
      </c>
      <c r="AX815" s="331">
        <f>SQRT(($R815-Infrastructure!J$5)^2+($S815-Infrastructure!K$5)^2)</f>
        <v>41.29818398</v>
      </c>
      <c r="AY815" s="331">
        <f>SQRT(($R815-Infrastructure!J$6)^2+($S815-Infrastructure!K$6)^2)</f>
        <v>41.17984944</v>
      </c>
      <c r="AZ815" s="331">
        <f>SQRT(($R815-Infrastructure!J$7)^2+($S815-Infrastructure!K$7)^2)</f>
        <v>39.34590195</v>
      </c>
      <c r="BA815" s="331">
        <f>SQRT(($R815-Infrastructure!J$8)^2+($S815-Infrastructure!K$8)^2)</f>
        <v>40.04722213</v>
      </c>
      <c r="BB815" s="331">
        <f>SQRT(($R815-Infrastructure!J$9)^2+($S815-Infrastructure!K$9)^2)</f>
        <v>38.72996256</v>
      </c>
      <c r="BC815" s="331">
        <f>SQRT(($R815-Infrastructure!J$10)^2+($S815-Infrastructure!K$10)^2)</f>
        <v>30.24764454</v>
      </c>
      <c r="BD815" s="318"/>
      <c r="BE815" s="332"/>
      <c r="BF815" s="330">
        <f t="shared" si="14"/>
        <v>25.09541791</v>
      </c>
      <c r="BG815" s="333">
        <f t="shared" si="15"/>
        <v>41.29818398</v>
      </c>
      <c r="BH815" s="334"/>
      <c r="BI815" s="462" t="s">
        <v>845</v>
      </c>
      <c r="BJ815" s="319" t="s">
        <v>845</v>
      </c>
      <c r="BK815" s="319" t="s">
        <v>845</v>
      </c>
      <c r="BL815" s="788" t="s">
        <v>845</v>
      </c>
      <c r="BM815" s="319" t="s">
        <v>845</v>
      </c>
      <c r="BN815" s="319" t="s">
        <v>845</v>
      </c>
      <c r="BO815" s="319" t="s">
        <v>845</v>
      </c>
      <c r="BP815" s="319" t="s">
        <v>845</v>
      </c>
      <c r="BQ815" s="788" t="s">
        <v>845</v>
      </c>
      <c r="BR815" s="789" t="s">
        <v>845</v>
      </c>
      <c r="BS815" s="330">
        <f t="shared" si="39"/>
        <v>0</v>
      </c>
      <c r="BT815" s="331">
        <f t="shared" si="40"/>
        <v>0</v>
      </c>
      <c r="BU815" s="331"/>
      <c r="BV815" s="333"/>
      <c r="BW815" s="330"/>
      <c r="BX815" s="331"/>
      <c r="BY815" s="331" t="b">
        <f t="shared" si="41"/>
        <v>0</v>
      </c>
      <c r="BZ815" s="340"/>
      <c r="CA815" s="316"/>
      <c r="CB815" s="318"/>
      <c r="CC815" s="318"/>
      <c r="CD815" s="318"/>
      <c r="CE815" s="318"/>
      <c r="CF815" s="318"/>
      <c r="CG815" s="318"/>
      <c r="CH815" s="318"/>
      <c r="CI815" s="338"/>
      <c r="CJ815" s="341"/>
      <c r="CK815" s="342">
        <f t="shared" si="18"/>
        <v>0</v>
      </c>
      <c r="CL815" s="333">
        <f t="shared" si="19"/>
        <v>0</v>
      </c>
      <c r="CM815" s="797"/>
      <c r="CN815" s="796"/>
      <c r="CO815" s="796"/>
      <c r="CP815" s="796"/>
    </row>
    <row r="816">
      <c r="A816" s="794"/>
      <c r="B816" s="462" t="s">
        <v>1341</v>
      </c>
      <c r="C816" s="417">
        <v>44288.0</v>
      </c>
      <c r="D816" s="318"/>
      <c r="E816" s="319" t="s">
        <v>1441</v>
      </c>
      <c r="F816" s="324" t="s">
        <v>1442</v>
      </c>
      <c r="G816" s="321">
        <v>0.6692708333333334</v>
      </c>
      <c r="H816" s="323">
        <v>0.6696180555555555</v>
      </c>
      <c r="I816" s="323"/>
      <c r="J816" s="323"/>
      <c r="K816" s="323">
        <v>0.6697916666666667</v>
      </c>
      <c r="L816" s="323">
        <v>1.7361111111111112E-4</v>
      </c>
      <c r="M816" s="326" t="s">
        <v>358</v>
      </c>
      <c r="N816" s="324" t="s">
        <v>188</v>
      </c>
      <c r="O816" s="419" t="s">
        <v>378</v>
      </c>
      <c r="P816" s="319" t="s">
        <v>225</v>
      </c>
      <c r="Q816" s="319" t="s">
        <v>842</v>
      </c>
      <c r="R816" s="326">
        <v>22.4</v>
      </c>
      <c r="S816" s="319">
        <v>39.6</v>
      </c>
      <c r="T816" s="324">
        <v>1.0</v>
      </c>
      <c r="U816" s="319">
        <v>5.0</v>
      </c>
      <c r="V816" s="319"/>
      <c r="W816" s="319"/>
      <c r="X816" s="319"/>
      <c r="Y816" s="319"/>
      <c r="Z816" s="319" t="s">
        <v>1140</v>
      </c>
      <c r="AA816" s="319"/>
      <c r="AB816" s="319" t="s">
        <v>410</v>
      </c>
      <c r="AC816" s="327">
        <v>22.1</v>
      </c>
      <c r="AD816" s="319"/>
      <c r="AE816" s="319"/>
      <c r="AF816" s="319"/>
      <c r="AG816" s="319"/>
      <c r="AH816" s="319"/>
      <c r="AI816" s="319"/>
      <c r="AJ816" s="327"/>
      <c r="AK816" s="328"/>
      <c r="AL816" s="319"/>
      <c r="AM816" s="319"/>
      <c r="AN816" s="319"/>
      <c r="AO816" s="319"/>
      <c r="AP816" s="319"/>
      <c r="AQ816" s="319"/>
      <c r="AR816" s="319"/>
      <c r="AS816" s="327"/>
      <c r="AT816" s="461" t="s">
        <v>182</v>
      </c>
      <c r="AU816" s="324" t="s">
        <v>845</v>
      </c>
      <c r="AV816" s="330">
        <f>SQRT(($R816-Infrastructure!J$3)^2+($S816-Infrastructure!K$3)^2)</f>
        <v>25.09541791</v>
      </c>
      <c r="AW816" s="331">
        <f>SQRT(($R816-Infrastructure!J$4)^2+($S816-Infrastructure!K$4)^2)</f>
        <v>31.47268657</v>
      </c>
      <c r="AX816" s="331">
        <f>SQRT(($R816-Infrastructure!J$5)^2+($S816-Infrastructure!K$5)^2)</f>
        <v>41.29818398</v>
      </c>
      <c r="AY816" s="331">
        <f>SQRT(($R816-Infrastructure!J$6)^2+($S816-Infrastructure!K$6)^2)</f>
        <v>41.17984944</v>
      </c>
      <c r="AZ816" s="331">
        <f>SQRT(($R816-Infrastructure!J$7)^2+($S816-Infrastructure!K$7)^2)</f>
        <v>39.34590195</v>
      </c>
      <c r="BA816" s="331">
        <f>SQRT(($R816-Infrastructure!J$8)^2+($S816-Infrastructure!K$8)^2)</f>
        <v>40.04722213</v>
      </c>
      <c r="BB816" s="331">
        <f>SQRT(($R816-Infrastructure!J$9)^2+($S816-Infrastructure!K$9)^2)</f>
        <v>38.72996256</v>
      </c>
      <c r="BC816" s="331">
        <f>SQRT(($R816-Infrastructure!J$10)^2+($S816-Infrastructure!K$10)^2)</f>
        <v>30.24764454</v>
      </c>
      <c r="BD816" s="318"/>
      <c r="BE816" s="332"/>
      <c r="BF816" s="330">
        <f t="shared" si="14"/>
        <v>25.09541791</v>
      </c>
      <c r="BG816" s="333">
        <f t="shared" si="15"/>
        <v>41.29818398</v>
      </c>
      <c r="BH816" s="334"/>
      <c r="BI816" s="462" t="s">
        <v>845</v>
      </c>
      <c r="BJ816" s="319" t="s">
        <v>845</v>
      </c>
      <c r="BK816" s="319" t="s">
        <v>845</v>
      </c>
      <c r="BL816" s="788" t="s">
        <v>845</v>
      </c>
      <c r="BM816" s="319" t="s">
        <v>845</v>
      </c>
      <c r="BN816" s="319" t="s">
        <v>845</v>
      </c>
      <c r="BO816" s="319" t="s">
        <v>845</v>
      </c>
      <c r="BP816" s="319" t="s">
        <v>845</v>
      </c>
      <c r="BQ816" s="788" t="s">
        <v>845</v>
      </c>
      <c r="BR816" s="789" t="s">
        <v>845</v>
      </c>
      <c r="BS816" s="330">
        <f t="shared" si="39"/>
        <v>0</v>
      </c>
      <c r="BT816" s="331">
        <f t="shared" si="40"/>
        <v>0</v>
      </c>
      <c r="BU816" s="331"/>
      <c r="BV816" s="333"/>
      <c r="BW816" s="330"/>
      <c r="BX816" s="331"/>
      <c r="BY816" s="331" t="b">
        <f t="shared" si="41"/>
        <v>0</v>
      </c>
      <c r="BZ816" s="340"/>
      <c r="CA816" s="316"/>
      <c r="CB816" s="318"/>
      <c r="CC816" s="318"/>
      <c r="CD816" s="318"/>
      <c r="CE816" s="318"/>
      <c r="CF816" s="318"/>
      <c r="CG816" s="318"/>
      <c r="CH816" s="318"/>
      <c r="CI816" s="338"/>
      <c r="CJ816" s="341"/>
      <c r="CK816" s="342">
        <f t="shared" si="18"/>
        <v>0</v>
      </c>
      <c r="CL816" s="333">
        <f t="shared" si="19"/>
        <v>0</v>
      </c>
      <c r="CM816" s="797"/>
      <c r="CN816" s="796"/>
      <c r="CO816" s="796"/>
      <c r="CP816" s="796"/>
    </row>
    <row r="817">
      <c r="A817" s="794"/>
      <c r="B817" s="462" t="s">
        <v>1341</v>
      </c>
      <c r="C817" s="417">
        <v>44288.0</v>
      </c>
      <c r="D817" s="318"/>
      <c r="E817" s="319" t="s">
        <v>1443</v>
      </c>
      <c r="F817" s="324" t="s">
        <v>1444</v>
      </c>
      <c r="G817" s="321">
        <v>0.6697916666666667</v>
      </c>
      <c r="H817" s="323">
        <v>0.6701388888888888</v>
      </c>
      <c r="I817" s="323"/>
      <c r="J817" s="323"/>
      <c r="K817" s="323">
        <v>0.6703125</v>
      </c>
      <c r="L817" s="323">
        <v>1.7361111111111112E-4</v>
      </c>
      <c r="M817" s="326" t="s">
        <v>358</v>
      </c>
      <c r="N817" s="324" t="s">
        <v>188</v>
      </c>
      <c r="O817" s="419" t="s">
        <v>378</v>
      </c>
      <c r="P817" s="319" t="s">
        <v>225</v>
      </c>
      <c r="Q817" s="319" t="s">
        <v>842</v>
      </c>
      <c r="R817" s="326">
        <v>22.4</v>
      </c>
      <c r="S817" s="319">
        <v>39.6</v>
      </c>
      <c r="T817" s="324">
        <v>1.0</v>
      </c>
      <c r="U817" s="319">
        <v>4.0</v>
      </c>
      <c r="V817" s="319"/>
      <c r="W817" s="319"/>
      <c r="X817" s="319"/>
      <c r="Y817" s="319"/>
      <c r="Z817" s="319" t="s">
        <v>1140</v>
      </c>
      <c r="AA817" s="319"/>
      <c r="AB817" s="319" t="s">
        <v>410</v>
      </c>
      <c r="AC817" s="327">
        <v>22.1</v>
      </c>
      <c r="AD817" s="319"/>
      <c r="AE817" s="319"/>
      <c r="AF817" s="319"/>
      <c r="AG817" s="319"/>
      <c r="AH817" s="319"/>
      <c r="AI817" s="319"/>
      <c r="AJ817" s="327"/>
      <c r="AK817" s="328"/>
      <c r="AL817" s="319"/>
      <c r="AM817" s="319"/>
      <c r="AN817" s="319"/>
      <c r="AO817" s="319"/>
      <c r="AP817" s="319"/>
      <c r="AQ817" s="319"/>
      <c r="AR817" s="319"/>
      <c r="AS817" s="327"/>
      <c r="AT817" s="461" t="s">
        <v>182</v>
      </c>
      <c r="AU817" s="324" t="s">
        <v>845</v>
      </c>
      <c r="AV817" s="330">
        <f>SQRT(($R817-Infrastructure!J$3)^2+($S817-Infrastructure!K$3)^2)</f>
        <v>25.09541791</v>
      </c>
      <c r="AW817" s="331">
        <f>SQRT(($R817-Infrastructure!J$4)^2+($S817-Infrastructure!K$4)^2)</f>
        <v>31.47268657</v>
      </c>
      <c r="AX817" s="331">
        <f>SQRT(($R817-Infrastructure!J$5)^2+($S817-Infrastructure!K$5)^2)</f>
        <v>41.29818398</v>
      </c>
      <c r="AY817" s="331">
        <f>SQRT(($R817-Infrastructure!J$6)^2+($S817-Infrastructure!K$6)^2)</f>
        <v>41.17984944</v>
      </c>
      <c r="AZ817" s="331">
        <f>SQRT(($R817-Infrastructure!J$7)^2+($S817-Infrastructure!K$7)^2)</f>
        <v>39.34590195</v>
      </c>
      <c r="BA817" s="331">
        <f>SQRT(($R817-Infrastructure!J$8)^2+($S817-Infrastructure!K$8)^2)</f>
        <v>40.04722213</v>
      </c>
      <c r="BB817" s="331">
        <f>SQRT(($R817-Infrastructure!J$9)^2+($S817-Infrastructure!K$9)^2)</f>
        <v>38.72996256</v>
      </c>
      <c r="BC817" s="331">
        <f>SQRT(($R817-Infrastructure!J$10)^2+($S817-Infrastructure!K$10)^2)</f>
        <v>30.24764454</v>
      </c>
      <c r="BD817" s="318"/>
      <c r="BE817" s="332"/>
      <c r="BF817" s="330">
        <f t="shared" si="14"/>
        <v>25.09541791</v>
      </c>
      <c r="BG817" s="333">
        <f t="shared" si="15"/>
        <v>41.29818398</v>
      </c>
      <c r="BH817" s="334"/>
      <c r="BI817" s="462" t="s">
        <v>845</v>
      </c>
      <c r="BJ817" s="319" t="s">
        <v>845</v>
      </c>
      <c r="BK817" s="319" t="s">
        <v>846</v>
      </c>
      <c r="BL817" s="788" t="s">
        <v>845</v>
      </c>
      <c r="BM817" s="319" t="s">
        <v>845</v>
      </c>
      <c r="BN817" s="319" t="s">
        <v>845</v>
      </c>
      <c r="BO817" s="319" t="s">
        <v>845</v>
      </c>
      <c r="BP817" s="319" t="s">
        <v>845</v>
      </c>
      <c r="BQ817" s="788" t="s">
        <v>845</v>
      </c>
      <c r="BR817" s="789" t="s">
        <v>845</v>
      </c>
      <c r="BS817" s="330">
        <f t="shared" si="39"/>
        <v>41.29818398</v>
      </c>
      <c r="BT817" s="331">
        <f t="shared" si="40"/>
        <v>41.29818398</v>
      </c>
      <c r="BU817" s="331"/>
      <c r="BV817" s="333"/>
      <c r="BW817" s="330"/>
      <c r="BX817" s="331"/>
      <c r="BY817" s="331" t="b">
        <f t="shared" si="41"/>
        <v>0</v>
      </c>
      <c r="BZ817" s="340"/>
      <c r="CA817" s="316"/>
      <c r="CB817" s="318"/>
      <c r="CC817" s="318"/>
      <c r="CD817" s="318"/>
      <c r="CE817" s="318"/>
      <c r="CF817" s="318"/>
      <c r="CG817" s="318"/>
      <c r="CH817" s="318"/>
      <c r="CI817" s="338"/>
      <c r="CJ817" s="341"/>
      <c r="CK817" s="342">
        <f t="shared" si="18"/>
        <v>0</v>
      </c>
      <c r="CL817" s="333">
        <f t="shared" si="19"/>
        <v>0</v>
      </c>
      <c r="CM817" s="797"/>
      <c r="CN817" s="796"/>
      <c r="CO817" s="796"/>
      <c r="CP817" s="796"/>
    </row>
    <row r="818">
      <c r="A818" s="794"/>
      <c r="B818" s="462" t="s">
        <v>1341</v>
      </c>
      <c r="C818" s="417">
        <v>44288.0</v>
      </c>
      <c r="D818" s="318"/>
      <c r="E818" s="319" t="s">
        <v>1445</v>
      </c>
      <c r="F818" s="324" t="s">
        <v>1446</v>
      </c>
      <c r="G818" s="321">
        <v>0.6703125</v>
      </c>
      <c r="H818" s="323">
        <v>0.6706597222222223</v>
      </c>
      <c r="I818" s="323"/>
      <c r="J818" s="323"/>
      <c r="K818" s="323">
        <v>0.6708333333333333</v>
      </c>
      <c r="L818" s="323">
        <v>1.7361111111111112E-4</v>
      </c>
      <c r="M818" s="326" t="s">
        <v>358</v>
      </c>
      <c r="N818" s="324" t="s">
        <v>188</v>
      </c>
      <c r="O818" s="419" t="s">
        <v>378</v>
      </c>
      <c r="P818" s="319" t="s">
        <v>225</v>
      </c>
      <c r="Q818" s="319" t="s">
        <v>842</v>
      </c>
      <c r="R818" s="326">
        <v>22.4</v>
      </c>
      <c r="S818" s="319">
        <v>39.6</v>
      </c>
      <c r="T818" s="324">
        <v>1.0</v>
      </c>
      <c r="U818" s="319">
        <v>3.0</v>
      </c>
      <c r="V818" s="319"/>
      <c r="W818" s="319"/>
      <c r="X818" s="319"/>
      <c r="Y818" s="319"/>
      <c r="Z818" s="319" t="s">
        <v>1140</v>
      </c>
      <c r="AA818" s="319"/>
      <c r="AB818" s="319" t="s">
        <v>410</v>
      </c>
      <c r="AC818" s="327">
        <v>22.1</v>
      </c>
      <c r="AD818" s="319"/>
      <c r="AE818" s="319"/>
      <c r="AF818" s="319"/>
      <c r="AG818" s="319"/>
      <c r="AH818" s="319"/>
      <c r="AI818" s="319"/>
      <c r="AJ818" s="327"/>
      <c r="AK818" s="328"/>
      <c r="AL818" s="319"/>
      <c r="AM818" s="319"/>
      <c r="AN818" s="319"/>
      <c r="AO818" s="319"/>
      <c r="AP818" s="319"/>
      <c r="AQ818" s="319"/>
      <c r="AR818" s="319"/>
      <c r="AS818" s="327"/>
      <c r="AT818" s="461" t="s">
        <v>182</v>
      </c>
      <c r="AU818" s="324" t="s">
        <v>845</v>
      </c>
      <c r="AV818" s="330">
        <f>SQRT(($R818-Infrastructure!J$3)^2+($S818-Infrastructure!K$3)^2)</f>
        <v>25.09541791</v>
      </c>
      <c r="AW818" s="331">
        <f>SQRT(($R818-Infrastructure!J$4)^2+($S818-Infrastructure!K$4)^2)</f>
        <v>31.47268657</v>
      </c>
      <c r="AX818" s="331">
        <f>SQRT(($R818-Infrastructure!J$5)^2+($S818-Infrastructure!K$5)^2)</f>
        <v>41.29818398</v>
      </c>
      <c r="AY818" s="331">
        <f>SQRT(($R818-Infrastructure!J$6)^2+($S818-Infrastructure!K$6)^2)</f>
        <v>41.17984944</v>
      </c>
      <c r="AZ818" s="331">
        <f>SQRT(($R818-Infrastructure!J$7)^2+($S818-Infrastructure!K$7)^2)</f>
        <v>39.34590195</v>
      </c>
      <c r="BA818" s="331">
        <f>SQRT(($R818-Infrastructure!J$8)^2+($S818-Infrastructure!K$8)^2)</f>
        <v>40.04722213</v>
      </c>
      <c r="BB818" s="331">
        <f>SQRT(($R818-Infrastructure!J$9)^2+($S818-Infrastructure!K$9)^2)</f>
        <v>38.72996256</v>
      </c>
      <c r="BC818" s="331">
        <f>SQRT(($R818-Infrastructure!J$10)^2+($S818-Infrastructure!K$10)^2)</f>
        <v>30.24764454</v>
      </c>
      <c r="BD818" s="318"/>
      <c r="BE818" s="332"/>
      <c r="BF818" s="330">
        <f t="shared" si="14"/>
        <v>25.09541791</v>
      </c>
      <c r="BG818" s="333">
        <f t="shared" si="15"/>
        <v>41.29818398</v>
      </c>
      <c r="BH818" s="334"/>
      <c r="BI818" s="462" t="s">
        <v>845</v>
      </c>
      <c r="BJ818" s="319" t="s">
        <v>845</v>
      </c>
      <c r="BK818" s="319" t="s">
        <v>845</v>
      </c>
      <c r="BL818" s="788" t="s">
        <v>845</v>
      </c>
      <c r="BM818" s="319" t="s">
        <v>845</v>
      </c>
      <c r="BN818" s="319" t="s">
        <v>845</v>
      </c>
      <c r="BO818" s="319" t="s">
        <v>845</v>
      </c>
      <c r="BP818" s="319" t="s">
        <v>845</v>
      </c>
      <c r="BQ818" s="788" t="s">
        <v>845</v>
      </c>
      <c r="BR818" s="789" t="s">
        <v>845</v>
      </c>
      <c r="BS818" s="330">
        <f t="shared" si="39"/>
        <v>0</v>
      </c>
      <c r="BT818" s="331">
        <f t="shared" si="40"/>
        <v>0</v>
      </c>
      <c r="BU818" s="331"/>
      <c r="BV818" s="333"/>
      <c r="BW818" s="330"/>
      <c r="BX818" s="331"/>
      <c r="BY818" s="331" t="b">
        <f t="shared" si="41"/>
        <v>0</v>
      </c>
      <c r="BZ818" s="340"/>
      <c r="CA818" s="316"/>
      <c r="CB818" s="318"/>
      <c r="CC818" s="318"/>
      <c r="CD818" s="318"/>
      <c r="CE818" s="318"/>
      <c r="CF818" s="318"/>
      <c r="CG818" s="318"/>
      <c r="CH818" s="318"/>
      <c r="CI818" s="338"/>
      <c r="CJ818" s="341"/>
      <c r="CK818" s="342">
        <f t="shared" si="18"/>
        <v>0</v>
      </c>
      <c r="CL818" s="333">
        <f t="shared" si="19"/>
        <v>0</v>
      </c>
      <c r="CM818" s="797"/>
      <c r="CN818" s="796"/>
      <c r="CO818" s="796"/>
      <c r="CP818" s="796"/>
    </row>
    <row r="819">
      <c r="A819" s="794"/>
      <c r="B819" s="462" t="s">
        <v>1341</v>
      </c>
      <c r="C819" s="417">
        <v>44288.0</v>
      </c>
      <c r="D819" s="318"/>
      <c r="E819" s="319" t="s">
        <v>1447</v>
      </c>
      <c r="F819" s="324" t="s">
        <v>1448</v>
      </c>
      <c r="G819" s="321">
        <v>0.6708333333333333</v>
      </c>
      <c r="H819" s="323">
        <v>0.6711805555555556</v>
      </c>
      <c r="I819" s="323"/>
      <c r="J819" s="323"/>
      <c r="K819" s="323">
        <v>0.6713541666666667</v>
      </c>
      <c r="L819" s="323">
        <v>1.7361111111111112E-4</v>
      </c>
      <c r="M819" s="326" t="s">
        <v>358</v>
      </c>
      <c r="N819" s="324" t="s">
        <v>188</v>
      </c>
      <c r="O819" s="419" t="s">
        <v>378</v>
      </c>
      <c r="P819" s="319" t="s">
        <v>225</v>
      </c>
      <c r="Q819" s="319" t="s">
        <v>842</v>
      </c>
      <c r="R819" s="326">
        <v>22.4</v>
      </c>
      <c r="S819" s="319">
        <v>39.6</v>
      </c>
      <c r="T819" s="324">
        <v>1.0</v>
      </c>
      <c r="U819" s="319">
        <v>2.0</v>
      </c>
      <c r="V819" s="319"/>
      <c r="W819" s="319"/>
      <c r="X819" s="319"/>
      <c r="Y819" s="319"/>
      <c r="Z819" s="319" t="s">
        <v>1140</v>
      </c>
      <c r="AA819" s="319"/>
      <c r="AB819" s="319" t="s">
        <v>410</v>
      </c>
      <c r="AC819" s="327">
        <v>22.1</v>
      </c>
      <c r="AD819" s="319"/>
      <c r="AE819" s="319"/>
      <c r="AF819" s="319"/>
      <c r="AG819" s="319"/>
      <c r="AH819" s="319"/>
      <c r="AI819" s="319"/>
      <c r="AJ819" s="327"/>
      <c r="AK819" s="328"/>
      <c r="AL819" s="319"/>
      <c r="AM819" s="319"/>
      <c r="AN819" s="319"/>
      <c r="AO819" s="319"/>
      <c r="AP819" s="319"/>
      <c r="AQ819" s="319"/>
      <c r="AR819" s="319"/>
      <c r="AS819" s="327"/>
      <c r="AT819" s="461" t="s">
        <v>182</v>
      </c>
      <c r="AU819" s="324" t="s">
        <v>845</v>
      </c>
      <c r="AV819" s="330">
        <f>SQRT(($R819-Infrastructure!J$3)^2+($S819-Infrastructure!K$3)^2)</f>
        <v>25.09541791</v>
      </c>
      <c r="AW819" s="331">
        <f>SQRT(($R819-Infrastructure!J$4)^2+($S819-Infrastructure!K$4)^2)</f>
        <v>31.47268657</v>
      </c>
      <c r="AX819" s="331">
        <f>SQRT(($R819-Infrastructure!J$5)^2+($S819-Infrastructure!K$5)^2)</f>
        <v>41.29818398</v>
      </c>
      <c r="AY819" s="331">
        <f>SQRT(($R819-Infrastructure!J$6)^2+($S819-Infrastructure!K$6)^2)</f>
        <v>41.17984944</v>
      </c>
      <c r="AZ819" s="331">
        <f>SQRT(($R819-Infrastructure!J$7)^2+($S819-Infrastructure!K$7)^2)</f>
        <v>39.34590195</v>
      </c>
      <c r="BA819" s="331">
        <f>SQRT(($R819-Infrastructure!J$8)^2+($S819-Infrastructure!K$8)^2)</f>
        <v>40.04722213</v>
      </c>
      <c r="BB819" s="331">
        <f>SQRT(($R819-Infrastructure!J$9)^2+($S819-Infrastructure!K$9)^2)</f>
        <v>38.72996256</v>
      </c>
      <c r="BC819" s="331">
        <f>SQRT(($R819-Infrastructure!J$10)^2+($S819-Infrastructure!K$10)^2)</f>
        <v>30.24764454</v>
      </c>
      <c r="BD819" s="318"/>
      <c r="BE819" s="332"/>
      <c r="BF819" s="330">
        <f t="shared" si="14"/>
        <v>25.09541791</v>
      </c>
      <c r="BG819" s="333">
        <f t="shared" si="15"/>
        <v>41.29818398</v>
      </c>
      <c r="BH819" s="334"/>
      <c r="BI819" s="462" t="s">
        <v>846</v>
      </c>
      <c r="BJ819" s="319" t="s">
        <v>845</v>
      </c>
      <c r="BK819" s="319" t="s">
        <v>845</v>
      </c>
      <c r="BL819" s="788" t="s">
        <v>845</v>
      </c>
      <c r="BM819" s="319" t="s">
        <v>845</v>
      </c>
      <c r="BN819" s="319" t="s">
        <v>845</v>
      </c>
      <c r="BO819" s="319" t="s">
        <v>845</v>
      </c>
      <c r="BP819" s="319" t="s">
        <v>845</v>
      </c>
      <c r="BQ819" s="788" t="s">
        <v>845</v>
      </c>
      <c r="BR819" s="789" t="s">
        <v>845</v>
      </c>
      <c r="BS819" s="330">
        <f t="shared" si="39"/>
        <v>25.09541791</v>
      </c>
      <c r="BT819" s="331">
        <f t="shared" si="40"/>
        <v>25.09541791</v>
      </c>
      <c r="BU819" s="331"/>
      <c r="BV819" s="333"/>
      <c r="BW819" s="330"/>
      <c r="BX819" s="331"/>
      <c r="BY819" s="331" t="b">
        <f t="shared" si="41"/>
        <v>0</v>
      </c>
      <c r="BZ819" s="340"/>
      <c r="CA819" s="316"/>
      <c r="CB819" s="318"/>
      <c r="CC819" s="318"/>
      <c r="CD819" s="318"/>
      <c r="CE819" s="318"/>
      <c r="CF819" s="318"/>
      <c r="CG819" s="318"/>
      <c r="CH819" s="318"/>
      <c r="CI819" s="338"/>
      <c r="CJ819" s="341"/>
      <c r="CK819" s="342">
        <f t="shared" si="18"/>
        <v>0</v>
      </c>
      <c r="CL819" s="333">
        <f t="shared" si="19"/>
        <v>0</v>
      </c>
      <c r="CM819" s="797"/>
      <c r="CN819" s="796"/>
      <c r="CO819" s="796"/>
      <c r="CP819" s="796"/>
    </row>
    <row r="820">
      <c r="A820" s="794"/>
      <c r="B820" s="462" t="s">
        <v>1341</v>
      </c>
      <c r="C820" s="417">
        <v>44288.0</v>
      </c>
      <c r="D820" s="318"/>
      <c r="E820" s="319" t="s">
        <v>1449</v>
      </c>
      <c r="F820" s="324" t="s">
        <v>1450</v>
      </c>
      <c r="G820" s="321">
        <v>0.6713541666666667</v>
      </c>
      <c r="H820" s="323">
        <v>0.671875</v>
      </c>
      <c r="I820" s="323"/>
      <c r="J820" s="323"/>
      <c r="K820" s="323">
        <v>0.6722222222222223</v>
      </c>
      <c r="L820" s="323">
        <v>3.4722222222222224E-4</v>
      </c>
      <c r="M820" s="326" t="s">
        <v>358</v>
      </c>
      <c r="N820" s="324" t="s">
        <v>188</v>
      </c>
      <c r="O820" s="419" t="s">
        <v>378</v>
      </c>
      <c r="P820" s="319" t="s">
        <v>225</v>
      </c>
      <c r="Q820" s="319" t="s">
        <v>842</v>
      </c>
      <c r="R820" s="326">
        <v>22.4</v>
      </c>
      <c r="S820" s="319">
        <v>39.6</v>
      </c>
      <c r="T820" s="324">
        <v>1.0</v>
      </c>
      <c r="U820" s="319">
        <v>1.0</v>
      </c>
      <c r="V820" s="319"/>
      <c r="W820" s="319"/>
      <c r="X820" s="319"/>
      <c r="Y820" s="319"/>
      <c r="Z820" s="319" t="s">
        <v>1140</v>
      </c>
      <c r="AA820" s="319"/>
      <c r="AB820" s="319" t="s">
        <v>410</v>
      </c>
      <c r="AC820" s="327">
        <v>22.1</v>
      </c>
      <c r="AD820" s="319"/>
      <c r="AE820" s="319"/>
      <c r="AF820" s="319"/>
      <c r="AG820" s="319"/>
      <c r="AH820" s="319"/>
      <c r="AI820" s="319"/>
      <c r="AJ820" s="327"/>
      <c r="AK820" s="328"/>
      <c r="AL820" s="319"/>
      <c r="AM820" s="319"/>
      <c r="AN820" s="319"/>
      <c r="AO820" s="319"/>
      <c r="AP820" s="319"/>
      <c r="AQ820" s="319"/>
      <c r="AR820" s="319"/>
      <c r="AS820" s="327"/>
      <c r="AT820" s="461" t="s">
        <v>182</v>
      </c>
      <c r="AU820" s="324" t="s">
        <v>845</v>
      </c>
      <c r="AV820" s="330">
        <f>SQRT(($R820-Infrastructure!J$3)^2+($S820-Infrastructure!K$3)^2)</f>
        <v>25.09541791</v>
      </c>
      <c r="AW820" s="331">
        <f>SQRT(($R820-Infrastructure!J$4)^2+($S820-Infrastructure!K$4)^2)</f>
        <v>31.47268657</v>
      </c>
      <c r="AX820" s="331">
        <f>SQRT(($R820-Infrastructure!J$5)^2+($S820-Infrastructure!K$5)^2)</f>
        <v>41.29818398</v>
      </c>
      <c r="AY820" s="331">
        <f>SQRT(($R820-Infrastructure!J$6)^2+($S820-Infrastructure!K$6)^2)</f>
        <v>41.17984944</v>
      </c>
      <c r="AZ820" s="331">
        <f>SQRT(($R820-Infrastructure!J$7)^2+($S820-Infrastructure!K$7)^2)</f>
        <v>39.34590195</v>
      </c>
      <c r="BA820" s="331">
        <f>SQRT(($R820-Infrastructure!J$8)^2+($S820-Infrastructure!K$8)^2)</f>
        <v>40.04722213</v>
      </c>
      <c r="BB820" s="331">
        <f>SQRT(($R820-Infrastructure!J$9)^2+($S820-Infrastructure!K$9)^2)</f>
        <v>38.72996256</v>
      </c>
      <c r="BC820" s="331">
        <f>SQRT(($R820-Infrastructure!J$10)^2+($S820-Infrastructure!K$10)^2)</f>
        <v>30.24764454</v>
      </c>
      <c r="BD820" s="318"/>
      <c r="BE820" s="332"/>
      <c r="BF820" s="330">
        <f t="shared" si="14"/>
        <v>25.09541791</v>
      </c>
      <c r="BG820" s="333">
        <f t="shared" si="15"/>
        <v>41.29818398</v>
      </c>
      <c r="BH820" s="334"/>
      <c r="BI820" s="462" t="s">
        <v>845</v>
      </c>
      <c r="BJ820" s="319" t="s">
        <v>845</v>
      </c>
      <c r="BK820" s="319" t="s">
        <v>845</v>
      </c>
      <c r="BL820" s="788" t="s">
        <v>845</v>
      </c>
      <c r="BM820" s="319" t="s">
        <v>845</v>
      </c>
      <c r="BN820" s="319" t="s">
        <v>845</v>
      </c>
      <c r="BO820" s="319" t="s">
        <v>845</v>
      </c>
      <c r="BP820" s="319" t="s">
        <v>845</v>
      </c>
      <c r="BQ820" s="788" t="s">
        <v>845</v>
      </c>
      <c r="BR820" s="789" t="s">
        <v>845</v>
      </c>
      <c r="BS820" s="330">
        <f t="shared" si="39"/>
        <v>0</v>
      </c>
      <c r="BT820" s="331">
        <f t="shared" si="40"/>
        <v>0</v>
      </c>
      <c r="BU820" s="331"/>
      <c r="BV820" s="333"/>
      <c r="BW820" s="330"/>
      <c r="BX820" s="331"/>
      <c r="BY820" s="331" t="b">
        <f t="shared" si="41"/>
        <v>0</v>
      </c>
      <c r="BZ820" s="340"/>
      <c r="CA820" s="316"/>
      <c r="CB820" s="318"/>
      <c r="CC820" s="318"/>
      <c r="CD820" s="318"/>
      <c r="CE820" s="318"/>
      <c r="CF820" s="318"/>
      <c r="CG820" s="318"/>
      <c r="CH820" s="318"/>
      <c r="CI820" s="338"/>
      <c r="CJ820" s="341"/>
      <c r="CK820" s="342">
        <f t="shared" si="18"/>
        <v>0</v>
      </c>
      <c r="CL820" s="333">
        <f t="shared" si="19"/>
        <v>0</v>
      </c>
      <c r="CM820" s="797"/>
      <c r="CN820" s="796"/>
      <c r="CO820" s="796"/>
      <c r="CP820" s="796"/>
    </row>
    <row r="821">
      <c r="A821" s="819"/>
      <c r="B821" s="635" t="s">
        <v>1341</v>
      </c>
      <c r="C821" s="769">
        <v>44288.0</v>
      </c>
      <c r="D821" s="640"/>
      <c r="E821" s="640"/>
      <c r="F821" s="637" t="s">
        <v>1451</v>
      </c>
      <c r="G821" s="770">
        <v>0.6805555555555556</v>
      </c>
      <c r="H821" s="782"/>
      <c r="I821" s="782"/>
      <c r="J821" s="782"/>
      <c r="K821" s="771">
        <v>0.6826388888888889</v>
      </c>
      <c r="L821" s="771">
        <v>0.0020833333333333333</v>
      </c>
      <c r="M821" s="772" t="s">
        <v>358</v>
      </c>
      <c r="N821" s="637" t="s">
        <v>188</v>
      </c>
      <c r="O821" s="783"/>
      <c r="P821" s="663" t="s">
        <v>231</v>
      </c>
      <c r="Q821" s="640"/>
      <c r="R821" s="784"/>
      <c r="S821" s="640"/>
      <c r="T821" s="739"/>
      <c r="U821" s="640"/>
      <c r="V821" s="640"/>
      <c r="W821" s="640"/>
      <c r="X821" s="640"/>
      <c r="Y821" s="640"/>
      <c r="Z821" s="640"/>
      <c r="AA821" s="640"/>
      <c r="AB821" s="640"/>
      <c r="AC821" s="785"/>
      <c r="AD821" s="640"/>
      <c r="AE821" s="640"/>
      <c r="AF821" s="640"/>
      <c r="AG821" s="640"/>
      <c r="AH821" s="640"/>
      <c r="AI821" s="640"/>
      <c r="AJ821" s="785"/>
      <c r="AK821" s="786"/>
      <c r="AL821" s="640"/>
      <c r="AM821" s="640"/>
      <c r="AN821" s="640"/>
      <c r="AO821" s="640"/>
      <c r="AP821" s="640"/>
      <c r="AQ821" s="640"/>
      <c r="AR821" s="640"/>
      <c r="AS821" s="785"/>
      <c r="AT821" s="787"/>
      <c r="AU821" s="739"/>
      <c r="AV821" s="662">
        <f>SQRT(($R821-Infrastructure!J$3)^2+($S821-Infrastructure!K$3)^2)</f>
        <v>28.90155705</v>
      </c>
      <c r="AW821" s="641">
        <f>SQRT(($R821-Infrastructure!J$4)^2+($S821-Infrastructure!K$4)^2)</f>
        <v>17.80252791</v>
      </c>
      <c r="AX821" s="641">
        <f>SQRT(($R821-Infrastructure!J$5)^2+($S821-Infrastructure!K$5)^2)</f>
        <v>5.10881591</v>
      </c>
      <c r="AY821" s="641">
        <f>SQRT(($R821-Infrastructure!J$6)^2+($S821-Infrastructure!K$6)^2)</f>
        <v>10.10445446</v>
      </c>
      <c r="AZ821" s="641">
        <f>SQRT(($R821-Infrastructure!J$7)^2+($S821-Infrastructure!K$7)^2)</f>
        <v>20.502195</v>
      </c>
      <c r="BA821" s="641">
        <f>SQRT(($R821-Infrastructure!J$8)^2+($S821-Infrastructure!K$8)^2)</f>
        <v>30.10149498</v>
      </c>
      <c r="BB821" s="641">
        <f>SQRT(($R821-Infrastructure!J$9)^2+($S821-Infrastructure!K$9)^2)</f>
        <v>40.3238143</v>
      </c>
      <c r="BC821" s="641">
        <f>SQRT(($R821-Infrastructure!J$10)^2+($S821-Infrastructure!K$10)^2)</f>
        <v>42.72001873</v>
      </c>
      <c r="BD821" s="318"/>
      <c r="BE821" s="332"/>
      <c r="BF821" s="330">
        <f t="shared" si="14"/>
        <v>5.10881591</v>
      </c>
      <c r="BG821" s="333">
        <f t="shared" si="15"/>
        <v>42.72001873</v>
      </c>
      <c r="BH821" s="774"/>
      <c r="BI821" s="635" t="s">
        <v>846</v>
      </c>
      <c r="BJ821" s="663" t="s">
        <v>846</v>
      </c>
      <c r="BK821" s="663" t="s">
        <v>846</v>
      </c>
      <c r="BL821" s="790" t="s">
        <v>845</v>
      </c>
      <c r="BM821" s="663" t="s">
        <v>846</v>
      </c>
      <c r="BN821" s="663" t="s">
        <v>845</v>
      </c>
      <c r="BO821" s="663" t="s">
        <v>845</v>
      </c>
      <c r="BP821" s="663" t="s">
        <v>846</v>
      </c>
      <c r="BQ821" s="788" t="s">
        <v>845</v>
      </c>
      <c r="BR821" s="789" t="s">
        <v>845</v>
      </c>
      <c r="BS821" s="330">
        <f t="shared" si="39"/>
        <v>5.10881591</v>
      </c>
      <c r="BT821" s="331">
        <f t="shared" si="40"/>
        <v>42.72001873</v>
      </c>
      <c r="BU821" s="331"/>
      <c r="BV821" s="642"/>
      <c r="BW821" s="662"/>
      <c r="BX821" s="641"/>
      <c r="BY821" s="331" t="b">
        <f t="shared" si="41"/>
        <v>0</v>
      </c>
      <c r="BZ821" s="340"/>
      <c r="CA821" s="635" t="s">
        <v>846</v>
      </c>
      <c r="CB821" s="663" t="s">
        <v>846</v>
      </c>
      <c r="CC821" s="663" t="s">
        <v>846</v>
      </c>
      <c r="CD821" s="663" t="s">
        <v>846</v>
      </c>
      <c r="CE821" s="640"/>
      <c r="CF821" s="663" t="s">
        <v>846</v>
      </c>
      <c r="CG821" s="640"/>
      <c r="CH821" s="663" t="s">
        <v>846</v>
      </c>
      <c r="CI821" s="338"/>
      <c r="CJ821" s="341"/>
      <c r="CK821" s="342">
        <f t="shared" si="18"/>
        <v>5.10881591</v>
      </c>
      <c r="CL821" s="333">
        <f t="shared" si="19"/>
        <v>42.72001873</v>
      </c>
      <c r="CM821" s="647"/>
      <c r="CN821" s="617"/>
      <c r="CO821" s="617"/>
      <c r="CP821" s="617"/>
    </row>
    <row r="822">
      <c r="A822" s="389" t="s">
        <v>46</v>
      </c>
      <c r="B822" s="573" t="s">
        <v>1452</v>
      </c>
      <c r="C822" s="391">
        <v>44300.0</v>
      </c>
      <c r="D822" s="392"/>
      <c r="E822" s="393" t="s">
        <v>1453</v>
      </c>
      <c r="F822" s="394" t="s">
        <v>1454</v>
      </c>
      <c r="G822" s="395">
        <v>0.6699074074074074</v>
      </c>
      <c r="H822" s="456">
        <v>0.6703703703703704</v>
      </c>
      <c r="I822" s="456"/>
      <c r="J822" s="456"/>
      <c r="K822" s="456">
        <v>0.6715856481481481</v>
      </c>
      <c r="L822" s="456">
        <v>0.0012152777777777778</v>
      </c>
      <c r="M822" s="400" t="s">
        <v>166</v>
      </c>
      <c r="N822" s="394" t="s">
        <v>188</v>
      </c>
      <c r="O822" s="399" t="s">
        <v>378</v>
      </c>
      <c r="P822" s="393" t="s">
        <v>225</v>
      </c>
      <c r="Q822" s="393" t="s">
        <v>842</v>
      </c>
      <c r="R822" s="400">
        <v>22.4</v>
      </c>
      <c r="S822" s="393">
        <v>39.6</v>
      </c>
      <c r="T822" s="394">
        <v>1.0</v>
      </c>
      <c r="U822" s="393">
        <v>7.5</v>
      </c>
      <c r="V822" s="393"/>
      <c r="W822" s="393"/>
      <c r="X822" s="393"/>
      <c r="Y822" s="393"/>
      <c r="Z822" s="393" t="s">
        <v>1140</v>
      </c>
      <c r="AA822" s="393"/>
      <c r="AB822" s="393" t="s">
        <v>407</v>
      </c>
      <c r="AC822" s="401">
        <v>15.75</v>
      </c>
      <c r="AD822" s="393"/>
      <c r="AE822" s="393"/>
      <c r="AF822" s="393"/>
      <c r="AG822" s="393"/>
      <c r="AH822" s="393"/>
      <c r="AI822" s="393"/>
      <c r="AJ822" s="401"/>
      <c r="AK822" s="402"/>
      <c r="AL822" s="393"/>
      <c r="AM822" s="393"/>
      <c r="AN822" s="393"/>
      <c r="AO822" s="393"/>
      <c r="AP822" s="393"/>
      <c r="AQ822" s="393"/>
      <c r="AR822" s="393"/>
      <c r="AS822" s="401"/>
      <c r="AT822" s="460" t="s">
        <v>182</v>
      </c>
      <c r="AU822" s="394" t="s">
        <v>845</v>
      </c>
      <c r="AV822" s="405">
        <f>SQRT(($R822-Infrastructure!J$3)^2+($S822-Infrastructure!K$3)^2)</f>
        <v>25.09541791</v>
      </c>
      <c r="AW822" s="406">
        <f>SQRT(($R822-Infrastructure!J$4)^2+($S822-Infrastructure!K$4)^2)</f>
        <v>31.47268657</v>
      </c>
      <c r="AX822" s="406">
        <f>SQRT(($R822-Infrastructure!J$5)^2+($S822-Infrastructure!K$5)^2)</f>
        <v>41.29818398</v>
      </c>
      <c r="AY822" s="406">
        <f>SQRT(($R822-Infrastructure!J$6)^2+($S822-Infrastructure!K$6)^2)</f>
        <v>41.17984944</v>
      </c>
      <c r="AZ822" s="406">
        <f>SQRT(($R822-Infrastructure!J$7)^2+($S822-Infrastructure!K$7)^2)</f>
        <v>39.34590195</v>
      </c>
      <c r="BA822" s="406">
        <f>SQRT(($R822-Infrastructure!J$8)^2+($S822-Infrastructure!K$8)^2)</f>
        <v>40.04722213</v>
      </c>
      <c r="BB822" s="406">
        <f>SQRT(($R822-Infrastructure!J$9)^2+($S822-Infrastructure!K$9)^2)</f>
        <v>38.72996256</v>
      </c>
      <c r="BC822" s="406">
        <f>SQRT(($R822-Infrastructure!J$10)^2+($S822-Infrastructure!K$10)^2)</f>
        <v>30.24764454</v>
      </c>
      <c r="BD822" s="392"/>
      <c r="BE822" s="407"/>
      <c r="BF822" s="330">
        <f t="shared" si="14"/>
        <v>25.09541791</v>
      </c>
      <c r="BG822" s="333">
        <f t="shared" si="15"/>
        <v>41.29818398</v>
      </c>
      <c r="BH822" s="409"/>
      <c r="BI822" s="390" t="s">
        <v>845</v>
      </c>
      <c r="BJ822" s="392" t="s">
        <v>845</v>
      </c>
      <c r="BK822" s="392" t="s">
        <v>845</v>
      </c>
      <c r="BL822" s="392" t="s">
        <v>845</v>
      </c>
      <c r="BM822" s="392" t="s">
        <v>845</v>
      </c>
      <c r="BN822" s="392" t="s">
        <v>845</v>
      </c>
      <c r="BO822" s="392" t="s">
        <v>845</v>
      </c>
      <c r="BP822" s="392" t="s">
        <v>845</v>
      </c>
      <c r="BQ822" s="410" t="s">
        <v>845</v>
      </c>
      <c r="BR822" s="411" t="s">
        <v>845</v>
      </c>
      <c r="BS822" s="330">
        <f t="shared" si="39"/>
        <v>0</v>
      </c>
      <c r="BT822" s="331">
        <f t="shared" si="40"/>
        <v>0</v>
      </c>
      <c r="BU822" s="331"/>
      <c r="BV822" s="408"/>
      <c r="BW822" s="405"/>
      <c r="BX822" s="406"/>
      <c r="BY822" s="406" t="b">
        <f t="shared" si="41"/>
        <v>0</v>
      </c>
      <c r="BZ822" s="412"/>
      <c r="CA822" s="573" t="s">
        <v>845</v>
      </c>
      <c r="CB822" s="393" t="s">
        <v>845</v>
      </c>
      <c r="CC822" s="392"/>
      <c r="CD822" s="393" t="s">
        <v>845</v>
      </c>
      <c r="CE822" s="393" t="s">
        <v>845</v>
      </c>
      <c r="CF822" s="393" t="s">
        <v>845</v>
      </c>
      <c r="CG822" s="393" t="s">
        <v>845</v>
      </c>
      <c r="CH822" s="392"/>
      <c r="CI822" s="792" t="s">
        <v>845</v>
      </c>
      <c r="CJ822" s="820" t="s">
        <v>845</v>
      </c>
      <c r="CK822" s="342">
        <f t="shared" si="18"/>
        <v>0</v>
      </c>
      <c r="CL822" s="333">
        <f t="shared" si="19"/>
        <v>0</v>
      </c>
      <c r="CM822" s="656"/>
      <c r="CN822" s="617"/>
      <c r="CO822" s="617"/>
      <c r="CP822" s="617"/>
    </row>
    <row r="823">
      <c r="B823" s="462" t="s">
        <v>1452</v>
      </c>
      <c r="C823" s="417">
        <v>44300.0</v>
      </c>
      <c r="D823" s="318"/>
      <c r="E823" s="319" t="s">
        <v>1455</v>
      </c>
      <c r="F823" s="324" t="s">
        <v>1456</v>
      </c>
      <c r="G823" s="321">
        <v>0.6715856481481481</v>
      </c>
      <c r="H823" s="323">
        <v>0.6718171296296296</v>
      </c>
      <c r="I823" s="323"/>
      <c r="J823" s="323"/>
      <c r="K823" s="323">
        <v>0.6743055555555556</v>
      </c>
      <c r="L823" s="323">
        <v>0.002488425925925926</v>
      </c>
      <c r="M823" s="326" t="s">
        <v>166</v>
      </c>
      <c r="N823" s="324" t="s">
        <v>188</v>
      </c>
      <c r="O823" s="419" t="s">
        <v>378</v>
      </c>
      <c r="P823" s="319" t="s">
        <v>225</v>
      </c>
      <c r="Q823" s="319" t="s">
        <v>842</v>
      </c>
      <c r="R823" s="326">
        <v>22.4</v>
      </c>
      <c r="S823" s="319">
        <v>39.6</v>
      </c>
      <c r="T823" s="324">
        <v>1.0</v>
      </c>
      <c r="U823" s="319">
        <v>5.0</v>
      </c>
      <c r="V823" s="319"/>
      <c r="W823" s="319"/>
      <c r="X823" s="319"/>
      <c r="Y823" s="319"/>
      <c r="Z823" s="319" t="s">
        <v>1140</v>
      </c>
      <c r="AA823" s="319"/>
      <c r="AB823" s="319" t="s">
        <v>407</v>
      </c>
      <c r="AC823" s="327">
        <v>15.75</v>
      </c>
      <c r="AD823" s="319"/>
      <c r="AE823" s="319"/>
      <c r="AF823" s="319"/>
      <c r="AG823" s="319"/>
      <c r="AH823" s="319"/>
      <c r="AI823" s="319"/>
      <c r="AJ823" s="327"/>
      <c r="AK823" s="328"/>
      <c r="AL823" s="319"/>
      <c r="AM823" s="319"/>
      <c r="AN823" s="319"/>
      <c r="AO823" s="319"/>
      <c r="AP823" s="319"/>
      <c r="AQ823" s="319"/>
      <c r="AR823" s="319"/>
      <c r="AS823" s="327"/>
      <c r="AT823" s="461" t="s">
        <v>182</v>
      </c>
      <c r="AU823" s="324" t="s">
        <v>845</v>
      </c>
      <c r="AV823" s="330">
        <f>SQRT(($R823-Infrastructure!J$3)^2+($S823-Infrastructure!K$3)^2)</f>
        <v>25.09541791</v>
      </c>
      <c r="AW823" s="331">
        <f>SQRT(($R823-Infrastructure!J$4)^2+($S823-Infrastructure!K$4)^2)</f>
        <v>31.47268657</v>
      </c>
      <c r="AX823" s="331">
        <f>SQRT(($R823-Infrastructure!J$5)^2+($S823-Infrastructure!K$5)^2)</f>
        <v>41.29818398</v>
      </c>
      <c r="AY823" s="331">
        <f>SQRT(($R823-Infrastructure!J$6)^2+($S823-Infrastructure!K$6)^2)</f>
        <v>41.17984944</v>
      </c>
      <c r="AZ823" s="331">
        <f>SQRT(($R823-Infrastructure!J$7)^2+($S823-Infrastructure!K$7)^2)</f>
        <v>39.34590195</v>
      </c>
      <c r="BA823" s="331">
        <f>SQRT(($R823-Infrastructure!J$8)^2+($S823-Infrastructure!K$8)^2)</f>
        <v>40.04722213</v>
      </c>
      <c r="BB823" s="331">
        <f>SQRT(($R823-Infrastructure!J$9)^2+($S823-Infrastructure!K$9)^2)</f>
        <v>38.72996256</v>
      </c>
      <c r="BC823" s="331">
        <f>SQRT(($R823-Infrastructure!J$10)^2+($S823-Infrastructure!K$10)^2)</f>
        <v>30.24764454</v>
      </c>
      <c r="BD823" s="318"/>
      <c r="BE823" s="332"/>
      <c r="BF823" s="330">
        <f t="shared" si="14"/>
        <v>25.09541791</v>
      </c>
      <c r="BG823" s="333">
        <f t="shared" si="15"/>
        <v>41.29818398</v>
      </c>
      <c r="BH823" s="334"/>
      <c r="BI823" s="316" t="s">
        <v>845</v>
      </c>
      <c r="BJ823" s="318" t="s">
        <v>845</v>
      </c>
      <c r="BK823" s="318" t="s">
        <v>845</v>
      </c>
      <c r="BL823" s="318" t="s">
        <v>845</v>
      </c>
      <c r="BM823" s="318" t="s">
        <v>845</v>
      </c>
      <c r="BN823" s="318" t="s">
        <v>845</v>
      </c>
      <c r="BO823" s="318" t="s">
        <v>845</v>
      </c>
      <c r="BP823" s="318" t="s">
        <v>845</v>
      </c>
      <c r="BQ823" s="338" t="s">
        <v>845</v>
      </c>
      <c r="BR823" s="420" t="s">
        <v>845</v>
      </c>
      <c r="BS823" s="330">
        <f t="shared" si="39"/>
        <v>0</v>
      </c>
      <c r="BT823" s="331">
        <f t="shared" si="40"/>
        <v>0</v>
      </c>
      <c r="BU823" s="331"/>
      <c r="BV823" s="333"/>
      <c r="BW823" s="330"/>
      <c r="BX823" s="331"/>
      <c r="BY823" s="331" t="b">
        <f t="shared" si="41"/>
        <v>0</v>
      </c>
      <c r="BZ823" s="340"/>
      <c r="CA823" s="462" t="s">
        <v>845</v>
      </c>
      <c r="CB823" s="319" t="s">
        <v>845</v>
      </c>
      <c r="CC823" s="318"/>
      <c r="CD823" s="319" t="s">
        <v>845</v>
      </c>
      <c r="CE823" s="319" t="s">
        <v>845</v>
      </c>
      <c r="CF823" s="319" t="s">
        <v>845</v>
      </c>
      <c r="CG823" s="319" t="s">
        <v>845</v>
      </c>
      <c r="CH823" s="318"/>
      <c r="CI823" s="788" t="s">
        <v>845</v>
      </c>
      <c r="CJ823" s="821" t="s">
        <v>845</v>
      </c>
      <c r="CK823" s="342">
        <f t="shared" si="18"/>
        <v>0</v>
      </c>
      <c r="CL823" s="333">
        <f t="shared" si="19"/>
        <v>0</v>
      </c>
      <c r="CM823" s="616"/>
      <c r="CN823" s="617"/>
      <c r="CO823" s="617"/>
      <c r="CP823" s="617"/>
    </row>
    <row r="824">
      <c r="B824" s="462" t="s">
        <v>1452</v>
      </c>
      <c r="C824" s="417">
        <v>44300.0</v>
      </c>
      <c r="D824" s="318"/>
      <c r="E824" s="319" t="s">
        <v>1457</v>
      </c>
      <c r="F824" s="324" t="s">
        <v>1458</v>
      </c>
      <c r="G824" s="321">
        <v>0.6743055555555556</v>
      </c>
      <c r="H824" s="323">
        <v>0.675</v>
      </c>
      <c r="I824" s="323"/>
      <c r="J824" s="323"/>
      <c r="K824" s="323">
        <v>0.6774305555555555</v>
      </c>
      <c r="L824" s="323">
        <v>0.0024305555555555556</v>
      </c>
      <c r="M824" s="326" t="s">
        <v>166</v>
      </c>
      <c r="N824" s="324" t="s">
        <v>188</v>
      </c>
      <c r="O824" s="419" t="s">
        <v>378</v>
      </c>
      <c r="P824" s="319" t="s">
        <v>225</v>
      </c>
      <c r="Q824" s="319" t="s">
        <v>842</v>
      </c>
      <c r="R824" s="326">
        <v>22.4</v>
      </c>
      <c r="S824" s="319">
        <v>39.6</v>
      </c>
      <c r="T824" s="324">
        <v>1.0</v>
      </c>
      <c r="U824" s="319">
        <v>3.0</v>
      </c>
      <c r="V824" s="319"/>
      <c r="W824" s="319"/>
      <c r="X824" s="319"/>
      <c r="Y824" s="319"/>
      <c r="Z824" s="319" t="s">
        <v>1140</v>
      </c>
      <c r="AA824" s="319"/>
      <c r="AB824" s="319" t="s">
        <v>407</v>
      </c>
      <c r="AC824" s="327">
        <v>15.75</v>
      </c>
      <c r="AD824" s="319"/>
      <c r="AE824" s="319"/>
      <c r="AF824" s="319"/>
      <c r="AG824" s="319"/>
      <c r="AH824" s="319"/>
      <c r="AI824" s="319"/>
      <c r="AJ824" s="327"/>
      <c r="AK824" s="328"/>
      <c r="AL824" s="319"/>
      <c r="AM824" s="319"/>
      <c r="AN824" s="319"/>
      <c r="AO824" s="319"/>
      <c r="AP824" s="319"/>
      <c r="AQ824" s="319"/>
      <c r="AR824" s="319"/>
      <c r="AS824" s="327"/>
      <c r="AT824" s="461" t="s">
        <v>182</v>
      </c>
      <c r="AU824" s="324" t="s">
        <v>845</v>
      </c>
      <c r="AV824" s="330">
        <f>SQRT(($R824-Infrastructure!J$3)^2+($S824-Infrastructure!K$3)^2)</f>
        <v>25.09541791</v>
      </c>
      <c r="AW824" s="331">
        <f>SQRT(($R824-Infrastructure!J$4)^2+($S824-Infrastructure!K$4)^2)</f>
        <v>31.47268657</v>
      </c>
      <c r="AX824" s="331">
        <f>SQRT(($R824-Infrastructure!J$5)^2+($S824-Infrastructure!K$5)^2)</f>
        <v>41.29818398</v>
      </c>
      <c r="AY824" s="331">
        <f>SQRT(($R824-Infrastructure!J$6)^2+($S824-Infrastructure!K$6)^2)</f>
        <v>41.17984944</v>
      </c>
      <c r="AZ824" s="331">
        <f>SQRT(($R824-Infrastructure!J$7)^2+($S824-Infrastructure!K$7)^2)</f>
        <v>39.34590195</v>
      </c>
      <c r="BA824" s="331">
        <f>SQRT(($R824-Infrastructure!J$8)^2+($S824-Infrastructure!K$8)^2)</f>
        <v>40.04722213</v>
      </c>
      <c r="BB824" s="331">
        <f>SQRT(($R824-Infrastructure!J$9)^2+($S824-Infrastructure!K$9)^2)</f>
        <v>38.72996256</v>
      </c>
      <c r="BC824" s="331">
        <f>SQRT(($R824-Infrastructure!J$10)^2+($S824-Infrastructure!K$10)^2)</f>
        <v>30.24764454</v>
      </c>
      <c r="BD824" s="318"/>
      <c r="BE824" s="332"/>
      <c r="BF824" s="330">
        <f t="shared" si="14"/>
        <v>25.09541791</v>
      </c>
      <c r="BG824" s="333">
        <f t="shared" si="15"/>
        <v>41.29818398</v>
      </c>
      <c r="BH824" s="334"/>
      <c r="BI824" s="316" t="s">
        <v>845</v>
      </c>
      <c r="BJ824" s="318" t="s">
        <v>845</v>
      </c>
      <c r="BK824" s="318" t="s">
        <v>845</v>
      </c>
      <c r="BL824" s="318" t="s">
        <v>845</v>
      </c>
      <c r="BM824" s="318" t="s">
        <v>845</v>
      </c>
      <c r="BN824" s="318" t="s">
        <v>845</v>
      </c>
      <c r="BO824" s="318" t="s">
        <v>845</v>
      </c>
      <c r="BP824" s="318" t="s">
        <v>845</v>
      </c>
      <c r="BQ824" s="338" t="s">
        <v>845</v>
      </c>
      <c r="BR824" s="420" t="s">
        <v>845</v>
      </c>
      <c r="BS824" s="330">
        <f t="shared" si="39"/>
        <v>0</v>
      </c>
      <c r="BT824" s="331">
        <f t="shared" si="40"/>
        <v>0</v>
      </c>
      <c r="BU824" s="331"/>
      <c r="BV824" s="333"/>
      <c r="BW824" s="330"/>
      <c r="BX824" s="331"/>
      <c r="BY824" s="331" t="b">
        <f t="shared" si="41"/>
        <v>0</v>
      </c>
      <c r="BZ824" s="340"/>
      <c r="CA824" s="462" t="s">
        <v>845</v>
      </c>
      <c r="CB824" s="319" t="s">
        <v>845</v>
      </c>
      <c r="CC824" s="318"/>
      <c r="CD824" s="319" t="s">
        <v>845</v>
      </c>
      <c r="CE824" s="319" t="s">
        <v>845</v>
      </c>
      <c r="CF824" s="319" t="s">
        <v>845</v>
      </c>
      <c r="CG824" s="319" t="s">
        <v>845</v>
      </c>
      <c r="CH824" s="318"/>
      <c r="CI824" s="788" t="s">
        <v>845</v>
      </c>
      <c r="CJ824" s="821" t="s">
        <v>845</v>
      </c>
      <c r="CK824" s="342">
        <f t="shared" si="18"/>
        <v>0</v>
      </c>
      <c r="CL824" s="333">
        <f t="shared" si="19"/>
        <v>0</v>
      </c>
      <c r="CM824" s="616"/>
      <c r="CN824" s="617"/>
      <c r="CO824" s="617"/>
      <c r="CP824" s="617"/>
    </row>
    <row r="825">
      <c r="A825" s="634"/>
      <c r="B825" s="635" t="s">
        <v>1452</v>
      </c>
      <c r="C825" s="769">
        <v>44300.0</v>
      </c>
      <c r="D825" s="640"/>
      <c r="E825" s="663" t="s">
        <v>1459</v>
      </c>
      <c r="F825" s="637" t="s">
        <v>1460</v>
      </c>
      <c r="G825" s="770">
        <v>0.6774305555555555</v>
      </c>
      <c r="H825" s="771">
        <v>0.6780092592592593</v>
      </c>
      <c r="I825" s="771"/>
      <c r="J825" s="771"/>
      <c r="K825" s="771">
        <v>0.68125</v>
      </c>
      <c r="L825" s="771">
        <v>0.0032407407407407406</v>
      </c>
      <c r="M825" s="772" t="s">
        <v>166</v>
      </c>
      <c r="N825" s="637" t="s">
        <v>188</v>
      </c>
      <c r="O825" s="731" t="s">
        <v>378</v>
      </c>
      <c r="P825" s="663" t="s">
        <v>225</v>
      </c>
      <c r="Q825" s="663" t="s">
        <v>842</v>
      </c>
      <c r="R825" s="772">
        <v>22.4</v>
      </c>
      <c r="S825" s="663">
        <v>39.6</v>
      </c>
      <c r="T825" s="637">
        <v>1.0</v>
      </c>
      <c r="U825" s="663">
        <v>2.0</v>
      </c>
      <c r="V825" s="663"/>
      <c r="W825" s="663"/>
      <c r="X825" s="663"/>
      <c r="Y825" s="663"/>
      <c r="Z825" s="663" t="s">
        <v>1140</v>
      </c>
      <c r="AA825" s="663"/>
      <c r="AB825" s="663" t="s">
        <v>407</v>
      </c>
      <c r="AC825" s="773">
        <v>15.75</v>
      </c>
      <c r="AD825" s="319"/>
      <c r="AE825" s="319"/>
      <c r="AF825" s="319"/>
      <c r="AG825" s="319"/>
      <c r="AH825" s="319"/>
      <c r="AI825" s="319"/>
      <c r="AJ825" s="327"/>
      <c r="AK825" s="328"/>
      <c r="AL825" s="319"/>
      <c r="AM825" s="319"/>
      <c r="AN825" s="319"/>
      <c r="AO825" s="319"/>
      <c r="AP825" s="319"/>
      <c r="AQ825" s="319"/>
      <c r="AR825" s="319"/>
      <c r="AS825" s="327"/>
      <c r="AT825" s="461" t="s">
        <v>182</v>
      </c>
      <c r="AU825" s="324" t="s">
        <v>845</v>
      </c>
      <c r="AV825" s="330">
        <f>SQRT(($R825-Infrastructure!J$3)^2+($S825-Infrastructure!K$3)^2)</f>
        <v>25.09541791</v>
      </c>
      <c r="AW825" s="331">
        <f>SQRT(($R825-Infrastructure!J$4)^2+($S825-Infrastructure!K$4)^2)</f>
        <v>31.47268657</v>
      </c>
      <c r="AX825" s="331">
        <f>SQRT(($R825-Infrastructure!J$5)^2+($S825-Infrastructure!K$5)^2)</f>
        <v>41.29818398</v>
      </c>
      <c r="AY825" s="331">
        <f>SQRT(($R825-Infrastructure!J$6)^2+($S825-Infrastructure!K$6)^2)</f>
        <v>41.17984944</v>
      </c>
      <c r="AZ825" s="331">
        <f>SQRT(($R825-Infrastructure!J$7)^2+($S825-Infrastructure!K$7)^2)</f>
        <v>39.34590195</v>
      </c>
      <c r="BA825" s="331">
        <f>SQRT(($R825-Infrastructure!J$8)^2+($S825-Infrastructure!K$8)^2)</f>
        <v>40.04722213</v>
      </c>
      <c r="BB825" s="331">
        <f>SQRT(($R825-Infrastructure!J$9)^2+($S825-Infrastructure!K$9)^2)</f>
        <v>38.72996256</v>
      </c>
      <c r="BC825" s="331">
        <f>SQRT(($R825-Infrastructure!J$10)^2+($S825-Infrastructure!K$10)^2)</f>
        <v>30.24764454</v>
      </c>
      <c r="BD825" s="318"/>
      <c r="BE825" s="332"/>
      <c r="BF825" s="330">
        <f t="shared" si="14"/>
        <v>25.09541791</v>
      </c>
      <c r="BG825" s="333">
        <f t="shared" si="15"/>
        <v>41.29818398</v>
      </c>
      <c r="BH825" s="774"/>
      <c r="BI825" s="639" t="s">
        <v>845</v>
      </c>
      <c r="BJ825" s="640" t="s">
        <v>845</v>
      </c>
      <c r="BK825" s="640" t="s">
        <v>845</v>
      </c>
      <c r="BL825" s="640" t="s">
        <v>845</v>
      </c>
      <c r="BM825" s="640" t="s">
        <v>845</v>
      </c>
      <c r="BN825" s="640" t="s">
        <v>845</v>
      </c>
      <c r="BO825" s="640" t="s">
        <v>845</v>
      </c>
      <c r="BP825" s="640" t="s">
        <v>845</v>
      </c>
      <c r="BQ825" s="645" t="s">
        <v>845</v>
      </c>
      <c r="BR825" s="741" t="s">
        <v>845</v>
      </c>
      <c r="BS825" s="330">
        <f t="shared" si="39"/>
        <v>0</v>
      </c>
      <c r="BT825" s="331">
        <f t="shared" si="40"/>
        <v>0</v>
      </c>
      <c r="BU825" s="331"/>
      <c r="BV825" s="642"/>
      <c r="BW825" s="662"/>
      <c r="BX825" s="641"/>
      <c r="BY825" s="331" t="b">
        <f t="shared" si="41"/>
        <v>0</v>
      </c>
      <c r="BZ825" s="742"/>
      <c r="CA825" s="635" t="s">
        <v>845</v>
      </c>
      <c r="CB825" s="663" t="s">
        <v>845</v>
      </c>
      <c r="CC825" s="640"/>
      <c r="CD825" s="663" t="s">
        <v>845</v>
      </c>
      <c r="CE825" s="663" t="s">
        <v>845</v>
      </c>
      <c r="CF825" s="663" t="s">
        <v>845</v>
      </c>
      <c r="CG825" s="663" t="s">
        <v>845</v>
      </c>
      <c r="CH825" s="640"/>
      <c r="CI825" s="790" t="s">
        <v>845</v>
      </c>
      <c r="CJ825" s="822" t="s">
        <v>845</v>
      </c>
      <c r="CK825" s="342">
        <f t="shared" si="18"/>
        <v>0</v>
      </c>
      <c r="CL825" s="333">
        <f t="shared" si="19"/>
        <v>0</v>
      </c>
      <c r="CM825" s="647"/>
      <c r="CN825" s="617"/>
      <c r="CO825" s="617"/>
      <c r="CP825" s="617"/>
    </row>
    <row r="826">
      <c r="A826" s="389" t="s">
        <v>42</v>
      </c>
      <c r="B826" s="573" t="s">
        <v>1452</v>
      </c>
      <c r="C826" s="391">
        <v>44302.0</v>
      </c>
      <c r="D826" s="392"/>
      <c r="E826" s="393" t="s">
        <v>1453</v>
      </c>
      <c r="F826" s="394" t="s">
        <v>1461</v>
      </c>
      <c r="G826" s="395">
        <v>0.6333333333333333</v>
      </c>
      <c r="H826" s="456">
        <v>0.6336805555555556</v>
      </c>
      <c r="I826" s="456"/>
      <c r="J826" s="456"/>
      <c r="K826" s="456">
        <v>0.6753472222222222</v>
      </c>
      <c r="L826" s="456">
        <v>0.041666666666666664</v>
      </c>
      <c r="M826" s="400" t="s">
        <v>166</v>
      </c>
      <c r="N826" s="394" t="s">
        <v>188</v>
      </c>
      <c r="O826" s="399" t="s">
        <v>378</v>
      </c>
      <c r="P826" s="393" t="s">
        <v>217</v>
      </c>
      <c r="Q826" s="393" t="s">
        <v>842</v>
      </c>
      <c r="R826" s="400">
        <v>22.4</v>
      </c>
      <c r="S826" s="393">
        <v>39.6</v>
      </c>
      <c r="T826" s="394">
        <v>1.8</v>
      </c>
      <c r="U826" s="393">
        <v>9.5</v>
      </c>
      <c r="V826" s="393"/>
      <c r="W826" s="393"/>
      <c r="X826" s="393"/>
      <c r="Y826" s="393"/>
      <c r="Z826" s="393" t="s">
        <v>1140</v>
      </c>
      <c r="AA826" s="393"/>
      <c r="AB826" s="393" t="s">
        <v>407</v>
      </c>
      <c r="AC826" s="401">
        <v>15.75</v>
      </c>
      <c r="AD826" s="393"/>
      <c r="AE826" s="393"/>
      <c r="AF826" s="393"/>
      <c r="AG826" s="393"/>
      <c r="AH826" s="393"/>
      <c r="AI826" s="393"/>
      <c r="AJ826" s="401"/>
      <c r="AK826" s="402"/>
      <c r="AL826" s="393"/>
      <c r="AM826" s="393"/>
      <c r="AN826" s="393"/>
      <c r="AO826" s="393"/>
      <c r="AP826" s="393"/>
      <c r="AQ826" s="393"/>
      <c r="AR826" s="393"/>
      <c r="AS826" s="401"/>
      <c r="AT826" s="460" t="s">
        <v>182</v>
      </c>
      <c r="AU826" s="394" t="s">
        <v>845</v>
      </c>
      <c r="AV826" s="405">
        <f>SQRT(($R826-Infrastructure!J$3)^2+($S826-Infrastructure!K$3)^2)</f>
        <v>25.09541791</v>
      </c>
      <c r="AW826" s="406">
        <f>SQRT(($R826-Infrastructure!J$4)^2+($S826-Infrastructure!K$4)^2)</f>
        <v>31.47268657</v>
      </c>
      <c r="AX826" s="406">
        <f>SQRT(($R826-Infrastructure!J$5)^2+($S826-Infrastructure!K$5)^2)</f>
        <v>41.29818398</v>
      </c>
      <c r="AY826" s="406">
        <f>SQRT(($R826-Infrastructure!J$6)^2+($S826-Infrastructure!K$6)^2)</f>
        <v>41.17984944</v>
      </c>
      <c r="AZ826" s="406">
        <f>SQRT(($R826-Infrastructure!J$7)^2+($S826-Infrastructure!K$7)^2)</f>
        <v>39.34590195</v>
      </c>
      <c r="BA826" s="406">
        <f>SQRT(($R826-Infrastructure!J$8)^2+($S826-Infrastructure!K$8)^2)</f>
        <v>40.04722213</v>
      </c>
      <c r="BB826" s="406">
        <f>SQRT(($R826-Infrastructure!J$9)^2+($S826-Infrastructure!K$9)^2)</f>
        <v>38.72996256</v>
      </c>
      <c r="BC826" s="406">
        <f>SQRT(($R826-Infrastructure!J$10)^2+($S826-Infrastructure!K$10)^2)</f>
        <v>30.24764454</v>
      </c>
      <c r="BD826" s="392"/>
      <c r="BE826" s="407"/>
      <c r="BF826" s="330">
        <f t="shared" si="14"/>
        <v>25.09541791</v>
      </c>
      <c r="BG826" s="333">
        <f t="shared" si="15"/>
        <v>41.29818398</v>
      </c>
      <c r="BH826" s="409"/>
      <c r="BI826" s="390" t="s">
        <v>845</v>
      </c>
      <c r="BJ826" s="392" t="s">
        <v>845</v>
      </c>
      <c r="BK826" s="392" t="s">
        <v>845</v>
      </c>
      <c r="BL826" s="392" t="s">
        <v>845</v>
      </c>
      <c r="BM826" s="392" t="s">
        <v>845</v>
      </c>
      <c r="BN826" s="392" t="s">
        <v>845</v>
      </c>
      <c r="BO826" s="392" t="s">
        <v>845</v>
      </c>
      <c r="BP826" s="392" t="s">
        <v>845</v>
      </c>
      <c r="BQ826" s="410" t="s">
        <v>845</v>
      </c>
      <c r="BR826" s="411" t="s">
        <v>845</v>
      </c>
      <c r="BS826" s="330">
        <f t="shared" si="39"/>
        <v>0</v>
      </c>
      <c r="BT826" s="331">
        <f t="shared" si="40"/>
        <v>0</v>
      </c>
      <c r="BU826" s="823"/>
      <c r="BV826" s="408"/>
      <c r="BW826" s="405"/>
      <c r="BX826" s="406"/>
      <c r="BY826" s="406" t="b">
        <f t="shared" si="41"/>
        <v>0</v>
      </c>
      <c r="BZ826" s="412"/>
      <c r="CA826" s="573" t="s">
        <v>845</v>
      </c>
      <c r="CB826" s="393" t="s">
        <v>845</v>
      </c>
      <c r="CC826" s="392"/>
      <c r="CD826" s="393" t="s">
        <v>845</v>
      </c>
      <c r="CE826" s="393" t="s">
        <v>845</v>
      </c>
      <c r="CF826" s="393" t="s">
        <v>845</v>
      </c>
      <c r="CG826" s="393" t="s">
        <v>846</v>
      </c>
      <c r="CH826" s="392"/>
      <c r="CI826" s="792" t="s">
        <v>845</v>
      </c>
      <c r="CJ826" s="820" t="s">
        <v>845</v>
      </c>
      <c r="CK826" s="342">
        <f t="shared" si="18"/>
        <v>38.72996256</v>
      </c>
      <c r="CL826" s="333">
        <f t="shared" si="19"/>
        <v>38.72996256</v>
      </c>
      <c r="CM826" s="656"/>
      <c r="CN826" s="617"/>
      <c r="CO826" s="617"/>
      <c r="CP826" s="617"/>
    </row>
    <row r="827">
      <c r="B827" s="462" t="s">
        <v>1452</v>
      </c>
      <c r="C827" s="417">
        <v>44302.0</v>
      </c>
      <c r="D827" s="318"/>
      <c r="E827" s="318"/>
      <c r="F827" s="324" t="s">
        <v>1462</v>
      </c>
      <c r="G827" s="321">
        <v>0.6771412037037037</v>
      </c>
      <c r="H827" s="322"/>
      <c r="I827" s="322"/>
      <c r="J827" s="322"/>
      <c r="K827" s="323">
        <v>0.6774305555555555</v>
      </c>
      <c r="L827" s="323">
        <v>2.8935185185185184E-4</v>
      </c>
      <c r="M827" s="326" t="s">
        <v>166</v>
      </c>
      <c r="N827" s="324" t="s">
        <v>188</v>
      </c>
      <c r="O827" s="488"/>
      <c r="P827" s="319" t="s">
        <v>231</v>
      </c>
      <c r="Q827" s="318"/>
      <c r="R827" s="457"/>
      <c r="S827" s="318"/>
      <c r="T827" s="332"/>
      <c r="U827" s="318"/>
      <c r="V827" s="318"/>
      <c r="W827" s="318"/>
      <c r="X827" s="318"/>
      <c r="Y827" s="318"/>
      <c r="Z827" s="318"/>
      <c r="AA827" s="318"/>
      <c r="AB827" s="318"/>
      <c r="AC827" s="463"/>
      <c r="AD827" s="318"/>
      <c r="AE827" s="318"/>
      <c r="AF827" s="318"/>
      <c r="AG827" s="318"/>
      <c r="AH827" s="318"/>
      <c r="AI827" s="318"/>
      <c r="AJ827" s="463"/>
      <c r="AK827" s="487"/>
      <c r="AL827" s="318"/>
      <c r="AM827" s="318"/>
      <c r="AN827" s="318"/>
      <c r="AO827" s="318"/>
      <c r="AP827" s="318"/>
      <c r="AQ827" s="318"/>
      <c r="AR827" s="318"/>
      <c r="AS827" s="463"/>
      <c r="AT827" s="344"/>
      <c r="AU827" s="332"/>
      <c r="AV827" s="330">
        <f>SQRT(($R827-Infrastructure!J$3)^2+($S827-Infrastructure!K$3)^2)</f>
        <v>28.90155705</v>
      </c>
      <c r="AW827" s="331">
        <f>SQRT(($R827-Infrastructure!J$4)^2+($S827-Infrastructure!K$4)^2)</f>
        <v>17.80252791</v>
      </c>
      <c r="AX827" s="331">
        <f>SQRT(($R827-Infrastructure!J$5)^2+($S827-Infrastructure!K$5)^2)</f>
        <v>5.10881591</v>
      </c>
      <c r="AY827" s="331">
        <f>SQRT(($R827-Infrastructure!J$6)^2+($S827-Infrastructure!K$6)^2)</f>
        <v>10.10445446</v>
      </c>
      <c r="AZ827" s="331">
        <f>SQRT(($R827-Infrastructure!J$7)^2+($S827-Infrastructure!K$7)^2)</f>
        <v>20.502195</v>
      </c>
      <c r="BA827" s="331">
        <f>SQRT(($R827-Infrastructure!J$8)^2+($S827-Infrastructure!K$8)^2)</f>
        <v>30.10149498</v>
      </c>
      <c r="BB827" s="331">
        <f>SQRT(($R827-Infrastructure!J$9)^2+($S827-Infrastructure!K$9)^2)</f>
        <v>40.3238143</v>
      </c>
      <c r="BC827" s="331">
        <f>SQRT(($R827-Infrastructure!J$10)^2+($S827-Infrastructure!K$10)^2)</f>
        <v>42.72001873</v>
      </c>
      <c r="BD827" s="318"/>
      <c r="BE827" s="332"/>
      <c r="BF827" s="330">
        <f t="shared" si="14"/>
        <v>5.10881591</v>
      </c>
      <c r="BG827" s="333">
        <f t="shared" si="15"/>
        <v>42.72001873</v>
      </c>
      <c r="BH827" s="334"/>
      <c r="BI827" s="316" t="s">
        <v>845</v>
      </c>
      <c r="BJ827" s="318" t="s">
        <v>845</v>
      </c>
      <c r="BK827" s="318" t="s">
        <v>845</v>
      </c>
      <c r="BL827" s="318" t="s">
        <v>845</v>
      </c>
      <c r="BM827" s="318" t="s">
        <v>845</v>
      </c>
      <c r="BN827" s="318" t="s">
        <v>845</v>
      </c>
      <c r="BO827" s="318" t="s">
        <v>845</v>
      </c>
      <c r="BP827" s="318" t="s">
        <v>845</v>
      </c>
      <c r="BQ827" s="338" t="s">
        <v>845</v>
      </c>
      <c r="BR827" s="420" t="s">
        <v>845</v>
      </c>
      <c r="BS827" s="330"/>
      <c r="BT827" s="331"/>
      <c r="BU827" s="823"/>
      <c r="BV827" s="333"/>
      <c r="BW827" s="330"/>
      <c r="BX827" s="331"/>
      <c r="BY827" s="331"/>
      <c r="BZ827" s="340"/>
      <c r="CA827" s="462" t="s">
        <v>845</v>
      </c>
      <c r="CB827" s="319" t="s">
        <v>845</v>
      </c>
      <c r="CC827" s="318"/>
      <c r="CD827" s="319" t="s">
        <v>845</v>
      </c>
      <c r="CE827" s="319" t="s">
        <v>845</v>
      </c>
      <c r="CF827" s="319" t="s">
        <v>845</v>
      </c>
      <c r="CG827" s="319" t="s">
        <v>846</v>
      </c>
      <c r="CH827" s="318"/>
      <c r="CI827" s="788" t="s">
        <v>845</v>
      </c>
      <c r="CJ827" s="821" t="s">
        <v>845</v>
      </c>
      <c r="CK827" s="342">
        <f t="shared" si="18"/>
        <v>40.3238143</v>
      </c>
      <c r="CL827" s="333">
        <f t="shared" si="19"/>
        <v>40.3238143</v>
      </c>
      <c r="CM827" s="616"/>
      <c r="CN827" s="617"/>
      <c r="CO827" s="617"/>
      <c r="CP827" s="617"/>
    </row>
    <row r="828">
      <c r="A828" s="634"/>
      <c r="B828" s="635" t="s">
        <v>1452</v>
      </c>
      <c r="C828" s="417">
        <v>44302.0</v>
      </c>
      <c r="D828" s="640"/>
      <c r="E828" s="640"/>
      <c r="F828" s="637" t="s">
        <v>1462</v>
      </c>
      <c r="G828" s="770">
        <v>0.6784722222222223</v>
      </c>
      <c r="H828" s="782"/>
      <c r="I828" s="782"/>
      <c r="J828" s="782"/>
      <c r="K828" s="771">
        <v>0.6916666666666667</v>
      </c>
      <c r="L828" s="771">
        <v>0.013194444444444444</v>
      </c>
      <c r="M828" s="772" t="s">
        <v>358</v>
      </c>
      <c r="N828" s="637" t="s">
        <v>188</v>
      </c>
      <c r="O828" s="783"/>
      <c r="P828" s="663" t="s">
        <v>231</v>
      </c>
      <c r="Q828" s="640"/>
      <c r="R828" s="784"/>
      <c r="S828" s="640"/>
      <c r="T828" s="739"/>
      <c r="U828" s="640"/>
      <c r="V828" s="640"/>
      <c r="W828" s="640"/>
      <c r="X828" s="640"/>
      <c r="Y828" s="640"/>
      <c r="Z828" s="640"/>
      <c r="AA828" s="640"/>
      <c r="AB828" s="640"/>
      <c r="AC828" s="785"/>
      <c r="AD828" s="640"/>
      <c r="AE828" s="640"/>
      <c r="AF828" s="640"/>
      <c r="AG828" s="640"/>
      <c r="AH828" s="640"/>
      <c r="AI828" s="640"/>
      <c r="AJ828" s="785"/>
      <c r="AK828" s="786"/>
      <c r="AL828" s="640"/>
      <c r="AM828" s="640"/>
      <c r="AN828" s="640"/>
      <c r="AO828" s="640"/>
      <c r="AP828" s="640"/>
      <c r="AQ828" s="640"/>
      <c r="AR828" s="640"/>
      <c r="AS828" s="785"/>
      <c r="AT828" s="787"/>
      <c r="AU828" s="739"/>
      <c r="AV828" s="330">
        <f>SQRT(($R828-Infrastructure!J$3)^2+($S828-Infrastructure!K$3)^2)</f>
        <v>28.90155705</v>
      </c>
      <c r="AW828" s="331">
        <f>SQRT(($R828-Infrastructure!J$4)^2+($S828-Infrastructure!K$4)^2)</f>
        <v>17.80252791</v>
      </c>
      <c r="AX828" s="331">
        <f>SQRT(($R828-Infrastructure!J$5)^2+($S828-Infrastructure!K$5)^2)</f>
        <v>5.10881591</v>
      </c>
      <c r="AY828" s="331">
        <f>SQRT(($R828-Infrastructure!J$6)^2+($S828-Infrastructure!K$6)^2)</f>
        <v>10.10445446</v>
      </c>
      <c r="AZ828" s="331">
        <f>SQRT(($R828-Infrastructure!J$7)^2+($S828-Infrastructure!K$7)^2)</f>
        <v>20.502195</v>
      </c>
      <c r="BA828" s="331">
        <f>SQRT(($R828-Infrastructure!J$8)^2+($S828-Infrastructure!K$8)^2)</f>
        <v>30.10149498</v>
      </c>
      <c r="BB828" s="331">
        <f>SQRT(($R828-Infrastructure!J$9)^2+($S828-Infrastructure!K$9)^2)</f>
        <v>40.3238143</v>
      </c>
      <c r="BC828" s="331">
        <f>SQRT(($R828-Infrastructure!J$10)^2+($S828-Infrastructure!K$10)^2)</f>
        <v>42.72001873</v>
      </c>
      <c r="BD828" s="318"/>
      <c r="BE828" s="332"/>
      <c r="BF828" s="330">
        <f t="shared" si="14"/>
        <v>5.10881591</v>
      </c>
      <c r="BG828" s="333">
        <f t="shared" si="15"/>
        <v>42.72001873</v>
      </c>
      <c r="BH828" s="774"/>
      <c r="BI828" s="639" t="s">
        <v>845</v>
      </c>
      <c r="BJ828" s="640" t="s">
        <v>845</v>
      </c>
      <c r="BK828" s="640" t="s">
        <v>845</v>
      </c>
      <c r="BL828" s="640" t="s">
        <v>845</v>
      </c>
      <c r="BM828" s="640" t="s">
        <v>845</v>
      </c>
      <c r="BN828" s="640" t="s">
        <v>845</v>
      </c>
      <c r="BO828" s="640" t="s">
        <v>845</v>
      </c>
      <c r="BP828" s="640" t="s">
        <v>845</v>
      </c>
      <c r="BQ828" s="645" t="s">
        <v>845</v>
      </c>
      <c r="BR828" s="741" t="s">
        <v>845</v>
      </c>
      <c r="BS828" s="330"/>
      <c r="BT828" s="331"/>
      <c r="BU828" s="823"/>
      <c r="BV828" s="642"/>
      <c r="BW828" s="662"/>
      <c r="BX828" s="641"/>
      <c r="BY828" s="331"/>
      <c r="BZ828" s="742"/>
      <c r="CA828" s="635" t="s">
        <v>845</v>
      </c>
      <c r="CB828" s="663" t="s">
        <v>845</v>
      </c>
      <c r="CC828" s="640"/>
      <c r="CD828" s="663" t="s">
        <v>845</v>
      </c>
      <c r="CE828" s="663" t="s">
        <v>845</v>
      </c>
      <c r="CF828" s="663" t="s">
        <v>845</v>
      </c>
      <c r="CG828" s="663" t="s">
        <v>846</v>
      </c>
      <c r="CH828" s="640"/>
      <c r="CI828" s="790" t="s">
        <v>845</v>
      </c>
      <c r="CJ828" s="822" t="s">
        <v>845</v>
      </c>
      <c r="CK828" s="342">
        <f t="shared" si="18"/>
        <v>40.3238143</v>
      </c>
      <c r="CL828" s="333">
        <f t="shared" si="19"/>
        <v>40.3238143</v>
      </c>
      <c r="CM828" s="647"/>
      <c r="CN828" s="617"/>
      <c r="CO828" s="617"/>
      <c r="CP828" s="617"/>
    </row>
    <row r="829">
      <c r="A829" s="664" t="s">
        <v>47</v>
      </c>
      <c r="B829" s="665" t="s">
        <v>1463</v>
      </c>
      <c r="C829" s="775">
        <v>44319.0</v>
      </c>
      <c r="D829" s="667"/>
      <c r="E829" s="676">
        <v>1.0</v>
      </c>
      <c r="F829" s="674" t="s">
        <v>1464</v>
      </c>
      <c r="G829" s="776">
        <v>0.5354166666666667</v>
      </c>
      <c r="H829" s="777">
        <v>0.5364583333333334</v>
      </c>
      <c r="I829" s="777"/>
      <c r="J829" s="777"/>
      <c r="K829" s="777">
        <v>0.5458333333333333</v>
      </c>
      <c r="L829" s="777">
        <v>0.009375</v>
      </c>
      <c r="M829" s="778" t="s">
        <v>166</v>
      </c>
      <c r="N829" s="674" t="s">
        <v>188</v>
      </c>
      <c r="O829" s="675" t="s">
        <v>196</v>
      </c>
      <c r="P829" s="676" t="s">
        <v>224</v>
      </c>
      <c r="Q829" s="676" t="s">
        <v>842</v>
      </c>
      <c r="R829" s="778">
        <v>21.4</v>
      </c>
      <c r="S829" s="676">
        <v>39.3</v>
      </c>
      <c r="T829" s="674">
        <v>1.6</v>
      </c>
      <c r="U829" s="676">
        <v>40.0</v>
      </c>
      <c r="V829" s="676"/>
      <c r="W829" s="676"/>
      <c r="X829" s="676"/>
      <c r="Y829" s="676"/>
      <c r="Z829" s="676" t="s">
        <v>387</v>
      </c>
      <c r="AA829" s="676"/>
      <c r="AB829" s="676" t="s">
        <v>416</v>
      </c>
      <c r="AC829" s="779">
        <v>52.5</v>
      </c>
      <c r="AD829" s="393"/>
      <c r="AE829" s="393"/>
      <c r="AF829" s="393"/>
      <c r="AG829" s="393"/>
      <c r="AH829" s="393"/>
      <c r="AI829" s="393"/>
      <c r="AJ829" s="401"/>
      <c r="AK829" s="402"/>
      <c r="AL829" s="393"/>
      <c r="AM829" s="393"/>
      <c r="AN829" s="393"/>
      <c r="AO829" s="393"/>
      <c r="AP829" s="393"/>
      <c r="AQ829" s="393"/>
      <c r="AR829" s="393"/>
      <c r="AS829" s="401"/>
      <c r="AT829" s="460" t="s">
        <v>183</v>
      </c>
      <c r="AU829" s="394" t="s">
        <v>845</v>
      </c>
      <c r="AV829" s="405">
        <f>SQRT(($R829-Infrastructure!J$3)^2+($S829-Infrastructure!K$3)^2)</f>
        <v>24.06345777</v>
      </c>
      <c r="AW829" s="406">
        <f>SQRT(($R829-Infrastructure!J$4)^2+($S829-Infrastructure!K$4)^2)</f>
        <v>30.54734031</v>
      </c>
      <c r="AX829" s="406">
        <f>SQRT(($R829-Infrastructure!J$5)^2+($S829-Infrastructure!K$5)^2)</f>
        <v>40.50345664</v>
      </c>
      <c r="AY829" s="406">
        <f>SQRT(($R829-Infrastructure!J$6)^2+($S829-Infrastructure!K$6)^2)</f>
        <v>40.60406384</v>
      </c>
      <c r="AZ829" s="406">
        <f>SQRT(($R829-Infrastructure!J$7)^2+($S829-Infrastructure!K$7)^2)</f>
        <v>39.01038323</v>
      </c>
      <c r="BA829" s="406">
        <f>SQRT(($R829-Infrastructure!J$8)^2+($S829-Infrastructure!K$8)^2)</f>
        <v>39.95860358</v>
      </c>
      <c r="BB829" s="406">
        <f>SQRT(($R829-Infrastructure!J$9)^2+($S829-Infrastructure!K$9)^2)</f>
        <v>38.93070767</v>
      </c>
      <c r="BC829" s="406">
        <f>SQRT(($R829-Infrastructure!J$10)^2+($S829-Infrastructure!K$10)^2)</f>
        <v>30.60147055</v>
      </c>
      <c r="BD829" s="392"/>
      <c r="BE829" s="407"/>
      <c r="BF829" s="330">
        <f t="shared" si="14"/>
        <v>24.06345777</v>
      </c>
      <c r="BG829" s="333">
        <f t="shared" si="15"/>
        <v>40.60406384</v>
      </c>
      <c r="BH829" s="781"/>
      <c r="BI829" s="690" t="s">
        <v>845</v>
      </c>
      <c r="BJ829" s="667" t="s">
        <v>846</v>
      </c>
      <c r="BK829" s="667" t="s">
        <v>845</v>
      </c>
      <c r="BL829" s="667" t="s">
        <v>845</v>
      </c>
      <c r="BM829" s="667" t="s">
        <v>845</v>
      </c>
      <c r="BN829" s="667" t="s">
        <v>845</v>
      </c>
      <c r="BO829" s="667" t="s">
        <v>845</v>
      </c>
      <c r="BP829" s="667" t="s">
        <v>845</v>
      </c>
      <c r="BQ829" s="691" t="s">
        <v>845</v>
      </c>
      <c r="BR829" s="692" t="s">
        <v>845</v>
      </c>
      <c r="BS829" s="330">
        <f t="shared" ref="BS829:BS853" si="42">MINIFS(AV829:BE829,BI829:BR829, "Y")</f>
        <v>30.54734031</v>
      </c>
      <c r="BT829" s="331">
        <f t="shared" ref="BT829:BT853" si="43">MAXIFS(AV829:BE829,BI829:BR829, "Y")</f>
        <v>30.54734031</v>
      </c>
      <c r="BU829" s="824">
        <v>0.5359953703703704</v>
      </c>
      <c r="BV829" s="693"/>
      <c r="BW829" s="686"/>
      <c r="BX829" s="687"/>
      <c r="BY829" s="406" t="b">
        <f t="shared" ref="BY829:BY853" si="44">IF(BW829&gt;0, SQRT((R829-BW829)^2+(S829-BX829)^2))</f>
        <v>0</v>
      </c>
      <c r="BZ829" s="696"/>
      <c r="CA829" s="665" t="s">
        <v>846</v>
      </c>
      <c r="CB829" s="676" t="s">
        <v>845</v>
      </c>
      <c r="CC829" s="676" t="s">
        <v>845</v>
      </c>
      <c r="CD829" s="676" t="s">
        <v>846</v>
      </c>
      <c r="CE829" s="676" t="s">
        <v>846</v>
      </c>
      <c r="CF829" s="676" t="s">
        <v>845</v>
      </c>
      <c r="CG829" s="676" t="s">
        <v>846</v>
      </c>
      <c r="CH829" s="667"/>
      <c r="CI829" s="825" t="s">
        <v>845</v>
      </c>
      <c r="CJ829" s="826" t="s">
        <v>845</v>
      </c>
      <c r="CK829" s="342">
        <f t="shared" si="18"/>
        <v>24.06345777</v>
      </c>
      <c r="CL829" s="333">
        <f t="shared" si="19"/>
        <v>40.60406384</v>
      </c>
      <c r="CM829" s="698"/>
      <c r="CN829" s="617"/>
      <c r="CO829" s="617"/>
      <c r="CP829" s="617"/>
    </row>
    <row r="830">
      <c r="A830" s="664" t="s">
        <v>42</v>
      </c>
      <c r="B830" s="665" t="s">
        <v>1463</v>
      </c>
      <c r="C830" s="775">
        <v>44320.0</v>
      </c>
      <c r="D830" s="667"/>
      <c r="E830" s="676">
        <v>1.0</v>
      </c>
      <c r="F830" s="674" t="s">
        <v>1465</v>
      </c>
      <c r="G830" s="776">
        <v>0.69375</v>
      </c>
      <c r="H830" s="777">
        <v>0.6958333333333333</v>
      </c>
      <c r="I830" s="777"/>
      <c r="J830" s="777"/>
      <c r="K830" s="777">
        <v>0.7375</v>
      </c>
      <c r="L830" s="777">
        <v>0.041666666666666664</v>
      </c>
      <c r="M830" s="778" t="s">
        <v>166</v>
      </c>
      <c r="N830" s="674" t="s">
        <v>187</v>
      </c>
      <c r="O830" s="675" t="s">
        <v>198</v>
      </c>
      <c r="P830" s="676" t="s">
        <v>223</v>
      </c>
      <c r="Q830" s="667"/>
      <c r="R830" s="778">
        <v>10.0</v>
      </c>
      <c r="S830" s="676">
        <v>11.7</v>
      </c>
      <c r="T830" s="674">
        <v>0.4</v>
      </c>
      <c r="U830" s="676">
        <v>2.7</v>
      </c>
      <c r="V830" s="676"/>
      <c r="W830" s="676"/>
      <c r="X830" s="676"/>
      <c r="Y830" s="676"/>
      <c r="Z830" s="676" t="s">
        <v>343</v>
      </c>
      <c r="AA830" s="676"/>
      <c r="AB830" s="676" t="s">
        <v>1173</v>
      </c>
      <c r="AC830" s="779">
        <v>6.0</v>
      </c>
      <c r="AD830" s="393"/>
      <c r="AE830" s="393"/>
      <c r="AF830" s="393"/>
      <c r="AG830" s="393"/>
      <c r="AH830" s="393"/>
      <c r="AI830" s="393"/>
      <c r="AJ830" s="401"/>
      <c r="AK830" s="402"/>
      <c r="AL830" s="393"/>
      <c r="AM830" s="393"/>
      <c r="AN830" s="393"/>
      <c r="AO830" s="393"/>
      <c r="AP830" s="393"/>
      <c r="AQ830" s="393"/>
      <c r="AR830" s="393"/>
      <c r="AS830" s="401"/>
      <c r="AT830" s="460" t="s">
        <v>182</v>
      </c>
      <c r="AU830" s="394" t="s">
        <v>845</v>
      </c>
      <c r="AV830" s="405">
        <f>SQRT(($R830-Infrastructure!J$3)^2+($S830-Infrastructure!K$3)^2)</f>
        <v>20.04819194</v>
      </c>
      <c r="AW830" s="406">
        <f>SQRT(($R830-Infrastructure!J$4)^2+($S830-Infrastructure!K$4)^2)</f>
        <v>11.9707978</v>
      </c>
      <c r="AX830" s="406">
        <f>SQRT(($R830-Infrastructure!J$5)^2+($S830-Infrastructure!K$5)^2)</f>
        <v>12.23315168</v>
      </c>
      <c r="AY830" s="406">
        <f>SQRT(($R830-Infrastructure!J$6)^2+($S830-Infrastructure!K$6)^2)</f>
        <v>11.40043859</v>
      </c>
      <c r="AZ830" s="406">
        <f>SQRT(($R830-Infrastructure!J$7)^2+($S830-Infrastructure!K$7)^2)</f>
        <v>15.49870962</v>
      </c>
      <c r="BA830" s="406">
        <f>SQRT(($R830-Infrastructure!J$8)^2+($S830-Infrastructure!K$8)^2)</f>
        <v>23.10779089</v>
      </c>
      <c r="BB830" s="406">
        <f>SQRT(($R830-Infrastructure!J$9)^2+($S830-Infrastructure!K$9)^2)</f>
        <v>30.71742177</v>
      </c>
      <c r="BC830" s="406">
        <f>SQRT(($R830-Infrastructure!J$10)^2+($S830-Infrastructure!K$10)^2)</f>
        <v>30.18095426</v>
      </c>
      <c r="BD830" s="392"/>
      <c r="BE830" s="407"/>
      <c r="BF830" s="330">
        <f t="shared" si="14"/>
        <v>11.40043859</v>
      </c>
      <c r="BG830" s="333">
        <f t="shared" si="15"/>
        <v>30.71742177</v>
      </c>
      <c r="BH830" s="781"/>
      <c r="BI830" s="690" t="s">
        <v>845</v>
      </c>
      <c r="BJ830" s="667" t="s">
        <v>846</v>
      </c>
      <c r="BK830" s="667" t="s">
        <v>845</v>
      </c>
      <c r="BL830" s="667" t="s">
        <v>845</v>
      </c>
      <c r="BM830" s="667" t="s">
        <v>845</v>
      </c>
      <c r="BN830" s="667" t="s">
        <v>846</v>
      </c>
      <c r="BO830" s="667" t="s">
        <v>845</v>
      </c>
      <c r="BP830" s="667" t="s">
        <v>845</v>
      </c>
      <c r="BQ830" s="691" t="s">
        <v>846</v>
      </c>
      <c r="BR830" s="692" t="s">
        <v>845</v>
      </c>
      <c r="BS830" s="330">
        <f t="shared" si="42"/>
        <v>11.9707978</v>
      </c>
      <c r="BT830" s="331">
        <f t="shared" si="43"/>
        <v>23.10779089</v>
      </c>
      <c r="BU830" s="827">
        <v>0.6949768518518519</v>
      </c>
      <c r="BV830" s="693"/>
      <c r="BW830" s="686">
        <v>3.83333333333333</v>
      </c>
      <c r="BX830" s="687">
        <v>16.2666666666666</v>
      </c>
      <c r="BY830" s="406">
        <f t="shared" si="44"/>
        <v>7.673475238</v>
      </c>
      <c r="BZ830" s="696"/>
      <c r="CA830" s="665" t="s">
        <v>845</v>
      </c>
      <c r="CB830" s="676" t="s">
        <v>845</v>
      </c>
      <c r="CC830" s="667"/>
      <c r="CD830" s="676" t="s">
        <v>845</v>
      </c>
      <c r="CE830" s="676" t="s">
        <v>845</v>
      </c>
      <c r="CF830" s="676" t="s">
        <v>845</v>
      </c>
      <c r="CG830" s="676" t="s">
        <v>846</v>
      </c>
      <c r="CH830" s="667"/>
      <c r="CI830" s="825" t="s">
        <v>845</v>
      </c>
      <c r="CJ830" s="826" t="s">
        <v>845</v>
      </c>
      <c r="CK830" s="342">
        <f t="shared" si="18"/>
        <v>30.71742177</v>
      </c>
      <c r="CL830" s="333">
        <f t="shared" si="19"/>
        <v>30.71742177</v>
      </c>
      <c r="CM830" s="698"/>
      <c r="CN830" s="617"/>
      <c r="CO830" s="617"/>
      <c r="CP830" s="617"/>
    </row>
    <row r="831">
      <c r="A831" s="389" t="s">
        <v>48</v>
      </c>
      <c r="B831" s="573" t="s">
        <v>1463</v>
      </c>
      <c r="C831" s="391">
        <v>44321.0</v>
      </c>
      <c r="D831" s="392"/>
      <c r="E831" s="393">
        <v>1.0</v>
      </c>
      <c r="F831" s="394" t="s">
        <v>1466</v>
      </c>
      <c r="G831" s="395">
        <v>0.5680555555555555</v>
      </c>
      <c r="H831" s="456">
        <v>0.5689236111111111</v>
      </c>
      <c r="I831" s="456"/>
      <c r="J831" s="456"/>
      <c r="K831" s="456">
        <v>0.5701388888888889</v>
      </c>
      <c r="L831" s="456">
        <v>0.0012152777777777778</v>
      </c>
      <c r="M831" s="400" t="s">
        <v>166</v>
      </c>
      <c r="N831" s="394" t="s">
        <v>187</v>
      </c>
      <c r="O831" s="399" t="s">
        <v>198</v>
      </c>
      <c r="P831" s="393" t="s">
        <v>218</v>
      </c>
      <c r="Q831" s="392"/>
      <c r="R831" s="400">
        <v>10.3</v>
      </c>
      <c r="S831" s="393">
        <v>7.9</v>
      </c>
      <c r="T831" s="394">
        <v>3.0</v>
      </c>
      <c r="U831" s="393">
        <v>3.3</v>
      </c>
      <c r="V831" s="393"/>
      <c r="W831" s="393"/>
      <c r="X831" s="393"/>
      <c r="Y831" s="393"/>
      <c r="Z831" s="393" t="s">
        <v>343</v>
      </c>
      <c r="AA831" s="393"/>
      <c r="AB831" s="393" t="s">
        <v>1157</v>
      </c>
      <c r="AC831" s="401">
        <v>10.0</v>
      </c>
      <c r="AD831" s="393"/>
      <c r="AE831" s="393"/>
      <c r="AF831" s="393"/>
      <c r="AG831" s="393"/>
      <c r="AH831" s="393"/>
      <c r="AI831" s="393"/>
      <c r="AJ831" s="401"/>
      <c r="AK831" s="402"/>
      <c r="AL831" s="393"/>
      <c r="AM831" s="393"/>
      <c r="AN831" s="393"/>
      <c r="AO831" s="393"/>
      <c r="AP831" s="393"/>
      <c r="AQ831" s="393"/>
      <c r="AR831" s="393"/>
      <c r="AS831" s="401"/>
      <c r="AT831" s="460" t="s">
        <v>182</v>
      </c>
      <c r="AU831" s="394" t="s">
        <v>845</v>
      </c>
      <c r="AV831" s="405">
        <f>SQRT(($R831-Infrastructure!J$3)^2+($S831-Infrastructure!K$3)^2)</f>
        <v>23.52360517</v>
      </c>
      <c r="AW831" s="406">
        <f>SQRT(($R831-Infrastructure!J$4)^2+($S831-Infrastructure!K$4)^2)</f>
        <v>14.50413734</v>
      </c>
      <c r="AX831" s="406">
        <f>SQRT(($R831-Infrastructure!J$5)^2+($S831-Infrastructure!K$5)^2)</f>
        <v>10.96357606</v>
      </c>
      <c r="AY831" s="406">
        <f>SQRT(($R831-Infrastructure!J$6)^2+($S831-Infrastructure!K$6)^2)</f>
        <v>7.602631123</v>
      </c>
      <c r="AZ831" s="406">
        <f>SQRT(($R831-Infrastructure!J$7)^2+($S831-Infrastructure!K$7)^2)</f>
        <v>12.72006289</v>
      </c>
      <c r="BA831" s="406">
        <f>SQRT(($R831-Infrastructure!J$8)^2+($S831-Infrastructure!K$8)^2)</f>
        <v>21.20848887</v>
      </c>
      <c r="BB831" s="406">
        <f>SQRT(($R831-Infrastructure!J$9)^2+($S831-Infrastructure!K$9)^2)</f>
        <v>29.83169455</v>
      </c>
      <c r="BC831" s="406">
        <f>SQRT(($R831-Infrastructure!J$10)^2+($S831-Infrastructure!K$10)^2)</f>
        <v>30.53686297</v>
      </c>
      <c r="BD831" s="392"/>
      <c r="BE831" s="407"/>
      <c r="BF831" s="330">
        <f t="shared" si="14"/>
        <v>7.602631123</v>
      </c>
      <c r="BG831" s="333">
        <f t="shared" si="15"/>
        <v>30.53686297</v>
      </c>
      <c r="BH831" s="409"/>
      <c r="BI831" s="390" t="s">
        <v>846</v>
      </c>
      <c r="BJ831" s="392" t="s">
        <v>845</v>
      </c>
      <c r="BK831" s="392" t="s">
        <v>845</v>
      </c>
      <c r="BL831" s="392" t="s">
        <v>845</v>
      </c>
      <c r="BM831" s="392" t="s">
        <v>845</v>
      </c>
      <c r="BN831" s="392" t="s">
        <v>846</v>
      </c>
      <c r="BO831" s="392" t="s">
        <v>845</v>
      </c>
      <c r="BP831" s="392" t="s">
        <v>845</v>
      </c>
      <c r="BQ831" s="410" t="s">
        <v>846</v>
      </c>
      <c r="BR831" s="411" t="s">
        <v>845</v>
      </c>
      <c r="BS831" s="330">
        <f t="shared" si="42"/>
        <v>21.20848887</v>
      </c>
      <c r="BT831" s="331">
        <f t="shared" si="43"/>
        <v>23.52360517</v>
      </c>
      <c r="BU831" s="827">
        <v>0.5683912037037037</v>
      </c>
      <c r="BV831" s="408"/>
      <c r="BW831" s="405">
        <v>2.9</v>
      </c>
      <c r="BX831" s="406">
        <v>10.7214285714285</v>
      </c>
      <c r="BY831" s="406">
        <f t="shared" si="44"/>
        <v>7.91962494</v>
      </c>
      <c r="BZ831" s="412"/>
      <c r="CA831" s="573" t="s">
        <v>845</v>
      </c>
      <c r="CB831" s="393" t="s">
        <v>845</v>
      </c>
      <c r="CC831" s="392"/>
      <c r="CD831" s="393" t="s">
        <v>845</v>
      </c>
      <c r="CE831" s="393" t="s">
        <v>845</v>
      </c>
      <c r="CF831" s="393" t="s">
        <v>845</v>
      </c>
      <c r="CG831" s="393" t="s">
        <v>845</v>
      </c>
      <c r="CH831" s="392"/>
      <c r="CI831" s="792" t="s">
        <v>845</v>
      </c>
      <c r="CJ831" s="820" t="s">
        <v>845</v>
      </c>
      <c r="CK831" s="342">
        <f t="shared" si="18"/>
        <v>0</v>
      </c>
      <c r="CL831" s="333">
        <f t="shared" si="19"/>
        <v>0</v>
      </c>
      <c r="CM831" s="656"/>
      <c r="CN831" s="617"/>
      <c r="CO831" s="617"/>
      <c r="CP831" s="617"/>
    </row>
    <row r="832">
      <c r="B832" s="462" t="s">
        <v>1463</v>
      </c>
      <c r="C832" s="417">
        <v>44321.0</v>
      </c>
      <c r="D832" s="318"/>
      <c r="E832" s="319">
        <v>2.0</v>
      </c>
      <c r="F832" s="324" t="s">
        <v>1467</v>
      </c>
      <c r="G832" s="321">
        <v>0.5710069444444444</v>
      </c>
      <c r="H832" s="323">
        <v>0.5719907407407407</v>
      </c>
      <c r="I832" s="323"/>
      <c r="J832" s="323"/>
      <c r="K832" s="323">
        <v>0.5731481481481482</v>
      </c>
      <c r="L832" s="323">
        <v>0.0011574074074074073</v>
      </c>
      <c r="M832" s="319" t="s">
        <v>166</v>
      </c>
      <c r="N832" s="324" t="s">
        <v>187</v>
      </c>
      <c r="O832" s="419" t="s">
        <v>198</v>
      </c>
      <c r="P832" s="319" t="s">
        <v>218</v>
      </c>
      <c r="Q832" s="318"/>
      <c r="R832" s="326">
        <v>10.3</v>
      </c>
      <c r="S832" s="319">
        <v>7.9</v>
      </c>
      <c r="T832" s="324">
        <v>3.0</v>
      </c>
      <c r="U832" s="319">
        <v>2.0</v>
      </c>
      <c r="V832" s="319"/>
      <c r="W832" s="319"/>
      <c r="X832" s="319"/>
      <c r="Y832" s="319"/>
      <c r="Z832" s="319" t="s">
        <v>343</v>
      </c>
      <c r="AA832" s="319"/>
      <c r="AB832" s="319" t="s">
        <v>1157</v>
      </c>
      <c r="AC832" s="327">
        <v>10.0</v>
      </c>
      <c r="AD832" s="319"/>
      <c r="AE832" s="319"/>
      <c r="AF832" s="319"/>
      <c r="AG832" s="319"/>
      <c r="AH832" s="319"/>
      <c r="AI832" s="319"/>
      <c r="AJ832" s="327"/>
      <c r="AK832" s="328"/>
      <c r="AL832" s="319"/>
      <c r="AM832" s="319"/>
      <c r="AN832" s="319"/>
      <c r="AO832" s="319"/>
      <c r="AP832" s="319"/>
      <c r="AQ832" s="319"/>
      <c r="AR832" s="319"/>
      <c r="AS832" s="327"/>
      <c r="AT832" s="461" t="s">
        <v>182</v>
      </c>
      <c r="AU832" s="324" t="s">
        <v>845</v>
      </c>
      <c r="AV832" s="330">
        <f>SQRT(($R832-Infrastructure!J$3)^2+($S832-Infrastructure!K$3)^2)</f>
        <v>23.52360517</v>
      </c>
      <c r="AW832" s="331">
        <f>SQRT(($R832-Infrastructure!J$4)^2+($S832-Infrastructure!K$4)^2)</f>
        <v>14.50413734</v>
      </c>
      <c r="AX832" s="331">
        <f>SQRT(($R832-Infrastructure!J$5)^2+($S832-Infrastructure!K$5)^2)</f>
        <v>10.96357606</v>
      </c>
      <c r="AY832" s="331">
        <f>SQRT(($R832-Infrastructure!J$6)^2+($S832-Infrastructure!K$6)^2)</f>
        <v>7.602631123</v>
      </c>
      <c r="AZ832" s="331">
        <f>SQRT(($R832-Infrastructure!J$7)^2+($S832-Infrastructure!K$7)^2)</f>
        <v>12.72006289</v>
      </c>
      <c r="BA832" s="331">
        <f>SQRT(($R832-Infrastructure!J$8)^2+($S832-Infrastructure!K$8)^2)</f>
        <v>21.20848887</v>
      </c>
      <c r="BB832" s="331">
        <f>SQRT(($R832-Infrastructure!J$9)^2+($S832-Infrastructure!K$9)^2)</f>
        <v>29.83169455</v>
      </c>
      <c r="BC832" s="331">
        <f>SQRT(($R832-Infrastructure!J$10)^2+($S832-Infrastructure!K$10)^2)</f>
        <v>30.53686297</v>
      </c>
      <c r="BD832" s="318"/>
      <c r="BE832" s="332"/>
      <c r="BF832" s="330">
        <f t="shared" si="14"/>
        <v>7.602631123</v>
      </c>
      <c r="BG832" s="333">
        <f t="shared" si="15"/>
        <v>30.53686297</v>
      </c>
      <c r="BH832" s="334"/>
      <c r="BI832" s="316" t="s">
        <v>845</v>
      </c>
      <c r="BJ832" s="318" t="s">
        <v>845</v>
      </c>
      <c r="BK832" s="318" t="s">
        <v>845</v>
      </c>
      <c r="BL832" s="318" t="s">
        <v>845</v>
      </c>
      <c r="BM832" s="318" t="s">
        <v>845</v>
      </c>
      <c r="BN832" s="318" t="s">
        <v>845</v>
      </c>
      <c r="BO832" s="318" t="s">
        <v>845</v>
      </c>
      <c r="BP832" s="318" t="s">
        <v>845</v>
      </c>
      <c r="BQ832" s="338" t="s">
        <v>845</v>
      </c>
      <c r="BR832" s="420" t="s">
        <v>845</v>
      </c>
      <c r="BS832" s="330">
        <f t="shared" si="42"/>
        <v>0</v>
      </c>
      <c r="BT832" s="331">
        <f t="shared" si="43"/>
        <v>0</v>
      </c>
      <c r="BU832" s="828"/>
      <c r="BV832" s="333"/>
      <c r="BW832" s="330"/>
      <c r="BX832" s="331"/>
      <c r="BY832" s="331" t="b">
        <f t="shared" si="44"/>
        <v>0</v>
      </c>
      <c r="BZ832" s="340"/>
      <c r="CA832" s="462" t="s">
        <v>845</v>
      </c>
      <c r="CB832" s="319" t="s">
        <v>845</v>
      </c>
      <c r="CC832" s="318"/>
      <c r="CD832" s="319" t="s">
        <v>845</v>
      </c>
      <c r="CE832" s="319" t="s">
        <v>845</v>
      </c>
      <c r="CF832" s="319" t="s">
        <v>845</v>
      </c>
      <c r="CG832" s="319" t="s">
        <v>845</v>
      </c>
      <c r="CH832" s="318"/>
      <c r="CI832" s="788" t="s">
        <v>845</v>
      </c>
      <c r="CJ832" s="821" t="s">
        <v>845</v>
      </c>
      <c r="CK832" s="342">
        <f t="shared" si="18"/>
        <v>0</v>
      </c>
      <c r="CL832" s="333">
        <f t="shared" si="19"/>
        <v>0</v>
      </c>
      <c r="CM832" s="829"/>
      <c r="CN832" s="333"/>
      <c r="CO832" s="333"/>
      <c r="CP832" s="333"/>
    </row>
    <row r="833">
      <c r="B833" s="462" t="s">
        <v>1463</v>
      </c>
      <c r="C833" s="417">
        <v>44321.0</v>
      </c>
      <c r="D833" s="318"/>
      <c r="E833" s="319">
        <v>3.0</v>
      </c>
      <c r="F833" s="324" t="s">
        <v>1468</v>
      </c>
      <c r="G833" s="321">
        <v>0.5744791666666667</v>
      </c>
      <c r="H833" s="323">
        <v>0.575</v>
      </c>
      <c r="I833" s="323"/>
      <c r="J833" s="323"/>
      <c r="K833" s="323">
        <v>0.5769097222222223</v>
      </c>
      <c r="L833" s="323">
        <v>0.0019097222222222222</v>
      </c>
      <c r="M833" s="319" t="s">
        <v>166</v>
      </c>
      <c r="N833" s="324" t="s">
        <v>187</v>
      </c>
      <c r="O833" s="419" t="s">
        <v>198</v>
      </c>
      <c r="P833" s="319" t="s">
        <v>218</v>
      </c>
      <c r="Q833" s="318"/>
      <c r="R833" s="326">
        <v>10.3</v>
      </c>
      <c r="S833" s="319">
        <v>7.9</v>
      </c>
      <c r="T833" s="324">
        <v>3.0</v>
      </c>
      <c r="U833" s="319">
        <v>1.0</v>
      </c>
      <c r="V833" s="319"/>
      <c r="W833" s="319"/>
      <c r="X833" s="319"/>
      <c r="Y833" s="319"/>
      <c r="Z833" s="319" t="s">
        <v>343</v>
      </c>
      <c r="AA833" s="319"/>
      <c r="AB833" s="319" t="s">
        <v>1157</v>
      </c>
      <c r="AC833" s="327">
        <v>10.0</v>
      </c>
      <c r="AD833" s="319"/>
      <c r="AE833" s="319"/>
      <c r="AF833" s="319"/>
      <c r="AG833" s="319"/>
      <c r="AH833" s="319"/>
      <c r="AI833" s="319"/>
      <c r="AJ833" s="327"/>
      <c r="AK833" s="328"/>
      <c r="AL833" s="319"/>
      <c r="AM833" s="319"/>
      <c r="AN833" s="319"/>
      <c r="AO833" s="319"/>
      <c r="AP833" s="319"/>
      <c r="AQ833" s="319"/>
      <c r="AR833" s="319"/>
      <c r="AS833" s="327"/>
      <c r="AT833" s="461" t="s">
        <v>182</v>
      </c>
      <c r="AU833" s="324" t="s">
        <v>845</v>
      </c>
      <c r="AV833" s="330">
        <f>SQRT(($R833-Infrastructure!J$3)^2+($S833-Infrastructure!K$3)^2)</f>
        <v>23.52360517</v>
      </c>
      <c r="AW833" s="331">
        <f>SQRT(($R833-Infrastructure!J$4)^2+($S833-Infrastructure!K$4)^2)</f>
        <v>14.50413734</v>
      </c>
      <c r="AX833" s="331">
        <f>SQRT(($R833-Infrastructure!J$5)^2+($S833-Infrastructure!K$5)^2)</f>
        <v>10.96357606</v>
      </c>
      <c r="AY833" s="331">
        <f>SQRT(($R833-Infrastructure!J$6)^2+($S833-Infrastructure!K$6)^2)</f>
        <v>7.602631123</v>
      </c>
      <c r="AZ833" s="331">
        <f>SQRT(($R833-Infrastructure!J$7)^2+($S833-Infrastructure!K$7)^2)</f>
        <v>12.72006289</v>
      </c>
      <c r="BA833" s="331">
        <f>SQRT(($R833-Infrastructure!J$8)^2+($S833-Infrastructure!K$8)^2)</f>
        <v>21.20848887</v>
      </c>
      <c r="BB833" s="331">
        <f>SQRT(($R833-Infrastructure!J$9)^2+($S833-Infrastructure!K$9)^2)</f>
        <v>29.83169455</v>
      </c>
      <c r="BC833" s="331">
        <f>SQRT(($R833-Infrastructure!J$10)^2+($S833-Infrastructure!K$10)^2)</f>
        <v>30.53686297</v>
      </c>
      <c r="BD833" s="318"/>
      <c r="BE833" s="332"/>
      <c r="BF833" s="330">
        <f t="shared" si="14"/>
        <v>7.602631123</v>
      </c>
      <c r="BG833" s="333">
        <f t="shared" si="15"/>
        <v>30.53686297</v>
      </c>
      <c r="BH833" s="334"/>
      <c r="BI833" s="316" t="s">
        <v>845</v>
      </c>
      <c r="BJ833" s="318" t="s">
        <v>845</v>
      </c>
      <c r="BK833" s="318" t="s">
        <v>845</v>
      </c>
      <c r="BL833" s="318" t="s">
        <v>845</v>
      </c>
      <c r="BM833" s="318" t="s">
        <v>845</v>
      </c>
      <c r="BN833" s="318" t="s">
        <v>845</v>
      </c>
      <c r="BO833" s="318" t="s">
        <v>845</v>
      </c>
      <c r="BP833" s="318" t="s">
        <v>845</v>
      </c>
      <c r="BQ833" s="338" t="s">
        <v>845</v>
      </c>
      <c r="BR833" s="420" t="s">
        <v>845</v>
      </c>
      <c r="BS833" s="330">
        <f t="shared" si="42"/>
        <v>0</v>
      </c>
      <c r="BT833" s="331">
        <f t="shared" si="43"/>
        <v>0</v>
      </c>
      <c r="BU833" s="828"/>
      <c r="BV833" s="333"/>
      <c r="BW833" s="330"/>
      <c r="BX833" s="331"/>
      <c r="BY833" s="331" t="b">
        <f t="shared" si="44"/>
        <v>0</v>
      </c>
      <c r="BZ833" s="340"/>
      <c r="CA833" s="462" t="s">
        <v>845</v>
      </c>
      <c r="CB833" s="319" t="s">
        <v>845</v>
      </c>
      <c r="CC833" s="318"/>
      <c r="CD833" s="319" t="s">
        <v>845</v>
      </c>
      <c r="CE833" s="319" t="s">
        <v>845</v>
      </c>
      <c r="CF833" s="319" t="s">
        <v>845</v>
      </c>
      <c r="CG833" s="319" t="s">
        <v>845</v>
      </c>
      <c r="CH833" s="318"/>
      <c r="CI833" s="788" t="s">
        <v>845</v>
      </c>
      <c r="CJ833" s="821" t="s">
        <v>845</v>
      </c>
      <c r="CK833" s="342">
        <f t="shared" si="18"/>
        <v>0</v>
      </c>
      <c r="CL833" s="333">
        <f t="shared" si="19"/>
        <v>0</v>
      </c>
      <c r="CM833" s="829"/>
      <c r="CN833" s="333"/>
      <c r="CO833" s="333"/>
      <c r="CP833" s="333"/>
    </row>
    <row r="834">
      <c r="B834" s="462" t="s">
        <v>1463</v>
      </c>
      <c r="C834" s="417">
        <v>44321.0</v>
      </c>
      <c r="D834" s="318"/>
      <c r="E834" s="319">
        <v>4.0</v>
      </c>
      <c r="F834" s="324" t="s">
        <v>1469</v>
      </c>
      <c r="G834" s="321">
        <v>0.5772569444444444</v>
      </c>
      <c r="H834" s="323">
        <v>0.5776041666666667</v>
      </c>
      <c r="I834" s="323"/>
      <c r="J834" s="323"/>
      <c r="K834" s="323">
        <v>0.5803819444444445</v>
      </c>
      <c r="L834" s="323">
        <v>0.002777777777777778</v>
      </c>
      <c r="M834" s="319" t="s">
        <v>166</v>
      </c>
      <c r="N834" s="324" t="s">
        <v>187</v>
      </c>
      <c r="O834" s="419" t="s">
        <v>206</v>
      </c>
      <c r="P834" s="319" t="s">
        <v>218</v>
      </c>
      <c r="Q834" s="318"/>
      <c r="R834" s="326">
        <v>21.2</v>
      </c>
      <c r="S834" s="319">
        <v>8.7</v>
      </c>
      <c r="T834" s="324">
        <v>2.4</v>
      </c>
      <c r="U834" s="319">
        <v>1.0</v>
      </c>
      <c r="V834" s="319"/>
      <c r="W834" s="319"/>
      <c r="X834" s="319"/>
      <c r="Y834" s="319"/>
      <c r="Z834" s="319" t="s">
        <v>347</v>
      </c>
      <c r="AA834" s="319"/>
      <c r="AB834" s="319" t="s">
        <v>1157</v>
      </c>
      <c r="AC834" s="327">
        <v>10.0</v>
      </c>
      <c r="AD834" s="319"/>
      <c r="AE834" s="319"/>
      <c r="AF834" s="319"/>
      <c r="AG834" s="319"/>
      <c r="AH834" s="319"/>
      <c r="AI834" s="319"/>
      <c r="AJ834" s="327"/>
      <c r="AK834" s="328"/>
      <c r="AL834" s="319"/>
      <c r="AM834" s="319"/>
      <c r="AN834" s="319"/>
      <c r="AO834" s="319"/>
      <c r="AP834" s="319"/>
      <c r="AQ834" s="319"/>
      <c r="AR834" s="319"/>
      <c r="AS834" s="327"/>
      <c r="AT834" s="461" t="s">
        <v>182</v>
      </c>
      <c r="AU834" s="324" t="s">
        <v>845</v>
      </c>
      <c r="AV834" s="330">
        <f>SQRT(($R834-Infrastructure!J$3)^2+($S834-Infrastructure!K$3)^2)</f>
        <v>29.50067796</v>
      </c>
      <c r="AW834" s="331">
        <f>SQRT(($R834-Infrastructure!J$4)^2+($S834-Infrastructure!K$4)^2)</f>
        <v>23.34652008</v>
      </c>
      <c r="AX834" s="331">
        <f>SQRT(($R834-Infrastructure!J$5)^2+($S834-Infrastructure!K$5)^2)</f>
        <v>21.79931192</v>
      </c>
      <c r="AY834" s="331">
        <f>SQRT(($R834-Infrastructure!J$6)^2+($S834-Infrastructure!K$6)^2)</f>
        <v>13.92012931</v>
      </c>
      <c r="AZ834" s="331">
        <f>SQRT(($R834-Infrastructure!J$7)^2+($S834-Infrastructure!K$7)^2)</f>
        <v>8.429116205</v>
      </c>
      <c r="BA834" s="331">
        <f>SQRT(($R834-Infrastructure!J$8)^2+($S834-Infrastructure!K$8)^2)</f>
        <v>12.2380554</v>
      </c>
      <c r="BB834" s="331">
        <f>SQRT(($R834-Infrastructure!J$9)^2+($S834-Infrastructure!K$9)^2)</f>
        <v>19.14157778</v>
      </c>
      <c r="BC834" s="331">
        <f>SQRT(($R834-Infrastructure!J$10)^2+($S834-Infrastructure!K$10)^2)</f>
        <v>19.82750615</v>
      </c>
      <c r="BD834" s="318"/>
      <c r="BE834" s="332"/>
      <c r="BF834" s="330">
        <f t="shared" si="14"/>
        <v>8.429116205</v>
      </c>
      <c r="BG834" s="333">
        <f t="shared" si="15"/>
        <v>29.50067796</v>
      </c>
      <c r="BH834" s="334"/>
      <c r="BI834" s="316" t="s">
        <v>845</v>
      </c>
      <c r="BJ834" s="318" t="s">
        <v>845</v>
      </c>
      <c r="BK834" s="318" t="s">
        <v>845</v>
      </c>
      <c r="BL834" s="318" t="s">
        <v>845</v>
      </c>
      <c r="BM834" s="318" t="s">
        <v>845</v>
      </c>
      <c r="BN834" s="318" t="s">
        <v>845</v>
      </c>
      <c r="BO834" s="318" t="s">
        <v>845</v>
      </c>
      <c r="BP834" s="318" t="s">
        <v>845</v>
      </c>
      <c r="BQ834" s="338" t="s">
        <v>845</v>
      </c>
      <c r="BR834" s="420" t="s">
        <v>845</v>
      </c>
      <c r="BS834" s="330">
        <f t="shared" si="42"/>
        <v>0</v>
      </c>
      <c r="BT834" s="331">
        <f t="shared" si="43"/>
        <v>0</v>
      </c>
      <c r="BU834" s="828"/>
      <c r="BV834" s="333"/>
      <c r="BW834" s="330"/>
      <c r="BX834" s="331"/>
      <c r="BY834" s="331" t="b">
        <f t="shared" si="44"/>
        <v>0</v>
      </c>
      <c r="BZ834" s="340"/>
      <c r="CA834" s="462" t="s">
        <v>845</v>
      </c>
      <c r="CB834" s="319" t="s">
        <v>845</v>
      </c>
      <c r="CC834" s="318"/>
      <c r="CD834" s="319" t="s">
        <v>845</v>
      </c>
      <c r="CE834" s="319" t="s">
        <v>845</v>
      </c>
      <c r="CF834" s="319" t="s">
        <v>845</v>
      </c>
      <c r="CG834" s="319" t="s">
        <v>846</v>
      </c>
      <c r="CH834" s="318"/>
      <c r="CI834" s="788" t="s">
        <v>845</v>
      </c>
      <c r="CJ834" s="821" t="s">
        <v>845</v>
      </c>
      <c r="CK834" s="342">
        <f t="shared" si="18"/>
        <v>19.14157778</v>
      </c>
      <c r="CL834" s="333">
        <f t="shared" si="19"/>
        <v>19.14157778</v>
      </c>
      <c r="CM834" s="829"/>
      <c r="CN834" s="333"/>
      <c r="CO834" s="333"/>
      <c r="CP834" s="333"/>
    </row>
    <row r="835">
      <c r="B835" s="462" t="s">
        <v>1463</v>
      </c>
      <c r="C835" s="417">
        <v>44321.0</v>
      </c>
      <c r="D835" s="318"/>
      <c r="E835" s="319" t="s">
        <v>1470</v>
      </c>
      <c r="F835" s="324" t="s">
        <v>1471</v>
      </c>
      <c r="G835" s="321">
        <v>0.5809027777777778</v>
      </c>
      <c r="H835" s="323">
        <v>0.58125</v>
      </c>
      <c r="I835" s="323"/>
      <c r="J835" s="323"/>
      <c r="K835" s="323">
        <v>0.5828703703703704</v>
      </c>
      <c r="L835" s="323">
        <v>0.0016203703703703703</v>
      </c>
      <c r="M835" s="319" t="s">
        <v>166</v>
      </c>
      <c r="N835" s="324" t="s">
        <v>187</v>
      </c>
      <c r="O835" s="419" t="s">
        <v>201</v>
      </c>
      <c r="P835" s="319" t="s">
        <v>212</v>
      </c>
      <c r="Q835" s="318"/>
      <c r="R835" s="326">
        <v>17.4</v>
      </c>
      <c r="S835" s="319">
        <v>5.2</v>
      </c>
      <c r="T835" s="324">
        <v>0.64</v>
      </c>
      <c r="U835" s="319">
        <v>1.0</v>
      </c>
      <c r="V835" s="319"/>
      <c r="W835" s="319"/>
      <c r="X835" s="319"/>
      <c r="Y835" s="319"/>
      <c r="Z835" s="319" t="s">
        <v>339</v>
      </c>
      <c r="AA835" s="319"/>
      <c r="AB835" s="319" t="s">
        <v>341</v>
      </c>
      <c r="AC835" s="327">
        <v>3.0</v>
      </c>
      <c r="AD835" s="319"/>
      <c r="AE835" s="319"/>
      <c r="AF835" s="319"/>
      <c r="AG835" s="319"/>
      <c r="AH835" s="319"/>
      <c r="AI835" s="319"/>
      <c r="AJ835" s="327"/>
      <c r="AK835" s="328"/>
      <c r="AL835" s="319"/>
      <c r="AM835" s="319"/>
      <c r="AN835" s="319"/>
      <c r="AO835" s="319"/>
      <c r="AP835" s="319"/>
      <c r="AQ835" s="319"/>
      <c r="AR835" s="319"/>
      <c r="AS835" s="327"/>
      <c r="AT835" s="461" t="s">
        <v>182</v>
      </c>
      <c r="AU835" s="324" t="s">
        <v>845</v>
      </c>
      <c r="AV835" s="330">
        <f>SQRT(($R835-Infrastructure!J$3)^2+($S835-Infrastructure!K$3)^2)</f>
        <v>29.58006085</v>
      </c>
      <c r="AW835" s="331">
        <f>SQRT(($R835-Infrastructure!J$4)^2+($S835-Infrastructure!K$4)^2)</f>
        <v>21.72671167</v>
      </c>
      <c r="AX835" s="331">
        <f>SQRT(($R835-Infrastructure!J$5)^2+($S835-Infrastructure!K$5)^2)</f>
        <v>17.70028248</v>
      </c>
      <c r="AY835" s="331">
        <f>SQRT(($R835-Infrastructure!J$6)^2+($S835-Infrastructure!K$6)^2)</f>
        <v>8.792041856</v>
      </c>
      <c r="AZ835" s="331">
        <f>SQRT(($R835-Infrastructure!J$7)^2+($S835-Infrastructure!K$7)^2)</f>
        <v>5.798275606</v>
      </c>
      <c r="BA835" s="331">
        <f>SQRT(($R835-Infrastructure!J$8)^2+($S835-Infrastructure!K$8)^2)</f>
        <v>13.61249426</v>
      </c>
      <c r="BB835" s="331">
        <f>SQRT(($R835-Infrastructure!J$9)^2+($S835-Infrastructure!K$9)^2)</f>
        <v>22.60022124</v>
      </c>
      <c r="BC835" s="331">
        <f>SQRT(($R835-Infrastructure!J$10)^2+($S835-Infrastructure!K$10)^2)</f>
        <v>24.63331078</v>
      </c>
      <c r="BD835" s="318"/>
      <c r="BE835" s="332"/>
      <c r="BF835" s="330">
        <f t="shared" si="14"/>
        <v>5.798275606</v>
      </c>
      <c r="BG835" s="333">
        <f t="shared" si="15"/>
        <v>29.58006085</v>
      </c>
      <c r="BH835" s="334"/>
      <c r="BI835" s="316" t="s">
        <v>846</v>
      </c>
      <c r="BJ835" s="318" t="s">
        <v>845</v>
      </c>
      <c r="BK835" s="318" t="s">
        <v>845</v>
      </c>
      <c r="BL835" s="318" t="s">
        <v>846</v>
      </c>
      <c r="BM835" s="318" t="s">
        <v>845</v>
      </c>
      <c r="BN835" s="318" t="s">
        <v>845</v>
      </c>
      <c r="BO835" s="318" t="s">
        <v>845</v>
      </c>
      <c r="BP835" s="318" t="s">
        <v>845</v>
      </c>
      <c r="BQ835" s="338" t="s">
        <v>845</v>
      </c>
      <c r="BR835" s="420" t="s">
        <v>845</v>
      </c>
      <c r="BS835" s="330">
        <f t="shared" si="42"/>
        <v>8.792041856</v>
      </c>
      <c r="BT835" s="331">
        <f t="shared" si="43"/>
        <v>29.58006085</v>
      </c>
      <c r="BU835" s="827">
        <v>0.5812384259259259</v>
      </c>
      <c r="BV835" s="333"/>
      <c r="BW835" s="330">
        <v>22.35</v>
      </c>
      <c r="BX835" s="331">
        <v>3.7</v>
      </c>
      <c r="BY835" s="331">
        <f t="shared" si="44"/>
        <v>5.172281895</v>
      </c>
      <c r="BZ835" s="340"/>
      <c r="CA835" s="462" t="s">
        <v>846</v>
      </c>
      <c r="CB835" s="319" t="s">
        <v>845</v>
      </c>
      <c r="CC835" s="318"/>
      <c r="CD835" s="319" t="s">
        <v>846</v>
      </c>
      <c r="CE835" s="319" t="s">
        <v>845</v>
      </c>
      <c r="CF835" s="319" t="s">
        <v>845</v>
      </c>
      <c r="CG835" s="319" t="s">
        <v>845</v>
      </c>
      <c r="CH835" s="318"/>
      <c r="CI835" s="788" t="s">
        <v>845</v>
      </c>
      <c r="CJ835" s="821" t="s">
        <v>845</v>
      </c>
      <c r="CK835" s="342">
        <f t="shared" si="18"/>
        <v>8.792041856</v>
      </c>
      <c r="CL835" s="333">
        <f t="shared" si="19"/>
        <v>29.58006085</v>
      </c>
      <c r="CM835" s="829"/>
      <c r="CN835" s="333"/>
      <c r="CO835" s="333"/>
      <c r="CP835" s="333"/>
    </row>
    <row r="836">
      <c r="B836" s="462" t="s">
        <v>1463</v>
      </c>
      <c r="C836" s="417">
        <v>44321.0</v>
      </c>
      <c r="D836" s="318"/>
      <c r="E836" s="319" t="s">
        <v>1472</v>
      </c>
      <c r="F836" s="324" t="s">
        <v>1473</v>
      </c>
      <c r="G836" s="321">
        <v>0.5828703703703704</v>
      </c>
      <c r="H836" s="323">
        <v>0.5837962962962963</v>
      </c>
      <c r="I836" s="323"/>
      <c r="J836" s="323"/>
      <c r="K836" s="323">
        <v>0.584375</v>
      </c>
      <c r="L836" s="323">
        <v>5.787037037037037E-4</v>
      </c>
      <c r="M836" s="319" t="s">
        <v>166</v>
      </c>
      <c r="N836" s="324" t="s">
        <v>187</v>
      </c>
      <c r="O836" s="419" t="s">
        <v>201</v>
      </c>
      <c r="P836" s="319" t="s">
        <v>212</v>
      </c>
      <c r="Q836" s="318"/>
      <c r="R836" s="326">
        <v>17.4</v>
      </c>
      <c r="S836" s="319">
        <v>5.2</v>
      </c>
      <c r="T836" s="324">
        <v>0.6</v>
      </c>
      <c r="U836" s="319">
        <v>1.2</v>
      </c>
      <c r="V836" s="319"/>
      <c r="W836" s="319"/>
      <c r="X836" s="319"/>
      <c r="Y836" s="319"/>
      <c r="Z836" s="319" t="s">
        <v>339</v>
      </c>
      <c r="AA836" s="319"/>
      <c r="AB836" s="319" t="s">
        <v>341</v>
      </c>
      <c r="AC836" s="327">
        <v>3.0</v>
      </c>
      <c r="AD836" s="319"/>
      <c r="AE836" s="319"/>
      <c r="AF836" s="319"/>
      <c r="AG836" s="319"/>
      <c r="AH836" s="319"/>
      <c r="AI836" s="319"/>
      <c r="AJ836" s="327"/>
      <c r="AK836" s="328"/>
      <c r="AL836" s="319"/>
      <c r="AM836" s="319"/>
      <c r="AN836" s="319"/>
      <c r="AO836" s="319"/>
      <c r="AP836" s="319"/>
      <c r="AQ836" s="319"/>
      <c r="AR836" s="319"/>
      <c r="AS836" s="327"/>
      <c r="AT836" s="461" t="s">
        <v>182</v>
      </c>
      <c r="AU836" s="324" t="s">
        <v>845</v>
      </c>
      <c r="AV836" s="330">
        <f>SQRT(($R836-Infrastructure!J$3)^2+($S836-Infrastructure!K$3)^2)</f>
        <v>29.58006085</v>
      </c>
      <c r="AW836" s="331">
        <f>SQRT(($R836-Infrastructure!J$4)^2+($S836-Infrastructure!K$4)^2)</f>
        <v>21.72671167</v>
      </c>
      <c r="AX836" s="331">
        <f>SQRT(($R836-Infrastructure!J$5)^2+($S836-Infrastructure!K$5)^2)</f>
        <v>17.70028248</v>
      </c>
      <c r="AY836" s="331">
        <f>SQRT(($R836-Infrastructure!J$6)^2+($S836-Infrastructure!K$6)^2)</f>
        <v>8.792041856</v>
      </c>
      <c r="AZ836" s="331">
        <f>SQRT(($R836-Infrastructure!J$7)^2+($S836-Infrastructure!K$7)^2)</f>
        <v>5.798275606</v>
      </c>
      <c r="BA836" s="331">
        <f>SQRT(($R836-Infrastructure!J$8)^2+($S836-Infrastructure!K$8)^2)</f>
        <v>13.61249426</v>
      </c>
      <c r="BB836" s="331">
        <f>SQRT(($R836-Infrastructure!J$9)^2+($S836-Infrastructure!K$9)^2)</f>
        <v>22.60022124</v>
      </c>
      <c r="BC836" s="331">
        <f>SQRT(($R836-Infrastructure!J$10)^2+($S836-Infrastructure!K$10)^2)</f>
        <v>24.63331078</v>
      </c>
      <c r="BD836" s="318"/>
      <c r="BE836" s="332"/>
      <c r="BF836" s="330">
        <f t="shared" si="14"/>
        <v>5.798275606</v>
      </c>
      <c r="BG836" s="333">
        <f t="shared" si="15"/>
        <v>29.58006085</v>
      </c>
      <c r="BH836" s="334"/>
      <c r="BI836" s="316" t="s">
        <v>846</v>
      </c>
      <c r="BJ836" s="318" t="s">
        <v>846</v>
      </c>
      <c r="BK836" s="318" t="s">
        <v>845</v>
      </c>
      <c r="BL836" s="318" t="s">
        <v>846</v>
      </c>
      <c r="BM836" s="318" t="s">
        <v>846</v>
      </c>
      <c r="BN836" s="318" t="s">
        <v>845</v>
      </c>
      <c r="BO836" s="318" t="s">
        <v>845</v>
      </c>
      <c r="BP836" s="318" t="s">
        <v>845</v>
      </c>
      <c r="BQ836" s="338" t="s">
        <v>845</v>
      </c>
      <c r="BR836" s="420" t="s">
        <v>845</v>
      </c>
      <c r="BS836" s="330">
        <f t="shared" si="42"/>
        <v>5.798275606</v>
      </c>
      <c r="BT836" s="331">
        <f t="shared" si="43"/>
        <v>29.58006085</v>
      </c>
      <c r="BU836" s="827">
        <v>0.5828819444444444</v>
      </c>
      <c r="BV836" s="333"/>
      <c r="BW836" s="330">
        <v>23.6</v>
      </c>
      <c r="BX836" s="331">
        <v>5.245</v>
      </c>
      <c r="BY836" s="331">
        <f t="shared" si="44"/>
        <v>6.200163304</v>
      </c>
      <c r="BZ836" s="340"/>
      <c r="CA836" s="462" t="s">
        <v>846</v>
      </c>
      <c r="CB836" s="319" t="s">
        <v>845</v>
      </c>
      <c r="CC836" s="318"/>
      <c r="CD836" s="319" t="s">
        <v>846</v>
      </c>
      <c r="CE836" s="319" t="s">
        <v>845</v>
      </c>
      <c r="CF836" s="319" t="s">
        <v>845</v>
      </c>
      <c r="CG836" s="319" t="s">
        <v>845</v>
      </c>
      <c r="CH836" s="318"/>
      <c r="CI836" s="788" t="s">
        <v>845</v>
      </c>
      <c r="CJ836" s="821" t="s">
        <v>845</v>
      </c>
      <c r="CK836" s="342">
        <f t="shared" si="18"/>
        <v>8.792041856</v>
      </c>
      <c r="CL836" s="333">
        <f t="shared" si="19"/>
        <v>29.58006085</v>
      </c>
      <c r="CM836" s="829"/>
      <c r="CN836" s="333"/>
      <c r="CO836" s="333"/>
      <c r="CP836" s="333"/>
    </row>
    <row r="837">
      <c r="B837" s="462" t="s">
        <v>1463</v>
      </c>
      <c r="C837" s="417">
        <v>44321.0</v>
      </c>
      <c r="D837" s="318"/>
      <c r="E837" s="319" t="s">
        <v>1474</v>
      </c>
      <c r="F837" s="324" t="s">
        <v>1475</v>
      </c>
      <c r="G837" s="321">
        <v>0.584375</v>
      </c>
      <c r="H837" s="323">
        <v>0.5850694444444444</v>
      </c>
      <c r="I837" s="323"/>
      <c r="J837" s="323"/>
      <c r="K837" s="323">
        <v>0.5857638888888889</v>
      </c>
      <c r="L837" s="323">
        <v>6.944444444444445E-4</v>
      </c>
      <c r="M837" s="319" t="s">
        <v>166</v>
      </c>
      <c r="N837" s="324" t="s">
        <v>187</v>
      </c>
      <c r="O837" s="419" t="s">
        <v>201</v>
      </c>
      <c r="P837" s="319" t="s">
        <v>212</v>
      </c>
      <c r="Q837" s="318"/>
      <c r="R837" s="326">
        <v>17.4</v>
      </c>
      <c r="S837" s="319">
        <v>5.2</v>
      </c>
      <c r="T837" s="324">
        <v>0.6</v>
      </c>
      <c r="U837" s="319">
        <v>1.5</v>
      </c>
      <c r="V837" s="319"/>
      <c r="W837" s="319"/>
      <c r="X837" s="319"/>
      <c r="Y837" s="319"/>
      <c r="Z837" s="319" t="s">
        <v>339</v>
      </c>
      <c r="AA837" s="319"/>
      <c r="AB837" s="319" t="s">
        <v>341</v>
      </c>
      <c r="AC837" s="327">
        <v>3.0</v>
      </c>
      <c r="AD837" s="319"/>
      <c r="AE837" s="319"/>
      <c r="AF837" s="319"/>
      <c r="AG837" s="319"/>
      <c r="AH837" s="319"/>
      <c r="AI837" s="319"/>
      <c r="AJ837" s="327"/>
      <c r="AK837" s="328"/>
      <c r="AL837" s="319"/>
      <c r="AM837" s="319"/>
      <c r="AN837" s="319"/>
      <c r="AO837" s="319"/>
      <c r="AP837" s="319"/>
      <c r="AQ837" s="319"/>
      <c r="AR837" s="319"/>
      <c r="AS837" s="327"/>
      <c r="AT837" s="461" t="s">
        <v>182</v>
      </c>
      <c r="AU837" s="324" t="s">
        <v>845</v>
      </c>
      <c r="AV837" s="330">
        <f>SQRT(($R837-Infrastructure!J$3)^2+($S837-Infrastructure!K$3)^2)</f>
        <v>29.58006085</v>
      </c>
      <c r="AW837" s="331">
        <f>SQRT(($R837-Infrastructure!J$4)^2+($S837-Infrastructure!K$4)^2)</f>
        <v>21.72671167</v>
      </c>
      <c r="AX837" s="331">
        <f>SQRT(($R837-Infrastructure!J$5)^2+($S837-Infrastructure!K$5)^2)</f>
        <v>17.70028248</v>
      </c>
      <c r="AY837" s="331">
        <f>SQRT(($R837-Infrastructure!J$6)^2+($S837-Infrastructure!K$6)^2)</f>
        <v>8.792041856</v>
      </c>
      <c r="AZ837" s="331">
        <f>SQRT(($R837-Infrastructure!J$7)^2+($S837-Infrastructure!K$7)^2)</f>
        <v>5.798275606</v>
      </c>
      <c r="BA837" s="331">
        <f>SQRT(($R837-Infrastructure!J$8)^2+($S837-Infrastructure!K$8)^2)</f>
        <v>13.61249426</v>
      </c>
      <c r="BB837" s="331">
        <f>SQRT(($R837-Infrastructure!J$9)^2+($S837-Infrastructure!K$9)^2)</f>
        <v>22.60022124</v>
      </c>
      <c r="BC837" s="331">
        <f>SQRT(($R837-Infrastructure!J$10)^2+($S837-Infrastructure!K$10)^2)</f>
        <v>24.63331078</v>
      </c>
      <c r="BD837" s="318"/>
      <c r="BE837" s="332"/>
      <c r="BF837" s="330">
        <f t="shared" si="14"/>
        <v>5.798275606</v>
      </c>
      <c r="BG837" s="333">
        <f t="shared" si="15"/>
        <v>29.58006085</v>
      </c>
      <c r="BH837" s="334"/>
      <c r="BI837" s="316" t="s">
        <v>846</v>
      </c>
      <c r="BJ837" s="318" t="s">
        <v>846</v>
      </c>
      <c r="BK837" s="318" t="s">
        <v>845</v>
      </c>
      <c r="BL837" s="318" t="s">
        <v>846</v>
      </c>
      <c r="BM837" s="318" t="s">
        <v>846</v>
      </c>
      <c r="BN837" s="318" t="s">
        <v>846</v>
      </c>
      <c r="BO837" s="318" t="s">
        <v>845</v>
      </c>
      <c r="BP837" s="318" t="s">
        <v>845</v>
      </c>
      <c r="BQ837" s="338" t="s">
        <v>845</v>
      </c>
      <c r="BR837" s="420" t="s">
        <v>845</v>
      </c>
      <c r="BS837" s="330">
        <f t="shared" si="42"/>
        <v>5.798275606</v>
      </c>
      <c r="BT837" s="331">
        <f t="shared" si="43"/>
        <v>29.58006085</v>
      </c>
      <c r="BU837" s="827">
        <v>0.5844097222222222</v>
      </c>
      <c r="BV837" s="333"/>
      <c r="BW837" s="330">
        <v>23.3434782608695</v>
      </c>
      <c r="BX837" s="331">
        <v>6.68260869565217</v>
      </c>
      <c r="BY837" s="331">
        <f t="shared" si="44"/>
        <v>6.125607103</v>
      </c>
      <c r="BZ837" s="340"/>
      <c r="CA837" s="462" t="s">
        <v>846</v>
      </c>
      <c r="CB837" s="319" t="s">
        <v>845</v>
      </c>
      <c r="CC837" s="318"/>
      <c r="CD837" s="319" t="s">
        <v>846</v>
      </c>
      <c r="CE837" s="319" t="s">
        <v>845</v>
      </c>
      <c r="CF837" s="319" t="s">
        <v>845</v>
      </c>
      <c r="CG837" s="319" t="s">
        <v>845</v>
      </c>
      <c r="CH837" s="318"/>
      <c r="CI837" s="788" t="s">
        <v>845</v>
      </c>
      <c r="CJ837" s="821" t="s">
        <v>845</v>
      </c>
      <c r="CK837" s="342">
        <f t="shared" si="18"/>
        <v>8.792041856</v>
      </c>
      <c r="CL837" s="333">
        <f t="shared" si="19"/>
        <v>29.58006085</v>
      </c>
      <c r="CM837" s="829"/>
      <c r="CN837" s="333"/>
      <c r="CO837" s="333"/>
      <c r="CP837" s="333"/>
    </row>
    <row r="838">
      <c r="B838" s="462" t="s">
        <v>1463</v>
      </c>
      <c r="C838" s="417">
        <v>44321.0</v>
      </c>
      <c r="D838" s="318"/>
      <c r="E838" s="319" t="s">
        <v>1476</v>
      </c>
      <c r="F838" s="324" t="s">
        <v>1477</v>
      </c>
      <c r="G838" s="321">
        <v>0.5857638888888889</v>
      </c>
      <c r="H838" s="323">
        <v>0.5862847222222223</v>
      </c>
      <c r="I838" s="323"/>
      <c r="J838" s="323"/>
      <c r="K838" s="323">
        <v>0.587037037037037</v>
      </c>
      <c r="L838" s="323">
        <v>7.523148148148148E-4</v>
      </c>
      <c r="M838" s="319" t="s">
        <v>166</v>
      </c>
      <c r="N838" s="324" t="s">
        <v>187</v>
      </c>
      <c r="O838" s="419" t="s">
        <v>201</v>
      </c>
      <c r="P838" s="319" t="s">
        <v>212</v>
      </c>
      <c r="Q838" s="318"/>
      <c r="R838" s="326">
        <v>17.4</v>
      </c>
      <c r="S838" s="319">
        <v>5.2</v>
      </c>
      <c r="T838" s="324">
        <v>0.6</v>
      </c>
      <c r="U838" s="319">
        <v>1.75</v>
      </c>
      <c r="V838" s="319"/>
      <c r="W838" s="319"/>
      <c r="X838" s="319"/>
      <c r="Y838" s="319"/>
      <c r="Z838" s="319" t="s">
        <v>339</v>
      </c>
      <c r="AA838" s="319"/>
      <c r="AB838" s="319" t="s">
        <v>341</v>
      </c>
      <c r="AC838" s="327">
        <v>3.0</v>
      </c>
      <c r="AD838" s="319"/>
      <c r="AE838" s="319"/>
      <c r="AF838" s="319"/>
      <c r="AG838" s="319"/>
      <c r="AH838" s="319"/>
      <c r="AI838" s="319"/>
      <c r="AJ838" s="327"/>
      <c r="AK838" s="328"/>
      <c r="AL838" s="319"/>
      <c r="AM838" s="319"/>
      <c r="AN838" s="319"/>
      <c r="AO838" s="319"/>
      <c r="AP838" s="319"/>
      <c r="AQ838" s="319"/>
      <c r="AR838" s="319"/>
      <c r="AS838" s="327"/>
      <c r="AT838" s="461" t="s">
        <v>182</v>
      </c>
      <c r="AU838" s="324" t="s">
        <v>845</v>
      </c>
      <c r="AV838" s="330">
        <f>SQRT(($R838-Infrastructure!J$3)^2+($S838-Infrastructure!K$3)^2)</f>
        <v>29.58006085</v>
      </c>
      <c r="AW838" s="331">
        <f>SQRT(($R838-Infrastructure!J$4)^2+($S838-Infrastructure!K$4)^2)</f>
        <v>21.72671167</v>
      </c>
      <c r="AX838" s="331">
        <f>SQRT(($R838-Infrastructure!J$5)^2+($S838-Infrastructure!K$5)^2)</f>
        <v>17.70028248</v>
      </c>
      <c r="AY838" s="331">
        <f>SQRT(($R838-Infrastructure!J$6)^2+($S838-Infrastructure!K$6)^2)</f>
        <v>8.792041856</v>
      </c>
      <c r="AZ838" s="331">
        <f>SQRT(($R838-Infrastructure!J$7)^2+($S838-Infrastructure!K$7)^2)</f>
        <v>5.798275606</v>
      </c>
      <c r="BA838" s="331">
        <f>SQRT(($R838-Infrastructure!J$8)^2+($S838-Infrastructure!K$8)^2)</f>
        <v>13.61249426</v>
      </c>
      <c r="BB838" s="331">
        <f>SQRT(($R838-Infrastructure!J$9)^2+($S838-Infrastructure!K$9)^2)</f>
        <v>22.60022124</v>
      </c>
      <c r="BC838" s="331">
        <f>SQRT(($R838-Infrastructure!J$10)^2+($S838-Infrastructure!K$10)^2)</f>
        <v>24.63331078</v>
      </c>
      <c r="BD838" s="318"/>
      <c r="BE838" s="332"/>
      <c r="BF838" s="330">
        <f t="shared" si="14"/>
        <v>5.798275606</v>
      </c>
      <c r="BG838" s="333">
        <f t="shared" si="15"/>
        <v>29.58006085</v>
      </c>
      <c r="BH838" s="334"/>
      <c r="BI838" s="316" t="s">
        <v>846</v>
      </c>
      <c r="BJ838" s="318" t="s">
        <v>845</v>
      </c>
      <c r="BK838" s="318" t="s">
        <v>845</v>
      </c>
      <c r="BL838" s="318" t="s">
        <v>846</v>
      </c>
      <c r="BM838" s="318" t="s">
        <v>846</v>
      </c>
      <c r="BN838" s="318" t="s">
        <v>846</v>
      </c>
      <c r="BO838" s="318" t="s">
        <v>845</v>
      </c>
      <c r="BP838" s="318" t="s">
        <v>845</v>
      </c>
      <c r="BQ838" s="338" t="s">
        <v>845</v>
      </c>
      <c r="BR838" s="420" t="s">
        <v>845</v>
      </c>
      <c r="BS838" s="330">
        <f t="shared" si="42"/>
        <v>5.798275606</v>
      </c>
      <c r="BT838" s="331">
        <f t="shared" si="43"/>
        <v>29.58006085</v>
      </c>
      <c r="BU838" s="827">
        <v>0.5858217592592593</v>
      </c>
      <c r="BV838" s="333"/>
      <c r="BW838" s="330">
        <v>22.9190476190476</v>
      </c>
      <c r="BX838" s="331">
        <v>7.89523809523809</v>
      </c>
      <c r="BY838" s="331">
        <f t="shared" si="44"/>
        <v>6.142002525</v>
      </c>
      <c r="BZ838" s="340"/>
      <c r="CA838" s="462" t="s">
        <v>846</v>
      </c>
      <c r="CB838" s="319" t="s">
        <v>845</v>
      </c>
      <c r="CC838" s="318"/>
      <c r="CD838" s="319" t="s">
        <v>846</v>
      </c>
      <c r="CE838" s="319" t="s">
        <v>846</v>
      </c>
      <c r="CF838" s="319" t="s">
        <v>845</v>
      </c>
      <c r="CG838" s="319" t="s">
        <v>845</v>
      </c>
      <c r="CH838" s="318"/>
      <c r="CI838" s="788" t="s">
        <v>845</v>
      </c>
      <c r="CJ838" s="821" t="s">
        <v>845</v>
      </c>
      <c r="CK838" s="342">
        <f t="shared" si="18"/>
        <v>5.798275606</v>
      </c>
      <c r="CL838" s="333">
        <f t="shared" si="19"/>
        <v>29.58006085</v>
      </c>
      <c r="CM838" s="829"/>
      <c r="CN838" s="333"/>
      <c r="CO838" s="333"/>
      <c r="CP838" s="333"/>
    </row>
    <row r="839">
      <c r="B839" s="462" t="s">
        <v>1463</v>
      </c>
      <c r="C839" s="417">
        <v>44321.0</v>
      </c>
      <c r="D839" s="318"/>
      <c r="E839" s="319" t="s">
        <v>1478</v>
      </c>
      <c r="F839" s="324" t="s">
        <v>1479</v>
      </c>
      <c r="G839" s="321">
        <v>0.587037037037037</v>
      </c>
      <c r="H839" s="323">
        <v>0.5876157407407407</v>
      </c>
      <c r="I839" s="323"/>
      <c r="J839" s="323"/>
      <c r="K839" s="323">
        <v>0.5878472222222222</v>
      </c>
      <c r="L839" s="323">
        <v>2.314814814814815E-4</v>
      </c>
      <c r="M839" s="319" t="s">
        <v>166</v>
      </c>
      <c r="N839" s="324" t="s">
        <v>187</v>
      </c>
      <c r="O839" s="419" t="s">
        <v>201</v>
      </c>
      <c r="P839" s="319" t="s">
        <v>212</v>
      </c>
      <c r="Q839" s="318"/>
      <c r="R839" s="326">
        <v>17.4</v>
      </c>
      <c r="S839" s="319">
        <v>5.2</v>
      </c>
      <c r="T839" s="324">
        <v>0.6</v>
      </c>
      <c r="U839" s="319">
        <v>2.0</v>
      </c>
      <c r="V839" s="319"/>
      <c r="W839" s="319"/>
      <c r="X839" s="319"/>
      <c r="Y839" s="319"/>
      <c r="Z839" s="319" t="s">
        <v>339</v>
      </c>
      <c r="AA839" s="319"/>
      <c r="AB839" s="319" t="s">
        <v>341</v>
      </c>
      <c r="AC839" s="327">
        <v>3.0</v>
      </c>
      <c r="AD839" s="319"/>
      <c r="AE839" s="319"/>
      <c r="AF839" s="319"/>
      <c r="AG839" s="319"/>
      <c r="AH839" s="319"/>
      <c r="AI839" s="319"/>
      <c r="AJ839" s="327"/>
      <c r="AK839" s="328"/>
      <c r="AL839" s="319"/>
      <c r="AM839" s="319"/>
      <c r="AN839" s="319"/>
      <c r="AO839" s="319"/>
      <c r="AP839" s="319"/>
      <c r="AQ839" s="319"/>
      <c r="AR839" s="319"/>
      <c r="AS839" s="327"/>
      <c r="AT839" s="461" t="s">
        <v>182</v>
      </c>
      <c r="AU839" s="324" t="s">
        <v>845</v>
      </c>
      <c r="AV839" s="330">
        <f>SQRT(($R839-Infrastructure!J$3)^2+($S839-Infrastructure!K$3)^2)</f>
        <v>29.58006085</v>
      </c>
      <c r="AW839" s="331">
        <f>SQRT(($R839-Infrastructure!J$4)^2+($S839-Infrastructure!K$4)^2)</f>
        <v>21.72671167</v>
      </c>
      <c r="AX839" s="331">
        <f>SQRT(($R839-Infrastructure!J$5)^2+($S839-Infrastructure!K$5)^2)</f>
        <v>17.70028248</v>
      </c>
      <c r="AY839" s="331">
        <f>SQRT(($R839-Infrastructure!J$6)^2+($S839-Infrastructure!K$6)^2)</f>
        <v>8.792041856</v>
      </c>
      <c r="AZ839" s="331">
        <f>SQRT(($R839-Infrastructure!J$7)^2+($S839-Infrastructure!K$7)^2)</f>
        <v>5.798275606</v>
      </c>
      <c r="BA839" s="331">
        <f>SQRT(($R839-Infrastructure!J$8)^2+($S839-Infrastructure!K$8)^2)</f>
        <v>13.61249426</v>
      </c>
      <c r="BB839" s="331">
        <f>SQRT(($R839-Infrastructure!J$9)^2+($S839-Infrastructure!K$9)^2)</f>
        <v>22.60022124</v>
      </c>
      <c r="BC839" s="331">
        <f>SQRT(($R839-Infrastructure!J$10)^2+($S839-Infrastructure!K$10)^2)</f>
        <v>24.63331078</v>
      </c>
      <c r="BD839" s="318"/>
      <c r="BE839" s="332"/>
      <c r="BF839" s="330">
        <f t="shared" si="14"/>
        <v>5.798275606</v>
      </c>
      <c r="BG839" s="333">
        <f t="shared" si="15"/>
        <v>29.58006085</v>
      </c>
      <c r="BH839" s="334"/>
      <c r="BI839" s="316" t="s">
        <v>846</v>
      </c>
      <c r="BJ839" s="318" t="s">
        <v>846</v>
      </c>
      <c r="BK839" s="318" t="s">
        <v>845</v>
      </c>
      <c r="BL839" s="318" t="s">
        <v>846</v>
      </c>
      <c r="BM839" s="318" t="s">
        <v>846</v>
      </c>
      <c r="BN839" s="318" t="s">
        <v>846</v>
      </c>
      <c r="BO839" s="318" t="s">
        <v>845</v>
      </c>
      <c r="BP839" s="318" t="s">
        <v>845</v>
      </c>
      <c r="BQ839" s="338" t="s">
        <v>845</v>
      </c>
      <c r="BR839" s="420" t="s">
        <v>845</v>
      </c>
      <c r="BS839" s="330">
        <f t="shared" si="42"/>
        <v>5.798275606</v>
      </c>
      <c r="BT839" s="331">
        <f t="shared" si="43"/>
        <v>29.58006085</v>
      </c>
      <c r="BU839" s="827">
        <v>0.587037037037037</v>
      </c>
      <c r="BV839" s="333"/>
      <c r="BW839" s="330">
        <v>20.5615384615384</v>
      </c>
      <c r="BX839" s="331">
        <v>9.33076923076923</v>
      </c>
      <c r="BY839" s="331">
        <f t="shared" si="44"/>
        <v>5.20178622</v>
      </c>
      <c r="BZ839" s="340"/>
      <c r="CA839" s="462" t="s">
        <v>846</v>
      </c>
      <c r="CB839" s="319" t="s">
        <v>845</v>
      </c>
      <c r="CC839" s="318"/>
      <c r="CD839" s="319" t="s">
        <v>846</v>
      </c>
      <c r="CE839" s="319" t="s">
        <v>846</v>
      </c>
      <c r="CF839" s="319" t="s">
        <v>845</v>
      </c>
      <c r="CG839" s="319" t="s">
        <v>845</v>
      </c>
      <c r="CH839" s="318"/>
      <c r="CI839" s="788" t="s">
        <v>845</v>
      </c>
      <c r="CJ839" s="821" t="s">
        <v>845</v>
      </c>
      <c r="CK839" s="342">
        <f t="shared" si="18"/>
        <v>5.798275606</v>
      </c>
      <c r="CL839" s="333">
        <f t="shared" si="19"/>
        <v>29.58006085</v>
      </c>
      <c r="CM839" s="829"/>
      <c r="CN839" s="333"/>
      <c r="CO839" s="333"/>
      <c r="CP839" s="333"/>
    </row>
    <row r="840">
      <c r="B840" s="462" t="s">
        <v>1463</v>
      </c>
      <c r="C840" s="417">
        <v>44321.0</v>
      </c>
      <c r="D840" s="318"/>
      <c r="E840" s="319">
        <v>6.0</v>
      </c>
      <c r="F840" s="324" t="s">
        <v>1480</v>
      </c>
      <c r="G840" s="321">
        <v>0.5902199074074074</v>
      </c>
      <c r="H840" s="323">
        <v>0.5905092592592592</v>
      </c>
      <c r="I840" s="323"/>
      <c r="J840" s="323"/>
      <c r="K840" s="323">
        <v>0.5934027777777777</v>
      </c>
      <c r="L840" s="323">
        <v>0.0028935185185185184</v>
      </c>
      <c r="M840" s="319" t="s">
        <v>166</v>
      </c>
      <c r="N840" s="324" t="s">
        <v>187</v>
      </c>
      <c r="O840" s="419" t="s">
        <v>201</v>
      </c>
      <c r="P840" s="319" t="s">
        <v>212</v>
      </c>
      <c r="Q840" s="318"/>
      <c r="R840" s="326">
        <v>17.4</v>
      </c>
      <c r="S840" s="319">
        <v>5.2</v>
      </c>
      <c r="T840" s="324">
        <v>0.6</v>
      </c>
      <c r="U840" s="319">
        <v>1.75</v>
      </c>
      <c r="V840" s="319"/>
      <c r="W840" s="319"/>
      <c r="X840" s="319"/>
      <c r="Y840" s="319"/>
      <c r="Z840" s="319" t="s">
        <v>339</v>
      </c>
      <c r="AA840" s="319"/>
      <c r="AB840" s="319" t="s">
        <v>341</v>
      </c>
      <c r="AC840" s="327">
        <v>3.0</v>
      </c>
      <c r="AD840" s="319"/>
      <c r="AE840" s="319"/>
      <c r="AF840" s="319"/>
      <c r="AG840" s="319"/>
      <c r="AH840" s="319"/>
      <c r="AI840" s="319"/>
      <c r="AJ840" s="327"/>
      <c r="AK840" s="328"/>
      <c r="AL840" s="319"/>
      <c r="AM840" s="319"/>
      <c r="AN840" s="319"/>
      <c r="AO840" s="319"/>
      <c r="AP840" s="319"/>
      <c r="AQ840" s="319"/>
      <c r="AR840" s="319"/>
      <c r="AS840" s="327"/>
      <c r="AT840" s="461" t="s">
        <v>182</v>
      </c>
      <c r="AU840" s="324" t="s">
        <v>845</v>
      </c>
      <c r="AV840" s="330">
        <f>SQRT(($R840-Infrastructure!J$3)^2+($S840-Infrastructure!K$3)^2)</f>
        <v>29.58006085</v>
      </c>
      <c r="AW840" s="331">
        <f>SQRT(($R840-Infrastructure!J$4)^2+($S840-Infrastructure!K$4)^2)</f>
        <v>21.72671167</v>
      </c>
      <c r="AX840" s="331">
        <f>SQRT(($R840-Infrastructure!J$5)^2+($S840-Infrastructure!K$5)^2)</f>
        <v>17.70028248</v>
      </c>
      <c r="AY840" s="331">
        <f>SQRT(($R840-Infrastructure!J$6)^2+($S840-Infrastructure!K$6)^2)</f>
        <v>8.792041856</v>
      </c>
      <c r="AZ840" s="331">
        <f>SQRT(($R840-Infrastructure!J$7)^2+($S840-Infrastructure!K$7)^2)</f>
        <v>5.798275606</v>
      </c>
      <c r="BA840" s="331">
        <f>SQRT(($R840-Infrastructure!J$8)^2+($S840-Infrastructure!K$8)^2)</f>
        <v>13.61249426</v>
      </c>
      <c r="BB840" s="331">
        <f>SQRT(($R840-Infrastructure!J$9)^2+($S840-Infrastructure!K$9)^2)</f>
        <v>22.60022124</v>
      </c>
      <c r="BC840" s="331">
        <f>SQRT(($R840-Infrastructure!J$10)^2+($S840-Infrastructure!K$10)^2)</f>
        <v>24.63331078</v>
      </c>
      <c r="BD840" s="318"/>
      <c r="BE840" s="332"/>
      <c r="BF840" s="330">
        <f t="shared" si="14"/>
        <v>5.798275606</v>
      </c>
      <c r="BG840" s="333">
        <f t="shared" si="15"/>
        <v>29.58006085</v>
      </c>
      <c r="BH840" s="334"/>
      <c r="BI840" s="316" t="s">
        <v>846</v>
      </c>
      <c r="BJ840" s="318" t="s">
        <v>846</v>
      </c>
      <c r="BK840" s="318" t="s">
        <v>845</v>
      </c>
      <c r="BL840" s="318" t="s">
        <v>846</v>
      </c>
      <c r="BM840" s="318" t="s">
        <v>846</v>
      </c>
      <c r="BN840" s="318" t="s">
        <v>846</v>
      </c>
      <c r="BO840" s="318" t="s">
        <v>845</v>
      </c>
      <c r="BP840" s="318" t="s">
        <v>845</v>
      </c>
      <c r="BQ840" s="338" t="s">
        <v>845</v>
      </c>
      <c r="BR840" s="420" t="s">
        <v>846</v>
      </c>
      <c r="BS840" s="330">
        <f t="shared" si="42"/>
        <v>5.798275606</v>
      </c>
      <c r="BT840" s="331">
        <f t="shared" si="43"/>
        <v>29.58006085</v>
      </c>
      <c r="BU840" s="827">
        <v>0.5904050925925926</v>
      </c>
      <c r="BV840" s="333"/>
      <c r="BW840" s="330">
        <v>21.3808510638297</v>
      </c>
      <c r="BX840" s="331">
        <v>8.65531914893616</v>
      </c>
      <c r="BY840" s="331">
        <f t="shared" si="44"/>
        <v>5.271281212</v>
      </c>
      <c r="BZ840" s="340"/>
      <c r="CA840" s="462" t="s">
        <v>845</v>
      </c>
      <c r="CB840" s="319" t="s">
        <v>845</v>
      </c>
      <c r="CC840" s="318"/>
      <c r="CD840" s="319" t="s">
        <v>845</v>
      </c>
      <c r="CE840" s="319" t="s">
        <v>845</v>
      </c>
      <c r="CF840" s="319" t="s">
        <v>845</v>
      </c>
      <c r="CG840" s="319" t="s">
        <v>845</v>
      </c>
      <c r="CH840" s="318"/>
      <c r="CI840" s="788" t="s">
        <v>845</v>
      </c>
      <c r="CJ840" s="821" t="s">
        <v>845</v>
      </c>
      <c r="CK840" s="342">
        <f t="shared" si="18"/>
        <v>0</v>
      </c>
      <c r="CL840" s="333">
        <f t="shared" si="19"/>
        <v>0</v>
      </c>
      <c r="CM840" s="829"/>
      <c r="CN840" s="333"/>
      <c r="CO840" s="333"/>
      <c r="CP840" s="333"/>
    </row>
    <row r="841">
      <c r="B841" s="462" t="s">
        <v>1463</v>
      </c>
      <c r="C841" s="417">
        <v>44321.0</v>
      </c>
      <c r="D841" s="318"/>
      <c r="E841" s="319" t="s">
        <v>1481</v>
      </c>
      <c r="F841" s="324" t="s">
        <v>1482</v>
      </c>
      <c r="G841" s="321">
        <v>0.5944444444444444</v>
      </c>
      <c r="H841" s="323">
        <v>0.5946180555555556</v>
      </c>
      <c r="I841" s="323"/>
      <c r="J841" s="323"/>
      <c r="K841" s="323">
        <v>0.5958912037037037</v>
      </c>
      <c r="L841" s="323">
        <v>0.0012731481481481483</v>
      </c>
      <c r="M841" s="319" t="s">
        <v>166</v>
      </c>
      <c r="N841" s="324" t="s">
        <v>187</v>
      </c>
      <c r="O841" s="419" t="s">
        <v>206</v>
      </c>
      <c r="P841" s="319" t="s">
        <v>218</v>
      </c>
      <c r="Q841" s="318"/>
      <c r="R841" s="326">
        <v>21.2</v>
      </c>
      <c r="S841" s="319">
        <v>8.7</v>
      </c>
      <c r="T841" s="324">
        <v>2.4</v>
      </c>
      <c r="U841" s="319">
        <v>1.75</v>
      </c>
      <c r="V841" s="319"/>
      <c r="W841" s="319"/>
      <c r="X841" s="319"/>
      <c r="Y841" s="319"/>
      <c r="Z841" s="319" t="s">
        <v>347</v>
      </c>
      <c r="AA841" s="319"/>
      <c r="AB841" s="319" t="s">
        <v>1157</v>
      </c>
      <c r="AC841" s="327">
        <v>10.0</v>
      </c>
      <c r="AD841" s="319"/>
      <c r="AE841" s="319"/>
      <c r="AF841" s="319"/>
      <c r="AG841" s="319"/>
      <c r="AH841" s="319"/>
      <c r="AI841" s="319"/>
      <c r="AJ841" s="327"/>
      <c r="AK841" s="328"/>
      <c r="AL841" s="319"/>
      <c r="AM841" s="319"/>
      <c r="AN841" s="319"/>
      <c r="AO841" s="319"/>
      <c r="AP841" s="319"/>
      <c r="AQ841" s="319"/>
      <c r="AR841" s="319"/>
      <c r="AS841" s="327"/>
      <c r="AT841" s="461" t="s">
        <v>182</v>
      </c>
      <c r="AU841" s="324" t="s">
        <v>845</v>
      </c>
      <c r="AV841" s="330">
        <f>SQRT(($R841-Infrastructure!J$3)^2+($S841-Infrastructure!K$3)^2)</f>
        <v>29.50067796</v>
      </c>
      <c r="AW841" s="331">
        <f>SQRT(($R841-Infrastructure!J$4)^2+($S841-Infrastructure!K$4)^2)</f>
        <v>23.34652008</v>
      </c>
      <c r="AX841" s="331">
        <f>SQRT(($R841-Infrastructure!J$5)^2+($S841-Infrastructure!K$5)^2)</f>
        <v>21.79931192</v>
      </c>
      <c r="AY841" s="331">
        <f>SQRT(($R841-Infrastructure!J$6)^2+($S841-Infrastructure!K$6)^2)</f>
        <v>13.92012931</v>
      </c>
      <c r="AZ841" s="331">
        <f>SQRT(($R841-Infrastructure!J$7)^2+($S841-Infrastructure!K$7)^2)</f>
        <v>8.429116205</v>
      </c>
      <c r="BA841" s="331">
        <f>SQRT(($R841-Infrastructure!J$8)^2+($S841-Infrastructure!K$8)^2)</f>
        <v>12.2380554</v>
      </c>
      <c r="BB841" s="331">
        <f>SQRT(($R841-Infrastructure!J$9)^2+($S841-Infrastructure!K$9)^2)</f>
        <v>19.14157778</v>
      </c>
      <c r="BC841" s="331">
        <f>SQRT(($R841-Infrastructure!J$10)^2+($S841-Infrastructure!K$10)^2)</f>
        <v>19.82750615</v>
      </c>
      <c r="BD841" s="318"/>
      <c r="BE841" s="332"/>
      <c r="BF841" s="330">
        <f t="shared" si="14"/>
        <v>8.429116205</v>
      </c>
      <c r="BG841" s="333">
        <f t="shared" si="15"/>
        <v>29.50067796</v>
      </c>
      <c r="BH841" s="334"/>
      <c r="BI841" s="316" t="s">
        <v>845</v>
      </c>
      <c r="BJ841" s="318" t="s">
        <v>845</v>
      </c>
      <c r="BK841" s="318" t="s">
        <v>845</v>
      </c>
      <c r="BL841" s="318" t="s">
        <v>845</v>
      </c>
      <c r="BM841" s="318" t="s">
        <v>845</v>
      </c>
      <c r="BN841" s="318" t="s">
        <v>845</v>
      </c>
      <c r="BO841" s="318" t="s">
        <v>845</v>
      </c>
      <c r="BP841" s="318" t="s">
        <v>845</v>
      </c>
      <c r="BQ841" s="338" t="s">
        <v>845</v>
      </c>
      <c r="BR841" s="420" t="s">
        <v>845</v>
      </c>
      <c r="BS841" s="330">
        <f t="shared" si="42"/>
        <v>0</v>
      </c>
      <c r="BT841" s="331">
        <f t="shared" si="43"/>
        <v>0</v>
      </c>
      <c r="BU841" s="828"/>
      <c r="BV841" s="333"/>
      <c r="BW841" s="330"/>
      <c r="BX841" s="331"/>
      <c r="BY841" s="331" t="b">
        <f t="shared" si="44"/>
        <v>0</v>
      </c>
      <c r="BZ841" s="340"/>
      <c r="CA841" s="462" t="s">
        <v>845</v>
      </c>
      <c r="CB841" s="319" t="s">
        <v>845</v>
      </c>
      <c r="CC841" s="318"/>
      <c r="CD841" s="319" t="s">
        <v>845</v>
      </c>
      <c r="CE841" s="319" t="s">
        <v>845</v>
      </c>
      <c r="CF841" s="319" t="s">
        <v>845</v>
      </c>
      <c r="CG841" s="319" t="s">
        <v>845</v>
      </c>
      <c r="CH841" s="318"/>
      <c r="CI841" s="788" t="s">
        <v>845</v>
      </c>
      <c r="CJ841" s="821" t="s">
        <v>845</v>
      </c>
      <c r="CK841" s="342">
        <f t="shared" si="18"/>
        <v>0</v>
      </c>
      <c r="CL841" s="333">
        <f t="shared" si="19"/>
        <v>0</v>
      </c>
      <c r="CM841" s="829"/>
      <c r="CN841" s="333"/>
      <c r="CO841" s="333"/>
      <c r="CP841" s="333"/>
    </row>
    <row r="842">
      <c r="B842" s="462" t="s">
        <v>1463</v>
      </c>
      <c r="C842" s="417">
        <v>44321.0</v>
      </c>
      <c r="D842" s="318"/>
      <c r="E842" s="319" t="s">
        <v>1483</v>
      </c>
      <c r="F842" s="324" t="s">
        <v>1484</v>
      </c>
      <c r="G842" s="321">
        <v>0.5958912037037037</v>
      </c>
      <c r="H842" s="323">
        <v>0.5962384259259259</v>
      </c>
      <c r="I842" s="323"/>
      <c r="J842" s="323"/>
      <c r="K842" s="323">
        <v>0.5967013888888889</v>
      </c>
      <c r="L842" s="323">
        <v>4.62962962962963E-4</v>
      </c>
      <c r="M842" s="319" t="s">
        <v>166</v>
      </c>
      <c r="N842" s="324" t="s">
        <v>187</v>
      </c>
      <c r="O842" s="419" t="s">
        <v>206</v>
      </c>
      <c r="P842" s="319" t="s">
        <v>218</v>
      </c>
      <c r="Q842" s="318"/>
      <c r="R842" s="326">
        <v>21.2</v>
      </c>
      <c r="S842" s="319">
        <v>8.7</v>
      </c>
      <c r="T842" s="324">
        <v>2.4</v>
      </c>
      <c r="U842" s="319">
        <v>1.25</v>
      </c>
      <c r="V842" s="319"/>
      <c r="W842" s="319"/>
      <c r="X842" s="319"/>
      <c r="Y842" s="319"/>
      <c r="Z842" s="319" t="s">
        <v>347</v>
      </c>
      <c r="AA842" s="319"/>
      <c r="AB842" s="319" t="s">
        <v>1157</v>
      </c>
      <c r="AC842" s="327">
        <v>10.0</v>
      </c>
      <c r="AD842" s="319"/>
      <c r="AE842" s="319"/>
      <c r="AF842" s="319"/>
      <c r="AG842" s="319"/>
      <c r="AH842" s="319"/>
      <c r="AI842" s="319"/>
      <c r="AJ842" s="327"/>
      <c r="AK842" s="328"/>
      <c r="AL842" s="319"/>
      <c r="AM842" s="319"/>
      <c r="AN842" s="319"/>
      <c r="AO842" s="319"/>
      <c r="AP842" s="319"/>
      <c r="AQ842" s="319"/>
      <c r="AR842" s="319"/>
      <c r="AS842" s="327"/>
      <c r="AT842" s="461" t="s">
        <v>182</v>
      </c>
      <c r="AU842" s="324" t="s">
        <v>845</v>
      </c>
      <c r="AV842" s="330">
        <f>SQRT(($R842-Infrastructure!J$3)^2+($S842-Infrastructure!K$3)^2)</f>
        <v>29.50067796</v>
      </c>
      <c r="AW842" s="331">
        <f>SQRT(($R842-Infrastructure!J$4)^2+($S842-Infrastructure!K$4)^2)</f>
        <v>23.34652008</v>
      </c>
      <c r="AX842" s="331">
        <f>SQRT(($R842-Infrastructure!J$5)^2+($S842-Infrastructure!K$5)^2)</f>
        <v>21.79931192</v>
      </c>
      <c r="AY842" s="331">
        <f>SQRT(($R842-Infrastructure!J$6)^2+($S842-Infrastructure!K$6)^2)</f>
        <v>13.92012931</v>
      </c>
      <c r="AZ842" s="331">
        <f>SQRT(($R842-Infrastructure!J$7)^2+($S842-Infrastructure!K$7)^2)</f>
        <v>8.429116205</v>
      </c>
      <c r="BA842" s="331">
        <f>SQRT(($R842-Infrastructure!J$8)^2+($S842-Infrastructure!K$8)^2)</f>
        <v>12.2380554</v>
      </c>
      <c r="BB842" s="331">
        <f>SQRT(($R842-Infrastructure!J$9)^2+($S842-Infrastructure!K$9)^2)</f>
        <v>19.14157778</v>
      </c>
      <c r="BC842" s="331">
        <f>SQRT(($R842-Infrastructure!J$10)^2+($S842-Infrastructure!K$10)^2)</f>
        <v>19.82750615</v>
      </c>
      <c r="BD842" s="318"/>
      <c r="BE842" s="332"/>
      <c r="BF842" s="330">
        <f t="shared" si="14"/>
        <v>8.429116205</v>
      </c>
      <c r="BG842" s="333">
        <f t="shared" si="15"/>
        <v>29.50067796</v>
      </c>
      <c r="BH842" s="334"/>
      <c r="BI842" s="316" t="s">
        <v>845</v>
      </c>
      <c r="BJ842" s="318" t="s">
        <v>845</v>
      </c>
      <c r="BK842" s="318" t="s">
        <v>845</v>
      </c>
      <c r="BL842" s="318" t="s">
        <v>845</v>
      </c>
      <c r="BM842" s="318" t="s">
        <v>845</v>
      </c>
      <c r="BN842" s="318" t="s">
        <v>845</v>
      </c>
      <c r="BO842" s="318" t="s">
        <v>845</v>
      </c>
      <c r="BP842" s="318" t="s">
        <v>845</v>
      </c>
      <c r="BQ842" s="338" t="s">
        <v>845</v>
      </c>
      <c r="BR842" s="420" t="s">
        <v>845</v>
      </c>
      <c r="BS842" s="330">
        <f t="shared" si="42"/>
        <v>0</v>
      </c>
      <c r="BT842" s="331">
        <f t="shared" si="43"/>
        <v>0</v>
      </c>
      <c r="BU842" s="828"/>
      <c r="BV842" s="333"/>
      <c r="BW842" s="330"/>
      <c r="BX842" s="331"/>
      <c r="BY842" s="331" t="b">
        <f t="shared" si="44"/>
        <v>0</v>
      </c>
      <c r="BZ842" s="340"/>
      <c r="CA842" s="462" t="s">
        <v>845</v>
      </c>
      <c r="CB842" s="319" t="s">
        <v>845</v>
      </c>
      <c r="CC842" s="318"/>
      <c r="CD842" s="319" t="s">
        <v>845</v>
      </c>
      <c r="CE842" s="319" t="s">
        <v>845</v>
      </c>
      <c r="CF842" s="319" t="s">
        <v>845</v>
      </c>
      <c r="CG842" s="319" t="s">
        <v>845</v>
      </c>
      <c r="CH842" s="318"/>
      <c r="CI842" s="788" t="s">
        <v>845</v>
      </c>
      <c r="CJ842" s="821" t="s">
        <v>845</v>
      </c>
      <c r="CK842" s="342">
        <f t="shared" si="18"/>
        <v>0</v>
      </c>
      <c r="CL842" s="333">
        <f t="shared" si="19"/>
        <v>0</v>
      </c>
      <c r="CM842" s="829"/>
      <c r="CN842" s="333"/>
      <c r="CO842" s="333"/>
      <c r="CP842" s="333"/>
    </row>
    <row r="843">
      <c r="B843" s="462" t="s">
        <v>1463</v>
      </c>
      <c r="C843" s="417">
        <v>44321.0</v>
      </c>
      <c r="D843" s="318"/>
      <c r="E843" s="319" t="s">
        <v>1485</v>
      </c>
      <c r="F843" s="324" t="s">
        <v>1486</v>
      </c>
      <c r="G843" s="321">
        <v>0.5967013888888889</v>
      </c>
      <c r="H843" s="323">
        <v>0.5970486111111111</v>
      </c>
      <c r="I843" s="323"/>
      <c r="J843" s="323"/>
      <c r="K843" s="323">
        <v>0.5977430555555555</v>
      </c>
      <c r="L843" s="323">
        <v>6.944444444444445E-4</v>
      </c>
      <c r="M843" s="319" t="s">
        <v>166</v>
      </c>
      <c r="N843" s="324" t="s">
        <v>187</v>
      </c>
      <c r="O843" s="419" t="s">
        <v>206</v>
      </c>
      <c r="P843" s="319" t="s">
        <v>218</v>
      </c>
      <c r="Q843" s="318"/>
      <c r="R843" s="326">
        <v>21.2</v>
      </c>
      <c r="S843" s="319">
        <v>8.7</v>
      </c>
      <c r="T843" s="324">
        <v>2.4</v>
      </c>
      <c r="U843" s="319">
        <v>1.5</v>
      </c>
      <c r="V843" s="319"/>
      <c r="W843" s="319"/>
      <c r="X843" s="319"/>
      <c r="Y843" s="319"/>
      <c r="Z843" s="319" t="s">
        <v>347</v>
      </c>
      <c r="AA843" s="319"/>
      <c r="AB843" s="319" t="s">
        <v>1157</v>
      </c>
      <c r="AC843" s="327">
        <v>10.0</v>
      </c>
      <c r="AD843" s="319"/>
      <c r="AE843" s="319"/>
      <c r="AF843" s="319"/>
      <c r="AG843" s="319"/>
      <c r="AH843" s="319"/>
      <c r="AI843" s="319"/>
      <c r="AJ843" s="327"/>
      <c r="AK843" s="328"/>
      <c r="AL843" s="319"/>
      <c r="AM843" s="319"/>
      <c r="AN843" s="319"/>
      <c r="AO843" s="319"/>
      <c r="AP843" s="319"/>
      <c r="AQ843" s="319"/>
      <c r="AR843" s="319"/>
      <c r="AS843" s="327"/>
      <c r="AT843" s="461" t="s">
        <v>182</v>
      </c>
      <c r="AU843" s="324" t="s">
        <v>845</v>
      </c>
      <c r="AV843" s="330">
        <f>SQRT(($R843-Infrastructure!J$3)^2+($S843-Infrastructure!K$3)^2)</f>
        <v>29.50067796</v>
      </c>
      <c r="AW843" s="331">
        <f>SQRT(($R843-Infrastructure!J$4)^2+($S843-Infrastructure!K$4)^2)</f>
        <v>23.34652008</v>
      </c>
      <c r="AX843" s="331">
        <f>SQRT(($R843-Infrastructure!J$5)^2+($S843-Infrastructure!K$5)^2)</f>
        <v>21.79931192</v>
      </c>
      <c r="AY843" s="331">
        <f>SQRT(($R843-Infrastructure!J$6)^2+($S843-Infrastructure!K$6)^2)</f>
        <v>13.92012931</v>
      </c>
      <c r="AZ843" s="331">
        <f>SQRT(($R843-Infrastructure!J$7)^2+($S843-Infrastructure!K$7)^2)</f>
        <v>8.429116205</v>
      </c>
      <c r="BA843" s="331">
        <f>SQRT(($R843-Infrastructure!J$8)^2+($S843-Infrastructure!K$8)^2)</f>
        <v>12.2380554</v>
      </c>
      <c r="BB843" s="331">
        <f>SQRT(($R843-Infrastructure!J$9)^2+($S843-Infrastructure!K$9)^2)</f>
        <v>19.14157778</v>
      </c>
      <c r="BC843" s="331">
        <f>SQRT(($R843-Infrastructure!J$10)^2+($S843-Infrastructure!K$10)^2)</f>
        <v>19.82750615</v>
      </c>
      <c r="BD843" s="318"/>
      <c r="BE843" s="332"/>
      <c r="BF843" s="330">
        <f t="shared" si="14"/>
        <v>8.429116205</v>
      </c>
      <c r="BG843" s="333">
        <f t="shared" si="15"/>
        <v>29.50067796</v>
      </c>
      <c r="BH843" s="334"/>
      <c r="BI843" s="316" t="s">
        <v>845</v>
      </c>
      <c r="BJ843" s="318" t="s">
        <v>845</v>
      </c>
      <c r="BK843" s="318" t="s">
        <v>845</v>
      </c>
      <c r="BL843" s="318" t="s">
        <v>845</v>
      </c>
      <c r="BM843" s="318" t="s">
        <v>845</v>
      </c>
      <c r="BN843" s="318" t="s">
        <v>845</v>
      </c>
      <c r="BO843" s="318" t="s">
        <v>845</v>
      </c>
      <c r="BP843" s="318" t="s">
        <v>845</v>
      </c>
      <c r="BQ843" s="338" t="s">
        <v>845</v>
      </c>
      <c r="BR843" s="420" t="s">
        <v>845</v>
      </c>
      <c r="BS843" s="330">
        <f t="shared" si="42"/>
        <v>0</v>
      </c>
      <c r="BT843" s="331">
        <f t="shared" si="43"/>
        <v>0</v>
      </c>
      <c r="BU843" s="828"/>
      <c r="BV843" s="333"/>
      <c r="BW843" s="330"/>
      <c r="BX843" s="331"/>
      <c r="BY843" s="331" t="b">
        <f t="shared" si="44"/>
        <v>0</v>
      </c>
      <c r="BZ843" s="340"/>
      <c r="CA843" s="462" t="s">
        <v>845</v>
      </c>
      <c r="CB843" s="319" t="s">
        <v>845</v>
      </c>
      <c r="CC843" s="318"/>
      <c r="CD843" s="319" t="s">
        <v>845</v>
      </c>
      <c r="CE843" s="319" t="s">
        <v>845</v>
      </c>
      <c r="CF843" s="319" t="s">
        <v>845</v>
      </c>
      <c r="CG843" s="319" t="s">
        <v>845</v>
      </c>
      <c r="CH843" s="318"/>
      <c r="CI843" s="788" t="s">
        <v>845</v>
      </c>
      <c r="CJ843" s="821" t="s">
        <v>845</v>
      </c>
      <c r="CK843" s="342">
        <f t="shared" si="18"/>
        <v>0</v>
      </c>
      <c r="CL843" s="333">
        <f t="shared" si="19"/>
        <v>0</v>
      </c>
      <c r="CM843" s="829"/>
      <c r="CN843" s="333"/>
      <c r="CO843" s="333"/>
      <c r="CP843" s="333"/>
    </row>
    <row r="844">
      <c r="B844" s="462" t="s">
        <v>1463</v>
      </c>
      <c r="C844" s="417">
        <v>44321.0</v>
      </c>
      <c r="D844" s="318"/>
      <c r="E844" s="319">
        <v>8.0</v>
      </c>
      <c r="F844" s="324" t="s">
        <v>1487</v>
      </c>
      <c r="G844" s="321">
        <v>0.6013888888888889</v>
      </c>
      <c r="H844" s="323">
        <v>0.6019097222222223</v>
      </c>
      <c r="I844" s="323"/>
      <c r="J844" s="323"/>
      <c r="K844" s="323">
        <v>0.602199074074074</v>
      </c>
      <c r="L844" s="323">
        <v>2.8935185185185184E-4</v>
      </c>
      <c r="M844" s="319" t="s">
        <v>166</v>
      </c>
      <c r="N844" s="324" t="s">
        <v>187</v>
      </c>
      <c r="O844" s="419" t="s">
        <v>197</v>
      </c>
      <c r="P844" s="319" t="s">
        <v>220</v>
      </c>
      <c r="Q844" s="318"/>
      <c r="R844" s="326">
        <v>37.1</v>
      </c>
      <c r="S844" s="319">
        <v>7.0</v>
      </c>
      <c r="T844" s="324">
        <v>6.5</v>
      </c>
      <c r="U844" s="319">
        <v>2.0</v>
      </c>
      <c r="V844" s="319"/>
      <c r="W844" s="319"/>
      <c r="X844" s="319"/>
      <c r="Y844" s="319"/>
      <c r="Z844" s="319" t="s">
        <v>379</v>
      </c>
      <c r="AA844" s="319"/>
      <c r="AB844" s="319" t="s">
        <v>1175</v>
      </c>
      <c r="AC844" s="327">
        <v>8.0</v>
      </c>
      <c r="AD844" s="319"/>
      <c r="AE844" s="319"/>
      <c r="AF844" s="319"/>
      <c r="AG844" s="319"/>
      <c r="AH844" s="319"/>
      <c r="AI844" s="319"/>
      <c r="AJ844" s="327"/>
      <c r="AK844" s="328"/>
      <c r="AL844" s="319"/>
      <c r="AM844" s="319"/>
      <c r="AN844" s="319"/>
      <c r="AO844" s="319"/>
      <c r="AP844" s="319"/>
      <c r="AQ844" s="319"/>
      <c r="AR844" s="319"/>
      <c r="AS844" s="327"/>
      <c r="AT844" s="461" t="s">
        <v>182</v>
      </c>
      <c r="AU844" s="324" t="s">
        <v>845</v>
      </c>
      <c r="AV844" s="330">
        <f>SQRT(($R844-Infrastructure!J$3)^2+($S844-Infrastructure!K$3)^2)</f>
        <v>43.34016613</v>
      </c>
      <c r="AW844" s="331">
        <f>SQRT(($R844-Infrastructure!J$4)^2+($S844-Infrastructure!K$4)^2)</f>
        <v>38.92813892</v>
      </c>
      <c r="AX844" s="331">
        <f>SQRT(($R844-Infrastructure!J$5)^2+($S844-Infrastructure!K$5)^2)</f>
        <v>37.44823093</v>
      </c>
      <c r="AY844" s="331">
        <f>SQRT(($R844-Infrastructure!J$6)^2+($S844-Infrastructure!K$6)^2)</f>
        <v>27.81887848</v>
      </c>
      <c r="AZ844" s="331">
        <f>SQRT(($R844-Infrastructure!J$7)^2+($S844-Infrastructure!K$7)^2)</f>
        <v>17.90111728</v>
      </c>
      <c r="BA844" s="331">
        <f>SQRT(($R844-Infrastructure!J$8)^2+($S844-Infrastructure!K$8)^2)</f>
        <v>9.689685237</v>
      </c>
      <c r="BB844" s="331">
        <f>SQRT(($R844-Infrastructure!J$9)^2+($S844-Infrastructure!K$9)^2)</f>
        <v>3.466987165</v>
      </c>
      <c r="BC844" s="331">
        <f>SQRT(($R844-Infrastructure!J$10)^2+($S844-Infrastructure!K$10)^2)</f>
        <v>8.50940656</v>
      </c>
      <c r="BD844" s="318"/>
      <c r="BE844" s="332"/>
      <c r="BF844" s="330">
        <f t="shared" si="14"/>
        <v>3.466987165</v>
      </c>
      <c r="BG844" s="333">
        <f t="shared" si="15"/>
        <v>43.34016613</v>
      </c>
      <c r="BH844" s="334"/>
      <c r="BI844" s="316" t="s">
        <v>845</v>
      </c>
      <c r="BJ844" s="318" t="s">
        <v>845</v>
      </c>
      <c r="BK844" s="318" t="s">
        <v>845</v>
      </c>
      <c r="BL844" s="318" t="s">
        <v>845</v>
      </c>
      <c r="BM844" s="318" t="s">
        <v>845</v>
      </c>
      <c r="BN844" s="318" t="s">
        <v>845</v>
      </c>
      <c r="BO844" s="318" t="s">
        <v>845</v>
      </c>
      <c r="BP844" s="318" t="s">
        <v>845</v>
      </c>
      <c r="BQ844" s="338" t="s">
        <v>845</v>
      </c>
      <c r="BR844" s="420" t="s">
        <v>845</v>
      </c>
      <c r="BS844" s="330">
        <f t="shared" si="42"/>
        <v>0</v>
      </c>
      <c r="BT844" s="331">
        <f t="shared" si="43"/>
        <v>0</v>
      </c>
      <c r="BU844" s="828"/>
      <c r="BV844" s="333"/>
      <c r="BW844" s="330"/>
      <c r="BX844" s="331"/>
      <c r="BY844" s="331" t="b">
        <f t="shared" si="44"/>
        <v>0</v>
      </c>
      <c r="BZ844" s="340"/>
      <c r="CA844" s="462" t="s">
        <v>845</v>
      </c>
      <c r="CB844" s="319" t="s">
        <v>845</v>
      </c>
      <c r="CC844" s="318"/>
      <c r="CD844" s="319" t="s">
        <v>845</v>
      </c>
      <c r="CE844" s="319" t="s">
        <v>845</v>
      </c>
      <c r="CF844" s="319" t="s">
        <v>845</v>
      </c>
      <c r="CG844" s="319" t="s">
        <v>845</v>
      </c>
      <c r="CH844" s="318"/>
      <c r="CI844" s="788" t="s">
        <v>845</v>
      </c>
      <c r="CJ844" s="821" t="s">
        <v>845</v>
      </c>
      <c r="CK844" s="342">
        <f t="shared" si="18"/>
        <v>0</v>
      </c>
      <c r="CL844" s="333">
        <f t="shared" si="19"/>
        <v>0</v>
      </c>
      <c r="CM844" s="829"/>
      <c r="CN844" s="333"/>
      <c r="CO844" s="333"/>
      <c r="CP844" s="333"/>
    </row>
    <row r="845">
      <c r="B845" s="462" t="s">
        <v>1463</v>
      </c>
      <c r="C845" s="417">
        <v>44321.0</v>
      </c>
      <c r="D845" s="318"/>
      <c r="E845" s="319" t="s">
        <v>1488</v>
      </c>
      <c r="F845" s="324" t="s">
        <v>1489</v>
      </c>
      <c r="G845" s="321">
        <v>0.603125</v>
      </c>
      <c r="H845" s="323">
        <v>0.6032986111111112</v>
      </c>
      <c r="I845" s="323"/>
      <c r="J845" s="323"/>
      <c r="K845" s="323">
        <v>0.6053240740740741</v>
      </c>
      <c r="L845" s="323">
        <v>0.002025462962962963</v>
      </c>
      <c r="M845" s="319" t="s">
        <v>166</v>
      </c>
      <c r="N845" s="324" t="s">
        <v>187</v>
      </c>
      <c r="O845" s="419" t="s">
        <v>197</v>
      </c>
      <c r="P845" s="319" t="s">
        <v>220</v>
      </c>
      <c r="Q845" s="318"/>
      <c r="R845" s="326">
        <v>37.1</v>
      </c>
      <c r="S845" s="319">
        <v>7.0</v>
      </c>
      <c r="T845" s="324">
        <v>6.5</v>
      </c>
      <c r="U845" s="319">
        <v>2.0</v>
      </c>
      <c r="V845" s="319"/>
      <c r="W845" s="319"/>
      <c r="X845" s="319"/>
      <c r="Y845" s="319"/>
      <c r="Z845" s="319" t="s">
        <v>379</v>
      </c>
      <c r="AA845" s="319"/>
      <c r="AB845" s="319" t="s">
        <v>1175</v>
      </c>
      <c r="AC845" s="327">
        <v>8.0</v>
      </c>
      <c r="AD845" s="319"/>
      <c r="AE845" s="319"/>
      <c r="AF845" s="319"/>
      <c r="AG845" s="319"/>
      <c r="AH845" s="319"/>
      <c r="AI845" s="319"/>
      <c r="AJ845" s="327"/>
      <c r="AK845" s="328"/>
      <c r="AL845" s="319"/>
      <c r="AM845" s="319"/>
      <c r="AN845" s="319"/>
      <c r="AO845" s="319"/>
      <c r="AP845" s="319"/>
      <c r="AQ845" s="319"/>
      <c r="AR845" s="319"/>
      <c r="AS845" s="327"/>
      <c r="AT845" s="461" t="s">
        <v>182</v>
      </c>
      <c r="AU845" s="324" t="s">
        <v>845</v>
      </c>
      <c r="AV845" s="330">
        <f>SQRT(($R845-Infrastructure!J$3)^2+($S845-Infrastructure!K$3)^2)</f>
        <v>43.34016613</v>
      </c>
      <c r="AW845" s="331">
        <f>SQRT(($R845-Infrastructure!J$4)^2+($S845-Infrastructure!K$4)^2)</f>
        <v>38.92813892</v>
      </c>
      <c r="AX845" s="331">
        <f>SQRT(($R845-Infrastructure!J$5)^2+($S845-Infrastructure!K$5)^2)</f>
        <v>37.44823093</v>
      </c>
      <c r="AY845" s="331">
        <f>SQRT(($R845-Infrastructure!J$6)^2+($S845-Infrastructure!K$6)^2)</f>
        <v>27.81887848</v>
      </c>
      <c r="AZ845" s="331">
        <f>SQRT(($R845-Infrastructure!J$7)^2+($S845-Infrastructure!K$7)^2)</f>
        <v>17.90111728</v>
      </c>
      <c r="BA845" s="331">
        <f>SQRT(($R845-Infrastructure!J$8)^2+($S845-Infrastructure!K$8)^2)</f>
        <v>9.689685237</v>
      </c>
      <c r="BB845" s="331">
        <f>SQRT(($R845-Infrastructure!J$9)^2+($S845-Infrastructure!K$9)^2)</f>
        <v>3.466987165</v>
      </c>
      <c r="BC845" s="331">
        <f>SQRT(($R845-Infrastructure!J$10)^2+($S845-Infrastructure!K$10)^2)</f>
        <v>8.50940656</v>
      </c>
      <c r="BD845" s="318"/>
      <c r="BE845" s="332"/>
      <c r="BF845" s="330">
        <f t="shared" si="14"/>
        <v>3.466987165</v>
      </c>
      <c r="BG845" s="333">
        <f t="shared" si="15"/>
        <v>43.34016613</v>
      </c>
      <c r="BH845" s="334"/>
      <c r="BI845" s="316" t="s">
        <v>845</v>
      </c>
      <c r="BJ845" s="318" t="s">
        <v>845</v>
      </c>
      <c r="BK845" s="318" t="s">
        <v>845</v>
      </c>
      <c r="BL845" s="318" t="s">
        <v>845</v>
      </c>
      <c r="BM845" s="318" t="s">
        <v>845</v>
      </c>
      <c r="BN845" s="318" t="s">
        <v>845</v>
      </c>
      <c r="BO845" s="318" t="s">
        <v>845</v>
      </c>
      <c r="BP845" s="318" t="s">
        <v>845</v>
      </c>
      <c r="BQ845" s="338" t="s">
        <v>845</v>
      </c>
      <c r="BR845" s="420" t="s">
        <v>845</v>
      </c>
      <c r="BS845" s="330">
        <f t="shared" si="42"/>
        <v>0</v>
      </c>
      <c r="BT845" s="331">
        <f t="shared" si="43"/>
        <v>0</v>
      </c>
      <c r="BU845" s="828"/>
      <c r="BV845" s="333"/>
      <c r="BW845" s="330"/>
      <c r="BX845" s="331"/>
      <c r="BY845" s="331" t="b">
        <f t="shared" si="44"/>
        <v>0</v>
      </c>
      <c r="BZ845" s="340"/>
      <c r="CA845" s="462" t="s">
        <v>845</v>
      </c>
      <c r="CB845" s="319" t="s">
        <v>845</v>
      </c>
      <c r="CC845" s="318"/>
      <c r="CD845" s="319" t="s">
        <v>845</v>
      </c>
      <c r="CE845" s="319" t="s">
        <v>845</v>
      </c>
      <c r="CF845" s="319" t="s">
        <v>845</v>
      </c>
      <c r="CG845" s="319" t="s">
        <v>845</v>
      </c>
      <c r="CH845" s="318"/>
      <c r="CI845" s="788" t="s">
        <v>845</v>
      </c>
      <c r="CJ845" s="821" t="s">
        <v>845</v>
      </c>
      <c r="CK845" s="342">
        <f t="shared" si="18"/>
        <v>0</v>
      </c>
      <c r="CL845" s="333">
        <f t="shared" si="19"/>
        <v>0</v>
      </c>
      <c r="CM845" s="829"/>
      <c r="CN845" s="333"/>
      <c r="CO845" s="333"/>
      <c r="CP845" s="333"/>
    </row>
    <row r="846">
      <c r="B846" s="462" t="s">
        <v>1463</v>
      </c>
      <c r="C846" s="417">
        <v>44321.0</v>
      </c>
      <c r="D846" s="318"/>
      <c r="E846" s="319" t="s">
        <v>1490</v>
      </c>
      <c r="F846" s="324" t="s">
        <v>1491</v>
      </c>
      <c r="G846" s="321">
        <v>0.6053240740740741</v>
      </c>
      <c r="H846" s="323">
        <v>0.6060185185185185</v>
      </c>
      <c r="I846" s="323"/>
      <c r="J846" s="323"/>
      <c r="K846" s="323">
        <v>0.6087962962962963</v>
      </c>
      <c r="L846" s="323">
        <v>0.002777777777777778</v>
      </c>
      <c r="M846" s="319" t="s">
        <v>166</v>
      </c>
      <c r="N846" s="324" t="s">
        <v>187</v>
      </c>
      <c r="O846" s="419" t="s">
        <v>197</v>
      </c>
      <c r="P846" s="319" t="s">
        <v>220</v>
      </c>
      <c r="Q846" s="318"/>
      <c r="R846" s="326">
        <v>37.1</v>
      </c>
      <c r="S846" s="319">
        <v>7.0</v>
      </c>
      <c r="T846" s="324">
        <v>6.5</v>
      </c>
      <c r="U846" s="319">
        <v>2.25</v>
      </c>
      <c r="V846" s="319"/>
      <c r="W846" s="319"/>
      <c r="X846" s="319"/>
      <c r="Y846" s="319"/>
      <c r="Z846" s="319" t="s">
        <v>379</v>
      </c>
      <c r="AA846" s="319"/>
      <c r="AB846" s="319" t="s">
        <v>1175</v>
      </c>
      <c r="AC846" s="327">
        <v>8.0</v>
      </c>
      <c r="AD846" s="319"/>
      <c r="AE846" s="319"/>
      <c r="AF846" s="319"/>
      <c r="AG846" s="319"/>
      <c r="AH846" s="319"/>
      <c r="AI846" s="319"/>
      <c r="AJ846" s="327"/>
      <c r="AK846" s="328"/>
      <c r="AL846" s="319"/>
      <c r="AM846" s="319"/>
      <c r="AN846" s="319"/>
      <c r="AO846" s="319"/>
      <c r="AP846" s="319"/>
      <c r="AQ846" s="319"/>
      <c r="AR846" s="319"/>
      <c r="AS846" s="327"/>
      <c r="AT846" s="461" t="s">
        <v>182</v>
      </c>
      <c r="AU846" s="324" t="s">
        <v>845</v>
      </c>
      <c r="AV846" s="330">
        <f>SQRT(($R846-Infrastructure!J$3)^2+($S846-Infrastructure!K$3)^2)</f>
        <v>43.34016613</v>
      </c>
      <c r="AW846" s="331">
        <f>SQRT(($R846-Infrastructure!J$4)^2+($S846-Infrastructure!K$4)^2)</f>
        <v>38.92813892</v>
      </c>
      <c r="AX846" s="331">
        <f>SQRT(($R846-Infrastructure!J$5)^2+($S846-Infrastructure!K$5)^2)</f>
        <v>37.44823093</v>
      </c>
      <c r="AY846" s="331">
        <f>SQRT(($R846-Infrastructure!J$6)^2+($S846-Infrastructure!K$6)^2)</f>
        <v>27.81887848</v>
      </c>
      <c r="AZ846" s="331">
        <f>SQRT(($R846-Infrastructure!J$7)^2+($S846-Infrastructure!K$7)^2)</f>
        <v>17.90111728</v>
      </c>
      <c r="BA846" s="331">
        <f>SQRT(($R846-Infrastructure!J$8)^2+($S846-Infrastructure!K$8)^2)</f>
        <v>9.689685237</v>
      </c>
      <c r="BB846" s="331">
        <f>SQRT(($R846-Infrastructure!J$9)^2+($S846-Infrastructure!K$9)^2)</f>
        <v>3.466987165</v>
      </c>
      <c r="BC846" s="331">
        <f>SQRT(($R846-Infrastructure!J$10)^2+($S846-Infrastructure!K$10)^2)</f>
        <v>8.50940656</v>
      </c>
      <c r="BD846" s="318"/>
      <c r="BE846" s="332"/>
      <c r="BF846" s="330">
        <f t="shared" si="14"/>
        <v>3.466987165</v>
      </c>
      <c r="BG846" s="333">
        <f t="shared" si="15"/>
        <v>43.34016613</v>
      </c>
      <c r="BH846" s="334"/>
      <c r="BI846" s="316" t="s">
        <v>845</v>
      </c>
      <c r="BJ846" s="318" t="s">
        <v>845</v>
      </c>
      <c r="BK846" s="318" t="s">
        <v>845</v>
      </c>
      <c r="BL846" s="318" t="s">
        <v>845</v>
      </c>
      <c r="BM846" s="318" t="s">
        <v>845</v>
      </c>
      <c r="BN846" s="318" t="s">
        <v>846</v>
      </c>
      <c r="BO846" s="318" t="s">
        <v>845</v>
      </c>
      <c r="BP846" s="318" t="s">
        <v>845</v>
      </c>
      <c r="BQ846" s="338" t="s">
        <v>845</v>
      </c>
      <c r="BR846" s="420" t="s">
        <v>845</v>
      </c>
      <c r="BS846" s="330">
        <f t="shared" si="42"/>
        <v>9.689685237</v>
      </c>
      <c r="BT846" s="331">
        <f t="shared" si="43"/>
        <v>9.689685237</v>
      </c>
      <c r="BU846" s="827">
        <v>0.6075925925925926</v>
      </c>
      <c r="BV846" s="333"/>
      <c r="BW846" s="330"/>
      <c r="BX846" s="331"/>
      <c r="BY846" s="331" t="b">
        <f t="shared" si="44"/>
        <v>0</v>
      </c>
      <c r="BZ846" s="340"/>
      <c r="CA846" s="462" t="s">
        <v>845</v>
      </c>
      <c r="CB846" s="319" t="s">
        <v>845</v>
      </c>
      <c r="CC846" s="318"/>
      <c r="CD846" s="319" t="s">
        <v>845</v>
      </c>
      <c r="CE846" s="319" t="s">
        <v>845</v>
      </c>
      <c r="CF846" s="319" t="s">
        <v>845</v>
      </c>
      <c r="CG846" s="319" t="s">
        <v>846</v>
      </c>
      <c r="CH846" s="318"/>
      <c r="CI846" s="788" t="s">
        <v>845</v>
      </c>
      <c r="CJ846" s="821" t="s">
        <v>845</v>
      </c>
      <c r="CK846" s="342">
        <f t="shared" si="18"/>
        <v>3.466987165</v>
      </c>
      <c r="CL846" s="333">
        <f t="shared" si="19"/>
        <v>3.466987165</v>
      </c>
      <c r="CM846" s="829"/>
      <c r="CN846" s="333"/>
      <c r="CO846" s="333"/>
      <c r="CP846" s="333"/>
    </row>
    <row r="847">
      <c r="B847" s="462" t="s">
        <v>1463</v>
      </c>
      <c r="C847" s="417">
        <v>44321.0</v>
      </c>
      <c r="D847" s="318"/>
      <c r="E847" s="319" t="s">
        <v>1492</v>
      </c>
      <c r="F847" s="324" t="s">
        <v>1493</v>
      </c>
      <c r="G847" s="321">
        <v>0.6087962962962963</v>
      </c>
      <c r="H847" s="323">
        <v>0.6092013888888889</v>
      </c>
      <c r="I847" s="323"/>
      <c r="J847" s="323"/>
      <c r="K847" s="323">
        <v>0.6109375</v>
      </c>
      <c r="L847" s="323">
        <v>0.001736111111111111</v>
      </c>
      <c r="M847" s="319" t="s">
        <v>166</v>
      </c>
      <c r="N847" s="324" t="s">
        <v>187</v>
      </c>
      <c r="O847" s="419" t="s">
        <v>197</v>
      </c>
      <c r="P847" s="319" t="s">
        <v>220</v>
      </c>
      <c r="Q847" s="318"/>
      <c r="R847" s="326">
        <v>37.1</v>
      </c>
      <c r="S847" s="319">
        <v>7.0</v>
      </c>
      <c r="T847" s="324">
        <v>6.5</v>
      </c>
      <c r="U847" s="319">
        <v>2.5</v>
      </c>
      <c r="V847" s="319"/>
      <c r="W847" s="319"/>
      <c r="X847" s="319"/>
      <c r="Y847" s="319"/>
      <c r="Z847" s="319" t="s">
        <v>379</v>
      </c>
      <c r="AA847" s="319"/>
      <c r="AB847" s="319" t="s">
        <v>1175</v>
      </c>
      <c r="AC847" s="327">
        <v>8.0</v>
      </c>
      <c r="AD847" s="319"/>
      <c r="AE847" s="319"/>
      <c r="AF847" s="319"/>
      <c r="AG847" s="319"/>
      <c r="AH847" s="319"/>
      <c r="AI847" s="319"/>
      <c r="AJ847" s="327"/>
      <c r="AK847" s="328"/>
      <c r="AL847" s="319"/>
      <c r="AM847" s="319"/>
      <c r="AN847" s="319"/>
      <c r="AO847" s="319"/>
      <c r="AP847" s="319"/>
      <c r="AQ847" s="319"/>
      <c r="AR847" s="319"/>
      <c r="AS847" s="327"/>
      <c r="AT847" s="461" t="s">
        <v>182</v>
      </c>
      <c r="AU847" s="324" t="s">
        <v>845</v>
      </c>
      <c r="AV847" s="330">
        <f>SQRT(($R847-Infrastructure!J$3)^2+($S847-Infrastructure!K$3)^2)</f>
        <v>43.34016613</v>
      </c>
      <c r="AW847" s="331">
        <f>SQRT(($R847-Infrastructure!J$4)^2+($S847-Infrastructure!K$4)^2)</f>
        <v>38.92813892</v>
      </c>
      <c r="AX847" s="331">
        <f>SQRT(($R847-Infrastructure!J$5)^2+($S847-Infrastructure!K$5)^2)</f>
        <v>37.44823093</v>
      </c>
      <c r="AY847" s="331">
        <f>SQRT(($R847-Infrastructure!J$6)^2+($S847-Infrastructure!K$6)^2)</f>
        <v>27.81887848</v>
      </c>
      <c r="AZ847" s="331">
        <f>SQRT(($R847-Infrastructure!J$7)^2+($S847-Infrastructure!K$7)^2)</f>
        <v>17.90111728</v>
      </c>
      <c r="BA847" s="331">
        <f>SQRT(($R847-Infrastructure!J$8)^2+($S847-Infrastructure!K$8)^2)</f>
        <v>9.689685237</v>
      </c>
      <c r="BB847" s="331">
        <f>SQRT(($R847-Infrastructure!J$9)^2+($S847-Infrastructure!K$9)^2)</f>
        <v>3.466987165</v>
      </c>
      <c r="BC847" s="331">
        <f>SQRT(($R847-Infrastructure!J$10)^2+($S847-Infrastructure!K$10)^2)</f>
        <v>8.50940656</v>
      </c>
      <c r="BD847" s="318"/>
      <c r="BE847" s="332"/>
      <c r="BF847" s="330">
        <f t="shared" si="14"/>
        <v>3.466987165</v>
      </c>
      <c r="BG847" s="333">
        <f t="shared" si="15"/>
        <v>43.34016613</v>
      </c>
      <c r="BH847" s="334"/>
      <c r="BI847" s="316" t="s">
        <v>845</v>
      </c>
      <c r="BJ847" s="318" t="s">
        <v>845</v>
      </c>
      <c r="BK847" s="318" t="s">
        <v>845</v>
      </c>
      <c r="BL847" s="318" t="s">
        <v>845</v>
      </c>
      <c r="BM847" s="318" t="s">
        <v>845</v>
      </c>
      <c r="BN847" s="318" t="s">
        <v>845</v>
      </c>
      <c r="BO847" s="318" t="s">
        <v>845</v>
      </c>
      <c r="BP847" s="318" t="s">
        <v>845</v>
      </c>
      <c r="BQ847" s="338" t="s">
        <v>845</v>
      </c>
      <c r="BR847" s="420" t="s">
        <v>845</v>
      </c>
      <c r="BS847" s="330">
        <f t="shared" si="42"/>
        <v>0</v>
      </c>
      <c r="BT847" s="331">
        <f t="shared" si="43"/>
        <v>0</v>
      </c>
      <c r="BU847" s="830"/>
      <c r="BV847" s="333"/>
      <c r="BW847" s="330"/>
      <c r="BX847" s="331"/>
      <c r="BY847" s="331" t="b">
        <f t="shared" si="44"/>
        <v>0</v>
      </c>
      <c r="BZ847" s="340"/>
      <c r="CA847" s="462" t="s">
        <v>845</v>
      </c>
      <c r="CB847" s="319" t="s">
        <v>845</v>
      </c>
      <c r="CC847" s="318"/>
      <c r="CD847" s="319" t="s">
        <v>845</v>
      </c>
      <c r="CE847" s="319" t="s">
        <v>845</v>
      </c>
      <c r="CF847" s="319" t="s">
        <v>845</v>
      </c>
      <c r="CG847" s="319" t="s">
        <v>846</v>
      </c>
      <c r="CH847" s="318"/>
      <c r="CI847" s="788" t="s">
        <v>845</v>
      </c>
      <c r="CJ847" s="821" t="s">
        <v>845</v>
      </c>
      <c r="CK847" s="342">
        <f t="shared" si="18"/>
        <v>3.466987165</v>
      </c>
      <c r="CL847" s="333">
        <f t="shared" si="19"/>
        <v>3.466987165</v>
      </c>
      <c r="CM847" s="829"/>
      <c r="CN847" s="333"/>
      <c r="CO847" s="333"/>
      <c r="CP847" s="333"/>
    </row>
    <row r="848">
      <c r="B848" s="462" t="s">
        <v>1463</v>
      </c>
      <c r="C848" s="417">
        <v>44321.0</v>
      </c>
      <c r="D848" s="318"/>
      <c r="E848" s="319" t="s">
        <v>1494</v>
      </c>
      <c r="F848" s="324" t="s">
        <v>1495</v>
      </c>
      <c r="G848" s="321">
        <v>0.6150462962962963</v>
      </c>
      <c r="H848" s="323">
        <v>0.6157986111111111</v>
      </c>
      <c r="I848" s="323"/>
      <c r="J848" s="323"/>
      <c r="K848" s="323">
        <v>0.6169560185185186</v>
      </c>
      <c r="L848" s="323">
        <v>0.0011574074074074073</v>
      </c>
      <c r="M848" s="319" t="s">
        <v>166</v>
      </c>
      <c r="N848" s="324" t="s">
        <v>188</v>
      </c>
      <c r="O848" s="419" t="s">
        <v>378</v>
      </c>
      <c r="P848" s="319" t="s">
        <v>225</v>
      </c>
      <c r="Q848" s="318"/>
      <c r="R848" s="326">
        <v>22.4</v>
      </c>
      <c r="S848" s="319">
        <v>39.6</v>
      </c>
      <c r="T848" s="324">
        <v>1.0</v>
      </c>
      <c r="U848" s="319">
        <v>2.5</v>
      </c>
      <c r="V848" s="319"/>
      <c r="W848" s="319"/>
      <c r="X848" s="319"/>
      <c r="Y848" s="319"/>
      <c r="Z848" s="319" t="s">
        <v>1140</v>
      </c>
      <c r="AA848" s="319"/>
      <c r="AB848" s="319" t="s">
        <v>407</v>
      </c>
      <c r="AC848" s="327">
        <v>15.75</v>
      </c>
      <c r="AD848" s="319"/>
      <c r="AE848" s="319"/>
      <c r="AF848" s="319"/>
      <c r="AG848" s="319"/>
      <c r="AH848" s="319"/>
      <c r="AI848" s="319"/>
      <c r="AJ848" s="327"/>
      <c r="AK848" s="328"/>
      <c r="AL848" s="319"/>
      <c r="AM848" s="319"/>
      <c r="AN848" s="319"/>
      <c r="AO848" s="319"/>
      <c r="AP848" s="319"/>
      <c r="AQ848" s="319"/>
      <c r="AR848" s="319"/>
      <c r="AS848" s="327"/>
      <c r="AT848" s="461" t="s">
        <v>182</v>
      </c>
      <c r="AU848" s="324" t="s">
        <v>845</v>
      </c>
      <c r="AV848" s="330">
        <f>SQRT(($R848-Infrastructure!J$3)^2+($S848-Infrastructure!K$3)^2)</f>
        <v>25.09541791</v>
      </c>
      <c r="AW848" s="331">
        <f>SQRT(($R848-Infrastructure!J$4)^2+($S848-Infrastructure!K$4)^2)</f>
        <v>31.47268657</v>
      </c>
      <c r="AX848" s="331">
        <f>SQRT(($R848-Infrastructure!J$5)^2+($S848-Infrastructure!K$5)^2)</f>
        <v>41.29818398</v>
      </c>
      <c r="AY848" s="331">
        <f>SQRT(($R848-Infrastructure!J$6)^2+($S848-Infrastructure!K$6)^2)</f>
        <v>41.17984944</v>
      </c>
      <c r="AZ848" s="331">
        <f>SQRT(($R848-Infrastructure!J$7)^2+($S848-Infrastructure!K$7)^2)</f>
        <v>39.34590195</v>
      </c>
      <c r="BA848" s="331">
        <f>SQRT(($R848-Infrastructure!J$8)^2+($S848-Infrastructure!K$8)^2)</f>
        <v>40.04722213</v>
      </c>
      <c r="BB848" s="331">
        <f>SQRT(($R848-Infrastructure!J$9)^2+($S848-Infrastructure!K$9)^2)</f>
        <v>38.72996256</v>
      </c>
      <c r="BC848" s="331">
        <f>SQRT(($R848-Infrastructure!J$10)^2+($S848-Infrastructure!K$10)^2)</f>
        <v>30.24764454</v>
      </c>
      <c r="BD848" s="318"/>
      <c r="BE848" s="332"/>
      <c r="BF848" s="330">
        <f t="shared" si="14"/>
        <v>25.09541791</v>
      </c>
      <c r="BG848" s="333">
        <f t="shared" si="15"/>
        <v>41.29818398</v>
      </c>
      <c r="BH848" s="334"/>
      <c r="BI848" s="316" t="s">
        <v>845</v>
      </c>
      <c r="BJ848" s="318" t="s">
        <v>845</v>
      </c>
      <c r="BK848" s="318" t="s">
        <v>845</v>
      </c>
      <c r="BL848" s="318" t="s">
        <v>845</v>
      </c>
      <c r="BM848" s="318" t="s">
        <v>845</v>
      </c>
      <c r="BN848" s="318" t="s">
        <v>845</v>
      </c>
      <c r="BO848" s="318" t="s">
        <v>845</v>
      </c>
      <c r="BP848" s="318" t="s">
        <v>845</v>
      </c>
      <c r="BQ848" s="338" t="s">
        <v>845</v>
      </c>
      <c r="BR848" s="420" t="s">
        <v>845</v>
      </c>
      <c r="BS848" s="330">
        <f t="shared" si="42"/>
        <v>0</v>
      </c>
      <c r="BT848" s="331">
        <f t="shared" si="43"/>
        <v>0</v>
      </c>
      <c r="BU848" s="830"/>
      <c r="BV848" s="333"/>
      <c r="BW848" s="330"/>
      <c r="BX848" s="331"/>
      <c r="BY848" s="331" t="b">
        <f t="shared" si="44"/>
        <v>0</v>
      </c>
      <c r="BZ848" s="340"/>
      <c r="CA848" s="462" t="s">
        <v>845</v>
      </c>
      <c r="CB848" s="319" t="s">
        <v>845</v>
      </c>
      <c r="CC848" s="318"/>
      <c r="CD848" s="319" t="s">
        <v>845</v>
      </c>
      <c r="CE848" s="319" t="s">
        <v>845</v>
      </c>
      <c r="CF848" s="319" t="s">
        <v>845</v>
      </c>
      <c r="CG848" s="319" t="s">
        <v>846</v>
      </c>
      <c r="CH848" s="318"/>
      <c r="CI848" s="788" t="s">
        <v>845</v>
      </c>
      <c r="CJ848" s="821" t="s">
        <v>845</v>
      </c>
      <c r="CK848" s="342">
        <f t="shared" si="18"/>
        <v>38.72996256</v>
      </c>
      <c r="CL848" s="333">
        <f t="shared" si="19"/>
        <v>38.72996256</v>
      </c>
      <c r="CM848" s="829"/>
      <c r="CN848" s="333"/>
      <c r="CO848" s="333"/>
      <c r="CP848" s="333"/>
    </row>
    <row r="849">
      <c r="B849" s="462" t="s">
        <v>1463</v>
      </c>
      <c r="C849" s="417">
        <v>44321.0</v>
      </c>
      <c r="D849" s="318"/>
      <c r="E849" s="319" t="s">
        <v>1496</v>
      </c>
      <c r="F849" s="324" t="s">
        <v>1497</v>
      </c>
      <c r="G849" s="321">
        <v>0.6169560185185186</v>
      </c>
      <c r="H849" s="323">
        <v>0.6171296296296296</v>
      </c>
      <c r="I849" s="323"/>
      <c r="J849" s="323"/>
      <c r="K849" s="323">
        <v>0.6178819444444444</v>
      </c>
      <c r="L849" s="323">
        <v>7.523148148148148E-4</v>
      </c>
      <c r="M849" s="319" t="s">
        <v>166</v>
      </c>
      <c r="N849" s="324" t="s">
        <v>188</v>
      </c>
      <c r="O849" s="419" t="s">
        <v>378</v>
      </c>
      <c r="P849" s="319" t="s">
        <v>225</v>
      </c>
      <c r="Q849" s="318"/>
      <c r="R849" s="326">
        <v>22.4</v>
      </c>
      <c r="S849" s="319">
        <v>39.6</v>
      </c>
      <c r="T849" s="324">
        <v>1.0</v>
      </c>
      <c r="U849" s="319">
        <v>2.0</v>
      </c>
      <c r="V849" s="319"/>
      <c r="W849" s="319"/>
      <c r="X849" s="319"/>
      <c r="Y849" s="319"/>
      <c r="Z849" s="319" t="s">
        <v>1140</v>
      </c>
      <c r="AA849" s="319"/>
      <c r="AB849" s="319" t="s">
        <v>407</v>
      </c>
      <c r="AC849" s="327">
        <v>15.75</v>
      </c>
      <c r="AD849" s="319"/>
      <c r="AE849" s="319"/>
      <c r="AF849" s="319"/>
      <c r="AG849" s="319"/>
      <c r="AH849" s="319"/>
      <c r="AI849" s="319"/>
      <c r="AJ849" s="327"/>
      <c r="AK849" s="328"/>
      <c r="AL849" s="319"/>
      <c r="AM849" s="319"/>
      <c r="AN849" s="319"/>
      <c r="AO849" s="319"/>
      <c r="AP849" s="319"/>
      <c r="AQ849" s="319"/>
      <c r="AR849" s="319"/>
      <c r="AS849" s="327"/>
      <c r="AT849" s="461" t="s">
        <v>182</v>
      </c>
      <c r="AU849" s="324" t="s">
        <v>845</v>
      </c>
      <c r="AV849" s="330">
        <f>SQRT(($R849-Infrastructure!J$3)^2+($S849-Infrastructure!K$3)^2)</f>
        <v>25.09541791</v>
      </c>
      <c r="AW849" s="331">
        <f>SQRT(($R849-Infrastructure!J$4)^2+($S849-Infrastructure!K$4)^2)</f>
        <v>31.47268657</v>
      </c>
      <c r="AX849" s="331">
        <f>SQRT(($R849-Infrastructure!J$5)^2+($S849-Infrastructure!K$5)^2)</f>
        <v>41.29818398</v>
      </c>
      <c r="AY849" s="331">
        <f>SQRT(($R849-Infrastructure!J$6)^2+($S849-Infrastructure!K$6)^2)</f>
        <v>41.17984944</v>
      </c>
      <c r="AZ849" s="331">
        <f>SQRT(($R849-Infrastructure!J$7)^2+($S849-Infrastructure!K$7)^2)</f>
        <v>39.34590195</v>
      </c>
      <c r="BA849" s="331">
        <f>SQRT(($R849-Infrastructure!J$8)^2+($S849-Infrastructure!K$8)^2)</f>
        <v>40.04722213</v>
      </c>
      <c r="BB849" s="331">
        <f>SQRT(($R849-Infrastructure!J$9)^2+($S849-Infrastructure!K$9)^2)</f>
        <v>38.72996256</v>
      </c>
      <c r="BC849" s="331">
        <f>SQRT(($R849-Infrastructure!J$10)^2+($S849-Infrastructure!K$10)^2)</f>
        <v>30.24764454</v>
      </c>
      <c r="BD849" s="318"/>
      <c r="BE849" s="332"/>
      <c r="BF849" s="330">
        <f t="shared" si="14"/>
        <v>25.09541791</v>
      </c>
      <c r="BG849" s="333">
        <f t="shared" si="15"/>
        <v>41.29818398</v>
      </c>
      <c r="BH849" s="334"/>
      <c r="BI849" s="316" t="s">
        <v>845</v>
      </c>
      <c r="BJ849" s="318" t="s">
        <v>846</v>
      </c>
      <c r="BK849" s="318" t="s">
        <v>845</v>
      </c>
      <c r="BL849" s="318" t="s">
        <v>845</v>
      </c>
      <c r="BM849" s="318" t="s">
        <v>845</v>
      </c>
      <c r="BN849" s="318" t="s">
        <v>845</v>
      </c>
      <c r="BO849" s="318" t="s">
        <v>845</v>
      </c>
      <c r="BP849" s="318" t="s">
        <v>845</v>
      </c>
      <c r="BQ849" s="338" t="s">
        <v>845</v>
      </c>
      <c r="BR849" s="420" t="s">
        <v>845</v>
      </c>
      <c r="BS849" s="330">
        <f t="shared" si="42"/>
        <v>31.47268657</v>
      </c>
      <c r="BT849" s="331">
        <f t="shared" si="43"/>
        <v>31.47268657</v>
      </c>
      <c r="BU849" s="827">
        <v>0.6174768518518519</v>
      </c>
      <c r="BV849" s="333"/>
      <c r="BW849" s="330"/>
      <c r="BX849" s="331"/>
      <c r="BY849" s="331" t="b">
        <f t="shared" si="44"/>
        <v>0</v>
      </c>
      <c r="BZ849" s="340"/>
      <c r="CA849" s="462" t="s">
        <v>845</v>
      </c>
      <c r="CB849" s="319" t="s">
        <v>845</v>
      </c>
      <c r="CC849" s="318"/>
      <c r="CD849" s="319" t="s">
        <v>845</v>
      </c>
      <c r="CE849" s="319" t="s">
        <v>845</v>
      </c>
      <c r="CF849" s="319" t="s">
        <v>845</v>
      </c>
      <c r="CG849" s="319" t="s">
        <v>845</v>
      </c>
      <c r="CH849" s="318"/>
      <c r="CI849" s="788" t="s">
        <v>845</v>
      </c>
      <c r="CJ849" s="821" t="s">
        <v>845</v>
      </c>
      <c r="CK849" s="342">
        <f t="shared" si="18"/>
        <v>0</v>
      </c>
      <c r="CL849" s="333">
        <f t="shared" si="19"/>
        <v>0</v>
      </c>
      <c r="CM849" s="829"/>
      <c r="CN849" s="333"/>
      <c r="CO849" s="333"/>
      <c r="CP849" s="333"/>
    </row>
    <row r="850">
      <c r="B850" s="462" t="s">
        <v>1463</v>
      </c>
      <c r="C850" s="417">
        <v>44321.0</v>
      </c>
      <c r="D850" s="318"/>
      <c r="E850" s="319">
        <v>11.0</v>
      </c>
      <c r="F850" s="324" t="s">
        <v>1498</v>
      </c>
      <c r="G850" s="321">
        <v>0.6196180555555556</v>
      </c>
      <c r="H850" s="323">
        <v>0.6197916666666666</v>
      </c>
      <c r="I850" s="323"/>
      <c r="J850" s="323"/>
      <c r="K850" s="323">
        <v>0.6212384259259259</v>
      </c>
      <c r="L850" s="323">
        <v>0.0014467592592592592</v>
      </c>
      <c r="M850" s="319" t="s">
        <v>166</v>
      </c>
      <c r="N850" s="324" t="s">
        <v>188</v>
      </c>
      <c r="O850" s="419" t="s">
        <v>378</v>
      </c>
      <c r="P850" s="319" t="s">
        <v>225</v>
      </c>
      <c r="Q850" s="318"/>
      <c r="R850" s="326">
        <v>22.4</v>
      </c>
      <c r="S850" s="319">
        <v>39.6</v>
      </c>
      <c r="T850" s="324">
        <v>1.0</v>
      </c>
      <c r="U850" s="319">
        <v>2.0</v>
      </c>
      <c r="V850" s="319"/>
      <c r="W850" s="319"/>
      <c r="X850" s="319"/>
      <c r="Y850" s="319"/>
      <c r="Z850" s="319" t="s">
        <v>1140</v>
      </c>
      <c r="AA850" s="319"/>
      <c r="AB850" s="319" t="s">
        <v>407</v>
      </c>
      <c r="AC850" s="327">
        <v>15.75</v>
      </c>
      <c r="AD850" s="319"/>
      <c r="AE850" s="319"/>
      <c r="AF850" s="319"/>
      <c r="AG850" s="319"/>
      <c r="AH850" s="319"/>
      <c r="AI850" s="319"/>
      <c r="AJ850" s="327"/>
      <c r="AK850" s="328"/>
      <c r="AL850" s="319"/>
      <c r="AM850" s="319"/>
      <c r="AN850" s="319"/>
      <c r="AO850" s="319"/>
      <c r="AP850" s="319"/>
      <c r="AQ850" s="319"/>
      <c r="AR850" s="319"/>
      <c r="AS850" s="327"/>
      <c r="AT850" s="461" t="s">
        <v>182</v>
      </c>
      <c r="AU850" s="324" t="s">
        <v>845</v>
      </c>
      <c r="AV850" s="330">
        <f>SQRT(($R850-Infrastructure!J$3)^2+($S850-Infrastructure!K$3)^2)</f>
        <v>25.09541791</v>
      </c>
      <c r="AW850" s="331">
        <f>SQRT(($R850-Infrastructure!J$4)^2+($S850-Infrastructure!K$4)^2)</f>
        <v>31.47268657</v>
      </c>
      <c r="AX850" s="331">
        <f>SQRT(($R850-Infrastructure!J$5)^2+($S850-Infrastructure!K$5)^2)</f>
        <v>41.29818398</v>
      </c>
      <c r="AY850" s="331">
        <f>SQRT(($R850-Infrastructure!J$6)^2+($S850-Infrastructure!K$6)^2)</f>
        <v>41.17984944</v>
      </c>
      <c r="AZ850" s="331">
        <f>SQRT(($R850-Infrastructure!J$7)^2+($S850-Infrastructure!K$7)^2)</f>
        <v>39.34590195</v>
      </c>
      <c r="BA850" s="331">
        <f>SQRT(($R850-Infrastructure!J$8)^2+($S850-Infrastructure!K$8)^2)</f>
        <v>40.04722213</v>
      </c>
      <c r="BB850" s="331">
        <f>SQRT(($R850-Infrastructure!J$9)^2+($S850-Infrastructure!K$9)^2)</f>
        <v>38.72996256</v>
      </c>
      <c r="BC850" s="331">
        <f>SQRT(($R850-Infrastructure!J$10)^2+($S850-Infrastructure!K$10)^2)</f>
        <v>30.24764454</v>
      </c>
      <c r="BD850" s="318"/>
      <c r="BE850" s="332"/>
      <c r="BF850" s="330">
        <f t="shared" si="14"/>
        <v>25.09541791</v>
      </c>
      <c r="BG850" s="333">
        <f t="shared" si="15"/>
        <v>41.29818398</v>
      </c>
      <c r="BH850" s="334"/>
      <c r="BI850" s="316" t="s">
        <v>845</v>
      </c>
      <c r="BJ850" s="318" t="s">
        <v>845</v>
      </c>
      <c r="BK850" s="318" t="s">
        <v>845</v>
      </c>
      <c r="BL850" s="318" t="s">
        <v>845</v>
      </c>
      <c r="BM850" s="318" t="s">
        <v>845</v>
      </c>
      <c r="BN850" s="318" t="s">
        <v>845</v>
      </c>
      <c r="BO850" s="318" t="s">
        <v>845</v>
      </c>
      <c r="BP850" s="318" t="s">
        <v>845</v>
      </c>
      <c r="BQ850" s="338" t="s">
        <v>845</v>
      </c>
      <c r="BR850" s="420" t="s">
        <v>845</v>
      </c>
      <c r="BS850" s="330">
        <f t="shared" si="42"/>
        <v>0</v>
      </c>
      <c r="BT850" s="331">
        <f t="shared" si="43"/>
        <v>0</v>
      </c>
      <c r="BU850" s="830"/>
      <c r="BV850" s="333"/>
      <c r="BW850" s="330"/>
      <c r="BX850" s="331"/>
      <c r="BY850" s="331" t="b">
        <f t="shared" si="44"/>
        <v>0</v>
      </c>
      <c r="BZ850" s="340"/>
      <c r="CA850" s="462" t="s">
        <v>845</v>
      </c>
      <c r="CB850" s="319" t="s">
        <v>845</v>
      </c>
      <c r="CC850" s="318"/>
      <c r="CD850" s="319" t="s">
        <v>845</v>
      </c>
      <c r="CE850" s="319" t="s">
        <v>845</v>
      </c>
      <c r="CF850" s="319" t="s">
        <v>845</v>
      </c>
      <c r="CG850" s="319" t="s">
        <v>846</v>
      </c>
      <c r="CH850" s="318"/>
      <c r="CI850" s="788" t="s">
        <v>845</v>
      </c>
      <c r="CJ850" s="821" t="s">
        <v>845</v>
      </c>
      <c r="CK850" s="342">
        <f t="shared" si="18"/>
        <v>38.72996256</v>
      </c>
      <c r="CL850" s="333">
        <f t="shared" si="19"/>
        <v>38.72996256</v>
      </c>
      <c r="CM850" s="829"/>
      <c r="CN850" s="333"/>
      <c r="CO850" s="333"/>
      <c r="CP850" s="333"/>
    </row>
    <row r="851">
      <c r="A851" s="634"/>
      <c r="B851" s="635" t="s">
        <v>1463</v>
      </c>
      <c r="C851" s="769">
        <v>44321.0</v>
      </c>
      <c r="D851" s="640"/>
      <c r="E851" s="663">
        <v>12.0</v>
      </c>
      <c r="F851" s="637" t="s">
        <v>1499</v>
      </c>
      <c r="G851" s="770">
        <v>0.6223958333333334</v>
      </c>
      <c r="H851" s="771">
        <v>0.6228587962962963</v>
      </c>
      <c r="I851" s="771"/>
      <c r="J851" s="771"/>
      <c r="K851" s="771">
        <v>0.6251157407407407</v>
      </c>
      <c r="L851" s="771">
        <v>0.0022569444444444442</v>
      </c>
      <c r="M851" s="663" t="s">
        <v>166</v>
      </c>
      <c r="N851" s="637" t="s">
        <v>188</v>
      </c>
      <c r="O851" s="731" t="s">
        <v>378</v>
      </c>
      <c r="P851" s="663" t="s">
        <v>225</v>
      </c>
      <c r="Q851" s="640"/>
      <c r="R851" s="772">
        <v>22.4</v>
      </c>
      <c r="S851" s="663">
        <v>39.6</v>
      </c>
      <c r="T851" s="637">
        <v>1.0</v>
      </c>
      <c r="U851" s="663">
        <v>1.5</v>
      </c>
      <c r="V851" s="663"/>
      <c r="W851" s="663"/>
      <c r="X851" s="663"/>
      <c r="Y851" s="663"/>
      <c r="Z851" s="663" t="s">
        <v>1140</v>
      </c>
      <c r="AA851" s="663"/>
      <c r="AB851" s="663" t="s">
        <v>407</v>
      </c>
      <c r="AC851" s="773">
        <v>15.75</v>
      </c>
      <c r="AD851" s="319"/>
      <c r="AE851" s="319"/>
      <c r="AF851" s="319"/>
      <c r="AG851" s="319"/>
      <c r="AH851" s="319"/>
      <c r="AI851" s="319"/>
      <c r="AJ851" s="327"/>
      <c r="AK851" s="328"/>
      <c r="AL851" s="319"/>
      <c r="AM851" s="319"/>
      <c r="AN851" s="319"/>
      <c r="AO851" s="319"/>
      <c r="AP851" s="319"/>
      <c r="AQ851" s="319"/>
      <c r="AR851" s="319"/>
      <c r="AS851" s="327"/>
      <c r="AT851" s="461" t="s">
        <v>182</v>
      </c>
      <c r="AU851" s="324" t="s">
        <v>845</v>
      </c>
      <c r="AV851" s="330">
        <f>SQRT(($R851-Infrastructure!J$3)^2+($S851-Infrastructure!K$3)^2)</f>
        <v>25.09541791</v>
      </c>
      <c r="AW851" s="331">
        <f>SQRT(($R851-Infrastructure!J$4)^2+($S851-Infrastructure!K$4)^2)</f>
        <v>31.47268657</v>
      </c>
      <c r="AX851" s="331">
        <f>SQRT(($R851-Infrastructure!J$5)^2+($S851-Infrastructure!K$5)^2)</f>
        <v>41.29818398</v>
      </c>
      <c r="AY851" s="331">
        <f>SQRT(($R851-Infrastructure!J$6)^2+($S851-Infrastructure!K$6)^2)</f>
        <v>41.17984944</v>
      </c>
      <c r="AZ851" s="331">
        <f>SQRT(($R851-Infrastructure!J$7)^2+($S851-Infrastructure!K$7)^2)</f>
        <v>39.34590195</v>
      </c>
      <c r="BA851" s="331">
        <f>SQRT(($R851-Infrastructure!J$8)^2+($S851-Infrastructure!K$8)^2)</f>
        <v>40.04722213</v>
      </c>
      <c r="BB851" s="331">
        <f>SQRT(($R851-Infrastructure!J$9)^2+($S851-Infrastructure!K$9)^2)</f>
        <v>38.72996256</v>
      </c>
      <c r="BC851" s="331">
        <f>SQRT(($R851-Infrastructure!J$10)^2+($S851-Infrastructure!K$10)^2)</f>
        <v>30.24764454</v>
      </c>
      <c r="BD851" s="318"/>
      <c r="BE851" s="332"/>
      <c r="BF851" s="330">
        <f t="shared" si="14"/>
        <v>25.09541791</v>
      </c>
      <c r="BG851" s="333">
        <f t="shared" si="15"/>
        <v>41.29818398</v>
      </c>
      <c r="BH851" s="774"/>
      <c r="BI851" s="639" t="s">
        <v>845</v>
      </c>
      <c r="BJ851" s="640" t="s">
        <v>846</v>
      </c>
      <c r="BK851" s="640" t="s">
        <v>845</v>
      </c>
      <c r="BL851" s="640" t="s">
        <v>845</v>
      </c>
      <c r="BM851" s="640" t="s">
        <v>845</v>
      </c>
      <c r="BN851" s="640" t="s">
        <v>845</v>
      </c>
      <c r="BO851" s="640" t="s">
        <v>845</v>
      </c>
      <c r="BP851" s="640" t="s">
        <v>845</v>
      </c>
      <c r="BQ851" s="645" t="s">
        <v>845</v>
      </c>
      <c r="BR851" s="741" t="s">
        <v>845</v>
      </c>
      <c r="BS851" s="330">
        <f t="shared" si="42"/>
        <v>31.47268657</v>
      </c>
      <c r="BT851" s="331">
        <f t="shared" si="43"/>
        <v>31.47268657</v>
      </c>
      <c r="BU851" s="827">
        <v>0.6246180555555556</v>
      </c>
      <c r="BV851" s="642"/>
      <c r="BW851" s="662"/>
      <c r="BX851" s="641"/>
      <c r="BY851" s="331" t="b">
        <f t="shared" si="44"/>
        <v>0</v>
      </c>
      <c r="BZ851" s="742"/>
      <c r="CA851" s="635" t="s">
        <v>845</v>
      </c>
      <c r="CB851" s="663" t="s">
        <v>845</v>
      </c>
      <c r="CC851" s="640"/>
      <c r="CD851" s="663" t="s">
        <v>845</v>
      </c>
      <c r="CE851" s="663" t="s">
        <v>845</v>
      </c>
      <c r="CF851" s="663" t="s">
        <v>845</v>
      </c>
      <c r="CG851" s="663" t="s">
        <v>846</v>
      </c>
      <c r="CH851" s="640"/>
      <c r="CI851" s="790" t="s">
        <v>845</v>
      </c>
      <c r="CJ851" s="822" t="s">
        <v>845</v>
      </c>
      <c r="CK851" s="342">
        <f t="shared" si="18"/>
        <v>38.72996256</v>
      </c>
      <c r="CL851" s="333">
        <f t="shared" si="19"/>
        <v>38.72996256</v>
      </c>
      <c r="CM851" s="831"/>
      <c r="CN851" s="333"/>
      <c r="CO851" s="333"/>
      <c r="CP851" s="333"/>
    </row>
    <row r="852">
      <c r="A852" s="389" t="s">
        <v>42</v>
      </c>
      <c r="B852" s="573" t="s">
        <v>1463</v>
      </c>
      <c r="C852" s="391">
        <v>44321.0</v>
      </c>
      <c r="D852" s="392"/>
      <c r="E852" s="393" t="s">
        <v>1453</v>
      </c>
      <c r="F852" s="394" t="s">
        <v>1500</v>
      </c>
      <c r="G852" s="395">
        <v>0.6572916666666667</v>
      </c>
      <c r="H852" s="456">
        <v>0.6585069444444445</v>
      </c>
      <c r="I852" s="456"/>
      <c r="J852" s="456"/>
      <c r="K852" s="456">
        <v>0.7006944444444444</v>
      </c>
      <c r="L852" s="456">
        <v>0.0421875</v>
      </c>
      <c r="M852" s="393" t="s">
        <v>166</v>
      </c>
      <c r="N852" s="394" t="s">
        <v>187</v>
      </c>
      <c r="O852" s="399" t="s">
        <v>203</v>
      </c>
      <c r="P852" s="393" t="s">
        <v>227</v>
      </c>
      <c r="Q852" s="392"/>
      <c r="R852" s="400">
        <v>15.2</v>
      </c>
      <c r="S852" s="393">
        <v>3.4</v>
      </c>
      <c r="T852" s="394">
        <v>1.9</v>
      </c>
      <c r="U852" s="393">
        <v>1.5</v>
      </c>
      <c r="V852" s="393"/>
      <c r="W852" s="393"/>
      <c r="X852" s="393"/>
      <c r="Y852" s="393"/>
      <c r="Z852" s="393" t="s">
        <v>357</v>
      </c>
      <c r="AA852" s="393"/>
      <c r="AB852" s="393" t="s">
        <v>1173</v>
      </c>
      <c r="AC852" s="401">
        <v>6.0</v>
      </c>
      <c r="AD852" s="393"/>
      <c r="AE852" s="393"/>
      <c r="AF852" s="393"/>
      <c r="AG852" s="393"/>
      <c r="AH852" s="393"/>
      <c r="AI852" s="393"/>
      <c r="AJ852" s="401"/>
      <c r="AK852" s="402"/>
      <c r="AL852" s="393"/>
      <c r="AM852" s="393"/>
      <c r="AN852" s="393"/>
      <c r="AO852" s="393"/>
      <c r="AP852" s="393"/>
      <c r="AQ852" s="393"/>
      <c r="AR852" s="393"/>
      <c r="AS852" s="401"/>
      <c r="AT852" s="460" t="s">
        <v>182</v>
      </c>
      <c r="AU852" s="394" t="s">
        <v>846</v>
      </c>
      <c r="AV852" s="405">
        <f>SQRT(($R852-Infrastructure!J$3)^2+($S852-Infrastructure!K$3)^2)</f>
        <v>29.84124662</v>
      </c>
      <c r="AW852" s="406">
        <f>SQRT(($R852-Infrastructure!J$4)^2+($S852-Infrastructure!K$4)^2)</f>
        <v>21.1567956</v>
      </c>
      <c r="AX852" s="406">
        <f>SQRT(($R852-Infrastructure!J$5)^2+($S852-Infrastructure!K$5)^2)</f>
        <v>15.59294712</v>
      </c>
      <c r="AY852" s="406">
        <f>SQRT(($R852-Infrastructure!J$6)^2+($S852-Infrastructure!K$6)^2)</f>
        <v>5.968249325</v>
      </c>
      <c r="AZ852" s="406">
        <f>SQRT(($R852-Infrastructure!J$7)^2+($S852-Infrastructure!K$7)^2)</f>
        <v>6.140032573</v>
      </c>
      <c r="BA852" s="406">
        <f>SQRT(($R852-Infrastructure!J$8)^2+($S852-Infrastructure!K$8)^2)</f>
        <v>15.21906699</v>
      </c>
      <c r="BB852" s="406">
        <f>SQRT(($R852-Infrastructure!J$9)^2+($S852-Infrastructure!K$9)^2)</f>
        <v>24.85819784</v>
      </c>
      <c r="BC852" s="406">
        <f>SQRT(($R852-Infrastructure!J$10)^2+($S852-Infrastructure!K$10)^2)</f>
        <v>27.37882393</v>
      </c>
      <c r="BD852" s="392"/>
      <c r="BE852" s="407"/>
      <c r="BF852" s="330">
        <f t="shared" si="14"/>
        <v>5.968249325</v>
      </c>
      <c r="BG852" s="333">
        <f t="shared" si="15"/>
        <v>29.84124662</v>
      </c>
      <c r="BH852" s="409"/>
      <c r="BI852" s="390" t="s">
        <v>846</v>
      </c>
      <c r="BJ852" s="392" t="s">
        <v>845</v>
      </c>
      <c r="BK852" s="392" t="s">
        <v>845</v>
      </c>
      <c r="BL852" s="392" t="s">
        <v>845</v>
      </c>
      <c r="BM852" s="392" t="s">
        <v>845</v>
      </c>
      <c r="BN852" s="392" t="s">
        <v>846</v>
      </c>
      <c r="BO852" s="392" t="s">
        <v>845</v>
      </c>
      <c r="BP852" s="392" t="s">
        <v>845</v>
      </c>
      <c r="BQ852" s="410" t="s">
        <v>845</v>
      </c>
      <c r="BR852" s="411" t="s">
        <v>845</v>
      </c>
      <c r="BS852" s="330">
        <f t="shared" si="42"/>
        <v>15.21906699</v>
      </c>
      <c r="BT852" s="331">
        <f t="shared" si="43"/>
        <v>29.84124662</v>
      </c>
      <c r="BU852" s="827">
        <v>0.6585416666666667</v>
      </c>
      <c r="BV852" s="408"/>
      <c r="BW852" s="405"/>
      <c r="BX852" s="406"/>
      <c r="BY852" s="406" t="b">
        <f t="shared" si="44"/>
        <v>0</v>
      </c>
      <c r="BZ852" s="412"/>
      <c r="CA852" s="573" t="s">
        <v>845</v>
      </c>
      <c r="CB852" s="393" t="s">
        <v>845</v>
      </c>
      <c r="CC852" s="392"/>
      <c r="CD852" s="393" t="s">
        <v>845</v>
      </c>
      <c r="CE852" s="393" t="s">
        <v>845</v>
      </c>
      <c r="CF852" s="393" t="s">
        <v>845</v>
      </c>
      <c r="CG852" s="393" t="s">
        <v>846</v>
      </c>
      <c r="CH852" s="392"/>
      <c r="CI852" s="792" t="s">
        <v>845</v>
      </c>
      <c r="CJ852" s="820" t="s">
        <v>845</v>
      </c>
      <c r="CK852" s="342">
        <f t="shared" si="18"/>
        <v>24.85819784</v>
      </c>
      <c r="CL852" s="333">
        <f t="shared" si="19"/>
        <v>24.85819784</v>
      </c>
      <c r="CM852" s="832"/>
      <c r="CN852" s="333"/>
      <c r="CO852" s="333"/>
      <c r="CP852" s="333"/>
    </row>
    <row r="853">
      <c r="B853" s="462" t="s">
        <v>1463</v>
      </c>
      <c r="C853" s="417">
        <v>44321.0</v>
      </c>
      <c r="D853" s="318"/>
      <c r="E853" s="319" t="s">
        <v>1455</v>
      </c>
      <c r="F853" s="324" t="s">
        <v>1501</v>
      </c>
      <c r="G853" s="321">
        <v>0.6572916666666667</v>
      </c>
      <c r="H853" s="323">
        <v>0.6585069444444445</v>
      </c>
      <c r="I853" s="323"/>
      <c r="J853" s="323"/>
      <c r="K853" s="323">
        <v>0.7006944444444444</v>
      </c>
      <c r="L853" s="323">
        <v>0.0421875</v>
      </c>
      <c r="M853" s="319" t="s">
        <v>166</v>
      </c>
      <c r="N853" s="324" t="s">
        <v>187</v>
      </c>
      <c r="O853" s="419" t="s">
        <v>207</v>
      </c>
      <c r="P853" s="319" t="s">
        <v>223</v>
      </c>
      <c r="Q853" s="318"/>
      <c r="R853" s="326">
        <v>26.4</v>
      </c>
      <c r="S853" s="319">
        <v>14.4</v>
      </c>
      <c r="T853" s="324">
        <v>2.3</v>
      </c>
      <c r="U853" s="319">
        <v>1.0</v>
      </c>
      <c r="V853" s="319"/>
      <c r="W853" s="319"/>
      <c r="X853" s="319"/>
      <c r="Y853" s="319"/>
      <c r="Z853" s="319" t="s">
        <v>374</v>
      </c>
      <c r="AA853" s="319"/>
      <c r="AB853" s="319" t="s">
        <v>1173</v>
      </c>
      <c r="AC853" s="327">
        <v>6.0</v>
      </c>
      <c r="AD853" s="319"/>
      <c r="AE853" s="319"/>
      <c r="AF853" s="319"/>
      <c r="AG853" s="319"/>
      <c r="AH853" s="319"/>
      <c r="AI853" s="319"/>
      <c r="AJ853" s="327"/>
      <c r="AK853" s="328"/>
      <c r="AL853" s="319"/>
      <c r="AM853" s="319"/>
      <c r="AN853" s="319"/>
      <c r="AO853" s="319"/>
      <c r="AP853" s="319"/>
      <c r="AQ853" s="319"/>
      <c r="AR853" s="319"/>
      <c r="AS853" s="327"/>
      <c r="AT853" s="461" t="s">
        <v>182</v>
      </c>
      <c r="AU853" s="324" t="s">
        <v>846</v>
      </c>
      <c r="AV853" s="330">
        <f>SQRT(($R853-Infrastructure!J$3)^2+($S853-Infrastructure!K$3)^2)</f>
        <v>30.38321905</v>
      </c>
      <c r="AW853" s="331">
        <f>SQRT(($R853-Infrastructure!J$4)^2+($S853-Infrastructure!K$4)^2)</f>
        <v>26.91560885</v>
      </c>
      <c r="AX853" s="331">
        <f>SQRT(($R853-Infrastructure!J$5)^2+($S853-Infrastructure!K$5)^2)</f>
        <v>28.27330897</v>
      </c>
      <c r="AY853" s="331">
        <f>SQRT(($R853-Infrastructure!J$6)^2+($S853-Infrastructure!K$6)^2)</f>
        <v>21.55226206</v>
      </c>
      <c r="AZ853" s="331">
        <f>SQRT(($R853-Infrastructure!J$7)^2+($S853-Infrastructure!K$7)^2)</f>
        <v>15.28463281</v>
      </c>
      <c r="BA853" s="331">
        <f>SQRT(($R853-Infrastructure!J$8)^2+($S853-Infrastructure!K$8)^2)</f>
        <v>14.57737974</v>
      </c>
      <c r="BB853" s="331">
        <f>SQRT(($R853-Infrastructure!J$9)^2+($S853-Infrastructure!K$9)^2)</f>
        <v>16.47573974</v>
      </c>
      <c r="BC853" s="331">
        <f>SQRT(($R853-Infrastructure!J$10)^2+($S853-Infrastructure!K$10)^2)</f>
        <v>13.61322886</v>
      </c>
      <c r="BD853" s="318"/>
      <c r="BE853" s="332"/>
      <c r="BF853" s="330">
        <f t="shared" si="14"/>
        <v>13.61322886</v>
      </c>
      <c r="BG853" s="333">
        <f t="shared" si="15"/>
        <v>30.38321905</v>
      </c>
      <c r="BH853" s="334"/>
      <c r="BI853" s="316" t="s">
        <v>846</v>
      </c>
      <c r="BJ853" s="318" t="s">
        <v>845</v>
      </c>
      <c r="BK853" s="318" t="s">
        <v>845</v>
      </c>
      <c r="BL853" s="318" t="s">
        <v>845</v>
      </c>
      <c r="BM853" s="318" t="s">
        <v>845</v>
      </c>
      <c r="BN853" s="318" t="s">
        <v>846</v>
      </c>
      <c r="BO853" s="318" t="s">
        <v>845</v>
      </c>
      <c r="BP853" s="318" t="s">
        <v>845</v>
      </c>
      <c r="BQ853" s="338" t="s">
        <v>845</v>
      </c>
      <c r="BR853" s="420" t="s">
        <v>845</v>
      </c>
      <c r="BS853" s="330">
        <f t="shared" si="42"/>
        <v>14.57737974</v>
      </c>
      <c r="BT853" s="331">
        <f t="shared" si="43"/>
        <v>30.38321905</v>
      </c>
      <c r="BU853" s="827">
        <v>0.6585416666666667</v>
      </c>
      <c r="BV853" s="333"/>
      <c r="BW853" s="330"/>
      <c r="BX853" s="331"/>
      <c r="BY853" s="331" t="b">
        <f t="shared" si="44"/>
        <v>0</v>
      </c>
      <c r="BZ853" s="340"/>
      <c r="CA853" s="462" t="s">
        <v>845</v>
      </c>
      <c r="CB853" s="319" t="s">
        <v>845</v>
      </c>
      <c r="CC853" s="318"/>
      <c r="CD853" s="319" t="s">
        <v>845</v>
      </c>
      <c r="CE853" s="319" t="s">
        <v>845</v>
      </c>
      <c r="CF853" s="319" t="s">
        <v>845</v>
      </c>
      <c r="CG853" s="319" t="s">
        <v>846</v>
      </c>
      <c r="CH853" s="318"/>
      <c r="CI853" s="788" t="s">
        <v>845</v>
      </c>
      <c r="CJ853" s="821" t="s">
        <v>845</v>
      </c>
      <c r="CK853" s="342">
        <f t="shared" si="18"/>
        <v>16.47573974</v>
      </c>
      <c r="CL853" s="333">
        <f t="shared" si="19"/>
        <v>16.47573974</v>
      </c>
      <c r="CM853" s="829"/>
      <c r="CN853" s="333"/>
      <c r="CO853" s="333"/>
      <c r="CP853" s="333"/>
    </row>
    <row r="854">
      <c r="B854" s="462" t="s">
        <v>1463</v>
      </c>
      <c r="C854" s="417">
        <v>44321.0</v>
      </c>
      <c r="D854" s="318"/>
      <c r="E854" s="319"/>
      <c r="F854" s="324" t="s">
        <v>1502</v>
      </c>
      <c r="G854" s="321">
        <v>0.7027777777777777</v>
      </c>
      <c r="H854" s="323"/>
      <c r="I854" s="323"/>
      <c r="J854" s="323"/>
      <c r="K854" s="323">
        <v>0.7038194444444444</v>
      </c>
      <c r="L854" s="323">
        <v>0.0010416666666666667</v>
      </c>
      <c r="M854" s="319" t="s">
        <v>166</v>
      </c>
      <c r="N854" s="324" t="s">
        <v>188</v>
      </c>
      <c r="O854" s="419"/>
      <c r="P854" s="319" t="s">
        <v>231</v>
      </c>
      <c r="Q854" s="318"/>
      <c r="R854" s="833"/>
      <c r="S854" s="319"/>
      <c r="T854" s="324"/>
      <c r="U854" s="834"/>
      <c r="V854" s="834"/>
      <c r="W854" s="834"/>
      <c r="X854" s="834"/>
      <c r="Y854" s="834"/>
      <c r="Z854" s="319"/>
      <c r="AA854" s="319"/>
      <c r="AB854" s="319"/>
      <c r="AC854" s="327"/>
      <c r="AD854" s="319"/>
      <c r="AE854" s="319"/>
      <c r="AF854" s="319"/>
      <c r="AG854" s="319"/>
      <c r="AH854" s="319"/>
      <c r="AI854" s="319"/>
      <c r="AJ854" s="327"/>
      <c r="AK854" s="328"/>
      <c r="AL854" s="319"/>
      <c r="AM854" s="319"/>
      <c r="AN854" s="319"/>
      <c r="AO854" s="319"/>
      <c r="AP854" s="319"/>
      <c r="AQ854" s="319"/>
      <c r="AR854" s="319"/>
      <c r="AS854" s="327"/>
      <c r="AT854" s="344"/>
      <c r="AU854" s="332"/>
      <c r="AV854" s="330">
        <f>SQRT(($R854-Infrastructure!J$3)^2+($S854-Infrastructure!K$3)^2)</f>
        <v>28.90155705</v>
      </c>
      <c r="AW854" s="331">
        <f>SQRT(($R854-Infrastructure!J$4)^2+($S854-Infrastructure!K$4)^2)</f>
        <v>17.80252791</v>
      </c>
      <c r="AX854" s="331">
        <f>SQRT(($R854-Infrastructure!J$5)^2+($S854-Infrastructure!K$5)^2)</f>
        <v>5.10881591</v>
      </c>
      <c r="AY854" s="331">
        <f>SQRT(($R854-Infrastructure!J$6)^2+($S854-Infrastructure!K$6)^2)</f>
        <v>10.10445446</v>
      </c>
      <c r="AZ854" s="331">
        <f>SQRT(($R854-Infrastructure!J$7)^2+($S854-Infrastructure!K$7)^2)</f>
        <v>20.502195</v>
      </c>
      <c r="BA854" s="331">
        <f>SQRT(($R854-Infrastructure!J$8)^2+($S854-Infrastructure!K$8)^2)</f>
        <v>30.10149498</v>
      </c>
      <c r="BB854" s="331">
        <f>SQRT(($R854-Infrastructure!J$9)^2+($S854-Infrastructure!K$9)^2)</f>
        <v>40.3238143</v>
      </c>
      <c r="BC854" s="331">
        <f>SQRT(($R854-Infrastructure!J$10)^2+($S854-Infrastructure!K$10)^2)</f>
        <v>42.72001873</v>
      </c>
      <c r="BD854" s="318"/>
      <c r="BE854" s="332"/>
      <c r="BF854" s="330">
        <f t="shared" si="14"/>
        <v>5.10881591</v>
      </c>
      <c r="BG854" s="333">
        <f t="shared" si="15"/>
        <v>42.72001873</v>
      </c>
      <c r="BH854" s="334"/>
      <c r="BI854" s="316" t="s">
        <v>845</v>
      </c>
      <c r="BJ854" s="318" t="s">
        <v>846</v>
      </c>
      <c r="BK854" s="318" t="s">
        <v>845</v>
      </c>
      <c r="BL854" s="318" t="s">
        <v>845</v>
      </c>
      <c r="BM854" s="318" t="s">
        <v>845</v>
      </c>
      <c r="BN854" s="318" t="s">
        <v>846</v>
      </c>
      <c r="BO854" s="318" t="s">
        <v>845</v>
      </c>
      <c r="BP854" s="318" t="s">
        <v>845</v>
      </c>
      <c r="BQ854" s="338" t="s">
        <v>845</v>
      </c>
      <c r="BR854" s="420" t="s">
        <v>845</v>
      </c>
      <c r="BS854" s="330"/>
      <c r="BT854" s="331"/>
      <c r="BU854" s="827"/>
      <c r="BV854" s="333"/>
      <c r="BW854" s="330"/>
      <c r="BX854" s="331"/>
      <c r="BY854" s="331"/>
      <c r="BZ854" s="340"/>
      <c r="CA854" s="462" t="s">
        <v>845</v>
      </c>
      <c r="CB854" s="319" t="s">
        <v>845</v>
      </c>
      <c r="CC854" s="318"/>
      <c r="CD854" s="319" t="s">
        <v>845</v>
      </c>
      <c r="CE854" s="319" t="s">
        <v>845</v>
      </c>
      <c r="CF854" s="319" t="s">
        <v>845</v>
      </c>
      <c r="CG854" s="319" t="s">
        <v>846</v>
      </c>
      <c r="CH854" s="318"/>
      <c r="CI854" s="788" t="s">
        <v>845</v>
      </c>
      <c r="CJ854" s="821" t="s">
        <v>845</v>
      </c>
      <c r="CK854" s="342">
        <f t="shared" si="18"/>
        <v>40.3238143</v>
      </c>
      <c r="CL854" s="333">
        <f t="shared" si="19"/>
        <v>40.3238143</v>
      </c>
      <c r="CM854" s="829"/>
      <c r="CN854" s="333"/>
      <c r="CO854" s="333"/>
      <c r="CP854" s="333"/>
    </row>
    <row r="855">
      <c r="B855" s="462" t="s">
        <v>1463</v>
      </c>
      <c r="C855" s="417">
        <v>44321.0</v>
      </c>
      <c r="D855" s="318"/>
      <c r="E855" s="319"/>
      <c r="F855" s="324" t="s">
        <v>1502</v>
      </c>
      <c r="G855" s="321">
        <v>0.7048611111111112</v>
      </c>
      <c r="H855" s="323"/>
      <c r="I855" s="323"/>
      <c r="J855" s="323"/>
      <c r="K855" s="323">
        <v>0.7072916666666667</v>
      </c>
      <c r="L855" s="323">
        <v>0.0024305555555555556</v>
      </c>
      <c r="M855" s="319" t="s">
        <v>358</v>
      </c>
      <c r="N855" s="324" t="s">
        <v>188</v>
      </c>
      <c r="O855" s="419"/>
      <c r="P855" s="319" t="s">
        <v>231</v>
      </c>
      <c r="Q855" s="318"/>
      <c r="R855" s="833"/>
      <c r="S855" s="319"/>
      <c r="T855" s="324"/>
      <c r="U855" s="834"/>
      <c r="V855" s="834"/>
      <c r="W855" s="834"/>
      <c r="X855" s="834"/>
      <c r="Y855" s="834"/>
      <c r="Z855" s="319"/>
      <c r="AA855" s="319"/>
      <c r="AB855" s="319"/>
      <c r="AC855" s="327"/>
      <c r="AD855" s="319"/>
      <c r="AE855" s="319"/>
      <c r="AF855" s="319"/>
      <c r="AG855" s="319"/>
      <c r="AH855" s="319"/>
      <c r="AI855" s="319"/>
      <c r="AJ855" s="327"/>
      <c r="AK855" s="328"/>
      <c r="AL855" s="319"/>
      <c r="AM855" s="319"/>
      <c r="AN855" s="319"/>
      <c r="AO855" s="319"/>
      <c r="AP855" s="319"/>
      <c r="AQ855" s="319"/>
      <c r="AR855" s="319"/>
      <c r="AS855" s="327"/>
      <c r="AT855" s="344"/>
      <c r="AU855" s="332"/>
      <c r="AV855" s="330">
        <f>SQRT(($R855-Infrastructure!J$3)^2+($S855-Infrastructure!K$3)^2)</f>
        <v>28.90155705</v>
      </c>
      <c r="AW855" s="331">
        <f>SQRT(($R855-Infrastructure!J$4)^2+($S855-Infrastructure!K$4)^2)</f>
        <v>17.80252791</v>
      </c>
      <c r="AX855" s="331">
        <f>SQRT(($R855-Infrastructure!J$5)^2+($S855-Infrastructure!K$5)^2)</f>
        <v>5.10881591</v>
      </c>
      <c r="AY855" s="331">
        <f>SQRT(($R855-Infrastructure!J$6)^2+($S855-Infrastructure!K$6)^2)</f>
        <v>10.10445446</v>
      </c>
      <c r="AZ855" s="331">
        <f>SQRT(($R855-Infrastructure!J$7)^2+($S855-Infrastructure!K$7)^2)</f>
        <v>20.502195</v>
      </c>
      <c r="BA855" s="331">
        <f>SQRT(($R855-Infrastructure!J$8)^2+($S855-Infrastructure!K$8)^2)</f>
        <v>30.10149498</v>
      </c>
      <c r="BB855" s="331">
        <f>SQRT(($R855-Infrastructure!J$9)^2+($S855-Infrastructure!K$9)^2)</f>
        <v>40.3238143</v>
      </c>
      <c r="BC855" s="331">
        <f>SQRT(($R855-Infrastructure!J$10)^2+($S855-Infrastructure!K$10)^2)</f>
        <v>42.72001873</v>
      </c>
      <c r="BD855" s="318"/>
      <c r="BE855" s="332"/>
      <c r="BF855" s="330">
        <f t="shared" si="14"/>
        <v>5.10881591</v>
      </c>
      <c r="BG855" s="333">
        <f t="shared" si="15"/>
        <v>42.72001873</v>
      </c>
      <c r="BH855" s="334"/>
      <c r="BI855" s="316" t="s">
        <v>845</v>
      </c>
      <c r="BJ855" s="318" t="s">
        <v>845</v>
      </c>
      <c r="BK855" s="318" t="s">
        <v>845</v>
      </c>
      <c r="BL855" s="318" t="s">
        <v>845</v>
      </c>
      <c r="BM855" s="318" t="s">
        <v>845</v>
      </c>
      <c r="BN855" s="318" t="s">
        <v>845</v>
      </c>
      <c r="BO855" s="318" t="s">
        <v>845</v>
      </c>
      <c r="BP855" s="318" t="s">
        <v>845</v>
      </c>
      <c r="BQ855" s="338" t="s">
        <v>845</v>
      </c>
      <c r="BR855" s="420" t="s">
        <v>845</v>
      </c>
      <c r="BS855" s="330"/>
      <c r="BT855" s="331"/>
      <c r="BU855" s="823"/>
      <c r="BV855" s="333"/>
      <c r="BW855" s="330"/>
      <c r="BX855" s="331"/>
      <c r="BY855" s="331"/>
      <c r="BZ855" s="340"/>
      <c r="CA855" s="462" t="s">
        <v>845</v>
      </c>
      <c r="CB855" s="319" t="s">
        <v>845</v>
      </c>
      <c r="CC855" s="318"/>
      <c r="CD855" s="319" t="s">
        <v>845</v>
      </c>
      <c r="CE855" s="319" t="s">
        <v>845</v>
      </c>
      <c r="CF855" s="319" t="s">
        <v>845</v>
      </c>
      <c r="CG855" s="319" t="s">
        <v>845</v>
      </c>
      <c r="CH855" s="318"/>
      <c r="CI855" s="788" t="s">
        <v>845</v>
      </c>
      <c r="CJ855" s="821" t="s">
        <v>845</v>
      </c>
      <c r="CK855" s="342">
        <f t="shared" si="18"/>
        <v>0</v>
      </c>
      <c r="CL855" s="333">
        <f t="shared" si="19"/>
        <v>0</v>
      </c>
      <c r="CM855" s="829"/>
      <c r="CN855" s="333"/>
      <c r="CO855" s="333"/>
      <c r="CP855" s="333"/>
    </row>
    <row r="856">
      <c r="A856" s="835" t="s">
        <v>42</v>
      </c>
      <c r="B856" s="665" t="s">
        <v>1463</v>
      </c>
      <c r="C856" s="775">
        <v>44322.0</v>
      </c>
      <c r="D856" s="667"/>
      <c r="E856" s="676">
        <v>1.0</v>
      </c>
      <c r="F856" s="674" t="s">
        <v>1503</v>
      </c>
      <c r="G856" s="776">
        <v>0.6546875</v>
      </c>
      <c r="H856" s="777">
        <v>0.6552083333333333</v>
      </c>
      <c r="I856" s="777"/>
      <c r="J856" s="777"/>
      <c r="K856" s="777">
        <v>0.696875</v>
      </c>
      <c r="L856" s="777">
        <v>0.041666666666666664</v>
      </c>
      <c r="M856" s="676" t="s">
        <v>166</v>
      </c>
      <c r="N856" s="674" t="s">
        <v>187</v>
      </c>
      <c r="O856" s="675" t="s">
        <v>205</v>
      </c>
      <c r="P856" s="676" t="s">
        <v>222</v>
      </c>
      <c r="Q856" s="667"/>
      <c r="R856" s="778">
        <v>20.1</v>
      </c>
      <c r="S856" s="676">
        <v>5.3</v>
      </c>
      <c r="T856" s="674">
        <v>1.3</v>
      </c>
      <c r="U856" s="676">
        <v>3.0</v>
      </c>
      <c r="V856" s="676"/>
      <c r="W856" s="676"/>
      <c r="X856" s="676"/>
      <c r="Y856" s="676"/>
      <c r="Z856" s="676" t="s">
        <v>370</v>
      </c>
      <c r="AA856" s="676"/>
      <c r="AB856" s="676" t="s">
        <v>384</v>
      </c>
      <c r="AC856" s="779">
        <v>6.0</v>
      </c>
      <c r="AD856" s="676"/>
      <c r="AE856" s="676"/>
      <c r="AF856" s="676"/>
      <c r="AG856" s="676"/>
      <c r="AH856" s="676"/>
      <c r="AI856" s="676"/>
      <c r="AJ856" s="779"/>
      <c r="AK856" s="780"/>
      <c r="AL856" s="676"/>
      <c r="AM856" s="676"/>
      <c r="AN856" s="676"/>
      <c r="AO856" s="676"/>
      <c r="AP856" s="676"/>
      <c r="AQ856" s="676"/>
      <c r="AR856" s="676"/>
      <c r="AS856" s="779"/>
      <c r="AT856" s="685" t="s">
        <v>182</v>
      </c>
      <c r="AU856" s="674" t="s">
        <v>845</v>
      </c>
      <c r="AV856" s="686">
        <f>SQRT(($R856-Infrastructure!J$3)^2+($S856-Infrastructure!K$3)^2)</f>
        <v>31.19487137</v>
      </c>
      <c r="AW856" s="687">
        <f>SQRT(($R856-Infrastructure!J$4)^2+($S856-Infrastructure!K$4)^2)</f>
        <v>23.92509143</v>
      </c>
      <c r="AX856" s="687">
        <f>SQRT(($R856-Infrastructure!J$5)^2+($S856-Infrastructure!K$5)^2)</f>
        <v>20.40098037</v>
      </c>
      <c r="AY856" s="687">
        <f>SQRT(($R856-Infrastructure!J$6)^2+($S856-Infrastructure!K$6)^2)</f>
        <v>11.18033989</v>
      </c>
      <c r="AZ856" s="687">
        <f>SQRT(($R856-Infrastructure!J$7)^2+($S856-Infrastructure!K$7)^2)</f>
        <v>5.015974482</v>
      </c>
      <c r="BA856" s="687">
        <f>SQRT(($R856-Infrastructure!J$8)^2+($S856-Infrastructure!K$8)^2)</f>
        <v>11.18033989</v>
      </c>
      <c r="BB856" s="687">
        <f>SQRT(($R856-Infrastructure!J$9)^2+($S856-Infrastructure!K$9)^2)</f>
        <v>19.901005</v>
      </c>
      <c r="BC856" s="687">
        <f>SQRT(($R856-Infrastructure!J$10)^2+($S856-Infrastructure!K$10)^2)</f>
        <v>22.13820228</v>
      </c>
      <c r="BD856" s="667"/>
      <c r="BE856" s="688"/>
      <c r="BF856" s="330">
        <f t="shared" si="14"/>
        <v>5.015974482</v>
      </c>
      <c r="BG856" s="333">
        <f t="shared" si="15"/>
        <v>31.19487137</v>
      </c>
      <c r="BH856" s="781"/>
      <c r="BI856" s="690" t="s">
        <v>846</v>
      </c>
      <c r="BJ856" s="667" t="s">
        <v>846</v>
      </c>
      <c r="BK856" s="667" t="s">
        <v>845</v>
      </c>
      <c r="BL856" s="667" t="s">
        <v>846</v>
      </c>
      <c r="BM856" s="667" t="s">
        <v>846</v>
      </c>
      <c r="BN856" s="667" t="s">
        <v>846</v>
      </c>
      <c r="BO856" s="667" t="s">
        <v>845</v>
      </c>
      <c r="BP856" s="667" t="s">
        <v>845</v>
      </c>
      <c r="BQ856" s="691" t="s">
        <v>846</v>
      </c>
      <c r="BR856" s="692" t="s">
        <v>846</v>
      </c>
      <c r="BS856" s="330">
        <f t="shared" ref="BS856:BS858" si="45">MINIFS(AV856:BE856,BI856:BR856, "Y")</f>
        <v>5.015974482</v>
      </c>
      <c r="BT856" s="331">
        <f t="shared" ref="BT856:BT858" si="46">MAXIFS(AV856:BE856,BI856:BR856, "Y")</f>
        <v>31.19487137</v>
      </c>
      <c r="BU856" s="827">
        <v>0.6546875</v>
      </c>
      <c r="BV856" s="693"/>
      <c r="BW856" s="686">
        <v>11.7622807017543</v>
      </c>
      <c r="BX856" s="687">
        <v>9.49122807017543</v>
      </c>
      <c r="BY856" s="687">
        <f t="shared" ref="BY856:BY858" si="47">IF(BW856&gt;0, SQRT((R856-BW856)^2+(S856-BX856)^2))</f>
        <v>9.331878473</v>
      </c>
      <c r="BZ856" s="696"/>
      <c r="CA856" s="665" t="s">
        <v>845</v>
      </c>
      <c r="CB856" s="676" t="s">
        <v>845</v>
      </c>
      <c r="CC856" s="667"/>
      <c r="CD856" s="676" t="s">
        <v>845</v>
      </c>
      <c r="CE856" s="676" t="s">
        <v>845</v>
      </c>
      <c r="CF856" s="676" t="s">
        <v>845</v>
      </c>
      <c r="CG856" s="676" t="s">
        <v>846</v>
      </c>
      <c r="CH856" s="667"/>
      <c r="CI856" s="825" t="s">
        <v>845</v>
      </c>
      <c r="CJ856" s="826" t="s">
        <v>845</v>
      </c>
      <c r="CK856" s="342">
        <f t="shared" si="18"/>
        <v>19.901005</v>
      </c>
      <c r="CL856" s="333">
        <f t="shared" si="19"/>
        <v>19.901005</v>
      </c>
      <c r="CM856" s="836"/>
      <c r="CN856" s="333"/>
      <c r="CO856" s="333"/>
      <c r="CP856" s="333"/>
    </row>
    <row r="857">
      <c r="A857" s="315" t="s">
        <v>42</v>
      </c>
      <c r="B857" s="462" t="s">
        <v>1463</v>
      </c>
      <c r="C857" s="417">
        <v>44323.0</v>
      </c>
      <c r="D857" s="318"/>
      <c r="E857" s="319">
        <v>1.0</v>
      </c>
      <c r="F857" s="324" t="s">
        <v>1504</v>
      </c>
      <c r="G857" s="321">
        <v>0.5548611111111111</v>
      </c>
      <c r="H857" s="323">
        <v>0.5550347222222223</v>
      </c>
      <c r="I857" s="323"/>
      <c r="J857" s="323"/>
      <c r="K857" s="323">
        <v>0.5967013888888889</v>
      </c>
      <c r="L857" s="323">
        <v>0.041666666666666664</v>
      </c>
      <c r="M857" s="319" t="s">
        <v>166</v>
      </c>
      <c r="N857" s="324" t="s">
        <v>187</v>
      </c>
      <c r="O857" s="419" t="s">
        <v>203</v>
      </c>
      <c r="P857" s="319" t="s">
        <v>227</v>
      </c>
      <c r="Q857" s="318"/>
      <c r="R857" s="326">
        <v>15.2</v>
      </c>
      <c r="S857" s="319">
        <v>3.4</v>
      </c>
      <c r="T857" s="324">
        <v>1.9</v>
      </c>
      <c r="U857" s="319">
        <v>1.5</v>
      </c>
      <c r="V857" s="319"/>
      <c r="W857" s="319"/>
      <c r="X857" s="319"/>
      <c r="Y857" s="319"/>
      <c r="Z857" s="319" t="s">
        <v>357</v>
      </c>
      <c r="AA857" s="319"/>
      <c r="AB857" s="319" t="s">
        <v>380</v>
      </c>
      <c r="AC857" s="327">
        <v>4.0</v>
      </c>
      <c r="AD857" s="319"/>
      <c r="AE857" s="319"/>
      <c r="AF857" s="319"/>
      <c r="AG857" s="319"/>
      <c r="AH857" s="319"/>
      <c r="AI857" s="319"/>
      <c r="AJ857" s="327"/>
      <c r="AK857" s="328"/>
      <c r="AL857" s="319"/>
      <c r="AM857" s="319"/>
      <c r="AN857" s="319"/>
      <c r="AO857" s="319"/>
      <c r="AP857" s="319"/>
      <c r="AQ857" s="319"/>
      <c r="AR857" s="319"/>
      <c r="AS857" s="327"/>
      <c r="AT857" s="460" t="s">
        <v>182</v>
      </c>
      <c r="AU857" s="324" t="s">
        <v>845</v>
      </c>
      <c r="AV857" s="330">
        <f>SQRT(($R857-Infrastructure!J$3)^2+($S857-Infrastructure!K$3)^2)</f>
        <v>29.84124662</v>
      </c>
      <c r="AW857" s="331">
        <f>SQRT(($R857-Infrastructure!J$4)^2+($S857-Infrastructure!K$4)^2)</f>
        <v>21.1567956</v>
      </c>
      <c r="AX857" s="331">
        <f>SQRT(($R857-Infrastructure!J$5)^2+($S857-Infrastructure!K$5)^2)</f>
        <v>15.59294712</v>
      </c>
      <c r="AY857" s="331">
        <f>SQRT(($R857-Infrastructure!J$6)^2+($S857-Infrastructure!K$6)^2)</f>
        <v>5.968249325</v>
      </c>
      <c r="AZ857" s="331">
        <f>SQRT(($R857-Infrastructure!J$7)^2+($S857-Infrastructure!K$7)^2)</f>
        <v>6.140032573</v>
      </c>
      <c r="BA857" s="331">
        <f>SQRT(($R857-Infrastructure!J$8)^2+($S857-Infrastructure!K$8)^2)</f>
        <v>15.21906699</v>
      </c>
      <c r="BB857" s="331">
        <f>SQRT(($R857-Infrastructure!J$9)^2+($S857-Infrastructure!K$9)^2)</f>
        <v>24.85819784</v>
      </c>
      <c r="BC857" s="331">
        <f>SQRT(($R857-Infrastructure!J$10)^2+($S857-Infrastructure!K$10)^2)</f>
        <v>27.37882393</v>
      </c>
      <c r="BD857" s="318"/>
      <c r="BE857" s="332"/>
      <c r="BF857" s="330">
        <f t="shared" si="14"/>
        <v>5.968249325</v>
      </c>
      <c r="BG857" s="333">
        <f t="shared" si="15"/>
        <v>29.84124662</v>
      </c>
      <c r="BH857" s="334"/>
      <c r="BI857" s="316" t="s">
        <v>846</v>
      </c>
      <c r="BJ857" s="318" t="s">
        <v>846</v>
      </c>
      <c r="BK857" s="318" t="s">
        <v>845</v>
      </c>
      <c r="BL857" s="318" t="s">
        <v>846</v>
      </c>
      <c r="BM857" s="318" t="s">
        <v>845</v>
      </c>
      <c r="BN857" s="318" t="s">
        <v>846</v>
      </c>
      <c r="BO857" s="318" t="s">
        <v>845</v>
      </c>
      <c r="BP857" s="318" t="s">
        <v>845</v>
      </c>
      <c r="BQ857" s="338" t="s">
        <v>846</v>
      </c>
      <c r="BR857" s="420" t="s">
        <v>845</v>
      </c>
      <c r="BS857" s="330">
        <f t="shared" si="45"/>
        <v>5.968249325</v>
      </c>
      <c r="BT857" s="331">
        <f t="shared" si="46"/>
        <v>29.84124662</v>
      </c>
      <c r="BU857" s="827">
        <v>0.5551388888888888</v>
      </c>
      <c r="BV857" s="333"/>
      <c r="BW857" s="330">
        <v>10.6488372093023</v>
      </c>
      <c r="BX857" s="331">
        <v>9.42558139534884</v>
      </c>
      <c r="BY857" s="331">
        <f t="shared" si="47"/>
        <v>7.551206122</v>
      </c>
      <c r="BZ857" s="340"/>
      <c r="CA857" s="462" t="s">
        <v>846</v>
      </c>
      <c r="CB857" s="319" t="s">
        <v>845</v>
      </c>
      <c r="CC857" s="318"/>
      <c r="CD857" s="319" t="s">
        <v>845</v>
      </c>
      <c r="CE857" s="319" t="s">
        <v>845</v>
      </c>
      <c r="CF857" s="319" t="s">
        <v>845</v>
      </c>
      <c r="CG857" s="319" t="s">
        <v>846</v>
      </c>
      <c r="CH857" s="318"/>
      <c r="CI857" s="788" t="s">
        <v>845</v>
      </c>
      <c r="CJ857" s="821" t="s">
        <v>845</v>
      </c>
      <c r="CK857" s="342">
        <f t="shared" si="18"/>
        <v>24.85819784</v>
      </c>
      <c r="CL857" s="333">
        <f t="shared" si="19"/>
        <v>29.84124662</v>
      </c>
      <c r="CM857" s="829"/>
      <c r="CN857" s="333"/>
      <c r="CO857" s="333"/>
      <c r="CP857" s="333"/>
    </row>
    <row r="858">
      <c r="B858" s="462" t="s">
        <v>1463</v>
      </c>
      <c r="C858" s="417">
        <v>44323.0</v>
      </c>
      <c r="D858" s="318"/>
      <c r="E858" s="319">
        <v>2.0</v>
      </c>
      <c r="F858" s="324" t="s">
        <v>1505</v>
      </c>
      <c r="G858" s="321">
        <v>0.6409722222222223</v>
      </c>
      <c r="H858" s="323">
        <v>0.6416666666666667</v>
      </c>
      <c r="I858" s="323"/>
      <c r="J858" s="323"/>
      <c r="K858" s="323">
        <v>0.6835069444444445</v>
      </c>
      <c r="L858" s="323">
        <v>0.041840277777777775</v>
      </c>
      <c r="M858" s="319" t="s">
        <v>166</v>
      </c>
      <c r="N858" s="324" t="s">
        <v>187</v>
      </c>
      <c r="O858" s="419" t="s">
        <v>202</v>
      </c>
      <c r="P858" s="319" t="s">
        <v>228</v>
      </c>
      <c r="Q858" s="318"/>
      <c r="R858" s="326">
        <v>24.4</v>
      </c>
      <c r="S858" s="319">
        <v>9.7</v>
      </c>
      <c r="T858" s="324">
        <v>0.6</v>
      </c>
      <c r="U858" s="319">
        <v>1.2</v>
      </c>
      <c r="V858" s="319"/>
      <c r="W858" s="319"/>
      <c r="X858" s="319"/>
      <c r="Y858" s="319"/>
      <c r="Z858" s="319" t="s">
        <v>339</v>
      </c>
      <c r="AA858" s="319"/>
      <c r="AB858" s="319" t="s">
        <v>363</v>
      </c>
      <c r="AC858" s="327">
        <v>10.0</v>
      </c>
      <c r="AD858" s="319"/>
      <c r="AE858" s="319"/>
      <c r="AF858" s="319"/>
      <c r="AG858" s="319"/>
      <c r="AH858" s="319"/>
      <c r="AI858" s="319"/>
      <c r="AJ858" s="327"/>
      <c r="AK858" s="328"/>
      <c r="AL858" s="319"/>
      <c r="AM858" s="319"/>
      <c r="AN858" s="319"/>
      <c r="AO858" s="319"/>
      <c r="AP858" s="319"/>
      <c r="AQ858" s="319"/>
      <c r="AR858" s="319"/>
      <c r="AS858" s="327"/>
      <c r="AT858" s="461" t="s">
        <v>182</v>
      </c>
      <c r="AU858" s="324" t="s">
        <v>845</v>
      </c>
      <c r="AV858" s="330">
        <f>SQRT(($R858-Infrastructure!J$3)^2+($S858-Infrastructure!K$3)^2)</f>
        <v>31.28466078</v>
      </c>
      <c r="AW858" s="331">
        <f>SQRT(($R858-Infrastructure!J$4)^2+($S858-Infrastructure!K$4)^2)</f>
        <v>25.99423013</v>
      </c>
      <c r="AX858" s="331">
        <f>SQRT(($R858-Infrastructure!J$5)^2+($S858-Infrastructure!K$5)^2)</f>
        <v>25.12468905</v>
      </c>
      <c r="AY858" s="331">
        <f>SQRT(($R858-Infrastructure!J$6)^2+($S858-Infrastructure!K$6)^2)</f>
        <v>17.11286066</v>
      </c>
      <c r="AZ858" s="331">
        <f>SQRT(($R858-Infrastructure!J$7)^2+($S858-Infrastructure!K$7)^2)</f>
        <v>10.17693471</v>
      </c>
      <c r="BA858" s="331">
        <f>SQRT(($R858-Infrastructure!J$8)^2+($S858-Infrastructure!K$8)^2)</f>
        <v>10.9931797</v>
      </c>
      <c r="BB858" s="331">
        <f>SQRT(($R858-Infrastructure!J$9)^2+($S858-Infrastructure!K$9)^2)</f>
        <v>16.26407083</v>
      </c>
      <c r="BC858" s="331">
        <f>SQRT(($R858-Infrastructure!J$10)^2+($S858-Infrastructure!K$10)^2)</f>
        <v>16.47573974</v>
      </c>
      <c r="BD858" s="318"/>
      <c r="BE858" s="332"/>
      <c r="BF858" s="330">
        <f t="shared" si="14"/>
        <v>10.17693471</v>
      </c>
      <c r="BG858" s="333">
        <f t="shared" si="15"/>
        <v>31.28466078</v>
      </c>
      <c r="BH858" s="334"/>
      <c r="BI858" s="316" t="s">
        <v>845</v>
      </c>
      <c r="BJ858" s="318" t="s">
        <v>845</v>
      </c>
      <c r="BK858" s="318"/>
      <c r="BL858" s="318" t="s">
        <v>845</v>
      </c>
      <c r="BM858" s="318" t="s">
        <v>845</v>
      </c>
      <c r="BN858" s="318" t="s">
        <v>846</v>
      </c>
      <c r="BO858" s="318" t="s">
        <v>845</v>
      </c>
      <c r="BP858" s="318"/>
      <c r="BQ858" s="338" t="s">
        <v>846</v>
      </c>
      <c r="BR858" s="420" t="s">
        <v>845</v>
      </c>
      <c r="BS858" s="330">
        <f t="shared" si="45"/>
        <v>10.9931797</v>
      </c>
      <c r="BT858" s="331">
        <f t="shared" si="46"/>
        <v>10.9931797</v>
      </c>
      <c r="BU858" s="827">
        <v>0.6484722222222222</v>
      </c>
      <c r="BV858" s="333"/>
      <c r="BW858" s="330"/>
      <c r="BX858" s="331"/>
      <c r="BY858" s="331" t="b">
        <f t="shared" si="47"/>
        <v>0</v>
      </c>
      <c r="BZ858" s="340"/>
      <c r="CA858" s="462" t="s">
        <v>845</v>
      </c>
      <c r="CB858" s="319" t="s">
        <v>845</v>
      </c>
      <c r="CC858" s="318"/>
      <c r="CD858" s="319" t="s">
        <v>845</v>
      </c>
      <c r="CE858" s="319" t="s">
        <v>845</v>
      </c>
      <c r="CF858" s="319" t="s">
        <v>845</v>
      </c>
      <c r="CG858" s="319" t="s">
        <v>846</v>
      </c>
      <c r="CH858" s="318"/>
      <c r="CI858" s="788" t="s">
        <v>845</v>
      </c>
      <c r="CJ858" s="821" t="s">
        <v>845</v>
      </c>
      <c r="CK858" s="342">
        <f t="shared" si="18"/>
        <v>16.26407083</v>
      </c>
      <c r="CL858" s="333">
        <f t="shared" si="19"/>
        <v>16.26407083</v>
      </c>
      <c r="CM858" s="829"/>
      <c r="CN858" s="333"/>
      <c r="CO858" s="333"/>
      <c r="CP858" s="333"/>
    </row>
    <row r="859">
      <c r="B859" s="462" t="s">
        <v>1463</v>
      </c>
      <c r="C859" s="417">
        <v>44323.0</v>
      </c>
      <c r="D859" s="318"/>
      <c r="E859" s="319"/>
      <c r="F859" s="324" t="s">
        <v>1506</v>
      </c>
      <c r="G859" s="321">
        <v>0.6861111111111111</v>
      </c>
      <c r="H859" s="323"/>
      <c r="I859" s="323"/>
      <c r="J859" s="323"/>
      <c r="K859" s="323">
        <v>0.6866319444444444</v>
      </c>
      <c r="L859" s="323">
        <v>5.208333333333333E-4</v>
      </c>
      <c r="M859" s="319" t="s">
        <v>166</v>
      </c>
      <c r="N859" s="324" t="s">
        <v>188</v>
      </c>
      <c r="O859" s="419"/>
      <c r="P859" s="319" t="s">
        <v>231</v>
      </c>
      <c r="Q859" s="318"/>
      <c r="R859" s="833"/>
      <c r="S859" s="319"/>
      <c r="T859" s="324"/>
      <c r="U859" s="834"/>
      <c r="V859" s="834"/>
      <c r="W859" s="834"/>
      <c r="X859" s="834"/>
      <c r="Y859" s="834"/>
      <c r="Z859" s="319" t="s">
        <v>323</v>
      </c>
      <c r="AA859" s="319"/>
      <c r="AB859" s="319" t="s">
        <v>323</v>
      </c>
      <c r="AC859" s="327" t="s">
        <v>323</v>
      </c>
      <c r="AD859" s="319"/>
      <c r="AE859" s="319"/>
      <c r="AF859" s="319"/>
      <c r="AG859" s="319"/>
      <c r="AH859" s="319"/>
      <c r="AI859" s="319"/>
      <c r="AJ859" s="327"/>
      <c r="AK859" s="328"/>
      <c r="AL859" s="319"/>
      <c r="AM859" s="319"/>
      <c r="AN859" s="319"/>
      <c r="AO859" s="319"/>
      <c r="AP859" s="319"/>
      <c r="AQ859" s="319"/>
      <c r="AR859" s="319"/>
      <c r="AS859" s="327"/>
      <c r="AT859" s="344"/>
      <c r="AU859" s="332"/>
      <c r="AV859" s="330">
        <f>SQRT(($R859-Infrastructure!J$3)^2+($S859-Infrastructure!K$3)^2)</f>
        <v>28.90155705</v>
      </c>
      <c r="AW859" s="331">
        <f>SQRT(($R859-Infrastructure!J$4)^2+($S859-Infrastructure!K$4)^2)</f>
        <v>17.80252791</v>
      </c>
      <c r="AX859" s="331">
        <f>SQRT(($R859-Infrastructure!J$5)^2+($S859-Infrastructure!K$5)^2)</f>
        <v>5.10881591</v>
      </c>
      <c r="AY859" s="331">
        <f>SQRT(($R859-Infrastructure!J$6)^2+($S859-Infrastructure!K$6)^2)</f>
        <v>10.10445446</v>
      </c>
      <c r="AZ859" s="331">
        <f>SQRT(($R859-Infrastructure!J$7)^2+($S859-Infrastructure!K$7)^2)</f>
        <v>20.502195</v>
      </c>
      <c r="BA859" s="331">
        <f>SQRT(($R859-Infrastructure!J$8)^2+($S859-Infrastructure!K$8)^2)</f>
        <v>30.10149498</v>
      </c>
      <c r="BB859" s="331">
        <f>SQRT(($R859-Infrastructure!J$9)^2+($S859-Infrastructure!K$9)^2)</f>
        <v>40.3238143</v>
      </c>
      <c r="BC859" s="331">
        <f>SQRT(($R859-Infrastructure!J$10)^2+($S859-Infrastructure!K$10)^2)</f>
        <v>42.72001873</v>
      </c>
      <c r="BD859" s="318"/>
      <c r="BE859" s="332"/>
      <c r="BF859" s="330">
        <f t="shared" si="14"/>
        <v>5.10881591</v>
      </c>
      <c r="BG859" s="333">
        <f t="shared" si="15"/>
        <v>42.72001873</v>
      </c>
      <c r="BH859" s="334"/>
      <c r="BI859" s="316" t="s">
        <v>845</v>
      </c>
      <c r="BJ859" s="318" t="s">
        <v>845</v>
      </c>
      <c r="BK859" s="318"/>
      <c r="BL859" s="318" t="s">
        <v>845</v>
      </c>
      <c r="BM859" s="318" t="s">
        <v>845</v>
      </c>
      <c r="BN859" s="318" t="s">
        <v>845</v>
      </c>
      <c r="BO859" s="318" t="s">
        <v>845</v>
      </c>
      <c r="BP859" s="318"/>
      <c r="BQ859" s="338" t="s">
        <v>845</v>
      </c>
      <c r="BR859" s="420" t="s">
        <v>845</v>
      </c>
      <c r="BS859" s="330"/>
      <c r="BT859" s="331"/>
      <c r="BU859" s="823"/>
      <c r="BV859" s="333"/>
      <c r="BW859" s="330"/>
      <c r="BX859" s="331"/>
      <c r="BY859" s="331"/>
      <c r="BZ859" s="340"/>
      <c r="CA859" s="462" t="s">
        <v>845</v>
      </c>
      <c r="CB859" s="319" t="s">
        <v>845</v>
      </c>
      <c r="CC859" s="318"/>
      <c r="CD859" s="319" t="s">
        <v>845</v>
      </c>
      <c r="CE859" s="319" t="s">
        <v>845</v>
      </c>
      <c r="CF859" s="319" t="s">
        <v>845</v>
      </c>
      <c r="CG859" s="319" t="s">
        <v>845</v>
      </c>
      <c r="CH859" s="318"/>
      <c r="CI859" s="788" t="s">
        <v>845</v>
      </c>
      <c r="CJ859" s="821" t="s">
        <v>845</v>
      </c>
      <c r="CK859" s="342">
        <f t="shared" si="18"/>
        <v>0</v>
      </c>
      <c r="CL859" s="333">
        <f t="shared" si="19"/>
        <v>0</v>
      </c>
      <c r="CM859" s="829"/>
      <c r="CN859" s="333"/>
      <c r="CO859" s="333"/>
      <c r="CP859" s="333"/>
    </row>
    <row r="860">
      <c r="A860" s="634"/>
      <c r="B860" s="462" t="s">
        <v>1463</v>
      </c>
      <c r="C860" s="417">
        <v>44323.0</v>
      </c>
      <c r="D860" s="318"/>
      <c r="E860" s="319"/>
      <c r="F860" s="324" t="s">
        <v>1506</v>
      </c>
      <c r="G860" s="321">
        <v>0.6875</v>
      </c>
      <c r="H860" s="323"/>
      <c r="I860" s="323"/>
      <c r="J860" s="323"/>
      <c r="K860" s="323">
        <v>0.6895833333333333</v>
      </c>
      <c r="L860" s="323">
        <v>0.0020833333333333333</v>
      </c>
      <c r="M860" s="319" t="s">
        <v>358</v>
      </c>
      <c r="N860" s="324" t="s">
        <v>188</v>
      </c>
      <c r="O860" s="419"/>
      <c r="P860" s="319" t="s">
        <v>231</v>
      </c>
      <c r="Q860" s="318"/>
      <c r="R860" s="833"/>
      <c r="S860" s="319"/>
      <c r="T860" s="324"/>
      <c r="U860" s="834"/>
      <c r="V860" s="834"/>
      <c r="W860" s="834"/>
      <c r="X860" s="834"/>
      <c r="Y860" s="834"/>
      <c r="Z860" s="319" t="s">
        <v>323</v>
      </c>
      <c r="AA860" s="319"/>
      <c r="AB860" s="319" t="s">
        <v>323</v>
      </c>
      <c r="AC860" s="327" t="s">
        <v>323</v>
      </c>
      <c r="AD860" s="319"/>
      <c r="AE860" s="319"/>
      <c r="AF860" s="319"/>
      <c r="AG860" s="319"/>
      <c r="AH860" s="319"/>
      <c r="AI860" s="319"/>
      <c r="AJ860" s="327"/>
      <c r="AK860" s="328"/>
      <c r="AL860" s="319"/>
      <c r="AM860" s="319"/>
      <c r="AN860" s="319"/>
      <c r="AO860" s="319"/>
      <c r="AP860" s="319"/>
      <c r="AQ860" s="319"/>
      <c r="AR860" s="319"/>
      <c r="AS860" s="327"/>
      <c r="AT860" s="344"/>
      <c r="AU860" s="332"/>
      <c r="AV860" s="330">
        <f>SQRT(($R860-Infrastructure!J$3)^2+($S860-Infrastructure!K$3)^2)</f>
        <v>28.90155705</v>
      </c>
      <c r="AW860" s="331">
        <f>SQRT(($R860-Infrastructure!J$4)^2+($S860-Infrastructure!K$4)^2)</f>
        <v>17.80252791</v>
      </c>
      <c r="AX860" s="331">
        <f>SQRT(($R860-Infrastructure!J$5)^2+($S860-Infrastructure!K$5)^2)</f>
        <v>5.10881591</v>
      </c>
      <c r="AY860" s="331">
        <f>SQRT(($R860-Infrastructure!J$6)^2+($S860-Infrastructure!K$6)^2)</f>
        <v>10.10445446</v>
      </c>
      <c r="AZ860" s="331">
        <f>SQRT(($R860-Infrastructure!J$7)^2+($S860-Infrastructure!K$7)^2)</f>
        <v>20.502195</v>
      </c>
      <c r="BA860" s="331">
        <f>SQRT(($R860-Infrastructure!J$8)^2+($S860-Infrastructure!K$8)^2)</f>
        <v>30.10149498</v>
      </c>
      <c r="BB860" s="331">
        <f>SQRT(($R860-Infrastructure!J$9)^2+($S860-Infrastructure!K$9)^2)</f>
        <v>40.3238143</v>
      </c>
      <c r="BC860" s="331">
        <f>SQRT(($R860-Infrastructure!J$10)^2+($S860-Infrastructure!K$10)^2)</f>
        <v>42.72001873</v>
      </c>
      <c r="BD860" s="318"/>
      <c r="BE860" s="332"/>
      <c r="BF860" s="330">
        <f t="shared" si="14"/>
        <v>5.10881591</v>
      </c>
      <c r="BG860" s="333">
        <f t="shared" si="15"/>
        <v>42.72001873</v>
      </c>
      <c r="BH860" s="334"/>
      <c r="BI860" s="316" t="s">
        <v>845</v>
      </c>
      <c r="BJ860" s="318" t="s">
        <v>845</v>
      </c>
      <c r="BK860" s="318"/>
      <c r="BL860" s="318" t="s">
        <v>845</v>
      </c>
      <c r="BM860" s="318" t="s">
        <v>845</v>
      </c>
      <c r="BN860" s="318" t="s">
        <v>845</v>
      </c>
      <c r="BO860" s="318" t="s">
        <v>845</v>
      </c>
      <c r="BP860" s="318"/>
      <c r="BQ860" s="338" t="s">
        <v>845</v>
      </c>
      <c r="BR860" s="420" t="s">
        <v>845</v>
      </c>
      <c r="BS860" s="330"/>
      <c r="BT860" s="331"/>
      <c r="BU860" s="823"/>
      <c r="BV860" s="333"/>
      <c r="BW860" s="330"/>
      <c r="BX860" s="331"/>
      <c r="BY860" s="331"/>
      <c r="BZ860" s="340"/>
      <c r="CA860" s="462" t="s">
        <v>845</v>
      </c>
      <c r="CB860" s="319" t="s">
        <v>845</v>
      </c>
      <c r="CC860" s="318"/>
      <c r="CD860" s="319" t="s">
        <v>845</v>
      </c>
      <c r="CE860" s="319" t="s">
        <v>845</v>
      </c>
      <c r="CF860" s="319" t="s">
        <v>845</v>
      </c>
      <c r="CG860" s="319" t="s">
        <v>846</v>
      </c>
      <c r="CH860" s="318"/>
      <c r="CI860" s="788" t="s">
        <v>845</v>
      </c>
      <c r="CJ860" s="821" t="s">
        <v>845</v>
      </c>
      <c r="CK860" s="342">
        <f t="shared" si="18"/>
        <v>40.3238143</v>
      </c>
      <c r="CL860" s="333">
        <f t="shared" si="19"/>
        <v>40.3238143</v>
      </c>
      <c r="CM860" s="829"/>
      <c r="CN860" s="333"/>
      <c r="CO860" s="333"/>
      <c r="CP860" s="333"/>
    </row>
    <row r="861">
      <c r="A861" s="389" t="s">
        <v>42</v>
      </c>
      <c r="B861" s="573" t="s">
        <v>1507</v>
      </c>
      <c r="C861" s="391">
        <v>44343.0</v>
      </c>
      <c r="D861" s="392"/>
      <c r="E861" s="393">
        <v>1.0</v>
      </c>
      <c r="F861" s="394" t="s">
        <v>1508</v>
      </c>
      <c r="G861" s="395">
        <v>0.5944444444444444</v>
      </c>
      <c r="H861" s="456">
        <v>0.5991319444444444</v>
      </c>
      <c r="I861" s="456"/>
      <c r="J861" s="456"/>
      <c r="K861" s="456">
        <v>0.6409722222222223</v>
      </c>
      <c r="L861" s="456">
        <v>0.041840277777777775</v>
      </c>
      <c r="M861" s="393" t="s">
        <v>166</v>
      </c>
      <c r="N861" s="394" t="s">
        <v>187</v>
      </c>
      <c r="O861" s="399" t="s">
        <v>206</v>
      </c>
      <c r="P861" s="393" t="s">
        <v>218</v>
      </c>
      <c r="Q861" s="392"/>
      <c r="R861" s="400">
        <v>21.5</v>
      </c>
      <c r="S861" s="393">
        <v>8.7</v>
      </c>
      <c r="T861" s="394">
        <v>2.4</v>
      </c>
      <c r="U861" s="393">
        <v>1.4</v>
      </c>
      <c r="V861" s="393"/>
      <c r="W861" s="393"/>
      <c r="X861" s="393"/>
      <c r="Y861" s="393"/>
      <c r="Z861" s="393" t="s">
        <v>347</v>
      </c>
      <c r="AA861" s="393"/>
      <c r="AB861" s="393" t="s">
        <v>384</v>
      </c>
      <c r="AC861" s="401">
        <v>6.0</v>
      </c>
      <c r="AD861" s="393"/>
      <c r="AE861" s="393"/>
      <c r="AF861" s="393"/>
      <c r="AG861" s="393"/>
      <c r="AH861" s="393"/>
      <c r="AI861" s="393"/>
      <c r="AJ861" s="401"/>
      <c r="AK861" s="402"/>
      <c r="AL861" s="393"/>
      <c r="AM861" s="393"/>
      <c r="AN861" s="393"/>
      <c r="AO861" s="393"/>
      <c r="AP861" s="393"/>
      <c r="AQ861" s="393"/>
      <c r="AR861" s="393"/>
      <c r="AS861" s="401"/>
      <c r="AT861" s="460" t="s">
        <v>182</v>
      </c>
      <c r="AU861" s="394" t="s">
        <v>845</v>
      </c>
      <c r="AV861" s="405">
        <f>SQRT(($R861-Infrastructure!J$3)^2+($S861-Infrastructure!K$3)^2)</f>
        <v>29.72002692</v>
      </c>
      <c r="AW861" s="406">
        <f>SQRT(($R861-Infrastructure!J$4)^2+($S861-Infrastructure!K$4)^2)</f>
        <v>23.62308193</v>
      </c>
      <c r="AX861" s="406">
        <f>SQRT(($R861-Infrastructure!J$5)^2+($S861-Infrastructure!K$5)^2)</f>
        <v>22.09524836</v>
      </c>
      <c r="AY861" s="406">
        <f>SQRT(($R861-Infrastructure!J$6)^2+($S861-Infrastructure!K$6)^2)</f>
        <v>14.16050847</v>
      </c>
      <c r="AZ861" s="406">
        <f>SQRT(($R861-Infrastructure!J$7)^2+($S861-Infrastructure!K$7)^2)</f>
        <v>8.459314393</v>
      </c>
      <c r="BA861" s="406">
        <f>SQRT(($R861-Infrastructure!J$8)^2+($S861-Infrastructure!K$8)^2)</f>
        <v>12.02164714</v>
      </c>
      <c r="BB861" s="406">
        <f>SQRT(($R861-Infrastructure!J$9)^2+($S861-Infrastructure!K$9)^2)</f>
        <v>18.84701568</v>
      </c>
      <c r="BC861" s="406">
        <f>SQRT(($R861-Infrastructure!J$10)^2+($S861-Infrastructure!K$10)^2)</f>
        <v>19.54328529</v>
      </c>
      <c r="BD861" s="392"/>
      <c r="BE861" s="407"/>
      <c r="BF861" s="330">
        <f t="shared" si="14"/>
        <v>8.459314393</v>
      </c>
      <c r="BG861" s="333">
        <f t="shared" si="15"/>
        <v>29.72002692</v>
      </c>
      <c r="BH861" s="409"/>
      <c r="BI861" s="390" t="s">
        <v>845</v>
      </c>
      <c r="BJ861" s="392" t="s">
        <v>846</v>
      </c>
      <c r="BK861" s="392"/>
      <c r="BL861" s="392" t="s">
        <v>845</v>
      </c>
      <c r="BM861" s="392" t="s">
        <v>845</v>
      </c>
      <c r="BN861" s="392" t="s">
        <v>845</v>
      </c>
      <c r="BO861" s="392" t="s">
        <v>845</v>
      </c>
      <c r="BP861" s="392"/>
      <c r="BQ861" s="410" t="s">
        <v>845</v>
      </c>
      <c r="BR861" s="411" t="s">
        <v>845</v>
      </c>
      <c r="BS861" s="330">
        <f t="shared" ref="BS861:BS862" si="48">MINIFS(AV861:BE861,BI861:BR861, "Y")</f>
        <v>23.62308193</v>
      </c>
      <c r="BT861" s="331">
        <f t="shared" ref="BT861:BT862" si="49">MAXIFS(AV861:BE861,BI861:BR861, "Y")</f>
        <v>23.62308193</v>
      </c>
      <c r="BU861" s="827">
        <v>0.6162037037037037</v>
      </c>
      <c r="BV861" s="408"/>
      <c r="BW861" s="405"/>
      <c r="BX861" s="406"/>
      <c r="BY861" s="406" t="b">
        <f t="shared" ref="BY861:BY862" si="50">IF(BW861&gt;0, SQRT((R861-BW861)^2+(S861-BX861)^2))</f>
        <v>0</v>
      </c>
      <c r="BZ861" s="412"/>
      <c r="CA861" s="573" t="s">
        <v>845</v>
      </c>
      <c r="CB861" s="393" t="s">
        <v>845</v>
      </c>
      <c r="CC861" s="392"/>
      <c r="CD861" s="393" t="s">
        <v>845</v>
      </c>
      <c r="CE861" s="393" t="s">
        <v>845</v>
      </c>
      <c r="CF861" s="393" t="s">
        <v>845</v>
      </c>
      <c r="CG861" s="393" t="s">
        <v>845</v>
      </c>
      <c r="CH861" s="392"/>
      <c r="CI861" s="792" t="s">
        <v>845</v>
      </c>
      <c r="CJ861" s="820" t="s">
        <v>845</v>
      </c>
      <c r="CK861" s="342">
        <f t="shared" si="18"/>
        <v>0</v>
      </c>
      <c r="CL861" s="333">
        <f t="shared" si="19"/>
        <v>0</v>
      </c>
      <c r="CM861" s="832"/>
      <c r="CN861" s="333"/>
      <c r="CO861" s="333"/>
      <c r="CP861" s="333"/>
    </row>
    <row r="862">
      <c r="B862" s="462" t="s">
        <v>1507</v>
      </c>
      <c r="C862" s="417">
        <v>44343.0</v>
      </c>
      <c r="D862" s="318"/>
      <c r="E862" s="319">
        <v>2.0</v>
      </c>
      <c r="F862" s="324" t="s">
        <v>1509</v>
      </c>
      <c r="G862" s="321">
        <v>0.6774305555555555</v>
      </c>
      <c r="H862" s="323">
        <v>0.6779513888888888</v>
      </c>
      <c r="I862" s="323"/>
      <c r="J862" s="323"/>
      <c r="K862" s="323">
        <v>0.7211805555555556</v>
      </c>
      <c r="L862" s="323">
        <v>0.043229166666666666</v>
      </c>
      <c r="M862" s="319" t="s">
        <v>166</v>
      </c>
      <c r="N862" s="324" t="s">
        <v>187</v>
      </c>
      <c r="O862" s="419" t="s">
        <v>198</v>
      </c>
      <c r="P862" s="319" t="s">
        <v>218</v>
      </c>
      <c r="Q862" s="318"/>
      <c r="R862" s="326">
        <v>10.3</v>
      </c>
      <c r="S862" s="319">
        <v>8.1</v>
      </c>
      <c r="T862" s="324">
        <v>3.0</v>
      </c>
      <c r="U862" s="319">
        <v>0.6</v>
      </c>
      <c r="V862" s="319"/>
      <c r="W862" s="319"/>
      <c r="X862" s="319"/>
      <c r="Y862" s="319"/>
      <c r="Z862" s="319" t="s">
        <v>343</v>
      </c>
      <c r="AA862" s="319"/>
      <c r="AB862" s="319" t="s">
        <v>380</v>
      </c>
      <c r="AC862" s="327">
        <v>4.0</v>
      </c>
      <c r="AD862" s="319"/>
      <c r="AE862" s="319"/>
      <c r="AF862" s="319"/>
      <c r="AG862" s="319"/>
      <c r="AH862" s="319"/>
      <c r="AI862" s="319"/>
      <c r="AJ862" s="327"/>
      <c r="AK862" s="328"/>
      <c r="AL862" s="319"/>
      <c r="AM862" s="319"/>
      <c r="AN862" s="319"/>
      <c r="AO862" s="319"/>
      <c r="AP862" s="319"/>
      <c r="AQ862" s="319"/>
      <c r="AR862" s="319"/>
      <c r="AS862" s="327"/>
      <c r="AT862" s="461" t="s">
        <v>181</v>
      </c>
      <c r="AU862" s="324" t="s">
        <v>845</v>
      </c>
      <c r="AV862" s="330">
        <f>SQRT(($R862-Infrastructure!J$3)^2+($S862-Infrastructure!K$3)^2)</f>
        <v>23.34523506</v>
      </c>
      <c r="AW862" s="331">
        <f>SQRT(($R862-Infrastructure!J$4)^2+($S862-Infrastructure!K$4)^2)</f>
        <v>14.36836804</v>
      </c>
      <c r="AX862" s="331">
        <f>SQRT(($R862-Infrastructure!J$5)^2+($S862-Infrastructure!K$5)^2)</f>
        <v>11.01635148</v>
      </c>
      <c r="AY862" s="331">
        <f>SQRT(($R862-Infrastructure!J$6)^2+($S862-Infrastructure!K$6)^2)</f>
        <v>7.802563681</v>
      </c>
      <c r="AZ862" s="331">
        <f>SQRT(($R862-Infrastructure!J$7)^2+($S862-Infrastructure!K$7)^2)</f>
        <v>12.84056074</v>
      </c>
      <c r="BA862" s="331">
        <f>SQRT(($R862-Infrastructure!J$8)^2+($S862-Infrastructure!K$8)^2)</f>
        <v>21.28097742</v>
      </c>
      <c r="BB862" s="331">
        <f>SQRT(($R862-Infrastructure!J$9)^2+($S862-Infrastructure!K$9)^2)</f>
        <v>29.85113063</v>
      </c>
      <c r="BC862" s="331">
        <f>SQRT(($R862-Infrastructure!J$10)^2+($S862-Infrastructure!K$10)^2)</f>
        <v>30.49098227</v>
      </c>
      <c r="BD862" s="318"/>
      <c r="BE862" s="332"/>
      <c r="BF862" s="330">
        <f t="shared" si="14"/>
        <v>7.802563681</v>
      </c>
      <c r="BG862" s="333">
        <f t="shared" si="15"/>
        <v>30.49098227</v>
      </c>
      <c r="BH862" s="334"/>
      <c r="BI862" s="316" t="s">
        <v>845</v>
      </c>
      <c r="BJ862" s="318" t="s">
        <v>846</v>
      </c>
      <c r="BK862" s="318"/>
      <c r="BL862" s="318" t="s">
        <v>845</v>
      </c>
      <c r="BM862" s="318" t="s">
        <v>845</v>
      </c>
      <c r="BN862" s="318" t="s">
        <v>845</v>
      </c>
      <c r="BO862" s="318" t="s">
        <v>845</v>
      </c>
      <c r="BP862" s="318"/>
      <c r="BQ862" s="338" t="s">
        <v>846</v>
      </c>
      <c r="BR862" s="420" t="s">
        <v>845</v>
      </c>
      <c r="BS862" s="330">
        <f t="shared" si="48"/>
        <v>14.36836804</v>
      </c>
      <c r="BT862" s="331">
        <f t="shared" si="49"/>
        <v>14.36836804</v>
      </c>
      <c r="BU862" s="827">
        <v>0.6923611111111111</v>
      </c>
      <c r="BV862" s="333"/>
      <c r="BW862" s="330"/>
      <c r="BX862" s="331"/>
      <c r="BY862" s="331" t="b">
        <f t="shared" si="50"/>
        <v>0</v>
      </c>
      <c r="BZ862" s="340"/>
      <c r="CA862" s="462" t="s">
        <v>845</v>
      </c>
      <c r="CB862" s="319" t="s">
        <v>845</v>
      </c>
      <c r="CC862" s="318"/>
      <c r="CD862" s="319" t="s">
        <v>845</v>
      </c>
      <c r="CE862" s="319" t="s">
        <v>845</v>
      </c>
      <c r="CF862" s="319" t="s">
        <v>845</v>
      </c>
      <c r="CG862" s="319" t="s">
        <v>845</v>
      </c>
      <c r="CH862" s="318"/>
      <c r="CI862" s="788" t="s">
        <v>845</v>
      </c>
      <c r="CJ862" s="821" t="s">
        <v>845</v>
      </c>
      <c r="CK862" s="342">
        <f t="shared" si="18"/>
        <v>0</v>
      </c>
      <c r="CL862" s="333">
        <f t="shared" si="19"/>
        <v>0</v>
      </c>
      <c r="CM862" s="829"/>
      <c r="CN862" s="333"/>
      <c r="CO862" s="333"/>
      <c r="CP862" s="333"/>
    </row>
    <row r="863">
      <c r="B863" s="462" t="s">
        <v>1507</v>
      </c>
      <c r="C863" s="417">
        <v>44343.0</v>
      </c>
      <c r="D863" s="318"/>
      <c r="E863" s="319"/>
      <c r="F863" s="324" t="s">
        <v>1510</v>
      </c>
      <c r="G863" s="321">
        <v>0.7232638888888889</v>
      </c>
      <c r="H863" s="323"/>
      <c r="I863" s="323"/>
      <c r="J863" s="323"/>
      <c r="K863" s="323">
        <v>0.7236111111111111</v>
      </c>
      <c r="L863" s="323">
        <v>3.4722222222222224E-4</v>
      </c>
      <c r="M863" s="319" t="s">
        <v>166</v>
      </c>
      <c r="N863" s="324" t="s">
        <v>188</v>
      </c>
      <c r="O863" s="419"/>
      <c r="P863" s="319" t="s">
        <v>231</v>
      </c>
      <c r="Q863" s="318"/>
      <c r="R863" s="833"/>
      <c r="S863" s="319"/>
      <c r="T863" s="324"/>
      <c r="U863" s="834"/>
      <c r="V863" s="834"/>
      <c r="W863" s="834"/>
      <c r="X863" s="834"/>
      <c r="Y863" s="834"/>
      <c r="Z863" s="319" t="s">
        <v>323</v>
      </c>
      <c r="AA863" s="319"/>
      <c r="AB863" s="319" t="s">
        <v>323</v>
      </c>
      <c r="AC863" s="327" t="s">
        <v>323</v>
      </c>
      <c r="AD863" s="319"/>
      <c r="AE863" s="319"/>
      <c r="AF863" s="319"/>
      <c r="AG863" s="319"/>
      <c r="AH863" s="319"/>
      <c r="AI863" s="319"/>
      <c r="AJ863" s="327"/>
      <c r="AK863" s="328"/>
      <c r="AL863" s="319"/>
      <c r="AM863" s="319"/>
      <c r="AN863" s="319"/>
      <c r="AO863" s="319"/>
      <c r="AP863" s="319"/>
      <c r="AQ863" s="319"/>
      <c r="AR863" s="319"/>
      <c r="AS863" s="327"/>
      <c r="AT863" s="344"/>
      <c r="AU863" s="332"/>
      <c r="AV863" s="330">
        <f>SQRT(($R863-Infrastructure!J$3)^2+($S863-Infrastructure!K$3)^2)</f>
        <v>28.90155705</v>
      </c>
      <c r="AW863" s="331">
        <f>SQRT(($R863-Infrastructure!J$4)^2+($S863-Infrastructure!K$4)^2)</f>
        <v>17.80252791</v>
      </c>
      <c r="AX863" s="331">
        <f>SQRT(($R863-Infrastructure!J$5)^2+($S863-Infrastructure!K$5)^2)</f>
        <v>5.10881591</v>
      </c>
      <c r="AY863" s="331">
        <f>SQRT(($R863-Infrastructure!J$6)^2+($S863-Infrastructure!K$6)^2)</f>
        <v>10.10445446</v>
      </c>
      <c r="AZ863" s="331">
        <f>SQRT(($R863-Infrastructure!J$7)^2+($S863-Infrastructure!K$7)^2)</f>
        <v>20.502195</v>
      </c>
      <c r="BA863" s="331">
        <f>SQRT(($R863-Infrastructure!J$8)^2+($S863-Infrastructure!K$8)^2)</f>
        <v>30.10149498</v>
      </c>
      <c r="BB863" s="331">
        <f>SQRT(($R863-Infrastructure!J$9)^2+($S863-Infrastructure!K$9)^2)</f>
        <v>40.3238143</v>
      </c>
      <c r="BC863" s="331">
        <f>SQRT(($R863-Infrastructure!J$10)^2+($S863-Infrastructure!K$10)^2)</f>
        <v>42.72001873</v>
      </c>
      <c r="BD863" s="318"/>
      <c r="BE863" s="332"/>
      <c r="BF863" s="330">
        <f t="shared" si="14"/>
        <v>5.10881591</v>
      </c>
      <c r="BG863" s="333">
        <f t="shared" si="15"/>
        <v>42.72001873</v>
      </c>
      <c r="BH863" s="334"/>
      <c r="BI863" s="316" t="s">
        <v>845</v>
      </c>
      <c r="BJ863" s="318" t="s">
        <v>846</v>
      </c>
      <c r="BK863" s="318"/>
      <c r="BL863" s="318" t="s">
        <v>845</v>
      </c>
      <c r="BM863" s="318" t="s">
        <v>846</v>
      </c>
      <c r="BN863" s="318" t="s">
        <v>845</v>
      </c>
      <c r="BO863" s="318" t="s">
        <v>845</v>
      </c>
      <c r="BP863" s="318"/>
      <c r="BQ863" s="338" t="s">
        <v>845</v>
      </c>
      <c r="BR863" s="420" t="s">
        <v>845</v>
      </c>
      <c r="BS863" s="330"/>
      <c r="BT863" s="331"/>
      <c r="BU863" s="827"/>
      <c r="BV863" s="333"/>
      <c r="BW863" s="330"/>
      <c r="BX863" s="331"/>
      <c r="BY863" s="331"/>
      <c r="BZ863" s="340"/>
      <c r="CA863" s="462" t="s">
        <v>845</v>
      </c>
      <c r="CB863" s="319" t="s">
        <v>845</v>
      </c>
      <c r="CC863" s="318"/>
      <c r="CD863" s="319" t="s">
        <v>845</v>
      </c>
      <c r="CE863" s="319" t="s">
        <v>845</v>
      </c>
      <c r="CF863" s="319" t="s">
        <v>845</v>
      </c>
      <c r="CG863" s="319" t="s">
        <v>845</v>
      </c>
      <c r="CH863" s="318"/>
      <c r="CI863" s="788" t="s">
        <v>845</v>
      </c>
      <c r="CJ863" s="821" t="s">
        <v>845</v>
      </c>
      <c r="CK863" s="342">
        <f t="shared" si="18"/>
        <v>0</v>
      </c>
      <c r="CL863" s="333">
        <f t="shared" si="19"/>
        <v>0</v>
      </c>
      <c r="CM863" s="829"/>
      <c r="CN863" s="333"/>
      <c r="CO863" s="333"/>
      <c r="CP863" s="333"/>
    </row>
    <row r="864">
      <c r="A864" s="634"/>
      <c r="B864" s="635" t="s">
        <v>1507</v>
      </c>
      <c r="C864" s="769">
        <v>44343.0</v>
      </c>
      <c r="D864" s="640"/>
      <c r="E864" s="663"/>
      <c r="F864" s="637" t="s">
        <v>1510</v>
      </c>
      <c r="G864" s="770">
        <v>0.7253472222222223</v>
      </c>
      <c r="H864" s="771"/>
      <c r="I864" s="771"/>
      <c r="J864" s="771"/>
      <c r="K864" s="771">
        <v>0.7270833333333333</v>
      </c>
      <c r="L864" s="771">
        <v>0.001736111111111111</v>
      </c>
      <c r="M864" s="663" t="s">
        <v>358</v>
      </c>
      <c r="N864" s="637" t="s">
        <v>188</v>
      </c>
      <c r="O864" s="731"/>
      <c r="P864" s="663" t="s">
        <v>231</v>
      </c>
      <c r="Q864" s="640"/>
      <c r="R864" s="837"/>
      <c r="S864" s="663"/>
      <c r="T864" s="637"/>
      <c r="U864" s="838"/>
      <c r="V864" s="838"/>
      <c r="W864" s="838"/>
      <c r="X864" s="838"/>
      <c r="Y864" s="838"/>
      <c r="Z864" s="663" t="s">
        <v>323</v>
      </c>
      <c r="AA864" s="663"/>
      <c r="AB864" s="663" t="s">
        <v>323</v>
      </c>
      <c r="AC864" s="773" t="s">
        <v>323</v>
      </c>
      <c r="AD864" s="663"/>
      <c r="AE864" s="663"/>
      <c r="AF864" s="663"/>
      <c r="AG864" s="663"/>
      <c r="AH864" s="663"/>
      <c r="AI864" s="663"/>
      <c r="AJ864" s="773"/>
      <c r="AK864" s="839"/>
      <c r="AL864" s="663"/>
      <c r="AM864" s="663"/>
      <c r="AN864" s="663"/>
      <c r="AO864" s="663"/>
      <c r="AP864" s="663"/>
      <c r="AQ864" s="663"/>
      <c r="AR864" s="663"/>
      <c r="AS864" s="773"/>
      <c r="AT864" s="787"/>
      <c r="AU864" s="739"/>
      <c r="AV864" s="662">
        <f>SQRT(($R864-Infrastructure!J$3)^2+($S864-Infrastructure!K$3)^2)</f>
        <v>28.90155705</v>
      </c>
      <c r="AW864" s="641">
        <f>SQRT(($R864-Infrastructure!J$4)^2+($S864-Infrastructure!K$4)^2)</f>
        <v>17.80252791</v>
      </c>
      <c r="AX864" s="641">
        <f>SQRT(($R864-Infrastructure!J$5)^2+($S864-Infrastructure!K$5)^2)</f>
        <v>5.10881591</v>
      </c>
      <c r="AY864" s="641">
        <f>SQRT(($R864-Infrastructure!J$6)^2+($S864-Infrastructure!K$6)^2)</f>
        <v>10.10445446</v>
      </c>
      <c r="AZ864" s="641">
        <f>SQRT(($R864-Infrastructure!J$7)^2+($S864-Infrastructure!K$7)^2)</f>
        <v>20.502195</v>
      </c>
      <c r="BA864" s="641">
        <f>SQRT(($R864-Infrastructure!J$8)^2+($S864-Infrastructure!K$8)^2)</f>
        <v>30.10149498</v>
      </c>
      <c r="BB864" s="641">
        <f>SQRT(($R864-Infrastructure!J$9)^2+($S864-Infrastructure!K$9)^2)</f>
        <v>40.3238143</v>
      </c>
      <c r="BC864" s="641">
        <f>SQRT(($R864-Infrastructure!J$10)^2+($S864-Infrastructure!K$10)^2)</f>
        <v>42.72001873</v>
      </c>
      <c r="BD864" s="640"/>
      <c r="BE864" s="739"/>
      <c r="BF864" s="330">
        <f t="shared" si="14"/>
        <v>5.10881591</v>
      </c>
      <c r="BG864" s="333">
        <f t="shared" si="15"/>
        <v>42.72001873</v>
      </c>
      <c r="BH864" s="774"/>
      <c r="BI864" s="639" t="s">
        <v>845</v>
      </c>
      <c r="BJ864" s="640" t="s">
        <v>845</v>
      </c>
      <c r="BK864" s="640"/>
      <c r="BL864" s="640" t="s">
        <v>845</v>
      </c>
      <c r="BM864" s="640" t="s">
        <v>845</v>
      </c>
      <c r="BN864" s="640" t="s">
        <v>845</v>
      </c>
      <c r="BO864" s="640" t="s">
        <v>845</v>
      </c>
      <c r="BP864" s="640"/>
      <c r="BQ864" s="645" t="s">
        <v>845</v>
      </c>
      <c r="BR864" s="741" t="s">
        <v>845</v>
      </c>
      <c r="BS864" s="330"/>
      <c r="BT864" s="331"/>
      <c r="BU864" s="823"/>
      <c r="BV864" s="642"/>
      <c r="BW864" s="662"/>
      <c r="BX864" s="641"/>
      <c r="BY864" s="641"/>
      <c r="BZ864" s="742"/>
      <c r="CA864" s="635" t="s">
        <v>845</v>
      </c>
      <c r="CB864" s="663" t="s">
        <v>845</v>
      </c>
      <c r="CC864" s="640"/>
      <c r="CD864" s="663" t="s">
        <v>845</v>
      </c>
      <c r="CE864" s="663" t="s">
        <v>845</v>
      </c>
      <c r="CF864" s="663" t="s">
        <v>845</v>
      </c>
      <c r="CG864" s="663" t="s">
        <v>845</v>
      </c>
      <c r="CH864" s="640"/>
      <c r="CI864" s="790" t="s">
        <v>845</v>
      </c>
      <c r="CJ864" s="822" t="s">
        <v>845</v>
      </c>
      <c r="CK864" s="342">
        <f t="shared" si="18"/>
        <v>0</v>
      </c>
      <c r="CL864" s="333">
        <f t="shared" si="19"/>
        <v>0</v>
      </c>
      <c r="CM864" s="831"/>
      <c r="CN864" s="333"/>
      <c r="CO864" s="333"/>
      <c r="CP864" s="333"/>
    </row>
    <row r="865">
      <c r="A865" s="315" t="s">
        <v>42</v>
      </c>
      <c r="B865" s="462" t="s">
        <v>1511</v>
      </c>
      <c r="C865" s="417">
        <v>44347.0</v>
      </c>
      <c r="D865" s="318"/>
      <c r="E865" s="319">
        <v>1.0</v>
      </c>
      <c r="F865" s="324" t="s">
        <v>1512</v>
      </c>
      <c r="G865" s="321">
        <v>0.6032986111111112</v>
      </c>
      <c r="H865" s="323">
        <v>0.6043402777777778</v>
      </c>
      <c r="I865" s="323"/>
      <c r="J865" s="323"/>
      <c r="K865" s="323">
        <v>0.6460069444444444</v>
      </c>
      <c r="L865" s="323">
        <v>0.041666666666666664</v>
      </c>
      <c r="M865" s="319" t="s">
        <v>166</v>
      </c>
      <c r="N865" s="324" t="s">
        <v>187</v>
      </c>
      <c r="O865" s="419" t="s">
        <v>206</v>
      </c>
      <c r="P865" s="319" t="s">
        <v>223</v>
      </c>
      <c r="Q865" s="318"/>
      <c r="R865" s="326">
        <v>21.8</v>
      </c>
      <c r="S865" s="319">
        <v>7.4</v>
      </c>
      <c r="T865" s="324">
        <v>0.4</v>
      </c>
      <c r="U865" s="319">
        <v>0.3</v>
      </c>
      <c r="V865" s="319"/>
      <c r="W865" s="319"/>
      <c r="X865" s="319"/>
      <c r="Y865" s="319"/>
      <c r="Z865" s="319" t="s">
        <v>347</v>
      </c>
      <c r="AA865" s="319"/>
      <c r="AB865" s="319" t="s">
        <v>371</v>
      </c>
      <c r="AC865" s="327">
        <v>1.8</v>
      </c>
      <c r="AD865" s="319"/>
      <c r="AE865" s="319"/>
      <c r="AF865" s="319"/>
      <c r="AG865" s="319"/>
      <c r="AH865" s="319"/>
      <c r="AI865" s="319"/>
      <c r="AJ865" s="327"/>
      <c r="AK865" s="328"/>
      <c r="AL865" s="319"/>
      <c r="AM865" s="319"/>
      <c r="AN865" s="319"/>
      <c r="AO865" s="319"/>
      <c r="AP865" s="319"/>
      <c r="AQ865" s="319"/>
      <c r="AR865" s="319"/>
      <c r="AS865" s="327"/>
      <c r="AT865" s="461" t="s">
        <v>181</v>
      </c>
      <c r="AU865" s="324" t="s">
        <v>845</v>
      </c>
      <c r="AV865" s="330">
        <f>SQRT(($R865-Infrastructure!J$3)^2+($S865-Infrastructure!K$3)^2)</f>
        <v>30.83277477</v>
      </c>
      <c r="AW865" s="331">
        <f>SQRT(($R865-Infrastructure!J$4)^2+($S865-Infrastructure!K$4)^2)</f>
        <v>24.4247825</v>
      </c>
      <c r="AX865" s="331">
        <f>SQRT(($R865-Infrastructure!J$5)^2+($S865-Infrastructure!K$5)^2)</f>
        <v>22.21936093</v>
      </c>
      <c r="AY865" s="331">
        <f>SQRT(($R865-Infrastructure!J$6)^2+($S865-Infrastructure!K$6)^2)</f>
        <v>13.68575902</v>
      </c>
      <c r="AZ865" s="331">
        <f>SQRT(($R865-Infrastructure!J$7)^2+($S865-Infrastructure!K$7)^2)</f>
        <v>7.218032973</v>
      </c>
      <c r="BA865" s="331">
        <f>SQRT(($R865-Infrastructure!J$8)^2+($S865-Infrastructure!K$8)^2)</f>
        <v>10.92245394</v>
      </c>
      <c r="BB865" s="331">
        <f>SQRT(($R865-Infrastructure!J$9)^2+($S865-Infrastructure!K$9)^2)</f>
        <v>18.34475402</v>
      </c>
      <c r="BC865" s="331">
        <f>SQRT(($R865-Infrastructure!J$10)^2+($S865-Infrastructure!K$10)^2)</f>
        <v>19.72308292</v>
      </c>
      <c r="BD865" s="318"/>
      <c r="BE865" s="332"/>
      <c r="BF865" s="330">
        <f t="shared" si="14"/>
        <v>7.218032973</v>
      </c>
      <c r="BG865" s="333">
        <f t="shared" si="15"/>
        <v>30.83277477</v>
      </c>
      <c r="BH865" s="334"/>
      <c r="BI865" s="316" t="s">
        <v>845</v>
      </c>
      <c r="BJ865" s="318" t="s">
        <v>846</v>
      </c>
      <c r="BK865" s="318"/>
      <c r="BL865" s="318" t="s">
        <v>845</v>
      </c>
      <c r="BM865" s="318" t="s">
        <v>846</v>
      </c>
      <c r="BN865" s="318" t="s">
        <v>845</v>
      </c>
      <c r="BO865" s="318" t="s">
        <v>845</v>
      </c>
      <c r="BP865" s="318"/>
      <c r="BQ865" s="338" t="s">
        <v>845</v>
      </c>
      <c r="BR865" s="420" t="s">
        <v>845</v>
      </c>
      <c r="BS865" s="330">
        <f t="shared" ref="BS865:BS869" si="51">MINIFS(AV865:BE865,BI865:BR865, "Y")</f>
        <v>7.218032973</v>
      </c>
      <c r="BT865" s="331">
        <f t="shared" ref="BT865:BT869" si="52">MAXIFS(AV865:BE865,BI865:BR865, "Y")</f>
        <v>24.4247825</v>
      </c>
      <c r="BU865" s="827">
        <v>0.6094675925925926</v>
      </c>
      <c r="BV865" s="333"/>
      <c r="BW865" s="330">
        <v>22.1</v>
      </c>
      <c r="BX865" s="331">
        <v>14.5</v>
      </c>
      <c r="BY865" s="331">
        <f t="shared" ref="BY865:BY869" si="53">IF(BW865&gt;0, SQRT((R865-BW865)^2+(S865-BX865)^2))</f>
        <v>7.106335202</v>
      </c>
      <c r="BZ865" s="340"/>
      <c r="CA865" s="462" t="s">
        <v>845</v>
      </c>
      <c r="CB865" s="319" t="s">
        <v>845</v>
      </c>
      <c r="CC865" s="318"/>
      <c r="CD865" s="319" t="s">
        <v>845</v>
      </c>
      <c r="CE865" s="319" t="s">
        <v>845</v>
      </c>
      <c r="CF865" s="319" t="s">
        <v>845</v>
      </c>
      <c r="CG865" s="319" t="s">
        <v>845</v>
      </c>
      <c r="CH865" s="318"/>
      <c r="CI865" s="788" t="s">
        <v>845</v>
      </c>
      <c r="CJ865" s="821" t="s">
        <v>845</v>
      </c>
      <c r="CK865" s="342">
        <f t="shared" si="18"/>
        <v>0</v>
      </c>
      <c r="CL865" s="333">
        <f t="shared" si="19"/>
        <v>0</v>
      </c>
      <c r="CM865" s="829"/>
      <c r="CN865" s="333"/>
      <c r="CO865" s="333"/>
      <c r="CP865" s="333"/>
    </row>
    <row r="866">
      <c r="B866" s="462" t="s">
        <v>1511</v>
      </c>
      <c r="C866" s="417">
        <v>44348.0</v>
      </c>
      <c r="D866" s="318"/>
      <c r="E866" s="319"/>
      <c r="F866" s="324" t="s">
        <v>1513</v>
      </c>
      <c r="G866" s="321">
        <v>0.6513888888888889</v>
      </c>
      <c r="H866" s="323"/>
      <c r="I866" s="323"/>
      <c r="J866" s="323"/>
      <c r="K866" s="323">
        <v>0.6517361111111111</v>
      </c>
      <c r="L866" s="323">
        <v>3.4722222222222224E-4</v>
      </c>
      <c r="M866" s="319" t="s">
        <v>166</v>
      </c>
      <c r="N866" s="324" t="s">
        <v>188</v>
      </c>
      <c r="O866" s="419"/>
      <c r="P866" s="319" t="s">
        <v>231</v>
      </c>
      <c r="Q866" s="318"/>
      <c r="R866" s="833"/>
      <c r="S866" s="319"/>
      <c r="T866" s="324"/>
      <c r="U866" s="834"/>
      <c r="V866" s="834"/>
      <c r="W866" s="834"/>
      <c r="X866" s="834"/>
      <c r="Y866" s="834"/>
      <c r="Z866" s="319" t="s">
        <v>323</v>
      </c>
      <c r="AA866" s="319"/>
      <c r="AB866" s="319" t="s">
        <v>323</v>
      </c>
      <c r="AC866" s="327" t="s">
        <v>323</v>
      </c>
      <c r="AD866" s="319"/>
      <c r="AE866" s="319"/>
      <c r="AF866" s="319"/>
      <c r="AG866" s="319"/>
      <c r="AH866" s="319"/>
      <c r="AI866" s="319"/>
      <c r="AJ866" s="327"/>
      <c r="AK866" s="328"/>
      <c r="AL866" s="319"/>
      <c r="AM866" s="319"/>
      <c r="AN866" s="319"/>
      <c r="AO866" s="319"/>
      <c r="AP866" s="319"/>
      <c r="AQ866" s="319"/>
      <c r="AR866" s="319"/>
      <c r="AS866" s="327"/>
      <c r="AT866" s="344"/>
      <c r="AU866" s="332"/>
      <c r="AV866" s="330">
        <f>SQRT(($R866-Infrastructure!J$3)^2+($S866-Infrastructure!K$3)^2)</f>
        <v>28.90155705</v>
      </c>
      <c r="AW866" s="331">
        <f>SQRT(($R866-Infrastructure!J$4)^2+($S866-Infrastructure!K$4)^2)</f>
        <v>17.80252791</v>
      </c>
      <c r="AX866" s="331">
        <f>SQRT(($R866-Infrastructure!J$5)^2+($S866-Infrastructure!K$5)^2)</f>
        <v>5.10881591</v>
      </c>
      <c r="AY866" s="331">
        <f>SQRT(($R866-Infrastructure!J$6)^2+($S866-Infrastructure!K$6)^2)</f>
        <v>10.10445446</v>
      </c>
      <c r="AZ866" s="331">
        <f>SQRT(($R866-Infrastructure!J$7)^2+($S866-Infrastructure!K$7)^2)</f>
        <v>20.502195</v>
      </c>
      <c r="BA866" s="331">
        <f>SQRT(($R866-Infrastructure!J$8)^2+($S866-Infrastructure!K$8)^2)</f>
        <v>30.10149498</v>
      </c>
      <c r="BB866" s="331">
        <f>SQRT(($R866-Infrastructure!J$9)^2+($S866-Infrastructure!K$9)^2)</f>
        <v>40.3238143</v>
      </c>
      <c r="BC866" s="331">
        <f>SQRT(($R866-Infrastructure!J$10)^2+($S866-Infrastructure!K$10)^2)</f>
        <v>42.72001873</v>
      </c>
      <c r="BD866" s="318"/>
      <c r="BE866" s="332"/>
      <c r="BF866" s="330">
        <f t="shared" si="14"/>
        <v>5.10881591</v>
      </c>
      <c r="BG866" s="333">
        <f t="shared" si="15"/>
        <v>42.72001873</v>
      </c>
      <c r="BH866" s="334"/>
      <c r="BI866" s="316" t="s">
        <v>846</v>
      </c>
      <c r="BJ866" s="318" t="s">
        <v>846</v>
      </c>
      <c r="BK866" s="318"/>
      <c r="BL866" s="318" t="s">
        <v>845</v>
      </c>
      <c r="BM866" s="318" t="s">
        <v>846</v>
      </c>
      <c r="BN866" s="318" t="s">
        <v>845</v>
      </c>
      <c r="BO866" s="318" t="s">
        <v>845</v>
      </c>
      <c r="BP866" s="318"/>
      <c r="BQ866" s="338" t="s">
        <v>846</v>
      </c>
      <c r="BR866" s="420" t="s">
        <v>845</v>
      </c>
      <c r="BS866" s="330">
        <f t="shared" si="51"/>
        <v>17.80252791</v>
      </c>
      <c r="BT866" s="331">
        <f t="shared" si="52"/>
        <v>28.90155705</v>
      </c>
      <c r="BU866" s="827">
        <v>0.6515972222222223</v>
      </c>
      <c r="BV866" s="333"/>
      <c r="BW866" s="330">
        <v>17.3</v>
      </c>
      <c r="BX866" s="331">
        <v>11.2999999999999</v>
      </c>
      <c r="BY866" s="331">
        <f t="shared" si="53"/>
        <v>20.66349438</v>
      </c>
      <c r="BZ866" s="340"/>
      <c r="CA866" s="462" t="s">
        <v>845</v>
      </c>
      <c r="CB866" s="319" t="s">
        <v>845</v>
      </c>
      <c r="CC866" s="318"/>
      <c r="CD866" s="319" t="s">
        <v>845</v>
      </c>
      <c r="CE866" s="319" t="s">
        <v>845</v>
      </c>
      <c r="CF866" s="319" t="s">
        <v>845</v>
      </c>
      <c r="CG866" s="319" t="s">
        <v>845</v>
      </c>
      <c r="CH866" s="318"/>
      <c r="CI866" s="788" t="s">
        <v>845</v>
      </c>
      <c r="CJ866" s="821" t="s">
        <v>845</v>
      </c>
      <c r="CK866" s="342">
        <f t="shared" si="18"/>
        <v>0</v>
      </c>
      <c r="CL866" s="333">
        <f t="shared" si="19"/>
        <v>0</v>
      </c>
      <c r="CM866" s="829"/>
      <c r="CN866" s="333"/>
      <c r="CO866" s="333"/>
      <c r="CP866" s="333"/>
    </row>
    <row r="867">
      <c r="A867" s="634"/>
      <c r="B867" s="635" t="s">
        <v>1511</v>
      </c>
      <c r="C867" s="769">
        <v>44348.0</v>
      </c>
      <c r="D867" s="640"/>
      <c r="E867" s="663"/>
      <c r="F867" s="637" t="s">
        <v>1513</v>
      </c>
      <c r="G867" s="770">
        <v>0.6527777777777778</v>
      </c>
      <c r="H867" s="771"/>
      <c r="I867" s="771"/>
      <c r="J867" s="771"/>
      <c r="K867" s="771">
        <v>0.6546875</v>
      </c>
      <c r="L867" s="771">
        <v>0.0019097222222222222</v>
      </c>
      <c r="M867" s="663" t="s">
        <v>358</v>
      </c>
      <c r="N867" s="637" t="s">
        <v>188</v>
      </c>
      <c r="O867" s="731"/>
      <c r="P867" s="663" t="s">
        <v>231</v>
      </c>
      <c r="Q867" s="640"/>
      <c r="R867" s="837"/>
      <c r="S867" s="663"/>
      <c r="T867" s="637"/>
      <c r="U867" s="838"/>
      <c r="V867" s="838"/>
      <c r="W867" s="838"/>
      <c r="X867" s="838"/>
      <c r="Y867" s="838"/>
      <c r="Z867" s="663" t="s">
        <v>323</v>
      </c>
      <c r="AA867" s="663"/>
      <c r="AB867" s="663" t="s">
        <v>323</v>
      </c>
      <c r="AC867" s="773" t="s">
        <v>323</v>
      </c>
      <c r="AD867" s="319"/>
      <c r="AE867" s="319"/>
      <c r="AF867" s="319"/>
      <c r="AG867" s="319"/>
      <c r="AH867" s="319"/>
      <c r="AI867" s="319"/>
      <c r="AJ867" s="327"/>
      <c r="AK867" s="328"/>
      <c r="AL867" s="319"/>
      <c r="AM867" s="319"/>
      <c r="AN867" s="319"/>
      <c r="AO867" s="319"/>
      <c r="AP867" s="319"/>
      <c r="AQ867" s="319"/>
      <c r="AR867" s="319"/>
      <c r="AS867" s="327"/>
      <c r="AT867" s="344"/>
      <c r="AU867" s="332"/>
      <c r="AV867" s="330">
        <f>SQRT(($R867-Infrastructure!J$3)^2+($S867-Infrastructure!K$3)^2)</f>
        <v>28.90155705</v>
      </c>
      <c r="AW867" s="331">
        <f>SQRT(($R867-Infrastructure!J$4)^2+($S867-Infrastructure!K$4)^2)</f>
        <v>17.80252791</v>
      </c>
      <c r="AX867" s="331">
        <f>SQRT(($R867-Infrastructure!J$5)^2+($S867-Infrastructure!K$5)^2)</f>
        <v>5.10881591</v>
      </c>
      <c r="AY867" s="331">
        <f>SQRT(($R867-Infrastructure!J$6)^2+($S867-Infrastructure!K$6)^2)</f>
        <v>10.10445446</v>
      </c>
      <c r="AZ867" s="331">
        <f>SQRT(($R867-Infrastructure!J$7)^2+($S867-Infrastructure!K$7)^2)</f>
        <v>20.502195</v>
      </c>
      <c r="BA867" s="331">
        <f>SQRT(($R867-Infrastructure!J$8)^2+($S867-Infrastructure!K$8)^2)</f>
        <v>30.10149498</v>
      </c>
      <c r="BB867" s="331">
        <f>SQRT(($R867-Infrastructure!J$9)^2+($S867-Infrastructure!K$9)^2)</f>
        <v>40.3238143</v>
      </c>
      <c r="BC867" s="331">
        <f>SQRT(($R867-Infrastructure!J$10)^2+($S867-Infrastructure!K$10)^2)</f>
        <v>42.72001873</v>
      </c>
      <c r="BD867" s="318"/>
      <c r="BE867" s="332"/>
      <c r="BF867" s="330">
        <f t="shared" si="14"/>
        <v>5.10881591</v>
      </c>
      <c r="BG867" s="333">
        <f t="shared" si="15"/>
        <v>42.72001873</v>
      </c>
      <c r="BH867" s="334"/>
      <c r="BI867" s="316" t="s">
        <v>845</v>
      </c>
      <c r="BJ867" s="318" t="s">
        <v>846</v>
      </c>
      <c r="BK867" s="318"/>
      <c r="BL867" s="318" t="s">
        <v>846</v>
      </c>
      <c r="BM867" s="318" t="s">
        <v>845</v>
      </c>
      <c r="BN867" s="318" t="s">
        <v>845</v>
      </c>
      <c r="BO867" s="318" t="s">
        <v>845</v>
      </c>
      <c r="BP867" s="318"/>
      <c r="BQ867" s="338" t="s">
        <v>845</v>
      </c>
      <c r="BR867" s="420" t="s">
        <v>845</v>
      </c>
      <c r="BS867" s="330">
        <f t="shared" si="51"/>
        <v>10.10445446</v>
      </c>
      <c r="BT867" s="331">
        <f t="shared" si="52"/>
        <v>17.80252791</v>
      </c>
      <c r="BU867" s="827">
        <v>0.6531134259259259</v>
      </c>
      <c r="BV867" s="333"/>
      <c r="BW867" s="330"/>
      <c r="BX867" s="331"/>
      <c r="BY867" s="331" t="b">
        <f t="shared" si="53"/>
        <v>0</v>
      </c>
      <c r="BZ867" s="340"/>
      <c r="CA867" s="462" t="s">
        <v>845</v>
      </c>
      <c r="CB867" s="319" t="s">
        <v>845</v>
      </c>
      <c r="CC867" s="318"/>
      <c r="CD867" s="319" t="s">
        <v>845</v>
      </c>
      <c r="CE867" s="319" t="s">
        <v>845</v>
      </c>
      <c r="CF867" s="319" t="s">
        <v>845</v>
      </c>
      <c r="CG867" s="319" t="s">
        <v>845</v>
      </c>
      <c r="CH867" s="318"/>
      <c r="CI867" s="788" t="s">
        <v>845</v>
      </c>
      <c r="CJ867" s="821" t="s">
        <v>845</v>
      </c>
      <c r="CK867" s="342">
        <f t="shared" si="18"/>
        <v>0</v>
      </c>
      <c r="CL867" s="333">
        <f t="shared" si="19"/>
        <v>0</v>
      </c>
      <c r="CM867" s="829"/>
      <c r="CN867" s="333"/>
      <c r="CO867" s="333"/>
      <c r="CP867" s="333"/>
    </row>
    <row r="868">
      <c r="A868" s="389" t="s">
        <v>42</v>
      </c>
      <c r="B868" s="573" t="s">
        <v>1511</v>
      </c>
      <c r="C868" s="391">
        <v>44349.0</v>
      </c>
      <c r="D868" s="392"/>
      <c r="E868" s="393">
        <v>1.0</v>
      </c>
      <c r="F868" s="394" t="s">
        <v>1514</v>
      </c>
      <c r="G868" s="395">
        <v>0.5699652777777777</v>
      </c>
      <c r="H868" s="456">
        <v>0.5711805555555556</v>
      </c>
      <c r="I868" s="456"/>
      <c r="J868" s="456"/>
      <c r="K868" s="456">
        <v>0.6128472222222222</v>
      </c>
      <c r="L868" s="456">
        <v>0.041666666666666664</v>
      </c>
      <c r="M868" s="393" t="s">
        <v>166</v>
      </c>
      <c r="N868" s="394" t="s">
        <v>187</v>
      </c>
      <c r="O868" s="399" t="s">
        <v>204</v>
      </c>
      <c r="P868" s="393" t="s">
        <v>214</v>
      </c>
      <c r="Q868" s="392"/>
      <c r="R868" s="400">
        <v>18.8</v>
      </c>
      <c r="S868" s="393">
        <v>4.0</v>
      </c>
      <c r="T868" s="394">
        <v>2.5</v>
      </c>
      <c r="U868" s="393">
        <v>0.8</v>
      </c>
      <c r="V868" s="393"/>
      <c r="W868" s="393"/>
      <c r="X868" s="393"/>
      <c r="Y868" s="393"/>
      <c r="Z868" s="393" t="s">
        <v>365</v>
      </c>
      <c r="AA868" s="393"/>
      <c r="AB868" s="393" t="s">
        <v>384</v>
      </c>
      <c r="AC868" s="401">
        <v>6.0</v>
      </c>
      <c r="AD868" s="393"/>
      <c r="AE868" s="393"/>
      <c r="AF868" s="393"/>
      <c r="AG868" s="393"/>
      <c r="AH868" s="393"/>
      <c r="AI868" s="393"/>
      <c r="AJ868" s="401"/>
      <c r="AK868" s="402"/>
      <c r="AL868" s="393"/>
      <c r="AM868" s="393"/>
      <c r="AN868" s="393"/>
      <c r="AO868" s="393"/>
      <c r="AP868" s="393"/>
      <c r="AQ868" s="393"/>
      <c r="AR868" s="393"/>
      <c r="AS868" s="401"/>
      <c r="AT868" s="460" t="s">
        <v>181</v>
      </c>
      <c r="AU868" s="394" t="s">
        <v>845</v>
      </c>
      <c r="AV868" s="405">
        <f>SQRT(($R868-Infrastructure!J$3)^2+($S868-Infrastructure!K$3)^2)</f>
        <v>31.38184188</v>
      </c>
      <c r="AW868" s="406">
        <f>SQRT(($R868-Infrastructure!J$4)^2+($S868-Infrastructure!K$4)^2)</f>
        <v>23.56374334</v>
      </c>
      <c r="AX868" s="406">
        <f>SQRT(($R868-Infrastructure!J$5)^2+($S868-Infrastructure!K$5)^2)</f>
        <v>19.13164917</v>
      </c>
      <c r="AY868" s="406">
        <f>SQRT(($R868-Infrastructure!J$6)^2+($S868-Infrastructure!K$6)^2)</f>
        <v>9.45409964</v>
      </c>
      <c r="AZ868" s="406">
        <f>SQRT(($R868-Infrastructure!J$7)^2+($S868-Infrastructure!K$7)^2)</f>
        <v>4.071854614</v>
      </c>
      <c r="BA868" s="406">
        <f>SQRT(($R868-Infrastructure!J$8)^2+($S868-Infrastructure!K$8)^2)</f>
        <v>11.89033221</v>
      </c>
      <c r="BB868" s="406">
        <f>SQRT(($R868-Infrastructure!J$9)^2+($S868-Infrastructure!K$9)^2)</f>
        <v>21.22851855</v>
      </c>
      <c r="BC868" s="406">
        <f>SQRT(($R868-Infrastructure!J$10)^2+($S868-Infrastructure!K$10)^2)</f>
        <v>23.88388578</v>
      </c>
      <c r="BD868" s="392"/>
      <c r="BE868" s="407"/>
      <c r="BF868" s="330">
        <f t="shared" si="14"/>
        <v>4.071854614</v>
      </c>
      <c r="BG868" s="333">
        <f t="shared" si="15"/>
        <v>31.38184188</v>
      </c>
      <c r="BH868" s="409"/>
      <c r="BI868" s="390" t="s">
        <v>845</v>
      </c>
      <c r="BJ868" s="392" t="s">
        <v>846</v>
      </c>
      <c r="BK868" s="392"/>
      <c r="BL868" s="392" t="s">
        <v>845</v>
      </c>
      <c r="BM868" s="392" t="s">
        <v>845</v>
      </c>
      <c r="BN868" s="392" t="s">
        <v>845</v>
      </c>
      <c r="BO868" s="392" t="s">
        <v>845</v>
      </c>
      <c r="BP868" s="392"/>
      <c r="BQ868" s="410" t="s">
        <v>846</v>
      </c>
      <c r="BR868" s="411" t="s">
        <v>845</v>
      </c>
      <c r="BS868" s="330">
        <f t="shared" si="51"/>
        <v>23.56374334</v>
      </c>
      <c r="BT868" s="331">
        <f t="shared" si="52"/>
        <v>23.56374334</v>
      </c>
      <c r="BU868" s="827">
        <v>0.574224537037037</v>
      </c>
      <c r="BV868" s="408"/>
      <c r="BW868" s="405">
        <v>0.0</v>
      </c>
      <c r="BX868" s="406">
        <v>16.2</v>
      </c>
      <c r="BY868" s="406" t="b">
        <f t="shared" si="53"/>
        <v>0</v>
      </c>
      <c r="BZ868" s="412"/>
      <c r="CA868" s="573" t="s">
        <v>845</v>
      </c>
      <c r="CB868" s="393" t="s">
        <v>845</v>
      </c>
      <c r="CC868" s="392"/>
      <c r="CD868" s="393" t="s">
        <v>845</v>
      </c>
      <c r="CE868" s="393" t="s">
        <v>845</v>
      </c>
      <c r="CF868" s="393" t="s">
        <v>845</v>
      </c>
      <c r="CG868" s="393" t="s">
        <v>845</v>
      </c>
      <c r="CH868" s="392"/>
      <c r="CI868" s="792" t="s">
        <v>845</v>
      </c>
      <c r="CJ868" s="820" t="s">
        <v>845</v>
      </c>
      <c r="CK868" s="342">
        <f t="shared" si="18"/>
        <v>0</v>
      </c>
      <c r="CL868" s="333">
        <f t="shared" si="19"/>
        <v>0</v>
      </c>
      <c r="CM868" s="832"/>
      <c r="CN868" s="333"/>
      <c r="CO868" s="333"/>
      <c r="CP868" s="333"/>
    </row>
    <row r="869">
      <c r="B869" s="462" t="s">
        <v>1511</v>
      </c>
      <c r="C869" s="417">
        <v>44349.0</v>
      </c>
      <c r="D869" s="318"/>
      <c r="E869" s="319">
        <v>2.0</v>
      </c>
      <c r="F869" s="324" t="s">
        <v>1515</v>
      </c>
      <c r="G869" s="321">
        <v>0.6513888888888889</v>
      </c>
      <c r="H869" s="323">
        <v>0.653125</v>
      </c>
      <c r="I869" s="323"/>
      <c r="J869" s="323"/>
      <c r="K869" s="323">
        <v>0.6947916666666667</v>
      </c>
      <c r="L869" s="323">
        <v>0.041666666666666664</v>
      </c>
      <c r="M869" s="319" t="s">
        <v>166</v>
      </c>
      <c r="N869" s="324" t="s">
        <v>187</v>
      </c>
      <c r="O869" s="419" t="s">
        <v>198</v>
      </c>
      <c r="P869" s="319" t="s">
        <v>223</v>
      </c>
      <c r="Q869" s="318"/>
      <c r="R869" s="326">
        <v>10.0</v>
      </c>
      <c r="S869" s="319">
        <v>11.7</v>
      </c>
      <c r="T869" s="324">
        <v>0.5</v>
      </c>
      <c r="U869" s="319">
        <v>0.2</v>
      </c>
      <c r="V869" s="319"/>
      <c r="W869" s="319"/>
      <c r="X869" s="319"/>
      <c r="Y869" s="319"/>
      <c r="Z869" s="319" t="s">
        <v>335</v>
      </c>
      <c r="AA869" s="319"/>
      <c r="AB869" s="319" t="s">
        <v>371</v>
      </c>
      <c r="AC869" s="327">
        <v>1.8</v>
      </c>
      <c r="AD869" s="319"/>
      <c r="AE869" s="319"/>
      <c r="AF869" s="319"/>
      <c r="AG869" s="319"/>
      <c r="AH869" s="319"/>
      <c r="AI869" s="319"/>
      <c r="AJ869" s="327"/>
      <c r="AK869" s="328"/>
      <c r="AL869" s="319"/>
      <c r="AM869" s="319"/>
      <c r="AN869" s="319"/>
      <c r="AO869" s="319"/>
      <c r="AP869" s="319"/>
      <c r="AQ869" s="319"/>
      <c r="AR869" s="319"/>
      <c r="AS869" s="327"/>
      <c r="AT869" s="461" t="s">
        <v>181</v>
      </c>
      <c r="AU869" s="324" t="s">
        <v>845</v>
      </c>
      <c r="AV869" s="330">
        <f>SQRT(($R869-Infrastructure!J$3)^2+($S869-Infrastructure!K$3)^2)</f>
        <v>20.04819194</v>
      </c>
      <c r="AW869" s="331">
        <f>SQRT(($R869-Infrastructure!J$4)^2+($S869-Infrastructure!K$4)^2)</f>
        <v>11.9707978</v>
      </c>
      <c r="AX869" s="331">
        <f>SQRT(($R869-Infrastructure!J$5)^2+($S869-Infrastructure!K$5)^2)</f>
        <v>12.23315168</v>
      </c>
      <c r="AY869" s="331">
        <f>SQRT(($R869-Infrastructure!J$6)^2+($S869-Infrastructure!K$6)^2)</f>
        <v>11.40043859</v>
      </c>
      <c r="AZ869" s="331">
        <f>SQRT(($R869-Infrastructure!J$7)^2+($S869-Infrastructure!K$7)^2)</f>
        <v>15.49870962</v>
      </c>
      <c r="BA869" s="331">
        <f>SQRT(($R869-Infrastructure!J$8)^2+($S869-Infrastructure!K$8)^2)</f>
        <v>23.10779089</v>
      </c>
      <c r="BB869" s="331">
        <f>SQRT(($R869-Infrastructure!J$9)^2+($S869-Infrastructure!K$9)^2)</f>
        <v>30.71742177</v>
      </c>
      <c r="BC869" s="331">
        <f>SQRT(($R869-Infrastructure!J$10)^2+($S869-Infrastructure!K$10)^2)</f>
        <v>30.18095426</v>
      </c>
      <c r="BD869" s="318"/>
      <c r="BE869" s="332"/>
      <c r="BF869" s="330">
        <f t="shared" si="14"/>
        <v>11.40043859</v>
      </c>
      <c r="BG869" s="333">
        <f t="shared" si="15"/>
        <v>30.71742177</v>
      </c>
      <c r="BH869" s="334"/>
      <c r="BI869" s="316" t="s">
        <v>845</v>
      </c>
      <c r="BJ869" s="318" t="s">
        <v>846</v>
      </c>
      <c r="BK869" s="318"/>
      <c r="BL869" s="318" t="s">
        <v>845</v>
      </c>
      <c r="BM869" s="318" t="s">
        <v>845</v>
      </c>
      <c r="BN869" s="318" t="s">
        <v>845</v>
      </c>
      <c r="BO869" s="318" t="s">
        <v>845</v>
      </c>
      <c r="BP869" s="318"/>
      <c r="BQ869" s="338" t="s">
        <v>845</v>
      </c>
      <c r="BR869" s="420" t="s">
        <v>845</v>
      </c>
      <c r="BS869" s="330">
        <f t="shared" si="51"/>
        <v>11.9707978</v>
      </c>
      <c r="BT869" s="331">
        <f t="shared" si="52"/>
        <v>11.9707978</v>
      </c>
      <c r="BU869" s="827">
        <v>0.6540625</v>
      </c>
      <c r="BV869" s="333"/>
      <c r="BW869" s="330"/>
      <c r="BX869" s="331"/>
      <c r="BY869" s="331" t="b">
        <f t="shared" si="53"/>
        <v>0</v>
      </c>
      <c r="BZ869" s="340"/>
      <c r="CA869" s="462" t="s">
        <v>845</v>
      </c>
      <c r="CB869" s="319" t="s">
        <v>845</v>
      </c>
      <c r="CC869" s="318"/>
      <c r="CD869" s="319" t="s">
        <v>845</v>
      </c>
      <c r="CE869" s="319" t="s">
        <v>845</v>
      </c>
      <c r="CF869" s="319" t="s">
        <v>845</v>
      </c>
      <c r="CG869" s="319" t="s">
        <v>845</v>
      </c>
      <c r="CH869" s="318"/>
      <c r="CI869" s="788" t="s">
        <v>845</v>
      </c>
      <c r="CJ869" s="821" t="s">
        <v>845</v>
      </c>
      <c r="CK869" s="342">
        <f t="shared" si="18"/>
        <v>0</v>
      </c>
      <c r="CL869" s="333">
        <f t="shared" si="19"/>
        <v>0</v>
      </c>
      <c r="CM869" s="829"/>
      <c r="CN869" s="333"/>
      <c r="CO869" s="333"/>
      <c r="CP869" s="333"/>
    </row>
    <row r="870">
      <c r="B870" s="462" t="s">
        <v>1511</v>
      </c>
      <c r="C870" s="417">
        <v>44349.0</v>
      </c>
      <c r="D870" s="318"/>
      <c r="E870" s="319"/>
      <c r="F870" s="324" t="s">
        <v>1516</v>
      </c>
      <c r="G870" s="321">
        <v>0.6965277777777777</v>
      </c>
      <c r="H870" s="323"/>
      <c r="I870" s="323"/>
      <c r="J870" s="323"/>
      <c r="K870" s="323">
        <v>0.6972222222222222</v>
      </c>
      <c r="L870" s="323">
        <v>6.944444444444445E-4</v>
      </c>
      <c r="M870" s="319" t="s">
        <v>166</v>
      </c>
      <c r="N870" s="324" t="s">
        <v>188</v>
      </c>
      <c r="O870" s="419"/>
      <c r="P870" s="319" t="s">
        <v>231</v>
      </c>
      <c r="Q870" s="318"/>
      <c r="R870" s="833"/>
      <c r="S870" s="319"/>
      <c r="T870" s="324"/>
      <c r="U870" s="834"/>
      <c r="V870" s="834"/>
      <c r="W870" s="834"/>
      <c r="X870" s="834"/>
      <c r="Y870" s="834"/>
      <c r="Z870" s="319" t="s">
        <v>323</v>
      </c>
      <c r="AA870" s="319"/>
      <c r="AB870" s="319" t="s">
        <v>323</v>
      </c>
      <c r="AC870" s="327" t="s">
        <v>323</v>
      </c>
      <c r="AD870" s="319"/>
      <c r="AE870" s="319"/>
      <c r="AF870" s="319"/>
      <c r="AG870" s="319"/>
      <c r="AH870" s="319"/>
      <c r="AI870" s="319"/>
      <c r="AJ870" s="327"/>
      <c r="AK870" s="328"/>
      <c r="AL870" s="319"/>
      <c r="AM870" s="319"/>
      <c r="AN870" s="319"/>
      <c r="AO870" s="319"/>
      <c r="AP870" s="319"/>
      <c r="AQ870" s="319"/>
      <c r="AR870" s="319"/>
      <c r="AS870" s="327"/>
      <c r="AT870" s="344"/>
      <c r="AU870" s="332"/>
      <c r="AV870" s="330">
        <f>SQRT(($R870-Infrastructure!J$3)^2+($S870-Infrastructure!K$3)^2)</f>
        <v>28.90155705</v>
      </c>
      <c r="AW870" s="331">
        <f>SQRT(($R870-Infrastructure!J$4)^2+($S870-Infrastructure!K$4)^2)</f>
        <v>17.80252791</v>
      </c>
      <c r="AX870" s="331">
        <f>SQRT(($R870-Infrastructure!J$5)^2+($S870-Infrastructure!K$5)^2)</f>
        <v>5.10881591</v>
      </c>
      <c r="AY870" s="331">
        <f>SQRT(($R870-Infrastructure!J$6)^2+($S870-Infrastructure!K$6)^2)</f>
        <v>10.10445446</v>
      </c>
      <c r="AZ870" s="331">
        <f>SQRT(($R870-Infrastructure!J$7)^2+($S870-Infrastructure!K$7)^2)</f>
        <v>20.502195</v>
      </c>
      <c r="BA870" s="331">
        <f>SQRT(($R870-Infrastructure!J$8)^2+($S870-Infrastructure!K$8)^2)</f>
        <v>30.10149498</v>
      </c>
      <c r="BB870" s="331">
        <f>SQRT(($R870-Infrastructure!J$9)^2+($S870-Infrastructure!K$9)^2)</f>
        <v>40.3238143</v>
      </c>
      <c r="BC870" s="331">
        <f>SQRT(($R870-Infrastructure!J$10)^2+($S870-Infrastructure!K$10)^2)</f>
        <v>42.72001873</v>
      </c>
      <c r="BD870" s="318"/>
      <c r="BE870" s="332"/>
      <c r="BF870" s="330">
        <f t="shared" si="14"/>
        <v>5.10881591</v>
      </c>
      <c r="BG870" s="333">
        <f t="shared" si="15"/>
        <v>42.72001873</v>
      </c>
      <c r="BH870" s="334"/>
      <c r="BI870" s="316" t="s">
        <v>845</v>
      </c>
      <c r="BJ870" s="318" t="s">
        <v>846</v>
      </c>
      <c r="BK870" s="318"/>
      <c r="BL870" s="318" t="s">
        <v>845</v>
      </c>
      <c r="BM870" s="318" t="s">
        <v>845</v>
      </c>
      <c r="BN870" s="318" t="s">
        <v>845</v>
      </c>
      <c r="BO870" s="318" t="s">
        <v>845</v>
      </c>
      <c r="BP870" s="318"/>
      <c r="BQ870" s="338" t="s">
        <v>845</v>
      </c>
      <c r="BR870" s="420" t="s">
        <v>845</v>
      </c>
      <c r="BS870" s="330"/>
      <c r="BT870" s="331"/>
      <c r="BU870" s="827"/>
      <c r="BV870" s="333"/>
      <c r="BW870" s="330"/>
      <c r="BX870" s="331"/>
      <c r="BY870" s="331"/>
      <c r="BZ870" s="340"/>
      <c r="CA870" s="462" t="s">
        <v>845</v>
      </c>
      <c r="CB870" s="319" t="s">
        <v>845</v>
      </c>
      <c r="CC870" s="318"/>
      <c r="CD870" s="319" t="s">
        <v>845</v>
      </c>
      <c r="CE870" s="319" t="s">
        <v>845</v>
      </c>
      <c r="CF870" s="319" t="s">
        <v>845</v>
      </c>
      <c r="CG870" s="319" t="s">
        <v>845</v>
      </c>
      <c r="CH870" s="318"/>
      <c r="CI870" s="788" t="s">
        <v>845</v>
      </c>
      <c r="CJ870" s="821" t="s">
        <v>845</v>
      </c>
      <c r="CK870" s="342">
        <f t="shared" si="18"/>
        <v>0</v>
      </c>
      <c r="CL870" s="333">
        <f t="shared" si="19"/>
        <v>0</v>
      </c>
      <c r="CM870" s="829"/>
      <c r="CN870" s="333"/>
      <c r="CO870" s="333"/>
      <c r="CP870" s="333"/>
    </row>
    <row r="871">
      <c r="A871" s="634"/>
      <c r="B871" s="635" t="s">
        <v>1511</v>
      </c>
      <c r="C871" s="769">
        <v>44349.0</v>
      </c>
      <c r="D871" s="640"/>
      <c r="E871" s="663"/>
      <c r="F871" s="637" t="s">
        <v>1516</v>
      </c>
      <c r="G871" s="770">
        <v>0.6975694444444445</v>
      </c>
      <c r="H871" s="771"/>
      <c r="I871" s="771"/>
      <c r="J871" s="771"/>
      <c r="K871" s="771">
        <v>0.7</v>
      </c>
      <c r="L871" s="771">
        <v>0.0024305555555555556</v>
      </c>
      <c r="M871" s="663" t="s">
        <v>358</v>
      </c>
      <c r="N871" s="637" t="s">
        <v>188</v>
      </c>
      <c r="O871" s="731"/>
      <c r="P871" s="663" t="s">
        <v>231</v>
      </c>
      <c r="Q871" s="640"/>
      <c r="R871" s="837"/>
      <c r="S871" s="663"/>
      <c r="T871" s="637"/>
      <c r="U871" s="838"/>
      <c r="V871" s="838"/>
      <c r="W871" s="838"/>
      <c r="X871" s="838"/>
      <c r="Y871" s="838"/>
      <c r="Z871" s="663" t="s">
        <v>323</v>
      </c>
      <c r="AA871" s="663"/>
      <c r="AB871" s="663" t="s">
        <v>323</v>
      </c>
      <c r="AC871" s="773" t="s">
        <v>323</v>
      </c>
      <c r="AD871" s="663"/>
      <c r="AE871" s="663"/>
      <c r="AF871" s="663"/>
      <c r="AG871" s="663"/>
      <c r="AH871" s="663"/>
      <c r="AI871" s="663"/>
      <c r="AJ871" s="773"/>
      <c r="AK871" s="839"/>
      <c r="AL871" s="663"/>
      <c r="AM871" s="663"/>
      <c r="AN871" s="663"/>
      <c r="AO871" s="663"/>
      <c r="AP871" s="663"/>
      <c r="AQ871" s="663"/>
      <c r="AR871" s="663"/>
      <c r="AS871" s="773"/>
      <c r="AT871" s="787"/>
      <c r="AU871" s="739"/>
      <c r="AV871" s="662">
        <f>SQRT(($R871-Infrastructure!J$3)^2+($S871-Infrastructure!K$3)^2)</f>
        <v>28.90155705</v>
      </c>
      <c r="AW871" s="641">
        <f>SQRT(($R871-Infrastructure!J$4)^2+($S871-Infrastructure!K$4)^2)</f>
        <v>17.80252791</v>
      </c>
      <c r="AX871" s="641">
        <f>SQRT(($R871-Infrastructure!J$5)^2+($S871-Infrastructure!K$5)^2)</f>
        <v>5.10881591</v>
      </c>
      <c r="AY871" s="641">
        <f>SQRT(($R871-Infrastructure!J$6)^2+($S871-Infrastructure!K$6)^2)</f>
        <v>10.10445446</v>
      </c>
      <c r="AZ871" s="641">
        <f>SQRT(($R871-Infrastructure!J$7)^2+($S871-Infrastructure!K$7)^2)</f>
        <v>20.502195</v>
      </c>
      <c r="BA871" s="641">
        <f>SQRT(($R871-Infrastructure!J$8)^2+($S871-Infrastructure!K$8)^2)</f>
        <v>30.10149498</v>
      </c>
      <c r="BB871" s="641">
        <f>SQRT(($R871-Infrastructure!J$9)^2+($S871-Infrastructure!K$9)^2)</f>
        <v>40.3238143</v>
      </c>
      <c r="BC871" s="641">
        <f>SQRT(($R871-Infrastructure!J$10)^2+($S871-Infrastructure!K$10)^2)</f>
        <v>42.72001873</v>
      </c>
      <c r="BD871" s="640"/>
      <c r="BE871" s="739"/>
      <c r="BF871" s="330">
        <f t="shared" si="14"/>
        <v>5.10881591</v>
      </c>
      <c r="BG871" s="333">
        <f t="shared" si="15"/>
        <v>42.72001873</v>
      </c>
      <c r="BH871" s="774"/>
      <c r="BI871" s="639" t="s">
        <v>845</v>
      </c>
      <c r="BJ871" s="640" t="s">
        <v>846</v>
      </c>
      <c r="BK871" s="640"/>
      <c r="BL871" s="640" t="s">
        <v>846</v>
      </c>
      <c r="BM871" s="640" t="s">
        <v>845</v>
      </c>
      <c r="BN871" s="640" t="s">
        <v>845</v>
      </c>
      <c r="BO871" s="640" t="s">
        <v>845</v>
      </c>
      <c r="BP871" s="640"/>
      <c r="BQ871" s="645" t="s">
        <v>845</v>
      </c>
      <c r="BR871" s="741" t="s">
        <v>845</v>
      </c>
      <c r="BS871" s="330"/>
      <c r="BT871" s="331"/>
      <c r="BU871" s="827"/>
      <c r="BV871" s="642"/>
      <c r="BW871" s="662"/>
      <c r="BX871" s="641"/>
      <c r="BY871" s="641"/>
      <c r="BZ871" s="742"/>
      <c r="CA871" s="635" t="s">
        <v>845</v>
      </c>
      <c r="CB871" s="663" t="s">
        <v>845</v>
      </c>
      <c r="CC871" s="640"/>
      <c r="CD871" s="663" t="s">
        <v>845</v>
      </c>
      <c r="CE871" s="663" t="s">
        <v>845</v>
      </c>
      <c r="CF871" s="663" t="s">
        <v>845</v>
      </c>
      <c r="CG871" s="663" t="s">
        <v>845</v>
      </c>
      <c r="CH871" s="640"/>
      <c r="CI871" s="790" t="s">
        <v>845</v>
      </c>
      <c r="CJ871" s="822" t="s">
        <v>845</v>
      </c>
      <c r="CK871" s="342">
        <f t="shared" si="18"/>
        <v>0</v>
      </c>
      <c r="CL871" s="333">
        <f t="shared" si="19"/>
        <v>0</v>
      </c>
      <c r="CM871" s="831"/>
      <c r="CN871" s="333"/>
      <c r="CO871" s="333"/>
      <c r="CP871" s="333"/>
    </row>
    <row r="872">
      <c r="A872" s="840" t="s">
        <v>47</v>
      </c>
      <c r="B872" s="635" t="s">
        <v>1517</v>
      </c>
      <c r="C872" s="769">
        <v>44357.0</v>
      </c>
      <c r="D872" s="640"/>
      <c r="E872" s="663">
        <v>1.0</v>
      </c>
      <c r="F872" s="637" t="s">
        <v>1518</v>
      </c>
      <c r="G872" s="770">
        <v>0.5380208333333333</v>
      </c>
      <c r="H872" s="771">
        <v>0.538425925925926</v>
      </c>
      <c r="I872" s="771"/>
      <c r="J872" s="771"/>
      <c r="K872" s="771">
        <v>0.5444444444444444</v>
      </c>
      <c r="L872" s="771">
        <v>0.0060185185185185185</v>
      </c>
      <c r="M872" s="663" t="s">
        <v>166</v>
      </c>
      <c r="N872" s="637" t="s">
        <v>188</v>
      </c>
      <c r="O872" s="731" t="s">
        <v>196</v>
      </c>
      <c r="P872" s="663" t="s">
        <v>224</v>
      </c>
      <c r="Q872" s="663" t="s">
        <v>842</v>
      </c>
      <c r="R872" s="772">
        <v>21.4</v>
      </c>
      <c r="S872" s="663">
        <v>39.3</v>
      </c>
      <c r="T872" s="637">
        <v>1.6</v>
      </c>
      <c r="U872" s="663">
        <v>40.0</v>
      </c>
      <c r="V872" s="663"/>
      <c r="W872" s="663"/>
      <c r="X872" s="663"/>
      <c r="Y872" s="663"/>
      <c r="Z872" s="663" t="s">
        <v>387</v>
      </c>
      <c r="AA872" s="663"/>
      <c r="AB872" s="663" t="s">
        <v>416</v>
      </c>
      <c r="AC872" s="773">
        <v>52.5</v>
      </c>
      <c r="AD872" s="319"/>
      <c r="AE872" s="319"/>
      <c r="AF872" s="319"/>
      <c r="AG872" s="319"/>
      <c r="AH872" s="319"/>
      <c r="AI872" s="319"/>
      <c r="AJ872" s="327"/>
      <c r="AK872" s="328"/>
      <c r="AL872" s="319"/>
      <c r="AM872" s="319"/>
      <c r="AN872" s="319"/>
      <c r="AO872" s="319"/>
      <c r="AP872" s="319"/>
      <c r="AQ872" s="319"/>
      <c r="AR872" s="319"/>
      <c r="AS872" s="327"/>
      <c r="AT872" s="461" t="s">
        <v>183</v>
      </c>
      <c r="AU872" s="324" t="s">
        <v>845</v>
      </c>
      <c r="AV872" s="330">
        <f>SQRT(($R872-Infrastructure!J$3)^2+($S872-Infrastructure!K$3)^2)</f>
        <v>24.06345777</v>
      </c>
      <c r="AW872" s="331">
        <f>SQRT(($R872-Infrastructure!J$4)^2+($S872-Infrastructure!K$4)^2)</f>
        <v>30.54734031</v>
      </c>
      <c r="AX872" s="331">
        <f>SQRT(($R872-Infrastructure!J$5)^2+($S872-Infrastructure!K$5)^2)</f>
        <v>40.50345664</v>
      </c>
      <c r="AY872" s="331">
        <f>SQRT(($R872-Infrastructure!J$6)^2+($S872-Infrastructure!K$6)^2)</f>
        <v>40.60406384</v>
      </c>
      <c r="AZ872" s="331">
        <f>SQRT(($R872-Infrastructure!J$7)^2+($S872-Infrastructure!K$7)^2)</f>
        <v>39.01038323</v>
      </c>
      <c r="BA872" s="331">
        <f>SQRT(($R872-Infrastructure!J$8)^2+($S872-Infrastructure!K$8)^2)</f>
        <v>39.95860358</v>
      </c>
      <c r="BB872" s="331">
        <f>SQRT(($R872-Infrastructure!J$9)^2+($S872-Infrastructure!K$9)^2)</f>
        <v>38.93070767</v>
      </c>
      <c r="BC872" s="331">
        <f>SQRT(($R872-Infrastructure!J$10)^2+($S872-Infrastructure!K$10)^2)</f>
        <v>30.60147055</v>
      </c>
      <c r="BD872" s="318"/>
      <c r="BE872" s="332"/>
      <c r="BF872" s="330">
        <f t="shared" si="14"/>
        <v>24.06345777</v>
      </c>
      <c r="BG872" s="333">
        <f t="shared" si="15"/>
        <v>40.60406384</v>
      </c>
      <c r="BH872" s="774"/>
      <c r="BI872" s="639" t="s">
        <v>845</v>
      </c>
      <c r="BJ872" s="640" t="s">
        <v>846</v>
      </c>
      <c r="BK872" s="640"/>
      <c r="BL872" s="640" t="s">
        <v>845</v>
      </c>
      <c r="BM872" s="640" t="s">
        <v>846</v>
      </c>
      <c r="BN872" s="640" t="s">
        <v>845</v>
      </c>
      <c r="BO872" s="640" t="s">
        <v>845</v>
      </c>
      <c r="BP872" s="640"/>
      <c r="BQ872" s="645" t="s">
        <v>845</v>
      </c>
      <c r="BR872" s="741" t="s">
        <v>845</v>
      </c>
      <c r="BS872" s="330">
        <f t="shared" ref="BS872:BS883" si="54">MINIFS(AV872:BE872,BI872:BR872, "Y")</f>
        <v>30.54734031</v>
      </c>
      <c r="BT872" s="331">
        <f t="shared" ref="BT872:BT883" si="55">MAXIFS(AV872:BE872,BI872:BR872, "Y")</f>
        <v>39.01038323</v>
      </c>
      <c r="BU872" s="827">
        <v>0.5383333333333333</v>
      </c>
      <c r="BV872" s="642"/>
      <c r="BW872" s="662">
        <v>14.85</v>
      </c>
      <c r="BX872" s="641">
        <v>19.35</v>
      </c>
      <c r="BY872" s="331">
        <f t="shared" ref="BY872:BY883" si="56">IF(BW872&gt;0, SQRT((R872-BW872)^2+(S872-BX872)^2))</f>
        <v>20.99773797</v>
      </c>
      <c r="BZ872" s="340"/>
      <c r="CA872" s="462" t="s">
        <v>846</v>
      </c>
      <c r="CB872" s="319" t="s">
        <v>846</v>
      </c>
      <c r="CC872" s="318"/>
      <c r="CD872" s="319" t="s">
        <v>846</v>
      </c>
      <c r="CE872" s="319" t="s">
        <v>846</v>
      </c>
      <c r="CF872" s="319" t="s">
        <v>845</v>
      </c>
      <c r="CG872" s="319" t="s">
        <v>845</v>
      </c>
      <c r="CH872" s="318"/>
      <c r="CI872" s="788" t="s">
        <v>845</v>
      </c>
      <c r="CJ872" s="821" t="s">
        <v>845</v>
      </c>
      <c r="CK872" s="342">
        <f t="shared" si="18"/>
        <v>24.06345777</v>
      </c>
      <c r="CL872" s="333">
        <f t="shared" si="19"/>
        <v>40.60406384</v>
      </c>
      <c r="CM872" s="829"/>
      <c r="CN872" s="333"/>
      <c r="CO872" s="333"/>
      <c r="CP872" s="333"/>
    </row>
    <row r="873">
      <c r="A873" s="389" t="s">
        <v>48</v>
      </c>
      <c r="B873" s="573" t="s">
        <v>1517</v>
      </c>
      <c r="C873" s="391">
        <v>44358.0</v>
      </c>
      <c r="D873" s="392"/>
      <c r="E873" s="393" t="s">
        <v>1453</v>
      </c>
      <c r="F873" s="394" t="s">
        <v>1519</v>
      </c>
      <c r="G873" s="395">
        <v>0.5572916666666666</v>
      </c>
      <c r="H873" s="456">
        <v>0.5576388888888889</v>
      </c>
      <c r="I873" s="456"/>
      <c r="J873" s="456"/>
      <c r="K873" s="456">
        <v>0.5580671296296297</v>
      </c>
      <c r="L873" s="456">
        <v>4.2824074074074075E-4</v>
      </c>
      <c r="M873" s="393" t="s">
        <v>166</v>
      </c>
      <c r="N873" s="394" t="s">
        <v>187</v>
      </c>
      <c r="O873" s="399" t="s">
        <v>197</v>
      </c>
      <c r="P873" s="393" t="s">
        <v>220</v>
      </c>
      <c r="Q873" s="392"/>
      <c r="R873" s="400">
        <v>37.1</v>
      </c>
      <c r="S873" s="393">
        <v>6.9</v>
      </c>
      <c r="T873" s="394">
        <v>6.5</v>
      </c>
      <c r="U873" s="393">
        <v>4.0</v>
      </c>
      <c r="V873" s="393"/>
      <c r="W873" s="393"/>
      <c r="X873" s="393"/>
      <c r="Y873" s="393"/>
      <c r="Z873" s="393" t="s">
        <v>379</v>
      </c>
      <c r="AA873" s="393"/>
      <c r="AB873" s="393" t="s">
        <v>392</v>
      </c>
      <c r="AC873" s="401">
        <v>10.0</v>
      </c>
      <c r="AD873" s="393"/>
      <c r="AE873" s="393"/>
      <c r="AF873" s="393"/>
      <c r="AG873" s="393"/>
      <c r="AH873" s="393"/>
      <c r="AI873" s="393"/>
      <c r="AJ873" s="401"/>
      <c r="AK873" s="402"/>
      <c r="AL873" s="393"/>
      <c r="AM873" s="393"/>
      <c r="AN873" s="393"/>
      <c r="AO873" s="393"/>
      <c r="AP873" s="393"/>
      <c r="AQ873" s="393"/>
      <c r="AR873" s="393"/>
      <c r="AS873" s="401"/>
      <c r="AT873" s="460" t="s">
        <v>182</v>
      </c>
      <c r="AU873" s="394" t="s">
        <v>845</v>
      </c>
      <c r="AV873" s="405">
        <f>SQRT(($R873-Infrastructure!J$3)^2+($S873-Infrastructure!K$3)^2)</f>
        <v>43.39078243</v>
      </c>
      <c r="AW873" s="406">
        <f>SQRT(($R873-Infrastructure!J$4)^2+($S873-Infrastructure!K$4)^2)</f>
        <v>38.95600082</v>
      </c>
      <c r="AX873" s="406">
        <f>SQRT(($R873-Infrastructure!J$5)^2+($S873-Infrastructure!K$5)^2)</f>
        <v>37.44329045</v>
      </c>
      <c r="AY873" s="406">
        <f>SQRT(($R873-Infrastructure!J$6)^2+($S873-Infrastructure!K$6)^2)</f>
        <v>27.79496357</v>
      </c>
      <c r="AZ873" s="406">
        <f>SQRT(($R873-Infrastructure!J$7)^2+($S873-Infrastructure!K$7)^2)</f>
        <v>17.86393014</v>
      </c>
      <c r="BA873" s="406">
        <f>SQRT(($R873-Infrastructure!J$8)^2+($S873-Infrastructure!K$8)^2)</f>
        <v>9.620810777</v>
      </c>
      <c r="BB873" s="406">
        <f>SQRT(($R873-Infrastructure!J$9)^2+($S873-Infrastructure!K$9)^2)</f>
        <v>3.413209633</v>
      </c>
      <c r="BC873" s="406">
        <f>SQRT(($R873-Infrastructure!J$10)^2+($S873-Infrastructure!K$10)^2)</f>
        <v>8.603487665</v>
      </c>
      <c r="BD873" s="392"/>
      <c r="BE873" s="407"/>
      <c r="BF873" s="330">
        <f t="shared" si="14"/>
        <v>3.413209633</v>
      </c>
      <c r="BG873" s="333">
        <f t="shared" si="15"/>
        <v>43.39078243</v>
      </c>
      <c r="BH873" s="409"/>
      <c r="BI873" s="390" t="s">
        <v>845</v>
      </c>
      <c r="BJ873" s="392" t="s">
        <v>845</v>
      </c>
      <c r="BK873" s="392"/>
      <c r="BL873" s="392" t="s">
        <v>845</v>
      </c>
      <c r="BM873" s="392" t="s">
        <v>846</v>
      </c>
      <c r="BN873" s="392" t="s">
        <v>845</v>
      </c>
      <c r="BO873" s="392" t="s">
        <v>845</v>
      </c>
      <c r="BP873" s="392"/>
      <c r="BQ873" s="410" t="s">
        <v>845</v>
      </c>
      <c r="BR873" s="411" t="s">
        <v>845</v>
      </c>
      <c r="BS873" s="330">
        <f t="shared" si="54"/>
        <v>17.86393014</v>
      </c>
      <c r="BT873" s="331">
        <f t="shared" si="55"/>
        <v>17.86393014</v>
      </c>
      <c r="BU873" s="827">
        <v>0.5580439814814815</v>
      </c>
      <c r="BV873" s="408"/>
      <c r="BW873" s="405"/>
      <c r="BX873" s="406"/>
      <c r="BY873" s="406" t="b">
        <f t="shared" si="56"/>
        <v>0</v>
      </c>
      <c r="BZ873" s="412"/>
      <c r="CA873" s="573" t="s">
        <v>845</v>
      </c>
      <c r="CB873" s="393" t="s">
        <v>845</v>
      </c>
      <c r="CC873" s="392"/>
      <c r="CD873" s="393" t="s">
        <v>845</v>
      </c>
      <c r="CE873" s="393" t="s">
        <v>846</v>
      </c>
      <c r="CF873" s="393" t="s">
        <v>845</v>
      </c>
      <c r="CG873" s="393" t="s">
        <v>845</v>
      </c>
      <c r="CH873" s="392"/>
      <c r="CI873" s="792" t="s">
        <v>845</v>
      </c>
      <c r="CJ873" s="820" t="s">
        <v>845</v>
      </c>
      <c r="CK873" s="342">
        <f t="shared" si="18"/>
        <v>17.86393014</v>
      </c>
      <c r="CL873" s="333">
        <f t="shared" si="19"/>
        <v>17.86393014</v>
      </c>
      <c r="CM873" s="832"/>
      <c r="CN873" s="333"/>
      <c r="CO873" s="333"/>
      <c r="CP873" s="333"/>
    </row>
    <row r="874">
      <c r="B874" s="462" t="s">
        <v>1517</v>
      </c>
      <c r="C874" s="417">
        <v>44358.0</v>
      </c>
      <c r="D874" s="318"/>
      <c r="E874" s="319" t="s">
        <v>1455</v>
      </c>
      <c r="F874" s="324" t="s">
        <v>1520</v>
      </c>
      <c r="G874" s="321"/>
      <c r="H874" s="323">
        <v>0.5580671296296297</v>
      </c>
      <c r="I874" s="323"/>
      <c r="J874" s="323"/>
      <c r="K874" s="323">
        <v>0.5586805555555555</v>
      </c>
      <c r="L874" s="323">
        <v>6.134259259259259E-4</v>
      </c>
      <c r="M874" s="319" t="s">
        <v>166</v>
      </c>
      <c r="N874" s="324" t="s">
        <v>187</v>
      </c>
      <c r="O874" s="419" t="s">
        <v>197</v>
      </c>
      <c r="P874" s="319" t="s">
        <v>220</v>
      </c>
      <c r="Q874" s="318"/>
      <c r="R874" s="326">
        <v>37.1</v>
      </c>
      <c r="S874" s="319">
        <v>6.9</v>
      </c>
      <c r="T874" s="324">
        <v>6.5</v>
      </c>
      <c r="U874" s="319">
        <v>5.0</v>
      </c>
      <c r="V874" s="319"/>
      <c r="W874" s="319"/>
      <c r="X874" s="319"/>
      <c r="Y874" s="319"/>
      <c r="Z874" s="319" t="s">
        <v>379</v>
      </c>
      <c r="AA874" s="319"/>
      <c r="AB874" s="319" t="s">
        <v>392</v>
      </c>
      <c r="AC874" s="327">
        <v>10.0</v>
      </c>
      <c r="AD874" s="319"/>
      <c r="AE874" s="319"/>
      <c r="AF874" s="319"/>
      <c r="AG874" s="319"/>
      <c r="AH874" s="319"/>
      <c r="AI874" s="319"/>
      <c r="AJ874" s="327"/>
      <c r="AK874" s="328"/>
      <c r="AL874" s="319"/>
      <c r="AM874" s="319"/>
      <c r="AN874" s="319"/>
      <c r="AO874" s="319"/>
      <c r="AP874" s="319"/>
      <c r="AQ874" s="319"/>
      <c r="AR874" s="319"/>
      <c r="AS874" s="327"/>
      <c r="AT874" s="461" t="s">
        <v>182</v>
      </c>
      <c r="AU874" s="324" t="s">
        <v>845</v>
      </c>
      <c r="AV874" s="330">
        <f>SQRT(($R874-Infrastructure!J$3)^2+($S874-Infrastructure!K$3)^2)</f>
        <v>43.39078243</v>
      </c>
      <c r="AW874" s="331">
        <f>SQRT(($R874-Infrastructure!J$4)^2+($S874-Infrastructure!K$4)^2)</f>
        <v>38.95600082</v>
      </c>
      <c r="AX874" s="331">
        <f>SQRT(($R874-Infrastructure!J$5)^2+($S874-Infrastructure!K$5)^2)</f>
        <v>37.44329045</v>
      </c>
      <c r="AY874" s="331">
        <f>SQRT(($R874-Infrastructure!J$6)^2+($S874-Infrastructure!K$6)^2)</f>
        <v>27.79496357</v>
      </c>
      <c r="AZ874" s="331">
        <f>SQRT(($R874-Infrastructure!J$7)^2+($S874-Infrastructure!K$7)^2)</f>
        <v>17.86393014</v>
      </c>
      <c r="BA874" s="331">
        <f>SQRT(($R874-Infrastructure!J$8)^2+($S874-Infrastructure!K$8)^2)</f>
        <v>9.620810777</v>
      </c>
      <c r="BB874" s="331">
        <f>SQRT(($R874-Infrastructure!J$9)^2+($S874-Infrastructure!K$9)^2)</f>
        <v>3.413209633</v>
      </c>
      <c r="BC874" s="331">
        <f>SQRT(($R874-Infrastructure!J$10)^2+($S874-Infrastructure!K$10)^2)</f>
        <v>8.603487665</v>
      </c>
      <c r="BD874" s="318"/>
      <c r="BE874" s="332"/>
      <c r="BF874" s="330">
        <f t="shared" si="14"/>
        <v>3.413209633</v>
      </c>
      <c r="BG874" s="333">
        <f t="shared" si="15"/>
        <v>43.39078243</v>
      </c>
      <c r="BH874" s="334"/>
      <c r="BI874" s="316" t="s">
        <v>845</v>
      </c>
      <c r="BJ874" s="318" t="s">
        <v>845</v>
      </c>
      <c r="BK874" s="318"/>
      <c r="BL874" s="318" t="s">
        <v>845</v>
      </c>
      <c r="BM874" s="318" t="s">
        <v>845</v>
      </c>
      <c r="BN874" s="318" t="s">
        <v>845</v>
      </c>
      <c r="BO874" s="318" t="s">
        <v>845</v>
      </c>
      <c r="BP874" s="318"/>
      <c r="BQ874" s="338" t="s">
        <v>845</v>
      </c>
      <c r="BR874" s="420" t="s">
        <v>845</v>
      </c>
      <c r="BS874" s="330">
        <f t="shared" si="54"/>
        <v>0</v>
      </c>
      <c r="BT874" s="331">
        <f t="shared" si="55"/>
        <v>0</v>
      </c>
      <c r="BU874" s="830"/>
      <c r="BV874" s="333"/>
      <c r="BW874" s="330"/>
      <c r="BX874" s="331"/>
      <c r="BY874" s="331" t="b">
        <f t="shared" si="56"/>
        <v>0</v>
      </c>
      <c r="BZ874" s="340"/>
      <c r="CA874" s="462" t="s">
        <v>845</v>
      </c>
      <c r="CB874" s="319" t="s">
        <v>845</v>
      </c>
      <c r="CC874" s="318"/>
      <c r="CD874" s="319" t="s">
        <v>845</v>
      </c>
      <c r="CE874" s="319" t="s">
        <v>845</v>
      </c>
      <c r="CF874" s="319" t="s">
        <v>845</v>
      </c>
      <c r="CG874" s="319" t="s">
        <v>845</v>
      </c>
      <c r="CH874" s="318"/>
      <c r="CI874" s="788" t="s">
        <v>845</v>
      </c>
      <c r="CJ874" s="821" t="s">
        <v>845</v>
      </c>
      <c r="CK874" s="342">
        <f t="shared" si="18"/>
        <v>0</v>
      </c>
      <c r="CL874" s="333">
        <f t="shared" si="19"/>
        <v>0</v>
      </c>
      <c r="CM874" s="829"/>
      <c r="CN874" s="333"/>
      <c r="CO874" s="333"/>
      <c r="CP874" s="333"/>
    </row>
    <row r="875">
      <c r="B875" s="462" t="s">
        <v>1517</v>
      </c>
      <c r="C875" s="417">
        <v>44358.0</v>
      </c>
      <c r="D875" s="318"/>
      <c r="E875" s="319" t="s">
        <v>1457</v>
      </c>
      <c r="F875" s="324" t="s">
        <v>1521</v>
      </c>
      <c r="G875" s="321"/>
      <c r="H875" s="323">
        <v>0.5586805555555555</v>
      </c>
      <c r="I875" s="323"/>
      <c r="J875" s="323"/>
      <c r="K875" s="323">
        <v>0.5604745370370371</v>
      </c>
      <c r="L875" s="323">
        <v>0.0017939814814814815</v>
      </c>
      <c r="M875" s="319" t="s">
        <v>166</v>
      </c>
      <c r="N875" s="324" t="s">
        <v>187</v>
      </c>
      <c r="O875" s="419" t="s">
        <v>197</v>
      </c>
      <c r="P875" s="319" t="s">
        <v>220</v>
      </c>
      <c r="Q875" s="318"/>
      <c r="R875" s="326">
        <v>37.1</v>
      </c>
      <c r="S875" s="319">
        <v>6.9</v>
      </c>
      <c r="T875" s="324">
        <v>6.5</v>
      </c>
      <c r="U875" s="319">
        <v>6.0</v>
      </c>
      <c r="V875" s="319"/>
      <c r="W875" s="319"/>
      <c r="X875" s="319"/>
      <c r="Y875" s="319"/>
      <c r="Z875" s="319" t="s">
        <v>379</v>
      </c>
      <c r="AA875" s="319"/>
      <c r="AB875" s="319" t="s">
        <v>392</v>
      </c>
      <c r="AC875" s="327">
        <v>10.0</v>
      </c>
      <c r="AD875" s="319"/>
      <c r="AE875" s="319"/>
      <c r="AF875" s="319"/>
      <c r="AG875" s="319"/>
      <c r="AH875" s="319"/>
      <c r="AI875" s="319"/>
      <c r="AJ875" s="327"/>
      <c r="AK875" s="328"/>
      <c r="AL875" s="319"/>
      <c r="AM875" s="319"/>
      <c r="AN875" s="319"/>
      <c r="AO875" s="319"/>
      <c r="AP875" s="319"/>
      <c r="AQ875" s="319"/>
      <c r="AR875" s="319"/>
      <c r="AS875" s="327"/>
      <c r="AT875" s="461" t="s">
        <v>182</v>
      </c>
      <c r="AU875" s="324" t="s">
        <v>845</v>
      </c>
      <c r="AV875" s="330">
        <f>SQRT(($R875-Infrastructure!J$3)^2+($S875-Infrastructure!K$3)^2)</f>
        <v>43.39078243</v>
      </c>
      <c r="AW875" s="331">
        <f>SQRT(($R875-Infrastructure!J$4)^2+($S875-Infrastructure!K$4)^2)</f>
        <v>38.95600082</v>
      </c>
      <c r="AX875" s="331">
        <f>SQRT(($R875-Infrastructure!J$5)^2+($S875-Infrastructure!K$5)^2)</f>
        <v>37.44329045</v>
      </c>
      <c r="AY875" s="331">
        <f>SQRT(($R875-Infrastructure!J$6)^2+($S875-Infrastructure!K$6)^2)</f>
        <v>27.79496357</v>
      </c>
      <c r="AZ875" s="331">
        <f>SQRT(($R875-Infrastructure!J$7)^2+($S875-Infrastructure!K$7)^2)</f>
        <v>17.86393014</v>
      </c>
      <c r="BA875" s="331">
        <f>SQRT(($R875-Infrastructure!J$8)^2+($S875-Infrastructure!K$8)^2)</f>
        <v>9.620810777</v>
      </c>
      <c r="BB875" s="331">
        <f>SQRT(($R875-Infrastructure!J$9)^2+($S875-Infrastructure!K$9)^2)</f>
        <v>3.413209633</v>
      </c>
      <c r="BC875" s="331">
        <f>SQRT(($R875-Infrastructure!J$10)^2+($S875-Infrastructure!K$10)^2)</f>
        <v>8.603487665</v>
      </c>
      <c r="BD875" s="318"/>
      <c r="BE875" s="332"/>
      <c r="BF875" s="330">
        <f t="shared" si="14"/>
        <v>3.413209633</v>
      </c>
      <c r="BG875" s="333">
        <f t="shared" si="15"/>
        <v>43.39078243</v>
      </c>
      <c r="BH875" s="334"/>
      <c r="BI875" s="316" t="s">
        <v>845</v>
      </c>
      <c r="BJ875" s="318" t="s">
        <v>845</v>
      </c>
      <c r="BK875" s="318"/>
      <c r="BL875" s="318" t="s">
        <v>845</v>
      </c>
      <c r="BM875" s="318" t="s">
        <v>846</v>
      </c>
      <c r="BN875" s="318" t="s">
        <v>845</v>
      </c>
      <c r="BO875" s="318" t="s">
        <v>845</v>
      </c>
      <c r="BP875" s="318"/>
      <c r="BQ875" s="338" t="s">
        <v>845</v>
      </c>
      <c r="BR875" s="420" t="s">
        <v>845</v>
      </c>
      <c r="BS875" s="330">
        <f t="shared" si="54"/>
        <v>17.86393014</v>
      </c>
      <c r="BT875" s="331">
        <f t="shared" si="55"/>
        <v>17.86393014</v>
      </c>
      <c r="BU875" s="827">
        <v>0.5592476851851852</v>
      </c>
      <c r="BV875" s="333"/>
      <c r="BW875" s="330"/>
      <c r="BX875" s="331"/>
      <c r="BY875" s="331" t="b">
        <f t="shared" si="56"/>
        <v>0</v>
      </c>
      <c r="BZ875" s="340"/>
      <c r="CA875" s="462" t="s">
        <v>845</v>
      </c>
      <c r="CB875" s="319" t="s">
        <v>845</v>
      </c>
      <c r="CC875" s="318"/>
      <c r="CD875" s="319" t="s">
        <v>845</v>
      </c>
      <c r="CE875" s="319" t="s">
        <v>845</v>
      </c>
      <c r="CF875" s="319" t="s">
        <v>845</v>
      </c>
      <c r="CG875" s="319" t="s">
        <v>845</v>
      </c>
      <c r="CH875" s="318"/>
      <c r="CI875" s="788" t="s">
        <v>845</v>
      </c>
      <c r="CJ875" s="821" t="s">
        <v>845</v>
      </c>
      <c r="CK875" s="342">
        <f t="shared" si="18"/>
        <v>0</v>
      </c>
      <c r="CL875" s="333">
        <f t="shared" si="19"/>
        <v>0</v>
      </c>
      <c r="CM875" s="829"/>
      <c r="CN875" s="333"/>
      <c r="CO875" s="333"/>
      <c r="CP875" s="333"/>
    </row>
    <row r="876">
      <c r="B876" s="462" t="s">
        <v>1517</v>
      </c>
      <c r="C876" s="417">
        <v>44358.0</v>
      </c>
      <c r="D876" s="318"/>
      <c r="E876" s="319" t="s">
        <v>1459</v>
      </c>
      <c r="F876" s="324" t="s">
        <v>1522</v>
      </c>
      <c r="G876" s="321"/>
      <c r="H876" s="323">
        <v>0.5604745370370371</v>
      </c>
      <c r="I876" s="323"/>
      <c r="J876" s="323"/>
      <c r="K876" s="323">
        <v>0.5630787037037037</v>
      </c>
      <c r="L876" s="323">
        <v>0.0026041666666666665</v>
      </c>
      <c r="M876" s="319" t="s">
        <v>166</v>
      </c>
      <c r="N876" s="324" t="s">
        <v>187</v>
      </c>
      <c r="O876" s="419" t="s">
        <v>197</v>
      </c>
      <c r="P876" s="319" t="s">
        <v>220</v>
      </c>
      <c r="Q876" s="318"/>
      <c r="R876" s="326">
        <v>37.1</v>
      </c>
      <c r="S876" s="319">
        <v>6.9</v>
      </c>
      <c r="T876" s="324">
        <v>6.5</v>
      </c>
      <c r="U876" s="319">
        <v>7.0</v>
      </c>
      <c r="V876" s="319"/>
      <c r="W876" s="319"/>
      <c r="X876" s="319"/>
      <c r="Y876" s="319"/>
      <c r="Z876" s="319" t="s">
        <v>379</v>
      </c>
      <c r="AA876" s="319"/>
      <c r="AB876" s="319" t="s">
        <v>392</v>
      </c>
      <c r="AC876" s="327">
        <v>10.0</v>
      </c>
      <c r="AD876" s="319"/>
      <c r="AE876" s="319"/>
      <c r="AF876" s="319"/>
      <c r="AG876" s="319"/>
      <c r="AH876" s="319"/>
      <c r="AI876" s="319"/>
      <c r="AJ876" s="327"/>
      <c r="AK876" s="328"/>
      <c r="AL876" s="319"/>
      <c r="AM876" s="319"/>
      <c r="AN876" s="319"/>
      <c r="AO876" s="319"/>
      <c r="AP876" s="319"/>
      <c r="AQ876" s="319"/>
      <c r="AR876" s="319"/>
      <c r="AS876" s="327"/>
      <c r="AT876" s="461" t="s">
        <v>182</v>
      </c>
      <c r="AU876" s="324" t="s">
        <v>845</v>
      </c>
      <c r="AV876" s="330">
        <f>SQRT(($R876-Infrastructure!J$3)^2+($S876-Infrastructure!K$3)^2)</f>
        <v>43.39078243</v>
      </c>
      <c r="AW876" s="331">
        <f>SQRT(($R876-Infrastructure!J$4)^2+($S876-Infrastructure!K$4)^2)</f>
        <v>38.95600082</v>
      </c>
      <c r="AX876" s="331">
        <f>SQRT(($R876-Infrastructure!J$5)^2+($S876-Infrastructure!K$5)^2)</f>
        <v>37.44329045</v>
      </c>
      <c r="AY876" s="331">
        <f>SQRT(($R876-Infrastructure!J$6)^2+($S876-Infrastructure!K$6)^2)</f>
        <v>27.79496357</v>
      </c>
      <c r="AZ876" s="331">
        <f>SQRT(($R876-Infrastructure!J$7)^2+($S876-Infrastructure!K$7)^2)</f>
        <v>17.86393014</v>
      </c>
      <c r="BA876" s="331">
        <f>SQRT(($R876-Infrastructure!J$8)^2+($S876-Infrastructure!K$8)^2)</f>
        <v>9.620810777</v>
      </c>
      <c r="BB876" s="331">
        <f>SQRT(($R876-Infrastructure!J$9)^2+($S876-Infrastructure!K$9)^2)</f>
        <v>3.413209633</v>
      </c>
      <c r="BC876" s="331">
        <f>SQRT(($R876-Infrastructure!J$10)^2+($S876-Infrastructure!K$10)^2)</f>
        <v>8.603487665</v>
      </c>
      <c r="BD876" s="318"/>
      <c r="BE876" s="332"/>
      <c r="BF876" s="330">
        <f t="shared" si="14"/>
        <v>3.413209633</v>
      </c>
      <c r="BG876" s="333">
        <f t="shared" si="15"/>
        <v>43.39078243</v>
      </c>
      <c r="BH876" s="334"/>
      <c r="BI876" s="316" t="s">
        <v>845</v>
      </c>
      <c r="BJ876" s="318" t="s">
        <v>845</v>
      </c>
      <c r="BK876" s="318"/>
      <c r="BL876" s="318" t="s">
        <v>846</v>
      </c>
      <c r="BM876" s="318" t="s">
        <v>846</v>
      </c>
      <c r="BN876" s="318" t="s">
        <v>845</v>
      </c>
      <c r="BO876" s="318" t="s">
        <v>845</v>
      </c>
      <c r="BP876" s="318"/>
      <c r="BQ876" s="338" t="s">
        <v>845</v>
      </c>
      <c r="BR876" s="420" t="s">
        <v>845</v>
      </c>
      <c r="BS876" s="330">
        <f t="shared" si="54"/>
        <v>17.86393014</v>
      </c>
      <c r="BT876" s="331">
        <f t="shared" si="55"/>
        <v>27.79496357</v>
      </c>
      <c r="BU876" s="827">
        <v>0.5606944444444445</v>
      </c>
      <c r="BV876" s="333"/>
      <c r="BW876" s="330">
        <v>32.95</v>
      </c>
      <c r="BX876" s="331">
        <v>6.75</v>
      </c>
      <c r="BY876" s="331">
        <f t="shared" si="56"/>
        <v>4.152709959</v>
      </c>
      <c r="BZ876" s="340"/>
      <c r="CA876" s="462" t="s">
        <v>845</v>
      </c>
      <c r="CB876" s="319" t="s">
        <v>845</v>
      </c>
      <c r="CC876" s="318"/>
      <c r="CD876" s="319" t="s">
        <v>845</v>
      </c>
      <c r="CE876" s="319" t="s">
        <v>845</v>
      </c>
      <c r="CF876" s="319" t="s">
        <v>845</v>
      </c>
      <c r="CG876" s="319" t="s">
        <v>845</v>
      </c>
      <c r="CH876" s="318"/>
      <c r="CI876" s="788" t="s">
        <v>845</v>
      </c>
      <c r="CJ876" s="821" t="s">
        <v>845</v>
      </c>
      <c r="CK876" s="342">
        <f t="shared" si="18"/>
        <v>0</v>
      </c>
      <c r="CL876" s="333">
        <f t="shared" si="19"/>
        <v>0</v>
      </c>
      <c r="CM876" s="829"/>
      <c r="CN876" s="333"/>
      <c r="CO876" s="333"/>
      <c r="CP876" s="333"/>
    </row>
    <row r="877">
      <c r="B877" s="462" t="s">
        <v>1517</v>
      </c>
      <c r="C877" s="417">
        <v>44358.0</v>
      </c>
      <c r="D877" s="318"/>
      <c r="E877" s="319" t="s">
        <v>1523</v>
      </c>
      <c r="F877" s="324" t="s">
        <v>1524</v>
      </c>
      <c r="G877" s="321">
        <v>0.569675925925926</v>
      </c>
      <c r="H877" s="323">
        <v>0.5699652777777777</v>
      </c>
      <c r="I877" s="323"/>
      <c r="J877" s="323"/>
      <c r="K877" s="323">
        <v>0.5710069444444444</v>
      </c>
      <c r="L877" s="323">
        <v>0.0010416666666666667</v>
      </c>
      <c r="M877" s="319" t="s">
        <v>166</v>
      </c>
      <c r="N877" s="324" t="s">
        <v>187</v>
      </c>
      <c r="O877" s="419" t="s">
        <v>204</v>
      </c>
      <c r="P877" s="319" t="s">
        <v>262</v>
      </c>
      <c r="Q877" s="318"/>
      <c r="R877" s="326">
        <v>17.9</v>
      </c>
      <c r="S877" s="319">
        <v>3.6</v>
      </c>
      <c r="T877" s="324">
        <v>2.57</v>
      </c>
      <c r="U877" s="319">
        <v>2.0</v>
      </c>
      <c r="V877" s="319"/>
      <c r="W877" s="319"/>
      <c r="X877" s="319"/>
      <c r="Y877" s="319"/>
      <c r="Z877" s="319" t="s">
        <v>365</v>
      </c>
      <c r="AA877" s="319"/>
      <c r="AB877" s="319" t="s">
        <v>388</v>
      </c>
      <c r="AC877" s="327">
        <v>8.0</v>
      </c>
      <c r="AD877" s="319"/>
      <c r="AE877" s="319"/>
      <c r="AF877" s="319"/>
      <c r="AG877" s="319"/>
      <c r="AH877" s="319"/>
      <c r="AI877" s="319"/>
      <c r="AJ877" s="327"/>
      <c r="AK877" s="328"/>
      <c r="AL877" s="319"/>
      <c r="AM877" s="319"/>
      <c r="AN877" s="319"/>
      <c r="AO877" s="319"/>
      <c r="AP877" s="319"/>
      <c r="AQ877" s="319"/>
      <c r="AR877" s="319"/>
      <c r="AS877" s="327"/>
      <c r="AT877" s="461" t="s">
        <v>182</v>
      </c>
      <c r="AU877" s="324" t="s">
        <v>845</v>
      </c>
      <c r="AV877" s="330">
        <f>SQRT(($R877-Infrastructure!J$3)^2+($S877-Infrastructure!K$3)^2)</f>
        <v>31.16616755</v>
      </c>
      <c r="AW877" s="331">
        <f>SQRT(($R877-Infrastructure!J$4)^2+($S877-Infrastructure!K$4)^2)</f>
        <v>23.08419373</v>
      </c>
      <c r="AX877" s="331">
        <f>SQRT(($R877-Infrastructure!J$5)^2+($S877-Infrastructure!K$5)^2)</f>
        <v>18.26170857</v>
      </c>
      <c r="AY877" s="331">
        <f>SQRT(($R877-Infrastructure!J$6)^2+($S877-Infrastructure!K$6)^2)</f>
        <v>8.469356528</v>
      </c>
      <c r="AZ877" s="331">
        <f>SQRT(($R877-Infrastructure!J$7)^2+($S877-Infrastructure!K$7)^2)</f>
        <v>4.201190308</v>
      </c>
      <c r="BA877" s="331">
        <f>SQRT(($R877-Infrastructure!J$8)^2+($S877-Infrastructure!K$8)^2)</f>
        <v>12.63843345</v>
      </c>
      <c r="BB877" s="331">
        <f>SQRT(($R877-Infrastructure!J$9)^2+($S877-Infrastructure!K$9)^2)</f>
        <v>22.15084648</v>
      </c>
      <c r="BC877" s="331">
        <f>SQRT(($R877-Infrastructure!J$10)^2+($S877-Infrastructure!K$10)^2)</f>
        <v>24.86704647</v>
      </c>
      <c r="BD877" s="318"/>
      <c r="BE877" s="332"/>
      <c r="BF877" s="330">
        <f t="shared" si="14"/>
        <v>4.201190308</v>
      </c>
      <c r="BG877" s="333">
        <f t="shared" si="15"/>
        <v>31.16616755</v>
      </c>
      <c r="BH877" s="334"/>
      <c r="BI877" s="316" t="s">
        <v>845</v>
      </c>
      <c r="BJ877" s="318" t="s">
        <v>845</v>
      </c>
      <c r="BK877" s="318"/>
      <c r="BL877" s="318" t="s">
        <v>845</v>
      </c>
      <c r="BM877" s="318" t="s">
        <v>845</v>
      </c>
      <c r="BN877" s="318" t="s">
        <v>845</v>
      </c>
      <c r="BO877" s="318" t="s">
        <v>845</v>
      </c>
      <c r="BP877" s="318"/>
      <c r="BQ877" s="338" t="s">
        <v>845</v>
      </c>
      <c r="BR877" s="420" t="s">
        <v>845</v>
      </c>
      <c r="BS877" s="330">
        <f t="shared" si="54"/>
        <v>0</v>
      </c>
      <c r="BT877" s="331">
        <f t="shared" si="55"/>
        <v>0</v>
      </c>
      <c r="BU877" s="823"/>
      <c r="BV877" s="333"/>
      <c r="BW877" s="330"/>
      <c r="BX877" s="331"/>
      <c r="BY877" s="331" t="b">
        <f t="shared" si="56"/>
        <v>0</v>
      </c>
      <c r="BZ877" s="340"/>
      <c r="CA877" s="462" t="s">
        <v>845</v>
      </c>
      <c r="CB877" s="319" t="s">
        <v>845</v>
      </c>
      <c r="CC877" s="318"/>
      <c r="CD877" s="319" t="s">
        <v>845</v>
      </c>
      <c r="CE877" s="319" t="s">
        <v>845</v>
      </c>
      <c r="CF877" s="319" t="s">
        <v>845</v>
      </c>
      <c r="CG877" s="319" t="s">
        <v>845</v>
      </c>
      <c r="CH877" s="318"/>
      <c r="CI877" s="788" t="s">
        <v>845</v>
      </c>
      <c r="CJ877" s="821" t="s">
        <v>845</v>
      </c>
      <c r="CK877" s="342">
        <f t="shared" si="18"/>
        <v>0</v>
      </c>
      <c r="CL877" s="333">
        <f t="shared" si="19"/>
        <v>0</v>
      </c>
      <c r="CM877" s="829"/>
      <c r="CN877" s="333"/>
      <c r="CO877" s="333"/>
      <c r="CP877" s="333"/>
    </row>
    <row r="878">
      <c r="B878" s="462" t="s">
        <v>1517</v>
      </c>
      <c r="C878" s="417">
        <v>44358.0</v>
      </c>
      <c r="D878" s="318"/>
      <c r="E878" s="319" t="s">
        <v>1525</v>
      </c>
      <c r="F878" s="324" t="s">
        <v>1526</v>
      </c>
      <c r="G878" s="321">
        <v>0.5710069444444444</v>
      </c>
      <c r="H878" s="323">
        <v>0.5717013888888889</v>
      </c>
      <c r="I878" s="323"/>
      <c r="J878" s="323"/>
      <c r="K878" s="323">
        <v>0.5727430555555556</v>
      </c>
      <c r="L878" s="323">
        <v>0.0010416666666666667</v>
      </c>
      <c r="M878" s="319" t="s">
        <v>166</v>
      </c>
      <c r="N878" s="324" t="s">
        <v>187</v>
      </c>
      <c r="O878" s="419" t="s">
        <v>204</v>
      </c>
      <c r="P878" s="319" t="s">
        <v>262</v>
      </c>
      <c r="Q878" s="318"/>
      <c r="R878" s="326">
        <v>17.9</v>
      </c>
      <c r="S878" s="319">
        <v>3.6</v>
      </c>
      <c r="T878" s="324">
        <v>2.6</v>
      </c>
      <c r="U878" s="319">
        <v>1.5</v>
      </c>
      <c r="V878" s="319"/>
      <c r="W878" s="319"/>
      <c r="X878" s="319"/>
      <c r="Y878" s="319"/>
      <c r="Z878" s="319" t="s">
        <v>365</v>
      </c>
      <c r="AA878" s="319"/>
      <c r="AB878" s="319" t="s">
        <v>388</v>
      </c>
      <c r="AC878" s="327">
        <v>8.0</v>
      </c>
      <c r="AD878" s="319"/>
      <c r="AE878" s="319"/>
      <c r="AF878" s="319"/>
      <c r="AG878" s="319"/>
      <c r="AH878" s="319"/>
      <c r="AI878" s="319"/>
      <c r="AJ878" s="327"/>
      <c r="AK878" s="328"/>
      <c r="AL878" s="319"/>
      <c r="AM878" s="319"/>
      <c r="AN878" s="319"/>
      <c r="AO878" s="319"/>
      <c r="AP878" s="319"/>
      <c r="AQ878" s="319"/>
      <c r="AR878" s="319"/>
      <c r="AS878" s="327"/>
      <c r="AT878" s="461" t="s">
        <v>182</v>
      </c>
      <c r="AU878" s="324" t="s">
        <v>845</v>
      </c>
      <c r="AV878" s="330">
        <f>SQRT(($R878-Infrastructure!J$3)^2+($S878-Infrastructure!K$3)^2)</f>
        <v>31.16616755</v>
      </c>
      <c r="AW878" s="331">
        <f>SQRT(($R878-Infrastructure!J$4)^2+($S878-Infrastructure!K$4)^2)</f>
        <v>23.08419373</v>
      </c>
      <c r="AX878" s="331">
        <f>SQRT(($R878-Infrastructure!J$5)^2+($S878-Infrastructure!K$5)^2)</f>
        <v>18.26170857</v>
      </c>
      <c r="AY878" s="331">
        <f>SQRT(($R878-Infrastructure!J$6)^2+($S878-Infrastructure!K$6)^2)</f>
        <v>8.469356528</v>
      </c>
      <c r="AZ878" s="331">
        <f>SQRT(($R878-Infrastructure!J$7)^2+($S878-Infrastructure!K$7)^2)</f>
        <v>4.201190308</v>
      </c>
      <c r="BA878" s="331">
        <f>SQRT(($R878-Infrastructure!J$8)^2+($S878-Infrastructure!K$8)^2)</f>
        <v>12.63843345</v>
      </c>
      <c r="BB878" s="331">
        <f>SQRT(($R878-Infrastructure!J$9)^2+($S878-Infrastructure!K$9)^2)</f>
        <v>22.15084648</v>
      </c>
      <c r="BC878" s="331">
        <f>SQRT(($R878-Infrastructure!J$10)^2+($S878-Infrastructure!K$10)^2)</f>
        <v>24.86704647</v>
      </c>
      <c r="BD878" s="318"/>
      <c r="BE878" s="332"/>
      <c r="BF878" s="330">
        <f t="shared" si="14"/>
        <v>4.201190308</v>
      </c>
      <c r="BG878" s="333">
        <f t="shared" si="15"/>
        <v>31.16616755</v>
      </c>
      <c r="BH878" s="334"/>
      <c r="BI878" s="316" t="s">
        <v>845</v>
      </c>
      <c r="BJ878" s="318" t="s">
        <v>845</v>
      </c>
      <c r="BK878" s="318"/>
      <c r="BL878" s="318" t="s">
        <v>845</v>
      </c>
      <c r="BM878" s="318" t="s">
        <v>845</v>
      </c>
      <c r="BN878" s="318" t="s">
        <v>845</v>
      </c>
      <c r="BO878" s="318" t="s">
        <v>845</v>
      </c>
      <c r="BP878" s="318"/>
      <c r="BQ878" s="338" t="s">
        <v>845</v>
      </c>
      <c r="BR878" s="420" t="s">
        <v>845</v>
      </c>
      <c r="BS878" s="330">
        <f t="shared" si="54"/>
        <v>0</v>
      </c>
      <c r="BT878" s="331">
        <f t="shared" si="55"/>
        <v>0</v>
      </c>
      <c r="BU878" s="823"/>
      <c r="BV878" s="333"/>
      <c r="BW878" s="330"/>
      <c r="BX878" s="331"/>
      <c r="BY878" s="331" t="b">
        <f t="shared" si="56"/>
        <v>0</v>
      </c>
      <c r="BZ878" s="340"/>
      <c r="CA878" s="462" t="s">
        <v>845</v>
      </c>
      <c r="CB878" s="319" t="s">
        <v>845</v>
      </c>
      <c r="CC878" s="318"/>
      <c r="CD878" s="319" t="s">
        <v>845</v>
      </c>
      <c r="CE878" s="319" t="s">
        <v>845</v>
      </c>
      <c r="CF878" s="319" t="s">
        <v>845</v>
      </c>
      <c r="CG878" s="319" t="s">
        <v>845</v>
      </c>
      <c r="CH878" s="318"/>
      <c r="CI878" s="788" t="s">
        <v>845</v>
      </c>
      <c r="CJ878" s="821" t="s">
        <v>845</v>
      </c>
      <c r="CK878" s="342">
        <f t="shared" si="18"/>
        <v>0</v>
      </c>
      <c r="CL878" s="333">
        <f t="shared" si="19"/>
        <v>0</v>
      </c>
      <c r="CM878" s="829"/>
      <c r="CN878" s="333"/>
      <c r="CO878" s="333"/>
      <c r="CP878" s="333"/>
    </row>
    <row r="879">
      <c r="B879" s="462" t="s">
        <v>1517</v>
      </c>
      <c r="C879" s="417">
        <v>44358.0</v>
      </c>
      <c r="D879" s="318"/>
      <c r="E879" s="319" t="s">
        <v>1527</v>
      </c>
      <c r="F879" s="324" t="s">
        <v>1528</v>
      </c>
      <c r="G879" s="321"/>
      <c r="H879" s="323">
        <v>0.5727430555555556</v>
      </c>
      <c r="I879" s="323"/>
      <c r="J879" s="323"/>
      <c r="K879" s="323">
        <v>0.5734953703703703</v>
      </c>
      <c r="L879" s="323">
        <v>7.523148148148148E-4</v>
      </c>
      <c r="M879" s="319" t="s">
        <v>166</v>
      </c>
      <c r="N879" s="324" t="s">
        <v>187</v>
      </c>
      <c r="O879" s="419" t="s">
        <v>204</v>
      </c>
      <c r="P879" s="319" t="s">
        <v>262</v>
      </c>
      <c r="Q879" s="318"/>
      <c r="R879" s="326">
        <v>17.9</v>
      </c>
      <c r="S879" s="319">
        <v>3.6</v>
      </c>
      <c r="T879" s="324">
        <v>2.6</v>
      </c>
      <c r="U879" s="319">
        <v>1.0</v>
      </c>
      <c r="V879" s="319"/>
      <c r="W879" s="319"/>
      <c r="X879" s="319"/>
      <c r="Y879" s="319"/>
      <c r="Z879" s="319" t="s">
        <v>365</v>
      </c>
      <c r="AA879" s="319"/>
      <c r="AB879" s="319" t="s">
        <v>388</v>
      </c>
      <c r="AC879" s="327">
        <v>8.0</v>
      </c>
      <c r="AD879" s="319"/>
      <c r="AE879" s="319"/>
      <c r="AF879" s="319"/>
      <c r="AG879" s="319"/>
      <c r="AH879" s="319"/>
      <c r="AI879" s="319"/>
      <c r="AJ879" s="327"/>
      <c r="AK879" s="328"/>
      <c r="AL879" s="319"/>
      <c r="AM879" s="319"/>
      <c r="AN879" s="319"/>
      <c r="AO879" s="319"/>
      <c r="AP879" s="319"/>
      <c r="AQ879" s="319"/>
      <c r="AR879" s="319"/>
      <c r="AS879" s="327"/>
      <c r="AT879" s="461" t="s">
        <v>182</v>
      </c>
      <c r="AU879" s="324" t="s">
        <v>845</v>
      </c>
      <c r="AV879" s="330">
        <f>SQRT(($R879-Infrastructure!J$3)^2+($S879-Infrastructure!K$3)^2)</f>
        <v>31.16616755</v>
      </c>
      <c r="AW879" s="331">
        <f>SQRT(($R879-Infrastructure!J$4)^2+($S879-Infrastructure!K$4)^2)</f>
        <v>23.08419373</v>
      </c>
      <c r="AX879" s="331">
        <f>SQRT(($R879-Infrastructure!J$5)^2+($S879-Infrastructure!K$5)^2)</f>
        <v>18.26170857</v>
      </c>
      <c r="AY879" s="331">
        <f>SQRT(($R879-Infrastructure!J$6)^2+($S879-Infrastructure!K$6)^2)</f>
        <v>8.469356528</v>
      </c>
      <c r="AZ879" s="331">
        <f>SQRT(($R879-Infrastructure!J$7)^2+($S879-Infrastructure!K$7)^2)</f>
        <v>4.201190308</v>
      </c>
      <c r="BA879" s="331">
        <f>SQRT(($R879-Infrastructure!J$8)^2+($S879-Infrastructure!K$8)^2)</f>
        <v>12.63843345</v>
      </c>
      <c r="BB879" s="331">
        <f>SQRT(($R879-Infrastructure!J$9)^2+($S879-Infrastructure!K$9)^2)</f>
        <v>22.15084648</v>
      </c>
      <c r="BC879" s="331">
        <f>SQRT(($R879-Infrastructure!J$10)^2+($S879-Infrastructure!K$10)^2)</f>
        <v>24.86704647</v>
      </c>
      <c r="BD879" s="318"/>
      <c r="BE879" s="332"/>
      <c r="BF879" s="330">
        <f t="shared" si="14"/>
        <v>4.201190308</v>
      </c>
      <c r="BG879" s="333">
        <f t="shared" si="15"/>
        <v>31.16616755</v>
      </c>
      <c r="BH879" s="334"/>
      <c r="BI879" s="316" t="s">
        <v>845</v>
      </c>
      <c r="BJ879" s="318" t="s">
        <v>845</v>
      </c>
      <c r="BK879" s="318"/>
      <c r="BL879" s="318" t="s">
        <v>845</v>
      </c>
      <c r="BM879" s="318" t="s">
        <v>845</v>
      </c>
      <c r="BN879" s="318" t="s">
        <v>845</v>
      </c>
      <c r="BO879" s="318" t="s">
        <v>845</v>
      </c>
      <c r="BP879" s="318"/>
      <c r="BQ879" s="338" t="s">
        <v>845</v>
      </c>
      <c r="BR879" s="420" t="s">
        <v>845</v>
      </c>
      <c r="BS879" s="330">
        <f t="shared" si="54"/>
        <v>0</v>
      </c>
      <c r="BT879" s="331">
        <f t="shared" si="55"/>
        <v>0</v>
      </c>
      <c r="BU879" s="823"/>
      <c r="BV879" s="333"/>
      <c r="BW879" s="330"/>
      <c r="BX879" s="331"/>
      <c r="BY879" s="331" t="b">
        <f t="shared" si="56"/>
        <v>0</v>
      </c>
      <c r="BZ879" s="340"/>
      <c r="CA879" s="462" t="s">
        <v>845</v>
      </c>
      <c r="CB879" s="319" t="s">
        <v>845</v>
      </c>
      <c r="CC879" s="318"/>
      <c r="CD879" s="319" t="s">
        <v>845</v>
      </c>
      <c r="CE879" s="319" t="s">
        <v>845</v>
      </c>
      <c r="CF879" s="319" t="s">
        <v>845</v>
      </c>
      <c r="CG879" s="319" t="s">
        <v>845</v>
      </c>
      <c r="CH879" s="318"/>
      <c r="CI879" s="788" t="s">
        <v>845</v>
      </c>
      <c r="CJ879" s="821" t="s">
        <v>845</v>
      </c>
      <c r="CK879" s="342">
        <f t="shared" si="18"/>
        <v>0</v>
      </c>
      <c r="CL879" s="333">
        <f t="shared" si="19"/>
        <v>0</v>
      </c>
      <c r="CM879" s="829"/>
      <c r="CN879" s="333"/>
      <c r="CO879" s="333"/>
      <c r="CP879" s="333"/>
    </row>
    <row r="880">
      <c r="B880" s="462" t="s">
        <v>1517</v>
      </c>
      <c r="C880" s="417">
        <v>44358.0</v>
      </c>
      <c r="D880" s="318"/>
      <c r="E880" s="319" t="s">
        <v>1529</v>
      </c>
      <c r="F880" s="324" t="s">
        <v>1530</v>
      </c>
      <c r="G880" s="321"/>
      <c r="H880" s="323">
        <v>0.5734953703703703</v>
      </c>
      <c r="I880" s="323"/>
      <c r="J880" s="323"/>
      <c r="K880" s="323">
        <v>0.5741319444444445</v>
      </c>
      <c r="L880" s="323">
        <v>6.365740740740741E-4</v>
      </c>
      <c r="M880" s="319" t="s">
        <v>166</v>
      </c>
      <c r="N880" s="324" t="s">
        <v>187</v>
      </c>
      <c r="O880" s="419" t="s">
        <v>204</v>
      </c>
      <c r="P880" s="319" t="s">
        <v>262</v>
      </c>
      <c r="Q880" s="318"/>
      <c r="R880" s="326">
        <v>17.9</v>
      </c>
      <c r="S880" s="319">
        <v>3.6</v>
      </c>
      <c r="T880" s="324">
        <v>2.6</v>
      </c>
      <c r="U880" s="319">
        <v>0.8</v>
      </c>
      <c r="V880" s="319"/>
      <c r="W880" s="319"/>
      <c r="X880" s="319"/>
      <c r="Y880" s="319"/>
      <c r="Z880" s="319" t="s">
        <v>365</v>
      </c>
      <c r="AA880" s="319"/>
      <c r="AB880" s="319" t="s">
        <v>388</v>
      </c>
      <c r="AC880" s="327">
        <v>8.0</v>
      </c>
      <c r="AD880" s="319"/>
      <c r="AE880" s="319"/>
      <c r="AF880" s="319"/>
      <c r="AG880" s="319"/>
      <c r="AH880" s="319"/>
      <c r="AI880" s="319"/>
      <c r="AJ880" s="327"/>
      <c r="AK880" s="328"/>
      <c r="AL880" s="319"/>
      <c r="AM880" s="319"/>
      <c r="AN880" s="319"/>
      <c r="AO880" s="319"/>
      <c r="AP880" s="319"/>
      <c r="AQ880" s="319"/>
      <c r="AR880" s="319"/>
      <c r="AS880" s="327"/>
      <c r="AT880" s="461" t="s">
        <v>181</v>
      </c>
      <c r="AU880" s="324" t="s">
        <v>845</v>
      </c>
      <c r="AV880" s="330">
        <f>SQRT(($R880-Infrastructure!J$3)^2+($S880-Infrastructure!K$3)^2)</f>
        <v>31.16616755</v>
      </c>
      <c r="AW880" s="331">
        <f>SQRT(($R880-Infrastructure!J$4)^2+($S880-Infrastructure!K$4)^2)</f>
        <v>23.08419373</v>
      </c>
      <c r="AX880" s="331">
        <f>SQRT(($R880-Infrastructure!J$5)^2+($S880-Infrastructure!K$5)^2)</f>
        <v>18.26170857</v>
      </c>
      <c r="AY880" s="331">
        <f>SQRT(($R880-Infrastructure!J$6)^2+($S880-Infrastructure!K$6)^2)</f>
        <v>8.469356528</v>
      </c>
      <c r="AZ880" s="331">
        <f>SQRT(($R880-Infrastructure!J$7)^2+($S880-Infrastructure!K$7)^2)</f>
        <v>4.201190308</v>
      </c>
      <c r="BA880" s="331">
        <f>SQRT(($R880-Infrastructure!J$8)^2+($S880-Infrastructure!K$8)^2)</f>
        <v>12.63843345</v>
      </c>
      <c r="BB880" s="331">
        <f>SQRT(($R880-Infrastructure!J$9)^2+($S880-Infrastructure!K$9)^2)</f>
        <v>22.15084648</v>
      </c>
      <c r="BC880" s="331">
        <f>SQRT(($R880-Infrastructure!J$10)^2+($S880-Infrastructure!K$10)^2)</f>
        <v>24.86704647</v>
      </c>
      <c r="BD880" s="318"/>
      <c r="BE880" s="332"/>
      <c r="BF880" s="330">
        <f t="shared" si="14"/>
        <v>4.201190308</v>
      </c>
      <c r="BG880" s="333">
        <f t="shared" si="15"/>
        <v>31.16616755</v>
      </c>
      <c r="BH880" s="334"/>
      <c r="BI880" s="316" t="s">
        <v>845</v>
      </c>
      <c r="BJ880" s="318" t="s">
        <v>845</v>
      </c>
      <c r="BK880" s="318"/>
      <c r="BL880" s="318" t="s">
        <v>845</v>
      </c>
      <c r="BM880" s="318" t="s">
        <v>845</v>
      </c>
      <c r="BN880" s="318" t="s">
        <v>845</v>
      </c>
      <c r="BO880" s="318" t="s">
        <v>845</v>
      </c>
      <c r="BP880" s="318"/>
      <c r="BQ880" s="338" t="s">
        <v>845</v>
      </c>
      <c r="BR880" s="420" t="s">
        <v>845</v>
      </c>
      <c r="BS880" s="330">
        <f t="shared" si="54"/>
        <v>0</v>
      </c>
      <c r="BT880" s="331">
        <f t="shared" si="55"/>
        <v>0</v>
      </c>
      <c r="BU880" s="823"/>
      <c r="BV880" s="333"/>
      <c r="BW880" s="330"/>
      <c r="BX880" s="331"/>
      <c r="BY880" s="331" t="b">
        <f t="shared" si="56"/>
        <v>0</v>
      </c>
      <c r="BZ880" s="340"/>
      <c r="CA880" s="462" t="s">
        <v>845</v>
      </c>
      <c r="CB880" s="319" t="s">
        <v>845</v>
      </c>
      <c r="CC880" s="318"/>
      <c r="CD880" s="319" t="s">
        <v>845</v>
      </c>
      <c r="CE880" s="319" t="s">
        <v>845</v>
      </c>
      <c r="CF880" s="319" t="s">
        <v>845</v>
      </c>
      <c r="CG880" s="319" t="s">
        <v>845</v>
      </c>
      <c r="CH880" s="318"/>
      <c r="CI880" s="788" t="s">
        <v>845</v>
      </c>
      <c r="CJ880" s="821" t="s">
        <v>845</v>
      </c>
      <c r="CK880" s="342">
        <f t="shared" si="18"/>
        <v>0</v>
      </c>
      <c r="CL880" s="333">
        <f t="shared" si="19"/>
        <v>0</v>
      </c>
      <c r="CM880" s="829"/>
      <c r="CN880" s="333"/>
      <c r="CO880" s="333"/>
      <c r="CP880" s="333"/>
    </row>
    <row r="881">
      <c r="B881" s="462" t="s">
        <v>1517</v>
      </c>
      <c r="C881" s="417">
        <v>44358.0</v>
      </c>
      <c r="D881" s="318"/>
      <c r="E881" s="319" t="s">
        <v>1531</v>
      </c>
      <c r="F881" s="324" t="s">
        <v>1532</v>
      </c>
      <c r="G881" s="321">
        <v>0.5741319444444445</v>
      </c>
      <c r="H881" s="323">
        <v>0.5744791666666667</v>
      </c>
      <c r="I881" s="323"/>
      <c r="J881" s="323"/>
      <c r="K881" s="323">
        <v>0.5752314814814815</v>
      </c>
      <c r="L881" s="323">
        <v>7.523148148148148E-4</v>
      </c>
      <c r="M881" s="319" t="s">
        <v>166</v>
      </c>
      <c r="N881" s="324" t="s">
        <v>187</v>
      </c>
      <c r="O881" s="419" t="s">
        <v>204</v>
      </c>
      <c r="P881" s="319" t="s">
        <v>262</v>
      </c>
      <c r="Q881" s="318"/>
      <c r="R881" s="326">
        <v>17.9</v>
      </c>
      <c r="S881" s="319">
        <v>3.6</v>
      </c>
      <c r="T881" s="324">
        <v>2.6</v>
      </c>
      <c r="U881" s="319">
        <v>0.5</v>
      </c>
      <c r="V881" s="319"/>
      <c r="W881" s="319"/>
      <c r="X881" s="319"/>
      <c r="Y881" s="319"/>
      <c r="Z881" s="319" t="s">
        <v>365</v>
      </c>
      <c r="AA881" s="319"/>
      <c r="AB881" s="319" t="s">
        <v>388</v>
      </c>
      <c r="AC881" s="327">
        <v>8.0</v>
      </c>
      <c r="AD881" s="319"/>
      <c r="AE881" s="319"/>
      <c r="AF881" s="319"/>
      <c r="AG881" s="319"/>
      <c r="AH881" s="319"/>
      <c r="AI881" s="319"/>
      <c r="AJ881" s="327"/>
      <c r="AK881" s="328"/>
      <c r="AL881" s="319"/>
      <c r="AM881" s="319"/>
      <c r="AN881" s="319"/>
      <c r="AO881" s="319"/>
      <c r="AP881" s="319"/>
      <c r="AQ881" s="319"/>
      <c r="AR881" s="319"/>
      <c r="AS881" s="327"/>
      <c r="AT881" s="461" t="s">
        <v>181</v>
      </c>
      <c r="AU881" s="324" t="s">
        <v>845</v>
      </c>
      <c r="AV881" s="330">
        <f>SQRT(($R881-Infrastructure!J$3)^2+($S881-Infrastructure!K$3)^2)</f>
        <v>31.16616755</v>
      </c>
      <c r="AW881" s="331">
        <f>SQRT(($R881-Infrastructure!J$4)^2+($S881-Infrastructure!K$4)^2)</f>
        <v>23.08419373</v>
      </c>
      <c r="AX881" s="331">
        <f>SQRT(($R881-Infrastructure!J$5)^2+($S881-Infrastructure!K$5)^2)</f>
        <v>18.26170857</v>
      </c>
      <c r="AY881" s="331">
        <f>SQRT(($R881-Infrastructure!J$6)^2+($S881-Infrastructure!K$6)^2)</f>
        <v>8.469356528</v>
      </c>
      <c r="AZ881" s="331">
        <f>SQRT(($R881-Infrastructure!J$7)^2+($S881-Infrastructure!K$7)^2)</f>
        <v>4.201190308</v>
      </c>
      <c r="BA881" s="331">
        <f>SQRT(($R881-Infrastructure!J$8)^2+($S881-Infrastructure!K$8)^2)</f>
        <v>12.63843345</v>
      </c>
      <c r="BB881" s="331">
        <f>SQRT(($R881-Infrastructure!J$9)^2+($S881-Infrastructure!K$9)^2)</f>
        <v>22.15084648</v>
      </c>
      <c r="BC881" s="331">
        <f>SQRT(($R881-Infrastructure!J$10)^2+($S881-Infrastructure!K$10)^2)</f>
        <v>24.86704647</v>
      </c>
      <c r="BD881" s="318"/>
      <c r="BE881" s="332"/>
      <c r="BF881" s="330">
        <f t="shared" si="14"/>
        <v>4.201190308</v>
      </c>
      <c r="BG881" s="333">
        <f t="shared" si="15"/>
        <v>31.16616755</v>
      </c>
      <c r="BH881" s="334"/>
      <c r="BI881" s="316" t="s">
        <v>845</v>
      </c>
      <c r="BJ881" s="318" t="s">
        <v>845</v>
      </c>
      <c r="BK881" s="318"/>
      <c r="BL881" s="318" t="s">
        <v>845</v>
      </c>
      <c r="BM881" s="318" t="s">
        <v>845</v>
      </c>
      <c r="BN881" s="318" t="s">
        <v>845</v>
      </c>
      <c r="BO881" s="318" t="s">
        <v>845</v>
      </c>
      <c r="BP881" s="318"/>
      <c r="BQ881" s="338" t="s">
        <v>845</v>
      </c>
      <c r="BR881" s="420" t="s">
        <v>845</v>
      </c>
      <c r="BS881" s="330">
        <f t="shared" si="54"/>
        <v>0</v>
      </c>
      <c r="BT881" s="331">
        <f t="shared" si="55"/>
        <v>0</v>
      </c>
      <c r="BU881" s="823"/>
      <c r="BV881" s="333"/>
      <c r="BW881" s="330"/>
      <c r="BX881" s="331"/>
      <c r="BY881" s="331" t="b">
        <f t="shared" si="56"/>
        <v>0</v>
      </c>
      <c r="BZ881" s="340"/>
      <c r="CA881" s="462" t="s">
        <v>845</v>
      </c>
      <c r="CB881" s="319" t="s">
        <v>845</v>
      </c>
      <c r="CC881" s="318"/>
      <c r="CD881" s="319" t="s">
        <v>845</v>
      </c>
      <c r="CE881" s="319" t="s">
        <v>845</v>
      </c>
      <c r="CF881" s="319" t="s">
        <v>845</v>
      </c>
      <c r="CG881" s="319" t="s">
        <v>845</v>
      </c>
      <c r="CH881" s="318"/>
      <c r="CI881" s="788" t="s">
        <v>845</v>
      </c>
      <c r="CJ881" s="821" t="s">
        <v>845</v>
      </c>
      <c r="CK881" s="342">
        <f t="shared" si="18"/>
        <v>0</v>
      </c>
      <c r="CL881" s="333">
        <f t="shared" si="19"/>
        <v>0</v>
      </c>
      <c r="CM881" s="829"/>
      <c r="CN881" s="333"/>
      <c r="CO881" s="333"/>
      <c r="CP881" s="333"/>
    </row>
    <row r="882">
      <c r="B882" s="462" t="s">
        <v>1517</v>
      </c>
      <c r="C882" s="417">
        <v>44358.0</v>
      </c>
      <c r="D882" s="318"/>
      <c r="E882" s="319" t="s">
        <v>1533</v>
      </c>
      <c r="F882" s="324" t="s">
        <v>1534</v>
      </c>
      <c r="G882" s="321">
        <v>0.5752314814814815</v>
      </c>
      <c r="H882" s="323">
        <v>0.5753472222222222</v>
      </c>
      <c r="I882" s="323"/>
      <c r="J882" s="323"/>
      <c r="K882" s="323">
        <v>0.5758680555555555</v>
      </c>
      <c r="L882" s="323">
        <v>5.208333333333333E-4</v>
      </c>
      <c r="M882" s="319" t="s">
        <v>166</v>
      </c>
      <c r="N882" s="324" t="s">
        <v>187</v>
      </c>
      <c r="O882" s="419" t="s">
        <v>204</v>
      </c>
      <c r="P882" s="319" t="s">
        <v>262</v>
      </c>
      <c r="Q882" s="318"/>
      <c r="R882" s="326">
        <v>17.9</v>
      </c>
      <c r="S882" s="319">
        <v>3.6</v>
      </c>
      <c r="T882" s="324">
        <v>2.6</v>
      </c>
      <c r="U882" s="319">
        <v>0.2</v>
      </c>
      <c r="V882" s="319"/>
      <c r="W882" s="319"/>
      <c r="X882" s="319"/>
      <c r="Y882" s="319"/>
      <c r="Z882" s="319" t="s">
        <v>365</v>
      </c>
      <c r="AA882" s="319"/>
      <c r="AB882" s="319" t="s">
        <v>388</v>
      </c>
      <c r="AC882" s="327">
        <v>8.0</v>
      </c>
      <c r="AD882" s="319"/>
      <c r="AE882" s="319"/>
      <c r="AF882" s="319"/>
      <c r="AG882" s="319"/>
      <c r="AH882" s="319"/>
      <c r="AI882" s="319"/>
      <c r="AJ882" s="327"/>
      <c r="AK882" s="328"/>
      <c r="AL882" s="319"/>
      <c r="AM882" s="319"/>
      <c r="AN882" s="319"/>
      <c r="AO882" s="319"/>
      <c r="AP882" s="319"/>
      <c r="AQ882" s="319"/>
      <c r="AR882" s="319"/>
      <c r="AS882" s="327"/>
      <c r="AT882" s="461" t="s">
        <v>181</v>
      </c>
      <c r="AU882" s="324" t="s">
        <v>845</v>
      </c>
      <c r="AV882" s="330">
        <f>SQRT(($R882-Infrastructure!J$3)^2+($S882-Infrastructure!K$3)^2)</f>
        <v>31.16616755</v>
      </c>
      <c r="AW882" s="331">
        <f>SQRT(($R882-Infrastructure!J$4)^2+($S882-Infrastructure!K$4)^2)</f>
        <v>23.08419373</v>
      </c>
      <c r="AX882" s="331">
        <f>SQRT(($R882-Infrastructure!J$5)^2+($S882-Infrastructure!K$5)^2)</f>
        <v>18.26170857</v>
      </c>
      <c r="AY882" s="331">
        <f>SQRT(($R882-Infrastructure!J$6)^2+($S882-Infrastructure!K$6)^2)</f>
        <v>8.469356528</v>
      </c>
      <c r="AZ882" s="331">
        <f>SQRT(($R882-Infrastructure!J$7)^2+($S882-Infrastructure!K$7)^2)</f>
        <v>4.201190308</v>
      </c>
      <c r="BA882" s="331">
        <f>SQRT(($R882-Infrastructure!J$8)^2+($S882-Infrastructure!K$8)^2)</f>
        <v>12.63843345</v>
      </c>
      <c r="BB882" s="331">
        <f>SQRT(($R882-Infrastructure!J$9)^2+($S882-Infrastructure!K$9)^2)</f>
        <v>22.15084648</v>
      </c>
      <c r="BC882" s="331">
        <f>SQRT(($R882-Infrastructure!J$10)^2+($S882-Infrastructure!K$10)^2)</f>
        <v>24.86704647</v>
      </c>
      <c r="BD882" s="318"/>
      <c r="BE882" s="332"/>
      <c r="BF882" s="330">
        <f t="shared" si="14"/>
        <v>4.201190308</v>
      </c>
      <c r="BG882" s="333">
        <f t="shared" si="15"/>
        <v>31.16616755</v>
      </c>
      <c r="BH882" s="334"/>
      <c r="BI882" s="316" t="s">
        <v>845</v>
      </c>
      <c r="BJ882" s="318" t="s">
        <v>845</v>
      </c>
      <c r="BK882" s="318"/>
      <c r="BL882" s="318" t="s">
        <v>845</v>
      </c>
      <c r="BM882" s="318" t="s">
        <v>845</v>
      </c>
      <c r="BN882" s="318" t="s">
        <v>845</v>
      </c>
      <c r="BO882" s="318" t="s">
        <v>845</v>
      </c>
      <c r="BP882" s="318"/>
      <c r="BQ882" s="338" t="s">
        <v>845</v>
      </c>
      <c r="BR882" s="420" t="s">
        <v>845</v>
      </c>
      <c r="BS882" s="330">
        <f t="shared" si="54"/>
        <v>0</v>
      </c>
      <c r="BT882" s="331">
        <f t="shared" si="55"/>
        <v>0</v>
      </c>
      <c r="BU882" s="823"/>
      <c r="BV882" s="333"/>
      <c r="BW882" s="330"/>
      <c r="BX882" s="331"/>
      <c r="BY882" s="331" t="b">
        <f t="shared" si="56"/>
        <v>0</v>
      </c>
      <c r="BZ882" s="340"/>
      <c r="CA882" s="462" t="s">
        <v>845</v>
      </c>
      <c r="CB882" s="319" t="s">
        <v>845</v>
      </c>
      <c r="CC882" s="318"/>
      <c r="CD882" s="319" t="s">
        <v>845</v>
      </c>
      <c r="CE882" s="319" t="s">
        <v>845</v>
      </c>
      <c r="CF882" s="319" t="s">
        <v>845</v>
      </c>
      <c r="CG882" s="319" t="s">
        <v>845</v>
      </c>
      <c r="CH882" s="318"/>
      <c r="CI882" s="788" t="s">
        <v>845</v>
      </c>
      <c r="CJ882" s="821" t="s">
        <v>845</v>
      </c>
      <c r="CK882" s="342">
        <f t="shared" si="18"/>
        <v>0</v>
      </c>
      <c r="CL882" s="333">
        <f t="shared" si="19"/>
        <v>0</v>
      </c>
      <c r="CM882" s="829"/>
      <c r="CN882" s="333"/>
      <c r="CO882" s="333"/>
      <c r="CP882" s="333"/>
    </row>
    <row r="883">
      <c r="B883" s="462" t="s">
        <v>1517</v>
      </c>
      <c r="C883" s="417">
        <v>44358.0</v>
      </c>
      <c r="D883" s="318"/>
      <c r="E883" s="319">
        <v>3.0</v>
      </c>
      <c r="F883" s="324" t="s">
        <v>1535</v>
      </c>
      <c r="G883" s="321">
        <v>0.5777777777777777</v>
      </c>
      <c r="H883" s="323">
        <v>0.5778356481481481</v>
      </c>
      <c r="I883" s="323"/>
      <c r="J883" s="323"/>
      <c r="K883" s="323">
        <v>0.5782986111111111</v>
      </c>
      <c r="L883" s="323">
        <v>4.62962962962963E-4</v>
      </c>
      <c r="M883" s="319" t="s">
        <v>166</v>
      </c>
      <c r="N883" s="324" t="s">
        <v>187</v>
      </c>
      <c r="O883" s="419" t="s">
        <v>204</v>
      </c>
      <c r="P883" s="319" t="s">
        <v>262</v>
      </c>
      <c r="Q883" s="318"/>
      <c r="R883" s="326">
        <v>17.9</v>
      </c>
      <c r="S883" s="319">
        <v>3.6</v>
      </c>
      <c r="T883" s="324">
        <v>2.6</v>
      </c>
      <c r="U883" s="319">
        <v>0.2</v>
      </c>
      <c r="V883" s="319"/>
      <c r="W883" s="319"/>
      <c r="X883" s="319"/>
      <c r="Y883" s="319"/>
      <c r="Z883" s="319" t="s">
        <v>365</v>
      </c>
      <c r="AA883" s="319"/>
      <c r="AB883" s="319" t="s">
        <v>388</v>
      </c>
      <c r="AC883" s="327">
        <v>8.0</v>
      </c>
      <c r="AD883" s="319"/>
      <c r="AE883" s="319"/>
      <c r="AF883" s="319"/>
      <c r="AG883" s="319"/>
      <c r="AH883" s="319"/>
      <c r="AI883" s="319"/>
      <c r="AJ883" s="327"/>
      <c r="AK883" s="328"/>
      <c r="AL883" s="319"/>
      <c r="AM883" s="319"/>
      <c r="AN883" s="319"/>
      <c r="AO883" s="319"/>
      <c r="AP883" s="319"/>
      <c r="AQ883" s="319"/>
      <c r="AR883" s="319"/>
      <c r="AS883" s="327"/>
      <c r="AT883" s="461" t="s">
        <v>181</v>
      </c>
      <c r="AU883" s="324" t="s">
        <v>845</v>
      </c>
      <c r="AV883" s="330">
        <f>SQRT(($R883-Infrastructure!J$3)^2+($S883-Infrastructure!K$3)^2)</f>
        <v>31.16616755</v>
      </c>
      <c r="AW883" s="331">
        <f>SQRT(($R883-Infrastructure!J$4)^2+($S883-Infrastructure!K$4)^2)</f>
        <v>23.08419373</v>
      </c>
      <c r="AX883" s="331">
        <f>SQRT(($R883-Infrastructure!J$5)^2+($S883-Infrastructure!K$5)^2)</f>
        <v>18.26170857</v>
      </c>
      <c r="AY883" s="331">
        <f>SQRT(($R883-Infrastructure!J$6)^2+($S883-Infrastructure!K$6)^2)</f>
        <v>8.469356528</v>
      </c>
      <c r="AZ883" s="331">
        <f>SQRT(($R883-Infrastructure!J$7)^2+($S883-Infrastructure!K$7)^2)</f>
        <v>4.201190308</v>
      </c>
      <c r="BA883" s="331">
        <f>SQRT(($R883-Infrastructure!J$8)^2+($S883-Infrastructure!K$8)^2)</f>
        <v>12.63843345</v>
      </c>
      <c r="BB883" s="331">
        <f>SQRT(($R883-Infrastructure!J$9)^2+($S883-Infrastructure!K$9)^2)</f>
        <v>22.15084648</v>
      </c>
      <c r="BC883" s="331">
        <f>SQRT(($R883-Infrastructure!J$10)^2+($S883-Infrastructure!K$10)^2)</f>
        <v>24.86704647</v>
      </c>
      <c r="BD883" s="318"/>
      <c r="BE883" s="332"/>
      <c r="BF883" s="330">
        <f t="shared" si="14"/>
        <v>4.201190308</v>
      </c>
      <c r="BG883" s="333">
        <f t="shared" si="15"/>
        <v>31.16616755</v>
      </c>
      <c r="BH883" s="334"/>
      <c r="BI883" s="316" t="s">
        <v>845</v>
      </c>
      <c r="BJ883" s="318" t="s">
        <v>845</v>
      </c>
      <c r="BK883" s="318"/>
      <c r="BL883" s="318" t="s">
        <v>845</v>
      </c>
      <c r="BM883" s="318" t="s">
        <v>845</v>
      </c>
      <c r="BN883" s="318" t="s">
        <v>845</v>
      </c>
      <c r="BO883" s="318" t="s">
        <v>845</v>
      </c>
      <c r="BP883" s="318"/>
      <c r="BQ883" s="338" t="s">
        <v>845</v>
      </c>
      <c r="BR883" s="420" t="s">
        <v>845</v>
      </c>
      <c r="BS883" s="330">
        <f t="shared" si="54"/>
        <v>0</v>
      </c>
      <c r="BT883" s="331">
        <f t="shared" si="55"/>
        <v>0</v>
      </c>
      <c r="BU883" s="823"/>
      <c r="BV883" s="333"/>
      <c r="BW883" s="330"/>
      <c r="BX883" s="331"/>
      <c r="BY883" s="331" t="b">
        <f t="shared" si="56"/>
        <v>0</v>
      </c>
      <c r="BZ883" s="340"/>
      <c r="CA883" s="462" t="s">
        <v>845</v>
      </c>
      <c r="CB883" s="319" t="s">
        <v>845</v>
      </c>
      <c r="CC883" s="318"/>
      <c r="CD883" s="319" t="s">
        <v>845</v>
      </c>
      <c r="CE883" s="319" t="s">
        <v>845</v>
      </c>
      <c r="CF883" s="319" t="s">
        <v>845</v>
      </c>
      <c r="CG883" s="319" t="s">
        <v>845</v>
      </c>
      <c r="CH883" s="318"/>
      <c r="CI883" s="788" t="s">
        <v>845</v>
      </c>
      <c r="CJ883" s="821" t="s">
        <v>845</v>
      </c>
      <c r="CK883" s="342">
        <f t="shared" si="18"/>
        <v>0</v>
      </c>
      <c r="CL883" s="333">
        <f t="shared" si="19"/>
        <v>0</v>
      </c>
      <c r="CM883" s="829"/>
      <c r="CN883" s="333"/>
      <c r="CO883" s="333"/>
      <c r="CP883" s="333"/>
    </row>
    <row r="884">
      <c r="B884" s="462" t="s">
        <v>1517</v>
      </c>
      <c r="C884" s="417">
        <v>44358.0</v>
      </c>
      <c r="D884" s="318"/>
      <c r="E884" s="319"/>
      <c r="F884" s="324" t="s">
        <v>1536</v>
      </c>
      <c r="G884" s="321">
        <v>0.6909722222222222</v>
      </c>
      <c r="H884" s="323"/>
      <c r="I884" s="323"/>
      <c r="J884" s="323"/>
      <c r="K884" s="323">
        <v>0.6913194444444445</v>
      </c>
      <c r="L884" s="323">
        <v>3.4722222222222224E-4</v>
      </c>
      <c r="M884" s="319" t="s">
        <v>166</v>
      </c>
      <c r="N884" s="324" t="s">
        <v>188</v>
      </c>
      <c r="O884" s="419"/>
      <c r="P884" s="319" t="s">
        <v>231</v>
      </c>
      <c r="Q884" s="318"/>
      <c r="R884" s="833"/>
      <c r="S884" s="319"/>
      <c r="T884" s="324"/>
      <c r="U884" s="834"/>
      <c r="V884" s="834"/>
      <c r="W884" s="834"/>
      <c r="X884" s="834"/>
      <c r="Y884" s="834"/>
      <c r="Z884" s="319" t="s">
        <v>323</v>
      </c>
      <c r="AA884" s="319"/>
      <c r="AB884" s="319" t="s">
        <v>323</v>
      </c>
      <c r="AC884" s="327" t="s">
        <v>323</v>
      </c>
      <c r="AD884" s="319"/>
      <c r="AE884" s="319"/>
      <c r="AF884" s="319"/>
      <c r="AG884" s="319"/>
      <c r="AH884" s="319"/>
      <c r="AI884" s="319"/>
      <c r="AJ884" s="327"/>
      <c r="AK884" s="328"/>
      <c r="AL884" s="319"/>
      <c r="AM884" s="319"/>
      <c r="AN884" s="319"/>
      <c r="AO884" s="319"/>
      <c r="AP884" s="319"/>
      <c r="AQ884" s="319"/>
      <c r="AR884" s="319"/>
      <c r="AS884" s="327"/>
      <c r="AT884" s="344"/>
      <c r="AU884" s="332"/>
      <c r="AV884" s="330">
        <f>SQRT(($R884-Infrastructure!J$3)^2+($S884-Infrastructure!K$3)^2)</f>
        <v>28.90155705</v>
      </c>
      <c r="AW884" s="331">
        <f>SQRT(($R884-Infrastructure!J$4)^2+($S884-Infrastructure!K$4)^2)</f>
        <v>17.80252791</v>
      </c>
      <c r="AX884" s="331">
        <f>SQRT(($R884-Infrastructure!J$5)^2+($S884-Infrastructure!K$5)^2)</f>
        <v>5.10881591</v>
      </c>
      <c r="AY884" s="331">
        <f>SQRT(($R884-Infrastructure!J$6)^2+($S884-Infrastructure!K$6)^2)</f>
        <v>10.10445446</v>
      </c>
      <c r="AZ884" s="331">
        <f>SQRT(($R884-Infrastructure!J$7)^2+($S884-Infrastructure!K$7)^2)</f>
        <v>20.502195</v>
      </c>
      <c r="BA884" s="331">
        <f>SQRT(($R884-Infrastructure!J$8)^2+($S884-Infrastructure!K$8)^2)</f>
        <v>30.10149498</v>
      </c>
      <c r="BB884" s="331">
        <f>SQRT(($R884-Infrastructure!J$9)^2+($S884-Infrastructure!K$9)^2)</f>
        <v>40.3238143</v>
      </c>
      <c r="BC884" s="331">
        <f>SQRT(($R884-Infrastructure!J$10)^2+($S884-Infrastructure!K$10)^2)</f>
        <v>42.72001873</v>
      </c>
      <c r="BD884" s="318"/>
      <c r="BE884" s="332"/>
      <c r="BF884" s="330">
        <f t="shared" si="14"/>
        <v>5.10881591</v>
      </c>
      <c r="BG884" s="333">
        <f t="shared" si="15"/>
        <v>42.72001873</v>
      </c>
      <c r="BH884" s="334"/>
      <c r="BI884" s="316" t="s">
        <v>845</v>
      </c>
      <c r="BJ884" s="318" t="s">
        <v>845</v>
      </c>
      <c r="BK884" s="318"/>
      <c r="BL884" s="318" t="s">
        <v>845</v>
      </c>
      <c r="BM884" s="318" t="s">
        <v>845</v>
      </c>
      <c r="BN884" s="318" t="s">
        <v>845</v>
      </c>
      <c r="BO884" s="318" t="s">
        <v>845</v>
      </c>
      <c r="BP884" s="318"/>
      <c r="BQ884" s="338" t="s">
        <v>845</v>
      </c>
      <c r="BR884" s="420" t="s">
        <v>845</v>
      </c>
      <c r="BS884" s="330"/>
      <c r="BT884" s="331"/>
      <c r="BU884" s="823"/>
      <c r="BV884" s="333"/>
      <c r="BW884" s="330"/>
      <c r="BX884" s="331"/>
      <c r="BY884" s="331"/>
      <c r="BZ884" s="340"/>
      <c r="CA884" s="462" t="s">
        <v>845</v>
      </c>
      <c r="CB884" s="319" t="s">
        <v>845</v>
      </c>
      <c r="CC884" s="318"/>
      <c r="CD884" s="319" t="s">
        <v>845</v>
      </c>
      <c r="CE884" s="319" t="s">
        <v>845</v>
      </c>
      <c r="CF884" s="319" t="s">
        <v>845</v>
      </c>
      <c r="CG884" s="319" t="s">
        <v>845</v>
      </c>
      <c r="CH884" s="318"/>
      <c r="CI884" s="788" t="s">
        <v>845</v>
      </c>
      <c r="CJ884" s="821" t="s">
        <v>845</v>
      </c>
      <c r="CK884" s="342">
        <f t="shared" si="18"/>
        <v>0</v>
      </c>
      <c r="CL884" s="333">
        <f t="shared" si="19"/>
        <v>0</v>
      </c>
      <c r="CM884" s="829"/>
      <c r="CN884" s="333"/>
      <c r="CO884" s="333"/>
      <c r="CP884" s="333"/>
    </row>
    <row r="885">
      <c r="A885" s="634"/>
      <c r="B885" s="635" t="s">
        <v>1517</v>
      </c>
      <c r="C885" s="769">
        <v>44358.0</v>
      </c>
      <c r="D885" s="640"/>
      <c r="E885" s="663"/>
      <c r="F885" s="637" t="s">
        <v>1536</v>
      </c>
      <c r="G885" s="770">
        <v>0.6947916666666667</v>
      </c>
      <c r="H885" s="771"/>
      <c r="I885" s="771"/>
      <c r="J885" s="771"/>
      <c r="K885" s="771">
        <v>0.6972222222222222</v>
      </c>
      <c r="L885" s="771">
        <v>0.0024305555555555556</v>
      </c>
      <c r="M885" s="663" t="s">
        <v>358</v>
      </c>
      <c r="N885" s="637" t="s">
        <v>188</v>
      </c>
      <c r="O885" s="731"/>
      <c r="P885" s="663" t="s">
        <v>231</v>
      </c>
      <c r="Q885" s="640"/>
      <c r="R885" s="837"/>
      <c r="S885" s="663"/>
      <c r="T885" s="637"/>
      <c r="U885" s="838"/>
      <c r="V885" s="838"/>
      <c r="W885" s="838"/>
      <c r="X885" s="838"/>
      <c r="Y885" s="838"/>
      <c r="Z885" s="663" t="s">
        <v>323</v>
      </c>
      <c r="AA885" s="663"/>
      <c r="AB885" s="663" t="s">
        <v>323</v>
      </c>
      <c r="AC885" s="773" t="s">
        <v>323</v>
      </c>
      <c r="AD885" s="663"/>
      <c r="AE885" s="663"/>
      <c r="AF885" s="663"/>
      <c r="AG885" s="663"/>
      <c r="AH885" s="663"/>
      <c r="AI885" s="663"/>
      <c r="AJ885" s="773"/>
      <c r="AK885" s="839"/>
      <c r="AL885" s="663"/>
      <c r="AM885" s="663"/>
      <c r="AN885" s="663"/>
      <c r="AO885" s="663"/>
      <c r="AP885" s="663"/>
      <c r="AQ885" s="663"/>
      <c r="AR885" s="663"/>
      <c r="AS885" s="773"/>
      <c r="AT885" s="787"/>
      <c r="AU885" s="739"/>
      <c r="AV885" s="662">
        <f>SQRT(($R885-Infrastructure!J$3)^2+($S885-Infrastructure!K$3)^2)</f>
        <v>28.90155705</v>
      </c>
      <c r="AW885" s="641">
        <f>SQRT(($R885-Infrastructure!J$4)^2+($S885-Infrastructure!K$4)^2)</f>
        <v>17.80252791</v>
      </c>
      <c r="AX885" s="641">
        <f>SQRT(($R885-Infrastructure!J$5)^2+($S885-Infrastructure!K$5)^2)</f>
        <v>5.10881591</v>
      </c>
      <c r="AY885" s="641">
        <f>SQRT(($R885-Infrastructure!J$6)^2+($S885-Infrastructure!K$6)^2)</f>
        <v>10.10445446</v>
      </c>
      <c r="AZ885" s="641">
        <f>SQRT(($R885-Infrastructure!J$7)^2+($S885-Infrastructure!K$7)^2)</f>
        <v>20.502195</v>
      </c>
      <c r="BA885" s="641">
        <f>SQRT(($R885-Infrastructure!J$8)^2+($S885-Infrastructure!K$8)^2)</f>
        <v>30.10149498</v>
      </c>
      <c r="BB885" s="641">
        <f>SQRT(($R885-Infrastructure!J$9)^2+($S885-Infrastructure!K$9)^2)</f>
        <v>40.3238143</v>
      </c>
      <c r="BC885" s="641">
        <f>SQRT(($R885-Infrastructure!J$10)^2+($S885-Infrastructure!K$10)^2)</f>
        <v>42.72001873</v>
      </c>
      <c r="BD885" s="640"/>
      <c r="BE885" s="739"/>
      <c r="BF885" s="330">
        <f t="shared" si="14"/>
        <v>5.10881591</v>
      </c>
      <c r="BG885" s="333">
        <f t="shared" si="15"/>
        <v>42.72001873</v>
      </c>
      <c r="BH885" s="774"/>
      <c r="BI885" s="639" t="s">
        <v>846</v>
      </c>
      <c r="BJ885" s="640" t="s">
        <v>846</v>
      </c>
      <c r="BK885" s="640"/>
      <c r="BL885" s="640" t="s">
        <v>846</v>
      </c>
      <c r="BM885" s="640" t="s">
        <v>846</v>
      </c>
      <c r="BN885" s="640" t="s">
        <v>845</v>
      </c>
      <c r="BO885" s="640" t="s">
        <v>845</v>
      </c>
      <c r="BP885" s="640"/>
      <c r="BQ885" s="645" t="s">
        <v>846</v>
      </c>
      <c r="BR885" s="741" t="s">
        <v>845</v>
      </c>
      <c r="BS885" s="330"/>
      <c r="BT885" s="331"/>
      <c r="BU885" s="827"/>
      <c r="BV885" s="642"/>
      <c r="BW885" s="662"/>
      <c r="BX885" s="641"/>
      <c r="BY885" s="641"/>
      <c r="BZ885" s="742"/>
      <c r="CA885" s="635" t="s">
        <v>845</v>
      </c>
      <c r="CB885" s="663" t="s">
        <v>845</v>
      </c>
      <c r="CC885" s="640"/>
      <c r="CD885" s="663" t="s">
        <v>845</v>
      </c>
      <c r="CE885" s="663" t="s">
        <v>845</v>
      </c>
      <c r="CF885" s="663" t="s">
        <v>845</v>
      </c>
      <c r="CG885" s="663" t="s">
        <v>845</v>
      </c>
      <c r="CH885" s="640"/>
      <c r="CI885" s="790" t="s">
        <v>845</v>
      </c>
      <c r="CJ885" s="822" t="s">
        <v>845</v>
      </c>
      <c r="CK885" s="342">
        <f t="shared" si="18"/>
        <v>0</v>
      </c>
      <c r="CL885" s="333">
        <f t="shared" si="19"/>
        <v>0</v>
      </c>
      <c r="CM885" s="831"/>
      <c r="CN885" s="333"/>
      <c r="CO885" s="333"/>
      <c r="CP885" s="333"/>
    </row>
    <row r="886">
      <c r="A886" s="315" t="s">
        <v>42</v>
      </c>
      <c r="B886" s="462" t="s">
        <v>1537</v>
      </c>
      <c r="C886" s="417">
        <v>44368.0</v>
      </c>
      <c r="D886" s="318"/>
      <c r="E886" s="319" t="s">
        <v>1453</v>
      </c>
      <c r="F886" s="324" t="s">
        <v>1538</v>
      </c>
      <c r="G886" s="321">
        <v>0.5755208333333334</v>
      </c>
      <c r="H886" s="323">
        <v>0.5763888888888888</v>
      </c>
      <c r="I886" s="323"/>
      <c r="J886" s="323"/>
      <c r="K886" s="323">
        <v>0.61875</v>
      </c>
      <c r="L886" s="323">
        <v>0.04236111111111111</v>
      </c>
      <c r="M886" s="319" t="s">
        <v>166</v>
      </c>
      <c r="N886" s="324" t="s">
        <v>187</v>
      </c>
      <c r="O886" s="419" t="s">
        <v>202</v>
      </c>
      <c r="P886" s="319" t="s">
        <v>212</v>
      </c>
      <c r="Q886" s="318"/>
      <c r="R886" s="326">
        <v>17.4</v>
      </c>
      <c r="S886" s="319">
        <v>5.2</v>
      </c>
      <c r="T886" s="324">
        <v>0.6</v>
      </c>
      <c r="U886" s="319">
        <v>1.0</v>
      </c>
      <c r="V886" s="319"/>
      <c r="W886" s="319"/>
      <c r="X886" s="319"/>
      <c r="Y886" s="319"/>
      <c r="Z886" s="319" t="s">
        <v>339</v>
      </c>
      <c r="AA886" s="319"/>
      <c r="AB886" s="319" t="s">
        <v>329</v>
      </c>
      <c r="AC886" s="327">
        <v>1.5</v>
      </c>
      <c r="AD886" s="319"/>
      <c r="AE886" s="319"/>
      <c r="AF886" s="319"/>
      <c r="AG886" s="319"/>
      <c r="AH886" s="319"/>
      <c r="AI886" s="319"/>
      <c r="AJ886" s="327"/>
      <c r="AK886" s="328"/>
      <c r="AL886" s="319"/>
      <c r="AM886" s="319"/>
      <c r="AN886" s="319"/>
      <c r="AO886" s="319"/>
      <c r="AP886" s="319"/>
      <c r="AQ886" s="319"/>
      <c r="AR886" s="319"/>
      <c r="AS886" s="327"/>
      <c r="AT886" s="460" t="s">
        <v>182</v>
      </c>
      <c r="AU886" s="394" t="s">
        <v>846</v>
      </c>
      <c r="AV886" s="330">
        <f>SQRT(($R886-Infrastructure!J$3)^2+($S886-Infrastructure!K$3)^2)</f>
        <v>29.58006085</v>
      </c>
      <c r="AW886" s="331">
        <f>SQRT(($R886-Infrastructure!J$4)^2+($S886-Infrastructure!K$4)^2)</f>
        <v>21.72671167</v>
      </c>
      <c r="AX886" s="331">
        <f>SQRT(($R886-Infrastructure!J$5)^2+($S886-Infrastructure!K$5)^2)</f>
        <v>17.70028248</v>
      </c>
      <c r="AY886" s="331">
        <f>SQRT(($R886-Infrastructure!J$6)^2+($S886-Infrastructure!K$6)^2)</f>
        <v>8.792041856</v>
      </c>
      <c r="AZ886" s="331">
        <f>SQRT(($R886-Infrastructure!J$7)^2+($S886-Infrastructure!K$7)^2)</f>
        <v>5.798275606</v>
      </c>
      <c r="BA886" s="331">
        <f>SQRT(($R886-Infrastructure!J$8)^2+($S886-Infrastructure!K$8)^2)</f>
        <v>13.61249426</v>
      </c>
      <c r="BB886" s="331">
        <f>SQRT(($R886-Infrastructure!J$9)^2+($S886-Infrastructure!K$9)^2)</f>
        <v>22.60022124</v>
      </c>
      <c r="BC886" s="331">
        <f>SQRT(($R886-Infrastructure!J$10)^2+($S886-Infrastructure!K$10)^2)</f>
        <v>24.63331078</v>
      </c>
      <c r="BD886" s="318"/>
      <c r="BE886" s="332"/>
      <c r="BF886" s="330">
        <f t="shared" si="14"/>
        <v>5.798275606</v>
      </c>
      <c r="BG886" s="333">
        <f t="shared" si="15"/>
        <v>29.58006085</v>
      </c>
      <c r="BH886" s="409"/>
      <c r="BI886" s="573" t="s">
        <v>846</v>
      </c>
      <c r="BJ886" s="393" t="s">
        <v>846</v>
      </c>
      <c r="BK886" s="392"/>
      <c r="BL886" s="393" t="s">
        <v>846</v>
      </c>
      <c r="BM886" s="393" t="s">
        <v>846</v>
      </c>
      <c r="BN886" s="393" t="s">
        <v>845</v>
      </c>
      <c r="BO886" s="393" t="s">
        <v>845</v>
      </c>
      <c r="BP886" s="392"/>
      <c r="BQ886" s="792" t="s">
        <v>846</v>
      </c>
      <c r="BR886" s="793" t="s">
        <v>845</v>
      </c>
      <c r="BS886" s="330">
        <f t="shared" ref="BS886:BS902" si="57">MINIFS(AV886:BE886,BI886:BR886, "Y")</f>
        <v>5.798275606</v>
      </c>
      <c r="BT886" s="331">
        <f t="shared" ref="BT886:BT902" si="58">MAXIFS(AV886:BE886,BI886:BR886, "Y")</f>
        <v>29.58006085</v>
      </c>
      <c r="BU886" s="827">
        <v>0.5756481481481481</v>
      </c>
      <c r="BV886" s="408"/>
      <c r="BW886" s="405">
        <v>20.4396449704142</v>
      </c>
      <c r="BX886" s="406">
        <v>9.07455621301775</v>
      </c>
      <c r="BY886" s="331">
        <f t="shared" ref="BY886:BY902" si="59">IF(BW886&gt;0, SQRT((R886-BW886)^2+(S886-BX886)^2))</f>
        <v>4.924594135</v>
      </c>
      <c r="BZ886" s="340"/>
      <c r="CA886" s="462" t="s">
        <v>846</v>
      </c>
      <c r="CB886" s="319" t="s">
        <v>845</v>
      </c>
      <c r="CC886" s="318"/>
      <c r="CD886" s="319" t="s">
        <v>846</v>
      </c>
      <c r="CE886" s="319" t="s">
        <v>846</v>
      </c>
      <c r="CF886" s="319" t="s">
        <v>845</v>
      </c>
      <c r="CG886" s="319" t="s">
        <v>845</v>
      </c>
      <c r="CH886" s="318"/>
      <c r="CI886" s="788" t="s">
        <v>845</v>
      </c>
      <c r="CJ886" s="821" t="s">
        <v>845</v>
      </c>
      <c r="CK886" s="342">
        <f t="shared" si="18"/>
        <v>5.798275606</v>
      </c>
      <c r="CL886" s="333">
        <f t="shared" si="19"/>
        <v>29.58006085</v>
      </c>
      <c r="CM886" s="829"/>
      <c r="CN886" s="333"/>
      <c r="CO886" s="333"/>
      <c r="CP886" s="333"/>
    </row>
    <row r="887">
      <c r="B887" s="462" t="s">
        <v>1537</v>
      </c>
      <c r="C887" s="417">
        <v>44368.0</v>
      </c>
      <c r="D887" s="318"/>
      <c r="E887" s="319" t="s">
        <v>1455</v>
      </c>
      <c r="F887" s="324" t="s">
        <v>1539</v>
      </c>
      <c r="G887" s="321">
        <v>0.5755208333333334</v>
      </c>
      <c r="H887" s="323">
        <v>0.5763888888888888</v>
      </c>
      <c r="I887" s="323"/>
      <c r="J887" s="323"/>
      <c r="K887" s="323">
        <v>0.61875</v>
      </c>
      <c r="L887" s="323">
        <v>0.04236111111111111</v>
      </c>
      <c r="M887" s="319" t="s">
        <v>166</v>
      </c>
      <c r="N887" s="324" t="s">
        <v>187</v>
      </c>
      <c r="O887" s="419" t="s">
        <v>199</v>
      </c>
      <c r="P887" s="319" t="s">
        <v>220</v>
      </c>
      <c r="Q887" s="318"/>
      <c r="R887" s="326">
        <v>21.2</v>
      </c>
      <c r="S887" s="319">
        <v>8.7</v>
      </c>
      <c r="T887" s="324">
        <v>2.4</v>
      </c>
      <c r="U887" s="319">
        <v>1.0</v>
      </c>
      <c r="V887" s="319"/>
      <c r="W887" s="319"/>
      <c r="X887" s="319"/>
      <c r="Y887" s="319"/>
      <c r="Z887" s="319" t="s">
        <v>351</v>
      </c>
      <c r="AA887" s="319"/>
      <c r="AB887" s="319" t="s">
        <v>384</v>
      </c>
      <c r="AC887" s="327">
        <v>6.0</v>
      </c>
      <c r="AD887" s="319"/>
      <c r="AE887" s="319"/>
      <c r="AF887" s="319"/>
      <c r="AG887" s="319"/>
      <c r="AH887" s="319"/>
      <c r="AI887" s="319"/>
      <c r="AJ887" s="327"/>
      <c r="AK887" s="328"/>
      <c r="AL887" s="319"/>
      <c r="AM887" s="319"/>
      <c r="AN887" s="319"/>
      <c r="AO887" s="319"/>
      <c r="AP887" s="319"/>
      <c r="AQ887" s="319"/>
      <c r="AR887" s="319"/>
      <c r="AS887" s="327"/>
      <c r="AT887" s="461" t="s">
        <v>182</v>
      </c>
      <c r="AU887" s="324" t="s">
        <v>846</v>
      </c>
      <c r="AV887" s="330">
        <f>SQRT(($R887-Infrastructure!J$3)^2+($S887-Infrastructure!K$3)^2)</f>
        <v>29.50067796</v>
      </c>
      <c r="AW887" s="331">
        <f>SQRT(($R887-Infrastructure!J$4)^2+($S887-Infrastructure!K$4)^2)</f>
        <v>23.34652008</v>
      </c>
      <c r="AX887" s="331">
        <f>SQRT(($R887-Infrastructure!J$5)^2+($S887-Infrastructure!K$5)^2)</f>
        <v>21.79931192</v>
      </c>
      <c r="AY887" s="331">
        <f>SQRT(($R887-Infrastructure!J$6)^2+($S887-Infrastructure!K$6)^2)</f>
        <v>13.92012931</v>
      </c>
      <c r="AZ887" s="331">
        <f>SQRT(($R887-Infrastructure!J$7)^2+($S887-Infrastructure!K$7)^2)</f>
        <v>8.429116205</v>
      </c>
      <c r="BA887" s="331">
        <f>SQRT(($R887-Infrastructure!J$8)^2+($S887-Infrastructure!K$8)^2)</f>
        <v>12.2380554</v>
      </c>
      <c r="BB887" s="331">
        <f>SQRT(($R887-Infrastructure!J$9)^2+($S887-Infrastructure!K$9)^2)</f>
        <v>19.14157778</v>
      </c>
      <c r="BC887" s="331">
        <f>SQRT(($R887-Infrastructure!J$10)^2+($S887-Infrastructure!K$10)^2)</f>
        <v>19.82750615</v>
      </c>
      <c r="BD887" s="318"/>
      <c r="BE887" s="332"/>
      <c r="BF887" s="330">
        <f t="shared" si="14"/>
        <v>8.429116205</v>
      </c>
      <c r="BG887" s="333">
        <f t="shared" si="15"/>
        <v>29.50067796</v>
      </c>
      <c r="BH887" s="334"/>
      <c r="BI887" s="462" t="s">
        <v>846</v>
      </c>
      <c r="BJ887" s="319" t="s">
        <v>846</v>
      </c>
      <c r="BK887" s="318"/>
      <c r="BL887" s="319" t="s">
        <v>846</v>
      </c>
      <c r="BM887" s="319" t="s">
        <v>846</v>
      </c>
      <c r="BN887" s="319" t="s">
        <v>845</v>
      </c>
      <c r="BO887" s="319" t="s">
        <v>845</v>
      </c>
      <c r="BP887" s="318"/>
      <c r="BQ887" s="788" t="s">
        <v>846</v>
      </c>
      <c r="BR887" s="789" t="s">
        <v>845</v>
      </c>
      <c r="BS887" s="330">
        <f t="shared" si="57"/>
        <v>8.429116205</v>
      </c>
      <c r="BT887" s="331">
        <f t="shared" si="58"/>
        <v>29.50067796</v>
      </c>
      <c r="BU887" s="824">
        <v>0.5756481481481481</v>
      </c>
      <c r="BV887" s="333"/>
      <c r="BW887" s="330">
        <v>20.4396449704142</v>
      </c>
      <c r="BX887" s="331">
        <v>9.07455621301775</v>
      </c>
      <c r="BY887" s="331">
        <f t="shared" si="59"/>
        <v>0.8476037563</v>
      </c>
      <c r="BZ887" s="340"/>
      <c r="CA887" s="462" t="s">
        <v>846</v>
      </c>
      <c r="CB887" s="319" t="s">
        <v>845</v>
      </c>
      <c r="CC887" s="318"/>
      <c r="CD887" s="319" t="s">
        <v>846</v>
      </c>
      <c r="CE887" s="319" t="s">
        <v>846</v>
      </c>
      <c r="CF887" s="319" t="s">
        <v>845</v>
      </c>
      <c r="CG887" s="319" t="s">
        <v>845</v>
      </c>
      <c r="CH887" s="318"/>
      <c r="CI887" s="788" t="s">
        <v>845</v>
      </c>
      <c r="CJ887" s="821" t="s">
        <v>845</v>
      </c>
      <c r="CK887" s="342">
        <f t="shared" si="18"/>
        <v>8.429116205</v>
      </c>
      <c r="CL887" s="333">
        <f t="shared" si="19"/>
        <v>29.50067796</v>
      </c>
      <c r="CM887" s="829"/>
      <c r="CN887" s="333"/>
      <c r="CO887" s="333"/>
      <c r="CP887" s="333"/>
    </row>
    <row r="888">
      <c r="A888" s="634"/>
      <c r="B888" s="635" t="s">
        <v>1537</v>
      </c>
      <c r="C888" s="769">
        <v>44368.0</v>
      </c>
      <c r="D888" s="640"/>
      <c r="E888" s="663" t="s">
        <v>1457</v>
      </c>
      <c r="F888" s="637" t="s">
        <v>1540</v>
      </c>
      <c r="G888" s="770">
        <v>0.5755208333333334</v>
      </c>
      <c r="H888" s="771">
        <v>0.5763888888888888</v>
      </c>
      <c r="I888" s="771"/>
      <c r="J888" s="771"/>
      <c r="K888" s="771">
        <v>0.61875</v>
      </c>
      <c r="L888" s="771">
        <v>0.04236111111111111</v>
      </c>
      <c r="M888" s="663" t="s">
        <v>166</v>
      </c>
      <c r="N888" s="637" t="s">
        <v>188</v>
      </c>
      <c r="O888" s="731" t="s">
        <v>378</v>
      </c>
      <c r="P888" s="663" t="s">
        <v>225</v>
      </c>
      <c r="Q888" s="640"/>
      <c r="R888" s="772">
        <v>22.4</v>
      </c>
      <c r="S888" s="663">
        <v>39.6</v>
      </c>
      <c r="T888" s="637">
        <v>1.0</v>
      </c>
      <c r="U888" s="663">
        <v>1.0</v>
      </c>
      <c r="V888" s="663"/>
      <c r="W888" s="663"/>
      <c r="X888" s="663"/>
      <c r="Y888" s="663"/>
      <c r="Z888" s="663" t="s">
        <v>383</v>
      </c>
      <c r="AA888" s="663"/>
      <c r="AB888" s="663" t="s">
        <v>398</v>
      </c>
      <c r="AC888" s="773">
        <v>6.0</v>
      </c>
      <c r="AD888" s="319"/>
      <c r="AE888" s="319"/>
      <c r="AF888" s="319"/>
      <c r="AG888" s="319"/>
      <c r="AH888" s="319"/>
      <c r="AI888" s="319"/>
      <c r="AJ888" s="327"/>
      <c r="AK888" s="328"/>
      <c r="AL888" s="319"/>
      <c r="AM888" s="319"/>
      <c r="AN888" s="319"/>
      <c r="AO888" s="319"/>
      <c r="AP888" s="319"/>
      <c r="AQ888" s="319"/>
      <c r="AR888" s="319"/>
      <c r="AS888" s="327"/>
      <c r="AT888" s="461" t="s">
        <v>182</v>
      </c>
      <c r="AU888" s="637" t="s">
        <v>846</v>
      </c>
      <c r="AV888" s="330">
        <f>SQRT(($R888-Infrastructure!J$3)^2+($S888-Infrastructure!K$3)^2)</f>
        <v>25.09541791</v>
      </c>
      <c r="AW888" s="331">
        <f>SQRT(($R888-Infrastructure!J$4)^2+($S888-Infrastructure!K$4)^2)</f>
        <v>31.47268657</v>
      </c>
      <c r="AX888" s="331">
        <f>SQRT(($R888-Infrastructure!J$5)^2+($S888-Infrastructure!K$5)^2)</f>
        <v>41.29818398</v>
      </c>
      <c r="AY888" s="331">
        <f>SQRT(($R888-Infrastructure!J$6)^2+($S888-Infrastructure!K$6)^2)</f>
        <v>41.17984944</v>
      </c>
      <c r="AZ888" s="331">
        <f>SQRT(($R888-Infrastructure!J$7)^2+($S888-Infrastructure!K$7)^2)</f>
        <v>39.34590195</v>
      </c>
      <c r="BA888" s="331">
        <f>SQRT(($R888-Infrastructure!J$8)^2+($S888-Infrastructure!K$8)^2)</f>
        <v>40.04722213</v>
      </c>
      <c r="BB888" s="331">
        <f>SQRT(($R888-Infrastructure!J$9)^2+($S888-Infrastructure!K$9)^2)</f>
        <v>38.72996256</v>
      </c>
      <c r="BC888" s="331">
        <f>SQRT(($R888-Infrastructure!J$10)^2+($S888-Infrastructure!K$10)^2)</f>
        <v>30.24764454</v>
      </c>
      <c r="BD888" s="318"/>
      <c r="BE888" s="332"/>
      <c r="BF888" s="330">
        <f t="shared" si="14"/>
        <v>25.09541791</v>
      </c>
      <c r="BG888" s="333">
        <f t="shared" si="15"/>
        <v>41.29818398</v>
      </c>
      <c r="BH888" s="774"/>
      <c r="BI888" s="635" t="s">
        <v>846</v>
      </c>
      <c r="BJ888" s="663" t="s">
        <v>846</v>
      </c>
      <c r="BK888" s="640"/>
      <c r="BL888" s="663" t="s">
        <v>846</v>
      </c>
      <c r="BM888" s="663" t="s">
        <v>846</v>
      </c>
      <c r="BN888" s="663" t="s">
        <v>845</v>
      </c>
      <c r="BO888" s="663" t="s">
        <v>845</v>
      </c>
      <c r="BP888" s="640"/>
      <c r="BQ888" s="790" t="s">
        <v>846</v>
      </c>
      <c r="BR888" s="841" t="s">
        <v>845</v>
      </c>
      <c r="BS888" s="330">
        <f t="shared" si="57"/>
        <v>25.09541791</v>
      </c>
      <c r="BT888" s="331">
        <f t="shared" si="58"/>
        <v>41.17984944</v>
      </c>
      <c r="BU888" s="824">
        <v>0.5756481481481481</v>
      </c>
      <c r="BV888" s="642"/>
      <c r="BW888" s="662">
        <v>20.4396449704142</v>
      </c>
      <c r="BX888" s="641">
        <v>9.07455621301775</v>
      </c>
      <c r="BY888" s="331">
        <f t="shared" si="59"/>
        <v>30.58832637</v>
      </c>
      <c r="BZ888" s="340"/>
      <c r="CA888" s="462" t="s">
        <v>846</v>
      </c>
      <c r="CB888" s="319" t="s">
        <v>845</v>
      </c>
      <c r="CC888" s="318"/>
      <c r="CD888" s="319" t="s">
        <v>846</v>
      </c>
      <c r="CE888" s="319" t="s">
        <v>846</v>
      </c>
      <c r="CF888" s="319" t="s">
        <v>845</v>
      </c>
      <c r="CG888" s="319" t="s">
        <v>845</v>
      </c>
      <c r="CH888" s="318"/>
      <c r="CI888" s="788" t="s">
        <v>845</v>
      </c>
      <c r="CJ888" s="821" t="s">
        <v>845</v>
      </c>
      <c r="CK888" s="342">
        <f t="shared" si="18"/>
        <v>25.09541791</v>
      </c>
      <c r="CL888" s="333">
        <f t="shared" si="19"/>
        <v>41.17984944</v>
      </c>
      <c r="CM888" s="829"/>
      <c r="CN888" s="333"/>
      <c r="CO888" s="333"/>
      <c r="CP888" s="333"/>
    </row>
    <row r="889">
      <c r="A889" s="389" t="s">
        <v>49</v>
      </c>
      <c r="B889" s="573" t="s">
        <v>1537</v>
      </c>
      <c r="C889" s="391">
        <v>44369.0</v>
      </c>
      <c r="D889" s="392"/>
      <c r="E889" s="393" t="s">
        <v>1453</v>
      </c>
      <c r="F889" s="394" t="s">
        <v>1541</v>
      </c>
      <c r="G889" s="395">
        <v>0.58125</v>
      </c>
      <c r="H889" s="456">
        <v>0.5815972222222222</v>
      </c>
      <c r="I889" s="456"/>
      <c r="J889" s="456"/>
      <c r="K889" s="456">
        <v>0.5862847222222223</v>
      </c>
      <c r="L889" s="456">
        <v>0.0046875</v>
      </c>
      <c r="M889" s="393" t="s">
        <v>166</v>
      </c>
      <c r="N889" s="394" t="s">
        <v>187</v>
      </c>
      <c r="O889" s="399" t="s">
        <v>198</v>
      </c>
      <c r="P889" s="393" t="s">
        <v>213</v>
      </c>
      <c r="Q889" s="392"/>
      <c r="R889" s="400">
        <v>10.7</v>
      </c>
      <c r="S889" s="393">
        <v>10.9</v>
      </c>
      <c r="T889" s="394">
        <v>3.0</v>
      </c>
      <c r="U889" s="393">
        <v>1.0</v>
      </c>
      <c r="V889" s="393"/>
      <c r="W889" s="393"/>
      <c r="X889" s="393"/>
      <c r="Y889" s="393"/>
      <c r="Z889" s="393" t="s">
        <v>343</v>
      </c>
      <c r="AA889" s="393"/>
      <c r="AB889" s="393" t="s">
        <v>384</v>
      </c>
      <c r="AC889" s="401">
        <v>6.0</v>
      </c>
      <c r="AD889" s="393"/>
      <c r="AE889" s="393"/>
      <c r="AF889" s="393"/>
      <c r="AG889" s="393"/>
      <c r="AH889" s="393"/>
      <c r="AI889" s="393"/>
      <c r="AJ889" s="401"/>
      <c r="AK889" s="402"/>
      <c r="AL889" s="393"/>
      <c r="AM889" s="393"/>
      <c r="AN889" s="393"/>
      <c r="AO889" s="393"/>
      <c r="AP889" s="393"/>
      <c r="AQ889" s="393"/>
      <c r="AR889" s="393"/>
      <c r="AS889" s="401"/>
      <c r="AT889" s="460" t="s">
        <v>182</v>
      </c>
      <c r="AU889" s="394" t="s">
        <v>845</v>
      </c>
      <c r="AV889" s="405">
        <f>SQRT(($R889-Infrastructure!J$3)^2+($S889-Infrastructure!K$3)^2)</f>
        <v>21.09502311</v>
      </c>
      <c r="AW889" s="406">
        <f>SQRT(($R889-Infrastructure!J$4)^2+($S889-Infrastructure!K$4)^2)</f>
        <v>12.98499134</v>
      </c>
      <c r="AX889" s="406">
        <f>SQRT(($R889-Infrastructure!J$5)^2+($S889-Infrastructure!K$5)^2)</f>
        <v>12.43543325</v>
      </c>
      <c r="AY889" s="406">
        <f>SQRT(($R889-Infrastructure!J$6)^2+($S889-Infrastructure!K$6)^2)</f>
        <v>10.61696755</v>
      </c>
      <c r="AZ889" s="406">
        <f>SQRT(($R889-Infrastructure!J$7)^2+($S889-Infrastructure!K$7)^2)</f>
        <v>14.43606595</v>
      </c>
      <c r="BA889" s="406">
        <f>SQRT(($R889-Infrastructure!J$8)^2+($S889-Infrastructure!K$8)^2)</f>
        <v>22.10701246</v>
      </c>
      <c r="BB889" s="406">
        <f>SQRT(($R889-Infrastructure!J$9)^2+($S889-Infrastructure!K$9)^2)</f>
        <v>29.86854533</v>
      </c>
      <c r="BC889" s="406">
        <f>SQRT(($R889-Infrastructure!J$10)^2+($S889-Infrastructure!K$10)^2)</f>
        <v>29.58546941</v>
      </c>
      <c r="BD889" s="392"/>
      <c r="BE889" s="407"/>
      <c r="BF889" s="330">
        <f t="shared" si="14"/>
        <v>10.61696755</v>
      </c>
      <c r="BG889" s="333">
        <f t="shared" si="15"/>
        <v>29.86854533</v>
      </c>
      <c r="BH889" s="409"/>
      <c r="BI889" s="573" t="s">
        <v>845</v>
      </c>
      <c r="BJ889" s="393" t="s">
        <v>846</v>
      </c>
      <c r="BK889" s="392"/>
      <c r="BL889" s="393" t="s">
        <v>845</v>
      </c>
      <c r="BM889" s="393" t="s">
        <v>845</v>
      </c>
      <c r="BN889" s="393" t="s">
        <v>845</v>
      </c>
      <c r="BO889" s="393" t="s">
        <v>845</v>
      </c>
      <c r="BP889" s="392"/>
      <c r="BQ889" s="792" t="s">
        <v>846</v>
      </c>
      <c r="BR889" s="793" t="s">
        <v>845</v>
      </c>
      <c r="BS889" s="330">
        <f t="shared" si="57"/>
        <v>12.98499134</v>
      </c>
      <c r="BT889" s="331">
        <f t="shared" si="58"/>
        <v>12.98499134</v>
      </c>
      <c r="BU889" s="842">
        <v>0.5829282407407408</v>
      </c>
      <c r="BV889" s="408"/>
      <c r="BW889" s="405">
        <v>1.95</v>
      </c>
      <c r="BX889" s="406">
        <v>14.39</v>
      </c>
      <c r="BY889" s="406">
        <f t="shared" si="59"/>
        <v>9.420329081</v>
      </c>
      <c r="BZ889" s="412"/>
      <c r="CA889" s="573" t="s">
        <v>845</v>
      </c>
      <c r="CB889" s="393" t="s">
        <v>845</v>
      </c>
      <c r="CC889" s="392"/>
      <c r="CD889" s="393" t="s">
        <v>845</v>
      </c>
      <c r="CE889" s="393" t="s">
        <v>845</v>
      </c>
      <c r="CF889" s="393" t="s">
        <v>845</v>
      </c>
      <c r="CG889" s="393" t="s">
        <v>845</v>
      </c>
      <c r="CH889" s="392"/>
      <c r="CI889" s="792" t="s">
        <v>845</v>
      </c>
      <c r="CJ889" s="820" t="s">
        <v>845</v>
      </c>
      <c r="CK889" s="342">
        <f t="shared" si="18"/>
        <v>0</v>
      </c>
      <c r="CL889" s="333">
        <f t="shared" si="19"/>
        <v>0</v>
      </c>
      <c r="CM889" s="832"/>
      <c r="CN889" s="333"/>
      <c r="CO889" s="333"/>
      <c r="CP889" s="333"/>
    </row>
    <row r="890">
      <c r="B890" s="462" t="s">
        <v>1537</v>
      </c>
      <c r="C890" s="417">
        <v>44369.0</v>
      </c>
      <c r="D890" s="318"/>
      <c r="E890" s="319" t="s">
        <v>1455</v>
      </c>
      <c r="F890" s="324" t="s">
        <v>1542</v>
      </c>
      <c r="G890" s="321"/>
      <c r="H890" s="323">
        <v>0.5862847222222223</v>
      </c>
      <c r="I890" s="323"/>
      <c r="J890" s="323"/>
      <c r="K890" s="323">
        <v>0.5899305555555555</v>
      </c>
      <c r="L890" s="323">
        <v>0.0036458333333333334</v>
      </c>
      <c r="M890" s="319" t="s">
        <v>166</v>
      </c>
      <c r="N890" s="324" t="s">
        <v>187</v>
      </c>
      <c r="O890" s="419" t="s">
        <v>198</v>
      </c>
      <c r="P890" s="319" t="s">
        <v>213</v>
      </c>
      <c r="Q890" s="318"/>
      <c r="R890" s="326">
        <v>10.7</v>
      </c>
      <c r="S890" s="319">
        <v>10.9</v>
      </c>
      <c r="T890" s="324">
        <v>3.0</v>
      </c>
      <c r="U890" s="319">
        <v>2.0</v>
      </c>
      <c r="V890" s="319"/>
      <c r="W890" s="319"/>
      <c r="X890" s="319"/>
      <c r="Y890" s="319"/>
      <c r="Z890" s="319" t="s">
        <v>343</v>
      </c>
      <c r="AA890" s="319"/>
      <c r="AB890" s="319" t="s">
        <v>384</v>
      </c>
      <c r="AC890" s="327">
        <v>6.0</v>
      </c>
      <c r="AD890" s="319"/>
      <c r="AE890" s="319"/>
      <c r="AF890" s="319"/>
      <c r="AG890" s="319"/>
      <c r="AH890" s="319"/>
      <c r="AI890" s="319"/>
      <c r="AJ890" s="327"/>
      <c r="AK890" s="328"/>
      <c r="AL890" s="319"/>
      <c r="AM890" s="319"/>
      <c r="AN890" s="319"/>
      <c r="AO890" s="319"/>
      <c r="AP890" s="319"/>
      <c r="AQ890" s="319"/>
      <c r="AR890" s="319"/>
      <c r="AS890" s="327"/>
      <c r="AT890" s="461" t="s">
        <v>182</v>
      </c>
      <c r="AU890" s="324" t="s">
        <v>845</v>
      </c>
      <c r="AV890" s="330">
        <f>SQRT(($R890-Infrastructure!J$3)^2+($S890-Infrastructure!K$3)^2)</f>
        <v>21.09502311</v>
      </c>
      <c r="AW890" s="331">
        <f>SQRT(($R890-Infrastructure!J$4)^2+($S890-Infrastructure!K$4)^2)</f>
        <v>12.98499134</v>
      </c>
      <c r="AX890" s="331">
        <f>SQRT(($R890-Infrastructure!J$5)^2+($S890-Infrastructure!K$5)^2)</f>
        <v>12.43543325</v>
      </c>
      <c r="AY890" s="331">
        <f>SQRT(($R890-Infrastructure!J$6)^2+($S890-Infrastructure!K$6)^2)</f>
        <v>10.61696755</v>
      </c>
      <c r="AZ890" s="331">
        <f>SQRT(($R890-Infrastructure!J$7)^2+($S890-Infrastructure!K$7)^2)</f>
        <v>14.43606595</v>
      </c>
      <c r="BA890" s="331">
        <f>SQRT(($R890-Infrastructure!J$8)^2+($S890-Infrastructure!K$8)^2)</f>
        <v>22.10701246</v>
      </c>
      <c r="BB890" s="331">
        <f>SQRT(($R890-Infrastructure!J$9)^2+($S890-Infrastructure!K$9)^2)</f>
        <v>29.86854533</v>
      </c>
      <c r="BC890" s="331">
        <f>SQRT(($R890-Infrastructure!J$10)^2+($S890-Infrastructure!K$10)^2)</f>
        <v>29.58546941</v>
      </c>
      <c r="BD890" s="318"/>
      <c r="BE890" s="332"/>
      <c r="BF890" s="330">
        <f t="shared" si="14"/>
        <v>10.61696755</v>
      </c>
      <c r="BG890" s="333">
        <f t="shared" si="15"/>
        <v>29.86854533</v>
      </c>
      <c r="BH890" s="334"/>
      <c r="BI890" s="462" t="s">
        <v>846</v>
      </c>
      <c r="BJ890" s="319" t="s">
        <v>846</v>
      </c>
      <c r="BK890" s="318"/>
      <c r="BL890" s="319" t="s">
        <v>845</v>
      </c>
      <c r="BM890" s="319" t="s">
        <v>846</v>
      </c>
      <c r="BN890" s="319" t="s">
        <v>845</v>
      </c>
      <c r="BO890" s="319" t="s">
        <v>845</v>
      </c>
      <c r="BP890" s="318"/>
      <c r="BQ890" s="788" t="s">
        <v>846</v>
      </c>
      <c r="BR890" s="789" t="s">
        <v>845</v>
      </c>
      <c r="BS890" s="330">
        <f t="shared" si="57"/>
        <v>12.98499134</v>
      </c>
      <c r="BT890" s="331">
        <f t="shared" si="58"/>
        <v>21.09502311</v>
      </c>
      <c r="BU890" s="842">
        <v>0.586574074074074</v>
      </c>
      <c r="BV890" s="333"/>
      <c r="BW890" s="330">
        <v>11.75</v>
      </c>
      <c r="BX890" s="331">
        <v>9.63</v>
      </c>
      <c r="BY890" s="331">
        <f t="shared" si="59"/>
        <v>1.64784708</v>
      </c>
      <c r="BZ890" s="340"/>
      <c r="CA890" s="462" t="s">
        <v>845</v>
      </c>
      <c r="CB890" s="319" t="s">
        <v>845</v>
      </c>
      <c r="CC890" s="318"/>
      <c r="CD890" s="319" t="s">
        <v>845</v>
      </c>
      <c r="CE890" s="319" t="s">
        <v>845</v>
      </c>
      <c r="CF890" s="319" t="s">
        <v>845</v>
      </c>
      <c r="CG890" s="319" t="s">
        <v>845</v>
      </c>
      <c r="CH890" s="318"/>
      <c r="CI890" s="788" t="s">
        <v>845</v>
      </c>
      <c r="CJ890" s="821" t="s">
        <v>845</v>
      </c>
      <c r="CK890" s="342">
        <f t="shared" si="18"/>
        <v>0</v>
      </c>
      <c r="CL890" s="333">
        <f t="shared" si="19"/>
        <v>0</v>
      </c>
      <c r="CM890" s="829"/>
      <c r="CN890" s="333"/>
      <c r="CO890" s="333"/>
      <c r="CP890" s="333"/>
    </row>
    <row r="891">
      <c r="B891" s="462" t="s">
        <v>1537</v>
      </c>
      <c r="C891" s="417">
        <v>44369.0</v>
      </c>
      <c r="D891" s="318"/>
      <c r="E891" s="319" t="s">
        <v>1457</v>
      </c>
      <c r="F891" s="324" t="s">
        <v>1543</v>
      </c>
      <c r="G891" s="321"/>
      <c r="H891" s="323">
        <v>0.5899305555555555</v>
      </c>
      <c r="I891" s="323"/>
      <c r="J891" s="323"/>
      <c r="K891" s="323">
        <v>0.5923611111111111</v>
      </c>
      <c r="L891" s="323">
        <v>0.0024305555555555556</v>
      </c>
      <c r="M891" s="319" t="s">
        <v>166</v>
      </c>
      <c r="N891" s="324" t="s">
        <v>187</v>
      </c>
      <c r="O891" s="419" t="s">
        <v>198</v>
      </c>
      <c r="P891" s="319" t="s">
        <v>213</v>
      </c>
      <c r="Q891" s="318"/>
      <c r="R891" s="326">
        <v>10.7</v>
      </c>
      <c r="S891" s="319">
        <v>10.9</v>
      </c>
      <c r="T891" s="324">
        <v>3.0</v>
      </c>
      <c r="U891" s="319">
        <v>4.0</v>
      </c>
      <c r="V891" s="319"/>
      <c r="W891" s="319"/>
      <c r="X891" s="319"/>
      <c r="Y891" s="319"/>
      <c r="Z891" s="319" t="s">
        <v>343</v>
      </c>
      <c r="AA891" s="319"/>
      <c r="AB891" s="319" t="s">
        <v>384</v>
      </c>
      <c r="AC891" s="327">
        <v>6.0</v>
      </c>
      <c r="AD891" s="319"/>
      <c r="AE891" s="319"/>
      <c r="AF891" s="319"/>
      <c r="AG891" s="319"/>
      <c r="AH891" s="319"/>
      <c r="AI891" s="319"/>
      <c r="AJ891" s="327"/>
      <c r="AK891" s="328"/>
      <c r="AL891" s="319"/>
      <c r="AM891" s="319"/>
      <c r="AN891" s="319"/>
      <c r="AO891" s="319"/>
      <c r="AP891" s="319"/>
      <c r="AQ891" s="319"/>
      <c r="AR891" s="319"/>
      <c r="AS891" s="327"/>
      <c r="AT891" s="461" t="s">
        <v>182</v>
      </c>
      <c r="AU891" s="324" t="s">
        <v>845</v>
      </c>
      <c r="AV891" s="330">
        <f>SQRT(($R891-Infrastructure!J$3)^2+($S891-Infrastructure!K$3)^2)</f>
        <v>21.09502311</v>
      </c>
      <c r="AW891" s="331">
        <f>SQRT(($R891-Infrastructure!J$4)^2+($S891-Infrastructure!K$4)^2)</f>
        <v>12.98499134</v>
      </c>
      <c r="AX891" s="331">
        <f>SQRT(($R891-Infrastructure!J$5)^2+($S891-Infrastructure!K$5)^2)</f>
        <v>12.43543325</v>
      </c>
      <c r="AY891" s="331">
        <f>SQRT(($R891-Infrastructure!J$6)^2+($S891-Infrastructure!K$6)^2)</f>
        <v>10.61696755</v>
      </c>
      <c r="AZ891" s="331">
        <f>SQRT(($R891-Infrastructure!J$7)^2+($S891-Infrastructure!K$7)^2)</f>
        <v>14.43606595</v>
      </c>
      <c r="BA891" s="331">
        <f>SQRT(($R891-Infrastructure!J$8)^2+($S891-Infrastructure!K$8)^2)</f>
        <v>22.10701246</v>
      </c>
      <c r="BB891" s="331">
        <f>SQRT(($R891-Infrastructure!J$9)^2+($S891-Infrastructure!K$9)^2)</f>
        <v>29.86854533</v>
      </c>
      <c r="BC891" s="331">
        <f>SQRT(($R891-Infrastructure!J$10)^2+($S891-Infrastructure!K$10)^2)</f>
        <v>29.58546941</v>
      </c>
      <c r="BD891" s="318"/>
      <c r="BE891" s="332"/>
      <c r="BF891" s="330">
        <f t="shared" si="14"/>
        <v>10.61696755</v>
      </c>
      <c r="BG891" s="333">
        <f t="shared" si="15"/>
        <v>29.86854533</v>
      </c>
      <c r="BH891" s="334"/>
      <c r="BI891" s="462" t="s">
        <v>846</v>
      </c>
      <c r="BJ891" s="319" t="s">
        <v>846</v>
      </c>
      <c r="BK891" s="318"/>
      <c r="BL891" s="319" t="s">
        <v>846</v>
      </c>
      <c r="BM891" s="319" t="s">
        <v>845</v>
      </c>
      <c r="BN891" s="319" t="s">
        <v>845</v>
      </c>
      <c r="BO891" s="319" t="s">
        <v>845</v>
      </c>
      <c r="BP891" s="318"/>
      <c r="BQ891" s="788" t="s">
        <v>846</v>
      </c>
      <c r="BR891" s="789" t="s">
        <v>845</v>
      </c>
      <c r="BS891" s="330">
        <f t="shared" si="57"/>
        <v>10.61696755</v>
      </c>
      <c r="BT891" s="331">
        <f t="shared" si="58"/>
        <v>21.09502311</v>
      </c>
      <c r="BU891" s="842">
        <v>0.5899884259259259</v>
      </c>
      <c r="BV891" s="333"/>
      <c r="BW891" s="330">
        <v>13.84</v>
      </c>
      <c r="BX891" s="331">
        <v>8.49</v>
      </c>
      <c r="BY891" s="331">
        <f t="shared" si="59"/>
        <v>3.95824456</v>
      </c>
      <c r="BZ891" s="340"/>
      <c r="CA891" s="462" t="s">
        <v>845</v>
      </c>
      <c r="CB891" s="319" t="s">
        <v>845</v>
      </c>
      <c r="CC891" s="318"/>
      <c r="CD891" s="319" t="s">
        <v>845</v>
      </c>
      <c r="CE891" s="319" t="s">
        <v>845</v>
      </c>
      <c r="CF891" s="319" t="s">
        <v>845</v>
      </c>
      <c r="CG891" s="319" t="s">
        <v>845</v>
      </c>
      <c r="CH891" s="318"/>
      <c r="CI891" s="788" t="s">
        <v>845</v>
      </c>
      <c r="CJ891" s="821" t="s">
        <v>845</v>
      </c>
      <c r="CK891" s="342">
        <f t="shared" si="18"/>
        <v>0</v>
      </c>
      <c r="CL891" s="333">
        <f t="shared" si="19"/>
        <v>0</v>
      </c>
      <c r="CM891" s="829"/>
      <c r="CN891" s="333"/>
      <c r="CO891" s="333"/>
      <c r="CP891" s="333"/>
    </row>
    <row r="892">
      <c r="B892" s="462" t="s">
        <v>1537</v>
      </c>
      <c r="C892" s="417">
        <v>44369.0</v>
      </c>
      <c r="D892" s="318"/>
      <c r="E892" s="319">
        <v>2.0</v>
      </c>
      <c r="F892" s="324" t="s">
        <v>1544</v>
      </c>
      <c r="G892" s="321">
        <v>0.6048611111111111</v>
      </c>
      <c r="H892" s="323">
        <v>0.6048611111111111</v>
      </c>
      <c r="I892" s="323"/>
      <c r="J892" s="323"/>
      <c r="K892" s="323">
        <v>0.6059027777777778</v>
      </c>
      <c r="L892" s="323">
        <v>0.0010416666666666667</v>
      </c>
      <c r="M892" s="319" t="s">
        <v>166</v>
      </c>
      <c r="N892" s="324" t="s">
        <v>187</v>
      </c>
      <c r="O892" s="419" t="s">
        <v>1545</v>
      </c>
      <c r="P892" s="319" t="s">
        <v>212</v>
      </c>
      <c r="Q892" s="318"/>
      <c r="R892" s="326">
        <v>11.3</v>
      </c>
      <c r="S892" s="319">
        <v>5.0</v>
      </c>
      <c r="T892" s="324">
        <v>1.8</v>
      </c>
      <c r="U892" s="319">
        <v>1.0</v>
      </c>
      <c r="V892" s="319"/>
      <c r="W892" s="319"/>
      <c r="X892" s="319"/>
      <c r="Y892" s="319"/>
      <c r="Z892" s="319" t="s">
        <v>339</v>
      </c>
      <c r="AA892" s="319"/>
      <c r="AB892" s="319" t="s">
        <v>333</v>
      </c>
      <c r="AC892" s="327">
        <v>2.0</v>
      </c>
      <c r="AD892" s="319"/>
      <c r="AE892" s="319"/>
      <c r="AF892" s="319"/>
      <c r="AG892" s="319"/>
      <c r="AH892" s="319"/>
      <c r="AI892" s="319"/>
      <c r="AJ892" s="327"/>
      <c r="AK892" s="328"/>
      <c r="AL892" s="319"/>
      <c r="AM892" s="319"/>
      <c r="AN892" s="319"/>
      <c r="AO892" s="319"/>
      <c r="AP892" s="319"/>
      <c r="AQ892" s="319"/>
      <c r="AR892" s="319"/>
      <c r="AS892" s="327"/>
      <c r="AT892" s="461" t="s">
        <v>182</v>
      </c>
      <c r="AU892" s="324" t="s">
        <v>845</v>
      </c>
      <c r="AV892" s="330">
        <f>SQRT(($R892-Infrastructure!J$3)^2+($S892-Infrastructure!K$3)^2)</f>
        <v>26.56633208</v>
      </c>
      <c r="AW892" s="331">
        <f>SQRT(($R892-Infrastructure!J$4)^2+($S892-Infrastructure!K$4)^2)</f>
        <v>17.27425831</v>
      </c>
      <c r="AX892" s="331">
        <f>SQRT(($R892-Infrastructure!J$5)^2+($S892-Infrastructure!K$5)^2)</f>
        <v>11.60043103</v>
      </c>
      <c r="AY892" s="331">
        <f>SQRT(($R892-Infrastructure!J$6)^2+($S892-Infrastructure!K$6)^2)</f>
        <v>4.850773134</v>
      </c>
      <c r="AZ892" s="331">
        <f>SQRT(($R892-Infrastructure!J$7)^2+($S892-Infrastructure!K$7)^2)</f>
        <v>10.33102125</v>
      </c>
      <c r="BA892" s="331">
        <f>SQRT(($R892-Infrastructure!J$8)^2+($S892-Infrastructure!K$8)^2)</f>
        <v>19.37859644</v>
      </c>
      <c r="BB892" s="331">
        <f>SQRT(($R892-Infrastructure!J$9)^2+($S892-Infrastructure!K$9)^2)</f>
        <v>28.70017422</v>
      </c>
      <c r="BC892" s="331">
        <f>SQRT(($R892-Infrastructure!J$10)^2+($S892-Infrastructure!K$10)^2)</f>
        <v>30.39226875</v>
      </c>
      <c r="BD892" s="318"/>
      <c r="BE892" s="332"/>
      <c r="BF892" s="330">
        <f t="shared" si="14"/>
        <v>4.850773134</v>
      </c>
      <c r="BG892" s="333">
        <f t="shared" si="15"/>
        <v>30.39226875</v>
      </c>
      <c r="BH892" s="334"/>
      <c r="BI892" s="462" t="s">
        <v>846</v>
      </c>
      <c r="BJ892" s="319" t="s">
        <v>846</v>
      </c>
      <c r="BK892" s="318"/>
      <c r="BL892" s="319" t="s">
        <v>846</v>
      </c>
      <c r="BM892" s="319" t="s">
        <v>846</v>
      </c>
      <c r="BN892" s="319" t="s">
        <v>845</v>
      </c>
      <c r="BO892" s="319" t="s">
        <v>845</v>
      </c>
      <c r="BP892" s="318"/>
      <c r="BQ892" s="788" t="s">
        <v>846</v>
      </c>
      <c r="BR892" s="789" t="s">
        <v>845</v>
      </c>
      <c r="BS892" s="330">
        <f t="shared" si="57"/>
        <v>4.850773134</v>
      </c>
      <c r="BT892" s="331">
        <f t="shared" si="58"/>
        <v>26.56633208</v>
      </c>
      <c r="BU892" s="842">
        <v>0.6049537037037037</v>
      </c>
      <c r="BV892" s="333"/>
      <c r="BW892" s="330">
        <v>18.14</v>
      </c>
      <c r="BX892" s="331">
        <v>6.3</v>
      </c>
      <c r="BY892" s="331">
        <f t="shared" si="59"/>
        <v>6.9624421</v>
      </c>
      <c r="BZ892" s="340"/>
      <c r="CA892" s="462" t="s">
        <v>846</v>
      </c>
      <c r="CB892" s="319" t="s">
        <v>845</v>
      </c>
      <c r="CC892" s="318"/>
      <c r="CD892" s="319" t="s">
        <v>846</v>
      </c>
      <c r="CE892" s="319" t="s">
        <v>845</v>
      </c>
      <c r="CF892" s="319" t="s">
        <v>845</v>
      </c>
      <c r="CG892" s="319" t="s">
        <v>845</v>
      </c>
      <c r="CH892" s="318"/>
      <c r="CI892" s="788" t="s">
        <v>845</v>
      </c>
      <c r="CJ892" s="821" t="s">
        <v>845</v>
      </c>
      <c r="CK892" s="342">
        <f t="shared" si="18"/>
        <v>4.850773134</v>
      </c>
      <c r="CL892" s="333">
        <f t="shared" si="19"/>
        <v>26.56633208</v>
      </c>
      <c r="CM892" s="829"/>
      <c r="CN892" s="333"/>
      <c r="CO892" s="333"/>
      <c r="CP892" s="333"/>
    </row>
    <row r="893">
      <c r="B893" s="462" t="s">
        <v>1537</v>
      </c>
      <c r="C893" s="417">
        <v>44369.0</v>
      </c>
      <c r="D893" s="318"/>
      <c r="E893" s="319" t="s">
        <v>1546</v>
      </c>
      <c r="F893" s="324" t="s">
        <v>1547</v>
      </c>
      <c r="G893" s="321">
        <v>0.6084490740740741</v>
      </c>
      <c r="H893" s="323">
        <v>0.6084490740740741</v>
      </c>
      <c r="I893" s="323"/>
      <c r="J893" s="323"/>
      <c r="K893" s="323">
        <v>0.6111111111111112</v>
      </c>
      <c r="L893" s="323">
        <v>0.002662037037037037</v>
      </c>
      <c r="M893" s="319" t="s">
        <v>166</v>
      </c>
      <c r="N893" s="324" t="s">
        <v>187</v>
      </c>
      <c r="O893" s="419" t="s">
        <v>1545</v>
      </c>
      <c r="P893" s="319" t="s">
        <v>212</v>
      </c>
      <c r="Q893" s="318"/>
      <c r="R893" s="326">
        <v>10.8</v>
      </c>
      <c r="S893" s="319">
        <v>5.0</v>
      </c>
      <c r="T893" s="324">
        <v>1.8</v>
      </c>
      <c r="U893" s="319">
        <v>0.5</v>
      </c>
      <c r="V893" s="319"/>
      <c r="W893" s="319"/>
      <c r="X893" s="319"/>
      <c r="Y893" s="319"/>
      <c r="Z893" s="319" t="s">
        <v>339</v>
      </c>
      <c r="AA893" s="319"/>
      <c r="AB893" s="319" t="s">
        <v>333</v>
      </c>
      <c r="AC893" s="327">
        <v>2.0</v>
      </c>
      <c r="AD893" s="319"/>
      <c r="AE893" s="319"/>
      <c r="AF893" s="319"/>
      <c r="AG893" s="319"/>
      <c r="AH893" s="319"/>
      <c r="AI893" s="319"/>
      <c r="AJ893" s="327"/>
      <c r="AK893" s="328"/>
      <c r="AL893" s="319"/>
      <c r="AM893" s="319"/>
      <c r="AN893" s="319"/>
      <c r="AO893" s="319"/>
      <c r="AP893" s="319"/>
      <c r="AQ893" s="319"/>
      <c r="AR893" s="319"/>
      <c r="AS893" s="327"/>
      <c r="AT893" s="461" t="s">
        <v>181</v>
      </c>
      <c r="AU893" s="324" t="s">
        <v>845</v>
      </c>
      <c r="AV893" s="330">
        <f>SQRT(($R893-Infrastructure!J$3)^2+($S893-Infrastructure!K$3)^2)</f>
        <v>26.35185003</v>
      </c>
      <c r="AW893" s="331">
        <f>SQRT(($R893-Infrastructure!J$4)^2+($S893-Infrastructure!K$4)^2)</f>
        <v>16.94254999</v>
      </c>
      <c r="AX893" s="331">
        <f>SQRT(($R893-Infrastructure!J$5)^2+($S893-Infrastructure!K$5)^2)</f>
        <v>11.10045044</v>
      </c>
      <c r="AY893" s="331">
        <f>SQRT(($R893-Infrastructure!J$6)^2+($S893-Infrastructure!K$6)^2)</f>
        <v>4.751841748</v>
      </c>
      <c r="AZ893" s="331">
        <f>SQRT(($R893-Infrastructure!J$7)^2+($S893-Infrastructure!K$7)^2)</f>
        <v>10.77868267</v>
      </c>
      <c r="BA893" s="331">
        <f>SQRT(($R893-Infrastructure!J$8)^2+($S893-Infrastructure!K$8)^2)</f>
        <v>19.86403786</v>
      </c>
      <c r="BB893" s="331">
        <f>SQRT(($R893-Infrastructure!J$9)^2+($S893-Infrastructure!K$9)^2)</f>
        <v>29.20017123</v>
      </c>
      <c r="BC893" s="331">
        <f>SQRT(($R893-Infrastructure!J$10)^2+($S893-Infrastructure!K$10)^2)</f>
        <v>30.86486676</v>
      </c>
      <c r="BD893" s="318"/>
      <c r="BE893" s="332"/>
      <c r="BF893" s="330">
        <f t="shared" si="14"/>
        <v>4.751841748</v>
      </c>
      <c r="BG893" s="333">
        <f t="shared" si="15"/>
        <v>30.86486676</v>
      </c>
      <c r="BH893" s="334"/>
      <c r="BI893" s="462" t="s">
        <v>846</v>
      </c>
      <c r="BJ893" s="319" t="s">
        <v>846</v>
      </c>
      <c r="BK893" s="318"/>
      <c r="BL893" s="319" t="s">
        <v>846</v>
      </c>
      <c r="BM893" s="319" t="s">
        <v>846</v>
      </c>
      <c r="BN893" s="319" t="s">
        <v>845</v>
      </c>
      <c r="BO893" s="319" t="s">
        <v>845</v>
      </c>
      <c r="BP893" s="318"/>
      <c r="BQ893" s="788" t="s">
        <v>846</v>
      </c>
      <c r="BR893" s="789" t="s">
        <v>845</v>
      </c>
      <c r="BS893" s="330">
        <f t="shared" si="57"/>
        <v>4.751841748</v>
      </c>
      <c r="BT893" s="331">
        <f t="shared" si="58"/>
        <v>26.35185003</v>
      </c>
      <c r="BU893" s="842">
        <v>0.6084722222222222</v>
      </c>
      <c r="BV893" s="333"/>
      <c r="BW893" s="330">
        <v>12.99</v>
      </c>
      <c r="BX893" s="331">
        <v>7.51</v>
      </c>
      <c r="BY893" s="331">
        <f t="shared" si="59"/>
        <v>3.331095916</v>
      </c>
      <c r="BZ893" s="340"/>
      <c r="CA893" s="462" t="s">
        <v>846</v>
      </c>
      <c r="CB893" s="319" t="s">
        <v>845</v>
      </c>
      <c r="CC893" s="318"/>
      <c r="CD893" s="319" t="s">
        <v>846</v>
      </c>
      <c r="CE893" s="319" t="s">
        <v>845</v>
      </c>
      <c r="CF893" s="319" t="s">
        <v>845</v>
      </c>
      <c r="CG893" s="319" t="s">
        <v>845</v>
      </c>
      <c r="CH893" s="318"/>
      <c r="CI893" s="788" t="s">
        <v>845</v>
      </c>
      <c r="CJ893" s="821" t="s">
        <v>845</v>
      </c>
      <c r="CK893" s="342">
        <f t="shared" si="18"/>
        <v>4.751841748</v>
      </c>
      <c r="CL893" s="333">
        <f t="shared" si="19"/>
        <v>26.35185003</v>
      </c>
      <c r="CM893" s="829"/>
      <c r="CN893" s="333"/>
      <c r="CO893" s="333"/>
      <c r="CP893" s="333"/>
    </row>
    <row r="894">
      <c r="B894" s="462" t="s">
        <v>1537</v>
      </c>
      <c r="C894" s="417">
        <v>44369.0</v>
      </c>
      <c r="D894" s="318"/>
      <c r="E894" s="319" t="s">
        <v>1548</v>
      </c>
      <c r="F894" s="324" t="s">
        <v>1549</v>
      </c>
      <c r="G894" s="321"/>
      <c r="H894" s="323">
        <v>0.6111111111111112</v>
      </c>
      <c r="I894" s="323"/>
      <c r="J894" s="323"/>
      <c r="K894" s="323">
        <v>0.6138888888888889</v>
      </c>
      <c r="L894" s="323">
        <v>0.002777777777777778</v>
      </c>
      <c r="M894" s="319" t="s">
        <v>166</v>
      </c>
      <c r="N894" s="324" t="s">
        <v>187</v>
      </c>
      <c r="O894" s="419" t="s">
        <v>1545</v>
      </c>
      <c r="P894" s="319" t="s">
        <v>212</v>
      </c>
      <c r="Q894" s="318"/>
      <c r="R894" s="326">
        <v>10.8</v>
      </c>
      <c r="S894" s="319">
        <v>5.0</v>
      </c>
      <c r="T894" s="324">
        <v>1.8</v>
      </c>
      <c r="U894" s="319">
        <v>0.75</v>
      </c>
      <c r="V894" s="319"/>
      <c r="W894" s="319"/>
      <c r="X894" s="319"/>
      <c r="Y894" s="319"/>
      <c r="Z894" s="319" t="s">
        <v>339</v>
      </c>
      <c r="AA894" s="319"/>
      <c r="AB894" s="319" t="s">
        <v>333</v>
      </c>
      <c r="AC894" s="327">
        <v>2.0</v>
      </c>
      <c r="AD894" s="319"/>
      <c r="AE894" s="319"/>
      <c r="AF894" s="319"/>
      <c r="AG894" s="319"/>
      <c r="AH894" s="319"/>
      <c r="AI894" s="319"/>
      <c r="AJ894" s="327"/>
      <c r="AK894" s="328"/>
      <c r="AL894" s="319"/>
      <c r="AM894" s="319"/>
      <c r="AN894" s="319"/>
      <c r="AO894" s="319"/>
      <c r="AP894" s="319"/>
      <c r="AQ894" s="319"/>
      <c r="AR894" s="319"/>
      <c r="AS894" s="327"/>
      <c r="AT894" s="461" t="s">
        <v>181</v>
      </c>
      <c r="AU894" s="324" t="s">
        <v>845</v>
      </c>
      <c r="AV894" s="330">
        <f>SQRT(($R894-Infrastructure!J$3)^2+($S894-Infrastructure!K$3)^2)</f>
        <v>26.35185003</v>
      </c>
      <c r="AW894" s="331">
        <f>SQRT(($R894-Infrastructure!J$4)^2+($S894-Infrastructure!K$4)^2)</f>
        <v>16.94254999</v>
      </c>
      <c r="AX894" s="331">
        <f>SQRT(($R894-Infrastructure!J$5)^2+($S894-Infrastructure!K$5)^2)</f>
        <v>11.10045044</v>
      </c>
      <c r="AY894" s="331">
        <f>SQRT(($R894-Infrastructure!J$6)^2+($S894-Infrastructure!K$6)^2)</f>
        <v>4.751841748</v>
      </c>
      <c r="AZ894" s="331">
        <f>SQRT(($R894-Infrastructure!J$7)^2+($S894-Infrastructure!K$7)^2)</f>
        <v>10.77868267</v>
      </c>
      <c r="BA894" s="331">
        <f>SQRT(($R894-Infrastructure!J$8)^2+($S894-Infrastructure!K$8)^2)</f>
        <v>19.86403786</v>
      </c>
      <c r="BB894" s="331">
        <f>SQRT(($R894-Infrastructure!J$9)^2+($S894-Infrastructure!K$9)^2)</f>
        <v>29.20017123</v>
      </c>
      <c r="BC894" s="331">
        <f>SQRT(($R894-Infrastructure!J$10)^2+($S894-Infrastructure!K$10)^2)</f>
        <v>30.86486676</v>
      </c>
      <c r="BD894" s="318"/>
      <c r="BE894" s="332"/>
      <c r="BF894" s="330">
        <f t="shared" si="14"/>
        <v>4.751841748</v>
      </c>
      <c r="BG894" s="333">
        <f t="shared" si="15"/>
        <v>30.86486676</v>
      </c>
      <c r="BH894" s="334"/>
      <c r="BI894" s="462" t="s">
        <v>846</v>
      </c>
      <c r="BJ894" s="319" t="s">
        <v>846</v>
      </c>
      <c r="BK894" s="318"/>
      <c r="BL894" s="319" t="s">
        <v>846</v>
      </c>
      <c r="BM894" s="319" t="s">
        <v>845</v>
      </c>
      <c r="BN894" s="319" t="s">
        <v>845</v>
      </c>
      <c r="BO894" s="319" t="s">
        <v>845</v>
      </c>
      <c r="BP894" s="318"/>
      <c r="BQ894" s="788" t="s">
        <v>846</v>
      </c>
      <c r="BR894" s="789" t="s">
        <v>845</v>
      </c>
      <c r="BS894" s="330">
        <f t="shared" si="57"/>
        <v>4.751841748</v>
      </c>
      <c r="BT894" s="331">
        <f t="shared" si="58"/>
        <v>26.35185003</v>
      </c>
      <c r="BU894" s="842">
        <v>0.6111458333333334</v>
      </c>
      <c r="BV894" s="333"/>
      <c r="BW894" s="330">
        <v>12.7315789473684</v>
      </c>
      <c r="BX894" s="331">
        <v>6.37368421052631</v>
      </c>
      <c r="BY894" s="331">
        <f t="shared" si="59"/>
        <v>2.370233225</v>
      </c>
      <c r="BZ894" s="340"/>
      <c r="CA894" s="462" t="s">
        <v>846</v>
      </c>
      <c r="CB894" s="319" t="s">
        <v>845</v>
      </c>
      <c r="CC894" s="318"/>
      <c r="CD894" s="319" t="s">
        <v>846</v>
      </c>
      <c r="CE894" s="319" t="s">
        <v>845</v>
      </c>
      <c r="CF894" s="319" t="s">
        <v>845</v>
      </c>
      <c r="CG894" s="319" t="s">
        <v>845</v>
      </c>
      <c r="CH894" s="318"/>
      <c r="CI894" s="788" t="s">
        <v>845</v>
      </c>
      <c r="CJ894" s="821" t="s">
        <v>845</v>
      </c>
      <c r="CK894" s="342">
        <f t="shared" si="18"/>
        <v>4.751841748</v>
      </c>
      <c r="CL894" s="333">
        <f t="shared" si="19"/>
        <v>26.35185003</v>
      </c>
      <c r="CM894" s="829"/>
      <c r="CN894" s="333"/>
      <c r="CO894" s="333"/>
      <c r="CP894" s="333"/>
    </row>
    <row r="895">
      <c r="B895" s="462" t="s">
        <v>1537</v>
      </c>
      <c r="C895" s="417">
        <v>44369.0</v>
      </c>
      <c r="D895" s="318"/>
      <c r="E895" s="319" t="s">
        <v>1550</v>
      </c>
      <c r="F895" s="324" t="s">
        <v>1551</v>
      </c>
      <c r="G895" s="321">
        <v>0.6171875</v>
      </c>
      <c r="H895" s="323">
        <v>0.6171875</v>
      </c>
      <c r="I895" s="323"/>
      <c r="J895" s="323"/>
      <c r="K895" s="323">
        <v>0.6184027777777777</v>
      </c>
      <c r="L895" s="323">
        <v>0.0012152777777777778</v>
      </c>
      <c r="M895" s="319" t="s">
        <v>166</v>
      </c>
      <c r="N895" s="324" t="s">
        <v>187</v>
      </c>
      <c r="O895" s="419" t="s">
        <v>1545</v>
      </c>
      <c r="P895" s="319" t="s">
        <v>212</v>
      </c>
      <c r="Q895" s="318"/>
      <c r="R895" s="326">
        <v>10.8</v>
      </c>
      <c r="S895" s="319">
        <v>5.0</v>
      </c>
      <c r="T895" s="324">
        <v>1.8</v>
      </c>
      <c r="U895" s="319">
        <v>0.5</v>
      </c>
      <c r="V895" s="319"/>
      <c r="W895" s="319"/>
      <c r="X895" s="319"/>
      <c r="Y895" s="319"/>
      <c r="Z895" s="319" t="s">
        <v>339</v>
      </c>
      <c r="AA895" s="319"/>
      <c r="AB895" s="319" t="s">
        <v>333</v>
      </c>
      <c r="AC895" s="327">
        <v>2.0</v>
      </c>
      <c r="AD895" s="319"/>
      <c r="AE895" s="319"/>
      <c r="AF895" s="319"/>
      <c r="AG895" s="319"/>
      <c r="AH895" s="319"/>
      <c r="AI895" s="319"/>
      <c r="AJ895" s="327"/>
      <c r="AK895" s="328"/>
      <c r="AL895" s="319"/>
      <c r="AM895" s="319"/>
      <c r="AN895" s="319"/>
      <c r="AO895" s="319"/>
      <c r="AP895" s="319"/>
      <c r="AQ895" s="319"/>
      <c r="AR895" s="319"/>
      <c r="AS895" s="327"/>
      <c r="AT895" s="461" t="s">
        <v>181</v>
      </c>
      <c r="AU895" s="324" t="s">
        <v>845</v>
      </c>
      <c r="AV895" s="330">
        <f>SQRT(($R895-Infrastructure!J$3)^2+($S895-Infrastructure!K$3)^2)</f>
        <v>26.35185003</v>
      </c>
      <c r="AW895" s="331">
        <f>SQRT(($R895-Infrastructure!J$4)^2+($S895-Infrastructure!K$4)^2)</f>
        <v>16.94254999</v>
      </c>
      <c r="AX895" s="331">
        <f>SQRT(($R895-Infrastructure!J$5)^2+($S895-Infrastructure!K$5)^2)</f>
        <v>11.10045044</v>
      </c>
      <c r="AY895" s="331">
        <f>SQRT(($R895-Infrastructure!J$6)^2+($S895-Infrastructure!K$6)^2)</f>
        <v>4.751841748</v>
      </c>
      <c r="AZ895" s="331">
        <f>SQRT(($R895-Infrastructure!J$7)^2+($S895-Infrastructure!K$7)^2)</f>
        <v>10.77868267</v>
      </c>
      <c r="BA895" s="331">
        <f>SQRT(($R895-Infrastructure!J$8)^2+($S895-Infrastructure!K$8)^2)</f>
        <v>19.86403786</v>
      </c>
      <c r="BB895" s="331">
        <f>SQRT(($R895-Infrastructure!J$9)^2+($S895-Infrastructure!K$9)^2)</f>
        <v>29.20017123</v>
      </c>
      <c r="BC895" s="331">
        <f>SQRT(($R895-Infrastructure!J$10)^2+($S895-Infrastructure!K$10)^2)</f>
        <v>30.86486676</v>
      </c>
      <c r="BD895" s="318"/>
      <c r="BE895" s="332"/>
      <c r="BF895" s="330">
        <f t="shared" si="14"/>
        <v>4.751841748</v>
      </c>
      <c r="BG895" s="333">
        <f t="shared" si="15"/>
        <v>30.86486676</v>
      </c>
      <c r="BH895" s="334"/>
      <c r="BI895" s="462" t="s">
        <v>846</v>
      </c>
      <c r="BJ895" s="319" t="s">
        <v>846</v>
      </c>
      <c r="BK895" s="318"/>
      <c r="BL895" s="319" t="s">
        <v>845</v>
      </c>
      <c r="BM895" s="319" t="s">
        <v>845</v>
      </c>
      <c r="BN895" s="319" t="s">
        <v>845</v>
      </c>
      <c r="BO895" s="319" t="s">
        <v>845</v>
      </c>
      <c r="BP895" s="318"/>
      <c r="BQ895" s="788" t="s">
        <v>846</v>
      </c>
      <c r="BR895" s="789" t="s">
        <v>845</v>
      </c>
      <c r="BS895" s="330">
        <f t="shared" si="57"/>
        <v>16.94254999</v>
      </c>
      <c r="BT895" s="331">
        <f t="shared" si="58"/>
        <v>26.35185003</v>
      </c>
      <c r="BU895" s="842">
        <v>0.617199074074074</v>
      </c>
      <c r="BV895" s="333"/>
      <c r="BW895" s="330">
        <v>11.3272727272727</v>
      </c>
      <c r="BX895" s="331">
        <v>8.37272727272727</v>
      </c>
      <c r="BY895" s="331">
        <f t="shared" si="59"/>
        <v>3.413693862</v>
      </c>
      <c r="BZ895" s="340"/>
      <c r="CA895" s="462" t="s">
        <v>846</v>
      </c>
      <c r="CB895" s="319" t="s">
        <v>845</v>
      </c>
      <c r="CC895" s="318"/>
      <c r="CD895" s="319" t="s">
        <v>845</v>
      </c>
      <c r="CE895" s="319" t="s">
        <v>845</v>
      </c>
      <c r="CF895" s="319" t="s">
        <v>845</v>
      </c>
      <c r="CG895" s="319" t="s">
        <v>845</v>
      </c>
      <c r="CH895" s="318"/>
      <c r="CI895" s="788" t="s">
        <v>845</v>
      </c>
      <c r="CJ895" s="821" t="s">
        <v>845</v>
      </c>
      <c r="CK895" s="342">
        <f t="shared" si="18"/>
        <v>26.35185003</v>
      </c>
      <c r="CL895" s="333">
        <f t="shared" si="19"/>
        <v>26.35185003</v>
      </c>
      <c r="CM895" s="829"/>
      <c r="CN895" s="333"/>
      <c r="CO895" s="333"/>
      <c r="CP895" s="333"/>
    </row>
    <row r="896">
      <c r="B896" s="462" t="s">
        <v>1537</v>
      </c>
      <c r="C896" s="417">
        <v>44369.0</v>
      </c>
      <c r="D896" s="318"/>
      <c r="E896" s="319" t="s">
        <v>1552</v>
      </c>
      <c r="F896" s="324" t="s">
        <v>1553</v>
      </c>
      <c r="G896" s="321"/>
      <c r="H896" s="323">
        <v>0.6184027777777777</v>
      </c>
      <c r="I896" s="323"/>
      <c r="J896" s="323"/>
      <c r="K896" s="323">
        <v>0.6190972222222222</v>
      </c>
      <c r="L896" s="323">
        <v>6.944444444444445E-4</v>
      </c>
      <c r="M896" s="319" t="s">
        <v>166</v>
      </c>
      <c r="N896" s="324" t="s">
        <v>187</v>
      </c>
      <c r="O896" s="419" t="s">
        <v>1545</v>
      </c>
      <c r="P896" s="319" t="s">
        <v>212</v>
      </c>
      <c r="Q896" s="318"/>
      <c r="R896" s="326">
        <v>10.8</v>
      </c>
      <c r="S896" s="319">
        <v>5.0</v>
      </c>
      <c r="T896" s="324">
        <v>1.8</v>
      </c>
      <c r="U896" s="319">
        <v>0.7</v>
      </c>
      <c r="V896" s="319"/>
      <c r="W896" s="319"/>
      <c r="X896" s="319"/>
      <c r="Y896" s="319"/>
      <c r="Z896" s="319" t="s">
        <v>339</v>
      </c>
      <c r="AA896" s="319"/>
      <c r="AB896" s="319" t="s">
        <v>333</v>
      </c>
      <c r="AC896" s="327">
        <v>2.0</v>
      </c>
      <c r="AD896" s="319"/>
      <c r="AE896" s="319"/>
      <c r="AF896" s="319"/>
      <c r="AG896" s="319"/>
      <c r="AH896" s="319"/>
      <c r="AI896" s="319"/>
      <c r="AJ896" s="327"/>
      <c r="AK896" s="328"/>
      <c r="AL896" s="319"/>
      <c r="AM896" s="319"/>
      <c r="AN896" s="319"/>
      <c r="AO896" s="319"/>
      <c r="AP896" s="319"/>
      <c r="AQ896" s="319"/>
      <c r="AR896" s="319"/>
      <c r="AS896" s="327"/>
      <c r="AT896" s="461" t="s">
        <v>181</v>
      </c>
      <c r="AU896" s="324" t="s">
        <v>845</v>
      </c>
      <c r="AV896" s="330">
        <f>SQRT(($R896-Infrastructure!J$3)^2+($S896-Infrastructure!K$3)^2)</f>
        <v>26.35185003</v>
      </c>
      <c r="AW896" s="331">
        <f>SQRT(($R896-Infrastructure!J$4)^2+($S896-Infrastructure!K$4)^2)</f>
        <v>16.94254999</v>
      </c>
      <c r="AX896" s="331">
        <f>SQRT(($R896-Infrastructure!J$5)^2+($S896-Infrastructure!K$5)^2)</f>
        <v>11.10045044</v>
      </c>
      <c r="AY896" s="331">
        <f>SQRT(($R896-Infrastructure!J$6)^2+($S896-Infrastructure!K$6)^2)</f>
        <v>4.751841748</v>
      </c>
      <c r="AZ896" s="331">
        <f>SQRT(($R896-Infrastructure!J$7)^2+($S896-Infrastructure!K$7)^2)</f>
        <v>10.77868267</v>
      </c>
      <c r="BA896" s="331">
        <f>SQRT(($R896-Infrastructure!J$8)^2+($S896-Infrastructure!K$8)^2)</f>
        <v>19.86403786</v>
      </c>
      <c r="BB896" s="331">
        <f>SQRT(($R896-Infrastructure!J$9)^2+($S896-Infrastructure!K$9)^2)</f>
        <v>29.20017123</v>
      </c>
      <c r="BC896" s="331">
        <f>SQRT(($R896-Infrastructure!J$10)^2+($S896-Infrastructure!K$10)^2)</f>
        <v>30.86486676</v>
      </c>
      <c r="BD896" s="318"/>
      <c r="BE896" s="332"/>
      <c r="BF896" s="330">
        <f t="shared" si="14"/>
        <v>4.751841748</v>
      </c>
      <c r="BG896" s="333">
        <f t="shared" si="15"/>
        <v>30.86486676</v>
      </c>
      <c r="BH896" s="334"/>
      <c r="BI896" s="462" t="s">
        <v>846</v>
      </c>
      <c r="BJ896" s="319" t="s">
        <v>846</v>
      </c>
      <c r="BK896" s="318"/>
      <c r="BL896" s="319" t="s">
        <v>846</v>
      </c>
      <c r="BM896" s="319" t="s">
        <v>845</v>
      </c>
      <c r="BN896" s="319" t="s">
        <v>845</v>
      </c>
      <c r="BO896" s="319" t="s">
        <v>845</v>
      </c>
      <c r="BP896" s="318"/>
      <c r="BQ896" s="788" t="s">
        <v>846</v>
      </c>
      <c r="BR896" s="789" t="s">
        <v>845</v>
      </c>
      <c r="BS896" s="330">
        <f t="shared" si="57"/>
        <v>4.751841748</v>
      </c>
      <c r="BT896" s="331">
        <f t="shared" si="58"/>
        <v>26.35185003</v>
      </c>
      <c r="BU896" s="842">
        <v>0.6184259259259259</v>
      </c>
      <c r="BV896" s="333"/>
      <c r="BW896" s="330">
        <v>13.0999999999999</v>
      </c>
      <c r="BX896" s="331">
        <v>5.68571428571428</v>
      </c>
      <c r="BY896" s="331">
        <f t="shared" si="59"/>
        <v>2.400042517</v>
      </c>
      <c r="BZ896" s="340"/>
      <c r="CA896" s="462" t="s">
        <v>845</v>
      </c>
      <c r="CB896" s="319" t="s">
        <v>845</v>
      </c>
      <c r="CC896" s="318"/>
      <c r="CD896" s="319" t="s">
        <v>845</v>
      </c>
      <c r="CE896" s="319" t="s">
        <v>845</v>
      </c>
      <c r="CF896" s="319" t="s">
        <v>845</v>
      </c>
      <c r="CG896" s="319" t="s">
        <v>845</v>
      </c>
      <c r="CH896" s="318"/>
      <c r="CI896" s="788" t="s">
        <v>845</v>
      </c>
      <c r="CJ896" s="821" t="s">
        <v>845</v>
      </c>
      <c r="CK896" s="342">
        <f t="shared" si="18"/>
        <v>0</v>
      </c>
      <c r="CL896" s="333">
        <f t="shared" si="19"/>
        <v>0</v>
      </c>
      <c r="CM896" s="829"/>
      <c r="CN896" s="333"/>
      <c r="CO896" s="333"/>
      <c r="CP896" s="333"/>
    </row>
    <row r="897">
      <c r="B897" s="462" t="s">
        <v>1537</v>
      </c>
      <c r="C897" s="417">
        <v>44369.0</v>
      </c>
      <c r="D897" s="318"/>
      <c r="E897" s="319" t="s">
        <v>1470</v>
      </c>
      <c r="F897" s="324" t="s">
        <v>1554</v>
      </c>
      <c r="G897" s="321">
        <v>0.6211805555555555</v>
      </c>
      <c r="H897" s="323">
        <v>0.6212384259259259</v>
      </c>
      <c r="I897" s="323"/>
      <c r="J897" s="323"/>
      <c r="K897" s="323">
        <v>0.6223958333333334</v>
      </c>
      <c r="L897" s="323">
        <v>0.0011574074074074073</v>
      </c>
      <c r="M897" s="319" t="s">
        <v>166</v>
      </c>
      <c r="N897" s="324" t="s">
        <v>187</v>
      </c>
      <c r="O897" s="419" t="s">
        <v>1545</v>
      </c>
      <c r="P897" s="319" t="s">
        <v>212</v>
      </c>
      <c r="Q897" s="318"/>
      <c r="R897" s="326">
        <v>10.8</v>
      </c>
      <c r="S897" s="319">
        <v>5.0</v>
      </c>
      <c r="T897" s="324">
        <v>1.8</v>
      </c>
      <c r="U897" s="319">
        <v>0.65</v>
      </c>
      <c r="V897" s="319"/>
      <c r="W897" s="319"/>
      <c r="X897" s="319"/>
      <c r="Y897" s="319"/>
      <c r="Z897" s="319" t="s">
        <v>339</v>
      </c>
      <c r="AA897" s="319"/>
      <c r="AB897" s="319" t="s">
        <v>333</v>
      </c>
      <c r="AC897" s="327">
        <v>2.0</v>
      </c>
      <c r="AD897" s="319"/>
      <c r="AE897" s="319"/>
      <c r="AF897" s="319"/>
      <c r="AG897" s="319"/>
      <c r="AH897" s="319"/>
      <c r="AI897" s="319"/>
      <c r="AJ897" s="327"/>
      <c r="AK897" s="328"/>
      <c r="AL897" s="319"/>
      <c r="AM897" s="319"/>
      <c r="AN897" s="319"/>
      <c r="AO897" s="319"/>
      <c r="AP897" s="319"/>
      <c r="AQ897" s="319"/>
      <c r="AR897" s="319"/>
      <c r="AS897" s="327"/>
      <c r="AT897" s="461" t="s">
        <v>181</v>
      </c>
      <c r="AU897" s="324" t="s">
        <v>845</v>
      </c>
      <c r="AV897" s="330">
        <f>SQRT(($R897-Infrastructure!J$3)^2+($S897-Infrastructure!K$3)^2)</f>
        <v>26.35185003</v>
      </c>
      <c r="AW897" s="331">
        <f>SQRT(($R897-Infrastructure!J$4)^2+($S897-Infrastructure!K$4)^2)</f>
        <v>16.94254999</v>
      </c>
      <c r="AX897" s="331">
        <f>SQRT(($R897-Infrastructure!J$5)^2+($S897-Infrastructure!K$5)^2)</f>
        <v>11.10045044</v>
      </c>
      <c r="AY897" s="331">
        <f>SQRT(($R897-Infrastructure!J$6)^2+($S897-Infrastructure!K$6)^2)</f>
        <v>4.751841748</v>
      </c>
      <c r="AZ897" s="331">
        <f>SQRT(($R897-Infrastructure!J$7)^2+($S897-Infrastructure!K$7)^2)</f>
        <v>10.77868267</v>
      </c>
      <c r="BA897" s="331">
        <f>SQRT(($R897-Infrastructure!J$8)^2+($S897-Infrastructure!K$8)^2)</f>
        <v>19.86403786</v>
      </c>
      <c r="BB897" s="331">
        <f>SQRT(($R897-Infrastructure!J$9)^2+($S897-Infrastructure!K$9)^2)</f>
        <v>29.20017123</v>
      </c>
      <c r="BC897" s="331">
        <f>SQRT(($R897-Infrastructure!J$10)^2+($S897-Infrastructure!K$10)^2)</f>
        <v>30.86486676</v>
      </c>
      <c r="BD897" s="318"/>
      <c r="BE897" s="332"/>
      <c r="BF897" s="330">
        <f t="shared" si="14"/>
        <v>4.751841748</v>
      </c>
      <c r="BG897" s="333">
        <f t="shared" si="15"/>
        <v>30.86486676</v>
      </c>
      <c r="BH897" s="334"/>
      <c r="BI897" s="462" t="s">
        <v>846</v>
      </c>
      <c r="BJ897" s="319" t="s">
        <v>846</v>
      </c>
      <c r="BK897" s="318"/>
      <c r="BL897" s="319" t="s">
        <v>846</v>
      </c>
      <c r="BM897" s="319" t="s">
        <v>845</v>
      </c>
      <c r="BN897" s="319" t="s">
        <v>845</v>
      </c>
      <c r="BO897" s="319" t="s">
        <v>845</v>
      </c>
      <c r="BP897" s="318"/>
      <c r="BQ897" s="788" t="s">
        <v>846</v>
      </c>
      <c r="BR897" s="789" t="s">
        <v>845</v>
      </c>
      <c r="BS897" s="330">
        <f t="shared" si="57"/>
        <v>4.751841748</v>
      </c>
      <c r="BT897" s="331">
        <f t="shared" si="58"/>
        <v>26.35185003</v>
      </c>
      <c r="BU897" s="842">
        <v>0.6212847222222222</v>
      </c>
      <c r="BV897" s="333"/>
      <c r="BW897" s="330">
        <v>13.5133333333333</v>
      </c>
      <c r="BX897" s="331">
        <v>6.56</v>
      </c>
      <c r="BY897" s="331">
        <f t="shared" si="59"/>
        <v>3.129820726</v>
      </c>
      <c r="BZ897" s="340"/>
      <c r="CA897" s="462" t="s">
        <v>845</v>
      </c>
      <c r="CB897" s="319" t="s">
        <v>845</v>
      </c>
      <c r="CC897" s="318"/>
      <c r="CD897" s="319" t="s">
        <v>845</v>
      </c>
      <c r="CE897" s="319" t="s">
        <v>845</v>
      </c>
      <c r="CF897" s="319" t="s">
        <v>845</v>
      </c>
      <c r="CG897" s="319" t="s">
        <v>845</v>
      </c>
      <c r="CH897" s="318"/>
      <c r="CI897" s="788" t="s">
        <v>845</v>
      </c>
      <c r="CJ897" s="821" t="s">
        <v>845</v>
      </c>
      <c r="CK897" s="342">
        <f t="shared" si="18"/>
        <v>0</v>
      </c>
      <c r="CL897" s="333">
        <f t="shared" si="19"/>
        <v>0</v>
      </c>
      <c r="CM897" s="829"/>
      <c r="CN897" s="333"/>
      <c r="CO897" s="333"/>
      <c r="CP897" s="333"/>
    </row>
    <row r="898">
      <c r="B898" s="462" t="s">
        <v>1537</v>
      </c>
      <c r="C898" s="417">
        <v>44369.0</v>
      </c>
      <c r="D898" s="318"/>
      <c r="E898" s="319" t="s">
        <v>1472</v>
      </c>
      <c r="F898" s="324" t="s">
        <v>1555</v>
      </c>
      <c r="G898" s="321"/>
      <c r="H898" s="323">
        <v>0.6223958333333334</v>
      </c>
      <c r="I898" s="323"/>
      <c r="J898" s="323"/>
      <c r="K898" s="323">
        <v>0.6234375</v>
      </c>
      <c r="L898" s="323">
        <v>0.0010416666666666667</v>
      </c>
      <c r="M898" s="319" t="s">
        <v>166</v>
      </c>
      <c r="N898" s="324" t="s">
        <v>187</v>
      </c>
      <c r="O898" s="419" t="s">
        <v>1545</v>
      </c>
      <c r="P898" s="319" t="s">
        <v>212</v>
      </c>
      <c r="Q898" s="318"/>
      <c r="R898" s="326">
        <v>10.8</v>
      </c>
      <c r="S898" s="319">
        <v>5.0</v>
      </c>
      <c r="T898" s="324">
        <v>1.8</v>
      </c>
      <c r="U898" s="319">
        <v>0.8</v>
      </c>
      <c r="V898" s="319"/>
      <c r="W898" s="319"/>
      <c r="X898" s="319"/>
      <c r="Y898" s="319"/>
      <c r="Z898" s="319" t="s">
        <v>339</v>
      </c>
      <c r="AA898" s="319"/>
      <c r="AB898" s="319" t="s">
        <v>333</v>
      </c>
      <c r="AC898" s="327">
        <v>2.0</v>
      </c>
      <c r="AD898" s="319"/>
      <c r="AE898" s="319"/>
      <c r="AF898" s="319"/>
      <c r="AG898" s="319"/>
      <c r="AH898" s="319"/>
      <c r="AI898" s="319"/>
      <c r="AJ898" s="327"/>
      <c r="AK898" s="328"/>
      <c r="AL898" s="319"/>
      <c r="AM898" s="319"/>
      <c r="AN898" s="319"/>
      <c r="AO898" s="319"/>
      <c r="AP898" s="319"/>
      <c r="AQ898" s="319"/>
      <c r="AR898" s="319"/>
      <c r="AS898" s="327"/>
      <c r="AT898" s="461" t="s">
        <v>181</v>
      </c>
      <c r="AU898" s="324" t="s">
        <v>845</v>
      </c>
      <c r="AV898" s="330">
        <f>SQRT(($R898-Infrastructure!J$3)^2+($S898-Infrastructure!K$3)^2)</f>
        <v>26.35185003</v>
      </c>
      <c r="AW898" s="331">
        <f>SQRT(($R898-Infrastructure!J$4)^2+($S898-Infrastructure!K$4)^2)</f>
        <v>16.94254999</v>
      </c>
      <c r="AX898" s="331">
        <f>SQRT(($R898-Infrastructure!J$5)^2+($S898-Infrastructure!K$5)^2)</f>
        <v>11.10045044</v>
      </c>
      <c r="AY898" s="331">
        <f>SQRT(($R898-Infrastructure!J$6)^2+($S898-Infrastructure!K$6)^2)</f>
        <v>4.751841748</v>
      </c>
      <c r="AZ898" s="331">
        <f>SQRT(($R898-Infrastructure!J$7)^2+($S898-Infrastructure!K$7)^2)</f>
        <v>10.77868267</v>
      </c>
      <c r="BA898" s="331">
        <f>SQRT(($R898-Infrastructure!J$8)^2+($S898-Infrastructure!K$8)^2)</f>
        <v>19.86403786</v>
      </c>
      <c r="BB898" s="331">
        <f>SQRT(($R898-Infrastructure!J$9)^2+($S898-Infrastructure!K$9)^2)</f>
        <v>29.20017123</v>
      </c>
      <c r="BC898" s="331">
        <f>SQRT(($R898-Infrastructure!J$10)^2+($S898-Infrastructure!K$10)^2)</f>
        <v>30.86486676</v>
      </c>
      <c r="BD898" s="318"/>
      <c r="BE898" s="332"/>
      <c r="BF898" s="330">
        <f t="shared" si="14"/>
        <v>4.751841748</v>
      </c>
      <c r="BG898" s="333">
        <f t="shared" si="15"/>
        <v>30.86486676</v>
      </c>
      <c r="BH898" s="334"/>
      <c r="BI898" s="462" t="s">
        <v>846</v>
      </c>
      <c r="BJ898" s="319" t="s">
        <v>846</v>
      </c>
      <c r="BK898" s="318"/>
      <c r="BL898" s="319" t="s">
        <v>846</v>
      </c>
      <c r="BM898" s="319" t="s">
        <v>845</v>
      </c>
      <c r="BN898" s="319" t="s">
        <v>845</v>
      </c>
      <c r="BO898" s="319" t="s">
        <v>845</v>
      </c>
      <c r="BP898" s="318"/>
      <c r="BQ898" s="788" t="s">
        <v>846</v>
      </c>
      <c r="BR898" s="789" t="s">
        <v>845</v>
      </c>
      <c r="BS898" s="330">
        <f t="shared" si="57"/>
        <v>4.751841748</v>
      </c>
      <c r="BT898" s="331">
        <f t="shared" si="58"/>
        <v>26.35185003</v>
      </c>
      <c r="BU898" s="842">
        <v>0.6224305555555556</v>
      </c>
      <c r="BV898" s="333"/>
      <c r="BW898" s="330">
        <v>15.4294117647058</v>
      </c>
      <c r="BX898" s="331">
        <v>5.99411764705882</v>
      </c>
      <c r="BY898" s="331">
        <f t="shared" si="59"/>
        <v>4.73494701</v>
      </c>
      <c r="BZ898" s="340"/>
      <c r="CA898" s="462" t="s">
        <v>846</v>
      </c>
      <c r="CB898" s="319" t="s">
        <v>845</v>
      </c>
      <c r="CC898" s="318"/>
      <c r="CD898" s="319" t="s">
        <v>846</v>
      </c>
      <c r="CE898" s="319" t="s">
        <v>845</v>
      </c>
      <c r="CF898" s="319" t="s">
        <v>845</v>
      </c>
      <c r="CG898" s="319" t="s">
        <v>845</v>
      </c>
      <c r="CH898" s="318"/>
      <c r="CI898" s="788" t="s">
        <v>845</v>
      </c>
      <c r="CJ898" s="821" t="s">
        <v>845</v>
      </c>
      <c r="CK898" s="342">
        <f t="shared" si="18"/>
        <v>4.751841748</v>
      </c>
      <c r="CL898" s="333">
        <f t="shared" si="19"/>
        <v>26.35185003</v>
      </c>
      <c r="CM898" s="829"/>
      <c r="CN898" s="333"/>
      <c r="CO898" s="333"/>
      <c r="CP898" s="333"/>
    </row>
    <row r="899">
      <c r="B899" s="462" t="s">
        <v>1537</v>
      </c>
      <c r="C899" s="417">
        <v>44369.0</v>
      </c>
      <c r="D899" s="318"/>
      <c r="E899" s="319" t="s">
        <v>1474</v>
      </c>
      <c r="F899" s="324" t="s">
        <v>1556</v>
      </c>
      <c r="G899" s="321"/>
      <c r="H899" s="323">
        <v>0.6234375</v>
      </c>
      <c r="I899" s="323"/>
      <c r="J899" s="323"/>
      <c r="K899" s="323">
        <v>0.6246527777777777</v>
      </c>
      <c r="L899" s="323">
        <v>0.0012152777777777778</v>
      </c>
      <c r="M899" s="319" t="s">
        <v>166</v>
      </c>
      <c r="N899" s="324" t="s">
        <v>187</v>
      </c>
      <c r="O899" s="419" t="s">
        <v>1545</v>
      </c>
      <c r="P899" s="319" t="s">
        <v>212</v>
      </c>
      <c r="Q899" s="318"/>
      <c r="R899" s="326">
        <v>10.8</v>
      </c>
      <c r="S899" s="319">
        <v>5.0</v>
      </c>
      <c r="T899" s="324">
        <v>1.8</v>
      </c>
      <c r="U899" s="319">
        <v>0.9</v>
      </c>
      <c r="V899" s="319"/>
      <c r="W899" s="319"/>
      <c r="X899" s="319"/>
      <c r="Y899" s="319"/>
      <c r="Z899" s="319" t="s">
        <v>339</v>
      </c>
      <c r="AA899" s="319"/>
      <c r="AB899" s="319" t="s">
        <v>333</v>
      </c>
      <c r="AC899" s="327">
        <v>2.0</v>
      </c>
      <c r="AD899" s="319"/>
      <c r="AE899" s="319"/>
      <c r="AF899" s="319"/>
      <c r="AG899" s="319"/>
      <c r="AH899" s="319"/>
      <c r="AI899" s="319"/>
      <c r="AJ899" s="327"/>
      <c r="AK899" s="328"/>
      <c r="AL899" s="319"/>
      <c r="AM899" s="319"/>
      <c r="AN899" s="319"/>
      <c r="AO899" s="319"/>
      <c r="AP899" s="319"/>
      <c r="AQ899" s="319"/>
      <c r="AR899" s="319"/>
      <c r="AS899" s="327"/>
      <c r="AT899" s="461" t="s">
        <v>181</v>
      </c>
      <c r="AU899" s="324" t="s">
        <v>845</v>
      </c>
      <c r="AV899" s="330">
        <f>SQRT(($R899-Infrastructure!J$3)^2+($S899-Infrastructure!K$3)^2)</f>
        <v>26.35185003</v>
      </c>
      <c r="AW899" s="331">
        <f>SQRT(($R899-Infrastructure!J$4)^2+($S899-Infrastructure!K$4)^2)</f>
        <v>16.94254999</v>
      </c>
      <c r="AX899" s="331">
        <f>SQRT(($R899-Infrastructure!J$5)^2+($S899-Infrastructure!K$5)^2)</f>
        <v>11.10045044</v>
      </c>
      <c r="AY899" s="331">
        <f>SQRT(($R899-Infrastructure!J$6)^2+($S899-Infrastructure!K$6)^2)</f>
        <v>4.751841748</v>
      </c>
      <c r="AZ899" s="331">
        <f>SQRT(($R899-Infrastructure!J$7)^2+($S899-Infrastructure!K$7)^2)</f>
        <v>10.77868267</v>
      </c>
      <c r="BA899" s="331">
        <f>SQRT(($R899-Infrastructure!J$8)^2+($S899-Infrastructure!K$8)^2)</f>
        <v>19.86403786</v>
      </c>
      <c r="BB899" s="331">
        <f>SQRT(($R899-Infrastructure!J$9)^2+($S899-Infrastructure!K$9)^2)</f>
        <v>29.20017123</v>
      </c>
      <c r="BC899" s="331">
        <f>SQRT(($R899-Infrastructure!J$10)^2+($S899-Infrastructure!K$10)^2)</f>
        <v>30.86486676</v>
      </c>
      <c r="BD899" s="318"/>
      <c r="BE899" s="332"/>
      <c r="BF899" s="330">
        <f t="shared" si="14"/>
        <v>4.751841748</v>
      </c>
      <c r="BG899" s="333">
        <f t="shared" si="15"/>
        <v>30.86486676</v>
      </c>
      <c r="BH899" s="334"/>
      <c r="BI899" s="462" t="s">
        <v>846</v>
      </c>
      <c r="BJ899" s="319" t="s">
        <v>846</v>
      </c>
      <c r="BK899" s="318"/>
      <c r="BL899" s="319" t="s">
        <v>846</v>
      </c>
      <c r="BM899" s="319" t="s">
        <v>845</v>
      </c>
      <c r="BN899" s="319" t="s">
        <v>845</v>
      </c>
      <c r="BO899" s="319" t="s">
        <v>845</v>
      </c>
      <c r="BP899" s="318"/>
      <c r="BQ899" s="788" t="s">
        <v>846</v>
      </c>
      <c r="BR899" s="789" t="s">
        <v>845</v>
      </c>
      <c r="BS899" s="330">
        <f t="shared" si="57"/>
        <v>4.751841748</v>
      </c>
      <c r="BT899" s="331">
        <f t="shared" si="58"/>
        <v>26.35185003</v>
      </c>
      <c r="BU899" s="842">
        <v>0.6234722222222222</v>
      </c>
      <c r="BV899" s="333"/>
      <c r="BW899" s="330">
        <v>16.275</v>
      </c>
      <c r="BX899" s="331">
        <v>6.40499999999999</v>
      </c>
      <c r="BY899" s="331">
        <f t="shared" si="59"/>
        <v>5.652402144</v>
      </c>
      <c r="BZ899" s="340"/>
      <c r="CA899" s="462" t="s">
        <v>846</v>
      </c>
      <c r="CB899" s="319" t="s">
        <v>845</v>
      </c>
      <c r="CC899" s="318"/>
      <c r="CD899" s="319" t="s">
        <v>846</v>
      </c>
      <c r="CE899" s="319" t="s">
        <v>845</v>
      </c>
      <c r="CF899" s="319" t="s">
        <v>845</v>
      </c>
      <c r="CG899" s="319" t="s">
        <v>845</v>
      </c>
      <c r="CH899" s="318"/>
      <c r="CI899" s="788" t="s">
        <v>845</v>
      </c>
      <c r="CJ899" s="821" t="s">
        <v>845</v>
      </c>
      <c r="CK899" s="342">
        <f t="shared" si="18"/>
        <v>4.751841748</v>
      </c>
      <c r="CL899" s="333">
        <f t="shared" si="19"/>
        <v>26.35185003</v>
      </c>
      <c r="CM899" s="829"/>
      <c r="CN899" s="333"/>
      <c r="CO899" s="333"/>
      <c r="CP899" s="333"/>
    </row>
    <row r="900">
      <c r="B900" s="462" t="s">
        <v>1537</v>
      </c>
      <c r="C900" s="417">
        <v>44369.0</v>
      </c>
      <c r="D900" s="318"/>
      <c r="E900" s="319" t="s">
        <v>1476</v>
      </c>
      <c r="F900" s="324" t="s">
        <v>1557</v>
      </c>
      <c r="G900" s="321"/>
      <c r="H900" s="323">
        <v>0.6246527777777777</v>
      </c>
      <c r="I900" s="323"/>
      <c r="J900" s="323"/>
      <c r="K900" s="323">
        <v>0.6255208333333333</v>
      </c>
      <c r="L900" s="323">
        <v>8.680555555555555E-4</v>
      </c>
      <c r="M900" s="319" t="s">
        <v>166</v>
      </c>
      <c r="N900" s="324" t="s">
        <v>187</v>
      </c>
      <c r="O900" s="419" t="s">
        <v>1545</v>
      </c>
      <c r="P900" s="319" t="s">
        <v>212</v>
      </c>
      <c r="Q900" s="318"/>
      <c r="R900" s="326">
        <v>10.8</v>
      </c>
      <c r="S900" s="319">
        <v>5.0</v>
      </c>
      <c r="T900" s="324">
        <v>1.8</v>
      </c>
      <c r="U900" s="319">
        <v>1.0</v>
      </c>
      <c r="V900" s="319"/>
      <c r="W900" s="319"/>
      <c r="X900" s="319"/>
      <c r="Y900" s="319"/>
      <c r="Z900" s="319" t="s">
        <v>339</v>
      </c>
      <c r="AA900" s="319"/>
      <c r="AB900" s="319" t="s">
        <v>333</v>
      </c>
      <c r="AC900" s="327">
        <v>2.0</v>
      </c>
      <c r="AD900" s="319"/>
      <c r="AE900" s="319"/>
      <c r="AF900" s="319"/>
      <c r="AG900" s="319"/>
      <c r="AH900" s="319"/>
      <c r="AI900" s="319"/>
      <c r="AJ900" s="327"/>
      <c r="AK900" s="328"/>
      <c r="AL900" s="319"/>
      <c r="AM900" s="319"/>
      <c r="AN900" s="319"/>
      <c r="AO900" s="319"/>
      <c r="AP900" s="319"/>
      <c r="AQ900" s="319"/>
      <c r="AR900" s="319"/>
      <c r="AS900" s="327"/>
      <c r="AT900" s="461" t="s">
        <v>182</v>
      </c>
      <c r="AU900" s="324" t="s">
        <v>845</v>
      </c>
      <c r="AV900" s="330">
        <f>SQRT(($R900-Infrastructure!J$3)^2+($S900-Infrastructure!K$3)^2)</f>
        <v>26.35185003</v>
      </c>
      <c r="AW900" s="331">
        <f>SQRT(($R900-Infrastructure!J$4)^2+($S900-Infrastructure!K$4)^2)</f>
        <v>16.94254999</v>
      </c>
      <c r="AX900" s="331">
        <f>SQRT(($R900-Infrastructure!J$5)^2+($S900-Infrastructure!K$5)^2)</f>
        <v>11.10045044</v>
      </c>
      <c r="AY900" s="331">
        <f>SQRT(($R900-Infrastructure!J$6)^2+($S900-Infrastructure!K$6)^2)</f>
        <v>4.751841748</v>
      </c>
      <c r="AZ900" s="331">
        <f>SQRT(($R900-Infrastructure!J$7)^2+($S900-Infrastructure!K$7)^2)</f>
        <v>10.77868267</v>
      </c>
      <c r="BA900" s="331">
        <f>SQRT(($R900-Infrastructure!J$8)^2+($S900-Infrastructure!K$8)^2)</f>
        <v>19.86403786</v>
      </c>
      <c r="BB900" s="331">
        <f>SQRT(($R900-Infrastructure!J$9)^2+($S900-Infrastructure!K$9)^2)</f>
        <v>29.20017123</v>
      </c>
      <c r="BC900" s="331">
        <f>SQRT(($R900-Infrastructure!J$10)^2+($S900-Infrastructure!K$10)^2)</f>
        <v>30.86486676</v>
      </c>
      <c r="BD900" s="318"/>
      <c r="BE900" s="332"/>
      <c r="BF900" s="330">
        <f t="shared" si="14"/>
        <v>4.751841748</v>
      </c>
      <c r="BG900" s="333">
        <f t="shared" si="15"/>
        <v>30.86486676</v>
      </c>
      <c r="BH900" s="334"/>
      <c r="BI900" s="462" t="s">
        <v>846</v>
      </c>
      <c r="BJ900" s="319" t="s">
        <v>846</v>
      </c>
      <c r="BK900" s="318"/>
      <c r="BL900" s="319" t="s">
        <v>846</v>
      </c>
      <c r="BM900" s="319" t="s">
        <v>846</v>
      </c>
      <c r="BN900" s="319" t="s">
        <v>845</v>
      </c>
      <c r="BO900" s="319" t="s">
        <v>845</v>
      </c>
      <c r="BP900" s="318"/>
      <c r="BQ900" s="788" t="s">
        <v>846</v>
      </c>
      <c r="BR900" s="789" t="s">
        <v>845</v>
      </c>
      <c r="BS900" s="330">
        <f t="shared" si="57"/>
        <v>4.751841748</v>
      </c>
      <c r="BT900" s="331">
        <f t="shared" si="58"/>
        <v>26.35185003</v>
      </c>
      <c r="BU900" s="842">
        <v>0.6246990740740741</v>
      </c>
      <c r="BV900" s="333"/>
      <c r="BW900" s="330">
        <v>16.4928571428571</v>
      </c>
      <c r="BX900" s="331">
        <v>7.90714285714285</v>
      </c>
      <c r="BY900" s="331">
        <f t="shared" si="59"/>
        <v>6.392190707</v>
      </c>
      <c r="BZ900" s="340"/>
      <c r="CA900" s="462" t="s">
        <v>845</v>
      </c>
      <c r="CB900" s="319" t="s">
        <v>845</v>
      </c>
      <c r="CC900" s="318"/>
      <c r="CD900" s="319" t="s">
        <v>845</v>
      </c>
      <c r="CE900" s="319" t="s">
        <v>845</v>
      </c>
      <c r="CF900" s="319" t="s">
        <v>845</v>
      </c>
      <c r="CG900" s="319" t="s">
        <v>845</v>
      </c>
      <c r="CH900" s="318"/>
      <c r="CI900" s="788" t="s">
        <v>845</v>
      </c>
      <c r="CJ900" s="821" t="s">
        <v>845</v>
      </c>
      <c r="CK900" s="342">
        <f t="shared" si="18"/>
        <v>0</v>
      </c>
      <c r="CL900" s="333">
        <f t="shared" si="19"/>
        <v>0</v>
      </c>
      <c r="CM900" s="829"/>
      <c r="CN900" s="333"/>
      <c r="CO900" s="333"/>
      <c r="CP900" s="333"/>
    </row>
    <row r="901">
      <c r="B901" s="462" t="s">
        <v>1537</v>
      </c>
      <c r="C901" s="417">
        <v>44369.0</v>
      </c>
      <c r="D901" s="318"/>
      <c r="E901" s="319" t="s">
        <v>1478</v>
      </c>
      <c r="F901" s="324" t="s">
        <v>1558</v>
      </c>
      <c r="G901" s="321"/>
      <c r="H901" s="323">
        <v>0.6255208333333333</v>
      </c>
      <c r="I901" s="323"/>
      <c r="J901" s="323"/>
      <c r="K901" s="323">
        <v>0.6270833333333333</v>
      </c>
      <c r="L901" s="323">
        <v>0.0015625</v>
      </c>
      <c r="M901" s="319" t="s">
        <v>166</v>
      </c>
      <c r="N901" s="324" t="s">
        <v>187</v>
      </c>
      <c r="O901" s="419" t="s">
        <v>1545</v>
      </c>
      <c r="P901" s="319" t="s">
        <v>212</v>
      </c>
      <c r="Q901" s="318"/>
      <c r="R901" s="326">
        <v>10.8</v>
      </c>
      <c r="S901" s="319">
        <v>5.0</v>
      </c>
      <c r="T901" s="324">
        <v>1.8</v>
      </c>
      <c r="U901" s="319">
        <v>0.9</v>
      </c>
      <c r="V901" s="319"/>
      <c r="W901" s="319"/>
      <c r="X901" s="319"/>
      <c r="Y901" s="319"/>
      <c r="Z901" s="319" t="s">
        <v>339</v>
      </c>
      <c r="AA901" s="319"/>
      <c r="AB901" s="319" t="s">
        <v>333</v>
      </c>
      <c r="AC901" s="327">
        <v>2.0</v>
      </c>
      <c r="AD901" s="319"/>
      <c r="AE901" s="319"/>
      <c r="AF901" s="319"/>
      <c r="AG901" s="319"/>
      <c r="AH901" s="319"/>
      <c r="AI901" s="319"/>
      <c r="AJ901" s="327"/>
      <c r="AK901" s="328"/>
      <c r="AL901" s="319"/>
      <c r="AM901" s="319"/>
      <c r="AN901" s="319"/>
      <c r="AO901" s="319"/>
      <c r="AP901" s="319"/>
      <c r="AQ901" s="319"/>
      <c r="AR901" s="319"/>
      <c r="AS901" s="327"/>
      <c r="AT901" s="461" t="s">
        <v>181</v>
      </c>
      <c r="AU901" s="324" t="s">
        <v>845</v>
      </c>
      <c r="AV901" s="330">
        <f>SQRT(($R901-Infrastructure!J$3)^2+($S901-Infrastructure!K$3)^2)</f>
        <v>26.35185003</v>
      </c>
      <c r="AW901" s="331">
        <f>SQRT(($R901-Infrastructure!J$4)^2+($S901-Infrastructure!K$4)^2)</f>
        <v>16.94254999</v>
      </c>
      <c r="AX901" s="331">
        <f>SQRT(($R901-Infrastructure!J$5)^2+($S901-Infrastructure!K$5)^2)</f>
        <v>11.10045044</v>
      </c>
      <c r="AY901" s="331">
        <f>SQRT(($R901-Infrastructure!J$6)^2+($S901-Infrastructure!K$6)^2)</f>
        <v>4.751841748</v>
      </c>
      <c r="AZ901" s="331">
        <f>SQRT(($R901-Infrastructure!J$7)^2+($S901-Infrastructure!K$7)^2)</f>
        <v>10.77868267</v>
      </c>
      <c r="BA901" s="331">
        <f>SQRT(($R901-Infrastructure!J$8)^2+($S901-Infrastructure!K$8)^2)</f>
        <v>19.86403786</v>
      </c>
      <c r="BB901" s="331">
        <f>SQRT(($R901-Infrastructure!J$9)^2+($S901-Infrastructure!K$9)^2)</f>
        <v>29.20017123</v>
      </c>
      <c r="BC901" s="331">
        <f>SQRT(($R901-Infrastructure!J$10)^2+($S901-Infrastructure!K$10)^2)</f>
        <v>30.86486676</v>
      </c>
      <c r="BD901" s="318"/>
      <c r="BE901" s="332"/>
      <c r="BF901" s="330">
        <f t="shared" si="14"/>
        <v>4.751841748</v>
      </c>
      <c r="BG901" s="333">
        <f t="shared" si="15"/>
        <v>30.86486676</v>
      </c>
      <c r="BH901" s="334"/>
      <c r="BI901" s="462" t="s">
        <v>846</v>
      </c>
      <c r="BJ901" s="319" t="s">
        <v>846</v>
      </c>
      <c r="BK901" s="318"/>
      <c r="BL901" s="319" t="s">
        <v>846</v>
      </c>
      <c r="BM901" s="319" t="s">
        <v>846</v>
      </c>
      <c r="BN901" s="319" t="s">
        <v>845</v>
      </c>
      <c r="BO901" s="319" t="s">
        <v>845</v>
      </c>
      <c r="BP901" s="318"/>
      <c r="BQ901" s="788" t="s">
        <v>846</v>
      </c>
      <c r="BR901" s="789" t="s">
        <v>845</v>
      </c>
      <c r="BS901" s="330">
        <f t="shared" si="57"/>
        <v>4.751841748</v>
      </c>
      <c r="BT901" s="331">
        <f t="shared" si="58"/>
        <v>26.35185003</v>
      </c>
      <c r="BU901" s="842">
        <v>0.6255555555555555</v>
      </c>
      <c r="BV901" s="333"/>
      <c r="BW901" s="330">
        <v>15.0807692307692</v>
      </c>
      <c r="BX901" s="331">
        <v>7.43461538461538</v>
      </c>
      <c r="BY901" s="331">
        <f t="shared" si="59"/>
        <v>4.92466621</v>
      </c>
      <c r="BZ901" s="340"/>
      <c r="CA901" s="462" t="s">
        <v>845</v>
      </c>
      <c r="CB901" s="319" t="s">
        <v>845</v>
      </c>
      <c r="CC901" s="318"/>
      <c r="CD901" s="319" t="s">
        <v>845</v>
      </c>
      <c r="CE901" s="319" t="s">
        <v>845</v>
      </c>
      <c r="CF901" s="319" t="s">
        <v>845</v>
      </c>
      <c r="CG901" s="319" t="s">
        <v>845</v>
      </c>
      <c r="CH901" s="318"/>
      <c r="CI901" s="788" t="s">
        <v>845</v>
      </c>
      <c r="CJ901" s="821" t="s">
        <v>845</v>
      </c>
      <c r="CK901" s="342">
        <f t="shared" si="18"/>
        <v>0</v>
      </c>
      <c r="CL901" s="333">
        <f t="shared" si="19"/>
        <v>0</v>
      </c>
      <c r="CM901" s="829"/>
      <c r="CN901" s="333"/>
      <c r="CO901" s="333"/>
      <c r="CP901" s="333"/>
    </row>
    <row r="902">
      <c r="B902" s="462" t="s">
        <v>1537</v>
      </c>
      <c r="C902" s="417">
        <v>44369.0</v>
      </c>
      <c r="D902" s="318"/>
      <c r="E902" s="319">
        <v>6.0</v>
      </c>
      <c r="F902" s="324" t="s">
        <v>1559</v>
      </c>
      <c r="G902" s="321">
        <v>0.6567708333333333</v>
      </c>
      <c r="H902" s="323">
        <v>0.6597222222222222</v>
      </c>
      <c r="I902" s="323"/>
      <c r="J902" s="323"/>
      <c r="K902" s="323">
        <v>0.6645833333333333</v>
      </c>
      <c r="L902" s="323">
        <v>0.004861111111111111</v>
      </c>
      <c r="M902" s="319" t="s">
        <v>166</v>
      </c>
      <c r="N902" s="324" t="s">
        <v>187</v>
      </c>
      <c r="O902" s="419" t="s">
        <v>1545</v>
      </c>
      <c r="P902" s="319" t="s">
        <v>212</v>
      </c>
      <c r="Q902" s="318"/>
      <c r="R902" s="326">
        <v>11.3</v>
      </c>
      <c r="S902" s="319">
        <v>5.0</v>
      </c>
      <c r="T902" s="324">
        <v>1.8</v>
      </c>
      <c r="U902" s="319">
        <v>1.0</v>
      </c>
      <c r="V902" s="319"/>
      <c r="W902" s="319"/>
      <c r="X902" s="319"/>
      <c r="Y902" s="319"/>
      <c r="Z902" s="319" t="s">
        <v>339</v>
      </c>
      <c r="AA902" s="319"/>
      <c r="AB902" s="319" t="s">
        <v>333</v>
      </c>
      <c r="AC902" s="327">
        <v>2.0</v>
      </c>
      <c r="AD902" s="319"/>
      <c r="AE902" s="319"/>
      <c r="AF902" s="319"/>
      <c r="AG902" s="319"/>
      <c r="AH902" s="319"/>
      <c r="AI902" s="319"/>
      <c r="AJ902" s="327"/>
      <c r="AK902" s="328"/>
      <c r="AL902" s="319"/>
      <c r="AM902" s="319"/>
      <c r="AN902" s="319"/>
      <c r="AO902" s="319"/>
      <c r="AP902" s="319"/>
      <c r="AQ902" s="319"/>
      <c r="AR902" s="319"/>
      <c r="AS902" s="327"/>
      <c r="AT902" s="461" t="s">
        <v>182</v>
      </c>
      <c r="AU902" s="324" t="s">
        <v>845</v>
      </c>
      <c r="AV902" s="330">
        <f>SQRT(($R902-Infrastructure!J$3)^2+($S902-Infrastructure!K$3)^2)</f>
        <v>26.56633208</v>
      </c>
      <c r="AW902" s="331">
        <f>SQRT(($R902-Infrastructure!J$4)^2+($S902-Infrastructure!K$4)^2)</f>
        <v>17.27425831</v>
      </c>
      <c r="AX902" s="331">
        <f>SQRT(($R902-Infrastructure!J$5)^2+($S902-Infrastructure!K$5)^2)</f>
        <v>11.60043103</v>
      </c>
      <c r="AY902" s="331">
        <f>SQRT(($R902-Infrastructure!J$6)^2+($S902-Infrastructure!K$6)^2)</f>
        <v>4.850773134</v>
      </c>
      <c r="AZ902" s="331">
        <f>SQRT(($R902-Infrastructure!J$7)^2+($S902-Infrastructure!K$7)^2)</f>
        <v>10.33102125</v>
      </c>
      <c r="BA902" s="331">
        <f>SQRT(($R902-Infrastructure!J$8)^2+($S902-Infrastructure!K$8)^2)</f>
        <v>19.37859644</v>
      </c>
      <c r="BB902" s="331">
        <f>SQRT(($R902-Infrastructure!J$9)^2+($S902-Infrastructure!K$9)^2)</f>
        <v>28.70017422</v>
      </c>
      <c r="BC902" s="331">
        <f>SQRT(($R902-Infrastructure!J$10)^2+($S902-Infrastructure!K$10)^2)</f>
        <v>30.39226875</v>
      </c>
      <c r="BD902" s="318"/>
      <c r="BE902" s="332"/>
      <c r="BF902" s="330">
        <f t="shared" si="14"/>
        <v>4.850773134</v>
      </c>
      <c r="BG902" s="333">
        <f t="shared" si="15"/>
        <v>30.39226875</v>
      </c>
      <c r="BH902" s="334"/>
      <c r="BI902" s="462" t="s">
        <v>846</v>
      </c>
      <c r="BJ902" s="319" t="s">
        <v>846</v>
      </c>
      <c r="BK902" s="318"/>
      <c r="BL902" s="319" t="s">
        <v>846</v>
      </c>
      <c r="BM902" s="319" t="s">
        <v>846</v>
      </c>
      <c r="BN902" s="319" t="s">
        <v>845</v>
      </c>
      <c r="BO902" s="319" t="s">
        <v>845</v>
      </c>
      <c r="BP902" s="318"/>
      <c r="BQ902" s="788" t="s">
        <v>846</v>
      </c>
      <c r="BR902" s="789" t="s">
        <v>845</v>
      </c>
      <c r="BS902" s="330">
        <f t="shared" si="57"/>
        <v>4.850773134</v>
      </c>
      <c r="BT902" s="331">
        <f t="shared" si="58"/>
        <v>26.56633208</v>
      </c>
      <c r="BU902" s="842">
        <v>0.6597222222222222</v>
      </c>
      <c r="BV902" s="333"/>
      <c r="BW902" s="330">
        <v>19.5987179487179</v>
      </c>
      <c r="BX902" s="331">
        <v>7.92820512820513</v>
      </c>
      <c r="BY902" s="331">
        <f t="shared" si="59"/>
        <v>8.800176411</v>
      </c>
      <c r="BZ902" s="340"/>
      <c r="CA902" s="462" t="s">
        <v>846</v>
      </c>
      <c r="CB902" s="319" t="s">
        <v>845</v>
      </c>
      <c r="CC902" s="318"/>
      <c r="CD902" s="319" t="s">
        <v>846</v>
      </c>
      <c r="CE902" s="319" t="s">
        <v>845</v>
      </c>
      <c r="CF902" s="319" t="s">
        <v>845</v>
      </c>
      <c r="CG902" s="319" t="s">
        <v>845</v>
      </c>
      <c r="CH902" s="318"/>
      <c r="CI902" s="788" t="s">
        <v>845</v>
      </c>
      <c r="CJ902" s="821" t="s">
        <v>845</v>
      </c>
      <c r="CK902" s="342">
        <f t="shared" si="18"/>
        <v>4.850773134</v>
      </c>
      <c r="CL902" s="333">
        <f t="shared" si="19"/>
        <v>26.56633208</v>
      </c>
      <c r="CM902" s="829"/>
      <c r="CN902" s="333"/>
      <c r="CO902" s="333"/>
      <c r="CP902" s="333"/>
    </row>
    <row r="903">
      <c r="B903" s="462" t="s">
        <v>1537</v>
      </c>
      <c r="C903" s="417">
        <v>44369.0</v>
      </c>
      <c r="D903" s="318"/>
      <c r="E903" s="319"/>
      <c r="F903" s="324" t="s">
        <v>1560</v>
      </c>
      <c r="G903" s="321">
        <v>0.6743055555555556</v>
      </c>
      <c r="H903" s="323"/>
      <c r="I903" s="323"/>
      <c r="J903" s="323"/>
      <c r="K903" s="323">
        <v>0.674537037037037</v>
      </c>
      <c r="L903" s="323">
        <v>2.314814814814815E-4</v>
      </c>
      <c r="M903" s="319" t="s">
        <v>166</v>
      </c>
      <c r="N903" s="324" t="s">
        <v>188</v>
      </c>
      <c r="O903" s="419"/>
      <c r="P903" s="319" t="s">
        <v>231</v>
      </c>
      <c r="Q903" s="318"/>
      <c r="R903" s="833"/>
      <c r="S903" s="319"/>
      <c r="T903" s="324"/>
      <c r="U903" s="834"/>
      <c r="V903" s="834"/>
      <c r="W903" s="834"/>
      <c r="X903" s="834"/>
      <c r="Y903" s="834"/>
      <c r="Z903" s="319" t="s">
        <v>323</v>
      </c>
      <c r="AA903" s="319"/>
      <c r="AB903" s="319" t="s">
        <v>323</v>
      </c>
      <c r="AC903" s="327" t="s">
        <v>323</v>
      </c>
      <c r="AD903" s="319"/>
      <c r="AE903" s="319"/>
      <c r="AF903" s="319"/>
      <c r="AG903" s="319"/>
      <c r="AH903" s="319"/>
      <c r="AI903" s="319"/>
      <c r="AJ903" s="327"/>
      <c r="AK903" s="328"/>
      <c r="AL903" s="319"/>
      <c r="AM903" s="319"/>
      <c r="AN903" s="319"/>
      <c r="AO903" s="319"/>
      <c r="AP903" s="319"/>
      <c r="AQ903" s="319"/>
      <c r="AR903" s="319"/>
      <c r="AS903" s="327"/>
      <c r="AT903" s="344"/>
      <c r="AU903" s="332"/>
      <c r="AV903" s="330">
        <f>SQRT(($R903-Infrastructure!J$3)^2+($S903-Infrastructure!K$3)^2)</f>
        <v>28.90155705</v>
      </c>
      <c r="AW903" s="331">
        <f>SQRT(($R903-Infrastructure!J$4)^2+($S903-Infrastructure!K$4)^2)</f>
        <v>17.80252791</v>
      </c>
      <c r="AX903" s="331">
        <f>SQRT(($R903-Infrastructure!J$5)^2+($S903-Infrastructure!K$5)^2)</f>
        <v>5.10881591</v>
      </c>
      <c r="AY903" s="331">
        <f>SQRT(($R903-Infrastructure!J$6)^2+($S903-Infrastructure!K$6)^2)</f>
        <v>10.10445446</v>
      </c>
      <c r="AZ903" s="331">
        <f>SQRT(($R903-Infrastructure!J$7)^2+($S903-Infrastructure!K$7)^2)</f>
        <v>20.502195</v>
      </c>
      <c r="BA903" s="331">
        <f>SQRT(($R903-Infrastructure!J$8)^2+($S903-Infrastructure!K$8)^2)</f>
        <v>30.10149498</v>
      </c>
      <c r="BB903" s="331">
        <f>SQRT(($R903-Infrastructure!J$9)^2+($S903-Infrastructure!K$9)^2)</f>
        <v>40.3238143</v>
      </c>
      <c r="BC903" s="331">
        <f>SQRT(($R903-Infrastructure!J$10)^2+($S903-Infrastructure!K$10)^2)</f>
        <v>42.72001873</v>
      </c>
      <c r="BD903" s="318"/>
      <c r="BE903" s="332"/>
      <c r="BF903" s="330">
        <f t="shared" si="14"/>
        <v>5.10881591</v>
      </c>
      <c r="BG903" s="333">
        <f t="shared" si="15"/>
        <v>42.72001873</v>
      </c>
      <c r="BH903" s="334"/>
      <c r="BI903" s="462" t="s">
        <v>845</v>
      </c>
      <c r="BJ903" s="319" t="s">
        <v>845</v>
      </c>
      <c r="BK903" s="318"/>
      <c r="BL903" s="319" t="s">
        <v>845</v>
      </c>
      <c r="BM903" s="319" t="s">
        <v>845</v>
      </c>
      <c r="BN903" s="319" t="s">
        <v>845</v>
      </c>
      <c r="BO903" s="319" t="s">
        <v>845</v>
      </c>
      <c r="BP903" s="318"/>
      <c r="BQ903" s="788" t="s">
        <v>845</v>
      </c>
      <c r="BR903" s="789" t="s">
        <v>845</v>
      </c>
      <c r="BS903" s="330"/>
      <c r="BT903" s="331"/>
      <c r="BU903" s="828"/>
      <c r="BV903" s="333"/>
      <c r="BW903" s="330"/>
      <c r="BX903" s="331"/>
      <c r="BY903" s="331"/>
      <c r="BZ903" s="340"/>
      <c r="CA903" s="462" t="s">
        <v>845</v>
      </c>
      <c r="CB903" s="319" t="s">
        <v>845</v>
      </c>
      <c r="CC903" s="318"/>
      <c r="CD903" s="319" t="s">
        <v>845</v>
      </c>
      <c r="CE903" s="319" t="s">
        <v>845</v>
      </c>
      <c r="CF903" s="319" t="s">
        <v>845</v>
      </c>
      <c r="CG903" s="319" t="s">
        <v>845</v>
      </c>
      <c r="CH903" s="318"/>
      <c r="CI903" s="788" t="s">
        <v>845</v>
      </c>
      <c r="CJ903" s="821" t="s">
        <v>845</v>
      </c>
      <c r="CK903" s="342">
        <f t="shared" si="18"/>
        <v>0</v>
      </c>
      <c r="CL903" s="333">
        <f t="shared" si="19"/>
        <v>0</v>
      </c>
      <c r="CM903" s="829"/>
      <c r="CN903" s="333"/>
      <c r="CO903" s="333"/>
      <c r="CP903" s="333"/>
    </row>
    <row r="904">
      <c r="A904" s="634"/>
      <c r="B904" s="635" t="s">
        <v>1537</v>
      </c>
      <c r="C904" s="769">
        <v>44369.0</v>
      </c>
      <c r="D904" s="640"/>
      <c r="E904" s="663"/>
      <c r="F904" s="637" t="s">
        <v>1560</v>
      </c>
      <c r="G904" s="770">
        <v>0.6760416666666667</v>
      </c>
      <c r="H904" s="771"/>
      <c r="I904" s="771"/>
      <c r="J904" s="771"/>
      <c r="K904" s="771">
        <v>0.6802083333333333</v>
      </c>
      <c r="L904" s="771">
        <v>0.004166666666666667</v>
      </c>
      <c r="M904" s="663" t="s">
        <v>358</v>
      </c>
      <c r="N904" s="637" t="s">
        <v>188</v>
      </c>
      <c r="O904" s="731"/>
      <c r="P904" s="663" t="s">
        <v>231</v>
      </c>
      <c r="Q904" s="640"/>
      <c r="R904" s="837"/>
      <c r="S904" s="663"/>
      <c r="T904" s="637"/>
      <c r="U904" s="838"/>
      <c r="V904" s="838"/>
      <c r="W904" s="838"/>
      <c r="X904" s="838"/>
      <c r="Y904" s="838"/>
      <c r="Z904" s="663" t="s">
        <v>323</v>
      </c>
      <c r="AA904" s="663"/>
      <c r="AB904" s="663" t="s">
        <v>323</v>
      </c>
      <c r="AC904" s="773" t="s">
        <v>323</v>
      </c>
      <c r="AD904" s="663"/>
      <c r="AE904" s="663"/>
      <c r="AF904" s="663"/>
      <c r="AG904" s="663"/>
      <c r="AH904" s="663"/>
      <c r="AI904" s="663"/>
      <c r="AJ904" s="773"/>
      <c r="AK904" s="839"/>
      <c r="AL904" s="663"/>
      <c r="AM904" s="663"/>
      <c r="AN904" s="663"/>
      <c r="AO904" s="663"/>
      <c r="AP904" s="663"/>
      <c r="AQ904" s="663"/>
      <c r="AR904" s="663"/>
      <c r="AS904" s="773"/>
      <c r="AT904" s="787"/>
      <c r="AU904" s="739"/>
      <c r="AV904" s="662">
        <f>SQRT(($R904-Infrastructure!J$3)^2+($S904-Infrastructure!K$3)^2)</f>
        <v>28.90155705</v>
      </c>
      <c r="AW904" s="641">
        <f>SQRT(($R904-Infrastructure!J$4)^2+($S904-Infrastructure!K$4)^2)</f>
        <v>17.80252791</v>
      </c>
      <c r="AX904" s="641">
        <f>SQRT(($R904-Infrastructure!J$5)^2+($S904-Infrastructure!K$5)^2)</f>
        <v>5.10881591</v>
      </c>
      <c r="AY904" s="641">
        <f>SQRT(($R904-Infrastructure!J$6)^2+($S904-Infrastructure!K$6)^2)</f>
        <v>10.10445446</v>
      </c>
      <c r="AZ904" s="641">
        <f>SQRT(($R904-Infrastructure!J$7)^2+($S904-Infrastructure!K$7)^2)</f>
        <v>20.502195</v>
      </c>
      <c r="BA904" s="641">
        <f>SQRT(($R904-Infrastructure!J$8)^2+($S904-Infrastructure!K$8)^2)</f>
        <v>30.10149498</v>
      </c>
      <c r="BB904" s="641">
        <f>SQRT(($R904-Infrastructure!J$9)^2+($S904-Infrastructure!K$9)^2)</f>
        <v>40.3238143</v>
      </c>
      <c r="BC904" s="641">
        <f>SQRT(($R904-Infrastructure!J$10)^2+($S904-Infrastructure!K$10)^2)</f>
        <v>42.72001873</v>
      </c>
      <c r="BD904" s="640"/>
      <c r="BE904" s="739"/>
      <c r="BF904" s="330">
        <f t="shared" si="14"/>
        <v>5.10881591</v>
      </c>
      <c r="BG904" s="333">
        <f t="shared" si="15"/>
        <v>42.72001873</v>
      </c>
      <c r="BH904" s="774"/>
      <c r="BI904" s="635" t="s">
        <v>846</v>
      </c>
      <c r="BJ904" s="663" t="s">
        <v>846</v>
      </c>
      <c r="BK904" s="640"/>
      <c r="BL904" s="663" t="s">
        <v>845</v>
      </c>
      <c r="BM904" s="663" t="s">
        <v>845</v>
      </c>
      <c r="BN904" s="663" t="s">
        <v>845</v>
      </c>
      <c r="BO904" s="663" t="s">
        <v>845</v>
      </c>
      <c r="BP904" s="640"/>
      <c r="BQ904" s="790" t="s">
        <v>846</v>
      </c>
      <c r="BR904" s="841" t="s">
        <v>845</v>
      </c>
      <c r="BS904" s="330"/>
      <c r="BT904" s="331"/>
      <c r="BU904" s="843"/>
      <c r="BV904" s="642"/>
      <c r="BW904" s="662"/>
      <c r="BX904" s="641"/>
      <c r="BY904" s="641"/>
      <c r="BZ904" s="742"/>
      <c r="CA904" s="635" t="s">
        <v>845</v>
      </c>
      <c r="CB904" s="663" t="s">
        <v>845</v>
      </c>
      <c r="CC904" s="640"/>
      <c r="CD904" s="663" t="s">
        <v>845</v>
      </c>
      <c r="CE904" s="663" t="s">
        <v>845</v>
      </c>
      <c r="CF904" s="663" t="s">
        <v>845</v>
      </c>
      <c r="CG904" s="663" t="s">
        <v>845</v>
      </c>
      <c r="CH904" s="640"/>
      <c r="CI904" s="790" t="s">
        <v>845</v>
      </c>
      <c r="CJ904" s="822" t="s">
        <v>845</v>
      </c>
      <c r="CK904" s="342">
        <f t="shared" si="18"/>
        <v>0</v>
      </c>
      <c r="CL904" s="333">
        <f t="shared" si="19"/>
        <v>0</v>
      </c>
      <c r="CM904" s="831"/>
      <c r="CN904" s="333"/>
      <c r="CO904" s="333"/>
      <c r="CP904" s="333"/>
    </row>
    <row r="905">
      <c r="A905" s="315" t="s">
        <v>50</v>
      </c>
      <c r="B905" s="462" t="s">
        <v>1561</v>
      </c>
      <c r="C905" s="417">
        <v>44323.0</v>
      </c>
      <c r="D905" s="318"/>
      <c r="E905" s="319">
        <v>1.0</v>
      </c>
      <c r="F905" s="324" t="s">
        <v>1562</v>
      </c>
      <c r="G905" s="321">
        <v>0.5878472222222222</v>
      </c>
      <c r="H905" s="323">
        <v>0.5892361111111111</v>
      </c>
      <c r="I905" s="323"/>
      <c r="J905" s="323"/>
      <c r="K905" s="323">
        <v>0.5916666666666667</v>
      </c>
      <c r="L905" s="323">
        <v>0.0024305555555555556</v>
      </c>
      <c r="M905" s="319" t="s">
        <v>166</v>
      </c>
      <c r="N905" s="324" t="s">
        <v>188</v>
      </c>
      <c r="O905" s="419" t="s">
        <v>196</v>
      </c>
      <c r="P905" s="319" t="s">
        <v>229</v>
      </c>
      <c r="Q905" s="318"/>
      <c r="R905" s="326">
        <v>21.7</v>
      </c>
      <c r="S905" s="319">
        <v>39.5</v>
      </c>
      <c r="T905" s="324">
        <v>2.4</v>
      </c>
      <c r="U905" s="319">
        <v>200.0</v>
      </c>
      <c r="V905" s="319"/>
      <c r="W905" s="319"/>
      <c r="X905" s="319"/>
      <c r="Y905" s="319"/>
      <c r="Z905" s="319" t="s">
        <v>387</v>
      </c>
      <c r="AA905" s="319"/>
      <c r="AB905" s="319" t="s">
        <v>419</v>
      </c>
      <c r="AC905" s="327">
        <v>77.9</v>
      </c>
      <c r="AD905" s="319"/>
      <c r="AE905" s="319"/>
      <c r="AF905" s="319"/>
      <c r="AG905" s="319"/>
      <c r="AH905" s="319"/>
      <c r="AI905" s="319"/>
      <c r="AJ905" s="327"/>
      <c r="AK905" s="328"/>
      <c r="AL905" s="319"/>
      <c r="AM905" s="319"/>
      <c r="AN905" s="319"/>
      <c r="AO905" s="319"/>
      <c r="AP905" s="319"/>
      <c r="AQ905" s="319"/>
      <c r="AR905" s="319"/>
      <c r="AS905" s="327"/>
      <c r="AT905" s="460" t="s">
        <v>183</v>
      </c>
      <c r="AU905" s="324" t="s">
        <v>845</v>
      </c>
      <c r="AV905" s="330">
        <f>SQRT(($R905-Infrastructure!J$3)^2+($S905-Infrastructure!K$3)^2)</f>
        <v>24.42048321</v>
      </c>
      <c r="AW905" s="331">
        <f>SQRT(($R905-Infrastructure!J$4)^2+($S905-Infrastructure!K$4)^2)</f>
        <v>30.90129447</v>
      </c>
      <c r="AX905" s="331">
        <f>SQRT(($R905-Infrastructure!J$5)^2+($S905-Infrastructure!K$5)^2)</f>
        <v>40.83331973</v>
      </c>
      <c r="AY905" s="331">
        <f>SQRT(($R905-Infrastructure!J$6)^2+($S905-Infrastructure!K$6)^2)</f>
        <v>40.88031311</v>
      </c>
      <c r="AZ905" s="331">
        <f>SQRT(($R905-Infrastructure!J$7)^2+($S905-Infrastructure!K$7)^2)</f>
        <v>39.21836305</v>
      </c>
      <c r="BA905" s="331">
        <f>SQRT(($R905-Infrastructure!J$8)^2+($S905-Infrastructure!K$8)^2)</f>
        <v>40.08989898</v>
      </c>
      <c r="BB905" s="331">
        <f>SQRT(($R905-Infrastructure!J$9)^2+($S905-Infrastructure!K$9)^2)</f>
        <v>38.96472764</v>
      </c>
      <c r="BC905" s="331">
        <f>SQRT(($R905-Infrastructure!J$10)^2+($S905-Infrastructure!K$10)^2)</f>
        <v>30.58005886</v>
      </c>
      <c r="BD905" s="318"/>
      <c r="BE905" s="332"/>
      <c r="BF905" s="330">
        <f t="shared" si="14"/>
        <v>24.42048321</v>
      </c>
      <c r="BG905" s="333">
        <f t="shared" si="15"/>
        <v>40.88031311</v>
      </c>
      <c r="BH905" s="409"/>
      <c r="BI905" s="573" t="s">
        <v>846</v>
      </c>
      <c r="BJ905" s="393" t="s">
        <v>845</v>
      </c>
      <c r="BK905" s="392"/>
      <c r="BL905" s="393" t="s">
        <v>845</v>
      </c>
      <c r="BM905" s="393" t="s">
        <v>845</v>
      </c>
      <c r="BN905" s="393" t="s">
        <v>846</v>
      </c>
      <c r="BO905" s="393" t="s">
        <v>845</v>
      </c>
      <c r="BP905" s="392"/>
      <c r="BQ905" s="792" t="s">
        <v>845</v>
      </c>
      <c r="BR905" s="793" t="s">
        <v>845</v>
      </c>
      <c r="BS905" s="330">
        <f t="shared" ref="BS905:BS906" si="60">MINIFS(AV905:BE905,BI905:BR905, "Y")</f>
        <v>24.42048321</v>
      </c>
      <c r="BT905" s="331">
        <f t="shared" ref="BT905:BT906" si="61">MAXIFS(AV905:BE905,BI905:BR905, "Y")</f>
        <v>40.08989898</v>
      </c>
      <c r="BU905" s="844">
        <v>0.5878472222222222</v>
      </c>
      <c r="BV905" s="408"/>
      <c r="BW905" s="405"/>
      <c r="BX905" s="406"/>
      <c r="BY905" s="331" t="b">
        <f t="shared" ref="BY905:BY906" si="62">IF(BW905&gt;0, SQRT((R905-BW905)^2+(S905-BX905)^2))</f>
        <v>0</v>
      </c>
      <c r="BZ905" s="340"/>
      <c r="CA905" s="462" t="s">
        <v>846</v>
      </c>
      <c r="CB905" s="319" t="s">
        <v>845</v>
      </c>
      <c r="CC905" s="318"/>
      <c r="CD905" s="319" t="s">
        <v>845</v>
      </c>
      <c r="CE905" s="319" t="s">
        <v>845</v>
      </c>
      <c r="CF905" s="319" t="s">
        <v>845</v>
      </c>
      <c r="CG905" s="319" t="s">
        <v>846</v>
      </c>
      <c r="CH905" s="318"/>
      <c r="CI905" s="788" t="s">
        <v>845</v>
      </c>
      <c r="CJ905" s="821" t="s">
        <v>845</v>
      </c>
      <c r="CK905" s="342">
        <f t="shared" si="18"/>
        <v>24.42048321</v>
      </c>
      <c r="CL905" s="333">
        <f t="shared" si="19"/>
        <v>38.96472764</v>
      </c>
      <c r="CM905" s="829"/>
      <c r="CN905" s="333"/>
      <c r="CO905" s="333"/>
      <c r="CP905" s="333"/>
    </row>
    <row r="906">
      <c r="B906" s="462" t="s">
        <v>1561</v>
      </c>
      <c r="C906" s="417">
        <v>44323.0</v>
      </c>
      <c r="D906" s="318"/>
      <c r="E906" s="319">
        <v>2.0</v>
      </c>
      <c r="F906" s="324" t="s">
        <v>1563</v>
      </c>
      <c r="G906" s="321">
        <v>0.6185763888888889</v>
      </c>
      <c r="H906" s="323">
        <v>0.6194444444444445</v>
      </c>
      <c r="I906" s="323"/>
      <c r="J906" s="323"/>
      <c r="K906" s="323">
        <v>0.6218171296296297</v>
      </c>
      <c r="L906" s="323">
        <v>0.002372685185185185</v>
      </c>
      <c r="M906" s="319" t="s">
        <v>166</v>
      </c>
      <c r="N906" s="324" t="s">
        <v>188</v>
      </c>
      <c r="O906" s="419" t="s">
        <v>196</v>
      </c>
      <c r="P906" s="319" t="s">
        <v>229</v>
      </c>
      <c r="Q906" s="318"/>
      <c r="R906" s="326">
        <v>21.7</v>
      </c>
      <c r="S906" s="319">
        <v>39.5</v>
      </c>
      <c r="T906" s="324">
        <v>2.4</v>
      </c>
      <c r="U906" s="319">
        <v>200.0</v>
      </c>
      <c r="V906" s="319"/>
      <c r="W906" s="319"/>
      <c r="X906" s="319"/>
      <c r="Y906" s="319"/>
      <c r="Z906" s="319" t="s">
        <v>387</v>
      </c>
      <c r="AA906" s="319"/>
      <c r="AB906" s="319" t="s">
        <v>419</v>
      </c>
      <c r="AC906" s="327">
        <v>77.9</v>
      </c>
      <c r="AD906" s="319"/>
      <c r="AE906" s="319"/>
      <c r="AF906" s="319"/>
      <c r="AG906" s="319"/>
      <c r="AH906" s="319"/>
      <c r="AI906" s="319"/>
      <c r="AJ906" s="327"/>
      <c r="AK906" s="328"/>
      <c r="AL906" s="319"/>
      <c r="AM906" s="319"/>
      <c r="AN906" s="319"/>
      <c r="AO906" s="319"/>
      <c r="AP906" s="319"/>
      <c r="AQ906" s="319"/>
      <c r="AR906" s="319"/>
      <c r="AS906" s="327"/>
      <c r="AT906" s="461" t="s">
        <v>183</v>
      </c>
      <c r="AU906" s="324" t="s">
        <v>845</v>
      </c>
      <c r="AV906" s="330">
        <f>SQRT(($R906-Infrastructure!J$3)^2+($S906-Infrastructure!K$3)^2)</f>
        <v>24.42048321</v>
      </c>
      <c r="AW906" s="331">
        <f>SQRT(($R906-Infrastructure!J$4)^2+($S906-Infrastructure!K$4)^2)</f>
        <v>30.90129447</v>
      </c>
      <c r="AX906" s="331">
        <f>SQRT(($R906-Infrastructure!J$5)^2+($S906-Infrastructure!K$5)^2)</f>
        <v>40.83331973</v>
      </c>
      <c r="AY906" s="331">
        <f>SQRT(($R906-Infrastructure!J$6)^2+($S906-Infrastructure!K$6)^2)</f>
        <v>40.88031311</v>
      </c>
      <c r="AZ906" s="331">
        <f>SQRT(($R906-Infrastructure!J$7)^2+($S906-Infrastructure!K$7)^2)</f>
        <v>39.21836305</v>
      </c>
      <c r="BA906" s="331">
        <f>SQRT(($R906-Infrastructure!J$8)^2+($S906-Infrastructure!K$8)^2)</f>
        <v>40.08989898</v>
      </c>
      <c r="BB906" s="331">
        <f>SQRT(($R906-Infrastructure!J$9)^2+($S906-Infrastructure!K$9)^2)</f>
        <v>38.96472764</v>
      </c>
      <c r="BC906" s="331">
        <f>SQRT(($R906-Infrastructure!J$10)^2+($S906-Infrastructure!K$10)^2)</f>
        <v>30.58005886</v>
      </c>
      <c r="BD906" s="318"/>
      <c r="BE906" s="332"/>
      <c r="BF906" s="330">
        <f t="shared" si="14"/>
        <v>24.42048321</v>
      </c>
      <c r="BG906" s="333">
        <f t="shared" si="15"/>
        <v>40.88031311</v>
      </c>
      <c r="BH906" s="334"/>
      <c r="BI906" s="462" t="s">
        <v>845</v>
      </c>
      <c r="BJ906" s="319" t="s">
        <v>845</v>
      </c>
      <c r="BK906" s="318"/>
      <c r="BL906" s="319" t="s">
        <v>845</v>
      </c>
      <c r="BM906" s="319" t="s">
        <v>845</v>
      </c>
      <c r="BN906" s="319" t="s">
        <v>846</v>
      </c>
      <c r="BO906" s="319" t="s">
        <v>845</v>
      </c>
      <c r="BP906" s="318"/>
      <c r="BQ906" s="788" t="s">
        <v>845</v>
      </c>
      <c r="BR906" s="789" t="s">
        <v>845</v>
      </c>
      <c r="BS906" s="330">
        <f t="shared" si="60"/>
        <v>40.08989898</v>
      </c>
      <c r="BT906" s="331">
        <f t="shared" si="61"/>
        <v>40.08989898</v>
      </c>
      <c r="BU906" s="845">
        <v>0.6217476851851852</v>
      </c>
      <c r="BV906" s="333"/>
      <c r="BW906" s="330"/>
      <c r="BX906" s="331"/>
      <c r="BY906" s="331" t="b">
        <f t="shared" si="62"/>
        <v>0</v>
      </c>
      <c r="BZ906" s="340"/>
      <c r="CA906" s="462" t="s">
        <v>845</v>
      </c>
      <c r="CB906" s="319" t="s">
        <v>845</v>
      </c>
      <c r="CC906" s="318"/>
      <c r="CD906" s="319" t="s">
        <v>845</v>
      </c>
      <c r="CE906" s="319" t="s">
        <v>845</v>
      </c>
      <c r="CF906" s="319" t="s">
        <v>845</v>
      </c>
      <c r="CG906" s="319" t="s">
        <v>846</v>
      </c>
      <c r="CH906" s="318"/>
      <c r="CI906" s="788" t="s">
        <v>845</v>
      </c>
      <c r="CJ906" s="821" t="s">
        <v>845</v>
      </c>
      <c r="CK906" s="342">
        <f t="shared" si="18"/>
        <v>38.96472764</v>
      </c>
      <c r="CL906" s="333">
        <f t="shared" si="19"/>
        <v>38.96472764</v>
      </c>
      <c r="CM906" s="829"/>
      <c r="CN906" s="333"/>
      <c r="CO906" s="333"/>
      <c r="CP906" s="333"/>
    </row>
    <row r="907">
      <c r="B907" s="462" t="s">
        <v>1561</v>
      </c>
      <c r="C907" s="417">
        <v>44323.0</v>
      </c>
      <c r="D907" s="318"/>
      <c r="E907" s="319"/>
      <c r="F907" s="324" t="s">
        <v>1564</v>
      </c>
      <c r="G907" s="321">
        <v>0.7256944444444444</v>
      </c>
      <c r="H907" s="323"/>
      <c r="I907" s="323"/>
      <c r="J907" s="323"/>
      <c r="K907" s="323">
        <v>0.7276041666666667</v>
      </c>
      <c r="L907" s="323">
        <v>0.0019097222222222222</v>
      </c>
      <c r="M907" s="319" t="s">
        <v>166</v>
      </c>
      <c r="N907" s="324" t="s">
        <v>188</v>
      </c>
      <c r="O907" s="419"/>
      <c r="P907" s="319" t="s">
        <v>231</v>
      </c>
      <c r="Q907" s="318"/>
      <c r="R907" s="833"/>
      <c r="S907" s="319"/>
      <c r="T907" s="324"/>
      <c r="U907" s="834"/>
      <c r="V907" s="834"/>
      <c r="W907" s="834"/>
      <c r="X907" s="834"/>
      <c r="Y907" s="834"/>
      <c r="Z907" s="319" t="s">
        <v>323</v>
      </c>
      <c r="AA907" s="319"/>
      <c r="AB907" s="319" t="s">
        <v>323</v>
      </c>
      <c r="AC907" s="327" t="s">
        <v>323</v>
      </c>
      <c r="AD907" s="319"/>
      <c r="AE907" s="319"/>
      <c r="AF907" s="319"/>
      <c r="AG907" s="319"/>
      <c r="AH907" s="319"/>
      <c r="AI907" s="319"/>
      <c r="AJ907" s="327"/>
      <c r="AK907" s="328"/>
      <c r="AL907" s="319"/>
      <c r="AM907" s="319"/>
      <c r="AN907" s="319"/>
      <c r="AO907" s="319"/>
      <c r="AP907" s="319"/>
      <c r="AQ907" s="319"/>
      <c r="AR907" s="319"/>
      <c r="AS907" s="327"/>
      <c r="AT907" s="344"/>
      <c r="AU907" s="332"/>
      <c r="AV907" s="330">
        <f>SQRT(($R907-Infrastructure!J$3)^2+($S907-Infrastructure!K$3)^2)</f>
        <v>28.90155705</v>
      </c>
      <c r="AW907" s="331">
        <f>SQRT(($R907-Infrastructure!J$4)^2+($S907-Infrastructure!K$4)^2)</f>
        <v>17.80252791</v>
      </c>
      <c r="AX907" s="331">
        <f>SQRT(($R907-Infrastructure!J$5)^2+($S907-Infrastructure!K$5)^2)</f>
        <v>5.10881591</v>
      </c>
      <c r="AY907" s="331">
        <f>SQRT(($R907-Infrastructure!J$6)^2+($S907-Infrastructure!K$6)^2)</f>
        <v>10.10445446</v>
      </c>
      <c r="AZ907" s="331">
        <f>SQRT(($R907-Infrastructure!J$7)^2+($S907-Infrastructure!K$7)^2)</f>
        <v>20.502195</v>
      </c>
      <c r="BA907" s="331">
        <f>SQRT(($R907-Infrastructure!J$8)^2+($S907-Infrastructure!K$8)^2)</f>
        <v>30.10149498</v>
      </c>
      <c r="BB907" s="331">
        <f>SQRT(($R907-Infrastructure!J$9)^2+($S907-Infrastructure!K$9)^2)</f>
        <v>40.3238143</v>
      </c>
      <c r="BC907" s="331">
        <f>SQRT(($R907-Infrastructure!J$10)^2+($S907-Infrastructure!K$10)^2)</f>
        <v>42.72001873</v>
      </c>
      <c r="BD907" s="318"/>
      <c r="BE907" s="332"/>
      <c r="BF907" s="330">
        <f t="shared" si="14"/>
        <v>5.10881591</v>
      </c>
      <c r="BG907" s="333">
        <f t="shared" si="15"/>
        <v>42.72001873</v>
      </c>
      <c r="BH907" s="334"/>
      <c r="BI907" s="462" t="s">
        <v>845</v>
      </c>
      <c r="BJ907" s="319" t="s">
        <v>845</v>
      </c>
      <c r="BK907" s="318"/>
      <c r="BL907" s="319" t="s">
        <v>845</v>
      </c>
      <c r="BM907" s="319" t="s">
        <v>845</v>
      </c>
      <c r="BN907" s="319" t="s">
        <v>845</v>
      </c>
      <c r="BO907" s="319" t="s">
        <v>845</v>
      </c>
      <c r="BP907" s="318"/>
      <c r="BQ907" s="788" t="s">
        <v>845</v>
      </c>
      <c r="BR907" s="789" t="s">
        <v>845</v>
      </c>
      <c r="BS907" s="330"/>
      <c r="BT907" s="331"/>
      <c r="BU907" s="331"/>
      <c r="BV907" s="333"/>
      <c r="BW907" s="330"/>
      <c r="BX907" s="331"/>
      <c r="BY907" s="331"/>
      <c r="BZ907" s="340"/>
      <c r="CA907" s="462" t="s">
        <v>845</v>
      </c>
      <c r="CB907" s="319" t="s">
        <v>845</v>
      </c>
      <c r="CC907" s="318"/>
      <c r="CD907" s="319" t="s">
        <v>845</v>
      </c>
      <c r="CE907" s="319" t="s">
        <v>845</v>
      </c>
      <c r="CF907" s="319" t="s">
        <v>845</v>
      </c>
      <c r="CG907" s="319" t="s">
        <v>846</v>
      </c>
      <c r="CH907" s="318"/>
      <c r="CI907" s="788" t="s">
        <v>845</v>
      </c>
      <c r="CJ907" s="821" t="s">
        <v>845</v>
      </c>
      <c r="CK907" s="342">
        <f t="shared" si="18"/>
        <v>40.3238143</v>
      </c>
      <c r="CL907" s="333">
        <f t="shared" si="19"/>
        <v>40.3238143</v>
      </c>
      <c r="CM907" s="829"/>
      <c r="CN907" s="333"/>
      <c r="CO907" s="333"/>
      <c r="CP907" s="333"/>
    </row>
    <row r="908">
      <c r="A908" s="634"/>
      <c r="B908" s="635" t="s">
        <v>1561</v>
      </c>
      <c r="C908" s="769">
        <v>44323.0</v>
      </c>
      <c r="D908" s="640"/>
      <c r="E908" s="663"/>
      <c r="F908" s="637" t="s">
        <v>1564</v>
      </c>
      <c r="G908" s="770">
        <v>0.73125</v>
      </c>
      <c r="H908" s="771"/>
      <c r="I908" s="771"/>
      <c r="J908" s="771"/>
      <c r="K908" s="771">
        <v>0.7333333333333333</v>
      </c>
      <c r="L908" s="771">
        <v>0.0020833333333333333</v>
      </c>
      <c r="M908" s="663" t="s">
        <v>358</v>
      </c>
      <c r="N908" s="637" t="s">
        <v>188</v>
      </c>
      <c r="O908" s="731"/>
      <c r="P908" s="663" t="s">
        <v>231</v>
      </c>
      <c r="Q908" s="640"/>
      <c r="R908" s="837"/>
      <c r="S908" s="663"/>
      <c r="T908" s="637"/>
      <c r="U908" s="838"/>
      <c r="V908" s="838"/>
      <c r="W908" s="838"/>
      <c r="X908" s="838"/>
      <c r="Y908" s="838"/>
      <c r="Z908" s="663" t="s">
        <v>323</v>
      </c>
      <c r="AA908" s="663"/>
      <c r="AB908" s="663" t="s">
        <v>323</v>
      </c>
      <c r="AC908" s="773" t="s">
        <v>323</v>
      </c>
      <c r="AD908" s="663"/>
      <c r="AE908" s="663"/>
      <c r="AF908" s="663"/>
      <c r="AG908" s="663"/>
      <c r="AH908" s="663"/>
      <c r="AI908" s="663"/>
      <c r="AJ908" s="773"/>
      <c r="AK908" s="839"/>
      <c r="AL908" s="663"/>
      <c r="AM908" s="663"/>
      <c r="AN908" s="663"/>
      <c r="AO908" s="663"/>
      <c r="AP908" s="663"/>
      <c r="AQ908" s="663"/>
      <c r="AR908" s="663"/>
      <c r="AS908" s="773"/>
      <c r="AT908" s="787"/>
      <c r="AU908" s="739"/>
      <c r="AV908" s="330">
        <f>SQRT(($R908-Infrastructure!J$3)^2+($S908-Infrastructure!K$3)^2)</f>
        <v>28.90155705</v>
      </c>
      <c r="AW908" s="331">
        <f>SQRT(($R908-Infrastructure!J$4)^2+($S908-Infrastructure!K$4)^2)</f>
        <v>17.80252791</v>
      </c>
      <c r="AX908" s="331">
        <f>SQRT(($R908-Infrastructure!J$5)^2+($S908-Infrastructure!K$5)^2)</f>
        <v>5.10881591</v>
      </c>
      <c r="AY908" s="331">
        <f>SQRT(($R908-Infrastructure!J$6)^2+($S908-Infrastructure!K$6)^2)</f>
        <v>10.10445446</v>
      </c>
      <c r="AZ908" s="331">
        <f>SQRT(($R908-Infrastructure!J$7)^2+($S908-Infrastructure!K$7)^2)</f>
        <v>20.502195</v>
      </c>
      <c r="BA908" s="331">
        <f>SQRT(($R908-Infrastructure!J$8)^2+($S908-Infrastructure!K$8)^2)</f>
        <v>30.10149498</v>
      </c>
      <c r="BB908" s="331">
        <f>SQRT(($R908-Infrastructure!J$9)^2+($S908-Infrastructure!K$9)^2)</f>
        <v>40.3238143</v>
      </c>
      <c r="BC908" s="331">
        <f>SQRT(($R908-Infrastructure!J$10)^2+($S908-Infrastructure!K$10)^2)</f>
        <v>42.72001873</v>
      </c>
      <c r="BD908" s="318"/>
      <c r="BE908" s="332"/>
      <c r="BF908" s="330">
        <f t="shared" si="14"/>
        <v>5.10881591</v>
      </c>
      <c r="BG908" s="333">
        <f t="shared" si="15"/>
        <v>42.72001873</v>
      </c>
      <c r="BH908" s="774"/>
      <c r="BI908" s="635" t="s">
        <v>845</v>
      </c>
      <c r="BJ908" s="663" t="s">
        <v>845</v>
      </c>
      <c r="BK908" s="640"/>
      <c r="BL908" s="663" t="s">
        <v>845</v>
      </c>
      <c r="BM908" s="663" t="s">
        <v>845</v>
      </c>
      <c r="BN908" s="663" t="s">
        <v>845</v>
      </c>
      <c r="BO908" s="663" t="s">
        <v>845</v>
      </c>
      <c r="BP908" s="640"/>
      <c r="BQ908" s="790" t="s">
        <v>845</v>
      </c>
      <c r="BR908" s="841" t="s">
        <v>845</v>
      </c>
      <c r="BS908" s="330"/>
      <c r="BT908" s="331"/>
      <c r="BU908" s="641"/>
      <c r="BV908" s="642"/>
      <c r="BW908" s="662"/>
      <c r="BX908" s="641"/>
      <c r="BY908" s="331"/>
      <c r="BZ908" s="340"/>
      <c r="CA908" s="462" t="s">
        <v>845</v>
      </c>
      <c r="CB908" s="319" t="s">
        <v>845</v>
      </c>
      <c r="CC908" s="318"/>
      <c r="CD908" s="319" t="s">
        <v>845</v>
      </c>
      <c r="CE908" s="319" t="s">
        <v>845</v>
      </c>
      <c r="CF908" s="319" t="s">
        <v>845</v>
      </c>
      <c r="CG908" s="319" t="s">
        <v>846</v>
      </c>
      <c r="CH908" s="318"/>
      <c r="CI908" s="788" t="s">
        <v>845</v>
      </c>
      <c r="CJ908" s="821" t="s">
        <v>845</v>
      </c>
      <c r="CK908" s="342">
        <f t="shared" si="18"/>
        <v>40.3238143</v>
      </c>
      <c r="CL908" s="333">
        <f t="shared" si="19"/>
        <v>40.3238143</v>
      </c>
      <c r="CM908" s="829"/>
      <c r="CN908" s="333"/>
      <c r="CO908" s="333"/>
      <c r="CP908" s="333"/>
    </row>
    <row r="909">
      <c r="A909" s="315" t="s">
        <v>51</v>
      </c>
      <c r="B909" s="462" t="s">
        <v>1561</v>
      </c>
      <c r="C909" s="417">
        <v>44385.0</v>
      </c>
      <c r="D909" s="318"/>
      <c r="E909" s="319">
        <v>1.0</v>
      </c>
      <c r="F909" s="324" t="s">
        <v>1565</v>
      </c>
      <c r="G909" s="321">
        <v>0.4152777777777778</v>
      </c>
      <c r="H909" s="323">
        <v>0.41574074074074074</v>
      </c>
      <c r="I909" s="323"/>
      <c r="J909" s="323"/>
      <c r="K909" s="323">
        <v>0.41782407407407407</v>
      </c>
      <c r="L909" s="323">
        <v>0.0020833333333333333</v>
      </c>
      <c r="M909" s="319" t="s">
        <v>166</v>
      </c>
      <c r="N909" s="324" t="s">
        <v>187</v>
      </c>
      <c r="O909" s="419" t="s">
        <v>198</v>
      </c>
      <c r="P909" s="319" t="s">
        <v>213</v>
      </c>
      <c r="Q909" s="318"/>
      <c r="R909" s="326">
        <v>10.7</v>
      </c>
      <c r="S909" s="319">
        <v>10.9</v>
      </c>
      <c r="T909" s="324">
        <v>3.0</v>
      </c>
      <c r="U909" s="319">
        <v>4.0</v>
      </c>
      <c r="V909" s="319"/>
      <c r="W909" s="319"/>
      <c r="X909" s="319"/>
      <c r="Y909" s="319"/>
      <c r="Z909" s="319" t="s">
        <v>343</v>
      </c>
      <c r="AA909" s="319"/>
      <c r="AB909" s="319" t="s">
        <v>384</v>
      </c>
      <c r="AC909" s="327">
        <v>6.0</v>
      </c>
      <c r="AD909" s="319"/>
      <c r="AE909" s="319"/>
      <c r="AF909" s="319"/>
      <c r="AG909" s="319"/>
      <c r="AH909" s="319"/>
      <c r="AI909" s="319"/>
      <c r="AJ909" s="327"/>
      <c r="AK909" s="328"/>
      <c r="AL909" s="319"/>
      <c r="AM909" s="319"/>
      <c r="AN909" s="319"/>
      <c r="AO909" s="319"/>
      <c r="AP909" s="319"/>
      <c r="AQ909" s="319"/>
      <c r="AR909" s="319"/>
      <c r="AS909" s="327"/>
      <c r="AT909" s="461" t="s">
        <v>182</v>
      </c>
      <c r="AU909" s="324" t="s">
        <v>845</v>
      </c>
      <c r="AV909" s="405">
        <f>SQRT(($R909-Infrastructure!J$3)^2+($S909-Infrastructure!K$3)^2)</f>
        <v>21.09502311</v>
      </c>
      <c r="AW909" s="406">
        <f>SQRT(($R909-Infrastructure!J$4)^2+($S909-Infrastructure!K$4)^2)</f>
        <v>12.98499134</v>
      </c>
      <c r="AX909" s="406">
        <f>SQRT(($R909-Infrastructure!J$5)^2+($S909-Infrastructure!K$5)^2)</f>
        <v>12.43543325</v>
      </c>
      <c r="AY909" s="406">
        <f>SQRT(($R909-Infrastructure!J$6)^2+($S909-Infrastructure!K$6)^2)</f>
        <v>10.61696755</v>
      </c>
      <c r="AZ909" s="406">
        <f>SQRT(($R909-Infrastructure!J$7)^2+($S909-Infrastructure!K$7)^2)</f>
        <v>14.43606595</v>
      </c>
      <c r="BA909" s="406">
        <f>SQRT(($R909-Infrastructure!J$8)^2+($S909-Infrastructure!K$8)^2)</f>
        <v>22.10701246</v>
      </c>
      <c r="BB909" s="406">
        <f>SQRT(($R909-Infrastructure!J$9)^2+($S909-Infrastructure!K$9)^2)</f>
        <v>29.86854533</v>
      </c>
      <c r="BC909" s="406">
        <f>SQRT(($R909-Infrastructure!J$10)^2+($S909-Infrastructure!K$10)^2)</f>
        <v>29.58546941</v>
      </c>
      <c r="BD909" s="406">
        <f>SQRT(($R909-Infrastructure!J$11)^2+($S909-Infrastructure!K$11)^2)</f>
        <v>34.61011413</v>
      </c>
      <c r="BE909" s="408">
        <f>SQRT(($R909-Infrastructure!J$12)^2+($S909-Infrastructure!K$12)^2)</f>
        <v>45.8889965</v>
      </c>
      <c r="BF909" s="330">
        <f t="shared" si="14"/>
        <v>10.61696755</v>
      </c>
      <c r="BG909" s="333">
        <f t="shared" si="15"/>
        <v>45.8889965</v>
      </c>
      <c r="BH909" s="334"/>
      <c r="BI909" s="316" t="s">
        <v>846</v>
      </c>
      <c r="BJ909" s="318" t="s">
        <v>845</v>
      </c>
      <c r="BK909" s="318" t="s">
        <v>845</v>
      </c>
      <c r="BL909" s="318" t="s">
        <v>846</v>
      </c>
      <c r="BM909" s="318" t="s">
        <v>846</v>
      </c>
      <c r="BN909" s="318" t="s">
        <v>846</v>
      </c>
      <c r="BO909" s="318" t="s">
        <v>846</v>
      </c>
      <c r="BP909" s="318" t="s">
        <v>845</v>
      </c>
      <c r="BQ909" s="318" t="s">
        <v>845</v>
      </c>
      <c r="BR909" s="332" t="s">
        <v>846</v>
      </c>
      <c r="BS909" s="330">
        <f t="shared" ref="BS909:BS974" si="63">MINIFS(AV909:BE909,BI909:BR909, "Y")</f>
        <v>10.61696755</v>
      </c>
      <c r="BT909" s="331">
        <f t="shared" ref="BT909:BT974" si="64">MAXIFS(AV909:BE909,BI909:BR909, "Y")</f>
        <v>45.8889965</v>
      </c>
      <c r="BU909" s="843">
        <v>0.4152777777777778</v>
      </c>
      <c r="BV909" s="333"/>
      <c r="BW909" s="330">
        <v>20.4105263157894</v>
      </c>
      <c r="BX909" s="331">
        <v>10.3763157894736</v>
      </c>
      <c r="BY909" s="331">
        <f t="shared" ref="BY909:BY974" si="65">IF(BW909&gt;0, SQRT((R909-BW909)^2+(S909-BX909)^2))</f>
        <v>9.724637087</v>
      </c>
      <c r="BZ909" s="412"/>
      <c r="CA909" s="573" t="s">
        <v>846</v>
      </c>
      <c r="CB909" s="393" t="s">
        <v>846</v>
      </c>
      <c r="CC909" s="393" t="s">
        <v>846</v>
      </c>
      <c r="CD909" s="393" t="s">
        <v>846</v>
      </c>
      <c r="CE909" s="393" t="s">
        <v>846</v>
      </c>
      <c r="CF909" s="393" t="s">
        <v>846</v>
      </c>
      <c r="CG909" s="393" t="s">
        <v>846</v>
      </c>
      <c r="CH909" s="393" t="s">
        <v>846</v>
      </c>
      <c r="CI909" s="393" t="s">
        <v>846</v>
      </c>
      <c r="CJ909" s="401" t="s">
        <v>846</v>
      </c>
      <c r="CK909" s="342">
        <f t="shared" si="18"/>
        <v>10.61696755</v>
      </c>
      <c r="CL909" s="333">
        <f t="shared" si="19"/>
        <v>45.8889965</v>
      </c>
      <c r="CM909" s="846" t="s">
        <v>1566</v>
      </c>
      <c r="CN909" s="847"/>
      <c r="CO909" s="847"/>
      <c r="CP909" s="847"/>
    </row>
    <row r="910">
      <c r="B910" s="462" t="s">
        <v>1561</v>
      </c>
      <c r="C910" s="417">
        <v>44385.0</v>
      </c>
      <c r="D910" s="318"/>
      <c r="E910" s="319">
        <v>2.0</v>
      </c>
      <c r="F910" s="324" t="s">
        <v>1567</v>
      </c>
      <c r="G910" s="321">
        <v>0.4185185185185185</v>
      </c>
      <c r="H910" s="323">
        <v>0.41875</v>
      </c>
      <c r="I910" s="323"/>
      <c r="J910" s="323"/>
      <c r="K910" s="323">
        <v>0.42083333333333334</v>
      </c>
      <c r="L910" s="323">
        <v>0.0020833333333333333</v>
      </c>
      <c r="M910" s="319" t="s">
        <v>166</v>
      </c>
      <c r="N910" s="324" t="s">
        <v>187</v>
      </c>
      <c r="O910" s="419" t="s">
        <v>198</v>
      </c>
      <c r="P910" s="319" t="s">
        <v>213</v>
      </c>
      <c r="Q910" s="318"/>
      <c r="R910" s="326">
        <v>10.7</v>
      </c>
      <c r="S910" s="319">
        <v>10.9</v>
      </c>
      <c r="T910" s="324">
        <v>3.0</v>
      </c>
      <c r="U910" s="319">
        <v>3.0</v>
      </c>
      <c r="V910" s="319"/>
      <c r="W910" s="319"/>
      <c r="X910" s="319"/>
      <c r="Y910" s="319"/>
      <c r="Z910" s="319" t="s">
        <v>343</v>
      </c>
      <c r="AA910" s="319"/>
      <c r="AB910" s="319" t="s">
        <v>384</v>
      </c>
      <c r="AC910" s="327">
        <v>6.0</v>
      </c>
      <c r="AD910" s="319"/>
      <c r="AE910" s="319"/>
      <c r="AF910" s="319"/>
      <c r="AG910" s="319"/>
      <c r="AH910" s="319"/>
      <c r="AI910" s="319"/>
      <c r="AJ910" s="327"/>
      <c r="AK910" s="328"/>
      <c r="AL910" s="319"/>
      <c r="AM910" s="319"/>
      <c r="AN910" s="319"/>
      <c r="AO910" s="319"/>
      <c r="AP910" s="319"/>
      <c r="AQ910" s="319"/>
      <c r="AR910" s="319"/>
      <c r="AS910" s="327"/>
      <c r="AT910" s="461" t="s">
        <v>182</v>
      </c>
      <c r="AU910" s="345" t="s">
        <v>845</v>
      </c>
      <c r="AV910" s="330">
        <f>SQRT(($R910-Infrastructure!J$3)^2+($S910-Infrastructure!K$3)^2)</f>
        <v>21.09502311</v>
      </c>
      <c r="AW910" s="331">
        <f>SQRT(($R910-Infrastructure!J$4)^2+($S910-Infrastructure!K$4)^2)</f>
        <v>12.98499134</v>
      </c>
      <c r="AX910" s="331">
        <f>SQRT(($R910-Infrastructure!J$5)^2+($S910-Infrastructure!K$5)^2)</f>
        <v>12.43543325</v>
      </c>
      <c r="AY910" s="331">
        <f>SQRT(($R910-Infrastructure!J$6)^2+($S910-Infrastructure!K$6)^2)</f>
        <v>10.61696755</v>
      </c>
      <c r="AZ910" s="331">
        <f>SQRT(($R910-Infrastructure!J$7)^2+($S910-Infrastructure!K$7)^2)</f>
        <v>14.43606595</v>
      </c>
      <c r="BA910" s="331">
        <f>SQRT(($R910-Infrastructure!J$8)^2+($S910-Infrastructure!K$8)^2)</f>
        <v>22.10701246</v>
      </c>
      <c r="BB910" s="331">
        <f>SQRT(($R910-Infrastructure!J$9)^2+($S910-Infrastructure!K$9)^2)</f>
        <v>29.86854533</v>
      </c>
      <c r="BC910" s="331">
        <f>SQRT(($R910-Infrastructure!J$10)^2+($S910-Infrastructure!K$10)^2)</f>
        <v>29.58546941</v>
      </c>
      <c r="BD910" s="331">
        <f>SQRT(($R910-Infrastructure!J$11)^2+($S910-Infrastructure!K$11)^2)</f>
        <v>34.61011413</v>
      </c>
      <c r="BE910" s="333">
        <f>SQRT(($R910-Infrastructure!J$12)^2+($S910-Infrastructure!K$12)^2)</f>
        <v>45.8889965</v>
      </c>
      <c r="BF910" s="330">
        <f t="shared" si="14"/>
        <v>10.61696755</v>
      </c>
      <c r="BG910" s="333">
        <f t="shared" si="15"/>
        <v>45.8889965</v>
      </c>
      <c r="BH910" s="334"/>
      <c r="BI910" s="316" t="s">
        <v>846</v>
      </c>
      <c r="BJ910" s="318" t="s">
        <v>845</v>
      </c>
      <c r="BK910" s="318" t="s">
        <v>845</v>
      </c>
      <c r="BL910" s="318" t="s">
        <v>845</v>
      </c>
      <c r="BM910" s="318" t="s">
        <v>845</v>
      </c>
      <c r="BN910" s="318" t="s">
        <v>846</v>
      </c>
      <c r="BO910" s="318" t="s">
        <v>846</v>
      </c>
      <c r="BP910" s="318" t="s">
        <v>846</v>
      </c>
      <c r="BQ910" s="318" t="s">
        <v>845</v>
      </c>
      <c r="BR910" s="332" t="s">
        <v>846</v>
      </c>
      <c r="BS910" s="330">
        <f t="shared" si="63"/>
        <v>21.09502311</v>
      </c>
      <c r="BT910" s="331">
        <f t="shared" si="64"/>
        <v>45.8889965</v>
      </c>
      <c r="BU910" s="848">
        <v>0.4185300925925926</v>
      </c>
      <c r="BV910" s="333"/>
      <c r="BW910" s="330">
        <v>16.0</v>
      </c>
      <c r="BX910" s="331">
        <v>9.65333333333333</v>
      </c>
      <c r="BY910" s="331">
        <f t="shared" si="65"/>
        <v>5.444646708</v>
      </c>
      <c r="BZ910" s="340"/>
      <c r="CA910" s="462" t="s">
        <v>845</v>
      </c>
      <c r="CB910" s="319" t="s">
        <v>845</v>
      </c>
      <c r="CC910" s="319" t="s">
        <v>845</v>
      </c>
      <c r="CD910" s="319" t="s">
        <v>845</v>
      </c>
      <c r="CE910" s="319" t="s">
        <v>845</v>
      </c>
      <c r="CF910" s="319" t="s">
        <v>845</v>
      </c>
      <c r="CG910" s="319" t="s">
        <v>845</v>
      </c>
      <c r="CH910" s="319" t="s">
        <v>845</v>
      </c>
      <c r="CI910" s="319" t="s">
        <v>845</v>
      </c>
      <c r="CJ910" s="327" t="s">
        <v>845</v>
      </c>
      <c r="CK910" s="342">
        <f t="shared" si="18"/>
        <v>0</v>
      </c>
      <c r="CL910" s="333">
        <f t="shared" si="19"/>
        <v>0</v>
      </c>
      <c r="CM910" s="829"/>
      <c r="CN910" s="333"/>
      <c r="CO910" s="333"/>
      <c r="CP910" s="333"/>
    </row>
    <row r="911">
      <c r="B911" s="849" t="s">
        <v>1561</v>
      </c>
      <c r="C911" s="850">
        <v>44385.0</v>
      </c>
      <c r="D911" s="851"/>
      <c r="E911" s="852">
        <v>3.0</v>
      </c>
      <c r="F911" s="853" t="s">
        <v>1568</v>
      </c>
      <c r="G911" s="854">
        <v>0.4215277777777778</v>
      </c>
      <c r="H911" s="855">
        <v>0.421875</v>
      </c>
      <c r="I911" s="855"/>
      <c r="J911" s="855"/>
      <c r="K911" s="855">
        <v>0.4239583333333333</v>
      </c>
      <c r="L911" s="855">
        <v>0.0020833333333333333</v>
      </c>
      <c r="M911" s="852" t="s">
        <v>166</v>
      </c>
      <c r="N911" s="853" t="s">
        <v>187</v>
      </c>
      <c r="O911" s="856" t="s">
        <v>198</v>
      </c>
      <c r="P911" s="852" t="s">
        <v>213</v>
      </c>
      <c r="Q911" s="851"/>
      <c r="R911" s="857">
        <v>10.7</v>
      </c>
      <c r="S911" s="852">
        <v>10.9</v>
      </c>
      <c r="T911" s="853">
        <v>3.0</v>
      </c>
      <c r="U911" s="852">
        <v>2.0</v>
      </c>
      <c r="V911" s="852"/>
      <c r="W911" s="852"/>
      <c r="X911" s="852"/>
      <c r="Y911" s="852"/>
      <c r="Z911" s="852" t="s">
        <v>343</v>
      </c>
      <c r="AA911" s="852"/>
      <c r="AB911" s="852" t="s">
        <v>384</v>
      </c>
      <c r="AC911" s="858">
        <v>6.0</v>
      </c>
      <c r="AD911" s="852"/>
      <c r="AE911" s="852"/>
      <c r="AF911" s="852"/>
      <c r="AG911" s="852"/>
      <c r="AH911" s="852"/>
      <c r="AI911" s="852"/>
      <c r="AJ911" s="858"/>
      <c r="AK911" s="859"/>
      <c r="AL911" s="852"/>
      <c r="AM911" s="852"/>
      <c r="AN911" s="852"/>
      <c r="AO911" s="852"/>
      <c r="AP911" s="852"/>
      <c r="AQ911" s="852"/>
      <c r="AR911" s="852"/>
      <c r="AS911" s="858"/>
      <c r="AT911" s="860" t="s">
        <v>182</v>
      </c>
      <c r="AU911" s="861" t="s">
        <v>845</v>
      </c>
      <c r="AV911" s="862">
        <f>SQRT(($R911-Infrastructure!J$3)^2+($S911-Infrastructure!K$3)^2)</f>
        <v>21.09502311</v>
      </c>
      <c r="AW911" s="331">
        <f>SQRT(($R911-Infrastructure!J$4)^2+($S911-Infrastructure!K$4)^2)</f>
        <v>12.98499134</v>
      </c>
      <c r="AX911" s="863">
        <f>SQRT(($R911-Infrastructure!J$5)^2+($S911-Infrastructure!K$5)^2)</f>
        <v>12.43543325</v>
      </c>
      <c r="AY911" s="863">
        <f>SQRT(($R911-Infrastructure!J$6)^2+($S911-Infrastructure!K$6)^2)</f>
        <v>10.61696755</v>
      </c>
      <c r="AZ911" s="863">
        <f>SQRT(($R911-Infrastructure!J$7)^2+($S911-Infrastructure!K$7)^2)</f>
        <v>14.43606595</v>
      </c>
      <c r="BA911" s="863">
        <f>SQRT(($R911-Infrastructure!J$8)^2+($S911-Infrastructure!K$8)^2)</f>
        <v>22.10701246</v>
      </c>
      <c r="BB911" s="331">
        <f>SQRT(($R911-Infrastructure!J$9)^2+($S911-Infrastructure!K$9)^2)</f>
        <v>29.86854533</v>
      </c>
      <c r="BC911" s="863">
        <f>SQRT(($R911-Infrastructure!J$10)^2+($S911-Infrastructure!K$10)^2)</f>
        <v>29.58546941</v>
      </c>
      <c r="BD911" s="863">
        <f>SQRT(($R911-Infrastructure!J$11)^2+($S911-Infrastructure!K$11)^2)</f>
        <v>34.61011413</v>
      </c>
      <c r="BE911" s="864">
        <f>SQRT(($R911-Infrastructure!J$12)^2+($S911-Infrastructure!K$12)^2)</f>
        <v>45.8889965</v>
      </c>
      <c r="BF911" s="330">
        <f t="shared" si="14"/>
        <v>10.61696755</v>
      </c>
      <c r="BG911" s="333">
        <f t="shared" si="15"/>
        <v>45.8889965</v>
      </c>
      <c r="BH911" s="865"/>
      <c r="BI911" s="866" t="s">
        <v>845</v>
      </c>
      <c r="BJ911" s="851" t="s">
        <v>846</v>
      </c>
      <c r="BK911" s="851" t="s">
        <v>845</v>
      </c>
      <c r="BL911" s="851" t="s">
        <v>845</v>
      </c>
      <c r="BM911" s="851" t="s">
        <v>845</v>
      </c>
      <c r="BN911" s="851" t="s">
        <v>846</v>
      </c>
      <c r="BO911" s="851" t="s">
        <v>846</v>
      </c>
      <c r="BP911" s="851" t="s">
        <v>846</v>
      </c>
      <c r="BQ911" s="851" t="s">
        <v>845</v>
      </c>
      <c r="BR911" s="867" t="s">
        <v>845</v>
      </c>
      <c r="BS911" s="330">
        <f t="shared" si="63"/>
        <v>12.98499134</v>
      </c>
      <c r="BT911" s="331">
        <f t="shared" si="64"/>
        <v>29.86854533</v>
      </c>
      <c r="BU911" s="868">
        <v>0.4215393518518519</v>
      </c>
      <c r="BV911" s="864"/>
      <c r="BW911" s="862">
        <v>9.4625</v>
      </c>
      <c r="BX911" s="863">
        <v>17.9249999999999</v>
      </c>
      <c r="BY911" s="331">
        <f t="shared" si="65"/>
        <v>7.133164182</v>
      </c>
      <c r="BZ911" s="869"/>
      <c r="CA911" s="849" t="s">
        <v>845</v>
      </c>
      <c r="CB911" s="852" t="s">
        <v>845</v>
      </c>
      <c r="CC911" s="852" t="s">
        <v>845</v>
      </c>
      <c r="CD911" s="852" t="s">
        <v>845</v>
      </c>
      <c r="CE911" s="852" t="s">
        <v>845</v>
      </c>
      <c r="CF911" s="852" t="s">
        <v>845</v>
      </c>
      <c r="CG911" s="852" t="s">
        <v>845</v>
      </c>
      <c r="CH911" s="852" t="s">
        <v>845</v>
      </c>
      <c r="CI911" s="852" t="s">
        <v>845</v>
      </c>
      <c r="CJ911" s="858" t="s">
        <v>845</v>
      </c>
      <c r="CK911" s="342">
        <f t="shared" si="18"/>
        <v>0</v>
      </c>
      <c r="CL911" s="333">
        <f t="shared" si="19"/>
        <v>0</v>
      </c>
      <c r="CM911" s="870"/>
      <c r="CN911" s="333"/>
      <c r="CO911" s="333"/>
      <c r="CP911" s="333"/>
    </row>
    <row r="912">
      <c r="B912" s="462" t="s">
        <v>1561</v>
      </c>
      <c r="C912" s="417">
        <v>44385.0</v>
      </c>
      <c r="D912" s="318"/>
      <c r="E912" s="319">
        <v>4.0</v>
      </c>
      <c r="F912" s="324" t="s">
        <v>1569</v>
      </c>
      <c r="G912" s="321">
        <v>0.42552083333333335</v>
      </c>
      <c r="H912" s="323">
        <v>0.42592592592592593</v>
      </c>
      <c r="I912" s="323"/>
      <c r="J912" s="323"/>
      <c r="K912" s="323">
        <v>0.42800925925925926</v>
      </c>
      <c r="L912" s="323">
        <v>0.0020833333333333333</v>
      </c>
      <c r="M912" s="319" t="s">
        <v>166</v>
      </c>
      <c r="N912" s="324" t="s">
        <v>187</v>
      </c>
      <c r="O912" s="419" t="s">
        <v>198</v>
      </c>
      <c r="P912" s="319" t="s">
        <v>213</v>
      </c>
      <c r="Q912" s="318"/>
      <c r="R912" s="326">
        <v>10.7</v>
      </c>
      <c r="S912" s="319">
        <v>10.9</v>
      </c>
      <c r="T912" s="324">
        <v>3.0</v>
      </c>
      <c r="U912" s="319">
        <v>5.0</v>
      </c>
      <c r="V912" s="319"/>
      <c r="W912" s="319"/>
      <c r="X912" s="319"/>
      <c r="Y912" s="319"/>
      <c r="Z912" s="319" t="s">
        <v>343</v>
      </c>
      <c r="AA912" s="319"/>
      <c r="AB912" s="319" t="s">
        <v>388</v>
      </c>
      <c r="AC912" s="327">
        <v>8.0</v>
      </c>
      <c r="AD912" s="319"/>
      <c r="AE912" s="319"/>
      <c r="AF912" s="319"/>
      <c r="AG912" s="319"/>
      <c r="AH912" s="319"/>
      <c r="AI912" s="319"/>
      <c r="AJ912" s="327"/>
      <c r="AK912" s="328"/>
      <c r="AL912" s="319"/>
      <c r="AM912" s="319"/>
      <c r="AN912" s="319"/>
      <c r="AO912" s="319"/>
      <c r="AP912" s="319"/>
      <c r="AQ912" s="319"/>
      <c r="AR912" s="319"/>
      <c r="AS912" s="327"/>
      <c r="AT912" s="461" t="s">
        <v>182</v>
      </c>
      <c r="AU912" s="345" t="s">
        <v>845</v>
      </c>
      <c r="AV912" s="330">
        <f>SQRT(($R912-Infrastructure!J$3)^2+($S912-Infrastructure!K$3)^2)</f>
        <v>21.09502311</v>
      </c>
      <c r="AW912" s="331">
        <f>SQRT(($R912-Infrastructure!J$4)^2+($S912-Infrastructure!K$4)^2)</f>
        <v>12.98499134</v>
      </c>
      <c r="AX912" s="331">
        <f>SQRT(($R912-Infrastructure!J$5)^2+($S912-Infrastructure!K$5)^2)</f>
        <v>12.43543325</v>
      </c>
      <c r="AY912" s="331">
        <f>SQRT(($R912-Infrastructure!J$6)^2+($S912-Infrastructure!K$6)^2)</f>
        <v>10.61696755</v>
      </c>
      <c r="AZ912" s="331">
        <f>SQRT(($R912-Infrastructure!J$7)^2+($S912-Infrastructure!K$7)^2)</f>
        <v>14.43606595</v>
      </c>
      <c r="BA912" s="331">
        <f>SQRT(($R912-Infrastructure!J$8)^2+($S912-Infrastructure!K$8)^2)</f>
        <v>22.10701246</v>
      </c>
      <c r="BB912" s="331">
        <f>SQRT(($R912-Infrastructure!J$9)^2+($S912-Infrastructure!K$9)^2)</f>
        <v>29.86854533</v>
      </c>
      <c r="BC912" s="331">
        <f>SQRT(($R912-Infrastructure!J$10)^2+($S912-Infrastructure!K$10)^2)</f>
        <v>29.58546941</v>
      </c>
      <c r="BD912" s="331">
        <f>SQRT(($R912-Infrastructure!J$11)^2+($S912-Infrastructure!K$11)^2)</f>
        <v>34.61011413</v>
      </c>
      <c r="BE912" s="333">
        <f>SQRT(($R912-Infrastructure!J$12)^2+($S912-Infrastructure!K$12)^2)</f>
        <v>45.8889965</v>
      </c>
      <c r="BF912" s="330">
        <f t="shared" si="14"/>
        <v>10.61696755</v>
      </c>
      <c r="BG912" s="333">
        <f t="shared" si="15"/>
        <v>45.8889965</v>
      </c>
      <c r="BH912" s="334"/>
      <c r="BI912" s="316" t="s">
        <v>845</v>
      </c>
      <c r="BJ912" s="318" t="s">
        <v>846</v>
      </c>
      <c r="BK912" s="318" t="s">
        <v>845</v>
      </c>
      <c r="BL912" s="318" t="s">
        <v>845</v>
      </c>
      <c r="BM912" s="318" t="s">
        <v>845</v>
      </c>
      <c r="BN912" s="318" t="s">
        <v>846</v>
      </c>
      <c r="BO912" s="318" t="s">
        <v>846</v>
      </c>
      <c r="BP912" s="318" t="s">
        <v>846</v>
      </c>
      <c r="BQ912" s="318" t="s">
        <v>845</v>
      </c>
      <c r="BR912" s="332" t="s">
        <v>845</v>
      </c>
      <c r="BS912" s="330">
        <f t="shared" si="63"/>
        <v>12.98499134</v>
      </c>
      <c r="BT912" s="331">
        <f t="shared" si="64"/>
        <v>29.86854533</v>
      </c>
      <c r="BU912" s="868">
        <v>0.4255439814814815</v>
      </c>
      <c r="BV912" s="333"/>
      <c r="BW912" s="330">
        <v>15.3727272727272</v>
      </c>
      <c r="BX912" s="331">
        <v>11.9363636363636</v>
      </c>
      <c r="BY912" s="331">
        <f t="shared" si="65"/>
        <v>4.786275144</v>
      </c>
      <c r="BZ912" s="340"/>
      <c r="CA912" s="462" t="s">
        <v>845</v>
      </c>
      <c r="CB912" s="319" t="s">
        <v>845</v>
      </c>
      <c r="CC912" s="319" t="s">
        <v>845</v>
      </c>
      <c r="CD912" s="319" t="s">
        <v>845</v>
      </c>
      <c r="CE912" s="319" t="s">
        <v>845</v>
      </c>
      <c r="CF912" s="319" t="s">
        <v>846</v>
      </c>
      <c r="CG912" s="319" t="s">
        <v>845</v>
      </c>
      <c r="CH912" s="319" t="s">
        <v>845</v>
      </c>
      <c r="CI912" s="319" t="s">
        <v>845</v>
      </c>
      <c r="CJ912" s="327" t="s">
        <v>845</v>
      </c>
      <c r="CK912" s="342">
        <f t="shared" si="18"/>
        <v>22.10701246</v>
      </c>
      <c r="CL912" s="333">
        <f t="shared" si="19"/>
        <v>22.10701246</v>
      </c>
      <c r="CM912" s="829"/>
      <c r="CN912" s="333"/>
      <c r="CO912" s="333"/>
      <c r="CP912" s="333"/>
    </row>
    <row r="913">
      <c r="B913" s="462" t="s">
        <v>1561</v>
      </c>
      <c r="C913" s="417">
        <v>44385.0</v>
      </c>
      <c r="D913" s="318"/>
      <c r="E913" s="319">
        <v>5.0</v>
      </c>
      <c r="F913" s="324" t="s">
        <v>1570</v>
      </c>
      <c r="G913" s="321">
        <v>0.4287037037037037</v>
      </c>
      <c r="H913" s="323">
        <v>0.4289351851851852</v>
      </c>
      <c r="I913" s="323"/>
      <c r="J913" s="323"/>
      <c r="K913" s="323">
        <v>0.4310185185185185</v>
      </c>
      <c r="L913" s="323">
        <v>0.0020833333333333333</v>
      </c>
      <c r="M913" s="319" t="s">
        <v>166</v>
      </c>
      <c r="N913" s="324" t="s">
        <v>187</v>
      </c>
      <c r="O913" s="419" t="s">
        <v>198</v>
      </c>
      <c r="P913" s="319" t="s">
        <v>213</v>
      </c>
      <c r="Q913" s="318"/>
      <c r="R913" s="326">
        <v>10.7</v>
      </c>
      <c r="S913" s="319">
        <v>10.9</v>
      </c>
      <c r="T913" s="324">
        <v>3.0</v>
      </c>
      <c r="U913" s="319">
        <v>4.0</v>
      </c>
      <c r="V913" s="319"/>
      <c r="W913" s="319"/>
      <c r="X913" s="319"/>
      <c r="Y913" s="319"/>
      <c r="Z913" s="319" t="s">
        <v>343</v>
      </c>
      <c r="AA913" s="319"/>
      <c r="AB913" s="319" t="s">
        <v>388</v>
      </c>
      <c r="AC913" s="327">
        <v>8.0</v>
      </c>
      <c r="AD913" s="319"/>
      <c r="AE913" s="319"/>
      <c r="AF913" s="319"/>
      <c r="AG913" s="319"/>
      <c r="AH913" s="319"/>
      <c r="AI913" s="319"/>
      <c r="AJ913" s="327"/>
      <c r="AK913" s="328"/>
      <c r="AL913" s="319"/>
      <c r="AM913" s="319"/>
      <c r="AN913" s="319"/>
      <c r="AO913" s="319"/>
      <c r="AP913" s="319"/>
      <c r="AQ913" s="319"/>
      <c r="AR913" s="319"/>
      <c r="AS913" s="327"/>
      <c r="AT913" s="461" t="s">
        <v>182</v>
      </c>
      <c r="AU913" s="345" t="s">
        <v>845</v>
      </c>
      <c r="AV913" s="330">
        <f>SQRT(($R913-Infrastructure!J$3)^2+($S913-Infrastructure!K$3)^2)</f>
        <v>21.09502311</v>
      </c>
      <c r="AW913" s="331">
        <f>SQRT(($R913-Infrastructure!J$4)^2+($S913-Infrastructure!K$4)^2)</f>
        <v>12.98499134</v>
      </c>
      <c r="AX913" s="331">
        <f>SQRT(($R913-Infrastructure!J$5)^2+($S913-Infrastructure!K$5)^2)</f>
        <v>12.43543325</v>
      </c>
      <c r="AY913" s="331">
        <f>SQRT(($R913-Infrastructure!J$6)^2+($S913-Infrastructure!K$6)^2)</f>
        <v>10.61696755</v>
      </c>
      <c r="AZ913" s="331">
        <f>SQRT(($R913-Infrastructure!J$7)^2+($S913-Infrastructure!K$7)^2)</f>
        <v>14.43606595</v>
      </c>
      <c r="BA913" s="331">
        <f>SQRT(($R913-Infrastructure!J$8)^2+($S913-Infrastructure!K$8)^2)</f>
        <v>22.10701246</v>
      </c>
      <c r="BB913" s="331">
        <f>SQRT(($R913-Infrastructure!J$9)^2+($S913-Infrastructure!K$9)^2)</f>
        <v>29.86854533</v>
      </c>
      <c r="BC913" s="331">
        <f>SQRT(($R913-Infrastructure!J$10)^2+($S913-Infrastructure!K$10)^2)</f>
        <v>29.58546941</v>
      </c>
      <c r="BD913" s="331">
        <f>SQRT(($R913-Infrastructure!J$11)^2+($S913-Infrastructure!K$11)^2)</f>
        <v>34.61011413</v>
      </c>
      <c r="BE913" s="333">
        <f>SQRT(($R913-Infrastructure!J$12)^2+($S913-Infrastructure!K$12)^2)</f>
        <v>45.8889965</v>
      </c>
      <c r="BF913" s="330">
        <f t="shared" si="14"/>
        <v>10.61696755</v>
      </c>
      <c r="BG913" s="333">
        <f t="shared" si="15"/>
        <v>45.8889965</v>
      </c>
      <c r="BH913" s="334"/>
      <c r="BI913" s="316" t="s">
        <v>845</v>
      </c>
      <c r="BJ913" s="318" t="s">
        <v>845</v>
      </c>
      <c r="BK913" s="318" t="s">
        <v>846</v>
      </c>
      <c r="BL913" s="318" t="s">
        <v>845</v>
      </c>
      <c r="BM913" s="318" t="s">
        <v>845</v>
      </c>
      <c r="BN913" s="318" t="s">
        <v>846</v>
      </c>
      <c r="BO913" s="318" t="s">
        <v>845</v>
      </c>
      <c r="BP913" s="318" t="s">
        <v>845</v>
      </c>
      <c r="BQ913" s="318" t="s">
        <v>845</v>
      </c>
      <c r="BR913" s="332" t="s">
        <v>845</v>
      </c>
      <c r="BS913" s="330">
        <f t="shared" si="63"/>
        <v>12.43543325</v>
      </c>
      <c r="BT913" s="331">
        <f t="shared" si="64"/>
        <v>22.10701246</v>
      </c>
      <c r="BU913" s="868">
        <v>0.4287384259259259</v>
      </c>
      <c r="BV913" s="333"/>
      <c r="BW913" s="330">
        <v>13.55</v>
      </c>
      <c r="BX913" s="331">
        <v>28.4</v>
      </c>
      <c r="BY913" s="331">
        <f t="shared" si="65"/>
        <v>17.73055273</v>
      </c>
      <c r="BZ913" s="340"/>
      <c r="CA913" s="462" t="s">
        <v>845</v>
      </c>
      <c r="CB913" s="319" t="s">
        <v>845</v>
      </c>
      <c r="CC913" s="319" t="s">
        <v>845</v>
      </c>
      <c r="CD913" s="319" t="s">
        <v>845</v>
      </c>
      <c r="CE913" s="319" t="s">
        <v>845</v>
      </c>
      <c r="CF913" s="319" t="s">
        <v>845</v>
      </c>
      <c r="CG913" s="319" t="s">
        <v>845</v>
      </c>
      <c r="CH913" s="319" t="s">
        <v>845</v>
      </c>
      <c r="CI913" s="319" t="s">
        <v>845</v>
      </c>
      <c r="CJ913" s="327" t="s">
        <v>845</v>
      </c>
      <c r="CK913" s="342">
        <f t="shared" si="18"/>
        <v>0</v>
      </c>
      <c r="CL913" s="333">
        <f t="shared" si="19"/>
        <v>0</v>
      </c>
      <c r="CM913" s="829"/>
      <c r="CN913" s="333"/>
      <c r="CO913" s="333"/>
      <c r="CP913" s="333"/>
    </row>
    <row r="914">
      <c r="B914" s="462" t="s">
        <v>1561</v>
      </c>
      <c r="C914" s="417">
        <v>44385.0</v>
      </c>
      <c r="D914" s="318"/>
      <c r="E914" s="319">
        <v>6.0</v>
      </c>
      <c r="F914" s="324" t="s">
        <v>1571</v>
      </c>
      <c r="G914" s="321">
        <v>0.4324074074074074</v>
      </c>
      <c r="H914" s="323">
        <v>0.43269675925925927</v>
      </c>
      <c r="I914" s="323"/>
      <c r="J914" s="323"/>
      <c r="K914" s="323">
        <v>0.4347800925925926</v>
      </c>
      <c r="L914" s="323">
        <v>0.0020833333333333333</v>
      </c>
      <c r="M914" s="319" t="s">
        <v>166</v>
      </c>
      <c r="N914" s="324" t="s">
        <v>187</v>
      </c>
      <c r="O914" s="419" t="s">
        <v>198</v>
      </c>
      <c r="P914" s="319" t="s">
        <v>213</v>
      </c>
      <c r="Q914" s="318"/>
      <c r="R914" s="326">
        <v>10.7</v>
      </c>
      <c r="S914" s="319">
        <v>10.9</v>
      </c>
      <c r="T914" s="324">
        <v>3.0</v>
      </c>
      <c r="U914" s="319">
        <v>3.0</v>
      </c>
      <c r="V914" s="319"/>
      <c r="W914" s="319"/>
      <c r="X914" s="319"/>
      <c r="Y914" s="319"/>
      <c r="Z914" s="319" t="s">
        <v>343</v>
      </c>
      <c r="AA914" s="319"/>
      <c r="AB914" s="319" t="s">
        <v>388</v>
      </c>
      <c r="AC914" s="327">
        <v>8.0</v>
      </c>
      <c r="AD914" s="319"/>
      <c r="AE914" s="319"/>
      <c r="AF914" s="319"/>
      <c r="AG914" s="319"/>
      <c r="AH914" s="319"/>
      <c r="AI914" s="319"/>
      <c r="AJ914" s="327"/>
      <c r="AK914" s="328"/>
      <c r="AL914" s="319"/>
      <c r="AM914" s="319"/>
      <c r="AN914" s="319"/>
      <c r="AO914" s="319"/>
      <c r="AP914" s="319"/>
      <c r="AQ914" s="319"/>
      <c r="AR914" s="319"/>
      <c r="AS914" s="327"/>
      <c r="AT914" s="461" t="s">
        <v>182</v>
      </c>
      <c r="AU914" s="345" t="s">
        <v>845</v>
      </c>
      <c r="AV914" s="330">
        <f>SQRT(($R914-Infrastructure!J$3)^2+($S914-Infrastructure!K$3)^2)</f>
        <v>21.09502311</v>
      </c>
      <c r="AW914" s="331">
        <f>SQRT(($R914-Infrastructure!J$4)^2+($S914-Infrastructure!K$4)^2)</f>
        <v>12.98499134</v>
      </c>
      <c r="AX914" s="331">
        <f>SQRT(($R914-Infrastructure!J$5)^2+($S914-Infrastructure!K$5)^2)</f>
        <v>12.43543325</v>
      </c>
      <c r="AY914" s="331">
        <f>SQRT(($R914-Infrastructure!J$6)^2+($S914-Infrastructure!K$6)^2)</f>
        <v>10.61696755</v>
      </c>
      <c r="AZ914" s="331">
        <f>SQRT(($R914-Infrastructure!J$7)^2+($S914-Infrastructure!K$7)^2)</f>
        <v>14.43606595</v>
      </c>
      <c r="BA914" s="331">
        <f>SQRT(($R914-Infrastructure!J$8)^2+($S914-Infrastructure!K$8)^2)</f>
        <v>22.10701246</v>
      </c>
      <c r="BB914" s="331">
        <f>SQRT(($R914-Infrastructure!J$9)^2+($S914-Infrastructure!K$9)^2)</f>
        <v>29.86854533</v>
      </c>
      <c r="BC914" s="331">
        <f>SQRT(($R914-Infrastructure!J$10)^2+($S914-Infrastructure!K$10)^2)</f>
        <v>29.58546941</v>
      </c>
      <c r="BD914" s="331">
        <f>SQRT(($R914-Infrastructure!J$11)^2+($S914-Infrastructure!K$11)^2)</f>
        <v>34.61011413</v>
      </c>
      <c r="BE914" s="333">
        <f>SQRT(($R914-Infrastructure!J$12)^2+($S914-Infrastructure!K$12)^2)</f>
        <v>45.8889965</v>
      </c>
      <c r="BF914" s="330">
        <f t="shared" si="14"/>
        <v>10.61696755</v>
      </c>
      <c r="BG914" s="333">
        <f t="shared" si="15"/>
        <v>45.8889965</v>
      </c>
      <c r="BH914" s="334"/>
      <c r="BI914" s="316" t="s">
        <v>845</v>
      </c>
      <c r="BJ914" s="318" t="s">
        <v>846</v>
      </c>
      <c r="BK914" s="318" t="s">
        <v>845</v>
      </c>
      <c r="BL914" s="318" t="s">
        <v>845</v>
      </c>
      <c r="BM914" s="318" t="s">
        <v>845</v>
      </c>
      <c r="BN914" s="318" t="s">
        <v>846</v>
      </c>
      <c r="BO914" s="318" t="s">
        <v>846</v>
      </c>
      <c r="BP914" s="318"/>
      <c r="BQ914" s="318" t="s">
        <v>845</v>
      </c>
      <c r="BR914" s="332" t="s">
        <v>845</v>
      </c>
      <c r="BS914" s="330">
        <f t="shared" si="63"/>
        <v>12.98499134</v>
      </c>
      <c r="BT914" s="331">
        <f t="shared" si="64"/>
        <v>29.86854533</v>
      </c>
      <c r="BU914" s="868">
        <v>0.4324189814814815</v>
      </c>
      <c r="BV914" s="333"/>
      <c r="BW914" s="330">
        <v>7.56</v>
      </c>
      <c r="BX914" s="331">
        <v>13.3799999999999</v>
      </c>
      <c r="BY914" s="331">
        <f t="shared" si="65"/>
        <v>4.001249805</v>
      </c>
      <c r="BZ914" s="340"/>
      <c r="CA914" s="462" t="s">
        <v>845</v>
      </c>
      <c r="CB914" s="319" t="s">
        <v>845</v>
      </c>
      <c r="CC914" s="319" t="s">
        <v>845</v>
      </c>
      <c r="CD914" s="319" t="s">
        <v>845</v>
      </c>
      <c r="CE914" s="319" t="s">
        <v>845</v>
      </c>
      <c r="CF914" s="319" t="s">
        <v>845</v>
      </c>
      <c r="CG914" s="319" t="s">
        <v>845</v>
      </c>
      <c r="CH914" s="319" t="s">
        <v>845</v>
      </c>
      <c r="CI914" s="319" t="s">
        <v>845</v>
      </c>
      <c r="CJ914" s="327" t="s">
        <v>845</v>
      </c>
      <c r="CK914" s="342">
        <f t="shared" si="18"/>
        <v>0</v>
      </c>
      <c r="CL914" s="333">
        <f t="shared" si="19"/>
        <v>0</v>
      </c>
      <c r="CM914" s="829"/>
      <c r="CN914" s="333"/>
      <c r="CO914" s="333"/>
      <c r="CP914" s="333"/>
    </row>
    <row r="915">
      <c r="B915" s="849" t="s">
        <v>1561</v>
      </c>
      <c r="C915" s="850">
        <v>44385.0</v>
      </c>
      <c r="D915" s="851"/>
      <c r="E915" s="852">
        <v>7.0</v>
      </c>
      <c r="F915" s="853" t="s">
        <v>1572</v>
      </c>
      <c r="G915" s="854">
        <v>0.43547453703703703</v>
      </c>
      <c r="H915" s="855">
        <v>0.4356481481481482</v>
      </c>
      <c r="I915" s="855"/>
      <c r="J915" s="855"/>
      <c r="K915" s="855">
        <v>0.4377314814814815</v>
      </c>
      <c r="L915" s="855">
        <v>0.0020833333333333333</v>
      </c>
      <c r="M915" s="852" t="s">
        <v>166</v>
      </c>
      <c r="N915" s="853" t="s">
        <v>187</v>
      </c>
      <c r="O915" s="856" t="s">
        <v>198</v>
      </c>
      <c r="P915" s="852" t="s">
        <v>213</v>
      </c>
      <c r="Q915" s="851"/>
      <c r="R915" s="857">
        <v>10.7</v>
      </c>
      <c r="S915" s="852">
        <v>10.9</v>
      </c>
      <c r="T915" s="853">
        <v>3.0</v>
      </c>
      <c r="U915" s="852">
        <v>2.0</v>
      </c>
      <c r="V915" s="852"/>
      <c r="W915" s="852"/>
      <c r="X915" s="852"/>
      <c r="Y915" s="852"/>
      <c r="Z915" s="852" t="s">
        <v>343</v>
      </c>
      <c r="AA915" s="852"/>
      <c r="AB915" s="852" t="s">
        <v>388</v>
      </c>
      <c r="AC915" s="858">
        <v>8.0</v>
      </c>
      <c r="AD915" s="852"/>
      <c r="AE915" s="852"/>
      <c r="AF915" s="852"/>
      <c r="AG915" s="852"/>
      <c r="AH915" s="852"/>
      <c r="AI915" s="852"/>
      <c r="AJ915" s="858"/>
      <c r="AK915" s="859"/>
      <c r="AL915" s="852"/>
      <c r="AM915" s="852"/>
      <c r="AN915" s="852"/>
      <c r="AO915" s="852"/>
      <c r="AP915" s="852"/>
      <c r="AQ915" s="852"/>
      <c r="AR915" s="852"/>
      <c r="AS915" s="858"/>
      <c r="AT915" s="860" t="s">
        <v>182</v>
      </c>
      <c r="AU915" s="861" t="s">
        <v>845</v>
      </c>
      <c r="AV915" s="862">
        <f>SQRT(($R915-Infrastructure!J$3)^2+($S915-Infrastructure!K$3)^2)</f>
        <v>21.09502311</v>
      </c>
      <c r="AW915" s="331">
        <f>SQRT(($R915-Infrastructure!J$4)^2+($S915-Infrastructure!K$4)^2)</f>
        <v>12.98499134</v>
      </c>
      <c r="AX915" s="863">
        <f>SQRT(($R915-Infrastructure!J$5)^2+($S915-Infrastructure!K$5)^2)</f>
        <v>12.43543325</v>
      </c>
      <c r="AY915" s="863">
        <f>SQRT(($R915-Infrastructure!J$6)^2+($S915-Infrastructure!K$6)^2)</f>
        <v>10.61696755</v>
      </c>
      <c r="AZ915" s="863">
        <f>SQRT(($R915-Infrastructure!J$7)^2+($S915-Infrastructure!K$7)^2)</f>
        <v>14.43606595</v>
      </c>
      <c r="BA915" s="863">
        <f>SQRT(($R915-Infrastructure!J$8)^2+($S915-Infrastructure!K$8)^2)</f>
        <v>22.10701246</v>
      </c>
      <c r="BB915" s="331">
        <f>SQRT(($R915-Infrastructure!J$9)^2+($S915-Infrastructure!K$9)^2)</f>
        <v>29.86854533</v>
      </c>
      <c r="BC915" s="863">
        <f>SQRT(($R915-Infrastructure!J$10)^2+($S915-Infrastructure!K$10)^2)</f>
        <v>29.58546941</v>
      </c>
      <c r="BD915" s="863">
        <f>SQRT(($R915-Infrastructure!J$11)^2+($S915-Infrastructure!K$11)^2)</f>
        <v>34.61011413</v>
      </c>
      <c r="BE915" s="864">
        <f>SQRT(($R915-Infrastructure!J$12)^2+($S915-Infrastructure!K$12)^2)</f>
        <v>45.8889965</v>
      </c>
      <c r="BF915" s="330">
        <f t="shared" si="14"/>
        <v>10.61696755</v>
      </c>
      <c r="BG915" s="333">
        <f t="shared" si="15"/>
        <v>45.8889965</v>
      </c>
      <c r="BH915" s="865"/>
      <c r="BI915" s="866" t="s">
        <v>845</v>
      </c>
      <c r="BJ915" s="851" t="s">
        <v>845</v>
      </c>
      <c r="BK915" s="851" t="s">
        <v>845</v>
      </c>
      <c r="BL915" s="851" t="s">
        <v>845</v>
      </c>
      <c r="BM915" s="851" t="s">
        <v>845</v>
      </c>
      <c r="BN915" s="851" t="s">
        <v>846</v>
      </c>
      <c r="BO915" s="851" t="s">
        <v>845</v>
      </c>
      <c r="BP915" s="851" t="s">
        <v>845</v>
      </c>
      <c r="BQ915" s="851" t="s">
        <v>845</v>
      </c>
      <c r="BR915" s="867" t="s">
        <v>845</v>
      </c>
      <c r="BS915" s="330">
        <f t="shared" si="63"/>
        <v>22.10701246</v>
      </c>
      <c r="BT915" s="331">
        <f t="shared" si="64"/>
        <v>22.10701246</v>
      </c>
      <c r="BU915" s="871">
        <v>0.4355671296296296</v>
      </c>
      <c r="BV915" s="864"/>
      <c r="BW915" s="862"/>
      <c r="BX915" s="863"/>
      <c r="BY915" s="331" t="b">
        <f t="shared" si="65"/>
        <v>0</v>
      </c>
      <c r="BZ915" s="869"/>
      <c r="CA915" s="849" t="s">
        <v>845</v>
      </c>
      <c r="CB915" s="852" t="s">
        <v>845</v>
      </c>
      <c r="CC915" s="852" t="s">
        <v>845</v>
      </c>
      <c r="CD915" s="852" t="s">
        <v>845</v>
      </c>
      <c r="CE915" s="852" t="s">
        <v>845</v>
      </c>
      <c r="CF915" s="852" t="s">
        <v>845</v>
      </c>
      <c r="CG915" s="852" t="s">
        <v>845</v>
      </c>
      <c r="CH915" s="852" t="s">
        <v>845</v>
      </c>
      <c r="CI915" s="852" t="s">
        <v>845</v>
      </c>
      <c r="CJ915" s="858" t="s">
        <v>845</v>
      </c>
      <c r="CK915" s="342">
        <f t="shared" si="18"/>
        <v>0</v>
      </c>
      <c r="CL915" s="333">
        <f t="shared" si="19"/>
        <v>0</v>
      </c>
      <c r="CM915" s="870"/>
      <c r="CN915" s="333"/>
      <c r="CO915" s="333"/>
      <c r="CP915" s="333"/>
    </row>
    <row r="916">
      <c r="B916" s="462" t="s">
        <v>1561</v>
      </c>
      <c r="C916" s="417">
        <v>44385.0</v>
      </c>
      <c r="D916" s="318"/>
      <c r="E916" s="319">
        <v>8.0</v>
      </c>
      <c r="F916" s="324" t="s">
        <v>1573</v>
      </c>
      <c r="G916" s="321">
        <v>0.44699074074074074</v>
      </c>
      <c r="H916" s="323">
        <v>0.4473958333333333</v>
      </c>
      <c r="I916" s="323"/>
      <c r="J916" s="323"/>
      <c r="K916" s="323">
        <v>0.44947916666666665</v>
      </c>
      <c r="L916" s="323">
        <v>0.0020833333333333333</v>
      </c>
      <c r="M916" s="319" t="s">
        <v>166</v>
      </c>
      <c r="N916" s="324" t="s">
        <v>187</v>
      </c>
      <c r="O916" s="419" t="s">
        <v>207</v>
      </c>
      <c r="P916" s="319" t="s">
        <v>223</v>
      </c>
      <c r="Q916" s="318"/>
      <c r="R916" s="326">
        <v>26.4</v>
      </c>
      <c r="S916" s="319">
        <v>14.5</v>
      </c>
      <c r="T916" s="324">
        <v>2.5</v>
      </c>
      <c r="U916" s="319">
        <v>4.0</v>
      </c>
      <c r="V916" s="319"/>
      <c r="W916" s="319"/>
      <c r="X916" s="319"/>
      <c r="Y916" s="319"/>
      <c r="Z916" s="319" t="s">
        <v>374</v>
      </c>
      <c r="AA916" s="319"/>
      <c r="AB916" s="319" t="s">
        <v>384</v>
      </c>
      <c r="AC916" s="327">
        <v>6.0</v>
      </c>
      <c r="AD916" s="319"/>
      <c r="AE916" s="319"/>
      <c r="AF916" s="319"/>
      <c r="AG916" s="319"/>
      <c r="AH916" s="319"/>
      <c r="AI916" s="319"/>
      <c r="AJ916" s="327"/>
      <c r="AK916" s="328"/>
      <c r="AL916" s="319"/>
      <c r="AM916" s="319"/>
      <c r="AN916" s="319"/>
      <c r="AO916" s="319"/>
      <c r="AP916" s="319"/>
      <c r="AQ916" s="319"/>
      <c r="AR916" s="319"/>
      <c r="AS916" s="327"/>
      <c r="AT916" s="461" t="s">
        <v>182</v>
      </c>
      <c r="AU916" s="345" t="s">
        <v>845</v>
      </c>
      <c r="AV916" s="330">
        <f>SQRT(($R916-Infrastructure!J$3)^2+($S916-Infrastructure!K$3)^2)</f>
        <v>30.33562262</v>
      </c>
      <c r="AW916" s="331">
        <f>SQRT(($R916-Infrastructure!J$4)^2+($S916-Infrastructure!K$4)^2)</f>
        <v>26.90315967</v>
      </c>
      <c r="AX916" s="331">
        <f>SQRT(($R916-Infrastructure!J$5)^2+($S916-Infrastructure!K$5)^2)</f>
        <v>28.30635971</v>
      </c>
      <c r="AY916" s="331">
        <f>SQRT(($R916-Infrastructure!J$6)^2+($S916-Infrastructure!K$6)^2)</f>
        <v>21.61781673</v>
      </c>
      <c r="AZ916" s="331">
        <f>SQRT(($R916-Infrastructure!J$7)^2+($S916-Infrastructure!K$7)^2)</f>
        <v>15.37693077</v>
      </c>
      <c r="BA916" s="331">
        <f>SQRT(($R916-Infrastructure!J$8)^2+($S916-Infrastructure!K$8)^2)</f>
        <v>14.67412689</v>
      </c>
      <c r="BB916" s="331">
        <f>SQRT(($R916-Infrastructure!J$9)^2+($S916-Infrastructure!K$9)^2)</f>
        <v>16.53239245</v>
      </c>
      <c r="BC916" s="331">
        <f>SQRT(($R916-Infrastructure!J$10)^2+($S916-Infrastructure!K$10)^2)</f>
        <v>13.60918807</v>
      </c>
      <c r="BD916" s="331">
        <f>SQRT(($R916-Infrastructure!J$11)^2+($S916-Infrastructure!K$11)^2)</f>
        <v>20.01724257</v>
      </c>
      <c r="BE916" s="333">
        <f>SQRT(($R916-Infrastructure!J$12)^2+($S916-Infrastructure!K$12)^2)</f>
        <v>41.29176673</v>
      </c>
      <c r="BF916" s="330">
        <f t="shared" si="14"/>
        <v>13.60918807</v>
      </c>
      <c r="BG916" s="333">
        <f t="shared" si="15"/>
        <v>41.29176673</v>
      </c>
      <c r="BH916" s="334"/>
      <c r="BI916" s="316" t="s">
        <v>846</v>
      </c>
      <c r="BJ916" s="318" t="s">
        <v>845</v>
      </c>
      <c r="BK916" s="318" t="s">
        <v>845</v>
      </c>
      <c r="BL916" s="318" t="s">
        <v>846</v>
      </c>
      <c r="BM916" s="318" t="s">
        <v>846</v>
      </c>
      <c r="BN916" s="318" t="s">
        <v>846</v>
      </c>
      <c r="BO916" s="318" t="s">
        <v>846</v>
      </c>
      <c r="BP916" s="318" t="s">
        <v>846</v>
      </c>
      <c r="BQ916" s="318" t="s">
        <v>845</v>
      </c>
      <c r="BR916" s="332" t="s">
        <v>846</v>
      </c>
      <c r="BS916" s="330">
        <f t="shared" si="63"/>
        <v>13.60918807</v>
      </c>
      <c r="BT916" s="331">
        <f t="shared" si="64"/>
        <v>41.29176673</v>
      </c>
      <c r="BU916" s="868">
        <v>0.44710648148148147</v>
      </c>
      <c r="BV916" s="333"/>
      <c r="BW916" s="330">
        <v>24.2027777777777</v>
      </c>
      <c r="BX916" s="331">
        <v>9.86666666666666</v>
      </c>
      <c r="BY916" s="331">
        <f t="shared" si="65"/>
        <v>5.127919975</v>
      </c>
      <c r="BZ916" s="340"/>
      <c r="CA916" s="462" t="s">
        <v>846</v>
      </c>
      <c r="CB916" s="319" t="s">
        <v>846</v>
      </c>
      <c r="CC916" s="319" t="s">
        <v>846</v>
      </c>
      <c r="CD916" s="319" t="s">
        <v>846</v>
      </c>
      <c r="CE916" s="319" t="s">
        <v>846</v>
      </c>
      <c r="CF916" s="319" t="s">
        <v>846</v>
      </c>
      <c r="CG916" s="319" t="s">
        <v>846</v>
      </c>
      <c r="CH916" s="319" t="s">
        <v>846</v>
      </c>
      <c r="CI916" s="319" t="s">
        <v>846</v>
      </c>
      <c r="CJ916" s="327" t="s">
        <v>846</v>
      </c>
      <c r="CK916" s="342">
        <f t="shared" si="18"/>
        <v>13.60918807</v>
      </c>
      <c r="CL916" s="333">
        <f t="shared" si="19"/>
        <v>41.29176673</v>
      </c>
      <c r="CM916" s="829"/>
      <c r="CN916" s="333"/>
      <c r="CO916" s="333"/>
      <c r="CP916" s="333"/>
    </row>
    <row r="917">
      <c r="B917" s="462" t="s">
        <v>1561</v>
      </c>
      <c r="C917" s="417">
        <v>44385.0</v>
      </c>
      <c r="D917" s="318"/>
      <c r="E917" s="319">
        <v>9.0</v>
      </c>
      <c r="F917" s="324" t="s">
        <v>1574</v>
      </c>
      <c r="G917" s="321">
        <v>0.4501736111111111</v>
      </c>
      <c r="H917" s="323">
        <v>0.4505208333333333</v>
      </c>
      <c r="I917" s="323"/>
      <c r="J917" s="323"/>
      <c r="K917" s="323">
        <v>0.4527777777777778</v>
      </c>
      <c r="L917" s="323">
        <v>0.0022569444444444442</v>
      </c>
      <c r="M917" s="319" t="s">
        <v>166</v>
      </c>
      <c r="N917" s="324" t="s">
        <v>187</v>
      </c>
      <c r="O917" s="419" t="s">
        <v>207</v>
      </c>
      <c r="P917" s="319" t="s">
        <v>223</v>
      </c>
      <c r="Q917" s="318"/>
      <c r="R917" s="326">
        <v>26.4</v>
      </c>
      <c r="S917" s="319">
        <v>14.5</v>
      </c>
      <c r="T917" s="324">
        <v>2.5</v>
      </c>
      <c r="U917" s="319">
        <v>3.0</v>
      </c>
      <c r="V917" s="319"/>
      <c r="W917" s="319"/>
      <c r="X917" s="319"/>
      <c r="Y917" s="319"/>
      <c r="Z917" s="319" t="s">
        <v>374</v>
      </c>
      <c r="AA917" s="319"/>
      <c r="AB917" s="319" t="s">
        <v>384</v>
      </c>
      <c r="AC917" s="327">
        <v>6.0</v>
      </c>
      <c r="AD917" s="319"/>
      <c r="AE917" s="319"/>
      <c r="AF917" s="319"/>
      <c r="AG917" s="319"/>
      <c r="AH917" s="319"/>
      <c r="AI917" s="319"/>
      <c r="AJ917" s="327"/>
      <c r="AK917" s="328"/>
      <c r="AL917" s="319"/>
      <c r="AM917" s="319"/>
      <c r="AN917" s="319"/>
      <c r="AO917" s="319"/>
      <c r="AP917" s="319"/>
      <c r="AQ917" s="319"/>
      <c r="AR917" s="319"/>
      <c r="AS917" s="327"/>
      <c r="AT917" s="461" t="s">
        <v>182</v>
      </c>
      <c r="AU917" s="345" t="s">
        <v>845</v>
      </c>
      <c r="AV917" s="330">
        <f>SQRT(($R917-Infrastructure!J$3)^2+($S917-Infrastructure!K$3)^2)</f>
        <v>30.33562262</v>
      </c>
      <c r="AW917" s="331">
        <f>SQRT(($R917-Infrastructure!J$4)^2+($S917-Infrastructure!K$4)^2)</f>
        <v>26.90315967</v>
      </c>
      <c r="AX917" s="331">
        <f>SQRT(($R917-Infrastructure!J$5)^2+($S917-Infrastructure!K$5)^2)</f>
        <v>28.30635971</v>
      </c>
      <c r="AY917" s="331">
        <f>SQRT(($R917-Infrastructure!J$6)^2+($S917-Infrastructure!K$6)^2)</f>
        <v>21.61781673</v>
      </c>
      <c r="AZ917" s="331">
        <f>SQRT(($R917-Infrastructure!J$7)^2+($S917-Infrastructure!K$7)^2)</f>
        <v>15.37693077</v>
      </c>
      <c r="BA917" s="331">
        <f>SQRT(($R917-Infrastructure!J$8)^2+($S917-Infrastructure!K$8)^2)</f>
        <v>14.67412689</v>
      </c>
      <c r="BB917" s="331">
        <f>SQRT(($R917-Infrastructure!J$9)^2+($S917-Infrastructure!K$9)^2)</f>
        <v>16.53239245</v>
      </c>
      <c r="BC917" s="331">
        <f>SQRT(($R917-Infrastructure!J$10)^2+($S917-Infrastructure!K$10)^2)</f>
        <v>13.60918807</v>
      </c>
      <c r="BD917" s="331">
        <f>SQRT(($R917-Infrastructure!J$11)^2+($S917-Infrastructure!K$11)^2)</f>
        <v>20.01724257</v>
      </c>
      <c r="BE917" s="333">
        <f>SQRT(($R917-Infrastructure!J$12)^2+($S917-Infrastructure!K$12)^2)</f>
        <v>41.29176673</v>
      </c>
      <c r="BF917" s="330">
        <f t="shared" si="14"/>
        <v>13.60918807</v>
      </c>
      <c r="BG917" s="333">
        <f t="shared" si="15"/>
        <v>41.29176673</v>
      </c>
      <c r="BH917" s="334"/>
      <c r="BI917" s="316" t="s">
        <v>845</v>
      </c>
      <c r="BJ917" s="318" t="s">
        <v>845</v>
      </c>
      <c r="BK917" s="318" t="s">
        <v>845</v>
      </c>
      <c r="BL917" s="318" t="s">
        <v>845</v>
      </c>
      <c r="BM917" s="318" t="s">
        <v>846</v>
      </c>
      <c r="BN917" s="318" t="s">
        <v>846</v>
      </c>
      <c r="BO917" s="318" t="s">
        <v>846</v>
      </c>
      <c r="BP917" s="318" t="s">
        <v>846</v>
      </c>
      <c r="BQ917" s="318" t="s">
        <v>845</v>
      </c>
      <c r="BR917" s="332" t="s">
        <v>846</v>
      </c>
      <c r="BS917" s="330">
        <f t="shared" si="63"/>
        <v>13.60918807</v>
      </c>
      <c r="BT917" s="331">
        <f t="shared" si="64"/>
        <v>41.29176673</v>
      </c>
      <c r="BU917" s="868">
        <v>0.4504976851851852</v>
      </c>
      <c r="BV917" s="333"/>
      <c r="BW917" s="330">
        <v>23.7447368421052</v>
      </c>
      <c r="BX917" s="331">
        <v>11.6552631578947</v>
      </c>
      <c r="BY917" s="331">
        <f t="shared" si="65"/>
        <v>3.891394369</v>
      </c>
      <c r="BZ917" s="340"/>
      <c r="CA917" s="462" t="s">
        <v>846</v>
      </c>
      <c r="CB917" s="319" t="s">
        <v>845</v>
      </c>
      <c r="CC917" s="319" t="s">
        <v>845</v>
      </c>
      <c r="CD917" s="319" t="s">
        <v>846</v>
      </c>
      <c r="CE917" s="319" t="s">
        <v>846</v>
      </c>
      <c r="CF917" s="319" t="s">
        <v>845</v>
      </c>
      <c r="CG917" s="319" t="s">
        <v>845</v>
      </c>
      <c r="CH917" s="319" t="s">
        <v>846</v>
      </c>
      <c r="CI917" s="319" t="s">
        <v>846</v>
      </c>
      <c r="CJ917" s="327" t="s">
        <v>846</v>
      </c>
      <c r="CK917" s="342">
        <f t="shared" si="18"/>
        <v>13.60918807</v>
      </c>
      <c r="CL917" s="333">
        <f t="shared" si="19"/>
        <v>41.29176673</v>
      </c>
      <c r="CM917" s="829"/>
      <c r="CN917" s="333"/>
      <c r="CO917" s="333"/>
      <c r="CP917" s="333"/>
    </row>
    <row r="918">
      <c r="B918" s="849" t="s">
        <v>1561</v>
      </c>
      <c r="C918" s="850">
        <v>44385.0</v>
      </c>
      <c r="D918" s="851"/>
      <c r="E918" s="852">
        <v>10.0</v>
      </c>
      <c r="F918" s="853" t="s">
        <v>1575</v>
      </c>
      <c r="G918" s="854">
        <v>0.4534722222222222</v>
      </c>
      <c r="H918" s="855">
        <v>0.45416666666666666</v>
      </c>
      <c r="I918" s="855"/>
      <c r="J918" s="855"/>
      <c r="K918" s="855">
        <v>0.45625</v>
      </c>
      <c r="L918" s="855">
        <v>0.0020833333333333333</v>
      </c>
      <c r="M918" s="852" t="s">
        <v>166</v>
      </c>
      <c r="N918" s="853" t="s">
        <v>187</v>
      </c>
      <c r="O918" s="856" t="s">
        <v>207</v>
      </c>
      <c r="P918" s="852" t="s">
        <v>223</v>
      </c>
      <c r="Q918" s="851"/>
      <c r="R918" s="857">
        <v>26.4</v>
      </c>
      <c r="S918" s="852">
        <v>14.5</v>
      </c>
      <c r="T918" s="853">
        <v>2.5</v>
      </c>
      <c r="U918" s="852">
        <v>2.0</v>
      </c>
      <c r="V918" s="852"/>
      <c r="W918" s="852"/>
      <c r="X918" s="852"/>
      <c r="Y918" s="852"/>
      <c r="Z918" s="852" t="s">
        <v>374</v>
      </c>
      <c r="AA918" s="852"/>
      <c r="AB918" s="852" t="s">
        <v>384</v>
      </c>
      <c r="AC918" s="858">
        <v>6.0</v>
      </c>
      <c r="AD918" s="852"/>
      <c r="AE918" s="852"/>
      <c r="AF918" s="852"/>
      <c r="AG918" s="852"/>
      <c r="AH918" s="852"/>
      <c r="AI918" s="852"/>
      <c r="AJ918" s="858"/>
      <c r="AK918" s="859"/>
      <c r="AL918" s="852"/>
      <c r="AM918" s="852"/>
      <c r="AN918" s="852"/>
      <c r="AO918" s="852"/>
      <c r="AP918" s="852"/>
      <c r="AQ918" s="852"/>
      <c r="AR918" s="852"/>
      <c r="AS918" s="858"/>
      <c r="AT918" s="860" t="s">
        <v>182</v>
      </c>
      <c r="AU918" s="861" t="s">
        <v>845</v>
      </c>
      <c r="AV918" s="862">
        <f>SQRT(($R918-Infrastructure!J$3)^2+($S918-Infrastructure!K$3)^2)</f>
        <v>30.33562262</v>
      </c>
      <c r="AW918" s="331">
        <f>SQRT(($R918-Infrastructure!J$4)^2+($S918-Infrastructure!K$4)^2)</f>
        <v>26.90315967</v>
      </c>
      <c r="AX918" s="863">
        <f>SQRT(($R918-Infrastructure!J$5)^2+($S918-Infrastructure!K$5)^2)</f>
        <v>28.30635971</v>
      </c>
      <c r="AY918" s="863">
        <f>SQRT(($R918-Infrastructure!J$6)^2+($S918-Infrastructure!K$6)^2)</f>
        <v>21.61781673</v>
      </c>
      <c r="AZ918" s="863">
        <f>SQRT(($R918-Infrastructure!J$7)^2+($S918-Infrastructure!K$7)^2)</f>
        <v>15.37693077</v>
      </c>
      <c r="BA918" s="863">
        <f>SQRT(($R918-Infrastructure!J$8)^2+($S918-Infrastructure!K$8)^2)</f>
        <v>14.67412689</v>
      </c>
      <c r="BB918" s="331">
        <f>SQRT(($R918-Infrastructure!J$9)^2+($S918-Infrastructure!K$9)^2)</f>
        <v>16.53239245</v>
      </c>
      <c r="BC918" s="863">
        <f>SQRT(($R918-Infrastructure!J$10)^2+($S918-Infrastructure!K$10)^2)</f>
        <v>13.60918807</v>
      </c>
      <c r="BD918" s="863">
        <f>SQRT(($R918-Infrastructure!J$11)^2+($S918-Infrastructure!K$11)^2)</f>
        <v>20.01724257</v>
      </c>
      <c r="BE918" s="864">
        <f>SQRT(($R918-Infrastructure!J$12)^2+($S918-Infrastructure!K$12)^2)</f>
        <v>41.29176673</v>
      </c>
      <c r="BF918" s="330">
        <f t="shared" si="14"/>
        <v>13.60918807</v>
      </c>
      <c r="BG918" s="333">
        <f t="shared" si="15"/>
        <v>41.29176673</v>
      </c>
      <c r="BH918" s="865"/>
      <c r="BI918" s="866" t="s">
        <v>845</v>
      </c>
      <c r="BJ918" s="851" t="s">
        <v>845</v>
      </c>
      <c r="BK918" s="851" t="s">
        <v>845</v>
      </c>
      <c r="BL918" s="851" t="s">
        <v>845</v>
      </c>
      <c r="BM918" s="851" t="s">
        <v>845</v>
      </c>
      <c r="BN918" s="851" t="s">
        <v>846</v>
      </c>
      <c r="BO918" s="851" t="s">
        <v>846</v>
      </c>
      <c r="BP918" s="851" t="s">
        <v>846</v>
      </c>
      <c r="BQ918" s="851" t="s">
        <v>845</v>
      </c>
      <c r="BR918" s="867" t="s">
        <v>846</v>
      </c>
      <c r="BS918" s="330">
        <f t="shared" si="63"/>
        <v>13.60918807</v>
      </c>
      <c r="BT918" s="331">
        <f t="shared" si="64"/>
        <v>41.29176673</v>
      </c>
      <c r="BU918" s="868">
        <v>0.4538773148148148</v>
      </c>
      <c r="BV918" s="864"/>
      <c r="BW918" s="862">
        <v>16.2818181818181</v>
      </c>
      <c r="BX918" s="863">
        <v>9.10909090909091</v>
      </c>
      <c r="BY918" s="331">
        <f t="shared" si="65"/>
        <v>11.46470689</v>
      </c>
      <c r="BZ918" s="869"/>
      <c r="CA918" s="849" t="s">
        <v>845</v>
      </c>
      <c r="CB918" s="852" t="s">
        <v>845</v>
      </c>
      <c r="CC918" s="852" t="s">
        <v>845</v>
      </c>
      <c r="CD918" s="852" t="s">
        <v>845</v>
      </c>
      <c r="CE918" s="852" t="s">
        <v>846</v>
      </c>
      <c r="CF918" s="852" t="s">
        <v>845</v>
      </c>
      <c r="CG918" s="852" t="s">
        <v>845</v>
      </c>
      <c r="CH918" s="852" t="s">
        <v>845</v>
      </c>
      <c r="CI918" s="852" t="s">
        <v>845</v>
      </c>
      <c r="CJ918" s="858" t="s">
        <v>845</v>
      </c>
      <c r="CK918" s="342">
        <f t="shared" si="18"/>
        <v>15.37693077</v>
      </c>
      <c r="CL918" s="333">
        <f t="shared" si="19"/>
        <v>15.37693077</v>
      </c>
      <c r="CM918" s="870"/>
      <c r="CN918" s="333"/>
      <c r="CO918" s="333"/>
      <c r="CP918" s="333"/>
    </row>
    <row r="919">
      <c r="B919" s="462" t="s">
        <v>1561</v>
      </c>
      <c r="C919" s="417">
        <v>44385.0</v>
      </c>
      <c r="D919" s="318"/>
      <c r="E919" s="319">
        <v>11.0</v>
      </c>
      <c r="F919" s="324" t="s">
        <v>1576</v>
      </c>
      <c r="G919" s="321">
        <v>0.4583333333333333</v>
      </c>
      <c r="H919" s="323">
        <v>0.45868055555555554</v>
      </c>
      <c r="I919" s="323"/>
      <c r="J919" s="323"/>
      <c r="K919" s="323">
        <v>0.46087962962962964</v>
      </c>
      <c r="L919" s="323">
        <v>0.002199074074074074</v>
      </c>
      <c r="M919" s="319" t="s">
        <v>166</v>
      </c>
      <c r="N919" s="324" t="s">
        <v>187</v>
      </c>
      <c r="O919" s="419" t="s">
        <v>207</v>
      </c>
      <c r="P919" s="319" t="s">
        <v>219</v>
      </c>
      <c r="Q919" s="318"/>
      <c r="R919" s="326">
        <v>26.3</v>
      </c>
      <c r="S919" s="319">
        <v>12.4</v>
      </c>
      <c r="T919" s="324">
        <v>1.6</v>
      </c>
      <c r="U919" s="319">
        <v>5.0</v>
      </c>
      <c r="V919" s="319"/>
      <c r="W919" s="319"/>
      <c r="X919" s="319"/>
      <c r="Y919" s="319"/>
      <c r="Z919" s="319" t="s">
        <v>374</v>
      </c>
      <c r="AA919" s="319"/>
      <c r="AB919" s="319" t="s">
        <v>388</v>
      </c>
      <c r="AC919" s="327">
        <v>8.0</v>
      </c>
      <c r="AD919" s="319"/>
      <c r="AE919" s="319"/>
      <c r="AF919" s="319"/>
      <c r="AG919" s="319"/>
      <c r="AH919" s="319"/>
      <c r="AI919" s="319"/>
      <c r="AJ919" s="327"/>
      <c r="AK919" s="328"/>
      <c r="AL919" s="319"/>
      <c r="AM919" s="319"/>
      <c r="AN919" s="319"/>
      <c r="AO919" s="319"/>
      <c r="AP919" s="319"/>
      <c r="AQ919" s="319"/>
      <c r="AR919" s="319"/>
      <c r="AS919" s="327"/>
      <c r="AT919" s="461" t="s">
        <v>182</v>
      </c>
      <c r="AU919" s="345" t="s">
        <v>845</v>
      </c>
      <c r="AV919" s="330">
        <f>SQRT(($R919-Infrastructure!J$3)^2+($S919-Infrastructure!K$3)^2)</f>
        <v>31.30191687</v>
      </c>
      <c r="AW919" s="331">
        <f>SQRT(($R919-Infrastructure!J$4)^2+($S919-Infrastructure!K$4)^2)</f>
        <v>27.14258646</v>
      </c>
      <c r="AX919" s="331">
        <f>SQRT(($R919-Infrastructure!J$5)^2+($S919-Infrastructure!K$5)^2)</f>
        <v>27.58350957</v>
      </c>
      <c r="AY919" s="331">
        <f>SQRT(($R919-Infrastructure!J$6)^2+($S919-Infrastructure!K$6)^2)</f>
        <v>20.22003956</v>
      </c>
      <c r="AZ919" s="331">
        <f>SQRT(($R919-Infrastructure!J$7)^2+($S919-Infrastructure!K$7)^2)</f>
        <v>13.41827113</v>
      </c>
      <c r="BA919" s="331">
        <f>SQRT(($R919-Infrastructure!J$8)^2+($S919-Infrastructure!K$8)^2)</f>
        <v>12.68266534</v>
      </c>
      <c r="BB919" s="331">
        <f>SQRT(($R919-Infrastructure!J$9)^2+($S919-Infrastructure!K$9)^2)</f>
        <v>15.52353053</v>
      </c>
      <c r="BC919" s="331">
        <f>SQRT(($R919-Infrastructure!J$10)^2+($S919-Infrastructure!K$10)^2)</f>
        <v>13.94453298</v>
      </c>
      <c r="BD919" s="331">
        <f>SQRT(($R919-Infrastructure!J$11)^2+($S919-Infrastructure!K$11)^2)</f>
        <v>21.65109697</v>
      </c>
      <c r="BE919" s="333">
        <f>SQRT(($R919-Infrastructure!J$12)^2+($S919-Infrastructure!K$12)^2)</f>
        <v>43.3664617</v>
      </c>
      <c r="BF919" s="330">
        <f t="shared" si="14"/>
        <v>12.68266534</v>
      </c>
      <c r="BG919" s="333">
        <f t="shared" si="15"/>
        <v>43.3664617</v>
      </c>
      <c r="BH919" s="334"/>
      <c r="BI919" s="316" t="s">
        <v>846</v>
      </c>
      <c r="BJ919" s="318" t="s">
        <v>846</v>
      </c>
      <c r="BK919" s="318" t="s">
        <v>845</v>
      </c>
      <c r="BL919" s="318" t="s">
        <v>845</v>
      </c>
      <c r="BM919" s="318" t="s">
        <v>846</v>
      </c>
      <c r="BN919" s="318" t="s">
        <v>846</v>
      </c>
      <c r="BO919" s="318" t="s">
        <v>846</v>
      </c>
      <c r="BP919" s="318" t="s">
        <v>846</v>
      </c>
      <c r="BQ919" s="318" t="s">
        <v>846</v>
      </c>
      <c r="BR919" s="332" t="s">
        <v>846</v>
      </c>
      <c r="BS919" s="330">
        <f t="shared" si="63"/>
        <v>12.68266534</v>
      </c>
      <c r="BT919" s="331">
        <f t="shared" si="64"/>
        <v>43.3664617</v>
      </c>
      <c r="BU919" s="868">
        <v>0.4585532407407407</v>
      </c>
      <c r="BV919" s="333"/>
      <c r="BW919" s="330">
        <v>20.828947368421</v>
      </c>
      <c r="BX919" s="331">
        <v>11.7052631578947</v>
      </c>
      <c r="BY919" s="331">
        <f t="shared" si="65"/>
        <v>5.514986507</v>
      </c>
      <c r="BZ919" s="340"/>
      <c r="CA919" s="462" t="s">
        <v>846</v>
      </c>
      <c r="CB919" s="319" t="s">
        <v>846</v>
      </c>
      <c r="CC919" s="319" t="s">
        <v>845</v>
      </c>
      <c r="CD919" s="319" t="s">
        <v>846</v>
      </c>
      <c r="CE919" s="319" t="s">
        <v>846</v>
      </c>
      <c r="CF919" s="319" t="s">
        <v>845</v>
      </c>
      <c r="CG919" s="319" t="s">
        <v>845</v>
      </c>
      <c r="CH919" s="319" t="s">
        <v>845</v>
      </c>
      <c r="CI919" s="319" t="s">
        <v>846</v>
      </c>
      <c r="CJ919" s="327" t="s">
        <v>846</v>
      </c>
      <c r="CK919" s="342">
        <f t="shared" si="18"/>
        <v>13.41827113</v>
      </c>
      <c r="CL919" s="333">
        <f t="shared" si="19"/>
        <v>43.3664617</v>
      </c>
      <c r="CM919" s="829"/>
      <c r="CN919" s="333"/>
      <c r="CO919" s="333"/>
      <c r="CP919" s="333"/>
    </row>
    <row r="920">
      <c r="B920" s="462" t="s">
        <v>1561</v>
      </c>
      <c r="C920" s="417">
        <v>44385.0</v>
      </c>
      <c r="D920" s="318"/>
      <c r="E920" s="319">
        <v>12.0</v>
      </c>
      <c r="F920" s="324" t="s">
        <v>1577</v>
      </c>
      <c r="G920" s="321">
        <v>0.46145833333333336</v>
      </c>
      <c r="H920" s="323">
        <v>0.4616898148148148</v>
      </c>
      <c r="I920" s="323"/>
      <c r="J920" s="323"/>
      <c r="K920" s="323">
        <v>0.46377314814814813</v>
      </c>
      <c r="L920" s="323">
        <v>0.0020833333333333333</v>
      </c>
      <c r="M920" s="319" t="s">
        <v>166</v>
      </c>
      <c r="N920" s="324" t="s">
        <v>187</v>
      </c>
      <c r="O920" s="419" t="s">
        <v>207</v>
      </c>
      <c r="P920" s="319" t="s">
        <v>219</v>
      </c>
      <c r="Q920" s="318"/>
      <c r="R920" s="326">
        <v>26.3</v>
      </c>
      <c r="S920" s="319">
        <v>12.4</v>
      </c>
      <c r="T920" s="324">
        <v>1.6</v>
      </c>
      <c r="U920" s="319">
        <v>4.0</v>
      </c>
      <c r="V920" s="319"/>
      <c r="W920" s="319"/>
      <c r="X920" s="319"/>
      <c r="Y920" s="319"/>
      <c r="Z920" s="319" t="s">
        <v>374</v>
      </c>
      <c r="AA920" s="319"/>
      <c r="AB920" s="319" t="s">
        <v>388</v>
      </c>
      <c r="AC920" s="327">
        <v>8.0</v>
      </c>
      <c r="AD920" s="319"/>
      <c r="AE920" s="319"/>
      <c r="AF920" s="319"/>
      <c r="AG920" s="319"/>
      <c r="AH920" s="319"/>
      <c r="AI920" s="319"/>
      <c r="AJ920" s="327"/>
      <c r="AK920" s="328"/>
      <c r="AL920" s="319"/>
      <c r="AM920" s="319"/>
      <c r="AN920" s="319"/>
      <c r="AO920" s="319"/>
      <c r="AP920" s="319"/>
      <c r="AQ920" s="319"/>
      <c r="AR920" s="319"/>
      <c r="AS920" s="327"/>
      <c r="AT920" s="461" t="s">
        <v>182</v>
      </c>
      <c r="AU920" s="345" t="s">
        <v>845</v>
      </c>
      <c r="AV920" s="330">
        <f>SQRT(($R920-Infrastructure!J$3)^2+($S920-Infrastructure!K$3)^2)</f>
        <v>31.30191687</v>
      </c>
      <c r="AW920" s="331">
        <f>SQRT(($R920-Infrastructure!J$4)^2+($S920-Infrastructure!K$4)^2)</f>
        <v>27.14258646</v>
      </c>
      <c r="AX920" s="331">
        <f>SQRT(($R920-Infrastructure!J$5)^2+($S920-Infrastructure!K$5)^2)</f>
        <v>27.58350957</v>
      </c>
      <c r="AY920" s="331">
        <f>SQRT(($R920-Infrastructure!J$6)^2+($S920-Infrastructure!K$6)^2)</f>
        <v>20.22003956</v>
      </c>
      <c r="AZ920" s="331">
        <f>SQRT(($R920-Infrastructure!J$7)^2+($S920-Infrastructure!K$7)^2)</f>
        <v>13.41827113</v>
      </c>
      <c r="BA920" s="331">
        <f>SQRT(($R920-Infrastructure!J$8)^2+($S920-Infrastructure!K$8)^2)</f>
        <v>12.68266534</v>
      </c>
      <c r="BB920" s="331">
        <f>SQRT(($R920-Infrastructure!J$9)^2+($S920-Infrastructure!K$9)^2)</f>
        <v>15.52353053</v>
      </c>
      <c r="BC920" s="331">
        <f>SQRT(($R920-Infrastructure!J$10)^2+($S920-Infrastructure!K$10)^2)</f>
        <v>13.94453298</v>
      </c>
      <c r="BD920" s="331">
        <f>SQRT(($R920-Infrastructure!J$11)^2+($S920-Infrastructure!K$11)^2)</f>
        <v>21.65109697</v>
      </c>
      <c r="BE920" s="333">
        <f>SQRT(($R920-Infrastructure!J$12)^2+($S920-Infrastructure!K$12)^2)</f>
        <v>43.3664617</v>
      </c>
      <c r="BF920" s="330">
        <f t="shared" si="14"/>
        <v>12.68266534</v>
      </c>
      <c r="BG920" s="333">
        <f t="shared" si="15"/>
        <v>43.3664617</v>
      </c>
      <c r="BH920" s="334"/>
      <c r="BI920" s="316" t="s">
        <v>846</v>
      </c>
      <c r="BJ920" s="318" t="s">
        <v>845</v>
      </c>
      <c r="BK920" s="318" t="s">
        <v>845</v>
      </c>
      <c r="BL920" s="318" t="s">
        <v>845</v>
      </c>
      <c r="BM920" s="318" t="s">
        <v>846</v>
      </c>
      <c r="BN920" s="318" t="s">
        <v>846</v>
      </c>
      <c r="BO920" s="318" t="s">
        <v>846</v>
      </c>
      <c r="BP920" s="318" t="s">
        <v>846</v>
      </c>
      <c r="BQ920" s="318" t="s">
        <v>846</v>
      </c>
      <c r="BR920" s="332" t="s">
        <v>846</v>
      </c>
      <c r="BS920" s="330">
        <f t="shared" si="63"/>
        <v>12.68266534</v>
      </c>
      <c r="BT920" s="331">
        <f t="shared" si="64"/>
        <v>43.3664617</v>
      </c>
      <c r="BU920" s="868">
        <v>0.46167824074074076</v>
      </c>
      <c r="BV920" s="333"/>
      <c r="BW920" s="330">
        <v>22.9588235294117</v>
      </c>
      <c r="BX920" s="331">
        <v>10.7470588235294</v>
      </c>
      <c r="BY920" s="331">
        <f t="shared" si="65"/>
        <v>3.727690269</v>
      </c>
      <c r="BZ920" s="340"/>
      <c r="CA920" s="462" t="s">
        <v>846</v>
      </c>
      <c r="CB920" s="319" t="s">
        <v>845</v>
      </c>
      <c r="CC920" s="319" t="s">
        <v>845</v>
      </c>
      <c r="CD920" s="319" t="s">
        <v>846</v>
      </c>
      <c r="CE920" s="319" t="s">
        <v>846</v>
      </c>
      <c r="CF920" s="319" t="s">
        <v>845</v>
      </c>
      <c r="CG920" s="319" t="s">
        <v>845</v>
      </c>
      <c r="CH920" s="319" t="s">
        <v>846</v>
      </c>
      <c r="CI920" s="319" t="s">
        <v>846</v>
      </c>
      <c r="CJ920" s="327" t="s">
        <v>846</v>
      </c>
      <c r="CK920" s="342">
        <f t="shared" si="18"/>
        <v>13.41827113</v>
      </c>
      <c r="CL920" s="333">
        <f t="shared" si="19"/>
        <v>43.3664617</v>
      </c>
      <c r="CM920" s="829"/>
      <c r="CN920" s="333"/>
      <c r="CO920" s="333"/>
      <c r="CP920" s="333"/>
    </row>
    <row r="921">
      <c r="B921" s="462" t="s">
        <v>1561</v>
      </c>
      <c r="C921" s="417">
        <v>44385.0</v>
      </c>
      <c r="D921" s="318"/>
      <c r="E921" s="319">
        <v>13.0</v>
      </c>
      <c r="F921" s="324" t="s">
        <v>1578</v>
      </c>
      <c r="G921" s="321">
        <v>0.46446759259259257</v>
      </c>
      <c r="H921" s="323">
        <v>0.46469907407407407</v>
      </c>
      <c r="I921" s="323"/>
      <c r="J921" s="323"/>
      <c r="K921" s="323">
        <v>0.4667824074074074</v>
      </c>
      <c r="L921" s="323">
        <v>0.0020833333333333333</v>
      </c>
      <c r="M921" s="319" t="s">
        <v>166</v>
      </c>
      <c r="N921" s="324" t="s">
        <v>187</v>
      </c>
      <c r="O921" s="419" t="s">
        <v>207</v>
      </c>
      <c r="P921" s="319" t="s">
        <v>219</v>
      </c>
      <c r="Q921" s="318"/>
      <c r="R921" s="326">
        <v>26.3</v>
      </c>
      <c r="S921" s="319">
        <v>12.4</v>
      </c>
      <c r="T921" s="324">
        <v>1.57</v>
      </c>
      <c r="U921" s="319">
        <v>3.0</v>
      </c>
      <c r="V921" s="319"/>
      <c r="W921" s="319"/>
      <c r="X921" s="319"/>
      <c r="Y921" s="319"/>
      <c r="Z921" s="319" t="s">
        <v>374</v>
      </c>
      <c r="AA921" s="319"/>
      <c r="AB921" s="319" t="s">
        <v>388</v>
      </c>
      <c r="AC921" s="327">
        <v>8.0</v>
      </c>
      <c r="AD921" s="319"/>
      <c r="AE921" s="319"/>
      <c r="AF921" s="319"/>
      <c r="AG921" s="319"/>
      <c r="AH921" s="319"/>
      <c r="AI921" s="319"/>
      <c r="AJ921" s="327"/>
      <c r="AK921" s="328"/>
      <c r="AL921" s="319"/>
      <c r="AM921" s="319"/>
      <c r="AN921" s="319"/>
      <c r="AO921" s="319"/>
      <c r="AP921" s="319"/>
      <c r="AQ921" s="319"/>
      <c r="AR921" s="319"/>
      <c r="AS921" s="327"/>
      <c r="AT921" s="461" t="s">
        <v>182</v>
      </c>
      <c r="AU921" s="345" t="s">
        <v>845</v>
      </c>
      <c r="AV921" s="330">
        <f>SQRT(($R921-Infrastructure!J$3)^2+($S921-Infrastructure!K$3)^2)</f>
        <v>31.30191687</v>
      </c>
      <c r="AW921" s="331">
        <f>SQRT(($R921-Infrastructure!J$4)^2+($S921-Infrastructure!K$4)^2)</f>
        <v>27.14258646</v>
      </c>
      <c r="AX921" s="331">
        <f>SQRT(($R921-Infrastructure!J$5)^2+($S921-Infrastructure!K$5)^2)</f>
        <v>27.58350957</v>
      </c>
      <c r="AY921" s="331">
        <f>SQRT(($R921-Infrastructure!J$6)^2+($S921-Infrastructure!K$6)^2)</f>
        <v>20.22003956</v>
      </c>
      <c r="AZ921" s="331">
        <f>SQRT(($R921-Infrastructure!J$7)^2+($S921-Infrastructure!K$7)^2)</f>
        <v>13.41827113</v>
      </c>
      <c r="BA921" s="331">
        <f>SQRT(($R921-Infrastructure!J$8)^2+($S921-Infrastructure!K$8)^2)</f>
        <v>12.68266534</v>
      </c>
      <c r="BB921" s="331">
        <f>SQRT(($R921-Infrastructure!J$9)^2+($S921-Infrastructure!K$9)^2)</f>
        <v>15.52353053</v>
      </c>
      <c r="BC921" s="331">
        <f>SQRT(($R921-Infrastructure!J$10)^2+($S921-Infrastructure!K$10)^2)</f>
        <v>13.94453298</v>
      </c>
      <c r="BD921" s="331">
        <f>SQRT(($R921-Infrastructure!J$11)^2+($S921-Infrastructure!K$11)^2)</f>
        <v>21.65109697</v>
      </c>
      <c r="BE921" s="333">
        <f>SQRT(($R921-Infrastructure!J$12)^2+($S921-Infrastructure!K$12)^2)</f>
        <v>43.3664617</v>
      </c>
      <c r="BF921" s="330">
        <f t="shared" si="14"/>
        <v>12.68266534</v>
      </c>
      <c r="BG921" s="333">
        <f t="shared" si="15"/>
        <v>43.3664617</v>
      </c>
      <c r="BH921" s="334"/>
      <c r="BI921" s="316" t="s">
        <v>846</v>
      </c>
      <c r="BJ921" s="318" t="s">
        <v>845</v>
      </c>
      <c r="BK921" s="318" t="s">
        <v>845</v>
      </c>
      <c r="BL921" s="318" t="s">
        <v>845</v>
      </c>
      <c r="BM921" s="318" t="s">
        <v>846</v>
      </c>
      <c r="BN921" s="318" t="s">
        <v>846</v>
      </c>
      <c r="BO921" s="318" t="s">
        <v>846</v>
      </c>
      <c r="BP921" s="318" t="s">
        <v>846</v>
      </c>
      <c r="BQ921" s="318" t="s">
        <v>845</v>
      </c>
      <c r="BR921" s="332" t="s">
        <v>846</v>
      </c>
      <c r="BS921" s="330">
        <f t="shared" si="63"/>
        <v>12.68266534</v>
      </c>
      <c r="BT921" s="331">
        <f t="shared" si="64"/>
        <v>43.3664617</v>
      </c>
      <c r="BU921" s="868">
        <v>0.4646875</v>
      </c>
      <c r="BV921" s="333"/>
      <c r="BW921" s="330">
        <v>23.3624999999999</v>
      </c>
      <c r="BX921" s="331">
        <v>9.39374999999999</v>
      </c>
      <c r="BY921" s="331">
        <f t="shared" si="65"/>
        <v>4.203147072</v>
      </c>
      <c r="BZ921" s="340"/>
      <c r="CA921" s="462" t="s">
        <v>846</v>
      </c>
      <c r="CB921" s="319" t="s">
        <v>845</v>
      </c>
      <c r="CC921" s="319" t="s">
        <v>845</v>
      </c>
      <c r="CD921" s="319" t="s">
        <v>846</v>
      </c>
      <c r="CE921" s="319" t="s">
        <v>845</v>
      </c>
      <c r="CF921" s="319" t="s">
        <v>845</v>
      </c>
      <c r="CG921" s="319" t="s">
        <v>845</v>
      </c>
      <c r="CH921" s="319" t="s">
        <v>845</v>
      </c>
      <c r="CI921" s="319" t="s">
        <v>845</v>
      </c>
      <c r="CJ921" s="327" t="s">
        <v>846</v>
      </c>
      <c r="CK921" s="342">
        <f t="shared" si="18"/>
        <v>20.22003956</v>
      </c>
      <c r="CL921" s="333">
        <f t="shared" si="19"/>
        <v>43.3664617</v>
      </c>
      <c r="CM921" s="872"/>
      <c r="CN921" s="847"/>
      <c r="CO921" s="847"/>
      <c r="CP921" s="847"/>
    </row>
    <row r="922">
      <c r="B922" s="849" t="s">
        <v>1561</v>
      </c>
      <c r="C922" s="850">
        <v>44385.0</v>
      </c>
      <c r="D922" s="851"/>
      <c r="E922" s="852">
        <v>14.0</v>
      </c>
      <c r="F922" s="853" t="s">
        <v>1579</v>
      </c>
      <c r="G922" s="854">
        <v>0.46747685185185184</v>
      </c>
      <c r="H922" s="855">
        <v>0.46770833333333334</v>
      </c>
      <c r="I922" s="855"/>
      <c r="J922" s="855"/>
      <c r="K922" s="855">
        <v>0.46979166666666666</v>
      </c>
      <c r="L922" s="855">
        <v>0.0020833333333333333</v>
      </c>
      <c r="M922" s="852" t="s">
        <v>166</v>
      </c>
      <c r="N922" s="853" t="s">
        <v>187</v>
      </c>
      <c r="O922" s="856" t="s">
        <v>207</v>
      </c>
      <c r="P922" s="852" t="s">
        <v>219</v>
      </c>
      <c r="Q922" s="851"/>
      <c r="R922" s="857">
        <v>26.3</v>
      </c>
      <c r="S922" s="852">
        <v>12.4</v>
      </c>
      <c r="T922" s="853">
        <v>1.6</v>
      </c>
      <c r="U922" s="852">
        <v>2.0</v>
      </c>
      <c r="V922" s="852"/>
      <c r="W922" s="852"/>
      <c r="X922" s="852"/>
      <c r="Y922" s="852"/>
      <c r="Z922" s="852" t="s">
        <v>374</v>
      </c>
      <c r="AA922" s="852"/>
      <c r="AB922" s="852" t="s">
        <v>388</v>
      </c>
      <c r="AC922" s="858">
        <v>8.0</v>
      </c>
      <c r="AD922" s="852"/>
      <c r="AE922" s="852"/>
      <c r="AF922" s="852"/>
      <c r="AG922" s="852"/>
      <c r="AH922" s="852"/>
      <c r="AI922" s="852"/>
      <c r="AJ922" s="858"/>
      <c r="AK922" s="859"/>
      <c r="AL922" s="852"/>
      <c r="AM922" s="852"/>
      <c r="AN922" s="852"/>
      <c r="AO922" s="852"/>
      <c r="AP922" s="852"/>
      <c r="AQ922" s="852"/>
      <c r="AR922" s="852"/>
      <c r="AS922" s="858"/>
      <c r="AT922" s="860" t="s">
        <v>182</v>
      </c>
      <c r="AU922" s="861" t="s">
        <v>845</v>
      </c>
      <c r="AV922" s="862">
        <f>SQRT(($R922-Infrastructure!J$3)^2+($S922-Infrastructure!K$3)^2)</f>
        <v>31.30191687</v>
      </c>
      <c r="AW922" s="331">
        <f>SQRT(($R922-Infrastructure!J$4)^2+($S922-Infrastructure!K$4)^2)</f>
        <v>27.14258646</v>
      </c>
      <c r="AX922" s="863">
        <f>SQRT(($R922-Infrastructure!J$5)^2+($S922-Infrastructure!K$5)^2)</f>
        <v>27.58350957</v>
      </c>
      <c r="AY922" s="863">
        <f>SQRT(($R922-Infrastructure!J$6)^2+($S922-Infrastructure!K$6)^2)</f>
        <v>20.22003956</v>
      </c>
      <c r="AZ922" s="863">
        <f>SQRT(($R922-Infrastructure!J$7)^2+($S922-Infrastructure!K$7)^2)</f>
        <v>13.41827113</v>
      </c>
      <c r="BA922" s="863">
        <f>SQRT(($R922-Infrastructure!J$8)^2+($S922-Infrastructure!K$8)^2)</f>
        <v>12.68266534</v>
      </c>
      <c r="BB922" s="331">
        <f>SQRT(($R922-Infrastructure!J$9)^2+($S922-Infrastructure!K$9)^2)</f>
        <v>15.52353053</v>
      </c>
      <c r="BC922" s="863">
        <f>SQRT(($R922-Infrastructure!J$10)^2+($S922-Infrastructure!K$10)^2)</f>
        <v>13.94453298</v>
      </c>
      <c r="BD922" s="863">
        <f>SQRT(($R922-Infrastructure!J$11)^2+($S922-Infrastructure!K$11)^2)</f>
        <v>21.65109697</v>
      </c>
      <c r="BE922" s="864">
        <f>SQRT(($R922-Infrastructure!J$12)^2+($S922-Infrastructure!K$12)^2)</f>
        <v>43.3664617</v>
      </c>
      <c r="BF922" s="330">
        <f t="shared" si="14"/>
        <v>12.68266534</v>
      </c>
      <c r="BG922" s="333">
        <f t="shared" si="15"/>
        <v>43.3664617</v>
      </c>
      <c r="BH922" s="865"/>
      <c r="BI922" s="866" t="s">
        <v>845</v>
      </c>
      <c r="BJ922" s="851" t="s">
        <v>845</v>
      </c>
      <c r="BK922" s="851" t="s">
        <v>845</v>
      </c>
      <c r="BL922" s="851" t="s">
        <v>846</v>
      </c>
      <c r="BM922" s="851" t="s">
        <v>845</v>
      </c>
      <c r="BN922" s="851" t="s">
        <v>845</v>
      </c>
      <c r="BO922" s="851" t="s">
        <v>845</v>
      </c>
      <c r="BP922" s="851" t="s">
        <v>846</v>
      </c>
      <c r="BQ922" s="851" t="s">
        <v>845</v>
      </c>
      <c r="BR922" s="867" t="s">
        <v>846</v>
      </c>
      <c r="BS922" s="330">
        <f t="shared" si="63"/>
        <v>13.94453298</v>
      </c>
      <c r="BT922" s="331">
        <f t="shared" si="64"/>
        <v>43.3664617</v>
      </c>
      <c r="BU922" s="868">
        <v>0.4677546296296296</v>
      </c>
      <c r="BV922" s="864"/>
      <c r="BW922" s="862">
        <v>28.8</v>
      </c>
      <c r="BX922" s="863">
        <v>10.7666666666666</v>
      </c>
      <c r="BY922" s="331">
        <f t="shared" si="65"/>
        <v>2.986264854</v>
      </c>
      <c r="BZ922" s="869"/>
      <c r="CA922" s="849" t="s">
        <v>845</v>
      </c>
      <c r="CB922" s="852" t="s">
        <v>845</v>
      </c>
      <c r="CC922" s="852" t="s">
        <v>845</v>
      </c>
      <c r="CD922" s="852" t="s">
        <v>846</v>
      </c>
      <c r="CE922" s="852" t="s">
        <v>845</v>
      </c>
      <c r="CF922" s="852" t="s">
        <v>845</v>
      </c>
      <c r="CG922" s="852" t="s">
        <v>845</v>
      </c>
      <c r="CH922" s="852" t="s">
        <v>845</v>
      </c>
      <c r="CI922" s="852" t="s">
        <v>845</v>
      </c>
      <c r="CJ922" s="858" t="s">
        <v>845</v>
      </c>
      <c r="CK922" s="342">
        <f t="shared" si="18"/>
        <v>20.22003956</v>
      </c>
      <c r="CL922" s="333">
        <f t="shared" si="19"/>
        <v>20.22003956</v>
      </c>
      <c r="CM922" s="870"/>
      <c r="CN922" s="333"/>
      <c r="CO922" s="333"/>
      <c r="CP922" s="333"/>
    </row>
    <row r="923">
      <c r="B923" s="462" t="s">
        <v>1561</v>
      </c>
      <c r="C923" s="417">
        <v>44385.0</v>
      </c>
      <c r="D923" s="318"/>
      <c r="E923" s="319">
        <v>15.0</v>
      </c>
      <c r="F923" s="324" t="s">
        <v>1580</v>
      </c>
      <c r="G923" s="321">
        <v>0.5838541666666667</v>
      </c>
      <c r="H923" s="323">
        <v>0.5841435185185185</v>
      </c>
      <c r="I923" s="323"/>
      <c r="J923" s="323"/>
      <c r="K923" s="323">
        <v>0.5855324074074074</v>
      </c>
      <c r="L923" s="323">
        <v>0.001388888888888889</v>
      </c>
      <c r="M923" s="319" t="s">
        <v>166</v>
      </c>
      <c r="N923" s="324" t="s">
        <v>187</v>
      </c>
      <c r="O923" s="419" t="s">
        <v>202</v>
      </c>
      <c r="P923" s="319" t="s">
        <v>212</v>
      </c>
      <c r="Q923" s="318"/>
      <c r="R923" s="326">
        <v>24.4</v>
      </c>
      <c r="S923" s="319">
        <v>7.5</v>
      </c>
      <c r="T923" s="324">
        <v>0.57</v>
      </c>
      <c r="U923" s="319">
        <v>2.0</v>
      </c>
      <c r="V923" s="319"/>
      <c r="W923" s="319"/>
      <c r="X923" s="319"/>
      <c r="Y923" s="319"/>
      <c r="Z923" s="319" t="s">
        <v>339</v>
      </c>
      <c r="AA923" s="319"/>
      <c r="AB923" s="319" t="s">
        <v>333</v>
      </c>
      <c r="AC923" s="327">
        <v>2.0</v>
      </c>
      <c r="AD923" s="319"/>
      <c r="AE923" s="319"/>
      <c r="AF923" s="319"/>
      <c r="AG923" s="319"/>
      <c r="AH923" s="319"/>
      <c r="AI923" s="319"/>
      <c r="AJ923" s="327"/>
      <c r="AK923" s="328"/>
      <c r="AL923" s="319"/>
      <c r="AM923" s="319"/>
      <c r="AN923" s="319"/>
      <c r="AO923" s="319"/>
      <c r="AP923" s="319"/>
      <c r="AQ923" s="319"/>
      <c r="AR923" s="319"/>
      <c r="AS923" s="327"/>
      <c r="AT923" s="461" t="s">
        <v>182</v>
      </c>
      <c r="AU923" s="345" t="s">
        <v>845</v>
      </c>
      <c r="AV923" s="330">
        <f>SQRT(($R923-Infrastructure!J$3)^2+($S923-Infrastructure!K$3)^2)</f>
        <v>32.68103426</v>
      </c>
      <c r="AW923" s="331">
        <f>SQRT(($R923-Infrastructure!J$4)^2+($S923-Infrastructure!K$4)^2)</f>
        <v>26.76153957</v>
      </c>
      <c r="AX923" s="331">
        <f>SQRT(($R923-Infrastructure!J$5)^2+($S923-Infrastructure!K$5)^2)</f>
        <v>24.81632527</v>
      </c>
      <c r="AY923" s="331">
        <f>SQRT(($R923-Infrastructure!J$6)^2+($S923-Infrastructure!K$6)^2)</f>
        <v>16.01030918</v>
      </c>
      <c r="AZ923" s="331">
        <f>SQRT(($R923-Infrastructure!J$7)^2+($S923-Infrastructure!K$7)^2)</f>
        <v>8.188406438</v>
      </c>
      <c r="BA923" s="331">
        <f>SQRT(($R923-Infrastructure!J$8)^2+($S923-Infrastructure!K$8)^2)</f>
        <v>9.183136719</v>
      </c>
      <c r="BB923" s="331">
        <f>SQRT(($R923-Infrastructure!J$9)^2+($S923-Infrastructure!K$9)^2)</f>
        <v>15.78353573</v>
      </c>
      <c r="BC923" s="331">
        <f>SQRT(($R923-Infrastructure!J$10)^2+($S923-Infrastructure!K$10)^2)</f>
        <v>17.30924608</v>
      </c>
      <c r="BD923" s="331">
        <f>SQRT(($R923-Infrastructure!J$11)^2+($S923-Infrastructure!K$11)^2)</f>
        <v>26.68126684</v>
      </c>
      <c r="BE923" s="333">
        <f>SQRT(($R923-Infrastructure!J$12)^2+($S923-Infrastructure!K$12)^2)</f>
        <v>48.08752437</v>
      </c>
      <c r="BF923" s="330">
        <f t="shared" si="14"/>
        <v>8.188406438</v>
      </c>
      <c r="BG923" s="333">
        <f t="shared" si="15"/>
        <v>48.08752437</v>
      </c>
      <c r="BH923" s="334"/>
      <c r="BI923" s="316" t="s">
        <v>846</v>
      </c>
      <c r="BJ923" s="318" t="s">
        <v>846</v>
      </c>
      <c r="BK923" s="318" t="s">
        <v>846</v>
      </c>
      <c r="BL923" s="318" t="s">
        <v>846</v>
      </c>
      <c r="BM923" s="318" t="s">
        <v>846</v>
      </c>
      <c r="BN923" s="318" t="s">
        <v>846</v>
      </c>
      <c r="BO923" s="318" t="s">
        <v>846</v>
      </c>
      <c r="BP923" s="318" t="s">
        <v>846</v>
      </c>
      <c r="BQ923" s="318" t="s">
        <v>846</v>
      </c>
      <c r="BR923" s="332" t="s">
        <v>846</v>
      </c>
      <c r="BS923" s="330">
        <f t="shared" si="63"/>
        <v>8.188406438</v>
      </c>
      <c r="BT923" s="331">
        <f t="shared" si="64"/>
        <v>48.08752437</v>
      </c>
      <c r="BU923" s="868">
        <v>0.5838888888888889</v>
      </c>
      <c r="BV923" s="333"/>
      <c r="BW923" s="330">
        <v>20.9647058823529</v>
      </c>
      <c r="BX923" s="331">
        <v>14.4705882352941</v>
      </c>
      <c r="BY923" s="331">
        <f t="shared" si="65"/>
        <v>7.771122571</v>
      </c>
      <c r="BZ923" s="340"/>
      <c r="CA923" s="462" t="s">
        <v>846</v>
      </c>
      <c r="CB923" s="319" t="s">
        <v>846</v>
      </c>
      <c r="CC923" s="319" t="s">
        <v>846</v>
      </c>
      <c r="CD923" s="319" t="s">
        <v>846</v>
      </c>
      <c r="CE923" s="319" t="s">
        <v>846</v>
      </c>
      <c r="CF923" s="319" t="s">
        <v>846</v>
      </c>
      <c r="CG923" s="319" t="s">
        <v>846</v>
      </c>
      <c r="CH923" s="319" t="s">
        <v>846</v>
      </c>
      <c r="CI923" s="319" t="s">
        <v>846</v>
      </c>
      <c r="CJ923" s="327" t="s">
        <v>846</v>
      </c>
      <c r="CK923" s="342">
        <f t="shared" si="18"/>
        <v>8.188406438</v>
      </c>
      <c r="CL923" s="333">
        <f t="shared" si="19"/>
        <v>48.08752437</v>
      </c>
      <c r="CM923" s="872" t="s">
        <v>1581</v>
      </c>
      <c r="CN923" s="847"/>
      <c r="CO923" s="847"/>
      <c r="CP923" s="847"/>
    </row>
    <row r="924">
      <c r="B924" s="462" t="s">
        <v>1561</v>
      </c>
      <c r="C924" s="417">
        <v>44385.0</v>
      </c>
      <c r="D924" s="318"/>
      <c r="E924" s="319">
        <v>16.0</v>
      </c>
      <c r="F924" s="324" t="s">
        <v>1582</v>
      </c>
      <c r="G924" s="321">
        <v>0.5869212962962963</v>
      </c>
      <c r="H924" s="323">
        <v>0.5871527777777777</v>
      </c>
      <c r="I924" s="323"/>
      <c r="J924" s="323"/>
      <c r="K924" s="323">
        <v>0.5885416666666666</v>
      </c>
      <c r="L924" s="323">
        <v>0.001388888888888889</v>
      </c>
      <c r="M924" s="319" t="s">
        <v>166</v>
      </c>
      <c r="N924" s="324" t="s">
        <v>187</v>
      </c>
      <c r="O924" s="419" t="s">
        <v>202</v>
      </c>
      <c r="P924" s="319" t="s">
        <v>212</v>
      </c>
      <c r="Q924" s="318"/>
      <c r="R924" s="326">
        <v>24.4</v>
      </c>
      <c r="S924" s="319">
        <v>7.5</v>
      </c>
      <c r="T924" s="324">
        <v>0.57</v>
      </c>
      <c r="U924" s="319">
        <v>0.5</v>
      </c>
      <c r="V924" s="319"/>
      <c r="W924" s="319"/>
      <c r="X924" s="319"/>
      <c r="Y924" s="319"/>
      <c r="Z924" s="319" t="s">
        <v>339</v>
      </c>
      <c r="AA924" s="319"/>
      <c r="AB924" s="319" t="s">
        <v>333</v>
      </c>
      <c r="AC924" s="327">
        <v>2.0</v>
      </c>
      <c r="AD924" s="319"/>
      <c r="AE924" s="319"/>
      <c r="AF924" s="319"/>
      <c r="AG924" s="319"/>
      <c r="AH924" s="319"/>
      <c r="AI924" s="319"/>
      <c r="AJ924" s="327"/>
      <c r="AK924" s="328"/>
      <c r="AL924" s="319"/>
      <c r="AM924" s="319"/>
      <c r="AN924" s="319"/>
      <c r="AO924" s="319"/>
      <c r="AP924" s="319"/>
      <c r="AQ924" s="319"/>
      <c r="AR924" s="319"/>
      <c r="AS924" s="327"/>
      <c r="AT924" s="461" t="s">
        <v>181</v>
      </c>
      <c r="AU924" s="345" t="s">
        <v>845</v>
      </c>
      <c r="AV924" s="330">
        <f>SQRT(($R924-Infrastructure!J$3)^2+($S924-Infrastructure!K$3)^2)</f>
        <v>32.68103426</v>
      </c>
      <c r="AW924" s="331">
        <f>SQRT(($R924-Infrastructure!J$4)^2+($S924-Infrastructure!K$4)^2)</f>
        <v>26.76153957</v>
      </c>
      <c r="AX924" s="331">
        <f>SQRT(($R924-Infrastructure!J$5)^2+($S924-Infrastructure!K$5)^2)</f>
        <v>24.81632527</v>
      </c>
      <c r="AY924" s="331">
        <f>SQRT(($R924-Infrastructure!J$6)^2+($S924-Infrastructure!K$6)^2)</f>
        <v>16.01030918</v>
      </c>
      <c r="AZ924" s="331">
        <f>SQRT(($R924-Infrastructure!J$7)^2+($S924-Infrastructure!K$7)^2)</f>
        <v>8.188406438</v>
      </c>
      <c r="BA924" s="331">
        <f>SQRT(($R924-Infrastructure!J$8)^2+($S924-Infrastructure!K$8)^2)</f>
        <v>9.183136719</v>
      </c>
      <c r="BB924" s="331">
        <f>SQRT(($R924-Infrastructure!J$9)^2+($S924-Infrastructure!K$9)^2)</f>
        <v>15.78353573</v>
      </c>
      <c r="BC924" s="331">
        <f>SQRT(($R924-Infrastructure!J$10)^2+($S924-Infrastructure!K$10)^2)</f>
        <v>17.30924608</v>
      </c>
      <c r="BD924" s="331">
        <f>SQRT(($R924-Infrastructure!J$11)^2+($S924-Infrastructure!K$11)^2)</f>
        <v>26.68126684</v>
      </c>
      <c r="BE924" s="333">
        <f>SQRT(($R924-Infrastructure!J$12)^2+($S924-Infrastructure!K$12)^2)</f>
        <v>48.08752437</v>
      </c>
      <c r="BF924" s="330">
        <f t="shared" si="14"/>
        <v>8.188406438</v>
      </c>
      <c r="BG924" s="333">
        <f t="shared" si="15"/>
        <v>48.08752437</v>
      </c>
      <c r="BH924" s="334"/>
      <c r="BI924" s="316" t="s">
        <v>846</v>
      </c>
      <c r="BJ924" s="318" t="s">
        <v>845</v>
      </c>
      <c r="BK924" s="318" t="s">
        <v>845</v>
      </c>
      <c r="BL924" s="318" t="s">
        <v>845</v>
      </c>
      <c r="BM924" s="318" t="s">
        <v>845</v>
      </c>
      <c r="BN924" s="318" t="s">
        <v>846</v>
      </c>
      <c r="BO924" s="318" t="s">
        <v>846</v>
      </c>
      <c r="BP924" s="318" t="s">
        <v>846</v>
      </c>
      <c r="BQ924" s="318" t="s">
        <v>845</v>
      </c>
      <c r="BR924" s="332" t="s">
        <v>846</v>
      </c>
      <c r="BS924" s="330">
        <f t="shared" si="63"/>
        <v>9.183136719</v>
      </c>
      <c r="BT924" s="331">
        <f t="shared" si="64"/>
        <v>48.08752437</v>
      </c>
      <c r="BU924" s="868">
        <v>0.5874768518518518</v>
      </c>
      <c r="BV924" s="333"/>
      <c r="BW924" s="330">
        <v>17.66</v>
      </c>
      <c r="BX924" s="331">
        <v>10.45</v>
      </c>
      <c r="BY924" s="331">
        <f t="shared" si="65"/>
        <v>7.357316087</v>
      </c>
      <c r="BZ924" s="340"/>
      <c r="CA924" s="462" t="s">
        <v>845</v>
      </c>
      <c r="CB924" s="319" t="s">
        <v>845</v>
      </c>
      <c r="CC924" s="319" t="s">
        <v>845</v>
      </c>
      <c r="CD924" s="319" t="s">
        <v>845</v>
      </c>
      <c r="CE924" s="319" t="s">
        <v>845</v>
      </c>
      <c r="CF924" s="319" t="s">
        <v>845</v>
      </c>
      <c r="CG924" s="319" t="s">
        <v>845</v>
      </c>
      <c r="CH924" s="319" t="s">
        <v>845</v>
      </c>
      <c r="CI924" s="319" t="s">
        <v>845</v>
      </c>
      <c r="CJ924" s="327" t="s">
        <v>845</v>
      </c>
      <c r="CK924" s="342">
        <f t="shared" si="18"/>
        <v>0</v>
      </c>
      <c r="CL924" s="333">
        <f t="shared" si="19"/>
        <v>0</v>
      </c>
      <c r="CM924" s="872" t="s">
        <v>1583</v>
      </c>
      <c r="CN924" s="847"/>
      <c r="CO924" s="847"/>
      <c r="CP924" s="847"/>
    </row>
    <row r="925">
      <c r="B925" s="849" t="s">
        <v>1561</v>
      </c>
      <c r="C925" s="850">
        <v>44385.0</v>
      </c>
      <c r="D925" s="851"/>
      <c r="E925" s="852">
        <v>17.0</v>
      </c>
      <c r="F925" s="853" t="s">
        <v>1584</v>
      </c>
      <c r="G925" s="854">
        <v>0.5899305555555555</v>
      </c>
      <c r="H925" s="855">
        <v>0.5903935185185185</v>
      </c>
      <c r="I925" s="855"/>
      <c r="J925" s="855"/>
      <c r="K925" s="855">
        <v>0.5919560185185185</v>
      </c>
      <c r="L925" s="855">
        <v>0.0015625</v>
      </c>
      <c r="M925" s="852" t="s">
        <v>166</v>
      </c>
      <c r="N925" s="853" t="s">
        <v>187</v>
      </c>
      <c r="O925" s="856" t="s">
        <v>202</v>
      </c>
      <c r="P925" s="852" t="s">
        <v>212</v>
      </c>
      <c r="Q925" s="851"/>
      <c r="R925" s="857">
        <v>24.4</v>
      </c>
      <c r="S925" s="852">
        <v>7.5</v>
      </c>
      <c r="T925" s="853">
        <v>0.57</v>
      </c>
      <c r="U925" s="852">
        <v>0.25</v>
      </c>
      <c r="V925" s="852"/>
      <c r="W925" s="852"/>
      <c r="X925" s="852"/>
      <c r="Y925" s="852"/>
      <c r="Z925" s="852" t="s">
        <v>339</v>
      </c>
      <c r="AA925" s="852"/>
      <c r="AB925" s="852" t="s">
        <v>333</v>
      </c>
      <c r="AC925" s="858">
        <v>2.0</v>
      </c>
      <c r="AD925" s="852"/>
      <c r="AE925" s="852"/>
      <c r="AF925" s="852"/>
      <c r="AG925" s="852"/>
      <c r="AH925" s="852"/>
      <c r="AI925" s="852"/>
      <c r="AJ925" s="858"/>
      <c r="AK925" s="859"/>
      <c r="AL925" s="852"/>
      <c r="AM925" s="852"/>
      <c r="AN925" s="852"/>
      <c r="AO925" s="852"/>
      <c r="AP925" s="852"/>
      <c r="AQ925" s="852"/>
      <c r="AR925" s="852"/>
      <c r="AS925" s="858"/>
      <c r="AT925" s="860" t="s">
        <v>181</v>
      </c>
      <c r="AU925" s="861" t="s">
        <v>845</v>
      </c>
      <c r="AV925" s="862">
        <f>SQRT(($R925-Infrastructure!J$3)^2+($S925-Infrastructure!K$3)^2)</f>
        <v>32.68103426</v>
      </c>
      <c r="AW925" s="331">
        <f>SQRT(($R925-Infrastructure!J$4)^2+($S925-Infrastructure!K$4)^2)</f>
        <v>26.76153957</v>
      </c>
      <c r="AX925" s="863">
        <f>SQRT(($R925-Infrastructure!J$5)^2+($S925-Infrastructure!K$5)^2)</f>
        <v>24.81632527</v>
      </c>
      <c r="AY925" s="863">
        <f>SQRT(($R925-Infrastructure!J$6)^2+($S925-Infrastructure!K$6)^2)</f>
        <v>16.01030918</v>
      </c>
      <c r="AZ925" s="863">
        <f>SQRT(($R925-Infrastructure!J$7)^2+($S925-Infrastructure!K$7)^2)</f>
        <v>8.188406438</v>
      </c>
      <c r="BA925" s="863">
        <f>SQRT(($R925-Infrastructure!J$8)^2+($S925-Infrastructure!K$8)^2)</f>
        <v>9.183136719</v>
      </c>
      <c r="BB925" s="331">
        <f>SQRT(($R925-Infrastructure!J$9)^2+($S925-Infrastructure!K$9)^2)</f>
        <v>15.78353573</v>
      </c>
      <c r="BC925" s="863">
        <f>SQRT(($R925-Infrastructure!J$10)^2+($S925-Infrastructure!K$10)^2)</f>
        <v>17.30924608</v>
      </c>
      <c r="BD925" s="863">
        <f>SQRT(($R925-Infrastructure!J$11)^2+($S925-Infrastructure!K$11)^2)</f>
        <v>26.68126684</v>
      </c>
      <c r="BE925" s="864">
        <f>SQRT(($R925-Infrastructure!J$12)^2+($S925-Infrastructure!K$12)^2)</f>
        <v>48.08752437</v>
      </c>
      <c r="BF925" s="330">
        <f t="shared" si="14"/>
        <v>8.188406438</v>
      </c>
      <c r="BG925" s="333">
        <f t="shared" si="15"/>
        <v>48.08752437</v>
      </c>
      <c r="BH925" s="865"/>
      <c r="BI925" s="866" t="s">
        <v>845</v>
      </c>
      <c r="BJ925" s="851" t="s">
        <v>845</v>
      </c>
      <c r="BK925" s="851" t="s">
        <v>845</v>
      </c>
      <c r="BL925" s="851" t="s">
        <v>845</v>
      </c>
      <c r="BM925" s="851" t="s">
        <v>845</v>
      </c>
      <c r="BN925" s="851" t="s">
        <v>845</v>
      </c>
      <c r="BO925" s="851" t="s">
        <v>845</v>
      </c>
      <c r="BP925" s="851" t="s">
        <v>845</v>
      </c>
      <c r="BQ925" s="851" t="s">
        <v>845</v>
      </c>
      <c r="BR925" s="867" t="s">
        <v>845</v>
      </c>
      <c r="BS925" s="330">
        <f t="shared" si="63"/>
        <v>0</v>
      </c>
      <c r="BT925" s="331">
        <f t="shared" si="64"/>
        <v>0</v>
      </c>
      <c r="BU925" s="828"/>
      <c r="BV925" s="864"/>
      <c r="BW925" s="862"/>
      <c r="BX925" s="863"/>
      <c r="BY925" s="331" t="b">
        <f t="shared" si="65"/>
        <v>0</v>
      </c>
      <c r="BZ925" s="869"/>
      <c r="CA925" s="849" t="s">
        <v>845</v>
      </c>
      <c r="CB925" s="852" t="s">
        <v>845</v>
      </c>
      <c r="CC925" s="852" t="s">
        <v>845</v>
      </c>
      <c r="CD925" s="852" t="s">
        <v>845</v>
      </c>
      <c r="CE925" s="852" t="s">
        <v>845</v>
      </c>
      <c r="CF925" s="852" t="s">
        <v>845</v>
      </c>
      <c r="CG925" s="852" t="s">
        <v>845</v>
      </c>
      <c r="CH925" s="852" t="s">
        <v>845</v>
      </c>
      <c r="CI925" s="852" t="s">
        <v>845</v>
      </c>
      <c r="CJ925" s="858" t="s">
        <v>845</v>
      </c>
      <c r="CK925" s="342">
        <f t="shared" si="18"/>
        <v>0</v>
      </c>
      <c r="CL925" s="333">
        <f t="shared" si="19"/>
        <v>0</v>
      </c>
      <c r="CM925" s="873" t="s">
        <v>1583</v>
      </c>
      <c r="CN925" s="847"/>
      <c r="CO925" s="847"/>
      <c r="CP925" s="847"/>
    </row>
    <row r="926">
      <c r="B926" s="462" t="s">
        <v>1561</v>
      </c>
      <c r="C926" s="417">
        <v>44385.0</v>
      </c>
      <c r="D926" s="318"/>
      <c r="E926" s="319">
        <v>18.0</v>
      </c>
      <c r="F926" s="324" t="s">
        <v>1585</v>
      </c>
      <c r="G926" s="321">
        <v>0.5944444444444444</v>
      </c>
      <c r="H926" s="323">
        <v>0.5947337962962963</v>
      </c>
      <c r="I926" s="323"/>
      <c r="J926" s="323"/>
      <c r="K926" s="323">
        <v>0.5961226851851852</v>
      </c>
      <c r="L926" s="323">
        <v>0.001388888888888889</v>
      </c>
      <c r="M926" s="319" t="s">
        <v>166</v>
      </c>
      <c r="N926" s="324" t="s">
        <v>187</v>
      </c>
      <c r="O926" s="419" t="s">
        <v>202</v>
      </c>
      <c r="P926" s="319" t="s">
        <v>212</v>
      </c>
      <c r="Q926" s="318"/>
      <c r="R926" s="326">
        <v>24.4</v>
      </c>
      <c r="S926" s="319">
        <v>7.5</v>
      </c>
      <c r="T926" s="324">
        <v>0.57</v>
      </c>
      <c r="U926" s="319">
        <v>5.0</v>
      </c>
      <c r="V926" s="319"/>
      <c r="W926" s="319"/>
      <c r="X926" s="319"/>
      <c r="Y926" s="319"/>
      <c r="Z926" s="319" t="s">
        <v>339</v>
      </c>
      <c r="AA926" s="319"/>
      <c r="AB926" s="319" t="s">
        <v>341</v>
      </c>
      <c r="AC926" s="327">
        <v>3.0</v>
      </c>
      <c r="AD926" s="319"/>
      <c r="AE926" s="319"/>
      <c r="AF926" s="319"/>
      <c r="AG926" s="319"/>
      <c r="AH926" s="319"/>
      <c r="AI926" s="319"/>
      <c r="AJ926" s="327"/>
      <c r="AK926" s="328"/>
      <c r="AL926" s="319"/>
      <c r="AM926" s="319"/>
      <c r="AN926" s="319"/>
      <c r="AO926" s="319"/>
      <c r="AP926" s="319"/>
      <c r="AQ926" s="319"/>
      <c r="AR926" s="319"/>
      <c r="AS926" s="327"/>
      <c r="AT926" s="461" t="s">
        <v>182</v>
      </c>
      <c r="AU926" s="345" t="s">
        <v>845</v>
      </c>
      <c r="AV926" s="330">
        <f>SQRT(($R926-Infrastructure!J$3)^2+($S926-Infrastructure!K$3)^2)</f>
        <v>32.68103426</v>
      </c>
      <c r="AW926" s="331">
        <f>SQRT(($R926-Infrastructure!J$4)^2+($S926-Infrastructure!K$4)^2)</f>
        <v>26.76153957</v>
      </c>
      <c r="AX926" s="331">
        <f>SQRT(($R926-Infrastructure!J$5)^2+($S926-Infrastructure!K$5)^2)</f>
        <v>24.81632527</v>
      </c>
      <c r="AY926" s="331">
        <f>SQRT(($R926-Infrastructure!J$6)^2+($S926-Infrastructure!K$6)^2)</f>
        <v>16.01030918</v>
      </c>
      <c r="AZ926" s="331">
        <f>SQRT(($R926-Infrastructure!J$7)^2+($S926-Infrastructure!K$7)^2)</f>
        <v>8.188406438</v>
      </c>
      <c r="BA926" s="331">
        <f>SQRT(($R926-Infrastructure!J$8)^2+($S926-Infrastructure!K$8)^2)</f>
        <v>9.183136719</v>
      </c>
      <c r="BB926" s="331">
        <f>SQRT(($R926-Infrastructure!J$9)^2+($S926-Infrastructure!K$9)^2)</f>
        <v>15.78353573</v>
      </c>
      <c r="BC926" s="331">
        <f>SQRT(($R926-Infrastructure!J$10)^2+($S926-Infrastructure!K$10)^2)</f>
        <v>17.30924608</v>
      </c>
      <c r="BD926" s="331">
        <f>SQRT(($R926-Infrastructure!J$11)^2+($S926-Infrastructure!K$11)^2)</f>
        <v>26.68126684</v>
      </c>
      <c r="BE926" s="333">
        <f>SQRT(($R926-Infrastructure!J$12)^2+($S926-Infrastructure!K$12)^2)</f>
        <v>48.08752437</v>
      </c>
      <c r="BF926" s="330">
        <f t="shared" si="14"/>
        <v>8.188406438</v>
      </c>
      <c r="BG926" s="333">
        <f t="shared" si="15"/>
        <v>48.08752437</v>
      </c>
      <c r="BH926" s="334"/>
      <c r="BI926" s="316" t="s">
        <v>846</v>
      </c>
      <c r="BJ926" s="318" t="s">
        <v>846</v>
      </c>
      <c r="BK926" s="318" t="s">
        <v>846</v>
      </c>
      <c r="BL926" s="318" t="s">
        <v>846</v>
      </c>
      <c r="BM926" s="318" t="s">
        <v>846</v>
      </c>
      <c r="BN926" s="318" t="s">
        <v>846</v>
      </c>
      <c r="BO926" s="318" t="s">
        <v>846</v>
      </c>
      <c r="BP926" s="318" t="s">
        <v>846</v>
      </c>
      <c r="BQ926" s="318" t="s">
        <v>846</v>
      </c>
      <c r="BR926" s="332" t="s">
        <v>846</v>
      </c>
      <c r="BS926" s="330">
        <f t="shared" si="63"/>
        <v>8.188406438</v>
      </c>
      <c r="BT926" s="331">
        <f t="shared" si="64"/>
        <v>48.08752437</v>
      </c>
      <c r="BU926" s="868">
        <v>0.5946643518518518</v>
      </c>
      <c r="BV926" s="333"/>
      <c r="BW926" s="330">
        <v>20.0714285714285</v>
      </c>
      <c r="BX926" s="331">
        <v>15.3714285714285</v>
      </c>
      <c r="BY926" s="331">
        <f t="shared" si="65"/>
        <v>8.983090691</v>
      </c>
      <c r="BZ926" s="340"/>
      <c r="CA926" s="462" t="s">
        <v>846</v>
      </c>
      <c r="CB926" s="319" t="s">
        <v>846</v>
      </c>
      <c r="CC926" s="319" t="s">
        <v>846</v>
      </c>
      <c r="CD926" s="319" t="s">
        <v>846</v>
      </c>
      <c r="CE926" s="319" t="s">
        <v>846</v>
      </c>
      <c r="CF926" s="319" t="s">
        <v>846</v>
      </c>
      <c r="CG926" s="319" t="s">
        <v>846</v>
      </c>
      <c r="CH926" s="319" t="s">
        <v>846</v>
      </c>
      <c r="CI926" s="319" t="s">
        <v>846</v>
      </c>
      <c r="CJ926" s="327" t="s">
        <v>846</v>
      </c>
      <c r="CK926" s="342">
        <f t="shared" si="18"/>
        <v>8.188406438</v>
      </c>
      <c r="CL926" s="333">
        <f t="shared" si="19"/>
        <v>48.08752437</v>
      </c>
      <c r="CM926" s="829"/>
      <c r="CN926" s="333"/>
      <c r="CO926" s="333"/>
      <c r="CP926" s="333"/>
    </row>
    <row r="927">
      <c r="B927" s="462" t="s">
        <v>1561</v>
      </c>
      <c r="C927" s="417">
        <v>44385.0</v>
      </c>
      <c r="D927" s="318"/>
      <c r="E927" s="319">
        <v>19.0</v>
      </c>
      <c r="F927" s="324" t="s">
        <v>1586</v>
      </c>
      <c r="G927" s="321">
        <v>0.5975115740740741</v>
      </c>
      <c r="H927" s="323">
        <v>0.5978009259259259</v>
      </c>
      <c r="I927" s="323"/>
      <c r="J927" s="323"/>
      <c r="K927" s="323">
        <v>0.5992476851851852</v>
      </c>
      <c r="L927" s="323">
        <v>0.0014467592592592592</v>
      </c>
      <c r="M927" s="319" t="s">
        <v>166</v>
      </c>
      <c r="N927" s="324" t="s">
        <v>187</v>
      </c>
      <c r="O927" s="419" t="s">
        <v>202</v>
      </c>
      <c r="P927" s="319" t="s">
        <v>212</v>
      </c>
      <c r="Q927" s="318"/>
      <c r="R927" s="326">
        <v>24.4</v>
      </c>
      <c r="S927" s="319">
        <v>7.5</v>
      </c>
      <c r="T927" s="324">
        <v>0.57</v>
      </c>
      <c r="U927" s="319">
        <v>4.0</v>
      </c>
      <c r="V927" s="319"/>
      <c r="W927" s="319"/>
      <c r="X927" s="319"/>
      <c r="Y927" s="319"/>
      <c r="Z927" s="319" t="s">
        <v>339</v>
      </c>
      <c r="AA927" s="319"/>
      <c r="AB927" s="319" t="s">
        <v>341</v>
      </c>
      <c r="AC927" s="327">
        <v>3.0</v>
      </c>
      <c r="AD927" s="319"/>
      <c r="AE927" s="319"/>
      <c r="AF927" s="319"/>
      <c r="AG927" s="319"/>
      <c r="AH927" s="319"/>
      <c r="AI927" s="319"/>
      <c r="AJ927" s="327"/>
      <c r="AK927" s="328"/>
      <c r="AL927" s="319"/>
      <c r="AM927" s="319"/>
      <c r="AN927" s="319"/>
      <c r="AO927" s="319"/>
      <c r="AP927" s="319"/>
      <c r="AQ927" s="319"/>
      <c r="AR927" s="319"/>
      <c r="AS927" s="327"/>
      <c r="AT927" s="461" t="s">
        <v>182</v>
      </c>
      <c r="AU927" s="345" t="s">
        <v>845</v>
      </c>
      <c r="AV927" s="330">
        <f>SQRT(($R927-Infrastructure!J$3)^2+($S927-Infrastructure!K$3)^2)</f>
        <v>32.68103426</v>
      </c>
      <c r="AW927" s="331">
        <f>SQRT(($R927-Infrastructure!J$4)^2+($S927-Infrastructure!K$4)^2)</f>
        <v>26.76153957</v>
      </c>
      <c r="AX927" s="331">
        <f>SQRT(($R927-Infrastructure!J$5)^2+($S927-Infrastructure!K$5)^2)</f>
        <v>24.81632527</v>
      </c>
      <c r="AY927" s="331">
        <f>SQRT(($R927-Infrastructure!J$6)^2+($S927-Infrastructure!K$6)^2)</f>
        <v>16.01030918</v>
      </c>
      <c r="AZ927" s="331">
        <f>SQRT(($R927-Infrastructure!J$7)^2+($S927-Infrastructure!K$7)^2)</f>
        <v>8.188406438</v>
      </c>
      <c r="BA927" s="331">
        <f>SQRT(($R927-Infrastructure!J$8)^2+($S927-Infrastructure!K$8)^2)</f>
        <v>9.183136719</v>
      </c>
      <c r="BB927" s="331">
        <f>SQRT(($R927-Infrastructure!J$9)^2+($S927-Infrastructure!K$9)^2)</f>
        <v>15.78353573</v>
      </c>
      <c r="BC927" s="331">
        <f>SQRT(($R927-Infrastructure!J$10)^2+($S927-Infrastructure!K$10)^2)</f>
        <v>17.30924608</v>
      </c>
      <c r="BD927" s="331">
        <f>SQRT(($R927-Infrastructure!J$11)^2+($S927-Infrastructure!K$11)^2)</f>
        <v>26.68126684</v>
      </c>
      <c r="BE927" s="333">
        <f>SQRT(($R927-Infrastructure!J$12)^2+($S927-Infrastructure!K$12)^2)</f>
        <v>48.08752437</v>
      </c>
      <c r="BF927" s="330">
        <f t="shared" si="14"/>
        <v>8.188406438</v>
      </c>
      <c r="BG927" s="333">
        <f t="shared" si="15"/>
        <v>48.08752437</v>
      </c>
      <c r="BH927" s="334"/>
      <c r="BI927" s="316" t="s">
        <v>846</v>
      </c>
      <c r="BJ927" s="318" t="s">
        <v>846</v>
      </c>
      <c r="BK927" s="318" t="s">
        <v>846</v>
      </c>
      <c r="BL927" s="318" t="s">
        <v>846</v>
      </c>
      <c r="BM927" s="318" t="s">
        <v>846</v>
      </c>
      <c r="BN927" s="318" t="s">
        <v>846</v>
      </c>
      <c r="BO927" s="318" t="s">
        <v>846</v>
      </c>
      <c r="BP927" s="318" t="s">
        <v>846</v>
      </c>
      <c r="BQ927" s="318" t="s">
        <v>846</v>
      </c>
      <c r="BR927" s="332" t="s">
        <v>846</v>
      </c>
      <c r="BS927" s="330">
        <f t="shared" si="63"/>
        <v>8.188406438</v>
      </c>
      <c r="BT927" s="331">
        <f t="shared" si="64"/>
        <v>48.08752437</v>
      </c>
      <c r="BU927" s="868">
        <v>0.5975578703703703</v>
      </c>
      <c r="BV927" s="333"/>
      <c r="BW927" s="330">
        <v>19.6714285714285</v>
      </c>
      <c r="BX927" s="331">
        <v>15.2428571428571</v>
      </c>
      <c r="BY927" s="331">
        <f t="shared" si="65"/>
        <v>9.072553361</v>
      </c>
      <c r="BZ927" s="340"/>
      <c r="CA927" s="462" t="s">
        <v>846</v>
      </c>
      <c r="CB927" s="319" t="s">
        <v>846</v>
      </c>
      <c r="CC927" s="319" t="s">
        <v>846</v>
      </c>
      <c r="CD927" s="319" t="s">
        <v>846</v>
      </c>
      <c r="CE927" s="319" t="s">
        <v>846</v>
      </c>
      <c r="CF927" s="319" t="s">
        <v>846</v>
      </c>
      <c r="CG927" s="319" t="s">
        <v>846</v>
      </c>
      <c r="CH927" s="319" t="s">
        <v>846</v>
      </c>
      <c r="CI927" s="319" t="s">
        <v>846</v>
      </c>
      <c r="CJ927" s="327" t="s">
        <v>846</v>
      </c>
      <c r="CK927" s="342">
        <f t="shared" si="18"/>
        <v>8.188406438</v>
      </c>
      <c r="CL927" s="333">
        <f t="shared" si="19"/>
        <v>48.08752437</v>
      </c>
      <c r="CM927" s="829"/>
      <c r="CN927" s="333"/>
      <c r="CO927" s="333"/>
      <c r="CP927" s="333"/>
    </row>
    <row r="928">
      <c r="B928" s="462" t="s">
        <v>1561</v>
      </c>
      <c r="C928" s="417">
        <v>44385.0</v>
      </c>
      <c r="D928" s="318"/>
      <c r="E928" s="319">
        <v>20.0</v>
      </c>
      <c r="F928" s="324" t="s">
        <v>1587</v>
      </c>
      <c r="G928" s="321">
        <v>0.6006944444444444</v>
      </c>
      <c r="H928" s="323">
        <v>0.6010416666666667</v>
      </c>
      <c r="I928" s="323"/>
      <c r="J928" s="323"/>
      <c r="K928" s="323">
        <v>0.6024305555555556</v>
      </c>
      <c r="L928" s="323">
        <v>0.001388888888888889</v>
      </c>
      <c r="M928" s="319" t="s">
        <v>166</v>
      </c>
      <c r="N928" s="324" t="s">
        <v>187</v>
      </c>
      <c r="O928" s="419" t="s">
        <v>202</v>
      </c>
      <c r="P928" s="319" t="s">
        <v>212</v>
      </c>
      <c r="Q928" s="318"/>
      <c r="R928" s="326">
        <v>24.4</v>
      </c>
      <c r="S928" s="319">
        <v>7.5</v>
      </c>
      <c r="T928" s="324">
        <v>0.57</v>
      </c>
      <c r="U928" s="319">
        <v>3.0</v>
      </c>
      <c r="V928" s="319"/>
      <c r="W928" s="319"/>
      <c r="X928" s="319"/>
      <c r="Y928" s="319"/>
      <c r="Z928" s="319" t="s">
        <v>339</v>
      </c>
      <c r="AA928" s="319"/>
      <c r="AB928" s="319" t="s">
        <v>341</v>
      </c>
      <c r="AC928" s="327">
        <v>3.0</v>
      </c>
      <c r="AD928" s="319"/>
      <c r="AE928" s="319"/>
      <c r="AF928" s="319"/>
      <c r="AG928" s="319"/>
      <c r="AH928" s="319"/>
      <c r="AI928" s="319"/>
      <c r="AJ928" s="327"/>
      <c r="AK928" s="328"/>
      <c r="AL928" s="319"/>
      <c r="AM928" s="319"/>
      <c r="AN928" s="319"/>
      <c r="AO928" s="319"/>
      <c r="AP928" s="319"/>
      <c r="AQ928" s="319"/>
      <c r="AR928" s="319"/>
      <c r="AS928" s="327"/>
      <c r="AT928" s="461" t="s">
        <v>182</v>
      </c>
      <c r="AU928" s="345" t="s">
        <v>845</v>
      </c>
      <c r="AV928" s="330">
        <f>SQRT(($R928-Infrastructure!J$3)^2+($S928-Infrastructure!K$3)^2)</f>
        <v>32.68103426</v>
      </c>
      <c r="AW928" s="331">
        <f>SQRT(($R928-Infrastructure!J$4)^2+($S928-Infrastructure!K$4)^2)</f>
        <v>26.76153957</v>
      </c>
      <c r="AX928" s="331">
        <f>SQRT(($R928-Infrastructure!J$5)^2+($S928-Infrastructure!K$5)^2)</f>
        <v>24.81632527</v>
      </c>
      <c r="AY928" s="331">
        <f>SQRT(($R928-Infrastructure!J$6)^2+($S928-Infrastructure!K$6)^2)</f>
        <v>16.01030918</v>
      </c>
      <c r="AZ928" s="331">
        <f>SQRT(($R928-Infrastructure!J$7)^2+($S928-Infrastructure!K$7)^2)</f>
        <v>8.188406438</v>
      </c>
      <c r="BA928" s="331">
        <f>SQRT(($R928-Infrastructure!J$8)^2+($S928-Infrastructure!K$8)^2)</f>
        <v>9.183136719</v>
      </c>
      <c r="BB928" s="331">
        <f>SQRT(($R928-Infrastructure!J$9)^2+($S928-Infrastructure!K$9)^2)</f>
        <v>15.78353573</v>
      </c>
      <c r="BC928" s="331">
        <f>SQRT(($R928-Infrastructure!J$10)^2+($S928-Infrastructure!K$10)^2)</f>
        <v>17.30924608</v>
      </c>
      <c r="BD928" s="331">
        <f>SQRT(($R928-Infrastructure!J$11)^2+($S928-Infrastructure!K$11)^2)</f>
        <v>26.68126684</v>
      </c>
      <c r="BE928" s="333">
        <f>SQRT(($R928-Infrastructure!J$12)^2+($S928-Infrastructure!K$12)^2)</f>
        <v>48.08752437</v>
      </c>
      <c r="BF928" s="330">
        <f t="shared" si="14"/>
        <v>8.188406438</v>
      </c>
      <c r="BG928" s="333">
        <f t="shared" si="15"/>
        <v>48.08752437</v>
      </c>
      <c r="BH928" s="334"/>
      <c r="BI928" s="316" t="s">
        <v>846</v>
      </c>
      <c r="BJ928" s="318" t="s">
        <v>846</v>
      </c>
      <c r="BK928" s="318" t="s">
        <v>846</v>
      </c>
      <c r="BL928" s="318" t="s">
        <v>846</v>
      </c>
      <c r="BM928" s="318" t="s">
        <v>846</v>
      </c>
      <c r="BN928" s="318" t="s">
        <v>846</v>
      </c>
      <c r="BO928" s="318" t="s">
        <v>846</v>
      </c>
      <c r="BP928" s="318" t="s">
        <v>846</v>
      </c>
      <c r="BQ928" s="318" t="s">
        <v>846</v>
      </c>
      <c r="BR928" s="332" t="s">
        <v>846</v>
      </c>
      <c r="BS928" s="330">
        <f t="shared" si="63"/>
        <v>8.188406438</v>
      </c>
      <c r="BT928" s="331">
        <f t="shared" si="64"/>
        <v>48.08752437</v>
      </c>
      <c r="BU928" s="868">
        <v>0.600949074074074</v>
      </c>
      <c r="BV928" s="333"/>
      <c r="BW928" s="330">
        <v>20.1714285714285</v>
      </c>
      <c r="BX928" s="331">
        <v>15.3428571428571</v>
      </c>
      <c r="BY928" s="331">
        <f t="shared" si="65"/>
        <v>8.910175334</v>
      </c>
      <c r="BZ928" s="340"/>
      <c r="CA928" s="462" t="s">
        <v>846</v>
      </c>
      <c r="CB928" s="319" t="s">
        <v>846</v>
      </c>
      <c r="CC928" s="319" t="s">
        <v>846</v>
      </c>
      <c r="CD928" s="319" t="s">
        <v>846</v>
      </c>
      <c r="CE928" s="319" t="s">
        <v>846</v>
      </c>
      <c r="CF928" s="319" t="s">
        <v>846</v>
      </c>
      <c r="CG928" s="319" t="s">
        <v>846</v>
      </c>
      <c r="CH928" s="319" t="s">
        <v>846</v>
      </c>
      <c r="CI928" s="319" t="s">
        <v>846</v>
      </c>
      <c r="CJ928" s="327" t="s">
        <v>846</v>
      </c>
      <c r="CK928" s="342">
        <f t="shared" si="18"/>
        <v>8.188406438</v>
      </c>
      <c r="CL928" s="333">
        <f t="shared" si="19"/>
        <v>48.08752437</v>
      </c>
      <c r="CM928" s="829"/>
      <c r="CN928" s="333"/>
      <c r="CO928" s="333"/>
      <c r="CP928" s="333"/>
    </row>
    <row r="929">
      <c r="B929" s="462" t="s">
        <v>1561</v>
      </c>
      <c r="C929" s="417">
        <v>44385.0</v>
      </c>
      <c r="D929" s="318"/>
      <c r="E929" s="319" t="s">
        <v>1588</v>
      </c>
      <c r="F929" s="324" t="s">
        <v>1589</v>
      </c>
      <c r="G929" s="321">
        <v>0.6038194444444445</v>
      </c>
      <c r="H929" s="323">
        <v>0.6041666666666666</v>
      </c>
      <c r="I929" s="323"/>
      <c r="J929" s="323"/>
      <c r="K929" s="323">
        <v>0.6056134259259259</v>
      </c>
      <c r="L929" s="323">
        <v>0.0014467592592592592</v>
      </c>
      <c r="M929" s="319" t="s">
        <v>166</v>
      </c>
      <c r="N929" s="324" t="s">
        <v>187</v>
      </c>
      <c r="O929" s="419" t="s">
        <v>202</v>
      </c>
      <c r="P929" s="319" t="s">
        <v>212</v>
      </c>
      <c r="Q929" s="318"/>
      <c r="R929" s="326">
        <v>24.4</v>
      </c>
      <c r="S929" s="319">
        <v>7.5</v>
      </c>
      <c r="T929" s="324">
        <v>0.57</v>
      </c>
      <c r="U929" s="319">
        <v>2.0</v>
      </c>
      <c r="V929" s="319"/>
      <c r="W929" s="319"/>
      <c r="X929" s="319"/>
      <c r="Y929" s="319"/>
      <c r="Z929" s="319" t="s">
        <v>339</v>
      </c>
      <c r="AA929" s="319"/>
      <c r="AB929" s="319" t="s">
        <v>341</v>
      </c>
      <c r="AC929" s="327">
        <v>3.0</v>
      </c>
      <c r="AD929" s="319"/>
      <c r="AE929" s="319"/>
      <c r="AF929" s="319"/>
      <c r="AG929" s="319"/>
      <c r="AH929" s="319"/>
      <c r="AI929" s="319"/>
      <c r="AJ929" s="327"/>
      <c r="AK929" s="328"/>
      <c r="AL929" s="319"/>
      <c r="AM929" s="319"/>
      <c r="AN929" s="319"/>
      <c r="AO929" s="319"/>
      <c r="AP929" s="319"/>
      <c r="AQ929" s="319"/>
      <c r="AR929" s="319"/>
      <c r="AS929" s="327"/>
      <c r="AT929" s="461" t="s">
        <v>182</v>
      </c>
      <c r="AU929" s="345" t="s">
        <v>845</v>
      </c>
      <c r="AV929" s="330">
        <f>SQRT(($R929-Infrastructure!J$3)^2+($S929-Infrastructure!K$3)^2)</f>
        <v>32.68103426</v>
      </c>
      <c r="AW929" s="331">
        <f>SQRT(($R929-Infrastructure!J$4)^2+($S929-Infrastructure!K$4)^2)</f>
        <v>26.76153957</v>
      </c>
      <c r="AX929" s="331">
        <f>SQRT(($R929-Infrastructure!J$5)^2+($S929-Infrastructure!K$5)^2)</f>
        <v>24.81632527</v>
      </c>
      <c r="AY929" s="331">
        <f>SQRT(($R929-Infrastructure!J$6)^2+($S929-Infrastructure!K$6)^2)</f>
        <v>16.01030918</v>
      </c>
      <c r="AZ929" s="331">
        <f>SQRT(($R929-Infrastructure!J$7)^2+($S929-Infrastructure!K$7)^2)</f>
        <v>8.188406438</v>
      </c>
      <c r="BA929" s="331">
        <f>SQRT(($R929-Infrastructure!J$8)^2+($S929-Infrastructure!K$8)^2)</f>
        <v>9.183136719</v>
      </c>
      <c r="BB929" s="331">
        <f>SQRT(($R929-Infrastructure!J$9)^2+($S929-Infrastructure!K$9)^2)</f>
        <v>15.78353573</v>
      </c>
      <c r="BC929" s="331">
        <f>SQRT(($R929-Infrastructure!J$10)^2+($S929-Infrastructure!K$10)^2)</f>
        <v>17.30924608</v>
      </c>
      <c r="BD929" s="331">
        <f>SQRT(($R929-Infrastructure!J$11)^2+($S929-Infrastructure!K$11)^2)</f>
        <v>26.68126684</v>
      </c>
      <c r="BE929" s="333">
        <f>SQRT(($R929-Infrastructure!J$12)^2+($S929-Infrastructure!K$12)^2)</f>
        <v>48.08752437</v>
      </c>
      <c r="BF929" s="330">
        <f t="shared" si="14"/>
        <v>8.188406438</v>
      </c>
      <c r="BG929" s="333">
        <f t="shared" si="15"/>
        <v>48.08752437</v>
      </c>
      <c r="BH929" s="334"/>
      <c r="BI929" s="316" t="s">
        <v>846</v>
      </c>
      <c r="BJ929" s="318" t="s">
        <v>846</v>
      </c>
      <c r="BK929" s="318" t="s">
        <v>846</v>
      </c>
      <c r="BL929" s="318" t="s">
        <v>846</v>
      </c>
      <c r="BM929" s="318" t="s">
        <v>846</v>
      </c>
      <c r="BN929" s="318" t="s">
        <v>846</v>
      </c>
      <c r="BO929" s="318" t="s">
        <v>846</v>
      </c>
      <c r="BP929" s="318" t="s">
        <v>846</v>
      </c>
      <c r="BQ929" s="318" t="s">
        <v>845</v>
      </c>
      <c r="BR929" s="332" t="s">
        <v>846</v>
      </c>
      <c r="BS929" s="330">
        <f t="shared" si="63"/>
        <v>8.188406438</v>
      </c>
      <c r="BT929" s="331">
        <f t="shared" si="64"/>
        <v>48.08752437</v>
      </c>
      <c r="BU929" s="868">
        <v>0.603900462962963</v>
      </c>
      <c r="BV929" s="333"/>
      <c r="BW929" s="330">
        <v>23.696</v>
      </c>
      <c r="BX929" s="331">
        <v>12.488</v>
      </c>
      <c r="BY929" s="331">
        <f t="shared" si="65"/>
        <v>5.037435856</v>
      </c>
      <c r="BZ929" s="340"/>
      <c r="CA929" s="462" t="s">
        <v>846</v>
      </c>
      <c r="CB929" s="319" t="s">
        <v>846</v>
      </c>
      <c r="CC929" s="319" t="s">
        <v>846</v>
      </c>
      <c r="CD929" s="319" t="s">
        <v>846</v>
      </c>
      <c r="CE929" s="319" t="s">
        <v>846</v>
      </c>
      <c r="CF929" s="319" t="s">
        <v>846</v>
      </c>
      <c r="CG929" s="319" t="s">
        <v>846</v>
      </c>
      <c r="CH929" s="319" t="s">
        <v>846</v>
      </c>
      <c r="CI929" s="319" t="s">
        <v>846</v>
      </c>
      <c r="CJ929" s="327" t="s">
        <v>846</v>
      </c>
      <c r="CK929" s="342">
        <f t="shared" si="18"/>
        <v>8.188406438</v>
      </c>
      <c r="CL929" s="333">
        <f t="shared" si="19"/>
        <v>48.08752437</v>
      </c>
      <c r="CM929" s="829"/>
      <c r="CN929" s="333"/>
      <c r="CO929" s="333"/>
      <c r="CP929" s="333"/>
    </row>
    <row r="930">
      <c r="B930" s="462" t="s">
        <v>1561</v>
      </c>
      <c r="C930" s="417">
        <v>44385.0</v>
      </c>
      <c r="D930" s="318"/>
      <c r="E930" s="319" t="s">
        <v>1590</v>
      </c>
      <c r="F930" s="324" t="s">
        <v>1591</v>
      </c>
      <c r="G930" s="321">
        <v>0.6070023148148148</v>
      </c>
      <c r="H930" s="323">
        <v>0.6074652777777778</v>
      </c>
      <c r="I930" s="323"/>
      <c r="J930" s="323"/>
      <c r="K930" s="323">
        <v>0.6088541666666667</v>
      </c>
      <c r="L930" s="323">
        <v>0.001388888888888889</v>
      </c>
      <c r="M930" s="319" t="s">
        <v>166</v>
      </c>
      <c r="N930" s="324" t="s">
        <v>187</v>
      </c>
      <c r="O930" s="419" t="s">
        <v>202</v>
      </c>
      <c r="P930" s="319" t="s">
        <v>212</v>
      </c>
      <c r="Q930" s="318"/>
      <c r="R930" s="326">
        <v>24.4</v>
      </c>
      <c r="S930" s="319">
        <v>7.5</v>
      </c>
      <c r="T930" s="324">
        <v>0.57</v>
      </c>
      <c r="U930" s="319">
        <v>1.0</v>
      </c>
      <c r="V930" s="319"/>
      <c r="W930" s="319"/>
      <c r="X930" s="319"/>
      <c r="Y930" s="319"/>
      <c r="Z930" s="319" t="s">
        <v>339</v>
      </c>
      <c r="AA930" s="319"/>
      <c r="AB930" s="319" t="s">
        <v>341</v>
      </c>
      <c r="AC930" s="327">
        <v>3.0</v>
      </c>
      <c r="AD930" s="319"/>
      <c r="AE930" s="319"/>
      <c r="AF930" s="319"/>
      <c r="AG930" s="319"/>
      <c r="AH930" s="319"/>
      <c r="AI930" s="319"/>
      <c r="AJ930" s="327"/>
      <c r="AK930" s="328"/>
      <c r="AL930" s="319"/>
      <c r="AM930" s="319"/>
      <c r="AN930" s="319"/>
      <c r="AO930" s="319"/>
      <c r="AP930" s="319"/>
      <c r="AQ930" s="319"/>
      <c r="AR930" s="319"/>
      <c r="AS930" s="327"/>
      <c r="AT930" s="461" t="s">
        <v>182</v>
      </c>
      <c r="AU930" s="345" t="s">
        <v>845</v>
      </c>
      <c r="AV930" s="330">
        <f>SQRT(($R930-Infrastructure!J$3)^2+($S930-Infrastructure!K$3)^2)</f>
        <v>32.68103426</v>
      </c>
      <c r="AW930" s="331">
        <f>SQRT(($R930-Infrastructure!J$4)^2+($S930-Infrastructure!K$4)^2)</f>
        <v>26.76153957</v>
      </c>
      <c r="AX930" s="331">
        <f>SQRT(($R930-Infrastructure!J$5)^2+($S930-Infrastructure!K$5)^2)</f>
        <v>24.81632527</v>
      </c>
      <c r="AY930" s="331">
        <f>SQRT(($R930-Infrastructure!J$6)^2+($S930-Infrastructure!K$6)^2)</f>
        <v>16.01030918</v>
      </c>
      <c r="AZ930" s="331">
        <f>SQRT(($R930-Infrastructure!J$7)^2+($S930-Infrastructure!K$7)^2)</f>
        <v>8.188406438</v>
      </c>
      <c r="BA930" s="331">
        <f>SQRT(($R930-Infrastructure!J$8)^2+($S930-Infrastructure!K$8)^2)</f>
        <v>9.183136719</v>
      </c>
      <c r="BB930" s="331">
        <f>SQRT(($R930-Infrastructure!J$9)^2+($S930-Infrastructure!K$9)^2)</f>
        <v>15.78353573</v>
      </c>
      <c r="BC930" s="331">
        <f>SQRT(($R930-Infrastructure!J$10)^2+($S930-Infrastructure!K$10)^2)</f>
        <v>17.30924608</v>
      </c>
      <c r="BD930" s="331">
        <f>SQRT(($R930-Infrastructure!J$11)^2+($S930-Infrastructure!K$11)^2)</f>
        <v>26.68126684</v>
      </c>
      <c r="BE930" s="333">
        <f>SQRT(($R930-Infrastructure!J$12)^2+($S930-Infrastructure!K$12)^2)</f>
        <v>48.08752437</v>
      </c>
      <c r="BF930" s="330">
        <f t="shared" si="14"/>
        <v>8.188406438</v>
      </c>
      <c r="BG930" s="333">
        <f t="shared" si="15"/>
        <v>48.08752437</v>
      </c>
      <c r="BH930" s="334"/>
      <c r="BI930" s="316" t="s">
        <v>846</v>
      </c>
      <c r="BJ930" s="318" t="s">
        <v>845</v>
      </c>
      <c r="BK930" s="318" t="s">
        <v>845</v>
      </c>
      <c r="BL930" s="318" t="s">
        <v>846</v>
      </c>
      <c r="BM930" s="318" t="s">
        <v>846</v>
      </c>
      <c r="BN930" s="318" t="s">
        <v>846</v>
      </c>
      <c r="BO930" s="318" t="s">
        <v>846</v>
      </c>
      <c r="BP930" s="318" t="s">
        <v>846</v>
      </c>
      <c r="BQ930" s="318" t="s">
        <v>845</v>
      </c>
      <c r="BR930" s="332" t="s">
        <v>846</v>
      </c>
      <c r="BS930" s="330">
        <f t="shared" si="63"/>
        <v>8.188406438</v>
      </c>
      <c r="BT930" s="331">
        <f t="shared" si="64"/>
        <v>48.08752437</v>
      </c>
      <c r="BU930" s="868">
        <v>0.607037037037037</v>
      </c>
      <c r="BV930" s="333"/>
      <c r="BW930" s="330">
        <v>21.6079999999999</v>
      </c>
      <c r="BX930" s="331">
        <v>10.036</v>
      </c>
      <c r="BY930" s="331">
        <f t="shared" si="65"/>
        <v>3.771811236</v>
      </c>
      <c r="BZ930" s="340"/>
      <c r="CA930" s="462" t="s">
        <v>846</v>
      </c>
      <c r="CB930" s="319" t="s">
        <v>846</v>
      </c>
      <c r="CC930" s="319" t="s">
        <v>846</v>
      </c>
      <c r="CD930" s="319" t="s">
        <v>846</v>
      </c>
      <c r="CE930" s="319" t="s">
        <v>846</v>
      </c>
      <c r="CF930" s="319" t="s">
        <v>846</v>
      </c>
      <c r="CG930" s="319" t="s">
        <v>846</v>
      </c>
      <c r="CH930" s="319" t="s">
        <v>846</v>
      </c>
      <c r="CI930" s="319" t="s">
        <v>846</v>
      </c>
      <c r="CJ930" s="327" t="s">
        <v>846</v>
      </c>
      <c r="CK930" s="342">
        <f t="shared" si="18"/>
        <v>8.188406438</v>
      </c>
      <c r="CL930" s="333">
        <f t="shared" si="19"/>
        <v>48.08752437</v>
      </c>
      <c r="CM930" s="829"/>
      <c r="CN930" s="333"/>
      <c r="CO930" s="333"/>
      <c r="CP930" s="333"/>
    </row>
    <row r="931">
      <c r="B931" s="849" t="s">
        <v>1561</v>
      </c>
      <c r="C931" s="850">
        <v>44385.0</v>
      </c>
      <c r="D931" s="851"/>
      <c r="E931" s="852" t="s">
        <v>1592</v>
      </c>
      <c r="F931" s="853" t="s">
        <v>1593</v>
      </c>
      <c r="G931" s="854">
        <v>0.6102430555555556</v>
      </c>
      <c r="H931" s="855">
        <v>0.610474537037037</v>
      </c>
      <c r="I931" s="855"/>
      <c r="J931" s="855"/>
      <c r="K931" s="855">
        <v>0.6119212962962963</v>
      </c>
      <c r="L931" s="855">
        <v>0.0014467592592592592</v>
      </c>
      <c r="M931" s="852" t="s">
        <v>166</v>
      </c>
      <c r="N931" s="853" t="s">
        <v>187</v>
      </c>
      <c r="O931" s="856" t="s">
        <v>202</v>
      </c>
      <c r="P931" s="852" t="s">
        <v>212</v>
      </c>
      <c r="Q931" s="851"/>
      <c r="R931" s="857">
        <v>24.4</v>
      </c>
      <c r="S931" s="852">
        <v>7.5</v>
      </c>
      <c r="T931" s="853">
        <v>0.57</v>
      </c>
      <c r="U931" s="852">
        <v>0.5</v>
      </c>
      <c r="V931" s="852"/>
      <c r="W931" s="852"/>
      <c r="X931" s="852"/>
      <c r="Y931" s="852"/>
      <c r="Z931" s="852" t="s">
        <v>339</v>
      </c>
      <c r="AA931" s="852"/>
      <c r="AB931" s="852" t="s">
        <v>341</v>
      </c>
      <c r="AC931" s="858">
        <v>3.0</v>
      </c>
      <c r="AD931" s="852"/>
      <c r="AE931" s="852"/>
      <c r="AF931" s="852"/>
      <c r="AG931" s="852"/>
      <c r="AH931" s="852"/>
      <c r="AI931" s="852"/>
      <c r="AJ931" s="858"/>
      <c r="AK931" s="859"/>
      <c r="AL931" s="852"/>
      <c r="AM931" s="852"/>
      <c r="AN931" s="852"/>
      <c r="AO931" s="852"/>
      <c r="AP931" s="852"/>
      <c r="AQ931" s="852"/>
      <c r="AR931" s="852"/>
      <c r="AS931" s="858"/>
      <c r="AT931" s="860" t="s">
        <v>181</v>
      </c>
      <c r="AU931" s="861" t="s">
        <v>845</v>
      </c>
      <c r="AV931" s="862">
        <f>SQRT(($R931-Infrastructure!J$3)^2+($S931-Infrastructure!K$3)^2)</f>
        <v>32.68103426</v>
      </c>
      <c r="AW931" s="331">
        <f>SQRT(($R931-Infrastructure!J$4)^2+($S931-Infrastructure!K$4)^2)</f>
        <v>26.76153957</v>
      </c>
      <c r="AX931" s="863">
        <f>SQRT(($R931-Infrastructure!J$5)^2+($S931-Infrastructure!K$5)^2)</f>
        <v>24.81632527</v>
      </c>
      <c r="AY931" s="863">
        <f>SQRT(($R931-Infrastructure!J$6)^2+($S931-Infrastructure!K$6)^2)</f>
        <v>16.01030918</v>
      </c>
      <c r="AZ931" s="863">
        <f>SQRT(($R931-Infrastructure!J$7)^2+($S931-Infrastructure!K$7)^2)</f>
        <v>8.188406438</v>
      </c>
      <c r="BA931" s="863">
        <f>SQRT(($R931-Infrastructure!J$8)^2+($S931-Infrastructure!K$8)^2)</f>
        <v>9.183136719</v>
      </c>
      <c r="BB931" s="331">
        <f>SQRT(($R931-Infrastructure!J$9)^2+($S931-Infrastructure!K$9)^2)</f>
        <v>15.78353573</v>
      </c>
      <c r="BC931" s="863">
        <f>SQRT(($R931-Infrastructure!J$10)^2+($S931-Infrastructure!K$10)^2)</f>
        <v>17.30924608</v>
      </c>
      <c r="BD931" s="863">
        <f>SQRT(($R931-Infrastructure!J$11)^2+($S931-Infrastructure!K$11)^2)</f>
        <v>26.68126684</v>
      </c>
      <c r="BE931" s="864">
        <f>SQRT(($R931-Infrastructure!J$12)^2+($S931-Infrastructure!K$12)^2)</f>
        <v>48.08752437</v>
      </c>
      <c r="BF931" s="330">
        <f t="shared" si="14"/>
        <v>8.188406438</v>
      </c>
      <c r="BG931" s="333">
        <f t="shared" si="15"/>
        <v>48.08752437</v>
      </c>
      <c r="BH931" s="865"/>
      <c r="BI931" s="866" t="s">
        <v>845</v>
      </c>
      <c r="BJ931" s="851" t="s">
        <v>845</v>
      </c>
      <c r="BK931" s="851" t="s">
        <v>845</v>
      </c>
      <c r="BL931" s="851" t="s">
        <v>845</v>
      </c>
      <c r="BM931" s="851" t="s">
        <v>845</v>
      </c>
      <c r="BN931" s="851" t="s">
        <v>845</v>
      </c>
      <c r="BO931" s="851" t="s">
        <v>845</v>
      </c>
      <c r="BP931" s="851" t="s">
        <v>845</v>
      </c>
      <c r="BQ931" s="851" t="s">
        <v>845</v>
      </c>
      <c r="BR931" s="867" t="s">
        <v>846</v>
      </c>
      <c r="BS931" s="330">
        <f t="shared" si="63"/>
        <v>48.08752437</v>
      </c>
      <c r="BT931" s="331">
        <f t="shared" si="64"/>
        <v>48.08752437</v>
      </c>
      <c r="BU931" s="874">
        <v>0.6107870370370371</v>
      </c>
      <c r="BV931" s="864"/>
      <c r="BW931" s="862"/>
      <c r="BX931" s="863"/>
      <c r="BY931" s="331" t="b">
        <f t="shared" si="65"/>
        <v>0</v>
      </c>
      <c r="BZ931" s="869"/>
      <c r="CA931" s="849" t="s">
        <v>846</v>
      </c>
      <c r="CB931" s="851"/>
      <c r="CC931" s="852"/>
      <c r="CD931" s="852" t="s">
        <v>846</v>
      </c>
      <c r="CE931" s="852" t="s">
        <v>846</v>
      </c>
      <c r="CF931" s="852" t="s">
        <v>846</v>
      </c>
      <c r="CG931" s="852" t="s">
        <v>846</v>
      </c>
      <c r="CH931" s="852"/>
      <c r="CI931" s="851"/>
      <c r="CJ931" s="858" t="s">
        <v>846</v>
      </c>
      <c r="CK931" s="342">
        <f t="shared" si="18"/>
        <v>8.188406438</v>
      </c>
      <c r="CL931" s="333">
        <f t="shared" si="19"/>
        <v>48.08752437</v>
      </c>
      <c r="CM931" s="870"/>
      <c r="CN931" s="333"/>
      <c r="CO931" s="333"/>
      <c r="CP931" s="333"/>
    </row>
    <row r="932">
      <c r="B932" s="462" t="s">
        <v>1561</v>
      </c>
      <c r="C932" s="417">
        <v>44385.0</v>
      </c>
      <c r="D932" s="318"/>
      <c r="E932" s="319">
        <v>22.0</v>
      </c>
      <c r="F932" s="324" t="s">
        <v>1594</v>
      </c>
      <c r="G932" s="321">
        <v>0.6207175925925926</v>
      </c>
      <c r="H932" s="323">
        <v>0.6210648148148148</v>
      </c>
      <c r="I932" s="323"/>
      <c r="J932" s="323"/>
      <c r="K932" s="323">
        <v>0.6225115740740741</v>
      </c>
      <c r="L932" s="323">
        <v>0.0014467592592592592</v>
      </c>
      <c r="M932" s="319" t="s">
        <v>166</v>
      </c>
      <c r="N932" s="324" t="s">
        <v>188</v>
      </c>
      <c r="O932" s="419" t="s">
        <v>378</v>
      </c>
      <c r="P932" s="319" t="s">
        <v>225</v>
      </c>
      <c r="Q932" s="319" t="s">
        <v>842</v>
      </c>
      <c r="R932" s="326">
        <v>22.7</v>
      </c>
      <c r="S932" s="319">
        <v>39.7</v>
      </c>
      <c r="T932" s="324">
        <v>1.1</v>
      </c>
      <c r="U932" s="319">
        <v>7.0</v>
      </c>
      <c r="V932" s="319"/>
      <c r="W932" s="319"/>
      <c r="X932" s="319"/>
      <c r="Y932" s="319"/>
      <c r="Z932" s="319" t="s">
        <v>383</v>
      </c>
      <c r="AA932" s="319"/>
      <c r="AB932" s="319" t="s">
        <v>407</v>
      </c>
      <c r="AC932" s="327">
        <v>15.75</v>
      </c>
      <c r="AD932" s="319"/>
      <c r="AE932" s="319"/>
      <c r="AF932" s="319"/>
      <c r="AG932" s="319"/>
      <c r="AH932" s="319"/>
      <c r="AI932" s="319"/>
      <c r="AJ932" s="327"/>
      <c r="AK932" s="328"/>
      <c r="AL932" s="319"/>
      <c r="AM932" s="319"/>
      <c r="AN932" s="319"/>
      <c r="AO932" s="319"/>
      <c r="AP932" s="319"/>
      <c r="AQ932" s="319"/>
      <c r="AR932" s="319"/>
      <c r="AS932" s="327"/>
      <c r="AT932" s="461" t="s">
        <v>182</v>
      </c>
      <c r="AU932" s="345" t="s">
        <v>845</v>
      </c>
      <c r="AV932" s="330">
        <f>SQRT(($R932-Infrastructure!J$3)^2+($S932-Infrastructure!K$3)^2)</f>
        <v>25.40944706</v>
      </c>
      <c r="AW932" s="331">
        <f>SQRT(($R932-Infrastructure!J$4)^2+($S932-Infrastructure!K$4)^2)</f>
        <v>31.75862088</v>
      </c>
      <c r="AX932" s="331">
        <f>SQRT(($R932-Infrastructure!J$5)^2+($S932-Infrastructure!K$5)^2)</f>
        <v>41.54708173</v>
      </c>
      <c r="AY932" s="331">
        <f>SQRT(($R932-Infrastructure!J$6)^2+($S932-Infrastructure!K$6)^2)</f>
        <v>41.36568626</v>
      </c>
      <c r="AZ932" s="331">
        <f>SQRT(($R932-Infrastructure!J$7)^2+($S932-Infrastructure!K$7)^2)</f>
        <v>39.46137352</v>
      </c>
      <c r="BA932" s="331">
        <f>SQRT(($R932-Infrastructure!J$8)^2+($S932-Infrastructure!K$8)^2)</f>
        <v>40.08890121</v>
      </c>
      <c r="BB932" s="331">
        <f>SQRT(($R932-Infrastructure!J$9)^2+($S932-Infrastructure!K$9)^2)</f>
        <v>38.68397601</v>
      </c>
      <c r="BC932" s="331">
        <f>SQRT(($R932-Infrastructure!J$10)^2+($S932-Infrastructure!K$10)^2)</f>
        <v>30.15592811</v>
      </c>
      <c r="BD932" s="331">
        <f>SQRT(($R932-Infrastructure!J$11)^2+($S932-Infrastructure!K$11)^2)</f>
        <v>20.51194774</v>
      </c>
      <c r="BE932" s="333">
        <f>SQRT(($R932-Infrastructure!J$12)^2+($S932-Infrastructure!K$12)^2)</f>
        <v>15.84550409</v>
      </c>
      <c r="BF932" s="330">
        <f t="shared" si="14"/>
        <v>15.84550409</v>
      </c>
      <c r="BG932" s="333">
        <f t="shared" si="15"/>
        <v>41.54708173</v>
      </c>
      <c r="BH932" s="334"/>
      <c r="BI932" s="316" t="s">
        <v>845</v>
      </c>
      <c r="BJ932" s="318" t="s">
        <v>846</v>
      </c>
      <c r="BK932" s="318" t="s">
        <v>845</v>
      </c>
      <c r="BL932" s="318" t="s">
        <v>845</v>
      </c>
      <c r="BM932" s="318" t="s">
        <v>845</v>
      </c>
      <c r="BN932" s="318" t="s">
        <v>845</v>
      </c>
      <c r="BO932" s="318" t="s">
        <v>845</v>
      </c>
      <c r="BP932" s="318" t="s">
        <v>845</v>
      </c>
      <c r="BQ932" s="318" t="s">
        <v>845</v>
      </c>
      <c r="BR932" s="332" t="s">
        <v>846</v>
      </c>
      <c r="BS932" s="330">
        <f t="shared" si="63"/>
        <v>15.84550409</v>
      </c>
      <c r="BT932" s="331">
        <f t="shared" si="64"/>
        <v>31.75862088</v>
      </c>
      <c r="BU932" s="871">
        <v>0.6220486111111111</v>
      </c>
      <c r="BV932" s="333"/>
      <c r="BW932" s="330"/>
      <c r="BX932" s="331"/>
      <c r="BY932" s="331" t="b">
        <f t="shared" si="65"/>
        <v>0</v>
      </c>
      <c r="BZ932" s="340"/>
      <c r="CA932" s="462" t="s">
        <v>845</v>
      </c>
      <c r="CB932" s="319" t="s">
        <v>845</v>
      </c>
      <c r="CC932" s="319" t="s">
        <v>845</v>
      </c>
      <c r="CD932" s="319" t="s">
        <v>845</v>
      </c>
      <c r="CE932" s="319" t="s">
        <v>845</v>
      </c>
      <c r="CF932" s="319" t="s">
        <v>845</v>
      </c>
      <c r="CG932" s="319" t="s">
        <v>845</v>
      </c>
      <c r="CH932" s="319" t="s">
        <v>845</v>
      </c>
      <c r="CI932" s="319" t="s">
        <v>845</v>
      </c>
      <c r="CJ932" s="327" t="s">
        <v>845</v>
      </c>
      <c r="CK932" s="342">
        <f t="shared" si="18"/>
        <v>0</v>
      </c>
      <c r="CL932" s="333">
        <f t="shared" si="19"/>
        <v>0</v>
      </c>
      <c r="CM932" s="829"/>
      <c r="CN932" s="333"/>
      <c r="CO932" s="333"/>
      <c r="CP932" s="333"/>
    </row>
    <row r="933">
      <c r="B933" s="462" t="s">
        <v>1561</v>
      </c>
      <c r="C933" s="417">
        <v>44385.0</v>
      </c>
      <c r="D933" s="318"/>
      <c r="E933" s="319">
        <v>23.0</v>
      </c>
      <c r="F933" s="324" t="s">
        <v>1595</v>
      </c>
      <c r="G933" s="321">
        <v>0.623900462962963</v>
      </c>
      <c r="H933" s="323">
        <v>0.6244212962962963</v>
      </c>
      <c r="I933" s="323"/>
      <c r="J933" s="323"/>
      <c r="K933" s="323">
        <v>0.6258101851851852</v>
      </c>
      <c r="L933" s="323">
        <v>0.001388888888888889</v>
      </c>
      <c r="M933" s="319" t="s">
        <v>166</v>
      </c>
      <c r="N933" s="324" t="s">
        <v>188</v>
      </c>
      <c r="O933" s="419" t="s">
        <v>378</v>
      </c>
      <c r="P933" s="319" t="s">
        <v>225</v>
      </c>
      <c r="Q933" s="319" t="s">
        <v>842</v>
      </c>
      <c r="R933" s="326">
        <v>22.7</v>
      </c>
      <c r="S933" s="319">
        <v>39.7</v>
      </c>
      <c r="T933" s="324">
        <v>1.1</v>
      </c>
      <c r="U933" s="319">
        <v>6.0</v>
      </c>
      <c r="V933" s="319"/>
      <c r="W933" s="319"/>
      <c r="X933" s="319"/>
      <c r="Y933" s="319"/>
      <c r="Z933" s="319" t="s">
        <v>383</v>
      </c>
      <c r="AA933" s="319"/>
      <c r="AB933" s="319" t="s">
        <v>407</v>
      </c>
      <c r="AC933" s="327">
        <v>15.75</v>
      </c>
      <c r="AD933" s="319"/>
      <c r="AE933" s="319"/>
      <c r="AF933" s="319"/>
      <c r="AG933" s="319"/>
      <c r="AH933" s="319"/>
      <c r="AI933" s="319"/>
      <c r="AJ933" s="327"/>
      <c r="AK933" s="328"/>
      <c r="AL933" s="319"/>
      <c r="AM933" s="319"/>
      <c r="AN933" s="319"/>
      <c r="AO933" s="319"/>
      <c r="AP933" s="319"/>
      <c r="AQ933" s="319"/>
      <c r="AR933" s="319"/>
      <c r="AS933" s="327"/>
      <c r="AT933" s="461" t="s">
        <v>182</v>
      </c>
      <c r="AU933" s="345" t="s">
        <v>845</v>
      </c>
      <c r="AV933" s="330">
        <f>SQRT(($R933-Infrastructure!J$3)^2+($S933-Infrastructure!K$3)^2)</f>
        <v>25.40944706</v>
      </c>
      <c r="AW933" s="331">
        <f>SQRT(($R933-Infrastructure!J$4)^2+($S933-Infrastructure!K$4)^2)</f>
        <v>31.75862088</v>
      </c>
      <c r="AX933" s="331">
        <f>SQRT(($R933-Infrastructure!J$5)^2+($S933-Infrastructure!K$5)^2)</f>
        <v>41.54708173</v>
      </c>
      <c r="AY933" s="331">
        <f>SQRT(($R933-Infrastructure!J$6)^2+($S933-Infrastructure!K$6)^2)</f>
        <v>41.36568626</v>
      </c>
      <c r="AZ933" s="331">
        <f>SQRT(($R933-Infrastructure!J$7)^2+($S933-Infrastructure!K$7)^2)</f>
        <v>39.46137352</v>
      </c>
      <c r="BA933" s="331">
        <f>SQRT(($R933-Infrastructure!J$8)^2+($S933-Infrastructure!K$8)^2)</f>
        <v>40.08890121</v>
      </c>
      <c r="BB933" s="331">
        <f>SQRT(($R933-Infrastructure!J$9)^2+($S933-Infrastructure!K$9)^2)</f>
        <v>38.68397601</v>
      </c>
      <c r="BC933" s="331">
        <f>SQRT(($R933-Infrastructure!J$10)^2+($S933-Infrastructure!K$10)^2)</f>
        <v>30.15592811</v>
      </c>
      <c r="BD933" s="331">
        <f>SQRT(($R933-Infrastructure!J$11)^2+($S933-Infrastructure!K$11)^2)</f>
        <v>20.51194774</v>
      </c>
      <c r="BE933" s="333">
        <f>SQRT(($R933-Infrastructure!J$12)^2+($S933-Infrastructure!K$12)^2)</f>
        <v>15.84550409</v>
      </c>
      <c r="BF933" s="330">
        <f t="shared" si="14"/>
        <v>15.84550409</v>
      </c>
      <c r="BG933" s="333">
        <f t="shared" si="15"/>
        <v>41.54708173</v>
      </c>
      <c r="BH933" s="334"/>
      <c r="BI933" s="316" t="s">
        <v>845</v>
      </c>
      <c r="BJ933" s="318" t="s">
        <v>845</v>
      </c>
      <c r="BK933" s="318" t="s">
        <v>845</v>
      </c>
      <c r="BL933" s="318" t="s">
        <v>845</v>
      </c>
      <c r="BM933" s="318" t="s">
        <v>845</v>
      </c>
      <c r="BN933" s="318" t="s">
        <v>845</v>
      </c>
      <c r="BO933" s="318" t="s">
        <v>845</v>
      </c>
      <c r="BP933" s="318" t="s">
        <v>845</v>
      </c>
      <c r="BQ933" s="318" t="s">
        <v>845</v>
      </c>
      <c r="BR933" s="332" t="s">
        <v>845</v>
      </c>
      <c r="BS933" s="330">
        <f t="shared" si="63"/>
        <v>0</v>
      </c>
      <c r="BT933" s="331">
        <f t="shared" si="64"/>
        <v>0</v>
      </c>
      <c r="BU933" s="828"/>
      <c r="BV933" s="333"/>
      <c r="BW933" s="330"/>
      <c r="BX933" s="331"/>
      <c r="BY933" s="331" t="b">
        <f t="shared" si="65"/>
        <v>0</v>
      </c>
      <c r="BZ933" s="340"/>
      <c r="CA933" s="462" t="s">
        <v>845</v>
      </c>
      <c r="CB933" s="319" t="s">
        <v>845</v>
      </c>
      <c r="CC933" s="319" t="s">
        <v>845</v>
      </c>
      <c r="CD933" s="319" t="s">
        <v>845</v>
      </c>
      <c r="CE933" s="319" t="s">
        <v>845</v>
      </c>
      <c r="CF933" s="319" t="s">
        <v>845</v>
      </c>
      <c r="CG933" s="319" t="s">
        <v>845</v>
      </c>
      <c r="CH933" s="319" t="s">
        <v>845</v>
      </c>
      <c r="CI933" s="319" t="s">
        <v>845</v>
      </c>
      <c r="CJ933" s="327" t="s">
        <v>845</v>
      </c>
      <c r="CK933" s="342">
        <f t="shared" si="18"/>
        <v>0</v>
      </c>
      <c r="CL933" s="333">
        <f t="shared" si="19"/>
        <v>0</v>
      </c>
      <c r="CM933" s="829"/>
      <c r="CN933" s="333"/>
      <c r="CO933" s="333"/>
      <c r="CP933" s="333"/>
    </row>
    <row r="934">
      <c r="B934" s="462" t="s">
        <v>1561</v>
      </c>
      <c r="C934" s="417">
        <v>44385.0</v>
      </c>
      <c r="D934" s="318"/>
      <c r="E934" s="319">
        <v>24.0</v>
      </c>
      <c r="F934" s="324" t="s">
        <v>1596</v>
      </c>
      <c r="G934" s="321">
        <v>0.6272569444444445</v>
      </c>
      <c r="H934" s="323">
        <v>0.6277777777777778</v>
      </c>
      <c r="I934" s="323"/>
      <c r="J934" s="323"/>
      <c r="K934" s="323">
        <v>0.6292245370370371</v>
      </c>
      <c r="L934" s="323">
        <v>0.0014467592592592592</v>
      </c>
      <c r="M934" s="319" t="s">
        <v>166</v>
      </c>
      <c r="N934" s="324" t="s">
        <v>188</v>
      </c>
      <c r="O934" s="419" t="s">
        <v>378</v>
      </c>
      <c r="P934" s="319" t="s">
        <v>225</v>
      </c>
      <c r="Q934" s="319" t="s">
        <v>842</v>
      </c>
      <c r="R934" s="326">
        <v>22.7</v>
      </c>
      <c r="S934" s="319">
        <v>39.7</v>
      </c>
      <c r="T934" s="324">
        <v>1.1</v>
      </c>
      <c r="U934" s="319">
        <v>5.0</v>
      </c>
      <c r="V934" s="319"/>
      <c r="W934" s="319"/>
      <c r="X934" s="319"/>
      <c r="Y934" s="319"/>
      <c r="Z934" s="319" t="s">
        <v>383</v>
      </c>
      <c r="AA934" s="319"/>
      <c r="AB934" s="319" t="s">
        <v>407</v>
      </c>
      <c r="AC934" s="327">
        <v>15.75</v>
      </c>
      <c r="AD934" s="319"/>
      <c r="AE934" s="319"/>
      <c r="AF934" s="319"/>
      <c r="AG934" s="319"/>
      <c r="AH934" s="319"/>
      <c r="AI934" s="319"/>
      <c r="AJ934" s="327"/>
      <c r="AK934" s="328"/>
      <c r="AL934" s="319"/>
      <c r="AM934" s="319"/>
      <c r="AN934" s="319"/>
      <c r="AO934" s="319"/>
      <c r="AP934" s="319"/>
      <c r="AQ934" s="319"/>
      <c r="AR934" s="319"/>
      <c r="AS934" s="327"/>
      <c r="AT934" s="461" t="s">
        <v>182</v>
      </c>
      <c r="AU934" s="345" t="s">
        <v>845</v>
      </c>
      <c r="AV934" s="330">
        <f>SQRT(($R934-Infrastructure!J$3)^2+($S934-Infrastructure!K$3)^2)</f>
        <v>25.40944706</v>
      </c>
      <c r="AW934" s="331">
        <f>SQRT(($R934-Infrastructure!J$4)^2+($S934-Infrastructure!K$4)^2)</f>
        <v>31.75862088</v>
      </c>
      <c r="AX934" s="331">
        <f>SQRT(($R934-Infrastructure!J$5)^2+($S934-Infrastructure!K$5)^2)</f>
        <v>41.54708173</v>
      </c>
      <c r="AY934" s="331">
        <f>SQRT(($R934-Infrastructure!J$6)^2+($S934-Infrastructure!K$6)^2)</f>
        <v>41.36568626</v>
      </c>
      <c r="AZ934" s="331">
        <f>SQRT(($R934-Infrastructure!J$7)^2+($S934-Infrastructure!K$7)^2)</f>
        <v>39.46137352</v>
      </c>
      <c r="BA934" s="331">
        <f>SQRT(($R934-Infrastructure!J$8)^2+($S934-Infrastructure!K$8)^2)</f>
        <v>40.08890121</v>
      </c>
      <c r="BB934" s="331">
        <f>SQRT(($R934-Infrastructure!J$9)^2+($S934-Infrastructure!K$9)^2)</f>
        <v>38.68397601</v>
      </c>
      <c r="BC934" s="331">
        <f>SQRT(($R934-Infrastructure!J$10)^2+($S934-Infrastructure!K$10)^2)</f>
        <v>30.15592811</v>
      </c>
      <c r="BD934" s="331">
        <f>SQRT(($R934-Infrastructure!J$11)^2+($S934-Infrastructure!K$11)^2)</f>
        <v>20.51194774</v>
      </c>
      <c r="BE934" s="333">
        <f>SQRT(($R934-Infrastructure!J$12)^2+($S934-Infrastructure!K$12)^2)</f>
        <v>15.84550409</v>
      </c>
      <c r="BF934" s="330">
        <f t="shared" si="14"/>
        <v>15.84550409</v>
      </c>
      <c r="BG934" s="333">
        <f t="shared" si="15"/>
        <v>41.54708173</v>
      </c>
      <c r="BH934" s="334"/>
      <c r="BI934" s="316" t="s">
        <v>845</v>
      </c>
      <c r="BJ934" s="318" t="s">
        <v>845</v>
      </c>
      <c r="BK934" s="318" t="s">
        <v>845</v>
      </c>
      <c r="BL934" s="318" t="s">
        <v>845</v>
      </c>
      <c r="BM934" s="318" t="s">
        <v>845</v>
      </c>
      <c r="BN934" s="318" t="s">
        <v>846</v>
      </c>
      <c r="BO934" s="318" t="s">
        <v>845</v>
      </c>
      <c r="BP934" s="318" t="s">
        <v>845</v>
      </c>
      <c r="BQ934" s="318" t="s">
        <v>845</v>
      </c>
      <c r="BR934" s="332" t="s">
        <v>845</v>
      </c>
      <c r="BS934" s="330">
        <f t="shared" si="63"/>
        <v>40.08890121</v>
      </c>
      <c r="BT934" s="331">
        <f t="shared" si="64"/>
        <v>40.08890121</v>
      </c>
      <c r="BU934" s="871">
        <v>0.6275810185185186</v>
      </c>
      <c r="BV934" s="333"/>
      <c r="BW934" s="330"/>
      <c r="BX934" s="331"/>
      <c r="BY934" s="331" t="b">
        <f t="shared" si="65"/>
        <v>0</v>
      </c>
      <c r="BZ934" s="340"/>
      <c r="CA934" s="462" t="s">
        <v>845</v>
      </c>
      <c r="CB934" s="319" t="s">
        <v>845</v>
      </c>
      <c r="CC934" s="319" t="s">
        <v>845</v>
      </c>
      <c r="CD934" s="319" t="s">
        <v>845</v>
      </c>
      <c r="CE934" s="319" t="s">
        <v>845</v>
      </c>
      <c r="CF934" s="319" t="s">
        <v>845</v>
      </c>
      <c r="CG934" s="319" t="s">
        <v>845</v>
      </c>
      <c r="CH934" s="319" t="s">
        <v>845</v>
      </c>
      <c r="CI934" s="319" t="s">
        <v>845</v>
      </c>
      <c r="CJ934" s="327" t="s">
        <v>845</v>
      </c>
      <c r="CK934" s="342">
        <f t="shared" si="18"/>
        <v>0</v>
      </c>
      <c r="CL934" s="333">
        <f t="shared" si="19"/>
        <v>0</v>
      </c>
      <c r="CM934" s="829"/>
      <c r="CN934" s="333"/>
      <c r="CO934" s="333"/>
      <c r="CP934" s="333"/>
    </row>
    <row r="935">
      <c r="B935" s="462" t="s">
        <v>1561</v>
      </c>
      <c r="C935" s="417">
        <v>44385.0</v>
      </c>
      <c r="D935" s="318"/>
      <c r="E935" s="319">
        <v>25.0</v>
      </c>
      <c r="F935" s="324" t="s">
        <v>1597</v>
      </c>
      <c r="G935" s="321">
        <v>0.6305555555555555</v>
      </c>
      <c r="H935" s="323">
        <v>0.6307291666666667</v>
      </c>
      <c r="I935" s="323"/>
      <c r="J935" s="323"/>
      <c r="K935" s="323">
        <v>0.6321180555555556</v>
      </c>
      <c r="L935" s="323">
        <v>0.001388888888888889</v>
      </c>
      <c r="M935" s="319" t="s">
        <v>166</v>
      </c>
      <c r="N935" s="324" t="s">
        <v>188</v>
      </c>
      <c r="O935" s="419" t="s">
        <v>378</v>
      </c>
      <c r="P935" s="319" t="s">
        <v>225</v>
      </c>
      <c r="Q935" s="319" t="s">
        <v>842</v>
      </c>
      <c r="R935" s="326">
        <v>22.7</v>
      </c>
      <c r="S935" s="319">
        <v>39.7</v>
      </c>
      <c r="T935" s="324">
        <v>1.1</v>
      </c>
      <c r="U935" s="319">
        <v>4.0</v>
      </c>
      <c r="V935" s="319"/>
      <c r="W935" s="319"/>
      <c r="X935" s="319"/>
      <c r="Y935" s="319"/>
      <c r="Z935" s="319" t="s">
        <v>383</v>
      </c>
      <c r="AA935" s="319"/>
      <c r="AB935" s="319" t="s">
        <v>407</v>
      </c>
      <c r="AC935" s="327">
        <v>15.75</v>
      </c>
      <c r="AD935" s="319"/>
      <c r="AE935" s="319"/>
      <c r="AF935" s="319"/>
      <c r="AG935" s="319"/>
      <c r="AH935" s="319"/>
      <c r="AI935" s="319"/>
      <c r="AJ935" s="327"/>
      <c r="AK935" s="328"/>
      <c r="AL935" s="319"/>
      <c r="AM935" s="319"/>
      <c r="AN935" s="319"/>
      <c r="AO935" s="319"/>
      <c r="AP935" s="319"/>
      <c r="AQ935" s="319"/>
      <c r="AR935" s="319"/>
      <c r="AS935" s="327"/>
      <c r="AT935" s="461" t="s">
        <v>182</v>
      </c>
      <c r="AU935" s="345" t="s">
        <v>845</v>
      </c>
      <c r="AV935" s="330">
        <f>SQRT(($R935-Infrastructure!J$3)^2+($S935-Infrastructure!K$3)^2)</f>
        <v>25.40944706</v>
      </c>
      <c r="AW935" s="331">
        <f>SQRT(($R935-Infrastructure!J$4)^2+($S935-Infrastructure!K$4)^2)</f>
        <v>31.75862088</v>
      </c>
      <c r="AX935" s="331">
        <f>SQRT(($R935-Infrastructure!J$5)^2+($S935-Infrastructure!K$5)^2)</f>
        <v>41.54708173</v>
      </c>
      <c r="AY935" s="331">
        <f>SQRT(($R935-Infrastructure!J$6)^2+($S935-Infrastructure!K$6)^2)</f>
        <v>41.36568626</v>
      </c>
      <c r="AZ935" s="331">
        <f>SQRT(($R935-Infrastructure!J$7)^2+($S935-Infrastructure!K$7)^2)</f>
        <v>39.46137352</v>
      </c>
      <c r="BA935" s="331">
        <f>SQRT(($R935-Infrastructure!J$8)^2+($S935-Infrastructure!K$8)^2)</f>
        <v>40.08890121</v>
      </c>
      <c r="BB935" s="331">
        <f>SQRT(($R935-Infrastructure!J$9)^2+($S935-Infrastructure!K$9)^2)</f>
        <v>38.68397601</v>
      </c>
      <c r="BC935" s="331">
        <f>SQRT(($R935-Infrastructure!J$10)^2+($S935-Infrastructure!K$10)^2)</f>
        <v>30.15592811</v>
      </c>
      <c r="BD935" s="331">
        <f>SQRT(($R935-Infrastructure!J$11)^2+($S935-Infrastructure!K$11)^2)</f>
        <v>20.51194774</v>
      </c>
      <c r="BE935" s="333">
        <f>SQRT(($R935-Infrastructure!J$12)^2+($S935-Infrastructure!K$12)^2)</f>
        <v>15.84550409</v>
      </c>
      <c r="BF935" s="330">
        <f t="shared" si="14"/>
        <v>15.84550409</v>
      </c>
      <c r="BG935" s="333">
        <f t="shared" si="15"/>
        <v>41.54708173</v>
      </c>
      <c r="BH935" s="334"/>
      <c r="BI935" s="316" t="s">
        <v>845</v>
      </c>
      <c r="BJ935" s="318" t="s">
        <v>845</v>
      </c>
      <c r="BK935" s="318" t="s">
        <v>845</v>
      </c>
      <c r="BL935" s="318" t="s">
        <v>845</v>
      </c>
      <c r="BM935" s="318" t="s">
        <v>845</v>
      </c>
      <c r="BN935" s="318" t="s">
        <v>845</v>
      </c>
      <c r="BO935" s="318" t="s">
        <v>845</v>
      </c>
      <c r="BP935" s="318" t="s">
        <v>845</v>
      </c>
      <c r="BQ935" s="318" t="s">
        <v>845</v>
      </c>
      <c r="BR935" s="332" t="s">
        <v>845</v>
      </c>
      <c r="BS935" s="330">
        <f t="shared" si="63"/>
        <v>0</v>
      </c>
      <c r="BT935" s="331">
        <f t="shared" si="64"/>
        <v>0</v>
      </c>
      <c r="BU935" s="828"/>
      <c r="BV935" s="333"/>
      <c r="BW935" s="330"/>
      <c r="BX935" s="331"/>
      <c r="BY935" s="331" t="b">
        <f t="shared" si="65"/>
        <v>0</v>
      </c>
      <c r="BZ935" s="340"/>
      <c r="CA935" s="462" t="s">
        <v>845</v>
      </c>
      <c r="CB935" s="319" t="s">
        <v>845</v>
      </c>
      <c r="CC935" s="319" t="s">
        <v>845</v>
      </c>
      <c r="CD935" s="319" t="s">
        <v>845</v>
      </c>
      <c r="CE935" s="319" t="s">
        <v>845</v>
      </c>
      <c r="CF935" s="319" t="s">
        <v>845</v>
      </c>
      <c r="CG935" s="319" t="s">
        <v>845</v>
      </c>
      <c r="CH935" s="319" t="s">
        <v>845</v>
      </c>
      <c r="CI935" s="319" t="s">
        <v>845</v>
      </c>
      <c r="CJ935" s="327" t="s">
        <v>845</v>
      </c>
      <c r="CK935" s="342">
        <f t="shared" si="18"/>
        <v>0</v>
      </c>
      <c r="CL935" s="333">
        <f t="shared" si="19"/>
        <v>0</v>
      </c>
      <c r="CM935" s="829"/>
      <c r="CN935" s="333"/>
      <c r="CO935" s="333"/>
      <c r="CP935" s="333"/>
    </row>
    <row r="936">
      <c r="B936" s="462" t="s">
        <v>1561</v>
      </c>
      <c r="C936" s="417">
        <v>44385.0</v>
      </c>
      <c r="D936" s="318"/>
      <c r="E936" s="319">
        <v>26.0</v>
      </c>
      <c r="F936" s="324" t="s">
        <v>1598</v>
      </c>
      <c r="G936" s="321">
        <v>0.633449074074074</v>
      </c>
      <c r="H936" s="323">
        <v>0.6338541666666667</v>
      </c>
      <c r="I936" s="323"/>
      <c r="J936" s="323"/>
      <c r="K936" s="323">
        <v>0.6354166666666666</v>
      </c>
      <c r="L936" s="323">
        <v>0.0015625</v>
      </c>
      <c r="M936" s="319" t="s">
        <v>166</v>
      </c>
      <c r="N936" s="324" t="s">
        <v>188</v>
      </c>
      <c r="O936" s="419" t="s">
        <v>378</v>
      </c>
      <c r="P936" s="319" t="s">
        <v>225</v>
      </c>
      <c r="Q936" s="319" t="s">
        <v>842</v>
      </c>
      <c r="R936" s="326">
        <v>22.7</v>
      </c>
      <c r="S936" s="319">
        <v>39.7</v>
      </c>
      <c r="T936" s="324">
        <v>1.1</v>
      </c>
      <c r="U936" s="319">
        <v>3.0</v>
      </c>
      <c r="V936" s="319"/>
      <c r="W936" s="319"/>
      <c r="X936" s="319"/>
      <c r="Y936" s="319"/>
      <c r="Z936" s="319" t="s">
        <v>383</v>
      </c>
      <c r="AA936" s="319"/>
      <c r="AB936" s="319" t="s">
        <v>407</v>
      </c>
      <c r="AC936" s="327">
        <v>15.75</v>
      </c>
      <c r="AD936" s="319"/>
      <c r="AE936" s="319"/>
      <c r="AF936" s="319"/>
      <c r="AG936" s="319"/>
      <c r="AH936" s="319"/>
      <c r="AI936" s="319"/>
      <c r="AJ936" s="327"/>
      <c r="AK936" s="328"/>
      <c r="AL936" s="319"/>
      <c r="AM936" s="319"/>
      <c r="AN936" s="319"/>
      <c r="AO936" s="319"/>
      <c r="AP936" s="319"/>
      <c r="AQ936" s="319"/>
      <c r="AR936" s="319"/>
      <c r="AS936" s="327"/>
      <c r="AT936" s="461" t="s">
        <v>182</v>
      </c>
      <c r="AU936" s="345" t="s">
        <v>845</v>
      </c>
      <c r="AV936" s="330">
        <f>SQRT(($R936-Infrastructure!J$3)^2+($S936-Infrastructure!K$3)^2)</f>
        <v>25.40944706</v>
      </c>
      <c r="AW936" s="331">
        <f>SQRT(($R936-Infrastructure!J$4)^2+($S936-Infrastructure!K$4)^2)</f>
        <v>31.75862088</v>
      </c>
      <c r="AX936" s="331">
        <f>SQRT(($R936-Infrastructure!J$5)^2+($S936-Infrastructure!K$5)^2)</f>
        <v>41.54708173</v>
      </c>
      <c r="AY936" s="331">
        <f>SQRT(($R936-Infrastructure!J$6)^2+($S936-Infrastructure!K$6)^2)</f>
        <v>41.36568626</v>
      </c>
      <c r="AZ936" s="331">
        <f>SQRT(($R936-Infrastructure!J$7)^2+($S936-Infrastructure!K$7)^2)</f>
        <v>39.46137352</v>
      </c>
      <c r="BA936" s="331">
        <f>SQRT(($R936-Infrastructure!J$8)^2+($S936-Infrastructure!K$8)^2)</f>
        <v>40.08890121</v>
      </c>
      <c r="BB936" s="331">
        <f>SQRT(($R936-Infrastructure!J$9)^2+($S936-Infrastructure!K$9)^2)</f>
        <v>38.68397601</v>
      </c>
      <c r="BC936" s="331">
        <f>SQRT(($R936-Infrastructure!J$10)^2+($S936-Infrastructure!K$10)^2)</f>
        <v>30.15592811</v>
      </c>
      <c r="BD936" s="331">
        <f>SQRT(($R936-Infrastructure!J$11)^2+($S936-Infrastructure!K$11)^2)</f>
        <v>20.51194774</v>
      </c>
      <c r="BE936" s="333">
        <f>SQRT(($R936-Infrastructure!J$12)^2+($S936-Infrastructure!K$12)^2)</f>
        <v>15.84550409</v>
      </c>
      <c r="BF936" s="330">
        <f t="shared" si="14"/>
        <v>15.84550409</v>
      </c>
      <c r="BG936" s="333">
        <f t="shared" si="15"/>
        <v>41.54708173</v>
      </c>
      <c r="BH936" s="334"/>
      <c r="BI936" s="316" t="s">
        <v>845</v>
      </c>
      <c r="BJ936" s="318" t="s">
        <v>845</v>
      </c>
      <c r="BK936" s="318" t="s">
        <v>845</v>
      </c>
      <c r="BL936" s="318" t="s">
        <v>845</v>
      </c>
      <c r="BM936" s="318" t="s">
        <v>845</v>
      </c>
      <c r="BN936" s="318" t="s">
        <v>845</v>
      </c>
      <c r="BO936" s="318" t="s">
        <v>845</v>
      </c>
      <c r="BP936" s="318" t="s">
        <v>845</v>
      </c>
      <c r="BQ936" s="318" t="s">
        <v>845</v>
      </c>
      <c r="BR936" s="332" t="s">
        <v>845</v>
      </c>
      <c r="BS936" s="330">
        <f t="shared" si="63"/>
        <v>0</v>
      </c>
      <c r="BT936" s="331">
        <f t="shared" si="64"/>
        <v>0</v>
      </c>
      <c r="BU936" s="828"/>
      <c r="BV936" s="333"/>
      <c r="BW936" s="330"/>
      <c r="BX936" s="331"/>
      <c r="BY936" s="331" t="b">
        <f t="shared" si="65"/>
        <v>0</v>
      </c>
      <c r="BZ936" s="340"/>
      <c r="CA936" s="462" t="s">
        <v>845</v>
      </c>
      <c r="CB936" s="319" t="s">
        <v>845</v>
      </c>
      <c r="CC936" s="319" t="s">
        <v>845</v>
      </c>
      <c r="CD936" s="319" t="s">
        <v>845</v>
      </c>
      <c r="CE936" s="319" t="s">
        <v>845</v>
      </c>
      <c r="CF936" s="319" t="s">
        <v>845</v>
      </c>
      <c r="CG936" s="319" t="s">
        <v>845</v>
      </c>
      <c r="CH936" s="319" t="s">
        <v>845</v>
      </c>
      <c r="CI936" s="319" t="s">
        <v>845</v>
      </c>
      <c r="CJ936" s="327" t="s">
        <v>845</v>
      </c>
      <c r="CK936" s="342">
        <f t="shared" si="18"/>
        <v>0</v>
      </c>
      <c r="CL936" s="333">
        <f t="shared" si="19"/>
        <v>0</v>
      </c>
      <c r="CM936" s="829"/>
      <c r="CN936" s="333"/>
      <c r="CO936" s="333"/>
      <c r="CP936" s="333"/>
    </row>
    <row r="937">
      <c r="B937" s="462" t="s">
        <v>1561</v>
      </c>
      <c r="C937" s="417">
        <v>44385.0</v>
      </c>
      <c r="D937" s="318"/>
      <c r="E937" s="319" t="s">
        <v>1599</v>
      </c>
      <c r="F937" s="324" t="s">
        <v>1600</v>
      </c>
      <c r="G937" s="321">
        <v>0.6368055555555555</v>
      </c>
      <c r="H937" s="323">
        <v>0.6373263888888889</v>
      </c>
      <c r="I937" s="323"/>
      <c r="J937" s="323"/>
      <c r="K937" s="323">
        <v>0.6387152777777778</v>
      </c>
      <c r="L937" s="323">
        <v>0.001388888888888889</v>
      </c>
      <c r="M937" s="319" t="s">
        <v>166</v>
      </c>
      <c r="N937" s="324" t="s">
        <v>188</v>
      </c>
      <c r="O937" s="419" t="s">
        <v>378</v>
      </c>
      <c r="P937" s="319" t="s">
        <v>225</v>
      </c>
      <c r="Q937" s="319" t="s">
        <v>842</v>
      </c>
      <c r="R937" s="326">
        <v>22.7</v>
      </c>
      <c r="S937" s="319">
        <v>39.7</v>
      </c>
      <c r="T937" s="324">
        <v>1.1</v>
      </c>
      <c r="U937" s="319">
        <v>2.0</v>
      </c>
      <c r="V937" s="319"/>
      <c r="W937" s="319"/>
      <c r="X937" s="319"/>
      <c r="Y937" s="319"/>
      <c r="Z937" s="319" t="s">
        <v>383</v>
      </c>
      <c r="AA937" s="319"/>
      <c r="AB937" s="319" t="s">
        <v>407</v>
      </c>
      <c r="AC937" s="327">
        <v>15.75</v>
      </c>
      <c r="AD937" s="319"/>
      <c r="AE937" s="319"/>
      <c r="AF937" s="319"/>
      <c r="AG937" s="319"/>
      <c r="AH937" s="319"/>
      <c r="AI937" s="319"/>
      <c r="AJ937" s="327"/>
      <c r="AK937" s="328"/>
      <c r="AL937" s="319"/>
      <c r="AM937" s="319"/>
      <c r="AN937" s="319"/>
      <c r="AO937" s="319"/>
      <c r="AP937" s="319"/>
      <c r="AQ937" s="319"/>
      <c r="AR937" s="319"/>
      <c r="AS937" s="327"/>
      <c r="AT937" s="461" t="s">
        <v>182</v>
      </c>
      <c r="AU937" s="345" t="s">
        <v>845</v>
      </c>
      <c r="AV937" s="330">
        <f>SQRT(($R937-Infrastructure!J$3)^2+($S937-Infrastructure!K$3)^2)</f>
        <v>25.40944706</v>
      </c>
      <c r="AW937" s="331">
        <f>SQRT(($R937-Infrastructure!J$4)^2+($S937-Infrastructure!K$4)^2)</f>
        <v>31.75862088</v>
      </c>
      <c r="AX937" s="331">
        <f>SQRT(($R937-Infrastructure!J$5)^2+($S937-Infrastructure!K$5)^2)</f>
        <v>41.54708173</v>
      </c>
      <c r="AY937" s="331">
        <f>SQRT(($R937-Infrastructure!J$6)^2+($S937-Infrastructure!K$6)^2)</f>
        <v>41.36568626</v>
      </c>
      <c r="AZ937" s="331">
        <f>SQRT(($R937-Infrastructure!J$7)^2+($S937-Infrastructure!K$7)^2)</f>
        <v>39.46137352</v>
      </c>
      <c r="BA937" s="331">
        <f>SQRT(($R937-Infrastructure!J$8)^2+($S937-Infrastructure!K$8)^2)</f>
        <v>40.08890121</v>
      </c>
      <c r="BB937" s="331">
        <f>SQRT(($R937-Infrastructure!J$9)^2+($S937-Infrastructure!K$9)^2)</f>
        <v>38.68397601</v>
      </c>
      <c r="BC937" s="331">
        <f>SQRT(($R937-Infrastructure!J$10)^2+($S937-Infrastructure!K$10)^2)</f>
        <v>30.15592811</v>
      </c>
      <c r="BD937" s="331">
        <f>SQRT(($R937-Infrastructure!J$11)^2+($S937-Infrastructure!K$11)^2)</f>
        <v>20.51194774</v>
      </c>
      <c r="BE937" s="333">
        <f>SQRT(($R937-Infrastructure!J$12)^2+($S937-Infrastructure!K$12)^2)</f>
        <v>15.84550409</v>
      </c>
      <c r="BF937" s="330">
        <f t="shared" si="14"/>
        <v>15.84550409</v>
      </c>
      <c r="BG937" s="333">
        <f t="shared" si="15"/>
        <v>41.54708173</v>
      </c>
      <c r="BH937" s="334"/>
      <c r="BI937" s="316" t="s">
        <v>845</v>
      </c>
      <c r="BJ937" s="318" t="s">
        <v>845</v>
      </c>
      <c r="BK937" s="318" t="s">
        <v>845</v>
      </c>
      <c r="BL937" s="318" t="s">
        <v>845</v>
      </c>
      <c r="BM937" s="318" t="s">
        <v>845</v>
      </c>
      <c r="BN937" s="318" t="s">
        <v>845</v>
      </c>
      <c r="BO937" s="318" t="s">
        <v>845</v>
      </c>
      <c r="BP937" s="318" t="s">
        <v>845</v>
      </c>
      <c r="BQ937" s="318" t="s">
        <v>845</v>
      </c>
      <c r="BR937" s="332" t="s">
        <v>845</v>
      </c>
      <c r="BS937" s="330">
        <f t="shared" si="63"/>
        <v>0</v>
      </c>
      <c r="BT937" s="331">
        <f t="shared" si="64"/>
        <v>0</v>
      </c>
      <c r="BU937" s="828"/>
      <c r="BV937" s="333"/>
      <c r="BW937" s="330"/>
      <c r="BX937" s="331"/>
      <c r="BY937" s="331" t="b">
        <f t="shared" si="65"/>
        <v>0</v>
      </c>
      <c r="BZ937" s="340"/>
      <c r="CA937" s="462" t="s">
        <v>845</v>
      </c>
      <c r="CB937" s="319" t="s">
        <v>845</v>
      </c>
      <c r="CC937" s="319" t="s">
        <v>845</v>
      </c>
      <c r="CD937" s="319" t="s">
        <v>845</v>
      </c>
      <c r="CE937" s="319" t="s">
        <v>845</v>
      </c>
      <c r="CF937" s="319" t="s">
        <v>845</v>
      </c>
      <c r="CG937" s="319" t="s">
        <v>845</v>
      </c>
      <c r="CH937" s="319" t="s">
        <v>845</v>
      </c>
      <c r="CI937" s="319" t="s">
        <v>845</v>
      </c>
      <c r="CJ937" s="327" t="s">
        <v>845</v>
      </c>
      <c r="CK937" s="342">
        <f t="shared" si="18"/>
        <v>0</v>
      </c>
      <c r="CL937" s="333">
        <f t="shared" si="19"/>
        <v>0</v>
      </c>
      <c r="CM937" s="829"/>
      <c r="CN937" s="333"/>
      <c r="CO937" s="333"/>
      <c r="CP937" s="333"/>
    </row>
    <row r="938">
      <c r="B938" s="849" t="s">
        <v>1561</v>
      </c>
      <c r="C938" s="850">
        <v>44385.0</v>
      </c>
      <c r="D938" s="851"/>
      <c r="E938" s="852" t="s">
        <v>1601</v>
      </c>
      <c r="F938" s="853" t="s">
        <v>1602</v>
      </c>
      <c r="G938" s="854">
        <v>0.6401041666666667</v>
      </c>
      <c r="H938" s="855">
        <v>0.6403935185185186</v>
      </c>
      <c r="I938" s="855"/>
      <c r="J938" s="855"/>
      <c r="K938" s="855">
        <v>0.6417824074074074</v>
      </c>
      <c r="L938" s="855">
        <v>0.001388888888888889</v>
      </c>
      <c r="M938" s="852" t="s">
        <v>166</v>
      </c>
      <c r="N938" s="853" t="s">
        <v>188</v>
      </c>
      <c r="O938" s="856" t="s">
        <v>378</v>
      </c>
      <c r="P938" s="852" t="s">
        <v>225</v>
      </c>
      <c r="Q938" s="852" t="s">
        <v>842</v>
      </c>
      <c r="R938" s="857">
        <v>22.7</v>
      </c>
      <c r="S938" s="852">
        <v>39.7</v>
      </c>
      <c r="T938" s="853">
        <v>1.1</v>
      </c>
      <c r="U938" s="852">
        <v>1.0</v>
      </c>
      <c r="V938" s="852"/>
      <c r="W938" s="852"/>
      <c r="X938" s="852"/>
      <c r="Y938" s="852"/>
      <c r="Z938" s="852" t="s">
        <v>383</v>
      </c>
      <c r="AA938" s="852"/>
      <c r="AB938" s="852" t="s">
        <v>407</v>
      </c>
      <c r="AC938" s="858">
        <v>15.75</v>
      </c>
      <c r="AD938" s="319"/>
      <c r="AE938" s="319"/>
      <c r="AF938" s="319"/>
      <c r="AG938" s="319"/>
      <c r="AH938" s="319"/>
      <c r="AI938" s="319"/>
      <c r="AJ938" s="327"/>
      <c r="AK938" s="328"/>
      <c r="AL938" s="319"/>
      <c r="AM938" s="319"/>
      <c r="AN938" s="319"/>
      <c r="AO938" s="319"/>
      <c r="AP938" s="319"/>
      <c r="AQ938" s="319"/>
      <c r="AR938" s="319"/>
      <c r="AS938" s="327"/>
      <c r="AT938" s="636" t="s">
        <v>182</v>
      </c>
      <c r="AU938" s="861" t="s">
        <v>845</v>
      </c>
      <c r="AV938" s="862">
        <f>SQRT(($R938-Infrastructure!J$3)^2+($S938-Infrastructure!K$3)^2)</f>
        <v>25.40944706</v>
      </c>
      <c r="AW938" s="331">
        <f>SQRT(($R938-Infrastructure!J$4)^2+($S938-Infrastructure!K$4)^2)</f>
        <v>31.75862088</v>
      </c>
      <c r="AX938" s="863">
        <f>SQRT(($R938-Infrastructure!J$5)^2+($S938-Infrastructure!K$5)^2)</f>
        <v>41.54708173</v>
      </c>
      <c r="AY938" s="863">
        <f>SQRT(($R938-Infrastructure!J$6)^2+($S938-Infrastructure!K$6)^2)</f>
        <v>41.36568626</v>
      </c>
      <c r="AZ938" s="863">
        <f>SQRT(($R938-Infrastructure!J$7)^2+($S938-Infrastructure!K$7)^2)</f>
        <v>39.46137352</v>
      </c>
      <c r="BA938" s="863">
        <f>SQRT(($R938-Infrastructure!J$8)^2+($S938-Infrastructure!K$8)^2)</f>
        <v>40.08890121</v>
      </c>
      <c r="BB938" s="331">
        <f>SQRT(($R938-Infrastructure!J$9)^2+($S938-Infrastructure!K$9)^2)</f>
        <v>38.68397601</v>
      </c>
      <c r="BC938" s="863">
        <f>SQRT(($R938-Infrastructure!J$10)^2+($S938-Infrastructure!K$10)^2)</f>
        <v>30.15592811</v>
      </c>
      <c r="BD938" s="863">
        <f>SQRT(($R938-Infrastructure!J$11)^2+($S938-Infrastructure!K$11)^2)</f>
        <v>20.51194774</v>
      </c>
      <c r="BE938" s="864">
        <f>SQRT(($R938-Infrastructure!J$12)^2+($S938-Infrastructure!K$12)^2)</f>
        <v>15.84550409</v>
      </c>
      <c r="BF938" s="330">
        <f t="shared" si="14"/>
        <v>15.84550409</v>
      </c>
      <c r="BG938" s="333">
        <f t="shared" si="15"/>
        <v>41.54708173</v>
      </c>
      <c r="BH938" s="865"/>
      <c r="BI938" s="866" t="s">
        <v>845</v>
      </c>
      <c r="BJ938" s="851" t="s">
        <v>845</v>
      </c>
      <c r="BK938" s="851" t="s">
        <v>845</v>
      </c>
      <c r="BL938" s="851" t="s">
        <v>845</v>
      </c>
      <c r="BM938" s="851" t="s">
        <v>845</v>
      </c>
      <c r="BN938" s="851" t="s">
        <v>845</v>
      </c>
      <c r="BO938" s="851" t="s">
        <v>845</v>
      </c>
      <c r="BP938" s="851" t="s">
        <v>845</v>
      </c>
      <c r="BQ938" s="851" t="s">
        <v>845</v>
      </c>
      <c r="BR938" s="867" t="s">
        <v>845</v>
      </c>
      <c r="BS938" s="330">
        <f t="shared" si="63"/>
        <v>0</v>
      </c>
      <c r="BT938" s="331">
        <f t="shared" si="64"/>
        <v>0</v>
      </c>
      <c r="BU938" s="828"/>
      <c r="BV938" s="864"/>
      <c r="BW938" s="862"/>
      <c r="BX938" s="863"/>
      <c r="BY938" s="331" t="b">
        <f t="shared" si="65"/>
        <v>0</v>
      </c>
      <c r="BZ938" s="869"/>
      <c r="CA938" s="849" t="s">
        <v>845</v>
      </c>
      <c r="CB938" s="852" t="s">
        <v>845</v>
      </c>
      <c r="CC938" s="852" t="s">
        <v>845</v>
      </c>
      <c r="CD938" s="852" t="s">
        <v>845</v>
      </c>
      <c r="CE938" s="852" t="s">
        <v>845</v>
      </c>
      <c r="CF938" s="852" t="s">
        <v>845</v>
      </c>
      <c r="CG938" s="852" t="s">
        <v>845</v>
      </c>
      <c r="CH938" s="852" t="s">
        <v>845</v>
      </c>
      <c r="CI938" s="852" t="s">
        <v>845</v>
      </c>
      <c r="CJ938" s="858" t="s">
        <v>845</v>
      </c>
      <c r="CK938" s="342">
        <f t="shared" si="18"/>
        <v>0</v>
      </c>
      <c r="CL938" s="333">
        <f t="shared" si="19"/>
        <v>0</v>
      </c>
      <c r="CM938" s="870"/>
      <c r="CN938" s="333"/>
      <c r="CO938" s="333"/>
      <c r="CP938" s="333"/>
    </row>
    <row r="939">
      <c r="B939" s="849" t="s">
        <v>1561</v>
      </c>
      <c r="C939" s="850">
        <v>44385.0</v>
      </c>
      <c r="D939" s="851"/>
      <c r="E939" s="852">
        <v>28.0</v>
      </c>
      <c r="F939" s="853" t="s">
        <v>1603</v>
      </c>
      <c r="G939" s="854">
        <v>0.649537037037037</v>
      </c>
      <c r="H939" s="855">
        <v>0.65</v>
      </c>
      <c r="I939" s="855"/>
      <c r="J939" s="855"/>
      <c r="K939" s="855">
        <v>0.6513888888888889</v>
      </c>
      <c r="L939" s="855">
        <v>0.001388888888888889</v>
      </c>
      <c r="M939" s="852" t="s">
        <v>166</v>
      </c>
      <c r="N939" s="853" t="s">
        <v>187</v>
      </c>
      <c r="O939" s="856" t="s">
        <v>206</v>
      </c>
      <c r="P939" s="852" t="s">
        <v>222</v>
      </c>
      <c r="Q939" s="851"/>
      <c r="R939" s="857">
        <v>22.0</v>
      </c>
      <c r="S939" s="852">
        <v>11.4</v>
      </c>
      <c r="T939" s="853">
        <v>0.6</v>
      </c>
      <c r="U939" s="852">
        <v>5.0</v>
      </c>
      <c r="V939" s="852"/>
      <c r="W939" s="852"/>
      <c r="X939" s="852"/>
      <c r="Y939" s="852"/>
      <c r="Z939" s="852" t="s">
        <v>347</v>
      </c>
      <c r="AA939" s="852"/>
      <c r="AB939" s="852" t="s">
        <v>392</v>
      </c>
      <c r="AC939" s="858">
        <v>10.0</v>
      </c>
      <c r="AD939" s="852"/>
      <c r="AE939" s="852"/>
      <c r="AF939" s="852"/>
      <c r="AG939" s="852"/>
      <c r="AH939" s="852"/>
      <c r="AI939" s="852"/>
      <c r="AJ939" s="858"/>
      <c r="AK939" s="859"/>
      <c r="AL939" s="852"/>
      <c r="AM939" s="852"/>
      <c r="AN939" s="852"/>
      <c r="AO939" s="852"/>
      <c r="AP939" s="852"/>
      <c r="AQ939" s="852"/>
      <c r="AR939" s="852"/>
      <c r="AS939" s="858"/>
      <c r="AT939" s="860" t="s">
        <v>182</v>
      </c>
      <c r="AU939" s="861" t="s">
        <v>845</v>
      </c>
      <c r="AV939" s="862">
        <f>SQRT(($R939-Infrastructure!J$3)^2+($S939-Infrastructure!K$3)^2)</f>
        <v>28.34678112</v>
      </c>
      <c r="AW939" s="331">
        <f>SQRT(($R939-Infrastructure!J$4)^2+($S939-Infrastructure!K$4)^2)</f>
        <v>23.20021552</v>
      </c>
      <c r="AX939" s="863">
        <f>SQRT(($R939-Infrastructure!J$5)^2+($S939-Infrastructure!K$5)^2)</f>
        <v>23.17282892</v>
      </c>
      <c r="AY939" s="863">
        <f>SQRT(($R939-Infrastructure!J$6)^2+($S939-Infrastructure!K$6)^2)</f>
        <v>16.273291</v>
      </c>
      <c r="AZ939" s="863">
        <f>SQRT(($R939-Infrastructure!J$7)^2+($S939-Infrastructure!K$7)^2)</f>
        <v>11.20089282</v>
      </c>
      <c r="BA939" s="863">
        <f>SQRT(($R939-Infrastructure!J$8)^2+($S939-Infrastructure!K$8)^2)</f>
        <v>13.74117899</v>
      </c>
      <c r="BB939" s="331">
        <f>SQRT(($R939-Infrastructure!J$9)^2+($S939-Infrastructure!K$9)^2)</f>
        <v>19.07065809</v>
      </c>
      <c r="BC939" s="863">
        <f>SQRT(($R939-Infrastructure!J$10)^2+($S939-Infrastructure!K$10)^2)</f>
        <v>18.35647025</v>
      </c>
      <c r="BD939" s="863">
        <f>SQRT(($R939-Infrastructure!J$11)^2+($S939-Infrastructure!K$11)^2)</f>
        <v>25.3179778</v>
      </c>
      <c r="BE939" s="864">
        <f>SQRT(($R939-Infrastructure!J$12)^2+($S939-Infrastructure!K$12)^2)</f>
        <v>44.10283438</v>
      </c>
      <c r="BF939" s="330">
        <f t="shared" si="14"/>
        <v>11.20089282</v>
      </c>
      <c r="BG939" s="333">
        <f t="shared" si="15"/>
        <v>44.10283438</v>
      </c>
      <c r="BH939" s="865"/>
      <c r="BI939" s="866" t="s">
        <v>845</v>
      </c>
      <c r="BJ939" s="851" t="s">
        <v>845</v>
      </c>
      <c r="BK939" s="851" t="s">
        <v>845</v>
      </c>
      <c r="BL939" s="851" t="s">
        <v>845</v>
      </c>
      <c r="BM939" s="851" t="s">
        <v>845</v>
      </c>
      <c r="BN939" s="851" t="s">
        <v>845</v>
      </c>
      <c r="BO939" s="851" t="s">
        <v>845</v>
      </c>
      <c r="BP939" s="851" t="s">
        <v>845</v>
      </c>
      <c r="BQ939" s="851" t="s">
        <v>845</v>
      </c>
      <c r="BR939" s="867" t="s">
        <v>845</v>
      </c>
      <c r="BS939" s="330">
        <f t="shared" si="63"/>
        <v>0</v>
      </c>
      <c r="BT939" s="331">
        <f t="shared" si="64"/>
        <v>0</v>
      </c>
      <c r="BU939" s="828"/>
      <c r="BV939" s="864"/>
      <c r="BW939" s="862"/>
      <c r="BX939" s="863"/>
      <c r="BY939" s="331" t="b">
        <f t="shared" si="65"/>
        <v>0</v>
      </c>
      <c r="BZ939" s="869"/>
      <c r="CA939" s="849" t="s">
        <v>845</v>
      </c>
      <c r="CB939" s="852" t="s">
        <v>845</v>
      </c>
      <c r="CC939" s="852" t="s">
        <v>845</v>
      </c>
      <c r="CD939" s="852" t="s">
        <v>845</v>
      </c>
      <c r="CE939" s="852" t="s">
        <v>845</v>
      </c>
      <c r="CF939" s="852" t="s">
        <v>845</v>
      </c>
      <c r="CG939" s="852" t="s">
        <v>845</v>
      </c>
      <c r="CH939" s="852" t="s">
        <v>845</v>
      </c>
      <c r="CI939" s="852" t="s">
        <v>845</v>
      </c>
      <c r="CJ939" s="858" t="s">
        <v>845</v>
      </c>
      <c r="CK939" s="342">
        <f t="shared" si="18"/>
        <v>0</v>
      </c>
      <c r="CL939" s="333">
        <f t="shared" si="19"/>
        <v>0</v>
      </c>
      <c r="CM939" s="870"/>
      <c r="CN939" s="333"/>
      <c r="CO939" s="333"/>
      <c r="CP939" s="333"/>
    </row>
    <row r="940">
      <c r="B940" s="462" t="s">
        <v>1561</v>
      </c>
      <c r="C940" s="417">
        <v>44385.0</v>
      </c>
      <c r="D940" s="318"/>
      <c r="E940" s="319">
        <v>29.0</v>
      </c>
      <c r="F940" s="324" t="s">
        <v>1604</v>
      </c>
      <c r="G940" s="321">
        <v>0.6536458333333334</v>
      </c>
      <c r="H940" s="323">
        <v>0.6542824074074074</v>
      </c>
      <c r="I940" s="323"/>
      <c r="J940" s="323"/>
      <c r="K940" s="323">
        <v>0.6559027777777777</v>
      </c>
      <c r="L940" s="323">
        <v>0.0016203703703703703</v>
      </c>
      <c r="M940" s="319" t="s">
        <v>166</v>
      </c>
      <c r="N940" s="324" t="s">
        <v>187</v>
      </c>
      <c r="O940" s="419" t="s">
        <v>206</v>
      </c>
      <c r="P940" s="319" t="s">
        <v>222</v>
      </c>
      <c r="Q940" s="318"/>
      <c r="R940" s="326">
        <v>22.0</v>
      </c>
      <c r="S940" s="319">
        <v>11.4</v>
      </c>
      <c r="T940" s="324">
        <v>0.6</v>
      </c>
      <c r="U940" s="319">
        <v>5.0</v>
      </c>
      <c r="V940" s="319"/>
      <c r="W940" s="319"/>
      <c r="X940" s="319"/>
      <c r="Y940" s="319"/>
      <c r="Z940" s="319" t="s">
        <v>347</v>
      </c>
      <c r="AA940" s="319"/>
      <c r="AB940" s="319" t="s">
        <v>388</v>
      </c>
      <c r="AC940" s="327">
        <v>8.0</v>
      </c>
      <c r="AD940" s="319"/>
      <c r="AE940" s="319"/>
      <c r="AF940" s="319"/>
      <c r="AG940" s="319"/>
      <c r="AH940" s="319"/>
      <c r="AI940" s="319"/>
      <c r="AJ940" s="327"/>
      <c r="AK940" s="328"/>
      <c r="AL940" s="319"/>
      <c r="AM940" s="319"/>
      <c r="AN940" s="319"/>
      <c r="AO940" s="319"/>
      <c r="AP940" s="319"/>
      <c r="AQ940" s="319"/>
      <c r="AR940" s="319"/>
      <c r="AS940" s="327"/>
      <c r="AT940" s="461" t="s">
        <v>182</v>
      </c>
      <c r="AU940" s="345" t="s">
        <v>845</v>
      </c>
      <c r="AV940" s="330">
        <f>SQRT(($R940-Infrastructure!J$3)^2+($S940-Infrastructure!K$3)^2)</f>
        <v>28.34678112</v>
      </c>
      <c r="AW940" s="331">
        <f>SQRT(($R940-Infrastructure!J$4)^2+($S940-Infrastructure!K$4)^2)</f>
        <v>23.20021552</v>
      </c>
      <c r="AX940" s="331">
        <f>SQRT(($R940-Infrastructure!J$5)^2+($S940-Infrastructure!K$5)^2)</f>
        <v>23.17282892</v>
      </c>
      <c r="AY940" s="331">
        <f>SQRT(($R940-Infrastructure!J$6)^2+($S940-Infrastructure!K$6)^2)</f>
        <v>16.273291</v>
      </c>
      <c r="AZ940" s="331">
        <f>SQRT(($R940-Infrastructure!J$7)^2+($S940-Infrastructure!K$7)^2)</f>
        <v>11.20089282</v>
      </c>
      <c r="BA940" s="331">
        <f>SQRT(($R940-Infrastructure!J$8)^2+($S940-Infrastructure!K$8)^2)</f>
        <v>13.74117899</v>
      </c>
      <c r="BB940" s="331">
        <f>SQRT(($R940-Infrastructure!J$9)^2+($S940-Infrastructure!K$9)^2)</f>
        <v>19.07065809</v>
      </c>
      <c r="BC940" s="331">
        <f>SQRT(($R940-Infrastructure!J$10)^2+($S940-Infrastructure!K$10)^2)</f>
        <v>18.35647025</v>
      </c>
      <c r="BD940" s="331">
        <f>SQRT(($R940-Infrastructure!J$11)^2+($S940-Infrastructure!K$11)^2)</f>
        <v>25.3179778</v>
      </c>
      <c r="BE940" s="333">
        <f>SQRT(($R940-Infrastructure!J$12)^2+($S940-Infrastructure!K$12)^2)</f>
        <v>44.10283438</v>
      </c>
      <c r="BF940" s="330">
        <f t="shared" si="14"/>
        <v>11.20089282</v>
      </c>
      <c r="BG940" s="333">
        <f t="shared" si="15"/>
        <v>44.10283438</v>
      </c>
      <c r="BH940" s="334"/>
      <c r="BI940" s="316" t="s">
        <v>845</v>
      </c>
      <c r="BJ940" s="318" t="s">
        <v>845</v>
      </c>
      <c r="BK940" s="318" t="s">
        <v>845</v>
      </c>
      <c r="BL940" s="318" t="s">
        <v>845</v>
      </c>
      <c r="BM940" s="318" t="s">
        <v>845</v>
      </c>
      <c r="BN940" s="318" t="s">
        <v>845</v>
      </c>
      <c r="BO940" s="318" t="s">
        <v>845</v>
      </c>
      <c r="BP940" s="318" t="s">
        <v>845</v>
      </c>
      <c r="BQ940" s="318" t="s">
        <v>845</v>
      </c>
      <c r="BR940" s="332" t="s">
        <v>845</v>
      </c>
      <c r="BS940" s="330">
        <f t="shared" si="63"/>
        <v>0</v>
      </c>
      <c r="BT940" s="331">
        <f t="shared" si="64"/>
        <v>0</v>
      </c>
      <c r="BU940" s="828"/>
      <c r="BV940" s="333"/>
      <c r="BW940" s="330"/>
      <c r="BX940" s="331"/>
      <c r="BY940" s="331" t="b">
        <f t="shared" si="65"/>
        <v>0</v>
      </c>
      <c r="BZ940" s="340"/>
      <c r="CA940" s="462" t="s">
        <v>845</v>
      </c>
      <c r="CB940" s="319" t="s">
        <v>845</v>
      </c>
      <c r="CC940" s="319" t="s">
        <v>845</v>
      </c>
      <c r="CD940" s="319" t="s">
        <v>845</v>
      </c>
      <c r="CE940" s="319" t="s">
        <v>845</v>
      </c>
      <c r="CF940" s="319" t="s">
        <v>845</v>
      </c>
      <c r="CG940" s="319" t="s">
        <v>845</v>
      </c>
      <c r="CH940" s="319" t="s">
        <v>845</v>
      </c>
      <c r="CI940" s="319" t="s">
        <v>845</v>
      </c>
      <c r="CJ940" s="327" t="s">
        <v>845</v>
      </c>
      <c r="CK940" s="342">
        <f t="shared" si="18"/>
        <v>0</v>
      </c>
      <c r="CL940" s="333">
        <f t="shared" si="19"/>
        <v>0</v>
      </c>
      <c r="CM940" s="829"/>
      <c r="CN940" s="333"/>
      <c r="CO940" s="333"/>
      <c r="CP940" s="333"/>
    </row>
    <row r="941">
      <c r="B941" s="462" t="s">
        <v>1561</v>
      </c>
      <c r="C941" s="417">
        <v>44385.0</v>
      </c>
      <c r="D941" s="318"/>
      <c r="E941" s="319">
        <v>30.0</v>
      </c>
      <c r="F941" s="324" t="s">
        <v>1605</v>
      </c>
      <c r="G941" s="321">
        <v>0.6572916666666667</v>
      </c>
      <c r="H941" s="323">
        <v>0.6576388888888889</v>
      </c>
      <c r="I941" s="323"/>
      <c r="J941" s="323"/>
      <c r="K941" s="323">
        <v>0.6590277777777778</v>
      </c>
      <c r="L941" s="323">
        <v>0.001388888888888889</v>
      </c>
      <c r="M941" s="319" t="s">
        <v>166</v>
      </c>
      <c r="N941" s="324" t="s">
        <v>187</v>
      </c>
      <c r="O941" s="419" t="s">
        <v>206</v>
      </c>
      <c r="P941" s="319" t="s">
        <v>222</v>
      </c>
      <c r="Q941" s="318"/>
      <c r="R941" s="326">
        <v>22.0</v>
      </c>
      <c r="S941" s="319">
        <v>11.4</v>
      </c>
      <c r="T941" s="324">
        <v>0.6</v>
      </c>
      <c r="U941" s="319">
        <v>4.0</v>
      </c>
      <c r="V941" s="319"/>
      <c r="W941" s="319"/>
      <c r="X941" s="319"/>
      <c r="Y941" s="319"/>
      <c r="Z941" s="319" t="s">
        <v>347</v>
      </c>
      <c r="AA941" s="319"/>
      <c r="AB941" s="319" t="s">
        <v>388</v>
      </c>
      <c r="AC941" s="327">
        <v>8.0</v>
      </c>
      <c r="AD941" s="319"/>
      <c r="AE941" s="319"/>
      <c r="AF941" s="319"/>
      <c r="AG941" s="319"/>
      <c r="AH941" s="319"/>
      <c r="AI941" s="319"/>
      <c r="AJ941" s="327"/>
      <c r="AK941" s="328"/>
      <c r="AL941" s="319"/>
      <c r="AM941" s="319"/>
      <c r="AN941" s="319"/>
      <c r="AO941" s="319"/>
      <c r="AP941" s="319"/>
      <c r="AQ941" s="319"/>
      <c r="AR941" s="319"/>
      <c r="AS941" s="327"/>
      <c r="AT941" s="461" t="s">
        <v>182</v>
      </c>
      <c r="AU941" s="345" t="s">
        <v>845</v>
      </c>
      <c r="AV941" s="330">
        <f>SQRT(($R941-Infrastructure!J$3)^2+($S941-Infrastructure!K$3)^2)</f>
        <v>28.34678112</v>
      </c>
      <c r="AW941" s="331">
        <f>SQRT(($R941-Infrastructure!J$4)^2+($S941-Infrastructure!K$4)^2)</f>
        <v>23.20021552</v>
      </c>
      <c r="AX941" s="331">
        <f>SQRT(($R941-Infrastructure!J$5)^2+($S941-Infrastructure!K$5)^2)</f>
        <v>23.17282892</v>
      </c>
      <c r="AY941" s="331">
        <f>SQRT(($R941-Infrastructure!J$6)^2+($S941-Infrastructure!K$6)^2)</f>
        <v>16.273291</v>
      </c>
      <c r="AZ941" s="331">
        <f>SQRT(($R941-Infrastructure!J$7)^2+($S941-Infrastructure!K$7)^2)</f>
        <v>11.20089282</v>
      </c>
      <c r="BA941" s="331">
        <f>SQRT(($R941-Infrastructure!J$8)^2+($S941-Infrastructure!K$8)^2)</f>
        <v>13.74117899</v>
      </c>
      <c r="BB941" s="331">
        <f>SQRT(($R941-Infrastructure!J$9)^2+($S941-Infrastructure!K$9)^2)</f>
        <v>19.07065809</v>
      </c>
      <c r="BC941" s="331">
        <f>SQRT(($R941-Infrastructure!J$10)^2+($S941-Infrastructure!K$10)^2)</f>
        <v>18.35647025</v>
      </c>
      <c r="BD941" s="331">
        <f>SQRT(($R941-Infrastructure!J$11)^2+($S941-Infrastructure!K$11)^2)</f>
        <v>25.3179778</v>
      </c>
      <c r="BE941" s="333">
        <f>SQRT(($R941-Infrastructure!J$12)^2+($S941-Infrastructure!K$12)^2)</f>
        <v>44.10283438</v>
      </c>
      <c r="BF941" s="330">
        <f t="shared" si="14"/>
        <v>11.20089282</v>
      </c>
      <c r="BG941" s="333">
        <f t="shared" si="15"/>
        <v>44.10283438</v>
      </c>
      <c r="BH941" s="334"/>
      <c r="BI941" s="316" t="s">
        <v>845</v>
      </c>
      <c r="BJ941" s="318" t="s">
        <v>845</v>
      </c>
      <c r="BK941" s="318" t="s">
        <v>845</v>
      </c>
      <c r="BL941" s="318" t="s">
        <v>845</v>
      </c>
      <c r="BM941" s="318" t="s">
        <v>845</v>
      </c>
      <c r="BN941" s="318" t="s">
        <v>845</v>
      </c>
      <c r="BO941" s="318" t="s">
        <v>845</v>
      </c>
      <c r="BP941" s="318" t="s">
        <v>845</v>
      </c>
      <c r="BQ941" s="318" t="s">
        <v>845</v>
      </c>
      <c r="BR941" s="332" t="s">
        <v>845</v>
      </c>
      <c r="BS941" s="330">
        <f t="shared" si="63"/>
        <v>0</v>
      </c>
      <c r="BT941" s="331">
        <f t="shared" si="64"/>
        <v>0</v>
      </c>
      <c r="BU941" s="828"/>
      <c r="BV941" s="333"/>
      <c r="BW941" s="330"/>
      <c r="BX941" s="331"/>
      <c r="BY941" s="331" t="b">
        <f t="shared" si="65"/>
        <v>0</v>
      </c>
      <c r="BZ941" s="340"/>
      <c r="CA941" s="462" t="s">
        <v>845</v>
      </c>
      <c r="CB941" s="319" t="s">
        <v>845</v>
      </c>
      <c r="CC941" s="319" t="s">
        <v>845</v>
      </c>
      <c r="CD941" s="319" t="s">
        <v>845</v>
      </c>
      <c r="CE941" s="319" t="s">
        <v>845</v>
      </c>
      <c r="CF941" s="319" t="s">
        <v>845</v>
      </c>
      <c r="CG941" s="319" t="s">
        <v>845</v>
      </c>
      <c r="CH941" s="319" t="s">
        <v>845</v>
      </c>
      <c r="CI941" s="319" t="s">
        <v>845</v>
      </c>
      <c r="CJ941" s="327" t="s">
        <v>845</v>
      </c>
      <c r="CK941" s="342">
        <f t="shared" si="18"/>
        <v>0</v>
      </c>
      <c r="CL941" s="333">
        <f t="shared" si="19"/>
        <v>0</v>
      </c>
      <c r="CM941" s="829"/>
      <c r="CN941" s="333"/>
      <c r="CO941" s="333"/>
      <c r="CP941" s="333"/>
    </row>
    <row r="942">
      <c r="B942" s="462" t="s">
        <v>1561</v>
      </c>
      <c r="C942" s="417">
        <v>44385.0</v>
      </c>
      <c r="D942" s="318"/>
      <c r="E942" s="319">
        <v>31.0</v>
      </c>
      <c r="F942" s="324" t="s">
        <v>1606</v>
      </c>
      <c r="G942" s="321">
        <v>0.6604166666666667</v>
      </c>
      <c r="H942" s="323">
        <v>0.6606481481481481</v>
      </c>
      <c r="I942" s="323"/>
      <c r="J942" s="323"/>
      <c r="K942" s="323">
        <v>0.6620949074074074</v>
      </c>
      <c r="L942" s="323">
        <v>0.0014467592592592592</v>
      </c>
      <c r="M942" s="319" t="s">
        <v>166</v>
      </c>
      <c r="N942" s="324" t="s">
        <v>187</v>
      </c>
      <c r="O942" s="419" t="s">
        <v>206</v>
      </c>
      <c r="P942" s="319" t="s">
        <v>222</v>
      </c>
      <c r="Q942" s="318"/>
      <c r="R942" s="326">
        <v>22.0</v>
      </c>
      <c r="S942" s="319">
        <v>11.4</v>
      </c>
      <c r="T942" s="324">
        <v>0.6</v>
      </c>
      <c r="U942" s="319">
        <v>3.0</v>
      </c>
      <c r="V942" s="319"/>
      <c r="W942" s="319"/>
      <c r="X942" s="319"/>
      <c r="Y942" s="319"/>
      <c r="Z942" s="319" t="s">
        <v>347</v>
      </c>
      <c r="AA942" s="319"/>
      <c r="AB942" s="319" t="s">
        <v>388</v>
      </c>
      <c r="AC942" s="327">
        <v>8.0</v>
      </c>
      <c r="AD942" s="319"/>
      <c r="AE942" s="319"/>
      <c r="AF942" s="319"/>
      <c r="AG942" s="319"/>
      <c r="AH942" s="319"/>
      <c r="AI942" s="319"/>
      <c r="AJ942" s="327"/>
      <c r="AK942" s="328"/>
      <c r="AL942" s="319"/>
      <c r="AM942" s="319"/>
      <c r="AN942" s="319"/>
      <c r="AO942" s="319"/>
      <c r="AP942" s="319"/>
      <c r="AQ942" s="319"/>
      <c r="AR942" s="319"/>
      <c r="AS942" s="327"/>
      <c r="AT942" s="461" t="s">
        <v>182</v>
      </c>
      <c r="AU942" s="345" t="s">
        <v>845</v>
      </c>
      <c r="AV942" s="330">
        <f>SQRT(($R942-Infrastructure!J$3)^2+($S942-Infrastructure!K$3)^2)</f>
        <v>28.34678112</v>
      </c>
      <c r="AW942" s="331">
        <f>SQRT(($R942-Infrastructure!J$4)^2+($S942-Infrastructure!K$4)^2)</f>
        <v>23.20021552</v>
      </c>
      <c r="AX942" s="331">
        <f>SQRT(($R942-Infrastructure!J$5)^2+($S942-Infrastructure!K$5)^2)</f>
        <v>23.17282892</v>
      </c>
      <c r="AY942" s="331">
        <f>SQRT(($R942-Infrastructure!J$6)^2+($S942-Infrastructure!K$6)^2)</f>
        <v>16.273291</v>
      </c>
      <c r="AZ942" s="331">
        <f>SQRT(($R942-Infrastructure!J$7)^2+($S942-Infrastructure!K$7)^2)</f>
        <v>11.20089282</v>
      </c>
      <c r="BA942" s="331">
        <f>SQRT(($R942-Infrastructure!J$8)^2+($S942-Infrastructure!K$8)^2)</f>
        <v>13.74117899</v>
      </c>
      <c r="BB942" s="331">
        <f>SQRT(($R942-Infrastructure!J$9)^2+($S942-Infrastructure!K$9)^2)</f>
        <v>19.07065809</v>
      </c>
      <c r="BC942" s="331">
        <f>SQRT(($R942-Infrastructure!J$10)^2+($S942-Infrastructure!K$10)^2)</f>
        <v>18.35647025</v>
      </c>
      <c r="BD942" s="331">
        <f>SQRT(($R942-Infrastructure!J$11)^2+($S942-Infrastructure!K$11)^2)</f>
        <v>25.3179778</v>
      </c>
      <c r="BE942" s="333">
        <f>SQRT(($R942-Infrastructure!J$12)^2+($S942-Infrastructure!K$12)^2)</f>
        <v>44.10283438</v>
      </c>
      <c r="BF942" s="330">
        <f t="shared" si="14"/>
        <v>11.20089282</v>
      </c>
      <c r="BG942" s="333">
        <f t="shared" si="15"/>
        <v>44.10283438</v>
      </c>
      <c r="BH942" s="334"/>
      <c r="BI942" s="316" t="s">
        <v>845</v>
      </c>
      <c r="BJ942" s="318" t="s">
        <v>845</v>
      </c>
      <c r="BK942" s="318" t="s">
        <v>845</v>
      </c>
      <c r="BL942" s="318" t="s">
        <v>845</v>
      </c>
      <c r="BM942" s="318" t="s">
        <v>845</v>
      </c>
      <c r="BN942" s="318" t="s">
        <v>845</v>
      </c>
      <c r="BO942" s="318" t="s">
        <v>845</v>
      </c>
      <c r="BP942" s="318" t="s">
        <v>845</v>
      </c>
      <c r="BQ942" s="318" t="s">
        <v>845</v>
      </c>
      <c r="BR942" s="332" t="s">
        <v>845</v>
      </c>
      <c r="BS942" s="330">
        <f t="shared" si="63"/>
        <v>0</v>
      </c>
      <c r="BT942" s="331">
        <f t="shared" si="64"/>
        <v>0</v>
      </c>
      <c r="BU942" s="828"/>
      <c r="BV942" s="333"/>
      <c r="BW942" s="330"/>
      <c r="BX942" s="331"/>
      <c r="BY942" s="331" t="b">
        <f t="shared" si="65"/>
        <v>0</v>
      </c>
      <c r="BZ942" s="340"/>
      <c r="CA942" s="462" t="s">
        <v>845</v>
      </c>
      <c r="CB942" s="319" t="s">
        <v>845</v>
      </c>
      <c r="CC942" s="319" t="s">
        <v>845</v>
      </c>
      <c r="CD942" s="319" t="s">
        <v>845</v>
      </c>
      <c r="CE942" s="319" t="s">
        <v>845</v>
      </c>
      <c r="CF942" s="319" t="s">
        <v>845</v>
      </c>
      <c r="CG942" s="319" t="s">
        <v>845</v>
      </c>
      <c r="CH942" s="319" t="s">
        <v>845</v>
      </c>
      <c r="CI942" s="319" t="s">
        <v>845</v>
      </c>
      <c r="CJ942" s="327" t="s">
        <v>845</v>
      </c>
      <c r="CK942" s="342">
        <f t="shared" si="18"/>
        <v>0</v>
      </c>
      <c r="CL942" s="333">
        <f t="shared" si="19"/>
        <v>0</v>
      </c>
      <c r="CM942" s="829"/>
      <c r="CN942" s="333"/>
      <c r="CO942" s="333"/>
      <c r="CP942" s="333"/>
    </row>
    <row r="943">
      <c r="B943" s="875" t="s">
        <v>1561</v>
      </c>
      <c r="C943" s="876">
        <v>44385.0</v>
      </c>
      <c r="D943" s="877"/>
      <c r="E943" s="878">
        <v>33.0</v>
      </c>
      <c r="F943" s="879" t="s">
        <v>1607</v>
      </c>
      <c r="G943" s="880">
        <v>0.6872685185185186</v>
      </c>
      <c r="H943" s="881">
        <v>0.6876157407407407</v>
      </c>
      <c r="I943" s="881"/>
      <c r="J943" s="881"/>
      <c r="K943" s="881">
        <v>0.6890046296296296</v>
      </c>
      <c r="L943" s="881">
        <v>0.001388888888888889</v>
      </c>
      <c r="M943" s="878" t="s">
        <v>166</v>
      </c>
      <c r="N943" s="879" t="s">
        <v>187</v>
      </c>
      <c r="O943" s="882" t="s">
        <v>204</v>
      </c>
      <c r="P943" s="878" t="s">
        <v>230</v>
      </c>
      <c r="Q943" s="877"/>
      <c r="R943" s="883">
        <v>18.3</v>
      </c>
      <c r="S943" s="878">
        <v>3.9</v>
      </c>
      <c r="T943" s="879">
        <v>1.8</v>
      </c>
      <c r="U943" s="878">
        <v>5.0</v>
      </c>
      <c r="V943" s="878"/>
      <c r="W943" s="878"/>
      <c r="X943" s="878"/>
      <c r="Y943" s="878"/>
      <c r="Z943" s="878" t="s">
        <v>365</v>
      </c>
      <c r="AA943" s="878"/>
      <c r="AB943" s="878" t="s">
        <v>392</v>
      </c>
      <c r="AC943" s="884">
        <v>10.0</v>
      </c>
      <c r="AD943" s="878"/>
      <c r="AE943" s="878"/>
      <c r="AF943" s="878"/>
      <c r="AG943" s="878"/>
      <c r="AH943" s="878"/>
      <c r="AI943" s="878"/>
      <c r="AJ943" s="884"/>
      <c r="AK943" s="885"/>
      <c r="AL943" s="878"/>
      <c r="AM943" s="878"/>
      <c r="AN943" s="878"/>
      <c r="AO943" s="878"/>
      <c r="AP943" s="878"/>
      <c r="AQ943" s="878"/>
      <c r="AR943" s="878"/>
      <c r="AS943" s="884"/>
      <c r="AT943" s="886" t="s">
        <v>182</v>
      </c>
      <c r="AU943" s="887" t="s">
        <v>845</v>
      </c>
      <c r="AV943" s="888">
        <f>SQRT(($R943-Infrastructure!J$3)^2+($S943-Infrastructure!K$3)^2)</f>
        <v>31.16023106</v>
      </c>
      <c r="AW943" s="331">
        <f>SQRT(($R943-Infrastructure!J$4)^2+($S943-Infrastructure!K$4)^2)</f>
        <v>23.22003445</v>
      </c>
      <c r="AX943" s="889">
        <f>SQRT(($R943-Infrastructure!J$5)^2+($S943-Infrastructure!K$5)^2)</f>
        <v>18.63866948</v>
      </c>
      <c r="AY943" s="889">
        <f>SQRT(($R943-Infrastructure!J$6)^2+($S943-Infrastructure!K$6)^2)</f>
        <v>8.955445271</v>
      </c>
      <c r="AZ943" s="889">
        <f>SQRT(($R943-Infrastructure!J$7)^2+($S943-Infrastructure!K$7)^2)</f>
        <v>4.219004622</v>
      </c>
      <c r="BA943" s="889">
        <f>SQRT(($R943-Infrastructure!J$8)^2+($S943-Infrastructure!K$8)^2)</f>
        <v>12.33693641</v>
      </c>
      <c r="BB943" s="331">
        <f>SQRT(($R943-Infrastructure!J$9)^2+($S943-Infrastructure!K$9)^2)</f>
        <v>21.7331544</v>
      </c>
      <c r="BC943" s="889">
        <f>SQRT(($R943-Infrastructure!J$10)^2+($S943-Infrastructure!K$10)^2)</f>
        <v>24.37416665</v>
      </c>
      <c r="BD943" s="889">
        <f>SQRT(($R943-Infrastructure!J$11)^2+($S943-Infrastructure!K$11)^2)</f>
        <v>33.31095916</v>
      </c>
      <c r="BE943" s="890">
        <f>SQRT(($R943-Infrastructure!J$12)^2+($S943-Infrastructure!K$12)^2)</f>
        <v>51.69912959</v>
      </c>
      <c r="BF943" s="330">
        <f t="shared" si="14"/>
        <v>4.219004622</v>
      </c>
      <c r="BG943" s="333">
        <f t="shared" si="15"/>
        <v>51.69912959</v>
      </c>
      <c r="BH943" s="891"/>
      <c r="BI943" s="892" t="s">
        <v>846</v>
      </c>
      <c r="BJ943" s="877" t="s">
        <v>846</v>
      </c>
      <c r="BK943" s="877" t="s">
        <v>845</v>
      </c>
      <c r="BL943" s="877" t="s">
        <v>846</v>
      </c>
      <c r="BM943" s="877" t="s">
        <v>846</v>
      </c>
      <c r="BN943" s="877" t="s">
        <v>846</v>
      </c>
      <c r="BO943" s="877" t="s">
        <v>846</v>
      </c>
      <c r="BP943" s="877" t="s">
        <v>846</v>
      </c>
      <c r="BQ943" s="877" t="s">
        <v>845</v>
      </c>
      <c r="BR943" s="893" t="s">
        <v>846</v>
      </c>
      <c r="BS943" s="330">
        <f t="shared" si="63"/>
        <v>4.219004622</v>
      </c>
      <c r="BT943" s="331">
        <f t="shared" si="64"/>
        <v>51.69912959</v>
      </c>
      <c r="BU943" s="842">
        <v>0.6874768518518518</v>
      </c>
      <c r="BV943" s="890"/>
      <c r="BW943" s="888">
        <v>20.48</v>
      </c>
      <c r="BX943" s="889">
        <v>8.069</v>
      </c>
      <c r="BY943" s="331">
        <f t="shared" si="65"/>
        <v>4.704568099</v>
      </c>
      <c r="BZ943" s="894"/>
      <c r="CA943" s="875" t="s">
        <v>846</v>
      </c>
      <c r="CB943" s="878" t="s">
        <v>845</v>
      </c>
      <c r="CC943" s="878" t="s">
        <v>845</v>
      </c>
      <c r="CD943" s="878" t="s">
        <v>846</v>
      </c>
      <c r="CE943" s="878" t="s">
        <v>845</v>
      </c>
      <c r="CF943" s="878" t="s">
        <v>845</v>
      </c>
      <c r="CG943" s="878" t="s">
        <v>846</v>
      </c>
      <c r="CH943" s="878" t="s">
        <v>845</v>
      </c>
      <c r="CI943" s="878" t="s">
        <v>845</v>
      </c>
      <c r="CJ943" s="884" t="s">
        <v>845</v>
      </c>
      <c r="CK943" s="342">
        <f t="shared" si="18"/>
        <v>8.955445271</v>
      </c>
      <c r="CL943" s="333">
        <f t="shared" si="19"/>
        <v>31.16023106</v>
      </c>
      <c r="CM943" s="895"/>
      <c r="CN943" s="333"/>
      <c r="CO943" s="333"/>
      <c r="CP943" s="333"/>
    </row>
    <row r="944">
      <c r="B944" s="462" t="s">
        <v>1561</v>
      </c>
      <c r="C944" s="417">
        <v>44385.0</v>
      </c>
      <c r="D944" s="318"/>
      <c r="E944" s="319">
        <v>34.0</v>
      </c>
      <c r="F944" s="324" t="s">
        <v>1608</v>
      </c>
      <c r="G944" s="321">
        <v>0.6912037037037037</v>
      </c>
      <c r="H944" s="323">
        <v>0.6915509259259259</v>
      </c>
      <c r="I944" s="323"/>
      <c r="J944" s="323"/>
      <c r="K944" s="323">
        <v>0.6929398148148148</v>
      </c>
      <c r="L944" s="323">
        <v>0.001388888888888889</v>
      </c>
      <c r="M944" s="319" t="s">
        <v>166</v>
      </c>
      <c r="N944" s="324" t="s">
        <v>187</v>
      </c>
      <c r="O944" s="419" t="s">
        <v>204</v>
      </c>
      <c r="P944" s="319" t="s">
        <v>262</v>
      </c>
      <c r="Q944" s="318"/>
      <c r="R944" s="326">
        <v>17.9</v>
      </c>
      <c r="S944" s="319">
        <v>3.6</v>
      </c>
      <c r="T944" s="324">
        <v>2.6</v>
      </c>
      <c r="U944" s="319">
        <v>5.0</v>
      </c>
      <c r="V944" s="319"/>
      <c r="W944" s="319"/>
      <c r="X944" s="319"/>
      <c r="Y944" s="319"/>
      <c r="Z944" s="319" t="s">
        <v>365</v>
      </c>
      <c r="AA944" s="319"/>
      <c r="AB944" s="319" t="s">
        <v>388</v>
      </c>
      <c r="AC944" s="327">
        <v>8.0</v>
      </c>
      <c r="AD944" s="319"/>
      <c r="AE944" s="319"/>
      <c r="AF944" s="319"/>
      <c r="AG944" s="319"/>
      <c r="AH944" s="319"/>
      <c r="AI944" s="319"/>
      <c r="AJ944" s="327"/>
      <c r="AK944" s="328"/>
      <c r="AL944" s="319"/>
      <c r="AM944" s="319"/>
      <c r="AN944" s="319"/>
      <c r="AO944" s="319"/>
      <c r="AP944" s="319"/>
      <c r="AQ944" s="319"/>
      <c r="AR944" s="319"/>
      <c r="AS944" s="327"/>
      <c r="AT944" s="461" t="s">
        <v>182</v>
      </c>
      <c r="AU944" s="345" t="s">
        <v>845</v>
      </c>
      <c r="AV944" s="330">
        <f>SQRT(($R944-Infrastructure!J$3)^2+($S944-Infrastructure!K$3)^2)</f>
        <v>31.16616755</v>
      </c>
      <c r="AW944" s="331">
        <f>SQRT(($R944-Infrastructure!J$4)^2+($S944-Infrastructure!K$4)^2)</f>
        <v>23.08419373</v>
      </c>
      <c r="AX944" s="331">
        <f>SQRT(($R944-Infrastructure!J$5)^2+($S944-Infrastructure!K$5)^2)</f>
        <v>18.26170857</v>
      </c>
      <c r="AY944" s="331">
        <f>SQRT(($R944-Infrastructure!J$6)^2+($S944-Infrastructure!K$6)^2)</f>
        <v>8.469356528</v>
      </c>
      <c r="AZ944" s="331">
        <f>SQRT(($R944-Infrastructure!J$7)^2+($S944-Infrastructure!K$7)^2)</f>
        <v>4.201190308</v>
      </c>
      <c r="BA944" s="331">
        <f>SQRT(($R944-Infrastructure!J$8)^2+($S944-Infrastructure!K$8)^2)</f>
        <v>12.63843345</v>
      </c>
      <c r="BB944" s="331">
        <f>SQRT(($R944-Infrastructure!J$9)^2+($S944-Infrastructure!K$9)^2)</f>
        <v>22.15084648</v>
      </c>
      <c r="BC944" s="331">
        <f>SQRT(($R944-Infrastructure!J$10)^2+($S944-Infrastructure!K$10)^2)</f>
        <v>24.86704647</v>
      </c>
      <c r="BD944" s="331">
        <f>SQRT(($R944-Infrastructure!J$11)^2+($S944-Infrastructure!K$11)^2)</f>
        <v>33.80014793</v>
      </c>
      <c r="BE944" s="333">
        <f>SQRT(($R944-Infrastructure!J$12)^2+($S944-Infrastructure!K$12)^2)</f>
        <v>52.02470567</v>
      </c>
      <c r="BF944" s="330">
        <f t="shared" si="14"/>
        <v>4.201190308</v>
      </c>
      <c r="BG944" s="333">
        <f t="shared" si="15"/>
        <v>52.02470567</v>
      </c>
      <c r="BH944" s="334"/>
      <c r="BI944" s="316" t="s">
        <v>846</v>
      </c>
      <c r="BJ944" s="318" t="s">
        <v>846</v>
      </c>
      <c r="BK944" s="318" t="s">
        <v>845</v>
      </c>
      <c r="BL944" s="318" t="s">
        <v>846</v>
      </c>
      <c r="BM944" s="318" t="s">
        <v>846</v>
      </c>
      <c r="BN944" s="318" t="s">
        <v>846</v>
      </c>
      <c r="BO944" s="318" t="s">
        <v>846</v>
      </c>
      <c r="BP944" s="318" t="s">
        <v>845</v>
      </c>
      <c r="BQ944" s="318" t="s">
        <v>845</v>
      </c>
      <c r="BR944" s="332" t="s">
        <v>846</v>
      </c>
      <c r="BS944" s="330">
        <f t="shared" si="63"/>
        <v>4.201190308</v>
      </c>
      <c r="BT944" s="331">
        <f t="shared" si="64"/>
        <v>52.02470567</v>
      </c>
      <c r="BU944" s="842">
        <v>0.6913541666666667</v>
      </c>
      <c r="BV944" s="333"/>
      <c r="BW944" s="330">
        <v>16.6961538461538</v>
      </c>
      <c r="BX944" s="331">
        <v>7.71538461538461</v>
      </c>
      <c r="BY944" s="331">
        <f t="shared" si="65"/>
        <v>4.28784749</v>
      </c>
      <c r="BZ944" s="340"/>
      <c r="CA944" s="462" t="s">
        <v>846</v>
      </c>
      <c r="CB944" s="319" t="s">
        <v>845</v>
      </c>
      <c r="CC944" s="319" t="s">
        <v>845</v>
      </c>
      <c r="CD944" s="319" t="s">
        <v>845</v>
      </c>
      <c r="CE944" s="319" t="s">
        <v>845</v>
      </c>
      <c r="CF944" s="319" t="s">
        <v>845</v>
      </c>
      <c r="CG944" s="319" t="s">
        <v>845</v>
      </c>
      <c r="CH944" s="319" t="s">
        <v>845</v>
      </c>
      <c r="CI944" s="319" t="s">
        <v>845</v>
      </c>
      <c r="CJ944" s="327" t="s">
        <v>845</v>
      </c>
      <c r="CK944" s="342">
        <f t="shared" si="18"/>
        <v>31.16616755</v>
      </c>
      <c r="CL944" s="333">
        <f t="shared" si="19"/>
        <v>31.16616755</v>
      </c>
      <c r="CM944" s="829"/>
      <c r="CN944" s="333"/>
      <c r="CO944" s="333"/>
      <c r="CP944" s="333"/>
    </row>
    <row r="945">
      <c r="B945" s="462" t="s">
        <v>1561</v>
      </c>
      <c r="C945" s="417">
        <v>44385.0</v>
      </c>
      <c r="D945" s="318"/>
      <c r="E945" s="319">
        <v>36.0</v>
      </c>
      <c r="F945" s="324" t="s">
        <v>1609</v>
      </c>
      <c r="G945" s="321">
        <v>0.6943287037037037</v>
      </c>
      <c r="H945" s="323">
        <v>0.694849537037037</v>
      </c>
      <c r="I945" s="323"/>
      <c r="J945" s="323"/>
      <c r="K945" s="323">
        <v>0.6962962962962963</v>
      </c>
      <c r="L945" s="323">
        <v>0.0014467592592592592</v>
      </c>
      <c r="M945" s="319" t="s">
        <v>166</v>
      </c>
      <c r="N945" s="324" t="s">
        <v>187</v>
      </c>
      <c r="O945" s="419" t="s">
        <v>204</v>
      </c>
      <c r="P945" s="319" t="s">
        <v>262</v>
      </c>
      <c r="Q945" s="318"/>
      <c r="R945" s="326">
        <v>17.9</v>
      </c>
      <c r="S945" s="319">
        <v>3.6</v>
      </c>
      <c r="T945" s="324">
        <v>2.6</v>
      </c>
      <c r="U945" s="319">
        <v>3.0</v>
      </c>
      <c r="V945" s="319"/>
      <c r="W945" s="319"/>
      <c r="X945" s="319"/>
      <c r="Y945" s="319"/>
      <c r="Z945" s="319" t="s">
        <v>365</v>
      </c>
      <c r="AA945" s="319"/>
      <c r="AB945" s="319" t="s">
        <v>388</v>
      </c>
      <c r="AC945" s="327">
        <v>8.0</v>
      </c>
      <c r="AD945" s="319"/>
      <c r="AE945" s="319"/>
      <c r="AF945" s="319"/>
      <c r="AG945" s="319"/>
      <c r="AH945" s="319"/>
      <c r="AI945" s="319"/>
      <c r="AJ945" s="327"/>
      <c r="AK945" s="328"/>
      <c r="AL945" s="319"/>
      <c r="AM945" s="319"/>
      <c r="AN945" s="319"/>
      <c r="AO945" s="319"/>
      <c r="AP945" s="319"/>
      <c r="AQ945" s="319"/>
      <c r="AR945" s="319"/>
      <c r="AS945" s="327"/>
      <c r="AT945" s="461" t="s">
        <v>182</v>
      </c>
      <c r="AU945" s="345" t="s">
        <v>845</v>
      </c>
      <c r="AV945" s="330">
        <f>SQRT(($R945-Infrastructure!J$3)^2+($S945-Infrastructure!K$3)^2)</f>
        <v>31.16616755</v>
      </c>
      <c r="AW945" s="331">
        <f>SQRT(($R945-Infrastructure!J$4)^2+($S945-Infrastructure!K$4)^2)</f>
        <v>23.08419373</v>
      </c>
      <c r="AX945" s="331">
        <f>SQRT(($R945-Infrastructure!J$5)^2+($S945-Infrastructure!K$5)^2)</f>
        <v>18.26170857</v>
      </c>
      <c r="AY945" s="331">
        <f>SQRT(($R945-Infrastructure!J$6)^2+($S945-Infrastructure!K$6)^2)</f>
        <v>8.469356528</v>
      </c>
      <c r="AZ945" s="331">
        <f>SQRT(($R945-Infrastructure!J$7)^2+($S945-Infrastructure!K$7)^2)</f>
        <v>4.201190308</v>
      </c>
      <c r="BA945" s="331">
        <f>SQRT(($R945-Infrastructure!J$8)^2+($S945-Infrastructure!K$8)^2)</f>
        <v>12.63843345</v>
      </c>
      <c r="BB945" s="331">
        <f>SQRT(($R945-Infrastructure!J$9)^2+($S945-Infrastructure!K$9)^2)</f>
        <v>22.15084648</v>
      </c>
      <c r="BC945" s="331">
        <f>SQRT(($R945-Infrastructure!J$10)^2+($S945-Infrastructure!K$10)^2)</f>
        <v>24.86704647</v>
      </c>
      <c r="BD945" s="331">
        <f>SQRT(($R945-Infrastructure!J$11)^2+($S945-Infrastructure!K$11)^2)</f>
        <v>33.80014793</v>
      </c>
      <c r="BE945" s="333">
        <f>SQRT(($R945-Infrastructure!J$12)^2+($S945-Infrastructure!K$12)^2)</f>
        <v>52.02470567</v>
      </c>
      <c r="BF945" s="330">
        <f t="shared" si="14"/>
        <v>4.201190308</v>
      </c>
      <c r="BG945" s="333">
        <f t="shared" si="15"/>
        <v>52.02470567</v>
      </c>
      <c r="BH945" s="334"/>
      <c r="BI945" s="316" t="s">
        <v>846</v>
      </c>
      <c r="BJ945" s="318" t="s">
        <v>845</v>
      </c>
      <c r="BK945" s="318" t="s">
        <v>845</v>
      </c>
      <c r="BL945" s="318" t="s">
        <v>845</v>
      </c>
      <c r="BM945" s="318" t="s">
        <v>845</v>
      </c>
      <c r="BN945" s="318" t="s">
        <v>846</v>
      </c>
      <c r="BO945" s="318" t="s">
        <v>846</v>
      </c>
      <c r="BP945" s="318" t="s">
        <v>846</v>
      </c>
      <c r="BQ945" s="318" t="s">
        <v>845</v>
      </c>
      <c r="BR945" s="332" t="s">
        <v>845</v>
      </c>
      <c r="BS945" s="330">
        <f t="shared" si="63"/>
        <v>12.63843345</v>
      </c>
      <c r="BT945" s="331">
        <f t="shared" si="64"/>
        <v>31.16616755</v>
      </c>
      <c r="BU945" s="842">
        <v>0.6945717592592593</v>
      </c>
      <c r="BV945" s="333"/>
      <c r="BW945" s="330">
        <v>14.9727272727272</v>
      </c>
      <c r="BX945" s="331">
        <v>6.19090909090909</v>
      </c>
      <c r="BY945" s="331">
        <f t="shared" si="65"/>
        <v>3.909186045</v>
      </c>
      <c r="BZ945" s="340"/>
      <c r="CA945" s="462" t="s">
        <v>845</v>
      </c>
      <c r="CB945" s="319" t="s">
        <v>845</v>
      </c>
      <c r="CC945" s="319" t="s">
        <v>845</v>
      </c>
      <c r="CD945" s="319" t="s">
        <v>845</v>
      </c>
      <c r="CE945" s="319" t="s">
        <v>845</v>
      </c>
      <c r="CF945" s="319" t="s">
        <v>845</v>
      </c>
      <c r="CG945" s="319" t="s">
        <v>845</v>
      </c>
      <c r="CH945" s="319" t="s">
        <v>845</v>
      </c>
      <c r="CI945" s="319" t="s">
        <v>845</v>
      </c>
      <c r="CJ945" s="327" t="s">
        <v>845</v>
      </c>
      <c r="CK945" s="342">
        <f t="shared" si="18"/>
        <v>0</v>
      </c>
      <c r="CL945" s="333">
        <f t="shared" si="19"/>
        <v>0</v>
      </c>
      <c r="CM945" s="829"/>
      <c r="CN945" s="333"/>
      <c r="CO945" s="333"/>
      <c r="CP945" s="333"/>
    </row>
    <row r="946">
      <c r="B946" s="849" t="s">
        <v>1561</v>
      </c>
      <c r="C946" s="850">
        <v>44385.0</v>
      </c>
      <c r="D946" s="851"/>
      <c r="E946" s="852">
        <v>37.0</v>
      </c>
      <c r="F946" s="853" t="s">
        <v>1610</v>
      </c>
      <c r="G946" s="854">
        <v>0.6976851851851852</v>
      </c>
      <c r="H946" s="855">
        <v>0.6982060185185185</v>
      </c>
      <c r="I946" s="855"/>
      <c r="J946" s="855"/>
      <c r="K946" s="855">
        <v>0.6997106481481481</v>
      </c>
      <c r="L946" s="855">
        <v>0.0015046296296296296</v>
      </c>
      <c r="M946" s="852" t="s">
        <v>166</v>
      </c>
      <c r="N946" s="853" t="s">
        <v>187</v>
      </c>
      <c r="O946" s="856" t="s">
        <v>204</v>
      </c>
      <c r="P946" s="852" t="s">
        <v>262</v>
      </c>
      <c r="Q946" s="851"/>
      <c r="R946" s="857">
        <v>17.9</v>
      </c>
      <c r="S946" s="852">
        <v>3.6</v>
      </c>
      <c r="T946" s="853">
        <v>2.6</v>
      </c>
      <c r="U946" s="852">
        <v>1.0</v>
      </c>
      <c r="V946" s="852"/>
      <c r="W946" s="852"/>
      <c r="X946" s="852"/>
      <c r="Y946" s="852"/>
      <c r="Z946" s="852" t="s">
        <v>365</v>
      </c>
      <c r="AA946" s="852"/>
      <c r="AB946" s="852" t="s">
        <v>388</v>
      </c>
      <c r="AC946" s="858">
        <v>8.0</v>
      </c>
      <c r="AD946" s="319"/>
      <c r="AE946" s="319"/>
      <c r="AF946" s="319"/>
      <c r="AG946" s="319"/>
      <c r="AH946" s="319"/>
      <c r="AI946" s="319"/>
      <c r="AJ946" s="327"/>
      <c r="AK946" s="328"/>
      <c r="AL946" s="319"/>
      <c r="AM946" s="319"/>
      <c r="AN946" s="319"/>
      <c r="AO946" s="319"/>
      <c r="AP946" s="319"/>
      <c r="AQ946" s="319"/>
      <c r="AR946" s="319"/>
      <c r="AS946" s="327"/>
      <c r="AT946" s="461" t="s">
        <v>182</v>
      </c>
      <c r="AU946" s="861" t="s">
        <v>845</v>
      </c>
      <c r="AV946" s="862">
        <f>SQRT(($R946-Infrastructure!J$3)^2+($S946-Infrastructure!K$3)^2)</f>
        <v>31.16616755</v>
      </c>
      <c r="AW946" s="331">
        <f>SQRT(($R946-Infrastructure!J$4)^2+($S946-Infrastructure!K$4)^2)</f>
        <v>23.08419373</v>
      </c>
      <c r="AX946" s="863">
        <f>SQRT(($R946-Infrastructure!J$5)^2+($S946-Infrastructure!K$5)^2)</f>
        <v>18.26170857</v>
      </c>
      <c r="AY946" s="863">
        <f>SQRT(($R946-Infrastructure!J$6)^2+($S946-Infrastructure!K$6)^2)</f>
        <v>8.469356528</v>
      </c>
      <c r="AZ946" s="863">
        <f>SQRT(($R946-Infrastructure!J$7)^2+($S946-Infrastructure!K$7)^2)</f>
        <v>4.201190308</v>
      </c>
      <c r="BA946" s="863">
        <f>SQRT(($R946-Infrastructure!J$8)^2+($S946-Infrastructure!K$8)^2)</f>
        <v>12.63843345</v>
      </c>
      <c r="BB946" s="331">
        <f>SQRT(($R946-Infrastructure!J$9)^2+($S946-Infrastructure!K$9)^2)</f>
        <v>22.15084648</v>
      </c>
      <c r="BC946" s="863">
        <f>SQRT(($R946-Infrastructure!J$10)^2+($S946-Infrastructure!K$10)^2)</f>
        <v>24.86704647</v>
      </c>
      <c r="BD946" s="863">
        <f>SQRT(($R946-Infrastructure!J$11)^2+($S946-Infrastructure!K$11)^2)</f>
        <v>33.80014793</v>
      </c>
      <c r="BE946" s="864">
        <f>SQRT(($R946-Infrastructure!J$12)^2+($S946-Infrastructure!K$12)^2)</f>
        <v>52.02470567</v>
      </c>
      <c r="BF946" s="330">
        <f t="shared" si="14"/>
        <v>4.201190308</v>
      </c>
      <c r="BG946" s="333">
        <f t="shared" si="15"/>
        <v>52.02470567</v>
      </c>
      <c r="BH946" s="865"/>
      <c r="BI946" s="866" t="s">
        <v>845</v>
      </c>
      <c r="BJ946" s="851" t="s">
        <v>846</v>
      </c>
      <c r="BK946" s="851" t="s">
        <v>845</v>
      </c>
      <c r="BL946" s="851" t="s">
        <v>845</v>
      </c>
      <c r="BM946" s="851" t="s">
        <v>845</v>
      </c>
      <c r="BN946" s="851" t="s">
        <v>845</v>
      </c>
      <c r="BO946" s="851" t="s">
        <v>845</v>
      </c>
      <c r="BP946" s="851" t="s">
        <v>845</v>
      </c>
      <c r="BQ946" s="851" t="s">
        <v>845</v>
      </c>
      <c r="BR946" s="867" t="s">
        <v>845</v>
      </c>
      <c r="BS946" s="330">
        <f t="shared" si="63"/>
        <v>23.08419373</v>
      </c>
      <c r="BT946" s="331">
        <f t="shared" si="64"/>
        <v>23.08419373</v>
      </c>
      <c r="BU946" s="842">
        <v>0.6982060185185185</v>
      </c>
      <c r="BV946" s="864"/>
      <c r="BW946" s="862"/>
      <c r="BX946" s="863"/>
      <c r="BY946" s="331" t="b">
        <f t="shared" si="65"/>
        <v>0</v>
      </c>
      <c r="BZ946" s="869"/>
      <c r="CA946" s="849" t="s">
        <v>845</v>
      </c>
      <c r="CB946" s="852" t="s">
        <v>845</v>
      </c>
      <c r="CC946" s="852" t="s">
        <v>845</v>
      </c>
      <c r="CD946" s="852" t="s">
        <v>845</v>
      </c>
      <c r="CE946" s="852" t="s">
        <v>845</v>
      </c>
      <c r="CF946" s="852" t="s">
        <v>845</v>
      </c>
      <c r="CG946" s="852" t="s">
        <v>845</v>
      </c>
      <c r="CH946" s="852" t="s">
        <v>845</v>
      </c>
      <c r="CI946" s="852" t="s">
        <v>845</v>
      </c>
      <c r="CJ946" s="858" t="s">
        <v>845</v>
      </c>
      <c r="CK946" s="342">
        <f t="shared" si="18"/>
        <v>0</v>
      </c>
      <c r="CL946" s="333">
        <f t="shared" si="19"/>
        <v>0</v>
      </c>
      <c r="CM946" s="870"/>
      <c r="CN946" s="333"/>
      <c r="CO946" s="333"/>
      <c r="CP946" s="333"/>
    </row>
    <row r="947">
      <c r="B947" s="462" t="s">
        <v>1561</v>
      </c>
      <c r="C947" s="417">
        <v>44385.0</v>
      </c>
      <c r="D947" s="318"/>
      <c r="E947" s="319">
        <v>38.0</v>
      </c>
      <c r="F947" s="324" t="s">
        <v>1611</v>
      </c>
      <c r="G947" s="321">
        <v>0.7043402777777777</v>
      </c>
      <c r="H947" s="323">
        <v>0.7048611111111112</v>
      </c>
      <c r="I947" s="323"/>
      <c r="J947" s="323"/>
      <c r="K947" s="323">
        <v>0.7063078703703703</v>
      </c>
      <c r="L947" s="323">
        <v>0.0014467592592592592</v>
      </c>
      <c r="M947" s="319" t="s">
        <v>166</v>
      </c>
      <c r="N947" s="324" t="s">
        <v>187</v>
      </c>
      <c r="O947" s="419" t="s">
        <v>199</v>
      </c>
      <c r="P947" s="319" t="s">
        <v>220</v>
      </c>
      <c r="Q947" s="318"/>
      <c r="R947" s="326">
        <v>16.1</v>
      </c>
      <c r="S947" s="319">
        <v>9.6</v>
      </c>
      <c r="T947" s="324">
        <v>0.0</v>
      </c>
      <c r="U947" s="319">
        <v>5.0</v>
      </c>
      <c r="V947" s="319"/>
      <c r="W947" s="319"/>
      <c r="X947" s="319"/>
      <c r="Y947" s="319"/>
      <c r="Z947" s="319" t="s">
        <v>351</v>
      </c>
      <c r="AA947" s="319"/>
      <c r="AB947" s="319" t="s">
        <v>388</v>
      </c>
      <c r="AC947" s="327">
        <v>8.0</v>
      </c>
      <c r="AD947" s="319"/>
      <c r="AE947" s="319"/>
      <c r="AF947" s="319"/>
      <c r="AG947" s="319"/>
      <c r="AH947" s="319"/>
      <c r="AI947" s="319"/>
      <c r="AJ947" s="327"/>
      <c r="AK947" s="328"/>
      <c r="AL947" s="319"/>
      <c r="AM947" s="319"/>
      <c r="AN947" s="319"/>
      <c r="AO947" s="319"/>
      <c r="AP947" s="319"/>
      <c r="AQ947" s="319"/>
      <c r="AR947" s="319"/>
      <c r="AS947" s="327"/>
      <c r="AT947" s="460" t="s">
        <v>182</v>
      </c>
      <c r="AU947" s="345" t="s">
        <v>845</v>
      </c>
      <c r="AV947" s="330">
        <f>SQRT(($R947-Infrastructure!J$3)^2+($S947-Infrastructure!K$3)^2)</f>
        <v>25.32686321</v>
      </c>
      <c r="AW947" s="331">
        <f>SQRT(($R947-Infrastructure!J$4)^2+($S947-Infrastructure!K$4)^2)</f>
        <v>18.33575742</v>
      </c>
      <c r="AX947" s="331">
        <f>SQRT(($R947-Infrastructure!J$5)^2+($S947-Infrastructure!K$5)^2)</f>
        <v>17.00617535</v>
      </c>
      <c r="AY947" s="331">
        <f>SQRT(($R947-Infrastructure!J$6)^2+($S947-Infrastructure!K$6)^2)</f>
        <v>11.06752005</v>
      </c>
      <c r="AZ947" s="331">
        <f>SQRT(($R947-Infrastructure!J$7)^2+($S947-Infrastructure!K$7)^2)</f>
        <v>10.28834292</v>
      </c>
      <c r="BA947" s="331">
        <f>SQRT(($R947-Infrastructure!J$8)^2+($S947-Infrastructure!K$8)^2)</f>
        <v>16.80743883</v>
      </c>
      <c r="BB947" s="331">
        <f>SQRT(($R947-Infrastructure!J$9)^2+($S947-Infrastructure!K$9)^2)</f>
        <v>24.31995066</v>
      </c>
      <c r="BC947" s="331">
        <f>SQRT(($R947-Infrastructure!J$10)^2+($S947-Infrastructure!K$10)^2)</f>
        <v>24.50244886</v>
      </c>
      <c r="BD947" s="331">
        <f>SQRT(($R947-Infrastructure!J$11)^2+($S947-Infrastructure!K$11)^2)</f>
        <v>30.93816413</v>
      </c>
      <c r="BE947" s="333">
        <f>SQRT(($R947-Infrastructure!J$12)^2+($S947-Infrastructure!K$12)^2)</f>
        <v>46.21655548</v>
      </c>
      <c r="BF947" s="330">
        <f t="shared" si="14"/>
        <v>10.28834292</v>
      </c>
      <c r="BG947" s="333">
        <f t="shared" si="15"/>
        <v>46.21655548</v>
      </c>
      <c r="BH947" s="334"/>
      <c r="BI947" s="316" t="s">
        <v>845</v>
      </c>
      <c r="BJ947" s="318" t="s">
        <v>846</v>
      </c>
      <c r="BK947" s="318" t="s">
        <v>845</v>
      </c>
      <c r="BL947" s="318" t="s">
        <v>845</v>
      </c>
      <c r="BM947" s="318" t="s">
        <v>845</v>
      </c>
      <c r="BN947" s="318" t="s">
        <v>845</v>
      </c>
      <c r="BO947" s="318" t="s">
        <v>846</v>
      </c>
      <c r="BP947" s="318" t="s">
        <v>845</v>
      </c>
      <c r="BQ947" s="318" t="s">
        <v>845</v>
      </c>
      <c r="BR947" s="332" t="s">
        <v>845</v>
      </c>
      <c r="BS947" s="330">
        <f t="shared" si="63"/>
        <v>18.33575742</v>
      </c>
      <c r="BT947" s="331">
        <f t="shared" si="64"/>
        <v>24.31995066</v>
      </c>
      <c r="BU947" s="842">
        <v>0.7047222222222222</v>
      </c>
      <c r="BV947" s="333"/>
      <c r="BW947" s="330"/>
      <c r="BX947" s="331"/>
      <c r="BY947" s="331" t="b">
        <f t="shared" si="65"/>
        <v>0</v>
      </c>
      <c r="BZ947" s="340"/>
      <c r="CA947" s="462" t="s">
        <v>845</v>
      </c>
      <c r="CB947" s="319" t="s">
        <v>845</v>
      </c>
      <c r="CC947" s="319" t="s">
        <v>845</v>
      </c>
      <c r="CD947" s="319" t="s">
        <v>845</v>
      </c>
      <c r="CE947" s="319" t="s">
        <v>845</v>
      </c>
      <c r="CF947" s="319" t="s">
        <v>845</v>
      </c>
      <c r="CG947" s="319" t="s">
        <v>845</v>
      </c>
      <c r="CH947" s="319" t="s">
        <v>845</v>
      </c>
      <c r="CI947" s="319" t="s">
        <v>845</v>
      </c>
      <c r="CJ947" s="327" t="s">
        <v>845</v>
      </c>
      <c r="CK947" s="342">
        <f t="shared" si="18"/>
        <v>0</v>
      </c>
      <c r="CL947" s="333">
        <f t="shared" si="19"/>
        <v>0</v>
      </c>
      <c r="CM947" s="829"/>
      <c r="CN947" s="333"/>
      <c r="CO947" s="333"/>
      <c r="CP947" s="333"/>
    </row>
    <row r="948">
      <c r="B948" s="462" t="s">
        <v>1561</v>
      </c>
      <c r="C948" s="417">
        <v>44385.0</v>
      </c>
      <c r="D948" s="318"/>
      <c r="E948" s="319">
        <v>39.0</v>
      </c>
      <c r="F948" s="324" t="s">
        <v>1612</v>
      </c>
      <c r="G948" s="321">
        <v>0.7076388888888889</v>
      </c>
      <c r="H948" s="323">
        <v>0.7081597222222222</v>
      </c>
      <c r="I948" s="323"/>
      <c r="J948" s="323"/>
      <c r="K948" s="323">
        <v>0.7095486111111111</v>
      </c>
      <c r="L948" s="323">
        <v>0.001388888888888889</v>
      </c>
      <c r="M948" s="319" t="s">
        <v>166</v>
      </c>
      <c r="N948" s="324" t="s">
        <v>187</v>
      </c>
      <c r="O948" s="419" t="s">
        <v>199</v>
      </c>
      <c r="P948" s="319" t="s">
        <v>220</v>
      </c>
      <c r="Q948" s="318"/>
      <c r="R948" s="326">
        <v>16.1</v>
      </c>
      <c r="S948" s="319">
        <v>9.6</v>
      </c>
      <c r="T948" s="324">
        <v>0.01</v>
      </c>
      <c r="U948" s="319">
        <v>4.0</v>
      </c>
      <c r="V948" s="319"/>
      <c r="W948" s="319"/>
      <c r="X948" s="319"/>
      <c r="Y948" s="319"/>
      <c r="Z948" s="319" t="s">
        <v>351</v>
      </c>
      <c r="AA948" s="319"/>
      <c r="AB948" s="319" t="s">
        <v>388</v>
      </c>
      <c r="AC948" s="327">
        <v>8.0</v>
      </c>
      <c r="AD948" s="319"/>
      <c r="AE948" s="319"/>
      <c r="AF948" s="319"/>
      <c r="AG948" s="319"/>
      <c r="AH948" s="319"/>
      <c r="AI948" s="319"/>
      <c r="AJ948" s="327"/>
      <c r="AK948" s="328"/>
      <c r="AL948" s="319"/>
      <c r="AM948" s="319"/>
      <c r="AN948" s="319"/>
      <c r="AO948" s="319"/>
      <c r="AP948" s="319"/>
      <c r="AQ948" s="319"/>
      <c r="AR948" s="319"/>
      <c r="AS948" s="327"/>
      <c r="AT948" s="461" t="s">
        <v>182</v>
      </c>
      <c r="AU948" s="345" t="s">
        <v>845</v>
      </c>
      <c r="AV948" s="330">
        <f>SQRT(($R948-Infrastructure!J$3)^2+($S948-Infrastructure!K$3)^2)</f>
        <v>25.32686321</v>
      </c>
      <c r="AW948" s="331">
        <f>SQRT(($R948-Infrastructure!J$4)^2+($S948-Infrastructure!K$4)^2)</f>
        <v>18.33575742</v>
      </c>
      <c r="AX948" s="331">
        <f>SQRT(($R948-Infrastructure!J$5)^2+($S948-Infrastructure!K$5)^2)</f>
        <v>17.00617535</v>
      </c>
      <c r="AY948" s="331">
        <f>SQRT(($R948-Infrastructure!J$6)^2+($S948-Infrastructure!K$6)^2)</f>
        <v>11.06752005</v>
      </c>
      <c r="AZ948" s="331">
        <f>SQRT(($R948-Infrastructure!J$7)^2+($S948-Infrastructure!K$7)^2)</f>
        <v>10.28834292</v>
      </c>
      <c r="BA948" s="331">
        <f>SQRT(($R948-Infrastructure!J$8)^2+($S948-Infrastructure!K$8)^2)</f>
        <v>16.80743883</v>
      </c>
      <c r="BB948" s="331">
        <f>SQRT(($R948-Infrastructure!J$9)^2+($S948-Infrastructure!K$9)^2)</f>
        <v>24.31995066</v>
      </c>
      <c r="BC948" s="331">
        <f>SQRT(($R948-Infrastructure!J$10)^2+($S948-Infrastructure!K$10)^2)</f>
        <v>24.50244886</v>
      </c>
      <c r="BD948" s="331">
        <f>SQRT(($R948-Infrastructure!J$11)^2+($S948-Infrastructure!K$11)^2)</f>
        <v>30.93816413</v>
      </c>
      <c r="BE948" s="333">
        <f>SQRT(($R948-Infrastructure!J$12)^2+($S948-Infrastructure!K$12)^2)</f>
        <v>46.21655548</v>
      </c>
      <c r="BF948" s="330">
        <f t="shared" si="14"/>
        <v>10.28834292</v>
      </c>
      <c r="BG948" s="333">
        <f t="shared" si="15"/>
        <v>46.21655548</v>
      </c>
      <c r="BH948" s="334"/>
      <c r="BI948" s="316" t="s">
        <v>846</v>
      </c>
      <c r="BJ948" s="318" t="s">
        <v>846</v>
      </c>
      <c r="BK948" s="318" t="s">
        <v>846</v>
      </c>
      <c r="BL948" s="318" t="s">
        <v>846</v>
      </c>
      <c r="BM948" s="318" t="s">
        <v>845</v>
      </c>
      <c r="BN948" s="318" t="s">
        <v>846</v>
      </c>
      <c r="BO948" s="318" t="s">
        <v>846</v>
      </c>
      <c r="BP948" s="318" t="s">
        <v>845</v>
      </c>
      <c r="BQ948" s="318" t="s">
        <v>845</v>
      </c>
      <c r="BR948" s="332" t="s">
        <v>846</v>
      </c>
      <c r="BS948" s="330">
        <f t="shared" si="63"/>
        <v>11.06752005</v>
      </c>
      <c r="BT948" s="331">
        <f t="shared" si="64"/>
        <v>46.21655548</v>
      </c>
      <c r="BU948" s="842">
        <v>0.7077546296296297</v>
      </c>
      <c r="BV948" s="333"/>
      <c r="BW948" s="330">
        <v>20.975</v>
      </c>
      <c r="BX948" s="331">
        <v>9.3</v>
      </c>
      <c r="BY948" s="331">
        <f t="shared" si="65"/>
        <v>4.884222047</v>
      </c>
      <c r="BZ948" s="340"/>
      <c r="CA948" s="462" t="s">
        <v>845</v>
      </c>
      <c r="CB948" s="319" t="s">
        <v>845</v>
      </c>
      <c r="CC948" s="319" t="s">
        <v>845</v>
      </c>
      <c r="CD948" s="319" t="s">
        <v>845</v>
      </c>
      <c r="CE948" s="319" t="s">
        <v>845</v>
      </c>
      <c r="CF948" s="319" t="s">
        <v>845</v>
      </c>
      <c r="CG948" s="319" t="s">
        <v>845</v>
      </c>
      <c r="CH948" s="319" t="s">
        <v>845</v>
      </c>
      <c r="CI948" s="319" t="s">
        <v>845</v>
      </c>
      <c r="CJ948" s="327" t="s">
        <v>845</v>
      </c>
      <c r="CK948" s="342">
        <f t="shared" si="18"/>
        <v>0</v>
      </c>
      <c r="CL948" s="333">
        <f t="shared" si="19"/>
        <v>0</v>
      </c>
      <c r="CM948" s="829"/>
      <c r="CN948" s="333"/>
      <c r="CO948" s="333"/>
      <c r="CP948" s="333"/>
    </row>
    <row r="949">
      <c r="B949" s="462" t="s">
        <v>1561</v>
      </c>
      <c r="C949" s="417">
        <v>44385.0</v>
      </c>
      <c r="D949" s="318"/>
      <c r="E949" s="319">
        <v>40.0</v>
      </c>
      <c r="F949" s="324" t="s">
        <v>1613</v>
      </c>
      <c r="G949" s="321">
        <v>0.7109375</v>
      </c>
      <c r="H949" s="323">
        <v>0.7112847222222223</v>
      </c>
      <c r="I949" s="323"/>
      <c r="J949" s="323"/>
      <c r="K949" s="323">
        <v>0.7127314814814815</v>
      </c>
      <c r="L949" s="323">
        <v>0.0014467592592592592</v>
      </c>
      <c r="M949" s="319" t="s">
        <v>166</v>
      </c>
      <c r="N949" s="324" t="s">
        <v>187</v>
      </c>
      <c r="O949" s="419" t="s">
        <v>199</v>
      </c>
      <c r="P949" s="319" t="s">
        <v>220</v>
      </c>
      <c r="Q949" s="318"/>
      <c r="R949" s="326">
        <v>16.1</v>
      </c>
      <c r="S949" s="319">
        <v>9.6</v>
      </c>
      <c r="T949" s="324">
        <v>0.0</v>
      </c>
      <c r="U949" s="319">
        <v>3.0</v>
      </c>
      <c r="V949" s="319"/>
      <c r="W949" s="319"/>
      <c r="X949" s="319"/>
      <c r="Y949" s="319"/>
      <c r="Z949" s="319" t="s">
        <v>351</v>
      </c>
      <c r="AA949" s="319"/>
      <c r="AB949" s="319" t="s">
        <v>388</v>
      </c>
      <c r="AC949" s="327">
        <v>8.0</v>
      </c>
      <c r="AD949" s="319"/>
      <c r="AE949" s="319"/>
      <c r="AF949" s="319"/>
      <c r="AG949" s="319"/>
      <c r="AH949" s="319"/>
      <c r="AI949" s="319"/>
      <c r="AJ949" s="327"/>
      <c r="AK949" s="328"/>
      <c r="AL949" s="319"/>
      <c r="AM949" s="319"/>
      <c r="AN949" s="319"/>
      <c r="AO949" s="319"/>
      <c r="AP949" s="319"/>
      <c r="AQ949" s="319"/>
      <c r="AR949" s="319"/>
      <c r="AS949" s="327"/>
      <c r="AT949" s="461" t="s">
        <v>182</v>
      </c>
      <c r="AU949" s="345" t="s">
        <v>845</v>
      </c>
      <c r="AV949" s="330">
        <f>SQRT(($R949-Infrastructure!J$3)^2+($S949-Infrastructure!K$3)^2)</f>
        <v>25.32686321</v>
      </c>
      <c r="AW949" s="331">
        <f>SQRT(($R949-Infrastructure!J$4)^2+($S949-Infrastructure!K$4)^2)</f>
        <v>18.33575742</v>
      </c>
      <c r="AX949" s="331">
        <f>SQRT(($R949-Infrastructure!J$5)^2+($S949-Infrastructure!K$5)^2)</f>
        <v>17.00617535</v>
      </c>
      <c r="AY949" s="331">
        <f>SQRT(($R949-Infrastructure!J$6)^2+($S949-Infrastructure!K$6)^2)</f>
        <v>11.06752005</v>
      </c>
      <c r="AZ949" s="331">
        <f>SQRT(($R949-Infrastructure!J$7)^2+($S949-Infrastructure!K$7)^2)</f>
        <v>10.28834292</v>
      </c>
      <c r="BA949" s="331">
        <f>SQRT(($R949-Infrastructure!J$8)^2+($S949-Infrastructure!K$8)^2)</f>
        <v>16.80743883</v>
      </c>
      <c r="BB949" s="331">
        <f>SQRT(($R949-Infrastructure!J$9)^2+($S949-Infrastructure!K$9)^2)</f>
        <v>24.31995066</v>
      </c>
      <c r="BC949" s="331">
        <f>SQRT(($R949-Infrastructure!J$10)^2+($S949-Infrastructure!K$10)^2)</f>
        <v>24.50244886</v>
      </c>
      <c r="BD949" s="331">
        <f>SQRT(($R949-Infrastructure!J$11)^2+($S949-Infrastructure!K$11)^2)</f>
        <v>30.93816413</v>
      </c>
      <c r="BE949" s="333">
        <f>SQRT(($R949-Infrastructure!J$12)^2+($S949-Infrastructure!K$12)^2)</f>
        <v>46.21655548</v>
      </c>
      <c r="BF949" s="330">
        <f t="shared" si="14"/>
        <v>10.28834292</v>
      </c>
      <c r="BG949" s="333">
        <f t="shared" si="15"/>
        <v>46.21655548</v>
      </c>
      <c r="BH949" s="334"/>
      <c r="BI949" s="316" t="s">
        <v>845</v>
      </c>
      <c r="BJ949" s="318" t="s">
        <v>846</v>
      </c>
      <c r="BK949" s="318" t="s">
        <v>846</v>
      </c>
      <c r="BL949" s="318" t="s">
        <v>846</v>
      </c>
      <c r="BM949" s="318" t="s">
        <v>845</v>
      </c>
      <c r="BN949" s="318" t="s">
        <v>845</v>
      </c>
      <c r="BO949" s="318" t="s">
        <v>845</v>
      </c>
      <c r="BP949" s="318" t="s">
        <v>846</v>
      </c>
      <c r="BQ949" s="318" t="s">
        <v>846</v>
      </c>
      <c r="BR949" s="332" t="s">
        <v>846</v>
      </c>
      <c r="BS949" s="330">
        <f t="shared" si="63"/>
        <v>11.06752005</v>
      </c>
      <c r="BT949" s="331">
        <f t="shared" si="64"/>
        <v>46.21655548</v>
      </c>
      <c r="BU949" s="842">
        <v>0.7110763888888889</v>
      </c>
      <c r="BV949" s="333"/>
      <c r="BW949" s="330">
        <v>22.0666666666666</v>
      </c>
      <c r="BX949" s="331">
        <v>12.0444444444444</v>
      </c>
      <c r="BY949" s="331">
        <f t="shared" si="65"/>
        <v>6.447977958</v>
      </c>
      <c r="BZ949" s="340"/>
      <c r="CA949" s="462" t="s">
        <v>845</v>
      </c>
      <c r="CB949" s="319" t="s">
        <v>845</v>
      </c>
      <c r="CC949" s="319" t="s">
        <v>845</v>
      </c>
      <c r="CD949" s="319" t="s">
        <v>845</v>
      </c>
      <c r="CE949" s="319" t="s">
        <v>845</v>
      </c>
      <c r="CF949" s="319" t="s">
        <v>845</v>
      </c>
      <c r="CG949" s="319" t="s">
        <v>845</v>
      </c>
      <c r="CH949" s="319" t="s">
        <v>845</v>
      </c>
      <c r="CI949" s="319" t="s">
        <v>845</v>
      </c>
      <c r="CJ949" s="327" t="s">
        <v>845</v>
      </c>
      <c r="CK949" s="342">
        <f t="shared" si="18"/>
        <v>0</v>
      </c>
      <c r="CL949" s="333">
        <f t="shared" si="19"/>
        <v>0</v>
      </c>
      <c r="CM949" s="829"/>
      <c r="CN949" s="333"/>
      <c r="CO949" s="333"/>
      <c r="CP949" s="333"/>
    </row>
    <row r="950">
      <c r="B950" s="849" t="s">
        <v>1561</v>
      </c>
      <c r="C950" s="850">
        <v>44385.0</v>
      </c>
      <c r="D950" s="851"/>
      <c r="E950" s="852">
        <v>41.0</v>
      </c>
      <c r="F950" s="853" t="s">
        <v>1614</v>
      </c>
      <c r="G950" s="854">
        <v>0.7143518518518519</v>
      </c>
      <c r="H950" s="855">
        <v>0.7147569444444445</v>
      </c>
      <c r="I950" s="855"/>
      <c r="J950" s="855"/>
      <c r="K950" s="855">
        <v>0.7161458333333334</v>
      </c>
      <c r="L950" s="855">
        <v>0.001388888888888889</v>
      </c>
      <c r="M950" s="852" t="s">
        <v>166</v>
      </c>
      <c r="N950" s="853" t="s">
        <v>187</v>
      </c>
      <c r="O950" s="856" t="s">
        <v>199</v>
      </c>
      <c r="P950" s="852" t="s">
        <v>220</v>
      </c>
      <c r="Q950" s="851"/>
      <c r="R950" s="857">
        <v>16.1</v>
      </c>
      <c r="S950" s="852">
        <v>9.6</v>
      </c>
      <c r="T950" s="853">
        <v>0.0</v>
      </c>
      <c r="U950" s="852">
        <v>2.0</v>
      </c>
      <c r="V950" s="852"/>
      <c r="W950" s="852"/>
      <c r="X950" s="852"/>
      <c r="Y950" s="852"/>
      <c r="Z950" s="852" t="s">
        <v>351</v>
      </c>
      <c r="AA950" s="852"/>
      <c r="AB950" s="852" t="s">
        <v>388</v>
      </c>
      <c r="AC950" s="858">
        <v>8.0</v>
      </c>
      <c r="AD950" s="852"/>
      <c r="AE950" s="852"/>
      <c r="AF950" s="852"/>
      <c r="AG950" s="852"/>
      <c r="AH950" s="852"/>
      <c r="AI950" s="852"/>
      <c r="AJ950" s="858"/>
      <c r="AK950" s="859"/>
      <c r="AL950" s="852"/>
      <c r="AM950" s="852"/>
      <c r="AN950" s="852"/>
      <c r="AO950" s="852"/>
      <c r="AP950" s="852"/>
      <c r="AQ950" s="852"/>
      <c r="AR950" s="852"/>
      <c r="AS950" s="858"/>
      <c r="AT950" s="860" t="s">
        <v>182</v>
      </c>
      <c r="AU950" s="861" t="s">
        <v>845</v>
      </c>
      <c r="AV950" s="862">
        <f>SQRT(($R950-Infrastructure!J$3)^2+($S950-Infrastructure!K$3)^2)</f>
        <v>25.32686321</v>
      </c>
      <c r="AW950" s="331">
        <f>SQRT(($R950-Infrastructure!J$4)^2+($S950-Infrastructure!K$4)^2)</f>
        <v>18.33575742</v>
      </c>
      <c r="AX950" s="863">
        <f>SQRT(($R950-Infrastructure!J$5)^2+($S950-Infrastructure!K$5)^2)</f>
        <v>17.00617535</v>
      </c>
      <c r="AY950" s="863">
        <f>SQRT(($R950-Infrastructure!J$6)^2+($S950-Infrastructure!K$6)^2)</f>
        <v>11.06752005</v>
      </c>
      <c r="AZ950" s="863">
        <f>SQRT(($R950-Infrastructure!J$7)^2+($S950-Infrastructure!K$7)^2)</f>
        <v>10.28834292</v>
      </c>
      <c r="BA950" s="863">
        <f>SQRT(($R950-Infrastructure!J$8)^2+($S950-Infrastructure!K$8)^2)</f>
        <v>16.80743883</v>
      </c>
      <c r="BB950" s="331">
        <f>SQRT(($R950-Infrastructure!J$9)^2+($S950-Infrastructure!K$9)^2)</f>
        <v>24.31995066</v>
      </c>
      <c r="BC950" s="863">
        <f>SQRT(($R950-Infrastructure!J$10)^2+($S950-Infrastructure!K$10)^2)</f>
        <v>24.50244886</v>
      </c>
      <c r="BD950" s="863">
        <f>SQRT(($R950-Infrastructure!J$11)^2+($S950-Infrastructure!K$11)^2)</f>
        <v>30.93816413</v>
      </c>
      <c r="BE950" s="864">
        <f>SQRT(($R950-Infrastructure!J$12)^2+($S950-Infrastructure!K$12)^2)</f>
        <v>46.21655548</v>
      </c>
      <c r="BF950" s="330">
        <f t="shared" si="14"/>
        <v>10.28834292</v>
      </c>
      <c r="BG950" s="333">
        <f t="shared" si="15"/>
        <v>46.21655548</v>
      </c>
      <c r="BH950" s="865"/>
      <c r="BI950" s="866" t="s">
        <v>845</v>
      </c>
      <c r="BJ950" s="851" t="s">
        <v>845</v>
      </c>
      <c r="BK950" s="851" t="s">
        <v>845</v>
      </c>
      <c r="BL950" s="851" t="s">
        <v>845</v>
      </c>
      <c r="BM950" s="851" t="s">
        <v>845</v>
      </c>
      <c r="BN950" s="851" t="s">
        <v>845</v>
      </c>
      <c r="BO950" s="851" t="s">
        <v>845</v>
      </c>
      <c r="BP950" s="851" t="s">
        <v>845</v>
      </c>
      <c r="BQ950" s="851" t="s">
        <v>845</v>
      </c>
      <c r="BR950" s="867" t="s">
        <v>846</v>
      </c>
      <c r="BS950" s="330">
        <f t="shared" si="63"/>
        <v>46.21655548</v>
      </c>
      <c r="BT950" s="331">
        <f t="shared" si="64"/>
        <v>46.21655548</v>
      </c>
      <c r="BU950" s="842">
        <v>0.7161342592592592</v>
      </c>
      <c r="BV950" s="864"/>
      <c r="BW950" s="862">
        <v>17.24</v>
      </c>
      <c r="BX950" s="863">
        <v>14.87</v>
      </c>
      <c r="BY950" s="331">
        <f t="shared" si="65"/>
        <v>5.391892061</v>
      </c>
      <c r="BZ950" s="869"/>
      <c r="CA950" s="849" t="s">
        <v>845</v>
      </c>
      <c r="CB950" s="852" t="s">
        <v>845</v>
      </c>
      <c r="CC950" s="852" t="s">
        <v>845</v>
      </c>
      <c r="CD950" s="852" t="s">
        <v>845</v>
      </c>
      <c r="CE950" s="852" t="s">
        <v>845</v>
      </c>
      <c r="CF950" s="852" t="s">
        <v>845</v>
      </c>
      <c r="CG950" s="852" t="s">
        <v>845</v>
      </c>
      <c r="CH950" s="852" t="s">
        <v>845</v>
      </c>
      <c r="CI950" s="852" t="s">
        <v>845</v>
      </c>
      <c r="CJ950" s="858" t="s">
        <v>845</v>
      </c>
      <c r="CK950" s="342">
        <f t="shared" si="18"/>
        <v>0</v>
      </c>
      <c r="CL950" s="333">
        <f t="shared" si="19"/>
        <v>0</v>
      </c>
      <c r="CM950" s="870"/>
      <c r="CN950" s="333"/>
      <c r="CO950" s="333"/>
      <c r="CP950" s="333"/>
    </row>
    <row r="951">
      <c r="B951" s="462" t="s">
        <v>1561</v>
      </c>
      <c r="C951" s="417">
        <v>44385.0</v>
      </c>
      <c r="D951" s="318"/>
      <c r="E951" s="319">
        <v>42.0</v>
      </c>
      <c r="F951" s="324" t="s">
        <v>1615</v>
      </c>
      <c r="G951" s="321">
        <v>0.7199652777777777</v>
      </c>
      <c r="H951" s="323">
        <v>0.7204861111111112</v>
      </c>
      <c r="I951" s="323"/>
      <c r="J951" s="323"/>
      <c r="K951" s="323">
        <v>0.721875</v>
      </c>
      <c r="L951" s="323">
        <v>0.001388888888888889</v>
      </c>
      <c r="M951" s="319" t="s">
        <v>166</v>
      </c>
      <c r="N951" s="324" t="s">
        <v>188</v>
      </c>
      <c r="O951" s="419" t="s">
        <v>196</v>
      </c>
      <c r="P951" s="319" t="s">
        <v>224</v>
      </c>
      <c r="Q951" s="319" t="s">
        <v>842</v>
      </c>
      <c r="R951" s="326">
        <v>21.7</v>
      </c>
      <c r="S951" s="319">
        <v>39.5</v>
      </c>
      <c r="T951" s="324">
        <v>1.3</v>
      </c>
      <c r="U951" s="319">
        <v>20.0</v>
      </c>
      <c r="V951" s="319"/>
      <c r="W951" s="319"/>
      <c r="X951" s="319"/>
      <c r="Y951" s="319"/>
      <c r="Z951" s="319" t="s">
        <v>387</v>
      </c>
      <c r="AA951" s="319"/>
      <c r="AB951" s="319" t="s">
        <v>413</v>
      </c>
      <c r="AC951" s="327">
        <v>26.6</v>
      </c>
      <c r="AD951" s="319"/>
      <c r="AE951" s="319"/>
      <c r="AF951" s="319"/>
      <c r="AG951" s="319"/>
      <c r="AH951" s="319"/>
      <c r="AI951" s="319"/>
      <c r="AJ951" s="327"/>
      <c r="AK951" s="328"/>
      <c r="AL951" s="319"/>
      <c r="AM951" s="319"/>
      <c r="AN951" s="319"/>
      <c r="AO951" s="319"/>
      <c r="AP951" s="319"/>
      <c r="AQ951" s="319"/>
      <c r="AR951" s="319"/>
      <c r="AS951" s="327"/>
      <c r="AT951" s="461" t="s">
        <v>183</v>
      </c>
      <c r="AU951" s="345" t="s">
        <v>845</v>
      </c>
      <c r="AV951" s="330">
        <f>SQRT(($R951-Infrastructure!J$3)^2+($S951-Infrastructure!K$3)^2)</f>
        <v>24.42048321</v>
      </c>
      <c r="AW951" s="331">
        <f>SQRT(($R951-Infrastructure!J$4)^2+($S951-Infrastructure!K$4)^2)</f>
        <v>30.90129447</v>
      </c>
      <c r="AX951" s="331">
        <f>SQRT(($R951-Infrastructure!J$5)^2+($S951-Infrastructure!K$5)^2)</f>
        <v>40.83331973</v>
      </c>
      <c r="AY951" s="331">
        <f>SQRT(($R951-Infrastructure!J$6)^2+($S951-Infrastructure!K$6)^2)</f>
        <v>40.88031311</v>
      </c>
      <c r="AZ951" s="331">
        <f>SQRT(($R951-Infrastructure!J$7)^2+($S951-Infrastructure!K$7)^2)</f>
        <v>39.21836305</v>
      </c>
      <c r="BA951" s="331">
        <f>SQRT(($R951-Infrastructure!J$8)^2+($S951-Infrastructure!K$8)^2)</f>
        <v>40.08989898</v>
      </c>
      <c r="BB951" s="331">
        <f>SQRT(($R951-Infrastructure!J$9)^2+($S951-Infrastructure!K$9)^2)</f>
        <v>38.96472764</v>
      </c>
      <c r="BC951" s="331">
        <f>SQRT(($R951-Infrastructure!J$10)^2+($S951-Infrastructure!K$10)^2)</f>
        <v>30.58005886</v>
      </c>
      <c r="BD951" s="331">
        <f>SQRT(($R951-Infrastructure!J$11)^2+($S951-Infrastructure!K$11)^2)</f>
        <v>21.27204739</v>
      </c>
      <c r="BE951" s="333">
        <f>SQRT(($R951-Infrastructure!J$12)^2+($S951-Infrastructure!K$12)^2)</f>
        <v>16.00124995</v>
      </c>
      <c r="BF951" s="330">
        <f t="shared" si="14"/>
        <v>16.00124995</v>
      </c>
      <c r="BG951" s="333">
        <f t="shared" si="15"/>
        <v>40.88031311</v>
      </c>
      <c r="BH951" s="334"/>
      <c r="BI951" s="316" t="s">
        <v>846</v>
      </c>
      <c r="BJ951" s="318" t="s">
        <v>845</v>
      </c>
      <c r="BK951" s="318" t="s">
        <v>846</v>
      </c>
      <c r="BL951" s="318" t="s">
        <v>845</v>
      </c>
      <c r="BM951" s="318" t="s">
        <v>846</v>
      </c>
      <c r="BN951" s="318" t="s">
        <v>846</v>
      </c>
      <c r="BO951" s="318" t="s">
        <v>845</v>
      </c>
      <c r="BP951" s="318" t="s">
        <v>845</v>
      </c>
      <c r="BQ951" s="318" t="s">
        <v>846</v>
      </c>
      <c r="BR951" s="332" t="s">
        <v>846</v>
      </c>
      <c r="BS951" s="330">
        <f t="shared" si="63"/>
        <v>16.00124995</v>
      </c>
      <c r="BT951" s="331">
        <f t="shared" si="64"/>
        <v>40.83331973</v>
      </c>
      <c r="BU951" s="842">
        <v>0.7200115740740741</v>
      </c>
      <c r="BV951" s="333"/>
      <c r="BW951" s="330">
        <v>19.8083333333333</v>
      </c>
      <c r="BX951" s="331">
        <v>11.5666666666666</v>
      </c>
      <c r="BY951" s="331">
        <f t="shared" si="65"/>
        <v>27.99731262</v>
      </c>
      <c r="BZ951" s="340"/>
      <c r="CA951" s="462" t="s">
        <v>845</v>
      </c>
      <c r="CB951" s="319" t="s">
        <v>845</v>
      </c>
      <c r="CC951" s="319" t="s">
        <v>845</v>
      </c>
      <c r="CD951" s="319" t="s">
        <v>845</v>
      </c>
      <c r="CE951" s="319" t="s">
        <v>845</v>
      </c>
      <c r="CF951" s="319" t="s">
        <v>845</v>
      </c>
      <c r="CG951" s="319" t="s">
        <v>845</v>
      </c>
      <c r="CH951" s="319" t="s">
        <v>845</v>
      </c>
      <c r="CI951" s="319" t="s">
        <v>845</v>
      </c>
      <c r="CJ951" s="327" t="s">
        <v>845</v>
      </c>
      <c r="CK951" s="342">
        <f t="shared" si="18"/>
        <v>0</v>
      </c>
      <c r="CL951" s="333">
        <f t="shared" si="19"/>
        <v>0</v>
      </c>
      <c r="CM951" s="829"/>
      <c r="CN951" s="333"/>
      <c r="CO951" s="333"/>
      <c r="CP951" s="333"/>
    </row>
    <row r="952">
      <c r="B952" s="462" t="s">
        <v>1561</v>
      </c>
      <c r="C952" s="417">
        <v>44385.0</v>
      </c>
      <c r="D952" s="318"/>
      <c r="E952" s="319">
        <v>44.0</v>
      </c>
      <c r="F952" s="324" t="s">
        <v>1616</v>
      </c>
      <c r="G952" s="321">
        <v>0.7229166666666667</v>
      </c>
      <c r="H952" s="323">
        <v>0.7239583333333334</v>
      </c>
      <c r="I952" s="323"/>
      <c r="J952" s="323"/>
      <c r="K952" s="323">
        <v>0.7253472222222223</v>
      </c>
      <c r="L952" s="323">
        <v>0.001388888888888889</v>
      </c>
      <c r="M952" s="319" t="s">
        <v>166</v>
      </c>
      <c r="N952" s="324" t="s">
        <v>188</v>
      </c>
      <c r="O952" s="419" t="s">
        <v>196</v>
      </c>
      <c r="P952" s="319" t="s">
        <v>224</v>
      </c>
      <c r="Q952" s="319" t="s">
        <v>842</v>
      </c>
      <c r="R952" s="326">
        <v>21.7</v>
      </c>
      <c r="S952" s="319">
        <v>39.5</v>
      </c>
      <c r="T952" s="324">
        <v>1.3</v>
      </c>
      <c r="U952" s="319">
        <v>16.0</v>
      </c>
      <c r="V952" s="319"/>
      <c r="W952" s="319"/>
      <c r="X952" s="319"/>
      <c r="Y952" s="319"/>
      <c r="Z952" s="319" t="s">
        <v>387</v>
      </c>
      <c r="AA952" s="319"/>
      <c r="AB952" s="319" t="s">
        <v>413</v>
      </c>
      <c r="AC952" s="327">
        <v>26.6</v>
      </c>
      <c r="AD952" s="319"/>
      <c r="AE952" s="319"/>
      <c r="AF952" s="319"/>
      <c r="AG952" s="319"/>
      <c r="AH952" s="319"/>
      <c r="AI952" s="319"/>
      <c r="AJ952" s="327"/>
      <c r="AK952" s="328"/>
      <c r="AL952" s="319"/>
      <c r="AM952" s="319"/>
      <c r="AN952" s="319"/>
      <c r="AO952" s="319"/>
      <c r="AP952" s="319"/>
      <c r="AQ952" s="319"/>
      <c r="AR952" s="319"/>
      <c r="AS952" s="327"/>
      <c r="AT952" s="461" t="s">
        <v>183</v>
      </c>
      <c r="AU952" s="345" t="s">
        <v>845</v>
      </c>
      <c r="AV952" s="330">
        <f>SQRT(($R952-Infrastructure!J$3)^2+($S952-Infrastructure!K$3)^2)</f>
        <v>24.42048321</v>
      </c>
      <c r="AW952" s="331">
        <f>SQRT(($R952-Infrastructure!J$4)^2+($S952-Infrastructure!K$4)^2)</f>
        <v>30.90129447</v>
      </c>
      <c r="AX952" s="331">
        <f>SQRT(($R952-Infrastructure!J$5)^2+($S952-Infrastructure!K$5)^2)</f>
        <v>40.83331973</v>
      </c>
      <c r="AY952" s="331">
        <f>SQRT(($R952-Infrastructure!J$6)^2+($S952-Infrastructure!K$6)^2)</f>
        <v>40.88031311</v>
      </c>
      <c r="AZ952" s="331">
        <f>SQRT(($R952-Infrastructure!J$7)^2+($S952-Infrastructure!K$7)^2)</f>
        <v>39.21836305</v>
      </c>
      <c r="BA952" s="331">
        <f>SQRT(($R952-Infrastructure!J$8)^2+($S952-Infrastructure!K$8)^2)</f>
        <v>40.08989898</v>
      </c>
      <c r="BB952" s="331">
        <f>SQRT(($R952-Infrastructure!J$9)^2+($S952-Infrastructure!K$9)^2)</f>
        <v>38.96472764</v>
      </c>
      <c r="BC952" s="331">
        <f>SQRT(($R952-Infrastructure!J$10)^2+($S952-Infrastructure!K$10)^2)</f>
        <v>30.58005886</v>
      </c>
      <c r="BD952" s="331">
        <f>SQRT(($R952-Infrastructure!J$11)^2+($S952-Infrastructure!K$11)^2)</f>
        <v>21.27204739</v>
      </c>
      <c r="BE952" s="333">
        <f>SQRT(($R952-Infrastructure!J$12)^2+($S952-Infrastructure!K$12)^2)</f>
        <v>16.00124995</v>
      </c>
      <c r="BF952" s="330">
        <f t="shared" si="14"/>
        <v>16.00124995</v>
      </c>
      <c r="BG952" s="333">
        <f t="shared" si="15"/>
        <v>40.88031311</v>
      </c>
      <c r="BH952" s="334"/>
      <c r="BI952" s="316" t="s">
        <v>846</v>
      </c>
      <c r="BJ952" s="318" t="s">
        <v>845</v>
      </c>
      <c r="BK952" s="318" t="s">
        <v>846</v>
      </c>
      <c r="BL952" s="318" t="s">
        <v>846</v>
      </c>
      <c r="BM952" s="318" t="s">
        <v>845</v>
      </c>
      <c r="BN952" s="318" t="s">
        <v>846</v>
      </c>
      <c r="BO952" s="318" t="s">
        <v>846</v>
      </c>
      <c r="BP952" s="318" t="s">
        <v>845</v>
      </c>
      <c r="BQ952" s="318" t="s">
        <v>846</v>
      </c>
      <c r="BR952" s="332" t="s">
        <v>846</v>
      </c>
      <c r="BS952" s="330">
        <f t="shared" si="63"/>
        <v>16.00124995</v>
      </c>
      <c r="BT952" s="331">
        <f t="shared" si="64"/>
        <v>40.88031311</v>
      </c>
      <c r="BU952" s="842">
        <v>0.7233912037037037</v>
      </c>
      <c r="BV952" s="333"/>
      <c r="BW952" s="330">
        <v>19.9</v>
      </c>
      <c r="BX952" s="331">
        <v>12.5</v>
      </c>
      <c r="BY952" s="331">
        <f t="shared" si="65"/>
        <v>27.05993348</v>
      </c>
      <c r="BZ952" s="340"/>
      <c r="CA952" s="462" t="s">
        <v>845</v>
      </c>
      <c r="CB952" s="319" t="s">
        <v>845</v>
      </c>
      <c r="CC952" s="319" t="s">
        <v>845</v>
      </c>
      <c r="CD952" s="319" t="s">
        <v>845</v>
      </c>
      <c r="CE952" s="319" t="s">
        <v>845</v>
      </c>
      <c r="CF952" s="319" t="s">
        <v>845</v>
      </c>
      <c r="CG952" s="319" t="s">
        <v>845</v>
      </c>
      <c r="CH952" s="319" t="s">
        <v>845</v>
      </c>
      <c r="CI952" s="319" t="s">
        <v>845</v>
      </c>
      <c r="CJ952" s="327" t="s">
        <v>845</v>
      </c>
      <c r="CK952" s="342">
        <f t="shared" si="18"/>
        <v>0</v>
      </c>
      <c r="CL952" s="333">
        <f t="shared" si="19"/>
        <v>0</v>
      </c>
      <c r="CM952" s="829"/>
      <c r="CN952" s="333"/>
      <c r="CO952" s="333"/>
      <c r="CP952" s="333"/>
    </row>
    <row r="953">
      <c r="B953" s="462" t="s">
        <v>1561</v>
      </c>
      <c r="C953" s="417">
        <v>44385.0</v>
      </c>
      <c r="D953" s="318"/>
      <c r="E953" s="319">
        <v>45.0</v>
      </c>
      <c r="F953" s="324" t="s">
        <v>1617</v>
      </c>
      <c r="G953" s="321">
        <v>0.7253472222222223</v>
      </c>
      <c r="H953" s="323">
        <v>0.7256944444444444</v>
      </c>
      <c r="I953" s="323"/>
      <c r="J953" s="323"/>
      <c r="K953" s="323">
        <v>0.7270833333333333</v>
      </c>
      <c r="L953" s="323">
        <v>0.001388888888888889</v>
      </c>
      <c r="M953" s="319" t="s">
        <v>166</v>
      </c>
      <c r="N953" s="324" t="s">
        <v>188</v>
      </c>
      <c r="O953" s="419" t="s">
        <v>196</v>
      </c>
      <c r="P953" s="319" t="s">
        <v>224</v>
      </c>
      <c r="Q953" s="319" t="s">
        <v>842</v>
      </c>
      <c r="R953" s="326">
        <v>21.7</v>
      </c>
      <c r="S953" s="319">
        <v>39.5</v>
      </c>
      <c r="T953" s="324">
        <v>1.3</v>
      </c>
      <c r="U953" s="319">
        <v>15.0</v>
      </c>
      <c r="V953" s="319"/>
      <c r="W953" s="319"/>
      <c r="X953" s="319"/>
      <c r="Y953" s="319"/>
      <c r="Z953" s="319" t="s">
        <v>387</v>
      </c>
      <c r="AA953" s="319"/>
      <c r="AB953" s="319" t="s">
        <v>413</v>
      </c>
      <c r="AC953" s="327">
        <v>26.6</v>
      </c>
      <c r="AD953" s="319"/>
      <c r="AE953" s="319"/>
      <c r="AF953" s="319"/>
      <c r="AG953" s="319"/>
      <c r="AH953" s="319"/>
      <c r="AI953" s="319"/>
      <c r="AJ953" s="327"/>
      <c r="AK953" s="328"/>
      <c r="AL953" s="319"/>
      <c r="AM953" s="319"/>
      <c r="AN953" s="319"/>
      <c r="AO953" s="319"/>
      <c r="AP953" s="319"/>
      <c r="AQ953" s="319"/>
      <c r="AR953" s="319"/>
      <c r="AS953" s="327"/>
      <c r="AT953" s="461" t="s">
        <v>183</v>
      </c>
      <c r="AU953" s="345" t="s">
        <v>845</v>
      </c>
      <c r="AV953" s="330">
        <f>SQRT(($R953-Infrastructure!J$3)^2+($S953-Infrastructure!K$3)^2)</f>
        <v>24.42048321</v>
      </c>
      <c r="AW953" s="331">
        <f>SQRT(($R953-Infrastructure!J$4)^2+($S953-Infrastructure!K$4)^2)</f>
        <v>30.90129447</v>
      </c>
      <c r="AX953" s="331">
        <f>SQRT(($R953-Infrastructure!J$5)^2+($S953-Infrastructure!K$5)^2)</f>
        <v>40.83331973</v>
      </c>
      <c r="AY953" s="331">
        <f>SQRT(($R953-Infrastructure!J$6)^2+($S953-Infrastructure!K$6)^2)</f>
        <v>40.88031311</v>
      </c>
      <c r="AZ953" s="331">
        <f>SQRT(($R953-Infrastructure!J$7)^2+($S953-Infrastructure!K$7)^2)</f>
        <v>39.21836305</v>
      </c>
      <c r="BA953" s="331">
        <f>SQRT(($R953-Infrastructure!J$8)^2+($S953-Infrastructure!K$8)^2)</f>
        <v>40.08989898</v>
      </c>
      <c r="BB953" s="331">
        <f>SQRT(($R953-Infrastructure!J$9)^2+($S953-Infrastructure!K$9)^2)</f>
        <v>38.96472764</v>
      </c>
      <c r="BC953" s="331">
        <f>SQRT(($R953-Infrastructure!J$10)^2+($S953-Infrastructure!K$10)^2)</f>
        <v>30.58005886</v>
      </c>
      <c r="BD953" s="331">
        <f>SQRT(($R953-Infrastructure!J$11)^2+($S953-Infrastructure!K$11)^2)</f>
        <v>21.27204739</v>
      </c>
      <c r="BE953" s="333">
        <f>SQRT(($R953-Infrastructure!J$12)^2+($S953-Infrastructure!K$12)^2)</f>
        <v>16.00124995</v>
      </c>
      <c r="BF953" s="330">
        <f t="shared" si="14"/>
        <v>16.00124995</v>
      </c>
      <c r="BG953" s="333">
        <f t="shared" si="15"/>
        <v>40.88031311</v>
      </c>
      <c r="BH953" s="334"/>
      <c r="BI953" s="316" t="s">
        <v>845</v>
      </c>
      <c r="BJ953" s="318" t="s">
        <v>845</v>
      </c>
      <c r="BK953" s="318" t="s">
        <v>845</v>
      </c>
      <c r="BL953" s="318" t="s">
        <v>846</v>
      </c>
      <c r="BM953" s="318" t="s">
        <v>845</v>
      </c>
      <c r="BN953" s="318" t="s">
        <v>846</v>
      </c>
      <c r="BO953" s="318" t="s">
        <v>845</v>
      </c>
      <c r="BP953" s="318" t="s">
        <v>845</v>
      </c>
      <c r="BQ953" s="318" t="s">
        <v>845</v>
      </c>
      <c r="BR953" s="332" t="s">
        <v>846</v>
      </c>
      <c r="BS953" s="330">
        <f t="shared" si="63"/>
        <v>16.00124995</v>
      </c>
      <c r="BT953" s="331">
        <f t="shared" si="64"/>
        <v>40.88031311</v>
      </c>
      <c r="BU953" s="842">
        <v>0.7253587962962963</v>
      </c>
      <c r="BV953" s="333"/>
      <c r="BW953" s="330">
        <v>14.25</v>
      </c>
      <c r="BX953" s="331">
        <v>21.0</v>
      </c>
      <c r="BY953" s="331">
        <f t="shared" si="65"/>
        <v>19.94373335</v>
      </c>
      <c r="BZ953" s="340"/>
      <c r="CA953" s="462" t="s">
        <v>845</v>
      </c>
      <c r="CB953" s="319" t="s">
        <v>845</v>
      </c>
      <c r="CC953" s="319" t="s">
        <v>845</v>
      </c>
      <c r="CD953" s="319" t="s">
        <v>845</v>
      </c>
      <c r="CE953" s="319" t="s">
        <v>845</v>
      </c>
      <c r="CF953" s="319" t="s">
        <v>845</v>
      </c>
      <c r="CG953" s="319" t="s">
        <v>845</v>
      </c>
      <c r="CH953" s="319" t="s">
        <v>845</v>
      </c>
      <c r="CI953" s="319" t="s">
        <v>845</v>
      </c>
      <c r="CJ953" s="327" t="s">
        <v>845</v>
      </c>
      <c r="CK953" s="342">
        <f t="shared" si="18"/>
        <v>0</v>
      </c>
      <c r="CL953" s="333">
        <f t="shared" si="19"/>
        <v>0</v>
      </c>
      <c r="CM953" s="829"/>
      <c r="CN953" s="333"/>
      <c r="CO953" s="333"/>
      <c r="CP953" s="333"/>
    </row>
    <row r="954">
      <c r="B954" s="462" t="s">
        <v>1561</v>
      </c>
      <c r="C954" s="417">
        <v>44385.0</v>
      </c>
      <c r="D954" s="318"/>
      <c r="E954" s="319">
        <v>46.0</v>
      </c>
      <c r="F954" s="324" t="s">
        <v>1618</v>
      </c>
      <c r="G954" s="321">
        <v>0.7270833333333333</v>
      </c>
      <c r="H954" s="323">
        <v>0.728125</v>
      </c>
      <c r="I954" s="323"/>
      <c r="J954" s="323"/>
      <c r="K954" s="323">
        <v>0.7295138888888889</v>
      </c>
      <c r="L954" s="323">
        <v>0.001388888888888889</v>
      </c>
      <c r="M954" s="319" t="s">
        <v>166</v>
      </c>
      <c r="N954" s="324" t="s">
        <v>188</v>
      </c>
      <c r="O954" s="419" t="s">
        <v>196</v>
      </c>
      <c r="P954" s="319" t="s">
        <v>224</v>
      </c>
      <c r="Q954" s="319" t="s">
        <v>842</v>
      </c>
      <c r="R954" s="326">
        <v>21.7</v>
      </c>
      <c r="S954" s="319">
        <v>39.5</v>
      </c>
      <c r="T954" s="324">
        <v>1.3</v>
      </c>
      <c r="U954" s="319">
        <v>14.0</v>
      </c>
      <c r="V954" s="319"/>
      <c r="W954" s="319"/>
      <c r="X954" s="319"/>
      <c r="Y954" s="319"/>
      <c r="Z954" s="319" t="s">
        <v>387</v>
      </c>
      <c r="AA954" s="319"/>
      <c r="AB954" s="319" t="s">
        <v>413</v>
      </c>
      <c r="AC954" s="327">
        <v>26.6</v>
      </c>
      <c r="AD954" s="319"/>
      <c r="AE954" s="319"/>
      <c r="AF954" s="319"/>
      <c r="AG954" s="319"/>
      <c r="AH954" s="319"/>
      <c r="AI954" s="319"/>
      <c r="AJ954" s="327"/>
      <c r="AK954" s="328"/>
      <c r="AL954" s="319"/>
      <c r="AM954" s="319"/>
      <c r="AN954" s="319"/>
      <c r="AO954" s="319"/>
      <c r="AP954" s="319"/>
      <c r="AQ954" s="319"/>
      <c r="AR954" s="319"/>
      <c r="AS954" s="327"/>
      <c r="AT954" s="461" t="s">
        <v>183</v>
      </c>
      <c r="AU954" s="345" t="s">
        <v>845</v>
      </c>
      <c r="AV954" s="330">
        <f>SQRT(($R954-Infrastructure!J$3)^2+($S954-Infrastructure!K$3)^2)</f>
        <v>24.42048321</v>
      </c>
      <c r="AW954" s="331">
        <f>SQRT(($R954-Infrastructure!J$4)^2+($S954-Infrastructure!K$4)^2)</f>
        <v>30.90129447</v>
      </c>
      <c r="AX954" s="331">
        <f>SQRT(($R954-Infrastructure!J$5)^2+($S954-Infrastructure!K$5)^2)</f>
        <v>40.83331973</v>
      </c>
      <c r="AY954" s="331">
        <f>SQRT(($R954-Infrastructure!J$6)^2+($S954-Infrastructure!K$6)^2)</f>
        <v>40.88031311</v>
      </c>
      <c r="AZ954" s="331">
        <f>SQRT(($R954-Infrastructure!J$7)^2+($S954-Infrastructure!K$7)^2)</f>
        <v>39.21836305</v>
      </c>
      <c r="BA954" s="331">
        <f>SQRT(($R954-Infrastructure!J$8)^2+($S954-Infrastructure!K$8)^2)</f>
        <v>40.08989898</v>
      </c>
      <c r="BB954" s="331">
        <f>SQRT(($R954-Infrastructure!J$9)^2+($S954-Infrastructure!K$9)^2)</f>
        <v>38.96472764</v>
      </c>
      <c r="BC954" s="331">
        <f>SQRT(($R954-Infrastructure!J$10)^2+($S954-Infrastructure!K$10)^2)</f>
        <v>30.58005886</v>
      </c>
      <c r="BD954" s="331">
        <f>SQRT(($R954-Infrastructure!J$11)^2+($S954-Infrastructure!K$11)^2)</f>
        <v>21.27204739</v>
      </c>
      <c r="BE954" s="333">
        <f>SQRT(($R954-Infrastructure!J$12)^2+($S954-Infrastructure!K$12)^2)</f>
        <v>16.00124995</v>
      </c>
      <c r="BF954" s="330">
        <f t="shared" si="14"/>
        <v>16.00124995</v>
      </c>
      <c r="BG954" s="333">
        <f t="shared" si="15"/>
        <v>40.88031311</v>
      </c>
      <c r="BH954" s="334"/>
      <c r="BI954" s="316" t="s">
        <v>845</v>
      </c>
      <c r="BJ954" s="318" t="s">
        <v>845</v>
      </c>
      <c r="BK954" s="318" t="s">
        <v>845</v>
      </c>
      <c r="BL954" s="318" t="s">
        <v>846</v>
      </c>
      <c r="BM954" s="318" t="s">
        <v>845</v>
      </c>
      <c r="BN954" s="318" t="s">
        <v>846</v>
      </c>
      <c r="BO954" s="318" t="s">
        <v>845</v>
      </c>
      <c r="BP954" s="318" t="s">
        <v>845</v>
      </c>
      <c r="BQ954" s="318" t="s">
        <v>845</v>
      </c>
      <c r="BR954" s="332" t="s">
        <v>846</v>
      </c>
      <c r="BS954" s="330">
        <f t="shared" si="63"/>
        <v>16.00124995</v>
      </c>
      <c r="BT954" s="331">
        <f t="shared" si="64"/>
        <v>40.88031311</v>
      </c>
      <c r="BU954" s="842">
        <v>0.7272569444444444</v>
      </c>
      <c r="BV954" s="333"/>
      <c r="BW954" s="330"/>
      <c r="BX954" s="331"/>
      <c r="BY954" s="331" t="b">
        <f t="shared" si="65"/>
        <v>0</v>
      </c>
      <c r="BZ954" s="340"/>
      <c r="CA954" s="462" t="s">
        <v>845</v>
      </c>
      <c r="CB954" s="319" t="s">
        <v>845</v>
      </c>
      <c r="CC954" s="319" t="s">
        <v>845</v>
      </c>
      <c r="CD954" s="319" t="s">
        <v>845</v>
      </c>
      <c r="CE954" s="319" t="s">
        <v>845</v>
      </c>
      <c r="CF954" s="319" t="s">
        <v>845</v>
      </c>
      <c r="CG954" s="319" t="s">
        <v>845</v>
      </c>
      <c r="CH954" s="319" t="s">
        <v>845</v>
      </c>
      <c r="CI954" s="319" t="s">
        <v>845</v>
      </c>
      <c r="CJ954" s="327" t="s">
        <v>845</v>
      </c>
      <c r="CK954" s="342">
        <f t="shared" si="18"/>
        <v>0</v>
      </c>
      <c r="CL954" s="333">
        <f t="shared" si="19"/>
        <v>0</v>
      </c>
      <c r="CM954" s="829"/>
      <c r="CN954" s="333"/>
      <c r="CO954" s="333"/>
      <c r="CP954" s="333"/>
    </row>
    <row r="955">
      <c r="B955" s="462" t="s">
        <v>1561</v>
      </c>
      <c r="C955" s="417">
        <v>44386.0</v>
      </c>
      <c r="D955" s="318"/>
      <c r="E955" s="319">
        <v>48.0</v>
      </c>
      <c r="F955" s="324" t="s">
        <v>1619</v>
      </c>
      <c r="G955" s="321">
        <v>0.38472222222222224</v>
      </c>
      <c r="H955" s="323">
        <v>0.3849537037037037</v>
      </c>
      <c r="I955" s="323"/>
      <c r="J955" s="323"/>
      <c r="K955" s="323">
        <v>0.38564814814814813</v>
      </c>
      <c r="L955" s="323">
        <v>6.944444444444445E-4</v>
      </c>
      <c r="M955" s="319" t="s">
        <v>166</v>
      </c>
      <c r="N955" s="324" t="s">
        <v>187</v>
      </c>
      <c r="O955" s="419" t="s">
        <v>201</v>
      </c>
      <c r="P955" s="319" t="s">
        <v>212</v>
      </c>
      <c r="Q955" s="318"/>
      <c r="R955" s="326">
        <v>22.0</v>
      </c>
      <c r="S955" s="319">
        <v>12.2</v>
      </c>
      <c r="T955" s="324">
        <v>0.68</v>
      </c>
      <c r="U955" s="319">
        <v>4.0</v>
      </c>
      <c r="V955" s="319"/>
      <c r="W955" s="319"/>
      <c r="X955" s="319"/>
      <c r="Y955" s="319"/>
      <c r="Z955" s="319" t="s">
        <v>318</v>
      </c>
      <c r="AA955" s="319"/>
      <c r="AB955" s="319" t="s">
        <v>345</v>
      </c>
      <c r="AC955" s="327">
        <v>4.0</v>
      </c>
      <c r="AD955" s="319"/>
      <c r="AE955" s="319"/>
      <c r="AF955" s="319"/>
      <c r="AG955" s="319"/>
      <c r="AH955" s="319"/>
      <c r="AI955" s="319"/>
      <c r="AJ955" s="327"/>
      <c r="AK955" s="328"/>
      <c r="AL955" s="319"/>
      <c r="AM955" s="319"/>
      <c r="AN955" s="319"/>
      <c r="AO955" s="319"/>
      <c r="AP955" s="319"/>
      <c r="AQ955" s="319"/>
      <c r="AR955" s="319"/>
      <c r="AS955" s="327"/>
      <c r="AT955" s="461" t="s">
        <v>182</v>
      </c>
      <c r="AU955" s="345" t="s">
        <v>845</v>
      </c>
      <c r="AV955" s="330">
        <f>SQRT(($R955-Infrastructure!J$3)^2+($S955-Infrastructure!K$3)^2)</f>
        <v>27.86000718</v>
      </c>
      <c r="AW955" s="331">
        <f>SQRT(($R955-Infrastructure!J$4)^2+($S955-Infrastructure!K$4)^2)</f>
        <v>22.99239005</v>
      </c>
      <c r="AX955" s="331">
        <f>SQRT(($R955-Infrastructure!J$5)^2+($S955-Infrastructure!K$5)^2)</f>
        <v>23.40299126</v>
      </c>
      <c r="AY955" s="331">
        <f>SQRT(($R955-Infrastructure!J$6)^2+($S955-Infrastructure!K$6)^2)</f>
        <v>16.82914139</v>
      </c>
      <c r="AZ955" s="331">
        <f>SQRT(($R955-Infrastructure!J$7)^2+($S955-Infrastructure!K$7)^2)</f>
        <v>11.99416525</v>
      </c>
      <c r="BA955" s="331">
        <f>SQRT(($R955-Infrastructure!J$8)^2+($S955-Infrastructure!K$8)^2)</f>
        <v>14.39513807</v>
      </c>
      <c r="BB955" s="331">
        <f>SQRT(($R955-Infrastructure!J$9)^2+($S955-Infrastructure!K$9)^2)</f>
        <v>19.349677</v>
      </c>
      <c r="BC955" s="331">
        <f>SQRT(($R955-Infrastructure!J$10)^2+($S955-Infrastructure!K$10)^2)</f>
        <v>18.21647606</v>
      </c>
      <c r="BD955" s="331">
        <f>SQRT(($R955-Infrastructure!J$11)^2+($S955-Infrastructure!K$11)^2)</f>
        <v>24.76852842</v>
      </c>
      <c r="BE955" s="333">
        <f>SQRT(($R955-Infrastructure!J$12)^2+($S955-Infrastructure!K$12)^2)</f>
        <v>43.30288674</v>
      </c>
      <c r="BF955" s="330">
        <f t="shared" si="14"/>
        <v>11.99416525</v>
      </c>
      <c r="BG955" s="333">
        <f t="shared" si="15"/>
        <v>43.30288674</v>
      </c>
      <c r="BH955" s="334"/>
      <c r="BI955" s="316" t="s">
        <v>846</v>
      </c>
      <c r="BJ955" s="318" t="s">
        <v>846</v>
      </c>
      <c r="BK955" s="318" t="s">
        <v>846</v>
      </c>
      <c r="BL955" s="318" t="s">
        <v>846</v>
      </c>
      <c r="BM955" s="318" t="s">
        <v>846</v>
      </c>
      <c r="BN955" s="318" t="s">
        <v>846</v>
      </c>
      <c r="BO955" s="318" t="s">
        <v>846</v>
      </c>
      <c r="BP955" s="318" t="s">
        <v>846</v>
      </c>
      <c r="BQ955" s="318" t="s">
        <v>846</v>
      </c>
      <c r="BR955" s="332" t="s">
        <v>846</v>
      </c>
      <c r="BS955" s="330">
        <f t="shared" si="63"/>
        <v>11.99416525</v>
      </c>
      <c r="BT955" s="331">
        <f t="shared" si="64"/>
        <v>43.30288674</v>
      </c>
      <c r="BU955" s="842">
        <v>0.38494212962962965</v>
      </c>
      <c r="BV955" s="333"/>
      <c r="BW955" s="330">
        <v>19.0833333333333</v>
      </c>
      <c r="BX955" s="331">
        <v>15.0083333333333</v>
      </c>
      <c r="BY955" s="331">
        <f t="shared" si="65"/>
        <v>4.048911033</v>
      </c>
      <c r="BZ955" s="340"/>
      <c r="CA955" s="462" t="s">
        <v>846</v>
      </c>
      <c r="CB955" s="319" t="s">
        <v>846</v>
      </c>
      <c r="CC955" s="319" t="s">
        <v>845</v>
      </c>
      <c r="CD955" s="319" t="s">
        <v>846</v>
      </c>
      <c r="CE955" s="319" t="s">
        <v>846</v>
      </c>
      <c r="CF955" s="319" t="s">
        <v>845</v>
      </c>
      <c r="CG955" s="319" t="s">
        <v>846</v>
      </c>
      <c r="CH955" s="319" t="s">
        <v>845</v>
      </c>
      <c r="CI955" s="319" t="s">
        <v>846</v>
      </c>
      <c r="CJ955" s="327" t="s">
        <v>845</v>
      </c>
      <c r="CK955" s="342">
        <f t="shared" si="18"/>
        <v>11.99416525</v>
      </c>
      <c r="CL955" s="333">
        <f t="shared" si="19"/>
        <v>27.86000718</v>
      </c>
      <c r="CM955" s="829"/>
      <c r="CN955" s="333"/>
      <c r="CO955" s="333"/>
      <c r="CP955" s="333"/>
    </row>
    <row r="956">
      <c r="B956" s="462" t="s">
        <v>1561</v>
      </c>
      <c r="C956" s="417">
        <v>44386.0</v>
      </c>
      <c r="D956" s="318"/>
      <c r="E956" s="319">
        <v>49.0</v>
      </c>
      <c r="F956" s="324" t="s">
        <v>1620</v>
      </c>
      <c r="G956" s="321">
        <v>0.3873263888888889</v>
      </c>
      <c r="H956" s="323">
        <v>0.3876736111111111</v>
      </c>
      <c r="I956" s="323"/>
      <c r="J956" s="323"/>
      <c r="K956" s="323">
        <v>0.38836805555555554</v>
      </c>
      <c r="L956" s="323">
        <v>6.944444444444445E-4</v>
      </c>
      <c r="M956" s="319" t="s">
        <v>166</v>
      </c>
      <c r="N956" s="324" t="s">
        <v>187</v>
      </c>
      <c r="O956" s="419" t="s">
        <v>201</v>
      </c>
      <c r="P956" s="319" t="s">
        <v>212</v>
      </c>
      <c r="Q956" s="318"/>
      <c r="R956" s="326">
        <v>22.0</v>
      </c>
      <c r="S956" s="319">
        <v>12.2</v>
      </c>
      <c r="T956" s="324">
        <v>0.68</v>
      </c>
      <c r="U956" s="319">
        <v>3.0</v>
      </c>
      <c r="V956" s="319"/>
      <c r="W956" s="319"/>
      <c r="X956" s="319"/>
      <c r="Y956" s="319"/>
      <c r="Z956" s="319" t="s">
        <v>318</v>
      </c>
      <c r="AA956" s="319"/>
      <c r="AB956" s="319" t="s">
        <v>341</v>
      </c>
      <c r="AC956" s="327">
        <v>3.0</v>
      </c>
      <c r="AD956" s="319"/>
      <c r="AE956" s="319"/>
      <c r="AF956" s="319"/>
      <c r="AG956" s="319"/>
      <c r="AH956" s="319"/>
      <c r="AI956" s="319"/>
      <c r="AJ956" s="327"/>
      <c r="AK956" s="328"/>
      <c r="AL956" s="319"/>
      <c r="AM956" s="319"/>
      <c r="AN956" s="319"/>
      <c r="AO956" s="319"/>
      <c r="AP956" s="319"/>
      <c r="AQ956" s="319"/>
      <c r="AR956" s="319"/>
      <c r="AS956" s="327"/>
      <c r="AT956" s="461" t="s">
        <v>182</v>
      </c>
      <c r="AU956" s="345" t="s">
        <v>845</v>
      </c>
      <c r="AV956" s="330">
        <f>SQRT(($R956-Infrastructure!J$3)^2+($S956-Infrastructure!K$3)^2)</f>
        <v>27.86000718</v>
      </c>
      <c r="AW956" s="331">
        <f>SQRT(($R956-Infrastructure!J$4)^2+($S956-Infrastructure!K$4)^2)</f>
        <v>22.99239005</v>
      </c>
      <c r="AX956" s="331">
        <f>SQRT(($R956-Infrastructure!J$5)^2+($S956-Infrastructure!K$5)^2)</f>
        <v>23.40299126</v>
      </c>
      <c r="AY956" s="331">
        <f>SQRT(($R956-Infrastructure!J$6)^2+($S956-Infrastructure!K$6)^2)</f>
        <v>16.82914139</v>
      </c>
      <c r="AZ956" s="331">
        <f>SQRT(($R956-Infrastructure!J$7)^2+($S956-Infrastructure!K$7)^2)</f>
        <v>11.99416525</v>
      </c>
      <c r="BA956" s="331">
        <f>SQRT(($R956-Infrastructure!J$8)^2+($S956-Infrastructure!K$8)^2)</f>
        <v>14.39513807</v>
      </c>
      <c r="BB956" s="331">
        <f>SQRT(($R956-Infrastructure!J$9)^2+($S956-Infrastructure!K$9)^2)</f>
        <v>19.349677</v>
      </c>
      <c r="BC956" s="331">
        <f>SQRT(($R956-Infrastructure!J$10)^2+($S956-Infrastructure!K$10)^2)</f>
        <v>18.21647606</v>
      </c>
      <c r="BD956" s="331">
        <f>SQRT(($R956-Infrastructure!J$11)^2+($S956-Infrastructure!K$11)^2)</f>
        <v>24.76852842</v>
      </c>
      <c r="BE956" s="333">
        <f>SQRT(($R956-Infrastructure!J$12)^2+($S956-Infrastructure!K$12)^2)</f>
        <v>43.30288674</v>
      </c>
      <c r="BF956" s="330">
        <f t="shared" si="14"/>
        <v>11.99416525</v>
      </c>
      <c r="BG956" s="333">
        <f t="shared" si="15"/>
        <v>43.30288674</v>
      </c>
      <c r="BH956" s="334"/>
      <c r="BI956" s="316" t="s">
        <v>846</v>
      </c>
      <c r="BJ956" s="318" t="s">
        <v>846</v>
      </c>
      <c r="BK956" s="318" t="s">
        <v>846</v>
      </c>
      <c r="BL956" s="318" t="s">
        <v>846</v>
      </c>
      <c r="BM956" s="318" t="s">
        <v>846</v>
      </c>
      <c r="BN956" s="318" t="s">
        <v>846</v>
      </c>
      <c r="BO956" s="318" t="s">
        <v>846</v>
      </c>
      <c r="BP956" s="318" t="s">
        <v>846</v>
      </c>
      <c r="BQ956" s="318" t="s">
        <v>846</v>
      </c>
      <c r="BR956" s="332" t="s">
        <v>846</v>
      </c>
      <c r="BS956" s="330">
        <f t="shared" si="63"/>
        <v>11.99416525</v>
      </c>
      <c r="BT956" s="331">
        <f t="shared" si="64"/>
        <v>43.30288674</v>
      </c>
      <c r="BU956" s="842">
        <v>0.3875810185185185</v>
      </c>
      <c r="BV956" s="333"/>
      <c r="BW956" s="330">
        <v>19.5999999999999</v>
      </c>
      <c r="BX956" s="331">
        <v>14.4636363636363</v>
      </c>
      <c r="BY956" s="331">
        <f t="shared" si="65"/>
        <v>3.299098299</v>
      </c>
      <c r="BZ956" s="340"/>
      <c r="CA956" s="462" t="s">
        <v>846</v>
      </c>
      <c r="CB956" s="319" t="s">
        <v>846</v>
      </c>
      <c r="CC956" s="319" t="s">
        <v>845</v>
      </c>
      <c r="CD956" s="319" t="s">
        <v>846</v>
      </c>
      <c r="CE956" s="319" t="s">
        <v>846</v>
      </c>
      <c r="CF956" s="319" t="s">
        <v>845</v>
      </c>
      <c r="CG956" s="319" t="s">
        <v>846</v>
      </c>
      <c r="CH956" s="319" t="s">
        <v>846</v>
      </c>
      <c r="CI956" s="319" t="s">
        <v>846</v>
      </c>
      <c r="CJ956" s="327" t="s">
        <v>846</v>
      </c>
      <c r="CK956" s="342">
        <f t="shared" si="18"/>
        <v>11.99416525</v>
      </c>
      <c r="CL956" s="333">
        <f t="shared" si="19"/>
        <v>43.30288674</v>
      </c>
      <c r="CM956" s="829"/>
      <c r="CN956" s="333"/>
      <c r="CO956" s="333"/>
      <c r="CP956" s="333"/>
    </row>
    <row r="957">
      <c r="B957" s="462" t="s">
        <v>1561</v>
      </c>
      <c r="C957" s="417">
        <v>44386.0</v>
      </c>
      <c r="D957" s="318"/>
      <c r="E957" s="319">
        <v>50.0</v>
      </c>
      <c r="F957" s="324" t="s">
        <v>1621</v>
      </c>
      <c r="G957" s="321">
        <v>0.3923611111111111</v>
      </c>
      <c r="H957" s="323">
        <v>0.3927083333333333</v>
      </c>
      <c r="I957" s="323"/>
      <c r="J957" s="323"/>
      <c r="K957" s="323">
        <v>0.39340277777777777</v>
      </c>
      <c r="L957" s="323">
        <v>6.944444444444445E-4</v>
      </c>
      <c r="M957" s="319" t="s">
        <v>166</v>
      </c>
      <c r="N957" s="324" t="s">
        <v>187</v>
      </c>
      <c r="O957" s="419" t="s">
        <v>201</v>
      </c>
      <c r="P957" s="319" t="s">
        <v>212</v>
      </c>
      <c r="Q957" s="318"/>
      <c r="R957" s="326">
        <v>23.3</v>
      </c>
      <c r="S957" s="319">
        <v>10.0</v>
      </c>
      <c r="T957" s="324">
        <v>0.68</v>
      </c>
      <c r="U957" s="319">
        <v>4.0</v>
      </c>
      <c r="V957" s="319"/>
      <c r="W957" s="319"/>
      <c r="X957" s="319"/>
      <c r="Y957" s="319"/>
      <c r="Z957" s="319" t="s">
        <v>318</v>
      </c>
      <c r="AA957" s="319"/>
      <c r="AB957" s="319" t="s">
        <v>345</v>
      </c>
      <c r="AC957" s="327">
        <v>4.0</v>
      </c>
      <c r="AD957" s="319"/>
      <c r="AE957" s="319"/>
      <c r="AF957" s="319"/>
      <c r="AG957" s="319"/>
      <c r="AH957" s="319"/>
      <c r="AI957" s="319"/>
      <c r="AJ957" s="327"/>
      <c r="AK957" s="328"/>
      <c r="AL957" s="319"/>
      <c r="AM957" s="319"/>
      <c r="AN957" s="319"/>
      <c r="AO957" s="319"/>
      <c r="AP957" s="319"/>
      <c r="AQ957" s="319"/>
      <c r="AR957" s="319"/>
      <c r="AS957" s="327"/>
      <c r="AT957" s="461" t="s">
        <v>182</v>
      </c>
      <c r="AU957" s="345" t="s">
        <v>845</v>
      </c>
      <c r="AV957" s="330">
        <f>SQRT(($R957-Infrastructure!J$3)^2+($S957-Infrastructure!K$3)^2)</f>
        <v>30.23524434</v>
      </c>
      <c r="AW957" s="331">
        <f>SQRT(($R957-Infrastructure!J$4)^2+($S957-Infrastructure!K$4)^2)</f>
        <v>24.85558287</v>
      </c>
      <c r="AX957" s="331">
        <f>SQRT(($R957-Infrastructure!J$5)^2+($S957-Infrastructure!K$5)^2)</f>
        <v>24.10331927</v>
      </c>
      <c r="AY957" s="331">
        <f>SQRT(($R957-Infrastructure!J$6)^2+($S957-Infrastructure!K$6)^2)</f>
        <v>16.38078142</v>
      </c>
      <c r="AZ957" s="331">
        <f>SQRT(($R957-Infrastructure!J$7)^2+($S957-Infrastructure!K$7)^2)</f>
        <v>10.09603883</v>
      </c>
      <c r="BA957" s="331">
        <f>SQRT(($R957-Infrastructure!J$8)^2+($S957-Infrastructure!K$8)^2)</f>
        <v>11.8460964</v>
      </c>
      <c r="BB957" s="331">
        <f>SQRT(($R957-Infrastructure!J$9)^2+($S957-Infrastructure!K$9)^2)</f>
        <v>17.40402252</v>
      </c>
      <c r="BC957" s="331">
        <f>SQRT(($R957-Infrastructure!J$10)^2+($S957-Infrastructure!K$10)^2)</f>
        <v>17.43244102</v>
      </c>
      <c r="BD957" s="331">
        <f>SQRT(($R957-Infrastructure!J$11)^2+($S957-Infrastructure!K$11)^2)</f>
        <v>25.42852729</v>
      </c>
      <c r="BE957" s="333">
        <f>SQRT(($R957-Infrastructure!J$12)^2+($S957-Infrastructure!K$12)^2)</f>
        <v>45.53559048</v>
      </c>
      <c r="BF957" s="330">
        <f t="shared" si="14"/>
        <v>10.09603883</v>
      </c>
      <c r="BG957" s="333">
        <f t="shared" si="15"/>
        <v>45.53559048</v>
      </c>
      <c r="BH957" s="334"/>
      <c r="BI957" s="316" t="s">
        <v>846</v>
      </c>
      <c r="BJ957" s="318" t="s">
        <v>846</v>
      </c>
      <c r="BK957" s="318" t="s">
        <v>845</v>
      </c>
      <c r="BL957" s="318" t="s">
        <v>846</v>
      </c>
      <c r="BM957" s="318" t="s">
        <v>846</v>
      </c>
      <c r="BN957" s="318" t="s">
        <v>846</v>
      </c>
      <c r="BO957" s="318" t="s">
        <v>846</v>
      </c>
      <c r="BP957" s="318" t="s">
        <v>846</v>
      </c>
      <c r="BQ957" s="318" t="s">
        <v>846</v>
      </c>
      <c r="BR957" s="332" t="s">
        <v>846</v>
      </c>
      <c r="BS957" s="330">
        <f t="shared" si="63"/>
        <v>10.09603883</v>
      </c>
      <c r="BT957" s="331">
        <f t="shared" si="64"/>
        <v>45.53559048</v>
      </c>
      <c r="BU957" s="842">
        <v>0.39256944444444447</v>
      </c>
      <c r="BV957" s="333"/>
      <c r="BW957" s="330">
        <v>20.2</v>
      </c>
      <c r="BX957" s="331">
        <v>10.6666666666666</v>
      </c>
      <c r="BY957" s="331">
        <f t="shared" si="65"/>
        <v>3.170874397</v>
      </c>
      <c r="BZ957" s="340"/>
      <c r="CA957" s="462" t="s">
        <v>846</v>
      </c>
      <c r="CB957" s="319" t="s">
        <v>845</v>
      </c>
      <c r="CC957" s="319" t="s">
        <v>845</v>
      </c>
      <c r="CD957" s="319" t="s">
        <v>846</v>
      </c>
      <c r="CE957" s="319" t="s">
        <v>846</v>
      </c>
      <c r="CF957" s="319" t="s">
        <v>845</v>
      </c>
      <c r="CG957" s="319" t="s">
        <v>845</v>
      </c>
      <c r="CH957" s="319" t="s">
        <v>846</v>
      </c>
      <c r="CI957" s="319" t="s">
        <v>845</v>
      </c>
      <c r="CJ957" s="327" t="s">
        <v>846</v>
      </c>
      <c r="CK957" s="342">
        <f t="shared" si="18"/>
        <v>10.09603883</v>
      </c>
      <c r="CL957" s="333">
        <f t="shared" si="19"/>
        <v>45.53559048</v>
      </c>
      <c r="CM957" s="829"/>
      <c r="CN957" s="333"/>
      <c r="CO957" s="333"/>
      <c r="CP957" s="333"/>
    </row>
    <row r="958">
      <c r="B958" s="462" t="s">
        <v>1561</v>
      </c>
      <c r="C958" s="417">
        <v>44386.0</v>
      </c>
      <c r="D958" s="318"/>
      <c r="E958" s="319">
        <v>51.0</v>
      </c>
      <c r="F958" s="324" t="s">
        <v>1622</v>
      </c>
      <c r="G958" s="321">
        <v>0.39444444444444443</v>
      </c>
      <c r="H958" s="323">
        <v>0.39554398148148145</v>
      </c>
      <c r="I958" s="323"/>
      <c r="J958" s="323"/>
      <c r="K958" s="323">
        <v>0.3962962962962963</v>
      </c>
      <c r="L958" s="323">
        <v>7.523148148148148E-4</v>
      </c>
      <c r="M958" s="319" t="s">
        <v>166</v>
      </c>
      <c r="N958" s="324" t="s">
        <v>187</v>
      </c>
      <c r="O958" s="419" t="s">
        <v>201</v>
      </c>
      <c r="P958" s="319" t="s">
        <v>212</v>
      </c>
      <c r="Q958" s="318"/>
      <c r="R958" s="326">
        <v>23.3</v>
      </c>
      <c r="S958" s="319">
        <v>10.0</v>
      </c>
      <c r="T958" s="324">
        <v>0.68</v>
      </c>
      <c r="U958" s="319">
        <v>3.0</v>
      </c>
      <c r="V958" s="319"/>
      <c r="W958" s="319"/>
      <c r="X958" s="319"/>
      <c r="Y958" s="319"/>
      <c r="Z958" s="319" t="s">
        <v>318</v>
      </c>
      <c r="AA958" s="319"/>
      <c r="AB958" s="319" t="s">
        <v>341</v>
      </c>
      <c r="AC958" s="327">
        <v>3.0</v>
      </c>
      <c r="AD958" s="319"/>
      <c r="AE958" s="319"/>
      <c r="AF958" s="319"/>
      <c r="AG958" s="319"/>
      <c r="AH958" s="319"/>
      <c r="AI958" s="319"/>
      <c r="AJ958" s="327"/>
      <c r="AK958" s="328"/>
      <c r="AL958" s="319"/>
      <c r="AM958" s="319"/>
      <c r="AN958" s="319"/>
      <c r="AO958" s="319"/>
      <c r="AP958" s="319"/>
      <c r="AQ958" s="319"/>
      <c r="AR958" s="319"/>
      <c r="AS958" s="327"/>
      <c r="AT958" s="461" t="s">
        <v>182</v>
      </c>
      <c r="AU958" s="345" t="s">
        <v>845</v>
      </c>
      <c r="AV958" s="330">
        <f>SQRT(($R958-Infrastructure!J$3)^2+($S958-Infrastructure!K$3)^2)</f>
        <v>30.23524434</v>
      </c>
      <c r="AW958" s="331">
        <f>SQRT(($R958-Infrastructure!J$4)^2+($S958-Infrastructure!K$4)^2)</f>
        <v>24.85558287</v>
      </c>
      <c r="AX958" s="331">
        <f>SQRT(($R958-Infrastructure!J$5)^2+($S958-Infrastructure!K$5)^2)</f>
        <v>24.10331927</v>
      </c>
      <c r="AY958" s="331">
        <f>SQRT(($R958-Infrastructure!J$6)^2+($S958-Infrastructure!K$6)^2)</f>
        <v>16.38078142</v>
      </c>
      <c r="AZ958" s="331">
        <f>SQRT(($R958-Infrastructure!J$7)^2+($S958-Infrastructure!K$7)^2)</f>
        <v>10.09603883</v>
      </c>
      <c r="BA958" s="331">
        <f>SQRT(($R958-Infrastructure!J$8)^2+($S958-Infrastructure!K$8)^2)</f>
        <v>11.8460964</v>
      </c>
      <c r="BB958" s="331">
        <f>SQRT(($R958-Infrastructure!J$9)^2+($S958-Infrastructure!K$9)^2)</f>
        <v>17.40402252</v>
      </c>
      <c r="BC958" s="331">
        <f>SQRT(($R958-Infrastructure!J$10)^2+($S958-Infrastructure!K$10)^2)</f>
        <v>17.43244102</v>
      </c>
      <c r="BD958" s="331">
        <f>SQRT(($R958-Infrastructure!J$11)^2+($S958-Infrastructure!K$11)^2)</f>
        <v>25.42852729</v>
      </c>
      <c r="BE958" s="333">
        <f>SQRT(($R958-Infrastructure!J$12)^2+($S958-Infrastructure!K$12)^2)</f>
        <v>45.53559048</v>
      </c>
      <c r="BF958" s="330">
        <f t="shared" si="14"/>
        <v>10.09603883</v>
      </c>
      <c r="BG958" s="333">
        <f t="shared" si="15"/>
        <v>45.53559048</v>
      </c>
      <c r="BH958" s="334"/>
      <c r="BI958" s="316" t="s">
        <v>846</v>
      </c>
      <c r="BJ958" s="318" t="s">
        <v>846</v>
      </c>
      <c r="BK958" s="318" t="s">
        <v>845</v>
      </c>
      <c r="BL958" s="318" t="s">
        <v>846</v>
      </c>
      <c r="BM958" s="318" t="s">
        <v>846</v>
      </c>
      <c r="BN958" s="318" t="s">
        <v>846</v>
      </c>
      <c r="BO958" s="318" t="s">
        <v>846</v>
      </c>
      <c r="BP958" s="318" t="s">
        <v>846</v>
      </c>
      <c r="BQ958" s="318" t="s">
        <v>846</v>
      </c>
      <c r="BR958" s="332" t="s">
        <v>846</v>
      </c>
      <c r="BS958" s="330">
        <f t="shared" si="63"/>
        <v>10.09603883</v>
      </c>
      <c r="BT958" s="331">
        <f t="shared" si="64"/>
        <v>45.53559048</v>
      </c>
      <c r="BU958" s="842">
        <v>0.39471064814814816</v>
      </c>
      <c r="BV958" s="333"/>
      <c r="BW958" s="330">
        <v>20.695238095238</v>
      </c>
      <c r="BX958" s="331">
        <v>10.7238095238095</v>
      </c>
      <c r="BY958" s="331">
        <f t="shared" si="65"/>
        <v>2.703457935</v>
      </c>
      <c r="BZ958" s="340"/>
      <c r="CA958" s="462" t="s">
        <v>846</v>
      </c>
      <c r="CB958" s="319" t="s">
        <v>845</v>
      </c>
      <c r="CC958" s="319" t="s">
        <v>845</v>
      </c>
      <c r="CD958" s="319" t="s">
        <v>846</v>
      </c>
      <c r="CE958" s="319" t="s">
        <v>846</v>
      </c>
      <c r="CF958" s="319" t="s">
        <v>845</v>
      </c>
      <c r="CG958" s="319" t="s">
        <v>845</v>
      </c>
      <c r="CH958" s="319" t="s">
        <v>846</v>
      </c>
      <c r="CI958" s="319" t="s">
        <v>845</v>
      </c>
      <c r="CJ958" s="327" t="s">
        <v>846</v>
      </c>
      <c r="CK958" s="342">
        <f t="shared" si="18"/>
        <v>10.09603883</v>
      </c>
      <c r="CL958" s="333">
        <f t="shared" si="19"/>
        <v>45.53559048</v>
      </c>
      <c r="CM958" s="829"/>
      <c r="CN958" s="333"/>
      <c r="CO958" s="333"/>
      <c r="CP958" s="333"/>
    </row>
    <row r="959">
      <c r="B959" s="462" t="s">
        <v>1561</v>
      </c>
      <c r="C959" s="417">
        <v>44386.0</v>
      </c>
      <c r="D959" s="318"/>
      <c r="E959" s="319">
        <v>52.0</v>
      </c>
      <c r="F959" s="324" t="s">
        <v>1623</v>
      </c>
      <c r="G959" s="321">
        <v>0.4005787037037037</v>
      </c>
      <c r="H959" s="323">
        <v>0.4008101851851852</v>
      </c>
      <c r="I959" s="323"/>
      <c r="J959" s="323"/>
      <c r="K959" s="323">
        <v>0.40150462962962963</v>
      </c>
      <c r="L959" s="323">
        <v>6.944444444444445E-4</v>
      </c>
      <c r="M959" s="319" t="s">
        <v>166</v>
      </c>
      <c r="N959" s="324" t="s">
        <v>187</v>
      </c>
      <c r="O959" s="419" t="s">
        <v>201</v>
      </c>
      <c r="P959" s="319" t="s">
        <v>212</v>
      </c>
      <c r="Q959" s="318"/>
      <c r="R959" s="326">
        <v>17.3</v>
      </c>
      <c r="S959" s="319">
        <v>15.5</v>
      </c>
      <c r="T959" s="324">
        <v>0.68</v>
      </c>
      <c r="U959" s="319">
        <v>4.0</v>
      </c>
      <c r="V959" s="319"/>
      <c r="W959" s="319"/>
      <c r="X959" s="319"/>
      <c r="Y959" s="319"/>
      <c r="Z959" s="319" t="s">
        <v>318</v>
      </c>
      <c r="AA959" s="319"/>
      <c r="AB959" s="319" t="s">
        <v>345</v>
      </c>
      <c r="AC959" s="327">
        <v>4.0</v>
      </c>
      <c r="AD959" s="319"/>
      <c r="AE959" s="319"/>
      <c r="AF959" s="319"/>
      <c r="AG959" s="319"/>
      <c r="AH959" s="319"/>
      <c r="AI959" s="319"/>
      <c r="AJ959" s="327"/>
      <c r="AK959" s="328"/>
      <c r="AL959" s="319"/>
      <c r="AM959" s="319"/>
      <c r="AN959" s="319"/>
      <c r="AO959" s="319"/>
      <c r="AP959" s="319"/>
      <c r="AQ959" s="319"/>
      <c r="AR959" s="319"/>
      <c r="AS959" s="327"/>
      <c r="AT959" s="461" t="s">
        <v>182</v>
      </c>
      <c r="AU959" s="345" t="s">
        <v>845</v>
      </c>
      <c r="AV959" s="330">
        <f>SQRT(($R959-Infrastructure!J$3)^2+($S959-Infrastructure!K$3)^2)</f>
        <v>22.12057865</v>
      </c>
      <c r="AW959" s="331">
        <f>SQRT(($R959-Infrastructure!J$4)^2+($S959-Infrastructure!K$4)^2)</f>
        <v>17.74964788</v>
      </c>
      <c r="AX959" s="331">
        <f>SQRT(($R959-Infrastructure!J$5)^2+($S959-Infrastructure!K$5)^2)</f>
        <v>20.44309174</v>
      </c>
      <c r="AY959" s="331">
        <f>SQRT(($R959-Infrastructure!J$6)^2+($S959-Infrastructure!K$6)^2)</f>
        <v>16.81903683</v>
      </c>
      <c r="AZ959" s="331">
        <f>SQRT(($R959-Infrastructure!J$7)^2+($S959-Infrastructure!K$7)^2)</f>
        <v>15.53319027</v>
      </c>
      <c r="BA959" s="331">
        <f>SQRT(($R959-Infrastructure!J$8)^2+($S959-Infrastructure!K$8)^2)</f>
        <v>19.87158776</v>
      </c>
      <c r="BB959" s="331">
        <f>SQRT(($R959-Infrastructure!J$9)^2+($S959-Infrastructure!K$9)^2)</f>
        <v>24.96898076</v>
      </c>
      <c r="BC959" s="331">
        <f>SQRT(($R959-Infrastructure!J$10)^2+($S959-Infrastructure!K$10)^2)</f>
        <v>22.70550594</v>
      </c>
      <c r="BD959" s="331">
        <f>SQRT(($R959-Infrastructure!J$11)^2+($S959-Infrastructure!K$11)^2)</f>
        <v>26.58307732</v>
      </c>
      <c r="BE959" s="333">
        <f>SQRT(($R959-Infrastructure!J$12)^2+($S959-Infrastructure!K$12)^2)</f>
        <v>40.21989557</v>
      </c>
      <c r="BF959" s="330">
        <f t="shared" si="14"/>
        <v>15.53319027</v>
      </c>
      <c r="BG959" s="333">
        <f t="shared" si="15"/>
        <v>40.21989557</v>
      </c>
      <c r="BH959" s="334"/>
      <c r="BI959" s="316" t="s">
        <v>846</v>
      </c>
      <c r="BJ959" s="318" t="s">
        <v>846</v>
      </c>
      <c r="BK959" s="318" t="s">
        <v>846</v>
      </c>
      <c r="BL959" s="318" t="s">
        <v>846</v>
      </c>
      <c r="BM959" s="318" t="s">
        <v>846</v>
      </c>
      <c r="BN959" s="318" t="s">
        <v>846</v>
      </c>
      <c r="BO959" s="318" t="s">
        <v>846</v>
      </c>
      <c r="BP959" s="318" t="s">
        <v>846</v>
      </c>
      <c r="BQ959" s="318" t="s">
        <v>846</v>
      </c>
      <c r="BR959" s="332" t="s">
        <v>846</v>
      </c>
      <c r="BS959" s="330">
        <f t="shared" si="63"/>
        <v>15.53319027</v>
      </c>
      <c r="BT959" s="331">
        <f t="shared" si="64"/>
        <v>40.21989557</v>
      </c>
      <c r="BU959" s="842">
        <v>0.4008217592592593</v>
      </c>
      <c r="BV959" s="333"/>
      <c r="BW959" s="330">
        <v>18.0090909090909</v>
      </c>
      <c r="BX959" s="331">
        <v>12.9727272727272</v>
      </c>
      <c r="BY959" s="331">
        <f t="shared" si="65"/>
        <v>2.624865207</v>
      </c>
      <c r="BZ959" s="340"/>
      <c r="CA959" s="462" t="s">
        <v>846</v>
      </c>
      <c r="CB959" s="319" t="s">
        <v>846</v>
      </c>
      <c r="CC959" s="319" t="s">
        <v>845</v>
      </c>
      <c r="CD959" s="319" t="s">
        <v>846</v>
      </c>
      <c r="CE959" s="319" t="s">
        <v>845</v>
      </c>
      <c r="CF959" s="319" t="s">
        <v>845</v>
      </c>
      <c r="CG959" s="319" t="s">
        <v>846</v>
      </c>
      <c r="CH959" s="319" t="s">
        <v>845</v>
      </c>
      <c r="CI959" s="319" t="s">
        <v>846</v>
      </c>
      <c r="CJ959" s="327" t="s">
        <v>845</v>
      </c>
      <c r="CK959" s="342">
        <f t="shared" si="18"/>
        <v>16.81903683</v>
      </c>
      <c r="CL959" s="333">
        <f t="shared" si="19"/>
        <v>26.58307732</v>
      </c>
      <c r="CM959" s="829"/>
      <c r="CN959" s="333"/>
      <c r="CO959" s="333"/>
      <c r="CP959" s="333"/>
    </row>
    <row r="960">
      <c r="B960" s="849" t="s">
        <v>1561</v>
      </c>
      <c r="C960" s="850">
        <v>44386.0</v>
      </c>
      <c r="D960" s="851"/>
      <c r="E960" s="852">
        <v>53.0</v>
      </c>
      <c r="F960" s="853" t="s">
        <v>1624</v>
      </c>
      <c r="G960" s="854">
        <v>0.40283564814814815</v>
      </c>
      <c r="H960" s="855">
        <v>0.403125</v>
      </c>
      <c r="I960" s="855"/>
      <c r="J960" s="855"/>
      <c r="K960" s="855">
        <v>0.40381944444444445</v>
      </c>
      <c r="L960" s="855">
        <v>6.944444444444445E-4</v>
      </c>
      <c r="M960" s="852" t="s">
        <v>166</v>
      </c>
      <c r="N960" s="853" t="s">
        <v>187</v>
      </c>
      <c r="O960" s="856" t="s">
        <v>201</v>
      </c>
      <c r="P960" s="852" t="s">
        <v>212</v>
      </c>
      <c r="Q960" s="851"/>
      <c r="R960" s="857">
        <v>17.3</v>
      </c>
      <c r="S960" s="852">
        <v>15.5</v>
      </c>
      <c r="T960" s="853">
        <v>0.68</v>
      </c>
      <c r="U960" s="852">
        <v>3.0</v>
      </c>
      <c r="V960" s="852"/>
      <c r="W960" s="852"/>
      <c r="X960" s="852"/>
      <c r="Y960" s="852"/>
      <c r="Z960" s="852" t="s">
        <v>318</v>
      </c>
      <c r="AA960" s="852"/>
      <c r="AB960" s="852" t="s">
        <v>341</v>
      </c>
      <c r="AC960" s="858">
        <v>3.0</v>
      </c>
      <c r="AD960" s="852"/>
      <c r="AE960" s="852"/>
      <c r="AF960" s="852"/>
      <c r="AG960" s="852"/>
      <c r="AH960" s="852"/>
      <c r="AI960" s="852"/>
      <c r="AJ960" s="858"/>
      <c r="AK960" s="859"/>
      <c r="AL960" s="852"/>
      <c r="AM960" s="852"/>
      <c r="AN960" s="852"/>
      <c r="AO960" s="852"/>
      <c r="AP960" s="852"/>
      <c r="AQ960" s="852"/>
      <c r="AR960" s="852"/>
      <c r="AS960" s="858"/>
      <c r="AT960" s="860" t="s">
        <v>182</v>
      </c>
      <c r="AU960" s="861" t="s">
        <v>845</v>
      </c>
      <c r="AV960" s="862">
        <f>SQRT(($R960-Infrastructure!J$3)^2+($S960-Infrastructure!K$3)^2)</f>
        <v>22.12057865</v>
      </c>
      <c r="AW960" s="331">
        <f>SQRT(($R960-Infrastructure!J$4)^2+($S960-Infrastructure!K$4)^2)</f>
        <v>17.74964788</v>
      </c>
      <c r="AX960" s="863">
        <f>SQRT(($R960-Infrastructure!J$5)^2+($S960-Infrastructure!K$5)^2)</f>
        <v>20.44309174</v>
      </c>
      <c r="AY960" s="863">
        <f>SQRT(($R960-Infrastructure!J$6)^2+($S960-Infrastructure!K$6)^2)</f>
        <v>16.81903683</v>
      </c>
      <c r="AZ960" s="863">
        <f>SQRT(($R960-Infrastructure!J$7)^2+($S960-Infrastructure!K$7)^2)</f>
        <v>15.53319027</v>
      </c>
      <c r="BA960" s="863">
        <f>SQRT(($R960-Infrastructure!J$8)^2+($S960-Infrastructure!K$8)^2)</f>
        <v>19.87158776</v>
      </c>
      <c r="BB960" s="331">
        <f>SQRT(($R960-Infrastructure!J$9)^2+($S960-Infrastructure!K$9)^2)</f>
        <v>24.96898076</v>
      </c>
      <c r="BC960" s="863">
        <f>SQRT(($R960-Infrastructure!J$10)^2+($S960-Infrastructure!K$10)^2)</f>
        <v>22.70550594</v>
      </c>
      <c r="BD960" s="863">
        <f>SQRT(($R960-Infrastructure!J$11)^2+($S960-Infrastructure!K$11)^2)</f>
        <v>26.58307732</v>
      </c>
      <c r="BE960" s="864">
        <f>SQRT(($R960-Infrastructure!J$12)^2+($S960-Infrastructure!K$12)^2)</f>
        <v>40.21989557</v>
      </c>
      <c r="BF960" s="330">
        <f t="shared" si="14"/>
        <v>15.53319027</v>
      </c>
      <c r="BG960" s="333">
        <f t="shared" si="15"/>
        <v>40.21989557</v>
      </c>
      <c r="BH960" s="865"/>
      <c r="BI960" s="866" t="s">
        <v>846</v>
      </c>
      <c r="BJ960" s="851" t="s">
        <v>846</v>
      </c>
      <c r="BK960" s="851" t="s">
        <v>846</v>
      </c>
      <c r="BL960" s="851" t="s">
        <v>846</v>
      </c>
      <c r="BM960" s="851" t="s">
        <v>846</v>
      </c>
      <c r="BN960" s="851" t="s">
        <v>846</v>
      </c>
      <c r="BO960" s="851" t="s">
        <v>846</v>
      </c>
      <c r="BP960" s="851" t="s">
        <v>846</v>
      </c>
      <c r="BQ960" s="851" t="s">
        <v>846</v>
      </c>
      <c r="BR960" s="867" t="s">
        <v>846</v>
      </c>
      <c r="BS960" s="330">
        <f t="shared" si="63"/>
        <v>15.53319027</v>
      </c>
      <c r="BT960" s="331">
        <f t="shared" si="64"/>
        <v>40.21989557</v>
      </c>
      <c r="BU960" s="842">
        <v>0.4030324074074074</v>
      </c>
      <c r="BV960" s="864"/>
      <c r="BW960" s="862">
        <v>17.9923076923076</v>
      </c>
      <c r="BX960" s="863">
        <v>12.3846153846153</v>
      </c>
      <c r="BY960" s="331">
        <f t="shared" si="65"/>
        <v>3.191380774</v>
      </c>
      <c r="BZ960" s="869"/>
      <c r="CA960" s="849" t="s">
        <v>845</v>
      </c>
      <c r="CB960" s="852" t="s">
        <v>845</v>
      </c>
      <c r="CC960" s="852" t="s">
        <v>845</v>
      </c>
      <c r="CD960" s="852" t="s">
        <v>845</v>
      </c>
      <c r="CE960" s="852" t="s">
        <v>845</v>
      </c>
      <c r="CF960" s="852" t="s">
        <v>845</v>
      </c>
      <c r="CG960" s="852" t="s">
        <v>845</v>
      </c>
      <c r="CH960" s="852" t="s">
        <v>845</v>
      </c>
      <c r="CI960" s="852" t="s">
        <v>845</v>
      </c>
      <c r="CJ960" s="858" t="s">
        <v>845</v>
      </c>
      <c r="CK960" s="342">
        <f t="shared" si="18"/>
        <v>0</v>
      </c>
      <c r="CL960" s="333">
        <f t="shared" si="19"/>
        <v>0</v>
      </c>
      <c r="CM960" s="870"/>
      <c r="CN960" s="333"/>
      <c r="CO960" s="333"/>
      <c r="CP960" s="333"/>
    </row>
    <row r="961">
      <c r="B961" s="462" t="s">
        <v>1561</v>
      </c>
      <c r="C961" s="417">
        <v>44386.0</v>
      </c>
      <c r="D961" s="318"/>
      <c r="E961" s="319">
        <v>54.0</v>
      </c>
      <c r="F961" s="324" t="s">
        <v>1625</v>
      </c>
      <c r="G961" s="321">
        <v>0.4086226851851852</v>
      </c>
      <c r="H961" s="323">
        <v>0.4092013888888889</v>
      </c>
      <c r="I961" s="323"/>
      <c r="J961" s="323"/>
      <c r="K961" s="323">
        <v>0.40989583333333335</v>
      </c>
      <c r="L961" s="323">
        <v>6.944444444444445E-4</v>
      </c>
      <c r="M961" s="319" t="s">
        <v>166</v>
      </c>
      <c r="N961" s="324" t="s">
        <v>187</v>
      </c>
      <c r="O961" s="419" t="s">
        <v>203</v>
      </c>
      <c r="P961" s="319" t="s">
        <v>211</v>
      </c>
      <c r="Q961" s="318"/>
      <c r="R961" s="326">
        <v>15.1</v>
      </c>
      <c r="S961" s="319">
        <v>2.4</v>
      </c>
      <c r="T961" s="324">
        <v>1.2</v>
      </c>
      <c r="U961" s="319">
        <v>2.0</v>
      </c>
      <c r="V961" s="319"/>
      <c r="W961" s="319"/>
      <c r="X961" s="319"/>
      <c r="Y961" s="319"/>
      <c r="Z961" s="319" t="s">
        <v>357</v>
      </c>
      <c r="AA961" s="319"/>
      <c r="AB961" s="319" t="s">
        <v>380</v>
      </c>
      <c r="AC961" s="327">
        <v>4.0</v>
      </c>
      <c r="AD961" s="319"/>
      <c r="AE961" s="319"/>
      <c r="AF961" s="319"/>
      <c r="AG961" s="319"/>
      <c r="AH961" s="319"/>
      <c r="AI961" s="319"/>
      <c r="AJ961" s="327"/>
      <c r="AK961" s="328"/>
      <c r="AL961" s="319"/>
      <c r="AM961" s="319"/>
      <c r="AN961" s="319"/>
      <c r="AO961" s="319"/>
      <c r="AP961" s="319"/>
      <c r="AQ961" s="319"/>
      <c r="AR961" s="319"/>
      <c r="AS961" s="327"/>
      <c r="AT961" s="461" t="s">
        <v>182</v>
      </c>
      <c r="AU961" s="345" t="s">
        <v>845</v>
      </c>
      <c r="AV961" s="330">
        <f>SQRT(($R961-Infrastructure!J$3)^2+($S961-Infrastructure!K$3)^2)</f>
        <v>30.64979608</v>
      </c>
      <c r="AW961" s="331">
        <f>SQRT(($R961-Infrastructure!J$4)^2+($S961-Infrastructure!K$4)^2)</f>
        <v>21.77888886</v>
      </c>
      <c r="AX961" s="331">
        <f>SQRT(($R961-Infrastructure!J$5)^2+($S961-Infrastructure!K$5)^2)</f>
        <v>15.63489687</v>
      </c>
      <c r="AY961" s="331">
        <f>SQRT(($R961-Infrastructure!J$6)^2+($S961-Infrastructure!K$6)^2)</f>
        <v>5.423098745</v>
      </c>
      <c r="AZ961" s="331">
        <f>SQRT(($R961-Infrastructure!J$7)^2+($S961-Infrastructure!K$7)^2)</f>
        <v>5.793962375</v>
      </c>
      <c r="BA961" s="331">
        <f>SQRT(($R961-Infrastructure!J$8)^2+($S961-Infrastructure!K$8)^2)</f>
        <v>15.14628667</v>
      </c>
      <c r="BB961" s="331">
        <f>SQRT(($R961-Infrastructure!J$9)^2+($S961-Infrastructure!K$9)^2)</f>
        <v>25.04595776</v>
      </c>
      <c r="BC961" s="331">
        <f>SQRT(($R961-Infrastructure!J$10)^2+($S961-Infrastructure!K$10)^2)</f>
        <v>27.90645087</v>
      </c>
      <c r="BD961" s="331">
        <f>SQRT(($R961-Infrastructure!J$11)^2+($S961-Infrastructure!K$11)^2)</f>
        <v>36.5728041</v>
      </c>
      <c r="BE961" s="333">
        <f>SQRT(($R961-Infrastructure!J$12)^2+($S961-Infrastructure!K$12)^2)</f>
        <v>53.48429676</v>
      </c>
      <c r="BF961" s="330">
        <f t="shared" si="14"/>
        <v>5.423098745</v>
      </c>
      <c r="BG961" s="333">
        <f t="shared" si="15"/>
        <v>53.48429676</v>
      </c>
      <c r="BH961" s="334"/>
      <c r="BI961" s="316" t="s">
        <v>846</v>
      </c>
      <c r="BJ961" s="318" t="s">
        <v>845</v>
      </c>
      <c r="BK961" s="318" t="s">
        <v>845</v>
      </c>
      <c r="BL961" s="318" t="s">
        <v>845</v>
      </c>
      <c r="BM961" s="318" t="s">
        <v>845</v>
      </c>
      <c r="BN961" s="318" t="s">
        <v>846</v>
      </c>
      <c r="BO961" s="318" t="s">
        <v>846</v>
      </c>
      <c r="BP961" s="318" t="s">
        <v>845</v>
      </c>
      <c r="BQ961" s="318" t="s">
        <v>845</v>
      </c>
      <c r="BR961" s="332" t="s">
        <v>845</v>
      </c>
      <c r="BS961" s="330">
        <f t="shared" si="63"/>
        <v>15.14628667</v>
      </c>
      <c r="BT961" s="331">
        <f t="shared" si="64"/>
        <v>30.64979608</v>
      </c>
      <c r="BU961" s="842">
        <v>0.4088657407407407</v>
      </c>
      <c r="BV961" s="333"/>
      <c r="BW961" s="330">
        <v>11.625</v>
      </c>
      <c r="BX961" s="331">
        <v>4.975</v>
      </c>
      <c r="BY961" s="331">
        <f t="shared" si="65"/>
        <v>4.325072254</v>
      </c>
      <c r="BZ961" s="340"/>
      <c r="CA961" s="462" t="s">
        <v>846</v>
      </c>
      <c r="CB961" s="319" t="s">
        <v>845</v>
      </c>
      <c r="CC961" s="319" t="s">
        <v>845</v>
      </c>
      <c r="CD961" s="319" t="s">
        <v>845</v>
      </c>
      <c r="CE961" s="319" t="s">
        <v>845</v>
      </c>
      <c r="CF961" s="319" t="s">
        <v>845</v>
      </c>
      <c r="CG961" s="319" t="s">
        <v>846</v>
      </c>
      <c r="CH961" s="319" t="s">
        <v>845</v>
      </c>
      <c r="CI961" s="319" t="s">
        <v>845</v>
      </c>
      <c r="CJ961" s="327" t="s">
        <v>845</v>
      </c>
      <c r="CK961" s="342">
        <f t="shared" si="18"/>
        <v>25.04595776</v>
      </c>
      <c r="CL961" s="333">
        <f t="shared" si="19"/>
        <v>30.64979608</v>
      </c>
      <c r="CM961" s="829"/>
      <c r="CN961" s="333"/>
      <c r="CO961" s="333"/>
      <c r="CP961" s="333"/>
    </row>
    <row r="962">
      <c r="B962" s="462" t="s">
        <v>1561</v>
      </c>
      <c r="C962" s="417">
        <v>44386.0</v>
      </c>
      <c r="D962" s="318"/>
      <c r="E962" s="319">
        <v>55.0</v>
      </c>
      <c r="F962" s="324" t="s">
        <v>1626</v>
      </c>
      <c r="G962" s="321">
        <v>0.4107638888888889</v>
      </c>
      <c r="H962" s="323">
        <v>0.4109375</v>
      </c>
      <c r="I962" s="323"/>
      <c r="J962" s="323"/>
      <c r="K962" s="323">
        <v>0.41163194444444445</v>
      </c>
      <c r="L962" s="323">
        <v>6.944444444444445E-4</v>
      </c>
      <c r="M962" s="319" t="s">
        <v>166</v>
      </c>
      <c r="N962" s="324" t="s">
        <v>187</v>
      </c>
      <c r="O962" s="419" t="s">
        <v>203</v>
      </c>
      <c r="P962" s="319" t="s">
        <v>211</v>
      </c>
      <c r="Q962" s="318"/>
      <c r="R962" s="326">
        <v>15.1</v>
      </c>
      <c r="S962" s="319">
        <v>2.4</v>
      </c>
      <c r="T962" s="324">
        <v>1.2</v>
      </c>
      <c r="U962" s="319">
        <v>1.0</v>
      </c>
      <c r="V962" s="319"/>
      <c r="W962" s="319"/>
      <c r="X962" s="319"/>
      <c r="Y962" s="319"/>
      <c r="Z962" s="319" t="s">
        <v>357</v>
      </c>
      <c r="AA962" s="319"/>
      <c r="AB962" s="319" t="s">
        <v>380</v>
      </c>
      <c r="AC962" s="327">
        <v>4.0</v>
      </c>
      <c r="AD962" s="319"/>
      <c r="AE962" s="319"/>
      <c r="AF962" s="319"/>
      <c r="AG962" s="319"/>
      <c r="AH962" s="319"/>
      <c r="AI962" s="319"/>
      <c r="AJ962" s="327"/>
      <c r="AK962" s="328"/>
      <c r="AL962" s="319"/>
      <c r="AM962" s="319"/>
      <c r="AN962" s="319"/>
      <c r="AO962" s="319"/>
      <c r="AP962" s="319"/>
      <c r="AQ962" s="319"/>
      <c r="AR962" s="319"/>
      <c r="AS962" s="327"/>
      <c r="AT962" s="461" t="s">
        <v>182</v>
      </c>
      <c r="AU962" s="345" t="s">
        <v>845</v>
      </c>
      <c r="AV962" s="330">
        <f>SQRT(($R962-Infrastructure!J$3)^2+($S962-Infrastructure!K$3)^2)</f>
        <v>30.64979608</v>
      </c>
      <c r="AW962" s="331">
        <f>SQRT(($R962-Infrastructure!J$4)^2+($S962-Infrastructure!K$4)^2)</f>
        <v>21.77888886</v>
      </c>
      <c r="AX962" s="331">
        <f>SQRT(($R962-Infrastructure!J$5)^2+($S962-Infrastructure!K$5)^2)</f>
        <v>15.63489687</v>
      </c>
      <c r="AY962" s="331">
        <f>SQRT(($R962-Infrastructure!J$6)^2+($S962-Infrastructure!K$6)^2)</f>
        <v>5.423098745</v>
      </c>
      <c r="AZ962" s="331">
        <f>SQRT(($R962-Infrastructure!J$7)^2+($S962-Infrastructure!K$7)^2)</f>
        <v>5.793962375</v>
      </c>
      <c r="BA962" s="331">
        <f>SQRT(($R962-Infrastructure!J$8)^2+($S962-Infrastructure!K$8)^2)</f>
        <v>15.14628667</v>
      </c>
      <c r="BB962" s="331">
        <f>SQRT(($R962-Infrastructure!J$9)^2+($S962-Infrastructure!K$9)^2)</f>
        <v>25.04595776</v>
      </c>
      <c r="BC962" s="331">
        <f>SQRT(($R962-Infrastructure!J$10)^2+($S962-Infrastructure!K$10)^2)</f>
        <v>27.90645087</v>
      </c>
      <c r="BD962" s="331">
        <f>SQRT(($R962-Infrastructure!J$11)^2+($S962-Infrastructure!K$11)^2)</f>
        <v>36.5728041</v>
      </c>
      <c r="BE962" s="333">
        <f>SQRT(($R962-Infrastructure!J$12)^2+($S962-Infrastructure!K$12)^2)</f>
        <v>53.48429676</v>
      </c>
      <c r="BF962" s="330">
        <f t="shared" si="14"/>
        <v>5.423098745</v>
      </c>
      <c r="BG962" s="333">
        <f t="shared" si="15"/>
        <v>53.48429676</v>
      </c>
      <c r="BH962" s="334"/>
      <c r="BI962" s="316" t="s">
        <v>846</v>
      </c>
      <c r="BJ962" s="318" t="s">
        <v>845</v>
      </c>
      <c r="BK962" s="318" t="s">
        <v>845</v>
      </c>
      <c r="BL962" s="318" t="s">
        <v>845</v>
      </c>
      <c r="BM962" s="318" t="s">
        <v>845</v>
      </c>
      <c r="BN962" s="318" t="s">
        <v>845</v>
      </c>
      <c r="BO962" s="318" t="s">
        <v>845</v>
      </c>
      <c r="BP962" s="318" t="s">
        <v>845</v>
      </c>
      <c r="BQ962" s="318" t="s">
        <v>845</v>
      </c>
      <c r="BR962" s="332" t="s">
        <v>845</v>
      </c>
      <c r="BS962" s="330">
        <f t="shared" si="63"/>
        <v>30.64979608</v>
      </c>
      <c r="BT962" s="331">
        <f t="shared" si="64"/>
        <v>30.64979608</v>
      </c>
      <c r="BU962" s="842">
        <v>0.41108796296296296</v>
      </c>
      <c r="BV962" s="333"/>
      <c r="BW962" s="330"/>
      <c r="BX962" s="331"/>
      <c r="BY962" s="331" t="b">
        <f t="shared" si="65"/>
        <v>0</v>
      </c>
      <c r="BZ962" s="340"/>
      <c r="CA962" s="462" t="s">
        <v>845</v>
      </c>
      <c r="CB962" s="319" t="s">
        <v>845</v>
      </c>
      <c r="CC962" s="319" t="s">
        <v>845</v>
      </c>
      <c r="CD962" s="319" t="s">
        <v>845</v>
      </c>
      <c r="CE962" s="319" t="s">
        <v>845</v>
      </c>
      <c r="CF962" s="319" t="s">
        <v>845</v>
      </c>
      <c r="CG962" s="319" t="s">
        <v>845</v>
      </c>
      <c r="CH962" s="319" t="s">
        <v>845</v>
      </c>
      <c r="CI962" s="319" t="s">
        <v>845</v>
      </c>
      <c r="CJ962" s="327" t="s">
        <v>845</v>
      </c>
      <c r="CK962" s="342">
        <f t="shared" si="18"/>
        <v>0</v>
      </c>
      <c r="CL962" s="333">
        <f t="shared" si="19"/>
        <v>0</v>
      </c>
      <c r="CM962" s="829"/>
      <c r="CN962" s="333"/>
      <c r="CO962" s="333"/>
      <c r="CP962" s="333"/>
    </row>
    <row r="963">
      <c r="B963" s="462" t="s">
        <v>1561</v>
      </c>
      <c r="C963" s="417">
        <v>44386.0</v>
      </c>
      <c r="D963" s="318"/>
      <c r="E963" s="319">
        <v>56.0</v>
      </c>
      <c r="F963" s="324" t="s">
        <v>1627</v>
      </c>
      <c r="G963" s="321">
        <v>0.4126736111111111</v>
      </c>
      <c r="H963" s="323">
        <v>0.41302083333333334</v>
      </c>
      <c r="I963" s="323"/>
      <c r="J963" s="323"/>
      <c r="K963" s="323">
        <v>0.4137152777777778</v>
      </c>
      <c r="L963" s="323">
        <v>6.944444444444445E-4</v>
      </c>
      <c r="M963" s="319" t="s">
        <v>166</v>
      </c>
      <c r="N963" s="324" t="s">
        <v>187</v>
      </c>
      <c r="O963" s="419" t="s">
        <v>203</v>
      </c>
      <c r="P963" s="319" t="s">
        <v>211</v>
      </c>
      <c r="Q963" s="318"/>
      <c r="R963" s="326">
        <v>15.1</v>
      </c>
      <c r="S963" s="319">
        <v>2.4</v>
      </c>
      <c r="T963" s="324">
        <v>1.2</v>
      </c>
      <c r="U963" s="319">
        <v>5.0</v>
      </c>
      <c r="V963" s="319"/>
      <c r="W963" s="319"/>
      <c r="X963" s="319"/>
      <c r="Y963" s="319"/>
      <c r="Z963" s="319" t="s">
        <v>357</v>
      </c>
      <c r="AA963" s="319"/>
      <c r="AB963" s="319" t="s">
        <v>384</v>
      </c>
      <c r="AC963" s="327">
        <v>6.0</v>
      </c>
      <c r="AD963" s="319"/>
      <c r="AE963" s="319"/>
      <c r="AF963" s="319"/>
      <c r="AG963" s="319"/>
      <c r="AH963" s="319"/>
      <c r="AI963" s="319"/>
      <c r="AJ963" s="327"/>
      <c r="AK963" s="328"/>
      <c r="AL963" s="319"/>
      <c r="AM963" s="319"/>
      <c r="AN963" s="319"/>
      <c r="AO963" s="319"/>
      <c r="AP963" s="319"/>
      <c r="AQ963" s="319"/>
      <c r="AR963" s="319"/>
      <c r="AS963" s="327"/>
      <c r="AT963" s="461" t="s">
        <v>182</v>
      </c>
      <c r="AU963" s="345" t="s">
        <v>845</v>
      </c>
      <c r="AV963" s="330">
        <f>SQRT(($R963-Infrastructure!J$3)^2+($S963-Infrastructure!K$3)^2)</f>
        <v>30.64979608</v>
      </c>
      <c r="AW963" s="331">
        <f>SQRT(($R963-Infrastructure!J$4)^2+($S963-Infrastructure!K$4)^2)</f>
        <v>21.77888886</v>
      </c>
      <c r="AX963" s="331">
        <f>SQRT(($R963-Infrastructure!J$5)^2+($S963-Infrastructure!K$5)^2)</f>
        <v>15.63489687</v>
      </c>
      <c r="AY963" s="331">
        <f>SQRT(($R963-Infrastructure!J$6)^2+($S963-Infrastructure!K$6)^2)</f>
        <v>5.423098745</v>
      </c>
      <c r="AZ963" s="331">
        <f>SQRT(($R963-Infrastructure!J$7)^2+($S963-Infrastructure!K$7)^2)</f>
        <v>5.793962375</v>
      </c>
      <c r="BA963" s="331">
        <f>SQRT(($R963-Infrastructure!J$8)^2+($S963-Infrastructure!K$8)^2)</f>
        <v>15.14628667</v>
      </c>
      <c r="BB963" s="331">
        <f>SQRT(($R963-Infrastructure!J$9)^2+($S963-Infrastructure!K$9)^2)</f>
        <v>25.04595776</v>
      </c>
      <c r="BC963" s="331">
        <f>SQRT(($R963-Infrastructure!J$10)^2+($S963-Infrastructure!K$10)^2)</f>
        <v>27.90645087</v>
      </c>
      <c r="BD963" s="331">
        <f>SQRT(($R963-Infrastructure!J$11)^2+($S963-Infrastructure!K$11)^2)</f>
        <v>36.5728041</v>
      </c>
      <c r="BE963" s="333">
        <f>SQRT(($R963-Infrastructure!J$12)^2+($S963-Infrastructure!K$12)^2)</f>
        <v>53.48429676</v>
      </c>
      <c r="BF963" s="330">
        <f t="shared" si="14"/>
        <v>5.423098745</v>
      </c>
      <c r="BG963" s="333">
        <f t="shared" si="15"/>
        <v>53.48429676</v>
      </c>
      <c r="BH963" s="334"/>
      <c r="BI963" s="316" t="s">
        <v>846</v>
      </c>
      <c r="BJ963" s="318" t="s">
        <v>845</v>
      </c>
      <c r="BK963" s="318" t="s">
        <v>845</v>
      </c>
      <c r="BL963" s="318" t="s">
        <v>846</v>
      </c>
      <c r="BM963" s="318" t="s">
        <v>845</v>
      </c>
      <c r="BN963" s="318" t="s">
        <v>846</v>
      </c>
      <c r="BO963" s="318" t="s">
        <v>846</v>
      </c>
      <c r="BP963" s="318" t="s">
        <v>845</v>
      </c>
      <c r="BQ963" s="318" t="s">
        <v>846</v>
      </c>
      <c r="BR963" s="332" t="s">
        <v>846</v>
      </c>
      <c r="BS963" s="330">
        <f t="shared" si="63"/>
        <v>5.423098745</v>
      </c>
      <c r="BT963" s="331">
        <f t="shared" si="64"/>
        <v>53.48429676</v>
      </c>
      <c r="BU963" s="842">
        <v>0.41292824074074075</v>
      </c>
      <c r="BV963" s="333"/>
      <c r="BW963" s="330">
        <v>16.3076923076923</v>
      </c>
      <c r="BX963" s="331">
        <v>5.8076923076923</v>
      </c>
      <c r="BY963" s="331">
        <f t="shared" si="65"/>
        <v>3.615368249</v>
      </c>
      <c r="BZ963" s="340"/>
      <c r="CA963" s="462" t="s">
        <v>845</v>
      </c>
      <c r="CB963" s="319" t="s">
        <v>845</v>
      </c>
      <c r="CC963" s="319" t="s">
        <v>845</v>
      </c>
      <c r="CD963" s="319" t="s">
        <v>845</v>
      </c>
      <c r="CE963" s="319" t="s">
        <v>845</v>
      </c>
      <c r="CF963" s="319" t="s">
        <v>845</v>
      </c>
      <c r="CG963" s="319" t="s">
        <v>845</v>
      </c>
      <c r="CH963" s="319" t="s">
        <v>845</v>
      </c>
      <c r="CI963" s="319" t="s">
        <v>845</v>
      </c>
      <c r="CJ963" s="327" t="s">
        <v>845</v>
      </c>
      <c r="CK963" s="342">
        <f t="shared" si="18"/>
        <v>0</v>
      </c>
      <c r="CL963" s="333">
        <f t="shared" si="19"/>
        <v>0</v>
      </c>
      <c r="CM963" s="829"/>
      <c r="CN963" s="333"/>
      <c r="CO963" s="333"/>
      <c r="CP963" s="333"/>
    </row>
    <row r="964">
      <c r="B964" s="849" t="s">
        <v>1561</v>
      </c>
      <c r="C964" s="850">
        <v>44386.0</v>
      </c>
      <c r="D964" s="851"/>
      <c r="E964" s="852">
        <v>57.0</v>
      </c>
      <c r="F964" s="853" t="s">
        <v>1628</v>
      </c>
      <c r="G964" s="854">
        <v>0.41475694444444444</v>
      </c>
      <c r="H964" s="855">
        <v>0.41510416666666666</v>
      </c>
      <c r="I964" s="855"/>
      <c r="J964" s="855"/>
      <c r="K964" s="855">
        <v>0.4157986111111111</v>
      </c>
      <c r="L964" s="855">
        <v>6.944444444444445E-4</v>
      </c>
      <c r="M964" s="852" t="s">
        <v>166</v>
      </c>
      <c r="N964" s="853" t="s">
        <v>187</v>
      </c>
      <c r="O964" s="856" t="s">
        <v>203</v>
      </c>
      <c r="P964" s="852" t="s">
        <v>211</v>
      </c>
      <c r="Q964" s="851"/>
      <c r="R964" s="857">
        <v>15.1</v>
      </c>
      <c r="S964" s="852">
        <v>2.4</v>
      </c>
      <c r="T964" s="853">
        <v>1.2</v>
      </c>
      <c r="U964" s="852">
        <v>2.0</v>
      </c>
      <c r="V964" s="852"/>
      <c r="W964" s="852"/>
      <c r="X964" s="852"/>
      <c r="Y964" s="852"/>
      <c r="Z964" s="852" t="s">
        <v>357</v>
      </c>
      <c r="AA964" s="852"/>
      <c r="AB964" s="852" t="s">
        <v>384</v>
      </c>
      <c r="AC964" s="858">
        <v>6.0</v>
      </c>
      <c r="AD964" s="852"/>
      <c r="AE964" s="852"/>
      <c r="AF964" s="852"/>
      <c r="AG964" s="852"/>
      <c r="AH964" s="852"/>
      <c r="AI964" s="852"/>
      <c r="AJ964" s="858"/>
      <c r="AK964" s="859"/>
      <c r="AL964" s="852"/>
      <c r="AM964" s="852"/>
      <c r="AN964" s="852"/>
      <c r="AO964" s="852"/>
      <c r="AP964" s="852"/>
      <c r="AQ964" s="852"/>
      <c r="AR964" s="852"/>
      <c r="AS964" s="858"/>
      <c r="AT964" s="860" t="s">
        <v>182</v>
      </c>
      <c r="AU964" s="861" t="s">
        <v>845</v>
      </c>
      <c r="AV964" s="862">
        <f>SQRT(($R964-Infrastructure!J$3)^2+($S964-Infrastructure!K$3)^2)</f>
        <v>30.64979608</v>
      </c>
      <c r="AW964" s="331">
        <f>SQRT(($R964-Infrastructure!J$4)^2+($S964-Infrastructure!K$4)^2)</f>
        <v>21.77888886</v>
      </c>
      <c r="AX964" s="863">
        <f>SQRT(($R964-Infrastructure!J$5)^2+($S964-Infrastructure!K$5)^2)</f>
        <v>15.63489687</v>
      </c>
      <c r="AY964" s="863">
        <f>SQRT(($R964-Infrastructure!J$6)^2+($S964-Infrastructure!K$6)^2)</f>
        <v>5.423098745</v>
      </c>
      <c r="AZ964" s="863">
        <f>SQRT(($R964-Infrastructure!J$7)^2+($S964-Infrastructure!K$7)^2)</f>
        <v>5.793962375</v>
      </c>
      <c r="BA964" s="863">
        <f>SQRT(($R964-Infrastructure!J$8)^2+($S964-Infrastructure!K$8)^2)</f>
        <v>15.14628667</v>
      </c>
      <c r="BB964" s="331">
        <f>SQRT(($R964-Infrastructure!J$9)^2+($S964-Infrastructure!K$9)^2)</f>
        <v>25.04595776</v>
      </c>
      <c r="BC964" s="863">
        <f>SQRT(($R964-Infrastructure!J$10)^2+($S964-Infrastructure!K$10)^2)</f>
        <v>27.90645087</v>
      </c>
      <c r="BD964" s="863">
        <f>SQRT(($R964-Infrastructure!J$11)^2+($S964-Infrastructure!K$11)^2)</f>
        <v>36.5728041</v>
      </c>
      <c r="BE964" s="864">
        <f>SQRT(($R964-Infrastructure!J$12)^2+($S964-Infrastructure!K$12)^2)</f>
        <v>53.48429676</v>
      </c>
      <c r="BF964" s="330">
        <f t="shared" si="14"/>
        <v>5.423098745</v>
      </c>
      <c r="BG964" s="333">
        <f t="shared" si="15"/>
        <v>53.48429676</v>
      </c>
      <c r="BH964" s="865"/>
      <c r="BI964" s="866" t="s">
        <v>846</v>
      </c>
      <c r="BJ964" s="851" t="s">
        <v>846</v>
      </c>
      <c r="BK964" s="851" t="s">
        <v>845</v>
      </c>
      <c r="BL964" s="851" t="s">
        <v>845</v>
      </c>
      <c r="BM964" s="851" t="s">
        <v>845</v>
      </c>
      <c r="BN964" s="851" t="s">
        <v>845</v>
      </c>
      <c r="BO964" s="851" t="s">
        <v>846</v>
      </c>
      <c r="BP964" s="851" t="s">
        <v>845</v>
      </c>
      <c r="BQ964" s="851" t="s">
        <v>845</v>
      </c>
      <c r="BR964" s="867" t="s">
        <v>845</v>
      </c>
      <c r="BS964" s="330">
        <f t="shared" si="63"/>
        <v>21.77888886</v>
      </c>
      <c r="BT964" s="331">
        <f t="shared" si="64"/>
        <v>30.64979608</v>
      </c>
      <c r="BU964" s="842">
        <v>0.41496527777777775</v>
      </c>
      <c r="BV964" s="864"/>
      <c r="BW964" s="862">
        <v>12.5499999999999</v>
      </c>
      <c r="BX964" s="863">
        <v>4.35</v>
      </c>
      <c r="BY964" s="331">
        <f t="shared" si="65"/>
        <v>3.210140184</v>
      </c>
      <c r="BZ964" s="869"/>
      <c r="CA964" s="849" t="s">
        <v>845</v>
      </c>
      <c r="CB964" s="852" t="s">
        <v>845</v>
      </c>
      <c r="CC964" s="852" t="s">
        <v>845</v>
      </c>
      <c r="CD964" s="852" t="s">
        <v>845</v>
      </c>
      <c r="CE964" s="852" t="s">
        <v>845</v>
      </c>
      <c r="CF964" s="852" t="s">
        <v>845</v>
      </c>
      <c r="CG964" s="852" t="s">
        <v>845</v>
      </c>
      <c r="CH964" s="852" t="s">
        <v>845</v>
      </c>
      <c r="CI964" s="852" t="s">
        <v>845</v>
      </c>
      <c r="CJ964" s="858" t="s">
        <v>845</v>
      </c>
      <c r="CK964" s="342">
        <f t="shared" si="18"/>
        <v>0</v>
      </c>
      <c r="CL964" s="333">
        <f t="shared" si="19"/>
        <v>0</v>
      </c>
      <c r="CM964" s="870"/>
      <c r="CN964" s="333"/>
      <c r="CO964" s="333"/>
      <c r="CP964" s="333"/>
    </row>
    <row r="965">
      <c r="B965" s="462" t="s">
        <v>1561</v>
      </c>
      <c r="C965" s="417">
        <v>44386.0</v>
      </c>
      <c r="D965" s="318"/>
      <c r="E965" s="319" t="s">
        <v>1629</v>
      </c>
      <c r="F965" s="324" t="s">
        <v>1630</v>
      </c>
      <c r="G965" s="321">
        <v>0.4388888888888889</v>
      </c>
      <c r="H965" s="323">
        <v>0.4391203703703704</v>
      </c>
      <c r="I965" s="323"/>
      <c r="J965" s="323"/>
      <c r="K965" s="323">
        <v>0.4398148148148148</v>
      </c>
      <c r="L965" s="323">
        <v>6.944444444444445E-4</v>
      </c>
      <c r="M965" s="319" t="s">
        <v>166</v>
      </c>
      <c r="N965" s="324" t="s">
        <v>187</v>
      </c>
      <c r="O965" s="419" t="s">
        <v>200</v>
      </c>
      <c r="P965" s="319" t="s">
        <v>212</v>
      </c>
      <c r="Q965" s="318"/>
      <c r="R965" s="326">
        <v>1.0</v>
      </c>
      <c r="S965" s="319">
        <v>17.7</v>
      </c>
      <c r="T965" s="324">
        <v>0.7</v>
      </c>
      <c r="U965" s="319">
        <v>3.0</v>
      </c>
      <c r="V965" s="319"/>
      <c r="W965" s="319"/>
      <c r="X965" s="319"/>
      <c r="Y965" s="319"/>
      <c r="Z965" s="319" t="s">
        <v>318</v>
      </c>
      <c r="AA965" s="319"/>
      <c r="AB965" s="319" t="s">
        <v>337</v>
      </c>
      <c r="AC965" s="327">
        <v>2.5</v>
      </c>
      <c r="AD965" s="319"/>
      <c r="AE965" s="319"/>
      <c r="AF965" s="319"/>
      <c r="AG965" s="319"/>
      <c r="AH965" s="319"/>
      <c r="AI965" s="319"/>
      <c r="AJ965" s="327"/>
      <c r="AK965" s="328"/>
      <c r="AL965" s="319"/>
      <c r="AM965" s="319"/>
      <c r="AN965" s="319"/>
      <c r="AO965" s="319"/>
      <c r="AP965" s="319"/>
      <c r="AQ965" s="319"/>
      <c r="AR965" s="319"/>
      <c r="AS965" s="327"/>
      <c r="AT965" s="461" t="s">
        <v>182</v>
      </c>
      <c r="AU965" s="345" t="s">
        <v>845</v>
      </c>
      <c r="AV965" s="330">
        <f>SQRT(($R965-Infrastructure!J$3)^2+($S965-Infrastructure!K$3)^2)</f>
        <v>11.27519401</v>
      </c>
      <c r="AW965" s="331">
        <f>SQRT(($R965-Infrastructure!J$4)^2+($S965-Infrastructure!K$4)^2)</f>
        <v>1.303840481</v>
      </c>
      <c r="AX965" s="331">
        <f>SQRT(($R965-Infrastructure!J$5)^2+($S965-Infrastructure!K$5)^2)</f>
        <v>12.66688596</v>
      </c>
      <c r="AY965" s="331">
        <f>SQRT(($R965-Infrastructure!J$6)^2+($S965-Infrastructure!K$6)^2)</f>
        <v>19.63593644</v>
      </c>
      <c r="AZ965" s="331">
        <f>SQRT(($R965-Infrastructure!J$7)^2+($S965-Infrastructure!K$7)^2)</f>
        <v>26.13446001</v>
      </c>
      <c r="BA965" s="331">
        <f>SQRT(($R965-Infrastructure!J$8)^2+($S965-Infrastructure!K$8)^2)</f>
        <v>33.90530932</v>
      </c>
      <c r="BB965" s="331">
        <f>SQRT(($R965-Infrastructure!J$9)^2+($S965-Infrastructure!K$9)^2)</f>
        <v>40.98487526</v>
      </c>
      <c r="BC965" s="331">
        <f>SQRT(($R965-Infrastructure!J$10)^2+($S965-Infrastructure!K$10)^2)</f>
        <v>39.09334982</v>
      </c>
      <c r="BD965" s="331">
        <f>SQRT(($R965-Infrastructure!J$11)^2+($S965-Infrastructure!K$11)^2)</f>
        <v>40.7962008</v>
      </c>
      <c r="BE965" s="333">
        <f>SQRT(($R965-Infrastructure!J$12)^2+($S965-Infrastructure!K$12)^2)</f>
        <v>43.0010465</v>
      </c>
      <c r="BF965" s="330">
        <f t="shared" si="14"/>
        <v>1.303840481</v>
      </c>
      <c r="BG965" s="333">
        <f t="shared" si="15"/>
        <v>43.0010465</v>
      </c>
      <c r="BH965" s="334"/>
      <c r="BI965" s="316" t="s">
        <v>846</v>
      </c>
      <c r="BJ965" s="318" t="s">
        <v>846</v>
      </c>
      <c r="BK965" s="318" t="s">
        <v>846</v>
      </c>
      <c r="BL965" s="318" t="s">
        <v>845</v>
      </c>
      <c r="BM965" s="318" t="s">
        <v>846</v>
      </c>
      <c r="BN965" s="318" t="s">
        <v>846</v>
      </c>
      <c r="BO965" s="318" t="s">
        <v>846</v>
      </c>
      <c r="BP965" s="318" t="s">
        <v>846</v>
      </c>
      <c r="BQ965" s="318" t="s">
        <v>846</v>
      </c>
      <c r="BR965" s="332" t="s">
        <v>845</v>
      </c>
      <c r="BS965" s="330">
        <f t="shared" si="63"/>
        <v>1.303840481</v>
      </c>
      <c r="BT965" s="331">
        <f t="shared" si="64"/>
        <v>40.98487526</v>
      </c>
      <c r="BU965" s="842">
        <v>0.4391087962962963</v>
      </c>
      <c r="BV965" s="333"/>
      <c r="BW965" s="330">
        <v>11.9416666666666</v>
      </c>
      <c r="BX965" s="331">
        <v>13.6749999999999</v>
      </c>
      <c r="BY965" s="331">
        <f t="shared" si="65"/>
        <v>11.6585031</v>
      </c>
      <c r="BZ965" s="340"/>
      <c r="CA965" s="462" t="s">
        <v>845</v>
      </c>
      <c r="CB965" s="319" t="s">
        <v>846</v>
      </c>
      <c r="CC965" s="319" t="s">
        <v>845</v>
      </c>
      <c r="CD965" s="319" t="s">
        <v>845</v>
      </c>
      <c r="CE965" s="319" t="s">
        <v>845</v>
      </c>
      <c r="CF965" s="319" t="s">
        <v>846</v>
      </c>
      <c r="CG965" s="319" t="s">
        <v>845</v>
      </c>
      <c r="CH965" s="319" t="s">
        <v>845</v>
      </c>
      <c r="CI965" s="319" t="s">
        <v>846</v>
      </c>
      <c r="CJ965" s="327" t="s">
        <v>845</v>
      </c>
      <c r="CK965" s="342">
        <f t="shared" si="18"/>
        <v>1.303840481</v>
      </c>
      <c r="CL965" s="333">
        <f t="shared" si="19"/>
        <v>40.7962008</v>
      </c>
      <c r="CM965" s="829"/>
      <c r="CN965" s="333"/>
      <c r="CO965" s="333"/>
      <c r="CP965" s="333"/>
    </row>
    <row r="966">
      <c r="B966" s="462" t="s">
        <v>1561</v>
      </c>
      <c r="C966" s="417">
        <v>44386.0</v>
      </c>
      <c r="D966" s="318"/>
      <c r="E966" s="319" t="s">
        <v>1631</v>
      </c>
      <c r="F966" s="324" t="s">
        <v>1632</v>
      </c>
      <c r="G966" s="321">
        <v>0.4407986111111111</v>
      </c>
      <c r="H966" s="323">
        <v>0.44103009259259257</v>
      </c>
      <c r="I966" s="323"/>
      <c r="J966" s="323"/>
      <c r="K966" s="323">
        <v>0.441724537037037</v>
      </c>
      <c r="L966" s="323">
        <v>6.944444444444445E-4</v>
      </c>
      <c r="M966" s="319" t="s">
        <v>166</v>
      </c>
      <c r="N966" s="324" t="s">
        <v>187</v>
      </c>
      <c r="O966" s="419" t="s">
        <v>200</v>
      </c>
      <c r="P966" s="319" t="s">
        <v>212</v>
      </c>
      <c r="Q966" s="318"/>
      <c r="R966" s="326">
        <v>2.0</v>
      </c>
      <c r="S966" s="319">
        <v>17.7</v>
      </c>
      <c r="T966" s="324">
        <v>0.7</v>
      </c>
      <c r="U966" s="319">
        <v>3.0</v>
      </c>
      <c r="V966" s="319"/>
      <c r="W966" s="319"/>
      <c r="X966" s="319"/>
      <c r="Y966" s="319"/>
      <c r="Z966" s="319" t="s">
        <v>318</v>
      </c>
      <c r="AA966" s="319"/>
      <c r="AB966" s="319" t="s">
        <v>337</v>
      </c>
      <c r="AC966" s="327">
        <v>2.5</v>
      </c>
      <c r="AD966" s="319"/>
      <c r="AE966" s="319"/>
      <c r="AF966" s="319"/>
      <c r="AG966" s="319"/>
      <c r="AH966" s="319"/>
      <c r="AI966" s="319"/>
      <c r="AJ966" s="327"/>
      <c r="AK966" s="328"/>
      <c r="AL966" s="319"/>
      <c r="AM966" s="319"/>
      <c r="AN966" s="319"/>
      <c r="AO966" s="319"/>
      <c r="AP966" s="319"/>
      <c r="AQ966" s="319"/>
      <c r="AR966" s="319"/>
      <c r="AS966" s="327"/>
      <c r="AT966" s="461" t="s">
        <v>182</v>
      </c>
      <c r="AU966" s="345" t="s">
        <v>845</v>
      </c>
      <c r="AV966" s="330">
        <f>SQRT(($R966-Infrastructure!J$3)^2+($S966-Infrastructure!K$3)^2)</f>
        <v>11.43372205</v>
      </c>
      <c r="AW966" s="331">
        <f>SQRT(($R966-Infrastructure!J$4)^2+($S966-Infrastructure!K$4)^2)</f>
        <v>2.302172887</v>
      </c>
      <c r="AX966" s="331">
        <f>SQRT(($R966-Infrastructure!J$5)^2+($S966-Infrastructure!K$5)^2)</f>
        <v>12.8082005</v>
      </c>
      <c r="AY966" s="331">
        <f>SQRT(($R966-Infrastructure!J$6)^2+($S966-Infrastructure!K$6)^2)</f>
        <v>19.19296746</v>
      </c>
      <c r="AZ966" s="331">
        <f>SQRT(($R966-Infrastructure!J$7)^2+($S966-Infrastructure!K$7)^2)</f>
        <v>25.39704707</v>
      </c>
      <c r="BA966" s="331">
        <f>SQRT(($R966-Infrastructure!J$8)^2+($S966-Infrastructure!K$8)^2)</f>
        <v>33.05102116</v>
      </c>
      <c r="BB966" s="331">
        <f>SQRT(($R966-Infrastructure!J$9)^2+($S966-Infrastructure!K$9)^2)</f>
        <v>40.03448513</v>
      </c>
      <c r="BC966" s="331">
        <f>SQRT(($R966-Infrastructure!J$10)^2+($S966-Infrastructure!K$10)^2)</f>
        <v>38.09580029</v>
      </c>
      <c r="BD966" s="331">
        <f>SQRT(($R966-Infrastructure!J$11)^2+($S966-Infrastructure!K$11)^2)</f>
        <v>39.83628999</v>
      </c>
      <c r="BE966" s="333">
        <f>SQRT(($R966-Infrastructure!J$12)^2+($S966-Infrastructure!K$12)^2)</f>
        <v>42.53339864</v>
      </c>
      <c r="BF966" s="330">
        <f t="shared" si="14"/>
        <v>2.302172887</v>
      </c>
      <c r="BG966" s="333">
        <f t="shared" si="15"/>
        <v>42.53339864</v>
      </c>
      <c r="BH966" s="334"/>
      <c r="BI966" s="316" t="s">
        <v>846</v>
      </c>
      <c r="BJ966" s="318" t="s">
        <v>846</v>
      </c>
      <c r="BK966" s="318" t="s">
        <v>846</v>
      </c>
      <c r="BL966" s="318" t="s">
        <v>845</v>
      </c>
      <c r="BM966" s="318" t="s">
        <v>846</v>
      </c>
      <c r="BN966" s="318" t="s">
        <v>846</v>
      </c>
      <c r="BO966" s="318" t="s">
        <v>846</v>
      </c>
      <c r="BP966" s="318" t="s">
        <v>846</v>
      </c>
      <c r="BQ966" s="318" t="s">
        <v>846</v>
      </c>
      <c r="BR966" s="332" t="s">
        <v>846</v>
      </c>
      <c r="BS966" s="330">
        <f t="shared" si="63"/>
        <v>2.302172887</v>
      </c>
      <c r="BT966" s="331">
        <f t="shared" si="64"/>
        <v>42.53339864</v>
      </c>
      <c r="BU966" s="842">
        <v>0.44101851851851853</v>
      </c>
      <c r="BV966" s="333"/>
      <c r="BW966" s="330">
        <v>13.3416666666666</v>
      </c>
      <c r="BX966" s="331">
        <v>13.5083333333333</v>
      </c>
      <c r="BY966" s="331">
        <f t="shared" si="65"/>
        <v>12.09146278</v>
      </c>
      <c r="BZ966" s="340"/>
      <c r="CA966" s="462" t="s">
        <v>845</v>
      </c>
      <c r="CB966" s="319" t="s">
        <v>846</v>
      </c>
      <c r="CC966" s="319" t="s">
        <v>845</v>
      </c>
      <c r="CD966" s="319" t="s">
        <v>845</v>
      </c>
      <c r="CE966" s="319" t="s">
        <v>845</v>
      </c>
      <c r="CF966" s="319" t="s">
        <v>846</v>
      </c>
      <c r="CG966" s="319" t="s">
        <v>845</v>
      </c>
      <c r="CH966" s="319" t="s">
        <v>845</v>
      </c>
      <c r="CI966" s="319" t="s">
        <v>846</v>
      </c>
      <c r="CJ966" s="327" t="s">
        <v>845</v>
      </c>
      <c r="CK966" s="342">
        <f t="shared" si="18"/>
        <v>2.302172887</v>
      </c>
      <c r="CL966" s="333">
        <f t="shared" si="19"/>
        <v>39.83628999</v>
      </c>
      <c r="CM966" s="829"/>
      <c r="CN966" s="333"/>
      <c r="CO966" s="333"/>
      <c r="CP966" s="333"/>
    </row>
    <row r="967">
      <c r="B967" s="462" t="s">
        <v>1561</v>
      </c>
      <c r="C967" s="417">
        <v>44386.0</v>
      </c>
      <c r="D967" s="318"/>
      <c r="E967" s="319" t="s">
        <v>1633</v>
      </c>
      <c r="F967" s="324" t="s">
        <v>1634</v>
      </c>
      <c r="G967" s="321">
        <v>0.44288194444444445</v>
      </c>
      <c r="H967" s="323">
        <v>0.44311342592592595</v>
      </c>
      <c r="I967" s="323"/>
      <c r="J967" s="323"/>
      <c r="K967" s="323">
        <v>0.4438078703703704</v>
      </c>
      <c r="L967" s="323">
        <v>6.944444444444445E-4</v>
      </c>
      <c r="M967" s="319" t="s">
        <v>166</v>
      </c>
      <c r="N967" s="324" t="s">
        <v>187</v>
      </c>
      <c r="O967" s="419" t="s">
        <v>200</v>
      </c>
      <c r="P967" s="319" t="s">
        <v>212</v>
      </c>
      <c r="Q967" s="318"/>
      <c r="R967" s="326">
        <v>5.0</v>
      </c>
      <c r="S967" s="319">
        <v>17.7</v>
      </c>
      <c r="T967" s="324">
        <v>0.7</v>
      </c>
      <c r="U967" s="319">
        <v>3.0</v>
      </c>
      <c r="V967" s="319"/>
      <c r="W967" s="319"/>
      <c r="X967" s="319"/>
      <c r="Y967" s="319"/>
      <c r="Z967" s="319" t="s">
        <v>318</v>
      </c>
      <c r="AA967" s="319"/>
      <c r="AB967" s="319" t="s">
        <v>337</v>
      </c>
      <c r="AC967" s="327">
        <v>2.5</v>
      </c>
      <c r="AD967" s="319"/>
      <c r="AE967" s="319"/>
      <c r="AF967" s="319"/>
      <c r="AG967" s="319"/>
      <c r="AH967" s="319"/>
      <c r="AI967" s="319"/>
      <c r="AJ967" s="327"/>
      <c r="AK967" s="328"/>
      <c r="AL967" s="319"/>
      <c r="AM967" s="319"/>
      <c r="AN967" s="319"/>
      <c r="AO967" s="319"/>
      <c r="AP967" s="319"/>
      <c r="AQ967" s="319"/>
      <c r="AR967" s="319"/>
      <c r="AS967" s="327"/>
      <c r="AT967" s="461" t="s">
        <v>182</v>
      </c>
      <c r="AU967" s="345" t="s">
        <v>845</v>
      </c>
      <c r="AV967" s="330">
        <f>SQRT(($R967-Infrastructure!J$3)^2+($S967-Infrastructure!K$3)^2)</f>
        <v>12.39072234</v>
      </c>
      <c r="AW967" s="331">
        <f>SQRT(($R967-Infrastructure!J$4)^2+($S967-Infrastructure!K$4)^2)</f>
        <v>5.300943312</v>
      </c>
      <c r="AX967" s="331">
        <f>SQRT(($R967-Infrastructure!J$5)^2+($S967-Infrastructure!K$5)^2)</f>
        <v>13.66930869</v>
      </c>
      <c r="AY967" s="331">
        <f>SQRT(($R967-Infrastructure!J$6)^2+($S967-Infrastructure!K$6)^2)</f>
        <v>18.13201588</v>
      </c>
      <c r="AZ967" s="331">
        <f>SQRT(($R967-Infrastructure!J$7)^2+($S967-Infrastructure!K$7)^2)</f>
        <v>23.30257497</v>
      </c>
      <c r="BA967" s="331">
        <f>SQRT(($R967-Infrastructure!J$8)^2+($S967-Infrastructure!K$8)^2)</f>
        <v>30.54128354</v>
      </c>
      <c r="BB967" s="331">
        <f>SQRT(($R967-Infrastructure!J$9)^2+($S967-Infrastructure!K$9)^2)</f>
        <v>37.19892472</v>
      </c>
      <c r="BC967" s="331">
        <f>SQRT(($R967-Infrastructure!J$10)^2+($S967-Infrastructure!K$10)^2)</f>
        <v>35.10398838</v>
      </c>
      <c r="BD967" s="331">
        <f>SQRT(($R967-Infrastructure!J$11)^2+($S967-Infrastructure!K$11)^2)</f>
        <v>36.9693116</v>
      </c>
      <c r="BE967" s="333">
        <f>SQRT(($R967-Infrastructure!J$12)^2+($S967-Infrastructure!K$12)^2)</f>
        <v>41.24427233</v>
      </c>
      <c r="BF967" s="330">
        <f t="shared" si="14"/>
        <v>5.300943312</v>
      </c>
      <c r="BG967" s="333">
        <f t="shared" si="15"/>
        <v>41.24427233</v>
      </c>
      <c r="BH967" s="334"/>
      <c r="BI967" s="316" t="s">
        <v>846</v>
      </c>
      <c r="BJ967" s="318" t="s">
        <v>846</v>
      </c>
      <c r="BK967" s="318" t="s">
        <v>846</v>
      </c>
      <c r="BL967" s="318" t="s">
        <v>845</v>
      </c>
      <c r="BM967" s="318" t="s">
        <v>846</v>
      </c>
      <c r="BN967" s="318" t="s">
        <v>846</v>
      </c>
      <c r="BO967" s="318" t="s">
        <v>846</v>
      </c>
      <c r="BP967" s="318" t="s">
        <v>846</v>
      </c>
      <c r="BQ967" s="318" t="s">
        <v>846</v>
      </c>
      <c r="BR967" s="332" t="s">
        <v>846</v>
      </c>
      <c r="BS967" s="330">
        <f t="shared" si="63"/>
        <v>5.300943312</v>
      </c>
      <c r="BT967" s="331">
        <f t="shared" si="64"/>
        <v>41.24427233</v>
      </c>
      <c r="BU967" s="842">
        <v>0.44310185185185186</v>
      </c>
      <c r="BV967" s="333"/>
      <c r="BW967" s="330">
        <v>13.8333333333333</v>
      </c>
      <c r="BX967" s="331">
        <v>15.25</v>
      </c>
      <c r="BY967" s="331">
        <f t="shared" si="65"/>
        <v>9.166803029</v>
      </c>
      <c r="BZ967" s="340"/>
      <c r="CA967" s="462" t="s">
        <v>845</v>
      </c>
      <c r="CB967" s="319" t="s">
        <v>846</v>
      </c>
      <c r="CC967" s="319" t="s">
        <v>845</v>
      </c>
      <c r="CD967" s="319" t="s">
        <v>845</v>
      </c>
      <c r="CE967" s="319" t="s">
        <v>845</v>
      </c>
      <c r="CF967" s="319" t="s">
        <v>846</v>
      </c>
      <c r="CG967" s="319" t="s">
        <v>845</v>
      </c>
      <c r="CH967" s="319" t="s">
        <v>845</v>
      </c>
      <c r="CI967" s="319" t="s">
        <v>846</v>
      </c>
      <c r="CJ967" s="327" t="s">
        <v>845</v>
      </c>
      <c r="CK967" s="342">
        <f t="shared" si="18"/>
        <v>5.300943312</v>
      </c>
      <c r="CL967" s="333">
        <f t="shared" si="19"/>
        <v>36.9693116</v>
      </c>
      <c r="CM967" s="829"/>
      <c r="CN967" s="333"/>
      <c r="CO967" s="333"/>
      <c r="CP967" s="333"/>
    </row>
    <row r="968">
      <c r="B968" s="462" t="s">
        <v>1561</v>
      </c>
      <c r="C968" s="417">
        <v>44386.0</v>
      </c>
      <c r="D968" s="318"/>
      <c r="E968" s="319" t="s">
        <v>1635</v>
      </c>
      <c r="F968" s="324" t="s">
        <v>1636</v>
      </c>
      <c r="G968" s="321">
        <v>0.44513888888888886</v>
      </c>
      <c r="H968" s="323">
        <v>0.44537037037037036</v>
      </c>
      <c r="I968" s="323"/>
      <c r="J968" s="323"/>
      <c r="K968" s="323">
        <v>0.4460648148148148</v>
      </c>
      <c r="L968" s="323">
        <v>6.944444444444445E-4</v>
      </c>
      <c r="M968" s="319" t="s">
        <v>166</v>
      </c>
      <c r="N968" s="324" t="s">
        <v>187</v>
      </c>
      <c r="O968" s="419" t="s">
        <v>200</v>
      </c>
      <c r="P968" s="319" t="s">
        <v>212</v>
      </c>
      <c r="Q968" s="318"/>
      <c r="R968" s="326">
        <v>10.0</v>
      </c>
      <c r="S968" s="319">
        <v>17.7</v>
      </c>
      <c r="T968" s="324">
        <v>0.7</v>
      </c>
      <c r="U968" s="319">
        <v>3.0</v>
      </c>
      <c r="V968" s="319"/>
      <c r="W968" s="319"/>
      <c r="X968" s="319"/>
      <c r="Y968" s="319"/>
      <c r="Z968" s="319" t="s">
        <v>318</v>
      </c>
      <c r="AA968" s="319"/>
      <c r="AB968" s="319" t="s">
        <v>337</v>
      </c>
      <c r="AC968" s="327">
        <v>2.5</v>
      </c>
      <c r="AD968" s="319"/>
      <c r="AE968" s="319"/>
      <c r="AF968" s="319"/>
      <c r="AG968" s="319"/>
      <c r="AH968" s="319"/>
      <c r="AI968" s="319"/>
      <c r="AJ968" s="327"/>
      <c r="AK968" s="328"/>
      <c r="AL968" s="319"/>
      <c r="AM968" s="319"/>
      <c r="AN968" s="319"/>
      <c r="AO968" s="319"/>
      <c r="AP968" s="319"/>
      <c r="AQ968" s="319"/>
      <c r="AR968" s="319"/>
      <c r="AS968" s="327"/>
      <c r="AT968" s="461" t="s">
        <v>182</v>
      </c>
      <c r="AU968" s="345" t="s">
        <v>845</v>
      </c>
      <c r="AV968" s="330">
        <f>SQRT(($R968-Infrastructure!J$3)^2+($S968-Infrastructure!K$3)^2)</f>
        <v>15.21610988</v>
      </c>
      <c r="AW968" s="331">
        <f>SQRT(($R968-Infrastructure!J$4)^2+($S968-Infrastructure!K$4)^2)</f>
        <v>10.30048543</v>
      </c>
      <c r="AX968" s="331">
        <f>SQRT(($R968-Infrastructure!J$5)^2+($S968-Infrastructure!K$5)^2)</f>
        <v>16.27421273</v>
      </c>
      <c r="AY968" s="331">
        <f>SQRT(($R968-Infrastructure!J$6)^2+($S968-Infrastructure!K$6)^2)</f>
        <v>17.40028735</v>
      </c>
      <c r="AZ968" s="331">
        <f>SQRT(($R968-Infrastructure!J$7)^2+($S968-Infrastructure!K$7)^2)</f>
        <v>20.32264747</v>
      </c>
      <c r="BA968" s="331">
        <f>SQRT(($R968-Infrastructure!J$8)^2+($S968-Infrastructure!K$8)^2)</f>
        <v>26.58514623</v>
      </c>
      <c r="BB968" s="331">
        <f>SQRT(($R968-Infrastructure!J$9)^2+($S968-Infrastructure!K$9)^2)</f>
        <v>32.53859247</v>
      </c>
      <c r="BC968" s="331">
        <f>SQRT(($R968-Infrastructure!J$10)^2+($S968-Infrastructure!K$10)^2)</f>
        <v>30.12125495</v>
      </c>
      <c r="BD968" s="331">
        <f>SQRT(($R968-Infrastructure!J$11)^2+($S968-Infrastructure!K$11)^2)</f>
        <v>32.24484455</v>
      </c>
      <c r="BE968" s="333">
        <f>SQRT(($R968-Infrastructure!J$12)^2+($S968-Infrastructure!K$12)^2)</f>
        <v>39.51063148</v>
      </c>
      <c r="BF968" s="330">
        <f t="shared" si="14"/>
        <v>10.30048543</v>
      </c>
      <c r="BG968" s="333">
        <f t="shared" si="15"/>
        <v>39.51063148</v>
      </c>
      <c r="BH968" s="334"/>
      <c r="BI968" s="316" t="s">
        <v>846</v>
      </c>
      <c r="BJ968" s="318" t="s">
        <v>846</v>
      </c>
      <c r="BK968" s="318" t="s">
        <v>846</v>
      </c>
      <c r="BL968" s="318" t="s">
        <v>845</v>
      </c>
      <c r="BM968" s="318" t="s">
        <v>846</v>
      </c>
      <c r="BN968" s="318" t="s">
        <v>846</v>
      </c>
      <c r="BO968" s="318" t="s">
        <v>846</v>
      </c>
      <c r="BP968" s="318" t="s">
        <v>846</v>
      </c>
      <c r="BQ968" s="318" t="s">
        <v>846</v>
      </c>
      <c r="BR968" s="332" t="s">
        <v>846</v>
      </c>
      <c r="BS968" s="330">
        <f t="shared" si="63"/>
        <v>10.30048543</v>
      </c>
      <c r="BT968" s="331">
        <f t="shared" si="64"/>
        <v>39.51063148</v>
      </c>
      <c r="BU968" s="842">
        <v>0.4453935185185185</v>
      </c>
      <c r="BV968" s="333"/>
      <c r="BW968" s="330">
        <v>10.6749999999999</v>
      </c>
      <c r="BX968" s="331">
        <v>15.7999999999999</v>
      </c>
      <c r="BY968" s="331">
        <f t="shared" si="65"/>
        <v>2.016339505</v>
      </c>
      <c r="BZ968" s="340"/>
      <c r="CA968" s="462" t="s">
        <v>845</v>
      </c>
      <c r="CB968" s="319" t="s">
        <v>846</v>
      </c>
      <c r="CC968" s="319" t="s">
        <v>845</v>
      </c>
      <c r="CD968" s="319" t="s">
        <v>845</v>
      </c>
      <c r="CE968" s="319" t="s">
        <v>845</v>
      </c>
      <c r="CF968" s="319" t="s">
        <v>846</v>
      </c>
      <c r="CG968" s="319" t="s">
        <v>845</v>
      </c>
      <c r="CH968" s="319" t="s">
        <v>845</v>
      </c>
      <c r="CI968" s="319" t="s">
        <v>846</v>
      </c>
      <c r="CJ968" s="327" t="s">
        <v>845</v>
      </c>
      <c r="CK968" s="342">
        <f t="shared" si="18"/>
        <v>10.30048543</v>
      </c>
      <c r="CL968" s="333">
        <f t="shared" si="19"/>
        <v>32.24484455</v>
      </c>
      <c r="CM968" s="829"/>
      <c r="CN968" s="333"/>
      <c r="CO968" s="333"/>
      <c r="CP968" s="333"/>
    </row>
    <row r="969">
      <c r="B969" s="462" t="s">
        <v>1561</v>
      </c>
      <c r="C969" s="417">
        <v>44386.0</v>
      </c>
      <c r="D969" s="318"/>
      <c r="E969" s="319" t="s">
        <v>1637</v>
      </c>
      <c r="F969" s="324" t="s">
        <v>1638</v>
      </c>
      <c r="G969" s="321">
        <v>0.44722222222222224</v>
      </c>
      <c r="H969" s="323">
        <v>0.4474537037037037</v>
      </c>
      <c r="I969" s="323"/>
      <c r="J969" s="323"/>
      <c r="K969" s="323">
        <v>0.44814814814814813</v>
      </c>
      <c r="L969" s="323">
        <v>6.944444444444445E-4</v>
      </c>
      <c r="M969" s="319" t="s">
        <v>166</v>
      </c>
      <c r="N969" s="324" t="s">
        <v>187</v>
      </c>
      <c r="O969" s="419" t="s">
        <v>200</v>
      </c>
      <c r="P969" s="319" t="s">
        <v>212</v>
      </c>
      <c r="Q969" s="318"/>
      <c r="R969" s="326">
        <v>20.0</v>
      </c>
      <c r="S969" s="319">
        <v>17.7</v>
      </c>
      <c r="T969" s="324">
        <v>0.7</v>
      </c>
      <c r="U969" s="319">
        <v>3.0</v>
      </c>
      <c r="V969" s="319"/>
      <c r="W969" s="319"/>
      <c r="X969" s="319"/>
      <c r="Y969" s="319"/>
      <c r="Z969" s="319" t="s">
        <v>318</v>
      </c>
      <c r="AA969" s="319"/>
      <c r="AB969" s="319" t="s">
        <v>337</v>
      </c>
      <c r="AC969" s="327">
        <v>2.5</v>
      </c>
      <c r="AD969" s="319"/>
      <c r="AE969" s="319"/>
      <c r="AF969" s="319"/>
      <c r="AG969" s="319"/>
      <c r="AH969" s="319"/>
      <c r="AI969" s="319"/>
      <c r="AJ969" s="327"/>
      <c r="AK969" s="328"/>
      <c r="AL969" s="319"/>
      <c r="AM969" s="319"/>
      <c r="AN969" s="319"/>
      <c r="AO969" s="319"/>
      <c r="AP969" s="319"/>
      <c r="AQ969" s="319"/>
      <c r="AR969" s="319"/>
      <c r="AS969" s="327"/>
      <c r="AT969" s="461" t="s">
        <v>182</v>
      </c>
      <c r="AU969" s="345" t="s">
        <v>845</v>
      </c>
      <c r="AV969" s="330">
        <f>SQRT(($R969-Infrastructure!J$3)^2+($S969-Infrastructure!K$3)^2)</f>
        <v>23.18469323</v>
      </c>
      <c r="AW969" s="331">
        <f>SQRT(($R969-Infrastructure!J$4)^2+($S969-Infrastructure!K$4)^2)</f>
        <v>20.3002463</v>
      </c>
      <c r="AX969" s="331">
        <f>SQRT(($R969-Infrastructure!J$5)^2+($S969-Infrastructure!K$5)^2)</f>
        <v>23.89246743</v>
      </c>
      <c r="AY969" s="331">
        <f>SQRT(($R969-Infrastructure!J$6)^2+($S969-Infrastructure!K$6)^2)</f>
        <v>20.01924074</v>
      </c>
      <c r="AZ969" s="331">
        <f>SQRT(($R969-Infrastructure!J$7)^2+($S969-Infrastructure!K$7)^2)</f>
        <v>17.40718243</v>
      </c>
      <c r="BA969" s="331">
        <f>SQRT(($R969-Infrastructure!J$8)^2+($S969-Infrastructure!K$8)^2)</f>
        <v>20.11889659</v>
      </c>
      <c r="BB969" s="331">
        <f>SQRT(($R969-Infrastructure!J$9)^2+($S969-Infrastructure!K$9)^2)</f>
        <v>23.63810483</v>
      </c>
      <c r="BC969" s="331">
        <f>SQRT(($R969-Infrastructure!J$10)^2+($S969-Infrastructure!K$10)^2)</f>
        <v>20.18142711</v>
      </c>
      <c r="BD969" s="331">
        <f>SQRT(($R969-Infrastructure!J$11)^2+($S969-Infrastructure!K$11)^2)</f>
        <v>23.14584196</v>
      </c>
      <c r="BE969" s="333">
        <f>SQRT(($R969-Infrastructure!J$12)^2+($S969-Infrastructure!K$12)^2)</f>
        <v>37.8297502</v>
      </c>
      <c r="BF969" s="330">
        <f t="shared" si="14"/>
        <v>17.40718243</v>
      </c>
      <c r="BG969" s="333">
        <f t="shared" si="15"/>
        <v>37.8297502</v>
      </c>
      <c r="BH969" s="334"/>
      <c r="BI969" s="316" t="s">
        <v>846</v>
      </c>
      <c r="BJ969" s="318" t="s">
        <v>846</v>
      </c>
      <c r="BK969" s="318" t="s">
        <v>846</v>
      </c>
      <c r="BL969" s="318" t="s">
        <v>846</v>
      </c>
      <c r="BM969" s="318" t="s">
        <v>846</v>
      </c>
      <c r="BN969" s="318" t="s">
        <v>846</v>
      </c>
      <c r="BO969" s="318" t="s">
        <v>846</v>
      </c>
      <c r="BP969" s="318" t="s">
        <v>846</v>
      </c>
      <c r="BQ969" s="318" t="s">
        <v>846</v>
      </c>
      <c r="BR969" s="332" t="s">
        <v>846</v>
      </c>
      <c r="BS969" s="330">
        <f t="shared" si="63"/>
        <v>17.40718243</v>
      </c>
      <c r="BT969" s="331">
        <f t="shared" si="64"/>
        <v>37.8297502</v>
      </c>
      <c r="BU969" s="842">
        <v>0.4473726851851852</v>
      </c>
      <c r="BV969" s="333"/>
      <c r="BW969" s="330">
        <v>17.3583333333333</v>
      </c>
      <c r="BX969" s="331">
        <v>14.0499999999999</v>
      </c>
      <c r="BY969" s="331">
        <f t="shared" si="65"/>
        <v>4.505652314</v>
      </c>
      <c r="BZ969" s="340"/>
      <c r="CA969" s="462" t="s">
        <v>846</v>
      </c>
      <c r="CB969" s="319" t="s">
        <v>846</v>
      </c>
      <c r="CC969" s="319" t="s">
        <v>845</v>
      </c>
      <c r="CD969" s="319" t="s">
        <v>846</v>
      </c>
      <c r="CE969" s="319" t="s">
        <v>845</v>
      </c>
      <c r="CF969" s="319" t="s">
        <v>845</v>
      </c>
      <c r="CG969" s="319" t="s">
        <v>845</v>
      </c>
      <c r="CH969" s="319" t="s">
        <v>845</v>
      </c>
      <c r="CI969" s="319" t="s">
        <v>846</v>
      </c>
      <c r="CJ969" s="327" t="s">
        <v>845</v>
      </c>
      <c r="CK969" s="342">
        <f t="shared" si="18"/>
        <v>20.01924074</v>
      </c>
      <c r="CL969" s="333">
        <f t="shared" si="19"/>
        <v>23.18469323</v>
      </c>
      <c r="CM969" s="829"/>
      <c r="CN969" s="333"/>
      <c r="CO969" s="333"/>
      <c r="CP969" s="333"/>
    </row>
    <row r="970">
      <c r="B970" s="462" t="s">
        <v>1561</v>
      </c>
      <c r="C970" s="417">
        <v>44386.0</v>
      </c>
      <c r="D970" s="318"/>
      <c r="E970" s="319" t="s">
        <v>1639</v>
      </c>
      <c r="F970" s="324" t="s">
        <v>1640</v>
      </c>
      <c r="G970" s="321">
        <v>0.4534722222222222</v>
      </c>
      <c r="H970" s="323">
        <v>0.4537037037037037</v>
      </c>
      <c r="I970" s="323"/>
      <c r="J970" s="323"/>
      <c r="K970" s="323">
        <v>0.4544560185185185</v>
      </c>
      <c r="L970" s="323">
        <v>7.523148148148148E-4</v>
      </c>
      <c r="M970" s="319" t="s">
        <v>166</v>
      </c>
      <c r="N970" s="324" t="s">
        <v>187</v>
      </c>
      <c r="O970" s="419" t="s">
        <v>200</v>
      </c>
      <c r="P970" s="319" t="s">
        <v>212</v>
      </c>
      <c r="Q970" s="318"/>
      <c r="R970" s="326">
        <v>1.0</v>
      </c>
      <c r="S970" s="319">
        <v>5.0</v>
      </c>
      <c r="T970" s="324">
        <v>0.7</v>
      </c>
      <c r="U970" s="319">
        <v>3.0</v>
      </c>
      <c r="V970" s="319"/>
      <c r="W970" s="319"/>
      <c r="X970" s="319"/>
      <c r="Y970" s="319"/>
      <c r="Z970" s="319" t="s">
        <v>318</v>
      </c>
      <c r="AA970" s="319"/>
      <c r="AB970" s="319" t="s">
        <v>337</v>
      </c>
      <c r="AC970" s="327">
        <v>2.5</v>
      </c>
      <c r="AD970" s="319"/>
      <c r="AE970" s="319"/>
      <c r="AF970" s="319"/>
      <c r="AG970" s="319"/>
      <c r="AH970" s="319"/>
      <c r="AI970" s="319"/>
      <c r="AJ970" s="327"/>
      <c r="AK970" s="328"/>
      <c r="AL970" s="319"/>
      <c r="AM970" s="319"/>
      <c r="AN970" s="319"/>
      <c r="AO970" s="319"/>
      <c r="AP970" s="319"/>
      <c r="AQ970" s="319"/>
      <c r="AR970" s="319"/>
      <c r="AS970" s="327"/>
      <c r="AT970" s="461" t="s">
        <v>182</v>
      </c>
      <c r="AU970" s="345" t="s">
        <v>845</v>
      </c>
      <c r="AV970" s="330">
        <f>SQRT(($R970-Infrastructure!J$3)^2+($S970-Infrastructure!K$3)^2)</f>
        <v>23.93532954</v>
      </c>
      <c r="AW970" s="331">
        <f>SQRT(($R970-Infrastructure!J$4)^2+($S970-Infrastructure!K$4)^2)</f>
        <v>12.86584626</v>
      </c>
      <c r="AX970" s="331">
        <f>SQRT(($R970-Infrastructure!J$5)^2+($S970-Infrastructure!K$5)^2)</f>
        <v>1.303840481</v>
      </c>
      <c r="AY970" s="331">
        <f>SQRT(($R970-Infrastructure!J$6)^2+($S970-Infrastructure!K$6)^2)</f>
        <v>10.2420701</v>
      </c>
      <c r="AZ970" s="331">
        <f>SQRT(($R970-Infrastructure!J$7)^2+($S970-Infrastructure!K$7)^2)</f>
        <v>20.05841469</v>
      </c>
      <c r="BA970" s="331">
        <f>SQRT(($R970-Infrastructure!J$8)^2+($S970-Infrastructure!K$8)^2)</f>
        <v>29.47710976</v>
      </c>
      <c r="BB970" s="331">
        <f>SQRT(($R970-Infrastructure!J$9)^2+($S970-Infrastructure!K$9)^2)</f>
        <v>39.0001282</v>
      </c>
      <c r="BC970" s="331">
        <f>SQRT(($R970-Infrastructure!J$10)^2+($S970-Infrastructure!K$10)^2)</f>
        <v>40.26164428</v>
      </c>
      <c r="BD970" s="331">
        <f>SQRT(($R970-Infrastructure!J$11)^2+($S970-Infrastructure!K$11)^2)</f>
        <v>45.96346375</v>
      </c>
      <c r="BE970" s="333">
        <f>SQRT(($R970-Infrastructure!J$12)^2+($S970-Infrastructure!K$12)^2)</f>
        <v>54.50229353</v>
      </c>
      <c r="BF970" s="330">
        <f t="shared" si="14"/>
        <v>1.303840481</v>
      </c>
      <c r="BG970" s="333">
        <f t="shared" si="15"/>
        <v>54.50229353</v>
      </c>
      <c r="BH970" s="334"/>
      <c r="BI970" s="316" t="s">
        <v>846</v>
      </c>
      <c r="BJ970" s="318" t="s">
        <v>846</v>
      </c>
      <c r="BK970" s="318" t="s">
        <v>846</v>
      </c>
      <c r="BL970" s="318" t="s">
        <v>845</v>
      </c>
      <c r="BM970" s="318" t="s">
        <v>845</v>
      </c>
      <c r="BN970" s="318" t="s">
        <v>846</v>
      </c>
      <c r="BO970" s="318" t="s">
        <v>846</v>
      </c>
      <c r="BP970" s="318" t="s">
        <v>846</v>
      </c>
      <c r="BQ970" s="318" t="s">
        <v>846</v>
      </c>
      <c r="BR970" s="332" t="s">
        <v>846</v>
      </c>
      <c r="BS970" s="330">
        <f t="shared" si="63"/>
        <v>1.303840481</v>
      </c>
      <c r="BT970" s="331">
        <f t="shared" si="64"/>
        <v>54.50229353</v>
      </c>
      <c r="BU970" s="842">
        <v>0.4536689814814815</v>
      </c>
      <c r="BV970" s="333"/>
      <c r="BW970" s="330">
        <v>10.4076923076923</v>
      </c>
      <c r="BX970" s="331">
        <v>9.56153846153846</v>
      </c>
      <c r="BY970" s="331">
        <f t="shared" si="65"/>
        <v>10.45525264</v>
      </c>
      <c r="BZ970" s="340"/>
      <c r="CA970" s="462" t="s">
        <v>846</v>
      </c>
      <c r="CB970" s="319" t="s">
        <v>846</v>
      </c>
      <c r="CC970" s="319" t="s">
        <v>845</v>
      </c>
      <c r="CD970" s="319" t="s">
        <v>846</v>
      </c>
      <c r="CE970" s="319" t="s">
        <v>845</v>
      </c>
      <c r="CF970" s="319" t="s">
        <v>846</v>
      </c>
      <c r="CG970" s="319" t="s">
        <v>846</v>
      </c>
      <c r="CH970" s="319" t="s">
        <v>845</v>
      </c>
      <c r="CI970" s="319" t="s">
        <v>846</v>
      </c>
      <c r="CJ970" s="327" t="s">
        <v>845</v>
      </c>
      <c r="CK970" s="342">
        <f t="shared" si="18"/>
        <v>10.2420701</v>
      </c>
      <c r="CL970" s="333">
        <f t="shared" si="19"/>
        <v>45.96346375</v>
      </c>
      <c r="CM970" s="829"/>
      <c r="CN970" s="333"/>
      <c r="CO970" s="333"/>
      <c r="CP970" s="333"/>
    </row>
    <row r="971">
      <c r="B971" s="462" t="s">
        <v>1561</v>
      </c>
      <c r="C971" s="417">
        <v>44386.0</v>
      </c>
      <c r="D971" s="318"/>
      <c r="E971" s="319" t="s">
        <v>1641</v>
      </c>
      <c r="F971" s="324" t="s">
        <v>1642</v>
      </c>
      <c r="G971" s="321">
        <v>0.45555555555555555</v>
      </c>
      <c r="H971" s="323">
        <v>0.45578703703703705</v>
      </c>
      <c r="I971" s="323"/>
      <c r="J971" s="323"/>
      <c r="K971" s="323">
        <v>0.4564814814814815</v>
      </c>
      <c r="L971" s="323">
        <v>6.944444444444445E-4</v>
      </c>
      <c r="M971" s="319" t="s">
        <v>166</v>
      </c>
      <c r="N971" s="324" t="s">
        <v>187</v>
      </c>
      <c r="O971" s="419" t="s">
        <v>200</v>
      </c>
      <c r="P971" s="319" t="s">
        <v>212</v>
      </c>
      <c r="Q971" s="318"/>
      <c r="R971" s="326">
        <v>2.0</v>
      </c>
      <c r="S971" s="319">
        <v>5.0</v>
      </c>
      <c r="T971" s="324">
        <v>0.7</v>
      </c>
      <c r="U971" s="319">
        <v>3.0</v>
      </c>
      <c r="V971" s="319"/>
      <c r="W971" s="319"/>
      <c r="X971" s="319"/>
      <c r="Y971" s="319"/>
      <c r="Z971" s="319" t="s">
        <v>318</v>
      </c>
      <c r="AA971" s="319"/>
      <c r="AB971" s="319" t="s">
        <v>337</v>
      </c>
      <c r="AC971" s="327">
        <v>2.5</v>
      </c>
      <c r="AD971" s="319"/>
      <c r="AE971" s="319"/>
      <c r="AF971" s="319"/>
      <c r="AG971" s="319"/>
      <c r="AH971" s="319"/>
      <c r="AI971" s="319"/>
      <c r="AJ971" s="327"/>
      <c r="AK971" s="328"/>
      <c r="AL971" s="319"/>
      <c r="AM971" s="319"/>
      <c r="AN971" s="319"/>
      <c r="AO971" s="319"/>
      <c r="AP971" s="319"/>
      <c r="AQ971" s="319"/>
      <c r="AR971" s="319"/>
      <c r="AS971" s="327"/>
      <c r="AT971" s="461" t="s">
        <v>182</v>
      </c>
      <c r="AU971" s="345" t="s">
        <v>845</v>
      </c>
      <c r="AV971" s="330">
        <f>SQRT(($R971-Infrastructure!J$3)^2+($S971-Infrastructure!K$3)^2)</f>
        <v>24.01041441</v>
      </c>
      <c r="AW971" s="331">
        <f>SQRT(($R971-Infrastructure!J$4)^2+($S971-Infrastructure!K$4)^2)</f>
        <v>13.00499904</v>
      </c>
      <c r="AX971" s="331">
        <f>SQRT(($R971-Infrastructure!J$5)^2+($S971-Infrastructure!K$5)^2)</f>
        <v>2.302172887</v>
      </c>
      <c r="AY971" s="331">
        <f>SQRT(($R971-Infrastructure!J$6)^2+($S971-Infrastructure!K$6)^2)</f>
        <v>9.364827815</v>
      </c>
      <c r="AZ971" s="331">
        <f>SQRT(($R971-Infrastructure!J$7)^2+($S971-Infrastructure!K$7)^2)</f>
        <v>19.08769237</v>
      </c>
      <c r="BA971" s="331">
        <f>SQRT(($R971-Infrastructure!J$8)^2+($S971-Infrastructure!K$8)^2)</f>
        <v>28.49034924</v>
      </c>
      <c r="BB971" s="331">
        <f>SQRT(($R971-Infrastructure!J$9)^2+($S971-Infrastructure!K$9)^2)</f>
        <v>38.00013158</v>
      </c>
      <c r="BC971" s="331">
        <f>SQRT(($R971-Infrastructure!J$10)^2+($S971-Infrastructure!K$10)^2)</f>
        <v>39.29376541</v>
      </c>
      <c r="BD971" s="331">
        <f>SQRT(($R971-Infrastructure!J$11)^2+($S971-Infrastructure!K$11)^2)</f>
        <v>45.1136343</v>
      </c>
      <c r="BE971" s="333">
        <f>SQRT(($R971-Infrastructure!J$12)^2+($S971-Infrastructure!K$12)^2)</f>
        <v>54.13409277</v>
      </c>
      <c r="BF971" s="330">
        <f t="shared" si="14"/>
        <v>2.302172887</v>
      </c>
      <c r="BG971" s="333">
        <f t="shared" si="15"/>
        <v>54.13409277</v>
      </c>
      <c r="BH971" s="334"/>
      <c r="BI971" s="316" t="s">
        <v>846</v>
      </c>
      <c r="BJ971" s="318" t="s">
        <v>846</v>
      </c>
      <c r="BK971" s="318" t="s">
        <v>846</v>
      </c>
      <c r="BL971" s="318" t="s">
        <v>846</v>
      </c>
      <c r="BM971" s="318" t="s">
        <v>845</v>
      </c>
      <c r="BN971" s="318" t="s">
        <v>846</v>
      </c>
      <c r="BO971" s="318" t="s">
        <v>846</v>
      </c>
      <c r="BP971" s="318" t="s">
        <v>846</v>
      </c>
      <c r="BQ971" s="318" t="s">
        <v>846</v>
      </c>
      <c r="BR971" s="332" t="s">
        <v>846</v>
      </c>
      <c r="BS971" s="330">
        <f t="shared" si="63"/>
        <v>2.302172887</v>
      </c>
      <c r="BT971" s="331">
        <f t="shared" si="64"/>
        <v>54.13409277</v>
      </c>
      <c r="BU971" s="842">
        <v>0.4557060185185185</v>
      </c>
      <c r="BV971" s="333"/>
      <c r="BW971" s="330">
        <v>13.5083333333333</v>
      </c>
      <c r="BX971" s="331">
        <v>10.7</v>
      </c>
      <c r="BY971" s="331">
        <f t="shared" si="65"/>
        <v>12.84257514</v>
      </c>
      <c r="BZ971" s="340"/>
      <c r="CA971" s="462" t="s">
        <v>846</v>
      </c>
      <c r="CB971" s="319" t="s">
        <v>846</v>
      </c>
      <c r="CC971" s="319" t="s">
        <v>845</v>
      </c>
      <c r="CD971" s="319" t="s">
        <v>846</v>
      </c>
      <c r="CE971" s="319" t="s">
        <v>845</v>
      </c>
      <c r="CF971" s="319" t="s">
        <v>846</v>
      </c>
      <c r="CG971" s="319" t="s">
        <v>846</v>
      </c>
      <c r="CH971" s="319" t="s">
        <v>845</v>
      </c>
      <c r="CI971" s="319" t="s">
        <v>846</v>
      </c>
      <c r="CJ971" s="327" t="s">
        <v>845</v>
      </c>
      <c r="CK971" s="342">
        <f t="shared" si="18"/>
        <v>9.364827815</v>
      </c>
      <c r="CL971" s="333">
        <f t="shared" si="19"/>
        <v>45.1136343</v>
      </c>
      <c r="CM971" s="829"/>
      <c r="CN971" s="333"/>
      <c r="CO971" s="333"/>
      <c r="CP971" s="333"/>
    </row>
    <row r="972">
      <c r="B972" s="462" t="s">
        <v>1561</v>
      </c>
      <c r="C972" s="417">
        <v>44386.0</v>
      </c>
      <c r="D972" s="318"/>
      <c r="E972" s="319" t="s">
        <v>1643</v>
      </c>
      <c r="F972" s="324" t="s">
        <v>1644</v>
      </c>
      <c r="G972" s="321">
        <v>0.4576388888888889</v>
      </c>
      <c r="H972" s="323">
        <v>0.45787037037037037</v>
      </c>
      <c r="I972" s="323"/>
      <c r="J972" s="323"/>
      <c r="K972" s="323">
        <v>0.4585648148148148</v>
      </c>
      <c r="L972" s="323">
        <v>6.944444444444445E-4</v>
      </c>
      <c r="M972" s="319" t="s">
        <v>166</v>
      </c>
      <c r="N972" s="324" t="s">
        <v>187</v>
      </c>
      <c r="O972" s="419" t="s">
        <v>200</v>
      </c>
      <c r="P972" s="319" t="s">
        <v>212</v>
      </c>
      <c r="Q972" s="318"/>
      <c r="R972" s="326">
        <v>5.0</v>
      </c>
      <c r="S972" s="319">
        <v>5.0</v>
      </c>
      <c r="T972" s="324">
        <v>0.7</v>
      </c>
      <c r="U972" s="319">
        <v>3.0</v>
      </c>
      <c r="V972" s="319"/>
      <c r="W972" s="319"/>
      <c r="X972" s="319"/>
      <c r="Y972" s="319"/>
      <c r="Z972" s="319" t="s">
        <v>318</v>
      </c>
      <c r="AA972" s="319"/>
      <c r="AB972" s="319" t="s">
        <v>337</v>
      </c>
      <c r="AC972" s="327">
        <v>2.5</v>
      </c>
      <c r="AD972" s="319"/>
      <c r="AE972" s="319"/>
      <c r="AF972" s="319"/>
      <c r="AG972" s="319"/>
      <c r="AH972" s="319"/>
      <c r="AI972" s="319"/>
      <c r="AJ972" s="327"/>
      <c r="AK972" s="328"/>
      <c r="AL972" s="319"/>
      <c r="AM972" s="319"/>
      <c r="AN972" s="319"/>
      <c r="AO972" s="319"/>
      <c r="AP972" s="319"/>
      <c r="AQ972" s="319"/>
      <c r="AR972" s="319"/>
      <c r="AS972" s="327"/>
      <c r="AT972" s="461" t="s">
        <v>182</v>
      </c>
      <c r="AU972" s="345" t="s">
        <v>845</v>
      </c>
      <c r="AV972" s="330">
        <f>SQRT(($R972-Infrastructure!J$3)^2+($S972-Infrastructure!K$3)^2)</f>
        <v>24.48060457</v>
      </c>
      <c r="AW972" s="331">
        <f>SQRT(($R972-Infrastructure!J$4)^2+($S972-Infrastructure!K$4)^2)</f>
        <v>13.85388032</v>
      </c>
      <c r="AX972" s="331">
        <f>SQRT(($R972-Infrastructure!J$5)^2+($S972-Infrastructure!K$5)^2)</f>
        <v>5.300943312</v>
      </c>
      <c r="AY972" s="331">
        <f>SQRT(($R972-Infrastructure!J$6)^2+($S972-Infrastructure!K$6)^2)</f>
        <v>6.935416354</v>
      </c>
      <c r="AZ972" s="331">
        <f>SQRT(($R972-Infrastructure!J$7)^2+($S972-Infrastructure!K$7)^2)</f>
        <v>16.19691329</v>
      </c>
      <c r="BA972" s="331">
        <f>SQRT(($R972-Infrastructure!J$8)^2+($S972-Infrastructure!K$8)^2)</f>
        <v>25.53624875</v>
      </c>
      <c r="BB972" s="331">
        <f>SQRT(($R972-Infrastructure!J$9)^2+($S972-Infrastructure!K$9)^2)</f>
        <v>35.00014286</v>
      </c>
      <c r="BC972" s="331">
        <f>SQRT(($R972-Infrastructure!J$10)^2+($S972-Infrastructure!K$10)^2)</f>
        <v>36.40054945</v>
      </c>
      <c r="BD972" s="331">
        <f>SQRT(($R972-Infrastructure!J$11)^2+($S972-Infrastructure!K$11)^2)</f>
        <v>42.60328626</v>
      </c>
      <c r="BE972" s="333">
        <f>SQRT(($R972-Infrastructure!J$12)^2+($S972-Infrastructure!K$12)^2)</f>
        <v>53.12720584</v>
      </c>
      <c r="BF972" s="330">
        <f t="shared" si="14"/>
        <v>5.300943312</v>
      </c>
      <c r="BG972" s="333">
        <f t="shared" si="15"/>
        <v>53.12720584</v>
      </c>
      <c r="BH972" s="334"/>
      <c r="BI972" s="316" t="s">
        <v>846</v>
      </c>
      <c r="BJ972" s="318" t="s">
        <v>846</v>
      </c>
      <c r="BK972" s="318" t="s">
        <v>845</v>
      </c>
      <c r="BL972" s="318" t="s">
        <v>846</v>
      </c>
      <c r="BM972" s="318" t="s">
        <v>845</v>
      </c>
      <c r="BN972" s="318" t="s">
        <v>846</v>
      </c>
      <c r="BO972" s="318" t="s">
        <v>846</v>
      </c>
      <c r="BP972" s="318" t="s">
        <v>845</v>
      </c>
      <c r="BQ972" s="318" t="s">
        <v>846</v>
      </c>
      <c r="BR972" s="332" t="s">
        <v>845</v>
      </c>
      <c r="BS972" s="330">
        <f t="shared" si="63"/>
        <v>6.935416354</v>
      </c>
      <c r="BT972" s="331">
        <f t="shared" si="64"/>
        <v>42.60328626</v>
      </c>
      <c r="BU972" s="842">
        <v>0.4578587962962963</v>
      </c>
      <c r="BV972" s="333"/>
      <c r="BW972" s="330">
        <v>11.1333333333333</v>
      </c>
      <c r="BX972" s="331">
        <v>10.125</v>
      </c>
      <c r="BY972" s="331">
        <f t="shared" si="65"/>
        <v>7.992709352</v>
      </c>
      <c r="BZ972" s="340"/>
      <c r="CA972" s="462" t="s">
        <v>846</v>
      </c>
      <c r="CB972" s="319" t="s">
        <v>846</v>
      </c>
      <c r="CC972" s="319" t="s">
        <v>845</v>
      </c>
      <c r="CD972" s="319" t="s">
        <v>846</v>
      </c>
      <c r="CE972" s="319" t="s">
        <v>845</v>
      </c>
      <c r="CF972" s="319" t="s">
        <v>846</v>
      </c>
      <c r="CG972" s="319" t="s">
        <v>846</v>
      </c>
      <c r="CH972" s="319" t="s">
        <v>845</v>
      </c>
      <c r="CI972" s="319" t="s">
        <v>846</v>
      </c>
      <c r="CJ972" s="327" t="s">
        <v>845</v>
      </c>
      <c r="CK972" s="342">
        <f t="shared" si="18"/>
        <v>6.935416354</v>
      </c>
      <c r="CL972" s="333">
        <f t="shared" si="19"/>
        <v>42.60328626</v>
      </c>
      <c r="CM972" s="829"/>
      <c r="CN972" s="333"/>
      <c r="CO972" s="333"/>
      <c r="CP972" s="333"/>
    </row>
    <row r="973">
      <c r="B973" s="462" t="s">
        <v>1561</v>
      </c>
      <c r="C973" s="417">
        <v>44386.0</v>
      </c>
      <c r="D973" s="318"/>
      <c r="E973" s="319" t="s">
        <v>1645</v>
      </c>
      <c r="F973" s="324" t="s">
        <v>1646</v>
      </c>
      <c r="G973" s="321">
        <v>0.4597222222222222</v>
      </c>
      <c r="H973" s="323">
        <v>0.4600694444444444</v>
      </c>
      <c r="I973" s="323"/>
      <c r="J973" s="323"/>
      <c r="K973" s="323">
        <v>0.4608217592592593</v>
      </c>
      <c r="L973" s="323">
        <v>7.523148148148148E-4</v>
      </c>
      <c r="M973" s="319" t="s">
        <v>166</v>
      </c>
      <c r="N973" s="324" t="s">
        <v>187</v>
      </c>
      <c r="O973" s="419" t="s">
        <v>200</v>
      </c>
      <c r="P973" s="319" t="s">
        <v>212</v>
      </c>
      <c r="Q973" s="318"/>
      <c r="R973" s="326">
        <v>10.0</v>
      </c>
      <c r="S973" s="319">
        <v>5.0</v>
      </c>
      <c r="T973" s="324">
        <v>0.7</v>
      </c>
      <c r="U973" s="319">
        <v>3.0</v>
      </c>
      <c r="V973" s="319"/>
      <c r="W973" s="319"/>
      <c r="X973" s="319"/>
      <c r="Y973" s="319"/>
      <c r="Z973" s="319" t="s">
        <v>318</v>
      </c>
      <c r="AA973" s="319"/>
      <c r="AB973" s="319" t="s">
        <v>337</v>
      </c>
      <c r="AC973" s="327">
        <v>2.5</v>
      </c>
      <c r="AD973" s="319"/>
      <c r="AE973" s="319"/>
      <c r="AF973" s="319"/>
      <c r="AG973" s="319"/>
      <c r="AH973" s="319"/>
      <c r="AI973" s="319"/>
      <c r="AJ973" s="327"/>
      <c r="AK973" s="328"/>
      <c r="AL973" s="319"/>
      <c r="AM973" s="319"/>
      <c r="AN973" s="319"/>
      <c r="AO973" s="319"/>
      <c r="AP973" s="319"/>
      <c r="AQ973" s="319"/>
      <c r="AR973" s="319"/>
      <c r="AS973" s="327"/>
      <c r="AT973" s="461" t="s">
        <v>182</v>
      </c>
      <c r="AU973" s="345" t="s">
        <v>845</v>
      </c>
      <c r="AV973" s="330">
        <f>SQRT(($R973-Infrastructure!J$3)^2+($S973-Infrastructure!K$3)^2)</f>
        <v>26.02498799</v>
      </c>
      <c r="AW973" s="331">
        <f>SQRT(($R973-Infrastructure!J$4)^2+($S973-Infrastructure!K$4)^2)</f>
        <v>16.42954655</v>
      </c>
      <c r="AX973" s="331">
        <f>SQRT(($R973-Infrastructure!J$5)^2+($S973-Infrastructure!K$5)^2)</f>
        <v>10.30048543</v>
      </c>
      <c r="AY973" s="331">
        <f>SQRT(($R973-Infrastructure!J$6)^2+($S973-Infrastructure!K$6)^2)</f>
        <v>4.701063709</v>
      </c>
      <c r="AZ973" s="331">
        <f>SQRT(($R973-Infrastructure!J$7)^2+($S973-Infrastructure!K$7)^2)</f>
        <v>11.50391238</v>
      </c>
      <c r="BA973" s="331">
        <f>SQRT(($R973-Infrastructure!J$8)^2+($S973-Infrastructure!K$8)^2)</f>
        <v>20.64218981</v>
      </c>
      <c r="BB973" s="331">
        <f>SQRT(($R973-Infrastructure!J$9)^2+($S973-Infrastructure!K$9)^2)</f>
        <v>30.00016667</v>
      </c>
      <c r="BC973" s="331">
        <f>SQRT(($R973-Infrastructure!J$10)^2+($S973-Infrastructure!K$10)^2)</f>
        <v>31.6227766</v>
      </c>
      <c r="BD973" s="331">
        <f>SQRT(($R973-Infrastructure!J$11)^2+($S973-Infrastructure!K$11)^2)</f>
        <v>38.57512152</v>
      </c>
      <c r="BE973" s="333">
        <f>SQRT(($R973-Infrastructure!J$12)^2+($S973-Infrastructure!K$12)^2)</f>
        <v>51.79285665</v>
      </c>
      <c r="BF973" s="330">
        <f t="shared" si="14"/>
        <v>4.701063709</v>
      </c>
      <c r="BG973" s="333">
        <f t="shared" si="15"/>
        <v>51.79285665</v>
      </c>
      <c r="BH973" s="334"/>
      <c r="BI973" s="316" t="s">
        <v>846</v>
      </c>
      <c r="BJ973" s="318" t="s">
        <v>846</v>
      </c>
      <c r="BK973" s="318" t="s">
        <v>846</v>
      </c>
      <c r="BL973" s="318" t="s">
        <v>846</v>
      </c>
      <c r="BM973" s="318" t="s">
        <v>846</v>
      </c>
      <c r="BN973" s="318" t="s">
        <v>846</v>
      </c>
      <c r="BO973" s="318" t="s">
        <v>846</v>
      </c>
      <c r="BP973" s="318" t="s">
        <v>846</v>
      </c>
      <c r="BQ973" s="318" t="s">
        <v>846</v>
      </c>
      <c r="BR973" s="332" t="s">
        <v>846</v>
      </c>
      <c r="BS973" s="330">
        <f t="shared" si="63"/>
        <v>4.701063709</v>
      </c>
      <c r="BT973" s="331">
        <f t="shared" si="64"/>
        <v>51.79285665</v>
      </c>
      <c r="BU973" s="842">
        <v>0.4599421296296296</v>
      </c>
      <c r="BV973" s="333"/>
      <c r="BW973" s="330">
        <v>11.4666666666666</v>
      </c>
      <c r="BX973" s="331">
        <v>12.26</v>
      </c>
      <c r="BY973" s="331">
        <f t="shared" si="65"/>
        <v>7.406666667</v>
      </c>
      <c r="BZ973" s="340"/>
      <c r="CA973" s="462" t="s">
        <v>846</v>
      </c>
      <c r="CB973" s="319" t="s">
        <v>846</v>
      </c>
      <c r="CC973" s="319" t="s">
        <v>845</v>
      </c>
      <c r="CD973" s="319" t="s">
        <v>846</v>
      </c>
      <c r="CE973" s="319" t="s">
        <v>845</v>
      </c>
      <c r="CF973" s="319" t="s">
        <v>846</v>
      </c>
      <c r="CG973" s="319" t="s">
        <v>846</v>
      </c>
      <c r="CH973" s="319" t="s">
        <v>845</v>
      </c>
      <c r="CI973" s="319" t="s">
        <v>846</v>
      </c>
      <c r="CJ973" s="327" t="s">
        <v>845</v>
      </c>
      <c r="CK973" s="342">
        <f t="shared" si="18"/>
        <v>4.701063709</v>
      </c>
      <c r="CL973" s="333">
        <f t="shared" si="19"/>
        <v>38.57512152</v>
      </c>
      <c r="CM973" s="829"/>
      <c r="CN973" s="333"/>
      <c r="CO973" s="333"/>
      <c r="CP973" s="333"/>
    </row>
    <row r="974">
      <c r="B974" s="849" t="s">
        <v>1561</v>
      </c>
      <c r="C974" s="850">
        <v>44386.0</v>
      </c>
      <c r="D974" s="851"/>
      <c r="E974" s="852" t="s">
        <v>1647</v>
      </c>
      <c r="F974" s="853" t="s">
        <v>1648</v>
      </c>
      <c r="G974" s="854">
        <v>0.46371527777777777</v>
      </c>
      <c r="H974" s="855">
        <v>0.4652777777777778</v>
      </c>
      <c r="I974" s="855"/>
      <c r="J974" s="855"/>
      <c r="K974" s="855">
        <v>0.46608796296296295</v>
      </c>
      <c r="L974" s="855">
        <v>8.101851851851852E-4</v>
      </c>
      <c r="M974" s="852" t="s">
        <v>166</v>
      </c>
      <c r="N974" s="853" t="s">
        <v>187</v>
      </c>
      <c r="O974" s="856" t="s">
        <v>200</v>
      </c>
      <c r="P974" s="852" t="s">
        <v>212</v>
      </c>
      <c r="Q974" s="851"/>
      <c r="R974" s="857">
        <v>10.0</v>
      </c>
      <c r="S974" s="852">
        <v>5.0</v>
      </c>
      <c r="T974" s="853">
        <v>0.7</v>
      </c>
      <c r="U974" s="852">
        <v>0.15</v>
      </c>
      <c r="V974" s="852"/>
      <c r="W974" s="852"/>
      <c r="X974" s="852"/>
      <c r="Y974" s="852"/>
      <c r="Z974" s="852" t="s">
        <v>318</v>
      </c>
      <c r="AA974" s="852"/>
      <c r="AB974" s="852" t="s">
        <v>337</v>
      </c>
      <c r="AC974" s="858">
        <v>2.5</v>
      </c>
      <c r="AD974" s="852"/>
      <c r="AE974" s="852"/>
      <c r="AF974" s="852"/>
      <c r="AG974" s="852"/>
      <c r="AH974" s="852"/>
      <c r="AI974" s="852"/>
      <c r="AJ974" s="858"/>
      <c r="AK974" s="859"/>
      <c r="AL974" s="852"/>
      <c r="AM974" s="852"/>
      <c r="AN974" s="852"/>
      <c r="AO974" s="852"/>
      <c r="AP974" s="852"/>
      <c r="AQ974" s="852"/>
      <c r="AR974" s="852"/>
      <c r="AS974" s="858"/>
      <c r="AT974" s="860" t="s">
        <v>181</v>
      </c>
      <c r="AU974" s="861" t="s">
        <v>845</v>
      </c>
      <c r="AV974" s="862">
        <f>SQRT(($R974-Infrastructure!J$3)^2+($S974-Infrastructure!K$3)^2)</f>
        <v>26.02498799</v>
      </c>
      <c r="AW974" s="331">
        <f>SQRT(($R974-Infrastructure!J$4)^2+($S974-Infrastructure!K$4)^2)</f>
        <v>16.42954655</v>
      </c>
      <c r="AX974" s="863">
        <f>SQRT(($R974-Infrastructure!J$5)^2+($S974-Infrastructure!K$5)^2)</f>
        <v>10.30048543</v>
      </c>
      <c r="AY974" s="863">
        <f>SQRT(($R974-Infrastructure!J$6)^2+($S974-Infrastructure!K$6)^2)</f>
        <v>4.701063709</v>
      </c>
      <c r="AZ974" s="863">
        <f>SQRT(($R974-Infrastructure!J$7)^2+($S974-Infrastructure!K$7)^2)</f>
        <v>11.50391238</v>
      </c>
      <c r="BA974" s="863">
        <f>SQRT(($R974-Infrastructure!J$8)^2+($S974-Infrastructure!K$8)^2)</f>
        <v>20.64218981</v>
      </c>
      <c r="BB974" s="331">
        <f>SQRT(($R974-Infrastructure!J$9)^2+($S974-Infrastructure!K$9)^2)</f>
        <v>30.00016667</v>
      </c>
      <c r="BC974" s="863">
        <f>SQRT(($R974-Infrastructure!J$10)^2+($S974-Infrastructure!K$10)^2)</f>
        <v>31.6227766</v>
      </c>
      <c r="BD974" s="863">
        <f>SQRT(($R974-Infrastructure!J$11)^2+($S974-Infrastructure!K$11)^2)</f>
        <v>38.57512152</v>
      </c>
      <c r="BE974" s="864">
        <f>SQRT(($R974-Infrastructure!J$12)^2+($S974-Infrastructure!K$12)^2)</f>
        <v>51.79285665</v>
      </c>
      <c r="BF974" s="330">
        <f t="shared" si="14"/>
        <v>4.701063709</v>
      </c>
      <c r="BG974" s="333">
        <f t="shared" si="15"/>
        <v>51.79285665</v>
      </c>
      <c r="BH974" s="865"/>
      <c r="BI974" s="866" t="s">
        <v>846</v>
      </c>
      <c r="BJ974" s="851" t="s">
        <v>846</v>
      </c>
      <c r="BK974" s="851" t="s">
        <v>845</v>
      </c>
      <c r="BL974" s="851" t="s">
        <v>846</v>
      </c>
      <c r="BM974" s="851" t="s">
        <v>845</v>
      </c>
      <c r="BN974" s="851" t="s">
        <v>846</v>
      </c>
      <c r="BO974" s="851" t="s">
        <v>846</v>
      </c>
      <c r="BP974" s="851" t="s">
        <v>845</v>
      </c>
      <c r="BQ974" s="851" t="s">
        <v>846</v>
      </c>
      <c r="BR974" s="867" t="s">
        <v>845</v>
      </c>
      <c r="BS974" s="330">
        <f t="shared" si="63"/>
        <v>4.701063709</v>
      </c>
      <c r="BT974" s="331">
        <f t="shared" si="64"/>
        <v>38.57512152</v>
      </c>
      <c r="BU974" s="842">
        <v>0.46375</v>
      </c>
      <c r="BV974" s="864"/>
      <c r="BW974" s="862">
        <v>11.54</v>
      </c>
      <c r="BX974" s="863">
        <v>9.6</v>
      </c>
      <c r="BY974" s="331">
        <f t="shared" si="65"/>
        <v>4.850938054</v>
      </c>
      <c r="BZ974" s="869"/>
      <c r="CA974" s="849" t="s">
        <v>845</v>
      </c>
      <c r="CB974" s="852" t="s">
        <v>845</v>
      </c>
      <c r="CC974" s="852" t="s">
        <v>845</v>
      </c>
      <c r="CD974" s="852" t="s">
        <v>845</v>
      </c>
      <c r="CE974" s="852" t="s">
        <v>845</v>
      </c>
      <c r="CF974" s="852" t="s">
        <v>845</v>
      </c>
      <c r="CG974" s="852" t="s">
        <v>845</v>
      </c>
      <c r="CH974" s="852" t="s">
        <v>845</v>
      </c>
      <c r="CI974" s="852" t="s">
        <v>845</v>
      </c>
      <c r="CJ974" s="858" t="s">
        <v>845</v>
      </c>
      <c r="CK974" s="342">
        <f t="shared" si="18"/>
        <v>0</v>
      </c>
      <c r="CL974" s="333">
        <f t="shared" si="19"/>
        <v>0</v>
      </c>
      <c r="CM974" s="870"/>
      <c r="CN974" s="333"/>
      <c r="CO974" s="333"/>
      <c r="CP974" s="333"/>
    </row>
    <row r="975">
      <c r="B975" s="462"/>
      <c r="C975" s="417"/>
      <c r="D975" s="318"/>
      <c r="E975" s="319"/>
      <c r="F975" s="324"/>
      <c r="G975" s="321"/>
      <c r="H975" s="323"/>
      <c r="I975" s="323"/>
      <c r="J975" s="323"/>
      <c r="K975" s="323"/>
      <c r="L975" s="323">
        <v>0.0</v>
      </c>
      <c r="M975" s="319" t="s">
        <v>166</v>
      </c>
      <c r="N975" s="324" t="s">
        <v>188</v>
      </c>
      <c r="O975" s="419"/>
      <c r="P975" s="319" t="s">
        <v>231</v>
      </c>
      <c r="Q975" s="318"/>
      <c r="R975" s="833"/>
      <c r="S975" s="319"/>
      <c r="T975" s="324"/>
      <c r="U975" s="834"/>
      <c r="V975" s="834"/>
      <c r="W975" s="834"/>
      <c r="X975" s="834"/>
      <c r="Y975" s="834"/>
      <c r="Z975" s="319" t="s">
        <v>323</v>
      </c>
      <c r="AA975" s="319"/>
      <c r="AB975" s="319" t="s">
        <v>323</v>
      </c>
      <c r="AC975" s="327" t="s">
        <v>323</v>
      </c>
      <c r="AD975" s="319"/>
      <c r="AE975" s="319"/>
      <c r="AF975" s="319"/>
      <c r="AG975" s="319"/>
      <c r="AH975" s="319"/>
      <c r="AI975" s="319"/>
      <c r="AJ975" s="327"/>
      <c r="AK975" s="328"/>
      <c r="AL975" s="319"/>
      <c r="AM975" s="319"/>
      <c r="AN975" s="319"/>
      <c r="AO975" s="319"/>
      <c r="AP975" s="319"/>
      <c r="AQ975" s="319"/>
      <c r="AR975" s="319"/>
      <c r="AS975" s="327"/>
      <c r="AT975" s="344"/>
      <c r="AU975" s="345"/>
      <c r="AV975" s="330">
        <f>SQRT(($R975-Infrastructure!J$3)^2+($S975-Infrastructure!K$3)^2)</f>
        <v>28.90155705</v>
      </c>
      <c r="AW975" s="331">
        <f>SQRT(($R975-Infrastructure!J$4)^2+($S975-Infrastructure!K$4)^2)</f>
        <v>17.80252791</v>
      </c>
      <c r="AX975" s="331">
        <f>SQRT(($R975-Infrastructure!J$5)^2+($S975-Infrastructure!K$5)^2)</f>
        <v>5.10881591</v>
      </c>
      <c r="AY975" s="331">
        <f>SQRT(($R975-Infrastructure!J$6)^2+($S975-Infrastructure!K$6)^2)</f>
        <v>10.10445446</v>
      </c>
      <c r="AZ975" s="331">
        <f>SQRT(($R975-Infrastructure!J$7)^2+($S975-Infrastructure!K$7)^2)</f>
        <v>20.502195</v>
      </c>
      <c r="BA975" s="331">
        <f>SQRT(($R975-Infrastructure!J$8)^2+($S975-Infrastructure!K$8)^2)</f>
        <v>30.10149498</v>
      </c>
      <c r="BB975" s="331">
        <f>SQRT(($R975-Infrastructure!J$9)^2+($S975-Infrastructure!K$9)^2)</f>
        <v>40.3238143</v>
      </c>
      <c r="BC975" s="331">
        <f>SQRT(($R975-Infrastructure!J$10)^2+($S975-Infrastructure!K$10)^2)</f>
        <v>42.72001873</v>
      </c>
      <c r="BD975" s="331">
        <f>SQRT(($R975-Infrastructure!J$11)^2+($S975-Infrastructure!K$11)^2)</f>
        <v>49.56853841</v>
      </c>
      <c r="BE975" s="333">
        <f>SQRT(($R975-Infrastructure!J$12)^2+($S975-Infrastructure!K$12)^2)</f>
        <v>59.51890456</v>
      </c>
      <c r="BF975" s="330">
        <f t="shared" si="14"/>
        <v>5.10881591</v>
      </c>
      <c r="BG975" s="333">
        <f t="shared" si="15"/>
        <v>59.51890456</v>
      </c>
      <c r="BH975" s="334"/>
      <c r="BI975" s="316"/>
      <c r="BJ975" s="318"/>
      <c r="BK975" s="318"/>
      <c r="BL975" s="318"/>
      <c r="BM975" s="318"/>
      <c r="BN975" s="318"/>
      <c r="BO975" s="318"/>
      <c r="BP975" s="318"/>
      <c r="BQ975" s="318"/>
      <c r="BR975" s="332"/>
      <c r="BS975" s="330"/>
      <c r="BT975" s="331"/>
      <c r="BU975" s="331"/>
      <c r="BV975" s="333"/>
      <c r="BW975" s="330"/>
      <c r="BX975" s="331"/>
      <c r="BY975" s="331"/>
      <c r="BZ975" s="340"/>
      <c r="CA975" s="316"/>
      <c r="CB975" s="318"/>
      <c r="CC975" s="318"/>
      <c r="CD975" s="318"/>
      <c r="CE975" s="318"/>
      <c r="CF975" s="318"/>
      <c r="CG975" s="318"/>
      <c r="CH975" s="318"/>
      <c r="CI975" s="318"/>
      <c r="CJ975" s="463"/>
      <c r="CK975" s="342">
        <f t="shared" si="18"/>
        <v>0</v>
      </c>
      <c r="CL975" s="333">
        <f t="shared" si="19"/>
        <v>0</v>
      </c>
      <c r="CM975" s="829"/>
      <c r="CN975" s="333"/>
      <c r="CO975" s="333"/>
      <c r="CP975" s="333"/>
    </row>
    <row r="976">
      <c r="B976" s="462"/>
      <c r="C976" s="417"/>
      <c r="D976" s="318"/>
      <c r="E976" s="319"/>
      <c r="F976" s="324"/>
      <c r="G976" s="321"/>
      <c r="H976" s="323"/>
      <c r="I976" s="323"/>
      <c r="J976" s="323"/>
      <c r="K976" s="323"/>
      <c r="L976" s="323">
        <v>0.0</v>
      </c>
      <c r="M976" s="319" t="s">
        <v>358</v>
      </c>
      <c r="N976" s="324" t="s">
        <v>188</v>
      </c>
      <c r="O976" s="419"/>
      <c r="P976" s="319" t="s">
        <v>231</v>
      </c>
      <c r="Q976" s="318"/>
      <c r="R976" s="833"/>
      <c r="S976" s="319"/>
      <c r="T976" s="324"/>
      <c r="U976" s="834"/>
      <c r="V976" s="834"/>
      <c r="W976" s="834"/>
      <c r="X976" s="834"/>
      <c r="Y976" s="834"/>
      <c r="Z976" s="319" t="s">
        <v>323</v>
      </c>
      <c r="AA976" s="319"/>
      <c r="AB976" s="319" t="s">
        <v>323</v>
      </c>
      <c r="AC976" s="327" t="s">
        <v>323</v>
      </c>
      <c r="AD976" s="319"/>
      <c r="AE976" s="319"/>
      <c r="AF976" s="319"/>
      <c r="AG976" s="319"/>
      <c r="AH976" s="319"/>
      <c r="AI976" s="319"/>
      <c r="AJ976" s="327"/>
      <c r="AK976" s="328"/>
      <c r="AL976" s="319"/>
      <c r="AM976" s="319"/>
      <c r="AN976" s="319"/>
      <c r="AO976" s="319"/>
      <c r="AP976" s="319"/>
      <c r="AQ976" s="319"/>
      <c r="AR976" s="319"/>
      <c r="AS976" s="327"/>
      <c r="AT976" s="344"/>
      <c r="AU976" s="345"/>
      <c r="AV976" s="330">
        <f>SQRT(($R976-Infrastructure!J$3)^2+($S976-Infrastructure!K$3)^2)</f>
        <v>28.90155705</v>
      </c>
      <c r="AW976" s="331">
        <f>SQRT(($R976-Infrastructure!J$4)^2+($S976-Infrastructure!K$4)^2)</f>
        <v>17.80252791</v>
      </c>
      <c r="AX976" s="331">
        <f>SQRT(($R976-Infrastructure!J$5)^2+($S976-Infrastructure!K$5)^2)</f>
        <v>5.10881591</v>
      </c>
      <c r="AY976" s="331">
        <f>SQRT(($R976-Infrastructure!J$6)^2+($S976-Infrastructure!K$6)^2)</f>
        <v>10.10445446</v>
      </c>
      <c r="AZ976" s="331">
        <f>SQRT(($R976-Infrastructure!J$7)^2+($S976-Infrastructure!K$7)^2)</f>
        <v>20.502195</v>
      </c>
      <c r="BA976" s="331">
        <f>SQRT(($R976-Infrastructure!J$8)^2+($S976-Infrastructure!K$8)^2)</f>
        <v>30.10149498</v>
      </c>
      <c r="BB976" s="331">
        <f>SQRT(($R976-Infrastructure!J$9)^2+($S976-Infrastructure!K$9)^2)</f>
        <v>40.3238143</v>
      </c>
      <c r="BC976" s="331">
        <f>SQRT(($R976-Infrastructure!J$10)^2+($S976-Infrastructure!K$10)^2)</f>
        <v>42.72001873</v>
      </c>
      <c r="BD976" s="331">
        <f>SQRT(($R976-Infrastructure!J$11)^2+($S976-Infrastructure!K$11)^2)</f>
        <v>49.56853841</v>
      </c>
      <c r="BE976" s="333">
        <f>SQRT(($R976-Infrastructure!J$12)^2+($S976-Infrastructure!K$12)^2)</f>
        <v>59.51890456</v>
      </c>
      <c r="BF976" s="330">
        <f t="shared" si="14"/>
        <v>5.10881591</v>
      </c>
      <c r="BG976" s="333">
        <f t="shared" si="15"/>
        <v>59.51890456</v>
      </c>
      <c r="BH976" s="334"/>
      <c r="BI976" s="316"/>
      <c r="BJ976" s="318"/>
      <c r="BK976" s="318"/>
      <c r="BL976" s="318"/>
      <c r="BM976" s="318"/>
      <c r="BN976" s="318"/>
      <c r="BO976" s="318"/>
      <c r="BP976" s="318"/>
      <c r="BQ976" s="318"/>
      <c r="BR976" s="332"/>
      <c r="BS976" s="330"/>
      <c r="BT976" s="331"/>
      <c r="BU976" s="331"/>
      <c r="BV976" s="333"/>
      <c r="BW976" s="330"/>
      <c r="BX976" s="331"/>
      <c r="BY976" s="331"/>
      <c r="BZ976" s="340"/>
      <c r="CA976" s="316"/>
      <c r="CB976" s="318"/>
      <c r="CC976" s="318"/>
      <c r="CD976" s="318"/>
      <c r="CE976" s="318"/>
      <c r="CF976" s="318"/>
      <c r="CG976" s="318"/>
      <c r="CH976" s="318"/>
      <c r="CI976" s="318"/>
      <c r="CJ976" s="463"/>
      <c r="CK976" s="342">
        <f t="shared" si="18"/>
        <v>0</v>
      </c>
      <c r="CL976" s="333">
        <f t="shared" si="19"/>
        <v>0</v>
      </c>
      <c r="CM976" s="829"/>
      <c r="CN976" s="333"/>
      <c r="CO976" s="333"/>
      <c r="CP976" s="333"/>
    </row>
    <row r="977">
      <c r="A977" s="896" t="s">
        <v>42</v>
      </c>
      <c r="B977" s="573" t="s">
        <v>1649</v>
      </c>
      <c r="C977" s="391">
        <v>44399.0</v>
      </c>
      <c r="D977" s="392"/>
      <c r="E977" s="393">
        <v>1.0</v>
      </c>
      <c r="F977" s="394" t="s">
        <v>1650</v>
      </c>
      <c r="G977" s="395">
        <v>0.3819444444444444</v>
      </c>
      <c r="H977" s="456">
        <v>0.38252314814814814</v>
      </c>
      <c r="I977" s="456"/>
      <c r="J977" s="456"/>
      <c r="K977" s="456">
        <v>0.7159722222222222</v>
      </c>
      <c r="L977" s="456">
        <v>0.3334490740740741</v>
      </c>
      <c r="M977" s="393" t="s">
        <v>166</v>
      </c>
      <c r="N977" s="394" t="s">
        <v>187</v>
      </c>
      <c r="O977" s="399" t="s">
        <v>198</v>
      </c>
      <c r="P977" s="393" t="s">
        <v>213</v>
      </c>
      <c r="Q977" s="392"/>
      <c r="R977" s="400">
        <v>10.7</v>
      </c>
      <c r="S977" s="393">
        <v>10.9</v>
      </c>
      <c r="T977" s="394">
        <v>3.0</v>
      </c>
      <c r="U977" s="393">
        <v>1.0</v>
      </c>
      <c r="V977" s="393"/>
      <c r="W977" s="393"/>
      <c r="X977" s="393"/>
      <c r="Y977" s="393"/>
      <c r="Z977" s="393" t="s">
        <v>343</v>
      </c>
      <c r="AA977" s="393"/>
      <c r="AB977" s="393" t="s">
        <v>388</v>
      </c>
      <c r="AC977" s="401">
        <v>8.0</v>
      </c>
      <c r="AD977" s="393"/>
      <c r="AE977" s="393"/>
      <c r="AF977" s="393"/>
      <c r="AG977" s="393"/>
      <c r="AH977" s="393"/>
      <c r="AI977" s="393"/>
      <c r="AJ977" s="401"/>
      <c r="AK977" s="402"/>
      <c r="AL977" s="393"/>
      <c r="AM977" s="393"/>
      <c r="AN977" s="393"/>
      <c r="AO977" s="393"/>
      <c r="AP977" s="393"/>
      <c r="AQ977" s="393"/>
      <c r="AR977" s="393"/>
      <c r="AS977" s="401"/>
      <c r="AT977" s="460" t="s">
        <v>182</v>
      </c>
      <c r="AU977" s="404" t="s">
        <v>845</v>
      </c>
      <c r="AV977" s="405">
        <f>SQRT(($R977-Infrastructure!J$3)^2+($S977-Infrastructure!K$3)^2)</f>
        <v>21.09502311</v>
      </c>
      <c r="AW977" s="406">
        <f>SQRT(($R977-Infrastructure!J$4)^2+($S977-Infrastructure!K$4)^2)</f>
        <v>12.98499134</v>
      </c>
      <c r="AX977" s="406">
        <f>SQRT(($R977-Infrastructure!J$5)^2+($S977-Infrastructure!K$5)^2)</f>
        <v>12.43543325</v>
      </c>
      <c r="AY977" s="406">
        <f>SQRT(($R977-Infrastructure!J$6)^2+($S977-Infrastructure!K$6)^2)</f>
        <v>10.61696755</v>
      </c>
      <c r="AZ977" s="406">
        <f>SQRT(($R977-Infrastructure!J$7)^2+($S977-Infrastructure!K$7)^2)</f>
        <v>14.43606595</v>
      </c>
      <c r="BA977" s="406">
        <f>SQRT(($R977-Infrastructure!J$8)^2+($S977-Infrastructure!K$8)^2)</f>
        <v>22.10701246</v>
      </c>
      <c r="BB977" s="406">
        <f>SQRT(($R977-Infrastructure!J$9)^2+($S977-Infrastructure!K$9)^2)</f>
        <v>29.86854533</v>
      </c>
      <c r="BC977" s="406">
        <f>SQRT(($R977-Infrastructure!J$10)^2+($S977-Infrastructure!K$10)^2)</f>
        <v>29.58546941</v>
      </c>
      <c r="BD977" s="406">
        <f>SQRT(($R977-Infrastructure!J$11)^2+($S977-Infrastructure!K$11)^2)</f>
        <v>34.61011413</v>
      </c>
      <c r="BE977" s="408">
        <f>SQRT(($R977-Infrastructure!J$12)^2+($S977-Infrastructure!K$12)^2)</f>
        <v>45.8889965</v>
      </c>
      <c r="BF977" s="330">
        <f t="shared" si="14"/>
        <v>10.61696755</v>
      </c>
      <c r="BG977" s="333">
        <f t="shared" si="15"/>
        <v>45.8889965</v>
      </c>
      <c r="BH977" s="409"/>
      <c r="BI977" s="573" t="s">
        <v>846</v>
      </c>
      <c r="BJ977" s="393" t="s">
        <v>845</v>
      </c>
      <c r="BK977" s="393" t="s">
        <v>845</v>
      </c>
      <c r="BL977" s="393" t="s">
        <v>846</v>
      </c>
      <c r="BM977" s="393" t="s">
        <v>846</v>
      </c>
      <c r="BN977" s="393" t="s">
        <v>846</v>
      </c>
      <c r="BO977" s="393" t="s">
        <v>846</v>
      </c>
      <c r="BP977" s="393" t="s">
        <v>846</v>
      </c>
      <c r="BQ977" s="393" t="s">
        <v>845</v>
      </c>
      <c r="BR977" s="394" t="s">
        <v>846</v>
      </c>
      <c r="BS977" s="330">
        <f>MINIFS(AV977:BE977,BI977:BR977, "Y")</f>
        <v>10.61696755</v>
      </c>
      <c r="BT977" s="331">
        <f>MAXIFS(AV977:BE977,BI977:BR977, "Y")</f>
        <v>45.8889965</v>
      </c>
      <c r="BU977" s="897">
        <v>0.3835648148148148</v>
      </c>
      <c r="BV977" s="408"/>
      <c r="BW977" s="405">
        <v>15.4571428571428</v>
      </c>
      <c r="BX977" s="406">
        <v>9.9</v>
      </c>
      <c r="BY977" s="331">
        <f>IF(BW977&gt;0, SQRT((R977-BW977)^2+(S977-BX977)^2))</f>
        <v>4.861111824</v>
      </c>
      <c r="BZ977" s="412"/>
      <c r="CA977" s="390" t="s">
        <v>846</v>
      </c>
      <c r="CB977" s="392" t="s">
        <v>846</v>
      </c>
      <c r="CC977" s="392" t="s">
        <v>846</v>
      </c>
      <c r="CD977" s="392" t="s">
        <v>846</v>
      </c>
      <c r="CE977" s="392" t="s">
        <v>846</v>
      </c>
      <c r="CF977" s="392" t="s">
        <v>846</v>
      </c>
      <c r="CG977" s="392" t="s">
        <v>846</v>
      </c>
      <c r="CH977" s="392" t="s">
        <v>846</v>
      </c>
      <c r="CI977" s="392" t="s">
        <v>846</v>
      </c>
      <c r="CJ977" s="898" t="s">
        <v>846</v>
      </c>
      <c r="CK977" s="342">
        <f t="shared" si="18"/>
        <v>10.61696755</v>
      </c>
      <c r="CL977" s="333">
        <f t="shared" si="19"/>
        <v>45.8889965</v>
      </c>
      <c r="CM977" s="832"/>
      <c r="CN977" s="333"/>
      <c r="CO977" s="333"/>
      <c r="CP977" s="333"/>
    </row>
    <row r="978">
      <c r="B978" s="462" t="s">
        <v>1649</v>
      </c>
      <c r="C978" s="417">
        <v>44399.0</v>
      </c>
      <c r="D978" s="318"/>
      <c r="E978" s="319"/>
      <c r="F978" s="324" t="s">
        <v>1651</v>
      </c>
      <c r="G978" s="321">
        <v>0.7173611111111111</v>
      </c>
      <c r="H978" s="323"/>
      <c r="I978" s="323"/>
      <c r="J978" s="323"/>
      <c r="K978" s="323">
        <v>0.7179398148148148</v>
      </c>
      <c r="L978" s="323">
        <v>5.787037037037037E-4</v>
      </c>
      <c r="M978" s="319" t="s">
        <v>166</v>
      </c>
      <c r="N978" s="324" t="s">
        <v>188</v>
      </c>
      <c r="O978" s="419"/>
      <c r="P978" s="319" t="s">
        <v>231</v>
      </c>
      <c r="Q978" s="318"/>
      <c r="R978" s="833"/>
      <c r="S978" s="319"/>
      <c r="T978" s="324"/>
      <c r="U978" s="319"/>
      <c r="V978" s="319"/>
      <c r="W978" s="319"/>
      <c r="X978" s="319"/>
      <c r="Y978" s="319"/>
      <c r="Z978" s="319" t="s">
        <v>323</v>
      </c>
      <c r="AA978" s="319"/>
      <c r="AB978" s="319" t="s">
        <v>323</v>
      </c>
      <c r="AC978" s="327" t="s">
        <v>323</v>
      </c>
      <c r="AD978" s="319"/>
      <c r="AE978" s="319"/>
      <c r="AF978" s="319"/>
      <c r="AG978" s="319"/>
      <c r="AH978" s="319"/>
      <c r="AI978" s="319"/>
      <c r="AJ978" s="327"/>
      <c r="AK978" s="328"/>
      <c r="AL978" s="319"/>
      <c r="AM978" s="319"/>
      <c r="AN978" s="319"/>
      <c r="AO978" s="319"/>
      <c r="AP978" s="319"/>
      <c r="AQ978" s="319"/>
      <c r="AR978" s="319"/>
      <c r="AS978" s="327"/>
      <c r="AT978" s="461"/>
      <c r="AU978" s="345"/>
      <c r="AV978" s="330"/>
      <c r="AW978" s="331"/>
      <c r="AX978" s="331"/>
      <c r="AY978" s="331"/>
      <c r="AZ978" s="615"/>
      <c r="BA978" s="331"/>
      <c r="BB978" s="331"/>
      <c r="BC978" s="331"/>
      <c r="BD978" s="331"/>
      <c r="BE978" s="333"/>
      <c r="BF978" s="330">
        <f t="shared" si="14"/>
        <v>0</v>
      </c>
      <c r="BG978" s="333">
        <f t="shared" si="15"/>
        <v>0</v>
      </c>
      <c r="BH978" s="334"/>
      <c r="BI978" s="462" t="s">
        <v>846</v>
      </c>
      <c r="BJ978" s="319" t="s">
        <v>846</v>
      </c>
      <c r="BK978" s="319" t="s">
        <v>845</v>
      </c>
      <c r="BL978" s="319" t="s">
        <v>845</v>
      </c>
      <c r="BM978" s="319" t="s">
        <v>846</v>
      </c>
      <c r="BN978" s="319" t="s">
        <v>846</v>
      </c>
      <c r="BO978" s="319" t="s">
        <v>845</v>
      </c>
      <c r="BP978" s="319" t="s">
        <v>846</v>
      </c>
      <c r="BQ978" s="319" t="s">
        <v>845</v>
      </c>
      <c r="BR978" s="324" t="s">
        <v>846</v>
      </c>
      <c r="BS978" s="330"/>
      <c r="BT978" s="331"/>
      <c r="BU978" s="824"/>
      <c r="BV978" s="333"/>
      <c r="BW978" s="330"/>
      <c r="BX978" s="331"/>
      <c r="BY978" s="331"/>
      <c r="BZ978" s="340"/>
      <c r="CA978" s="316" t="s">
        <v>845</v>
      </c>
      <c r="CB978" s="318" t="s">
        <v>845</v>
      </c>
      <c r="CC978" s="318" t="s">
        <v>845</v>
      </c>
      <c r="CD978" s="318" t="s">
        <v>845</v>
      </c>
      <c r="CE978" s="318" t="s">
        <v>845</v>
      </c>
      <c r="CF978" s="318" t="s">
        <v>845</v>
      </c>
      <c r="CG978" s="318" t="s">
        <v>845</v>
      </c>
      <c r="CH978" s="318" t="s">
        <v>845</v>
      </c>
      <c r="CI978" s="318" t="s">
        <v>845</v>
      </c>
      <c r="CJ978" s="463" t="s">
        <v>845</v>
      </c>
      <c r="CK978" s="342">
        <f t="shared" si="18"/>
        <v>0</v>
      </c>
      <c r="CL978" s="333">
        <f t="shared" si="19"/>
        <v>0</v>
      </c>
      <c r="CM978" s="829"/>
      <c r="CN978" s="333"/>
      <c r="CO978" s="333"/>
      <c r="CP978" s="333"/>
    </row>
    <row r="979">
      <c r="B979" s="462" t="s">
        <v>1649</v>
      </c>
      <c r="C979" s="417">
        <v>44399.0</v>
      </c>
      <c r="D979" s="318"/>
      <c r="E979" s="319"/>
      <c r="F979" s="324" t="s">
        <v>1651</v>
      </c>
      <c r="G979" s="321">
        <v>0.71875</v>
      </c>
      <c r="H979" s="323"/>
      <c r="I979" s="323"/>
      <c r="J979" s="323"/>
      <c r="K979" s="323">
        <v>0.7213541666666666</v>
      </c>
      <c r="L979" s="323">
        <v>0.0026041666666666665</v>
      </c>
      <c r="M979" s="319" t="s">
        <v>358</v>
      </c>
      <c r="N979" s="324" t="s">
        <v>188</v>
      </c>
      <c r="O979" s="419"/>
      <c r="P979" s="319" t="s">
        <v>231</v>
      </c>
      <c r="Q979" s="318"/>
      <c r="R979" s="833"/>
      <c r="S979" s="319"/>
      <c r="T979" s="324"/>
      <c r="U979" s="319"/>
      <c r="V979" s="319"/>
      <c r="W979" s="319"/>
      <c r="X979" s="319"/>
      <c r="Y979" s="319"/>
      <c r="Z979" s="319" t="s">
        <v>323</v>
      </c>
      <c r="AA979" s="319"/>
      <c r="AB979" s="319" t="s">
        <v>323</v>
      </c>
      <c r="AC979" s="327" t="s">
        <v>323</v>
      </c>
      <c r="AD979" s="319"/>
      <c r="AE979" s="319"/>
      <c r="AF979" s="319"/>
      <c r="AG979" s="319"/>
      <c r="AH979" s="319"/>
      <c r="AI979" s="319"/>
      <c r="AJ979" s="327"/>
      <c r="AK979" s="328"/>
      <c r="AL979" s="319"/>
      <c r="AM979" s="319"/>
      <c r="AN979" s="319"/>
      <c r="AO979" s="319"/>
      <c r="AP979" s="319"/>
      <c r="AQ979" s="319"/>
      <c r="AR979" s="319"/>
      <c r="AS979" s="327"/>
      <c r="AT979" s="461"/>
      <c r="AU979" s="345"/>
      <c r="AV979" s="330"/>
      <c r="AW979" s="331"/>
      <c r="AX979" s="331"/>
      <c r="AY979" s="331"/>
      <c r="AZ979" s="615"/>
      <c r="BA979" s="331"/>
      <c r="BB979" s="331"/>
      <c r="BC979" s="331"/>
      <c r="BD979" s="331"/>
      <c r="BE979" s="333"/>
      <c r="BF979" s="330">
        <f t="shared" si="14"/>
        <v>0</v>
      </c>
      <c r="BG979" s="333">
        <f t="shared" si="15"/>
        <v>0</v>
      </c>
      <c r="BH979" s="334"/>
      <c r="BI979" s="462" t="s">
        <v>846</v>
      </c>
      <c r="BJ979" s="319" t="s">
        <v>846</v>
      </c>
      <c r="BK979" s="319" t="s">
        <v>845</v>
      </c>
      <c r="BL979" s="319" t="s">
        <v>845</v>
      </c>
      <c r="BM979" s="319" t="s">
        <v>846</v>
      </c>
      <c r="BN979" s="319" t="s">
        <v>845</v>
      </c>
      <c r="BO979" s="319" t="s">
        <v>845</v>
      </c>
      <c r="BP979" s="319" t="s">
        <v>846</v>
      </c>
      <c r="BQ979" s="319" t="s">
        <v>846</v>
      </c>
      <c r="BR979" s="324" t="s">
        <v>845</v>
      </c>
      <c r="BS979" s="330"/>
      <c r="BT979" s="331"/>
      <c r="BU979" s="897"/>
      <c r="BV979" s="333"/>
      <c r="BW979" s="330"/>
      <c r="BX979" s="331"/>
      <c r="BY979" s="331"/>
      <c r="BZ979" s="340"/>
      <c r="CA979" s="316" t="s">
        <v>845</v>
      </c>
      <c r="CB979" s="318" t="s">
        <v>845</v>
      </c>
      <c r="CC979" s="318" t="s">
        <v>845</v>
      </c>
      <c r="CD979" s="318" t="s">
        <v>845</v>
      </c>
      <c r="CE979" s="318" t="s">
        <v>845</v>
      </c>
      <c r="CF979" s="318" t="s">
        <v>845</v>
      </c>
      <c r="CG979" s="318" t="s">
        <v>845</v>
      </c>
      <c r="CH979" s="318" t="s">
        <v>845</v>
      </c>
      <c r="CI979" s="318" t="s">
        <v>845</v>
      </c>
      <c r="CJ979" s="463" t="s">
        <v>845</v>
      </c>
      <c r="CK979" s="342">
        <f t="shared" si="18"/>
        <v>0</v>
      </c>
      <c r="CL979" s="333">
        <f t="shared" si="19"/>
        <v>0</v>
      </c>
      <c r="CM979" s="829"/>
      <c r="CN979" s="333"/>
      <c r="CO979" s="333"/>
      <c r="CP979" s="333"/>
    </row>
    <row r="980">
      <c r="A980" s="389" t="s">
        <v>52</v>
      </c>
      <c r="B980" s="573" t="s">
        <v>1652</v>
      </c>
      <c r="C980" s="391">
        <v>44404.0</v>
      </c>
      <c r="D980" s="392"/>
      <c r="E980" s="393">
        <v>1.0</v>
      </c>
      <c r="F980" s="394" t="s">
        <v>1653</v>
      </c>
      <c r="G980" s="395">
        <v>0.45208333333333334</v>
      </c>
      <c r="H980" s="456">
        <v>0.45381944444444444</v>
      </c>
      <c r="I980" s="456"/>
      <c r="J980" s="456"/>
      <c r="K980" s="456">
        <v>0.4552083333333333</v>
      </c>
      <c r="L980" s="456">
        <v>0.001388888888888889</v>
      </c>
      <c r="M980" s="393" t="s">
        <v>358</v>
      </c>
      <c r="N980" s="394" t="s">
        <v>187</v>
      </c>
      <c r="O980" s="399" t="s">
        <v>198</v>
      </c>
      <c r="P980" s="393" t="s">
        <v>213</v>
      </c>
      <c r="Q980" s="392"/>
      <c r="R980" s="400">
        <v>10.7</v>
      </c>
      <c r="S980" s="393">
        <v>10.9</v>
      </c>
      <c r="T980" s="394">
        <v>3.0</v>
      </c>
      <c r="U980" s="393">
        <v>4.0</v>
      </c>
      <c r="V980" s="393"/>
      <c r="W980" s="393"/>
      <c r="X980" s="393"/>
      <c r="Y980" s="393"/>
      <c r="Z980" s="393" t="s">
        <v>343</v>
      </c>
      <c r="AA980" s="393"/>
      <c r="AB980" s="393" t="s">
        <v>384</v>
      </c>
      <c r="AC980" s="401">
        <v>6.0</v>
      </c>
      <c r="AD980" s="393"/>
      <c r="AE980" s="393"/>
      <c r="AF980" s="393"/>
      <c r="AG980" s="393"/>
      <c r="AH980" s="393"/>
      <c r="AI980" s="393"/>
      <c r="AJ980" s="401"/>
      <c r="AK980" s="402"/>
      <c r="AL980" s="393"/>
      <c r="AM980" s="393"/>
      <c r="AN980" s="393"/>
      <c r="AO980" s="393"/>
      <c r="AP980" s="393"/>
      <c r="AQ980" s="393"/>
      <c r="AR980" s="393"/>
      <c r="AS980" s="401"/>
      <c r="AT980" s="460" t="s">
        <v>182</v>
      </c>
      <c r="AU980" s="404" t="s">
        <v>845</v>
      </c>
      <c r="AV980" s="405">
        <f>SQRT(($R980-Infrastructure!J$3)^2+($S980-Infrastructure!K$3)^2)</f>
        <v>21.09502311</v>
      </c>
      <c r="AW980" s="406">
        <f>SQRT(($R980-Infrastructure!J$4)^2+($S980-Infrastructure!K$4)^2)</f>
        <v>12.98499134</v>
      </c>
      <c r="AX980" s="406">
        <f>SQRT(($R980-Infrastructure!J$5)^2+($S980-Infrastructure!K$5)^2)</f>
        <v>12.43543325</v>
      </c>
      <c r="AY980" s="406">
        <f>SQRT(($R980-Infrastructure!J$6)^2+($S980-Infrastructure!K$6)^2)</f>
        <v>10.61696755</v>
      </c>
      <c r="AZ980" s="406">
        <f>SQRT(($R980-Infrastructure!J$7)^2+($S980-Infrastructure!K$7)^2)</f>
        <v>14.43606595</v>
      </c>
      <c r="BA980" s="406">
        <f>SQRT(($R980-Infrastructure!J$8)^2+($S980-Infrastructure!K$8)^2)</f>
        <v>22.10701246</v>
      </c>
      <c r="BB980" s="406">
        <f>SQRT(($R980-Infrastructure!J$9)^2+($S980-Infrastructure!K$9)^2)</f>
        <v>29.86854533</v>
      </c>
      <c r="BC980" s="406">
        <f>SQRT(($R980-Infrastructure!J$10)^2+($S980-Infrastructure!K$10)^2)</f>
        <v>29.58546941</v>
      </c>
      <c r="BD980" s="406">
        <f>SQRT(($R980-Infrastructure!J$11)^2+($S980-Infrastructure!K$11)^2)</f>
        <v>34.61011413</v>
      </c>
      <c r="BE980" s="408">
        <f>SQRT(($R980-Infrastructure!J$12)^2+($S980-Infrastructure!K$12)^2)</f>
        <v>45.8889965</v>
      </c>
      <c r="BF980" s="330">
        <f t="shared" si="14"/>
        <v>10.61696755</v>
      </c>
      <c r="BG980" s="333">
        <f t="shared" si="15"/>
        <v>45.8889965</v>
      </c>
      <c r="BH980" s="899" t="s">
        <v>1654</v>
      </c>
      <c r="BI980" s="573" t="s">
        <v>845</v>
      </c>
      <c r="BJ980" s="393" t="s">
        <v>845</v>
      </c>
      <c r="BK980" s="393" t="s">
        <v>846</v>
      </c>
      <c r="BL980" s="393" t="s">
        <v>845</v>
      </c>
      <c r="BM980" s="393" t="s">
        <v>845</v>
      </c>
      <c r="BN980" s="393" t="s">
        <v>845</v>
      </c>
      <c r="BO980" s="393" t="s">
        <v>845</v>
      </c>
      <c r="BP980" s="393" t="s">
        <v>845</v>
      </c>
      <c r="BQ980" s="393" t="s">
        <v>845</v>
      </c>
      <c r="BR980" s="394" t="s">
        <v>845</v>
      </c>
      <c r="BS980" s="330">
        <f t="shared" ref="BS980:BS1004" si="66">MINIFS(AV980:BE980,BI980:BR980, "Y")</f>
        <v>12.43543325</v>
      </c>
      <c r="BT980" s="331">
        <f t="shared" ref="BT980:BT1004" si="67">MAXIFS(AV980:BE980,BI980:BR980, "Y")</f>
        <v>12.43543325</v>
      </c>
      <c r="BU980" s="900">
        <v>0.45506944444444447</v>
      </c>
      <c r="BV980" s="901">
        <f>BU980-G980</f>
        <v>0.002986111111</v>
      </c>
      <c r="BW980" s="592"/>
      <c r="BX980" s="593"/>
      <c r="BY980" s="406"/>
      <c r="BZ980" s="412"/>
      <c r="CA980" s="573" t="s">
        <v>845</v>
      </c>
      <c r="CB980" s="393" t="s">
        <v>845</v>
      </c>
      <c r="CC980" s="393" t="s">
        <v>845</v>
      </c>
      <c r="CD980" s="393" t="s">
        <v>845</v>
      </c>
      <c r="CE980" s="393" t="s">
        <v>845</v>
      </c>
      <c r="CF980" s="393" t="s">
        <v>845</v>
      </c>
      <c r="CG980" s="393" t="s">
        <v>845</v>
      </c>
      <c r="CH980" s="393" t="s">
        <v>845</v>
      </c>
      <c r="CI980" s="393" t="s">
        <v>845</v>
      </c>
      <c r="CJ980" s="401" t="s">
        <v>845</v>
      </c>
      <c r="CK980" s="342">
        <f t="shared" si="18"/>
        <v>0</v>
      </c>
      <c r="CL980" s="333">
        <f t="shared" si="19"/>
        <v>0</v>
      </c>
      <c r="CM980" s="832"/>
      <c r="CN980" s="333"/>
      <c r="CO980" s="333"/>
      <c r="CP980" s="333"/>
    </row>
    <row r="981">
      <c r="B981" s="462" t="s">
        <v>1652</v>
      </c>
      <c r="C981" s="417">
        <v>44404.0</v>
      </c>
      <c r="D981" s="318"/>
      <c r="E981" s="319">
        <v>2.0</v>
      </c>
      <c r="F981" s="324" t="s">
        <v>1655</v>
      </c>
      <c r="G981" s="321">
        <v>0.45590277777777777</v>
      </c>
      <c r="H981" s="323">
        <v>0.4565972222222222</v>
      </c>
      <c r="I981" s="323"/>
      <c r="J981" s="323"/>
      <c r="K981" s="323">
        <v>0.4579861111111111</v>
      </c>
      <c r="L981" s="323">
        <v>0.001388888888888889</v>
      </c>
      <c r="M981" s="319" t="s">
        <v>358</v>
      </c>
      <c r="N981" s="324" t="s">
        <v>187</v>
      </c>
      <c r="O981" s="419" t="s">
        <v>198</v>
      </c>
      <c r="P981" s="319" t="s">
        <v>213</v>
      </c>
      <c r="Q981" s="318"/>
      <c r="R981" s="326">
        <v>10.7</v>
      </c>
      <c r="S981" s="319">
        <v>10.9</v>
      </c>
      <c r="T981" s="324">
        <v>3.0</v>
      </c>
      <c r="U981" s="319">
        <v>3.0</v>
      </c>
      <c r="V981" s="319"/>
      <c r="W981" s="319"/>
      <c r="X981" s="319"/>
      <c r="Y981" s="319"/>
      <c r="Z981" s="319" t="s">
        <v>343</v>
      </c>
      <c r="AA981" s="319"/>
      <c r="AB981" s="319" t="s">
        <v>384</v>
      </c>
      <c r="AC981" s="327">
        <v>6.0</v>
      </c>
      <c r="AD981" s="319"/>
      <c r="AE981" s="319"/>
      <c r="AF981" s="319"/>
      <c r="AG981" s="319"/>
      <c r="AH981" s="319"/>
      <c r="AI981" s="319"/>
      <c r="AJ981" s="327"/>
      <c r="AK981" s="328"/>
      <c r="AL981" s="319"/>
      <c r="AM981" s="319"/>
      <c r="AN981" s="319"/>
      <c r="AO981" s="319"/>
      <c r="AP981" s="319"/>
      <c r="AQ981" s="319"/>
      <c r="AR981" s="319"/>
      <c r="AS981" s="327"/>
      <c r="AT981" s="461" t="s">
        <v>182</v>
      </c>
      <c r="AU981" s="345" t="s">
        <v>845</v>
      </c>
      <c r="AV981" s="330">
        <f>SQRT(($R981-Infrastructure!J$3)^2+($S981-Infrastructure!K$3)^2)</f>
        <v>21.09502311</v>
      </c>
      <c r="AW981" s="331">
        <f>SQRT(($R981-Infrastructure!J$4)^2+($S981-Infrastructure!K$4)^2)</f>
        <v>12.98499134</v>
      </c>
      <c r="AX981" s="331">
        <f>SQRT(($R981-Infrastructure!J$5)^2+($S981-Infrastructure!K$5)^2)</f>
        <v>12.43543325</v>
      </c>
      <c r="AY981" s="331">
        <f>SQRT(($R981-Infrastructure!J$6)^2+($S981-Infrastructure!K$6)^2)</f>
        <v>10.61696755</v>
      </c>
      <c r="AZ981" s="331">
        <f>SQRT(($R981-Infrastructure!J$7)^2+($S981-Infrastructure!K$7)^2)</f>
        <v>14.43606595</v>
      </c>
      <c r="BA981" s="331">
        <f>SQRT(($R981-Infrastructure!J$8)^2+($S981-Infrastructure!K$8)^2)</f>
        <v>22.10701246</v>
      </c>
      <c r="BB981" s="331">
        <f>SQRT(($R981-Infrastructure!J$9)^2+($S981-Infrastructure!K$9)^2)</f>
        <v>29.86854533</v>
      </c>
      <c r="BC981" s="331">
        <f>SQRT(($R981-Infrastructure!J$10)^2+($S981-Infrastructure!K$10)^2)</f>
        <v>29.58546941</v>
      </c>
      <c r="BD981" s="331">
        <f>SQRT(($R981-Infrastructure!J$11)^2+($S981-Infrastructure!K$11)^2)</f>
        <v>34.61011413</v>
      </c>
      <c r="BE981" s="333">
        <f>SQRT(($R981-Infrastructure!J$12)^2+($S981-Infrastructure!K$12)^2)</f>
        <v>45.8889965</v>
      </c>
      <c r="BF981" s="330">
        <f t="shared" si="14"/>
        <v>10.61696755</v>
      </c>
      <c r="BG981" s="333">
        <f t="shared" si="15"/>
        <v>45.8889965</v>
      </c>
      <c r="BH981" s="902">
        <v>36617.0</v>
      </c>
      <c r="BI981" s="462" t="s">
        <v>845</v>
      </c>
      <c r="BJ981" s="319" t="s">
        <v>845</v>
      </c>
      <c r="BK981" s="319" t="s">
        <v>845</v>
      </c>
      <c r="BL981" s="319" t="s">
        <v>845</v>
      </c>
      <c r="BM981" s="319" t="s">
        <v>845</v>
      </c>
      <c r="BN981" s="319" t="s">
        <v>845</v>
      </c>
      <c r="BO981" s="319" t="s">
        <v>845</v>
      </c>
      <c r="BP981" s="319" t="s">
        <v>845</v>
      </c>
      <c r="BQ981" s="319" t="s">
        <v>845</v>
      </c>
      <c r="BR981" s="324" t="s">
        <v>845</v>
      </c>
      <c r="BS981" s="330">
        <f t="shared" si="66"/>
        <v>0</v>
      </c>
      <c r="BT981" s="331">
        <f t="shared" si="67"/>
        <v>0</v>
      </c>
      <c r="BU981" s="331"/>
      <c r="BV981" s="903"/>
      <c r="BW981" s="330"/>
      <c r="BX981" s="331"/>
      <c r="BY981" s="331"/>
      <c r="BZ981" s="340"/>
      <c r="CA981" s="462" t="s">
        <v>845</v>
      </c>
      <c r="CB981" s="319" t="s">
        <v>845</v>
      </c>
      <c r="CC981" s="319" t="s">
        <v>845</v>
      </c>
      <c r="CD981" s="319" t="s">
        <v>845</v>
      </c>
      <c r="CE981" s="319" t="s">
        <v>845</v>
      </c>
      <c r="CF981" s="319" t="s">
        <v>845</v>
      </c>
      <c r="CG981" s="319" t="s">
        <v>845</v>
      </c>
      <c r="CH981" s="319" t="s">
        <v>845</v>
      </c>
      <c r="CI981" s="319" t="s">
        <v>845</v>
      </c>
      <c r="CJ981" s="327" t="s">
        <v>845</v>
      </c>
      <c r="CK981" s="342">
        <f t="shared" si="18"/>
        <v>0</v>
      </c>
      <c r="CL981" s="333">
        <f t="shared" si="19"/>
        <v>0</v>
      </c>
      <c r="CM981" s="829"/>
      <c r="CN981" s="333"/>
      <c r="CO981" s="333"/>
      <c r="CP981" s="333"/>
    </row>
    <row r="982">
      <c r="B982" s="462" t="s">
        <v>1652</v>
      </c>
      <c r="C982" s="417">
        <v>44404.0</v>
      </c>
      <c r="D982" s="318"/>
      <c r="E982" s="319">
        <v>3.0</v>
      </c>
      <c r="F982" s="324" t="s">
        <v>1656</v>
      </c>
      <c r="G982" s="321">
        <v>0.45868055555555554</v>
      </c>
      <c r="H982" s="323">
        <v>0.4592013888888889</v>
      </c>
      <c r="I982" s="323"/>
      <c r="J982" s="323"/>
      <c r="K982" s="323">
        <v>0.4605902777777778</v>
      </c>
      <c r="L982" s="323">
        <v>0.001388888888888889</v>
      </c>
      <c r="M982" s="319" t="s">
        <v>358</v>
      </c>
      <c r="N982" s="324" t="s">
        <v>187</v>
      </c>
      <c r="O982" s="419" t="s">
        <v>198</v>
      </c>
      <c r="P982" s="319" t="s">
        <v>213</v>
      </c>
      <c r="Q982" s="318"/>
      <c r="R982" s="326">
        <v>10.7</v>
      </c>
      <c r="S982" s="319">
        <v>10.9</v>
      </c>
      <c r="T982" s="324">
        <v>3.0</v>
      </c>
      <c r="U982" s="319">
        <v>2.0</v>
      </c>
      <c r="V982" s="319"/>
      <c r="W982" s="319"/>
      <c r="X982" s="319"/>
      <c r="Y982" s="319"/>
      <c r="Z982" s="319" t="s">
        <v>343</v>
      </c>
      <c r="AA982" s="319"/>
      <c r="AB982" s="319" t="s">
        <v>384</v>
      </c>
      <c r="AC982" s="327">
        <v>6.0</v>
      </c>
      <c r="AD982" s="319"/>
      <c r="AE982" s="319"/>
      <c r="AF982" s="319"/>
      <c r="AG982" s="319"/>
      <c r="AH982" s="319"/>
      <c r="AI982" s="319"/>
      <c r="AJ982" s="327"/>
      <c r="AK982" s="328"/>
      <c r="AL982" s="319"/>
      <c r="AM982" s="319"/>
      <c r="AN982" s="319"/>
      <c r="AO982" s="319"/>
      <c r="AP982" s="319"/>
      <c r="AQ982" s="319"/>
      <c r="AR982" s="319"/>
      <c r="AS982" s="327"/>
      <c r="AT982" s="461" t="s">
        <v>182</v>
      </c>
      <c r="AU982" s="345" t="s">
        <v>845</v>
      </c>
      <c r="AV982" s="330">
        <f>SQRT(($R982-Infrastructure!J$3)^2+($S982-Infrastructure!K$3)^2)</f>
        <v>21.09502311</v>
      </c>
      <c r="AW982" s="331">
        <f>SQRT(($R982-Infrastructure!J$4)^2+($S982-Infrastructure!K$4)^2)</f>
        <v>12.98499134</v>
      </c>
      <c r="AX982" s="331">
        <f>SQRT(($R982-Infrastructure!J$5)^2+($S982-Infrastructure!K$5)^2)</f>
        <v>12.43543325</v>
      </c>
      <c r="AY982" s="331">
        <f>SQRT(($R982-Infrastructure!J$6)^2+($S982-Infrastructure!K$6)^2)</f>
        <v>10.61696755</v>
      </c>
      <c r="AZ982" s="331">
        <f>SQRT(($R982-Infrastructure!J$7)^2+($S982-Infrastructure!K$7)^2)</f>
        <v>14.43606595</v>
      </c>
      <c r="BA982" s="331">
        <f>SQRT(($R982-Infrastructure!J$8)^2+($S982-Infrastructure!K$8)^2)</f>
        <v>22.10701246</v>
      </c>
      <c r="BB982" s="331">
        <f>SQRT(($R982-Infrastructure!J$9)^2+($S982-Infrastructure!K$9)^2)</f>
        <v>29.86854533</v>
      </c>
      <c r="BC982" s="331">
        <f>SQRT(($R982-Infrastructure!J$10)^2+($S982-Infrastructure!K$10)^2)</f>
        <v>29.58546941</v>
      </c>
      <c r="BD982" s="331">
        <f>SQRT(($R982-Infrastructure!J$11)^2+($S982-Infrastructure!K$11)^2)</f>
        <v>34.61011413</v>
      </c>
      <c r="BE982" s="333">
        <f>SQRT(($R982-Infrastructure!J$12)^2+($S982-Infrastructure!K$12)^2)</f>
        <v>45.8889965</v>
      </c>
      <c r="BF982" s="330">
        <f t="shared" si="14"/>
        <v>10.61696755</v>
      </c>
      <c r="BG982" s="333">
        <f t="shared" si="15"/>
        <v>45.8889965</v>
      </c>
      <c r="BH982" s="902">
        <v>36617.0</v>
      </c>
      <c r="BI982" s="462" t="s">
        <v>845</v>
      </c>
      <c r="BJ982" s="319" t="s">
        <v>845</v>
      </c>
      <c r="BK982" s="319" t="s">
        <v>845</v>
      </c>
      <c r="BL982" s="319" t="s">
        <v>845</v>
      </c>
      <c r="BM982" s="319" t="s">
        <v>845</v>
      </c>
      <c r="BN982" s="319" t="s">
        <v>845</v>
      </c>
      <c r="BO982" s="319" t="s">
        <v>845</v>
      </c>
      <c r="BP982" s="319" t="s">
        <v>845</v>
      </c>
      <c r="BQ982" s="319" t="s">
        <v>845</v>
      </c>
      <c r="BR982" s="324" t="s">
        <v>845</v>
      </c>
      <c r="BS982" s="330">
        <f t="shared" si="66"/>
        <v>0</v>
      </c>
      <c r="BT982" s="331">
        <f t="shared" si="67"/>
        <v>0</v>
      </c>
      <c r="BU982" s="331"/>
      <c r="BV982" s="903"/>
      <c r="BW982" s="330"/>
      <c r="BX982" s="331"/>
      <c r="BY982" s="331"/>
      <c r="BZ982" s="340"/>
      <c r="CA982" s="462" t="s">
        <v>845</v>
      </c>
      <c r="CB982" s="319" t="s">
        <v>845</v>
      </c>
      <c r="CC982" s="319" t="s">
        <v>845</v>
      </c>
      <c r="CD982" s="319" t="s">
        <v>845</v>
      </c>
      <c r="CE982" s="319" t="s">
        <v>845</v>
      </c>
      <c r="CF982" s="319" t="s">
        <v>845</v>
      </c>
      <c r="CG982" s="319" t="s">
        <v>845</v>
      </c>
      <c r="CH982" s="319" t="s">
        <v>845</v>
      </c>
      <c r="CI982" s="319" t="s">
        <v>845</v>
      </c>
      <c r="CJ982" s="327" t="s">
        <v>845</v>
      </c>
      <c r="CK982" s="342">
        <f t="shared" si="18"/>
        <v>0</v>
      </c>
      <c r="CL982" s="333">
        <f t="shared" si="19"/>
        <v>0</v>
      </c>
      <c r="CM982" s="829"/>
      <c r="CN982" s="333"/>
      <c r="CO982" s="333"/>
      <c r="CP982" s="333"/>
    </row>
    <row r="983">
      <c r="B983" s="462" t="s">
        <v>1652</v>
      </c>
      <c r="C983" s="417">
        <v>44404.0</v>
      </c>
      <c r="D983" s="318"/>
      <c r="E983" s="319">
        <v>4.0</v>
      </c>
      <c r="F983" s="324" t="s">
        <v>1657</v>
      </c>
      <c r="G983" s="321">
        <v>0.4625</v>
      </c>
      <c r="H983" s="323">
        <v>0.46336805555555555</v>
      </c>
      <c r="I983" s="323"/>
      <c r="J983" s="323"/>
      <c r="K983" s="323">
        <v>0.46475694444444443</v>
      </c>
      <c r="L983" s="323">
        <v>0.001388888888888889</v>
      </c>
      <c r="M983" s="319" t="s">
        <v>358</v>
      </c>
      <c r="N983" s="324" t="s">
        <v>187</v>
      </c>
      <c r="O983" s="419" t="s">
        <v>198</v>
      </c>
      <c r="P983" s="319" t="s">
        <v>213</v>
      </c>
      <c r="Q983" s="318"/>
      <c r="R983" s="326">
        <v>10.7</v>
      </c>
      <c r="S983" s="319">
        <v>10.9</v>
      </c>
      <c r="T983" s="324">
        <v>3.0</v>
      </c>
      <c r="U983" s="319">
        <v>5.0</v>
      </c>
      <c r="V983" s="319"/>
      <c r="W983" s="319"/>
      <c r="X983" s="319"/>
      <c r="Y983" s="319"/>
      <c r="Z983" s="319" t="s">
        <v>343</v>
      </c>
      <c r="AA983" s="319"/>
      <c r="AB983" s="319" t="s">
        <v>388</v>
      </c>
      <c r="AC983" s="327">
        <v>8.0</v>
      </c>
      <c r="AD983" s="319"/>
      <c r="AE983" s="319"/>
      <c r="AF983" s="319"/>
      <c r="AG983" s="319"/>
      <c r="AH983" s="319"/>
      <c r="AI983" s="319"/>
      <c r="AJ983" s="327"/>
      <c r="AK983" s="328"/>
      <c r="AL983" s="319"/>
      <c r="AM983" s="319"/>
      <c r="AN983" s="319"/>
      <c r="AO983" s="319"/>
      <c r="AP983" s="319"/>
      <c r="AQ983" s="319"/>
      <c r="AR983" s="319"/>
      <c r="AS983" s="327"/>
      <c r="AT983" s="461" t="s">
        <v>182</v>
      </c>
      <c r="AU983" s="345" t="s">
        <v>845</v>
      </c>
      <c r="AV983" s="330">
        <f>SQRT(($R983-Infrastructure!J$3)^2+($S983-Infrastructure!K$3)^2)</f>
        <v>21.09502311</v>
      </c>
      <c r="AW983" s="331">
        <f>SQRT(($R983-Infrastructure!J$4)^2+($S983-Infrastructure!K$4)^2)</f>
        <v>12.98499134</v>
      </c>
      <c r="AX983" s="331">
        <f>SQRT(($R983-Infrastructure!J$5)^2+($S983-Infrastructure!K$5)^2)</f>
        <v>12.43543325</v>
      </c>
      <c r="AY983" s="331">
        <f>SQRT(($R983-Infrastructure!J$6)^2+($S983-Infrastructure!K$6)^2)</f>
        <v>10.61696755</v>
      </c>
      <c r="AZ983" s="331">
        <f>SQRT(($R983-Infrastructure!J$7)^2+($S983-Infrastructure!K$7)^2)</f>
        <v>14.43606595</v>
      </c>
      <c r="BA983" s="331">
        <f>SQRT(($R983-Infrastructure!J$8)^2+($S983-Infrastructure!K$8)^2)</f>
        <v>22.10701246</v>
      </c>
      <c r="BB983" s="331">
        <f>SQRT(($R983-Infrastructure!J$9)^2+($S983-Infrastructure!K$9)^2)</f>
        <v>29.86854533</v>
      </c>
      <c r="BC983" s="331">
        <f>SQRT(($R983-Infrastructure!J$10)^2+($S983-Infrastructure!K$10)^2)</f>
        <v>29.58546941</v>
      </c>
      <c r="BD983" s="331">
        <f>SQRT(($R983-Infrastructure!J$11)^2+($S983-Infrastructure!K$11)^2)</f>
        <v>34.61011413</v>
      </c>
      <c r="BE983" s="333">
        <f>SQRT(($R983-Infrastructure!J$12)^2+($S983-Infrastructure!K$12)^2)</f>
        <v>45.8889965</v>
      </c>
      <c r="BF983" s="330">
        <f t="shared" si="14"/>
        <v>10.61696755</v>
      </c>
      <c r="BG983" s="333">
        <f t="shared" si="15"/>
        <v>45.8889965</v>
      </c>
      <c r="BH983" s="902">
        <v>36617.0</v>
      </c>
      <c r="BI983" s="462" t="s">
        <v>845</v>
      </c>
      <c r="BJ983" s="319" t="s">
        <v>845</v>
      </c>
      <c r="BK983" s="319" t="s">
        <v>845</v>
      </c>
      <c r="BL983" s="319" t="s">
        <v>845</v>
      </c>
      <c r="BM983" s="319" t="s">
        <v>845</v>
      </c>
      <c r="BN983" s="319" t="s">
        <v>845</v>
      </c>
      <c r="BO983" s="319" t="s">
        <v>845</v>
      </c>
      <c r="BP983" s="319" t="s">
        <v>845</v>
      </c>
      <c r="BQ983" s="319" t="s">
        <v>845</v>
      </c>
      <c r="BR983" s="324" t="s">
        <v>845</v>
      </c>
      <c r="BS983" s="330">
        <f t="shared" si="66"/>
        <v>0</v>
      </c>
      <c r="BT983" s="331">
        <f t="shared" si="67"/>
        <v>0</v>
      </c>
      <c r="BU983" s="331"/>
      <c r="BV983" s="903"/>
      <c r="BW983" s="330"/>
      <c r="BX983" s="331"/>
      <c r="BY983" s="331"/>
      <c r="BZ983" s="340"/>
      <c r="CA983" s="462" t="s">
        <v>845</v>
      </c>
      <c r="CB983" s="319" t="s">
        <v>845</v>
      </c>
      <c r="CC983" s="319" t="s">
        <v>845</v>
      </c>
      <c r="CD983" s="319" t="s">
        <v>845</v>
      </c>
      <c r="CE983" s="319" t="s">
        <v>845</v>
      </c>
      <c r="CF983" s="319" t="s">
        <v>845</v>
      </c>
      <c r="CG983" s="319" t="s">
        <v>845</v>
      </c>
      <c r="CH983" s="319" t="s">
        <v>845</v>
      </c>
      <c r="CI983" s="319" t="s">
        <v>845</v>
      </c>
      <c r="CJ983" s="327" t="s">
        <v>845</v>
      </c>
      <c r="CK983" s="342">
        <f t="shared" si="18"/>
        <v>0</v>
      </c>
      <c r="CL983" s="333">
        <f t="shared" si="19"/>
        <v>0</v>
      </c>
      <c r="CM983" s="829"/>
      <c r="CN983" s="333"/>
      <c r="CO983" s="333"/>
      <c r="CP983" s="333"/>
    </row>
    <row r="984">
      <c r="B984" s="462" t="s">
        <v>1652</v>
      </c>
      <c r="C984" s="417">
        <v>44404.0</v>
      </c>
      <c r="D984" s="318"/>
      <c r="E984" s="319">
        <v>5.0</v>
      </c>
      <c r="F984" s="324" t="s">
        <v>1658</v>
      </c>
      <c r="G984" s="321">
        <v>0.465625</v>
      </c>
      <c r="H984" s="323">
        <v>0.46597222222222223</v>
      </c>
      <c r="I984" s="323"/>
      <c r="J984" s="323"/>
      <c r="K984" s="323">
        <v>0.4673611111111111</v>
      </c>
      <c r="L984" s="323">
        <v>0.001388888888888889</v>
      </c>
      <c r="M984" s="319" t="s">
        <v>358</v>
      </c>
      <c r="N984" s="324" t="s">
        <v>187</v>
      </c>
      <c r="O984" s="419" t="s">
        <v>198</v>
      </c>
      <c r="P984" s="319" t="s">
        <v>213</v>
      </c>
      <c r="Q984" s="318"/>
      <c r="R984" s="326">
        <v>10.7</v>
      </c>
      <c r="S984" s="319">
        <v>10.9</v>
      </c>
      <c r="T984" s="324">
        <v>3.0</v>
      </c>
      <c r="U984" s="319">
        <v>4.0</v>
      </c>
      <c r="V984" s="319"/>
      <c r="W984" s="319"/>
      <c r="X984" s="319"/>
      <c r="Y984" s="319"/>
      <c r="Z984" s="319" t="s">
        <v>343</v>
      </c>
      <c r="AA984" s="319"/>
      <c r="AB984" s="319" t="s">
        <v>388</v>
      </c>
      <c r="AC984" s="327">
        <v>8.0</v>
      </c>
      <c r="AD984" s="319"/>
      <c r="AE984" s="319"/>
      <c r="AF984" s="319"/>
      <c r="AG984" s="319"/>
      <c r="AH984" s="319"/>
      <c r="AI984" s="319"/>
      <c r="AJ984" s="327"/>
      <c r="AK984" s="328"/>
      <c r="AL984" s="319"/>
      <c r="AM984" s="319"/>
      <c r="AN984" s="319"/>
      <c r="AO984" s="319"/>
      <c r="AP984" s="319"/>
      <c r="AQ984" s="319"/>
      <c r="AR984" s="319"/>
      <c r="AS984" s="327"/>
      <c r="AT984" s="461" t="s">
        <v>182</v>
      </c>
      <c r="AU984" s="345" t="s">
        <v>845</v>
      </c>
      <c r="AV984" s="330">
        <f>SQRT(($R984-Infrastructure!J$3)^2+($S984-Infrastructure!K$3)^2)</f>
        <v>21.09502311</v>
      </c>
      <c r="AW984" s="331">
        <f>SQRT(($R984-Infrastructure!J$4)^2+($S984-Infrastructure!K$4)^2)</f>
        <v>12.98499134</v>
      </c>
      <c r="AX984" s="331">
        <f>SQRT(($R984-Infrastructure!J$5)^2+($S984-Infrastructure!K$5)^2)</f>
        <v>12.43543325</v>
      </c>
      <c r="AY984" s="331">
        <f>SQRT(($R984-Infrastructure!J$6)^2+($S984-Infrastructure!K$6)^2)</f>
        <v>10.61696755</v>
      </c>
      <c r="AZ984" s="331">
        <f>SQRT(($R984-Infrastructure!J$7)^2+($S984-Infrastructure!K$7)^2)</f>
        <v>14.43606595</v>
      </c>
      <c r="BA984" s="331">
        <f>SQRT(($R984-Infrastructure!J$8)^2+($S984-Infrastructure!K$8)^2)</f>
        <v>22.10701246</v>
      </c>
      <c r="BB984" s="331">
        <f>SQRT(($R984-Infrastructure!J$9)^2+($S984-Infrastructure!K$9)^2)</f>
        <v>29.86854533</v>
      </c>
      <c r="BC984" s="331">
        <f>SQRT(($R984-Infrastructure!J$10)^2+($S984-Infrastructure!K$10)^2)</f>
        <v>29.58546941</v>
      </c>
      <c r="BD984" s="331">
        <f>SQRT(($R984-Infrastructure!J$11)^2+($S984-Infrastructure!K$11)^2)</f>
        <v>34.61011413</v>
      </c>
      <c r="BE984" s="333">
        <f>SQRT(($R984-Infrastructure!J$12)^2+($S984-Infrastructure!K$12)^2)</f>
        <v>45.8889965</v>
      </c>
      <c r="BF984" s="330">
        <f t="shared" si="14"/>
        <v>10.61696755</v>
      </c>
      <c r="BG984" s="333">
        <f t="shared" si="15"/>
        <v>45.8889965</v>
      </c>
      <c r="BH984" s="902">
        <v>36617.0</v>
      </c>
      <c r="BI984" s="462" t="s">
        <v>845</v>
      </c>
      <c r="BJ984" s="319" t="s">
        <v>845</v>
      </c>
      <c r="BK984" s="319" t="s">
        <v>845</v>
      </c>
      <c r="BL984" s="319" t="s">
        <v>845</v>
      </c>
      <c r="BM984" s="319" t="s">
        <v>845</v>
      </c>
      <c r="BN984" s="319" t="s">
        <v>845</v>
      </c>
      <c r="BO984" s="319" t="s">
        <v>845</v>
      </c>
      <c r="BP984" s="319" t="s">
        <v>845</v>
      </c>
      <c r="BQ984" s="319" t="s">
        <v>845</v>
      </c>
      <c r="BR984" s="324" t="s">
        <v>845</v>
      </c>
      <c r="BS984" s="330">
        <f t="shared" si="66"/>
        <v>0</v>
      </c>
      <c r="BT984" s="331">
        <f t="shared" si="67"/>
        <v>0</v>
      </c>
      <c r="BU984" s="331"/>
      <c r="BV984" s="903"/>
      <c r="BW984" s="330"/>
      <c r="BX984" s="331"/>
      <c r="BY984" s="331"/>
      <c r="BZ984" s="340"/>
      <c r="CA984" s="462" t="s">
        <v>845</v>
      </c>
      <c r="CB984" s="319" t="s">
        <v>845</v>
      </c>
      <c r="CC984" s="319" t="s">
        <v>845</v>
      </c>
      <c r="CD984" s="319" t="s">
        <v>845</v>
      </c>
      <c r="CE984" s="319" t="s">
        <v>845</v>
      </c>
      <c r="CF984" s="319" t="s">
        <v>845</v>
      </c>
      <c r="CG984" s="319" t="s">
        <v>845</v>
      </c>
      <c r="CH984" s="319" t="s">
        <v>845</v>
      </c>
      <c r="CI984" s="319" t="s">
        <v>845</v>
      </c>
      <c r="CJ984" s="327" t="s">
        <v>845</v>
      </c>
      <c r="CK984" s="342">
        <f t="shared" si="18"/>
        <v>0</v>
      </c>
      <c r="CL984" s="333">
        <f t="shared" si="19"/>
        <v>0</v>
      </c>
      <c r="CM984" s="829"/>
      <c r="CN984" s="333"/>
      <c r="CO984" s="333"/>
      <c r="CP984" s="333"/>
    </row>
    <row r="985">
      <c r="B985" s="462" t="s">
        <v>1652</v>
      </c>
      <c r="C985" s="417">
        <v>44404.0</v>
      </c>
      <c r="D985" s="318"/>
      <c r="E985" s="319">
        <v>6.0</v>
      </c>
      <c r="F985" s="324" t="s">
        <v>1659</v>
      </c>
      <c r="G985" s="321">
        <v>0.46805555555555556</v>
      </c>
      <c r="H985" s="323">
        <v>0.4684027777777778</v>
      </c>
      <c r="I985" s="323"/>
      <c r="J985" s="323"/>
      <c r="K985" s="323">
        <v>0.46979166666666666</v>
      </c>
      <c r="L985" s="323">
        <v>0.001388888888888889</v>
      </c>
      <c r="M985" s="319" t="s">
        <v>358</v>
      </c>
      <c r="N985" s="324" t="s">
        <v>187</v>
      </c>
      <c r="O985" s="419" t="s">
        <v>198</v>
      </c>
      <c r="P985" s="319" t="s">
        <v>213</v>
      </c>
      <c r="Q985" s="318"/>
      <c r="R985" s="326">
        <v>10.7</v>
      </c>
      <c r="S985" s="319">
        <v>10.9</v>
      </c>
      <c r="T985" s="324">
        <v>3.0</v>
      </c>
      <c r="U985" s="319">
        <v>3.0</v>
      </c>
      <c r="V985" s="319"/>
      <c r="W985" s="319"/>
      <c r="X985" s="319"/>
      <c r="Y985" s="319"/>
      <c r="Z985" s="319" t="s">
        <v>343</v>
      </c>
      <c r="AA985" s="319"/>
      <c r="AB985" s="319" t="s">
        <v>388</v>
      </c>
      <c r="AC985" s="327">
        <v>8.0</v>
      </c>
      <c r="AD985" s="319"/>
      <c r="AE985" s="319"/>
      <c r="AF985" s="319"/>
      <c r="AG985" s="319"/>
      <c r="AH985" s="319"/>
      <c r="AI985" s="319"/>
      <c r="AJ985" s="327"/>
      <c r="AK985" s="328"/>
      <c r="AL985" s="319"/>
      <c r="AM985" s="319"/>
      <c r="AN985" s="319"/>
      <c r="AO985" s="319"/>
      <c r="AP985" s="319"/>
      <c r="AQ985" s="319"/>
      <c r="AR985" s="319"/>
      <c r="AS985" s="327"/>
      <c r="AT985" s="461" t="s">
        <v>182</v>
      </c>
      <c r="AU985" s="345" t="s">
        <v>845</v>
      </c>
      <c r="AV985" s="330">
        <f>SQRT(($R985-Infrastructure!J$3)^2+($S985-Infrastructure!K$3)^2)</f>
        <v>21.09502311</v>
      </c>
      <c r="AW985" s="331">
        <f>SQRT(($R985-Infrastructure!J$4)^2+($S985-Infrastructure!K$4)^2)</f>
        <v>12.98499134</v>
      </c>
      <c r="AX985" s="331">
        <f>SQRT(($R985-Infrastructure!J$5)^2+($S985-Infrastructure!K$5)^2)</f>
        <v>12.43543325</v>
      </c>
      <c r="AY985" s="331">
        <f>SQRT(($R985-Infrastructure!J$6)^2+($S985-Infrastructure!K$6)^2)</f>
        <v>10.61696755</v>
      </c>
      <c r="AZ985" s="331">
        <f>SQRT(($R985-Infrastructure!J$7)^2+($S985-Infrastructure!K$7)^2)</f>
        <v>14.43606595</v>
      </c>
      <c r="BA985" s="331">
        <f>SQRT(($R985-Infrastructure!J$8)^2+($S985-Infrastructure!K$8)^2)</f>
        <v>22.10701246</v>
      </c>
      <c r="BB985" s="331">
        <f>SQRT(($R985-Infrastructure!J$9)^2+($S985-Infrastructure!K$9)^2)</f>
        <v>29.86854533</v>
      </c>
      <c r="BC985" s="331">
        <f>SQRT(($R985-Infrastructure!J$10)^2+($S985-Infrastructure!K$10)^2)</f>
        <v>29.58546941</v>
      </c>
      <c r="BD985" s="331">
        <f>SQRT(($R985-Infrastructure!J$11)^2+($S985-Infrastructure!K$11)^2)</f>
        <v>34.61011413</v>
      </c>
      <c r="BE985" s="333">
        <f>SQRT(($R985-Infrastructure!J$12)^2+($S985-Infrastructure!K$12)^2)</f>
        <v>45.8889965</v>
      </c>
      <c r="BF985" s="330">
        <f t="shared" si="14"/>
        <v>10.61696755</v>
      </c>
      <c r="BG985" s="333">
        <f t="shared" si="15"/>
        <v>45.8889965</v>
      </c>
      <c r="BH985" s="902">
        <v>36617.0</v>
      </c>
      <c r="BI985" s="462" t="s">
        <v>845</v>
      </c>
      <c r="BJ985" s="319" t="s">
        <v>845</v>
      </c>
      <c r="BK985" s="319" t="s">
        <v>845</v>
      </c>
      <c r="BL985" s="319" t="s">
        <v>845</v>
      </c>
      <c r="BM985" s="319" t="s">
        <v>845</v>
      </c>
      <c r="BN985" s="319" t="s">
        <v>845</v>
      </c>
      <c r="BO985" s="319" t="s">
        <v>845</v>
      </c>
      <c r="BP985" s="319" t="s">
        <v>845</v>
      </c>
      <c r="BQ985" s="319" t="s">
        <v>845</v>
      </c>
      <c r="BR985" s="324" t="s">
        <v>845</v>
      </c>
      <c r="BS985" s="330">
        <f t="shared" si="66"/>
        <v>0</v>
      </c>
      <c r="BT985" s="331">
        <f t="shared" si="67"/>
        <v>0</v>
      </c>
      <c r="BU985" s="331"/>
      <c r="BV985" s="903"/>
      <c r="BW985" s="330"/>
      <c r="BX985" s="331"/>
      <c r="BY985" s="331"/>
      <c r="BZ985" s="340"/>
      <c r="CA985" s="462" t="s">
        <v>845</v>
      </c>
      <c r="CB985" s="319" t="s">
        <v>845</v>
      </c>
      <c r="CC985" s="319" t="s">
        <v>845</v>
      </c>
      <c r="CD985" s="319" t="s">
        <v>845</v>
      </c>
      <c r="CE985" s="319" t="s">
        <v>845</v>
      </c>
      <c r="CF985" s="319" t="s">
        <v>845</v>
      </c>
      <c r="CG985" s="319" t="s">
        <v>845</v>
      </c>
      <c r="CH985" s="319" t="s">
        <v>845</v>
      </c>
      <c r="CI985" s="319" t="s">
        <v>845</v>
      </c>
      <c r="CJ985" s="327" t="s">
        <v>845</v>
      </c>
      <c r="CK985" s="342">
        <f t="shared" si="18"/>
        <v>0</v>
      </c>
      <c r="CL985" s="333">
        <f t="shared" si="19"/>
        <v>0</v>
      </c>
      <c r="CM985" s="829"/>
      <c r="CN985" s="333"/>
      <c r="CO985" s="333"/>
      <c r="CP985" s="333"/>
    </row>
    <row r="986">
      <c r="B986" s="462" t="s">
        <v>1652</v>
      </c>
      <c r="C986" s="417">
        <v>44404.0</v>
      </c>
      <c r="D986" s="318"/>
      <c r="E986" s="319">
        <v>7.0</v>
      </c>
      <c r="F986" s="324" t="s">
        <v>1660</v>
      </c>
      <c r="G986" s="321">
        <v>0.4704861111111111</v>
      </c>
      <c r="H986" s="323">
        <v>0.4708333333333333</v>
      </c>
      <c r="I986" s="323"/>
      <c r="J986" s="323"/>
      <c r="K986" s="323">
        <v>0.4722222222222222</v>
      </c>
      <c r="L986" s="323">
        <v>0.001388888888888889</v>
      </c>
      <c r="M986" s="319" t="s">
        <v>358</v>
      </c>
      <c r="N986" s="324" t="s">
        <v>187</v>
      </c>
      <c r="O986" s="419" t="s">
        <v>198</v>
      </c>
      <c r="P986" s="319" t="s">
        <v>213</v>
      </c>
      <c r="Q986" s="318"/>
      <c r="R986" s="326">
        <v>10.7</v>
      </c>
      <c r="S986" s="319">
        <v>10.9</v>
      </c>
      <c r="T986" s="324">
        <v>3.0</v>
      </c>
      <c r="U986" s="319">
        <v>2.0</v>
      </c>
      <c r="V986" s="319"/>
      <c r="W986" s="319"/>
      <c r="X986" s="319"/>
      <c r="Y986" s="319"/>
      <c r="Z986" s="319" t="s">
        <v>343</v>
      </c>
      <c r="AA986" s="319"/>
      <c r="AB986" s="319" t="s">
        <v>388</v>
      </c>
      <c r="AC986" s="327">
        <v>8.0</v>
      </c>
      <c r="AD986" s="319"/>
      <c r="AE986" s="319"/>
      <c r="AF986" s="319"/>
      <c r="AG986" s="319"/>
      <c r="AH986" s="319"/>
      <c r="AI986" s="319"/>
      <c r="AJ986" s="327"/>
      <c r="AK986" s="328"/>
      <c r="AL986" s="319"/>
      <c r="AM986" s="319"/>
      <c r="AN986" s="319"/>
      <c r="AO986" s="319"/>
      <c r="AP986" s="319"/>
      <c r="AQ986" s="319"/>
      <c r="AR986" s="319"/>
      <c r="AS986" s="327"/>
      <c r="AT986" s="461" t="s">
        <v>182</v>
      </c>
      <c r="AU986" s="345" t="s">
        <v>845</v>
      </c>
      <c r="AV986" s="330">
        <f>SQRT(($R986-Infrastructure!J$3)^2+($S986-Infrastructure!K$3)^2)</f>
        <v>21.09502311</v>
      </c>
      <c r="AW986" s="331">
        <f>SQRT(($R986-Infrastructure!J$4)^2+($S986-Infrastructure!K$4)^2)</f>
        <v>12.98499134</v>
      </c>
      <c r="AX986" s="331">
        <f>SQRT(($R986-Infrastructure!J$5)^2+($S986-Infrastructure!K$5)^2)</f>
        <v>12.43543325</v>
      </c>
      <c r="AY986" s="331">
        <f>SQRT(($R986-Infrastructure!J$6)^2+($S986-Infrastructure!K$6)^2)</f>
        <v>10.61696755</v>
      </c>
      <c r="AZ986" s="331">
        <f>SQRT(($R986-Infrastructure!J$7)^2+($S986-Infrastructure!K$7)^2)</f>
        <v>14.43606595</v>
      </c>
      <c r="BA986" s="331">
        <f>SQRT(($R986-Infrastructure!J$8)^2+($S986-Infrastructure!K$8)^2)</f>
        <v>22.10701246</v>
      </c>
      <c r="BB986" s="331">
        <f>SQRT(($R986-Infrastructure!J$9)^2+($S986-Infrastructure!K$9)^2)</f>
        <v>29.86854533</v>
      </c>
      <c r="BC986" s="331">
        <f>SQRT(($R986-Infrastructure!J$10)^2+($S986-Infrastructure!K$10)^2)</f>
        <v>29.58546941</v>
      </c>
      <c r="BD986" s="331">
        <f>SQRT(($R986-Infrastructure!J$11)^2+($S986-Infrastructure!K$11)^2)</f>
        <v>34.61011413</v>
      </c>
      <c r="BE986" s="333">
        <f>SQRT(($R986-Infrastructure!J$12)^2+($S986-Infrastructure!K$12)^2)</f>
        <v>45.8889965</v>
      </c>
      <c r="BF986" s="330">
        <f t="shared" si="14"/>
        <v>10.61696755</v>
      </c>
      <c r="BG986" s="333">
        <f t="shared" si="15"/>
        <v>45.8889965</v>
      </c>
      <c r="BH986" s="902">
        <v>36617.0</v>
      </c>
      <c r="BI986" s="462" t="s">
        <v>845</v>
      </c>
      <c r="BJ986" s="319" t="s">
        <v>845</v>
      </c>
      <c r="BK986" s="319" t="s">
        <v>845</v>
      </c>
      <c r="BL986" s="319" t="s">
        <v>845</v>
      </c>
      <c r="BM986" s="319" t="s">
        <v>845</v>
      </c>
      <c r="BN986" s="319" t="s">
        <v>845</v>
      </c>
      <c r="BO986" s="319" t="s">
        <v>845</v>
      </c>
      <c r="BP986" s="319" t="s">
        <v>845</v>
      </c>
      <c r="BQ986" s="319" t="s">
        <v>845</v>
      </c>
      <c r="BR986" s="324" t="s">
        <v>845</v>
      </c>
      <c r="BS986" s="330">
        <f t="shared" si="66"/>
        <v>0</v>
      </c>
      <c r="BT986" s="331">
        <f t="shared" si="67"/>
        <v>0</v>
      </c>
      <c r="BU986" s="331"/>
      <c r="BV986" s="903"/>
      <c r="BW986" s="330"/>
      <c r="BX986" s="331"/>
      <c r="BY986" s="331"/>
      <c r="BZ986" s="340"/>
      <c r="CA986" s="462" t="s">
        <v>845</v>
      </c>
      <c r="CB986" s="319" t="s">
        <v>845</v>
      </c>
      <c r="CC986" s="319" t="s">
        <v>845</v>
      </c>
      <c r="CD986" s="319" t="s">
        <v>845</v>
      </c>
      <c r="CE986" s="319" t="s">
        <v>845</v>
      </c>
      <c r="CF986" s="319" t="s">
        <v>845</v>
      </c>
      <c r="CG986" s="319" t="s">
        <v>845</v>
      </c>
      <c r="CH986" s="319" t="s">
        <v>845</v>
      </c>
      <c r="CI986" s="319" t="s">
        <v>845</v>
      </c>
      <c r="CJ986" s="327" t="s">
        <v>845</v>
      </c>
      <c r="CK986" s="342">
        <f t="shared" si="18"/>
        <v>0</v>
      </c>
      <c r="CL986" s="333">
        <f t="shared" si="19"/>
        <v>0</v>
      </c>
      <c r="CM986" s="829"/>
      <c r="CN986" s="333"/>
      <c r="CO986" s="333"/>
      <c r="CP986" s="333"/>
    </row>
    <row r="987">
      <c r="B987" s="462" t="s">
        <v>1652</v>
      </c>
      <c r="C987" s="417">
        <v>44404.0</v>
      </c>
      <c r="D987" s="318"/>
      <c r="E987" s="319">
        <v>8.0</v>
      </c>
      <c r="F987" s="324" t="s">
        <v>1661</v>
      </c>
      <c r="G987" s="321">
        <v>0.4732638888888889</v>
      </c>
      <c r="H987" s="323">
        <v>0.4739583333333333</v>
      </c>
      <c r="I987" s="323"/>
      <c r="J987" s="323"/>
      <c r="K987" s="323">
        <v>0.4753472222222222</v>
      </c>
      <c r="L987" s="323">
        <v>0.001388888888888889</v>
      </c>
      <c r="M987" s="319" t="s">
        <v>358</v>
      </c>
      <c r="N987" s="324" t="s">
        <v>187</v>
      </c>
      <c r="O987" s="419" t="s">
        <v>204</v>
      </c>
      <c r="P987" s="319" t="s">
        <v>262</v>
      </c>
      <c r="Q987" s="318"/>
      <c r="R987" s="326">
        <v>17.9</v>
      </c>
      <c r="S987" s="319">
        <v>3.6</v>
      </c>
      <c r="T987" s="324">
        <v>2.6</v>
      </c>
      <c r="U987" s="319">
        <v>5.0</v>
      </c>
      <c r="V987" s="319"/>
      <c r="W987" s="319"/>
      <c r="X987" s="319"/>
      <c r="Y987" s="319"/>
      <c r="Z987" s="319" t="s">
        <v>365</v>
      </c>
      <c r="AA987" s="319"/>
      <c r="AB987" s="319" t="s">
        <v>388</v>
      </c>
      <c r="AC987" s="327">
        <v>8.0</v>
      </c>
      <c r="AD987" s="319"/>
      <c r="AE987" s="319"/>
      <c r="AF987" s="319"/>
      <c r="AG987" s="319"/>
      <c r="AH987" s="319"/>
      <c r="AI987" s="319"/>
      <c r="AJ987" s="327"/>
      <c r="AK987" s="328"/>
      <c r="AL987" s="319"/>
      <c r="AM987" s="319"/>
      <c r="AN987" s="319"/>
      <c r="AO987" s="319"/>
      <c r="AP987" s="319"/>
      <c r="AQ987" s="319"/>
      <c r="AR987" s="319"/>
      <c r="AS987" s="327"/>
      <c r="AT987" s="461" t="s">
        <v>182</v>
      </c>
      <c r="AU987" s="345" t="s">
        <v>845</v>
      </c>
      <c r="AV987" s="330">
        <f>SQRT(($R987-Infrastructure!J$3)^2+($S987-Infrastructure!K$3)^2)</f>
        <v>31.16616755</v>
      </c>
      <c r="AW987" s="331">
        <f>SQRT(($R987-Infrastructure!J$4)^2+($S987-Infrastructure!K$4)^2)</f>
        <v>23.08419373</v>
      </c>
      <c r="AX987" s="331">
        <f>SQRT(($R987-Infrastructure!J$5)^2+($S987-Infrastructure!K$5)^2)</f>
        <v>18.26170857</v>
      </c>
      <c r="AY987" s="331">
        <f>SQRT(($R987-Infrastructure!J$6)^2+($S987-Infrastructure!K$6)^2)</f>
        <v>8.469356528</v>
      </c>
      <c r="AZ987" s="331">
        <f>SQRT(($R987-Infrastructure!J$7)^2+($S987-Infrastructure!K$7)^2)</f>
        <v>4.201190308</v>
      </c>
      <c r="BA987" s="331">
        <f>SQRT(($R987-Infrastructure!J$8)^2+($S987-Infrastructure!K$8)^2)</f>
        <v>12.63843345</v>
      </c>
      <c r="BB987" s="331">
        <f>SQRT(($R987-Infrastructure!J$9)^2+($S987-Infrastructure!K$9)^2)</f>
        <v>22.15084648</v>
      </c>
      <c r="BC987" s="331">
        <f>SQRT(($R987-Infrastructure!J$10)^2+($S987-Infrastructure!K$10)^2)</f>
        <v>24.86704647</v>
      </c>
      <c r="BD987" s="331">
        <f>SQRT(($R987-Infrastructure!J$11)^2+($S987-Infrastructure!K$11)^2)</f>
        <v>33.80014793</v>
      </c>
      <c r="BE987" s="333">
        <f>SQRT(($R987-Infrastructure!J$12)^2+($S987-Infrastructure!K$12)^2)</f>
        <v>52.02470567</v>
      </c>
      <c r="BF987" s="330">
        <f t="shared" si="14"/>
        <v>4.201190308</v>
      </c>
      <c r="BG987" s="333">
        <f t="shared" si="15"/>
        <v>52.02470567</v>
      </c>
      <c r="BH987" s="902">
        <v>36617.0</v>
      </c>
      <c r="BI987" s="462" t="s">
        <v>845</v>
      </c>
      <c r="BJ987" s="319" t="s">
        <v>845</v>
      </c>
      <c r="BK987" s="319" t="s">
        <v>846</v>
      </c>
      <c r="BL987" s="319" t="s">
        <v>845</v>
      </c>
      <c r="BM987" s="319" t="s">
        <v>846</v>
      </c>
      <c r="BN987" s="319" t="s">
        <v>845</v>
      </c>
      <c r="BO987" s="319" t="s">
        <v>846</v>
      </c>
      <c r="BP987" s="319" t="s">
        <v>845</v>
      </c>
      <c r="BQ987" s="319" t="s">
        <v>845</v>
      </c>
      <c r="BR987" s="324" t="s">
        <v>845</v>
      </c>
      <c r="BS987" s="330">
        <f t="shared" si="66"/>
        <v>4.201190308</v>
      </c>
      <c r="BT987" s="331">
        <f t="shared" si="67"/>
        <v>22.15084648</v>
      </c>
      <c r="BU987" s="904">
        <v>0.47358796296296296</v>
      </c>
      <c r="BV987" s="903">
        <f t="shared" ref="BV987:BV989" si="68">BU987-G987</f>
        <v>0.0003240740741</v>
      </c>
      <c r="BW987" s="614">
        <v>18.1</v>
      </c>
      <c r="BX987" s="615">
        <v>11.3</v>
      </c>
      <c r="BY987" s="331">
        <f t="shared" ref="BY987:BY988" si="69">IF(BW987&gt;0, SQRT((R987-BW987)^2+(S987-BX987)^2))</f>
        <v>7.702596965</v>
      </c>
      <c r="BZ987" s="340"/>
      <c r="CA987" s="462" t="s">
        <v>846</v>
      </c>
      <c r="CB987" s="319" t="s">
        <v>845</v>
      </c>
      <c r="CC987" s="319" t="s">
        <v>845</v>
      </c>
      <c r="CD987" s="319" t="s">
        <v>845</v>
      </c>
      <c r="CE987" s="319" t="s">
        <v>845</v>
      </c>
      <c r="CF987" s="319" t="s">
        <v>845</v>
      </c>
      <c r="CG987" s="319" t="s">
        <v>845</v>
      </c>
      <c r="CH987" s="319" t="s">
        <v>845</v>
      </c>
      <c r="CI987" s="319" t="s">
        <v>845</v>
      </c>
      <c r="CJ987" s="327" t="s">
        <v>845</v>
      </c>
      <c r="CK987" s="342">
        <f t="shared" si="18"/>
        <v>31.16616755</v>
      </c>
      <c r="CL987" s="333">
        <f t="shared" si="19"/>
        <v>31.16616755</v>
      </c>
      <c r="CM987" s="829"/>
      <c r="CN987" s="333"/>
      <c r="CO987" s="333"/>
      <c r="CP987" s="333"/>
    </row>
    <row r="988">
      <c r="B988" s="462" t="s">
        <v>1652</v>
      </c>
      <c r="C988" s="417">
        <v>44404.0</v>
      </c>
      <c r="D988" s="318"/>
      <c r="E988" s="319">
        <v>9.0</v>
      </c>
      <c r="F988" s="324" t="s">
        <v>1662</v>
      </c>
      <c r="G988" s="321">
        <v>0.47638888888888886</v>
      </c>
      <c r="H988" s="323">
        <v>0.47673611111111114</v>
      </c>
      <c r="I988" s="323"/>
      <c r="J988" s="323"/>
      <c r="K988" s="323">
        <v>0.478125</v>
      </c>
      <c r="L988" s="323">
        <v>0.001388888888888889</v>
      </c>
      <c r="M988" s="319" t="s">
        <v>358</v>
      </c>
      <c r="N988" s="324" t="s">
        <v>187</v>
      </c>
      <c r="O988" s="419" t="s">
        <v>204</v>
      </c>
      <c r="P988" s="319" t="s">
        <v>262</v>
      </c>
      <c r="Q988" s="318"/>
      <c r="R988" s="326">
        <v>17.9</v>
      </c>
      <c r="S988" s="319">
        <v>3.6</v>
      </c>
      <c r="T988" s="324">
        <v>2.6</v>
      </c>
      <c r="U988" s="319">
        <v>4.0</v>
      </c>
      <c r="V988" s="319"/>
      <c r="W988" s="319"/>
      <c r="X988" s="319"/>
      <c r="Y988" s="319"/>
      <c r="Z988" s="319" t="s">
        <v>365</v>
      </c>
      <c r="AA988" s="319"/>
      <c r="AB988" s="319" t="s">
        <v>388</v>
      </c>
      <c r="AC988" s="327">
        <v>8.0</v>
      </c>
      <c r="AD988" s="319"/>
      <c r="AE988" s="319"/>
      <c r="AF988" s="319"/>
      <c r="AG988" s="319"/>
      <c r="AH988" s="319"/>
      <c r="AI988" s="319"/>
      <c r="AJ988" s="327"/>
      <c r="AK988" s="328"/>
      <c r="AL988" s="319"/>
      <c r="AM988" s="319"/>
      <c r="AN988" s="319"/>
      <c r="AO988" s="319"/>
      <c r="AP988" s="319"/>
      <c r="AQ988" s="319"/>
      <c r="AR988" s="319"/>
      <c r="AS988" s="327"/>
      <c r="AT988" s="461" t="s">
        <v>182</v>
      </c>
      <c r="AU988" s="345" t="s">
        <v>845</v>
      </c>
      <c r="AV988" s="330">
        <f>SQRT(($R988-Infrastructure!J$3)^2+($S988-Infrastructure!K$3)^2)</f>
        <v>31.16616755</v>
      </c>
      <c r="AW988" s="331">
        <f>SQRT(($R988-Infrastructure!J$4)^2+($S988-Infrastructure!K$4)^2)</f>
        <v>23.08419373</v>
      </c>
      <c r="AX988" s="331">
        <f>SQRT(($R988-Infrastructure!J$5)^2+($S988-Infrastructure!K$5)^2)</f>
        <v>18.26170857</v>
      </c>
      <c r="AY988" s="331">
        <f>SQRT(($R988-Infrastructure!J$6)^2+($S988-Infrastructure!K$6)^2)</f>
        <v>8.469356528</v>
      </c>
      <c r="AZ988" s="331">
        <f>SQRT(($R988-Infrastructure!J$7)^2+($S988-Infrastructure!K$7)^2)</f>
        <v>4.201190308</v>
      </c>
      <c r="BA988" s="331">
        <f>SQRT(($R988-Infrastructure!J$8)^2+($S988-Infrastructure!K$8)^2)</f>
        <v>12.63843345</v>
      </c>
      <c r="BB988" s="331">
        <f>SQRT(($R988-Infrastructure!J$9)^2+($S988-Infrastructure!K$9)^2)</f>
        <v>22.15084648</v>
      </c>
      <c r="BC988" s="331">
        <f>SQRT(($R988-Infrastructure!J$10)^2+($S988-Infrastructure!K$10)^2)</f>
        <v>24.86704647</v>
      </c>
      <c r="BD988" s="331">
        <f>SQRT(($R988-Infrastructure!J$11)^2+($S988-Infrastructure!K$11)^2)</f>
        <v>33.80014793</v>
      </c>
      <c r="BE988" s="333">
        <f>SQRT(($R988-Infrastructure!J$12)^2+($S988-Infrastructure!K$12)^2)</f>
        <v>52.02470567</v>
      </c>
      <c r="BF988" s="330">
        <f t="shared" si="14"/>
        <v>4.201190308</v>
      </c>
      <c r="BG988" s="333">
        <f t="shared" si="15"/>
        <v>52.02470567</v>
      </c>
      <c r="BH988" s="902">
        <v>36617.0</v>
      </c>
      <c r="BI988" s="462" t="s">
        <v>845</v>
      </c>
      <c r="BJ988" s="319" t="s">
        <v>845</v>
      </c>
      <c r="BK988" s="319" t="s">
        <v>846</v>
      </c>
      <c r="BL988" s="319" t="s">
        <v>845</v>
      </c>
      <c r="BM988" s="319" t="s">
        <v>846</v>
      </c>
      <c r="BN988" s="319" t="s">
        <v>845</v>
      </c>
      <c r="BO988" s="319" t="s">
        <v>845</v>
      </c>
      <c r="BP988" s="319" t="s">
        <v>845</v>
      </c>
      <c r="BQ988" s="319" t="s">
        <v>845</v>
      </c>
      <c r="BR988" s="324" t="s">
        <v>845</v>
      </c>
      <c r="BS988" s="330">
        <f t="shared" si="66"/>
        <v>4.201190308</v>
      </c>
      <c r="BT988" s="331">
        <f t="shared" si="67"/>
        <v>18.26170857</v>
      </c>
      <c r="BU988" s="904">
        <v>0.4766550925925926</v>
      </c>
      <c r="BV988" s="903">
        <f t="shared" si="68"/>
        <v>0.0002662037037</v>
      </c>
      <c r="BW988" s="614">
        <v>10.4</v>
      </c>
      <c r="BX988" s="615">
        <v>10.9</v>
      </c>
      <c r="BY988" s="331">
        <f t="shared" si="69"/>
        <v>10.46613587</v>
      </c>
      <c r="BZ988" s="340"/>
      <c r="CA988" s="462" t="s">
        <v>846</v>
      </c>
      <c r="CB988" s="319" t="s">
        <v>845</v>
      </c>
      <c r="CC988" s="319" t="s">
        <v>845</v>
      </c>
      <c r="CD988" s="319" t="s">
        <v>845</v>
      </c>
      <c r="CE988" s="319" t="s">
        <v>845</v>
      </c>
      <c r="CF988" s="319" t="s">
        <v>845</v>
      </c>
      <c r="CG988" s="319" t="s">
        <v>845</v>
      </c>
      <c r="CH988" s="319" t="s">
        <v>845</v>
      </c>
      <c r="CI988" s="319" t="s">
        <v>845</v>
      </c>
      <c r="CJ988" s="327" t="s">
        <v>845</v>
      </c>
      <c r="CK988" s="342">
        <f t="shared" si="18"/>
        <v>31.16616755</v>
      </c>
      <c r="CL988" s="333">
        <f t="shared" si="19"/>
        <v>31.16616755</v>
      </c>
      <c r="CM988" s="829"/>
      <c r="CN988" s="333"/>
      <c r="CO988" s="333"/>
      <c r="CP988" s="333"/>
    </row>
    <row r="989">
      <c r="B989" s="462" t="s">
        <v>1652</v>
      </c>
      <c r="C989" s="417">
        <v>44404.0</v>
      </c>
      <c r="D989" s="318"/>
      <c r="E989" s="319">
        <v>10.0</v>
      </c>
      <c r="F989" s="324" t="s">
        <v>1663</v>
      </c>
      <c r="G989" s="321">
        <v>0.47881944444444446</v>
      </c>
      <c r="H989" s="323">
        <v>0.4792824074074074</v>
      </c>
      <c r="I989" s="323"/>
      <c r="J989" s="323"/>
      <c r="K989" s="323">
        <v>0.4806712962962963</v>
      </c>
      <c r="L989" s="323">
        <v>0.001388888888888889</v>
      </c>
      <c r="M989" s="319" t="s">
        <v>358</v>
      </c>
      <c r="N989" s="324" t="s">
        <v>187</v>
      </c>
      <c r="O989" s="419" t="s">
        <v>204</v>
      </c>
      <c r="P989" s="319" t="s">
        <v>262</v>
      </c>
      <c r="Q989" s="318"/>
      <c r="R989" s="326">
        <v>17.9</v>
      </c>
      <c r="S989" s="319">
        <v>3.6</v>
      </c>
      <c r="T989" s="324">
        <v>2.6</v>
      </c>
      <c r="U989" s="319">
        <v>3.0</v>
      </c>
      <c r="V989" s="319"/>
      <c r="W989" s="319"/>
      <c r="X989" s="319"/>
      <c r="Y989" s="319"/>
      <c r="Z989" s="319" t="s">
        <v>365</v>
      </c>
      <c r="AA989" s="319"/>
      <c r="AB989" s="319" t="s">
        <v>388</v>
      </c>
      <c r="AC989" s="327">
        <v>8.0</v>
      </c>
      <c r="AD989" s="319"/>
      <c r="AE989" s="319"/>
      <c r="AF989" s="319"/>
      <c r="AG989" s="319"/>
      <c r="AH989" s="319"/>
      <c r="AI989" s="319"/>
      <c r="AJ989" s="327"/>
      <c r="AK989" s="328"/>
      <c r="AL989" s="319"/>
      <c r="AM989" s="319"/>
      <c r="AN989" s="319"/>
      <c r="AO989" s="319"/>
      <c r="AP989" s="319"/>
      <c r="AQ989" s="319"/>
      <c r="AR989" s="319"/>
      <c r="AS989" s="327"/>
      <c r="AT989" s="461" t="s">
        <v>182</v>
      </c>
      <c r="AU989" s="345" t="s">
        <v>845</v>
      </c>
      <c r="AV989" s="330">
        <f>SQRT(($R989-Infrastructure!J$3)^2+($S989-Infrastructure!K$3)^2)</f>
        <v>31.16616755</v>
      </c>
      <c r="AW989" s="331">
        <f>SQRT(($R989-Infrastructure!J$4)^2+($S989-Infrastructure!K$4)^2)</f>
        <v>23.08419373</v>
      </c>
      <c r="AX989" s="331">
        <f>SQRT(($R989-Infrastructure!J$5)^2+($S989-Infrastructure!K$5)^2)</f>
        <v>18.26170857</v>
      </c>
      <c r="AY989" s="331">
        <f>SQRT(($R989-Infrastructure!J$6)^2+($S989-Infrastructure!K$6)^2)</f>
        <v>8.469356528</v>
      </c>
      <c r="AZ989" s="331">
        <f>SQRT(($R989-Infrastructure!J$7)^2+($S989-Infrastructure!K$7)^2)</f>
        <v>4.201190308</v>
      </c>
      <c r="BA989" s="331">
        <f>SQRT(($R989-Infrastructure!J$8)^2+($S989-Infrastructure!K$8)^2)</f>
        <v>12.63843345</v>
      </c>
      <c r="BB989" s="331">
        <f>SQRT(($R989-Infrastructure!J$9)^2+($S989-Infrastructure!K$9)^2)</f>
        <v>22.15084648</v>
      </c>
      <c r="BC989" s="331">
        <f>SQRT(($R989-Infrastructure!J$10)^2+($S989-Infrastructure!K$10)^2)</f>
        <v>24.86704647</v>
      </c>
      <c r="BD989" s="331">
        <f>SQRT(($R989-Infrastructure!J$11)^2+($S989-Infrastructure!K$11)^2)</f>
        <v>33.80014793</v>
      </c>
      <c r="BE989" s="333">
        <f>SQRT(($R989-Infrastructure!J$12)^2+($S989-Infrastructure!K$12)^2)</f>
        <v>52.02470567</v>
      </c>
      <c r="BF989" s="330">
        <f t="shared" si="14"/>
        <v>4.201190308</v>
      </c>
      <c r="BG989" s="333">
        <f t="shared" si="15"/>
        <v>52.02470567</v>
      </c>
      <c r="BH989" s="902">
        <v>36617.0</v>
      </c>
      <c r="BI989" s="462" t="s">
        <v>845</v>
      </c>
      <c r="BJ989" s="319" t="s">
        <v>845</v>
      </c>
      <c r="BK989" s="319" t="s">
        <v>846</v>
      </c>
      <c r="BL989" s="319" t="s">
        <v>845</v>
      </c>
      <c r="BM989" s="319" t="s">
        <v>845</v>
      </c>
      <c r="BN989" s="319" t="s">
        <v>845</v>
      </c>
      <c r="BO989" s="319" t="s">
        <v>845</v>
      </c>
      <c r="BP989" s="319" t="s">
        <v>845</v>
      </c>
      <c r="BQ989" s="319" t="s">
        <v>845</v>
      </c>
      <c r="BR989" s="324" t="s">
        <v>845</v>
      </c>
      <c r="BS989" s="330">
        <f t="shared" si="66"/>
        <v>18.26170857</v>
      </c>
      <c r="BT989" s="331">
        <f t="shared" si="67"/>
        <v>18.26170857</v>
      </c>
      <c r="BU989" s="904">
        <v>0.4795949074074074</v>
      </c>
      <c r="BV989" s="903">
        <f t="shared" si="68"/>
        <v>0.000775462963</v>
      </c>
      <c r="BW989" s="330"/>
      <c r="BX989" s="331"/>
      <c r="BY989" s="331"/>
      <c r="BZ989" s="340"/>
      <c r="CA989" s="462" t="s">
        <v>845</v>
      </c>
      <c r="CB989" s="319" t="s">
        <v>845</v>
      </c>
      <c r="CC989" s="319" t="s">
        <v>845</v>
      </c>
      <c r="CD989" s="319" t="s">
        <v>845</v>
      </c>
      <c r="CE989" s="319" t="s">
        <v>845</v>
      </c>
      <c r="CF989" s="319" t="s">
        <v>845</v>
      </c>
      <c r="CG989" s="319" t="s">
        <v>845</v>
      </c>
      <c r="CH989" s="319" t="s">
        <v>845</v>
      </c>
      <c r="CI989" s="319" t="s">
        <v>845</v>
      </c>
      <c r="CJ989" s="327" t="s">
        <v>845</v>
      </c>
      <c r="CK989" s="342">
        <f t="shared" si="18"/>
        <v>0</v>
      </c>
      <c r="CL989" s="333">
        <f t="shared" si="19"/>
        <v>0</v>
      </c>
      <c r="CM989" s="829"/>
      <c r="CN989" s="333"/>
      <c r="CO989" s="333"/>
      <c r="CP989" s="333"/>
    </row>
    <row r="990">
      <c r="B990" s="462" t="s">
        <v>1652</v>
      </c>
      <c r="C990" s="417">
        <v>44404.0</v>
      </c>
      <c r="D990" s="318"/>
      <c r="E990" s="319">
        <v>11.0</v>
      </c>
      <c r="F990" s="324" t="s">
        <v>1664</v>
      </c>
      <c r="G990" s="321">
        <v>0.48125</v>
      </c>
      <c r="H990" s="323">
        <v>0.4817708333333333</v>
      </c>
      <c r="I990" s="323"/>
      <c r="J990" s="323"/>
      <c r="K990" s="323">
        <v>0.4831597222222222</v>
      </c>
      <c r="L990" s="323">
        <v>0.001388888888888889</v>
      </c>
      <c r="M990" s="319" t="s">
        <v>358</v>
      </c>
      <c r="N990" s="324" t="s">
        <v>187</v>
      </c>
      <c r="O990" s="419" t="s">
        <v>204</v>
      </c>
      <c r="P990" s="319" t="s">
        <v>262</v>
      </c>
      <c r="Q990" s="318"/>
      <c r="R990" s="326">
        <v>17.9</v>
      </c>
      <c r="S990" s="319">
        <v>3.6</v>
      </c>
      <c r="T990" s="324">
        <v>2.6</v>
      </c>
      <c r="U990" s="319">
        <v>1.0</v>
      </c>
      <c r="V990" s="319"/>
      <c r="W990" s="319"/>
      <c r="X990" s="319"/>
      <c r="Y990" s="319"/>
      <c r="Z990" s="319" t="s">
        <v>365</v>
      </c>
      <c r="AA990" s="319"/>
      <c r="AB990" s="319" t="s">
        <v>388</v>
      </c>
      <c r="AC990" s="327">
        <v>8.0</v>
      </c>
      <c r="AD990" s="319"/>
      <c r="AE990" s="319"/>
      <c r="AF990" s="319"/>
      <c r="AG990" s="319"/>
      <c r="AH990" s="319"/>
      <c r="AI990" s="319"/>
      <c r="AJ990" s="327"/>
      <c r="AK990" s="328"/>
      <c r="AL990" s="319"/>
      <c r="AM990" s="319"/>
      <c r="AN990" s="319"/>
      <c r="AO990" s="319"/>
      <c r="AP990" s="319"/>
      <c r="AQ990" s="319"/>
      <c r="AR990" s="319"/>
      <c r="AS990" s="327"/>
      <c r="AT990" s="461" t="s">
        <v>182</v>
      </c>
      <c r="AU990" s="345" t="s">
        <v>845</v>
      </c>
      <c r="AV990" s="330">
        <f>SQRT(($R990-Infrastructure!J$3)^2+($S990-Infrastructure!K$3)^2)</f>
        <v>31.16616755</v>
      </c>
      <c r="AW990" s="331">
        <f>SQRT(($R990-Infrastructure!J$4)^2+($S990-Infrastructure!K$4)^2)</f>
        <v>23.08419373</v>
      </c>
      <c r="AX990" s="331">
        <f>SQRT(($R990-Infrastructure!J$5)^2+($S990-Infrastructure!K$5)^2)</f>
        <v>18.26170857</v>
      </c>
      <c r="AY990" s="331">
        <f>SQRT(($R990-Infrastructure!J$6)^2+($S990-Infrastructure!K$6)^2)</f>
        <v>8.469356528</v>
      </c>
      <c r="AZ990" s="331">
        <f>SQRT(($R990-Infrastructure!J$7)^2+($S990-Infrastructure!K$7)^2)</f>
        <v>4.201190308</v>
      </c>
      <c r="BA990" s="331">
        <f>SQRT(($R990-Infrastructure!J$8)^2+($S990-Infrastructure!K$8)^2)</f>
        <v>12.63843345</v>
      </c>
      <c r="BB990" s="331">
        <f>SQRT(($R990-Infrastructure!J$9)^2+($S990-Infrastructure!K$9)^2)</f>
        <v>22.15084648</v>
      </c>
      <c r="BC990" s="331">
        <f>SQRT(($R990-Infrastructure!J$10)^2+($S990-Infrastructure!K$10)^2)</f>
        <v>24.86704647</v>
      </c>
      <c r="BD990" s="331">
        <f>SQRT(($R990-Infrastructure!J$11)^2+($S990-Infrastructure!K$11)^2)</f>
        <v>33.80014793</v>
      </c>
      <c r="BE990" s="333">
        <f>SQRT(($R990-Infrastructure!J$12)^2+($S990-Infrastructure!K$12)^2)</f>
        <v>52.02470567</v>
      </c>
      <c r="BF990" s="330">
        <f t="shared" si="14"/>
        <v>4.201190308</v>
      </c>
      <c r="BG990" s="333">
        <f t="shared" si="15"/>
        <v>52.02470567</v>
      </c>
      <c r="BH990" s="902">
        <v>36617.0</v>
      </c>
      <c r="BI990" s="462" t="s">
        <v>845</v>
      </c>
      <c r="BJ990" s="319" t="s">
        <v>845</v>
      </c>
      <c r="BK990" s="319" t="s">
        <v>845</v>
      </c>
      <c r="BL990" s="319" t="s">
        <v>845</v>
      </c>
      <c r="BM990" s="319" t="s">
        <v>845</v>
      </c>
      <c r="BN990" s="319" t="s">
        <v>845</v>
      </c>
      <c r="BO990" s="319" t="s">
        <v>845</v>
      </c>
      <c r="BP990" s="319" t="s">
        <v>845</v>
      </c>
      <c r="BQ990" s="319" t="s">
        <v>845</v>
      </c>
      <c r="BR990" s="324" t="s">
        <v>845</v>
      </c>
      <c r="BS990" s="330">
        <f t="shared" si="66"/>
        <v>0</v>
      </c>
      <c r="BT990" s="331">
        <f t="shared" si="67"/>
        <v>0</v>
      </c>
      <c r="BU990" s="331"/>
      <c r="BV990" s="903"/>
      <c r="BW990" s="330"/>
      <c r="BX990" s="331"/>
      <c r="BY990" s="331"/>
      <c r="BZ990" s="340"/>
      <c r="CA990" s="462" t="s">
        <v>845</v>
      </c>
      <c r="CB990" s="319" t="s">
        <v>845</v>
      </c>
      <c r="CC990" s="319" t="s">
        <v>845</v>
      </c>
      <c r="CD990" s="319" t="s">
        <v>845</v>
      </c>
      <c r="CE990" s="319" t="s">
        <v>845</v>
      </c>
      <c r="CF990" s="319" t="s">
        <v>845</v>
      </c>
      <c r="CG990" s="319" t="s">
        <v>845</v>
      </c>
      <c r="CH990" s="319" t="s">
        <v>845</v>
      </c>
      <c r="CI990" s="319" t="s">
        <v>845</v>
      </c>
      <c r="CJ990" s="327" t="s">
        <v>845</v>
      </c>
      <c r="CK990" s="342">
        <f t="shared" si="18"/>
        <v>0</v>
      </c>
      <c r="CL990" s="333">
        <f t="shared" si="19"/>
        <v>0</v>
      </c>
      <c r="CM990" s="829"/>
      <c r="CN990" s="333"/>
      <c r="CO990" s="333"/>
      <c r="CP990" s="333"/>
    </row>
    <row r="991">
      <c r="B991" s="462" t="s">
        <v>1652</v>
      </c>
      <c r="C991" s="417">
        <v>44404.0</v>
      </c>
      <c r="D991" s="318"/>
      <c r="E991" s="319">
        <v>12.0</v>
      </c>
      <c r="F991" s="324" t="s">
        <v>1665</v>
      </c>
      <c r="G991" s="321">
        <v>0.5434027777777778</v>
      </c>
      <c r="H991" s="323">
        <v>0.54375</v>
      </c>
      <c r="I991" s="323"/>
      <c r="J991" s="323"/>
      <c r="K991" s="905">
        <v>0.5451388888888888</v>
      </c>
      <c r="L991" s="323">
        <v>0.001388888888888889</v>
      </c>
      <c r="M991" s="319" t="s">
        <v>358</v>
      </c>
      <c r="N991" s="324" t="s">
        <v>187</v>
      </c>
      <c r="O991" s="419" t="s">
        <v>203</v>
      </c>
      <c r="P991" s="319" t="s">
        <v>211</v>
      </c>
      <c r="Q991" s="318"/>
      <c r="R991" s="326">
        <v>15.1</v>
      </c>
      <c r="S991" s="319">
        <v>2.4</v>
      </c>
      <c r="T991" s="324">
        <v>1.2</v>
      </c>
      <c r="U991" s="319">
        <v>2.0</v>
      </c>
      <c r="V991" s="319"/>
      <c r="W991" s="319"/>
      <c r="X991" s="319"/>
      <c r="Y991" s="319"/>
      <c r="Z991" s="319" t="s">
        <v>357</v>
      </c>
      <c r="AA991" s="319"/>
      <c r="AB991" s="319" t="s">
        <v>380</v>
      </c>
      <c r="AC991" s="327">
        <v>4.0</v>
      </c>
      <c r="AD991" s="319"/>
      <c r="AE991" s="319"/>
      <c r="AF991" s="319"/>
      <c r="AG991" s="319"/>
      <c r="AH991" s="319"/>
      <c r="AI991" s="319"/>
      <c r="AJ991" s="327"/>
      <c r="AK991" s="328"/>
      <c r="AL991" s="319"/>
      <c r="AM991" s="319"/>
      <c r="AN991" s="319"/>
      <c r="AO991" s="319"/>
      <c r="AP991" s="319"/>
      <c r="AQ991" s="319"/>
      <c r="AR991" s="319"/>
      <c r="AS991" s="327"/>
      <c r="AT991" s="461" t="s">
        <v>182</v>
      </c>
      <c r="AU991" s="345" t="s">
        <v>845</v>
      </c>
      <c r="AV991" s="330">
        <f>SQRT(($R991-Infrastructure!J$3)^2+($S991-Infrastructure!K$3)^2)</f>
        <v>30.64979608</v>
      </c>
      <c r="AW991" s="331">
        <f>SQRT(($R991-Infrastructure!J$4)^2+($S991-Infrastructure!K$4)^2)</f>
        <v>21.77888886</v>
      </c>
      <c r="AX991" s="331">
        <f>SQRT(($R991-Infrastructure!J$5)^2+($S991-Infrastructure!K$5)^2)</f>
        <v>15.63489687</v>
      </c>
      <c r="AY991" s="331">
        <f>SQRT(($R991-Infrastructure!J$6)^2+($S991-Infrastructure!K$6)^2)</f>
        <v>5.423098745</v>
      </c>
      <c r="AZ991" s="331">
        <f>SQRT(($R991-Infrastructure!J$7)^2+($S991-Infrastructure!K$7)^2)</f>
        <v>5.793962375</v>
      </c>
      <c r="BA991" s="331">
        <f>SQRT(($R991-Infrastructure!J$8)^2+($S991-Infrastructure!K$8)^2)</f>
        <v>15.14628667</v>
      </c>
      <c r="BB991" s="331">
        <f>SQRT(($R991-Infrastructure!J$9)^2+($S991-Infrastructure!K$9)^2)</f>
        <v>25.04595776</v>
      </c>
      <c r="BC991" s="331">
        <f>SQRT(($R991-Infrastructure!J$10)^2+($S991-Infrastructure!K$10)^2)</f>
        <v>27.90645087</v>
      </c>
      <c r="BD991" s="331">
        <f>SQRT(($R991-Infrastructure!J$11)^2+($S991-Infrastructure!K$11)^2)</f>
        <v>36.5728041</v>
      </c>
      <c r="BE991" s="333">
        <f>SQRT(($R991-Infrastructure!J$12)^2+($S991-Infrastructure!K$12)^2)</f>
        <v>53.48429676</v>
      </c>
      <c r="BF991" s="330">
        <f t="shared" si="14"/>
        <v>5.423098745</v>
      </c>
      <c r="BG991" s="333">
        <f t="shared" si="15"/>
        <v>53.48429676</v>
      </c>
      <c r="BH991" s="902">
        <v>36617.0</v>
      </c>
      <c r="BI991" s="462" t="s">
        <v>845</v>
      </c>
      <c r="BJ991" s="319" t="s">
        <v>845</v>
      </c>
      <c r="BK991" s="319" t="s">
        <v>845</v>
      </c>
      <c r="BL991" s="319" t="s">
        <v>845</v>
      </c>
      <c r="BM991" s="319" t="s">
        <v>846</v>
      </c>
      <c r="BN991" s="319" t="s">
        <v>845</v>
      </c>
      <c r="BO991" s="319" t="s">
        <v>845</v>
      </c>
      <c r="BP991" s="319" t="s">
        <v>845</v>
      </c>
      <c r="BQ991" s="319" t="s">
        <v>845</v>
      </c>
      <c r="BR991" s="324" t="s">
        <v>845</v>
      </c>
      <c r="BS991" s="330">
        <f t="shared" si="66"/>
        <v>5.793962375</v>
      </c>
      <c r="BT991" s="331">
        <f t="shared" si="67"/>
        <v>5.793962375</v>
      </c>
      <c r="BU991" s="904">
        <v>0.544224537037037</v>
      </c>
      <c r="BV991" s="903">
        <f>BU991-G991</f>
        <v>0.0008217592593</v>
      </c>
      <c r="BW991" s="330"/>
      <c r="BX991" s="331"/>
      <c r="BY991" s="331"/>
      <c r="BZ991" s="340"/>
      <c r="CA991" s="462" t="s">
        <v>846</v>
      </c>
      <c r="CB991" s="319" t="s">
        <v>846</v>
      </c>
      <c r="CC991" s="319" t="s">
        <v>845</v>
      </c>
      <c r="CD991" s="319" t="s">
        <v>846</v>
      </c>
      <c r="CE991" s="319" t="s">
        <v>846</v>
      </c>
      <c r="CF991" s="319" t="s">
        <v>845</v>
      </c>
      <c r="CG991" s="319" t="s">
        <v>845</v>
      </c>
      <c r="CH991" s="319" t="s">
        <v>845</v>
      </c>
      <c r="CI991" s="319" t="s">
        <v>845</v>
      </c>
      <c r="CJ991" s="327" t="s">
        <v>845</v>
      </c>
      <c r="CK991" s="342">
        <f t="shared" si="18"/>
        <v>5.423098745</v>
      </c>
      <c r="CL991" s="333">
        <f t="shared" si="19"/>
        <v>30.64979608</v>
      </c>
      <c r="CM991" s="829"/>
      <c r="CN991" s="333"/>
      <c r="CO991" s="333"/>
      <c r="CP991" s="333"/>
    </row>
    <row r="992">
      <c r="B992" s="462" t="s">
        <v>1652</v>
      </c>
      <c r="C992" s="417">
        <v>44404.0</v>
      </c>
      <c r="D992" s="318"/>
      <c r="E992" s="319">
        <v>13.0</v>
      </c>
      <c r="F992" s="324" t="s">
        <v>1666</v>
      </c>
      <c r="G992" s="906">
        <v>0.5458333333333333</v>
      </c>
      <c r="H992" s="323">
        <v>0.5461805555555556</v>
      </c>
      <c r="I992" s="323"/>
      <c r="J992" s="323"/>
      <c r="K992" s="323">
        <v>0.5475694444444444</v>
      </c>
      <c r="L992" s="323">
        <v>0.001388888888888889</v>
      </c>
      <c r="M992" s="319" t="s">
        <v>358</v>
      </c>
      <c r="N992" s="324" t="s">
        <v>187</v>
      </c>
      <c r="O992" s="419" t="s">
        <v>203</v>
      </c>
      <c r="P992" s="319" t="s">
        <v>211</v>
      </c>
      <c r="Q992" s="318"/>
      <c r="R992" s="326">
        <v>15.1</v>
      </c>
      <c r="S992" s="319">
        <v>2.4</v>
      </c>
      <c r="T992" s="324">
        <v>1.2</v>
      </c>
      <c r="U992" s="319">
        <v>1.0</v>
      </c>
      <c r="V992" s="319"/>
      <c r="W992" s="319"/>
      <c r="X992" s="319"/>
      <c r="Y992" s="319"/>
      <c r="Z992" s="319" t="s">
        <v>357</v>
      </c>
      <c r="AA992" s="319"/>
      <c r="AB992" s="319" t="s">
        <v>380</v>
      </c>
      <c r="AC992" s="327">
        <v>4.0</v>
      </c>
      <c r="AD992" s="319"/>
      <c r="AE992" s="319"/>
      <c r="AF992" s="319"/>
      <c r="AG992" s="319"/>
      <c r="AH992" s="319"/>
      <c r="AI992" s="319"/>
      <c r="AJ992" s="327"/>
      <c r="AK992" s="328"/>
      <c r="AL992" s="319"/>
      <c r="AM992" s="319"/>
      <c r="AN992" s="319"/>
      <c r="AO992" s="319"/>
      <c r="AP992" s="319"/>
      <c r="AQ992" s="319"/>
      <c r="AR992" s="319"/>
      <c r="AS992" s="327"/>
      <c r="AT992" s="461" t="s">
        <v>182</v>
      </c>
      <c r="AU992" s="345" t="s">
        <v>845</v>
      </c>
      <c r="AV992" s="330">
        <f>SQRT(($R992-Infrastructure!J$3)^2+($S992-Infrastructure!K$3)^2)</f>
        <v>30.64979608</v>
      </c>
      <c r="AW992" s="331">
        <f>SQRT(($R992-Infrastructure!J$4)^2+($S992-Infrastructure!K$4)^2)</f>
        <v>21.77888886</v>
      </c>
      <c r="AX992" s="331">
        <f>SQRT(($R992-Infrastructure!J$5)^2+($S992-Infrastructure!K$5)^2)</f>
        <v>15.63489687</v>
      </c>
      <c r="AY992" s="331">
        <f>SQRT(($R992-Infrastructure!J$6)^2+($S992-Infrastructure!K$6)^2)</f>
        <v>5.423098745</v>
      </c>
      <c r="AZ992" s="331">
        <f>SQRT(($R992-Infrastructure!J$7)^2+($S992-Infrastructure!K$7)^2)</f>
        <v>5.793962375</v>
      </c>
      <c r="BA992" s="331">
        <f>SQRT(($R992-Infrastructure!J$8)^2+($S992-Infrastructure!K$8)^2)</f>
        <v>15.14628667</v>
      </c>
      <c r="BB992" s="331">
        <f>SQRT(($R992-Infrastructure!J$9)^2+($S992-Infrastructure!K$9)^2)</f>
        <v>25.04595776</v>
      </c>
      <c r="BC992" s="331">
        <f>SQRT(($R992-Infrastructure!J$10)^2+($S992-Infrastructure!K$10)^2)</f>
        <v>27.90645087</v>
      </c>
      <c r="BD992" s="331">
        <f>SQRT(($R992-Infrastructure!J$11)^2+($S992-Infrastructure!K$11)^2)</f>
        <v>36.5728041</v>
      </c>
      <c r="BE992" s="333">
        <f>SQRT(($R992-Infrastructure!J$12)^2+($S992-Infrastructure!K$12)^2)</f>
        <v>53.48429676</v>
      </c>
      <c r="BF992" s="330">
        <f t="shared" si="14"/>
        <v>5.423098745</v>
      </c>
      <c r="BG992" s="333">
        <f t="shared" si="15"/>
        <v>53.48429676</v>
      </c>
      <c r="BH992" s="902">
        <v>36617.0</v>
      </c>
      <c r="BI992" s="462" t="s">
        <v>845</v>
      </c>
      <c r="BJ992" s="319" t="s">
        <v>845</v>
      </c>
      <c r="BK992" s="319" t="s">
        <v>845</v>
      </c>
      <c r="BL992" s="319" t="s">
        <v>845</v>
      </c>
      <c r="BM992" s="319" t="s">
        <v>845</v>
      </c>
      <c r="BN992" s="319" t="s">
        <v>845</v>
      </c>
      <c r="BO992" s="319" t="s">
        <v>845</v>
      </c>
      <c r="BP992" s="319" t="s">
        <v>845</v>
      </c>
      <c r="BQ992" s="319" t="s">
        <v>845</v>
      </c>
      <c r="BR992" s="324" t="s">
        <v>845</v>
      </c>
      <c r="BS992" s="330">
        <f t="shared" si="66"/>
        <v>0</v>
      </c>
      <c r="BT992" s="331">
        <f t="shared" si="67"/>
        <v>0</v>
      </c>
      <c r="BU992" s="331"/>
      <c r="BV992" s="903"/>
      <c r="BW992" s="330"/>
      <c r="BX992" s="331"/>
      <c r="BY992" s="331"/>
      <c r="BZ992" s="340"/>
      <c r="CA992" s="462" t="s">
        <v>846</v>
      </c>
      <c r="CB992" s="319" t="s">
        <v>846</v>
      </c>
      <c r="CC992" s="319" t="s">
        <v>845</v>
      </c>
      <c r="CD992" s="319" t="s">
        <v>846</v>
      </c>
      <c r="CE992" s="319" t="s">
        <v>846</v>
      </c>
      <c r="CF992" s="319" t="s">
        <v>845</v>
      </c>
      <c r="CG992" s="319" t="s">
        <v>845</v>
      </c>
      <c r="CH992" s="319" t="s">
        <v>845</v>
      </c>
      <c r="CI992" s="319" t="s">
        <v>845</v>
      </c>
      <c r="CJ992" s="327" t="s">
        <v>845</v>
      </c>
      <c r="CK992" s="342">
        <f t="shared" si="18"/>
        <v>5.423098745</v>
      </c>
      <c r="CL992" s="333">
        <f t="shared" si="19"/>
        <v>30.64979608</v>
      </c>
      <c r="CM992" s="829"/>
      <c r="CN992" s="333"/>
      <c r="CO992" s="333"/>
      <c r="CP992" s="333"/>
    </row>
    <row r="993">
      <c r="B993" s="462" t="s">
        <v>1652</v>
      </c>
      <c r="C993" s="417">
        <v>44404.0</v>
      </c>
      <c r="D993" s="318"/>
      <c r="E993" s="319">
        <v>14.0</v>
      </c>
      <c r="F993" s="324" t="s">
        <v>1667</v>
      </c>
      <c r="G993" s="321">
        <v>0.5503472222222222</v>
      </c>
      <c r="H993" s="323">
        <v>0.5506944444444445</v>
      </c>
      <c r="I993" s="323"/>
      <c r="J993" s="323"/>
      <c r="K993" s="323">
        <v>0.5520833333333334</v>
      </c>
      <c r="L993" s="323">
        <v>0.001388888888888889</v>
      </c>
      <c r="M993" s="319" t="s">
        <v>358</v>
      </c>
      <c r="N993" s="324" t="s">
        <v>187</v>
      </c>
      <c r="O993" s="419" t="s">
        <v>203</v>
      </c>
      <c r="P993" s="319" t="s">
        <v>211</v>
      </c>
      <c r="Q993" s="318"/>
      <c r="R993" s="326">
        <v>15.1</v>
      </c>
      <c r="S993" s="319">
        <v>2.4</v>
      </c>
      <c r="T993" s="324">
        <v>1.2</v>
      </c>
      <c r="U993" s="319">
        <v>5.0</v>
      </c>
      <c r="V993" s="319"/>
      <c r="W993" s="319"/>
      <c r="X993" s="319"/>
      <c r="Y993" s="319"/>
      <c r="Z993" s="319" t="s">
        <v>357</v>
      </c>
      <c r="AA993" s="319"/>
      <c r="AB993" s="319" t="s">
        <v>384</v>
      </c>
      <c r="AC993" s="327">
        <v>6.0</v>
      </c>
      <c r="AD993" s="319"/>
      <c r="AE993" s="319"/>
      <c r="AF993" s="319"/>
      <c r="AG993" s="319"/>
      <c r="AH993" s="319"/>
      <c r="AI993" s="319"/>
      <c r="AJ993" s="327"/>
      <c r="AK993" s="328"/>
      <c r="AL993" s="319"/>
      <c r="AM993" s="319"/>
      <c r="AN993" s="319"/>
      <c r="AO993" s="319"/>
      <c r="AP993" s="319"/>
      <c r="AQ993" s="319"/>
      <c r="AR993" s="319"/>
      <c r="AS993" s="327"/>
      <c r="AT993" s="461" t="s">
        <v>182</v>
      </c>
      <c r="AU993" s="345" t="s">
        <v>845</v>
      </c>
      <c r="AV993" s="330">
        <f>SQRT(($R993-Infrastructure!J$3)^2+($S993-Infrastructure!K$3)^2)</f>
        <v>30.64979608</v>
      </c>
      <c r="AW993" s="331">
        <f>SQRT(($R993-Infrastructure!J$4)^2+($S993-Infrastructure!K$4)^2)</f>
        <v>21.77888886</v>
      </c>
      <c r="AX993" s="331">
        <f>SQRT(($R993-Infrastructure!J$5)^2+($S993-Infrastructure!K$5)^2)</f>
        <v>15.63489687</v>
      </c>
      <c r="AY993" s="331">
        <f>SQRT(($R993-Infrastructure!J$6)^2+($S993-Infrastructure!K$6)^2)</f>
        <v>5.423098745</v>
      </c>
      <c r="AZ993" s="331">
        <f>SQRT(($R993-Infrastructure!J$7)^2+($S993-Infrastructure!K$7)^2)</f>
        <v>5.793962375</v>
      </c>
      <c r="BA993" s="331">
        <f>SQRT(($R993-Infrastructure!J$8)^2+($S993-Infrastructure!K$8)^2)</f>
        <v>15.14628667</v>
      </c>
      <c r="BB993" s="331">
        <f>SQRT(($R993-Infrastructure!J$9)^2+($S993-Infrastructure!K$9)^2)</f>
        <v>25.04595776</v>
      </c>
      <c r="BC993" s="331">
        <f>SQRT(($R993-Infrastructure!J$10)^2+($S993-Infrastructure!K$10)^2)</f>
        <v>27.90645087</v>
      </c>
      <c r="BD993" s="331">
        <f>SQRT(($R993-Infrastructure!J$11)^2+($S993-Infrastructure!K$11)^2)</f>
        <v>36.5728041</v>
      </c>
      <c r="BE993" s="333">
        <f>SQRT(($R993-Infrastructure!J$12)^2+($S993-Infrastructure!K$12)^2)</f>
        <v>53.48429676</v>
      </c>
      <c r="BF993" s="330">
        <f t="shared" si="14"/>
        <v>5.423098745</v>
      </c>
      <c r="BG993" s="333">
        <f t="shared" si="15"/>
        <v>53.48429676</v>
      </c>
      <c r="BH993" s="902">
        <v>36617.0</v>
      </c>
      <c r="BI993" s="462" t="s">
        <v>845</v>
      </c>
      <c r="BJ993" s="319" t="s">
        <v>845</v>
      </c>
      <c r="BK993" s="319" t="s">
        <v>845</v>
      </c>
      <c r="BL993" s="319" t="s">
        <v>845</v>
      </c>
      <c r="BM993" s="319" t="s">
        <v>845</v>
      </c>
      <c r="BN993" s="319" t="s">
        <v>845</v>
      </c>
      <c r="BO993" s="319" t="s">
        <v>845</v>
      </c>
      <c r="BP993" s="319" t="s">
        <v>845</v>
      </c>
      <c r="BQ993" s="319" t="s">
        <v>845</v>
      </c>
      <c r="BR993" s="324" t="s">
        <v>845</v>
      </c>
      <c r="BS993" s="330">
        <f t="shared" si="66"/>
        <v>0</v>
      </c>
      <c r="BT993" s="331">
        <f t="shared" si="67"/>
        <v>0</v>
      </c>
      <c r="BU993" s="331"/>
      <c r="BV993" s="903"/>
      <c r="BW993" s="330"/>
      <c r="BX993" s="331"/>
      <c r="BY993" s="331"/>
      <c r="BZ993" s="340"/>
      <c r="CA993" s="462" t="s">
        <v>846</v>
      </c>
      <c r="CB993" s="319" t="s">
        <v>845</v>
      </c>
      <c r="CC993" s="319" t="s">
        <v>845</v>
      </c>
      <c r="CD993" s="319" t="s">
        <v>845</v>
      </c>
      <c r="CE993" s="319" t="s">
        <v>845</v>
      </c>
      <c r="CF993" s="319" t="s">
        <v>845</v>
      </c>
      <c r="CG993" s="319" t="s">
        <v>846</v>
      </c>
      <c r="CH993" s="319" t="s">
        <v>845</v>
      </c>
      <c r="CI993" s="319" t="s">
        <v>845</v>
      </c>
      <c r="CJ993" s="327" t="s">
        <v>845</v>
      </c>
      <c r="CK993" s="342">
        <f t="shared" si="18"/>
        <v>25.04595776</v>
      </c>
      <c r="CL993" s="333">
        <f t="shared" si="19"/>
        <v>30.64979608</v>
      </c>
      <c r="CM993" s="829"/>
      <c r="CN993" s="333"/>
      <c r="CO993" s="333"/>
      <c r="CP993" s="333"/>
    </row>
    <row r="994">
      <c r="B994" s="462" t="s">
        <v>1652</v>
      </c>
      <c r="C994" s="417">
        <v>44404.0</v>
      </c>
      <c r="D994" s="318"/>
      <c r="E994" s="319">
        <v>15.0</v>
      </c>
      <c r="F994" s="324" t="s">
        <v>1668</v>
      </c>
      <c r="G994" s="321">
        <v>0.553125</v>
      </c>
      <c r="H994" s="323">
        <v>0.5534722222222223</v>
      </c>
      <c r="I994" s="323"/>
      <c r="J994" s="323"/>
      <c r="K994" s="323">
        <v>0.5548611111111111</v>
      </c>
      <c r="L994" s="323">
        <v>0.001388888888888889</v>
      </c>
      <c r="M994" s="319" t="s">
        <v>358</v>
      </c>
      <c r="N994" s="324" t="s">
        <v>187</v>
      </c>
      <c r="O994" s="419" t="s">
        <v>203</v>
      </c>
      <c r="P994" s="319" t="s">
        <v>211</v>
      </c>
      <c r="Q994" s="318"/>
      <c r="R994" s="326">
        <v>15.1</v>
      </c>
      <c r="S994" s="319">
        <v>2.4</v>
      </c>
      <c r="T994" s="324">
        <v>1.2</v>
      </c>
      <c r="U994" s="319">
        <v>2.0</v>
      </c>
      <c r="V994" s="319"/>
      <c r="W994" s="319"/>
      <c r="X994" s="319"/>
      <c r="Y994" s="319"/>
      <c r="Z994" s="319" t="s">
        <v>357</v>
      </c>
      <c r="AA994" s="319"/>
      <c r="AB994" s="319" t="s">
        <v>384</v>
      </c>
      <c r="AC994" s="327">
        <v>6.0</v>
      </c>
      <c r="AD994" s="319"/>
      <c r="AE994" s="319"/>
      <c r="AF994" s="319"/>
      <c r="AG994" s="319"/>
      <c r="AH994" s="319"/>
      <c r="AI994" s="319"/>
      <c r="AJ994" s="327"/>
      <c r="AK994" s="328"/>
      <c r="AL994" s="319"/>
      <c r="AM994" s="319"/>
      <c r="AN994" s="319"/>
      <c r="AO994" s="319"/>
      <c r="AP994" s="319"/>
      <c r="AQ994" s="319"/>
      <c r="AR994" s="319"/>
      <c r="AS994" s="327"/>
      <c r="AT994" s="461" t="s">
        <v>182</v>
      </c>
      <c r="AU994" s="345" t="s">
        <v>845</v>
      </c>
      <c r="AV994" s="330">
        <f>SQRT(($R994-Infrastructure!J$3)^2+($S994-Infrastructure!K$3)^2)</f>
        <v>30.64979608</v>
      </c>
      <c r="AW994" s="331">
        <f>SQRT(($R994-Infrastructure!J$4)^2+($S994-Infrastructure!K$4)^2)</f>
        <v>21.77888886</v>
      </c>
      <c r="AX994" s="331">
        <f>SQRT(($R994-Infrastructure!J$5)^2+($S994-Infrastructure!K$5)^2)</f>
        <v>15.63489687</v>
      </c>
      <c r="AY994" s="331">
        <f>SQRT(($R994-Infrastructure!J$6)^2+($S994-Infrastructure!K$6)^2)</f>
        <v>5.423098745</v>
      </c>
      <c r="AZ994" s="331">
        <f>SQRT(($R994-Infrastructure!J$7)^2+($S994-Infrastructure!K$7)^2)</f>
        <v>5.793962375</v>
      </c>
      <c r="BA994" s="331">
        <f>SQRT(($R994-Infrastructure!J$8)^2+($S994-Infrastructure!K$8)^2)</f>
        <v>15.14628667</v>
      </c>
      <c r="BB994" s="331">
        <f>SQRT(($R994-Infrastructure!J$9)^2+($S994-Infrastructure!K$9)^2)</f>
        <v>25.04595776</v>
      </c>
      <c r="BC994" s="331">
        <f>SQRT(($R994-Infrastructure!J$10)^2+($S994-Infrastructure!K$10)^2)</f>
        <v>27.90645087</v>
      </c>
      <c r="BD994" s="331">
        <f>SQRT(($R994-Infrastructure!J$11)^2+($S994-Infrastructure!K$11)^2)</f>
        <v>36.5728041</v>
      </c>
      <c r="BE994" s="333">
        <f>SQRT(($R994-Infrastructure!J$12)^2+($S994-Infrastructure!K$12)^2)</f>
        <v>53.48429676</v>
      </c>
      <c r="BF994" s="330">
        <f t="shared" si="14"/>
        <v>5.423098745</v>
      </c>
      <c r="BG994" s="333">
        <f t="shared" si="15"/>
        <v>53.48429676</v>
      </c>
      <c r="BH994" s="902">
        <v>36617.0</v>
      </c>
      <c r="BI994" s="462" t="s">
        <v>845</v>
      </c>
      <c r="BJ994" s="319" t="s">
        <v>845</v>
      </c>
      <c r="BK994" s="319" t="s">
        <v>845</v>
      </c>
      <c r="BL994" s="319" t="s">
        <v>845</v>
      </c>
      <c r="BM994" s="319" t="s">
        <v>845</v>
      </c>
      <c r="BN994" s="319" t="s">
        <v>845</v>
      </c>
      <c r="BO994" s="319" t="s">
        <v>845</v>
      </c>
      <c r="BP994" s="319" t="s">
        <v>845</v>
      </c>
      <c r="BQ994" s="319" t="s">
        <v>845</v>
      </c>
      <c r="BR994" s="324" t="s">
        <v>845</v>
      </c>
      <c r="BS994" s="330">
        <f t="shared" si="66"/>
        <v>0</v>
      </c>
      <c r="BT994" s="331">
        <f t="shared" si="67"/>
        <v>0</v>
      </c>
      <c r="BU994" s="331"/>
      <c r="BV994" s="903"/>
      <c r="BW994" s="330"/>
      <c r="BX994" s="331"/>
      <c r="BY994" s="331"/>
      <c r="BZ994" s="340"/>
      <c r="CA994" s="462" t="s">
        <v>845</v>
      </c>
      <c r="CB994" s="319" t="s">
        <v>845</v>
      </c>
      <c r="CC994" s="319" t="s">
        <v>845</v>
      </c>
      <c r="CD994" s="319" t="s">
        <v>845</v>
      </c>
      <c r="CE994" s="319" t="s">
        <v>845</v>
      </c>
      <c r="CF994" s="319" t="s">
        <v>845</v>
      </c>
      <c r="CG994" s="319" t="s">
        <v>845</v>
      </c>
      <c r="CH994" s="319" t="s">
        <v>845</v>
      </c>
      <c r="CI994" s="319" t="s">
        <v>845</v>
      </c>
      <c r="CJ994" s="327" t="s">
        <v>845</v>
      </c>
      <c r="CK994" s="342">
        <f t="shared" si="18"/>
        <v>0</v>
      </c>
      <c r="CL994" s="333">
        <f t="shared" si="19"/>
        <v>0</v>
      </c>
      <c r="CM994" s="829"/>
      <c r="CN994" s="333"/>
      <c r="CO994" s="333"/>
      <c r="CP994" s="333"/>
    </row>
    <row r="995">
      <c r="B995" s="462" t="s">
        <v>1652</v>
      </c>
      <c r="C995" s="417">
        <v>44404.0</v>
      </c>
      <c r="D995" s="318"/>
      <c r="E995" s="319">
        <v>16.0</v>
      </c>
      <c r="F995" s="324" t="s">
        <v>1669</v>
      </c>
      <c r="G995" s="321">
        <v>0.5559027777777777</v>
      </c>
      <c r="H995" s="323">
        <v>0.5564236111111112</v>
      </c>
      <c r="I995" s="323"/>
      <c r="J995" s="323"/>
      <c r="K995" s="323">
        <v>0.5578125</v>
      </c>
      <c r="L995" s="323">
        <v>0.001388888888888889</v>
      </c>
      <c r="M995" s="319" t="s">
        <v>358</v>
      </c>
      <c r="N995" s="324" t="s">
        <v>187</v>
      </c>
      <c r="O995" s="419" t="s">
        <v>197</v>
      </c>
      <c r="P995" s="319" t="s">
        <v>220</v>
      </c>
      <c r="Q995" s="318"/>
      <c r="R995" s="326">
        <v>37.1</v>
      </c>
      <c r="S995" s="319">
        <v>6.9</v>
      </c>
      <c r="T995" s="324">
        <v>6.5</v>
      </c>
      <c r="U995" s="319">
        <v>5.0</v>
      </c>
      <c r="V995" s="319"/>
      <c r="W995" s="319"/>
      <c r="X995" s="319"/>
      <c r="Y995" s="319"/>
      <c r="Z995" s="319" t="s">
        <v>343</v>
      </c>
      <c r="AA995" s="319"/>
      <c r="AB995" s="319" t="s">
        <v>388</v>
      </c>
      <c r="AC995" s="327">
        <v>8.0</v>
      </c>
      <c r="AD995" s="319"/>
      <c r="AE995" s="319"/>
      <c r="AF995" s="319"/>
      <c r="AG995" s="319"/>
      <c r="AH995" s="319"/>
      <c r="AI995" s="319"/>
      <c r="AJ995" s="327"/>
      <c r="AK995" s="328"/>
      <c r="AL995" s="319"/>
      <c r="AM995" s="319"/>
      <c r="AN995" s="319"/>
      <c r="AO995" s="319"/>
      <c r="AP995" s="319"/>
      <c r="AQ995" s="319"/>
      <c r="AR995" s="319"/>
      <c r="AS995" s="327"/>
      <c r="AT995" s="461" t="s">
        <v>182</v>
      </c>
      <c r="AU995" s="345" t="s">
        <v>845</v>
      </c>
      <c r="AV995" s="330">
        <f>SQRT(($R995-Infrastructure!J$3)^2+($S995-Infrastructure!K$3)^2)</f>
        <v>43.39078243</v>
      </c>
      <c r="AW995" s="331">
        <f>SQRT(($R995-Infrastructure!J$4)^2+($S995-Infrastructure!K$4)^2)</f>
        <v>38.95600082</v>
      </c>
      <c r="AX995" s="331">
        <f>SQRT(($R995-Infrastructure!J$5)^2+($S995-Infrastructure!K$5)^2)</f>
        <v>37.44329045</v>
      </c>
      <c r="AY995" s="331">
        <f>SQRT(($R995-Infrastructure!J$6)^2+($S995-Infrastructure!K$6)^2)</f>
        <v>27.79496357</v>
      </c>
      <c r="AZ995" s="331">
        <f>SQRT(($R995-Infrastructure!J$7)^2+($S995-Infrastructure!K$7)^2)</f>
        <v>17.86393014</v>
      </c>
      <c r="BA995" s="331">
        <f>SQRT(($R995-Infrastructure!J$8)^2+($S995-Infrastructure!K$8)^2)</f>
        <v>9.620810777</v>
      </c>
      <c r="BB995" s="331">
        <f>SQRT(($R995-Infrastructure!J$9)^2+($S995-Infrastructure!K$9)^2)</f>
        <v>3.413209633</v>
      </c>
      <c r="BC995" s="331">
        <f>SQRT(($R995-Infrastructure!J$10)^2+($S995-Infrastructure!K$10)^2)</f>
        <v>8.603487665</v>
      </c>
      <c r="BD995" s="331">
        <f>SQRT(($R995-Infrastructure!J$11)^2+($S995-Infrastructure!K$11)^2)</f>
        <v>22.31636171</v>
      </c>
      <c r="BE995" s="333">
        <f>SQRT(($R995-Infrastructure!J$12)^2+($S995-Infrastructure!K$12)^2)</f>
        <v>51.04233537</v>
      </c>
      <c r="BF995" s="330">
        <f t="shared" si="14"/>
        <v>3.413209633</v>
      </c>
      <c r="BG995" s="333">
        <f t="shared" si="15"/>
        <v>51.04233537</v>
      </c>
      <c r="BH995" s="902">
        <v>36617.0</v>
      </c>
      <c r="BI995" s="462" t="s">
        <v>845</v>
      </c>
      <c r="BJ995" s="319" t="s">
        <v>845</v>
      </c>
      <c r="BK995" s="319" t="s">
        <v>845</v>
      </c>
      <c r="BL995" s="319" t="s">
        <v>845</v>
      </c>
      <c r="BM995" s="319" t="s">
        <v>845</v>
      </c>
      <c r="BN995" s="319" t="s">
        <v>845</v>
      </c>
      <c r="BO995" s="319" t="s">
        <v>845</v>
      </c>
      <c r="BP995" s="319" t="s">
        <v>845</v>
      </c>
      <c r="BQ995" s="319" t="s">
        <v>845</v>
      </c>
      <c r="BR995" s="324" t="s">
        <v>845</v>
      </c>
      <c r="BS995" s="330">
        <f t="shared" si="66"/>
        <v>0</v>
      </c>
      <c r="BT995" s="331">
        <f t="shared" si="67"/>
        <v>0</v>
      </c>
      <c r="BU995" s="331"/>
      <c r="BV995" s="903"/>
      <c r="BW995" s="330"/>
      <c r="BX995" s="331"/>
      <c r="BY995" s="331"/>
      <c r="BZ995" s="340"/>
      <c r="CA995" s="462" t="s">
        <v>845</v>
      </c>
      <c r="CB995" s="319" t="s">
        <v>845</v>
      </c>
      <c r="CC995" s="319" t="s">
        <v>845</v>
      </c>
      <c r="CD995" s="319" t="s">
        <v>845</v>
      </c>
      <c r="CE995" s="319" t="s">
        <v>845</v>
      </c>
      <c r="CF995" s="319" t="s">
        <v>845</v>
      </c>
      <c r="CG995" s="319" t="s">
        <v>845</v>
      </c>
      <c r="CH995" s="319" t="s">
        <v>845</v>
      </c>
      <c r="CI995" s="319" t="s">
        <v>845</v>
      </c>
      <c r="CJ995" s="327" t="s">
        <v>846</v>
      </c>
      <c r="CK995" s="342">
        <f t="shared" si="18"/>
        <v>51.04233537</v>
      </c>
      <c r="CL995" s="333">
        <f t="shared" si="19"/>
        <v>51.04233537</v>
      </c>
      <c r="CM995" s="829"/>
      <c r="CN995" s="333"/>
      <c r="CO995" s="333"/>
      <c r="CP995" s="333"/>
    </row>
    <row r="996">
      <c r="B996" s="462" t="s">
        <v>1652</v>
      </c>
      <c r="C996" s="417">
        <v>44404.0</v>
      </c>
      <c r="D996" s="318"/>
      <c r="E996" s="319">
        <v>17.0</v>
      </c>
      <c r="F996" s="324" t="s">
        <v>1670</v>
      </c>
      <c r="G996" s="321">
        <v>0.5586805555555555</v>
      </c>
      <c r="H996" s="323">
        <v>0.5590277777777778</v>
      </c>
      <c r="I996" s="323"/>
      <c r="J996" s="323"/>
      <c r="K996" s="323">
        <v>0.5604166666666667</v>
      </c>
      <c r="L996" s="323">
        <v>0.001388888888888889</v>
      </c>
      <c r="M996" s="319" t="s">
        <v>358</v>
      </c>
      <c r="N996" s="324" t="s">
        <v>187</v>
      </c>
      <c r="O996" s="419" t="s">
        <v>197</v>
      </c>
      <c r="P996" s="319" t="s">
        <v>220</v>
      </c>
      <c r="Q996" s="318"/>
      <c r="R996" s="326">
        <v>37.1</v>
      </c>
      <c r="S996" s="319">
        <v>6.9</v>
      </c>
      <c r="T996" s="324">
        <v>6.5</v>
      </c>
      <c r="U996" s="319">
        <v>3.0</v>
      </c>
      <c r="V996" s="319"/>
      <c r="W996" s="319"/>
      <c r="X996" s="319"/>
      <c r="Y996" s="319"/>
      <c r="Z996" s="319" t="s">
        <v>343</v>
      </c>
      <c r="AA996" s="319"/>
      <c r="AB996" s="319" t="s">
        <v>388</v>
      </c>
      <c r="AC996" s="327">
        <v>8.0</v>
      </c>
      <c r="AD996" s="319"/>
      <c r="AE996" s="319"/>
      <c r="AF996" s="319"/>
      <c r="AG996" s="319"/>
      <c r="AH996" s="319"/>
      <c r="AI996" s="319"/>
      <c r="AJ996" s="327"/>
      <c r="AK996" s="328"/>
      <c r="AL996" s="319"/>
      <c r="AM996" s="319"/>
      <c r="AN996" s="319"/>
      <c r="AO996" s="319"/>
      <c r="AP996" s="319"/>
      <c r="AQ996" s="319"/>
      <c r="AR996" s="319"/>
      <c r="AS996" s="327"/>
      <c r="AT996" s="461" t="s">
        <v>182</v>
      </c>
      <c r="AU996" s="345" t="s">
        <v>845</v>
      </c>
      <c r="AV996" s="330">
        <f>SQRT(($R996-Infrastructure!J$3)^2+($S996-Infrastructure!K$3)^2)</f>
        <v>43.39078243</v>
      </c>
      <c r="AW996" s="331">
        <f>SQRT(($R996-Infrastructure!J$4)^2+($S996-Infrastructure!K$4)^2)</f>
        <v>38.95600082</v>
      </c>
      <c r="AX996" s="331">
        <f>SQRT(($R996-Infrastructure!J$5)^2+($S996-Infrastructure!K$5)^2)</f>
        <v>37.44329045</v>
      </c>
      <c r="AY996" s="331">
        <f>SQRT(($R996-Infrastructure!J$6)^2+($S996-Infrastructure!K$6)^2)</f>
        <v>27.79496357</v>
      </c>
      <c r="AZ996" s="331">
        <f>SQRT(($R996-Infrastructure!J$7)^2+($S996-Infrastructure!K$7)^2)</f>
        <v>17.86393014</v>
      </c>
      <c r="BA996" s="331">
        <f>SQRT(($R996-Infrastructure!J$8)^2+($S996-Infrastructure!K$8)^2)</f>
        <v>9.620810777</v>
      </c>
      <c r="BB996" s="331">
        <f>SQRT(($R996-Infrastructure!J$9)^2+($S996-Infrastructure!K$9)^2)</f>
        <v>3.413209633</v>
      </c>
      <c r="BC996" s="331">
        <f>SQRT(($R996-Infrastructure!J$10)^2+($S996-Infrastructure!K$10)^2)</f>
        <v>8.603487665</v>
      </c>
      <c r="BD996" s="331">
        <f>SQRT(($R996-Infrastructure!J$11)^2+($S996-Infrastructure!K$11)^2)</f>
        <v>22.31636171</v>
      </c>
      <c r="BE996" s="333">
        <f>SQRT(($R996-Infrastructure!J$12)^2+($S996-Infrastructure!K$12)^2)</f>
        <v>51.04233537</v>
      </c>
      <c r="BF996" s="330">
        <f t="shared" si="14"/>
        <v>3.413209633</v>
      </c>
      <c r="BG996" s="333">
        <f t="shared" si="15"/>
        <v>51.04233537</v>
      </c>
      <c r="BH996" s="902">
        <v>36617.0</v>
      </c>
      <c r="BI996" s="462" t="s">
        <v>845</v>
      </c>
      <c r="BJ996" s="319" t="s">
        <v>845</v>
      </c>
      <c r="BK996" s="319" t="s">
        <v>845</v>
      </c>
      <c r="BL996" s="319" t="s">
        <v>845</v>
      </c>
      <c r="BM996" s="319" t="s">
        <v>845</v>
      </c>
      <c r="BN996" s="319" t="s">
        <v>845</v>
      </c>
      <c r="BO996" s="319" t="s">
        <v>846</v>
      </c>
      <c r="BP996" s="319" t="s">
        <v>845</v>
      </c>
      <c r="BQ996" s="319" t="s">
        <v>845</v>
      </c>
      <c r="BR996" s="324" t="s">
        <v>845</v>
      </c>
      <c r="BS996" s="330">
        <f t="shared" si="66"/>
        <v>3.413209633</v>
      </c>
      <c r="BT996" s="331">
        <f t="shared" si="67"/>
        <v>3.413209633</v>
      </c>
      <c r="BU996" s="904">
        <v>0.5590740740740741</v>
      </c>
      <c r="BV996" s="903">
        <f t="shared" ref="BV996:BV1002" si="70">BU996-G996</f>
        <v>0.0003935185185</v>
      </c>
      <c r="BW996" s="330"/>
      <c r="BX996" s="331"/>
      <c r="BY996" s="331"/>
      <c r="BZ996" s="340"/>
      <c r="CA996" s="462" t="s">
        <v>845</v>
      </c>
      <c r="CB996" s="319" t="s">
        <v>845</v>
      </c>
      <c r="CC996" s="319" t="s">
        <v>845</v>
      </c>
      <c r="CD996" s="319" t="s">
        <v>845</v>
      </c>
      <c r="CE996" s="319" t="s">
        <v>845</v>
      </c>
      <c r="CF996" s="319" t="s">
        <v>845</v>
      </c>
      <c r="CG996" s="319" t="s">
        <v>845</v>
      </c>
      <c r="CH996" s="319" t="s">
        <v>845</v>
      </c>
      <c r="CI996" s="319" t="s">
        <v>845</v>
      </c>
      <c r="CJ996" s="327" t="s">
        <v>846</v>
      </c>
      <c r="CK996" s="342">
        <f t="shared" si="18"/>
        <v>51.04233537</v>
      </c>
      <c r="CL996" s="333">
        <f t="shared" si="19"/>
        <v>51.04233537</v>
      </c>
      <c r="CM996" s="829"/>
      <c r="CN996" s="333"/>
      <c r="CO996" s="333"/>
      <c r="CP996" s="333"/>
    </row>
    <row r="997">
      <c r="B997" s="462" t="s">
        <v>1652</v>
      </c>
      <c r="C997" s="417">
        <v>44404.0</v>
      </c>
      <c r="D997" s="318"/>
      <c r="E997" s="319">
        <v>18.0</v>
      </c>
      <c r="F997" s="324" t="s">
        <v>1671</v>
      </c>
      <c r="G997" s="321">
        <v>0.5628472222222223</v>
      </c>
      <c r="H997" s="323">
        <v>0.5631944444444444</v>
      </c>
      <c r="I997" s="323"/>
      <c r="J997" s="323"/>
      <c r="K997" s="323">
        <v>0.5645833333333333</v>
      </c>
      <c r="L997" s="323">
        <v>0.001388888888888889</v>
      </c>
      <c r="M997" s="319" t="s">
        <v>358</v>
      </c>
      <c r="N997" s="324" t="s">
        <v>187</v>
      </c>
      <c r="O997" s="419" t="s">
        <v>197</v>
      </c>
      <c r="P997" s="319" t="s">
        <v>220</v>
      </c>
      <c r="Q997" s="318"/>
      <c r="R997" s="326">
        <v>37.1</v>
      </c>
      <c r="S997" s="319">
        <v>6.9</v>
      </c>
      <c r="T997" s="324">
        <v>6.5</v>
      </c>
      <c r="U997" s="319">
        <v>5.0</v>
      </c>
      <c r="V997" s="319"/>
      <c r="W997" s="319"/>
      <c r="X997" s="319"/>
      <c r="Y997" s="319"/>
      <c r="Z997" s="319" t="s">
        <v>343</v>
      </c>
      <c r="AA997" s="319"/>
      <c r="AB997" s="319" t="s">
        <v>392</v>
      </c>
      <c r="AC997" s="327">
        <v>10.0</v>
      </c>
      <c r="AD997" s="319"/>
      <c r="AE997" s="319"/>
      <c r="AF997" s="319"/>
      <c r="AG997" s="319"/>
      <c r="AH997" s="319"/>
      <c r="AI997" s="319"/>
      <c r="AJ997" s="327"/>
      <c r="AK997" s="328"/>
      <c r="AL997" s="319"/>
      <c r="AM997" s="319"/>
      <c r="AN997" s="319"/>
      <c r="AO997" s="319"/>
      <c r="AP997" s="319"/>
      <c r="AQ997" s="319"/>
      <c r="AR997" s="319"/>
      <c r="AS997" s="327"/>
      <c r="AT997" s="461" t="s">
        <v>182</v>
      </c>
      <c r="AU997" s="345" t="s">
        <v>845</v>
      </c>
      <c r="AV997" s="330">
        <f>SQRT(($R997-Infrastructure!J$3)^2+($S997-Infrastructure!K$3)^2)</f>
        <v>43.39078243</v>
      </c>
      <c r="AW997" s="331">
        <f>SQRT(($R997-Infrastructure!J$4)^2+($S997-Infrastructure!K$4)^2)</f>
        <v>38.95600082</v>
      </c>
      <c r="AX997" s="331">
        <f>SQRT(($R997-Infrastructure!J$5)^2+($S997-Infrastructure!K$5)^2)</f>
        <v>37.44329045</v>
      </c>
      <c r="AY997" s="331">
        <f>SQRT(($R997-Infrastructure!J$6)^2+($S997-Infrastructure!K$6)^2)</f>
        <v>27.79496357</v>
      </c>
      <c r="AZ997" s="331">
        <f>SQRT(($R997-Infrastructure!J$7)^2+($S997-Infrastructure!K$7)^2)</f>
        <v>17.86393014</v>
      </c>
      <c r="BA997" s="331">
        <f>SQRT(($R997-Infrastructure!J$8)^2+($S997-Infrastructure!K$8)^2)</f>
        <v>9.620810777</v>
      </c>
      <c r="BB997" s="331">
        <f>SQRT(($R997-Infrastructure!J$9)^2+($S997-Infrastructure!K$9)^2)</f>
        <v>3.413209633</v>
      </c>
      <c r="BC997" s="331">
        <f>SQRT(($R997-Infrastructure!J$10)^2+($S997-Infrastructure!K$10)^2)</f>
        <v>8.603487665</v>
      </c>
      <c r="BD997" s="331">
        <f>SQRT(($R997-Infrastructure!J$11)^2+($S997-Infrastructure!K$11)^2)</f>
        <v>22.31636171</v>
      </c>
      <c r="BE997" s="333">
        <f>SQRT(($R997-Infrastructure!J$12)^2+($S997-Infrastructure!K$12)^2)</f>
        <v>51.04233537</v>
      </c>
      <c r="BF997" s="330">
        <f t="shared" si="14"/>
        <v>3.413209633</v>
      </c>
      <c r="BG997" s="333">
        <f t="shared" si="15"/>
        <v>51.04233537</v>
      </c>
      <c r="BH997" s="902">
        <v>36617.0</v>
      </c>
      <c r="BI997" s="462" t="s">
        <v>845</v>
      </c>
      <c r="BJ997" s="319" t="s">
        <v>845</v>
      </c>
      <c r="BK997" s="319" t="s">
        <v>845</v>
      </c>
      <c r="BL997" s="319" t="s">
        <v>845</v>
      </c>
      <c r="BM997" s="319" t="s">
        <v>845</v>
      </c>
      <c r="BN997" s="319" t="s">
        <v>845</v>
      </c>
      <c r="BO997" s="319" t="s">
        <v>846</v>
      </c>
      <c r="BP997" s="319" t="s">
        <v>845</v>
      </c>
      <c r="BQ997" s="319" t="s">
        <v>845</v>
      </c>
      <c r="BR997" s="324" t="s">
        <v>845</v>
      </c>
      <c r="BS997" s="330">
        <f t="shared" si="66"/>
        <v>3.413209633</v>
      </c>
      <c r="BT997" s="331">
        <f t="shared" si="67"/>
        <v>3.413209633</v>
      </c>
      <c r="BU997" s="904">
        <v>0.5631597222222222</v>
      </c>
      <c r="BV997" s="903">
        <f t="shared" si="70"/>
        <v>0.0003125</v>
      </c>
      <c r="BW997" s="330"/>
      <c r="BX997" s="331"/>
      <c r="BY997" s="331"/>
      <c r="BZ997" s="340"/>
      <c r="CA997" s="462" t="s">
        <v>845</v>
      </c>
      <c r="CB997" s="319" t="s">
        <v>845</v>
      </c>
      <c r="CC997" s="319" t="s">
        <v>845</v>
      </c>
      <c r="CD997" s="319" t="s">
        <v>845</v>
      </c>
      <c r="CE997" s="319" t="s">
        <v>845</v>
      </c>
      <c r="CF997" s="319" t="s">
        <v>845</v>
      </c>
      <c r="CG997" s="319" t="s">
        <v>845</v>
      </c>
      <c r="CH997" s="319" t="s">
        <v>845</v>
      </c>
      <c r="CI997" s="319" t="s">
        <v>845</v>
      </c>
      <c r="CJ997" s="327" t="s">
        <v>846</v>
      </c>
      <c r="CK997" s="342">
        <f t="shared" si="18"/>
        <v>51.04233537</v>
      </c>
      <c r="CL997" s="333">
        <f t="shared" si="19"/>
        <v>51.04233537</v>
      </c>
      <c r="CM997" s="829"/>
      <c r="CN997" s="333"/>
      <c r="CO997" s="333"/>
      <c r="CP997" s="333"/>
    </row>
    <row r="998">
      <c r="B998" s="462" t="s">
        <v>1652</v>
      </c>
      <c r="C998" s="417">
        <v>44404.0</v>
      </c>
      <c r="D998" s="318"/>
      <c r="E998" s="319">
        <v>19.0</v>
      </c>
      <c r="F998" s="324" t="s">
        <v>1672</v>
      </c>
      <c r="G998" s="321">
        <v>0.5652777777777778</v>
      </c>
      <c r="H998" s="323">
        <v>0.565625</v>
      </c>
      <c r="I998" s="323"/>
      <c r="J998" s="323"/>
      <c r="K998" s="323">
        <v>0.5670138888888889</v>
      </c>
      <c r="L998" s="323">
        <v>0.001388888888888889</v>
      </c>
      <c r="M998" s="319" t="s">
        <v>358</v>
      </c>
      <c r="N998" s="324" t="s">
        <v>187</v>
      </c>
      <c r="O998" s="419" t="s">
        <v>197</v>
      </c>
      <c r="P998" s="319" t="s">
        <v>220</v>
      </c>
      <c r="Q998" s="318"/>
      <c r="R998" s="326">
        <v>37.1</v>
      </c>
      <c r="S998" s="319">
        <v>6.9</v>
      </c>
      <c r="T998" s="324">
        <v>6.5</v>
      </c>
      <c r="U998" s="319">
        <v>3.0</v>
      </c>
      <c r="V998" s="319"/>
      <c r="W998" s="319"/>
      <c r="X998" s="319"/>
      <c r="Y998" s="319"/>
      <c r="Z998" s="319" t="s">
        <v>343</v>
      </c>
      <c r="AA998" s="319"/>
      <c r="AB998" s="319" t="s">
        <v>392</v>
      </c>
      <c r="AC998" s="327">
        <v>10.0</v>
      </c>
      <c r="AD998" s="319"/>
      <c r="AE998" s="319"/>
      <c r="AF998" s="319"/>
      <c r="AG998" s="319"/>
      <c r="AH998" s="319"/>
      <c r="AI998" s="319"/>
      <c r="AJ998" s="327"/>
      <c r="AK998" s="328"/>
      <c r="AL998" s="319"/>
      <c r="AM998" s="319"/>
      <c r="AN998" s="319"/>
      <c r="AO998" s="319"/>
      <c r="AP998" s="319"/>
      <c r="AQ998" s="319"/>
      <c r="AR998" s="319"/>
      <c r="AS998" s="327"/>
      <c r="AT998" s="461" t="s">
        <v>182</v>
      </c>
      <c r="AU998" s="345" t="s">
        <v>845</v>
      </c>
      <c r="AV998" s="330">
        <f>SQRT(($R998-Infrastructure!J$3)^2+($S998-Infrastructure!K$3)^2)</f>
        <v>43.39078243</v>
      </c>
      <c r="AW998" s="331">
        <f>SQRT(($R998-Infrastructure!J$4)^2+($S998-Infrastructure!K$4)^2)</f>
        <v>38.95600082</v>
      </c>
      <c r="AX998" s="331">
        <f>SQRT(($R998-Infrastructure!J$5)^2+($S998-Infrastructure!K$5)^2)</f>
        <v>37.44329045</v>
      </c>
      <c r="AY998" s="331">
        <f>SQRT(($R998-Infrastructure!J$6)^2+($S998-Infrastructure!K$6)^2)</f>
        <v>27.79496357</v>
      </c>
      <c r="AZ998" s="331">
        <f>SQRT(($R998-Infrastructure!J$7)^2+($S998-Infrastructure!K$7)^2)</f>
        <v>17.86393014</v>
      </c>
      <c r="BA998" s="331">
        <f>SQRT(($R998-Infrastructure!J$8)^2+($S998-Infrastructure!K$8)^2)</f>
        <v>9.620810777</v>
      </c>
      <c r="BB998" s="331">
        <f>SQRT(($R998-Infrastructure!J$9)^2+($S998-Infrastructure!K$9)^2)</f>
        <v>3.413209633</v>
      </c>
      <c r="BC998" s="331">
        <f>SQRT(($R998-Infrastructure!J$10)^2+($S998-Infrastructure!K$10)^2)</f>
        <v>8.603487665</v>
      </c>
      <c r="BD998" s="331">
        <f>SQRT(($R998-Infrastructure!J$11)^2+($S998-Infrastructure!K$11)^2)</f>
        <v>22.31636171</v>
      </c>
      <c r="BE998" s="333">
        <f>SQRT(($R998-Infrastructure!J$12)^2+($S998-Infrastructure!K$12)^2)</f>
        <v>51.04233537</v>
      </c>
      <c r="BF998" s="330">
        <f t="shared" si="14"/>
        <v>3.413209633</v>
      </c>
      <c r="BG998" s="333">
        <f t="shared" si="15"/>
        <v>51.04233537</v>
      </c>
      <c r="BH998" s="902">
        <v>36617.0</v>
      </c>
      <c r="BI998" s="462" t="s">
        <v>845</v>
      </c>
      <c r="BJ998" s="319" t="s">
        <v>845</v>
      </c>
      <c r="BK998" s="319" t="s">
        <v>845</v>
      </c>
      <c r="BL998" s="319" t="s">
        <v>845</v>
      </c>
      <c r="BM998" s="319" t="s">
        <v>845</v>
      </c>
      <c r="BN998" s="319" t="s">
        <v>845</v>
      </c>
      <c r="BO998" s="319" t="s">
        <v>846</v>
      </c>
      <c r="BP998" s="319" t="s">
        <v>845</v>
      </c>
      <c r="BQ998" s="319" t="s">
        <v>845</v>
      </c>
      <c r="BR998" s="324" t="s">
        <v>845</v>
      </c>
      <c r="BS998" s="330">
        <f t="shared" si="66"/>
        <v>3.413209633</v>
      </c>
      <c r="BT998" s="331">
        <f t="shared" si="67"/>
        <v>3.413209633</v>
      </c>
      <c r="BU998" s="904">
        <v>0.5656712962962963</v>
      </c>
      <c r="BV998" s="903">
        <f t="shared" si="70"/>
        <v>0.0003935185185</v>
      </c>
      <c r="BW998" s="330"/>
      <c r="BX998" s="331"/>
      <c r="BY998" s="331"/>
      <c r="BZ998" s="340"/>
      <c r="CA998" s="462" t="s">
        <v>845</v>
      </c>
      <c r="CB998" s="319" t="s">
        <v>845</v>
      </c>
      <c r="CC998" s="319" t="s">
        <v>845</v>
      </c>
      <c r="CD998" s="319" t="s">
        <v>845</v>
      </c>
      <c r="CE998" s="319" t="s">
        <v>845</v>
      </c>
      <c r="CF998" s="319" t="s">
        <v>845</v>
      </c>
      <c r="CG998" s="319" t="s">
        <v>845</v>
      </c>
      <c r="CH998" s="319" t="s">
        <v>845</v>
      </c>
      <c r="CI998" s="319" t="s">
        <v>845</v>
      </c>
      <c r="CJ998" s="327" t="s">
        <v>846</v>
      </c>
      <c r="CK998" s="342">
        <f t="shared" si="18"/>
        <v>51.04233537</v>
      </c>
      <c r="CL998" s="333">
        <f t="shared" si="19"/>
        <v>51.04233537</v>
      </c>
      <c r="CM998" s="829"/>
      <c r="CN998" s="333"/>
      <c r="CO998" s="333"/>
      <c r="CP998" s="333"/>
    </row>
    <row r="999">
      <c r="B999" s="462" t="s">
        <v>1652</v>
      </c>
      <c r="C999" s="417">
        <v>44404.0</v>
      </c>
      <c r="D999" s="318"/>
      <c r="E999" s="319">
        <v>20.0</v>
      </c>
      <c r="F999" s="324" t="s">
        <v>1673</v>
      </c>
      <c r="G999" s="321">
        <v>0.6746527777777778</v>
      </c>
      <c r="H999" s="323">
        <v>0.675</v>
      </c>
      <c r="I999" s="323"/>
      <c r="J999" s="323"/>
      <c r="K999" s="323">
        <v>0.6763888888888889</v>
      </c>
      <c r="L999" s="323">
        <v>0.001388888888888889</v>
      </c>
      <c r="M999" s="319" t="s">
        <v>358</v>
      </c>
      <c r="N999" s="324" t="s">
        <v>187</v>
      </c>
      <c r="O999" s="419" t="s">
        <v>202</v>
      </c>
      <c r="P999" s="319" t="s">
        <v>212</v>
      </c>
      <c r="Q999" s="318"/>
      <c r="R999" s="326">
        <v>24.4</v>
      </c>
      <c r="S999" s="319">
        <v>7.5</v>
      </c>
      <c r="T999" s="324">
        <v>0.57</v>
      </c>
      <c r="U999" s="319">
        <v>5.0</v>
      </c>
      <c r="V999" s="319"/>
      <c r="W999" s="319"/>
      <c r="X999" s="319"/>
      <c r="Y999" s="319"/>
      <c r="Z999" s="319" t="s">
        <v>339</v>
      </c>
      <c r="AA999" s="319"/>
      <c r="AB999" s="319" t="s">
        <v>341</v>
      </c>
      <c r="AC999" s="327">
        <v>3.0</v>
      </c>
      <c r="AD999" s="319"/>
      <c r="AE999" s="319"/>
      <c r="AF999" s="319"/>
      <c r="AG999" s="319"/>
      <c r="AH999" s="319"/>
      <c r="AI999" s="319"/>
      <c r="AJ999" s="327"/>
      <c r="AK999" s="328"/>
      <c r="AL999" s="319"/>
      <c r="AM999" s="319"/>
      <c r="AN999" s="319"/>
      <c r="AO999" s="319"/>
      <c r="AP999" s="319"/>
      <c r="AQ999" s="319"/>
      <c r="AR999" s="319"/>
      <c r="AS999" s="327"/>
      <c r="AT999" s="461" t="s">
        <v>182</v>
      </c>
      <c r="AU999" s="345" t="s">
        <v>845</v>
      </c>
      <c r="AV999" s="330">
        <f>SQRT(($R999-Infrastructure!J$3)^2+($S999-Infrastructure!K$3)^2)</f>
        <v>32.68103426</v>
      </c>
      <c r="AW999" s="331">
        <f>SQRT(($R999-Infrastructure!J$4)^2+($S999-Infrastructure!K$4)^2)</f>
        <v>26.76153957</v>
      </c>
      <c r="AX999" s="331">
        <f>SQRT(($R999-Infrastructure!J$5)^2+($S999-Infrastructure!K$5)^2)</f>
        <v>24.81632527</v>
      </c>
      <c r="AY999" s="331">
        <f>SQRT(($R999-Infrastructure!J$6)^2+($S999-Infrastructure!K$6)^2)</f>
        <v>16.01030918</v>
      </c>
      <c r="AZ999" s="331">
        <f>SQRT(($R999-Infrastructure!J$7)^2+($S999-Infrastructure!K$7)^2)</f>
        <v>8.188406438</v>
      </c>
      <c r="BA999" s="331">
        <f>SQRT(($R999-Infrastructure!J$8)^2+($S999-Infrastructure!K$8)^2)</f>
        <v>9.183136719</v>
      </c>
      <c r="BB999" s="331">
        <f>SQRT(($R999-Infrastructure!J$9)^2+($S999-Infrastructure!K$9)^2)</f>
        <v>15.78353573</v>
      </c>
      <c r="BC999" s="331">
        <f>SQRT(($R999-Infrastructure!J$10)^2+($S999-Infrastructure!K$10)^2)</f>
        <v>17.30924608</v>
      </c>
      <c r="BD999" s="331">
        <f>SQRT(($R999-Infrastructure!J$11)^2+($S999-Infrastructure!K$11)^2)</f>
        <v>26.68126684</v>
      </c>
      <c r="BE999" s="333">
        <f>SQRT(($R999-Infrastructure!J$12)^2+($S999-Infrastructure!K$12)^2)</f>
        <v>48.08752437</v>
      </c>
      <c r="BF999" s="330">
        <f t="shared" si="14"/>
        <v>8.188406438</v>
      </c>
      <c r="BG999" s="333">
        <f t="shared" si="15"/>
        <v>48.08752437</v>
      </c>
      <c r="BH999" s="902">
        <v>36617.0</v>
      </c>
      <c r="BI999" s="462" t="s">
        <v>846</v>
      </c>
      <c r="BJ999" s="319" t="s">
        <v>846</v>
      </c>
      <c r="BK999" s="319" t="s">
        <v>846</v>
      </c>
      <c r="BL999" s="319" t="s">
        <v>846</v>
      </c>
      <c r="BM999" s="319" t="s">
        <v>846</v>
      </c>
      <c r="BN999" s="319" t="s">
        <v>846</v>
      </c>
      <c r="BO999" s="319" t="s">
        <v>846</v>
      </c>
      <c r="BP999" s="319" t="s">
        <v>846</v>
      </c>
      <c r="BQ999" s="319" t="s">
        <v>846</v>
      </c>
      <c r="BR999" s="324" t="s">
        <v>846</v>
      </c>
      <c r="BS999" s="330">
        <f t="shared" si="66"/>
        <v>8.188406438</v>
      </c>
      <c r="BT999" s="331">
        <f t="shared" si="67"/>
        <v>48.08752437</v>
      </c>
      <c r="BU999" s="904">
        <v>0.6748958333333334</v>
      </c>
      <c r="BV999" s="903">
        <f t="shared" si="70"/>
        <v>0.0002430555556</v>
      </c>
      <c r="BW999" s="614">
        <v>20.8</v>
      </c>
      <c r="BX999" s="615">
        <v>15.7</v>
      </c>
      <c r="BY999" s="331">
        <f t="shared" ref="BY999:BY1002" si="71">IF(BW999&gt;0, SQRT((R999-BW999)^2+(S999-BX999)^2))</f>
        <v>8.955445271</v>
      </c>
      <c r="BZ999" s="340"/>
      <c r="CA999" s="462" t="s">
        <v>846</v>
      </c>
      <c r="CB999" s="319" t="s">
        <v>845</v>
      </c>
      <c r="CC999" s="319" t="s">
        <v>845</v>
      </c>
      <c r="CD999" s="319" t="s">
        <v>846</v>
      </c>
      <c r="CE999" s="319" t="s">
        <v>846</v>
      </c>
      <c r="CF999" s="319" t="s">
        <v>845</v>
      </c>
      <c r="CG999" s="319" t="s">
        <v>845</v>
      </c>
      <c r="CH999" s="319" t="s">
        <v>846</v>
      </c>
      <c r="CI999" s="319" t="s">
        <v>845</v>
      </c>
      <c r="CJ999" s="327" t="s">
        <v>846</v>
      </c>
      <c r="CK999" s="342">
        <f t="shared" si="18"/>
        <v>8.188406438</v>
      </c>
      <c r="CL999" s="333">
        <f t="shared" si="19"/>
        <v>48.08752437</v>
      </c>
      <c r="CM999" s="829"/>
      <c r="CN999" s="333"/>
      <c r="CO999" s="333"/>
      <c r="CP999" s="333"/>
    </row>
    <row r="1000">
      <c r="B1000" s="462" t="s">
        <v>1652</v>
      </c>
      <c r="C1000" s="417">
        <v>44404.0</v>
      </c>
      <c r="D1000" s="318"/>
      <c r="E1000" s="319">
        <v>21.0</v>
      </c>
      <c r="F1000" s="324" t="s">
        <v>1674</v>
      </c>
      <c r="G1000" s="321">
        <v>0.6770833333333334</v>
      </c>
      <c r="H1000" s="323">
        <v>0.6774305555555555</v>
      </c>
      <c r="I1000" s="323"/>
      <c r="J1000" s="323"/>
      <c r="K1000" s="323">
        <v>0.6788194444444444</v>
      </c>
      <c r="L1000" s="323">
        <v>0.001388888888888889</v>
      </c>
      <c r="M1000" s="319" t="s">
        <v>358</v>
      </c>
      <c r="N1000" s="324" t="s">
        <v>187</v>
      </c>
      <c r="O1000" s="419" t="s">
        <v>202</v>
      </c>
      <c r="P1000" s="319" t="s">
        <v>212</v>
      </c>
      <c r="Q1000" s="318"/>
      <c r="R1000" s="326">
        <v>24.4</v>
      </c>
      <c r="S1000" s="319">
        <v>7.5</v>
      </c>
      <c r="T1000" s="324">
        <v>0.57</v>
      </c>
      <c r="U1000" s="319">
        <v>4.0</v>
      </c>
      <c r="V1000" s="319"/>
      <c r="W1000" s="319"/>
      <c r="X1000" s="319"/>
      <c r="Y1000" s="319"/>
      <c r="Z1000" s="319" t="s">
        <v>339</v>
      </c>
      <c r="AA1000" s="319"/>
      <c r="AB1000" s="319" t="s">
        <v>341</v>
      </c>
      <c r="AC1000" s="327">
        <v>3.0</v>
      </c>
      <c r="AD1000" s="319"/>
      <c r="AE1000" s="319"/>
      <c r="AF1000" s="319"/>
      <c r="AG1000" s="319"/>
      <c r="AH1000" s="319"/>
      <c r="AI1000" s="319"/>
      <c r="AJ1000" s="327"/>
      <c r="AK1000" s="328"/>
      <c r="AL1000" s="319"/>
      <c r="AM1000" s="319"/>
      <c r="AN1000" s="319"/>
      <c r="AO1000" s="319"/>
      <c r="AP1000" s="319"/>
      <c r="AQ1000" s="319"/>
      <c r="AR1000" s="319"/>
      <c r="AS1000" s="327"/>
      <c r="AT1000" s="461" t="s">
        <v>182</v>
      </c>
      <c r="AU1000" s="345" t="s">
        <v>845</v>
      </c>
      <c r="AV1000" s="330">
        <f>SQRT(($R1000-Infrastructure!J$3)^2+($S1000-Infrastructure!K$3)^2)</f>
        <v>32.68103426</v>
      </c>
      <c r="AW1000" s="331">
        <f>SQRT(($R1000-Infrastructure!J$4)^2+($S1000-Infrastructure!K$4)^2)</f>
        <v>26.76153957</v>
      </c>
      <c r="AX1000" s="331">
        <f>SQRT(($R1000-Infrastructure!J$5)^2+($S1000-Infrastructure!K$5)^2)</f>
        <v>24.81632527</v>
      </c>
      <c r="AY1000" s="331">
        <f>SQRT(($R1000-Infrastructure!J$6)^2+($S1000-Infrastructure!K$6)^2)</f>
        <v>16.01030918</v>
      </c>
      <c r="AZ1000" s="331">
        <f>SQRT(($R1000-Infrastructure!J$7)^2+($S1000-Infrastructure!K$7)^2)</f>
        <v>8.188406438</v>
      </c>
      <c r="BA1000" s="331">
        <f>SQRT(($R1000-Infrastructure!J$8)^2+($S1000-Infrastructure!K$8)^2)</f>
        <v>9.183136719</v>
      </c>
      <c r="BB1000" s="331">
        <f>SQRT(($R1000-Infrastructure!J$9)^2+($S1000-Infrastructure!K$9)^2)</f>
        <v>15.78353573</v>
      </c>
      <c r="BC1000" s="331">
        <f>SQRT(($R1000-Infrastructure!J$10)^2+($S1000-Infrastructure!K$10)^2)</f>
        <v>17.30924608</v>
      </c>
      <c r="BD1000" s="331">
        <f>SQRT(($R1000-Infrastructure!J$11)^2+($S1000-Infrastructure!K$11)^2)</f>
        <v>26.68126684</v>
      </c>
      <c r="BE1000" s="333">
        <f>SQRT(($R1000-Infrastructure!J$12)^2+($S1000-Infrastructure!K$12)^2)</f>
        <v>48.08752437</v>
      </c>
      <c r="BF1000" s="330">
        <f t="shared" si="14"/>
        <v>8.188406438</v>
      </c>
      <c r="BG1000" s="333">
        <f t="shared" si="15"/>
        <v>48.08752437</v>
      </c>
      <c r="BH1000" s="902">
        <v>36617.0</v>
      </c>
      <c r="BI1000" s="462" t="s">
        <v>846</v>
      </c>
      <c r="BJ1000" s="319" t="s">
        <v>845</v>
      </c>
      <c r="BK1000" s="319" t="s">
        <v>846</v>
      </c>
      <c r="BL1000" s="319" t="s">
        <v>846</v>
      </c>
      <c r="BM1000" s="319" t="s">
        <v>846</v>
      </c>
      <c r="BN1000" s="319" t="s">
        <v>846</v>
      </c>
      <c r="BO1000" s="319" t="s">
        <v>846</v>
      </c>
      <c r="BP1000" s="319" t="s">
        <v>846</v>
      </c>
      <c r="BQ1000" s="319" t="s">
        <v>846</v>
      </c>
      <c r="BR1000" s="324" t="s">
        <v>846</v>
      </c>
      <c r="BS1000" s="330">
        <f t="shared" si="66"/>
        <v>8.188406438</v>
      </c>
      <c r="BT1000" s="331">
        <f t="shared" si="67"/>
        <v>48.08752437</v>
      </c>
      <c r="BU1000" s="904">
        <v>0.6773726851851852</v>
      </c>
      <c r="BV1000" s="903">
        <f t="shared" si="70"/>
        <v>0.0002893518519</v>
      </c>
      <c r="BW1000" s="614">
        <v>24.0</v>
      </c>
      <c r="BX1000" s="615">
        <v>16.0</v>
      </c>
      <c r="BY1000" s="331">
        <f t="shared" si="71"/>
        <v>8.50940656</v>
      </c>
      <c r="BZ1000" s="340"/>
      <c r="CA1000" s="462" t="s">
        <v>846</v>
      </c>
      <c r="CB1000" s="319" t="s">
        <v>845</v>
      </c>
      <c r="CC1000" s="319" t="s">
        <v>845</v>
      </c>
      <c r="CD1000" s="319" t="s">
        <v>846</v>
      </c>
      <c r="CE1000" s="319" t="s">
        <v>846</v>
      </c>
      <c r="CF1000" s="319" t="s">
        <v>845</v>
      </c>
      <c r="CG1000" s="319" t="s">
        <v>845</v>
      </c>
      <c r="CH1000" s="319" t="s">
        <v>846</v>
      </c>
      <c r="CI1000" s="319" t="s">
        <v>845</v>
      </c>
      <c r="CJ1000" s="327" t="s">
        <v>846</v>
      </c>
      <c r="CK1000" s="342">
        <f t="shared" si="18"/>
        <v>8.188406438</v>
      </c>
      <c r="CL1000" s="333">
        <f t="shared" si="19"/>
        <v>48.08752437</v>
      </c>
      <c r="CM1000" s="829"/>
      <c r="CN1000" s="333"/>
      <c r="CO1000" s="333"/>
      <c r="CP1000" s="333"/>
    </row>
    <row r="1001">
      <c r="B1001" s="462" t="s">
        <v>1652</v>
      </c>
      <c r="C1001" s="417">
        <v>44404.0</v>
      </c>
      <c r="D1001" s="318"/>
      <c r="E1001" s="319">
        <v>22.0</v>
      </c>
      <c r="F1001" s="324" t="s">
        <v>1675</v>
      </c>
      <c r="G1001" s="321">
        <v>0.6795138888888889</v>
      </c>
      <c r="H1001" s="323">
        <v>0.6800347222222223</v>
      </c>
      <c r="I1001" s="323"/>
      <c r="J1001" s="323"/>
      <c r="K1001" s="323">
        <v>0.6814236111111112</v>
      </c>
      <c r="L1001" s="323">
        <v>0.001388888888888889</v>
      </c>
      <c r="M1001" s="319" t="s">
        <v>358</v>
      </c>
      <c r="N1001" s="324" t="s">
        <v>187</v>
      </c>
      <c r="O1001" s="419" t="s">
        <v>202</v>
      </c>
      <c r="P1001" s="319" t="s">
        <v>212</v>
      </c>
      <c r="Q1001" s="318"/>
      <c r="R1001" s="326">
        <v>24.4</v>
      </c>
      <c r="S1001" s="319">
        <v>7.5</v>
      </c>
      <c r="T1001" s="324">
        <v>0.57</v>
      </c>
      <c r="U1001" s="319">
        <v>3.0</v>
      </c>
      <c r="V1001" s="319"/>
      <c r="W1001" s="319"/>
      <c r="X1001" s="319"/>
      <c r="Y1001" s="319"/>
      <c r="Z1001" s="319" t="s">
        <v>339</v>
      </c>
      <c r="AA1001" s="319"/>
      <c r="AB1001" s="319" t="s">
        <v>341</v>
      </c>
      <c r="AC1001" s="327">
        <v>3.0</v>
      </c>
      <c r="AD1001" s="319"/>
      <c r="AE1001" s="319"/>
      <c r="AF1001" s="319"/>
      <c r="AG1001" s="319"/>
      <c r="AH1001" s="319"/>
      <c r="AI1001" s="319"/>
      <c r="AJ1001" s="327"/>
      <c r="AK1001" s="328"/>
      <c r="AL1001" s="319"/>
      <c r="AM1001" s="319"/>
      <c r="AN1001" s="319"/>
      <c r="AO1001" s="319"/>
      <c r="AP1001" s="319"/>
      <c r="AQ1001" s="319"/>
      <c r="AR1001" s="319"/>
      <c r="AS1001" s="327"/>
      <c r="AT1001" s="461" t="s">
        <v>182</v>
      </c>
      <c r="AU1001" s="345" t="s">
        <v>845</v>
      </c>
      <c r="AV1001" s="330">
        <f>SQRT(($R1001-Infrastructure!J$3)^2+($S1001-Infrastructure!K$3)^2)</f>
        <v>32.68103426</v>
      </c>
      <c r="AW1001" s="331">
        <f>SQRT(($R1001-Infrastructure!J$4)^2+($S1001-Infrastructure!K$4)^2)</f>
        <v>26.76153957</v>
      </c>
      <c r="AX1001" s="331">
        <f>SQRT(($R1001-Infrastructure!J$5)^2+($S1001-Infrastructure!K$5)^2)</f>
        <v>24.81632527</v>
      </c>
      <c r="AY1001" s="331">
        <f>SQRT(($R1001-Infrastructure!J$6)^2+($S1001-Infrastructure!K$6)^2)</f>
        <v>16.01030918</v>
      </c>
      <c r="AZ1001" s="331">
        <f>SQRT(($R1001-Infrastructure!J$7)^2+($S1001-Infrastructure!K$7)^2)</f>
        <v>8.188406438</v>
      </c>
      <c r="BA1001" s="331">
        <f>SQRT(($R1001-Infrastructure!J$8)^2+($S1001-Infrastructure!K$8)^2)</f>
        <v>9.183136719</v>
      </c>
      <c r="BB1001" s="331">
        <f>SQRT(($R1001-Infrastructure!J$9)^2+($S1001-Infrastructure!K$9)^2)</f>
        <v>15.78353573</v>
      </c>
      <c r="BC1001" s="331">
        <f>SQRT(($R1001-Infrastructure!J$10)^2+($S1001-Infrastructure!K$10)^2)</f>
        <v>17.30924608</v>
      </c>
      <c r="BD1001" s="331">
        <f>SQRT(($R1001-Infrastructure!J$11)^2+($S1001-Infrastructure!K$11)^2)</f>
        <v>26.68126684</v>
      </c>
      <c r="BE1001" s="333">
        <f>SQRT(($R1001-Infrastructure!J$12)^2+($S1001-Infrastructure!K$12)^2)</f>
        <v>48.08752437</v>
      </c>
      <c r="BF1001" s="330">
        <f t="shared" si="14"/>
        <v>8.188406438</v>
      </c>
      <c r="BG1001" s="333">
        <f t="shared" si="15"/>
        <v>48.08752437</v>
      </c>
      <c r="BH1001" s="902">
        <v>36617.0</v>
      </c>
      <c r="BI1001" s="462" t="s">
        <v>845</v>
      </c>
      <c r="BJ1001" s="319" t="s">
        <v>845</v>
      </c>
      <c r="BK1001" s="319" t="s">
        <v>846</v>
      </c>
      <c r="BL1001" s="319" t="s">
        <v>845</v>
      </c>
      <c r="BM1001" s="319" t="s">
        <v>846</v>
      </c>
      <c r="BN1001" s="319" t="s">
        <v>846</v>
      </c>
      <c r="BO1001" s="319" t="s">
        <v>846</v>
      </c>
      <c r="BP1001" s="319" t="s">
        <v>846</v>
      </c>
      <c r="BQ1001" s="319" t="s">
        <v>846</v>
      </c>
      <c r="BR1001" s="324" t="s">
        <v>845</v>
      </c>
      <c r="BS1001" s="330">
        <f t="shared" si="66"/>
        <v>8.188406438</v>
      </c>
      <c r="BT1001" s="331">
        <f t="shared" si="67"/>
        <v>26.68126684</v>
      </c>
      <c r="BU1001" s="904">
        <v>0.6798263888888889</v>
      </c>
      <c r="BV1001" s="903">
        <f t="shared" si="70"/>
        <v>0.0003125</v>
      </c>
      <c r="BW1001" s="614">
        <v>27.1</v>
      </c>
      <c r="BX1001" s="615">
        <v>12.1</v>
      </c>
      <c r="BY1001" s="331">
        <f t="shared" si="71"/>
        <v>5.333854141</v>
      </c>
      <c r="BZ1001" s="340"/>
      <c r="CA1001" s="462" t="s">
        <v>846</v>
      </c>
      <c r="CB1001" s="319" t="s">
        <v>845</v>
      </c>
      <c r="CC1001" s="319" t="s">
        <v>845</v>
      </c>
      <c r="CD1001" s="319" t="s">
        <v>846</v>
      </c>
      <c r="CE1001" s="319" t="s">
        <v>846</v>
      </c>
      <c r="CF1001" s="319" t="s">
        <v>845</v>
      </c>
      <c r="CG1001" s="319" t="s">
        <v>845</v>
      </c>
      <c r="CH1001" s="319" t="s">
        <v>845</v>
      </c>
      <c r="CI1001" s="319" t="s">
        <v>845</v>
      </c>
      <c r="CJ1001" s="327" t="s">
        <v>846</v>
      </c>
      <c r="CK1001" s="342">
        <f t="shared" si="18"/>
        <v>8.188406438</v>
      </c>
      <c r="CL1001" s="333">
        <f t="shared" si="19"/>
        <v>48.08752437</v>
      </c>
      <c r="CM1001" s="829"/>
      <c r="CN1001" s="333"/>
      <c r="CO1001" s="333"/>
      <c r="CP1001" s="333"/>
    </row>
    <row r="1002">
      <c r="B1002" s="462" t="s">
        <v>1652</v>
      </c>
      <c r="C1002" s="417">
        <v>44404.0</v>
      </c>
      <c r="D1002" s="318"/>
      <c r="E1002" s="319">
        <v>23.0</v>
      </c>
      <c r="F1002" s="324" t="s">
        <v>1676</v>
      </c>
      <c r="G1002" s="321">
        <v>0.6822916666666666</v>
      </c>
      <c r="H1002" s="323">
        <v>0.6826388888888889</v>
      </c>
      <c r="I1002" s="323"/>
      <c r="J1002" s="323"/>
      <c r="K1002" s="323">
        <v>0.6840277777777778</v>
      </c>
      <c r="L1002" s="323">
        <v>0.001388888888888889</v>
      </c>
      <c r="M1002" s="319" t="s">
        <v>358</v>
      </c>
      <c r="N1002" s="324" t="s">
        <v>187</v>
      </c>
      <c r="O1002" s="419" t="s">
        <v>202</v>
      </c>
      <c r="P1002" s="319" t="s">
        <v>212</v>
      </c>
      <c r="Q1002" s="318"/>
      <c r="R1002" s="326">
        <v>24.4</v>
      </c>
      <c r="S1002" s="319">
        <v>7.5</v>
      </c>
      <c r="T1002" s="324">
        <v>0.57</v>
      </c>
      <c r="U1002" s="319">
        <v>2.0</v>
      </c>
      <c r="V1002" s="319"/>
      <c r="W1002" s="319"/>
      <c r="X1002" s="319"/>
      <c r="Y1002" s="319"/>
      <c r="Z1002" s="319" t="s">
        <v>339</v>
      </c>
      <c r="AA1002" s="319"/>
      <c r="AB1002" s="319" t="s">
        <v>341</v>
      </c>
      <c r="AC1002" s="327">
        <v>3.0</v>
      </c>
      <c r="AD1002" s="319"/>
      <c r="AE1002" s="319"/>
      <c r="AF1002" s="319"/>
      <c r="AG1002" s="319"/>
      <c r="AH1002" s="319"/>
      <c r="AI1002" s="319"/>
      <c r="AJ1002" s="327"/>
      <c r="AK1002" s="328"/>
      <c r="AL1002" s="319"/>
      <c r="AM1002" s="319"/>
      <c r="AN1002" s="319"/>
      <c r="AO1002" s="319"/>
      <c r="AP1002" s="319"/>
      <c r="AQ1002" s="319"/>
      <c r="AR1002" s="319"/>
      <c r="AS1002" s="327"/>
      <c r="AT1002" s="461" t="s">
        <v>182</v>
      </c>
      <c r="AU1002" s="345" t="s">
        <v>845</v>
      </c>
      <c r="AV1002" s="330">
        <f>SQRT(($R1002-Infrastructure!J$3)^2+($S1002-Infrastructure!K$3)^2)</f>
        <v>32.68103426</v>
      </c>
      <c r="AW1002" s="331">
        <f>SQRT(($R1002-Infrastructure!J$4)^2+($S1002-Infrastructure!K$4)^2)</f>
        <v>26.76153957</v>
      </c>
      <c r="AX1002" s="331">
        <f>SQRT(($R1002-Infrastructure!J$5)^2+($S1002-Infrastructure!K$5)^2)</f>
        <v>24.81632527</v>
      </c>
      <c r="AY1002" s="331">
        <f>SQRT(($R1002-Infrastructure!J$6)^2+($S1002-Infrastructure!K$6)^2)</f>
        <v>16.01030918</v>
      </c>
      <c r="AZ1002" s="331">
        <f>SQRT(($R1002-Infrastructure!J$7)^2+($S1002-Infrastructure!K$7)^2)</f>
        <v>8.188406438</v>
      </c>
      <c r="BA1002" s="331">
        <f>SQRT(($R1002-Infrastructure!J$8)^2+($S1002-Infrastructure!K$8)^2)</f>
        <v>9.183136719</v>
      </c>
      <c r="BB1002" s="331">
        <f>SQRT(($R1002-Infrastructure!J$9)^2+($S1002-Infrastructure!K$9)^2)</f>
        <v>15.78353573</v>
      </c>
      <c r="BC1002" s="331">
        <f>SQRT(($R1002-Infrastructure!J$10)^2+($S1002-Infrastructure!K$10)^2)</f>
        <v>17.30924608</v>
      </c>
      <c r="BD1002" s="331">
        <f>SQRT(($R1002-Infrastructure!J$11)^2+($S1002-Infrastructure!K$11)^2)</f>
        <v>26.68126684</v>
      </c>
      <c r="BE1002" s="333">
        <f>SQRT(($R1002-Infrastructure!J$12)^2+($S1002-Infrastructure!K$12)^2)</f>
        <v>48.08752437</v>
      </c>
      <c r="BF1002" s="330">
        <f t="shared" si="14"/>
        <v>8.188406438</v>
      </c>
      <c r="BG1002" s="333">
        <f t="shared" si="15"/>
        <v>48.08752437</v>
      </c>
      <c r="BH1002" s="902">
        <v>36617.0</v>
      </c>
      <c r="BI1002" s="462" t="s">
        <v>845</v>
      </c>
      <c r="BJ1002" s="319" t="s">
        <v>845</v>
      </c>
      <c r="BK1002" s="319" t="s">
        <v>845</v>
      </c>
      <c r="BL1002" s="319" t="s">
        <v>845</v>
      </c>
      <c r="BM1002" s="319" t="s">
        <v>846</v>
      </c>
      <c r="BN1002" s="319" t="s">
        <v>846</v>
      </c>
      <c r="BO1002" s="319" t="s">
        <v>846</v>
      </c>
      <c r="BP1002" s="319" t="s">
        <v>846</v>
      </c>
      <c r="BQ1002" s="319" t="s">
        <v>845</v>
      </c>
      <c r="BR1002" s="324" t="s">
        <v>845</v>
      </c>
      <c r="BS1002" s="330">
        <f t="shared" si="66"/>
        <v>8.188406438</v>
      </c>
      <c r="BT1002" s="331">
        <f t="shared" si="67"/>
        <v>17.30924608</v>
      </c>
      <c r="BU1002" s="904">
        <v>0.682650462962963</v>
      </c>
      <c r="BV1002" s="903">
        <f t="shared" si="70"/>
        <v>0.0003587962963</v>
      </c>
      <c r="BW1002" s="614">
        <v>26.4</v>
      </c>
      <c r="BX1002" s="615">
        <v>8.9</v>
      </c>
      <c r="BY1002" s="331">
        <f t="shared" si="71"/>
        <v>2.441311123</v>
      </c>
      <c r="BZ1002" s="340"/>
      <c r="CA1002" s="462" t="s">
        <v>846</v>
      </c>
      <c r="CB1002" s="319" t="s">
        <v>845</v>
      </c>
      <c r="CC1002" s="319" t="s">
        <v>845</v>
      </c>
      <c r="CD1002" s="319" t="s">
        <v>846</v>
      </c>
      <c r="CE1002" s="319" t="s">
        <v>846</v>
      </c>
      <c r="CF1002" s="319" t="s">
        <v>845</v>
      </c>
      <c r="CG1002" s="319" t="s">
        <v>845</v>
      </c>
      <c r="CH1002" s="319" t="s">
        <v>845</v>
      </c>
      <c r="CI1002" s="319" t="s">
        <v>845</v>
      </c>
      <c r="CJ1002" s="327" t="s">
        <v>846</v>
      </c>
      <c r="CK1002" s="342">
        <f t="shared" si="18"/>
        <v>8.188406438</v>
      </c>
      <c r="CL1002" s="333">
        <f t="shared" si="19"/>
        <v>48.08752437</v>
      </c>
      <c r="CM1002" s="829"/>
      <c r="CN1002" s="333"/>
      <c r="CO1002" s="333"/>
      <c r="CP1002" s="333"/>
    </row>
    <row r="1003">
      <c r="B1003" s="462" t="s">
        <v>1652</v>
      </c>
      <c r="C1003" s="417">
        <v>44404.0</v>
      </c>
      <c r="D1003" s="318"/>
      <c r="E1003" s="319">
        <v>24.0</v>
      </c>
      <c r="F1003" s="324" t="s">
        <v>1677</v>
      </c>
      <c r="G1003" s="321">
        <v>0.6847222222222222</v>
      </c>
      <c r="H1003" s="323">
        <v>0.6850694444444444</v>
      </c>
      <c r="I1003" s="323"/>
      <c r="J1003" s="323"/>
      <c r="K1003" s="323">
        <v>0.6864583333333333</v>
      </c>
      <c r="L1003" s="323">
        <v>0.001388888888888889</v>
      </c>
      <c r="M1003" s="319" t="s">
        <v>358</v>
      </c>
      <c r="N1003" s="324" t="s">
        <v>187</v>
      </c>
      <c r="O1003" s="419" t="s">
        <v>202</v>
      </c>
      <c r="P1003" s="319" t="s">
        <v>212</v>
      </c>
      <c r="Q1003" s="318"/>
      <c r="R1003" s="326">
        <v>24.4</v>
      </c>
      <c r="S1003" s="319">
        <v>7.5</v>
      </c>
      <c r="T1003" s="324">
        <v>0.57</v>
      </c>
      <c r="U1003" s="319">
        <v>1.0</v>
      </c>
      <c r="V1003" s="319"/>
      <c r="W1003" s="319"/>
      <c r="X1003" s="319"/>
      <c r="Y1003" s="319"/>
      <c r="Z1003" s="319" t="s">
        <v>339</v>
      </c>
      <c r="AA1003" s="319"/>
      <c r="AB1003" s="319" t="s">
        <v>341</v>
      </c>
      <c r="AC1003" s="327">
        <v>3.0</v>
      </c>
      <c r="AD1003" s="319"/>
      <c r="AE1003" s="319"/>
      <c r="AF1003" s="319"/>
      <c r="AG1003" s="319"/>
      <c r="AH1003" s="319"/>
      <c r="AI1003" s="319"/>
      <c r="AJ1003" s="327"/>
      <c r="AK1003" s="328"/>
      <c r="AL1003" s="319"/>
      <c r="AM1003" s="319"/>
      <c r="AN1003" s="319"/>
      <c r="AO1003" s="319"/>
      <c r="AP1003" s="319"/>
      <c r="AQ1003" s="319"/>
      <c r="AR1003" s="319"/>
      <c r="AS1003" s="327"/>
      <c r="AT1003" s="461" t="s">
        <v>182</v>
      </c>
      <c r="AU1003" s="345" t="s">
        <v>845</v>
      </c>
      <c r="AV1003" s="330">
        <f>SQRT(($R1003-Infrastructure!J$3)^2+($S1003-Infrastructure!K$3)^2)</f>
        <v>32.68103426</v>
      </c>
      <c r="AW1003" s="331">
        <f>SQRT(($R1003-Infrastructure!J$4)^2+($S1003-Infrastructure!K$4)^2)</f>
        <v>26.76153957</v>
      </c>
      <c r="AX1003" s="331">
        <f>SQRT(($R1003-Infrastructure!J$5)^2+($S1003-Infrastructure!K$5)^2)</f>
        <v>24.81632527</v>
      </c>
      <c r="AY1003" s="331">
        <f>SQRT(($R1003-Infrastructure!J$6)^2+($S1003-Infrastructure!K$6)^2)</f>
        <v>16.01030918</v>
      </c>
      <c r="AZ1003" s="331">
        <f>SQRT(($R1003-Infrastructure!J$7)^2+($S1003-Infrastructure!K$7)^2)</f>
        <v>8.188406438</v>
      </c>
      <c r="BA1003" s="331">
        <f>SQRT(($R1003-Infrastructure!J$8)^2+($S1003-Infrastructure!K$8)^2)</f>
        <v>9.183136719</v>
      </c>
      <c r="BB1003" s="331">
        <f>SQRT(($R1003-Infrastructure!J$9)^2+($S1003-Infrastructure!K$9)^2)</f>
        <v>15.78353573</v>
      </c>
      <c r="BC1003" s="331">
        <f>SQRT(($R1003-Infrastructure!J$10)^2+($S1003-Infrastructure!K$10)^2)</f>
        <v>17.30924608</v>
      </c>
      <c r="BD1003" s="331">
        <f>SQRT(($R1003-Infrastructure!J$11)^2+($S1003-Infrastructure!K$11)^2)</f>
        <v>26.68126684</v>
      </c>
      <c r="BE1003" s="333">
        <f>SQRT(($R1003-Infrastructure!J$12)^2+($S1003-Infrastructure!K$12)^2)</f>
        <v>48.08752437</v>
      </c>
      <c r="BF1003" s="330">
        <f t="shared" si="14"/>
        <v>8.188406438</v>
      </c>
      <c r="BG1003" s="333">
        <f t="shared" si="15"/>
        <v>48.08752437</v>
      </c>
      <c r="BH1003" s="902">
        <v>36617.0</v>
      </c>
      <c r="BI1003" s="462" t="s">
        <v>845</v>
      </c>
      <c r="BJ1003" s="319" t="s">
        <v>845</v>
      </c>
      <c r="BK1003" s="319" t="s">
        <v>845</v>
      </c>
      <c r="BL1003" s="319" t="s">
        <v>845</v>
      </c>
      <c r="BM1003" s="319" t="s">
        <v>845</v>
      </c>
      <c r="BN1003" s="319" t="s">
        <v>845</v>
      </c>
      <c r="BO1003" s="319" t="s">
        <v>845</v>
      </c>
      <c r="BP1003" s="319" t="s">
        <v>845</v>
      </c>
      <c r="BQ1003" s="319" t="s">
        <v>845</v>
      </c>
      <c r="BR1003" s="324" t="s">
        <v>845</v>
      </c>
      <c r="BS1003" s="330">
        <f t="shared" si="66"/>
        <v>0</v>
      </c>
      <c r="BT1003" s="331">
        <f t="shared" si="67"/>
        <v>0</v>
      </c>
      <c r="BU1003" s="331"/>
      <c r="BV1003" s="903"/>
      <c r="BW1003" s="330"/>
      <c r="BX1003" s="331"/>
      <c r="BY1003" s="331"/>
      <c r="BZ1003" s="340"/>
      <c r="CA1003" s="462" t="s">
        <v>845</v>
      </c>
      <c r="CB1003" s="319" t="s">
        <v>845</v>
      </c>
      <c r="CC1003" s="319" t="s">
        <v>845</v>
      </c>
      <c r="CD1003" s="319" t="s">
        <v>845</v>
      </c>
      <c r="CE1003" s="319" t="s">
        <v>845</v>
      </c>
      <c r="CF1003" s="319" t="s">
        <v>845</v>
      </c>
      <c r="CG1003" s="319" t="s">
        <v>845</v>
      </c>
      <c r="CH1003" s="319" t="s">
        <v>845</v>
      </c>
      <c r="CI1003" s="319" t="s">
        <v>845</v>
      </c>
      <c r="CJ1003" s="327" t="s">
        <v>845</v>
      </c>
      <c r="CK1003" s="342">
        <f t="shared" si="18"/>
        <v>0</v>
      </c>
      <c r="CL1003" s="333">
        <f t="shared" si="19"/>
        <v>0</v>
      </c>
      <c r="CM1003" s="829"/>
      <c r="CN1003" s="333"/>
      <c r="CO1003" s="333"/>
      <c r="CP1003" s="333"/>
    </row>
    <row r="1004">
      <c r="B1004" s="462" t="s">
        <v>1652</v>
      </c>
      <c r="C1004" s="417">
        <v>44404.0</v>
      </c>
      <c r="D1004" s="318"/>
      <c r="E1004" s="319">
        <v>25.0</v>
      </c>
      <c r="F1004" s="324" t="s">
        <v>1678</v>
      </c>
      <c r="G1004" s="321">
        <v>0.6871527777777777</v>
      </c>
      <c r="H1004" s="323">
        <v>0.6878472222222223</v>
      </c>
      <c r="I1004" s="323"/>
      <c r="J1004" s="323"/>
      <c r="K1004" s="323">
        <v>0.6892361111111112</v>
      </c>
      <c r="L1004" s="323">
        <v>0.001388888888888889</v>
      </c>
      <c r="M1004" s="319" t="s">
        <v>358</v>
      </c>
      <c r="N1004" s="324" t="s">
        <v>187</v>
      </c>
      <c r="O1004" s="419" t="s">
        <v>202</v>
      </c>
      <c r="P1004" s="319" t="s">
        <v>212</v>
      </c>
      <c r="Q1004" s="318"/>
      <c r="R1004" s="326">
        <v>24.4</v>
      </c>
      <c r="S1004" s="319">
        <v>7.5</v>
      </c>
      <c r="T1004" s="324">
        <v>0.57</v>
      </c>
      <c r="U1004" s="319">
        <v>0.5</v>
      </c>
      <c r="V1004" s="319"/>
      <c r="W1004" s="319"/>
      <c r="X1004" s="319"/>
      <c r="Y1004" s="319"/>
      <c r="Z1004" s="319" t="s">
        <v>339</v>
      </c>
      <c r="AA1004" s="319"/>
      <c r="AB1004" s="319" t="s">
        <v>341</v>
      </c>
      <c r="AC1004" s="327">
        <v>3.0</v>
      </c>
      <c r="AD1004" s="319"/>
      <c r="AE1004" s="319"/>
      <c r="AF1004" s="319"/>
      <c r="AG1004" s="319"/>
      <c r="AH1004" s="319"/>
      <c r="AI1004" s="319"/>
      <c r="AJ1004" s="327"/>
      <c r="AK1004" s="328"/>
      <c r="AL1004" s="319"/>
      <c r="AM1004" s="319"/>
      <c r="AN1004" s="319"/>
      <c r="AO1004" s="319"/>
      <c r="AP1004" s="319"/>
      <c r="AQ1004" s="319"/>
      <c r="AR1004" s="319"/>
      <c r="AS1004" s="327"/>
      <c r="AT1004" s="461" t="s">
        <v>181</v>
      </c>
      <c r="AU1004" s="345" t="s">
        <v>845</v>
      </c>
      <c r="AV1004" s="330">
        <f>SQRT(($R1004-Infrastructure!J$3)^2+($S1004-Infrastructure!K$3)^2)</f>
        <v>32.68103426</v>
      </c>
      <c r="AW1004" s="331">
        <f>SQRT(($R1004-Infrastructure!J$4)^2+($S1004-Infrastructure!K$4)^2)</f>
        <v>26.76153957</v>
      </c>
      <c r="AX1004" s="331">
        <f>SQRT(($R1004-Infrastructure!J$5)^2+($S1004-Infrastructure!K$5)^2)</f>
        <v>24.81632527</v>
      </c>
      <c r="AY1004" s="331">
        <f>SQRT(($R1004-Infrastructure!J$6)^2+($S1004-Infrastructure!K$6)^2)</f>
        <v>16.01030918</v>
      </c>
      <c r="AZ1004" s="331">
        <f>SQRT(($R1004-Infrastructure!J$7)^2+($S1004-Infrastructure!K$7)^2)</f>
        <v>8.188406438</v>
      </c>
      <c r="BA1004" s="331">
        <f>SQRT(($R1004-Infrastructure!J$8)^2+($S1004-Infrastructure!K$8)^2)</f>
        <v>9.183136719</v>
      </c>
      <c r="BB1004" s="331">
        <f>SQRT(($R1004-Infrastructure!J$9)^2+($S1004-Infrastructure!K$9)^2)</f>
        <v>15.78353573</v>
      </c>
      <c r="BC1004" s="331">
        <f>SQRT(($R1004-Infrastructure!J$10)^2+($S1004-Infrastructure!K$10)^2)</f>
        <v>17.30924608</v>
      </c>
      <c r="BD1004" s="331">
        <f>SQRT(($R1004-Infrastructure!J$11)^2+($S1004-Infrastructure!K$11)^2)</f>
        <v>26.68126684</v>
      </c>
      <c r="BE1004" s="333">
        <f>SQRT(($R1004-Infrastructure!J$12)^2+($S1004-Infrastructure!K$12)^2)</f>
        <v>48.08752437</v>
      </c>
      <c r="BF1004" s="330">
        <f t="shared" si="14"/>
        <v>8.188406438</v>
      </c>
      <c r="BG1004" s="333">
        <f t="shared" si="15"/>
        <v>48.08752437</v>
      </c>
      <c r="BH1004" s="902">
        <v>36617.0</v>
      </c>
      <c r="BI1004" s="462" t="s">
        <v>845</v>
      </c>
      <c r="BJ1004" s="319" t="s">
        <v>845</v>
      </c>
      <c r="BK1004" s="319" t="s">
        <v>845</v>
      </c>
      <c r="BL1004" s="319" t="s">
        <v>845</v>
      </c>
      <c r="BM1004" s="319" t="s">
        <v>845</v>
      </c>
      <c r="BN1004" s="319" t="s">
        <v>845</v>
      </c>
      <c r="BO1004" s="319" t="s">
        <v>845</v>
      </c>
      <c r="BP1004" s="319" t="s">
        <v>845</v>
      </c>
      <c r="BQ1004" s="319" t="s">
        <v>845</v>
      </c>
      <c r="BR1004" s="324" t="s">
        <v>845</v>
      </c>
      <c r="BS1004" s="330">
        <f t="shared" si="66"/>
        <v>0</v>
      </c>
      <c r="BT1004" s="331">
        <f t="shared" si="67"/>
        <v>0</v>
      </c>
      <c r="BU1004" s="331"/>
      <c r="BV1004" s="903"/>
      <c r="BW1004" s="330"/>
      <c r="BX1004" s="331"/>
      <c r="BY1004" s="331"/>
      <c r="BZ1004" s="340"/>
      <c r="CA1004" s="462" t="s">
        <v>845</v>
      </c>
      <c r="CB1004" s="319" t="s">
        <v>845</v>
      </c>
      <c r="CC1004" s="319" t="s">
        <v>845</v>
      </c>
      <c r="CD1004" s="319" t="s">
        <v>845</v>
      </c>
      <c r="CE1004" s="319" t="s">
        <v>845</v>
      </c>
      <c r="CF1004" s="319" t="s">
        <v>845</v>
      </c>
      <c r="CG1004" s="319" t="s">
        <v>845</v>
      </c>
      <c r="CH1004" s="319" t="s">
        <v>845</v>
      </c>
      <c r="CI1004" s="319" t="s">
        <v>845</v>
      </c>
      <c r="CJ1004" s="327" t="s">
        <v>845</v>
      </c>
      <c r="CK1004" s="342">
        <f t="shared" si="18"/>
        <v>0</v>
      </c>
      <c r="CL1004" s="333">
        <f t="shared" si="19"/>
        <v>0</v>
      </c>
      <c r="CM1004" s="829"/>
      <c r="CN1004" s="333"/>
      <c r="CO1004" s="333"/>
      <c r="CP1004" s="333"/>
    </row>
    <row r="1005">
      <c r="B1005" s="462" t="s">
        <v>1652</v>
      </c>
      <c r="C1005" s="417">
        <v>44404.0</v>
      </c>
      <c r="D1005" s="318"/>
      <c r="E1005" s="319"/>
      <c r="F1005" s="324" t="s">
        <v>1679</v>
      </c>
      <c r="G1005" s="321">
        <v>0.6969328703703703</v>
      </c>
      <c r="H1005" s="323"/>
      <c r="I1005" s="323"/>
      <c r="J1005" s="323"/>
      <c r="K1005" s="323">
        <v>0.697511574074074</v>
      </c>
      <c r="L1005" s="323">
        <v>5.787037037037037E-4</v>
      </c>
      <c r="M1005" s="319" t="s">
        <v>358</v>
      </c>
      <c r="N1005" s="324" t="s">
        <v>188</v>
      </c>
      <c r="O1005" s="419"/>
      <c r="P1005" s="319" t="s">
        <v>231</v>
      </c>
      <c r="Q1005" s="318"/>
      <c r="R1005" s="833"/>
      <c r="S1005" s="319"/>
      <c r="T1005" s="324"/>
      <c r="U1005" s="834"/>
      <c r="V1005" s="834"/>
      <c r="W1005" s="834"/>
      <c r="X1005" s="834"/>
      <c r="Y1005" s="834"/>
      <c r="Z1005" s="319" t="s">
        <v>323</v>
      </c>
      <c r="AA1005" s="319"/>
      <c r="AB1005" s="319" t="s">
        <v>323</v>
      </c>
      <c r="AC1005" s="327" t="s">
        <v>323</v>
      </c>
      <c r="AD1005" s="319"/>
      <c r="AE1005" s="319"/>
      <c r="AF1005" s="319"/>
      <c r="AG1005" s="319"/>
      <c r="AH1005" s="319"/>
      <c r="AI1005" s="319"/>
      <c r="AJ1005" s="327"/>
      <c r="AK1005" s="328"/>
      <c r="AL1005" s="319"/>
      <c r="AM1005" s="319"/>
      <c r="AN1005" s="319"/>
      <c r="AO1005" s="319"/>
      <c r="AP1005" s="319"/>
      <c r="AQ1005" s="319"/>
      <c r="AR1005" s="319"/>
      <c r="AS1005" s="327"/>
      <c r="AT1005" s="461"/>
      <c r="AU1005" s="324"/>
      <c r="AV1005" s="330">
        <f>SQRT(($R1005-Infrastructure!J$3)^2+($S1005-Infrastructure!K$3)^2)</f>
        <v>28.90155705</v>
      </c>
      <c r="AW1005" s="331">
        <f>SQRT(($R1005-Infrastructure!J$4)^2+($S1005-Infrastructure!K$4)^2)</f>
        <v>17.80252791</v>
      </c>
      <c r="AX1005" s="331">
        <f>SQRT(($R1005-Infrastructure!J$5)^2+($S1005-Infrastructure!K$5)^2)</f>
        <v>5.10881591</v>
      </c>
      <c r="AY1005" s="331">
        <f>SQRT(($R1005-Infrastructure!J$6)^2+($S1005-Infrastructure!K$6)^2)</f>
        <v>10.10445446</v>
      </c>
      <c r="AZ1005" s="331">
        <f>SQRT(($R1005-Infrastructure!J$7)^2+($S1005-Infrastructure!K$7)^2)</f>
        <v>20.502195</v>
      </c>
      <c r="BA1005" s="331">
        <f>SQRT(($R1005-Infrastructure!J$8)^2+($S1005-Infrastructure!K$8)^2)</f>
        <v>30.10149498</v>
      </c>
      <c r="BB1005" s="331">
        <f>SQRT(($R1005-Infrastructure!J$9)^2+($S1005-Infrastructure!K$9)^2)</f>
        <v>40.3238143</v>
      </c>
      <c r="BC1005" s="331">
        <f>SQRT(($R1005-Infrastructure!J$10)^2+($S1005-Infrastructure!K$10)^2)</f>
        <v>42.72001873</v>
      </c>
      <c r="BD1005" s="331">
        <f>SQRT(($R1005-Infrastructure!J$11)^2+($S1005-Infrastructure!K$11)^2)</f>
        <v>49.56853841</v>
      </c>
      <c r="BE1005" s="333">
        <f>SQRT(($R1005-Infrastructure!J$12)^2+($S1005-Infrastructure!K$12)^2)</f>
        <v>59.51890456</v>
      </c>
      <c r="BF1005" s="330">
        <f t="shared" si="14"/>
        <v>5.10881591</v>
      </c>
      <c r="BG1005" s="333">
        <f t="shared" si="15"/>
        <v>59.51890456</v>
      </c>
      <c r="BH1005" s="902">
        <v>36617.0</v>
      </c>
      <c r="BI1005" s="462" t="s">
        <v>845</v>
      </c>
      <c r="BJ1005" s="319" t="s">
        <v>846</v>
      </c>
      <c r="BK1005" s="319" t="s">
        <v>845</v>
      </c>
      <c r="BL1005" s="319" t="s">
        <v>845</v>
      </c>
      <c r="BM1005" s="319" t="s">
        <v>845</v>
      </c>
      <c r="BN1005" s="319" t="s">
        <v>846</v>
      </c>
      <c r="BO1005" s="319" t="s">
        <v>845</v>
      </c>
      <c r="BP1005" s="319" t="s">
        <v>846</v>
      </c>
      <c r="BQ1005" s="319" t="s">
        <v>846</v>
      </c>
      <c r="BR1005" s="324" t="s">
        <v>846</v>
      </c>
      <c r="BS1005" s="330"/>
      <c r="BT1005" s="331"/>
      <c r="BU1005" s="723"/>
      <c r="BV1005" s="903"/>
      <c r="BW1005" s="907"/>
      <c r="BX1005" s="908"/>
      <c r="BY1005" s="331"/>
      <c r="BZ1005" s="340"/>
      <c r="CA1005" s="462" t="s">
        <v>845</v>
      </c>
      <c r="CB1005" s="319" t="s">
        <v>845</v>
      </c>
      <c r="CC1005" s="319" t="s">
        <v>845</v>
      </c>
      <c r="CD1005" s="319" t="s">
        <v>845</v>
      </c>
      <c r="CE1005" s="319" t="s">
        <v>845</v>
      </c>
      <c r="CF1005" s="319" t="s">
        <v>845</v>
      </c>
      <c r="CG1005" s="319" t="s">
        <v>845</v>
      </c>
      <c r="CH1005" s="319" t="s">
        <v>845</v>
      </c>
      <c r="CI1005" s="319" t="s">
        <v>845</v>
      </c>
      <c r="CJ1005" s="327" t="s">
        <v>845</v>
      </c>
      <c r="CK1005" s="342">
        <f t="shared" si="18"/>
        <v>0</v>
      </c>
      <c r="CL1005" s="333">
        <f t="shared" si="19"/>
        <v>0</v>
      </c>
      <c r="CM1005" s="829"/>
      <c r="CN1005" s="333"/>
      <c r="CO1005" s="333"/>
      <c r="CP1005" s="333"/>
    </row>
    <row r="1006">
      <c r="A1006" s="389" t="s">
        <v>53</v>
      </c>
      <c r="B1006" s="573" t="s">
        <v>1680</v>
      </c>
      <c r="C1006" s="909">
        <v>44446.0</v>
      </c>
      <c r="D1006" s="392"/>
      <c r="E1006" s="393">
        <v>1.0</v>
      </c>
      <c r="F1006" s="394" t="s">
        <v>1681</v>
      </c>
      <c r="G1006" s="395">
        <v>0.5666666666666667</v>
      </c>
      <c r="H1006" s="456">
        <v>0.5673611111111111</v>
      </c>
      <c r="I1006" s="456"/>
      <c r="J1006" s="456"/>
      <c r="K1006" s="456">
        <v>0.5982638888888889</v>
      </c>
      <c r="L1006" s="456">
        <v>0.03090277777777778</v>
      </c>
      <c r="M1006" s="393" t="s">
        <v>166</v>
      </c>
      <c r="N1006" s="394" t="s">
        <v>187</v>
      </c>
      <c r="O1006" s="399" t="s">
        <v>198</v>
      </c>
      <c r="P1006" s="393" t="s">
        <v>213</v>
      </c>
      <c r="Q1006" s="392"/>
      <c r="R1006" s="400">
        <v>10.7</v>
      </c>
      <c r="S1006" s="393">
        <v>10.9</v>
      </c>
      <c r="T1006" s="394">
        <v>3.0</v>
      </c>
      <c r="U1006" s="393">
        <v>2.0</v>
      </c>
      <c r="V1006" s="393"/>
      <c r="W1006" s="393"/>
      <c r="X1006" s="393"/>
      <c r="Y1006" s="393"/>
      <c r="Z1006" s="393" t="s">
        <v>343</v>
      </c>
      <c r="AA1006" s="393"/>
      <c r="AB1006" s="393" t="s">
        <v>384</v>
      </c>
      <c r="AC1006" s="401">
        <v>6.0</v>
      </c>
      <c r="AD1006" s="393"/>
      <c r="AE1006" s="393"/>
      <c r="AF1006" s="393"/>
      <c r="AG1006" s="393"/>
      <c r="AH1006" s="393"/>
      <c r="AI1006" s="393"/>
      <c r="AJ1006" s="401"/>
      <c r="AK1006" s="402"/>
      <c r="AL1006" s="393"/>
      <c r="AM1006" s="393"/>
      <c r="AN1006" s="393"/>
      <c r="AO1006" s="393"/>
      <c r="AP1006" s="393"/>
      <c r="AQ1006" s="393"/>
      <c r="AR1006" s="393"/>
      <c r="AS1006" s="401"/>
      <c r="AT1006" s="460" t="s">
        <v>182</v>
      </c>
      <c r="AU1006" s="394" t="s">
        <v>845</v>
      </c>
      <c r="AV1006" s="405">
        <f>SQRT(($R1006-Infrastructure!J$3)^2+($S1006-Infrastructure!K$3)^2)</f>
        <v>21.09502311</v>
      </c>
      <c r="AW1006" s="406">
        <f>SQRT(($R1006-Infrastructure!J$4)^2+($S1006-Infrastructure!K$4)^2)</f>
        <v>12.98499134</v>
      </c>
      <c r="AX1006" s="406">
        <f>SQRT(($R1006-Infrastructure!J$5)^2+($S1006-Infrastructure!K$5)^2)</f>
        <v>12.43543325</v>
      </c>
      <c r="AY1006" s="406">
        <f>SQRT(($R1006-Infrastructure!J$6)^2+($S1006-Infrastructure!K$6)^2)</f>
        <v>10.61696755</v>
      </c>
      <c r="AZ1006" s="406">
        <f>SQRT(($R1006-Infrastructure!J$7)^2+($S1006-Infrastructure!K$7)^2)</f>
        <v>14.43606595</v>
      </c>
      <c r="BA1006" s="406">
        <f>SQRT(($R1006-Infrastructure!J$8)^2+($S1006-Infrastructure!K$8)^2)</f>
        <v>22.10701246</v>
      </c>
      <c r="BB1006" s="406">
        <f>SQRT(($R1006-Infrastructure!J$9)^2+($S1006-Infrastructure!K$9)^2)</f>
        <v>29.86854533</v>
      </c>
      <c r="BC1006" s="406">
        <f>SQRT(($R1006-Infrastructure!J$10)^2+($S1006-Infrastructure!K$10)^2)</f>
        <v>29.58546941</v>
      </c>
      <c r="BD1006" s="406">
        <f>SQRT(($R1006-Infrastructure!J$11)^2+($S1006-Infrastructure!K$11)^2)</f>
        <v>34.61011413</v>
      </c>
      <c r="BE1006" s="408">
        <f>SQRT(($R1006-Infrastructure!J$12)^2+($S1006-Infrastructure!K$12)^2)</f>
        <v>45.8889965</v>
      </c>
      <c r="BF1006" s="405">
        <f t="shared" si="14"/>
        <v>10.61696755</v>
      </c>
      <c r="BG1006" s="408">
        <f t="shared" si="15"/>
        <v>45.8889965</v>
      </c>
      <c r="BH1006" s="910">
        <v>36617.0</v>
      </c>
      <c r="BI1006" s="573" t="s">
        <v>846</v>
      </c>
      <c r="BJ1006" s="393" t="s">
        <v>846</v>
      </c>
      <c r="BK1006" s="393" t="s">
        <v>845</v>
      </c>
      <c r="BL1006" s="393" t="s">
        <v>846</v>
      </c>
      <c r="BM1006" s="393" t="s">
        <v>846</v>
      </c>
      <c r="BN1006" s="393" t="s">
        <v>846</v>
      </c>
      <c r="BO1006" s="393" t="s">
        <v>846</v>
      </c>
      <c r="BP1006" s="393" t="s">
        <v>845</v>
      </c>
      <c r="BQ1006" s="393" t="s">
        <v>845</v>
      </c>
      <c r="BR1006" s="394" t="s">
        <v>845</v>
      </c>
      <c r="BS1006" s="405">
        <f t="shared" ref="BS1006:BS1032" si="72">MINIFS(AV1006:BE1006,BI1006:BR1006, "Y")</f>
        <v>10.61696755</v>
      </c>
      <c r="BT1006" s="406">
        <f t="shared" ref="BT1006:BT1032" si="73">MAXIFS(AV1006:BE1006,BI1006:BR1006, "Y")</f>
        <v>29.86854533</v>
      </c>
      <c r="BU1006" s="911">
        <v>0.5666666666666667</v>
      </c>
      <c r="BV1006" s="903">
        <f t="shared" ref="BV1006:BV1010" si="74">BU1006-G1006</f>
        <v>0</v>
      </c>
      <c r="BW1006" s="912">
        <v>11.5869565217391</v>
      </c>
      <c r="BX1006" s="913">
        <v>11.2043478260869</v>
      </c>
      <c r="BY1006" s="331">
        <f t="shared" ref="BY1006:BY1010" si="75">IF(BW1006&gt;0, SQRT((R1006-BW1006)^2+(S1006-BX1006)^2))</f>
        <v>0.9377203585</v>
      </c>
      <c r="BZ1006" s="412"/>
      <c r="CA1006" s="390"/>
      <c r="CB1006" s="392"/>
      <c r="CC1006" s="392"/>
      <c r="CD1006" s="392"/>
      <c r="CE1006" s="392"/>
      <c r="CF1006" s="392"/>
      <c r="CG1006" s="392"/>
      <c r="CH1006" s="392"/>
      <c r="CI1006" s="392"/>
      <c r="CJ1006" s="898"/>
      <c r="CK1006" s="414">
        <f t="shared" si="18"/>
        <v>0</v>
      </c>
      <c r="CL1006" s="408">
        <f t="shared" si="19"/>
        <v>0</v>
      </c>
      <c r="CM1006" s="832"/>
      <c r="CN1006" s="333"/>
      <c r="CO1006" s="333"/>
      <c r="CP1006" s="333"/>
    </row>
    <row r="1007">
      <c r="B1007" s="462" t="s">
        <v>1680</v>
      </c>
      <c r="C1007" s="914">
        <v>44446.0</v>
      </c>
      <c r="D1007" s="319" t="s">
        <v>986</v>
      </c>
      <c r="E1007" s="319">
        <v>2.0</v>
      </c>
      <c r="F1007" s="324" t="s">
        <v>1682</v>
      </c>
      <c r="G1007" s="321">
        <v>0.6</v>
      </c>
      <c r="H1007" s="323">
        <v>0.6003472222222223</v>
      </c>
      <c r="I1007" s="323"/>
      <c r="J1007" s="323"/>
      <c r="K1007" s="323">
        <v>0.6253472222222223</v>
      </c>
      <c r="L1007" s="323">
        <v>0.025</v>
      </c>
      <c r="M1007" s="319" t="s">
        <v>166</v>
      </c>
      <c r="N1007" s="324" t="s">
        <v>187</v>
      </c>
      <c r="O1007" s="419" t="s">
        <v>202</v>
      </c>
      <c r="P1007" s="319" t="s">
        <v>212</v>
      </c>
      <c r="Q1007" s="318"/>
      <c r="R1007" s="326">
        <v>24.4</v>
      </c>
      <c r="S1007" s="319">
        <v>7.5</v>
      </c>
      <c r="T1007" s="324">
        <v>0.6</v>
      </c>
      <c r="U1007" s="319">
        <v>1.0</v>
      </c>
      <c r="V1007" s="319"/>
      <c r="W1007" s="319"/>
      <c r="X1007" s="319"/>
      <c r="Y1007" s="319"/>
      <c r="Z1007" s="319" t="s">
        <v>339</v>
      </c>
      <c r="AA1007" s="319"/>
      <c r="AB1007" s="319" t="s">
        <v>341</v>
      </c>
      <c r="AC1007" s="327">
        <v>3.0</v>
      </c>
      <c r="AD1007" s="319"/>
      <c r="AE1007" s="319"/>
      <c r="AF1007" s="319"/>
      <c r="AG1007" s="319"/>
      <c r="AH1007" s="319"/>
      <c r="AI1007" s="319"/>
      <c r="AJ1007" s="327"/>
      <c r="AK1007" s="328"/>
      <c r="AL1007" s="319"/>
      <c r="AM1007" s="319"/>
      <c r="AN1007" s="319"/>
      <c r="AO1007" s="319"/>
      <c r="AP1007" s="319"/>
      <c r="AQ1007" s="319"/>
      <c r="AR1007" s="319"/>
      <c r="AS1007" s="327"/>
      <c r="AT1007" s="461" t="s">
        <v>182</v>
      </c>
      <c r="AU1007" s="324" t="s">
        <v>845</v>
      </c>
      <c r="AV1007" s="330">
        <f>SQRT(($R1007-Infrastructure!J$3)^2+($S1007-Infrastructure!K$3)^2)</f>
        <v>32.68103426</v>
      </c>
      <c r="AW1007" s="331">
        <f>SQRT(($R1007-Infrastructure!J$4)^2+($S1007-Infrastructure!K$4)^2)</f>
        <v>26.76153957</v>
      </c>
      <c r="AX1007" s="331">
        <f>SQRT(($R1007-Infrastructure!J$5)^2+($S1007-Infrastructure!K$5)^2)</f>
        <v>24.81632527</v>
      </c>
      <c r="AY1007" s="331">
        <f>SQRT(($R1007-Infrastructure!J$6)^2+($S1007-Infrastructure!K$6)^2)</f>
        <v>16.01030918</v>
      </c>
      <c r="AZ1007" s="331">
        <f>SQRT(($R1007-Infrastructure!J$7)^2+($S1007-Infrastructure!K$7)^2)</f>
        <v>8.188406438</v>
      </c>
      <c r="BA1007" s="331">
        <f>SQRT(($R1007-Infrastructure!J$8)^2+($S1007-Infrastructure!K$8)^2)</f>
        <v>9.183136719</v>
      </c>
      <c r="BB1007" s="331">
        <f>SQRT(($R1007-Infrastructure!J$9)^2+($S1007-Infrastructure!K$9)^2)</f>
        <v>15.78353573</v>
      </c>
      <c r="BC1007" s="331">
        <f>SQRT(($R1007-Infrastructure!J$10)^2+($S1007-Infrastructure!K$10)^2)</f>
        <v>17.30924608</v>
      </c>
      <c r="BD1007" s="331">
        <f>SQRT(($R1007-Infrastructure!J$11)^2+($S1007-Infrastructure!K$11)^2)</f>
        <v>26.68126684</v>
      </c>
      <c r="BE1007" s="333">
        <f>SQRT(($R1007-Infrastructure!J$12)^2+($S1007-Infrastructure!K$12)^2)</f>
        <v>48.08752437</v>
      </c>
      <c r="BF1007" s="330">
        <f t="shared" si="14"/>
        <v>8.188406438</v>
      </c>
      <c r="BG1007" s="333">
        <f t="shared" si="15"/>
        <v>48.08752437</v>
      </c>
      <c r="BH1007" s="902">
        <v>36617.0</v>
      </c>
      <c r="BI1007" s="462" t="s">
        <v>846</v>
      </c>
      <c r="BJ1007" s="319" t="s">
        <v>845</v>
      </c>
      <c r="BK1007" s="319" t="s">
        <v>845</v>
      </c>
      <c r="BL1007" s="319" t="s">
        <v>846</v>
      </c>
      <c r="BM1007" s="319" t="s">
        <v>846</v>
      </c>
      <c r="BN1007" s="319" t="s">
        <v>846</v>
      </c>
      <c r="BO1007" s="319" t="s">
        <v>846</v>
      </c>
      <c r="BP1007" s="319" t="s">
        <v>846</v>
      </c>
      <c r="BQ1007" s="319" t="s">
        <v>845</v>
      </c>
      <c r="BR1007" s="324" t="s">
        <v>845</v>
      </c>
      <c r="BS1007" s="330">
        <f t="shared" si="72"/>
        <v>8.188406438</v>
      </c>
      <c r="BT1007" s="331">
        <f t="shared" si="73"/>
        <v>32.68103426</v>
      </c>
      <c r="BU1007" s="915">
        <v>0.6000347222222222</v>
      </c>
      <c r="BV1007" s="903">
        <f t="shared" si="74"/>
        <v>0.00003472222222</v>
      </c>
      <c r="BW1007" s="916">
        <v>26.951413881748</v>
      </c>
      <c r="BX1007" s="917">
        <v>7.9318766066838</v>
      </c>
      <c r="BY1007" s="331">
        <f t="shared" si="75"/>
        <v>2.587707518</v>
      </c>
      <c r="BZ1007" s="340"/>
      <c r="CA1007" s="316"/>
      <c r="CB1007" s="318"/>
      <c r="CC1007" s="318"/>
      <c r="CD1007" s="318"/>
      <c r="CE1007" s="318"/>
      <c r="CF1007" s="318"/>
      <c r="CG1007" s="318"/>
      <c r="CH1007" s="318"/>
      <c r="CI1007" s="318"/>
      <c r="CJ1007" s="463"/>
      <c r="CK1007" s="342">
        <f t="shared" si="18"/>
        <v>0</v>
      </c>
      <c r="CL1007" s="333">
        <f t="shared" si="19"/>
        <v>0</v>
      </c>
      <c r="CM1007" s="829"/>
      <c r="CN1007" s="333"/>
      <c r="CO1007" s="333"/>
      <c r="CP1007" s="333"/>
    </row>
    <row r="1008">
      <c r="B1008" s="462" t="s">
        <v>1680</v>
      </c>
      <c r="C1008" s="914">
        <v>44446.0</v>
      </c>
      <c r="D1008" s="319" t="s">
        <v>986</v>
      </c>
      <c r="E1008" s="319">
        <v>3.0</v>
      </c>
      <c r="F1008" s="324" t="s">
        <v>1683</v>
      </c>
      <c r="G1008" s="321">
        <v>0.6262152777777777</v>
      </c>
      <c r="H1008" s="323">
        <v>0.628125</v>
      </c>
      <c r="I1008" s="323"/>
      <c r="J1008" s="323"/>
      <c r="K1008" s="323">
        <v>0.6680555555555555</v>
      </c>
      <c r="L1008" s="323">
        <v>0.03993055555555555</v>
      </c>
      <c r="M1008" s="319" t="s">
        <v>166</v>
      </c>
      <c r="N1008" s="324" t="s">
        <v>187</v>
      </c>
      <c r="O1008" s="419" t="s">
        <v>204</v>
      </c>
      <c r="P1008" s="319" t="s">
        <v>260</v>
      </c>
      <c r="Q1008" s="318"/>
      <c r="R1008" s="326">
        <v>18.6</v>
      </c>
      <c r="S1008" s="319">
        <v>4.4</v>
      </c>
      <c r="T1008" s="324">
        <v>2.5</v>
      </c>
      <c r="U1008" s="319">
        <v>0.3</v>
      </c>
      <c r="V1008" s="319"/>
      <c r="W1008" s="319"/>
      <c r="X1008" s="319"/>
      <c r="Y1008" s="319"/>
      <c r="Z1008" s="319" t="s">
        <v>365</v>
      </c>
      <c r="AA1008" s="319"/>
      <c r="AB1008" s="319" t="s">
        <v>380</v>
      </c>
      <c r="AC1008" s="327">
        <v>4.0</v>
      </c>
      <c r="AD1008" s="319"/>
      <c r="AE1008" s="319"/>
      <c r="AF1008" s="319"/>
      <c r="AG1008" s="319"/>
      <c r="AH1008" s="319"/>
      <c r="AI1008" s="319"/>
      <c r="AJ1008" s="327"/>
      <c r="AK1008" s="328"/>
      <c r="AL1008" s="319"/>
      <c r="AM1008" s="319"/>
      <c r="AN1008" s="319"/>
      <c r="AO1008" s="319"/>
      <c r="AP1008" s="319"/>
      <c r="AQ1008" s="319"/>
      <c r="AR1008" s="319"/>
      <c r="AS1008" s="327"/>
      <c r="AT1008" s="461" t="s">
        <v>181</v>
      </c>
      <c r="AU1008" s="324" t="s">
        <v>845</v>
      </c>
      <c r="AV1008" s="330">
        <f>SQRT(($R1008-Infrastructure!J$3)^2+($S1008-Infrastructure!K$3)^2)</f>
        <v>30.94285055</v>
      </c>
      <c r="AW1008" s="331">
        <f>SQRT(($R1008-Infrastructure!J$4)^2+($S1008-Infrastructure!K$4)^2)</f>
        <v>23.1682973</v>
      </c>
      <c r="AX1008" s="331">
        <f>SQRT(($R1008-Infrastructure!J$5)^2+($S1008-Infrastructure!K$5)^2)</f>
        <v>18.91295852</v>
      </c>
      <c r="AY1008" s="331">
        <f>SQRT(($R1008-Infrastructure!J$6)^2+($S1008-Infrastructure!K$6)^2)</f>
        <v>9.43716059</v>
      </c>
      <c r="AZ1008" s="331">
        <f>SQRT(($R1008-Infrastructure!J$7)^2+($S1008-Infrastructure!K$7)^2)</f>
        <v>4.518849411</v>
      </c>
      <c r="BA1008" s="331">
        <f>SQRT(($R1008-Infrastructure!J$8)^2+($S1008-Infrastructure!K$8)^2)</f>
        <v>12.20901306</v>
      </c>
      <c r="BB1008" s="331">
        <f>SQRT(($R1008-Infrastructure!J$9)^2+($S1008-Infrastructure!K$9)^2)</f>
        <v>21.41144554</v>
      </c>
      <c r="BC1008" s="331">
        <f>SQRT(($R1008-Infrastructure!J$10)^2+($S1008-Infrastructure!K$10)^2)</f>
        <v>23.88137349</v>
      </c>
      <c r="BD1008" s="331">
        <f>SQRT(($R1008-Infrastructure!J$11)^2+($S1008-Infrastructure!K$11)^2)</f>
        <v>32.73713488</v>
      </c>
      <c r="BE1008" s="333">
        <f>SQRT(($R1008-Infrastructure!J$12)^2+($S1008-Infrastructure!K$12)^2)</f>
        <v>51.18222348</v>
      </c>
      <c r="BF1008" s="330">
        <f t="shared" si="14"/>
        <v>4.518849411</v>
      </c>
      <c r="BG1008" s="333">
        <f t="shared" si="15"/>
        <v>51.18222348</v>
      </c>
      <c r="BH1008" s="902">
        <v>36617.0</v>
      </c>
      <c r="BI1008" s="462" t="s">
        <v>846</v>
      </c>
      <c r="BJ1008" s="319" t="s">
        <v>846</v>
      </c>
      <c r="BK1008" s="319" t="s">
        <v>845</v>
      </c>
      <c r="BL1008" s="319" t="s">
        <v>845</v>
      </c>
      <c r="BM1008" s="319" t="s">
        <v>846</v>
      </c>
      <c r="BN1008" s="319" t="s">
        <v>846</v>
      </c>
      <c r="BO1008" s="319" t="s">
        <v>846</v>
      </c>
      <c r="BP1008" s="319" t="s">
        <v>845</v>
      </c>
      <c r="BQ1008" s="319" t="s">
        <v>845</v>
      </c>
      <c r="BR1008" s="324" t="s">
        <v>845</v>
      </c>
      <c r="BS1008" s="330">
        <f t="shared" si="72"/>
        <v>4.518849411</v>
      </c>
      <c r="BT1008" s="331">
        <f t="shared" si="73"/>
        <v>30.94285055</v>
      </c>
      <c r="BU1008" s="915">
        <v>0.6262384259259259</v>
      </c>
      <c r="BV1008" s="903">
        <f t="shared" si="74"/>
        <v>0.00002314814815</v>
      </c>
      <c r="BW1008" s="916">
        <v>10.6666666666666</v>
      </c>
      <c r="BX1008" s="917">
        <v>10.25</v>
      </c>
      <c r="BY1008" s="331">
        <f t="shared" si="75"/>
        <v>9.856991315</v>
      </c>
      <c r="BZ1008" s="340"/>
      <c r="CA1008" s="316"/>
      <c r="CB1008" s="318"/>
      <c r="CC1008" s="318"/>
      <c r="CD1008" s="318"/>
      <c r="CE1008" s="318"/>
      <c r="CF1008" s="318"/>
      <c r="CG1008" s="318"/>
      <c r="CH1008" s="318"/>
      <c r="CI1008" s="318"/>
      <c r="CJ1008" s="463"/>
      <c r="CK1008" s="342">
        <f t="shared" si="18"/>
        <v>0</v>
      </c>
      <c r="CL1008" s="333">
        <f t="shared" si="19"/>
        <v>0</v>
      </c>
      <c r="CM1008" s="829"/>
      <c r="CN1008" s="333"/>
      <c r="CO1008" s="333"/>
      <c r="CP1008" s="333"/>
    </row>
    <row r="1009">
      <c r="B1009" s="462" t="s">
        <v>1680</v>
      </c>
      <c r="C1009" s="914">
        <v>44446.0</v>
      </c>
      <c r="D1009" s="319" t="s">
        <v>986</v>
      </c>
      <c r="E1009" s="319">
        <v>4.1</v>
      </c>
      <c r="F1009" s="324" t="s">
        <v>1684</v>
      </c>
      <c r="G1009" s="321">
        <v>0.6822916666666666</v>
      </c>
      <c r="H1009" s="323">
        <v>0.6826388888888889</v>
      </c>
      <c r="I1009" s="323"/>
      <c r="J1009" s="323"/>
      <c r="K1009" s="323">
        <v>0.7194444444444444</v>
      </c>
      <c r="L1009" s="323">
        <v>0.03680555555555556</v>
      </c>
      <c r="M1009" s="319" t="s">
        <v>166</v>
      </c>
      <c r="N1009" s="324" t="s">
        <v>187</v>
      </c>
      <c r="O1009" s="419" t="s">
        <v>203</v>
      </c>
      <c r="P1009" s="319" t="s">
        <v>250</v>
      </c>
      <c r="Q1009" s="318"/>
      <c r="R1009" s="326">
        <v>15.1</v>
      </c>
      <c r="S1009" s="319">
        <v>2.4</v>
      </c>
      <c r="T1009" s="324">
        <v>1.2</v>
      </c>
      <c r="U1009" s="319">
        <v>0.1</v>
      </c>
      <c r="V1009" s="319"/>
      <c r="W1009" s="319"/>
      <c r="X1009" s="319"/>
      <c r="Y1009" s="319"/>
      <c r="Z1009" s="319" t="s">
        <v>335</v>
      </c>
      <c r="AA1009" s="319"/>
      <c r="AB1009" s="319" t="s">
        <v>371</v>
      </c>
      <c r="AC1009" s="327">
        <v>1.8</v>
      </c>
      <c r="AD1009" s="319"/>
      <c r="AE1009" s="319"/>
      <c r="AF1009" s="319"/>
      <c r="AG1009" s="319"/>
      <c r="AH1009" s="319"/>
      <c r="AI1009" s="319"/>
      <c r="AJ1009" s="327"/>
      <c r="AK1009" s="328"/>
      <c r="AL1009" s="319"/>
      <c r="AM1009" s="319"/>
      <c r="AN1009" s="319"/>
      <c r="AO1009" s="319"/>
      <c r="AP1009" s="319"/>
      <c r="AQ1009" s="319"/>
      <c r="AR1009" s="319"/>
      <c r="AS1009" s="327"/>
      <c r="AT1009" s="461" t="s">
        <v>181</v>
      </c>
      <c r="AU1009" s="324" t="s">
        <v>845</v>
      </c>
      <c r="AV1009" s="330">
        <f>SQRT(($R1009-Infrastructure!J$3)^2+($S1009-Infrastructure!K$3)^2)</f>
        <v>30.64979608</v>
      </c>
      <c r="AW1009" s="331">
        <f>SQRT(($R1009-Infrastructure!J$4)^2+($S1009-Infrastructure!K$4)^2)</f>
        <v>21.77888886</v>
      </c>
      <c r="AX1009" s="331">
        <f>SQRT(($R1009-Infrastructure!J$5)^2+($S1009-Infrastructure!K$5)^2)</f>
        <v>15.63489687</v>
      </c>
      <c r="AY1009" s="331">
        <f>SQRT(($R1009-Infrastructure!J$6)^2+($S1009-Infrastructure!K$6)^2)</f>
        <v>5.423098745</v>
      </c>
      <c r="AZ1009" s="331">
        <f>SQRT(($R1009-Infrastructure!J$7)^2+($S1009-Infrastructure!K$7)^2)</f>
        <v>5.793962375</v>
      </c>
      <c r="BA1009" s="331">
        <f>SQRT(($R1009-Infrastructure!J$8)^2+($S1009-Infrastructure!K$8)^2)</f>
        <v>15.14628667</v>
      </c>
      <c r="BB1009" s="331">
        <f>SQRT(($R1009-Infrastructure!J$9)^2+($S1009-Infrastructure!K$9)^2)</f>
        <v>25.04595776</v>
      </c>
      <c r="BC1009" s="331">
        <f>SQRT(($R1009-Infrastructure!J$10)^2+($S1009-Infrastructure!K$10)^2)</f>
        <v>27.90645087</v>
      </c>
      <c r="BD1009" s="331">
        <f>SQRT(($R1009-Infrastructure!J$11)^2+($S1009-Infrastructure!K$11)^2)</f>
        <v>36.5728041</v>
      </c>
      <c r="BE1009" s="333">
        <f>SQRT(($R1009-Infrastructure!J$12)^2+($S1009-Infrastructure!K$12)^2)</f>
        <v>53.48429676</v>
      </c>
      <c r="BF1009" s="330">
        <f t="shared" si="14"/>
        <v>5.423098745</v>
      </c>
      <c r="BG1009" s="333">
        <f t="shared" si="15"/>
        <v>53.48429676</v>
      </c>
      <c r="BH1009" s="902">
        <v>36617.0</v>
      </c>
      <c r="BI1009" s="462" t="s">
        <v>846</v>
      </c>
      <c r="BJ1009" s="319" t="s">
        <v>846</v>
      </c>
      <c r="BK1009" s="319" t="s">
        <v>845</v>
      </c>
      <c r="BL1009" s="319" t="s">
        <v>845</v>
      </c>
      <c r="BM1009" s="319" t="s">
        <v>845</v>
      </c>
      <c r="BN1009" s="319" t="s">
        <v>846</v>
      </c>
      <c r="BO1009" s="319" t="s">
        <v>845</v>
      </c>
      <c r="BP1009" s="319" t="s">
        <v>845</v>
      </c>
      <c r="BQ1009" s="319" t="s">
        <v>846</v>
      </c>
      <c r="BR1009" s="324" t="s">
        <v>845</v>
      </c>
      <c r="BS1009" s="330">
        <f t="shared" si="72"/>
        <v>15.14628667</v>
      </c>
      <c r="BT1009" s="331">
        <f t="shared" si="73"/>
        <v>36.5728041</v>
      </c>
      <c r="BU1009" s="915">
        <v>0.682337962962963</v>
      </c>
      <c r="BV1009" s="903">
        <f t="shared" si="74"/>
        <v>0.0000462962963</v>
      </c>
      <c r="BW1009" s="918">
        <v>10.0</v>
      </c>
      <c r="BX1009" s="919">
        <v>21.7</v>
      </c>
      <c r="BY1009" s="331">
        <f t="shared" si="75"/>
        <v>19.96246478</v>
      </c>
      <c r="BZ1009" s="340"/>
      <c r="CA1009" s="316"/>
      <c r="CB1009" s="318"/>
      <c r="CC1009" s="318"/>
      <c r="CD1009" s="318"/>
      <c r="CE1009" s="318"/>
      <c r="CF1009" s="318"/>
      <c r="CG1009" s="318"/>
      <c r="CH1009" s="318"/>
      <c r="CI1009" s="318"/>
      <c r="CJ1009" s="463"/>
      <c r="CK1009" s="342">
        <f t="shared" si="18"/>
        <v>0</v>
      </c>
      <c r="CL1009" s="333">
        <f t="shared" si="19"/>
        <v>0</v>
      </c>
      <c r="CM1009" s="829"/>
      <c r="CN1009" s="333"/>
      <c r="CO1009" s="333"/>
      <c r="CP1009" s="333"/>
    </row>
    <row r="1010">
      <c r="B1010" s="462" t="s">
        <v>1680</v>
      </c>
      <c r="C1010" s="914">
        <v>44447.0</v>
      </c>
      <c r="D1010" s="319" t="s">
        <v>986</v>
      </c>
      <c r="E1010" s="319">
        <v>5.1</v>
      </c>
      <c r="F1010" s="324" t="s">
        <v>1685</v>
      </c>
      <c r="G1010" s="321">
        <v>0.38298611111111114</v>
      </c>
      <c r="H1010" s="323">
        <v>0.384375</v>
      </c>
      <c r="I1010" s="323"/>
      <c r="J1010" s="323"/>
      <c r="K1010" s="323">
        <v>0.428125</v>
      </c>
      <c r="L1010" s="323">
        <v>0.04375</v>
      </c>
      <c r="M1010" s="319" t="s">
        <v>166</v>
      </c>
      <c r="N1010" s="324" t="s">
        <v>187</v>
      </c>
      <c r="O1010" s="419" t="s">
        <v>201</v>
      </c>
      <c r="P1010" s="319" t="s">
        <v>212</v>
      </c>
      <c r="Q1010" s="318"/>
      <c r="R1010" s="326">
        <v>13.0</v>
      </c>
      <c r="S1010" s="319">
        <v>5.0</v>
      </c>
      <c r="T1010" s="324">
        <v>0.57</v>
      </c>
      <c r="U1010" s="319">
        <v>0.2</v>
      </c>
      <c r="V1010" s="319"/>
      <c r="W1010" s="319"/>
      <c r="X1010" s="319"/>
      <c r="Y1010" s="319"/>
      <c r="Z1010" s="319" t="s">
        <v>335</v>
      </c>
      <c r="AA1010" s="319"/>
      <c r="AB1010" s="319" t="s">
        <v>326</v>
      </c>
      <c r="AC1010" s="327">
        <v>1.0</v>
      </c>
      <c r="AD1010" s="319"/>
      <c r="AE1010" s="319"/>
      <c r="AF1010" s="319"/>
      <c r="AG1010" s="319"/>
      <c r="AH1010" s="319"/>
      <c r="AI1010" s="319"/>
      <c r="AJ1010" s="327"/>
      <c r="AK1010" s="328"/>
      <c r="AL1010" s="319"/>
      <c r="AM1010" s="319"/>
      <c r="AN1010" s="319"/>
      <c r="AO1010" s="319"/>
      <c r="AP1010" s="319"/>
      <c r="AQ1010" s="319"/>
      <c r="AR1010" s="319"/>
      <c r="AS1010" s="327"/>
      <c r="AT1010" s="461" t="s">
        <v>181</v>
      </c>
      <c r="AU1010" s="324" t="s">
        <v>846</v>
      </c>
      <c r="AV1010" s="330">
        <f>SQRT(($R1010-Infrastructure!J$3)^2+($S1010-Infrastructure!K$3)^2)</f>
        <v>27.35141678</v>
      </c>
      <c r="AW1010" s="331">
        <f>SQRT(($R1010-Infrastructure!J$4)^2+($S1010-Infrastructure!K$4)^2)</f>
        <v>18.45887321</v>
      </c>
      <c r="AX1010" s="331">
        <f>SQRT(($R1010-Infrastructure!J$5)^2+($S1010-Infrastructure!K$5)^2)</f>
        <v>13.30037593</v>
      </c>
      <c r="AY1010" s="331">
        <f>SQRT(($R1010-Infrastructure!J$6)^2+($S1010-Infrastructure!K$6)^2)</f>
        <v>5.522680509</v>
      </c>
      <c r="AZ1010" s="331">
        <f>SQRT(($R1010-Infrastructure!J$7)^2+($S1010-Infrastructure!K$7)^2)</f>
        <v>8.850988645</v>
      </c>
      <c r="BA1010" s="331">
        <f>SQRT(($R1010-Infrastructure!J$8)^2+($S1010-Infrastructure!K$8)^2)</f>
        <v>17.73414785</v>
      </c>
      <c r="BB1010" s="331">
        <f>SQRT(($R1010-Infrastructure!J$9)^2+($S1010-Infrastructure!K$9)^2)</f>
        <v>27.00018518</v>
      </c>
      <c r="BC1010" s="331">
        <f>SQRT(($R1010-Infrastructure!J$10)^2+($S1010-Infrastructure!K$10)^2)</f>
        <v>28.7923601</v>
      </c>
      <c r="BD1010" s="331">
        <f>SQRT(($R1010-Infrastructure!J$11)^2+($S1010-Infrastructure!K$11)^2)</f>
        <v>36.27450896</v>
      </c>
      <c r="BE1010" s="333">
        <f>SQRT(($R1010-Infrastructure!J$12)^2+($S1010-Infrastructure!K$12)^2)</f>
        <v>51.21035052</v>
      </c>
      <c r="BF1010" s="330">
        <f t="shared" si="14"/>
        <v>5.522680509</v>
      </c>
      <c r="BG1010" s="333">
        <f t="shared" si="15"/>
        <v>51.21035052</v>
      </c>
      <c r="BH1010" s="902">
        <v>36617.0</v>
      </c>
      <c r="BI1010" s="462" t="s">
        <v>846</v>
      </c>
      <c r="BJ1010" s="319" t="s">
        <v>846</v>
      </c>
      <c r="BK1010" s="319" t="s">
        <v>845</v>
      </c>
      <c r="BL1010" s="319" t="s">
        <v>846</v>
      </c>
      <c r="BM1010" s="319" t="s">
        <v>846</v>
      </c>
      <c r="BN1010" s="319" t="s">
        <v>846</v>
      </c>
      <c r="BO1010" s="319" t="s">
        <v>846</v>
      </c>
      <c r="BP1010" s="319" t="s">
        <v>846</v>
      </c>
      <c r="BQ1010" s="319" t="s">
        <v>846</v>
      </c>
      <c r="BR1010" s="324" t="s">
        <v>846</v>
      </c>
      <c r="BS1010" s="330">
        <f t="shared" si="72"/>
        <v>5.522680509</v>
      </c>
      <c r="BT1010" s="331">
        <f t="shared" si="73"/>
        <v>51.21035052</v>
      </c>
      <c r="BU1010" s="915">
        <v>0.38298611111111114</v>
      </c>
      <c r="BV1010" s="903">
        <f t="shared" si="74"/>
        <v>0</v>
      </c>
      <c r="BW1010" s="918">
        <v>16.0224137931034</v>
      </c>
      <c r="BX1010" s="919">
        <v>8.29310344827586</v>
      </c>
      <c r="BY1010" s="331">
        <f t="shared" si="75"/>
        <v>4.469845127</v>
      </c>
      <c r="BZ1010" s="340"/>
      <c r="CA1010" s="316"/>
      <c r="CB1010" s="318"/>
      <c r="CC1010" s="318"/>
      <c r="CD1010" s="318"/>
      <c r="CE1010" s="318"/>
      <c r="CF1010" s="318"/>
      <c r="CG1010" s="318"/>
      <c r="CH1010" s="318"/>
      <c r="CI1010" s="318"/>
      <c r="CJ1010" s="463"/>
      <c r="CK1010" s="342">
        <f t="shared" si="18"/>
        <v>0</v>
      </c>
      <c r="CL1010" s="333">
        <f t="shared" si="19"/>
        <v>0</v>
      </c>
      <c r="CM1010" s="829"/>
      <c r="CN1010" s="333"/>
      <c r="CO1010" s="333"/>
      <c r="CP1010" s="333"/>
    </row>
    <row r="1011">
      <c r="B1011" s="462" t="s">
        <v>1680</v>
      </c>
      <c r="C1011" s="914">
        <v>44447.0</v>
      </c>
      <c r="D1011" s="319" t="s">
        <v>986</v>
      </c>
      <c r="E1011" s="319">
        <v>5.2</v>
      </c>
      <c r="F1011" s="324" t="s">
        <v>1686</v>
      </c>
      <c r="G1011" s="321">
        <v>0.38298611111111114</v>
      </c>
      <c r="H1011" s="323">
        <v>0.384375</v>
      </c>
      <c r="I1011" s="323"/>
      <c r="J1011" s="323"/>
      <c r="K1011" s="323">
        <v>0.428125</v>
      </c>
      <c r="L1011" s="323">
        <v>0.04375</v>
      </c>
      <c r="M1011" s="319" t="s">
        <v>166</v>
      </c>
      <c r="N1011" s="324" t="s">
        <v>187</v>
      </c>
      <c r="O1011" s="419" t="s">
        <v>207</v>
      </c>
      <c r="P1011" s="319" t="s">
        <v>289</v>
      </c>
      <c r="Q1011" s="318"/>
      <c r="R1011" s="326">
        <v>26.1</v>
      </c>
      <c r="S1011" s="319">
        <v>14.3</v>
      </c>
      <c r="T1011" s="324">
        <v>1.5</v>
      </c>
      <c r="U1011" s="319">
        <v>0.3</v>
      </c>
      <c r="V1011" s="319"/>
      <c r="W1011" s="319"/>
      <c r="X1011" s="319"/>
      <c r="Y1011" s="319"/>
      <c r="Z1011" s="319" t="s">
        <v>374</v>
      </c>
      <c r="AA1011" s="319"/>
      <c r="AB1011" s="319" t="s">
        <v>375</v>
      </c>
      <c r="AC1011" s="327">
        <v>2.7</v>
      </c>
      <c r="AD1011" s="319"/>
      <c r="AE1011" s="319"/>
      <c r="AF1011" s="319"/>
      <c r="AG1011" s="319"/>
      <c r="AH1011" s="319"/>
      <c r="AI1011" s="319"/>
      <c r="AJ1011" s="327"/>
      <c r="AK1011" s="328"/>
      <c r="AL1011" s="319"/>
      <c r="AM1011" s="319"/>
      <c r="AN1011" s="319"/>
      <c r="AO1011" s="319"/>
      <c r="AP1011" s="319"/>
      <c r="AQ1011" s="319"/>
      <c r="AR1011" s="319"/>
      <c r="AS1011" s="327"/>
      <c r="AT1011" s="461" t="s">
        <v>181</v>
      </c>
      <c r="AU1011" s="324" t="s">
        <v>846</v>
      </c>
      <c r="AV1011" s="330">
        <f>SQRT(($R1011-Infrastructure!J$3)^2+($S1011-Infrastructure!K$3)^2)</f>
        <v>30.16819517</v>
      </c>
      <c r="AW1011" s="331">
        <f>SQRT(($R1011-Infrastructure!J$4)^2+($S1011-Infrastructure!K$4)^2)</f>
        <v>26.63099698</v>
      </c>
      <c r="AX1011" s="331">
        <f>SQRT(($R1011-Infrastructure!J$5)^2+($S1011-Infrastructure!K$5)^2)</f>
        <v>27.95711001</v>
      </c>
      <c r="AY1011" s="331">
        <f>SQRT(($R1011-Infrastructure!J$6)^2+($S1011-Infrastructure!K$6)^2)</f>
        <v>21.26029163</v>
      </c>
      <c r="AZ1011" s="331">
        <f>SQRT(($R1011-Infrastructure!J$7)^2+($S1011-Infrastructure!K$7)^2)</f>
        <v>15.07846146</v>
      </c>
      <c r="BA1011" s="331">
        <f>SQRT(($R1011-Infrastructure!J$8)^2+($S1011-Infrastructure!K$8)^2)</f>
        <v>14.56021978</v>
      </c>
      <c r="BB1011" s="331">
        <f>SQRT(($R1011-Infrastructure!J$9)^2+($S1011-Infrastructure!K$9)^2)</f>
        <v>16.66883319</v>
      </c>
      <c r="BC1011" s="331">
        <f>SQRT(($R1011-Infrastructure!J$10)^2+($S1011-Infrastructure!K$10)^2)</f>
        <v>13.91761474</v>
      </c>
      <c r="BD1011" s="331">
        <f>SQRT(($R1011-Infrastructure!J$11)^2+($S1011-Infrastructure!K$11)^2)</f>
        <v>20.36909424</v>
      </c>
      <c r="BE1011" s="333">
        <f>SQRT(($R1011-Infrastructure!J$12)^2+($S1011-Infrastructure!K$12)^2)</f>
        <v>41.45600077</v>
      </c>
      <c r="BF1011" s="330">
        <f t="shared" si="14"/>
        <v>13.91761474</v>
      </c>
      <c r="BG1011" s="333">
        <f t="shared" si="15"/>
        <v>41.45600077</v>
      </c>
      <c r="BH1011" s="902">
        <v>36617.0</v>
      </c>
      <c r="BI1011" s="462" t="s">
        <v>845</v>
      </c>
      <c r="BJ1011" s="319" t="s">
        <v>845</v>
      </c>
      <c r="BK1011" s="319" t="s">
        <v>845</v>
      </c>
      <c r="BL1011" s="319" t="s">
        <v>845</v>
      </c>
      <c r="BM1011" s="319" t="s">
        <v>845</v>
      </c>
      <c r="BN1011" s="319" t="s">
        <v>845</v>
      </c>
      <c r="BO1011" s="319" t="s">
        <v>845</v>
      </c>
      <c r="BP1011" s="319" t="s">
        <v>845</v>
      </c>
      <c r="BQ1011" s="319" t="s">
        <v>845</v>
      </c>
      <c r="BR1011" s="324" t="s">
        <v>845</v>
      </c>
      <c r="BS1011" s="330">
        <f t="shared" si="72"/>
        <v>0</v>
      </c>
      <c r="BT1011" s="331">
        <f t="shared" si="73"/>
        <v>0</v>
      </c>
      <c r="BU1011" s="920"/>
      <c r="BV1011" s="903"/>
      <c r="BW1011" s="907"/>
      <c r="BX1011" s="908"/>
      <c r="BY1011" s="331"/>
      <c r="BZ1011" s="340"/>
      <c r="CA1011" s="316"/>
      <c r="CB1011" s="318"/>
      <c r="CC1011" s="318"/>
      <c r="CD1011" s="318"/>
      <c r="CE1011" s="318"/>
      <c r="CF1011" s="318"/>
      <c r="CG1011" s="318"/>
      <c r="CH1011" s="318"/>
      <c r="CI1011" s="318"/>
      <c r="CJ1011" s="463"/>
      <c r="CK1011" s="342">
        <f t="shared" si="18"/>
        <v>0</v>
      </c>
      <c r="CL1011" s="333">
        <f t="shared" si="19"/>
        <v>0</v>
      </c>
      <c r="CM1011" s="829"/>
      <c r="CN1011" s="333"/>
      <c r="CO1011" s="333"/>
      <c r="CP1011" s="333"/>
    </row>
    <row r="1012">
      <c r="B1012" s="462" t="s">
        <v>1680</v>
      </c>
      <c r="C1012" s="914">
        <v>44447.0</v>
      </c>
      <c r="D1012" s="319" t="s">
        <v>986</v>
      </c>
      <c r="E1012" s="319">
        <v>6.0</v>
      </c>
      <c r="F1012" s="324" t="s">
        <v>1687</v>
      </c>
      <c r="G1012" s="321">
        <v>0.43038194444444444</v>
      </c>
      <c r="H1012" s="323">
        <v>0.43072916666666666</v>
      </c>
      <c r="I1012" s="323"/>
      <c r="J1012" s="323"/>
      <c r="K1012" s="323">
        <v>0.46197916666666666</v>
      </c>
      <c r="L1012" s="323">
        <v>0.03125</v>
      </c>
      <c r="M1012" s="319" t="s">
        <v>166</v>
      </c>
      <c r="N1012" s="324" t="s">
        <v>187</v>
      </c>
      <c r="O1012" s="419" t="s">
        <v>199</v>
      </c>
      <c r="P1012" s="319" t="s">
        <v>272</v>
      </c>
      <c r="Q1012" s="318"/>
      <c r="R1012" s="326">
        <v>16.1</v>
      </c>
      <c r="S1012" s="319">
        <v>9.6</v>
      </c>
      <c r="T1012" s="324">
        <v>0.01</v>
      </c>
      <c r="U1012" s="319">
        <v>0.1</v>
      </c>
      <c r="V1012" s="319"/>
      <c r="W1012" s="319"/>
      <c r="X1012" s="319"/>
      <c r="Y1012" s="319"/>
      <c r="Z1012" s="319" t="s">
        <v>335</v>
      </c>
      <c r="AA1012" s="319"/>
      <c r="AB1012" s="319" t="s">
        <v>375</v>
      </c>
      <c r="AC1012" s="327">
        <v>2.7</v>
      </c>
      <c r="AD1012" s="319"/>
      <c r="AE1012" s="319"/>
      <c r="AF1012" s="319"/>
      <c r="AG1012" s="319"/>
      <c r="AH1012" s="319"/>
      <c r="AI1012" s="319"/>
      <c r="AJ1012" s="327"/>
      <c r="AK1012" s="328"/>
      <c r="AL1012" s="319"/>
      <c r="AM1012" s="319"/>
      <c r="AN1012" s="319"/>
      <c r="AO1012" s="319"/>
      <c r="AP1012" s="319"/>
      <c r="AQ1012" s="319"/>
      <c r="AR1012" s="319"/>
      <c r="AS1012" s="327"/>
      <c r="AT1012" s="461" t="s">
        <v>181</v>
      </c>
      <c r="AU1012" s="324" t="s">
        <v>845</v>
      </c>
      <c r="AV1012" s="330">
        <f>SQRT(($R1012-Infrastructure!J$3)^2+($S1012-Infrastructure!K$3)^2)</f>
        <v>25.32686321</v>
      </c>
      <c r="AW1012" s="331">
        <f>SQRT(($R1012-Infrastructure!J$4)^2+($S1012-Infrastructure!K$4)^2)</f>
        <v>18.33575742</v>
      </c>
      <c r="AX1012" s="331">
        <f>SQRT(($R1012-Infrastructure!J$5)^2+($S1012-Infrastructure!K$5)^2)</f>
        <v>17.00617535</v>
      </c>
      <c r="AY1012" s="331">
        <f>SQRT(($R1012-Infrastructure!J$6)^2+($S1012-Infrastructure!K$6)^2)</f>
        <v>11.06752005</v>
      </c>
      <c r="AZ1012" s="331">
        <f>SQRT(($R1012-Infrastructure!J$7)^2+($S1012-Infrastructure!K$7)^2)</f>
        <v>10.28834292</v>
      </c>
      <c r="BA1012" s="331">
        <f>SQRT(($R1012-Infrastructure!J$8)^2+($S1012-Infrastructure!K$8)^2)</f>
        <v>16.80743883</v>
      </c>
      <c r="BB1012" s="331">
        <f>SQRT(($R1012-Infrastructure!J$9)^2+($S1012-Infrastructure!K$9)^2)</f>
        <v>24.31995066</v>
      </c>
      <c r="BC1012" s="331">
        <f>SQRT(($R1012-Infrastructure!J$10)^2+($S1012-Infrastructure!K$10)^2)</f>
        <v>24.50244886</v>
      </c>
      <c r="BD1012" s="331">
        <f>SQRT(($R1012-Infrastructure!J$11)^2+($S1012-Infrastructure!K$11)^2)</f>
        <v>30.93816413</v>
      </c>
      <c r="BE1012" s="333">
        <f>SQRT(($R1012-Infrastructure!J$12)^2+($S1012-Infrastructure!K$12)^2)</f>
        <v>46.21655548</v>
      </c>
      <c r="BF1012" s="330">
        <f t="shared" si="14"/>
        <v>10.28834292</v>
      </c>
      <c r="BG1012" s="333">
        <f t="shared" si="15"/>
        <v>46.21655548</v>
      </c>
      <c r="BH1012" s="902">
        <v>36617.0</v>
      </c>
      <c r="BI1012" s="462" t="s">
        <v>845</v>
      </c>
      <c r="BJ1012" s="319" t="s">
        <v>845</v>
      </c>
      <c r="BK1012" s="319" t="s">
        <v>845</v>
      </c>
      <c r="BL1012" s="319" t="s">
        <v>845</v>
      </c>
      <c r="BM1012" s="319" t="s">
        <v>845</v>
      </c>
      <c r="BN1012" s="319" t="s">
        <v>845</v>
      </c>
      <c r="BO1012" s="319" t="s">
        <v>845</v>
      </c>
      <c r="BP1012" s="319" t="s">
        <v>845</v>
      </c>
      <c r="BQ1012" s="319" t="s">
        <v>845</v>
      </c>
      <c r="BR1012" s="324" t="s">
        <v>845</v>
      </c>
      <c r="BS1012" s="330">
        <f t="shared" si="72"/>
        <v>0</v>
      </c>
      <c r="BT1012" s="331">
        <f t="shared" si="73"/>
        <v>0</v>
      </c>
      <c r="BU1012" s="920"/>
      <c r="BV1012" s="903"/>
      <c r="BW1012" s="907"/>
      <c r="BX1012" s="908"/>
      <c r="BY1012" s="331"/>
      <c r="BZ1012" s="340"/>
      <c r="CA1012" s="316"/>
      <c r="CB1012" s="318"/>
      <c r="CC1012" s="318"/>
      <c r="CD1012" s="318"/>
      <c r="CE1012" s="318"/>
      <c r="CF1012" s="318"/>
      <c r="CG1012" s="318"/>
      <c r="CH1012" s="318"/>
      <c r="CI1012" s="318"/>
      <c r="CJ1012" s="463"/>
      <c r="CK1012" s="342">
        <f t="shared" si="18"/>
        <v>0</v>
      </c>
      <c r="CL1012" s="333">
        <f t="shared" si="19"/>
        <v>0</v>
      </c>
      <c r="CM1012" s="829"/>
      <c r="CN1012" s="333"/>
      <c r="CO1012" s="333"/>
      <c r="CP1012" s="333"/>
    </row>
    <row r="1013">
      <c r="B1013" s="462" t="s">
        <v>1680</v>
      </c>
      <c r="C1013" s="914">
        <v>44447.0</v>
      </c>
      <c r="D1013" s="319" t="s">
        <v>986</v>
      </c>
      <c r="E1013" s="319">
        <v>7.1</v>
      </c>
      <c r="F1013" s="324" t="s">
        <v>1688</v>
      </c>
      <c r="G1013" s="321">
        <v>0.46458333333333335</v>
      </c>
      <c r="H1013" s="323">
        <v>0.46493055555555557</v>
      </c>
      <c r="I1013" s="323"/>
      <c r="J1013" s="323"/>
      <c r="K1013" s="323">
        <v>0.5045138888888889</v>
      </c>
      <c r="L1013" s="323">
        <v>0.03958333333333333</v>
      </c>
      <c r="M1013" s="319" t="s">
        <v>166</v>
      </c>
      <c r="N1013" s="324" t="s">
        <v>187</v>
      </c>
      <c r="O1013" s="419" t="s">
        <v>205</v>
      </c>
      <c r="P1013" s="319" t="s">
        <v>296</v>
      </c>
      <c r="Q1013" s="318"/>
      <c r="R1013" s="326">
        <v>20.7</v>
      </c>
      <c r="S1013" s="319">
        <v>5.1</v>
      </c>
      <c r="T1013" s="324">
        <v>1.2</v>
      </c>
      <c r="U1013" s="319">
        <v>0.2</v>
      </c>
      <c r="V1013" s="319"/>
      <c r="W1013" s="319"/>
      <c r="X1013" s="319"/>
      <c r="Y1013" s="319"/>
      <c r="Z1013" s="319" t="s">
        <v>335</v>
      </c>
      <c r="AA1013" s="319"/>
      <c r="AB1013" s="319" t="s">
        <v>371</v>
      </c>
      <c r="AC1013" s="327">
        <v>1.8</v>
      </c>
      <c r="AD1013" s="319"/>
      <c r="AE1013" s="319"/>
      <c r="AF1013" s="319"/>
      <c r="AG1013" s="319"/>
      <c r="AH1013" s="319"/>
      <c r="AI1013" s="319"/>
      <c r="AJ1013" s="327"/>
      <c r="AK1013" s="328"/>
      <c r="AL1013" s="319"/>
      <c r="AM1013" s="319"/>
      <c r="AN1013" s="319"/>
      <c r="AO1013" s="319"/>
      <c r="AP1013" s="319"/>
      <c r="AQ1013" s="319"/>
      <c r="AR1013" s="319"/>
      <c r="AS1013" s="327"/>
      <c r="AT1013" s="461" t="s">
        <v>181</v>
      </c>
      <c r="AU1013" s="324" t="s">
        <v>846</v>
      </c>
      <c r="AV1013" s="330">
        <f>SQRT(($R1013-Infrastructure!J$3)^2+($S1013-Infrastructure!K$3)^2)</f>
        <v>31.74019534</v>
      </c>
      <c r="AW1013" s="331">
        <f>SQRT(($R1013-Infrastructure!J$4)^2+($S1013-Infrastructure!K$4)^2)</f>
        <v>24.54159734</v>
      </c>
      <c r="AX1013" s="331">
        <f>SQRT(($R1013-Infrastructure!J$5)^2+($S1013-Infrastructure!K$5)^2)</f>
        <v>21</v>
      </c>
      <c r="AY1013" s="331">
        <f>SQRT(($R1013-Infrastructure!J$6)^2+($S1013-Infrastructure!K$6)^2)</f>
        <v>11.63615057</v>
      </c>
      <c r="AZ1013" s="331">
        <f>SQRT(($R1013-Infrastructure!J$7)^2+($S1013-Infrastructure!K$7)^2)</f>
        <v>4.80416486</v>
      </c>
      <c r="BA1013" s="331">
        <f>SQRT(($R1013-Infrastructure!J$8)^2+($S1013-Infrastructure!K$8)^2)</f>
        <v>10.55461984</v>
      </c>
      <c r="BB1013" s="331">
        <f>SQRT(($R1013-Infrastructure!J$9)^2+($S1013-Infrastructure!K$9)^2)</f>
        <v>19.3</v>
      </c>
      <c r="BC1013" s="331">
        <f>SQRT(($R1013-Infrastructure!J$10)^2+($S1013-Infrastructure!K$10)^2)</f>
        <v>21.69101196</v>
      </c>
      <c r="BD1013" s="331">
        <f>SQRT(($R1013-Infrastructure!J$11)^2+($S1013-Infrastructure!K$11)^2)</f>
        <v>30.84574525</v>
      </c>
      <c r="BE1013" s="333">
        <f>SQRT(($R1013-Infrastructure!J$12)^2+($S1013-Infrastructure!K$12)^2)</f>
        <v>50.40634881</v>
      </c>
      <c r="BF1013" s="330">
        <f t="shared" si="14"/>
        <v>4.80416486</v>
      </c>
      <c r="BG1013" s="333">
        <f t="shared" si="15"/>
        <v>50.40634881</v>
      </c>
      <c r="BH1013" s="902">
        <v>36617.0</v>
      </c>
      <c r="BI1013" s="462" t="s">
        <v>846</v>
      </c>
      <c r="BJ1013" s="319" t="s">
        <v>846</v>
      </c>
      <c r="BK1013" s="319" t="s">
        <v>846</v>
      </c>
      <c r="BL1013" s="319" t="s">
        <v>846</v>
      </c>
      <c r="BM1013" s="319" t="s">
        <v>846</v>
      </c>
      <c r="BN1013" s="319" t="s">
        <v>846</v>
      </c>
      <c r="BO1013" s="319" t="s">
        <v>845</v>
      </c>
      <c r="BP1013" s="319" t="s">
        <v>846</v>
      </c>
      <c r="BQ1013" s="319" t="s">
        <v>846</v>
      </c>
      <c r="BR1013" s="324" t="s">
        <v>846</v>
      </c>
      <c r="BS1013" s="330">
        <f t="shared" si="72"/>
        <v>4.80416486</v>
      </c>
      <c r="BT1013" s="331">
        <f t="shared" si="73"/>
        <v>50.40634881</v>
      </c>
      <c r="BU1013" s="915">
        <v>0.4667013888888889</v>
      </c>
      <c r="BV1013" s="903">
        <f>BU1013-G1013</f>
        <v>0.002118055556</v>
      </c>
      <c r="BW1013" s="921">
        <v>23.2438596491228</v>
      </c>
      <c r="BX1013" s="908">
        <v>13.0210526315789</v>
      </c>
      <c r="BY1013" s="331">
        <f>IF(BW1013&gt;0, SQRT((R1013-BW1013)^2+(S1013-BX1013)^2))</f>
        <v>8.319513009</v>
      </c>
      <c r="BZ1013" s="340"/>
      <c r="CA1013" s="316"/>
      <c r="CB1013" s="318"/>
      <c r="CC1013" s="318"/>
      <c r="CD1013" s="318"/>
      <c r="CE1013" s="318"/>
      <c r="CF1013" s="318"/>
      <c r="CG1013" s="318"/>
      <c r="CH1013" s="318"/>
      <c r="CI1013" s="318"/>
      <c r="CJ1013" s="463"/>
      <c r="CK1013" s="342">
        <f t="shared" si="18"/>
        <v>0</v>
      </c>
      <c r="CL1013" s="333">
        <f t="shared" si="19"/>
        <v>0</v>
      </c>
      <c r="CM1013" s="829"/>
      <c r="CN1013" s="333"/>
      <c r="CO1013" s="333"/>
      <c r="CP1013" s="333"/>
    </row>
    <row r="1014">
      <c r="B1014" s="462" t="s">
        <v>1680</v>
      </c>
      <c r="C1014" s="914">
        <v>44447.0</v>
      </c>
      <c r="D1014" s="319" t="s">
        <v>986</v>
      </c>
      <c r="E1014" s="319">
        <v>7.2</v>
      </c>
      <c r="F1014" s="324" t="s">
        <v>1689</v>
      </c>
      <c r="G1014" s="321">
        <v>0.4666666666666667</v>
      </c>
      <c r="H1014" s="323">
        <v>0.4670138888888889</v>
      </c>
      <c r="I1014" s="323"/>
      <c r="J1014" s="323"/>
      <c r="K1014" s="323">
        <v>0.5038194444444445</v>
      </c>
      <c r="L1014" s="323">
        <v>0.03680555555555556</v>
      </c>
      <c r="M1014" s="319" t="s">
        <v>166</v>
      </c>
      <c r="N1014" s="324" t="s">
        <v>187</v>
      </c>
      <c r="O1014" s="419" t="s">
        <v>198</v>
      </c>
      <c r="P1014" s="319" t="s">
        <v>223</v>
      </c>
      <c r="Q1014" s="318"/>
      <c r="R1014" s="326">
        <v>10.0</v>
      </c>
      <c r="S1014" s="319">
        <v>11.7</v>
      </c>
      <c r="T1014" s="324">
        <v>0.5</v>
      </c>
      <c r="U1014" s="319">
        <v>0.1</v>
      </c>
      <c r="V1014" s="319"/>
      <c r="W1014" s="319"/>
      <c r="X1014" s="319"/>
      <c r="Y1014" s="319"/>
      <c r="Z1014" s="319" t="s">
        <v>1690</v>
      </c>
      <c r="AA1014" s="319"/>
      <c r="AB1014" s="319" t="s">
        <v>371</v>
      </c>
      <c r="AC1014" s="327">
        <v>1.8</v>
      </c>
      <c r="AD1014" s="319"/>
      <c r="AE1014" s="319"/>
      <c r="AF1014" s="319"/>
      <c r="AG1014" s="319"/>
      <c r="AH1014" s="319"/>
      <c r="AI1014" s="319"/>
      <c r="AJ1014" s="327"/>
      <c r="AK1014" s="328"/>
      <c r="AL1014" s="319"/>
      <c r="AM1014" s="319"/>
      <c r="AN1014" s="319"/>
      <c r="AO1014" s="319"/>
      <c r="AP1014" s="319"/>
      <c r="AQ1014" s="319"/>
      <c r="AR1014" s="319"/>
      <c r="AS1014" s="327"/>
      <c r="AT1014" s="461" t="s">
        <v>181</v>
      </c>
      <c r="AU1014" s="324" t="s">
        <v>846</v>
      </c>
      <c r="AV1014" s="330">
        <f>SQRT(($R1014-Infrastructure!J$3)^2+($S1014-Infrastructure!K$3)^2)</f>
        <v>20.04819194</v>
      </c>
      <c r="AW1014" s="331">
        <f>SQRT(($R1014-Infrastructure!J$4)^2+($S1014-Infrastructure!K$4)^2)</f>
        <v>11.9707978</v>
      </c>
      <c r="AX1014" s="331">
        <f>SQRT(($R1014-Infrastructure!J$5)^2+($S1014-Infrastructure!K$5)^2)</f>
        <v>12.23315168</v>
      </c>
      <c r="AY1014" s="331">
        <f>SQRT(($R1014-Infrastructure!J$6)^2+($S1014-Infrastructure!K$6)^2)</f>
        <v>11.40043859</v>
      </c>
      <c r="AZ1014" s="331">
        <f>SQRT(($R1014-Infrastructure!J$7)^2+($S1014-Infrastructure!K$7)^2)</f>
        <v>15.49870962</v>
      </c>
      <c r="BA1014" s="331">
        <f>SQRT(($R1014-Infrastructure!J$8)^2+($S1014-Infrastructure!K$8)^2)</f>
        <v>23.10779089</v>
      </c>
      <c r="BB1014" s="331">
        <f>SQRT(($R1014-Infrastructure!J$9)^2+($S1014-Infrastructure!K$9)^2)</f>
        <v>30.71742177</v>
      </c>
      <c r="BC1014" s="331">
        <f>SQRT(($R1014-Infrastructure!J$10)^2+($S1014-Infrastructure!K$10)^2)</f>
        <v>30.18095426</v>
      </c>
      <c r="BD1014" s="331">
        <f>SQRT(($R1014-Infrastructure!J$11)^2+($S1014-Infrastructure!K$11)^2)</f>
        <v>34.80416642</v>
      </c>
      <c r="BE1014" s="333">
        <f>SQRT(($R1014-Infrastructure!J$12)^2+($S1014-Infrastructure!K$12)^2)</f>
        <v>45.28454482</v>
      </c>
      <c r="BF1014" s="330">
        <f t="shared" si="14"/>
        <v>11.40043859</v>
      </c>
      <c r="BG1014" s="333">
        <f t="shared" si="15"/>
        <v>45.28454482</v>
      </c>
      <c r="BH1014" s="902">
        <v>36617.0</v>
      </c>
      <c r="BI1014" s="462" t="s">
        <v>845</v>
      </c>
      <c r="BJ1014" s="319" t="s">
        <v>845</v>
      </c>
      <c r="BK1014" s="319" t="s">
        <v>845</v>
      </c>
      <c r="BL1014" s="319" t="s">
        <v>845</v>
      </c>
      <c r="BM1014" s="319" t="s">
        <v>845</v>
      </c>
      <c r="BN1014" s="319" t="s">
        <v>845</v>
      </c>
      <c r="BO1014" s="319" t="s">
        <v>845</v>
      </c>
      <c r="BP1014" s="319" t="s">
        <v>845</v>
      </c>
      <c r="BQ1014" s="319" t="s">
        <v>845</v>
      </c>
      <c r="BR1014" s="324" t="s">
        <v>845</v>
      </c>
      <c r="BS1014" s="330">
        <f t="shared" si="72"/>
        <v>0</v>
      </c>
      <c r="BT1014" s="331">
        <f t="shared" si="73"/>
        <v>0</v>
      </c>
      <c r="BU1014" s="920"/>
      <c r="BV1014" s="903"/>
      <c r="BW1014" s="907"/>
      <c r="BX1014" s="908"/>
      <c r="BY1014" s="331"/>
      <c r="BZ1014" s="340"/>
      <c r="CA1014" s="316"/>
      <c r="CB1014" s="318"/>
      <c r="CC1014" s="318"/>
      <c r="CD1014" s="318"/>
      <c r="CE1014" s="318"/>
      <c r="CF1014" s="318"/>
      <c r="CG1014" s="318"/>
      <c r="CH1014" s="318"/>
      <c r="CI1014" s="318"/>
      <c r="CJ1014" s="463"/>
      <c r="CK1014" s="342">
        <f t="shared" si="18"/>
        <v>0</v>
      </c>
      <c r="CL1014" s="333">
        <f t="shared" si="19"/>
        <v>0</v>
      </c>
      <c r="CM1014" s="829"/>
      <c r="CN1014" s="333"/>
      <c r="CO1014" s="333"/>
      <c r="CP1014" s="333"/>
    </row>
    <row r="1015">
      <c r="B1015" s="462" t="s">
        <v>1680</v>
      </c>
      <c r="C1015" s="914">
        <v>44447.0</v>
      </c>
      <c r="D1015" s="319" t="s">
        <v>986</v>
      </c>
      <c r="E1015" s="319">
        <v>8.0</v>
      </c>
      <c r="F1015" s="324" t="s">
        <v>1691</v>
      </c>
      <c r="G1015" s="321">
        <v>0.5694444444444444</v>
      </c>
      <c r="H1015" s="323">
        <v>0.5706018518518519</v>
      </c>
      <c r="I1015" s="323"/>
      <c r="J1015" s="323"/>
      <c r="K1015" s="323">
        <v>0.6097222222222223</v>
      </c>
      <c r="L1015" s="323">
        <v>0.03912037037037037</v>
      </c>
      <c r="M1015" s="319" t="s">
        <v>166</v>
      </c>
      <c r="N1015" s="324" t="s">
        <v>187</v>
      </c>
      <c r="O1015" s="419" t="s">
        <v>205</v>
      </c>
      <c r="P1015" s="319" t="s">
        <v>296</v>
      </c>
      <c r="Q1015" s="318"/>
      <c r="R1015" s="326">
        <v>20.7</v>
      </c>
      <c r="S1015" s="319">
        <v>5.1</v>
      </c>
      <c r="T1015" s="324">
        <v>1.2</v>
      </c>
      <c r="U1015" s="319">
        <v>2.4</v>
      </c>
      <c r="V1015" s="319"/>
      <c r="W1015" s="319"/>
      <c r="X1015" s="319"/>
      <c r="Y1015" s="319"/>
      <c r="Z1015" s="319" t="s">
        <v>370</v>
      </c>
      <c r="AA1015" s="319"/>
      <c r="AB1015" s="319" t="s">
        <v>384</v>
      </c>
      <c r="AC1015" s="327">
        <v>6.0</v>
      </c>
      <c r="AD1015" s="319"/>
      <c r="AE1015" s="319"/>
      <c r="AF1015" s="319"/>
      <c r="AG1015" s="319"/>
      <c r="AH1015" s="319"/>
      <c r="AI1015" s="319"/>
      <c r="AJ1015" s="327"/>
      <c r="AK1015" s="328"/>
      <c r="AL1015" s="319"/>
      <c r="AM1015" s="319"/>
      <c r="AN1015" s="319"/>
      <c r="AO1015" s="319"/>
      <c r="AP1015" s="319"/>
      <c r="AQ1015" s="319"/>
      <c r="AR1015" s="319"/>
      <c r="AS1015" s="327"/>
      <c r="AT1015" s="461" t="s">
        <v>182</v>
      </c>
      <c r="AU1015" s="324" t="s">
        <v>845</v>
      </c>
      <c r="AV1015" s="330">
        <f>SQRT(($R1015-Infrastructure!J$3)^2+($S1015-Infrastructure!K$3)^2)</f>
        <v>31.74019534</v>
      </c>
      <c r="AW1015" s="331">
        <f>SQRT(($R1015-Infrastructure!J$4)^2+($S1015-Infrastructure!K$4)^2)</f>
        <v>24.54159734</v>
      </c>
      <c r="AX1015" s="331">
        <f>SQRT(($R1015-Infrastructure!J$5)^2+($S1015-Infrastructure!K$5)^2)</f>
        <v>21</v>
      </c>
      <c r="AY1015" s="331">
        <f>SQRT(($R1015-Infrastructure!J$6)^2+($S1015-Infrastructure!K$6)^2)</f>
        <v>11.63615057</v>
      </c>
      <c r="AZ1015" s="331">
        <f>SQRT(($R1015-Infrastructure!J$7)^2+($S1015-Infrastructure!K$7)^2)</f>
        <v>4.80416486</v>
      </c>
      <c r="BA1015" s="331">
        <f>SQRT(($R1015-Infrastructure!J$8)^2+($S1015-Infrastructure!K$8)^2)</f>
        <v>10.55461984</v>
      </c>
      <c r="BB1015" s="331">
        <f>SQRT(($R1015-Infrastructure!J$9)^2+($S1015-Infrastructure!K$9)^2)</f>
        <v>19.3</v>
      </c>
      <c r="BC1015" s="331">
        <f>SQRT(($R1015-Infrastructure!J$10)^2+($S1015-Infrastructure!K$10)^2)</f>
        <v>21.69101196</v>
      </c>
      <c r="BD1015" s="331">
        <f>SQRT(($R1015-Infrastructure!J$11)^2+($S1015-Infrastructure!K$11)^2)</f>
        <v>30.84574525</v>
      </c>
      <c r="BE1015" s="333">
        <f>SQRT(($R1015-Infrastructure!J$12)^2+($S1015-Infrastructure!K$12)^2)</f>
        <v>50.40634881</v>
      </c>
      <c r="BF1015" s="330">
        <f t="shared" si="14"/>
        <v>4.80416486</v>
      </c>
      <c r="BG1015" s="333">
        <f t="shared" si="15"/>
        <v>50.40634881</v>
      </c>
      <c r="BH1015" s="902">
        <v>36617.0</v>
      </c>
      <c r="BI1015" s="462" t="s">
        <v>845</v>
      </c>
      <c r="BJ1015" s="319" t="s">
        <v>845</v>
      </c>
      <c r="BK1015" s="319" t="s">
        <v>845</v>
      </c>
      <c r="BL1015" s="319" t="s">
        <v>845</v>
      </c>
      <c r="BM1015" s="319" t="s">
        <v>845</v>
      </c>
      <c r="BN1015" s="319" t="s">
        <v>845</v>
      </c>
      <c r="BO1015" s="319" t="s">
        <v>845</v>
      </c>
      <c r="BP1015" s="319" t="s">
        <v>845</v>
      </c>
      <c r="BQ1015" s="319" t="s">
        <v>845</v>
      </c>
      <c r="BR1015" s="324" t="s">
        <v>845</v>
      </c>
      <c r="BS1015" s="330">
        <f t="shared" si="72"/>
        <v>0</v>
      </c>
      <c r="BT1015" s="331">
        <f t="shared" si="73"/>
        <v>0</v>
      </c>
      <c r="BU1015" s="920"/>
      <c r="BV1015" s="903"/>
      <c r="BW1015" s="907"/>
      <c r="BX1015" s="908"/>
      <c r="BY1015" s="331"/>
      <c r="BZ1015" s="340"/>
      <c r="CA1015" s="316"/>
      <c r="CB1015" s="318"/>
      <c r="CC1015" s="318"/>
      <c r="CD1015" s="318"/>
      <c r="CE1015" s="318"/>
      <c r="CF1015" s="318"/>
      <c r="CG1015" s="318"/>
      <c r="CH1015" s="318"/>
      <c r="CI1015" s="318"/>
      <c r="CJ1015" s="463"/>
      <c r="CK1015" s="342">
        <f t="shared" si="18"/>
        <v>0</v>
      </c>
      <c r="CL1015" s="333">
        <f t="shared" si="19"/>
        <v>0</v>
      </c>
      <c r="CM1015" s="829"/>
      <c r="CN1015" s="333"/>
      <c r="CO1015" s="333"/>
      <c r="CP1015" s="333"/>
    </row>
    <row r="1016">
      <c r="B1016" s="462" t="s">
        <v>1680</v>
      </c>
      <c r="C1016" s="914">
        <v>44447.0</v>
      </c>
      <c r="D1016" s="319" t="s">
        <v>986</v>
      </c>
      <c r="E1016" s="319">
        <v>9.0</v>
      </c>
      <c r="F1016" s="324" t="s">
        <v>1692</v>
      </c>
      <c r="G1016" s="321">
        <v>0.6114583333333333</v>
      </c>
      <c r="H1016" s="323">
        <v>0.6121527777777778</v>
      </c>
      <c r="I1016" s="323"/>
      <c r="J1016" s="323"/>
      <c r="K1016" s="323">
        <v>0.6442708333333333</v>
      </c>
      <c r="L1016" s="323">
        <v>0.03211805555555555</v>
      </c>
      <c r="M1016" s="319" t="s">
        <v>166</v>
      </c>
      <c r="N1016" s="324" t="s">
        <v>187</v>
      </c>
      <c r="O1016" s="419" t="s">
        <v>201</v>
      </c>
      <c r="P1016" s="319" t="s">
        <v>256</v>
      </c>
      <c r="Q1016" s="318"/>
      <c r="R1016" s="326">
        <v>16.0</v>
      </c>
      <c r="S1016" s="319">
        <v>7.5</v>
      </c>
      <c r="T1016" s="324">
        <v>0.57</v>
      </c>
      <c r="U1016" s="319">
        <v>0.6</v>
      </c>
      <c r="V1016" s="319"/>
      <c r="W1016" s="319"/>
      <c r="X1016" s="319"/>
      <c r="Y1016" s="319"/>
      <c r="Z1016" s="319" t="s">
        <v>339</v>
      </c>
      <c r="AA1016" s="319"/>
      <c r="AB1016" s="319" t="s">
        <v>329</v>
      </c>
      <c r="AC1016" s="327">
        <v>1.5</v>
      </c>
      <c r="AD1016" s="319"/>
      <c r="AE1016" s="319"/>
      <c r="AF1016" s="319"/>
      <c r="AG1016" s="319"/>
      <c r="AH1016" s="319"/>
      <c r="AI1016" s="319"/>
      <c r="AJ1016" s="327"/>
      <c r="AK1016" s="328"/>
      <c r="AL1016" s="319"/>
      <c r="AM1016" s="319"/>
      <c r="AN1016" s="319"/>
      <c r="AO1016" s="319"/>
      <c r="AP1016" s="319"/>
      <c r="AQ1016" s="319"/>
      <c r="AR1016" s="319"/>
      <c r="AS1016" s="327"/>
      <c r="AT1016" s="461" t="s">
        <v>181</v>
      </c>
      <c r="AU1016" s="324" t="s">
        <v>845</v>
      </c>
      <c r="AV1016" s="330">
        <f>SQRT(($R1016-Infrastructure!J$3)^2+($S1016-Infrastructure!K$3)^2)</f>
        <v>26.90074348</v>
      </c>
      <c r="AW1016" s="331">
        <f>SQRT(($R1016-Infrastructure!J$4)^2+($S1016-Infrastructure!K$4)^2)</f>
        <v>19.28159744</v>
      </c>
      <c r="AX1016" s="331">
        <f>SQRT(($R1016-Infrastructure!J$5)^2+($S1016-Infrastructure!K$5)^2)</f>
        <v>16.47573974</v>
      </c>
      <c r="AY1016" s="331">
        <f>SQRT(($R1016-Infrastructure!J$6)^2+($S1016-Infrastructure!K$6)^2)</f>
        <v>9.308598176</v>
      </c>
      <c r="AZ1016" s="331">
        <f>SQRT(($R1016-Infrastructure!J$7)^2+($S1016-Infrastructure!K$7)^2)</f>
        <v>8.490583019</v>
      </c>
      <c r="BA1016" s="331">
        <f>SQRT(($R1016-Infrastructure!J$8)^2+($S1016-Infrastructure!K$8)^2)</f>
        <v>15.83192976</v>
      </c>
      <c r="BB1016" s="331">
        <f>SQRT(($R1016-Infrastructure!J$9)^2+($S1016-Infrastructure!K$9)^2)</f>
        <v>24.11970149</v>
      </c>
      <c r="BC1016" s="331">
        <f>SQRT(($R1016-Infrastructure!J$10)^2+($S1016-Infrastructure!K$10)^2)</f>
        <v>25.14458192</v>
      </c>
      <c r="BD1016" s="331">
        <f>SQRT(($R1016-Infrastructure!J$11)^2+($S1016-Infrastructure!K$11)^2)</f>
        <v>32.37112911</v>
      </c>
      <c r="BE1016" s="333">
        <f>SQRT(($R1016-Infrastructure!J$12)^2+($S1016-Infrastructure!K$12)^2)</f>
        <v>48.31407662</v>
      </c>
      <c r="BF1016" s="330">
        <f t="shared" si="14"/>
        <v>8.490583019</v>
      </c>
      <c r="BG1016" s="333">
        <f t="shared" si="15"/>
        <v>48.31407662</v>
      </c>
      <c r="BH1016" s="902">
        <v>36617.0</v>
      </c>
      <c r="BI1016" s="462" t="s">
        <v>845</v>
      </c>
      <c r="BJ1016" s="319" t="s">
        <v>845</v>
      </c>
      <c r="BK1016" s="319" t="s">
        <v>845</v>
      </c>
      <c r="BL1016" s="319" t="s">
        <v>845</v>
      </c>
      <c r="BM1016" s="319" t="s">
        <v>845</v>
      </c>
      <c r="BN1016" s="319" t="s">
        <v>845</v>
      </c>
      <c r="BO1016" s="319" t="s">
        <v>845</v>
      </c>
      <c r="BP1016" s="319" t="s">
        <v>845</v>
      </c>
      <c r="BQ1016" s="319" t="s">
        <v>845</v>
      </c>
      <c r="BR1016" s="324" t="s">
        <v>845</v>
      </c>
      <c r="BS1016" s="330">
        <f t="shared" si="72"/>
        <v>0</v>
      </c>
      <c r="BT1016" s="331">
        <f t="shared" si="73"/>
        <v>0</v>
      </c>
      <c r="BU1016" s="920"/>
      <c r="BV1016" s="903"/>
      <c r="BW1016" s="907"/>
      <c r="BX1016" s="908"/>
      <c r="BY1016" s="331"/>
      <c r="BZ1016" s="340"/>
      <c r="CA1016" s="316"/>
      <c r="CB1016" s="318"/>
      <c r="CC1016" s="318"/>
      <c r="CD1016" s="318"/>
      <c r="CE1016" s="318"/>
      <c r="CF1016" s="318"/>
      <c r="CG1016" s="318"/>
      <c r="CH1016" s="318"/>
      <c r="CI1016" s="318"/>
      <c r="CJ1016" s="463"/>
      <c r="CK1016" s="342">
        <f t="shared" si="18"/>
        <v>0</v>
      </c>
      <c r="CL1016" s="333">
        <f t="shared" si="19"/>
        <v>0</v>
      </c>
      <c r="CM1016" s="829"/>
      <c r="CN1016" s="333"/>
      <c r="CO1016" s="333"/>
      <c r="CP1016" s="333"/>
    </row>
    <row r="1017">
      <c r="B1017" s="462" t="s">
        <v>1680</v>
      </c>
      <c r="C1017" s="914">
        <v>44447.0</v>
      </c>
      <c r="D1017" s="319" t="s">
        <v>986</v>
      </c>
      <c r="E1017" s="319">
        <v>10.0</v>
      </c>
      <c r="F1017" s="324" t="s">
        <v>1693</v>
      </c>
      <c r="G1017" s="321">
        <v>0.6451967592592592</v>
      </c>
      <c r="H1017" s="323">
        <v>0.6458333333333334</v>
      </c>
      <c r="I1017" s="323"/>
      <c r="J1017" s="323"/>
      <c r="K1017" s="323">
        <v>0.6722222222222223</v>
      </c>
      <c r="L1017" s="323">
        <v>0.02638888888888889</v>
      </c>
      <c r="M1017" s="319" t="s">
        <v>166</v>
      </c>
      <c r="N1017" s="324" t="s">
        <v>187</v>
      </c>
      <c r="O1017" s="419" t="s">
        <v>198</v>
      </c>
      <c r="P1017" s="319" t="s">
        <v>218</v>
      </c>
      <c r="Q1017" s="318"/>
      <c r="R1017" s="326">
        <v>10.3</v>
      </c>
      <c r="S1017" s="319">
        <v>8.1</v>
      </c>
      <c r="T1017" s="324">
        <v>3.0</v>
      </c>
      <c r="U1017" s="319">
        <v>1.7</v>
      </c>
      <c r="V1017" s="319"/>
      <c r="W1017" s="319"/>
      <c r="X1017" s="319"/>
      <c r="Y1017" s="319"/>
      <c r="Z1017" s="319" t="s">
        <v>343</v>
      </c>
      <c r="AA1017" s="319"/>
      <c r="AB1017" s="319" t="s">
        <v>384</v>
      </c>
      <c r="AC1017" s="327">
        <v>6.0</v>
      </c>
      <c r="AD1017" s="319"/>
      <c r="AE1017" s="319"/>
      <c r="AF1017" s="319"/>
      <c r="AG1017" s="319"/>
      <c r="AH1017" s="319"/>
      <c r="AI1017" s="319"/>
      <c r="AJ1017" s="327"/>
      <c r="AK1017" s="328"/>
      <c r="AL1017" s="319"/>
      <c r="AM1017" s="319"/>
      <c r="AN1017" s="319"/>
      <c r="AO1017" s="319"/>
      <c r="AP1017" s="319"/>
      <c r="AQ1017" s="319"/>
      <c r="AR1017" s="319"/>
      <c r="AS1017" s="327"/>
      <c r="AT1017" s="461" t="s">
        <v>182</v>
      </c>
      <c r="AU1017" s="324" t="s">
        <v>845</v>
      </c>
      <c r="AV1017" s="330">
        <f>SQRT(($R1017-Infrastructure!J$3)^2+($S1017-Infrastructure!K$3)^2)</f>
        <v>23.34523506</v>
      </c>
      <c r="AW1017" s="331">
        <f>SQRT(($R1017-Infrastructure!J$4)^2+($S1017-Infrastructure!K$4)^2)</f>
        <v>14.36836804</v>
      </c>
      <c r="AX1017" s="331">
        <f>SQRT(($R1017-Infrastructure!J$5)^2+($S1017-Infrastructure!K$5)^2)</f>
        <v>11.01635148</v>
      </c>
      <c r="AY1017" s="331">
        <f>SQRT(($R1017-Infrastructure!J$6)^2+($S1017-Infrastructure!K$6)^2)</f>
        <v>7.802563681</v>
      </c>
      <c r="AZ1017" s="331">
        <f>SQRT(($R1017-Infrastructure!J$7)^2+($S1017-Infrastructure!K$7)^2)</f>
        <v>12.84056074</v>
      </c>
      <c r="BA1017" s="331">
        <f>SQRT(($R1017-Infrastructure!J$8)^2+($S1017-Infrastructure!K$8)^2)</f>
        <v>21.28097742</v>
      </c>
      <c r="BB1017" s="331">
        <f>SQRT(($R1017-Infrastructure!J$9)^2+($S1017-Infrastructure!K$9)^2)</f>
        <v>29.85113063</v>
      </c>
      <c r="BC1017" s="331">
        <f>SQRT(($R1017-Infrastructure!J$10)^2+($S1017-Infrastructure!K$10)^2)</f>
        <v>30.49098227</v>
      </c>
      <c r="BD1017" s="331">
        <f>SQRT(($R1017-Infrastructure!J$11)^2+($S1017-Infrastructure!K$11)^2)</f>
        <v>36.4804057</v>
      </c>
      <c r="BE1017" s="333">
        <f>SQRT(($R1017-Infrastructure!J$12)^2+($S1017-Infrastructure!K$12)^2)</f>
        <v>48.70523586</v>
      </c>
      <c r="BF1017" s="330">
        <f t="shared" si="14"/>
        <v>7.802563681</v>
      </c>
      <c r="BG1017" s="333">
        <f t="shared" si="15"/>
        <v>48.70523586</v>
      </c>
      <c r="BH1017" s="902">
        <v>36617.0</v>
      </c>
      <c r="BI1017" s="462" t="s">
        <v>845</v>
      </c>
      <c r="BJ1017" s="319" t="s">
        <v>845</v>
      </c>
      <c r="BK1017" s="319" t="s">
        <v>845</v>
      </c>
      <c r="BL1017" s="319" t="s">
        <v>845</v>
      </c>
      <c r="BM1017" s="319" t="s">
        <v>845</v>
      </c>
      <c r="BN1017" s="319" t="s">
        <v>845</v>
      </c>
      <c r="BO1017" s="319" t="s">
        <v>845</v>
      </c>
      <c r="BP1017" s="319" t="s">
        <v>845</v>
      </c>
      <c r="BQ1017" s="319" t="s">
        <v>845</v>
      </c>
      <c r="BR1017" s="324" t="s">
        <v>845</v>
      </c>
      <c r="BS1017" s="330">
        <f t="shared" si="72"/>
        <v>0</v>
      </c>
      <c r="BT1017" s="331">
        <f t="shared" si="73"/>
        <v>0</v>
      </c>
      <c r="BU1017" s="920"/>
      <c r="BV1017" s="903"/>
      <c r="BW1017" s="907"/>
      <c r="BX1017" s="908"/>
      <c r="BY1017" s="331"/>
      <c r="BZ1017" s="340"/>
      <c r="CA1017" s="316"/>
      <c r="CB1017" s="318"/>
      <c r="CC1017" s="318"/>
      <c r="CD1017" s="318"/>
      <c r="CE1017" s="318"/>
      <c r="CF1017" s="318"/>
      <c r="CG1017" s="318"/>
      <c r="CH1017" s="318"/>
      <c r="CI1017" s="318"/>
      <c r="CJ1017" s="463"/>
      <c r="CK1017" s="342">
        <f t="shared" si="18"/>
        <v>0</v>
      </c>
      <c r="CL1017" s="333">
        <f t="shared" si="19"/>
        <v>0</v>
      </c>
      <c r="CM1017" s="829"/>
      <c r="CN1017" s="333"/>
      <c r="CO1017" s="333"/>
      <c r="CP1017" s="333"/>
    </row>
    <row r="1018">
      <c r="B1018" s="462" t="s">
        <v>1680</v>
      </c>
      <c r="C1018" s="914">
        <v>44447.0</v>
      </c>
      <c r="D1018" s="319" t="s">
        <v>986</v>
      </c>
      <c r="E1018" s="319">
        <v>11.0</v>
      </c>
      <c r="F1018" s="324" t="s">
        <v>1694</v>
      </c>
      <c r="G1018" s="321">
        <v>0.672974537037037</v>
      </c>
      <c r="H1018" s="323">
        <v>0.6732638888888889</v>
      </c>
      <c r="I1018" s="323"/>
      <c r="J1018" s="323"/>
      <c r="K1018" s="323">
        <v>0.6895833333333333</v>
      </c>
      <c r="L1018" s="323">
        <v>0.016319444444444445</v>
      </c>
      <c r="M1018" s="319" t="s">
        <v>166</v>
      </c>
      <c r="N1018" s="324" t="s">
        <v>187</v>
      </c>
      <c r="O1018" s="419" t="s">
        <v>203</v>
      </c>
      <c r="P1018" s="319" t="s">
        <v>227</v>
      </c>
      <c r="Q1018" s="318"/>
      <c r="R1018" s="326">
        <v>15.5</v>
      </c>
      <c r="S1018" s="319">
        <v>3.4</v>
      </c>
      <c r="T1018" s="324">
        <v>1.35</v>
      </c>
      <c r="U1018" s="319">
        <v>0.25</v>
      </c>
      <c r="V1018" s="319"/>
      <c r="W1018" s="319"/>
      <c r="X1018" s="319"/>
      <c r="Y1018" s="319"/>
      <c r="Z1018" s="319" t="s">
        <v>357</v>
      </c>
      <c r="AA1018" s="319"/>
      <c r="AB1018" s="319" t="s">
        <v>371</v>
      </c>
      <c r="AC1018" s="327">
        <v>1.8</v>
      </c>
      <c r="AD1018" s="319"/>
      <c r="AE1018" s="319"/>
      <c r="AF1018" s="319"/>
      <c r="AG1018" s="319"/>
      <c r="AH1018" s="319"/>
      <c r="AI1018" s="319"/>
      <c r="AJ1018" s="327"/>
      <c r="AK1018" s="328"/>
      <c r="AL1018" s="319"/>
      <c r="AM1018" s="319"/>
      <c r="AN1018" s="319"/>
      <c r="AO1018" s="319"/>
      <c r="AP1018" s="319"/>
      <c r="AQ1018" s="319"/>
      <c r="AR1018" s="319"/>
      <c r="AS1018" s="327"/>
      <c r="AT1018" s="461" t="s">
        <v>181</v>
      </c>
      <c r="AU1018" s="324" t="s">
        <v>845</v>
      </c>
      <c r="AV1018" s="330">
        <f>SQRT(($R1018-Infrastructure!J$3)^2+($S1018-Infrastructure!K$3)^2)</f>
        <v>29.99816661</v>
      </c>
      <c r="AW1018" s="331">
        <f>SQRT(($R1018-Infrastructure!J$4)^2+($S1018-Infrastructure!K$4)^2)</f>
        <v>21.37755833</v>
      </c>
      <c r="AX1018" s="331">
        <f>SQRT(($R1018-Infrastructure!J$5)^2+($S1018-Infrastructure!K$5)^2)</f>
        <v>15.89119253</v>
      </c>
      <c r="AY1018" s="331">
        <f>SQRT(($R1018-Infrastructure!J$6)^2+($S1018-Infrastructure!K$6)^2)</f>
        <v>6.22655603</v>
      </c>
      <c r="AZ1018" s="331">
        <f>SQRT(($R1018-Infrastructure!J$7)^2+($S1018-Infrastructure!K$7)^2)</f>
        <v>5.883026432</v>
      </c>
      <c r="BA1018" s="331">
        <f>SQRT(($R1018-Infrastructure!J$8)^2+($S1018-Infrastructure!K$8)^2)</f>
        <v>14.92548157</v>
      </c>
      <c r="BB1018" s="331">
        <f>SQRT(($R1018-Infrastructure!J$9)^2+($S1018-Infrastructure!K$9)^2)</f>
        <v>24.55890877</v>
      </c>
      <c r="BC1018" s="331">
        <f>SQRT(($R1018-Infrastructure!J$10)^2+($S1018-Infrastructure!K$10)^2)</f>
        <v>27.10737907</v>
      </c>
      <c r="BD1018" s="331">
        <f>SQRT(($R1018-Infrastructure!J$11)^2+($S1018-Infrastructure!K$11)^2)</f>
        <v>35.57316404</v>
      </c>
      <c r="BE1018" s="333">
        <f>SQRT(($R1018-Infrastructure!J$12)^2+($S1018-Infrastructure!K$12)^2)</f>
        <v>52.44435146</v>
      </c>
      <c r="BF1018" s="330">
        <f t="shared" si="14"/>
        <v>5.883026432</v>
      </c>
      <c r="BG1018" s="333">
        <f t="shared" si="15"/>
        <v>52.44435146</v>
      </c>
      <c r="BH1018" s="902">
        <v>36617.0</v>
      </c>
      <c r="BI1018" s="462" t="s">
        <v>845</v>
      </c>
      <c r="BJ1018" s="319" t="s">
        <v>845</v>
      </c>
      <c r="BK1018" s="319" t="s">
        <v>845</v>
      </c>
      <c r="BL1018" s="319" t="s">
        <v>845</v>
      </c>
      <c r="BM1018" s="319" t="s">
        <v>845</v>
      </c>
      <c r="BN1018" s="319" t="s">
        <v>845</v>
      </c>
      <c r="BO1018" s="319" t="s">
        <v>845</v>
      </c>
      <c r="BP1018" s="319" t="s">
        <v>845</v>
      </c>
      <c r="BQ1018" s="319" t="s">
        <v>845</v>
      </c>
      <c r="BR1018" s="324" t="s">
        <v>845</v>
      </c>
      <c r="BS1018" s="330">
        <f t="shared" si="72"/>
        <v>0</v>
      </c>
      <c r="BT1018" s="331">
        <f t="shared" si="73"/>
        <v>0</v>
      </c>
      <c r="BU1018" s="920"/>
      <c r="BV1018" s="903"/>
      <c r="BW1018" s="907"/>
      <c r="BX1018" s="908"/>
      <c r="BY1018" s="331"/>
      <c r="BZ1018" s="340"/>
      <c r="CA1018" s="316"/>
      <c r="CB1018" s="318"/>
      <c r="CC1018" s="318"/>
      <c r="CD1018" s="318"/>
      <c r="CE1018" s="318"/>
      <c r="CF1018" s="318"/>
      <c r="CG1018" s="318"/>
      <c r="CH1018" s="318"/>
      <c r="CI1018" s="318"/>
      <c r="CJ1018" s="463"/>
      <c r="CK1018" s="342">
        <f t="shared" si="18"/>
        <v>0</v>
      </c>
      <c r="CL1018" s="333">
        <f t="shared" si="19"/>
        <v>0</v>
      </c>
      <c r="CM1018" s="829"/>
      <c r="CN1018" s="333"/>
      <c r="CO1018" s="333"/>
      <c r="CP1018" s="333"/>
    </row>
    <row r="1019">
      <c r="B1019" s="462" t="s">
        <v>1680</v>
      </c>
      <c r="C1019" s="914">
        <v>44448.0</v>
      </c>
      <c r="D1019" s="319" t="s">
        <v>986</v>
      </c>
      <c r="E1019" s="319">
        <v>12.0</v>
      </c>
      <c r="F1019" s="324" t="s">
        <v>1695</v>
      </c>
      <c r="G1019" s="321">
        <v>0.4079861111111111</v>
      </c>
      <c r="H1019" s="323">
        <v>0.40868055555555555</v>
      </c>
      <c r="I1019" s="323"/>
      <c r="J1019" s="323"/>
      <c r="K1019" s="323">
        <v>0.44635416666666666</v>
      </c>
      <c r="L1019" s="323">
        <v>0.03767361111111111</v>
      </c>
      <c r="M1019" s="319" t="s">
        <v>166</v>
      </c>
      <c r="N1019" s="324" t="s">
        <v>187</v>
      </c>
      <c r="O1019" s="419" t="s">
        <v>203</v>
      </c>
      <c r="P1019" s="319" t="s">
        <v>227</v>
      </c>
      <c r="Q1019" s="318"/>
      <c r="R1019" s="326">
        <v>15.5</v>
      </c>
      <c r="S1019" s="319">
        <v>3.4</v>
      </c>
      <c r="T1019" s="324">
        <v>1.35</v>
      </c>
      <c r="U1019" s="319">
        <v>0.4</v>
      </c>
      <c r="V1019" s="319"/>
      <c r="W1019" s="319"/>
      <c r="X1019" s="319"/>
      <c r="Y1019" s="319"/>
      <c r="Z1019" s="319" t="s">
        <v>357</v>
      </c>
      <c r="AA1019" s="319"/>
      <c r="AB1019" s="319" t="s">
        <v>375</v>
      </c>
      <c r="AC1019" s="327">
        <v>2.7</v>
      </c>
      <c r="AD1019" s="319"/>
      <c r="AE1019" s="319"/>
      <c r="AF1019" s="319"/>
      <c r="AG1019" s="319"/>
      <c r="AH1019" s="319"/>
      <c r="AI1019" s="319"/>
      <c r="AJ1019" s="327"/>
      <c r="AK1019" s="328"/>
      <c r="AL1019" s="319"/>
      <c r="AM1019" s="319"/>
      <c r="AN1019" s="319"/>
      <c r="AO1019" s="319"/>
      <c r="AP1019" s="319"/>
      <c r="AQ1019" s="319"/>
      <c r="AR1019" s="319"/>
      <c r="AS1019" s="327"/>
      <c r="AT1019" s="461" t="s">
        <v>181</v>
      </c>
      <c r="AU1019" s="324" t="s">
        <v>845</v>
      </c>
      <c r="AV1019" s="330">
        <f>SQRT(($R1019-Infrastructure!J$3)^2+($S1019-Infrastructure!K$3)^2)</f>
        <v>29.99816661</v>
      </c>
      <c r="AW1019" s="331">
        <f>SQRT(($R1019-Infrastructure!J$4)^2+($S1019-Infrastructure!K$4)^2)</f>
        <v>21.37755833</v>
      </c>
      <c r="AX1019" s="331">
        <f>SQRT(($R1019-Infrastructure!J$5)^2+($S1019-Infrastructure!K$5)^2)</f>
        <v>15.89119253</v>
      </c>
      <c r="AY1019" s="331">
        <f>SQRT(($R1019-Infrastructure!J$6)^2+($S1019-Infrastructure!K$6)^2)</f>
        <v>6.22655603</v>
      </c>
      <c r="AZ1019" s="331">
        <f>SQRT(($R1019-Infrastructure!J$7)^2+($S1019-Infrastructure!K$7)^2)</f>
        <v>5.883026432</v>
      </c>
      <c r="BA1019" s="331">
        <f>SQRT(($R1019-Infrastructure!J$8)^2+($S1019-Infrastructure!K$8)^2)</f>
        <v>14.92548157</v>
      </c>
      <c r="BB1019" s="331">
        <f>SQRT(($R1019-Infrastructure!J$9)^2+($S1019-Infrastructure!K$9)^2)</f>
        <v>24.55890877</v>
      </c>
      <c r="BC1019" s="331">
        <f>SQRT(($R1019-Infrastructure!J$10)^2+($S1019-Infrastructure!K$10)^2)</f>
        <v>27.10737907</v>
      </c>
      <c r="BD1019" s="331">
        <f>SQRT(($R1019-Infrastructure!J$11)^2+($S1019-Infrastructure!K$11)^2)</f>
        <v>35.57316404</v>
      </c>
      <c r="BE1019" s="333">
        <f>SQRT(($R1019-Infrastructure!J$12)^2+($S1019-Infrastructure!K$12)^2)</f>
        <v>52.44435146</v>
      </c>
      <c r="BF1019" s="330">
        <f t="shared" si="14"/>
        <v>5.883026432</v>
      </c>
      <c r="BG1019" s="333">
        <f t="shared" si="15"/>
        <v>52.44435146</v>
      </c>
      <c r="BH1019" s="902">
        <v>36617.0</v>
      </c>
      <c r="BI1019" s="462" t="s">
        <v>846</v>
      </c>
      <c r="BJ1019" s="319" t="s">
        <v>846</v>
      </c>
      <c r="BK1019" s="319" t="s">
        <v>846</v>
      </c>
      <c r="BL1019" s="319" t="s">
        <v>846</v>
      </c>
      <c r="BM1019" s="319" t="s">
        <v>846</v>
      </c>
      <c r="BN1019" s="319" t="s">
        <v>846</v>
      </c>
      <c r="BO1019" s="319" t="s">
        <v>846</v>
      </c>
      <c r="BP1019" s="319" t="s">
        <v>845</v>
      </c>
      <c r="BQ1019" s="319" t="s">
        <v>846</v>
      </c>
      <c r="BR1019" s="324" t="s">
        <v>846</v>
      </c>
      <c r="BS1019" s="330">
        <f t="shared" si="72"/>
        <v>5.883026432</v>
      </c>
      <c r="BT1019" s="331">
        <f t="shared" si="73"/>
        <v>52.44435146</v>
      </c>
      <c r="BU1019" s="922">
        <v>0.4079861111111111</v>
      </c>
      <c r="BV1019" s="903">
        <f t="shared" ref="BV1019:BV1032" si="76">BU1019-G1019</f>
        <v>0</v>
      </c>
      <c r="BW1019" s="921">
        <v>22.8937172774869</v>
      </c>
      <c r="BX1019" s="923">
        <v>7.17225130890052</v>
      </c>
      <c r="BY1019" s="331">
        <f t="shared" ref="BY1019:BY1032" si="77">IF(BW1019&gt;0, SQRT((R1019-BW1019)^2+(S1019-BX1019)^2))</f>
        <v>8.300417768</v>
      </c>
      <c r="BZ1019" s="340"/>
      <c r="CA1019" s="316"/>
      <c r="CB1019" s="318"/>
      <c r="CC1019" s="318"/>
      <c r="CD1019" s="318"/>
      <c r="CE1019" s="318"/>
      <c r="CF1019" s="318"/>
      <c r="CG1019" s="318"/>
      <c r="CH1019" s="318"/>
      <c r="CI1019" s="318"/>
      <c r="CJ1019" s="463"/>
      <c r="CK1019" s="342">
        <f t="shared" si="18"/>
        <v>0</v>
      </c>
      <c r="CL1019" s="333">
        <f t="shared" si="19"/>
        <v>0</v>
      </c>
      <c r="CM1019" s="829"/>
      <c r="CN1019" s="333"/>
      <c r="CO1019" s="333"/>
      <c r="CP1019" s="333"/>
    </row>
    <row r="1020">
      <c r="B1020" s="462" t="s">
        <v>1680</v>
      </c>
      <c r="C1020" s="914">
        <v>44448.0</v>
      </c>
      <c r="D1020" s="319" t="s">
        <v>986</v>
      </c>
      <c r="E1020" s="319">
        <v>13.1</v>
      </c>
      <c r="F1020" s="324" t="s">
        <v>1696</v>
      </c>
      <c r="G1020" s="321">
        <v>0.44722222222222224</v>
      </c>
      <c r="H1020" s="323">
        <v>0.4479166666666667</v>
      </c>
      <c r="I1020" s="323"/>
      <c r="J1020" s="323"/>
      <c r="K1020" s="323">
        <v>0.48368055555555556</v>
      </c>
      <c r="L1020" s="323">
        <v>0.03576388888888889</v>
      </c>
      <c r="M1020" s="319" t="s">
        <v>166</v>
      </c>
      <c r="N1020" s="324" t="s">
        <v>187</v>
      </c>
      <c r="O1020" s="419" t="s">
        <v>207</v>
      </c>
      <c r="P1020" s="319" t="s">
        <v>221</v>
      </c>
      <c r="Q1020" s="318"/>
      <c r="R1020" s="326">
        <v>26.2</v>
      </c>
      <c r="S1020" s="319">
        <v>14.5</v>
      </c>
      <c r="T1020" s="324">
        <v>1.7</v>
      </c>
      <c r="U1020" s="319">
        <v>1.5</v>
      </c>
      <c r="V1020" s="319"/>
      <c r="W1020" s="319"/>
      <c r="X1020" s="319"/>
      <c r="Y1020" s="319"/>
      <c r="Z1020" s="319" t="s">
        <v>374</v>
      </c>
      <c r="AA1020" s="319"/>
      <c r="AB1020" s="319" t="s">
        <v>380</v>
      </c>
      <c r="AC1020" s="327">
        <v>4.0</v>
      </c>
      <c r="AD1020" s="319"/>
      <c r="AE1020" s="319"/>
      <c r="AF1020" s="319"/>
      <c r="AG1020" s="319"/>
      <c r="AH1020" s="319"/>
      <c r="AI1020" s="319"/>
      <c r="AJ1020" s="327"/>
      <c r="AK1020" s="328"/>
      <c r="AL1020" s="319"/>
      <c r="AM1020" s="319"/>
      <c r="AN1020" s="319"/>
      <c r="AO1020" s="319"/>
      <c r="AP1020" s="319"/>
      <c r="AQ1020" s="319"/>
      <c r="AR1020" s="319"/>
      <c r="AS1020" s="327"/>
      <c r="AT1020" s="461" t="s">
        <v>182</v>
      </c>
      <c r="AU1020" s="324" t="s">
        <v>846</v>
      </c>
      <c r="AV1020" s="330">
        <f>SQRT(($R1020-Infrastructure!J$3)^2+($S1020-Infrastructure!K$3)^2)</f>
        <v>30.15974138</v>
      </c>
      <c r="AW1020" s="331">
        <f>SQRT(($R1020-Infrastructure!J$4)^2+($S1020-Infrastructure!K$4)^2)</f>
        <v>26.70468124</v>
      </c>
      <c r="AX1020" s="331">
        <f>SQRT(($R1020-Infrastructure!J$5)^2+($S1020-Infrastructure!K$5)^2)</f>
        <v>28.11778796</v>
      </c>
      <c r="AY1020" s="331">
        <f>SQRT(($R1020-Infrastructure!J$6)^2+($S1020-Infrastructure!K$6)^2)</f>
        <v>21.46741717</v>
      </c>
      <c r="AZ1020" s="331">
        <f>SQRT(($R1020-Infrastructure!J$7)^2+($S1020-Infrastructure!K$7)^2)</f>
        <v>15.30130713</v>
      </c>
      <c r="BA1020" s="331">
        <f>SQRT(($R1020-Infrastructure!J$8)^2+($S1020-Infrastructure!K$8)^2)</f>
        <v>14.72582765</v>
      </c>
      <c r="BB1020" s="331">
        <f>SQRT(($R1020-Infrastructure!J$9)^2+($S1020-Infrastructure!K$9)^2)</f>
        <v>16.69730517</v>
      </c>
      <c r="BC1020" s="331">
        <f>SQRT(($R1020-Infrastructure!J$10)^2+($S1020-Infrastructure!K$10)^2)</f>
        <v>13.809055</v>
      </c>
      <c r="BD1020" s="331">
        <f>SQRT(($R1020-Infrastructure!J$11)^2+($S1020-Infrastructure!K$11)^2)</f>
        <v>20.15564437</v>
      </c>
      <c r="BE1020" s="333">
        <f>SQRT(($R1020-Infrastructure!J$12)^2+($S1020-Infrastructure!K$12)^2)</f>
        <v>41.268511</v>
      </c>
      <c r="BF1020" s="330">
        <f t="shared" si="14"/>
        <v>13.809055</v>
      </c>
      <c r="BG1020" s="333">
        <f t="shared" si="15"/>
        <v>41.268511</v>
      </c>
      <c r="BH1020" s="902">
        <v>36617.0</v>
      </c>
      <c r="BI1020" s="462" t="s">
        <v>846</v>
      </c>
      <c r="BJ1020" s="319" t="s">
        <v>846</v>
      </c>
      <c r="BK1020" s="319" t="s">
        <v>845</v>
      </c>
      <c r="BL1020" s="319" t="s">
        <v>846</v>
      </c>
      <c r="BM1020" s="319" t="s">
        <v>846</v>
      </c>
      <c r="BN1020" s="319" t="s">
        <v>846</v>
      </c>
      <c r="BO1020" s="319" t="s">
        <v>846</v>
      </c>
      <c r="BP1020" s="319" t="s">
        <v>845</v>
      </c>
      <c r="BQ1020" s="319" t="s">
        <v>845</v>
      </c>
      <c r="BR1020" s="324" t="s">
        <v>846</v>
      </c>
      <c r="BS1020" s="330">
        <f t="shared" si="72"/>
        <v>14.72582765</v>
      </c>
      <c r="BT1020" s="331">
        <f t="shared" si="73"/>
        <v>41.268511</v>
      </c>
      <c r="BU1020" s="922">
        <v>0.44722222222222224</v>
      </c>
      <c r="BV1020" s="903">
        <f t="shared" si="76"/>
        <v>0</v>
      </c>
      <c r="BW1020" s="921">
        <v>24.9627087198515</v>
      </c>
      <c r="BX1020" s="923">
        <v>4.68089053803338</v>
      </c>
      <c r="BY1020" s="331">
        <f t="shared" si="77"/>
        <v>9.896757062</v>
      </c>
      <c r="BZ1020" s="340"/>
      <c r="CA1020" s="316"/>
      <c r="CB1020" s="318"/>
      <c r="CC1020" s="318"/>
      <c r="CD1020" s="318"/>
      <c r="CE1020" s="318"/>
      <c r="CF1020" s="318"/>
      <c r="CG1020" s="318"/>
      <c r="CH1020" s="318"/>
      <c r="CI1020" s="318"/>
      <c r="CJ1020" s="463"/>
      <c r="CK1020" s="342">
        <f t="shared" si="18"/>
        <v>0</v>
      </c>
      <c r="CL1020" s="333">
        <f t="shared" si="19"/>
        <v>0</v>
      </c>
      <c r="CM1020" s="829"/>
      <c r="CN1020" s="333"/>
      <c r="CO1020" s="333"/>
      <c r="CP1020" s="333"/>
    </row>
    <row r="1021">
      <c r="B1021" s="462" t="s">
        <v>1680</v>
      </c>
      <c r="C1021" s="914">
        <v>44448.0</v>
      </c>
      <c r="D1021" s="319" t="s">
        <v>986</v>
      </c>
      <c r="E1021" s="319">
        <v>13.2</v>
      </c>
      <c r="F1021" s="324" t="s">
        <v>1697</v>
      </c>
      <c r="G1021" s="321">
        <v>0.44722222222222224</v>
      </c>
      <c r="H1021" s="323">
        <v>0.4479166666666667</v>
      </c>
      <c r="I1021" s="323"/>
      <c r="J1021" s="323"/>
      <c r="K1021" s="323">
        <v>0.48368055555555556</v>
      </c>
      <c r="L1021" s="323">
        <v>0.03576388888888889</v>
      </c>
      <c r="M1021" s="319" t="s">
        <v>166</v>
      </c>
      <c r="N1021" s="324" t="s">
        <v>187</v>
      </c>
      <c r="O1021" s="419" t="s">
        <v>204</v>
      </c>
      <c r="P1021" s="319" t="s">
        <v>260</v>
      </c>
      <c r="Q1021" s="318"/>
      <c r="R1021" s="326">
        <v>18.6</v>
      </c>
      <c r="S1021" s="319">
        <v>4.4</v>
      </c>
      <c r="T1021" s="324">
        <v>2.47</v>
      </c>
      <c r="U1021" s="319">
        <v>1.5</v>
      </c>
      <c r="V1021" s="319"/>
      <c r="W1021" s="319"/>
      <c r="X1021" s="319"/>
      <c r="Y1021" s="319"/>
      <c r="Z1021" s="319" t="s">
        <v>365</v>
      </c>
      <c r="AA1021" s="319"/>
      <c r="AB1021" s="319" t="s">
        <v>380</v>
      </c>
      <c r="AC1021" s="327">
        <v>4.0</v>
      </c>
      <c r="AD1021" s="319"/>
      <c r="AE1021" s="319"/>
      <c r="AF1021" s="319"/>
      <c r="AG1021" s="319"/>
      <c r="AH1021" s="319"/>
      <c r="AI1021" s="319"/>
      <c r="AJ1021" s="327"/>
      <c r="AK1021" s="328"/>
      <c r="AL1021" s="319"/>
      <c r="AM1021" s="319"/>
      <c r="AN1021" s="319"/>
      <c r="AO1021" s="319"/>
      <c r="AP1021" s="319"/>
      <c r="AQ1021" s="319"/>
      <c r="AR1021" s="319"/>
      <c r="AS1021" s="327"/>
      <c r="AT1021" s="461" t="s">
        <v>182</v>
      </c>
      <c r="AU1021" s="324" t="s">
        <v>846</v>
      </c>
      <c r="AV1021" s="330">
        <f>SQRT(($R1021-Infrastructure!J$3)^2+($S1021-Infrastructure!K$3)^2)</f>
        <v>30.94285055</v>
      </c>
      <c r="AW1021" s="331">
        <f>SQRT(($R1021-Infrastructure!J$4)^2+($S1021-Infrastructure!K$4)^2)</f>
        <v>23.1682973</v>
      </c>
      <c r="AX1021" s="331">
        <f>SQRT(($R1021-Infrastructure!J$5)^2+($S1021-Infrastructure!K$5)^2)</f>
        <v>18.91295852</v>
      </c>
      <c r="AY1021" s="331">
        <f>SQRT(($R1021-Infrastructure!J$6)^2+($S1021-Infrastructure!K$6)^2)</f>
        <v>9.43716059</v>
      </c>
      <c r="AZ1021" s="331">
        <f>SQRT(($R1021-Infrastructure!J$7)^2+($S1021-Infrastructure!K$7)^2)</f>
        <v>4.518849411</v>
      </c>
      <c r="BA1021" s="331">
        <f>SQRT(($R1021-Infrastructure!J$8)^2+($S1021-Infrastructure!K$8)^2)</f>
        <v>12.20901306</v>
      </c>
      <c r="BB1021" s="331">
        <f>SQRT(($R1021-Infrastructure!J$9)^2+($S1021-Infrastructure!K$9)^2)</f>
        <v>21.41144554</v>
      </c>
      <c r="BC1021" s="331">
        <f>SQRT(($R1021-Infrastructure!J$10)^2+($S1021-Infrastructure!K$10)^2)</f>
        <v>23.88137349</v>
      </c>
      <c r="BD1021" s="331">
        <f>SQRT(($R1021-Infrastructure!J$11)^2+($S1021-Infrastructure!K$11)^2)</f>
        <v>32.73713488</v>
      </c>
      <c r="BE1021" s="333">
        <f>SQRT(($R1021-Infrastructure!J$12)^2+($S1021-Infrastructure!K$12)^2)</f>
        <v>51.18222348</v>
      </c>
      <c r="BF1021" s="330">
        <f t="shared" si="14"/>
        <v>4.518849411</v>
      </c>
      <c r="BG1021" s="333">
        <f t="shared" si="15"/>
        <v>51.18222348</v>
      </c>
      <c r="BH1021" s="902">
        <v>36617.0</v>
      </c>
      <c r="BI1021" s="462" t="s">
        <v>846</v>
      </c>
      <c r="BJ1021" s="319" t="s">
        <v>846</v>
      </c>
      <c r="BK1021" s="319" t="s">
        <v>845</v>
      </c>
      <c r="BL1021" s="319" t="s">
        <v>846</v>
      </c>
      <c r="BM1021" s="319" t="s">
        <v>846</v>
      </c>
      <c r="BN1021" s="319" t="s">
        <v>846</v>
      </c>
      <c r="BO1021" s="319" t="s">
        <v>846</v>
      </c>
      <c r="BP1021" s="319" t="s">
        <v>845</v>
      </c>
      <c r="BQ1021" s="319" t="s">
        <v>845</v>
      </c>
      <c r="BR1021" s="324" t="s">
        <v>846</v>
      </c>
      <c r="BS1021" s="330">
        <f t="shared" si="72"/>
        <v>4.518849411</v>
      </c>
      <c r="BT1021" s="331">
        <f t="shared" si="73"/>
        <v>51.18222348</v>
      </c>
      <c r="BU1021" s="922">
        <v>0.44722222222222224</v>
      </c>
      <c r="BV1021" s="903">
        <f t="shared" si="76"/>
        <v>0</v>
      </c>
      <c r="BW1021" s="921">
        <v>24.9627087198515</v>
      </c>
      <c r="BX1021" s="923">
        <v>4.68089053803338</v>
      </c>
      <c r="BY1021" s="331">
        <f t="shared" si="77"/>
        <v>6.368905852</v>
      </c>
      <c r="BZ1021" s="340"/>
      <c r="CA1021" s="316"/>
      <c r="CB1021" s="318"/>
      <c r="CC1021" s="318"/>
      <c r="CD1021" s="318"/>
      <c r="CE1021" s="318"/>
      <c r="CF1021" s="318"/>
      <c r="CG1021" s="318"/>
      <c r="CH1021" s="318"/>
      <c r="CI1021" s="318"/>
      <c r="CJ1021" s="463"/>
      <c r="CK1021" s="342">
        <f t="shared" si="18"/>
        <v>0</v>
      </c>
      <c r="CL1021" s="333">
        <f t="shared" si="19"/>
        <v>0</v>
      </c>
      <c r="CM1021" s="829"/>
      <c r="CN1021" s="333"/>
      <c r="CO1021" s="333"/>
      <c r="CP1021" s="333"/>
    </row>
    <row r="1022">
      <c r="B1022" s="462" t="s">
        <v>1680</v>
      </c>
      <c r="C1022" s="914">
        <v>44448.0</v>
      </c>
      <c r="D1022" s="319" t="s">
        <v>986</v>
      </c>
      <c r="E1022" s="319">
        <v>14.0</v>
      </c>
      <c r="F1022" s="324" t="s">
        <v>1698</v>
      </c>
      <c r="G1022" s="321">
        <v>0.4857638888888889</v>
      </c>
      <c r="H1022" s="323">
        <v>0.4861111111111111</v>
      </c>
      <c r="I1022" s="323"/>
      <c r="J1022" s="323"/>
      <c r="K1022" s="323">
        <v>0.5315972222222223</v>
      </c>
      <c r="L1022" s="323">
        <v>0.04548611111111111</v>
      </c>
      <c r="M1022" s="319" t="s">
        <v>166</v>
      </c>
      <c r="N1022" s="324" t="s">
        <v>187</v>
      </c>
      <c r="O1022" s="419" t="s">
        <v>203</v>
      </c>
      <c r="P1022" s="319" t="s">
        <v>250</v>
      </c>
      <c r="Q1022" s="318"/>
      <c r="R1022" s="326">
        <v>15.1</v>
      </c>
      <c r="S1022" s="319">
        <v>2.4</v>
      </c>
      <c r="T1022" s="324">
        <v>1.2</v>
      </c>
      <c r="U1022" s="319">
        <v>0.2</v>
      </c>
      <c r="V1022" s="319"/>
      <c r="W1022" s="319"/>
      <c r="X1022" s="319"/>
      <c r="Y1022" s="319"/>
      <c r="Z1022" s="319" t="s">
        <v>357</v>
      </c>
      <c r="AA1022" s="319"/>
      <c r="AB1022" s="319" t="s">
        <v>371</v>
      </c>
      <c r="AC1022" s="327">
        <v>1.8</v>
      </c>
      <c r="AD1022" s="319"/>
      <c r="AE1022" s="319"/>
      <c r="AF1022" s="319"/>
      <c r="AG1022" s="319"/>
      <c r="AH1022" s="319"/>
      <c r="AI1022" s="319"/>
      <c r="AJ1022" s="327"/>
      <c r="AK1022" s="328"/>
      <c r="AL1022" s="319"/>
      <c r="AM1022" s="319"/>
      <c r="AN1022" s="319"/>
      <c r="AO1022" s="319"/>
      <c r="AP1022" s="319"/>
      <c r="AQ1022" s="319"/>
      <c r="AR1022" s="319"/>
      <c r="AS1022" s="327"/>
      <c r="AT1022" s="461" t="s">
        <v>181</v>
      </c>
      <c r="AU1022" s="324" t="s">
        <v>845</v>
      </c>
      <c r="AV1022" s="330">
        <f>SQRT(($R1022-Infrastructure!J$3)^2+($S1022-Infrastructure!K$3)^2)</f>
        <v>30.64979608</v>
      </c>
      <c r="AW1022" s="331">
        <f>SQRT(($R1022-Infrastructure!J$4)^2+($S1022-Infrastructure!K$4)^2)</f>
        <v>21.77888886</v>
      </c>
      <c r="AX1022" s="331">
        <f>SQRT(($R1022-Infrastructure!J$5)^2+($S1022-Infrastructure!K$5)^2)</f>
        <v>15.63489687</v>
      </c>
      <c r="AY1022" s="331">
        <f>SQRT(($R1022-Infrastructure!J$6)^2+($S1022-Infrastructure!K$6)^2)</f>
        <v>5.423098745</v>
      </c>
      <c r="AZ1022" s="331">
        <f>SQRT(($R1022-Infrastructure!J$7)^2+($S1022-Infrastructure!K$7)^2)</f>
        <v>5.793962375</v>
      </c>
      <c r="BA1022" s="331">
        <f>SQRT(($R1022-Infrastructure!J$8)^2+($S1022-Infrastructure!K$8)^2)</f>
        <v>15.14628667</v>
      </c>
      <c r="BB1022" s="331">
        <f>SQRT(($R1022-Infrastructure!J$9)^2+($S1022-Infrastructure!K$9)^2)</f>
        <v>25.04595776</v>
      </c>
      <c r="BC1022" s="331">
        <f>SQRT(($R1022-Infrastructure!J$10)^2+($S1022-Infrastructure!K$10)^2)</f>
        <v>27.90645087</v>
      </c>
      <c r="BD1022" s="331">
        <f>SQRT(($R1022-Infrastructure!J$11)^2+($S1022-Infrastructure!K$11)^2)</f>
        <v>36.5728041</v>
      </c>
      <c r="BE1022" s="333">
        <f>SQRT(($R1022-Infrastructure!J$12)^2+($S1022-Infrastructure!K$12)^2)</f>
        <v>53.48429676</v>
      </c>
      <c r="BF1022" s="330">
        <f t="shared" si="14"/>
        <v>5.423098745</v>
      </c>
      <c r="BG1022" s="333">
        <f t="shared" si="15"/>
        <v>53.48429676</v>
      </c>
      <c r="BH1022" s="902">
        <v>36617.0</v>
      </c>
      <c r="BI1022" s="462" t="s">
        <v>846</v>
      </c>
      <c r="BJ1022" s="319" t="s">
        <v>845</v>
      </c>
      <c r="BK1022" s="319" t="s">
        <v>846</v>
      </c>
      <c r="BL1022" s="319" t="s">
        <v>846</v>
      </c>
      <c r="BM1022" s="319" t="s">
        <v>846</v>
      </c>
      <c r="BN1022" s="319" t="s">
        <v>846</v>
      </c>
      <c r="BO1022" s="319" t="s">
        <v>846</v>
      </c>
      <c r="BP1022" s="319" t="s">
        <v>846</v>
      </c>
      <c r="BQ1022" s="319" t="s">
        <v>845</v>
      </c>
      <c r="BR1022" s="324" t="s">
        <v>846</v>
      </c>
      <c r="BS1022" s="330">
        <f t="shared" si="72"/>
        <v>5.423098745</v>
      </c>
      <c r="BT1022" s="331">
        <f t="shared" si="73"/>
        <v>53.48429676</v>
      </c>
      <c r="BU1022" s="922">
        <v>0.485787037037037</v>
      </c>
      <c r="BV1022" s="903">
        <f t="shared" si="76"/>
        <v>0.00002314814815</v>
      </c>
      <c r="BW1022" s="921">
        <v>29.5331858407079</v>
      </c>
      <c r="BX1022" s="923">
        <v>10.5442477876106</v>
      </c>
      <c r="BY1022" s="331">
        <f t="shared" si="77"/>
        <v>16.57243572</v>
      </c>
      <c r="BZ1022" s="340"/>
      <c r="CA1022" s="316"/>
      <c r="CB1022" s="318"/>
      <c r="CC1022" s="318"/>
      <c r="CD1022" s="318"/>
      <c r="CE1022" s="318"/>
      <c r="CF1022" s="318"/>
      <c r="CG1022" s="318"/>
      <c r="CH1022" s="318"/>
      <c r="CI1022" s="318"/>
      <c r="CJ1022" s="463"/>
      <c r="CK1022" s="342">
        <f t="shared" si="18"/>
        <v>0</v>
      </c>
      <c r="CL1022" s="333">
        <f t="shared" si="19"/>
        <v>0</v>
      </c>
      <c r="CM1022" s="829"/>
      <c r="CN1022" s="333"/>
      <c r="CO1022" s="333"/>
      <c r="CP1022" s="333"/>
    </row>
    <row r="1023">
      <c r="B1023" s="462" t="s">
        <v>1680</v>
      </c>
      <c r="C1023" s="914">
        <v>44448.0</v>
      </c>
      <c r="D1023" s="319" t="s">
        <v>986</v>
      </c>
      <c r="E1023" s="319">
        <v>15.0</v>
      </c>
      <c r="F1023" s="324" t="s">
        <v>1699</v>
      </c>
      <c r="G1023" s="321">
        <v>0.5378472222222223</v>
      </c>
      <c r="H1023" s="323">
        <v>0.5383101851851851</v>
      </c>
      <c r="I1023" s="323"/>
      <c r="J1023" s="323"/>
      <c r="K1023" s="323">
        <v>0.5774305555555556</v>
      </c>
      <c r="L1023" s="323">
        <v>0.03912037037037037</v>
      </c>
      <c r="M1023" s="319" t="s">
        <v>166</v>
      </c>
      <c r="N1023" s="324" t="s">
        <v>187</v>
      </c>
      <c r="O1023" s="419" t="s">
        <v>206</v>
      </c>
      <c r="P1023" s="319" t="s">
        <v>213</v>
      </c>
      <c r="Q1023" s="318"/>
      <c r="R1023" s="326">
        <v>21.7</v>
      </c>
      <c r="S1023" s="319">
        <v>11.1</v>
      </c>
      <c r="T1023" s="324">
        <v>2.4</v>
      </c>
      <c r="U1023" s="319">
        <v>0.08</v>
      </c>
      <c r="V1023" s="319"/>
      <c r="W1023" s="319"/>
      <c r="X1023" s="319"/>
      <c r="Y1023" s="319"/>
      <c r="Z1023" s="319" t="s">
        <v>335</v>
      </c>
      <c r="AA1023" s="319"/>
      <c r="AB1023" s="319" t="s">
        <v>371</v>
      </c>
      <c r="AC1023" s="327">
        <v>1.8</v>
      </c>
      <c r="AD1023" s="319"/>
      <c r="AE1023" s="319"/>
      <c r="AF1023" s="319"/>
      <c r="AG1023" s="319"/>
      <c r="AH1023" s="319"/>
      <c r="AI1023" s="319"/>
      <c r="AJ1023" s="327"/>
      <c r="AK1023" s="328"/>
      <c r="AL1023" s="319"/>
      <c r="AM1023" s="319"/>
      <c r="AN1023" s="319"/>
      <c r="AO1023" s="319"/>
      <c r="AP1023" s="319"/>
      <c r="AQ1023" s="319"/>
      <c r="AR1023" s="319"/>
      <c r="AS1023" s="327"/>
      <c r="AT1023" s="461" t="s">
        <v>181</v>
      </c>
      <c r="AU1023" s="324" t="s">
        <v>845</v>
      </c>
      <c r="AV1023" s="330">
        <f>SQRT(($R1023-Infrastructure!J$3)^2+($S1023-Infrastructure!K$3)^2)</f>
        <v>28.29911659</v>
      </c>
      <c r="AW1023" s="331">
        <f>SQRT(($R1023-Infrastructure!J$4)^2+($S1023-Infrastructure!K$4)^2)</f>
        <v>22.99760857</v>
      </c>
      <c r="AX1023" s="331">
        <f>SQRT(($R1023-Infrastructure!J$5)^2+($S1023-Infrastructure!K$5)^2)</f>
        <v>22.8035085</v>
      </c>
      <c r="AY1023" s="331">
        <f>SQRT(($R1023-Infrastructure!J$6)^2+($S1023-Infrastructure!K$6)^2)</f>
        <v>15.8492902</v>
      </c>
      <c r="AZ1023" s="331">
        <f>SQRT(($R1023-Infrastructure!J$7)^2+($S1023-Infrastructure!K$7)^2)</f>
        <v>10.86646217</v>
      </c>
      <c r="BA1023" s="331">
        <f>SQRT(($R1023-Infrastructure!J$8)^2+($S1023-Infrastructure!K$8)^2)</f>
        <v>13.6821051</v>
      </c>
      <c r="BB1023" s="331">
        <f>SQRT(($R1023-Infrastructure!J$9)^2+($S1023-Infrastructure!K$9)^2)</f>
        <v>19.25850461</v>
      </c>
      <c r="BC1023" s="331">
        <f>SQRT(($R1023-Infrastructure!J$10)^2+($S1023-Infrastructure!K$10)^2)</f>
        <v>18.71095936</v>
      </c>
      <c r="BD1023" s="331">
        <f>SQRT(($R1023-Infrastructure!J$11)^2+($S1023-Infrastructure!K$11)^2)</f>
        <v>25.74218328</v>
      </c>
      <c r="BE1023" s="333">
        <f>SQRT(($R1023-Infrastructure!J$12)^2+($S1023-Infrastructure!K$12)^2)</f>
        <v>44.40045045</v>
      </c>
      <c r="BF1023" s="330">
        <f t="shared" si="14"/>
        <v>10.86646217</v>
      </c>
      <c r="BG1023" s="333">
        <f t="shared" si="15"/>
        <v>44.40045045</v>
      </c>
      <c r="BH1023" s="902">
        <v>36617.0</v>
      </c>
      <c r="BI1023" s="462" t="s">
        <v>846</v>
      </c>
      <c r="BJ1023" s="319" t="s">
        <v>845</v>
      </c>
      <c r="BK1023" s="319" t="s">
        <v>846</v>
      </c>
      <c r="BL1023" s="319" t="s">
        <v>846</v>
      </c>
      <c r="BM1023" s="319" t="s">
        <v>846</v>
      </c>
      <c r="BN1023" s="319" t="s">
        <v>846</v>
      </c>
      <c r="BO1023" s="319" t="s">
        <v>845</v>
      </c>
      <c r="BP1023" s="319" t="s">
        <v>846</v>
      </c>
      <c r="BQ1023" s="319" t="s">
        <v>845</v>
      </c>
      <c r="BR1023" s="324" t="s">
        <v>846</v>
      </c>
      <c r="BS1023" s="330">
        <f t="shared" si="72"/>
        <v>10.86646217</v>
      </c>
      <c r="BT1023" s="331">
        <f t="shared" si="73"/>
        <v>44.40045045</v>
      </c>
      <c r="BU1023" s="922">
        <v>0.5378587962962963</v>
      </c>
      <c r="BV1023" s="903">
        <f t="shared" si="76"/>
        <v>0.00001157407407</v>
      </c>
      <c r="BW1023" s="921">
        <v>35.8586776859504</v>
      </c>
      <c r="BX1023" s="923">
        <v>15.2586776859504</v>
      </c>
      <c r="BY1023" s="331">
        <f t="shared" si="77"/>
        <v>14.75678671</v>
      </c>
      <c r="BZ1023" s="340"/>
      <c r="CA1023" s="316"/>
      <c r="CB1023" s="318"/>
      <c r="CC1023" s="318"/>
      <c r="CD1023" s="318"/>
      <c r="CE1023" s="318"/>
      <c r="CF1023" s="318"/>
      <c r="CG1023" s="318"/>
      <c r="CH1023" s="318"/>
      <c r="CI1023" s="318"/>
      <c r="CJ1023" s="463"/>
      <c r="CK1023" s="342">
        <f t="shared" si="18"/>
        <v>0</v>
      </c>
      <c r="CL1023" s="333">
        <f t="shared" si="19"/>
        <v>0</v>
      </c>
      <c r="CM1023" s="829"/>
      <c r="CN1023" s="333"/>
      <c r="CO1023" s="333"/>
      <c r="CP1023" s="333"/>
    </row>
    <row r="1024">
      <c r="B1024" s="462" t="s">
        <v>1680</v>
      </c>
      <c r="C1024" s="914">
        <v>44448.0</v>
      </c>
      <c r="D1024" s="318"/>
      <c r="E1024" s="319">
        <v>16.1</v>
      </c>
      <c r="F1024" s="324" t="s">
        <v>1700</v>
      </c>
      <c r="G1024" s="321">
        <v>0.5806134259259259</v>
      </c>
      <c r="H1024" s="323">
        <v>0.5819444444444445</v>
      </c>
      <c r="I1024" s="323"/>
      <c r="J1024" s="323"/>
      <c r="K1024" s="323">
        <v>0.6083333333333333</v>
      </c>
      <c r="L1024" s="323">
        <v>0.02638888888888889</v>
      </c>
      <c r="M1024" s="319" t="s">
        <v>166</v>
      </c>
      <c r="N1024" s="324" t="s">
        <v>187</v>
      </c>
      <c r="O1024" s="419" t="s">
        <v>205</v>
      </c>
      <c r="P1024" s="319" t="s">
        <v>296</v>
      </c>
      <c r="Q1024" s="318"/>
      <c r="R1024" s="326">
        <v>20.7</v>
      </c>
      <c r="S1024" s="319">
        <v>5.1</v>
      </c>
      <c r="T1024" s="324">
        <v>1.2</v>
      </c>
      <c r="U1024" s="319">
        <v>0.05</v>
      </c>
      <c r="V1024" s="319"/>
      <c r="W1024" s="319"/>
      <c r="X1024" s="319"/>
      <c r="Y1024" s="319"/>
      <c r="Z1024" s="319" t="s">
        <v>335</v>
      </c>
      <c r="AA1024" s="319"/>
      <c r="AB1024" s="319" t="s">
        <v>371</v>
      </c>
      <c r="AC1024" s="327">
        <v>1.8</v>
      </c>
      <c r="AD1024" s="319"/>
      <c r="AE1024" s="319"/>
      <c r="AF1024" s="319"/>
      <c r="AG1024" s="319"/>
      <c r="AH1024" s="319"/>
      <c r="AI1024" s="319"/>
      <c r="AJ1024" s="327"/>
      <c r="AK1024" s="328"/>
      <c r="AL1024" s="319"/>
      <c r="AM1024" s="319"/>
      <c r="AN1024" s="319"/>
      <c r="AO1024" s="319"/>
      <c r="AP1024" s="319"/>
      <c r="AQ1024" s="319"/>
      <c r="AR1024" s="319"/>
      <c r="AS1024" s="327"/>
      <c r="AT1024" s="461" t="s">
        <v>181</v>
      </c>
      <c r="AU1024" s="324" t="s">
        <v>846</v>
      </c>
      <c r="AV1024" s="330">
        <f>SQRT(($R1024-Infrastructure!J$3)^2+($S1024-Infrastructure!K$3)^2)</f>
        <v>31.74019534</v>
      </c>
      <c r="AW1024" s="331">
        <f>SQRT(($R1024-Infrastructure!J$4)^2+($S1024-Infrastructure!K$4)^2)</f>
        <v>24.54159734</v>
      </c>
      <c r="AX1024" s="331">
        <f>SQRT(($R1024-Infrastructure!J$5)^2+($S1024-Infrastructure!K$5)^2)</f>
        <v>21</v>
      </c>
      <c r="AY1024" s="331">
        <f>SQRT(($R1024-Infrastructure!J$6)^2+($S1024-Infrastructure!K$6)^2)</f>
        <v>11.63615057</v>
      </c>
      <c r="AZ1024" s="331">
        <f>SQRT(($R1024-Infrastructure!J$7)^2+($S1024-Infrastructure!K$7)^2)</f>
        <v>4.80416486</v>
      </c>
      <c r="BA1024" s="331">
        <f>SQRT(($R1024-Infrastructure!J$8)^2+($S1024-Infrastructure!K$8)^2)</f>
        <v>10.55461984</v>
      </c>
      <c r="BB1024" s="331">
        <f>SQRT(($R1024-Infrastructure!J$9)^2+($S1024-Infrastructure!K$9)^2)</f>
        <v>19.3</v>
      </c>
      <c r="BC1024" s="331">
        <f>SQRT(($R1024-Infrastructure!J$10)^2+($S1024-Infrastructure!K$10)^2)</f>
        <v>21.69101196</v>
      </c>
      <c r="BD1024" s="331">
        <f>SQRT(($R1024-Infrastructure!J$11)^2+($S1024-Infrastructure!K$11)^2)</f>
        <v>30.84574525</v>
      </c>
      <c r="BE1024" s="333">
        <f>SQRT(($R1024-Infrastructure!J$12)^2+($S1024-Infrastructure!K$12)^2)</f>
        <v>50.40634881</v>
      </c>
      <c r="BF1024" s="330">
        <f t="shared" si="14"/>
        <v>4.80416486</v>
      </c>
      <c r="BG1024" s="333">
        <f t="shared" si="15"/>
        <v>50.40634881</v>
      </c>
      <c r="BH1024" s="902">
        <v>36617.0</v>
      </c>
      <c r="BI1024" s="462" t="s">
        <v>846</v>
      </c>
      <c r="BJ1024" s="319" t="s">
        <v>846</v>
      </c>
      <c r="BK1024" s="319" t="s">
        <v>846</v>
      </c>
      <c r="BL1024" s="319" t="s">
        <v>846</v>
      </c>
      <c r="BM1024" s="319" t="s">
        <v>846</v>
      </c>
      <c r="BN1024" s="319" t="s">
        <v>846</v>
      </c>
      <c r="BO1024" s="319" t="s">
        <v>845</v>
      </c>
      <c r="BP1024" s="319" t="s">
        <v>846</v>
      </c>
      <c r="BQ1024" s="319" t="s">
        <v>846</v>
      </c>
      <c r="BR1024" s="324" t="s">
        <v>846</v>
      </c>
      <c r="BS1024" s="330">
        <f t="shared" si="72"/>
        <v>4.80416486</v>
      </c>
      <c r="BT1024" s="331">
        <f t="shared" si="73"/>
        <v>50.40634881</v>
      </c>
      <c r="BU1024" s="922">
        <v>0.5806481481481481</v>
      </c>
      <c r="BV1024" s="903">
        <f t="shared" si="76"/>
        <v>0.00003472222222</v>
      </c>
      <c r="BW1024" s="921">
        <v>31.3960784313725</v>
      </c>
      <c r="BX1024" s="923">
        <v>13.3843137254901</v>
      </c>
      <c r="BY1024" s="331">
        <f t="shared" si="77"/>
        <v>13.52907786</v>
      </c>
      <c r="BZ1024" s="340"/>
      <c r="CA1024" s="316"/>
      <c r="CB1024" s="318"/>
      <c r="CC1024" s="318"/>
      <c r="CD1024" s="318"/>
      <c r="CE1024" s="318"/>
      <c r="CF1024" s="318"/>
      <c r="CG1024" s="318"/>
      <c r="CH1024" s="318"/>
      <c r="CI1024" s="318"/>
      <c r="CJ1024" s="463"/>
      <c r="CK1024" s="342">
        <f t="shared" si="18"/>
        <v>0</v>
      </c>
      <c r="CL1024" s="333">
        <f t="shared" si="19"/>
        <v>0</v>
      </c>
      <c r="CM1024" s="829"/>
      <c r="CN1024" s="333"/>
      <c r="CO1024" s="333"/>
      <c r="CP1024" s="333"/>
    </row>
    <row r="1025">
      <c r="B1025" s="462" t="s">
        <v>1680</v>
      </c>
      <c r="C1025" s="914">
        <v>44448.0</v>
      </c>
      <c r="D1025" s="318"/>
      <c r="E1025" s="319">
        <v>16.2</v>
      </c>
      <c r="F1025" s="324" t="s">
        <v>1701</v>
      </c>
      <c r="G1025" s="321">
        <v>0.5854166666666667</v>
      </c>
      <c r="H1025" s="323">
        <v>0.5857638888888889</v>
      </c>
      <c r="I1025" s="323"/>
      <c r="J1025" s="323"/>
      <c r="K1025" s="323">
        <v>0.609375</v>
      </c>
      <c r="L1025" s="323">
        <v>0.02361111111111111</v>
      </c>
      <c r="M1025" s="319" t="s">
        <v>172</v>
      </c>
      <c r="N1025" s="324" t="s">
        <v>187</v>
      </c>
      <c r="O1025" s="419" t="s">
        <v>204</v>
      </c>
      <c r="P1025" s="319" t="s">
        <v>241</v>
      </c>
      <c r="Q1025" s="318"/>
      <c r="R1025" s="833"/>
      <c r="S1025" s="319"/>
      <c r="T1025" s="324"/>
      <c r="U1025" s="319">
        <v>0.025</v>
      </c>
      <c r="V1025" s="319"/>
      <c r="W1025" s="319"/>
      <c r="X1025" s="319"/>
      <c r="Y1025" s="319"/>
      <c r="Z1025" s="319" t="s">
        <v>1702</v>
      </c>
      <c r="AA1025" s="319"/>
      <c r="AB1025" s="319" t="s">
        <v>371</v>
      </c>
      <c r="AC1025" s="327">
        <v>1.8</v>
      </c>
      <c r="AD1025" s="319"/>
      <c r="AE1025" s="319"/>
      <c r="AF1025" s="319"/>
      <c r="AG1025" s="319"/>
      <c r="AH1025" s="319"/>
      <c r="AI1025" s="319"/>
      <c r="AJ1025" s="327"/>
      <c r="AK1025" s="328"/>
      <c r="AL1025" s="319"/>
      <c r="AM1025" s="319"/>
      <c r="AN1025" s="319"/>
      <c r="AO1025" s="319"/>
      <c r="AP1025" s="319"/>
      <c r="AQ1025" s="319"/>
      <c r="AR1025" s="319"/>
      <c r="AS1025" s="327"/>
      <c r="AT1025" s="461" t="s">
        <v>181</v>
      </c>
      <c r="AU1025" s="324" t="s">
        <v>846</v>
      </c>
      <c r="AV1025" s="330">
        <f>SQRT(($R1025-Infrastructure!J$3)^2+($S1025-Infrastructure!K$3)^2)</f>
        <v>28.90155705</v>
      </c>
      <c r="AW1025" s="331">
        <f>SQRT(($R1025-Infrastructure!J$4)^2+($S1025-Infrastructure!K$4)^2)</f>
        <v>17.80252791</v>
      </c>
      <c r="AX1025" s="331">
        <f>SQRT(($R1025-Infrastructure!J$5)^2+($S1025-Infrastructure!K$5)^2)</f>
        <v>5.10881591</v>
      </c>
      <c r="AY1025" s="331">
        <f>SQRT(($R1025-Infrastructure!J$6)^2+($S1025-Infrastructure!K$6)^2)</f>
        <v>10.10445446</v>
      </c>
      <c r="AZ1025" s="331">
        <f>SQRT(($R1025-Infrastructure!J$7)^2+($S1025-Infrastructure!K$7)^2)</f>
        <v>20.502195</v>
      </c>
      <c r="BA1025" s="331">
        <f>SQRT(($R1025-Infrastructure!J$8)^2+($S1025-Infrastructure!K$8)^2)</f>
        <v>30.10149498</v>
      </c>
      <c r="BB1025" s="331">
        <f>SQRT(($R1025-Infrastructure!J$9)^2+($S1025-Infrastructure!K$9)^2)</f>
        <v>40.3238143</v>
      </c>
      <c r="BC1025" s="331">
        <f>SQRT(($R1025-Infrastructure!J$10)^2+($S1025-Infrastructure!K$10)^2)</f>
        <v>42.72001873</v>
      </c>
      <c r="BD1025" s="331">
        <f>SQRT(($R1025-Infrastructure!J$11)^2+($S1025-Infrastructure!K$11)^2)</f>
        <v>49.56853841</v>
      </c>
      <c r="BE1025" s="333">
        <f>SQRT(($R1025-Infrastructure!J$12)^2+($S1025-Infrastructure!K$12)^2)</f>
        <v>59.51890456</v>
      </c>
      <c r="BF1025" s="330">
        <f t="shared" si="14"/>
        <v>5.10881591</v>
      </c>
      <c r="BG1025" s="333">
        <f t="shared" si="15"/>
        <v>59.51890456</v>
      </c>
      <c r="BH1025" s="902">
        <v>36617.0</v>
      </c>
      <c r="BI1025" s="462" t="s">
        <v>846</v>
      </c>
      <c r="BJ1025" s="319" t="s">
        <v>846</v>
      </c>
      <c r="BK1025" s="319" t="s">
        <v>846</v>
      </c>
      <c r="BL1025" s="319" t="s">
        <v>846</v>
      </c>
      <c r="BM1025" s="319" t="s">
        <v>846</v>
      </c>
      <c r="BN1025" s="319" t="s">
        <v>846</v>
      </c>
      <c r="BO1025" s="319" t="s">
        <v>845</v>
      </c>
      <c r="BP1025" s="319" t="s">
        <v>846</v>
      </c>
      <c r="BQ1025" s="319" t="s">
        <v>846</v>
      </c>
      <c r="BR1025" s="324" t="s">
        <v>846</v>
      </c>
      <c r="BS1025" s="330">
        <f t="shared" si="72"/>
        <v>5.10881591</v>
      </c>
      <c r="BT1025" s="331">
        <f t="shared" si="73"/>
        <v>59.51890456</v>
      </c>
      <c r="BU1025" s="922">
        <v>0.5854513888888889</v>
      </c>
      <c r="BV1025" s="903">
        <f t="shared" si="76"/>
        <v>0.00003472222222</v>
      </c>
      <c r="BW1025" s="921">
        <v>29.66</v>
      </c>
      <c r="BX1025" s="923">
        <v>12.4290909090909</v>
      </c>
      <c r="BY1025" s="331">
        <f t="shared" si="77"/>
        <v>32.15894745</v>
      </c>
      <c r="BZ1025" s="340"/>
      <c r="CA1025" s="316"/>
      <c r="CB1025" s="318"/>
      <c r="CC1025" s="318"/>
      <c r="CD1025" s="318"/>
      <c r="CE1025" s="318"/>
      <c r="CF1025" s="318"/>
      <c r="CG1025" s="318"/>
      <c r="CH1025" s="318"/>
      <c r="CI1025" s="318"/>
      <c r="CJ1025" s="463"/>
      <c r="CK1025" s="342">
        <f t="shared" si="18"/>
        <v>0</v>
      </c>
      <c r="CL1025" s="333">
        <f t="shared" si="19"/>
        <v>0</v>
      </c>
      <c r="CM1025" s="829"/>
      <c r="CN1025" s="333"/>
      <c r="CO1025" s="333"/>
      <c r="CP1025" s="333"/>
    </row>
    <row r="1026">
      <c r="B1026" s="462" t="s">
        <v>1680</v>
      </c>
      <c r="C1026" s="914">
        <v>44448.0</v>
      </c>
      <c r="D1026" s="319" t="s">
        <v>986</v>
      </c>
      <c r="E1026" s="319">
        <v>17.1</v>
      </c>
      <c r="F1026" s="324" t="s">
        <v>1703</v>
      </c>
      <c r="G1026" s="321">
        <v>0.6170138888888889</v>
      </c>
      <c r="H1026" s="323">
        <v>0.6177083333333333</v>
      </c>
      <c r="I1026" s="323"/>
      <c r="J1026" s="323"/>
      <c r="K1026" s="323">
        <v>0.6503472222222222</v>
      </c>
      <c r="L1026" s="323">
        <v>0.03263888888888889</v>
      </c>
      <c r="M1026" s="319" t="s">
        <v>166</v>
      </c>
      <c r="N1026" s="324" t="s">
        <v>187</v>
      </c>
      <c r="O1026" s="419" t="s">
        <v>203</v>
      </c>
      <c r="P1026" s="319" t="s">
        <v>250</v>
      </c>
      <c r="Q1026" s="318"/>
      <c r="R1026" s="326">
        <v>15.1</v>
      </c>
      <c r="S1026" s="319">
        <v>2.4</v>
      </c>
      <c r="T1026" s="324">
        <v>1.2</v>
      </c>
      <c r="U1026" s="319">
        <v>0.25</v>
      </c>
      <c r="V1026" s="319"/>
      <c r="W1026" s="319"/>
      <c r="X1026" s="319"/>
      <c r="Y1026" s="319"/>
      <c r="Z1026" s="319" t="s">
        <v>335</v>
      </c>
      <c r="AA1026" s="319"/>
      <c r="AB1026" s="319" t="s">
        <v>371</v>
      </c>
      <c r="AC1026" s="327">
        <v>1.8</v>
      </c>
      <c r="AD1026" s="319"/>
      <c r="AE1026" s="319"/>
      <c r="AF1026" s="319"/>
      <c r="AG1026" s="319"/>
      <c r="AH1026" s="319"/>
      <c r="AI1026" s="319"/>
      <c r="AJ1026" s="327"/>
      <c r="AK1026" s="328"/>
      <c r="AL1026" s="319"/>
      <c r="AM1026" s="319"/>
      <c r="AN1026" s="319"/>
      <c r="AO1026" s="319"/>
      <c r="AP1026" s="319"/>
      <c r="AQ1026" s="319"/>
      <c r="AR1026" s="319"/>
      <c r="AS1026" s="327"/>
      <c r="AT1026" s="461" t="s">
        <v>181</v>
      </c>
      <c r="AU1026" s="324" t="s">
        <v>846</v>
      </c>
      <c r="AV1026" s="330">
        <f>SQRT(($R1026-Infrastructure!J$3)^2+($S1026-Infrastructure!K$3)^2)</f>
        <v>30.64979608</v>
      </c>
      <c r="AW1026" s="331">
        <f>SQRT(($R1026-Infrastructure!J$4)^2+($S1026-Infrastructure!K$4)^2)</f>
        <v>21.77888886</v>
      </c>
      <c r="AX1026" s="331">
        <f>SQRT(($R1026-Infrastructure!J$5)^2+($S1026-Infrastructure!K$5)^2)</f>
        <v>15.63489687</v>
      </c>
      <c r="AY1026" s="331">
        <f>SQRT(($R1026-Infrastructure!J$6)^2+($S1026-Infrastructure!K$6)^2)</f>
        <v>5.423098745</v>
      </c>
      <c r="AZ1026" s="331">
        <f>SQRT(($R1026-Infrastructure!J$7)^2+($S1026-Infrastructure!K$7)^2)</f>
        <v>5.793962375</v>
      </c>
      <c r="BA1026" s="331">
        <f>SQRT(($R1026-Infrastructure!J$8)^2+($S1026-Infrastructure!K$8)^2)</f>
        <v>15.14628667</v>
      </c>
      <c r="BB1026" s="331">
        <f>SQRT(($R1026-Infrastructure!J$9)^2+($S1026-Infrastructure!K$9)^2)</f>
        <v>25.04595776</v>
      </c>
      <c r="BC1026" s="331">
        <f>SQRT(($R1026-Infrastructure!J$10)^2+($S1026-Infrastructure!K$10)^2)</f>
        <v>27.90645087</v>
      </c>
      <c r="BD1026" s="331">
        <f>SQRT(($R1026-Infrastructure!J$11)^2+($S1026-Infrastructure!K$11)^2)</f>
        <v>36.5728041</v>
      </c>
      <c r="BE1026" s="333">
        <f>SQRT(($R1026-Infrastructure!J$12)^2+($S1026-Infrastructure!K$12)^2)</f>
        <v>53.48429676</v>
      </c>
      <c r="BF1026" s="330">
        <f t="shared" si="14"/>
        <v>5.423098745</v>
      </c>
      <c r="BG1026" s="333">
        <f t="shared" si="15"/>
        <v>53.48429676</v>
      </c>
      <c r="BH1026" s="902">
        <v>36617.0</v>
      </c>
      <c r="BI1026" s="462" t="s">
        <v>846</v>
      </c>
      <c r="BJ1026" s="319" t="s">
        <v>845</v>
      </c>
      <c r="BK1026" s="319" t="s">
        <v>846</v>
      </c>
      <c r="BL1026" s="319" t="s">
        <v>846</v>
      </c>
      <c r="BM1026" s="319" t="s">
        <v>846</v>
      </c>
      <c r="BN1026" s="319" t="s">
        <v>846</v>
      </c>
      <c r="BO1026" s="319" t="s">
        <v>845</v>
      </c>
      <c r="BP1026" s="319" t="s">
        <v>846</v>
      </c>
      <c r="BQ1026" s="319" t="s">
        <v>845</v>
      </c>
      <c r="BR1026" s="324" t="s">
        <v>846</v>
      </c>
      <c r="BS1026" s="330">
        <f t="shared" si="72"/>
        <v>5.423098745</v>
      </c>
      <c r="BT1026" s="331">
        <f t="shared" si="73"/>
        <v>53.48429676</v>
      </c>
      <c r="BU1026" s="922">
        <v>0.617037037037037</v>
      </c>
      <c r="BV1026" s="903">
        <f t="shared" si="76"/>
        <v>0.00002314814815</v>
      </c>
      <c r="BW1026" s="921">
        <v>30.186941580756</v>
      </c>
      <c r="BX1026" s="923">
        <v>11.8865979381443</v>
      </c>
      <c r="BY1026" s="331">
        <f t="shared" si="77"/>
        <v>17.82165387</v>
      </c>
      <c r="BZ1026" s="340"/>
      <c r="CA1026" s="316"/>
      <c r="CB1026" s="318"/>
      <c r="CC1026" s="318"/>
      <c r="CD1026" s="318"/>
      <c r="CE1026" s="318"/>
      <c r="CF1026" s="318"/>
      <c r="CG1026" s="318"/>
      <c r="CH1026" s="318"/>
      <c r="CI1026" s="318"/>
      <c r="CJ1026" s="463"/>
      <c r="CK1026" s="342">
        <f t="shared" si="18"/>
        <v>0</v>
      </c>
      <c r="CL1026" s="333">
        <f t="shared" si="19"/>
        <v>0</v>
      </c>
      <c r="CM1026" s="829"/>
      <c r="CN1026" s="333"/>
      <c r="CO1026" s="333"/>
      <c r="CP1026" s="333"/>
    </row>
    <row r="1027">
      <c r="B1027" s="462" t="s">
        <v>1680</v>
      </c>
      <c r="C1027" s="914">
        <v>44448.0</v>
      </c>
      <c r="D1027" s="319" t="s">
        <v>986</v>
      </c>
      <c r="E1027" s="319">
        <v>17.2</v>
      </c>
      <c r="F1027" s="324" t="s">
        <v>1704</v>
      </c>
      <c r="G1027" s="321">
        <v>0.6237847222222223</v>
      </c>
      <c r="H1027" s="323">
        <v>0.6239583333333333</v>
      </c>
      <c r="I1027" s="323"/>
      <c r="J1027" s="323"/>
      <c r="K1027" s="323">
        <v>0.6517361111111111</v>
      </c>
      <c r="L1027" s="323">
        <v>0.027777777777777776</v>
      </c>
      <c r="M1027" s="319" t="s">
        <v>173</v>
      </c>
      <c r="N1027" s="324" t="s">
        <v>187</v>
      </c>
      <c r="O1027" s="419" t="s">
        <v>203</v>
      </c>
      <c r="P1027" s="319"/>
      <c r="Q1027" s="318"/>
      <c r="R1027" s="326">
        <v>24.4</v>
      </c>
      <c r="S1027" s="319">
        <v>7.5</v>
      </c>
      <c r="T1027" s="324">
        <v>0.57</v>
      </c>
      <c r="U1027" s="319">
        <v>0.125</v>
      </c>
      <c r="V1027" s="319"/>
      <c r="W1027" s="319"/>
      <c r="X1027" s="319"/>
      <c r="Y1027" s="319"/>
      <c r="Z1027" s="319" t="s">
        <v>1702</v>
      </c>
      <c r="AA1027" s="319"/>
      <c r="AB1027" s="319" t="s">
        <v>371</v>
      </c>
      <c r="AC1027" s="327">
        <v>1.8</v>
      </c>
      <c r="AD1027" s="319"/>
      <c r="AE1027" s="319"/>
      <c r="AF1027" s="319"/>
      <c r="AG1027" s="319"/>
      <c r="AH1027" s="319"/>
      <c r="AI1027" s="319"/>
      <c r="AJ1027" s="327"/>
      <c r="AK1027" s="328"/>
      <c r="AL1027" s="319"/>
      <c r="AM1027" s="319"/>
      <c r="AN1027" s="319"/>
      <c r="AO1027" s="319"/>
      <c r="AP1027" s="319"/>
      <c r="AQ1027" s="319"/>
      <c r="AR1027" s="319"/>
      <c r="AS1027" s="327"/>
      <c r="AT1027" s="461" t="s">
        <v>181</v>
      </c>
      <c r="AU1027" s="324" t="s">
        <v>846</v>
      </c>
      <c r="AV1027" s="330">
        <f>SQRT(($R1027-Infrastructure!J$3)^2+($S1027-Infrastructure!K$3)^2)</f>
        <v>32.68103426</v>
      </c>
      <c r="AW1027" s="331">
        <f>SQRT(($R1027-Infrastructure!J$4)^2+($S1027-Infrastructure!K$4)^2)</f>
        <v>26.76153957</v>
      </c>
      <c r="AX1027" s="331">
        <f>SQRT(($R1027-Infrastructure!J$5)^2+($S1027-Infrastructure!K$5)^2)</f>
        <v>24.81632527</v>
      </c>
      <c r="AY1027" s="331">
        <f>SQRT(($R1027-Infrastructure!J$6)^2+($S1027-Infrastructure!K$6)^2)</f>
        <v>16.01030918</v>
      </c>
      <c r="AZ1027" s="331">
        <f>SQRT(($R1027-Infrastructure!J$7)^2+($S1027-Infrastructure!K$7)^2)</f>
        <v>8.188406438</v>
      </c>
      <c r="BA1027" s="331">
        <f>SQRT(($R1027-Infrastructure!J$8)^2+($S1027-Infrastructure!K$8)^2)</f>
        <v>9.183136719</v>
      </c>
      <c r="BB1027" s="331">
        <f>SQRT(($R1027-Infrastructure!J$9)^2+($S1027-Infrastructure!K$9)^2)</f>
        <v>15.78353573</v>
      </c>
      <c r="BC1027" s="331">
        <f>SQRT(($R1027-Infrastructure!J$10)^2+($S1027-Infrastructure!K$10)^2)</f>
        <v>17.30924608</v>
      </c>
      <c r="BD1027" s="331">
        <f>SQRT(($R1027-Infrastructure!J$11)^2+($S1027-Infrastructure!K$11)^2)</f>
        <v>26.68126684</v>
      </c>
      <c r="BE1027" s="333">
        <f>SQRT(($R1027-Infrastructure!J$12)^2+($S1027-Infrastructure!K$12)^2)</f>
        <v>48.08752437</v>
      </c>
      <c r="BF1027" s="330">
        <f t="shared" si="14"/>
        <v>8.188406438</v>
      </c>
      <c r="BG1027" s="333">
        <f t="shared" si="15"/>
        <v>48.08752437</v>
      </c>
      <c r="BH1027" s="902">
        <v>36617.0</v>
      </c>
      <c r="BI1027" s="462" t="s">
        <v>846</v>
      </c>
      <c r="BJ1027" s="319" t="s">
        <v>845</v>
      </c>
      <c r="BK1027" s="319" t="s">
        <v>846</v>
      </c>
      <c r="BL1027" s="319" t="s">
        <v>846</v>
      </c>
      <c r="BM1027" s="319" t="s">
        <v>846</v>
      </c>
      <c r="BN1027" s="319" t="s">
        <v>846</v>
      </c>
      <c r="BO1027" s="319" t="s">
        <v>845</v>
      </c>
      <c r="BP1027" s="319" t="s">
        <v>846</v>
      </c>
      <c r="BQ1027" s="319" t="s">
        <v>845</v>
      </c>
      <c r="BR1027" s="324" t="s">
        <v>846</v>
      </c>
      <c r="BS1027" s="330">
        <f t="shared" si="72"/>
        <v>8.188406438</v>
      </c>
      <c r="BT1027" s="331">
        <f t="shared" si="73"/>
        <v>48.08752437</v>
      </c>
      <c r="BU1027" s="922">
        <v>0.6238078703703703</v>
      </c>
      <c r="BV1027" s="903">
        <f t="shared" si="76"/>
        <v>0.00002314814815</v>
      </c>
      <c r="BW1027" s="921">
        <v>29.4184834123222</v>
      </c>
      <c r="BX1027" s="923">
        <v>11.8587677725118</v>
      </c>
      <c r="BY1027" s="331">
        <f t="shared" si="77"/>
        <v>6.647107059</v>
      </c>
      <c r="BZ1027" s="340"/>
      <c r="CA1027" s="316"/>
      <c r="CB1027" s="318"/>
      <c r="CC1027" s="318"/>
      <c r="CD1027" s="318"/>
      <c r="CE1027" s="318"/>
      <c r="CF1027" s="318"/>
      <c r="CG1027" s="318"/>
      <c r="CH1027" s="318"/>
      <c r="CI1027" s="318"/>
      <c r="CJ1027" s="463"/>
      <c r="CK1027" s="342">
        <f t="shared" si="18"/>
        <v>0</v>
      </c>
      <c r="CL1027" s="333">
        <f t="shared" si="19"/>
        <v>0</v>
      </c>
      <c r="CM1027" s="829"/>
      <c r="CN1027" s="333"/>
      <c r="CO1027" s="333"/>
      <c r="CP1027" s="333"/>
    </row>
    <row r="1028">
      <c r="B1028" s="462" t="s">
        <v>1680</v>
      </c>
      <c r="C1028" s="914">
        <v>44448.0</v>
      </c>
      <c r="D1028" s="319" t="s">
        <v>986</v>
      </c>
      <c r="E1028" s="319">
        <v>18.0</v>
      </c>
      <c r="F1028" s="324" t="s">
        <v>1705</v>
      </c>
      <c r="G1028" s="321">
        <v>0.6559027777777777</v>
      </c>
      <c r="H1028" s="323">
        <v>0.65625</v>
      </c>
      <c r="I1028" s="323"/>
      <c r="J1028" s="323"/>
      <c r="K1028" s="323">
        <v>0.6996527777777778</v>
      </c>
      <c r="L1028" s="323">
        <v>0.043402777777777776</v>
      </c>
      <c r="M1028" s="319" t="s">
        <v>166</v>
      </c>
      <c r="N1028" s="324" t="s">
        <v>187</v>
      </c>
      <c r="O1028" s="419" t="s">
        <v>198</v>
      </c>
      <c r="P1028" s="319" t="s">
        <v>213</v>
      </c>
      <c r="Q1028" s="318"/>
      <c r="R1028" s="326">
        <v>10.7</v>
      </c>
      <c r="S1028" s="319">
        <v>10.9</v>
      </c>
      <c r="T1028" s="324">
        <v>3.0</v>
      </c>
      <c r="U1028" s="319">
        <v>2.0</v>
      </c>
      <c r="V1028" s="319"/>
      <c r="W1028" s="319"/>
      <c r="X1028" s="319"/>
      <c r="Y1028" s="319"/>
      <c r="Z1028" s="319" t="s">
        <v>343</v>
      </c>
      <c r="AA1028" s="319"/>
      <c r="AB1028" s="319" t="s">
        <v>384</v>
      </c>
      <c r="AC1028" s="327">
        <v>6.0</v>
      </c>
      <c r="AD1028" s="319"/>
      <c r="AE1028" s="319"/>
      <c r="AF1028" s="319"/>
      <c r="AG1028" s="319"/>
      <c r="AH1028" s="319"/>
      <c r="AI1028" s="319"/>
      <c r="AJ1028" s="327"/>
      <c r="AK1028" s="328"/>
      <c r="AL1028" s="319"/>
      <c r="AM1028" s="319"/>
      <c r="AN1028" s="319"/>
      <c r="AO1028" s="319"/>
      <c r="AP1028" s="319"/>
      <c r="AQ1028" s="319"/>
      <c r="AR1028" s="319"/>
      <c r="AS1028" s="327"/>
      <c r="AT1028" s="461" t="s">
        <v>182</v>
      </c>
      <c r="AU1028" s="324" t="s">
        <v>845</v>
      </c>
      <c r="AV1028" s="330">
        <f>SQRT(($R1028-Infrastructure!J$3)^2+($S1028-Infrastructure!K$3)^2)</f>
        <v>21.09502311</v>
      </c>
      <c r="AW1028" s="331">
        <f>SQRT(($R1028-Infrastructure!J$4)^2+($S1028-Infrastructure!K$4)^2)</f>
        <v>12.98499134</v>
      </c>
      <c r="AX1028" s="331">
        <f>SQRT(($R1028-Infrastructure!J$5)^2+($S1028-Infrastructure!K$5)^2)</f>
        <v>12.43543325</v>
      </c>
      <c r="AY1028" s="331">
        <f>SQRT(($R1028-Infrastructure!J$6)^2+($S1028-Infrastructure!K$6)^2)</f>
        <v>10.61696755</v>
      </c>
      <c r="AZ1028" s="331">
        <f>SQRT(($R1028-Infrastructure!J$7)^2+($S1028-Infrastructure!K$7)^2)</f>
        <v>14.43606595</v>
      </c>
      <c r="BA1028" s="331">
        <f>SQRT(($R1028-Infrastructure!J$8)^2+($S1028-Infrastructure!K$8)^2)</f>
        <v>22.10701246</v>
      </c>
      <c r="BB1028" s="331">
        <f>SQRT(($R1028-Infrastructure!J$9)^2+($S1028-Infrastructure!K$9)^2)</f>
        <v>29.86854533</v>
      </c>
      <c r="BC1028" s="331">
        <f>SQRT(($R1028-Infrastructure!J$10)^2+($S1028-Infrastructure!K$10)^2)</f>
        <v>29.58546941</v>
      </c>
      <c r="BD1028" s="331">
        <f>SQRT(($R1028-Infrastructure!J$11)^2+($S1028-Infrastructure!K$11)^2)</f>
        <v>34.61011413</v>
      </c>
      <c r="BE1028" s="333">
        <f>SQRT(($R1028-Infrastructure!J$12)^2+($S1028-Infrastructure!K$12)^2)</f>
        <v>45.8889965</v>
      </c>
      <c r="BF1028" s="330">
        <f t="shared" si="14"/>
        <v>10.61696755</v>
      </c>
      <c r="BG1028" s="333">
        <f t="shared" si="15"/>
        <v>45.8889965</v>
      </c>
      <c r="BH1028" s="902">
        <v>36617.0</v>
      </c>
      <c r="BI1028" s="462" t="s">
        <v>846</v>
      </c>
      <c r="BJ1028" s="319" t="s">
        <v>845</v>
      </c>
      <c r="BK1028" s="319" t="s">
        <v>846</v>
      </c>
      <c r="BL1028" s="319" t="s">
        <v>846</v>
      </c>
      <c r="BM1028" s="319" t="s">
        <v>846</v>
      </c>
      <c r="BN1028" s="319" t="s">
        <v>846</v>
      </c>
      <c r="BO1028" s="319" t="s">
        <v>845</v>
      </c>
      <c r="BP1028" s="319" t="s">
        <v>846</v>
      </c>
      <c r="BQ1028" s="319" t="s">
        <v>846</v>
      </c>
      <c r="BR1028" s="324" t="s">
        <v>846</v>
      </c>
      <c r="BS1028" s="330">
        <f t="shared" si="72"/>
        <v>10.61696755</v>
      </c>
      <c r="BT1028" s="331">
        <f t="shared" si="73"/>
        <v>45.8889965</v>
      </c>
      <c r="BU1028" s="922">
        <v>0.6559027777777777</v>
      </c>
      <c r="BV1028" s="903">
        <f t="shared" si="76"/>
        <v>0</v>
      </c>
      <c r="BW1028" s="921">
        <v>34.7075376884422</v>
      </c>
      <c r="BX1028" s="923">
        <v>15.3386934673366</v>
      </c>
      <c r="BY1028" s="331">
        <f t="shared" si="77"/>
        <v>24.41441921</v>
      </c>
      <c r="BZ1028" s="340"/>
      <c r="CA1028" s="316"/>
      <c r="CB1028" s="318"/>
      <c r="CC1028" s="318"/>
      <c r="CD1028" s="318"/>
      <c r="CE1028" s="318"/>
      <c r="CF1028" s="318"/>
      <c r="CG1028" s="318"/>
      <c r="CH1028" s="318"/>
      <c r="CI1028" s="318"/>
      <c r="CJ1028" s="463"/>
      <c r="CK1028" s="342">
        <f t="shared" si="18"/>
        <v>0</v>
      </c>
      <c r="CL1028" s="333">
        <f t="shared" si="19"/>
        <v>0</v>
      </c>
      <c r="CM1028" s="829"/>
      <c r="CN1028" s="333"/>
      <c r="CO1028" s="333"/>
      <c r="CP1028" s="333"/>
    </row>
    <row r="1029">
      <c r="B1029" s="462" t="s">
        <v>1680</v>
      </c>
      <c r="C1029" s="914">
        <v>44448.0</v>
      </c>
      <c r="D1029" s="319" t="s">
        <v>986</v>
      </c>
      <c r="E1029" s="319">
        <v>19.0</v>
      </c>
      <c r="F1029" s="324" t="s">
        <v>1706</v>
      </c>
      <c r="G1029" s="321">
        <v>0.7006944444444444</v>
      </c>
      <c r="H1029" s="323">
        <v>0.7008680555555555</v>
      </c>
      <c r="I1029" s="323"/>
      <c r="J1029" s="323"/>
      <c r="K1029" s="323">
        <v>0.7340277777777777</v>
      </c>
      <c r="L1029" s="323">
        <v>0.03315972222222222</v>
      </c>
      <c r="M1029" s="319" t="s">
        <v>166</v>
      </c>
      <c r="N1029" s="324" t="s">
        <v>187</v>
      </c>
      <c r="O1029" s="419" t="s">
        <v>323</v>
      </c>
      <c r="P1029" s="319" t="s">
        <v>286</v>
      </c>
      <c r="Q1029" s="318"/>
      <c r="R1029" s="326">
        <v>17.0</v>
      </c>
      <c r="S1029" s="319">
        <v>10.0</v>
      </c>
      <c r="T1029" s="324">
        <v>3.0</v>
      </c>
      <c r="U1029" s="319">
        <v>0.01</v>
      </c>
      <c r="V1029" s="319"/>
      <c r="W1029" s="319"/>
      <c r="X1029" s="319"/>
      <c r="Y1029" s="319"/>
      <c r="Z1029" s="319" t="s">
        <v>1690</v>
      </c>
      <c r="AA1029" s="319"/>
      <c r="AB1029" s="319" t="s">
        <v>371</v>
      </c>
      <c r="AC1029" s="327">
        <v>1.8</v>
      </c>
      <c r="AD1029" s="319"/>
      <c r="AE1029" s="319"/>
      <c r="AF1029" s="319"/>
      <c r="AG1029" s="319"/>
      <c r="AH1029" s="319"/>
      <c r="AI1029" s="319"/>
      <c r="AJ1029" s="327"/>
      <c r="AK1029" s="328"/>
      <c r="AL1029" s="319"/>
      <c r="AM1029" s="319"/>
      <c r="AN1029" s="319"/>
      <c r="AO1029" s="319"/>
      <c r="AP1029" s="319"/>
      <c r="AQ1029" s="319"/>
      <c r="AR1029" s="319"/>
      <c r="AS1029" s="327"/>
      <c r="AT1029" s="461" t="s">
        <v>181</v>
      </c>
      <c r="AU1029" s="324" t="s">
        <v>845</v>
      </c>
      <c r="AV1029" s="330">
        <f>SQRT(($R1029-Infrastructure!J$3)^2+($S1029-Infrastructure!K$3)^2)</f>
        <v>25.62225595</v>
      </c>
      <c r="AW1029" s="331">
        <f>SQRT(($R1029-Infrastructure!J$4)^2+($S1029-Infrastructure!K$4)^2)</f>
        <v>18.97709145</v>
      </c>
      <c r="AX1029" s="331">
        <f>SQRT(($R1029-Infrastructure!J$5)^2+($S1029-Infrastructure!K$5)^2)</f>
        <v>17.98054504</v>
      </c>
      <c r="AY1029" s="331">
        <f>SQRT(($R1029-Infrastructure!J$6)^2+($S1029-Infrastructure!K$6)^2)</f>
        <v>11.90378091</v>
      </c>
      <c r="AZ1029" s="331">
        <f>SQRT(($R1029-Infrastructure!J$7)^2+($S1029-Infrastructure!K$7)^2)</f>
        <v>10.31212878</v>
      </c>
      <c r="BA1029" s="331">
        <f>SQRT(($R1029-Infrastructure!J$8)^2+($S1029-Infrastructure!K$8)^2)</f>
        <v>16.30030675</v>
      </c>
      <c r="BB1029" s="331">
        <f>SQRT(($R1029-Infrastructure!J$9)^2+($S1029-Infrastructure!K$9)^2)</f>
        <v>23.51616465</v>
      </c>
      <c r="BC1029" s="331">
        <f>SQRT(($R1029-Infrastructure!J$10)^2+($S1029-Infrastructure!K$10)^2)</f>
        <v>23.53720459</v>
      </c>
      <c r="BD1029" s="331">
        <f>SQRT(($R1029-Infrastructure!J$11)^2+($S1029-Infrastructure!K$11)^2)</f>
        <v>29.98733066</v>
      </c>
      <c r="BE1029" s="333">
        <f>SQRT(($R1029-Infrastructure!J$12)^2+($S1029-Infrastructure!K$12)^2)</f>
        <v>45.72198596</v>
      </c>
      <c r="BF1029" s="330">
        <f t="shared" si="14"/>
        <v>10.31212878</v>
      </c>
      <c r="BG1029" s="333">
        <f t="shared" si="15"/>
        <v>45.72198596</v>
      </c>
      <c r="BH1029" s="902">
        <v>36617.0</v>
      </c>
      <c r="BI1029" s="462" t="s">
        <v>846</v>
      </c>
      <c r="BJ1029" s="319" t="s">
        <v>846</v>
      </c>
      <c r="BK1029" s="319" t="s">
        <v>846</v>
      </c>
      <c r="BL1029" s="319" t="s">
        <v>846</v>
      </c>
      <c r="BM1029" s="319" t="s">
        <v>846</v>
      </c>
      <c r="BN1029" s="319" t="s">
        <v>846</v>
      </c>
      <c r="BO1029" s="319" t="s">
        <v>846</v>
      </c>
      <c r="BP1029" s="319" t="s">
        <v>846</v>
      </c>
      <c r="BQ1029" s="319" t="s">
        <v>846</v>
      </c>
      <c r="BR1029" s="324" t="s">
        <v>846</v>
      </c>
      <c r="BS1029" s="330">
        <f t="shared" si="72"/>
        <v>10.31212878</v>
      </c>
      <c r="BT1029" s="331">
        <f t="shared" si="73"/>
        <v>45.72198596</v>
      </c>
      <c r="BU1029" s="922">
        <v>0.7007175925925926</v>
      </c>
      <c r="BV1029" s="903">
        <f t="shared" si="76"/>
        <v>0.00002314814815</v>
      </c>
      <c r="BW1029" s="921">
        <v>34.3467889908256</v>
      </c>
      <c r="BX1029" s="923">
        <v>14.2344036697247</v>
      </c>
      <c r="BY1029" s="331">
        <f t="shared" si="77"/>
        <v>17.85612676</v>
      </c>
      <c r="BZ1029" s="340"/>
      <c r="CA1029" s="316"/>
      <c r="CB1029" s="318"/>
      <c r="CC1029" s="318"/>
      <c r="CD1029" s="318"/>
      <c r="CE1029" s="318"/>
      <c r="CF1029" s="318"/>
      <c r="CG1029" s="318"/>
      <c r="CH1029" s="318"/>
      <c r="CI1029" s="318"/>
      <c r="CJ1029" s="463"/>
      <c r="CK1029" s="342">
        <f t="shared" si="18"/>
        <v>0</v>
      </c>
      <c r="CL1029" s="333">
        <f t="shared" si="19"/>
        <v>0</v>
      </c>
      <c r="CM1029" s="829"/>
      <c r="CN1029" s="333"/>
      <c r="CO1029" s="333"/>
      <c r="CP1029" s="333"/>
    </row>
    <row r="1030">
      <c r="B1030" s="462" t="s">
        <v>1680</v>
      </c>
      <c r="C1030" s="914">
        <v>44448.0</v>
      </c>
      <c r="D1030" s="319" t="s">
        <v>986</v>
      </c>
      <c r="E1030" s="319">
        <v>20.0</v>
      </c>
      <c r="F1030" s="324" t="s">
        <v>1707</v>
      </c>
      <c r="G1030" s="321">
        <v>0.7350694444444444</v>
      </c>
      <c r="H1030" s="323">
        <v>0.7354166666666667</v>
      </c>
      <c r="I1030" s="323"/>
      <c r="J1030" s="323"/>
      <c r="K1030" s="323">
        <v>0.7425347222222223</v>
      </c>
      <c r="L1030" s="323">
        <v>0.007118055555555555</v>
      </c>
      <c r="M1030" s="319" t="s">
        <v>166</v>
      </c>
      <c r="N1030" s="324" t="s">
        <v>188</v>
      </c>
      <c r="O1030" s="419" t="s">
        <v>378</v>
      </c>
      <c r="P1030" s="319" t="s">
        <v>225</v>
      </c>
      <c r="Q1030" s="318"/>
      <c r="R1030" s="326">
        <v>22.7</v>
      </c>
      <c r="S1030" s="319">
        <v>39.7</v>
      </c>
      <c r="T1030" s="324">
        <v>1.1</v>
      </c>
      <c r="U1030" s="319">
        <v>5.0</v>
      </c>
      <c r="V1030" s="319"/>
      <c r="W1030" s="319"/>
      <c r="X1030" s="319"/>
      <c r="Y1030" s="319"/>
      <c r="Z1030" s="319" t="s">
        <v>383</v>
      </c>
      <c r="AA1030" s="319"/>
      <c r="AB1030" s="319" t="s">
        <v>407</v>
      </c>
      <c r="AC1030" s="327">
        <v>15.75</v>
      </c>
      <c r="AD1030" s="319"/>
      <c r="AE1030" s="319"/>
      <c r="AF1030" s="319"/>
      <c r="AG1030" s="319"/>
      <c r="AH1030" s="319"/>
      <c r="AI1030" s="319"/>
      <c r="AJ1030" s="327"/>
      <c r="AK1030" s="328"/>
      <c r="AL1030" s="319"/>
      <c r="AM1030" s="319"/>
      <c r="AN1030" s="319"/>
      <c r="AO1030" s="319"/>
      <c r="AP1030" s="319"/>
      <c r="AQ1030" s="319"/>
      <c r="AR1030" s="319"/>
      <c r="AS1030" s="327"/>
      <c r="AT1030" s="461" t="s">
        <v>182</v>
      </c>
      <c r="AU1030" s="324" t="s">
        <v>845</v>
      </c>
      <c r="AV1030" s="330">
        <f>SQRT(($R1030-Infrastructure!J$3)^2+($S1030-Infrastructure!K$3)^2)</f>
        <v>25.40944706</v>
      </c>
      <c r="AW1030" s="331">
        <f>SQRT(($R1030-Infrastructure!J$4)^2+($S1030-Infrastructure!K$4)^2)</f>
        <v>31.75862088</v>
      </c>
      <c r="AX1030" s="331">
        <f>SQRT(($R1030-Infrastructure!J$5)^2+($S1030-Infrastructure!K$5)^2)</f>
        <v>41.54708173</v>
      </c>
      <c r="AY1030" s="331">
        <f>SQRT(($R1030-Infrastructure!J$6)^2+($S1030-Infrastructure!K$6)^2)</f>
        <v>41.36568626</v>
      </c>
      <c r="AZ1030" s="331">
        <f>SQRT(($R1030-Infrastructure!J$7)^2+($S1030-Infrastructure!K$7)^2)</f>
        <v>39.46137352</v>
      </c>
      <c r="BA1030" s="331">
        <f>SQRT(($R1030-Infrastructure!J$8)^2+($S1030-Infrastructure!K$8)^2)</f>
        <v>40.08890121</v>
      </c>
      <c r="BB1030" s="331">
        <f>SQRT(($R1030-Infrastructure!J$9)^2+($S1030-Infrastructure!K$9)^2)</f>
        <v>38.68397601</v>
      </c>
      <c r="BC1030" s="331">
        <f>SQRT(($R1030-Infrastructure!J$10)^2+($S1030-Infrastructure!K$10)^2)</f>
        <v>30.15592811</v>
      </c>
      <c r="BD1030" s="331">
        <f>SQRT(($R1030-Infrastructure!J$11)^2+($S1030-Infrastructure!K$11)^2)</f>
        <v>20.51194774</v>
      </c>
      <c r="BE1030" s="333">
        <f>SQRT(($R1030-Infrastructure!J$12)^2+($S1030-Infrastructure!K$12)^2)</f>
        <v>15.84550409</v>
      </c>
      <c r="BF1030" s="330">
        <f t="shared" si="14"/>
        <v>15.84550409</v>
      </c>
      <c r="BG1030" s="333">
        <f t="shared" si="15"/>
        <v>41.54708173</v>
      </c>
      <c r="BH1030" s="902">
        <v>36617.0</v>
      </c>
      <c r="BI1030" s="462" t="s">
        <v>845</v>
      </c>
      <c r="BJ1030" s="319" t="s">
        <v>845</v>
      </c>
      <c r="BK1030" s="319" t="s">
        <v>845</v>
      </c>
      <c r="BL1030" s="319" t="s">
        <v>846</v>
      </c>
      <c r="BM1030" s="319" t="s">
        <v>845</v>
      </c>
      <c r="BN1030" s="319" t="s">
        <v>845</v>
      </c>
      <c r="BO1030" s="319" t="s">
        <v>845</v>
      </c>
      <c r="BP1030" s="319" t="s">
        <v>846</v>
      </c>
      <c r="BQ1030" s="319" t="s">
        <v>845</v>
      </c>
      <c r="BR1030" s="324" t="s">
        <v>845</v>
      </c>
      <c r="BS1030" s="330">
        <f t="shared" si="72"/>
        <v>30.15592811</v>
      </c>
      <c r="BT1030" s="331">
        <f t="shared" si="73"/>
        <v>41.36568626</v>
      </c>
      <c r="BU1030" s="922">
        <v>0.7351041666666667</v>
      </c>
      <c r="BV1030" s="903">
        <f t="shared" si="76"/>
        <v>0.00003472222222</v>
      </c>
      <c r="BW1030" s="921">
        <v>35.5999999999999</v>
      </c>
      <c r="BX1030" s="923">
        <v>24.15</v>
      </c>
      <c r="BY1030" s="331">
        <f t="shared" si="77"/>
        <v>20.20426935</v>
      </c>
      <c r="BZ1030" s="340"/>
      <c r="CA1030" s="316"/>
      <c r="CB1030" s="318"/>
      <c r="CC1030" s="318"/>
      <c r="CD1030" s="318"/>
      <c r="CE1030" s="318"/>
      <c r="CF1030" s="318"/>
      <c r="CG1030" s="318"/>
      <c r="CH1030" s="318"/>
      <c r="CI1030" s="318"/>
      <c r="CJ1030" s="463"/>
      <c r="CK1030" s="342">
        <f t="shared" si="18"/>
        <v>0</v>
      </c>
      <c r="CL1030" s="333">
        <f t="shared" si="19"/>
        <v>0</v>
      </c>
      <c r="CM1030" s="829"/>
      <c r="CN1030" s="333"/>
      <c r="CO1030" s="333"/>
      <c r="CP1030" s="333"/>
    </row>
    <row r="1031">
      <c r="B1031" s="462" t="s">
        <v>1680</v>
      </c>
      <c r="C1031" s="914">
        <v>44449.0</v>
      </c>
      <c r="D1031" s="319" t="s">
        <v>986</v>
      </c>
      <c r="E1031" s="319">
        <v>21.0</v>
      </c>
      <c r="F1031" s="324" t="s">
        <v>1708</v>
      </c>
      <c r="G1031" s="321">
        <v>0.3819444444444444</v>
      </c>
      <c r="H1031" s="323">
        <v>0.38263888888888886</v>
      </c>
      <c r="I1031" s="323"/>
      <c r="J1031" s="323"/>
      <c r="K1031" s="323">
        <v>0.4267361111111111</v>
      </c>
      <c r="L1031" s="323">
        <v>0.044097222222222225</v>
      </c>
      <c r="M1031" s="319" t="s">
        <v>166</v>
      </c>
      <c r="N1031" s="324" t="s">
        <v>187</v>
      </c>
      <c r="O1031" s="419" t="s">
        <v>204</v>
      </c>
      <c r="P1031" s="319" t="s">
        <v>260</v>
      </c>
      <c r="Q1031" s="318"/>
      <c r="R1031" s="326">
        <v>18.6</v>
      </c>
      <c r="S1031" s="319">
        <v>4.4</v>
      </c>
      <c r="T1031" s="324">
        <v>2.5</v>
      </c>
      <c r="U1031" s="319">
        <v>0.3</v>
      </c>
      <c r="V1031" s="319"/>
      <c r="W1031" s="319"/>
      <c r="X1031" s="319"/>
      <c r="Y1031" s="319"/>
      <c r="Z1031" s="319" t="s">
        <v>365</v>
      </c>
      <c r="AA1031" s="319"/>
      <c r="AB1031" s="319" t="s">
        <v>380</v>
      </c>
      <c r="AC1031" s="327">
        <v>4.0</v>
      </c>
      <c r="AD1031" s="319"/>
      <c r="AE1031" s="319"/>
      <c r="AF1031" s="319"/>
      <c r="AG1031" s="319"/>
      <c r="AH1031" s="319"/>
      <c r="AI1031" s="319"/>
      <c r="AJ1031" s="327"/>
      <c r="AK1031" s="328"/>
      <c r="AL1031" s="319"/>
      <c r="AM1031" s="319"/>
      <c r="AN1031" s="319"/>
      <c r="AO1031" s="319"/>
      <c r="AP1031" s="319"/>
      <c r="AQ1031" s="319"/>
      <c r="AR1031" s="319"/>
      <c r="AS1031" s="327"/>
      <c r="AT1031" s="461" t="s">
        <v>181</v>
      </c>
      <c r="AU1031" s="324" t="s">
        <v>845</v>
      </c>
      <c r="AV1031" s="330">
        <f>SQRT(($R1031-Infrastructure!J$3)^2+($S1031-Infrastructure!K$3)^2)</f>
        <v>30.94285055</v>
      </c>
      <c r="AW1031" s="331">
        <f>SQRT(($R1031-Infrastructure!J$4)^2+($S1031-Infrastructure!K$4)^2)</f>
        <v>23.1682973</v>
      </c>
      <c r="AX1031" s="331">
        <f>SQRT(($R1031-Infrastructure!J$5)^2+($S1031-Infrastructure!K$5)^2)</f>
        <v>18.91295852</v>
      </c>
      <c r="AY1031" s="331">
        <f>SQRT(($R1031-Infrastructure!J$6)^2+($S1031-Infrastructure!K$6)^2)</f>
        <v>9.43716059</v>
      </c>
      <c r="AZ1031" s="331">
        <f>SQRT(($R1031-Infrastructure!J$7)^2+($S1031-Infrastructure!K$7)^2)</f>
        <v>4.518849411</v>
      </c>
      <c r="BA1031" s="331">
        <f>SQRT(($R1031-Infrastructure!J$8)^2+($S1031-Infrastructure!K$8)^2)</f>
        <v>12.20901306</v>
      </c>
      <c r="BB1031" s="331">
        <f>SQRT(($R1031-Infrastructure!J$9)^2+($S1031-Infrastructure!K$9)^2)</f>
        <v>21.41144554</v>
      </c>
      <c r="BC1031" s="331">
        <f>SQRT(($R1031-Infrastructure!J$10)^2+($S1031-Infrastructure!K$10)^2)</f>
        <v>23.88137349</v>
      </c>
      <c r="BD1031" s="331">
        <f>SQRT(($R1031-Infrastructure!J$11)^2+($S1031-Infrastructure!K$11)^2)</f>
        <v>32.73713488</v>
      </c>
      <c r="BE1031" s="333">
        <f>SQRT(($R1031-Infrastructure!J$12)^2+($S1031-Infrastructure!K$12)^2)</f>
        <v>51.18222348</v>
      </c>
      <c r="BF1031" s="330">
        <f t="shared" si="14"/>
        <v>4.518849411</v>
      </c>
      <c r="BG1031" s="333">
        <f t="shared" si="15"/>
        <v>51.18222348</v>
      </c>
      <c r="BH1031" s="902">
        <v>36617.0</v>
      </c>
      <c r="BI1031" s="462" t="s">
        <v>846</v>
      </c>
      <c r="BJ1031" s="319" t="s">
        <v>845</v>
      </c>
      <c r="BK1031" s="319" t="s">
        <v>846</v>
      </c>
      <c r="BL1031" s="319" t="s">
        <v>846</v>
      </c>
      <c r="BM1031" s="319" t="s">
        <v>846</v>
      </c>
      <c r="BN1031" s="319" t="s">
        <v>846</v>
      </c>
      <c r="BO1031" s="319" t="s">
        <v>846</v>
      </c>
      <c r="BP1031" s="319" t="s">
        <v>846</v>
      </c>
      <c r="BQ1031" s="319" t="s">
        <v>845</v>
      </c>
      <c r="BR1031" s="324" t="s">
        <v>846</v>
      </c>
      <c r="BS1031" s="330">
        <f t="shared" si="72"/>
        <v>4.518849411</v>
      </c>
      <c r="BT1031" s="331">
        <f t="shared" si="73"/>
        <v>51.18222348</v>
      </c>
      <c r="BU1031" s="915">
        <v>0.38197916666666665</v>
      </c>
      <c r="BV1031" s="903">
        <f t="shared" si="76"/>
        <v>0.00003472222222</v>
      </c>
      <c r="BW1031" s="921">
        <v>29.9597701149425</v>
      </c>
      <c r="BX1031" s="923">
        <v>29.9597701149425</v>
      </c>
      <c r="BY1031" s="331">
        <f t="shared" si="77"/>
        <v>27.97045272</v>
      </c>
      <c r="BZ1031" s="340"/>
      <c r="CA1031" s="316"/>
      <c r="CB1031" s="318"/>
      <c r="CC1031" s="318"/>
      <c r="CD1031" s="318"/>
      <c r="CE1031" s="318"/>
      <c r="CF1031" s="318"/>
      <c r="CG1031" s="318"/>
      <c r="CH1031" s="318"/>
      <c r="CI1031" s="318"/>
      <c r="CJ1031" s="463"/>
      <c r="CK1031" s="342">
        <f t="shared" si="18"/>
        <v>0</v>
      </c>
      <c r="CL1031" s="333">
        <f t="shared" si="19"/>
        <v>0</v>
      </c>
      <c r="CM1031" s="829"/>
      <c r="CN1031" s="333"/>
      <c r="CO1031" s="333"/>
      <c r="CP1031" s="333"/>
    </row>
    <row r="1032">
      <c r="B1032" s="462" t="s">
        <v>1680</v>
      </c>
      <c r="C1032" s="914">
        <v>44449.0</v>
      </c>
      <c r="D1032" s="319" t="s">
        <v>986</v>
      </c>
      <c r="E1032" s="319">
        <v>22.0</v>
      </c>
      <c r="F1032" s="324" t="s">
        <v>1709</v>
      </c>
      <c r="G1032" s="321">
        <v>0.4270833333333333</v>
      </c>
      <c r="H1032" s="323">
        <v>0.42743055555555554</v>
      </c>
      <c r="I1032" s="323"/>
      <c r="J1032" s="323"/>
      <c r="K1032" s="323">
        <v>0.4630208333333333</v>
      </c>
      <c r="L1032" s="323">
        <v>0.035590277777777776</v>
      </c>
      <c r="M1032" s="319" t="s">
        <v>166</v>
      </c>
      <c r="N1032" s="324" t="s">
        <v>187</v>
      </c>
      <c r="O1032" s="419" t="s">
        <v>201</v>
      </c>
      <c r="P1032" s="319" t="s">
        <v>256</v>
      </c>
      <c r="Q1032" s="318"/>
      <c r="R1032" s="326">
        <v>16.0</v>
      </c>
      <c r="S1032" s="319">
        <v>7.5</v>
      </c>
      <c r="T1032" s="324">
        <v>0.57</v>
      </c>
      <c r="U1032" s="319">
        <v>0.6</v>
      </c>
      <c r="V1032" s="319"/>
      <c r="W1032" s="319"/>
      <c r="X1032" s="319"/>
      <c r="Y1032" s="319"/>
      <c r="Z1032" s="319" t="s">
        <v>339</v>
      </c>
      <c r="AA1032" s="319"/>
      <c r="AB1032" s="319" t="s">
        <v>329</v>
      </c>
      <c r="AC1032" s="327">
        <v>1.5</v>
      </c>
      <c r="AD1032" s="319"/>
      <c r="AE1032" s="319"/>
      <c r="AF1032" s="319"/>
      <c r="AG1032" s="319"/>
      <c r="AH1032" s="319"/>
      <c r="AI1032" s="319"/>
      <c r="AJ1032" s="327"/>
      <c r="AK1032" s="328"/>
      <c r="AL1032" s="319"/>
      <c r="AM1032" s="319"/>
      <c r="AN1032" s="319"/>
      <c r="AO1032" s="319"/>
      <c r="AP1032" s="319"/>
      <c r="AQ1032" s="319"/>
      <c r="AR1032" s="319"/>
      <c r="AS1032" s="327"/>
      <c r="AT1032" s="461" t="s">
        <v>181</v>
      </c>
      <c r="AU1032" s="324" t="s">
        <v>845</v>
      </c>
      <c r="AV1032" s="330">
        <f>SQRT(($R1032-Infrastructure!J$3)^2+($S1032-Infrastructure!K$3)^2)</f>
        <v>26.90074348</v>
      </c>
      <c r="AW1032" s="331">
        <f>SQRT(($R1032-Infrastructure!J$4)^2+($S1032-Infrastructure!K$4)^2)</f>
        <v>19.28159744</v>
      </c>
      <c r="AX1032" s="331">
        <f>SQRT(($R1032-Infrastructure!J$5)^2+($S1032-Infrastructure!K$5)^2)</f>
        <v>16.47573974</v>
      </c>
      <c r="AY1032" s="331">
        <f>SQRT(($R1032-Infrastructure!J$6)^2+($S1032-Infrastructure!K$6)^2)</f>
        <v>9.308598176</v>
      </c>
      <c r="AZ1032" s="331">
        <f>SQRT(($R1032-Infrastructure!J$7)^2+($S1032-Infrastructure!K$7)^2)</f>
        <v>8.490583019</v>
      </c>
      <c r="BA1032" s="331">
        <f>SQRT(($R1032-Infrastructure!J$8)^2+($S1032-Infrastructure!K$8)^2)</f>
        <v>15.83192976</v>
      </c>
      <c r="BB1032" s="331">
        <f>SQRT(($R1032-Infrastructure!J$9)^2+($S1032-Infrastructure!K$9)^2)</f>
        <v>24.11970149</v>
      </c>
      <c r="BC1032" s="331">
        <f>SQRT(($R1032-Infrastructure!J$10)^2+($S1032-Infrastructure!K$10)^2)</f>
        <v>25.14458192</v>
      </c>
      <c r="BD1032" s="331">
        <f>SQRT(($R1032-Infrastructure!J$11)^2+($S1032-Infrastructure!K$11)^2)</f>
        <v>32.37112911</v>
      </c>
      <c r="BE1032" s="333">
        <f>SQRT(($R1032-Infrastructure!J$12)^2+($S1032-Infrastructure!K$12)^2)</f>
        <v>48.31407662</v>
      </c>
      <c r="BF1032" s="330">
        <f t="shared" si="14"/>
        <v>8.490583019</v>
      </c>
      <c r="BG1032" s="333">
        <f t="shared" si="15"/>
        <v>48.31407662</v>
      </c>
      <c r="BH1032" s="902">
        <v>36617.0</v>
      </c>
      <c r="BI1032" s="462" t="s">
        <v>846</v>
      </c>
      <c r="BJ1032" s="319" t="s">
        <v>846</v>
      </c>
      <c r="BK1032" s="319" t="s">
        <v>846</v>
      </c>
      <c r="BL1032" s="319" t="s">
        <v>846</v>
      </c>
      <c r="BM1032" s="319" t="s">
        <v>846</v>
      </c>
      <c r="BN1032" s="319" t="s">
        <v>846</v>
      </c>
      <c r="BO1032" s="319" t="s">
        <v>846</v>
      </c>
      <c r="BP1032" s="319" t="s">
        <v>846</v>
      </c>
      <c r="BQ1032" s="319" t="s">
        <v>846</v>
      </c>
      <c r="BR1032" s="324" t="s">
        <v>846</v>
      </c>
      <c r="BS1032" s="330">
        <f t="shared" si="72"/>
        <v>8.490583019</v>
      </c>
      <c r="BT1032" s="331">
        <f t="shared" si="73"/>
        <v>48.31407662</v>
      </c>
      <c r="BU1032" s="915">
        <v>0.4270949074074074</v>
      </c>
      <c r="BV1032" s="903">
        <f t="shared" si="76"/>
        <v>0.00001157407407</v>
      </c>
      <c r="BW1032" s="921">
        <v>17.520262664165</v>
      </c>
      <c r="BX1032" s="923">
        <v>7.58949343339587</v>
      </c>
      <c r="BY1032" s="331">
        <f t="shared" si="77"/>
        <v>1.522894495</v>
      </c>
      <c r="BZ1032" s="340"/>
      <c r="CA1032" s="316"/>
      <c r="CB1032" s="318"/>
      <c r="CC1032" s="318"/>
      <c r="CD1032" s="318"/>
      <c r="CE1032" s="318"/>
      <c r="CF1032" s="318"/>
      <c r="CG1032" s="318"/>
      <c r="CH1032" s="318"/>
      <c r="CI1032" s="318"/>
      <c r="CJ1032" s="463"/>
      <c r="CK1032" s="342">
        <f t="shared" si="18"/>
        <v>0</v>
      </c>
      <c r="CL1032" s="333">
        <f t="shared" si="19"/>
        <v>0</v>
      </c>
      <c r="CM1032" s="829"/>
      <c r="CN1032" s="333"/>
      <c r="CO1032" s="333"/>
      <c r="CP1032" s="333"/>
    </row>
    <row r="1033">
      <c r="B1033" s="462" t="s">
        <v>1680</v>
      </c>
      <c r="C1033" s="914">
        <v>44449.0</v>
      </c>
      <c r="D1033" s="318"/>
      <c r="E1033" s="319"/>
      <c r="F1033" s="324" t="s">
        <v>1710</v>
      </c>
      <c r="G1033" s="321">
        <v>0.4652777777777778</v>
      </c>
      <c r="H1033" s="323"/>
      <c r="I1033" s="323"/>
      <c r="J1033" s="323"/>
      <c r="K1033" s="323">
        <v>0.4654513888888889</v>
      </c>
      <c r="L1033" s="323">
        <v>1.7361111111111112E-4</v>
      </c>
      <c r="M1033" s="319" t="s">
        <v>166</v>
      </c>
      <c r="N1033" s="324" t="s">
        <v>188</v>
      </c>
      <c r="O1033" s="419"/>
      <c r="P1033" s="319" t="s">
        <v>292</v>
      </c>
      <c r="Q1033" s="318"/>
      <c r="R1033" s="833"/>
      <c r="S1033" s="319"/>
      <c r="T1033" s="324"/>
      <c r="U1033" s="834"/>
      <c r="V1033" s="834"/>
      <c r="W1033" s="834"/>
      <c r="X1033" s="834"/>
      <c r="Y1033" s="834"/>
      <c r="Z1033" s="319" t="s">
        <v>323</v>
      </c>
      <c r="AA1033" s="319"/>
      <c r="AB1033" s="319" t="s">
        <v>323</v>
      </c>
      <c r="AC1033" s="327" t="s">
        <v>323</v>
      </c>
      <c r="AD1033" s="319"/>
      <c r="AE1033" s="319"/>
      <c r="AF1033" s="319"/>
      <c r="AG1033" s="319"/>
      <c r="AH1033" s="319"/>
      <c r="AI1033" s="319"/>
      <c r="AJ1033" s="327"/>
      <c r="AK1033" s="328"/>
      <c r="AL1033" s="319"/>
      <c r="AM1033" s="319"/>
      <c r="AN1033" s="319"/>
      <c r="AO1033" s="319"/>
      <c r="AP1033" s="319"/>
      <c r="AQ1033" s="319"/>
      <c r="AR1033" s="319"/>
      <c r="AS1033" s="327"/>
      <c r="AT1033" s="461"/>
      <c r="AU1033" s="324"/>
      <c r="AV1033" s="330"/>
      <c r="AW1033" s="331"/>
      <c r="AX1033" s="331"/>
      <c r="AY1033" s="331"/>
      <c r="AZ1033" s="331"/>
      <c r="BA1033" s="331"/>
      <c r="BB1033" s="331"/>
      <c r="BC1033" s="331"/>
      <c r="BD1033" s="331"/>
      <c r="BE1033" s="333"/>
      <c r="BF1033" s="330">
        <f t="shared" si="14"/>
        <v>0</v>
      </c>
      <c r="BG1033" s="333">
        <f t="shared" si="15"/>
        <v>0</v>
      </c>
      <c r="BH1033" s="902">
        <v>36617.0</v>
      </c>
      <c r="BI1033" s="462" t="s">
        <v>846</v>
      </c>
      <c r="BJ1033" s="319" t="s">
        <v>846</v>
      </c>
      <c r="BK1033" s="319" t="s">
        <v>846</v>
      </c>
      <c r="BL1033" s="319" t="s">
        <v>845</v>
      </c>
      <c r="BM1033" s="319" t="s">
        <v>845</v>
      </c>
      <c r="BN1033" s="319" t="s">
        <v>845</v>
      </c>
      <c r="BO1033" s="319" t="s">
        <v>846</v>
      </c>
      <c r="BP1033" s="319" t="s">
        <v>845</v>
      </c>
      <c r="BQ1033" s="319" t="s">
        <v>845</v>
      </c>
      <c r="BR1033" s="324" t="s">
        <v>845</v>
      </c>
      <c r="BS1033" s="330"/>
      <c r="BT1033" s="331"/>
      <c r="BU1033" s="922"/>
      <c r="BV1033" s="903"/>
      <c r="BW1033" s="921"/>
      <c r="BX1033" s="923"/>
      <c r="BY1033" s="331"/>
      <c r="BZ1033" s="340"/>
      <c r="CA1033" s="316"/>
      <c r="CB1033" s="318"/>
      <c r="CC1033" s="318"/>
      <c r="CD1033" s="318"/>
      <c r="CE1033" s="318"/>
      <c r="CF1033" s="318"/>
      <c r="CG1033" s="318"/>
      <c r="CH1033" s="318"/>
      <c r="CI1033" s="318"/>
      <c r="CJ1033" s="463"/>
      <c r="CK1033" s="342">
        <f t="shared" si="18"/>
        <v>0</v>
      </c>
      <c r="CL1033" s="333">
        <f t="shared" si="19"/>
        <v>0</v>
      </c>
      <c r="CM1033" s="829"/>
      <c r="CN1033" s="333"/>
      <c r="CO1033" s="333"/>
      <c r="CP1033" s="333"/>
    </row>
    <row r="1034">
      <c r="B1034" s="462" t="s">
        <v>1680</v>
      </c>
      <c r="C1034" s="914">
        <v>44449.0</v>
      </c>
      <c r="D1034" s="318"/>
      <c r="E1034" s="319"/>
      <c r="F1034" s="324" t="s">
        <v>1710</v>
      </c>
      <c r="G1034" s="321">
        <v>0.4670138888888889</v>
      </c>
      <c r="H1034" s="323"/>
      <c r="I1034" s="323"/>
      <c r="J1034" s="323"/>
      <c r="K1034" s="323">
        <v>0.46875</v>
      </c>
      <c r="L1034" s="323">
        <v>0.001736111111111111</v>
      </c>
      <c r="M1034" s="319" t="s">
        <v>358</v>
      </c>
      <c r="N1034" s="324" t="s">
        <v>188</v>
      </c>
      <c r="O1034" s="419"/>
      <c r="P1034" s="319" t="s">
        <v>294</v>
      </c>
      <c r="Q1034" s="318"/>
      <c r="R1034" s="833"/>
      <c r="S1034" s="319"/>
      <c r="T1034" s="324"/>
      <c r="U1034" s="834"/>
      <c r="V1034" s="834"/>
      <c r="W1034" s="834"/>
      <c r="X1034" s="834"/>
      <c r="Y1034" s="834"/>
      <c r="Z1034" s="319" t="s">
        <v>323</v>
      </c>
      <c r="AA1034" s="319"/>
      <c r="AB1034" s="319" t="s">
        <v>323</v>
      </c>
      <c r="AC1034" s="327" t="s">
        <v>323</v>
      </c>
      <c r="AD1034" s="319"/>
      <c r="AE1034" s="319"/>
      <c r="AF1034" s="319"/>
      <c r="AG1034" s="319"/>
      <c r="AH1034" s="319"/>
      <c r="AI1034" s="319"/>
      <c r="AJ1034" s="327"/>
      <c r="AK1034" s="328"/>
      <c r="AL1034" s="319"/>
      <c r="AM1034" s="319"/>
      <c r="AN1034" s="319"/>
      <c r="AO1034" s="319"/>
      <c r="AP1034" s="319"/>
      <c r="AQ1034" s="319"/>
      <c r="AR1034" s="319"/>
      <c r="AS1034" s="327"/>
      <c r="AT1034" s="461"/>
      <c r="AU1034" s="324"/>
      <c r="AV1034" s="330"/>
      <c r="AW1034" s="331"/>
      <c r="AX1034" s="331"/>
      <c r="AY1034" s="331"/>
      <c r="AZ1034" s="331"/>
      <c r="BA1034" s="331"/>
      <c r="BB1034" s="331"/>
      <c r="BC1034" s="331"/>
      <c r="BD1034" s="331"/>
      <c r="BE1034" s="333"/>
      <c r="BF1034" s="330">
        <f t="shared" si="14"/>
        <v>0</v>
      </c>
      <c r="BG1034" s="333">
        <f t="shared" si="15"/>
        <v>0</v>
      </c>
      <c r="BH1034" s="902">
        <v>36617.0</v>
      </c>
      <c r="BI1034" s="462" t="s">
        <v>845</v>
      </c>
      <c r="BJ1034" s="319" t="s">
        <v>845</v>
      </c>
      <c r="BK1034" s="319" t="s">
        <v>845</v>
      </c>
      <c r="BL1034" s="319" t="s">
        <v>845</v>
      </c>
      <c r="BM1034" s="319" t="s">
        <v>845</v>
      </c>
      <c r="BN1034" s="319" t="s">
        <v>846</v>
      </c>
      <c r="BO1034" s="319" t="s">
        <v>846</v>
      </c>
      <c r="BP1034" s="319" t="s">
        <v>845</v>
      </c>
      <c r="BQ1034" s="319" t="s">
        <v>845</v>
      </c>
      <c r="BR1034" s="324" t="s">
        <v>845</v>
      </c>
      <c r="BS1034" s="330"/>
      <c r="BT1034" s="331"/>
      <c r="BU1034" s="922"/>
      <c r="BV1034" s="903"/>
      <c r="BW1034" s="921"/>
      <c r="BX1034" s="923"/>
      <c r="BY1034" s="331"/>
      <c r="BZ1034" s="340"/>
      <c r="CA1034" s="316"/>
      <c r="CB1034" s="318"/>
      <c r="CC1034" s="318"/>
      <c r="CD1034" s="318"/>
      <c r="CE1034" s="318"/>
      <c r="CF1034" s="318"/>
      <c r="CG1034" s="318"/>
      <c r="CH1034" s="318"/>
      <c r="CI1034" s="318"/>
      <c r="CJ1034" s="463"/>
      <c r="CK1034" s="342">
        <f t="shared" si="18"/>
        <v>0</v>
      </c>
      <c r="CL1034" s="333">
        <f t="shared" si="19"/>
        <v>0</v>
      </c>
      <c r="CM1034" s="829"/>
      <c r="CN1034" s="333"/>
      <c r="CO1034" s="333"/>
      <c r="CP1034" s="333"/>
    </row>
    <row r="1035">
      <c r="A1035" s="389" t="s">
        <v>53</v>
      </c>
      <c r="B1035" s="573" t="s">
        <v>1711</v>
      </c>
      <c r="C1035" s="909">
        <v>44459.0</v>
      </c>
      <c r="D1035" s="392"/>
      <c r="E1035" s="393">
        <v>1.1</v>
      </c>
      <c r="F1035" s="394" t="s">
        <v>1712</v>
      </c>
      <c r="G1035" s="395">
        <v>0.48391203703703706</v>
      </c>
      <c r="H1035" s="456">
        <v>0.48420138888888886</v>
      </c>
      <c r="I1035" s="456"/>
      <c r="J1035" s="456"/>
      <c r="K1035" s="456">
        <v>0.49502314814814813</v>
      </c>
      <c r="L1035" s="456">
        <v>0.010821759259259258</v>
      </c>
      <c r="M1035" s="393" t="s">
        <v>166</v>
      </c>
      <c r="N1035" s="394" t="s">
        <v>187</v>
      </c>
      <c r="O1035" s="399" t="s">
        <v>198</v>
      </c>
      <c r="P1035" s="393" t="s">
        <v>213</v>
      </c>
      <c r="Q1035" s="392"/>
      <c r="R1035" s="400">
        <v>10.7</v>
      </c>
      <c r="S1035" s="393">
        <v>10.9</v>
      </c>
      <c r="T1035" s="394">
        <v>3.0</v>
      </c>
      <c r="U1035" s="393">
        <v>2.0</v>
      </c>
      <c r="V1035" s="393"/>
      <c r="W1035" s="393"/>
      <c r="X1035" s="393"/>
      <c r="Y1035" s="393"/>
      <c r="Z1035" s="393" t="s">
        <v>343</v>
      </c>
      <c r="AA1035" s="393"/>
      <c r="AB1035" s="393" t="s">
        <v>384</v>
      </c>
      <c r="AC1035" s="401">
        <v>6.0</v>
      </c>
      <c r="AD1035" s="393"/>
      <c r="AE1035" s="393"/>
      <c r="AF1035" s="393"/>
      <c r="AG1035" s="393"/>
      <c r="AH1035" s="393"/>
      <c r="AI1035" s="393"/>
      <c r="AJ1035" s="401"/>
      <c r="AK1035" s="402"/>
      <c r="AL1035" s="393"/>
      <c r="AM1035" s="393"/>
      <c r="AN1035" s="393"/>
      <c r="AO1035" s="393"/>
      <c r="AP1035" s="393"/>
      <c r="AQ1035" s="393"/>
      <c r="AR1035" s="393"/>
      <c r="AS1035" s="401"/>
      <c r="AT1035" s="460" t="s">
        <v>182</v>
      </c>
      <c r="AU1035" s="394" t="s">
        <v>845</v>
      </c>
      <c r="AV1035" s="405">
        <f>SQRT(($R1035-Infrastructure!J$3)^2+($S1035-Infrastructure!K$3)^2)</f>
        <v>21.09502311</v>
      </c>
      <c r="AW1035" s="406">
        <f>SQRT(($R1035-Infrastructure!J$4)^2+($S1035-Infrastructure!K$4)^2)</f>
        <v>12.98499134</v>
      </c>
      <c r="AX1035" s="406">
        <f>SQRT(($R1035-Infrastructure!J$5)^2+($S1035-Infrastructure!K$5)^2)</f>
        <v>12.43543325</v>
      </c>
      <c r="AY1035" s="406">
        <f>SQRT(($R1035-Infrastructure!J$6)^2+($S1035-Infrastructure!K$6)^2)</f>
        <v>10.61696755</v>
      </c>
      <c r="AZ1035" s="406">
        <f>SQRT(($R1035-Infrastructure!J$7)^2+($S1035-Infrastructure!K$7)^2)</f>
        <v>14.43606595</v>
      </c>
      <c r="BA1035" s="406">
        <f>SQRT(($R1035-Infrastructure!J$8)^2+($S1035-Infrastructure!K$8)^2)</f>
        <v>22.10701246</v>
      </c>
      <c r="BB1035" s="406">
        <f>SQRT(($R1035-Infrastructure!J$9)^2+($S1035-Infrastructure!K$9)^2)</f>
        <v>29.86854533</v>
      </c>
      <c r="BC1035" s="406">
        <f>SQRT(($R1035-Infrastructure!J$10)^2+($S1035-Infrastructure!K$10)^2)</f>
        <v>29.58546941</v>
      </c>
      <c r="BD1035" s="406">
        <f>SQRT(($R1035-Infrastructure!J$11)^2+($S1035-Infrastructure!K$11)^2)</f>
        <v>34.61011413</v>
      </c>
      <c r="BE1035" s="408">
        <f>SQRT(($R1035-Infrastructure!J$12)^2+($S1035-Infrastructure!K$12)^2)</f>
        <v>45.8889965</v>
      </c>
      <c r="BF1035" s="405">
        <f t="shared" si="14"/>
        <v>10.61696755</v>
      </c>
      <c r="BG1035" s="408">
        <f t="shared" si="15"/>
        <v>45.8889965</v>
      </c>
      <c r="BH1035" s="910">
        <v>36617.0</v>
      </c>
      <c r="BI1035" s="573" t="s">
        <v>846</v>
      </c>
      <c r="BJ1035" s="393" t="s">
        <v>845</v>
      </c>
      <c r="BK1035" s="393" t="s">
        <v>845</v>
      </c>
      <c r="BL1035" s="393" t="s">
        <v>845</v>
      </c>
      <c r="BM1035" s="393" t="s">
        <v>845</v>
      </c>
      <c r="BN1035" s="393" t="s">
        <v>845</v>
      </c>
      <c r="BO1035" s="393" t="s">
        <v>845</v>
      </c>
      <c r="BP1035" s="393" t="s">
        <v>845</v>
      </c>
      <c r="BQ1035" s="393" t="s">
        <v>845</v>
      </c>
      <c r="BR1035" s="394" t="s">
        <v>845</v>
      </c>
      <c r="BS1035" s="405">
        <f t="shared" ref="BS1035:BS1064" si="78">MINIFS(AV1035:BE1035,BI1035:BR1035, "Y")</f>
        <v>21.09502311</v>
      </c>
      <c r="BT1035" s="406">
        <f t="shared" ref="BT1035:BT1064" si="79">MAXIFS(AV1035:BE1035,BI1035:BR1035, "Y")</f>
        <v>21.09502311</v>
      </c>
      <c r="BU1035" s="924">
        <v>0.48391203703703706</v>
      </c>
      <c r="BV1035" s="903">
        <f t="shared" ref="BV1035:BV1041" si="80">BU1035-G1035</f>
        <v>0</v>
      </c>
      <c r="BW1035" s="925"/>
      <c r="BX1035" s="926"/>
      <c r="BY1035" s="406"/>
      <c r="BZ1035" s="412"/>
      <c r="CA1035" s="390"/>
      <c r="CB1035" s="392"/>
      <c r="CC1035" s="392"/>
      <c r="CD1035" s="392"/>
      <c r="CE1035" s="392"/>
      <c r="CF1035" s="392"/>
      <c r="CG1035" s="392"/>
      <c r="CH1035" s="392"/>
      <c r="CI1035" s="392"/>
      <c r="CJ1035" s="898"/>
      <c r="CK1035" s="414">
        <f t="shared" si="18"/>
        <v>0</v>
      </c>
      <c r="CL1035" s="408">
        <f t="shared" si="19"/>
        <v>0</v>
      </c>
      <c r="CM1035" s="832"/>
      <c r="CN1035" s="333"/>
      <c r="CO1035" s="333"/>
      <c r="CP1035" s="333"/>
    </row>
    <row r="1036">
      <c r="B1036" s="462" t="s">
        <v>1711</v>
      </c>
      <c r="C1036" s="914">
        <v>44459.0</v>
      </c>
      <c r="D1036" s="318"/>
      <c r="E1036" s="319">
        <v>1.2</v>
      </c>
      <c r="F1036" s="324" t="s">
        <v>1713</v>
      </c>
      <c r="G1036" s="321">
        <v>0.49502314814814813</v>
      </c>
      <c r="H1036" s="323">
        <v>0.4956597222222222</v>
      </c>
      <c r="I1036" s="323"/>
      <c r="J1036" s="323"/>
      <c r="K1036" s="323">
        <v>0.5027777777777778</v>
      </c>
      <c r="L1036" s="323">
        <v>0.007118055555555555</v>
      </c>
      <c r="M1036" s="319" t="s">
        <v>166</v>
      </c>
      <c r="N1036" s="324" t="s">
        <v>187</v>
      </c>
      <c r="O1036" s="419" t="s">
        <v>198</v>
      </c>
      <c r="P1036" s="319" t="s">
        <v>213</v>
      </c>
      <c r="Q1036" s="318"/>
      <c r="R1036" s="326">
        <v>10.7</v>
      </c>
      <c r="S1036" s="319">
        <v>10.9</v>
      </c>
      <c r="T1036" s="324">
        <v>3.0</v>
      </c>
      <c r="U1036" s="319">
        <v>3.0</v>
      </c>
      <c r="V1036" s="319"/>
      <c r="W1036" s="319"/>
      <c r="X1036" s="319"/>
      <c r="Y1036" s="319"/>
      <c r="Z1036" s="319" t="s">
        <v>343</v>
      </c>
      <c r="AA1036" s="319"/>
      <c r="AB1036" s="319" t="s">
        <v>384</v>
      </c>
      <c r="AC1036" s="327">
        <v>6.0</v>
      </c>
      <c r="AD1036" s="319"/>
      <c r="AE1036" s="319"/>
      <c r="AF1036" s="319"/>
      <c r="AG1036" s="319"/>
      <c r="AH1036" s="319"/>
      <c r="AI1036" s="319"/>
      <c r="AJ1036" s="327"/>
      <c r="AK1036" s="328"/>
      <c r="AL1036" s="319"/>
      <c r="AM1036" s="319"/>
      <c r="AN1036" s="319"/>
      <c r="AO1036" s="319"/>
      <c r="AP1036" s="319"/>
      <c r="AQ1036" s="319"/>
      <c r="AR1036" s="319"/>
      <c r="AS1036" s="327"/>
      <c r="AT1036" s="461" t="s">
        <v>182</v>
      </c>
      <c r="AU1036" s="324" t="s">
        <v>845</v>
      </c>
      <c r="AV1036" s="330">
        <f>SQRT(($R1036-Infrastructure!J$3)^2+($S1036-Infrastructure!K$3)^2)</f>
        <v>21.09502311</v>
      </c>
      <c r="AW1036" s="331">
        <f>SQRT(($R1036-Infrastructure!J$4)^2+($S1036-Infrastructure!K$4)^2)</f>
        <v>12.98499134</v>
      </c>
      <c r="AX1036" s="331">
        <f>SQRT(($R1036-Infrastructure!J$5)^2+($S1036-Infrastructure!K$5)^2)</f>
        <v>12.43543325</v>
      </c>
      <c r="AY1036" s="331">
        <f>SQRT(($R1036-Infrastructure!J$6)^2+($S1036-Infrastructure!K$6)^2)</f>
        <v>10.61696755</v>
      </c>
      <c r="AZ1036" s="331">
        <f>SQRT(($R1036-Infrastructure!J$7)^2+($S1036-Infrastructure!K$7)^2)</f>
        <v>14.43606595</v>
      </c>
      <c r="BA1036" s="331">
        <f>SQRT(($R1036-Infrastructure!J$8)^2+($S1036-Infrastructure!K$8)^2)</f>
        <v>22.10701246</v>
      </c>
      <c r="BB1036" s="331">
        <f>SQRT(($R1036-Infrastructure!J$9)^2+($S1036-Infrastructure!K$9)^2)</f>
        <v>29.86854533</v>
      </c>
      <c r="BC1036" s="331">
        <f>SQRT(($R1036-Infrastructure!J$10)^2+($S1036-Infrastructure!K$10)^2)</f>
        <v>29.58546941</v>
      </c>
      <c r="BD1036" s="331">
        <f>SQRT(($R1036-Infrastructure!J$11)^2+($S1036-Infrastructure!K$11)^2)</f>
        <v>34.61011413</v>
      </c>
      <c r="BE1036" s="333">
        <f>SQRT(($R1036-Infrastructure!J$12)^2+($S1036-Infrastructure!K$12)^2)</f>
        <v>45.8889965</v>
      </c>
      <c r="BF1036" s="330">
        <f t="shared" si="14"/>
        <v>10.61696755</v>
      </c>
      <c r="BG1036" s="333">
        <f t="shared" si="15"/>
        <v>45.8889965</v>
      </c>
      <c r="BH1036" s="902">
        <v>36617.0</v>
      </c>
      <c r="BI1036" s="462" t="s">
        <v>846</v>
      </c>
      <c r="BJ1036" s="319" t="s">
        <v>846</v>
      </c>
      <c r="BK1036" s="319" t="s">
        <v>845</v>
      </c>
      <c r="BL1036" s="319" t="s">
        <v>846</v>
      </c>
      <c r="BM1036" s="319" t="s">
        <v>845</v>
      </c>
      <c r="BN1036" s="319" t="s">
        <v>845</v>
      </c>
      <c r="BO1036" s="319" t="s">
        <v>845</v>
      </c>
      <c r="BP1036" s="319" t="s">
        <v>846</v>
      </c>
      <c r="BQ1036" s="319" t="s">
        <v>846</v>
      </c>
      <c r="BR1036" s="324" t="s">
        <v>845</v>
      </c>
      <c r="BS1036" s="330">
        <f t="shared" si="78"/>
        <v>10.61696755</v>
      </c>
      <c r="BT1036" s="331">
        <f t="shared" si="79"/>
        <v>34.61011413</v>
      </c>
      <c r="BU1036" s="915">
        <v>0.4950462962962963</v>
      </c>
      <c r="BV1036" s="903">
        <f t="shared" si="80"/>
        <v>0.00002314814815</v>
      </c>
      <c r="BW1036" s="921">
        <v>16.5142857142857</v>
      </c>
      <c r="BX1036" s="923">
        <v>12.2142857142857</v>
      </c>
      <c r="BY1036" s="331">
        <f t="shared" ref="BY1036:BY1037" si="81">IF(BW1036&gt;0, SQRT((R1036-BW1036)^2+(S1036-BX1036)^2))</f>
        <v>5.960978553</v>
      </c>
      <c r="BZ1036" s="340"/>
      <c r="CA1036" s="316"/>
      <c r="CB1036" s="318"/>
      <c r="CC1036" s="318"/>
      <c r="CD1036" s="318"/>
      <c r="CE1036" s="318"/>
      <c r="CF1036" s="318"/>
      <c r="CG1036" s="318"/>
      <c r="CH1036" s="318"/>
      <c r="CI1036" s="318"/>
      <c r="CJ1036" s="463"/>
      <c r="CK1036" s="342">
        <f t="shared" si="18"/>
        <v>0</v>
      </c>
      <c r="CL1036" s="333">
        <f t="shared" si="19"/>
        <v>0</v>
      </c>
      <c r="CM1036" s="829"/>
      <c r="CN1036" s="333"/>
      <c r="CO1036" s="333"/>
      <c r="CP1036" s="333"/>
    </row>
    <row r="1037">
      <c r="B1037" s="462" t="s">
        <v>1711</v>
      </c>
      <c r="C1037" s="914">
        <v>44459.0</v>
      </c>
      <c r="D1037" s="318"/>
      <c r="E1037" s="319">
        <v>1.3</v>
      </c>
      <c r="F1037" s="324" t="s">
        <v>1714</v>
      </c>
      <c r="G1037" s="321">
        <v>0.5027777777777778</v>
      </c>
      <c r="H1037" s="323">
        <v>0.5034722222222222</v>
      </c>
      <c r="I1037" s="323"/>
      <c r="J1037" s="323"/>
      <c r="K1037" s="323">
        <v>0.5071180555555556</v>
      </c>
      <c r="L1037" s="323">
        <v>0.0036458333333333334</v>
      </c>
      <c r="M1037" s="319" t="s">
        <v>166</v>
      </c>
      <c r="N1037" s="324" t="s">
        <v>187</v>
      </c>
      <c r="O1037" s="419" t="s">
        <v>198</v>
      </c>
      <c r="P1037" s="319" t="s">
        <v>213</v>
      </c>
      <c r="Q1037" s="318"/>
      <c r="R1037" s="326">
        <v>10.7</v>
      </c>
      <c r="S1037" s="319">
        <v>10.9</v>
      </c>
      <c r="T1037" s="324">
        <v>3.0</v>
      </c>
      <c r="U1037" s="319">
        <v>7.0</v>
      </c>
      <c r="V1037" s="319"/>
      <c r="W1037" s="319"/>
      <c r="X1037" s="319"/>
      <c r="Y1037" s="319"/>
      <c r="Z1037" s="319" t="s">
        <v>343</v>
      </c>
      <c r="AA1037" s="319"/>
      <c r="AB1037" s="319" t="s">
        <v>384</v>
      </c>
      <c r="AC1037" s="327">
        <v>6.0</v>
      </c>
      <c r="AD1037" s="319"/>
      <c r="AE1037" s="319"/>
      <c r="AF1037" s="319"/>
      <c r="AG1037" s="319"/>
      <c r="AH1037" s="319"/>
      <c r="AI1037" s="319"/>
      <c r="AJ1037" s="327"/>
      <c r="AK1037" s="328"/>
      <c r="AL1037" s="319"/>
      <c r="AM1037" s="319"/>
      <c r="AN1037" s="319"/>
      <c r="AO1037" s="319"/>
      <c r="AP1037" s="319"/>
      <c r="AQ1037" s="319"/>
      <c r="AR1037" s="319"/>
      <c r="AS1037" s="327"/>
      <c r="AT1037" s="461" t="s">
        <v>182</v>
      </c>
      <c r="AU1037" s="324" t="s">
        <v>845</v>
      </c>
      <c r="AV1037" s="330">
        <f>SQRT(($R1037-Infrastructure!J$3)^2+($S1037-Infrastructure!K$3)^2)</f>
        <v>21.09502311</v>
      </c>
      <c r="AW1037" s="331">
        <f>SQRT(($R1037-Infrastructure!J$4)^2+($S1037-Infrastructure!K$4)^2)</f>
        <v>12.98499134</v>
      </c>
      <c r="AX1037" s="331">
        <f>SQRT(($R1037-Infrastructure!J$5)^2+($S1037-Infrastructure!K$5)^2)</f>
        <v>12.43543325</v>
      </c>
      <c r="AY1037" s="331">
        <f>SQRT(($R1037-Infrastructure!J$6)^2+($S1037-Infrastructure!K$6)^2)</f>
        <v>10.61696755</v>
      </c>
      <c r="AZ1037" s="331">
        <f>SQRT(($R1037-Infrastructure!J$7)^2+($S1037-Infrastructure!K$7)^2)</f>
        <v>14.43606595</v>
      </c>
      <c r="BA1037" s="331">
        <f>SQRT(($R1037-Infrastructure!J$8)^2+($S1037-Infrastructure!K$8)^2)</f>
        <v>22.10701246</v>
      </c>
      <c r="BB1037" s="331">
        <f>SQRT(($R1037-Infrastructure!J$9)^2+($S1037-Infrastructure!K$9)^2)</f>
        <v>29.86854533</v>
      </c>
      <c r="BC1037" s="331">
        <f>SQRT(($R1037-Infrastructure!J$10)^2+($S1037-Infrastructure!K$10)^2)</f>
        <v>29.58546941</v>
      </c>
      <c r="BD1037" s="331">
        <f>SQRT(($R1037-Infrastructure!J$11)^2+($S1037-Infrastructure!K$11)^2)</f>
        <v>34.61011413</v>
      </c>
      <c r="BE1037" s="333">
        <f>SQRT(($R1037-Infrastructure!J$12)^2+($S1037-Infrastructure!K$12)^2)</f>
        <v>45.8889965</v>
      </c>
      <c r="BF1037" s="330">
        <f t="shared" si="14"/>
        <v>10.61696755</v>
      </c>
      <c r="BG1037" s="333">
        <f t="shared" si="15"/>
        <v>45.8889965</v>
      </c>
      <c r="BH1037" s="902">
        <v>36617.0</v>
      </c>
      <c r="BI1037" s="462" t="s">
        <v>846</v>
      </c>
      <c r="BJ1037" s="319" t="s">
        <v>846</v>
      </c>
      <c r="BK1037" s="319" t="s">
        <v>845</v>
      </c>
      <c r="BL1037" s="319" t="s">
        <v>846</v>
      </c>
      <c r="BM1037" s="319" t="s">
        <v>845</v>
      </c>
      <c r="BN1037" s="319" t="s">
        <v>846</v>
      </c>
      <c r="BO1037" s="319" t="s">
        <v>846</v>
      </c>
      <c r="BP1037" s="319" t="s">
        <v>846</v>
      </c>
      <c r="BQ1037" s="319" t="s">
        <v>846</v>
      </c>
      <c r="BR1037" s="324" t="s">
        <v>846</v>
      </c>
      <c r="BS1037" s="330">
        <f t="shared" si="78"/>
        <v>10.61696755</v>
      </c>
      <c r="BT1037" s="331">
        <f t="shared" si="79"/>
        <v>45.8889965</v>
      </c>
      <c r="BU1037" s="915">
        <v>0.5028125</v>
      </c>
      <c r="BV1037" s="903">
        <f t="shared" si="80"/>
        <v>0.00003472222222</v>
      </c>
      <c r="BW1037" s="921">
        <v>17.2118644067796</v>
      </c>
      <c r="BX1037" s="923">
        <v>12.0372881355932</v>
      </c>
      <c r="BY1037" s="331">
        <f t="shared" si="81"/>
        <v>6.610431329</v>
      </c>
      <c r="BZ1037" s="340"/>
      <c r="CA1037" s="316"/>
      <c r="CB1037" s="318"/>
      <c r="CC1037" s="318"/>
      <c r="CD1037" s="318"/>
      <c r="CE1037" s="318"/>
      <c r="CF1037" s="318"/>
      <c r="CG1037" s="318"/>
      <c r="CH1037" s="318"/>
      <c r="CI1037" s="318"/>
      <c r="CJ1037" s="463"/>
      <c r="CK1037" s="342">
        <f t="shared" si="18"/>
        <v>0</v>
      </c>
      <c r="CL1037" s="333">
        <f t="shared" si="19"/>
        <v>0</v>
      </c>
      <c r="CM1037" s="829"/>
      <c r="CN1037" s="333"/>
      <c r="CO1037" s="333"/>
      <c r="CP1037" s="333"/>
    </row>
    <row r="1038">
      <c r="B1038" s="462" t="s">
        <v>1711</v>
      </c>
      <c r="C1038" s="914">
        <v>44459.0</v>
      </c>
      <c r="D1038" s="318"/>
      <c r="E1038" s="319">
        <v>2.1</v>
      </c>
      <c r="F1038" s="324" t="s">
        <v>1715</v>
      </c>
      <c r="G1038" s="321">
        <v>0.5107638888888889</v>
      </c>
      <c r="H1038" s="323">
        <v>0.5111111111111111</v>
      </c>
      <c r="I1038" s="323"/>
      <c r="J1038" s="323"/>
      <c r="K1038" s="323">
        <v>0.5179398148148148</v>
      </c>
      <c r="L1038" s="323">
        <v>0.006828703703703704</v>
      </c>
      <c r="M1038" s="319" t="s">
        <v>166</v>
      </c>
      <c r="N1038" s="324" t="s">
        <v>187</v>
      </c>
      <c r="O1038" s="419" t="s">
        <v>204</v>
      </c>
      <c r="P1038" s="319" t="s">
        <v>260</v>
      </c>
      <c r="Q1038" s="318"/>
      <c r="R1038" s="326">
        <v>18.6</v>
      </c>
      <c r="S1038" s="319">
        <v>4.4</v>
      </c>
      <c r="T1038" s="324">
        <v>2.5</v>
      </c>
      <c r="U1038" s="319">
        <v>0.3</v>
      </c>
      <c r="V1038" s="319"/>
      <c r="W1038" s="319"/>
      <c r="X1038" s="319"/>
      <c r="Y1038" s="319"/>
      <c r="Z1038" s="319" t="s">
        <v>365</v>
      </c>
      <c r="AA1038" s="319"/>
      <c r="AB1038" s="319" t="s">
        <v>380</v>
      </c>
      <c r="AC1038" s="327">
        <v>4.0</v>
      </c>
      <c r="AD1038" s="319"/>
      <c r="AE1038" s="319"/>
      <c r="AF1038" s="319"/>
      <c r="AG1038" s="319"/>
      <c r="AH1038" s="319"/>
      <c r="AI1038" s="319"/>
      <c r="AJ1038" s="327"/>
      <c r="AK1038" s="328"/>
      <c r="AL1038" s="319"/>
      <c r="AM1038" s="319"/>
      <c r="AN1038" s="319"/>
      <c r="AO1038" s="319"/>
      <c r="AP1038" s="319"/>
      <c r="AQ1038" s="319"/>
      <c r="AR1038" s="319"/>
      <c r="AS1038" s="327"/>
      <c r="AT1038" s="461" t="s">
        <v>181</v>
      </c>
      <c r="AU1038" s="324" t="s">
        <v>845</v>
      </c>
      <c r="AV1038" s="330">
        <f>SQRT(($R1038-Infrastructure!J$3)^2+($S1038-Infrastructure!K$3)^2)</f>
        <v>30.94285055</v>
      </c>
      <c r="AW1038" s="331">
        <f>SQRT(($R1038-Infrastructure!J$4)^2+($S1038-Infrastructure!K$4)^2)</f>
        <v>23.1682973</v>
      </c>
      <c r="AX1038" s="331">
        <f>SQRT(($R1038-Infrastructure!J$5)^2+($S1038-Infrastructure!K$5)^2)</f>
        <v>18.91295852</v>
      </c>
      <c r="AY1038" s="331">
        <f>SQRT(($R1038-Infrastructure!J$6)^2+($S1038-Infrastructure!K$6)^2)</f>
        <v>9.43716059</v>
      </c>
      <c r="AZ1038" s="331">
        <f>SQRT(($R1038-Infrastructure!J$7)^2+($S1038-Infrastructure!K$7)^2)</f>
        <v>4.518849411</v>
      </c>
      <c r="BA1038" s="331">
        <f>SQRT(($R1038-Infrastructure!J$8)^2+($S1038-Infrastructure!K$8)^2)</f>
        <v>12.20901306</v>
      </c>
      <c r="BB1038" s="331">
        <f>SQRT(($R1038-Infrastructure!J$9)^2+($S1038-Infrastructure!K$9)^2)</f>
        <v>21.41144554</v>
      </c>
      <c r="BC1038" s="331">
        <f>SQRT(($R1038-Infrastructure!J$10)^2+($S1038-Infrastructure!K$10)^2)</f>
        <v>23.88137349</v>
      </c>
      <c r="BD1038" s="331">
        <f>SQRT(($R1038-Infrastructure!J$11)^2+($S1038-Infrastructure!K$11)^2)</f>
        <v>32.73713488</v>
      </c>
      <c r="BE1038" s="333">
        <f>SQRT(($R1038-Infrastructure!J$12)^2+($S1038-Infrastructure!K$12)^2)</f>
        <v>51.18222348</v>
      </c>
      <c r="BF1038" s="330">
        <f t="shared" si="14"/>
        <v>4.518849411</v>
      </c>
      <c r="BG1038" s="333">
        <f t="shared" si="15"/>
        <v>51.18222348</v>
      </c>
      <c r="BH1038" s="902">
        <v>36617.0</v>
      </c>
      <c r="BI1038" s="462" t="s">
        <v>846</v>
      </c>
      <c r="BJ1038" s="319" t="s">
        <v>845</v>
      </c>
      <c r="BK1038" s="319" t="s">
        <v>845</v>
      </c>
      <c r="BL1038" s="319" t="s">
        <v>845</v>
      </c>
      <c r="BM1038" s="319" t="s">
        <v>845</v>
      </c>
      <c r="BN1038" s="319" t="s">
        <v>845</v>
      </c>
      <c r="BO1038" s="319" t="s">
        <v>845</v>
      </c>
      <c r="BP1038" s="319" t="s">
        <v>845</v>
      </c>
      <c r="BQ1038" s="319" t="s">
        <v>846</v>
      </c>
      <c r="BR1038" s="324" t="s">
        <v>845</v>
      </c>
      <c r="BS1038" s="330">
        <f t="shared" si="78"/>
        <v>30.94285055</v>
      </c>
      <c r="BT1038" s="331">
        <f t="shared" si="79"/>
        <v>32.73713488</v>
      </c>
      <c r="BU1038" s="915">
        <v>0.5107986111111111</v>
      </c>
      <c r="BV1038" s="903">
        <f t="shared" si="80"/>
        <v>0.00003472222222</v>
      </c>
      <c r="BW1038" s="907"/>
      <c r="BX1038" s="908"/>
      <c r="BY1038" s="331"/>
      <c r="BZ1038" s="340"/>
      <c r="CA1038" s="316"/>
      <c r="CB1038" s="318"/>
      <c r="CC1038" s="318"/>
      <c r="CD1038" s="318"/>
      <c r="CE1038" s="318"/>
      <c r="CF1038" s="318"/>
      <c r="CG1038" s="318"/>
      <c r="CH1038" s="318"/>
      <c r="CI1038" s="318"/>
      <c r="CJ1038" s="463"/>
      <c r="CK1038" s="342">
        <f t="shared" si="18"/>
        <v>0</v>
      </c>
      <c r="CL1038" s="333">
        <f t="shared" si="19"/>
        <v>0</v>
      </c>
      <c r="CM1038" s="829"/>
      <c r="CN1038" s="333"/>
      <c r="CO1038" s="333"/>
      <c r="CP1038" s="333"/>
    </row>
    <row r="1039">
      <c r="B1039" s="462" t="s">
        <v>1711</v>
      </c>
      <c r="C1039" s="914">
        <v>44459.0</v>
      </c>
      <c r="D1039" s="318"/>
      <c r="E1039" s="319">
        <v>2.2</v>
      </c>
      <c r="F1039" s="324" t="s">
        <v>1716</v>
      </c>
      <c r="G1039" s="321">
        <v>0.5179398148148148</v>
      </c>
      <c r="H1039" s="323">
        <v>0.5185763888888889</v>
      </c>
      <c r="I1039" s="323"/>
      <c r="J1039" s="323"/>
      <c r="K1039" s="323">
        <v>0.5211805555555555</v>
      </c>
      <c r="L1039" s="323">
        <v>0.0026041666666666665</v>
      </c>
      <c r="M1039" s="319" t="s">
        <v>166</v>
      </c>
      <c r="N1039" s="324" t="s">
        <v>187</v>
      </c>
      <c r="O1039" s="419" t="s">
        <v>204</v>
      </c>
      <c r="P1039" s="319" t="s">
        <v>260</v>
      </c>
      <c r="Q1039" s="318"/>
      <c r="R1039" s="326">
        <v>18.6</v>
      </c>
      <c r="S1039" s="319">
        <v>4.4</v>
      </c>
      <c r="T1039" s="324">
        <v>2.5</v>
      </c>
      <c r="U1039" s="319">
        <v>1.0</v>
      </c>
      <c r="V1039" s="319"/>
      <c r="W1039" s="319"/>
      <c r="X1039" s="319"/>
      <c r="Y1039" s="319"/>
      <c r="Z1039" s="319" t="s">
        <v>365</v>
      </c>
      <c r="AA1039" s="319"/>
      <c r="AB1039" s="319" t="s">
        <v>380</v>
      </c>
      <c r="AC1039" s="327">
        <v>4.0</v>
      </c>
      <c r="AD1039" s="319"/>
      <c r="AE1039" s="319"/>
      <c r="AF1039" s="319"/>
      <c r="AG1039" s="319"/>
      <c r="AH1039" s="319"/>
      <c r="AI1039" s="319"/>
      <c r="AJ1039" s="327"/>
      <c r="AK1039" s="328"/>
      <c r="AL1039" s="319"/>
      <c r="AM1039" s="319"/>
      <c r="AN1039" s="319"/>
      <c r="AO1039" s="319"/>
      <c r="AP1039" s="319"/>
      <c r="AQ1039" s="319"/>
      <c r="AR1039" s="319"/>
      <c r="AS1039" s="327"/>
      <c r="AT1039" s="461" t="s">
        <v>182</v>
      </c>
      <c r="AU1039" s="324" t="s">
        <v>845</v>
      </c>
      <c r="AV1039" s="330">
        <f>SQRT(($R1039-Infrastructure!J$3)^2+($S1039-Infrastructure!K$3)^2)</f>
        <v>30.94285055</v>
      </c>
      <c r="AW1039" s="331">
        <f>SQRT(($R1039-Infrastructure!J$4)^2+($S1039-Infrastructure!K$4)^2)</f>
        <v>23.1682973</v>
      </c>
      <c r="AX1039" s="331">
        <f>SQRT(($R1039-Infrastructure!J$5)^2+($S1039-Infrastructure!K$5)^2)</f>
        <v>18.91295852</v>
      </c>
      <c r="AY1039" s="331">
        <f>SQRT(($R1039-Infrastructure!J$6)^2+($S1039-Infrastructure!K$6)^2)</f>
        <v>9.43716059</v>
      </c>
      <c r="AZ1039" s="331">
        <f>SQRT(($R1039-Infrastructure!J$7)^2+($S1039-Infrastructure!K$7)^2)</f>
        <v>4.518849411</v>
      </c>
      <c r="BA1039" s="331">
        <f>SQRT(($R1039-Infrastructure!J$8)^2+($S1039-Infrastructure!K$8)^2)</f>
        <v>12.20901306</v>
      </c>
      <c r="BB1039" s="331">
        <f>SQRT(($R1039-Infrastructure!J$9)^2+($S1039-Infrastructure!K$9)^2)</f>
        <v>21.41144554</v>
      </c>
      <c r="BC1039" s="331">
        <f>SQRT(($R1039-Infrastructure!J$10)^2+($S1039-Infrastructure!K$10)^2)</f>
        <v>23.88137349</v>
      </c>
      <c r="BD1039" s="331">
        <f>SQRT(($R1039-Infrastructure!J$11)^2+($S1039-Infrastructure!K$11)^2)</f>
        <v>32.73713488</v>
      </c>
      <c r="BE1039" s="333">
        <f>SQRT(($R1039-Infrastructure!J$12)^2+($S1039-Infrastructure!K$12)^2)</f>
        <v>51.18222348</v>
      </c>
      <c r="BF1039" s="330">
        <f t="shared" si="14"/>
        <v>4.518849411</v>
      </c>
      <c r="BG1039" s="333">
        <f t="shared" si="15"/>
        <v>51.18222348</v>
      </c>
      <c r="BH1039" s="902">
        <v>36617.0</v>
      </c>
      <c r="BI1039" s="462" t="s">
        <v>846</v>
      </c>
      <c r="BJ1039" s="319" t="s">
        <v>845</v>
      </c>
      <c r="BK1039" s="319" t="s">
        <v>846</v>
      </c>
      <c r="BL1039" s="319" t="s">
        <v>845</v>
      </c>
      <c r="BM1039" s="319" t="s">
        <v>845</v>
      </c>
      <c r="BN1039" s="319" t="s">
        <v>845</v>
      </c>
      <c r="BO1039" s="319" t="s">
        <v>845</v>
      </c>
      <c r="BP1039" s="319" t="s">
        <v>845</v>
      </c>
      <c r="BQ1039" s="319" t="s">
        <v>846</v>
      </c>
      <c r="BR1039" s="324" t="s">
        <v>846</v>
      </c>
      <c r="BS1039" s="330">
        <f t="shared" si="78"/>
        <v>18.91295852</v>
      </c>
      <c r="BT1039" s="331">
        <f t="shared" si="79"/>
        <v>51.18222348</v>
      </c>
      <c r="BU1039" s="915">
        <v>0.5179513888888889</v>
      </c>
      <c r="BV1039" s="903">
        <f t="shared" si="80"/>
        <v>0.00001157407407</v>
      </c>
      <c r="BW1039" s="921">
        <v>15.58</v>
      </c>
      <c r="BX1039" s="923">
        <v>16.24</v>
      </c>
      <c r="BY1039" s="331">
        <f t="shared" ref="BY1039:BY1041" si="82">IF(BW1039&gt;0, SQRT((R1039-BW1039)^2+(S1039-BX1039)^2))</f>
        <v>12.21908344</v>
      </c>
      <c r="BZ1039" s="340"/>
      <c r="CA1039" s="316"/>
      <c r="CB1039" s="318"/>
      <c r="CC1039" s="318"/>
      <c r="CD1039" s="318"/>
      <c r="CE1039" s="318"/>
      <c r="CF1039" s="318"/>
      <c r="CG1039" s="318"/>
      <c r="CH1039" s="318"/>
      <c r="CI1039" s="318"/>
      <c r="CJ1039" s="463"/>
      <c r="CK1039" s="342">
        <f t="shared" si="18"/>
        <v>0</v>
      </c>
      <c r="CL1039" s="333">
        <f t="shared" si="19"/>
        <v>0</v>
      </c>
      <c r="CM1039" s="829"/>
      <c r="CN1039" s="333"/>
      <c r="CO1039" s="333"/>
      <c r="CP1039" s="333"/>
    </row>
    <row r="1040">
      <c r="B1040" s="462" t="s">
        <v>1711</v>
      </c>
      <c r="C1040" s="914">
        <v>44459.0</v>
      </c>
      <c r="D1040" s="318"/>
      <c r="E1040" s="319">
        <v>2.3</v>
      </c>
      <c r="F1040" s="324" t="s">
        <v>1717</v>
      </c>
      <c r="G1040" s="321">
        <v>0.5211805555555555</v>
      </c>
      <c r="H1040" s="323">
        <v>0.521875</v>
      </c>
      <c r="I1040" s="323"/>
      <c r="J1040" s="323"/>
      <c r="K1040" s="323">
        <v>0.5243055555555556</v>
      </c>
      <c r="L1040" s="323">
        <v>0.0024305555555555556</v>
      </c>
      <c r="M1040" s="319" t="s">
        <v>166</v>
      </c>
      <c r="N1040" s="324" t="s">
        <v>187</v>
      </c>
      <c r="O1040" s="419" t="s">
        <v>204</v>
      </c>
      <c r="P1040" s="319" t="s">
        <v>260</v>
      </c>
      <c r="Q1040" s="318"/>
      <c r="R1040" s="326">
        <v>18.6</v>
      </c>
      <c r="S1040" s="319">
        <v>4.4</v>
      </c>
      <c r="T1040" s="324">
        <v>2.5</v>
      </c>
      <c r="U1040" s="319">
        <v>2.0</v>
      </c>
      <c r="V1040" s="319"/>
      <c r="W1040" s="319"/>
      <c r="X1040" s="319"/>
      <c r="Y1040" s="319"/>
      <c r="Z1040" s="319" t="s">
        <v>365</v>
      </c>
      <c r="AA1040" s="319"/>
      <c r="AB1040" s="319" t="s">
        <v>380</v>
      </c>
      <c r="AC1040" s="327">
        <v>4.0</v>
      </c>
      <c r="AD1040" s="319"/>
      <c r="AE1040" s="319"/>
      <c r="AF1040" s="319"/>
      <c r="AG1040" s="319"/>
      <c r="AH1040" s="319"/>
      <c r="AI1040" s="319"/>
      <c r="AJ1040" s="327"/>
      <c r="AK1040" s="328"/>
      <c r="AL1040" s="319"/>
      <c r="AM1040" s="319"/>
      <c r="AN1040" s="319"/>
      <c r="AO1040" s="319"/>
      <c r="AP1040" s="319"/>
      <c r="AQ1040" s="319"/>
      <c r="AR1040" s="319"/>
      <c r="AS1040" s="327"/>
      <c r="AT1040" s="461" t="s">
        <v>182</v>
      </c>
      <c r="AU1040" s="324" t="s">
        <v>845</v>
      </c>
      <c r="AV1040" s="330">
        <f>SQRT(($R1040-Infrastructure!J$3)^2+($S1040-Infrastructure!K$3)^2)</f>
        <v>30.94285055</v>
      </c>
      <c r="AW1040" s="331">
        <f>SQRT(($R1040-Infrastructure!J$4)^2+($S1040-Infrastructure!K$4)^2)</f>
        <v>23.1682973</v>
      </c>
      <c r="AX1040" s="331">
        <f>SQRT(($R1040-Infrastructure!J$5)^2+($S1040-Infrastructure!K$5)^2)</f>
        <v>18.91295852</v>
      </c>
      <c r="AY1040" s="331">
        <f>SQRT(($R1040-Infrastructure!J$6)^2+($S1040-Infrastructure!K$6)^2)</f>
        <v>9.43716059</v>
      </c>
      <c r="AZ1040" s="331">
        <f>SQRT(($R1040-Infrastructure!J$7)^2+($S1040-Infrastructure!K$7)^2)</f>
        <v>4.518849411</v>
      </c>
      <c r="BA1040" s="331">
        <f>SQRT(($R1040-Infrastructure!J$8)^2+($S1040-Infrastructure!K$8)^2)</f>
        <v>12.20901306</v>
      </c>
      <c r="BB1040" s="331">
        <f>SQRT(($R1040-Infrastructure!J$9)^2+($S1040-Infrastructure!K$9)^2)</f>
        <v>21.41144554</v>
      </c>
      <c r="BC1040" s="331">
        <f>SQRT(($R1040-Infrastructure!J$10)^2+($S1040-Infrastructure!K$10)^2)</f>
        <v>23.88137349</v>
      </c>
      <c r="BD1040" s="331">
        <f>SQRT(($R1040-Infrastructure!J$11)^2+($S1040-Infrastructure!K$11)^2)</f>
        <v>32.73713488</v>
      </c>
      <c r="BE1040" s="333">
        <f>SQRT(($R1040-Infrastructure!J$12)^2+($S1040-Infrastructure!K$12)^2)</f>
        <v>51.18222348</v>
      </c>
      <c r="BF1040" s="330">
        <f t="shared" si="14"/>
        <v>4.518849411</v>
      </c>
      <c r="BG1040" s="333">
        <f t="shared" si="15"/>
        <v>51.18222348</v>
      </c>
      <c r="BH1040" s="902">
        <v>36617.0</v>
      </c>
      <c r="BI1040" s="462" t="s">
        <v>846</v>
      </c>
      <c r="BJ1040" s="319" t="s">
        <v>846</v>
      </c>
      <c r="BK1040" s="319" t="s">
        <v>846</v>
      </c>
      <c r="BL1040" s="319" t="s">
        <v>846</v>
      </c>
      <c r="BM1040" s="319" t="s">
        <v>845</v>
      </c>
      <c r="BN1040" s="319" t="s">
        <v>846</v>
      </c>
      <c r="BO1040" s="319" t="s">
        <v>846</v>
      </c>
      <c r="BP1040" s="319" t="s">
        <v>845</v>
      </c>
      <c r="BQ1040" s="319" t="s">
        <v>846</v>
      </c>
      <c r="BR1040" s="324" t="s">
        <v>845</v>
      </c>
      <c r="BS1040" s="330">
        <f t="shared" si="78"/>
        <v>9.43716059</v>
      </c>
      <c r="BT1040" s="331">
        <f t="shared" si="79"/>
        <v>32.73713488</v>
      </c>
      <c r="BU1040" s="915">
        <v>0.5211921296296296</v>
      </c>
      <c r="BV1040" s="903">
        <f t="shared" si="80"/>
        <v>0.00001157407407</v>
      </c>
      <c r="BW1040" s="921">
        <v>17.1545454545454</v>
      </c>
      <c r="BX1040" s="923">
        <v>5.92727272727272</v>
      </c>
      <c r="BY1040" s="331">
        <f t="shared" si="82"/>
        <v>2.102831621</v>
      </c>
      <c r="BZ1040" s="340"/>
      <c r="CA1040" s="316"/>
      <c r="CB1040" s="318"/>
      <c r="CC1040" s="318"/>
      <c r="CD1040" s="318"/>
      <c r="CE1040" s="318"/>
      <c r="CF1040" s="318"/>
      <c r="CG1040" s="318"/>
      <c r="CH1040" s="318"/>
      <c r="CI1040" s="318"/>
      <c r="CJ1040" s="463"/>
      <c r="CK1040" s="342">
        <f t="shared" si="18"/>
        <v>0</v>
      </c>
      <c r="CL1040" s="333">
        <f t="shared" si="19"/>
        <v>0</v>
      </c>
      <c r="CM1040" s="829"/>
      <c r="CN1040" s="333"/>
      <c r="CO1040" s="333"/>
      <c r="CP1040" s="333"/>
    </row>
    <row r="1041">
      <c r="B1041" s="462" t="s">
        <v>1711</v>
      </c>
      <c r="C1041" s="914">
        <v>44459.0</v>
      </c>
      <c r="D1041" s="318"/>
      <c r="E1041" s="319">
        <v>3.0</v>
      </c>
      <c r="F1041" s="324" t="s">
        <v>1718</v>
      </c>
      <c r="G1041" s="321">
        <v>0.5837962962962963</v>
      </c>
      <c r="H1041" s="323">
        <v>0.5840277777777778</v>
      </c>
      <c r="I1041" s="323"/>
      <c r="J1041" s="323"/>
      <c r="K1041" s="323">
        <v>0.5901041666666667</v>
      </c>
      <c r="L1041" s="323">
        <v>0.006076388888888889</v>
      </c>
      <c r="M1041" s="319" t="s">
        <v>166</v>
      </c>
      <c r="N1041" s="324" t="s">
        <v>187</v>
      </c>
      <c r="O1041" s="419" t="s">
        <v>202</v>
      </c>
      <c r="P1041" s="319" t="s">
        <v>212</v>
      </c>
      <c r="Q1041" s="318"/>
      <c r="R1041" s="326">
        <v>24.4</v>
      </c>
      <c r="S1041" s="319">
        <v>7.5</v>
      </c>
      <c r="T1041" s="324">
        <v>0.6</v>
      </c>
      <c r="U1041" s="319">
        <v>1.0</v>
      </c>
      <c r="V1041" s="319"/>
      <c r="W1041" s="319"/>
      <c r="X1041" s="319"/>
      <c r="Y1041" s="319"/>
      <c r="Z1041" s="319" t="s">
        <v>339</v>
      </c>
      <c r="AA1041" s="319"/>
      <c r="AB1041" s="319" t="s">
        <v>341</v>
      </c>
      <c r="AC1041" s="327">
        <v>3.0</v>
      </c>
      <c r="AD1041" s="319"/>
      <c r="AE1041" s="319"/>
      <c r="AF1041" s="319"/>
      <c r="AG1041" s="319"/>
      <c r="AH1041" s="319"/>
      <c r="AI1041" s="319"/>
      <c r="AJ1041" s="327"/>
      <c r="AK1041" s="328"/>
      <c r="AL1041" s="319"/>
      <c r="AM1041" s="319"/>
      <c r="AN1041" s="319"/>
      <c r="AO1041" s="319"/>
      <c r="AP1041" s="319"/>
      <c r="AQ1041" s="319"/>
      <c r="AR1041" s="319"/>
      <c r="AS1041" s="327"/>
      <c r="AT1041" s="461" t="s">
        <v>182</v>
      </c>
      <c r="AU1041" s="324" t="s">
        <v>845</v>
      </c>
      <c r="AV1041" s="330">
        <f>SQRT(($R1041-Infrastructure!J$3)^2+($S1041-Infrastructure!K$3)^2)</f>
        <v>32.68103426</v>
      </c>
      <c r="AW1041" s="331">
        <f>SQRT(($R1041-Infrastructure!J$4)^2+($S1041-Infrastructure!K$4)^2)</f>
        <v>26.76153957</v>
      </c>
      <c r="AX1041" s="331">
        <f>SQRT(($R1041-Infrastructure!J$5)^2+($S1041-Infrastructure!K$5)^2)</f>
        <v>24.81632527</v>
      </c>
      <c r="AY1041" s="331">
        <f>SQRT(($R1041-Infrastructure!J$6)^2+($S1041-Infrastructure!K$6)^2)</f>
        <v>16.01030918</v>
      </c>
      <c r="AZ1041" s="331">
        <f>SQRT(($R1041-Infrastructure!J$7)^2+($S1041-Infrastructure!K$7)^2)</f>
        <v>8.188406438</v>
      </c>
      <c r="BA1041" s="331">
        <f>SQRT(($R1041-Infrastructure!J$8)^2+($S1041-Infrastructure!K$8)^2)</f>
        <v>9.183136719</v>
      </c>
      <c r="BB1041" s="331">
        <f>SQRT(($R1041-Infrastructure!J$9)^2+($S1041-Infrastructure!K$9)^2)</f>
        <v>15.78353573</v>
      </c>
      <c r="BC1041" s="331">
        <f>SQRT(($R1041-Infrastructure!J$10)^2+($S1041-Infrastructure!K$10)^2)</f>
        <v>17.30924608</v>
      </c>
      <c r="BD1041" s="331">
        <f>SQRT(($R1041-Infrastructure!J$11)^2+($S1041-Infrastructure!K$11)^2)</f>
        <v>26.68126684</v>
      </c>
      <c r="BE1041" s="333">
        <f>SQRT(($R1041-Infrastructure!J$12)^2+($S1041-Infrastructure!K$12)^2)</f>
        <v>48.08752437</v>
      </c>
      <c r="BF1041" s="330">
        <f t="shared" si="14"/>
        <v>8.188406438</v>
      </c>
      <c r="BG1041" s="333">
        <f t="shared" si="15"/>
        <v>48.08752437</v>
      </c>
      <c r="BH1041" s="902">
        <v>36617.0</v>
      </c>
      <c r="BI1041" s="462" t="s">
        <v>846</v>
      </c>
      <c r="BJ1041" s="319" t="s">
        <v>845</v>
      </c>
      <c r="BK1041" s="319" t="s">
        <v>845</v>
      </c>
      <c r="BL1041" s="319" t="s">
        <v>846</v>
      </c>
      <c r="BM1041" s="319" t="s">
        <v>845</v>
      </c>
      <c r="BN1041" s="319" t="s">
        <v>845</v>
      </c>
      <c r="BO1041" s="319" t="s">
        <v>845</v>
      </c>
      <c r="BP1041" s="319" t="s">
        <v>846</v>
      </c>
      <c r="BQ1041" s="319" t="s">
        <v>845</v>
      </c>
      <c r="BR1041" s="324" t="s">
        <v>845</v>
      </c>
      <c r="BS1041" s="330">
        <f t="shared" si="78"/>
        <v>16.01030918</v>
      </c>
      <c r="BT1041" s="331">
        <f t="shared" si="79"/>
        <v>32.68103426</v>
      </c>
      <c r="BU1041" s="915">
        <v>0.5837962962962963</v>
      </c>
      <c r="BV1041" s="903">
        <f t="shared" si="80"/>
        <v>0</v>
      </c>
      <c r="BW1041" s="921">
        <v>25.2681818181818</v>
      </c>
      <c r="BX1041" s="923">
        <v>7.58181818181818</v>
      </c>
      <c r="BY1041" s="331">
        <f t="shared" si="82"/>
        <v>0.8720286029</v>
      </c>
      <c r="BZ1041" s="340"/>
      <c r="CA1041" s="316"/>
      <c r="CB1041" s="318"/>
      <c r="CC1041" s="318"/>
      <c r="CD1041" s="318"/>
      <c r="CE1041" s="318"/>
      <c r="CF1041" s="318"/>
      <c r="CG1041" s="318"/>
      <c r="CH1041" s="318"/>
      <c r="CI1041" s="318"/>
      <c r="CJ1041" s="463"/>
      <c r="CK1041" s="342">
        <f t="shared" si="18"/>
        <v>0</v>
      </c>
      <c r="CL1041" s="333">
        <f t="shared" si="19"/>
        <v>0</v>
      </c>
      <c r="CM1041" s="829"/>
      <c r="CN1041" s="333"/>
      <c r="CO1041" s="333"/>
      <c r="CP1041" s="333"/>
    </row>
    <row r="1042">
      <c r="B1042" s="462" t="s">
        <v>1711</v>
      </c>
      <c r="C1042" s="914">
        <v>44459.0</v>
      </c>
      <c r="D1042" s="318"/>
      <c r="E1042" s="319">
        <v>4.0</v>
      </c>
      <c r="F1042" s="324" t="s">
        <v>1719</v>
      </c>
      <c r="G1042" s="321">
        <v>0.5939814814814814</v>
      </c>
      <c r="H1042" s="323">
        <v>0.5944444444444444</v>
      </c>
      <c r="I1042" s="323"/>
      <c r="J1042" s="323"/>
      <c r="K1042" s="323">
        <v>0.6022569444444444</v>
      </c>
      <c r="L1042" s="323">
        <v>0.0078125</v>
      </c>
      <c r="M1042" s="319" t="s">
        <v>166</v>
      </c>
      <c r="N1042" s="324" t="s">
        <v>187</v>
      </c>
      <c r="O1042" s="419" t="s">
        <v>203</v>
      </c>
      <c r="P1042" s="319" t="s">
        <v>250</v>
      </c>
      <c r="Q1042" s="318"/>
      <c r="R1042" s="326">
        <v>15.1</v>
      </c>
      <c r="S1042" s="319">
        <v>2.4</v>
      </c>
      <c r="T1042" s="324">
        <v>1.2</v>
      </c>
      <c r="U1042" s="319">
        <v>0.1</v>
      </c>
      <c r="V1042" s="319"/>
      <c r="W1042" s="319"/>
      <c r="X1042" s="319"/>
      <c r="Y1042" s="319"/>
      <c r="Z1042" s="319" t="s">
        <v>335</v>
      </c>
      <c r="AA1042" s="319"/>
      <c r="AB1042" s="319" t="s">
        <v>371</v>
      </c>
      <c r="AC1042" s="327">
        <v>1.8</v>
      </c>
      <c r="AD1042" s="319"/>
      <c r="AE1042" s="319"/>
      <c r="AF1042" s="319"/>
      <c r="AG1042" s="319"/>
      <c r="AH1042" s="319"/>
      <c r="AI1042" s="319"/>
      <c r="AJ1042" s="327"/>
      <c r="AK1042" s="328"/>
      <c r="AL1042" s="319"/>
      <c r="AM1042" s="319"/>
      <c r="AN1042" s="319"/>
      <c r="AO1042" s="319"/>
      <c r="AP1042" s="319"/>
      <c r="AQ1042" s="319"/>
      <c r="AR1042" s="319"/>
      <c r="AS1042" s="327"/>
      <c r="AT1042" s="461" t="s">
        <v>181</v>
      </c>
      <c r="AU1042" s="324" t="s">
        <v>845</v>
      </c>
      <c r="AV1042" s="330">
        <f>SQRT(($R1042-Infrastructure!J$3)^2+($S1042-Infrastructure!K$3)^2)</f>
        <v>30.64979608</v>
      </c>
      <c r="AW1042" s="331">
        <f>SQRT(($R1042-Infrastructure!J$4)^2+($S1042-Infrastructure!K$4)^2)</f>
        <v>21.77888886</v>
      </c>
      <c r="AX1042" s="331">
        <f>SQRT(($R1042-Infrastructure!J$5)^2+($S1042-Infrastructure!K$5)^2)</f>
        <v>15.63489687</v>
      </c>
      <c r="AY1042" s="331">
        <f>SQRT(($R1042-Infrastructure!J$6)^2+($S1042-Infrastructure!K$6)^2)</f>
        <v>5.423098745</v>
      </c>
      <c r="AZ1042" s="331">
        <f>SQRT(($R1042-Infrastructure!J$7)^2+($S1042-Infrastructure!K$7)^2)</f>
        <v>5.793962375</v>
      </c>
      <c r="BA1042" s="331">
        <f>SQRT(($R1042-Infrastructure!J$8)^2+($S1042-Infrastructure!K$8)^2)</f>
        <v>15.14628667</v>
      </c>
      <c r="BB1042" s="331">
        <f>SQRT(($R1042-Infrastructure!J$9)^2+($S1042-Infrastructure!K$9)^2)</f>
        <v>25.04595776</v>
      </c>
      <c r="BC1042" s="331">
        <f>SQRT(($R1042-Infrastructure!J$10)^2+($S1042-Infrastructure!K$10)^2)</f>
        <v>27.90645087</v>
      </c>
      <c r="BD1042" s="331">
        <f>SQRT(($R1042-Infrastructure!J$11)^2+($S1042-Infrastructure!K$11)^2)</f>
        <v>36.5728041</v>
      </c>
      <c r="BE1042" s="333">
        <f>SQRT(($R1042-Infrastructure!J$12)^2+($S1042-Infrastructure!K$12)^2)</f>
        <v>53.48429676</v>
      </c>
      <c r="BF1042" s="330">
        <f t="shared" si="14"/>
        <v>5.423098745</v>
      </c>
      <c r="BG1042" s="333">
        <f t="shared" si="15"/>
        <v>53.48429676</v>
      </c>
      <c r="BH1042" s="902">
        <v>36617.0</v>
      </c>
      <c r="BI1042" s="462" t="s">
        <v>845</v>
      </c>
      <c r="BJ1042" s="319" t="s">
        <v>845</v>
      </c>
      <c r="BK1042" s="319" t="s">
        <v>845</v>
      </c>
      <c r="BL1042" s="319" t="s">
        <v>845</v>
      </c>
      <c r="BM1042" s="319" t="s">
        <v>845</v>
      </c>
      <c r="BN1042" s="319" t="s">
        <v>845</v>
      </c>
      <c r="BO1042" s="319" t="s">
        <v>845</v>
      </c>
      <c r="BP1042" s="319" t="s">
        <v>845</v>
      </c>
      <c r="BQ1042" s="319" t="s">
        <v>845</v>
      </c>
      <c r="BR1042" s="324" t="s">
        <v>845</v>
      </c>
      <c r="BS1042" s="330">
        <f t="shared" si="78"/>
        <v>0</v>
      </c>
      <c r="BT1042" s="331">
        <f t="shared" si="79"/>
        <v>0</v>
      </c>
      <c r="BU1042" s="920"/>
      <c r="BV1042" s="903"/>
      <c r="BW1042" s="907"/>
      <c r="BX1042" s="908"/>
      <c r="BY1042" s="331"/>
      <c r="BZ1042" s="340"/>
      <c r="CA1042" s="316"/>
      <c r="CB1042" s="318"/>
      <c r="CC1042" s="318"/>
      <c r="CD1042" s="318"/>
      <c r="CE1042" s="318"/>
      <c r="CF1042" s="318"/>
      <c r="CG1042" s="318"/>
      <c r="CH1042" s="318"/>
      <c r="CI1042" s="318"/>
      <c r="CJ1042" s="463"/>
      <c r="CK1042" s="342">
        <f t="shared" si="18"/>
        <v>0</v>
      </c>
      <c r="CL1042" s="333">
        <f t="shared" si="19"/>
        <v>0</v>
      </c>
      <c r="CM1042" s="829"/>
      <c r="CN1042" s="333"/>
      <c r="CO1042" s="333"/>
      <c r="CP1042" s="333"/>
    </row>
    <row r="1043">
      <c r="B1043" s="462" t="s">
        <v>1711</v>
      </c>
      <c r="C1043" s="914">
        <v>44459.0</v>
      </c>
      <c r="D1043" s="318"/>
      <c r="E1043" s="319">
        <v>5.1</v>
      </c>
      <c r="F1043" s="324" t="s">
        <v>1720</v>
      </c>
      <c r="G1043" s="321">
        <v>0.6054398148148148</v>
      </c>
      <c r="H1043" s="323">
        <v>0.6060185185185185</v>
      </c>
      <c r="I1043" s="323"/>
      <c r="J1043" s="323"/>
      <c r="K1043" s="323">
        <v>0.616550925925926</v>
      </c>
      <c r="L1043" s="323">
        <v>0.010532407407407407</v>
      </c>
      <c r="M1043" s="319" t="s">
        <v>166</v>
      </c>
      <c r="N1043" s="324" t="s">
        <v>187</v>
      </c>
      <c r="O1043" s="419" t="s">
        <v>201</v>
      </c>
      <c r="P1043" s="319" t="s">
        <v>212</v>
      </c>
      <c r="Q1043" s="318"/>
      <c r="R1043" s="326">
        <v>13.0</v>
      </c>
      <c r="S1043" s="319">
        <v>5.0</v>
      </c>
      <c r="T1043" s="324">
        <v>0.57</v>
      </c>
      <c r="U1043" s="319">
        <v>0.2</v>
      </c>
      <c r="V1043" s="319"/>
      <c r="W1043" s="319"/>
      <c r="X1043" s="319"/>
      <c r="Y1043" s="319"/>
      <c r="Z1043" s="319" t="s">
        <v>335</v>
      </c>
      <c r="AA1043" s="319"/>
      <c r="AB1043" s="319" t="s">
        <v>326</v>
      </c>
      <c r="AC1043" s="327">
        <v>1.0</v>
      </c>
      <c r="AD1043" s="319"/>
      <c r="AE1043" s="319"/>
      <c r="AF1043" s="319"/>
      <c r="AG1043" s="319"/>
      <c r="AH1043" s="319"/>
      <c r="AI1043" s="319"/>
      <c r="AJ1043" s="327"/>
      <c r="AK1043" s="328"/>
      <c r="AL1043" s="319"/>
      <c r="AM1043" s="319"/>
      <c r="AN1043" s="319"/>
      <c r="AO1043" s="319"/>
      <c r="AP1043" s="319"/>
      <c r="AQ1043" s="319"/>
      <c r="AR1043" s="319"/>
      <c r="AS1043" s="327"/>
      <c r="AT1043" s="461" t="s">
        <v>181</v>
      </c>
      <c r="AU1043" s="324" t="s">
        <v>846</v>
      </c>
      <c r="AV1043" s="330">
        <f>SQRT(($R1043-Infrastructure!J$3)^2+($S1043-Infrastructure!K$3)^2)</f>
        <v>27.35141678</v>
      </c>
      <c r="AW1043" s="331">
        <f>SQRT(($R1043-Infrastructure!J$4)^2+($S1043-Infrastructure!K$4)^2)</f>
        <v>18.45887321</v>
      </c>
      <c r="AX1043" s="331">
        <f>SQRT(($R1043-Infrastructure!J$5)^2+($S1043-Infrastructure!K$5)^2)</f>
        <v>13.30037593</v>
      </c>
      <c r="AY1043" s="331">
        <f>SQRT(($R1043-Infrastructure!J$6)^2+($S1043-Infrastructure!K$6)^2)</f>
        <v>5.522680509</v>
      </c>
      <c r="AZ1043" s="331">
        <f>SQRT(($R1043-Infrastructure!J$7)^2+($S1043-Infrastructure!K$7)^2)</f>
        <v>8.850988645</v>
      </c>
      <c r="BA1043" s="331">
        <f>SQRT(($R1043-Infrastructure!J$8)^2+($S1043-Infrastructure!K$8)^2)</f>
        <v>17.73414785</v>
      </c>
      <c r="BB1043" s="331">
        <f>SQRT(($R1043-Infrastructure!J$9)^2+($S1043-Infrastructure!K$9)^2)</f>
        <v>27.00018518</v>
      </c>
      <c r="BC1043" s="331">
        <f>SQRT(($R1043-Infrastructure!J$10)^2+($S1043-Infrastructure!K$10)^2)</f>
        <v>28.7923601</v>
      </c>
      <c r="BD1043" s="331">
        <f>SQRT(($R1043-Infrastructure!J$11)^2+($S1043-Infrastructure!K$11)^2)</f>
        <v>36.27450896</v>
      </c>
      <c r="BE1043" s="333">
        <f>SQRT(($R1043-Infrastructure!J$12)^2+($S1043-Infrastructure!K$12)^2)</f>
        <v>51.21035052</v>
      </c>
      <c r="BF1043" s="330">
        <f t="shared" si="14"/>
        <v>5.522680509</v>
      </c>
      <c r="BG1043" s="333">
        <f t="shared" si="15"/>
        <v>51.21035052</v>
      </c>
      <c r="BH1043" s="902">
        <v>36617.0</v>
      </c>
      <c r="BI1043" s="462" t="s">
        <v>845</v>
      </c>
      <c r="BJ1043" s="319" t="s">
        <v>845</v>
      </c>
      <c r="BK1043" s="319" t="s">
        <v>845</v>
      </c>
      <c r="BL1043" s="319" t="s">
        <v>845</v>
      </c>
      <c r="BM1043" s="319" t="s">
        <v>845</v>
      </c>
      <c r="BN1043" s="319" t="s">
        <v>846</v>
      </c>
      <c r="BO1043" s="319" t="s">
        <v>846</v>
      </c>
      <c r="BP1043" s="319" t="s">
        <v>845</v>
      </c>
      <c r="BQ1043" s="319" t="s">
        <v>845</v>
      </c>
      <c r="BR1043" s="324" t="s">
        <v>845</v>
      </c>
      <c r="BS1043" s="330">
        <f t="shared" si="78"/>
        <v>17.73414785</v>
      </c>
      <c r="BT1043" s="331">
        <f t="shared" si="79"/>
        <v>27.00018518</v>
      </c>
      <c r="BU1043" s="915">
        <v>0.6054398148148148</v>
      </c>
      <c r="BV1043" s="903">
        <f t="shared" ref="BV1043:BV1045" si="83">BU1043-G1043</f>
        <v>0</v>
      </c>
      <c r="BW1043" s="921">
        <v>5.93826086956522</v>
      </c>
      <c r="BX1043" s="923">
        <v>8.28086956521739</v>
      </c>
      <c r="BY1043" s="331">
        <f t="shared" ref="BY1043:BY1045" si="84">IF(BW1043&gt;0, SQRT((R1043-BW1043)^2+(S1043-BX1043)^2))</f>
        <v>7.786672245</v>
      </c>
      <c r="BZ1043" s="340"/>
      <c r="CA1043" s="316"/>
      <c r="CB1043" s="318"/>
      <c r="CC1043" s="318"/>
      <c r="CD1043" s="318"/>
      <c r="CE1043" s="318"/>
      <c r="CF1043" s="318"/>
      <c r="CG1043" s="318"/>
      <c r="CH1043" s="318"/>
      <c r="CI1043" s="318"/>
      <c r="CJ1043" s="463"/>
      <c r="CK1043" s="342">
        <f t="shared" si="18"/>
        <v>0</v>
      </c>
      <c r="CL1043" s="333">
        <f t="shared" si="19"/>
        <v>0</v>
      </c>
      <c r="CM1043" s="829"/>
      <c r="CN1043" s="333"/>
      <c r="CO1043" s="333"/>
      <c r="CP1043" s="333"/>
    </row>
    <row r="1044">
      <c r="B1044" s="462" t="s">
        <v>1711</v>
      </c>
      <c r="C1044" s="914">
        <v>44459.0</v>
      </c>
      <c r="D1044" s="318"/>
      <c r="E1044" s="319">
        <v>5.2</v>
      </c>
      <c r="F1044" s="324" t="s">
        <v>1721</v>
      </c>
      <c r="G1044" s="321">
        <v>0.6054398148148148</v>
      </c>
      <c r="H1044" s="323">
        <v>0.6060185185185185</v>
      </c>
      <c r="I1044" s="323"/>
      <c r="J1044" s="323"/>
      <c r="K1044" s="323">
        <v>0.616550925925926</v>
      </c>
      <c r="L1044" s="323">
        <v>0.010532407407407407</v>
      </c>
      <c r="M1044" s="319" t="s">
        <v>166</v>
      </c>
      <c r="N1044" s="324" t="s">
        <v>187</v>
      </c>
      <c r="O1044" s="419" t="s">
        <v>207</v>
      </c>
      <c r="P1044" s="319" t="s">
        <v>289</v>
      </c>
      <c r="Q1044" s="318"/>
      <c r="R1044" s="326">
        <v>26.1</v>
      </c>
      <c r="S1044" s="319">
        <v>14.3</v>
      </c>
      <c r="T1044" s="324">
        <v>1.5</v>
      </c>
      <c r="U1044" s="319">
        <v>0.3</v>
      </c>
      <c r="V1044" s="319"/>
      <c r="W1044" s="319"/>
      <c r="X1044" s="319"/>
      <c r="Y1044" s="319"/>
      <c r="Z1044" s="319" t="s">
        <v>374</v>
      </c>
      <c r="AA1044" s="319"/>
      <c r="AB1044" s="319" t="s">
        <v>375</v>
      </c>
      <c r="AC1044" s="327">
        <v>2.7</v>
      </c>
      <c r="AD1044" s="319"/>
      <c r="AE1044" s="319"/>
      <c r="AF1044" s="319"/>
      <c r="AG1044" s="319"/>
      <c r="AH1044" s="319"/>
      <c r="AI1044" s="319"/>
      <c r="AJ1044" s="327"/>
      <c r="AK1044" s="328"/>
      <c r="AL1044" s="319"/>
      <c r="AM1044" s="319"/>
      <c r="AN1044" s="319"/>
      <c r="AO1044" s="319"/>
      <c r="AP1044" s="319"/>
      <c r="AQ1044" s="319"/>
      <c r="AR1044" s="319"/>
      <c r="AS1044" s="327"/>
      <c r="AT1044" s="461" t="s">
        <v>181</v>
      </c>
      <c r="AU1044" s="324" t="s">
        <v>846</v>
      </c>
      <c r="AV1044" s="330">
        <f>SQRT(($R1044-Infrastructure!J$3)^2+($S1044-Infrastructure!K$3)^2)</f>
        <v>30.16819517</v>
      </c>
      <c r="AW1044" s="331">
        <f>SQRT(($R1044-Infrastructure!J$4)^2+($S1044-Infrastructure!K$4)^2)</f>
        <v>26.63099698</v>
      </c>
      <c r="AX1044" s="331">
        <f>SQRT(($R1044-Infrastructure!J$5)^2+($S1044-Infrastructure!K$5)^2)</f>
        <v>27.95711001</v>
      </c>
      <c r="AY1044" s="331">
        <f>SQRT(($R1044-Infrastructure!J$6)^2+($S1044-Infrastructure!K$6)^2)</f>
        <v>21.26029163</v>
      </c>
      <c r="AZ1044" s="331">
        <f>SQRT(($R1044-Infrastructure!J$7)^2+($S1044-Infrastructure!K$7)^2)</f>
        <v>15.07846146</v>
      </c>
      <c r="BA1044" s="331">
        <f>SQRT(($R1044-Infrastructure!J$8)^2+($S1044-Infrastructure!K$8)^2)</f>
        <v>14.56021978</v>
      </c>
      <c r="BB1044" s="331">
        <f>SQRT(($R1044-Infrastructure!J$9)^2+($S1044-Infrastructure!K$9)^2)</f>
        <v>16.66883319</v>
      </c>
      <c r="BC1044" s="331">
        <f>SQRT(($R1044-Infrastructure!J$10)^2+($S1044-Infrastructure!K$10)^2)</f>
        <v>13.91761474</v>
      </c>
      <c r="BD1044" s="331">
        <f>SQRT(($R1044-Infrastructure!J$11)^2+($S1044-Infrastructure!K$11)^2)</f>
        <v>20.36909424</v>
      </c>
      <c r="BE1044" s="333">
        <f>SQRT(($R1044-Infrastructure!J$12)^2+($S1044-Infrastructure!K$12)^2)</f>
        <v>41.45600077</v>
      </c>
      <c r="BF1044" s="330">
        <f t="shared" si="14"/>
        <v>13.91761474</v>
      </c>
      <c r="BG1044" s="333">
        <f t="shared" si="15"/>
        <v>41.45600077</v>
      </c>
      <c r="BH1044" s="902">
        <v>36617.0</v>
      </c>
      <c r="BI1044" s="462" t="s">
        <v>845</v>
      </c>
      <c r="BJ1044" s="319" t="s">
        <v>845</v>
      </c>
      <c r="BK1044" s="319" t="s">
        <v>845</v>
      </c>
      <c r="BL1044" s="319" t="s">
        <v>845</v>
      </c>
      <c r="BM1044" s="319" t="s">
        <v>845</v>
      </c>
      <c r="BN1044" s="319" t="s">
        <v>846</v>
      </c>
      <c r="BO1044" s="319" t="s">
        <v>846</v>
      </c>
      <c r="BP1044" s="319" t="s">
        <v>845</v>
      </c>
      <c r="BQ1044" s="319" t="s">
        <v>845</v>
      </c>
      <c r="BR1044" s="324" t="s">
        <v>845</v>
      </c>
      <c r="BS1044" s="330">
        <f t="shared" si="78"/>
        <v>14.56021978</v>
      </c>
      <c r="BT1044" s="331">
        <f t="shared" si="79"/>
        <v>16.66883319</v>
      </c>
      <c r="BU1044" s="915">
        <v>0.6054398148148148</v>
      </c>
      <c r="BV1044" s="903">
        <f t="shared" si="83"/>
        <v>0</v>
      </c>
      <c r="BW1044" s="921">
        <v>5.93826086956522</v>
      </c>
      <c r="BX1044" s="923">
        <v>8.28086956521739</v>
      </c>
      <c r="BY1044" s="331">
        <f t="shared" si="84"/>
        <v>21.04104693</v>
      </c>
      <c r="BZ1044" s="340"/>
      <c r="CA1044" s="316"/>
      <c r="CB1044" s="318"/>
      <c r="CC1044" s="318"/>
      <c r="CD1044" s="318"/>
      <c r="CE1044" s="318"/>
      <c r="CF1044" s="318"/>
      <c r="CG1044" s="318"/>
      <c r="CH1044" s="318"/>
      <c r="CI1044" s="318"/>
      <c r="CJ1044" s="463"/>
      <c r="CK1044" s="342">
        <f t="shared" si="18"/>
        <v>0</v>
      </c>
      <c r="CL1044" s="333">
        <f t="shared" si="19"/>
        <v>0</v>
      </c>
      <c r="CM1044" s="829"/>
      <c r="CN1044" s="333"/>
      <c r="CO1044" s="333"/>
      <c r="CP1044" s="333"/>
    </row>
    <row r="1045">
      <c r="B1045" s="462" t="s">
        <v>1711</v>
      </c>
      <c r="C1045" s="914">
        <v>44459.0</v>
      </c>
      <c r="D1045" s="318"/>
      <c r="E1045" s="319">
        <v>6.0</v>
      </c>
      <c r="F1045" s="324" t="s">
        <v>1722</v>
      </c>
      <c r="G1045" s="321">
        <v>0.6194444444444445</v>
      </c>
      <c r="H1045" s="323">
        <v>0.6197916666666666</v>
      </c>
      <c r="I1045" s="323"/>
      <c r="J1045" s="323"/>
      <c r="K1045" s="323">
        <v>0.6336805555555556</v>
      </c>
      <c r="L1045" s="323">
        <v>0.013888888888888888</v>
      </c>
      <c r="M1045" s="319" t="s">
        <v>166</v>
      </c>
      <c r="N1045" s="324" t="s">
        <v>187</v>
      </c>
      <c r="O1045" s="419" t="s">
        <v>199</v>
      </c>
      <c r="P1045" s="319" t="s">
        <v>272</v>
      </c>
      <c r="Q1045" s="318"/>
      <c r="R1045" s="326">
        <v>16.1</v>
      </c>
      <c r="S1045" s="319">
        <v>9.6</v>
      </c>
      <c r="T1045" s="324">
        <v>0.01</v>
      </c>
      <c r="U1045" s="319">
        <v>0.1</v>
      </c>
      <c r="V1045" s="319"/>
      <c r="W1045" s="319"/>
      <c r="X1045" s="319"/>
      <c r="Y1045" s="319"/>
      <c r="Z1045" s="319" t="s">
        <v>335</v>
      </c>
      <c r="AA1045" s="319"/>
      <c r="AB1045" s="319" t="s">
        <v>375</v>
      </c>
      <c r="AC1045" s="327">
        <v>2.7</v>
      </c>
      <c r="AD1045" s="319"/>
      <c r="AE1045" s="319"/>
      <c r="AF1045" s="319"/>
      <c r="AG1045" s="319"/>
      <c r="AH1045" s="319"/>
      <c r="AI1045" s="319"/>
      <c r="AJ1045" s="327"/>
      <c r="AK1045" s="328"/>
      <c r="AL1045" s="319"/>
      <c r="AM1045" s="319"/>
      <c r="AN1045" s="319"/>
      <c r="AO1045" s="319"/>
      <c r="AP1045" s="319"/>
      <c r="AQ1045" s="319"/>
      <c r="AR1045" s="319"/>
      <c r="AS1045" s="327"/>
      <c r="AT1045" s="461" t="s">
        <v>181</v>
      </c>
      <c r="AU1045" s="324" t="s">
        <v>845</v>
      </c>
      <c r="AV1045" s="330">
        <f>SQRT(($R1045-Infrastructure!J$3)^2+($S1045-Infrastructure!K$3)^2)</f>
        <v>25.32686321</v>
      </c>
      <c r="AW1045" s="331">
        <f>SQRT(($R1045-Infrastructure!J$4)^2+($S1045-Infrastructure!K$4)^2)</f>
        <v>18.33575742</v>
      </c>
      <c r="AX1045" s="331">
        <f>SQRT(($R1045-Infrastructure!J$5)^2+($S1045-Infrastructure!K$5)^2)</f>
        <v>17.00617535</v>
      </c>
      <c r="AY1045" s="331">
        <f>SQRT(($R1045-Infrastructure!J$6)^2+($S1045-Infrastructure!K$6)^2)</f>
        <v>11.06752005</v>
      </c>
      <c r="AZ1045" s="331">
        <f>SQRT(($R1045-Infrastructure!J$7)^2+($S1045-Infrastructure!K$7)^2)</f>
        <v>10.28834292</v>
      </c>
      <c r="BA1045" s="331">
        <f>SQRT(($R1045-Infrastructure!J$8)^2+($S1045-Infrastructure!K$8)^2)</f>
        <v>16.80743883</v>
      </c>
      <c r="BB1045" s="331">
        <f>SQRT(($R1045-Infrastructure!J$9)^2+($S1045-Infrastructure!K$9)^2)</f>
        <v>24.31995066</v>
      </c>
      <c r="BC1045" s="331">
        <f>SQRT(($R1045-Infrastructure!J$10)^2+($S1045-Infrastructure!K$10)^2)</f>
        <v>24.50244886</v>
      </c>
      <c r="BD1045" s="331">
        <f>SQRT(($R1045-Infrastructure!J$11)^2+($S1045-Infrastructure!K$11)^2)</f>
        <v>30.93816413</v>
      </c>
      <c r="BE1045" s="333">
        <f>SQRT(($R1045-Infrastructure!J$12)^2+($S1045-Infrastructure!K$12)^2)</f>
        <v>46.21655548</v>
      </c>
      <c r="BF1045" s="330">
        <f t="shared" si="14"/>
        <v>10.28834292</v>
      </c>
      <c r="BG1045" s="333">
        <f t="shared" si="15"/>
        <v>46.21655548</v>
      </c>
      <c r="BH1045" s="902">
        <v>36617.0</v>
      </c>
      <c r="BI1045" s="462" t="s">
        <v>846</v>
      </c>
      <c r="BJ1045" s="319" t="s">
        <v>845</v>
      </c>
      <c r="BK1045" s="319" t="s">
        <v>846</v>
      </c>
      <c r="BL1045" s="319" t="s">
        <v>845</v>
      </c>
      <c r="BM1045" s="319" t="s">
        <v>845</v>
      </c>
      <c r="BN1045" s="319" t="s">
        <v>845</v>
      </c>
      <c r="BO1045" s="319" t="s">
        <v>845</v>
      </c>
      <c r="BP1045" s="319" t="s">
        <v>845</v>
      </c>
      <c r="BQ1045" s="319" t="s">
        <v>846</v>
      </c>
      <c r="BR1045" s="324" t="s">
        <v>846</v>
      </c>
      <c r="BS1045" s="330">
        <f t="shared" si="78"/>
        <v>17.00617535</v>
      </c>
      <c r="BT1045" s="331">
        <f t="shared" si="79"/>
        <v>46.21655548</v>
      </c>
      <c r="BU1045" s="915">
        <v>0.6194560185185185</v>
      </c>
      <c r="BV1045" s="903">
        <f t="shared" si="83"/>
        <v>0.00001157407407</v>
      </c>
      <c r="BW1045" s="921">
        <v>21.9</v>
      </c>
      <c r="BX1045" s="923">
        <v>10.1</v>
      </c>
      <c r="BY1045" s="331">
        <f t="shared" si="84"/>
        <v>5.821511831</v>
      </c>
      <c r="BZ1045" s="340"/>
      <c r="CA1045" s="316"/>
      <c r="CB1045" s="318"/>
      <c r="CC1045" s="318"/>
      <c r="CD1045" s="318"/>
      <c r="CE1045" s="318"/>
      <c r="CF1045" s="318"/>
      <c r="CG1045" s="318"/>
      <c r="CH1045" s="318"/>
      <c r="CI1045" s="318"/>
      <c r="CJ1045" s="463"/>
      <c r="CK1045" s="342">
        <f t="shared" si="18"/>
        <v>0</v>
      </c>
      <c r="CL1045" s="333">
        <f t="shared" si="19"/>
        <v>0</v>
      </c>
      <c r="CM1045" s="829"/>
      <c r="CN1045" s="333"/>
      <c r="CO1045" s="333"/>
      <c r="CP1045" s="333"/>
    </row>
    <row r="1046">
      <c r="B1046" s="462" t="s">
        <v>1711</v>
      </c>
      <c r="C1046" s="914">
        <v>44459.0</v>
      </c>
      <c r="D1046" s="318"/>
      <c r="E1046" s="319">
        <v>7.1</v>
      </c>
      <c r="F1046" s="324" t="s">
        <v>1723</v>
      </c>
      <c r="G1046" s="321">
        <v>0.6505787037037037</v>
      </c>
      <c r="H1046" s="323">
        <v>0.6510416666666666</v>
      </c>
      <c r="I1046" s="323"/>
      <c r="J1046" s="323"/>
      <c r="K1046" s="323">
        <v>0.6625578703703704</v>
      </c>
      <c r="L1046" s="323">
        <v>0.011516203703703704</v>
      </c>
      <c r="M1046" s="319" t="s">
        <v>166</v>
      </c>
      <c r="N1046" s="324" t="s">
        <v>187</v>
      </c>
      <c r="O1046" s="419" t="s">
        <v>205</v>
      </c>
      <c r="P1046" s="319" t="s">
        <v>296</v>
      </c>
      <c r="Q1046" s="318"/>
      <c r="R1046" s="326">
        <v>20.7</v>
      </c>
      <c r="S1046" s="319">
        <v>5.1</v>
      </c>
      <c r="T1046" s="324">
        <v>1.2</v>
      </c>
      <c r="U1046" s="319">
        <v>0.2</v>
      </c>
      <c r="V1046" s="319"/>
      <c r="W1046" s="319"/>
      <c r="X1046" s="319"/>
      <c r="Y1046" s="319"/>
      <c r="Z1046" s="319" t="s">
        <v>335</v>
      </c>
      <c r="AA1046" s="319"/>
      <c r="AB1046" s="319" t="s">
        <v>371</v>
      </c>
      <c r="AC1046" s="327">
        <v>1.8</v>
      </c>
      <c r="AD1046" s="319"/>
      <c r="AE1046" s="319"/>
      <c r="AF1046" s="319"/>
      <c r="AG1046" s="319"/>
      <c r="AH1046" s="319"/>
      <c r="AI1046" s="319"/>
      <c r="AJ1046" s="327"/>
      <c r="AK1046" s="328"/>
      <c r="AL1046" s="319"/>
      <c r="AM1046" s="319"/>
      <c r="AN1046" s="319"/>
      <c r="AO1046" s="319"/>
      <c r="AP1046" s="319"/>
      <c r="AQ1046" s="319"/>
      <c r="AR1046" s="319"/>
      <c r="AS1046" s="327"/>
      <c r="AT1046" s="461" t="s">
        <v>181</v>
      </c>
      <c r="AU1046" s="324" t="s">
        <v>846</v>
      </c>
      <c r="AV1046" s="330">
        <f>SQRT(($R1046-Infrastructure!J$3)^2+($S1046-Infrastructure!K$3)^2)</f>
        <v>31.74019534</v>
      </c>
      <c r="AW1046" s="331">
        <f>SQRT(($R1046-Infrastructure!J$4)^2+($S1046-Infrastructure!K$4)^2)</f>
        <v>24.54159734</v>
      </c>
      <c r="AX1046" s="331">
        <f>SQRT(($R1046-Infrastructure!J$5)^2+($S1046-Infrastructure!K$5)^2)</f>
        <v>21</v>
      </c>
      <c r="AY1046" s="331">
        <f>SQRT(($R1046-Infrastructure!J$6)^2+($S1046-Infrastructure!K$6)^2)</f>
        <v>11.63615057</v>
      </c>
      <c r="AZ1046" s="331">
        <f>SQRT(($R1046-Infrastructure!J$7)^2+($S1046-Infrastructure!K$7)^2)</f>
        <v>4.80416486</v>
      </c>
      <c r="BA1046" s="331">
        <f>SQRT(($R1046-Infrastructure!J$8)^2+($S1046-Infrastructure!K$8)^2)</f>
        <v>10.55461984</v>
      </c>
      <c r="BB1046" s="331">
        <f>SQRT(($R1046-Infrastructure!J$9)^2+($S1046-Infrastructure!K$9)^2)</f>
        <v>19.3</v>
      </c>
      <c r="BC1046" s="331">
        <f>SQRT(($R1046-Infrastructure!J$10)^2+($S1046-Infrastructure!K$10)^2)</f>
        <v>21.69101196</v>
      </c>
      <c r="BD1046" s="331">
        <f>SQRT(($R1046-Infrastructure!J$11)^2+($S1046-Infrastructure!K$11)^2)</f>
        <v>30.84574525</v>
      </c>
      <c r="BE1046" s="333">
        <f>SQRT(($R1046-Infrastructure!J$12)^2+($S1046-Infrastructure!K$12)^2)</f>
        <v>50.40634881</v>
      </c>
      <c r="BF1046" s="330">
        <f t="shared" si="14"/>
        <v>4.80416486</v>
      </c>
      <c r="BG1046" s="333">
        <f t="shared" si="15"/>
        <v>50.40634881</v>
      </c>
      <c r="BH1046" s="902">
        <v>36617.0</v>
      </c>
      <c r="BI1046" s="462" t="s">
        <v>845</v>
      </c>
      <c r="BJ1046" s="319" t="s">
        <v>845</v>
      </c>
      <c r="BK1046" s="319" t="s">
        <v>845</v>
      </c>
      <c r="BL1046" s="319" t="s">
        <v>845</v>
      </c>
      <c r="BM1046" s="319" t="s">
        <v>845</v>
      </c>
      <c r="BN1046" s="319" t="s">
        <v>845</v>
      </c>
      <c r="BO1046" s="319" t="s">
        <v>845</v>
      </c>
      <c r="BP1046" s="319" t="s">
        <v>845</v>
      </c>
      <c r="BQ1046" s="319" t="s">
        <v>845</v>
      </c>
      <c r="BR1046" s="324" t="s">
        <v>845</v>
      </c>
      <c r="BS1046" s="330">
        <f t="shared" si="78"/>
        <v>0</v>
      </c>
      <c r="BT1046" s="331">
        <f t="shared" si="79"/>
        <v>0</v>
      </c>
      <c r="BU1046" s="920"/>
      <c r="BV1046" s="903"/>
      <c r="BW1046" s="907"/>
      <c r="BX1046" s="908"/>
      <c r="BY1046" s="331"/>
      <c r="BZ1046" s="340"/>
      <c r="CA1046" s="316"/>
      <c r="CB1046" s="318"/>
      <c r="CC1046" s="318"/>
      <c r="CD1046" s="318"/>
      <c r="CE1046" s="318"/>
      <c r="CF1046" s="318"/>
      <c r="CG1046" s="318"/>
      <c r="CH1046" s="318"/>
      <c r="CI1046" s="318"/>
      <c r="CJ1046" s="463"/>
      <c r="CK1046" s="342">
        <f t="shared" si="18"/>
        <v>0</v>
      </c>
      <c r="CL1046" s="333">
        <f t="shared" si="19"/>
        <v>0</v>
      </c>
      <c r="CM1046" s="829"/>
      <c r="CN1046" s="333"/>
      <c r="CO1046" s="333"/>
      <c r="CP1046" s="333"/>
    </row>
    <row r="1047">
      <c r="B1047" s="462" t="s">
        <v>1711</v>
      </c>
      <c r="C1047" s="914">
        <v>44459.0</v>
      </c>
      <c r="D1047" s="318"/>
      <c r="E1047" s="319">
        <v>7.2</v>
      </c>
      <c r="F1047" s="324" t="s">
        <v>1724</v>
      </c>
      <c r="G1047" s="321">
        <v>0.6505787037037037</v>
      </c>
      <c r="H1047" s="323">
        <v>0.6510416666666666</v>
      </c>
      <c r="I1047" s="323"/>
      <c r="J1047" s="323"/>
      <c r="K1047" s="323">
        <v>0.6625578703703704</v>
      </c>
      <c r="L1047" s="323">
        <v>0.011516203703703704</v>
      </c>
      <c r="M1047" s="319" t="s">
        <v>166</v>
      </c>
      <c r="N1047" s="324" t="s">
        <v>187</v>
      </c>
      <c r="O1047" s="419" t="s">
        <v>198</v>
      </c>
      <c r="P1047" s="319" t="s">
        <v>223</v>
      </c>
      <c r="Q1047" s="318"/>
      <c r="R1047" s="326">
        <v>10.0</v>
      </c>
      <c r="S1047" s="319">
        <v>11.7</v>
      </c>
      <c r="T1047" s="324">
        <v>0.5</v>
      </c>
      <c r="U1047" s="319">
        <v>0.3</v>
      </c>
      <c r="V1047" s="319"/>
      <c r="W1047" s="319"/>
      <c r="X1047" s="319"/>
      <c r="Y1047" s="319"/>
      <c r="Z1047" s="319" t="s">
        <v>343</v>
      </c>
      <c r="AA1047" s="319"/>
      <c r="AB1047" s="319" t="s">
        <v>371</v>
      </c>
      <c r="AC1047" s="327">
        <v>1.8</v>
      </c>
      <c r="AD1047" s="319"/>
      <c r="AE1047" s="319"/>
      <c r="AF1047" s="319"/>
      <c r="AG1047" s="319"/>
      <c r="AH1047" s="319"/>
      <c r="AI1047" s="319"/>
      <c r="AJ1047" s="327"/>
      <c r="AK1047" s="328"/>
      <c r="AL1047" s="319"/>
      <c r="AM1047" s="319"/>
      <c r="AN1047" s="319"/>
      <c r="AO1047" s="319"/>
      <c r="AP1047" s="319"/>
      <c r="AQ1047" s="319"/>
      <c r="AR1047" s="319"/>
      <c r="AS1047" s="327"/>
      <c r="AT1047" s="461" t="s">
        <v>181</v>
      </c>
      <c r="AU1047" s="324" t="s">
        <v>846</v>
      </c>
      <c r="AV1047" s="330">
        <f>SQRT(($R1047-Infrastructure!J$3)^2+($S1047-Infrastructure!K$3)^2)</f>
        <v>20.04819194</v>
      </c>
      <c r="AW1047" s="331">
        <f>SQRT(($R1047-Infrastructure!J$4)^2+($S1047-Infrastructure!K$4)^2)</f>
        <v>11.9707978</v>
      </c>
      <c r="AX1047" s="331">
        <f>SQRT(($R1047-Infrastructure!J$5)^2+($S1047-Infrastructure!K$5)^2)</f>
        <v>12.23315168</v>
      </c>
      <c r="AY1047" s="331">
        <f>SQRT(($R1047-Infrastructure!J$6)^2+($S1047-Infrastructure!K$6)^2)</f>
        <v>11.40043859</v>
      </c>
      <c r="AZ1047" s="331">
        <f>SQRT(($R1047-Infrastructure!J$7)^2+($S1047-Infrastructure!K$7)^2)</f>
        <v>15.49870962</v>
      </c>
      <c r="BA1047" s="331">
        <f>SQRT(($R1047-Infrastructure!J$8)^2+($S1047-Infrastructure!K$8)^2)</f>
        <v>23.10779089</v>
      </c>
      <c r="BB1047" s="331">
        <f>SQRT(($R1047-Infrastructure!J$9)^2+($S1047-Infrastructure!K$9)^2)</f>
        <v>30.71742177</v>
      </c>
      <c r="BC1047" s="331">
        <f>SQRT(($R1047-Infrastructure!J$10)^2+($S1047-Infrastructure!K$10)^2)</f>
        <v>30.18095426</v>
      </c>
      <c r="BD1047" s="331">
        <f>SQRT(($R1047-Infrastructure!J$11)^2+($S1047-Infrastructure!K$11)^2)</f>
        <v>34.80416642</v>
      </c>
      <c r="BE1047" s="333">
        <f>SQRT(($R1047-Infrastructure!J$12)^2+($S1047-Infrastructure!K$12)^2)</f>
        <v>45.28454482</v>
      </c>
      <c r="BF1047" s="330">
        <f t="shared" si="14"/>
        <v>11.40043859</v>
      </c>
      <c r="BG1047" s="333">
        <f t="shared" si="15"/>
        <v>45.28454482</v>
      </c>
      <c r="BH1047" s="902">
        <v>36617.0</v>
      </c>
      <c r="BI1047" s="462" t="s">
        <v>845</v>
      </c>
      <c r="BJ1047" s="319" t="s">
        <v>845</v>
      </c>
      <c r="BK1047" s="319" t="s">
        <v>845</v>
      </c>
      <c r="BL1047" s="319" t="s">
        <v>845</v>
      </c>
      <c r="BM1047" s="319" t="s">
        <v>845</v>
      </c>
      <c r="BN1047" s="319" t="s">
        <v>845</v>
      </c>
      <c r="BO1047" s="319" t="s">
        <v>845</v>
      </c>
      <c r="BP1047" s="319" t="s">
        <v>845</v>
      </c>
      <c r="BQ1047" s="319" t="s">
        <v>845</v>
      </c>
      <c r="BR1047" s="324" t="s">
        <v>845</v>
      </c>
      <c r="BS1047" s="330">
        <f t="shared" si="78"/>
        <v>0</v>
      </c>
      <c r="BT1047" s="331">
        <f t="shared" si="79"/>
        <v>0</v>
      </c>
      <c r="BU1047" s="920"/>
      <c r="BV1047" s="903"/>
      <c r="BW1047" s="907"/>
      <c r="BX1047" s="908"/>
      <c r="BY1047" s="331"/>
      <c r="BZ1047" s="340"/>
      <c r="CA1047" s="316"/>
      <c r="CB1047" s="318"/>
      <c r="CC1047" s="318"/>
      <c r="CD1047" s="318"/>
      <c r="CE1047" s="318"/>
      <c r="CF1047" s="318"/>
      <c r="CG1047" s="318"/>
      <c r="CH1047" s="318"/>
      <c r="CI1047" s="318"/>
      <c r="CJ1047" s="463"/>
      <c r="CK1047" s="342">
        <f t="shared" si="18"/>
        <v>0</v>
      </c>
      <c r="CL1047" s="333">
        <f t="shared" si="19"/>
        <v>0</v>
      </c>
      <c r="CM1047" s="829"/>
      <c r="CN1047" s="333"/>
      <c r="CO1047" s="333"/>
      <c r="CP1047" s="333"/>
    </row>
    <row r="1048">
      <c r="B1048" s="462" t="s">
        <v>1711</v>
      </c>
      <c r="C1048" s="914">
        <v>44459.0</v>
      </c>
      <c r="D1048" s="318"/>
      <c r="E1048" s="319">
        <v>8.0</v>
      </c>
      <c r="F1048" s="324" t="s">
        <v>1725</v>
      </c>
      <c r="G1048" s="321">
        <v>0.6694444444444444</v>
      </c>
      <c r="H1048" s="323">
        <v>0.6699652777777778</v>
      </c>
      <c r="I1048" s="323"/>
      <c r="J1048" s="323"/>
      <c r="K1048" s="323">
        <v>0.6776041666666667</v>
      </c>
      <c r="L1048" s="323">
        <v>0.007638888888888889</v>
      </c>
      <c r="M1048" s="319" t="s">
        <v>166</v>
      </c>
      <c r="N1048" s="324" t="s">
        <v>187</v>
      </c>
      <c r="O1048" s="419" t="s">
        <v>205</v>
      </c>
      <c r="P1048" s="319" t="s">
        <v>296</v>
      </c>
      <c r="Q1048" s="318"/>
      <c r="R1048" s="326">
        <v>20.7</v>
      </c>
      <c r="S1048" s="319">
        <v>5.1</v>
      </c>
      <c r="T1048" s="324">
        <v>1.2</v>
      </c>
      <c r="U1048" s="319">
        <v>2.4</v>
      </c>
      <c r="V1048" s="319"/>
      <c r="W1048" s="319"/>
      <c r="X1048" s="319"/>
      <c r="Y1048" s="319"/>
      <c r="Z1048" s="319" t="s">
        <v>370</v>
      </c>
      <c r="AA1048" s="319"/>
      <c r="AB1048" s="319" t="s">
        <v>384</v>
      </c>
      <c r="AC1048" s="327">
        <v>6.0</v>
      </c>
      <c r="AD1048" s="319"/>
      <c r="AE1048" s="319"/>
      <c r="AF1048" s="319"/>
      <c r="AG1048" s="319"/>
      <c r="AH1048" s="319"/>
      <c r="AI1048" s="319"/>
      <c r="AJ1048" s="327"/>
      <c r="AK1048" s="328"/>
      <c r="AL1048" s="319"/>
      <c r="AM1048" s="319"/>
      <c r="AN1048" s="319"/>
      <c r="AO1048" s="319"/>
      <c r="AP1048" s="319"/>
      <c r="AQ1048" s="319"/>
      <c r="AR1048" s="319"/>
      <c r="AS1048" s="327"/>
      <c r="AT1048" s="461" t="s">
        <v>182</v>
      </c>
      <c r="AU1048" s="324" t="s">
        <v>845</v>
      </c>
      <c r="AV1048" s="330">
        <f>SQRT(($R1048-Infrastructure!J$3)^2+($S1048-Infrastructure!K$3)^2)</f>
        <v>31.74019534</v>
      </c>
      <c r="AW1048" s="331">
        <f>SQRT(($R1048-Infrastructure!J$4)^2+($S1048-Infrastructure!K$4)^2)</f>
        <v>24.54159734</v>
      </c>
      <c r="AX1048" s="331">
        <f>SQRT(($R1048-Infrastructure!J$5)^2+($S1048-Infrastructure!K$5)^2)</f>
        <v>21</v>
      </c>
      <c r="AY1048" s="331">
        <f>SQRT(($R1048-Infrastructure!J$6)^2+($S1048-Infrastructure!K$6)^2)</f>
        <v>11.63615057</v>
      </c>
      <c r="AZ1048" s="331">
        <f>SQRT(($R1048-Infrastructure!J$7)^2+($S1048-Infrastructure!K$7)^2)</f>
        <v>4.80416486</v>
      </c>
      <c r="BA1048" s="331">
        <f>SQRT(($R1048-Infrastructure!J$8)^2+($S1048-Infrastructure!K$8)^2)</f>
        <v>10.55461984</v>
      </c>
      <c r="BB1048" s="331">
        <f>SQRT(($R1048-Infrastructure!J$9)^2+($S1048-Infrastructure!K$9)^2)</f>
        <v>19.3</v>
      </c>
      <c r="BC1048" s="331">
        <f>SQRT(($R1048-Infrastructure!J$10)^2+($S1048-Infrastructure!K$10)^2)</f>
        <v>21.69101196</v>
      </c>
      <c r="BD1048" s="331">
        <f>SQRT(($R1048-Infrastructure!J$11)^2+($S1048-Infrastructure!K$11)^2)</f>
        <v>30.84574525</v>
      </c>
      <c r="BE1048" s="333">
        <f>SQRT(($R1048-Infrastructure!J$12)^2+($S1048-Infrastructure!K$12)^2)</f>
        <v>50.40634881</v>
      </c>
      <c r="BF1048" s="330">
        <f t="shared" si="14"/>
        <v>4.80416486</v>
      </c>
      <c r="BG1048" s="333">
        <f t="shared" si="15"/>
        <v>50.40634881</v>
      </c>
      <c r="BH1048" s="902">
        <v>36617.0</v>
      </c>
      <c r="BI1048" s="462" t="s">
        <v>846</v>
      </c>
      <c r="BJ1048" s="319" t="s">
        <v>845</v>
      </c>
      <c r="BK1048" s="319" t="s">
        <v>845</v>
      </c>
      <c r="BL1048" s="319" t="s">
        <v>845</v>
      </c>
      <c r="BM1048" s="319" t="s">
        <v>845</v>
      </c>
      <c r="BN1048" s="319" t="s">
        <v>845</v>
      </c>
      <c r="BO1048" s="319" t="s">
        <v>845</v>
      </c>
      <c r="BP1048" s="319" t="s">
        <v>845</v>
      </c>
      <c r="BQ1048" s="319" t="s">
        <v>845</v>
      </c>
      <c r="BR1048" s="324" t="s">
        <v>845</v>
      </c>
      <c r="BS1048" s="330">
        <f t="shared" si="78"/>
        <v>31.74019534</v>
      </c>
      <c r="BT1048" s="331">
        <f t="shared" si="79"/>
        <v>31.74019534</v>
      </c>
      <c r="BU1048" s="915">
        <v>0.6694791666666666</v>
      </c>
      <c r="BV1048" s="903">
        <f t="shared" ref="BV1048:BV1049" si="85">BU1048-G1048</f>
        <v>0.00003472222222</v>
      </c>
      <c r="BW1048" s="921"/>
      <c r="BX1048" s="923"/>
      <c r="BY1048" s="331"/>
      <c r="BZ1048" s="340"/>
      <c r="CA1048" s="316"/>
      <c r="CB1048" s="318"/>
      <c r="CC1048" s="318"/>
      <c r="CD1048" s="318"/>
      <c r="CE1048" s="318"/>
      <c r="CF1048" s="318"/>
      <c r="CG1048" s="318"/>
      <c r="CH1048" s="318"/>
      <c r="CI1048" s="318"/>
      <c r="CJ1048" s="463"/>
      <c r="CK1048" s="342">
        <f t="shared" si="18"/>
        <v>0</v>
      </c>
      <c r="CL1048" s="333">
        <f t="shared" si="19"/>
        <v>0</v>
      </c>
      <c r="CM1048" s="829"/>
      <c r="CN1048" s="333"/>
      <c r="CO1048" s="333"/>
      <c r="CP1048" s="333"/>
    </row>
    <row r="1049">
      <c r="B1049" s="462" t="s">
        <v>1711</v>
      </c>
      <c r="C1049" s="914">
        <v>44459.0</v>
      </c>
      <c r="D1049" s="318"/>
      <c r="E1049" s="319">
        <v>9.0</v>
      </c>
      <c r="F1049" s="324" t="s">
        <v>1726</v>
      </c>
      <c r="G1049" s="321">
        <v>0.6804398148148149</v>
      </c>
      <c r="H1049" s="323">
        <v>0.680787037037037</v>
      </c>
      <c r="I1049" s="323"/>
      <c r="J1049" s="323"/>
      <c r="K1049" s="323">
        <v>0.6857638888888888</v>
      </c>
      <c r="L1049" s="323">
        <v>0.004976851851851852</v>
      </c>
      <c r="M1049" s="319" t="s">
        <v>166</v>
      </c>
      <c r="N1049" s="324" t="s">
        <v>187</v>
      </c>
      <c r="O1049" s="419" t="s">
        <v>201</v>
      </c>
      <c r="P1049" s="319" t="s">
        <v>256</v>
      </c>
      <c r="Q1049" s="318"/>
      <c r="R1049" s="326">
        <v>16.0</v>
      </c>
      <c r="S1049" s="319">
        <v>7.5</v>
      </c>
      <c r="T1049" s="324">
        <v>0.57</v>
      </c>
      <c r="U1049" s="319">
        <v>0.6</v>
      </c>
      <c r="V1049" s="319"/>
      <c r="W1049" s="319"/>
      <c r="X1049" s="319"/>
      <c r="Y1049" s="319"/>
      <c r="Z1049" s="319" t="s">
        <v>339</v>
      </c>
      <c r="AA1049" s="319"/>
      <c r="AB1049" s="319" t="s">
        <v>329</v>
      </c>
      <c r="AC1049" s="327">
        <v>1.5</v>
      </c>
      <c r="AD1049" s="319"/>
      <c r="AE1049" s="319"/>
      <c r="AF1049" s="319"/>
      <c r="AG1049" s="319"/>
      <c r="AH1049" s="319"/>
      <c r="AI1049" s="319"/>
      <c r="AJ1049" s="327"/>
      <c r="AK1049" s="328"/>
      <c r="AL1049" s="319"/>
      <c r="AM1049" s="319"/>
      <c r="AN1049" s="319"/>
      <c r="AO1049" s="319"/>
      <c r="AP1049" s="319"/>
      <c r="AQ1049" s="319"/>
      <c r="AR1049" s="319"/>
      <c r="AS1049" s="327"/>
      <c r="AT1049" s="461" t="s">
        <v>181</v>
      </c>
      <c r="AU1049" s="324" t="s">
        <v>845</v>
      </c>
      <c r="AV1049" s="330">
        <f>SQRT(($R1049-Infrastructure!J$3)^2+($S1049-Infrastructure!K$3)^2)</f>
        <v>26.90074348</v>
      </c>
      <c r="AW1049" s="331">
        <f>SQRT(($R1049-Infrastructure!J$4)^2+($S1049-Infrastructure!K$4)^2)</f>
        <v>19.28159744</v>
      </c>
      <c r="AX1049" s="331">
        <f>SQRT(($R1049-Infrastructure!J$5)^2+($S1049-Infrastructure!K$5)^2)</f>
        <v>16.47573974</v>
      </c>
      <c r="AY1049" s="331">
        <f>SQRT(($R1049-Infrastructure!J$6)^2+($S1049-Infrastructure!K$6)^2)</f>
        <v>9.308598176</v>
      </c>
      <c r="AZ1049" s="331">
        <f>SQRT(($R1049-Infrastructure!J$7)^2+($S1049-Infrastructure!K$7)^2)</f>
        <v>8.490583019</v>
      </c>
      <c r="BA1049" s="331">
        <f>SQRT(($R1049-Infrastructure!J$8)^2+($S1049-Infrastructure!K$8)^2)</f>
        <v>15.83192976</v>
      </c>
      <c r="BB1049" s="331">
        <f>SQRT(($R1049-Infrastructure!J$9)^2+($S1049-Infrastructure!K$9)^2)</f>
        <v>24.11970149</v>
      </c>
      <c r="BC1049" s="331">
        <f>SQRT(($R1049-Infrastructure!J$10)^2+($S1049-Infrastructure!K$10)^2)</f>
        <v>25.14458192</v>
      </c>
      <c r="BD1049" s="331">
        <f>SQRT(($R1049-Infrastructure!J$11)^2+($S1049-Infrastructure!K$11)^2)</f>
        <v>32.37112911</v>
      </c>
      <c r="BE1049" s="333">
        <f>SQRT(($R1049-Infrastructure!J$12)^2+($S1049-Infrastructure!K$12)^2)</f>
        <v>48.31407662</v>
      </c>
      <c r="BF1049" s="330">
        <f t="shared" si="14"/>
        <v>8.490583019</v>
      </c>
      <c r="BG1049" s="333">
        <f t="shared" si="15"/>
        <v>48.31407662</v>
      </c>
      <c r="BH1049" s="902">
        <v>36617.0</v>
      </c>
      <c r="BI1049" s="462" t="s">
        <v>846</v>
      </c>
      <c r="BJ1049" s="319" t="s">
        <v>845</v>
      </c>
      <c r="BK1049" s="319" t="s">
        <v>845</v>
      </c>
      <c r="BL1049" s="319" t="s">
        <v>845</v>
      </c>
      <c r="BM1049" s="319" t="s">
        <v>845</v>
      </c>
      <c r="BN1049" s="319" t="s">
        <v>846</v>
      </c>
      <c r="BO1049" s="319" t="s">
        <v>846</v>
      </c>
      <c r="BP1049" s="319" t="s">
        <v>845</v>
      </c>
      <c r="BQ1049" s="319" t="s">
        <v>845</v>
      </c>
      <c r="BR1049" s="324" t="s">
        <v>846</v>
      </c>
      <c r="BS1049" s="330">
        <f t="shared" si="78"/>
        <v>15.83192976</v>
      </c>
      <c r="BT1049" s="331">
        <f t="shared" si="79"/>
        <v>48.31407662</v>
      </c>
      <c r="BU1049" s="915">
        <v>0.6804513888888889</v>
      </c>
      <c r="BV1049" s="903">
        <f t="shared" si="85"/>
        <v>0.00001157407407</v>
      </c>
      <c r="BW1049" s="927">
        <v>14.664935064935</v>
      </c>
      <c r="BX1049" s="928">
        <v>5.45454545454545</v>
      </c>
      <c r="BY1049" s="331">
        <f>IF(BW1049&gt;0, SQRT((R1049-BW1049)^2+(S1049-BX1049)^2))</f>
        <v>2.442597527</v>
      </c>
      <c r="BZ1049" s="340"/>
      <c r="CA1049" s="316"/>
      <c r="CB1049" s="318"/>
      <c r="CC1049" s="318"/>
      <c r="CD1049" s="318"/>
      <c r="CE1049" s="318"/>
      <c r="CF1049" s="318"/>
      <c r="CG1049" s="318"/>
      <c r="CH1049" s="318"/>
      <c r="CI1049" s="318"/>
      <c r="CJ1049" s="463"/>
      <c r="CK1049" s="342">
        <f t="shared" si="18"/>
        <v>0</v>
      </c>
      <c r="CL1049" s="333">
        <f t="shared" si="19"/>
        <v>0</v>
      </c>
      <c r="CM1049" s="829"/>
      <c r="CN1049" s="333"/>
      <c r="CO1049" s="333"/>
      <c r="CP1049" s="333"/>
    </row>
    <row r="1050">
      <c r="B1050" s="462" t="s">
        <v>1711</v>
      </c>
      <c r="C1050" s="914">
        <v>44459.0</v>
      </c>
      <c r="D1050" s="318"/>
      <c r="E1050" s="319">
        <v>10.0</v>
      </c>
      <c r="F1050" s="324" t="s">
        <v>1727</v>
      </c>
      <c r="G1050" s="321">
        <v>0.6897569444444445</v>
      </c>
      <c r="H1050" s="323">
        <v>0.6904513888888889</v>
      </c>
      <c r="I1050" s="323"/>
      <c r="J1050" s="323"/>
      <c r="K1050" s="323">
        <v>0.6996527777777778</v>
      </c>
      <c r="L1050" s="323">
        <v>0.00920138888888889</v>
      </c>
      <c r="M1050" s="319" t="s">
        <v>166</v>
      </c>
      <c r="N1050" s="324" t="s">
        <v>187</v>
      </c>
      <c r="O1050" s="419" t="s">
        <v>198</v>
      </c>
      <c r="P1050" s="319" t="s">
        <v>223</v>
      </c>
      <c r="Q1050" s="318"/>
      <c r="R1050" s="326">
        <v>10.3</v>
      </c>
      <c r="S1050" s="319">
        <v>8.1</v>
      </c>
      <c r="T1050" s="324">
        <v>3.0</v>
      </c>
      <c r="U1050" s="319">
        <v>1.7</v>
      </c>
      <c r="V1050" s="319"/>
      <c r="W1050" s="319"/>
      <c r="X1050" s="319"/>
      <c r="Y1050" s="319"/>
      <c r="Z1050" s="319" t="s">
        <v>343</v>
      </c>
      <c r="AA1050" s="319"/>
      <c r="AB1050" s="319" t="s">
        <v>384</v>
      </c>
      <c r="AC1050" s="327">
        <v>6.0</v>
      </c>
      <c r="AD1050" s="319"/>
      <c r="AE1050" s="319"/>
      <c r="AF1050" s="319"/>
      <c r="AG1050" s="319"/>
      <c r="AH1050" s="319"/>
      <c r="AI1050" s="319"/>
      <c r="AJ1050" s="327"/>
      <c r="AK1050" s="328"/>
      <c r="AL1050" s="319"/>
      <c r="AM1050" s="319"/>
      <c r="AN1050" s="319"/>
      <c r="AO1050" s="319"/>
      <c r="AP1050" s="319"/>
      <c r="AQ1050" s="319"/>
      <c r="AR1050" s="319"/>
      <c r="AS1050" s="327"/>
      <c r="AT1050" s="461" t="s">
        <v>182</v>
      </c>
      <c r="AU1050" s="324" t="s">
        <v>845</v>
      </c>
      <c r="AV1050" s="330">
        <f>SQRT(($R1050-Infrastructure!J$3)^2+($S1050-Infrastructure!K$3)^2)</f>
        <v>23.34523506</v>
      </c>
      <c r="AW1050" s="331">
        <f>SQRT(($R1050-Infrastructure!J$4)^2+($S1050-Infrastructure!K$4)^2)</f>
        <v>14.36836804</v>
      </c>
      <c r="AX1050" s="331">
        <f>SQRT(($R1050-Infrastructure!J$5)^2+($S1050-Infrastructure!K$5)^2)</f>
        <v>11.01635148</v>
      </c>
      <c r="AY1050" s="331">
        <f>SQRT(($R1050-Infrastructure!J$6)^2+($S1050-Infrastructure!K$6)^2)</f>
        <v>7.802563681</v>
      </c>
      <c r="AZ1050" s="331">
        <f>SQRT(($R1050-Infrastructure!J$7)^2+($S1050-Infrastructure!K$7)^2)</f>
        <v>12.84056074</v>
      </c>
      <c r="BA1050" s="331">
        <f>SQRT(($R1050-Infrastructure!J$8)^2+($S1050-Infrastructure!K$8)^2)</f>
        <v>21.28097742</v>
      </c>
      <c r="BB1050" s="331">
        <f>SQRT(($R1050-Infrastructure!J$9)^2+($S1050-Infrastructure!K$9)^2)</f>
        <v>29.85113063</v>
      </c>
      <c r="BC1050" s="331">
        <f>SQRT(($R1050-Infrastructure!J$10)^2+($S1050-Infrastructure!K$10)^2)</f>
        <v>30.49098227</v>
      </c>
      <c r="BD1050" s="331">
        <f>SQRT(($R1050-Infrastructure!J$11)^2+($S1050-Infrastructure!K$11)^2)</f>
        <v>36.4804057</v>
      </c>
      <c r="BE1050" s="333">
        <f>SQRT(($R1050-Infrastructure!J$12)^2+($S1050-Infrastructure!K$12)^2)</f>
        <v>48.70523586</v>
      </c>
      <c r="BF1050" s="330">
        <f t="shared" si="14"/>
        <v>7.802563681</v>
      </c>
      <c r="BG1050" s="333">
        <f t="shared" si="15"/>
        <v>48.70523586</v>
      </c>
      <c r="BH1050" s="902">
        <v>36617.0</v>
      </c>
      <c r="BI1050" s="462" t="s">
        <v>845</v>
      </c>
      <c r="BJ1050" s="319" t="s">
        <v>845</v>
      </c>
      <c r="BK1050" s="319" t="s">
        <v>845</v>
      </c>
      <c r="BL1050" s="319" t="s">
        <v>845</v>
      </c>
      <c r="BM1050" s="319" t="s">
        <v>845</v>
      </c>
      <c r="BN1050" s="319" t="s">
        <v>845</v>
      </c>
      <c r="BO1050" s="319" t="s">
        <v>845</v>
      </c>
      <c r="BP1050" s="319" t="s">
        <v>845</v>
      </c>
      <c r="BQ1050" s="319" t="s">
        <v>845</v>
      </c>
      <c r="BR1050" s="324" t="s">
        <v>845</v>
      </c>
      <c r="BS1050" s="330">
        <f t="shared" si="78"/>
        <v>0</v>
      </c>
      <c r="BT1050" s="331">
        <f t="shared" si="79"/>
        <v>0</v>
      </c>
      <c r="BU1050" s="920"/>
      <c r="BV1050" s="903"/>
      <c r="BW1050" s="907"/>
      <c r="BX1050" s="908"/>
      <c r="BY1050" s="331"/>
      <c r="BZ1050" s="340"/>
      <c r="CA1050" s="316"/>
      <c r="CB1050" s="318"/>
      <c r="CC1050" s="318"/>
      <c r="CD1050" s="318"/>
      <c r="CE1050" s="318"/>
      <c r="CF1050" s="318"/>
      <c r="CG1050" s="318"/>
      <c r="CH1050" s="318"/>
      <c r="CI1050" s="318"/>
      <c r="CJ1050" s="463"/>
      <c r="CK1050" s="342">
        <f t="shared" si="18"/>
        <v>0</v>
      </c>
      <c r="CL1050" s="333">
        <f t="shared" si="19"/>
        <v>0</v>
      </c>
      <c r="CM1050" s="829"/>
      <c r="CN1050" s="333"/>
      <c r="CO1050" s="333"/>
      <c r="CP1050" s="333"/>
    </row>
    <row r="1051">
      <c r="B1051" s="462" t="s">
        <v>1711</v>
      </c>
      <c r="C1051" s="914">
        <v>44459.0</v>
      </c>
      <c r="D1051" s="318"/>
      <c r="E1051" s="319">
        <v>11.0</v>
      </c>
      <c r="F1051" s="324" t="s">
        <v>1728</v>
      </c>
      <c r="G1051" s="321">
        <v>0.7003472222222222</v>
      </c>
      <c r="H1051" s="323">
        <v>0.7010416666666667</v>
      </c>
      <c r="I1051" s="323"/>
      <c r="J1051" s="323"/>
      <c r="K1051" s="323">
        <v>0.7055555555555556</v>
      </c>
      <c r="L1051" s="323">
        <v>0.0045138888888888885</v>
      </c>
      <c r="M1051" s="319" t="s">
        <v>166</v>
      </c>
      <c r="N1051" s="324" t="s">
        <v>187</v>
      </c>
      <c r="O1051" s="419" t="s">
        <v>203</v>
      </c>
      <c r="P1051" s="319" t="s">
        <v>227</v>
      </c>
      <c r="Q1051" s="318"/>
      <c r="R1051" s="326">
        <v>15.5</v>
      </c>
      <c r="S1051" s="319">
        <v>3.4</v>
      </c>
      <c r="T1051" s="324">
        <v>1.35</v>
      </c>
      <c r="U1051" s="319">
        <v>0.25</v>
      </c>
      <c r="V1051" s="319"/>
      <c r="W1051" s="319"/>
      <c r="X1051" s="319"/>
      <c r="Y1051" s="319"/>
      <c r="Z1051" s="319" t="s">
        <v>357</v>
      </c>
      <c r="AA1051" s="319"/>
      <c r="AB1051" s="319" t="s">
        <v>371</v>
      </c>
      <c r="AC1051" s="327">
        <v>1.8</v>
      </c>
      <c r="AD1051" s="319"/>
      <c r="AE1051" s="319"/>
      <c r="AF1051" s="319"/>
      <c r="AG1051" s="319"/>
      <c r="AH1051" s="319"/>
      <c r="AI1051" s="319"/>
      <c r="AJ1051" s="327"/>
      <c r="AK1051" s="328"/>
      <c r="AL1051" s="319"/>
      <c r="AM1051" s="319"/>
      <c r="AN1051" s="319"/>
      <c r="AO1051" s="319"/>
      <c r="AP1051" s="319"/>
      <c r="AQ1051" s="319"/>
      <c r="AR1051" s="319"/>
      <c r="AS1051" s="327"/>
      <c r="AT1051" s="461" t="s">
        <v>181</v>
      </c>
      <c r="AU1051" s="324" t="s">
        <v>845</v>
      </c>
      <c r="AV1051" s="330">
        <f>SQRT(($R1051-Infrastructure!J$3)^2+($S1051-Infrastructure!K$3)^2)</f>
        <v>29.99816661</v>
      </c>
      <c r="AW1051" s="331">
        <f>SQRT(($R1051-Infrastructure!J$4)^2+($S1051-Infrastructure!K$4)^2)</f>
        <v>21.37755833</v>
      </c>
      <c r="AX1051" s="331">
        <f>SQRT(($R1051-Infrastructure!J$5)^2+($S1051-Infrastructure!K$5)^2)</f>
        <v>15.89119253</v>
      </c>
      <c r="AY1051" s="331">
        <f>SQRT(($R1051-Infrastructure!J$6)^2+($S1051-Infrastructure!K$6)^2)</f>
        <v>6.22655603</v>
      </c>
      <c r="AZ1051" s="331">
        <f>SQRT(($R1051-Infrastructure!J$7)^2+($S1051-Infrastructure!K$7)^2)</f>
        <v>5.883026432</v>
      </c>
      <c r="BA1051" s="331">
        <f>SQRT(($R1051-Infrastructure!J$8)^2+($S1051-Infrastructure!K$8)^2)</f>
        <v>14.92548157</v>
      </c>
      <c r="BB1051" s="331">
        <f>SQRT(($R1051-Infrastructure!J$9)^2+($S1051-Infrastructure!K$9)^2)</f>
        <v>24.55890877</v>
      </c>
      <c r="BC1051" s="331">
        <f>SQRT(($R1051-Infrastructure!J$10)^2+($S1051-Infrastructure!K$10)^2)</f>
        <v>27.10737907</v>
      </c>
      <c r="BD1051" s="331">
        <f>SQRT(($R1051-Infrastructure!J$11)^2+($S1051-Infrastructure!K$11)^2)</f>
        <v>35.57316404</v>
      </c>
      <c r="BE1051" s="333">
        <f>SQRT(($R1051-Infrastructure!J$12)^2+($S1051-Infrastructure!K$12)^2)</f>
        <v>52.44435146</v>
      </c>
      <c r="BF1051" s="330">
        <f t="shared" si="14"/>
        <v>5.883026432</v>
      </c>
      <c r="BG1051" s="333">
        <f t="shared" si="15"/>
        <v>52.44435146</v>
      </c>
      <c r="BH1051" s="902">
        <v>36617.0</v>
      </c>
      <c r="BI1051" s="462" t="s">
        <v>846</v>
      </c>
      <c r="BJ1051" s="319" t="s">
        <v>845</v>
      </c>
      <c r="BK1051" s="319" t="s">
        <v>845</v>
      </c>
      <c r="BL1051" s="319" t="s">
        <v>845</v>
      </c>
      <c r="BM1051" s="319" t="s">
        <v>845</v>
      </c>
      <c r="BN1051" s="319" t="s">
        <v>845</v>
      </c>
      <c r="BO1051" s="319" t="s">
        <v>845</v>
      </c>
      <c r="BP1051" s="319" t="s">
        <v>845</v>
      </c>
      <c r="BQ1051" s="319" t="s">
        <v>846</v>
      </c>
      <c r="BR1051" s="324" t="s">
        <v>845</v>
      </c>
      <c r="BS1051" s="330">
        <f t="shared" si="78"/>
        <v>29.99816661</v>
      </c>
      <c r="BT1051" s="331">
        <f t="shared" si="79"/>
        <v>35.57316404</v>
      </c>
      <c r="BU1051" s="920">
        <v>0.7003819444444445</v>
      </c>
      <c r="BV1051" s="903">
        <f t="shared" ref="BV1051:BV1053" si="86">BU1051-G1051</f>
        <v>0.00003472222222</v>
      </c>
      <c r="BW1051" s="921">
        <v>13.9</v>
      </c>
      <c r="BX1051" s="923">
        <v>9.73333333333333</v>
      </c>
      <c r="BY1051" s="331">
        <f t="shared" ref="BY1051:BY1053" si="87">IF(BW1051&gt;0, SQRT((R1051-BW1051)^2+(S1051-BX1051)^2))</f>
        <v>6.532312845</v>
      </c>
      <c r="BZ1051" s="340"/>
      <c r="CA1051" s="316"/>
      <c r="CB1051" s="318"/>
      <c r="CC1051" s="318"/>
      <c r="CD1051" s="318"/>
      <c r="CE1051" s="318"/>
      <c r="CF1051" s="318"/>
      <c r="CG1051" s="318"/>
      <c r="CH1051" s="318"/>
      <c r="CI1051" s="318"/>
      <c r="CJ1051" s="463"/>
      <c r="CK1051" s="342">
        <f t="shared" si="18"/>
        <v>0</v>
      </c>
      <c r="CL1051" s="333">
        <f t="shared" si="19"/>
        <v>0</v>
      </c>
      <c r="CM1051" s="829"/>
      <c r="CN1051" s="333"/>
      <c r="CO1051" s="333"/>
      <c r="CP1051" s="333"/>
    </row>
    <row r="1052">
      <c r="B1052" s="462" t="s">
        <v>1711</v>
      </c>
      <c r="C1052" s="914">
        <v>44460.0</v>
      </c>
      <c r="D1052" s="318"/>
      <c r="E1052" s="319">
        <v>12.0</v>
      </c>
      <c r="F1052" s="324" t="s">
        <v>1729</v>
      </c>
      <c r="G1052" s="321">
        <v>0.42106481481481484</v>
      </c>
      <c r="H1052" s="323">
        <v>0.42135416666666664</v>
      </c>
      <c r="I1052" s="323"/>
      <c r="J1052" s="323"/>
      <c r="K1052" s="323">
        <v>0.42951388888888886</v>
      </c>
      <c r="L1052" s="323">
        <v>0.008159722222222223</v>
      </c>
      <c r="M1052" s="319" t="s">
        <v>166</v>
      </c>
      <c r="N1052" s="324" t="s">
        <v>187</v>
      </c>
      <c r="O1052" s="419" t="s">
        <v>201</v>
      </c>
      <c r="P1052" s="319" t="s">
        <v>256</v>
      </c>
      <c r="Q1052" s="318"/>
      <c r="R1052" s="326">
        <v>13.0</v>
      </c>
      <c r="S1052" s="319">
        <v>5.5</v>
      </c>
      <c r="T1052" s="324">
        <v>0.57</v>
      </c>
      <c r="U1052" s="319">
        <v>0.6</v>
      </c>
      <c r="V1052" s="319"/>
      <c r="W1052" s="319"/>
      <c r="X1052" s="319"/>
      <c r="Y1052" s="319"/>
      <c r="Z1052" s="319" t="s">
        <v>339</v>
      </c>
      <c r="AA1052" s="319"/>
      <c r="AB1052" s="319" t="s">
        <v>329</v>
      </c>
      <c r="AC1052" s="327">
        <v>1.5</v>
      </c>
      <c r="AD1052" s="319"/>
      <c r="AE1052" s="319"/>
      <c r="AF1052" s="319"/>
      <c r="AG1052" s="319"/>
      <c r="AH1052" s="319"/>
      <c r="AI1052" s="319"/>
      <c r="AJ1052" s="327"/>
      <c r="AK1052" s="328"/>
      <c r="AL1052" s="319"/>
      <c r="AM1052" s="319"/>
      <c r="AN1052" s="319"/>
      <c r="AO1052" s="319"/>
      <c r="AP1052" s="319"/>
      <c r="AQ1052" s="319"/>
      <c r="AR1052" s="319"/>
      <c r="AS1052" s="327"/>
      <c r="AT1052" s="461" t="s">
        <v>181</v>
      </c>
      <c r="AU1052" s="324" t="s">
        <v>845</v>
      </c>
      <c r="AV1052" s="330">
        <f>SQRT(($R1052-Infrastructure!J$3)^2+($S1052-Infrastructure!K$3)^2)</f>
        <v>26.91560885</v>
      </c>
      <c r="AW1052" s="331">
        <f>SQRT(($R1052-Infrastructure!J$4)^2+($S1052-Infrastructure!K$4)^2)</f>
        <v>18.11573901</v>
      </c>
      <c r="AX1052" s="331">
        <f>SQRT(($R1052-Infrastructure!J$5)^2+($S1052-Infrastructure!K$5)^2)</f>
        <v>13.30601368</v>
      </c>
      <c r="AY1052" s="331">
        <f>SQRT(($R1052-Infrastructure!J$6)^2+($S1052-Infrastructure!K$6)^2)</f>
        <v>5.953990259</v>
      </c>
      <c r="AZ1052" s="331">
        <f>SQRT(($R1052-Infrastructure!J$7)^2+($S1052-Infrastructure!K$7)^2)</f>
        <v>9.126335519</v>
      </c>
      <c r="BA1052" s="331">
        <f>SQRT(($R1052-Infrastructure!J$8)^2+($S1052-Infrastructure!K$8)^2)</f>
        <v>17.87316424</v>
      </c>
      <c r="BB1052" s="331">
        <f>SQRT(($R1052-Infrastructure!J$9)^2+($S1052-Infrastructure!K$9)^2)</f>
        <v>27.0029628</v>
      </c>
      <c r="BC1052" s="331">
        <f>SQRT(($R1052-Infrastructure!J$10)^2+($S1052-Infrastructure!K$10)^2)</f>
        <v>28.62254356</v>
      </c>
      <c r="BD1052" s="331">
        <f>SQRT(($R1052-Infrastructure!J$11)^2+($S1052-Infrastructure!K$11)^2)</f>
        <v>35.94565342</v>
      </c>
      <c r="BE1052" s="333">
        <f>SQRT(($R1052-Infrastructure!J$12)^2+($S1052-Infrastructure!K$12)^2)</f>
        <v>50.71735403</v>
      </c>
      <c r="BF1052" s="330">
        <f t="shared" si="14"/>
        <v>5.953990259</v>
      </c>
      <c r="BG1052" s="333">
        <f t="shared" si="15"/>
        <v>50.71735403</v>
      </c>
      <c r="BH1052" s="902">
        <v>36617.0</v>
      </c>
      <c r="BI1052" s="462" t="s">
        <v>846</v>
      </c>
      <c r="BJ1052" s="319" t="s">
        <v>845</v>
      </c>
      <c r="BK1052" s="319" t="s">
        <v>845</v>
      </c>
      <c r="BL1052" s="319" t="s">
        <v>846</v>
      </c>
      <c r="BM1052" s="319" t="s">
        <v>845</v>
      </c>
      <c r="BN1052" s="319" t="s">
        <v>846</v>
      </c>
      <c r="BO1052" s="319" t="s">
        <v>846</v>
      </c>
      <c r="BP1052" s="319" t="s">
        <v>846</v>
      </c>
      <c r="BQ1052" s="319" t="s">
        <v>845</v>
      </c>
      <c r="BR1052" s="324" t="s">
        <v>845</v>
      </c>
      <c r="BS1052" s="330">
        <f t="shared" si="78"/>
        <v>5.953990259</v>
      </c>
      <c r="BT1052" s="331">
        <f t="shared" si="79"/>
        <v>28.62254356</v>
      </c>
      <c r="BU1052" s="915">
        <v>0.4210763888888889</v>
      </c>
      <c r="BV1052" s="903">
        <f t="shared" si="86"/>
        <v>0.00001157407407</v>
      </c>
      <c r="BW1052" s="921">
        <v>17.1923076923076</v>
      </c>
      <c r="BX1052" s="923">
        <v>3.64461538461538</v>
      </c>
      <c r="BY1052" s="331">
        <f t="shared" si="87"/>
        <v>4.584527877</v>
      </c>
      <c r="BZ1052" s="340"/>
      <c r="CA1052" s="316"/>
      <c r="CB1052" s="318"/>
      <c r="CC1052" s="318"/>
      <c r="CD1052" s="318"/>
      <c r="CE1052" s="318"/>
      <c r="CF1052" s="318"/>
      <c r="CG1052" s="318"/>
      <c r="CH1052" s="318"/>
      <c r="CI1052" s="318"/>
      <c r="CJ1052" s="463"/>
      <c r="CK1052" s="342">
        <f t="shared" si="18"/>
        <v>0</v>
      </c>
      <c r="CL1052" s="333">
        <f t="shared" si="19"/>
        <v>0</v>
      </c>
      <c r="CM1052" s="829"/>
      <c r="CN1052" s="333"/>
      <c r="CO1052" s="333"/>
      <c r="CP1052" s="333"/>
    </row>
    <row r="1053">
      <c r="B1053" s="462" t="s">
        <v>1711</v>
      </c>
      <c r="C1053" s="914">
        <v>44460.0</v>
      </c>
      <c r="D1053" s="318"/>
      <c r="E1053" s="319">
        <v>13.0</v>
      </c>
      <c r="F1053" s="324" t="s">
        <v>1730</v>
      </c>
      <c r="G1053" s="321">
        <v>0.43211805555555555</v>
      </c>
      <c r="H1053" s="323">
        <v>0.4322916666666667</v>
      </c>
      <c r="I1053" s="323"/>
      <c r="J1053" s="323"/>
      <c r="K1053" s="323">
        <v>0.4395833333333333</v>
      </c>
      <c r="L1053" s="323">
        <v>0.007291666666666667</v>
      </c>
      <c r="M1053" s="319" t="s">
        <v>166</v>
      </c>
      <c r="N1053" s="324" t="s">
        <v>187</v>
      </c>
      <c r="O1053" s="419" t="s">
        <v>201</v>
      </c>
      <c r="P1053" s="319" t="s">
        <v>256</v>
      </c>
      <c r="Q1053" s="318"/>
      <c r="R1053" s="326">
        <v>13.0</v>
      </c>
      <c r="S1053" s="319">
        <v>5.5</v>
      </c>
      <c r="T1053" s="324">
        <v>0.57</v>
      </c>
      <c r="U1053" s="319">
        <v>0.6</v>
      </c>
      <c r="V1053" s="319"/>
      <c r="W1053" s="319"/>
      <c r="X1053" s="319"/>
      <c r="Y1053" s="319"/>
      <c r="Z1053" s="319" t="s">
        <v>339</v>
      </c>
      <c r="AA1053" s="319"/>
      <c r="AB1053" s="319" t="s">
        <v>329</v>
      </c>
      <c r="AC1053" s="327">
        <v>1.5</v>
      </c>
      <c r="AD1053" s="319"/>
      <c r="AE1053" s="319"/>
      <c r="AF1053" s="319"/>
      <c r="AG1053" s="319"/>
      <c r="AH1053" s="319"/>
      <c r="AI1053" s="319"/>
      <c r="AJ1053" s="327"/>
      <c r="AK1053" s="328"/>
      <c r="AL1053" s="319"/>
      <c r="AM1053" s="319"/>
      <c r="AN1053" s="319"/>
      <c r="AO1053" s="319"/>
      <c r="AP1053" s="319"/>
      <c r="AQ1053" s="319"/>
      <c r="AR1053" s="319"/>
      <c r="AS1053" s="327"/>
      <c r="AT1053" s="461" t="s">
        <v>181</v>
      </c>
      <c r="AU1053" s="324" t="s">
        <v>845</v>
      </c>
      <c r="AV1053" s="330">
        <f>SQRT(($R1053-Infrastructure!J$3)^2+($S1053-Infrastructure!K$3)^2)</f>
        <v>26.91560885</v>
      </c>
      <c r="AW1053" s="331">
        <f>SQRT(($R1053-Infrastructure!J$4)^2+($S1053-Infrastructure!K$4)^2)</f>
        <v>18.11573901</v>
      </c>
      <c r="AX1053" s="331">
        <f>SQRT(($R1053-Infrastructure!J$5)^2+($S1053-Infrastructure!K$5)^2)</f>
        <v>13.30601368</v>
      </c>
      <c r="AY1053" s="331">
        <f>SQRT(($R1053-Infrastructure!J$6)^2+($S1053-Infrastructure!K$6)^2)</f>
        <v>5.953990259</v>
      </c>
      <c r="AZ1053" s="331">
        <f>SQRT(($R1053-Infrastructure!J$7)^2+($S1053-Infrastructure!K$7)^2)</f>
        <v>9.126335519</v>
      </c>
      <c r="BA1053" s="331">
        <f>SQRT(($R1053-Infrastructure!J$8)^2+($S1053-Infrastructure!K$8)^2)</f>
        <v>17.87316424</v>
      </c>
      <c r="BB1053" s="331">
        <f>SQRT(($R1053-Infrastructure!J$9)^2+($S1053-Infrastructure!K$9)^2)</f>
        <v>27.0029628</v>
      </c>
      <c r="BC1053" s="331">
        <f>SQRT(($R1053-Infrastructure!J$10)^2+($S1053-Infrastructure!K$10)^2)</f>
        <v>28.62254356</v>
      </c>
      <c r="BD1053" s="331">
        <f>SQRT(($R1053-Infrastructure!J$11)^2+($S1053-Infrastructure!K$11)^2)</f>
        <v>35.94565342</v>
      </c>
      <c r="BE1053" s="333">
        <f>SQRT(($R1053-Infrastructure!J$12)^2+($S1053-Infrastructure!K$12)^2)</f>
        <v>50.71735403</v>
      </c>
      <c r="BF1053" s="330">
        <f t="shared" si="14"/>
        <v>5.953990259</v>
      </c>
      <c r="BG1053" s="333">
        <f t="shared" si="15"/>
        <v>50.71735403</v>
      </c>
      <c r="BH1053" s="902">
        <v>36617.0</v>
      </c>
      <c r="BI1053" s="462" t="s">
        <v>846</v>
      </c>
      <c r="BJ1053" s="319" t="s">
        <v>845</v>
      </c>
      <c r="BK1053" s="319" t="s">
        <v>845</v>
      </c>
      <c r="BL1053" s="319" t="s">
        <v>846</v>
      </c>
      <c r="BM1053" s="319" t="s">
        <v>845</v>
      </c>
      <c r="BN1053" s="319" t="s">
        <v>846</v>
      </c>
      <c r="BO1053" s="319" t="s">
        <v>846</v>
      </c>
      <c r="BP1053" s="319" t="s">
        <v>845</v>
      </c>
      <c r="BQ1053" s="319" t="s">
        <v>845</v>
      </c>
      <c r="BR1053" s="324" t="s">
        <v>845</v>
      </c>
      <c r="BS1053" s="330">
        <f t="shared" si="78"/>
        <v>5.953990259</v>
      </c>
      <c r="BT1053" s="331">
        <f t="shared" si="79"/>
        <v>27.0029628</v>
      </c>
      <c r="BU1053" s="915">
        <v>0.43212962962962964</v>
      </c>
      <c r="BV1053" s="903">
        <f t="shared" si="86"/>
        <v>0.00001157407407</v>
      </c>
      <c r="BW1053" s="921">
        <v>13.9794642857142</v>
      </c>
      <c r="BX1053" s="923">
        <v>4.27410714285714</v>
      </c>
      <c r="BY1053" s="331">
        <f t="shared" si="87"/>
        <v>1.569128288</v>
      </c>
      <c r="BZ1053" s="340"/>
      <c r="CA1053" s="316"/>
      <c r="CB1053" s="318"/>
      <c r="CC1053" s="318"/>
      <c r="CD1053" s="318"/>
      <c r="CE1053" s="318"/>
      <c r="CF1053" s="318"/>
      <c r="CG1053" s="318"/>
      <c r="CH1053" s="318"/>
      <c r="CI1053" s="318"/>
      <c r="CJ1053" s="463"/>
      <c r="CK1053" s="342">
        <f t="shared" si="18"/>
        <v>0</v>
      </c>
      <c r="CL1053" s="333">
        <f t="shared" si="19"/>
        <v>0</v>
      </c>
      <c r="CM1053" s="829"/>
      <c r="CN1053" s="333"/>
      <c r="CO1053" s="333"/>
      <c r="CP1053" s="333"/>
    </row>
    <row r="1054">
      <c r="B1054" s="462" t="s">
        <v>1711</v>
      </c>
      <c r="C1054" s="914">
        <v>44460.0</v>
      </c>
      <c r="D1054" s="318"/>
      <c r="E1054" s="319">
        <v>14.0</v>
      </c>
      <c r="F1054" s="324" t="s">
        <v>1731</v>
      </c>
      <c r="G1054" s="321">
        <v>0.45601851851851855</v>
      </c>
      <c r="H1054" s="323">
        <v>0.45625</v>
      </c>
      <c r="I1054" s="323"/>
      <c r="J1054" s="323"/>
      <c r="K1054" s="323">
        <v>0.4654513888888889</v>
      </c>
      <c r="L1054" s="323">
        <v>0.00920138888888889</v>
      </c>
      <c r="M1054" s="319" t="s">
        <v>166</v>
      </c>
      <c r="N1054" s="324" t="s">
        <v>187</v>
      </c>
      <c r="O1054" s="419" t="s">
        <v>198</v>
      </c>
      <c r="P1054" s="319" t="s">
        <v>213</v>
      </c>
      <c r="Q1054" s="318"/>
      <c r="R1054" s="326">
        <v>10.7</v>
      </c>
      <c r="S1054" s="319">
        <v>10.9</v>
      </c>
      <c r="T1054" s="324">
        <v>3.0</v>
      </c>
      <c r="U1054" s="319">
        <v>0.5</v>
      </c>
      <c r="V1054" s="319"/>
      <c r="W1054" s="319"/>
      <c r="X1054" s="319"/>
      <c r="Y1054" s="319"/>
      <c r="Z1054" s="319" t="s">
        <v>343</v>
      </c>
      <c r="AA1054" s="319"/>
      <c r="AB1054" s="319" t="s">
        <v>371</v>
      </c>
      <c r="AC1054" s="327">
        <v>1.8</v>
      </c>
      <c r="AD1054" s="319"/>
      <c r="AE1054" s="319"/>
      <c r="AF1054" s="319"/>
      <c r="AG1054" s="319"/>
      <c r="AH1054" s="319"/>
      <c r="AI1054" s="319"/>
      <c r="AJ1054" s="327"/>
      <c r="AK1054" s="328"/>
      <c r="AL1054" s="319"/>
      <c r="AM1054" s="319"/>
      <c r="AN1054" s="319"/>
      <c r="AO1054" s="319"/>
      <c r="AP1054" s="319"/>
      <c r="AQ1054" s="319"/>
      <c r="AR1054" s="319"/>
      <c r="AS1054" s="327"/>
      <c r="AT1054" s="461" t="s">
        <v>181</v>
      </c>
      <c r="AU1054" s="324" t="s">
        <v>845</v>
      </c>
      <c r="AV1054" s="330">
        <f>SQRT(($R1054-Infrastructure!J$3)^2+($S1054-Infrastructure!K$3)^2)</f>
        <v>21.09502311</v>
      </c>
      <c r="AW1054" s="331">
        <f>SQRT(($R1054-Infrastructure!J$4)^2+($S1054-Infrastructure!K$4)^2)</f>
        <v>12.98499134</v>
      </c>
      <c r="AX1054" s="331">
        <f>SQRT(($R1054-Infrastructure!J$5)^2+($S1054-Infrastructure!K$5)^2)</f>
        <v>12.43543325</v>
      </c>
      <c r="AY1054" s="331">
        <f>SQRT(($R1054-Infrastructure!J$6)^2+($S1054-Infrastructure!K$6)^2)</f>
        <v>10.61696755</v>
      </c>
      <c r="AZ1054" s="331">
        <f>SQRT(($R1054-Infrastructure!J$7)^2+($S1054-Infrastructure!K$7)^2)</f>
        <v>14.43606595</v>
      </c>
      <c r="BA1054" s="331">
        <f>SQRT(($R1054-Infrastructure!J$8)^2+($S1054-Infrastructure!K$8)^2)</f>
        <v>22.10701246</v>
      </c>
      <c r="BB1054" s="331">
        <f>SQRT(($R1054-Infrastructure!J$9)^2+($S1054-Infrastructure!K$9)^2)</f>
        <v>29.86854533</v>
      </c>
      <c r="BC1054" s="331">
        <f>SQRT(($R1054-Infrastructure!J$10)^2+($S1054-Infrastructure!K$10)^2)</f>
        <v>29.58546941</v>
      </c>
      <c r="BD1054" s="331">
        <f>SQRT(($R1054-Infrastructure!J$11)^2+($S1054-Infrastructure!K$11)^2)</f>
        <v>34.61011413</v>
      </c>
      <c r="BE1054" s="333">
        <f>SQRT(($R1054-Infrastructure!J$12)^2+($S1054-Infrastructure!K$12)^2)</f>
        <v>45.8889965</v>
      </c>
      <c r="BF1054" s="330">
        <f t="shared" si="14"/>
        <v>10.61696755</v>
      </c>
      <c r="BG1054" s="333">
        <f t="shared" si="15"/>
        <v>45.8889965</v>
      </c>
      <c r="BH1054" s="902">
        <v>36617.0</v>
      </c>
      <c r="BI1054" s="462" t="s">
        <v>845</v>
      </c>
      <c r="BJ1054" s="319" t="s">
        <v>845</v>
      </c>
      <c r="BK1054" s="319" t="s">
        <v>845</v>
      </c>
      <c r="BL1054" s="319" t="s">
        <v>845</v>
      </c>
      <c r="BM1054" s="319" t="s">
        <v>845</v>
      </c>
      <c r="BN1054" s="319" t="s">
        <v>845</v>
      </c>
      <c r="BO1054" s="319" t="s">
        <v>845</v>
      </c>
      <c r="BP1054" s="319" t="s">
        <v>845</v>
      </c>
      <c r="BQ1054" s="319" t="s">
        <v>845</v>
      </c>
      <c r="BR1054" s="324" t="s">
        <v>845</v>
      </c>
      <c r="BS1054" s="330">
        <f t="shared" si="78"/>
        <v>0</v>
      </c>
      <c r="BT1054" s="331">
        <f t="shared" si="79"/>
        <v>0</v>
      </c>
      <c r="BU1054" s="920"/>
      <c r="BV1054" s="903"/>
      <c r="BW1054" s="907"/>
      <c r="BX1054" s="908"/>
      <c r="BY1054" s="331"/>
      <c r="BZ1054" s="340"/>
      <c r="CA1054" s="316"/>
      <c r="CB1054" s="318"/>
      <c r="CC1054" s="318"/>
      <c r="CD1054" s="318"/>
      <c r="CE1054" s="318"/>
      <c r="CF1054" s="318"/>
      <c r="CG1054" s="318"/>
      <c r="CH1054" s="318"/>
      <c r="CI1054" s="318"/>
      <c r="CJ1054" s="463"/>
      <c r="CK1054" s="342">
        <f t="shared" si="18"/>
        <v>0</v>
      </c>
      <c r="CL1054" s="333">
        <f t="shared" si="19"/>
        <v>0</v>
      </c>
      <c r="CM1054" s="829"/>
      <c r="CN1054" s="333"/>
      <c r="CO1054" s="333"/>
      <c r="CP1054" s="333"/>
    </row>
    <row r="1055">
      <c r="B1055" s="462" t="s">
        <v>1711</v>
      </c>
      <c r="C1055" s="914">
        <v>44460.0</v>
      </c>
      <c r="D1055" s="318"/>
      <c r="E1055" s="319">
        <v>15.0</v>
      </c>
      <c r="F1055" s="324" t="s">
        <v>1732</v>
      </c>
      <c r="G1055" s="321">
        <v>0.4673611111111111</v>
      </c>
      <c r="H1055" s="323">
        <v>0.4675347222222222</v>
      </c>
      <c r="I1055" s="323"/>
      <c r="J1055" s="323"/>
      <c r="K1055" s="323">
        <v>0.478125</v>
      </c>
      <c r="L1055" s="323">
        <v>0.010590277777777778</v>
      </c>
      <c r="M1055" s="319" t="s">
        <v>166</v>
      </c>
      <c r="N1055" s="324" t="s">
        <v>187</v>
      </c>
      <c r="O1055" s="419" t="s">
        <v>198</v>
      </c>
      <c r="P1055" s="319" t="s">
        <v>223</v>
      </c>
      <c r="Q1055" s="318"/>
      <c r="R1055" s="326">
        <v>10.0</v>
      </c>
      <c r="S1055" s="319">
        <v>11.7</v>
      </c>
      <c r="T1055" s="324">
        <v>0.5</v>
      </c>
      <c r="U1055" s="319">
        <v>0.3</v>
      </c>
      <c r="V1055" s="319"/>
      <c r="W1055" s="319"/>
      <c r="X1055" s="319"/>
      <c r="Y1055" s="319"/>
      <c r="Z1055" s="319" t="s">
        <v>343</v>
      </c>
      <c r="AA1055" s="319"/>
      <c r="AB1055" s="319" t="s">
        <v>371</v>
      </c>
      <c r="AC1055" s="327">
        <v>1.8</v>
      </c>
      <c r="AD1055" s="319"/>
      <c r="AE1055" s="319"/>
      <c r="AF1055" s="319"/>
      <c r="AG1055" s="319"/>
      <c r="AH1055" s="319"/>
      <c r="AI1055" s="319"/>
      <c r="AJ1055" s="327"/>
      <c r="AK1055" s="328"/>
      <c r="AL1055" s="319"/>
      <c r="AM1055" s="319"/>
      <c r="AN1055" s="319"/>
      <c r="AO1055" s="319"/>
      <c r="AP1055" s="319"/>
      <c r="AQ1055" s="319"/>
      <c r="AR1055" s="319"/>
      <c r="AS1055" s="327"/>
      <c r="AT1055" s="461" t="s">
        <v>181</v>
      </c>
      <c r="AU1055" s="324" t="s">
        <v>845</v>
      </c>
      <c r="AV1055" s="330">
        <f>SQRT(($R1055-Infrastructure!J$3)^2+($S1055-Infrastructure!K$3)^2)</f>
        <v>20.04819194</v>
      </c>
      <c r="AW1055" s="331">
        <f>SQRT(($R1055-Infrastructure!J$4)^2+($S1055-Infrastructure!K$4)^2)</f>
        <v>11.9707978</v>
      </c>
      <c r="AX1055" s="331">
        <f>SQRT(($R1055-Infrastructure!J$5)^2+($S1055-Infrastructure!K$5)^2)</f>
        <v>12.23315168</v>
      </c>
      <c r="AY1055" s="331">
        <f>SQRT(($R1055-Infrastructure!J$6)^2+($S1055-Infrastructure!K$6)^2)</f>
        <v>11.40043859</v>
      </c>
      <c r="AZ1055" s="331">
        <f>SQRT(($R1055-Infrastructure!J$7)^2+($S1055-Infrastructure!K$7)^2)</f>
        <v>15.49870962</v>
      </c>
      <c r="BA1055" s="331">
        <f>SQRT(($R1055-Infrastructure!J$8)^2+($S1055-Infrastructure!K$8)^2)</f>
        <v>23.10779089</v>
      </c>
      <c r="BB1055" s="331">
        <f>SQRT(($R1055-Infrastructure!J$9)^2+($S1055-Infrastructure!K$9)^2)</f>
        <v>30.71742177</v>
      </c>
      <c r="BC1055" s="331">
        <f>SQRT(($R1055-Infrastructure!J$10)^2+($S1055-Infrastructure!K$10)^2)</f>
        <v>30.18095426</v>
      </c>
      <c r="BD1055" s="331">
        <f>SQRT(($R1055-Infrastructure!J$11)^2+($S1055-Infrastructure!K$11)^2)</f>
        <v>34.80416642</v>
      </c>
      <c r="BE1055" s="333">
        <f>SQRT(($R1055-Infrastructure!J$12)^2+($S1055-Infrastructure!K$12)^2)</f>
        <v>45.28454482</v>
      </c>
      <c r="BF1055" s="330">
        <f t="shared" si="14"/>
        <v>11.40043859</v>
      </c>
      <c r="BG1055" s="333">
        <f t="shared" si="15"/>
        <v>45.28454482</v>
      </c>
      <c r="BH1055" s="902">
        <v>36617.0</v>
      </c>
      <c r="BI1055" s="462" t="s">
        <v>845</v>
      </c>
      <c r="BJ1055" s="319" t="s">
        <v>845</v>
      </c>
      <c r="BK1055" s="319" t="s">
        <v>845</v>
      </c>
      <c r="BL1055" s="319" t="s">
        <v>845</v>
      </c>
      <c r="BM1055" s="319" t="s">
        <v>845</v>
      </c>
      <c r="BN1055" s="319" t="s">
        <v>846</v>
      </c>
      <c r="BO1055" s="319" t="s">
        <v>845</v>
      </c>
      <c r="BP1055" s="319" t="s">
        <v>845</v>
      </c>
      <c r="BQ1055" s="319" t="s">
        <v>845</v>
      </c>
      <c r="BR1055" s="324" t="s">
        <v>845</v>
      </c>
      <c r="BS1055" s="330">
        <f t="shared" si="78"/>
        <v>23.10779089</v>
      </c>
      <c r="BT1055" s="331">
        <f t="shared" si="79"/>
        <v>23.10779089</v>
      </c>
      <c r="BU1055" s="915">
        <v>0.4673726851851852</v>
      </c>
      <c r="BV1055" s="903">
        <f t="shared" ref="BV1055:BV1056" si="88">BU1055-G1055</f>
        <v>0.00001157407407</v>
      </c>
      <c r="BW1055" s="907"/>
      <c r="BX1055" s="908"/>
      <c r="BY1055" s="331"/>
      <c r="BZ1055" s="340"/>
      <c r="CA1055" s="316"/>
      <c r="CB1055" s="318"/>
      <c r="CC1055" s="318"/>
      <c r="CD1055" s="318"/>
      <c r="CE1055" s="318"/>
      <c r="CF1055" s="318"/>
      <c r="CG1055" s="318"/>
      <c r="CH1055" s="318"/>
      <c r="CI1055" s="318"/>
      <c r="CJ1055" s="463"/>
      <c r="CK1055" s="342">
        <f t="shared" si="18"/>
        <v>0</v>
      </c>
      <c r="CL1055" s="333">
        <f t="shared" si="19"/>
        <v>0</v>
      </c>
      <c r="CM1055" s="829"/>
      <c r="CN1055" s="333"/>
      <c r="CO1055" s="333"/>
      <c r="CP1055" s="333"/>
    </row>
    <row r="1056">
      <c r="B1056" s="462" t="s">
        <v>1711</v>
      </c>
      <c r="C1056" s="914">
        <v>44460.0</v>
      </c>
      <c r="D1056" s="318"/>
      <c r="E1056" s="319">
        <v>16.0</v>
      </c>
      <c r="F1056" s="324" t="s">
        <v>1733</v>
      </c>
      <c r="G1056" s="321">
        <v>0.4798611111111111</v>
      </c>
      <c r="H1056" s="323">
        <v>0.48032407407407407</v>
      </c>
      <c r="I1056" s="323"/>
      <c r="J1056" s="323"/>
      <c r="K1056" s="323">
        <v>0.48506944444444444</v>
      </c>
      <c r="L1056" s="323">
        <v>0.00474537037037037</v>
      </c>
      <c r="M1056" s="319" t="s">
        <v>166</v>
      </c>
      <c r="N1056" s="324" t="s">
        <v>187</v>
      </c>
      <c r="O1056" s="419" t="s">
        <v>198</v>
      </c>
      <c r="P1056" s="319" t="s">
        <v>287</v>
      </c>
      <c r="Q1056" s="318"/>
      <c r="R1056" s="326">
        <v>9.0</v>
      </c>
      <c r="S1056" s="319">
        <v>8.5</v>
      </c>
      <c r="T1056" s="324">
        <v>1.8</v>
      </c>
      <c r="U1056" s="319">
        <v>0.3</v>
      </c>
      <c r="V1056" s="319"/>
      <c r="W1056" s="319"/>
      <c r="X1056" s="319"/>
      <c r="Y1056" s="319"/>
      <c r="Z1056" s="319" t="s">
        <v>343</v>
      </c>
      <c r="AA1056" s="319"/>
      <c r="AB1056" s="319" t="s">
        <v>371</v>
      </c>
      <c r="AC1056" s="327">
        <v>1.8</v>
      </c>
      <c r="AD1056" s="319"/>
      <c r="AE1056" s="319"/>
      <c r="AF1056" s="319"/>
      <c r="AG1056" s="319"/>
      <c r="AH1056" s="319"/>
      <c r="AI1056" s="319"/>
      <c r="AJ1056" s="327"/>
      <c r="AK1056" s="328"/>
      <c r="AL1056" s="319"/>
      <c r="AM1056" s="319"/>
      <c r="AN1056" s="319"/>
      <c r="AO1056" s="319"/>
      <c r="AP1056" s="319"/>
      <c r="AQ1056" s="319"/>
      <c r="AR1056" s="319"/>
      <c r="AS1056" s="327"/>
      <c r="AT1056" s="461" t="s">
        <v>181</v>
      </c>
      <c r="AU1056" s="324" t="s">
        <v>845</v>
      </c>
      <c r="AV1056" s="330">
        <f>SQRT(($R1056-Infrastructure!J$3)^2+($S1056-Infrastructure!K$3)^2)</f>
        <v>22.41985727</v>
      </c>
      <c r="AW1056" s="331">
        <f>SQRT(($R1056-Infrastructure!J$4)^2+($S1056-Infrastructure!K$4)^2)</f>
        <v>13.15218613</v>
      </c>
      <c r="AX1056" s="331">
        <f>SQRT(($R1056-Infrastructure!J$5)^2+($S1056-Infrastructure!K$5)^2)</f>
        <v>9.902019996</v>
      </c>
      <c r="AY1056" s="331">
        <f>SQRT(($R1056-Infrastructure!J$6)^2+($S1056-Infrastructure!K$6)^2)</f>
        <v>8.273451517</v>
      </c>
      <c r="AZ1056" s="331">
        <f>SQRT(($R1056-Infrastructure!J$7)^2+($S1056-Infrastructure!K$7)^2)</f>
        <v>14.12409289</v>
      </c>
      <c r="BA1056" s="331">
        <f>SQRT(($R1056-Infrastructure!J$8)^2+($S1056-Infrastructure!K$8)^2)</f>
        <v>22.6373585</v>
      </c>
      <c r="BB1056" s="331">
        <f>SQRT(($R1056-Infrastructure!J$9)^2+($S1056-Infrastructure!K$9)^2)</f>
        <v>31.18589425</v>
      </c>
      <c r="BC1056" s="331">
        <f>SQRT(($R1056-Infrastructure!J$10)^2+($S1056-Infrastructure!K$10)^2)</f>
        <v>31.67412193</v>
      </c>
      <c r="BD1056" s="331">
        <f>SQRT(($R1056-Infrastructure!J$11)^2+($S1056-Infrastructure!K$11)^2)</f>
        <v>37.33215772</v>
      </c>
      <c r="BE1056" s="333">
        <f>SQRT(($R1056-Infrastructure!J$12)^2+($S1056-Infrastructure!K$12)^2)</f>
        <v>48.63383596</v>
      </c>
      <c r="BF1056" s="330">
        <f t="shared" si="14"/>
        <v>8.273451517</v>
      </c>
      <c r="BG1056" s="333">
        <f t="shared" si="15"/>
        <v>48.63383596</v>
      </c>
      <c r="BH1056" s="902">
        <v>36617.0</v>
      </c>
      <c r="BI1056" s="462" t="s">
        <v>845</v>
      </c>
      <c r="BJ1056" s="319" t="s">
        <v>846</v>
      </c>
      <c r="BK1056" s="319" t="s">
        <v>845</v>
      </c>
      <c r="BL1056" s="319" t="s">
        <v>845</v>
      </c>
      <c r="BM1056" s="319" t="s">
        <v>845</v>
      </c>
      <c r="BN1056" s="319" t="s">
        <v>846</v>
      </c>
      <c r="BO1056" s="319" t="s">
        <v>845</v>
      </c>
      <c r="BP1056" s="319" t="s">
        <v>845</v>
      </c>
      <c r="BQ1056" s="319" t="s">
        <v>846</v>
      </c>
      <c r="BR1056" s="324" t="s">
        <v>845</v>
      </c>
      <c r="BS1056" s="330">
        <f t="shared" si="78"/>
        <v>13.15218613</v>
      </c>
      <c r="BT1056" s="331">
        <f t="shared" si="79"/>
        <v>37.33215772</v>
      </c>
      <c r="BU1056" s="915">
        <v>0.47988425925925926</v>
      </c>
      <c r="BV1056" s="903">
        <f t="shared" si="88"/>
        <v>0.00002314814815</v>
      </c>
      <c r="BW1056" s="921">
        <v>0.590322580645161</v>
      </c>
      <c r="BX1056" s="923">
        <v>14.3258064516128</v>
      </c>
      <c r="BY1056" s="331">
        <f>IF(BW1056&gt;0, SQRT((R1056-BW1056)^2+(S1056-BX1056)^2))</f>
        <v>10.23047873</v>
      </c>
      <c r="BZ1056" s="340"/>
      <c r="CA1056" s="316"/>
      <c r="CB1056" s="318"/>
      <c r="CC1056" s="318"/>
      <c r="CD1056" s="318"/>
      <c r="CE1056" s="318"/>
      <c r="CF1056" s="318"/>
      <c r="CG1056" s="318"/>
      <c r="CH1056" s="318"/>
      <c r="CI1056" s="318"/>
      <c r="CJ1056" s="463"/>
      <c r="CK1056" s="342">
        <f t="shared" si="18"/>
        <v>0</v>
      </c>
      <c r="CL1056" s="333">
        <f t="shared" si="19"/>
        <v>0</v>
      </c>
      <c r="CM1056" s="829"/>
      <c r="CN1056" s="333"/>
      <c r="CO1056" s="333"/>
      <c r="CP1056" s="333"/>
    </row>
    <row r="1057">
      <c r="B1057" s="462" t="s">
        <v>1711</v>
      </c>
      <c r="C1057" s="914">
        <v>44460.0</v>
      </c>
      <c r="D1057" s="318"/>
      <c r="E1057" s="319">
        <v>17.0</v>
      </c>
      <c r="F1057" s="324" t="s">
        <v>1734</v>
      </c>
      <c r="G1057" s="321">
        <v>0.490625</v>
      </c>
      <c r="H1057" s="323">
        <v>0.4908564814814815</v>
      </c>
      <c r="I1057" s="323"/>
      <c r="J1057" s="323"/>
      <c r="K1057" s="323">
        <v>0.49519675925925927</v>
      </c>
      <c r="L1057" s="323">
        <v>0.004340277777777778</v>
      </c>
      <c r="M1057" s="319" t="s">
        <v>166</v>
      </c>
      <c r="N1057" s="324" t="s">
        <v>187</v>
      </c>
      <c r="O1057" s="419" t="s">
        <v>198</v>
      </c>
      <c r="P1057" s="319" t="s">
        <v>287</v>
      </c>
      <c r="Q1057" s="318"/>
      <c r="R1057" s="326">
        <v>9.0</v>
      </c>
      <c r="S1057" s="319">
        <v>8.5</v>
      </c>
      <c r="T1057" s="324">
        <v>1.4</v>
      </c>
      <c r="U1057" s="319">
        <v>0.1</v>
      </c>
      <c r="V1057" s="319"/>
      <c r="W1057" s="319"/>
      <c r="X1057" s="319"/>
      <c r="Y1057" s="319"/>
      <c r="Z1057" s="319" t="s">
        <v>335</v>
      </c>
      <c r="AA1057" s="319"/>
      <c r="AB1057" s="319" t="s">
        <v>371</v>
      </c>
      <c r="AC1057" s="327">
        <v>1.8</v>
      </c>
      <c r="AD1057" s="319"/>
      <c r="AE1057" s="319"/>
      <c r="AF1057" s="319"/>
      <c r="AG1057" s="319"/>
      <c r="AH1057" s="319"/>
      <c r="AI1057" s="319"/>
      <c r="AJ1057" s="327"/>
      <c r="AK1057" s="328"/>
      <c r="AL1057" s="319"/>
      <c r="AM1057" s="319"/>
      <c r="AN1057" s="319"/>
      <c r="AO1057" s="319"/>
      <c r="AP1057" s="319"/>
      <c r="AQ1057" s="319"/>
      <c r="AR1057" s="319"/>
      <c r="AS1057" s="327"/>
      <c r="AT1057" s="461" t="s">
        <v>181</v>
      </c>
      <c r="AU1057" s="324" t="s">
        <v>845</v>
      </c>
      <c r="AV1057" s="330">
        <f>SQRT(($R1057-Infrastructure!J$3)^2+($S1057-Infrastructure!K$3)^2)</f>
        <v>22.41985727</v>
      </c>
      <c r="AW1057" s="331">
        <f>SQRT(($R1057-Infrastructure!J$4)^2+($S1057-Infrastructure!K$4)^2)</f>
        <v>13.15218613</v>
      </c>
      <c r="AX1057" s="331">
        <f>SQRT(($R1057-Infrastructure!J$5)^2+($S1057-Infrastructure!K$5)^2)</f>
        <v>9.902019996</v>
      </c>
      <c r="AY1057" s="331">
        <f>SQRT(($R1057-Infrastructure!J$6)^2+($S1057-Infrastructure!K$6)^2)</f>
        <v>8.273451517</v>
      </c>
      <c r="AZ1057" s="331">
        <f>SQRT(($R1057-Infrastructure!J$7)^2+($S1057-Infrastructure!K$7)^2)</f>
        <v>14.12409289</v>
      </c>
      <c r="BA1057" s="331">
        <f>SQRT(($R1057-Infrastructure!J$8)^2+($S1057-Infrastructure!K$8)^2)</f>
        <v>22.6373585</v>
      </c>
      <c r="BB1057" s="331">
        <f>SQRT(($R1057-Infrastructure!J$9)^2+($S1057-Infrastructure!K$9)^2)</f>
        <v>31.18589425</v>
      </c>
      <c r="BC1057" s="331">
        <f>SQRT(($R1057-Infrastructure!J$10)^2+($S1057-Infrastructure!K$10)^2)</f>
        <v>31.67412193</v>
      </c>
      <c r="BD1057" s="331">
        <f>SQRT(($R1057-Infrastructure!J$11)^2+($S1057-Infrastructure!K$11)^2)</f>
        <v>37.33215772</v>
      </c>
      <c r="BE1057" s="333">
        <f>SQRT(($R1057-Infrastructure!J$12)^2+($S1057-Infrastructure!K$12)^2)</f>
        <v>48.63383596</v>
      </c>
      <c r="BF1057" s="330">
        <f t="shared" si="14"/>
        <v>8.273451517</v>
      </c>
      <c r="BG1057" s="333">
        <f t="shared" si="15"/>
        <v>48.63383596</v>
      </c>
      <c r="BH1057" s="902">
        <v>36617.0</v>
      </c>
      <c r="BI1057" s="462" t="s">
        <v>845</v>
      </c>
      <c r="BJ1057" s="319" t="s">
        <v>845</v>
      </c>
      <c r="BK1057" s="319" t="s">
        <v>845</v>
      </c>
      <c r="BL1057" s="319" t="s">
        <v>845</v>
      </c>
      <c r="BM1057" s="319" t="s">
        <v>845</v>
      </c>
      <c r="BN1057" s="319" t="s">
        <v>845</v>
      </c>
      <c r="BO1057" s="319" t="s">
        <v>845</v>
      </c>
      <c r="BP1057" s="319" t="s">
        <v>845</v>
      </c>
      <c r="BQ1057" s="319" t="s">
        <v>845</v>
      </c>
      <c r="BR1057" s="324" t="s">
        <v>845</v>
      </c>
      <c r="BS1057" s="330">
        <f t="shared" si="78"/>
        <v>0</v>
      </c>
      <c r="BT1057" s="331">
        <f t="shared" si="79"/>
        <v>0</v>
      </c>
      <c r="BU1057" s="920"/>
      <c r="BV1057" s="903"/>
      <c r="BW1057" s="907"/>
      <c r="BX1057" s="908"/>
      <c r="BY1057" s="331"/>
      <c r="BZ1057" s="340"/>
      <c r="CA1057" s="316"/>
      <c r="CB1057" s="318"/>
      <c r="CC1057" s="318"/>
      <c r="CD1057" s="318"/>
      <c r="CE1057" s="318"/>
      <c r="CF1057" s="318"/>
      <c r="CG1057" s="318"/>
      <c r="CH1057" s="318"/>
      <c r="CI1057" s="318"/>
      <c r="CJ1057" s="463"/>
      <c r="CK1057" s="342">
        <f t="shared" si="18"/>
        <v>0</v>
      </c>
      <c r="CL1057" s="333">
        <f t="shared" si="19"/>
        <v>0</v>
      </c>
      <c r="CM1057" s="829"/>
      <c r="CN1057" s="333"/>
      <c r="CO1057" s="333"/>
      <c r="CP1057" s="333"/>
    </row>
    <row r="1058">
      <c r="B1058" s="462" t="s">
        <v>1711</v>
      </c>
      <c r="C1058" s="914">
        <v>44460.0</v>
      </c>
      <c r="D1058" s="318"/>
      <c r="E1058" s="319">
        <v>18.0</v>
      </c>
      <c r="F1058" s="324" t="s">
        <v>1735</v>
      </c>
      <c r="G1058" s="321">
        <v>0.5048611111111111</v>
      </c>
      <c r="H1058" s="323">
        <v>0.5053819444444444</v>
      </c>
      <c r="I1058" s="323"/>
      <c r="J1058" s="323"/>
      <c r="K1058" s="323">
        <v>0.5105902777777778</v>
      </c>
      <c r="L1058" s="323">
        <v>0.005208333333333333</v>
      </c>
      <c r="M1058" s="319" t="s">
        <v>166</v>
      </c>
      <c r="N1058" s="324" t="s">
        <v>187</v>
      </c>
      <c r="O1058" s="419" t="s">
        <v>198</v>
      </c>
      <c r="P1058" s="319" t="s">
        <v>287</v>
      </c>
      <c r="Q1058" s="318"/>
      <c r="R1058" s="326">
        <v>9.0</v>
      </c>
      <c r="S1058" s="319">
        <v>8.5</v>
      </c>
      <c r="T1058" s="324">
        <v>1.4</v>
      </c>
      <c r="U1058" s="319">
        <v>0.3</v>
      </c>
      <c r="V1058" s="319"/>
      <c r="W1058" s="319"/>
      <c r="X1058" s="319"/>
      <c r="Y1058" s="319"/>
      <c r="Z1058" s="319" t="s">
        <v>335</v>
      </c>
      <c r="AA1058" s="319"/>
      <c r="AB1058" s="319" t="s">
        <v>371</v>
      </c>
      <c r="AC1058" s="327">
        <v>1.8</v>
      </c>
      <c r="AD1058" s="319"/>
      <c r="AE1058" s="319"/>
      <c r="AF1058" s="319"/>
      <c r="AG1058" s="319"/>
      <c r="AH1058" s="319"/>
      <c r="AI1058" s="319"/>
      <c r="AJ1058" s="327"/>
      <c r="AK1058" s="328"/>
      <c r="AL1058" s="319"/>
      <c r="AM1058" s="319"/>
      <c r="AN1058" s="319"/>
      <c r="AO1058" s="319"/>
      <c r="AP1058" s="319"/>
      <c r="AQ1058" s="319"/>
      <c r="AR1058" s="319"/>
      <c r="AS1058" s="327"/>
      <c r="AT1058" s="461" t="s">
        <v>181</v>
      </c>
      <c r="AU1058" s="324" t="s">
        <v>845</v>
      </c>
      <c r="AV1058" s="330">
        <f>SQRT(($R1058-Infrastructure!J$3)^2+($S1058-Infrastructure!K$3)^2)</f>
        <v>22.41985727</v>
      </c>
      <c r="AW1058" s="331">
        <f>SQRT(($R1058-Infrastructure!J$4)^2+($S1058-Infrastructure!K$4)^2)</f>
        <v>13.15218613</v>
      </c>
      <c r="AX1058" s="331">
        <f>SQRT(($R1058-Infrastructure!J$5)^2+($S1058-Infrastructure!K$5)^2)</f>
        <v>9.902019996</v>
      </c>
      <c r="AY1058" s="331">
        <f>SQRT(($R1058-Infrastructure!J$6)^2+($S1058-Infrastructure!K$6)^2)</f>
        <v>8.273451517</v>
      </c>
      <c r="AZ1058" s="331">
        <f>SQRT(($R1058-Infrastructure!J$7)^2+($S1058-Infrastructure!K$7)^2)</f>
        <v>14.12409289</v>
      </c>
      <c r="BA1058" s="331">
        <f>SQRT(($R1058-Infrastructure!J$8)^2+($S1058-Infrastructure!K$8)^2)</f>
        <v>22.6373585</v>
      </c>
      <c r="BB1058" s="331">
        <f>SQRT(($R1058-Infrastructure!J$9)^2+($S1058-Infrastructure!K$9)^2)</f>
        <v>31.18589425</v>
      </c>
      <c r="BC1058" s="331">
        <f>SQRT(($R1058-Infrastructure!J$10)^2+($S1058-Infrastructure!K$10)^2)</f>
        <v>31.67412193</v>
      </c>
      <c r="BD1058" s="331">
        <f>SQRT(($R1058-Infrastructure!J$11)^2+($S1058-Infrastructure!K$11)^2)</f>
        <v>37.33215772</v>
      </c>
      <c r="BE1058" s="333">
        <f>SQRT(($R1058-Infrastructure!J$12)^2+($S1058-Infrastructure!K$12)^2)</f>
        <v>48.63383596</v>
      </c>
      <c r="BF1058" s="330">
        <f t="shared" si="14"/>
        <v>8.273451517</v>
      </c>
      <c r="BG1058" s="333">
        <f t="shared" si="15"/>
        <v>48.63383596</v>
      </c>
      <c r="BH1058" s="902">
        <v>36617.0</v>
      </c>
      <c r="BI1058" s="462" t="s">
        <v>845</v>
      </c>
      <c r="BJ1058" s="319" t="s">
        <v>845</v>
      </c>
      <c r="BK1058" s="319" t="s">
        <v>845</v>
      </c>
      <c r="BL1058" s="319" t="s">
        <v>845</v>
      </c>
      <c r="BM1058" s="319" t="s">
        <v>845</v>
      </c>
      <c r="BN1058" s="319" t="s">
        <v>846</v>
      </c>
      <c r="BO1058" s="319" t="s">
        <v>846</v>
      </c>
      <c r="BP1058" s="319" t="s">
        <v>845</v>
      </c>
      <c r="BQ1058" s="319" t="s">
        <v>846</v>
      </c>
      <c r="BR1058" s="324" t="s">
        <v>845</v>
      </c>
      <c r="BS1058" s="330">
        <f t="shared" si="78"/>
        <v>22.6373585</v>
      </c>
      <c r="BT1058" s="331">
        <f t="shared" si="79"/>
        <v>37.33215772</v>
      </c>
      <c r="BU1058" s="915">
        <v>0.5049074074074074</v>
      </c>
      <c r="BV1058" s="903">
        <f t="shared" ref="BV1058:BV1059" si="89">BU1058-G1058</f>
        <v>0.0000462962963</v>
      </c>
      <c r="BW1058" s="921">
        <v>1.61267605633802</v>
      </c>
      <c r="BX1058" s="923">
        <v>9.87464788732394</v>
      </c>
      <c r="BY1058" s="331">
        <f t="shared" ref="BY1058:BY1059" si="90">IF(BW1058&gt;0, SQRT((R1058-BW1058)^2+(S1058-BX1058)^2))</f>
        <v>7.514134139</v>
      </c>
      <c r="BZ1058" s="340"/>
      <c r="CA1058" s="316"/>
      <c r="CB1058" s="318"/>
      <c r="CC1058" s="318"/>
      <c r="CD1058" s="318"/>
      <c r="CE1058" s="318"/>
      <c r="CF1058" s="318"/>
      <c r="CG1058" s="318"/>
      <c r="CH1058" s="318"/>
      <c r="CI1058" s="318"/>
      <c r="CJ1058" s="463"/>
      <c r="CK1058" s="342">
        <f t="shared" si="18"/>
        <v>0</v>
      </c>
      <c r="CL1058" s="333">
        <f t="shared" si="19"/>
        <v>0</v>
      </c>
      <c r="CM1058" s="829"/>
      <c r="CN1058" s="333"/>
      <c r="CO1058" s="333"/>
      <c r="CP1058" s="333"/>
    </row>
    <row r="1059">
      <c r="B1059" s="462" t="s">
        <v>1711</v>
      </c>
      <c r="C1059" s="914">
        <v>44460.0</v>
      </c>
      <c r="D1059" s="318"/>
      <c r="E1059" s="319">
        <v>19.0</v>
      </c>
      <c r="F1059" s="324" t="s">
        <v>1736</v>
      </c>
      <c r="G1059" s="321">
        <v>0.5105902777777778</v>
      </c>
      <c r="H1059" s="323">
        <v>0.5111111111111111</v>
      </c>
      <c r="I1059" s="323"/>
      <c r="J1059" s="323"/>
      <c r="K1059" s="323">
        <v>0.5220486111111111</v>
      </c>
      <c r="L1059" s="323">
        <v>0.0109375</v>
      </c>
      <c r="M1059" s="319" t="s">
        <v>166</v>
      </c>
      <c r="N1059" s="324" t="s">
        <v>187</v>
      </c>
      <c r="O1059" s="419" t="s">
        <v>198</v>
      </c>
      <c r="P1059" s="319" t="s">
        <v>287</v>
      </c>
      <c r="Q1059" s="318"/>
      <c r="R1059" s="326">
        <v>9.0</v>
      </c>
      <c r="S1059" s="319">
        <v>8.5</v>
      </c>
      <c r="T1059" s="324">
        <v>1.4</v>
      </c>
      <c r="U1059" s="319">
        <v>0.1</v>
      </c>
      <c r="V1059" s="319"/>
      <c r="W1059" s="319"/>
      <c r="X1059" s="319"/>
      <c r="Y1059" s="319"/>
      <c r="Z1059" s="319" t="s">
        <v>335</v>
      </c>
      <c r="AA1059" s="319"/>
      <c r="AB1059" s="319" t="s">
        <v>371</v>
      </c>
      <c r="AC1059" s="327">
        <v>1.8</v>
      </c>
      <c r="AD1059" s="319"/>
      <c r="AE1059" s="319"/>
      <c r="AF1059" s="319"/>
      <c r="AG1059" s="319"/>
      <c r="AH1059" s="319"/>
      <c r="AI1059" s="319"/>
      <c r="AJ1059" s="327"/>
      <c r="AK1059" s="328"/>
      <c r="AL1059" s="319"/>
      <c r="AM1059" s="319"/>
      <c r="AN1059" s="319"/>
      <c r="AO1059" s="319"/>
      <c r="AP1059" s="319"/>
      <c r="AQ1059" s="319"/>
      <c r="AR1059" s="319"/>
      <c r="AS1059" s="327"/>
      <c r="AT1059" s="461" t="s">
        <v>181</v>
      </c>
      <c r="AU1059" s="324" t="s">
        <v>845</v>
      </c>
      <c r="AV1059" s="662">
        <f>SQRT(($R1059-Infrastructure!J$3)^2+($S1059-Infrastructure!K$3)^2)</f>
        <v>22.41985727</v>
      </c>
      <c r="AW1059" s="641">
        <f>SQRT(($R1059-Infrastructure!J$4)^2+($S1059-Infrastructure!K$4)^2)</f>
        <v>13.15218613</v>
      </c>
      <c r="AX1059" s="641">
        <f>SQRT(($R1059-Infrastructure!J$5)^2+($S1059-Infrastructure!K$5)^2)</f>
        <v>9.902019996</v>
      </c>
      <c r="AY1059" s="641">
        <f>SQRT(($R1059-Infrastructure!J$6)^2+($S1059-Infrastructure!K$6)^2)</f>
        <v>8.273451517</v>
      </c>
      <c r="AZ1059" s="641">
        <f>SQRT(($R1059-Infrastructure!J$7)^2+($S1059-Infrastructure!K$7)^2)</f>
        <v>14.12409289</v>
      </c>
      <c r="BA1059" s="641">
        <f>SQRT(($R1059-Infrastructure!J$8)^2+($S1059-Infrastructure!K$8)^2)</f>
        <v>22.6373585</v>
      </c>
      <c r="BB1059" s="641">
        <f>SQRT(($R1059-Infrastructure!J$9)^2+($S1059-Infrastructure!K$9)^2)</f>
        <v>31.18589425</v>
      </c>
      <c r="BC1059" s="641">
        <f>SQRT(($R1059-Infrastructure!J$10)^2+($S1059-Infrastructure!K$10)^2)</f>
        <v>31.67412193</v>
      </c>
      <c r="BD1059" s="641">
        <f>SQRT(($R1059-Infrastructure!J$11)^2+($S1059-Infrastructure!K$11)^2)</f>
        <v>37.33215772</v>
      </c>
      <c r="BE1059" s="642">
        <f>SQRT(($R1059-Infrastructure!J$12)^2+($S1059-Infrastructure!K$12)^2)</f>
        <v>48.63383596</v>
      </c>
      <c r="BF1059" s="330">
        <f t="shared" si="14"/>
        <v>8.273451517</v>
      </c>
      <c r="BG1059" s="333">
        <f t="shared" si="15"/>
        <v>48.63383596</v>
      </c>
      <c r="BH1059" s="902">
        <v>36617.0</v>
      </c>
      <c r="BI1059" s="462" t="s">
        <v>845</v>
      </c>
      <c r="BJ1059" s="319" t="s">
        <v>845</v>
      </c>
      <c r="BK1059" s="319" t="s">
        <v>845</v>
      </c>
      <c r="BL1059" s="319" t="s">
        <v>845</v>
      </c>
      <c r="BM1059" s="319" t="s">
        <v>845</v>
      </c>
      <c r="BN1059" s="319" t="s">
        <v>846</v>
      </c>
      <c r="BO1059" s="319" t="s">
        <v>845</v>
      </c>
      <c r="BP1059" s="319" t="s">
        <v>845</v>
      </c>
      <c r="BQ1059" s="319" t="s">
        <v>846</v>
      </c>
      <c r="BR1059" s="324" t="s">
        <v>845</v>
      </c>
      <c r="BS1059" s="662">
        <f t="shared" si="78"/>
        <v>22.6373585</v>
      </c>
      <c r="BT1059" s="641">
        <f t="shared" si="79"/>
        <v>37.33215772</v>
      </c>
      <c r="BU1059" s="929">
        <v>0.5106018518518518</v>
      </c>
      <c r="BV1059" s="930">
        <f t="shared" si="89"/>
        <v>0.00001157407407</v>
      </c>
      <c r="BW1059" s="921">
        <v>1.4</v>
      </c>
      <c r="BX1059" s="923">
        <v>9.61111111111111</v>
      </c>
      <c r="BY1059" s="331">
        <f t="shared" si="90"/>
        <v>7.68079214</v>
      </c>
      <c r="BZ1059" s="340"/>
      <c r="CA1059" s="316"/>
      <c r="CB1059" s="318"/>
      <c r="CC1059" s="318"/>
      <c r="CD1059" s="318"/>
      <c r="CE1059" s="318"/>
      <c r="CF1059" s="318"/>
      <c r="CG1059" s="318"/>
      <c r="CH1059" s="318"/>
      <c r="CI1059" s="318"/>
      <c r="CJ1059" s="463"/>
      <c r="CK1059" s="342">
        <f t="shared" si="18"/>
        <v>0</v>
      </c>
      <c r="CL1059" s="333">
        <f t="shared" si="19"/>
        <v>0</v>
      </c>
      <c r="CM1059" s="829"/>
      <c r="CN1059" s="333"/>
      <c r="CO1059" s="333"/>
      <c r="CP1059" s="333"/>
    </row>
    <row r="1060">
      <c r="A1060" s="389" t="s">
        <v>54</v>
      </c>
      <c r="B1060" s="573" t="s">
        <v>1711</v>
      </c>
      <c r="C1060" s="909">
        <v>44460.0</v>
      </c>
      <c r="D1060" s="392"/>
      <c r="E1060" s="393">
        <v>1.0</v>
      </c>
      <c r="F1060" s="394" t="s">
        <v>1737</v>
      </c>
      <c r="G1060" s="395">
        <v>0.7074652777777778</v>
      </c>
      <c r="H1060" s="456">
        <v>0.7076388888888889</v>
      </c>
      <c r="I1060" s="456"/>
      <c r="J1060" s="456"/>
      <c r="K1060" s="456">
        <v>0.7080439814814815</v>
      </c>
      <c r="L1060" s="456">
        <v>4.050925925925926E-4</v>
      </c>
      <c r="M1060" s="393" t="s">
        <v>166</v>
      </c>
      <c r="N1060" s="394" t="s">
        <v>188</v>
      </c>
      <c r="O1060" s="399" t="s">
        <v>196</v>
      </c>
      <c r="P1060" s="393" t="s">
        <v>224</v>
      </c>
      <c r="Q1060" s="392"/>
      <c r="R1060" s="400">
        <v>21.7</v>
      </c>
      <c r="S1060" s="393">
        <v>39.5</v>
      </c>
      <c r="T1060" s="394">
        <v>1.26</v>
      </c>
      <c r="U1060" s="393">
        <v>17.0</v>
      </c>
      <c r="V1060" s="393"/>
      <c r="W1060" s="393"/>
      <c r="X1060" s="393"/>
      <c r="Y1060" s="393"/>
      <c r="Z1060" s="393" t="s">
        <v>387</v>
      </c>
      <c r="AA1060" s="393"/>
      <c r="AB1060" s="393" t="s">
        <v>416</v>
      </c>
      <c r="AC1060" s="401">
        <v>52.5</v>
      </c>
      <c r="AD1060" s="393"/>
      <c r="AE1060" s="393"/>
      <c r="AF1060" s="393"/>
      <c r="AG1060" s="393"/>
      <c r="AH1060" s="393"/>
      <c r="AI1060" s="393"/>
      <c r="AJ1060" s="401"/>
      <c r="AK1060" s="402"/>
      <c r="AL1060" s="393"/>
      <c r="AM1060" s="393"/>
      <c r="AN1060" s="393"/>
      <c r="AO1060" s="393"/>
      <c r="AP1060" s="393"/>
      <c r="AQ1060" s="393"/>
      <c r="AR1060" s="393"/>
      <c r="AS1060" s="401"/>
      <c r="AT1060" s="460" t="s">
        <v>183</v>
      </c>
      <c r="AU1060" s="394" t="s">
        <v>845</v>
      </c>
      <c r="AV1060" s="405">
        <f>SQRT(($R1060-Infrastructure!J$3)^2+($S1060-Infrastructure!K$3)^2)</f>
        <v>24.42048321</v>
      </c>
      <c r="AW1060" s="406">
        <f>SQRT(($R1060-Infrastructure!J$4)^2+($S1060-Infrastructure!K$4)^2)</f>
        <v>30.90129447</v>
      </c>
      <c r="AX1060" s="406">
        <f>SQRT(($R1060-Infrastructure!J$5)^2+($S1060-Infrastructure!K$5)^2)</f>
        <v>40.83331973</v>
      </c>
      <c r="AY1060" s="406">
        <f>SQRT(($R1060-Infrastructure!J$6)^2+($S1060-Infrastructure!K$6)^2)</f>
        <v>40.88031311</v>
      </c>
      <c r="AZ1060" s="406">
        <f>SQRT(($R1060-Infrastructure!J$7)^2+($S1060-Infrastructure!K$7)^2)</f>
        <v>39.21836305</v>
      </c>
      <c r="BA1060" s="406">
        <f>SQRT(($R1060-Infrastructure!J$8)^2+($S1060-Infrastructure!K$8)^2)</f>
        <v>40.08989898</v>
      </c>
      <c r="BB1060" s="406">
        <f>SQRT(($R1060-Infrastructure!J$9)^2+($S1060-Infrastructure!K$9)^2)</f>
        <v>38.96472764</v>
      </c>
      <c r="BC1060" s="406">
        <f>SQRT(($R1060-Infrastructure!J$10)^2+($S1060-Infrastructure!K$10)^2)</f>
        <v>30.58005886</v>
      </c>
      <c r="BD1060" s="406">
        <f>SQRT(($R1060-Infrastructure!J$11)^2+($S1060-Infrastructure!K$11)^2)</f>
        <v>21.27204739</v>
      </c>
      <c r="BE1060" s="408">
        <f>SQRT(($R1060-Infrastructure!J$12)^2+($S1060-Infrastructure!K$12)^2)</f>
        <v>16.00124995</v>
      </c>
      <c r="BF1060" s="405">
        <f t="shared" si="14"/>
        <v>16.00124995</v>
      </c>
      <c r="BG1060" s="408">
        <f t="shared" si="15"/>
        <v>40.88031311</v>
      </c>
      <c r="BH1060" s="910">
        <v>36617.0</v>
      </c>
      <c r="BI1060" s="573" t="s">
        <v>845</v>
      </c>
      <c r="BJ1060" s="393" t="s">
        <v>845</v>
      </c>
      <c r="BK1060" s="393" t="s">
        <v>845</v>
      </c>
      <c r="BL1060" s="393" t="s">
        <v>845</v>
      </c>
      <c r="BM1060" s="393" t="s">
        <v>845</v>
      </c>
      <c r="BN1060" s="393" t="s">
        <v>845</v>
      </c>
      <c r="BO1060" s="393" t="s">
        <v>845</v>
      </c>
      <c r="BP1060" s="393" t="s">
        <v>845</v>
      </c>
      <c r="BQ1060" s="393" t="s">
        <v>845</v>
      </c>
      <c r="BR1060" s="394" t="s">
        <v>845</v>
      </c>
      <c r="BS1060" s="330">
        <f t="shared" si="78"/>
        <v>0</v>
      </c>
      <c r="BT1060" s="331">
        <f t="shared" si="79"/>
        <v>0</v>
      </c>
      <c r="BU1060" s="931"/>
      <c r="BV1060" s="903"/>
      <c r="BW1060" s="925"/>
      <c r="BX1060" s="926"/>
      <c r="BY1060" s="331"/>
      <c r="BZ1060" s="412"/>
      <c r="CA1060" s="390"/>
      <c r="CB1060" s="392"/>
      <c r="CC1060" s="392"/>
      <c r="CD1060" s="392"/>
      <c r="CE1060" s="392"/>
      <c r="CF1060" s="392"/>
      <c r="CG1060" s="392"/>
      <c r="CH1060" s="392"/>
      <c r="CI1060" s="392"/>
      <c r="CJ1060" s="898"/>
      <c r="CK1060" s="414">
        <f t="shared" si="18"/>
        <v>0</v>
      </c>
      <c r="CL1060" s="408">
        <f t="shared" si="19"/>
        <v>0</v>
      </c>
      <c r="CM1060" s="832"/>
      <c r="CN1060" s="333"/>
      <c r="CO1060" s="333"/>
      <c r="CP1060" s="333"/>
    </row>
    <row r="1061">
      <c r="B1061" s="462" t="s">
        <v>1711</v>
      </c>
      <c r="C1061" s="914">
        <v>44460.0</v>
      </c>
      <c r="D1061" s="318"/>
      <c r="E1061" s="319">
        <v>2.1</v>
      </c>
      <c r="F1061" s="324" t="s">
        <v>1738</v>
      </c>
      <c r="G1061" s="321">
        <v>0.7089120370370371</v>
      </c>
      <c r="H1061" s="323">
        <v>0.7090277777777778</v>
      </c>
      <c r="I1061" s="323"/>
      <c r="J1061" s="323"/>
      <c r="K1061" s="323">
        <v>0.7095486111111111</v>
      </c>
      <c r="L1061" s="323">
        <v>5.208333333333333E-4</v>
      </c>
      <c r="M1061" s="319" t="s">
        <v>166</v>
      </c>
      <c r="N1061" s="324" t="s">
        <v>188</v>
      </c>
      <c r="O1061" s="419" t="s">
        <v>196</v>
      </c>
      <c r="P1061" s="319" t="s">
        <v>224</v>
      </c>
      <c r="Q1061" s="318"/>
      <c r="R1061" s="326">
        <v>21.7</v>
      </c>
      <c r="S1061" s="319">
        <v>39.5</v>
      </c>
      <c r="T1061" s="324">
        <v>1.26</v>
      </c>
      <c r="U1061" s="319">
        <v>25.0</v>
      </c>
      <c r="V1061" s="319"/>
      <c r="W1061" s="319"/>
      <c r="X1061" s="319"/>
      <c r="Y1061" s="319"/>
      <c r="Z1061" s="319" t="s">
        <v>387</v>
      </c>
      <c r="AA1061" s="319"/>
      <c r="AB1061" s="319" t="s">
        <v>416</v>
      </c>
      <c r="AC1061" s="327">
        <v>52.5</v>
      </c>
      <c r="AD1061" s="319"/>
      <c r="AE1061" s="319"/>
      <c r="AF1061" s="319"/>
      <c r="AG1061" s="319"/>
      <c r="AH1061" s="319"/>
      <c r="AI1061" s="319"/>
      <c r="AJ1061" s="327"/>
      <c r="AK1061" s="328"/>
      <c r="AL1061" s="319"/>
      <c r="AM1061" s="319"/>
      <c r="AN1061" s="319"/>
      <c r="AO1061" s="319"/>
      <c r="AP1061" s="319"/>
      <c r="AQ1061" s="319"/>
      <c r="AR1061" s="319"/>
      <c r="AS1061" s="327"/>
      <c r="AT1061" s="461" t="s">
        <v>183</v>
      </c>
      <c r="AU1061" s="324" t="s">
        <v>845</v>
      </c>
      <c r="AV1061" s="330">
        <f>SQRT(($R1061-Infrastructure!J$3)^2+($S1061-Infrastructure!K$3)^2)</f>
        <v>24.42048321</v>
      </c>
      <c r="AW1061" s="331">
        <f>SQRT(($R1061-Infrastructure!J$4)^2+($S1061-Infrastructure!K$4)^2)</f>
        <v>30.90129447</v>
      </c>
      <c r="AX1061" s="331">
        <f>SQRT(($R1061-Infrastructure!J$5)^2+($S1061-Infrastructure!K$5)^2)</f>
        <v>40.83331973</v>
      </c>
      <c r="AY1061" s="331">
        <f>SQRT(($R1061-Infrastructure!J$6)^2+($S1061-Infrastructure!K$6)^2)</f>
        <v>40.88031311</v>
      </c>
      <c r="AZ1061" s="331">
        <f>SQRT(($R1061-Infrastructure!J$7)^2+($S1061-Infrastructure!K$7)^2)</f>
        <v>39.21836305</v>
      </c>
      <c r="BA1061" s="331">
        <f>SQRT(($R1061-Infrastructure!J$8)^2+($S1061-Infrastructure!K$8)^2)</f>
        <v>40.08989898</v>
      </c>
      <c r="BB1061" s="331">
        <f>SQRT(($R1061-Infrastructure!J$9)^2+($S1061-Infrastructure!K$9)^2)</f>
        <v>38.96472764</v>
      </c>
      <c r="BC1061" s="331">
        <f>SQRT(($R1061-Infrastructure!J$10)^2+($S1061-Infrastructure!K$10)^2)</f>
        <v>30.58005886</v>
      </c>
      <c r="BD1061" s="331">
        <f>SQRT(($R1061-Infrastructure!J$11)^2+($S1061-Infrastructure!K$11)^2)</f>
        <v>21.27204739</v>
      </c>
      <c r="BE1061" s="333">
        <f>SQRT(($R1061-Infrastructure!J$12)^2+($S1061-Infrastructure!K$12)^2)</f>
        <v>16.00124995</v>
      </c>
      <c r="BF1061" s="330">
        <f t="shared" si="14"/>
        <v>16.00124995</v>
      </c>
      <c r="BG1061" s="333">
        <f t="shared" si="15"/>
        <v>40.88031311</v>
      </c>
      <c r="BH1061" s="902">
        <v>36617.0</v>
      </c>
      <c r="BI1061" s="462" t="s">
        <v>845</v>
      </c>
      <c r="BJ1061" s="319" t="s">
        <v>845</v>
      </c>
      <c r="BK1061" s="319" t="s">
        <v>845</v>
      </c>
      <c r="BL1061" s="319" t="s">
        <v>845</v>
      </c>
      <c r="BM1061" s="319" t="s">
        <v>845</v>
      </c>
      <c r="BN1061" s="319" t="s">
        <v>845</v>
      </c>
      <c r="BO1061" s="319" t="s">
        <v>845</v>
      </c>
      <c r="BP1061" s="319" t="s">
        <v>845</v>
      </c>
      <c r="BQ1061" s="319" t="s">
        <v>845</v>
      </c>
      <c r="BR1061" s="324" t="s">
        <v>845</v>
      </c>
      <c r="BS1061" s="330">
        <f t="shared" si="78"/>
        <v>0</v>
      </c>
      <c r="BT1061" s="331">
        <f t="shared" si="79"/>
        <v>0</v>
      </c>
      <c r="BU1061" s="920"/>
      <c r="BV1061" s="903"/>
      <c r="BW1061" s="907"/>
      <c r="BX1061" s="908"/>
      <c r="BY1061" s="331"/>
      <c r="BZ1061" s="340"/>
      <c r="CA1061" s="316"/>
      <c r="CB1061" s="318"/>
      <c r="CC1061" s="318"/>
      <c r="CD1061" s="318"/>
      <c r="CE1061" s="318"/>
      <c r="CF1061" s="318"/>
      <c r="CG1061" s="318"/>
      <c r="CH1061" s="318"/>
      <c r="CI1061" s="318"/>
      <c r="CJ1061" s="463"/>
      <c r="CK1061" s="342">
        <f t="shared" si="18"/>
        <v>0</v>
      </c>
      <c r="CL1061" s="333">
        <f t="shared" si="19"/>
        <v>0</v>
      </c>
      <c r="CM1061" s="829"/>
      <c r="CN1061" s="333"/>
      <c r="CO1061" s="333"/>
      <c r="CP1061" s="333"/>
    </row>
    <row r="1062">
      <c r="B1062" s="462" t="s">
        <v>1711</v>
      </c>
      <c r="C1062" s="914">
        <v>44460.0</v>
      </c>
      <c r="D1062" s="318"/>
      <c r="E1062" s="319">
        <v>2.2</v>
      </c>
      <c r="F1062" s="324" t="s">
        <v>1739</v>
      </c>
      <c r="G1062" s="321">
        <v>0.7095486111111111</v>
      </c>
      <c r="H1062" s="323">
        <v>0.7100694444444444</v>
      </c>
      <c r="I1062" s="323"/>
      <c r="J1062" s="323"/>
      <c r="K1062" s="323">
        <v>0.7104166666666667</v>
      </c>
      <c r="L1062" s="323">
        <v>3.4722222222222224E-4</v>
      </c>
      <c r="M1062" s="319" t="s">
        <v>166</v>
      </c>
      <c r="N1062" s="324" t="s">
        <v>188</v>
      </c>
      <c r="O1062" s="419" t="s">
        <v>196</v>
      </c>
      <c r="P1062" s="319" t="s">
        <v>224</v>
      </c>
      <c r="Q1062" s="318"/>
      <c r="R1062" s="326">
        <v>21.7</v>
      </c>
      <c r="S1062" s="319">
        <v>39.5</v>
      </c>
      <c r="T1062" s="324">
        <v>1.26</v>
      </c>
      <c r="U1062" s="319">
        <v>30.0</v>
      </c>
      <c r="V1062" s="319"/>
      <c r="W1062" s="319"/>
      <c r="X1062" s="319"/>
      <c r="Y1062" s="319"/>
      <c r="Z1062" s="319" t="s">
        <v>387</v>
      </c>
      <c r="AA1062" s="319"/>
      <c r="AB1062" s="319" t="s">
        <v>416</v>
      </c>
      <c r="AC1062" s="327">
        <v>52.5</v>
      </c>
      <c r="AD1062" s="319"/>
      <c r="AE1062" s="319"/>
      <c r="AF1062" s="319"/>
      <c r="AG1062" s="319"/>
      <c r="AH1062" s="319"/>
      <c r="AI1062" s="319"/>
      <c r="AJ1062" s="327"/>
      <c r="AK1062" s="328"/>
      <c r="AL1062" s="319"/>
      <c r="AM1062" s="319"/>
      <c r="AN1062" s="319"/>
      <c r="AO1062" s="319"/>
      <c r="AP1062" s="319"/>
      <c r="AQ1062" s="319"/>
      <c r="AR1062" s="319"/>
      <c r="AS1062" s="327"/>
      <c r="AT1062" s="461" t="s">
        <v>183</v>
      </c>
      <c r="AU1062" s="324" t="s">
        <v>845</v>
      </c>
      <c r="AV1062" s="330">
        <f>SQRT(($R1062-Infrastructure!J$3)^2+($S1062-Infrastructure!K$3)^2)</f>
        <v>24.42048321</v>
      </c>
      <c r="AW1062" s="331">
        <f>SQRT(($R1062-Infrastructure!J$4)^2+($S1062-Infrastructure!K$4)^2)</f>
        <v>30.90129447</v>
      </c>
      <c r="AX1062" s="331">
        <f>SQRT(($R1062-Infrastructure!J$5)^2+($S1062-Infrastructure!K$5)^2)</f>
        <v>40.83331973</v>
      </c>
      <c r="AY1062" s="331">
        <f>SQRT(($R1062-Infrastructure!J$6)^2+($S1062-Infrastructure!K$6)^2)</f>
        <v>40.88031311</v>
      </c>
      <c r="AZ1062" s="331">
        <f>SQRT(($R1062-Infrastructure!J$7)^2+($S1062-Infrastructure!K$7)^2)</f>
        <v>39.21836305</v>
      </c>
      <c r="BA1062" s="331">
        <f>SQRT(($R1062-Infrastructure!J$8)^2+($S1062-Infrastructure!K$8)^2)</f>
        <v>40.08989898</v>
      </c>
      <c r="BB1062" s="331">
        <f>SQRT(($R1062-Infrastructure!J$9)^2+($S1062-Infrastructure!K$9)^2)</f>
        <v>38.96472764</v>
      </c>
      <c r="BC1062" s="331">
        <f>SQRT(($R1062-Infrastructure!J$10)^2+($S1062-Infrastructure!K$10)^2)</f>
        <v>30.58005886</v>
      </c>
      <c r="BD1062" s="331">
        <f>SQRT(($R1062-Infrastructure!J$11)^2+($S1062-Infrastructure!K$11)^2)</f>
        <v>21.27204739</v>
      </c>
      <c r="BE1062" s="333">
        <f>SQRT(($R1062-Infrastructure!J$12)^2+($S1062-Infrastructure!K$12)^2)</f>
        <v>16.00124995</v>
      </c>
      <c r="BF1062" s="330">
        <f t="shared" si="14"/>
        <v>16.00124995</v>
      </c>
      <c r="BG1062" s="333">
        <f t="shared" si="15"/>
        <v>40.88031311</v>
      </c>
      <c r="BH1062" s="902">
        <v>36617.0</v>
      </c>
      <c r="BI1062" s="462" t="s">
        <v>845</v>
      </c>
      <c r="BJ1062" s="319" t="s">
        <v>845</v>
      </c>
      <c r="BK1062" s="319" t="s">
        <v>845</v>
      </c>
      <c r="BL1062" s="319" t="s">
        <v>845</v>
      </c>
      <c r="BM1062" s="319" t="s">
        <v>845</v>
      </c>
      <c r="BN1062" s="319" t="s">
        <v>845</v>
      </c>
      <c r="BO1062" s="319" t="s">
        <v>845</v>
      </c>
      <c r="BP1062" s="319" t="s">
        <v>845</v>
      </c>
      <c r="BQ1062" s="319" t="s">
        <v>845</v>
      </c>
      <c r="BR1062" s="324" t="s">
        <v>845</v>
      </c>
      <c r="BS1062" s="330">
        <f t="shared" si="78"/>
        <v>0</v>
      </c>
      <c r="BT1062" s="331">
        <f t="shared" si="79"/>
        <v>0</v>
      </c>
      <c r="BU1062" s="920"/>
      <c r="BV1062" s="903"/>
      <c r="BW1062" s="907"/>
      <c r="BX1062" s="908"/>
      <c r="BY1062" s="331"/>
      <c r="BZ1062" s="340"/>
      <c r="CA1062" s="316"/>
      <c r="CB1062" s="318"/>
      <c r="CC1062" s="318"/>
      <c r="CD1062" s="318"/>
      <c r="CE1062" s="318"/>
      <c r="CF1062" s="318"/>
      <c r="CG1062" s="318"/>
      <c r="CH1062" s="318"/>
      <c r="CI1062" s="318"/>
      <c r="CJ1062" s="463"/>
      <c r="CK1062" s="342">
        <f t="shared" si="18"/>
        <v>0</v>
      </c>
      <c r="CL1062" s="333">
        <f t="shared" si="19"/>
        <v>0</v>
      </c>
      <c r="CM1062" s="829"/>
      <c r="CN1062" s="333"/>
      <c r="CO1062" s="333"/>
      <c r="CP1062" s="333"/>
    </row>
    <row r="1063">
      <c r="B1063" s="462" t="s">
        <v>1711</v>
      </c>
      <c r="C1063" s="914">
        <v>44460.0</v>
      </c>
      <c r="D1063" s="318"/>
      <c r="E1063" s="319">
        <v>3.0</v>
      </c>
      <c r="F1063" s="324" t="s">
        <v>1740</v>
      </c>
      <c r="G1063" s="321">
        <v>0.7130208333333333</v>
      </c>
      <c r="H1063" s="323">
        <v>0.7131944444444445</v>
      </c>
      <c r="I1063" s="323"/>
      <c r="J1063" s="323"/>
      <c r="K1063" s="323">
        <v>0.7149305555555555</v>
      </c>
      <c r="L1063" s="323">
        <v>0.001736111111111111</v>
      </c>
      <c r="M1063" s="319" t="s">
        <v>166</v>
      </c>
      <c r="N1063" s="324" t="s">
        <v>188</v>
      </c>
      <c r="O1063" s="419" t="s">
        <v>196</v>
      </c>
      <c r="P1063" s="319" t="s">
        <v>224</v>
      </c>
      <c r="Q1063" s="318"/>
      <c r="R1063" s="326">
        <v>21.7</v>
      </c>
      <c r="S1063" s="319">
        <v>39.5</v>
      </c>
      <c r="T1063" s="324">
        <v>1.26</v>
      </c>
      <c r="U1063" s="319">
        <v>50.0</v>
      </c>
      <c r="V1063" s="319"/>
      <c r="W1063" s="319"/>
      <c r="X1063" s="319"/>
      <c r="Y1063" s="319"/>
      <c r="Z1063" s="319" t="s">
        <v>387</v>
      </c>
      <c r="AA1063" s="319"/>
      <c r="AB1063" s="319" t="s">
        <v>416</v>
      </c>
      <c r="AC1063" s="327">
        <v>52.5</v>
      </c>
      <c r="AD1063" s="319"/>
      <c r="AE1063" s="319"/>
      <c r="AF1063" s="319"/>
      <c r="AG1063" s="319"/>
      <c r="AH1063" s="319"/>
      <c r="AI1063" s="319"/>
      <c r="AJ1063" s="327"/>
      <c r="AK1063" s="328"/>
      <c r="AL1063" s="319"/>
      <c r="AM1063" s="319"/>
      <c r="AN1063" s="319"/>
      <c r="AO1063" s="319"/>
      <c r="AP1063" s="319"/>
      <c r="AQ1063" s="319"/>
      <c r="AR1063" s="319"/>
      <c r="AS1063" s="327"/>
      <c r="AT1063" s="461" t="s">
        <v>183</v>
      </c>
      <c r="AU1063" s="324" t="s">
        <v>845</v>
      </c>
      <c r="AV1063" s="330">
        <f>SQRT(($R1063-Infrastructure!J$3)^2+($S1063-Infrastructure!K$3)^2)</f>
        <v>24.42048321</v>
      </c>
      <c r="AW1063" s="331">
        <f>SQRT(($R1063-Infrastructure!J$4)^2+($S1063-Infrastructure!K$4)^2)</f>
        <v>30.90129447</v>
      </c>
      <c r="AX1063" s="331">
        <f>SQRT(($R1063-Infrastructure!J$5)^2+($S1063-Infrastructure!K$5)^2)</f>
        <v>40.83331973</v>
      </c>
      <c r="AY1063" s="331">
        <f>SQRT(($R1063-Infrastructure!J$6)^2+($S1063-Infrastructure!K$6)^2)</f>
        <v>40.88031311</v>
      </c>
      <c r="AZ1063" s="331">
        <f>SQRT(($R1063-Infrastructure!J$7)^2+($S1063-Infrastructure!K$7)^2)</f>
        <v>39.21836305</v>
      </c>
      <c r="BA1063" s="331">
        <f>SQRT(($R1063-Infrastructure!J$8)^2+($S1063-Infrastructure!K$8)^2)</f>
        <v>40.08989898</v>
      </c>
      <c r="BB1063" s="331">
        <f>SQRT(($R1063-Infrastructure!J$9)^2+($S1063-Infrastructure!K$9)^2)</f>
        <v>38.96472764</v>
      </c>
      <c r="BC1063" s="331">
        <f>SQRT(($R1063-Infrastructure!J$10)^2+($S1063-Infrastructure!K$10)^2)</f>
        <v>30.58005886</v>
      </c>
      <c r="BD1063" s="331">
        <f>SQRT(($R1063-Infrastructure!J$11)^2+($S1063-Infrastructure!K$11)^2)</f>
        <v>21.27204739</v>
      </c>
      <c r="BE1063" s="333">
        <f>SQRT(($R1063-Infrastructure!J$12)^2+($S1063-Infrastructure!K$12)^2)</f>
        <v>16.00124995</v>
      </c>
      <c r="BF1063" s="330">
        <f t="shared" si="14"/>
        <v>16.00124995</v>
      </c>
      <c r="BG1063" s="333">
        <f t="shared" si="15"/>
        <v>40.88031311</v>
      </c>
      <c r="BH1063" s="902">
        <v>36617.0</v>
      </c>
      <c r="BI1063" s="462" t="s">
        <v>845</v>
      </c>
      <c r="BJ1063" s="319" t="s">
        <v>846</v>
      </c>
      <c r="BK1063" s="319" t="s">
        <v>845</v>
      </c>
      <c r="BL1063" s="319" t="s">
        <v>845</v>
      </c>
      <c r="BM1063" s="319" t="s">
        <v>845</v>
      </c>
      <c r="BN1063" s="319" t="s">
        <v>846</v>
      </c>
      <c r="BO1063" s="319" t="s">
        <v>845</v>
      </c>
      <c r="BP1063" s="319" t="s">
        <v>846</v>
      </c>
      <c r="BQ1063" s="319" t="s">
        <v>845</v>
      </c>
      <c r="BR1063" s="324" t="s">
        <v>845</v>
      </c>
      <c r="BS1063" s="330">
        <f t="shared" si="78"/>
        <v>30.58005886</v>
      </c>
      <c r="BT1063" s="331">
        <f t="shared" si="79"/>
        <v>40.08989898</v>
      </c>
      <c r="BU1063" s="915">
        <v>0.7130787037037037</v>
      </c>
      <c r="BV1063" s="903">
        <f t="shared" ref="BV1063:BV1064" si="91">BU1063-G1063</f>
        <v>0.00005787037037</v>
      </c>
      <c r="BW1063" s="921">
        <v>19.4</v>
      </c>
      <c r="BX1063" s="923">
        <v>28.3</v>
      </c>
      <c r="BY1063" s="331">
        <f t="shared" ref="BY1063:BY1064" si="92">IF(BW1063&gt;0, SQRT((R1063-BW1063)^2+(S1063-BX1063)^2))</f>
        <v>11.43372205</v>
      </c>
      <c r="BZ1063" s="340"/>
      <c r="CA1063" s="316"/>
      <c r="CB1063" s="318"/>
      <c r="CC1063" s="318"/>
      <c r="CD1063" s="318"/>
      <c r="CE1063" s="318"/>
      <c r="CF1063" s="318"/>
      <c r="CG1063" s="318"/>
      <c r="CH1063" s="318"/>
      <c r="CI1063" s="318"/>
      <c r="CJ1063" s="463"/>
      <c r="CK1063" s="342">
        <f t="shared" si="18"/>
        <v>0</v>
      </c>
      <c r="CL1063" s="333">
        <f t="shared" si="19"/>
        <v>0</v>
      </c>
      <c r="CM1063" s="829"/>
      <c r="CN1063" s="333"/>
      <c r="CO1063" s="333"/>
      <c r="CP1063" s="333"/>
    </row>
    <row r="1064">
      <c r="B1064" s="462" t="s">
        <v>1711</v>
      </c>
      <c r="C1064" s="914">
        <v>44460.0</v>
      </c>
      <c r="D1064" s="318"/>
      <c r="E1064" s="319">
        <v>4.0</v>
      </c>
      <c r="F1064" s="324" t="s">
        <v>1741</v>
      </c>
      <c r="G1064" s="321">
        <v>0.7159722222222222</v>
      </c>
      <c r="H1064" s="323">
        <v>0.7162037037037037</v>
      </c>
      <c r="I1064" s="323"/>
      <c r="J1064" s="323"/>
      <c r="K1064" s="323">
        <v>0.7170138888888888</v>
      </c>
      <c r="L1064" s="323">
        <v>8.101851851851852E-4</v>
      </c>
      <c r="M1064" s="319" t="s">
        <v>166</v>
      </c>
      <c r="N1064" s="324" t="s">
        <v>188</v>
      </c>
      <c r="O1064" s="419" t="s">
        <v>196</v>
      </c>
      <c r="P1064" s="319" t="s">
        <v>224</v>
      </c>
      <c r="Q1064" s="318"/>
      <c r="R1064" s="326">
        <v>21.7</v>
      </c>
      <c r="S1064" s="319">
        <v>39.5</v>
      </c>
      <c r="T1064" s="324">
        <v>1.26</v>
      </c>
      <c r="U1064" s="319">
        <v>70.0</v>
      </c>
      <c r="V1064" s="319"/>
      <c r="W1064" s="319"/>
      <c r="X1064" s="319"/>
      <c r="Y1064" s="319"/>
      <c r="Z1064" s="319" t="s">
        <v>387</v>
      </c>
      <c r="AA1064" s="319"/>
      <c r="AB1064" s="319" t="s">
        <v>416</v>
      </c>
      <c r="AC1064" s="327">
        <v>52.5</v>
      </c>
      <c r="AD1064" s="319"/>
      <c r="AE1064" s="319"/>
      <c r="AF1064" s="319"/>
      <c r="AG1064" s="319"/>
      <c r="AH1064" s="319"/>
      <c r="AI1064" s="319"/>
      <c r="AJ1064" s="327"/>
      <c r="AK1064" s="328"/>
      <c r="AL1064" s="319"/>
      <c r="AM1064" s="319"/>
      <c r="AN1064" s="319"/>
      <c r="AO1064" s="319"/>
      <c r="AP1064" s="319"/>
      <c r="AQ1064" s="319"/>
      <c r="AR1064" s="319"/>
      <c r="AS1064" s="327"/>
      <c r="AT1064" s="461" t="s">
        <v>183</v>
      </c>
      <c r="AU1064" s="324" t="s">
        <v>845</v>
      </c>
      <c r="AV1064" s="330">
        <f>SQRT(($R1064-Infrastructure!J$3)^2+($S1064-Infrastructure!K$3)^2)</f>
        <v>24.42048321</v>
      </c>
      <c r="AW1064" s="331">
        <f>SQRT(($R1064-Infrastructure!J$4)^2+($S1064-Infrastructure!K$4)^2)</f>
        <v>30.90129447</v>
      </c>
      <c r="AX1064" s="331">
        <f>SQRT(($R1064-Infrastructure!J$5)^2+($S1064-Infrastructure!K$5)^2)</f>
        <v>40.83331973</v>
      </c>
      <c r="AY1064" s="331">
        <f>SQRT(($R1064-Infrastructure!J$6)^2+($S1064-Infrastructure!K$6)^2)</f>
        <v>40.88031311</v>
      </c>
      <c r="AZ1064" s="331">
        <f>SQRT(($R1064-Infrastructure!J$7)^2+($S1064-Infrastructure!K$7)^2)</f>
        <v>39.21836305</v>
      </c>
      <c r="BA1064" s="331">
        <f>SQRT(($R1064-Infrastructure!J$8)^2+($S1064-Infrastructure!K$8)^2)</f>
        <v>40.08989898</v>
      </c>
      <c r="BB1064" s="331">
        <f>SQRT(($R1064-Infrastructure!J$9)^2+($S1064-Infrastructure!K$9)^2)</f>
        <v>38.96472764</v>
      </c>
      <c r="BC1064" s="331">
        <f>SQRT(($R1064-Infrastructure!J$10)^2+($S1064-Infrastructure!K$10)^2)</f>
        <v>30.58005886</v>
      </c>
      <c r="BD1064" s="331">
        <f>SQRT(($R1064-Infrastructure!J$11)^2+($S1064-Infrastructure!K$11)^2)</f>
        <v>21.27204739</v>
      </c>
      <c r="BE1064" s="333">
        <f>SQRT(($R1064-Infrastructure!J$12)^2+($S1064-Infrastructure!K$12)^2)</f>
        <v>16.00124995</v>
      </c>
      <c r="BF1064" s="330">
        <f t="shared" si="14"/>
        <v>16.00124995</v>
      </c>
      <c r="BG1064" s="333">
        <f t="shared" si="15"/>
        <v>40.88031311</v>
      </c>
      <c r="BH1064" s="902">
        <v>36617.0</v>
      </c>
      <c r="BI1064" s="462" t="s">
        <v>845</v>
      </c>
      <c r="BJ1064" s="319" t="s">
        <v>846</v>
      </c>
      <c r="BK1064" s="319" t="s">
        <v>846</v>
      </c>
      <c r="BL1064" s="319" t="s">
        <v>845</v>
      </c>
      <c r="BM1064" s="319" t="s">
        <v>845</v>
      </c>
      <c r="BN1064" s="319" t="s">
        <v>845</v>
      </c>
      <c r="BO1064" s="319" t="s">
        <v>845</v>
      </c>
      <c r="BP1064" s="319" t="s">
        <v>846</v>
      </c>
      <c r="BQ1064" s="319" t="s">
        <v>845</v>
      </c>
      <c r="BR1064" s="324" t="s">
        <v>845</v>
      </c>
      <c r="BS1064" s="330">
        <f t="shared" si="78"/>
        <v>30.58005886</v>
      </c>
      <c r="BT1064" s="331">
        <f t="shared" si="79"/>
        <v>40.83331973</v>
      </c>
      <c r="BU1064" s="915">
        <v>0.7159953703703704</v>
      </c>
      <c r="BV1064" s="903">
        <f t="shared" si="91"/>
        <v>0.00002314814815</v>
      </c>
      <c r="BW1064" s="921">
        <v>19.46</v>
      </c>
      <c r="BX1064" s="923">
        <v>31.3</v>
      </c>
      <c r="BY1064" s="331">
        <f t="shared" si="92"/>
        <v>8.500447047</v>
      </c>
      <c r="BZ1064" s="340"/>
      <c r="CA1064" s="316"/>
      <c r="CB1064" s="318"/>
      <c r="CC1064" s="318"/>
      <c r="CD1064" s="318"/>
      <c r="CE1064" s="318"/>
      <c r="CF1064" s="318"/>
      <c r="CG1064" s="318"/>
      <c r="CH1064" s="318"/>
      <c r="CI1064" s="318"/>
      <c r="CJ1064" s="463"/>
      <c r="CK1064" s="342">
        <f t="shared" si="18"/>
        <v>0</v>
      </c>
      <c r="CL1064" s="333">
        <f t="shared" si="19"/>
        <v>0</v>
      </c>
      <c r="CM1064" s="829"/>
      <c r="CN1064" s="333"/>
      <c r="CO1064" s="333"/>
      <c r="CP1064" s="333"/>
    </row>
    <row r="1065">
      <c r="B1065" s="462" t="s">
        <v>1711</v>
      </c>
      <c r="C1065" s="914">
        <v>44460.0</v>
      </c>
      <c r="D1065" s="318"/>
      <c r="E1065" s="319"/>
      <c r="F1065" s="324" t="s">
        <v>1742</v>
      </c>
      <c r="G1065" s="321">
        <v>0.7199652777777777</v>
      </c>
      <c r="H1065" s="323"/>
      <c r="I1065" s="323"/>
      <c r="J1065" s="323"/>
      <c r="K1065" s="323">
        <v>0.721412037037037</v>
      </c>
      <c r="L1065" s="323">
        <v>0.0014467592592592592</v>
      </c>
      <c r="M1065" s="319" t="s">
        <v>166</v>
      </c>
      <c r="N1065" s="324" t="s">
        <v>188</v>
      </c>
      <c r="O1065" s="419"/>
      <c r="P1065" s="319" t="s">
        <v>292</v>
      </c>
      <c r="Q1065" s="318"/>
      <c r="R1065" s="833"/>
      <c r="S1065" s="319"/>
      <c r="T1065" s="324"/>
      <c r="U1065" s="834"/>
      <c r="V1065" s="834"/>
      <c r="W1065" s="834"/>
      <c r="X1065" s="834"/>
      <c r="Y1065" s="834"/>
      <c r="Z1065" s="319" t="s">
        <v>323</v>
      </c>
      <c r="AA1065" s="319"/>
      <c r="AB1065" s="319" t="s">
        <v>323</v>
      </c>
      <c r="AC1065" s="327" t="s">
        <v>323</v>
      </c>
      <c r="AD1065" s="319"/>
      <c r="AE1065" s="319"/>
      <c r="AF1065" s="319"/>
      <c r="AG1065" s="319"/>
      <c r="AH1065" s="319"/>
      <c r="AI1065" s="319"/>
      <c r="AJ1065" s="327"/>
      <c r="AK1065" s="328"/>
      <c r="AL1065" s="319"/>
      <c r="AM1065" s="319"/>
      <c r="AN1065" s="319"/>
      <c r="AO1065" s="319"/>
      <c r="AP1065" s="319"/>
      <c r="AQ1065" s="319"/>
      <c r="AR1065" s="319"/>
      <c r="AS1065" s="327"/>
      <c r="AT1065" s="461"/>
      <c r="AU1065" s="324"/>
      <c r="AV1065" s="330"/>
      <c r="AW1065" s="331"/>
      <c r="AX1065" s="331"/>
      <c r="AY1065" s="331"/>
      <c r="AZ1065" s="331"/>
      <c r="BA1065" s="331"/>
      <c r="BB1065" s="331"/>
      <c r="BC1065" s="331"/>
      <c r="BD1065" s="331"/>
      <c r="BE1065" s="333"/>
      <c r="BF1065" s="330">
        <f t="shared" si="14"/>
        <v>0</v>
      </c>
      <c r="BG1065" s="333">
        <f t="shared" si="15"/>
        <v>0</v>
      </c>
      <c r="BH1065" s="902">
        <v>36617.0</v>
      </c>
      <c r="BI1065" s="462" t="s">
        <v>845</v>
      </c>
      <c r="BJ1065" s="319" t="s">
        <v>845</v>
      </c>
      <c r="BK1065" s="319" t="s">
        <v>845</v>
      </c>
      <c r="BL1065" s="319" t="s">
        <v>845</v>
      </c>
      <c r="BM1065" s="319" t="s">
        <v>845</v>
      </c>
      <c r="BN1065" s="319" t="s">
        <v>845</v>
      </c>
      <c r="BO1065" s="319" t="s">
        <v>845</v>
      </c>
      <c r="BP1065" s="319" t="s">
        <v>845</v>
      </c>
      <c r="BQ1065" s="319" t="s">
        <v>845</v>
      </c>
      <c r="BR1065" s="324" t="s">
        <v>845</v>
      </c>
      <c r="BS1065" s="330"/>
      <c r="BT1065" s="331"/>
      <c r="BU1065" s="920"/>
      <c r="BV1065" s="903"/>
      <c r="BW1065" s="907"/>
      <c r="BX1065" s="908"/>
      <c r="BY1065" s="331"/>
      <c r="BZ1065" s="340"/>
      <c r="CA1065" s="316"/>
      <c r="CB1065" s="318"/>
      <c r="CC1065" s="318"/>
      <c r="CD1065" s="318"/>
      <c r="CE1065" s="318"/>
      <c r="CF1065" s="318"/>
      <c r="CG1065" s="318"/>
      <c r="CH1065" s="318"/>
      <c r="CI1065" s="318"/>
      <c r="CJ1065" s="463"/>
      <c r="CK1065" s="342">
        <f t="shared" si="18"/>
        <v>0</v>
      </c>
      <c r="CL1065" s="333">
        <f t="shared" si="19"/>
        <v>0</v>
      </c>
      <c r="CM1065" s="829"/>
      <c r="CN1065" s="333"/>
      <c r="CO1065" s="333"/>
      <c r="CP1065" s="333"/>
    </row>
    <row r="1066">
      <c r="B1066" s="462" t="s">
        <v>1711</v>
      </c>
      <c r="C1066" s="914">
        <v>44460.0</v>
      </c>
      <c r="D1066" s="318"/>
      <c r="E1066" s="319"/>
      <c r="F1066" s="324" t="s">
        <v>1742</v>
      </c>
      <c r="G1066" s="321">
        <v>0.7225694444444445</v>
      </c>
      <c r="H1066" s="323"/>
      <c r="I1066" s="323"/>
      <c r="J1066" s="323"/>
      <c r="K1066" s="323">
        <v>0.725</v>
      </c>
      <c r="L1066" s="323">
        <v>0.0024305555555555556</v>
      </c>
      <c r="M1066" s="319" t="s">
        <v>358</v>
      </c>
      <c r="N1066" s="324" t="s">
        <v>188</v>
      </c>
      <c r="O1066" s="419"/>
      <c r="P1066" s="319" t="s">
        <v>294</v>
      </c>
      <c r="Q1066" s="318"/>
      <c r="R1066" s="833"/>
      <c r="S1066" s="319"/>
      <c r="T1066" s="324"/>
      <c r="U1066" s="834"/>
      <c r="V1066" s="834"/>
      <c r="W1066" s="834"/>
      <c r="X1066" s="834"/>
      <c r="Y1066" s="834"/>
      <c r="Z1066" s="319" t="s">
        <v>323</v>
      </c>
      <c r="AA1066" s="319"/>
      <c r="AB1066" s="319" t="s">
        <v>323</v>
      </c>
      <c r="AC1066" s="327" t="s">
        <v>323</v>
      </c>
      <c r="AD1066" s="319"/>
      <c r="AE1066" s="319"/>
      <c r="AF1066" s="319"/>
      <c r="AG1066" s="319"/>
      <c r="AH1066" s="319"/>
      <c r="AI1066" s="319"/>
      <c r="AJ1066" s="327"/>
      <c r="AK1066" s="328"/>
      <c r="AL1066" s="319"/>
      <c r="AM1066" s="319"/>
      <c r="AN1066" s="319"/>
      <c r="AO1066" s="319"/>
      <c r="AP1066" s="319"/>
      <c r="AQ1066" s="319"/>
      <c r="AR1066" s="319"/>
      <c r="AS1066" s="327"/>
      <c r="AT1066" s="461"/>
      <c r="AU1066" s="324"/>
      <c r="AV1066" s="330"/>
      <c r="AW1066" s="331"/>
      <c r="AX1066" s="331"/>
      <c r="AY1066" s="331"/>
      <c r="AZ1066" s="331"/>
      <c r="BA1066" s="331"/>
      <c r="BB1066" s="331"/>
      <c r="BC1066" s="331"/>
      <c r="BD1066" s="331"/>
      <c r="BE1066" s="333"/>
      <c r="BF1066" s="330">
        <f t="shared" si="14"/>
        <v>0</v>
      </c>
      <c r="BG1066" s="333">
        <f t="shared" si="15"/>
        <v>0</v>
      </c>
      <c r="BH1066" s="902">
        <v>36617.0</v>
      </c>
      <c r="BI1066" s="462" t="s">
        <v>846</v>
      </c>
      <c r="BJ1066" s="319" t="s">
        <v>845</v>
      </c>
      <c r="BK1066" s="319" t="s">
        <v>845</v>
      </c>
      <c r="BL1066" s="319" t="s">
        <v>845</v>
      </c>
      <c r="BM1066" s="319" t="s">
        <v>845</v>
      </c>
      <c r="BN1066" s="319" t="s">
        <v>845</v>
      </c>
      <c r="BO1066" s="319" t="s">
        <v>846</v>
      </c>
      <c r="BP1066" s="319" t="s">
        <v>846</v>
      </c>
      <c r="BQ1066" s="319" t="s">
        <v>845</v>
      </c>
      <c r="BR1066" s="324" t="s">
        <v>845</v>
      </c>
      <c r="BS1066" s="662"/>
      <c r="BT1066" s="641"/>
      <c r="BU1066" s="932"/>
      <c r="BV1066" s="930"/>
      <c r="BW1066" s="921"/>
      <c r="BX1066" s="923"/>
      <c r="BY1066" s="331"/>
      <c r="BZ1066" s="340"/>
      <c r="CA1066" s="316"/>
      <c r="CB1066" s="318"/>
      <c r="CC1066" s="318"/>
      <c r="CD1066" s="318"/>
      <c r="CE1066" s="318"/>
      <c r="CF1066" s="318"/>
      <c r="CG1066" s="318"/>
      <c r="CH1066" s="318"/>
      <c r="CI1066" s="318"/>
      <c r="CJ1066" s="463"/>
      <c r="CK1066" s="342">
        <f t="shared" si="18"/>
        <v>0</v>
      </c>
      <c r="CL1066" s="333">
        <f t="shared" si="19"/>
        <v>0</v>
      </c>
      <c r="CM1066" s="829"/>
      <c r="CN1066" s="333"/>
      <c r="CO1066" s="333"/>
      <c r="CP1066" s="333"/>
    </row>
    <row r="1067">
      <c r="A1067" s="389" t="s">
        <v>55</v>
      </c>
      <c r="B1067" s="573" t="s">
        <v>1743</v>
      </c>
      <c r="C1067" s="909">
        <v>44468.0</v>
      </c>
      <c r="D1067" s="392"/>
      <c r="E1067" s="393">
        <v>1.0</v>
      </c>
      <c r="F1067" s="394" t="s">
        <v>1744</v>
      </c>
      <c r="G1067" s="395">
        <v>0.4253472222222222</v>
      </c>
      <c r="H1067" s="456">
        <v>0.4263888888888889</v>
      </c>
      <c r="I1067" s="456"/>
      <c r="J1067" s="456"/>
      <c r="K1067" s="456">
        <v>0.42690972222222223</v>
      </c>
      <c r="L1067" s="456">
        <v>5.208333333333333E-4</v>
      </c>
      <c r="M1067" s="393" t="s">
        <v>166</v>
      </c>
      <c r="N1067" s="394" t="s">
        <v>187</v>
      </c>
      <c r="O1067" s="399" t="s">
        <v>205</v>
      </c>
      <c r="P1067" s="393" t="s">
        <v>213</v>
      </c>
      <c r="Q1067" s="392"/>
      <c r="R1067" s="400">
        <v>21.5</v>
      </c>
      <c r="S1067" s="393">
        <v>4.1</v>
      </c>
      <c r="T1067" s="394">
        <v>2.3</v>
      </c>
      <c r="U1067" s="393">
        <v>5.0</v>
      </c>
      <c r="V1067" s="393"/>
      <c r="W1067" s="393"/>
      <c r="X1067" s="393"/>
      <c r="Y1067" s="393"/>
      <c r="Z1067" s="393" t="s">
        <v>370</v>
      </c>
      <c r="AA1067" s="393"/>
      <c r="AB1067" s="393" t="s">
        <v>388</v>
      </c>
      <c r="AC1067" s="401">
        <v>8.0</v>
      </c>
      <c r="AD1067" s="393"/>
      <c r="AE1067" s="393"/>
      <c r="AF1067" s="393"/>
      <c r="AG1067" s="393"/>
      <c r="AH1067" s="393"/>
      <c r="AI1067" s="393"/>
      <c r="AJ1067" s="401"/>
      <c r="AK1067" s="402"/>
      <c r="AL1067" s="393"/>
      <c r="AM1067" s="393"/>
      <c r="AN1067" s="393"/>
      <c r="AO1067" s="393"/>
      <c r="AP1067" s="393"/>
      <c r="AQ1067" s="393"/>
      <c r="AR1067" s="393"/>
      <c r="AS1067" s="401"/>
      <c r="AT1067" s="460" t="s">
        <v>182</v>
      </c>
      <c r="AU1067" s="394" t="s">
        <v>845</v>
      </c>
      <c r="AV1067" s="405">
        <f>SQRT(($R1067-Infrastructure!J$3)^2+($S1067-Infrastructure!K$3)^2)</f>
        <v>33.01938824</v>
      </c>
      <c r="AW1067" s="406">
        <f>SQRT(($R1067-Infrastructure!J$4)^2+($S1067-Infrastructure!K$4)^2)</f>
        <v>25.74742706</v>
      </c>
      <c r="AX1067" s="406">
        <f>SQRT(($R1067-Infrastructure!J$5)^2+($S1067-Infrastructure!K$5)^2)</f>
        <v>21.82292373</v>
      </c>
      <c r="AY1067" s="406">
        <f>SQRT(($R1067-Infrastructure!J$6)^2+($S1067-Infrastructure!K$6)^2)</f>
        <v>12.01665511</v>
      </c>
      <c r="AZ1067" s="406">
        <f>SQRT(($R1067-Infrastructure!J$7)^2+($S1067-Infrastructure!K$7)^2)</f>
        <v>3.929376541</v>
      </c>
      <c r="BA1067" s="406">
        <f>SQRT(($R1067-Infrastructure!J$8)^2+($S1067-Infrastructure!K$8)^2)</f>
        <v>9.402127419</v>
      </c>
      <c r="BB1067" s="406">
        <f>SQRT(($R1067-Infrastructure!J$9)^2+($S1067-Infrastructure!K$9)^2)</f>
        <v>18.52700731</v>
      </c>
      <c r="BC1067" s="406">
        <f>SQRT(($R1067-Infrastructure!J$10)^2+($S1067-Infrastructure!K$10)^2)</f>
        <v>21.47230775</v>
      </c>
      <c r="BD1067" s="406">
        <f>SQRT(($R1067-Infrastructure!J$11)^2+($S1067-Infrastructure!K$11)^2)</f>
        <v>31.14000642</v>
      </c>
      <c r="BE1067" s="408">
        <f>SQRT(($R1067-Infrastructure!J$12)^2+($S1067-Infrastructure!K$12)^2)</f>
        <v>51.4</v>
      </c>
      <c r="BF1067" s="405">
        <f t="shared" si="14"/>
        <v>3.929376541</v>
      </c>
      <c r="BG1067" s="408">
        <f t="shared" si="15"/>
        <v>51.4</v>
      </c>
      <c r="BH1067" s="910">
        <v>36617.0</v>
      </c>
      <c r="BI1067" s="573" t="s">
        <v>846</v>
      </c>
      <c r="BJ1067" s="393" t="s">
        <v>845</v>
      </c>
      <c r="BK1067" s="393" t="s">
        <v>845</v>
      </c>
      <c r="BL1067" s="393" t="s">
        <v>846</v>
      </c>
      <c r="BM1067" s="393" t="s">
        <v>846</v>
      </c>
      <c r="BN1067" s="393" t="s">
        <v>846</v>
      </c>
      <c r="BO1067" s="393" t="s">
        <v>846</v>
      </c>
      <c r="BP1067" s="393" t="s">
        <v>845</v>
      </c>
      <c r="BQ1067" s="393" t="s">
        <v>845</v>
      </c>
      <c r="BR1067" s="394" t="s">
        <v>846</v>
      </c>
      <c r="BS1067" s="405">
        <f t="shared" ref="BS1067:BS1071" si="93">MINIFS(AV1067:BE1067,BI1067:BR1067, "Y")</f>
        <v>3.929376541</v>
      </c>
      <c r="BT1067" s="406">
        <f t="shared" ref="BT1067:BT1071" si="94">MAXIFS(AV1067:BE1067,BI1067:BR1067, "Y")</f>
        <v>51.4</v>
      </c>
      <c r="BU1067" s="911">
        <v>0.42538194444444444</v>
      </c>
      <c r="BV1067" s="903">
        <f t="shared" ref="BV1067:BV1071" si="95">BU1067-G1067</f>
        <v>0.00003472222222</v>
      </c>
      <c r="BW1067" s="933">
        <v>18.8411764705882</v>
      </c>
      <c r="BX1067" s="934">
        <v>4.03529411764706</v>
      </c>
      <c r="BY1067" s="331">
        <f t="shared" ref="BY1067:BY1071" si="96">IF(BW1067&gt;0, SQRT((R1067-BW1067)^2+(S1067-BX1067)^2))</f>
        <v>2.659610763</v>
      </c>
      <c r="BZ1067" s="412"/>
      <c r="CA1067" s="390"/>
      <c r="CB1067" s="392"/>
      <c r="CC1067" s="392"/>
      <c r="CD1067" s="392"/>
      <c r="CE1067" s="392"/>
      <c r="CF1067" s="392"/>
      <c r="CG1067" s="392"/>
      <c r="CH1067" s="392"/>
      <c r="CI1067" s="392"/>
      <c r="CJ1067" s="898"/>
      <c r="CK1067" s="414">
        <f t="shared" si="18"/>
        <v>0</v>
      </c>
      <c r="CL1067" s="408">
        <f t="shared" si="19"/>
        <v>0</v>
      </c>
      <c r="CM1067" s="832"/>
      <c r="CN1067" s="333"/>
      <c r="CO1067" s="333"/>
      <c r="CP1067" s="333"/>
    </row>
    <row r="1068">
      <c r="B1068" s="462" t="s">
        <v>1743</v>
      </c>
      <c r="C1068" s="914">
        <v>44468.0</v>
      </c>
      <c r="D1068" s="318"/>
      <c r="E1068" s="319">
        <v>2.0</v>
      </c>
      <c r="F1068" s="324" t="s">
        <v>1745</v>
      </c>
      <c r="G1068" s="321">
        <v>0.4284722222222222</v>
      </c>
      <c r="H1068" s="323">
        <v>0.42916666666666664</v>
      </c>
      <c r="I1068" s="323"/>
      <c r="J1068" s="323"/>
      <c r="K1068" s="323">
        <v>0.4305555555555556</v>
      </c>
      <c r="L1068" s="323">
        <v>0.001388888888888889</v>
      </c>
      <c r="M1068" s="319" t="s">
        <v>166</v>
      </c>
      <c r="N1068" s="324" t="s">
        <v>187</v>
      </c>
      <c r="O1068" s="419" t="s">
        <v>205</v>
      </c>
      <c r="P1068" s="319" t="s">
        <v>213</v>
      </c>
      <c r="Q1068" s="318"/>
      <c r="R1068" s="326">
        <v>21.5</v>
      </c>
      <c r="S1068" s="319">
        <v>4.1</v>
      </c>
      <c r="T1068" s="324">
        <v>2.3</v>
      </c>
      <c r="U1068" s="319">
        <v>5.0</v>
      </c>
      <c r="V1068" s="319"/>
      <c r="W1068" s="319"/>
      <c r="X1068" s="319"/>
      <c r="Y1068" s="319"/>
      <c r="Z1068" s="319" t="s">
        <v>370</v>
      </c>
      <c r="AA1068" s="319"/>
      <c r="AB1068" s="319" t="s">
        <v>388</v>
      </c>
      <c r="AC1068" s="327">
        <v>8.0</v>
      </c>
      <c r="AD1068" s="319"/>
      <c r="AE1068" s="319"/>
      <c r="AF1068" s="319"/>
      <c r="AG1068" s="319"/>
      <c r="AH1068" s="319"/>
      <c r="AI1068" s="319"/>
      <c r="AJ1068" s="327"/>
      <c r="AK1068" s="328"/>
      <c r="AL1068" s="319"/>
      <c r="AM1068" s="319"/>
      <c r="AN1068" s="319"/>
      <c r="AO1068" s="319"/>
      <c r="AP1068" s="319"/>
      <c r="AQ1068" s="319"/>
      <c r="AR1068" s="319"/>
      <c r="AS1068" s="327"/>
      <c r="AT1068" s="461" t="s">
        <v>182</v>
      </c>
      <c r="AU1068" s="324" t="s">
        <v>845</v>
      </c>
      <c r="AV1068" s="330">
        <f>SQRT(($R1068-Infrastructure!J$3)^2+($S1068-Infrastructure!K$3)^2)</f>
        <v>33.01938824</v>
      </c>
      <c r="AW1068" s="331">
        <f>SQRT(($R1068-Infrastructure!J$4)^2+($S1068-Infrastructure!K$4)^2)</f>
        <v>25.74742706</v>
      </c>
      <c r="AX1068" s="331">
        <f>SQRT(($R1068-Infrastructure!J$5)^2+($S1068-Infrastructure!K$5)^2)</f>
        <v>21.82292373</v>
      </c>
      <c r="AY1068" s="331">
        <f>SQRT(($R1068-Infrastructure!J$6)^2+($S1068-Infrastructure!K$6)^2)</f>
        <v>12.01665511</v>
      </c>
      <c r="AZ1068" s="331">
        <f>SQRT(($R1068-Infrastructure!J$7)^2+($S1068-Infrastructure!K$7)^2)</f>
        <v>3.929376541</v>
      </c>
      <c r="BA1068" s="331">
        <f>SQRT(($R1068-Infrastructure!J$8)^2+($S1068-Infrastructure!K$8)^2)</f>
        <v>9.402127419</v>
      </c>
      <c r="BB1068" s="331">
        <f>SQRT(($R1068-Infrastructure!J$9)^2+($S1068-Infrastructure!K$9)^2)</f>
        <v>18.52700731</v>
      </c>
      <c r="BC1068" s="331">
        <f>SQRT(($R1068-Infrastructure!J$10)^2+($S1068-Infrastructure!K$10)^2)</f>
        <v>21.47230775</v>
      </c>
      <c r="BD1068" s="331">
        <f>SQRT(($R1068-Infrastructure!J$11)^2+($S1068-Infrastructure!K$11)^2)</f>
        <v>31.14000642</v>
      </c>
      <c r="BE1068" s="333">
        <f>SQRT(($R1068-Infrastructure!J$12)^2+($S1068-Infrastructure!K$12)^2)</f>
        <v>51.4</v>
      </c>
      <c r="BF1068" s="330">
        <f t="shared" si="14"/>
        <v>3.929376541</v>
      </c>
      <c r="BG1068" s="333">
        <f t="shared" si="15"/>
        <v>51.4</v>
      </c>
      <c r="BH1068" s="902">
        <v>36617.0</v>
      </c>
      <c r="BI1068" s="462" t="s">
        <v>846</v>
      </c>
      <c r="BJ1068" s="319" t="s">
        <v>845</v>
      </c>
      <c r="BK1068" s="319" t="s">
        <v>845</v>
      </c>
      <c r="BL1068" s="319" t="s">
        <v>846</v>
      </c>
      <c r="BM1068" s="319" t="s">
        <v>846</v>
      </c>
      <c r="BN1068" s="319" t="s">
        <v>846</v>
      </c>
      <c r="BO1068" s="319" t="s">
        <v>846</v>
      </c>
      <c r="BP1068" s="319" t="s">
        <v>845</v>
      </c>
      <c r="BQ1068" s="319" t="s">
        <v>845</v>
      </c>
      <c r="BR1068" s="324" t="s">
        <v>846</v>
      </c>
      <c r="BS1068" s="330">
        <f t="shared" si="93"/>
        <v>3.929376541</v>
      </c>
      <c r="BT1068" s="331">
        <f t="shared" si="94"/>
        <v>51.4</v>
      </c>
      <c r="BU1068" s="915">
        <v>0.4284953703703704</v>
      </c>
      <c r="BV1068" s="903">
        <f t="shared" si="95"/>
        <v>0.00002314814815</v>
      </c>
      <c r="BW1068" s="921">
        <v>20.0615384615384</v>
      </c>
      <c r="BX1068" s="923">
        <v>4.81153846153846</v>
      </c>
      <c r="BY1068" s="331">
        <f t="shared" si="96"/>
        <v>1.604823535</v>
      </c>
      <c r="BZ1068" s="340"/>
      <c r="CA1068" s="316"/>
      <c r="CB1068" s="318"/>
      <c r="CC1068" s="318"/>
      <c r="CD1068" s="318"/>
      <c r="CE1068" s="318"/>
      <c r="CF1068" s="318"/>
      <c r="CG1068" s="318"/>
      <c r="CH1068" s="318"/>
      <c r="CI1068" s="318"/>
      <c r="CJ1068" s="463"/>
      <c r="CK1068" s="342">
        <f t="shared" si="18"/>
        <v>0</v>
      </c>
      <c r="CL1068" s="333">
        <f t="shared" si="19"/>
        <v>0</v>
      </c>
      <c r="CM1068" s="829"/>
      <c r="CN1068" s="333"/>
      <c r="CO1068" s="333"/>
      <c r="CP1068" s="333"/>
    </row>
    <row r="1069">
      <c r="B1069" s="462" t="s">
        <v>1743</v>
      </c>
      <c r="C1069" s="914">
        <v>44468.0</v>
      </c>
      <c r="D1069" s="318"/>
      <c r="E1069" s="319">
        <v>3.0</v>
      </c>
      <c r="F1069" s="324" t="s">
        <v>1746</v>
      </c>
      <c r="G1069" s="321">
        <v>0.4519675925925926</v>
      </c>
      <c r="H1069" s="323">
        <v>0.45243055555555556</v>
      </c>
      <c r="I1069" s="323"/>
      <c r="J1069" s="323"/>
      <c r="K1069" s="323">
        <v>0.4550925925925926</v>
      </c>
      <c r="L1069" s="323">
        <v>0.002662037037037037</v>
      </c>
      <c r="M1069" s="319" t="s">
        <v>166</v>
      </c>
      <c r="N1069" s="324" t="s">
        <v>187</v>
      </c>
      <c r="O1069" s="419" t="s">
        <v>204</v>
      </c>
      <c r="P1069" s="319" t="s">
        <v>264</v>
      </c>
      <c r="Q1069" s="318"/>
      <c r="R1069" s="326">
        <v>17.6</v>
      </c>
      <c r="S1069" s="319">
        <v>3.2</v>
      </c>
      <c r="T1069" s="324">
        <v>1.05</v>
      </c>
      <c r="U1069" s="319">
        <v>10.0</v>
      </c>
      <c r="V1069" s="319"/>
      <c r="W1069" s="319"/>
      <c r="X1069" s="319"/>
      <c r="Y1069" s="319"/>
      <c r="Z1069" s="319" t="s">
        <v>383</v>
      </c>
      <c r="AA1069" s="319"/>
      <c r="AB1069" s="319" t="s">
        <v>392</v>
      </c>
      <c r="AC1069" s="327">
        <v>10.0</v>
      </c>
      <c r="AD1069" s="319"/>
      <c r="AE1069" s="319"/>
      <c r="AF1069" s="319"/>
      <c r="AG1069" s="319"/>
      <c r="AH1069" s="319"/>
      <c r="AI1069" s="319"/>
      <c r="AJ1069" s="327"/>
      <c r="AK1069" s="328"/>
      <c r="AL1069" s="319"/>
      <c r="AM1069" s="319"/>
      <c r="AN1069" s="319"/>
      <c r="AO1069" s="319"/>
      <c r="AP1069" s="319"/>
      <c r="AQ1069" s="319"/>
      <c r="AR1069" s="319"/>
      <c r="AS1069" s="327"/>
      <c r="AT1069" s="461" t="s">
        <v>183</v>
      </c>
      <c r="AU1069" s="324" t="s">
        <v>845</v>
      </c>
      <c r="AV1069" s="330">
        <f>SQRT(($R1069-Infrastructure!J$3)^2+($S1069-Infrastructure!K$3)^2)</f>
        <v>31.31932311</v>
      </c>
      <c r="AW1069" s="331">
        <f>SQRT(($R1069-Infrastructure!J$4)^2+($S1069-Infrastructure!K$4)^2)</f>
        <v>23.09913418</v>
      </c>
      <c r="AX1069" s="331">
        <f>SQRT(($R1069-Infrastructure!J$5)^2+($S1069-Infrastructure!K$5)^2)</f>
        <v>18.00055555</v>
      </c>
      <c r="AY1069" s="331">
        <f>SQRT(($R1069-Infrastructure!J$6)^2+($S1069-Infrastructure!K$6)^2)</f>
        <v>8.041144197</v>
      </c>
      <c r="AZ1069" s="331">
        <f>SQRT(($R1069-Infrastructure!J$7)^2+($S1069-Infrastructure!K$7)^2)</f>
        <v>4.101219331</v>
      </c>
      <c r="BA1069" s="331">
        <f>SQRT(($R1069-Infrastructure!J$8)^2+($S1069-Infrastructure!K$8)^2)</f>
        <v>12.83199127</v>
      </c>
      <c r="BB1069" s="331">
        <f>SQRT(($R1069-Infrastructure!J$9)^2+($S1069-Infrastructure!K$9)^2)</f>
        <v>22.48043594</v>
      </c>
      <c r="BC1069" s="331">
        <f>SQRT(($R1069-Infrastructure!J$10)^2+($S1069-Infrastructure!K$10)^2)</f>
        <v>25.3179778</v>
      </c>
      <c r="BD1069" s="331">
        <f>SQRT(($R1069-Infrastructure!J$11)^2+($S1069-Infrastructure!K$11)^2)</f>
        <v>34.29868802</v>
      </c>
      <c r="BE1069" s="333">
        <f>SQRT(($R1069-Infrastructure!J$12)^2+($S1069-Infrastructure!K$12)^2)</f>
        <v>52.4452095</v>
      </c>
      <c r="BF1069" s="330">
        <f t="shared" si="14"/>
        <v>4.101219331</v>
      </c>
      <c r="BG1069" s="333">
        <f t="shared" si="15"/>
        <v>52.4452095</v>
      </c>
      <c r="BH1069" s="902">
        <v>36617.0</v>
      </c>
      <c r="BI1069" s="462" t="s">
        <v>846</v>
      </c>
      <c r="BJ1069" s="319" t="s">
        <v>846</v>
      </c>
      <c r="BK1069" s="319" t="s">
        <v>845</v>
      </c>
      <c r="BL1069" s="319" t="s">
        <v>846</v>
      </c>
      <c r="BM1069" s="319" t="s">
        <v>846</v>
      </c>
      <c r="BN1069" s="319" t="s">
        <v>846</v>
      </c>
      <c r="BO1069" s="319" t="s">
        <v>846</v>
      </c>
      <c r="BP1069" s="319" t="s">
        <v>845</v>
      </c>
      <c r="BQ1069" s="319" t="s">
        <v>845</v>
      </c>
      <c r="BR1069" s="324" t="s">
        <v>846</v>
      </c>
      <c r="BS1069" s="330">
        <f t="shared" si="93"/>
        <v>4.101219331</v>
      </c>
      <c r="BT1069" s="331">
        <f t="shared" si="94"/>
        <v>52.4452095</v>
      </c>
      <c r="BU1069" s="915">
        <v>0.4519675925925926</v>
      </c>
      <c r="BV1069" s="903">
        <f t="shared" si="95"/>
        <v>0</v>
      </c>
      <c r="BW1069" s="921">
        <v>18.0666666666666</v>
      </c>
      <c r="BX1069" s="923">
        <v>8.15777777777777</v>
      </c>
      <c r="BY1069" s="331">
        <f t="shared" si="96"/>
        <v>4.979692588</v>
      </c>
      <c r="BZ1069" s="340"/>
      <c r="CA1069" s="316"/>
      <c r="CB1069" s="318"/>
      <c r="CC1069" s="318"/>
      <c r="CD1069" s="318"/>
      <c r="CE1069" s="318"/>
      <c r="CF1069" s="318"/>
      <c r="CG1069" s="318"/>
      <c r="CH1069" s="318"/>
      <c r="CI1069" s="318"/>
      <c r="CJ1069" s="463"/>
      <c r="CK1069" s="342">
        <f t="shared" si="18"/>
        <v>0</v>
      </c>
      <c r="CL1069" s="333">
        <f t="shared" si="19"/>
        <v>0</v>
      </c>
      <c r="CM1069" s="829"/>
      <c r="CN1069" s="333"/>
      <c r="CO1069" s="333"/>
      <c r="CP1069" s="333"/>
    </row>
    <row r="1070">
      <c r="B1070" s="462" t="s">
        <v>1743</v>
      </c>
      <c r="C1070" s="914">
        <v>44468.0</v>
      </c>
      <c r="D1070" s="318"/>
      <c r="E1070" s="319">
        <v>4.0</v>
      </c>
      <c r="F1070" s="324" t="s">
        <v>1747</v>
      </c>
      <c r="G1070" s="321">
        <v>0.45815972222222223</v>
      </c>
      <c r="H1070" s="323">
        <v>0.4588541666666667</v>
      </c>
      <c r="I1070" s="323"/>
      <c r="J1070" s="323"/>
      <c r="K1070" s="323">
        <v>0.45966435185185184</v>
      </c>
      <c r="L1070" s="323">
        <v>8.101851851851852E-4</v>
      </c>
      <c r="M1070" s="319" t="s">
        <v>166</v>
      </c>
      <c r="N1070" s="324" t="s">
        <v>187</v>
      </c>
      <c r="O1070" s="419" t="s">
        <v>204</v>
      </c>
      <c r="P1070" s="319" t="s">
        <v>264</v>
      </c>
      <c r="Q1070" s="318"/>
      <c r="R1070" s="326">
        <v>17.6</v>
      </c>
      <c r="S1070" s="319">
        <v>3.2</v>
      </c>
      <c r="T1070" s="324">
        <v>1.05</v>
      </c>
      <c r="U1070" s="319">
        <v>10.0</v>
      </c>
      <c r="V1070" s="319"/>
      <c r="W1070" s="319"/>
      <c r="X1070" s="319"/>
      <c r="Y1070" s="319"/>
      <c r="Z1070" s="319" t="s">
        <v>383</v>
      </c>
      <c r="AA1070" s="319"/>
      <c r="AB1070" s="319" t="s">
        <v>392</v>
      </c>
      <c r="AC1070" s="327">
        <v>10.0</v>
      </c>
      <c r="AD1070" s="319"/>
      <c r="AE1070" s="319"/>
      <c r="AF1070" s="319"/>
      <c r="AG1070" s="319"/>
      <c r="AH1070" s="319"/>
      <c r="AI1070" s="319"/>
      <c r="AJ1070" s="327"/>
      <c r="AK1070" s="328"/>
      <c r="AL1070" s="319"/>
      <c r="AM1070" s="319"/>
      <c r="AN1070" s="319"/>
      <c r="AO1070" s="319"/>
      <c r="AP1070" s="319"/>
      <c r="AQ1070" s="319"/>
      <c r="AR1070" s="319"/>
      <c r="AS1070" s="327"/>
      <c r="AT1070" s="461" t="s">
        <v>183</v>
      </c>
      <c r="AU1070" s="324" t="s">
        <v>845</v>
      </c>
      <c r="AV1070" s="330">
        <f>SQRT(($R1070-Infrastructure!J$3)^2+($S1070-Infrastructure!K$3)^2)</f>
        <v>31.31932311</v>
      </c>
      <c r="AW1070" s="331">
        <f>SQRT(($R1070-Infrastructure!J$4)^2+($S1070-Infrastructure!K$4)^2)</f>
        <v>23.09913418</v>
      </c>
      <c r="AX1070" s="331">
        <f>SQRT(($R1070-Infrastructure!J$5)^2+($S1070-Infrastructure!K$5)^2)</f>
        <v>18.00055555</v>
      </c>
      <c r="AY1070" s="331">
        <f>SQRT(($R1070-Infrastructure!J$6)^2+($S1070-Infrastructure!K$6)^2)</f>
        <v>8.041144197</v>
      </c>
      <c r="AZ1070" s="331">
        <f>SQRT(($R1070-Infrastructure!J$7)^2+($S1070-Infrastructure!K$7)^2)</f>
        <v>4.101219331</v>
      </c>
      <c r="BA1070" s="331">
        <f>SQRT(($R1070-Infrastructure!J$8)^2+($S1070-Infrastructure!K$8)^2)</f>
        <v>12.83199127</v>
      </c>
      <c r="BB1070" s="331">
        <f>SQRT(($R1070-Infrastructure!J$9)^2+($S1070-Infrastructure!K$9)^2)</f>
        <v>22.48043594</v>
      </c>
      <c r="BC1070" s="331">
        <f>SQRT(($R1070-Infrastructure!J$10)^2+($S1070-Infrastructure!K$10)^2)</f>
        <v>25.3179778</v>
      </c>
      <c r="BD1070" s="331">
        <f>SQRT(($R1070-Infrastructure!J$11)^2+($S1070-Infrastructure!K$11)^2)</f>
        <v>34.29868802</v>
      </c>
      <c r="BE1070" s="333">
        <f>SQRT(($R1070-Infrastructure!J$12)^2+($S1070-Infrastructure!K$12)^2)</f>
        <v>52.4452095</v>
      </c>
      <c r="BF1070" s="330">
        <f t="shared" si="14"/>
        <v>4.101219331</v>
      </c>
      <c r="BG1070" s="333">
        <f t="shared" si="15"/>
        <v>52.4452095</v>
      </c>
      <c r="BH1070" s="902">
        <v>36617.0</v>
      </c>
      <c r="BI1070" s="462" t="s">
        <v>846</v>
      </c>
      <c r="BJ1070" s="319" t="s">
        <v>845</v>
      </c>
      <c r="BK1070" s="319" t="s">
        <v>845</v>
      </c>
      <c r="BL1070" s="319" t="s">
        <v>846</v>
      </c>
      <c r="BM1070" s="319" t="s">
        <v>846</v>
      </c>
      <c r="BN1070" s="319" t="s">
        <v>846</v>
      </c>
      <c r="BO1070" s="319" t="s">
        <v>846</v>
      </c>
      <c r="BP1070" s="319" t="s">
        <v>845</v>
      </c>
      <c r="BQ1070" s="319" t="s">
        <v>845</v>
      </c>
      <c r="BR1070" s="324" t="s">
        <v>845</v>
      </c>
      <c r="BS1070" s="330">
        <f t="shared" si="93"/>
        <v>4.101219331</v>
      </c>
      <c r="BT1070" s="331">
        <f t="shared" si="94"/>
        <v>31.31932311</v>
      </c>
      <c r="BU1070" s="915">
        <v>0.45819444444444446</v>
      </c>
      <c r="BV1070" s="903">
        <f t="shared" si="95"/>
        <v>0.00003472222222</v>
      </c>
      <c r="BW1070" s="921">
        <v>17.9357142857142</v>
      </c>
      <c r="BX1070" s="923">
        <v>7.23571428571428</v>
      </c>
      <c r="BY1070" s="331">
        <f t="shared" si="96"/>
        <v>4.04965355</v>
      </c>
      <c r="BZ1070" s="340"/>
      <c r="CA1070" s="316"/>
      <c r="CB1070" s="318"/>
      <c r="CC1070" s="318"/>
      <c r="CD1070" s="318"/>
      <c r="CE1070" s="318"/>
      <c r="CF1070" s="318"/>
      <c r="CG1070" s="318"/>
      <c r="CH1070" s="318"/>
      <c r="CI1070" s="318"/>
      <c r="CJ1070" s="463"/>
      <c r="CK1070" s="342">
        <f t="shared" si="18"/>
        <v>0</v>
      </c>
      <c r="CL1070" s="333">
        <f t="shared" si="19"/>
        <v>0</v>
      </c>
      <c r="CM1070" s="829"/>
      <c r="CN1070" s="333"/>
      <c r="CO1070" s="333"/>
      <c r="CP1070" s="333"/>
    </row>
    <row r="1071">
      <c r="B1071" s="462" t="s">
        <v>1743</v>
      </c>
      <c r="C1071" s="914">
        <v>44468.0</v>
      </c>
      <c r="D1071" s="318"/>
      <c r="E1071" s="319">
        <v>5.0</v>
      </c>
      <c r="F1071" s="324" t="s">
        <v>1748</v>
      </c>
      <c r="G1071" s="321">
        <v>0.46284722222222224</v>
      </c>
      <c r="H1071" s="323">
        <v>0.46336805555555555</v>
      </c>
      <c r="I1071" s="323"/>
      <c r="J1071" s="323"/>
      <c r="K1071" s="323">
        <v>0.46730324074074076</v>
      </c>
      <c r="L1071" s="323">
        <v>0.003935185185185185</v>
      </c>
      <c r="M1071" s="319" t="s">
        <v>166</v>
      </c>
      <c r="N1071" s="324" t="s">
        <v>187</v>
      </c>
      <c r="O1071" s="419" t="s">
        <v>204</v>
      </c>
      <c r="P1071" s="319" t="s">
        <v>264</v>
      </c>
      <c r="Q1071" s="318"/>
      <c r="R1071" s="326">
        <v>17.6</v>
      </c>
      <c r="S1071" s="319">
        <v>3.2</v>
      </c>
      <c r="T1071" s="324">
        <v>1.05</v>
      </c>
      <c r="U1071" s="319">
        <v>10.0</v>
      </c>
      <c r="V1071" s="319"/>
      <c r="W1071" s="319"/>
      <c r="X1071" s="319"/>
      <c r="Y1071" s="319"/>
      <c r="Z1071" s="319" t="s">
        <v>383</v>
      </c>
      <c r="AA1071" s="319"/>
      <c r="AB1071" s="319" t="s">
        <v>392</v>
      </c>
      <c r="AC1071" s="327">
        <v>10.0</v>
      </c>
      <c r="AD1071" s="319"/>
      <c r="AE1071" s="319"/>
      <c r="AF1071" s="319"/>
      <c r="AG1071" s="319"/>
      <c r="AH1071" s="319"/>
      <c r="AI1071" s="319"/>
      <c r="AJ1071" s="327"/>
      <c r="AK1071" s="328"/>
      <c r="AL1071" s="319"/>
      <c r="AM1071" s="319"/>
      <c r="AN1071" s="319"/>
      <c r="AO1071" s="319"/>
      <c r="AP1071" s="319"/>
      <c r="AQ1071" s="319"/>
      <c r="AR1071" s="319"/>
      <c r="AS1071" s="327"/>
      <c r="AT1071" s="461" t="s">
        <v>183</v>
      </c>
      <c r="AU1071" s="324" t="s">
        <v>845</v>
      </c>
      <c r="AV1071" s="330">
        <f>SQRT(($R1071-Infrastructure!J$3)^2+($S1071-Infrastructure!K$3)^2)</f>
        <v>31.31932311</v>
      </c>
      <c r="AW1071" s="331">
        <f>SQRT(($R1071-Infrastructure!J$4)^2+($S1071-Infrastructure!K$4)^2)</f>
        <v>23.09913418</v>
      </c>
      <c r="AX1071" s="331">
        <f>SQRT(($R1071-Infrastructure!J$5)^2+($S1071-Infrastructure!K$5)^2)</f>
        <v>18.00055555</v>
      </c>
      <c r="AY1071" s="331">
        <f>SQRT(($R1071-Infrastructure!J$6)^2+($S1071-Infrastructure!K$6)^2)</f>
        <v>8.041144197</v>
      </c>
      <c r="AZ1071" s="331">
        <f>SQRT(($R1071-Infrastructure!J$7)^2+($S1071-Infrastructure!K$7)^2)</f>
        <v>4.101219331</v>
      </c>
      <c r="BA1071" s="331">
        <f>SQRT(($R1071-Infrastructure!J$8)^2+($S1071-Infrastructure!K$8)^2)</f>
        <v>12.83199127</v>
      </c>
      <c r="BB1071" s="331">
        <f>SQRT(($R1071-Infrastructure!J$9)^2+($S1071-Infrastructure!K$9)^2)</f>
        <v>22.48043594</v>
      </c>
      <c r="BC1071" s="331">
        <f>SQRT(($R1071-Infrastructure!J$10)^2+($S1071-Infrastructure!K$10)^2)</f>
        <v>25.3179778</v>
      </c>
      <c r="BD1071" s="331">
        <f>SQRT(($R1071-Infrastructure!J$11)^2+($S1071-Infrastructure!K$11)^2)</f>
        <v>34.29868802</v>
      </c>
      <c r="BE1071" s="333">
        <f>SQRT(($R1071-Infrastructure!J$12)^2+($S1071-Infrastructure!K$12)^2)</f>
        <v>52.4452095</v>
      </c>
      <c r="BF1071" s="330">
        <f t="shared" si="14"/>
        <v>4.101219331</v>
      </c>
      <c r="BG1071" s="333">
        <f t="shared" si="15"/>
        <v>52.4452095</v>
      </c>
      <c r="BH1071" s="902">
        <v>36617.0</v>
      </c>
      <c r="BI1071" s="462" t="s">
        <v>846</v>
      </c>
      <c r="BJ1071" s="319" t="s">
        <v>846</v>
      </c>
      <c r="BK1071" s="319" t="s">
        <v>845</v>
      </c>
      <c r="BL1071" s="319" t="s">
        <v>846</v>
      </c>
      <c r="BM1071" s="319" t="s">
        <v>846</v>
      </c>
      <c r="BN1071" s="319" t="s">
        <v>846</v>
      </c>
      <c r="BO1071" s="319" t="s">
        <v>846</v>
      </c>
      <c r="BP1071" s="319" t="s">
        <v>845</v>
      </c>
      <c r="BQ1071" s="319" t="s">
        <v>845</v>
      </c>
      <c r="BR1071" s="324" t="s">
        <v>846</v>
      </c>
      <c r="BS1071" s="330">
        <f t="shared" si="93"/>
        <v>4.101219331</v>
      </c>
      <c r="BT1071" s="331">
        <f t="shared" si="94"/>
        <v>52.4452095</v>
      </c>
      <c r="BU1071" s="915">
        <v>0.46288194444444447</v>
      </c>
      <c r="BV1071" s="903">
        <f t="shared" si="95"/>
        <v>0.00003472222222</v>
      </c>
      <c r="BW1071" s="921">
        <v>18.4825396825396</v>
      </c>
      <c r="BX1071" s="923">
        <v>7.81269841269841</v>
      </c>
      <c r="BY1071" s="331">
        <f t="shared" si="96"/>
        <v>4.696366994</v>
      </c>
      <c r="BZ1071" s="340"/>
      <c r="CA1071" s="316"/>
      <c r="CB1071" s="318"/>
      <c r="CC1071" s="318"/>
      <c r="CD1071" s="318"/>
      <c r="CE1071" s="318"/>
      <c r="CF1071" s="318"/>
      <c r="CG1071" s="318"/>
      <c r="CH1071" s="318"/>
      <c r="CI1071" s="318"/>
      <c r="CJ1071" s="463"/>
      <c r="CK1071" s="342">
        <f t="shared" si="18"/>
        <v>0</v>
      </c>
      <c r="CL1071" s="333">
        <f t="shared" si="19"/>
        <v>0</v>
      </c>
      <c r="CM1071" s="829"/>
      <c r="CN1071" s="333"/>
      <c r="CO1071" s="333"/>
      <c r="CP1071" s="333"/>
    </row>
    <row r="1072">
      <c r="B1072" s="462" t="s">
        <v>1743</v>
      </c>
      <c r="C1072" s="914">
        <v>44468.0</v>
      </c>
      <c r="D1072" s="318"/>
      <c r="E1072" s="319"/>
      <c r="F1072" s="324" t="s">
        <v>1749</v>
      </c>
      <c r="G1072" s="321">
        <v>0.6958333333333333</v>
      </c>
      <c r="H1072" s="323"/>
      <c r="I1072" s="323"/>
      <c r="J1072" s="323"/>
      <c r="K1072" s="323">
        <v>0.696875</v>
      </c>
      <c r="L1072" s="323">
        <v>0.0010416666666666667</v>
      </c>
      <c r="M1072" s="319" t="s">
        <v>166</v>
      </c>
      <c r="N1072" s="324" t="s">
        <v>188</v>
      </c>
      <c r="O1072" s="419"/>
      <c r="P1072" s="319" t="s">
        <v>292</v>
      </c>
      <c r="Q1072" s="318"/>
      <c r="R1072" s="833"/>
      <c r="S1072" s="319"/>
      <c r="T1072" s="324"/>
      <c r="U1072" s="834"/>
      <c r="V1072" s="834"/>
      <c r="W1072" s="834"/>
      <c r="X1072" s="834"/>
      <c r="Y1072" s="834"/>
      <c r="Z1072" s="319" t="s">
        <v>323</v>
      </c>
      <c r="AA1072" s="319"/>
      <c r="AB1072" s="319" t="s">
        <v>323</v>
      </c>
      <c r="AC1072" s="327" t="s">
        <v>323</v>
      </c>
      <c r="AD1072" s="319"/>
      <c r="AE1072" s="319"/>
      <c r="AF1072" s="319"/>
      <c r="AG1072" s="319"/>
      <c r="AH1072" s="319"/>
      <c r="AI1072" s="319"/>
      <c r="AJ1072" s="327"/>
      <c r="AK1072" s="328"/>
      <c r="AL1072" s="319"/>
      <c r="AM1072" s="319"/>
      <c r="AN1072" s="319"/>
      <c r="AO1072" s="319"/>
      <c r="AP1072" s="319"/>
      <c r="AQ1072" s="319"/>
      <c r="AR1072" s="319"/>
      <c r="AS1072" s="327"/>
      <c r="AT1072" s="461"/>
      <c r="AU1072" s="324"/>
      <c r="AV1072" s="330"/>
      <c r="AW1072" s="331"/>
      <c r="AX1072" s="331"/>
      <c r="AY1072" s="331"/>
      <c r="AZ1072" s="331"/>
      <c r="BA1072" s="331"/>
      <c r="BB1072" s="331"/>
      <c r="BC1072" s="331"/>
      <c r="BD1072" s="331"/>
      <c r="BE1072" s="333"/>
      <c r="BF1072" s="330">
        <f t="shared" si="14"/>
        <v>0</v>
      </c>
      <c r="BG1072" s="333">
        <f t="shared" si="15"/>
        <v>0</v>
      </c>
      <c r="BH1072" s="902">
        <v>36617.0</v>
      </c>
      <c r="BI1072" s="462" t="s">
        <v>845</v>
      </c>
      <c r="BJ1072" s="319" t="s">
        <v>845</v>
      </c>
      <c r="BK1072" s="319" t="s">
        <v>845</v>
      </c>
      <c r="BL1072" s="319" t="s">
        <v>845</v>
      </c>
      <c r="BM1072" s="319" t="s">
        <v>845</v>
      </c>
      <c r="BN1072" s="319" t="s">
        <v>845</v>
      </c>
      <c r="BO1072" s="319" t="s">
        <v>845</v>
      </c>
      <c r="BP1072" s="319" t="s">
        <v>845</v>
      </c>
      <c r="BQ1072" s="319" t="s">
        <v>845</v>
      </c>
      <c r="BR1072" s="324" t="s">
        <v>845</v>
      </c>
      <c r="BS1072" s="330"/>
      <c r="BT1072" s="331"/>
      <c r="BU1072" s="920"/>
      <c r="BV1072" s="903"/>
      <c r="BW1072" s="907"/>
      <c r="BX1072" s="908"/>
      <c r="BY1072" s="331"/>
      <c r="BZ1072" s="340"/>
      <c r="CA1072" s="316"/>
      <c r="CB1072" s="318"/>
      <c r="CC1072" s="318"/>
      <c r="CD1072" s="318"/>
      <c r="CE1072" s="318"/>
      <c r="CF1072" s="318"/>
      <c r="CG1072" s="318"/>
      <c r="CH1072" s="318"/>
      <c r="CI1072" s="318"/>
      <c r="CJ1072" s="463"/>
      <c r="CK1072" s="342">
        <f t="shared" si="18"/>
        <v>0</v>
      </c>
      <c r="CL1072" s="333">
        <f t="shared" si="19"/>
        <v>0</v>
      </c>
      <c r="CM1072" s="829"/>
      <c r="CN1072" s="333"/>
      <c r="CO1072" s="333"/>
      <c r="CP1072" s="333"/>
    </row>
    <row r="1073">
      <c r="B1073" s="462" t="s">
        <v>1743</v>
      </c>
      <c r="C1073" s="914">
        <v>44468.0</v>
      </c>
      <c r="D1073" s="318"/>
      <c r="E1073" s="319"/>
      <c r="F1073" s="324" t="s">
        <v>1749</v>
      </c>
      <c r="G1073" s="321">
        <v>0.6979166666666666</v>
      </c>
      <c r="H1073" s="323"/>
      <c r="I1073" s="323"/>
      <c r="J1073" s="323"/>
      <c r="K1073" s="323">
        <v>0.7003472222222222</v>
      </c>
      <c r="L1073" s="323">
        <v>0.0024305555555555556</v>
      </c>
      <c r="M1073" s="319" t="s">
        <v>358</v>
      </c>
      <c r="N1073" s="324" t="s">
        <v>188</v>
      </c>
      <c r="O1073" s="419"/>
      <c r="P1073" s="319" t="s">
        <v>294</v>
      </c>
      <c r="Q1073" s="318"/>
      <c r="R1073" s="833"/>
      <c r="S1073" s="319"/>
      <c r="T1073" s="324"/>
      <c r="U1073" s="834"/>
      <c r="V1073" s="834"/>
      <c r="W1073" s="834"/>
      <c r="X1073" s="834"/>
      <c r="Y1073" s="834"/>
      <c r="Z1073" s="319" t="s">
        <v>323</v>
      </c>
      <c r="AA1073" s="319"/>
      <c r="AB1073" s="319" t="s">
        <v>323</v>
      </c>
      <c r="AC1073" s="327" t="s">
        <v>323</v>
      </c>
      <c r="AD1073" s="319"/>
      <c r="AE1073" s="319"/>
      <c r="AF1073" s="319"/>
      <c r="AG1073" s="319"/>
      <c r="AH1073" s="319"/>
      <c r="AI1073" s="319"/>
      <c r="AJ1073" s="327"/>
      <c r="AK1073" s="328"/>
      <c r="AL1073" s="319"/>
      <c r="AM1073" s="319"/>
      <c r="AN1073" s="319"/>
      <c r="AO1073" s="319"/>
      <c r="AP1073" s="319"/>
      <c r="AQ1073" s="319"/>
      <c r="AR1073" s="319"/>
      <c r="AS1073" s="327"/>
      <c r="AT1073" s="461"/>
      <c r="AU1073" s="324"/>
      <c r="AV1073" s="662"/>
      <c r="AW1073" s="641"/>
      <c r="AX1073" s="641"/>
      <c r="AY1073" s="641"/>
      <c r="AZ1073" s="641"/>
      <c r="BA1073" s="641"/>
      <c r="BB1073" s="641"/>
      <c r="BC1073" s="641"/>
      <c r="BD1073" s="641"/>
      <c r="BE1073" s="642"/>
      <c r="BF1073" s="330">
        <f t="shared" si="14"/>
        <v>0</v>
      </c>
      <c r="BG1073" s="333">
        <f t="shared" si="15"/>
        <v>0</v>
      </c>
      <c r="BH1073" s="902">
        <v>36617.0</v>
      </c>
      <c r="BI1073" s="462" t="s">
        <v>846</v>
      </c>
      <c r="BJ1073" s="319" t="s">
        <v>845</v>
      </c>
      <c r="BK1073" s="319" t="s">
        <v>845</v>
      </c>
      <c r="BL1073" s="319" t="s">
        <v>845</v>
      </c>
      <c r="BM1073" s="319" t="s">
        <v>845</v>
      </c>
      <c r="BN1073" s="319" t="s">
        <v>845</v>
      </c>
      <c r="BO1073" s="319" t="s">
        <v>845</v>
      </c>
      <c r="BP1073" s="319" t="s">
        <v>845</v>
      </c>
      <c r="BQ1073" s="319" t="s">
        <v>845</v>
      </c>
      <c r="BR1073" s="324" t="s">
        <v>845</v>
      </c>
      <c r="BS1073" s="330"/>
      <c r="BT1073" s="331"/>
      <c r="BU1073" s="920"/>
      <c r="BV1073" s="903"/>
      <c r="BW1073" s="907"/>
      <c r="BX1073" s="908"/>
      <c r="BY1073" s="331"/>
      <c r="BZ1073" s="340"/>
      <c r="CA1073" s="316"/>
      <c r="CB1073" s="318"/>
      <c r="CC1073" s="318"/>
      <c r="CD1073" s="318"/>
      <c r="CE1073" s="318"/>
      <c r="CF1073" s="318"/>
      <c r="CG1073" s="318"/>
      <c r="CH1073" s="318"/>
      <c r="CI1073" s="318"/>
      <c r="CJ1073" s="463"/>
      <c r="CK1073" s="342">
        <f t="shared" si="18"/>
        <v>0</v>
      </c>
      <c r="CL1073" s="333">
        <f t="shared" si="19"/>
        <v>0</v>
      </c>
      <c r="CM1073" s="829"/>
      <c r="CN1073" s="333"/>
      <c r="CO1073" s="333"/>
      <c r="CP1073" s="333"/>
    </row>
    <row r="1074">
      <c r="A1074" s="389" t="s">
        <v>56</v>
      </c>
      <c r="B1074" s="573" t="s">
        <v>1750</v>
      </c>
      <c r="C1074" s="909">
        <v>44484.0</v>
      </c>
      <c r="D1074" s="392"/>
      <c r="E1074" s="393">
        <v>1.0</v>
      </c>
      <c r="F1074" s="394" t="s">
        <v>1751</v>
      </c>
      <c r="G1074" s="395">
        <v>0.4251736111111111</v>
      </c>
      <c r="H1074" s="456">
        <v>0.428125</v>
      </c>
      <c r="I1074" s="456"/>
      <c r="J1074" s="456"/>
      <c r="K1074" s="456">
        <v>0.4340277777777778</v>
      </c>
      <c r="L1074" s="456">
        <v>0.005902777777777778</v>
      </c>
      <c r="M1074" s="393" t="s">
        <v>166</v>
      </c>
      <c r="N1074" s="394" t="s">
        <v>187</v>
      </c>
      <c r="O1074" s="399" t="s">
        <v>206</v>
      </c>
      <c r="P1074" s="393" t="s">
        <v>218</v>
      </c>
      <c r="Q1074" s="392"/>
      <c r="R1074" s="400">
        <v>21.5</v>
      </c>
      <c r="S1074" s="393">
        <v>8.7</v>
      </c>
      <c r="T1074" s="394">
        <v>2.35</v>
      </c>
      <c r="U1074" s="393">
        <v>7.0</v>
      </c>
      <c r="V1074" s="393"/>
      <c r="W1074" s="393"/>
      <c r="X1074" s="393"/>
      <c r="Y1074" s="393"/>
      <c r="Z1074" s="393" t="s">
        <v>347</v>
      </c>
      <c r="AA1074" s="393"/>
      <c r="AB1074" s="393" t="s">
        <v>392</v>
      </c>
      <c r="AC1074" s="401">
        <v>10.0</v>
      </c>
      <c r="AD1074" s="393"/>
      <c r="AE1074" s="393"/>
      <c r="AF1074" s="393"/>
      <c r="AG1074" s="393"/>
      <c r="AH1074" s="393"/>
      <c r="AI1074" s="393"/>
      <c r="AJ1074" s="401"/>
      <c r="AK1074" s="402"/>
      <c r="AL1074" s="393"/>
      <c r="AM1074" s="393"/>
      <c r="AN1074" s="393"/>
      <c r="AO1074" s="393"/>
      <c r="AP1074" s="393"/>
      <c r="AQ1074" s="393"/>
      <c r="AR1074" s="393"/>
      <c r="AS1074" s="401"/>
      <c r="AT1074" s="460" t="s">
        <v>182</v>
      </c>
      <c r="AU1074" s="394" t="s">
        <v>845</v>
      </c>
      <c r="AV1074" s="405">
        <f>SQRT(($R1074-Infrastructure!J$3)^2+($S1074-Infrastructure!K$3)^2)</f>
        <v>29.72002692</v>
      </c>
      <c r="AW1074" s="406">
        <f>SQRT(($R1074-Infrastructure!J$4)^2+($S1074-Infrastructure!K$4)^2)</f>
        <v>23.62308193</v>
      </c>
      <c r="AX1074" s="406">
        <f>SQRT(($R1074-Infrastructure!J$5)^2+($S1074-Infrastructure!K$5)^2)</f>
        <v>22.09524836</v>
      </c>
      <c r="AY1074" s="406">
        <f>SQRT(($R1074-Infrastructure!J$6)^2+($S1074-Infrastructure!K$6)^2)</f>
        <v>14.16050847</v>
      </c>
      <c r="AZ1074" s="406">
        <f>SQRT(($R1074-Infrastructure!J$7)^2+($S1074-Infrastructure!K$7)^2)</f>
        <v>8.459314393</v>
      </c>
      <c r="BA1074" s="406">
        <f>SQRT(($R1074-Infrastructure!J$8)^2+($S1074-Infrastructure!K$8)^2)</f>
        <v>12.02164714</v>
      </c>
      <c r="BB1074" s="406">
        <f>SQRT(($R1074-Infrastructure!J$9)^2+($S1074-Infrastructure!K$9)^2)</f>
        <v>18.84701568</v>
      </c>
      <c r="BC1074" s="406">
        <f>SQRT(($R1074-Infrastructure!J$10)^2+($S1074-Infrastructure!K$10)^2)</f>
        <v>19.54328529</v>
      </c>
      <c r="BD1074" s="406">
        <f>SQRT(($R1074-Infrastructure!J$11)^2+($S1074-Infrastructure!K$11)^2)</f>
        <v>27.60036232</v>
      </c>
      <c r="BE1074" s="408">
        <f>SQRT(($R1074-Infrastructure!J$12)^2+($S1074-Infrastructure!K$12)^2)</f>
        <v>46.8</v>
      </c>
      <c r="BF1074" s="405">
        <f t="shared" si="14"/>
        <v>8.459314393</v>
      </c>
      <c r="BG1074" s="408">
        <f t="shared" si="15"/>
        <v>46.8</v>
      </c>
      <c r="BH1074" s="910">
        <v>36617.0</v>
      </c>
      <c r="BI1074" s="573" t="s">
        <v>846</v>
      </c>
      <c r="BJ1074" s="393" t="s">
        <v>845</v>
      </c>
      <c r="BK1074" s="393" t="s">
        <v>845</v>
      </c>
      <c r="BL1074" s="393" t="s">
        <v>846</v>
      </c>
      <c r="BM1074" s="393" t="s">
        <v>845</v>
      </c>
      <c r="BN1074" s="393" t="s">
        <v>845</v>
      </c>
      <c r="BO1074" s="393" t="s">
        <v>845</v>
      </c>
      <c r="BP1074" s="393" t="s">
        <v>845</v>
      </c>
      <c r="BQ1074" s="393" t="s">
        <v>846</v>
      </c>
      <c r="BR1074" s="394" t="s">
        <v>845</v>
      </c>
      <c r="BS1074" s="405">
        <f t="shared" ref="BS1074:BS1076" si="97">MINIFS(AV1074:BE1074,BI1074:BR1074, "Y")</f>
        <v>14.16050847</v>
      </c>
      <c r="BT1074" s="406">
        <f t="shared" ref="BT1074:BT1076" si="98">MAXIFS(AV1074:BE1074,BI1074:BR1074, "Y")</f>
        <v>29.72002692</v>
      </c>
      <c r="BU1074" s="911">
        <v>0.4252314814814815</v>
      </c>
      <c r="BV1074" s="903">
        <f t="shared" ref="BV1074:BV1076" si="99">BU1074-G1074</f>
        <v>0.00005787037037</v>
      </c>
      <c r="BW1074" s="933">
        <v>12.525</v>
      </c>
      <c r="BX1074" s="934">
        <v>3.0</v>
      </c>
      <c r="BY1074" s="331">
        <f t="shared" ref="BY1074:BY1076" si="100">IF(BW1074&gt;0, SQRT((R1074-BW1074)^2+(S1074-BX1074)^2))</f>
        <v>10.63205648</v>
      </c>
      <c r="BZ1074" s="412"/>
      <c r="CA1074" s="390"/>
      <c r="CB1074" s="392"/>
      <c r="CC1074" s="392"/>
      <c r="CD1074" s="392"/>
      <c r="CE1074" s="392"/>
      <c r="CF1074" s="392"/>
      <c r="CG1074" s="392"/>
      <c r="CH1074" s="392"/>
      <c r="CI1074" s="392"/>
      <c r="CJ1074" s="898"/>
      <c r="CK1074" s="414">
        <f t="shared" si="18"/>
        <v>0</v>
      </c>
      <c r="CL1074" s="408">
        <f t="shared" si="19"/>
        <v>0</v>
      </c>
      <c r="CM1074" s="832"/>
      <c r="CN1074" s="333"/>
      <c r="CO1074" s="333"/>
      <c r="CP1074" s="333"/>
    </row>
    <row r="1075">
      <c r="B1075" s="462" t="s">
        <v>1750</v>
      </c>
      <c r="C1075" s="914">
        <v>44484.0</v>
      </c>
      <c r="D1075" s="318"/>
      <c r="E1075" s="319">
        <v>2.0</v>
      </c>
      <c r="F1075" s="324" t="s">
        <v>1752</v>
      </c>
      <c r="G1075" s="321">
        <v>0.43854166666666666</v>
      </c>
      <c r="H1075" s="323">
        <v>0.43975694444444446</v>
      </c>
      <c r="I1075" s="323"/>
      <c r="J1075" s="323"/>
      <c r="K1075" s="323">
        <v>0.44131944444444443</v>
      </c>
      <c r="L1075" s="323">
        <v>0.0015625</v>
      </c>
      <c r="M1075" s="319" t="s">
        <v>166</v>
      </c>
      <c r="N1075" s="324" t="s">
        <v>188</v>
      </c>
      <c r="O1075" s="419" t="s">
        <v>378</v>
      </c>
      <c r="P1075" s="319" t="s">
        <v>225</v>
      </c>
      <c r="Q1075" s="318"/>
      <c r="R1075" s="326">
        <v>22.7</v>
      </c>
      <c r="S1075" s="319">
        <v>39.7</v>
      </c>
      <c r="T1075" s="324">
        <v>0.45</v>
      </c>
      <c r="U1075" s="319">
        <v>14.5</v>
      </c>
      <c r="V1075" s="319"/>
      <c r="W1075" s="319"/>
      <c r="X1075" s="319"/>
      <c r="Y1075" s="319"/>
      <c r="Z1075" s="319" t="s">
        <v>383</v>
      </c>
      <c r="AA1075" s="319"/>
      <c r="AB1075" s="319" t="s">
        <v>410</v>
      </c>
      <c r="AC1075" s="327">
        <v>22.1</v>
      </c>
      <c r="AD1075" s="319"/>
      <c r="AE1075" s="319"/>
      <c r="AF1075" s="319"/>
      <c r="AG1075" s="319"/>
      <c r="AH1075" s="319"/>
      <c r="AI1075" s="319"/>
      <c r="AJ1075" s="327"/>
      <c r="AK1075" s="328"/>
      <c r="AL1075" s="319"/>
      <c r="AM1075" s="319"/>
      <c r="AN1075" s="319"/>
      <c r="AO1075" s="319"/>
      <c r="AP1075" s="319"/>
      <c r="AQ1075" s="319"/>
      <c r="AR1075" s="319"/>
      <c r="AS1075" s="327"/>
      <c r="AT1075" s="461" t="s">
        <v>183</v>
      </c>
      <c r="AU1075" s="324" t="s">
        <v>845</v>
      </c>
      <c r="AV1075" s="330">
        <f>SQRT(($R1075-Infrastructure!J$3)^2+($S1075-Infrastructure!K$3)^2)</f>
        <v>25.40944706</v>
      </c>
      <c r="AW1075" s="331">
        <f>SQRT(($R1075-Infrastructure!J$4)^2+($S1075-Infrastructure!K$4)^2)</f>
        <v>31.75862088</v>
      </c>
      <c r="AX1075" s="331">
        <f>SQRT(($R1075-Infrastructure!J$5)^2+($S1075-Infrastructure!K$5)^2)</f>
        <v>41.54708173</v>
      </c>
      <c r="AY1075" s="331">
        <f>SQRT(($R1075-Infrastructure!J$6)^2+($S1075-Infrastructure!K$6)^2)</f>
        <v>41.36568626</v>
      </c>
      <c r="AZ1075" s="331">
        <f>SQRT(($R1075-Infrastructure!J$7)^2+($S1075-Infrastructure!K$7)^2)</f>
        <v>39.46137352</v>
      </c>
      <c r="BA1075" s="331">
        <f>SQRT(($R1075-Infrastructure!J$8)^2+($S1075-Infrastructure!K$8)^2)</f>
        <v>40.08890121</v>
      </c>
      <c r="BB1075" s="331">
        <f>SQRT(($R1075-Infrastructure!J$9)^2+($S1075-Infrastructure!K$9)^2)</f>
        <v>38.68397601</v>
      </c>
      <c r="BC1075" s="331">
        <f>SQRT(($R1075-Infrastructure!J$10)^2+($S1075-Infrastructure!K$10)^2)</f>
        <v>30.15592811</v>
      </c>
      <c r="BD1075" s="331">
        <f>SQRT(($R1075-Infrastructure!J$11)^2+($S1075-Infrastructure!K$11)^2)</f>
        <v>20.51194774</v>
      </c>
      <c r="BE1075" s="333">
        <f>SQRT(($R1075-Infrastructure!J$12)^2+($S1075-Infrastructure!K$12)^2)</f>
        <v>15.84550409</v>
      </c>
      <c r="BF1075" s="330">
        <f t="shared" si="14"/>
        <v>15.84550409</v>
      </c>
      <c r="BG1075" s="333">
        <f t="shared" si="15"/>
        <v>41.54708173</v>
      </c>
      <c r="BH1075" s="902">
        <v>36617.0</v>
      </c>
      <c r="BI1075" s="462" t="s">
        <v>845</v>
      </c>
      <c r="BJ1075" s="319" t="s">
        <v>845</v>
      </c>
      <c r="BK1075" s="319" t="s">
        <v>846</v>
      </c>
      <c r="BL1075" s="319" t="s">
        <v>845</v>
      </c>
      <c r="BM1075" s="319" t="s">
        <v>846</v>
      </c>
      <c r="BN1075" s="319" t="s">
        <v>845</v>
      </c>
      <c r="BO1075" s="319" t="s">
        <v>845</v>
      </c>
      <c r="BP1075" s="319" t="s">
        <v>845</v>
      </c>
      <c r="BQ1075" s="319" t="s">
        <v>846</v>
      </c>
      <c r="BR1075" s="324" t="s">
        <v>845</v>
      </c>
      <c r="BS1075" s="330">
        <f t="shared" si="97"/>
        <v>20.51194774</v>
      </c>
      <c r="BT1075" s="331">
        <f t="shared" si="98"/>
        <v>41.54708173</v>
      </c>
      <c r="BU1075" s="915">
        <v>0.43854166666666666</v>
      </c>
      <c r="BV1075" s="903">
        <f t="shared" si="99"/>
        <v>0</v>
      </c>
      <c r="BW1075" s="921">
        <v>17.7166666666666</v>
      </c>
      <c r="BX1075" s="923">
        <v>23.0999999999999</v>
      </c>
      <c r="BY1075" s="331">
        <f t="shared" si="100"/>
        <v>17.33186693</v>
      </c>
      <c r="BZ1075" s="340"/>
      <c r="CA1075" s="316"/>
      <c r="CB1075" s="318"/>
      <c r="CC1075" s="318"/>
      <c r="CD1075" s="318"/>
      <c r="CE1075" s="318"/>
      <c r="CF1075" s="318"/>
      <c r="CG1075" s="318"/>
      <c r="CH1075" s="318"/>
      <c r="CI1075" s="318"/>
      <c r="CJ1075" s="463"/>
      <c r="CK1075" s="342">
        <f t="shared" si="18"/>
        <v>0</v>
      </c>
      <c r="CL1075" s="333">
        <f t="shared" si="19"/>
        <v>0</v>
      </c>
      <c r="CM1075" s="829"/>
      <c r="CN1075" s="333"/>
      <c r="CO1075" s="333"/>
      <c r="CP1075" s="333"/>
    </row>
    <row r="1076">
      <c r="B1076" s="462" t="s">
        <v>1750</v>
      </c>
      <c r="C1076" s="914">
        <v>44484.0</v>
      </c>
      <c r="D1076" s="318"/>
      <c r="E1076" s="319">
        <v>3.0</v>
      </c>
      <c r="F1076" s="324" t="s">
        <v>1753</v>
      </c>
      <c r="G1076" s="321">
        <v>0.44241898148148145</v>
      </c>
      <c r="H1076" s="323">
        <v>0.4427083333333333</v>
      </c>
      <c r="I1076" s="323"/>
      <c r="J1076" s="323"/>
      <c r="K1076" s="323">
        <v>0.44375</v>
      </c>
      <c r="L1076" s="323">
        <v>0.0010416666666666667</v>
      </c>
      <c r="M1076" s="319" t="s">
        <v>166</v>
      </c>
      <c r="N1076" s="324" t="s">
        <v>188</v>
      </c>
      <c r="O1076" s="419" t="s">
        <v>378</v>
      </c>
      <c r="P1076" s="319" t="s">
        <v>225</v>
      </c>
      <c r="Q1076" s="318"/>
      <c r="R1076" s="326">
        <v>22.7</v>
      </c>
      <c r="S1076" s="319">
        <v>39.7</v>
      </c>
      <c r="T1076" s="324">
        <v>0.45</v>
      </c>
      <c r="U1076" s="319">
        <v>15.0</v>
      </c>
      <c r="V1076" s="319"/>
      <c r="W1076" s="319"/>
      <c r="X1076" s="319"/>
      <c r="Y1076" s="319"/>
      <c r="Z1076" s="319" t="s">
        <v>383</v>
      </c>
      <c r="AA1076" s="319"/>
      <c r="AB1076" s="319" t="s">
        <v>410</v>
      </c>
      <c r="AC1076" s="327">
        <v>22.1</v>
      </c>
      <c r="AD1076" s="319"/>
      <c r="AE1076" s="319"/>
      <c r="AF1076" s="319"/>
      <c r="AG1076" s="319"/>
      <c r="AH1076" s="319"/>
      <c r="AI1076" s="319"/>
      <c r="AJ1076" s="327"/>
      <c r="AK1076" s="328"/>
      <c r="AL1076" s="319"/>
      <c r="AM1076" s="319"/>
      <c r="AN1076" s="319"/>
      <c r="AO1076" s="319"/>
      <c r="AP1076" s="319"/>
      <c r="AQ1076" s="319"/>
      <c r="AR1076" s="319"/>
      <c r="AS1076" s="327"/>
      <c r="AT1076" s="461" t="s">
        <v>183</v>
      </c>
      <c r="AU1076" s="324" t="s">
        <v>845</v>
      </c>
      <c r="AV1076" s="330">
        <f>SQRT(($R1076-Infrastructure!J$3)^2+($S1076-Infrastructure!K$3)^2)</f>
        <v>25.40944706</v>
      </c>
      <c r="AW1076" s="331">
        <f>SQRT(($R1076-Infrastructure!J$4)^2+($S1076-Infrastructure!K$4)^2)</f>
        <v>31.75862088</v>
      </c>
      <c r="AX1076" s="331">
        <f>SQRT(($R1076-Infrastructure!J$5)^2+($S1076-Infrastructure!K$5)^2)</f>
        <v>41.54708173</v>
      </c>
      <c r="AY1076" s="331">
        <f>SQRT(($R1076-Infrastructure!J$6)^2+($S1076-Infrastructure!K$6)^2)</f>
        <v>41.36568626</v>
      </c>
      <c r="AZ1076" s="331">
        <f>SQRT(($R1076-Infrastructure!J$7)^2+($S1076-Infrastructure!K$7)^2)</f>
        <v>39.46137352</v>
      </c>
      <c r="BA1076" s="331">
        <f>SQRT(($R1076-Infrastructure!J$8)^2+($S1076-Infrastructure!K$8)^2)</f>
        <v>40.08890121</v>
      </c>
      <c r="BB1076" s="331">
        <f>SQRT(($R1076-Infrastructure!J$9)^2+($S1076-Infrastructure!K$9)^2)</f>
        <v>38.68397601</v>
      </c>
      <c r="BC1076" s="331">
        <f>SQRT(($R1076-Infrastructure!J$10)^2+($S1076-Infrastructure!K$10)^2)</f>
        <v>30.15592811</v>
      </c>
      <c r="BD1076" s="331">
        <f>SQRT(($R1076-Infrastructure!J$11)^2+($S1076-Infrastructure!K$11)^2)</f>
        <v>20.51194774</v>
      </c>
      <c r="BE1076" s="333">
        <f>SQRT(($R1076-Infrastructure!J$12)^2+($S1076-Infrastructure!K$12)^2)</f>
        <v>15.84550409</v>
      </c>
      <c r="BF1076" s="330">
        <f t="shared" si="14"/>
        <v>15.84550409</v>
      </c>
      <c r="BG1076" s="333">
        <f t="shared" si="15"/>
        <v>41.54708173</v>
      </c>
      <c r="BH1076" s="902">
        <v>36617.0</v>
      </c>
      <c r="BI1076" s="462" t="s">
        <v>845</v>
      </c>
      <c r="BJ1076" s="319" t="s">
        <v>845</v>
      </c>
      <c r="BK1076" s="319" t="s">
        <v>846</v>
      </c>
      <c r="BL1076" s="319" t="s">
        <v>845</v>
      </c>
      <c r="BM1076" s="319" t="s">
        <v>846</v>
      </c>
      <c r="BN1076" s="319" t="s">
        <v>845</v>
      </c>
      <c r="BO1076" s="319" t="s">
        <v>845</v>
      </c>
      <c r="BP1076" s="319" t="s">
        <v>845</v>
      </c>
      <c r="BQ1076" s="319" t="s">
        <v>846</v>
      </c>
      <c r="BR1076" s="324" t="s">
        <v>845</v>
      </c>
      <c r="BS1076" s="330">
        <f t="shared" si="97"/>
        <v>20.51194774</v>
      </c>
      <c r="BT1076" s="331">
        <f t="shared" si="98"/>
        <v>41.54708173</v>
      </c>
      <c r="BU1076" s="915">
        <v>0.4424537037037037</v>
      </c>
      <c r="BV1076" s="903">
        <f t="shared" si="99"/>
        <v>0.00003472222222</v>
      </c>
      <c r="BW1076" s="921">
        <v>24.1</v>
      </c>
      <c r="BX1076" s="923">
        <v>24.95</v>
      </c>
      <c r="BY1076" s="331">
        <f t="shared" si="100"/>
        <v>14.81629171</v>
      </c>
      <c r="BZ1076" s="340"/>
      <c r="CA1076" s="316"/>
      <c r="CB1076" s="318"/>
      <c r="CC1076" s="318"/>
      <c r="CD1076" s="318"/>
      <c r="CE1076" s="318"/>
      <c r="CF1076" s="318"/>
      <c r="CG1076" s="318"/>
      <c r="CH1076" s="318"/>
      <c r="CI1076" s="318"/>
      <c r="CJ1076" s="463"/>
      <c r="CK1076" s="342">
        <f t="shared" si="18"/>
        <v>0</v>
      </c>
      <c r="CL1076" s="333">
        <f t="shared" si="19"/>
        <v>0</v>
      </c>
      <c r="CM1076" s="829"/>
      <c r="CN1076" s="333"/>
      <c r="CO1076" s="333"/>
      <c r="CP1076" s="333"/>
    </row>
    <row r="1077">
      <c r="B1077" s="462" t="s">
        <v>1750</v>
      </c>
      <c r="C1077" s="914">
        <v>44484.0</v>
      </c>
      <c r="D1077" s="318"/>
      <c r="E1077" s="319"/>
      <c r="F1077" s="324" t="s">
        <v>1754</v>
      </c>
      <c r="G1077" s="321">
        <v>0.4461805555555556</v>
      </c>
      <c r="H1077" s="323"/>
      <c r="I1077" s="323"/>
      <c r="J1077" s="323"/>
      <c r="K1077" s="323">
        <v>0.44722222222222224</v>
      </c>
      <c r="L1077" s="323">
        <v>0.0010416666666666667</v>
      </c>
      <c r="M1077" s="319" t="s">
        <v>166</v>
      </c>
      <c r="N1077" s="324" t="s">
        <v>188</v>
      </c>
      <c r="O1077" s="419"/>
      <c r="P1077" s="319" t="s">
        <v>292</v>
      </c>
      <c r="Q1077" s="318"/>
      <c r="R1077" s="833"/>
      <c r="S1077" s="319"/>
      <c r="T1077" s="324"/>
      <c r="U1077" s="834"/>
      <c r="V1077" s="834"/>
      <c r="W1077" s="834"/>
      <c r="X1077" s="834"/>
      <c r="Y1077" s="834"/>
      <c r="Z1077" s="319" t="s">
        <v>323</v>
      </c>
      <c r="AA1077" s="319"/>
      <c r="AB1077" s="319" t="s">
        <v>323</v>
      </c>
      <c r="AC1077" s="327" t="s">
        <v>323</v>
      </c>
      <c r="AD1077" s="319"/>
      <c r="AE1077" s="319"/>
      <c r="AF1077" s="319"/>
      <c r="AG1077" s="319"/>
      <c r="AH1077" s="319"/>
      <c r="AI1077" s="319"/>
      <c r="AJ1077" s="327"/>
      <c r="AK1077" s="328"/>
      <c r="AL1077" s="319"/>
      <c r="AM1077" s="319"/>
      <c r="AN1077" s="319"/>
      <c r="AO1077" s="319"/>
      <c r="AP1077" s="319"/>
      <c r="AQ1077" s="319"/>
      <c r="AR1077" s="319"/>
      <c r="AS1077" s="327"/>
      <c r="AT1077" s="461"/>
      <c r="AU1077" s="324"/>
      <c r="AV1077" s="330"/>
      <c r="AW1077" s="331"/>
      <c r="AX1077" s="331"/>
      <c r="AY1077" s="331"/>
      <c r="AZ1077" s="331"/>
      <c r="BA1077" s="331"/>
      <c r="BB1077" s="331"/>
      <c r="BC1077" s="331"/>
      <c r="BD1077" s="331"/>
      <c r="BE1077" s="333"/>
      <c r="BF1077" s="330">
        <f t="shared" si="14"/>
        <v>0</v>
      </c>
      <c r="BG1077" s="333">
        <f t="shared" si="15"/>
        <v>0</v>
      </c>
      <c r="BH1077" s="902">
        <v>36617.0</v>
      </c>
      <c r="BI1077" s="462" t="s">
        <v>845</v>
      </c>
      <c r="BJ1077" s="319" t="s">
        <v>845</v>
      </c>
      <c r="BK1077" s="319" t="s">
        <v>845</v>
      </c>
      <c r="BL1077" s="319" t="s">
        <v>845</v>
      </c>
      <c r="BM1077" s="319" t="s">
        <v>845</v>
      </c>
      <c r="BN1077" s="319" t="s">
        <v>845</v>
      </c>
      <c r="BO1077" s="319" t="s">
        <v>845</v>
      </c>
      <c r="BP1077" s="319" t="s">
        <v>845</v>
      </c>
      <c r="BQ1077" s="319" t="s">
        <v>845</v>
      </c>
      <c r="BR1077" s="324" t="s">
        <v>845</v>
      </c>
      <c r="BS1077" s="330"/>
      <c r="BT1077" s="331"/>
      <c r="BU1077" s="920"/>
      <c r="BV1077" s="903"/>
      <c r="BW1077" s="907"/>
      <c r="BX1077" s="908"/>
      <c r="BY1077" s="331"/>
      <c r="BZ1077" s="340"/>
      <c r="CA1077" s="316"/>
      <c r="CB1077" s="318"/>
      <c r="CC1077" s="318"/>
      <c r="CD1077" s="318"/>
      <c r="CE1077" s="318"/>
      <c r="CF1077" s="318"/>
      <c r="CG1077" s="318"/>
      <c r="CH1077" s="318"/>
      <c r="CI1077" s="318"/>
      <c r="CJ1077" s="463"/>
      <c r="CK1077" s="342">
        <f t="shared" si="18"/>
        <v>0</v>
      </c>
      <c r="CL1077" s="333">
        <f t="shared" si="19"/>
        <v>0</v>
      </c>
      <c r="CM1077" s="829"/>
      <c r="CN1077" s="333"/>
      <c r="CO1077" s="333"/>
      <c r="CP1077" s="333"/>
    </row>
    <row r="1078">
      <c r="A1078" s="634"/>
      <c r="B1078" s="635" t="s">
        <v>1750</v>
      </c>
      <c r="C1078" s="935">
        <v>44484.0</v>
      </c>
      <c r="D1078" s="640"/>
      <c r="E1078" s="663"/>
      <c r="F1078" s="637" t="s">
        <v>1754</v>
      </c>
      <c r="G1078" s="770">
        <v>0.4479166666666667</v>
      </c>
      <c r="H1078" s="771"/>
      <c r="I1078" s="771"/>
      <c r="J1078" s="771"/>
      <c r="K1078" s="771">
        <v>0.4496527777777778</v>
      </c>
      <c r="L1078" s="771">
        <v>0.001736111111111111</v>
      </c>
      <c r="M1078" s="663" t="s">
        <v>358</v>
      </c>
      <c r="N1078" s="637" t="s">
        <v>188</v>
      </c>
      <c r="O1078" s="731"/>
      <c r="P1078" s="663" t="s">
        <v>294</v>
      </c>
      <c r="Q1078" s="640"/>
      <c r="R1078" s="837"/>
      <c r="S1078" s="663"/>
      <c r="T1078" s="637"/>
      <c r="U1078" s="838"/>
      <c r="V1078" s="838"/>
      <c r="W1078" s="838"/>
      <c r="X1078" s="838"/>
      <c r="Y1078" s="838"/>
      <c r="Z1078" s="663" t="s">
        <v>323</v>
      </c>
      <c r="AA1078" s="663"/>
      <c r="AB1078" s="663" t="s">
        <v>323</v>
      </c>
      <c r="AC1078" s="773" t="s">
        <v>323</v>
      </c>
      <c r="AD1078" s="663"/>
      <c r="AE1078" s="663"/>
      <c r="AF1078" s="663"/>
      <c r="AG1078" s="663"/>
      <c r="AH1078" s="663"/>
      <c r="AI1078" s="663"/>
      <c r="AJ1078" s="773"/>
      <c r="AK1078" s="839"/>
      <c r="AL1078" s="663"/>
      <c r="AM1078" s="663"/>
      <c r="AN1078" s="663"/>
      <c r="AO1078" s="663"/>
      <c r="AP1078" s="663"/>
      <c r="AQ1078" s="663"/>
      <c r="AR1078" s="663"/>
      <c r="AS1078" s="773"/>
      <c r="AT1078" s="636"/>
      <c r="AU1078" s="637"/>
      <c r="AV1078" s="662"/>
      <c r="AW1078" s="641"/>
      <c r="AX1078" s="641"/>
      <c r="AY1078" s="641"/>
      <c r="AZ1078" s="641"/>
      <c r="BA1078" s="641"/>
      <c r="BB1078" s="641"/>
      <c r="BC1078" s="641"/>
      <c r="BD1078" s="641"/>
      <c r="BE1078" s="642"/>
      <c r="BF1078" s="662">
        <f t="shared" si="14"/>
        <v>0</v>
      </c>
      <c r="BG1078" s="642">
        <f t="shared" si="15"/>
        <v>0</v>
      </c>
      <c r="BH1078" s="936">
        <v>36617.0</v>
      </c>
      <c r="BI1078" s="635" t="s">
        <v>845</v>
      </c>
      <c r="BJ1078" s="663" t="s">
        <v>845</v>
      </c>
      <c r="BK1078" s="663" t="s">
        <v>845</v>
      </c>
      <c r="BL1078" s="663" t="s">
        <v>845</v>
      </c>
      <c r="BM1078" s="663" t="s">
        <v>845</v>
      </c>
      <c r="BN1078" s="663" t="s">
        <v>845</v>
      </c>
      <c r="BO1078" s="663" t="s">
        <v>845</v>
      </c>
      <c r="BP1078" s="663" t="s">
        <v>845</v>
      </c>
      <c r="BQ1078" s="663" t="s">
        <v>845</v>
      </c>
      <c r="BR1078" s="637" t="s">
        <v>845</v>
      </c>
      <c r="BS1078" s="662"/>
      <c r="BT1078" s="641"/>
      <c r="BU1078" s="937"/>
      <c r="BV1078" s="903"/>
      <c r="BW1078" s="938"/>
      <c r="BX1078" s="939"/>
      <c r="BY1078" s="641"/>
      <c r="BZ1078" s="742"/>
      <c r="CA1078" s="639"/>
      <c r="CB1078" s="640"/>
      <c r="CC1078" s="640"/>
      <c r="CD1078" s="640"/>
      <c r="CE1078" s="640"/>
      <c r="CF1078" s="640"/>
      <c r="CG1078" s="640"/>
      <c r="CH1078" s="640"/>
      <c r="CI1078" s="640"/>
      <c r="CJ1078" s="785"/>
      <c r="CK1078" s="743">
        <f t="shared" si="18"/>
        <v>0</v>
      </c>
      <c r="CL1078" s="642">
        <f t="shared" si="19"/>
        <v>0</v>
      </c>
      <c r="CM1078" s="831"/>
      <c r="CN1078" s="333"/>
      <c r="CO1078" s="333"/>
      <c r="CP1078" s="333"/>
    </row>
    <row r="1079">
      <c r="A1079" s="315" t="s">
        <v>56</v>
      </c>
      <c r="B1079" s="462" t="s">
        <v>1755</v>
      </c>
      <c r="C1079" s="914">
        <v>44490.0</v>
      </c>
      <c r="D1079" s="318"/>
      <c r="E1079" s="319">
        <v>1.0</v>
      </c>
      <c r="F1079" s="324" t="s">
        <v>1756</v>
      </c>
      <c r="G1079" s="321">
        <v>0.49137731481481484</v>
      </c>
      <c r="H1079" s="323">
        <v>0.49270833333333336</v>
      </c>
      <c r="I1079" s="323"/>
      <c r="J1079" s="323"/>
      <c r="K1079" s="323">
        <v>0.49444444444444446</v>
      </c>
      <c r="L1079" s="323">
        <v>0.001736111111111111</v>
      </c>
      <c r="M1079" s="319" t="s">
        <v>166</v>
      </c>
      <c r="N1079" s="324" t="s">
        <v>187</v>
      </c>
      <c r="O1079" s="419" t="s">
        <v>205</v>
      </c>
      <c r="P1079" s="319" t="s">
        <v>213</v>
      </c>
      <c r="Q1079" s="318"/>
      <c r="R1079" s="326">
        <v>21.5</v>
      </c>
      <c r="S1079" s="319">
        <v>21.5</v>
      </c>
      <c r="T1079" s="324">
        <v>21.5</v>
      </c>
      <c r="U1079" s="319">
        <v>6.0</v>
      </c>
      <c r="V1079" s="319"/>
      <c r="W1079" s="319"/>
      <c r="X1079" s="319"/>
      <c r="Y1079" s="319"/>
      <c r="Z1079" s="319" t="s">
        <v>370</v>
      </c>
      <c r="AA1079" s="319"/>
      <c r="AB1079" s="319" t="s">
        <v>392</v>
      </c>
      <c r="AC1079" s="327">
        <v>10.0</v>
      </c>
      <c r="AD1079" s="319"/>
      <c r="AE1079" s="319"/>
      <c r="AF1079" s="319"/>
      <c r="AG1079" s="319"/>
      <c r="AH1079" s="319"/>
      <c r="AI1079" s="319"/>
      <c r="AJ1079" s="327"/>
      <c r="AK1079" s="328"/>
      <c r="AL1079" s="319"/>
      <c r="AM1079" s="319"/>
      <c r="AN1079" s="319"/>
      <c r="AO1079" s="319"/>
      <c r="AP1079" s="319"/>
      <c r="AQ1079" s="319"/>
      <c r="AR1079" s="319"/>
      <c r="AS1079" s="327"/>
      <c r="AT1079" s="461" t="s">
        <v>182</v>
      </c>
      <c r="AU1079" s="324" t="s">
        <v>845</v>
      </c>
      <c r="AV1079" s="330">
        <f>SQRT(($R1079-Infrastructure!J$3)^2+($S1079-Infrastructure!K$3)^2)</f>
        <v>23.02172887</v>
      </c>
      <c r="AW1079" s="331">
        <f>SQRT(($R1079-Infrastructure!J$4)^2+($S1079-Infrastructure!K$4)^2)</f>
        <v>22.11176158</v>
      </c>
      <c r="AX1079" s="331">
        <f>SQRT(($R1079-Infrastructure!J$5)^2+($S1079-Infrastructure!K$5)^2)</f>
        <v>27.28002933</v>
      </c>
      <c r="AY1079" s="331">
        <f>SQRT(($R1079-Infrastructure!J$6)^2+($S1079-Infrastructure!K$6)^2)</f>
        <v>24.07072911</v>
      </c>
      <c r="AZ1079" s="331">
        <f>SQRT(($R1079-Infrastructure!J$7)^2+($S1079-Infrastructure!K$7)^2)</f>
        <v>21.2235718</v>
      </c>
      <c r="BA1079" s="331">
        <f>SQRT(($R1079-Infrastructure!J$8)^2+($S1079-Infrastructure!K$8)^2)</f>
        <v>22.87793697</v>
      </c>
      <c r="BB1079" s="331">
        <f>SQRT(($R1079-Infrastructure!J$9)^2+($S1079-Infrastructure!K$9)^2)</f>
        <v>24.72266167</v>
      </c>
      <c r="BC1079" s="331">
        <f>SQRT(($R1079-Infrastructure!J$10)^2+($S1079-Infrastructure!K$10)^2)</f>
        <v>19.60867155</v>
      </c>
      <c r="BD1079" s="331">
        <f>SQRT(($R1079-Infrastructure!J$11)^2+($S1079-Infrastructure!K$11)^2)</f>
        <v>20.14795275</v>
      </c>
      <c r="BE1079" s="333">
        <f>SQRT(($R1079-Infrastructure!J$12)^2+($S1079-Infrastructure!K$12)^2)</f>
        <v>34</v>
      </c>
      <c r="BF1079" s="330">
        <f t="shared" si="14"/>
        <v>19.60867155</v>
      </c>
      <c r="BG1079" s="333">
        <f t="shared" si="15"/>
        <v>34</v>
      </c>
      <c r="BH1079" s="902">
        <v>36617.0</v>
      </c>
      <c r="BI1079" s="462" t="s">
        <v>846</v>
      </c>
      <c r="BJ1079" s="319" t="s">
        <v>845</v>
      </c>
      <c r="BK1079" s="319" t="s">
        <v>845</v>
      </c>
      <c r="BL1079" s="319" t="s">
        <v>846</v>
      </c>
      <c r="BM1079" s="319" t="s">
        <v>846</v>
      </c>
      <c r="BN1079" s="319" t="s">
        <v>846</v>
      </c>
      <c r="BO1079" s="319" t="s">
        <v>846</v>
      </c>
      <c r="BP1079" s="319" t="s">
        <v>845</v>
      </c>
      <c r="BQ1079" s="319" t="s">
        <v>845</v>
      </c>
      <c r="BR1079" s="324" t="s">
        <v>846</v>
      </c>
      <c r="BS1079" s="330">
        <f t="shared" ref="BS1079:BS1082" si="101">MINIFS(AV1079:BE1079,BI1079:BR1079, "Y")</f>
        <v>21.2235718</v>
      </c>
      <c r="BT1079" s="331">
        <f t="shared" ref="BT1079:BT1082" si="102">MAXIFS(AV1079:BE1079,BI1079:BR1079, "Y")</f>
        <v>34</v>
      </c>
      <c r="BU1079" s="922">
        <v>0.49141203703703706</v>
      </c>
      <c r="BV1079" s="903">
        <f t="shared" ref="BV1079:BV1085" si="103">BU1079-G1079</f>
        <v>0.00003472222222</v>
      </c>
      <c r="BW1079" s="921">
        <v>22.7933333333333</v>
      </c>
      <c r="BX1079" s="923">
        <v>5.95333333333333</v>
      </c>
      <c r="BY1079" s="331">
        <f>IF(BW1079&gt;0, SQRT((R1079-BW1079)^2+(S1079-BX1079)^2))</f>
        <v>15.60037037</v>
      </c>
      <c r="BZ1079" s="340"/>
      <c r="CA1079" s="316"/>
      <c r="CB1079" s="318"/>
      <c r="CC1079" s="318"/>
      <c r="CD1079" s="318"/>
      <c r="CE1079" s="318"/>
      <c r="CF1079" s="318"/>
      <c r="CG1079" s="318"/>
      <c r="CH1079" s="318"/>
      <c r="CI1079" s="318"/>
      <c r="CJ1079" s="463"/>
      <c r="CK1079" s="342"/>
      <c r="CL1079" s="333"/>
      <c r="CM1079" s="829"/>
      <c r="CN1079" s="333"/>
      <c r="CO1079" s="333"/>
      <c r="CP1079" s="333"/>
    </row>
    <row r="1080">
      <c r="B1080" s="462" t="s">
        <v>1755</v>
      </c>
      <c r="C1080" s="914">
        <v>44490.0</v>
      </c>
      <c r="D1080" s="318"/>
      <c r="E1080" s="319">
        <v>2.0</v>
      </c>
      <c r="F1080" s="324" t="s">
        <v>1757</v>
      </c>
      <c r="G1080" s="321">
        <v>0.4984375</v>
      </c>
      <c r="H1080" s="323">
        <v>0.49895833333333334</v>
      </c>
      <c r="I1080" s="323"/>
      <c r="J1080" s="323"/>
      <c r="K1080" s="323">
        <v>0.5002314814814814</v>
      </c>
      <c r="L1080" s="323">
        <v>0.0012731481481481483</v>
      </c>
      <c r="M1080" s="319" t="s">
        <v>166</v>
      </c>
      <c r="N1080" s="324" t="s">
        <v>188</v>
      </c>
      <c r="O1080" s="419" t="s">
        <v>378</v>
      </c>
      <c r="P1080" s="319" t="s">
        <v>225</v>
      </c>
      <c r="Q1080" s="318"/>
      <c r="R1080" s="326">
        <v>22.7</v>
      </c>
      <c r="S1080" s="319">
        <v>22.7</v>
      </c>
      <c r="T1080" s="324">
        <v>22.7</v>
      </c>
      <c r="U1080" s="319">
        <v>11.0</v>
      </c>
      <c r="V1080" s="319"/>
      <c r="W1080" s="319"/>
      <c r="X1080" s="319"/>
      <c r="Y1080" s="319"/>
      <c r="Z1080" s="319" t="s">
        <v>1140</v>
      </c>
      <c r="AA1080" s="319"/>
      <c r="AB1080" s="319" t="s">
        <v>410</v>
      </c>
      <c r="AC1080" s="327">
        <v>22.1</v>
      </c>
      <c r="AD1080" s="319"/>
      <c r="AE1080" s="319"/>
      <c r="AF1080" s="319"/>
      <c r="AG1080" s="319"/>
      <c r="AH1080" s="319"/>
      <c r="AI1080" s="319"/>
      <c r="AJ1080" s="327"/>
      <c r="AK1080" s="328"/>
      <c r="AL1080" s="319"/>
      <c r="AM1080" s="319"/>
      <c r="AN1080" s="319"/>
      <c r="AO1080" s="319"/>
      <c r="AP1080" s="319"/>
      <c r="AQ1080" s="319"/>
      <c r="AR1080" s="319"/>
      <c r="AS1080" s="327"/>
      <c r="AT1080" s="461" t="s">
        <v>183</v>
      </c>
      <c r="AU1080" s="324" t="s">
        <v>845</v>
      </c>
      <c r="AV1080" s="330">
        <f>SQRT(($R1080-Infrastructure!J$3)^2+($S1080-Infrastructure!K$3)^2)</f>
        <v>23.82099914</v>
      </c>
      <c r="AW1080" s="331">
        <f>SQRT(($R1080-Infrastructure!J$4)^2+($S1080-Infrastructure!K$4)^2)</f>
        <v>23.51616465</v>
      </c>
      <c r="AX1080" s="331">
        <f>SQRT(($R1080-Infrastructure!J$5)^2+($S1080-Infrastructure!K$5)^2)</f>
        <v>28.96135356</v>
      </c>
      <c r="AY1080" s="331">
        <f>SQRT(($R1080-Infrastructure!J$6)^2+($S1080-Infrastructure!K$6)^2)</f>
        <v>25.70058365</v>
      </c>
      <c r="AZ1080" s="331">
        <f>SQRT(($R1080-Infrastructure!J$7)^2+($S1080-Infrastructure!K$7)^2)</f>
        <v>22.50777643</v>
      </c>
      <c r="BA1080" s="331">
        <f>SQRT(($R1080-Infrastructure!J$8)^2+($S1080-Infrastructure!K$8)^2)</f>
        <v>23.59067612</v>
      </c>
      <c r="BB1080" s="331">
        <f>SQRT(($R1080-Infrastructure!J$9)^2+($S1080-Infrastructure!K$9)^2)</f>
        <v>24.67893839</v>
      </c>
      <c r="BC1080" s="331">
        <f>SQRT(($R1080-Infrastructure!J$10)^2+($S1080-Infrastructure!K$10)^2)</f>
        <v>18.9362087</v>
      </c>
      <c r="BD1080" s="331">
        <f>SQRT(($R1080-Infrastructure!J$11)^2+($S1080-Infrastructure!K$11)^2)</f>
        <v>18.59946236</v>
      </c>
      <c r="BE1080" s="333">
        <f>SQRT(($R1080-Infrastructure!J$12)^2+($S1080-Infrastructure!K$12)^2)</f>
        <v>32.82194388</v>
      </c>
      <c r="BF1080" s="330">
        <f t="shared" si="14"/>
        <v>18.59946236</v>
      </c>
      <c r="BG1080" s="333">
        <f t="shared" si="15"/>
        <v>32.82194388</v>
      </c>
      <c r="BH1080" s="902">
        <v>36617.0</v>
      </c>
      <c r="BI1080" s="462" t="s">
        <v>846</v>
      </c>
      <c r="BJ1080" s="319" t="s">
        <v>845</v>
      </c>
      <c r="BK1080" s="319" t="s">
        <v>845</v>
      </c>
      <c r="BL1080" s="319" t="s">
        <v>845</v>
      </c>
      <c r="BM1080" s="319" t="s">
        <v>845</v>
      </c>
      <c r="BN1080" s="319" t="s">
        <v>845</v>
      </c>
      <c r="BO1080" s="319" t="s">
        <v>845</v>
      </c>
      <c r="BP1080" s="319" t="s">
        <v>845</v>
      </c>
      <c r="BQ1080" s="319" t="s">
        <v>845</v>
      </c>
      <c r="BR1080" s="324" t="s">
        <v>845</v>
      </c>
      <c r="BS1080" s="330">
        <f t="shared" si="101"/>
        <v>23.82099914</v>
      </c>
      <c r="BT1080" s="331">
        <f t="shared" si="102"/>
        <v>23.82099914</v>
      </c>
      <c r="BU1080" s="922">
        <v>0.4984953703703704</v>
      </c>
      <c r="BV1080" s="903">
        <f t="shared" si="103"/>
        <v>0.00005787037037</v>
      </c>
      <c r="BW1080" s="907"/>
      <c r="BX1080" s="908"/>
      <c r="BY1080" s="331"/>
      <c r="BZ1080" s="340"/>
      <c r="CA1080" s="316"/>
      <c r="CB1080" s="318"/>
      <c r="CC1080" s="318"/>
      <c r="CD1080" s="318"/>
      <c r="CE1080" s="318"/>
      <c r="CF1080" s="318"/>
      <c r="CG1080" s="318"/>
      <c r="CH1080" s="318"/>
      <c r="CI1080" s="318"/>
      <c r="CJ1080" s="463"/>
      <c r="CK1080" s="342"/>
      <c r="CL1080" s="333"/>
      <c r="CM1080" s="829"/>
      <c r="CN1080" s="333"/>
      <c r="CO1080" s="333"/>
      <c r="CP1080" s="333"/>
    </row>
    <row r="1081">
      <c r="B1081" s="462" t="s">
        <v>1755</v>
      </c>
      <c r="C1081" s="914">
        <v>44490.0</v>
      </c>
      <c r="D1081" s="318"/>
      <c r="E1081" s="319">
        <v>3.0</v>
      </c>
      <c r="F1081" s="324" t="s">
        <v>1758</v>
      </c>
      <c r="G1081" s="321">
        <v>0.6283564814814815</v>
      </c>
      <c r="H1081" s="323">
        <v>0.6288194444444445</v>
      </c>
      <c r="I1081" s="323"/>
      <c r="J1081" s="323"/>
      <c r="K1081" s="323">
        <v>0.6310763888888888</v>
      </c>
      <c r="L1081" s="323">
        <v>0.0022569444444444442</v>
      </c>
      <c r="M1081" s="319" t="s">
        <v>166</v>
      </c>
      <c r="N1081" s="324" t="s">
        <v>188</v>
      </c>
      <c r="O1081" s="419" t="s">
        <v>378</v>
      </c>
      <c r="P1081" s="319" t="s">
        <v>225</v>
      </c>
      <c r="Q1081" s="318"/>
      <c r="R1081" s="326">
        <v>22.7</v>
      </c>
      <c r="S1081" s="319">
        <v>22.7</v>
      </c>
      <c r="T1081" s="324">
        <v>22.7</v>
      </c>
      <c r="U1081" s="319">
        <v>6.0</v>
      </c>
      <c r="V1081" s="319"/>
      <c r="W1081" s="319"/>
      <c r="X1081" s="319"/>
      <c r="Y1081" s="319"/>
      <c r="Z1081" s="319" t="s">
        <v>1140</v>
      </c>
      <c r="AA1081" s="319"/>
      <c r="AB1081" s="319" t="s">
        <v>410</v>
      </c>
      <c r="AC1081" s="327">
        <v>22.1</v>
      </c>
      <c r="AD1081" s="319"/>
      <c r="AE1081" s="319"/>
      <c r="AF1081" s="319"/>
      <c r="AG1081" s="319"/>
      <c r="AH1081" s="319"/>
      <c r="AI1081" s="319"/>
      <c r="AJ1081" s="327"/>
      <c r="AK1081" s="328"/>
      <c r="AL1081" s="319"/>
      <c r="AM1081" s="319"/>
      <c r="AN1081" s="319"/>
      <c r="AO1081" s="319"/>
      <c r="AP1081" s="319"/>
      <c r="AQ1081" s="319"/>
      <c r="AR1081" s="319"/>
      <c r="AS1081" s="327"/>
      <c r="AT1081" s="461" t="s">
        <v>182</v>
      </c>
      <c r="AU1081" s="324" t="s">
        <v>845</v>
      </c>
      <c r="AV1081" s="330">
        <f>SQRT(($R1081-Infrastructure!J$3)^2+($S1081-Infrastructure!K$3)^2)</f>
        <v>23.82099914</v>
      </c>
      <c r="AW1081" s="331">
        <f>SQRT(($R1081-Infrastructure!J$4)^2+($S1081-Infrastructure!K$4)^2)</f>
        <v>23.51616465</v>
      </c>
      <c r="AX1081" s="331">
        <f>SQRT(($R1081-Infrastructure!J$5)^2+($S1081-Infrastructure!K$5)^2)</f>
        <v>28.96135356</v>
      </c>
      <c r="AY1081" s="331">
        <f>SQRT(($R1081-Infrastructure!J$6)^2+($S1081-Infrastructure!K$6)^2)</f>
        <v>25.70058365</v>
      </c>
      <c r="AZ1081" s="331">
        <f>SQRT(($R1081-Infrastructure!J$7)^2+($S1081-Infrastructure!K$7)^2)</f>
        <v>22.50777643</v>
      </c>
      <c r="BA1081" s="331">
        <f>SQRT(($R1081-Infrastructure!J$8)^2+($S1081-Infrastructure!K$8)^2)</f>
        <v>23.59067612</v>
      </c>
      <c r="BB1081" s="331">
        <f>SQRT(($R1081-Infrastructure!J$9)^2+($S1081-Infrastructure!K$9)^2)</f>
        <v>24.67893839</v>
      </c>
      <c r="BC1081" s="331">
        <f>SQRT(($R1081-Infrastructure!J$10)^2+($S1081-Infrastructure!K$10)^2)</f>
        <v>18.9362087</v>
      </c>
      <c r="BD1081" s="331">
        <f>SQRT(($R1081-Infrastructure!J$11)^2+($S1081-Infrastructure!K$11)^2)</f>
        <v>18.59946236</v>
      </c>
      <c r="BE1081" s="333">
        <f>SQRT(($R1081-Infrastructure!J$12)^2+($S1081-Infrastructure!K$12)^2)</f>
        <v>32.82194388</v>
      </c>
      <c r="BF1081" s="330">
        <f t="shared" si="14"/>
        <v>18.59946236</v>
      </c>
      <c r="BG1081" s="333">
        <f t="shared" si="15"/>
        <v>32.82194388</v>
      </c>
      <c r="BH1081" s="902">
        <v>36617.0</v>
      </c>
      <c r="BI1081" s="462" t="s">
        <v>846</v>
      </c>
      <c r="BJ1081" s="319" t="s">
        <v>845</v>
      </c>
      <c r="BK1081" s="319" t="s">
        <v>846</v>
      </c>
      <c r="BL1081" s="319" t="s">
        <v>846</v>
      </c>
      <c r="BM1081" s="319" t="s">
        <v>846</v>
      </c>
      <c r="BN1081" s="319" t="s">
        <v>845</v>
      </c>
      <c r="BO1081" s="319" t="s">
        <v>845</v>
      </c>
      <c r="BP1081" s="319" t="s">
        <v>845</v>
      </c>
      <c r="BQ1081" s="319" t="s">
        <v>846</v>
      </c>
      <c r="BR1081" s="324" t="s">
        <v>845</v>
      </c>
      <c r="BS1081" s="330">
        <f t="shared" si="101"/>
        <v>18.59946236</v>
      </c>
      <c r="BT1081" s="331">
        <f t="shared" si="102"/>
        <v>28.96135356</v>
      </c>
      <c r="BU1081" s="922">
        <v>0.6283796296296297</v>
      </c>
      <c r="BV1081" s="903">
        <f t="shared" si="103"/>
        <v>0.00002314814815</v>
      </c>
      <c r="BW1081" s="921">
        <v>19.925</v>
      </c>
      <c r="BX1081" s="923">
        <v>9.48749999999999</v>
      </c>
      <c r="BY1081" s="331">
        <f t="shared" ref="BY1081:BY1082" si="104">IF(BW1081&gt;0, SQRT((R1081-BW1081)^2+(S1081-BX1081)^2))</f>
        <v>13.50076965</v>
      </c>
      <c r="BZ1081" s="340"/>
      <c r="CA1081" s="316"/>
      <c r="CB1081" s="318"/>
      <c r="CC1081" s="318"/>
      <c r="CD1081" s="318"/>
      <c r="CE1081" s="318"/>
      <c r="CF1081" s="318"/>
      <c r="CG1081" s="318"/>
      <c r="CH1081" s="318"/>
      <c r="CI1081" s="318"/>
      <c r="CJ1081" s="463"/>
      <c r="CK1081" s="342"/>
      <c r="CL1081" s="333"/>
      <c r="CM1081" s="829"/>
      <c r="CN1081" s="333"/>
      <c r="CO1081" s="333"/>
      <c r="CP1081" s="333"/>
    </row>
    <row r="1082">
      <c r="B1082" s="462" t="s">
        <v>1755</v>
      </c>
      <c r="C1082" s="914">
        <v>44490.0</v>
      </c>
      <c r="D1082" s="318"/>
      <c r="E1082" s="319">
        <v>4.0</v>
      </c>
      <c r="F1082" s="324" t="s">
        <v>1759</v>
      </c>
      <c r="G1082" s="321">
        <v>0.633449074074074</v>
      </c>
      <c r="H1082" s="323">
        <v>0.6342013888888889</v>
      </c>
      <c r="I1082" s="323"/>
      <c r="J1082" s="323"/>
      <c r="K1082" s="323">
        <v>0.6354166666666666</v>
      </c>
      <c r="L1082" s="323">
        <v>0.0012152777777777778</v>
      </c>
      <c r="M1082" s="319" t="s">
        <v>166</v>
      </c>
      <c r="N1082" s="324" t="s">
        <v>187</v>
      </c>
      <c r="O1082" s="419" t="s">
        <v>205</v>
      </c>
      <c r="P1082" s="319" t="s">
        <v>213</v>
      </c>
      <c r="Q1082" s="318"/>
      <c r="R1082" s="326">
        <v>21.5</v>
      </c>
      <c r="S1082" s="319">
        <v>21.5</v>
      </c>
      <c r="T1082" s="324">
        <v>21.5</v>
      </c>
      <c r="U1082" s="319">
        <v>5.5</v>
      </c>
      <c r="V1082" s="319"/>
      <c r="W1082" s="319"/>
      <c r="X1082" s="319"/>
      <c r="Y1082" s="319"/>
      <c r="Z1082" s="319" t="s">
        <v>370</v>
      </c>
      <c r="AA1082" s="319"/>
      <c r="AB1082" s="319" t="s">
        <v>392</v>
      </c>
      <c r="AC1082" s="327">
        <v>10.0</v>
      </c>
      <c r="AD1082" s="319"/>
      <c r="AE1082" s="319"/>
      <c r="AF1082" s="319"/>
      <c r="AG1082" s="319"/>
      <c r="AH1082" s="319"/>
      <c r="AI1082" s="319"/>
      <c r="AJ1082" s="327"/>
      <c r="AK1082" s="328"/>
      <c r="AL1082" s="319"/>
      <c r="AM1082" s="319"/>
      <c r="AN1082" s="319"/>
      <c r="AO1082" s="319"/>
      <c r="AP1082" s="319"/>
      <c r="AQ1082" s="319"/>
      <c r="AR1082" s="319"/>
      <c r="AS1082" s="327"/>
      <c r="AT1082" s="461" t="s">
        <v>182</v>
      </c>
      <c r="AU1082" s="324" t="s">
        <v>845</v>
      </c>
      <c r="AV1082" s="330">
        <f>SQRT(($R1082-Infrastructure!J$3)^2+($S1082-Infrastructure!K$3)^2)</f>
        <v>23.02172887</v>
      </c>
      <c r="AW1082" s="331">
        <f>SQRT(($R1082-Infrastructure!J$4)^2+($S1082-Infrastructure!K$4)^2)</f>
        <v>22.11176158</v>
      </c>
      <c r="AX1082" s="331">
        <f>SQRT(($R1082-Infrastructure!J$5)^2+($S1082-Infrastructure!K$5)^2)</f>
        <v>27.28002933</v>
      </c>
      <c r="AY1082" s="331">
        <f>SQRT(($R1082-Infrastructure!J$6)^2+($S1082-Infrastructure!K$6)^2)</f>
        <v>24.07072911</v>
      </c>
      <c r="AZ1082" s="331">
        <f>SQRT(($R1082-Infrastructure!J$7)^2+($S1082-Infrastructure!K$7)^2)</f>
        <v>21.2235718</v>
      </c>
      <c r="BA1082" s="331">
        <f>SQRT(($R1082-Infrastructure!J$8)^2+($S1082-Infrastructure!K$8)^2)</f>
        <v>22.87793697</v>
      </c>
      <c r="BB1082" s="331">
        <f>SQRT(($R1082-Infrastructure!J$9)^2+($S1082-Infrastructure!K$9)^2)</f>
        <v>24.72266167</v>
      </c>
      <c r="BC1082" s="331">
        <f>SQRT(($R1082-Infrastructure!J$10)^2+($S1082-Infrastructure!K$10)^2)</f>
        <v>19.60867155</v>
      </c>
      <c r="BD1082" s="331">
        <f>SQRT(($R1082-Infrastructure!J$11)^2+($S1082-Infrastructure!K$11)^2)</f>
        <v>20.14795275</v>
      </c>
      <c r="BE1082" s="333">
        <f>SQRT(($R1082-Infrastructure!J$12)^2+($S1082-Infrastructure!K$12)^2)</f>
        <v>34</v>
      </c>
      <c r="BF1082" s="330">
        <f t="shared" si="14"/>
        <v>19.60867155</v>
      </c>
      <c r="BG1082" s="333">
        <f t="shared" si="15"/>
        <v>34</v>
      </c>
      <c r="BH1082" s="902">
        <v>36617.0</v>
      </c>
      <c r="BI1082" s="462" t="s">
        <v>846</v>
      </c>
      <c r="BJ1082" s="319" t="s">
        <v>846</v>
      </c>
      <c r="BK1082" s="319" t="s">
        <v>845</v>
      </c>
      <c r="BL1082" s="319" t="s">
        <v>846</v>
      </c>
      <c r="BM1082" s="319" t="s">
        <v>846</v>
      </c>
      <c r="BN1082" s="319" t="s">
        <v>846</v>
      </c>
      <c r="BO1082" s="319" t="s">
        <v>846</v>
      </c>
      <c r="BP1082" s="319" t="s">
        <v>845</v>
      </c>
      <c r="BQ1082" s="319" t="s">
        <v>845</v>
      </c>
      <c r="BR1082" s="324" t="s">
        <v>846</v>
      </c>
      <c r="BS1082" s="330">
        <f t="shared" si="101"/>
        <v>21.2235718</v>
      </c>
      <c r="BT1082" s="331">
        <f t="shared" si="102"/>
        <v>34</v>
      </c>
      <c r="BU1082" s="922">
        <v>0.6334722222222222</v>
      </c>
      <c r="BV1082" s="903">
        <f t="shared" si="103"/>
        <v>0.00002314814815</v>
      </c>
      <c r="BW1082" s="921">
        <v>22.7586206896551</v>
      </c>
      <c r="BX1082" s="923">
        <v>6.2655172413793</v>
      </c>
      <c r="BY1082" s="331">
        <f t="shared" si="104"/>
        <v>15.2863858</v>
      </c>
      <c r="BZ1082" s="340"/>
      <c r="CA1082" s="316"/>
      <c r="CB1082" s="318"/>
      <c r="CC1082" s="318"/>
      <c r="CD1082" s="318"/>
      <c r="CE1082" s="318"/>
      <c r="CF1082" s="318"/>
      <c r="CG1082" s="318"/>
      <c r="CH1082" s="318"/>
      <c r="CI1082" s="318"/>
      <c r="CJ1082" s="463"/>
      <c r="CK1082" s="342"/>
      <c r="CL1082" s="333"/>
      <c r="CM1082" s="829"/>
      <c r="CN1082" s="333"/>
      <c r="CO1082" s="333"/>
      <c r="CP1082" s="333"/>
    </row>
    <row r="1083">
      <c r="B1083" s="462" t="s">
        <v>1755</v>
      </c>
      <c r="C1083" s="914">
        <v>44490.0</v>
      </c>
      <c r="D1083" s="318"/>
      <c r="E1083" s="319"/>
      <c r="F1083" s="324" t="s">
        <v>1760</v>
      </c>
      <c r="G1083" s="321">
        <v>0.6399305555555556</v>
      </c>
      <c r="H1083" s="323"/>
      <c r="I1083" s="323"/>
      <c r="J1083" s="323"/>
      <c r="K1083" s="323">
        <v>0.6402777777777777</v>
      </c>
      <c r="L1083" s="323">
        <v>3.4722222222222224E-4</v>
      </c>
      <c r="M1083" s="319" t="s">
        <v>166</v>
      </c>
      <c r="N1083" s="324" t="s">
        <v>188</v>
      </c>
      <c r="O1083" s="419"/>
      <c r="P1083" s="319" t="s">
        <v>292</v>
      </c>
      <c r="Q1083" s="318"/>
      <c r="R1083" s="833"/>
      <c r="S1083" s="834"/>
      <c r="T1083" s="940"/>
      <c r="U1083" s="834"/>
      <c r="V1083" s="834"/>
      <c r="W1083" s="834"/>
      <c r="X1083" s="834"/>
      <c r="Y1083" s="834"/>
      <c r="Z1083" s="319" t="s">
        <v>323</v>
      </c>
      <c r="AA1083" s="319"/>
      <c r="AB1083" s="319" t="s">
        <v>323</v>
      </c>
      <c r="AC1083" s="327" t="s">
        <v>323</v>
      </c>
      <c r="AD1083" s="319"/>
      <c r="AE1083" s="319"/>
      <c r="AF1083" s="319"/>
      <c r="AG1083" s="319"/>
      <c r="AH1083" s="319"/>
      <c r="AI1083" s="319"/>
      <c r="AJ1083" s="327"/>
      <c r="AK1083" s="328"/>
      <c r="AL1083" s="319"/>
      <c r="AM1083" s="319"/>
      <c r="AN1083" s="319"/>
      <c r="AO1083" s="319"/>
      <c r="AP1083" s="319"/>
      <c r="AQ1083" s="319"/>
      <c r="AR1083" s="319"/>
      <c r="AS1083" s="327"/>
      <c r="AT1083" s="461"/>
      <c r="AU1083" s="324"/>
      <c r="AV1083" s="330"/>
      <c r="AW1083" s="331"/>
      <c r="AX1083" s="331"/>
      <c r="AY1083" s="331"/>
      <c r="AZ1083" s="331"/>
      <c r="BA1083" s="331"/>
      <c r="BB1083" s="331"/>
      <c r="BC1083" s="331"/>
      <c r="BD1083" s="331"/>
      <c r="BE1083" s="333"/>
      <c r="BF1083" s="330"/>
      <c r="BG1083" s="333"/>
      <c r="BH1083" s="902">
        <v>36617.0</v>
      </c>
      <c r="BI1083" s="462" t="s">
        <v>845</v>
      </c>
      <c r="BJ1083" s="319" t="s">
        <v>845</v>
      </c>
      <c r="BK1083" s="319" t="s">
        <v>845</v>
      </c>
      <c r="BL1083" s="319" t="s">
        <v>845</v>
      </c>
      <c r="BM1083" s="319" t="s">
        <v>845</v>
      </c>
      <c r="BN1083" s="319" t="s">
        <v>845</v>
      </c>
      <c r="BO1083" s="319" t="s">
        <v>845</v>
      </c>
      <c r="BP1083" s="319" t="s">
        <v>845</v>
      </c>
      <c r="BQ1083" s="319" t="s">
        <v>846</v>
      </c>
      <c r="BR1083" s="324" t="s">
        <v>845</v>
      </c>
      <c r="BS1083" s="330"/>
      <c r="BT1083" s="331"/>
      <c r="BU1083" s="922">
        <v>0.6399537037037037</v>
      </c>
      <c r="BV1083" s="903">
        <f t="shared" si="103"/>
        <v>0.00002314814815</v>
      </c>
      <c r="BW1083" s="907"/>
      <c r="BX1083" s="908"/>
      <c r="BY1083" s="331"/>
      <c r="BZ1083" s="340"/>
      <c r="CA1083" s="316"/>
      <c r="CB1083" s="318"/>
      <c r="CC1083" s="318"/>
      <c r="CD1083" s="318"/>
      <c r="CE1083" s="318"/>
      <c r="CF1083" s="318"/>
      <c r="CG1083" s="318"/>
      <c r="CH1083" s="318"/>
      <c r="CI1083" s="318"/>
      <c r="CJ1083" s="463"/>
      <c r="CK1083" s="342"/>
      <c r="CL1083" s="333"/>
      <c r="CM1083" s="829"/>
      <c r="CN1083" s="333"/>
      <c r="CO1083" s="333"/>
      <c r="CP1083" s="333"/>
    </row>
    <row r="1084">
      <c r="B1084" s="462" t="s">
        <v>1755</v>
      </c>
      <c r="C1084" s="914">
        <v>44490.0</v>
      </c>
      <c r="D1084" s="318"/>
      <c r="E1084" s="319"/>
      <c r="F1084" s="324" t="s">
        <v>1760</v>
      </c>
      <c r="G1084" s="321">
        <v>0.6414930555555556</v>
      </c>
      <c r="H1084" s="323"/>
      <c r="I1084" s="323"/>
      <c r="J1084" s="323"/>
      <c r="K1084" s="323">
        <v>0.6447916666666667</v>
      </c>
      <c r="L1084" s="323">
        <v>0.003298611111111111</v>
      </c>
      <c r="M1084" s="319" t="s">
        <v>358</v>
      </c>
      <c r="N1084" s="324" t="s">
        <v>188</v>
      </c>
      <c r="O1084" s="419"/>
      <c r="P1084" s="319" t="s">
        <v>294</v>
      </c>
      <c r="Q1084" s="318"/>
      <c r="R1084" s="833"/>
      <c r="S1084" s="834"/>
      <c r="T1084" s="940"/>
      <c r="U1084" s="834"/>
      <c r="V1084" s="834"/>
      <c r="W1084" s="834"/>
      <c r="X1084" s="834"/>
      <c r="Y1084" s="834"/>
      <c r="Z1084" s="319" t="s">
        <v>323</v>
      </c>
      <c r="AA1084" s="319"/>
      <c r="AB1084" s="319" t="s">
        <v>323</v>
      </c>
      <c r="AC1084" s="327" t="s">
        <v>323</v>
      </c>
      <c r="AD1084" s="319"/>
      <c r="AE1084" s="319"/>
      <c r="AF1084" s="319"/>
      <c r="AG1084" s="319"/>
      <c r="AH1084" s="319"/>
      <c r="AI1084" s="319"/>
      <c r="AJ1084" s="327"/>
      <c r="AK1084" s="328"/>
      <c r="AL1084" s="319"/>
      <c r="AM1084" s="319"/>
      <c r="AN1084" s="319"/>
      <c r="AO1084" s="319"/>
      <c r="AP1084" s="319"/>
      <c r="AQ1084" s="319"/>
      <c r="AR1084" s="319"/>
      <c r="AS1084" s="327"/>
      <c r="AT1084" s="461"/>
      <c r="AU1084" s="324"/>
      <c r="AV1084" s="330"/>
      <c r="AW1084" s="331"/>
      <c r="AX1084" s="331"/>
      <c r="AY1084" s="331"/>
      <c r="AZ1084" s="331"/>
      <c r="BA1084" s="331"/>
      <c r="BB1084" s="331"/>
      <c r="BC1084" s="331"/>
      <c r="BD1084" s="331"/>
      <c r="BE1084" s="333"/>
      <c r="BF1084" s="330"/>
      <c r="BG1084" s="333"/>
      <c r="BH1084" s="902">
        <v>36617.0</v>
      </c>
      <c r="BI1084" s="462" t="s">
        <v>846</v>
      </c>
      <c r="BJ1084" s="319" t="s">
        <v>845</v>
      </c>
      <c r="BK1084" s="319" t="s">
        <v>845</v>
      </c>
      <c r="BL1084" s="319" t="s">
        <v>845</v>
      </c>
      <c r="BM1084" s="319" t="s">
        <v>845</v>
      </c>
      <c r="BN1084" s="319" t="s">
        <v>845</v>
      </c>
      <c r="BO1084" s="319" t="s">
        <v>845</v>
      </c>
      <c r="BP1084" s="319" t="s">
        <v>846</v>
      </c>
      <c r="BQ1084" s="319" t="s">
        <v>846</v>
      </c>
      <c r="BR1084" s="324" t="s">
        <v>845</v>
      </c>
      <c r="BS1084" s="330"/>
      <c r="BT1084" s="331"/>
      <c r="BU1084" s="922">
        <v>0.6415393518518518</v>
      </c>
      <c r="BV1084" s="903">
        <f t="shared" si="103"/>
        <v>0.0000462962963</v>
      </c>
      <c r="BW1084" s="921">
        <v>9.3</v>
      </c>
      <c r="BX1084" s="923">
        <v>9.9</v>
      </c>
      <c r="BY1084" s="331">
        <f t="shared" ref="BY1084:BY1085" si="105">IF(BW1084&gt;0, SQRT((R1084-BW1084)^2+(S1084-BX1084)^2))</f>
        <v>13.58307771</v>
      </c>
      <c r="BZ1084" s="340"/>
      <c r="CA1084" s="316"/>
      <c r="CB1084" s="318"/>
      <c r="CC1084" s="318"/>
      <c r="CD1084" s="318"/>
      <c r="CE1084" s="318"/>
      <c r="CF1084" s="318"/>
      <c r="CG1084" s="318"/>
      <c r="CH1084" s="318"/>
      <c r="CI1084" s="318"/>
      <c r="CJ1084" s="463"/>
      <c r="CK1084" s="342"/>
      <c r="CL1084" s="333"/>
      <c r="CM1084" s="829"/>
      <c r="CN1084" s="333"/>
      <c r="CO1084" s="333"/>
      <c r="CP1084" s="333"/>
    </row>
    <row r="1085">
      <c r="B1085" s="462" t="s">
        <v>1755</v>
      </c>
      <c r="C1085" s="914">
        <v>44490.0</v>
      </c>
      <c r="D1085" s="318"/>
      <c r="E1085" s="319"/>
      <c r="F1085" s="324" t="s">
        <v>1760</v>
      </c>
      <c r="G1085" s="321">
        <v>0.6496527777777777</v>
      </c>
      <c r="H1085" s="323"/>
      <c r="I1085" s="323"/>
      <c r="J1085" s="323"/>
      <c r="K1085" s="323">
        <v>0.6498263888888889</v>
      </c>
      <c r="L1085" s="323">
        <v>1.7361111111111112E-4</v>
      </c>
      <c r="M1085" s="319" t="s">
        <v>358</v>
      </c>
      <c r="N1085" s="324" t="s">
        <v>188</v>
      </c>
      <c r="O1085" s="419"/>
      <c r="P1085" s="319" t="s">
        <v>294</v>
      </c>
      <c r="Q1085" s="318"/>
      <c r="R1085" s="833"/>
      <c r="S1085" s="834"/>
      <c r="T1085" s="940"/>
      <c r="U1085" s="834"/>
      <c r="V1085" s="834"/>
      <c r="W1085" s="834"/>
      <c r="X1085" s="834"/>
      <c r="Y1085" s="834"/>
      <c r="Z1085" s="319" t="s">
        <v>323</v>
      </c>
      <c r="AA1085" s="319"/>
      <c r="AB1085" s="319" t="s">
        <v>323</v>
      </c>
      <c r="AC1085" s="327" t="s">
        <v>323</v>
      </c>
      <c r="AD1085" s="319"/>
      <c r="AE1085" s="319"/>
      <c r="AF1085" s="319"/>
      <c r="AG1085" s="319"/>
      <c r="AH1085" s="319"/>
      <c r="AI1085" s="319"/>
      <c r="AJ1085" s="327"/>
      <c r="AK1085" s="328"/>
      <c r="AL1085" s="319"/>
      <c r="AM1085" s="319"/>
      <c r="AN1085" s="319"/>
      <c r="AO1085" s="319"/>
      <c r="AP1085" s="319"/>
      <c r="AQ1085" s="319"/>
      <c r="AR1085" s="319"/>
      <c r="AS1085" s="327"/>
      <c r="AT1085" s="461"/>
      <c r="AU1085" s="324"/>
      <c r="AV1085" s="330"/>
      <c r="AW1085" s="331"/>
      <c r="AX1085" s="331"/>
      <c r="AY1085" s="331"/>
      <c r="AZ1085" s="331"/>
      <c r="BA1085" s="331"/>
      <c r="BB1085" s="331"/>
      <c r="BC1085" s="331"/>
      <c r="BD1085" s="331"/>
      <c r="BE1085" s="333"/>
      <c r="BF1085" s="330"/>
      <c r="BG1085" s="333"/>
      <c r="BH1085" s="902">
        <v>36617.0</v>
      </c>
      <c r="BI1085" s="462" t="s">
        <v>846</v>
      </c>
      <c r="BJ1085" s="319" t="s">
        <v>846</v>
      </c>
      <c r="BK1085" s="319" t="s">
        <v>846</v>
      </c>
      <c r="BL1085" s="319" t="s">
        <v>846</v>
      </c>
      <c r="BM1085" s="319" t="s">
        <v>846</v>
      </c>
      <c r="BN1085" s="319" t="s">
        <v>846</v>
      </c>
      <c r="BO1085" s="319" t="s">
        <v>846</v>
      </c>
      <c r="BP1085" s="319" t="s">
        <v>846</v>
      </c>
      <c r="BQ1085" s="319" t="s">
        <v>846</v>
      </c>
      <c r="BR1085" s="324" t="s">
        <v>846</v>
      </c>
      <c r="BS1085" s="330"/>
      <c r="BT1085" s="331"/>
      <c r="BU1085" s="922">
        <v>0.6496643518518519</v>
      </c>
      <c r="BV1085" s="903">
        <f t="shared" si="103"/>
        <v>0.00001157407407</v>
      </c>
      <c r="BW1085" s="921">
        <v>21.3</v>
      </c>
      <c r="BX1085" s="923">
        <v>16.6</v>
      </c>
      <c r="BY1085" s="331">
        <f t="shared" si="105"/>
        <v>27.00462923</v>
      </c>
      <c r="BZ1085" s="340"/>
      <c r="CA1085" s="316"/>
      <c r="CB1085" s="318"/>
      <c r="CC1085" s="318"/>
      <c r="CD1085" s="318"/>
      <c r="CE1085" s="318"/>
      <c r="CF1085" s="318"/>
      <c r="CG1085" s="318"/>
      <c r="CH1085" s="318"/>
      <c r="CI1085" s="318"/>
      <c r="CJ1085" s="463"/>
      <c r="CK1085" s="342"/>
      <c r="CL1085" s="333"/>
      <c r="CM1085" s="829"/>
      <c r="CN1085" s="333"/>
      <c r="CO1085" s="333"/>
      <c r="CP1085" s="333"/>
    </row>
    <row r="1086">
      <c r="A1086" s="634"/>
      <c r="B1086" s="635" t="s">
        <v>1755</v>
      </c>
      <c r="C1086" s="935">
        <v>44490.0</v>
      </c>
      <c r="D1086" s="640"/>
      <c r="E1086" s="663"/>
      <c r="F1086" s="637" t="s">
        <v>1760</v>
      </c>
      <c r="G1086" s="770">
        <v>0.6519675925925926</v>
      </c>
      <c r="H1086" s="771"/>
      <c r="I1086" s="771"/>
      <c r="J1086" s="771"/>
      <c r="K1086" s="771">
        <v>0.6521412037037037</v>
      </c>
      <c r="L1086" s="771">
        <v>1.7361111111111112E-4</v>
      </c>
      <c r="M1086" s="663" t="s">
        <v>358</v>
      </c>
      <c r="N1086" s="637" t="s">
        <v>188</v>
      </c>
      <c r="O1086" s="731"/>
      <c r="P1086" s="663" t="s">
        <v>294</v>
      </c>
      <c r="Q1086" s="640"/>
      <c r="R1086" s="837"/>
      <c r="S1086" s="838"/>
      <c r="T1086" s="941"/>
      <c r="U1086" s="838"/>
      <c r="V1086" s="838"/>
      <c r="W1086" s="838"/>
      <c r="X1086" s="838"/>
      <c r="Y1086" s="838"/>
      <c r="Z1086" s="663" t="s">
        <v>323</v>
      </c>
      <c r="AA1086" s="663"/>
      <c r="AB1086" s="663" t="s">
        <v>323</v>
      </c>
      <c r="AC1086" s="773" t="s">
        <v>323</v>
      </c>
      <c r="AD1086" s="663"/>
      <c r="AE1086" s="663"/>
      <c r="AF1086" s="663"/>
      <c r="AG1086" s="663"/>
      <c r="AH1086" s="663"/>
      <c r="AI1086" s="663"/>
      <c r="AJ1086" s="773"/>
      <c r="AK1086" s="839"/>
      <c r="AL1086" s="663"/>
      <c r="AM1086" s="663"/>
      <c r="AN1086" s="663"/>
      <c r="AO1086" s="663"/>
      <c r="AP1086" s="663"/>
      <c r="AQ1086" s="663"/>
      <c r="AR1086" s="663"/>
      <c r="AS1086" s="773"/>
      <c r="AT1086" s="636"/>
      <c r="AU1086" s="637"/>
      <c r="AV1086" s="662"/>
      <c r="AW1086" s="641"/>
      <c r="AX1086" s="641"/>
      <c r="AY1086" s="641"/>
      <c r="AZ1086" s="641"/>
      <c r="BA1086" s="641"/>
      <c r="BB1086" s="641"/>
      <c r="BC1086" s="641"/>
      <c r="BD1086" s="641"/>
      <c r="BE1086" s="642"/>
      <c r="BF1086" s="662"/>
      <c r="BG1086" s="642"/>
      <c r="BH1086" s="936">
        <v>36617.0</v>
      </c>
      <c r="BI1086" s="635" t="s">
        <v>845</v>
      </c>
      <c r="BJ1086" s="663" t="s">
        <v>845</v>
      </c>
      <c r="BK1086" s="663" t="s">
        <v>845</v>
      </c>
      <c r="BL1086" s="663" t="s">
        <v>845</v>
      </c>
      <c r="BM1086" s="663" t="s">
        <v>845</v>
      </c>
      <c r="BN1086" s="663" t="s">
        <v>845</v>
      </c>
      <c r="BO1086" s="663" t="s">
        <v>845</v>
      </c>
      <c r="BP1086" s="663" t="s">
        <v>845</v>
      </c>
      <c r="BQ1086" s="663" t="s">
        <v>845</v>
      </c>
      <c r="BR1086" s="637" t="s">
        <v>845</v>
      </c>
      <c r="BS1086" s="330"/>
      <c r="BT1086" s="331"/>
      <c r="BU1086" s="937"/>
      <c r="BV1086" s="903"/>
      <c r="BW1086" s="938"/>
      <c r="BX1086" s="939"/>
      <c r="BY1086" s="641"/>
      <c r="BZ1086" s="742"/>
      <c r="CA1086" s="639"/>
      <c r="CB1086" s="640"/>
      <c r="CC1086" s="640"/>
      <c r="CD1086" s="640"/>
      <c r="CE1086" s="640"/>
      <c r="CF1086" s="640"/>
      <c r="CG1086" s="640"/>
      <c r="CH1086" s="640"/>
      <c r="CI1086" s="640"/>
      <c r="CJ1086" s="785"/>
      <c r="CK1086" s="743"/>
      <c r="CL1086" s="642"/>
      <c r="CM1086" s="831"/>
      <c r="CN1086" s="333"/>
      <c r="CO1086" s="333"/>
      <c r="CP1086" s="333"/>
    </row>
    <row r="1087">
      <c r="A1087" s="389" t="s">
        <v>57</v>
      </c>
      <c r="B1087" s="573" t="s">
        <v>1761</v>
      </c>
      <c r="C1087" s="909">
        <v>44505.0</v>
      </c>
      <c r="D1087" s="392"/>
      <c r="E1087" s="393" t="s">
        <v>1453</v>
      </c>
      <c r="F1087" s="394" t="s">
        <v>1762</v>
      </c>
      <c r="G1087" s="395">
        <v>0.48657407407407405</v>
      </c>
      <c r="H1087" s="456">
        <v>0.48726851851851855</v>
      </c>
      <c r="I1087" s="456"/>
      <c r="J1087" s="456"/>
      <c r="K1087" s="456">
        <v>0.4913194444444444</v>
      </c>
      <c r="L1087" s="456">
        <v>0.004050925925925926</v>
      </c>
      <c r="M1087" s="393" t="s">
        <v>166</v>
      </c>
      <c r="N1087" s="394" t="s">
        <v>187</v>
      </c>
      <c r="O1087" s="399" t="s">
        <v>205</v>
      </c>
      <c r="P1087" s="393" t="s">
        <v>213</v>
      </c>
      <c r="Q1087" s="392"/>
      <c r="R1087" s="400">
        <v>21.5</v>
      </c>
      <c r="S1087" s="393">
        <v>21.5</v>
      </c>
      <c r="T1087" s="394">
        <v>21.5</v>
      </c>
      <c r="U1087" s="393">
        <v>5.5</v>
      </c>
      <c r="V1087" s="393"/>
      <c r="W1087" s="393"/>
      <c r="X1087" s="393"/>
      <c r="Y1087" s="393"/>
      <c r="Z1087" s="393" t="s">
        <v>370</v>
      </c>
      <c r="AA1087" s="393"/>
      <c r="AB1087" s="393" t="s">
        <v>392</v>
      </c>
      <c r="AC1087" s="401">
        <v>10.0</v>
      </c>
      <c r="AD1087" s="393"/>
      <c r="AE1087" s="393"/>
      <c r="AF1087" s="393"/>
      <c r="AG1087" s="393"/>
      <c r="AH1087" s="393"/>
      <c r="AI1087" s="393"/>
      <c r="AJ1087" s="401"/>
      <c r="AK1087" s="402"/>
      <c r="AL1087" s="393"/>
      <c r="AM1087" s="393"/>
      <c r="AN1087" s="393"/>
      <c r="AO1087" s="393"/>
      <c r="AP1087" s="393"/>
      <c r="AQ1087" s="393"/>
      <c r="AR1087" s="393"/>
      <c r="AS1087" s="401"/>
      <c r="AT1087" s="460" t="s">
        <v>182</v>
      </c>
      <c r="AU1087" s="394" t="s">
        <v>845</v>
      </c>
      <c r="AV1087" s="405">
        <f>SQRT(($R1087-Infrastructure!J$3)^2+($S1087-Infrastructure!K$3)^2)</f>
        <v>23.02172887</v>
      </c>
      <c r="AW1087" s="406">
        <f>SQRT(($R1087-Infrastructure!J$4)^2+($S1087-Infrastructure!K$4)^2)</f>
        <v>22.11176158</v>
      </c>
      <c r="AX1087" s="406">
        <f>SQRT(($R1087-Infrastructure!J$5)^2+($S1087-Infrastructure!K$5)^2)</f>
        <v>27.28002933</v>
      </c>
      <c r="AY1087" s="406">
        <f>SQRT(($R1087-Infrastructure!J$6)^2+($S1087-Infrastructure!K$6)^2)</f>
        <v>24.07072911</v>
      </c>
      <c r="AZ1087" s="406">
        <f>SQRT(($R1087-Infrastructure!J$7)^2+($S1087-Infrastructure!K$7)^2)</f>
        <v>21.2235718</v>
      </c>
      <c r="BA1087" s="406">
        <f>SQRT(($R1087-Infrastructure!J$8)^2+($S1087-Infrastructure!K$8)^2)</f>
        <v>22.87793697</v>
      </c>
      <c r="BB1087" s="406">
        <f>SQRT(($R1087-Infrastructure!J$9)^2+($S1087-Infrastructure!K$9)^2)</f>
        <v>24.72266167</v>
      </c>
      <c r="BC1087" s="406">
        <f>SQRT(($R1087-Infrastructure!J$10)^2+($S1087-Infrastructure!K$10)^2)</f>
        <v>19.60867155</v>
      </c>
      <c r="BD1087" s="406">
        <f>SQRT(($R1087-Infrastructure!J$11)^2+($S1087-Infrastructure!K$11)^2)</f>
        <v>20.14795275</v>
      </c>
      <c r="BE1087" s="408">
        <f>SQRT(($R1087-Infrastructure!J$12)^2+($S1087-Infrastructure!K$12)^2)</f>
        <v>34</v>
      </c>
      <c r="BF1087" s="405">
        <f t="shared" ref="BF1087:BF1092" si="106">MIN(AV1087:BE1087)</f>
        <v>19.60867155</v>
      </c>
      <c r="BG1087" s="408">
        <f t="shared" ref="BG1087:BG1092" si="107">MAX(AV1087:BE1087)</f>
        <v>34</v>
      </c>
      <c r="BH1087" s="899" t="s">
        <v>1763</v>
      </c>
      <c r="BI1087" s="573" t="s">
        <v>846</v>
      </c>
      <c r="BJ1087" s="393" t="s">
        <v>846</v>
      </c>
      <c r="BK1087" s="393" t="s">
        <v>846</v>
      </c>
      <c r="BL1087" s="393" t="s">
        <v>846</v>
      </c>
      <c r="BM1087" s="393" t="s">
        <v>845</v>
      </c>
      <c r="BN1087" s="393" t="s">
        <v>846</v>
      </c>
      <c r="BO1087" s="393" t="s">
        <v>846</v>
      </c>
      <c r="BP1087" s="393" t="s">
        <v>846</v>
      </c>
      <c r="BQ1087" s="393" t="s">
        <v>846</v>
      </c>
      <c r="BR1087" s="394" t="s">
        <v>846</v>
      </c>
      <c r="BS1087" s="405">
        <f t="shared" ref="BS1087:BS1092" si="108">MINIFS(AV1087:BE1087,BI1087:BR1087, "Y")</f>
        <v>19.60867155</v>
      </c>
      <c r="BT1087" s="406">
        <f t="shared" ref="BT1087:BT1092" si="109">MAXIFS(AV1087:BE1087,BI1087:BR1087, "Y")</f>
        <v>34</v>
      </c>
      <c r="BU1087" s="942">
        <v>0.48659722222222224</v>
      </c>
      <c r="BV1087" s="901">
        <f t="shared" ref="BV1087:BV1092" si="110">BU1087-G1087</f>
        <v>0.00002314814815</v>
      </c>
      <c r="BW1087" s="933">
        <v>18.2714285714285</v>
      </c>
      <c r="BX1087" s="934">
        <v>13.1031746031746</v>
      </c>
      <c r="BY1087" s="406">
        <f t="shared" ref="BY1087:BY1092" si="111">IF(BW1087&gt;0, SQRT((R1087-BW1087)^2+(S1087-BX1087)^2))</f>
        <v>8.996129735</v>
      </c>
      <c r="BZ1087" s="412"/>
      <c r="CA1087" s="390"/>
      <c r="CB1087" s="392"/>
      <c r="CC1087" s="392"/>
      <c r="CD1087" s="392"/>
      <c r="CE1087" s="392"/>
      <c r="CF1087" s="392"/>
      <c r="CG1087" s="392"/>
      <c r="CH1087" s="392"/>
      <c r="CI1087" s="392"/>
      <c r="CJ1087" s="898"/>
      <c r="CK1087" s="414"/>
      <c r="CL1087" s="408"/>
      <c r="CM1087" s="832"/>
      <c r="CN1087" s="333"/>
      <c r="CO1087" s="333"/>
      <c r="CP1087" s="333"/>
    </row>
    <row r="1088">
      <c r="B1088" s="462" t="s">
        <v>1761</v>
      </c>
      <c r="C1088" s="914">
        <v>44505.0</v>
      </c>
      <c r="D1088" s="318"/>
      <c r="E1088" s="319" t="s">
        <v>1455</v>
      </c>
      <c r="F1088" s="324" t="s">
        <v>1764</v>
      </c>
      <c r="G1088" s="321">
        <v>0.4913194444444444</v>
      </c>
      <c r="H1088" s="323">
        <v>0.4925347222222222</v>
      </c>
      <c r="I1088" s="323"/>
      <c r="J1088" s="323"/>
      <c r="K1088" s="323">
        <v>0.49537037037037035</v>
      </c>
      <c r="L1088" s="323">
        <v>0.0028356481481481483</v>
      </c>
      <c r="M1088" s="319" t="s">
        <v>166</v>
      </c>
      <c r="N1088" s="324" t="s">
        <v>187</v>
      </c>
      <c r="O1088" s="419" t="s">
        <v>205</v>
      </c>
      <c r="P1088" s="319" t="s">
        <v>213</v>
      </c>
      <c r="Q1088" s="318"/>
      <c r="R1088" s="326">
        <v>21.5</v>
      </c>
      <c r="S1088" s="319">
        <v>21.5</v>
      </c>
      <c r="T1088" s="324">
        <v>21.5</v>
      </c>
      <c r="U1088" s="319">
        <v>4.5</v>
      </c>
      <c r="V1088" s="319"/>
      <c r="W1088" s="319"/>
      <c r="X1088" s="319"/>
      <c r="Y1088" s="319"/>
      <c r="Z1088" s="319" t="s">
        <v>370</v>
      </c>
      <c r="AA1088" s="319"/>
      <c r="AB1088" s="319" t="s">
        <v>392</v>
      </c>
      <c r="AC1088" s="327">
        <v>10.0</v>
      </c>
      <c r="AD1088" s="319"/>
      <c r="AE1088" s="319"/>
      <c r="AF1088" s="319"/>
      <c r="AG1088" s="319"/>
      <c r="AH1088" s="319"/>
      <c r="AI1088" s="319"/>
      <c r="AJ1088" s="327"/>
      <c r="AK1088" s="328"/>
      <c r="AL1088" s="319"/>
      <c r="AM1088" s="319"/>
      <c r="AN1088" s="319"/>
      <c r="AO1088" s="319"/>
      <c r="AP1088" s="319"/>
      <c r="AQ1088" s="319"/>
      <c r="AR1088" s="319"/>
      <c r="AS1088" s="327"/>
      <c r="AT1088" s="461" t="s">
        <v>182</v>
      </c>
      <c r="AU1088" s="324" t="s">
        <v>845</v>
      </c>
      <c r="AV1088" s="330">
        <f>SQRT(($R1088-Infrastructure!J$3)^2+($S1088-Infrastructure!K$3)^2)</f>
        <v>23.02172887</v>
      </c>
      <c r="AW1088" s="331">
        <f>SQRT(($R1088-Infrastructure!J$4)^2+($S1088-Infrastructure!K$4)^2)</f>
        <v>22.11176158</v>
      </c>
      <c r="AX1088" s="331">
        <f>SQRT(($R1088-Infrastructure!J$5)^2+($S1088-Infrastructure!K$5)^2)</f>
        <v>27.28002933</v>
      </c>
      <c r="AY1088" s="331">
        <f>SQRT(($R1088-Infrastructure!J$6)^2+($S1088-Infrastructure!K$6)^2)</f>
        <v>24.07072911</v>
      </c>
      <c r="AZ1088" s="331">
        <f>SQRT(($R1088-Infrastructure!J$7)^2+($S1088-Infrastructure!K$7)^2)</f>
        <v>21.2235718</v>
      </c>
      <c r="BA1088" s="331">
        <f>SQRT(($R1088-Infrastructure!J$8)^2+($S1088-Infrastructure!K$8)^2)</f>
        <v>22.87793697</v>
      </c>
      <c r="BB1088" s="331">
        <f>SQRT(($R1088-Infrastructure!J$9)^2+($S1088-Infrastructure!K$9)^2)</f>
        <v>24.72266167</v>
      </c>
      <c r="BC1088" s="331">
        <f>SQRT(($R1088-Infrastructure!J$10)^2+($S1088-Infrastructure!K$10)^2)</f>
        <v>19.60867155</v>
      </c>
      <c r="BD1088" s="331">
        <f>SQRT(($R1088-Infrastructure!J$11)^2+($S1088-Infrastructure!K$11)^2)</f>
        <v>20.14795275</v>
      </c>
      <c r="BE1088" s="333">
        <f>SQRT(($R1088-Infrastructure!J$12)^2+($S1088-Infrastructure!K$12)^2)</f>
        <v>34</v>
      </c>
      <c r="BF1088" s="330">
        <f t="shared" si="106"/>
        <v>19.60867155</v>
      </c>
      <c r="BG1088" s="333">
        <f t="shared" si="107"/>
        <v>34</v>
      </c>
      <c r="BH1088" s="943">
        <v>36526.0</v>
      </c>
      <c r="BI1088" s="462" t="s">
        <v>846</v>
      </c>
      <c r="BJ1088" s="319" t="s">
        <v>846</v>
      </c>
      <c r="BK1088" s="319" t="s">
        <v>845</v>
      </c>
      <c r="BL1088" s="319" t="s">
        <v>846</v>
      </c>
      <c r="BM1088" s="319" t="s">
        <v>845</v>
      </c>
      <c r="BN1088" s="319" t="s">
        <v>846</v>
      </c>
      <c r="BO1088" s="319" t="s">
        <v>846</v>
      </c>
      <c r="BP1088" s="319" t="s">
        <v>846</v>
      </c>
      <c r="BQ1088" s="319" t="s">
        <v>846</v>
      </c>
      <c r="BR1088" s="324" t="s">
        <v>846</v>
      </c>
      <c r="BS1088" s="330">
        <f t="shared" si="108"/>
        <v>19.60867155</v>
      </c>
      <c r="BT1088" s="331">
        <f t="shared" si="109"/>
        <v>34</v>
      </c>
      <c r="BU1088" s="922">
        <v>0.49136574074074074</v>
      </c>
      <c r="BV1088" s="903">
        <f t="shared" si="110"/>
        <v>0.0000462962963</v>
      </c>
      <c r="BW1088" s="921">
        <v>18.5818181818181</v>
      </c>
      <c r="BX1088" s="923">
        <v>10.3318181818181</v>
      </c>
      <c r="BY1088" s="331">
        <f t="shared" si="111"/>
        <v>11.54313953</v>
      </c>
      <c r="BZ1088" s="340"/>
      <c r="CA1088" s="316"/>
      <c r="CB1088" s="318"/>
      <c r="CC1088" s="318"/>
      <c r="CD1088" s="318"/>
      <c r="CE1088" s="318"/>
      <c r="CF1088" s="318"/>
      <c r="CG1088" s="318"/>
      <c r="CH1088" s="318"/>
      <c r="CI1088" s="318"/>
      <c r="CJ1088" s="463"/>
      <c r="CK1088" s="342"/>
      <c r="CL1088" s="333"/>
      <c r="CM1088" s="829"/>
      <c r="CN1088" s="333"/>
      <c r="CO1088" s="333"/>
      <c r="CP1088" s="333"/>
    </row>
    <row r="1089">
      <c r="B1089" s="462" t="s">
        <v>1761</v>
      </c>
      <c r="C1089" s="914">
        <v>44505.0</v>
      </c>
      <c r="D1089" s="318"/>
      <c r="E1089" s="319">
        <v>2.0</v>
      </c>
      <c r="F1089" s="324" t="s">
        <v>1765</v>
      </c>
      <c r="G1089" s="321">
        <v>0.5128472222222222</v>
      </c>
      <c r="H1089" s="323">
        <v>0.5138888888888888</v>
      </c>
      <c r="I1089" s="323"/>
      <c r="J1089" s="323"/>
      <c r="K1089" s="323">
        <v>0.5184027777777778</v>
      </c>
      <c r="L1089" s="323">
        <v>0.0045138888888888885</v>
      </c>
      <c r="M1089" s="319" t="s">
        <v>166</v>
      </c>
      <c r="N1089" s="324" t="s">
        <v>187</v>
      </c>
      <c r="O1089" s="419" t="s">
        <v>205</v>
      </c>
      <c r="P1089" s="319" t="s">
        <v>213</v>
      </c>
      <c r="Q1089" s="318"/>
      <c r="R1089" s="326">
        <v>21.5</v>
      </c>
      <c r="S1089" s="319">
        <v>21.5</v>
      </c>
      <c r="T1089" s="324">
        <v>21.5</v>
      </c>
      <c r="U1089" s="319">
        <v>4.0</v>
      </c>
      <c r="V1089" s="319"/>
      <c r="W1089" s="319"/>
      <c r="X1089" s="319"/>
      <c r="Y1089" s="319"/>
      <c r="Z1089" s="319" t="s">
        <v>370</v>
      </c>
      <c r="AA1089" s="319"/>
      <c r="AB1089" s="319" t="s">
        <v>392</v>
      </c>
      <c r="AC1089" s="327">
        <v>10.0</v>
      </c>
      <c r="AD1089" s="319"/>
      <c r="AE1089" s="319"/>
      <c r="AF1089" s="319"/>
      <c r="AG1089" s="319"/>
      <c r="AH1089" s="319"/>
      <c r="AI1089" s="319"/>
      <c r="AJ1089" s="327"/>
      <c r="AK1089" s="328"/>
      <c r="AL1089" s="319"/>
      <c r="AM1089" s="319"/>
      <c r="AN1089" s="319"/>
      <c r="AO1089" s="319"/>
      <c r="AP1089" s="319"/>
      <c r="AQ1089" s="319"/>
      <c r="AR1089" s="319"/>
      <c r="AS1089" s="327"/>
      <c r="AT1089" s="461" t="s">
        <v>182</v>
      </c>
      <c r="AU1089" s="324" t="s">
        <v>845</v>
      </c>
      <c r="AV1089" s="330">
        <f>SQRT(($R1089-Infrastructure!J$3)^2+($S1089-Infrastructure!K$3)^2)</f>
        <v>23.02172887</v>
      </c>
      <c r="AW1089" s="331">
        <f>SQRT(($R1089-Infrastructure!J$4)^2+($S1089-Infrastructure!K$4)^2)</f>
        <v>22.11176158</v>
      </c>
      <c r="AX1089" s="331">
        <f>SQRT(($R1089-Infrastructure!J$5)^2+($S1089-Infrastructure!K$5)^2)</f>
        <v>27.28002933</v>
      </c>
      <c r="AY1089" s="331">
        <f>SQRT(($R1089-Infrastructure!J$6)^2+($S1089-Infrastructure!K$6)^2)</f>
        <v>24.07072911</v>
      </c>
      <c r="AZ1089" s="331">
        <f>SQRT(($R1089-Infrastructure!J$7)^2+($S1089-Infrastructure!K$7)^2)</f>
        <v>21.2235718</v>
      </c>
      <c r="BA1089" s="331">
        <f>SQRT(($R1089-Infrastructure!J$8)^2+($S1089-Infrastructure!K$8)^2)</f>
        <v>22.87793697</v>
      </c>
      <c r="BB1089" s="331">
        <f>SQRT(($R1089-Infrastructure!J$9)^2+($S1089-Infrastructure!K$9)^2)</f>
        <v>24.72266167</v>
      </c>
      <c r="BC1089" s="331">
        <f>SQRT(($R1089-Infrastructure!J$10)^2+($S1089-Infrastructure!K$10)^2)</f>
        <v>19.60867155</v>
      </c>
      <c r="BD1089" s="331">
        <f>SQRT(($R1089-Infrastructure!J$11)^2+($S1089-Infrastructure!K$11)^2)</f>
        <v>20.14795275</v>
      </c>
      <c r="BE1089" s="333">
        <f>SQRT(($R1089-Infrastructure!J$12)^2+($S1089-Infrastructure!K$12)^2)</f>
        <v>34</v>
      </c>
      <c r="BF1089" s="330">
        <f t="shared" si="106"/>
        <v>19.60867155</v>
      </c>
      <c r="BG1089" s="333">
        <f t="shared" si="107"/>
        <v>34</v>
      </c>
      <c r="BH1089" s="943">
        <v>36526.0</v>
      </c>
      <c r="BI1089" s="462" t="s">
        <v>846</v>
      </c>
      <c r="BJ1089" s="319" t="s">
        <v>845</v>
      </c>
      <c r="BK1089" s="319" t="s">
        <v>846</v>
      </c>
      <c r="BL1089" s="319" t="s">
        <v>846</v>
      </c>
      <c r="BM1089" s="319" t="s">
        <v>845</v>
      </c>
      <c r="BN1089" s="319" t="s">
        <v>846</v>
      </c>
      <c r="BO1089" s="319" t="s">
        <v>846</v>
      </c>
      <c r="BP1089" s="319" t="s">
        <v>846</v>
      </c>
      <c r="BQ1089" s="319" t="s">
        <v>846</v>
      </c>
      <c r="BR1089" s="324" t="s">
        <v>846</v>
      </c>
      <c r="BS1089" s="330">
        <f t="shared" si="108"/>
        <v>19.60867155</v>
      </c>
      <c r="BT1089" s="331">
        <f t="shared" si="109"/>
        <v>34</v>
      </c>
      <c r="BU1089" s="922">
        <v>0.5128703703703704</v>
      </c>
      <c r="BV1089" s="903">
        <f t="shared" si="110"/>
        <v>0.00002314814815</v>
      </c>
      <c r="BW1089" s="921">
        <v>18.4777777777777</v>
      </c>
      <c r="BX1089" s="923">
        <v>11.0851851851851</v>
      </c>
      <c r="BY1089" s="331">
        <f t="shared" si="111"/>
        <v>10.84445456</v>
      </c>
      <c r="BZ1089" s="340"/>
      <c r="CA1089" s="316"/>
      <c r="CB1089" s="318"/>
      <c r="CC1089" s="318"/>
      <c r="CD1089" s="318"/>
      <c r="CE1089" s="318"/>
      <c r="CF1089" s="318"/>
      <c r="CG1089" s="318"/>
      <c r="CH1089" s="318"/>
      <c r="CI1089" s="318"/>
      <c r="CJ1089" s="463"/>
      <c r="CK1089" s="342"/>
      <c r="CL1089" s="333"/>
      <c r="CM1089" s="829"/>
      <c r="CN1089" s="333"/>
      <c r="CO1089" s="333"/>
      <c r="CP1089" s="333"/>
    </row>
    <row r="1090">
      <c r="B1090" s="462" t="s">
        <v>1761</v>
      </c>
      <c r="C1090" s="914">
        <v>44505.0</v>
      </c>
      <c r="D1090" s="318"/>
      <c r="E1090" s="319" t="s">
        <v>1546</v>
      </c>
      <c r="F1090" s="324" t="s">
        <v>1766</v>
      </c>
      <c r="G1090" s="321">
        <v>0.5251736111111112</v>
      </c>
      <c r="H1090" s="323">
        <v>0.5258680555555556</v>
      </c>
      <c r="I1090" s="323"/>
      <c r="J1090" s="323"/>
      <c r="K1090" s="323">
        <v>0.5276620370370371</v>
      </c>
      <c r="L1090" s="323">
        <v>0.0017939814814814815</v>
      </c>
      <c r="M1090" s="319" t="s">
        <v>166</v>
      </c>
      <c r="N1090" s="324" t="s">
        <v>187</v>
      </c>
      <c r="O1090" s="419" t="s">
        <v>205</v>
      </c>
      <c r="P1090" s="319" t="s">
        <v>213</v>
      </c>
      <c r="Q1090" s="318"/>
      <c r="R1090" s="326">
        <v>21.5</v>
      </c>
      <c r="S1090" s="319">
        <v>21.5</v>
      </c>
      <c r="T1090" s="324">
        <v>21.5</v>
      </c>
      <c r="U1090" s="319">
        <v>4.0</v>
      </c>
      <c r="V1090" s="319"/>
      <c r="W1090" s="319"/>
      <c r="X1090" s="319"/>
      <c r="Y1090" s="319"/>
      <c r="Z1090" s="319" t="s">
        <v>370</v>
      </c>
      <c r="AA1090" s="319"/>
      <c r="AB1090" s="319" t="s">
        <v>392</v>
      </c>
      <c r="AC1090" s="327">
        <v>10.0</v>
      </c>
      <c r="AD1090" s="319"/>
      <c r="AE1090" s="319"/>
      <c r="AF1090" s="319"/>
      <c r="AG1090" s="319"/>
      <c r="AH1090" s="319"/>
      <c r="AI1090" s="319"/>
      <c r="AJ1090" s="327"/>
      <c r="AK1090" s="328"/>
      <c r="AL1090" s="319"/>
      <c r="AM1090" s="319"/>
      <c r="AN1090" s="319"/>
      <c r="AO1090" s="319"/>
      <c r="AP1090" s="319"/>
      <c r="AQ1090" s="319"/>
      <c r="AR1090" s="319"/>
      <c r="AS1090" s="327"/>
      <c r="AT1090" s="461" t="s">
        <v>182</v>
      </c>
      <c r="AU1090" s="324" t="s">
        <v>845</v>
      </c>
      <c r="AV1090" s="330">
        <f>SQRT(($R1090-Infrastructure!J$3)^2+($S1090-Infrastructure!K$3)^2)</f>
        <v>23.02172887</v>
      </c>
      <c r="AW1090" s="331">
        <f>SQRT(($R1090-Infrastructure!J$4)^2+($S1090-Infrastructure!K$4)^2)</f>
        <v>22.11176158</v>
      </c>
      <c r="AX1090" s="331">
        <f>SQRT(($R1090-Infrastructure!J$5)^2+($S1090-Infrastructure!K$5)^2)</f>
        <v>27.28002933</v>
      </c>
      <c r="AY1090" s="331">
        <f>SQRT(($R1090-Infrastructure!J$6)^2+($S1090-Infrastructure!K$6)^2)</f>
        <v>24.07072911</v>
      </c>
      <c r="AZ1090" s="331">
        <f>SQRT(($R1090-Infrastructure!J$7)^2+($S1090-Infrastructure!K$7)^2)</f>
        <v>21.2235718</v>
      </c>
      <c r="BA1090" s="331">
        <f>SQRT(($R1090-Infrastructure!J$8)^2+($S1090-Infrastructure!K$8)^2)</f>
        <v>22.87793697</v>
      </c>
      <c r="BB1090" s="331">
        <f>SQRT(($R1090-Infrastructure!J$9)^2+($S1090-Infrastructure!K$9)^2)</f>
        <v>24.72266167</v>
      </c>
      <c r="BC1090" s="331">
        <f>SQRT(($R1090-Infrastructure!J$10)^2+($S1090-Infrastructure!K$10)^2)</f>
        <v>19.60867155</v>
      </c>
      <c r="BD1090" s="331">
        <f>SQRT(($R1090-Infrastructure!J$11)^2+($S1090-Infrastructure!K$11)^2)</f>
        <v>20.14795275</v>
      </c>
      <c r="BE1090" s="333">
        <f>SQRT(($R1090-Infrastructure!J$12)^2+($S1090-Infrastructure!K$12)^2)</f>
        <v>34</v>
      </c>
      <c r="BF1090" s="330">
        <f t="shared" si="106"/>
        <v>19.60867155</v>
      </c>
      <c r="BG1090" s="333">
        <f t="shared" si="107"/>
        <v>34</v>
      </c>
      <c r="BH1090" s="943">
        <v>36526.0</v>
      </c>
      <c r="BI1090" s="462" t="s">
        <v>846</v>
      </c>
      <c r="BJ1090" s="319" t="s">
        <v>846</v>
      </c>
      <c r="BK1090" s="319" t="s">
        <v>845</v>
      </c>
      <c r="BL1090" s="319" t="s">
        <v>846</v>
      </c>
      <c r="BM1090" s="319" t="s">
        <v>845</v>
      </c>
      <c r="BN1090" s="319" t="s">
        <v>846</v>
      </c>
      <c r="BO1090" s="319" t="s">
        <v>846</v>
      </c>
      <c r="BP1090" s="319" t="s">
        <v>846</v>
      </c>
      <c r="BQ1090" s="319" t="s">
        <v>846</v>
      </c>
      <c r="BR1090" s="324" t="s">
        <v>846</v>
      </c>
      <c r="BS1090" s="330">
        <f t="shared" si="108"/>
        <v>19.60867155</v>
      </c>
      <c r="BT1090" s="331">
        <f t="shared" si="109"/>
        <v>34</v>
      </c>
      <c r="BU1090" s="922">
        <v>0.5252083333333334</v>
      </c>
      <c r="BV1090" s="903">
        <f t="shared" si="110"/>
        <v>0.00003472222222</v>
      </c>
      <c r="BW1090" s="921">
        <v>18.4999999999999</v>
      </c>
      <c r="BX1090" s="923">
        <v>10.1823529411764</v>
      </c>
      <c r="BY1090" s="331">
        <f t="shared" si="111"/>
        <v>11.70850695</v>
      </c>
      <c r="BZ1090" s="340"/>
      <c r="CA1090" s="316"/>
      <c r="CB1090" s="318"/>
      <c r="CC1090" s="318"/>
      <c r="CD1090" s="318"/>
      <c r="CE1090" s="318"/>
      <c r="CF1090" s="318"/>
      <c r="CG1090" s="318"/>
      <c r="CH1090" s="318"/>
      <c r="CI1090" s="318"/>
      <c r="CJ1090" s="463"/>
      <c r="CK1090" s="342"/>
      <c r="CL1090" s="333"/>
      <c r="CM1090" s="829"/>
      <c r="CN1090" s="333"/>
      <c r="CO1090" s="333"/>
      <c r="CP1090" s="333"/>
    </row>
    <row r="1091">
      <c r="B1091" s="462" t="s">
        <v>1761</v>
      </c>
      <c r="C1091" s="914">
        <v>44505.0</v>
      </c>
      <c r="D1091" s="318"/>
      <c r="E1091" s="319" t="s">
        <v>1548</v>
      </c>
      <c r="F1091" s="324" t="s">
        <v>1767</v>
      </c>
      <c r="G1091" s="321">
        <v>0.5276620370370371</v>
      </c>
      <c r="H1091" s="323">
        <v>0.528125</v>
      </c>
      <c r="I1091" s="323"/>
      <c r="J1091" s="323"/>
      <c r="K1091" s="323">
        <v>0.5284722222222222</v>
      </c>
      <c r="L1091" s="323">
        <v>3.4722222222222224E-4</v>
      </c>
      <c r="M1091" s="319" t="s">
        <v>166</v>
      </c>
      <c r="N1091" s="324" t="s">
        <v>187</v>
      </c>
      <c r="O1091" s="419" t="s">
        <v>205</v>
      </c>
      <c r="P1091" s="319" t="s">
        <v>213</v>
      </c>
      <c r="Q1091" s="318"/>
      <c r="R1091" s="326">
        <v>21.5</v>
      </c>
      <c r="S1091" s="319">
        <v>21.5</v>
      </c>
      <c r="T1091" s="324">
        <v>21.5</v>
      </c>
      <c r="U1091" s="319">
        <v>4.5</v>
      </c>
      <c r="V1091" s="319"/>
      <c r="W1091" s="319"/>
      <c r="X1091" s="319"/>
      <c r="Y1091" s="319"/>
      <c r="Z1091" s="319" t="s">
        <v>370</v>
      </c>
      <c r="AA1091" s="319"/>
      <c r="AB1091" s="319" t="s">
        <v>392</v>
      </c>
      <c r="AC1091" s="327">
        <v>10.0</v>
      </c>
      <c r="AD1091" s="319"/>
      <c r="AE1091" s="319"/>
      <c r="AF1091" s="319"/>
      <c r="AG1091" s="319"/>
      <c r="AH1091" s="319"/>
      <c r="AI1091" s="319"/>
      <c r="AJ1091" s="327"/>
      <c r="AK1091" s="328"/>
      <c r="AL1091" s="319"/>
      <c r="AM1091" s="319"/>
      <c r="AN1091" s="319"/>
      <c r="AO1091" s="319"/>
      <c r="AP1091" s="319"/>
      <c r="AQ1091" s="319"/>
      <c r="AR1091" s="319"/>
      <c r="AS1091" s="327"/>
      <c r="AT1091" s="461" t="s">
        <v>182</v>
      </c>
      <c r="AU1091" s="324" t="s">
        <v>845</v>
      </c>
      <c r="AV1091" s="330">
        <f>SQRT(($R1091-Infrastructure!J$3)^2+($S1091-Infrastructure!K$3)^2)</f>
        <v>23.02172887</v>
      </c>
      <c r="AW1091" s="331">
        <f>SQRT(($R1091-Infrastructure!J$4)^2+($S1091-Infrastructure!K$4)^2)</f>
        <v>22.11176158</v>
      </c>
      <c r="AX1091" s="331">
        <f>SQRT(($R1091-Infrastructure!J$5)^2+($S1091-Infrastructure!K$5)^2)</f>
        <v>27.28002933</v>
      </c>
      <c r="AY1091" s="331">
        <f>SQRT(($R1091-Infrastructure!J$6)^2+($S1091-Infrastructure!K$6)^2)</f>
        <v>24.07072911</v>
      </c>
      <c r="AZ1091" s="331">
        <f>SQRT(($R1091-Infrastructure!J$7)^2+($S1091-Infrastructure!K$7)^2)</f>
        <v>21.2235718</v>
      </c>
      <c r="BA1091" s="331">
        <f>SQRT(($R1091-Infrastructure!J$8)^2+($S1091-Infrastructure!K$8)^2)</f>
        <v>22.87793697</v>
      </c>
      <c r="BB1091" s="331">
        <f>SQRT(($R1091-Infrastructure!J$9)^2+($S1091-Infrastructure!K$9)^2)</f>
        <v>24.72266167</v>
      </c>
      <c r="BC1091" s="331">
        <f>SQRT(($R1091-Infrastructure!J$10)^2+($S1091-Infrastructure!K$10)^2)</f>
        <v>19.60867155</v>
      </c>
      <c r="BD1091" s="331">
        <f>SQRT(($R1091-Infrastructure!J$11)^2+($S1091-Infrastructure!K$11)^2)</f>
        <v>20.14795275</v>
      </c>
      <c r="BE1091" s="333">
        <f>SQRT(($R1091-Infrastructure!J$12)^2+($S1091-Infrastructure!K$12)^2)</f>
        <v>34</v>
      </c>
      <c r="BF1091" s="330">
        <f t="shared" si="106"/>
        <v>19.60867155</v>
      </c>
      <c r="BG1091" s="333">
        <f t="shared" si="107"/>
        <v>34</v>
      </c>
      <c r="BH1091" s="943">
        <v>36526.0</v>
      </c>
      <c r="BI1091" s="462" t="s">
        <v>846</v>
      </c>
      <c r="BJ1091" s="319" t="s">
        <v>845</v>
      </c>
      <c r="BK1091" s="319" t="s">
        <v>845</v>
      </c>
      <c r="BL1091" s="319" t="s">
        <v>846</v>
      </c>
      <c r="BM1091" s="319" t="s">
        <v>845</v>
      </c>
      <c r="BN1091" s="319" t="s">
        <v>846</v>
      </c>
      <c r="BO1091" s="319" t="s">
        <v>846</v>
      </c>
      <c r="BP1091" s="319" t="s">
        <v>846</v>
      </c>
      <c r="BQ1091" s="319" t="s">
        <v>846</v>
      </c>
      <c r="BR1091" s="324" t="s">
        <v>846</v>
      </c>
      <c r="BS1091" s="330">
        <f t="shared" si="108"/>
        <v>19.60867155</v>
      </c>
      <c r="BT1091" s="331">
        <f t="shared" si="109"/>
        <v>34</v>
      </c>
      <c r="BU1091" s="922">
        <v>0.5277083333333333</v>
      </c>
      <c r="BV1091" s="903">
        <f t="shared" si="110"/>
        <v>0.0000462962963</v>
      </c>
      <c r="BW1091" s="921">
        <v>18.9615384615384</v>
      </c>
      <c r="BX1091" s="923">
        <v>11.2384615384615</v>
      </c>
      <c r="BY1091" s="331">
        <f t="shared" si="111"/>
        <v>10.5708542</v>
      </c>
      <c r="BZ1091" s="340"/>
      <c r="CA1091" s="316"/>
      <c r="CB1091" s="318"/>
      <c r="CC1091" s="318"/>
      <c r="CD1091" s="318"/>
      <c r="CE1091" s="318"/>
      <c r="CF1091" s="318"/>
      <c r="CG1091" s="318"/>
      <c r="CH1091" s="318"/>
      <c r="CI1091" s="318"/>
      <c r="CJ1091" s="463"/>
      <c r="CK1091" s="342"/>
      <c r="CL1091" s="333"/>
      <c r="CM1091" s="829"/>
      <c r="CN1091" s="333"/>
      <c r="CO1091" s="333"/>
      <c r="CP1091" s="333"/>
    </row>
    <row r="1092">
      <c r="B1092" s="462" t="s">
        <v>1761</v>
      </c>
      <c r="C1092" s="914">
        <v>44505.0</v>
      </c>
      <c r="D1092" s="318"/>
      <c r="E1092" s="319" t="s">
        <v>1768</v>
      </c>
      <c r="F1092" s="324" t="s">
        <v>1769</v>
      </c>
      <c r="G1092" s="321">
        <v>0.5284722222222222</v>
      </c>
      <c r="H1092" s="323">
        <v>0.5288194444444444</v>
      </c>
      <c r="I1092" s="323"/>
      <c r="J1092" s="323"/>
      <c r="K1092" s="323">
        <v>0.5305555555555556</v>
      </c>
      <c r="L1092" s="323">
        <v>0.001736111111111111</v>
      </c>
      <c r="M1092" s="319" t="s">
        <v>358</v>
      </c>
      <c r="N1092" s="324" t="s">
        <v>187</v>
      </c>
      <c r="O1092" s="419" t="s">
        <v>205</v>
      </c>
      <c r="P1092" s="319" t="s">
        <v>213</v>
      </c>
      <c r="Q1092" s="318"/>
      <c r="R1092" s="326">
        <v>21.5</v>
      </c>
      <c r="S1092" s="319">
        <v>21.5</v>
      </c>
      <c r="T1092" s="324">
        <v>21.5</v>
      </c>
      <c r="U1092" s="319">
        <v>5.0</v>
      </c>
      <c r="V1092" s="319"/>
      <c r="W1092" s="319"/>
      <c r="X1092" s="319"/>
      <c r="Y1092" s="319"/>
      <c r="Z1092" s="319" t="s">
        <v>370</v>
      </c>
      <c r="AA1092" s="319"/>
      <c r="AB1092" s="319" t="s">
        <v>392</v>
      </c>
      <c r="AC1092" s="327">
        <v>10.0</v>
      </c>
      <c r="AD1092" s="319"/>
      <c r="AE1092" s="319"/>
      <c r="AF1092" s="319"/>
      <c r="AG1092" s="319"/>
      <c r="AH1092" s="319"/>
      <c r="AI1092" s="319"/>
      <c r="AJ1092" s="327"/>
      <c r="AK1092" s="328"/>
      <c r="AL1092" s="319"/>
      <c r="AM1092" s="319"/>
      <c r="AN1092" s="319"/>
      <c r="AO1092" s="319"/>
      <c r="AP1092" s="319"/>
      <c r="AQ1092" s="319"/>
      <c r="AR1092" s="319"/>
      <c r="AS1092" s="327"/>
      <c r="AT1092" s="461" t="s">
        <v>182</v>
      </c>
      <c r="AU1092" s="324" t="s">
        <v>845</v>
      </c>
      <c r="AV1092" s="330">
        <f>SQRT(($R1092-Infrastructure!J$3)^2+($S1092-Infrastructure!K$3)^2)</f>
        <v>23.02172887</v>
      </c>
      <c r="AW1092" s="331">
        <f>SQRT(($R1092-Infrastructure!J$4)^2+($S1092-Infrastructure!K$4)^2)</f>
        <v>22.11176158</v>
      </c>
      <c r="AX1092" s="331">
        <f>SQRT(($R1092-Infrastructure!J$5)^2+($S1092-Infrastructure!K$5)^2)</f>
        <v>27.28002933</v>
      </c>
      <c r="AY1092" s="331">
        <f>SQRT(($R1092-Infrastructure!J$6)^2+($S1092-Infrastructure!K$6)^2)</f>
        <v>24.07072911</v>
      </c>
      <c r="AZ1092" s="331">
        <f>SQRT(($R1092-Infrastructure!J$7)^2+($S1092-Infrastructure!K$7)^2)</f>
        <v>21.2235718</v>
      </c>
      <c r="BA1092" s="331">
        <f>SQRT(($R1092-Infrastructure!J$8)^2+($S1092-Infrastructure!K$8)^2)</f>
        <v>22.87793697</v>
      </c>
      <c r="BB1092" s="331">
        <f>SQRT(($R1092-Infrastructure!J$9)^2+($S1092-Infrastructure!K$9)^2)</f>
        <v>24.72266167</v>
      </c>
      <c r="BC1092" s="331">
        <f>SQRT(($R1092-Infrastructure!J$10)^2+($S1092-Infrastructure!K$10)^2)</f>
        <v>19.60867155</v>
      </c>
      <c r="BD1092" s="331">
        <f>SQRT(($R1092-Infrastructure!J$11)^2+($S1092-Infrastructure!K$11)^2)</f>
        <v>20.14795275</v>
      </c>
      <c r="BE1092" s="333">
        <f>SQRT(($R1092-Infrastructure!J$12)^2+($S1092-Infrastructure!K$12)^2)</f>
        <v>34</v>
      </c>
      <c r="BF1092" s="330">
        <f t="shared" si="106"/>
        <v>19.60867155</v>
      </c>
      <c r="BG1092" s="333">
        <f t="shared" si="107"/>
        <v>34</v>
      </c>
      <c r="BH1092" s="943">
        <v>36526.0</v>
      </c>
      <c r="BI1092" s="462" t="s">
        <v>846</v>
      </c>
      <c r="BJ1092" s="319" t="s">
        <v>846</v>
      </c>
      <c r="BK1092" s="319" t="s">
        <v>846</v>
      </c>
      <c r="BL1092" s="319" t="s">
        <v>846</v>
      </c>
      <c r="BM1092" s="319" t="s">
        <v>845</v>
      </c>
      <c r="BN1092" s="319" t="s">
        <v>846</v>
      </c>
      <c r="BO1092" s="319" t="s">
        <v>846</v>
      </c>
      <c r="BP1092" s="319" t="s">
        <v>846</v>
      </c>
      <c r="BQ1092" s="319" t="s">
        <v>846</v>
      </c>
      <c r="BR1092" s="324" t="s">
        <v>846</v>
      </c>
      <c r="BS1092" s="330">
        <f t="shared" si="108"/>
        <v>19.60867155</v>
      </c>
      <c r="BT1092" s="331">
        <f t="shared" si="109"/>
        <v>34</v>
      </c>
      <c r="BU1092" s="915">
        <v>0.5284953703703704</v>
      </c>
      <c r="BV1092" s="903">
        <f t="shared" si="110"/>
        <v>0.00002314814815</v>
      </c>
      <c r="BW1092" s="921">
        <v>18.3354838709677</v>
      </c>
      <c r="BX1092" s="923">
        <v>12.5612903225806</v>
      </c>
      <c r="BY1092" s="331">
        <f t="shared" si="111"/>
        <v>9.482335842</v>
      </c>
      <c r="BZ1092" s="340"/>
      <c r="CA1092" s="316"/>
      <c r="CB1092" s="318"/>
      <c r="CC1092" s="318"/>
      <c r="CD1092" s="318"/>
      <c r="CE1092" s="318"/>
      <c r="CF1092" s="318"/>
      <c r="CG1092" s="318"/>
      <c r="CH1092" s="318"/>
      <c r="CI1092" s="318"/>
      <c r="CJ1092" s="463"/>
      <c r="CK1092" s="342"/>
      <c r="CL1092" s="333"/>
      <c r="CM1092" s="829"/>
      <c r="CN1092" s="333"/>
      <c r="CO1092" s="333"/>
      <c r="CP1092" s="333"/>
    </row>
    <row r="1093">
      <c r="B1093" s="462" t="s">
        <v>1761</v>
      </c>
      <c r="C1093" s="914">
        <v>44505.0</v>
      </c>
      <c r="D1093" s="318"/>
      <c r="E1093" s="319"/>
      <c r="F1093" s="324" t="s">
        <v>1770</v>
      </c>
      <c r="G1093" s="321"/>
      <c r="H1093" s="323"/>
      <c r="I1093" s="323"/>
      <c r="J1093" s="323"/>
      <c r="K1093" s="323"/>
      <c r="L1093" s="323">
        <v>0.0</v>
      </c>
      <c r="M1093" s="319" t="s">
        <v>358</v>
      </c>
      <c r="N1093" s="324" t="s">
        <v>188</v>
      </c>
      <c r="O1093" s="419"/>
      <c r="P1093" s="319" t="s">
        <v>294</v>
      </c>
      <c r="Q1093" s="318"/>
      <c r="R1093" s="833"/>
      <c r="S1093" s="834"/>
      <c r="T1093" s="940"/>
      <c r="U1093" s="834"/>
      <c r="V1093" s="834"/>
      <c r="W1093" s="834"/>
      <c r="X1093" s="834"/>
      <c r="Y1093" s="834"/>
      <c r="Z1093" s="319" t="s">
        <v>323</v>
      </c>
      <c r="AA1093" s="319"/>
      <c r="AB1093" s="319" t="s">
        <v>323</v>
      </c>
      <c r="AC1093" s="327" t="s">
        <v>323</v>
      </c>
      <c r="AD1093" s="319"/>
      <c r="AE1093" s="319"/>
      <c r="AF1093" s="319"/>
      <c r="AG1093" s="319"/>
      <c r="AH1093" s="319"/>
      <c r="AI1093" s="319"/>
      <c r="AJ1093" s="327"/>
      <c r="AK1093" s="328"/>
      <c r="AL1093" s="319"/>
      <c r="AM1093" s="319"/>
      <c r="AN1093" s="319"/>
      <c r="AO1093" s="319"/>
      <c r="AP1093" s="319"/>
      <c r="AQ1093" s="319"/>
      <c r="AR1093" s="319"/>
      <c r="AS1093" s="327"/>
      <c r="AT1093" s="461"/>
      <c r="AU1093" s="324"/>
      <c r="AV1093" s="330"/>
      <c r="AW1093" s="331"/>
      <c r="AX1093" s="331"/>
      <c r="AY1093" s="331"/>
      <c r="AZ1093" s="331"/>
      <c r="BA1093" s="331"/>
      <c r="BB1093" s="331"/>
      <c r="BC1093" s="331"/>
      <c r="BD1093" s="331"/>
      <c r="BE1093" s="333"/>
      <c r="BF1093" s="330"/>
      <c r="BG1093" s="333"/>
      <c r="BH1093" s="943">
        <v>36526.0</v>
      </c>
      <c r="BI1093" s="944" t="s">
        <v>845</v>
      </c>
      <c r="BJ1093" s="945" t="s">
        <v>845</v>
      </c>
      <c r="BK1093" s="945" t="s">
        <v>845</v>
      </c>
      <c r="BL1093" s="945" t="s">
        <v>845</v>
      </c>
      <c r="BM1093" s="945" t="s">
        <v>845</v>
      </c>
      <c r="BN1093" s="945" t="s">
        <v>845</v>
      </c>
      <c r="BO1093" s="945" t="s">
        <v>845</v>
      </c>
      <c r="BP1093" s="946" t="s">
        <v>845</v>
      </c>
      <c r="BQ1093" s="945" t="s">
        <v>845</v>
      </c>
      <c r="BR1093" s="947" t="s">
        <v>845</v>
      </c>
      <c r="BS1093" s="330"/>
      <c r="BT1093" s="331"/>
      <c r="BU1093" s="920"/>
      <c r="BV1093" s="903"/>
      <c r="BW1093" s="907"/>
      <c r="BX1093" s="908"/>
      <c r="BY1093" s="331"/>
      <c r="BZ1093" s="340"/>
      <c r="CA1093" s="316"/>
      <c r="CB1093" s="318"/>
      <c r="CC1093" s="318"/>
      <c r="CD1093" s="318"/>
      <c r="CE1093" s="318"/>
      <c r="CF1093" s="318"/>
      <c r="CG1093" s="318"/>
      <c r="CH1093" s="318"/>
      <c r="CI1093" s="318"/>
      <c r="CJ1093" s="463"/>
      <c r="CK1093" s="342"/>
      <c r="CL1093" s="333"/>
      <c r="CM1093" s="829"/>
      <c r="CN1093" s="333"/>
      <c r="CO1093" s="333"/>
      <c r="CP1093" s="333"/>
    </row>
    <row r="1094">
      <c r="A1094" s="634"/>
      <c r="B1094" s="635" t="s">
        <v>1761</v>
      </c>
      <c r="C1094" s="935">
        <v>44505.0</v>
      </c>
      <c r="D1094" s="640"/>
      <c r="E1094" s="663"/>
      <c r="F1094" s="637" t="s">
        <v>1770</v>
      </c>
      <c r="G1094" s="770"/>
      <c r="H1094" s="771"/>
      <c r="I1094" s="771"/>
      <c r="J1094" s="771"/>
      <c r="K1094" s="771"/>
      <c r="L1094" s="771">
        <v>0.0</v>
      </c>
      <c r="M1094" s="663" t="s">
        <v>358</v>
      </c>
      <c r="N1094" s="637" t="s">
        <v>188</v>
      </c>
      <c r="O1094" s="731"/>
      <c r="P1094" s="663" t="s">
        <v>294</v>
      </c>
      <c r="Q1094" s="640"/>
      <c r="R1094" s="837"/>
      <c r="S1094" s="838"/>
      <c r="T1094" s="941"/>
      <c r="U1094" s="838"/>
      <c r="V1094" s="838"/>
      <c r="W1094" s="838"/>
      <c r="X1094" s="838"/>
      <c r="Y1094" s="838"/>
      <c r="Z1094" s="663" t="s">
        <v>323</v>
      </c>
      <c r="AA1094" s="663"/>
      <c r="AB1094" s="663" t="s">
        <v>323</v>
      </c>
      <c r="AC1094" s="773" t="s">
        <v>323</v>
      </c>
      <c r="AD1094" s="663"/>
      <c r="AE1094" s="663"/>
      <c r="AF1094" s="663"/>
      <c r="AG1094" s="663"/>
      <c r="AH1094" s="663"/>
      <c r="AI1094" s="663"/>
      <c r="AJ1094" s="773"/>
      <c r="AK1094" s="839"/>
      <c r="AL1094" s="663"/>
      <c r="AM1094" s="663"/>
      <c r="AN1094" s="663"/>
      <c r="AO1094" s="663"/>
      <c r="AP1094" s="663"/>
      <c r="AQ1094" s="663"/>
      <c r="AR1094" s="663"/>
      <c r="AS1094" s="773"/>
      <c r="AT1094" s="636"/>
      <c r="AU1094" s="637"/>
      <c r="AV1094" s="662"/>
      <c r="AW1094" s="641"/>
      <c r="AX1094" s="641"/>
      <c r="AY1094" s="641"/>
      <c r="AZ1094" s="641"/>
      <c r="BA1094" s="641"/>
      <c r="BB1094" s="641"/>
      <c r="BC1094" s="641"/>
      <c r="BD1094" s="641"/>
      <c r="BE1094" s="642"/>
      <c r="BF1094" s="662"/>
      <c r="BG1094" s="642"/>
      <c r="BH1094" s="948">
        <v>36526.0</v>
      </c>
      <c r="BI1094" s="949" t="s">
        <v>845</v>
      </c>
      <c r="BJ1094" s="950" t="s">
        <v>845</v>
      </c>
      <c r="BK1094" s="950" t="s">
        <v>845</v>
      </c>
      <c r="BL1094" s="950" t="s">
        <v>845</v>
      </c>
      <c r="BM1094" s="950" t="s">
        <v>845</v>
      </c>
      <c r="BN1094" s="950" t="s">
        <v>845</v>
      </c>
      <c r="BO1094" s="950" t="s">
        <v>845</v>
      </c>
      <c r="BP1094" s="951" t="s">
        <v>845</v>
      </c>
      <c r="BQ1094" s="950" t="s">
        <v>845</v>
      </c>
      <c r="BR1094" s="952" t="s">
        <v>845</v>
      </c>
      <c r="BS1094" s="330"/>
      <c r="BT1094" s="331"/>
      <c r="BU1094" s="937"/>
      <c r="BV1094" s="903"/>
      <c r="BW1094" s="938"/>
      <c r="BX1094" s="939"/>
      <c r="BY1094" s="641"/>
      <c r="BZ1094" s="742"/>
      <c r="CA1094" s="639"/>
      <c r="CB1094" s="640"/>
      <c r="CC1094" s="640"/>
      <c r="CD1094" s="640"/>
      <c r="CE1094" s="640"/>
      <c r="CF1094" s="640"/>
      <c r="CG1094" s="640"/>
      <c r="CH1094" s="640"/>
      <c r="CI1094" s="640"/>
      <c r="CJ1094" s="785"/>
      <c r="CK1094" s="743"/>
      <c r="CL1094" s="642"/>
      <c r="CM1094" s="831"/>
      <c r="CN1094" s="333"/>
      <c r="CO1094" s="333"/>
      <c r="CP1094" s="333"/>
    </row>
    <row r="1095">
      <c r="A1095" s="315" t="s">
        <v>58</v>
      </c>
      <c r="B1095" s="462" t="s">
        <v>1761</v>
      </c>
      <c r="C1095" s="914">
        <v>44505.0</v>
      </c>
      <c r="D1095" s="318"/>
      <c r="E1095" s="319">
        <v>1.0</v>
      </c>
      <c r="F1095" s="324" t="s">
        <v>1771</v>
      </c>
      <c r="G1095" s="321">
        <v>0.6894097222222222</v>
      </c>
      <c r="H1095" s="323">
        <v>0.6912037037037037</v>
      </c>
      <c r="I1095" s="323"/>
      <c r="J1095" s="323"/>
      <c r="K1095" s="323">
        <v>0.6929976851851852</v>
      </c>
      <c r="L1095" s="323">
        <v>0.0017939814814814815</v>
      </c>
      <c r="M1095" s="319" t="s">
        <v>166</v>
      </c>
      <c r="N1095" s="324" t="s">
        <v>187</v>
      </c>
      <c r="O1095" s="419" t="s">
        <v>204</v>
      </c>
      <c r="P1095" s="319" t="s">
        <v>262</v>
      </c>
      <c r="Q1095" s="318"/>
      <c r="R1095" s="326">
        <v>17.9</v>
      </c>
      <c r="S1095" s="319">
        <v>17.9</v>
      </c>
      <c r="T1095" s="324">
        <v>17.9</v>
      </c>
      <c r="U1095" s="319">
        <v>3.0</v>
      </c>
      <c r="V1095" s="319"/>
      <c r="W1095" s="319"/>
      <c r="X1095" s="319"/>
      <c r="Y1095" s="319"/>
      <c r="Z1095" s="319" t="s">
        <v>365</v>
      </c>
      <c r="AA1095" s="319"/>
      <c r="AB1095" s="319" t="s">
        <v>388</v>
      </c>
      <c r="AC1095" s="327">
        <v>8.0</v>
      </c>
      <c r="AD1095" s="319"/>
      <c r="AE1095" s="319"/>
      <c r="AF1095" s="319"/>
      <c r="AG1095" s="319"/>
      <c r="AH1095" s="319"/>
      <c r="AI1095" s="319"/>
      <c r="AJ1095" s="327"/>
      <c r="AK1095" s="328"/>
      <c r="AL1095" s="319"/>
      <c r="AM1095" s="319"/>
      <c r="AN1095" s="319"/>
      <c r="AO1095" s="319"/>
      <c r="AP1095" s="319"/>
      <c r="AQ1095" s="319"/>
      <c r="AR1095" s="319"/>
      <c r="AS1095" s="327"/>
      <c r="AT1095" s="461" t="s">
        <v>182</v>
      </c>
      <c r="AU1095" s="324" t="s">
        <v>845</v>
      </c>
      <c r="AV1095" s="330">
        <f>SQRT(($R1095-Infrastructure!J$3)^2+($S1095-Infrastructure!K$3)^2)</f>
        <v>21.2659352</v>
      </c>
      <c r="AW1095" s="331">
        <f>SQRT(($R1095-Infrastructure!J$4)^2+($S1095-Infrastructure!K$4)^2)</f>
        <v>18.20027472</v>
      </c>
      <c r="AX1095" s="331">
        <f>SQRT(($R1095-Infrastructure!J$5)^2+($S1095-Infrastructure!K$5)^2)</f>
        <v>22.25039325</v>
      </c>
      <c r="AY1095" s="331">
        <f>SQRT(($R1095-Infrastructure!J$6)^2+($S1095-Infrastructure!K$6)^2)</f>
        <v>19.250974</v>
      </c>
      <c r="AZ1095" s="331">
        <f>SQRT(($R1095-Infrastructure!J$7)^2+($S1095-Infrastructure!K$7)^2)</f>
        <v>17.79100897</v>
      </c>
      <c r="BA1095" s="331">
        <f>SQRT(($R1095-Infrastructure!J$8)^2+($S1095-Infrastructure!K$8)^2)</f>
        <v>21.41494805</v>
      </c>
      <c r="BB1095" s="331">
        <f>SQRT(($R1095-Infrastructure!J$9)^2+($S1095-Infrastructure!K$9)^2)</f>
        <v>25.53918558</v>
      </c>
      <c r="BC1095" s="331">
        <f>SQRT(($R1095-Infrastructure!J$10)^2+($S1095-Infrastructure!K$10)^2)</f>
        <v>22.28945939</v>
      </c>
      <c r="BD1095" s="331">
        <f>SQRT(($R1095-Infrastructure!J$11)^2+($S1095-Infrastructure!K$11)^2)</f>
        <v>24.90983741</v>
      </c>
      <c r="BE1095" s="333">
        <f>SQRT(($R1095-Infrastructure!J$12)^2+($S1095-Infrastructure!K$12)^2)</f>
        <v>37.77194726</v>
      </c>
      <c r="BF1095" s="330">
        <f t="shared" ref="BF1095:BF1096" si="112">MIN(AV1095:BE1095)</f>
        <v>17.79100897</v>
      </c>
      <c r="BG1095" s="333">
        <f t="shared" ref="BG1095:BG1096" si="113">MAX(AV1095:BE1095)</f>
        <v>37.77194726</v>
      </c>
      <c r="BH1095" s="943">
        <v>36526.0</v>
      </c>
      <c r="BI1095" s="462" t="s">
        <v>845</v>
      </c>
      <c r="BJ1095" s="945" t="s">
        <v>845</v>
      </c>
      <c r="BK1095" s="945" t="s">
        <v>845</v>
      </c>
      <c r="BL1095" s="945" t="s">
        <v>845</v>
      </c>
      <c r="BM1095" s="945" t="s">
        <v>845</v>
      </c>
      <c r="BN1095" s="319" t="s">
        <v>845</v>
      </c>
      <c r="BO1095" s="319" t="s">
        <v>845</v>
      </c>
      <c r="BP1095" s="953" t="s">
        <v>845</v>
      </c>
      <c r="BQ1095" s="319" t="s">
        <v>845</v>
      </c>
      <c r="BR1095" s="324" t="s">
        <v>845</v>
      </c>
      <c r="BS1095" s="405">
        <f t="shared" ref="BS1095:BS1096" si="114">MINIFS(AV1095:BE1095,BI1095:BR1095, "Y")</f>
        <v>0</v>
      </c>
      <c r="BT1095" s="406">
        <f t="shared" ref="BT1095:BT1096" si="115">MAXIFS(AV1095:BE1095,BI1095:BR1095, "Y")</f>
        <v>0</v>
      </c>
      <c r="BU1095" s="931"/>
      <c r="BV1095" s="901"/>
      <c r="BW1095" s="907"/>
      <c r="BX1095" s="908"/>
      <c r="BY1095" s="331"/>
      <c r="BZ1095" s="340"/>
      <c r="CA1095" s="316"/>
      <c r="CB1095" s="318"/>
      <c r="CC1095" s="318"/>
      <c r="CD1095" s="318"/>
      <c r="CE1095" s="318"/>
      <c r="CF1095" s="318"/>
      <c r="CG1095" s="318"/>
      <c r="CH1095" s="318"/>
      <c r="CI1095" s="318"/>
      <c r="CJ1095" s="463"/>
      <c r="CK1095" s="342"/>
      <c r="CL1095" s="333"/>
      <c r="CM1095" s="829"/>
      <c r="CN1095" s="333"/>
      <c r="CO1095" s="333"/>
      <c r="CP1095" s="333"/>
    </row>
    <row r="1096">
      <c r="B1096" s="462" t="s">
        <v>1761</v>
      </c>
      <c r="C1096" s="914">
        <v>44505.0</v>
      </c>
      <c r="D1096" s="318"/>
      <c r="E1096" s="319">
        <v>2.0</v>
      </c>
      <c r="F1096" s="324" t="s">
        <v>1765</v>
      </c>
      <c r="G1096" s="321">
        <v>0.6935763888888888</v>
      </c>
      <c r="H1096" s="323">
        <v>0.694212962962963</v>
      </c>
      <c r="I1096" s="323"/>
      <c r="J1096" s="323"/>
      <c r="K1096" s="323">
        <v>0.6953125</v>
      </c>
      <c r="L1096" s="323">
        <v>0.001099537037037037</v>
      </c>
      <c r="M1096" s="319" t="s">
        <v>166</v>
      </c>
      <c r="N1096" s="324" t="s">
        <v>187</v>
      </c>
      <c r="O1096" s="419" t="s">
        <v>206</v>
      </c>
      <c r="P1096" s="319" t="s">
        <v>223</v>
      </c>
      <c r="Q1096" s="318"/>
      <c r="R1096" s="326">
        <v>21.8</v>
      </c>
      <c r="S1096" s="319">
        <v>21.8</v>
      </c>
      <c r="T1096" s="324">
        <v>21.8</v>
      </c>
      <c r="U1096" s="319">
        <v>2.5</v>
      </c>
      <c r="V1096" s="319"/>
      <c r="W1096" s="319"/>
      <c r="X1096" s="319"/>
      <c r="Y1096" s="319"/>
      <c r="Z1096" s="319" t="s">
        <v>347</v>
      </c>
      <c r="AA1096" s="319"/>
      <c r="AB1096" s="319" t="s">
        <v>384</v>
      </c>
      <c r="AC1096" s="327">
        <v>6.0</v>
      </c>
      <c r="AD1096" s="319"/>
      <c r="AE1096" s="319"/>
      <c r="AF1096" s="319"/>
      <c r="AG1096" s="319"/>
      <c r="AH1096" s="319"/>
      <c r="AI1096" s="319"/>
      <c r="AJ1096" s="327"/>
      <c r="AK1096" s="328"/>
      <c r="AL1096" s="319"/>
      <c r="AM1096" s="319"/>
      <c r="AN1096" s="319"/>
      <c r="AO1096" s="319"/>
      <c r="AP1096" s="319"/>
      <c r="AQ1096" s="319"/>
      <c r="AR1096" s="319"/>
      <c r="AS1096" s="327"/>
      <c r="AT1096" s="461" t="s">
        <v>182</v>
      </c>
      <c r="AU1096" s="954" t="s">
        <v>845</v>
      </c>
      <c r="AV1096" s="330">
        <f>SQRT(($R1096-Infrastructure!J$3)^2+($S1096-Infrastructure!K$3)^2)</f>
        <v>23.21249663</v>
      </c>
      <c r="AW1096" s="331">
        <f>SQRT(($R1096-Infrastructure!J$4)^2+($S1096-Infrastructure!K$4)^2)</f>
        <v>22.45907389</v>
      </c>
      <c r="AX1096" s="331">
        <f>SQRT(($R1096-Infrastructure!J$5)^2+($S1096-Infrastructure!K$5)^2)</f>
        <v>27.7001805</v>
      </c>
      <c r="AY1096" s="331">
        <f>SQRT(($R1096-Infrastructure!J$6)^2+($S1096-Infrastructure!K$6)^2)</f>
        <v>24.47733646</v>
      </c>
      <c r="AZ1096" s="331">
        <f>SQRT(($R1096-Infrastructure!J$7)^2+($S1096-Infrastructure!K$7)^2)</f>
        <v>21.53926647</v>
      </c>
      <c r="BA1096" s="331">
        <f>SQRT(($R1096-Infrastructure!J$8)^2+($S1096-Infrastructure!K$8)^2)</f>
        <v>23.04647478</v>
      </c>
      <c r="BB1096" s="331">
        <f>SQRT(($R1096-Infrastructure!J$9)^2+($S1096-Infrastructure!K$9)^2)</f>
        <v>24.7008097</v>
      </c>
      <c r="BC1096" s="331">
        <f>SQRT(($R1096-Infrastructure!J$10)^2+($S1096-Infrastructure!K$10)^2)</f>
        <v>19.42884454</v>
      </c>
      <c r="BD1096" s="331">
        <f>SQRT(($R1096-Infrastructure!J$11)^2+($S1096-Infrastructure!K$11)^2)</f>
        <v>19.75854246</v>
      </c>
      <c r="BE1096" s="333">
        <f>SQRT(($R1096-Infrastructure!J$12)^2+($S1096-Infrastructure!K$12)^2)</f>
        <v>33.70133529</v>
      </c>
      <c r="BF1096" s="330">
        <f t="shared" si="112"/>
        <v>19.42884454</v>
      </c>
      <c r="BG1096" s="333">
        <f t="shared" si="113"/>
        <v>33.70133529</v>
      </c>
      <c r="BH1096" s="943">
        <v>36526.0</v>
      </c>
      <c r="BI1096" s="462" t="s">
        <v>845</v>
      </c>
      <c r="BJ1096" s="945" t="s">
        <v>845</v>
      </c>
      <c r="BK1096" s="945" t="s">
        <v>845</v>
      </c>
      <c r="BL1096" s="945" t="s">
        <v>845</v>
      </c>
      <c r="BM1096" s="945" t="s">
        <v>845</v>
      </c>
      <c r="BN1096" s="319" t="s">
        <v>846</v>
      </c>
      <c r="BO1096" s="319" t="s">
        <v>846</v>
      </c>
      <c r="BP1096" s="953" t="s">
        <v>845</v>
      </c>
      <c r="BQ1096" s="319" t="s">
        <v>846</v>
      </c>
      <c r="BR1096" s="324" t="s">
        <v>846</v>
      </c>
      <c r="BS1096" s="330">
        <f t="shared" si="114"/>
        <v>19.75854246</v>
      </c>
      <c r="BT1096" s="331">
        <f t="shared" si="115"/>
        <v>33.70133529</v>
      </c>
      <c r="BU1096" s="915">
        <v>0.6936226851851852</v>
      </c>
      <c r="BV1096" s="903">
        <f>BU1096-G1096</f>
        <v>0.0000462962963</v>
      </c>
      <c r="BW1096" s="921">
        <v>12.4</v>
      </c>
      <c r="BX1096" s="923">
        <v>9.46666666666666</v>
      </c>
      <c r="BY1096" s="331">
        <f>IF(BW1096&gt;0, SQRT((R1096-BW1096)^2+(S1096-BX1096)^2))</f>
        <v>15.50713098</v>
      </c>
      <c r="BZ1096" s="340"/>
      <c r="CA1096" s="316"/>
      <c r="CB1096" s="318"/>
      <c r="CC1096" s="318"/>
      <c r="CD1096" s="318"/>
      <c r="CE1096" s="318"/>
      <c r="CF1096" s="318"/>
      <c r="CG1096" s="318"/>
      <c r="CH1096" s="318"/>
      <c r="CI1096" s="318"/>
      <c r="CJ1096" s="463"/>
      <c r="CK1096" s="342"/>
      <c r="CL1096" s="333"/>
      <c r="CM1096" s="829"/>
      <c r="CN1096" s="333"/>
      <c r="CO1096" s="333"/>
      <c r="CP1096" s="333"/>
    </row>
    <row r="1097">
      <c r="B1097" s="462" t="s">
        <v>1761</v>
      </c>
      <c r="C1097" s="914">
        <v>44505.0</v>
      </c>
      <c r="D1097" s="318"/>
      <c r="E1097" s="319"/>
      <c r="F1097" s="324" t="s">
        <v>1770</v>
      </c>
      <c r="G1097" s="321">
        <v>0.7041666666666667</v>
      </c>
      <c r="H1097" s="323"/>
      <c r="I1097" s="323"/>
      <c r="J1097" s="323"/>
      <c r="K1097" s="323">
        <v>0.7045138888888889</v>
      </c>
      <c r="L1097" s="323">
        <v>3.4722222222222224E-4</v>
      </c>
      <c r="M1097" s="319" t="s">
        <v>166</v>
      </c>
      <c r="N1097" s="324" t="s">
        <v>188</v>
      </c>
      <c r="O1097" s="419"/>
      <c r="P1097" s="319" t="s">
        <v>292</v>
      </c>
      <c r="Q1097" s="318"/>
      <c r="R1097" s="833"/>
      <c r="S1097" s="834"/>
      <c r="T1097" s="940"/>
      <c r="U1097" s="834"/>
      <c r="V1097" s="834"/>
      <c r="W1097" s="834"/>
      <c r="X1097" s="834"/>
      <c r="Y1097" s="834"/>
      <c r="Z1097" s="319" t="s">
        <v>323</v>
      </c>
      <c r="AA1097" s="319"/>
      <c r="AB1097" s="319" t="s">
        <v>323</v>
      </c>
      <c r="AC1097" s="327" t="s">
        <v>323</v>
      </c>
      <c r="AD1097" s="319"/>
      <c r="AE1097" s="319"/>
      <c r="AF1097" s="319"/>
      <c r="AG1097" s="319"/>
      <c r="AH1097" s="319"/>
      <c r="AI1097" s="319"/>
      <c r="AJ1097" s="327"/>
      <c r="AK1097" s="328"/>
      <c r="AL1097" s="319"/>
      <c r="AM1097" s="319"/>
      <c r="AN1097" s="319"/>
      <c r="AO1097" s="319"/>
      <c r="AP1097" s="319"/>
      <c r="AQ1097" s="319"/>
      <c r="AR1097" s="319"/>
      <c r="AS1097" s="327"/>
      <c r="AT1097" s="461"/>
      <c r="AU1097" s="324"/>
      <c r="AV1097" s="330"/>
      <c r="AW1097" s="331"/>
      <c r="AX1097" s="331"/>
      <c r="AY1097" s="331"/>
      <c r="AZ1097" s="331"/>
      <c r="BA1097" s="331"/>
      <c r="BB1097" s="331"/>
      <c r="BC1097" s="331"/>
      <c r="BD1097" s="331"/>
      <c r="BE1097" s="333"/>
      <c r="BF1097" s="330"/>
      <c r="BG1097" s="333"/>
      <c r="BH1097" s="943">
        <v>36526.0</v>
      </c>
      <c r="BI1097" s="944" t="s">
        <v>845</v>
      </c>
      <c r="BJ1097" s="945" t="s">
        <v>845</v>
      </c>
      <c r="BK1097" s="945" t="s">
        <v>845</v>
      </c>
      <c r="BL1097" s="945" t="s">
        <v>845</v>
      </c>
      <c r="BM1097" s="945" t="s">
        <v>845</v>
      </c>
      <c r="BN1097" s="945" t="s">
        <v>845</v>
      </c>
      <c r="BO1097" s="945" t="s">
        <v>845</v>
      </c>
      <c r="BP1097" s="946" t="s">
        <v>845</v>
      </c>
      <c r="BQ1097" s="945" t="s">
        <v>845</v>
      </c>
      <c r="BR1097" s="947" t="s">
        <v>845</v>
      </c>
      <c r="BS1097" s="330"/>
      <c r="BT1097" s="331"/>
      <c r="BU1097" s="920"/>
      <c r="BV1097" s="903"/>
      <c r="BW1097" s="907"/>
      <c r="BX1097" s="908"/>
      <c r="BY1097" s="331"/>
      <c r="BZ1097" s="340"/>
      <c r="CA1097" s="316"/>
      <c r="CB1097" s="318"/>
      <c r="CC1097" s="318"/>
      <c r="CD1097" s="318"/>
      <c r="CE1097" s="318"/>
      <c r="CF1097" s="318"/>
      <c r="CG1097" s="318"/>
      <c r="CH1097" s="318"/>
      <c r="CI1097" s="318"/>
      <c r="CJ1097" s="463"/>
      <c r="CK1097" s="342"/>
      <c r="CL1097" s="333"/>
      <c r="CM1097" s="829"/>
      <c r="CN1097" s="333"/>
      <c r="CO1097" s="333"/>
      <c r="CP1097" s="333"/>
    </row>
    <row r="1098">
      <c r="B1098" s="635" t="s">
        <v>1761</v>
      </c>
      <c r="C1098" s="935">
        <v>44505.0</v>
      </c>
      <c r="D1098" s="640"/>
      <c r="E1098" s="663"/>
      <c r="F1098" s="637" t="s">
        <v>1770</v>
      </c>
      <c r="G1098" s="770">
        <v>0.7055555555555556</v>
      </c>
      <c r="H1098" s="771"/>
      <c r="I1098" s="771"/>
      <c r="J1098" s="771"/>
      <c r="K1098" s="771">
        <v>0.7083333333333334</v>
      </c>
      <c r="L1098" s="771">
        <v>0.002777777777777778</v>
      </c>
      <c r="M1098" s="663" t="s">
        <v>358</v>
      </c>
      <c r="N1098" s="637" t="s">
        <v>188</v>
      </c>
      <c r="O1098" s="731"/>
      <c r="P1098" s="663" t="s">
        <v>294</v>
      </c>
      <c r="Q1098" s="640"/>
      <c r="R1098" s="837"/>
      <c r="S1098" s="838"/>
      <c r="T1098" s="941"/>
      <c r="U1098" s="838"/>
      <c r="V1098" s="838"/>
      <c r="W1098" s="838"/>
      <c r="X1098" s="838"/>
      <c r="Y1098" s="838"/>
      <c r="Z1098" s="663" t="s">
        <v>323</v>
      </c>
      <c r="AA1098" s="663"/>
      <c r="AB1098" s="663" t="s">
        <v>323</v>
      </c>
      <c r="AC1098" s="773" t="s">
        <v>323</v>
      </c>
      <c r="AD1098" s="663"/>
      <c r="AE1098" s="663"/>
      <c r="AF1098" s="663"/>
      <c r="AG1098" s="663"/>
      <c r="AH1098" s="663"/>
      <c r="AI1098" s="663"/>
      <c r="AJ1098" s="773"/>
      <c r="AK1098" s="839"/>
      <c r="AL1098" s="663"/>
      <c r="AM1098" s="663"/>
      <c r="AN1098" s="663"/>
      <c r="AO1098" s="663"/>
      <c r="AP1098" s="663"/>
      <c r="AQ1098" s="663"/>
      <c r="AR1098" s="663"/>
      <c r="AS1098" s="773"/>
      <c r="AT1098" s="636"/>
      <c r="AU1098" s="637"/>
      <c r="AV1098" s="662"/>
      <c r="AW1098" s="641"/>
      <c r="AX1098" s="641"/>
      <c r="AY1098" s="641"/>
      <c r="AZ1098" s="641"/>
      <c r="BA1098" s="641"/>
      <c r="BB1098" s="641"/>
      <c r="BC1098" s="641"/>
      <c r="BD1098" s="641"/>
      <c r="BE1098" s="642"/>
      <c r="BF1098" s="662"/>
      <c r="BG1098" s="642"/>
      <c r="BH1098" s="948">
        <v>36526.0</v>
      </c>
      <c r="BI1098" s="949" t="s">
        <v>845</v>
      </c>
      <c r="BJ1098" s="950" t="s">
        <v>845</v>
      </c>
      <c r="BK1098" s="950" t="s">
        <v>845</v>
      </c>
      <c r="BL1098" s="950" t="s">
        <v>845</v>
      </c>
      <c r="BM1098" s="950" t="s">
        <v>845</v>
      </c>
      <c r="BN1098" s="950" t="s">
        <v>845</v>
      </c>
      <c r="BO1098" s="950" t="s">
        <v>845</v>
      </c>
      <c r="BP1098" s="951" t="s">
        <v>845</v>
      </c>
      <c r="BQ1098" s="950" t="s">
        <v>845</v>
      </c>
      <c r="BR1098" s="952" t="s">
        <v>845</v>
      </c>
      <c r="BS1098" s="662"/>
      <c r="BT1098" s="641"/>
      <c r="BU1098" s="937"/>
      <c r="BV1098" s="930"/>
      <c r="BW1098" s="938"/>
      <c r="BX1098" s="939"/>
      <c r="BY1098" s="641"/>
      <c r="BZ1098" s="742"/>
      <c r="CA1098" s="639"/>
      <c r="CB1098" s="640"/>
      <c r="CC1098" s="640"/>
      <c r="CD1098" s="640"/>
      <c r="CE1098" s="640"/>
      <c r="CF1098" s="640"/>
      <c r="CG1098" s="640"/>
      <c r="CH1098" s="640"/>
      <c r="CI1098" s="640"/>
      <c r="CJ1098" s="785"/>
      <c r="CK1098" s="743"/>
      <c r="CL1098" s="642"/>
      <c r="CM1098" s="831"/>
      <c r="CN1098" s="333"/>
      <c r="CO1098" s="333"/>
      <c r="CP1098" s="333"/>
    </row>
    <row r="1099">
      <c r="A1099" s="389" t="s">
        <v>57</v>
      </c>
      <c r="B1099" s="462" t="s">
        <v>1772</v>
      </c>
      <c r="C1099" s="914">
        <v>44525.0</v>
      </c>
      <c r="D1099" s="318"/>
      <c r="E1099" s="319">
        <v>1.0</v>
      </c>
      <c r="F1099" s="324" t="s">
        <v>1773</v>
      </c>
      <c r="G1099" s="321">
        <v>0.5940393518518519</v>
      </c>
      <c r="H1099" s="323"/>
      <c r="I1099" s="323"/>
      <c r="J1099" s="323"/>
      <c r="K1099" s="323">
        <v>0.5944444444444444</v>
      </c>
      <c r="L1099" s="323">
        <v>4.050925925925926E-4</v>
      </c>
      <c r="M1099" s="319" t="s">
        <v>166</v>
      </c>
      <c r="N1099" s="324" t="s">
        <v>187</v>
      </c>
      <c r="O1099" s="419" t="s">
        <v>204</v>
      </c>
      <c r="P1099" s="319" t="s">
        <v>262</v>
      </c>
      <c r="Q1099" s="318"/>
      <c r="R1099" s="326">
        <v>17.9</v>
      </c>
      <c r="S1099" s="319">
        <v>3.6</v>
      </c>
      <c r="T1099" s="324">
        <v>2.57</v>
      </c>
      <c r="U1099" s="319">
        <v>4.0</v>
      </c>
      <c r="V1099" s="319"/>
      <c r="W1099" s="319"/>
      <c r="X1099" s="319"/>
      <c r="Y1099" s="319"/>
      <c r="Z1099" s="319" t="s">
        <v>365</v>
      </c>
      <c r="AA1099" s="319"/>
      <c r="AB1099" s="319" t="s">
        <v>392</v>
      </c>
      <c r="AC1099" s="327">
        <v>10.0</v>
      </c>
      <c r="AD1099" s="319"/>
      <c r="AE1099" s="319"/>
      <c r="AF1099" s="319"/>
      <c r="AG1099" s="319"/>
      <c r="AH1099" s="319"/>
      <c r="AI1099" s="319"/>
      <c r="AJ1099" s="327"/>
      <c r="AK1099" s="328"/>
      <c r="AL1099" s="319"/>
      <c r="AM1099" s="319"/>
      <c r="AN1099" s="319"/>
      <c r="AO1099" s="319"/>
      <c r="AP1099" s="319"/>
      <c r="AQ1099" s="319"/>
      <c r="AR1099" s="319"/>
      <c r="AS1099" s="327"/>
      <c r="AT1099" s="461" t="s">
        <v>182</v>
      </c>
      <c r="AU1099" s="324" t="s">
        <v>845</v>
      </c>
      <c r="AV1099" s="330">
        <f>SQRT(($R1099-Infrastructure!J$3)^2+($S1099-Infrastructure!K$3)^2)</f>
        <v>31.16616755</v>
      </c>
      <c r="AW1099" s="331">
        <f>SQRT(($R1099-Infrastructure!J$4)^2+($S1099-Infrastructure!K$4)^2)</f>
        <v>23.08419373</v>
      </c>
      <c r="AX1099" s="331">
        <f>SQRT(($R1099-Infrastructure!J$5)^2+($S1099-Infrastructure!K$5)^2)</f>
        <v>18.26170857</v>
      </c>
      <c r="AY1099" s="331">
        <f>SQRT(($R1099-Infrastructure!J$6)^2+($S1099-Infrastructure!K$6)^2)</f>
        <v>8.469356528</v>
      </c>
      <c r="AZ1099" s="331">
        <f>SQRT(($R1099-Infrastructure!J$7)^2+($S1099-Infrastructure!K$7)^2)</f>
        <v>4.201190308</v>
      </c>
      <c r="BA1099" s="331">
        <f>SQRT(($R1099-Infrastructure!J$8)^2+($S1099-Infrastructure!K$8)^2)</f>
        <v>12.63843345</v>
      </c>
      <c r="BB1099" s="331">
        <f>SQRT(($R1099-Infrastructure!J$9)^2+($S1099-Infrastructure!K$9)^2)</f>
        <v>22.15084648</v>
      </c>
      <c r="BC1099" s="331">
        <f>SQRT(($R1099-Infrastructure!J$10)^2+($S1099-Infrastructure!K$10)^2)</f>
        <v>24.86704647</v>
      </c>
      <c r="BD1099" s="331">
        <f>SQRT(($R1099-Infrastructure!J$11)^2+($S1099-Infrastructure!K$11)^2)</f>
        <v>33.80014793</v>
      </c>
      <c r="BE1099" s="333">
        <f>SQRT(($R1099-Infrastructure!J$12)^2+($S1099-Infrastructure!K$12)^2)</f>
        <v>52.02470567</v>
      </c>
      <c r="BF1099" s="330">
        <f t="shared" ref="BF1099:BF1108" si="116">MIN(AV1099:BE1099)</f>
        <v>4.201190308</v>
      </c>
      <c r="BG1099" s="333">
        <f t="shared" ref="BG1099:BG1108" si="117">MAX(AV1099:BE1099)</f>
        <v>52.02470567</v>
      </c>
      <c r="BH1099" s="943">
        <v>36526.0</v>
      </c>
      <c r="BI1099" s="462"/>
      <c r="BJ1099" s="319"/>
      <c r="BK1099" s="319"/>
      <c r="BL1099" s="319"/>
      <c r="BM1099" s="955"/>
      <c r="BN1099" s="319"/>
      <c r="BO1099" s="319"/>
      <c r="BP1099" s="953"/>
      <c r="BQ1099" s="319"/>
      <c r="BR1099" s="324"/>
      <c r="BS1099" s="330">
        <f t="shared" ref="BS1099:BS1108" si="118">MINIFS(AV1099:BE1099,BI1099:BR1099, "Y")</f>
        <v>0</v>
      </c>
      <c r="BT1099" s="331">
        <f t="shared" ref="BT1099:BT1108" si="119">MAXIFS(AV1099:BE1099,BI1099:BR1099, "Y")</f>
        <v>0</v>
      </c>
      <c r="BV1099" s="956"/>
      <c r="BW1099" s="907"/>
      <c r="BX1099" s="908"/>
      <c r="BY1099" s="331"/>
      <c r="BZ1099" s="340"/>
      <c r="CA1099" s="316"/>
      <c r="CB1099" s="318"/>
      <c r="CC1099" s="318"/>
      <c r="CD1099" s="318"/>
      <c r="CE1099" s="318"/>
      <c r="CF1099" s="318"/>
      <c r="CG1099" s="318"/>
      <c r="CH1099" s="318"/>
      <c r="CI1099" s="318"/>
      <c r="CJ1099" s="463"/>
      <c r="CK1099" s="342"/>
      <c r="CL1099" s="333"/>
      <c r="CM1099" s="829"/>
      <c r="CN1099" s="333"/>
      <c r="CO1099" s="333"/>
      <c r="CP1099" s="333"/>
    </row>
    <row r="1100">
      <c r="B1100" s="462" t="s">
        <v>1772</v>
      </c>
      <c r="C1100" s="914">
        <v>44525.0</v>
      </c>
      <c r="D1100" s="318"/>
      <c r="E1100" s="319">
        <v>2.0</v>
      </c>
      <c r="F1100" s="324" t="s">
        <v>1774</v>
      </c>
      <c r="G1100" s="321">
        <v>0.5965277777777778</v>
      </c>
      <c r="H1100" s="323">
        <v>0.5972800925925926</v>
      </c>
      <c r="I1100" s="323"/>
      <c r="J1100" s="323"/>
      <c r="K1100" s="323">
        <v>0.5998842592592593</v>
      </c>
      <c r="L1100" s="323">
        <v>0.0026041666666666665</v>
      </c>
      <c r="M1100" s="319" t="s">
        <v>166</v>
      </c>
      <c r="N1100" s="324" t="s">
        <v>187</v>
      </c>
      <c r="O1100" s="419" t="s">
        <v>204</v>
      </c>
      <c r="P1100" s="319" t="s">
        <v>262</v>
      </c>
      <c r="Q1100" s="318"/>
      <c r="R1100" s="326">
        <v>17.9</v>
      </c>
      <c r="S1100" s="319">
        <v>3.6</v>
      </c>
      <c r="T1100" s="324">
        <v>2.57</v>
      </c>
      <c r="U1100" s="319">
        <v>5.0</v>
      </c>
      <c r="V1100" s="319"/>
      <c r="W1100" s="319"/>
      <c r="X1100" s="319"/>
      <c r="Y1100" s="319"/>
      <c r="Z1100" s="319" t="s">
        <v>365</v>
      </c>
      <c r="AA1100" s="319"/>
      <c r="AB1100" s="319" t="s">
        <v>392</v>
      </c>
      <c r="AC1100" s="327">
        <v>10.0</v>
      </c>
      <c r="AD1100" s="319"/>
      <c r="AE1100" s="319"/>
      <c r="AF1100" s="319"/>
      <c r="AG1100" s="319"/>
      <c r="AH1100" s="319"/>
      <c r="AI1100" s="319"/>
      <c r="AJ1100" s="327"/>
      <c r="AK1100" s="328"/>
      <c r="AL1100" s="319"/>
      <c r="AM1100" s="319"/>
      <c r="AN1100" s="319"/>
      <c r="AO1100" s="319"/>
      <c r="AP1100" s="319"/>
      <c r="AQ1100" s="319"/>
      <c r="AR1100" s="319"/>
      <c r="AS1100" s="327"/>
      <c r="AT1100" s="461" t="s">
        <v>182</v>
      </c>
      <c r="AU1100" s="324" t="s">
        <v>845</v>
      </c>
      <c r="AV1100" s="330">
        <f>SQRT(($R1100-Infrastructure!J$3)^2+($S1100-Infrastructure!K$3)^2)</f>
        <v>31.16616755</v>
      </c>
      <c r="AW1100" s="331">
        <f>SQRT(($R1100-Infrastructure!J$4)^2+($S1100-Infrastructure!K$4)^2)</f>
        <v>23.08419373</v>
      </c>
      <c r="AX1100" s="331">
        <f>SQRT(($R1100-Infrastructure!J$5)^2+($S1100-Infrastructure!K$5)^2)</f>
        <v>18.26170857</v>
      </c>
      <c r="AY1100" s="331">
        <f>SQRT(($R1100-Infrastructure!J$6)^2+($S1100-Infrastructure!K$6)^2)</f>
        <v>8.469356528</v>
      </c>
      <c r="AZ1100" s="331">
        <f>SQRT(($R1100-Infrastructure!J$7)^2+($S1100-Infrastructure!K$7)^2)</f>
        <v>4.201190308</v>
      </c>
      <c r="BA1100" s="331">
        <f>SQRT(($R1100-Infrastructure!J$8)^2+($S1100-Infrastructure!K$8)^2)</f>
        <v>12.63843345</v>
      </c>
      <c r="BB1100" s="331">
        <f>SQRT(($R1100-Infrastructure!J$9)^2+($S1100-Infrastructure!K$9)^2)</f>
        <v>22.15084648</v>
      </c>
      <c r="BC1100" s="331">
        <f>SQRT(($R1100-Infrastructure!J$10)^2+($S1100-Infrastructure!K$10)^2)</f>
        <v>24.86704647</v>
      </c>
      <c r="BD1100" s="331">
        <f>SQRT(($R1100-Infrastructure!J$11)^2+($S1100-Infrastructure!K$11)^2)</f>
        <v>33.80014793</v>
      </c>
      <c r="BE1100" s="333">
        <f>SQRT(($R1100-Infrastructure!J$12)^2+($S1100-Infrastructure!K$12)^2)</f>
        <v>52.02470567</v>
      </c>
      <c r="BF1100" s="330">
        <f t="shared" si="116"/>
        <v>4.201190308</v>
      </c>
      <c r="BG1100" s="333">
        <f t="shared" si="117"/>
        <v>52.02470567</v>
      </c>
      <c r="BH1100" s="943">
        <v>36526.0</v>
      </c>
      <c r="BI1100" s="462" t="s">
        <v>846</v>
      </c>
      <c r="BJ1100" s="319" t="s">
        <v>846</v>
      </c>
      <c r="BK1100" s="319" t="s">
        <v>846</v>
      </c>
      <c r="BL1100" s="319" t="s">
        <v>846</v>
      </c>
      <c r="BM1100" s="955"/>
      <c r="BN1100" s="319" t="s">
        <v>846</v>
      </c>
      <c r="BO1100" s="319" t="s">
        <v>846</v>
      </c>
      <c r="BP1100" s="953" t="s">
        <v>846</v>
      </c>
      <c r="BQ1100" s="319" t="s">
        <v>846</v>
      </c>
      <c r="BR1100" s="324" t="s">
        <v>846</v>
      </c>
      <c r="BS1100" s="330">
        <f t="shared" si="118"/>
        <v>8.469356528</v>
      </c>
      <c r="BT1100" s="331">
        <f t="shared" si="119"/>
        <v>52.02470567</v>
      </c>
      <c r="BU1100" s="920">
        <v>0.5966087962962963</v>
      </c>
      <c r="BV1100" s="903">
        <f t="shared" ref="BV1100:BV1105" si="120">BU1100-G1100</f>
        <v>0.00008101851852</v>
      </c>
      <c r="BW1100" s="907">
        <v>20.4</v>
      </c>
      <c r="BX1100" s="908">
        <v>16.8</v>
      </c>
      <c r="BY1100" s="331">
        <f t="shared" ref="BY1100:BY1105" si="121">IF(BW1100&gt;0, SQRT((R1100-BW1100)^2+(S1100-BX1100)^2))</f>
        <v>13.43465668</v>
      </c>
      <c r="BZ1100" s="340"/>
      <c r="CA1100" s="316"/>
      <c r="CB1100" s="318"/>
      <c r="CC1100" s="318"/>
      <c r="CD1100" s="318"/>
      <c r="CE1100" s="318"/>
      <c r="CF1100" s="318"/>
      <c r="CG1100" s="318"/>
      <c r="CH1100" s="318"/>
      <c r="CI1100" s="318"/>
      <c r="CJ1100" s="463"/>
      <c r="CK1100" s="342"/>
      <c r="CL1100" s="333"/>
      <c r="CM1100" s="829"/>
      <c r="CN1100" s="333"/>
      <c r="CO1100" s="333"/>
      <c r="CP1100" s="333"/>
    </row>
    <row r="1101">
      <c r="B1101" s="462" t="s">
        <v>1772</v>
      </c>
      <c r="C1101" s="914">
        <v>44525.0</v>
      </c>
      <c r="D1101" s="318"/>
      <c r="E1101" s="319">
        <v>3.0</v>
      </c>
      <c r="F1101" s="324" t="s">
        <v>1775</v>
      </c>
      <c r="G1101" s="321">
        <v>0.6017939814814814</v>
      </c>
      <c r="H1101" s="323">
        <v>0.6023148148148149</v>
      </c>
      <c r="I1101" s="323"/>
      <c r="J1101" s="323"/>
      <c r="K1101" s="323">
        <v>0.6054398148148148</v>
      </c>
      <c r="L1101" s="323">
        <v>0.003125</v>
      </c>
      <c r="M1101" s="319" t="s">
        <v>166</v>
      </c>
      <c r="N1101" s="324" t="s">
        <v>187</v>
      </c>
      <c r="O1101" s="419" t="s">
        <v>204</v>
      </c>
      <c r="P1101" s="319" t="s">
        <v>262</v>
      </c>
      <c r="Q1101" s="318"/>
      <c r="R1101" s="326">
        <v>17.9</v>
      </c>
      <c r="S1101" s="319">
        <v>3.6</v>
      </c>
      <c r="T1101" s="324">
        <v>2.57</v>
      </c>
      <c r="U1101" s="319">
        <v>5.0</v>
      </c>
      <c r="V1101" s="319"/>
      <c r="W1101" s="319"/>
      <c r="X1101" s="319"/>
      <c r="Y1101" s="319"/>
      <c r="Z1101" s="319" t="s">
        <v>365</v>
      </c>
      <c r="AA1101" s="319"/>
      <c r="AB1101" s="319" t="s">
        <v>392</v>
      </c>
      <c r="AC1101" s="327">
        <v>10.0</v>
      </c>
      <c r="AD1101" s="319"/>
      <c r="AE1101" s="319"/>
      <c r="AF1101" s="319"/>
      <c r="AG1101" s="319"/>
      <c r="AH1101" s="319"/>
      <c r="AI1101" s="319"/>
      <c r="AJ1101" s="327"/>
      <c r="AK1101" s="328"/>
      <c r="AL1101" s="319"/>
      <c r="AM1101" s="319"/>
      <c r="AN1101" s="319"/>
      <c r="AO1101" s="319"/>
      <c r="AP1101" s="319"/>
      <c r="AQ1101" s="319"/>
      <c r="AR1101" s="319"/>
      <c r="AS1101" s="327"/>
      <c r="AT1101" s="461" t="s">
        <v>182</v>
      </c>
      <c r="AU1101" s="324" t="s">
        <v>845</v>
      </c>
      <c r="AV1101" s="330">
        <f>SQRT(($R1101-Infrastructure!J$3)^2+($S1101-Infrastructure!K$3)^2)</f>
        <v>31.16616755</v>
      </c>
      <c r="AW1101" s="331">
        <f>SQRT(($R1101-Infrastructure!J$4)^2+($S1101-Infrastructure!K$4)^2)</f>
        <v>23.08419373</v>
      </c>
      <c r="AX1101" s="331">
        <f>SQRT(($R1101-Infrastructure!J$5)^2+($S1101-Infrastructure!K$5)^2)</f>
        <v>18.26170857</v>
      </c>
      <c r="AY1101" s="331">
        <f>SQRT(($R1101-Infrastructure!J$6)^2+($S1101-Infrastructure!K$6)^2)</f>
        <v>8.469356528</v>
      </c>
      <c r="AZ1101" s="331">
        <f>SQRT(($R1101-Infrastructure!J$7)^2+($S1101-Infrastructure!K$7)^2)</f>
        <v>4.201190308</v>
      </c>
      <c r="BA1101" s="331">
        <f>SQRT(($R1101-Infrastructure!J$8)^2+($S1101-Infrastructure!K$8)^2)</f>
        <v>12.63843345</v>
      </c>
      <c r="BB1101" s="331">
        <f>SQRT(($R1101-Infrastructure!J$9)^2+($S1101-Infrastructure!K$9)^2)</f>
        <v>22.15084648</v>
      </c>
      <c r="BC1101" s="331">
        <f>SQRT(($R1101-Infrastructure!J$10)^2+($S1101-Infrastructure!K$10)^2)</f>
        <v>24.86704647</v>
      </c>
      <c r="BD1101" s="331">
        <f>SQRT(($R1101-Infrastructure!J$11)^2+($S1101-Infrastructure!K$11)^2)</f>
        <v>33.80014793</v>
      </c>
      <c r="BE1101" s="333">
        <f>SQRT(($R1101-Infrastructure!J$12)^2+($S1101-Infrastructure!K$12)^2)</f>
        <v>52.02470567</v>
      </c>
      <c r="BF1101" s="330">
        <f t="shared" si="116"/>
        <v>4.201190308</v>
      </c>
      <c r="BG1101" s="333">
        <f t="shared" si="117"/>
        <v>52.02470567</v>
      </c>
      <c r="BH1101" s="943">
        <v>36526.0</v>
      </c>
      <c r="BI1101" s="462" t="s">
        <v>846</v>
      </c>
      <c r="BJ1101" s="319" t="s">
        <v>846</v>
      </c>
      <c r="BK1101" s="319" t="s">
        <v>846</v>
      </c>
      <c r="BL1101" s="319" t="s">
        <v>846</v>
      </c>
      <c r="BM1101" s="955"/>
      <c r="BN1101" s="319" t="s">
        <v>846</v>
      </c>
      <c r="BO1101" s="319" t="s">
        <v>846</v>
      </c>
      <c r="BP1101" s="953" t="s">
        <v>846</v>
      </c>
      <c r="BQ1101" s="319" t="s">
        <v>846</v>
      </c>
      <c r="BR1101" s="324" t="s">
        <v>846</v>
      </c>
      <c r="BS1101" s="330">
        <f t="shared" si="118"/>
        <v>8.469356528</v>
      </c>
      <c r="BT1101" s="331">
        <f t="shared" si="119"/>
        <v>52.02470567</v>
      </c>
      <c r="BU1101" s="920">
        <v>0.6018634259259259</v>
      </c>
      <c r="BV1101" s="903">
        <f t="shared" si="120"/>
        <v>0.00006944444444</v>
      </c>
      <c r="BW1101" s="907">
        <v>19.6</v>
      </c>
      <c r="BX1101" s="908">
        <v>16.6</v>
      </c>
      <c r="BY1101" s="331">
        <f t="shared" si="121"/>
        <v>13.11068267</v>
      </c>
      <c r="BZ1101" s="340"/>
      <c r="CA1101" s="316"/>
      <c r="CB1101" s="318"/>
      <c r="CC1101" s="318"/>
      <c r="CD1101" s="318"/>
      <c r="CE1101" s="318"/>
      <c r="CF1101" s="318"/>
      <c r="CG1101" s="318"/>
      <c r="CH1101" s="318"/>
      <c r="CI1101" s="318"/>
      <c r="CJ1101" s="463"/>
      <c r="CK1101" s="342"/>
      <c r="CL1101" s="333"/>
      <c r="CM1101" s="829"/>
      <c r="CN1101" s="333"/>
      <c r="CO1101" s="333"/>
      <c r="CP1101" s="333"/>
    </row>
    <row r="1102">
      <c r="B1102" s="462" t="s">
        <v>1772</v>
      </c>
      <c r="C1102" s="914">
        <v>44525.0</v>
      </c>
      <c r="D1102" s="318"/>
      <c r="E1102" s="319">
        <v>4.0</v>
      </c>
      <c r="F1102" s="324" t="s">
        <v>1776</v>
      </c>
      <c r="G1102" s="321">
        <v>0.6054398148148148</v>
      </c>
      <c r="H1102" s="323">
        <v>0.6059027777777778</v>
      </c>
      <c r="I1102" s="323"/>
      <c r="J1102" s="323"/>
      <c r="K1102" s="323">
        <v>0.6103009259259259</v>
      </c>
      <c r="L1102" s="323">
        <v>0.004398148148148148</v>
      </c>
      <c r="M1102" s="319" t="s">
        <v>166</v>
      </c>
      <c r="N1102" s="324" t="s">
        <v>187</v>
      </c>
      <c r="O1102" s="419" t="s">
        <v>204</v>
      </c>
      <c r="P1102" s="319" t="s">
        <v>262</v>
      </c>
      <c r="Q1102" s="318"/>
      <c r="R1102" s="326">
        <v>17.9</v>
      </c>
      <c r="S1102" s="319">
        <v>3.6</v>
      </c>
      <c r="T1102" s="324">
        <v>2.57</v>
      </c>
      <c r="U1102" s="319">
        <v>7.0</v>
      </c>
      <c r="V1102" s="319"/>
      <c r="W1102" s="319"/>
      <c r="X1102" s="319"/>
      <c r="Y1102" s="319"/>
      <c r="Z1102" s="319" t="s">
        <v>365</v>
      </c>
      <c r="AA1102" s="319"/>
      <c r="AB1102" s="319" t="s">
        <v>392</v>
      </c>
      <c r="AC1102" s="327">
        <v>10.0</v>
      </c>
      <c r="AD1102" s="319"/>
      <c r="AE1102" s="319"/>
      <c r="AF1102" s="319"/>
      <c r="AG1102" s="319"/>
      <c r="AH1102" s="319"/>
      <c r="AI1102" s="319"/>
      <c r="AJ1102" s="327"/>
      <c r="AK1102" s="328"/>
      <c r="AL1102" s="319"/>
      <c r="AM1102" s="319"/>
      <c r="AN1102" s="319"/>
      <c r="AO1102" s="319"/>
      <c r="AP1102" s="319"/>
      <c r="AQ1102" s="319"/>
      <c r="AR1102" s="319"/>
      <c r="AS1102" s="327"/>
      <c r="AT1102" s="461" t="s">
        <v>182</v>
      </c>
      <c r="AU1102" s="324" t="s">
        <v>845</v>
      </c>
      <c r="AV1102" s="330">
        <f>SQRT(($R1102-Infrastructure!J$3)^2+($S1102-Infrastructure!K$3)^2)</f>
        <v>31.16616755</v>
      </c>
      <c r="AW1102" s="331">
        <f>SQRT(($R1102-Infrastructure!J$4)^2+($S1102-Infrastructure!K$4)^2)</f>
        <v>23.08419373</v>
      </c>
      <c r="AX1102" s="331">
        <f>SQRT(($R1102-Infrastructure!J$5)^2+($S1102-Infrastructure!K$5)^2)</f>
        <v>18.26170857</v>
      </c>
      <c r="AY1102" s="331">
        <f>SQRT(($R1102-Infrastructure!J$6)^2+($S1102-Infrastructure!K$6)^2)</f>
        <v>8.469356528</v>
      </c>
      <c r="AZ1102" s="331">
        <f>SQRT(($R1102-Infrastructure!J$7)^2+($S1102-Infrastructure!K$7)^2)</f>
        <v>4.201190308</v>
      </c>
      <c r="BA1102" s="331">
        <f>SQRT(($R1102-Infrastructure!J$8)^2+($S1102-Infrastructure!K$8)^2)</f>
        <v>12.63843345</v>
      </c>
      <c r="BB1102" s="331">
        <f>SQRT(($R1102-Infrastructure!J$9)^2+($S1102-Infrastructure!K$9)^2)</f>
        <v>22.15084648</v>
      </c>
      <c r="BC1102" s="331">
        <f>SQRT(($R1102-Infrastructure!J$10)^2+($S1102-Infrastructure!K$10)^2)</f>
        <v>24.86704647</v>
      </c>
      <c r="BD1102" s="331">
        <f>SQRT(($R1102-Infrastructure!J$11)^2+($S1102-Infrastructure!K$11)^2)</f>
        <v>33.80014793</v>
      </c>
      <c r="BE1102" s="333">
        <f>SQRT(($R1102-Infrastructure!J$12)^2+($S1102-Infrastructure!K$12)^2)</f>
        <v>52.02470567</v>
      </c>
      <c r="BF1102" s="330">
        <f t="shared" si="116"/>
        <v>4.201190308</v>
      </c>
      <c r="BG1102" s="333">
        <f t="shared" si="117"/>
        <v>52.02470567</v>
      </c>
      <c r="BH1102" s="943">
        <v>36526.0</v>
      </c>
      <c r="BI1102" s="462" t="s">
        <v>846</v>
      </c>
      <c r="BJ1102" s="319" t="s">
        <v>846</v>
      </c>
      <c r="BK1102" s="319" t="s">
        <v>846</v>
      </c>
      <c r="BL1102" s="319" t="s">
        <v>846</v>
      </c>
      <c r="BM1102" s="955"/>
      <c r="BN1102" s="319" t="s">
        <v>846</v>
      </c>
      <c r="BO1102" s="319" t="s">
        <v>846</v>
      </c>
      <c r="BP1102" s="953" t="s">
        <v>846</v>
      </c>
      <c r="BQ1102" s="319" t="s">
        <v>846</v>
      </c>
      <c r="BR1102" s="324" t="s">
        <v>846</v>
      </c>
      <c r="BS1102" s="330">
        <f t="shared" si="118"/>
        <v>8.469356528</v>
      </c>
      <c r="BT1102" s="331">
        <f t="shared" si="119"/>
        <v>52.02470567</v>
      </c>
      <c r="BU1102" s="920">
        <v>0.605462962962963</v>
      </c>
      <c r="BV1102" s="903">
        <f t="shared" si="120"/>
        <v>0.00002314814815</v>
      </c>
      <c r="BW1102" s="907">
        <v>19.7</v>
      </c>
      <c r="BX1102" s="908">
        <v>17.3</v>
      </c>
      <c r="BY1102" s="331">
        <f t="shared" si="121"/>
        <v>13.81774222</v>
      </c>
      <c r="BZ1102" s="340"/>
      <c r="CA1102" s="316"/>
      <c r="CB1102" s="318"/>
      <c r="CC1102" s="318"/>
      <c r="CD1102" s="318"/>
      <c r="CE1102" s="318"/>
      <c r="CF1102" s="318"/>
      <c r="CG1102" s="318"/>
      <c r="CH1102" s="318"/>
      <c r="CI1102" s="318"/>
      <c r="CJ1102" s="463"/>
      <c r="CK1102" s="342"/>
      <c r="CL1102" s="333"/>
      <c r="CM1102" s="829"/>
      <c r="CN1102" s="333"/>
      <c r="CO1102" s="333"/>
      <c r="CP1102" s="333"/>
    </row>
    <row r="1103">
      <c r="B1103" s="462" t="s">
        <v>1772</v>
      </c>
      <c r="C1103" s="914">
        <v>44525.0</v>
      </c>
      <c r="D1103" s="318"/>
      <c r="E1103" s="319">
        <v>5.0</v>
      </c>
      <c r="F1103" s="324" t="s">
        <v>1777</v>
      </c>
      <c r="G1103" s="321">
        <v>0.6174189814814814</v>
      </c>
      <c r="H1103" s="323">
        <v>0.6180555555555556</v>
      </c>
      <c r="I1103" s="323"/>
      <c r="J1103" s="323"/>
      <c r="K1103" s="323">
        <v>0.6182291666666667</v>
      </c>
      <c r="L1103" s="323">
        <v>1.7361111111111112E-4</v>
      </c>
      <c r="M1103" s="319" t="s">
        <v>166</v>
      </c>
      <c r="N1103" s="324" t="s">
        <v>187</v>
      </c>
      <c r="O1103" s="419" t="s">
        <v>204</v>
      </c>
      <c r="P1103" s="319" t="s">
        <v>262</v>
      </c>
      <c r="Q1103" s="318"/>
      <c r="R1103" s="326">
        <v>17.9</v>
      </c>
      <c r="S1103" s="319">
        <v>3.6</v>
      </c>
      <c r="T1103" s="324">
        <v>2.57</v>
      </c>
      <c r="U1103" s="319">
        <v>7.0</v>
      </c>
      <c r="V1103" s="319"/>
      <c r="W1103" s="319"/>
      <c r="X1103" s="319"/>
      <c r="Y1103" s="319"/>
      <c r="Z1103" s="319" t="s">
        <v>365</v>
      </c>
      <c r="AA1103" s="319"/>
      <c r="AB1103" s="319" t="s">
        <v>392</v>
      </c>
      <c r="AC1103" s="327">
        <v>10.0</v>
      </c>
      <c r="AD1103" s="319"/>
      <c r="AE1103" s="319"/>
      <c r="AF1103" s="319"/>
      <c r="AG1103" s="319"/>
      <c r="AH1103" s="319"/>
      <c r="AI1103" s="319"/>
      <c r="AJ1103" s="327"/>
      <c r="AK1103" s="328"/>
      <c r="AL1103" s="319"/>
      <c r="AM1103" s="319"/>
      <c r="AN1103" s="319"/>
      <c r="AO1103" s="319"/>
      <c r="AP1103" s="319"/>
      <c r="AQ1103" s="319"/>
      <c r="AR1103" s="319"/>
      <c r="AS1103" s="327"/>
      <c r="AT1103" s="461" t="s">
        <v>182</v>
      </c>
      <c r="AU1103" s="324" t="s">
        <v>845</v>
      </c>
      <c r="AV1103" s="330">
        <f>SQRT(($R1103-Infrastructure!J$3)^2+($S1103-Infrastructure!K$3)^2)</f>
        <v>31.16616755</v>
      </c>
      <c r="AW1103" s="331">
        <f>SQRT(($R1103-Infrastructure!J$4)^2+($S1103-Infrastructure!K$4)^2)</f>
        <v>23.08419373</v>
      </c>
      <c r="AX1103" s="331">
        <f>SQRT(($R1103-Infrastructure!J$5)^2+($S1103-Infrastructure!K$5)^2)</f>
        <v>18.26170857</v>
      </c>
      <c r="AY1103" s="331">
        <f>SQRT(($R1103-Infrastructure!J$6)^2+($S1103-Infrastructure!K$6)^2)</f>
        <v>8.469356528</v>
      </c>
      <c r="AZ1103" s="331">
        <f>SQRT(($R1103-Infrastructure!J$7)^2+($S1103-Infrastructure!K$7)^2)</f>
        <v>4.201190308</v>
      </c>
      <c r="BA1103" s="331">
        <f>SQRT(($R1103-Infrastructure!J$8)^2+($S1103-Infrastructure!K$8)^2)</f>
        <v>12.63843345</v>
      </c>
      <c r="BB1103" s="331">
        <f>SQRT(($R1103-Infrastructure!J$9)^2+($S1103-Infrastructure!K$9)^2)</f>
        <v>22.15084648</v>
      </c>
      <c r="BC1103" s="331">
        <f>SQRT(($R1103-Infrastructure!J$10)^2+($S1103-Infrastructure!K$10)^2)</f>
        <v>24.86704647</v>
      </c>
      <c r="BD1103" s="331">
        <f>SQRT(($R1103-Infrastructure!J$11)^2+($S1103-Infrastructure!K$11)^2)</f>
        <v>33.80014793</v>
      </c>
      <c r="BE1103" s="333">
        <f>SQRT(($R1103-Infrastructure!J$12)^2+($S1103-Infrastructure!K$12)^2)</f>
        <v>52.02470567</v>
      </c>
      <c r="BF1103" s="330">
        <f t="shared" si="116"/>
        <v>4.201190308</v>
      </c>
      <c r="BG1103" s="333">
        <f t="shared" si="117"/>
        <v>52.02470567</v>
      </c>
      <c r="BH1103" s="943">
        <v>36526.0</v>
      </c>
      <c r="BI1103" s="462" t="s">
        <v>846</v>
      </c>
      <c r="BJ1103" s="319" t="s">
        <v>846</v>
      </c>
      <c r="BK1103" s="319" t="s">
        <v>846</v>
      </c>
      <c r="BL1103" s="319" t="s">
        <v>846</v>
      </c>
      <c r="BM1103" s="955"/>
      <c r="BN1103" s="319" t="s">
        <v>846</v>
      </c>
      <c r="BO1103" s="319" t="s">
        <v>846</v>
      </c>
      <c r="BP1103" s="953" t="s">
        <v>846</v>
      </c>
      <c r="BQ1103" s="319" t="s">
        <v>846</v>
      </c>
      <c r="BR1103" s="324" t="s">
        <v>846</v>
      </c>
      <c r="BS1103" s="330">
        <f t="shared" si="118"/>
        <v>8.469356528</v>
      </c>
      <c r="BT1103" s="331">
        <f t="shared" si="119"/>
        <v>52.02470567</v>
      </c>
      <c r="BU1103" s="920">
        <v>0.6174421296296296</v>
      </c>
      <c r="BV1103" s="903">
        <f t="shared" si="120"/>
        <v>0.00002314814815</v>
      </c>
      <c r="BW1103" s="907">
        <v>19.6</v>
      </c>
      <c r="BX1103" s="908">
        <v>17.4</v>
      </c>
      <c r="BY1103" s="331">
        <f t="shared" si="121"/>
        <v>13.90431588</v>
      </c>
      <c r="BZ1103" s="340"/>
      <c r="CA1103" s="316"/>
      <c r="CB1103" s="318"/>
      <c r="CC1103" s="318"/>
      <c r="CD1103" s="318"/>
      <c r="CE1103" s="318"/>
      <c r="CF1103" s="318"/>
      <c r="CG1103" s="318"/>
      <c r="CH1103" s="318"/>
      <c r="CI1103" s="318"/>
      <c r="CJ1103" s="463"/>
      <c r="CK1103" s="342"/>
      <c r="CL1103" s="333"/>
      <c r="CM1103" s="829"/>
      <c r="CN1103" s="333"/>
      <c r="CO1103" s="333"/>
      <c r="CP1103" s="333"/>
    </row>
    <row r="1104">
      <c r="B1104" s="462" t="s">
        <v>1772</v>
      </c>
      <c r="C1104" s="914">
        <v>44525.0</v>
      </c>
      <c r="D1104" s="318"/>
      <c r="E1104" s="319">
        <v>6.0</v>
      </c>
      <c r="F1104" s="324" t="s">
        <v>1778</v>
      </c>
      <c r="G1104" s="321">
        <v>0.6236111111111111</v>
      </c>
      <c r="H1104" s="323">
        <v>0.6240740740740741</v>
      </c>
      <c r="I1104" s="323"/>
      <c r="J1104" s="323"/>
      <c r="K1104" s="323">
        <v>0.6263888888888889</v>
      </c>
      <c r="L1104" s="323">
        <v>0.0023148148148148147</v>
      </c>
      <c r="M1104" s="319" t="s">
        <v>166</v>
      </c>
      <c r="N1104" s="324" t="s">
        <v>187</v>
      </c>
      <c r="O1104" s="419" t="s">
        <v>204</v>
      </c>
      <c r="P1104" s="319" t="s">
        <v>262</v>
      </c>
      <c r="Q1104" s="318"/>
      <c r="R1104" s="326">
        <v>17.9</v>
      </c>
      <c r="S1104" s="319">
        <v>3.6</v>
      </c>
      <c r="T1104" s="324">
        <v>2.57</v>
      </c>
      <c r="U1104" s="319">
        <v>7.0</v>
      </c>
      <c r="V1104" s="319"/>
      <c r="W1104" s="319"/>
      <c r="X1104" s="319"/>
      <c r="Y1104" s="319"/>
      <c r="Z1104" s="319" t="s">
        <v>365</v>
      </c>
      <c r="AA1104" s="319"/>
      <c r="AB1104" s="319" t="s">
        <v>392</v>
      </c>
      <c r="AC1104" s="327">
        <v>10.0</v>
      </c>
      <c r="AD1104" s="319"/>
      <c r="AE1104" s="319"/>
      <c r="AF1104" s="319"/>
      <c r="AG1104" s="319"/>
      <c r="AH1104" s="319"/>
      <c r="AI1104" s="319"/>
      <c r="AJ1104" s="327"/>
      <c r="AK1104" s="328"/>
      <c r="AL1104" s="319"/>
      <c r="AM1104" s="319"/>
      <c r="AN1104" s="319"/>
      <c r="AO1104" s="319"/>
      <c r="AP1104" s="319"/>
      <c r="AQ1104" s="319"/>
      <c r="AR1104" s="319"/>
      <c r="AS1104" s="327"/>
      <c r="AT1104" s="461" t="s">
        <v>182</v>
      </c>
      <c r="AU1104" s="324" t="s">
        <v>845</v>
      </c>
      <c r="AV1104" s="330">
        <f>SQRT(($R1104-Infrastructure!J$3)^2+($S1104-Infrastructure!K$3)^2)</f>
        <v>31.16616755</v>
      </c>
      <c r="AW1104" s="331">
        <f>SQRT(($R1104-Infrastructure!J$4)^2+($S1104-Infrastructure!K$4)^2)</f>
        <v>23.08419373</v>
      </c>
      <c r="AX1104" s="331">
        <f>SQRT(($R1104-Infrastructure!J$5)^2+($S1104-Infrastructure!K$5)^2)</f>
        <v>18.26170857</v>
      </c>
      <c r="AY1104" s="331">
        <f>SQRT(($R1104-Infrastructure!J$6)^2+($S1104-Infrastructure!K$6)^2)</f>
        <v>8.469356528</v>
      </c>
      <c r="AZ1104" s="331">
        <f>SQRT(($R1104-Infrastructure!J$7)^2+($S1104-Infrastructure!K$7)^2)</f>
        <v>4.201190308</v>
      </c>
      <c r="BA1104" s="331">
        <f>SQRT(($R1104-Infrastructure!J$8)^2+($S1104-Infrastructure!K$8)^2)</f>
        <v>12.63843345</v>
      </c>
      <c r="BB1104" s="331">
        <f>SQRT(($R1104-Infrastructure!J$9)^2+($S1104-Infrastructure!K$9)^2)</f>
        <v>22.15084648</v>
      </c>
      <c r="BC1104" s="331">
        <f>SQRT(($R1104-Infrastructure!J$10)^2+($S1104-Infrastructure!K$10)^2)</f>
        <v>24.86704647</v>
      </c>
      <c r="BD1104" s="331">
        <f>SQRT(($R1104-Infrastructure!J$11)^2+($S1104-Infrastructure!K$11)^2)</f>
        <v>33.80014793</v>
      </c>
      <c r="BE1104" s="333">
        <f>SQRT(($R1104-Infrastructure!J$12)^2+($S1104-Infrastructure!K$12)^2)</f>
        <v>52.02470567</v>
      </c>
      <c r="BF1104" s="330">
        <f t="shared" si="116"/>
        <v>4.201190308</v>
      </c>
      <c r="BG1104" s="333">
        <f t="shared" si="117"/>
        <v>52.02470567</v>
      </c>
      <c r="BH1104" s="943">
        <v>36526.0</v>
      </c>
      <c r="BI1104" s="462" t="s">
        <v>846</v>
      </c>
      <c r="BJ1104" s="319" t="s">
        <v>846</v>
      </c>
      <c r="BK1104" s="319" t="s">
        <v>846</v>
      </c>
      <c r="BL1104" s="319" t="s">
        <v>846</v>
      </c>
      <c r="BM1104" s="955"/>
      <c r="BN1104" s="319" t="s">
        <v>846</v>
      </c>
      <c r="BO1104" s="319" t="s">
        <v>846</v>
      </c>
      <c r="BP1104" s="953" t="s">
        <v>846</v>
      </c>
      <c r="BQ1104" s="319" t="s">
        <v>846</v>
      </c>
      <c r="BR1104" s="324" t="s">
        <v>846</v>
      </c>
      <c r="BS1104" s="330">
        <f t="shared" si="118"/>
        <v>8.469356528</v>
      </c>
      <c r="BT1104" s="331">
        <f t="shared" si="119"/>
        <v>52.02470567</v>
      </c>
      <c r="BU1104" s="920">
        <v>0.6236111111111111</v>
      </c>
      <c r="BV1104" s="903">
        <f t="shared" si="120"/>
        <v>0</v>
      </c>
      <c r="BW1104" s="907">
        <v>19.7</v>
      </c>
      <c r="BX1104" s="908">
        <v>17.5</v>
      </c>
      <c r="BY1104" s="331">
        <f t="shared" si="121"/>
        <v>14.01606221</v>
      </c>
      <c r="BZ1104" s="340"/>
      <c r="CA1104" s="316"/>
      <c r="CB1104" s="318"/>
      <c r="CC1104" s="318"/>
      <c r="CD1104" s="318"/>
      <c r="CE1104" s="318"/>
      <c r="CF1104" s="318"/>
      <c r="CG1104" s="318"/>
      <c r="CH1104" s="318"/>
      <c r="CI1104" s="318"/>
      <c r="CJ1104" s="463"/>
      <c r="CK1104" s="342"/>
      <c r="CL1104" s="333"/>
      <c r="CM1104" s="829"/>
      <c r="CN1104" s="333"/>
      <c r="CO1104" s="333"/>
      <c r="CP1104" s="333"/>
    </row>
    <row r="1105">
      <c r="B1105" s="462" t="s">
        <v>1772</v>
      </c>
      <c r="C1105" s="914">
        <v>44525.0</v>
      </c>
      <c r="D1105" s="318"/>
      <c r="E1105" s="319">
        <v>7.0</v>
      </c>
      <c r="F1105" s="324" t="s">
        <v>1779</v>
      </c>
      <c r="G1105" s="321">
        <v>0.6316550925925926</v>
      </c>
      <c r="H1105" s="323">
        <v>0.6319444444444444</v>
      </c>
      <c r="I1105" s="323"/>
      <c r="J1105" s="323"/>
      <c r="K1105" s="323">
        <v>0.6357638888888889</v>
      </c>
      <c r="L1105" s="323">
        <v>0.0038194444444444443</v>
      </c>
      <c r="M1105" s="319" t="s">
        <v>166</v>
      </c>
      <c r="N1105" s="324" t="s">
        <v>188</v>
      </c>
      <c r="O1105" s="419" t="s">
        <v>204</v>
      </c>
      <c r="P1105" s="319" t="s">
        <v>262</v>
      </c>
      <c r="Q1105" s="318"/>
      <c r="R1105" s="326">
        <v>17.9</v>
      </c>
      <c r="S1105" s="319">
        <v>3.6</v>
      </c>
      <c r="T1105" s="324">
        <v>2.57</v>
      </c>
      <c r="U1105" s="319">
        <v>7.0</v>
      </c>
      <c r="V1105" s="319"/>
      <c r="W1105" s="319"/>
      <c r="X1105" s="319"/>
      <c r="Y1105" s="319"/>
      <c r="Z1105" s="319" t="s">
        <v>365</v>
      </c>
      <c r="AA1105" s="319"/>
      <c r="AB1105" s="319" t="s">
        <v>392</v>
      </c>
      <c r="AC1105" s="327">
        <v>10.0</v>
      </c>
      <c r="AD1105" s="319"/>
      <c r="AE1105" s="319"/>
      <c r="AF1105" s="319"/>
      <c r="AG1105" s="319"/>
      <c r="AH1105" s="319"/>
      <c r="AI1105" s="319"/>
      <c r="AJ1105" s="327"/>
      <c r="AK1105" s="328"/>
      <c r="AL1105" s="319"/>
      <c r="AM1105" s="319"/>
      <c r="AN1105" s="319"/>
      <c r="AO1105" s="319"/>
      <c r="AP1105" s="319"/>
      <c r="AQ1105" s="319"/>
      <c r="AR1105" s="319"/>
      <c r="AS1105" s="327"/>
      <c r="AT1105" s="461" t="s">
        <v>182</v>
      </c>
      <c r="AU1105" s="324" t="s">
        <v>845</v>
      </c>
      <c r="AV1105" s="330">
        <f>SQRT(($R1105-Infrastructure!J$3)^2+($S1105-Infrastructure!K$3)^2)</f>
        <v>31.16616755</v>
      </c>
      <c r="AW1105" s="331">
        <f>SQRT(($R1105-Infrastructure!J$4)^2+($S1105-Infrastructure!K$4)^2)</f>
        <v>23.08419373</v>
      </c>
      <c r="AX1105" s="331">
        <f>SQRT(($R1105-Infrastructure!J$5)^2+($S1105-Infrastructure!K$5)^2)</f>
        <v>18.26170857</v>
      </c>
      <c r="AY1105" s="331">
        <f>SQRT(($R1105-Infrastructure!J$6)^2+($S1105-Infrastructure!K$6)^2)</f>
        <v>8.469356528</v>
      </c>
      <c r="AZ1105" s="331">
        <f>SQRT(($R1105-Infrastructure!J$7)^2+($S1105-Infrastructure!K$7)^2)</f>
        <v>4.201190308</v>
      </c>
      <c r="BA1105" s="331">
        <f>SQRT(($R1105-Infrastructure!J$8)^2+($S1105-Infrastructure!K$8)^2)</f>
        <v>12.63843345</v>
      </c>
      <c r="BB1105" s="331">
        <f>SQRT(($R1105-Infrastructure!J$9)^2+($S1105-Infrastructure!K$9)^2)</f>
        <v>22.15084648</v>
      </c>
      <c r="BC1105" s="331">
        <f>SQRT(($R1105-Infrastructure!J$10)^2+($S1105-Infrastructure!K$10)^2)</f>
        <v>24.86704647</v>
      </c>
      <c r="BD1105" s="331">
        <f>SQRT(($R1105-Infrastructure!J$11)^2+($S1105-Infrastructure!K$11)^2)</f>
        <v>33.80014793</v>
      </c>
      <c r="BE1105" s="333">
        <f>SQRT(($R1105-Infrastructure!J$12)^2+($S1105-Infrastructure!K$12)^2)</f>
        <v>52.02470567</v>
      </c>
      <c r="BF1105" s="330">
        <f t="shared" si="116"/>
        <v>4.201190308</v>
      </c>
      <c r="BG1105" s="333">
        <f t="shared" si="117"/>
        <v>52.02470567</v>
      </c>
      <c r="BH1105" s="943">
        <v>36526.0</v>
      </c>
      <c r="BI1105" s="462" t="s">
        <v>846</v>
      </c>
      <c r="BJ1105" s="319" t="s">
        <v>846</v>
      </c>
      <c r="BK1105" s="319" t="s">
        <v>846</v>
      </c>
      <c r="BL1105" s="319" t="s">
        <v>846</v>
      </c>
      <c r="BM1105" s="955"/>
      <c r="BN1105" s="319" t="s">
        <v>846</v>
      </c>
      <c r="BO1105" s="319" t="s">
        <v>846</v>
      </c>
      <c r="BP1105" s="953" t="s">
        <v>846</v>
      </c>
      <c r="BQ1105" s="319" t="s">
        <v>846</v>
      </c>
      <c r="BR1105" s="324" t="s">
        <v>846</v>
      </c>
      <c r="BS1105" s="330">
        <f t="shared" si="118"/>
        <v>8.469356528</v>
      </c>
      <c r="BT1105" s="331">
        <f t="shared" si="119"/>
        <v>52.02470567</v>
      </c>
      <c r="BU1105" s="920">
        <v>0.6317013888888889</v>
      </c>
      <c r="BV1105" s="903">
        <f t="shared" si="120"/>
        <v>0.0000462962963</v>
      </c>
      <c r="BW1105" s="907">
        <v>19.5</v>
      </c>
      <c r="BX1105" s="908">
        <v>17.4</v>
      </c>
      <c r="BY1105" s="331">
        <f t="shared" si="121"/>
        <v>13.89244399</v>
      </c>
      <c r="BZ1105" s="340"/>
      <c r="CA1105" s="316"/>
      <c r="CB1105" s="318"/>
      <c r="CC1105" s="318"/>
      <c r="CD1105" s="318"/>
      <c r="CE1105" s="318"/>
      <c r="CF1105" s="318"/>
      <c r="CG1105" s="318"/>
      <c r="CH1105" s="318"/>
      <c r="CI1105" s="318"/>
      <c r="CJ1105" s="463"/>
      <c r="CK1105" s="342"/>
      <c r="CL1105" s="333"/>
      <c r="CM1105" s="829"/>
      <c r="CN1105" s="333"/>
      <c r="CO1105" s="333"/>
      <c r="CP1105" s="333"/>
    </row>
    <row r="1106">
      <c r="B1106" s="462" t="s">
        <v>1772</v>
      </c>
      <c r="C1106" s="914">
        <v>44525.0</v>
      </c>
      <c r="D1106" s="318"/>
      <c r="E1106" s="319">
        <v>8.0</v>
      </c>
      <c r="F1106" s="324" t="s">
        <v>1780</v>
      </c>
      <c r="G1106" s="321">
        <v>0.6392361111111111</v>
      </c>
      <c r="H1106" s="323"/>
      <c r="I1106" s="323"/>
      <c r="J1106" s="323"/>
      <c r="K1106" s="323">
        <v>0.6397569444444444</v>
      </c>
      <c r="L1106" s="323">
        <v>5.208333333333333E-4</v>
      </c>
      <c r="M1106" s="319" t="s">
        <v>166</v>
      </c>
      <c r="N1106" s="324" t="s">
        <v>188</v>
      </c>
      <c r="O1106" s="419" t="s">
        <v>196</v>
      </c>
      <c r="P1106" s="319" t="s">
        <v>224</v>
      </c>
      <c r="Q1106" s="318"/>
      <c r="R1106" s="326">
        <v>21.7</v>
      </c>
      <c r="S1106" s="319">
        <v>39.5</v>
      </c>
      <c r="T1106" s="324">
        <v>1.26</v>
      </c>
      <c r="U1106" s="319">
        <v>15.0</v>
      </c>
      <c r="V1106" s="319"/>
      <c r="W1106" s="319"/>
      <c r="X1106" s="319"/>
      <c r="Y1106" s="319"/>
      <c r="Z1106" s="319" t="s">
        <v>387</v>
      </c>
      <c r="AA1106" s="319"/>
      <c r="AB1106" s="319" t="s">
        <v>416</v>
      </c>
      <c r="AC1106" s="327">
        <v>52.5</v>
      </c>
      <c r="AD1106" s="319"/>
      <c r="AE1106" s="319"/>
      <c r="AF1106" s="319"/>
      <c r="AG1106" s="319"/>
      <c r="AH1106" s="319"/>
      <c r="AI1106" s="319"/>
      <c r="AJ1106" s="327"/>
      <c r="AK1106" s="328"/>
      <c r="AL1106" s="319"/>
      <c r="AM1106" s="319"/>
      <c r="AN1106" s="319"/>
      <c r="AO1106" s="319"/>
      <c r="AP1106" s="319"/>
      <c r="AQ1106" s="319"/>
      <c r="AR1106" s="319"/>
      <c r="AS1106" s="327"/>
      <c r="AT1106" s="461" t="s">
        <v>183</v>
      </c>
      <c r="AU1106" s="324" t="s">
        <v>845</v>
      </c>
      <c r="AV1106" s="330">
        <f>SQRT(($R1106-Infrastructure!J$3)^2+($S1106-Infrastructure!K$3)^2)</f>
        <v>24.42048321</v>
      </c>
      <c r="AW1106" s="331">
        <f>SQRT(($R1106-Infrastructure!J$4)^2+($S1106-Infrastructure!K$4)^2)</f>
        <v>30.90129447</v>
      </c>
      <c r="AX1106" s="331">
        <f>SQRT(($R1106-Infrastructure!J$5)^2+($S1106-Infrastructure!K$5)^2)</f>
        <v>40.83331973</v>
      </c>
      <c r="AY1106" s="331">
        <f>SQRT(($R1106-Infrastructure!J$6)^2+($S1106-Infrastructure!K$6)^2)</f>
        <v>40.88031311</v>
      </c>
      <c r="AZ1106" s="331">
        <f>SQRT(($R1106-Infrastructure!J$7)^2+($S1106-Infrastructure!K$7)^2)</f>
        <v>39.21836305</v>
      </c>
      <c r="BA1106" s="331">
        <f>SQRT(($R1106-Infrastructure!J$8)^2+($S1106-Infrastructure!K$8)^2)</f>
        <v>40.08989898</v>
      </c>
      <c r="BB1106" s="331">
        <f>SQRT(($R1106-Infrastructure!J$9)^2+($S1106-Infrastructure!K$9)^2)</f>
        <v>38.96472764</v>
      </c>
      <c r="BC1106" s="331">
        <f>SQRT(($R1106-Infrastructure!J$10)^2+($S1106-Infrastructure!K$10)^2)</f>
        <v>30.58005886</v>
      </c>
      <c r="BD1106" s="331">
        <f>SQRT(($R1106-Infrastructure!J$11)^2+($S1106-Infrastructure!K$11)^2)</f>
        <v>21.27204739</v>
      </c>
      <c r="BE1106" s="333">
        <f>SQRT(($R1106-Infrastructure!J$12)^2+($S1106-Infrastructure!K$12)^2)</f>
        <v>16.00124995</v>
      </c>
      <c r="BF1106" s="330">
        <f t="shared" si="116"/>
        <v>16.00124995</v>
      </c>
      <c r="BG1106" s="333">
        <f t="shared" si="117"/>
        <v>40.88031311</v>
      </c>
      <c r="BH1106" s="943">
        <v>36526.0</v>
      </c>
      <c r="BI1106" s="462"/>
      <c r="BJ1106" s="319"/>
      <c r="BK1106" s="319"/>
      <c r="BL1106" s="319"/>
      <c r="BM1106" s="955"/>
      <c r="BN1106" s="319"/>
      <c r="BO1106" s="319"/>
      <c r="BP1106" s="953"/>
      <c r="BQ1106" s="319"/>
      <c r="BR1106" s="324"/>
      <c r="BS1106" s="330">
        <f t="shared" si="118"/>
        <v>0</v>
      </c>
      <c r="BT1106" s="331">
        <f t="shared" si="119"/>
        <v>0</v>
      </c>
      <c r="BU1106" s="920"/>
      <c r="BV1106" s="903"/>
      <c r="BW1106" s="907"/>
      <c r="BX1106" s="908"/>
      <c r="BY1106" s="331"/>
      <c r="BZ1106" s="340"/>
      <c r="CA1106" s="316"/>
      <c r="CB1106" s="318"/>
      <c r="CC1106" s="318"/>
      <c r="CD1106" s="318"/>
      <c r="CE1106" s="318"/>
      <c r="CF1106" s="318"/>
      <c r="CG1106" s="318"/>
      <c r="CH1106" s="318"/>
      <c r="CI1106" s="318"/>
      <c r="CJ1106" s="463"/>
      <c r="CK1106" s="342"/>
      <c r="CL1106" s="333"/>
      <c r="CM1106" s="829"/>
      <c r="CN1106" s="333"/>
      <c r="CO1106" s="333"/>
      <c r="CP1106" s="333"/>
    </row>
    <row r="1107">
      <c r="B1107" s="462" t="s">
        <v>1772</v>
      </c>
      <c r="C1107" s="914">
        <v>44525.0</v>
      </c>
      <c r="D1107" s="318"/>
      <c r="E1107" s="319">
        <v>9.0</v>
      </c>
      <c r="F1107" s="324" t="s">
        <v>1781</v>
      </c>
      <c r="G1107" s="321">
        <v>0.6402199074074074</v>
      </c>
      <c r="H1107" s="323">
        <v>0.641087962962963</v>
      </c>
      <c r="I1107" s="323"/>
      <c r="J1107" s="323"/>
      <c r="K1107" s="323">
        <v>0.6418402777777777</v>
      </c>
      <c r="L1107" s="323">
        <v>7.523148148148148E-4</v>
      </c>
      <c r="M1107" s="319" t="s">
        <v>166</v>
      </c>
      <c r="N1107" s="324" t="s">
        <v>188</v>
      </c>
      <c r="O1107" s="419" t="s">
        <v>196</v>
      </c>
      <c r="P1107" s="319" t="s">
        <v>224</v>
      </c>
      <c r="Q1107" s="318"/>
      <c r="R1107" s="326">
        <v>21.7</v>
      </c>
      <c r="S1107" s="319">
        <v>39.5</v>
      </c>
      <c r="T1107" s="324">
        <v>1.26</v>
      </c>
      <c r="U1107" s="319">
        <v>15.0</v>
      </c>
      <c r="V1107" s="319"/>
      <c r="W1107" s="319"/>
      <c r="X1107" s="319"/>
      <c r="Y1107" s="319"/>
      <c r="Z1107" s="319" t="s">
        <v>387</v>
      </c>
      <c r="AA1107" s="319"/>
      <c r="AB1107" s="319" t="s">
        <v>416</v>
      </c>
      <c r="AC1107" s="327">
        <v>52.5</v>
      </c>
      <c r="AD1107" s="319"/>
      <c r="AE1107" s="319"/>
      <c r="AF1107" s="319"/>
      <c r="AG1107" s="319"/>
      <c r="AH1107" s="319"/>
      <c r="AI1107" s="319"/>
      <c r="AJ1107" s="327"/>
      <c r="AK1107" s="328"/>
      <c r="AL1107" s="319"/>
      <c r="AM1107" s="319"/>
      <c r="AN1107" s="319"/>
      <c r="AO1107" s="319"/>
      <c r="AP1107" s="319"/>
      <c r="AQ1107" s="319"/>
      <c r="AR1107" s="319"/>
      <c r="AS1107" s="327"/>
      <c r="AT1107" s="461" t="s">
        <v>183</v>
      </c>
      <c r="AU1107" s="324" t="s">
        <v>845</v>
      </c>
      <c r="AV1107" s="330">
        <f>SQRT(($R1107-Infrastructure!J$3)^2+($S1107-Infrastructure!K$3)^2)</f>
        <v>24.42048321</v>
      </c>
      <c r="AW1107" s="331">
        <f>SQRT(($R1107-Infrastructure!J$4)^2+($S1107-Infrastructure!K$4)^2)</f>
        <v>30.90129447</v>
      </c>
      <c r="AX1107" s="331">
        <f>SQRT(($R1107-Infrastructure!J$5)^2+($S1107-Infrastructure!K$5)^2)</f>
        <v>40.83331973</v>
      </c>
      <c r="AY1107" s="331">
        <f>SQRT(($R1107-Infrastructure!J$6)^2+($S1107-Infrastructure!K$6)^2)</f>
        <v>40.88031311</v>
      </c>
      <c r="AZ1107" s="331">
        <f>SQRT(($R1107-Infrastructure!J$7)^2+($S1107-Infrastructure!K$7)^2)</f>
        <v>39.21836305</v>
      </c>
      <c r="BA1107" s="331">
        <f>SQRT(($R1107-Infrastructure!J$8)^2+($S1107-Infrastructure!K$8)^2)</f>
        <v>40.08989898</v>
      </c>
      <c r="BB1107" s="331">
        <f>SQRT(($R1107-Infrastructure!J$9)^2+($S1107-Infrastructure!K$9)^2)</f>
        <v>38.96472764</v>
      </c>
      <c r="BC1107" s="331">
        <f>SQRT(($R1107-Infrastructure!J$10)^2+($S1107-Infrastructure!K$10)^2)</f>
        <v>30.58005886</v>
      </c>
      <c r="BD1107" s="331">
        <f>SQRT(($R1107-Infrastructure!J$11)^2+($S1107-Infrastructure!K$11)^2)</f>
        <v>21.27204739</v>
      </c>
      <c r="BE1107" s="333">
        <f>SQRT(($R1107-Infrastructure!J$12)^2+($S1107-Infrastructure!K$12)^2)</f>
        <v>16.00124995</v>
      </c>
      <c r="BF1107" s="330">
        <f t="shared" si="116"/>
        <v>16.00124995</v>
      </c>
      <c r="BG1107" s="333">
        <f t="shared" si="117"/>
        <v>40.88031311</v>
      </c>
      <c r="BH1107" s="943">
        <v>36526.0</v>
      </c>
      <c r="BI1107" s="462" t="s">
        <v>846</v>
      </c>
      <c r="BJ1107" s="319" t="s">
        <v>846</v>
      </c>
      <c r="BK1107" s="319" t="s">
        <v>846</v>
      </c>
      <c r="BL1107" s="319" t="s">
        <v>845</v>
      </c>
      <c r="BM1107" s="955"/>
      <c r="BN1107" s="319" t="s">
        <v>845</v>
      </c>
      <c r="BO1107" s="319" t="s">
        <v>845</v>
      </c>
      <c r="BP1107" s="953" t="s">
        <v>845</v>
      </c>
      <c r="BQ1107" s="319" t="s">
        <v>846</v>
      </c>
      <c r="BR1107" s="324" t="s">
        <v>846</v>
      </c>
      <c r="BS1107" s="330">
        <f t="shared" si="118"/>
        <v>16.00124995</v>
      </c>
      <c r="BT1107" s="331">
        <f t="shared" si="119"/>
        <v>40.83331973</v>
      </c>
      <c r="BU1107" s="920">
        <v>0.6402430555555556</v>
      </c>
      <c r="BV1107" s="903">
        <f t="shared" ref="BV1107:BV1114" si="122">BU1107-G1107</f>
        <v>0.00002314814815</v>
      </c>
      <c r="BW1107" s="907">
        <v>17.4</v>
      </c>
      <c r="BX1107" s="908">
        <v>22.4</v>
      </c>
      <c r="BY1107" s="331">
        <f t="shared" ref="BY1107:BY1108" si="123">IF(BW1107&gt;0, SQRT((R1107-BW1107)^2+(S1107-BX1107)^2))</f>
        <v>17.63235662</v>
      </c>
      <c r="BZ1107" s="340"/>
      <c r="CA1107" s="316"/>
      <c r="CB1107" s="318"/>
      <c r="CC1107" s="318"/>
      <c r="CD1107" s="318"/>
      <c r="CE1107" s="318"/>
      <c r="CF1107" s="318"/>
      <c r="CG1107" s="318"/>
      <c r="CH1107" s="318"/>
      <c r="CI1107" s="318"/>
      <c r="CJ1107" s="463"/>
      <c r="CK1107" s="342"/>
      <c r="CL1107" s="333"/>
      <c r="CM1107" s="829"/>
      <c r="CN1107" s="333"/>
      <c r="CO1107" s="333"/>
      <c r="CP1107" s="333"/>
    </row>
    <row r="1108">
      <c r="B1108" s="462" t="s">
        <v>1772</v>
      </c>
      <c r="C1108" s="914">
        <v>44525.0</v>
      </c>
      <c r="D1108" s="318"/>
      <c r="E1108" s="319">
        <v>10.0</v>
      </c>
      <c r="F1108" s="324" t="s">
        <v>1782</v>
      </c>
      <c r="G1108" s="321">
        <v>0.6472222222222223</v>
      </c>
      <c r="H1108" s="323">
        <v>0.6475694444444444</v>
      </c>
      <c r="I1108" s="323"/>
      <c r="J1108" s="323"/>
      <c r="K1108" s="323">
        <v>0.6513888888888889</v>
      </c>
      <c r="L1108" s="323">
        <v>0.0038194444444444443</v>
      </c>
      <c r="M1108" s="319" t="s">
        <v>166</v>
      </c>
      <c r="N1108" s="324" t="s">
        <v>188</v>
      </c>
      <c r="O1108" s="419" t="s">
        <v>196</v>
      </c>
      <c r="P1108" s="319" t="s">
        <v>224</v>
      </c>
      <c r="Q1108" s="318"/>
      <c r="R1108" s="326">
        <v>21.7</v>
      </c>
      <c r="S1108" s="319">
        <v>39.5</v>
      </c>
      <c r="T1108" s="324">
        <v>1.26</v>
      </c>
      <c r="U1108" s="319">
        <v>49.0</v>
      </c>
      <c r="V1108" s="319"/>
      <c r="W1108" s="319"/>
      <c r="X1108" s="319"/>
      <c r="Y1108" s="319"/>
      <c r="Z1108" s="319" t="s">
        <v>387</v>
      </c>
      <c r="AA1108" s="319"/>
      <c r="AB1108" s="319" t="s">
        <v>416</v>
      </c>
      <c r="AC1108" s="327">
        <v>52.5</v>
      </c>
      <c r="AD1108" s="319"/>
      <c r="AE1108" s="319"/>
      <c r="AF1108" s="319"/>
      <c r="AG1108" s="319"/>
      <c r="AH1108" s="319"/>
      <c r="AI1108" s="319"/>
      <c r="AJ1108" s="327"/>
      <c r="AK1108" s="328"/>
      <c r="AL1108" s="319"/>
      <c r="AM1108" s="319"/>
      <c r="AN1108" s="319"/>
      <c r="AO1108" s="319"/>
      <c r="AP1108" s="319"/>
      <c r="AQ1108" s="319"/>
      <c r="AR1108" s="319"/>
      <c r="AS1108" s="327"/>
      <c r="AT1108" s="461" t="s">
        <v>183</v>
      </c>
      <c r="AU1108" s="324" t="s">
        <v>845</v>
      </c>
      <c r="AV1108" s="330">
        <f>SQRT(($R1108-Infrastructure!J$3)^2+($S1108-Infrastructure!K$3)^2)</f>
        <v>24.42048321</v>
      </c>
      <c r="AW1108" s="331">
        <f>SQRT(($R1108-Infrastructure!J$4)^2+($S1108-Infrastructure!K$4)^2)</f>
        <v>30.90129447</v>
      </c>
      <c r="AX1108" s="331">
        <f>SQRT(($R1108-Infrastructure!J$5)^2+($S1108-Infrastructure!K$5)^2)</f>
        <v>40.83331973</v>
      </c>
      <c r="AY1108" s="331">
        <f>SQRT(($R1108-Infrastructure!J$6)^2+($S1108-Infrastructure!K$6)^2)</f>
        <v>40.88031311</v>
      </c>
      <c r="AZ1108" s="331">
        <f>SQRT(($R1108-Infrastructure!J$7)^2+($S1108-Infrastructure!K$7)^2)</f>
        <v>39.21836305</v>
      </c>
      <c r="BA1108" s="331">
        <f>SQRT(($R1108-Infrastructure!J$8)^2+($S1108-Infrastructure!K$8)^2)</f>
        <v>40.08989898</v>
      </c>
      <c r="BB1108" s="331">
        <f>SQRT(($R1108-Infrastructure!J$9)^2+($S1108-Infrastructure!K$9)^2)</f>
        <v>38.96472764</v>
      </c>
      <c r="BC1108" s="331">
        <f>SQRT(($R1108-Infrastructure!J$10)^2+($S1108-Infrastructure!K$10)^2)</f>
        <v>30.58005886</v>
      </c>
      <c r="BD1108" s="331">
        <f>SQRT(($R1108-Infrastructure!J$11)^2+($S1108-Infrastructure!K$11)^2)</f>
        <v>21.27204739</v>
      </c>
      <c r="BE1108" s="333">
        <f>SQRT(($R1108-Infrastructure!J$12)^2+($S1108-Infrastructure!K$12)^2)</f>
        <v>16.00124995</v>
      </c>
      <c r="BF1108" s="330">
        <f t="shared" si="116"/>
        <v>16.00124995</v>
      </c>
      <c r="BG1108" s="333">
        <f t="shared" si="117"/>
        <v>40.88031311</v>
      </c>
      <c r="BH1108" s="943">
        <v>36526.0</v>
      </c>
      <c r="BI1108" s="462" t="s">
        <v>846</v>
      </c>
      <c r="BJ1108" s="319" t="s">
        <v>846</v>
      </c>
      <c r="BK1108" s="319" t="s">
        <v>846</v>
      </c>
      <c r="BL1108" s="319" t="s">
        <v>846</v>
      </c>
      <c r="BM1108" s="955"/>
      <c r="BN1108" s="319" t="s">
        <v>846</v>
      </c>
      <c r="BO1108" s="319" t="s">
        <v>845</v>
      </c>
      <c r="BP1108" s="953" t="s">
        <v>846</v>
      </c>
      <c r="BQ1108" s="319" t="s">
        <v>846</v>
      </c>
      <c r="BR1108" s="324" t="s">
        <v>846</v>
      </c>
      <c r="BS1108" s="330">
        <f t="shared" si="118"/>
        <v>16.00124995</v>
      </c>
      <c r="BT1108" s="331">
        <f t="shared" si="119"/>
        <v>40.88031311</v>
      </c>
      <c r="BU1108" s="920">
        <v>0.6472453703703703</v>
      </c>
      <c r="BV1108" s="903">
        <f t="shared" si="122"/>
        <v>0.00002314814815</v>
      </c>
      <c r="BW1108" s="907">
        <v>18.8</v>
      </c>
      <c r="BX1108" s="908">
        <v>18.6</v>
      </c>
      <c r="BY1108" s="331">
        <f t="shared" si="123"/>
        <v>21.10023697</v>
      </c>
      <c r="BZ1108" s="340"/>
      <c r="CA1108" s="316"/>
      <c r="CB1108" s="318"/>
      <c r="CC1108" s="318"/>
      <c r="CD1108" s="318"/>
      <c r="CE1108" s="318"/>
      <c r="CF1108" s="318"/>
      <c r="CG1108" s="318"/>
      <c r="CH1108" s="318"/>
      <c r="CI1108" s="318"/>
      <c r="CJ1108" s="463"/>
      <c r="CK1108" s="342"/>
      <c r="CL1108" s="333"/>
      <c r="CM1108" s="829"/>
      <c r="CN1108" s="333"/>
      <c r="CO1108" s="333"/>
      <c r="CP1108" s="333"/>
    </row>
    <row r="1109">
      <c r="B1109" s="635" t="s">
        <v>1772</v>
      </c>
      <c r="C1109" s="914">
        <v>44525.0</v>
      </c>
      <c r="D1109" s="640"/>
      <c r="E1109" s="663"/>
      <c r="F1109" s="637" t="s">
        <v>1783</v>
      </c>
      <c r="G1109" s="770">
        <v>0.6770833333333334</v>
      </c>
      <c r="H1109" s="771"/>
      <c r="I1109" s="771"/>
      <c r="J1109" s="771"/>
      <c r="K1109" s="771">
        <v>0.6786458333333333</v>
      </c>
      <c r="L1109" s="771">
        <v>0.0015625</v>
      </c>
      <c r="M1109" s="663" t="s">
        <v>358</v>
      </c>
      <c r="N1109" s="637" t="s">
        <v>188</v>
      </c>
      <c r="O1109" s="731"/>
      <c r="P1109" s="663" t="s">
        <v>294</v>
      </c>
      <c r="Q1109" s="640"/>
      <c r="R1109" s="837"/>
      <c r="S1109" s="838"/>
      <c r="T1109" s="941"/>
      <c r="U1109" s="838"/>
      <c r="V1109" s="838"/>
      <c r="W1109" s="838"/>
      <c r="X1109" s="838"/>
      <c r="Y1109" s="838"/>
      <c r="Z1109" s="663" t="s">
        <v>323</v>
      </c>
      <c r="AA1109" s="663"/>
      <c r="AB1109" s="663" t="s">
        <v>323</v>
      </c>
      <c r="AC1109" s="773" t="s">
        <v>323</v>
      </c>
      <c r="AD1109" s="663"/>
      <c r="AE1109" s="663"/>
      <c r="AF1109" s="663"/>
      <c r="AG1109" s="663"/>
      <c r="AH1109" s="663"/>
      <c r="AI1109" s="663"/>
      <c r="AJ1109" s="773"/>
      <c r="AK1109" s="839"/>
      <c r="AL1109" s="663"/>
      <c r="AM1109" s="663"/>
      <c r="AN1109" s="663"/>
      <c r="AO1109" s="663"/>
      <c r="AP1109" s="663"/>
      <c r="AQ1109" s="663"/>
      <c r="AR1109" s="663"/>
      <c r="AS1109" s="773"/>
      <c r="AT1109" s="636"/>
      <c r="AU1109" s="637" t="s">
        <v>845</v>
      </c>
      <c r="AV1109" s="662"/>
      <c r="AW1109" s="641"/>
      <c r="AX1109" s="641"/>
      <c r="AY1109" s="641"/>
      <c r="AZ1109" s="641"/>
      <c r="BA1109" s="641"/>
      <c r="BB1109" s="641"/>
      <c r="BC1109" s="641"/>
      <c r="BD1109" s="641"/>
      <c r="BE1109" s="642"/>
      <c r="BF1109" s="662"/>
      <c r="BG1109" s="642"/>
      <c r="BH1109" s="948">
        <v>36526.0</v>
      </c>
      <c r="BI1109" s="635" t="s">
        <v>846</v>
      </c>
      <c r="BJ1109" s="663" t="s">
        <v>846</v>
      </c>
      <c r="BK1109" s="663" t="s">
        <v>845</v>
      </c>
      <c r="BL1109" s="663" t="s">
        <v>845</v>
      </c>
      <c r="BM1109" s="957"/>
      <c r="BN1109" s="663" t="s">
        <v>845</v>
      </c>
      <c r="BO1109" s="663" t="s">
        <v>845</v>
      </c>
      <c r="BP1109" s="958" t="s">
        <v>846</v>
      </c>
      <c r="BQ1109" s="663" t="s">
        <v>846</v>
      </c>
      <c r="BR1109" s="637" t="s">
        <v>846</v>
      </c>
      <c r="BS1109" s="330"/>
      <c r="BT1109" s="331"/>
      <c r="BU1109" s="937">
        <v>0.6774074074074075</v>
      </c>
      <c r="BV1109" s="903">
        <f t="shared" si="122"/>
        <v>0.0003240740741</v>
      </c>
      <c r="BW1109" s="938"/>
      <c r="BX1109" s="939"/>
      <c r="BY1109" s="331"/>
      <c r="BZ1109" s="742"/>
      <c r="CA1109" s="639"/>
      <c r="CB1109" s="640"/>
      <c r="CC1109" s="640"/>
      <c r="CD1109" s="640"/>
      <c r="CE1109" s="640"/>
      <c r="CF1109" s="640"/>
      <c r="CG1109" s="640"/>
      <c r="CH1109" s="640"/>
      <c r="CI1109" s="640"/>
      <c r="CJ1109" s="785"/>
      <c r="CK1109" s="743"/>
      <c r="CL1109" s="642"/>
      <c r="CM1109" s="831"/>
      <c r="CN1109" s="333"/>
      <c r="CO1109" s="333"/>
      <c r="CP1109" s="333"/>
    </row>
    <row r="1110">
      <c r="A1110" s="389" t="s">
        <v>57</v>
      </c>
      <c r="B1110" s="573" t="s">
        <v>1772</v>
      </c>
      <c r="C1110" s="909">
        <v>44526.0</v>
      </c>
      <c r="D1110" s="392"/>
      <c r="E1110" s="393">
        <v>1.0</v>
      </c>
      <c r="F1110" s="394" t="s">
        <v>1784</v>
      </c>
      <c r="G1110" s="395">
        <v>0.40729166666666666</v>
      </c>
      <c r="H1110" s="456">
        <v>0.4078125</v>
      </c>
      <c r="I1110" s="456"/>
      <c r="J1110" s="456"/>
      <c r="K1110" s="456">
        <v>0.41041666666666665</v>
      </c>
      <c r="L1110" s="456">
        <v>0.0026041666666666665</v>
      </c>
      <c r="M1110" s="393" t="s">
        <v>166</v>
      </c>
      <c r="N1110" s="394" t="s">
        <v>188</v>
      </c>
      <c r="O1110" s="399" t="s">
        <v>196</v>
      </c>
      <c r="P1110" s="393" t="s">
        <v>224</v>
      </c>
      <c r="Q1110" s="392"/>
      <c r="R1110" s="400">
        <v>21.7</v>
      </c>
      <c r="S1110" s="393">
        <v>39.5</v>
      </c>
      <c r="T1110" s="394">
        <v>1.26</v>
      </c>
      <c r="U1110" s="393">
        <v>16.0</v>
      </c>
      <c r="V1110" s="393"/>
      <c r="W1110" s="393"/>
      <c r="X1110" s="393"/>
      <c r="Y1110" s="393"/>
      <c r="Z1110" s="393" t="s">
        <v>387</v>
      </c>
      <c r="AA1110" s="393"/>
      <c r="AB1110" s="393" t="s">
        <v>416</v>
      </c>
      <c r="AC1110" s="401">
        <v>52.5</v>
      </c>
      <c r="AD1110" s="319"/>
      <c r="AE1110" s="319"/>
      <c r="AF1110" s="319"/>
      <c r="AG1110" s="319"/>
      <c r="AH1110" s="319"/>
      <c r="AI1110" s="319"/>
      <c r="AJ1110" s="327"/>
      <c r="AK1110" s="328"/>
      <c r="AL1110" s="319"/>
      <c r="AM1110" s="319"/>
      <c r="AN1110" s="319"/>
      <c r="AO1110" s="319"/>
      <c r="AP1110" s="319"/>
      <c r="AQ1110" s="319"/>
      <c r="AR1110" s="319"/>
      <c r="AS1110" s="327"/>
      <c r="AT1110" s="461" t="s">
        <v>183</v>
      </c>
      <c r="AU1110" s="324" t="s">
        <v>845</v>
      </c>
      <c r="AV1110" s="330">
        <f>SQRT(($R1110-Infrastructure!J$3)^2+($S1110-Infrastructure!K$3)^2)</f>
        <v>24.42048321</v>
      </c>
      <c r="AW1110" s="331">
        <f>SQRT(($R1110-Infrastructure!J$4)^2+($S1110-Infrastructure!K$4)^2)</f>
        <v>30.90129447</v>
      </c>
      <c r="AX1110" s="331">
        <f>SQRT(($R1110-Infrastructure!J$5)^2+($S1110-Infrastructure!K$5)^2)</f>
        <v>40.83331973</v>
      </c>
      <c r="AY1110" s="331">
        <f>SQRT(($R1110-Infrastructure!J$6)^2+($S1110-Infrastructure!K$6)^2)</f>
        <v>40.88031311</v>
      </c>
      <c r="AZ1110" s="331">
        <f>SQRT(($R1110-Infrastructure!J$7)^2+($S1110-Infrastructure!K$7)^2)</f>
        <v>39.21836305</v>
      </c>
      <c r="BA1110" s="331">
        <f>SQRT(($R1110-Infrastructure!J$8)^2+($S1110-Infrastructure!K$8)^2)</f>
        <v>40.08989898</v>
      </c>
      <c r="BB1110" s="331">
        <f>SQRT(($R1110-Infrastructure!J$9)^2+($S1110-Infrastructure!K$9)^2)</f>
        <v>38.96472764</v>
      </c>
      <c r="BC1110" s="331">
        <f>SQRT(($R1110-Infrastructure!J$10)^2+($S1110-Infrastructure!K$10)^2)</f>
        <v>30.58005886</v>
      </c>
      <c r="BD1110" s="331">
        <f>SQRT(($R1110-Infrastructure!J$11)^2+($S1110-Infrastructure!K$11)^2)</f>
        <v>21.27204739</v>
      </c>
      <c r="BE1110" s="333">
        <f>SQRT(($R1110-Infrastructure!J$12)^2+($S1110-Infrastructure!K$12)^2)</f>
        <v>16.00124995</v>
      </c>
      <c r="BF1110" s="330">
        <f t="shared" ref="BF1110:BF1116" si="124">MIN(AV1110:BE1110)</f>
        <v>16.00124995</v>
      </c>
      <c r="BG1110" s="333">
        <f t="shared" ref="BG1110:BG1116" si="125">MAX(AV1110:BE1110)</f>
        <v>40.88031311</v>
      </c>
      <c r="BH1110" s="943">
        <v>36526.0</v>
      </c>
      <c r="BI1110" s="573" t="s">
        <v>846</v>
      </c>
      <c r="BJ1110" s="393" t="s">
        <v>846</v>
      </c>
      <c r="BK1110" s="393" t="s">
        <v>846</v>
      </c>
      <c r="BL1110" s="393" t="s">
        <v>845</v>
      </c>
      <c r="BM1110" s="959"/>
      <c r="BN1110" s="393" t="s">
        <v>845</v>
      </c>
      <c r="BO1110" s="393" t="s">
        <v>845</v>
      </c>
      <c r="BP1110" s="960" t="s">
        <v>846</v>
      </c>
      <c r="BQ1110" s="393" t="s">
        <v>846</v>
      </c>
      <c r="BR1110" s="394" t="s">
        <v>846</v>
      </c>
      <c r="BS1110" s="405">
        <f t="shared" ref="BS1110:BS1123" si="126">MINIFS(AV1110:BE1110,BI1110:BR1110, "Y")</f>
        <v>16.00124995</v>
      </c>
      <c r="BT1110" s="406">
        <f t="shared" ref="BT1110:BT1123" si="127">MAXIFS(AV1110:BE1110,BI1110:BR1110, "Y")</f>
        <v>40.83331973</v>
      </c>
      <c r="BU1110" s="931">
        <v>0.4073726851851852</v>
      </c>
      <c r="BV1110" s="901">
        <f t="shared" si="122"/>
        <v>0.00008101851852</v>
      </c>
      <c r="BW1110" s="925">
        <v>16.6</v>
      </c>
      <c r="BX1110" s="926">
        <v>20.6</v>
      </c>
      <c r="BY1110" s="406">
        <f t="shared" ref="BY1110:BY1114" si="128">IF(BW1110&gt;0, SQRT((R1110-BW1110)^2+(S1110-BX1110)^2))</f>
        <v>19.57600572</v>
      </c>
      <c r="BZ1110" s="412"/>
      <c r="CA1110" s="390"/>
      <c r="CB1110" s="392"/>
      <c r="CC1110" s="392"/>
      <c r="CD1110" s="392"/>
      <c r="CE1110" s="392"/>
      <c r="CF1110" s="392"/>
      <c r="CG1110" s="392"/>
      <c r="CH1110" s="392"/>
      <c r="CI1110" s="392"/>
      <c r="CJ1110" s="898"/>
      <c r="CK1110" s="414"/>
      <c r="CL1110" s="408"/>
      <c r="CM1110" s="832"/>
      <c r="CN1110" s="333"/>
      <c r="CO1110" s="333"/>
      <c r="CP1110" s="333"/>
    </row>
    <row r="1111">
      <c r="B1111" s="462" t="s">
        <v>1772</v>
      </c>
      <c r="C1111" s="914">
        <v>44526.0</v>
      </c>
      <c r="D1111" s="318"/>
      <c r="E1111" s="319">
        <v>2.0</v>
      </c>
      <c r="F1111" s="324" t="s">
        <v>1785</v>
      </c>
      <c r="G1111" s="321">
        <v>0.4109375</v>
      </c>
      <c r="H1111" s="323">
        <v>0.41163194444444445</v>
      </c>
      <c r="I1111" s="323"/>
      <c r="J1111" s="323"/>
      <c r="K1111" s="323">
        <v>0.41388888888888886</v>
      </c>
      <c r="L1111" s="323">
        <v>0.0022569444444444442</v>
      </c>
      <c r="M1111" s="319" t="s">
        <v>166</v>
      </c>
      <c r="N1111" s="324" t="s">
        <v>188</v>
      </c>
      <c r="O1111" s="419" t="s">
        <v>196</v>
      </c>
      <c r="P1111" s="319" t="s">
        <v>224</v>
      </c>
      <c r="Q1111" s="318"/>
      <c r="R1111" s="326">
        <v>21.7</v>
      </c>
      <c r="S1111" s="319">
        <v>39.5</v>
      </c>
      <c r="T1111" s="324">
        <v>1.26</v>
      </c>
      <c r="U1111" s="319">
        <v>16.0</v>
      </c>
      <c r="V1111" s="319"/>
      <c r="W1111" s="319"/>
      <c r="X1111" s="319"/>
      <c r="Y1111" s="319"/>
      <c r="Z1111" s="319" t="s">
        <v>387</v>
      </c>
      <c r="AA1111" s="319"/>
      <c r="AB1111" s="319" t="s">
        <v>416</v>
      </c>
      <c r="AC1111" s="327">
        <v>52.5</v>
      </c>
      <c r="AD1111" s="319"/>
      <c r="AE1111" s="319"/>
      <c r="AF1111" s="319"/>
      <c r="AG1111" s="319"/>
      <c r="AH1111" s="319"/>
      <c r="AI1111" s="319"/>
      <c r="AJ1111" s="327"/>
      <c r="AK1111" s="328"/>
      <c r="AL1111" s="319"/>
      <c r="AM1111" s="319"/>
      <c r="AN1111" s="319"/>
      <c r="AO1111" s="319"/>
      <c r="AP1111" s="319"/>
      <c r="AQ1111" s="319"/>
      <c r="AR1111" s="319"/>
      <c r="AS1111" s="327"/>
      <c r="AT1111" s="461" t="s">
        <v>183</v>
      </c>
      <c r="AU1111" s="324" t="s">
        <v>845</v>
      </c>
      <c r="AV1111" s="330">
        <f>SQRT(($R1111-Infrastructure!J$3)^2+($S1111-Infrastructure!K$3)^2)</f>
        <v>24.42048321</v>
      </c>
      <c r="AW1111" s="331">
        <f>SQRT(($R1111-Infrastructure!J$4)^2+($S1111-Infrastructure!K$4)^2)</f>
        <v>30.90129447</v>
      </c>
      <c r="AX1111" s="331">
        <f>SQRT(($R1111-Infrastructure!J$5)^2+($S1111-Infrastructure!K$5)^2)</f>
        <v>40.83331973</v>
      </c>
      <c r="AY1111" s="331">
        <f>SQRT(($R1111-Infrastructure!J$6)^2+($S1111-Infrastructure!K$6)^2)</f>
        <v>40.88031311</v>
      </c>
      <c r="AZ1111" s="331">
        <f>SQRT(($R1111-Infrastructure!J$7)^2+($S1111-Infrastructure!K$7)^2)</f>
        <v>39.21836305</v>
      </c>
      <c r="BA1111" s="331">
        <f>SQRT(($R1111-Infrastructure!J$8)^2+($S1111-Infrastructure!K$8)^2)</f>
        <v>40.08989898</v>
      </c>
      <c r="BB1111" s="331">
        <f>SQRT(($R1111-Infrastructure!J$9)^2+($S1111-Infrastructure!K$9)^2)</f>
        <v>38.96472764</v>
      </c>
      <c r="BC1111" s="331">
        <f>SQRT(($R1111-Infrastructure!J$10)^2+($S1111-Infrastructure!K$10)^2)</f>
        <v>30.58005886</v>
      </c>
      <c r="BD1111" s="331">
        <f>SQRT(($R1111-Infrastructure!J$11)^2+($S1111-Infrastructure!K$11)^2)</f>
        <v>21.27204739</v>
      </c>
      <c r="BE1111" s="333">
        <f>SQRT(($R1111-Infrastructure!J$12)^2+($S1111-Infrastructure!K$12)^2)</f>
        <v>16.00124995</v>
      </c>
      <c r="BF1111" s="330">
        <f t="shared" si="124"/>
        <v>16.00124995</v>
      </c>
      <c r="BG1111" s="333">
        <f t="shared" si="125"/>
        <v>40.88031311</v>
      </c>
      <c r="BH1111" s="943">
        <v>36526.0</v>
      </c>
      <c r="BI1111" s="462" t="s">
        <v>846</v>
      </c>
      <c r="BJ1111" s="319" t="s">
        <v>846</v>
      </c>
      <c r="BK1111" s="319" t="s">
        <v>846</v>
      </c>
      <c r="BL1111" s="319" t="s">
        <v>845</v>
      </c>
      <c r="BM1111" s="955"/>
      <c r="BN1111" s="319" t="s">
        <v>845</v>
      </c>
      <c r="BO1111" s="319" t="s">
        <v>845</v>
      </c>
      <c r="BP1111" s="953" t="s">
        <v>846</v>
      </c>
      <c r="BQ1111" s="319" t="s">
        <v>846</v>
      </c>
      <c r="BR1111" s="324" t="s">
        <v>846</v>
      </c>
      <c r="BS1111" s="330">
        <f t="shared" si="126"/>
        <v>16.00124995</v>
      </c>
      <c r="BT1111" s="331">
        <f t="shared" si="127"/>
        <v>40.83331973</v>
      </c>
      <c r="BU1111" s="920">
        <v>0.4109837962962963</v>
      </c>
      <c r="BV1111" s="903">
        <f t="shared" si="122"/>
        <v>0.0000462962963</v>
      </c>
      <c r="BW1111" s="907">
        <v>15.4</v>
      </c>
      <c r="BX1111" s="908">
        <v>22.0</v>
      </c>
      <c r="BY1111" s="331">
        <f t="shared" si="128"/>
        <v>18.59946236</v>
      </c>
      <c r="BZ1111" s="340"/>
      <c r="CA1111" s="316"/>
      <c r="CB1111" s="318"/>
      <c r="CC1111" s="318"/>
      <c r="CD1111" s="318"/>
      <c r="CE1111" s="318"/>
      <c r="CF1111" s="318"/>
      <c r="CG1111" s="318"/>
      <c r="CH1111" s="318"/>
      <c r="CI1111" s="318"/>
      <c r="CJ1111" s="463"/>
      <c r="CK1111" s="342"/>
      <c r="CL1111" s="333"/>
      <c r="CM1111" s="829"/>
      <c r="CN1111" s="333"/>
      <c r="CO1111" s="333"/>
      <c r="CP1111" s="333"/>
    </row>
    <row r="1112">
      <c r="B1112" s="462" t="s">
        <v>1772</v>
      </c>
      <c r="C1112" s="914">
        <v>44526.0</v>
      </c>
      <c r="D1112" s="318"/>
      <c r="E1112" s="319">
        <v>3.0</v>
      </c>
      <c r="F1112" s="324" t="s">
        <v>1786</v>
      </c>
      <c r="G1112" s="321">
        <v>0.41388888888888886</v>
      </c>
      <c r="H1112" s="323">
        <v>0.41412037037037036</v>
      </c>
      <c r="I1112" s="323"/>
      <c r="J1112" s="323"/>
      <c r="K1112" s="323">
        <v>0.41921296296296295</v>
      </c>
      <c r="L1112" s="323">
        <v>0.005092592592592593</v>
      </c>
      <c r="M1112" s="319" t="s">
        <v>166</v>
      </c>
      <c r="N1112" s="324" t="s">
        <v>188</v>
      </c>
      <c r="O1112" s="419" t="s">
        <v>378</v>
      </c>
      <c r="P1112" s="319" t="s">
        <v>225</v>
      </c>
      <c r="Q1112" s="318"/>
      <c r="R1112" s="326">
        <v>22.7</v>
      </c>
      <c r="S1112" s="319">
        <v>39.7</v>
      </c>
      <c r="T1112" s="324">
        <v>1.9</v>
      </c>
      <c r="U1112" s="319">
        <v>10.0</v>
      </c>
      <c r="V1112" s="319"/>
      <c r="W1112" s="319"/>
      <c r="X1112" s="319"/>
      <c r="Y1112" s="319"/>
      <c r="Z1112" s="319" t="s">
        <v>1140</v>
      </c>
      <c r="AA1112" s="319"/>
      <c r="AB1112" s="319" t="s">
        <v>416</v>
      </c>
      <c r="AC1112" s="327">
        <v>52.5</v>
      </c>
      <c r="AD1112" s="319"/>
      <c r="AE1112" s="319"/>
      <c r="AF1112" s="319"/>
      <c r="AG1112" s="319"/>
      <c r="AH1112" s="319"/>
      <c r="AI1112" s="319"/>
      <c r="AJ1112" s="327"/>
      <c r="AK1112" s="328"/>
      <c r="AL1112" s="319"/>
      <c r="AM1112" s="319"/>
      <c r="AN1112" s="319"/>
      <c r="AO1112" s="319"/>
      <c r="AP1112" s="319"/>
      <c r="AQ1112" s="319"/>
      <c r="AR1112" s="319"/>
      <c r="AS1112" s="327"/>
      <c r="AT1112" s="461" t="s">
        <v>183</v>
      </c>
      <c r="AU1112" s="324" t="s">
        <v>845</v>
      </c>
      <c r="AV1112" s="330">
        <f>SQRT(($R1112-Infrastructure!J$3)^2+($S1112-Infrastructure!K$3)^2)</f>
        <v>25.40944706</v>
      </c>
      <c r="AW1112" s="331">
        <f>SQRT(($R1112-Infrastructure!J$4)^2+($S1112-Infrastructure!K$4)^2)</f>
        <v>31.75862088</v>
      </c>
      <c r="AX1112" s="331">
        <f>SQRT(($R1112-Infrastructure!J$5)^2+($S1112-Infrastructure!K$5)^2)</f>
        <v>41.54708173</v>
      </c>
      <c r="AY1112" s="331">
        <f>SQRT(($R1112-Infrastructure!J$6)^2+($S1112-Infrastructure!K$6)^2)</f>
        <v>41.36568626</v>
      </c>
      <c r="AZ1112" s="331">
        <f>SQRT(($R1112-Infrastructure!J$7)^2+($S1112-Infrastructure!K$7)^2)</f>
        <v>39.46137352</v>
      </c>
      <c r="BA1112" s="331">
        <f>SQRT(($R1112-Infrastructure!J$8)^2+($S1112-Infrastructure!K$8)^2)</f>
        <v>40.08890121</v>
      </c>
      <c r="BB1112" s="331">
        <f>SQRT(($R1112-Infrastructure!J$9)^2+($S1112-Infrastructure!K$9)^2)</f>
        <v>38.68397601</v>
      </c>
      <c r="BC1112" s="331">
        <f>SQRT(($R1112-Infrastructure!J$10)^2+($S1112-Infrastructure!K$10)^2)</f>
        <v>30.15592811</v>
      </c>
      <c r="BD1112" s="331">
        <f>SQRT(($R1112-Infrastructure!J$11)^2+($S1112-Infrastructure!K$11)^2)</f>
        <v>20.51194774</v>
      </c>
      <c r="BE1112" s="333">
        <f>SQRT(($R1112-Infrastructure!J$12)^2+($S1112-Infrastructure!K$12)^2)</f>
        <v>15.84550409</v>
      </c>
      <c r="BF1112" s="330">
        <f t="shared" si="124"/>
        <v>15.84550409</v>
      </c>
      <c r="BG1112" s="333">
        <f t="shared" si="125"/>
        <v>41.54708173</v>
      </c>
      <c r="BH1112" s="943">
        <v>36526.0</v>
      </c>
      <c r="BI1112" s="462" t="s">
        <v>846</v>
      </c>
      <c r="BJ1112" s="319" t="s">
        <v>846</v>
      </c>
      <c r="BK1112" s="319" t="s">
        <v>846</v>
      </c>
      <c r="BL1112" s="319" t="s">
        <v>846</v>
      </c>
      <c r="BM1112" s="955"/>
      <c r="BN1112" s="319" t="s">
        <v>846</v>
      </c>
      <c r="BO1112" s="319" t="s">
        <v>846</v>
      </c>
      <c r="BP1112" s="953" t="s">
        <v>846</v>
      </c>
      <c r="BQ1112" s="319" t="s">
        <v>846</v>
      </c>
      <c r="BR1112" s="324" t="s">
        <v>846</v>
      </c>
      <c r="BS1112" s="330">
        <f t="shared" si="126"/>
        <v>15.84550409</v>
      </c>
      <c r="BT1112" s="331">
        <f t="shared" si="127"/>
        <v>41.54708173</v>
      </c>
      <c r="BU1112" s="920">
        <v>0.41391203703703705</v>
      </c>
      <c r="BV1112" s="903">
        <f t="shared" si="122"/>
        <v>0.00002314814815</v>
      </c>
      <c r="BW1112" s="907">
        <v>19.9</v>
      </c>
      <c r="BX1112" s="908">
        <v>17.3</v>
      </c>
      <c r="BY1112" s="331">
        <f t="shared" si="128"/>
        <v>22.5743217</v>
      </c>
      <c r="BZ1112" s="340"/>
      <c r="CA1112" s="316"/>
      <c r="CB1112" s="318"/>
      <c r="CC1112" s="318"/>
      <c r="CD1112" s="318"/>
      <c r="CE1112" s="318"/>
      <c r="CF1112" s="318"/>
      <c r="CG1112" s="318"/>
      <c r="CH1112" s="318"/>
      <c r="CI1112" s="318"/>
      <c r="CJ1112" s="463"/>
      <c r="CK1112" s="342"/>
      <c r="CL1112" s="333"/>
      <c r="CM1112" s="829"/>
      <c r="CN1112" s="333"/>
      <c r="CO1112" s="333"/>
      <c r="CP1112" s="333"/>
    </row>
    <row r="1113">
      <c r="B1113" s="462" t="s">
        <v>1772</v>
      </c>
      <c r="C1113" s="914">
        <v>44526.0</v>
      </c>
      <c r="D1113" s="318"/>
      <c r="E1113" s="319">
        <v>4.0</v>
      </c>
      <c r="F1113" s="324" t="s">
        <v>1787</v>
      </c>
      <c r="G1113" s="321">
        <v>0.42170138888888886</v>
      </c>
      <c r="H1113" s="323">
        <v>0.4219907407407407</v>
      </c>
      <c r="I1113" s="323"/>
      <c r="J1113" s="323"/>
      <c r="K1113" s="323">
        <v>0.42280092592592594</v>
      </c>
      <c r="L1113" s="323">
        <v>8.101851851851852E-4</v>
      </c>
      <c r="M1113" s="319" t="s">
        <v>166</v>
      </c>
      <c r="N1113" s="324" t="s">
        <v>188</v>
      </c>
      <c r="O1113" s="419" t="s">
        <v>378</v>
      </c>
      <c r="P1113" s="319" t="s">
        <v>225</v>
      </c>
      <c r="Q1113" s="318"/>
      <c r="R1113" s="326">
        <v>22.7</v>
      </c>
      <c r="S1113" s="319">
        <v>39.7</v>
      </c>
      <c r="T1113" s="324">
        <v>1.9</v>
      </c>
      <c r="U1113" s="319">
        <v>10.0</v>
      </c>
      <c r="V1113" s="319"/>
      <c r="W1113" s="319"/>
      <c r="X1113" s="319"/>
      <c r="Y1113" s="319"/>
      <c r="Z1113" s="319" t="s">
        <v>1140</v>
      </c>
      <c r="AA1113" s="319"/>
      <c r="AB1113" s="319" t="s">
        <v>416</v>
      </c>
      <c r="AC1113" s="327">
        <v>52.5</v>
      </c>
      <c r="AD1113" s="319"/>
      <c r="AE1113" s="319"/>
      <c r="AF1113" s="319"/>
      <c r="AG1113" s="319"/>
      <c r="AH1113" s="319"/>
      <c r="AI1113" s="319"/>
      <c r="AJ1113" s="327"/>
      <c r="AK1113" s="328"/>
      <c r="AL1113" s="319"/>
      <c r="AM1113" s="319"/>
      <c r="AN1113" s="319"/>
      <c r="AO1113" s="319"/>
      <c r="AP1113" s="319"/>
      <c r="AQ1113" s="319"/>
      <c r="AR1113" s="319"/>
      <c r="AS1113" s="327"/>
      <c r="AT1113" s="461" t="s">
        <v>183</v>
      </c>
      <c r="AU1113" s="324" t="s">
        <v>845</v>
      </c>
      <c r="AV1113" s="330">
        <f>SQRT(($R1113-Infrastructure!J$3)^2+($S1113-Infrastructure!K$3)^2)</f>
        <v>25.40944706</v>
      </c>
      <c r="AW1113" s="331">
        <f>SQRT(($R1113-Infrastructure!J$4)^2+($S1113-Infrastructure!K$4)^2)</f>
        <v>31.75862088</v>
      </c>
      <c r="AX1113" s="331">
        <f>SQRT(($R1113-Infrastructure!J$5)^2+($S1113-Infrastructure!K$5)^2)</f>
        <v>41.54708173</v>
      </c>
      <c r="AY1113" s="331">
        <f>SQRT(($R1113-Infrastructure!J$6)^2+($S1113-Infrastructure!K$6)^2)</f>
        <v>41.36568626</v>
      </c>
      <c r="AZ1113" s="331">
        <f>SQRT(($R1113-Infrastructure!J$7)^2+($S1113-Infrastructure!K$7)^2)</f>
        <v>39.46137352</v>
      </c>
      <c r="BA1113" s="331">
        <f>SQRT(($R1113-Infrastructure!J$8)^2+($S1113-Infrastructure!K$8)^2)</f>
        <v>40.08890121</v>
      </c>
      <c r="BB1113" s="331">
        <f>SQRT(($R1113-Infrastructure!J$9)^2+($S1113-Infrastructure!K$9)^2)</f>
        <v>38.68397601</v>
      </c>
      <c r="BC1113" s="331">
        <f>SQRT(($R1113-Infrastructure!J$10)^2+($S1113-Infrastructure!K$10)^2)</f>
        <v>30.15592811</v>
      </c>
      <c r="BD1113" s="331">
        <f>SQRT(($R1113-Infrastructure!J$11)^2+($S1113-Infrastructure!K$11)^2)</f>
        <v>20.51194774</v>
      </c>
      <c r="BE1113" s="333">
        <f>SQRT(($R1113-Infrastructure!J$12)^2+($S1113-Infrastructure!K$12)^2)</f>
        <v>15.84550409</v>
      </c>
      <c r="BF1113" s="330">
        <f t="shared" si="124"/>
        <v>15.84550409</v>
      </c>
      <c r="BG1113" s="333">
        <f t="shared" si="125"/>
        <v>41.54708173</v>
      </c>
      <c r="BH1113" s="943">
        <v>36526.0</v>
      </c>
      <c r="BI1113" s="462" t="s">
        <v>846</v>
      </c>
      <c r="BJ1113" s="319" t="s">
        <v>846</v>
      </c>
      <c r="BK1113" s="319" t="s">
        <v>846</v>
      </c>
      <c r="BL1113" s="319" t="s">
        <v>846</v>
      </c>
      <c r="BM1113" s="955"/>
      <c r="BN1113" s="319" t="s">
        <v>846</v>
      </c>
      <c r="BO1113" s="319" t="s">
        <v>846</v>
      </c>
      <c r="BP1113" s="953" t="s">
        <v>846</v>
      </c>
      <c r="BQ1113" s="319" t="s">
        <v>846</v>
      </c>
      <c r="BR1113" s="324" t="s">
        <v>846</v>
      </c>
      <c r="BS1113" s="330">
        <f t="shared" si="126"/>
        <v>15.84550409</v>
      </c>
      <c r="BT1113" s="331">
        <f t="shared" si="127"/>
        <v>41.54708173</v>
      </c>
      <c r="BU1113" s="920">
        <v>0.4217361111111111</v>
      </c>
      <c r="BV1113" s="903">
        <f t="shared" si="122"/>
        <v>0.00003472222222</v>
      </c>
      <c r="BW1113" s="907">
        <v>19.1</v>
      </c>
      <c r="BX1113" s="908">
        <v>18.2</v>
      </c>
      <c r="BY1113" s="331">
        <f t="shared" si="128"/>
        <v>21.79931192</v>
      </c>
      <c r="BZ1113" s="340"/>
      <c r="CA1113" s="316"/>
      <c r="CB1113" s="318"/>
      <c r="CC1113" s="318"/>
      <c r="CD1113" s="318"/>
      <c r="CE1113" s="318"/>
      <c r="CF1113" s="318"/>
      <c r="CG1113" s="318"/>
      <c r="CH1113" s="318"/>
      <c r="CI1113" s="318"/>
      <c r="CJ1113" s="463"/>
      <c r="CK1113" s="342"/>
      <c r="CL1113" s="333"/>
      <c r="CM1113" s="829"/>
      <c r="CN1113" s="333"/>
      <c r="CO1113" s="333"/>
      <c r="CP1113" s="333"/>
    </row>
    <row r="1114">
      <c r="B1114" s="462" t="s">
        <v>1772</v>
      </c>
      <c r="C1114" s="914">
        <v>44526.0</v>
      </c>
      <c r="D1114" s="318"/>
      <c r="E1114" s="319">
        <v>5.0</v>
      </c>
      <c r="F1114" s="324" t="s">
        <v>1788</v>
      </c>
      <c r="G1114" s="321">
        <v>0.42280092592592594</v>
      </c>
      <c r="H1114" s="323">
        <v>0.4232638888888889</v>
      </c>
      <c r="I1114" s="323"/>
      <c r="J1114" s="323"/>
      <c r="K1114" s="323">
        <v>0.4238425925925926</v>
      </c>
      <c r="L1114" s="323">
        <v>5.787037037037037E-4</v>
      </c>
      <c r="M1114" s="319" t="s">
        <v>166</v>
      </c>
      <c r="N1114" s="324" t="s">
        <v>188</v>
      </c>
      <c r="O1114" s="419" t="s">
        <v>196</v>
      </c>
      <c r="P1114" s="319" t="s">
        <v>224</v>
      </c>
      <c r="Q1114" s="318"/>
      <c r="R1114" s="326">
        <v>21.7</v>
      </c>
      <c r="S1114" s="319">
        <v>39.5</v>
      </c>
      <c r="T1114" s="324">
        <v>1.26</v>
      </c>
      <c r="U1114" s="319">
        <v>16.0</v>
      </c>
      <c r="V1114" s="319"/>
      <c r="W1114" s="319"/>
      <c r="X1114" s="319"/>
      <c r="Y1114" s="319"/>
      <c r="Z1114" s="319" t="s">
        <v>387</v>
      </c>
      <c r="AA1114" s="319"/>
      <c r="AB1114" s="319" t="s">
        <v>416</v>
      </c>
      <c r="AC1114" s="327">
        <v>52.5</v>
      </c>
      <c r="AD1114" s="319"/>
      <c r="AE1114" s="319"/>
      <c r="AF1114" s="319"/>
      <c r="AG1114" s="319"/>
      <c r="AH1114" s="319"/>
      <c r="AI1114" s="319"/>
      <c r="AJ1114" s="327"/>
      <c r="AK1114" s="328"/>
      <c r="AL1114" s="319"/>
      <c r="AM1114" s="319"/>
      <c r="AN1114" s="319"/>
      <c r="AO1114" s="319"/>
      <c r="AP1114" s="319"/>
      <c r="AQ1114" s="319"/>
      <c r="AR1114" s="319"/>
      <c r="AS1114" s="327"/>
      <c r="AT1114" s="461" t="s">
        <v>183</v>
      </c>
      <c r="AU1114" s="324" t="s">
        <v>845</v>
      </c>
      <c r="AV1114" s="330">
        <f>SQRT(($R1114-Infrastructure!J$3)^2+($S1114-Infrastructure!K$3)^2)</f>
        <v>24.42048321</v>
      </c>
      <c r="AW1114" s="331">
        <f>SQRT(($R1114-Infrastructure!J$4)^2+($S1114-Infrastructure!K$4)^2)</f>
        <v>30.90129447</v>
      </c>
      <c r="AX1114" s="331">
        <f>SQRT(($R1114-Infrastructure!J$5)^2+($S1114-Infrastructure!K$5)^2)</f>
        <v>40.83331973</v>
      </c>
      <c r="AY1114" s="331">
        <f>SQRT(($R1114-Infrastructure!J$6)^2+($S1114-Infrastructure!K$6)^2)</f>
        <v>40.88031311</v>
      </c>
      <c r="AZ1114" s="331">
        <f>SQRT(($R1114-Infrastructure!J$7)^2+($S1114-Infrastructure!K$7)^2)</f>
        <v>39.21836305</v>
      </c>
      <c r="BA1114" s="331">
        <f>SQRT(($R1114-Infrastructure!J$8)^2+($S1114-Infrastructure!K$8)^2)</f>
        <v>40.08989898</v>
      </c>
      <c r="BB1114" s="331">
        <f>SQRT(($R1114-Infrastructure!J$9)^2+($S1114-Infrastructure!K$9)^2)</f>
        <v>38.96472764</v>
      </c>
      <c r="BC1114" s="331">
        <f>SQRT(($R1114-Infrastructure!J$10)^2+($S1114-Infrastructure!K$10)^2)</f>
        <v>30.58005886</v>
      </c>
      <c r="BD1114" s="331">
        <f>SQRT(($R1114-Infrastructure!J$11)^2+($S1114-Infrastructure!K$11)^2)</f>
        <v>21.27204739</v>
      </c>
      <c r="BE1114" s="333">
        <f>SQRT(($R1114-Infrastructure!J$12)^2+($S1114-Infrastructure!K$12)^2)</f>
        <v>16.00124995</v>
      </c>
      <c r="BF1114" s="330">
        <f t="shared" si="124"/>
        <v>16.00124995</v>
      </c>
      <c r="BG1114" s="333">
        <f t="shared" si="125"/>
        <v>40.88031311</v>
      </c>
      <c r="BH1114" s="943">
        <v>36526.0</v>
      </c>
      <c r="BI1114" s="462" t="s">
        <v>846</v>
      </c>
      <c r="BJ1114" s="319" t="s">
        <v>846</v>
      </c>
      <c r="BK1114" s="319" t="s">
        <v>845</v>
      </c>
      <c r="BL1114" s="319" t="s">
        <v>845</v>
      </c>
      <c r="BM1114" s="955"/>
      <c r="BN1114" s="319" t="s">
        <v>845</v>
      </c>
      <c r="BO1114" s="319" t="s">
        <v>845</v>
      </c>
      <c r="BP1114" s="953" t="s">
        <v>845</v>
      </c>
      <c r="BQ1114" s="319" t="s">
        <v>846</v>
      </c>
      <c r="BR1114" s="324" t="s">
        <v>846</v>
      </c>
      <c r="BS1114" s="330">
        <f t="shared" si="126"/>
        <v>16.00124995</v>
      </c>
      <c r="BT1114" s="331">
        <f t="shared" si="127"/>
        <v>30.90129447</v>
      </c>
      <c r="BU1114" s="920">
        <v>0.42283564814814817</v>
      </c>
      <c r="BV1114" s="903">
        <f t="shared" si="122"/>
        <v>0.00003472222222</v>
      </c>
      <c r="BW1114" s="907">
        <v>16.0</v>
      </c>
      <c r="BX1114" s="908">
        <v>24.6</v>
      </c>
      <c r="BY1114" s="331">
        <f t="shared" si="128"/>
        <v>15.95305613</v>
      </c>
      <c r="BZ1114" s="340"/>
      <c r="CA1114" s="316"/>
      <c r="CB1114" s="318"/>
      <c r="CC1114" s="318"/>
      <c r="CD1114" s="318"/>
      <c r="CE1114" s="318"/>
      <c r="CF1114" s="318"/>
      <c r="CG1114" s="318"/>
      <c r="CH1114" s="318"/>
      <c r="CI1114" s="318"/>
      <c r="CJ1114" s="463"/>
      <c r="CK1114" s="342"/>
      <c r="CL1114" s="333"/>
      <c r="CM1114" s="829"/>
      <c r="CN1114" s="333"/>
      <c r="CO1114" s="333"/>
      <c r="CP1114" s="333"/>
    </row>
    <row r="1115">
      <c r="B1115" s="462" t="s">
        <v>1772</v>
      </c>
      <c r="C1115" s="914">
        <v>44526.0</v>
      </c>
      <c r="D1115" s="318"/>
      <c r="E1115" s="319">
        <v>6.0</v>
      </c>
      <c r="F1115" s="324" t="s">
        <v>1789</v>
      </c>
      <c r="G1115" s="321">
        <v>0.4273148148148148</v>
      </c>
      <c r="H1115" s="323"/>
      <c r="I1115" s="323"/>
      <c r="J1115" s="323"/>
      <c r="K1115" s="323">
        <v>0.4275462962962963</v>
      </c>
      <c r="L1115" s="323">
        <v>2.314814814814815E-4</v>
      </c>
      <c r="M1115" s="319" t="s">
        <v>166</v>
      </c>
      <c r="N1115" s="324" t="s">
        <v>188</v>
      </c>
      <c r="O1115" s="419" t="s">
        <v>196</v>
      </c>
      <c r="P1115" s="319" t="s">
        <v>224</v>
      </c>
      <c r="Q1115" s="318"/>
      <c r="R1115" s="326">
        <v>21.7</v>
      </c>
      <c r="S1115" s="319">
        <v>39.5</v>
      </c>
      <c r="T1115" s="324">
        <v>1.26</v>
      </c>
      <c r="U1115" s="319">
        <v>16.0</v>
      </c>
      <c r="V1115" s="319"/>
      <c r="W1115" s="319"/>
      <c r="X1115" s="319"/>
      <c r="Y1115" s="319"/>
      <c r="Z1115" s="319" t="s">
        <v>387</v>
      </c>
      <c r="AA1115" s="319"/>
      <c r="AB1115" s="319" t="s">
        <v>416</v>
      </c>
      <c r="AC1115" s="327">
        <v>52.5</v>
      </c>
      <c r="AD1115" s="319"/>
      <c r="AE1115" s="319"/>
      <c r="AF1115" s="319"/>
      <c r="AG1115" s="319"/>
      <c r="AH1115" s="319"/>
      <c r="AI1115" s="319"/>
      <c r="AJ1115" s="327"/>
      <c r="AK1115" s="328"/>
      <c r="AL1115" s="319"/>
      <c r="AM1115" s="319"/>
      <c r="AN1115" s="319"/>
      <c r="AO1115" s="319"/>
      <c r="AP1115" s="319"/>
      <c r="AQ1115" s="319"/>
      <c r="AR1115" s="319"/>
      <c r="AS1115" s="327"/>
      <c r="AT1115" s="461" t="s">
        <v>183</v>
      </c>
      <c r="AU1115" s="324" t="s">
        <v>845</v>
      </c>
      <c r="AV1115" s="330">
        <f>SQRT(($R1115-Infrastructure!J$3)^2+($S1115-Infrastructure!K$3)^2)</f>
        <v>24.42048321</v>
      </c>
      <c r="AW1115" s="331">
        <f>SQRT(($R1115-Infrastructure!J$4)^2+($S1115-Infrastructure!K$4)^2)</f>
        <v>30.90129447</v>
      </c>
      <c r="AX1115" s="331">
        <f>SQRT(($R1115-Infrastructure!J$5)^2+($S1115-Infrastructure!K$5)^2)</f>
        <v>40.83331973</v>
      </c>
      <c r="AY1115" s="331">
        <f>SQRT(($R1115-Infrastructure!J$6)^2+($S1115-Infrastructure!K$6)^2)</f>
        <v>40.88031311</v>
      </c>
      <c r="AZ1115" s="331">
        <f>SQRT(($R1115-Infrastructure!J$7)^2+($S1115-Infrastructure!K$7)^2)</f>
        <v>39.21836305</v>
      </c>
      <c r="BA1115" s="331">
        <f>SQRT(($R1115-Infrastructure!J$8)^2+($S1115-Infrastructure!K$8)^2)</f>
        <v>40.08989898</v>
      </c>
      <c r="BB1115" s="331">
        <f>SQRT(($R1115-Infrastructure!J$9)^2+($S1115-Infrastructure!K$9)^2)</f>
        <v>38.96472764</v>
      </c>
      <c r="BC1115" s="331">
        <f>SQRT(($R1115-Infrastructure!J$10)^2+($S1115-Infrastructure!K$10)^2)</f>
        <v>30.58005886</v>
      </c>
      <c r="BD1115" s="331">
        <f>SQRT(($R1115-Infrastructure!J$11)^2+($S1115-Infrastructure!K$11)^2)</f>
        <v>21.27204739</v>
      </c>
      <c r="BE1115" s="333">
        <f>SQRT(($R1115-Infrastructure!J$12)^2+($S1115-Infrastructure!K$12)^2)</f>
        <v>16.00124995</v>
      </c>
      <c r="BF1115" s="330">
        <f t="shared" si="124"/>
        <v>16.00124995</v>
      </c>
      <c r="BG1115" s="333">
        <f t="shared" si="125"/>
        <v>40.88031311</v>
      </c>
      <c r="BH1115" s="943">
        <v>36526.0</v>
      </c>
      <c r="BI1115" s="462"/>
      <c r="BJ1115" s="319"/>
      <c r="BK1115" s="319"/>
      <c r="BL1115" s="319"/>
      <c r="BM1115" s="955"/>
      <c r="BN1115" s="319"/>
      <c r="BO1115" s="319"/>
      <c r="BP1115" s="953"/>
      <c r="BQ1115" s="319"/>
      <c r="BR1115" s="324"/>
      <c r="BS1115" s="330">
        <f t="shared" si="126"/>
        <v>0</v>
      </c>
      <c r="BT1115" s="331">
        <f t="shared" si="127"/>
        <v>0</v>
      </c>
      <c r="BU1115" s="920"/>
      <c r="BV1115" s="903"/>
      <c r="BW1115" s="907"/>
      <c r="BX1115" s="908"/>
      <c r="BY1115" s="331"/>
      <c r="BZ1115" s="340"/>
      <c r="CA1115" s="316"/>
      <c r="CB1115" s="318"/>
      <c r="CC1115" s="318"/>
      <c r="CD1115" s="318"/>
      <c r="CE1115" s="318"/>
      <c r="CF1115" s="318"/>
      <c r="CG1115" s="318"/>
      <c r="CH1115" s="318"/>
      <c r="CI1115" s="318"/>
      <c r="CJ1115" s="463"/>
      <c r="CK1115" s="342"/>
      <c r="CL1115" s="333"/>
      <c r="CM1115" s="829"/>
      <c r="CN1115" s="333"/>
      <c r="CO1115" s="333"/>
      <c r="CP1115" s="333"/>
    </row>
    <row r="1116">
      <c r="B1116" s="462" t="s">
        <v>1772</v>
      </c>
      <c r="C1116" s="914">
        <v>44526.0</v>
      </c>
      <c r="D1116" s="318"/>
      <c r="E1116" s="319">
        <v>7.0</v>
      </c>
      <c r="F1116" s="324" t="s">
        <v>1790</v>
      </c>
      <c r="G1116" s="321">
        <v>0.43159722222222224</v>
      </c>
      <c r="H1116" s="323">
        <v>0.43194444444444446</v>
      </c>
      <c r="I1116" s="323"/>
      <c r="J1116" s="323"/>
      <c r="K1116" s="323">
        <v>0.4321759259259259</v>
      </c>
      <c r="L1116" s="323">
        <v>2.314814814814815E-4</v>
      </c>
      <c r="M1116" s="319" t="s">
        <v>166</v>
      </c>
      <c r="N1116" s="324" t="s">
        <v>187</v>
      </c>
      <c r="O1116" s="419" t="s">
        <v>203</v>
      </c>
      <c r="P1116" s="319" t="s">
        <v>250</v>
      </c>
      <c r="Q1116" s="318"/>
      <c r="R1116" s="326">
        <v>15.1</v>
      </c>
      <c r="S1116" s="319">
        <v>2.4</v>
      </c>
      <c r="T1116" s="324">
        <v>1.2</v>
      </c>
      <c r="U1116" s="319">
        <v>6.5</v>
      </c>
      <c r="V1116" s="319"/>
      <c r="W1116" s="319"/>
      <c r="X1116" s="319"/>
      <c r="Y1116" s="319"/>
      <c r="Z1116" s="319" t="s">
        <v>357</v>
      </c>
      <c r="AA1116" s="319"/>
      <c r="AB1116" s="319" t="s">
        <v>384</v>
      </c>
      <c r="AC1116" s="327">
        <v>6.0</v>
      </c>
      <c r="AD1116" s="319"/>
      <c r="AE1116" s="319"/>
      <c r="AF1116" s="319"/>
      <c r="AG1116" s="319"/>
      <c r="AH1116" s="319"/>
      <c r="AI1116" s="319"/>
      <c r="AJ1116" s="327"/>
      <c r="AK1116" s="328"/>
      <c r="AL1116" s="319"/>
      <c r="AM1116" s="319"/>
      <c r="AN1116" s="319"/>
      <c r="AO1116" s="319"/>
      <c r="AP1116" s="319"/>
      <c r="AQ1116" s="319"/>
      <c r="AR1116" s="319"/>
      <c r="AS1116" s="327"/>
      <c r="AT1116" s="461" t="s">
        <v>182</v>
      </c>
      <c r="AU1116" s="324" t="s">
        <v>845</v>
      </c>
      <c r="AV1116" s="330">
        <f>SQRT(($R1116-Infrastructure!J$3)^2+($S1116-Infrastructure!K$3)^2)</f>
        <v>30.64979608</v>
      </c>
      <c r="AW1116" s="331">
        <f>SQRT(($R1116-Infrastructure!J$4)^2+($S1116-Infrastructure!K$4)^2)</f>
        <v>21.77888886</v>
      </c>
      <c r="AX1116" s="331">
        <f>SQRT(($R1116-Infrastructure!J$5)^2+($S1116-Infrastructure!K$5)^2)</f>
        <v>15.63489687</v>
      </c>
      <c r="AY1116" s="331">
        <f>SQRT(($R1116-Infrastructure!J$6)^2+($S1116-Infrastructure!K$6)^2)</f>
        <v>5.423098745</v>
      </c>
      <c r="AZ1116" s="331">
        <f>SQRT(($R1116-Infrastructure!J$7)^2+($S1116-Infrastructure!K$7)^2)</f>
        <v>5.793962375</v>
      </c>
      <c r="BA1116" s="331">
        <f>SQRT(($R1116-Infrastructure!J$8)^2+($S1116-Infrastructure!K$8)^2)</f>
        <v>15.14628667</v>
      </c>
      <c r="BB1116" s="331">
        <f>SQRT(($R1116-Infrastructure!J$9)^2+($S1116-Infrastructure!K$9)^2)</f>
        <v>25.04595776</v>
      </c>
      <c r="BC1116" s="331">
        <f>SQRT(($R1116-Infrastructure!J$10)^2+($S1116-Infrastructure!K$10)^2)</f>
        <v>27.90645087</v>
      </c>
      <c r="BD1116" s="331">
        <f>SQRT(($R1116-Infrastructure!J$11)^2+($S1116-Infrastructure!K$11)^2)</f>
        <v>36.5728041</v>
      </c>
      <c r="BE1116" s="333">
        <f>SQRT(($R1116-Infrastructure!J$12)^2+($S1116-Infrastructure!K$12)^2)</f>
        <v>53.48429676</v>
      </c>
      <c r="BF1116" s="330">
        <f t="shared" si="124"/>
        <v>5.423098745</v>
      </c>
      <c r="BG1116" s="333">
        <f t="shared" si="125"/>
        <v>53.48429676</v>
      </c>
      <c r="BH1116" s="943">
        <v>36526.0</v>
      </c>
      <c r="BI1116" s="462" t="s">
        <v>846</v>
      </c>
      <c r="BJ1116" s="319" t="s">
        <v>846</v>
      </c>
      <c r="BK1116" s="319" t="s">
        <v>846</v>
      </c>
      <c r="BL1116" s="319" t="s">
        <v>846</v>
      </c>
      <c r="BM1116" s="955"/>
      <c r="BN1116" s="319" t="s">
        <v>846</v>
      </c>
      <c r="BO1116" s="319" t="s">
        <v>846</v>
      </c>
      <c r="BP1116" s="953" t="s">
        <v>846</v>
      </c>
      <c r="BQ1116" s="319" t="s">
        <v>846</v>
      </c>
      <c r="BR1116" s="324" t="s">
        <v>846</v>
      </c>
      <c r="BS1116" s="330">
        <f t="shared" si="126"/>
        <v>5.423098745</v>
      </c>
      <c r="BT1116" s="331">
        <f t="shared" si="127"/>
        <v>53.48429676</v>
      </c>
      <c r="BU1116" s="920">
        <v>0.4315509259259259</v>
      </c>
      <c r="BV1116" s="903">
        <f t="shared" ref="BV1116:BV1119" si="129">BU1116-G1116</f>
        <v>-0.0000462962963</v>
      </c>
      <c r="BW1116" s="907">
        <v>19.6</v>
      </c>
      <c r="BX1116" s="908">
        <v>16.7</v>
      </c>
      <c r="BY1116" s="331">
        <f>IF(BW1116&gt;0, SQRT((R1116-BW1116)^2+(S1116-BX1116)^2))</f>
        <v>14.99133083</v>
      </c>
      <c r="BZ1116" s="340"/>
      <c r="CA1116" s="316"/>
      <c r="CB1116" s="318"/>
      <c r="CC1116" s="318"/>
      <c r="CD1116" s="318"/>
      <c r="CE1116" s="318"/>
      <c r="CF1116" s="318"/>
      <c r="CG1116" s="318"/>
      <c r="CH1116" s="318"/>
      <c r="CI1116" s="318"/>
      <c r="CJ1116" s="463"/>
      <c r="CK1116" s="342"/>
      <c r="CL1116" s="333"/>
      <c r="CM1116" s="829"/>
      <c r="CN1116" s="333"/>
      <c r="CO1116" s="333"/>
      <c r="CP1116" s="333"/>
    </row>
    <row r="1117">
      <c r="B1117" s="462" t="s">
        <v>1772</v>
      </c>
      <c r="C1117" s="914">
        <v>44526.0</v>
      </c>
      <c r="D1117" s="318"/>
      <c r="E1117" s="319"/>
      <c r="F1117" s="324" t="s">
        <v>1791</v>
      </c>
      <c r="G1117" s="321">
        <v>0.44027777777777777</v>
      </c>
      <c r="H1117" s="323"/>
      <c r="I1117" s="323"/>
      <c r="J1117" s="323"/>
      <c r="K1117" s="323">
        <v>0.44166666666666665</v>
      </c>
      <c r="L1117" s="323">
        <v>0.001388888888888889</v>
      </c>
      <c r="M1117" s="319" t="s">
        <v>166</v>
      </c>
      <c r="N1117" s="324" t="s">
        <v>188</v>
      </c>
      <c r="O1117" s="419"/>
      <c r="P1117" s="319" t="s">
        <v>292</v>
      </c>
      <c r="Q1117" s="318"/>
      <c r="R1117" s="833"/>
      <c r="S1117" s="834"/>
      <c r="T1117" s="940"/>
      <c r="U1117" s="834"/>
      <c r="V1117" s="834"/>
      <c r="W1117" s="834"/>
      <c r="X1117" s="834"/>
      <c r="Y1117" s="834"/>
      <c r="Z1117" s="319" t="s">
        <v>323</v>
      </c>
      <c r="AA1117" s="319"/>
      <c r="AB1117" s="319" t="s">
        <v>323</v>
      </c>
      <c r="AC1117" s="327" t="s">
        <v>323</v>
      </c>
      <c r="AD1117" s="319"/>
      <c r="AE1117" s="319"/>
      <c r="AF1117" s="319"/>
      <c r="AG1117" s="319"/>
      <c r="AH1117" s="319"/>
      <c r="AI1117" s="319"/>
      <c r="AJ1117" s="327"/>
      <c r="AK1117" s="328"/>
      <c r="AL1117" s="319"/>
      <c r="AM1117" s="319"/>
      <c r="AN1117" s="319"/>
      <c r="AO1117" s="319"/>
      <c r="AP1117" s="319"/>
      <c r="AQ1117" s="319"/>
      <c r="AR1117" s="319"/>
      <c r="AS1117" s="327"/>
      <c r="AT1117" s="461"/>
      <c r="AU1117" s="324" t="s">
        <v>845</v>
      </c>
      <c r="AV1117" s="330"/>
      <c r="AW1117" s="331"/>
      <c r="AX1117" s="331"/>
      <c r="AY1117" s="331"/>
      <c r="AZ1117" s="331"/>
      <c r="BA1117" s="331"/>
      <c r="BB1117" s="331"/>
      <c r="BC1117" s="331"/>
      <c r="BD1117" s="331"/>
      <c r="BE1117" s="333"/>
      <c r="BF1117" s="330"/>
      <c r="BG1117" s="333"/>
      <c r="BH1117" s="943">
        <v>36526.0</v>
      </c>
      <c r="BI1117" s="462" t="s">
        <v>846</v>
      </c>
      <c r="BJ1117" s="319" t="s">
        <v>846</v>
      </c>
      <c r="BK1117" s="319" t="s">
        <v>846</v>
      </c>
      <c r="BL1117" s="319" t="s">
        <v>846</v>
      </c>
      <c r="BM1117" s="955"/>
      <c r="BN1117" s="319" t="s">
        <v>846</v>
      </c>
      <c r="BO1117" s="319" t="s">
        <v>845</v>
      </c>
      <c r="BP1117" s="953" t="s">
        <v>846</v>
      </c>
      <c r="BQ1117" s="319" t="s">
        <v>846</v>
      </c>
      <c r="BR1117" s="324" t="s">
        <v>846</v>
      </c>
      <c r="BS1117" s="330">
        <f t="shared" si="126"/>
        <v>0</v>
      </c>
      <c r="BT1117" s="331">
        <f t="shared" si="127"/>
        <v>0</v>
      </c>
      <c r="BU1117" s="920">
        <v>0.4398611111111111</v>
      </c>
      <c r="BV1117" s="903">
        <f t="shared" si="129"/>
        <v>-0.0004166666667</v>
      </c>
      <c r="BW1117" s="907"/>
      <c r="BX1117" s="908"/>
      <c r="BY1117" s="331"/>
      <c r="BZ1117" s="340"/>
      <c r="CA1117" s="316"/>
      <c r="CB1117" s="318"/>
      <c r="CC1117" s="318"/>
      <c r="CD1117" s="318"/>
      <c r="CE1117" s="318"/>
      <c r="CF1117" s="318"/>
      <c r="CG1117" s="318"/>
      <c r="CH1117" s="318"/>
      <c r="CI1117" s="318"/>
      <c r="CJ1117" s="463"/>
      <c r="CK1117" s="342"/>
      <c r="CL1117" s="333"/>
      <c r="CM1117" s="829"/>
      <c r="CN1117" s="333"/>
      <c r="CO1117" s="333"/>
      <c r="CP1117" s="333"/>
    </row>
    <row r="1118">
      <c r="B1118" s="462" t="s">
        <v>1772</v>
      </c>
      <c r="C1118" s="914">
        <v>44526.0</v>
      </c>
      <c r="D1118" s="318"/>
      <c r="E1118" s="319"/>
      <c r="F1118" s="324" t="s">
        <v>1791</v>
      </c>
      <c r="G1118" s="321">
        <v>0.44583333333333336</v>
      </c>
      <c r="H1118" s="323"/>
      <c r="I1118" s="323"/>
      <c r="J1118" s="323"/>
      <c r="K1118" s="323">
        <v>0.46076388888888886</v>
      </c>
      <c r="L1118" s="323">
        <v>0.014930555555555556</v>
      </c>
      <c r="M1118" s="319" t="s">
        <v>358</v>
      </c>
      <c r="N1118" s="324" t="s">
        <v>188</v>
      </c>
      <c r="O1118" s="419"/>
      <c r="P1118" s="319" t="s">
        <v>294</v>
      </c>
      <c r="Q1118" s="318"/>
      <c r="R1118" s="833"/>
      <c r="S1118" s="834"/>
      <c r="T1118" s="940"/>
      <c r="U1118" s="834"/>
      <c r="V1118" s="834"/>
      <c r="W1118" s="834"/>
      <c r="X1118" s="834"/>
      <c r="Y1118" s="834"/>
      <c r="Z1118" s="319" t="s">
        <v>323</v>
      </c>
      <c r="AA1118" s="319"/>
      <c r="AB1118" s="319" t="s">
        <v>323</v>
      </c>
      <c r="AC1118" s="327" t="s">
        <v>323</v>
      </c>
      <c r="AD1118" s="319"/>
      <c r="AE1118" s="319"/>
      <c r="AF1118" s="319"/>
      <c r="AG1118" s="319"/>
      <c r="AH1118" s="319"/>
      <c r="AI1118" s="319"/>
      <c r="AJ1118" s="327"/>
      <c r="AK1118" s="328"/>
      <c r="AL1118" s="319"/>
      <c r="AM1118" s="319"/>
      <c r="AN1118" s="319"/>
      <c r="AO1118" s="319"/>
      <c r="AP1118" s="319"/>
      <c r="AQ1118" s="319"/>
      <c r="AR1118" s="319"/>
      <c r="AS1118" s="327"/>
      <c r="AT1118" s="461"/>
      <c r="AU1118" s="324" t="s">
        <v>845</v>
      </c>
      <c r="AV1118" s="330"/>
      <c r="AW1118" s="331"/>
      <c r="AX1118" s="331"/>
      <c r="AY1118" s="331"/>
      <c r="AZ1118" s="331"/>
      <c r="BA1118" s="331"/>
      <c r="BB1118" s="331"/>
      <c r="BC1118" s="331"/>
      <c r="BD1118" s="331"/>
      <c r="BE1118" s="333"/>
      <c r="BF1118" s="330"/>
      <c r="BG1118" s="333"/>
      <c r="BH1118" s="943">
        <v>36526.0</v>
      </c>
      <c r="BI1118" s="462" t="s">
        <v>846</v>
      </c>
      <c r="BJ1118" s="319" t="s">
        <v>846</v>
      </c>
      <c r="BK1118" s="319" t="s">
        <v>845</v>
      </c>
      <c r="BL1118" s="319" t="s">
        <v>845</v>
      </c>
      <c r="BM1118" s="955"/>
      <c r="BN1118" s="319" t="s">
        <v>845</v>
      </c>
      <c r="BO1118" s="319" t="s">
        <v>845</v>
      </c>
      <c r="BP1118" s="953" t="s">
        <v>845</v>
      </c>
      <c r="BQ1118" s="319" t="s">
        <v>846</v>
      </c>
      <c r="BR1118" s="324" t="s">
        <v>846</v>
      </c>
      <c r="BS1118" s="330">
        <f t="shared" si="126"/>
        <v>0</v>
      </c>
      <c r="BT1118" s="331">
        <f t="shared" si="127"/>
        <v>0</v>
      </c>
      <c r="BU1118" s="920">
        <v>0.44592592592592595</v>
      </c>
      <c r="BV1118" s="903">
        <f t="shared" si="129"/>
        <v>0.00009259259259</v>
      </c>
      <c r="BW1118" s="907"/>
      <c r="BX1118" s="908"/>
      <c r="BY1118" s="331"/>
      <c r="BZ1118" s="340"/>
      <c r="CA1118" s="316"/>
      <c r="CB1118" s="318"/>
      <c r="CC1118" s="318"/>
      <c r="CD1118" s="318"/>
      <c r="CE1118" s="318"/>
      <c r="CF1118" s="318"/>
      <c r="CG1118" s="318"/>
      <c r="CH1118" s="318"/>
      <c r="CI1118" s="318"/>
      <c r="CJ1118" s="463"/>
      <c r="CK1118" s="342"/>
      <c r="CL1118" s="333"/>
      <c r="CM1118" s="829"/>
      <c r="CN1118" s="333"/>
      <c r="CO1118" s="333"/>
      <c r="CP1118" s="333"/>
    </row>
    <row r="1119">
      <c r="A1119" s="389" t="s">
        <v>59</v>
      </c>
      <c r="B1119" s="573" t="s">
        <v>1792</v>
      </c>
      <c r="C1119" s="909">
        <v>44532.0</v>
      </c>
      <c r="D1119" s="392"/>
      <c r="E1119" s="393">
        <v>1.0</v>
      </c>
      <c r="F1119" s="394" t="s">
        <v>1793</v>
      </c>
      <c r="G1119" s="395">
        <v>0.4331597222222222</v>
      </c>
      <c r="H1119" s="456">
        <v>0.43368055555555557</v>
      </c>
      <c r="I1119" s="456"/>
      <c r="J1119" s="456"/>
      <c r="K1119" s="456">
        <v>0.44560185185185186</v>
      </c>
      <c r="L1119" s="456">
        <v>0.011921296296296296</v>
      </c>
      <c r="M1119" s="393" t="s">
        <v>166</v>
      </c>
      <c r="N1119" s="394" t="s">
        <v>188</v>
      </c>
      <c r="O1119" s="399" t="s">
        <v>196</v>
      </c>
      <c r="P1119" s="393" t="s">
        <v>224</v>
      </c>
      <c r="Q1119" s="392"/>
      <c r="R1119" s="400">
        <v>21.7</v>
      </c>
      <c r="S1119" s="393">
        <v>39.5</v>
      </c>
      <c r="T1119" s="394">
        <v>1.26</v>
      </c>
      <c r="U1119" s="393">
        <v>16.0</v>
      </c>
      <c r="V1119" s="393"/>
      <c r="W1119" s="393"/>
      <c r="X1119" s="393"/>
      <c r="Y1119" s="393"/>
      <c r="Z1119" s="393" t="s">
        <v>387</v>
      </c>
      <c r="AA1119" s="393"/>
      <c r="AB1119" s="393" t="s">
        <v>416</v>
      </c>
      <c r="AC1119" s="401">
        <v>52.5</v>
      </c>
      <c r="AD1119" s="393"/>
      <c r="AE1119" s="393"/>
      <c r="AF1119" s="393"/>
      <c r="AG1119" s="393"/>
      <c r="AH1119" s="393"/>
      <c r="AI1119" s="393"/>
      <c r="AJ1119" s="401"/>
      <c r="AK1119" s="402"/>
      <c r="AL1119" s="393"/>
      <c r="AM1119" s="393"/>
      <c r="AN1119" s="393"/>
      <c r="AO1119" s="393"/>
      <c r="AP1119" s="393"/>
      <c r="AQ1119" s="393"/>
      <c r="AR1119" s="393"/>
      <c r="AS1119" s="401"/>
      <c r="AT1119" s="460" t="s">
        <v>183</v>
      </c>
      <c r="AU1119" s="394" t="s">
        <v>845</v>
      </c>
      <c r="AV1119" s="405">
        <f>SQRT(($R1119-Infrastructure!J$3)^2+($S1119-Infrastructure!K$3)^2)</f>
        <v>24.42048321</v>
      </c>
      <c r="AW1119" s="406">
        <f>SQRT(($R1119-Infrastructure!J$4)^2+($S1119-Infrastructure!K$4)^2)</f>
        <v>30.90129447</v>
      </c>
      <c r="AX1119" s="406">
        <f>SQRT(($R1119-Infrastructure!J$5)^2+($S1119-Infrastructure!K$5)^2)</f>
        <v>40.83331973</v>
      </c>
      <c r="AY1119" s="406">
        <f>SQRT(($R1119-Infrastructure!J$6)^2+($S1119-Infrastructure!K$6)^2)</f>
        <v>40.88031311</v>
      </c>
      <c r="AZ1119" s="406">
        <f>SQRT(($R1119-Infrastructure!J$7)^2+($S1119-Infrastructure!K$7)^2)</f>
        <v>39.21836305</v>
      </c>
      <c r="BA1119" s="406">
        <f>SQRT(($R1119-Infrastructure!J$8)^2+($S1119-Infrastructure!K$8)^2)</f>
        <v>40.08989898</v>
      </c>
      <c r="BB1119" s="406">
        <f>SQRT(($R1119-Infrastructure!J$9)^2+($S1119-Infrastructure!K$9)^2)</f>
        <v>38.96472764</v>
      </c>
      <c r="BC1119" s="406">
        <f>SQRT(($R1119-Infrastructure!J$10)^2+($S1119-Infrastructure!K$10)^2)</f>
        <v>30.58005886</v>
      </c>
      <c r="BD1119" s="406">
        <f>SQRT(($R1119-Infrastructure!J$11)^2+($S1119-Infrastructure!K$11)^2)</f>
        <v>21.27204739</v>
      </c>
      <c r="BE1119" s="408">
        <f>SQRT(($R1119-Infrastructure!J$12)^2+($S1119-Infrastructure!K$12)^2)</f>
        <v>16.00124995</v>
      </c>
      <c r="BF1119" s="405">
        <f t="shared" ref="BF1119:BF1123" si="130">MIN(AV1119:BE1119)</f>
        <v>16.00124995</v>
      </c>
      <c r="BG1119" s="408">
        <f t="shared" ref="BG1119:BG1123" si="131">MAX(AV1119:BE1119)</f>
        <v>40.88031311</v>
      </c>
      <c r="BH1119" s="961">
        <v>36526.0</v>
      </c>
      <c r="BI1119" s="573" t="s">
        <v>846</v>
      </c>
      <c r="BJ1119" s="393" t="s">
        <v>846</v>
      </c>
      <c r="BK1119" s="393" t="s">
        <v>846</v>
      </c>
      <c r="BL1119" s="393" t="s">
        <v>845</v>
      </c>
      <c r="BM1119" s="959" t="s">
        <v>845</v>
      </c>
      <c r="BN1119" s="393" t="s">
        <v>846</v>
      </c>
      <c r="BO1119" s="393" t="s">
        <v>845</v>
      </c>
      <c r="BP1119" s="960" t="s">
        <v>846</v>
      </c>
      <c r="BQ1119" s="393" t="s">
        <v>846</v>
      </c>
      <c r="BR1119" s="394" t="s">
        <v>846</v>
      </c>
      <c r="BS1119" s="405">
        <f t="shared" si="126"/>
        <v>16.00124995</v>
      </c>
      <c r="BT1119" s="406">
        <f t="shared" si="127"/>
        <v>40.83331973</v>
      </c>
      <c r="BU1119" s="931">
        <v>0.43333333333333335</v>
      </c>
      <c r="BV1119" s="901">
        <f t="shared" si="129"/>
        <v>0.0001736111111</v>
      </c>
      <c r="BW1119" s="925">
        <v>19.9</v>
      </c>
      <c r="BX1119" s="926">
        <v>24.8</v>
      </c>
      <c r="BY1119" s="331">
        <f>IF(BW1119&gt;0, SQRT((R1119-BW1119)^2+(S1119-BX1119)^2))</f>
        <v>14.80979406</v>
      </c>
      <c r="BZ1119" s="412"/>
      <c r="CA1119" s="390"/>
      <c r="CB1119" s="392"/>
      <c r="CC1119" s="392"/>
      <c r="CD1119" s="392"/>
      <c r="CE1119" s="392"/>
      <c r="CF1119" s="392"/>
      <c r="CG1119" s="392"/>
      <c r="CH1119" s="392"/>
      <c r="CI1119" s="392"/>
      <c r="CJ1119" s="898"/>
      <c r="CK1119" s="414"/>
      <c r="CL1119" s="408"/>
      <c r="CM1119" s="832"/>
      <c r="CN1119" s="333"/>
      <c r="CO1119" s="333"/>
      <c r="CP1119" s="333"/>
    </row>
    <row r="1120">
      <c r="B1120" s="462" t="s">
        <v>1792</v>
      </c>
      <c r="C1120" s="914">
        <v>44532.0</v>
      </c>
      <c r="D1120" s="318"/>
      <c r="E1120" s="319">
        <v>2.0</v>
      </c>
      <c r="F1120" s="324" t="s">
        <v>1794</v>
      </c>
      <c r="G1120" s="321">
        <v>0.44600694444444444</v>
      </c>
      <c r="H1120" s="323"/>
      <c r="I1120" s="323"/>
      <c r="J1120" s="323"/>
      <c r="K1120" s="323">
        <v>0.44635416666666666</v>
      </c>
      <c r="L1120" s="323">
        <v>3.4722222222222224E-4</v>
      </c>
      <c r="M1120" s="319" t="s">
        <v>166</v>
      </c>
      <c r="N1120" s="324" t="s">
        <v>188</v>
      </c>
      <c r="O1120" s="419" t="s">
        <v>196</v>
      </c>
      <c r="P1120" s="319" t="s">
        <v>224</v>
      </c>
      <c r="Q1120" s="318"/>
      <c r="R1120" s="326">
        <v>21.7</v>
      </c>
      <c r="S1120" s="319">
        <v>39.5</v>
      </c>
      <c r="T1120" s="324">
        <v>1.26</v>
      </c>
      <c r="U1120" s="319">
        <v>16.0</v>
      </c>
      <c r="V1120" s="319"/>
      <c r="W1120" s="319"/>
      <c r="X1120" s="319"/>
      <c r="Y1120" s="319"/>
      <c r="Z1120" s="319" t="s">
        <v>387</v>
      </c>
      <c r="AA1120" s="319"/>
      <c r="AB1120" s="319" t="s">
        <v>416</v>
      </c>
      <c r="AC1120" s="327">
        <v>52.5</v>
      </c>
      <c r="AD1120" s="319"/>
      <c r="AE1120" s="319"/>
      <c r="AF1120" s="319"/>
      <c r="AG1120" s="319"/>
      <c r="AH1120" s="319"/>
      <c r="AI1120" s="319"/>
      <c r="AJ1120" s="327"/>
      <c r="AK1120" s="328"/>
      <c r="AL1120" s="319"/>
      <c r="AM1120" s="319"/>
      <c r="AN1120" s="319"/>
      <c r="AO1120" s="319"/>
      <c r="AP1120" s="319"/>
      <c r="AQ1120" s="319"/>
      <c r="AR1120" s="319"/>
      <c r="AS1120" s="327"/>
      <c r="AT1120" s="461" t="s">
        <v>183</v>
      </c>
      <c r="AU1120" s="324" t="s">
        <v>845</v>
      </c>
      <c r="AV1120" s="330">
        <f>SQRT(($R1120-Infrastructure!J$3)^2+($S1120-Infrastructure!K$3)^2)</f>
        <v>24.42048321</v>
      </c>
      <c r="AW1120" s="331">
        <f>SQRT(($R1120-Infrastructure!J$4)^2+($S1120-Infrastructure!K$4)^2)</f>
        <v>30.90129447</v>
      </c>
      <c r="AX1120" s="331">
        <f>SQRT(($R1120-Infrastructure!J$5)^2+($S1120-Infrastructure!K$5)^2)</f>
        <v>40.83331973</v>
      </c>
      <c r="AY1120" s="331">
        <f>SQRT(($R1120-Infrastructure!J$6)^2+($S1120-Infrastructure!K$6)^2)</f>
        <v>40.88031311</v>
      </c>
      <c r="AZ1120" s="331">
        <f>SQRT(($R1120-Infrastructure!J$7)^2+($S1120-Infrastructure!K$7)^2)</f>
        <v>39.21836305</v>
      </c>
      <c r="BA1120" s="331">
        <f>SQRT(($R1120-Infrastructure!J$8)^2+($S1120-Infrastructure!K$8)^2)</f>
        <v>40.08989898</v>
      </c>
      <c r="BB1120" s="331">
        <f>SQRT(($R1120-Infrastructure!J$9)^2+($S1120-Infrastructure!K$9)^2)</f>
        <v>38.96472764</v>
      </c>
      <c r="BC1120" s="331">
        <f>SQRT(($R1120-Infrastructure!J$10)^2+($S1120-Infrastructure!K$10)^2)</f>
        <v>30.58005886</v>
      </c>
      <c r="BD1120" s="331">
        <f>SQRT(($R1120-Infrastructure!J$11)^2+($S1120-Infrastructure!K$11)^2)</f>
        <v>21.27204739</v>
      </c>
      <c r="BE1120" s="333">
        <f>SQRT(($R1120-Infrastructure!J$12)^2+($S1120-Infrastructure!K$12)^2)</f>
        <v>16.00124995</v>
      </c>
      <c r="BF1120" s="330">
        <f t="shared" si="130"/>
        <v>16.00124995</v>
      </c>
      <c r="BG1120" s="333">
        <f t="shared" si="131"/>
        <v>40.88031311</v>
      </c>
      <c r="BH1120" s="943">
        <v>36526.0</v>
      </c>
      <c r="BI1120" s="462" t="s">
        <v>845</v>
      </c>
      <c r="BJ1120" s="319" t="s">
        <v>845</v>
      </c>
      <c r="BK1120" s="319" t="s">
        <v>845</v>
      </c>
      <c r="BL1120" s="319" t="s">
        <v>845</v>
      </c>
      <c r="BM1120" s="955" t="s">
        <v>845</v>
      </c>
      <c r="BN1120" s="319" t="s">
        <v>845</v>
      </c>
      <c r="BO1120" s="319" t="s">
        <v>845</v>
      </c>
      <c r="BP1120" s="953" t="s">
        <v>845</v>
      </c>
      <c r="BQ1120" s="319" t="s">
        <v>845</v>
      </c>
      <c r="BR1120" s="324" t="s">
        <v>845</v>
      </c>
      <c r="BS1120" s="330">
        <f t="shared" si="126"/>
        <v>0</v>
      </c>
      <c r="BT1120" s="331">
        <f t="shared" si="127"/>
        <v>0</v>
      </c>
      <c r="BV1120" s="903"/>
      <c r="BW1120" s="907"/>
      <c r="BX1120" s="908"/>
      <c r="BY1120" s="331"/>
      <c r="BZ1120" s="340"/>
      <c r="CA1120" s="316"/>
      <c r="CB1120" s="318"/>
      <c r="CC1120" s="318"/>
      <c r="CD1120" s="318"/>
      <c r="CE1120" s="318"/>
      <c r="CF1120" s="318"/>
      <c r="CG1120" s="318"/>
      <c r="CH1120" s="318"/>
      <c r="CI1120" s="318"/>
      <c r="CJ1120" s="463"/>
      <c r="CK1120" s="342"/>
      <c r="CL1120" s="333"/>
      <c r="CM1120" s="829"/>
      <c r="CN1120" s="333"/>
      <c r="CO1120" s="333"/>
      <c r="CP1120" s="333"/>
    </row>
    <row r="1121">
      <c r="B1121" s="462" t="s">
        <v>1792</v>
      </c>
      <c r="C1121" s="914">
        <v>44532.0</v>
      </c>
      <c r="D1121" s="318"/>
      <c r="E1121" s="319">
        <v>3.0</v>
      </c>
      <c r="F1121" s="324" t="s">
        <v>1795</v>
      </c>
      <c r="G1121" s="321">
        <v>0.44837962962962963</v>
      </c>
      <c r="H1121" s="323">
        <v>0.44930555555555557</v>
      </c>
      <c r="I1121" s="323"/>
      <c r="J1121" s="323"/>
      <c r="K1121" s="323">
        <v>0.45</v>
      </c>
      <c r="L1121" s="323">
        <v>6.944444444444445E-4</v>
      </c>
      <c r="M1121" s="319" t="s">
        <v>166</v>
      </c>
      <c r="N1121" s="324" t="s">
        <v>188</v>
      </c>
      <c r="O1121" s="419" t="s">
        <v>196</v>
      </c>
      <c r="P1121" s="319" t="s">
        <v>225</v>
      </c>
      <c r="Q1121" s="318"/>
      <c r="R1121" s="326">
        <v>21.7</v>
      </c>
      <c r="S1121" s="319">
        <v>39.5</v>
      </c>
      <c r="T1121" s="324">
        <v>1.26</v>
      </c>
      <c r="U1121" s="319">
        <v>16.0</v>
      </c>
      <c r="V1121" s="319"/>
      <c r="W1121" s="319"/>
      <c r="X1121" s="319"/>
      <c r="Y1121" s="319"/>
      <c r="Z1121" s="319" t="s">
        <v>387</v>
      </c>
      <c r="AA1121" s="319"/>
      <c r="AB1121" s="319" t="s">
        <v>416</v>
      </c>
      <c r="AC1121" s="327">
        <v>52.5</v>
      </c>
      <c r="AD1121" s="319"/>
      <c r="AE1121" s="319"/>
      <c r="AF1121" s="319"/>
      <c r="AG1121" s="319"/>
      <c r="AH1121" s="319"/>
      <c r="AI1121" s="319"/>
      <c r="AJ1121" s="327"/>
      <c r="AK1121" s="328"/>
      <c r="AL1121" s="319"/>
      <c r="AM1121" s="319"/>
      <c r="AN1121" s="319"/>
      <c r="AO1121" s="319"/>
      <c r="AP1121" s="319"/>
      <c r="AQ1121" s="319"/>
      <c r="AR1121" s="319"/>
      <c r="AS1121" s="327"/>
      <c r="AT1121" s="461" t="s">
        <v>183</v>
      </c>
      <c r="AU1121" s="324" t="s">
        <v>845</v>
      </c>
      <c r="AV1121" s="330">
        <f>SQRT(($R1121-Infrastructure!J$3)^2+($S1121-Infrastructure!K$3)^2)</f>
        <v>24.42048321</v>
      </c>
      <c r="AW1121" s="331">
        <f>SQRT(($R1121-Infrastructure!J$4)^2+($S1121-Infrastructure!K$4)^2)</f>
        <v>30.90129447</v>
      </c>
      <c r="AX1121" s="331">
        <f>SQRT(($R1121-Infrastructure!J$5)^2+($S1121-Infrastructure!K$5)^2)</f>
        <v>40.83331973</v>
      </c>
      <c r="AY1121" s="331">
        <f>SQRT(($R1121-Infrastructure!J$6)^2+($S1121-Infrastructure!K$6)^2)</f>
        <v>40.88031311</v>
      </c>
      <c r="AZ1121" s="331">
        <f>SQRT(($R1121-Infrastructure!J$7)^2+($S1121-Infrastructure!K$7)^2)</f>
        <v>39.21836305</v>
      </c>
      <c r="BA1121" s="331">
        <f>SQRT(($R1121-Infrastructure!J$8)^2+($S1121-Infrastructure!K$8)^2)</f>
        <v>40.08989898</v>
      </c>
      <c r="BB1121" s="331">
        <f>SQRT(($R1121-Infrastructure!J$9)^2+($S1121-Infrastructure!K$9)^2)</f>
        <v>38.96472764</v>
      </c>
      <c r="BC1121" s="331">
        <f>SQRT(($R1121-Infrastructure!J$10)^2+($S1121-Infrastructure!K$10)^2)</f>
        <v>30.58005886</v>
      </c>
      <c r="BD1121" s="331">
        <f>SQRT(($R1121-Infrastructure!J$11)^2+($S1121-Infrastructure!K$11)^2)</f>
        <v>21.27204739</v>
      </c>
      <c r="BE1121" s="333">
        <f>SQRT(($R1121-Infrastructure!J$12)^2+($S1121-Infrastructure!K$12)^2)</f>
        <v>16.00124995</v>
      </c>
      <c r="BF1121" s="330">
        <f t="shared" si="130"/>
        <v>16.00124995</v>
      </c>
      <c r="BG1121" s="333">
        <f t="shared" si="131"/>
        <v>40.88031311</v>
      </c>
      <c r="BH1121" s="943">
        <v>36526.0</v>
      </c>
      <c r="BI1121" s="462" t="s">
        <v>846</v>
      </c>
      <c r="BJ1121" s="319" t="s">
        <v>846</v>
      </c>
      <c r="BK1121" s="319" t="s">
        <v>845</v>
      </c>
      <c r="BL1121" s="319" t="s">
        <v>845</v>
      </c>
      <c r="BM1121" s="955" t="s">
        <v>845</v>
      </c>
      <c r="BN1121" s="319" t="s">
        <v>846</v>
      </c>
      <c r="BO1121" s="319" t="s">
        <v>845</v>
      </c>
      <c r="BP1121" s="953" t="s">
        <v>846</v>
      </c>
      <c r="BQ1121" s="319" t="s">
        <v>846</v>
      </c>
      <c r="BR1121" s="324" t="s">
        <v>846</v>
      </c>
      <c r="BS1121" s="330">
        <f t="shared" si="126"/>
        <v>16.00124995</v>
      </c>
      <c r="BT1121" s="331">
        <f t="shared" si="127"/>
        <v>40.08989898</v>
      </c>
      <c r="BU1121" s="920">
        <v>0.44850694444444444</v>
      </c>
      <c r="BV1121" s="903">
        <f t="shared" ref="BV1121:BV1123" si="132">BU1121-G1121</f>
        <v>0.0001273148148</v>
      </c>
      <c r="BW1121" s="907">
        <v>18.9</v>
      </c>
      <c r="BX1121" s="908">
        <v>24.4</v>
      </c>
      <c r="BY1121" s="331">
        <f t="shared" ref="BY1121:BY1123" si="133">IF(BW1121&gt;0, SQRT((R1121-BW1121)^2+(S1121-BX1121)^2))</f>
        <v>15.35740864</v>
      </c>
      <c r="BZ1121" s="340"/>
      <c r="CA1121" s="316"/>
      <c r="CB1121" s="318"/>
      <c r="CC1121" s="318"/>
      <c r="CD1121" s="318"/>
      <c r="CE1121" s="318"/>
      <c r="CF1121" s="318"/>
      <c r="CG1121" s="318"/>
      <c r="CH1121" s="318"/>
      <c r="CI1121" s="318"/>
      <c r="CJ1121" s="463"/>
      <c r="CK1121" s="342"/>
      <c r="CL1121" s="333"/>
      <c r="CM1121" s="829"/>
      <c r="CN1121" s="333"/>
      <c r="CO1121" s="333"/>
      <c r="CP1121" s="333"/>
    </row>
    <row r="1122">
      <c r="B1122" s="462" t="s">
        <v>1792</v>
      </c>
      <c r="C1122" s="914">
        <v>44532.0</v>
      </c>
      <c r="D1122" s="318"/>
      <c r="E1122" s="319">
        <v>4.0</v>
      </c>
      <c r="F1122" s="324" t="s">
        <v>1796</v>
      </c>
      <c r="G1122" s="321">
        <v>0.4525462962962963</v>
      </c>
      <c r="H1122" s="323">
        <v>0.45329861111111114</v>
      </c>
      <c r="I1122" s="323"/>
      <c r="J1122" s="323"/>
      <c r="K1122" s="323">
        <v>0.45381944444444444</v>
      </c>
      <c r="L1122" s="323">
        <v>5.208333333333333E-4</v>
      </c>
      <c r="M1122" s="319" t="s">
        <v>166</v>
      </c>
      <c r="N1122" s="324" t="s">
        <v>188</v>
      </c>
      <c r="O1122" s="419" t="s">
        <v>196</v>
      </c>
      <c r="P1122" s="319" t="s">
        <v>225</v>
      </c>
      <c r="Q1122" s="318"/>
      <c r="R1122" s="326">
        <v>21.7</v>
      </c>
      <c r="S1122" s="319">
        <v>39.5</v>
      </c>
      <c r="T1122" s="324">
        <v>1.26</v>
      </c>
      <c r="U1122" s="319">
        <v>16.0</v>
      </c>
      <c r="V1122" s="319"/>
      <c r="W1122" s="319"/>
      <c r="X1122" s="319"/>
      <c r="Y1122" s="319"/>
      <c r="Z1122" s="319" t="s">
        <v>387</v>
      </c>
      <c r="AA1122" s="319"/>
      <c r="AB1122" s="319" t="s">
        <v>416</v>
      </c>
      <c r="AC1122" s="327">
        <v>52.5</v>
      </c>
      <c r="AD1122" s="319"/>
      <c r="AE1122" s="319"/>
      <c r="AF1122" s="319"/>
      <c r="AG1122" s="319"/>
      <c r="AH1122" s="319"/>
      <c r="AI1122" s="319"/>
      <c r="AJ1122" s="327"/>
      <c r="AK1122" s="328"/>
      <c r="AL1122" s="319"/>
      <c r="AM1122" s="319"/>
      <c r="AN1122" s="319"/>
      <c r="AO1122" s="319"/>
      <c r="AP1122" s="319"/>
      <c r="AQ1122" s="319"/>
      <c r="AR1122" s="319"/>
      <c r="AS1122" s="327"/>
      <c r="AT1122" s="461" t="s">
        <v>183</v>
      </c>
      <c r="AU1122" s="324" t="s">
        <v>845</v>
      </c>
      <c r="AV1122" s="330">
        <f>SQRT(($R1122-Infrastructure!J$3)^2+($S1122-Infrastructure!K$3)^2)</f>
        <v>24.42048321</v>
      </c>
      <c r="AW1122" s="331">
        <f>SQRT(($R1122-Infrastructure!J$4)^2+($S1122-Infrastructure!K$4)^2)</f>
        <v>30.90129447</v>
      </c>
      <c r="AX1122" s="331">
        <f>SQRT(($R1122-Infrastructure!J$5)^2+($S1122-Infrastructure!K$5)^2)</f>
        <v>40.83331973</v>
      </c>
      <c r="AY1122" s="331">
        <f>SQRT(($R1122-Infrastructure!J$6)^2+($S1122-Infrastructure!K$6)^2)</f>
        <v>40.88031311</v>
      </c>
      <c r="AZ1122" s="331">
        <f>SQRT(($R1122-Infrastructure!J$7)^2+($S1122-Infrastructure!K$7)^2)</f>
        <v>39.21836305</v>
      </c>
      <c r="BA1122" s="331">
        <f>SQRT(($R1122-Infrastructure!J$8)^2+($S1122-Infrastructure!K$8)^2)</f>
        <v>40.08989898</v>
      </c>
      <c r="BB1122" s="331">
        <f>SQRT(($R1122-Infrastructure!J$9)^2+($S1122-Infrastructure!K$9)^2)</f>
        <v>38.96472764</v>
      </c>
      <c r="BC1122" s="331">
        <f>SQRT(($R1122-Infrastructure!J$10)^2+($S1122-Infrastructure!K$10)^2)</f>
        <v>30.58005886</v>
      </c>
      <c r="BD1122" s="331">
        <f>SQRT(($R1122-Infrastructure!J$11)^2+($S1122-Infrastructure!K$11)^2)</f>
        <v>21.27204739</v>
      </c>
      <c r="BE1122" s="333">
        <f>SQRT(($R1122-Infrastructure!J$12)^2+($S1122-Infrastructure!K$12)^2)</f>
        <v>16.00124995</v>
      </c>
      <c r="BF1122" s="330">
        <f t="shared" si="130"/>
        <v>16.00124995</v>
      </c>
      <c r="BG1122" s="333">
        <f t="shared" si="131"/>
        <v>40.88031311</v>
      </c>
      <c r="BH1122" s="943">
        <v>36526.0</v>
      </c>
      <c r="BI1122" s="462" t="s">
        <v>846</v>
      </c>
      <c r="BJ1122" s="319" t="s">
        <v>846</v>
      </c>
      <c r="BK1122" s="319" t="s">
        <v>845</v>
      </c>
      <c r="BL1122" s="319" t="s">
        <v>845</v>
      </c>
      <c r="BM1122" s="955" t="s">
        <v>845</v>
      </c>
      <c r="BN1122" s="319" t="s">
        <v>846</v>
      </c>
      <c r="BO1122" s="319" t="s">
        <v>845</v>
      </c>
      <c r="BP1122" s="953" t="s">
        <v>845</v>
      </c>
      <c r="BQ1122" s="319" t="s">
        <v>846</v>
      </c>
      <c r="BR1122" s="324" t="s">
        <v>846</v>
      </c>
      <c r="BS1122" s="330">
        <f t="shared" si="126"/>
        <v>16.00124995</v>
      </c>
      <c r="BT1122" s="331">
        <f t="shared" si="127"/>
        <v>40.08989898</v>
      </c>
      <c r="BU1122" s="920">
        <v>0.4527083333333333</v>
      </c>
      <c r="BV1122" s="903">
        <f t="shared" si="132"/>
        <v>0.000162037037</v>
      </c>
      <c r="BW1122" s="907">
        <v>17.5</v>
      </c>
      <c r="BX1122" s="908">
        <v>22.8</v>
      </c>
      <c r="BY1122" s="331">
        <f t="shared" si="133"/>
        <v>17.22004646</v>
      </c>
      <c r="BZ1122" s="340"/>
      <c r="CA1122" s="316"/>
      <c r="CB1122" s="318"/>
      <c r="CC1122" s="318"/>
      <c r="CD1122" s="318"/>
      <c r="CE1122" s="318"/>
      <c r="CF1122" s="318"/>
      <c r="CG1122" s="318"/>
      <c r="CH1122" s="318"/>
      <c r="CI1122" s="318"/>
      <c r="CJ1122" s="463"/>
      <c r="CK1122" s="342"/>
      <c r="CL1122" s="333"/>
      <c r="CM1122" s="829"/>
      <c r="CN1122" s="333"/>
      <c r="CO1122" s="333"/>
      <c r="CP1122" s="333"/>
    </row>
    <row r="1123">
      <c r="B1123" s="462" t="s">
        <v>1792</v>
      </c>
      <c r="C1123" s="914">
        <v>44532.0</v>
      </c>
      <c r="D1123" s="318"/>
      <c r="E1123" s="319">
        <v>5.0</v>
      </c>
      <c r="F1123" s="324" t="s">
        <v>1797</v>
      </c>
      <c r="G1123" s="321">
        <v>0.46041666666666664</v>
      </c>
      <c r="H1123" s="323">
        <v>0.4605902777777778</v>
      </c>
      <c r="I1123" s="323"/>
      <c r="J1123" s="323"/>
      <c r="K1123" s="323">
        <v>0.4621527777777778</v>
      </c>
      <c r="L1123" s="323">
        <v>0.0015625</v>
      </c>
      <c r="M1123" s="319" t="s">
        <v>166</v>
      </c>
      <c r="N1123" s="324" t="s">
        <v>188</v>
      </c>
      <c r="O1123" s="419" t="s">
        <v>196</v>
      </c>
      <c r="P1123" s="319" t="s">
        <v>224</v>
      </c>
      <c r="Q1123" s="318"/>
      <c r="R1123" s="326">
        <v>21.7</v>
      </c>
      <c r="S1123" s="319">
        <v>39.5</v>
      </c>
      <c r="T1123" s="324">
        <v>1.26</v>
      </c>
      <c r="U1123" s="319">
        <v>25.0</v>
      </c>
      <c r="V1123" s="319"/>
      <c r="W1123" s="319"/>
      <c r="X1123" s="319"/>
      <c r="Y1123" s="319"/>
      <c r="Z1123" s="319" t="s">
        <v>387</v>
      </c>
      <c r="AA1123" s="319"/>
      <c r="AB1123" s="319" t="s">
        <v>416</v>
      </c>
      <c r="AC1123" s="327">
        <v>52.5</v>
      </c>
      <c r="AD1123" s="319"/>
      <c r="AE1123" s="319"/>
      <c r="AF1123" s="319"/>
      <c r="AG1123" s="319"/>
      <c r="AH1123" s="319"/>
      <c r="AI1123" s="319"/>
      <c r="AJ1123" s="327"/>
      <c r="AK1123" s="328"/>
      <c r="AL1123" s="319"/>
      <c r="AM1123" s="319"/>
      <c r="AN1123" s="319"/>
      <c r="AO1123" s="319"/>
      <c r="AP1123" s="319"/>
      <c r="AQ1123" s="319"/>
      <c r="AR1123" s="319"/>
      <c r="AS1123" s="327"/>
      <c r="AT1123" s="461" t="s">
        <v>183</v>
      </c>
      <c r="AU1123" s="324" t="s">
        <v>845</v>
      </c>
      <c r="AV1123" s="330">
        <f>SQRT(($R1123-Infrastructure!J$3)^2+($S1123-Infrastructure!K$3)^2)</f>
        <v>24.42048321</v>
      </c>
      <c r="AW1123" s="331">
        <f>SQRT(($R1123-Infrastructure!J$4)^2+($S1123-Infrastructure!K$4)^2)</f>
        <v>30.90129447</v>
      </c>
      <c r="AX1123" s="331">
        <f>SQRT(($R1123-Infrastructure!J$5)^2+($S1123-Infrastructure!K$5)^2)</f>
        <v>40.83331973</v>
      </c>
      <c r="AY1123" s="331">
        <f>SQRT(($R1123-Infrastructure!J$6)^2+($S1123-Infrastructure!K$6)^2)</f>
        <v>40.88031311</v>
      </c>
      <c r="AZ1123" s="331">
        <f>SQRT(($R1123-Infrastructure!J$7)^2+($S1123-Infrastructure!K$7)^2)</f>
        <v>39.21836305</v>
      </c>
      <c r="BA1123" s="331">
        <f>SQRT(($R1123-Infrastructure!J$8)^2+($S1123-Infrastructure!K$8)^2)</f>
        <v>40.08989898</v>
      </c>
      <c r="BB1123" s="331">
        <f>SQRT(($R1123-Infrastructure!J$9)^2+($S1123-Infrastructure!K$9)^2)</f>
        <v>38.96472764</v>
      </c>
      <c r="BC1123" s="331">
        <f>SQRT(($R1123-Infrastructure!J$10)^2+($S1123-Infrastructure!K$10)^2)</f>
        <v>30.58005886</v>
      </c>
      <c r="BD1123" s="331">
        <f>SQRT(($R1123-Infrastructure!J$11)^2+($S1123-Infrastructure!K$11)^2)</f>
        <v>21.27204739</v>
      </c>
      <c r="BE1123" s="333">
        <f>SQRT(($R1123-Infrastructure!J$12)^2+($S1123-Infrastructure!K$12)^2)</f>
        <v>16.00124995</v>
      </c>
      <c r="BF1123" s="330">
        <f t="shared" si="130"/>
        <v>16.00124995</v>
      </c>
      <c r="BG1123" s="333">
        <f t="shared" si="131"/>
        <v>40.88031311</v>
      </c>
      <c r="BH1123" s="943">
        <v>36526.0</v>
      </c>
      <c r="BI1123" s="462" t="s">
        <v>846</v>
      </c>
      <c r="BJ1123" s="319" t="s">
        <v>846</v>
      </c>
      <c r="BK1123" s="319" t="s">
        <v>846</v>
      </c>
      <c r="BL1123" s="319" t="s">
        <v>846</v>
      </c>
      <c r="BM1123" s="955" t="s">
        <v>845</v>
      </c>
      <c r="BN1123" s="319" t="s">
        <v>846</v>
      </c>
      <c r="BO1123" s="319" t="s">
        <v>845</v>
      </c>
      <c r="BP1123" s="953" t="s">
        <v>846</v>
      </c>
      <c r="BQ1123" s="319" t="s">
        <v>846</v>
      </c>
      <c r="BR1123" s="324" t="s">
        <v>846</v>
      </c>
      <c r="BS1123" s="330">
        <f t="shared" si="126"/>
        <v>16.00124995</v>
      </c>
      <c r="BT1123" s="331">
        <f t="shared" si="127"/>
        <v>40.88031311</v>
      </c>
      <c r="BU1123" s="920">
        <v>0.46056712962962965</v>
      </c>
      <c r="BV1123" s="903">
        <f t="shared" si="132"/>
        <v>0.000150462963</v>
      </c>
      <c r="BW1123" s="907">
        <v>17.9</v>
      </c>
      <c r="BX1123" s="908">
        <v>20.4</v>
      </c>
      <c r="BY1123" s="331">
        <f t="shared" si="133"/>
        <v>19.47434209</v>
      </c>
      <c r="BZ1123" s="340"/>
      <c r="CA1123" s="316"/>
      <c r="CB1123" s="318"/>
      <c r="CC1123" s="318"/>
      <c r="CD1123" s="318"/>
      <c r="CE1123" s="318"/>
      <c r="CF1123" s="318"/>
      <c r="CG1123" s="318"/>
      <c r="CH1123" s="318"/>
      <c r="CI1123" s="318"/>
      <c r="CJ1123" s="463"/>
      <c r="CK1123" s="342"/>
      <c r="CL1123" s="333"/>
      <c r="CM1123" s="829"/>
      <c r="CN1123" s="333"/>
      <c r="CO1123" s="333"/>
      <c r="CP1123" s="333"/>
    </row>
    <row r="1124">
      <c r="B1124" s="462" t="s">
        <v>1792</v>
      </c>
      <c r="C1124" s="914">
        <v>44532.0</v>
      </c>
      <c r="D1124" s="318"/>
      <c r="E1124" s="319"/>
      <c r="F1124" s="324" t="s">
        <v>1798</v>
      </c>
      <c r="G1124" s="321">
        <v>0.4625</v>
      </c>
      <c r="H1124" s="323"/>
      <c r="I1124" s="323"/>
      <c r="J1124" s="323"/>
      <c r="K1124" s="323">
        <v>0.46284722222222224</v>
      </c>
      <c r="L1124" s="323">
        <v>3.4722222222222224E-4</v>
      </c>
      <c r="M1124" s="319" t="s">
        <v>166</v>
      </c>
      <c r="N1124" s="324" t="s">
        <v>188</v>
      </c>
      <c r="O1124" s="419"/>
      <c r="P1124" s="319" t="s">
        <v>292</v>
      </c>
      <c r="Q1124" s="318"/>
      <c r="R1124" s="833"/>
      <c r="S1124" s="834"/>
      <c r="T1124" s="940"/>
      <c r="U1124" s="834"/>
      <c r="V1124" s="834"/>
      <c r="W1124" s="834"/>
      <c r="X1124" s="834"/>
      <c r="Y1124" s="834"/>
      <c r="Z1124" s="319" t="s">
        <v>323</v>
      </c>
      <c r="AA1124" s="319"/>
      <c r="AB1124" s="319" t="s">
        <v>323</v>
      </c>
      <c r="AC1124" s="327" t="s">
        <v>323</v>
      </c>
      <c r="AD1124" s="319"/>
      <c r="AE1124" s="319"/>
      <c r="AF1124" s="319"/>
      <c r="AG1124" s="319"/>
      <c r="AH1124" s="319"/>
      <c r="AI1124" s="319"/>
      <c r="AJ1124" s="327"/>
      <c r="AK1124" s="328"/>
      <c r="AL1124" s="319"/>
      <c r="AM1124" s="319"/>
      <c r="AN1124" s="319"/>
      <c r="AO1124" s="319"/>
      <c r="AP1124" s="319"/>
      <c r="AQ1124" s="319"/>
      <c r="AR1124" s="319"/>
      <c r="AS1124" s="327"/>
      <c r="AT1124" s="461"/>
      <c r="AU1124" s="324" t="s">
        <v>845</v>
      </c>
      <c r="AV1124" s="330"/>
      <c r="AW1124" s="331"/>
      <c r="AX1124" s="331"/>
      <c r="AY1124" s="331"/>
      <c r="AZ1124" s="331"/>
      <c r="BA1124" s="331"/>
      <c r="BB1124" s="331"/>
      <c r="BC1124" s="331"/>
      <c r="BD1124" s="331"/>
      <c r="BE1124" s="333"/>
      <c r="BF1124" s="330"/>
      <c r="BG1124" s="333"/>
      <c r="BH1124" s="943">
        <v>36526.0</v>
      </c>
      <c r="BI1124" s="462"/>
      <c r="BJ1124" s="319"/>
      <c r="BK1124" s="319"/>
      <c r="BL1124" s="319"/>
      <c r="BM1124" s="955"/>
      <c r="BN1124" s="319"/>
      <c r="BO1124" s="319"/>
      <c r="BP1124" s="953"/>
      <c r="BQ1124" s="319"/>
      <c r="BR1124" s="324"/>
      <c r="BS1124" s="330"/>
      <c r="BT1124" s="331"/>
      <c r="BU1124" s="920"/>
      <c r="BV1124" s="903"/>
      <c r="BW1124" s="907"/>
      <c r="BX1124" s="908"/>
      <c r="BY1124" s="331"/>
      <c r="BZ1124" s="340"/>
      <c r="CA1124" s="316"/>
      <c r="CB1124" s="318"/>
      <c r="CC1124" s="318"/>
      <c r="CD1124" s="318"/>
      <c r="CE1124" s="318"/>
      <c r="CF1124" s="318"/>
      <c r="CG1124" s="318"/>
      <c r="CH1124" s="318"/>
      <c r="CI1124" s="318"/>
      <c r="CJ1124" s="463"/>
      <c r="CK1124" s="342"/>
      <c r="CL1124" s="333"/>
      <c r="CM1124" s="829"/>
      <c r="CN1124" s="333"/>
      <c r="CO1124" s="333"/>
      <c r="CP1124" s="333"/>
    </row>
    <row r="1125">
      <c r="B1125" s="462" t="s">
        <v>1792</v>
      </c>
      <c r="C1125" s="914">
        <v>44532.0</v>
      </c>
      <c r="D1125" s="318"/>
      <c r="E1125" s="319"/>
      <c r="F1125" s="324" t="s">
        <v>1798</v>
      </c>
      <c r="G1125" s="321">
        <v>0.4666666666666667</v>
      </c>
      <c r="H1125" s="323"/>
      <c r="I1125" s="323"/>
      <c r="J1125" s="323"/>
      <c r="K1125" s="323">
        <v>0.4756944444444444</v>
      </c>
      <c r="L1125" s="323">
        <v>0.009027777777777777</v>
      </c>
      <c r="M1125" s="319" t="s">
        <v>358</v>
      </c>
      <c r="N1125" s="324" t="s">
        <v>188</v>
      </c>
      <c r="O1125" s="419"/>
      <c r="P1125" s="319" t="s">
        <v>294</v>
      </c>
      <c r="Q1125" s="318"/>
      <c r="R1125" s="833"/>
      <c r="S1125" s="834"/>
      <c r="T1125" s="940"/>
      <c r="U1125" s="834"/>
      <c r="V1125" s="834"/>
      <c r="W1125" s="834"/>
      <c r="X1125" s="834"/>
      <c r="Y1125" s="834"/>
      <c r="Z1125" s="319" t="s">
        <v>323</v>
      </c>
      <c r="AA1125" s="319"/>
      <c r="AB1125" s="319" t="s">
        <v>323</v>
      </c>
      <c r="AC1125" s="327" t="s">
        <v>323</v>
      </c>
      <c r="AD1125" s="319"/>
      <c r="AE1125" s="319"/>
      <c r="AF1125" s="319"/>
      <c r="AG1125" s="319"/>
      <c r="AH1125" s="319"/>
      <c r="AI1125" s="319"/>
      <c r="AJ1125" s="327"/>
      <c r="AK1125" s="328"/>
      <c r="AL1125" s="319"/>
      <c r="AM1125" s="319"/>
      <c r="AN1125" s="319"/>
      <c r="AO1125" s="319"/>
      <c r="AP1125" s="319"/>
      <c r="AQ1125" s="319"/>
      <c r="AR1125" s="319"/>
      <c r="AS1125" s="327"/>
      <c r="AT1125" s="461"/>
      <c r="AU1125" s="324" t="s">
        <v>845</v>
      </c>
      <c r="AV1125" s="330"/>
      <c r="AW1125" s="331"/>
      <c r="AX1125" s="331"/>
      <c r="AY1125" s="331"/>
      <c r="AZ1125" s="331"/>
      <c r="BA1125" s="331"/>
      <c r="BB1125" s="331"/>
      <c r="BC1125" s="331"/>
      <c r="BD1125" s="331"/>
      <c r="BE1125" s="333"/>
      <c r="BF1125" s="330"/>
      <c r="BG1125" s="333"/>
      <c r="BH1125" s="943">
        <v>36526.0</v>
      </c>
      <c r="BI1125" s="462"/>
      <c r="BJ1125" s="319"/>
      <c r="BK1125" s="319"/>
      <c r="BL1125" s="319"/>
      <c r="BM1125" s="955"/>
      <c r="BN1125" s="319"/>
      <c r="BO1125" s="319"/>
      <c r="BP1125" s="953"/>
      <c r="BQ1125" s="319"/>
      <c r="BR1125" s="324"/>
      <c r="BS1125" s="330"/>
      <c r="BT1125" s="331"/>
      <c r="BU1125" s="920"/>
      <c r="BV1125" s="903"/>
      <c r="BW1125" s="907"/>
      <c r="BX1125" s="908"/>
      <c r="BY1125" s="331"/>
      <c r="BZ1125" s="340"/>
      <c r="CA1125" s="316"/>
      <c r="CB1125" s="318"/>
      <c r="CC1125" s="318"/>
      <c r="CD1125" s="318"/>
      <c r="CE1125" s="318"/>
      <c r="CF1125" s="318"/>
      <c r="CG1125" s="318"/>
      <c r="CH1125" s="318"/>
      <c r="CI1125" s="318"/>
      <c r="CJ1125" s="463"/>
      <c r="CK1125" s="342"/>
      <c r="CL1125" s="333"/>
      <c r="CM1125" s="829"/>
      <c r="CN1125" s="333"/>
      <c r="CO1125" s="333"/>
      <c r="CP1125" s="333"/>
    </row>
    <row r="1126">
      <c r="A1126" s="389" t="s">
        <v>59</v>
      </c>
      <c r="B1126" s="573" t="s">
        <v>1799</v>
      </c>
      <c r="C1126" s="909">
        <v>44536.0</v>
      </c>
      <c r="D1126" s="392"/>
      <c r="E1126" s="393" t="s">
        <v>1453</v>
      </c>
      <c r="F1126" s="394" t="s">
        <v>1800</v>
      </c>
      <c r="G1126" s="395">
        <v>0.40150462962962963</v>
      </c>
      <c r="H1126" s="456">
        <v>0.40185185185185185</v>
      </c>
      <c r="I1126" s="456"/>
      <c r="J1126" s="456"/>
      <c r="K1126" s="456">
        <v>0.40208333333333335</v>
      </c>
      <c r="L1126" s="456">
        <v>2.314814814814815E-4</v>
      </c>
      <c r="M1126" s="393" t="s">
        <v>166</v>
      </c>
      <c r="N1126" s="394" t="s">
        <v>188</v>
      </c>
      <c r="O1126" s="399" t="s">
        <v>378</v>
      </c>
      <c r="P1126" s="393" t="s">
        <v>225</v>
      </c>
      <c r="Q1126" s="392"/>
      <c r="R1126" s="400">
        <v>22.7</v>
      </c>
      <c r="S1126" s="393">
        <v>39.7</v>
      </c>
      <c r="T1126" s="394">
        <v>1.9</v>
      </c>
      <c r="U1126" s="393">
        <v>5.0</v>
      </c>
      <c r="V1126" s="393"/>
      <c r="W1126" s="393"/>
      <c r="X1126" s="393"/>
      <c r="Y1126" s="393"/>
      <c r="Z1126" s="393" t="s">
        <v>1140</v>
      </c>
      <c r="AA1126" s="393"/>
      <c r="AB1126" s="393" t="s">
        <v>398</v>
      </c>
      <c r="AC1126" s="401">
        <v>6.0</v>
      </c>
      <c r="AD1126" s="393"/>
      <c r="AE1126" s="393"/>
      <c r="AF1126" s="393"/>
      <c r="AG1126" s="393"/>
      <c r="AH1126" s="393"/>
      <c r="AI1126" s="393"/>
      <c r="AJ1126" s="401"/>
      <c r="AK1126" s="402"/>
      <c r="AL1126" s="393"/>
      <c r="AM1126" s="393"/>
      <c r="AN1126" s="393"/>
      <c r="AO1126" s="393"/>
      <c r="AP1126" s="393"/>
      <c r="AQ1126" s="393"/>
      <c r="AR1126" s="393"/>
      <c r="AS1126" s="401"/>
      <c r="AT1126" s="460" t="s">
        <v>182</v>
      </c>
      <c r="AU1126" s="394" t="s">
        <v>845</v>
      </c>
      <c r="AV1126" s="405">
        <f>SQRT(($R1126-Infrastructure!J$3)^2+($S1126-Infrastructure!K$3)^2)</f>
        <v>25.40944706</v>
      </c>
      <c r="AW1126" s="406">
        <f>SQRT(($R1126-Infrastructure!J$4)^2+($S1126-Infrastructure!K$4)^2)</f>
        <v>31.75862088</v>
      </c>
      <c r="AX1126" s="406">
        <f>SQRT(($R1126-Infrastructure!J$5)^2+($S1126-Infrastructure!K$5)^2)</f>
        <v>41.54708173</v>
      </c>
      <c r="AY1126" s="406">
        <f>SQRT(($R1126-Infrastructure!J$6)^2+($S1126-Infrastructure!K$6)^2)</f>
        <v>41.36568626</v>
      </c>
      <c r="AZ1126" s="406">
        <f>SQRT(($R1126-Infrastructure!J$7)^2+($S1126-Infrastructure!K$7)^2)</f>
        <v>39.46137352</v>
      </c>
      <c r="BA1126" s="406">
        <f>SQRT(($R1126-Infrastructure!J$8)^2+($S1126-Infrastructure!K$8)^2)</f>
        <v>40.08890121</v>
      </c>
      <c r="BB1126" s="406">
        <f>SQRT(($R1126-Infrastructure!J$9)^2+($S1126-Infrastructure!K$9)^2)</f>
        <v>38.68397601</v>
      </c>
      <c r="BC1126" s="406">
        <f>SQRT(($R1126-Infrastructure!J$10)^2+($S1126-Infrastructure!K$10)^2)</f>
        <v>30.15592811</v>
      </c>
      <c r="BD1126" s="406">
        <f>SQRT(($R1126-Infrastructure!J$11)^2+($S1126-Infrastructure!K$11)^2)</f>
        <v>20.51194774</v>
      </c>
      <c r="BE1126" s="408">
        <f>SQRT(($R1126-Infrastructure!J$12)^2+($S1126-Infrastructure!K$12)^2)</f>
        <v>15.84550409</v>
      </c>
      <c r="BF1126" s="405">
        <f t="shared" ref="BF1126:BF1137" si="134">MIN(AV1126:BE1126)</f>
        <v>15.84550409</v>
      </c>
      <c r="BG1126" s="408">
        <f t="shared" ref="BG1126:BG1137" si="135">MAX(AV1126:BE1126)</f>
        <v>41.54708173</v>
      </c>
      <c r="BH1126" s="961">
        <v>36526.0</v>
      </c>
      <c r="BI1126" s="573" t="s">
        <v>846</v>
      </c>
      <c r="BJ1126" s="393" t="s">
        <v>846</v>
      </c>
      <c r="BK1126" s="393" t="s">
        <v>846</v>
      </c>
      <c r="BL1126" s="393" t="s">
        <v>846</v>
      </c>
      <c r="BM1126" s="959" t="s">
        <v>845</v>
      </c>
      <c r="BN1126" s="393" t="s">
        <v>846</v>
      </c>
      <c r="BO1126" s="393" t="s">
        <v>845</v>
      </c>
      <c r="BP1126" s="960" t="s">
        <v>846</v>
      </c>
      <c r="BQ1126" s="393" t="s">
        <v>846</v>
      </c>
      <c r="BR1126" s="394" t="s">
        <v>846</v>
      </c>
      <c r="BS1126" s="405">
        <f t="shared" ref="BS1126:BS1137" si="136">MINIFS(AV1126:BE1126,BI1126:BR1126, "Y")</f>
        <v>15.84550409</v>
      </c>
      <c r="BT1126" s="406">
        <f t="shared" ref="BT1126:BT1137" si="137">MAXIFS(AV1126:BE1126,BI1126:BR1126, "Y")</f>
        <v>41.54708173</v>
      </c>
      <c r="BU1126" s="931">
        <v>0.40164351851851854</v>
      </c>
      <c r="BV1126" s="901">
        <f t="shared" ref="BV1126:BV1137" si="138">BU1126-G1126</f>
        <v>0.0001388888889</v>
      </c>
      <c r="BW1126" s="925">
        <v>18.4</v>
      </c>
      <c r="BX1126" s="926">
        <v>18.9</v>
      </c>
      <c r="BY1126" s="406">
        <f t="shared" ref="BY1126:BY1137" si="139">IF(BW1126&gt;0, SQRT((R1126-BW1126)^2+(S1126-BX1126)^2))</f>
        <v>21.23982109</v>
      </c>
      <c r="BZ1126" s="412"/>
      <c r="CA1126" s="390"/>
      <c r="CB1126" s="392"/>
      <c r="CC1126" s="392"/>
      <c r="CD1126" s="392"/>
      <c r="CE1126" s="392"/>
      <c r="CF1126" s="392"/>
      <c r="CG1126" s="392"/>
      <c r="CH1126" s="392"/>
      <c r="CI1126" s="392"/>
      <c r="CJ1126" s="898"/>
      <c r="CK1126" s="414"/>
      <c r="CL1126" s="408"/>
      <c r="CM1126" s="832"/>
      <c r="CN1126" s="333"/>
      <c r="CO1126" s="333"/>
      <c r="CP1126" s="333"/>
    </row>
    <row r="1127">
      <c r="B1127" s="462" t="s">
        <v>1799</v>
      </c>
      <c r="C1127" s="914">
        <v>44536.0</v>
      </c>
      <c r="D1127" s="318"/>
      <c r="E1127" s="319" t="s">
        <v>1455</v>
      </c>
      <c r="F1127" s="324" t="s">
        <v>1801</v>
      </c>
      <c r="G1127" s="321">
        <v>0.40208333333333335</v>
      </c>
      <c r="H1127" s="323">
        <v>0.4025462962962963</v>
      </c>
      <c r="I1127" s="323"/>
      <c r="J1127" s="323"/>
      <c r="K1127" s="323">
        <v>0.4027777777777778</v>
      </c>
      <c r="L1127" s="323">
        <v>2.314814814814815E-4</v>
      </c>
      <c r="M1127" s="319" t="s">
        <v>166</v>
      </c>
      <c r="N1127" s="324" t="s">
        <v>188</v>
      </c>
      <c r="O1127" s="419" t="s">
        <v>378</v>
      </c>
      <c r="P1127" s="319" t="s">
        <v>225</v>
      </c>
      <c r="Q1127" s="318"/>
      <c r="R1127" s="326">
        <v>22.7</v>
      </c>
      <c r="S1127" s="319">
        <v>39.7</v>
      </c>
      <c r="T1127" s="324">
        <v>1.9</v>
      </c>
      <c r="U1127" s="319">
        <v>7.0</v>
      </c>
      <c r="V1127" s="319"/>
      <c r="W1127" s="319"/>
      <c r="X1127" s="319"/>
      <c r="Y1127" s="319"/>
      <c r="Z1127" s="319" t="s">
        <v>1140</v>
      </c>
      <c r="AA1127" s="319"/>
      <c r="AB1127" s="319" t="s">
        <v>398</v>
      </c>
      <c r="AC1127" s="327">
        <v>6.0</v>
      </c>
      <c r="AD1127" s="319"/>
      <c r="AE1127" s="319"/>
      <c r="AF1127" s="319"/>
      <c r="AG1127" s="319"/>
      <c r="AH1127" s="319"/>
      <c r="AI1127" s="319"/>
      <c r="AJ1127" s="327"/>
      <c r="AK1127" s="328"/>
      <c r="AL1127" s="319"/>
      <c r="AM1127" s="319"/>
      <c r="AN1127" s="319"/>
      <c r="AO1127" s="319"/>
      <c r="AP1127" s="319"/>
      <c r="AQ1127" s="319"/>
      <c r="AR1127" s="319"/>
      <c r="AS1127" s="327"/>
      <c r="AT1127" s="461" t="s">
        <v>182</v>
      </c>
      <c r="AU1127" s="324" t="s">
        <v>845</v>
      </c>
      <c r="AV1127" s="330">
        <f>SQRT(($R1127-Infrastructure!J$3)^2+($S1127-Infrastructure!K$3)^2)</f>
        <v>25.40944706</v>
      </c>
      <c r="AW1127" s="331">
        <f>SQRT(($R1127-Infrastructure!J$4)^2+($S1127-Infrastructure!K$4)^2)</f>
        <v>31.75862088</v>
      </c>
      <c r="AX1127" s="331">
        <f>SQRT(($R1127-Infrastructure!J$5)^2+($S1127-Infrastructure!K$5)^2)</f>
        <v>41.54708173</v>
      </c>
      <c r="AY1127" s="331">
        <f>SQRT(($R1127-Infrastructure!J$6)^2+($S1127-Infrastructure!K$6)^2)</f>
        <v>41.36568626</v>
      </c>
      <c r="AZ1127" s="331">
        <f>SQRT(($R1127-Infrastructure!J$7)^2+($S1127-Infrastructure!K$7)^2)</f>
        <v>39.46137352</v>
      </c>
      <c r="BA1127" s="331">
        <f>SQRT(($R1127-Infrastructure!J$8)^2+($S1127-Infrastructure!K$8)^2)</f>
        <v>40.08890121</v>
      </c>
      <c r="BB1127" s="331">
        <f>SQRT(($R1127-Infrastructure!J$9)^2+($S1127-Infrastructure!K$9)^2)</f>
        <v>38.68397601</v>
      </c>
      <c r="BC1127" s="331">
        <f>SQRT(($R1127-Infrastructure!J$10)^2+($S1127-Infrastructure!K$10)^2)</f>
        <v>30.15592811</v>
      </c>
      <c r="BD1127" s="331">
        <f>SQRT(($R1127-Infrastructure!J$11)^2+($S1127-Infrastructure!K$11)^2)</f>
        <v>20.51194774</v>
      </c>
      <c r="BE1127" s="333">
        <f>SQRT(($R1127-Infrastructure!J$12)^2+($S1127-Infrastructure!K$12)^2)</f>
        <v>15.84550409</v>
      </c>
      <c r="BF1127" s="330">
        <f t="shared" si="134"/>
        <v>15.84550409</v>
      </c>
      <c r="BG1127" s="333">
        <f t="shared" si="135"/>
        <v>41.54708173</v>
      </c>
      <c r="BH1127" s="943">
        <v>36526.0</v>
      </c>
      <c r="BI1127" s="462" t="s">
        <v>846</v>
      </c>
      <c r="BJ1127" s="319" t="s">
        <v>846</v>
      </c>
      <c r="BK1127" s="319" t="s">
        <v>846</v>
      </c>
      <c r="BL1127" s="319" t="s">
        <v>846</v>
      </c>
      <c r="BM1127" s="955" t="s">
        <v>845</v>
      </c>
      <c r="BN1127" s="319" t="s">
        <v>846</v>
      </c>
      <c r="BO1127" s="319" t="s">
        <v>846</v>
      </c>
      <c r="BP1127" s="953" t="s">
        <v>846</v>
      </c>
      <c r="BQ1127" s="319" t="s">
        <v>846</v>
      </c>
      <c r="BR1127" s="324" t="s">
        <v>846</v>
      </c>
      <c r="BS1127" s="330">
        <f t="shared" si="136"/>
        <v>15.84550409</v>
      </c>
      <c r="BT1127" s="331">
        <f t="shared" si="137"/>
        <v>41.54708173</v>
      </c>
      <c r="BU1127" s="920">
        <v>0.40207175925925925</v>
      </c>
      <c r="BV1127" s="903">
        <f t="shared" si="138"/>
        <v>-0.00001157407407</v>
      </c>
      <c r="BW1127" s="907">
        <v>19.6</v>
      </c>
      <c r="BX1127" s="908">
        <v>17.6</v>
      </c>
      <c r="BY1127" s="331">
        <f t="shared" si="139"/>
        <v>22.31636171</v>
      </c>
      <c r="BZ1127" s="340"/>
      <c r="CA1127" s="316"/>
      <c r="CB1127" s="318"/>
      <c r="CC1127" s="318"/>
      <c r="CD1127" s="318"/>
      <c r="CE1127" s="318"/>
      <c r="CF1127" s="318"/>
      <c r="CG1127" s="318"/>
      <c r="CH1127" s="318"/>
      <c r="CI1127" s="318"/>
      <c r="CJ1127" s="463"/>
      <c r="CK1127" s="342"/>
      <c r="CL1127" s="333"/>
      <c r="CM1127" s="829"/>
      <c r="CN1127" s="333"/>
      <c r="CO1127" s="333"/>
      <c r="CP1127" s="333"/>
    </row>
    <row r="1128">
      <c r="B1128" s="462" t="s">
        <v>1799</v>
      </c>
      <c r="C1128" s="914">
        <v>44536.0</v>
      </c>
      <c r="D1128" s="318"/>
      <c r="E1128" s="319" t="s">
        <v>1457</v>
      </c>
      <c r="F1128" s="324" t="s">
        <v>1802</v>
      </c>
      <c r="G1128" s="321">
        <v>0.4027777777777778</v>
      </c>
      <c r="H1128" s="323">
        <v>0.403125</v>
      </c>
      <c r="I1128" s="323"/>
      <c r="J1128" s="323"/>
      <c r="K1128" s="323">
        <v>0.40347222222222223</v>
      </c>
      <c r="L1128" s="323">
        <v>3.4722222222222224E-4</v>
      </c>
      <c r="M1128" s="319" t="s">
        <v>166</v>
      </c>
      <c r="N1128" s="324" t="s">
        <v>188</v>
      </c>
      <c r="O1128" s="419" t="s">
        <v>378</v>
      </c>
      <c r="P1128" s="319" t="s">
        <v>225</v>
      </c>
      <c r="Q1128" s="318"/>
      <c r="R1128" s="326">
        <v>22.7</v>
      </c>
      <c r="S1128" s="319">
        <v>39.7</v>
      </c>
      <c r="T1128" s="324">
        <v>1.9</v>
      </c>
      <c r="U1128" s="319">
        <v>8.0</v>
      </c>
      <c r="V1128" s="319"/>
      <c r="W1128" s="319"/>
      <c r="X1128" s="319"/>
      <c r="Y1128" s="319"/>
      <c r="Z1128" s="319" t="s">
        <v>1140</v>
      </c>
      <c r="AA1128" s="319"/>
      <c r="AB1128" s="319" t="s">
        <v>398</v>
      </c>
      <c r="AC1128" s="327">
        <v>6.0</v>
      </c>
      <c r="AD1128" s="319"/>
      <c r="AE1128" s="319"/>
      <c r="AF1128" s="319"/>
      <c r="AG1128" s="319"/>
      <c r="AH1128" s="319"/>
      <c r="AI1128" s="319"/>
      <c r="AJ1128" s="327"/>
      <c r="AK1128" s="328"/>
      <c r="AL1128" s="319"/>
      <c r="AM1128" s="319"/>
      <c r="AN1128" s="319"/>
      <c r="AO1128" s="319"/>
      <c r="AP1128" s="319"/>
      <c r="AQ1128" s="319"/>
      <c r="AR1128" s="319"/>
      <c r="AS1128" s="327"/>
      <c r="AT1128" s="461" t="s">
        <v>182</v>
      </c>
      <c r="AU1128" s="324" t="s">
        <v>845</v>
      </c>
      <c r="AV1128" s="330">
        <f>SQRT(($R1128-Infrastructure!J$3)^2+($S1128-Infrastructure!K$3)^2)</f>
        <v>25.40944706</v>
      </c>
      <c r="AW1128" s="331">
        <f>SQRT(($R1128-Infrastructure!J$4)^2+($S1128-Infrastructure!K$4)^2)</f>
        <v>31.75862088</v>
      </c>
      <c r="AX1128" s="331">
        <f>SQRT(($R1128-Infrastructure!J$5)^2+($S1128-Infrastructure!K$5)^2)</f>
        <v>41.54708173</v>
      </c>
      <c r="AY1128" s="331">
        <f>SQRT(($R1128-Infrastructure!J$6)^2+($S1128-Infrastructure!K$6)^2)</f>
        <v>41.36568626</v>
      </c>
      <c r="AZ1128" s="331">
        <f>SQRT(($R1128-Infrastructure!J$7)^2+($S1128-Infrastructure!K$7)^2)</f>
        <v>39.46137352</v>
      </c>
      <c r="BA1128" s="331">
        <f>SQRT(($R1128-Infrastructure!J$8)^2+($S1128-Infrastructure!K$8)^2)</f>
        <v>40.08890121</v>
      </c>
      <c r="BB1128" s="331">
        <f>SQRT(($R1128-Infrastructure!J$9)^2+($S1128-Infrastructure!K$9)^2)</f>
        <v>38.68397601</v>
      </c>
      <c r="BC1128" s="331">
        <f>SQRT(($R1128-Infrastructure!J$10)^2+($S1128-Infrastructure!K$10)^2)</f>
        <v>30.15592811</v>
      </c>
      <c r="BD1128" s="331">
        <f>SQRT(($R1128-Infrastructure!J$11)^2+($S1128-Infrastructure!K$11)^2)</f>
        <v>20.51194774</v>
      </c>
      <c r="BE1128" s="333">
        <f>SQRT(($R1128-Infrastructure!J$12)^2+($S1128-Infrastructure!K$12)^2)</f>
        <v>15.84550409</v>
      </c>
      <c r="BF1128" s="330">
        <f t="shared" si="134"/>
        <v>15.84550409</v>
      </c>
      <c r="BG1128" s="333">
        <f t="shared" si="135"/>
        <v>41.54708173</v>
      </c>
      <c r="BH1128" s="943">
        <v>36526.0</v>
      </c>
      <c r="BI1128" s="462" t="s">
        <v>846</v>
      </c>
      <c r="BJ1128" s="319" t="s">
        <v>846</v>
      </c>
      <c r="BK1128" s="319" t="s">
        <v>846</v>
      </c>
      <c r="BL1128" s="319" t="s">
        <v>846</v>
      </c>
      <c r="BM1128" s="955" t="s">
        <v>845</v>
      </c>
      <c r="BN1128" s="319" t="s">
        <v>846</v>
      </c>
      <c r="BO1128" s="319" t="s">
        <v>846</v>
      </c>
      <c r="BP1128" s="953" t="s">
        <v>846</v>
      </c>
      <c r="BQ1128" s="319" t="s">
        <v>846</v>
      </c>
      <c r="BR1128" s="324" t="s">
        <v>846</v>
      </c>
      <c r="BS1128" s="330">
        <f t="shared" si="136"/>
        <v>15.84550409</v>
      </c>
      <c r="BT1128" s="331">
        <f t="shared" si="137"/>
        <v>41.54708173</v>
      </c>
      <c r="BU1128" s="920">
        <v>0.4028125</v>
      </c>
      <c r="BV1128" s="903">
        <f t="shared" si="138"/>
        <v>0.00003472222222</v>
      </c>
      <c r="BW1128" s="907">
        <v>19.6</v>
      </c>
      <c r="BX1128" s="908">
        <v>17.6</v>
      </c>
      <c r="BY1128" s="331">
        <f t="shared" si="139"/>
        <v>22.31636171</v>
      </c>
      <c r="BZ1128" s="340"/>
      <c r="CA1128" s="316"/>
      <c r="CB1128" s="318"/>
      <c r="CC1128" s="318"/>
      <c r="CD1128" s="318"/>
      <c r="CE1128" s="318"/>
      <c r="CF1128" s="318"/>
      <c r="CG1128" s="318"/>
      <c r="CH1128" s="318"/>
      <c r="CI1128" s="318"/>
      <c r="CJ1128" s="463"/>
      <c r="CK1128" s="342"/>
      <c r="CL1128" s="333"/>
      <c r="CM1128" s="829"/>
      <c r="CN1128" s="333"/>
      <c r="CO1128" s="333"/>
      <c r="CP1128" s="333"/>
    </row>
    <row r="1129">
      <c r="B1129" s="462" t="s">
        <v>1799</v>
      </c>
      <c r="C1129" s="914">
        <v>44536.0</v>
      </c>
      <c r="D1129" s="318"/>
      <c r="E1129" s="319" t="s">
        <v>1459</v>
      </c>
      <c r="F1129" s="324" t="s">
        <v>1803</v>
      </c>
      <c r="G1129" s="321">
        <v>0.40347222222222223</v>
      </c>
      <c r="H1129" s="323">
        <v>0.40381944444444445</v>
      </c>
      <c r="I1129" s="323"/>
      <c r="J1129" s="323"/>
      <c r="K1129" s="323">
        <v>0.4041666666666667</v>
      </c>
      <c r="L1129" s="323">
        <v>3.4722222222222224E-4</v>
      </c>
      <c r="M1129" s="319" t="s">
        <v>166</v>
      </c>
      <c r="N1129" s="324" t="s">
        <v>188</v>
      </c>
      <c r="O1129" s="419" t="s">
        <v>378</v>
      </c>
      <c r="P1129" s="319" t="s">
        <v>225</v>
      </c>
      <c r="Q1129" s="318"/>
      <c r="R1129" s="326">
        <v>22.7</v>
      </c>
      <c r="S1129" s="319">
        <v>39.7</v>
      </c>
      <c r="T1129" s="324">
        <v>1.9</v>
      </c>
      <c r="U1129" s="319">
        <v>9.0</v>
      </c>
      <c r="V1129" s="319"/>
      <c r="W1129" s="319"/>
      <c r="X1129" s="319"/>
      <c r="Y1129" s="319"/>
      <c r="Z1129" s="319" t="s">
        <v>1140</v>
      </c>
      <c r="AA1129" s="319"/>
      <c r="AB1129" s="319" t="s">
        <v>398</v>
      </c>
      <c r="AC1129" s="327">
        <v>6.0</v>
      </c>
      <c r="AD1129" s="319"/>
      <c r="AE1129" s="319"/>
      <c r="AF1129" s="319"/>
      <c r="AG1129" s="319"/>
      <c r="AH1129" s="319"/>
      <c r="AI1129" s="319"/>
      <c r="AJ1129" s="327"/>
      <c r="AK1129" s="328"/>
      <c r="AL1129" s="319"/>
      <c r="AM1129" s="319"/>
      <c r="AN1129" s="319"/>
      <c r="AO1129" s="319"/>
      <c r="AP1129" s="319"/>
      <c r="AQ1129" s="319"/>
      <c r="AR1129" s="319"/>
      <c r="AS1129" s="327"/>
      <c r="AT1129" s="461" t="s">
        <v>182</v>
      </c>
      <c r="AU1129" s="324" t="s">
        <v>845</v>
      </c>
      <c r="AV1129" s="330">
        <f>SQRT(($R1129-Infrastructure!J$3)^2+($S1129-Infrastructure!K$3)^2)</f>
        <v>25.40944706</v>
      </c>
      <c r="AW1129" s="331">
        <f>SQRT(($R1129-Infrastructure!J$4)^2+($S1129-Infrastructure!K$4)^2)</f>
        <v>31.75862088</v>
      </c>
      <c r="AX1129" s="331">
        <f>SQRT(($R1129-Infrastructure!J$5)^2+($S1129-Infrastructure!K$5)^2)</f>
        <v>41.54708173</v>
      </c>
      <c r="AY1129" s="331">
        <f>SQRT(($R1129-Infrastructure!J$6)^2+($S1129-Infrastructure!K$6)^2)</f>
        <v>41.36568626</v>
      </c>
      <c r="AZ1129" s="331">
        <f>SQRT(($R1129-Infrastructure!J$7)^2+($S1129-Infrastructure!K$7)^2)</f>
        <v>39.46137352</v>
      </c>
      <c r="BA1129" s="331">
        <f>SQRT(($R1129-Infrastructure!J$8)^2+($S1129-Infrastructure!K$8)^2)</f>
        <v>40.08890121</v>
      </c>
      <c r="BB1129" s="331">
        <f>SQRT(($R1129-Infrastructure!J$9)^2+($S1129-Infrastructure!K$9)^2)</f>
        <v>38.68397601</v>
      </c>
      <c r="BC1129" s="331">
        <f>SQRT(($R1129-Infrastructure!J$10)^2+($S1129-Infrastructure!K$10)^2)</f>
        <v>30.15592811</v>
      </c>
      <c r="BD1129" s="331">
        <f>SQRT(($R1129-Infrastructure!J$11)^2+($S1129-Infrastructure!K$11)^2)</f>
        <v>20.51194774</v>
      </c>
      <c r="BE1129" s="333">
        <f>SQRT(($R1129-Infrastructure!J$12)^2+($S1129-Infrastructure!K$12)^2)</f>
        <v>15.84550409</v>
      </c>
      <c r="BF1129" s="330">
        <f t="shared" si="134"/>
        <v>15.84550409</v>
      </c>
      <c r="BG1129" s="333">
        <f t="shared" si="135"/>
        <v>41.54708173</v>
      </c>
      <c r="BH1129" s="943">
        <v>36526.0</v>
      </c>
      <c r="BI1129" s="462" t="s">
        <v>846</v>
      </c>
      <c r="BJ1129" s="319" t="s">
        <v>846</v>
      </c>
      <c r="BK1129" s="319" t="s">
        <v>846</v>
      </c>
      <c r="BL1129" s="319" t="s">
        <v>846</v>
      </c>
      <c r="BM1129" s="955" t="s">
        <v>845</v>
      </c>
      <c r="BN1129" s="319" t="s">
        <v>846</v>
      </c>
      <c r="BO1129" s="319" t="s">
        <v>846</v>
      </c>
      <c r="BP1129" s="953" t="s">
        <v>846</v>
      </c>
      <c r="BQ1129" s="319" t="s">
        <v>846</v>
      </c>
      <c r="BR1129" s="324" t="s">
        <v>846</v>
      </c>
      <c r="BS1129" s="330">
        <f t="shared" si="136"/>
        <v>15.84550409</v>
      </c>
      <c r="BT1129" s="331">
        <f t="shared" si="137"/>
        <v>41.54708173</v>
      </c>
      <c r="BU1129" s="920">
        <v>0.40348379629629627</v>
      </c>
      <c r="BV1129" s="903">
        <f t="shared" si="138"/>
        <v>0.00001157407407</v>
      </c>
      <c r="BW1129" s="907">
        <v>20.0</v>
      </c>
      <c r="BX1129" s="908">
        <v>17.3</v>
      </c>
      <c r="BY1129" s="331">
        <f t="shared" si="139"/>
        <v>22.56213642</v>
      </c>
      <c r="BZ1129" s="340"/>
      <c r="CA1129" s="316"/>
      <c r="CB1129" s="318"/>
      <c r="CC1129" s="318"/>
      <c r="CD1129" s="318"/>
      <c r="CE1129" s="318"/>
      <c r="CF1129" s="318"/>
      <c r="CG1129" s="318"/>
      <c r="CH1129" s="318"/>
      <c r="CI1129" s="318"/>
      <c r="CJ1129" s="463"/>
      <c r="CK1129" s="342"/>
      <c r="CL1129" s="333"/>
      <c r="CM1129" s="829"/>
      <c r="CN1129" s="333"/>
      <c r="CO1129" s="333"/>
      <c r="CP1129" s="333"/>
    </row>
    <row r="1130">
      <c r="B1130" s="462" t="s">
        <v>1799</v>
      </c>
      <c r="C1130" s="914">
        <v>44536.0</v>
      </c>
      <c r="D1130" s="318"/>
      <c r="E1130" s="319" t="s">
        <v>1804</v>
      </c>
      <c r="F1130" s="324" t="s">
        <v>1805</v>
      </c>
      <c r="G1130" s="321">
        <v>0.4042824074074074</v>
      </c>
      <c r="H1130" s="323">
        <v>0.4045138888888889</v>
      </c>
      <c r="I1130" s="323"/>
      <c r="J1130" s="323"/>
      <c r="K1130" s="323">
        <v>0.4050925925925926</v>
      </c>
      <c r="L1130" s="323">
        <v>5.787037037037037E-4</v>
      </c>
      <c r="M1130" s="319" t="s">
        <v>166</v>
      </c>
      <c r="N1130" s="324" t="s">
        <v>188</v>
      </c>
      <c r="O1130" s="419" t="s">
        <v>378</v>
      </c>
      <c r="P1130" s="319" t="s">
        <v>225</v>
      </c>
      <c r="Q1130" s="318"/>
      <c r="R1130" s="326">
        <v>22.7</v>
      </c>
      <c r="S1130" s="319">
        <v>39.7</v>
      </c>
      <c r="T1130" s="324">
        <v>1.9</v>
      </c>
      <c r="U1130" s="319">
        <v>10.0</v>
      </c>
      <c r="V1130" s="319"/>
      <c r="W1130" s="319"/>
      <c r="X1130" s="319"/>
      <c r="Y1130" s="319"/>
      <c r="Z1130" s="319" t="s">
        <v>1140</v>
      </c>
      <c r="AA1130" s="319"/>
      <c r="AB1130" s="319" t="s">
        <v>398</v>
      </c>
      <c r="AC1130" s="327">
        <v>6.0</v>
      </c>
      <c r="AD1130" s="319"/>
      <c r="AE1130" s="319"/>
      <c r="AF1130" s="319"/>
      <c r="AG1130" s="319"/>
      <c r="AH1130" s="319"/>
      <c r="AI1130" s="319"/>
      <c r="AJ1130" s="327"/>
      <c r="AK1130" s="328"/>
      <c r="AL1130" s="319"/>
      <c r="AM1130" s="319"/>
      <c r="AN1130" s="319"/>
      <c r="AO1130" s="319"/>
      <c r="AP1130" s="319"/>
      <c r="AQ1130" s="319"/>
      <c r="AR1130" s="319"/>
      <c r="AS1130" s="327"/>
      <c r="AT1130" s="461" t="s">
        <v>183</v>
      </c>
      <c r="AU1130" s="324" t="s">
        <v>845</v>
      </c>
      <c r="AV1130" s="330">
        <f>SQRT(($R1130-Infrastructure!J$3)^2+($S1130-Infrastructure!K$3)^2)</f>
        <v>25.40944706</v>
      </c>
      <c r="AW1130" s="331">
        <f>SQRT(($R1130-Infrastructure!J$4)^2+($S1130-Infrastructure!K$4)^2)</f>
        <v>31.75862088</v>
      </c>
      <c r="AX1130" s="331">
        <f>SQRT(($R1130-Infrastructure!J$5)^2+($S1130-Infrastructure!K$5)^2)</f>
        <v>41.54708173</v>
      </c>
      <c r="AY1130" s="331">
        <f>SQRT(($R1130-Infrastructure!J$6)^2+($S1130-Infrastructure!K$6)^2)</f>
        <v>41.36568626</v>
      </c>
      <c r="AZ1130" s="331">
        <f>SQRT(($R1130-Infrastructure!J$7)^2+($S1130-Infrastructure!K$7)^2)</f>
        <v>39.46137352</v>
      </c>
      <c r="BA1130" s="331">
        <f>SQRT(($R1130-Infrastructure!J$8)^2+($S1130-Infrastructure!K$8)^2)</f>
        <v>40.08890121</v>
      </c>
      <c r="BB1130" s="331">
        <f>SQRT(($R1130-Infrastructure!J$9)^2+($S1130-Infrastructure!K$9)^2)</f>
        <v>38.68397601</v>
      </c>
      <c r="BC1130" s="331">
        <f>SQRT(($R1130-Infrastructure!J$10)^2+($S1130-Infrastructure!K$10)^2)</f>
        <v>30.15592811</v>
      </c>
      <c r="BD1130" s="331">
        <f>SQRT(($R1130-Infrastructure!J$11)^2+($S1130-Infrastructure!K$11)^2)</f>
        <v>20.51194774</v>
      </c>
      <c r="BE1130" s="333">
        <f>SQRT(($R1130-Infrastructure!J$12)^2+($S1130-Infrastructure!K$12)^2)</f>
        <v>15.84550409</v>
      </c>
      <c r="BF1130" s="330">
        <f t="shared" si="134"/>
        <v>15.84550409</v>
      </c>
      <c r="BG1130" s="333">
        <f t="shared" si="135"/>
        <v>41.54708173</v>
      </c>
      <c r="BH1130" s="943">
        <v>36526.0</v>
      </c>
      <c r="BI1130" s="462" t="s">
        <v>846</v>
      </c>
      <c r="BJ1130" s="319" t="s">
        <v>846</v>
      </c>
      <c r="BK1130" s="319" t="s">
        <v>846</v>
      </c>
      <c r="BL1130" s="319" t="s">
        <v>846</v>
      </c>
      <c r="BM1130" s="955" t="s">
        <v>845</v>
      </c>
      <c r="BN1130" s="319" t="s">
        <v>846</v>
      </c>
      <c r="BO1130" s="319" t="s">
        <v>846</v>
      </c>
      <c r="BP1130" s="953" t="s">
        <v>846</v>
      </c>
      <c r="BQ1130" s="319" t="s">
        <v>846</v>
      </c>
      <c r="BR1130" s="324" t="s">
        <v>846</v>
      </c>
      <c r="BS1130" s="330">
        <f t="shared" si="136"/>
        <v>15.84550409</v>
      </c>
      <c r="BT1130" s="331">
        <f t="shared" si="137"/>
        <v>41.54708173</v>
      </c>
      <c r="BU1130" s="920">
        <v>0.4043287037037037</v>
      </c>
      <c r="BV1130" s="903">
        <f t="shared" si="138"/>
        <v>0.0000462962963</v>
      </c>
      <c r="BW1130" s="907">
        <v>19.5</v>
      </c>
      <c r="BX1130" s="908">
        <v>17.5</v>
      </c>
      <c r="BY1130" s="331">
        <f t="shared" si="139"/>
        <v>22.42944493</v>
      </c>
      <c r="BZ1130" s="340"/>
      <c r="CA1130" s="316"/>
      <c r="CB1130" s="318"/>
      <c r="CC1130" s="318"/>
      <c r="CD1130" s="318"/>
      <c r="CE1130" s="318"/>
      <c r="CF1130" s="318"/>
      <c r="CG1130" s="318"/>
      <c r="CH1130" s="318"/>
      <c r="CI1130" s="318"/>
      <c r="CJ1130" s="463"/>
      <c r="CK1130" s="342"/>
      <c r="CL1130" s="333"/>
      <c r="CM1130" s="829"/>
      <c r="CN1130" s="333"/>
      <c r="CO1130" s="333"/>
      <c r="CP1130" s="333"/>
    </row>
    <row r="1131">
      <c r="B1131" s="462" t="s">
        <v>1799</v>
      </c>
      <c r="C1131" s="914">
        <v>44536.0</v>
      </c>
      <c r="D1131" s="318"/>
      <c r="E1131" s="319" t="s">
        <v>1806</v>
      </c>
      <c r="F1131" s="324" t="s">
        <v>1807</v>
      </c>
      <c r="G1131" s="321">
        <v>0.4050925925925926</v>
      </c>
      <c r="H1131" s="323">
        <v>0.40543981481481484</v>
      </c>
      <c r="I1131" s="323"/>
      <c r="J1131" s="323"/>
      <c r="K1131" s="323">
        <v>0.40607638888888886</v>
      </c>
      <c r="L1131" s="323">
        <v>6.365740740740741E-4</v>
      </c>
      <c r="M1131" s="319" t="s">
        <v>166</v>
      </c>
      <c r="N1131" s="324" t="s">
        <v>188</v>
      </c>
      <c r="O1131" s="419" t="s">
        <v>378</v>
      </c>
      <c r="P1131" s="319" t="s">
        <v>225</v>
      </c>
      <c r="Q1131" s="318"/>
      <c r="R1131" s="326">
        <v>22.7</v>
      </c>
      <c r="S1131" s="319">
        <v>39.7</v>
      </c>
      <c r="T1131" s="324">
        <v>1.9</v>
      </c>
      <c r="U1131" s="319">
        <v>11.0</v>
      </c>
      <c r="V1131" s="319"/>
      <c r="W1131" s="319"/>
      <c r="X1131" s="319"/>
      <c r="Y1131" s="319"/>
      <c r="Z1131" s="319" t="s">
        <v>1140</v>
      </c>
      <c r="AA1131" s="319"/>
      <c r="AB1131" s="319" t="s">
        <v>398</v>
      </c>
      <c r="AC1131" s="327">
        <v>6.0</v>
      </c>
      <c r="AD1131" s="319"/>
      <c r="AE1131" s="319"/>
      <c r="AF1131" s="319"/>
      <c r="AG1131" s="319"/>
      <c r="AH1131" s="319"/>
      <c r="AI1131" s="319"/>
      <c r="AJ1131" s="327"/>
      <c r="AK1131" s="328"/>
      <c r="AL1131" s="319"/>
      <c r="AM1131" s="319"/>
      <c r="AN1131" s="319"/>
      <c r="AO1131" s="319"/>
      <c r="AP1131" s="319"/>
      <c r="AQ1131" s="319"/>
      <c r="AR1131" s="319"/>
      <c r="AS1131" s="327"/>
      <c r="AT1131" s="461" t="s">
        <v>183</v>
      </c>
      <c r="AU1131" s="324" t="s">
        <v>845</v>
      </c>
      <c r="AV1131" s="330">
        <f>SQRT(($R1131-Infrastructure!J$3)^2+($S1131-Infrastructure!K$3)^2)</f>
        <v>25.40944706</v>
      </c>
      <c r="AW1131" s="331">
        <f>SQRT(($R1131-Infrastructure!J$4)^2+($S1131-Infrastructure!K$4)^2)</f>
        <v>31.75862088</v>
      </c>
      <c r="AX1131" s="331">
        <f>SQRT(($R1131-Infrastructure!J$5)^2+($S1131-Infrastructure!K$5)^2)</f>
        <v>41.54708173</v>
      </c>
      <c r="AY1131" s="331">
        <f>SQRT(($R1131-Infrastructure!J$6)^2+($S1131-Infrastructure!K$6)^2)</f>
        <v>41.36568626</v>
      </c>
      <c r="AZ1131" s="331">
        <f>SQRT(($R1131-Infrastructure!J$7)^2+($S1131-Infrastructure!K$7)^2)</f>
        <v>39.46137352</v>
      </c>
      <c r="BA1131" s="331">
        <f>SQRT(($R1131-Infrastructure!J$8)^2+($S1131-Infrastructure!K$8)^2)</f>
        <v>40.08890121</v>
      </c>
      <c r="BB1131" s="331">
        <f>SQRT(($R1131-Infrastructure!J$9)^2+($S1131-Infrastructure!K$9)^2)</f>
        <v>38.68397601</v>
      </c>
      <c r="BC1131" s="331">
        <f>SQRT(($R1131-Infrastructure!J$10)^2+($S1131-Infrastructure!K$10)^2)</f>
        <v>30.15592811</v>
      </c>
      <c r="BD1131" s="331">
        <f>SQRT(($R1131-Infrastructure!J$11)^2+($S1131-Infrastructure!K$11)^2)</f>
        <v>20.51194774</v>
      </c>
      <c r="BE1131" s="333">
        <f>SQRT(($R1131-Infrastructure!J$12)^2+($S1131-Infrastructure!K$12)^2)</f>
        <v>15.84550409</v>
      </c>
      <c r="BF1131" s="330">
        <f t="shared" si="134"/>
        <v>15.84550409</v>
      </c>
      <c r="BG1131" s="333">
        <f t="shared" si="135"/>
        <v>41.54708173</v>
      </c>
      <c r="BH1131" s="943">
        <v>36526.0</v>
      </c>
      <c r="BI1131" s="462" t="s">
        <v>846</v>
      </c>
      <c r="BJ1131" s="319" t="s">
        <v>846</v>
      </c>
      <c r="BK1131" s="319" t="s">
        <v>846</v>
      </c>
      <c r="BL1131" s="319" t="s">
        <v>846</v>
      </c>
      <c r="BM1131" s="955" t="s">
        <v>845</v>
      </c>
      <c r="BN1131" s="319" t="s">
        <v>846</v>
      </c>
      <c r="BO1131" s="319" t="s">
        <v>846</v>
      </c>
      <c r="BP1131" s="953" t="s">
        <v>846</v>
      </c>
      <c r="BQ1131" s="319" t="s">
        <v>846</v>
      </c>
      <c r="BR1131" s="324" t="s">
        <v>846</v>
      </c>
      <c r="BS1131" s="330">
        <f t="shared" si="136"/>
        <v>15.84550409</v>
      </c>
      <c r="BT1131" s="331">
        <f t="shared" si="137"/>
        <v>41.54708173</v>
      </c>
      <c r="BU1131" s="920">
        <v>0.4051273148148148</v>
      </c>
      <c r="BV1131" s="903">
        <f t="shared" si="138"/>
        <v>0.00003472222222</v>
      </c>
      <c r="BW1131" s="907">
        <v>20.0</v>
      </c>
      <c r="BX1131" s="908">
        <v>17.3</v>
      </c>
      <c r="BY1131" s="331">
        <f t="shared" si="139"/>
        <v>22.56213642</v>
      </c>
      <c r="BZ1131" s="340"/>
      <c r="CA1131" s="316"/>
      <c r="CB1131" s="318"/>
      <c r="CC1131" s="318"/>
      <c r="CD1131" s="318"/>
      <c r="CE1131" s="318"/>
      <c r="CF1131" s="318"/>
      <c r="CG1131" s="318"/>
      <c r="CH1131" s="318"/>
      <c r="CI1131" s="318"/>
      <c r="CJ1131" s="463"/>
      <c r="CK1131" s="342"/>
      <c r="CL1131" s="333"/>
      <c r="CM1131" s="829"/>
      <c r="CN1131" s="333"/>
      <c r="CO1131" s="333"/>
      <c r="CP1131" s="333"/>
    </row>
    <row r="1132">
      <c r="B1132" s="462" t="s">
        <v>1799</v>
      </c>
      <c r="C1132" s="914">
        <v>44536.0</v>
      </c>
      <c r="D1132" s="318"/>
      <c r="E1132" s="319" t="s">
        <v>1808</v>
      </c>
      <c r="F1132" s="324" t="s">
        <v>1809</v>
      </c>
      <c r="G1132" s="321">
        <v>0.40607638888888886</v>
      </c>
      <c r="H1132" s="323">
        <v>0.40642361111111114</v>
      </c>
      <c r="I1132" s="323"/>
      <c r="J1132" s="323"/>
      <c r="K1132" s="323">
        <v>0.40729166666666666</v>
      </c>
      <c r="L1132" s="323">
        <v>8.680555555555555E-4</v>
      </c>
      <c r="M1132" s="319" t="s">
        <v>166</v>
      </c>
      <c r="N1132" s="324" t="s">
        <v>188</v>
      </c>
      <c r="O1132" s="419" t="s">
        <v>378</v>
      </c>
      <c r="P1132" s="319" t="s">
        <v>225</v>
      </c>
      <c r="Q1132" s="318"/>
      <c r="R1132" s="326">
        <v>22.7</v>
      </c>
      <c r="S1132" s="319">
        <v>39.7</v>
      </c>
      <c r="T1132" s="324">
        <v>1.9</v>
      </c>
      <c r="U1132" s="319">
        <v>12.0</v>
      </c>
      <c r="V1132" s="319"/>
      <c r="W1132" s="319"/>
      <c r="X1132" s="319"/>
      <c r="Y1132" s="319"/>
      <c r="Z1132" s="319" t="s">
        <v>1140</v>
      </c>
      <c r="AA1132" s="319"/>
      <c r="AB1132" s="319" t="s">
        <v>398</v>
      </c>
      <c r="AC1132" s="327">
        <v>6.0</v>
      </c>
      <c r="AD1132" s="319"/>
      <c r="AE1132" s="319"/>
      <c r="AF1132" s="319"/>
      <c r="AG1132" s="319"/>
      <c r="AH1132" s="319"/>
      <c r="AI1132" s="319"/>
      <c r="AJ1132" s="327"/>
      <c r="AK1132" s="328"/>
      <c r="AL1132" s="319"/>
      <c r="AM1132" s="319"/>
      <c r="AN1132" s="319"/>
      <c r="AO1132" s="319"/>
      <c r="AP1132" s="319"/>
      <c r="AQ1132" s="319"/>
      <c r="AR1132" s="319"/>
      <c r="AS1132" s="327"/>
      <c r="AT1132" s="461" t="s">
        <v>183</v>
      </c>
      <c r="AU1132" s="324" t="s">
        <v>845</v>
      </c>
      <c r="AV1132" s="330">
        <f>SQRT(($R1132-Infrastructure!J$3)^2+($S1132-Infrastructure!K$3)^2)</f>
        <v>25.40944706</v>
      </c>
      <c r="AW1132" s="331">
        <f>SQRT(($R1132-Infrastructure!J$4)^2+($S1132-Infrastructure!K$4)^2)</f>
        <v>31.75862088</v>
      </c>
      <c r="AX1132" s="331">
        <f>SQRT(($R1132-Infrastructure!J$5)^2+($S1132-Infrastructure!K$5)^2)</f>
        <v>41.54708173</v>
      </c>
      <c r="AY1132" s="331">
        <f>SQRT(($R1132-Infrastructure!J$6)^2+($S1132-Infrastructure!K$6)^2)</f>
        <v>41.36568626</v>
      </c>
      <c r="AZ1132" s="331">
        <f>SQRT(($R1132-Infrastructure!J$7)^2+($S1132-Infrastructure!K$7)^2)</f>
        <v>39.46137352</v>
      </c>
      <c r="BA1132" s="331">
        <f>SQRT(($R1132-Infrastructure!J$8)^2+($S1132-Infrastructure!K$8)^2)</f>
        <v>40.08890121</v>
      </c>
      <c r="BB1132" s="331">
        <f>SQRT(($R1132-Infrastructure!J$9)^2+($S1132-Infrastructure!K$9)^2)</f>
        <v>38.68397601</v>
      </c>
      <c r="BC1132" s="331">
        <f>SQRT(($R1132-Infrastructure!J$10)^2+($S1132-Infrastructure!K$10)^2)</f>
        <v>30.15592811</v>
      </c>
      <c r="BD1132" s="331">
        <f>SQRT(($R1132-Infrastructure!J$11)^2+($S1132-Infrastructure!K$11)^2)</f>
        <v>20.51194774</v>
      </c>
      <c r="BE1132" s="333">
        <f>SQRT(($R1132-Infrastructure!J$12)^2+($S1132-Infrastructure!K$12)^2)</f>
        <v>15.84550409</v>
      </c>
      <c r="BF1132" s="330">
        <f t="shared" si="134"/>
        <v>15.84550409</v>
      </c>
      <c r="BG1132" s="333">
        <f t="shared" si="135"/>
        <v>41.54708173</v>
      </c>
      <c r="BH1132" s="943">
        <v>36526.0</v>
      </c>
      <c r="BI1132" s="462" t="s">
        <v>846</v>
      </c>
      <c r="BJ1132" s="319" t="s">
        <v>846</v>
      </c>
      <c r="BK1132" s="319" t="s">
        <v>846</v>
      </c>
      <c r="BL1132" s="319" t="s">
        <v>846</v>
      </c>
      <c r="BM1132" s="955" t="s">
        <v>845</v>
      </c>
      <c r="BN1132" s="319" t="s">
        <v>846</v>
      </c>
      <c r="BO1132" s="319" t="s">
        <v>846</v>
      </c>
      <c r="BP1132" s="953" t="s">
        <v>846</v>
      </c>
      <c r="BQ1132" s="319" t="s">
        <v>846</v>
      </c>
      <c r="BR1132" s="324" t="s">
        <v>846</v>
      </c>
      <c r="BS1132" s="330">
        <f t="shared" si="136"/>
        <v>15.84550409</v>
      </c>
      <c r="BT1132" s="331">
        <f t="shared" si="137"/>
        <v>41.54708173</v>
      </c>
      <c r="BU1132" s="920">
        <v>0.40609953703703705</v>
      </c>
      <c r="BV1132" s="903">
        <f t="shared" si="138"/>
        <v>0.00002314814815</v>
      </c>
      <c r="BW1132" s="907">
        <v>20.0</v>
      </c>
      <c r="BX1132" s="908">
        <v>17.3</v>
      </c>
      <c r="BY1132" s="331">
        <f t="shared" si="139"/>
        <v>22.56213642</v>
      </c>
      <c r="BZ1132" s="340"/>
      <c r="CA1132" s="316"/>
      <c r="CB1132" s="318"/>
      <c r="CC1132" s="318"/>
      <c r="CD1132" s="318"/>
      <c r="CE1132" s="318"/>
      <c r="CF1132" s="318"/>
      <c r="CG1132" s="318"/>
      <c r="CH1132" s="318"/>
      <c r="CI1132" s="318"/>
      <c r="CJ1132" s="463"/>
      <c r="CK1132" s="342"/>
      <c r="CL1132" s="333"/>
      <c r="CM1132" s="829"/>
      <c r="CN1132" s="333"/>
      <c r="CO1132" s="333"/>
      <c r="CP1132" s="333"/>
    </row>
    <row r="1133">
      <c r="B1133" s="462" t="s">
        <v>1799</v>
      </c>
      <c r="C1133" s="914">
        <v>44536.0</v>
      </c>
      <c r="D1133" s="318"/>
      <c r="E1133" s="319" t="s">
        <v>1810</v>
      </c>
      <c r="F1133" s="324" t="s">
        <v>1811</v>
      </c>
      <c r="G1133" s="321">
        <v>0.40729166666666666</v>
      </c>
      <c r="H1133" s="323">
        <v>0.4076388888888889</v>
      </c>
      <c r="I1133" s="323"/>
      <c r="J1133" s="323"/>
      <c r="K1133" s="323">
        <v>0.4082175925925926</v>
      </c>
      <c r="L1133" s="323">
        <v>5.787037037037037E-4</v>
      </c>
      <c r="M1133" s="319" t="s">
        <v>166</v>
      </c>
      <c r="N1133" s="324" t="s">
        <v>188</v>
      </c>
      <c r="O1133" s="419" t="s">
        <v>378</v>
      </c>
      <c r="P1133" s="319" t="s">
        <v>225</v>
      </c>
      <c r="Q1133" s="318"/>
      <c r="R1133" s="326">
        <v>22.7</v>
      </c>
      <c r="S1133" s="319">
        <v>39.7</v>
      </c>
      <c r="T1133" s="324">
        <v>1.9</v>
      </c>
      <c r="U1133" s="319">
        <v>14.0</v>
      </c>
      <c r="V1133" s="319"/>
      <c r="W1133" s="319"/>
      <c r="X1133" s="319"/>
      <c r="Y1133" s="319"/>
      <c r="Z1133" s="319" t="s">
        <v>1140</v>
      </c>
      <c r="AA1133" s="319"/>
      <c r="AB1133" s="319" t="s">
        <v>398</v>
      </c>
      <c r="AC1133" s="327">
        <v>6.0</v>
      </c>
      <c r="AD1133" s="319"/>
      <c r="AE1133" s="319"/>
      <c r="AF1133" s="319"/>
      <c r="AG1133" s="319"/>
      <c r="AH1133" s="319"/>
      <c r="AI1133" s="319"/>
      <c r="AJ1133" s="327"/>
      <c r="AK1133" s="328"/>
      <c r="AL1133" s="319"/>
      <c r="AM1133" s="319"/>
      <c r="AN1133" s="319"/>
      <c r="AO1133" s="319"/>
      <c r="AP1133" s="319"/>
      <c r="AQ1133" s="319"/>
      <c r="AR1133" s="319"/>
      <c r="AS1133" s="327"/>
      <c r="AT1133" s="461" t="s">
        <v>183</v>
      </c>
      <c r="AU1133" s="324" t="s">
        <v>845</v>
      </c>
      <c r="AV1133" s="330">
        <f>SQRT(($R1133-Infrastructure!J$3)^2+($S1133-Infrastructure!K$3)^2)</f>
        <v>25.40944706</v>
      </c>
      <c r="AW1133" s="331">
        <f>SQRT(($R1133-Infrastructure!J$4)^2+($S1133-Infrastructure!K$4)^2)</f>
        <v>31.75862088</v>
      </c>
      <c r="AX1133" s="331">
        <f>SQRT(($R1133-Infrastructure!J$5)^2+($S1133-Infrastructure!K$5)^2)</f>
        <v>41.54708173</v>
      </c>
      <c r="AY1133" s="331">
        <f>SQRT(($R1133-Infrastructure!J$6)^2+($S1133-Infrastructure!K$6)^2)</f>
        <v>41.36568626</v>
      </c>
      <c r="AZ1133" s="331">
        <f>SQRT(($R1133-Infrastructure!J$7)^2+($S1133-Infrastructure!K$7)^2)</f>
        <v>39.46137352</v>
      </c>
      <c r="BA1133" s="331">
        <f>SQRT(($R1133-Infrastructure!J$8)^2+($S1133-Infrastructure!K$8)^2)</f>
        <v>40.08890121</v>
      </c>
      <c r="BB1133" s="331">
        <f>SQRT(($R1133-Infrastructure!J$9)^2+($S1133-Infrastructure!K$9)^2)</f>
        <v>38.68397601</v>
      </c>
      <c r="BC1133" s="331">
        <f>SQRT(($R1133-Infrastructure!J$10)^2+($S1133-Infrastructure!K$10)^2)</f>
        <v>30.15592811</v>
      </c>
      <c r="BD1133" s="331">
        <f>SQRT(($R1133-Infrastructure!J$11)^2+($S1133-Infrastructure!K$11)^2)</f>
        <v>20.51194774</v>
      </c>
      <c r="BE1133" s="333">
        <f>SQRT(($R1133-Infrastructure!J$12)^2+($S1133-Infrastructure!K$12)^2)</f>
        <v>15.84550409</v>
      </c>
      <c r="BF1133" s="330">
        <f t="shared" si="134"/>
        <v>15.84550409</v>
      </c>
      <c r="BG1133" s="333">
        <f t="shared" si="135"/>
        <v>41.54708173</v>
      </c>
      <c r="BH1133" s="943">
        <v>36526.0</v>
      </c>
      <c r="BI1133" s="462" t="s">
        <v>846</v>
      </c>
      <c r="BJ1133" s="319" t="s">
        <v>846</v>
      </c>
      <c r="BK1133" s="319" t="s">
        <v>846</v>
      </c>
      <c r="BL1133" s="319" t="s">
        <v>846</v>
      </c>
      <c r="BM1133" s="955" t="s">
        <v>845</v>
      </c>
      <c r="BN1133" s="319" t="s">
        <v>846</v>
      </c>
      <c r="BO1133" s="319" t="s">
        <v>846</v>
      </c>
      <c r="BP1133" s="953" t="s">
        <v>846</v>
      </c>
      <c r="BQ1133" s="319" t="s">
        <v>846</v>
      </c>
      <c r="BR1133" s="324" t="s">
        <v>846</v>
      </c>
      <c r="BS1133" s="330">
        <f t="shared" si="136"/>
        <v>15.84550409</v>
      </c>
      <c r="BT1133" s="331">
        <f t="shared" si="137"/>
        <v>41.54708173</v>
      </c>
      <c r="BU1133" s="920">
        <v>0.4073263888888889</v>
      </c>
      <c r="BV1133" s="903">
        <f t="shared" si="138"/>
        <v>0.00003472222222</v>
      </c>
      <c r="BW1133" s="907">
        <v>20.0</v>
      </c>
      <c r="BX1133" s="908">
        <v>17.3</v>
      </c>
      <c r="BY1133" s="331">
        <f t="shared" si="139"/>
        <v>22.56213642</v>
      </c>
      <c r="BZ1133" s="340"/>
      <c r="CA1133" s="316"/>
      <c r="CB1133" s="318"/>
      <c r="CC1133" s="318"/>
      <c r="CD1133" s="318"/>
      <c r="CE1133" s="318"/>
      <c r="CF1133" s="318"/>
      <c r="CG1133" s="318"/>
      <c r="CH1133" s="318"/>
      <c r="CI1133" s="318"/>
      <c r="CJ1133" s="463"/>
      <c r="CK1133" s="342"/>
      <c r="CL1133" s="333"/>
      <c r="CM1133" s="829"/>
      <c r="CN1133" s="333"/>
      <c r="CO1133" s="333"/>
      <c r="CP1133" s="333"/>
    </row>
    <row r="1134">
      <c r="B1134" s="462" t="s">
        <v>1799</v>
      </c>
      <c r="C1134" s="914">
        <v>44536.0</v>
      </c>
      <c r="D1134" s="318"/>
      <c r="E1134" s="319" t="s">
        <v>1812</v>
      </c>
      <c r="F1134" s="324" t="s">
        <v>1813</v>
      </c>
      <c r="G1134" s="321">
        <v>0.4082175925925926</v>
      </c>
      <c r="H1134" s="323">
        <v>0.40850694444444446</v>
      </c>
      <c r="I1134" s="323"/>
      <c r="J1134" s="323"/>
      <c r="K1134" s="323">
        <v>0.409375</v>
      </c>
      <c r="L1134" s="323">
        <v>8.680555555555555E-4</v>
      </c>
      <c r="M1134" s="319" t="s">
        <v>166</v>
      </c>
      <c r="N1134" s="324" t="s">
        <v>188</v>
      </c>
      <c r="O1134" s="419" t="s">
        <v>378</v>
      </c>
      <c r="P1134" s="319" t="s">
        <v>225</v>
      </c>
      <c r="Q1134" s="318"/>
      <c r="R1134" s="326">
        <v>22.7</v>
      </c>
      <c r="S1134" s="319">
        <v>39.7</v>
      </c>
      <c r="T1134" s="324">
        <v>1.9</v>
      </c>
      <c r="U1134" s="319">
        <v>16.0</v>
      </c>
      <c r="V1134" s="319"/>
      <c r="W1134" s="319"/>
      <c r="X1134" s="319"/>
      <c r="Y1134" s="319"/>
      <c r="Z1134" s="319" t="s">
        <v>1140</v>
      </c>
      <c r="AA1134" s="319"/>
      <c r="AB1134" s="319" t="s">
        <v>398</v>
      </c>
      <c r="AC1134" s="327">
        <v>6.0</v>
      </c>
      <c r="AD1134" s="319"/>
      <c r="AE1134" s="319"/>
      <c r="AF1134" s="319"/>
      <c r="AG1134" s="319"/>
      <c r="AH1134" s="319"/>
      <c r="AI1134" s="319"/>
      <c r="AJ1134" s="327"/>
      <c r="AK1134" s="328"/>
      <c r="AL1134" s="319"/>
      <c r="AM1134" s="319"/>
      <c r="AN1134" s="319"/>
      <c r="AO1134" s="319"/>
      <c r="AP1134" s="319"/>
      <c r="AQ1134" s="319"/>
      <c r="AR1134" s="319"/>
      <c r="AS1134" s="327"/>
      <c r="AT1134" s="461" t="s">
        <v>183</v>
      </c>
      <c r="AU1134" s="324" t="s">
        <v>845</v>
      </c>
      <c r="AV1134" s="330">
        <f>SQRT(($R1134-Infrastructure!J$3)^2+($S1134-Infrastructure!K$3)^2)</f>
        <v>25.40944706</v>
      </c>
      <c r="AW1134" s="331">
        <f>SQRT(($R1134-Infrastructure!J$4)^2+($S1134-Infrastructure!K$4)^2)</f>
        <v>31.75862088</v>
      </c>
      <c r="AX1134" s="331">
        <f>SQRT(($R1134-Infrastructure!J$5)^2+($S1134-Infrastructure!K$5)^2)</f>
        <v>41.54708173</v>
      </c>
      <c r="AY1134" s="331">
        <f>SQRT(($R1134-Infrastructure!J$6)^2+($S1134-Infrastructure!K$6)^2)</f>
        <v>41.36568626</v>
      </c>
      <c r="AZ1134" s="331">
        <f>SQRT(($R1134-Infrastructure!J$7)^2+($S1134-Infrastructure!K$7)^2)</f>
        <v>39.46137352</v>
      </c>
      <c r="BA1134" s="331">
        <f>SQRT(($R1134-Infrastructure!J$8)^2+($S1134-Infrastructure!K$8)^2)</f>
        <v>40.08890121</v>
      </c>
      <c r="BB1134" s="331">
        <f>SQRT(($R1134-Infrastructure!J$9)^2+($S1134-Infrastructure!K$9)^2)</f>
        <v>38.68397601</v>
      </c>
      <c r="BC1134" s="331">
        <f>SQRT(($R1134-Infrastructure!J$10)^2+($S1134-Infrastructure!K$10)^2)</f>
        <v>30.15592811</v>
      </c>
      <c r="BD1134" s="331">
        <f>SQRT(($R1134-Infrastructure!J$11)^2+($S1134-Infrastructure!K$11)^2)</f>
        <v>20.51194774</v>
      </c>
      <c r="BE1134" s="333">
        <f>SQRT(($R1134-Infrastructure!J$12)^2+($S1134-Infrastructure!K$12)^2)</f>
        <v>15.84550409</v>
      </c>
      <c r="BF1134" s="330">
        <f t="shared" si="134"/>
        <v>15.84550409</v>
      </c>
      <c r="BG1134" s="333">
        <f t="shared" si="135"/>
        <v>41.54708173</v>
      </c>
      <c r="BH1134" s="943">
        <v>36526.0</v>
      </c>
      <c r="BI1134" s="462" t="s">
        <v>846</v>
      </c>
      <c r="BJ1134" s="319" t="s">
        <v>846</v>
      </c>
      <c r="BK1134" s="319" t="s">
        <v>846</v>
      </c>
      <c r="BL1134" s="319" t="s">
        <v>846</v>
      </c>
      <c r="BM1134" s="955" t="s">
        <v>845</v>
      </c>
      <c r="BN1134" s="319" t="s">
        <v>846</v>
      </c>
      <c r="BO1134" s="319" t="s">
        <v>846</v>
      </c>
      <c r="BP1134" s="953" t="s">
        <v>846</v>
      </c>
      <c r="BQ1134" s="319" t="s">
        <v>846</v>
      </c>
      <c r="BR1134" s="324" t="s">
        <v>846</v>
      </c>
      <c r="BS1134" s="330">
        <f t="shared" si="136"/>
        <v>15.84550409</v>
      </c>
      <c r="BT1134" s="331">
        <f t="shared" si="137"/>
        <v>41.54708173</v>
      </c>
      <c r="BU1134" s="920">
        <v>0.40824074074074074</v>
      </c>
      <c r="BV1134" s="903">
        <f t="shared" si="138"/>
        <v>0.00002314814815</v>
      </c>
      <c r="BW1134" s="907">
        <v>20.0</v>
      </c>
      <c r="BX1134" s="908">
        <v>17.3</v>
      </c>
      <c r="BY1134" s="331">
        <f t="shared" si="139"/>
        <v>22.56213642</v>
      </c>
      <c r="BZ1134" s="340"/>
      <c r="CA1134" s="316"/>
      <c r="CB1134" s="318"/>
      <c r="CC1134" s="318"/>
      <c r="CD1134" s="318"/>
      <c r="CE1134" s="318"/>
      <c r="CF1134" s="318"/>
      <c r="CG1134" s="318"/>
      <c r="CH1134" s="318"/>
      <c r="CI1134" s="318"/>
      <c r="CJ1134" s="463"/>
      <c r="CK1134" s="342"/>
      <c r="CL1134" s="333"/>
      <c r="CM1134" s="829"/>
      <c r="CN1134" s="333"/>
      <c r="CO1134" s="333"/>
      <c r="CP1134" s="333"/>
    </row>
    <row r="1135">
      <c r="B1135" s="462" t="s">
        <v>1799</v>
      </c>
      <c r="C1135" s="914">
        <v>44536.0</v>
      </c>
      <c r="D1135" s="318"/>
      <c r="E1135" s="319">
        <v>2.0</v>
      </c>
      <c r="F1135" s="324" t="s">
        <v>1814</v>
      </c>
      <c r="G1135" s="321">
        <v>0.4101851851851852</v>
      </c>
      <c r="H1135" s="323">
        <v>0.4105902777777778</v>
      </c>
      <c r="I1135" s="323"/>
      <c r="J1135" s="323"/>
      <c r="K1135" s="323">
        <v>0.4125</v>
      </c>
      <c r="L1135" s="323">
        <v>0.0019097222222222222</v>
      </c>
      <c r="M1135" s="319" t="s">
        <v>166</v>
      </c>
      <c r="N1135" s="324" t="s">
        <v>188</v>
      </c>
      <c r="O1135" s="419" t="s">
        <v>196</v>
      </c>
      <c r="P1135" s="319" t="s">
        <v>225</v>
      </c>
      <c r="Q1135" s="318"/>
      <c r="R1135" s="326">
        <v>21.7</v>
      </c>
      <c r="S1135" s="319">
        <v>39.5</v>
      </c>
      <c r="T1135" s="324">
        <v>1.26</v>
      </c>
      <c r="U1135" s="319">
        <v>20.0</v>
      </c>
      <c r="V1135" s="319"/>
      <c r="W1135" s="319"/>
      <c r="X1135" s="319"/>
      <c r="Y1135" s="319"/>
      <c r="Z1135" s="319" t="s">
        <v>387</v>
      </c>
      <c r="AA1135" s="319"/>
      <c r="AB1135" s="319" t="s">
        <v>416</v>
      </c>
      <c r="AC1135" s="327">
        <v>52.5</v>
      </c>
      <c r="AD1135" s="319"/>
      <c r="AE1135" s="319"/>
      <c r="AF1135" s="319"/>
      <c r="AG1135" s="319"/>
      <c r="AH1135" s="319"/>
      <c r="AI1135" s="319"/>
      <c r="AJ1135" s="327"/>
      <c r="AK1135" s="328"/>
      <c r="AL1135" s="319"/>
      <c r="AM1135" s="319"/>
      <c r="AN1135" s="319"/>
      <c r="AO1135" s="319"/>
      <c r="AP1135" s="319"/>
      <c r="AQ1135" s="319"/>
      <c r="AR1135" s="319"/>
      <c r="AS1135" s="327"/>
      <c r="AT1135" s="461" t="s">
        <v>183</v>
      </c>
      <c r="AU1135" s="324" t="s">
        <v>845</v>
      </c>
      <c r="AV1135" s="330">
        <f>SQRT(($R1135-Infrastructure!J$3)^2+($S1135-Infrastructure!K$3)^2)</f>
        <v>24.42048321</v>
      </c>
      <c r="AW1135" s="331">
        <f>SQRT(($R1135-Infrastructure!J$4)^2+($S1135-Infrastructure!K$4)^2)</f>
        <v>30.90129447</v>
      </c>
      <c r="AX1135" s="331">
        <f>SQRT(($R1135-Infrastructure!J$5)^2+($S1135-Infrastructure!K$5)^2)</f>
        <v>40.83331973</v>
      </c>
      <c r="AY1135" s="331">
        <f>SQRT(($R1135-Infrastructure!J$6)^2+($S1135-Infrastructure!K$6)^2)</f>
        <v>40.88031311</v>
      </c>
      <c r="AZ1135" s="331">
        <f>SQRT(($R1135-Infrastructure!J$7)^2+($S1135-Infrastructure!K$7)^2)</f>
        <v>39.21836305</v>
      </c>
      <c r="BA1135" s="331">
        <f>SQRT(($R1135-Infrastructure!J$8)^2+($S1135-Infrastructure!K$8)^2)</f>
        <v>40.08989898</v>
      </c>
      <c r="BB1135" s="331">
        <f>SQRT(($R1135-Infrastructure!J$9)^2+($S1135-Infrastructure!K$9)^2)</f>
        <v>38.96472764</v>
      </c>
      <c r="BC1135" s="331">
        <f>SQRT(($R1135-Infrastructure!J$10)^2+($S1135-Infrastructure!K$10)^2)</f>
        <v>30.58005886</v>
      </c>
      <c r="BD1135" s="331">
        <f>SQRT(($R1135-Infrastructure!J$11)^2+($S1135-Infrastructure!K$11)^2)</f>
        <v>21.27204739</v>
      </c>
      <c r="BE1135" s="333">
        <f>SQRT(($R1135-Infrastructure!J$12)^2+($S1135-Infrastructure!K$12)^2)</f>
        <v>16.00124995</v>
      </c>
      <c r="BF1135" s="330">
        <f t="shared" si="134"/>
        <v>16.00124995</v>
      </c>
      <c r="BG1135" s="333">
        <f t="shared" si="135"/>
        <v>40.88031311</v>
      </c>
      <c r="BH1135" s="943">
        <v>36526.0</v>
      </c>
      <c r="BI1135" s="462" t="s">
        <v>846</v>
      </c>
      <c r="BJ1135" s="319" t="s">
        <v>846</v>
      </c>
      <c r="BK1135" s="319" t="s">
        <v>846</v>
      </c>
      <c r="BL1135" s="319" t="s">
        <v>845</v>
      </c>
      <c r="BM1135" s="955" t="s">
        <v>845</v>
      </c>
      <c r="BN1135" s="319" t="s">
        <v>845</v>
      </c>
      <c r="BO1135" s="319" t="s">
        <v>845</v>
      </c>
      <c r="BP1135" s="953" t="s">
        <v>846</v>
      </c>
      <c r="BQ1135" s="319" t="s">
        <v>846</v>
      </c>
      <c r="BR1135" s="324" t="s">
        <v>846</v>
      </c>
      <c r="BS1135" s="330">
        <f t="shared" si="136"/>
        <v>16.00124995</v>
      </c>
      <c r="BT1135" s="331">
        <f t="shared" si="137"/>
        <v>40.83331973</v>
      </c>
      <c r="BU1135" s="920">
        <v>0.4103125</v>
      </c>
      <c r="BV1135" s="903">
        <f t="shared" si="138"/>
        <v>0.0001273148148</v>
      </c>
      <c r="BW1135" s="907">
        <v>16.2</v>
      </c>
      <c r="BX1135" s="908">
        <v>21.8</v>
      </c>
      <c r="BY1135" s="331">
        <f t="shared" si="139"/>
        <v>18.53483207</v>
      </c>
      <c r="BZ1135" s="340"/>
      <c r="CA1135" s="316"/>
      <c r="CB1135" s="318"/>
      <c r="CC1135" s="318"/>
      <c r="CD1135" s="318"/>
      <c r="CE1135" s="318"/>
      <c r="CF1135" s="318"/>
      <c r="CG1135" s="318"/>
      <c r="CH1135" s="318"/>
      <c r="CI1135" s="318"/>
      <c r="CJ1135" s="463"/>
      <c r="CK1135" s="342"/>
      <c r="CL1135" s="333"/>
      <c r="CM1135" s="829"/>
      <c r="CN1135" s="333"/>
      <c r="CO1135" s="333"/>
      <c r="CP1135" s="333"/>
    </row>
    <row r="1136">
      <c r="B1136" s="462" t="s">
        <v>1799</v>
      </c>
      <c r="C1136" s="914">
        <v>44536.0</v>
      </c>
      <c r="D1136" s="318"/>
      <c r="E1136" s="319">
        <v>3.0</v>
      </c>
      <c r="F1136" s="324" t="s">
        <v>1815</v>
      </c>
      <c r="G1136" s="321">
        <v>0.4136574074074074</v>
      </c>
      <c r="H1136" s="323">
        <v>0.4138310185185185</v>
      </c>
      <c r="I1136" s="323"/>
      <c r="J1136" s="323"/>
      <c r="K1136" s="323">
        <v>0.4160300925925926</v>
      </c>
      <c r="L1136" s="323">
        <v>0.002199074074074074</v>
      </c>
      <c r="M1136" s="319" t="s">
        <v>166</v>
      </c>
      <c r="N1136" s="324" t="s">
        <v>188</v>
      </c>
      <c r="O1136" s="419" t="s">
        <v>196</v>
      </c>
      <c r="P1136" s="319" t="s">
        <v>224</v>
      </c>
      <c r="Q1136" s="318"/>
      <c r="R1136" s="326">
        <v>21.7</v>
      </c>
      <c r="S1136" s="319">
        <v>39.5</v>
      </c>
      <c r="T1136" s="324">
        <v>1.26</v>
      </c>
      <c r="U1136" s="319">
        <v>16.0</v>
      </c>
      <c r="V1136" s="319"/>
      <c r="W1136" s="319"/>
      <c r="X1136" s="319"/>
      <c r="Y1136" s="319"/>
      <c r="Z1136" s="319" t="s">
        <v>387</v>
      </c>
      <c r="AA1136" s="319"/>
      <c r="AB1136" s="319" t="s">
        <v>416</v>
      </c>
      <c r="AC1136" s="327">
        <v>52.5</v>
      </c>
      <c r="AD1136" s="319"/>
      <c r="AE1136" s="319"/>
      <c r="AF1136" s="319"/>
      <c r="AG1136" s="319"/>
      <c r="AH1136" s="319"/>
      <c r="AI1136" s="319"/>
      <c r="AJ1136" s="327"/>
      <c r="AK1136" s="328"/>
      <c r="AL1136" s="319"/>
      <c r="AM1136" s="319"/>
      <c r="AN1136" s="319"/>
      <c r="AO1136" s="319"/>
      <c r="AP1136" s="319"/>
      <c r="AQ1136" s="319"/>
      <c r="AR1136" s="319"/>
      <c r="AS1136" s="327"/>
      <c r="AT1136" s="461" t="s">
        <v>183</v>
      </c>
      <c r="AU1136" s="324" t="s">
        <v>845</v>
      </c>
      <c r="AV1136" s="330">
        <f>SQRT(($R1136-Infrastructure!J$3)^2+($S1136-Infrastructure!K$3)^2)</f>
        <v>24.42048321</v>
      </c>
      <c r="AW1136" s="331">
        <f>SQRT(($R1136-Infrastructure!J$4)^2+($S1136-Infrastructure!K$4)^2)</f>
        <v>30.90129447</v>
      </c>
      <c r="AX1136" s="331">
        <f>SQRT(($R1136-Infrastructure!J$5)^2+($S1136-Infrastructure!K$5)^2)</f>
        <v>40.83331973</v>
      </c>
      <c r="AY1136" s="331">
        <f>SQRT(($R1136-Infrastructure!J$6)^2+($S1136-Infrastructure!K$6)^2)</f>
        <v>40.88031311</v>
      </c>
      <c r="AZ1136" s="331">
        <f>SQRT(($R1136-Infrastructure!J$7)^2+($S1136-Infrastructure!K$7)^2)</f>
        <v>39.21836305</v>
      </c>
      <c r="BA1136" s="331">
        <f>SQRT(($R1136-Infrastructure!J$8)^2+($S1136-Infrastructure!K$8)^2)</f>
        <v>40.08989898</v>
      </c>
      <c r="BB1136" s="331">
        <f>SQRT(($R1136-Infrastructure!J$9)^2+($S1136-Infrastructure!K$9)^2)</f>
        <v>38.96472764</v>
      </c>
      <c r="BC1136" s="331">
        <f>SQRT(($R1136-Infrastructure!J$10)^2+($S1136-Infrastructure!K$10)^2)</f>
        <v>30.58005886</v>
      </c>
      <c r="BD1136" s="331">
        <f>SQRT(($R1136-Infrastructure!J$11)^2+($S1136-Infrastructure!K$11)^2)</f>
        <v>21.27204739</v>
      </c>
      <c r="BE1136" s="333">
        <f>SQRT(($R1136-Infrastructure!J$12)^2+($S1136-Infrastructure!K$12)^2)</f>
        <v>16.00124995</v>
      </c>
      <c r="BF1136" s="330">
        <f t="shared" si="134"/>
        <v>16.00124995</v>
      </c>
      <c r="BG1136" s="333">
        <f t="shared" si="135"/>
        <v>40.88031311</v>
      </c>
      <c r="BH1136" s="943">
        <v>36526.0</v>
      </c>
      <c r="BI1136" s="462" t="s">
        <v>846</v>
      </c>
      <c r="BJ1136" s="319" t="s">
        <v>846</v>
      </c>
      <c r="BK1136" s="319" t="s">
        <v>846</v>
      </c>
      <c r="BL1136" s="319" t="s">
        <v>845</v>
      </c>
      <c r="BM1136" s="955" t="s">
        <v>845</v>
      </c>
      <c r="BN1136" s="319" t="s">
        <v>845</v>
      </c>
      <c r="BO1136" s="319" t="s">
        <v>845</v>
      </c>
      <c r="BP1136" s="953" t="s">
        <v>845</v>
      </c>
      <c r="BQ1136" s="319" t="s">
        <v>846</v>
      </c>
      <c r="BR1136" s="324" t="s">
        <v>846</v>
      </c>
      <c r="BS1136" s="330">
        <f t="shared" si="136"/>
        <v>16.00124995</v>
      </c>
      <c r="BT1136" s="331">
        <f t="shared" si="137"/>
        <v>40.83331973</v>
      </c>
      <c r="BU1136" s="920">
        <v>0.4137268518518519</v>
      </c>
      <c r="BV1136" s="903">
        <f t="shared" si="138"/>
        <v>0.00006944444444</v>
      </c>
      <c r="BW1136" s="907">
        <v>17.0</v>
      </c>
      <c r="BX1136" s="908">
        <v>24.5</v>
      </c>
      <c r="BY1136" s="331">
        <f t="shared" si="139"/>
        <v>15.71909667</v>
      </c>
      <c r="BZ1136" s="340"/>
      <c r="CA1136" s="316"/>
      <c r="CB1136" s="318"/>
      <c r="CC1136" s="318"/>
      <c r="CD1136" s="318"/>
      <c r="CE1136" s="318"/>
      <c r="CF1136" s="318"/>
      <c r="CG1136" s="318"/>
      <c r="CH1136" s="318"/>
      <c r="CI1136" s="318"/>
      <c r="CJ1136" s="463"/>
      <c r="CK1136" s="342"/>
      <c r="CL1136" s="333"/>
      <c r="CM1136" s="829"/>
      <c r="CN1136" s="333"/>
      <c r="CO1136" s="333"/>
      <c r="CP1136" s="333"/>
    </row>
    <row r="1137">
      <c r="B1137" s="462" t="s">
        <v>1799</v>
      </c>
      <c r="C1137" s="914">
        <v>44536.0</v>
      </c>
      <c r="D1137" s="318"/>
      <c r="E1137" s="319">
        <v>4.0</v>
      </c>
      <c r="F1137" s="324" t="s">
        <v>1816</v>
      </c>
      <c r="G1137" s="321">
        <v>0.42083333333333334</v>
      </c>
      <c r="H1137" s="323">
        <v>0.42118055555555556</v>
      </c>
      <c r="I1137" s="323"/>
      <c r="J1137" s="323"/>
      <c r="K1137" s="323">
        <v>0.42239583333333336</v>
      </c>
      <c r="L1137" s="323">
        <v>0.0012152777777777778</v>
      </c>
      <c r="M1137" s="319" t="s">
        <v>166</v>
      </c>
      <c r="N1137" s="324" t="s">
        <v>188</v>
      </c>
      <c r="O1137" s="419" t="s">
        <v>196</v>
      </c>
      <c r="P1137" s="319" t="s">
        <v>224</v>
      </c>
      <c r="Q1137" s="318"/>
      <c r="R1137" s="326">
        <v>21.7</v>
      </c>
      <c r="S1137" s="319">
        <v>39.5</v>
      </c>
      <c r="T1137" s="324">
        <v>1.26</v>
      </c>
      <c r="U1137" s="319">
        <v>25.0</v>
      </c>
      <c r="V1137" s="319"/>
      <c r="W1137" s="319"/>
      <c r="X1137" s="319"/>
      <c r="Y1137" s="319"/>
      <c r="Z1137" s="319" t="s">
        <v>387</v>
      </c>
      <c r="AA1137" s="319"/>
      <c r="AB1137" s="319" t="s">
        <v>416</v>
      </c>
      <c r="AC1137" s="327">
        <v>52.5</v>
      </c>
      <c r="AD1137" s="319"/>
      <c r="AE1137" s="319"/>
      <c r="AF1137" s="319"/>
      <c r="AG1137" s="319"/>
      <c r="AH1137" s="319"/>
      <c r="AI1137" s="319"/>
      <c r="AJ1137" s="327"/>
      <c r="AK1137" s="328"/>
      <c r="AL1137" s="319"/>
      <c r="AM1137" s="319"/>
      <c r="AN1137" s="319"/>
      <c r="AO1137" s="319"/>
      <c r="AP1137" s="319"/>
      <c r="AQ1137" s="319"/>
      <c r="AR1137" s="319"/>
      <c r="AS1137" s="327"/>
      <c r="AT1137" s="461" t="s">
        <v>183</v>
      </c>
      <c r="AU1137" s="324" t="s">
        <v>845</v>
      </c>
      <c r="AV1137" s="330">
        <f>SQRT(($R1137-Infrastructure!J$3)^2+($S1137-Infrastructure!K$3)^2)</f>
        <v>24.42048321</v>
      </c>
      <c r="AW1137" s="331">
        <f>SQRT(($R1137-Infrastructure!J$4)^2+($S1137-Infrastructure!K$4)^2)</f>
        <v>30.90129447</v>
      </c>
      <c r="AX1137" s="331">
        <f>SQRT(($R1137-Infrastructure!J$5)^2+($S1137-Infrastructure!K$5)^2)</f>
        <v>40.83331973</v>
      </c>
      <c r="AY1137" s="331">
        <f>SQRT(($R1137-Infrastructure!J$6)^2+($S1137-Infrastructure!K$6)^2)</f>
        <v>40.88031311</v>
      </c>
      <c r="AZ1137" s="331">
        <f>SQRT(($R1137-Infrastructure!J$7)^2+($S1137-Infrastructure!K$7)^2)</f>
        <v>39.21836305</v>
      </c>
      <c r="BA1137" s="331">
        <f>SQRT(($R1137-Infrastructure!J$8)^2+($S1137-Infrastructure!K$8)^2)</f>
        <v>40.08989898</v>
      </c>
      <c r="BB1137" s="331">
        <f>SQRT(($R1137-Infrastructure!J$9)^2+($S1137-Infrastructure!K$9)^2)</f>
        <v>38.96472764</v>
      </c>
      <c r="BC1137" s="331">
        <f>SQRT(($R1137-Infrastructure!J$10)^2+($S1137-Infrastructure!K$10)^2)</f>
        <v>30.58005886</v>
      </c>
      <c r="BD1137" s="331">
        <f>SQRT(($R1137-Infrastructure!J$11)^2+($S1137-Infrastructure!K$11)^2)</f>
        <v>21.27204739</v>
      </c>
      <c r="BE1137" s="333">
        <f>SQRT(($R1137-Infrastructure!J$12)^2+($S1137-Infrastructure!K$12)^2)</f>
        <v>16.00124995</v>
      </c>
      <c r="BF1137" s="330">
        <f t="shared" si="134"/>
        <v>16.00124995</v>
      </c>
      <c r="BG1137" s="333">
        <f t="shared" si="135"/>
        <v>40.88031311</v>
      </c>
      <c r="BH1137" s="943">
        <v>36526.0</v>
      </c>
      <c r="BI1137" s="462" t="s">
        <v>846</v>
      </c>
      <c r="BJ1137" s="319" t="s">
        <v>846</v>
      </c>
      <c r="BK1137" s="319" t="s">
        <v>845</v>
      </c>
      <c r="BL1137" s="319" t="s">
        <v>845</v>
      </c>
      <c r="BM1137" s="955" t="s">
        <v>845</v>
      </c>
      <c r="BN1137" s="319" t="s">
        <v>845</v>
      </c>
      <c r="BO1137" s="319" t="s">
        <v>845</v>
      </c>
      <c r="BP1137" s="953" t="s">
        <v>845</v>
      </c>
      <c r="BQ1137" s="319" t="s">
        <v>846</v>
      </c>
      <c r="BR1137" s="324" t="s">
        <v>846</v>
      </c>
      <c r="BS1137" s="330">
        <f t="shared" si="136"/>
        <v>16.00124995</v>
      </c>
      <c r="BT1137" s="331">
        <f t="shared" si="137"/>
        <v>30.90129447</v>
      </c>
      <c r="BU1137" s="920">
        <v>0.4208796296296296</v>
      </c>
      <c r="BV1137" s="903">
        <f t="shared" si="138"/>
        <v>0.0000462962963</v>
      </c>
      <c r="BW1137" s="907">
        <v>17.1</v>
      </c>
      <c r="BX1137" s="908">
        <v>22.5</v>
      </c>
      <c r="BY1137" s="331">
        <f t="shared" si="139"/>
        <v>17.61135997</v>
      </c>
      <c r="BZ1137" s="340"/>
      <c r="CA1137" s="316"/>
      <c r="CB1137" s="318"/>
      <c r="CC1137" s="318"/>
      <c r="CD1137" s="318"/>
      <c r="CE1137" s="318"/>
      <c r="CF1137" s="318"/>
      <c r="CG1137" s="318"/>
      <c r="CH1137" s="318"/>
      <c r="CI1137" s="318"/>
      <c r="CJ1137" s="463"/>
      <c r="CK1137" s="342"/>
      <c r="CL1137" s="333"/>
      <c r="CM1137" s="829"/>
      <c r="CN1137" s="333"/>
      <c r="CO1137" s="333"/>
      <c r="CP1137" s="333"/>
    </row>
    <row r="1138">
      <c r="B1138" s="462" t="s">
        <v>1799</v>
      </c>
      <c r="C1138" s="914">
        <v>44536.0</v>
      </c>
      <c r="D1138" s="318"/>
      <c r="E1138" s="319"/>
      <c r="F1138" s="324" t="s">
        <v>1817</v>
      </c>
      <c r="G1138" s="321">
        <v>0.4227430555555556</v>
      </c>
      <c r="H1138" s="323"/>
      <c r="I1138" s="323"/>
      <c r="J1138" s="323"/>
      <c r="K1138" s="323">
        <v>0.4234375</v>
      </c>
      <c r="L1138" s="323">
        <v>6.944444444444445E-4</v>
      </c>
      <c r="M1138" s="319" t="s">
        <v>166</v>
      </c>
      <c r="N1138" s="324" t="s">
        <v>188</v>
      </c>
      <c r="O1138" s="419"/>
      <c r="P1138" s="319" t="s">
        <v>292</v>
      </c>
      <c r="Q1138" s="318"/>
      <c r="R1138" s="833"/>
      <c r="S1138" s="834"/>
      <c r="T1138" s="940"/>
      <c r="U1138" s="834"/>
      <c r="V1138" s="834"/>
      <c r="W1138" s="834"/>
      <c r="X1138" s="834"/>
      <c r="Y1138" s="834"/>
      <c r="Z1138" s="319" t="s">
        <v>323</v>
      </c>
      <c r="AA1138" s="319"/>
      <c r="AB1138" s="319" t="s">
        <v>323</v>
      </c>
      <c r="AC1138" s="327" t="s">
        <v>323</v>
      </c>
      <c r="AD1138" s="319"/>
      <c r="AE1138" s="319"/>
      <c r="AF1138" s="319"/>
      <c r="AG1138" s="319"/>
      <c r="AH1138" s="319"/>
      <c r="AI1138" s="319"/>
      <c r="AJ1138" s="327"/>
      <c r="AK1138" s="328"/>
      <c r="AL1138" s="319"/>
      <c r="AM1138" s="319"/>
      <c r="AN1138" s="319"/>
      <c r="AO1138" s="319"/>
      <c r="AP1138" s="319"/>
      <c r="AQ1138" s="319"/>
      <c r="AR1138" s="319"/>
      <c r="AS1138" s="327"/>
      <c r="AT1138" s="461"/>
      <c r="AU1138" s="324" t="s">
        <v>845</v>
      </c>
      <c r="AV1138" s="330"/>
      <c r="AW1138" s="331"/>
      <c r="AX1138" s="331"/>
      <c r="AY1138" s="331"/>
      <c r="AZ1138" s="331"/>
      <c r="BA1138" s="331"/>
      <c r="BB1138" s="331"/>
      <c r="BC1138" s="331"/>
      <c r="BD1138" s="331"/>
      <c r="BE1138" s="333"/>
      <c r="BF1138" s="330"/>
      <c r="BG1138" s="333"/>
      <c r="BH1138" s="943">
        <v>36526.0</v>
      </c>
      <c r="BI1138" s="462"/>
      <c r="BJ1138" s="319"/>
      <c r="BK1138" s="319"/>
      <c r="BL1138" s="319"/>
      <c r="BM1138" s="955"/>
      <c r="BN1138" s="319"/>
      <c r="BO1138" s="319"/>
      <c r="BP1138" s="953"/>
      <c r="BQ1138" s="319"/>
      <c r="BR1138" s="324"/>
      <c r="BS1138" s="330"/>
      <c r="BT1138" s="331"/>
      <c r="BU1138" s="920"/>
      <c r="BV1138" s="903"/>
      <c r="BW1138" s="907"/>
      <c r="BX1138" s="908"/>
      <c r="BY1138" s="331"/>
      <c r="BZ1138" s="340"/>
      <c r="CA1138" s="316"/>
      <c r="CB1138" s="318"/>
      <c r="CC1138" s="318"/>
      <c r="CD1138" s="318"/>
      <c r="CE1138" s="318"/>
      <c r="CF1138" s="318"/>
      <c r="CG1138" s="318"/>
      <c r="CH1138" s="318"/>
      <c r="CI1138" s="318"/>
      <c r="CJ1138" s="463"/>
      <c r="CK1138" s="342"/>
      <c r="CL1138" s="333"/>
      <c r="CM1138" s="829"/>
      <c r="CN1138" s="333"/>
      <c r="CO1138" s="333"/>
      <c r="CP1138" s="333"/>
    </row>
    <row r="1139">
      <c r="B1139" s="462" t="s">
        <v>1799</v>
      </c>
      <c r="C1139" s="914">
        <v>44536.0</v>
      </c>
      <c r="D1139" s="318"/>
      <c r="E1139" s="319"/>
      <c r="F1139" s="324" t="s">
        <v>1817</v>
      </c>
      <c r="G1139" s="321">
        <v>0.47118055555555555</v>
      </c>
      <c r="H1139" s="323"/>
      <c r="I1139" s="323"/>
      <c r="J1139" s="323"/>
      <c r="K1139" s="323">
        <v>0.47239583333333335</v>
      </c>
      <c r="L1139" s="323">
        <v>0.0012152777777777778</v>
      </c>
      <c r="M1139" s="319" t="s">
        <v>358</v>
      </c>
      <c r="N1139" s="324" t="s">
        <v>188</v>
      </c>
      <c r="O1139" s="419"/>
      <c r="P1139" s="319" t="s">
        <v>294</v>
      </c>
      <c r="Q1139" s="318"/>
      <c r="R1139" s="833"/>
      <c r="S1139" s="834"/>
      <c r="T1139" s="940"/>
      <c r="U1139" s="834"/>
      <c r="V1139" s="834"/>
      <c r="W1139" s="834"/>
      <c r="X1139" s="834"/>
      <c r="Y1139" s="834"/>
      <c r="Z1139" s="319" t="s">
        <v>323</v>
      </c>
      <c r="AA1139" s="319"/>
      <c r="AB1139" s="319" t="s">
        <v>323</v>
      </c>
      <c r="AC1139" s="327" t="s">
        <v>323</v>
      </c>
      <c r="AD1139" s="319"/>
      <c r="AE1139" s="319"/>
      <c r="AF1139" s="319"/>
      <c r="AG1139" s="319"/>
      <c r="AH1139" s="319"/>
      <c r="AI1139" s="319"/>
      <c r="AJ1139" s="327"/>
      <c r="AK1139" s="328"/>
      <c r="AL1139" s="319"/>
      <c r="AM1139" s="319"/>
      <c r="AN1139" s="319"/>
      <c r="AO1139" s="319"/>
      <c r="AP1139" s="319"/>
      <c r="AQ1139" s="319"/>
      <c r="AR1139" s="319"/>
      <c r="AS1139" s="327"/>
      <c r="AT1139" s="461"/>
      <c r="AU1139" s="324" t="s">
        <v>845</v>
      </c>
      <c r="AV1139" s="330"/>
      <c r="AW1139" s="331"/>
      <c r="AX1139" s="331"/>
      <c r="AY1139" s="331"/>
      <c r="AZ1139" s="331"/>
      <c r="BA1139" s="331"/>
      <c r="BB1139" s="331"/>
      <c r="BC1139" s="331"/>
      <c r="BD1139" s="331"/>
      <c r="BE1139" s="333"/>
      <c r="BF1139" s="330"/>
      <c r="BG1139" s="333"/>
      <c r="BH1139" s="943">
        <v>36526.0</v>
      </c>
      <c r="BI1139" s="462"/>
      <c r="BJ1139" s="319"/>
      <c r="BK1139" s="319"/>
      <c r="BL1139" s="319"/>
      <c r="BM1139" s="955"/>
      <c r="BN1139" s="319"/>
      <c r="BO1139" s="319"/>
      <c r="BP1139" s="953"/>
      <c r="BQ1139" s="319"/>
      <c r="BR1139" s="324"/>
      <c r="BS1139" s="330"/>
      <c r="BT1139" s="331"/>
      <c r="BU1139" s="920"/>
      <c r="BV1139" s="903"/>
      <c r="BW1139" s="907"/>
      <c r="BX1139" s="908"/>
      <c r="BY1139" s="331"/>
      <c r="BZ1139" s="340"/>
      <c r="CA1139" s="316"/>
      <c r="CB1139" s="318"/>
      <c r="CC1139" s="318"/>
      <c r="CD1139" s="318"/>
      <c r="CE1139" s="318"/>
      <c r="CF1139" s="318"/>
      <c r="CG1139" s="318"/>
      <c r="CH1139" s="318"/>
      <c r="CI1139" s="318"/>
      <c r="CJ1139" s="463"/>
      <c r="CK1139" s="342"/>
      <c r="CL1139" s="333"/>
      <c r="CM1139" s="829"/>
      <c r="CN1139" s="333"/>
      <c r="CO1139" s="333"/>
      <c r="CP1139" s="333"/>
    </row>
    <row r="1140">
      <c r="A1140" s="389" t="s">
        <v>59</v>
      </c>
      <c r="B1140" s="573" t="s">
        <v>1799</v>
      </c>
      <c r="C1140" s="909">
        <v>44537.0</v>
      </c>
      <c r="D1140" s="393"/>
      <c r="E1140" s="393">
        <v>1.0</v>
      </c>
      <c r="F1140" s="394" t="s">
        <v>1818</v>
      </c>
      <c r="G1140" s="395">
        <v>0.38408564814814816</v>
      </c>
      <c r="H1140" s="456"/>
      <c r="I1140" s="456"/>
      <c r="J1140" s="456"/>
      <c r="K1140" s="456">
        <v>0.38460648148148147</v>
      </c>
      <c r="L1140" s="718">
        <v>5.208333333333333E-4</v>
      </c>
      <c r="M1140" s="393" t="s">
        <v>166</v>
      </c>
      <c r="N1140" s="394" t="s">
        <v>188</v>
      </c>
      <c r="O1140" s="399" t="s">
        <v>196</v>
      </c>
      <c r="P1140" s="393" t="s">
        <v>225</v>
      </c>
      <c r="Q1140" s="962"/>
      <c r="R1140" s="400">
        <v>21.7</v>
      </c>
      <c r="S1140" s="393">
        <v>39.5</v>
      </c>
      <c r="T1140" s="394">
        <v>1.26</v>
      </c>
      <c r="U1140" s="393">
        <v>15.0</v>
      </c>
      <c r="V1140" s="393"/>
      <c r="W1140" s="393"/>
      <c r="X1140" s="393"/>
      <c r="Y1140" s="393"/>
      <c r="Z1140" s="393" t="s">
        <v>387</v>
      </c>
      <c r="AA1140" s="393"/>
      <c r="AB1140" s="393" t="s">
        <v>416</v>
      </c>
      <c r="AC1140" s="401">
        <v>52.5</v>
      </c>
      <c r="AD1140" s="393"/>
      <c r="AE1140" s="393"/>
      <c r="AF1140" s="393"/>
      <c r="AG1140" s="393"/>
      <c r="AH1140" s="393"/>
      <c r="AI1140" s="393"/>
      <c r="AJ1140" s="401"/>
      <c r="AK1140" s="402"/>
      <c r="AL1140" s="393"/>
      <c r="AM1140" s="393"/>
      <c r="AN1140" s="393"/>
      <c r="AO1140" s="393"/>
      <c r="AP1140" s="393"/>
      <c r="AQ1140" s="393"/>
      <c r="AR1140" s="393"/>
      <c r="AS1140" s="401"/>
      <c r="AT1140" s="460" t="s">
        <v>183</v>
      </c>
      <c r="AU1140" s="394" t="s">
        <v>845</v>
      </c>
      <c r="AV1140" s="405">
        <f>SQRT(($R1140-Infrastructure!J$3)^2+($S1140-Infrastructure!K$3)^2)</f>
        <v>24.42048321</v>
      </c>
      <c r="AW1140" s="406">
        <f>SQRT(($R1140-Infrastructure!J$4)^2+($S1140-Infrastructure!K$4)^2)</f>
        <v>30.90129447</v>
      </c>
      <c r="AX1140" s="406">
        <f>SQRT(($R1140-Infrastructure!J$5)^2+($S1140-Infrastructure!K$5)^2)</f>
        <v>40.83331973</v>
      </c>
      <c r="AY1140" s="406">
        <f>SQRT(($R1140-Infrastructure!J$6)^2+($S1140-Infrastructure!K$6)^2)</f>
        <v>40.88031311</v>
      </c>
      <c r="AZ1140" s="406">
        <f>SQRT(($R1140-Infrastructure!J$7)^2+($S1140-Infrastructure!K$7)^2)</f>
        <v>39.21836305</v>
      </c>
      <c r="BA1140" s="406">
        <f>SQRT(($R1140-Infrastructure!J$8)^2+($S1140-Infrastructure!K$8)^2)</f>
        <v>40.08989898</v>
      </c>
      <c r="BB1140" s="406">
        <f>SQRT(($R1140-Infrastructure!J$9)^2+($S1140-Infrastructure!K$9)^2)</f>
        <v>38.96472764</v>
      </c>
      <c r="BC1140" s="406">
        <f>SQRT(($R1140-Infrastructure!J$10)^2+($S1140-Infrastructure!K$10)^2)</f>
        <v>30.58005886</v>
      </c>
      <c r="BD1140" s="406">
        <f>SQRT(($R1140-Infrastructure!J$11)^2+($S1140-Infrastructure!K$11)^2)</f>
        <v>21.27204739</v>
      </c>
      <c r="BE1140" s="408">
        <f>SQRT(($R1140-Infrastructure!J$12)^2+($S1140-Infrastructure!K$12)^2)</f>
        <v>16.00124995</v>
      </c>
      <c r="BF1140" s="405">
        <f t="shared" ref="BF1140:BF1152" si="140">MIN(AV1140:BE1140)</f>
        <v>16.00124995</v>
      </c>
      <c r="BG1140" s="408">
        <f t="shared" ref="BG1140:BG1152" si="141">MAX(AV1140:BE1140)</f>
        <v>40.88031311</v>
      </c>
      <c r="BH1140" s="961">
        <v>36526.0</v>
      </c>
      <c r="BI1140" s="573" t="s">
        <v>845</v>
      </c>
      <c r="BJ1140" s="393" t="s">
        <v>845</v>
      </c>
      <c r="BK1140" s="393" t="s">
        <v>845</v>
      </c>
      <c r="BL1140" s="393" t="s">
        <v>845</v>
      </c>
      <c r="BM1140" s="959" t="s">
        <v>845</v>
      </c>
      <c r="BN1140" s="393" t="s">
        <v>845</v>
      </c>
      <c r="BO1140" s="393" t="s">
        <v>845</v>
      </c>
      <c r="BP1140" s="960" t="s">
        <v>845</v>
      </c>
      <c r="BQ1140" s="393" t="s">
        <v>845</v>
      </c>
      <c r="BR1140" s="394" t="s">
        <v>845</v>
      </c>
      <c r="BS1140" s="330">
        <f t="shared" ref="BS1140:BS1152" si="142">MINIFS(AV1140:BE1140,BI1140:BR1140, "Y")</f>
        <v>0</v>
      </c>
      <c r="BT1140" s="331">
        <f t="shared" ref="BT1140:BT1152" si="143">MAXIFS(AV1140:BE1140,BI1140:BR1140, "Y")</f>
        <v>0</v>
      </c>
      <c r="BU1140" s="931"/>
      <c r="BV1140" s="901"/>
      <c r="BW1140" s="925"/>
      <c r="BX1140" s="926"/>
      <c r="BY1140" s="406"/>
      <c r="BZ1140" s="412"/>
      <c r="CA1140" s="390"/>
      <c r="CB1140" s="392"/>
      <c r="CC1140" s="392"/>
      <c r="CD1140" s="392"/>
      <c r="CE1140" s="392"/>
      <c r="CF1140" s="392"/>
      <c r="CG1140" s="392"/>
      <c r="CH1140" s="392"/>
      <c r="CI1140" s="392"/>
      <c r="CJ1140" s="898"/>
      <c r="CK1140" s="414"/>
      <c r="CL1140" s="408"/>
      <c r="CM1140" s="832"/>
      <c r="CN1140" s="333"/>
      <c r="CO1140" s="333"/>
      <c r="CP1140" s="333"/>
    </row>
    <row r="1141">
      <c r="B1141" s="462" t="s">
        <v>1799</v>
      </c>
      <c r="C1141" s="914">
        <v>44537.0</v>
      </c>
      <c r="D1141" s="319"/>
      <c r="E1141" s="319">
        <v>2.0</v>
      </c>
      <c r="F1141" s="324" t="s">
        <v>1819</v>
      </c>
      <c r="G1141" s="321">
        <v>0.38547453703703705</v>
      </c>
      <c r="H1141" s="323"/>
      <c r="I1141" s="323"/>
      <c r="J1141" s="323"/>
      <c r="K1141" s="323">
        <v>0.3859375</v>
      </c>
      <c r="L1141" s="723">
        <v>4.62962962962963E-4</v>
      </c>
      <c r="M1141" s="319" t="s">
        <v>166</v>
      </c>
      <c r="N1141" s="324" t="s">
        <v>188</v>
      </c>
      <c r="O1141" s="419" t="s">
        <v>196</v>
      </c>
      <c r="P1141" s="319" t="s">
        <v>225</v>
      </c>
      <c r="Q1141" s="834"/>
      <c r="R1141" s="326">
        <v>21.7</v>
      </c>
      <c r="S1141" s="319">
        <v>39.5</v>
      </c>
      <c r="T1141" s="324">
        <v>1.26</v>
      </c>
      <c r="U1141" s="319">
        <v>20.0</v>
      </c>
      <c r="V1141" s="319"/>
      <c r="W1141" s="319"/>
      <c r="X1141" s="319"/>
      <c r="Y1141" s="319"/>
      <c r="Z1141" s="319" t="s">
        <v>387</v>
      </c>
      <c r="AA1141" s="319"/>
      <c r="AB1141" s="319" t="s">
        <v>416</v>
      </c>
      <c r="AC1141" s="327">
        <v>52.5</v>
      </c>
      <c r="AD1141" s="319"/>
      <c r="AE1141" s="319"/>
      <c r="AF1141" s="319"/>
      <c r="AG1141" s="319"/>
      <c r="AH1141" s="319"/>
      <c r="AI1141" s="319"/>
      <c r="AJ1141" s="327"/>
      <c r="AK1141" s="328"/>
      <c r="AL1141" s="319"/>
      <c r="AM1141" s="319"/>
      <c r="AN1141" s="319"/>
      <c r="AO1141" s="319"/>
      <c r="AP1141" s="319"/>
      <c r="AQ1141" s="319"/>
      <c r="AR1141" s="319"/>
      <c r="AS1141" s="327"/>
      <c r="AT1141" s="461" t="s">
        <v>183</v>
      </c>
      <c r="AU1141" s="324" t="s">
        <v>845</v>
      </c>
      <c r="AV1141" s="330">
        <f>SQRT(($R1141-Infrastructure!J$3)^2+($S1141-Infrastructure!K$3)^2)</f>
        <v>24.42048321</v>
      </c>
      <c r="AW1141" s="331">
        <f>SQRT(($R1141-Infrastructure!J$4)^2+($S1141-Infrastructure!K$4)^2)</f>
        <v>30.90129447</v>
      </c>
      <c r="AX1141" s="331">
        <f>SQRT(($R1141-Infrastructure!J$5)^2+($S1141-Infrastructure!K$5)^2)</f>
        <v>40.83331973</v>
      </c>
      <c r="AY1141" s="331">
        <f>SQRT(($R1141-Infrastructure!J$6)^2+($S1141-Infrastructure!K$6)^2)</f>
        <v>40.88031311</v>
      </c>
      <c r="AZ1141" s="331">
        <f>SQRT(($R1141-Infrastructure!J$7)^2+($S1141-Infrastructure!K$7)^2)</f>
        <v>39.21836305</v>
      </c>
      <c r="BA1141" s="331">
        <f>SQRT(($R1141-Infrastructure!J$8)^2+($S1141-Infrastructure!K$8)^2)</f>
        <v>40.08989898</v>
      </c>
      <c r="BB1141" s="331">
        <f>SQRT(($R1141-Infrastructure!J$9)^2+($S1141-Infrastructure!K$9)^2)</f>
        <v>38.96472764</v>
      </c>
      <c r="BC1141" s="331">
        <f>SQRT(($R1141-Infrastructure!J$10)^2+($S1141-Infrastructure!K$10)^2)</f>
        <v>30.58005886</v>
      </c>
      <c r="BD1141" s="331">
        <f>SQRT(($R1141-Infrastructure!J$11)^2+($S1141-Infrastructure!K$11)^2)</f>
        <v>21.27204739</v>
      </c>
      <c r="BE1141" s="333">
        <f>SQRT(($R1141-Infrastructure!J$12)^2+($S1141-Infrastructure!K$12)^2)</f>
        <v>16.00124995</v>
      </c>
      <c r="BF1141" s="330">
        <f t="shared" si="140"/>
        <v>16.00124995</v>
      </c>
      <c r="BG1141" s="333">
        <f t="shared" si="141"/>
        <v>40.88031311</v>
      </c>
      <c r="BH1141" s="943">
        <v>36526.0</v>
      </c>
      <c r="BI1141" s="462" t="s">
        <v>846</v>
      </c>
      <c r="BJ1141" s="319" t="s">
        <v>846</v>
      </c>
      <c r="BK1141" s="319" t="s">
        <v>846</v>
      </c>
      <c r="BL1141" s="319" t="s">
        <v>845</v>
      </c>
      <c r="BM1141" s="955" t="s">
        <v>845</v>
      </c>
      <c r="BN1141" s="319" t="s">
        <v>845</v>
      </c>
      <c r="BO1141" s="319" t="s">
        <v>845</v>
      </c>
      <c r="BP1141" s="953" t="s">
        <v>845</v>
      </c>
      <c r="BQ1141" s="319" t="s">
        <v>846</v>
      </c>
      <c r="BR1141" s="324" t="s">
        <v>846</v>
      </c>
      <c r="BS1141" s="330">
        <f t="shared" si="142"/>
        <v>16.00124995</v>
      </c>
      <c r="BT1141" s="331">
        <f t="shared" si="143"/>
        <v>40.83331973</v>
      </c>
      <c r="BU1141" s="920">
        <v>0.38555555555555554</v>
      </c>
      <c r="BV1141" s="903">
        <f t="shared" ref="BV1141:BV1143" si="144">BU1141-G1141</f>
        <v>0.00008101851852</v>
      </c>
      <c r="BW1141" s="907">
        <v>14.3</v>
      </c>
      <c r="BX1141" s="908">
        <v>23.7</v>
      </c>
      <c r="BY1141" s="331">
        <f t="shared" ref="BY1141:BY1143" si="145">IF(BW1141&gt;0, SQRT((R1141-BW1141)^2+(S1141-BX1141)^2))</f>
        <v>17.44706279</v>
      </c>
      <c r="BZ1141" s="340"/>
      <c r="CA1141" s="316"/>
      <c r="CB1141" s="318"/>
      <c r="CC1141" s="318"/>
      <c r="CD1141" s="318"/>
      <c r="CE1141" s="318"/>
      <c r="CF1141" s="318"/>
      <c r="CG1141" s="318"/>
      <c r="CH1141" s="318"/>
      <c r="CI1141" s="318"/>
      <c r="CJ1141" s="463"/>
      <c r="CK1141" s="342"/>
      <c r="CL1141" s="333"/>
      <c r="CM1141" s="829"/>
      <c r="CN1141" s="333"/>
      <c r="CO1141" s="333"/>
      <c r="CP1141" s="333"/>
    </row>
    <row r="1142">
      <c r="B1142" s="462" t="s">
        <v>1799</v>
      </c>
      <c r="C1142" s="914">
        <v>44537.0</v>
      </c>
      <c r="D1142" s="319"/>
      <c r="E1142" s="319">
        <v>3.0</v>
      </c>
      <c r="F1142" s="324" t="s">
        <v>1820</v>
      </c>
      <c r="G1142" s="321">
        <v>0.38819444444444445</v>
      </c>
      <c r="H1142" s="323"/>
      <c r="I1142" s="323"/>
      <c r="J1142" s="323"/>
      <c r="K1142" s="323">
        <v>0.38969907407407406</v>
      </c>
      <c r="L1142" s="723">
        <v>0.0015046296296296296</v>
      </c>
      <c r="M1142" s="319" t="s">
        <v>166</v>
      </c>
      <c r="N1142" s="324" t="s">
        <v>188</v>
      </c>
      <c r="O1142" s="419" t="s">
        <v>196</v>
      </c>
      <c r="P1142" s="319" t="s">
        <v>225</v>
      </c>
      <c r="Q1142" s="834"/>
      <c r="R1142" s="326">
        <v>21.7</v>
      </c>
      <c r="S1142" s="319">
        <v>39.5</v>
      </c>
      <c r="T1142" s="324">
        <v>1.26</v>
      </c>
      <c r="U1142" s="319">
        <v>20.0</v>
      </c>
      <c r="V1142" s="319"/>
      <c r="W1142" s="319"/>
      <c r="X1142" s="319"/>
      <c r="Y1142" s="319"/>
      <c r="Z1142" s="319" t="s">
        <v>387</v>
      </c>
      <c r="AA1142" s="319"/>
      <c r="AB1142" s="319" t="s">
        <v>416</v>
      </c>
      <c r="AC1142" s="327">
        <v>52.5</v>
      </c>
      <c r="AD1142" s="319"/>
      <c r="AE1142" s="319"/>
      <c r="AF1142" s="319"/>
      <c r="AG1142" s="319"/>
      <c r="AH1142" s="319"/>
      <c r="AI1142" s="319"/>
      <c r="AJ1142" s="327"/>
      <c r="AK1142" s="328"/>
      <c r="AL1142" s="319"/>
      <c r="AM1142" s="319"/>
      <c r="AN1142" s="319"/>
      <c r="AO1142" s="319"/>
      <c r="AP1142" s="319"/>
      <c r="AQ1142" s="319"/>
      <c r="AR1142" s="319"/>
      <c r="AS1142" s="327"/>
      <c r="AT1142" s="461" t="s">
        <v>183</v>
      </c>
      <c r="AU1142" s="324" t="s">
        <v>845</v>
      </c>
      <c r="AV1142" s="330">
        <f>SQRT(($R1142-Infrastructure!J$3)^2+($S1142-Infrastructure!K$3)^2)</f>
        <v>24.42048321</v>
      </c>
      <c r="AW1142" s="331">
        <f>SQRT(($R1142-Infrastructure!J$4)^2+($S1142-Infrastructure!K$4)^2)</f>
        <v>30.90129447</v>
      </c>
      <c r="AX1142" s="331">
        <f>SQRT(($R1142-Infrastructure!J$5)^2+($S1142-Infrastructure!K$5)^2)</f>
        <v>40.83331973</v>
      </c>
      <c r="AY1142" s="331">
        <f>SQRT(($R1142-Infrastructure!J$6)^2+($S1142-Infrastructure!K$6)^2)</f>
        <v>40.88031311</v>
      </c>
      <c r="AZ1142" s="331">
        <f>SQRT(($R1142-Infrastructure!J$7)^2+($S1142-Infrastructure!K$7)^2)</f>
        <v>39.21836305</v>
      </c>
      <c r="BA1142" s="331">
        <f>SQRT(($R1142-Infrastructure!J$8)^2+($S1142-Infrastructure!K$8)^2)</f>
        <v>40.08989898</v>
      </c>
      <c r="BB1142" s="331">
        <f>SQRT(($R1142-Infrastructure!J$9)^2+($S1142-Infrastructure!K$9)^2)</f>
        <v>38.96472764</v>
      </c>
      <c r="BC1142" s="331">
        <f>SQRT(($R1142-Infrastructure!J$10)^2+($S1142-Infrastructure!K$10)^2)</f>
        <v>30.58005886</v>
      </c>
      <c r="BD1142" s="331">
        <f>SQRT(($R1142-Infrastructure!J$11)^2+($S1142-Infrastructure!K$11)^2)</f>
        <v>21.27204739</v>
      </c>
      <c r="BE1142" s="333">
        <f>SQRT(($R1142-Infrastructure!J$12)^2+($S1142-Infrastructure!K$12)^2)</f>
        <v>16.00124995</v>
      </c>
      <c r="BF1142" s="330">
        <f t="shared" si="140"/>
        <v>16.00124995</v>
      </c>
      <c r="BG1142" s="333">
        <f t="shared" si="141"/>
        <v>40.88031311</v>
      </c>
      <c r="BH1142" s="943">
        <v>36526.0</v>
      </c>
      <c r="BI1142" s="462" t="s">
        <v>846</v>
      </c>
      <c r="BJ1142" s="319" t="s">
        <v>846</v>
      </c>
      <c r="BK1142" s="319" t="s">
        <v>846</v>
      </c>
      <c r="BL1142" s="319" t="s">
        <v>845</v>
      </c>
      <c r="BM1142" s="955" t="s">
        <v>845</v>
      </c>
      <c r="BN1142" s="319" t="s">
        <v>845</v>
      </c>
      <c r="BO1142" s="319" t="s">
        <v>845</v>
      </c>
      <c r="BP1142" s="953" t="s">
        <v>845</v>
      </c>
      <c r="BQ1142" s="319" t="s">
        <v>846</v>
      </c>
      <c r="BR1142" s="324" t="s">
        <v>846</v>
      </c>
      <c r="BS1142" s="330">
        <f t="shared" si="142"/>
        <v>16.00124995</v>
      </c>
      <c r="BT1142" s="331">
        <f t="shared" si="143"/>
        <v>40.83331973</v>
      </c>
      <c r="BU1142" s="920">
        <v>0.38841435185185186</v>
      </c>
      <c r="BV1142" s="903">
        <f t="shared" si="144"/>
        <v>0.0002199074074</v>
      </c>
      <c r="BW1142" s="907">
        <v>15.4</v>
      </c>
      <c r="BX1142" s="908">
        <v>23.8</v>
      </c>
      <c r="BY1142" s="331">
        <f t="shared" si="145"/>
        <v>16.9168555</v>
      </c>
      <c r="BZ1142" s="340"/>
      <c r="CA1142" s="316"/>
      <c r="CB1142" s="318"/>
      <c r="CC1142" s="318"/>
      <c r="CD1142" s="318"/>
      <c r="CE1142" s="318"/>
      <c r="CF1142" s="318"/>
      <c r="CG1142" s="318"/>
      <c r="CH1142" s="318"/>
      <c r="CI1142" s="318"/>
      <c r="CJ1142" s="463"/>
      <c r="CK1142" s="342"/>
      <c r="CL1142" s="333"/>
      <c r="CM1142" s="829"/>
      <c r="CN1142" s="333"/>
      <c r="CO1142" s="333"/>
      <c r="CP1142" s="333"/>
    </row>
    <row r="1143">
      <c r="B1143" s="462" t="s">
        <v>1799</v>
      </c>
      <c r="C1143" s="914">
        <v>44537.0</v>
      </c>
      <c r="D1143" s="319"/>
      <c r="E1143" s="319">
        <v>4.0</v>
      </c>
      <c r="F1143" s="324" t="s">
        <v>1821</v>
      </c>
      <c r="G1143" s="321">
        <v>0.3907407407407407</v>
      </c>
      <c r="H1143" s="323"/>
      <c r="I1143" s="323"/>
      <c r="J1143" s="323"/>
      <c r="K1143" s="323">
        <v>0.39131944444444444</v>
      </c>
      <c r="L1143" s="723">
        <v>5.787037037037037E-4</v>
      </c>
      <c r="M1143" s="319" t="s">
        <v>166</v>
      </c>
      <c r="N1143" s="324" t="s">
        <v>188</v>
      </c>
      <c r="O1143" s="419" t="s">
        <v>196</v>
      </c>
      <c r="P1143" s="319" t="s">
        <v>225</v>
      </c>
      <c r="Q1143" s="834"/>
      <c r="R1143" s="326">
        <v>21.7</v>
      </c>
      <c r="S1143" s="319">
        <v>39.5</v>
      </c>
      <c r="T1143" s="324">
        <v>1.26</v>
      </c>
      <c r="U1143" s="319">
        <v>20.0</v>
      </c>
      <c r="V1143" s="319"/>
      <c r="W1143" s="319"/>
      <c r="X1143" s="319"/>
      <c r="Y1143" s="319"/>
      <c r="Z1143" s="319" t="s">
        <v>387</v>
      </c>
      <c r="AA1143" s="319"/>
      <c r="AB1143" s="319" t="s">
        <v>416</v>
      </c>
      <c r="AC1143" s="327">
        <v>52.5</v>
      </c>
      <c r="AD1143" s="319"/>
      <c r="AE1143" s="319"/>
      <c r="AF1143" s="319"/>
      <c r="AG1143" s="319"/>
      <c r="AH1143" s="319"/>
      <c r="AI1143" s="319"/>
      <c r="AJ1143" s="327"/>
      <c r="AK1143" s="328"/>
      <c r="AL1143" s="319"/>
      <c r="AM1143" s="319"/>
      <c r="AN1143" s="319"/>
      <c r="AO1143" s="319"/>
      <c r="AP1143" s="319"/>
      <c r="AQ1143" s="319"/>
      <c r="AR1143" s="319"/>
      <c r="AS1143" s="327"/>
      <c r="AT1143" s="461" t="s">
        <v>183</v>
      </c>
      <c r="AU1143" s="324" t="s">
        <v>845</v>
      </c>
      <c r="AV1143" s="330">
        <f>SQRT(($R1143-Infrastructure!J$3)^2+($S1143-Infrastructure!K$3)^2)</f>
        <v>24.42048321</v>
      </c>
      <c r="AW1143" s="331">
        <f>SQRT(($R1143-Infrastructure!J$4)^2+($S1143-Infrastructure!K$4)^2)</f>
        <v>30.90129447</v>
      </c>
      <c r="AX1143" s="331">
        <f>SQRT(($R1143-Infrastructure!J$5)^2+($S1143-Infrastructure!K$5)^2)</f>
        <v>40.83331973</v>
      </c>
      <c r="AY1143" s="331">
        <f>SQRT(($R1143-Infrastructure!J$6)^2+($S1143-Infrastructure!K$6)^2)</f>
        <v>40.88031311</v>
      </c>
      <c r="AZ1143" s="331">
        <f>SQRT(($R1143-Infrastructure!J$7)^2+($S1143-Infrastructure!K$7)^2)</f>
        <v>39.21836305</v>
      </c>
      <c r="BA1143" s="331">
        <f>SQRT(($R1143-Infrastructure!J$8)^2+($S1143-Infrastructure!K$8)^2)</f>
        <v>40.08989898</v>
      </c>
      <c r="BB1143" s="331">
        <f>SQRT(($R1143-Infrastructure!J$9)^2+($S1143-Infrastructure!K$9)^2)</f>
        <v>38.96472764</v>
      </c>
      <c r="BC1143" s="331">
        <f>SQRT(($R1143-Infrastructure!J$10)^2+($S1143-Infrastructure!K$10)^2)</f>
        <v>30.58005886</v>
      </c>
      <c r="BD1143" s="331">
        <f>SQRT(($R1143-Infrastructure!J$11)^2+($S1143-Infrastructure!K$11)^2)</f>
        <v>21.27204739</v>
      </c>
      <c r="BE1143" s="333">
        <f>SQRT(($R1143-Infrastructure!J$12)^2+($S1143-Infrastructure!K$12)^2)</f>
        <v>16.00124995</v>
      </c>
      <c r="BF1143" s="330">
        <f t="shared" si="140"/>
        <v>16.00124995</v>
      </c>
      <c r="BG1143" s="333">
        <f t="shared" si="141"/>
        <v>40.88031311</v>
      </c>
      <c r="BH1143" s="943">
        <v>36526.0</v>
      </c>
      <c r="BI1143" s="462" t="s">
        <v>846</v>
      </c>
      <c r="BJ1143" s="319" t="s">
        <v>846</v>
      </c>
      <c r="BK1143" s="319" t="s">
        <v>845</v>
      </c>
      <c r="BL1143" s="319" t="s">
        <v>845</v>
      </c>
      <c r="BM1143" s="955" t="s">
        <v>845</v>
      </c>
      <c r="BN1143" s="319" t="s">
        <v>845</v>
      </c>
      <c r="BO1143" s="319" t="s">
        <v>845</v>
      </c>
      <c r="BP1143" s="953" t="s">
        <v>845</v>
      </c>
      <c r="BQ1143" s="319" t="s">
        <v>846</v>
      </c>
      <c r="BR1143" s="324" t="s">
        <v>846</v>
      </c>
      <c r="BS1143" s="330">
        <f t="shared" si="142"/>
        <v>16.00124995</v>
      </c>
      <c r="BT1143" s="331">
        <f t="shared" si="143"/>
        <v>30.90129447</v>
      </c>
      <c r="BU1143" s="920">
        <v>0.39090277777777777</v>
      </c>
      <c r="BV1143" s="903">
        <f t="shared" si="144"/>
        <v>0.000162037037</v>
      </c>
      <c r="BW1143" s="907">
        <v>14.4</v>
      </c>
      <c r="BX1143" s="908">
        <v>25.1</v>
      </c>
      <c r="BY1143" s="331">
        <f t="shared" si="145"/>
        <v>16.14465856</v>
      </c>
      <c r="BZ1143" s="340"/>
      <c r="CA1143" s="316"/>
      <c r="CB1143" s="318"/>
      <c r="CC1143" s="318"/>
      <c r="CD1143" s="318"/>
      <c r="CE1143" s="318"/>
      <c r="CF1143" s="318"/>
      <c r="CG1143" s="318"/>
      <c r="CH1143" s="318"/>
      <c r="CI1143" s="318"/>
      <c r="CJ1143" s="463"/>
      <c r="CK1143" s="342"/>
      <c r="CL1143" s="333"/>
      <c r="CM1143" s="829"/>
      <c r="CN1143" s="333"/>
      <c r="CO1143" s="333"/>
      <c r="CP1143" s="333"/>
    </row>
    <row r="1144">
      <c r="B1144" s="462" t="s">
        <v>1799</v>
      </c>
      <c r="C1144" s="914">
        <v>44537.0</v>
      </c>
      <c r="D1144" s="319"/>
      <c r="E1144" s="319">
        <v>5.0</v>
      </c>
      <c r="F1144" s="324" t="s">
        <v>1822</v>
      </c>
      <c r="G1144" s="321">
        <v>0.39288194444444446</v>
      </c>
      <c r="H1144" s="323"/>
      <c r="I1144" s="323"/>
      <c r="J1144" s="323"/>
      <c r="K1144" s="323">
        <v>0.39340277777777777</v>
      </c>
      <c r="L1144" s="723">
        <v>5.208333333333333E-4</v>
      </c>
      <c r="M1144" s="319" t="s">
        <v>166</v>
      </c>
      <c r="N1144" s="324" t="s">
        <v>188</v>
      </c>
      <c r="O1144" s="419" t="s">
        <v>196</v>
      </c>
      <c r="P1144" s="319" t="s">
        <v>225</v>
      </c>
      <c r="Q1144" s="834"/>
      <c r="R1144" s="326">
        <v>21.7</v>
      </c>
      <c r="S1144" s="319">
        <v>39.5</v>
      </c>
      <c r="T1144" s="324">
        <v>1.26</v>
      </c>
      <c r="U1144" s="319">
        <v>20.0</v>
      </c>
      <c r="V1144" s="319"/>
      <c r="W1144" s="319"/>
      <c r="X1144" s="319"/>
      <c r="Y1144" s="319"/>
      <c r="Z1144" s="319" t="s">
        <v>387</v>
      </c>
      <c r="AA1144" s="319"/>
      <c r="AB1144" s="319" t="s">
        <v>416</v>
      </c>
      <c r="AC1144" s="327">
        <v>52.5</v>
      </c>
      <c r="AD1144" s="319"/>
      <c r="AE1144" s="319"/>
      <c r="AF1144" s="319"/>
      <c r="AG1144" s="319"/>
      <c r="AH1144" s="319"/>
      <c r="AI1144" s="319"/>
      <c r="AJ1144" s="327"/>
      <c r="AK1144" s="328"/>
      <c r="AL1144" s="319"/>
      <c r="AM1144" s="319"/>
      <c r="AN1144" s="319"/>
      <c r="AO1144" s="319"/>
      <c r="AP1144" s="319"/>
      <c r="AQ1144" s="319"/>
      <c r="AR1144" s="319"/>
      <c r="AS1144" s="327"/>
      <c r="AT1144" s="461" t="s">
        <v>183</v>
      </c>
      <c r="AU1144" s="324" t="s">
        <v>845</v>
      </c>
      <c r="AV1144" s="330">
        <f>SQRT(($R1144-Infrastructure!J$3)^2+($S1144-Infrastructure!K$3)^2)</f>
        <v>24.42048321</v>
      </c>
      <c r="AW1144" s="331">
        <f>SQRT(($R1144-Infrastructure!J$4)^2+($S1144-Infrastructure!K$4)^2)</f>
        <v>30.90129447</v>
      </c>
      <c r="AX1144" s="331">
        <f>SQRT(($R1144-Infrastructure!J$5)^2+($S1144-Infrastructure!K$5)^2)</f>
        <v>40.83331973</v>
      </c>
      <c r="AY1144" s="331">
        <f>SQRT(($R1144-Infrastructure!J$6)^2+($S1144-Infrastructure!K$6)^2)</f>
        <v>40.88031311</v>
      </c>
      <c r="AZ1144" s="331">
        <f>SQRT(($R1144-Infrastructure!J$7)^2+($S1144-Infrastructure!K$7)^2)</f>
        <v>39.21836305</v>
      </c>
      <c r="BA1144" s="331">
        <f>SQRT(($R1144-Infrastructure!J$8)^2+($S1144-Infrastructure!K$8)^2)</f>
        <v>40.08989898</v>
      </c>
      <c r="BB1144" s="331">
        <f>SQRT(($R1144-Infrastructure!J$9)^2+($S1144-Infrastructure!K$9)^2)</f>
        <v>38.96472764</v>
      </c>
      <c r="BC1144" s="331">
        <f>SQRT(($R1144-Infrastructure!J$10)^2+($S1144-Infrastructure!K$10)^2)</f>
        <v>30.58005886</v>
      </c>
      <c r="BD1144" s="331">
        <f>SQRT(($R1144-Infrastructure!J$11)^2+($S1144-Infrastructure!K$11)^2)</f>
        <v>21.27204739</v>
      </c>
      <c r="BE1144" s="333">
        <f>SQRT(($R1144-Infrastructure!J$12)^2+($S1144-Infrastructure!K$12)^2)</f>
        <v>16.00124995</v>
      </c>
      <c r="BF1144" s="330">
        <f t="shared" si="140"/>
        <v>16.00124995</v>
      </c>
      <c r="BG1144" s="333">
        <f t="shared" si="141"/>
        <v>40.88031311</v>
      </c>
      <c r="BH1144" s="943">
        <v>36526.0</v>
      </c>
      <c r="BI1144" s="462" t="s">
        <v>845</v>
      </c>
      <c r="BJ1144" s="319" t="s">
        <v>845</v>
      </c>
      <c r="BK1144" s="319" t="s">
        <v>845</v>
      </c>
      <c r="BL1144" s="319" t="s">
        <v>845</v>
      </c>
      <c r="BM1144" s="955" t="s">
        <v>845</v>
      </c>
      <c r="BN1144" s="319" t="s">
        <v>845</v>
      </c>
      <c r="BO1144" s="319" t="s">
        <v>845</v>
      </c>
      <c r="BP1144" s="953" t="s">
        <v>845</v>
      </c>
      <c r="BQ1144" s="319" t="s">
        <v>845</v>
      </c>
      <c r="BR1144" s="324" t="s">
        <v>845</v>
      </c>
      <c r="BS1144" s="330">
        <f t="shared" si="142"/>
        <v>0</v>
      </c>
      <c r="BT1144" s="331">
        <f t="shared" si="143"/>
        <v>0</v>
      </c>
      <c r="BU1144" s="920"/>
      <c r="BV1144" s="903"/>
      <c r="BW1144" s="907"/>
      <c r="BX1144" s="908"/>
      <c r="BY1144" s="331"/>
      <c r="BZ1144" s="340"/>
      <c r="CA1144" s="316"/>
      <c r="CB1144" s="318"/>
      <c r="CC1144" s="318"/>
      <c r="CD1144" s="318"/>
      <c r="CE1144" s="318"/>
      <c r="CF1144" s="318"/>
      <c r="CG1144" s="318"/>
      <c r="CH1144" s="318"/>
      <c r="CI1144" s="318"/>
      <c r="CJ1144" s="463"/>
      <c r="CK1144" s="342"/>
      <c r="CL1144" s="333"/>
      <c r="CM1144" s="829"/>
      <c r="CN1144" s="333"/>
      <c r="CO1144" s="333"/>
      <c r="CP1144" s="333"/>
    </row>
    <row r="1145">
      <c r="B1145" s="462" t="s">
        <v>1799</v>
      </c>
      <c r="C1145" s="914">
        <v>44537.0</v>
      </c>
      <c r="D1145" s="319"/>
      <c r="E1145" s="319">
        <v>6.0</v>
      </c>
      <c r="F1145" s="324" t="s">
        <v>1823</v>
      </c>
      <c r="G1145" s="321">
        <v>0.39427083333333335</v>
      </c>
      <c r="H1145" s="323"/>
      <c r="I1145" s="323"/>
      <c r="J1145" s="323"/>
      <c r="K1145" s="323">
        <v>0.39461805555555557</v>
      </c>
      <c r="L1145" s="723">
        <v>3.4722222222222224E-4</v>
      </c>
      <c r="M1145" s="319" t="s">
        <v>166</v>
      </c>
      <c r="N1145" s="324" t="s">
        <v>188</v>
      </c>
      <c r="O1145" s="419" t="s">
        <v>196</v>
      </c>
      <c r="P1145" s="319" t="s">
        <v>225</v>
      </c>
      <c r="Q1145" s="834"/>
      <c r="R1145" s="326">
        <v>21.7</v>
      </c>
      <c r="S1145" s="319">
        <v>39.5</v>
      </c>
      <c r="T1145" s="324">
        <v>1.26</v>
      </c>
      <c r="U1145" s="319">
        <v>20.0</v>
      </c>
      <c r="V1145" s="319"/>
      <c r="W1145" s="319"/>
      <c r="X1145" s="319"/>
      <c r="Y1145" s="319"/>
      <c r="Z1145" s="319" t="s">
        <v>387</v>
      </c>
      <c r="AA1145" s="319"/>
      <c r="AB1145" s="319" t="s">
        <v>416</v>
      </c>
      <c r="AC1145" s="327">
        <v>52.5</v>
      </c>
      <c r="AD1145" s="319"/>
      <c r="AE1145" s="319"/>
      <c r="AF1145" s="319"/>
      <c r="AG1145" s="319"/>
      <c r="AH1145" s="319"/>
      <c r="AI1145" s="319"/>
      <c r="AJ1145" s="327"/>
      <c r="AK1145" s="328"/>
      <c r="AL1145" s="319"/>
      <c r="AM1145" s="319"/>
      <c r="AN1145" s="319"/>
      <c r="AO1145" s="319"/>
      <c r="AP1145" s="319"/>
      <c r="AQ1145" s="319"/>
      <c r="AR1145" s="319"/>
      <c r="AS1145" s="327"/>
      <c r="AT1145" s="461" t="s">
        <v>183</v>
      </c>
      <c r="AU1145" s="324" t="s">
        <v>845</v>
      </c>
      <c r="AV1145" s="330">
        <f>SQRT(($R1145-Infrastructure!J$3)^2+($S1145-Infrastructure!K$3)^2)</f>
        <v>24.42048321</v>
      </c>
      <c r="AW1145" s="331">
        <f>SQRT(($R1145-Infrastructure!J$4)^2+($S1145-Infrastructure!K$4)^2)</f>
        <v>30.90129447</v>
      </c>
      <c r="AX1145" s="331">
        <f>SQRT(($R1145-Infrastructure!J$5)^2+($S1145-Infrastructure!K$5)^2)</f>
        <v>40.83331973</v>
      </c>
      <c r="AY1145" s="331">
        <f>SQRT(($R1145-Infrastructure!J$6)^2+($S1145-Infrastructure!K$6)^2)</f>
        <v>40.88031311</v>
      </c>
      <c r="AZ1145" s="331">
        <f>SQRT(($R1145-Infrastructure!J$7)^2+($S1145-Infrastructure!K$7)^2)</f>
        <v>39.21836305</v>
      </c>
      <c r="BA1145" s="331">
        <f>SQRT(($R1145-Infrastructure!J$8)^2+($S1145-Infrastructure!K$8)^2)</f>
        <v>40.08989898</v>
      </c>
      <c r="BB1145" s="331">
        <f>SQRT(($R1145-Infrastructure!J$9)^2+($S1145-Infrastructure!K$9)^2)</f>
        <v>38.96472764</v>
      </c>
      <c r="BC1145" s="331">
        <f>SQRT(($R1145-Infrastructure!J$10)^2+($S1145-Infrastructure!K$10)^2)</f>
        <v>30.58005886</v>
      </c>
      <c r="BD1145" s="331">
        <f>SQRT(($R1145-Infrastructure!J$11)^2+($S1145-Infrastructure!K$11)^2)</f>
        <v>21.27204739</v>
      </c>
      <c r="BE1145" s="333">
        <f>SQRT(($R1145-Infrastructure!J$12)^2+($S1145-Infrastructure!K$12)^2)</f>
        <v>16.00124995</v>
      </c>
      <c r="BF1145" s="330">
        <f t="shared" si="140"/>
        <v>16.00124995</v>
      </c>
      <c r="BG1145" s="333">
        <f t="shared" si="141"/>
        <v>40.88031311</v>
      </c>
      <c r="BH1145" s="943">
        <v>36526.0</v>
      </c>
      <c r="BI1145" s="462" t="s">
        <v>845</v>
      </c>
      <c r="BJ1145" s="319" t="s">
        <v>845</v>
      </c>
      <c r="BK1145" s="319" t="s">
        <v>845</v>
      </c>
      <c r="BL1145" s="319" t="s">
        <v>845</v>
      </c>
      <c r="BM1145" s="955" t="s">
        <v>845</v>
      </c>
      <c r="BN1145" s="319" t="s">
        <v>845</v>
      </c>
      <c r="BO1145" s="319" t="s">
        <v>845</v>
      </c>
      <c r="BP1145" s="953" t="s">
        <v>845</v>
      </c>
      <c r="BQ1145" s="319" t="s">
        <v>845</v>
      </c>
      <c r="BR1145" s="324" t="s">
        <v>845</v>
      </c>
      <c r="BS1145" s="330">
        <f t="shared" si="142"/>
        <v>0</v>
      </c>
      <c r="BT1145" s="331">
        <f t="shared" si="143"/>
        <v>0</v>
      </c>
      <c r="BU1145" s="920"/>
      <c r="BV1145" s="903"/>
      <c r="BW1145" s="907"/>
      <c r="BX1145" s="908"/>
      <c r="BY1145" s="331"/>
      <c r="BZ1145" s="340"/>
      <c r="CA1145" s="316"/>
      <c r="CB1145" s="318"/>
      <c r="CC1145" s="318"/>
      <c r="CD1145" s="318"/>
      <c r="CE1145" s="318"/>
      <c r="CF1145" s="318"/>
      <c r="CG1145" s="318"/>
      <c r="CH1145" s="318"/>
      <c r="CI1145" s="318"/>
      <c r="CJ1145" s="463"/>
      <c r="CK1145" s="342"/>
      <c r="CL1145" s="333"/>
      <c r="CM1145" s="829"/>
      <c r="CN1145" s="333"/>
      <c r="CO1145" s="333"/>
      <c r="CP1145" s="333"/>
    </row>
    <row r="1146">
      <c r="B1146" s="462" t="s">
        <v>1799</v>
      </c>
      <c r="C1146" s="914">
        <v>44537.0</v>
      </c>
      <c r="D1146" s="319"/>
      <c r="E1146" s="319">
        <v>7.0</v>
      </c>
      <c r="F1146" s="324" t="s">
        <v>1824</v>
      </c>
      <c r="G1146" s="321">
        <v>0.3954861111111111</v>
      </c>
      <c r="H1146" s="323"/>
      <c r="I1146" s="323"/>
      <c r="J1146" s="323"/>
      <c r="K1146" s="323">
        <v>0.3961226851851852</v>
      </c>
      <c r="L1146" s="723">
        <v>6.365740740740741E-4</v>
      </c>
      <c r="M1146" s="319" t="s">
        <v>166</v>
      </c>
      <c r="N1146" s="324" t="s">
        <v>188</v>
      </c>
      <c r="O1146" s="419" t="s">
        <v>196</v>
      </c>
      <c r="P1146" s="319" t="s">
        <v>225</v>
      </c>
      <c r="Q1146" s="834"/>
      <c r="R1146" s="326">
        <v>21.7</v>
      </c>
      <c r="S1146" s="319">
        <v>39.5</v>
      </c>
      <c r="T1146" s="324">
        <v>1.26</v>
      </c>
      <c r="U1146" s="319">
        <v>20.0</v>
      </c>
      <c r="V1146" s="319"/>
      <c r="W1146" s="319"/>
      <c r="X1146" s="319"/>
      <c r="Y1146" s="319"/>
      <c r="Z1146" s="319" t="s">
        <v>387</v>
      </c>
      <c r="AA1146" s="319"/>
      <c r="AB1146" s="319" t="s">
        <v>416</v>
      </c>
      <c r="AC1146" s="327">
        <v>52.5</v>
      </c>
      <c r="AD1146" s="319"/>
      <c r="AE1146" s="319"/>
      <c r="AF1146" s="319"/>
      <c r="AG1146" s="319"/>
      <c r="AH1146" s="319"/>
      <c r="AI1146" s="319"/>
      <c r="AJ1146" s="327"/>
      <c r="AK1146" s="328"/>
      <c r="AL1146" s="319"/>
      <c r="AM1146" s="319"/>
      <c r="AN1146" s="319"/>
      <c r="AO1146" s="319"/>
      <c r="AP1146" s="319"/>
      <c r="AQ1146" s="319"/>
      <c r="AR1146" s="319"/>
      <c r="AS1146" s="327"/>
      <c r="AT1146" s="461" t="s">
        <v>183</v>
      </c>
      <c r="AU1146" s="324" t="s">
        <v>845</v>
      </c>
      <c r="AV1146" s="330">
        <f>SQRT(($R1146-Infrastructure!J$3)^2+($S1146-Infrastructure!K$3)^2)</f>
        <v>24.42048321</v>
      </c>
      <c r="AW1146" s="331">
        <f>SQRT(($R1146-Infrastructure!J$4)^2+($S1146-Infrastructure!K$4)^2)</f>
        <v>30.90129447</v>
      </c>
      <c r="AX1146" s="331">
        <f>SQRT(($R1146-Infrastructure!J$5)^2+($S1146-Infrastructure!K$5)^2)</f>
        <v>40.83331973</v>
      </c>
      <c r="AY1146" s="331">
        <f>SQRT(($R1146-Infrastructure!J$6)^2+($S1146-Infrastructure!K$6)^2)</f>
        <v>40.88031311</v>
      </c>
      <c r="AZ1146" s="331">
        <f>SQRT(($R1146-Infrastructure!J$7)^2+($S1146-Infrastructure!K$7)^2)</f>
        <v>39.21836305</v>
      </c>
      <c r="BA1146" s="331">
        <f>SQRT(($R1146-Infrastructure!J$8)^2+($S1146-Infrastructure!K$8)^2)</f>
        <v>40.08989898</v>
      </c>
      <c r="BB1146" s="331">
        <f>SQRT(($R1146-Infrastructure!J$9)^2+($S1146-Infrastructure!K$9)^2)</f>
        <v>38.96472764</v>
      </c>
      <c r="BC1146" s="331">
        <f>SQRT(($R1146-Infrastructure!J$10)^2+($S1146-Infrastructure!K$10)^2)</f>
        <v>30.58005886</v>
      </c>
      <c r="BD1146" s="331">
        <f>SQRT(($R1146-Infrastructure!J$11)^2+($S1146-Infrastructure!K$11)^2)</f>
        <v>21.27204739</v>
      </c>
      <c r="BE1146" s="333">
        <f>SQRT(($R1146-Infrastructure!J$12)^2+($S1146-Infrastructure!K$12)^2)</f>
        <v>16.00124995</v>
      </c>
      <c r="BF1146" s="330">
        <f t="shared" si="140"/>
        <v>16.00124995</v>
      </c>
      <c r="BG1146" s="333">
        <f t="shared" si="141"/>
        <v>40.88031311</v>
      </c>
      <c r="BH1146" s="943">
        <v>36526.0</v>
      </c>
      <c r="BI1146" s="462" t="s">
        <v>846</v>
      </c>
      <c r="BJ1146" s="319" t="s">
        <v>846</v>
      </c>
      <c r="BK1146" s="319" t="s">
        <v>845</v>
      </c>
      <c r="BL1146" s="319" t="s">
        <v>845</v>
      </c>
      <c r="BM1146" s="955" t="s">
        <v>845</v>
      </c>
      <c r="BN1146" s="319" t="s">
        <v>845</v>
      </c>
      <c r="BO1146" s="319" t="s">
        <v>845</v>
      </c>
      <c r="BP1146" s="953" t="s">
        <v>845</v>
      </c>
      <c r="BQ1146" s="319" t="s">
        <v>846</v>
      </c>
      <c r="BR1146" s="324" t="s">
        <v>846</v>
      </c>
      <c r="BS1146" s="330">
        <f t="shared" si="142"/>
        <v>16.00124995</v>
      </c>
      <c r="BT1146" s="331">
        <f t="shared" si="143"/>
        <v>30.90129447</v>
      </c>
      <c r="BU1146" s="920">
        <v>0.39564814814814814</v>
      </c>
      <c r="BV1146" s="903">
        <f t="shared" ref="BV1146:BV1149" si="146">BU1146-G1146</f>
        <v>0.000162037037</v>
      </c>
      <c r="BW1146" s="907">
        <v>15.8</v>
      </c>
      <c r="BX1146" s="908">
        <v>23.2</v>
      </c>
      <c r="BY1146" s="331">
        <f t="shared" ref="BY1146:BY1149" si="147">IF(BW1146&gt;0, SQRT((R1146-BW1146)^2+(S1146-BX1146)^2))</f>
        <v>17.33493582</v>
      </c>
      <c r="BZ1146" s="340"/>
      <c r="CA1146" s="316"/>
      <c r="CB1146" s="318"/>
      <c r="CC1146" s="318"/>
      <c r="CD1146" s="318"/>
      <c r="CE1146" s="318"/>
      <c r="CF1146" s="318"/>
      <c r="CG1146" s="318"/>
      <c r="CH1146" s="318"/>
      <c r="CI1146" s="318"/>
      <c r="CJ1146" s="463"/>
      <c r="CK1146" s="342"/>
      <c r="CL1146" s="333"/>
      <c r="CM1146" s="829"/>
      <c r="CN1146" s="333"/>
      <c r="CO1146" s="333"/>
      <c r="CP1146" s="333"/>
    </row>
    <row r="1147">
      <c r="B1147" s="462" t="s">
        <v>1799</v>
      </c>
      <c r="C1147" s="914">
        <v>44537.0</v>
      </c>
      <c r="D1147" s="319"/>
      <c r="E1147" s="319">
        <v>8.0</v>
      </c>
      <c r="F1147" s="324" t="s">
        <v>1825</v>
      </c>
      <c r="G1147" s="321">
        <v>0.39872685185185186</v>
      </c>
      <c r="H1147" s="323">
        <v>0.39913194444444444</v>
      </c>
      <c r="I1147" s="323"/>
      <c r="J1147" s="323"/>
      <c r="K1147" s="323">
        <v>0.4001736111111111</v>
      </c>
      <c r="L1147" s="723">
        <v>0.0010416666666666667</v>
      </c>
      <c r="M1147" s="319" t="s">
        <v>166</v>
      </c>
      <c r="N1147" s="324" t="s">
        <v>188</v>
      </c>
      <c r="O1147" s="419" t="s">
        <v>378</v>
      </c>
      <c r="P1147" s="319" t="s">
        <v>225</v>
      </c>
      <c r="Q1147" s="834"/>
      <c r="R1147" s="326">
        <v>22.7</v>
      </c>
      <c r="S1147" s="319">
        <v>39.7</v>
      </c>
      <c r="T1147" s="324">
        <v>1.09</v>
      </c>
      <c r="U1147" s="319">
        <v>14.0</v>
      </c>
      <c r="V1147" s="319"/>
      <c r="W1147" s="319"/>
      <c r="X1147" s="319"/>
      <c r="Y1147" s="319"/>
      <c r="Z1147" s="319" t="s">
        <v>1140</v>
      </c>
      <c r="AA1147" s="319"/>
      <c r="AB1147" s="319" t="s">
        <v>398</v>
      </c>
      <c r="AC1147" s="327">
        <v>6.0</v>
      </c>
      <c r="AD1147" s="319"/>
      <c r="AE1147" s="319"/>
      <c r="AF1147" s="319"/>
      <c r="AG1147" s="319"/>
      <c r="AH1147" s="319"/>
      <c r="AI1147" s="319"/>
      <c r="AJ1147" s="327"/>
      <c r="AK1147" s="328"/>
      <c r="AL1147" s="319"/>
      <c r="AM1147" s="319"/>
      <c r="AN1147" s="319"/>
      <c r="AO1147" s="319"/>
      <c r="AP1147" s="319"/>
      <c r="AQ1147" s="319"/>
      <c r="AR1147" s="319"/>
      <c r="AS1147" s="327"/>
      <c r="AT1147" s="461" t="s">
        <v>183</v>
      </c>
      <c r="AU1147" s="324" t="s">
        <v>845</v>
      </c>
      <c r="AV1147" s="330">
        <f>SQRT(($R1147-Infrastructure!J$3)^2+($S1147-Infrastructure!K$3)^2)</f>
        <v>25.40944706</v>
      </c>
      <c r="AW1147" s="331">
        <f>SQRT(($R1147-Infrastructure!J$4)^2+($S1147-Infrastructure!K$4)^2)</f>
        <v>31.75862088</v>
      </c>
      <c r="AX1147" s="331">
        <f>SQRT(($R1147-Infrastructure!J$5)^2+($S1147-Infrastructure!K$5)^2)</f>
        <v>41.54708173</v>
      </c>
      <c r="AY1147" s="331">
        <f>SQRT(($R1147-Infrastructure!J$6)^2+($S1147-Infrastructure!K$6)^2)</f>
        <v>41.36568626</v>
      </c>
      <c r="AZ1147" s="331">
        <f>SQRT(($R1147-Infrastructure!J$7)^2+($S1147-Infrastructure!K$7)^2)</f>
        <v>39.46137352</v>
      </c>
      <c r="BA1147" s="331">
        <f>SQRT(($R1147-Infrastructure!J$8)^2+($S1147-Infrastructure!K$8)^2)</f>
        <v>40.08890121</v>
      </c>
      <c r="BB1147" s="331">
        <f>SQRT(($R1147-Infrastructure!J$9)^2+($S1147-Infrastructure!K$9)^2)</f>
        <v>38.68397601</v>
      </c>
      <c r="BC1147" s="331">
        <f>SQRT(($R1147-Infrastructure!J$10)^2+($S1147-Infrastructure!K$10)^2)</f>
        <v>30.15592811</v>
      </c>
      <c r="BD1147" s="331">
        <f>SQRT(($R1147-Infrastructure!J$11)^2+($S1147-Infrastructure!K$11)^2)</f>
        <v>20.51194774</v>
      </c>
      <c r="BE1147" s="333">
        <f>SQRT(($R1147-Infrastructure!J$12)^2+($S1147-Infrastructure!K$12)^2)</f>
        <v>15.84550409</v>
      </c>
      <c r="BF1147" s="330">
        <f t="shared" si="140"/>
        <v>15.84550409</v>
      </c>
      <c r="BG1147" s="333">
        <f t="shared" si="141"/>
        <v>41.54708173</v>
      </c>
      <c r="BH1147" s="943">
        <v>36526.0</v>
      </c>
      <c r="BI1147" s="462" t="s">
        <v>846</v>
      </c>
      <c r="BJ1147" s="319" t="s">
        <v>846</v>
      </c>
      <c r="BK1147" s="319" t="s">
        <v>846</v>
      </c>
      <c r="BL1147" s="319" t="s">
        <v>846</v>
      </c>
      <c r="BM1147" s="955" t="s">
        <v>845</v>
      </c>
      <c r="BN1147" s="319" t="s">
        <v>846</v>
      </c>
      <c r="BO1147" s="319" t="s">
        <v>846</v>
      </c>
      <c r="BP1147" s="953" t="s">
        <v>846</v>
      </c>
      <c r="BQ1147" s="319" t="s">
        <v>846</v>
      </c>
      <c r="BR1147" s="324" t="s">
        <v>846</v>
      </c>
      <c r="BS1147" s="330">
        <f t="shared" si="142"/>
        <v>15.84550409</v>
      </c>
      <c r="BT1147" s="331">
        <f t="shared" si="143"/>
        <v>41.54708173</v>
      </c>
      <c r="BU1147" s="920">
        <v>0.39881944444444445</v>
      </c>
      <c r="BV1147" s="903">
        <f t="shared" si="146"/>
        <v>0.00009259259259</v>
      </c>
      <c r="BW1147" s="907">
        <v>20.8</v>
      </c>
      <c r="BX1147" s="908">
        <v>17.9</v>
      </c>
      <c r="BY1147" s="331">
        <f t="shared" si="147"/>
        <v>21.88264152</v>
      </c>
      <c r="BZ1147" s="340"/>
      <c r="CA1147" s="316"/>
      <c r="CB1147" s="318"/>
      <c r="CC1147" s="318"/>
      <c r="CD1147" s="318"/>
      <c r="CE1147" s="318"/>
      <c r="CF1147" s="318"/>
      <c r="CG1147" s="318"/>
      <c r="CH1147" s="318"/>
      <c r="CI1147" s="318"/>
      <c r="CJ1147" s="463"/>
      <c r="CK1147" s="342"/>
      <c r="CL1147" s="333"/>
      <c r="CM1147" s="829"/>
      <c r="CN1147" s="333"/>
      <c r="CO1147" s="333"/>
      <c r="CP1147" s="333"/>
    </row>
    <row r="1148">
      <c r="B1148" s="462" t="s">
        <v>1799</v>
      </c>
      <c r="C1148" s="914">
        <v>44537.0</v>
      </c>
      <c r="D1148" s="319"/>
      <c r="E1148" s="319" t="s">
        <v>1488</v>
      </c>
      <c r="F1148" s="324" t="s">
        <v>1826</v>
      </c>
      <c r="G1148" s="321">
        <v>0.40046296296296297</v>
      </c>
      <c r="H1148" s="323">
        <v>0.40069444444444446</v>
      </c>
      <c r="I1148" s="323"/>
      <c r="J1148" s="323"/>
      <c r="K1148" s="323">
        <v>0.40109953703703705</v>
      </c>
      <c r="L1148" s="723">
        <v>4.050925925925926E-4</v>
      </c>
      <c r="M1148" s="319" t="s">
        <v>166</v>
      </c>
      <c r="N1148" s="324" t="s">
        <v>188</v>
      </c>
      <c r="O1148" s="419" t="s">
        <v>378</v>
      </c>
      <c r="P1148" s="319" t="s">
        <v>225</v>
      </c>
      <c r="Q1148" s="834"/>
      <c r="R1148" s="326">
        <v>22.7</v>
      </c>
      <c r="S1148" s="319">
        <v>39.7</v>
      </c>
      <c r="T1148" s="324">
        <v>1.09</v>
      </c>
      <c r="U1148" s="319">
        <v>14.0</v>
      </c>
      <c r="V1148" s="319"/>
      <c r="W1148" s="319"/>
      <c r="X1148" s="319"/>
      <c r="Y1148" s="319"/>
      <c r="Z1148" s="319" t="s">
        <v>1140</v>
      </c>
      <c r="AA1148" s="319"/>
      <c r="AB1148" s="319" t="s">
        <v>398</v>
      </c>
      <c r="AC1148" s="327">
        <v>6.0</v>
      </c>
      <c r="AD1148" s="319"/>
      <c r="AE1148" s="319"/>
      <c r="AF1148" s="319"/>
      <c r="AG1148" s="319"/>
      <c r="AH1148" s="319"/>
      <c r="AI1148" s="319"/>
      <c r="AJ1148" s="327"/>
      <c r="AK1148" s="328"/>
      <c r="AL1148" s="319"/>
      <c r="AM1148" s="319"/>
      <c r="AN1148" s="319"/>
      <c r="AO1148" s="319"/>
      <c r="AP1148" s="319"/>
      <c r="AQ1148" s="319"/>
      <c r="AR1148" s="319"/>
      <c r="AS1148" s="327"/>
      <c r="AT1148" s="461" t="s">
        <v>183</v>
      </c>
      <c r="AU1148" s="324" t="s">
        <v>845</v>
      </c>
      <c r="AV1148" s="330">
        <f>SQRT(($R1148-Infrastructure!J$3)^2+($S1148-Infrastructure!K$3)^2)</f>
        <v>25.40944706</v>
      </c>
      <c r="AW1148" s="331">
        <f>SQRT(($R1148-Infrastructure!J$4)^2+($S1148-Infrastructure!K$4)^2)</f>
        <v>31.75862088</v>
      </c>
      <c r="AX1148" s="331">
        <f>SQRT(($R1148-Infrastructure!J$5)^2+($S1148-Infrastructure!K$5)^2)</f>
        <v>41.54708173</v>
      </c>
      <c r="AY1148" s="331">
        <f>SQRT(($R1148-Infrastructure!J$6)^2+($S1148-Infrastructure!K$6)^2)</f>
        <v>41.36568626</v>
      </c>
      <c r="AZ1148" s="331">
        <f>SQRT(($R1148-Infrastructure!J$7)^2+($S1148-Infrastructure!K$7)^2)</f>
        <v>39.46137352</v>
      </c>
      <c r="BA1148" s="331">
        <f>SQRT(($R1148-Infrastructure!J$8)^2+($S1148-Infrastructure!K$8)^2)</f>
        <v>40.08890121</v>
      </c>
      <c r="BB1148" s="331">
        <f>SQRT(($R1148-Infrastructure!J$9)^2+($S1148-Infrastructure!K$9)^2)</f>
        <v>38.68397601</v>
      </c>
      <c r="BC1148" s="331">
        <f>SQRT(($R1148-Infrastructure!J$10)^2+($S1148-Infrastructure!K$10)^2)</f>
        <v>30.15592811</v>
      </c>
      <c r="BD1148" s="331">
        <f>SQRT(($R1148-Infrastructure!J$11)^2+($S1148-Infrastructure!K$11)^2)</f>
        <v>20.51194774</v>
      </c>
      <c r="BE1148" s="333">
        <f>SQRT(($R1148-Infrastructure!J$12)^2+($S1148-Infrastructure!K$12)^2)</f>
        <v>15.84550409</v>
      </c>
      <c r="BF1148" s="330">
        <f t="shared" si="140"/>
        <v>15.84550409</v>
      </c>
      <c r="BG1148" s="333">
        <f t="shared" si="141"/>
        <v>41.54708173</v>
      </c>
      <c r="BH1148" s="943">
        <v>36526.0</v>
      </c>
      <c r="BI1148" s="462" t="s">
        <v>846</v>
      </c>
      <c r="BJ1148" s="319" t="s">
        <v>846</v>
      </c>
      <c r="BK1148" s="319" t="s">
        <v>846</v>
      </c>
      <c r="BL1148" s="319" t="s">
        <v>846</v>
      </c>
      <c r="BM1148" s="955" t="s">
        <v>845</v>
      </c>
      <c r="BN1148" s="319" t="s">
        <v>846</v>
      </c>
      <c r="BO1148" s="319" t="s">
        <v>846</v>
      </c>
      <c r="BP1148" s="953" t="s">
        <v>846</v>
      </c>
      <c r="BQ1148" s="319" t="s">
        <v>846</v>
      </c>
      <c r="BR1148" s="324" t="s">
        <v>846</v>
      </c>
      <c r="BS1148" s="330">
        <f t="shared" si="142"/>
        <v>15.84550409</v>
      </c>
      <c r="BT1148" s="331">
        <f t="shared" si="143"/>
        <v>41.54708173</v>
      </c>
      <c r="BU1148" s="920">
        <v>0.4005902777777778</v>
      </c>
      <c r="BV1148" s="903">
        <f t="shared" si="146"/>
        <v>0.0001273148148</v>
      </c>
      <c r="BW1148" s="907">
        <v>20.4</v>
      </c>
      <c r="BX1148" s="908">
        <v>17.8</v>
      </c>
      <c r="BY1148" s="331">
        <f t="shared" si="147"/>
        <v>22.02044505</v>
      </c>
      <c r="BZ1148" s="340"/>
      <c r="CA1148" s="316"/>
      <c r="CB1148" s="318"/>
      <c r="CC1148" s="318"/>
      <c r="CD1148" s="318"/>
      <c r="CE1148" s="318"/>
      <c r="CF1148" s="318"/>
      <c r="CG1148" s="318"/>
      <c r="CH1148" s="318"/>
      <c r="CI1148" s="318"/>
      <c r="CJ1148" s="463"/>
      <c r="CK1148" s="342"/>
      <c r="CL1148" s="333"/>
      <c r="CM1148" s="829"/>
      <c r="CN1148" s="333"/>
      <c r="CO1148" s="333"/>
      <c r="CP1148" s="333"/>
    </row>
    <row r="1149">
      <c r="B1149" s="462" t="s">
        <v>1799</v>
      </c>
      <c r="C1149" s="914">
        <v>44537.0</v>
      </c>
      <c r="D1149" s="319"/>
      <c r="E1149" s="319" t="s">
        <v>1490</v>
      </c>
      <c r="F1149" s="324" t="s">
        <v>1827</v>
      </c>
      <c r="G1149" s="321">
        <v>0.40109953703703705</v>
      </c>
      <c r="H1149" s="323">
        <v>0.4013888888888889</v>
      </c>
      <c r="I1149" s="323"/>
      <c r="J1149" s="323"/>
      <c r="K1149" s="323">
        <v>0.4017361111111111</v>
      </c>
      <c r="L1149" s="723">
        <v>3.4722222222222224E-4</v>
      </c>
      <c r="M1149" s="319" t="s">
        <v>166</v>
      </c>
      <c r="N1149" s="324" t="s">
        <v>188</v>
      </c>
      <c r="O1149" s="419" t="s">
        <v>378</v>
      </c>
      <c r="P1149" s="319" t="s">
        <v>225</v>
      </c>
      <c r="Q1149" s="834"/>
      <c r="R1149" s="326">
        <v>22.7</v>
      </c>
      <c r="S1149" s="319">
        <v>39.7</v>
      </c>
      <c r="T1149" s="324">
        <v>1.09</v>
      </c>
      <c r="U1149" s="319">
        <v>16.0</v>
      </c>
      <c r="V1149" s="319"/>
      <c r="W1149" s="319"/>
      <c r="X1149" s="319"/>
      <c r="Y1149" s="319"/>
      <c r="Z1149" s="319" t="s">
        <v>1140</v>
      </c>
      <c r="AA1149" s="319"/>
      <c r="AB1149" s="319" t="s">
        <v>398</v>
      </c>
      <c r="AC1149" s="327">
        <v>6.0</v>
      </c>
      <c r="AD1149" s="319"/>
      <c r="AE1149" s="319"/>
      <c r="AF1149" s="319"/>
      <c r="AG1149" s="319"/>
      <c r="AH1149" s="319"/>
      <c r="AI1149" s="319"/>
      <c r="AJ1149" s="327"/>
      <c r="AK1149" s="328"/>
      <c r="AL1149" s="319"/>
      <c r="AM1149" s="319"/>
      <c r="AN1149" s="319"/>
      <c r="AO1149" s="319"/>
      <c r="AP1149" s="319"/>
      <c r="AQ1149" s="319"/>
      <c r="AR1149" s="319"/>
      <c r="AS1149" s="327"/>
      <c r="AT1149" s="461" t="s">
        <v>183</v>
      </c>
      <c r="AU1149" s="324" t="s">
        <v>845</v>
      </c>
      <c r="AV1149" s="330">
        <f>SQRT(($R1149-Infrastructure!J$3)^2+($S1149-Infrastructure!K$3)^2)</f>
        <v>25.40944706</v>
      </c>
      <c r="AW1149" s="331">
        <f>SQRT(($R1149-Infrastructure!J$4)^2+($S1149-Infrastructure!K$4)^2)</f>
        <v>31.75862088</v>
      </c>
      <c r="AX1149" s="331">
        <f>SQRT(($R1149-Infrastructure!J$5)^2+($S1149-Infrastructure!K$5)^2)</f>
        <v>41.54708173</v>
      </c>
      <c r="AY1149" s="331">
        <f>SQRT(($R1149-Infrastructure!J$6)^2+($S1149-Infrastructure!K$6)^2)</f>
        <v>41.36568626</v>
      </c>
      <c r="AZ1149" s="331">
        <f>SQRT(($R1149-Infrastructure!J$7)^2+($S1149-Infrastructure!K$7)^2)</f>
        <v>39.46137352</v>
      </c>
      <c r="BA1149" s="331">
        <f>SQRT(($R1149-Infrastructure!J$8)^2+($S1149-Infrastructure!K$8)^2)</f>
        <v>40.08890121</v>
      </c>
      <c r="BB1149" s="331">
        <f>SQRT(($R1149-Infrastructure!J$9)^2+($S1149-Infrastructure!K$9)^2)</f>
        <v>38.68397601</v>
      </c>
      <c r="BC1149" s="331">
        <f>SQRT(($R1149-Infrastructure!J$10)^2+($S1149-Infrastructure!K$10)^2)</f>
        <v>30.15592811</v>
      </c>
      <c r="BD1149" s="331">
        <f>SQRT(($R1149-Infrastructure!J$11)^2+($S1149-Infrastructure!K$11)^2)</f>
        <v>20.51194774</v>
      </c>
      <c r="BE1149" s="333">
        <f>SQRT(($R1149-Infrastructure!J$12)^2+($S1149-Infrastructure!K$12)^2)</f>
        <v>15.84550409</v>
      </c>
      <c r="BF1149" s="330">
        <f t="shared" si="140"/>
        <v>15.84550409</v>
      </c>
      <c r="BG1149" s="333">
        <f t="shared" si="141"/>
        <v>41.54708173</v>
      </c>
      <c r="BH1149" s="943">
        <v>36526.0</v>
      </c>
      <c r="BI1149" s="462" t="s">
        <v>846</v>
      </c>
      <c r="BJ1149" s="319" t="s">
        <v>846</v>
      </c>
      <c r="BK1149" s="319" t="s">
        <v>846</v>
      </c>
      <c r="BL1149" s="319" t="s">
        <v>846</v>
      </c>
      <c r="BM1149" s="955" t="s">
        <v>845</v>
      </c>
      <c r="BN1149" s="319" t="s">
        <v>846</v>
      </c>
      <c r="BO1149" s="319" t="s">
        <v>846</v>
      </c>
      <c r="BP1149" s="953" t="s">
        <v>846</v>
      </c>
      <c r="BQ1149" s="319" t="s">
        <v>846</v>
      </c>
      <c r="BR1149" s="324" t="s">
        <v>846</v>
      </c>
      <c r="BS1149" s="330">
        <f t="shared" si="142"/>
        <v>15.84550409</v>
      </c>
      <c r="BT1149" s="331">
        <f t="shared" si="143"/>
        <v>41.54708173</v>
      </c>
      <c r="BU1149" s="920">
        <v>0.4011342592592593</v>
      </c>
      <c r="BV1149" s="903">
        <f t="shared" si="146"/>
        <v>0.00003472222222</v>
      </c>
      <c r="BW1149" s="907">
        <v>20.4</v>
      </c>
      <c r="BX1149" s="908">
        <v>17.6</v>
      </c>
      <c r="BY1149" s="331">
        <f t="shared" si="147"/>
        <v>22.21936093</v>
      </c>
      <c r="BZ1149" s="340"/>
      <c r="CA1149" s="316"/>
      <c r="CB1149" s="318"/>
      <c r="CC1149" s="318"/>
      <c r="CD1149" s="318"/>
      <c r="CE1149" s="318"/>
      <c r="CF1149" s="318"/>
      <c r="CG1149" s="318"/>
      <c r="CH1149" s="318"/>
      <c r="CI1149" s="318"/>
      <c r="CJ1149" s="463"/>
      <c r="CK1149" s="342"/>
      <c r="CL1149" s="333"/>
      <c r="CM1149" s="829"/>
      <c r="CN1149" s="333"/>
      <c r="CO1149" s="333"/>
      <c r="CP1149" s="333"/>
    </row>
    <row r="1150">
      <c r="B1150" s="462" t="s">
        <v>1799</v>
      </c>
      <c r="C1150" s="914">
        <v>44537.0</v>
      </c>
      <c r="D1150" s="319"/>
      <c r="E1150" s="319">
        <v>10.0</v>
      </c>
      <c r="F1150" s="324" t="s">
        <v>1828</v>
      </c>
      <c r="G1150" s="321">
        <v>0.40243055555555557</v>
      </c>
      <c r="H1150" s="323"/>
      <c r="I1150" s="323"/>
      <c r="J1150" s="323"/>
      <c r="K1150" s="323">
        <v>0.402662037037037</v>
      </c>
      <c r="L1150" s="723">
        <v>2.314814814814815E-4</v>
      </c>
      <c r="M1150" s="319" t="s">
        <v>166</v>
      </c>
      <c r="N1150" s="324" t="s">
        <v>188</v>
      </c>
      <c r="O1150" s="419" t="s">
        <v>196</v>
      </c>
      <c r="P1150" s="319" t="s">
        <v>224</v>
      </c>
      <c r="Q1150" s="834"/>
      <c r="R1150" s="326">
        <v>21.7</v>
      </c>
      <c r="S1150" s="319">
        <v>39.5</v>
      </c>
      <c r="T1150" s="324">
        <v>1.26</v>
      </c>
      <c r="U1150" s="319">
        <v>16.0</v>
      </c>
      <c r="V1150" s="319"/>
      <c r="W1150" s="319"/>
      <c r="X1150" s="319"/>
      <c r="Y1150" s="319"/>
      <c r="Z1150" s="319" t="s">
        <v>387</v>
      </c>
      <c r="AA1150" s="319"/>
      <c r="AB1150" s="319" t="s">
        <v>416</v>
      </c>
      <c r="AC1150" s="327">
        <v>52.5</v>
      </c>
      <c r="AD1150" s="319"/>
      <c r="AE1150" s="319"/>
      <c r="AF1150" s="319"/>
      <c r="AG1150" s="319"/>
      <c r="AH1150" s="319"/>
      <c r="AI1150" s="319"/>
      <c r="AJ1150" s="327"/>
      <c r="AK1150" s="328"/>
      <c r="AL1150" s="319"/>
      <c r="AM1150" s="319"/>
      <c r="AN1150" s="319"/>
      <c r="AO1150" s="319"/>
      <c r="AP1150" s="319"/>
      <c r="AQ1150" s="319"/>
      <c r="AR1150" s="319"/>
      <c r="AS1150" s="327"/>
      <c r="AT1150" s="461" t="s">
        <v>183</v>
      </c>
      <c r="AU1150" s="324" t="s">
        <v>845</v>
      </c>
      <c r="AV1150" s="330">
        <f>SQRT(($R1150-Infrastructure!J$3)^2+($S1150-Infrastructure!K$3)^2)</f>
        <v>24.42048321</v>
      </c>
      <c r="AW1150" s="331">
        <f>SQRT(($R1150-Infrastructure!J$4)^2+($S1150-Infrastructure!K$4)^2)</f>
        <v>30.90129447</v>
      </c>
      <c r="AX1150" s="331">
        <f>SQRT(($R1150-Infrastructure!J$5)^2+($S1150-Infrastructure!K$5)^2)</f>
        <v>40.83331973</v>
      </c>
      <c r="AY1150" s="331">
        <f>SQRT(($R1150-Infrastructure!J$6)^2+($S1150-Infrastructure!K$6)^2)</f>
        <v>40.88031311</v>
      </c>
      <c r="AZ1150" s="331">
        <f>SQRT(($R1150-Infrastructure!J$7)^2+($S1150-Infrastructure!K$7)^2)</f>
        <v>39.21836305</v>
      </c>
      <c r="BA1150" s="331">
        <f>SQRT(($R1150-Infrastructure!J$8)^2+($S1150-Infrastructure!K$8)^2)</f>
        <v>40.08989898</v>
      </c>
      <c r="BB1150" s="331">
        <f>SQRT(($R1150-Infrastructure!J$9)^2+($S1150-Infrastructure!K$9)^2)</f>
        <v>38.96472764</v>
      </c>
      <c r="BC1150" s="331">
        <f>SQRT(($R1150-Infrastructure!J$10)^2+($S1150-Infrastructure!K$10)^2)</f>
        <v>30.58005886</v>
      </c>
      <c r="BD1150" s="331">
        <f>SQRT(($R1150-Infrastructure!J$11)^2+($S1150-Infrastructure!K$11)^2)</f>
        <v>21.27204739</v>
      </c>
      <c r="BE1150" s="333">
        <f>SQRT(($R1150-Infrastructure!J$12)^2+($S1150-Infrastructure!K$12)^2)</f>
        <v>16.00124995</v>
      </c>
      <c r="BF1150" s="330">
        <f t="shared" si="140"/>
        <v>16.00124995</v>
      </c>
      <c r="BG1150" s="333">
        <f t="shared" si="141"/>
        <v>40.88031311</v>
      </c>
      <c r="BH1150" s="943">
        <v>36526.0</v>
      </c>
      <c r="BI1150" s="462" t="s">
        <v>845</v>
      </c>
      <c r="BJ1150" s="319" t="s">
        <v>845</v>
      </c>
      <c r="BK1150" s="319" t="s">
        <v>846</v>
      </c>
      <c r="BL1150" s="319" t="s">
        <v>845</v>
      </c>
      <c r="BM1150" s="955" t="s">
        <v>845</v>
      </c>
      <c r="BN1150" s="319" t="s">
        <v>845</v>
      </c>
      <c r="BO1150" s="319" t="s">
        <v>845</v>
      </c>
      <c r="BP1150" s="953" t="s">
        <v>845</v>
      </c>
      <c r="BQ1150" s="319" t="s">
        <v>846</v>
      </c>
      <c r="BR1150" s="324" t="s">
        <v>846</v>
      </c>
      <c r="BS1150" s="330">
        <f t="shared" si="142"/>
        <v>16.00124995</v>
      </c>
      <c r="BT1150" s="331">
        <f t="shared" si="143"/>
        <v>40.83331973</v>
      </c>
      <c r="BU1150" s="920"/>
      <c r="BV1150" s="903"/>
      <c r="BW1150" s="907"/>
      <c r="BX1150" s="908"/>
      <c r="BY1150" s="331"/>
      <c r="BZ1150" s="340"/>
      <c r="CA1150" s="316"/>
      <c r="CB1150" s="318"/>
      <c r="CC1150" s="318"/>
      <c r="CD1150" s="318"/>
      <c r="CE1150" s="318"/>
      <c r="CF1150" s="318"/>
      <c r="CG1150" s="318"/>
      <c r="CH1150" s="318"/>
      <c r="CI1150" s="318"/>
      <c r="CJ1150" s="463"/>
      <c r="CK1150" s="342"/>
      <c r="CL1150" s="333"/>
      <c r="CM1150" s="829"/>
      <c r="CN1150" s="333"/>
      <c r="CO1150" s="333"/>
      <c r="CP1150" s="333"/>
    </row>
    <row r="1151">
      <c r="B1151" s="462" t="s">
        <v>1799</v>
      </c>
      <c r="C1151" s="914">
        <v>44537.0</v>
      </c>
      <c r="D1151" s="319"/>
      <c r="E1151" s="319">
        <v>11.0</v>
      </c>
      <c r="F1151" s="324" t="s">
        <v>1829</v>
      </c>
      <c r="G1151" s="321">
        <v>0.4029513888888889</v>
      </c>
      <c r="H1151" s="323"/>
      <c r="I1151" s="323"/>
      <c r="J1151" s="323"/>
      <c r="K1151" s="323">
        <v>0.40318287037037037</v>
      </c>
      <c r="L1151" s="723">
        <v>2.314814814814815E-4</v>
      </c>
      <c r="M1151" s="319" t="s">
        <v>166</v>
      </c>
      <c r="N1151" s="324" t="s">
        <v>188</v>
      </c>
      <c r="O1151" s="419" t="s">
        <v>378</v>
      </c>
      <c r="P1151" s="319" t="s">
        <v>225</v>
      </c>
      <c r="Q1151" s="834"/>
      <c r="R1151" s="326">
        <v>22.7</v>
      </c>
      <c r="S1151" s="319">
        <v>39.7</v>
      </c>
      <c r="T1151" s="324">
        <v>1.09</v>
      </c>
      <c r="U1151" s="319">
        <v>16.0</v>
      </c>
      <c r="V1151" s="319"/>
      <c r="W1151" s="319"/>
      <c r="X1151" s="319"/>
      <c r="Y1151" s="319"/>
      <c r="Z1151" s="319" t="s">
        <v>1140</v>
      </c>
      <c r="AA1151" s="319"/>
      <c r="AB1151" s="319" t="s">
        <v>398</v>
      </c>
      <c r="AC1151" s="327">
        <v>6.0</v>
      </c>
      <c r="AD1151" s="319"/>
      <c r="AE1151" s="319"/>
      <c r="AF1151" s="319"/>
      <c r="AG1151" s="319"/>
      <c r="AH1151" s="319"/>
      <c r="AI1151" s="319"/>
      <c r="AJ1151" s="327"/>
      <c r="AK1151" s="328"/>
      <c r="AL1151" s="319"/>
      <c r="AM1151" s="319"/>
      <c r="AN1151" s="319"/>
      <c r="AO1151" s="319"/>
      <c r="AP1151" s="319"/>
      <c r="AQ1151" s="319"/>
      <c r="AR1151" s="319"/>
      <c r="AS1151" s="327"/>
      <c r="AT1151" s="461" t="s">
        <v>183</v>
      </c>
      <c r="AU1151" s="324" t="s">
        <v>845</v>
      </c>
      <c r="AV1151" s="330">
        <f>SQRT(($R1151-Infrastructure!J$3)^2+($S1151-Infrastructure!K$3)^2)</f>
        <v>25.40944706</v>
      </c>
      <c r="AW1151" s="331">
        <f>SQRT(($R1151-Infrastructure!J$4)^2+($S1151-Infrastructure!K$4)^2)</f>
        <v>31.75862088</v>
      </c>
      <c r="AX1151" s="331">
        <f>SQRT(($R1151-Infrastructure!J$5)^2+($S1151-Infrastructure!K$5)^2)</f>
        <v>41.54708173</v>
      </c>
      <c r="AY1151" s="331">
        <f>SQRT(($R1151-Infrastructure!J$6)^2+($S1151-Infrastructure!K$6)^2)</f>
        <v>41.36568626</v>
      </c>
      <c r="AZ1151" s="331">
        <f>SQRT(($R1151-Infrastructure!J$7)^2+($S1151-Infrastructure!K$7)^2)</f>
        <v>39.46137352</v>
      </c>
      <c r="BA1151" s="331">
        <f>SQRT(($R1151-Infrastructure!J$8)^2+($S1151-Infrastructure!K$8)^2)</f>
        <v>40.08890121</v>
      </c>
      <c r="BB1151" s="331">
        <f>SQRT(($R1151-Infrastructure!J$9)^2+($S1151-Infrastructure!K$9)^2)</f>
        <v>38.68397601</v>
      </c>
      <c r="BC1151" s="331">
        <f>SQRT(($R1151-Infrastructure!J$10)^2+($S1151-Infrastructure!K$10)^2)</f>
        <v>30.15592811</v>
      </c>
      <c r="BD1151" s="331">
        <f>SQRT(($R1151-Infrastructure!J$11)^2+($S1151-Infrastructure!K$11)^2)</f>
        <v>20.51194774</v>
      </c>
      <c r="BE1151" s="333">
        <f>SQRT(($R1151-Infrastructure!J$12)^2+($S1151-Infrastructure!K$12)^2)</f>
        <v>15.84550409</v>
      </c>
      <c r="BF1151" s="330">
        <f t="shared" si="140"/>
        <v>15.84550409</v>
      </c>
      <c r="BG1151" s="333">
        <f t="shared" si="141"/>
        <v>41.54708173</v>
      </c>
      <c r="BH1151" s="943">
        <v>36526.0</v>
      </c>
      <c r="BI1151" s="462" t="s">
        <v>846</v>
      </c>
      <c r="BJ1151" s="319" t="s">
        <v>846</v>
      </c>
      <c r="BK1151" s="319" t="s">
        <v>846</v>
      </c>
      <c r="BL1151" s="319" t="s">
        <v>846</v>
      </c>
      <c r="BM1151" s="955" t="s">
        <v>845</v>
      </c>
      <c r="BN1151" s="319" t="s">
        <v>846</v>
      </c>
      <c r="BO1151" s="319" t="s">
        <v>846</v>
      </c>
      <c r="BP1151" s="953" t="s">
        <v>846</v>
      </c>
      <c r="BQ1151" s="319" t="s">
        <v>846</v>
      </c>
      <c r="BR1151" s="324" t="s">
        <v>846</v>
      </c>
      <c r="BS1151" s="330">
        <f t="shared" si="142"/>
        <v>15.84550409</v>
      </c>
      <c r="BT1151" s="331">
        <f t="shared" si="143"/>
        <v>41.54708173</v>
      </c>
      <c r="BU1151" s="920"/>
      <c r="BV1151" s="903"/>
      <c r="BW1151" s="907"/>
      <c r="BX1151" s="908"/>
      <c r="BY1151" s="331"/>
      <c r="BZ1151" s="340"/>
      <c r="CA1151" s="316"/>
      <c r="CB1151" s="318"/>
      <c r="CC1151" s="318"/>
      <c r="CD1151" s="318"/>
      <c r="CE1151" s="318"/>
      <c r="CF1151" s="318"/>
      <c r="CG1151" s="318"/>
      <c r="CH1151" s="318"/>
      <c r="CI1151" s="318"/>
      <c r="CJ1151" s="463"/>
      <c r="CK1151" s="342"/>
      <c r="CL1151" s="333"/>
      <c r="CM1151" s="829"/>
      <c r="CN1151" s="333"/>
      <c r="CO1151" s="333"/>
      <c r="CP1151" s="333"/>
    </row>
    <row r="1152">
      <c r="B1152" s="462" t="s">
        <v>1799</v>
      </c>
      <c r="C1152" s="914">
        <v>44537.0</v>
      </c>
      <c r="D1152" s="319"/>
      <c r="E1152" s="319">
        <v>12.0</v>
      </c>
      <c r="F1152" s="324" t="s">
        <v>1830</v>
      </c>
      <c r="G1152" s="321">
        <v>0.4074652777777778</v>
      </c>
      <c r="H1152" s="323">
        <v>0.4079861111111111</v>
      </c>
      <c r="I1152" s="323"/>
      <c r="J1152" s="323"/>
      <c r="K1152" s="323">
        <v>0.409375</v>
      </c>
      <c r="L1152" s="723">
        <v>0.001388888888888889</v>
      </c>
      <c r="M1152" s="319" t="s">
        <v>166</v>
      </c>
      <c r="N1152" s="324" t="s">
        <v>188</v>
      </c>
      <c r="O1152" s="419" t="s">
        <v>196</v>
      </c>
      <c r="P1152" s="319" t="s">
        <v>224</v>
      </c>
      <c r="Q1152" s="834"/>
      <c r="R1152" s="326">
        <v>21.7</v>
      </c>
      <c r="S1152" s="319">
        <v>39.5</v>
      </c>
      <c r="T1152" s="324">
        <v>1.26</v>
      </c>
      <c r="U1152" s="319">
        <v>17.0</v>
      </c>
      <c r="V1152" s="319"/>
      <c r="W1152" s="319"/>
      <c r="X1152" s="319"/>
      <c r="Y1152" s="319"/>
      <c r="Z1152" s="319" t="s">
        <v>387</v>
      </c>
      <c r="AA1152" s="319"/>
      <c r="AB1152" s="319" t="s">
        <v>416</v>
      </c>
      <c r="AC1152" s="327">
        <v>52.5</v>
      </c>
      <c r="AD1152" s="319"/>
      <c r="AE1152" s="319"/>
      <c r="AF1152" s="319"/>
      <c r="AG1152" s="319"/>
      <c r="AH1152" s="319"/>
      <c r="AI1152" s="319"/>
      <c r="AJ1152" s="327"/>
      <c r="AK1152" s="328"/>
      <c r="AL1152" s="319"/>
      <c r="AM1152" s="319"/>
      <c r="AN1152" s="319"/>
      <c r="AO1152" s="319"/>
      <c r="AP1152" s="319"/>
      <c r="AQ1152" s="319"/>
      <c r="AR1152" s="319"/>
      <c r="AS1152" s="327"/>
      <c r="AT1152" s="461" t="s">
        <v>183</v>
      </c>
      <c r="AU1152" s="324" t="s">
        <v>845</v>
      </c>
      <c r="AV1152" s="330">
        <f>SQRT(($R1152-Infrastructure!J$3)^2+($S1152-Infrastructure!K$3)^2)</f>
        <v>24.42048321</v>
      </c>
      <c r="AW1152" s="331">
        <f>SQRT(($R1152-Infrastructure!J$4)^2+($S1152-Infrastructure!K$4)^2)</f>
        <v>30.90129447</v>
      </c>
      <c r="AX1152" s="331">
        <f>SQRT(($R1152-Infrastructure!J$5)^2+($S1152-Infrastructure!K$5)^2)</f>
        <v>40.83331973</v>
      </c>
      <c r="AY1152" s="331">
        <f>SQRT(($R1152-Infrastructure!J$6)^2+($S1152-Infrastructure!K$6)^2)</f>
        <v>40.88031311</v>
      </c>
      <c r="AZ1152" s="331">
        <f>SQRT(($R1152-Infrastructure!J$7)^2+($S1152-Infrastructure!K$7)^2)</f>
        <v>39.21836305</v>
      </c>
      <c r="BA1152" s="331">
        <f>SQRT(($R1152-Infrastructure!J$8)^2+($S1152-Infrastructure!K$8)^2)</f>
        <v>40.08989898</v>
      </c>
      <c r="BB1152" s="331">
        <f>SQRT(($R1152-Infrastructure!J$9)^2+($S1152-Infrastructure!K$9)^2)</f>
        <v>38.96472764</v>
      </c>
      <c r="BC1152" s="331">
        <f>SQRT(($R1152-Infrastructure!J$10)^2+($S1152-Infrastructure!K$10)^2)</f>
        <v>30.58005886</v>
      </c>
      <c r="BD1152" s="331">
        <f>SQRT(($R1152-Infrastructure!J$11)^2+($S1152-Infrastructure!K$11)^2)</f>
        <v>21.27204739</v>
      </c>
      <c r="BE1152" s="333">
        <f>SQRT(($R1152-Infrastructure!J$12)^2+($S1152-Infrastructure!K$12)^2)</f>
        <v>16.00124995</v>
      </c>
      <c r="BF1152" s="330">
        <f t="shared" si="140"/>
        <v>16.00124995</v>
      </c>
      <c r="BG1152" s="333">
        <f t="shared" si="141"/>
        <v>40.88031311</v>
      </c>
      <c r="BH1152" s="943">
        <v>36526.0</v>
      </c>
      <c r="BI1152" s="462" t="s">
        <v>846</v>
      </c>
      <c r="BJ1152" s="319" t="s">
        <v>846</v>
      </c>
      <c r="BK1152" s="319" t="s">
        <v>846</v>
      </c>
      <c r="BL1152" s="319" t="s">
        <v>845</v>
      </c>
      <c r="BM1152" s="955" t="s">
        <v>845</v>
      </c>
      <c r="BN1152" s="319" t="s">
        <v>845</v>
      </c>
      <c r="BO1152" s="319" t="s">
        <v>845</v>
      </c>
      <c r="BP1152" s="953" t="s">
        <v>845</v>
      </c>
      <c r="BQ1152" s="319" t="s">
        <v>846</v>
      </c>
      <c r="BR1152" s="324" t="s">
        <v>846</v>
      </c>
      <c r="BS1152" s="330">
        <f t="shared" si="142"/>
        <v>16.00124995</v>
      </c>
      <c r="BT1152" s="331">
        <f t="shared" si="143"/>
        <v>40.83331973</v>
      </c>
      <c r="BU1152" s="920">
        <v>0.407650462962963</v>
      </c>
      <c r="BV1152" s="903">
        <f>BU1152-G1152</f>
        <v>0.0001851851852</v>
      </c>
      <c r="BW1152" s="907">
        <v>15.5</v>
      </c>
      <c r="BX1152" s="908">
        <v>22.8</v>
      </c>
      <c r="BY1152" s="331">
        <f>IF(BW1152&gt;0, SQRT((R1152-BW1152)^2+(S1152-BX1152)^2))</f>
        <v>17.81375873</v>
      </c>
      <c r="BZ1152" s="340"/>
      <c r="CA1152" s="316"/>
      <c r="CB1152" s="318"/>
      <c r="CC1152" s="318"/>
      <c r="CD1152" s="318"/>
      <c r="CE1152" s="318"/>
      <c r="CF1152" s="318"/>
      <c r="CG1152" s="318"/>
      <c r="CH1152" s="318"/>
      <c r="CI1152" s="318"/>
      <c r="CJ1152" s="463"/>
      <c r="CK1152" s="342"/>
      <c r="CL1152" s="333"/>
      <c r="CM1152" s="829"/>
      <c r="CN1152" s="333"/>
      <c r="CO1152" s="333"/>
      <c r="CP1152" s="333"/>
    </row>
    <row r="1153">
      <c r="B1153" s="462" t="s">
        <v>1799</v>
      </c>
      <c r="C1153" s="914">
        <v>44537.0</v>
      </c>
      <c r="D1153" s="318"/>
      <c r="E1153" s="319"/>
      <c r="F1153" s="324" t="s">
        <v>1831</v>
      </c>
      <c r="G1153" s="321">
        <v>0.4096064814814815</v>
      </c>
      <c r="H1153" s="323"/>
      <c r="I1153" s="323"/>
      <c r="J1153" s="323"/>
      <c r="K1153" s="323">
        <v>0.41024305555555557</v>
      </c>
      <c r="L1153" s="723">
        <v>6.365740740740741E-4</v>
      </c>
      <c r="M1153" s="319" t="s">
        <v>166</v>
      </c>
      <c r="N1153" s="324" t="s">
        <v>188</v>
      </c>
      <c r="O1153" s="419"/>
      <c r="P1153" s="319" t="s">
        <v>292</v>
      </c>
      <c r="Q1153" s="318"/>
      <c r="R1153" s="833"/>
      <c r="S1153" s="834"/>
      <c r="T1153" s="940"/>
      <c r="U1153" s="319"/>
      <c r="V1153" s="319"/>
      <c r="W1153" s="319"/>
      <c r="X1153" s="319"/>
      <c r="Y1153" s="319"/>
      <c r="Z1153" s="319" t="s">
        <v>323</v>
      </c>
      <c r="AA1153" s="319"/>
      <c r="AB1153" s="319" t="s">
        <v>323</v>
      </c>
      <c r="AC1153" s="327" t="s">
        <v>323</v>
      </c>
      <c r="AD1153" s="319"/>
      <c r="AE1153" s="319"/>
      <c r="AF1153" s="319"/>
      <c r="AG1153" s="319"/>
      <c r="AH1153" s="319"/>
      <c r="AI1153" s="319"/>
      <c r="AJ1153" s="327"/>
      <c r="AK1153" s="328"/>
      <c r="AL1153" s="319"/>
      <c r="AM1153" s="319"/>
      <c r="AN1153" s="319"/>
      <c r="AO1153" s="319"/>
      <c r="AP1153" s="319"/>
      <c r="AQ1153" s="319"/>
      <c r="AR1153" s="319"/>
      <c r="AS1153" s="327"/>
      <c r="AT1153" s="461"/>
      <c r="AU1153" s="324" t="s">
        <v>845</v>
      </c>
      <c r="AV1153" s="330"/>
      <c r="AW1153" s="331"/>
      <c r="AX1153" s="331"/>
      <c r="AY1153" s="331"/>
      <c r="AZ1153" s="331"/>
      <c r="BA1153" s="331"/>
      <c r="BB1153" s="331"/>
      <c r="BC1153" s="331"/>
      <c r="BD1153" s="331"/>
      <c r="BE1153" s="333"/>
      <c r="BF1153" s="330"/>
      <c r="BG1153" s="333"/>
      <c r="BH1153" s="943">
        <v>36526.0</v>
      </c>
      <c r="BI1153" s="462"/>
      <c r="BJ1153" s="319"/>
      <c r="BK1153" s="319"/>
      <c r="BL1153" s="319"/>
      <c r="BM1153" s="955"/>
      <c r="BN1153" s="319"/>
      <c r="BO1153" s="319"/>
      <c r="BP1153" s="953"/>
      <c r="BQ1153" s="319"/>
      <c r="BR1153" s="324"/>
      <c r="BS1153" s="330"/>
      <c r="BT1153" s="331"/>
      <c r="BU1153" s="920"/>
      <c r="BV1153" s="903"/>
      <c r="BW1153" s="907"/>
      <c r="BX1153" s="908"/>
      <c r="BY1153" s="331"/>
      <c r="BZ1153" s="340"/>
      <c r="CA1153" s="316"/>
      <c r="CB1153" s="318"/>
      <c r="CC1153" s="318"/>
      <c r="CD1153" s="318"/>
      <c r="CE1153" s="318"/>
      <c r="CF1153" s="318"/>
      <c r="CG1153" s="318"/>
      <c r="CH1153" s="318"/>
      <c r="CI1153" s="318"/>
      <c r="CJ1153" s="463"/>
      <c r="CK1153" s="342"/>
      <c r="CL1153" s="333"/>
      <c r="CM1153" s="829"/>
      <c r="CN1153" s="333"/>
      <c r="CO1153" s="333"/>
      <c r="CP1153" s="333"/>
    </row>
    <row r="1154">
      <c r="B1154" s="462" t="s">
        <v>1799</v>
      </c>
      <c r="C1154" s="914">
        <v>44537.0</v>
      </c>
      <c r="D1154" s="318"/>
      <c r="E1154" s="319"/>
      <c r="F1154" s="324" t="s">
        <v>1831</v>
      </c>
      <c r="G1154" s="321">
        <v>0.4170138888888889</v>
      </c>
      <c r="H1154" s="323"/>
      <c r="I1154" s="323"/>
      <c r="J1154" s="323"/>
      <c r="K1154" s="323">
        <v>0.4184027777777778</v>
      </c>
      <c r="L1154" s="723">
        <v>0.001388888888888889</v>
      </c>
      <c r="M1154" s="319" t="s">
        <v>358</v>
      </c>
      <c r="N1154" s="324" t="s">
        <v>188</v>
      </c>
      <c r="O1154" s="419"/>
      <c r="P1154" s="319" t="s">
        <v>294</v>
      </c>
      <c r="Q1154" s="318"/>
      <c r="R1154" s="833"/>
      <c r="S1154" s="834"/>
      <c r="T1154" s="940"/>
      <c r="U1154" s="319"/>
      <c r="V1154" s="319"/>
      <c r="W1154" s="319"/>
      <c r="X1154" s="319"/>
      <c r="Y1154" s="319"/>
      <c r="Z1154" s="319" t="s">
        <v>323</v>
      </c>
      <c r="AA1154" s="319"/>
      <c r="AB1154" s="319" t="s">
        <v>323</v>
      </c>
      <c r="AC1154" s="327" t="s">
        <v>323</v>
      </c>
      <c r="AD1154" s="319"/>
      <c r="AE1154" s="319"/>
      <c r="AF1154" s="319"/>
      <c r="AG1154" s="319"/>
      <c r="AH1154" s="319"/>
      <c r="AI1154" s="319"/>
      <c r="AJ1154" s="327"/>
      <c r="AK1154" s="328"/>
      <c r="AL1154" s="319"/>
      <c r="AM1154" s="319"/>
      <c r="AN1154" s="319"/>
      <c r="AO1154" s="319"/>
      <c r="AP1154" s="319"/>
      <c r="AQ1154" s="319"/>
      <c r="AR1154" s="319"/>
      <c r="AS1154" s="327"/>
      <c r="AT1154" s="461"/>
      <c r="AU1154" s="324" t="s">
        <v>845</v>
      </c>
      <c r="AV1154" s="330"/>
      <c r="AW1154" s="331"/>
      <c r="AX1154" s="331"/>
      <c r="AY1154" s="331"/>
      <c r="AZ1154" s="331"/>
      <c r="BA1154" s="331"/>
      <c r="BB1154" s="331"/>
      <c r="BC1154" s="331"/>
      <c r="BD1154" s="331"/>
      <c r="BE1154" s="333"/>
      <c r="BF1154" s="330"/>
      <c r="BG1154" s="333"/>
      <c r="BH1154" s="943">
        <v>36526.0</v>
      </c>
      <c r="BI1154" s="462"/>
      <c r="BJ1154" s="319"/>
      <c r="BK1154" s="319"/>
      <c r="BL1154" s="319"/>
      <c r="BM1154" s="955"/>
      <c r="BN1154" s="319"/>
      <c r="BO1154" s="319"/>
      <c r="BP1154" s="953"/>
      <c r="BQ1154" s="319"/>
      <c r="BR1154" s="324"/>
      <c r="BS1154" s="330"/>
      <c r="BT1154" s="331"/>
      <c r="BU1154" s="920"/>
      <c r="BV1154" s="903"/>
      <c r="BW1154" s="907"/>
      <c r="BX1154" s="908"/>
      <c r="BY1154" s="331"/>
      <c r="BZ1154" s="340"/>
      <c r="CA1154" s="316"/>
      <c r="CB1154" s="318"/>
      <c r="CC1154" s="318"/>
      <c r="CD1154" s="318"/>
      <c r="CE1154" s="318"/>
      <c r="CF1154" s="318"/>
      <c r="CG1154" s="318"/>
      <c r="CH1154" s="318"/>
      <c r="CI1154" s="318"/>
      <c r="CJ1154" s="463"/>
      <c r="CK1154" s="342"/>
      <c r="CL1154" s="333"/>
      <c r="CM1154" s="829"/>
      <c r="CN1154" s="333"/>
      <c r="CO1154" s="333"/>
      <c r="CP1154" s="333"/>
    </row>
    <row r="1155">
      <c r="A1155" s="389" t="s">
        <v>59</v>
      </c>
      <c r="B1155" s="573" t="s">
        <v>1832</v>
      </c>
      <c r="C1155" s="909">
        <v>44544.0</v>
      </c>
      <c r="D1155" s="392"/>
      <c r="E1155" s="393">
        <v>1.0</v>
      </c>
      <c r="F1155" s="394" t="s">
        <v>1833</v>
      </c>
      <c r="G1155" s="395">
        <v>0.41238425925925926</v>
      </c>
      <c r="H1155" s="456">
        <v>0.4130787037037037</v>
      </c>
      <c r="I1155" s="456"/>
      <c r="J1155" s="456"/>
      <c r="K1155" s="456">
        <v>0.41359953703703706</v>
      </c>
      <c r="L1155" s="456">
        <v>5.208333333333333E-4</v>
      </c>
      <c r="M1155" s="393" t="s">
        <v>166</v>
      </c>
      <c r="N1155" s="394" t="s">
        <v>188</v>
      </c>
      <c r="O1155" s="399" t="s">
        <v>196</v>
      </c>
      <c r="P1155" s="393" t="s">
        <v>225</v>
      </c>
      <c r="Q1155" s="392"/>
      <c r="R1155" s="400">
        <v>21.7</v>
      </c>
      <c r="S1155" s="393">
        <v>39.5</v>
      </c>
      <c r="T1155" s="394">
        <v>1.26</v>
      </c>
      <c r="U1155" s="393">
        <v>16.0</v>
      </c>
      <c r="V1155" s="393"/>
      <c r="W1155" s="393"/>
      <c r="X1155" s="393"/>
      <c r="Y1155" s="393"/>
      <c r="Z1155" s="393" t="s">
        <v>387</v>
      </c>
      <c r="AA1155" s="393"/>
      <c r="AB1155" s="393" t="s">
        <v>416</v>
      </c>
      <c r="AC1155" s="401">
        <v>52.5</v>
      </c>
      <c r="AD1155" s="393"/>
      <c r="AE1155" s="393"/>
      <c r="AF1155" s="393"/>
      <c r="AG1155" s="393"/>
      <c r="AH1155" s="393"/>
      <c r="AI1155" s="393"/>
      <c r="AJ1155" s="401"/>
      <c r="AK1155" s="402"/>
      <c r="AL1155" s="393"/>
      <c r="AM1155" s="393"/>
      <c r="AN1155" s="393"/>
      <c r="AO1155" s="393"/>
      <c r="AP1155" s="393"/>
      <c r="AQ1155" s="393"/>
      <c r="AR1155" s="393"/>
      <c r="AS1155" s="401"/>
      <c r="AT1155" s="460" t="s">
        <v>183</v>
      </c>
      <c r="AU1155" s="394" t="s">
        <v>845</v>
      </c>
      <c r="AV1155" s="405">
        <f>SQRT(($R1155-Infrastructure!J$3)^2+($S1155-Infrastructure!K$3)^2)</f>
        <v>24.42048321</v>
      </c>
      <c r="AW1155" s="406">
        <f>SQRT(($R1155-Infrastructure!J$4)^2+($S1155-Infrastructure!K$4)^2)</f>
        <v>30.90129447</v>
      </c>
      <c r="AX1155" s="406">
        <f>SQRT(($R1155-Infrastructure!J$5)^2+($S1155-Infrastructure!K$5)^2)</f>
        <v>40.83331973</v>
      </c>
      <c r="AY1155" s="406">
        <f>SQRT(($R1155-Infrastructure!J$6)^2+($S1155-Infrastructure!K$6)^2)</f>
        <v>40.88031311</v>
      </c>
      <c r="AZ1155" s="406">
        <f>SQRT(($R1155-Infrastructure!J$7)^2+($S1155-Infrastructure!K$7)^2)</f>
        <v>39.21836305</v>
      </c>
      <c r="BA1155" s="406">
        <f>SQRT(($R1155-Infrastructure!J$8)^2+($S1155-Infrastructure!K$8)^2)</f>
        <v>40.08989898</v>
      </c>
      <c r="BB1155" s="406">
        <f>SQRT(($R1155-Infrastructure!J$9)^2+($S1155-Infrastructure!K$9)^2)</f>
        <v>38.96472764</v>
      </c>
      <c r="BC1155" s="406">
        <f>SQRT(($R1155-Infrastructure!J$10)^2+($S1155-Infrastructure!K$10)^2)</f>
        <v>30.58005886</v>
      </c>
      <c r="BD1155" s="406">
        <f>SQRT(($R1155-Infrastructure!J$11)^2+($S1155-Infrastructure!K$11)^2)</f>
        <v>21.27204739</v>
      </c>
      <c r="BE1155" s="408">
        <f>SQRT(($R1155-Infrastructure!J$12)^2+($S1155-Infrastructure!K$12)^2)</f>
        <v>16.00124995</v>
      </c>
      <c r="BF1155" s="405">
        <f t="shared" ref="BF1155:BF1208" si="148">MIN(AV1155:BE1155)</f>
        <v>16.00124995</v>
      </c>
      <c r="BG1155" s="408">
        <f t="shared" ref="BG1155:BG1208" si="149">MAX(AV1155:BE1155)</f>
        <v>40.88031311</v>
      </c>
      <c r="BH1155" s="961">
        <v>36526.0</v>
      </c>
      <c r="BI1155" s="573" t="s">
        <v>846</v>
      </c>
      <c r="BJ1155" s="393" t="s">
        <v>845</v>
      </c>
      <c r="BK1155" s="393" t="s">
        <v>846</v>
      </c>
      <c r="BL1155" s="393" t="s">
        <v>845</v>
      </c>
      <c r="BM1155" s="959" t="s">
        <v>845</v>
      </c>
      <c r="BN1155" s="393" t="s">
        <v>845</v>
      </c>
      <c r="BO1155" s="393" t="s">
        <v>845</v>
      </c>
      <c r="BP1155" s="960" t="s">
        <v>846</v>
      </c>
      <c r="BQ1155" s="393" t="s">
        <v>846</v>
      </c>
      <c r="BR1155" s="394" t="s">
        <v>846</v>
      </c>
      <c r="BS1155" s="405">
        <f t="shared" ref="BS1155:BS1208" si="150">MINIFS(AV1155:BE1155,BI1155:BR1155, "Y")</f>
        <v>16.00124995</v>
      </c>
      <c r="BT1155" s="406">
        <f t="shared" ref="BT1155:BT1208" si="151">MAXIFS(AV1155:BE1155,BI1155:BR1155, "Y")</f>
        <v>40.83331973</v>
      </c>
      <c r="BU1155" s="931">
        <v>0.412650462962963</v>
      </c>
      <c r="BV1155" s="901">
        <f t="shared" ref="BV1155:BV1157" si="152">BU1155-G1155</f>
        <v>0.0002662037037</v>
      </c>
      <c r="BW1155" s="925">
        <v>18.9</v>
      </c>
      <c r="BX1155" s="926">
        <v>26.0</v>
      </c>
      <c r="BY1155" s="406">
        <f t="shared" ref="BY1155:BY1157" si="153">IF(BW1155&gt;0, SQRT((R1155-BW1155)^2+(S1155-BX1155)^2))</f>
        <v>13.78731301</v>
      </c>
      <c r="BZ1155" s="412"/>
      <c r="CA1155" s="390"/>
      <c r="CB1155" s="392"/>
      <c r="CC1155" s="392"/>
      <c r="CD1155" s="392"/>
      <c r="CE1155" s="392"/>
      <c r="CF1155" s="392"/>
      <c r="CG1155" s="392"/>
      <c r="CH1155" s="392"/>
      <c r="CI1155" s="392"/>
      <c r="CJ1155" s="898"/>
      <c r="CK1155" s="414"/>
      <c r="CL1155" s="408"/>
      <c r="CM1155" s="832"/>
      <c r="CN1155" s="333"/>
      <c r="CO1155" s="333"/>
      <c r="CP1155" s="333"/>
    </row>
    <row r="1156">
      <c r="B1156" s="462" t="s">
        <v>1832</v>
      </c>
      <c r="C1156" s="914">
        <v>44544.0</v>
      </c>
      <c r="D1156" s="318"/>
      <c r="E1156" s="319">
        <v>2.0</v>
      </c>
      <c r="F1156" s="324" t="s">
        <v>1834</v>
      </c>
      <c r="G1156" s="321">
        <v>0.41475694444444444</v>
      </c>
      <c r="H1156" s="323">
        <v>0.4152777777777778</v>
      </c>
      <c r="I1156" s="323"/>
      <c r="J1156" s="323"/>
      <c r="K1156" s="323">
        <v>0.415625</v>
      </c>
      <c r="L1156" s="323">
        <v>3.4722222222222224E-4</v>
      </c>
      <c r="M1156" s="319" t="s">
        <v>166</v>
      </c>
      <c r="N1156" s="324" t="s">
        <v>188</v>
      </c>
      <c r="O1156" s="419" t="s">
        <v>196</v>
      </c>
      <c r="P1156" s="319" t="s">
        <v>225</v>
      </c>
      <c r="Q1156" s="318"/>
      <c r="R1156" s="326">
        <v>21.7</v>
      </c>
      <c r="S1156" s="319">
        <v>39.5</v>
      </c>
      <c r="T1156" s="324">
        <v>1.26</v>
      </c>
      <c r="U1156" s="319">
        <v>16.0</v>
      </c>
      <c r="V1156" s="319"/>
      <c r="W1156" s="319"/>
      <c r="X1156" s="319"/>
      <c r="Y1156" s="319"/>
      <c r="Z1156" s="319" t="s">
        <v>387</v>
      </c>
      <c r="AA1156" s="319"/>
      <c r="AB1156" s="319" t="s">
        <v>416</v>
      </c>
      <c r="AC1156" s="327">
        <v>52.5</v>
      </c>
      <c r="AD1156" s="319"/>
      <c r="AE1156" s="319"/>
      <c r="AF1156" s="319"/>
      <c r="AG1156" s="319"/>
      <c r="AH1156" s="319"/>
      <c r="AI1156" s="319"/>
      <c r="AJ1156" s="327"/>
      <c r="AK1156" s="328"/>
      <c r="AL1156" s="319"/>
      <c r="AM1156" s="319"/>
      <c r="AN1156" s="319"/>
      <c r="AO1156" s="319"/>
      <c r="AP1156" s="319"/>
      <c r="AQ1156" s="319"/>
      <c r="AR1156" s="319"/>
      <c r="AS1156" s="327"/>
      <c r="AT1156" s="461" t="s">
        <v>183</v>
      </c>
      <c r="AU1156" s="324" t="s">
        <v>845</v>
      </c>
      <c r="AV1156" s="330">
        <f>SQRT(($R1156-Infrastructure!J$3)^2+($S1156-Infrastructure!K$3)^2)</f>
        <v>24.42048321</v>
      </c>
      <c r="AW1156" s="331">
        <f>SQRT(($R1156-Infrastructure!J$4)^2+($S1156-Infrastructure!K$4)^2)</f>
        <v>30.90129447</v>
      </c>
      <c r="AX1156" s="331">
        <f>SQRT(($R1156-Infrastructure!J$5)^2+($S1156-Infrastructure!K$5)^2)</f>
        <v>40.83331973</v>
      </c>
      <c r="AY1156" s="331">
        <f>SQRT(($R1156-Infrastructure!J$6)^2+($S1156-Infrastructure!K$6)^2)</f>
        <v>40.88031311</v>
      </c>
      <c r="AZ1156" s="331">
        <f>SQRT(($R1156-Infrastructure!J$7)^2+($S1156-Infrastructure!K$7)^2)</f>
        <v>39.21836305</v>
      </c>
      <c r="BA1156" s="331">
        <f>SQRT(($R1156-Infrastructure!J$8)^2+($S1156-Infrastructure!K$8)^2)</f>
        <v>40.08989898</v>
      </c>
      <c r="BB1156" s="331">
        <f>SQRT(($R1156-Infrastructure!J$9)^2+($S1156-Infrastructure!K$9)^2)</f>
        <v>38.96472764</v>
      </c>
      <c r="BC1156" s="331">
        <f>SQRT(($R1156-Infrastructure!J$10)^2+($S1156-Infrastructure!K$10)^2)</f>
        <v>30.58005886</v>
      </c>
      <c r="BD1156" s="331">
        <f>SQRT(($R1156-Infrastructure!J$11)^2+($S1156-Infrastructure!K$11)^2)</f>
        <v>21.27204739</v>
      </c>
      <c r="BE1156" s="333">
        <f>SQRT(($R1156-Infrastructure!J$12)^2+($S1156-Infrastructure!K$12)^2)</f>
        <v>16.00124995</v>
      </c>
      <c r="BF1156" s="330">
        <f t="shared" si="148"/>
        <v>16.00124995</v>
      </c>
      <c r="BG1156" s="333">
        <f t="shared" si="149"/>
        <v>40.88031311</v>
      </c>
      <c r="BH1156" s="943">
        <v>36526.0</v>
      </c>
      <c r="BI1156" s="462" t="s">
        <v>846</v>
      </c>
      <c r="BJ1156" s="319" t="s">
        <v>845</v>
      </c>
      <c r="BK1156" s="319" t="s">
        <v>845</v>
      </c>
      <c r="BL1156" s="319" t="s">
        <v>845</v>
      </c>
      <c r="BM1156" s="955" t="s">
        <v>845</v>
      </c>
      <c r="BN1156" s="319" t="s">
        <v>845</v>
      </c>
      <c r="BO1156" s="319" t="s">
        <v>845</v>
      </c>
      <c r="BP1156" s="953" t="s">
        <v>846</v>
      </c>
      <c r="BQ1156" s="319" t="s">
        <v>846</v>
      </c>
      <c r="BR1156" s="324" t="s">
        <v>846</v>
      </c>
      <c r="BS1156" s="330">
        <f t="shared" si="150"/>
        <v>16.00124995</v>
      </c>
      <c r="BT1156" s="331">
        <f t="shared" si="151"/>
        <v>30.58005886</v>
      </c>
      <c r="BU1156" s="920">
        <v>0.41509259259259257</v>
      </c>
      <c r="BV1156" s="903">
        <f t="shared" si="152"/>
        <v>0.0003356481481</v>
      </c>
      <c r="BW1156" s="907">
        <v>21.6</v>
      </c>
      <c r="BX1156" s="908">
        <v>26.4</v>
      </c>
      <c r="BY1156" s="331">
        <f t="shared" si="153"/>
        <v>13.10038167</v>
      </c>
      <c r="BZ1156" s="340"/>
      <c r="CA1156" s="316"/>
      <c r="CB1156" s="318"/>
      <c r="CC1156" s="318"/>
      <c r="CD1156" s="318"/>
      <c r="CE1156" s="318"/>
      <c r="CF1156" s="318"/>
      <c r="CG1156" s="318"/>
      <c r="CH1156" s="318"/>
      <c r="CI1156" s="318"/>
      <c r="CJ1156" s="463"/>
      <c r="CK1156" s="342"/>
      <c r="CL1156" s="333"/>
      <c r="CM1156" s="829"/>
      <c r="CN1156" s="333"/>
      <c r="CO1156" s="333"/>
      <c r="CP1156" s="333"/>
    </row>
    <row r="1157">
      <c r="B1157" s="462" t="s">
        <v>1832</v>
      </c>
      <c r="C1157" s="914">
        <v>44544.0</v>
      </c>
      <c r="D1157" s="318"/>
      <c r="E1157" s="319">
        <v>3.0</v>
      </c>
      <c r="F1157" s="324" t="s">
        <v>1835</v>
      </c>
      <c r="G1157" s="321">
        <v>0.4170138888888889</v>
      </c>
      <c r="H1157" s="323">
        <v>0.4175347222222222</v>
      </c>
      <c r="I1157" s="323"/>
      <c r="J1157" s="323"/>
      <c r="K1157" s="323">
        <v>0.4184027777777778</v>
      </c>
      <c r="L1157" s="323">
        <v>8.680555555555555E-4</v>
      </c>
      <c r="M1157" s="319" t="s">
        <v>166</v>
      </c>
      <c r="N1157" s="324" t="s">
        <v>188</v>
      </c>
      <c r="O1157" s="419" t="s">
        <v>196</v>
      </c>
      <c r="P1157" s="319" t="s">
        <v>225</v>
      </c>
      <c r="Q1157" s="318"/>
      <c r="R1157" s="326">
        <v>21.7</v>
      </c>
      <c r="S1157" s="319">
        <v>39.5</v>
      </c>
      <c r="T1157" s="324">
        <v>1.26</v>
      </c>
      <c r="U1157" s="319">
        <v>16.0</v>
      </c>
      <c r="V1157" s="319"/>
      <c r="W1157" s="319"/>
      <c r="X1157" s="319"/>
      <c r="Y1157" s="319"/>
      <c r="Z1157" s="319" t="s">
        <v>387</v>
      </c>
      <c r="AA1157" s="319"/>
      <c r="AB1157" s="319" t="s">
        <v>416</v>
      </c>
      <c r="AC1157" s="327">
        <v>52.5</v>
      </c>
      <c r="AD1157" s="319"/>
      <c r="AE1157" s="319"/>
      <c r="AF1157" s="319"/>
      <c r="AG1157" s="319"/>
      <c r="AH1157" s="319"/>
      <c r="AI1157" s="319"/>
      <c r="AJ1157" s="327"/>
      <c r="AK1157" s="328"/>
      <c r="AL1157" s="319"/>
      <c r="AM1157" s="319"/>
      <c r="AN1157" s="319"/>
      <c r="AO1157" s="319"/>
      <c r="AP1157" s="319"/>
      <c r="AQ1157" s="319"/>
      <c r="AR1157" s="319"/>
      <c r="AS1157" s="327"/>
      <c r="AT1157" s="461" t="s">
        <v>183</v>
      </c>
      <c r="AU1157" s="324" t="s">
        <v>845</v>
      </c>
      <c r="AV1157" s="330">
        <f>SQRT(($R1157-Infrastructure!J$3)^2+($S1157-Infrastructure!K$3)^2)</f>
        <v>24.42048321</v>
      </c>
      <c r="AW1157" s="331">
        <f>SQRT(($R1157-Infrastructure!J$4)^2+($S1157-Infrastructure!K$4)^2)</f>
        <v>30.90129447</v>
      </c>
      <c r="AX1157" s="331">
        <f>SQRT(($R1157-Infrastructure!J$5)^2+($S1157-Infrastructure!K$5)^2)</f>
        <v>40.83331973</v>
      </c>
      <c r="AY1157" s="331">
        <f>SQRT(($R1157-Infrastructure!J$6)^2+($S1157-Infrastructure!K$6)^2)</f>
        <v>40.88031311</v>
      </c>
      <c r="AZ1157" s="331">
        <f>SQRT(($R1157-Infrastructure!J$7)^2+($S1157-Infrastructure!K$7)^2)</f>
        <v>39.21836305</v>
      </c>
      <c r="BA1157" s="331">
        <f>SQRT(($R1157-Infrastructure!J$8)^2+($S1157-Infrastructure!K$8)^2)</f>
        <v>40.08989898</v>
      </c>
      <c r="BB1157" s="331">
        <f>SQRT(($R1157-Infrastructure!J$9)^2+($S1157-Infrastructure!K$9)^2)</f>
        <v>38.96472764</v>
      </c>
      <c r="BC1157" s="331">
        <f>SQRT(($R1157-Infrastructure!J$10)^2+($S1157-Infrastructure!K$10)^2)</f>
        <v>30.58005886</v>
      </c>
      <c r="BD1157" s="331">
        <f>SQRT(($R1157-Infrastructure!J$11)^2+($S1157-Infrastructure!K$11)^2)</f>
        <v>21.27204739</v>
      </c>
      <c r="BE1157" s="333">
        <f>SQRT(($R1157-Infrastructure!J$12)^2+($S1157-Infrastructure!K$12)^2)</f>
        <v>16.00124995</v>
      </c>
      <c r="BF1157" s="330">
        <f t="shared" si="148"/>
        <v>16.00124995</v>
      </c>
      <c r="BG1157" s="333">
        <f t="shared" si="149"/>
        <v>40.88031311</v>
      </c>
      <c r="BH1157" s="943">
        <v>36526.0</v>
      </c>
      <c r="BI1157" s="462" t="s">
        <v>846</v>
      </c>
      <c r="BJ1157" s="319" t="s">
        <v>846</v>
      </c>
      <c r="BK1157" s="319" t="s">
        <v>845</v>
      </c>
      <c r="BL1157" s="319" t="s">
        <v>845</v>
      </c>
      <c r="BM1157" s="955" t="s">
        <v>845</v>
      </c>
      <c r="BN1157" s="319" t="s">
        <v>845</v>
      </c>
      <c r="BO1157" s="319" t="s">
        <v>845</v>
      </c>
      <c r="BP1157" s="953" t="s">
        <v>845</v>
      </c>
      <c r="BQ1157" s="319" t="s">
        <v>846</v>
      </c>
      <c r="BR1157" s="324" t="s">
        <v>846</v>
      </c>
      <c r="BS1157" s="330">
        <f t="shared" si="150"/>
        <v>16.00124995</v>
      </c>
      <c r="BT1157" s="331">
        <f t="shared" si="151"/>
        <v>30.90129447</v>
      </c>
      <c r="BU1157" s="920">
        <v>0.41716435185185186</v>
      </c>
      <c r="BV1157" s="903">
        <f t="shared" si="152"/>
        <v>0.000150462963</v>
      </c>
      <c r="BW1157" s="907">
        <v>19.4</v>
      </c>
      <c r="BX1157" s="908">
        <v>26.0</v>
      </c>
      <c r="BY1157" s="331">
        <f t="shared" si="153"/>
        <v>13.69452445</v>
      </c>
      <c r="BZ1157" s="340"/>
      <c r="CA1157" s="316"/>
      <c r="CB1157" s="318"/>
      <c r="CC1157" s="318"/>
      <c r="CD1157" s="318"/>
      <c r="CE1157" s="318"/>
      <c r="CF1157" s="318"/>
      <c r="CG1157" s="318"/>
      <c r="CH1157" s="318"/>
      <c r="CI1157" s="318"/>
      <c r="CJ1157" s="463"/>
      <c r="CK1157" s="342"/>
      <c r="CL1157" s="333"/>
      <c r="CM1157" s="829"/>
      <c r="CN1157" s="333"/>
      <c r="CO1157" s="333"/>
      <c r="CP1157" s="333"/>
    </row>
    <row r="1158">
      <c r="B1158" s="462" t="s">
        <v>1832</v>
      </c>
      <c r="C1158" s="914">
        <v>44544.0</v>
      </c>
      <c r="D1158" s="318"/>
      <c r="E1158" s="319">
        <v>4.0</v>
      </c>
      <c r="F1158" s="324" t="s">
        <v>1836</v>
      </c>
      <c r="G1158" s="321">
        <v>0.4191550925925926</v>
      </c>
      <c r="H1158" s="323"/>
      <c r="I1158" s="323"/>
      <c r="J1158" s="323"/>
      <c r="K1158" s="323">
        <v>0.4199074074074074</v>
      </c>
      <c r="L1158" s="323">
        <v>7.523148148148148E-4</v>
      </c>
      <c r="M1158" s="319" t="s">
        <v>166</v>
      </c>
      <c r="N1158" s="324" t="s">
        <v>188</v>
      </c>
      <c r="O1158" s="419" t="s">
        <v>196</v>
      </c>
      <c r="P1158" s="319" t="s">
        <v>225</v>
      </c>
      <c r="Q1158" s="318"/>
      <c r="R1158" s="326">
        <v>21.7</v>
      </c>
      <c r="S1158" s="319">
        <v>39.5</v>
      </c>
      <c r="T1158" s="324">
        <v>1.26</v>
      </c>
      <c r="U1158" s="319">
        <v>16.0</v>
      </c>
      <c r="V1158" s="319"/>
      <c r="W1158" s="319"/>
      <c r="X1158" s="319"/>
      <c r="Y1158" s="319"/>
      <c r="Z1158" s="319" t="s">
        <v>387</v>
      </c>
      <c r="AA1158" s="319"/>
      <c r="AB1158" s="319" t="s">
        <v>416</v>
      </c>
      <c r="AC1158" s="327">
        <v>52.5</v>
      </c>
      <c r="AD1158" s="319"/>
      <c r="AE1158" s="319"/>
      <c r="AF1158" s="319"/>
      <c r="AG1158" s="319"/>
      <c r="AH1158" s="319"/>
      <c r="AI1158" s="319"/>
      <c r="AJ1158" s="327"/>
      <c r="AK1158" s="328"/>
      <c r="AL1158" s="319"/>
      <c r="AM1158" s="319"/>
      <c r="AN1158" s="319"/>
      <c r="AO1158" s="319"/>
      <c r="AP1158" s="319"/>
      <c r="AQ1158" s="319"/>
      <c r="AR1158" s="319"/>
      <c r="AS1158" s="327"/>
      <c r="AT1158" s="461" t="s">
        <v>183</v>
      </c>
      <c r="AU1158" s="324" t="s">
        <v>845</v>
      </c>
      <c r="AV1158" s="330">
        <f>SQRT(($R1158-Infrastructure!J$3)^2+($S1158-Infrastructure!K$3)^2)</f>
        <v>24.42048321</v>
      </c>
      <c r="AW1158" s="331">
        <f>SQRT(($R1158-Infrastructure!J$4)^2+($S1158-Infrastructure!K$4)^2)</f>
        <v>30.90129447</v>
      </c>
      <c r="AX1158" s="331">
        <f>SQRT(($R1158-Infrastructure!J$5)^2+($S1158-Infrastructure!K$5)^2)</f>
        <v>40.83331973</v>
      </c>
      <c r="AY1158" s="331">
        <f>SQRT(($R1158-Infrastructure!J$6)^2+($S1158-Infrastructure!K$6)^2)</f>
        <v>40.88031311</v>
      </c>
      <c r="AZ1158" s="331">
        <f>SQRT(($R1158-Infrastructure!J$7)^2+($S1158-Infrastructure!K$7)^2)</f>
        <v>39.21836305</v>
      </c>
      <c r="BA1158" s="331">
        <f>SQRT(($R1158-Infrastructure!J$8)^2+($S1158-Infrastructure!K$8)^2)</f>
        <v>40.08989898</v>
      </c>
      <c r="BB1158" s="331">
        <f>SQRT(($R1158-Infrastructure!J$9)^2+($S1158-Infrastructure!K$9)^2)</f>
        <v>38.96472764</v>
      </c>
      <c r="BC1158" s="331">
        <f>SQRT(($R1158-Infrastructure!J$10)^2+($S1158-Infrastructure!K$10)^2)</f>
        <v>30.58005886</v>
      </c>
      <c r="BD1158" s="331">
        <f>SQRT(($R1158-Infrastructure!J$11)^2+($S1158-Infrastructure!K$11)^2)</f>
        <v>21.27204739</v>
      </c>
      <c r="BE1158" s="333">
        <f>SQRT(($R1158-Infrastructure!J$12)^2+($S1158-Infrastructure!K$12)^2)</f>
        <v>16.00124995</v>
      </c>
      <c r="BF1158" s="330">
        <f t="shared" si="148"/>
        <v>16.00124995</v>
      </c>
      <c r="BG1158" s="333">
        <f t="shared" si="149"/>
        <v>40.88031311</v>
      </c>
      <c r="BH1158" s="943">
        <v>36526.0</v>
      </c>
      <c r="BI1158" s="462" t="s">
        <v>845</v>
      </c>
      <c r="BJ1158" s="319" t="s">
        <v>845</v>
      </c>
      <c r="BK1158" s="319" t="s">
        <v>845</v>
      </c>
      <c r="BL1158" s="319" t="s">
        <v>845</v>
      </c>
      <c r="BM1158" s="955" t="s">
        <v>845</v>
      </c>
      <c r="BN1158" s="319" t="s">
        <v>845</v>
      </c>
      <c r="BO1158" s="319" t="s">
        <v>845</v>
      </c>
      <c r="BP1158" s="953" t="s">
        <v>845</v>
      </c>
      <c r="BQ1158" s="319" t="s">
        <v>845</v>
      </c>
      <c r="BR1158" s="324" t="s">
        <v>845</v>
      </c>
      <c r="BS1158" s="330">
        <f t="shared" si="150"/>
        <v>0</v>
      </c>
      <c r="BT1158" s="331">
        <f t="shared" si="151"/>
        <v>0</v>
      </c>
      <c r="BU1158" s="920"/>
      <c r="BV1158" s="903"/>
      <c r="BW1158" s="907"/>
      <c r="BX1158" s="908"/>
      <c r="BY1158" s="331"/>
      <c r="BZ1158" s="340"/>
      <c r="CA1158" s="316"/>
      <c r="CB1158" s="318"/>
      <c r="CC1158" s="318"/>
      <c r="CD1158" s="318"/>
      <c r="CE1158" s="318"/>
      <c r="CF1158" s="318"/>
      <c r="CG1158" s="318"/>
      <c r="CH1158" s="318"/>
      <c r="CI1158" s="318"/>
      <c r="CJ1158" s="463"/>
      <c r="CK1158" s="342"/>
      <c r="CL1158" s="333"/>
      <c r="CM1158" s="829"/>
      <c r="CN1158" s="333"/>
      <c r="CO1158" s="333"/>
      <c r="CP1158" s="333"/>
    </row>
    <row r="1159">
      <c r="B1159" s="462" t="s">
        <v>1832</v>
      </c>
      <c r="C1159" s="914">
        <v>44544.0</v>
      </c>
      <c r="D1159" s="318"/>
      <c r="E1159" s="319">
        <v>5.0</v>
      </c>
      <c r="F1159" s="324" t="s">
        <v>1837</v>
      </c>
      <c r="G1159" s="321">
        <v>0.42141203703703706</v>
      </c>
      <c r="H1159" s="323"/>
      <c r="I1159" s="323"/>
      <c r="J1159" s="323"/>
      <c r="K1159" s="323">
        <v>0.421875</v>
      </c>
      <c r="L1159" s="323">
        <v>4.62962962962963E-4</v>
      </c>
      <c r="M1159" s="319" t="s">
        <v>166</v>
      </c>
      <c r="N1159" s="324" t="s">
        <v>188</v>
      </c>
      <c r="O1159" s="419" t="s">
        <v>196</v>
      </c>
      <c r="P1159" s="319" t="s">
        <v>225</v>
      </c>
      <c r="Q1159" s="318"/>
      <c r="R1159" s="326">
        <v>21.7</v>
      </c>
      <c r="S1159" s="319">
        <v>39.5</v>
      </c>
      <c r="T1159" s="324">
        <v>1.26</v>
      </c>
      <c r="U1159" s="319">
        <v>16.0</v>
      </c>
      <c r="V1159" s="319"/>
      <c r="W1159" s="319"/>
      <c r="X1159" s="319"/>
      <c r="Y1159" s="319"/>
      <c r="Z1159" s="319" t="s">
        <v>387</v>
      </c>
      <c r="AA1159" s="319"/>
      <c r="AB1159" s="319" t="s">
        <v>416</v>
      </c>
      <c r="AC1159" s="327">
        <v>52.5</v>
      </c>
      <c r="AD1159" s="319"/>
      <c r="AE1159" s="319"/>
      <c r="AF1159" s="319"/>
      <c r="AG1159" s="319"/>
      <c r="AH1159" s="319"/>
      <c r="AI1159" s="319"/>
      <c r="AJ1159" s="327"/>
      <c r="AK1159" s="328"/>
      <c r="AL1159" s="319"/>
      <c r="AM1159" s="319"/>
      <c r="AN1159" s="319"/>
      <c r="AO1159" s="319"/>
      <c r="AP1159" s="319"/>
      <c r="AQ1159" s="319"/>
      <c r="AR1159" s="319"/>
      <c r="AS1159" s="327"/>
      <c r="AT1159" s="461" t="s">
        <v>183</v>
      </c>
      <c r="AU1159" s="324" t="s">
        <v>845</v>
      </c>
      <c r="AV1159" s="330">
        <f>SQRT(($R1159-Infrastructure!J$3)^2+($S1159-Infrastructure!K$3)^2)</f>
        <v>24.42048321</v>
      </c>
      <c r="AW1159" s="331">
        <f>SQRT(($R1159-Infrastructure!J$4)^2+($S1159-Infrastructure!K$4)^2)</f>
        <v>30.90129447</v>
      </c>
      <c r="AX1159" s="331">
        <f>SQRT(($R1159-Infrastructure!J$5)^2+($S1159-Infrastructure!K$5)^2)</f>
        <v>40.83331973</v>
      </c>
      <c r="AY1159" s="331">
        <f>SQRT(($R1159-Infrastructure!J$6)^2+($S1159-Infrastructure!K$6)^2)</f>
        <v>40.88031311</v>
      </c>
      <c r="AZ1159" s="331">
        <f>SQRT(($R1159-Infrastructure!J$7)^2+($S1159-Infrastructure!K$7)^2)</f>
        <v>39.21836305</v>
      </c>
      <c r="BA1159" s="331">
        <f>SQRT(($R1159-Infrastructure!J$8)^2+($S1159-Infrastructure!K$8)^2)</f>
        <v>40.08989898</v>
      </c>
      <c r="BB1159" s="331">
        <f>SQRT(($R1159-Infrastructure!J$9)^2+($S1159-Infrastructure!K$9)^2)</f>
        <v>38.96472764</v>
      </c>
      <c r="BC1159" s="331">
        <f>SQRT(($R1159-Infrastructure!J$10)^2+($S1159-Infrastructure!K$10)^2)</f>
        <v>30.58005886</v>
      </c>
      <c r="BD1159" s="331">
        <f>SQRT(($R1159-Infrastructure!J$11)^2+($S1159-Infrastructure!K$11)^2)</f>
        <v>21.27204739</v>
      </c>
      <c r="BE1159" s="333">
        <f>SQRT(($R1159-Infrastructure!J$12)^2+($S1159-Infrastructure!K$12)^2)</f>
        <v>16.00124995</v>
      </c>
      <c r="BF1159" s="330">
        <f t="shared" si="148"/>
        <v>16.00124995</v>
      </c>
      <c r="BG1159" s="333">
        <f t="shared" si="149"/>
        <v>40.88031311</v>
      </c>
      <c r="BH1159" s="943">
        <v>36526.0</v>
      </c>
      <c r="BI1159" s="462" t="s">
        <v>845</v>
      </c>
      <c r="BJ1159" s="319" t="s">
        <v>845</v>
      </c>
      <c r="BK1159" s="319" t="s">
        <v>845</v>
      </c>
      <c r="BL1159" s="319" t="s">
        <v>845</v>
      </c>
      <c r="BM1159" s="955" t="s">
        <v>845</v>
      </c>
      <c r="BN1159" s="319" t="s">
        <v>845</v>
      </c>
      <c r="BO1159" s="319" t="s">
        <v>845</v>
      </c>
      <c r="BP1159" s="953" t="s">
        <v>845</v>
      </c>
      <c r="BQ1159" s="319" t="s">
        <v>845</v>
      </c>
      <c r="BR1159" s="324" t="s">
        <v>845</v>
      </c>
      <c r="BS1159" s="330">
        <f t="shared" si="150"/>
        <v>0</v>
      </c>
      <c r="BT1159" s="331">
        <f t="shared" si="151"/>
        <v>0</v>
      </c>
      <c r="BU1159" s="920"/>
      <c r="BV1159" s="903"/>
      <c r="BW1159" s="907"/>
      <c r="BX1159" s="908"/>
      <c r="BY1159" s="331"/>
      <c r="BZ1159" s="340"/>
      <c r="CA1159" s="316"/>
      <c r="CB1159" s="318"/>
      <c r="CC1159" s="318"/>
      <c r="CD1159" s="318"/>
      <c r="CE1159" s="318"/>
      <c r="CF1159" s="318"/>
      <c r="CG1159" s="318"/>
      <c r="CH1159" s="318"/>
      <c r="CI1159" s="318"/>
      <c r="CJ1159" s="463"/>
      <c r="CK1159" s="342"/>
      <c r="CL1159" s="333"/>
      <c r="CM1159" s="829"/>
      <c r="CN1159" s="333"/>
      <c r="CO1159" s="333"/>
      <c r="CP1159" s="333"/>
    </row>
    <row r="1160">
      <c r="A1160" s="389" t="s">
        <v>60</v>
      </c>
      <c r="B1160" s="573" t="s">
        <v>1832</v>
      </c>
      <c r="C1160" s="909">
        <v>44545.0</v>
      </c>
      <c r="D1160" s="392"/>
      <c r="E1160" s="393" t="s">
        <v>1453</v>
      </c>
      <c r="F1160" s="394" t="s">
        <v>1838</v>
      </c>
      <c r="G1160" s="395">
        <v>0.4027777777777778</v>
      </c>
      <c r="H1160" s="456">
        <v>0.4029513888888889</v>
      </c>
      <c r="I1160" s="456"/>
      <c r="J1160" s="456"/>
      <c r="K1160" s="456">
        <v>0.40399305555555554</v>
      </c>
      <c r="L1160" s="456">
        <v>0.0010416666666666667</v>
      </c>
      <c r="M1160" s="393" t="s">
        <v>166</v>
      </c>
      <c r="N1160" s="394" t="s">
        <v>188</v>
      </c>
      <c r="O1160" s="399" t="s">
        <v>378</v>
      </c>
      <c r="P1160" s="393" t="s">
        <v>225</v>
      </c>
      <c r="Q1160" s="392"/>
      <c r="R1160" s="400">
        <v>22.7</v>
      </c>
      <c r="S1160" s="393">
        <v>39.7</v>
      </c>
      <c r="T1160" s="394">
        <v>1.9</v>
      </c>
      <c r="U1160" s="393">
        <v>10.0</v>
      </c>
      <c r="V1160" s="393"/>
      <c r="W1160" s="393"/>
      <c r="X1160" s="393"/>
      <c r="Y1160" s="393"/>
      <c r="Z1160" s="393" t="s">
        <v>1140</v>
      </c>
      <c r="AA1160" s="393"/>
      <c r="AB1160" s="393" t="s">
        <v>407</v>
      </c>
      <c r="AC1160" s="401">
        <v>15.75</v>
      </c>
      <c r="AD1160" s="393"/>
      <c r="AE1160" s="393"/>
      <c r="AF1160" s="393"/>
      <c r="AG1160" s="393"/>
      <c r="AH1160" s="393"/>
      <c r="AI1160" s="393"/>
      <c r="AJ1160" s="401"/>
      <c r="AK1160" s="402"/>
      <c r="AL1160" s="393"/>
      <c r="AM1160" s="393"/>
      <c r="AN1160" s="393"/>
      <c r="AO1160" s="393"/>
      <c r="AP1160" s="393"/>
      <c r="AQ1160" s="393"/>
      <c r="AR1160" s="393"/>
      <c r="AS1160" s="401"/>
      <c r="AT1160" s="460" t="s">
        <v>183</v>
      </c>
      <c r="AU1160" s="394" t="s">
        <v>845</v>
      </c>
      <c r="AV1160" s="405">
        <f>SQRT(($R1160-Infrastructure!J$3)^2+($S1160-Infrastructure!K$3)^2)</f>
        <v>25.40944706</v>
      </c>
      <c r="AW1160" s="406">
        <f>SQRT(($R1160-Infrastructure!J$4)^2+($S1160-Infrastructure!K$4)^2)</f>
        <v>31.75862088</v>
      </c>
      <c r="AX1160" s="406">
        <f>SQRT(($R1160-Infrastructure!J$5)^2+($S1160-Infrastructure!K$5)^2)</f>
        <v>41.54708173</v>
      </c>
      <c r="AY1160" s="406">
        <f>SQRT(($R1160-Infrastructure!J$6)^2+($S1160-Infrastructure!K$6)^2)</f>
        <v>41.36568626</v>
      </c>
      <c r="AZ1160" s="406">
        <f>SQRT(($R1160-Infrastructure!J$7)^2+($S1160-Infrastructure!K$7)^2)</f>
        <v>39.46137352</v>
      </c>
      <c r="BA1160" s="406">
        <f>SQRT(($R1160-Infrastructure!J$8)^2+($S1160-Infrastructure!K$8)^2)</f>
        <v>40.08890121</v>
      </c>
      <c r="BB1160" s="406">
        <f>SQRT(($R1160-Infrastructure!J$9)^2+($S1160-Infrastructure!K$9)^2)</f>
        <v>38.68397601</v>
      </c>
      <c r="BC1160" s="406">
        <f>SQRT(($R1160-Infrastructure!J$10)^2+($S1160-Infrastructure!K$10)^2)</f>
        <v>30.15592811</v>
      </c>
      <c r="BD1160" s="406">
        <f>SQRT(($R1160-Infrastructure!J$11)^2+($S1160-Infrastructure!K$11)^2)</f>
        <v>20.51194774</v>
      </c>
      <c r="BE1160" s="408">
        <f>SQRT(($R1160-Infrastructure!J$12)^2+($S1160-Infrastructure!K$12)^2)</f>
        <v>15.84550409</v>
      </c>
      <c r="BF1160" s="405">
        <f t="shared" si="148"/>
        <v>15.84550409</v>
      </c>
      <c r="BG1160" s="408">
        <f t="shared" si="149"/>
        <v>41.54708173</v>
      </c>
      <c r="BH1160" s="961">
        <v>36526.0</v>
      </c>
      <c r="BI1160" s="573" t="s">
        <v>845</v>
      </c>
      <c r="BJ1160" s="393" t="s">
        <v>845</v>
      </c>
      <c r="BK1160" s="393" t="s">
        <v>845</v>
      </c>
      <c r="BL1160" s="393" t="s">
        <v>845</v>
      </c>
      <c r="BM1160" s="959" t="s">
        <v>845</v>
      </c>
      <c r="BN1160" s="393" t="s">
        <v>845</v>
      </c>
      <c r="BO1160" s="393" t="s">
        <v>845</v>
      </c>
      <c r="BP1160" s="960" t="s">
        <v>845</v>
      </c>
      <c r="BQ1160" s="393" t="s">
        <v>845</v>
      </c>
      <c r="BR1160" s="394" t="s">
        <v>845</v>
      </c>
      <c r="BS1160" s="330">
        <f t="shared" si="150"/>
        <v>0</v>
      </c>
      <c r="BT1160" s="331">
        <f t="shared" si="151"/>
        <v>0</v>
      </c>
      <c r="BU1160" s="931"/>
      <c r="BV1160" s="901"/>
      <c r="BW1160" s="925"/>
      <c r="BX1160" s="926"/>
      <c r="BY1160" s="406"/>
      <c r="BZ1160" s="412"/>
      <c r="CA1160" s="390"/>
      <c r="CB1160" s="392"/>
      <c r="CC1160" s="392"/>
      <c r="CD1160" s="392"/>
      <c r="CE1160" s="392"/>
      <c r="CF1160" s="392"/>
      <c r="CG1160" s="392"/>
      <c r="CH1160" s="392"/>
      <c r="CI1160" s="392"/>
      <c r="CJ1160" s="898"/>
      <c r="CK1160" s="414"/>
      <c r="CL1160" s="408"/>
      <c r="CM1160" s="832"/>
      <c r="CN1160" s="333"/>
      <c r="CO1160" s="333"/>
      <c r="CP1160" s="333"/>
    </row>
    <row r="1161">
      <c r="B1161" s="462" t="s">
        <v>1832</v>
      </c>
      <c r="C1161" s="914">
        <v>44545.0</v>
      </c>
      <c r="D1161" s="318"/>
      <c r="E1161" s="319" t="s">
        <v>1523</v>
      </c>
      <c r="F1161" s="324" t="s">
        <v>1839</v>
      </c>
      <c r="G1161" s="321">
        <v>0.4045138888888889</v>
      </c>
      <c r="H1161" s="323">
        <v>0.4048611111111111</v>
      </c>
      <c r="I1161" s="323"/>
      <c r="J1161" s="323"/>
      <c r="K1161" s="323">
        <v>0.4059027777777778</v>
      </c>
      <c r="L1161" s="323">
        <v>0.0010416666666666667</v>
      </c>
      <c r="M1161" s="319" t="s">
        <v>166</v>
      </c>
      <c r="N1161" s="324" t="s">
        <v>188</v>
      </c>
      <c r="O1161" s="419" t="s">
        <v>378</v>
      </c>
      <c r="P1161" s="319" t="s">
        <v>225</v>
      </c>
      <c r="Q1161" s="318"/>
      <c r="R1161" s="326">
        <v>22.7</v>
      </c>
      <c r="S1161" s="319">
        <v>39.7</v>
      </c>
      <c r="T1161" s="324">
        <v>1.9</v>
      </c>
      <c r="U1161" s="319">
        <v>8.0</v>
      </c>
      <c r="V1161" s="319"/>
      <c r="W1161" s="319"/>
      <c r="X1161" s="319"/>
      <c r="Y1161" s="319"/>
      <c r="Z1161" s="319" t="s">
        <v>1140</v>
      </c>
      <c r="AA1161" s="319"/>
      <c r="AB1161" s="319" t="s">
        <v>407</v>
      </c>
      <c r="AC1161" s="327">
        <v>15.75</v>
      </c>
      <c r="AD1161" s="319"/>
      <c r="AE1161" s="319"/>
      <c r="AF1161" s="319"/>
      <c r="AG1161" s="319"/>
      <c r="AH1161" s="319"/>
      <c r="AI1161" s="319"/>
      <c r="AJ1161" s="327"/>
      <c r="AK1161" s="328"/>
      <c r="AL1161" s="319"/>
      <c r="AM1161" s="319"/>
      <c r="AN1161" s="319"/>
      <c r="AO1161" s="319"/>
      <c r="AP1161" s="319"/>
      <c r="AQ1161" s="319"/>
      <c r="AR1161" s="319"/>
      <c r="AS1161" s="327"/>
      <c r="AT1161" s="461" t="s">
        <v>182</v>
      </c>
      <c r="AU1161" s="324" t="s">
        <v>845</v>
      </c>
      <c r="AV1161" s="330">
        <f>SQRT(($R1161-Infrastructure!J$3)^2+($S1161-Infrastructure!K$3)^2)</f>
        <v>25.40944706</v>
      </c>
      <c r="AW1161" s="331">
        <f>SQRT(($R1161-Infrastructure!J$4)^2+($S1161-Infrastructure!K$4)^2)</f>
        <v>31.75862088</v>
      </c>
      <c r="AX1161" s="331">
        <f>SQRT(($R1161-Infrastructure!J$5)^2+($S1161-Infrastructure!K$5)^2)</f>
        <v>41.54708173</v>
      </c>
      <c r="AY1161" s="331">
        <f>SQRT(($R1161-Infrastructure!J$6)^2+($S1161-Infrastructure!K$6)^2)</f>
        <v>41.36568626</v>
      </c>
      <c r="AZ1161" s="331">
        <f>SQRT(($R1161-Infrastructure!J$7)^2+($S1161-Infrastructure!K$7)^2)</f>
        <v>39.46137352</v>
      </c>
      <c r="BA1161" s="331">
        <f>SQRT(($R1161-Infrastructure!J$8)^2+($S1161-Infrastructure!K$8)^2)</f>
        <v>40.08890121</v>
      </c>
      <c r="BB1161" s="331">
        <f>SQRT(($R1161-Infrastructure!J$9)^2+($S1161-Infrastructure!K$9)^2)</f>
        <v>38.68397601</v>
      </c>
      <c r="BC1161" s="331">
        <f>SQRT(($R1161-Infrastructure!J$10)^2+($S1161-Infrastructure!K$10)^2)</f>
        <v>30.15592811</v>
      </c>
      <c r="BD1161" s="331">
        <f>SQRT(($R1161-Infrastructure!J$11)^2+($S1161-Infrastructure!K$11)^2)</f>
        <v>20.51194774</v>
      </c>
      <c r="BE1161" s="333">
        <f>SQRT(($R1161-Infrastructure!J$12)^2+($S1161-Infrastructure!K$12)^2)</f>
        <v>15.84550409</v>
      </c>
      <c r="BF1161" s="330">
        <f t="shared" si="148"/>
        <v>15.84550409</v>
      </c>
      <c r="BG1161" s="333">
        <f t="shared" si="149"/>
        <v>41.54708173</v>
      </c>
      <c r="BH1161" s="943">
        <v>36526.0</v>
      </c>
      <c r="BI1161" s="462" t="s">
        <v>845</v>
      </c>
      <c r="BJ1161" s="319" t="s">
        <v>845</v>
      </c>
      <c r="BK1161" s="319" t="s">
        <v>845</v>
      </c>
      <c r="BL1161" s="319" t="s">
        <v>845</v>
      </c>
      <c r="BM1161" s="955" t="s">
        <v>845</v>
      </c>
      <c r="BN1161" s="319" t="s">
        <v>845</v>
      </c>
      <c r="BO1161" s="319" t="s">
        <v>845</v>
      </c>
      <c r="BP1161" s="953" t="s">
        <v>845</v>
      </c>
      <c r="BQ1161" s="319" t="s">
        <v>845</v>
      </c>
      <c r="BR1161" s="324" t="s">
        <v>845</v>
      </c>
      <c r="BS1161" s="330">
        <f t="shared" si="150"/>
        <v>0</v>
      </c>
      <c r="BT1161" s="331">
        <f t="shared" si="151"/>
        <v>0</v>
      </c>
      <c r="BU1161" s="920"/>
      <c r="BV1161" s="903"/>
      <c r="BW1161" s="907"/>
      <c r="BX1161" s="908"/>
      <c r="BY1161" s="331"/>
      <c r="BZ1161" s="340"/>
      <c r="CA1161" s="316"/>
      <c r="CB1161" s="318"/>
      <c r="CC1161" s="318"/>
      <c r="CD1161" s="318"/>
      <c r="CE1161" s="318"/>
      <c r="CF1161" s="318"/>
      <c r="CG1161" s="318"/>
      <c r="CH1161" s="318"/>
      <c r="CI1161" s="318"/>
      <c r="CJ1161" s="463"/>
      <c r="CK1161" s="342"/>
      <c r="CL1161" s="333"/>
      <c r="CM1161" s="829"/>
      <c r="CN1161" s="333"/>
      <c r="CO1161" s="333"/>
      <c r="CP1161" s="333"/>
    </row>
    <row r="1162">
      <c r="B1162" s="462" t="s">
        <v>1832</v>
      </c>
      <c r="C1162" s="914">
        <v>44545.0</v>
      </c>
      <c r="D1162" s="318"/>
      <c r="E1162" s="319" t="s">
        <v>1546</v>
      </c>
      <c r="F1162" s="324" t="s">
        <v>1840</v>
      </c>
      <c r="G1162" s="321">
        <v>0.40729166666666666</v>
      </c>
      <c r="H1162" s="323">
        <v>0.4076388888888889</v>
      </c>
      <c r="I1162" s="323"/>
      <c r="J1162" s="323"/>
      <c r="K1162" s="323">
        <v>0.40868055555555555</v>
      </c>
      <c r="L1162" s="323">
        <v>0.0010416666666666667</v>
      </c>
      <c r="M1162" s="319" t="s">
        <v>166</v>
      </c>
      <c r="N1162" s="324" t="s">
        <v>188</v>
      </c>
      <c r="O1162" s="419" t="s">
        <v>378</v>
      </c>
      <c r="P1162" s="319" t="s">
        <v>225</v>
      </c>
      <c r="Q1162" s="318"/>
      <c r="R1162" s="326">
        <v>22.7</v>
      </c>
      <c r="S1162" s="319">
        <v>39.7</v>
      </c>
      <c r="T1162" s="324">
        <v>1.9</v>
      </c>
      <c r="U1162" s="319">
        <v>6.0</v>
      </c>
      <c r="V1162" s="319"/>
      <c r="W1162" s="319"/>
      <c r="X1162" s="319"/>
      <c r="Y1162" s="319"/>
      <c r="Z1162" s="319" t="s">
        <v>1140</v>
      </c>
      <c r="AA1162" s="319"/>
      <c r="AB1162" s="319" t="s">
        <v>407</v>
      </c>
      <c r="AC1162" s="327">
        <v>15.75</v>
      </c>
      <c r="AD1162" s="319"/>
      <c r="AE1162" s="319"/>
      <c r="AF1162" s="319"/>
      <c r="AG1162" s="319"/>
      <c r="AH1162" s="319"/>
      <c r="AI1162" s="319"/>
      <c r="AJ1162" s="327"/>
      <c r="AK1162" s="328"/>
      <c r="AL1162" s="319"/>
      <c r="AM1162" s="319"/>
      <c r="AN1162" s="319"/>
      <c r="AO1162" s="319"/>
      <c r="AP1162" s="319"/>
      <c r="AQ1162" s="319"/>
      <c r="AR1162" s="319"/>
      <c r="AS1162" s="327"/>
      <c r="AT1162" s="461" t="s">
        <v>182</v>
      </c>
      <c r="AU1162" s="324" t="s">
        <v>845</v>
      </c>
      <c r="AV1162" s="330">
        <f>SQRT(($R1162-Infrastructure!J$3)^2+($S1162-Infrastructure!K$3)^2)</f>
        <v>25.40944706</v>
      </c>
      <c r="AW1162" s="331">
        <f>SQRT(($R1162-Infrastructure!J$4)^2+($S1162-Infrastructure!K$4)^2)</f>
        <v>31.75862088</v>
      </c>
      <c r="AX1162" s="331">
        <f>SQRT(($R1162-Infrastructure!J$5)^2+($S1162-Infrastructure!K$5)^2)</f>
        <v>41.54708173</v>
      </c>
      <c r="AY1162" s="331">
        <f>SQRT(($R1162-Infrastructure!J$6)^2+($S1162-Infrastructure!K$6)^2)</f>
        <v>41.36568626</v>
      </c>
      <c r="AZ1162" s="331">
        <f>SQRT(($R1162-Infrastructure!J$7)^2+($S1162-Infrastructure!K$7)^2)</f>
        <v>39.46137352</v>
      </c>
      <c r="BA1162" s="331">
        <f>SQRT(($R1162-Infrastructure!J$8)^2+($S1162-Infrastructure!K$8)^2)</f>
        <v>40.08890121</v>
      </c>
      <c r="BB1162" s="331">
        <f>SQRT(($R1162-Infrastructure!J$9)^2+($S1162-Infrastructure!K$9)^2)</f>
        <v>38.68397601</v>
      </c>
      <c r="BC1162" s="331">
        <f>SQRT(($R1162-Infrastructure!J$10)^2+($S1162-Infrastructure!K$10)^2)</f>
        <v>30.15592811</v>
      </c>
      <c r="BD1162" s="331">
        <f>SQRT(($R1162-Infrastructure!J$11)^2+($S1162-Infrastructure!K$11)^2)</f>
        <v>20.51194774</v>
      </c>
      <c r="BE1162" s="333">
        <f>SQRT(($R1162-Infrastructure!J$12)^2+($S1162-Infrastructure!K$12)^2)</f>
        <v>15.84550409</v>
      </c>
      <c r="BF1162" s="330">
        <f t="shared" si="148"/>
        <v>15.84550409</v>
      </c>
      <c r="BG1162" s="333">
        <f t="shared" si="149"/>
        <v>41.54708173</v>
      </c>
      <c r="BH1162" s="943">
        <v>36526.0</v>
      </c>
      <c r="BI1162" s="462" t="s">
        <v>845</v>
      </c>
      <c r="BJ1162" s="319" t="s">
        <v>845</v>
      </c>
      <c r="BK1162" s="319" t="s">
        <v>845</v>
      </c>
      <c r="BL1162" s="319" t="s">
        <v>845</v>
      </c>
      <c r="BM1162" s="955" t="s">
        <v>845</v>
      </c>
      <c r="BN1162" s="319" t="s">
        <v>845</v>
      </c>
      <c r="BO1162" s="319" t="s">
        <v>845</v>
      </c>
      <c r="BP1162" s="953" t="s">
        <v>845</v>
      </c>
      <c r="BQ1162" s="319" t="s">
        <v>845</v>
      </c>
      <c r="BR1162" s="324" t="s">
        <v>845</v>
      </c>
      <c r="BS1162" s="330">
        <f t="shared" si="150"/>
        <v>0</v>
      </c>
      <c r="BT1162" s="331">
        <f t="shared" si="151"/>
        <v>0</v>
      </c>
      <c r="BU1162" s="920"/>
      <c r="BV1162" s="903"/>
      <c r="BW1162" s="907"/>
      <c r="BX1162" s="908"/>
      <c r="BY1162" s="331"/>
      <c r="BZ1162" s="340"/>
      <c r="CA1162" s="316"/>
      <c r="CB1162" s="318"/>
      <c r="CC1162" s="318"/>
      <c r="CD1162" s="318"/>
      <c r="CE1162" s="318"/>
      <c r="CF1162" s="318"/>
      <c r="CG1162" s="318"/>
      <c r="CH1162" s="318"/>
      <c r="CI1162" s="318"/>
      <c r="CJ1162" s="463"/>
      <c r="CK1162" s="342"/>
      <c r="CL1162" s="333"/>
      <c r="CM1162" s="829"/>
      <c r="CN1162" s="333"/>
      <c r="CO1162" s="333"/>
      <c r="CP1162" s="333"/>
    </row>
    <row r="1163">
      <c r="B1163" s="462" t="s">
        <v>1832</v>
      </c>
      <c r="C1163" s="914">
        <v>44545.0</v>
      </c>
      <c r="D1163" s="318"/>
      <c r="E1163" s="319" t="s">
        <v>1550</v>
      </c>
      <c r="F1163" s="324" t="s">
        <v>1841</v>
      </c>
      <c r="G1163" s="321">
        <v>0.41006944444444443</v>
      </c>
      <c r="H1163" s="323">
        <v>0.41041666666666665</v>
      </c>
      <c r="I1163" s="323"/>
      <c r="J1163" s="323"/>
      <c r="K1163" s="323">
        <v>0.41151620370370373</v>
      </c>
      <c r="L1163" s="323">
        <v>0.001099537037037037</v>
      </c>
      <c r="M1163" s="319" t="s">
        <v>166</v>
      </c>
      <c r="N1163" s="324" t="s">
        <v>187</v>
      </c>
      <c r="O1163" s="419" t="s">
        <v>201</v>
      </c>
      <c r="P1163" s="319" t="s">
        <v>256</v>
      </c>
      <c r="Q1163" s="319" t="s">
        <v>1842</v>
      </c>
      <c r="R1163" s="326">
        <v>1.75</v>
      </c>
      <c r="S1163" s="319">
        <v>2.4</v>
      </c>
      <c r="T1163" s="324">
        <v>0.7</v>
      </c>
      <c r="U1163" s="319">
        <v>3.0</v>
      </c>
      <c r="V1163" s="319"/>
      <c r="W1163" s="319"/>
      <c r="X1163" s="319"/>
      <c r="Y1163" s="319"/>
      <c r="Z1163" s="319" t="s">
        <v>339</v>
      </c>
      <c r="AA1163" s="319"/>
      <c r="AB1163" s="319" t="s">
        <v>337</v>
      </c>
      <c r="AC1163" s="327">
        <v>2.5</v>
      </c>
      <c r="AD1163" s="319"/>
      <c r="AE1163" s="319"/>
      <c r="AF1163" s="319"/>
      <c r="AG1163" s="319"/>
      <c r="AH1163" s="319"/>
      <c r="AI1163" s="319"/>
      <c r="AJ1163" s="327"/>
      <c r="AK1163" s="328"/>
      <c r="AL1163" s="319"/>
      <c r="AM1163" s="319"/>
      <c r="AN1163" s="319"/>
      <c r="AO1163" s="319"/>
      <c r="AP1163" s="319"/>
      <c r="AQ1163" s="319"/>
      <c r="AR1163" s="319"/>
      <c r="AS1163" s="327"/>
      <c r="AT1163" s="461" t="s">
        <v>182</v>
      </c>
      <c r="AU1163" s="324" t="s">
        <v>845</v>
      </c>
      <c r="AV1163" s="330">
        <f>SQRT(($R1163-Infrastructure!J$3)^2+($S1163-Infrastructure!K$3)^2)</f>
        <v>26.57917418</v>
      </c>
      <c r="AW1163" s="331">
        <f>SQRT(($R1163-Infrastructure!J$4)^2+($S1163-Infrastructure!K$4)^2)</f>
        <v>15.53584565</v>
      </c>
      <c r="AX1163" s="331">
        <f>SQRT(($R1163-Infrastructure!J$5)^2+($S1163-Infrastructure!K$5)^2)</f>
        <v>3.390058997</v>
      </c>
      <c r="AY1163" s="331">
        <f>SQRT(($R1163-Infrastructure!J$6)^2+($S1163-Infrastructure!K$6)^2)</f>
        <v>8.610023229</v>
      </c>
      <c r="AZ1163" s="331">
        <f>SQRT(($R1163-Infrastructure!J$7)^2+($S1163-Infrastructure!K$7)^2)</f>
        <v>18.8672335</v>
      </c>
      <c r="BA1163" s="331">
        <f>SQRT(($R1163-Infrastructure!J$8)^2+($S1163-Infrastructure!K$8)^2)</f>
        <v>28.42767138</v>
      </c>
      <c r="BB1163" s="331">
        <f>SQRT(($R1163-Infrastructure!J$9)^2+($S1163-Infrastructure!K$9)^2)</f>
        <v>38.34517571</v>
      </c>
      <c r="BC1163" s="331">
        <f>SQRT(($R1163-Infrastructure!J$10)^2+($S1163-Infrastructure!K$10)^2)</f>
        <v>40.27185742</v>
      </c>
      <c r="BD1163" s="331">
        <f>SQRT(($R1163-Infrastructure!J$11)^2+($S1163-Infrastructure!K$11)^2)</f>
        <v>46.75427788</v>
      </c>
      <c r="BE1163" s="333">
        <f>SQRT(($R1163-Infrastructure!J$12)^2+($S1163-Infrastructure!K$12)^2)</f>
        <v>56.65397162</v>
      </c>
      <c r="BF1163" s="330">
        <f t="shared" si="148"/>
        <v>3.390058997</v>
      </c>
      <c r="BG1163" s="333">
        <f t="shared" si="149"/>
        <v>56.65397162</v>
      </c>
      <c r="BH1163" s="943">
        <v>36526.0</v>
      </c>
      <c r="BI1163" s="462" t="s">
        <v>845</v>
      </c>
      <c r="BJ1163" s="319" t="s">
        <v>845</v>
      </c>
      <c r="BK1163" s="319" t="s">
        <v>845</v>
      </c>
      <c r="BL1163" s="319" t="s">
        <v>845</v>
      </c>
      <c r="BM1163" s="955" t="s">
        <v>845</v>
      </c>
      <c r="BN1163" s="319" t="s">
        <v>845</v>
      </c>
      <c r="BO1163" s="319" t="s">
        <v>845</v>
      </c>
      <c r="BP1163" s="953" t="s">
        <v>845</v>
      </c>
      <c r="BQ1163" s="319" t="s">
        <v>845</v>
      </c>
      <c r="BR1163" s="324" t="s">
        <v>845</v>
      </c>
      <c r="BS1163" s="330">
        <f t="shared" si="150"/>
        <v>0</v>
      </c>
      <c r="BT1163" s="331">
        <f t="shared" si="151"/>
        <v>0</v>
      </c>
      <c r="BU1163" s="920"/>
      <c r="BV1163" s="903"/>
      <c r="BW1163" s="907"/>
      <c r="BX1163" s="908"/>
      <c r="BY1163" s="331"/>
      <c r="BZ1163" s="340"/>
      <c r="CA1163" s="316"/>
      <c r="CB1163" s="318"/>
      <c r="CC1163" s="318"/>
      <c r="CD1163" s="318"/>
      <c r="CE1163" s="318"/>
      <c r="CF1163" s="318"/>
      <c r="CG1163" s="318"/>
      <c r="CH1163" s="318"/>
      <c r="CI1163" s="318"/>
      <c r="CJ1163" s="463"/>
      <c r="CK1163" s="342"/>
      <c r="CL1163" s="333"/>
      <c r="CM1163" s="829"/>
      <c r="CN1163" s="333"/>
      <c r="CO1163" s="333"/>
      <c r="CP1163" s="333"/>
    </row>
    <row r="1164">
      <c r="B1164" s="462" t="s">
        <v>1832</v>
      </c>
      <c r="C1164" s="914">
        <v>44545.0</v>
      </c>
      <c r="D1164" s="318"/>
      <c r="E1164" s="319" t="s">
        <v>1470</v>
      </c>
      <c r="F1164" s="324" t="s">
        <v>1843</v>
      </c>
      <c r="G1164" s="321">
        <v>0.4126736111111111</v>
      </c>
      <c r="H1164" s="323">
        <v>0.4128472222222222</v>
      </c>
      <c r="I1164" s="323"/>
      <c r="J1164" s="323"/>
      <c r="K1164" s="323">
        <v>0.4144097222222222</v>
      </c>
      <c r="L1164" s="323">
        <v>0.0015625</v>
      </c>
      <c r="M1164" s="319" t="s">
        <v>166</v>
      </c>
      <c r="N1164" s="324" t="s">
        <v>187</v>
      </c>
      <c r="O1164" s="419" t="s">
        <v>201</v>
      </c>
      <c r="P1164" s="319" t="s">
        <v>256</v>
      </c>
      <c r="Q1164" s="319" t="s">
        <v>1842</v>
      </c>
      <c r="R1164" s="326">
        <v>5.0</v>
      </c>
      <c r="S1164" s="319">
        <v>2.4</v>
      </c>
      <c r="T1164" s="324">
        <v>0.7</v>
      </c>
      <c r="U1164" s="319">
        <v>3.0</v>
      </c>
      <c r="V1164" s="319"/>
      <c r="W1164" s="319"/>
      <c r="X1164" s="319"/>
      <c r="Y1164" s="319"/>
      <c r="Z1164" s="319" t="s">
        <v>339</v>
      </c>
      <c r="AA1164" s="319"/>
      <c r="AB1164" s="319" t="s">
        <v>337</v>
      </c>
      <c r="AC1164" s="327">
        <v>2.5</v>
      </c>
      <c r="AD1164" s="319"/>
      <c r="AE1164" s="319"/>
      <c r="AF1164" s="319"/>
      <c r="AG1164" s="319"/>
      <c r="AH1164" s="319"/>
      <c r="AI1164" s="319"/>
      <c r="AJ1164" s="327"/>
      <c r="AK1164" s="328"/>
      <c r="AL1164" s="319"/>
      <c r="AM1164" s="319"/>
      <c r="AN1164" s="319"/>
      <c r="AO1164" s="319"/>
      <c r="AP1164" s="319"/>
      <c r="AQ1164" s="319"/>
      <c r="AR1164" s="319"/>
      <c r="AS1164" s="327"/>
      <c r="AT1164" s="461" t="s">
        <v>182</v>
      </c>
      <c r="AU1164" s="324" t="s">
        <v>845</v>
      </c>
      <c r="AV1164" s="330">
        <f>SQRT(($R1164-Infrastructure!J$3)^2+($S1164-Infrastructure!K$3)^2)</f>
        <v>27.02480342</v>
      </c>
      <c r="AW1164" s="331">
        <f>SQRT(($R1164-Infrastructure!J$4)^2+($S1164-Infrastructure!K$4)^2)</f>
        <v>16.28649747</v>
      </c>
      <c r="AX1164" s="331">
        <f>SQRT(($R1164-Infrastructure!J$5)^2+($S1164-Infrastructure!K$5)^2)</f>
        <v>5.948108943</v>
      </c>
      <c r="AY1164" s="331">
        <f>SQRT(($R1164-Infrastructure!J$6)^2+($S1164-Infrastructure!K$6)^2)</f>
        <v>5.515432893</v>
      </c>
      <c r="AZ1164" s="331">
        <f>SQRT(($R1164-Infrastructure!J$7)^2+($S1164-Infrastructure!K$7)^2)</f>
        <v>15.64161117</v>
      </c>
      <c r="BA1164" s="331">
        <f>SQRT(($R1164-Infrastructure!J$8)^2+($S1164-Infrastructure!K$8)^2)</f>
        <v>25.18769541</v>
      </c>
      <c r="BB1164" s="331">
        <f>SQRT(($R1164-Infrastructure!J$9)^2+($S1164-Infrastructure!K$9)^2)</f>
        <v>35.10398838</v>
      </c>
      <c r="BC1164" s="331">
        <f>SQRT(($R1164-Infrastructure!J$10)^2+($S1164-Infrastructure!K$10)^2)</f>
        <v>37.19892472</v>
      </c>
      <c r="BD1164" s="331">
        <f>SQRT(($R1164-Infrastructure!J$11)^2+($S1164-Infrastructure!K$11)^2)</f>
        <v>44.12029012</v>
      </c>
      <c r="BE1164" s="333">
        <f>SQRT(($R1164-Infrastructure!J$12)^2+($S1164-Infrastructure!K$12)^2)</f>
        <v>55.60449622</v>
      </c>
      <c r="BF1164" s="330">
        <f t="shared" si="148"/>
        <v>5.515432893</v>
      </c>
      <c r="BG1164" s="333">
        <f t="shared" si="149"/>
        <v>55.60449622</v>
      </c>
      <c r="BH1164" s="943">
        <v>36526.0</v>
      </c>
      <c r="BI1164" s="462" t="s">
        <v>845</v>
      </c>
      <c r="BJ1164" s="319" t="s">
        <v>845</v>
      </c>
      <c r="BK1164" s="319" t="s">
        <v>845</v>
      </c>
      <c r="BL1164" s="319" t="s">
        <v>845</v>
      </c>
      <c r="BM1164" s="955" t="s">
        <v>845</v>
      </c>
      <c r="BN1164" s="319" t="s">
        <v>845</v>
      </c>
      <c r="BO1164" s="319" t="s">
        <v>845</v>
      </c>
      <c r="BP1164" s="953" t="s">
        <v>845</v>
      </c>
      <c r="BQ1164" s="319" t="s">
        <v>845</v>
      </c>
      <c r="BR1164" s="324" t="s">
        <v>845</v>
      </c>
      <c r="BS1164" s="330">
        <f t="shared" si="150"/>
        <v>0</v>
      </c>
      <c r="BT1164" s="331">
        <f t="shared" si="151"/>
        <v>0</v>
      </c>
      <c r="BU1164" s="920"/>
      <c r="BV1164" s="903"/>
      <c r="BW1164" s="907"/>
      <c r="BX1164" s="908"/>
      <c r="BY1164" s="331"/>
      <c r="BZ1164" s="340"/>
      <c r="CA1164" s="316"/>
      <c r="CB1164" s="318"/>
      <c r="CC1164" s="318"/>
      <c r="CD1164" s="318"/>
      <c r="CE1164" s="318"/>
      <c r="CF1164" s="318"/>
      <c r="CG1164" s="318"/>
      <c r="CH1164" s="318"/>
      <c r="CI1164" s="318"/>
      <c r="CJ1164" s="463"/>
      <c r="CK1164" s="342"/>
      <c r="CL1164" s="333"/>
      <c r="CM1164" s="829"/>
      <c r="CN1164" s="333"/>
      <c r="CO1164" s="333"/>
      <c r="CP1164" s="333"/>
    </row>
    <row r="1165">
      <c r="B1165" s="462" t="s">
        <v>1832</v>
      </c>
      <c r="C1165" s="914">
        <v>44545.0</v>
      </c>
      <c r="D1165" s="318"/>
      <c r="E1165" s="319" t="s">
        <v>1844</v>
      </c>
      <c r="F1165" s="324" t="s">
        <v>1845</v>
      </c>
      <c r="G1165" s="321">
        <v>0.4201388888888889</v>
      </c>
      <c r="H1165" s="323">
        <v>0.4204861111111111</v>
      </c>
      <c r="I1165" s="323"/>
      <c r="J1165" s="323"/>
      <c r="K1165" s="323">
        <v>0.4215277777777778</v>
      </c>
      <c r="L1165" s="323">
        <v>0.0010416666666666667</v>
      </c>
      <c r="M1165" s="319" t="s">
        <v>166</v>
      </c>
      <c r="N1165" s="324" t="s">
        <v>187</v>
      </c>
      <c r="O1165" s="419" t="s">
        <v>200</v>
      </c>
      <c r="P1165" s="319" t="s">
        <v>256</v>
      </c>
      <c r="Q1165" s="319" t="s">
        <v>1846</v>
      </c>
      <c r="R1165" s="326">
        <v>1.75</v>
      </c>
      <c r="S1165" s="319">
        <v>17.7</v>
      </c>
      <c r="T1165" s="324">
        <v>0.7</v>
      </c>
      <c r="U1165" s="319">
        <v>3.0</v>
      </c>
      <c r="V1165" s="319"/>
      <c r="W1165" s="319"/>
      <c r="X1165" s="319"/>
      <c r="Y1165" s="319"/>
      <c r="Z1165" s="319" t="s">
        <v>318</v>
      </c>
      <c r="AA1165" s="319"/>
      <c r="AB1165" s="319" t="s">
        <v>337</v>
      </c>
      <c r="AC1165" s="327">
        <v>2.5</v>
      </c>
      <c r="AD1165" s="319"/>
      <c r="AE1165" s="319"/>
      <c r="AF1165" s="319"/>
      <c r="AG1165" s="319"/>
      <c r="AH1165" s="319"/>
      <c r="AI1165" s="319"/>
      <c r="AJ1165" s="327"/>
      <c r="AK1165" s="328"/>
      <c r="AL1165" s="319"/>
      <c r="AM1165" s="319"/>
      <c r="AN1165" s="319"/>
      <c r="AO1165" s="319"/>
      <c r="AP1165" s="319"/>
      <c r="AQ1165" s="319"/>
      <c r="AR1165" s="319"/>
      <c r="AS1165" s="327"/>
      <c r="AT1165" s="461" t="s">
        <v>182</v>
      </c>
      <c r="AU1165" s="324" t="s">
        <v>845</v>
      </c>
      <c r="AV1165" s="330">
        <f>SQRT(($R1165-Infrastructure!J$3)^2+($S1165-Infrastructure!K$3)^2)</f>
        <v>11.38606605</v>
      </c>
      <c r="AW1165" s="331">
        <f>SQRT(($R1165-Infrastructure!J$4)^2+($S1165-Infrastructure!K$4)^2)</f>
        <v>2.052437575</v>
      </c>
      <c r="AX1165" s="331">
        <f>SQRT(($R1165-Infrastructure!J$5)^2+($S1165-Infrastructure!K$5)^2)</f>
        <v>12.76567664</v>
      </c>
      <c r="AY1165" s="331">
        <f>SQRT(($R1165-Infrastructure!J$6)^2+($S1165-Infrastructure!K$6)^2)</f>
        <v>19.2998057</v>
      </c>
      <c r="AZ1165" s="331">
        <f>SQRT(($R1165-Infrastructure!J$7)^2+($S1165-Infrastructure!K$7)^2)</f>
        <v>25.5797283</v>
      </c>
      <c r="BA1165" s="331">
        <f>SQRT(($R1165-Infrastructure!J$8)^2+($S1165-Infrastructure!K$8)^2)</f>
        <v>33.26383171</v>
      </c>
      <c r="BB1165" s="331">
        <f>SQRT(($R1165-Infrastructure!J$9)^2+($S1165-Infrastructure!K$9)^2)</f>
        <v>40.27185742</v>
      </c>
      <c r="BC1165" s="331">
        <f>SQRT(($R1165-Infrastructure!J$10)^2+($S1165-Infrastructure!K$10)^2)</f>
        <v>38.34517571</v>
      </c>
      <c r="BD1165" s="331">
        <f>SQRT(($R1165-Infrastructure!J$11)^2+($S1165-Infrastructure!K$11)^2)</f>
        <v>40.07608389</v>
      </c>
      <c r="BE1165" s="333">
        <f>SQRT(($R1165-Infrastructure!J$12)^2+($S1165-Infrastructure!K$12)^2)</f>
        <v>42.64859318</v>
      </c>
      <c r="BF1165" s="330">
        <f t="shared" si="148"/>
        <v>2.052437575</v>
      </c>
      <c r="BG1165" s="333">
        <f t="shared" si="149"/>
        <v>42.64859318</v>
      </c>
      <c r="BH1165" s="943">
        <v>36526.0</v>
      </c>
      <c r="BI1165" s="462" t="s">
        <v>845</v>
      </c>
      <c r="BJ1165" s="319" t="s">
        <v>845</v>
      </c>
      <c r="BK1165" s="319" t="s">
        <v>845</v>
      </c>
      <c r="BL1165" s="319" t="s">
        <v>845</v>
      </c>
      <c r="BM1165" s="955" t="s">
        <v>845</v>
      </c>
      <c r="BN1165" s="319" t="s">
        <v>845</v>
      </c>
      <c r="BO1165" s="319" t="s">
        <v>845</v>
      </c>
      <c r="BP1165" s="953" t="s">
        <v>845</v>
      </c>
      <c r="BQ1165" s="319" t="s">
        <v>845</v>
      </c>
      <c r="BR1165" s="324" t="s">
        <v>845</v>
      </c>
      <c r="BS1165" s="330">
        <f t="shared" si="150"/>
        <v>0</v>
      </c>
      <c r="BT1165" s="331">
        <f t="shared" si="151"/>
        <v>0</v>
      </c>
      <c r="BU1165" s="920"/>
      <c r="BV1165" s="903"/>
      <c r="BW1165" s="907"/>
      <c r="BX1165" s="908"/>
      <c r="BY1165" s="331"/>
      <c r="BZ1165" s="340"/>
      <c r="CA1165" s="316"/>
      <c r="CB1165" s="318"/>
      <c r="CC1165" s="318"/>
      <c r="CD1165" s="318"/>
      <c r="CE1165" s="318"/>
      <c r="CF1165" s="318"/>
      <c r="CG1165" s="318"/>
      <c r="CH1165" s="318"/>
      <c r="CI1165" s="318"/>
      <c r="CJ1165" s="463"/>
      <c r="CK1165" s="342"/>
      <c r="CL1165" s="333"/>
      <c r="CM1165" s="829"/>
      <c r="CN1165" s="333"/>
      <c r="CO1165" s="333"/>
      <c r="CP1165" s="333"/>
    </row>
    <row r="1166">
      <c r="B1166" s="462" t="s">
        <v>1832</v>
      </c>
      <c r="C1166" s="914">
        <v>44545.0</v>
      </c>
      <c r="D1166" s="318"/>
      <c r="E1166" s="319" t="s">
        <v>1481</v>
      </c>
      <c r="F1166" s="324" t="s">
        <v>1847</v>
      </c>
      <c r="G1166" s="321">
        <v>0.4240162037037037</v>
      </c>
      <c r="H1166" s="323">
        <v>0.42430555555555555</v>
      </c>
      <c r="I1166" s="323"/>
      <c r="J1166" s="323"/>
      <c r="K1166" s="323">
        <v>0.425</v>
      </c>
      <c r="L1166" s="323">
        <v>6.944444444444445E-4</v>
      </c>
      <c r="M1166" s="319" t="s">
        <v>166</v>
      </c>
      <c r="N1166" s="324" t="s">
        <v>187</v>
      </c>
      <c r="O1166" s="419" t="s">
        <v>200</v>
      </c>
      <c r="P1166" s="319" t="s">
        <v>256</v>
      </c>
      <c r="Q1166" s="319" t="s">
        <v>1846</v>
      </c>
      <c r="R1166" s="326">
        <v>5.0</v>
      </c>
      <c r="S1166" s="319">
        <v>17.7</v>
      </c>
      <c r="T1166" s="324">
        <v>0.7</v>
      </c>
      <c r="U1166" s="319">
        <v>3.0</v>
      </c>
      <c r="V1166" s="319"/>
      <c r="W1166" s="319"/>
      <c r="X1166" s="319"/>
      <c r="Y1166" s="319"/>
      <c r="Z1166" s="319" t="s">
        <v>318</v>
      </c>
      <c r="AA1166" s="319"/>
      <c r="AB1166" s="319" t="s">
        <v>337</v>
      </c>
      <c r="AC1166" s="327">
        <v>2.5</v>
      </c>
      <c r="AD1166" s="319"/>
      <c r="AE1166" s="319"/>
      <c r="AF1166" s="319"/>
      <c r="AG1166" s="319"/>
      <c r="AH1166" s="319"/>
      <c r="AI1166" s="319"/>
      <c r="AJ1166" s="327"/>
      <c r="AK1166" s="328"/>
      <c r="AL1166" s="319"/>
      <c r="AM1166" s="319"/>
      <c r="AN1166" s="319"/>
      <c r="AO1166" s="319"/>
      <c r="AP1166" s="319"/>
      <c r="AQ1166" s="319"/>
      <c r="AR1166" s="319"/>
      <c r="AS1166" s="327"/>
      <c r="AT1166" s="461" t="s">
        <v>182</v>
      </c>
      <c r="AU1166" s="324" t="s">
        <v>845</v>
      </c>
      <c r="AV1166" s="330">
        <f>SQRT(($R1166-Infrastructure!J$3)^2+($S1166-Infrastructure!K$3)^2)</f>
        <v>12.39072234</v>
      </c>
      <c r="AW1166" s="331">
        <f>SQRT(($R1166-Infrastructure!J$4)^2+($S1166-Infrastructure!K$4)^2)</f>
        <v>5.300943312</v>
      </c>
      <c r="AX1166" s="331">
        <f>SQRT(($R1166-Infrastructure!J$5)^2+($S1166-Infrastructure!K$5)^2)</f>
        <v>13.66930869</v>
      </c>
      <c r="AY1166" s="331">
        <f>SQRT(($R1166-Infrastructure!J$6)^2+($S1166-Infrastructure!K$6)^2)</f>
        <v>18.13201588</v>
      </c>
      <c r="AZ1166" s="331">
        <f>SQRT(($R1166-Infrastructure!J$7)^2+($S1166-Infrastructure!K$7)^2)</f>
        <v>23.30257497</v>
      </c>
      <c r="BA1166" s="331">
        <f>SQRT(($R1166-Infrastructure!J$8)^2+($S1166-Infrastructure!K$8)^2)</f>
        <v>30.54128354</v>
      </c>
      <c r="BB1166" s="331">
        <f>SQRT(($R1166-Infrastructure!J$9)^2+($S1166-Infrastructure!K$9)^2)</f>
        <v>37.19892472</v>
      </c>
      <c r="BC1166" s="331">
        <f>SQRT(($R1166-Infrastructure!J$10)^2+($S1166-Infrastructure!K$10)^2)</f>
        <v>35.10398838</v>
      </c>
      <c r="BD1166" s="331">
        <f>SQRT(($R1166-Infrastructure!J$11)^2+($S1166-Infrastructure!K$11)^2)</f>
        <v>36.9693116</v>
      </c>
      <c r="BE1166" s="333">
        <f>SQRT(($R1166-Infrastructure!J$12)^2+($S1166-Infrastructure!K$12)^2)</f>
        <v>41.24427233</v>
      </c>
      <c r="BF1166" s="330">
        <f t="shared" si="148"/>
        <v>5.300943312</v>
      </c>
      <c r="BG1166" s="333">
        <f t="shared" si="149"/>
        <v>41.24427233</v>
      </c>
      <c r="BH1166" s="943">
        <v>36526.0</v>
      </c>
      <c r="BI1166" s="462" t="s">
        <v>845</v>
      </c>
      <c r="BJ1166" s="319" t="s">
        <v>845</v>
      </c>
      <c r="BK1166" s="319" t="s">
        <v>845</v>
      </c>
      <c r="BL1166" s="319" t="s">
        <v>845</v>
      </c>
      <c r="BM1166" s="955" t="s">
        <v>845</v>
      </c>
      <c r="BN1166" s="319" t="s">
        <v>845</v>
      </c>
      <c r="BO1166" s="319" t="s">
        <v>845</v>
      </c>
      <c r="BP1166" s="953" t="s">
        <v>845</v>
      </c>
      <c r="BQ1166" s="319" t="s">
        <v>845</v>
      </c>
      <c r="BR1166" s="324" t="s">
        <v>845</v>
      </c>
      <c r="BS1166" s="330">
        <f t="shared" si="150"/>
        <v>0</v>
      </c>
      <c r="BT1166" s="331">
        <f t="shared" si="151"/>
        <v>0</v>
      </c>
      <c r="BU1166" s="920"/>
      <c r="BV1166" s="903"/>
      <c r="BW1166" s="907"/>
      <c r="BX1166" s="908"/>
      <c r="BY1166" s="331"/>
      <c r="BZ1166" s="340"/>
      <c r="CA1166" s="316"/>
      <c r="CB1166" s="318"/>
      <c r="CC1166" s="318"/>
      <c r="CD1166" s="318"/>
      <c r="CE1166" s="318"/>
      <c r="CF1166" s="318"/>
      <c r="CG1166" s="318"/>
      <c r="CH1166" s="318"/>
      <c r="CI1166" s="318"/>
      <c r="CJ1166" s="463"/>
      <c r="CK1166" s="342"/>
      <c r="CL1166" s="333"/>
      <c r="CM1166" s="829"/>
      <c r="CN1166" s="333"/>
      <c r="CO1166" s="333"/>
      <c r="CP1166" s="333"/>
    </row>
    <row r="1167">
      <c r="B1167" s="462" t="s">
        <v>1832</v>
      </c>
      <c r="C1167" s="914">
        <v>44545.0</v>
      </c>
      <c r="D1167" s="318"/>
      <c r="E1167" s="319" t="s">
        <v>1267</v>
      </c>
      <c r="F1167" s="324" t="s">
        <v>1848</v>
      </c>
      <c r="G1167" s="321">
        <v>0.42887731481481484</v>
      </c>
      <c r="H1167" s="323">
        <v>0.42916666666666664</v>
      </c>
      <c r="I1167" s="323"/>
      <c r="J1167" s="323"/>
      <c r="K1167" s="323">
        <v>0.43020833333333336</v>
      </c>
      <c r="L1167" s="323">
        <v>0.0010416666666666667</v>
      </c>
      <c r="M1167" s="319" t="s">
        <v>166</v>
      </c>
      <c r="N1167" s="324" t="s">
        <v>187</v>
      </c>
      <c r="O1167" s="419" t="s">
        <v>201</v>
      </c>
      <c r="P1167" s="319" t="s">
        <v>256</v>
      </c>
      <c r="Q1167" s="319" t="s">
        <v>1842</v>
      </c>
      <c r="R1167" s="326">
        <v>1.75</v>
      </c>
      <c r="S1167" s="319">
        <v>5.0</v>
      </c>
      <c r="T1167" s="324">
        <v>0.7</v>
      </c>
      <c r="U1167" s="319">
        <v>3.0</v>
      </c>
      <c r="V1167" s="319"/>
      <c r="W1167" s="319"/>
      <c r="X1167" s="319"/>
      <c r="Y1167" s="319"/>
      <c r="Z1167" s="319" t="s">
        <v>339</v>
      </c>
      <c r="AA1167" s="319"/>
      <c r="AB1167" s="319" t="s">
        <v>337</v>
      </c>
      <c r="AC1167" s="327">
        <v>2.5</v>
      </c>
      <c r="AD1167" s="319"/>
      <c r="AE1167" s="319"/>
      <c r="AF1167" s="319"/>
      <c r="AG1167" s="319"/>
      <c r="AH1167" s="319"/>
      <c r="AI1167" s="319"/>
      <c r="AJ1167" s="327"/>
      <c r="AK1167" s="328"/>
      <c r="AL1167" s="319"/>
      <c r="AM1167" s="319"/>
      <c r="AN1167" s="319"/>
      <c r="AO1167" s="319"/>
      <c r="AP1167" s="319"/>
      <c r="AQ1167" s="319"/>
      <c r="AR1167" s="319"/>
      <c r="AS1167" s="327"/>
      <c r="AT1167" s="461" t="s">
        <v>182</v>
      </c>
      <c r="AU1167" s="324" t="s">
        <v>845</v>
      </c>
      <c r="AV1167" s="330">
        <f>SQRT(($R1167-Infrastructure!J$3)^2+($S1167-Infrastructure!K$3)^2)</f>
        <v>23.98775729</v>
      </c>
      <c r="AW1167" s="331">
        <f>SQRT(($R1167-Infrastructure!J$4)^2+($S1167-Infrastructure!K$4)^2)</f>
        <v>12.96312077</v>
      </c>
      <c r="AX1167" s="331">
        <f>SQRT(($R1167-Infrastructure!J$5)^2+($S1167-Infrastructure!K$5)^2)</f>
        <v>2.052437575</v>
      </c>
      <c r="AY1167" s="331">
        <f>SQRT(($R1167-Infrastructure!J$6)^2+($S1167-Infrastructure!K$6)^2)</f>
        <v>9.581883948</v>
      </c>
      <c r="AZ1167" s="331">
        <f>SQRT(($R1167-Infrastructure!J$7)^2+($S1167-Infrastructure!K$7)^2)</f>
        <v>19.33009312</v>
      </c>
      <c r="BA1167" s="331">
        <f>SQRT(($R1167-Infrastructure!J$8)^2+($S1167-Infrastructure!K$8)^2)</f>
        <v>28.73695356</v>
      </c>
      <c r="BB1167" s="331">
        <f>SQRT(($R1167-Infrastructure!J$9)^2+($S1167-Infrastructure!K$9)^2)</f>
        <v>38.25013072</v>
      </c>
      <c r="BC1167" s="331">
        <f>SQRT(($R1167-Infrastructure!J$10)^2+($S1167-Infrastructure!K$10)^2)</f>
        <v>39.53558524</v>
      </c>
      <c r="BD1167" s="331">
        <f>SQRT(($R1167-Infrastructure!J$11)^2+($S1167-Infrastructure!K$11)^2)</f>
        <v>45.3255171</v>
      </c>
      <c r="BE1167" s="333">
        <f>SQRT(($R1167-Infrastructure!J$12)^2+($S1167-Infrastructure!K$12)^2)</f>
        <v>54.22464845</v>
      </c>
      <c r="BF1167" s="330">
        <f t="shared" si="148"/>
        <v>2.052437575</v>
      </c>
      <c r="BG1167" s="333">
        <f t="shared" si="149"/>
        <v>54.22464845</v>
      </c>
      <c r="BH1167" s="943">
        <v>36526.0</v>
      </c>
      <c r="BI1167" s="462" t="s">
        <v>845</v>
      </c>
      <c r="BJ1167" s="319" t="s">
        <v>845</v>
      </c>
      <c r="BK1167" s="319" t="s">
        <v>845</v>
      </c>
      <c r="BL1167" s="319" t="s">
        <v>845</v>
      </c>
      <c r="BM1167" s="955" t="s">
        <v>845</v>
      </c>
      <c r="BN1167" s="319" t="s">
        <v>845</v>
      </c>
      <c r="BO1167" s="319" t="s">
        <v>845</v>
      </c>
      <c r="BP1167" s="953" t="s">
        <v>845</v>
      </c>
      <c r="BQ1167" s="319" t="s">
        <v>845</v>
      </c>
      <c r="BR1167" s="324" t="s">
        <v>845</v>
      </c>
      <c r="BS1167" s="330">
        <f t="shared" si="150"/>
        <v>0</v>
      </c>
      <c r="BT1167" s="331">
        <f t="shared" si="151"/>
        <v>0</v>
      </c>
      <c r="BU1167" s="920"/>
      <c r="BV1167" s="903"/>
      <c r="BW1167" s="907"/>
      <c r="BX1167" s="908"/>
      <c r="BY1167" s="331"/>
      <c r="BZ1167" s="340"/>
      <c r="CA1167" s="316"/>
      <c r="CB1167" s="318"/>
      <c r="CC1167" s="318"/>
      <c r="CD1167" s="318"/>
      <c r="CE1167" s="318"/>
      <c r="CF1167" s="318"/>
      <c r="CG1167" s="318"/>
      <c r="CH1167" s="318"/>
      <c r="CI1167" s="318"/>
      <c r="CJ1167" s="463"/>
      <c r="CK1167" s="342"/>
      <c r="CL1167" s="333"/>
      <c r="CM1167" s="829"/>
      <c r="CN1167" s="333"/>
      <c r="CO1167" s="333"/>
      <c r="CP1167" s="333"/>
    </row>
    <row r="1168">
      <c r="B1168" s="462" t="s">
        <v>1832</v>
      </c>
      <c r="C1168" s="914">
        <v>44545.0</v>
      </c>
      <c r="D1168" s="318"/>
      <c r="E1168" s="319" t="s">
        <v>1488</v>
      </c>
      <c r="F1168" s="324" t="s">
        <v>1849</v>
      </c>
      <c r="G1168" s="321">
        <v>0.43125</v>
      </c>
      <c r="H1168" s="323">
        <v>0.43159722222222224</v>
      </c>
      <c r="I1168" s="323"/>
      <c r="J1168" s="323"/>
      <c r="K1168" s="323">
        <v>0.43275462962962963</v>
      </c>
      <c r="L1168" s="323">
        <v>0.0011574074074074073</v>
      </c>
      <c r="M1168" s="319" t="s">
        <v>166</v>
      </c>
      <c r="N1168" s="324" t="s">
        <v>187</v>
      </c>
      <c r="O1168" s="419" t="s">
        <v>201</v>
      </c>
      <c r="P1168" s="319" t="s">
        <v>256</v>
      </c>
      <c r="Q1168" s="319" t="s">
        <v>1842</v>
      </c>
      <c r="R1168" s="326">
        <v>5.0</v>
      </c>
      <c r="S1168" s="319">
        <v>5.0</v>
      </c>
      <c r="T1168" s="324">
        <v>0.7</v>
      </c>
      <c r="U1168" s="319">
        <v>3.0</v>
      </c>
      <c r="V1168" s="319"/>
      <c r="W1168" s="319"/>
      <c r="X1168" s="319"/>
      <c r="Y1168" s="319"/>
      <c r="Z1168" s="319" t="s">
        <v>339</v>
      </c>
      <c r="AA1168" s="319"/>
      <c r="AB1168" s="319" t="s">
        <v>337</v>
      </c>
      <c r="AC1168" s="327">
        <v>2.5</v>
      </c>
      <c r="AD1168" s="319"/>
      <c r="AE1168" s="319"/>
      <c r="AF1168" s="319"/>
      <c r="AG1168" s="319"/>
      <c r="AH1168" s="319"/>
      <c r="AI1168" s="319"/>
      <c r="AJ1168" s="327"/>
      <c r="AK1168" s="328"/>
      <c r="AL1168" s="319"/>
      <c r="AM1168" s="319"/>
      <c r="AN1168" s="319"/>
      <c r="AO1168" s="319"/>
      <c r="AP1168" s="319"/>
      <c r="AQ1168" s="319"/>
      <c r="AR1168" s="319"/>
      <c r="AS1168" s="327"/>
      <c r="AT1168" s="461" t="s">
        <v>182</v>
      </c>
      <c r="AU1168" s="324" t="s">
        <v>845</v>
      </c>
      <c r="AV1168" s="330">
        <f>SQRT(($R1168-Infrastructure!J$3)^2+($S1168-Infrastructure!K$3)^2)</f>
        <v>24.48060457</v>
      </c>
      <c r="AW1168" s="331">
        <f>SQRT(($R1168-Infrastructure!J$4)^2+($S1168-Infrastructure!K$4)^2)</f>
        <v>13.85388032</v>
      </c>
      <c r="AX1168" s="331">
        <f>SQRT(($R1168-Infrastructure!J$5)^2+($S1168-Infrastructure!K$5)^2)</f>
        <v>5.300943312</v>
      </c>
      <c r="AY1168" s="331">
        <f>SQRT(($R1168-Infrastructure!J$6)^2+($S1168-Infrastructure!K$6)^2)</f>
        <v>6.935416354</v>
      </c>
      <c r="AZ1168" s="331">
        <f>SQRT(($R1168-Infrastructure!J$7)^2+($S1168-Infrastructure!K$7)^2)</f>
        <v>16.19691329</v>
      </c>
      <c r="BA1168" s="331">
        <f>SQRT(($R1168-Infrastructure!J$8)^2+($S1168-Infrastructure!K$8)^2)</f>
        <v>25.53624875</v>
      </c>
      <c r="BB1168" s="331">
        <f>SQRT(($R1168-Infrastructure!J$9)^2+($S1168-Infrastructure!K$9)^2)</f>
        <v>35.00014286</v>
      </c>
      <c r="BC1168" s="331">
        <f>SQRT(($R1168-Infrastructure!J$10)^2+($S1168-Infrastructure!K$10)^2)</f>
        <v>36.40054945</v>
      </c>
      <c r="BD1168" s="331">
        <f>SQRT(($R1168-Infrastructure!J$11)^2+($S1168-Infrastructure!K$11)^2)</f>
        <v>42.60328626</v>
      </c>
      <c r="BE1168" s="333">
        <f>SQRT(($R1168-Infrastructure!J$12)^2+($S1168-Infrastructure!K$12)^2)</f>
        <v>53.12720584</v>
      </c>
      <c r="BF1168" s="330">
        <f t="shared" si="148"/>
        <v>5.300943312</v>
      </c>
      <c r="BG1168" s="333">
        <f t="shared" si="149"/>
        <v>53.12720584</v>
      </c>
      <c r="BH1168" s="943">
        <v>36526.0</v>
      </c>
      <c r="BI1168" s="462" t="s">
        <v>845</v>
      </c>
      <c r="BJ1168" s="319" t="s">
        <v>845</v>
      </c>
      <c r="BK1168" s="319" t="s">
        <v>845</v>
      </c>
      <c r="BL1168" s="319" t="s">
        <v>845</v>
      </c>
      <c r="BM1168" s="955" t="s">
        <v>845</v>
      </c>
      <c r="BN1168" s="319" t="s">
        <v>845</v>
      </c>
      <c r="BO1168" s="319" t="s">
        <v>845</v>
      </c>
      <c r="BP1168" s="953" t="s">
        <v>845</v>
      </c>
      <c r="BQ1168" s="319" t="s">
        <v>845</v>
      </c>
      <c r="BR1168" s="324" t="s">
        <v>845</v>
      </c>
      <c r="BS1168" s="330">
        <f t="shared" si="150"/>
        <v>0</v>
      </c>
      <c r="BT1168" s="331">
        <f t="shared" si="151"/>
        <v>0</v>
      </c>
      <c r="BU1168" s="920"/>
      <c r="BV1168" s="903"/>
      <c r="BW1168" s="907"/>
      <c r="BX1168" s="908"/>
      <c r="BY1168" s="331"/>
      <c r="BZ1168" s="340"/>
      <c r="CA1168" s="316"/>
      <c r="CB1168" s="318"/>
      <c r="CC1168" s="318"/>
      <c r="CD1168" s="318"/>
      <c r="CE1168" s="318"/>
      <c r="CF1168" s="318"/>
      <c r="CG1168" s="318"/>
      <c r="CH1168" s="318"/>
      <c r="CI1168" s="318"/>
      <c r="CJ1168" s="463"/>
      <c r="CK1168" s="342"/>
      <c r="CL1168" s="333"/>
      <c r="CM1168" s="829"/>
      <c r="CN1168" s="333"/>
      <c r="CO1168" s="333"/>
      <c r="CP1168" s="333"/>
    </row>
    <row r="1169">
      <c r="B1169" s="462" t="s">
        <v>1832</v>
      </c>
      <c r="C1169" s="914">
        <v>44545.0</v>
      </c>
      <c r="D1169" s="318"/>
      <c r="E1169" s="319" t="s">
        <v>1494</v>
      </c>
      <c r="F1169" s="324" t="s">
        <v>1850</v>
      </c>
      <c r="G1169" s="321">
        <v>0.4345486111111111</v>
      </c>
      <c r="H1169" s="323">
        <v>0.4348958333333333</v>
      </c>
      <c r="I1169" s="323"/>
      <c r="J1169" s="323"/>
      <c r="K1169" s="323">
        <v>0.4359375</v>
      </c>
      <c r="L1169" s="323">
        <v>0.0010416666666666667</v>
      </c>
      <c r="M1169" s="319" t="s">
        <v>166</v>
      </c>
      <c r="N1169" s="324" t="s">
        <v>187</v>
      </c>
      <c r="O1169" s="419" t="s">
        <v>203</v>
      </c>
      <c r="P1169" s="319" t="s">
        <v>250</v>
      </c>
      <c r="Q1169" s="318"/>
      <c r="R1169" s="326">
        <v>15.1</v>
      </c>
      <c r="S1169" s="319">
        <v>2.4</v>
      </c>
      <c r="T1169" s="324">
        <v>1.2</v>
      </c>
      <c r="U1169" s="319">
        <v>2.0</v>
      </c>
      <c r="V1169" s="319"/>
      <c r="W1169" s="319"/>
      <c r="X1169" s="319"/>
      <c r="Y1169" s="319"/>
      <c r="Z1169" s="319" t="s">
        <v>357</v>
      </c>
      <c r="AA1169" s="319"/>
      <c r="AB1169" s="319" t="s">
        <v>380</v>
      </c>
      <c r="AC1169" s="327">
        <v>4.0</v>
      </c>
      <c r="AD1169" s="319"/>
      <c r="AE1169" s="319"/>
      <c r="AF1169" s="319"/>
      <c r="AG1169" s="319"/>
      <c r="AH1169" s="319"/>
      <c r="AI1169" s="319"/>
      <c r="AJ1169" s="327"/>
      <c r="AK1169" s="328"/>
      <c r="AL1169" s="319"/>
      <c r="AM1169" s="319"/>
      <c r="AN1169" s="319"/>
      <c r="AO1169" s="319"/>
      <c r="AP1169" s="319"/>
      <c r="AQ1169" s="319"/>
      <c r="AR1169" s="319"/>
      <c r="AS1169" s="327"/>
      <c r="AT1169" s="461" t="s">
        <v>182</v>
      </c>
      <c r="AU1169" s="324" t="s">
        <v>845</v>
      </c>
      <c r="AV1169" s="330">
        <f>SQRT(($R1169-Infrastructure!J$3)^2+($S1169-Infrastructure!K$3)^2)</f>
        <v>30.64979608</v>
      </c>
      <c r="AW1169" s="331">
        <f>SQRT(($R1169-Infrastructure!J$4)^2+($S1169-Infrastructure!K$4)^2)</f>
        <v>21.77888886</v>
      </c>
      <c r="AX1169" s="331">
        <f>SQRT(($R1169-Infrastructure!J$5)^2+($S1169-Infrastructure!K$5)^2)</f>
        <v>15.63489687</v>
      </c>
      <c r="AY1169" s="331">
        <f>SQRT(($R1169-Infrastructure!J$6)^2+($S1169-Infrastructure!K$6)^2)</f>
        <v>5.423098745</v>
      </c>
      <c r="AZ1169" s="331">
        <f>SQRT(($R1169-Infrastructure!J$7)^2+($S1169-Infrastructure!K$7)^2)</f>
        <v>5.793962375</v>
      </c>
      <c r="BA1169" s="331">
        <f>SQRT(($R1169-Infrastructure!J$8)^2+($S1169-Infrastructure!K$8)^2)</f>
        <v>15.14628667</v>
      </c>
      <c r="BB1169" s="331">
        <f>SQRT(($R1169-Infrastructure!J$9)^2+($S1169-Infrastructure!K$9)^2)</f>
        <v>25.04595776</v>
      </c>
      <c r="BC1169" s="331">
        <f>SQRT(($R1169-Infrastructure!J$10)^2+($S1169-Infrastructure!K$10)^2)</f>
        <v>27.90645087</v>
      </c>
      <c r="BD1169" s="331">
        <f>SQRT(($R1169-Infrastructure!J$11)^2+($S1169-Infrastructure!K$11)^2)</f>
        <v>36.5728041</v>
      </c>
      <c r="BE1169" s="333">
        <f>SQRT(($R1169-Infrastructure!J$12)^2+($S1169-Infrastructure!K$12)^2)</f>
        <v>53.48429676</v>
      </c>
      <c r="BF1169" s="330">
        <f t="shared" si="148"/>
        <v>5.423098745</v>
      </c>
      <c r="BG1169" s="333">
        <f t="shared" si="149"/>
        <v>53.48429676</v>
      </c>
      <c r="BH1169" s="943">
        <v>36526.0</v>
      </c>
      <c r="BI1169" s="462" t="s">
        <v>845</v>
      </c>
      <c r="BJ1169" s="319" t="s">
        <v>845</v>
      </c>
      <c r="BK1169" s="319" t="s">
        <v>845</v>
      </c>
      <c r="BL1169" s="319" t="s">
        <v>845</v>
      </c>
      <c r="BM1169" s="955" t="s">
        <v>845</v>
      </c>
      <c r="BN1169" s="319" t="s">
        <v>845</v>
      </c>
      <c r="BO1169" s="319" t="s">
        <v>845</v>
      </c>
      <c r="BP1169" s="953" t="s">
        <v>845</v>
      </c>
      <c r="BQ1169" s="319" t="s">
        <v>845</v>
      </c>
      <c r="BR1169" s="324" t="s">
        <v>845</v>
      </c>
      <c r="BS1169" s="330">
        <f t="shared" si="150"/>
        <v>0</v>
      </c>
      <c r="BT1169" s="331">
        <f t="shared" si="151"/>
        <v>0</v>
      </c>
      <c r="BU1169" s="920"/>
      <c r="BV1169" s="903"/>
      <c r="BW1169" s="907"/>
      <c r="BX1169" s="908"/>
      <c r="BY1169" s="331"/>
      <c r="BZ1169" s="340"/>
      <c r="CA1169" s="316"/>
      <c r="CB1169" s="318"/>
      <c r="CC1169" s="318"/>
      <c r="CD1169" s="318"/>
      <c r="CE1169" s="318"/>
      <c r="CF1169" s="318"/>
      <c r="CG1169" s="318"/>
      <c r="CH1169" s="318"/>
      <c r="CI1169" s="318"/>
      <c r="CJ1169" s="463"/>
      <c r="CK1169" s="342"/>
      <c r="CL1169" s="333"/>
      <c r="CM1169" s="829"/>
      <c r="CN1169" s="333"/>
      <c r="CO1169" s="333"/>
      <c r="CP1169" s="333"/>
    </row>
    <row r="1170">
      <c r="B1170" s="462" t="s">
        <v>1832</v>
      </c>
      <c r="C1170" s="914">
        <v>44545.0</v>
      </c>
      <c r="D1170" s="318"/>
      <c r="E1170" s="319" t="s">
        <v>1356</v>
      </c>
      <c r="F1170" s="324" t="s">
        <v>1851</v>
      </c>
      <c r="G1170" s="321">
        <v>0.4366319444444444</v>
      </c>
      <c r="H1170" s="323">
        <v>0.43697916666666664</v>
      </c>
      <c r="I1170" s="323"/>
      <c r="J1170" s="323"/>
      <c r="K1170" s="323">
        <v>0.43802083333333336</v>
      </c>
      <c r="L1170" s="323">
        <v>0.0010416666666666667</v>
      </c>
      <c r="M1170" s="319" t="s">
        <v>166</v>
      </c>
      <c r="N1170" s="324" t="s">
        <v>187</v>
      </c>
      <c r="O1170" s="419" t="s">
        <v>203</v>
      </c>
      <c r="P1170" s="319" t="s">
        <v>250</v>
      </c>
      <c r="Q1170" s="318"/>
      <c r="R1170" s="326">
        <v>15.1</v>
      </c>
      <c r="S1170" s="319">
        <v>2.4</v>
      </c>
      <c r="T1170" s="324">
        <v>1.2</v>
      </c>
      <c r="U1170" s="319">
        <v>6.0</v>
      </c>
      <c r="V1170" s="319"/>
      <c r="W1170" s="319"/>
      <c r="X1170" s="319"/>
      <c r="Y1170" s="319"/>
      <c r="Z1170" s="319" t="s">
        <v>357</v>
      </c>
      <c r="AA1170" s="319"/>
      <c r="AB1170" s="319" t="s">
        <v>380</v>
      </c>
      <c r="AC1170" s="327">
        <v>4.0</v>
      </c>
      <c r="AD1170" s="319"/>
      <c r="AE1170" s="319"/>
      <c r="AF1170" s="319"/>
      <c r="AG1170" s="319"/>
      <c r="AH1170" s="319"/>
      <c r="AI1170" s="319"/>
      <c r="AJ1170" s="327"/>
      <c r="AK1170" s="328"/>
      <c r="AL1170" s="319"/>
      <c r="AM1170" s="319"/>
      <c r="AN1170" s="319"/>
      <c r="AO1170" s="319"/>
      <c r="AP1170" s="319"/>
      <c r="AQ1170" s="319"/>
      <c r="AR1170" s="319"/>
      <c r="AS1170" s="327"/>
      <c r="AT1170" s="461" t="s">
        <v>182</v>
      </c>
      <c r="AU1170" s="324" t="s">
        <v>845</v>
      </c>
      <c r="AV1170" s="330">
        <f>SQRT(($R1170-Infrastructure!J$3)^2+($S1170-Infrastructure!K$3)^2)</f>
        <v>30.64979608</v>
      </c>
      <c r="AW1170" s="331">
        <f>SQRT(($R1170-Infrastructure!J$4)^2+($S1170-Infrastructure!K$4)^2)</f>
        <v>21.77888886</v>
      </c>
      <c r="AX1170" s="331">
        <f>SQRT(($R1170-Infrastructure!J$5)^2+($S1170-Infrastructure!K$5)^2)</f>
        <v>15.63489687</v>
      </c>
      <c r="AY1170" s="331">
        <f>SQRT(($R1170-Infrastructure!J$6)^2+($S1170-Infrastructure!K$6)^2)</f>
        <v>5.423098745</v>
      </c>
      <c r="AZ1170" s="331">
        <f>SQRT(($R1170-Infrastructure!J$7)^2+($S1170-Infrastructure!K$7)^2)</f>
        <v>5.793962375</v>
      </c>
      <c r="BA1170" s="331">
        <f>SQRT(($R1170-Infrastructure!J$8)^2+($S1170-Infrastructure!K$8)^2)</f>
        <v>15.14628667</v>
      </c>
      <c r="BB1170" s="331">
        <f>SQRT(($R1170-Infrastructure!J$9)^2+($S1170-Infrastructure!K$9)^2)</f>
        <v>25.04595776</v>
      </c>
      <c r="BC1170" s="331">
        <f>SQRT(($R1170-Infrastructure!J$10)^2+($S1170-Infrastructure!K$10)^2)</f>
        <v>27.90645087</v>
      </c>
      <c r="BD1170" s="331">
        <f>SQRT(($R1170-Infrastructure!J$11)^2+($S1170-Infrastructure!K$11)^2)</f>
        <v>36.5728041</v>
      </c>
      <c r="BE1170" s="333">
        <f>SQRT(($R1170-Infrastructure!J$12)^2+($S1170-Infrastructure!K$12)^2)</f>
        <v>53.48429676</v>
      </c>
      <c r="BF1170" s="330">
        <f t="shared" si="148"/>
        <v>5.423098745</v>
      </c>
      <c r="BG1170" s="333">
        <f t="shared" si="149"/>
        <v>53.48429676</v>
      </c>
      <c r="BH1170" s="943">
        <v>36526.0</v>
      </c>
      <c r="BI1170" s="462" t="s">
        <v>845</v>
      </c>
      <c r="BJ1170" s="319" t="s">
        <v>845</v>
      </c>
      <c r="BK1170" s="319" t="s">
        <v>845</v>
      </c>
      <c r="BL1170" s="319" t="s">
        <v>845</v>
      </c>
      <c r="BM1170" s="955" t="s">
        <v>845</v>
      </c>
      <c r="BN1170" s="319" t="s">
        <v>845</v>
      </c>
      <c r="BO1170" s="319" t="s">
        <v>845</v>
      </c>
      <c r="BP1170" s="953" t="s">
        <v>845</v>
      </c>
      <c r="BQ1170" s="319" t="s">
        <v>845</v>
      </c>
      <c r="BR1170" s="324" t="s">
        <v>845</v>
      </c>
      <c r="BS1170" s="330">
        <f t="shared" si="150"/>
        <v>0</v>
      </c>
      <c r="BT1170" s="331">
        <f t="shared" si="151"/>
        <v>0</v>
      </c>
      <c r="BU1170" s="920"/>
      <c r="BV1170" s="903"/>
      <c r="BW1170" s="907"/>
      <c r="BX1170" s="908"/>
      <c r="BY1170" s="331"/>
      <c r="BZ1170" s="340"/>
      <c r="CA1170" s="316"/>
      <c r="CB1170" s="318"/>
      <c r="CC1170" s="318"/>
      <c r="CD1170" s="318"/>
      <c r="CE1170" s="318"/>
      <c r="CF1170" s="318"/>
      <c r="CG1170" s="318"/>
      <c r="CH1170" s="318"/>
      <c r="CI1170" s="318"/>
      <c r="CJ1170" s="463"/>
      <c r="CK1170" s="342"/>
      <c r="CL1170" s="333"/>
      <c r="CM1170" s="829"/>
      <c r="CN1170" s="333"/>
      <c r="CO1170" s="333"/>
      <c r="CP1170" s="333"/>
    </row>
    <row r="1171">
      <c r="B1171" s="462" t="s">
        <v>1832</v>
      </c>
      <c r="C1171" s="914">
        <v>44545.0</v>
      </c>
      <c r="D1171" s="318"/>
      <c r="E1171" s="319" t="s">
        <v>1228</v>
      </c>
      <c r="F1171" s="324" t="s">
        <v>1852</v>
      </c>
      <c r="G1171" s="321">
        <v>0.4396412037037037</v>
      </c>
      <c r="H1171" s="323">
        <v>0.43993055555555555</v>
      </c>
      <c r="I1171" s="323"/>
      <c r="J1171" s="323"/>
      <c r="K1171" s="323">
        <v>0.4409722222222222</v>
      </c>
      <c r="L1171" s="323">
        <v>0.0010416666666666667</v>
      </c>
      <c r="M1171" s="319" t="s">
        <v>166</v>
      </c>
      <c r="N1171" s="324" t="s">
        <v>187</v>
      </c>
      <c r="O1171" s="419" t="s">
        <v>203</v>
      </c>
      <c r="P1171" s="319" t="s">
        <v>250</v>
      </c>
      <c r="Q1171" s="318"/>
      <c r="R1171" s="326">
        <v>15.1</v>
      </c>
      <c r="S1171" s="319">
        <v>2.4</v>
      </c>
      <c r="T1171" s="324">
        <v>1.2</v>
      </c>
      <c r="U1171" s="319">
        <v>3.0</v>
      </c>
      <c r="V1171" s="319"/>
      <c r="W1171" s="319"/>
      <c r="X1171" s="319"/>
      <c r="Y1171" s="319"/>
      <c r="Z1171" s="319" t="s">
        <v>357</v>
      </c>
      <c r="AA1171" s="319"/>
      <c r="AB1171" s="319" t="s">
        <v>384</v>
      </c>
      <c r="AC1171" s="327">
        <v>6.0</v>
      </c>
      <c r="AD1171" s="319"/>
      <c r="AE1171" s="319"/>
      <c r="AF1171" s="319"/>
      <c r="AG1171" s="319"/>
      <c r="AH1171" s="319"/>
      <c r="AI1171" s="319"/>
      <c r="AJ1171" s="327"/>
      <c r="AK1171" s="328"/>
      <c r="AL1171" s="319"/>
      <c r="AM1171" s="319"/>
      <c r="AN1171" s="319"/>
      <c r="AO1171" s="319"/>
      <c r="AP1171" s="319"/>
      <c r="AQ1171" s="319"/>
      <c r="AR1171" s="319"/>
      <c r="AS1171" s="327"/>
      <c r="AT1171" s="461" t="s">
        <v>182</v>
      </c>
      <c r="AU1171" s="324" t="s">
        <v>845</v>
      </c>
      <c r="AV1171" s="330">
        <f>SQRT(($R1171-Infrastructure!J$3)^2+($S1171-Infrastructure!K$3)^2)</f>
        <v>30.64979608</v>
      </c>
      <c r="AW1171" s="331">
        <f>SQRT(($R1171-Infrastructure!J$4)^2+($S1171-Infrastructure!K$4)^2)</f>
        <v>21.77888886</v>
      </c>
      <c r="AX1171" s="331">
        <f>SQRT(($R1171-Infrastructure!J$5)^2+($S1171-Infrastructure!K$5)^2)</f>
        <v>15.63489687</v>
      </c>
      <c r="AY1171" s="331">
        <f>SQRT(($R1171-Infrastructure!J$6)^2+($S1171-Infrastructure!K$6)^2)</f>
        <v>5.423098745</v>
      </c>
      <c r="AZ1171" s="331">
        <f>SQRT(($R1171-Infrastructure!J$7)^2+($S1171-Infrastructure!K$7)^2)</f>
        <v>5.793962375</v>
      </c>
      <c r="BA1171" s="331">
        <f>SQRT(($R1171-Infrastructure!J$8)^2+($S1171-Infrastructure!K$8)^2)</f>
        <v>15.14628667</v>
      </c>
      <c r="BB1171" s="331">
        <f>SQRT(($R1171-Infrastructure!J$9)^2+($S1171-Infrastructure!K$9)^2)</f>
        <v>25.04595776</v>
      </c>
      <c r="BC1171" s="331">
        <f>SQRT(($R1171-Infrastructure!J$10)^2+($S1171-Infrastructure!K$10)^2)</f>
        <v>27.90645087</v>
      </c>
      <c r="BD1171" s="331">
        <f>SQRT(($R1171-Infrastructure!J$11)^2+($S1171-Infrastructure!K$11)^2)</f>
        <v>36.5728041</v>
      </c>
      <c r="BE1171" s="333">
        <f>SQRT(($R1171-Infrastructure!J$12)^2+($S1171-Infrastructure!K$12)^2)</f>
        <v>53.48429676</v>
      </c>
      <c r="BF1171" s="330">
        <f t="shared" si="148"/>
        <v>5.423098745</v>
      </c>
      <c r="BG1171" s="333">
        <f t="shared" si="149"/>
        <v>53.48429676</v>
      </c>
      <c r="BH1171" s="943">
        <v>36526.0</v>
      </c>
      <c r="BI1171" s="462" t="s">
        <v>845</v>
      </c>
      <c r="BJ1171" s="319" t="s">
        <v>845</v>
      </c>
      <c r="BK1171" s="319" t="s">
        <v>845</v>
      </c>
      <c r="BL1171" s="319" t="s">
        <v>845</v>
      </c>
      <c r="BM1171" s="955" t="s">
        <v>845</v>
      </c>
      <c r="BN1171" s="319" t="s">
        <v>845</v>
      </c>
      <c r="BO1171" s="319" t="s">
        <v>845</v>
      </c>
      <c r="BP1171" s="953" t="s">
        <v>845</v>
      </c>
      <c r="BQ1171" s="319" t="s">
        <v>845</v>
      </c>
      <c r="BR1171" s="324" t="s">
        <v>845</v>
      </c>
      <c r="BS1171" s="330">
        <f t="shared" si="150"/>
        <v>0</v>
      </c>
      <c r="BT1171" s="331">
        <f t="shared" si="151"/>
        <v>0</v>
      </c>
      <c r="BU1171" s="920"/>
      <c r="BV1171" s="903"/>
      <c r="BW1171" s="907"/>
      <c r="BX1171" s="908"/>
      <c r="BY1171" s="331"/>
      <c r="BZ1171" s="340"/>
      <c r="CA1171" s="316"/>
      <c r="CB1171" s="318"/>
      <c r="CC1171" s="318"/>
      <c r="CD1171" s="318"/>
      <c r="CE1171" s="318"/>
      <c r="CF1171" s="318"/>
      <c r="CG1171" s="318"/>
      <c r="CH1171" s="318"/>
      <c r="CI1171" s="318"/>
      <c r="CJ1171" s="463"/>
      <c r="CK1171" s="342"/>
      <c r="CL1171" s="333"/>
      <c r="CM1171" s="829"/>
      <c r="CN1171" s="333"/>
      <c r="CO1171" s="333"/>
      <c r="CP1171" s="333"/>
    </row>
    <row r="1172">
      <c r="B1172" s="462" t="s">
        <v>1832</v>
      </c>
      <c r="C1172" s="914">
        <v>44545.0</v>
      </c>
      <c r="D1172" s="318"/>
      <c r="E1172" s="319" t="s">
        <v>1853</v>
      </c>
      <c r="F1172" s="324" t="s">
        <v>1854</v>
      </c>
      <c r="G1172" s="321">
        <v>0.44178240740740743</v>
      </c>
      <c r="H1172" s="323">
        <v>0.4420138888888889</v>
      </c>
      <c r="I1172" s="323"/>
      <c r="J1172" s="323"/>
      <c r="K1172" s="323">
        <v>0.44305555555555554</v>
      </c>
      <c r="L1172" s="323">
        <v>0.0010416666666666667</v>
      </c>
      <c r="M1172" s="319" t="s">
        <v>166</v>
      </c>
      <c r="N1172" s="324" t="s">
        <v>187</v>
      </c>
      <c r="O1172" s="419" t="s">
        <v>203</v>
      </c>
      <c r="P1172" s="319" t="s">
        <v>250</v>
      </c>
      <c r="Q1172" s="318"/>
      <c r="R1172" s="326">
        <v>15.1</v>
      </c>
      <c r="S1172" s="319">
        <v>2.4</v>
      </c>
      <c r="T1172" s="324">
        <v>1.2</v>
      </c>
      <c r="U1172" s="319">
        <v>6.0</v>
      </c>
      <c r="V1172" s="319"/>
      <c r="W1172" s="319"/>
      <c r="X1172" s="319"/>
      <c r="Y1172" s="319"/>
      <c r="Z1172" s="319" t="s">
        <v>357</v>
      </c>
      <c r="AA1172" s="319"/>
      <c r="AB1172" s="319" t="s">
        <v>384</v>
      </c>
      <c r="AC1172" s="327">
        <v>6.0</v>
      </c>
      <c r="AD1172" s="319"/>
      <c r="AE1172" s="319"/>
      <c r="AF1172" s="319"/>
      <c r="AG1172" s="319"/>
      <c r="AH1172" s="319"/>
      <c r="AI1172" s="319"/>
      <c r="AJ1172" s="327"/>
      <c r="AK1172" s="328"/>
      <c r="AL1172" s="319"/>
      <c r="AM1172" s="319"/>
      <c r="AN1172" s="319"/>
      <c r="AO1172" s="319"/>
      <c r="AP1172" s="319"/>
      <c r="AQ1172" s="319"/>
      <c r="AR1172" s="319"/>
      <c r="AS1172" s="327"/>
      <c r="AT1172" s="461" t="s">
        <v>182</v>
      </c>
      <c r="AU1172" s="324" t="s">
        <v>845</v>
      </c>
      <c r="AV1172" s="330">
        <f>SQRT(($R1172-Infrastructure!J$3)^2+($S1172-Infrastructure!K$3)^2)</f>
        <v>30.64979608</v>
      </c>
      <c r="AW1172" s="331">
        <f>SQRT(($R1172-Infrastructure!J$4)^2+($S1172-Infrastructure!K$4)^2)</f>
        <v>21.77888886</v>
      </c>
      <c r="AX1172" s="331">
        <f>SQRT(($R1172-Infrastructure!J$5)^2+($S1172-Infrastructure!K$5)^2)</f>
        <v>15.63489687</v>
      </c>
      <c r="AY1172" s="331">
        <f>SQRT(($R1172-Infrastructure!J$6)^2+($S1172-Infrastructure!K$6)^2)</f>
        <v>5.423098745</v>
      </c>
      <c r="AZ1172" s="331">
        <f>SQRT(($R1172-Infrastructure!J$7)^2+($S1172-Infrastructure!K$7)^2)</f>
        <v>5.793962375</v>
      </c>
      <c r="BA1172" s="331">
        <f>SQRT(($R1172-Infrastructure!J$8)^2+($S1172-Infrastructure!K$8)^2)</f>
        <v>15.14628667</v>
      </c>
      <c r="BB1172" s="331">
        <f>SQRT(($R1172-Infrastructure!J$9)^2+($S1172-Infrastructure!K$9)^2)</f>
        <v>25.04595776</v>
      </c>
      <c r="BC1172" s="331">
        <f>SQRT(($R1172-Infrastructure!J$10)^2+($S1172-Infrastructure!K$10)^2)</f>
        <v>27.90645087</v>
      </c>
      <c r="BD1172" s="331">
        <f>SQRT(($R1172-Infrastructure!J$11)^2+($S1172-Infrastructure!K$11)^2)</f>
        <v>36.5728041</v>
      </c>
      <c r="BE1172" s="333">
        <f>SQRT(($R1172-Infrastructure!J$12)^2+($S1172-Infrastructure!K$12)^2)</f>
        <v>53.48429676</v>
      </c>
      <c r="BF1172" s="330">
        <f t="shared" si="148"/>
        <v>5.423098745</v>
      </c>
      <c r="BG1172" s="333">
        <f t="shared" si="149"/>
        <v>53.48429676</v>
      </c>
      <c r="BH1172" s="943">
        <v>36526.0</v>
      </c>
      <c r="BI1172" s="462" t="s">
        <v>845</v>
      </c>
      <c r="BJ1172" s="319" t="s">
        <v>845</v>
      </c>
      <c r="BK1172" s="319" t="s">
        <v>845</v>
      </c>
      <c r="BL1172" s="319" t="s">
        <v>845</v>
      </c>
      <c r="BM1172" s="955" t="s">
        <v>845</v>
      </c>
      <c r="BN1172" s="319" t="s">
        <v>845</v>
      </c>
      <c r="BO1172" s="319" t="s">
        <v>845</v>
      </c>
      <c r="BP1172" s="953" t="s">
        <v>845</v>
      </c>
      <c r="BQ1172" s="319" t="s">
        <v>845</v>
      </c>
      <c r="BR1172" s="324" t="s">
        <v>845</v>
      </c>
      <c r="BS1172" s="330">
        <f t="shared" si="150"/>
        <v>0</v>
      </c>
      <c r="BT1172" s="331">
        <f t="shared" si="151"/>
        <v>0</v>
      </c>
      <c r="BU1172" s="920"/>
      <c r="BV1172" s="903"/>
      <c r="BW1172" s="907"/>
      <c r="BX1172" s="908"/>
      <c r="BY1172" s="331"/>
      <c r="BZ1172" s="340"/>
      <c r="CA1172" s="316"/>
      <c r="CB1172" s="318"/>
      <c r="CC1172" s="318"/>
      <c r="CD1172" s="318"/>
      <c r="CE1172" s="318"/>
      <c r="CF1172" s="318"/>
      <c r="CG1172" s="318"/>
      <c r="CH1172" s="318"/>
      <c r="CI1172" s="318"/>
      <c r="CJ1172" s="463"/>
      <c r="CK1172" s="342"/>
      <c r="CL1172" s="333"/>
      <c r="CM1172" s="829"/>
      <c r="CN1172" s="333"/>
      <c r="CO1172" s="333"/>
      <c r="CP1172" s="333"/>
    </row>
    <row r="1173">
      <c r="B1173" s="462" t="s">
        <v>1832</v>
      </c>
      <c r="C1173" s="914">
        <v>44545.0</v>
      </c>
      <c r="D1173" s="318"/>
      <c r="E1173" s="319" t="s">
        <v>1855</v>
      </c>
      <c r="F1173" s="324" t="s">
        <v>1856</v>
      </c>
      <c r="G1173" s="321">
        <v>0.4444444444444444</v>
      </c>
      <c r="H1173" s="323">
        <v>0.44513888888888886</v>
      </c>
      <c r="I1173" s="323"/>
      <c r="J1173" s="323"/>
      <c r="K1173" s="323">
        <v>0.4461805555555556</v>
      </c>
      <c r="L1173" s="323">
        <v>0.0010416666666666667</v>
      </c>
      <c r="M1173" s="319" t="s">
        <v>166</v>
      </c>
      <c r="N1173" s="324" t="s">
        <v>187</v>
      </c>
      <c r="O1173" s="419" t="s">
        <v>205</v>
      </c>
      <c r="P1173" s="319" t="s">
        <v>213</v>
      </c>
      <c r="Q1173" s="318"/>
      <c r="R1173" s="326">
        <v>21.5</v>
      </c>
      <c r="S1173" s="319">
        <v>4.1</v>
      </c>
      <c r="T1173" s="324">
        <v>2.3</v>
      </c>
      <c r="U1173" s="319">
        <v>4.0</v>
      </c>
      <c r="V1173" s="319"/>
      <c r="W1173" s="319"/>
      <c r="X1173" s="319"/>
      <c r="Y1173" s="319"/>
      <c r="Z1173" s="319" t="s">
        <v>370</v>
      </c>
      <c r="AA1173" s="319"/>
      <c r="AB1173" s="319" t="s">
        <v>380</v>
      </c>
      <c r="AC1173" s="327">
        <v>4.0</v>
      </c>
      <c r="AD1173" s="319"/>
      <c r="AE1173" s="319"/>
      <c r="AF1173" s="319"/>
      <c r="AG1173" s="319"/>
      <c r="AH1173" s="319"/>
      <c r="AI1173" s="319"/>
      <c r="AJ1173" s="327"/>
      <c r="AK1173" s="328"/>
      <c r="AL1173" s="319"/>
      <c r="AM1173" s="319"/>
      <c r="AN1173" s="319"/>
      <c r="AO1173" s="319"/>
      <c r="AP1173" s="319"/>
      <c r="AQ1173" s="319"/>
      <c r="AR1173" s="319"/>
      <c r="AS1173" s="327"/>
      <c r="AT1173" s="461" t="s">
        <v>182</v>
      </c>
      <c r="AU1173" s="324" t="s">
        <v>845</v>
      </c>
      <c r="AV1173" s="330">
        <f>SQRT(($R1173-Infrastructure!J$3)^2+($S1173-Infrastructure!K$3)^2)</f>
        <v>33.01938824</v>
      </c>
      <c r="AW1173" s="331">
        <f>SQRT(($R1173-Infrastructure!J$4)^2+($S1173-Infrastructure!K$4)^2)</f>
        <v>25.74742706</v>
      </c>
      <c r="AX1173" s="331">
        <f>SQRT(($R1173-Infrastructure!J$5)^2+($S1173-Infrastructure!K$5)^2)</f>
        <v>21.82292373</v>
      </c>
      <c r="AY1173" s="331">
        <f>SQRT(($R1173-Infrastructure!J$6)^2+($S1173-Infrastructure!K$6)^2)</f>
        <v>12.01665511</v>
      </c>
      <c r="AZ1173" s="331">
        <f>SQRT(($R1173-Infrastructure!J$7)^2+($S1173-Infrastructure!K$7)^2)</f>
        <v>3.929376541</v>
      </c>
      <c r="BA1173" s="331">
        <f>SQRT(($R1173-Infrastructure!J$8)^2+($S1173-Infrastructure!K$8)^2)</f>
        <v>9.402127419</v>
      </c>
      <c r="BB1173" s="331">
        <f>SQRT(($R1173-Infrastructure!J$9)^2+($S1173-Infrastructure!K$9)^2)</f>
        <v>18.52700731</v>
      </c>
      <c r="BC1173" s="331">
        <f>SQRT(($R1173-Infrastructure!J$10)^2+($S1173-Infrastructure!K$10)^2)</f>
        <v>21.47230775</v>
      </c>
      <c r="BD1173" s="331">
        <f>SQRT(($R1173-Infrastructure!J$11)^2+($S1173-Infrastructure!K$11)^2)</f>
        <v>31.14000642</v>
      </c>
      <c r="BE1173" s="333">
        <f>SQRT(($R1173-Infrastructure!J$12)^2+($S1173-Infrastructure!K$12)^2)</f>
        <v>51.4</v>
      </c>
      <c r="BF1173" s="330">
        <f t="shared" si="148"/>
        <v>3.929376541</v>
      </c>
      <c r="BG1173" s="333">
        <f t="shared" si="149"/>
        <v>51.4</v>
      </c>
      <c r="BH1173" s="943">
        <v>36526.0</v>
      </c>
      <c r="BI1173" s="462" t="s">
        <v>845</v>
      </c>
      <c r="BJ1173" s="319" t="s">
        <v>845</v>
      </c>
      <c r="BK1173" s="319" t="s">
        <v>845</v>
      </c>
      <c r="BL1173" s="319" t="s">
        <v>845</v>
      </c>
      <c r="BM1173" s="955" t="s">
        <v>845</v>
      </c>
      <c r="BN1173" s="319" t="s">
        <v>845</v>
      </c>
      <c r="BO1173" s="319" t="s">
        <v>845</v>
      </c>
      <c r="BP1173" s="953" t="s">
        <v>845</v>
      </c>
      <c r="BQ1173" s="319" t="s">
        <v>845</v>
      </c>
      <c r="BR1173" s="324" t="s">
        <v>845</v>
      </c>
      <c r="BS1173" s="330">
        <f t="shared" si="150"/>
        <v>0</v>
      </c>
      <c r="BT1173" s="331">
        <f t="shared" si="151"/>
        <v>0</v>
      </c>
      <c r="BU1173" s="920"/>
      <c r="BV1173" s="903"/>
      <c r="BW1173" s="907"/>
      <c r="BX1173" s="908"/>
      <c r="BY1173" s="331"/>
      <c r="BZ1173" s="340"/>
      <c r="CA1173" s="316"/>
      <c r="CB1173" s="318"/>
      <c r="CC1173" s="318"/>
      <c r="CD1173" s="318"/>
      <c r="CE1173" s="318"/>
      <c r="CF1173" s="318"/>
      <c r="CG1173" s="318"/>
      <c r="CH1173" s="318"/>
      <c r="CI1173" s="318"/>
      <c r="CJ1173" s="463"/>
      <c r="CK1173" s="342"/>
      <c r="CL1173" s="333"/>
      <c r="CM1173" s="829"/>
      <c r="CN1173" s="333"/>
      <c r="CO1173" s="333"/>
      <c r="CP1173" s="333"/>
    </row>
    <row r="1174">
      <c r="B1174" s="462" t="s">
        <v>1832</v>
      </c>
      <c r="C1174" s="914">
        <v>44545.0</v>
      </c>
      <c r="D1174" s="318"/>
      <c r="E1174" s="319" t="s">
        <v>1857</v>
      </c>
      <c r="F1174" s="324" t="s">
        <v>1858</v>
      </c>
      <c r="G1174" s="321">
        <v>0.44756944444444446</v>
      </c>
      <c r="H1174" s="323">
        <v>0.44809027777777777</v>
      </c>
      <c r="I1174" s="323"/>
      <c r="J1174" s="323"/>
      <c r="K1174" s="323">
        <v>0.44913194444444443</v>
      </c>
      <c r="L1174" s="323">
        <v>0.0010416666666666667</v>
      </c>
      <c r="M1174" s="319" t="s">
        <v>166</v>
      </c>
      <c r="N1174" s="324" t="s">
        <v>187</v>
      </c>
      <c r="O1174" s="419" t="s">
        <v>205</v>
      </c>
      <c r="P1174" s="319" t="s">
        <v>213</v>
      </c>
      <c r="Q1174" s="318"/>
      <c r="R1174" s="326">
        <v>21.5</v>
      </c>
      <c r="S1174" s="319">
        <v>4.1</v>
      </c>
      <c r="T1174" s="324">
        <v>2.3</v>
      </c>
      <c r="U1174" s="319">
        <v>6.0</v>
      </c>
      <c r="V1174" s="319"/>
      <c r="W1174" s="319"/>
      <c r="X1174" s="319"/>
      <c r="Y1174" s="319"/>
      <c r="Z1174" s="319" t="s">
        <v>370</v>
      </c>
      <c r="AA1174" s="319"/>
      <c r="AB1174" s="319" t="s">
        <v>384</v>
      </c>
      <c r="AC1174" s="327">
        <v>6.0</v>
      </c>
      <c r="AD1174" s="319"/>
      <c r="AE1174" s="319"/>
      <c r="AF1174" s="319"/>
      <c r="AG1174" s="319"/>
      <c r="AH1174" s="319"/>
      <c r="AI1174" s="319"/>
      <c r="AJ1174" s="327"/>
      <c r="AK1174" s="328"/>
      <c r="AL1174" s="319"/>
      <c r="AM1174" s="319"/>
      <c r="AN1174" s="319"/>
      <c r="AO1174" s="319"/>
      <c r="AP1174" s="319"/>
      <c r="AQ1174" s="319"/>
      <c r="AR1174" s="319"/>
      <c r="AS1174" s="327"/>
      <c r="AT1174" s="461" t="s">
        <v>182</v>
      </c>
      <c r="AU1174" s="324" t="s">
        <v>845</v>
      </c>
      <c r="AV1174" s="330">
        <f>SQRT(($R1174-Infrastructure!J$3)^2+($S1174-Infrastructure!K$3)^2)</f>
        <v>33.01938824</v>
      </c>
      <c r="AW1174" s="331">
        <f>SQRT(($R1174-Infrastructure!J$4)^2+($S1174-Infrastructure!K$4)^2)</f>
        <v>25.74742706</v>
      </c>
      <c r="AX1174" s="331">
        <f>SQRT(($R1174-Infrastructure!J$5)^2+($S1174-Infrastructure!K$5)^2)</f>
        <v>21.82292373</v>
      </c>
      <c r="AY1174" s="331">
        <f>SQRT(($R1174-Infrastructure!J$6)^2+($S1174-Infrastructure!K$6)^2)</f>
        <v>12.01665511</v>
      </c>
      <c r="AZ1174" s="331">
        <f>SQRT(($R1174-Infrastructure!J$7)^2+($S1174-Infrastructure!K$7)^2)</f>
        <v>3.929376541</v>
      </c>
      <c r="BA1174" s="331">
        <f>SQRT(($R1174-Infrastructure!J$8)^2+($S1174-Infrastructure!K$8)^2)</f>
        <v>9.402127419</v>
      </c>
      <c r="BB1174" s="331">
        <f>SQRT(($R1174-Infrastructure!J$9)^2+($S1174-Infrastructure!K$9)^2)</f>
        <v>18.52700731</v>
      </c>
      <c r="BC1174" s="331">
        <f>SQRT(($R1174-Infrastructure!J$10)^2+($S1174-Infrastructure!K$10)^2)</f>
        <v>21.47230775</v>
      </c>
      <c r="BD1174" s="331">
        <f>SQRT(($R1174-Infrastructure!J$11)^2+($S1174-Infrastructure!K$11)^2)</f>
        <v>31.14000642</v>
      </c>
      <c r="BE1174" s="333">
        <f>SQRT(($R1174-Infrastructure!J$12)^2+($S1174-Infrastructure!K$12)^2)</f>
        <v>51.4</v>
      </c>
      <c r="BF1174" s="330">
        <f t="shared" si="148"/>
        <v>3.929376541</v>
      </c>
      <c r="BG1174" s="333">
        <f t="shared" si="149"/>
        <v>51.4</v>
      </c>
      <c r="BH1174" s="943">
        <v>36526.0</v>
      </c>
      <c r="BI1174" s="462" t="s">
        <v>845</v>
      </c>
      <c r="BJ1174" s="319" t="s">
        <v>845</v>
      </c>
      <c r="BK1174" s="319" t="s">
        <v>845</v>
      </c>
      <c r="BL1174" s="319" t="s">
        <v>845</v>
      </c>
      <c r="BM1174" s="955" t="s">
        <v>845</v>
      </c>
      <c r="BN1174" s="319" t="s">
        <v>845</v>
      </c>
      <c r="BO1174" s="319" t="s">
        <v>845</v>
      </c>
      <c r="BP1174" s="953" t="s">
        <v>845</v>
      </c>
      <c r="BQ1174" s="319" t="s">
        <v>845</v>
      </c>
      <c r="BR1174" s="324" t="s">
        <v>845</v>
      </c>
      <c r="BS1174" s="330">
        <f t="shared" si="150"/>
        <v>0</v>
      </c>
      <c r="BT1174" s="331">
        <f t="shared" si="151"/>
        <v>0</v>
      </c>
      <c r="BU1174" s="920"/>
      <c r="BV1174" s="903"/>
      <c r="BW1174" s="907"/>
      <c r="BX1174" s="908"/>
      <c r="BY1174" s="331"/>
      <c r="BZ1174" s="340"/>
      <c r="CA1174" s="316"/>
      <c r="CB1174" s="318"/>
      <c r="CC1174" s="318"/>
      <c r="CD1174" s="318"/>
      <c r="CE1174" s="318"/>
      <c r="CF1174" s="318"/>
      <c r="CG1174" s="318"/>
      <c r="CH1174" s="318"/>
      <c r="CI1174" s="318"/>
      <c r="CJ1174" s="463"/>
      <c r="CK1174" s="342"/>
      <c r="CL1174" s="333"/>
      <c r="CM1174" s="829"/>
      <c r="CN1174" s="333"/>
      <c r="CO1174" s="333"/>
      <c r="CP1174" s="333"/>
    </row>
    <row r="1175">
      <c r="B1175" s="462" t="s">
        <v>1832</v>
      </c>
      <c r="C1175" s="914">
        <v>44545.0</v>
      </c>
      <c r="D1175" s="318"/>
      <c r="E1175" s="319" t="s">
        <v>1859</v>
      </c>
      <c r="F1175" s="324" t="s">
        <v>1860</v>
      </c>
      <c r="G1175" s="321">
        <v>0.4534722222222222</v>
      </c>
      <c r="H1175" s="323">
        <v>0.45381944444444444</v>
      </c>
      <c r="I1175" s="323"/>
      <c r="J1175" s="323"/>
      <c r="K1175" s="323">
        <v>0.4548611111111111</v>
      </c>
      <c r="L1175" s="323">
        <v>0.0010416666666666667</v>
      </c>
      <c r="M1175" s="319" t="s">
        <v>166</v>
      </c>
      <c r="N1175" s="324" t="s">
        <v>187</v>
      </c>
      <c r="O1175" s="419" t="s">
        <v>205</v>
      </c>
      <c r="P1175" s="319" t="s">
        <v>213</v>
      </c>
      <c r="Q1175" s="318"/>
      <c r="R1175" s="326">
        <v>21.5</v>
      </c>
      <c r="S1175" s="319">
        <v>4.1</v>
      </c>
      <c r="T1175" s="324">
        <v>2.3</v>
      </c>
      <c r="U1175" s="319">
        <v>7.0</v>
      </c>
      <c r="V1175" s="319"/>
      <c r="W1175" s="319"/>
      <c r="X1175" s="319"/>
      <c r="Y1175" s="319"/>
      <c r="Z1175" s="319" t="s">
        <v>365</v>
      </c>
      <c r="AA1175" s="319"/>
      <c r="AB1175" s="319" t="s">
        <v>388</v>
      </c>
      <c r="AC1175" s="327">
        <v>8.0</v>
      </c>
      <c r="AD1175" s="319"/>
      <c r="AE1175" s="319"/>
      <c r="AF1175" s="319"/>
      <c r="AG1175" s="319"/>
      <c r="AH1175" s="319"/>
      <c r="AI1175" s="319"/>
      <c r="AJ1175" s="327"/>
      <c r="AK1175" s="328"/>
      <c r="AL1175" s="319"/>
      <c r="AM1175" s="319"/>
      <c r="AN1175" s="319"/>
      <c r="AO1175" s="319"/>
      <c r="AP1175" s="319"/>
      <c r="AQ1175" s="319"/>
      <c r="AR1175" s="319"/>
      <c r="AS1175" s="327"/>
      <c r="AT1175" s="461" t="s">
        <v>182</v>
      </c>
      <c r="AU1175" s="324" t="s">
        <v>845</v>
      </c>
      <c r="AV1175" s="330">
        <f>SQRT(($R1175-Infrastructure!J$3)^2+($S1175-Infrastructure!K$3)^2)</f>
        <v>33.01938824</v>
      </c>
      <c r="AW1175" s="331">
        <f>SQRT(($R1175-Infrastructure!J$4)^2+($S1175-Infrastructure!K$4)^2)</f>
        <v>25.74742706</v>
      </c>
      <c r="AX1175" s="331">
        <f>SQRT(($R1175-Infrastructure!J$5)^2+($S1175-Infrastructure!K$5)^2)</f>
        <v>21.82292373</v>
      </c>
      <c r="AY1175" s="331">
        <f>SQRT(($R1175-Infrastructure!J$6)^2+($S1175-Infrastructure!K$6)^2)</f>
        <v>12.01665511</v>
      </c>
      <c r="AZ1175" s="331">
        <f>SQRT(($R1175-Infrastructure!J$7)^2+($S1175-Infrastructure!K$7)^2)</f>
        <v>3.929376541</v>
      </c>
      <c r="BA1175" s="331">
        <f>SQRT(($R1175-Infrastructure!J$8)^2+($S1175-Infrastructure!K$8)^2)</f>
        <v>9.402127419</v>
      </c>
      <c r="BB1175" s="331">
        <f>SQRT(($R1175-Infrastructure!J$9)^2+($S1175-Infrastructure!K$9)^2)</f>
        <v>18.52700731</v>
      </c>
      <c r="BC1175" s="331">
        <f>SQRT(($R1175-Infrastructure!J$10)^2+($S1175-Infrastructure!K$10)^2)</f>
        <v>21.47230775</v>
      </c>
      <c r="BD1175" s="331">
        <f>SQRT(($R1175-Infrastructure!J$11)^2+($S1175-Infrastructure!K$11)^2)</f>
        <v>31.14000642</v>
      </c>
      <c r="BE1175" s="333">
        <f>SQRT(($R1175-Infrastructure!J$12)^2+($S1175-Infrastructure!K$12)^2)</f>
        <v>51.4</v>
      </c>
      <c r="BF1175" s="330">
        <f t="shared" si="148"/>
        <v>3.929376541</v>
      </c>
      <c r="BG1175" s="333">
        <f t="shared" si="149"/>
        <v>51.4</v>
      </c>
      <c r="BH1175" s="943">
        <v>36526.0</v>
      </c>
      <c r="BI1175" s="462" t="s">
        <v>845</v>
      </c>
      <c r="BJ1175" s="319" t="s">
        <v>845</v>
      </c>
      <c r="BK1175" s="319" t="s">
        <v>845</v>
      </c>
      <c r="BL1175" s="319" t="s">
        <v>845</v>
      </c>
      <c r="BM1175" s="955" t="s">
        <v>845</v>
      </c>
      <c r="BN1175" s="319" t="s">
        <v>845</v>
      </c>
      <c r="BO1175" s="319" t="s">
        <v>845</v>
      </c>
      <c r="BP1175" s="953" t="s">
        <v>845</v>
      </c>
      <c r="BQ1175" s="319" t="s">
        <v>845</v>
      </c>
      <c r="BR1175" s="324" t="s">
        <v>845</v>
      </c>
      <c r="BS1175" s="330">
        <f t="shared" si="150"/>
        <v>0</v>
      </c>
      <c r="BT1175" s="331">
        <f t="shared" si="151"/>
        <v>0</v>
      </c>
      <c r="BU1175" s="920"/>
      <c r="BV1175" s="903"/>
      <c r="BW1175" s="907"/>
      <c r="BX1175" s="908"/>
      <c r="BY1175" s="331"/>
      <c r="BZ1175" s="340"/>
      <c r="CA1175" s="316"/>
      <c r="CB1175" s="318"/>
      <c r="CC1175" s="318"/>
      <c r="CD1175" s="318"/>
      <c r="CE1175" s="318"/>
      <c r="CF1175" s="318"/>
      <c r="CG1175" s="318"/>
      <c r="CH1175" s="318"/>
      <c r="CI1175" s="318"/>
      <c r="CJ1175" s="463"/>
      <c r="CK1175" s="342"/>
      <c r="CL1175" s="333"/>
      <c r="CM1175" s="829"/>
      <c r="CN1175" s="333"/>
      <c r="CO1175" s="333"/>
      <c r="CP1175" s="333"/>
    </row>
    <row r="1176">
      <c r="A1176" s="389" t="s">
        <v>61</v>
      </c>
      <c r="B1176" s="573" t="s">
        <v>1832</v>
      </c>
      <c r="C1176" s="909">
        <v>44545.0</v>
      </c>
      <c r="D1176" s="392"/>
      <c r="E1176" s="393" t="s">
        <v>1455</v>
      </c>
      <c r="F1176" s="394" t="s">
        <v>1861</v>
      </c>
      <c r="G1176" s="395">
        <v>0.5017361111111112</v>
      </c>
      <c r="H1176" s="456">
        <v>0.5020833333333333</v>
      </c>
      <c r="I1176" s="456"/>
      <c r="J1176" s="456"/>
      <c r="K1176" s="456">
        <v>0.503125</v>
      </c>
      <c r="L1176" s="456">
        <v>0.0010416666666666667</v>
      </c>
      <c r="M1176" s="393" t="s">
        <v>166</v>
      </c>
      <c r="N1176" s="394" t="s">
        <v>188</v>
      </c>
      <c r="O1176" s="399" t="s">
        <v>378</v>
      </c>
      <c r="P1176" s="393" t="s">
        <v>225</v>
      </c>
      <c r="Q1176" s="392"/>
      <c r="R1176" s="400">
        <v>22.7</v>
      </c>
      <c r="S1176" s="393">
        <v>39.7</v>
      </c>
      <c r="T1176" s="394">
        <v>1.9</v>
      </c>
      <c r="U1176" s="393">
        <v>10.0</v>
      </c>
      <c r="V1176" s="393"/>
      <c r="W1176" s="393"/>
      <c r="X1176" s="393"/>
      <c r="Y1176" s="393"/>
      <c r="Z1176" s="393" t="s">
        <v>1140</v>
      </c>
      <c r="AA1176" s="393"/>
      <c r="AB1176" s="393" t="s">
        <v>407</v>
      </c>
      <c r="AC1176" s="401">
        <v>15.75</v>
      </c>
      <c r="AD1176" s="393"/>
      <c r="AE1176" s="393"/>
      <c r="AF1176" s="393"/>
      <c r="AG1176" s="393"/>
      <c r="AH1176" s="393"/>
      <c r="AI1176" s="393"/>
      <c r="AJ1176" s="401"/>
      <c r="AK1176" s="402"/>
      <c r="AL1176" s="393"/>
      <c r="AM1176" s="393"/>
      <c r="AN1176" s="393"/>
      <c r="AO1176" s="393"/>
      <c r="AP1176" s="393"/>
      <c r="AQ1176" s="393"/>
      <c r="AR1176" s="393"/>
      <c r="AS1176" s="401"/>
      <c r="AT1176" s="460" t="s">
        <v>183</v>
      </c>
      <c r="AU1176" s="394" t="s">
        <v>845</v>
      </c>
      <c r="AV1176" s="405">
        <f>SQRT(($R1176-Infrastructure!J$3)^2+($S1176-Infrastructure!K$3)^2)</f>
        <v>25.40944706</v>
      </c>
      <c r="AW1176" s="406">
        <f>SQRT(($R1176-Infrastructure!J$4)^2+($S1176-Infrastructure!K$4)^2)</f>
        <v>31.75862088</v>
      </c>
      <c r="AX1176" s="406">
        <f>SQRT(($R1176-Infrastructure!J$5)^2+($S1176-Infrastructure!K$5)^2)</f>
        <v>41.54708173</v>
      </c>
      <c r="AY1176" s="406">
        <f>SQRT(($R1176-Infrastructure!J$6)^2+($S1176-Infrastructure!K$6)^2)</f>
        <v>41.36568626</v>
      </c>
      <c r="AZ1176" s="406">
        <f>SQRT(($R1176-Infrastructure!J$7)^2+($S1176-Infrastructure!K$7)^2)</f>
        <v>39.46137352</v>
      </c>
      <c r="BA1176" s="406">
        <f>SQRT(($R1176-Infrastructure!J$8)^2+($S1176-Infrastructure!K$8)^2)</f>
        <v>40.08890121</v>
      </c>
      <c r="BB1176" s="406">
        <f>SQRT(($R1176-Infrastructure!J$9)^2+($S1176-Infrastructure!K$9)^2)</f>
        <v>38.68397601</v>
      </c>
      <c r="BC1176" s="406">
        <f>SQRT(($R1176-Infrastructure!J$10)^2+($S1176-Infrastructure!K$10)^2)</f>
        <v>30.15592811</v>
      </c>
      <c r="BD1176" s="406">
        <f>SQRT(($R1176-Infrastructure!J$11)^2+($S1176-Infrastructure!K$11)^2)</f>
        <v>20.51194774</v>
      </c>
      <c r="BE1176" s="408">
        <f>SQRT(($R1176-Infrastructure!J$12)^2+($S1176-Infrastructure!K$12)^2)</f>
        <v>15.84550409</v>
      </c>
      <c r="BF1176" s="405">
        <f t="shared" si="148"/>
        <v>15.84550409</v>
      </c>
      <c r="BG1176" s="408">
        <f t="shared" si="149"/>
        <v>41.54708173</v>
      </c>
      <c r="BH1176" s="961">
        <v>36526.0</v>
      </c>
      <c r="BI1176" s="573" t="s">
        <v>846</v>
      </c>
      <c r="BJ1176" s="393" t="s">
        <v>845</v>
      </c>
      <c r="BK1176" s="393" t="s">
        <v>845</v>
      </c>
      <c r="BL1176" s="393" t="s">
        <v>845</v>
      </c>
      <c r="BM1176" s="959" t="s">
        <v>845</v>
      </c>
      <c r="BN1176" s="393" t="s">
        <v>846</v>
      </c>
      <c r="BO1176" s="393" t="s">
        <v>845</v>
      </c>
      <c r="BP1176" s="960" t="s">
        <v>846</v>
      </c>
      <c r="BQ1176" s="393" t="s">
        <v>846</v>
      </c>
      <c r="BR1176" s="394" t="s">
        <v>846</v>
      </c>
      <c r="BS1176" s="405">
        <f t="shared" si="150"/>
        <v>15.84550409</v>
      </c>
      <c r="BT1176" s="406">
        <f t="shared" si="151"/>
        <v>40.08890121</v>
      </c>
      <c r="BU1176" s="931">
        <v>0.502974537037037</v>
      </c>
      <c r="BV1176" s="901">
        <f>BU1176-G1176</f>
        <v>0.001238425926</v>
      </c>
      <c r="BW1176" s="925">
        <v>28.8</v>
      </c>
      <c r="BX1176" s="926">
        <v>32.5</v>
      </c>
      <c r="BY1176" s="406">
        <f>IF(BW1176&gt;0, SQRT((R1176-BW1176)^2+(S1176-BX1176)^2))</f>
        <v>9.436630755</v>
      </c>
      <c r="BZ1176" s="412"/>
      <c r="CA1176" s="390"/>
      <c r="CB1176" s="392"/>
      <c r="CC1176" s="392"/>
      <c r="CD1176" s="392"/>
      <c r="CE1176" s="392"/>
      <c r="CF1176" s="392"/>
      <c r="CG1176" s="392"/>
      <c r="CH1176" s="392"/>
      <c r="CI1176" s="392"/>
      <c r="CJ1176" s="898"/>
      <c r="CK1176" s="414"/>
      <c r="CL1176" s="408"/>
      <c r="CM1176" s="832"/>
      <c r="CN1176" s="333"/>
      <c r="CO1176" s="333"/>
      <c r="CP1176" s="333"/>
    </row>
    <row r="1177">
      <c r="B1177" s="462" t="s">
        <v>1832</v>
      </c>
      <c r="C1177" s="914">
        <v>44545.0</v>
      </c>
      <c r="D1177" s="318"/>
      <c r="E1177" s="319" t="s">
        <v>1525</v>
      </c>
      <c r="F1177" s="324" t="s">
        <v>1862</v>
      </c>
      <c r="G1177" s="321">
        <v>0.5548611111111111</v>
      </c>
      <c r="H1177" s="323">
        <v>0.5552083333333333</v>
      </c>
      <c r="I1177" s="323"/>
      <c r="J1177" s="323"/>
      <c r="K1177" s="323">
        <v>0.55625</v>
      </c>
      <c r="L1177" s="323">
        <v>0.0010416666666666667</v>
      </c>
      <c r="M1177" s="319" t="s">
        <v>166</v>
      </c>
      <c r="N1177" s="324" t="s">
        <v>188</v>
      </c>
      <c r="O1177" s="419" t="s">
        <v>378</v>
      </c>
      <c r="P1177" s="319" t="s">
        <v>225</v>
      </c>
      <c r="Q1177" s="318"/>
      <c r="R1177" s="326">
        <v>22.7</v>
      </c>
      <c r="S1177" s="319">
        <v>39.7</v>
      </c>
      <c r="T1177" s="324">
        <v>1.9</v>
      </c>
      <c r="U1177" s="319">
        <v>8.0</v>
      </c>
      <c r="V1177" s="319"/>
      <c r="W1177" s="319"/>
      <c r="X1177" s="319"/>
      <c r="Y1177" s="319"/>
      <c r="Z1177" s="319" t="s">
        <v>1140</v>
      </c>
      <c r="AA1177" s="319"/>
      <c r="AB1177" s="319" t="s">
        <v>407</v>
      </c>
      <c r="AC1177" s="327">
        <v>15.75</v>
      </c>
      <c r="AD1177" s="319"/>
      <c r="AE1177" s="319"/>
      <c r="AF1177" s="319"/>
      <c r="AG1177" s="319"/>
      <c r="AH1177" s="319"/>
      <c r="AI1177" s="319"/>
      <c r="AJ1177" s="327"/>
      <c r="AK1177" s="328"/>
      <c r="AL1177" s="319"/>
      <c r="AM1177" s="319"/>
      <c r="AN1177" s="319"/>
      <c r="AO1177" s="319"/>
      <c r="AP1177" s="319"/>
      <c r="AQ1177" s="319"/>
      <c r="AR1177" s="319"/>
      <c r="AS1177" s="327"/>
      <c r="AT1177" s="461" t="s">
        <v>182</v>
      </c>
      <c r="AU1177" s="324" t="s">
        <v>845</v>
      </c>
      <c r="AV1177" s="330">
        <f>SQRT(($R1177-Infrastructure!J$3)^2+($S1177-Infrastructure!K$3)^2)</f>
        <v>25.40944706</v>
      </c>
      <c r="AW1177" s="331">
        <f>SQRT(($R1177-Infrastructure!J$4)^2+($S1177-Infrastructure!K$4)^2)</f>
        <v>31.75862088</v>
      </c>
      <c r="AX1177" s="331">
        <f>SQRT(($R1177-Infrastructure!J$5)^2+($S1177-Infrastructure!K$5)^2)</f>
        <v>41.54708173</v>
      </c>
      <c r="AY1177" s="331">
        <f>SQRT(($R1177-Infrastructure!J$6)^2+($S1177-Infrastructure!K$6)^2)</f>
        <v>41.36568626</v>
      </c>
      <c r="AZ1177" s="331">
        <f>SQRT(($R1177-Infrastructure!J$7)^2+($S1177-Infrastructure!K$7)^2)</f>
        <v>39.46137352</v>
      </c>
      <c r="BA1177" s="331">
        <f>SQRT(($R1177-Infrastructure!J$8)^2+($S1177-Infrastructure!K$8)^2)</f>
        <v>40.08890121</v>
      </c>
      <c r="BB1177" s="331">
        <f>SQRT(($R1177-Infrastructure!J$9)^2+($S1177-Infrastructure!K$9)^2)</f>
        <v>38.68397601</v>
      </c>
      <c r="BC1177" s="331">
        <f>SQRT(($R1177-Infrastructure!J$10)^2+($S1177-Infrastructure!K$10)^2)</f>
        <v>30.15592811</v>
      </c>
      <c r="BD1177" s="331">
        <f>SQRT(($R1177-Infrastructure!J$11)^2+($S1177-Infrastructure!K$11)^2)</f>
        <v>20.51194774</v>
      </c>
      <c r="BE1177" s="333">
        <f>SQRT(($R1177-Infrastructure!J$12)^2+($S1177-Infrastructure!K$12)^2)</f>
        <v>15.84550409</v>
      </c>
      <c r="BF1177" s="330">
        <f t="shared" si="148"/>
        <v>15.84550409</v>
      </c>
      <c r="BG1177" s="333">
        <f t="shared" si="149"/>
        <v>41.54708173</v>
      </c>
      <c r="BH1177" s="943">
        <v>36526.0</v>
      </c>
      <c r="BI1177" s="462" t="s">
        <v>845</v>
      </c>
      <c r="BJ1177" s="319" t="s">
        <v>845</v>
      </c>
      <c r="BK1177" s="319" t="s">
        <v>845</v>
      </c>
      <c r="BL1177" s="319" t="s">
        <v>845</v>
      </c>
      <c r="BM1177" s="955" t="s">
        <v>845</v>
      </c>
      <c r="BN1177" s="319" t="s">
        <v>845</v>
      </c>
      <c r="BO1177" s="319" t="s">
        <v>845</v>
      </c>
      <c r="BP1177" s="953" t="s">
        <v>845</v>
      </c>
      <c r="BQ1177" s="319" t="s">
        <v>845</v>
      </c>
      <c r="BR1177" s="324" t="s">
        <v>845</v>
      </c>
      <c r="BS1177" s="330">
        <f t="shared" si="150"/>
        <v>0</v>
      </c>
      <c r="BT1177" s="331">
        <f t="shared" si="151"/>
        <v>0</v>
      </c>
      <c r="BU1177" s="920"/>
      <c r="BV1177" s="903"/>
      <c r="BW1177" s="907"/>
      <c r="BX1177" s="908"/>
      <c r="BY1177" s="331"/>
      <c r="BZ1177" s="340"/>
      <c r="CA1177" s="316"/>
      <c r="CB1177" s="318"/>
      <c r="CC1177" s="318"/>
      <c r="CD1177" s="318"/>
      <c r="CE1177" s="318"/>
      <c r="CF1177" s="318"/>
      <c r="CG1177" s="318"/>
      <c r="CH1177" s="318"/>
      <c r="CI1177" s="318"/>
      <c r="CJ1177" s="463"/>
      <c r="CK1177" s="342"/>
      <c r="CL1177" s="333"/>
      <c r="CM1177" s="829"/>
      <c r="CN1177" s="333"/>
      <c r="CO1177" s="333"/>
      <c r="CP1177" s="333"/>
    </row>
    <row r="1178">
      <c r="B1178" s="462" t="s">
        <v>1832</v>
      </c>
      <c r="C1178" s="914">
        <v>44545.0</v>
      </c>
      <c r="D1178" s="318"/>
      <c r="E1178" s="319" t="s">
        <v>1552</v>
      </c>
      <c r="F1178" s="324" t="s">
        <v>1863</v>
      </c>
      <c r="G1178" s="321">
        <v>0.5571180555555556</v>
      </c>
      <c r="H1178" s="323">
        <v>0.5574652777777778</v>
      </c>
      <c r="I1178" s="323"/>
      <c r="J1178" s="323"/>
      <c r="K1178" s="323">
        <v>0.5585069444444445</v>
      </c>
      <c r="L1178" s="323">
        <v>0.0010416666666666667</v>
      </c>
      <c r="M1178" s="319" t="s">
        <v>166</v>
      </c>
      <c r="N1178" s="324" t="s">
        <v>187</v>
      </c>
      <c r="O1178" s="419" t="s">
        <v>201</v>
      </c>
      <c r="P1178" s="319" t="s">
        <v>256</v>
      </c>
      <c r="Q1178" s="319" t="s">
        <v>1842</v>
      </c>
      <c r="R1178" s="326">
        <v>1.0</v>
      </c>
      <c r="S1178" s="319">
        <v>2.4</v>
      </c>
      <c r="T1178" s="324">
        <v>0.7</v>
      </c>
      <c r="U1178" s="319">
        <v>3.0</v>
      </c>
      <c r="V1178" s="319"/>
      <c r="W1178" s="319"/>
      <c r="X1178" s="319"/>
      <c r="Y1178" s="319"/>
      <c r="Z1178" s="319" t="s">
        <v>339</v>
      </c>
      <c r="AA1178" s="319"/>
      <c r="AB1178" s="319" t="s">
        <v>337</v>
      </c>
      <c r="AC1178" s="327">
        <v>2.5</v>
      </c>
      <c r="AD1178" s="319"/>
      <c r="AE1178" s="319"/>
      <c r="AF1178" s="319"/>
      <c r="AG1178" s="319"/>
      <c r="AH1178" s="319"/>
      <c r="AI1178" s="319"/>
      <c r="AJ1178" s="327"/>
      <c r="AK1178" s="328"/>
      <c r="AL1178" s="319"/>
      <c r="AM1178" s="319"/>
      <c r="AN1178" s="319"/>
      <c r="AO1178" s="319"/>
      <c r="AP1178" s="319"/>
      <c r="AQ1178" s="319"/>
      <c r="AR1178" s="319"/>
      <c r="AS1178" s="327"/>
      <c r="AT1178" s="461" t="s">
        <v>182</v>
      </c>
      <c r="AU1178" s="324" t="s">
        <v>845</v>
      </c>
      <c r="AV1178" s="330">
        <f>SQRT(($R1178-Infrastructure!J$3)^2+($S1178-Infrastructure!K$3)^2)</f>
        <v>26.53186763</v>
      </c>
      <c r="AW1178" s="331">
        <f>SQRT(($R1178-Infrastructure!J$4)^2+($S1178-Infrastructure!K$4)^2)</f>
        <v>15.45477273</v>
      </c>
      <c r="AX1178" s="331">
        <f>SQRT(($R1178-Infrastructure!J$5)^2+($S1178-Infrastructure!K$5)^2)</f>
        <v>2.996664813</v>
      </c>
      <c r="AY1178" s="331">
        <f>SQRT(($R1178-Infrastructure!J$6)^2+($S1178-Infrastructure!K$6)^2)</f>
        <v>9.339164845</v>
      </c>
      <c r="AZ1178" s="331">
        <f>SQRT(($R1178-Infrastructure!J$7)^2+($S1178-Infrastructure!K$7)^2)</f>
        <v>19.61275095</v>
      </c>
      <c r="BA1178" s="331">
        <f>SQRT(($R1178-Infrastructure!J$8)^2+($S1178-Infrastructure!K$8)^2)</f>
        <v>29.1756748</v>
      </c>
      <c r="BB1178" s="331">
        <f>SQRT(($R1178-Infrastructure!J$9)^2+($S1178-Infrastructure!K$9)^2)</f>
        <v>39.09334982</v>
      </c>
      <c r="BC1178" s="331">
        <f>SQRT(($R1178-Infrastructure!J$10)^2+($S1178-Infrastructure!K$10)^2)</f>
        <v>40.98487526</v>
      </c>
      <c r="BD1178" s="331">
        <f>SQRT(($R1178-Infrastructure!J$11)^2+($S1178-Infrastructure!K$11)^2)</f>
        <v>47.37298808</v>
      </c>
      <c r="BE1178" s="333">
        <f>SQRT(($R1178-Infrastructure!J$12)^2+($S1178-Infrastructure!K$12)^2)</f>
        <v>56.9197681</v>
      </c>
      <c r="BF1178" s="330">
        <f t="shared" si="148"/>
        <v>2.996664813</v>
      </c>
      <c r="BG1178" s="333">
        <f t="shared" si="149"/>
        <v>56.9197681</v>
      </c>
      <c r="BH1178" s="943">
        <v>36526.0</v>
      </c>
      <c r="BI1178" s="462" t="s">
        <v>845</v>
      </c>
      <c r="BJ1178" s="319" t="s">
        <v>845</v>
      </c>
      <c r="BK1178" s="319" t="s">
        <v>845</v>
      </c>
      <c r="BL1178" s="319" t="s">
        <v>845</v>
      </c>
      <c r="BM1178" s="955" t="s">
        <v>845</v>
      </c>
      <c r="BN1178" s="319" t="s">
        <v>845</v>
      </c>
      <c r="BO1178" s="319" t="s">
        <v>845</v>
      </c>
      <c r="BP1178" s="953" t="s">
        <v>845</v>
      </c>
      <c r="BQ1178" s="319" t="s">
        <v>845</v>
      </c>
      <c r="BR1178" s="324" t="s">
        <v>845</v>
      </c>
      <c r="BS1178" s="330">
        <f t="shared" si="150"/>
        <v>0</v>
      </c>
      <c r="BT1178" s="331">
        <f t="shared" si="151"/>
        <v>0</v>
      </c>
      <c r="BU1178" s="920"/>
      <c r="BV1178" s="903"/>
      <c r="BW1178" s="907"/>
      <c r="BX1178" s="908"/>
      <c r="BY1178" s="331"/>
      <c r="BZ1178" s="340"/>
      <c r="CA1178" s="316"/>
      <c r="CB1178" s="318"/>
      <c r="CC1178" s="318"/>
      <c r="CD1178" s="318"/>
      <c r="CE1178" s="318"/>
      <c r="CF1178" s="318"/>
      <c r="CG1178" s="318"/>
      <c r="CH1178" s="318"/>
      <c r="CI1178" s="318"/>
      <c r="CJ1178" s="463"/>
      <c r="CK1178" s="342"/>
      <c r="CL1178" s="333"/>
      <c r="CM1178" s="829"/>
      <c r="CN1178" s="333"/>
      <c r="CO1178" s="333"/>
      <c r="CP1178" s="333"/>
    </row>
    <row r="1179">
      <c r="B1179" s="462" t="s">
        <v>1832</v>
      </c>
      <c r="C1179" s="914">
        <v>44545.0</v>
      </c>
      <c r="D1179" s="318"/>
      <c r="E1179" s="319" t="s">
        <v>1472</v>
      </c>
      <c r="F1179" s="324" t="s">
        <v>1864</v>
      </c>
      <c r="G1179" s="321">
        <v>0.559375</v>
      </c>
      <c r="H1179" s="323">
        <v>0.5598958333333334</v>
      </c>
      <c r="I1179" s="323"/>
      <c r="J1179" s="323"/>
      <c r="K1179" s="323">
        <v>0.5609375</v>
      </c>
      <c r="L1179" s="323">
        <v>0.0010416666666666667</v>
      </c>
      <c r="M1179" s="319" t="s">
        <v>166</v>
      </c>
      <c r="N1179" s="324" t="s">
        <v>187</v>
      </c>
      <c r="O1179" s="419" t="s">
        <v>201</v>
      </c>
      <c r="P1179" s="319" t="s">
        <v>256</v>
      </c>
      <c r="Q1179" s="319" t="s">
        <v>1842</v>
      </c>
      <c r="R1179" s="326">
        <v>5.0</v>
      </c>
      <c r="S1179" s="319">
        <v>2.4</v>
      </c>
      <c r="T1179" s="324">
        <v>0.7</v>
      </c>
      <c r="U1179" s="319">
        <v>3.0</v>
      </c>
      <c r="V1179" s="319"/>
      <c r="W1179" s="319"/>
      <c r="X1179" s="319"/>
      <c r="Y1179" s="319"/>
      <c r="Z1179" s="319" t="s">
        <v>339</v>
      </c>
      <c r="AA1179" s="319"/>
      <c r="AB1179" s="319" t="s">
        <v>337</v>
      </c>
      <c r="AC1179" s="327">
        <v>2.5</v>
      </c>
      <c r="AD1179" s="319"/>
      <c r="AE1179" s="319"/>
      <c r="AF1179" s="319"/>
      <c r="AG1179" s="319"/>
      <c r="AH1179" s="319"/>
      <c r="AI1179" s="319"/>
      <c r="AJ1179" s="327"/>
      <c r="AK1179" s="328"/>
      <c r="AL1179" s="319"/>
      <c r="AM1179" s="319"/>
      <c r="AN1179" s="319"/>
      <c r="AO1179" s="319"/>
      <c r="AP1179" s="319"/>
      <c r="AQ1179" s="319"/>
      <c r="AR1179" s="319"/>
      <c r="AS1179" s="327"/>
      <c r="AT1179" s="461" t="s">
        <v>182</v>
      </c>
      <c r="AU1179" s="324" t="s">
        <v>845</v>
      </c>
      <c r="AV1179" s="330">
        <f>SQRT(($R1179-Infrastructure!J$3)^2+($S1179-Infrastructure!K$3)^2)</f>
        <v>27.02480342</v>
      </c>
      <c r="AW1179" s="331">
        <f>SQRT(($R1179-Infrastructure!J$4)^2+($S1179-Infrastructure!K$4)^2)</f>
        <v>16.28649747</v>
      </c>
      <c r="AX1179" s="331">
        <f>SQRT(($R1179-Infrastructure!J$5)^2+($S1179-Infrastructure!K$5)^2)</f>
        <v>5.948108943</v>
      </c>
      <c r="AY1179" s="331">
        <f>SQRT(($R1179-Infrastructure!J$6)^2+($S1179-Infrastructure!K$6)^2)</f>
        <v>5.515432893</v>
      </c>
      <c r="AZ1179" s="331">
        <f>SQRT(($R1179-Infrastructure!J$7)^2+($S1179-Infrastructure!K$7)^2)</f>
        <v>15.64161117</v>
      </c>
      <c r="BA1179" s="331">
        <f>SQRT(($R1179-Infrastructure!J$8)^2+($S1179-Infrastructure!K$8)^2)</f>
        <v>25.18769541</v>
      </c>
      <c r="BB1179" s="331">
        <f>SQRT(($R1179-Infrastructure!J$9)^2+($S1179-Infrastructure!K$9)^2)</f>
        <v>35.10398838</v>
      </c>
      <c r="BC1179" s="331">
        <f>SQRT(($R1179-Infrastructure!J$10)^2+($S1179-Infrastructure!K$10)^2)</f>
        <v>37.19892472</v>
      </c>
      <c r="BD1179" s="331">
        <f>SQRT(($R1179-Infrastructure!J$11)^2+($S1179-Infrastructure!K$11)^2)</f>
        <v>44.12029012</v>
      </c>
      <c r="BE1179" s="333">
        <f>SQRT(($R1179-Infrastructure!J$12)^2+($S1179-Infrastructure!K$12)^2)</f>
        <v>55.60449622</v>
      </c>
      <c r="BF1179" s="330">
        <f t="shared" si="148"/>
        <v>5.515432893</v>
      </c>
      <c r="BG1179" s="333">
        <f t="shared" si="149"/>
        <v>55.60449622</v>
      </c>
      <c r="BH1179" s="943">
        <v>36526.0</v>
      </c>
      <c r="BI1179" s="462" t="s">
        <v>846</v>
      </c>
      <c r="BJ1179" s="319" t="s">
        <v>845</v>
      </c>
      <c r="BK1179" s="319" t="s">
        <v>845</v>
      </c>
      <c r="BL1179" s="319" t="s">
        <v>845</v>
      </c>
      <c r="BM1179" s="955" t="s">
        <v>845</v>
      </c>
      <c r="BN1179" s="319" t="s">
        <v>846</v>
      </c>
      <c r="BO1179" s="319" t="s">
        <v>845</v>
      </c>
      <c r="BP1179" s="953" t="s">
        <v>846</v>
      </c>
      <c r="BQ1179" s="319" t="s">
        <v>846</v>
      </c>
      <c r="BR1179" s="324" t="s">
        <v>846</v>
      </c>
      <c r="BS1179" s="330">
        <f t="shared" si="150"/>
        <v>25.18769541</v>
      </c>
      <c r="BT1179" s="331">
        <f t="shared" si="151"/>
        <v>55.60449622</v>
      </c>
      <c r="BU1179" s="920">
        <v>0.5598958333333334</v>
      </c>
      <c r="BV1179" s="903">
        <f>BU1179-G1179</f>
        <v>0.0005208333333</v>
      </c>
      <c r="BW1179" s="907">
        <v>25.8</v>
      </c>
      <c r="BX1179" s="908">
        <v>26.4</v>
      </c>
      <c r="BY1179" s="331">
        <f>IF(BW1179&gt;0, SQRT((R1179-BW1179)^2+(S1179-BX1179)^2))</f>
        <v>31.75909319</v>
      </c>
      <c r="BZ1179" s="340"/>
      <c r="CA1179" s="316"/>
      <c r="CB1179" s="318"/>
      <c r="CC1179" s="318"/>
      <c r="CD1179" s="318"/>
      <c r="CE1179" s="318"/>
      <c r="CF1179" s="318"/>
      <c r="CG1179" s="318"/>
      <c r="CH1179" s="318"/>
      <c r="CI1179" s="318"/>
      <c r="CJ1179" s="463"/>
      <c r="CK1179" s="342"/>
      <c r="CL1179" s="333"/>
      <c r="CM1179" s="829"/>
      <c r="CN1179" s="333"/>
      <c r="CO1179" s="333"/>
      <c r="CP1179" s="333"/>
    </row>
    <row r="1180">
      <c r="B1180" s="462" t="s">
        <v>1832</v>
      </c>
      <c r="C1180" s="914">
        <v>44545.0</v>
      </c>
      <c r="D1180" s="318"/>
      <c r="E1180" s="319" t="s">
        <v>1865</v>
      </c>
      <c r="F1180" s="324" t="s">
        <v>1866</v>
      </c>
      <c r="G1180" s="321">
        <v>0.5630208333333333</v>
      </c>
      <c r="H1180" s="323">
        <v>0.5633680555555556</v>
      </c>
      <c r="I1180" s="323"/>
      <c r="J1180" s="323"/>
      <c r="K1180" s="323">
        <v>0.5644097222222222</v>
      </c>
      <c r="L1180" s="323">
        <v>0.0010416666666666667</v>
      </c>
      <c r="M1180" s="319" t="s">
        <v>166</v>
      </c>
      <c r="N1180" s="324" t="s">
        <v>187</v>
      </c>
      <c r="O1180" s="419" t="s">
        <v>200</v>
      </c>
      <c r="P1180" s="319" t="s">
        <v>256</v>
      </c>
      <c r="Q1180" s="319" t="s">
        <v>1846</v>
      </c>
      <c r="R1180" s="326">
        <v>1.0</v>
      </c>
      <c r="S1180" s="319">
        <v>17.7</v>
      </c>
      <c r="T1180" s="324">
        <v>0.7</v>
      </c>
      <c r="U1180" s="319">
        <v>3.0</v>
      </c>
      <c r="V1180" s="319"/>
      <c r="W1180" s="319"/>
      <c r="X1180" s="319"/>
      <c r="Y1180" s="319"/>
      <c r="Z1180" s="319" t="s">
        <v>318</v>
      </c>
      <c r="AA1180" s="319"/>
      <c r="AB1180" s="319" t="s">
        <v>337</v>
      </c>
      <c r="AC1180" s="327">
        <v>2.5</v>
      </c>
      <c r="AD1180" s="319"/>
      <c r="AE1180" s="319"/>
      <c r="AF1180" s="319"/>
      <c r="AG1180" s="319"/>
      <c r="AH1180" s="319"/>
      <c r="AI1180" s="319"/>
      <c r="AJ1180" s="327"/>
      <c r="AK1180" s="328"/>
      <c r="AL1180" s="319"/>
      <c r="AM1180" s="319"/>
      <c r="AN1180" s="319"/>
      <c r="AO1180" s="319"/>
      <c r="AP1180" s="319"/>
      <c r="AQ1180" s="319"/>
      <c r="AR1180" s="319"/>
      <c r="AS1180" s="327"/>
      <c r="AT1180" s="461" t="s">
        <v>182</v>
      </c>
      <c r="AU1180" s="324" t="s">
        <v>845</v>
      </c>
      <c r="AV1180" s="330">
        <f>SQRT(($R1180-Infrastructure!J$3)^2+($S1180-Infrastructure!K$3)^2)</f>
        <v>11.27519401</v>
      </c>
      <c r="AW1180" s="331">
        <f>SQRT(($R1180-Infrastructure!J$4)^2+($S1180-Infrastructure!K$4)^2)</f>
        <v>1.303840481</v>
      </c>
      <c r="AX1180" s="331">
        <f>SQRT(($R1180-Infrastructure!J$5)^2+($S1180-Infrastructure!K$5)^2)</f>
        <v>12.66688596</v>
      </c>
      <c r="AY1180" s="331">
        <f>SQRT(($R1180-Infrastructure!J$6)^2+($S1180-Infrastructure!K$6)^2)</f>
        <v>19.63593644</v>
      </c>
      <c r="AZ1180" s="331">
        <f>SQRT(($R1180-Infrastructure!J$7)^2+($S1180-Infrastructure!K$7)^2)</f>
        <v>26.13446001</v>
      </c>
      <c r="BA1180" s="331">
        <f>SQRT(($R1180-Infrastructure!J$8)^2+($S1180-Infrastructure!K$8)^2)</f>
        <v>33.90530932</v>
      </c>
      <c r="BB1180" s="331">
        <f>SQRT(($R1180-Infrastructure!J$9)^2+($S1180-Infrastructure!K$9)^2)</f>
        <v>40.98487526</v>
      </c>
      <c r="BC1180" s="331">
        <f>SQRT(($R1180-Infrastructure!J$10)^2+($S1180-Infrastructure!K$10)^2)</f>
        <v>39.09334982</v>
      </c>
      <c r="BD1180" s="331">
        <f>SQRT(($R1180-Infrastructure!J$11)^2+($S1180-Infrastructure!K$11)^2)</f>
        <v>40.7962008</v>
      </c>
      <c r="BE1180" s="333">
        <f>SQRT(($R1180-Infrastructure!J$12)^2+($S1180-Infrastructure!K$12)^2)</f>
        <v>43.0010465</v>
      </c>
      <c r="BF1180" s="330">
        <f t="shared" si="148"/>
        <v>1.303840481</v>
      </c>
      <c r="BG1180" s="333">
        <f t="shared" si="149"/>
        <v>43.0010465</v>
      </c>
      <c r="BH1180" s="943">
        <v>36526.0</v>
      </c>
      <c r="BI1180" s="462" t="s">
        <v>845</v>
      </c>
      <c r="BJ1180" s="319" t="s">
        <v>845</v>
      </c>
      <c r="BK1180" s="319" t="s">
        <v>845</v>
      </c>
      <c r="BL1180" s="319" t="s">
        <v>845</v>
      </c>
      <c r="BM1180" s="955" t="s">
        <v>845</v>
      </c>
      <c r="BN1180" s="319" t="s">
        <v>845</v>
      </c>
      <c r="BO1180" s="319" t="s">
        <v>845</v>
      </c>
      <c r="BP1180" s="953" t="s">
        <v>845</v>
      </c>
      <c r="BQ1180" s="319" t="s">
        <v>845</v>
      </c>
      <c r="BR1180" s="324" t="s">
        <v>845</v>
      </c>
      <c r="BS1180" s="330">
        <f t="shared" si="150"/>
        <v>0</v>
      </c>
      <c r="BT1180" s="331">
        <f t="shared" si="151"/>
        <v>0</v>
      </c>
      <c r="BU1180" s="920"/>
      <c r="BV1180" s="903"/>
      <c r="BW1180" s="907"/>
      <c r="BX1180" s="908"/>
      <c r="BY1180" s="331"/>
      <c r="BZ1180" s="340"/>
      <c r="CA1180" s="316"/>
      <c r="CB1180" s="318"/>
      <c r="CC1180" s="318"/>
      <c r="CD1180" s="318"/>
      <c r="CE1180" s="318"/>
      <c r="CF1180" s="318"/>
      <c r="CG1180" s="318"/>
      <c r="CH1180" s="318"/>
      <c r="CI1180" s="318"/>
      <c r="CJ1180" s="463"/>
      <c r="CK1180" s="342"/>
      <c r="CL1180" s="333"/>
      <c r="CM1180" s="829"/>
      <c r="CN1180" s="333"/>
      <c r="CO1180" s="333"/>
      <c r="CP1180" s="333"/>
    </row>
    <row r="1181">
      <c r="B1181" s="462" t="s">
        <v>1832</v>
      </c>
      <c r="C1181" s="914">
        <v>44545.0</v>
      </c>
      <c r="D1181" s="318"/>
      <c r="E1181" s="319" t="s">
        <v>1483</v>
      </c>
      <c r="F1181" s="324" t="s">
        <v>1867</v>
      </c>
      <c r="G1181" s="321">
        <v>0.565625</v>
      </c>
      <c r="H1181" s="323">
        <v>0.5659722222222222</v>
      </c>
      <c r="I1181" s="323"/>
      <c r="J1181" s="323"/>
      <c r="K1181" s="323">
        <v>0.5670138888888889</v>
      </c>
      <c r="L1181" s="323">
        <v>0.0010416666666666667</v>
      </c>
      <c r="M1181" s="319" t="s">
        <v>166</v>
      </c>
      <c r="N1181" s="324" t="s">
        <v>187</v>
      </c>
      <c r="O1181" s="419" t="s">
        <v>200</v>
      </c>
      <c r="P1181" s="319" t="s">
        <v>256</v>
      </c>
      <c r="Q1181" s="319" t="s">
        <v>1846</v>
      </c>
      <c r="R1181" s="326">
        <v>5.0</v>
      </c>
      <c r="S1181" s="319">
        <v>17.7</v>
      </c>
      <c r="T1181" s="324">
        <v>0.7</v>
      </c>
      <c r="U1181" s="319">
        <v>3.0</v>
      </c>
      <c r="V1181" s="319"/>
      <c r="W1181" s="319"/>
      <c r="X1181" s="319"/>
      <c r="Y1181" s="319"/>
      <c r="Z1181" s="319" t="s">
        <v>318</v>
      </c>
      <c r="AA1181" s="319"/>
      <c r="AB1181" s="319" t="s">
        <v>337</v>
      </c>
      <c r="AC1181" s="327">
        <v>2.5</v>
      </c>
      <c r="AD1181" s="319"/>
      <c r="AE1181" s="319"/>
      <c r="AF1181" s="319"/>
      <c r="AG1181" s="319"/>
      <c r="AH1181" s="319"/>
      <c r="AI1181" s="319"/>
      <c r="AJ1181" s="327"/>
      <c r="AK1181" s="328"/>
      <c r="AL1181" s="319"/>
      <c r="AM1181" s="319"/>
      <c r="AN1181" s="319"/>
      <c r="AO1181" s="319"/>
      <c r="AP1181" s="319"/>
      <c r="AQ1181" s="319"/>
      <c r="AR1181" s="319"/>
      <c r="AS1181" s="327"/>
      <c r="AT1181" s="461" t="s">
        <v>182</v>
      </c>
      <c r="AU1181" s="324" t="s">
        <v>845</v>
      </c>
      <c r="AV1181" s="330">
        <f>SQRT(($R1181-Infrastructure!J$3)^2+($S1181-Infrastructure!K$3)^2)</f>
        <v>12.39072234</v>
      </c>
      <c r="AW1181" s="331">
        <f>SQRT(($R1181-Infrastructure!J$4)^2+($S1181-Infrastructure!K$4)^2)</f>
        <v>5.300943312</v>
      </c>
      <c r="AX1181" s="331">
        <f>SQRT(($R1181-Infrastructure!J$5)^2+($S1181-Infrastructure!K$5)^2)</f>
        <v>13.66930869</v>
      </c>
      <c r="AY1181" s="331">
        <f>SQRT(($R1181-Infrastructure!J$6)^2+($S1181-Infrastructure!K$6)^2)</f>
        <v>18.13201588</v>
      </c>
      <c r="AZ1181" s="331">
        <f>SQRT(($R1181-Infrastructure!J$7)^2+($S1181-Infrastructure!K$7)^2)</f>
        <v>23.30257497</v>
      </c>
      <c r="BA1181" s="331">
        <f>SQRT(($R1181-Infrastructure!J$8)^2+($S1181-Infrastructure!K$8)^2)</f>
        <v>30.54128354</v>
      </c>
      <c r="BB1181" s="331">
        <f>SQRT(($R1181-Infrastructure!J$9)^2+($S1181-Infrastructure!K$9)^2)</f>
        <v>37.19892472</v>
      </c>
      <c r="BC1181" s="331">
        <f>SQRT(($R1181-Infrastructure!J$10)^2+($S1181-Infrastructure!K$10)^2)</f>
        <v>35.10398838</v>
      </c>
      <c r="BD1181" s="331">
        <f>SQRT(($R1181-Infrastructure!J$11)^2+($S1181-Infrastructure!K$11)^2)</f>
        <v>36.9693116</v>
      </c>
      <c r="BE1181" s="333">
        <f>SQRT(($R1181-Infrastructure!J$12)^2+($S1181-Infrastructure!K$12)^2)</f>
        <v>41.24427233</v>
      </c>
      <c r="BF1181" s="330">
        <f t="shared" si="148"/>
        <v>5.300943312</v>
      </c>
      <c r="BG1181" s="333">
        <f t="shared" si="149"/>
        <v>41.24427233</v>
      </c>
      <c r="BH1181" s="943">
        <v>36526.0</v>
      </c>
      <c r="BI1181" s="462" t="s">
        <v>846</v>
      </c>
      <c r="BJ1181" s="319" t="s">
        <v>845</v>
      </c>
      <c r="BK1181" s="319" t="s">
        <v>845</v>
      </c>
      <c r="BL1181" s="319" t="s">
        <v>845</v>
      </c>
      <c r="BM1181" s="955" t="s">
        <v>845</v>
      </c>
      <c r="BN1181" s="319" t="s">
        <v>846</v>
      </c>
      <c r="BO1181" s="319" t="s">
        <v>845</v>
      </c>
      <c r="BP1181" s="953" t="s">
        <v>846</v>
      </c>
      <c r="BQ1181" s="319" t="s">
        <v>846</v>
      </c>
      <c r="BR1181" s="324" t="s">
        <v>846</v>
      </c>
      <c r="BS1181" s="330">
        <f t="shared" si="150"/>
        <v>12.39072234</v>
      </c>
      <c r="BT1181" s="331">
        <f t="shared" si="151"/>
        <v>41.24427233</v>
      </c>
      <c r="BU1181" s="920">
        <v>0.5655324074074074</v>
      </c>
      <c r="BV1181" s="903">
        <f>BU1181-G1181</f>
        <v>-0.00009259259259</v>
      </c>
      <c r="BW1181" s="907">
        <v>31.1</v>
      </c>
      <c r="BX1181" s="908">
        <v>26.4</v>
      </c>
      <c r="BY1181" s="331">
        <f>IF(BW1181&gt;0, SQRT((R1181-BW1181)^2+(S1181-BX1181)^2))</f>
        <v>27.51181564</v>
      </c>
      <c r="BZ1181" s="340"/>
      <c r="CA1181" s="316"/>
      <c r="CB1181" s="318"/>
      <c r="CC1181" s="318"/>
      <c r="CD1181" s="318"/>
      <c r="CE1181" s="318"/>
      <c r="CF1181" s="318"/>
      <c r="CG1181" s="318"/>
      <c r="CH1181" s="318"/>
      <c r="CI1181" s="318"/>
      <c r="CJ1181" s="463"/>
      <c r="CK1181" s="342"/>
      <c r="CL1181" s="333"/>
      <c r="CM1181" s="829"/>
      <c r="CN1181" s="333"/>
      <c r="CO1181" s="333"/>
      <c r="CP1181" s="333"/>
    </row>
    <row r="1182">
      <c r="B1182" s="462" t="s">
        <v>1832</v>
      </c>
      <c r="C1182" s="914">
        <v>44545.0</v>
      </c>
      <c r="D1182" s="318"/>
      <c r="E1182" s="319" t="s">
        <v>1269</v>
      </c>
      <c r="F1182" s="324" t="s">
        <v>1868</v>
      </c>
      <c r="G1182" s="321">
        <v>0.5690972222222223</v>
      </c>
      <c r="H1182" s="323">
        <v>0.5694444444444444</v>
      </c>
      <c r="I1182" s="323"/>
      <c r="J1182" s="323"/>
      <c r="K1182" s="323">
        <v>0.5704861111111111</v>
      </c>
      <c r="L1182" s="323">
        <v>0.0010416666666666667</v>
      </c>
      <c r="M1182" s="319" t="s">
        <v>166</v>
      </c>
      <c r="N1182" s="324" t="s">
        <v>187</v>
      </c>
      <c r="O1182" s="419" t="s">
        <v>201</v>
      </c>
      <c r="P1182" s="319" t="s">
        <v>256</v>
      </c>
      <c r="Q1182" s="319" t="s">
        <v>1869</v>
      </c>
      <c r="R1182" s="326">
        <v>1.0</v>
      </c>
      <c r="S1182" s="319">
        <v>5.0</v>
      </c>
      <c r="T1182" s="324">
        <v>0.7</v>
      </c>
      <c r="U1182" s="319">
        <v>3.0</v>
      </c>
      <c r="V1182" s="319"/>
      <c r="W1182" s="319"/>
      <c r="X1182" s="319"/>
      <c r="Y1182" s="319"/>
      <c r="Z1182" s="319" t="s">
        <v>339</v>
      </c>
      <c r="AA1182" s="319"/>
      <c r="AB1182" s="319" t="s">
        <v>337</v>
      </c>
      <c r="AC1182" s="327">
        <v>2.5</v>
      </c>
      <c r="AD1182" s="319"/>
      <c r="AE1182" s="319"/>
      <c r="AF1182" s="319"/>
      <c r="AG1182" s="319"/>
      <c r="AH1182" s="319"/>
      <c r="AI1182" s="319"/>
      <c r="AJ1182" s="327"/>
      <c r="AK1182" s="328"/>
      <c r="AL1182" s="319"/>
      <c r="AM1182" s="319"/>
      <c r="AN1182" s="319"/>
      <c r="AO1182" s="319"/>
      <c r="AP1182" s="319"/>
      <c r="AQ1182" s="319"/>
      <c r="AR1182" s="319"/>
      <c r="AS1182" s="327"/>
      <c r="AT1182" s="461" t="s">
        <v>182</v>
      </c>
      <c r="AU1182" s="324" t="s">
        <v>845</v>
      </c>
      <c r="AV1182" s="330">
        <f>SQRT(($R1182-Infrastructure!J$3)^2+($S1182-Infrastructure!K$3)^2)</f>
        <v>23.93532954</v>
      </c>
      <c r="AW1182" s="331">
        <f>SQRT(($R1182-Infrastructure!J$4)^2+($S1182-Infrastructure!K$4)^2)</f>
        <v>12.86584626</v>
      </c>
      <c r="AX1182" s="331">
        <f>SQRT(($R1182-Infrastructure!J$5)^2+($S1182-Infrastructure!K$5)^2)</f>
        <v>1.303840481</v>
      </c>
      <c r="AY1182" s="331">
        <f>SQRT(($R1182-Infrastructure!J$6)^2+($S1182-Infrastructure!K$6)^2)</f>
        <v>10.2420701</v>
      </c>
      <c r="AZ1182" s="331">
        <f>SQRT(($R1182-Infrastructure!J$7)^2+($S1182-Infrastructure!K$7)^2)</f>
        <v>20.05841469</v>
      </c>
      <c r="BA1182" s="331">
        <f>SQRT(($R1182-Infrastructure!J$8)^2+($S1182-Infrastructure!K$8)^2)</f>
        <v>29.47710976</v>
      </c>
      <c r="BB1182" s="331">
        <f>SQRT(($R1182-Infrastructure!J$9)^2+($S1182-Infrastructure!K$9)^2)</f>
        <v>39.0001282</v>
      </c>
      <c r="BC1182" s="331">
        <f>SQRT(($R1182-Infrastructure!J$10)^2+($S1182-Infrastructure!K$10)^2)</f>
        <v>40.26164428</v>
      </c>
      <c r="BD1182" s="331">
        <f>SQRT(($R1182-Infrastructure!J$11)^2+($S1182-Infrastructure!K$11)^2)</f>
        <v>45.96346375</v>
      </c>
      <c r="BE1182" s="333">
        <f>SQRT(($R1182-Infrastructure!J$12)^2+($S1182-Infrastructure!K$12)^2)</f>
        <v>54.50229353</v>
      </c>
      <c r="BF1182" s="330">
        <f t="shared" si="148"/>
        <v>1.303840481</v>
      </c>
      <c r="BG1182" s="333">
        <f t="shared" si="149"/>
        <v>54.50229353</v>
      </c>
      <c r="BH1182" s="943">
        <v>36526.0</v>
      </c>
      <c r="BI1182" s="462" t="s">
        <v>845</v>
      </c>
      <c r="BJ1182" s="319" t="s">
        <v>845</v>
      </c>
      <c r="BK1182" s="319" t="s">
        <v>845</v>
      </c>
      <c r="BL1182" s="319" t="s">
        <v>845</v>
      </c>
      <c r="BM1182" s="955" t="s">
        <v>845</v>
      </c>
      <c r="BN1182" s="319" t="s">
        <v>845</v>
      </c>
      <c r="BO1182" s="319" t="s">
        <v>845</v>
      </c>
      <c r="BP1182" s="953" t="s">
        <v>845</v>
      </c>
      <c r="BQ1182" s="319" t="s">
        <v>845</v>
      </c>
      <c r="BR1182" s="324" t="s">
        <v>845</v>
      </c>
      <c r="BS1182" s="330">
        <f t="shared" si="150"/>
        <v>0</v>
      </c>
      <c r="BT1182" s="331">
        <f t="shared" si="151"/>
        <v>0</v>
      </c>
      <c r="BU1182" s="920"/>
      <c r="BV1182" s="903"/>
      <c r="BW1182" s="907"/>
      <c r="BX1182" s="908"/>
      <c r="BY1182" s="331"/>
      <c r="BZ1182" s="340"/>
      <c r="CA1182" s="316"/>
      <c r="CB1182" s="318"/>
      <c r="CC1182" s="318"/>
      <c r="CD1182" s="318"/>
      <c r="CE1182" s="318"/>
      <c r="CF1182" s="318"/>
      <c r="CG1182" s="318"/>
      <c r="CH1182" s="318"/>
      <c r="CI1182" s="318"/>
      <c r="CJ1182" s="463"/>
      <c r="CK1182" s="342"/>
      <c r="CL1182" s="333"/>
      <c r="CM1182" s="829"/>
      <c r="CN1182" s="333"/>
      <c r="CO1182" s="333"/>
      <c r="CP1182" s="333"/>
    </row>
    <row r="1183">
      <c r="B1183" s="462" t="s">
        <v>1832</v>
      </c>
      <c r="C1183" s="914">
        <v>44545.0</v>
      </c>
      <c r="D1183" s="318"/>
      <c r="E1183" s="319" t="s">
        <v>1490</v>
      </c>
      <c r="F1183" s="324" t="s">
        <v>1870</v>
      </c>
      <c r="G1183" s="321">
        <v>0.5717013888888889</v>
      </c>
      <c r="H1183" s="323">
        <v>0.5720486111111112</v>
      </c>
      <c r="I1183" s="323"/>
      <c r="J1183" s="323"/>
      <c r="K1183" s="323">
        <v>0.5734375</v>
      </c>
      <c r="L1183" s="323">
        <v>0.001388888888888889</v>
      </c>
      <c r="M1183" s="319" t="s">
        <v>166</v>
      </c>
      <c r="N1183" s="324" t="s">
        <v>187</v>
      </c>
      <c r="O1183" s="419" t="s">
        <v>201</v>
      </c>
      <c r="P1183" s="319" t="s">
        <v>256</v>
      </c>
      <c r="Q1183" s="319" t="s">
        <v>1869</v>
      </c>
      <c r="R1183" s="326">
        <v>5.0</v>
      </c>
      <c r="S1183" s="319">
        <v>5.0</v>
      </c>
      <c r="T1183" s="324">
        <v>0.7</v>
      </c>
      <c r="U1183" s="319">
        <v>3.0</v>
      </c>
      <c r="V1183" s="319"/>
      <c r="W1183" s="319"/>
      <c r="X1183" s="319"/>
      <c r="Y1183" s="319"/>
      <c r="Z1183" s="319" t="s">
        <v>339</v>
      </c>
      <c r="AA1183" s="319"/>
      <c r="AB1183" s="319" t="s">
        <v>337</v>
      </c>
      <c r="AC1183" s="327">
        <v>2.5</v>
      </c>
      <c r="AD1183" s="319"/>
      <c r="AE1183" s="319"/>
      <c r="AF1183" s="319"/>
      <c r="AG1183" s="319"/>
      <c r="AH1183" s="319"/>
      <c r="AI1183" s="319"/>
      <c r="AJ1183" s="327"/>
      <c r="AK1183" s="328"/>
      <c r="AL1183" s="319"/>
      <c r="AM1183" s="319"/>
      <c r="AN1183" s="319"/>
      <c r="AO1183" s="319"/>
      <c r="AP1183" s="319"/>
      <c r="AQ1183" s="319"/>
      <c r="AR1183" s="319"/>
      <c r="AS1183" s="327"/>
      <c r="AT1183" s="461" t="s">
        <v>182</v>
      </c>
      <c r="AU1183" s="324" t="s">
        <v>845</v>
      </c>
      <c r="AV1183" s="330">
        <f>SQRT(($R1183-Infrastructure!J$3)^2+($S1183-Infrastructure!K$3)^2)</f>
        <v>24.48060457</v>
      </c>
      <c r="AW1183" s="331">
        <f>SQRT(($R1183-Infrastructure!J$4)^2+($S1183-Infrastructure!K$4)^2)</f>
        <v>13.85388032</v>
      </c>
      <c r="AX1183" s="331">
        <f>SQRT(($R1183-Infrastructure!J$5)^2+($S1183-Infrastructure!K$5)^2)</f>
        <v>5.300943312</v>
      </c>
      <c r="AY1183" s="331">
        <f>SQRT(($R1183-Infrastructure!J$6)^2+($S1183-Infrastructure!K$6)^2)</f>
        <v>6.935416354</v>
      </c>
      <c r="AZ1183" s="331">
        <f>SQRT(($R1183-Infrastructure!J$7)^2+($S1183-Infrastructure!K$7)^2)</f>
        <v>16.19691329</v>
      </c>
      <c r="BA1183" s="331">
        <f>SQRT(($R1183-Infrastructure!J$8)^2+($S1183-Infrastructure!K$8)^2)</f>
        <v>25.53624875</v>
      </c>
      <c r="BB1183" s="331">
        <f>SQRT(($R1183-Infrastructure!J$9)^2+($S1183-Infrastructure!K$9)^2)</f>
        <v>35.00014286</v>
      </c>
      <c r="BC1183" s="331">
        <f>SQRT(($R1183-Infrastructure!J$10)^2+($S1183-Infrastructure!K$10)^2)</f>
        <v>36.40054945</v>
      </c>
      <c r="BD1183" s="331">
        <f>SQRT(($R1183-Infrastructure!J$11)^2+($S1183-Infrastructure!K$11)^2)</f>
        <v>42.60328626</v>
      </c>
      <c r="BE1183" s="333">
        <f>SQRT(($R1183-Infrastructure!J$12)^2+($S1183-Infrastructure!K$12)^2)</f>
        <v>53.12720584</v>
      </c>
      <c r="BF1183" s="330">
        <f t="shared" si="148"/>
        <v>5.300943312</v>
      </c>
      <c r="BG1183" s="333">
        <f t="shared" si="149"/>
        <v>53.12720584</v>
      </c>
      <c r="BH1183" s="943">
        <v>36526.0</v>
      </c>
      <c r="BI1183" s="462" t="s">
        <v>845</v>
      </c>
      <c r="BJ1183" s="319" t="s">
        <v>845</v>
      </c>
      <c r="BK1183" s="319" t="s">
        <v>845</v>
      </c>
      <c r="BL1183" s="319" t="s">
        <v>845</v>
      </c>
      <c r="BM1183" s="955" t="s">
        <v>845</v>
      </c>
      <c r="BN1183" s="319" t="s">
        <v>845</v>
      </c>
      <c r="BO1183" s="319" t="s">
        <v>845</v>
      </c>
      <c r="BP1183" s="953" t="s">
        <v>845</v>
      </c>
      <c r="BQ1183" s="319" t="s">
        <v>845</v>
      </c>
      <c r="BR1183" s="324" t="s">
        <v>845</v>
      </c>
      <c r="BS1183" s="330">
        <f t="shared" si="150"/>
        <v>0</v>
      </c>
      <c r="BT1183" s="331">
        <f t="shared" si="151"/>
        <v>0</v>
      </c>
      <c r="BU1183" s="920"/>
      <c r="BV1183" s="903"/>
      <c r="BW1183" s="907"/>
      <c r="BX1183" s="908"/>
      <c r="BY1183" s="331"/>
      <c r="BZ1183" s="340"/>
      <c r="CA1183" s="316"/>
      <c r="CB1183" s="318"/>
      <c r="CC1183" s="318"/>
      <c r="CD1183" s="318"/>
      <c r="CE1183" s="318"/>
      <c r="CF1183" s="318"/>
      <c r="CG1183" s="318"/>
      <c r="CH1183" s="318"/>
      <c r="CI1183" s="318"/>
      <c r="CJ1183" s="463"/>
      <c r="CK1183" s="342"/>
      <c r="CL1183" s="333"/>
      <c r="CM1183" s="829"/>
      <c r="CN1183" s="333"/>
      <c r="CO1183" s="333"/>
      <c r="CP1183" s="333"/>
    </row>
    <row r="1184">
      <c r="B1184" s="462" t="s">
        <v>1832</v>
      </c>
      <c r="C1184" s="914">
        <v>44545.0</v>
      </c>
      <c r="D1184" s="318"/>
      <c r="E1184" s="319" t="s">
        <v>1496</v>
      </c>
      <c r="F1184" s="324" t="s">
        <v>1871</v>
      </c>
      <c r="G1184" s="321">
        <v>0.5744791666666667</v>
      </c>
      <c r="H1184" s="323">
        <v>0.5748263888888889</v>
      </c>
      <c r="I1184" s="323"/>
      <c r="J1184" s="323"/>
      <c r="K1184" s="323">
        <v>0.5758680555555555</v>
      </c>
      <c r="L1184" s="323">
        <v>0.0010416666666666667</v>
      </c>
      <c r="M1184" s="319" t="s">
        <v>166</v>
      </c>
      <c r="N1184" s="324" t="s">
        <v>187</v>
      </c>
      <c r="O1184" s="419" t="s">
        <v>203</v>
      </c>
      <c r="P1184" s="319" t="s">
        <v>250</v>
      </c>
      <c r="Q1184" s="318"/>
      <c r="R1184" s="326">
        <v>15.1</v>
      </c>
      <c r="S1184" s="319">
        <v>2.4</v>
      </c>
      <c r="T1184" s="324">
        <v>1.2</v>
      </c>
      <c r="U1184" s="319">
        <v>2.0</v>
      </c>
      <c r="V1184" s="319"/>
      <c r="W1184" s="319"/>
      <c r="X1184" s="319"/>
      <c r="Y1184" s="319"/>
      <c r="Z1184" s="319" t="s">
        <v>357</v>
      </c>
      <c r="AA1184" s="319"/>
      <c r="AB1184" s="319" t="s">
        <v>380</v>
      </c>
      <c r="AC1184" s="327">
        <v>4.0</v>
      </c>
      <c r="AD1184" s="319"/>
      <c r="AE1184" s="319"/>
      <c r="AF1184" s="319"/>
      <c r="AG1184" s="319"/>
      <c r="AH1184" s="319"/>
      <c r="AI1184" s="319"/>
      <c r="AJ1184" s="327"/>
      <c r="AK1184" s="328"/>
      <c r="AL1184" s="319"/>
      <c r="AM1184" s="319"/>
      <c r="AN1184" s="319"/>
      <c r="AO1184" s="319"/>
      <c r="AP1184" s="319"/>
      <c r="AQ1184" s="319"/>
      <c r="AR1184" s="319"/>
      <c r="AS1184" s="327"/>
      <c r="AT1184" s="461" t="s">
        <v>182</v>
      </c>
      <c r="AU1184" s="324" t="s">
        <v>845</v>
      </c>
      <c r="AV1184" s="330">
        <f>SQRT(($R1184-Infrastructure!J$3)^2+($S1184-Infrastructure!K$3)^2)</f>
        <v>30.64979608</v>
      </c>
      <c r="AW1184" s="331">
        <f>SQRT(($R1184-Infrastructure!J$4)^2+($S1184-Infrastructure!K$4)^2)</f>
        <v>21.77888886</v>
      </c>
      <c r="AX1184" s="331">
        <f>SQRT(($R1184-Infrastructure!J$5)^2+($S1184-Infrastructure!K$5)^2)</f>
        <v>15.63489687</v>
      </c>
      <c r="AY1184" s="331">
        <f>SQRT(($R1184-Infrastructure!J$6)^2+($S1184-Infrastructure!K$6)^2)</f>
        <v>5.423098745</v>
      </c>
      <c r="AZ1184" s="331">
        <f>SQRT(($R1184-Infrastructure!J$7)^2+($S1184-Infrastructure!K$7)^2)</f>
        <v>5.793962375</v>
      </c>
      <c r="BA1184" s="331">
        <f>SQRT(($R1184-Infrastructure!J$8)^2+($S1184-Infrastructure!K$8)^2)</f>
        <v>15.14628667</v>
      </c>
      <c r="BB1184" s="331">
        <f>SQRT(($R1184-Infrastructure!J$9)^2+($S1184-Infrastructure!K$9)^2)</f>
        <v>25.04595776</v>
      </c>
      <c r="BC1184" s="331">
        <f>SQRT(($R1184-Infrastructure!J$10)^2+($S1184-Infrastructure!K$10)^2)</f>
        <v>27.90645087</v>
      </c>
      <c r="BD1184" s="331">
        <f>SQRT(($R1184-Infrastructure!J$11)^2+($S1184-Infrastructure!K$11)^2)</f>
        <v>36.5728041</v>
      </c>
      <c r="BE1184" s="333">
        <f>SQRT(($R1184-Infrastructure!J$12)^2+($S1184-Infrastructure!K$12)^2)</f>
        <v>53.48429676</v>
      </c>
      <c r="BF1184" s="330">
        <f t="shared" si="148"/>
        <v>5.423098745</v>
      </c>
      <c r="BG1184" s="333">
        <f t="shared" si="149"/>
        <v>53.48429676</v>
      </c>
      <c r="BH1184" s="943">
        <v>36526.0</v>
      </c>
      <c r="BI1184" s="462" t="s">
        <v>845</v>
      </c>
      <c r="BJ1184" s="319" t="s">
        <v>845</v>
      </c>
      <c r="BK1184" s="319" t="s">
        <v>845</v>
      </c>
      <c r="BL1184" s="319" t="s">
        <v>845</v>
      </c>
      <c r="BM1184" s="955" t="s">
        <v>845</v>
      </c>
      <c r="BN1184" s="319" t="s">
        <v>845</v>
      </c>
      <c r="BO1184" s="319" t="s">
        <v>845</v>
      </c>
      <c r="BP1184" s="953" t="s">
        <v>845</v>
      </c>
      <c r="BQ1184" s="319" t="s">
        <v>845</v>
      </c>
      <c r="BR1184" s="324" t="s">
        <v>845</v>
      </c>
      <c r="BS1184" s="330">
        <f t="shared" si="150"/>
        <v>0</v>
      </c>
      <c r="BT1184" s="331">
        <f t="shared" si="151"/>
        <v>0</v>
      </c>
      <c r="BU1184" s="920"/>
      <c r="BV1184" s="903"/>
      <c r="BW1184" s="907"/>
      <c r="BX1184" s="908"/>
      <c r="BY1184" s="331"/>
      <c r="BZ1184" s="340"/>
      <c r="CA1184" s="316"/>
      <c r="CB1184" s="318"/>
      <c r="CC1184" s="318"/>
      <c r="CD1184" s="318"/>
      <c r="CE1184" s="318"/>
      <c r="CF1184" s="318"/>
      <c r="CG1184" s="318"/>
      <c r="CH1184" s="318"/>
      <c r="CI1184" s="318"/>
      <c r="CJ1184" s="463"/>
      <c r="CK1184" s="342"/>
      <c r="CL1184" s="333"/>
      <c r="CM1184" s="829"/>
      <c r="CN1184" s="333"/>
      <c r="CO1184" s="333"/>
      <c r="CP1184" s="333"/>
    </row>
    <row r="1185">
      <c r="B1185" s="462" t="s">
        <v>1832</v>
      </c>
      <c r="C1185" s="914">
        <v>44545.0</v>
      </c>
      <c r="D1185" s="318"/>
      <c r="E1185" s="319" t="s">
        <v>1360</v>
      </c>
      <c r="F1185" s="324" t="s">
        <v>1872</v>
      </c>
      <c r="G1185" s="321">
        <v>0.5765625</v>
      </c>
      <c r="H1185" s="323">
        <v>0.5769097222222223</v>
      </c>
      <c r="I1185" s="323"/>
      <c r="J1185" s="323"/>
      <c r="K1185" s="323">
        <v>0.5779513888888889</v>
      </c>
      <c r="L1185" s="323">
        <v>0.0010416666666666667</v>
      </c>
      <c r="M1185" s="319" t="s">
        <v>166</v>
      </c>
      <c r="N1185" s="324" t="s">
        <v>187</v>
      </c>
      <c r="O1185" s="419" t="s">
        <v>203</v>
      </c>
      <c r="P1185" s="319" t="s">
        <v>250</v>
      </c>
      <c r="Q1185" s="318"/>
      <c r="R1185" s="326">
        <v>15.1</v>
      </c>
      <c r="S1185" s="319">
        <v>2.4</v>
      </c>
      <c r="T1185" s="324">
        <v>1.2</v>
      </c>
      <c r="U1185" s="319">
        <v>6.0</v>
      </c>
      <c r="V1185" s="319"/>
      <c r="W1185" s="319"/>
      <c r="X1185" s="319"/>
      <c r="Y1185" s="319"/>
      <c r="Z1185" s="319" t="s">
        <v>357</v>
      </c>
      <c r="AA1185" s="319"/>
      <c r="AB1185" s="319" t="s">
        <v>380</v>
      </c>
      <c r="AC1185" s="327">
        <v>4.0</v>
      </c>
      <c r="AD1185" s="319"/>
      <c r="AE1185" s="319"/>
      <c r="AF1185" s="319"/>
      <c r="AG1185" s="319"/>
      <c r="AH1185" s="319"/>
      <c r="AI1185" s="319"/>
      <c r="AJ1185" s="327"/>
      <c r="AK1185" s="328"/>
      <c r="AL1185" s="319"/>
      <c r="AM1185" s="319"/>
      <c r="AN1185" s="319"/>
      <c r="AO1185" s="319"/>
      <c r="AP1185" s="319"/>
      <c r="AQ1185" s="319"/>
      <c r="AR1185" s="319"/>
      <c r="AS1185" s="327"/>
      <c r="AT1185" s="461" t="s">
        <v>182</v>
      </c>
      <c r="AU1185" s="324" t="s">
        <v>845</v>
      </c>
      <c r="AV1185" s="330">
        <f>SQRT(($R1185-Infrastructure!J$3)^2+($S1185-Infrastructure!K$3)^2)</f>
        <v>30.64979608</v>
      </c>
      <c r="AW1185" s="331">
        <f>SQRT(($R1185-Infrastructure!J$4)^2+($S1185-Infrastructure!K$4)^2)</f>
        <v>21.77888886</v>
      </c>
      <c r="AX1185" s="331">
        <f>SQRT(($R1185-Infrastructure!J$5)^2+($S1185-Infrastructure!K$5)^2)</f>
        <v>15.63489687</v>
      </c>
      <c r="AY1185" s="331">
        <f>SQRT(($R1185-Infrastructure!J$6)^2+($S1185-Infrastructure!K$6)^2)</f>
        <v>5.423098745</v>
      </c>
      <c r="AZ1185" s="331">
        <f>SQRT(($R1185-Infrastructure!J$7)^2+($S1185-Infrastructure!K$7)^2)</f>
        <v>5.793962375</v>
      </c>
      <c r="BA1185" s="331">
        <f>SQRT(($R1185-Infrastructure!J$8)^2+($S1185-Infrastructure!K$8)^2)</f>
        <v>15.14628667</v>
      </c>
      <c r="BB1185" s="331">
        <f>SQRT(($R1185-Infrastructure!J$9)^2+($S1185-Infrastructure!K$9)^2)</f>
        <v>25.04595776</v>
      </c>
      <c r="BC1185" s="331">
        <f>SQRT(($R1185-Infrastructure!J$10)^2+($S1185-Infrastructure!K$10)^2)</f>
        <v>27.90645087</v>
      </c>
      <c r="BD1185" s="331">
        <f>SQRT(($R1185-Infrastructure!J$11)^2+($S1185-Infrastructure!K$11)^2)</f>
        <v>36.5728041</v>
      </c>
      <c r="BE1185" s="333">
        <f>SQRT(($R1185-Infrastructure!J$12)^2+($S1185-Infrastructure!K$12)^2)</f>
        <v>53.48429676</v>
      </c>
      <c r="BF1185" s="330">
        <f t="shared" si="148"/>
        <v>5.423098745</v>
      </c>
      <c r="BG1185" s="333">
        <f t="shared" si="149"/>
        <v>53.48429676</v>
      </c>
      <c r="BH1185" s="943">
        <v>36526.0</v>
      </c>
      <c r="BI1185" s="462" t="s">
        <v>845</v>
      </c>
      <c r="BJ1185" s="319" t="s">
        <v>845</v>
      </c>
      <c r="BK1185" s="319" t="s">
        <v>845</v>
      </c>
      <c r="BL1185" s="319" t="s">
        <v>845</v>
      </c>
      <c r="BM1185" s="955" t="s">
        <v>845</v>
      </c>
      <c r="BN1185" s="319" t="s">
        <v>845</v>
      </c>
      <c r="BO1185" s="319" t="s">
        <v>845</v>
      </c>
      <c r="BP1185" s="953" t="s">
        <v>845</v>
      </c>
      <c r="BQ1185" s="319" t="s">
        <v>845</v>
      </c>
      <c r="BR1185" s="324" t="s">
        <v>845</v>
      </c>
      <c r="BS1185" s="330">
        <f t="shared" si="150"/>
        <v>0</v>
      </c>
      <c r="BT1185" s="331">
        <f t="shared" si="151"/>
        <v>0</v>
      </c>
      <c r="BU1185" s="920"/>
      <c r="BV1185" s="903"/>
      <c r="BW1185" s="907"/>
      <c r="BX1185" s="908"/>
      <c r="BY1185" s="331"/>
      <c r="BZ1185" s="340"/>
      <c r="CA1185" s="316"/>
      <c r="CB1185" s="318"/>
      <c r="CC1185" s="318"/>
      <c r="CD1185" s="318"/>
      <c r="CE1185" s="318"/>
      <c r="CF1185" s="318"/>
      <c r="CG1185" s="318"/>
      <c r="CH1185" s="318"/>
      <c r="CI1185" s="318"/>
      <c r="CJ1185" s="463"/>
      <c r="CK1185" s="342"/>
      <c r="CL1185" s="333"/>
      <c r="CM1185" s="829"/>
      <c r="CN1185" s="333"/>
      <c r="CO1185" s="333"/>
      <c r="CP1185" s="333"/>
    </row>
    <row r="1186">
      <c r="B1186" s="462" t="s">
        <v>1832</v>
      </c>
      <c r="C1186" s="914">
        <v>44545.0</v>
      </c>
      <c r="D1186" s="318"/>
      <c r="E1186" s="319" t="s">
        <v>1229</v>
      </c>
      <c r="F1186" s="324" t="s">
        <v>1873</v>
      </c>
      <c r="G1186" s="321">
        <v>0.5791666666666667</v>
      </c>
      <c r="H1186" s="323">
        <v>0.5795138888888889</v>
      </c>
      <c r="I1186" s="323"/>
      <c r="J1186" s="323"/>
      <c r="K1186" s="323">
        <v>0.5805555555555556</v>
      </c>
      <c r="L1186" s="323">
        <v>0.0010416666666666667</v>
      </c>
      <c r="M1186" s="319" t="s">
        <v>166</v>
      </c>
      <c r="N1186" s="324" t="s">
        <v>187</v>
      </c>
      <c r="O1186" s="419" t="s">
        <v>203</v>
      </c>
      <c r="P1186" s="319" t="s">
        <v>250</v>
      </c>
      <c r="Q1186" s="318"/>
      <c r="R1186" s="326">
        <v>15.1</v>
      </c>
      <c r="S1186" s="319">
        <v>2.4</v>
      </c>
      <c r="T1186" s="324">
        <v>1.2</v>
      </c>
      <c r="U1186" s="319">
        <v>3.0</v>
      </c>
      <c r="V1186" s="319"/>
      <c r="W1186" s="319"/>
      <c r="X1186" s="319"/>
      <c r="Y1186" s="319"/>
      <c r="Z1186" s="319" t="s">
        <v>357</v>
      </c>
      <c r="AA1186" s="319"/>
      <c r="AB1186" s="319" t="s">
        <v>384</v>
      </c>
      <c r="AC1186" s="327">
        <v>6.0</v>
      </c>
      <c r="AD1186" s="319"/>
      <c r="AE1186" s="319"/>
      <c r="AF1186" s="319"/>
      <c r="AG1186" s="319"/>
      <c r="AH1186" s="319"/>
      <c r="AI1186" s="319"/>
      <c r="AJ1186" s="327"/>
      <c r="AK1186" s="328"/>
      <c r="AL1186" s="319"/>
      <c r="AM1186" s="319"/>
      <c r="AN1186" s="319"/>
      <c r="AO1186" s="319"/>
      <c r="AP1186" s="319"/>
      <c r="AQ1186" s="319"/>
      <c r="AR1186" s="319"/>
      <c r="AS1186" s="327"/>
      <c r="AT1186" s="461" t="s">
        <v>182</v>
      </c>
      <c r="AU1186" s="324" t="s">
        <v>845</v>
      </c>
      <c r="AV1186" s="330">
        <f>SQRT(($R1186-Infrastructure!J$3)^2+($S1186-Infrastructure!K$3)^2)</f>
        <v>30.64979608</v>
      </c>
      <c r="AW1186" s="331">
        <f>SQRT(($R1186-Infrastructure!J$4)^2+($S1186-Infrastructure!K$4)^2)</f>
        <v>21.77888886</v>
      </c>
      <c r="AX1186" s="331">
        <f>SQRT(($R1186-Infrastructure!J$5)^2+($S1186-Infrastructure!K$5)^2)</f>
        <v>15.63489687</v>
      </c>
      <c r="AY1186" s="331">
        <f>SQRT(($R1186-Infrastructure!J$6)^2+($S1186-Infrastructure!K$6)^2)</f>
        <v>5.423098745</v>
      </c>
      <c r="AZ1186" s="331">
        <f>SQRT(($R1186-Infrastructure!J$7)^2+($S1186-Infrastructure!K$7)^2)</f>
        <v>5.793962375</v>
      </c>
      <c r="BA1186" s="331">
        <f>SQRT(($R1186-Infrastructure!J$8)^2+($S1186-Infrastructure!K$8)^2)</f>
        <v>15.14628667</v>
      </c>
      <c r="BB1186" s="331">
        <f>SQRT(($R1186-Infrastructure!J$9)^2+($S1186-Infrastructure!K$9)^2)</f>
        <v>25.04595776</v>
      </c>
      <c r="BC1186" s="331">
        <f>SQRT(($R1186-Infrastructure!J$10)^2+($S1186-Infrastructure!K$10)^2)</f>
        <v>27.90645087</v>
      </c>
      <c r="BD1186" s="331">
        <f>SQRT(($R1186-Infrastructure!J$11)^2+($S1186-Infrastructure!K$11)^2)</f>
        <v>36.5728041</v>
      </c>
      <c r="BE1186" s="333">
        <f>SQRT(($R1186-Infrastructure!J$12)^2+($S1186-Infrastructure!K$12)^2)</f>
        <v>53.48429676</v>
      </c>
      <c r="BF1186" s="330">
        <f t="shared" si="148"/>
        <v>5.423098745</v>
      </c>
      <c r="BG1186" s="333">
        <f t="shared" si="149"/>
        <v>53.48429676</v>
      </c>
      <c r="BH1186" s="943">
        <v>36526.0</v>
      </c>
      <c r="BI1186" s="462" t="s">
        <v>845</v>
      </c>
      <c r="BJ1186" s="319" t="s">
        <v>845</v>
      </c>
      <c r="BK1186" s="319" t="s">
        <v>845</v>
      </c>
      <c r="BL1186" s="319" t="s">
        <v>845</v>
      </c>
      <c r="BM1186" s="955" t="s">
        <v>845</v>
      </c>
      <c r="BN1186" s="319" t="s">
        <v>845</v>
      </c>
      <c r="BO1186" s="319" t="s">
        <v>845</v>
      </c>
      <c r="BP1186" s="953" t="s">
        <v>845</v>
      </c>
      <c r="BQ1186" s="319" t="s">
        <v>845</v>
      </c>
      <c r="BR1186" s="324" t="s">
        <v>845</v>
      </c>
      <c r="BS1186" s="330">
        <f t="shared" si="150"/>
        <v>0</v>
      </c>
      <c r="BT1186" s="331">
        <f t="shared" si="151"/>
        <v>0</v>
      </c>
      <c r="BU1186" s="920"/>
      <c r="BV1186" s="903"/>
      <c r="BW1186" s="907"/>
      <c r="BX1186" s="908"/>
      <c r="BY1186" s="331"/>
      <c r="BZ1186" s="340"/>
      <c r="CA1186" s="316"/>
      <c r="CB1186" s="318"/>
      <c r="CC1186" s="318"/>
      <c r="CD1186" s="318"/>
      <c r="CE1186" s="318"/>
      <c r="CF1186" s="318"/>
      <c r="CG1186" s="318"/>
      <c r="CH1186" s="318"/>
      <c r="CI1186" s="318"/>
      <c r="CJ1186" s="463"/>
      <c r="CK1186" s="342"/>
      <c r="CL1186" s="333"/>
      <c r="CM1186" s="829"/>
      <c r="CN1186" s="333"/>
      <c r="CO1186" s="333"/>
      <c r="CP1186" s="333"/>
    </row>
    <row r="1187">
      <c r="B1187" s="462" t="s">
        <v>1832</v>
      </c>
      <c r="C1187" s="914">
        <v>44545.0</v>
      </c>
      <c r="D1187" s="318"/>
      <c r="E1187" s="319" t="s">
        <v>1874</v>
      </c>
      <c r="F1187" s="324" t="s">
        <v>1875</v>
      </c>
      <c r="G1187" s="321">
        <v>0.58125</v>
      </c>
      <c r="H1187" s="323">
        <v>0.5815972222222222</v>
      </c>
      <c r="I1187" s="323"/>
      <c r="J1187" s="323"/>
      <c r="K1187" s="323">
        <v>0.5826388888888889</v>
      </c>
      <c r="L1187" s="323">
        <v>0.0010416666666666667</v>
      </c>
      <c r="M1187" s="319" t="s">
        <v>166</v>
      </c>
      <c r="N1187" s="324" t="s">
        <v>187</v>
      </c>
      <c r="O1187" s="419" t="s">
        <v>203</v>
      </c>
      <c r="P1187" s="319" t="s">
        <v>250</v>
      </c>
      <c r="Q1187" s="318"/>
      <c r="R1187" s="326">
        <v>15.1</v>
      </c>
      <c r="S1187" s="319">
        <v>2.4</v>
      </c>
      <c r="T1187" s="324">
        <v>1.2</v>
      </c>
      <c r="U1187" s="319">
        <v>6.0</v>
      </c>
      <c r="V1187" s="319"/>
      <c r="W1187" s="319"/>
      <c r="X1187" s="319"/>
      <c r="Y1187" s="319"/>
      <c r="Z1187" s="319" t="s">
        <v>357</v>
      </c>
      <c r="AA1187" s="319"/>
      <c r="AB1187" s="319" t="s">
        <v>384</v>
      </c>
      <c r="AC1187" s="327">
        <v>6.0</v>
      </c>
      <c r="AD1187" s="319"/>
      <c r="AE1187" s="319"/>
      <c r="AF1187" s="319"/>
      <c r="AG1187" s="319"/>
      <c r="AH1187" s="319"/>
      <c r="AI1187" s="319"/>
      <c r="AJ1187" s="327"/>
      <c r="AK1187" s="328"/>
      <c r="AL1187" s="319"/>
      <c r="AM1187" s="319"/>
      <c r="AN1187" s="319"/>
      <c r="AO1187" s="319"/>
      <c r="AP1187" s="319"/>
      <c r="AQ1187" s="319"/>
      <c r="AR1187" s="319"/>
      <c r="AS1187" s="327"/>
      <c r="AT1187" s="461" t="s">
        <v>182</v>
      </c>
      <c r="AU1187" s="324" t="s">
        <v>845</v>
      </c>
      <c r="AV1187" s="330">
        <f>SQRT(($R1187-Infrastructure!J$3)^2+($S1187-Infrastructure!K$3)^2)</f>
        <v>30.64979608</v>
      </c>
      <c r="AW1187" s="331">
        <f>SQRT(($R1187-Infrastructure!J$4)^2+($S1187-Infrastructure!K$4)^2)</f>
        <v>21.77888886</v>
      </c>
      <c r="AX1187" s="331">
        <f>SQRT(($R1187-Infrastructure!J$5)^2+($S1187-Infrastructure!K$5)^2)</f>
        <v>15.63489687</v>
      </c>
      <c r="AY1187" s="331">
        <f>SQRT(($R1187-Infrastructure!J$6)^2+($S1187-Infrastructure!K$6)^2)</f>
        <v>5.423098745</v>
      </c>
      <c r="AZ1187" s="331">
        <f>SQRT(($R1187-Infrastructure!J$7)^2+($S1187-Infrastructure!K$7)^2)</f>
        <v>5.793962375</v>
      </c>
      <c r="BA1187" s="331">
        <f>SQRT(($R1187-Infrastructure!J$8)^2+($S1187-Infrastructure!K$8)^2)</f>
        <v>15.14628667</v>
      </c>
      <c r="BB1187" s="331">
        <f>SQRT(($R1187-Infrastructure!J$9)^2+($S1187-Infrastructure!K$9)^2)</f>
        <v>25.04595776</v>
      </c>
      <c r="BC1187" s="331">
        <f>SQRT(($R1187-Infrastructure!J$10)^2+($S1187-Infrastructure!K$10)^2)</f>
        <v>27.90645087</v>
      </c>
      <c r="BD1187" s="331">
        <f>SQRT(($R1187-Infrastructure!J$11)^2+($S1187-Infrastructure!K$11)^2)</f>
        <v>36.5728041</v>
      </c>
      <c r="BE1187" s="333">
        <f>SQRT(($R1187-Infrastructure!J$12)^2+($S1187-Infrastructure!K$12)^2)</f>
        <v>53.48429676</v>
      </c>
      <c r="BF1187" s="330">
        <f t="shared" si="148"/>
        <v>5.423098745</v>
      </c>
      <c r="BG1187" s="333">
        <f t="shared" si="149"/>
        <v>53.48429676</v>
      </c>
      <c r="BH1187" s="943">
        <v>36526.0</v>
      </c>
      <c r="BI1187" s="462" t="s">
        <v>845</v>
      </c>
      <c r="BJ1187" s="319" t="s">
        <v>845</v>
      </c>
      <c r="BK1187" s="319" t="s">
        <v>845</v>
      </c>
      <c r="BL1187" s="319" t="s">
        <v>845</v>
      </c>
      <c r="BM1187" s="955" t="s">
        <v>845</v>
      </c>
      <c r="BN1187" s="319" t="s">
        <v>845</v>
      </c>
      <c r="BO1187" s="319" t="s">
        <v>845</v>
      </c>
      <c r="BP1187" s="953" t="s">
        <v>845</v>
      </c>
      <c r="BQ1187" s="319" t="s">
        <v>845</v>
      </c>
      <c r="BR1187" s="324" t="s">
        <v>845</v>
      </c>
      <c r="BS1187" s="330">
        <f t="shared" si="150"/>
        <v>0</v>
      </c>
      <c r="BT1187" s="331">
        <f t="shared" si="151"/>
        <v>0</v>
      </c>
      <c r="BU1187" s="920"/>
      <c r="BV1187" s="903"/>
      <c r="BW1187" s="907"/>
      <c r="BX1187" s="908"/>
      <c r="BY1187" s="331"/>
      <c r="BZ1187" s="340"/>
      <c r="CA1187" s="316"/>
      <c r="CB1187" s="318"/>
      <c r="CC1187" s="318"/>
      <c r="CD1187" s="318"/>
      <c r="CE1187" s="318"/>
      <c r="CF1187" s="318"/>
      <c r="CG1187" s="318"/>
      <c r="CH1187" s="318"/>
      <c r="CI1187" s="318"/>
      <c r="CJ1187" s="463"/>
      <c r="CK1187" s="342"/>
      <c r="CL1187" s="333"/>
      <c r="CM1187" s="829"/>
      <c r="CN1187" s="333"/>
      <c r="CO1187" s="333"/>
      <c r="CP1187" s="333"/>
    </row>
    <row r="1188">
      <c r="B1188" s="462" t="s">
        <v>1832</v>
      </c>
      <c r="C1188" s="914">
        <v>44545.0</v>
      </c>
      <c r="D1188" s="318"/>
      <c r="E1188" s="319" t="s">
        <v>1876</v>
      </c>
      <c r="F1188" s="324" t="s">
        <v>1877</v>
      </c>
      <c r="G1188" s="321">
        <v>0.5836805555555555</v>
      </c>
      <c r="H1188" s="323">
        <v>0.5840277777777778</v>
      </c>
      <c r="I1188" s="323"/>
      <c r="J1188" s="323"/>
      <c r="K1188" s="323">
        <v>0.5850694444444444</v>
      </c>
      <c r="L1188" s="323">
        <v>0.0010416666666666667</v>
      </c>
      <c r="M1188" s="319" t="s">
        <v>166</v>
      </c>
      <c r="N1188" s="324" t="s">
        <v>187</v>
      </c>
      <c r="O1188" s="419" t="s">
        <v>205</v>
      </c>
      <c r="P1188" s="319" t="s">
        <v>213</v>
      </c>
      <c r="Q1188" s="318"/>
      <c r="R1188" s="326">
        <v>21.5</v>
      </c>
      <c r="S1188" s="319">
        <v>4.1</v>
      </c>
      <c r="T1188" s="324">
        <v>2.3</v>
      </c>
      <c r="U1188" s="319">
        <v>4.0</v>
      </c>
      <c r="V1188" s="319"/>
      <c r="W1188" s="319"/>
      <c r="X1188" s="319"/>
      <c r="Y1188" s="319"/>
      <c r="Z1188" s="319" t="s">
        <v>365</v>
      </c>
      <c r="AA1188" s="319"/>
      <c r="AB1188" s="319" t="s">
        <v>380</v>
      </c>
      <c r="AC1188" s="327">
        <v>4.0</v>
      </c>
      <c r="AD1188" s="319"/>
      <c r="AE1188" s="319"/>
      <c r="AF1188" s="319"/>
      <c r="AG1188" s="319"/>
      <c r="AH1188" s="319"/>
      <c r="AI1188" s="319"/>
      <c r="AJ1188" s="327"/>
      <c r="AK1188" s="328"/>
      <c r="AL1188" s="319"/>
      <c r="AM1188" s="319"/>
      <c r="AN1188" s="319"/>
      <c r="AO1188" s="319"/>
      <c r="AP1188" s="319"/>
      <c r="AQ1188" s="319"/>
      <c r="AR1188" s="319"/>
      <c r="AS1188" s="327"/>
      <c r="AT1188" s="461" t="s">
        <v>182</v>
      </c>
      <c r="AU1188" s="324" t="s">
        <v>845</v>
      </c>
      <c r="AV1188" s="330">
        <f>SQRT(($R1188-Infrastructure!J$3)^2+($S1188-Infrastructure!K$3)^2)</f>
        <v>33.01938824</v>
      </c>
      <c r="AW1188" s="331">
        <f>SQRT(($R1188-Infrastructure!J$4)^2+($S1188-Infrastructure!K$4)^2)</f>
        <v>25.74742706</v>
      </c>
      <c r="AX1188" s="331">
        <f>SQRT(($R1188-Infrastructure!J$5)^2+($S1188-Infrastructure!K$5)^2)</f>
        <v>21.82292373</v>
      </c>
      <c r="AY1188" s="331">
        <f>SQRT(($R1188-Infrastructure!J$6)^2+($S1188-Infrastructure!K$6)^2)</f>
        <v>12.01665511</v>
      </c>
      <c r="AZ1188" s="331">
        <f>SQRT(($R1188-Infrastructure!J$7)^2+($S1188-Infrastructure!K$7)^2)</f>
        <v>3.929376541</v>
      </c>
      <c r="BA1188" s="331">
        <f>SQRT(($R1188-Infrastructure!J$8)^2+($S1188-Infrastructure!K$8)^2)</f>
        <v>9.402127419</v>
      </c>
      <c r="BB1188" s="331">
        <f>SQRT(($R1188-Infrastructure!J$9)^2+($S1188-Infrastructure!K$9)^2)</f>
        <v>18.52700731</v>
      </c>
      <c r="BC1188" s="331">
        <f>SQRT(($R1188-Infrastructure!J$10)^2+($S1188-Infrastructure!K$10)^2)</f>
        <v>21.47230775</v>
      </c>
      <c r="BD1188" s="331">
        <f>SQRT(($R1188-Infrastructure!J$11)^2+($S1188-Infrastructure!K$11)^2)</f>
        <v>31.14000642</v>
      </c>
      <c r="BE1188" s="333">
        <f>SQRT(($R1188-Infrastructure!J$12)^2+($S1188-Infrastructure!K$12)^2)</f>
        <v>51.4</v>
      </c>
      <c r="BF1188" s="330">
        <f t="shared" si="148"/>
        <v>3.929376541</v>
      </c>
      <c r="BG1188" s="333">
        <f t="shared" si="149"/>
        <v>51.4</v>
      </c>
      <c r="BH1188" s="943">
        <v>36526.0</v>
      </c>
      <c r="BI1188" s="462" t="s">
        <v>845</v>
      </c>
      <c r="BJ1188" s="319" t="s">
        <v>845</v>
      </c>
      <c r="BK1188" s="319" t="s">
        <v>845</v>
      </c>
      <c r="BL1188" s="319" t="s">
        <v>845</v>
      </c>
      <c r="BM1188" s="955" t="s">
        <v>845</v>
      </c>
      <c r="BN1188" s="319" t="s">
        <v>845</v>
      </c>
      <c r="BO1188" s="319" t="s">
        <v>845</v>
      </c>
      <c r="BP1188" s="953" t="s">
        <v>845</v>
      </c>
      <c r="BQ1188" s="319" t="s">
        <v>845</v>
      </c>
      <c r="BR1188" s="324" t="s">
        <v>845</v>
      </c>
      <c r="BS1188" s="330">
        <f t="shared" si="150"/>
        <v>0</v>
      </c>
      <c r="BT1188" s="331">
        <f t="shared" si="151"/>
        <v>0</v>
      </c>
      <c r="BU1188" s="920"/>
      <c r="BV1188" s="903"/>
      <c r="BW1188" s="907"/>
      <c r="BX1188" s="908"/>
      <c r="BY1188" s="331"/>
      <c r="BZ1188" s="340"/>
      <c r="CA1188" s="316"/>
      <c r="CB1188" s="318"/>
      <c r="CC1188" s="318"/>
      <c r="CD1188" s="318"/>
      <c r="CE1188" s="318"/>
      <c r="CF1188" s="318"/>
      <c r="CG1188" s="318"/>
      <c r="CH1188" s="318"/>
      <c r="CI1188" s="318"/>
      <c r="CJ1188" s="463"/>
      <c r="CK1188" s="342"/>
      <c r="CL1188" s="333"/>
      <c r="CM1188" s="829"/>
      <c r="CN1188" s="333"/>
      <c r="CO1188" s="333"/>
      <c r="CP1188" s="333"/>
    </row>
    <row r="1189">
      <c r="B1189" s="462" t="s">
        <v>1832</v>
      </c>
      <c r="C1189" s="914">
        <v>44545.0</v>
      </c>
      <c r="D1189" s="318"/>
      <c r="E1189" s="319" t="s">
        <v>1878</v>
      </c>
      <c r="F1189" s="324" t="s">
        <v>1879</v>
      </c>
      <c r="G1189" s="321">
        <v>0.5866319444444444</v>
      </c>
      <c r="H1189" s="323">
        <v>0.5869791666666667</v>
      </c>
      <c r="I1189" s="323"/>
      <c r="J1189" s="323"/>
      <c r="K1189" s="323">
        <v>0.5880208333333333</v>
      </c>
      <c r="L1189" s="323">
        <v>0.0010416666666666667</v>
      </c>
      <c r="M1189" s="319" t="s">
        <v>166</v>
      </c>
      <c r="N1189" s="324" t="s">
        <v>187</v>
      </c>
      <c r="O1189" s="419" t="s">
        <v>205</v>
      </c>
      <c r="P1189" s="319" t="s">
        <v>213</v>
      </c>
      <c r="Q1189" s="318"/>
      <c r="R1189" s="326">
        <v>21.5</v>
      </c>
      <c r="S1189" s="319">
        <v>4.1</v>
      </c>
      <c r="T1189" s="324">
        <v>2.3</v>
      </c>
      <c r="U1189" s="319">
        <v>6.0</v>
      </c>
      <c r="V1189" s="319"/>
      <c r="W1189" s="319"/>
      <c r="X1189" s="319"/>
      <c r="Y1189" s="319"/>
      <c r="Z1189" s="319" t="s">
        <v>365</v>
      </c>
      <c r="AA1189" s="319"/>
      <c r="AB1189" s="319" t="s">
        <v>384</v>
      </c>
      <c r="AC1189" s="327">
        <v>6.0</v>
      </c>
      <c r="AD1189" s="319"/>
      <c r="AE1189" s="319"/>
      <c r="AF1189" s="319"/>
      <c r="AG1189" s="319"/>
      <c r="AH1189" s="319"/>
      <c r="AI1189" s="319"/>
      <c r="AJ1189" s="327"/>
      <c r="AK1189" s="328"/>
      <c r="AL1189" s="319"/>
      <c r="AM1189" s="319"/>
      <c r="AN1189" s="319"/>
      <c r="AO1189" s="319"/>
      <c r="AP1189" s="319"/>
      <c r="AQ1189" s="319"/>
      <c r="AR1189" s="319"/>
      <c r="AS1189" s="327"/>
      <c r="AT1189" s="461" t="s">
        <v>182</v>
      </c>
      <c r="AU1189" s="324" t="s">
        <v>845</v>
      </c>
      <c r="AV1189" s="330">
        <f>SQRT(($R1189-Infrastructure!J$3)^2+($S1189-Infrastructure!K$3)^2)</f>
        <v>33.01938824</v>
      </c>
      <c r="AW1189" s="331">
        <f>SQRT(($R1189-Infrastructure!J$4)^2+($S1189-Infrastructure!K$4)^2)</f>
        <v>25.74742706</v>
      </c>
      <c r="AX1189" s="331">
        <f>SQRT(($R1189-Infrastructure!J$5)^2+($S1189-Infrastructure!K$5)^2)</f>
        <v>21.82292373</v>
      </c>
      <c r="AY1189" s="331">
        <f>SQRT(($R1189-Infrastructure!J$6)^2+($S1189-Infrastructure!K$6)^2)</f>
        <v>12.01665511</v>
      </c>
      <c r="AZ1189" s="331">
        <f>SQRT(($R1189-Infrastructure!J$7)^2+($S1189-Infrastructure!K$7)^2)</f>
        <v>3.929376541</v>
      </c>
      <c r="BA1189" s="331">
        <f>SQRT(($R1189-Infrastructure!J$8)^2+($S1189-Infrastructure!K$8)^2)</f>
        <v>9.402127419</v>
      </c>
      <c r="BB1189" s="331">
        <f>SQRT(($R1189-Infrastructure!J$9)^2+($S1189-Infrastructure!K$9)^2)</f>
        <v>18.52700731</v>
      </c>
      <c r="BC1189" s="331">
        <f>SQRT(($R1189-Infrastructure!J$10)^2+($S1189-Infrastructure!K$10)^2)</f>
        <v>21.47230775</v>
      </c>
      <c r="BD1189" s="331">
        <f>SQRT(($R1189-Infrastructure!J$11)^2+($S1189-Infrastructure!K$11)^2)</f>
        <v>31.14000642</v>
      </c>
      <c r="BE1189" s="333">
        <f>SQRT(($R1189-Infrastructure!J$12)^2+($S1189-Infrastructure!K$12)^2)</f>
        <v>51.4</v>
      </c>
      <c r="BF1189" s="330">
        <f t="shared" si="148"/>
        <v>3.929376541</v>
      </c>
      <c r="BG1189" s="333">
        <f t="shared" si="149"/>
        <v>51.4</v>
      </c>
      <c r="BH1189" s="943">
        <v>36526.0</v>
      </c>
      <c r="BI1189" s="462" t="s">
        <v>846</v>
      </c>
      <c r="BJ1189" s="319" t="s">
        <v>845</v>
      </c>
      <c r="BK1189" s="319" t="s">
        <v>845</v>
      </c>
      <c r="BL1189" s="319" t="s">
        <v>845</v>
      </c>
      <c r="BM1189" s="955" t="s">
        <v>845</v>
      </c>
      <c r="BN1189" s="319" t="s">
        <v>846</v>
      </c>
      <c r="BO1189" s="319" t="s">
        <v>845</v>
      </c>
      <c r="BP1189" s="953" t="s">
        <v>846</v>
      </c>
      <c r="BQ1189" s="319" t="s">
        <v>846</v>
      </c>
      <c r="BR1189" s="324" t="s">
        <v>846</v>
      </c>
      <c r="BS1189" s="330">
        <f t="shared" si="150"/>
        <v>9.402127419</v>
      </c>
      <c r="BT1189" s="331">
        <f t="shared" si="151"/>
        <v>51.4</v>
      </c>
      <c r="BU1189" s="920">
        <v>0.5873148148148148</v>
      </c>
      <c r="BV1189" s="903">
        <f t="shared" ref="BV1189:BV1190" si="154">BU1189-G1189</f>
        <v>0.0006828703704</v>
      </c>
      <c r="BW1189" s="907">
        <v>26.2</v>
      </c>
      <c r="BX1189" s="908">
        <v>23.2</v>
      </c>
      <c r="BY1189" s="331">
        <f t="shared" ref="BY1189:BY1190" si="155">IF(BW1189&gt;0, SQRT((R1189-BW1189)^2+(S1189-BX1189)^2))</f>
        <v>19.66977377</v>
      </c>
      <c r="BZ1189" s="340"/>
      <c r="CA1189" s="316"/>
      <c r="CB1189" s="318"/>
      <c r="CC1189" s="318"/>
      <c r="CD1189" s="318"/>
      <c r="CE1189" s="318"/>
      <c r="CF1189" s="318"/>
      <c r="CG1189" s="318"/>
      <c r="CH1189" s="318"/>
      <c r="CI1189" s="318"/>
      <c r="CJ1189" s="463"/>
      <c r="CK1189" s="342"/>
      <c r="CL1189" s="333"/>
      <c r="CM1189" s="829"/>
      <c r="CN1189" s="333"/>
      <c r="CO1189" s="333"/>
      <c r="CP1189" s="333"/>
    </row>
    <row r="1190">
      <c r="B1190" s="462" t="s">
        <v>1832</v>
      </c>
      <c r="C1190" s="914">
        <v>44545.0</v>
      </c>
      <c r="D1190" s="318"/>
      <c r="E1190" s="319" t="s">
        <v>1880</v>
      </c>
      <c r="F1190" s="324" t="s">
        <v>1881</v>
      </c>
      <c r="G1190" s="321">
        <v>0.5894097222222222</v>
      </c>
      <c r="H1190" s="323">
        <v>0.5897569444444445</v>
      </c>
      <c r="I1190" s="323"/>
      <c r="J1190" s="323"/>
      <c r="K1190" s="323">
        <v>0.5907986111111111</v>
      </c>
      <c r="L1190" s="323">
        <v>0.0010416666666666667</v>
      </c>
      <c r="M1190" s="319" t="s">
        <v>166</v>
      </c>
      <c r="N1190" s="324" t="s">
        <v>187</v>
      </c>
      <c r="O1190" s="419" t="s">
        <v>205</v>
      </c>
      <c r="P1190" s="319" t="s">
        <v>213</v>
      </c>
      <c r="Q1190" s="318"/>
      <c r="R1190" s="326">
        <v>21.5</v>
      </c>
      <c r="S1190" s="319">
        <v>4.1</v>
      </c>
      <c r="T1190" s="324">
        <v>2.3</v>
      </c>
      <c r="U1190" s="319">
        <v>7.0</v>
      </c>
      <c r="V1190" s="319"/>
      <c r="W1190" s="319"/>
      <c r="X1190" s="319"/>
      <c r="Y1190" s="319"/>
      <c r="Z1190" s="319" t="s">
        <v>365</v>
      </c>
      <c r="AA1190" s="319"/>
      <c r="AB1190" s="319" t="s">
        <v>388</v>
      </c>
      <c r="AC1190" s="327">
        <v>8.0</v>
      </c>
      <c r="AD1190" s="319"/>
      <c r="AE1190" s="319"/>
      <c r="AF1190" s="319"/>
      <c r="AG1190" s="319"/>
      <c r="AH1190" s="319"/>
      <c r="AI1190" s="319"/>
      <c r="AJ1190" s="327"/>
      <c r="AK1190" s="328"/>
      <c r="AL1190" s="319"/>
      <c r="AM1190" s="319"/>
      <c r="AN1190" s="319"/>
      <c r="AO1190" s="319"/>
      <c r="AP1190" s="319"/>
      <c r="AQ1190" s="319"/>
      <c r="AR1190" s="319"/>
      <c r="AS1190" s="327"/>
      <c r="AT1190" s="461" t="s">
        <v>182</v>
      </c>
      <c r="AU1190" s="324" t="s">
        <v>845</v>
      </c>
      <c r="AV1190" s="330">
        <f>SQRT(($R1190-Infrastructure!J$3)^2+($S1190-Infrastructure!K$3)^2)</f>
        <v>33.01938824</v>
      </c>
      <c r="AW1190" s="331">
        <f>SQRT(($R1190-Infrastructure!J$4)^2+($S1190-Infrastructure!K$4)^2)</f>
        <v>25.74742706</v>
      </c>
      <c r="AX1190" s="331">
        <f>SQRT(($R1190-Infrastructure!J$5)^2+($S1190-Infrastructure!K$5)^2)</f>
        <v>21.82292373</v>
      </c>
      <c r="AY1190" s="331">
        <f>SQRT(($R1190-Infrastructure!J$6)^2+($S1190-Infrastructure!K$6)^2)</f>
        <v>12.01665511</v>
      </c>
      <c r="AZ1190" s="331">
        <f>SQRT(($R1190-Infrastructure!J$7)^2+($S1190-Infrastructure!K$7)^2)</f>
        <v>3.929376541</v>
      </c>
      <c r="BA1190" s="331">
        <f>SQRT(($R1190-Infrastructure!J$8)^2+($S1190-Infrastructure!K$8)^2)</f>
        <v>9.402127419</v>
      </c>
      <c r="BB1190" s="331">
        <f>SQRT(($R1190-Infrastructure!J$9)^2+($S1190-Infrastructure!K$9)^2)</f>
        <v>18.52700731</v>
      </c>
      <c r="BC1190" s="331">
        <f>SQRT(($R1190-Infrastructure!J$10)^2+($S1190-Infrastructure!K$10)^2)</f>
        <v>21.47230775</v>
      </c>
      <c r="BD1190" s="331">
        <f>SQRT(($R1190-Infrastructure!J$11)^2+($S1190-Infrastructure!K$11)^2)</f>
        <v>31.14000642</v>
      </c>
      <c r="BE1190" s="333">
        <f>SQRT(($R1190-Infrastructure!J$12)^2+($S1190-Infrastructure!K$12)^2)</f>
        <v>51.4</v>
      </c>
      <c r="BF1190" s="330">
        <f t="shared" si="148"/>
        <v>3.929376541</v>
      </c>
      <c r="BG1190" s="333">
        <f t="shared" si="149"/>
        <v>51.4</v>
      </c>
      <c r="BH1190" s="943">
        <v>36526.0</v>
      </c>
      <c r="BI1190" s="462" t="s">
        <v>846</v>
      </c>
      <c r="BJ1190" s="319" t="s">
        <v>845</v>
      </c>
      <c r="BK1190" s="319" t="s">
        <v>845</v>
      </c>
      <c r="BL1190" s="319" t="s">
        <v>845</v>
      </c>
      <c r="BM1190" s="955" t="s">
        <v>845</v>
      </c>
      <c r="BN1190" s="319" t="s">
        <v>846</v>
      </c>
      <c r="BO1190" s="319" t="s">
        <v>845</v>
      </c>
      <c r="BP1190" s="953" t="s">
        <v>846</v>
      </c>
      <c r="BQ1190" s="319" t="s">
        <v>846</v>
      </c>
      <c r="BR1190" s="324" t="s">
        <v>846</v>
      </c>
      <c r="BS1190" s="330">
        <f t="shared" si="150"/>
        <v>9.402127419</v>
      </c>
      <c r="BT1190" s="331">
        <f t="shared" si="151"/>
        <v>51.4</v>
      </c>
      <c r="BU1190" s="920">
        <v>0.5899768518518519</v>
      </c>
      <c r="BV1190" s="903">
        <f t="shared" si="154"/>
        <v>0.0005671296296</v>
      </c>
      <c r="BW1190" s="907">
        <v>30.6</v>
      </c>
      <c r="BX1190" s="908">
        <v>22.9</v>
      </c>
      <c r="BY1190" s="331">
        <f t="shared" si="155"/>
        <v>20.88659857</v>
      </c>
      <c r="BZ1190" s="340"/>
      <c r="CA1190" s="316"/>
      <c r="CB1190" s="318"/>
      <c r="CC1190" s="318"/>
      <c r="CD1190" s="318"/>
      <c r="CE1190" s="318"/>
      <c r="CF1190" s="318"/>
      <c r="CG1190" s="318"/>
      <c r="CH1190" s="318"/>
      <c r="CI1190" s="318"/>
      <c r="CJ1190" s="463"/>
      <c r="CK1190" s="342"/>
      <c r="CL1190" s="333"/>
      <c r="CM1190" s="829"/>
      <c r="CN1190" s="333"/>
      <c r="CO1190" s="333"/>
      <c r="CP1190" s="333"/>
    </row>
    <row r="1191">
      <c r="A1191" s="389" t="s">
        <v>62</v>
      </c>
      <c r="B1191" s="573" t="s">
        <v>1832</v>
      </c>
      <c r="C1191" s="909">
        <v>44545.0</v>
      </c>
      <c r="D1191" s="392"/>
      <c r="E1191" s="393" t="s">
        <v>1457</v>
      </c>
      <c r="F1191" s="394" t="s">
        <v>1882</v>
      </c>
      <c r="G1191" s="395">
        <v>0.6328125</v>
      </c>
      <c r="H1191" s="456">
        <v>0.6329861111111111</v>
      </c>
      <c r="I1191" s="456"/>
      <c r="J1191" s="456"/>
      <c r="K1191" s="456">
        <v>0.6340277777777777</v>
      </c>
      <c r="L1191" s="456">
        <v>0.0010416666666666667</v>
      </c>
      <c r="M1191" s="393" t="s">
        <v>166</v>
      </c>
      <c r="N1191" s="394" t="s">
        <v>188</v>
      </c>
      <c r="O1191" s="399" t="s">
        <v>378</v>
      </c>
      <c r="P1191" s="393" t="s">
        <v>225</v>
      </c>
      <c r="Q1191" s="392"/>
      <c r="R1191" s="400">
        <v>22.7</v>
      </c>
      <c r="S1191" s="393">
        <v>39.7</v>
      </c>
      <c r="T1191" s="394">
        <v>1.9</v>
      </c>
      <c r="U1191" s="393">
        <v>10.0</v>
      </c>
      <c r="V1191" s="393"/>
      <c r="W1191" s="393"/>
      <c r="X1191" s="393"/>
      <c r="Y1191" s="393"/>
      <c r="Z1191" s="393" t="s">
        <v>1140</v>
      </c>
      <c r="AA1191" s="393"/>
      <c r="AB1191" s="393" t="s">
        <v>407</v>
      </c>
      <c r="AC1191" s="401">
        <v>15.75</v>
      </c>
      <c r="AD1191" s="393"/>
      <c r="AE1191" s="393"/>
      <c r="AF1191" s="393"/>
      <c r="AG1191" s="393"/>
      <c r="AH1191" s="393"/>
      <c r="AI1191" s="393"/>
      <c r="AJ1191" s="401"/>
      <c r="AK1191" s="402"/>
      <c r="AL1191" s="393"/>
      <c r="AM1191" s="393"/>
      <c r="AN1191" s="393"/>
      <c r="AO1191" s="393"/>
      <c r="AP1191" s="393"/>
      <c r="AQ1191" s="393"/>
      <c r="AR1191" s="393"/>
      <c r="AS1191" s="401"/>
      <c r="AT1191" s="460" t="s">
        <v>183</v>
      </c>
      <c r="AU1191" s="394" t="s">
        <v>845</v>
      </c>
      <c r="AV1191" s="405">
        <f>SQRT(($R1191-Infrastructure!J$3)^2+($S1191-Infrastructure!K$3)^2)</f>
        <v>25.40944706</v>
      </c>
      <c r="AW1191" s="406">
        <f>SQRT(($R1191-Infrastructure!J$4)^2+($S1191-Infrastructure!K$4)^2)</f>
        <v>31.75862088</v>
      </c>
      <c r="AX1191" s="406">
        <f>SQRT(($R1191-Infrastructure!J$5)^2+($S1191-Infrastructure!K$5)^2)</f>
        <v>41.54708173</v>
      </c>
      <c r="AY1191" s="406">
        <f>SQRT(($R1191-Infrastructure!J$6)^2+($S1191-Infrastructure!K$6)^2)</f>
        <v>41.36568626</v>
      </c>
      <c r="AZ1191" s="406">
        <f>SQRT(($R1191-Infrastructure!J$7)^2+($S1191-Infrastructure!K$7)^2)</f>
        <v>39.46137352</v>
      </c>
      <c r="BA1191" s="406">
        <f>SQRT(($R1191-Infrastructure!J$8)^2+($S1191-Infrastructure!K$8)^2)</f>
        <v>40.08890121</v>
      </c>
      <c r="BB1191" s="406">
        <f>SQRT(($R1191-Infrastructure!J$9)^2+($S1191-Infrastructure!K$9)^2)</f>
        <v>38.68397601</v>
      </c>
      <c r="BC1191" s="406">
        <f>SQRT(($R1191-Infrastructure!J$10)^2+($S1191-Infrastructure!K$10)^2)</f>
        <v>30.15592811</v>
      </c>
      <c r="BD1191" s="406">
        <f>SQRT(($R1191-Infrastructure!J$11)^2+($S1191-Infrastructure!K$11)^2)</f>
        <v>20.51194774</v>
      </c>
      <c r="BE1191" s="408">
        <f>SQRT(($R1191-Infrastructure!J$12)^2+($S1191-Infrastructure!K$12)^2)</f>
        <v>15.84550409</v>
      </c>
      <c r="BF1191" s="405">
        <f t="shared" si="148"/>
        <v>15.84550409</v>
      </c>
      <c r="BG1191" s="408">
        <f t="shared" si="149"/>
        <v>41.54708173</v>
      </c>
      <c r="BH1191" s="961">
        <v>36526.0</v>
      </c>
      <c r="BI1191" s="573" t="s">
        <v>845</v>
      </c>
      <c r="BJ1191" s="393" t="s">
        <v>845</v>
      </c>
      <c r="BK1191" s="393" t="s">
        <v>845</v>
      </c>
      <c r="BL1191" s="393" t="s">
        <v>845</v>
      </c>
      <c r="BM1191" s="959" t="s">
        <v>845</v>
      </c>
      <c r="BN1191" s="393" t="s">
        <v>845</v>
      </c>
      <c r="BO1191" s="393" t="s">
        <v>845</v>
      </c>
      <c r="BP1191" s="960" t="s">
        <v>845</v>
      </c>
      <c r="BQ1191" s="393" t="s">
        <v>845</v>
      </c>
      <c r="BR1191" s="394" t="s">
        <v>845</v>
      </c>
      <c r="BS1191" s="330">
        <f t="shared" si="150"/>
        <v>0</v>
      </c>
      <c r="BT1191" s="331">
        <f t="shared" si="151"/>
        <v>0</v>
      </c>
      <c r="BU1191" s="931"/>
      <c r="BV1191" s="901"/>
      <c r="BW1191" s="925"/>
      <c r="BX1191" s="926"/>
      <c r="BY1191" s="406"/>
      <c r="BZ1191" s="412"/>
      <c r="CA1191" s="390"/>
      <c r="CB1191" s="392"/>
      <c r="CC1191" s="392"/>
      <c r="CD1191" s="392"/>
      <c r="CE1191" s="392"/>
      <c r="CF1191" s="392"/>
      <c r="CG1191" s="392"/>
      <c r="CH1191" s="392"/>
      <c r="CI1191" s="392"/>
      <c r="CJ1191" s="898"/>
      <c r="CK1191" s="414"/>
      <c r="CL1191" s="408"/>
      <c r="CM1191" s="832"/>
      <c r="CN1191" s="333"/>
      <c r="CO1191" s="333"/>
      <c r="CP1191" s="333"/>
    </row>
    <row r="1192">
      <c r="B1192" s="462" t="s">
        <v>1832</v>
      </c>
      <c r="C1192" s="914">
        <v>44545.0</v>
      </c>
      <c r="D1192" s="318"/>
      <c r="E1192" s="319" t="s">
        <v>1527</v>
      </c>
      <c r="F1192" s="324" t="s">
        <v>1883</v>
      </c>
      <c r="G1192" s="321">
        <v>0.6348958333333333</v>
      </c>
      <c r="H1192" s="323">
        <v>0.6352430555555556</v>
      </c>
      <c r="I1192" s="323"/>
      <c r="J1192" s="323"/>
      <c r="K1192" s="323">
        <v>0.6362847222222222</v>
      </c>
      <c r="L1192" s="323">
        <v>0.0010416666666666667</v>
      </c>
      <c r="M1192" s="319" t="s">
        <v>166</v>
      </c>
      <c r="N1192" s="324" t="s">
        <v>188</v>
      </c>
      <c r="O1192" s="419" t="s">
        <v>378</v>
      </c>
      <c r="P1192" s="319" t="s">
        <v>225</v>
      </c>
      <c r="Q1192" s="318"/>
      <c r="R1192" s="326">
        <v>22.7</v>
      </c>
      <c r="S1192" s="319">
        <v>39.7</v>
      </c>
      <c r="T1192" s="324">
        <v>1.9</v>
      </c>
      <c r="U1192" s="319">
        <v>8.0</v>
      </c>
      <c r="V1192" s="319"/>
      <c r="W1192" s="319"/>
      <c r="X1192" s="319"/>
      <c r="Y1192" s="319"/>
      <c r="Z1192" s="319" t="s">
        <v>1140</v>
      </c>
      <c r="AA1192" s="319"/>
      <c r="AB1192" s="319" t="s">
        <v>407</v>
      </c>
      <c r="AC1192" s="327">
        <v>15.75</v>
      </c>
      <c r="AD1192" s="319"/>
      <c r="AE1192" s="319"/>
      <c r="AF1192" s="319"/>
      <c r="AG1192" s="319"/>
      <c r="AH1192" s="319"/>
      <c r="AI1192" s="319"/>
      <c r="AJ1192" s="327"/>
      <c r="AK1192" s="328"/>
      <c r="AL1192" s="319"/>
      <c r="AM1192" s="319"/>
      <c r="AN1192" s="319"/>
      <c r="AO1192" s="319"/>
      <c r="AP1192" s="319"/>
      <c r="AQ1192" s="319"/>
      <c r="AR1192" s="319"/>
      <c r="AS1192" s="327"/>
      <c r="AT1192" s="461" t="s">
        <v>182</v>
      </c>
      <c r="AU1192" s="324" t="s">
        <v>845</v>
      </c>
      <c r="AV1192" s="330">
        <f>SQRT(($R1192-Infrastructure!J$3)^2+($S1192-Infrastructure!K$3)^2)</f>
        <v>25.40944706</v>
      </c>
      <c r="AW1192" s="331">
        <f>SQRT(($R1192-Infrastructure!J$4)^2+($S1192-Infrastructure!K$4)^2)</f>
        <v>31.75862088</v>
      </c>
      <c r="AX1192" s="331">
        <f>SQRT(($R1192-Infrastructure!J$5)^2+($S1192-Infrastructure!K$5)^2)</f>
        <v>41.54708173</v>
      </c>
      <c r="AY1192" s="331">
        <f>SQRT(($R1192-Infrastructure!J$6)^2+($S1192-Infrastructure!K$6)^2)</f>
        <v>41.36568626</v>
      </c>
      <c r="AZ1192" s="331">
        <f>SQRT(($R1192-Infrastructure!J$7)^2+($S1192-Infrastructure!K$7)^2)</f>
        <v>39.46137352</v>
      </c>
      <c r="BA1192" s="331">
        <f>SQRT(($R1192-Infrastructure!J$8)^2+($S1192-Infrastructure!K$8)^2)</f>
        <v>40.08890121</v>
      </c>
      <c r="BB1192" s="331">
        <f>SQRT(($R1192-Infrastructure!J$9)^2+($S1192-Infrastructure!K$9)^2)</f>
        <v>38.68397601</v>
      </c>
      <c r="BC1192" s="331">
        <f>SQRT(($R1192-Infrastructure!J$10)^2+($S1192-Infrastructure!K$10)^2)</f>
        <v>30.15592811</v>
      </c>
      <c r="BD1192" s="331">
        <f>SQRT(($R1192-Infrastructure!J$11)^2+($S1192-Infrastructure!K$11)^2)</f>
        <v>20.51194774</v>
      </c>
      <c r="BE1192" s="333">
        <f>SQRT(($R1192-Infrastructure!J$12)^2+($S1192-Infrastructure!K$12)^2)</f>
        <v>15.84550409</v>
      </c>
      <c r="BF1192" s="330">
        <f t="shared" si="148"/>
        <v>15.84550409</v>
      </c>
      <c r="BG1192" s="333">
        <f t="shared" si="149"/>
        <v>41.54708173</v>
      </c>
      <c r="BH1192" s="943">
        <v>36526.0</v>
      </c>
      <c r="BI1192" s="462" t="s">
        <v>845</v>
      </c>
      <c r="BJ1192" s="319" t="s">
        <v>845</v>
      </c>
      <c r="BK1192" s="319" t="s">
        <v>845</v>
      </c>
      <c r="BL1192" s="319" t="s">
        <v>845</v>
      </c>
      <c r="BM1192" s="955" t="s">
        <v>845</v>
      </c>
      <c r="BN1192" s="319" t="s">
        <v>845</v>
      </c>
      <c r="BO1192" s="319" t="s">
        <v>845</v>
      </c>
      <c r="BP1192" s="953" t="s">
        <v>845</v>
      </c>
      <c r="BQ1192" s="319" t="s">
        <v>845</v>
      </c>
      <c r="BR1192" s="324" t="s">
        <v>845</v>
      </c>
      <c r="BS1192" s="330">
        <f t="shared" si="150"/>
        <v>0</v>
      </c>
      <c r="BT1192" s="331">
        <f t="shared" si="151"/>
        <v>0</v>
      </c>
      <c r="BU1192" s="920"/>
      <c r="BV1192" s="903"/>
      <c r="BW1192" s="907"/>
      <c r="BX1192" s="908"/>
      <c r="BY1192" s="331"/>
      <c r="BZ1192" s="340"/>
      <c r="CA1192" s="316"/>
      <c r="CB1192" s="318"/>
      <c r="CC1192" s="318"/>
      <c r="CD1192" s="318"/>
      <c r="CE1192" s="318"/>
      <c r="CF1192" s="318"/>
      <c r="CG1192" s="318"/>
      <c r="CH1192" s="318"/>
      <c r="CI1192" s="318"/>
      <c r="CJ1192" s="463"/>
      <c r="CK1192" s="342"/>
      <c r="CL1192" s="333"/>
      <c r="CM1192" s="829"/>
      <c r="CN1192" s="333"/>
      <c r="CO1192" s="333"/>
      <c r="CP1192" s="333"/>
    </row>
    <row r="1193">
      <c r="B1193" s="462" t="s">
        <v>1832</v>
      </c>
      <c r="C1193" s="914">
        <v>44545.0</v>
      </c>
      <c r="D1193" s="318"/>
      <c r="E1193" s="319" t="s">
        <v>1768</v>
      </c>
      <c r="F1193" s="324" t="s">
        <v>1884</v>
      </c>
      <c r="G1193" s="321">
        <v>0.6383680555555555</v>
      </c>
      <c r="H1193" s="323">
        <v>0.6385416666666667</v>
      </c>
      <c r="I1193" s="323"/>
      <c r="J1193" s="323"/>
      <c r="K1193" s="323">
        <v>0.6397569444444444</v>
      </c>
      <c r="L1193" s="323">
        <v>0.0012152777777777778</v>
      </c>
      <c r="M1193" s="319" t="s">
        <v>166</v>
      </c>
      <c r="N1193" s="324" t="s">
        <v>188</v>
      </c>
      <c r="O1193" s="419" t="s">
        <v>378</v>
      </c>
      <c r="P1193" s="319" t="s">
        <v>225</v>
      </c>
      <c r="Q1193" s="318"/>
      <c r="R1193" s="326">
        <v>22.7</v>
      </c>
      <c r="S1193" s="319">
        <v>39.7</v>
      </c>
      <c r="T1193" s="324">
        <v>1.9</v>
      </c>
      <c r="U1193" s="319">
        <v>6.0</v>
      </c>
      <c r="V1193" s="319"/>
      <c r="W1193" s="319"/>
      <c r="X1193" s="319"/>
      <c r="Y1193" s="319"/>
      <c r="Z1193" s="319" t="s">
        <v>1140</v>
      </c>
      <c r="AA1193" s="319"/>
      <c r="AB1193" s="319" t="s">
        <v>407</v>
      </c>
      <c r="AC1193" s="327">
        <v>15.75</v>
      </c>
      <c r="AD1193" s="319"/>
      <c r="AE1193" s="319"/>
      <c r="AF1193" s="319"/>
      <c r="AG1193" s="319"/>
      <c r="AH1193" s="319"/>
      <c r="AI1193" s="319"/>
      <c r="AJ1193" s="327"/>
      <c r="AK1193" s="328"/>
      <c r="AL1193" s="319"/>
      <c r="AM1193" s="319"/>
      <c r="AN1193" s="319"/>
      <c r="AO1193" s="319"/>
      <c r="AP1193" s="319"/>
      <c r="AQ1193" s="319"/>
      <c r="AR1193" s="319"/>
      <c r="AS1193" s="327"/>
      <c r="AT1193" s="461" t="s">
        <v>182</v>
      </c>
      <c r="AU1193" s="324" t="s">
        <v>845</v>
      </c>
      <c r="AV1193" s="330">
        <f>SQRT(($R1193-Infrastructure!J$3)^2+($S1193-Infrastructure!K$3)^2)</f>
        <v>25.40944706</v>
      </c>
      <c r="AW1193" s="331">
        <f>SQRT(($R1193-Infrastructure!J$4)^2+($S1193-Infrastructure!K$4)^2)</f>
        <v>31.75862088</v>
      </c>
      <c r="AX1193" s="331">
        <f>SQRT(($R1193-Infrastructure!J$5)^2+($S1193-Infrastructure!K$5)^2)</f>
        <v>41.54708173</v>
      </c>
      <c r="AY1193" s="331">
        <f>SQRT(($R1193-Infrastructure!J$6)^2+($S1193-Infrastructure!K$6)^2)</f>
        <v>41.36568626</v>
      </c>
      <c r="AZ1193" s="331">
        <f>SQRT(($R1193-Infrastructure!J$7)^2+($S1193-Infrastructure!K$7)^2)</f>
        <v>39.46137352</v>
      </c>
      <c r="BA1193" s="331">
        <f>SQRT(($R1193-Infrastructure!J$8)^2+($S1193-Infrastructure!K$8)^2)</f>
        <v>40.08890121</v>
      </c>
      <c r="BB1193" s="331">
        <f>SQRT(($R1193-Infrastructure!J$9)^2+($S1193-Infrastructure!K$9)^2)</f>
        <v>38.68397601</v>
      </c>
      <c r="BC1193" s="331">
        <f>SQRT(($R1193-Infrastructure!J$10)^2+($S1193-Infrastructure!K$10)^2)</f>
        <v>30.15592811</v>
      </c>
      <c r="BD1193" s="331">
        <f>SQRT(($R1193-Infrastructure!J$11)^2+($S1193-Infrastructure!K$11)^2)</f>
        <v>20.51194774</v>
      </c>
      <c r="BE1193" s="333">
        <f>SQRT(($R1193-Infrastructure!J$12)^2+($S1193-Infrastructure!K$12)^2)</f>
        <v>15.84550409</v>
      </c>
      <c r="BF1193" s="330">
        <f t="shared" si="148"/>
        <v>15.84550409</v>
      </c>
      <c r="BG1193" s="333">
        <f t="shared" si="149"/>
        <v>41.54708173</v>
      </c>
      <c r="BH1193" s="943">
        <v>36526.0</v>
      </c>
      <c r="BI1193" s="462" t="s">
        <v>845</v>
      </c>
      <c r="BJ1193" s="319" t="s">
        <v>845</v>
      </c>
      <c r="BK1193" s="319" t="s">
        <v>845</v>
      </c>
      <c r="BL1193" s="319" t="s">
        <v>845</v>
      </c>
      <c r="BM1193" s="955" t="s">
        <v>845</v>
      </c>
      <c r="BN1193" s="319" t="s">
        <v>845</v>
      </c>
      <c r="BO1193" s="319" t="s">
        <v>845</v>
      </c>
      <c r="BP1193" s="953" t="s">
        <v>845</v>
      </c>
      <c r="BQ1193" s="319" t="s">
        <v>845</v>
      </c>
      <c r="BR1193" s="324" t="s">
        <v>845</v>
      </c>
      <c r="BS1193" s="330">
        <f t="shared" si="150"/>
        <v>0</v>
      </c>
      <c r="BT1193" s="331">
        <f t="shared" si="151"/>
        <v>0</v>
      </c>
      <c r="BU1193" s="920"/>
      <c r="BV1193" s="903"/>
      <c r="BW1193" s="907"/>
      <c r="BX1193" s="908"/>
      <c r="BY1193" s="331"/>
      <c r="BZ1193" s="340"/>
      <c r="CA1193" s="316"/>
      <c r="CB1193" s="318"/>
      <c r="CC1193" s="318"/>
      <c r="CD1193" s="318"/>
      <c r="CE1193" s="318"/>
      <c r="CF1193" s="318"/>
      <c r="CG1193" s="318"/>
      <c r="CH1193" s="318"/>
      <c r="CI1193" s="318"/>
      <c r="CJ1193" s="463"/>
      <c r="CK1193" s="342"/>
      <c r="CL1193" s="333"/>
      <c r="CM1193" s="829"/>
      <c r="CN1193" s="333"/>
      <c r="CO1193" s="333"/>
      <c r="CP1193" s="333"/>
    </row>
    <row r="1194">
      <c r="B1194" s="462" t="s">
        <v>1832</v>
      </c>
      <c r="C1194" s="914">
        <v>44545.0</v>
      </c>
      <c r="D1194" s="318"/>
      <c r="E1194" s="319" t="s">
        <v>1885</v>
      </c>
      <c r="F1194" s="324" t="s">
        <v>1886</v>
      </c>
      <c r="G1194" s="321">
        <v>0.6405092592592593</v>
      </c>
      <c r="H1194" s="323">
        <v>0.6407986111111111</v>
      </c>
      <c r="I1194" s="323"/>
      <c r="J1194" s="323"/>
      <c r="K1194" s="323">
        <v>0.6418402777777777</v>
      </c>
      <c r="L1194" s="323">
        <v>0.0010416666666666667</v>
      </c>
      <c r="M1194" s="319" t="s">
        <v>166</v>
      </c>
      <c r="N1194" s="324" t="s">
        <v>187</v>
      </c>
      <c r="O1194" s="419" t="s">
        <v>201</v>
      </c>
      <c r="P1194" s="319" t="s">
        <v>256</v>
      </c>
      <c r="Q1194" s="319" t="s">
        <v>1842</v>
      </c>
      <c r="R1194" s="326">
        <v>1.0</v>
      </c>
      <c r="S1194" s="319">
        <v>2.4</v>
      </c>
      <c r="T1194" s="324">
        <v>0.7</v>
      </c>
      <c r="U1194" s="319">
        <v>3.0</v>
      </c>
      <c r="V1194" s="319"/>
      <c r="W1194" s="319"/>
      <c r="X1194" s="319"/>
      <c r="Y1194" s="319"/>
      <c r="Z1194" s="319" t="s">
        <v>339</v>
      </c>
      <c r="AA1194" s="319"/>
      <c r="AB1194" s="319" t="s">
        <v>337</v>
      </c>
      <c r="AC1194" s="327">
        <v>2.5</v>
      </c>
      <c r="AD1194" s="319"/>
      <c r="AE1194" s="319"/>
      <c r="AF1194" s="319"/>
      <c r="AG1194" s="319"/>
      <c r="AH1194" s="319"/>
      <c r="AI1194" s="319"/>
      <c r="AJ1194" s="327"/>
      <c r="AK1194" s="328"/>
      <c r="AL1194" s="319"/>
      <c r="AM1194" s="319"/>
      <c r="AN1194" s="319"/>
      <c r="AO1194" s="319"/>
      <c r="AP1194" s="319"/>
      <c r="AQ1194" s="319"/>
      <c r="AR1194" s="319"/>
      <c r="AS1194" s="327"/>
      <c r="AT1194" s="461" t="s">
        <v>182</v>
      </c>
      <c r="AU1194" s="324" t="s">
        <v>845</v>
      </c>
      <c r="AV1194" s="330">
        <f>SQRT(($R1194-Infrastructure!J$3)^2+($S1194-Infrastructure!K$3)^2)</f>
        <v>26.53186763</v>
      </c>
      <c r="AW1194" s="331">
        <f>SQRT(($R1194-Infrastructure!J$4)^2+($S1194-Infrastructure!K$4)^2)</f>
        <v>15.45477273</v>
      </c>
      <c r="AX1194" s="331">
        <f>SQRT(($R1194-Infrastructure!J$5)^2+($S1194-Infrastructure!K$5)^2)</f>
        <v>2.996664813</v>
      </c>
      <c r="AY1194" s="331">
        <f>SQRT(($R1194-Infrastructure!J$6)^2+($S1194-Infrastructure!K$6)^2)</f>
        <v>9.339164845</v>
      </c>
      <c r="AZ1194" s="331">
        <f>SQRT(($R1194-Infrastructure!J$7)^2+($S1194-Infrastructure!K$7)^2)</f>
        <v>19.61275095</v>
      </c>
      <c r="BA1194" s="331">
        <f>SQRT(($R1194-Infrastructure!J$8)^2+($S1194-Infrastructure!K$8)^2)</f>
        <v>29.1756748</v>
      </c>
      <c r="BB1194" s="331">
        <f>SQRT(($R1194-Infrastructure!J$9)^2+($S1194-Infrastructure!K$9)^2)</f>
        <v>39.09334982</v>
      </c>
      <c r="BC1194" s="331">
        <f>SQRT(($R1194-Infrastructure!J$10)^2+($S1194-Infrastructure!K$10)^2)</f>
        <v>40.98487526</v>
      </c>
      <c r="BD1194" s="331">
        <f>SQRT(($R1194-Infrastructure!J$11)^2+($S1194-Infrastructure!K$11)^2)</f>
        <v>47.37298808</v>
      </c>
      <c r="BE1194" s="333">
        <f>SQRT(($R1194-Infrastructure!J$12)^2+($S1194-Infrastructure!K$12)^2)</f>
        <v>56.9197681</v>
      </c>
      <c r="BF1194" s="330">
        <f t="shared" si="148"/>
        <v>2.996664813</v>
      </c>
      <c r="BG1194" s="333">
        <f t="shared" si="149"/>
        <v>56.9197681</v>
      </c>
      <c r="BH1194" s="943">
        <v>36526.0</v>
      </c>
      <c r="BI1194" s="462" t="s">
        <v>845</v>
      </c>
      <c r="BJ1194" s="319" t="s">
        <v>845</v>
      </c>
      <c r="BK1194" s="319" t="s">
        <v>845</v>
      </c>
      <c r="BL1194" s="319" t="s">
        <v>845</v>
      </c>
      <c r="BM1194" s="955" t="s">
        <v>845</v>
      </c>
      <c r="BN1194" s="319" t="s">
        <v>845</v>
      </c>
      <c r="BO1194" s="319" t="s">
        <v>845</v>
      </c>
      <c r="BP1194" s="953" t="s">
        <v>845</v>
      </c>
      <c r="BQ1194" s="319" t="s">
        <v>845</v>
      </c>
      <c r="BR1194" s="324" t="s">
        <v>845</v>
      </c>
      <c r="BS1194" s="330">
        <f t="shared" si="150"/>
        <v>0</v>
      </c>
      <c r="BT1194" s="331">
        <f t="shared" si="151"/>
        <v>0</v>
      </c>
      <c r="BU1194" s="920"/>
      <c r="BV1194" s="903"/>
      <c r="BW1194" s="907"/>
      <c r="BX1194" s="908"/>
      <c r="BY1194" s="331"/>
      <c r="BZ1194" s="340"/>
      <c r="CA1194" s="316"/>
      <c r="CB1194" s="318"/>
      <c r="CC1194" s="318"/>
      <c r="CD1194" s="318"/>
      <c r="CE1194" s="318"/>
      <c r="CF1194" s="318"/>
      <c r="CG1194" s="318"/>
      <c r="CH1194" s="318"/>
      <c r="CI1194" s="318"/>
      <c r="CJ1194" s="463"/>
      <c r="CK1194" s="342"/>
      <c r="CL1194" s="333"/>
      <c r="CM1194" s="829"/>
      <c r="CN1194" s="333"/>
      <c r="CO1194" s="333"/>
      <c r="CP1194" s="333"/>
    </row>
    <row r="1195">
      <c r="B1195" s="462" t="s">
        <v>1832</v>
      </c>
      <c r="C1195" s="914">
        <v>44545.0</v>
      </c>
      <c r="D1195" s="318"/>
      <c r="E1195" s="319" t="s">
        <v>1474</v>
      </c>
      <c r="F1195" s="324" t="s">
        <v>1887</v>
      </c>
      <c r="G1195" s="321">
        <v>0.6425925925925926</v>
      </c>
      <c r="H1195" s="323">
        <v>0.6430555555555556</v>
      </c>
      <c r="I1195" s="323"/>
      <c r="J1195" s="323"/>
      <c r="K1195" s="323">
        <v>0.6440972222222222</v>
      </c>
      <c r="L1195" s="323">
        <v>0.0010416666666666667</v>
      </c>
      <c r="M1195" s="319" t="s">
        <v>166</v>
      </c>
      <c r="N1195" s="324" t="s">
        <v>187</v>
      </c>
      <c r="O1195" s="419" t="s">
        <v>201</v>
      </c>
      <c r="P1195" s="319" t="s">
        <v>256</v>
      </c>
      <c r="Q1195" s="319" t="s">
        <v>1842</v>
      </c>
      <c r="R1195" s="326">
        <v>5.0</v>
      </c>
      <c r="S1195" s="319">
        <v>2.4</v>
      </c>
      <c r="T1195" s="324">
        <v>0.7</v>
      </c>
      <c r="U1195" s="319">
        <v>3.0</v>
      </c>
      <c r="V1195" s="319"/>
      <c r="W1195" s="319"/>
      <c r="X1195" s="319"/>
      <c r="Y1195" s="319"/>
      <c r="Z1195" s="319" t="s">
        <v>339</v>
      </c>
      <c r="AA1195" s="319"/>
      <c r="AB1195" s="319" t="s">
        <v>337</v>
      </c>
      <c r="AC1195" s="327">
        <v>2.5</v>
      </c>
      <c r="AD1195" s="319"/>
      <c r="AE1195" s="319"/>
      <c r="AF1195" s="319"/>
      <c r="AG1195" s="319"/>
      <c r="AH1195" s="319"/>
      <c r="AI1195" s="319"/>
      <c r="AJ1195" s="327"/>
      <c r="AK1195" s="328"/>
      <c r="AL1195" s="319"/>
      <c r="AM1195" s="319"/>
      <c r="AN1195" s="319"/>
      <c r="AO1195" s="319"/>
      <c r="AP1195" s="319"/>
      <c r="AQ1195" s="319"/>
      <c r="AR1195" s="319"/>
      <c r="AS1195" s="327"/>
      <c r="AT1195" s="461" t="s">
        <v>182</v>
      </c>
      <c r="AU1195" s="324" t="s">
        <v>845</v>
      </c>
      <c r="AV1195" s="330">
        <f>SQRT(($R1195-Infrastructure!J$3)^2+($S1195-Infrastructure!K$3)^2)</f>
        <v>27.02480342</v>
      </c>
      <c r="AW1195" s="331">
        <f>SQRT(($R1195-Infrastructure!J$4)^2+($S1195-Infrastructure!K$4)^2)</f>
        <v>16.28649747</v>
      </c>
      <c r="AX1195" s="331">
        <f>SQRT(($R1195-Infrastructure!J$5)^2+($S1195-Infrastructure!K$5)^2)</f>
        <v>5.948108943</v>
      </c>
      <c r="AY1195" s="331">
        <f>SQRT(($R1195-Infrastructure!J$6)^2+($S1195-Infrastructure!K$6)^2)</f>
        <v>5.515432893</v>
      </c>
      <c r="AZ1195" s="331">
        <f>SQRT(($R1195-Infrastructure!J$7)^2+($S1195-Infrastructure!K$7)^2)</f>
        <v>15.64161117</v>
      </c>
      <c r="BA1195" s="331">
        <f>SQRT(($R1195-Infrastructure!J$8)^2+($S1195-Infrastructure!K$8)^2)</f>
        <v>25.18769541</v>
      </c>
      <c r="BB1195" s="331">
        <f>SQRT(($R1195-Infrastructure!J$9)^2+($S1195-Infrastructure!K$9)^2)</f>
        <v>35.10398838</v>
      </c>
      <c r="BC1195" s="331">
        <f>SQRT(($R1195-Infrastructure!J$10)^2+($S1195-Infrastructure!K$10)^2)</f>
        <v>37.19892472</v>
      </c>
      <c r="BD1195" s="331">
        <f>SQRT(($R1195-Infrastructure!J$11)^2+($S1195-Infrastructure!K$11)^2)</f>
        <v>44.12029012</v>
      </c>
      <c r="BE1195" s="333">
        <f>SQRT(($R1195-Infrastructure!J$12)^2+($S1195-Infrastructure!K$12)^2)</f>
        <v>55.60449622</v>
      </c>
      <c r="BF1195" s="330">
        <f t="shared" si="148"/>
        <v>5.515432893</v>
      </c>
      <c r="BG1195" s="333">
        <f t="shared" si="149"/>
        <v>55.60449622</v>
      </c>
      <c r="BH1195" s="943">
        <v>36526.0</v>
      </c>
      <c r="BI1195" s="462" t="s">
        <v>845</v>
      </c>
      <c r="BJ1195" s="319" t="s">
        <v>845</v>
      </c>
      <c r="BK1195" s="319" t="s">
        <v>845</v>
      </c>
      <c r="BL1195" s="319" t="s">
        <v>845</v>
      </c>
      <c r="BM1195" s="955" t="s">
        <v>845</v>
      </c>
      <c r="BN1195" s="319" t="s">
        <v>845</v>
      </c>
      <c r="BO1195" s="319" t="s">
        <v>845</v>
      </c>
      <c r="BP1195" s="953" t="s">
        <v>845</v>
      </c>
      <c r="BQ1195" s="319" t="s">
        <v>845</v>
      </c>
      <c r="BR1195" s="324" t="s">
        <v>845</v>
      </c>
      <c r="BS1195" s="330">
        <f t="shared" si="150"/>
        <v>0</v>
      </c>
      <c r="BT1195" s="331">
        <f t="shared" si="151"/>
        <v>0</v>
      </c>
      <c r="BU1195" s="920"/>
      <c r="BV1195" s="903"/>
      <c r="BW1195" s="907"/>
      <c r="BX1195" s="908"/>
      <c r="BY1195" s="331"/>
      <c r="BZ1195" s="340"/>
      <c r="CA1195" s="316"/>
      <c r="CB1195" s="318"/>
      <c r="CC1195" s="318"/>
      <c r="CD1195" s="318"/>
      <c r="CE1195" s="318"/>
      <c r="CF1195" s="318"/>
      <c r="CG1195" s="318"/>
      <c r="CH1195" s="318"/>
      <c r="CI1195" s="318"/>
      <c r="CJ1195" s="463"/>
      <c r="CK1195" s="342"/>
      <c r="CL1195" s="333"/>
      <c r="CM1195" s="829"/>
      <c r="CN1195" s="333"/>
      <c r="CO1195" s="333"/>
      <c r="CP1195" s="333"/>
    </row>
    <row r="1196">
      <c r="B1196" s="462" t="s">
        <v>1832</v>
      </c>
      <c r="C1196" s="914">
        <v>44545.0</v>
      </c>
      <c r="D1196" s="318"/>
      <c r="E1196" s="319" t="s">
        <v>1888</v>
      </c>
      <c r="F1196" s="324" t="s">
        <v>1889</v>
      </c>
      <c r="G1196" s="321">
        <v>0.6461805555555555</v>
      </c>
      <c r="H1196" s="323">
        <v>0.6465277777777778</v>
      </c>
      <c r="I1196" s="323"/>
      <c r="J1196" s="323"/>
      <c r="K1196" s="323">
        <v>0.6475694444444444</v>
      </c>
      <c r="L1196" s="323">
        <v>0.0010416666666666667</v>
      </c>
      <c r="M1196" s="319" t="s">
        <v>166</v>
      </c>
      <c r="N1196" s="324" t="s">
        <v>187</v>
      </c>
      <c r="O1196" s="419" t="s">
        <v>200</v>
      </c>
      <c r="P1196" s="319" t="s">
        <v>256</v>
      </c>
      <c r="Q1196" s="319" t="s">
        <v>1846</v>
      </c>
      <c r="R1196" s="326">
        <v>1.0</v>
      </c>
      <c r="S1196" s="319">
        <v>17.7</v>
      </c>
      <c r="T1196" s="324">
        <v>0.7</v>
      </c>
      <c r="U1196" s="319">
        <v>3.0</v>
      </c>
      <c r="V1196" s="319"/>
      <c r="W1196" s="319"/>
      <c r="X1196" s="319"/>
      <c r="Y1196" s="319"/>
      <c r="Z1196" s="319" t="s">
        <v>318</v>
      </c>
      <c r="AA1196" s="319"/>
      <c r="AB1196" s="319" t="s">
        <v>337</v>
      </c>
      <c r="AC1196" s="327">
        <v>2.5</v>
      </c>
      <c r="AD1196" s="319"/>
      <c r="AE1196" s="319"/>
      <c r="AF1196" s="319"/>
      <c r="AG1196" s="319"/>
      <c r="AH1196" s="319"/>
      <c r="AI1196" s="319"/>
      <c r="AJ1196" s="327"/>
      <c r="AK1196" s="328"/>
      <c r="AL1196" s="319"/>
      <c r="AM1196" s="319"/>
      <c r="AN1196" s="319"/>
      <c r="AO1196" s="319"/>
      <c r="AP1196" s="319"/>
      <c r="AQ1196" s="319"/>
      <c r="AR1196" s="319"/>
      <c r="AS1196" s="327"/>
      <c r="AT1196" s="461" t="s">
        <v>182</v>
      </c>
      <c r="AU1196" s="324" t="s">
        <v>845</v>
      </c>
      <c r="AV1196" s="330">
        <f>SQRT(($R1196-Infrastructure!J$3)^2+($S1196-Infrastructure!K$3)^2)</f>
        <v>11.27519401</v>
      </c>
      <c r="AW1196" s="331">
        <f>SQRT(($R1196-Infrastructure!J$4)^2+($S1196-Infrastructure!K$4)^2)</f>
        <v>1.303840481</v>
      </c>
      <c r="AX1196" s="331">
        <f>SQRT(($R1196-Infrastructure!J$5)^2+($S1196-Infrastructure!K$5)^2)</f>
        <v>12.66688596</v>
      </c>
      <c r="AY1196" s="331">
        <f>SQRT(($R1196-Infrastructure!J$6)^2+($S1196-Infrastructure!K$6)^2)</f>
        <v>19.63593644</v>
      </c>
      <c r="AZ1196" s="331">
        <f>SQRT(($R1196-Infrastructure!J$7)^2+($S1196-Infrastructure!K$7)^2)</f>
        <v>26.13446001</v>
      </c>
      <c r="BA1196" s="331">
        <f>SQRT(($R1196-Infrastructure!J$8)^2+($S1196-Infrastructure!K$8)^2)</f>
        <v>33.90530932</v>
      </c>
      <c r="BB1196" s="331">
        <f>SQRT(($R1196-Infrastructure!J$9)^2+($S1196-Infrastructure!K$9)^2)</f>
        <v>40.98487526</v>
      </c>
      <c r="BC1196" s="331">
        <f>SQRT(($R1196-Infrastructure!J$10)^2+($S1196-Infrastructure!K$10)^2)</f>
        <v>39.09334982</v>
      </c>
      <c r="BD1196" s="331">
        <f>SQRT(($R1196-Infrastructure!J$11)^2+($S1196-Infrastructure!K$11)^2)</f>
        <v>40.7962008</v>
      </c>
      <c r="BE1196" s="333">
        <f>SQRT(($R1196-Infrastructure!J$12)^2+($S1196-Infrastructure!K$12)^2)</f>
        <v>43.0010465</v>
      </c>
      <c r="BF1196" s="330">
        <f t="shared" si="148"/>
        <v>1.303840481</v>
      </c>
      <c r="BG1196" s="333">
        <f t="shared" si="149"/>
        <v>43.0010465</v>
      </c>
      <c r="BH1196" s="943">
        <v>36526.0</v>
      </c>
      <c r="BI1196" s="462" t="s">
        <v>845</v>
      </c>
      <c r="BJ1196" s="319" t="s">
        <v>845</v>
      </c>
      <c r="BK1196" s="319" t="s">
        <v>845</v>
      </c>
      <c r="BL1196" s="319" t="s">
        <v>845</v>
      </c>
      <c r="BM1196" s="955" t="s">
        <v>845</v>
      </c>
      <c r="BN1196" s="319" t="s">
        <v>845</v>
      </c>
      <c r="BO1196" s="319" t="s">
        <v>845</v>
      </c>
      <c r="BP1196" s="953" t="s">
        <v>845</v>
      </c>
      <c r="BQ1196" s="319" t="s">
        <v>845</v>
      </c>
      <c r="BR1196" s="324" t="s">
        <v>845</v>
      </c>
      <c r="BS1196" s="330">
        <f t="shared" si="150"/>
        <v>0</v>
      </c>
      <c r="BT1196" s="331">
        <f t="shared" si="151"/>
        <v>0</v>
      </c>
      <c r="BU1196" s="920"/>
      <c r="BV1196" s="903"/>
      <c r="BW1196" s="907"/>
      <c r="BX1196" s="908"/>
      <c r="BY1196" s="331"/>
      <c r="BZ1196" s="340"/>
      <c r="CA1196" s="316"/>
      <c r="CB1196" s="318"/>
      <c r="CC1196" s="318"/>
      <c r="CD1196" s="318"/>
      <c r="CE1196" s="318"/>
      <c r="CF1196" s="318"/>
      <c r="CG1196" s="318"/>
      <c r="CH1196" s="318"/>
      <c r="CI1196" s="318"/>
      <c r="CJ1196" s="463"/>
      <c r="CK1196" s="342"/>
      <c r="CL1196" s="333"/>
      <c r="CM1196" s="829"/>
      <c r="CN1196" s="333"/>
      <c r="CO1196" s="333"/>
      <c r="CP1196" s="333"/>
    </row>
    <row r="1197">
      <c r="B1197" s="462" t="s">
        <v>1832</v>
      </c>
      <c r="C1197" s="914">
        <v>44545.0</v>
      </c>
      <c r="D1197" s="318"/>
      <c r="E1197" s="319" t="s">
        <v>1485</v>
      </c>
      <c r="F1197" s="324" t="s">
        <v>1890</v>
      </c>
      <c r="G1197" s="321">
        <v>0.6484375</v>
      </c>
      <c r="H1197" s="323">
        <v>0.6487847222222223</v>
      </c>
      <c r="I1197" s="323"/>
      <c r="J1197" s="323"/>
      <c r="K1197" s="323">
        <v>0.6498263888888889</v>
      </c>
      <c r="L1197" s="323">
        <v>0.0010416666666666667</v>
      </c>
      <c r="M1197" s="319" t="s">
        <v>166</v>
      </c>
      <c r="N1197" s="324" t="s">
        <v>187</v>
      </c>
      <c r="O1197" s="419" t="s">
        <v>200</v>
      </c>
      <c r="P1197" s="319" t="s">
        <v>256</v>
      </c>
      <c r="Q1197" s="319" t="s">
        <v>1846</v>
      </c>
      <c r="R1197" s="326">
        <v>5.0</v>
      </c>
      <c r="S1197" s="319">
        <v>17.7</v>
      </c>
      <c r="T1197" s="324">
        <v>0.7</v>
      </c>
      <c r="U1197" s="319">
        <v>3.0</v>
      </c>
      <c r="V1197" s="319"/>
      <c r="W1197" s="319"/>
      <c r="X1197" s="319"/>
      <c r="Y1197" s="319"/>
      <c r="Z1197" s="319" t="s">
        <v>318</v>
      </c>
      <c r="AA1197" s="319"/>
      <c r="AB1197" s="319" t="s">
        <v>337</v>
      </c>
      <c r="AC1197" s="327">
        <v>2.5</v>
      </c>
      <c r="AD1197" s="319"/>
      <c r="AE1197" s="319"/>
      <c r="AF1197" s="319"/>
      <c r="AG1197" s="319"/>
      <c r="AH1197" s="319"/>
      <c r="AI1197" s="319"/>
      <c r="AJ1197" s="327"/>
      <c r="AK1197" s="328"/>
      <c r="AL1197" s="319"/>
      <c r="AM1197" s="319"/>
      <c r="AN1197" s="319"/>
      <c r="AO1197" s="319"/>
      <c r="AP1197" s="319"/>
      <c r="AQ1197" s="319"/>
      <c r="AR1197" s="319"/>
      <c r="AS1197" s="327"/>
      <c r="AT1197" s="461" t="s">
        <v>182</v>
      </c>
      <c r="AU1197" s="324" t="s">
        <v>845</v>
      </c>
      <c r="AV1197" s="330">
        <f>SQRT(($R1197-Infrastructure!J$3)^2+($S1197-Infrastructure!K$3)^2)</f>
        <v>12.39072234</v>
      </c>
      <c r="AW1197" s="331">
        <f>SQRT(($R1197-Infrastructure!J$4)^2+($S1197-Infrastructure!K$4)^2)</f>
        <v>5.300943312</v>
      </c>
      <c r="AX1197" s="331">
        <f>SQRT(($R1197-Infrastructure!J$5)^2+($S1197-Infrastructure!K$5)^2)</f>
        <v>13.66930869</v>
      </c>
      <c r="AY1197" s="331">
        <f>SQRT(($R1197-Infrastructure!J$6)^2+($S1197-Infrastructure!K$6)^2)</f>
        <v>18.13201588</v>
      </c>
      <c r="AZ1197" s="331">
        <f>SQRT(($R1197-Infrastructure!J$7)^2+($S1197-Infrastructure!K$7)^2)</f>
        <v>23.30257497</v>
      </c>
      <c r="BA1197" s="331">
        <f>SQRT(($R1197-Infrastructure!J$8)^2+($S1197-Infrastructure!K$8)^2)</f>
        <v>30.54128354</v>
      </c>
      <c r="BB1197" s="331">
        <f>SQRT(($R1197-Infrastructure!J$9)^2+($S1197-Infrastructure!K$9)^2)</f>
        <v>37.19892472</v>
      </c>
      <c r="BC1197" s="331">
        <f>SQRT(($R1197-Infrastructure!J$10)^2+($S1197-Infrastructure!K$10)^2)</f>
        <v>35.10398838</v>
      </c>
      <c r="BD1197" s="331">
        <f>SQRT(($R1197-Infrastructure!J$11)^2+($S1197-Infrastructure!K$11)^2)</f>
        <v>36.9693116</v>
      </c>
      <c r="BE1197" s="333">
        <f>SQRT(($R1197-Infrastructure!J$12)^2+($S1197-Infrastructure!K$12)^2)</f>
        <v>41.24427233</v>
      </c>
      <c r="BF1197" s="330">
        <f t="shared" si="148"/>
        <v>5.300943312</v>
      </c>
      <c r="BG1197" s="333">
        <f t="shared" si="149"/>
        <v>41.24427233</v>
      </c>
      <c r="BH1197" s="943">
        <v>36526.0</v>
      </c>
      <c r="BI1197" s="462" t="s">
        <v>845</v>
      </c>
      <c r="BJ1197" s="319" t="s">
        <v>845</v>
      </c>
      <c r="BK1197" s="319" t="s">
        <v>845</v>
      </c>
      <c r="BL1197" s="319" t="s">
        <v>845</v>
      </c>
      <c r="BM1197" s="955" t="s">
        <v>845</v>
      </c>
      <c r="BN1197" s="319" t="s">
        <v>845</v>
      </c>
      <c r="BO1197" s="319" t="s">
        <v>845</v>
      </c>
      <c r="BP1197" s="953" t="s">
        <v>845</v>
      </c>
      <c r="BQ1197" s="319" t="s">
        <v>845</v>
      </c>
      <c r="BR1197" s="324" t="s">
        <v>845</v>
      </c>
      <c r="BS1197" s="330">
        <f t="shared" si="150"/>
        <v>0</v>
      </c>
      <c r="BT1197" s="331">
        <f t="shared" si="151"/>
        <v>0</v>
      </c>
      <c r="BU1197" s="920"/>
      <c r="BV1197" s="903"/>
      <c r="BW1197" s="907"/>
      <c r="BX1197" s="908"/>
      <c r="BY1197" s="331"/>
      <c r="BZ1197" s="340"/>
      <c r="CA1197" s="316"/>
      <c r="CB1197" s="318"/>
      <c r="CC1197" s="318"/>
      <c r="CD1197" s="318"/>
      <c r="CE1197" s="318"/>
      <c r="CF1197" s="318"/>
      <c r="CG1197" s="318"/>
      <c r="CH1197" s="318"/>
      <c r="CI1197" s="318"/>
      <c r="CJ1197" s="463"/>
      <c r="CK1197" s="342"/>
      <c r="CL1197" s="333"/>
      <c r="CM1197" s="829"/>
      <c r="CN1197" s="333"/>
      <c r="CO1197" s="333"/>
      <c r="CP1197" s="333"/>
    </row>
    <row r="1198">
      <c r="B1198" s="462" t="s">
        <v>1832</v>
      </c>
      <c r="C1198" s="914">
        <v>44545.0</v>
      </c>
      <c r="D1198" s="318"/>
      <c r="E1198" s="319" t="s">
        <v>1891</v>
      </c>
      <c r="F1198" s="324" t="s">
        <v>1892</v>
      </c>
      <c r="G1198" s="321">
        <v>0.6517361111111111</v>
      </c>
      <c r="H1198" s="323">
        <v>0.6520833333333333</v>
      </c>
      <c r="I1198" s="323"/>
      <c r="J1198" s="323"/>
      <c r="K1198" s="323">
        <v>0.653125</v>
      </c>
      <c r="L1198" s="323">
        <v>0.0010416666666666667</v>
      </c>
      <c r="M1198" s="319" t="s">
        <v>166</v>
      </c>
      <c r="N1198" s="324" t="s">
        <v>187</v>
      </c>
      <c r="O1198" s="419" t="s">
        <v>201</v>
      </c>
      <c r="P1198" s="319" t="s">
        <v>256</v>
      </c>
      <c r="Q1198" s="319" t="s">
        <v>1842</v>
      </c>
      <c r="R1198" s="326">
        <v>1.0</v>
      </c>
      <c r="S1198" s="319">
        <v>5.0</v>
      </c>
      <c r="T1198" s="324">
        <v>0.7</v>
      </c>
      <c r="U1198" s="319">
        <v>3.0</v>
      </c>
      <c r="V1198" s="319"/>
      <c r="W1198" s="319"/>
      <c r="X1198" s="319"/>
      <c r="Y1198" s="319"/>
      <c r="Z1198" s="319" t="s">
        <v>339</v>
      </c>
      <c r="AA1198" s="319"/>
      <c r="AB1198" s="319" t="s">
        <v>337</v>
      </c>
      <c r="AC1198" s="327">
        <v>2.5</v>
      </c>
      <c r="AD1198" s="319"/>
      <c r="AE1198" s="319"/>
      <c r="AF1198" s="319"/>
      <c r="AG1198" s="319"/>
      <c r="AH1198" s="319"/>
      <c r="AI1198" s="319"/>
      <c r="AJ1198" s="327"/>
      <c r="AK1198" s="328"/>
      <c r="AL1198" s="319"/>
      <c r="AM1198" s="319"/>
      <c r="AN1198" s="319"/>
      <c r="AO1198" s="319"/>
      <c r="AP1198" s="319"/>
      <c r="AQ1198" s="319"/>
      <c r="AR1198" s="319"/>
      <c r="AS1198" s="327"/>
      <c r="AT1198" s="461" t="s">
        <v>182</v>
      </c>
      <c r="AU1198" s="324" t="s">
        <v>845</v>
      </c>
      <c r="AV1198" s="330">
        <f>SQRT(($R1198-Infrastructure!J$3)^2+($S1198-Infrastructure!K$3)^2)</f>
        <v>23.93532954</v>
      </c>
      <c r="AW1198" s="331">
        <f>SQRT(($R1198-Infrastructure!J$4)^2+($S1198-Infrastructure!K$4)^2)</f>
        <v>12.86584626</v>
      </c>
      <c r="AX1198" s="331">
        <f>SQRT(($R1198-Infrastructure!J$5)^2+($S1198-Infrastructure!K$5)^2)</f>
        <v>1.303840481</v>
      </c>
      <c r="AY1198" s="331">
        <f>SQRT(($R1198-Infrastructure!J$6)^2+($S1198-Infrastructure!K$6)^2)</f>
        <v>10.2420701</v>
      </c>
      <c r="AZ1198" s="331">
        <f>SQRT(($R1198-Infrastructure!J$7)^2+($S1198-Infrastructure!K$7)^2)</f>
        <v>20.05841469</v>
      </c>
      <c r="BA1198" s="331">
        <f>SQRT(($R1198-Infrastructure!J$8)^2+($S1198-Infrastructure!K$8)^2)</f>
        <v>29.47710976</v>
      </c>
      <c r="BB1198" s="331">
        <f>SQRT(($R1198-Infrastructure!J$9)^2+($S1198-Infrastructure!K$9)^2)</f>
        <v>39.0001282</v>
      </c>
      <c r="BC1198" s="331">
        <f>SQRT(($R1198-Infrastructure!J$10)^2+($S1198-Infrastructure!K$10)^2)</f>
        <v>40.26164428</v>
      </c>
      <c r="BD1198" s="331">
        <f>SQRT(($R1198-Infrastructure!J$11)^2+($S1198-Infrastructure!K$11)^2)</f>
        <v>45.96346375</v>
      </c>
      <c r="BE1198" s="333">
        <f>SQRT(($R1198-Infrastructure!J$12)^2+($S1198-Infrastructure!K$12)^2)</f>
        <v>54.50229353</v>
      </c>
      <c r="BF1198" s="330">
        <f t="shared" si="148"/>
        <v>1.303840481</v>
      </c>
      <c r="BG1198" s="333">
        <f t="shared" si="149"/>
        <v>54.50229353</v>
      </c>
      <c r="BH1198" s="943">
        <v>36526.0</v>
      </c>
      <c r="BI1198" s="462" t="s">
        <v>846</v>
      </c>
      <c r="BJ1198" s="319" t="s">
        <v>845</v>
      </c>
      <c r="BK1198" s="319" t="s">
        <v>845</v>
      </c>
      <c r="BL1198" s="319" t="s">
        <v>845</v>
      </c>
      <c r="BM1198" s="955" t="s">
        <v>845</v>
      </c>
      <c r="BN1198" s="319" t="s">
        <v>846</v>
      </c>
      <c r="BO1198" s="319" t="s">
        <v>845</v>
      </c>
      <c r="BP1198" s="953" t="s">
        <v>846</v>
      </c>
      <c r="BQ1198" s="319" t="s">
        <v>846</v>
      </c>
      <c r="BR1198" s="324" t="s">
        <v>846</v>
      </c>
      <c r="BS1198" s="330">
        <f t="shared" si="150"/>
        <v>23.93532954</v>
      </c>
      <c r="BT1198" s="331">
        <f t="shared" si="151"/>
        <v>54.50229353</v>
      </c>
      <c r="BU1198" s="920">
        <v>0.6519444444444444</v>
      </c>
      <c r="BV1198" s="903">
        <f t="shared" ref="BV1198:BV1199" si="156">BU1198-G1198</f>
        <v>0.0002083333333</v>
      </c>
      <c r="BW1198" s="907">
        <v>25.8</v>
      </c>
      <c r="BX1198" s="908">
        <v>26.4</v>
      </c>
      <c r="BY1198" s="331">
        <f t="shared" ref="BY1198:BY1199" si="157">IF(BW1198&gt;0, SQRT((R1198-BW1198)^2+(S1198-BX1198)^2))</f>
        <v>32.75667871</v>
      </c>
      <c r="BZ1198" s="340"/>
      <c r="CA1198" s="316"/>
      <c r="CB1198" s="318"/>
      <c r="CC1198" s="318"/>
      <c r="CD1198" s="318"/>
      <c r="CE1198" s="318"/>
      <c r="CF1198" s="318"/>
      <c r="CG1198" s="318"/>
      <c r="CH1198" s="318"/>
      <c r="CI1198" s="318"/>
      <c r="CJ1198" s="463"/>
      <c r="CK1198" s="342"/>
      <c r="CL1198" s="333"/>
      <c r="CM1198" s="829"/>
      <c r="CN1198" s="333"/>
      <c r="CO1198" s="333"/>
      <c r="CP1198" s="333"/>
    </row>
    <row r="1199">
      <c r="B1199" s="462" t="s">
        <v>1832</v>
      </c>
      <c r="C1199" s="914">
        <v>44545.0</v>
      </c>
      <c r="D1199" s="318"/>
      <c r="E1199" s="319" t="s">
        <v>1492</v>
      </c>
      <c r="F1199" s="324" t="s">
        <v>1893</v>
      </c>
      <c r="G1199" s="321">
        <v>0.6539930555555555</v>
      </c>
      <c r="H1199" s="323">
        <v>0.6541666666666667</v>
      </c>
      <c r="I1199" s="323"/>
      <c r="J1199" s="323"/>
      <c r="K1199" s="323">
        <v>0.6552083333333333</v>
      </c>
      <c r="L1199" s="323">
        <v>0.0010416666666666667</v>
      </c>
      <c r="M1199" s="319" t="s">
        <v>166</v>
      </c>
      <c r="N1199" s="324" t="s">
        <v>187</v>
      </c>
      <c r="O1199" s="419" t="s">
        <v>201</v>
      </c>
      <c r="P1199" s="319" t="s">
        <v>256</v>
      </c>
      <c r="Q1199" s="319" t="s">
        <v>1842</v>
      </c>
      <c r="R1199" s="326">
        <v>5.0</v>
      </c>
      <c r="S1199" s="319">
        <v>5.0</v>
      </c>
      <c r="T1199" s="324">
        <v>0.7</v>
      </c>
      <c r="U1199" s="319">
        <v>3.0</v>
      </c>
      <c r="V1199" s="319"/>
      <c r="W1199" s="319"/>
      <c r="X1199" s="319"/>
      <c r="Y1199" s="319"/>
      <c r="Z1199" s="319" t="s">
        <v>339</v>
      </c>
      <c r="AA1199" s="319"/>
      <c r="AB1199" s="319" t="s">
        <v>337</v>
      </c>
      <c r="AC1199" s="327">
        <v>2.5</v>
      </c>
      <c r="AD1199" s="319"/>
      <c r="AE1199" s="319"/>
      <c r="AF1199" s="319"/>
      <c r="AG1199" s="319"/>
      <c r="AH1199" s="319"/>
      <c r="AI1199" s="319"/>
      <c r="AJ1199" s="327"/>
      <c r="AK1199" s="328"/>
      <c r="AL1199" s="319"/>
      <c r="AM1199" s="319"/>
      <c r="AN1199" s="319"/>
      <c r="AO1199" s="319"/>
      <c r="AP1199" s="319"/>
      <c r="AQ1199" s="319"/>
      <c r="AR1199" s="319"/>
      <c r="AS1199" s="327"/>
      <c r="AT1199" s="461" t="s">
        <v>182</v>
      </c>
      <c r="AU1199" s="324" t="s">
        <v>845</v>
      </c>
      <c r="AV1199" s="330">
        <f>SQRT(($R1199-Infrastructure!J$3)^2+($S1199-Infrastructure!K$3)^2)</f>
        <v>24.48060457</v>
      </c>
      <c r="AW1199" s="331">
        <f>SQRT(($R1199-Infrastructure!J$4)^2+($S1199-Infrastructure!K$4)^2)</f>
        <v>13.85388032</v>
      </c>
      <c r="AX1199" s="331">
        <f>SQRT(($R1199-Infrastructure!J$5)^2+($S1199-Infrastructure!K$5)^2)</f>
        <v>5.300943312</v>
      </c>
      <c r="AY1199" s="331">
        <f>SQRT(($R1199-Infrastructure!J$6)^2+($S1199-Infrastructure!K$6)^2)</f>
        <v>6.935416354</v>
      </c>
      <c r="AZ1199" s="331">
        <f>SQRT(($R1199-Infrastructure!J$7)^2+($S1199-Infrastructure!K$7)^2)</f>
        <v>16.19691329</v>
      </c>
      <c r="BA1199" s="331">
        <f>SQRT(($R1199-Infrastructure!J$8)^2+($S1199-Infrastructure!K$8)^2)</f>
        <v>25.53624875</v>
      </c>
      <c r="BB1199" s="331">
        <f>SQRT(($R1199-Infrastructure!J$9)^2+($S1199-Infrastructure!K$9)^2)</f>
        <v>35.00014286</v>
      </c>
      <c r="BC1199" s="331">
        <f>SQRT(($R1199-Infrastructure!J$10)^2+($S1199-Infrastructure!K$10)^2)</f>
        <v>36.40054945</v>
      </c>
      <c r="BD1199" s="331">
        <f>SQRT(($R1199-Infrastructure!J$11)^2+($S1199-Infrastructure!K$11)^2)</f>
        <v>42.60328626</v>
      </c>
      <c r="BE1199" s="333">
        <f>SQRT(($R1199-Infrastructure!J$12)^2+($S1199-Infrastructure!K$12)^2)</f>
        <v>53.12720584</v>
      </c>
      <c r="BF1199" s="330">
        <f t="shared" si="148"/>
        <v>5.300943312</v>
      </c>
      <c r="BG1199" s="333">
        <f t="shared" si="149"/>
        <v>53.12720584</v>
      </c>
      <c r="BH1199" s="943">
        <v>36526.0</v>
      </c>
      <c r="BI1199" s="462" t="s">
        <v>846</v>
      </c>
      <c r="BJ1199" s="319" t="s">
        <v>845</v>
      </c>
      <c r="BK1199" s="319" t="s">
        <v>845</v>
      </c>
      <c r="BL1199" s="319" t="s">
        <v>845</v>
      </c>
      <c r="BM1199" s="955" t="s">
        <v>845</v>
      </c>
      <c r="BN1199" s="319" t="s">
        <v>846</v>
      </c>
      <c r="BO1199" s="319" t="s">
        <v>845</v>
      </c>
      <c r="BP1199" s="953" t="s">
        <v>846</v>
      </c>
      <c r="BQ1199" s="319" t="s">
        <v>846</v>
      </c>
      <c r="BR1199" s="324" t="s">
        <v>846</v>
      </c>
      <c r="BS1199" s="330">
        <f t="shared" si="150"/>
        <v>24.48060457</v>
      </c>
      <c r="BT1199" s="331">
        <f t="shared" si="151"/>
        <v>53.12720584</v>
      </c>
      <c r="BU1199" s="920">
        <v>0.6541898148148149</v>
      </c>
      <c r="BV1199" s="903">
        <f t="shared" si="156"/>
        <v>0.0001967592593</v>
      </c>
      <c r="BW1199" s="907">
        <v>27.1</v>
      </c>
      <c r="BX1199" s="908">
        <v>25.6</v>
      </c>
      <c r="BY1199" s="331">
        <f t="shared" si="157"/>
        <v>30.21208368</v>
      </c>
      <c r="BZ1199" s="340"/>
      <c r="CA1199" s="316"/>
      <c r="CB1199" s="318"/>
      <c r="CC1199" s="318"/>
      <c r="CD1199" s="318"/>
      <c r="CE1199" s="318"/>
      <c r="CF1199" s="318"/>
      <c r="CG1199" s="318"/>
      <c r="CH1199" s="318"/>
      <c r="CI1199" s="318"/>
      <c r="CJ1199" s="463"/>
      <c r="CK1199" s="342"/>
      <c r="CL1199" s="333"/>
      <c r="CM1199" s="829"/>
      <c r="CN1199" s="333"/>
      <c r="CO1199" s="333"/>
      <c r="CP1199" s="333"/>
    </row>
    <row r="1200">
      <c r="B1200" s="462" t="s">
        <v>1832</v>
      </c>
      <c r="C1200" s="914">
        <v>44545.0</v>
      </c>
      <c r="D1200" s="318"/>
      <c r="E1200" s="319" t="s">
        <v>1894</v>
      </c>
      <c r="F1200" s="324" t="s">
        <v>1895</v>
      </c>
      <c r="G1200" s="321">
        <v>0.6559027777777777</v>
      </c>
      <c r="H1200" s="323">
        <v>0.6560763888888889</v>
      </c>
      <c r="I1200" s="323"/>
      <c r="J1200" s="323"/>
      <c r="K1200" s="323">
        <v>0.6571180555555556</v>
      </c>
      <c r="L1200" s="323">
        <v>0.0010416666666666667</v>
      </c>
      <c r="M1200" s="319" t="s">
        <v>166</v>
      </c>
      <c r="N1200" s="324" t="s">
        <v>187</v>
      </c>
      <c r="O1200" s="419" t="s">
        <v>203</v>
      </c>
      <c r="P1200" s="319" t="s">
        <v>250</v>
      </c>
      <c r="Q1200" s="318"/>
      <c r="R1200" s="326">
        <v>15.1</v>
      </c>
      <c r="S1200" s="319">
        <v>2.4</v>
      </c>
      <c r="T1200" s="324">
        <v>1.2</v>
      </c>
      <c r="U1200" s="319">
        <v>2.0</v>
      </c>
      <c r="V1200" s="319"/>
      <c r="W1200" s="319"/>
      <c r="X1200" s="319"/>
      <c r="Y1200" s="319"/>
      <c r="Z1200" s="319" t="s">
        <v>357</v>
      </c>
      <c r="AA1200" s="319"/>
      <c r="AB1200" s="319" t="s">
        <v>380</v>
      </c>
      <c r="AC1200" s="327">
        <v>4.0</v>
      </c>
      <c r="AD1200" s="319"/>
      <c r="AE1200" s="319"/>
      <c r="AF1200" s="319"/>
      <c r="AG1200" s="319"/>
      <c r="AH1200" s="319"/>
      <c r="AI1200" s="319"/>
      <c r="AJ1200" s="327"/>
      <c r="AK1200" s="328"/>
      <c r="AL1200" s="319"/>
      <c r="AM1200" s="319"/>
      <c r="AN1200" s="319"/>
      <c r="AO1200" s="319"/>
      <c r="AP1200" s="319"/>
      <c r="AQ1200" s="319"/>
      <c r="AR1200" s="319"/>
      <c r="AS1200" s="327"/>
      <c r="AT1200" s="461" t="s">
        <v>182</v>
      </c>
      <c r="AU1200" s="324" t="s">
        <v>845</v>
      </c>
      <c r="AV1200" s="330">
        <f>SQRT(($R1200-Infrastructure!J$3)^2+($S1200-Infrastructure!K$3)^2)</f>
        <v>30.64979608</v>
      </c>
      <c r="AW1200" s="331">
        <f>SQRT(($R1200-Infrastructure!J$4)^2+($S1200-Infrastructure!K$4)^2)</f>
        <v>21.77888886</v>
      </c>
      <c r="AX1200" s="331">
        <f>SQRT(($R1200-Infrastructure!J$5)^2+($S1200-Infrastructure!K$5)^2)</f>
        <v>15.63489687</v>
      </c>
      <c r="AY1200" s="331">
        <f>SQRT(($R1200-Infrastructure!J$6)^2+($S1200-Infrastructure!K$6)^2)</f>
        <v>5.423098745</v>
      </c>
      <c r="AZ1200" s="331">
        <f>SQRT(($R1200-Infrastructure!J$7)^2+($S1200-Infrastructure!K$7)^2)</f>
        <v>5.793962375</v>
      </c>
      <c r="BA1200" s="331">
        <f>SQRT(($R1200-Infrastructure!J$8)^2+($S1200-Infrastructure!K$8)^2)</f>
        <v>15.14628667</v>
      </c>
      <c r="BB1200" s="331">
        <f>SQRT(($R1200-Infrastructure!J$9)^2+($S1200-Infrastructure!K$9)^2)</f>
        <v>25.04595776</v>
      </c>
      <c r="BC1200" s="331">
        <f>SQRT(($R1200-Infrastructure!J$10)^2+($S1200-Infrastructure!K$10)^2)</f>
        <v>27.90645087</v>
      </c>
      <c r="BD1200" s="331">
        <f>SQRT(($R1200-Infrastructure!J$11)^2+($S1200-Infrastructure!K$11)^2)</f>
        <v>36.5728041</v>
      </c>
      <c r="BE1200" s="333">
        <f>SQRT(($R1200-Infrastructure!J$12)^2+($S1200-Infrastructure!K$12)^2)</f>
        <v>53.48429676</v>
      </c>
      <c r="BF1200" s="330">
        <f t="shared" si="148"/>
        <v>5.423098745</v>
      </c>
      <c r="BG1200" s="333">
        <f t="shared" si="149"/>
        <v>53.48429676</v>
      </c>
      <c r="BH1200" s="943">
        <v>36526.0</v>
      </c>
      <c r="BI1200" s="462" t="s">
        <v>845</v>
      </c>
      <c r="BJ1200" s="319" t="s">
        <v>845</v>
      </c>
      <c r="BK1200" s="319" t="s">
        <v>845</v>
      </c>
      <c r="BL1200" s="319" t="s">
        <v>845</v>
      </c>
      <c r="BM1200" s="955" t="s">
        <v>845</v>
      </c>
      <c r="BN1200" s="319" t="s">
        <v>845</v>
      </c>
      <c r="BO1200" s="319" t="s">
        <v>845</v>
      </c>
      <c r="BP1200" s="953" t="s">
        <v>845</v>
      </c>
      <c r="BQ1200" s="319" t="s">
        <v>845</v>
      </c>
      <c r="BR1200" s="324" t="s">
        <v>845</v>
      </c>
      <c r="BS1200" s="330">
        <f t="shared" si="150"/>
        <v>0</v>
      </c>
      <c r="BT1200" s="331">
        <f t="shared" si="151"/>
        <v>0</v>
      </c>
      <c r="BU1200" s="920"/>
      <c r="BV1200" s="903"/>
      <c r="BW1200" s="907"/>
      <c r="BX1200" s="908"/>
      <c r="BY1200" s="331"/>
      <c r="BZ1200" s="340"/>
      <c r="CA1200" s="316"/>
      <c r="CB1200" s="318"/>
      <c r="CC1200" s="318"/>
      <c r="CD1200" s="318"/>
      <c r="CE1200" s="318"/>
      <c r="CF1200" s="318"/>
      <c r="CG1200" s="318"/>
      <c r="CH1200" s="318"/>
      <c r="CI1200" s="318"/>
      <c r="CJ1200" s="463"/>
      <c r="CK1200" s="342"/>
      <c r="CL1200" s="333"/>
      <c r="CM1200" s="829"/>
      <c r="CN1200" s="333"/>
      <c r="CO1200" s="333"/>
      <c r="CP1200" s="333"/>
    </row>
    <row r="1201">
      <c r="B1201" s="462" t="s">
        <v>1832</v>
      </c>
      <c r="C1201" s="914">
        <v>44545.0</v>
      </c>
      <c r="D1201" s="318"/>
      <c r="E1201" s="319" t="s">
        <v>1362</v>
      </c>
      <c r="F1201" s="324" t="s">
        <v>1896</v>
      </c>
      <c r="G1201" s="321">
        <v>0.6576388888888889</v>
      </c>
      <c r="H1201" s="323">
        <v>0.6579861111111112</v>
      </c>
      <c r="I1201" s="323"/>
      <c r="J1201" s="323"/>
      <c r="K1201" s="323">
        <v>0.6590277777777778</v>
      </c>
      <c r="L1201" s="323">
        <v>0.0010416666666666667</v>
      </c>
      <c r="M1201" s="319" t="s">
        <v>166</v>
      </c>
      <c r="N1201" s="324" t="s">
        <v>187</v>
      </c>
      <c r="O1201" s="419" t="s">
        <v>203</v>
      </c>
      <c r="P1201" s="319" t="s">
        <v>250</v>
      </c>
      <c r="Q1201" s="318"/>
      <c r="R1201" s="326">
        <v>15.1</v>
      </c>
      <c r="S1201" s="319">
        <v>2.4</v>
      </c>
      <c r="T1201" s="324">
        <v>1.2</v>
      </c>
      <c r="U1201" s="319">
        <v>6.0</v>
      </c>
      <c r="V1201" s="319"/>
      <c r="W1201" s="319"/>
      <c r="X1201" s="319"/>
      <c r="Y1201" s="319"/>
      <c r="Z1201" s="319" t="s">
        <v>357</v>
      </c>
      <c r="AA1201" s="319"/>
      <c r="AB1201" s="319" t="s">
        <v>380</v>
      </c>
      <c r="AC1201" s="327">
        <v>4.0</v>
      </c>
      <c r="AD1201" s="319"/>
      <c r="AE1201" s="319"/>
      <c r="AF1201" s="319"/>
      <c r="AG1201" s="319"/>
      <c r="AH1201" s="319"/>
      <c r="AI1201" s="319"/>
      <c r="AJ1201" s="327"/>
      <c r="AK1201" s="328"/>
      <c r="AL1201" s="319"/>
      <c r="AM1201" s="319"/>
      <c r="AN1201" s="319"/>
      <c r="AO1201" s="319"/>
      <c r="AP1201" s="319"/>
      <c r="AQ1201" s="319"/>
      <c r="AR1201" s="319"/>
      <c r="AS1201" s="327"/>
      <c r="AT1201" s="461" t="s">
        <v>182</v>
      </c>
      <c r="AU1201" s="324" t="s">
        <v>845</v>
      </c>
      <c r="AV1201" s="330">
        <f>SQRT(($R1201-Infrastructure!J$3)^2+($S1201-Infrastructure!K$3)^2)</f>
        <v>30.64979608</v>
      </c>
      <c r="AW1201" s="331">
        <f>SQRT(($R1201-Infrastructure!J$4)^2+($S1201-Infrastructure!K$4)^2)</f>
        <v>21.77888886</v>
      </c>
      <c r="AX1201" s="331">
        <f>SQRT(($R1201-Infrastructure!J$5)^2+($S1201-Infrastructure!K$5)^2)</f>
        <v>15.63489687</v>
      </c>
      <c r="AY1201" s="331">
        <f>SQRT(($R1201-Infrastructure!J$6)^2+($S1201-Infrastructure!K$6)^2)</f>
        <v>5.423098745</v>
      </c>
      <c r="AZ1201" s="331">
        <f>SQRT(($R1201-Infrastructure!J$7)^2+($S1201-Infrastructure!K$7)^2)</f>
        <v>5.793962375</v>
      </c>
      <c r="BA1201" s="331">
        <f>SQRT(($R1201-Infrastructure!J$8)^2+($S1201-Infrastructure!K$8)^2)</f>
        <v>15.14628667</v>
      </c>
      <c r="BB1201" s="331">
        <f>SQRT(($R1201-Infrastructure!J$9)^2+($S1201-Infrastructure!K$9)^2)</f>
        <v>25.04595776</v>
      </c>
      <c r="BC1201" s="331">
        <f>SQRT(($R1201-Infrastructure!J$10)^2+($S1201-Infrastructure!K$10)^2)</f>
        <v>27.90645087</v>
      </c>
      <c r="BD1201" s="331">
        <f>SQRT(($R1201-Infrastructure!J$11)^2+($S1201-Infrastructure!K$11)^2)</f>
        <v>36.5728041</v>
      </c>
      <c r="BE1201" s="333">
        <f>SQRT(($R1201-Infrastructure!J$12)^2+($S1201-Infrastructure!K$12)^2)</f>
        <v>53.48429676</v>
      </c>
      <c r="BF1201" s="330">
        <f t="shared" si="148"/>
        <v>5.423098745</v>
      </c>
      <c r="BG1201" s="333">
        <f t="shared" si="149"/>
        <v>53.48429676</v>
      </c>
      <c r="BH1201" s="943">
        <v>36526.0</v>
      </c>
      <c r="BI1201" s="462" t="s">
        <v>846</v>
      </c>
      <c r="BJ1201" s="319" t="s">
        <v>845</v>
      </c>
      <c r="BK1201" s="319" t="s">
        <v>845</v>
      </c>
      <c r="BL1201" s="319" t="s">
        <v>845</v>
      </c>
      <c r="BM1201" s="955" t="s">
        <v>845</v>
      </c>
      <c r="BN1201" s="319" t="s">
        <v>846</v>
      </c>
      <c r="BO1201" s="319" t="s">
        <v>845</v>
      </c>
      <c r="BP1201" s="953" t="s">
        <v>846</v>
      </c>
      <c r="BQ1201" s="319" t="s">
        <v>846</v>
      </c>
      <c r="BR1201" s="324" t="s">
        <v>846</v>
      </c>
      <c r="BS1201" s="330">
        <f t="shared" si="150"/>
        <v>15.14628667</v>
      </c>
      <c r="BT1201" s="331">
        <f t="shared" si="151"/>
        <v>53.48429676</v>
      </c>
      <c r="BU1201" s="920">
        <v>0.6578935185185185</v>
      </c>
      <c r="BV1201" s="903">
        <f>BU1201-G1201</f>
        <v>0.0002546296296</v>
      </c>
      <c r="BW1201" s="907">
        <v>25.0</v>
      </c>
      <c r="BX1201" s="908">
        <v>25.6</v>
      </c>
      <c r="BY1201" s="331">
        <f>IF(BW1201&gt;0, SQRT((R1201-BW1201)^2+(S1201-BX1201)^2))</f>
        <v>25.22399651</v>
      </c>
      <c r="BZ1201" s="340"/>
      <c r="CA1201" s="316"/>
      <c r="CB1201" s="318"/>
      <c r="CC1201" s="318"/>
      <c r="CD1201" s="318"/>
      <c r="CE1201" s="318"/>
      <c r="CF1201" s="318"/>
      <c r="CG1201" s="318"/>
      <c r="CH1201" s="318"/>
      <c r="CI1201" s="318"/>
      <c r="CJ1201" s="463"/>
      <c r="CK1201" s="342"/>
      <c r="CL1201" s="333"/>
      <c r="CM1201" s="829"/>
      <c r="CN1201" s="333"/>
      <c r="CO1201" s="333"/>
      <c r="CP1201" s="333"/>
    </row>
    <row r="1202">
      <c r="B1202" s="462" t="s">
        <v>1832</v>
      </c>
      <c r="C1202" s="914">
        <v>44545.0</v>
      </c>
      <c r="D1202" s="318"/>
      <c r="E1202" s="319" t="s">
        <v>1897</v>
      </c>
      <c r="F1202" s="324" t="s">
        <v>1898</v>
      </c>
      <c r="G1202" s="321">
        <v>0.6600694444444445</v>
      </c>
      <c r="H1202" s="323">
        <v>0.6604166666666667</v>
      </c>
      <c r="I1202" s="323"/>
      <c r="J1202" s="323"/>
      <c r="K1202" s="323">
        <v>0.6614583333333334</v>
      </c>
      <c r="L1202" s="323">
        <v>0.0010416666666666667</v>
      </c>
      <c r="M1202" s="319" t="s">
        <v>166</v>
      </c>
      <c r="N1202" s="324" t="s">
        <v>187</v>
      </c>
      <c r="O1202" s="419" t="s">
        <v>203</v>
      </c>
      <c r="P1202" s="319" t="s">
        <v>250</v>
      </c>
      <c r="Q1202" s="318"/>
      <c r="R1202" s="326">
        <v>15.1</v>
      </c>
      <c r="S1202" s="319">
        <v>2.4</v>
      </c>
      <c r="T1202" s="324">
        <v>1.2</v>
      </c>
      <c r="U1202" s="319">
        <v>3.0</v>
      </c>
      <c r="V1202" s="319"/>
      <c r="W1202" s="319"/>
      <c r="X1202" s="319"/>
      <c r="Y1202" s="319"/>
      <c r="Z1202" s="319" t="s">
        <v>357</v>
      </c>
      <c r="AA1202" s="319"/>
      <c r="AB1202" s="319" t="s">
        <v>384</v>
      </c>
      <c r="AC1202" s="327">
        <v>6.0</v>
      </c>
      <c r="AD1202" s="319"/>
      <c r="AE1202" s="319"/>
      <c r="AF1202" s="319"/>
      <c r="AG1202" s="319"/>
      <c r="AH1202" s="319"/>
      <c r="AI1202" s="319"/>
      <c r="AJ1202" s="327"/>
      <c r="AK1202" s="328"/>
      <c r="AL1202" s="319"/>
      <c r="AM1202" s="319"/>
      <c r="AN1202" s="319"/>
      <c r="AO1202" s="319"/>
      <c r="AP1202" s="319"/>
      <c r="AQ1202" s="319"/>
      <c r="AR1202" s="319"/>
      <c r="AS1202" s="327"/>
      <c r="AT1202" s="461" t="s">
        <v>182</v>
      </c>
      <c r="AU1202" s="324" t="s">
        <v>845</v>
      </c>
      <c r="AV1202" s="330">
        <f>SQRT(($R1202-Infrastructure!J$3)^2+($S1202-Infrastructure!K$3)^2)</f>
        <v>30.64979608</v>
      </c>
      <c r="AW1202" s="331">
        <f>SQRT(($R1202-Infrastructure!J$4)^2+($S1202-Infrastructure!K$4)^2)</f>
        <v>21.77888886</v>
      </c>
      <c r="AX1202" s="331">
        <f>SQRT(($R1202-Infrastructure!J$5)^2+($S1202-Infrastructure!K$5)^2)</f>
        <v>15.63489687</v>
      </c>
      <c r="AY1202" s="331">
        <f>SQRT(($R1202-Infrastructure!J$6)^2+($S1202-Infrastructure!K$6)^2)</f>
        <v>5.423098745</v>
      </c>
      <c r="AZ1202" s="331">
        <f>SQRT(($R1202-Infrastructure!J$7)^2+($S1202-Infrastructure!K$7)^2)</f>
        <v>5.793962375</v>
      </c>
      <c r="BA1202" s="331">
        <f>SQRT(($R1202-Infrastructure!J$8)^2+($S1202-Infrastructure!K$8)^2)</f>
        <v>15.14628667</v>
      </c>
      <c r="BB1202" s="331">
        <f>SQRT(($R1202-Infrastructure!J$9)^2+($S1202-Infrastructure!K$9)^2)</f>
        <v>25.04595776</v>
      </c>
      <c r="BC1202" s="331">
        <f>SQRT(($R1202-Infrastructure!J$10)^2+($S1202-Infrastructure!K$10)^2)</f>
        <v>27.90645087</v>
      </c>
      <c r="BD1202" s="331">
        <f>SQRT(($R1202-Infrastructure!J$11)^2+($S1202-Infrastructure!K$11)^2)</f>
        <v>36.5728041</v>
      </c>
      <c r="BE1202" s="333">
        <f>SQRT(($R1202-Infrastructure!J$12)^2+($S1202-Infrastructure!K$12)^2)</f>
        <v>53.48429676</v>
      </c>
      <c r="BF1202" s="330">
        <f t="shared" si="148"/>
        <v>5.423098745</v>
      </c>
      <c r="BG1202" s="333">
        <f t="shared" si="149"/>
        <v>53.48429676</v>
      </c>
      <c r="BH1202" s="943">
        <v>36526.0</v>
      </c>
      <c r="BI1202" s="462" t="s">
        <v>845</v>
      </c>
      <c r="BJ1202" s="319" t="s">
        <v>845</v>
      </c>
      <c r="BK1202" s="319" t="s">
        <v>845</v>
      </c>
      <c r="BL1202" s="319" t="s">
        <v>845</v>
      </c>
      <c r="BM1202" s="955" t="s">
        <v>845</v>
      </c>
      <c r="BN1202" s="319" t="s">
        <v>845</v>
      </c>
      <c r="BO1202" s="319" t="s">
        <v>845</v>
      </c>
      <c r="BP1202" s="953" t="s">
        <v>845</v>
      </c>
      <c r="BQ1202" s="319" t="s">
        <v>845</v>
      </c>
      <c r="BR1202" s="324" t="s">
        <v>845</v>
      </c>
      <c r="BS1202" s="330">
        <f t="shared" si="150"/>
        <v>0</v>
      </c>
      <c r="BT1202" s="331">
        <f t="shared" si="151"/>
        <v>0</v>
      </c>
      <c r="BU1202" s="920"/>
      <c r="BV1202" s="903"/>
      <c r="BW1202" s="907"/>
      <c r="BX1202" s="908"/>
      <c r="BY1202" s="331"/>
      <c r="BZ1202" s="340"/>
      <c r="CA1202" s="316"/>
      <c r="CB1202" s="318"/>
      <c r="CC1202" s="318"/>
      <c r="CD1202" s="318"/>
      <c r="CE1202" s="318"/>
      <c r="CF1202" s="318"/>
      <c r="CG1202" s="318"/>
      <c r="CH1202" s="318"/>
      <c r="CI1202" s="318"/>
      <c r="CJ1202" s="463"/>
      <c r="CK1202" s="342"/>
      <c r="CL1202" s="333"/>
      <c r="CM1202" s="829"/>
      <c r="CN1202" s="333"/>
      <c r="CO1202" s="333"/>
      <c r="CP1202" s="333"/>
    </row>
    <row r="1203">
      <c r="B1203" s="462" t="s">
        <v>1832</v>
      </c>
      <c r="C1203" s="914">
        <v>44545.0</v>
      </c>
      <c r="D1203" s="318"/>
      <c r="E1203" s="319" t="s">
        <v>1899</v>
      </c>
      <c r="F1203" s="324" t="s">
        <v>1900</v>
      </c>
      <c r="G1203" s="321">
        <v>0.6621527777777778</v>
      </c>
      <c r="H1203" s="323">
        <v>0.6625</v>
      </c>
      <c r="I1203" s="323"/>
      <c r="J1203" s="323"/>
      <c r="K1203" s="323">
        <v>0.6635416666666667</v>
      </c>
      <c r="L1203" s="323">
        <v>0.0010416666666666667</v>
      </c>
      <c r="M1203" s="319" t="s">
        <v>166</v>
      </c>
      <c r="N1203" s="324" t="s">
        <v>187</v>
      </c>
      <c r="O1203" s="419" t="s">
        <v>203</v>
      </c>
      <c r="P1203" s="319" t="s">
        <v>250</v>
      </c>
      <c r="Q1203" s="318"/>
      <c r="R1203" s="326">
        <v>15.1</v>
      </c>
      <c r="S1203" s="319">
        <v>2.4</v>
      </c>
      <c r="T1203" s="324">
        <v>1.2</v>
      </c>
      <c r="U1203" s="319">
        <v>6.0</v>
      </c>
      <c r="V1203" s="319"/>
      <c r="W1203" s="319"/>
      <c r="X1203" s="319"/>
      <c r="Y1203" s="319"/>
      <c r="Z1203" s="319" t="s">
        <v>357</v>
      </c>
      <c r="AA1203" s="319"/>
      <c r="AB1203" s="319" t="s">
        <v>384</v>
      </c>
      <c r="AC1203" s="327">
        <v>6.0</v>
      </c>
      <c r="AD1203" s="319"/>
      <c r="AE1203" s="319"/>
      <c r="AF1203" s="319"/>
      <c r="AG1203" s="319"/>
      <c r="AH1203" s="319"/>
      <c r="AI1203" s="319"/>
      <c r="AJ1203" s="327"/>
      <c r="AK1203" s="328"/>
      <c r="AL1203" s="319"/>
      <c r="AM1203" s="319"/>
      <c r="AN1203" s="319"/>
      <c r="AO1203" s="319"/>
      <c r="AP1203" s="319"/>
      <c r="AQ1203" s="319"/>
      <c r="AR1203" s="319"/>
      <c r="AS1203" s="327"/>
      <c r="AT1203" s="461" t="s">
        <v>182</v>
      </c>
      <c r="AU1203" s="324" t="s">
        <v>845</v>
      </c>
      <c r="AV1203" s="330">
        <f>SQRT(($R1203-Infrastructure!J$3)^2+($S1203-Infrastructure!K$3)^2)</f>
        <v>30.64979608</v>
      </c>
      <c r="AW1203" s="331">
        <f>SQRT(($R1203-Infrastructure!J$4)^2+($S1203-Infrastructure!K$4)^2)</f>
        <v>21.77888886</v>
      </c>
      <c r="AX1203" s="331">
        <f>SQRT(($R1203-Infrastructure!J$5)^2+($S1203-Infrastructure!K$5)^2)</f>
        <v>15.63489687</v>
      </c>
      <c r="AY1203" s="331">
        <f>SQRT(($R1203-Infrastructure!J$6)^2+($S1203-Infrastructure!K$6)^2)</f>
        <v>5.423098745</v>
      </c>
      <c r="AZ1203" s="331">
        <f>SQRT(($R1203-Infrastructure!J$7)^2+($S1203-Infrastructure!K$7)^2)</f>
        <v>5.793962375</v>
      </c>
      <c r="BA1203" s="331">
        <f>SQRT(($R1203-Infrastructure!J$8)^2+($S1203-Infrastructure!K$8)^2)</f>
        <v>15.14628667</v>
      </c>
      <c r="BB1203" s="331">
        <f>SQRT(($R1203-Infrastructure!J$9)^2+($S1203-Infrastructure!K$9)^2)</f>
        <v>25.04595776</v>
      </c>
      <c r="BC1203" s="331">
        <f>SQRT(($R1203-Infrastructure!J$10)^2+($S1203-Infrastructure!K$10)^2)</f>
        <v>27.90645087</v>
      </c>
      <c r="BD1203" s="331">
        <f>SQRT(($R1203-Infrastructure!J$11)^2+($S1203-Infrastructure!K$11)^2)</f>
        <v>36.5728041</v>
      </c>
      <c r="BE1203" s="333">
        <f>SQRT(($R1203-Infrastructure!J$12)^2+($S1203-Infrastructure!K$12)^2)</f>
        <v>53.48429676</v>
      </c>
      <c r="BF1203" s="330">
        <f t="shared" si="148"/>
        <v>5.423098745</v>
      </c>
      <c r="BG1203" s="333">
        <f t="shared" si="149"/>
        <v>53.48429676</v>
      </c>
      <c r="BH1203" s="943">
        <v>36526.0</v>
      </c>
      <c r="BI1203" s="462" t="s">
        <v>846</v>
      </c>
      <c r="BJ1203" s="319" t="s">
        <v>845</v>
      </c>
      <c r="BK1203" s="319" t="s">
        <v>845</v>
      </c>
      <c r="BL1203" s="319" t="s">
        <v>845</v>
      </c>
      <c r="BM1203" s="955" t="s">
        <v>845</v>
      </c>
      <c r="BN1203" s="319" t="s">
        <v>846</v>
      </c>
      <c r="BO1203" s="319" t="s">
        <v>845</v>
      </c>
      <c r="BP1203" s="953" t="s">
        <v>846</v>
      </c>
      <c r="BQ1203" s="319" t="s">
        <v>845</v>
      </c>
      <c r="BR1203" s="324" t="s">
        <v>846</v>
      </c>
      <c r="BS1203" s="330">
        <f t="shared" si="150"/>
        <v>15.14628667</v>
      </c>
      <c r="BT1203" s="331">
        <f t="shared" si="151"/>
        <v>53.48429676</v>
      </c>
      <c r="BU1203" s="920">
        <v>0.6623726851851852</v>
      </c>
      <c r="BV1203" s="903">
        <f t="shared" ref="BV1203:BV1208" si="158">BU1203-G1203</f>
        <v>0.0002199074074</v>
      </c>
      <c r="BW1203" s="907">
        <v>31.3</v>
      </c>
      <c r="BX1203" s="908">
        <v>14.8</v>
      </c>
      <c r="BY1203" s="331">
        <f t="shared" ref="BY1203:BY1208" si="159">IF(BW1203&gt;0, SQRT((R1203-BW1203)^2+(S1203-BX1203)^2))</f>
        <v>20.40098037</v>
      </c>
      <c r="BZ1203" s="340"/>
      <c r="CA1203" s="316"/>
      <c r="CB1203" s="318"/>
      <c r="CC1203" s="318"/>
      <c r="CD1203" s="318"/>
      <c r="CE1203" s="318"/>
      <c r="CF1203" s="318"/>
      <c r="CG1203" s="318"/>
      <c r="CH1203" s="318"/>
      <c r="CI1203" s="318"/>
      <c r="CJ1203" s="463"/>
      <c r="CK1203" s="342"/>
      <c r="CL1203" s="333"/>
      <c r="CM1203" s="829"/>
      <c r="CN1203" s="333"/>
      <c r="CO1203" s="333"/>
      <c r="CP1203" s="333"/>
    </row>
    <row r="1204">
      <c r="B1204" s="462" t="s">
        <v>1832</v>
      </c>
      <c r="C1204" s="914">
        <v>44545.0</v>
      </c>
      <c r="D1204" s="318"/>
      <c r="E1204" s="319" t="s">
        <v>1901</v>
      </c>
      <c r="F1204" s="324" t="s">
        <v>1902</v>
      </c>
      <c r="G1204" s="321">
        <v>0.6642361111111111</v>
      </c>
      <c r="H1204" s="323">
        <v>0.6644097222222223</v>
      </c>
      <c r="I1204" s="323"/>
      <c r="J1204" s="323"/>
      <c r="K1204" s="323">
        <v>0.6655671296296296</v>
      </c>
      <c r="L1204" s="323">
        <v>0.0011574074074074073</v>
      </c>
      <c r="M1204" s="319" t="s">
        <v>166</v>
      </c>
      <c r="N1204" s="324" t="s">
        <v>187</v>
      </c>
      <c r="O1204" s="419" t="s">
        <v>205</v>
      </c>
      <c r="P1204" s="319" t="s">
        <v>213</v>
      </c>
      <c r="Q1204" s="318"/>
      <c r="R1204" s="326">
        <v>21.5</v>
      </c>
      <c r="S1204" s="319">
        <v>4.1</v>
      </c>
      <c r="T1204" s="324">
        <v>2.3</v>
      </c>
      <c r="U1204" s="319">
        <v>4.0</v>
      </c>
      <c r="V1204" s="319"/>
      <c r="W1204" s="319"/>
      <c r="X1204" s="319"/>
      <c r="Y1204" s="319"/>
      <c r="Z1204" s="319" t="s">
        <v>365</v>
      </c>
      <c r="AA1204" s="319"/>
      <c r="AB1204" s="319" t="s">
        <v>380</v>
      </c>
      <c r="AC1204" s="327">
        <v>4.0</v>
      </c>
      <c r="AD1204" s="319"/>
      <c r="AE1204" s="319"/>
      <c r="AF1204" s="319"/>
      <c r="AG1204" s="319"/>
      <c r="AH1204" s="319"/>
      <c r="AI1204" s="319"/>
      <c r="AJ1204" s="327"/>
      <c r="AK1204" s="328"/>
      <c r="AL1204" s="319"/>
      <c r="AM1204" s="319"/>
      <c r="AN1204" s="319"/>
      <c r="AO1204" s="319"/>
      <c r="AP1204" s="319"/>
      <c r="AQ1204" s="319"/>
      <c r="AR1204" s="319"/>
      <c r="AS1204" s="327"/>
      <c r="AT1204" s="461" t="s">
        <v>182</v>
      </c>
      <c r="AU1204" s="324" t="s">
        <v>845</v>
      </c>
      <c r="AV1204" s="330">
        <f>SQRT(($R1204-Infrastructure!J$3)^2+($S1204-Infrastructure!K$3)^2)</f>
        <v>33.01938824</v>
      </c>
      <c r="AW1204" s="331">
        <f>SQRT(($R1204-Infrastructure!J$4)^2+($S1204-Infrastructure!K$4)^2)</f>
        <v>25.74742706</v>
      </c>
      <c r="AX1204" s="331">
        <f>SQRT(($R1204-Infrastructure!J$5)^2+($S1204-Infrastructure!K$5)^2)</f>
        <v>21.82292373</v>
      </c>
      <c r="AY1204" s="331">
        <f>SQRT(($R1204-Infrastructure!J$6)^2+($S1204-Infrastructure!K$6)^2)</f>
        <v>12.01665511</v>
      </c>
      <c r="AZ1204" s="331">
        <f>SQRT(($R1204-Infrastructure!J$7)^2+($S1204-Infrastructure!K$7)^2)</f>
        <v>3.929376541</v>
      </c>
      <c r="BA1204" s="331">
        <f>SQRT(($R1204-Infrastructure!J$8)^2+($S1204-Infrastructure!K$8)^2)</f>
        <v>9.402127419</v>
      </c>
      <c r="BB1204" s="331">
        <f>SQRT(($R1204-Infrastructure!J$9)^2+($S1204-Infrastructure!K$9)^2)</f>
        <v>18.52700731</v>
      </c>
      <c r="BC1204" s="331">
        <f>SQRT(($R1204-Infrastructure!J$10)^2+($S1204-Infrastructure!K$10)^2)</f>
        <v>21.47230775</v>
      </c>
      <c r="BD1204" s="331">
        <f>SQRT(($R1204-Infrastructure!J$11)^2+($S1204-Infrastructure!K$11)^2)</f>
        <v>31.14000642</v>
      </c>
      <c r="BE1204" s="333">
        <f>SQRT(($R1204-Infrastructure!J$12)^2+($S1204-Infrastructure!K$12)^2)</f>
        <v>51.4</v>
      </c>
      <c r="BF1204" s="330">
        <f t="shared" si="148"/>
        <v>3.929376541</v>
      </c>
      <c r="BG1204" s="333">
        <f t="shared" si="149"/>
        <v>51.4</v>
      </c>
      <c r="BH1204" s="943">
        <v>36526.0</v>
      </c>
      <c r="BI1204" s="462" t="s">
        <v>846</v>
      </c>
      <c r="BJ1204" s="319" t="s">
        <v>845</v>
      </c>
      <c r="BK1204" s="319" t="s">
        <v>845</v>
      </c>
      <c r="BL1204" s="319" t="s">
        <v>845</v>
      </c>
      <c r="BM1204" s="955" t="s">
        <v>845</v>
      </c>
      <c r="BN1204" s="319" t="s">
        <v>846</v>
      </c>
      <c r="BO1204" s="319" t="s">
        <v>845</v>
      </c>
      <c r="BP1204" s="953" t="s">
        <v>846</v>
      </c>
      <c r="BQ1204" s="319" t="s">
        <v>846</v>
      </c>
      <c r="BR1204" s="324" t="s">
        <v>846</v>
      </c>
      <c r="BS1204" s="330">
        <f t="shared" si="150"/>
        <v>9.402127419</v>
      </c>
      <c r="BT1204" s="331">
        <f t="shared" si="151"/>
        <v>51.4</v>
      </c>
      <c r="BU1204" s="920">
        <v>0.6644212962962963</v>
      </c>
      <c r="BV1204" s="903">
        <f t="shared" si="158"/>
        <v>0.0001851851852</v>
      </c>
      <c r="BW1204" s="907">
        <v>28.2</v>
      </c>
      <c r="BX1204" s="908">
        <v>18.4</v>
      </c>
      <c r="BY1204" s="331">
        <f t="shared" si="159"/>
        <v>15.79177001</v>
      </c>
      <c r="BZ1204" s="340"/>
      <c r="CA1204" s="316"/>
      <c r="CB1204" s="318"/>
      <c r="CC1204" s="318"/>
      <c r="CD1204" s="318"/>
      <c r="CE1204" s="318"/>
      <c r="CF1204" s="318"/>
      <c r="CG1204" s="318"/>
      <c r="CH1204" s="318"/>
      <c r="CI1204" s="318"/>
      <c r="CJ1204" s="463"/>
      <c r="CK1204" s="342"/>
      <c r="CL1204" s="333"/>
      <c r="CM1204" s="829"/>
      <c r="CN1204" s="333"/>
      <c r="CO1204" s="333"/>
      <c r="CP1204" s="333"/>
    </row>
    <row r="1205">
      <c r="B1205" s="462" t="s">
        <v>1832</v>
      </c>
      <c r="C1205" s="914">
        <v>44545.0</v>
      </c>
      <c r="D1205" s="318"/>
      <c r="E1205" s="319" t="s">
        <v>1903</v>
      </c>
      <c r="F1205" s="324" t="s">
        <v>1904</v>
      </c>
      <c r="G1205" s="321">
        <v>0.6668402777777778</v>
      </c>
      <c r="H1205" s="323">
        <v>0.6671875</v>
      </c>
      <c r="I1205" s="323"/>
      <c r="J1205" s="323"/>
      <c r="K1205" s="323">
        <v>0.6683449074074074</v>
      </c>
      <c r="L1205" s="323">
        <v>0.0011574074074074073</v>
      </c>
      <c r="M1205" s="319" t="s">
        <v>166</v>
      </c>
      <c r="N1205" s="324" t="s">
        <v>187</v>
      </c>
      <c r="O1205" s="419" t="s">
        <v>205</v>
      </c>
      <c r="P1205" s="319" t="s">
        <v>213</v>
      </c>
      <c r="Q1205" s="318"/>
      <c r="R1205" s="326">
        <v>21.5</v>
      </c>
      <c r="S1205" s="319">
        <v>4.1</v>
      </c>
      <c r="T1205" s="324">
        <v>2.3</v>
      </c>
      <c r="U1205" s="319">
        <v>6.0</v>
      </c>
      <c r="V1205" s="319"/>
      <c r="W1205" s="319"/>
      <c r="X1205" s="319"/>
      <c r="Y1205" s="319"/>
      <c r="Z1205" s="319" t="s">
        <v>365</v>
      </c>
      <c r="AA1205" s="319"/>
      <c r="AB1205" s="319" t="s">
        <v>384</v>
      </c>
      <c r="AC1205" s="327">
        <v>6.0</v>
      </c>
      <c r="AD1205" s="319"/>
      <c r="AE1205" s="319"/>
      <c r="AF1205" s="319"/>
      <c r="AG1205" s="319"/>
      <c r="AH1205" s="319"/>
      <c r="AI1205" s="319"/>
      <c r="AJ1205" s="327"/>
      <c r="AK1205" s="328"/>
      <c r="AL1205" s="319"/>
      <c r="AM1205" s="319"/>
      <c r="AN1205" s="319"/>
      <c r="AO1205" s="319"/>
      <c r="AP1205" s="319"/>
      <c r="AQ1205" s="319"/>
      <c r="AR1205" s="319"/>
      <c r="AS1205" s="327"/>
      <c r="AT1205" s="461" t="s">
        <v>182</v>
      </c>
      <c r="AU1205" s="324" t="s">
        <v>845</v>
      </c>
      <c r="AV1205" s="330">
        <f>SQRT(($R1205-Infrastructure!J$3)^2+($S1205-Infrastructure!K$3)^2)</f>
        <v>33.01938824</v>
      </c>
      <c r="AW1205" s="331">
        <f>SQRT(($R1205-Infrastructure!J$4)^2+($S1205-Infrastructure!K$4)^2)</f>
        <v>25.74742706</v>
      </c>
      <c r="AX1205" s="331">
        <f>SQRT(($R1205-Infrastructure!J$5)^2+($S1205-Infrastructure!K$5)^2)</f>
        <v>21.82292373</v>
      </c>
      <c r="AY1205" s="331">
        <f>SQRT(($R1205-Infrastructure!J$6)^2+($S1205-Infrastructure!K$6)^2)</f>
        <v>12.01665511</v>
      </c>
      <c r="AZ1205" s="331">
        <f>SQRT(($R1205-Infrastructure!J$7)^2+($S1205-Infrastructure!K$7)^2)</f>
        <v>3.929376541</v>
      </c>
      <c r="BA1205" s="331">
        <f>SQRT(($R1205-Infrastructure!J$8)^2+($S1205-Infrastructure!K$8)^2)</f>
        <v>9.402127419</v>
      </c>
      <c r="BB1205" s="331">
        <f>SQRT(($R1205-Infrastructure!J$9)^2+($S1205-Infrastructure!K$9)^2)</f>
        <v>18.52700731</v>
      </c>
      <c r="BC1205" s="331">
        <f>SQRT(($R1205-Infrastructure!J$10)^2+($S1205-Infrastructure!K$10)^2)</f>
        <v>21.47230775</v>
      </c>
      <c r="BD1205" s="331">
        <f>SQRT(($R1205-Infrastructure!J$11)^2+($S1205-Infrastructure!K$11)^2)</f>
        <v>31.14000642</v>
      </c>
      <c r="BE1205" s="333">
        <f>SQRT(($R1205-Infrastructure!J$12)^2+($S1205-Infrastructure!K$12)^2)</f>
        <v>51.4</v>
      </c>
      <c r="BF1205" s="330">
        <f t="shared" si="148"/>
        <v>3.929376541</v>
      </c>
      <c r="BG1205" s="333">
        <f t="shared" si="149"/>
        <v>51.4</v>
      </c>
      <c r="BH1205" s="943">
        <v>36526.0</v>
      </c>
      <c r="BI1205" s="462" t="s">
        <v>846</v>
      </c>
      <c r="BJ1205" s="319" t="s">
        <v>845</v>
      </c>
      <c r="BK1205" s="319" t="s">
        <v>845</v>
      </c>
      <c r="BL1205" s="319" t="s">
        <v>845</v>
      </c>
      <c r="BM1205" s="955" t="s">
        <v>845</v>
      </c>
      <c r="BN1205" s="319" t="s">
        <v>846</v>
      </c>
      <c r="BO1205" s="319" t="s">
        <v>845</v>
      </c>
      <c r="BP1205" s="953" t="s">
        <v>846</v>
      </c>
      <c r="BQ1205" s="319" t="s">
        <v>846</v>
      </c>
      <c r="BR1205" s="324" t="s">
        <v>846</v>
      </c>
      <c r="BS1205" s="330">
        <f t="shared" si="150"/>
        <v>9.402127419</v>
      </c>
      <c r="BT1205" s="331">
        <f t="shared" si="151"/>
        <v>51.4</v>
      </c>
      <c r="BU1205" s="920">
        <v>0.667037037037037</v>
      </c>
      <c r="BV1205" s="903">
        <f t="shared" si="158"/>
        <v>0.0001967592593</v>
      </c>
      <c r="BW1205" s="907">
        <v>32.2</v>
      </c>
      <c r="BX1205" s="908">
        <v>19.3</v>
      </c>
      <c r="BY1205" s="331">
        <f t="shared" si="159"/>
        <v>18.58843727</v>
      </c>
      <c r="BZ1205" s="340"/>
      <c r="CA1205" s="316"/>
      <c r="CB1205" s="318"/>
      <c r="CC1205" s="318"/>
      <c r="CD1205" s="318"/>
      <c r="CE1205" s="318"/>
      <c r="CF1205" s="318"/>
      <c r="CG1205" s="318"/>
      <c r="CH1205" s="318"/>
      <c r="CI1205" s="318"/>
      <c r="CJ1205" s="463"/>
      <c r="CK1205" s="342"/>
      <c r="CL1205" s="333"/>
      <c r="CM1205" s="829"/>
      <c r="CN1205" s="333"/>
      <c r="CO1205" s="333"/>
      <c r="CP1205" s="333"/>
    </row>
    <row r="1206">
      <c r="B1206" s="462" t="s">
        <v>1832</v>
      </c>
      <c r="C1206" s="914">
        <v>44545.0</v>
      </c>
      <c r="D1206" s="318"/>
      <c r="E1206" s="319" t="s">
        <v>1905</v>
      </c>
      <c r="F1206" s="324" t="s">
        <v>1906</v>
      </c>
      <c r="G1206" s="321">
        <v>0.6696180555555555</v>
      </c>
      <c r="H1206" s="323">
        <v>0.6699652777777778</v>
      </c>
      <c r="I1206" s="323"/>
      <c r="J1206" s="323"/>
      <c r="K1206" s="323">
        <v>0.6710069444444444</v>
      </c>
      <c r="L1206" s="323">
        <v>0.0010416666666666667</v>
      </c>
      <c r="M1206" s="319" t="s">
        <v>166</v>
      </c>
      <c r="N1206" s="324" t="s">
        <v>187</v>
      </c>
      <c r="O1206" s="419" t="s">
        <v>205</v>
      </c>
      <c r="P1206" s="319" t="s">
        <v>213</v>
      </c>
      <c r="Q1206" s="318"/>
      <c r="R1206" s="326">
        <v>21.5</v>
      </c>
      <c r="S1206" s="319">
        <v>4.1</v>
      </c>
      <c r="T1206" s="324">
        <v>2.3</v>
      </c>
      <c r="U1206" s="319">
        <v>7.0</v>
      </c>
      <c r="V1206" s="319"/>
      <c r="W1206" s="319"/>
      <c r="X1206" s="319"/>
      <c r="Y1206" s="319"/>
      <c r="Z1206" s="319" t="s">
        <v>365</v>
      </c>
      <c r="AA1206" s="319"/>
      <c r="AB1206" s="319" t="s">
        <v>388</v>
      </c>
      <c r="AC1206" s="327">
        <v>8.0</v>
      </c>
      <c r="AD1206" s="319"/>
      <c r="AE1206" s="319"/>
      <c r="AF1206" s="319"/>
      <c r="AG1206" s="319"/>
      <c r="AH1206" s="319"/>
      <c r="AI1206" s="319"/>
      <c r="AJ1206" s="327"/>
      <c r="AK1206" s="328"/>
      <c r="AL1206" s="319"/>
      <c r="AM1206" s="319"/>
      <c r="AN1206" s="319"/>
      <c r="AO1206" s="319"/>
      <c r="AP1206" s="319"/>
      <c r="AQ1206" s="319"/>
      <c r="AR1206" s="319"/>
      <c r="AS1206" s="327"/>
      <c r="AT1206" s="461" t="s">
        <v>182</v>
      </c>
      <c r="AU1206" s="324" t="s">
        <v>845</v>
      </c>
      <c r="AV1206" s="330">
        <f>SQRT(($R1206-Infrastructure!J$3)^2+($S1206-Infrastructure!K$3)^2)</f>
        <v>33.01938824</v>
      </c>
      <c r="AW1206" s="331">
        <f>SQRT(($R1206-Infrastructure!J$4)^2+($S1206-Infrastructure!K$4)^2)</f>
        <v>25.74742706</v>
      </c>
      <c r="AX1206" s="331">
        <f>SQRT(($R1206-Infrastructure!J$5)^2+($S1206-Infrastructure!K$5)^2)</f>
        <v>21.82292373</v>
      </c>
      <c r="AY1206" s="331">
        <f>SQRT(($R1206-Infrastructure!J$6)^2+($S1206-Infrastructure!K$6)^2)</f>
        <v>12.01665511</v>
      </c>
      <c r="AZ1206" s="331">
        <f>SQRT(($R1206-Infrastructure!J$7)^2+($S1206-Infrastructure!K$7)^2)</f>
        <v>3.929376541</v>
      </c>
      <c r="BA1206" s="331">
        <f>SQRT(($R1206-Infrastructure!J$8)^2+($S1206-Infrastructure!K$8)^2)</f>
        <v>9.402127419</v>
      </c>
      <c r="BB1206" s="331">
        <f>SQRT(($R1206-Infrastructure!J$9)^2+($S1206-Infrastructure!K$9)^2)</f>
        <v>18.52700731</v>
      </c>
      <c r="BC1206" s="331">
        <f>SQRT(($R1206-Infrastructure!J$10)^2+($S1206-Infrastructure!K$10)^2)</f>
        <v>21.47230775</v>
      </c>
      <c r="BD1206" s="331">
        <f>SQRT(($R1206-Infrastructure!J$11)^2+($S1206-Infrastructure!K$11)^2)</f>
        <v>31.14000642</v>
      </c>
      <c r="BE1206" s="333">
        <f>SQRT(($R1206-Infrastructure!J$12)^2+($S1206-Infrastructure!K$12)^2)</f>
        <v>51.4</v>
      </c>
      <c r="BF1206" s="330">
        <f t="shared" si="148"/>
        <v>3.929376541</v>
      </c>
      <c r="BG1206" s="333">
        <f t="shared" si="149"/>
        <v>51.4</v>
      </c>
      <c r="BH1206" s="943">
        <v>36526.0</v>
      </c>
      <c r="BI1206" s="462" t="s">
        <v>846</v>
      </c>
      <c r="BJ1206" s="319" t="s">
        <v>845</v>
      </c>
      <c r="BK1206" s="319" t="s">
        <v>845</v>
      </c>
      <c r="BL1206" s="319" t="s">
        <v>845</v>
      </c>
      <c r="BM1206" s="955" t="s">
        <v>845</v>
      </c>
      <c r="BN1206" s="319" t="s">
        <v>846</v>
      </c>
      <c r="BO1206" s="319" t="s">
        <v>845</v>
      </c>
      <c r="BP1206" s="953" t="s">
        <v>846</v>
      </c>
      <c r="BQ1206" s="319" t="s">
        <v>846</v>
      </c>
      <c r="BR1206" s="324" t="s">
        <v>846</v>
      </c>
      <c r="BS1206" s="330">
        <f t="shared" si="150"/>
        <v>9.402127419</v>
      </c>
      <c r="BT1206" s="331">
        <f t="shared" si="151"/>
        <v>51.4</v>
      </c>
      <c r="BU1206" s="920">
        <v>0.6697685185185185</v>
      </c>
      <c r="BV1206" s="903">
        <f t="shared" si="158"/>
        <v>0.000150462963</v>
      </c>
      <c r="BW1206" s="907">
        <v>32.3</v>
      </c>
      <c r="BX1206" s="908">
        <v>17.5</v>
      </c>
      <c r="BY1206" s="331">
        <f t="shared" si="159"/>
        <v>17.21046193</v>
      </c>
      <c r="BZ1206" s="340"/>
      <c r="CA1206" s="316"/>
      <c r="CB1206" s="318"/>
      <c r="CC1206" s="318"/>
      <c r="CD1206" s="318"/>
      <c r="CE1206" s="318"/>
      <c r="CF1206" s="318"/>
      <c r="CG1206" s="318"/>
      <c r="CH1206" s="318"/>
      <c r="CI1206" s="318"/>
      <c r="CJ1206" s="463"/>
      <c r="CK1206" s="342"/>
      <c r="CL1206" s="333"/>
      <c r="CM1206" s="829"/>
      <c r="CN1206" s="333"/>
      <c r="CO1206" s="333"/>
      <c r="CP1206" s="333"/>
    </row>
    <row r="1207">
      <c r="B1207" s="462" t="s">
        <v>1832</v>
      </c>
      <c r="C1207" s="914">
        <v>44545.0</v>
      </c>
      <c r="D1207" s="318"/>
      <c r="E1207" s="319">
        <v>17.0</v>
      </c>
      <c r="F1207" s="324" t="s">
        <v>1907</v>
      </c>
      <c r="G1207" s="321">
        <v>0.6746527777777778</v>
      </c>
      <c r="H1207" s="323">
        <v>0.6753472222222222</v>
      </c>
      <c r="I1207" s="323"/>
      <c r="J1207" s="323"/>
      <c r="K1207" s="323">
        <v>0.6764467592592592</v>
      </c>
      <c r="L1207" s="323">
        <v>0.001099537037037037</v>
      </c>
      <c r="M1207" s="319" t="s">
        <v>166</v>
      </c>
      <c r="N1207" s="324" t="s">
        <v>188</v>
      </c>
      <c r="O1207" s="419" t="s">
        <v>196</v>
      </c>
      <c r="P1207" s="319" t="s">
        <v>224</v>
      </c>
      <c r="Q1207" s="318"/>
      <c r="R1207" s="326">
        <v>21.7</v>
      </c>
      <c r="S1207" s="319">
        <v>39.5</v>
      </c>
      <c r="T1207" s="324">
        <v>1.26</v>
      </c>
      <c r="U1207" s="319">
        <v>16.0</v>
      </c>
      <c r="V1207" s="319"/>
      <c r="W1207" s="319"/>
      <c r="X1207" s="319"/>
      <c r="Y1207" s="319"/>
      <c r="Z1207" s="319" t="s">
        <v>387</v>
      </c>
      <c r="AA1207" s="319"/>
      <c r="AB1207" s="319" t="s">
        <v>416</v>
      </c>
      <c r="AC1207" s="327">
        <v>52.5</v>
      </c>
      <c r="AD1207" s="319"/>
      <c r="AE1207" s="319"/>
      <c r="AF1207" s="319"/>
      <c r="AG1207" s="319"/>
      <c r="AH1207" s="319"/>
      <c r="AI1207" s="319"/>
      <c r="AJ1207" s="327"/>
      <c r="AK1207" s="328"/>
      <c r="AL1207" s="319"/>
      <c r="AM1207" s="319"/>
      <c r="AN1207" s="319"/>
      <c r="AO1207" s="319"/>
      <c r="AP1207" s="319"/>
      <c r="AQ1207" s="319"/>
      <c r="AR1207" s="319"/>
      <c r="AS1207" s="327"/>
      <c r="AT1207" s="461" t="s">
        <v>183</v>
      </c>
      <c r="AU1207" s="324" t="s">
        <v>845</v>
      </c>
      <c r="AV1207" s="330">
        <f>SQRT(($R1207-Infrastructure!J$3)^2+($S1207-Infrastructure!K$3)^2)</f>
        <v>24.42048321</v>
      </c>
      <c r="AW1207" s="331">
        <f>SQRT(($R1207-Infrastructure!J$4)^2+($S1207-Infrastructure!K$4)^2)</f>
        <v>30.90129447</v>
      </c>
      <c r="AX1207" s="331">
        <f>SQRT(($R1207-Infrastructure!J$5)^2+($S1207-Infrastructure!K$5)^2)</f>
        <v>40.83331973</v>
      </c>
      <c r="AY1207" s="331">
        <f>SQRT(($R1207-Infrastructure!J$6)^2+($S1207-Infrastructure!K$6)^2)</f>
        <v>40.88031311</v>
      </c>
      <c r="AZ1207" s="331">
        <f>SQRT(($R1207-Infrastructure!J$7)^2+($S1207-Infrastructure!K$7)^2)</f>
        <v>39.21836305</v>
      </c>
      <c r="BA1207" s="331">
        <f>SQRT(($R1207-Infrastructure!J$8)^2+($S1207-Infrastructure!K$8)^2)</f>
        <v>40.08989898</v>
      </c>
      <c r="BB1207" s="331">
        <f>SQRT(($R1207-Infrastructure!J$9)^2+($S1207-Infrastructure!K$9)^2)</f>
        <v>38.96472764</v>
      </c>
      <c r="BC1207" s="331">
        <f>SQRT(($R1207-Infrastructure!J$10)^2+($S1207-Infrastructure!K$10)^2)</f>
        <v>30.58005886</v>
      </c>
      <c r="BD1207" s="331">
        <f>SQRT(($R1207-Infrastructure!J$11)^2+($S1207-Infrastructure!K$11)^2)</f>
        <v>21.27204739</v>
      </c>
      <c r="BE1207" s="333">
        <f>SQRT(($R1207-Infrastructure!J$12)^2+($S1207-Infrastructure!K$12)^2)</f>
        <v>16.00124995</v>
      </c>
      <c r="BF1207" s="330">
        <f t="shared" si="148"/>
        <v>16.00124995</v>
      </c>
      <c r="BG1207" s="333">
        <f t="shared" si="149"/>
        <v>40.88031311</v>
      </c>
      <c r="BH1207" s="943">
        <v>36526.0</v>
      </c>
      <c r="BI1207" s="462" t="s">
        <v>846</v>
      </c>
      <c r="BJ1207" s="319" t="s">
        <v>845</v>
      </c>
      <c r="BK1207" s="319" t="s">
        <v>845</v>
      </c>
      <c r="BL1207" s="319" t="s">
        <v>845</v>
      </c>
      <c r="BM1207" s="955" t="s">
        <v>845</v>
      </c>
      <c r="BN1207" s="319" t="s">
        <v>845</v>
      </c>
      <c r="BO1207" s="319" t="s">
        <v>845</v>
      </c>
      <c r="BP1207" s="953" t="s">
        <v>846</v>
      </c>
      <c r="BQ1207" s="319" t="s">
        <v>845</v>
      </c>
      <c r="BR1207" s="324" t="s">
        <v>846</v>
      </c>
      <c r="BS1207" s="330">
        <f t="shared" si="150"/>
        <v>16.00124995</v>
      </c>
      <c r="BT1207" s="331">
        <f t="shared" si="151"/>
        <v>30.58005886</v>
      </c>
      <c r="BU1207" s="920">
        <v>0.6750925925925926</v>
      </c>
      <c r="BV1207" s="903">
        <f t="shared" si="158"/>
        <v>0.0004398148148</v>
      </c>
      <c r="BW1207" s="907">
        <v>18.0</v>
      </c>
      <c r="BX1207" s="908">
        <v>42.2</v>
      </c>
      <c r="BY1207" s="331">
        <f t="shared" si="159"/>
        <v>4.580392996</v>
      </c>
      <c r="BZ1207" s="340"/>
      <c r="CA1207" s="316"/>
      <c r="CB1207" s="318"/>
      <c r="CC1207" s="318"/>
      <c r="CD1207" s="318"/>
      <c r="CE1207" s="318"/>
      <c r="CF1207" s="318"/>
      <c r="CG1207" s="318"/>
      <c r="CH1207" s="318"/>
      <c r="CI1207" s="318"/>
      <c r="CJ1207" s="463"/>
      <c r="CK1207" s="342"/>
      <c r="CL1207" s="333"/>
      <c r="CM1207" s="829"/>
      <c r="CN1207" s="333"/>
      <c r="CO1207" s="333"/>
      <c r="CP1207" s="333"/>
    </row>
    <row r="1208">
      <c r="B1208" s="462" t="s">
        <v>1832</v>
      </c>
      <c r="C1208" s="914">
        <v>44545.0</v>
      </c>
      <c r="D1208" s="318"/>
      <c r="E1208" s="319">
        <v>18.0</v>
      </c>
      <c r="F1208" s="324" t="s">
        <v>1908</v>
      </c>
      <c r="G1208" s="321">
        <v>0.6770833333333334</v>
      </c>
      <c r="H1208" s="323">
        <v>0.6774305555555555</v>
      </c>
      <c r="I1208" s="323"/>
      <c r="J1208" s="723"/>
      <c r="K1208" s="723">
        <v>0.6784722222222223</v>
      </c>
      <c r="L1208" s="723">
        <v>0.0010416666666666667</v>
      </c>
      <c r="M1208" s="319" t="s">
        <v>166</v>
      </c>
      <c r="N1208" s="324" t="s">
        <v>188</v>
      </c>
      <c r="O1208" s="419" t="s">
        <v>196</v>
      </c>
      <c r="P1208" s="319" t="s">
        <v>224</v>
      </c>
      <c r="Q1208" s="318"/>
      <c r="R1208" s="326">
        <v>21.7</v>
      </c>
      <c r="S1208" s="319">
        <v>39.5</v>
      </c>
      <c r="T1208" s="324">
        <v>1.26</v>
      </c>
      <c r="U1208" s="319">
        <v>25.0</v>
      </c>
      <c r="V1208" s="319"/>
      <c r="W1208" s="319"/>
      <c r="X1208" s="319"/>
      <c r="Y1208" s="319"/>
      <c r="Z1208" s="319" t="s">
        <v>387</v>
      </c>
      <c r="AA1208" s="319"/>
      <c r="AB1208" s="319" t="s">
        <v>416</v>
      </c>
      <c r="AC1208" s="327">
        <v>52.5</v>
      </c>
      <c r="AD1208" s="319"/>
      <c r="AE1208" s="319"/>
      <c r="AF1208" s="319"/>
      <c r="AG1208" s="319"/>
      <c r="AH1208" s="319"/>
      <c r="AI1208" s="319"/>
      <c r="AJ1208" s="327"/>
      <c r="AK1208" s="328"/>
      <c r="AL1208" s="319"/>
      <c r="AM1208" s="319"/>
      <c r="AN1208" s="319"/>
      <c r="AO1208" s="319"/>
      <c r="AP1208" s="319"/>
      <c r="AQ1208" s="319"/>
      <c r="AR1208" s="319"/>
      <c r="AS1208" s="327"/>
      <c r="AT1208" s="461" t="s">
        <v>183</v>
      </c>
      <c r="AU1208" s="324" t="s">
        <v>845</v>
      </c>
      <c r="AV1208" s="330">
        <f>SQRT(($R1208-Infrastructure!J$3)^2+($S1208-Infrastructure!K$3)^2)</f>
        <v>24.42048321</v>
      </c>
      <c r="AW1208" s="331">
        <f>SQRT(($R1208-Infrastructure!J$4)^2+($S1208-Infrastructure!K$4)^2)</f>
        <v>30.90129447</v>
      </c>
      <c r="AX1208" s="331">
        <f>SQRT(($R1208-Infrastructure!J$5)^2+($S1208-Infrastructure!K$5)^2)</f>
        <v>40.83331973</v>
      </c>
      <c r="AY1208" s="331">
        <f>SQRT(($R1208-Infrastructure!J$6)^2+($S1208-Infrastructure!K$6)^2)</f>
        <v>40.88031311</v>
      </c>
      <c r="AZ1208" s="331">
        <f>SQRT(($R1208-Infrastructure!J$7)^2+($S1208-Infrastructure!K$7)^2)</f>
        <v>39.21836305</v>
      </c>
      <c r="BA1208" s="331">
        <f>SQRT(($R1208-Infrastructure!J$8)^2+($S1208-Infrastructure!K$8)^2)</f>
        <v>40.08989898</v>
      </c>
      <c r="BB1208" s="331">
        <f>SQRT(($R1208-Infrastructure!J$9)^2+($S1208-Infrastructure!K$9)^2)</f>
        <v>38.96472764</v>
      </c>
      <c r="BC1208" s="331">
        <f>SQRT(($R1208-Infrastructure!J$10)^2+($S1208-Infrastructure!K$10)^2)</f>
        <v>30.58005886</v>
      </c>
      <c r="BD1208" s="331">
        <f>SQRT(($R1208-Infrastructure!J$11)^2+($S1208-Infrastructure!K$11)^2)</f>
        <v>21.27204739</v>
      </c>
      <c r="BE1208" s="333">
        <f>SQRT(($R1208-Infrastructure!J$12)^2+($S1208-Infrastructure!K$12)^2)</f>
        <v>16.00124995</v>
      </c>
      <c r="BF1208" s="330">
        <f t="shared" si="148"/>
        <v>16.00124995</v>
      </c>
      <c r="BG1208" s="333">
        <f t="shared" si="149"/>
        <v>40.88031311</v>
      </c>
      <c r="BH1208" s="943">
        <v>36526.0</v>
      </c>
      <c r="BI1208" s="462" t="s">
        <v>846</v>
      </c>
      <c r="BJ1208" s="319" t="s">
        <v>845</v>
      </c>
      <c r="BK1208" s="319" t="s">
        <v>845</v>
      </c>
      <c r="BL1208" s="319" t="s">
        <v>845</v>
      </c>
      <c r="BM1208" s="955" t="s">
        <v>845</v>
      </c>
      <c r="BN1208" s="319" t="s">
        <v>845</v>
      </c>
      <c r="BO1208" s="319" t="s">
        <v>845</v>
      </c>
      <c r="BP1208" s="953" t="s">
        <v>846</v>
      </c>
      <c r="BQ1208" s="319" t="s">
        <v>846</v>
      </c>
      <c r="BR1208" s="324" t="s">
        <v>846</v>
      </c>
      <c r="BS1208" s="330">
        <f t="shared" si="150"/>
        <v>16.00124995</v>
      </c>
      <c r="BT1208" s="331">
        <f t="shared" si="151"/>
        <v>30.58005886</v>
      </c>
      <c r="BU1208" s="920">
        <v>0.6773958333333333</v>
      </c>
      <c r="BV1208" s="903">
        <f t="shared" si="158"/>
        <v>0.0003125</v>
      </c>
      <c r="BW1208" s="907">
        <v>22.2</v>
      </c>
      <c r="BX1208" s="908">
        <v>39.6</v>
      </c>
      <c r="BY1208" s="331">
        <f t="shared" si="159"/>
        <v>0.5099019514</v>
      </c>
      <c r="BZ1208" s="340"/>
      <c r="CA1208" s="316"/>
      <c r="CB1208" s="318"/>
      <c r="CC1208" s="318"/>
      <c r="CD1208" s="318"/>
      <c r="CE1208" s="318"/>
      <c r="CF1208" s="318"/>
      <c r="CG1208" s="318"/>
      <c r="CH1208" s="318"/>
      <c r="CI1208" s="318"/>
      <c r="CJ1208" s="463"/>
      <c r="CK1208" s="342"/>
      <c r="CL1208" s="333"/>
      <c r="CM1208" s="829"/>
      <c r="CN1208" s="333"/>
      <c r="CO1208" s="333"/>
      <c r="CP1208" s="333"/>
    </row>
    <row r="1209">
      <c r="B1209" s="462" t="s">
        <v>1832</v>
      </c>
      <c r="C1209" s="914">
        <v>44545.0</v>
      </c>
      <c r="D1209" s="318"/>
      <c r="E1209" s="319"/>
      <c r="F1209" s="324" t="s">
        <v>1909</v>
      </c>
      <c r="G1209" s="321">
        <v>0.6852430555555555</v>
      </c>
      <c r="H1209" s="323"/>
      <c r="I1209" s="323"/>
      <c r="J1209" s="323"/>
      <c r="K1209" s="723">
        <v>0.6857638888888888</v>
      </c>
      <c r="L1209" s="723">
        <v>5.208333333333333E-4</v>
      </c>
      <c r="M1209" s="319" t="s">
        <v>166</v>
      </c>
      <c r="N1209" s="324" t="s">
        <v>188</v>
      </c>
      <c r="O1209" s="419"/>
      <c r="P1209" s="319" t="s">
        <v>292</v>
      </c>
      <c r="Q1209" s="318"/>
      <c r="R1209" s="833"/>
      <c r="S1209" s="834"/>
      <c r="T1209" s="940"/>
      <c r="U1209" s="834"/>
      <c r="V1209" s="834"/>
      <c r="W1209" s="834"/>
      <c r="X1209" s="834"/>
      <c r="Y1209" s="834"/>
      <c r="Z1209" s="319" t="s">
        <v>323</v>
      </c>
      <c r="AA1209" s="319"/>
      <c r="AB1209" s="319" t="s">
        <v>323</v>
      </c>
      <c r="AC1209" s="327" t="s">
        <v>323</v>
      </c>
      <c r="AD1209" s="319"/>
      <c r="AE1209" s="319"/>
      <c r="AF1209" s="319"/>
      <c r="AG1209" s="319"/>
      <c r="AH1209" s="319"/>
      <c r="AI1209" s="319"/>
      <c r="AJ1209" s="327"/>
      <c r="AK1209" s="328"/>
      <c r="AL1209" s="319"/>
      <c r="AM1209" s="319"/>
      <c r="AN1209" s="319"/>
      <c r="AO1209" s="319"/>
      <c r="AP1209" s="319"/>
      <c r="AQ1209" s="319"/>
      <c r="AR1209" s="319"/>
      <c r="AS1209" s="327"/>
      <c r="AT1209" s="461"/>
      <c r="AU1209" s="324" t="s">
        <v>845</v>
      </c>
      <c r="AV1209" s="330"/>
      <c r="AW1209" s="331"/>
      <c r="AX1209" s="331"/>
      <c r="AY1209" s="331"/>
      <c r="AZ1209" s="331"/>
      <c r="BA1209" s="331"/>
      <c r="BB1209" s="331"/>
      <c r="BC1209" s="331"/>
      <c r="BD1209" s="331"/>
      <c r="BE1209" s="333"/>
      <c r="BF1209" s="330"/>
      <c r="BG1209" s="333"/>
      <c r="BH1209" s="943">
        <v>36526.0</v>
      </c>
      <c r="BI1209" s="462"/>
      <c r="BJ1209" s="319"/>
      <c r="BK1209" s="319"/>
      <c r="BL1209" s="319"/>
      <c r="BM1209" s="955"/>
      <c r="BN1209" s="319"/>
      <c r="BO1209" s="319"/>
      <c r="BP1209" s="953"/>
      <c r="BQ1209" s="319"/>
      <c r="BR1209" s="324"/>
      <c r="BS1209" s="330"/>
      <c r="BT1209" s="331"/>
      <c r="BU1209" s="920"/>
      <c r="BV1209" s="903"/>
      <c r="BW1209" s="907"/>
      <c r="BX1209" s="908"/>
      <c r="BY1209" s="331"/>
      <c r="BZ1209" s="340"/>
      <c r="CA1209" s="316"/>
      <c r="CB1209" s="318"/>
      <c r="CC1209" s="318"/>
      <c r="CD1209" s="318"/>
      <c r="CE1209" s="318"/>
      <c r="CF1209" s="318"/>
      <c r="CG1209" s="318"/>
      <c r="CH1209" s="318"/>
      <c r="CI1209" s="318"/>
      <c r="CJ1209" s="463"/>
      <c r="CK1209" s="342"/>
      <c r="CL1209" s="333"/>
      <c r="CM1209" s="829"/>
      <c r="CN1209" s="333"/>
      <c r="CO1209" s="333"/>
      <c r="CP1209" s="333"/>
    </row>
    <row r="1210">
      <c r="B1210" s="462" t="s">
        <v>1832</v>
      </c>
      <c r="C1210" s="914">
        <v>44545.0</v>
      </c>
      <c r="D1210" s="318"/>
      <c r="E1210" s="319"/>
      <c r="F1210" s="324" t="s">
        <v>1909</v>
      </c>
      <c r="G1210" s="321">
        <v>0.6946180555555556</v>
      </c>
      <c r="H1210" s="323"/>
      <c r="I1210" s="323"/>
      <c r="J1210" s="323"/>
      <c r="K1210" s="723">
        <v>0.6958333333333333</v>
      </c>
      <c r="L1210" s="723">
        <v>0.0012152777777777778</v>
      </c>
      <c r="M1210" s="319" t="s">
        <v>358</v>
      </c>
      <c r="N1210" s="324" t="s">
        <v>188</v>
      </c>
      <c r="O1210" s="419"/>
      <c r="P1210" s="319" t="s">
        <v>294</v>
      </c>
      <c r="Q1210" s="318"/>
      <c r="R1210" s="833"/>
      <c r="S1210" s="834"/>
      <c r="T1210" s="940"/>
      <c r="U1210" s="834"/>
      <c r="V1210" s="834"/>
      <c r="W1210" s="834"/>
      <c r="X1210" s="834"/>
      <c r="Y1210" s="834"/>
      <c r="Z1210" s="319" t="s">
        <v>323</v>
      </c>
      <c r="AA1210" s="319"/>
      <c r="AB1210" s="319" t="s">
        <v>323</v>
      </c>
      <c r="AC1210" s="327" t="s">
        <v>323</v>
      </c>
      <c r="AD1210" s="319"/>
      <c r="AE1210" s="319"/>
      <c r="AF1210" s="319"/>
      <c r="AG1210" s="319"/>
      <c r="AH1210" s="319"/>
      <c r="AI1210" s="319"/>
      <c r="AJ1210" s="327"/>
      <c r="AK1210" s="328"/>
      <c r="AL1210" s="319"/>
      <c r="AM1210" s="319"/>
      <c r="AN1210" s="319"/>
      <c r="AO1210" s="319"/>
      <c r="AP1210" s="319"/>
      <c r="AQ1210" s="319"/>
      <c r="AR1210" s="319"/>
      <c r="AS1210" s="327"/>
      <c r="AT1210" s="461"/>
      <c r="AU1210" s="324" t="s">
        <v>845</v>
      </c>
      <c r="AV1210" s="330"/>
      <c r="AW1210" s="331"/>
      <c r="AX1210" s="331"/>
      <c r="AY1210" s="331"/>
      <c r="AZ1210" s="331"/>
      <c r="BA1210" s="331"/>
      <c r="BB1210" s="331"/>
      <c r="BC1210" s="331"/>
      <c r="BD1210" s="331"/>
      <c r="BE1210" s="333"/>
      <c r="BF1210" s="330"/>
      <c r="BG1210" s="333"/>
      <c r="BH1210" s="943">
        <v>36526.0</v>
      </c>
      <c r="BI1210" s="462"/>
      <c r="BJ1210" s="319"/>
      <c r="BK1210" s="319"/>
      <c r="BL1210" s="319"/>
      <c r="BM1210" s="955"/>
      <c r="BN1210" s="319"/>
      <c r="BO1210" s="319"/>
      <c r="BP1210" s="953"/>
      <c r="BQ1210" s="319"/>
      <c r="BR1210" s="324"/>
      <c r="BS1210" s="330"/>
      <c r="BT1210" s="331"/>
      <c r="BU1210" s="920"/>
      <c r="BV1210" s="903"/>
      <c r="BW1210" s="907"/>
      <c r="BX1210" s="908"/>
      <c r="BY1210" s="331"/>
      <c r="BZ1210" s="340"/>
      <c r="CA1210" s="316"/>
      <c r="CB1210" s="318"/>
      <c r="CC1210" s="318"/>
      <c r="CD1210" s="318"/>
      <c r="CE1210" s="318"/>
      <c r="CF1210" s="318"/>
      <c r="CG1210" s="318"/>
      <c r="CH1210" s="318"/>
      <c r="CI1210" s="318"/>
      <c r="CJ1210" s="463"/>
      <c r="CK1210" s="342"/>
      <c r="CL1210" s="333"/>
      <c r="CM1210" s="829"/>
      <c r="CN1210" s="333"/>
      <c r="CO1210" s="333"/>
      <c r="CP1210" s="333"/>
    </row>
    <row r="1211">
      <c r="A1211" s="963" t="s">
        <v>63</v>
      </c>
      <c r="B1211" s="964" t="s">
        <v>1242</v>
      </c>
      <c r="C1211" s="965">
        <v>44580.0</v>
      </c>
      <c r="D1211" s="966"/>
      <c r="E1211" s="967">
        <v>1.0</v>
      </c>
      <c r="F1211" s="968" t="s">
        <v>1910</v>
      </c>
      <c r="G1211" s="969">
        <v>0.5861111111111111</v>
      </c>
      <c r="H1211" s="970">
        <v>0.5868055555555556</v>
      </c>
      <c r="I1211" s="970"/>
      <c r="J1211" s="970"/>
      <c r="K1211" s="970">
        <v>0.5875</v>
      </c>
      <c r="L1211" s="971">
        <f t="shared" ref="L1211:L1216" si="160">K1211-H1211</f>
        <v>0.0006944444444</v>
      </c>
      <c r="M1211" s="972" t="s">
        <v>166</v>
      </c>
      <c r="N1211" s="973" t="s">
        <v>187</v>
      </c>
      <c r="O1211" s="974" t="s">
        <v>200</v>
      </c>
      <c r="P1211" s="975" t="s">
        <v>256</v>
      </c>
      <c r="Q1211" s="976"/>
      <c r="R1211" s="977">
        <v>1.0</v>
      </c>
      <c r="S1211" s="978">
        <v>5.0</v>
      </c>
      <c r="T1211" s="973">
        <v>0.7</v>
      </c>
      <c r="U1211" s="979">
        <v>3.0</v>
      </c>
      <c r="V1211" s="979"/>
      <c r="W1211" s="979"/>
      <c r="X1211" s="979"/>
      <c r="Y1211" s="979"/>
      <c r="Z1211" s="980" t="s">
        <v>318</v>
      </c>
      <c r="AA1211" s="980"/>
      <c r="AB1211" s="980" t="s">
        <v>337</v>
      </c>
      <c r="AC1211" s="981">
        <v>2.5</v>
      </c>
      <c r="AD1211" s="975"/>
      <c r="AE1211" s="975"/>
      <c r="AF1211" s="975"/>
      <c r="AG1211" s="975"/>
      <c r="AH1211" s="975"/>
      <c r="AI1211" s="975"/>
      <c r="AJ1211" s="981"/>
      <c r="AK1211" s="982"/>
      <c r="AL1211" s="975"/>
      <c r="AM1211" s="975"/>
      <c r="AN1211" s="975"/>
      <c r="AO1211" s="975"/>
      <c r="AP1211" s="975"/>
      <c r="AQ1211" s="975"/>
      <c r="AR1211" s="975"/>
      <c r="AS1211" s="981"/>
      <c r="AT1211" s="983" t="s">
        <v>182</v>
      </c>
      <c r="AU1211" s="973" t="s">
        <v>845</v>
      </c>
      <c r="AV1211" s="984">
        <f>SQRT(($R1211-Infrastructure!J$3)^2+($S1211-Infrastructure!K$3)^2)</f>
        <v>23.93532954</v>
      </c>
      <c r="AW1211" s="985">
        <f>SQRT(($R1211-Infrastructure!J$4)^2+($S1211-Infrastructure!K$4)^2)</f>
        <v>12.86584626</v>
      </c>
      <c r="AX1211" s="985">
        <f>SQRT(($R1211-Infrastructure!J$5)^2+($S1211-Infrastructure!K$5)^2)</f>
        <v>1.303840481</v>
      </c>
      <c r="AY1211" s="985">
        <f>SQRT(($R1211-Infrastructure!J$6)^2+($S1211-Infrastructure!K$6)^2)</f>
        <v>10.2420701</v>
      </c>
      <c r="AZ1211" s="986">
        <f>SQRT(($R1211-Infrastructure!J$7)^2+($S1211-Infrastructure!K$7)^2)</f>
        <v>20.05841469</v>
      </c>
      <c r="BA1211" s="985">
        <f>SQRT(($R1211-Infrastructure!J$8)^2+($S1211-Infrastructure!K$8)^2)</f>
        <v>29.47710976</v>
      </c>
      <c r="BB1211" s="985">
        <f>SQRT(($R1211-Infrastructure!J$9)^2+($S1211-Infrastructure!K$9)^2)</f>
        <v>39.0001282</v>
      </c>
      <c r="BC1211" s="985">
        <f>SQRT(($R1211-Infrastructure!J$10)^2+($S1211-Infrastructure!K$10)^2)</f>
        <v>40.26164428</v>
      </c>
      <c r="BD1211" s="985">
        <f>SQRT(($R1211-Infrastructure!J$11)^2+($S1211-Infrastructure!K$11)^2)</f>
        <v>45.96346375</v>
      </c>
      <c r="BE1211" s="987">
        <f>SQRT(($R1211-Infrastructure!J$12)^2+($S1211-Infrastructure!K$12)^2)</f>
        <v>54.50229353</v>
      </c>
      <c r="BF1211" s="984">
        <f t="shared" ref="BF1211:BF2464" si="161">MIN(AV1211:BE1211)</f>
        <v>1.303840481</v>
      </c>
      <c r="BG1211" s="987">
        <f t="shared" ref="BG1211:BG2464" si="162">MAX(AV1211:BE1211)</f>
        <v>54.50229353</v>
      </c>
      <c r="BH1211" s="988">
        <v>36526.0</v>
      </c>
      <c r="BI1211" s="972" t="s">
        <v>846</v>
      </c>
      <c r="BJ1211" s="972" t="s">
        <v>846</v>
      </c>
      <c r="BK1211" s="972" t="s">
        <v>846</v>
      </c>
      <c r="BL1211" s="972" t="s">
        <v>846</v>
      </c>
      <c r="BM1211" s="989" t="s">
        <v>845</v>
      </c>
      <c r="BN1211" s="972" t="s">
        <v>846</v>
      </c>
      <c r="BO1211" s="972" t="s">
        <v>845</v>
      </c>
      <c r="BP1211" s="990" t="s">
        <v>846</v>
      </c>
      <c r="BQ1211" s="972" t="s">
        <v>845</v>
      </c>
      <c r="BR1211" s="991" t="s">
        <v>846</v>
      </c>
      <c r="BS1211" s="984">
        <f t="shared" ref="BS1211:BS1245" si="163">MINIFS(AV1211:BE1211,BI1211:BR1211, "Y")</f>
        <v>1.303840481</v>
      </c>
      <c r="BT1211" s="985">
        <f t="shared" ref="BT1211:BT1245" si="164">MAXIFS(AV1211:BE1211,BI1211:BR1211, "Y")</f>
        <v>54.50229353</v>
      </c>
      <c r="BU1211" s="992">
        <v>0.5856597222222222</v>
      </c>
      <c r="BV1211" s="993">
        <f t="shared" ref="BV1211:BV1221" si="165">BU1211-G1211</f>
        <v>-0.0004513888889</v>
      </c>
      <c r="BW1211" s="994">
        <v>9.0</v>
      </c>
      <c r="BX1211" s="995">
        <v>15.0</v>
      </c>
      <c r="BY1211" s="985">
        <f t="shared" ref="BY1211:BY1491" si="166">IF(BW1211&gt;0, SQRT((R1211-BW1211)^2+(S1211-BX1211)^2))</f>
        <v>12.80624847</v>
      </c>
      <c r="BZ1211" s="996"/>
      <c r="CA1211" s="997"/>
      <c r="CB1211" s="976"/>
      <c r="CC1211" s="976"/>
      <c r="CD1211" s="976"/>
      <c r="CE1211" s="976"/>
      <c r="CF1211" s="976"/>
      <c r="CG1211" s="976"/>
      <c r="CH1211" s="976"/>
      <c r="CI1211" s="976"/>
      <c r="CJ1211" s="998"/>
      <c r="CK1211" s="999"/>
      <c r="CL1211" s="987"/>
      <c r="CM1211" s="1000"/>
      <c r="CN1211" s="333"/>
      <c r="CO1211" s="333"/>
      <c r="CP1211" s="333"/>
    </row>
    <row r="1212">
      <c r="B1212" s="1001" t="s">
        <v>1242</v>
      </c>
      <c r="C1212" s="1002">
        <v>44580.0</v>
      </c>
      <c r="D1212" s="1003"/>
      <c r="E1212" s="1004">
        <v>2.0</v>
      </c>
      <c r="F1212" s="1005" t="s">
        <v>1911</v>
      </c>
      <c r="G1212" s="1006">
        <v>0.5888888888888889</v>
      </c>
      <c r="H1212" s="1007">
        <v>0.5890625</v>
      </c>
      <c r="I1212" s="1007"/>
      <c r="J1212" s="1007"/>
      <c r="K1212" s="1007">
        <v>0.5897569444444445</v>
      </c>
      <c r="L1212" s="323">
        <f t="shared" si="160"/>
        <v>0.0006944444444</v>
      </c>
      <c r="M1212" s="319" t="s">
        <v>166</v>
      </c>
      <c r="N1212" s="1008" t="s">
        <v>187</v>
      </c>
      <c r="O1212" s="1009" t="s">
        <v>200</v>
      </c>
      <c r="P1212" s="1010" t="s">
        <v>256</v>
      </c>
      <c r="Q1212" s="318"/>
      <c r="R1212" s="1011">
        <v>5.0</v>
      </c>
      <c r="S1212" s="1012">
        <v>5.0</v>
      </c>
      <c r="T1212" s="1008">
        <v>0.7</v>
      </c>
      <c r="U1212" s="1013">
        <v>3.0</v>
      </c>
      <c r="V1212" s="1013"/>
      <c r="W1212" s="1013"/>
      <c r="X1212" s="1013"/>
      <c r="Y1212" s="1013"/>
      <c r="Z1212" s="1014" t="s">
        <v>318</v>
      </c>
      <c r="AA1212" s="1014"/>
      <c r="AB1212" s="1014" t="s">
        <v>337</v>
      </c>
      <c r="AC1212" s="1015">
        <v>2.5</v>
      </c>
      <c r="AD1212" s="1010"/>
      <c r="AE1212" s="1010"/>
      <c r="AF1212" s="1010"/>
      <c r="AG1212" s="1010"/>
      <c r="AH1212" s="1010"/>
      <c r="AI1212" s="1010"/>
      <c r="AJ1212" s="1015"/>
      <c r="AK1212" s="1016"/>
      <c r="AL1212" s="1010"/>
      <c r="AM1212" s="1010"/>
      <c r="AN1212" s="1010"/>
      <c r="AO1212" s="1010"/>
      <c r="AP1212" s="1010"/>
      <c r="AQ1212" s="1010"/>
      <c r="AR1212" s="1010"/>
      <c r="AS1212" s="1015"/>
      <c r="AT1212" s="1017" t="s">
        <v>182</v>
      </c>
      <c r="AU1212" s="1008" t="s">
        <v>845</v>
      </c>
      <c r="AV1212" s="330">
        <f>SQRT(($R1212-Infrastructure!J$3)^2+($S1212-Infrastructure!K$3)^2)</f>
        <v>24.48060457</v>
      </c>
      <c r="AW1212" s="331">
        <f>SQRT(($R1212-Infrastructure!J$4)^2+($S1212-Infrastructure!K$4)^2)</f>
        <v>13.85388032</v>
      </c>
      <c r="AX1212" s="331">
        <f>SQRT(($R1212-Infrastructure!J$5)^2+($S1212-Infrastructure!K$5)^2)</f>
        <v>5.300943312</v>
      </c>
      <c r="AY1212" s="331">
        <f>SQRT(($R1212-Infrastructure!J$6)^2+($S1212-Infrastructure!K$6)^2)</f>
        <v>6.935416354</v>
      </c>
      <c r="AZ1212" s="1018">
        <f>SQRT(($R1212-Infrastructure!J$7)^2+($S1212-Infrastructure!K$7)^2)</f>
        <v>16.19691329</v>
      </c>
      <c r="BA1212" s="331">
        <f>SQRT(($R1212-Infrastructure!J$8)^2+($S1212-Infrastructure!K$8)^2)</f>
        <v>25.53624875</v>
      </c>
      <c r="BB1212" s="331">
        <f>SQRT(($R1212-Infrastructure!J$9)^2+($S1212-Infrastructure!K$9)^2)</f>
        <v>35.00014286</v>
      </c>
      <c r="BC1212" s="331">
        <f>SQRT(($R1212-Infrastructure!J$10)^2+($S1212-Infrastructure!K$10)^2)</f>
        <v>36.40054945</v>
      </c>
      <c r="BD1212" s="331">
        <f>SQRT(($R1212-Infrastructure!J$11)^2+($S1212-Infrastructure!K$11)^2)</f>
        <v>42.60328626</v>
      </c>
      <c r="BE1212" s="333">
        <f>SQRT(($R1212-Infrastructure!J$12)^2+($S1212-Infrastructure!K$12)^2)</f>
        <v>53.12720584</v>
      </c>
      <c r="BF1212" s="330">
        <f t="shared" si="161"/>
        <v>5.300943312</v>
      </c>
      <c r="BG1212" s="333">
        <f t="shared" si="162"/>
        <v>53.12720584</v>
      </c>
      <c r="BH1212" s="943">
        <v>36526.0</v>
      </c>
      <c r="BI1212" s="319" t="s">
        <v>846</v>
      </c>
      <c r="BJ1212" s="319" t="s">
        <v>846</v>
      </c>
      <c r="BK1212" s="319" t="s">
        <v>846</v>
      </c>
      <c r="BL1212" s="319" t="s">
        <v>846</v>
      </c>
      <c r="BM1212" s="955" t="s">
        <v>845</v>
      </c>
      <c r="BN1212" s="319" t="s">
        <v>846</v>
      </c>
      <c r="BO1212" s="319" t="s">
        <v>845</v>
      </c>
      <c r="BP1212" s="953" t="s">
        <v>846</v>
      </c>
      <c r="BQ1212" s="319" t="s">
        <v>845</v>
      </c>
      <c r="BR1212" s="324" t="s">
        <v>846</v>
      </c>
      <c r="BS1212" s="330">
        <f t="shared" si="163"/>
        <v>5.300943312</v>
      </c>
      <c r="BT1212" s="331">
        <f t="shared" si="164"/>
        <v>53.12720584</v>
      </c>
      <c r="BU1212" s="920">
        <v>0.5883449074074074</v>
      </c>
      <c r="BV1212" s="903">
        <f t="shared" si="165"/>
        <v>-0.0005439814815</v>
      </c>
      <c r="BW1212" s="907">
        <v>14.0</v>
      </c>
      <c r="BX1212" s="908">
        <v>15.0</v>
      </c>
      <c r="BY1212" s="331">
        <f t="shared" si="166"/>
        <v>13.45362405</v>
      </c>
      <c r="BZ1212" s="340"/>
      <c r="CA1212" s="316"/>
      <c r="CB1212" s="318"/>
      <c r="CC1212" s="318"/>
      <c r="CD1212" s="318"/>
      <c r="CE1212" s="318"/>
      <c r="CF1212" s="318"/>
      <c r="CG1212" s="318"/>
      <c r="CH1212" s="318"/>
      <c r="CI1212" s="318"/>
      <c r="CJ1212" s="463"/>
      <c r="CK1212" s="342"/>
      <c r="CL1212" s="333"/>
      <c r="CM1212" s="829"/>
      <c r="CN1212" s="333"/>
      <c r="CO1212" s="333"/>
      <c r="CP1212" s="333"/>
    </row>
    <row r="1213">
      <c r="B1213" s="1001" t="s">
        <v>1242</v>
      </c>
      <c r="C1213" s="1002">
        <v>44580.0</v>
      </c>
      <c r="D1213" s="1003"/>
      <c r="E1213" s="1004">
        <v>3.0</v>
      </c>
      <c r="F1213" s="1005" t="s">
        <v>1912</v>
      </c>
      <c r="G1213" s="1006">
        <v>0.5920138888888888</v>
      </c>
      <c r="H1213" s="1007">
        <v>0.5923611111111111</v>
      </c>
      <c r="I1213" s="1007"/>
      <c r="J1213" s="1007"/>
      <c r="K1213" s="1007">
        <v>0.5930555555555556</v>
      </c>
      <c r="L1213" s="323">
        <f t="shared" si="160"/>
        <v>0.0006944444444</v>
      </c>
      <c r="M1213" s="319" t="s">
        <v>166</v>
      </c>
      <c r="N1213" s="1019" t="s">
        <v>187</v>
      </c>
      <c r="O1213" s="1020" t="s">
        <v>200</v>
      </c>
      <c r="P1213" s="1021" t="s">
        <v>256</v>
      </c>
      <c r="Q1213" s="318"/>
      <c r="R1213" s="1022">
        <v>15.0</v>
      </c>
      <c r="S1213" s="1023">
        <v>5.0</v>
      </c>
      <c r="T1213" s="1019">
        <v>0.7</v>
      </c>
      <c r="U1213" s="1024">
        <v>3.0</v>
      </c>
      <c r="V1213" s="1024"/>
      <c r="W1213" s="1024"/>
      <c r="X1213" s="1024"/>
      <c r="Y1213" s="1024"/>
      <c r="Z1213" s="1025" t="s">
        <v>318</v>
      </c>
      <c r="AA1213" s="1025"/>
      <c r="AB1213" s="1025" t="s">
        <v>337</v>
      </c>
      <c r="AC1213" s="1026">
        <v>2.5</v>
      </c>
      <c r="AD1213" s="1021"/>
      <c r="AE1213" s="1021"/>
      <c r="AF1213" s="1021"/>
      <c r="AG1213" s="1021"/>
      <c r="AH1213" s="1021"/>
      <c r="AI1213" s="1021"/>
      <c r="AJ1213" s="1026"/>
      <c r="AK1213" s="1027"/>
      <c r="AL1213" s="1021"/>
      <c r="AM1213" s="1021"/>
      <c r="AN1213" s="1021"/>
      <c r="AO1213" s="1021"/>
      <c r="AP1213" s="1021"/>
      <c r="AQ1213" s="1021"/>
      <c r="AR1213" s="1021"/>
      <c r="AS1213" s="1026"/>
      <c r="AT1213" s="1017" t="s">
        <v>182</v>
      </c>
      <c r="AU1213" s="1019" t="s">
        <v>845</v>
      </c>
      <c r="AV1213" s="330">
        <f>SQRT(($R1213-Infrastructure!J$3)^2+($S1213-Infrastructure!K$3)^2)</f>
        <v>28.37780823</v>
      </c>
      <c r="AW1213" s="331">
        <f>SQRT(($R1213-Infrastructure!J$4)^2+($S1213-Infrastructure!K$4)^2)</f>
        <v>19.94818287</v>
      </c>
      <c r="AX1213" s="331">
        <f>SQRT(($R1213-Infrastructure!J$5)^2+($S1213-Infrastructure!K$5)^2)</f>
        <v>15.30032679</v>
      </c>
      <c r="AY1213" s="331">
        <f>SQRT(($R1213-Infrastructure!J$6)^2+($S1213-Infrastructure!K$6)^2)</f>
        <v>6.789698079</v>
      </c>
      <c r="AZ1213" s="1018">
        <f>SQRT(($R1213-Infrastructure!J$7)^2+($S1213-Infrastructure!K$7)^2)</f>
        <v>7.234638899</v>
      </c>
      <c r="BA1213" s="331">
        <f>SQRT(($R1213-Infrastructure!J$8)^2+($S1213-Infrastructure!K$8)^2)</f>
        <v>15.81455026</v>
      </c>
      <c r="BB1213" s="331">
        <f>SQRT(($R1213-Infrastructure!J$9)^2+($S1213-Infrastructure!K$9)^2)</f>
        <v>25.0002</v>
      </c>
      <c r="BC1213" s="331">
        <f>SQRT(($R1213-Infrastructure!J$10)^2+($S1213-Infrastructure!K$10)^2)</f>
        <v>26.92582404</v>
      </c>
      <c r="BD1213" s="331">
        <f>SQRT(($R1213-Infrastructure!J$11)^2+($S1213-Infrastructure!K$11)^2)</f>
        <v>34.8</v>
      </c>
      <c r="BE1213" s="333">
        <f>SQRT(($R1213-Infrastructure!J$12)^2+($S1213-Infrastructure!K$12)^2)</f>
        <v>50.91659847</v>
      </c>
      <c r="BF1213" s="330">
        <f t="shared" si="161"/>
        <v>6.789698079</v>
      </c>
      <c r="BG1213" s="333">
        <f t="shared" si="162"/>
        <v>50.91659847</v>
      </c>
      <c r="BH1213" s="943">
        <v>36526.0</v>
      </c>
      <c r="BI1213" s="319" t="s">
        <v>846</v>
      </c>
      <c r="BJ1213" s="319" t="s">
        <v>846</v>
      </c>
      <c r="BK1213" s="319" t="s">
        <v>846</v>
      </c>
      <c r="BL1213" s="319" t="s">
        <v>846</v>
      </c>
      <c r="BM1213" s="955" t="s">
        <v>845</v>
      </c>
      <c r="BN1213" s="319" t="s">
        <v>846</v>
      </c>
      <c r="BO1213" s="319" t="s">
        <v>846</v>
      </c>
      <c r="BP1213" s="953" t="s">
        <v>846</v>
      </c>
      <c r="BQ1213" s="319" t="s">
        <v>845</v>
      </c>
      <c r="BR1213" s="324" t="s">
        <v>846</v>
      </c>
      <c r="BS1213" s="330">
        <f t="shared" si="163"/>
        <v>6.789698079</v>
      </c>
      <c r="BT1213" s="331">
        <f t="shared" si="164"/>
        <v>50.91659847</v>
      </c>
      <c r="BU1213" s="920">
        <v>0.5915162037037037</v>
      </c>
      <c r="BV1213" s="903">
        <f t="shared" si="165"/>
        <v>-0.0004976851852</v>
      </c>
      <c r="BW1213" s="907">
        <v>18.0</v>
      </c>
      <c r="BX1213" s="908">
        <v>14.0</v>
      </c>
      <c r="BY1213" s="331">
        <f t="shared" si="166"/>
        <v>9.486832981</v>
      </c>
      <c r="BZ1213" s="340"/>
      <c r="CA1213" s="316"/>
      <c r="CB1213" s="318"/>
      <c r="CC1213" s="318"/>
      <c r="CD1213" s="318"/>
      <c r="CE1213" s="318"/>
      <c r="CF1213" s="318"/>
      <c r="CG1213" s="318"/>
      <c r="CH1213" s="318"/>
      <c r="CI1213" s="318"/>
      <c r="CJ1213" s="463"/>
      <c r="CK1213" s="342"/>
      <c r="CL1213" s="333"/>
      <c r="CM1213" s="829"/>
      <c r="CN1213" s="333"/>
      <c r="CO1213" s="333"/>
      <c r="CP1213" s="333"/>
    </row>
    <row r="1214">
      <c r="B1214" s="1001" t="s">
        <v>1242</v>
      </c>
      <c r="C1214" s="1002">
        <v>44580.0</v>
      </c>
      <c r="D1214" s="1003"/>
      <c r="E1214" s="1004">
        <v>4.0</v>
      </c>
      <c r="F1214" s="1005" t="s">
        <v>1913</v>
      </c>
      <c r="G1214" s="1006">
        <v>0.5946759259259259</v>
      </c>
      <c r="H1214" s="1007">
        <v>0.5949652777777777</v>
      </c>
      <c r="I1214" s="1007"/>
      <c r="J1214" s="1028"/>
      <c r="K1214" s="1028">
        <v>0.5956597222222222</v>
      </c>
      <c r="L1214" s="323">
        <f t="shared" si="160"/>
        <v>0.0006944444444</v>
      </c>
      <c r="M1214" s="319" t="s">
        <v>166</v>
      </c>
      <c r="N1214" s="1008" t="s">
        <v>187</v>
      </c>
      <c r="O1214" s="1009" t="s">
        <v>200</v>
      </c>
      <c r="P1214" s="1010" t="s">
        <v>256</v>
      </c>
      <c r="Q1214" s="318"/>
      <c r="R1214" s="1011">
        <v>25.0</v>
      </c>
      <c r="S1214" s="1012">
        <v>5.0</v>
      </c>
      <c r="T1214" s="1008">
        <v>0.7</v>
      </c>
      <c r="U1214" s="1013">
        <v>3.0</v>
      </c>
      <c r="V1214" s="1013"/>
      <c r="W1214" s="1013"/>
      <c r="X1214" s="1013"/>
      <c r="Y1214" s="1013"/>
      <c r="Z1214" s="1014" t="s">
        <v>318</v>
      </c>
      <c r="AA1214" s="1014"/>
      <c r="AB1214" s="1014" t="s">
        <v>337</v>
      </c>
      <c r="AC1214" s="1015">
        <v>2.5</v>
      </c>
      <c r="AD1214" s="1010"/>
      <c r="AE1214" s="1010"/>
      <c r="AF1214" s="1010"/>
      <c r="AG1214" s="1010"/>
      <c r="AH1214" s="1010"/>
      <c r="AI1214" s="1010"/>
      <c r="AJ1214" s="1015"/>
      <c r="AK1214" s="1016"/>
      <c r="AL1214" s="1010"/>
      <c r="AM1214" s="1010"/>
      <c r="AN1214" s="1010"/>
      <c r="AO1214" s="1010"/>
      <c r="AP1214" s="1010"/>
      <c r="AQ1214" s="1010"/>
      <c r="AR1214" s="1010"/>
      <c r="AS1214" s="1015"/>
      <c r="AT1214" s="1017" t="s">
        <v>182</v>
      </c>
      <c r="AU1214" s="1008" t="s">
        <v>845</v>
      </c>
      <c r="AV1214" s="330">
        <f>SQRT(($R1214-Infrastructure!J$3)^2+($S1214-Infrastructure!K$3)^2)</f>
        <v>34.80373543</v>
      </c>
      <c r="AW1214" s="331">
        <f>SQRT(($R1214-Infrastructure!J$4)^2+($S1214-Infrastructure!K$4)^2)</f>
        <v>28.35365938</v>
      </c>
      <c r="AX1214" s="331">
        <f>SQRT(($R1214-Infrastructure!J$5)^2+($S1214-Infrastructure!K$5)^2)</f>
        <v>25.30019763</v>
      </c>
      <c r="AY1214" s="331">
        <f>SQRT(($R1214-Infrastructure!J$6)^2+($S1214-Infrastructure!K$6)^2)</f>
        <v>15.62369995</v>
      </c>
      <c r="AZ1214" s="1018">
        <f>SQRT(($R1214-Infrastructure!J$7)^2+($S1214-Infrastructure!K$7)^2)</f>
        <v>6.506919394</v>
      </c>
      <c r="BA1214" s="331">
        <f>SQRT(($R1214-Infrastructure!J$8)^2+($S1214-Infrastructure!K$8)^2)</f>
        <v>6.935416354</v>
      </c>
      <c r="BB1214" s="331">
        <f>SQRT(($R1214-Infrastructure!J$9)^2+($S1214-Infrastructure!K$9)^2)</f>
        <v>15.00033333</v>
      </c>
      <c r="BC1214" s="331">
        <f>SQRT(($R1214-Infrastructure!J$10)^2+($S1214-Infrastructure!K$10)^2)</f>
        <v>18.02775638</v>
      </c>
      <c r="BD1214" s="331">
        <f>SQRT(($R1214-Infrastructure!J$11)^2+($S1214-Infrastructure!K$11)^2)</f>
        <v>28.40844945</v>
      </c>
      <c r="BE1214" s="333">
        <f>SQRT(($R1214-Infrastructure!J$12)^2+($S1214-Infrastructure!K$12)^2)</f>
        <v>50.62114183</v>
      </c>
      <c r="BF1214" s="330">
        <f t="shared" si="161"/>
        <v>6.506919394</v>
      </c>
      <c r="BG1214" s="333">
        <f t="shared" si="162"/>
        <v>50.62114183</v>
      </c>
      <c r="BH1214" s="943">
        <v>36526.0</v>
      </c>
      <c r="BI1214" s="319" t="s">
        <v>846</v>
      </c>
      <c r="BJ1214" s="319" t="s">
        <v>845</v>
      </c>
      <c r="BK1214" s="319" t="s">
        <v>846</v>
      </c>
      <c r="BL1214" s="319" t="s">
        <v>845</v>
      </c>
      <c r="BM1214" s="955" t="s">
        <v>845</v>
      </c>
      <c r="BN1214" s="319" t="s">
        <v>846</v>
      </c>
      <c r="BO1214" s="319" t="s">
        <v>846</v>
      </c>
      <c r="BP1214" s="953" t="s">
        <v>846</v>
      </c>
      <c r="BQ1214" s="319" t="s">
        <v>846</v>
      </c>
      <c r="BR1214" s="324" t="s">
        <v>846</v>
      </c>
      <c r="BS1214" s="330">
        <f t="shared" si="163"/>
        <v>6.935416354</v>
      </c>
      <c r="BT1214" s="331">
        <f t="shared" si="164"/>
        <v>50.62114183</v>
      </c>
      <c r="BU1214" s="920">
        <v>0.5941319444444444</v>
      </c>
      <c r="BV1214" s="903">
        <f t="shared" si="165"/>
        <v>-0.0005439814815</v>
      </c>
      <c r="BW1214" s="907">
        <v>24.0</v>
      </c>
      <c r="BX1214" s="908">
        <v>20.0</v>
      </c>
      <c r="BY1214" s="331">
        <f t="shared" si="166"/>
        <v>15.03329638</v>
      </c>
      <c r="BZ1214" s="340"/>
      <c r="CA1214" s="316"/>
      <c r="CB1214" s="318"/>
      <c r="CC1214" s="318"/>
      <c r="CD1214" s="318"/>
      <c r="CE1214" s="318"/>
      <c r="CF1214" s="318"/>
      <c r="CG1214" s="318"/>
      <c r="CH1214" s="318"/>
      <c r="CI1214" s="318"/>
      <c r="CJ1214" s="463"/>
      <c r="CK1214" s="342"/>
      <c r="CL1214" s="333"/>
      <c r="CM1214" s="829"/>
      <c r="CN1214" s="333"/>
      <c r="CO1214" s="333"/>
      <c r="CP1214" s="333"/>
    </row>
    <row r="1215">
      <c r="B1215" s="1029" t="s">
        <v>1242</v>
      </c>
      <c r="C1215" s="1002">
        <v>44580.0</v>
      </c>
      <c r="D1215" s="1030"/>
      <c r="E1215" s="1031">
        <v>5.0</v>
      </c>
      <c r="F1215" s="1005" t="s">
        <v>1914</v>
      </c>
      <c r="G1215" s="1006">
        <v>0.5979166666666667</v>
      </c>
      <c r="H1215" s="1007">
        <v>0.5980902777777778</v>
      </c>
      <c r="I1215" s="1007"/>
      <c r="J1215" s="1007"/>
      <c r="K1215" s="1007">
        <v>0.5987847222222222</v>
      </c>
      <c r="L1215" s="323">
        <f t="shared" si="160"/>
        <v>0.0006944444444</v>
      </c>
      <c r="M1215" s="319" t="s">
        <v>166</v>
      </c>
      <c r="N1215" s="1019" t="s">
        <v>187</v>
      </c>
      <c r="O1215" s="1020" t="s">
        <v>200</v>
      </c>
      <c r="P1215" s="1021" t="s">
        <v>256</v>
      </c>
      <c r="Q1215" s="318"/>
      <c r="R1215" s="1022">
        <v>25.0</v>
      </c>
      <c r="S1215" s="1023">
        <v>15.0</v>
      </c>
      <c r="T1215" s="1019">
        <v>0.7</v>
      </c>
      <c r="U1215" s="1024">
        <v>3.0</v>
      </c>
      <c r="V1215" s="1024"/>
      <c r="W1215" s="1024"/>
      <c r="X1215" s="1024"/>
      <c r="Y1215" s="1024"/>
      <c r="Z1215" s="1025" t="s">
        <v>318</v>
      </c>
      <c r="AA1215" s="1025"/>
      <c r="AB1215" s="1025" t="s">
        <v>337</v>
      </c>
      <c r="AC1215" s="1026">
        <v>2.5</v>
      </c>
      <c r="AD1215" s="1021"/>
      <c r="AE1215" s="1021"/>
      <c r="AF1215" s="1021"/>
      <c r="AG1215" s="1021"/>
      <c r="AH1215" s="1021"/>
      <c r="AI1215" s="1021"/>
      <c r="AJ1215" s="1026"/>
      <c r="AK1215" s="1027"/>
      <c r="AL1215" s="1021"/>
      <c r="AM1215" s="1021"/>
      <c r="AN1215" s="1021"/>
      <c r="AO1215" s="1021"/>
      <c r="AP1215" s="1021"/>
      <c r="AQ1215" s="1021"/>
      <c r="AR1215" s="1021"/>
      <c r="AS1215" s="1026"/>
      <c r="AT1215" s="1017" t="s">
        <v>182</v>
      </c>
      <c r="AU1215" s="1019" t="s">
        <v>845</v>
      </c>
      <c r="AV1215" s="330">
        <f>SQRT(($R1215-Infrastructure!J$3)^2+($S1215-Infrastructure!K$3)^2)</f>
        <v>28.8669361</v>
      </c>
      <c r="AW1215" s="331">
        <f>SQRT(($R1215-Infrastructure!J$4)^2+($S1215-Infrastructure!K$4)^2)</f>
        <v>25.45446916</v>
      </c>
      <c r="AX1215" s="331">
        <f>SQRT(($R1215-Infrastructure!J$5)^2+($S1215-Infrastructure!K$5)^2)</f>
        <v>27.16799588</v>
      </c>
      <c r="AY1215" s="331">
        <f>SQRT(($R1215-Infrastructure!J$6)^2+($S1215-Infrastructure!K$6)^2)</f>
        <v>20.93083849</v>
      </c>
      <c r="AZ1215" s="1018">
        <f>SQRT(($R1215-Infrastructure!J$7)^2+($S1215-Infrastructure!K$7)^2)</f>
        <v>15.37335357</v>
      </c>
      <c r="BA1215" s="331">
        <f>SQRT(($R1215-Infrastructure!J$8)^2+($S1215-Infrastructure!K$8)^2)</f>
        <v>15.55956298</v>
      </c>
      <c r="BB1215" s="331">
        <f>SQRT(($R1215-Infrastructure!J$9)^2+($S1215-Infrastructure!K$9)^2)</f>
        <v>17.97247896</v>
      </c>
      <c r="BC1215" s="331">
        <f>SQRT(($R1215-Infrastructure!J$10)^2+($S1215-Infrastructure!K$10)^2)</f>
        <v>15</v>
      </c>
      <c r="BD1215" s="331">
        <f>SQRT(($R1215-Infrastructure!J$11)^2+($S1215-Infrastructure!K$11)^2)</f>
        <v>20.66494616</v>
      </c>
      <c r="BE1215" s="333">
        <f>SQRT(($R1215-Infrastructure!J$12)^2+($S1215-Infrastructure!K$12)^2)</f>
        <v>40.65095325</v>
      </c>
      <c r="BF1215" s="330">
        <f t="shared" si="161"/>
        <v>15</v>
      </c>
      <c r="BG1215" s="333">
        <f t="shared" si="162"/>
        <v>40.65095325</v>
      </c>
      <c r="BH1215" s="943">
        <v>36526.0</v>
      </c>
      <c r="BI1215" s="319" t="s">
        <v>846</v>
      </c>
      <c r="BJ1215" s="319" t="s">
        <v>846</v>
      </c>
      <c r="BK1215" s="319" t="s">
        <v>846</v>
      </c>
      <c r="BL1215" s="319" t="s">
        <v>845</v>
      </c>
      <c r="BM1215" s="955" t="s">
        <v>845</v>
      </c>
      <c r="BN1215" s="319" t="s">
        <v>846</v>
      </c>
      <c r="BO1215" s="319" t="s">
        <v>846</v>
      </c>
      <c r="BP1215" s="953" t="s">
        <v>846</v>
      </c>
      <c r="BQ1215" s="319" t="s">
        <v>846</v>
      </c>
      <c r="BR1215" s="324" t="s">
        <v>846</v>
      </c>
      <c r="BS1215" s="330">
        <f t="shared" si="163"/>
        <v>15</v>
      </c>
      <c r="BT1215" s="331">
        <f t="shared" si="164"/>
        <v>40.65095325</v>
      </c>
      <c r="BU1215" s="920">
        <v>0.5973726851851852</v>
      </c>
      <c r="BV1215" s="903">
        <f t="shared" si="165"/>
        <v>-0.0005439814815</v>
      </c>
      <c r="BW1215" s="907">
        <v>19.0</v>
      </c>
      <c r="BX1215" s="908">
        <v>21.0</v>
      </c>
      <c r="BY1215" s="331">
        <f t="shared" si="166"/>
        <v>8.485281374</v>
      </c>
      <c r="BZ1215" s="340"/>
      <c r="CA1215" s="316"/>
      <c r="CB1215" s="318"/>
      <c r="CC1215" s="318"/>
      <c r="CD1215" s="318"/>
      <c r="CE1215" s="318"/>
      <c r="CF1215" s="318"/>
      <c r="CG1215" s="318"/>
      <c r="CH1215" s="318"/>
      <c r="CI1215" s="318"/>
      <c r="CJ1215" s="463"/>
      <c r="CK1215" s="342"/>
      <c r="CL1215" s="333"/>
      <c r="CM1215" s="829"/>
      <c r="CN1215" s="333"/>
      <c r="CO1215" s="333"/>
      <c r="CP1215" s="333"/>
    </row>
    <row r="1216">
      <c r="B1216" s="1032" t="s">
        <v>1242</v>
      </c>
      <c r="C1216" s="1033">
        <v>44580.0</v>
      </c>
      <c r="D1216" s="1034"/>
      <c r="E1216" s="1035">
        <v>6.0</v>
      </c>
      <c r="F1216" s="1036" t="s">
        <v>1915</v>
      </c>
      <c r="G1216" s="1037">
        <v>0.6236111111111111</v>
      </c>
      <c r="H1216" s="1038">
        <v>0.6237847222222223</v>
      </c>
      <c r="I1216" s="1038"/>
      <c r="J1216" s="1039"/>
      <c r="K1216" s="1039">
        <v>0.624537037037037</v>
      </c>
      <c r="L1216" s="323">
        <f t="shared" si="160"/>
        <v>0.0007523148148</v>
      </c>
      <c r="M1216" s="319" t="s">
        <v>166</v>
      </c>
      <c r="N1216" s="1040" t="s">
        <v>188</v>
      </c>
      <c r="O1216" s="1041" t="s">
        <v>378</v>
      </c>
      <c r="P1216" s="1042" t="s">
        <v>225</v>
      </c>
      <c r="Q1216" s="318"/>
      <c r="R1216" s="1043">
        <v>22.7</v>
      </c>
      <c r="S1216" s="1044">
        <v>39.7</v>
      </c>
      <c r="T1216" s="1040">
        <v>1.1</v>
      </c>
      <c r="U1216" s="1045">
        <v>3.0</v>
      </c>
      <c r="V1216" s="1045"/>
      <c r="W1216" s="1045"/>
      <c r="X1216" s="1045"/>
      <c r="Y1216" s="1045"/>
      <c r="Z1216" s="1046" t="s">
        <v>1140</v>
      </c>
      <c r="AA1216" s="1046"/>
      <c r="AB1216" s="1046" t="s">
        <v>337</v>
      </c>
      <c r="AC1216" s="1047">
        <v>2.5</v>
      </c>
      <c r="AD1216" s="1042"/>
      <c r="AE1216" s="1042"/>
      <c r="AF1216" s="1042"/>
      <c r="AG1216" s="1042"/>
      <c r="AH1216" s="1042"/>
      <c r="AI1216" s="1042"/>
      <c r="AJ1216" s="1047"/>
      <c r="AK1216" s="1048"/>
      <c r="AL1216" s="1042"/>
      <c r="AM1216" s="1042"/>
      <c r="AN1216" s="1042"/>
      <c r="AO1216" s="1042"/>
      <c r="AP1216" s="1042"/>
      <c r="AQ1216" s="1042"/>
      <c r="AR1216" s="1042"/>
      <c r="AS1216" s="1047"/>
      <c r="AT1216" s="1049" t="s">
        <v>182</v>
      </c>
      <c r="AU1216" s="1040" t="s">
        <v>845</v>
      </c>
      <c r="AV1216" s="330">
        <f>SQRT(($R1216-Infrastructure!J$3)^2+($S1216-Infrastructure!K$3)^2)</f>
        <v>25.40944706</v>
      </c>
      <c r="AW1216" s="331">
        <f>SQRT(($R1216-Infrastructure!J$4)^2+($S1216-Infrastructure!K$4)^2)</f>
        <v>31.75862088</v>
      </c>
      <c r="AX1216" s="331">
        <f>SQRT(($R1216-Infrastructure!J$5)^2+($S1216-Infrastructure!K$5)^2)</f>
        <v>41.54708173</v>
      </c>
      <c r="AY1216" s="331">
        <f>SQRT(($R1216-Infrastructure!J$6)^2+($S1216-Infrastructure!K$6)^2)</f>
        <v>41.36568626</v>
      </c>
      <c r="AZ1216" s="1018">
        <f>SQRT(($R1216-Infrastructure!J$7)^2+($S1216-Infrastructure!K$7)^2)</f>
        <v>39.46137352</v>
      </c>
      <c r="BA1216" s="331">
        <f>SQRT(($R1216-Infrastructure!J$8)^2+($S1216-Infrastructure!K$8)^2)</f>
        <v>40.08890121</v>
      </c>
      <c r="BB1216" s="331">
        <f>SQRT(($R1216-Infrastructure!J$9)^2+($S1216-Infrastructure!K$9)^2)</f>
        <v>38.68397601</v>
      </c>
      <c r="BC1216" s="331">
        <f>SQRT(($R1216-Infrastructure!J$10)^2+($S1216-Infrastructure!K$10)^2)</f>
        <v>30.15592811</v>
      </c>
      <c r="BD1216" s="331">
        <f>SQRT(($R1216-Infrastructure!J$11)^2+($S1216-Infrastructure!K$11)^2)</f>
        <v>20.51194774</v>
      </c>
      <c r="BE1216" s="333">
        <f>SQRT(($R1216-Infrastructure!J$12)^2+($S1216-Infrastructure!K$12)^2)</f>
        <v>15.84550409</v>
      </c>
      <c r="BF1216" s="330">
        <f t="shared" si="161"/>
        <v>15.84550409</v>
      </c>
      <c r="BG1216" s="333">
        <f t="shared" si="162"/>
        <v>41.54708173</v>
      </c>
      <c r="BH1216" s="943">
        <v>36526.0</v>
      </c>
      <c r="BI1216" s="319" t="s">
        <v>846</v>
      </c>
      <c r="BJ1216" s="319" t="s">
        <v>846</v>
      </c>
      <c r="BK1216" s="319" t="s">
        <v>846</v>
      </c>
      <c r="BL1216" s="319" t="s">
        <v>845</v>
      </c>
      <c r="BM1216" s="955" t="s">
        <v>845</v>
      </c>
      <c r="BN1216" s="319" t="s">
        <v>846</v>
      </c>
      <c r="BO1216" s="319" t="s">
        <v>845</v>
      </c>
      <c r="BP1216" s="953" t="s">
        <v>846</v>
      </c>
      <c r="BQ1216" s="319" t="s">
        <v>846</v>
      </c>
      <c r="BR1216" s="324" t="s">
        <v>846</v>
      </c>
      <c r="BS1216" s="330">
        <f t="shared" si="163"/>
        <v>15.84550409</v>
      </c>
      <c r="BT1216" s="331">
        <f t="shared" si="164"/>
        <v>41.54708173</v>
      </c>
      <c r="BU1216" s="920">
        <v>0.6230555555555556</v>
      </c>
      <c r="BV1216" s="903">
        <f t="shared" si="165"/>
        <v>-0.0005555555556</v>
      </c>
      <c r="BW1216" s="907">
        <v>20.0</v>
      </c>
      <c r="BX1216" s="908">
        <v>21.5</v>
      </c>
      <c r="BY1216" s="331">
        <f t="shared" si="166"/>
        <v>18.39918476</v>
      </c>
      <c r="BZ1216" s="340"/>
      <c r="CA1216" s="316"/>
      <c r="CB1216" s="318"/>
      <c r="CC1216" s="318"/>
      <c r="CD1216" s="318"/>
      <c r="CE1216" s="318"/>
      <c r="CF1216" s="318"/>
      <c r="CG1216" s="318"/>
      <c r="CH1216" s="318"/>
      <c r="CI1216" s="318"/>
      <c r="CJ1216" s="463"/>
      <c r="CK1216" s="342"/>
      <c r="CL1216" s="333"/>
      <c r="CM1216" s="829"/>
      <c r="CN1216" s="333"/>
      <c r="CO1216" s="333"/>
      <c r="CP1216" s="333"/>
    </row>
    <row r="1217">
      <c r="A1217" s="1050" t="s">
        <v>64</v>
      </c>
      <c r="B1217" s="1051" t="s">
        <v>1916</v>
      </c>
      <c r="C1217" s="1052">
        <v>44586.0</v>
      </c>
      <c r="D1217" s="1053"/>
      <c r="E1217" s="1054" t="s">
        <v>1453</v>
      </c>
      <c r="F1217" s="1055" t="s">
        <v>1917</v>
      </c>
      <c r="G1217" s="1056">
        <v>0.44131944444444443</v>
      </c>
      <c r="H1217" s="1057">
        <v>0.4418402777777778</v>
      </c>
      <c r="I1217" s="1057"/>
      <c r="J1217" s="1058"/>
      <c r="K1217" s="1058">
        <v>0.4425925925925926</v>
      </c>
      <c r="L1217" s="456">
        <v>7.523148148148148E-4</v>
      </c>
      <c r="M1217" s="393" t="s">
        <v>166</v>
      </c>
      <c r="N1217" s="1055" t="s">
        <v>187</v>
      </c>
      <c r="O1217" s="1059" t="s">
        <v>201</v>
      </c>
      <c r="P1217" s="1054" t="s">
        <v>256</v>
      </c>
      <c r="Q1217" s="392"/>
      <c r="R1217" s="1060">
        <v>2.0</v>
      </c>
      <c r="S1217" s="1061">
        <v>2.5</v>
      </c>
      <c r="T1217" s="1055">
        <v>0.7</v>
      </c>
      <c r="U1217" s="1062">
        <v>5.0</v>
      </c>
      <c r="V1217" s="1062"/>
      <c r="W1217" s="1062"/>
      <c r="X1217" s="1062"/>
      <c r="Y1217" s="1062"/>
      <c r="Z1217" s="1063" t="s">
        <v>339</v>
      </c>
      <c r="AA1217" s="1063"/>
      <c r="AB1217" s="1063" t="s">
        <v>337</v>
      </c>
      <c r="AC1217" s="1064">
        <v>2.5</v>
      </c>
      <c r="AD1217" s="1054"/>
      <c r="AE1217" s="1054"/>
      <c r="AF1217" s="1054"/>
      <c r="AG1217" s="1054"/>
      <c r="AH1217" s="1054"/>
      <c r="AI1217" s="1054"/>
      <c r="AJ1217" s="1064"/>
      <c r="AK1217" s="1065"/>
      <c r="AL1217" s="1054"/>
      <c r="AM1217" s="1054"/>
      <c r="AN1217" s="1054"/>
      <c r="AO1217" s="1054"/>
      <c r="AP1217" s="1054"/>
      <c r="AQ1217" s="1054"/>
      <c r="AR1217" s="1054"/>
      <c r="AS1217" s="1064"/>
      <c r="AT1217" s="1066" t="s">
        <v>182</v>
      </c>
      <c r="AU1217" s="1055" t="s">
        <v>845</v>
      </c>
      <c r="AV1217" s="405">
        <f>SQRT(($R1217-Infrastructure!J$3)^2+($S1217-Infrastructure!K$3)^2)</f>
        <v>26.5</v>
      </c>
      <c r="AW1217" s="406">
        <f>SQRT(($R1217-Infrastructure!J$4)^2+($S1217-Infrastructure!K$4)^2)</f>
        <v>15.47191003</v>
      </c>
      <c r="AX1217" s="406">
        <f>SQRT(($R1217-Infrastructure!J$5)^2+($S1217-Infrastructure!K$5)^2)</f>
        <v>3.471310992</v>
      </c>
      <c r="AY1217" s="406">
        <f>SQRT(($R1217-Infrastructure!J$6)^2+($S1217-Infrastructure!K$6)^2)</f>
        <v>8.393449827</v>
      </c>
      <c r="AZ1217" s="1067">
        <f>SQRT(($R1217-Infrastructure!J$7)^2+($S1217-Infrastructure!K$7)^2)</f>
        <v>18.63035158</v>
      </c>
      <c r="BA1217" s="406">
        <f>SQRT(($R1217-Infrastructure!J$8)^2+($S1217-Infrastructure!K$8)^2)</f>
        <v>28.18598943</v>
      </c>
      <c r="BB1217" s="406">
        <f>SQRT(($R1217-Infrastructure!J$9)^2+($S1217-Infrastructure!K$9)^2)</f>
        <v>38.08884351</v>
      </c>
      <c r="BC1217" s="406">
        <f>SQRT(($R1217-Infrastructure!J$10)^2+($S1217-Infrastructure!K$10)^2)</f>
        <v>40.00312488</v>
      </c>
      <c r="BD1217" s="406">
        <f>SQRT(($R1217-Infrastructure!J$11)^2+($S1217-Infrastructure!K$11)^2)</f>
        <v>46.49182724</v>
      </c>
      <c r="BE1217" s="408">
        <f>SQRT(($R1217-Infrastructure!J$12)^2+($S1217-Infrastructure!K$12)^2)</f>
        <v>56.47344509</v>
      </c>
      <c r="BF1217" s="405">
        <f t="shared" si="161"/>
        <v>3.471310992</v>
      </c>
      <c r="BG1217" s="408">
        <f t="shared" si="162"/>
        <v>56.47344509</v>
      </c>
      <c r="BH1217" s="961">
        <v>36526.0</v>
      </c>
      <c r="BI1217" s="393" t="s">
        <v>846</v>
      </c>
      <c r="BJ1217" s="393" t="s">
        <v>846</v>
      </c>
      <c r="BK1217" s="393"/>
      <c r="BL1217" s="393" t="s">
        <v>846</v>
      </c>
      <c r="BM1217" s="959"/>
      <c r="BN1217" s="393" t="s">
        <v>846</v>
      </c>
      <c r="BO1217" s="393" t="s">
        <v>846</v>
      </c>
      <c r="BP1217" s="960" t="s">
        <v>846</v>
      </c>
      <c r="BQ1217" s="393" t="s">
        <v>846</v>
      </c>
      <c r="BR1217" s="394" t="s">
        <v>846</v>
      </c>
      <c r="BS1217" s="405">
        <f t="shared" si="163"/>
        <v>8.393449827</v>
      </c>
      <c r="BT1217" s="406">
        <f t="shared" si="164"/>
        <v>56.47344509</v>
      </c>
      <c r="BU1217" s="931">
        <v>0.4408564814814815</v>
      </c>
      <c r="BV1217" s="901">
        <f t="shared" si="165"/>
        <v>-0.000462962963</v>
      </c>
      <c r="BW1217" s="925">
        <v>22.0</v>
      </c>
      <c r="BX1217" s="926">
        <v>17.0</v>
      </c>
      <c r="BY1217" s="406">
        <f t="shared" si="166"/>
        <v>24.70323865</v>
      </c>
      <c r="BZ1217" s="412"/>
      <c r="CA1217" s="390"/>
      <c r="CB1217" s="392"/>
      <c r="CC1217" s="392"/>
      <c r="CD1217" s="392"/>
      <c r="CE1217" s="392"/>
      <c r="CF1217" s="392"/>
      <c r="CG1217" s="392"/>
      <c r="CH1217" s="392"/>
      <c r="CI1217" s="392"/>
      <c r="CJ1217" s="898"/>
      <c r="CK1217" s="414"/>
      <c r="CL1217" s="408"/>
      <c r="CM1217" s="846" t="s">
        <v>1918</v>
      </c>
      <c r="CN1217" s="847"/>
      <c r="CO1217" s="847"/>
      <c r="CP1217" s="847"/>
    </row>
    <row r="1218">
      <c r="B1218" s="1029" t="s">
        <v>1916</v>
      </c>
      <c r="C1218" s="1002">
        <v>44586.0</v>
      </c>
      <c r="D1218" s="1030"/>
      <c r="E1218" s="1031" t="s">
        <v>1455</v>
      </c>
      <c r="F1218" s="1005" t="s">
        <v>1919</v>
      </c>
      <c r="G1218" s="1006">
        <v>0.44537037037037036</v>
      </c>
      <c r="H1218" s="1007">
        <v>0.4457175925925926</v>
      </c>
      <c r="I1218" s="1007"/>
      <c r="J1218" s="1028"/>
      <c r="K1218" s="1028">
        <v>0.446412037037037</v>
      </c>
      <c r="L1218" s="323">
        <v>6.944444444444445E-4</v>
      </c>
      <c r="M1218" s="319" t="s">
        <v>166</v>
      </c>
      <c r="N1218" s="1005" t="s">
        <v>187</v>
      </c>
      <c r="O1218" s="1068" t="s">
        <v>201</v>
      </c>
      <c r="P1218" s="1031" t="s">
        <v>256</v>
      </c>
      <c r="Q1218" s="318"/>
      <c r="R1218" s="1069">
        <v>2.0</v>
      </c>
      <c r="S1218" s="1004">
        <v>2.5</v>
      </c>
      <c r="T1218" s="1005">
        <v>0.7</v>
      </c>
      <c r="U1218" s="1070">
        <v>4.0</v>
      </c>
      <c r="V1218" s="1070"/>
      <c r="W1218" s="1070"/>
      <c r="X1218" s="1070"/>
      <c r="Y1218" s="1070"/>
      <c r="Z1218" s="1071" t="s">
        <v>339</v>
      </c>
      <c r="AA1218" s="1071"/>
      <c r="AB1218" s="1071" t="s">
        <v>337</v>
      </c>
      <c r="AC1218" s="1072">
        <v>2.5</v>
      </c>
      <c r="AD1218" s="1031"/>
      <c r="AE1218" s="1031"/>
      <c r="AF1218" s="1031"/>
      <c r="AG1218" s="1031"/>
      <c r="AH1218" s="1031"/>
      <c r="AI1218" s="1031"/>
      <c r="AJ1218" s="1072"/>
      <c r="AK1218" s="1073"/>
      <c r="AL1218" s="1031"/>
      <c r="AM1218" s="1031"/>
      <c r="AN1218" s="1031"/>
      <c r="AO1218" s="1031"/>
      <c r="AP1218" s="1031"/>
      <c r="AQ1218" s="1031"/>
      <c r="AR1218" s="1031"/>
      <c r="AS1218" s="1072"/>
      <c r="AT1218" s="1017" t="s">
        <v>182</v>
      </c>
      <c r="AU1218" s="1005" t="s">
        <v>845</v>
      </c>
      <c r="AV1218" s="330">
        <f>SQRT(($R1218-Infrastructure!J$3)^2+($S1218-Infrastructure!K$3)^2)</f>
        <v>26.5</v>
      </c>
      <c r="AW1218" s="331">
        <f>SQRT(($R1218-Infrastructure!J$4)^2+($S1218-Infrastructure!K$4)^2)</f>
        <v>15.47191003</v>
      </c>
      <c r="AX1218" s="331">
        <f>SQRT(($R1218-Infrastructure!J$5)^2+($S1218-Infrastructure!K$5)^2)</f>
        <v>3.471310992</v>
      </c>
      <c r="AY1218" s="331">
        <f>SQRT(($R1218-Infrastructure!J$6)^2+($S1218-Infrastructure!K$6)^2)</f>
        <v>8.393449827</v>
      </c>
      <c r="AZ1218" s="1018">
        <f>SQRT(($R1218-Infrastructure!J$7)^2+($S1218-Infrastructure!K$7)^2)</f>
        <v>18.63035158</v>
      </c>
      <c r="BA1218" s="331">
        <f>SQRT(($R1218-Infrastructure!J$8)^2+($S1218-Infrastructure!K$8)^2)</f>
        <v>28.18598943</v>
      </c>
      <c r="BB1218" s="331">
        <f>SQRT(($R1218-Infrastructure!J$9)^2+($S1218-Infrastructure!K$9)^2)</f>
        <v>38.08884351</v>
      </c>
      <c r="BC1218" s="331">
        <f>SQRT(($R1218-Infrastructure!J$10)^2+($S1218-Infrastructure!K$10)^2)</f>
        <v>40.00312488</v>
      </c>
      <c r="BD1218" s="331">
        <f>SQRT(($R1218-Infrastructure!J$11)^2+($S1218-Infrastructure!K$11)^2)</f>
        <v>46.49182724</v>
      </c>
      <c r="BE1218" s="333">
        <f>SQRT(($R1218-Infrastructure!J$12)^2+($S1218-Infrastructure!K$12)^2)</f>
        <v>56.47344509</v>
      </c>
      <c r="BF1218" s="330">
        <f t="shared" si="161"/>
        <v>3.471310992</v>
      </c>
      <c r="BG1218" s="333">
        <f t="shared" si="162"/>
        <v>56.47344509</v>
      </c>
      <c r="BH1218" s="943">
        <v>36526.0</v>
      </c>
      <c r="BI1218" s="319" t="s">
        <v>846</v>
      </c>
      <c r="BJ1218" s="319" t="s">
        <v>846</v>
      </c>
      <c r="BK1218" s="319"/>
      <c r="BL1218" s="319" t="s">
        <v>846</v>
      </c>
      <c r="BM1218" s="955"/>
      <c r="BN1218" s="319" t="s">
        <v>846</v>
      </c>
      <c r="BO1218" s="319" t="s">
        <v>846</v>
      </c>
      <c r="BP1218" s="953" t="s">
        <v>846</v>
      </c>
      <c r="BQ1218" s="319" t="s">
        <v>846</v>
      </c>
      <c r="BR1218" s="324" t="s">
        <v>846</v>
      </c>
      <c r="BS1218" s="330">
        <f t="shared" si="163"/>
        <v>8.393449827</v>
      </c>
      <c r="BT1218" s="331">
        <f t="shared" si="164"/>
        <v>56.47344509</v>
      </c>
      <c r="BU1218" s="920">
        <v>0.44493055555555555</v>
      </c>
      <c r="BV1218" s="903">
        <f t="shared" si="165"/>
        <v>-0.0004398148148</v>
      </c>
      <c r="BW1218" s="907">
        <v>22.0</v>
      </c>
      <c r="BX1218" s="908">
        <v>17.0</v>
      </c>
      <c r="BY1218" s="331">
        <f t="shared" si="166"/>
        <v>24.70323865</v>
      </c>
      <c r="BZ1218" s="340"/>
      <c r="CA1218" s="316"/>
      <c r="CB1218" s="318"/>
      <c r="CC1218" s="318"/>
      <c r="CD1218" s="318"/>
      <c r="CE1218" s="318"/>
      <c r="CF1218" s="318"/>
      <c r="CG1218" s="318"/>
      <c r="CH1218" s="318"/>
      <c r="CI1218" s="318"/>
      <c r="CJ1218" s="463"/>
      <c r="CK1218" s="342"/>
      <c r="CL1218" s="333"/>
      <c r="CM1218" s="872" t="s">
        <v>1918</v>
      </c>
      <c r="CN1218" s="847"/>
      <c r="CO1218" s="847"/>
      <c r="CP1218" s="847"/>
    </row>
    <row r="1219">
      <c r="B1219" s="1029" t="s">
        <v>1916</v>
      </c>
      <c r="C1219" s="1002">
        <v>44586.0</v>
      </c>
      <c r="D1219" s="1030"/>
      <c r="E1219" s="1031" t="s">
        <v>1457</v>
      </c>
      <c r="F1219" s="1005" t="s">
        <v>1920</v>
      </c>
      <c r="G1219" s="1006">
        <v>0.446875</v>
      </c>
      <c r="H1219" s="1007">
        <v>0.44722222222222224</v>
      </c>
      <c r="I1219" s="1007"/>
      <c r="J1219" s="1028"/>
      <c r="K1219" s="1028">
        <v>0.4479166666666667</v>
      </c>
      <c r="L1219" s="323">
        <v>6.944444444444445E-4</v>
      </c>
      <c r="M1219" s="319" t="s">
        <v>166</v>
      </c>
      <c r="N1219" s="1005" t="s">
        <v>187</v>
      </c>
      <c r="O1219" s="1068" t="s">
        <v>201</v>
      </c>
      <c r="P1219" s="1031" t="s">
        <v>256</v>
      </c>
      <c r="Q1219" s="318"/>
      <c r="R1219" s="1069">
        <v>2.0</v>
      </c>
      <c r="S1219" s="1004">
        <v>2.5</v>
      </c>
      <c r="T1219" s="1005">
        <v>0.7</v>
      </c>
      <c r="U1219" s="1070">
        <v>3.0</v>
      </c>
      <c r="V1219" s="1070"/>
      <c r="W1219" s="1070"/>
      <c r="X1219" s="1070"/>
      <c r="Y1219" s="1070"/>
      <c r="Z1219" s="1071" t="s">
        <v>339</v>
      </c>
      <c r="AA1219" s="1071"/>
      <c r="AB1219" s="1071" t="s">
        <v>337</v>
      </c>
      <c r="AC1219" s="1072">
        <v>2.5</v>
      </c>
      <c r="AD1219" s="1031"/>
      <c r="AE1219" s="1031"/>
      <c r="AF1219" s="1031"/>
      <c r="AG1219" s="1031"/>
      <c r="AH1219" s="1031"/>
      <c r="AI1219" s="1031"/>
      <c r="AJ1219" s="1072"/>
      <c r="AK1219" s="1073"/>
      <c r="AL1219" s="1031"/>
      <c r="AM1219" s="1031"/>
      <c r="AN1219" s="1031"/>
      <c r="AO1219" s="1031"/>
      <c r="AP1219" s="1031"/>
      <c r="AQ1219" s="1031"/>
      <c r="AR1219" s="1031"/>
      <c r="AS1219" s="1072"/>
      <c r="AT1219" s="1017" t="s">
        <v>182</v>
      </c>
      <c r="AU1219" s="1005" t="s">
        <v>845</v>
      </c>
      <c r="AV1219" s="330">
        <f>SQRT(($R1219-Infrastructure!J$3)^2+($S1219-Infrastructure!K$3)^2)</f>
        <v>26.5</v>
      </c>
      <c r="AW1219" s="331">
        <f>SQRT(($R1219-Infrastructure!J$4)^2+($S1219-Infrastructure!K$4)^2)</f>
        <v>15.47191003</v>
      </c>
      <c r="AX1219" s="331">
        <f>SQRT(($R1219-Infrastructure!J$5)^2+($S1219-Infrastructure!K$5)^2)</f>
        <v>3.471310992</v>
      </c>
      <c r="AY1219" s="331">
        <f>SQRT(($R1219-Infrastructure!J$6)^2+($S1219-Infrastructure!K$6)^2)</f>
        <v>8.393449827</v>
      </c>
      <c r="AZ1219" s="1018">
        <f>SQRT(($R1219-Infrastructure!J$7)^2+($S1219-Infrastructure!K$7)^2)</f>
        <v>18.63035158</v>
      </c>
      <c r="BA1219" s="331">
        <f>SQRT(($R1219-Infrastructure!J$8)^2+($S1219-Infrastructure!K$8)^2)</f>
        <v>28.18598943</v>
      </c>
      <c r="BB1219" s="331">
        <f>SQRT(($R1219-Infrastructure!J$9)^2+($S1219-Infrastructure!K$9)^2)</f>
        <v>38.08884351</v>
      </c>
      <c r="BC1219" s="331">
        <f>SQRT(($R1219-Infrastructure!J$10)^2+($S1219-Infrastructure!K$10)^2)</f>
        <v>40.00312488</v>
      </c>
      <c r="BD1219" s="331">
        <f>SQRT(($R1219-Infrastructure!J$11)^2+($S1219-Infrastructure!K$11)^2)</f>
        <v>46.49182724</v>
      </c>
      <c r="BE1219" s="333">
        <f>SQRT(($R1219-Infrastructure!J$12)^2+($S1219-Infrastructure!K$12)^2)</f>
        <v>56.47344509</v>
      </c>
      <c r="BF1219" s="330">
        <f t="shared" si="161"/>
        <v>3.471310992</v>
      </c>
      <c r="BG1219" s="333">
        <f t="shared" si="162"/>
        <v>56.47344509</v>
      </c>
      <c r="BH1219" s="943">
        <v>36526.0</v>
      </c>
      <c r="BI1219" s="319" t="s">
        <v>846</v>
      </c>
      <c r="BJ1219" s="319" t="s">
        <v>846</v>
      </c>
      <c r="BK1219" s="319"/>
      <c r="BL1219" s="319" t="s">
        <v>846</v>
      </c>
      <c r="BM1219" s="955"/>
      <c r="BN1219" s="319" t="s">
        <v>846</v>
      </c>
      <c r="BO1219" s="319" t="s">
        <v>846</v>
      </c>
      <c r="BP1219" s="953" t="s">
        <v>846</v>
      </c>
      <c r="BQ1219" s="319" t="s">
        <v>846</v>
      </c>
      <c r="BR1219" s="324" t="s">
        <v>846</v>
      </c>
      <c r="BS1219" s="330">
        <f t="shared" si="163"/>
        <v>8.393449827</v>
      </c>
      <c r="BT1219" s="331">
        <f t="shared" si="164"/>
        <v>56.47344509</v>
      </c>
      <c r="BU1219" s="920">
        <v>0.44645833333333335</v>
      </c>
      <c r="BV1219" s="903">
        <f t="shared" si="165"/>
        <v>-0.0004166666667</v>
      </c>
      <c r="BW1219" s="1074">
        <v>22.4</v>
      </c>
      <c r="BX1219" s="908">
        <v>17.4</v>
      </c>
      <c r="BY1219" s="331">
        <f t="shared" si="166"/>
        <v>25.26202684</v>
      </c>
      <c r="BZ1219" s="340"/>
      <c r="CA1219" s="316"/>
      <c r="CB1219" s="318"/>
      <c r="CC1219" s="318"/>
      <c r="CD1219" s="318"/>
      <c r="CE1219" s="318"/>
      <c r="CF1219" s="318"/>
      <c r="CG1219" s="318"/>
      <c r="CH1219" s="318"/>
      <c r="CI1219" s="318"/>
      <c r="CJ1219" s="463"/>
      <c r="CK1219" s="342"/>
      <c r="CL1219" s="333"/>
      <c r="CM1219" s="872" t="s">
        <v>1918</v>
      </c>
      <c r="CN1219" s="847"/>
      <c r="CO1219" s="847"/>
      <c r="CP1219" s="847"/>
    </row>
    <row r="1220">
      <c r="B1220" s="1029" t="s">
        <v>1916</v>
      </c>
      <c r="C1220" s="1002">
        <v>44586.0</v>
      </c>
      <c r="D1220" s="1030"/>
      <c r="E1220" s="1031" t="s">
        <v>1459</v>
      </c>
      <c r="F1220" s="1005" t="s">
        <v>1921</v>
      </c>
      <c r="G1220" s="1006">
        <v>0.4482638888888889</v>
      </c>
      <c r="H1220" s="1007">
        <v>0.4486111111111111</v>
      </c>
      <c r="I1220" s="1007"/>
      <c r="J1220" s="1028"/>
      <c r="K1220" s="1028">
        <v>0.44930555555555557</v>
      </c>
      <c r="L1220" s="323">
        <v>6.944444444444445E-4</v>
      </c>
      <c r="M1220" s="319" t="s">
        <v>166</v>
      </c>
      <c r="N1220" s="1005" t="s">
        <v>187</v>
      </c>
      <c r="O1220" s="1068" t="s">
        <v>201</v>
      </c>
      <c r="P1220" s="1031" t="s">
        <v>256</v>
      </c>
      <c r="Q1220" s="318"/>
      <c r="R1220" s="1069">
        <v>2.0</v>
      </c>
      <c r="S1220" s="1004">
        <v>2.5</v>
      </c>
      <c r="T1220" s="1005">
        <v>0.7</v>
      </c>
      <c r="U1220" s="1070">
        <v>2.0</v>
      </c>
      <c r="V1220" s="1070"/>
      <c r="W1220" s="1070"/>
      <c r="X1220" s="1070"/>
      <c r="Y1220" s="1070"/>
      <c r="Z1220" s="1071" t="s">
        <v>339</v>
      </c>
      <c r="AA1220" s="1071"/>
      <c r="AB1220" s="1071" t="s">
        <v>337</v>
      </c>
      <c r="AC1220" s="1072">
        <v>2.5</v>
      </c>
      <c r="AD1220" s="1031"/>
      <c r="AE1220" s="1031"/>
      <c r="AF1220" s="1031"/>
      <c r="AG1220" s="1031"/>
      <c r="AH1220" s="1031"/>
      <c r="AI1220" s="1031"/>
      <c r="AJ1220" s="1072"/>
      <c r="AK1220" s="1073"/>
      <c r="AL1220" s="1031"/>
      <c r="AM1220" s="1031"/>
      <c r="AN1220" s="1031"/>
      <c r="AO1220" s="1031"/>
      <c r="AP1220" s="1031"/>
      <c r="AQ1220" s="1031"/>
      <c r="AR1220" s="1031"/>
      <c r="AS1220" s="1072"/>
      <c r="AT1220" s="1017" t="s">
        <v>182</v>
      </c>
      <c r="AU1220" s="1005" t="s">
        <v>845</v>
      </c>
      <c r="AV1220" s="330">
        <f>SQRT(($R1220-Infrastructure!J$3)^2+($S1220-Infrastructure!K$3)^2)</f>
        <v>26.5</v>
      </c>
      <c r="AW1220" s="331">
        <f>SQRT(($R1220-Infrastructure!J$4)^2+($S1220-Infrastructure!K$4)^2)</f>
        <v>15.47191003</v>
      </c>
      <c r="AX1220" s="331">
        <f>SQRT(($R1220-Infrastructure!J$5)^2+($S1220-Infrastructure!K$5)^2)</f>
        <v>3.471310992</v>
      </c>
      <c r="AY1220" s="331">
        <f>SQRT(($R1220-Infrastructure!J$6)^2+($S1220-Infrastructure!K$6)^2)</f>
        <v>8.393449827</v>
      </c>
      <c r="AZ1220" s="1018">
        <f>SQRT(($R1220-Infrastructure!J$7)^2+($S1220-Infrastructure!K$7)^2)</f>
        <v>18.63035158</v>
      </c>
      <c r="BA1220" s="331">
        <f>SQRT(($R1220-Infrastructure!J$8)^2+($S1220-Infrastructure!K$8)^2)</f>
        <v>28.18598943</v>
      </c>
      <c r="BB1220" s="331">
        <f>SQRT(($R1220-Infrastructure!J$9)^2+($S1220-Infrastructure!K$9)^2)</f>
        <v>38.08884351</v>
      </c>
      <c r="BC1220" s="331">
        <f>SQRT(($R1220-Infrastructure!J$10)^2+($S1220-Infrastructure!K$10)^2)</f>
        <v>40.00312488</v>
      </c>
      <c r="BD1220" s="331">
        <f>SQRT(($R1220-Infrastructure!J$11)^2+($S1220-Infrastructure!K$11)^2)</f>
        <v>46.49182724</v>
      </c>
      <c r="BE1220" s="333">
        <f>SQRT(($R1220-Infrastructure!J$12)^2+($S1220-Infrastructure!K$12)^2)</f>
        <v>56.47344509</v>
      </c>
      <c r="BF1220" s="330">
        <f t="shared" si="161"/>
        <v>3.471310992</v>
      </c>
      <c r="BG1220" s="333">
        <f t="shared" si="162"/>
        <v>56.47344509</v>
      </c>
      <c r="BH1220" s="943">
        <v>36526.0</v>
      </c>
      <c r="BI1220" s="319" t="s">
        <v>846</v>
      </c>
      <c r="BJ1220" s="319" t="s">
        <v>846</v>
      </c>
      <c r="BK1220" s="319"/>
      <c r="BL1220" s="319" t="s">
        <v>846</v>
      </c>
      <c r="BM1220" s="955"/>
      <c r="BN1220" s="319" t="s">
        <v>846</v>
      </c>
      <c r="BO1220" s="319" t="s">
        <v>846</v>
      </c>
      <c r="BP1220" s="953" t="s">
        <v>846</v>
      </c>
      <c r="BQ1220" s="319"/>
      <c r="BR1220" s="324" t="s">
        <v>846</v>
      </c>
      <c r="BS1220" s="330">
        <f t="shared" si="163"/>
        <v>8.393449827</v>
      </c>
      <c r="BT1220" s="331">
        <f t="shared" si="164"/>
        <v>56.47344509</v>
      </c>
      <c r="BU1220" s="920">
        <v>0.4478009259259259</v>
      </c>
      <c r="BV1220" s="903">
        <f t="shared" si="165"/>
        <v>-0.000462962963</v>
      </c>
      <c r="BW1220" s="907">
        <v>20.3</v>
      </c>
      <c r="BX1220" s="908">
        <v>15.8</v>
      </c>
      <c r="BY1220" s="331">
        <f t="shared" si="166"/>
        <v>22.62255512</v>
      </c>
      <c r="BZ1220" s="340"/>
      <c r="CA1220" s="316"/>
      <c r="CB1220" s="318"/>
      <c r="CC1220" s="318"/>
      <c r="CD1220" s="318"/>
      <c r="CE1220" s="318"/>
      <c r="CF1220" s="318"/>
      <c r="CG1220" s="318"/>
      <c r="CH1220" s="318"/>
      <c r="CI1220" s="318"/>
      <c r="CJ1220" s="463"/>
      <c r="CK1220" s="342"/>
      <c r="CL1220" s="333"/>
      <c r="CM1220" s="872" t="s">
        <v>1918</v>
      </c>
      <c r="CN1220" s="847"/>
      <c r="CO1220" s="847"/>
      <c r="CP1220" s="847"/>
    </row>
    <row r="1221">
      <c r="B1221" s="1029" t="s">
        <v>1916</v>
      </c>
      <c r="C1221" s="1002">
        <v>44586.0</v>
      </c>
      <c r="D1221" s="1030"/>
      <c r="E1221" s="1031" t="s">
        <v>1804</v>
      </c>
      <c r="F1221" s="1005" t="s">
        <v>1922</v>
      </c>
      <c r="G1221" s="1006">
        <v>0.4496527777777778</v>
      </c>
      <c r="H1221" s="1007">
        <v>0.45</v>
      </c>
      <c r="I1221" s="1007"/>
      <c r="J1221" s="1028"/>
      <c r="K1221" s="1028">
        <v>0.45069444444444445</v>
      </c>
      <c r="L1221" s="323">
        <v>6.944444444444445E-4</v>
      </c>
      <c r="M1221" s="319" t="s">
        <v>166</v>
      </c>
      <c r="N1221" s="1005" t="s">
        <v>187</v>
      </c>
      <c r="O1221" s="1068" t="s">
        <v>201</v>
      </c>
      <c r="P1221" s="1031" t="s">
        <v>256</v>
      </c>
      <c r="Q1221" s="318"/>
      <c r="R1221" s="1069">
        <v>2.0</v>
      </c>
      <c r="S1221" s="1004">
        <v>2.5</v>
      </c>
      <c r="T1221" s="1005">
        <v>0.7</v>
      </c>
      <c r="U1221" s="1070">
        <v>1.0</v>
      </c>
      <c r="V1221" s="1070"/>
      <c r="W1221" s="1070"/>
      <c r="X1221" s="1070"/>
      <c r="Y1221" s="1070"/>
      <c r="Z1221" s="1071" t="s">
        <v>339</v>
      </c>
      <c r="AA1221" s="1071"/>
      <c r="AB1221" s="1071" t="s">
        <v>337</v>
      </c>
      <c r="AC1221" s="1072">
        <v>2.5</v>
      </c>
      <c r="AD1221" s="1031"/>
      <c r="AE1221" s="1031"/>
      <c r="AF1221" s="1031"/>
      <c r="AG1221" s="1031"/>
      <c r="AH1221" s="1031"/>
      <c r="AI1221" s="1031"/>
      <c r="AJ1221" s="1072"/>
      <c r="AK1221" s="1073"/>
      <c r="AL1221" s="1031"/>
      <c r="AM1221" s="1031"/>
      <c r="AN1221" s="1031"/>
      <c r="AO1221" s="1031"/>
      <c r="AP1221" s="1031"/>
      <c r="AQ1221" s="1031"/>
      <c r="AR1221" s="1031"/>
      <c r="AS1221" s="1072"/>
      <c r="AT1221" s="1017" t="s">
        <v>182</v>
      </c>
      <c r="AU1221" s="1005" t="s">
        <v>845</v>
      </c>
      <c r="AV1221" s="330">
        <f>SQRT(($R1221-Infrastructure!J$3)^2+($S1221-Infrastructure!K$3)^2)</f>
        <v>26.5</v>
      </c>
      <c r="AW1221" s="331">
        <f>SQRT(($R1221-Infrastructure!J$4)^2+($S1221-Infrastructure!K$4)^2)</f>
        <v>15.47191003</v>
      </c>
      <c r="AX1221" s="331">
        <f>SQRT(($R1221-Infrastructure!J$5)^2+($S1221-Infrastructure!K$5)^2)</f>
        <v>3.471310992</v>
      </c>
      <c r="AY1221" s="331">
        <f>SQRT(($R1221-Infrastructure!J$6)^2+($S1221-Infrastructure!K$6)^2)</f>
        <v>8.393449827</v>
      </c>
      <c r="AZ1221" s="1018">
        <f>SQRT(($R1221-Infrastructure!J$7)^2+($S1221-Infrastructure!K$7)^2)</f>
        <v>18.63035158</v>
      </c>
      <c r="BA1221" s="331">
        <f>SQRT(($R1221-Infrastructure!J$8)^2+($S1221-Infrastructure!K$8)^2)</f>
        <v>28.18598943</v>
      </c>
      <c r="BB1221" s="331">
        <f>SQRT(($R1221-Infrastructure!J$9)^2+($S1221-Infrastructure!K$9)^2)</f>
        <v>38.08884351</v>
      </c>
      <c r="BC1221" s="331">
        <f>SQRT(($R1221-Infrastructure!J$10)^2+($S1221-Infrastructure!K$10)^2)</f>
        <v>40.00312488</v>
      </c>
      <c r="BD1221" s="331">
        <f>SQRT(($R1221-Infrastructure!J$11)^2+($S1221-Infrastructure!K$11)^2)</f>
        <v>46.49182724</v>
      </c>
      <c r="BE1221" s="333">
        <f>SQRT(($R1221-Infrastructure!J$12)^2+($S1221-Infrastructure!K$12)^2)</f>
        <v>56.47344509</v>
      </c>
      <c r="BF1221" s="330">
        <f t="shared" si="161"/>
        <v>3.471310992</v>
      </c>
      <c r="BG1221" s="333">
        <f t="shared" si="162"/>
        <v>56.47344509</v>
      </c>
      <c r="BH1221" s="943">
        <v>36526.0</v>
      </c>
      <c r="BI1221" s="319" t="s">
        <v>846</v>
      </c>
      <c r="BJ1221" s="319" t="s">
        <v>846</v>
      </c>
      <c r="BK1221" s="319"/>
      <c r="BL1221" s="319" t="s">
        <v>846</v>
      </c>
      <c r="BM1221" s="955"/>
      <c r="BN1221" s="319" t="s">
        <v>846</v>
      </c>
      <c r="BO1221" s="319" t="s">
        <v>846</v>
      </c>
      <c r="BP1221" s="953" t="s">
        <v>846</v>
      </c>
      <c r="BQ1221" s="319"/>
      <c r="BR1221" s="324" t="s">
        <v>846</v>
      </c>
      <c r="BS1221" s="330">
        <f t="shared" si="163"/>
        <v>8.393449827</v>
      </c>
      <c r="BT1221" s="331">
        <f t="shared" si="164"/>
        <v>56.47344509</v>
      </c>
      <c r="BU1221" s="920">
        <v>0.4497453703703704</v>
      </c>
      <c r="BV1221" s="903">
        <f t="shared" si="165"/>
        <v>0.00009259259259</v>
      </c>
      <c r="BW1221" s="907">
        <v>20.3</v>
      </c>
      <c r="BX1221" s="908">
        <v>15.8</v>
      </c>
      <c r="BY1221" s="331">
        <f t="shared" si="166"/>
        <v>22.62255512</v>
      </c>
      <c r="BZ1221" s="340"/>
      <c r="CA1221" s="316"/>
      <c r="CB1221" s="318"/>
      <c r="CC1221" s="318"/>
      <c r="CD1221" s="318"/>
      <c r="CE1221" s="318"/>
      <c r="CF1221" s="318"/>
      <c r="CG1221" s="318"/>
      <c r="CH1221" s="318"/>
      <c r="CI1221" s="318"/>
      <c r="CJ1221" s="463"/>
      <c r="CK1221" s="342"/>
      <c r="CL1221" s="333"/>
      <c r="CM1221" s="872" t="s">
        <v>1918</v>
      </c>
      <c r="CN1221" s="847"/>
      <c r="CO1221" s="847"/>
      <c r="CP1221" s="847"/>
    </row>
    <row r="1222">
      <c r="B1222" s="1029" t="s">
        <v>1916</v>
      </c>
      <c r="C1222" s="1002">
        <v>44586.0</v>
      </c>
      <c r="D1222" s="1030"/>
      <c r="E1222" s="1031" t="s">
        <v>1806</v>
      </c>
      <c r="F1222" s="1005" t="s">
        <v>1923</v>
      </c>
      <c r="G1222" s="1006">
        <v>0.4510416666666667</v>
      </c>
      <c r="H1222" s="1007">
        <v>0.4512731481481482</v>
      </c>
      <c r="I1222" s="1007"/>
      <c r="J1222" s="1028"/>
      <c r="K1222" s="1028">
        <v>0.452025462962963</v>
      </c>
      <c r="L1222" s="323">
        <v>7.523148148148148E-4</v>
      </c>
      <c r="M1222" s="319" t="s">
        <v>166</v>
      </c>
      <c r="N1222" s="1005" t="s">
        <v>187</v>
      </c>
      <c r="O1222" s="1068" t="s">
        <v>201</v>
      </c>
      <c r="P1222" s="1031" t="s">
        <v>256</v>
      </c>
      <c r="Q1222" s="318"/>
      <c r="R1222" s="1069">
        <v>2.0</v>
      </c>
      <c r="S1222" s="1004">
        <v>2.5</v>
      </c>
      <c r="T1222" s="1005">
        <v>0.7</v>
      </c>
      <c r="U1222" s="1070">
        <v>0.5</v>
      </c>
      <c r="V1222" s="1070"/>
      <c r="W1222" s="1070"/>
      <c r="X1222" s="1070"/>
      <c r="Y1222" s="1070"/>
      <c r="Z1222" s="1071" t="s">
        <v>339</v>
      </c>
      <c r="AA1222" s="1071"/>
      <c r="AB1222" s="1071" t="s">
        <v>337</v>
      </c>
      <c r="AC1222" s="1072">
        <v>2.5</v>
      </c>
      <c r="AD1222" s="1031"/>
      <c r="AE1222" s="1031"/>
      <c r="AF1222" s="1031"/>
      <c r="AG1222" s="1031"/>
      <c r="AH1222" s="1031"/>
      <c r="AI1222" s="1031"/>
      <c r="AJ1222" s="1072"/>
      <c r="AK1222" s="1073"/>
      <c r="AL1222" s="1031"/>
      <c r="AM1222" s="1031"/>
      <c r="AN1222" s="1031"/>
      <c r="AO1222" s="1031"/>
      <c r="AP1222" s="1031"/>
      <c r="AQ1222" s="1031"/>
      <c r="AR1222" s="1031"/>
      <c r="AS1222" s="1072"/>
      <c r="AT1222" s="1075" t="s">
        <v>181</v>
      </c>
      <c r="AU1222" s="1005" t="s">
        <v>845</v>
      </c>
      <c r="AV1222" s="330">
        <f>SQRT(($R1222-Infrastructure!J$3)^2+($S1222-Infrastructure!K$3)^2)</f>
        <v>26.5</v>
      </c>
      <c r="AW1222" s="331">
        <f>SQRT(($R1222-Infrastructure!J$4)^2+($S1222-Infrastructure!K$4)^2)</f>
        <v>15.47191003</v>
      </c>
      <c r="AX1222" s="331">
        <f>SQRT(($R1222-Infrastructure!J$5)^2+($S1222-Infrastructure!K$5)^2)</f>
        <v>3.471310992</v>
      </c>
      <c r="AY1222" s="331">
        <f>SQRT(($R1222-Infrastructure!J$6)^2+($S1222-Infrastructure!K$6)^2)</f>
        <v>8.393449827</v>
      </c>
      <c r="AZ1222" s="331">
        <f>SQRT(($R1222-Infrastructure!J$7)^2+($S1222-Infrastructure!K$7)^2)</f>
        <v>18.63035158</v>
      </c>
      <c r="BA1222" s="331">
        <f>SQRT(($R1222-Infrastructure!J$8)^2+($S1222-Infrastructure!K$8)^2)</f>
        <v>28.18598943</v>
      </c>
      <c r="BB1222" s="331">
        <f>SQRT(($R1222-Infrastructure!J$9)^2+($S1222-Infrastructure!K$9)^2)</f>
        <v>38.08884351</v>
      </c>
      <c r="BC1222" s="331">
        <f>SQRT(($R1222-Infrastructure!J$10)^2+($S1222-Infrastructure!K$10)^2)</f>
        <v>40.00312488</v>
      </c>
      <c r="BD1222" s="331">
        <f>SQRT(($R1222-Infrastructure!J$11)^2+($S1222-Infrastructure!K$11)^2)</f>
        <v>46.49182724</v>
      </c>
      <c r="BE1222" s="333">
        <f>SQRT(($R1222-Infrastructure!J$12)^2+($S1222-Infrastructure!K$12)^2)</f>
        <v>56.47344509</v>
      </c>
      <c r="BF1222" s="330">
        <f t="shared" si="161"/>
        <v>3.471310992</v>
      </c>
      <c r="BG1222" s="333">
        <f t="shared" si="162"/>
        <v>56.47344509</v>
      </c>
      <c r="BH1222" s="943">
        <v>36526.0</v>
      </c>
      <c r="BI1222" s="319"/>
      <c r="BJ1222" s="319"/>
      <c r="BK1222" s="319"/>
      <c r="BL1222" s="319"/>
      <c r="BM1222" s="955"/>
      <c r="BN1222" s="319"/>
      <c r="BO1222" s="319"/>
      <c r="BP1222" s="953"/>
      <c r="BQ1222" s="319"/>
      <c r="BR1222" s="324"/>
      <c r="BS1222" s="330">
        <f t="shared" si="163"/>
        <v>0</v>
      </c>
      <c r="BT1222" s="331">
        <f t="shared" si="164"/>
        <v>0</v>
      </c>
      <c r="BU1222" s="920"/>
      <c r="BV1222" s="903"/>
      <c r="BW1222" s="907"/>
      <c r="BX1222" s="908"/>
      <c r="BY1222" s="331" t="b">
        <f t="shared" si="166"/>
        <v>0</v>
      </c>
      <c r="BZ1222" s="340"/>
      <c r="CA1222" s="316"/>
      <c r="CB1222" s="318"/>
      <c r="CC1222" s="318"/>
      <c r="CD1222" s="318"/>
      <c r="CE1222" s="318"/>
      <c r="CF1222" s="318"/>
      <c r="CG1222" s="318"/>
      <c r="CH1222" s="318"/>
      <c r="CI1222" s="318"/>
      <c r="CJ1222" s="463"/>
      <c r="CK1222" s="342"/>
      <c r="CL1222" s="333"/>
      <c r="CM1222" s="872" t="s">
        <v>1918</v>
      </c>
      <c r="CN1222" s="847"/>
      <c r="CO1222" s="847"/>
      <c r="CP1222" s="847"/>
    </row>
    <row r="1223">
      <c r="B1223" s="1029" t="s">
        <v>1916</v>
      </c>
      <c r="C1223" s="1002">
        <v>44586.0</v>
      </c>
      <c r="D1223" s="1030"/>
      <c r="E1223" s="1031">
        <v>2.0</v>
      </c>
      <c r="F1223" s="1005" t="s">
        <v>1924</v>
      </c>
      <c r="G1223" s="1006">
        <v>0.4552083333333333</v>
      </c>
      <c r="H1223" s="1007">
        <v>0.45555555555555555</v>
      </c>
      <c r="I1223" s="1007"/>
      <c r="J1223" s="1028"/>
      <c r="K1223" s="1028">
        <v>0.45625</v>
      </c>
      <c r="L1223" s="323">
        <v>6.944444444444445E-4</v>
      </c>
      <c r="M1223" s="319" t="s">
        <v>166</v>
      </c>
      <c r="N1223" s="1005" t="s">
        <v>187</v>
      </c>
      <c r="O1223" s="1068" t="s">
        <v>201</v>
      </c>
      <c r="P1223" s="1031" t="s">
        <v>256</v>
      </c>
      <c r="Q1223" s="318"/>
      <c r="R1223" s="1069">
        <v>5.0</v>
      </c>
      <c r="S1223" s="1004">
        <v>2.5</v>
      </c>
      <c r="T1223" s="1005">
        <v>0.7</v>
      </c>
      <c r="U1223" s="1070">
        <v>3.0</v>
      </c>
      <c r="V1223" s="1070"/>
      <c r="W1223" s="1070"/>
      <c r="X1223" s="1070"/>
      <c r="Y1223" s="1070"/>
      <c r="Z1223" s="1071" t="s">
        <v>339</v>
      </c>
      <c r="AA1223" s="1071"/>
      <c r="AB1223" s="1071" t="s">
        <v>337</v>
      </c>
      <c r="AC1223" s="1072">
        <v>2.5</v>
      </c>
      <c r="AD1223" s="1031"/>
      <c r="AE1223" s="1031"/>
      <c r="AF1223" s="1031"/>
      <c r="AG1223" s="1031"/>
      <c r="AH1223" s="1031"/>
      <c r="AI1223" s="1031"/>
      <c r="AJ1223" s="1072"/>
      <c r="AK1223" s="1073"/>
      <c r="AL1223" s="1031"/>
      <c r="AM1223" s="1031"/>
      <c r="AN1223" s="1031"/>
      <c r="AO1223" s="1031"/>
      <c r="AP1223" s="1031"/>
      <c r="AQ1223" s="1031"/>
      <c r="AR1223" s="1031"/>
      <c r="AS1223" s="1072"/>
      <c r="AT1223" s="1017" t="s">
        <v>182</v>
      </c>
      <c r="AU1223" s="1005" t="s">
        <v>845</v>
      </c>
      <c r="AV1223" s="330">
        <f>SQRT(($R1223-Infrastructure!J$3)^2+($S1223-Infrastructure!K$3)^2)</f>
        <v>26.9267525</v>
      </c>
      <c r="AW1223" s="331">
        <f>SQRT(($R1223-Infrastructure!J$4)^2+($S1223-Infrastructure!K$4)^2)</f>
        <v>16.19197332</v>
      </c>
      <c r="AX1223" s="331">
        <f>SQRT(($R1223-Infrastructure!J$5)^2+($S1223-Infrastructure!K$5)^2)</f>
        <v>5.903388857</v>
      </c>
      <c r="AY1223" s="331">
        <f>SQRT(($R1223-Infrastructure!J$6)^2+($S1223-Infrastructure!K$6)^2)</f>
        <v>5.554277631</v>
      </c>
      <c r="AZ1223" s="331">
        <f>SQRT(($R1223-Infrastructure!J$7)^2+($S1223-Infrastructure!K$7)^2)</f>
        <v>15.65535052</v>
      </c>
      <c r="BA1223" s="331">
        <f>SQRT(($R1223-Infrastructure!J$8)^2+($S1223-Infrastructure!K$8)^2)</f>
        <v>25.19622988</v>
      </c>
      <c r="BB1223" s="331">
        <f>SQRT(($R1223-Infrastructure!J$9)^2+($S1223-Infrastructure!K$9)^2)</f>
        <v>35.09643857</v>
      </c>
      <c r="BC1223" s="331">
        <f>SQRT(($R1223-Infrastructure!J$10)^2+($S1223-Infrastructure!K$10)^2)</f>
        <v>37.16517187</v>
      </c>
      <c r="BD1223" s="331">
        <f>SQRT(($R1223-Infrastructure!J$11)^2+($S1223-Infrastructure!K$11)^2)</f>
        <v>44.06007263</v>
      </c>
      <c r="BE1223" s="333">
        <f>SQRT(($R1223-Infrastructure!J$12)^2+($S1223-Infrastructure!K$12)^2)</f>
        <v>55.50900828</v>
      </c>
      <c r="BF1223" s="330">
        <f t="shared" si="161"/>
        <v>5.554277631</v>
      </c>
      <c r="BG1223" s="333">
        <f t="shared" si="162"/>
        <v>55.50900828</v>
      </c>
      <c r="BH1223" s="943">
        <v>36526.0</v>
      </c>
      <c r="BI1223" s="319" t="s">
        <v>846</v>
      </c>
      <c r="BJ1223" s="319" t="s">
        <v>846</v>
      </c>
      <c r="BK1223" s="319"/>
      <c r="BL1223" s="319" t="s">
        <v>846</v>
      </c>
      <c r="BM1223" s="955"/>
      <c r="BN1223" s="319" t="s">
        <v>846</v>
      </c>
      <c r="BO1223" s="319" t="s">
        <v>846</v>
      </c>
      <c r="BP1223" s="953" t="s">
        <v>846</v>
      </c>
      <c r="BQ1223" s="319" t="s">
        <v>846</v>
      </c>
      <c r="BR1223" s="324" t="s">
        <v>846</v>
      </c>
      <c r="BS1223" s="330">
        <f t="shared" si="163"/>
        <v>5.554277631</v>
      </c>
      <c r="BT1223" s="331">
        <f t="shared" si="164"/>
        <v>55.50900828</v>
      </c>
      <c r="BU1223" s="920">
        <v>0.4550462962962963</v>
      </c>
      <c r="BV1223" s="903">
        <f t="shared" ref="BV1223:BV1231" si="167">BU1223-G1223</f>
        <v>-0.000162037037</v>
      </c>
      <c r="BW1223" s="907">
        <v>19.7</v>
      </c>
      <c r="BX1223" s="908">
        <v>22.8</v>
      </c>
      <c r="BY1223" s="331">
        <f t="shared" si="166"/>
        <v>25.06351931</v>
      </c>
      <c r="BZ1223" s="340"/>
      <c r="CA1223" s="316"/>
      <c r="CB1223" s="318"/>
      <c r="CC1223" s="318"/>
      <c r="CD1223" s="318"/>
      <c r="CE1223" s="318"/>
      <c r="CF1223" s="318"/>
      <c r="CG1223" s="318"/>
      <c r="CH1223" s="318"/>
      <c r="CI1223" s="318"/>
      <c r="CJ1223" s="463"/>
      <c r="CK1223" s="342"/>
      <c r="CL1223" s="333"/>
      <c r="CM1223" s="872" t="s">
        <v>1918</v>
      </c>
      <c r="CN1223" s="847"/>
      <c r="CO1223" s="847"/>
      <c r="CP1223" s="847"/>
    </row>
    <row r="1224">
      <c r="B1224" s="1029" t="s">
        <v>1916</v>
      </c>
      <c r="C1224" s="1002">
        <v>44586.0</v>
      </c>
      <c r="D1224" s="1030"/>
      <c r="E1224" s="1031">
        <v>3.0</v>
      </c>
      <c r="F1224" s="1005" t="s">
        <v>1925</v>
      </c>
      <c r="G1224" s="1006">
        <v>0.4601851851851852</v>
      </c>
      <c r="H1224" s="1007">
        <v>0.4603009259259259</v>
      </c>
      <c r="I1224" s="1007"/>
      <c r="J1224" s="1028"/>
      <c r="K1224" s="1028">
        <v>0.46099537037037036</v>
      </c>
      <c r="L1224" s="323">
        <v>6.944444444444445E-4</v>
      </c>
      <c r="M1224" s="319" t="s">
        <v>166</v>
      </c>
      <c r="N1224" s="1005" t="s">
        <v>187</v>
      </c>
      <c r="O1224" s="1068" t="s">
        <v>200</v>
      </c>
      <c r="P1224" s="1031" t="s">
        <v>256</v>
      </c>
      <c r="Q1224" s="318"/>
      <c r="R1224" s="1069">
        <v>1.0</v>
      </c>
      <c r="S1224" s="1004">
        <v>17.7</v>
      </c>
      <c r="T1224" s="1005">
        <v>0.7</v>
      </c>
      <c r="U1224" s="1070">
        <v>3.0</v>
      </c>
      <c r="V1224" s="1070"/>
      <c r="W1224" s="1070"/>
      <c r="X1224" s="1070"/>
      <c r="Y1224" s="1070"/>
      <c r="Z1224" s="1071" t="s">
        <v>318</v>
      </c>
      <c r="AA1224" s="1071"/>
      <c r="AB1224" s="1071" t="s">
        <v>337</v>
      </c>
      <c r="AC1224" s="1072">
        <v>2.5</v>
      </c>
      <c r="AD1224" s="1031"/>
      <c r="AE1224" s="1031"/>
      <c r="AF1224" s="1031"/>
      <c r="AG1224" s="1031"/>
      <c r="AH1224" s="1031"/>
      <c r="AI1224" s="1031"/>
      <c r="AJ1224" s="1072"/>
      <c r="AK1224" s="1073"/>
      <c r="AL1224" s="1031"/>
      <c r="AM1224" s="1031"/>
      <c r="AN1224" s="1031"/>
      <c r="AO1224" s="1031"/>
      <c r="AP1224" s="1031"/>
      <c r="AQ1224" s="1031"/>
      <c r="AR1224" s="1031"/>
      <c r="AS1224" s="1072"/>
      <c r="AT1224" s="1017" t="s">
        <v>182</v>
      </c>
      <c r="AU1224" s="1005" t="s">
        <v>845</v>
      </c>
      <c r="AV1224" s="330">
        <f>SQRT(($R1224-Infrastructure!J$3)^2+($S1224-Infrastructure!K$3)^2)</f>
        <v>11.27519401</v>
      </c>
      <c r="AW1224" s="331">
        <f>SQRT(($R1224-Infrastructure!J$4)^2+($S1224-Infrastructure!K$4)^2)</f>
        <v>1.303840481</v>
      </c>
      <c r="AX1224" s="331">
        <f>SQRT(($R1224-Infrastructure!J$5)^2+($S1224-Infrastructure!K$5)^2)</f>
        <v>12.66688596</v>
      </c>
      <c r="AY1224" s="331">
        <f>SQRT(($R1224-Infrastructure!J$6)^2+($S1224-Infrastructure!K$6)^2)</f>
        <v>19.63593644</v>
      </c>
      <c r="AZ1224" s="331">
        <f>SQRT(($R1224-Infrastructure!J$7)^2+($S1224-Infrastructure!K$7)^2)</f>
        <v>26.13446001</v>
      </c>
      <c r="BA1224" s="331">
        <f>SQRT(($R1224-Infrastructure!J$8)^2+($S1224-Infrastructure!K$8)^2)</f>
        <v>33.90530932</v>
      </c>
      <c r="BB1224" s="331">
        <f>SQRT(($R1224-Infrastructure!J$9)^2+($S1224-Infrastructure!K$9)^2)</f>
        <v>40.98487526</v>
      </c>
      <c r="BC1224" s="331">
        <f>SQRT(($R1224-Infrastructure!J$10)^2+($S1224-Infrastructure!K$10)^2)</f>
        <v>39.09334982</v>
      </c>
      <c r="BD1224" s="331">
        <f>SQRT(($R1224-Infrastructure!J$11)^2+($S1224-Infrastructure!K$11)^2)</f>
        <v>40.7962008</v>
      </c>
      <c r="BE1224" s="333">
        <f>SQRT(($R1224-Infrastructure!J$12)^2+($S1224-Infrastructure!K$12)^2)</f>
        <v>43.0010465</v>
      </c>
      <c r="BF1224" s="330">
        <f t="shared" si="161"/>
        <v>1.303840481</v>
      </c>
      <c r="BG1224" s="333">
        <f t="shared" si="162"/>
        <v>43.0010465</v>
      </c>
      <c r="BH1224" s="943">
        <v>36526.0</v>
      </c>
      <c r="BI1224" s="319" t="s">
        <v>846</v>
      </c>
      <c r="BJ1224" s="319" t="s">
        <v>846</v>
      </c>
      <c r="BK1224" s="319"/>
      <c r="BL1224" s="319" t="s">
        <v>846</v>
      </c>
      <c r="BM1224" s="955"/>
      <c r="BN1224" s="319" t="s">
        <v>846</v>
      </c>
      <c r="BO1224" s="319" t="s">
        <v>846</v>
      </c>
      <c r="BP1224" s="953" t="s">
        <v>846</v>
      </c>
      <c r="BQ1224" s="319" t="s">
        <v>846</v>
      </c>
      <c r="BR1224" s="324" t="s">
        <v>846</v>
      </c>
      <c r="BS1224" s="330">
        <f t="shared" si="163"/>
        <v>1.303840481</v>
      </c>
      <c r="BT1224" s="331">
        <f t="shared" si="164"/>
        <v>43.0010465</v>
      </c>
      <c r="BU1224" s="920">
        <v>0.4597222222222222</v>
      </c>
      <c r="BV1224" s="903">
        <f t="shared" si="167"/>
        <v>-0.000462962963</v>
      </c>
      <c r="BW1224" s="907">
        <v>14.0</v>
      </c>
      <c r="BX1224" s="908">
        <v>19.5</v>
      </c>
      <c r="BY1224" s="331">
        <f t="shared" si="166"/>
        <v>13.12402377</v>
      </c>
      <c r="BZ1224" s="340"/>
      <c r="CA1224" s="316"/>
      <c r="CB1224" s="318"/>
      <c r="CC1224" s="318"/>
      <c r="CD1224" s="318"/>
      <c r="CE1224" s="318"/>
      <c r="CF1224" s="318"/>
      <c r="CG1224" s="318"/>
      <c r="CH1224" s="318"/>
      <c r="CI1224" s="318"/>
      <c r="CJ1224" s="463"/>
      <c r="CK1224" s="342"/>
      <c r="CL1224" s="333"/>
      <c r="CM1224" s="872" t="s">
        <v>1926</v>
      </c>
      <c r="CN1224" s="847"/>
      <c r="CO1224" s="847"/>
      <c r="CP1224" s="847"/>
    </row>
    <row r="1225">
      <c r="B1225" s="1029" t="s">
        <v>1916</v>
      </c>
      <c r="C1225" s="1002">
        <v>44586.0</v>
      </c>
      <c r="D1225" s="1030"/>
      <c r="E1225" s="1031">
        <v>4.0</v>
      </c>
      <c r="F1225" s="1005" t="s">
        <v>1927</v>
      </c>
      <c r="G1225" s="1006">
        <v>0.46550925925925923</v>
      </c>
      <c r="H1225" s="1007">
        <v>0.46574074074074073</v>
      </c>
      <c r="I1225" s="1007"/>
      <c r="J1225" s="1028"/>
      <c r="K1225" s="1028">
        <v>0.4664351851851852</v>
      </c>
      <c r="L1225" s="323">
        <v>6.944444444444445E-4</v>
      </c>
      <c r="M1225" s="319" t="s">
        <v>166</v>
      </c>
      <c r="N1225" s="1005" t="s">
        <v>187</v>
      </c>
      <c r="O1225" s="1068" t="s">
        <v>200</v>
      </c>
      <c r="P1225" s="1031" t="s">
        <v>256</v>
      </c>
      <c r="Q1225" s="318"/>
      <c r="R1225" s="1069">
        <v>5.0</v>
      </c>
      <c r="S1225" s="1004">
        <v>17.7</v>
      </c>
      <c r="T1225" s="1005">
        <v>0.7</v>
      </c>
      <c r="U1225" s="1070">
        <v>3.0</v>
      </c>
      <c r="V1225" s="1070"/>
      <c r="W1225" s="1070"/>
      <c r="X1225" s="1070"/>
      <c r="Y1225" s="1070"/>
      <c r="Z1225" s="1071" t="s">
        <v>318</v>
      </c>
      <c r="AA1225" s="1071"/>
      <c r="AB1225" s="1071" t="s">
        <v>337</v>
      </c>
      <c r="AC1225" s="1072">
        <v>2.5</v>
      </c>
      <c r="AD1225" s="1031"/>
      <c r="AE1225" s="1031"/>
      <c r="AF1225" s="1031"/>
      <c r="AG1225" s="1031"/>
      <c r="AH1225" s="1031"/>
      <c r="AI1225" s="1031"/>
      <c r="AJ1225" s="1072"/>
      <c r="AK1225" s="1073"/>
      <c r="AL1225" s="1031"/>
      <c r="AM1225" s="1031"/>
      <c r="AN1225" s="1031"/>
      <c r="AO1225" s="1031"/>
      <c r="AP1225" s="1031"/>
      <c r="AQ1225" s="1031"/>
      <c r="AR1225" s="1031"/>
      <c r="AS1225" s="1072"/>
      <c r="AT1225" s="1017" t="s">
        <v>182</v>
      </c>
      <c r="AU1225" s="1005" t="s">
        <v>845</v>
      </c>
      <c r="AV1225" s="330">
        <f>SQRT(($R1225-Infrastructure!J$3)^2+($S1225-Infrastructure!K$3)^2)</f>
        <v>12.39072234</v>
      </c>
      <c r="AW1225" s="331">
        <f>SQRT(($R1225-Infrastructure!J$4)^2+($S1225-Infrastructure!K$4)^2)</f>
        <v>5.300943312</v>
      </c>
      <c r="AX1225" s="331">
        <f>SQRT(($R1225-Infrastructure!J$5)^2+($S1225-Infrastructure!K$5)^2)</f>
        <v>13.66930869</v>
      </c>
      <c r="AY1225" s="331">
        <f>SQRT(($R1225-Infrastructure!J$6)^2+($S1225-Infrastructure!K$6)^2)</f>
        <v>18.13201588</v>
      </c>
      <c r="AZ1225" s="331">
        <f>SQRT(($R1225-Infrastructure!J$7)^2+($S1225-Infrastructure!K$7)^2)</f>
        <v>23.30257497</v>
      </c>
      <c r="BA1225" s="331">
        <f>SQRT(($R1225-Infrastructure!J$8)^2+($S1225-Infrastructure!K$8)^2)</f>
        <v>30.54128354</v>
      </c>
      <c r="BB1225" s="331">
        <f>SQRT(($R1225-Infrastructure!J$9)^2+($S1225-Infrastructure!K$9)^2)</f>
        <v>37.19892472</v>
      </c>
      <c r="BC1225" s="331">
        <f>SQRT(($R1225-Infrastructure!J$10)^2+($S1225-Infrastructure!K$10)^2)</f>
        <v>35.10398838</v>
      </c>
      <c r="BD1225" s="331">
        <f>SQRT(($R1225-Infrastructure!J$11)^2+($S1225-Infrastructure!K$11)^2)</f>
        <v>36.9693116</v>
      </c>
      <c r="BE1225" s="333">
        <f>SQRT(($R1225-Infrastructure!J$12)^2+($S1225-Infrastructure!K$12)^2)</f>
        <v>41.24427233</v>
      </c>
      <c r="BF1225" s="330">
        <f t="shared" si="161"/>
        <v>5.300943312</v>
      </c>
      <c r="BG1225" s="333">
        <f t="shared" si="162"/>
        <v>41.24427233</v>
      </c>
      <c r="BH1225" s="943">
        <v>36526.0</v>
      </c>
      <c r="BI1225" s="319" t="s">
        <v>846</v>
      </c>
      <c r="BJ1225" s="319" t="s">
        <v>846</v>
      </c>
      <c r="BK1225" s="319" t="s">
        <v>846</v>
      </c>
      <c r="BL1225" s="319" t="s">
        <v>846</v>
      </c>
      <c r="BM1225" s="955"/>
      <c r="BN1225" s="319" t="s">
        <v>846</v>
      </c>
      <c r="BO1225" s="319" t="s">
        <v>846</v>
      </c>
      <c r="BP1225" s="953" t="s">
        <v>846</v>
      </c>
      <c r="BQ1225" s="319" t="s">
        <v>846</v>
      </c>
      <c r="BR1225" s="324" t="s">
        <v>846</v>
      </c>
      <c r="BS1225" s="330">
        <f t="shared" si="163"/>
        <v>5.300943312</v>
      </c>
      <c r="BT1225" s="331">
        <f t="shared" si="164"/>
        <v>41.24427233</v>
      </c>
      <c r="BU1225" s="920">
        <v>0.4650810185185185</v>
      </c>
      <c r="BV1225" s="903">
        <f t="shared" si="167"/>
        <v>-0.0004282407407</v>
      </c>
      <c r="BW1225" s="907">
        <v>17.6</v>
      </c>
      <c r="BX1225" s="908">
        <v>17.7</v>
      </c>
      <c r="BY1225" s="331">
        <f t="shared" si="166"/>
        <v>12.6</v>
      </c>
      <c r="BZ1225" s="340"/>
      <c r="CA1225" s="316"/>
      <c r="CB1225" s="318"/>
      <c r="CC1225" s="318"/>
      <c r="CD1225" s="318"/>
      <c r="CE1225" s="318"/>
      <c r="CF1225" s="318"/>
      <c r="CG1225" s="318"/>
      <c r="CH1225" s="318"/>
      <c r="CI1225" s="318"/>
      <c r="CJ1225" s="463"/>
      <c r="CK1225" s="342"/>
      <c r="CL1225" s="333"/>
      <c r="CM1225" s="872" t="s">
        <v>1926</v>
      </c>
      <c r="CN1225" s="847"/>
      <c r="CO1225" s="847"/>
      <c r="CP1225" s="847"/>
    </row>
    <row r="1226">
      <c r="B1226" s="1029" t="s">
        <v>1916</v>
      </c>
      <c r="C1226" s="1002">
        <v>44586.0</v>
      </c>
      <c r="D1226" s="1030"/>
      <c r="E1226" s="1031">
        <v>5.0</v>
      </c>
      <c r="F1226" s="1005" t="s">
        <v>1928</v>
      </c>
      <c r="G1226" s="1006">
        <v>0.4796875</v>
      </c>
      <c r="H1226" s="1007">
        <v>0.48009259259259257</v>
      </c>
      <c r="I1226" s="1007"/>
      <c r="J1226" s="1028"/>
      <c r="K1226" s="1028">
        <v>0.480787037037037</v>
      </c>
      <c r="L1226" s="323">
        <v>6.944444444444445E-4</v>
      </c>
      <c r="M1226" s="319" t="s">
        <v>166</v>
      </c>
      <c r="N1226" s="1005" t="s">
        <v>187</v>
      </c>
      <c r="O1226" s="1068" t="s">
        <v>205</v>
      </c>
      <c r="P1226" s="1031" t="s">
        <v>213</v>
      </c>
      <c r="Q1226" s="318"/>
      <c r="R1226" s="1069">
        <v>21.5</v>
      </c>
      <c r="S1226" s="1004">
        <v>4.1</v>
      </c>
      <c r="T1226" s="1005">
        <v>2.3</v>
      </c>
      <c r="U1226" s="1070">
        <v>7.0</v>
      </c>
      <c r="V1226" s="1070"/>
      <c r="W1226" s="1070"/>
      <c r="X1226" s="1070"/>
      <c r="Y1226" s="1070"/>
      <c r="Z1226" s="1071" t="s">
        <v>365</v>
      </c>
      <c r="AA1226" s="1071"/>
      <c r="AB1226" s="1071" t="s">
        <v>388</v>
      </c>
      <c r="AC1226" s="1072">
        <v>8.0</v>
      </c>
      <c r="AD1226" s="1031"/>
      <c r="AE1226" s="1031"/>
      <c r="AF1226" s="1031"/>
      <c r="AG1226" s="1031"/>
      <c r="AH1226" s="1031"/>
      <c r="AI1226" s="1031"/>
      <c r="AJ1226" s="1072"/>
      <c r="AK1226" s="1073"/>
      <c r="AL1226" s="1031"/>
      <c r="AM1226" s="1031"/>
      <c r="AN1226" s="1031"/>
      <c r="AO1226" s="1031"/>
      <c r="AP1226" s="1031"/>
      <c r="AQ1226" s="1031"/>
      <c r="AR1226" s="1031"/>
      <c r="AS1226" s="1072"/>
      <c r="AT1226" s="1017" t="s">
        <v>182</v>
      </c>
      <c r="AU1226" s="1005" t="s">
        <v>845</v>
      </c>
      <c r="AV1226" s="330">
        <f>SQRT(($R1226-Infrastructure!J$3)^2+($S1226-Infrastructure!K$3)^2)</f>
        <v>33.01938824</v>
      </c>
      <c r="AW1226" s="331">
        <f>SQRT(($R1226-Infrastructure!J$4)^2+($S1226-Infrastructure!K$4)^2)</f>
        <v>25.74742706</v>
      </c>
      <c r="AX1226" s="331">
        <f>SQRT(($R1226-Infrastructure!J$5)^2+($S1226-Infrastructure!K$5)^2)</f>
        <v>21.82292373</v>
      </c>
      <c r="AY1226" s="331">
        <f>SQRT(($R1226-Infrastructure!J$6)^2+($S1226-Infrastructure!K$6)^2)</f>
        <v>12.01665511</v>
      </c>
      <c r="AZ1226" s="331">
        <f>SQRT(($R1226-Infrastructure!J$7)^2+($S1226-Infrastructure!K$7)^2)</f>
        <v>3.929376541</v>
      </c>
      <c r="BA1226" s="331">
        <f>SQRT(($R1226-Infrastructure!J$8)^2+($S1226-Infrastructure!K$8)^2)</f>
        <v>9.402127419</v>
      </c>
      <c r="BB1226" s="331">
        <f>SQRT(($R1226-Infrastructure!J$9)^2+($S1226-Infrastructure!K$9)^2)</f>
        <v>18.52700731</v>
      </c>
      <c r="BC1226" s="331">
        <f>SQRT(($R1226-Infrastructure!J$10)^2+($S1226-Infrastructure!K$10)^2)</f>
        <v>21.47230775</v>
      </c>
      <c r="BD1226" s="331">
        <f>SQRT(($R1226-Infrastructure!J$11)^2+($S1226-Infrastructure!K$11)^2)</f>
        <v>31.14000642</v>
      </c>
      <c r="BE1226" s="333">
        <f>SQRT(($R1226-Infrastructure!J$12)^2+($S1226-Infrastructure!K$12)^2)</f>
        <v>51.4</v>
      </c>
      <c r="BF1226" s="330">
        <f t="shared" si="161"/>
        <v>3.929376541</v>
      </c>
      <c r="BG1226" s="333">
        <f t="shared" si="162"/>
        <v>51.4</v>
      </c>
      <c r="BH1226" s="943">
        <v>36526.0</v>
      </c>
      <c r="BI1226" s="319" t="s">
        <v>846</v>
      </c>
      <c r="BJ1226" s="319" t="s">
        <v>846</v>
      </c>
      <c r="BK1226" s="319"/>
      <c r="BL1226" s="319" t="s">
        <v>846</v>
      </c>
      <c r="BM1226" s="955"/>
      <c r="BN1226" s="319" t="s">
        <v>846</v>
      </c>
      <c r="BO1226" s="319" t="s">
        <v>846</v>
      </c>
      <c r="BP1226" s="953" t="s">
        <v>846</v>
      </c>
      <c r="BQ1226" s="319" t="s">
        <v>846</v>
      </c>
      <c r="BR1226" s="324" t="s">
        <v>846</v>
      </c>
      <c r="BS1226" s="330">
        <f t="shared" si="163"/>
        <v>9.402127419</v>
      </c>
      <c r="BT1226" s="331">
        <f t="shared" si="164"/>
        <v>51.4</v>
      </c>
      <c r="BU1226" s="920">
        <v>0.4793865740740741</v>
      </c>
      <c r="BV1226" s="903">
        <f t="shared" si="167"/>
        <v>-0.0003009259259</v>
      </c>
      <c r="BW1226" s="907">
        <v>22.3</v>
      </c>
      <c r="BX1226" s="908">
        <v>9.7</v>
      </c>
      <c r="BY1226" s="331">
        <f t="shared" si="166"/>
        <v>5.656854249</v>
      </c>
      <c r="BZ1226" s="340"/>
      <c r="CA1226" s="316"/>
      <c r="CB1226" s="318"/>
      <c r="CC1226" s="318"/>
      <c r="CD1226" s="318"/>
      <c r="CE1226" s="318"/>
      <c r="CF1226" s="318"/>
      <c r="CG1226" s="318"/>
      <c r="CH1226" s="318"/>
      <c r="CI1226" s="318"/>
      <c r="CJ1226" s="463"/>
      <c r="CK1226" s="342"/>
      <c r="CL1226" s="333"/>
      <c r="CM1226" s="872"/>
      <c r="CN1226" s="847"/>
      <c r="CO1226" s="847"/>
      <c r="CP1226" s="847"/>
    </row>
    <row r="1227">
      <c r="B1227" s="1029" t="s">
        <v>1916</v>
      </c>
      <c r="C1227" s="1002">
        <v>44586.0</v>
      </c>
      <c r="D1227" s="1030"/>
      <c r="E1227" s="1031" t="s">
        <v>1844</v>
      </c>
      <c r="F1227" s="1005" t="s">
        <v>1929</v>
      </c>
      <c r="G1227" s="1006">
        <v>0.4830439814814815</v>
      </c>
      <c r="H1227" s="1007">
        <v>0.4833912037037037</v>
      </c>
      <c r="I1227" s="1007"/>
      <c r="J1227" s="1028"/>
      <c r="K1227" s="1028">
        <v>0.48408564814814814</v>
      </c>
      <c r="L1227" s="323">
        <v>6.944444444444445E-4</v>
      </c>
      <c r="M1227" s="319" t="s">
        <v>166</v>
      </c>
      <c r="N1227" s="1005" t="s">
        <v>188</v>
      </c>
      <c r="O1227" s="1068" t="s">
        <v>196</v>
      </c>
      <c r="P1227" s="1031" t="s">
        <v>224</v>
      </c>
      <c r="Q1227" s="318"/>
      <c r="R1227" s="1069">
        <v>21.7</v>
      </c>
      <c r="S1227" s="1004">
        <v>39.5</v>
      </c>
      <c r="T1227" s="1005">
        <v>1.26</v>
      </c>
      <c r="U1227" s="1070">
        <v>25.0</v>
      </c>
      <c r="V1227" s="1070"/>
      <c r="W1227" s="1070"/>
      <c r="X1227" s="1070"/>
      <c r="Y1227" s="1070"/>
      <c r="Z1227" s="1071" t="s">
        <v>387</v>
      </c>
      <c r="AA1227" s="1071"/>
      <c r="AB1227" s="1071" t="s">
        <v>416</v>
      </c>
      <c r="AC1227" s="1072">
        <v>52.5</v>
      </c>
      <c r="AD1227" s="1031"/>
      <c r="AE1227" s="1031"/>
      <c r="AF1227" s="1031"/>
      <c r="AG1227" s="1031"/>
      <c r="AH1227" s="1031"/>
      <c r="AI1227" s="1031"/>
      <c r="AJ1227" s="1072"/>
      <c r="AK1227" s="1073"/>
      <c r="AL1227" s="1031"/>
      <c r="AM1227" s="1031"/>
      <c r="AN1227" s="1031"/>
      <c r="AO1227" s="1031"/>
      <c r="AP1227" s="1031"/>
      <c r="AQ1227" s="1031"/>
      <c r="AR1227" s="1031"/>
      <c r="AS1227" s="1072"/>
      <c r="AT1227" s="1075" t="s">
        <v>183</v>
      </c>
      <c r="AU1227" s="1005" t="s">
        <v>845</v>
      </c>
      <c r="AV1227" s="330">
        <f>SQRT(($R1227-Infrastructure!J$3)^2+($S1227-Infrastructure!K$3)^2)</f>
        <v>24.42048321</v>
      </c>
      <c r="AW1227" s="331">
        <f>SQRT(($R1227-Infrastructure!J$4)^2+($S1227-Infrastructure!K$4)^2)</f>
        <v>30.90129447</v>
      </c>
      <c r="AX1227" s="331">
        <f>SQRT(($R1227-Infrastructure!J$5)^2+($S1227-Infrastructure!K$5)^2)</f>
        <v>40.83331973</v>
      </c>
      <c r="AY1227" s="331">
        <f>SQRT(($R1227-Infrastructure!J$6)^2+($S1227-Infrastructure!K$6)^2)</f>
        <v>40.88031311</v>
      </c>
      <c r="AZ1227" s="331">
        <f>SQRT(($R1227-Infrastructure!J$7)^2+($S1227-Infrastructure!K$7)^2)</f>
        <v>39.21836305</v>
      </c>
      <c r="BA1227" s="331">
        <f>SQRT(($R1227-Infrastructure!J$8)^2+($S1227-Infrastructure!K$8)^2)</f>
        <v>40.08989898</v>
      </c>
      <c r="BB1227" s="331">
        <f>SQRT(($R1227-Infrastructure!J$9)^2+($S1227-Infrastructure!K$9)^2)</f>
        <v>38.96472764</v>
      </c>
      <c r="BC1227" s="331">
        <f>SQRT(($R1227-Infrastructure!J$10)^2+($S1227-Infrastructure!K$10)^2)</f>
        <v>30.58005886</v>
      </c>
      <c r="BD1227" s="331">
        <f>SQRT(($R1227-Infrastructure!J$11)^2+($S1227-Infrastructure!K$11)^2)</f>
        <v>21.27204739</v>
      </c>
      <c r="BE1227" s="333">
        <f>SQRT(($R1227-Infrastructure!J$12)^2+($S1227-Infrastructure!K$12)^2)</f>
        <v>16.00124995</v>
      </c>
      <c r="BF1227" s="330">
        <f t="shared" si="161"/>
        <v>16.00124995</v>
      </c>
      <c r="BG1227" s="333">
        <f t="shared" si="162"/>
        <v>40.88031311</v>
      </c>
      <c r="BH1227" s="943">
        <v>36526.0</v>
      </c>
      <c r="BI1227" s="319" t="s">
        <v>846</v>
      </c>
      <c r="BJ1227" s="319" t="s">
        <v>846</v>
      </c>
      <c r="BK1227" s="319"/>
      <c r="BL1227" s="319"/>
      <c r="BM1227" s="955"/>
      <c r="BN1227" s="319"/>
      <c r="BO1227" s="319"/>
      <c r="BP1227" s="953" t="s">
        <v>846</v>
      </c>
      <c r="BQ1227" s="319" t="s">
        <v>846</v>
      </c>
      <c r="BR1227" s="324" t="s">
        <v>846</v>
      </c>
      <c r="BS1227" s="330">
        <f t="shared" si="163"/>
        <v>16.00124995</v>
      </c>
      <c r="BT1227" s="331">
        <f t="shared" si="164"/>
        <v>30.90129447</v>
      </c>
      <c r="BU1227" s="920">
        <v>0.48260416666666667</v>
      </c>
      <c r="BV1227" s="903">
        <f t="shared" si="167"/>
        <v>-0.0004398148148</v>
      </c>
      <c r="BW1227" s="907">
        <v>17.0</v>
      </c>
      <c r="BX1227" s="908">
        <v>30.0</v>
      </c>
      <c r="BY1227" s="331">
        <f t="shared" si="166"/>
        <v>10.59905656</v>
      </c>
      <c r="BZ1227" s="340"/>
      <c r="CA1227" s="316"/>
      <c r="CB1227" s="318"/>
      <c r="CC1227" s="318"/>
      <c r="CD1227" s="318"/>
      <c r="CE1227" s="318"/>
      <c r="CF1227" s="318"/>
      <c r="CG1227" s="318"/>
      <c r="CH1227" s="318"/>
      <c r="CI1227" s="318"/>
      <c r="CJ1227" s="463"/>
      <c r="CK1227" s="342"/>
      <c r="CL1227" s="333"/>
      <c r="CM1227" s="872"/>
      <c r="CN1227" s="847"/>
      <c r="CO1227" s="847"/>
      <c r="CP1227" s="847"/>
    </row>
    <row r="1228">
      <c r="B1228" s="1029" t="s">
        <v>1916</v>
      </c>
      <c r="C1228" s="1002">
        <v>44586.0</v>
      </c>
      <c r="D1228" s="1030"/>
      <c r="E1228" s="1031" t="s">
        <v>1865</v>
      </c>
      <c r="F1228" s="1005" t="s">
        <v>1930</v>
      </c>
      <c r="G1228" s="1006">
        <v>0.48408564814814814</v>
      </c>
      <c r="H1228" s="1007">
        <v>0.48454861111111114</v>
      </c>
      <c r="I1228" s="1007"/>
      <c r="J1228" s="1028"/>
      <c r="K1228" s="1028">
        <v>0.4852430555555556</v>
      </c>
      <c r="L1228" s="323">
        <v>6.944444444444445E-4</v>
      </c>
      <c r="M1228" s="319" t="s">
        <v>166</v>
      </c>
      <c r="N1228" s="1005" t="s">
        <v>188</v>
      </c>
      <c r="O1228" s="1068" t="s">
        <v>196</v>
      </c>
      <c r="P1228" s="1031" t="s">
        <v>224</v>
      </c>
      <c r="Q1228" s="318"/>
      <c r="R1228" s="1069">
        <v>21.7</v>
      </c>
      <c r="S1228" s="1004">
        <v>39.5</v>
      </c>
      <c r="T1228" s="1005">
        <v>1.26</v>
      </c>
      <c r="U1228" s="1070">
        <v>30.0</v>
      </c>
      <c r="V1228" s="1070"/>
      <c r="W1228" s="1070"/>
      <c r="X1228" s="1070"/>
      <c r="Y1228" s="1070"/>
      <c r="Z1228" s="1071" t="s">
        <v>387</v>
      </c>
      <c r="AA1228" s="1071"/>
      <c r="AB1228" s="1071" t="s">
        <v>416</v>
      </c>
      <c r="AC1228" s="1072">
        <v>52.5</v>
      </c>
      <c r="AD1228" s="1031"/>
      <c r="AE1228" s="1031"/>
      <c r="AF1228" s="1031"/>
      <c r="AG1228" s="1031"/>
      <c r="AH1228" s="1031"/>
      <c r="AI1228" s="1031"/>
      <c r="AJ1228" s="1072"/>
      <c r="AK1228" s="1073"/>
      <c r="AL1228" s="1031"/>
      <c r="AM1228" s="1031"/>
      <c r="AN1228" s="1031"/>
      <c r="AO1228" s="1031"/>
      <c r="AP1228" s="1031"/>
      <c r="AQ1228" s="1031"/>
      <c r="AR1228" s="1031"/>
      <c r="AS1228" s="1072"/>
      <c r="AT1228" s="1075" t="s">
        <v>183</v>
      </c>
      <c r="AU1228" s="1005" t="s">
        <v>845</v>
      </c>
      <c r="AV1228" s="330">
        <f>SQRT(($R1228-Infrastructure!J$3)^2+($S1228-Infrastructure!K$3)^2)</f>
        <v>24.42048321</v>
      </c>
      <c r="AW1228" s="331">
        <f>SQRT(($R1228-Infrastructure!J$4)^2+($S1228-Infrastructure!K$4)^2)</f>
        <v>30.90129447</v>
      </c>
      <c r="AX1228" s="331">
        <f>SQRT(($R1228-Infrastructure!J$5)^2+($S1228-Infrastructure!K$5)^2)</f>
        <v>40.83331973</v>
      </c>
      <c r="AY1228" s="331">
        <f>SQRT(($R1228-Infrastructure!J$6)^2+($S1228-Infrastructure!K$6)^2)</f>
        <v>40.88031311</v>
      </c>
      <c r="AZ1228" s="331">
        <f>SQRT(($R1228-Infrastructure!J$7)^2+($S1228-Infrastructure!K$7)^2)</f>
        <v>39.21836305</v>
      </c>
      <c r="BA1228" s="331">
        <f>SQRT(($R1228-Infrastructure!J$8)^2+($S1228-Infrastructure!K$8)^2)</f>
        <v>40.08989898</v>
      </c>
      <c r="BB1228" s="331">
        <f>SQRT(($R1228-Infrastructure!J$9)^2+($S1228-Infrastructure!K$9)^2)</f>
        <v>38.96472764</v>
      </c>
      <c r="BC1228" s="331">
        <f>SQRT(($R1228-Infrastructure!J$10)^2+($S1228-Infrastructure!K$10)^2)</f>
        <v>30.58005886</v>
      </c>
      <c r="BD1228" s="331">
        <f>SQRT(($R1228-Infrastructure!J$11)^2+($S1228-Infrastructure!K$11)^2)</f>
        <v>21.27204739</v>
      </c>
      <c r="BE1228" s="333">
        <f>SQRT(($R1228-Infrastructure!J$12)^2+($S1228-Infrastructure!K$12)^2)</f>
        <v>16.00124995</v>
      </c>
      <c r="BF1228" s="330">
        <f t="shared" si="161"/>
        <v>16.00124995</v>
      </c>
      <c r="BG1228" s="333">
        <f t="shared" si="162"/>
        <v>40.88031311</v>
      </c>
      <c r="BH1228" s="943">
        <v>36526.0</v>
      </c>
      <c r="BI1228" s="319" t="s">
        <v>846</v>
      </c>
      <c r="BJ1228" s="319" t="s">
        <v>846</v>
      </c>
      <c r="BK1228" s="319"/>
      <c r="BL1228" s="319"/>
      <c r="BM1228" s="955"/>
      <c r="BN1228" s="319"/>
      <c r="BO1228" s="319"/>
      <c r="BP1228" s="953" t="s">
        <v>846</v>
      </c>
      <c r="BQ1228" s="319" t="s">
        <v>846</v>
      </c>
      <c r="BR1228" s="324" t="s">
        <v>846</v>
      </c>
      <c r="BS1228" s="330">
        <f t="shared" si="163"/>
        <v>16.00124995</v>
      </c>
      <c r="BT1228" s="331">
        <f t="shared" si="164"/>
        <v>30.90129447</v>
      </c>
      <c r="BU1228" s="920">
        <v>0.4840625</v>
      </c>
      <c r="BV1228" s="903">
        <f t="shared" si="167"/>
        <v>-0.00002314814815</v>
      </c>
      <c r="BW1228" s="907">
        <v>18.0</v>
      </c>
      <c r="BX1228" s="908">
        <v>28.6</v>
      </c>
      <c r="BY1228" s="331">
        <f t="shared" si="166"/>
        <v>11.51086443</v>
      </c>
      <c r="BZ1228" s="340"/>
      <c r="CA1228" s="316"/>
      <c r="CB1228" s="318"/>
      <c r="CC1228" s="318"/>
      <c r="CD1228" s="318"/>
      <c r="CE1228" s="318"/>
      <c r="CF1228" s="318"/>
      <c r="CG1228" s="318"/>
      <c r="CH1228" s="318"/>
      <c r="CI1228" s="318"/>
      <c r="CJ1228" s="463"/>
      <c r="CK1228" s="342"/>
      <c r="CL1228" s="333"/>
      <c r="CM1228" s="872"/>
      <c r="CN1228" s="847"/>
      <c r="CO1228" s="847"/>
      <c r="CP1228" s="847"/>
    </row>
    <row r="1229">
      <c r="B1229" s="1029" t="s">
        <v>1916</v>
      </c>
      <c r="C1229" s="1002">
        <v>44586.0</v>
      </c>
      <c r="D1229" s="1030"/>
      <c r="E1229" s="1031" t="s">
        <v>1888</v>
      </c>
      <c r="F1229" s="1005" t="s">
        <v>1931</v>
      </c>
      <c r="G1229" s="1006">
        <v>0.49774305555555554</v>
      </c>
      <c r="H1229" s="1007">
        <v>0.4980324074074074</v>
      </c>
      <c r="I1229" s="1007"/>
      <c r="J1229" s="1028"/>
      <c r="K1229" s="1028">
        <v>0.4992476851851852</v>
      </c>
      <c r="L1229" s="323">
        <v>0.0012152777777777778</v>
      </c>
      <c r="M1229" s="319" t="s">
        <v>166</v>
      </c>
      <c r="N1229" s="1005" t="s">
        <v>188</v>
      </c>
      <c r="O1229" s="1068" t="s">
        <v>196</v>
      </c>
      <c r="P1229" s="1031" t="s">
        <v>224</v>
      </c>
      <c r="Q1229" s="318"/>
      <c r="R1229" s="1069">
        <v>21.7</v>
      </c>
      <c r="S1229" s="1004">
        <v>39.5</v>
      </c>
      <c r="T1229" s="1005">
        <v>1.26</v>
      </c>
      <c r="U1229" s="1070">
        <v>25.0</v>
      </c>
      <c r="V1229" s="1070"/>
      <c r="W1229" s="1070"/>
      <c r="X1229" s="1070"/>
      <c r="Y1229" s="1070"/>
      <c r="Z1229" s="1071" t="s">
        <v>387</v>
      </c>
      <c r="AA1229" s="1071"/>
      <c r="AB1229" s="1071" t="s">
        <v>416</v>
      </c>
      <c r="AC1229" s="1072">
        <v>52.5</v>
      </c>
      <c r="AD1229" s="1031"/>
      <c r="AE1229" s="1031"/>
      <c r="AF1229" s="1031"/>
      <c r="AG1229" s="1031"/>
      <c r="AH1229" s="1031"/>
      <c r="AI1229" s="1031"/>
      <c r="AJ1229" s="1072"/>
      <c r="AK1229" s="1073"/>
      <c r="AL1229" s="1031"/>
      <c r="AM1229" s="1031"/>
      <c r="AN1229" s="1031"/>
      <c r="AO1229" s="1031"/>
      <c r="AP1229" s="1031"/>
      <c r="AQ1229" s="1031"/>
      <c r="AR1229" s="1031"/>
      <c r="AS1229" s="1072"/>
      <c r="AT1229" s="1075" t="s">
        <v>183</v>
      </c>
      <c r="AU1229" s="1005" t="s">
        <v>845</v>
      </c>
      <c r="AV1229" s="330">
        <f>SQRT(($R1229-Infrastructure!J$3)^2+($S1229-Infrastructure!K$3)^2)</f>
        <v>24.42048321</v>
      </c>
      <c r="AW1229" s="331">
        <f>SQRT(($R1229-Infrastructure!J$4)^2+($S1229-Infrastructure!K$4)^2)</f>
        <v>30.90129447</v>
      </c>
      <c r="AX1229" s="331">
        <f>SQRT(($R1229-Infrastructure!J$5)^2+($S1229-Infrastructure!K$5)^2)</f>
        <v>40.83331973</v>
      </c>
      <c r="AY1229" s="331">
        <f>SQRT(($R1229-Infrastructure!J$6)^2+($S1229-Infrastructure!K$6)^2)</f>
        <v>40.88031311</v>
      </c>
      <c r="AZ1229" s="331">
        <f>SQRT(($R1229-Infrastructure!J$7)^2+($S1229-Infrastructure!K$7)^2)</f>
        <v>39.21836305</v>
      </c>
      <c r="BA1229" s="331">
        <f>SQRT(($R1229-Infrastructure!J$8)^2+($S1229-Infrastructure!K$8)^2)</f>
        <v>40.08989898</v>
      </c>
      <c r="BB1229" s="331">
        <f>SQRT(($R1229-Infrastructure!J$9)^2+($S1229-Infrastructure!K$9)^2)</f>
        <v>38.96472764</v>
      </c>
      <c r="BC1229" s="331">
        <f>SQRT(($R1229-Infrastructure!J$10)^2+($S1229-Infrastructure!K$10)^2)</f>
        <v>30.58005886</v>
      </c>
      <c r="BD1229" s="331">
        <f>SQRT(($R1229-Infrastructure!J$11)^2+($S1229-Infrastructure!K$11)^2)</f>
        <v>21.27204739</v>
      </c>
      <c r="BE1229" s="333">
        <f>SQRT(($R1229-Infrastructure!J$12)^2+($S1229-Infrastructure!K$12)^2)</f>
        <v>16.00124995</v>
      </c>
      <c r="BF1229" s="330">
        <f t="shared" si="161"/>
        <v>16.00124995</v>
      </c>
      <c r="BG1229" s="333">
        <f t="shared" si="162"/>
        <v>40.88031311</v>
      </c>
      <c r="BH1229" s="943">
        <v>36526.0</v>
      </c>
      <c r="BI1229" s="319" t="s">
        <v>846</v>
      </c>
      <c r="BJ1229" s="319" t="s">
        <v>846</v>
      </c>
      <c r="BK1229" s="319"/>
      <c r="BL1229" s="319"/>
      <c r="BM1229" s="955"/>
      <c r="BN1229" s="319"/>
      <c r="BO1229" s="319"/>
      <c r="BP1229" s="953" t="s">
        <v>846</v>
      </c>
      <c r="BQ1229" s="319" t="s">
        <v>846</v>
      </c>
      <c r="BR1229" s="324" t="s">
        <v>846</v>
      </c>
      <c r="BS1229" s="330">
        <f t="shared" si="163"/>
        <v>16.00124995</v>
      </c>
      <c r="BT1229" s="331">
        <f t="shared" si="164"/>
        <v>30.90129447</v>
      </c>
      <c r="BU1229" s="920">
        <v>0.4976041666666667</v>
      </c>
      <c r="BV1229" s="903">
        <f t="shared" si="167"/>
        <v>-0.0001388888889</v>
      </c>
      <c r="BW1229" s="907">
        <v>16.7</v>
      </c>
      <c r="BX1229" s="908">
        <v>30.0</v>
      </c>
      <c r="BY1229" s="331">
        <f t="shared" si="166"/>
        <v>10.73545528</v>
      </c>
      <c r="BZ1229" s="340"/>
      <c r="CA1229" s="316"/>
      <c r="CB1229" s="318"/>
      <c r="CC1229" s="318"/>
      <c r="CD1229" s="318"/>
      <c r="CE1229" s="318"/>
      <c r="CF1229" s="318"/>
      <c r="CG1229" s="318"/>
      <c r="CH1229" s="318"/>
      <c r="CI1229" s="318"/>
      <c r="CJ1229" s="463"/>
      <c r="CK1229" s="342"/>
      <c r="CL1229" s="333"/>
      <c r="CM1229" s="872"/>
      <c r="CN1229" s="847"/>
      <c r="CO1229" s="847"/>
      <c r="CP1229" s="847"/>
    </row>
    <row r="1230">
      <c r="B1230" s="1029" t="s">
        <v>1916</v>
      </c>
      <c r="C1230" s="1002">
        <v>44586.0</v>
      </c>
      <c r="D1230" s="1030"/>
      <c r="E1230" s="1031" t="s">
        <v>1481</v>
      </c>
      <c r="F1230" s="1005" t="s">
        <v>1932</v>
      </c>
      <c r="G1230" s="1006">
        <v>0.5027199074074075</v>
      </c>
      <c r="H1230" s="1007">
        <v>0.5028935185185185</v>
      </c>
      <c r="I1230" s="1007"/>
      <c r="J1230" s="1028"/>
      <c r="K1230" s="1028">
        <v>0.5035879629629629</v>
      </c>
      <c r="L1230" s="323">
        <v>6.944444444444445E-4</v>
      </c>
      <c r="M1230" s="319" t="s">
        <v>166</v>
      </c>
      <c r="N1230" s="1005" t="s">
        <v>188</v>
      </c>
      <c r="O1230" s="1068" t="s">
        <v>378</v>
      </c>
      <c r="P1230" s="1031" t="s">
        <v>225</v>
      </c>
      <c r="Q1230" s="318"/>
      <c r="R1230" s="1069">
        <v>22.7</v>
      </c>
      <c r="S1230" s="1004">
        <v>39.7</v>
      </c>
      <c r="T1230" s="1005">
        <v>1.02</v>
      </c>
      <c r="U1230" s="1070">
        <v>3.0</v>
      </c>
      <c r="V1230" s="1070"/>
      <c r="W1230" s="1070"/>
      <c r="X1230" s="1070"/>
      <c r="Y1230" s="1070"/>
      <c r="Z1230" s="1071" t="s">
        <v>1140</v>
      </c>
      <c r="AA1230" s="1071"/>
      <c r="AB1230" s="1071" t="s">
        <v>337</v>
      </c>
      <c r="AC1230" s="1072">
        <v>2.5</v>
      </c>
      <c r="AD1230" s="1031"/>
      <c r="AE1230" s="1031"/>
      <c r="AF1230" s="1031"/>
      <c r="AG1230" s="1031"/>
      <c r="AH1230" s="1031"/>
      <c r="AI1230" s="1031"/>
      <c r="AJ1230" s="1072"/>
      <c r="AK1230" s="1073"/>
      <c r="AL1230" s="1031"/>
      <c r="AM1230" s="1031"/>
      <c r="AN1230" s="1031"/>
      <c r="AO1230" s="1031"/>
      <c r="AP1230" s="1031"/>
      <c r="AQ1230" s="1031"/>
      <c r="AR1230" s="1031"/>
      <c r="AS1230" s="1072"/>
      <c r="AT1230" s="1017" t="s">
        <v>182</v>
      </c>
      <c r="AU1230" s="1005" t="s">
        <v>845</v>
      </c>
      <c r="AV1230" s="330">
        <f>SQRT(($R1230-Infrastructure!J$3)^2+($S1230-Infrastructure!K$3)^2)</f>
        <v>25.40944706</v>
      </c>
      <c r="AW1230" s="331">
        <f>SQRT(($R1230-Infrastructure!J$4)^2+($S1230-Infrastructure!K$4)^2)</f>
        <v>31.75862088</v>
      </c>
      <c r="AX1230" s="331">
        <f>SQRT(($R1230-Infrastructure!J$5)^2+($S1230-Infrastructure!K$5)^2)</f>
        <v>41.54708173</v>
      </c>
      <c r="AY1230" s="331">
        <f>SQRT(($R1230-Infrastructure!J$6)^2+($S1230-Infrastructure!K$6)^2)</f>
        <v>41.36568626</v>
      </c>
      <c r="AZ1230" s="331">
        <f>SQRT(($R1230-Infrastructure!J$7)^2+($S1230-Infrastructure!K$7)^2)</f>
        <v>39.46137352</v>
      </c>
      <c r="BA1230" s="331">
        <f>SQRT(($R1230-Infrastructure!J$8)^2+($S1230-Infrastructure!K$8)^2)</f>
        <v>40.08890121</v>
      </c>
      <c r="BB1230" s="331">
        <f>SQRT(($R1230-Infrastructure!J$9)^2+($S1230-Infrastructure!K$9)^2)</f>
        <v>38.68397601</v>
      </c>
      <c r="BC1230" s="331">
        <f>SQRT(($R1230-Infrastructure!J$10)^2+($S1230-Infrastructure!K$10)^2)</f>
        <v>30.15592811</v>
      </c>
      <c r="BD1230" s="331">
        <f>SQRT(($R1230-Infrastructure!J$11)^2+($S1230-Infrastructure!K$11)^2)</f>
        <v>20.51194774</v>
      </c>
      <c r="BE1230" s="333">
        <f>SQRT(($R1230-Infrastructure!J$12)^2+($S1230-Infrastructure!K$12)^2)</f>
        <v>15.84550409</v>
      </c>
      <c r="BF1230" s="330">
        <f t="shared" si="161"/>
        <v>15.84550409</v>
      </c>
      <c r="BG1230" s="333">
        <f t="shared" si="162"/>
        <v>41.54708173</v>
      </c>
      <c r="BH1230" s="943">
        <v>36526.0</v>
      </c>
      <c r="BI1230" s="319" t="s">
        <v>846</v>
      </c>
      <c r="BJ1230" s="319" t="s">
        <v>846</v>
      </c>
      <c r="BK1230" s="319" t="s">
        <v>846</v>
      </c>
      <c r="BL1230" s="319" t="s">
        <v>846</v>
      </c>
      <c r="BM1230" s="955"/>
      <c r="BN1230" s="319" t="s">
        <v>846</v>
      </c>
      <c r="BO1230" s="319" t="s">
        <v>846</v>
      </c>
      <c r="BP1230" s="953" t="s">
        <v>846</v>
      </c>
      <c r="BQ1230" s="319" t="s">
        <v>846</v>
      </c>
      <c r="BR1230" s="324" t="s">
        <v>846</v>
      </c>
      <c r="BS1230" s="330">
        <f t="shared" si="163"/>
        <v>15.84550409</v>
      </c>
      <c r="BT1230" s="331">
        <f t="shared" si="164"/>
        <v>41.54708173</v>
      </c>
      <c r="BU1230" s="920">
        <v>0.5027777777777778</v>
      </c>
      <c r="BV1230" s="903">
        <f t="shared" si="167"/>
        <v>0.00005787037037</v>
      </c>
      <c r="BW1230" s="907">
        <v>17.9</v>
      </c>
      <c r="BX1230" s="908">
        <v>21.4</v>
      </c>
      <c r="BY1230" s="331">
        <f t="shared" si="166"/>
        <v>18.91903803</v>
      </c>
      <c r="BZ1230" s="340"/>
      <c r="CA1230" s="316"/>
      <c r="CB1230" s="318"/>
      <c r="CC1230" s="318"/>
      <c r="CD1230" s="318"/>
      <c r="CE1230" s="318"/>
      <c r="CF1230" s="318"/>
      <c r="CG1230" s="318"/>
      <c r="CH1230" s="318"/>
      <c r="CI1230" s="318"/>
      <c r="CJ1230" s="463"/>
      <c r="CK1230" s="342"/>
      <c r="CL1230" s="333"/>
      <c r="CM1230" s="872"/>
      <c r="CN1230" s="847"/>
      <c r="CO1230" s="847"/>
      <c r="CP1230" s="847"/>
    </row>
    <row r="1231">
      <c r="B1231" s="1029" t="s">
        <v>1916</v>
      </c>
      <c r="C1231" s="1002">
        <v>44586.0</v>
      </c>
      <c r="D1231" s="1030"/>
      <c r="E1231" s="1031" t="s">
        <v>1483</v>
      </c>
      <c r="F1231" s="1005" t="s">
        <v>1933</v>
      </c>
      <c r="G1231" s="1006">
        <v>0.5038773148148148</v>
      </c>
      <c r="H1231" s="1007">
        <v>0.5039930555555555</v>
      </c>
      <c r="I1231" s="1007"/>
      <c r="J1231" s="1028"/>
      <c r="K1231" s="1028">
        <v>0.5046875</v>
      </c>
      <c r="L1231" s="323">
        <v>6.944444444444445E-4</v>
      </c>
      <c r="M1231" s="319" t="s">
        <v>166</v>
      </c>
      <c r="N1231" s="1005" t="s">
        <v>188</v>
      </c>
      <c r="O1231" s="1068" t="s">
        <v>378</v>
      </c>
      <c r="P1231" s="1031" t="s">
        <v>225</v>
      </c>
      <c r="Q1231" s="318"/>
      <c r="R1231" s="1069">
        <v>22.7</v>
      </c>
      <c r="S1231" s="1004">
        <v>39.7</v>
      </c>
      <c r="T1231" s="1005">
        <v>1.02</v>
      </c>
      <c r="U1231" s="1070">
        <v>2.0</v>
      </c>
      <c r="V1231" s="1070"/>
      <c r="W1231" s="1070"/>
      <c r="X1231" s="1070"/>
      <c r="Y1231" s="1070"/>
      <c r="Z1231" s="1071" t="s">
        <v>1140</v>
      </c>
      <c r="AA1231" s="1071"/>
      <c r="AB1231" s="1071" t="s">
        <v>337</v>
      </c>
      <c r="AC1231" s="1072">
        <v>2.5</v>
      </c>
      <c r="AD1231" s="1031"/>
      <c r="AE1231" s="1031"/>
      <c r="AF1231" s="1031"/>
      <c r="AG1231" s="1031"/>
      <c r="AH1231" s="1031"/>
      <c r="AI1231" s="1031"/>
      <c r="AJ1231" s="1072"/>
      <c r="AK1231" s="1073"/>
      <c r="AL1231" s="1031"/>
      <c r="AM1231" s="1031"/>
      <c r="AN1231" s="1031"/>
      <c r="AO1231" s="1031"/>
      <c r="AP1231" s="1031"/>
      <c r="AQ1231" s="1031"/>
      <c r="AR1231" s="1031"/>
      <c r="AS1231" s="1072"/>
      <c r="AT1231" s="1017" t="s">
        <v>182</v>
      </c>
      <c r="AU1231" s="1005" t="s">
        <v>845</v>
      </c>
      <c r="AV1231" s="330">
        <f>SQRT(($R1231-Infrastructure!J$3)^2+($S1231-Infrastructure!K$3)^2)</f>
        <v>25.40944706</v>
      </c>
      <c r="AW1231" s="331">
        <f>SQRT(($R1231-Infrastructure!J$4)^2+($S1231-Infrastructure!K$4)^2)</f>
        <v>31.75862088</v>
      </c>
      <c r="AX1231" s="331">
        <f>SQRT(($R1231-Infrastructure!J$5)^2+($S1231-Infrastructure!K$5)^2)</f>
        <v>41.54708173</v>
      </c>
      <c r="AY1231" s="331">
        <f>SQRT(($R1231-Infrastructure!J$6)^2+($S1231-Infrastructure!K$6)^2)</f>
        <v>41.36568626</v>
      </c>
      <c r="AZ1231" s="331">
        <f>SQRT(($R1231-Infrastructure!J$7)^2+($S1231-Infrastructure!K$7)^2)</f>
        <v>39.46137352</v>
      </c>
      <c r="BA1231" s="331">
        <f>SQRT(($R1231-Infrastructure!J$8)^2+($S1231-Infrastructure!K$8)^2)</f>
        <v>40.08890121</v>
      </c>
      <c r="BB1231" s="331">
        <f>SQRT(($R1231-Infrastructure!J$9)^2+($S1231-Infrastructure!K$9)^2)</f>
        <v>38.68397601</v>
      </c>
      <c r="BC1231" s="331">
        <f>SQRT(($R1231-Infrastructure!J$10)^2+($S1231-Infrastructure!K$10)^2)</f>
        <v>30.15592811</v>
      </c>
      <c r="BD1231" s="331">
        <f>SQRT(($R1231-Infrastructure!J$11)^2+($S1231-Infrastructure!K$11)^2)</f>
        <v>20.51194774</v>
      </c>
      <c r="BE1231" s="333">
        <f>SQRT(($R1231-Infrastructure!J$12)^2+($S1231-Infrastructure!K$12)^2)</f>
        <v>15.84550409</v>
      </c>
      <c r="BF1231" s="330">
        <f t="shared" si="161"/>
        <v>15.84550409</v>
      </c>
      <c r="BG1231" s="333">
        <f t="shared" si="162"/>
        <v>41.54708173</v>
      </c>
      <c r="BH1231" s="943">
        <v>36526.0</v>
      </c>
      <c r="BI1231" s="319" t="s">
        <v>846</v>
      </c>
      <c r="BJ1231" s="319" t="s">
        <v>846</v>
      </c>
      <c r="BK1231" s="319" t="s">
        <v>846</v>
      </c>
      <c r="BL1231" s="319"/>
      <c r="BM1231" s="955"/>
      <c r="BN1231" s="319"/>
      <c r="BO1231" s="319"/>
      <c r="BP1231" s="953" t="s">
        <v>846</v>
      </c>
      <c r="BQ1231" s="319" t="s">
        <v>846</v>
      </c>
      <c r="BR1231" s="324" t="s">
        <v>846</v>
      </c>
      <c r="BS1231" s="330">
        <f t="shared" si="163"/>
        <v>15.84550409</v>
      </c>
      <c r="BT1231" s="331">
        <f t="shared" si="164"/>
        <v>41.54708173</v>
      </c>
      <c r="BU1231" s="920">
        <v>0.5039351851851852</v>
      </c>
      <c r="BV1231" s="903">
        <f t="shared" si="167"/>
        <v>0.00005787037037</v>
      </c>
      <c r="BW1231" s="907">
        <v>17.5</v>
      </c>
      <c r="BX1231" s="908">
        <v>27.1</v>
      </c>
      <c r="BY1231" s="331">
        <f t="shared" si="166"/>
        <v>13.63084737</v>
      </c>
      <c r="BZ1231" s="340"/>
      <c r="CA1231" s="316"/>
      <c r="CB1231" s="318"/>
      <c r="CC1231" s="318"/>
      <c r="CD1231" s="318"/>
      <c r="CE1231" s="318"/>
      <c r="CF1231" s="318"/>
      <c r="CG1231" s="318"/>
      <c r="CH1231" s="318"/>
      <c r="CI1231" s="318"/>
      <c r="CJ1231" s="463"/>
      <c r="CK1231" s="342"/>
      <c r="CL1231" s="333"/>
      <c r="CM1231" s="872"/>
      <c r="CN1231" s="847"/>
      <c r="CO1231" s="847"/>
      <c r="CP1231" s="847"/>
    </row>
    <row r="1232">
      <c r="B1232" s="1029" t="s">
        <v>1916</v>
      </c>
      <c r="C1232" s="1002">
        <v>44586.0</v>
      </c>
      <c r="D1232" s="1030"/>
      <c r="E1232" s="1031" t="s">
        <v>1485</v>
      </c>
      <c r="F1232" s="1005" t="s">
        <v>1934</v>
      </c>
      <c r="G1232" s="1006">
        <v>0.5050347222222222</v>
      </c>
      <c r="H1232" s="1007">
        <v>0.5052083333333334</v>
      </c>
      <c r="I1232" s="1007"/>
      <c r="J1232" s="1028"/>
      <c r="K1232" s="1028">
        <v>0.5059027777777778</v>
      </c>
      <c r="L1232" s="323">
        <v>6.944444444444445E-4</v>
      </c>
      <c r="M1232" s="319" t="s">
        <v>166</v>
      </c>
      <c r="N1232" s="1005" t="s">
        <v>188</v>
      </c>
      <c r="O1232" s="1068" t="s">
        <v>378</v>
      </c>
      <c r="P1232" s="1031" t="s">
        <v>225</v>
      </c>
      <c r="Q1232" s="318"/>
      <c r="R1232" s="1069">
        <v>22.7</v>
      </c>
      <c r="S1232" s="1004">
        <v>39.7</v>
      </c>
      <c r="T1232" s="1005">
        <v>1.02</v>
      </c>
      <c r="U1232" s="1070">
        <v>1.0</v>
      </c>
      <c r="V1232" s="1070"/>
      <c r="W1232" s="1070"/>
      <c r="X1232" s="1070"/>
      <c r="Y1232" s="1070"/>
      <c r="Z1232" s="1071" t="s">
        <v>1140</v>
      </c>
      <c r="AA1232" s="1071"/>
      <c r="AB1232" s="1071" t="s">
        <v>337</v>
      </c>
      <c r="AC1232" s="1072">
        <v>2.5</v>
      </c>
      <c r="AD1232" s="1031"/>
      <c r="AE1232" s="1031"/>
      <c r="AF1232" s="1031"/>
      <c r="AG1232" s="1031"/>
      <c r="AH1232" s="1031"/>
      <c r="AI1232" s="1031"/>
      <c r="AJ1232" s="1072"/>
      <c r="AK1232" s="1073"/>
      <c r="AL1232" s="1031"/>
      <c r="AM1232" s="1031"/>
      <c r="AN1232" s="1031"/>
      <c r="AO1232" s="1031"/>
      <c r="AP1232" s="1031"/>
      <c r="AQ1232" s="1031"/>
      <c r="AR1232" s="1031"/>
      <c r="AS1232" s="1072"/>
      <c r="AT1232" s="1075" t="s">
        <v>182</v>
      </c>
      <c r="AU1232" s="1005" t="s">
        <v>845</v>
      </c>
      <c r="AV1232" s="330">
        <f>SQRT(($R1232-Infrastructure!J$3)^2+($S1232-Infrastructure!K$3)^2)</f>
        <v>25.40944706</v>
      </c>
      <c r="AW1232" s="331">
        <f>SQRT(($R1232-Infrastructure!J$4)^2+($S1232-Infrastructure!K$4)^2)</f>
        <v>31.75862088</v>
      </c>
      <c r="AX1232" s="331">
        <f>SQRT(($R1232-Infrastructure!J$5)^2+($S1232-Infrastructure!K$5)^2)</f>
        <v>41.54708173</v>
      </c>
      <c r="AY1232" s="331">
        <f>SQRT(($R1232-Infrastructure!J$6)^2+($S1232-Infrastructure!K$6)^2)</f>
        <v>41.36568626</v>
      </c>
      <c r="AZ1232" s="331">
        <f>SQRT(($R1232-Infrastructure!J$7)^2+($S1232-Infrastructure!K$7)^2)</f>
        <v>39.46137352</v>
      </c>
      <c r="BA1232" s="331">
        <f>SQRT(($R1232-Infrastructure!J$8)^2+($S1232-Infrastructure!K$8)^2)</f>
        <v>40.08890121</v>
      </c>
      <c r="BB1232" s="331">
        <f>SQRT(($R1232-Infrastructure!J$9)^2+($S1232-Infrastructure!K$9)^2)</f>
        <v>38.68397601</v>
      </c>
      <c r="BC1232" s="331">
        <f>SQRT(($R1232-Infrastructure!J$10)^2+($S1232-Infrastructure!K$10)^2)</f>
        <v>30.15592811</v>
      </c>
      <c r="BD1232" s="331">
        <f>SQRT(($R1232-Infrastructure!J$11)^2+($S1232-Infrastructure!K$11)^2)</f>
        <v>20.51194774</v>
      </c>
      <c r="BE1232" s="333">
        <f>SQRT(($R1232-Infrastructure!J$12)^2+($S1232-Infrastructure!K$12)^2)</f>
        <v>15.84550409</v>
      </c>
      <c r="BF1232" s="330">
        <f t="shared" si="161"/>
        <v>15.84550409</v>
      </c>
      <c r="BG1232" s="333">
        <f t="shared" si="162"/>
        <v>41.54708173</v>
      </c>
      <c r="BH1232" s="943">
        <v>36526.0</v>
      </c>
      <c r="BI1232" s="319"/>
      <c r="BJ1232" s="319"/>
      <c r="BK1232" s="319"/>
      <c r="BL1232" s="319"/>
      <c r="BM1232" s="955"/>
      <c r="BN1232" s="319"/>
      <c r="BO1232" s="319"/>
      <c r="BP1232" s="953"/>
      <c r="BQ1232" s="319"/>
      <c r="BR1232" s="324"/>
      <c r="BS1232" s="330">
        <f t="shared" si="163"/>
        <v>0</v>
      </c>
      <c r="BT1232" s="331">
        <f t="shared" si="164"/>
        <v>0</v>
      </c>
      <c r="BU1232" s="920"/>
      <c r="BV1232" s="903"/>
      <c r="BW1232" s="907"/>
      <c r="BX1232" s="908"/>
      <c r="BY1232" s="331" t="b">
        <f t="shared" si="166"/>
        <v>0</v>
      </c>
      <c r="BZ1232" s="340"/>
      <c r="CA1232" s="316"/>
      <c r="CB1232" s="318"/>
      <c r="CC1232" s="318"/>
      <c r="CD1232" s="318"/>
      <c r="CE1232" s="318"/>
      <c r="CF1232" s="318"/>
      <c r="CG1232" s="318"/>
      <c r="CH1232" s="318"/>
      <c r="CI1232" s="318"/>
      <c r="CJ1232" s="463"/>
      <c r="CK1232" s="342"/>
      <c r="CL1232" s="333"/>
      <c r="CM1232" s="872"/>
      <c r="CN1232" s="847"/>
      <c r="CO1232" s="847"/>
      <c r="CP1232" s="847"/>
    </row>
    <row r="1233">
      <c r="B1233" s="1029" t="s">
        <v>1916</v>
      </c>
      <c r="C1233" s="1002">
        <v>44586.0</v>
      </c>
      <c r="D1233" s="1030"/>
      <c r="E1233" s="1031">
        <v>8.0</v>
      </c>
      <c r="F1233" s="1005" t="s">
        <v>1935</v>
      </c>
      <c r="G1233" s="1006">
        <v>0.6023148148148149</v>
      </c>
      <c r="H1233" s="1007">
        <v>0.6024884259259259</v>
      </c>
      <c r="I1233" s="1007"/>
      <c r="J1233" s="1028"/>
      <c r="K1233" s="1028">
        <v>0.6031828703703703</v>
      </c>
      <c r="L1233" s="323">
        <v>6.944444444444445E-4</v>
      </c>
      <c r="M1233" s="319" t="s">
        <v>166</v>
      </c>
      <c r="N1233" s="1005" t="s">
        <v>188</v>
      </c>
      <c r="O1233" s="1068" t="s">
        <v>378</v>
      </c>
      <c r="P1233" s="1031" t="s">
        <v>225</v>
      </c>
      <c r="Q1233" s="318"/>
      <c r="R1233" s="1069">
        <v>22.7</v>
      </c>
      <c r="S1233" s="1004">
        <v>39.7</v>
      </c>
      <c r="T1233" s="1005">
        <v>1.02</v>
      </c>
      <c r="U1233" s="1070">
        <v>10.0</v>
      </c>
      <c r="V1233" s="1070"/>
      <c r="W1233" s="1070"/>
      <c r="X1233" s="1070"/>
      <c r="Y1233" s="1070"/>
      <c r="Z1233" s="1071" t="s">
        <v>1140</v>
      </c>
      <c r="AA1233" s="1071"/>
      <c r="AB1233" s="1071" t="s">
        <v>349</v>
      </c>
      <c r="AC1233" s="1072">
        <v>5.0</v>
      </c>
      <c r="AD1233" s="1031"/>
      <c r="AE1233" s="1031"/>
      <c r="AF1233" s="1031"/>
      <c r="AG1233" s="1031"/>
      <c r="AH1233" s="1031"/>
      <c r="AI1233" s="1031"/>
      <c r="AJ1233" s="1072"/>
      <c r="AK1233" s="1073"/>
      <c r="AL1233" s="1031"/>
      <c r="AM1233" s="1031"/>
      <c r="AN1233" s="1031"/>
      <c r="AO1233" s="1031"/>
      <c r="AP1233" s="1031"/>
      <c r="AQ1233" s="1031"/>
      <c r="AR1233" s="1031"/>
      <c r="AS1233" s="1072"/>
      <c r="AT1233" s="1075" t="s">
        <v>182</v>
      </c>
      <c r="AU1233" s="1005" t="s">
        <v>845</v>
      </c>
      <c r="AV1233" s="330">
        <f>SQRT(($R1233-Infrastructure!J$3)^2+($S1233-Infrastructure!K$3)^2)</f>
        <v>25.40944706</v>
      </c>
      <c r="AW1233" s="331">
        <f>SQRT(($R1233-Infrastructure!J$4)^2+($S1233-Infrastructure!K$4)^2)</f>
        <v>31.75862088</v>
      </c>
      <c r="AX1233" s="331">
        <f>SQRT(($R1233-Infrastructure!J$5)^2+($S1233-Infrastructure!K$5)^2)</f>
        <v>41.54708173</v>
      </c>
      <c r="AY1233" s="331">
        <f>SQRT(($R1233-Infrastructure!J$6)^2+($S1233-Infrastructure!K$6)^2)</f>
        <v>41.36568626</v>
      </c>
      <c r="AZ1233" s="331">
        <f>SQRT(($R1233-Infrastructure!J$7)^2+($S1233-Infrastructure!K$7)^2)</f>
        <v>39.46137352</v>
      </c>
      <c r="BA1233" s="331">
        <f>SQRT(($R1233-Infrastructure!J$8)^2+($S1233-Infrastructure!K$8)^2)</f>
        <v>40.08890121</v>
      </c>
      <c r="BB1233" s="331">
        <f>SQRT(($R1233-Infrastructure!J$9)^2+($S1233-Infrastructure!K$9)^2)</f>
        <v>38.68397601</v>
      </c>
      <c r="BC1233" s="331">
        <f>SQRT(($R1233-Infrastructure!J$10)^2+($S1233-Infrastructure!K$10)^2)</f>
        <v>30.15592811</v>
      </c>
      <c r="BD1233" s="331">
        <f>SQRT(($R1233-Infrastructure!J$11)^2+($S1233-Infrastructure!K$11)^2)</f>
        <v>20.51194774</v>
      </c>
      <c r="BE1233" s="333">
        <f>SQRT(($R1233-Infrastructure!J$12)^2+($S1233-Infrastructure!K$12)^2)</f>
        <v>15.84550409</v>
      </c>
      <c r="BF1233" s="330">
        <f t="shared" si="161"/>
        <v>15.84550409</v>
      </c>
      <c r="BG1233" s="333">
        <f t="shared" si="162"/>
        <v>41.54708173</v>
      </c>
      <c r="BH1233" s="943">
        <v>36526.0</v>
      </c>
      <c r="BI1233" s="319" t="s">
        <v>846</v>
      </c>
      <c r="BJ1233" s="319" t="s">
        <v>846</v>
      </c>
      <c r="BK1233" s="319" t="s">
        <v>846</v>
      </c>
      <c r="BL1233" s="319" t="s">
        <v>846</v>
      </c>
      <c r="BM1233" s="955"/>
      <c r="BN1233" s="319" t="s">
        <v>846</v>
      </c>
      <c r="BO1233" s="319" t="s">
        <v>846</v>
      </c>
      <c r="BP1233" s="953" t="s">
        <v>846</v>
      </c>
      <c r="BQ1233" s="319" t="s">
        <v>846</v>
      </c>
      <c r="BR1233" s="324" t="s">
        <v>846</v>
      </c>
      <c r="BS1233" s="330">
        <f t="shared" si="163"/>
        <v>15.84550409</v>
      </c>
      <c r="BT1233" s="331">
        <f t="shared" si="164"/>
        <v>41.54708173</v>
      </c>
      <c r="BU1233" s="920">
        <v>0.6018287037037037</v>
      </c>
      <c r="BV1233" s="903">
        <f t="shared" ref="BV1233:BV1245" si="168">BU1233-G1233</f>
        <v>-0.0004861111111</v>
      </c>
      <c r="BW1233" s="907">
        <v>20.4</v>
      </c>
      <c r="BX1233" s="908">
        <v>17.9</v>
      </c>
      <c r="BY1233" s="331">
        <f t="shared" si="166"/>
        <v>21.9209945</v>
      </c>
      <c r="BZ1233" s="340"/>
      <c r="CA1233" s="316"/>
      <c r="CB1233" s="318"/>
      <c r="CC1233" s="318"/>
      <c r="CD1233" s="318"/>
      <c r="CE1233" s="318"/>
      <c r="CF1233" s="318"/>
      <c r="CG1233" s="318"/>
      <c r="CH1233" s="318"/>
      <c r="CI1233" s="318"/>
      <c r="CJ1233" s="463"/>
      <c r="CK1233" s="342"/>
      <c r="CL1233" s="333"/>
      <c r="CM1233" s="872"/>
      <c r="CN1233" s="847"/>
      <c r="CO1233" s="847"/>
      <c r="CP1233" s="847"/>
    </row>
    <row r="1234">
      <c r="B1234" s="1029" t="s">
        <v>1916</v>
      </c>
      <c r="C1234" s="1002">
        <v>44586.0</v>
      </c>
      <c r="D1234" s="1030"/>
      <c r="E1234" s="1031">
        <v>9.0</v>
      </c>
      <c r="F1234" s="1005" t="s">
        <v>1936</v>
      </c>
      <c r="G1234" s="1006">
        <v>0.6048611111111111</v>
      </c>
      <c r="H1234" s="1007">
        <v>0.6052083333333333</v>
      </c>
      <c r="I1234" s="1007"/>
      <c r="J1234" s="1028"/>
      <c r="K1234" s="1028">
        <v>0.6059027777777778</v>
      </c>
      <c r="L1234" s="323">
        <v>6.944444444444445E-4</v>
      </c>
      <c r="M1234" s="319" t="s">
        <v>166</v>
      </c>
      <c r="N1234" s="1005" t="s">
        <v>188</v>
      </c>
      <c r="O1234" s="1068" t="s">
        <v>378</v>
      </c>
      <c r="P1234" s="1031" t="s">
        <v>225</v>
      </c>
      <c r="Q1234" s="318"/>
      <c r="R1234" s="1069">
        <v>22.7</v>
      </c>
      <c r="S1234" s="1004">
        <v>39.7</v>
      </c>
      <c r="T1234" s="1005">
        <v>1.02</v>
      </c>
      <c r="U1234" s="1070">
        <v>7.0</v>
      </c>
      <c r="V1234" s="1070"/>
      <c r="W1234" s="1070"/>
      <c r="X1234" s="1070"/>
      <c r="Y1234" s="1070"/>
      <c r="Z1234" s="1071" t="s">
        <v>1140</v>
      </c>
      <c r="AA1234" s="1071"/>
      <c r="AB1234" s="1071" t="s">
        <v>345</v>
      </c>
      <c r="AC1234" s="1072">
        <v>4.0</v>
      </c>
      <c r="AD1234" s="1031"/>
      <c r="AE1234" s="1031"/>
      <c r="AF1234" s="1031"/>
      <c r="AG1234" s="1031"/>
      <c r="AH1234" s="1031"/>
      <c r="AI1234" s="1031"/>
      <c r="AJ1234" s="1072"/>
      <c r="AK1234" s="1073"/>
      <c r="AL1234" s="1031"/>
      <c r="AM1234" s="1031"/>
      <c r="AN1234" s="1031"/>
      <c r="AO1234" s="1031"/>
      <c r="AP1234" s="1031"/>
      <c r="AQ1234" s="1031"/>
      <c r="AR1234" s="1031"/>
      <c r="AS1234" s="1072"/>
      <c r="AT1234" s="1075" t="s">
        <v>182</v>
      </c>
      <c r="AU1234" s="1005" t="s">
        <v>845</v>
      </c>
      <c r="AV1234" s="330">
        <f>SQRT(($R1234-Infrastructure!J$3)^2+($S1234-Infrastructure!K$3)^2)</f>
        <v>25.40944706</v>
      </c>
      <c r="AW1234" s="331">
        <f>SQRT(($R1234-Infrastructure!J$4)^2+($S1234-Infrastructure!K$4)^2)</f>
        <v>31.75862088</v>
      </c>
      <c r="AX1234" s="331">
        <f>SQRT(($R1234-Infrastructure!J$5)^2+($S1234-Infrastructure!K$5)^2)</f>
        <v>41.54708173</v>
      </c>
      <c r="AY1234" s="331">
        <f>SQRT(($R1234-Infrastructure!J$6)^2+($S1234-Infrastructure!K$6)^2)</f>
        <v>41.36568626</v>
      </c>
      <c r="AZ1234" s="331">
        <f>SQRT(($R1234-Infrastructure!J$7)^2+($S1234-Infrastructure!K$7)^2)</f>
        <v>39.46137352</v>
      </c>
      <c r="BA1234" s="331">
        <f>SQRT(($R1234-Infrastructure!J$8)^2+($S1234-Infrastructure!K$8)^2)</f>
        <v>40.08890121</v>
      </c>
      <c r="BB1234" s="331">
        <f>SQRT(($R1234-Infrastructure!J$9)^2+($S1234-Infrastructure!K$9)^2)</f>
        <v>38.68397601</v>
      </c>
      <c r="BC1234" s="331">
        <f>SQRT(($R1234-Infrastructure!J$10)^2+($S1234-Infrastructure!K$10)^2)</f>
        <v>30.15592811</v>
      </c>
      <c r="BD1234" s="331">
        <f>SQRT(($R1234-Infrastructure!J$11)^2+($S1234-Infrastructure!K$11)^2)</f>
        <v>20.51194774</v>
      </c>
      <c r="BE1234" s="333">
        <f>SQRT(($R1234-Infrastructure!J$12)^2+($S1234-Infrastructure!K$12)^2)</f>
        <v>15.84550409</v>
      </c>
      <c r="BF1234" s="330">
        <f t="shared" si="161"/>
        <v>15.84550409</v>
      </c>
      <c r="BG1234" s="333">
        <f t="shared" si="162"/>
        <v>41.54708173</v>
      </c>
      <c r="BH1234" s="943">
        <v>36526.0</v>
      </c>
      <c r="BI1234" s="319" t="s">
        <v>846</v>
      </c>
      <c r="BJ1234" s="319" t="s">
        <v>846</v>
      </c>
      <c r="BK1234" s="319" t="s">
        <v>846</v>
      </c>
      <c r="BL1234" s="319" t="s">
        <v>846</v>
      </c>
      <c r="BM1234" s="955"/>
      <c r="BN1234" s="319" t="s">
        <v>846</v>
      </c>
      <c r="BO1234" s="319" t="s">
        <v>846</v>
      </c>
      <c r="BP1234" s="953" t="s">
        <v>846</v>
      </c>
      <c r="BQ1234" s="319" t="s">
        <v>846</v>
      </c>
      <c r="BR1234" s="324" t="s">
        <v>846</v>
      </c>
      <c r="BS1234" s="330">
        <f t="shared" si="163"/>
        <v>15.84550409</v>
      </c>
      <c r="BT1234" s="331">
        <f t="shared" si="164"/>
        <v>41.54708173</v>
      </c>
      <c r="BU1234" s="920">
        <v>0.6043981481481482</v>
      </c>
      <c r="BV1234" s="903">
        <f t="shared" si="168"/>
        <v>-0.000462962963</v>
      </c>
      <c r="BW1234" s="907">
        <v>19.6</v>
      </c>
      <c r="BX1234" s="908">
        <v>17.4</v>
      </c>
      <c r="BY1234" s="331">
        <f t="shared" si="166"/>
        <v>22.51443981</v>
      </c>
      <c r="BZ1234" s="340"/>
      <c r="CA1234" s="316"/>
      <c r="CB1234" s="318"/>
      <c r="CC1234" s="318"/>
      <c r="CD1234" s="318"/>
      <c r="CE1234" s="318"/>
      <c r="CF1234" s="318"/>
      <c r="CG1234" s="318"/>
      <c r="CH1234" s="318"/>
      <c r="CI1234" s="318"/>
      <c r="CJ1234" s="463"/>
      <c r="CK1234" s="342"/>
      <c r="CL1234" s="333"/>
      <c r="CM1234" s="872"/>
      <c r="CN1234" s="847"/>
      <c r="CO1234" s="847"/>
      <c r="CP1234" s="847"/>
    </row>
    <row r="1235">
      <c r="B1235" s="1029" t="s">
        <v>1916</v>
      </c>
      <c r="C1235" s="1002">
        <v>44586.0</v>
      </c>
      <c r="D1235" s="1030"/>
      <c r="E1235" s="1031" t="s">
        <v>1494</v>
      </c>
      <c r="F1235" s="1005" t="s">
        <v>1937</v>
      </c>
      <c r="G1235" s="1006">
        <v>0.6070023148148148</v>
      </c>
      <c r="H1235" s="1007">
        <v>0.6072916666666667</v>
      </c>
      <c r="I1235" s="1007"/>
      <c r="J1235" s="1028"/>
      <c r="K1235" s="1028">
        <v>0.6082175925925926</v>
      </c>
      <c r="L1235" s="323">
        <v>9.25925925925926E-4</v>
      </c>
      <c r="M1235" s="319" t="s">
        <v>166</v>
      </c>
      <c r="N1235" s="1005" t="s">
        <v>188</v>
      </c>
      <c r="O1235" s="1068" t="s">
        <v>196</v>
      </c>
      <c r="P1235" s="1031" t="s">
        <v>224</v>
      </c>
      <c r="Q1235" s="318"/>
      <c r="R1235" s="1069">
        <v>21.7</v>
      </c>
      <c r="S1235" s="1004">
        <v>39.5</v>
      </c>
      <c r="T1235" s="1005">
        <v>1.26</v>
      </c>
      <c r="U1235" s="1070">
        <v>25.0</v>
      </c>
      <c r="V1235" s="1070"/>
      <c r="W1235" s="1070"/>
      <c r="X1235" s="1070"/>
      <c r="Y1235" s="1070"/>
      <c r="Z1235" s="1071" t="s">
        <v>387</v>
      </c>
      <c r="AA1235" s="1071"/>
      <c r="AB1235" s="1071" t="s">
        <v>416</v>
      </c>
      <c r="AC1235" s="1072">
        <v>52.5</v>
      </c>
      <c r="AD1235" s="1031"/>
      <c r="AE1235" s="1031"/>
      <c r="AF1235" s="1031"/>
      <c r="AG1235" s="1031"/>
      <c r="AH1235" s="1031"/>
      <c r="AI1235" s="1031"/>
      <c r="AJ1235" s="1072"/>
      <c r="AK1235" s="1073"/>
      <c r="AL1235" s="1031"/>
      <c r="AM1235" s="1031"/>
      <c r="AN1235" s="1031"/>
      <c r="AO1235" s="1031"/>
      <c r="AP1235" s="1031"/>
      <c r="AQ1235" s="1031"/>
      <c r="AR1235" s="1031"/>
      <c r="AS1235" s="1072"/>
      <c r="AT1235" s="1075" t="s">
        <v>183</v>
      </c>
      <c r="AU1235" s="1005" t="s">
        <v>845</v>
      </c>
      <c r="AV1235" s="330">
        <f>SQRT(($R1235-Infrastructure!J$3)^2+($S1235-Infrastructure!K$3)^2)</f>
        <v>24.42048321</v>
      </c>
      <c r="AW1235" s="331">
        <f>SQRT(($R1235-Infrastructure!J$4)^2+($S1235-Infrastructure!K$4)^2)</f>
        <v>30.90129447</v>
      </c>
      <c r="AX1235" s="331">
        <f>SQRT(($R1235-Infrastructure!J$5)^2+($S1235-Infrastructure!K$5)^2)</f>
        <v>40.83331973</v>
      </c>
      <c r="AY1235" s="331">
        <f>SQRT(($R1235-Infrastructure!J$6)^2+($S1235-Infrastructure!K$6)^2)</f>
        <v>40.88031311</v>
      </c>
      <c r="AZ1235" s="331">
        <f>SQRT(($R1235-Infrastructure!J$7)^2+($S1235-Infrastructure!K$7)^2)</f>
        <v>39.21836305</v>
      </c>
      <c r="BA1235" s="331">
        <f>SQRT(($R1235-Infrastructure!J$8)^2+($S1235-Infrastructure!K$8)^2)</f>
        <v>40.08989898</v>
      </c>
      <c r="BB1235" s="331">
        <f>SQRT(($R1235-Infrastructure!J$9)^2+($S1235-Infrastructure!K$9)^2)</f>
        <v>38.96472764</v>
      </c>
      <c r="BC1235" s="331">
        <f>SQRT(($R1235-Infrastructure!J$10)^2+($S1235-Infrastructure!K$10)^2)</f>
        <v>30.58005886</v>
      </c>
      <c r="BD1235" s="331">
        <f>SQRT(($R1235-Infrastructure!J$11)^2+($S1235-Infrastructure!K$11)^2)</f>
        <v>21.27204739</v>
      </c>
      <c r="BE1235" s="333">
        <f>SQRT(($R1235-Infrastructure!J$12)^2+($S1235-Infrastructure!K$12)^2)</f>
        <v>16.00124995</v>
      </c>
      <c r="BF1235" s="330">
        <f t="shared" si="161"/>
        <v>16.00124995</v>
      </c>
      <c r="BG1235" s="333">
        <f t="shared" si="162"/>
        <v>40.88031311</v>
      </c>
      <c r="BH1235" s="943">
        <v>36526.0</v>
      </c>
      <c r="BI1235" s="319" t="s">
        <v>846</v>
      </c>
      <c r="BJ1235" s="319" t="s">
        <v>846</v>
      </c>
      <c r="BK1235" s="319"/>
      <c r="BL1235" s="319"/>
      <c r="BM1235" s="955"/>
      <c r="BN1235" s="319"/>
      <c r="BO1235" s="319"/>
      <c r="BP1235" s="953" t="s">
        <v>846</v>
      </c>
      <c r="BQ1235" s="319" t="s">
        <v>846</v>
      </c>
      <c r="BR1235" s="324" t="s">
        <v>846</v>
      </c>
      <c r="BS1235" s="330">
        <f t="shared" si="163"/>
        <v>16.00124995</v>
      </c>
      <c r="BT1235" s="331">
        <f t="shared" si="164"/>
        <v>30.90129447</v>
      </c>
      <c r="BU1235" s="920">
        <v>0.6065393518518518</v>
      </c>
      <c r="BV1235" s="903">
        <f t="shared" si="168"/>
        <v>-0.000462962963</v>
      </c>
      <c r="BW1235" s="907">
        <v>17.8</v>
      </c>
      <c r="BX1235" s="908">
        <v>32.2</v>
      </c>
      <c r="BY1235" s="331">
        <f t="shared" si="166"/>
        <v>8.276472679</v>
      </c>
      <c r="BZ1235" s="340"/>
      <c r="CA1235" s="316"/>
      <c r="CB1235" s="318"/>
      <c r="CC1235" s="318"/>
      <c r="CD1235" s="318"/>
      <c r="CE1235" s="318"/>
      <c r="CF1235" s="318"/>
      <c r="CG1235" s="318"/>
      <c r="CH1235" s="318"/>
      <c r="CI1235" s="318"/>
      <c r="CJ1235" s="463"/>
      <c r="CK1235" s="342"/>
      <c r="CL1235" s="333"/>
      <c r="CM1235" s="872"/>
      <c r="CN1235" s="847"/>
      <c r="CO1235" s="847"/>
      <c r="CP1235" s="847"/>
    </row>
    <row r="1236">
      <c r="B1236" s="1029" t="s">
        <v>1916</v>
      </c>
      <c r="C1236" s="1002">
        <v>44586.0</v>
      </c>
      <c r="D1236" s="1030"/>
      <c r="E1236" s="1031" t="s">
        <v>1496</v>
      </c>
      <c r="F1236" s="1005" t="s">
        <v>1938</v>
      </c>
      <c r="G1236" s="1006">
        <v>0.6086805555555556</v>
      </c>
      <c r="H1236" s="1007">
        <v>0.609375</v>
      </c>
      <c r="I1236" s="1007"/>
      <c r="J1236" s="1028"/>
      <c r="K1236" s="1028">
        <v>0.6100694444444444</v>
      </c>
      <c r="L1236" s="323">
        <v>6.944444444444445E-4</v>
      </c>
      <c r="M1236" s="319" t="s">
        <v>166</v>
      </c>
      <c r="N1236" s="1005" t="s">
        <v>188</v>
      </c>
      <c r="O1236" s="1068" t="s">
        <v>196</v>
      </c>
      <c r="P1236" s="1031" t="s">
        <v>224</v>
      </c>
      <c r="Q1236" s="318"/>
      <c r="R1236" s="1069">
        <v>21.7</v>
      </c>
      <c r="S1236" s="1004">
        <v>39.5</v>
      </c>
      <c r="T1236" s="1005">
        <v>1.26</v>
      </c>
      <c r="U1236" s="1070">
        <v>16.0</v>
      </c>
      <c r="V1236" s="1070"/>
      <c r="W1236" s="1070"/>
      <c r="X1236" s="1070"/>
      <c r="Y1236" s="1070"/>
      <c r="Z1236" s="1071" t="s">
        <v>387</v>
      </c>
      <c r="AA1236" s="1071"/>
      <c r="AB1236" s="1071" t="s">
        <v>416</v>
      </c>
      <c r="AC1236" s="1072">
        <v>52.5</v>
      </c>
      <c r="AD1236" s="1031"/>
      <c r="AE1236" s="1031"/>
      <c r="AF1236" s="1031"/>
      <c r="AG1236" s="1031"/>
      <c r="AH1236" s="1031"/>
      <c r="AI1236" s="1031"/>
      <c r="AJ1236" s="1072"/>
      <c r="AK1236" s="1073"/>
      <c r="AL1236" s="1031"/>
      <c r="AM1236" s="1031"/>
      <c r="AN1236" s="1031"/>
      <c r="AO1236" s="1031"/>
      <c r="AP1236" s="1031"/>
      <c r="AQ1236" s="1031"/>
      <c r="AR1236" s="1031"/>
      <c r="AS1236" s="1072"/>
      <c r="AT1236" s="1075" t="s">
        <v>183</v>
      </c>
      <c r="AU1236" s="1005" t="s">
        <v>845</v>
      </c>
      <c r="AV1236" s="330">
        <f>SQRT(($R1236-Infrastructure!J$3)^2+($S1236-Infrastructure!K$3)^2)</f>
        <v>24.42048321</v>
      </c>
      <c r="AW1236" s="331">
        <f>SQRT(($R1236-Infrastructure!J$4)^2+($S1236-Infrastructure!K$4)^2)</f>
        <v>30.90129447</v>
      </c>
      <c r="AX1236" s="331">
        <f>SQRT(($R1236-Infrastructure!J$5)^2+($S1236-Infrastructure!K$5)^2)</f>
        <v>40.83331973</v>
      </c>
      <c r="AY1236" s="331">
        <f>SQRT(($R1236-Infrastructure!J$6)^2+($S1236-Infrastructure!K$6)^2)</f>
        <v>40.88031311</v>
      </c>
      <c r="AZ1236" s="331">
        <f>SQRT(($R1236-Infrastructure!J$7)^2+($S1236-Infrastructure!K$7)^2)</f>
        <v>39.21836305</v>
      </c>
      <c r="BA1236" s="331">
        <f>SQRT(($R1236-Infrastructure!J$8)^2+($S1236-Infrastructure!K$8)^2)</f>
        <v>40.08989898</v>
      </c>
      <c r="BB1236" s="331">
        <f>SQRT(($R1236-Infrastructure!J$9)^2+($S1236-Infrastructure!K$9)^2)</f>
        <v>38.96472764</v>
      </c>
      <c r="BC1236" s="331">
        <f>SQRT(($R1236-Infrastructure!J$10)^2+($S1236-Infrastructure!K$10)^2)</f>
        <v>30.58005886</v>
      </c>
      <c r="BD1236" s="331">
        <f>SQRT(($R1236-Infrastructure!J$11)^2+($S1236-Infrastructure!K$11)^2)</f>
        <v>21.27204739</v>
      </c>
      <c r="BE1236" s="333">
        <f>SQRT(($R1236-Infrastructure!J$12)^2+($S1236-Infrastructure!K$12)^2)</f>
        <v>16.00124995</v>
      </c>
      <c r="BF1236" s="330">
        <f t="shared" si="161"/>
        <v>16.00124995</v>
      </c>
      <c r="BG1236" s="333">
        <f t="shared" si="162"/>
        <v>40.88031311</v>
      </c>
      <c r="BH1236" s="943">
        <v>36526.0</v>
      </c>
      <c r="BI1236" s="319" t="s">
        <v>846</v>
      </c>
      <c r="BJ1236" s="319" t="s">
        <v>846</v>
      </c>
      <c r="BK1236" s="319"/>
      <c r="BL1236" s="319"/>
      <c r="BM1236" s="955"/>
      <c r="BN1236" s="319"/>
      <c r="BO1236" s="319"/>
      <c r="BP1236" s="953"/>
      <c r="BQ1236" s="319" t="s">
        <v>846</v>
      </c>
      <c r="BR1236" s="324" t="s">
        <v>846</v>
      </c>
      <c r="BS1236" s="330">
        <f t="shared" si="163"/>
        <v>16.00124995</v>
      </c>
      <c r="BT1236" s="331">
        <f t="shared" si="164"/>
        <v>30.90129447</v>
      </c>
      <c r="BU1236" s="920">
        <v>0.6088541666666667</v>
      </c>
      <c r="BV1236" s="903">
        <f t="shared" si="168"/>
        <v>0.0001736111111</v>
      </c>
      <c r="BW1236" s="907">
        <v>22.3</v>
      </c>
      <c r="BX1236" s="908">
        <v>37.8</v>
      </c>
      <c r="BY1236" s="331">
        <f t="shared" si="166"/>
        <v>1.802775638</v>
      </c>
      <c r="BZ1236" s="340"/>
      <c r="CA1236" s="316"/>
      <c r="CB1236" s="318"/>
      <c r="CC1236" s="318"/>
      <c r="CD1236" s="318"/>
      <c r="CE1236" s="318"/>
      <c r="CF1236" s="318"/>
      <c r="CG1236" s="318"/>
      <c r="CH1236" s="318"/>
      <c r="CI1236" s="318"/>
      <c r="CJ1236" s="463"/>
      <c r="CK1236" s="342"/>
      <c r="CL1236" s="333"/>
      <c r="CM1236" s="872"/>
      <c r="CN1236" s="847"/>
      <c r="CO1236" s="847"/>
      <c r="CP1236" s="847"/>
    </row>
    <row r="1237">
      <c r="B1237" s="1029" t="s">
        <v>1916</v>
      </c>
      <c r="C1237" s="1002">
        <v>44586.0</v>
      </c>
      <c r="D1237" s="1030"/>
      <c r="E1237" s="1031" t="s">
        <v>1894</v>
      </c>
      <c r="F1237" s="1005" t="s">
        <v>1939</v>
      </c>
      <c r="G1237" s="1006">
        <v>0.6171875</v>
      </c>
      <c r="H1237" s="1007">
        <v>0.6177083333333333</v>
      </c>
      <c r="I1237" s="1007"/>
      <c r="J1237" s="1028"/>
      <c r="K1237" s="1028">
        <v>0.6183449074074074</v>
      </c>
      <c r="L1237" s="323">
        <v>6.365740740740741E-4</v>
      </c>
      <c r="M1237" s="319" t="s">
        <v>166</v>
      </c>
      <c r="N1237" s="1005" t="s">
        <v>188</v>
      </c>
      <c r="O1237" s="1068" t="s">
        <v>196</v>
      </c>
      <c r="P1237" s="1031" t="s">
        <v>224</v>
      </c>
      <c r="Q1237" s="318"/>
      <c r="R1237" s="1069">
        <v>21.7</v>
      </c>
      <c r="S1237" s="1004">
        <v>39.5</v>
      </c>
      <c r="T1237" s="1005">
        <v>1.26</v>
      </c>
      <c r="U1237" s="1070">
        <v>40.0</v>
      </c>
      <c r="V1237" s="1070"/>
      <c r="W1237" s="1070"/>
      <c r="X1237" s="1070"/>
      <c r="Y1237" s="1070"/>
      <c r="Z1237" s="1071" t="s">
        <v>387</v>
      </c>
      <c r="AA1237" s="1071"/>
      <c r="AB1237" s="1071" t="s">
        <v>416</v>
      </c>
      <c r="AC1237" s="1072">
        <v>52.5</v>
      </c>
      <c r="AD1237" s="1031"/>
      <c r="AE1237" s="1031"/>
      <c r="AF1237" s="1031"/>
      <c r="AG1237" s="1031"/>
      <c r="AH1237" s="1031"/>
      <c r="AI1237" s="1031"/>
      <c r="AJ1237" s="1072"/>
      <c r="AK1237" s="1073"/>
      <c r="AL1237" s="1031"/>
      <c r="AM1237" s="1031"/>
      <c r="AN1237" s="1031"/>
      <c r="AO1237" s="1031"/>
      <c r="AP1237" s="1031"/>
      <c r="AQ1237" s="1031"/>
      <c r="AR1237" s="1031"/>
      <c r="AS1237" s="1072"/>
      <c r="AT1237" s="1075" t="s">
        <v>183</v>
      </c>
      <c r="AU1237" s="1005" t="s">
        <v>845</v>
      </c>
      <c r="AV1237" s="330">
        <f>SQRT(($R1237-Infrastructure!J$3)^2+($S1237-Infrastructure!K$3)^2)</f>
        <v>24.42048321</v>
      </c>
      <c r="AW1237" s="331">
        <f>SQRT(($R1237-Infrastructure!J$4)^2+($S1237-Infrastructure!K$4)^2)</f>
        <v>30.90129447</v>
      </c>
      <c r="AX1237" s="331">
        <f>SQRT(($R1237-Infrastructure!J$5)^2+($S1237-Infrastructure!K$5)^2)</f>
        <v>40.83331973</v>
      </c>
      <c r="AY1237" s="331">
        <f>SQRT(($R1237-Infrastructure!J$6)^2+($S1237-Infrastructure!K$6)^2)</f>
        <v>40.88031311</v>
      </c>
      <c r="AZ1237" s="331">
        <f>SQRT(($R1237-Infrastructure!J$7)^2+($S1237-Infrastructure!K$7)^2)</f>
        <v>39.21836305</v>
      </c>
      <c r="BA1237" s="331">
        <f>SQRT(($R1237-Infrastructure!J$8)^2+($S1237-Infrastructure!K$8)^2)</f>
        <v>40.08989898</v>
      </c>
      <c r="BB1237" s="331">
        <f>SQRT(($R1237-Infrastructure!J$9)^2+($S1237-Infrastructure!K$9)^2)</f>
        <v>38.96472764</v>
      </c>
      <c r="BC1237" s="331">
        <f>SQRT(($R1237-Infrastructure!J$10)^2+($S1237-Infrastructure!K$10)^2)</f>
        <v>30.58005886</v>
      </c>
      <c r="BD1237" s="331">
        <f>SQRT(($R1237-Infrastructure!J$11)^2+($S1237-Infrastructure!K$11)^2)</f>
        <v>21.27204739</v>
      </c>
      <c r="BE1237" s="333">
        <f>SQRT(($R1237-Infrastructure!J$12)^2+($S1237-Infrastructure!K$12)^2)</f>
        <v>16.00124995</v>
      </c>
      <c r="BF1237" s="330">
        <f t="shared" si="161"/>
        <v>16.00124995</v>
      </c>
      <c r="BG1237" s="333">
        <f t="shared" si="162"/>
        <v>40.88031311</v>
      </c>
      <c r="BH1237" s="943">
        <v>36526.0</v>
      </c>
      <c r="BI1237" s="319" t="s">
        <v>846</v>
      </c>
      <c r="BJ1237" s="319" t="s">
        <v>846</v>
      </c>
      <c r="BK1237" s="319"/>
      <c r="BL1237" s="319"/>
      <c r="BM1237" s="955"/>
      <c r="BN1237" s="319"/>
      <c r="BO1237" s="319"/>
      <c r="BP1237" s="953" t="s">
        <v>846</v>
      </c>
      <c r="BQ1237" s="319" t="s">
        <v>846</v>
      </c>
      <c r="BR1237" s="324" t="s">
        <v>846</v>
      </c>
      <c r="BS1237" s="330">
        <f t="shared" si="163"/>
        <v>16.00124995</v>
      </c>
      <c r="BT1237" s="331">
        <f t="shared" si="164"/>
        <v>30.90129447</v>
      </c>
      <c r="BU1237" s="920">
        <v>0.6167592592592592</v>
      </c>
      <c r="BV1237" s="903">
        <f t="shared" si="168"/>
        <v>-0.0004282407407</v>
      </c>
      <c r="BW1237" s="907">
        <v>19.0</v>
      </c>
      <c r="BX1237" s="908">
        <v>27.0</v>
      </c>
      <c r="BY1237" s="331">
        <f t="shared" si="166"/>
        <v>12.78827588</v>
      </c>
      <c r="BZ1237" s="340"/>
      <c r="CA1237" s="316"/>
      <c r="CB1237" s="318"/>
      <c r="CC1237" s="318"/>
      <c r="CD1237" s="318"/>
      <c r="CE1237" s="318"/>
      <c r="CF1237" s="318"/>
      <c r="CG1237" s="318"/>
      <c r="CH1237" s="318"/>
      <c r="CI1237" s="318"/>
      <c r="CJ1237" s="463"/>
      <c r="CK1237" s="342"/>
      <c r="CL1237" s="333"/>
      <c r="CM1237" s="872"/>
      <c r="CN1237" s="847"/>
      <c r="CO1237" s="847"/>
      <c r="CP1237" s="847"/>
    </row>
    <row r="1238">
      <c r="B1238" s="1029" t="s">
        <v>1916</v>
      </c>
      <c r="C1238" s="1002">
        <v>44586.0</v>
      </c>
      <c r="D1238" s="1030"/>
      <c r="E1238" s="1031" t="s">
        <v>1356</v>
      </c>
      <c r="F1238" s="1005" t="s">
        <v>1940</v>
      </c>
      <c r="G1238" s="1006">
        <v>0.6212962962962963</v>
      </c>
      <c r="H1238" s="1007">
        <v>0.6217013888888889</v>
      </c>
      <c r="I1238" s="1007"/>
      <c r="J1238" s="1028"/>
      <c r="K1238" s="1028">
        <v>0.6221064814814815</v>
      </c>
      <c r="L1238" s="323">
        <v>4.050925925925926E-4</v>
      </c>
      <c r="M1238" s="319" t="s">
        <v>166</v>
      </c>
      <c r="N1238" s="1005" t="s">
        <v>187</v>
      </c>
      <c r="O1238" s="1068" t="s">
        <v>201</v>
      </c>
      <c r="P1238" s="1031" t="s">
        <v>256</v>
      </c>
      <c r="Q1238" s="318"/>
      <c r="R1238" s="1069">
        <v>5.0</v>
      </c>
      <c r="S1238" s="1004">
        <v>2.5</v>
      </c>
      <c r="T1238" s="1005">
        <v>0.7</v>
      </c>
      <c r="U1238" s="1070">
        <v>5.0</v>
      </c>
      <c r="V1238" s="1070"/>
      <c r="W1238" s="1070"/>
      <c r="X1238" s="1070"/>
      <c r="Y1238" s="1070"/>
      <c r="Z1238" s="1071" t="s">
        <v>339</v>
      </c>
      <c r="AA1238" s="1071"/>
      <c r="AB1238" s="1071" t="s">
        <v>337</v>
      </c>
      <c r="AC1238" s="1072">
        <v>2.5</v>
      </c>
      <c r="AD1238" s="1031"/>
      <c r="AE1238" s="1031"/>
      <c r="AF1238" s="1031"/>
      <c r="AG1238" s="1031"/>
      <c r="AH1238" s="1031"/>
      <c r="AI1238" s="1031"/>
      <c r="AJ1238" s="1072"/>
      <c r="AK1238" s="1073"/>
      <c r="AL1238" s="1031"/>
      <c r="AM1238" s="1031"/>
      <c r="AN1238" s="1031"/>
      <c r="AO1238" s="1031"/>
      <c r="AP1238" s="1031"/>
      <c r="AQ1238" s="1031"/>
      <c r="AR1238" s="1031"/>
      <c r="AS1238" s="1072"/>
      <c r="AT1238" s="1075" t="s">
        <v>182</v>
      </c>
      <c r="AU1238" s="1005" t="s">
        <v>845</v>
      </c>
      <c r="AV1238" s="330">
        <f>SQRT(($R1238-Infrastructure!J$3)^2+($S1238-Infrastructure!K$3)^2)</f>
        <v>26.9267525</v>
      </c>
      <c r="AW1238" s="331">
        <f>SQRT(($R1238-Infrastructure!J$4)^2+($S1238-Infrastructure!K$4)^2)</f>
        <v>16.19197332</v>
      </c>
      <c r="AX1238" s="331">
        <f>SQRT(($R1238-Infrastructure!J$5)^2+($S1238-Infrastructure!K$5)^2)</f>
        <v>5.903388857</v>
      </c>
      <c r="AY1238" s="331">
        <f>SQRT(($R1238-Infrastructure!J$6)^2+($S1238-Infrastructure!K$6)^2)</f>
        <v>5.554277631</v>
      </c>
      <c r="AZ1238" s="331">
        <f>SQRT(($R1238-Infrastructure!J$7)^2+($S1238-Infrastructure!K$7)^2)</f>
        <v>15.65535052</v>
      </c>
      <c r="BA1238" s="331">
        <f>SQRT(($R1238-Infrastructure!J$8)^2+($S1238-Infrastructure!K$8)^2)</f>
        <v>25.19622988</v>
      </c>
      <c r="BB1238" s="331">
        <f>SQRT(($R1238-Infrastructure!J$9)^2+($S1238-Infrastructure!K$9)^2)</f>
        <v>35.09643857</v>
      </c>
      <c r="BC1238" s="331">
        <f>SQRT(($R1238-Infrastructure!J$10)^2+($S1238-Infrastructure!K$10)^2)</f>
        <v>37.16517187</v>
      </c>
      <c r="BD1238" s="331">
        <f>SQRT(($R1238-Infrastructure!J$11)^2+($S1238-Infrastructure!K$11)^2)</f>
        <v>44.06007263</v>
      </c>
      <c r="BE1238" s="333">
        <f>SQRT(($R1238-Infrastructure!J$12)^2+($S1238-Infrastructure!K$12)^2)</f>
        <v>55.50900828</v>
      </c>
      <c r="BF1238" s="330">
        <f t="shared" si="161"/>
        <v>5.554277631</v>
      </c>
      <c r="BG1238" s="333">
        <f t="shared" si="162"/>
        <v>55.50900828</v>
      </c>
      <c r="BH1238" s="943">
        <v>36526.0</v>
      </c>
      <c r="BI1238" s="319" t="s">
        <v>846</v>
      </c>
      <c r="BJ1238" s="319" t="s">
        <v>846</v>
      </c>
      <c r="BK1238" s="319" t="s">
        <v>846</v>
      </c>
      <c r="BL1238" s="319" t="s">
        <v>846</v>
      </c>
      <c r="BM1238" s="955"/>
      <c r="BN1238" s="319" t="s">
        <v>846</v>
      </c>
      <c r="BO1238" s="319" t="s">
        <v>846</v>
      </c>
      <c r="BP1238" s="953" t="s">
        <v>846</v>
      </c>
      <c r="BQ1238" s="319" t="s">
        <v>846</v>
      </c>
      <c r="BR1238" s="324" t="s">
        <v>846</v>
      </c>
      <c r="BS1238" s="330">
        <f t="shared" si="163"/>
        <v>5.554277631</v>
      </c>
      <c r="BT1238" s="331">
        <f t="shared" si="164"/>
        <v>55.50900828</v>
      </c>
      <c r="BU1238" s="920">
        <v>0.6207986111111111</v>
      </c>
      <c r="BV1238" s="903">
        <f t="shared" si="168"/>
        <v>-0.0004976851852</v>
      </c>
      <c r="BW1238" s="907">
        <v>21.7</v>
      </c>
      <c r="BX1238" s="908">
        <v>16.3</v>
      </c>
      <c r="BY1238" s="331">
        <f t="shared" si="166"/>
        <v>21.66402548</v>
      </c>
      <c r="BZ1238" s="340"/>
      <c r="CA1238" s="316"/>
      <c r="CB1238" s="318"/>
      <c r="CC1238" s="318"/>
      <c r="CD1238" s="318"/>
      <c r="CE1238" s="318"/>
      <c r="CF1238" s="318"/>
      <c r="CG1238" s="318"/>
      <c r="CH1238" s="318"/>
      <c r="CI1238" s="318"/>
      <c r="CJ1238" s="463"/>
      <c r="CK1238" s="342"/>
      <c r="CL1238" s="333"/>
      <c r="CM1238" s="872" t="s">
        <v>1918</v>
      </c>
      <c r="CN1238" s="847"/>
      <c r="CO1238" s="847"/>
      <c r="CP1238" s="847"/>
    </row>
    <row r="1239">
      <c r="B1239" s="1029" t="s">
        <v>1916</v>
      </c>
      <c r="C1239" s="1002">
        <v>44586.0</v>
      </c>
      <c r="D1239" s="1030"/>
      <c r="E1239" s="1031" t="s">
        <v>1360</v>
      </c>
      <c r="F1239" s="1005" t="s">
        <v>1941</v>
      </c>
      <c r="G1239" s="1006">
        <v>0.6253472222222223</v>
      </c>
      <c r="H1239" s="1007">
        <v>0.6255787037037037</v>
      </c>
      <c r="I1239" s="1007"/>
      <c r="J1239" s="1028"/>
      <c r="K1239" s="1028">
        <v>0.6259259259259259</v>
      </c>
      <c r="L1239" s="323">
        <v>3.4722222222222224E-4</v>
      </c>
      <c r="M1239" s="319" t="s">
        <v>166</v>
      </c>
      <c r="N1239" s="1005" t="s">
        <v>187</v>
      </c>
      <c r="O1239" s="1068" t="s">
        <v>201</v>
      </c>
      <c r="P1239" s="1031" t="s">
        <v>256</v>
      </c>
      <c r="Q1239" s="318"/>
      <c r="R1239" s="1069">
        <v>5.0</v>
      </c>
      <c r="S1239" s="1004">
        <v>2.5</v>
      </c>
      <c r="T1239" s="1005">
        <v>0.7</v>
      </c>
      <c r="U1239" s="1070">
        <v>5.0</v>
      </c>
      <c r="V1239" s="1070"/>
      <c r="W1239" s="1070"/>
      <c r="X1239" s="1070"/>
      <c r="Y1239" s="1070"/>
      <c r="Z1239" s="1071" t="s">
        <v>339</v>
      </c>
      <c r="AA1239" s="1071"/>
      <c r="AB1239" s="1071" t="s">
        <v>337</v>
      </c>
      <c r="AC1239" s="1072">
        <v>2.5</v>
      </c>
      <c r="AD1239" s="1031"/>
      <c r="AE1239" s="1031"/>
      <c r="AF1239" s="1031"/>
      <c r="AG1239" s="1031"/>
      <c r="AH1239" s="1031"/>
      <c r="AI1239" s="1031"/>
      <c r="AJ1239" s="1072"/>
      <c r="AK1239" s="1073"/>
      <c r="AL1239" s="1031"/>
      <c r="AM1239" s="1031"/>
      <c r="AN1239" s="1031"/>
      <c r="AO1239" s="1031"/>
      <c r="AP1239" s="1031"/>
      <c r="AQ1239" s="1031"/>
      <c r="AR1239" s="1031"/>
      <c r="AS1239" s="1072"/>
      <c r="AT1239" s="1075" t="s">
        <v>182</v>
      </c>
      <c r="AU1239" s="1005" t="s">
        <v>845</v>
      </c>
      <c r="AV1239" s="330">
        <f>SQRT(($R1239-Infrastructure!J$3)^2+($S1239-Infrastructure!K$3)^2)</f>
        <v>26.9267525</v>
      </c>
      <c r="AW1239" s="331">
        <f>SQRT(($R1239-Infrastructure!J$4)^2+($S1239-Infrastructure!K$4)^2)</f>
        <v>16.19197332</v>
      </c>
      <c r="AX1239" s="331">
        <f>SQRT(($R1239-Infrastructure!J$5)^2+($S1239-Infrastructure!K$5)^2)</f>
        <v>5.903388857</v>
      </c>
      <c r="AY1239" s="331">
        <f>SQRT(($R1239-Infrastructure!J$6)^2+($S1239-Infrastructure!K$6)^2)</f>
        <v>5.554277631</v>
      </c>
      <c r="AZ1239" s="331">
        <f>SQRT(($R1239-Infrastructure!J$7)^2+($S1239-Infrastructure!K$7)^2)</f>
        <v>15.65535052</v>
      </c>
      <c r="BA1239" s="331">
        <f>SQRT(($R1239-Infrastructure!J$8)^2+($S1239-Infrastructure!K$8)^2)</f>
        <v>25.19622988</v>
      </c>
      <c r="BB1239" s="331">
        <f>SQRT(($R1239-Infrastructure!J$9)^2+($S1239-Infrastructure!K$9)^2)</f>
        <v>35.09643857</v>
      </c>
      <c r="BC1239" s="331">
        <f>SQRT(($R1239-Infrastructure!J$10)^2+($S1239-Infrastructure!K$10)^2)</f>
        <v>37.16517187</v>
      </c>
      <c r="BD1239" s="331">
        <f>SQRT(($R1239-Infrastructure!J$11)^2+($S1239-Infrastructure!K$11)^2)</f>
        <v>44.06007263</v>
      </c>
      <c r="BE1239" s="333">
        <f>SQRT(($R1239-Infrastructure!J$12)^2+($S1239-Infrastructure!K$12)^2)</f>
        <v>55.50900828</v>
      </c>
      <c r="BF1239" s="330">
        <f t="shared" si="161"/>
        <v>5.554277631</v>
      </c>
      <c r="BG1239" s="333">
        <f t="shared" si="162"/>
        <v>55.50900828</v>
      </c>
      <c r="BH1239" s="943">
        <v>36526.0</v>
      </c>
      <c r="BI1239" s="319" t="s">
        <v>846</v>
      </c>
      <c r="BJ1239" s="319" t="s">
        <v>846</v>
      </c>
      <c r="BK1239" s="319"/>
      <c r="BL1239" s="319" t="s">
        <v>846</v>
      </c>
      <c r="BM1239" s="955"/>
      <c r="BN1239" s="319" t="s">
        <v>846</v>
      </c>
      <c r="BO1239" s="319" t="s">
        <v>846</v>
      </c>
      <c r="BP1239" s="953" t="s">
        <v>846</v>
      </c>
      <c r="BQ1239" s="319" t="s">
        <v>846</v>
      </c>
      <c r="BR1239" s="324" t="s">
        <v>846</v>
      </c>
      <c r="BS1239" s="330">
        <f t="shared" si="163"/>
        <v>5.554277631</v>
      </c>
      <c r="BT1239" s="331">
        <f t="shared" si="164"/>
        <v>55.50900828</v>
      </c>
      <c r="BU1239" s="920">
        <v>0.6249537037037037</v>
      </c>
      <c r="BV1239" s="903">
        <f t="shared" si="168"/>
        <v>-0.0003935185185</v>
      </c>
      <c r="BW1239" s="907">
        <v>22.0</v>
      </c>
      <c r="BX1239" s="908">
        <v>17.0</v>
      </c>
      <c r="BY1239" s="331">
        <f t="shared" si="166"/>
        <v>22.34390297</v>
      </c>
      <c r="BZ1239" s="340"/>
      <c r="CA1239" s="316"/>
      <c r="CB1239" s="318"/>
      <c r="CC1239" s="318"/>
      <c r="CD1239" s="318"/>
      <c r="CE1239" s="318"/>
      <c r="CF1239" s="318"/>
      <c r="CG1239" s="318"/>
      <c r="CH1239" s="318"/>
      <c r="CI1239" s="318"/>
      <c r="CJ1239" s="463"/>
      <c r="CK1239" s="342"/>
      <c r="CL1239" s="333"/>
      <c r="CM1239" s="872" t="s">
        <v>1918</v>
      </c>
      <c r="CN1239" s="847"/>
      <c r="CO1239" s="847"/>
      <c r="CP1239" s="847"/>
    </row>
    <row r="1240">
      <c r="B1240" s="1029" t="s">
        <v>1916</v>
      </c>
      <c r="C1240" s="1002">
        <v>44586.0</v>
      </c>
      <c r="D1240" s="1030"/>
      <c r="E1240" s="1031" t="s">
        <v>1362</v>
      </c>
      <c r="F1240" s="1005" t="s">
        <v>1942</v>
      </c>
      <c r="G1240" s="1006">
        <v>0.6291666666666667</v>
      </c>
      <c r="H1240" s="1007">
        <v>0.6293981481481481</v>
      </c>
      <c r="I1240" s="1007"/>
      <c r="J1240" s="1028"/>
      <c r="K1240" s="1028">
        <v>0.6298611111111111</v>
      </c>
      <c r="L1240" s="323">
        <v>4.62962962962963E-4</v>
      </c>
      <c r="M1240" s="319" t="s">
        <v>166</v>
      </c>
      <c r="N1240" s="1005" t="s">
        <v>187</v>
      </c>
      <c r="O1240" s="1068" t="s">
        <v>201</v>
      </c>
      <c r="P1240" s="1031" t="s">
        <v>256</v>
      </c>
      <c r="Q1240" s="318"/>
      <c r="R1240" s="1069">
        <v>5.0</v>
      </c>
      <c r="S1240" s="1004">
        <v>2.5</v>
      </c>
      <c r="T1240" s="1005">
        <v>0.7</v>
      </c>
      <c r="U1240" s="1070">
        <v>5.0</v>
      </c>
      <c r="V1240" s="1070"/>
      <c r="W1240" s="1070"/>
      <c r="X1240" s="1070"/>
      <c r="Y1240" s="1070"/>
      <c r="Z1240" s="1071" t="s">
        <v>339</v>
      </c>
      <c r="AA1240" s="1071"/>
      <c r="AB1240" s="1071" t="s">
        <v>337</v>
      </c>
      <c r="AC1240" s="1072">
        <v>2.5</v>
      </c>
      <c r="AD1240" s="1031"/>
      <c r="AE1240" s="1031"/>
      <c r="AF1240" s="1031"/>
      <c r="AG1240" s="1031"/>
      <c r="AH1240" s="1031"/>
      <c r="AI1240" s="1031"/>
      <c r="AJ1240" s="1072"/>
      <c r="AK1240" s="1073"/>
      <c r="AL1240" s="1031"/>
      <c r="AM1240" s="1031"/>
      <c r="AN1240" s="1031"/>
      <c r="AO1240" s="1031"/>
      <c r="AP1240" s="1031"/>
      <c r="AQ1240" s="1031"/>
      <c r="AR1240" s="1031"/>
      <c r="AS1240" s="1072"/>
      <c r="AT1240" s="1075" t="s">
        <v>182</v>
      </c>
      <c r="AU1240" s="1005" t="s">
        <v>845</v>
      </c>
      <c r="AV1240" s="330">
        <f>SQRT(($R1240-Infrastructure!J$3)^2+($S1240-Infrastructure!K$3)^2)</f>
        <v>26.9267525</v>
      </c>
      <c r="AW1240" s="331">
        <f>SQRT(($R1240-Infrastructure!J$4)^2+($S1240-Infrastructure!K$4)^2)</f>
        <v>16.19197332</v>
      </c>
      <c r="AX1240" s="331">
        <f>SQRT(($R1240-Infrastructure!J$5)^2+($S1240-Infrastructure!K$5)^2)</f>
        <v>5.903388857</v>
      </c>
      <c r="AY1240" s="331">
        <f>SQRT(($R1240-Infrastructure!J$6)^2+($S1240-Infrastructure!K$6)^2)</f>
        <v>5.554277631</v>
      </c>
      <c r="AZ1240" s="331">
        <f>SQRT(($R1240-Infrastructure!J$7)^2+($S1240-Infrastructure!K$7)^2)</f>
        <v>15.65535052</v>
      </c>
      <c r="BA1240" s="331">
        <f>SQRT(($R1240-Infrastructure!J$8)^2+($S1240-Infrastructure!K$8)^2)</f>
        <v>25.19622988</v>
      </c>
      <c r="BB1240" s="331">
        <f>SQRT(($R1240-Infrastructure!J$9)^2+($S1240-Infrastructure!K$9)^2)</f>
        <v>35.09643857</v>
      </c>
      <c r="BC1240" s="331">
        <f>SQRT(($R1240-Infrastructure!J$10)^2+($S1240-Infrastructure!K$10)^2)</f>
        <v>37.16517187</v>
      </c>
      <c r="BD1240" s="331">
        <f>SQRT(($R1240-Infrastructure!J$11)^2+($S1240-Infrastructure!K$11)^2)</f>
        <v>44.06007263</v>
      </c>
      <c r="BE1240" s="333">
        <f>SQRT(($R1240-Infrastructure!J$12)^2+($S1240-Infrastructure!K$12)^2)</f>
        <v>55.50900828</v>
      </c>
      <c r="BF1240" s="330">
        <f t="shared" si="161"/>
        <v>5.554277631</v>
      </c>
      <c r="BG1240" s="333">
        <f t="shared" si="162"/>
        <v>55.50900828</v>
      </c>
      <c r="BH1240" s="943">
        <v>36526.0</v>
      </c>
      <c r="BI1240" s="319" t="s">
        <v>846</v>
      </c>
      <c r="BJ1240" s="319" t="s">
        <v>846</v>
      </c>
      <c r="BK1240" s="319"/>
      <c r="BL1240" s="319" t="s">
        <v>846</v>
      </c>
      <c r="BM1240" s="955"/>
      <c r="BN1240" s="319" t="s">
        <v>846</v>
      </c>
      <c r="BO1240" s="319" t="s">
        <v>846</v>
      </c>
      <c r="BP1240" s="953" t="s">
        <v>846</v>
      </c>
      <c r="BQ1240" s="319" t="s">
        <v>846</v>
      </c>
      <c r="BR1240" s="324" t="s">
        <v>846</v>
      </c>
      <c r="BS1240" s="330">
        <f t="shared" si="163"/>
        <v>5.554277631</v>
      </c>
      <c r="BT1240" s="331">
        <f t="shared" si="164"/>
        <v>55.50900828</v>
      </c>
      <c r="BU1240" s="920">
        <v>0.6287384259259259</v>
      </c>
      <c r="BV1240" s="903">
        <f t="shared" si="168"/>
        <v>-0.0004282407407</v>
      </c>
      <c r="BW1240" s="907">
        <v>21.0</v>
      </c>
      <c r="BX1240" s="908">
        <v>16.0</v>
      </c>
      <c r="BY1240" s="331">
        <f t="shared" si="166"/>
        <v>20.93442142</v>
      </c>
      <c r="BZ1240" s="340"/>
      <c r="CA1240" s="316"/>
      <c r="CB1240" s="318"/>
      <c r="CC1240" s="318"/>
      <c r="CD1240" s="318"/>
      <c r="CE1240" s="318"/>
      <c r="CF1240" s="318"/>
      <c r="CG1240" s="318"/>
      <c r="CH1240" s="318"/>
      <c r="CI1240" s="318"/>
      <c r="CJ1240" s="463"/>
      <c r="CK1240" s="342"/>
      <c r="CL1240" s="333"/>
      <c r="CM1240" s="872" t="s">
        <v>1918</v>
      </c>
      <c r="CN1240" s="847"/>
      <c r="CO1240" s="847"/>
      <c r="CP1240" s="847"/>
    </row>
    <row r="1241">
      <c r="B1241" s="1029" t="s">
        <v>1916</v>
      </c>
      <c r="C1241" s="1002">
        <v>44586.0</v>
      </c>
      <c r="D1241" s="1030"/>
      <c r="E1241" s="1031" t="s">
        <v>1364</v>
      </c>
      <c r="F1241" s="1005" t="s">
        <v>1943</v>
      </c>
      <c r="G1241" s="1006">
        <v>0.6344328703703703</v>
      </c>
      <c r="H1241" s="1007">
        <v>0.6346064814814815</v>
      </c>
      <c r="I1241" s="1007"/>
      <c r="J1241" s="1028"/>
      <c r="K1241" s="1028">
        <v>0.6350694444444445</v>
      </c>
      <c r="L1241" s="323">
        <v>4.62962962962963E-4</v>
      </c>
      <c r="M1241" s="319" t="s">
        <v>166</v>
      </c>
      <c r="N1241" s="1005" t="s">
        <v>187</v>
      </c>
      <c r="O1241" s="1068" t="s">
        <v>201</v>
      </c>
      <c r="P1241" s="1031" t="s">
        <v>256</v>
      </c>
      <c r="Q1241" s="318"/>
      <c r="R1241" s="1069">
        <v>5.0</v>
      </c>
      <c r="S1241" s="1004">
        <v>2.5</v>
      </c>
      <c r="T1241" s="1005">
        <v>0.7</v>
      </c>
      <c r="U1241" s="1070">
        <v>5.0</v>
      </c>
      <c r="V1241" s="1070"/>
      <c r="W1241" s="1070"/>
      <c r="X1241" s="1070"/>
      <c r="Y1241" s="1070"/>
      <c r="Z1241" s="1071" t="s">
        <v>339</v>
      </c>
      <c r="AA1241" s="1071"/>
      <c r="AB1241" s="1071" t="s">
        <v>337</v>
      </c>
      <c r="AC1241" s="1072">
        <v>2.5</v>
      </c>
      <c r="AD1241" s="1031"/>
      <c r="AE1241" s="1031"/>
      <c r="AF1241" s="1031"/>
      <c r="AG1241" s="1031"/>
      <c r="AH1241" s="1031"/>
      <c r="AI1241" s="1031"/>
      <c r="AJ1241" s="1072"/>
      <c r="AK1241" s="1073"/>
      <c r="AL1241" s="1031"/>
      <c r="AM1241" s="1031"/>
      <c r="AN1241" s="1031"/>
      <c r="AO1241" s="1031"/>
      <c r="AP1241" s="1031"/>
      <c r="AQ1241" s="1031"/>
      <c r="AR1241" s="1031"/>
      <c r="AS1241" s="1072"/>
      <c r="AT1241" s="1075" t="s">
        <v>182</v>
      </c>
      <c r="AU1241" s="1005" t="s">
        <v>845</v>
      </c>
      <c r="AV1241" s="330">
        <f>SQRT(($R1241-Infrastructure!J$3)^2+($S1241-Infrastructure!K$3)^2)</f>
        <v>26.9267525</v>
      </c>
      <c r="AW1241" s="331">
        <f>SQRT(($R1241-Infrastructure!J$4)^2+($S1241-Infrastructure!K$4)^2)</f>
        <v>16.19197332</v>
      </c>
      <c r="AX1241" s="331">
        <f>SQRT(($R1241-Infrastructure!J$5)^2+($S1241-Infrastructure!K$5)^2)</f>
        <v>5.903388857</v>
      </c>
      <c r="AY1241" s="331">
        <f>SQRT(($R1241-Infrastructure!J$6)^2+($S1241-Infrastructure!K$6)^2)</f>
        <v>5.554277631</v>
      </c>
      <c r="AZ1241" s="331">
        <f>SQRT(($R1241-Infrastructure!J$7)^2+($S1241-Infrastructure!K$7)^2)</f>
        <v>15.65535052</v>
      </c>
      <c r="BA1241" s="331">
        <f>SQRT(($R1241-Infrastructure!J$8)^2+($S1241-Infrastructure!K$8)^2)</f>
        <v>25.19622988</v>
      </c>
      <c r="BB1241" s="331">
        <f>SQRT(($R1241-Infrastructure!J$9)^2+($S1241-Infrastructure!K$9)^2)</f>
        <v>35.09643857</v>
      </c>
      <c r="BC1241" s="331">
        <f>SQRT(($R1241-Infrastructure!J$10)^2+($S1241-Infrastructure!K$10)^2)</f>
        <v>37.16517187</v>
      </c>
      <c r="BD1241" s="331">
        <f>SQRT(($R1241-Infrastructure!J$11)^2+($S1241-Infrastructure!K$11)^2)</f>
        <v>44.06007263</v>
      </c>
      <c r="BE1241" s="333">
        <f>SQRT(($R1241-Infrastructure!J$12)^2+($S1241-Infrastructure!K$12)^2)</f>
        <v>55.50900828</v>
      </c>
      <c r="BF1241" s="330">
        <f t="shared" si="161"/>
        <v>5.554277631</v>
      </c>
      <c r="BG1241" s="333">
        <f t="shared" si="162"/>
        <v>55.50900828</v>
      </c>
      <c r="BH1241" s="943">
        <v>36526.0</v>
      </c>
      <c r="BI1241" s="319" t="s">
        <v>846</v>
      </c>
      <c r="BJ1241" s="319" t="s">
        <v>846</v>
      </c>
      <c r="BK1241" s="319" t="s">
        <v>846</v>
      </c>
      <c r="BL1241" s="319" t="s">
        <v>846</v>
      </c>
      <c r="BM1241" s="955"/>
      <c r="BN1241" s="319" t="s">
        <v>846</v>
      </c>
      <c r="BO1241" s="319" t="s">
        <v>846</v>
      </c>
      <c r="BP1241" s="953" t="s">
        <v>846</v>
      </c>
      <c r="BQ1241" s="319" t="s">
        <v>846</v>
      </c>
      <c r="BR1241" s="324" t="s">
        <v>846</v>
      </c>
      <c r="BS1241" s="330">
        <f t="shared" si="163"/>
        <v>5.554277631</v>
      </c>
      <c r="BT1241" s="331">
        <f t="shared" si="164"/>
        <v>55.50900828</v>
      </c>
      <c r="BU1241" s="920">
        <v>0.6339814814814815</v>
      </c>
      <c r="BV1241" s="903">
        <f t="shared" si="168"/>
        <v>-0.0004513888889</v>
      </c>
      <c r="BW1241" s="907">
        <v>21.0</v>
      </c>
      <c r="BX1241" s="908">
        <v>17.0</v>
      </c>
      <c r="BY1241" s="331">
        <f t="shared" si="166"/>
        <v>21.59282288</v>
      </c>
      <c r="BZ1241" s="340"/>
      <c r="CA1241" s="316"/>
      <c r="CB1241" s="318"/>
      <c r="CC1241" s="318"/>
      <c r="CD1241" s="318"/>
      <c r="CE1241" s="318"/>
      <c r="CF1241" s="318"/>
      <c r="CG1241" s="318"/>
      <c r="CH1241" s="318"/>
      <c r="CI1241" s="318"/>
      <c r="CJ1241" s="463"/>
      <c r="CK1241" s="342"/>
      <c r="CL1241" s="333"/>
      <c r="CM1241" s="872" t="s">
        <v>1918</v>
      </c>
      <c r="CN1241" s="847"/>
      <c r="CO1241" s="847"/>
      <c r="CP1241" s="847"/>
    </row>
    <row r="1242">
      <c r="B1242" s="1029" t="s">
        <v>1916</v>
      </c>
      <c r="C1242" s="1002">
        <v>44586.0</v>
      </c>
      <c r="D1242" s="1030"/>
      <c r="E1242" s="1031" t="s">
        <v>1366</v>
      </c>
      <c r="F1242" s="1005" t="s">
        <v>1944</v>
      </c>
      <c r="G1242" s="1006">
        <v>0.6354166666666666</v>
      </c>
      <c r="H1242" s="1007">
        <v>0.6355902777777778</v>
      </c>
      <c r="I1242" s="1007"/>
      <c r="J1242" s="1028"/>
      <c r="K1242" s="1028">
        <v>0.6359375</v>
      </c>
      <c r="L1242" s="323">
        <v>3.4722222222222224E-4</v>
      </c>
      <c r="M1242" s="319" t="s">
        <v>166</v>
      </c>
      <c r="N1242" s="1005" t="s">
        <v>187</v>
      </c>
      <c r="O1242" s="1068" t="s">
        <v>201</v>
      </c>
      <c r="P1242" s="1031" t="s">
        <v>256</v>
      </c>
      <c r="Q1242" s="318"/>
      <c r="R1242" s="1069">
        <v>5.0</v>
      </c>
      <c r="S1242" s="1004">
        <v>2.5</v>
      </c>
      <c r="T1242" s="1005">
        <v>0.7</v>
      </c>
      <c r="U1242" s="1070">
        <v>3.0</v>
      </c>
      <c r="V1242" s="1070"/>
      <c r="W1242" s="1070"/>
      <c r="X1242" s="1070"/>
      <c r="Y1242" s="1070"/>
      <c r="Z1242" s="1071" t="s">
        <v>339</v>
      </c>
      <c r="AA1242" s="1071"/>
      <c r="AB1242" s="1071" t="s">
        <v>337</v>
      </c>
      <c r="AC1242" s="1072">
        <v>2.5</v>
      </c>
      <c r="AD1242" s="1031"/>
      <c r="AE1242" s="1031"/>
      <c r="AF1242" s="1031"/>
      <c r="AG1242" s="1031"/>
      <c r="AH1242" s="1031"/>
      <c r="AI1242" s="1031"/>
      <c r="AJ1242" s="1072"/>
      <c r="AK1242" s="1073"/>
      <c r="AL1242" s="1031"/>
      <c r="AM1242" s="1031"/>
      <c r="AN1242" s="1031"/>
      <c r="AO1242" s="1031"/>
      <c r="AP1242" s="1031"/>
      <c r="AQ1242" s="1031"/>
      <c r="AR1242" s="1031"/>
      <c r="AS1242" s="1072"/>
      <c r="AT1242" s="1075" t="s">
        <v>182</v>
      </c>
      <c r="AU1242" s="1005" t="s">
        <v>845</v>
      </c>
      <c r="AV1242" s="330">
        <f>SQRT(($R1242-Infrastructure!J$3)^2+($S1242-Infrastructure!K$3)^2)</f>
        <v>26.9267525</v>
      </c>
      <c r="AW1242" s="331">
        <f>SQRT(($R1242-Infrastructure!J$4)^2+($S1242-Infrastructure!K$4)^2)</f>
        <v>16.19197332</v>
      </c>
      <c r="AX1242" s="331">
        <f>SQRT(($R1242-Infrastructure!J$5)^2+($S1242-Infrastructure!K$5)^2)</f>
        <v>5.903388857</v>
      </c>
      <c r="AY1242" s="331">
        <f>SQRT(($R1242-Infrastructure!J$6)^2+($S1242-Infrastructure!K$6)^2)</f>
        <v>5.554277631</v>
      </c>
      <c r="AZ1242" s="331">
        <f>SQRT(($R1242-Infrastructure!J$7)^2+($S1242-Infrastructure!K$7)^2)</f>
        <v>15.65535052</v>
      </c>
      <c r="BA1242" s="331">
        <f>SQRT(($R1242-Infrastructure!J$8)^2+($S1242-Infrastructure!K$8)^2)</f>
        <v>25.19622988</v>
      </c>
      <c r="BB1242" s="331">
        <f>SQRT(($R1242-Infrastructure!J$9)^2+($S1242-Infrastructure!K$9)^2)</f>
        <v>35.09643857</v>
      </c>
      <c r="BC1242" s="331">
        <f>SQRT(($R1242-Infrastructure!J$10)^2+($S1242-Infrastructure!K$10)^2)</f>
        <v>37.16517187</v>
      </c>
      <c r="BD1242" s="331">
        <f>SQRT(($R1242-Infrastructure!J$11)^2+($S1242-Infrastructure!K$11)^2)</f>
        <v>44.06007263</v>
      </c>
      <c r="BE1242" s="333">
        <f>SQRT(($R1242-Infrastructure!J$12)^2+($S1242-Infrastructure!K$12)^2)</f>
        <v>55.50900828</v>
      </c>
      <c r="BF1242" s="330">
        <f t="shared" si="161"/>
        <v>5.554277631</v>
      </c>
      <c r="BG1242" s="333">
        <f t="shared" si="162"/>
        <v>55.50900828</v>
      </c>
      <c r="BH1242" s="943">
        <v>36526.0</v>
      </c>
      <c r="BI1242" s="319" t="s">
        <v>846</v>
      </c>
      <c r="BJ1242" s="319" t="s">
        <v>846</v>
      </c>
      <c r="BK1242" s="319" t="s">
        <v>846</v>
      </c>
      <c r="BL1242" s="319" t="s">
        <v>846</v>
      </c>
      <c r="BM1242" s="955"/>
      <c r="BN1242" s="319" t="s">
        <v>846</v>
      </c>
      <c r="BO1242" s="319" t="s">
        <v>846</v>
      </c>
      <c r="BP1242" s="953" t="s">
        <v>846</v>
      </c>
      <c r="BQ1242" s="319" t="s">
        <v>846</v>
      </c>
      <c r="BR1242" s="324" t="s">
        <v>846</v>
      </c>
      <c r="BS1242" s="330">
        <f t="shared" si="163"/>
        <v>5.554277631</v>
      </c>
      <c r="BT1242" s="331">
        <f t="shared" si="164"/>
        <v>55.50900828</v>
      </c>
      <c r="BU1242" s="920">
        <v>0.6349652777777778</v>
      </c>
      <c r="BV1242" s="903">
        <f t="shared" si="168"/>
        <v>-0.0004513888889</v>
      </c>
      <c r="BW1242" s="907">
        <v>21.6</v>
      </c>
      <c r="BX1242" s="908">
        <v>17.2</v>
      </c>
      <c r="BY1242" s="331">
        <f t="shared" si="166"/>
        <v>22.173182</v>
      </c>
      <c r="BZ1242" s="340"/>
      <c r="CA1242" s="316"/>
      <c r="CB1242" s="318"/>
      <c r="CC1242" s="318"/>
      <c r="CD1242" s="318"/>
      <c r="CE1242" s="318"/>
      <c r="CF1242" s="318"/>
      <c r="CG1242" s="318"/>
      <c r="CH1242" s="318"/>
      <c r="CI1242" s="318"/>
      <c r="CJ1242" s="463"/>
      <c r="CK1242" s="342"/>
      <c r="CL1242" s="333"/>
      <c r="CM1242" s="872" t="s">
        <v>1918</v>
      </c>
      <c r="CN1242" s="847"/>
      <c r="CO1242" s="847"/>
      <c r="CP1242" s="847"/>
    </row>
    <row r="1243">
      <c r="B1243" s="1029" t="s">
        <v>1916</v>
      </c>
      <c r="C1243" s="1002">
        <v>44586.0</v>
      </c>
      <c r="D1243" s="1030"/>
      <c r="E1243" s="1031" t="s">
        <v>1368</v>
      </c>
      <c r="F1243" s="1005" t="s">
        <v>1945</v>
      </c>
      <c r="G1243" s="1006">
        <v>0.6363425925925926</v>
      </c>
      <c r="H1243" s="1007">
        <v>0.6365740740740741</v>
      </c>
      <c r="I1243" s="1007"/>
      <c r="J1243" s="1028"/>
      <c r="K1243" s="1028">
        <v>0.6369791666666667</v>
      </c>
      <c r="L1243" s="323">
        <v>4.050925925925926E-4</v>
      </c>
      <c r="M1243" s="319" t="s">
        <v>166</v>
      </c>
      <c r="N1243" s="1005" t="s">
        <v>187</v>
      </c>
      <c r="O1243" s="1068" t="s">
        <v>201</v>
      </c>
      <c r="P1243" s="1031" t="s">
        <v>256</v>
      </c>
      <c r="Q1243" s="318"/>
      <c r="R1243" s="1069">
        <v>5.0</v>
      </c>
      <c r="S1243" s="1004">
        <v>2.5</v>
      </c>
      <c r="T1243" s="1005">
        <v>0.7</v>
      </c>
      <c r="U1243" s="1070">
        <v>2.0</v>
      </c>
      <c r="V1243" s="1070"/>
      <c r="W1243" s="1070"/>
      <c r="X1243" s="1070"/>
      <c r="Y1243" s="1070"/>
      <c r="Z1243" s="1071" t="s">
        <v>339</v>
      </c>
      <c r="AA1243" s="1071"/>
      <c r="AB1243" s="1071" t="s">
        <v>337</v>
      </c>
      <c r="AC1243" s="1072">
        <v>2.5</v>
      </c>
      <c r="AD1243" s="1031"/>
      <c r="AE1243" s="1031"/>
      <c r="AF1243" s="1031"/>
      <c r="AG1243" s="1031"/>
      <c r="AH1243" s="1031"/>
      <c r="AI1243" s="1031"/>
      <c r="AJ1243" s="1072"/>
      <c r="AK1243" s="1073"/>
      <c r="AL1243" s="1031"/>
      <c r="AM1243" s="1031"/>
      <c r="AN1243" s="1031"/>
      <c r="AO1243" s="1031"/>
      <c r="AP1243" s="1031"/>
      <c r="AQ1243" s="1031"/>
      <c r="AR1243" s="1031"/>
      <c r="AS1243" s="1072"/>
      <c r="AT1243" s="1075" t="s">
        <v>182</v>
      </c>
      <c r="AU1243" s="1005" t="s">
        <v>845</v>
      </c>
      <c r="AV1243" s="330">
        <f>SQRT(($R1243-Infrastructure!J$3)^2+($S1243-Infrastructure!K$3)^2)</f>
        <v>26.9267525</v>
      </c>
      <c r="AW1243" s="331">
        <f>SQRT(($R1243-Infrastructure!J$4)^2+($S1243-Infrastructure!K$4)^2)</f>
        <v>16.19197332</v>
      </c>
      <c r="AX1243" s="331">
        <f>SQRT(($R1243-Infrastructure!J$5)^2+($S1243-Infrastructure!K$5)^2)</f>
        <v>5.903388857</v>
      </c>
      <c r="AY1243" s="331">
        <f>SQRT(($R1243-Infrastructure!J$6)^2+($S1243-Infrastructure!K$6)^2)</f>
        <v>5.554277631</v>
      </c>
      <c r="AZ1243" s="331">
        <f>SQRT(($R1243-Infrastructure!J$7)^2+($S1243-Infrastructure!K$7)^2)</f>
        <v>15.65535052</v>
      </c>
      <c r="BA1243" s="331">
        <f>SQRT(($R1243-Infrastructure!J$8)^2+($S1243-Infrastructure!K$8)^2)</f>
        <v>25.19622988</v>
      </c>
      <c r="BB1243" s="331">
        <f>SQRT(($R1243-Infrastructure!J$9)^2+($S1243-Infrastructure!K$9)^2)</f>
        <v>35.09643857</v>
      </c>
      <c r="BC1243" s="331">
        <f>SQRT(($R1243-Infrastructure!J$10)^2+($S1243-Infrastructure!K$10)^2)</f>
        <v>37.16517187</v>
      </c>
      <c r="BD1243" s="331">
        <f>SQRT(($R1243-Infrastructure!J$11)^2+($S1243-Infrastructure!K$11)^2)</f>
        <v>44.06007263</v>
      </c>
      <c r="BE1243" s="333">
        <f>SQRT(($R1243-Infrastructure!J$12)^2+($S1243-Infrastructure!K$12)^2)</f>
        <v>55.50900828</v>
      </c>
      <c r="BF1243" s="330">
        <f t="shared" si="161"/>
        <v>5.554277631</v>
      </c>
      <c r="BG1243" s="333">
        <f t="shared" si="162"/>
        <v>55.50900828</v>
      </c>
      <c r="BH1243" s="943">
        <v>36526.0</v>
      </c>
      <c r="BI1243" s="319" t="s">
        <v>846</v>
      </c>
      <c r="BJ1243" s="319" t="s">
        <v>846</v>
      </c>
      <c r="BK1243" s="319"/>
      <c r="BL1243" s="319" t="s">
        <v>846</v>
      </c>
      <c r="BM1243" s="955"/>
      <c r="BN1243" s="319" t="s">
        <v>846</v>
      </c>
      <c r="BO1243" s="319" t="s">
        <v>846</v>
      </c>
      <c r="BP1243" s="953" t="s">
        <v>846</v>
      </c>
      <c r="BQ1243" s="319" t="s">
        <v>846</v>
      </c>
      <c r="BR1243" s="324" t="s">
        <v>846</v>
      </c>
      <c r="BS1243" s="330">
        <f t="shared" si="163"/>
        <v>5.554277631</v>
      </c>
      <c r="BT1243" s="331">
        <f t="shared" si="164"/>
        <v>55.50900828</v>
      </c>
      <c r="BU1243" s="920">
        <v>0.6358796296296296</v>
      </c>
      <c r="BV1243" s="903">
        <f t="shared" si="168"/>
        <v>-0.000462962963</v>
      </c>
      <c r="BW1243" s="907">
        <v>20.3</v>
      </c>
      <c r="BX1243" s="908">
        <v>17.2</v>
      </c>
      <c r="BY1243" s="331">
        <f t="shared" si="166"/>
        <v>21.21744565</v>
      </c>
      <c r="BZ1243" s="340"/>
      <c r="CA1243" s="316"/>
      <c r="CB1243" s="318"/>
      <c r="CC1243" s="318"/>
      <c r="CD1243" s="318"/>
      <c r="CE1243" s="318"/>
      <c r="CF1243" s="318"/>
      <c r="CG1243" s="318"/>
      <c r="CH1243" s="318"/>
      <c r="CI1243" s="318"/>
      <c r="CJ1243" s="463"/>
      <c r="CK1243" s="342"/>
      <c r="CL1243" s="333"/>
      <c r="CM1243" s="872" t="s">
        <v>1918</v>
      </c>
      <c r="CN1243" s="847"/>
      <c r="CO1243" s="847"/>
      <c r="CP1243" s="847"/>
    </row>
    <row r="1244">
      <c r="B1244" s="1029" t="s">
        <v>1916</v>
      </c>
      <c r="C1244" s="1002">
        <v>44586.0</v>
      </c>
      <c r="D1244" s="1030"/>
      <c r="E1244" s="1031" t="s">
        <v>1370</v>
      </c>
      <c r="F1244" s="1005" t="s">
        <v>1946</v>
      </c>
      <c r="G1244" s="1006">
        <v>0.6373263888888889</v>
      </c>
      <c r="H1244" s="1007">
        <v>0.6375</v>
      </c>
      <c r="I1244" s="1007"/>
      <c r="J1244" s="1028"/>
      <c r="K1244" s="1028">
        <v>0.6382523148148148</v>
      </c>
      <c r="L1244" s="323">
        <v>7.523148148148148E-4</v>
      </c>
      <c r="M1244" s="319" t="s">
        <v>166</v>
      </c>
      <c r="N1244" s="1005" t="s">
        <v>187</v>
      </c>
      <c r="O1244" s="1068" t="s">
        <v>201</v>
      </c>
      <c r="P1244" s="1031" t="s">
        <v>256</v>
      </c>
      <c r="Q1244" s="318"/>
      <c r="R1244" s="1069">
        <v>5.0</v>
      </c>
      <c r="S1244" s="1004">
        <v>2.5</v>
      </c>
      <c r="T1244" s="1005">
        <v>0.7</v>
      </c>
      <c r="U1244" s="1070">
        <v>1.0</v>
      </c>
      <c r="V1244" s="1070"/>
      <c r="W1244" s="1070"/>
      <c r="X1244" s="1070"/>
      <c r="Y1244" s="1070"/>
      <c r="Z1244" s="1071" t="s">
        <v>339</v>
      </c>
      <c r="AA1244" s="1071"/>
      <c r="AB1244" s="1071" t="s">
        <v>337</v>
      </c>
      <c r="AC1244" s="1072">
        <v>2.5</v>
      </c>
      <c r="AD1244" s="1031"/>
      <c r="AE1244" s="1031"/>
      <c r="AF1244" s="1031"/>
      <c r="AG1244" s="1031"/>
      <c r="AH1244" s="1031"/>
      <c r="AI1244" s="1031"/>
      <c r="AJ1244" s="1072"/>
      <c r="AK1244" s="1073"/>
      <c r="AL1244" s="1031"/>
      <c r="AM1244" s="1031"/>
      <c r="AN1244" s="1031"/>
      <c r="AO1244" s="1031"/>
      <c r="AP1244" s="1031"/>
      <c r="AQ1244" s="1031"/>
      <c r="AR1244" s="1031"/>
      <c r="AS1244" s="1072"/>
      <c r="AT1244" s="1075" t="s">
        <v>182</v>
      </c>
      <c r="AU1244" s="1005" t="s">
        <v>845</v>
      </c>
      <c r="AV1244" s="330">
        <f>SQRT(($R1244-Infrastructure!J$3)^2+($S1244-Infrastructure!K$3)^2)</f>
        <v>26.9267525</v>
      </c>
      <c r="AW1244" s="331">
        <f>SQRT(($R1244-Infrastructure!J$4)^2+($S1244-Infrastructure!K$4)^2)</f>
        <v>16.19197332</v>
      </c>
      <c r="AX1244" s="331">
        <f>SQRT(($R1244-Infrastructure!J$5)^2+($S1244-Infrastructure!K$5)^2)</f>
        <v>5.903388857</v>
      </c>
      <c r="AY1244" s="331">
        <f>SQRT(($R1244-Infrastructure!J$6)^2+($S1244-Infrastructure!K$6)^2)</f>
        <v>5.554277631</v>
      </c>
      <c r="AZ1244" s="331">
        <f>SQRT(($R1244-Infrastructure!J$7)^2+($S1244-Infrastructure!K$7)^2)</f>
        <v>15.65535052</v>
      </c>
      <c r="BA1244" s="331">
        <f>SQRT(($R1244-Infrastructure!J$8)^2+($S1244-Infrastructure!K$8)^2)</f>
        <v>25.19622988</v>
      </c>
      <c r="BB1244" s="331">
        <f>SQRT(($R1244-Infrastructure!J$9)^2+($S1244-Infrastructure!K$9)^2)</f>
        <v>35.09643857</v>
      </c>
      <c r="BC1244" s="331">
        <f>SQRT(($R1244-Infrastructure!J$10)^2+($S1244-Infrastructure!K$10)^2)</f>
        <v>37.16517187</v>
      </c>
      <c r="BD1244" s="331">
        <f>SQRT(($R1244-Infrastructure!J$11)^2+($S1244-Infrastructure!K$11)^2)</f>
        <v>44.06007263</v>
      </c>
      <c r="BE1244" s="333">
        <f>SQRT(($R1244-Infrastructure!J$12)^2+($S1244-Infrastructure!K$12)^2)</f>
        <v>55.50900828</v>
      </c>
      <c r="BF1244" s="330">
        <f t="shared" si="161"/>
        <v>5.554277631</v>
      </c>
      <c r="BG1244" s="333">
        <f t="shared" si="162"/>
        <v>55.50900828</v>
      </c>
      <c r="BH1244" s="943">
        <v>36526.0</v>
      </c>
      <c r="BI1244" s="319"/>
      <c r="BJ1244" s="319" t="s">
        <v>846</v>
      </c>
      <c r="BK1244" s="319" t="s">
        <v>846</v>
      </c>
      <c r="BL1244" s="319" t="s">
        <v>846</v>
      </c>
      <c r="BM1244" s="955"/>
      <c r="BN1244" s="319" t="s">
        <v>846</v>
      </c>
      <c r="BO1244" s="319"/>
      <c r="BP1244" s="953"/>
      <c r="BQ1244" s="319"/>
      <c r="BR1244" s="324"/>
      <c r="BS1244" s="330">
        <f t="shared" si="163"/>
        <v>5.554277631</v>
      </c>
      <c r="BT1244" s="331">
        <f t="shared" si="164"/>
        <v>25.19622988</v>
      </c>
      <c r="BU1244" s="920">
        <v>0.6369097222222222</v>
      </c>
      <c r="BV1244" s="903">
        <f t="shared" si="168"/>
        <v>-0.0004166666667</v>
      </c>
      <c r="BW1244" s="907">
        <v>9.6</v>
      </c>
      <c r="BX1244" s="908">
        <v>5.7</v>
      </c>
      <c r="BY1244" s="331">
        <f t="shared" si="166"/>
        <v>5.60357029</v>
      </c>
      <c r="BZ1244" s="340"/>
      <c r="CA1244" s="316"/>
      <c r="CB1244" s="318"/>
      <c r="CC1244" s="318"/>
      <c r="CD1244" s="318"/>
      <c r="CE1244" s="318"/>
      <c r="CF1244" s="318"/>
      <c r="CG1244" s="318"/>
      <c r="CH1244" s="318"/>
      <c r="CI1244" s="318"/>
      <c r="CJ1244" s="463"/>
      <c r="CK1244" s="342"/>
      <c r="CL1244" s="333"/>
      <c r="CM1244" s="872" t="s">
        <v>1918</v>
      </c>
      <c r="CN1244" s="847"/>
      <c r="CO1244" s="847"/>
      <c r="CP1244" s="847"/>
    </row>
    <row r="1245">
      <c r="B1245" s="1029" t="s">
        <v>1916</v>
      </c>
      <c r="C1245" s="1002">
        <v>44586.0</v>
      </c>
      <c r="D1245" s="1030"/>
      <c r="E1245" s="1031" t="s">
        <v>1372</v>
      </c>
      <c r="F1245" s="1005" t="s">
        <v>1947</v>
      </c>
      <c r="G1245" s="1006">
        <v>0.6385416666666667</v>
      </c>
      <c r="H1245" s="1007">
        <v>0.6387152777777778</v>
      </c>
      <c r="I1245" s="1007"/>
      <c r="J1245" s="1028"/>
      <c r="K1245" s="1028">
        <v>0.6394097222222223</v>
      </c>
      <c r="L1245" s="323">
        <v>6.944444444444445E-4</v>
      </c>
      <c r="M1245" s="319" t="s">
        <v>166</v>
      </c>
      <c r="N1245" s="1005" t="s">
        <v>187</v>
      </c>
      <c r="O1245" s="1068" t="s">
        <v>201</v>
      </c>
      <c r="P1245" s="1031" t="s">
        <v>256</v>
      </c>
      <c r="Q1245" s="318"/>
      <c r="R1245" s="1069">
        <v>5.0</v>
      </c>
      <c r="S1245" s="1004">
        <v>2.5</v>
      </c>
      <c r="T1245" s="1005">
        <v>0.7</v>
      </c>
      <c r="U1245" s="1070">
        <v>0.5</v>
      </c>
      <c r="V1245" s="1070"/>
      <c r="W1245" s="1070"/>
      <c r="X1245" s="1070"/>
      <c r="Y1245" s="1070"/>
      <c r="Z1245" s="1071" t="s">
        <v>339</v>
      </c>
      <c r="AA1245" s="1071"/>
      <c r="AB1245" s="1071" t="s">
        <v>337</v>
      </c>
      <c r="AC1245" s="1072">
        <v>2.5</v>
      </c>
      <c r="AD1245" s="1031"/>
      <c r="AE1245" s="1031"/>
      <c r="AF1245" s="1031"/>
      <c r="AG1245" s="1031"/>
      <c r="AH1245" s="1031"/>
      <c r="AI1245" s="1031"/>
      <c r="AJ1245" s="1072"/>
      <c r="AK1245" s="1073"/>
      <c r="AL1245" s="1031"/>
      <c r="AM1245" s="1031"/>
      <c r="AN1245" s="1031"/>
      <c r="AO1245" s="1031"/>
      <c r="AP1245" s="1031"/>
      <c r="AQ1245" s="1031"/>
      <c r="AR1245" s="1031"/>
      <c r="AS1245" s="1072"/>
      <c r="AT1245" s="1075" t="s">
        <v>181</v>
      </c>
      <c r="AU1245" s="1005" t="s">
        <v>845</v>
      </c>
      <c r="AV1245" s="330">
        <f>SQRT(($R1245-Infrastructure!J$3)^2+($S1245-Infrastructure!K$3)^2)</f>
        <v>26.9267525</v>
      </c>
      <c r="AW1245" s="331">
        <f>SQRT(($R1245-Infrastructure!J$4)^2+($S1245-Infrastructure!K$4)^2)</f>
        <v>16.19197332</v>
      </c>
      <c r="AX1245" s="331">
        <f>SQRT(($R1245-Infrastructure!J$5)^2+($S1245-Infrastructure!K$5)^2)</f>
        <v>5.903388857</v>
      </c>
      <c r="AY1245" s="331">
        <f>SQRT(($R1245-Infrastructure!J$6)^2+($S1245-Infrastructure!K$6)^2)</f>
        <v>5.554277631</v>
      </c>
      <c r="AZ1245" s="331">
        <f>SQRT(($R1245-Infrastructure!J$7)^2+($S1245-Infrastructure!K$7)^2)</f>
        <v>15.65535052</v>
      </c>
      <c r="BA1245" s="331">
        <f>SQRT(($R1245-Infrastructure!J$8)^2+($S1245-Infrastructure!K$8)^2)</f>
        <v>25.19622988</v>
      </c>
      <c r="BB1245" s="331">
        <f>SQRT(($R1245-Infrastructure!J$9)^2+($S1245-Infrastructure!K$9)^2)</f>
        <v>35.09643857</v>
      </c>
      <c r="BC1245" s="331">
        <f>SQRT(($R1245-Infrastructure!J$10)^2+($S1245-Infrastructure!K$10)^2)</f>
        <v>37.16517187</v>
      </c>
      <c r="BD1245" s="331">
        <f>SQRT(($R1245-Infrastructure!J$11)^2+($S1245-Infrastructure!K$11)^2)</f>
        <v>44.06007263</v>
      </c>
      <c r="BE1245" s="333">
        <f>SQRT(($R1245-Infrastructure!J$12)^2+($S1245-Infrastructure!K$12)^2)</f>
        <v>55.50900828</v>
      </c>
      <c r="BF1245" s="330">
        <f t="shared" si="161"/>
        <v>5.554277631</v>
      </c>
      <c r="BG1245" s="333">
        <f t="shared" si="162"/>
        <v>55.50900828</v>
      </c>
      <c r="BH1245" s="943">
        <v>36526.0</v>
      </c>
      <c r="BI1245" s="319"/>
      <c r="BJ1245" s="319" t="s">
        <v>846</v>
      </c>
      <c r="BK1245" s="319" t="s">
        <v>846</v>
      </c>
      <c r="BL1245" s="319" t="s">
        <v>846</v>
      </c>
      <c r="BM1245" s="955"/>
      <c r="BN1245" s="319" t="s">
        <v>846</v>
      </c>
      <c r="BO1245" s="319"/>
      <c r="BP1245" s="953"/>
      <c r="BQ1245" s="319"/>
      <c r="BR1245" s="324"/>
      <c r="BS1245" s="330">
        <f t="shared" si="163"/>
        <v>5.554277631</v>
      </c>
      <c r="BT1245" s="331">
        <f t="shared" si="164"/>
        <v>25.19622988</v>
      </c>
      <c r="BU1245" s="920">
        <v>0.6382638888888889</v>
      </c>
      <c r="BV1245" s="903">
        <f t="shared" si="168"/>
        <v>-0.0002777777778</v>
      </c>
      <c r="BW1245" s="907">
        <v>5.0</v>
      </c>
      <c r="BX1245" s="908">
        <v>7.2</v>
      </c>
      <c r="BY1245" s="331">
        <f t="shared" si="166"/>
        <v>4.7</v>
      </c>
      <c r="BZ1245" s="340"/>
      <c r="CA1245" s="316"/>
      <c r="CB1245" s="318"/>
      <c r="CC1245" s="318"/>
      <c r="CD1245" s="318"/>
      <c r="CE1245" s="318"/>
      <c r="CF1245" s="318"/>
      <c r="CG1245" s="318"/>
      <c r="CH1245" s="318"/>
      <c r="CI1245" s="318"/>
      <c r="CJ1245" s="463"/>
      <c r="CK1245" s="342"/>
      <c r="CL1245" s="333"/>
      <c r="CM1245" s="872" t="s">
        <v>1918</v>
      </c>
      <c r="CN1245" s="847"/>
      <c r="CO1245" s="847"/>
      <c r="CP1245" s="847"/>
    </row>
    <row r="1246">
      <c r="B1246" s="1029" t="s">
        <v>1916</v>
      </c>
      <c r="C1246" s="1002">
        <v>44586.0</v>
      </c>
      <c r="D1246" s="1030"/>
      <c r="E1246" s="1031"/>
      <c r="F1246" s="1005" t="s">
        <v>1948</v>
      </c>
      <c r="G1246" s="1006">
        <v>0.6638888888888889</v>
      </c>
      <c r="H1246" s="1007"/>
      <c r="I1246" s="1007"/>
      <c r="J1246" s="1028"/>
      <c r="K1246" s="1028">
        <v>0.6649305555555556</v>
      </c>
      <c r="L1246" s="323">
        <v>0.0010416666666666667</v>
      </c>
      <c r="M1246" s="319" t="s">
        <v>166</v>
      </c>
      <c r="N1246" s="1005" t="s">
        <v>188</v>
      </c>
      <c r="O1246" s="1068"/>
      <c r="P1246" s="1031" t="s">
        <v>292</v>
      </c>
      <c r="Q1246" s="318"/>
      <c r="R1246" s="1069"/>
      <c r="S1246" s="1004"/>
      <c r="T1246" s="1005"/>
      <c r="U1246" s="1070"/>
      <c r="V1246" s="1070"/>
      <c r="W1246" s="1070"/>
      <c r="X1246" s="1070"/>
      <c r="Y1246" s="1070"/>
      <c r="Z1246" s="1071" t="s">
        <v>323</v>
      </c>
      <c r="AA1246" s="1071"/>
      <c r="AB1246" s="1071" t="s">
        <v>323</v>
      </c>
      <c r="AC1246" s="1072" t="s">
        <v>323</v>
      </c>
      <c r="AD1246" s="1031"/>
      <c r="AE1246" s="1031"/>
      <c r="AF1246" s="1031"/>
      <c r="AG1246" s="1031"/>
      <c r="AH1246" s="1031"/>
      <c r="AI1246" s="1031"/>
      <c r="AJ1246" s="1072"/>
      <c r="AK1246" s="1073"/>
      <c r="AL1246" s="1031"/>
      <c r="AM1246" s="1031"/>
      <c r="AN1246" s="1031"/>
      <c r="AO1246" s="1031"/>
      <c r="AP1246" s="1031"/>
      <c r="AQ1246" s="1031"/>
      <c r="AR1246" s="1031"/>
      <c r="AS1246" s="1072"/>
      <c r="AT1246" s="1075" t="s">
        <v>1949</v>
      </c>
      <c r="AU1246" s="1005" t="s">
        <v>845</v>
      </c>
      <c r="AV1246" s="330">
        <f>SQRT(($R1246-Infrastructure!J$3)^2+($S1246-Infrastructure!K$3)^2)</f>
        <v>28.90155705</v>
      </c>
      <c r="AW1246" s="331">
        <f>SQRT(($R1246-Infrastructure!J$4)^2+($S1246-Infrastructure!K$4)^2)</f>
        <v>17.80252791</v>
      </c>
      <c r="AX1246" s="331">
        <f>SQRT(($R1246-Infrastructure!J$5)^2+($S1246-Infrastructure!K$5)^2)</f>
        <v>5.10881591</v>
      </c>
      <c r="AY1246" s="331">
        <f>SQRT(($R1246-Infrastructure!J$6)^2+($S1246-Infrastructure!K$6)^2)</f>
        <v>10.10445446</v>
      </c>
      <c r="AZ1246" s="331">
        <f>SQRT(($R1246-Infrastructure!J$7)^2+($S1246-Infrastructure!K$7)^2)</f>
        <v>20.502195</v>
      </c>
      <c r="BA1246" s="331">
        <f>SQRT(($R1246-Infrastructure!J$8)^2+($S1246-Infrastructure!K$8)^2)</f>
        <v>30.10149498</v>
      </c>
      <c r="BB1246" s="331">
        <f>SQRT(($R1246-Infrastructure!J$9)^2+($S1246-Infrastructure!K$9)^2)</f>
        <v>40.3238143</v>
      </c>
      <c r="BC1246" s="331">
        <f>SQRT(($R1246-Infrastructure!J$10)^2+($S1246-Infrastructure!K$10)^2)</f>
        <v>42.72001873</v>
      </c>
      <c r="BD1246" s="331">
        <f>SQRT(($R1246-Infrastructure!J$11)^2+($S1246-Infrastructure!K$11)^2)</f>
        <v>49.56853841</v>
      </c>
      <c r="BE1246" s="333">
        <f>SQRT(($R1246-Infrastructure!J$12)^2+($S1246-Infrastructure!K$12)^2)</f>
        <v>59.51890456</v>
      </c>
      <c r="BF1246" s="330">
        <f t="shared" si="161"/>
        <v>5.10881591</v>
      </c>
      <c r="BG1246" s="333">
        <f t="shared" si="162"/>
        <v>59.51890456</v>
      </c>
      <c r="BH1246" s="943">
        <v>36526.0</v>
      </c>
      <c r="BI1246" s="319"/>
      <c r="BJ1246" s="319"/>
      <c r="BK1246" s="319"/>
      <c r="BL1246" s="319"/>
      <c r="BM1246" s="955"/>
      <c r="BN1246" s="319"/>
      <c r="BO1246" s="319"/>
      <c r="BP1246" s="953"/>
      <c r="BQ1246" s="319"/>
      <c r="BR1246" s="324"/>
      <c r="BS1246" s="330"/>
      <c r="BT1246" s="331"/>
      <c r="BU1246" s="920"/>
      <c r="BV1246" s="903"/>
      <c r="BW1246" s="907"/>
      <c r="BX1246" s="908"/>
      <c r="BY1246" s="331" t="b">
        <f t="shared" si="166"/>
        <v>0</v>
      </c>
      <c r="BZ1246" s="340"/>
      <c r="CA1246" s="316"/>
      <c r="CB1246" s="318"/>
      <c r="CC1246" s="318"/>
      <c r="CD1246" s="318"/>
      <c r="CE1246" s="318"/>
      <c r="CF1246" s="318"/>
      <c r="CG1246" s="318"/>
      <c r="CH1246" s="318"/>
      <c r="CI1246" s="318"/>
      <c r="CJ1246" s="463"/>
      <c r="CK1246" s="342"/>
      <c r="CL1246" s="333"/>
      <c r="CM1246" s="872"/>
      <c r="CN1246" s="847"/>
      <c r="CO1246" s="847"/>
      <c r="CP1246" s="847"/>
    </row>
    <row r="1247">
      <c r="B1247" s="1029" t="s">
        <v>1916</v>
      </c>
      <c r="C1247" s="1002">
        <v>44586.0</v>
      </c>
      <c r="D1247" s="1030"/>
      <c r="E1247" s="1031"/>
      <c r="F1247" s="1005" t="s">
        <v>1948</v>
      </c>
      <c r="G1247" s="1006">
        <v>0.6701388888888888</v>
      </c>
      <c r="H1247" s="1007"/>
      <c r="I1247" s="1007"/>
      <c r="J1247" s="1028"/>
      <c r="K1247" s="1028">
        <v>0.6732638888888889</v>
      </c>
      <c r="L1247" s="323">
        <v>0.003125</v>
      </c>
      <c r="M1247" s="319" t="s">
        <v>358</v>
      </c>
      <c r="N1247" s="1005" t="s">
        <v>188</v>
      </c>
      <c r="O1247" s="1068"/>
      <c r="P1247" s="1031" t="s">
        <v>294</v>
      </c>
      <c r="Q1247" s="318"/>
      <c r="R1247" s="1069"/>
      <c r="S1247" s="1004"/>
      <c r="T1247" s="1005"/>
      <c r="U1247" s="1070"/>
      <c r="V1247" s="1070"/>
      <c r="W1247" s="1070"/>
      <c r="X1247" s="1070"/>
      <c r="Y1247" s="1070"/>
      <c r="Z1247" s="1071" t="s">
        <v>323</v>
      </c>
      <c r="AA1247" s="1071"/>
      <c r="AB1247" s="1071" t="s">
        <v>323</v>
      </c>
      <c r="AC1247" s="1072" t="s">
        <v>323</v>
      </c>
      <c r="AD1247" s="1031"/>
      <c r="AE1247" s="1031"/>
      <c r="AF1247" s="1031"/>
      <c r="AG1247" s="1031"/>
      <c r="AH1247" s="1031"/>
      <c r="AI1247" s="1031"/>
      <c r="AJ1247" s="1072"/>
      <c r="AK1247" s="1073"/>
      <c r="AL1247" s="1031"/>
      <c r="AM1247" s="1031"/>
      <c r="AN1247" s="1031"/>
      <c r="AO1247" s="1031"/>
      <c r="AP1247" s="1031"/>
      <c r="AQ1247" s="1031"/>
      <c r="AR1247" s="1031"/>
      <c r="AS1247" s="1072"/>
      <c r="AT1247" s="1075" t="s">
        <v>1949</v>
      </c>
      <c r="AU1247" s="1005" t="s">
        <v>845</v>
      </c>
      <c r="AV1247" s="330">
        <f>SQRT(($R1247-Infrastructure!J$3)^2+($S1247-Infrastructure!K$3)^2)</f>
        <v>28.90155705</v>
      </c>
      <c r="AW1247" s="331">
        <f>SQRT(($R1247-Infrastructure!J$4)^2+($S1247-Infrastructure!K$4)^2)</f>
        <v>17.80252791</v>
      </c>
      <c r="AX1247" s="331">
        <f>SQRT(($R1247-Infrastructure!J$5)^2+($S1247-Infrastructure!K$5)^2)</f>
        <v>5.10881591</v>
      </c>
      <c r="AY1247" s="331">
        <f>SQRT(($R1247-Infrastructure!J$6)^2+($S1247-Infrastructure!K$6)^2)</f>
        <v>10.10445446</v>
      </c>
      <c r="AZ1247" s="331">
        <f>SQRT(($R1247-Infrastructure!J$7)^2+($S1247-Infrastructure!K$7)^2)</f>
        <v>20.502195</v>
      </c>
      <c r="BA1247" s="331">
        <f>SQRT(($R1247-Infrastructure!J$8)^2+($S1247-Infrastructure!K$8)^2)</f>
        <v>30.10149498</v>
      </c>
      <c r="BB1247" s="331">
        <f>SQRT(($R1247-Infrastructure!J$9)^2+($S1247-Infrastructure!K$9)^2)</f>
        <v>40.3238143</v>
      </c>
      <c r="BC1247" s="331">
        <f>SQRT(($R1247-Infrastructure!J$10)^2+($S1247-Infrastructure!K$10)^2)</f>
        <v>42.72001873</v>
      </c>
      <c r="BD1247" s="331">
        <f>SQRT(($R1247-Infrastructure!J$11)^2+($S1247-Infrastructure!K$11)^2)</f>
        <v>49.56853841</v>
      </c>
      <c r="BE1247" s="333">
        <f>SQRT(($R1247-Infrastructure!J$12)^2+($S1247-Infrastructure!K$12)^2)</f>
        <v>59.51890456</v>
      </c>
      <c r="BF1247" s="330">
        <f t="shared" si="161"/>
        <v>5.10881591</v>
      </c>
      <c r="BG1247" s="333">
        <f t="shared" si="162"/>
        <v>59.51890456</v>
      </c>
      <c r="BH1247" s="943">
        <v>36526.0</v>
      </c>
      <c r="BI1247" s="319"/>
      <c r="BJ1247" s="319"/>
      <c r="BK1247" s="319"/>
      <c r="BL1247" s="319"/>
      <c r="BM1247" s="955"/>
      <c r="BN1247" s="319"/>
      <c r="BO1247" s="319"/>
      <c r="BP1247" s="953"/>
      <c r="BQ1247" s="319"/>
      <c r="BR1247" s="324"/>
      <c r="BS1247" s="330"/>
      <c r="BT1247" s="331"/>
      <c r="BU1247" s="920"/>
      <c r="BV1247" s="903"/>
      <c r="BW1247" s="907"/>
      <c r="BX1247" s="908"/>
      <c r="BY1247" s="331" t="b">
        <f t="shared" si="166"/>
        <v>0</v>
      </c>
      <c r="BZ1247" s="340"/>
      <c r="CA1247" s="316"/>
      <c r="CB1247" s="318"/>
      <c r="CC1247" s="318"/>
      <c r="CD1247" s="318"/>
      <c r="CE1247" s="318"/>
      <c r="CF1247" s="318"/>
      <c r="CG1247" s="318"/>
      <c r="CH1247" s="318"/>
      <c r="CI1247" s="318"/>
      <c r="CJ1247" s="463"/>
      <c r="CK1247" s="342"/>
      <c r="CL1247" s="333"/>
      <c r="CM1247" s="872"/>
      <c r="CN1247" s="847"/>
      <c r="CO1247" s="847"/>
      <c r="CP1247" s="847"/>
    </row>
    <row r="1248">
      <c r="A1248" s="1050" t="s">
        <v>65</v>
      </c>
      <c r="B1248" s="1051" t="s">
        <v>1916</v>
      </c>
      <c r="C1248" s="1052">
        <v>44593.0</v>
      </c>
      <c r="D1248" s="1053"/>
      <c r="E1248" s="1054">
        <v>1.0</v>
      </c>
      <c r="F1248" s="1055" t="s">
        <v>1950</v>
      </c>
      <c r="G1248" s="1056">
        <v>0.42569444444444443</v>
      </c>
      <c r="H1248" s="1057">
        <v>0.42604166666666665</v>
      </c>
      <c r="I1248" s="1057"/>
      <c r="J1248" s="1058"/>
      <c r="K1248" s="1058">
        <v>0.4270833333333333</v>
      </c>
      <c r="L1248" s="456">
        <v>0.0010416666666666667</v>
      </c>
      <c r="M1248" s="393" t="s">
        <v>166</v>
      </c>
      <c r="N1248" s="1055" t="s">
        <v>188</v>
      </c>
      <c r="O1248" s="1059" t="s">
        <v>196</v>
      </c>
      <c r="P1248" s="1054" t="s">
        <v>224</v>
      </c>
      <c r="Q1248" s="393" t="s">
        <v>842</v>
      </c>
      <c r="R1248" s="1060">
        <v>21.7</v>
      </c>
      <c r="S1248" s="1061">
        <v>39.5</v>
      </c>
      <c r="T1248" s="1055">
        <v>1.26</v>
      </c>
      <c r="U1248" s="1062">
        <v>25.0</v>
      </c>
      <c r="V1248" s="1062"/>
      <c r="W1248" s="1062"/>
      <c r="X1248" s="1062"/>
      <c r="Y1248" s="1062"/>
      <c r="Z1248" s="1063" t="s">
        <v>387</v>
      </c>
      <c r="AA1248" s="1063"/>
      <c r="AB1248" s="1063" t="s">
        <v>416</v>
      </c>
      <c r="AC1248" s="1064">
        <v>52.5</v>
      </c>
      <c r="AD1248" s="1054"/>
      <c r="AE1248" s="1054"/>
      <c r="AF1248" s="1054"/>
      <c r="AG1248" s="1054"/>
      <c r="AH1248" s="1054"/>
      <c r="AI1248" s="1054"/>
      <c r="AJ1248" s="1064"/>
      <c r="AK1248" s="1065"/>
      <c r="AL1248" s="1054"/>
      <c r="AM1248" s="1054"/>
      <c r="AN1248" s="1054"/>
      <c r="AO1248" s="1054"/>
      <c r="AP1248" s="1054"/>
      <c r="AQ1248" s="1054"/>
      <c r="AR1248" s="1054"/>
      <c r="AS1248" s="1064"/>
      <c r="AT1248" s="1066" t="s">
        <v>183</v>
      </c>
      <c r="AU1248" s="1055" t="s">
        <v>845</v>
      </c>
      <c r="AV1248" s="405">
        <f>SQRT(($R1248-Infrastructure!J$3)^2+($S1248-Infrastructure!K$3)^2)</f>
        <v>24.42048321</v>
      </c>
      <c r="AW1248" s="406">
        <f>SQRT(($R1248-Infrastructure!J$4)^2+($S1248-Infrastructure!K$4)^2)</f>
        <v>30.90129447</v>
      </c>
      <c r="AX1248" s="406">
        <f>SQRT(($R1248-Infrastructure!J$5)^2+($S1248-Infrastructure!K$5)^2)</f>
        <v>40.83331973</v>
      </c>
      <c r="AY1248" s="406">
        <f>SQRT(($R1248-Infrastructure!J$6)^2+($S1248-Infrastructure!K$6)^2)</f>
        <v>40.88031311</v>
      </c>
      <c r="AZ1248" s="406">
        <f>SQRT(($R1248-Infrastructure!J$7)^2+($S1248-Infrastructure!K$7)^2)</f>
        <v>39.21836305</v>
      </c>
      <c r="BA1248" s="406">
        <f>SQRT(($R1248-Infrastructure!J$8)^2+($S1248-Infrastructure!K$8)^2)</f>
        <v>40.08989898</v>
      </c>
      <c r="BB1248" s="406">
        <f>SQRT(($R1248-Infrastructure!J$9)^2+($S1248-Infrastructure!K$9)^2)</f>
        <v>38.96472764</v>
      </c>
      <c r="BC1248" s="406">
        <f>SQRT(($R1248-Infrastructure!J$10)^2+($S1248-Infrastructure!K$10)^2)</f>
        <v>30.58005886</v>
      </c>
      <c r="BD1248" s="406">
        <f>SQRT(($R1248-Infrastructure!J$11)^2+($S1248-Infrastructure!K$11)^2)</f>
        <v>21.27204739</v>
      </c>
      <c r="BE1248" s="408">
        <f>SQRT(($R1248-Infrastructure!J$12)^2+($S1248-Infrastructure!K$12)^2)</f>
        <v>16.00124995</v>
      </c>
      <c r="BF1248" s="405">
        <f t="shared" si="161"/>
        <v>16.00124995</v>
      </c>
      <c r="BG1248" s="408">
        <f t="shared" si="162"/>
        <v>40.88031311</v>
      </c>
      <c r="BH1248" s="961">
        <v>36526.0</v>
      </c>
      <c r="BI1248" s="393" t="s">
        <v>846</v>
      </c>
      <c r="BJ1248" s="393" t="s">
        <v>846</v>
      </c>
      <c r="BK1248" s="393"/>
      <c r="BL1248" s="393" t="s">
        <v>846</v>
      </c>
      <c r="BM1248" s="959"/>
      <c r="BN1248" s="393"/>
      <c r="BO1248" s="393"/>
      <c r="BP1248" s="960"/>
      <c r="BQ1248" s="393" t="s">
        <v>846</v>
      </c>
      <c r="BR1248" s="394" t="s">
        <v>846</v>
      </c>
      <c r="BS1248" s="405">
        <f t="shared" ref="BS1248:BS1653" si="169">MINIFS(AV1248:BE1248,BI1248:BR1248, "Y")</f>
        <v>16.00124995</v>
      </c>
      <c r="BT1248" s="406">
        <f t="shared" ref="BT1248:BT2464" si="170">MAXIFS(AV1248:BE1248,BI1248:BR1248, "Y")</f>
        <v>40.88031311</v>
      </c>
      <c r="BU1248" s="931">
        <v>0.42505787037037035</v>
      </c>
      <c r="BV1248" s="901">
        <f t="shared" ref="BV1248:BV1653" si="171">BU1248-G1248</f>
        <v>-0.0006365740741</v>
      </c>
      <c r="BW1248" s="925">
        <v>19.2</v>
      </c>
      <c r="BX1248" s="926">
        <v>37.9</v>
      </c>
      <c r="BY1248" s="406">
        <f t="shared" si="166"/>
        <v>2.968164416</v>
      </c>
      <c r="BZ1248" s="412"/>
      <c r="CA1248" s="390"/>
      <c r="CB1248" s="392"/>
      <c r="CC1248" s="392"/>
      <c r="CD1248" s="392"/>
      <c r="CE1248" s="392"/>
      <c r="CF1248" s="392"/>
      <c r="CG1248" s="392"/>
      <c r="CH1248" s="392"/>
      <c r="CI1248" s="392"/>
      <c r="CJ1248" s="898"/>
      <c r="CK1248" s="414"/>
      <c r="CL1248" s="408"/>
      <c r="CM1248" s="846"/>
      <c r="CN1248" s="847"/>
      <c r="CO1248" s="847"/>
      <c r="CP1248" s="847"/>
    </row>
    <row r="1249">
      <c r="B1249" s="1029" t="s">
        <v>1916</v>
      </c>
      <c r="C1249" s="1002">
        <v>44593.0</v>
      </c>
      <c r="D1249" s="1030"/>
      <c r="E1249" s="1031">
        <v>2.0</v>
      </c>
      <c r="F1249" s="1005" t="s">
        <v>1951</v>
      </c>
      <c r="G1249" s="1006">
        <v>0.428125</v>
      </c>
      <c r="H1249" s="1007">
        <v>0.4284722222222222</v>
      </c>
      <c r="I1249" s="1007"/>
      <c r="J1249" s="1028"/>
      <c r="K1249" s="1028">
        <v>0.4288194444444444</v>
      </c>
      <c r="L1249" s="323">
        <v>3.4722222222222224E-4</v>
      </c>
      <c r="M1249" s="319" t="s">
        <v>166</v>
      </c>
      <c r="N1249" s="1005" t="s">
        <v>188</v>
      </c>
      <c r="O1249" s="1068" t="s">
        <v>196</v>
      </c>
      <c r="P1249" s="1031" t="s">
        <v>224</v>
      </c>
      <c r="Q1249" s="319" t="s">
        <v>842</v>
      </c>
      <c r="R1249" s="1069">
        <v>21.7</v>
      </c>
      <c r="S1249" s="1004">
        <v>39.5</v>
      </c>
      <c r="T1249" s="1005">
        <v>1.26</v>
      </c>
      <c r="U1249" s="1070">
        <v>25.0</v>
      </c>
      <c r="V1249" s="1070"/>
      <c r="W1249" s="1070"/>
      <c r="X1249" s="1070"/>
      <c r="Y1249" s="1070"/>
      <c r="Z1249" s="1071" t="s">
        <v>387</v>
      </c>
      <c r="AA1249" s="1071"/>
      <c r="AB1249" s="1071" t="s">
        <v>416</v>
      </c>
      <c r="AC1249" s="1072">
        <v>52.5</v>
      </c>
      <c r="AD1249" s="1031"/>
      <c r="AE1249" s="1031"/>
      <c r="AF1249" s="1031"/>
      <c r="AG1249" s="1031"/>
      <c r="AH1249" s="1031"/>
      <c r="AI1249" s="1031"/>
      <c r="AJ1249" s="1072"/>
      <c r="AK1249" s="1073"/>
      <c r="AL1249" s="1031"/>
      <c r="AM1249" s="1031"/>
      <c r="AN1249" s="1031"/>
      <c r="AO1249" s="1031"/>
      <c r="AP1249" s="1031"/>
      <c r="AQ1249" s="1031"/>
      <c r="AR1249" s="1031"/>
      <c r="AS1249" s="1072"/>
      <c r="AT1249" s="1075" t="s">
        <v>183</v>
      </c>
      <c r="AU1249" s="1005" t="s">
        <v>845</v>
      </c>
      <c r="AV1249" s="330">
        <f>SQRT(($R1249-Infrastructure!J$3)^2+($S1249-Infrastructure!K$3)^2)</f>
        <v>24.42048321</v>
      </c>
      <c r="AW1249" s="331">
        <f>SQRT(($R1249-Infrastructure!J$4)^2+($S1249-Infrastructure!K$4)^2)</f>
        <v>30.90129447</v>
      </c>
      <c r="AX1249" s="331">
        <f>SQRT(($R1249-Infrastructure!J$5)^2+($S1249-Infrastructure!K$5)^2)</f>
        <v>40.83331973</v>
      </c>
      <c r="AY1249" s="331">
        <f>SQRT(($R1249-Infrastructure!J$6)^2+($S1249-Infrastructure!K$6)^2)</f>
        <v>40.88031311</v>
      </c>
      <c r="AZ1249" s="331">
        <f>SQRT(($R1249-Infrastructure!J$7)^2+($S1249-Infrastructure!K$7)^2)</f>
        <v>39.21836305</v>
      </c>
      <c r="BA1249" s="331">
        <f>SQRT(($R1249-Infrastructure!J$8)^2+($S1249-Infrastructure!K$8)^2)</f>
        <v>40.08989898</v>
      </c>
      <c r="BB1249" s="331">
        <f>SQRT(($R1249-Infrastructure!J$9)^2+($S1249-Infrastructure!K$9)^2)</f>
        <v>38.96472764</v>
      </c>
      <c r="BC1249" s="331">
        <f>SQRT(($R1249-Infrastructure!J$10)^2+($S1249-Infrastructure!K$10)^2)</f>
        <v>30.58005886</v>
      </c>
      <c r="BD1249" s="331">
        <f>SQRT(($R1249-Infrastructure!J$11)^2+($S1249-Infrastructure!K$11)^2)</f>
        <v>21.27204739</v>
      </c>
      <c r="BE1249" s="333">
        <f>SQRT(($R1249-Infrastructure!J$12)^2+($S1249-Infrastructure!K$12)^2)</f>
        <v>16.00124995</v>
      </c>
      <c r="BF1249" s="330">
        <f t="shared" si="161"/>
        <v>16.00124995</v>
      </c>
      <c r="BG1249" s="333">
        <f t="shared" si="162"/>
        <v>40.88031311</v>
      </c>
      <c r="BH1249" s="943">
        <v>36526.0</v>
      </c>
      <c r="BI1249" s="319" t="s">
        <v>846</v>
      </c>
      <c r="BJ1249" s="319" t="s">
        <v>846</v>
      </c>
      <c r="BK1249" s="319" t="s">
        <v>846</v>
      </c>
      <c r="BL1249" s="319"/>
      <c r="BM1249" s="955"/>
      <c r="BN1249" s="319"/>
      <c r="BO1249" s="319"/>
      <c r="BP1249" s="953"/>
      <c r="BQ1249" s="319" t="s">
        <v>846</v>
      </c>
      <c r="BR1249" s="324" t="s">
        <v>846</v>
      </c>
      <c r="BS1249" s="330">
        <f t="shared" si="169"/>
        <v>16.00124995</v>
      </c>
      <c r="BT1249" s="331">
        <f t="shared" si="170"/>
        <v>40.83331973</v>
      </c>
      <c r="BU1249" s="920">
        <v>0.4273726851851852</v>
      </c>
      <c r="BV1249" s="903">
        <f t="shared" si="171"/>
        <v>-0.0007523148148</v>
      </c>
      <c r="BW1249" s="907">
        <v>17.3</v>
      </c>
      <c r="BX1249" s="908">
        <v>36.0</v>
      </c>
      <c r="BY1249" s="331">
        <f t="shared" si="166"/>
        <v>5.622277119</v>
      </c>
      <c r="BZ1249" s="340"/>
      <c r="CA1249" s="316"/>
      <c r="CB1249" s="318"/>
      <c r="CC1249" s="318"/>
      <c r="CD1249" s="318"/>
      <c r="CE1249" s="318"/>
      <c r="CF1249" s="318"/>
      <c r="CG1249" s="318"/>
      <c r="CH1249" s="318"/>
      <c r="CI1249" s="318"/>
      <c r="CJ1249" s="463"/>
      <c r="CK1249" s="342"/>
      <c r="CL1249" s="333"/>
      <c r="CM1249" s="872"/>
      <c r="CN1249" s="847"/>
      <c r="CO1249" s="847"/>
      <c r="CP1249" s="847"/>
    </row>
    <row r="1250">
      <c r="B1250" s="1029" t="s">
        <v>1916</v>
      </c>
      <c r="C1250" s="1002">
        <v>44593.0</v>
      </c>
      <c r="D1250" s="1030"/>
      <c r="E1250" s="1031">
        <v>3.0</v>
      </c>
      <c r="F1250" s="1005" t="s">
        <v>1952</v>
      </c>
      <c r="G1250" s="1006">
        <v>0.43125</v>
      </c>
      <c r="H1250" s="1007">
        <v>0.43159722222222224</v>
      </c>
      <c r="I1250" s="1007"/>
      <c r="J1250" s="1028"/>
      <c r="K1250" s="1028">
        <v>0.4320023148148148</v>
      </c>
      <c r="L1250" s="323">
        <v>4.050925925925926E-4</v>
      </c>
      <c r="M1250" s="319" t="s">
        <v>166</v>
      </c>
      <c r="N1250" s="1005" t="s">
        <v>188</v>
      </c>
      <c r="O1250" s="1068" t="s">
        <v>196</v>
      </c>
      <c r="P1250" s="1031" t="s">
        <v>224</v>
      </c>
      <c r="Q1250" s="319" t="s">
        <v>842</v>
      </c>
      <c r="R1250" s="1069">
        <v>21.7</v>
      </c>
      <c r="S1250" s="1004">
        <v>39.5</v>
      </c>
      <c r="T1250" s="1005">
        <v>1.26</v>
      </c>
      <c r="U1250" s="1070">
        <v>25.0</v>
      </c>
      <c r="V1250" s="1070"/>
      <c r="W1250" s="1070"/>
      <c r="X1250" s="1070"/>
      <c r="Y1250" s="1070"/>
      <c r="Z1250" s="1071" t="s">
        <v>387</v>
      </c>
      <c r="AA1250" s="1071"/>
      <c r="AB1250" s="1071" t="s">
        <v>416</v>
      </c>
      <c r="AC1250" s="1072">
        <v>52.5</v>
      </c>
      <c r="AD1250" s="1031"/>
      <c r="AE1250" s="1031"/>
      <c r="AF1250" s="1031"/>
      <c r="AG1250" s="1031"/>
      <c r="AH1250" s="1031"/>
      <c r="AI1250" s="1031"/>
      <c r="AJ1250" s="1072"/>
      <c r="AK1250" s="1073"/>
      <c r="AL1250" s="1031"/>
      <c r="AM1250" s="1031"/>
      <c r="AN1250" s="1031"/>
      <c r="AO1250" s="1031"/>
      <c r="AP1250" s="1031"/>
      <c r="AQ1250" s="1031"/>
      <c r="AR1250" s="1031"/>
      <c r="AS1250" s="1072"/>
      <c r="AT1250" s="1075" t="s">
        <v>183</v>
      </c>
      <c r="AU1250" s="1005" t="s">
        <v>845</v>
      </c>
      <c r="AV1250" s="330">
        <f>SQRT(($R1250-Infrastructure!J$3)^2+($S1250-Infrastructure!K$3)^2)</f>
        <v>24.42048321</v>
      </c>
      <c r="AW1250" s="331">
        <f>SQRT(($R1250-Infrastructure!J$4)^2+($S1250-Infrastructure!K$4)^2)</f>
        <v>30.90129447</v>
      </c>
      <c r="AX1250" s="331">
        <f>SQRT(($R1250-Infrastructure!J$5)^2+($S1250-Infrastructure!K$5)^2)</f>
        <v>40.83331973</v>
      </c>
      <c r="AY1250" s="331">
        <f>SQRT(($R1250-Infrastructure!J$6)^2+($S1250-Infrastructure!K$6)^2)</f>
        <v>40.88031311</v>
      </c>
      <c r="AZ1250" s="331">
        <f>SQRT(($R1250-Infrastructure!J$7)^2+($S1250-Infrastructure!K$7)^2)</f>
        <v>39.21836305</v>
      </c>
      <c r="BA1250" s="331">
        <f>SQRT(($R1250-Infrastructure!J$8)^2+($S1250-Infrastructure!K$8)^2)</f>
        <v>40.08989898</v>
      </c>
      <c r="BB1250" s="331">
        <f>SQRT(($R1250-Infrastructure!J$9)^2+($S1250-Infrastructure!K$9)^2)</f>
        <v>38.96472764</v>
      </c>
      <c r="BC1250" s="331">
        <f>SQRT(($R1250-Infrastructure!J$10)^2+($S1250-Infrastructure!K$10)^2)</f>
        <v>30.58005886</v>
      </c>
      <c r="BD1250" s="331">
        <f>SQRT(($R1250-Infrastructure!J$11)^2+($S1250-Infrastructure!K$11)^2)</f>
        <v>21.27204739</v>
      </c>
      <c r="BE1250" s="333">
        <f>SQRT(($R1250-Infrastructure!J$12)^2+($S1250-Infrastructure!K$12)^2)</f>
        <v>16.00124995</v>
      </c>
      <c r="BF1250" s="330">
        <f t="shared" si="161"/>
        <v>16.00124995</v>
      </c>
      <c r="BG1250" s="333">
        <f t="shared" si="162"/>
        <v>40.88031311</v>
      </c>
      <c r="BH1250" s="943">
        <v>36526.0</v>
      </c>
      <c r="BI1250" s="319" t="s">
        <v>846</v>
      </c>
      <c r="BJ1250" s="319" t="s">
        <v>846</v>
      </c>
      <c r="BK1250" s="319"/>
      <c r="BL1250" s="319"/>
      <c r="BM1250" s="955"/>
      <c r="BN1250" s="319"/>
      <c r="BO1250" s="319"/>
      <c r="BP1250" s="953"/>
      <c r="BQ1250" s="319" t="s">
        <v>846</v>
      </c>
      <c r="BR1250" s="324" t="s">
        <v>846</v>
      </c>
      <c r="BS1250" s="330">
        <f t="shared" si="169"/>
        <v>16.00124995</v>
      </c>
      <c r="BT1250" s="331">
        <f t="shared" si="170"/>
        <v>30.90129447</v>
      </c>
      <c r="BU1250" s="920">
        <v>0.4305555555555556</v>
      </c>
      <c r="BV1250" s="903">
        <f t="shared" si="171"/>
        <v>-0.0006944444444</v>
      </c>
      <c r="BW1250" s="907">
        <v>19.3</v>
      </c>
      <c r="BX1250" s="908">
        <v>36.7</v>
      </c>
      <c r="BY1250" s="331">
        <f t="shared" si="166"/>
        <v>3.687817783</v>
      </c>
      <c r="BZ1250" s="340"/>
      <c r="CA1250" s="316"/>
      <c r="CB1250" s="318"/>
      <c r="CC1250" s="318"/>
      <c r="CD1250" s="318"/>
      <c r="CE1250" s="318"/>
      <c r="CF1250" s="318"/>
      <c r="CG1250" s="318"/>
      <c r="CH1250" s="318"/>
      <c r="CI1250" s="318"/>
      <c r="CJ1250" s="463"/>
      <c r="CK1250" s="342"/>
      <c r="CL1250" s="333"/>
      <c r="CM1250" s="872"/>
      <c r="CN1250" s="847"/>
      <c r="CO1250" s="847"/>
      <c r="CP1250" s="847"/>
    </row>
    <row r="1251">
      <c r="B1251" s="1029" t="s">
        <v>1916</v>
      </c>
      <c r="C1251" s="1002">
        <v>44593.0</v>
      </c>
      <c r="D1251" s="1030"/>
      <c r="E1251" s="1031">
        <v>4.0</v>
      </c>
      <c r="F1251" s="1005" t="s">
        <v>1953</v>
      </c>
      <c r="G1251" s="1006">
        <v>0.43368055555555557</v>
      </c>
      <c r="H1251" s="1007">
        <v>0.4340277777777778</v>
      </c>
      <c r="I1251" s="1007"/>
      <c r="J1251" s="1028"/>
      <c r="K1251" s="1028">
        <v>0.4341435185185185</v>
      </c>
      <c r="L1251" s="323">
        <v>1.1574074074074075E-4</v>
      </c>
      <c r="M1251" s="319" t="s">
        <v>166</v>
      </c>
      <c r="N1251" s="1005" t="s">
        <v>188</v>
      </c>
      <c r="O1251" s="1068" t="s">
        <v>196</v>
      </c>
      <c r="P1251" s="1031" t="s">
        <v>224</v>
      </c>
      <c r="Q1251" s="319" t="s">
        <v>842</v>
      </c>
      <c r="R1251" s="1069">
        <v>21.7</v>
      </c>
      <c r="S1251" s="1004">
        <v>39.5</v>
      </c>
      <c r="T1251" s="1005">
        <v>1.26</v>
      </c>
      <c r="U1251" s="1070">
        <v>25.0</v>
      </c>
      <c r="V1251" s="1070"/>
      <c r="W1251" s="1070"/>
      <c r="X1251" s="1070"/>
      <c r="Y1251" s="1070"/>
      <c r="Z1251" s="1071" t="s">
        <v>387</v>
      </c>
      <c r="AA1251" s="1071"/>
      <c r="AB1251" s="1071" t="s">
        <v>416</v>
      </c>
      <c r="AC1251" s="1072">
        <v>52.5</v>
      </c>
      <c r="AD1251" s="1031"/>
      <c r="AE1251" s="1031"/>
      <c r="AF1251" s="1031"/>
      <c r="AG1251" s="1031"/>
      <c r="AH1251" s="1031"/>
      <c r="AI1251" s="1031"/>
      <c r="AJ1251" s="1072"/>
      <c r="AK1251" s="1073"/>
      <c r="AL1251" s="1031"/>
      <c r="AM1251" s="1031"/>
      <c r="AN1251" s="1031"/>
      <c r="AO1251" s="1031"/>
      <c r="AP1251" s="1031"/>
      <c r="AQ1251" s="1031"/>
      <c r="AR1251" s="1031"/>
      <c r="AS1251" s="1072"/>
      <c r="AT1251" s="1075" t="s">
        <v>183</v>
      </c>
      <c r="AU1251" s="1005" t="s">
        <v>845</v>
      </c>
      <c r="AV1251" s="330">
        <f>SQRT(($R1251-Infrastructure!J$3)^2+($S1251-Infrastructure!K$3)^2)</f>
        <v>24.42048321</v>
      </c>
      <c r="AW1251" s="331">
        <f>SQRT(($R1251-Infrastructure!J$4)^2+($S1251-Infrastructure!K$4)^2)</f>
        <v>30.90129447</v>
      </c>
      <c r="AX1251" s="331">
        <f>SQRT(($R1251-Infrastructure!J$5)^2+($S1251-Infrastructure!K$5)^2)</f>
        <v>40.83331973</v>
      </c>
      <c r="AY1251" s="331">
        <f>SQRT(($R1251-Infrastructure!J$6)^2+($S1251-Infrastructure!K$6)^2)</f>
        <v>40.88031311</v>
      </c>
      <c r="AZ1251" s="331">
        <f>SQRT(($R1251-Infrastructure!J$7)^2+($S1251-Infrastructure!K$7)^2)</f>
        <v>39.21836305</v>
      </c>
      <c r="BA1251" s="331">
        <f>SQRT(($R1251-Infrastructure!J$8)^2+($S1251-Infrastructure!K$8)^2)</f>
        <v>40.08989898</v>
      </c>
      <c r="BB1251" s="331">
        <f>SQRT(($R1251-Infrastructure!J$9)^2+($S1251-Infrastructure!K$9)^2)</f>
        <v>38.96472764</v>
      </c>
      <c r="BC1251" s="331">
        <f>SQRT(($R1251-Infrastructure!J$10)^2+($S1251-Infrastructure!K$10)^2)</f>
        <v>30.58005886</v>
      </c>
      <c r="BD1251" s="331">
        <f>SQRT(($R1251-Infrastructure!J$11)^2+($S1251-Infrastructure!K$11)^2)</f>
        <v>21.27204739</v>
      </c>
      <c r="BE1251" s="333">
        <f>SQRT(($R1251-Infrastructure!J$12)^2+($S1251-Infrastructure!K$12)^2)</f>
        <v>16.00124995</v>
      </c>
      <c r="BF1251" s="330">
        <f t="shared" si="161"/>
        <v>16.00124995</v>
      </c>
      <c r="BG1251" s="333">
        <f t="shared" si="162"/>
        <v>40.88031311</v>
      </c>
      <c r="BH1251" s="943">
        <v>36526.0</v>
      </c>
      <c r="BI1251" s="319" t="s">
        <v>846</v>
      </c>
      <c r="BJ1251" s="319"/>
      <c r="BK1251" s="319"/>
      <c r="BL1251" s="319"/>
      <c r="BM1251" s="955"/>
      <c r="BN1251" s="319"/>
      <c r="BO1251" s="319"/>
      <c r="BP1251" s="953"/>
      <c r="BQ1251" s="319" t="s">
        <v>846</v>
      </c>
      <c r="BR1251" s="324" t="s">
        <v>846</v>
      </c>
      <c r="BS1251" s="330">
        <f t="shared" si="169"/>
        <v>16.00124995</v>
      </c>
      <c r="BT1251" s="331">
        <f t="shared" si="170"/>
        <v>24.42048321</v>
      </c>
      <c r="BU1251" s="920">
        <v>0.4341435185185185</v>
      </c>
      <c r="BV1251" s="903">
        <f t="shared" si="171"/>
        <v>0.000462962963</v>
      </c>
      <c r="BW1251" s="907">
        <v>14.5</v>
      </c>
      <c r="BX1251" s="908">
        <v>39.7</v>
      </c>
      <c r="BY1251" s="331">
        <f t="shared" si="166"/>
        <v>7.202777242</v>
      </c>
      <c r="BZ1251" s="340"/>
      <c r="CA1251" s="316"/>
      <c r="CB1251" s="318"/>
      <c r="CC1251" s="318"/>
      <c r="CD1251" s="318"/>
      <c r="CE1251" s="318"/>
      <c r="CF1251" s="318"/>
      <c r="CG1251" s="318"/>
      <c r="CH1251" s="318"/>
      <c r="CI1251" s="318"/>
      <c r="CJ1251" s="463"/>
      <c r="CK1251" s="342"/>
      <c r="CL1251" s="333"/>
      <c r="CM1251" s="872"/>
      <c r="CN1251" s="847"/>
      <c r="CO1251" s="847"/>
      <c r="CP1251" s="847"/>
    </row>
    <row r="1252">
      <c r="B1252" s="1029" t="s">
        <v>1916</v>
      </c>
      <c r="C1252" s="1002">
        <v>44593.0</v>
      </c>
      <c r="D1252" s="1030"/>
      <c r="E1252" s="1031">
        <v>5.0</v>
      </c>
      <c r="F1252" s="1005" t="s">
        <v>1954</v>
      </c>
      <c r="G1252" s="1006">
        <v>0.43483796296296295</v>
      </c>
      <c r="H1252" s="1007">
        <v>0.43506944444444445</v>
      </c>
      <c r="I1252" s="1007"/>
      <c r="J1252" s="1028"/>
      <c r="K1252" s="1028">
        <v>0.4354166666666667</v>
      </c>
      <c r="L1252" s="323">
        <v>3.4722222222222224E-4</v>
      </c>
      <c r="M1252" s="319" t="s">
        <v>166</v>
      </c>
      <c r="N1252" s="1005" t="s">
        <v>188</v>
      </c>
      <c r="O1252" s="1068" t="s">
        <v>196</v>
      </c>
      <c r="P1252" s="1031" t="s">
        <v>224</v>
      </c>
      <c r="Q1252" s="319" t="s">
        <v>842</v>
      </c>
      <c r="R1252" s="1069">
        <v>21.7</v>
      </c>
      <c r="S1252" s="1004">
        <v>39.5</v>
      </c>
      <c r="T1252" s="1005">
        <v>1.26</v>
      </c>
      <c r="U1252" s="1070">
        <v>25.0</v>
      </c>
      <c r="V1252" s="1070"/>
      <c r="W1252" s="1070"/>
      <c r="X1252" s="1070"/>
      <c r="Y1252" s="1070"/>
      <c r="Z1252" s="1071" t="s">
        <v>387</v>
      </c>
      <c r="AA1252" s="1071"/>
      <c r="AB1252" s="1071" t="s">
        <v>416</v>
      </c>
      <c r="AC1252" s="1072">
        <v>52.5</v>
      </c>
      <c r="AD1252" s="1031"/>
      <c r="AE1252" s="1031"/>
      <c r="AF1252" s="1031"/>
      <c r="AG1252" s="1031"/>
      <c r="AH1252" s="1031"/>
      <c r="AI1252" s="1031"/>
      <c r="AJ1252" s="1072"/>
      <c r="AK1252" s="1073"/>
      <c r="AL1252" s="1031"/>
      <c r="AM1252" s="1031"/>
      <c r="AN1252" s="1031"/>
      <c r="AO1252" s="1031"/>
      <c r="AP1252" s="1031"/>
      <c r="AQ1252" s="1031"/>
      <c r="AR1252" s="1031"/>
      <c r="AS1252" s="1072"/>
      <c r="AT1252" s="1075" t="s">
        <v>183</v>
      </c>
      <c r="AU1252" s="1005" t="s">
        <v>845</v>
      </c>
      <c r="AV1252" s="330">
        <f>SQRT(($R1252-Infrastructure!J$3)^2+($S1252-Infrastructure!K$3)^2)</f>
        <v>24.42048321</v>
      </c>
      <c r="AW1252" s="331">
        <f>SQRT(($R1252-Infrastructure!J$4)^2+($S1252-Infrastructure!K$4)^2)</f>
        <v>30.90129447</v>
      </c>
      <c r="AX1252" s="331">
        <f>SQRT(($R1252-Infrastructure!J$5)^2+($S1252-Infrastructure!K$5)^2)</f>
        <v>40.83331973</v>
      </c>
      <c r="AY1252" s="331">
        <f>SQRT(($R1252-Infrastructure!J$6)^2+($S1252-Infrastructure!K$6)^2)</f>
        <v>40.88031311</v>
      </c>
      <c r="AZ1252" s="331">
        <f>SQRT(($R1252-Infrastructure!J$7)^2+($S1252-Infrastructure!K$7)^2)</f>
        <v>39.21836305</v>
      </c>
      <c r="BA1252" s="331">
        <f>SQRT(($R1252-Infrastructure!J$8)^2+($S1252-Infrastructure!K$8)^2)</f>
        <v>40.08989898</v>
      </c>
      <c r="BB1252" s="331">
        <f>SQRT(($R1252-Infrastructure!J$9)^2+($S1252-Infrastructure!K$9)^2)</f>
        <v>38.96472764</v>
      </c>
      <c r="BC1252" s="331">
        <f>SQRT(($R1252-Infrastructure!J$10)^2+($S1252-Infrastructure!K$10)^2)</f>
        <v>30.58005886</v>
      </c>
      <c r="BD1252" s="331">
        <f>SQRT(($R1252-Infrastructure!J$11)^2+($S1252-Infrastructure!K$11)^2)</f>
        <v>21.27204739</v>
      </c>
      <c r="BE1252" s="333">
        <f>SQRT(($R1252-Infrastructure!J$12)^2+($S1252-Infrastructure!K$12)^2)</f>
        <v>16.00124995</v>
      </c>
      <c r="BF1252" s="330">
        <f t="shared" si="161"/>
        <v>16.00124995</v>
      </c>
      <c r="BG1252" s="333">
        <f t="shared" si="162"/>
        <v>40.88031311</v>
      </c>
      <c r="BH1252" s="943">
        <v>36526.0</v>
      </c>
      <c r="BI1252" s="319"/>
      <c r="BJ1252" s="319"/>
      <c r="BK1252" s="319"/>
      <c r="BL1252" s="319"/>
      <c r="BM1252" s="955"/>
      <c r="BN1252" s="319"/>
      <c r="BO1252" s="319"/>
      <c r="BP1252" s="953"/>
      <c r="BQ1252" s="319"/>
      <c r="BR1252" s="324"/>
      <c r="BS1252" s="330">
        <f t="shared" si="169"/>
        <v>0</v>
      </c>
      <c r="BT1252" s="331">
        <f t="shared" si="170"/>
        <v>0</v>
      </c>
      <c r="BU1252" s="920"/>
      <c r="BV1252" s="903">
        <f t="shared" si="171"/>
        <v>-0.434837963</v>
      </c>
      <c r="BW1252" s="907"/>
      <c r="BX1252" s="908"/>
      <c r="BY1252" s="331" t="b">
        <f t="shared" si="166"/>
        <v>0</v>
      </c>
      <c r="BZ1252" s="340"/>
      <c r="CA1252" s="316"/>
      <c r="CB1252" s="318"/>
      <c r="CC1252" s="318"/>
      <c r="CD1252" s="318"/>
      <c r="CE1252" s="318"/>
      <c r="CF1252" s="318"/>
      <c r="CG1252" s="318"/>
      <c r="CH1252" s="318"/>
      <c r="CI1252" s="318"/>
      <c r="CJ1252" s="463"/>
      <c r="CK1252" s="342"/>
      <c r="CL1252" s="333"/>
      <c r="CM1252" s="872"/>
      <c r="CN1252" s="847"/>
      <c r="CO1252" s="847"/>
      <c r="CP1252" s="847"/>
    </row>
    <row r="1253">
      <c r="B1253" s="1029" t="s">
        <v>1916</v>
      </c>
      <c r="C1253" s="1002">
        <v>44593.0</v>
      </c>
      <c r="D1253" s="1030"/>
      <c r="E1253" s="1031">
        <v>6.0</v>
      </c>
      <c r="F1253" s="1005" t="s">
        <v>1955</v>
      </c>
      <c r="G1253" s="1006">
        <v>0.4362847222222222</v>
      </c>
      <c r="H1253" s="1007">
        <v>0.43645833333333334</v>
      </c>
      <c r="I1253" s="1007"/>
      <c r="J1253" s="1028"/>
      <c r="K1253" s="1028">
        <v>0.43657407407407406</v>
      </c>
      <c r="L1253" s="323">
        <v>1.1574074074074075E-4</v>
      </c>
      <c r="M1253" s="319" t="s">
        <v>166</v>
      </c>
      <c r="N1253" s="1005" t="s">
        <v>188</v>
      </c>
      <c r="O1253" s="1068" t="s">
        <v>196</v>
      </c>
      <c r="P1253" s="1031" t="s">
        <v>224</v>
      </c>
      <c r="Q1253" s="319" t="s">
        <v>842</v>
      </c>
      <c r="R1253" s="1069">
        <v>21.7</v>
      </c>
      <c r="S1253" s="1004">
        <v>39.5</v>
      </c>
      <c r="T1253" s="1005">
        <v>1.26</v>
      </c>
      <c r="U1253" s="1070">
        <v>25.0</v>
      </c>
      <c r="V1253" s="1070"/>
      <c r="W1253" s="1070"/>
      <c r="X1253" s="1070"/>
      <c r="Y1253" s="1070"/>
      <c r="Z1253" s="1071" t="s">
        <v>387</v>
      </c>
      <c r="AA1253" s="1071"/>
      <c r="AB1253" s="1071" t="s">
        <v>416</v>
      </c>
      <c r="AC1253" s="1072">
        <v>52.5</v>
      </c>
      <c r="AD1253" s="1031"/>
      <c r="AE1253" s="1031"/>
      <c r="AF1253" s="1031"/>
      <c r="AG1253" s="1031"/>
      <c r="AH1253" s="1031"/>
      <c r="AI1253" s="1031"/>
      <c r="AJ1253" s="1072"/>
      <c r="AK1253" s="1073"/>
      <c r="AL1253" s="1031"/>
      <c r="AM1253" s="1031"/>
      <c r="AN1253" s="1031"/>
      <c r="AO1253" s="1031"/>
      <c r="AP1253" s="1031"/>
      <c r="AQ1253" s="1031"/>
      <c r="AR1253" s="1031"/>
      <c r="AS1253" s="1072"/>
      <c r="AT1253" s="1075" t="s">
        <v>183</v>
      </c>
      <c r="AU1253" s="1005" t="s">
        <v>845</v>
      </c>
      <c r="AV1253" s="330">
        <f>SQRT(($R1253-Infrastructure!J$3)^2+($S1253-Infrastructure!K$3)^2)</f>
        <v>24.42048321</v>
      </c>
      <c r="AW1253" s="331">
        <f>SQRT(($R1253-Infrastructure!J$4)^2+($S1253-Infrastructure!K$4)^2)</f>
        <v>30.90129447</v>
      </c>
      <c r="AX1253" s="331">
        <f>SQRT(($R1253-Infrastructure!J$5)^2+($S1253-Infrastructure!K$5)^2)</f>
        <v>40.83331973</v>
      </c>
      <c r="AY1253" s="331">
        <f>SQRT(($R1253-Infrastructure!J$6)^2+($S1253-Infrastructure!K$6)^2)</f>
        <v>40.88031311</v>
      </c>
      <c r="AZ1253" s="331">
        <f>SQRT(($R1253-Infrastructure!J$7)^2+($S1253-Infrastructure!K$7)^2)</f>
        <v>39.21836305</v>
      </c>
      <c r="BA1253" s="331">
        <f>SQRT(($R1253-Infrastructure!J$8)^2+($S1253-Infrastructure!K$8)^2)</f>
        <v>40.08989898</v>
      </c>
      <c r="BB1253" s="331">
        <f>SQRT(($R1253-Infrastructure!J$9)^2+($S1253-Infrastructure!K$9)^2)</f>
        <v>38.96472764</v>
      </c>
      <c r="BC1253" s="331">
        <f>SQRT(($R1253-Infrastructure!J$10)^2+($S1253-Infrastructure!K$10)^2)</f>
        <v>30.58005886</v>
      </c>
      <c r="BD1253" s="331">
        <f>SQRT(($R1253-Infrastructure!J$11)^2+($S1253-Infrastructure!K$11)^2)</f>
        <v>21.27204739</v>
      </c>
      <c r="BE1253" s="333">
        <f>SQRT(($R1253-Infrastructure!J$12)^2+($S1253-Infrastructure!K$12)^2)</f>
        <v>16.00124995</v>
      </c>
      <c r="BF1253" s="330">
        <f t="shared" si="161"/>
        <v>16.00124995</v>
      </c>
      <c r="BG1253" s="333">
        <f t="shared" si="162"/>
        <v>40.88031311</v>
      </c>
      <c r="BH1253" s="943">
        <v>36526.0</v>
      </c>
      <c r="BI1253" s="319" t="s">
        <v>846</v>
      </c>
      <c r="BJ1253" s="319" t="s">
        <v>846</v>
      </c>
      <c r="BK1253" s="319"/>
      <c r="BL1253" s="319"/>
      <c r="BM1253" s="955"/>
      <c r="BN1253" s="319"/>
      <c r="BO1253" s="319"/>
      <c r="BP1253" s="953"/>
      <c r="BQ1253" s="319" t="s">
        <v>846</v>
      </c>
      <c r="BR1253" s="324" t="s">
        <v>846</v>
      </c>
      <c r="BS1253" s="330">
        <f t="shared" si="169"/>
        <v>16.00124995</v>
      </c>
      <c r="BT1253" s="331">
        <f t="shared" si="170"/>
        <v>30.90129447</v>
      </c>
      <c r="BU1253" s="920">
        <v>0.4365162037037037</v>
      </c>
      <c r="BV1253" s="903">
        <f t="shared" si="171"/>
        <v>0.0002314814815</v>
      </c>
      <c r="BW1253" s="907">
        <v>19.1</v>
      </c>
      <c r="BX1253" s="908">
        <v>37.7</v>
      </c>
      <c r="BY1253" s="331">
        <f t="shared" si="166"/>
        <v>3.16227766</v>
      </c>
      <c r="BZ1253" s="340"/>
      <c r="CA1253" s="316"/>
      <c r="CB1253" s="318"/>
      <c r="CC1253" s="318"/>
      <c r="CD1253" s="318"/>
      <c r="CE1253" s="318"/>
      <c r="CF1253" s="318"/>
      <c r="CG1253" s="318"/>
      <c r="CH1253" s="318"/>
      <c r="CI1253" s="318"/>
      <c r="CJ1253" s="463"/>
      <c r="CK1253" s="342"/>
      <c r="CL1253" s="333"/>
      <c r="CM1253" s="872"/>
      <c r="CN1253" s="847"/>
      <c r="CO1253" s="847"/>
      <c r="CP1253" s="847"/>
    </row>
    <row r="1254">
      <c r="B1254" s="1029" t="s">
        <v>1916</v>
      </c>
      <c r="C1254" s="1002">
        <v>44593.0</v>
      </c>
      <c r="D1254" s="1030"/>
      <c r="E1254" s="1031">
        <v>7.0</v>
      </c>
      <c r="F1254" s="1005" t="s">
        <v>1956</v>
      </c>
      <c r="G1254" s="1006">
        <v>0.43721064814814814</v>
      </c>
      <c r="H1254" s="1007">
        <v>0.4375</v>
      </c>
      <c r="I1254" s="1007"/>
      <c r="J1254" s="1028"/>
      <c r="K1254" s="1028">
        <v>0.43802083333333336</v>
      </c>
      <c r="L1254" s="323">
        <v>5.208333333333333E-4</v>
      </c>
      <c r="M1254" s="319" t="s">
        <v>166</v>
      </c>
      <c r="N1254" s="1005" t="s">
        <v>188</v>
      </c>
      <c r="O1254" s="1068" t="s">
        <v>196</v>
      </c>
      <c r="P1254" s="1031" t="s">
        <v>224</v>
      </c>
      <c r="Q1254" s="319" t="s">
        <v>842</v>
      </c>
      <c r="R1254" s="1069">
        <v>21.7</v>
      </c>
      <c r="S1254" s="1004">
        <v>39.5</v>
      </c>
      <c r="T1254" s="1005">
        <v>1.26</v>
      </c>
      <c r="U1254" s="1070">
        <v>25.0</v>
      </c>
      <c r="V1254" s="1070"/>
      <c r="W1254" s="1070"/>
      <c r="X1254" s="1070"/>
      <c r="Y1254" s="1070"/>
      <c r="Z1254" s="1071" t="s">
        <v>387</v>
      </c>
      <c r="AA1254" s="1071"/>
      <c r="AB1254" s="1071" t="s">
        <v>416</v>
      </c>
      <c r="AC1254" s="1072">
        <v>52.5</v>
      </c>
      <c r="AD1254" s="1031"/>
      <c r="AE1254" s="1031"/>
      <c r="AF1254" s="1031"/>
      <c r="AG1254" s="1031"/>
      <c r="AH1254" s="1031"/>
      <c r="AI1254" s="1031"/>
      <c r="AJ1254" s="1072"/>
      <c r="AK1254" s="1073"/>
      <c r="AL1254" s="1031"/>
      <c r="AM1254" s="1031"/>
      <c r="AN1254" s="1031"/>
      <c r="AO1254" s="1031"/>
      <c r="AP1254" s="1031"/>
      <c r="AQ1254" s="1031"/>
      <c r="AR1254" s="1031"/>
      <c r="AS1254" s="1072"/>
      <c r="AT1254" s="1075" t="s">
        <v>183</v>
      </c>
      <c r="AU1254" s="1005" t="s">
        <v>845</v>
      </c>
      <c r="AV1254" s="330">
        <f>SQRT(($R1254-Infrastructure!J$3)^2+($S1254-Infrastructure!K$3)^2)</f>
        <v>24.42048321</v>
      </c>
      <c r="AW1254" s="331">
        <f>SQRT(($R1254-Infrastructure!J$4)^2+($S1254-Infrastructure!K$4)^2)</f>
        <v>30.90129447</v>
      </c>
      <c r="AX1254" s="331">
        <f>SQRT(($R1254-Infrastructure!J$5)^2+($S1254-Infrastructure!K$5)^2)</f>
        <v>40.83331973</v>
      </c>
      <c r="AY1254" s="331">
        <f>SQRT(($R1254-Infrastructure!J$6)^2+($S1254-Infrastructure!K$6)^2)</f>
        <v>40.88031311</v>
      </c>
      <c r="AZ1254" s="331">
        <f>SQRT(($R1254-Infrastructure!J$7)^2+($S1254-Infrastructure!K$7)^2)</f>
        <v>39.21836305</v>
      </c>
      <c r="BA1254" s="331">
        <f>SQRT(($R1254-Infrastructure!J$8)^2+($S1254-Infrastructure!K$8)^2)</f>
        <v>40.08989898</v>
      </c>
      <c r="BB1254" s="331">
        <f>SQRT(($R1254-Infrastructure!J$9)^2+($S1254-Infrastructure!K$9)^2)</f>
        <v>38.96472764</v>
      </c>
      <c r="BC1254" s="331">
        <f>SQRT(($R1254-Infrastructure!J$10)^2+($S1254-Infrastructure!K$10)^2)</f>
        <v>30.58005886</v>
      </c>
      <c r="BD1254" s="331">
        <f>SQRT(($R1254-Infrastructure!J$11)^2+($S1254-Infrastructure!K$11)^2)</f>
        <v>21.27204739</v>
      </c>
      <c r="BE1254" s="333">
        <f>SQRT(($R1254-Infrastructure!J$12)^2+($S1254-Infrastructure!K$12)^2)</f>
        <v>16.00124995</v>
      </c>
      <c r="BF1254" s="330">
        <f t="shared" si="161"/>
        <v>16.00124995</v>
      </c>
      <c r="BG1254" s="333">
        <f t="shared" si="162"/>
        <v>40.88031311</v>
      </c>
      <c r="BH1254" s="943">
        <v>36526.0</v>
      </c>
      <c r="BI1254" s="319"/>
      <c r="BJ1254" s="319"/>
      <c r="BK1254" s="319"/>
      <c r="BL1254" s="319"/>
      <c r="BM1254" s="955"/>
      <c r="BN1254" s="319"/>
      <c r="BO1254" s="319"/>
      <c r="BP1254" s="953"/>
      <c r="BQ1254" s="319"/>
      <c r="BR1254" s="324"/>
      <c r="BS1254" s="330">
        <f t="shared" si="169"/>
        <v>0</v>
      </c>
      <c r="BT1254" s="331">
        <f t="shared" si="170"/>
        <v>0</v>
      </c>
      <c r="BU1254" s="920"/>
      <c r="BV1254" s="903">
        <f t="shared" si="171"/>
        <v>-0.4372106481</v>
      </c>
      <c r="BW1254" s="907"/>
      <c r="BX1254" s="908"/>
      <c r="BY1254" s="331" t="b">
        <f t="shared" si="166"/>
        <v>0</v>
      </c>
      <c r="BZ1254" s="340"/>
      <c r="CA1254" s="316"/>
      <c r="CB1254" s="318"/>
      <c r="CC1254" s="318"/>
      <c r="CD1254" s="318"/>
      <c r="CE1254" s="318"/>
      <c r="CF1254" s="318"/>
      <c r="CG1254" s="318"/>
      <c r="CH1254" s="318"/>
      <c r="CI1254" s="318"/>
      <c r="CJ1254" s="463"/>
      <c r="CK1254" s="342"/>
      <c r="CL1254" s="333"/>
      <c r="CM1254" s="872"/>
      <c r="CN1254" s="847"/>
      <c r="CO1254" s="847"/>
      <c r="CP1254" s="847"/>
    </row>
    <row r="1255">
      <c r="B1255" s="1029" t="s">
        <v>1916</v>
      </c>
      <c r="C1255" s="1002">
        <v>44593.0</v>
      </c>
      <c r="D1255" s="1030"/>
      <c r="E1255" s="1031">
        <v>8.0</v>
      </c>
      <c r="F1255" s="1005" t="s">
        <v>1957</v>
      </c>
      <c r="G1255" s="1006">
        <v>0.43877314814814816</v>
      </c>
      <c r="H1255" s="1007"/>
      <c r="I1255" s="1007"/>
      <c r="J1255" s="1028"/>
      <c r="K1255" s="1028">
        <v>0.4391203703703704</v>
      </c>
      <c r="L1255" s="323">
        <v>3.4722222222222224E-4</v>
      </c>
      <c r="M1255" s="319" t="s">
        <v>166</v>
      </c>
      <c r="N1255" s="1005" t="s">
        <v>188</v>
      </c>
      <c r="O1255" s="1068" t="s">
        <v>196</v>
      </c>
      <c r="P1255" s="1031" t="s">
        <v>224</v>
      </c>
      <c r="Q1255" s="319" t="s">
        <v>842</v>
      </c>
      <c r="R1255" s="1069">
        <v>21.7</v>
      </c>
      <c r="S1255" s="1004">
        <v>39.5</v>
      </c>
      <c r="T1255" s="1005">
        <v>1.26</v>
      </c>
      <c r="U1255" s="1070">
        <v>25.0</v>
      </c>
      <c r="V1255" s="1070"/>
      <c r="W1255" s="1070"/>
      <c r="X1255" s="1070"/>
      <c r="Y1255" s="1070"/>
      <c r="Z1255" s="1071" t="s">
        <v>387</v>
      </c>
      <c r="AA1255" s="1071"/>
      <c r="AB1255" s="1071" t="s">
        <v>416</v>
      </c>
      <c r="AC1255" s="1072">
        <v>52.5</v>
      </c>
      <c r="AD1255" s="1031"/>
      <c r="AE1255" s="1031"/>
      <c r="AF1255" s="1031"/>
      <c r="AG1255" s="1031"/>
      <c r="AH1255" s="1031"/>
      <c r="AI1255" s="1031"/>
      <c r="AJ1255" s="1072"/>
      <c r="AK1255" s="1073"/>
      <c r="AL1255" s="1031"/>
      <c r="AM1255" s="1031"/>
      <c r="AN1255" s="1031"/>
      <c r="AO1255" s="1031"/>
      <c r="AP1255" s="1031"/>
      <c r="AQ1255" s="1031"/>
      <c r="AR1255" s="1031"/>
      <c r="AS1255" s="1072"/>
      <c r="AT1255" s="1075" t="s">
        <v>183</v>
      </c>
      <c r="AU1255" s="1005" t="s">
        <v>845</v>
      </c>
      <c r="AV1255" s="330">
        <f>SQRT(($R1255-Infrastructure!J$3)^2+($S1255-Infrastructure!K$3)^2)</f>
        <v>24.42048321</v>
      </c>
      <c r="AW1255" s="331">
        <f>SQRT(($R1255-Infrastructure!J$4)^2+($S1255-Infrastructure!K$4)^2)</f>
        <v>30.90129447</v>
      </c>
      <c r="AX1255" s="331">
        <f>SQRT(($R1255-Infrastructure!J$5)^2+($S1255-Infrastructure!K$5)^2)</f>
        <v>40.83331973</v>
      </c>
      <c r="AY1255" s="331">
        <f>SQRT(($R1255-Infrastructure!J$6)^2+($S1255-Infrastructure!K$6)^2)</f>
        <v>40.88031311</v>
      </c>
      <c r="AZ1255" s="331">
        <f>SQRT(($R1255-Infrastructure!J$7)^2+($S1255-Infrastructure!K$7)^2)</f>
        <v>39.21836305</v>
      </c>
      <c r="BA1255" s="331">
        <f>SQRT(($R1255-Infrastructure!J$8)^2+($S1255-Infrastructure!K$8)^2)</f>
        <v>40.08989898</v>
      </c>
      <c r="BB1255" s="331">
        <f>SQRT(($R1255-Infrastructure!J$9)^2+($S1255-Infrastructure!K$9)^2)</f>
        <v>38.96472764</v>
      </c>
      <c r="BC1255" s="331">
        <f>SQRT(($R1255-Infrastructure!J$10)^2+($S1255-Infrastructure!K$10)^2)</f>
        <v>30.58005886</v>
      </c>
      <c r="BD1255" s="331">
        <f>SQRT(($R1255-Infrastructure!J$11)^2+($S1255-Infrastructure!K$11)^2)</f>
        <v>21.27204739</v>
      </c>
      <c r="BE1255" s="333">
        <f>SQRT(($R1255-Infrastructure!J$12)^2+($S1255-Infrastructure!K$12)^2)</f>
        <v>16.00124995</v>
      </c>
      <c r="BF1255" s="330">
        <f t="shared" si="161"/>
        <v>16.00124995</v>
      </c>
      <c r="BG1255" s="333">
        <f t="shared" si="162"/>
        <v>40.88031311</v>
      </c>
      <c r="BH1255" s="943">
        <v>36526.0</v>
      </c>
      <c r="BI1255" s="319"/>
      <c r="BJ1255" s="319"/>
      <c r="BK1255" s="319"/>
      <c r="BL1255" s="319"/>
      <c r="BM1255" s="955"/>
      <c r="BN1255" s="319"/>
      <c r="BO1255" s="319"/>
      <c r="BP1255" s="953"/>
      <c r="BQ1255" s="319"/>
      <c r="BR1255" s="324"/>
      <c r="BS1255" s="330">
        <f t="shared" si="169"/>
        <v>0</v>
      </c>
      <c r="BT1255" s="331">
        <f t="shared" si="170"/>
        <v>0</v>
      </c>
      <c r="BU1255" s="920"/>
      <c r="BV1255" s="903">
        <f t="shared" si="171"/>
        <v>-0.4387731481</v>
      </c>
      <c r="BW1255" s="907"/>
      <c r="BX1255" s="908"/>
      <c r="BY1255" s="331" t="b">
        <f t="shared" si="166"/>
        <v>0</v>
      </c>
      <c r="BZ1255" s="340"/>
      <c r="CA1255" s="316"/>
      <c r="CB1255" s="318"/>
      <c r="CC1255" s="318"/>
      <c r="CD1255" s="318"/>
      <c r="CE1255" s="318"/>
      <c r="CF1255" s="318"/>
      <c r="CG1255" s="318"/>
      <c r="CH1255" s="318"/>
      <c r="CI1255" s="318"/>
      <c r="CJ1255" s="463"/>
      <c r="CK1255" s="342"/>
      <c r="CL1255" s="333"/>
      <c r="CM1255" s="872"/>
      <c r="CN1255" s="847"/>
      <c r="CO1255" s="847"/>
      <c r="CP1255" s="847"/>
    </row>
    <row r="1256">
      <c r="B1256" s="1029" t="s">
        <v>1916</v>
      </c>
      <c r="C1256" s="1002">
        <v>44593.0</v>
      </c>
      <c r="D1256" s="1030"/>
      <c r="E1256" s="1031">
        <v>9.0</v>
      </c>
      <c r="F1256" s="1005" t="s">
        <v>1958</v>
      </c>
      <c r="G1256" s="1006">
        <v>0.4395833333333333</v>
      </c>
      <c r="H1256" s="1007"/>
      <c r="I1256" s="1007"/>
      <c r="J1256" s="1028"/>
      <c r="K1256" s="1028">
        <v>0.43993055555555555</v>
      </c>
      <c r="L1256" s="323">
        <v>3.4722222222222224E-4</v>
      </c>
      <c r="M1256" s="319" t="s">
        <v>166</v>
      </c>
      <c r="N1256" s="1005" t="s">
        <v>188</v>
      </c>
      <c r="O1256" s="1068" t="s">
        <v>196</v>
      </c>
      <c r="P1256" s="1031" t="s">
        <v>224</v>
      </c>
      <c r="Q1256" s="319" t="s">
        <v>842</v>
      </c>
      <c r="R1256" s="1069">
        <v>21.7</v>
      </c>
      <c r="S1256" s="1004">
        <v>39.5</v>
      </c>
      <c r="T1256" s="1005">
        <v>1.26</v>
      </c>
      <c r="U1256" s="1070">
        <v>25.0</v>
      </c>
      <c r="V1256" s="1070"/>
      <c r="W1256" s="1070"/>
      <c r="X1256" s="1070"/>
      <c r="Y1256" s="1070"/>
      <c r="Z1256" s="1071" t="s">
        <v>387</v>
      </c>
      <c r="AA1256" s="1071"/>
      <c r="AB1256" s="1071" t="s">
        <v>416</v>
      </c>
      <c r="AC1256" s="1072">
        <v>52.5</v>
      </c>
      <c r="AD1256" s="1031"/>
      <c r="AE1256" s="1031"/>
      <c r="AF1256" s="1031"/>
      <c r="AG1256" s="1031"/>
      <c r="AH1256" s="1031"/>
      <c r="AI1256" s="1031"/>
      <c r="AJ1256" s="1072"/>
      <c r="AK1256" s="1073"/>
      <c r="AL1256" s="1031"/>
      <c r="AM1256" s="1031"/>
      <c r="AN1256" s="1031"/>
      <c r="AO1256" s="1031"/>
      <c r="AP1256" s="1031"/>
      <c r="AQ1256" s="1031"/>
      <c r="AR1256" s="1031"/>
      <c r="AS1256" s="1072"/>
      <c r="AT1256" s="1075" t="s">
        <v>183</v>
      </c>
      <c r="AU1256" s="1005" t="s">
        <v>845</v>
      </c>
      <c r="AV1256" s="330">
        <f>SQRT(($R1256-Infrastructure!J$3)^2+($S1256-Infrastructure!K$3)^2)</f>
        <v>24.42048321</v>
      </c>
      <c r="AW1256" s="331">
        <f>SQRT(($R1256-Infrastructure!J$4)^2+($S1256-Infrastructure!K$4)^2)</f>
        <v>30.90129447</v>
      </c>
      <c r="AX1256" s="331">
        <f>SQRT(($R1256-Infrastructure!J$5)^2+($S1256-Infrastructure!K$5)^2)</f>
        <v>40.83331973</v>
      </c>
      <c r="AY1256" s="331">
        <f>SQRT(($R1256-Infrastructure!J$6)^2+($S1256-Infrastructure!K$6)^2)</f>
        <v>40.88031311</v>
      </c>
      <c r="AZ1256" s="331">
        <f>SQRT(($R1256-Infrastructure!J$7)^2+($S1256-Infrastructure!K$7)^2)</f>
        <v>39.21836305</v>
      </c>
      <c r="BA1256" s="331">
        <f>SQRT(($R1256-Infrastructure!J$8)^2+($S1256-Infrastructure!K$8)^2)</f>
        <v>40.08989898</v>
      </c>
      <c r="BB1256" s="331">
        <f>SQRT(($R1256-Infrastructure!J$9)^2+($S1256-Infrastructure!K$9)^2)</f>
        <v>38.96472764</v>
      </c>
      <c r="BC1256" s="331">
        <f>SQRT(($R1256-Infrastructure!J$10)^2+($S1256-Infrastructure!K$10)^2)</f>
        <v>30.58005886</v>
      </c>
      <c r="BD1256" s="331">
        <f>SQRT(($R1256-Infrastructure!J$11)^2+($S1256-Infrastructure!K$11)^2)</f>
        <v>21.27204739</v>
      </c>
      <c r="BE1256" s="333">
        <f>SQRT(($R1256-Infrastructure!J$12)^2+($S1256-Infrastructure!K$12)^2)</f>
        <v>16.00124995</v>
      </c>
      <c r="BF1256" s="330">
        <f t="shared" si="161"/>
        <v>16.00124995</v>
      </c>
      <c r="BG1256" s="333">
        <f t="shared" si="162"/>
        <v>40.88031311</v>
      </c>
      <c r="BH1256" s="943">
        <v>36526.0</v>
      </c>
      <c r="BI1256" s="319" t="s">
        <v>846</v>
      </c>
      <c r="BJ1256" s="319" t="s">
        <v>846</v>
      </c>
      <c r="BK1256" s="319" t="s">
        <v>846</v>
      </c>
      <c r="BL1256" s="319" t="s">
        <v>846</v>
      </c>
      <c r="BM1256" s="955"/>
      <c r="BN1256" s="319"/>
      <c r="BO1256" s="319"/>
      <c r="BP1256" s="953"/>
      <c r="BQ1256" s="319" t="s">
        <v>846</v>
      </c>
      <c r="BR1256" s="324" t="s">
        <v>846</v>
      </c>
      <c r="BS1256" s="330">
        <f t="shared" si="169"/>
        <v>16.00124995</v>
      </c>
      <c r="BT1256" s="331">
        <f t="shared" si="170"/>
        <v>40.88031311</v>
      </c>
      <c r="BU1256" s="920">
        <v>0.44083333333333335</v>
      </c>
      <c r="BV1256" s="903">
        <f t="shared" si="171"/>
        <v>0.00125</v>
      </c>
      <c r="BW1256" s="907">
        <v>20.2</v>
      </c>
      <c r="BX1256" s="908">
        <v>40.1</v>
      </c>
      <c r="BY1256" s="331">
        <f t="shared" si="166"/>
        <v>1.615549442</v>
      </c>
      <c r="BZ1256" s="340"/>
      <c r="CA1256" s="316"/>
      <c r="CB1256" s="318"/>
      <c r="CC1256" s="318"/>
      <c r="CD1256" s="318"/>
      <c r="CE1256" s="318"/>
      <c r="CF1256" s="318"/>
      <c r="CG1256" s="318"/>
      <c r="CH1256" s="318"/>
      <c r="CI1256" s="318"/>
      <c r="CJ1256" s="463"/>
      <c r="CK1256" s="342"/>
      <c r="CL1256" s="333"/>
      <c r="CM1256" s="872"/>
      <c r="CN1256" s="847"/>
      <c r="CO1256" s="847"/>
      <c r="CP1256" s="847"/>
    </row>
    <row r="1257">
      <c r="B1257" s="1029" t="s">
        <v>1916</v>
      </c>
      <c r="C1257" s="1002">
        <v>44593.0</v>
      </c>
      <c r="D1257" s="1030"/>
      <c r="E1257" s="1031">
        <v>10.0</v>
      </c>
      <c r="F1257" s="1005" t="s">
        <v>1959</v>
      </c>
      <c r="G1257" s="1006">
        <v>0.44155092592592593</v>
      </c>
      <c r="H1257" s="1007">
        <v>0.4418402777777778</v>
      </c>
      <c r="I1257" s="1007"/>
      <c r="J1257" s="1028"/>
      <c r="K1257" s="1028">
        <v>0.4421875</v>
      </c>
      <c r="L1257" s="323">
        <v>3.4722222222222224E-4</v>
      </c>
      <c r="M1257" s="319" t="s">
        <v>166</v>
      </c>
      <c r="N1257" s="1005" t="s">
        <v>188</v>
      </c>
      <c r="O1257" s="1068" t="s">
        <v>196</v>
      </c>
      <c r="P1257" s="1031" t="s">
        <v>224</v>
      </c>
      <c r="Q1257" s="319" t="s">
        <v>842</v>
      </c>
      <c r="R1257" s="1069">
        <v>21.7</v>
      </c>
      <c r="S1257" s="1004">
        <v>39.5</v>
      </c>
      <c r="T1257" s="1005">
        <v>1.26</v>
      </c>
      <c r="U1257" s="1070">
        <v>25.0</v>
      </c>
      <c r="V1257" s="1070"/>
      <c r="W1257" s="1070"/>
      <c r="X1257" s="1070"/>
      <c r="Y1257" s="1070"/>
      <c r="Z1257" s="1071" t="s">
        <v>387</v>
      </c>
      <c r="AA1257" s="1071"/>
      <c r="AB1257" s="1071" t="s">
        <v>416</v>
      </c>
      <c r="AC1257" s="1072">
        <v>52.5</v>
      </c>
      <c r="AD1257" s="1031"/>
      <c r="AE1257" s="1031"/>
      <c r="AF1257" s="1031"/>
      <c r="AG1257" s="1031"/>
      <c r="AH1257" s="1031"/>
      <c r="AI1257" s="1031"/>
      <c r="AJ1257" s="1072"/>
      <c r="AK1257" s="1073"/>
      <c r="AL1257" s="1031"/>
      <c r="AM1257" s="1031"/>
      <c r="AN1257" s="1031"/>
      <c r="AO1257" s="1031"/>
      <c r="AP1257" s="1031"/>
      <c r="AQ1257" s="1031"/>
      <c r="AR1257" s="1031"/>
      <c r="AS1257" s="1072"/>
      <c r="AT1257" s="1075" t="s">
        <v>183</v>
      </c>
      <c r="AU1257" s="1005" t="s">
        <v>845</v>
      </c>
      <c r="AV1257" s="330">
        <f>SQRT(($R1257-Infrastructure!J$3)^2+($S1257-Infrastructure!K$3)^2)</f>
        <v>24.42048321</v>
      </c>
      <c r="AW1257" s="331">
        <f>SQRT(($R1257-Infrastructure!J$4)^2+($S1257-Infrastructure!K$4)^2)</f>
        <v>30.90129447</v>
      </c>
      <c r="AX1257" s="331">
        <f>SQRT(($R1257-Infrastructure!J$5)^2+($S1257-Infrastructure!K$5)^2)</f>
        <v>40.83331973</v>
      </c>
      <c r="AY1257" s="331">
        <f>SQRT(($R1257-Infrastructure!J$6)^2+($S1257-Infrastructure!K$6)^2)</f>
        <v>40.88031311</v>
      </c>
      <c r="AZ1257" s="331">
        <f>SQRT(($R1257-Infrastructure!J$7)^2+($S1257-Infrastructure!K$7)^2)</f>
        <v>39.21836305</v>
      </c>
      <c r="BA1257" s="331">
        <f>SQRT(($R1257-Infrastructure!J$8)^2+($S1257-Infrastructure!K$8)^2)</f>
        <v>40.08989898</v>
      </c>
      <c r="BB1257" s="331">
        <f>SQRT(($R1257-Infrastructure!J$9)^2+($S1257-Infrastructure!K$9)^2)</f>
        <v>38.96472764</v>
      </c>
      <c r="BC1257" s="331">
        <f>SQRT(($R1257-Infrastructure!J$10)^2+($S1257-Infrastructure!K$10)^2)</f>
        <v>30.58005886</v>
      </c>
      <c r="BD1257" s="331">
        <f>SQRT(($R1257-Infrastructure!J$11)^2+($S1257-Infrastructure!K$11)^2)</f>
        <v>21.27204739</v>
      </c>
      <c r="BE1257" s="333">
        <f>SQRT(($R1257-Infrastructure!J$12)^2+($S1257-Infrastructure!K$12)^2)</f>
        <v>16.00124995</v>
      </c>
      <c r="BF1257" s="330">
        <f t="shared" si="161"/>
        <v>16.00124995</v>
      </c>
      <c r="BG1257" s="333">
        <f t="shared" si="162"/>
        <v>40.88031311</v>
      </c>
      <c r="BH1257" s="943">
        <v>36526.0</v>
      </c>
      <c r="BI1257" s="319"/>
      <c r="BJ1257" s="319"/>
      <c r="BK1257" s="319"/>
      <c r="BL1257" s="319"/>
      <c r="BM1257" s="955"/>
      <c r="BN1257" s="319"/>
      <c r="BO1257" s="319"/>
      <c r="BP1257" s="953"/>
      <c r="BQ1257" s="319"/>
      <c r="BR1257" s="324"/>
      <c r="BS1257" s="330">
        <f t="shared" si="169"/>
        <v>0</v>
      </c>
      <c r="BT1257" s="331">
        <f t="shared" si="170"/>
        <v>0</v>
      </c>
      <c r="BU1257" s="920"/>
      <c r="BV1257" s="903">
        <f t="shared" si="171"/>
        <v>-0.4415509259</v>
      </c>
      <c r="BW1257" s="907"/>
      <c r="BX1257" s="908"/>
      <c r="BY1257" s="331" t="b">
        <f t="shared" si="166"/>
        <v>0</v>
      </c>
      <c r="BZ1257" s="340"/>
      <c r="CA1257" s="316"/>
      <c r="CB1257" s="318"/>
      <c r="CC1257" s="318"/>
      <c r="CD1257" s="318"/>
      <c r="CE1257" s="318"/>
      <c r="CF1257" s="318"/>
      <c r="CG1257" s="318"/>
      <c r="CH1257" s="318"/>
      <c r="CI1257" s="318"/>
      <c r="CJ1257" s="463"/>
      <c r="CK1257" s="342"/>
      <c r="CL1257" s="333"/>
      <c r="CM1257" s="872"/>
      <c r="CN1257" s="847"/>
      <c r="CO1257" s="847"/>
      <c r="CP1257" s="847"/>
    </row>
    <row r="1258">
      <c r="B1258" s="1029" t="s">
        <v>1916</v>
      </c>
      <c r="C1258" s="1002">
        <v>44593.0</v>
      </c>
      <c r="D1258" s="1030"/>
      <c r="E1258" s="1031">
        <v>11.0</v>
      </c>
      <c r="F1258" s="1005" t="s">
        <v>1960</v>
      </c>
      <c r="G1258" s="1006">
        <v>0.44635416666666666</v>
      </c>
      <c r="H1258" s="1007"/>
      <c r="I1258" s="1007"/>
      <c r="J1258" s="1028"/>
      <c r="K1258" s="1028">
        <v>0.4466435185185185</v>
      </c>
      <c r="L1258" s="323">
        <v>2.8935185185185184E-4</v>
      </c>
      <c r="M1258" s="319" t="s">
        <v>166</v>
      </c>
      <c r="N1258" s="1005" t="s">
        <v>188</v>
      </c>
      <c r="O1258" s="1068" t="s">
        <v>196</v>
      </c>
      <c r="P1258" s="1031" t="s">
        <v>224</v>
      </c>
      <c r="Q1258" s="319" t="s">
        <v>842</v>
      </c>
      <c r="R1258" s="1069">
        <v>21.7</v>
      </c>
      <c r="S1258" s="1004">
        <v>39.5</v>
      </c>
      <c r="T1258" s="1005">
        <v>1.26</v>
      </c>
      <c r="U1258" s="1070">
        <v>25.0</v>
      </c>
      <c r="V1258" s="1070"/>
      <c r="W1258" s="1070"/>
      <c r="X1258" s="1070"/>
      <c r="Y1258" s="1070"/>
      <c r="Z1258" s="1071" t="s">
        <v>387</v>
      </c>
      <c r="AA1258" s="1071"/>
      <c r="AB1258" s="1071" t="s">
        <v>416</v>
      </c>
      <c r="AC1258" s="1072">
        <v>52.5</v>
      </c>
      <c r="AD1258" s="1031"/>
      <c r="AE1258" s="1031"/>
      <c r="AF1258" s="1031"/>
      <c r="AG1258" s="1031"/>
      <c r="AH1258" s="1031"/>
      <c r="AI1258" s="1031"/>
      <c r="AJ1258" s="1072"/>
      <c r="AK1258" s="1073"/>
      <c r="AL1258" s="1031"/>
      <c r="AM1258" s="1031"/>
      <c r="AN1258" s="1031"/>
      <c r="AO1258" s="1031"/>
      <c r="AP1258" s="1031"/>
      <c r="AQ1258" s="1031"/>
      <c r="AR1258" s="1031"/>
      <c r="AS1258" s="1072"/>
      <c r="AT1258" s="1075" t="s">
        <v>183</v>
      </c>
      <c r="AU1258" s="1005" t="s">
        <v>845</v>
      </c>
      <c r="AV1258" s="330">
        <f>SQRT(($R1258-Infrastructure!J$3)^2+($S1258-Infrastructure!K$3)^2)</f>
        <v>24.42048321</v>
      </c>
      <c r="AW1258" s="331">
        <f>SQRT(($R1258-Infrastructure!J$4)^2+($S1258-Infrastructure!K$4)^2)</f>
        <v>30.90129447</v>
      </c>
      <c r="AX1258" s="331">
        <f>SQRT(($R1258-Infrastructure!J$5)^2+($S1258-Infrastructure!K$5)^2)</f>
        <v>40.83331973</v>
      </c>
      <c r="AY1258" s="331">
        <f>SQRT(($R1258-Infrastructure!J$6)^2+($S1258-Infrastructure!K$6)^2)</f>
        <v>40.88031311</v>
      </c>
      <c r="AZ1258" s="331">
        <f>SQRT(($R1258-Infrastructure!J$7)^2+($S1258-Infrastructure!K$7)^2)</f>
        <v>39.21836305</v>
      </c>
      <c r="BA1258" s="331">
        <f>SQRT(($R1258-Infrastructure!J$8)^2+($S1258-Infrastructure!K$8)^2)</f>
        <v>40.08989898</v>
      </c>
      <c r="BB1258" s="331">
        <f>SQRT(($R1258-Infrastructure!J$9)^2+($S1258-Infrastructure!K$9)^2)</f>
        <v>38.96472764</v>
      </c>
      <c r="BC1258" s="331">
        <f>SQRT(($R1258-Infrastructure!J$10)^2+($S1258-Infrastructure!K$10)^2)</f>
        <v>30.58005886</v>
      </c>
      <c r="BD1258" s="331">
        <f>SQRT(($R1258-Infrastructure!J$11)^2+($S1258-Infrastructure!K$11)^2)</f>
        <v>21.27204739</v>
      </c>
      <c r="BE1258" s="333">
        <f>SQRT(($R1258-Infrastructure!J$12)^2+($S1258-Infrastructure!K$12)^2)</f>
        <v>16.00124995</v>
      </c>
      <c r="BF1258" s="330">
        <f t="shared" si="161"/>
        <v>16.00124995</v>
      </c>
      <c r="BG1258" s="333">
        <f t="shared" si="162"/>
        <v>40.88031311</v>
      </c>
      <c r="BH1258" s="943">
        <v>36526.0</v>
      </c>
      <c r="BI1258" s="319"/>
      <c r="BJ1258" s="319"/>
      <c r="BK1258" s="319"/>
      <c r="BL1258" s="319"/>
      <c r="BM1258" s="955"/>
      <c r="BN1258" s="319"/>
      <c r="BO1258" s="319"/>
      <c r="BP1258" s="953"/>
      <c r="BQ1258" s="319"/>
      <c r="BR1258" s="324"/>
      <c r="BS1258" s="330">
        <f t="shared" si="169"/>
        <v>0</v>
      </c>
      <c r="BT1258" s="331">
        <f t="shared" si="170"/>
        <v>0</v>
      </c>
      <c r="BU1258" s="920"/>
      <c r="BV1258" s="903">
        <f t="shared" si="171"/>
        <v>-0.4463541667</v>
      </c>
      <c r="BW1258" s="907"/>
      <c r="BX1258" s="908"/>
      <c r="BY1258" s="331" t="b">
        <f t="shared" si="166"/>
        <v>0</v>
      </c>
      <c r="BZ1258" s="340"/>
      <c r="CA1258" s="316"/>
      <c r="CB1258" s="318"/>
      <c r="CC1258" s="318"/>
      <c r="CD1258" s="318"/>
      <c r="CE1258" s="318"/>
      <c r="CF1258" s="318"/>
      <c r="CG1258" s="318"/>
      <c r="CH1258" s="318"/>
      <c r="CI1258" s="318"/>
      <c r="CJ1258" s="463"/>
      <c r="CK1258" s="342"/>
      <c r="CL1258" s="333"/>
      <c r="CM1258" s="872"/>
      <c r="CN1258" s="847"/>
      <c r="CO1258" s="847"/>
      <c r="CP1258" s="847"/>
    </row>
    <row r="1259">
      <c r="B1259" s="1029" t="s">
        <v>1916</v>
      </c>
      <c r="C1259" s="1002">
        <v>44593.0</v>
      </c>
      <c r="D1259" s="1030"/>
      <c r="E1259" s="1031">
        <v>12.0</v>
      </c>
      <c r="F1259" s="1005" t="s">
        <v>1961</v>
      </c>
      <c r="G1259" s="1006">
        <v>0.4476851851851852</v>
      </c>
      <c r="H1259" s="1007"/>
      <c r="I1259" s="1007"/>
      <c r="J1259" s="1028"/>
      <c r="K1259" s="1028">
        <v>0.4479166666666667</v>
      </c>
      <c r="L1259" s="323">
        <v>2.314814814814815E-4</v>
      </c>
      <c r="M1259" s="319" t="s">
        <v>166</v>
      </c>
      <c r="N1259" s="1005" t="s">
        <v>188</v>
      </c>
      <c r="O1259" s="1068" t="s">
        <v>196</v>
      </c>
      <c r="P1259" s="1031" t="s">
        <v>224</v>
      </c>
      <c r="Q1259" s="319" t="s">
        <v>842</v>
      </c>
      <c r="R1259" s="1069">
        <v>21.7</v>
      </c>
      <c r="S1259" s="1004">
        <v>39.5</v>
      </c>
      <c r="T1259" s="1005">
        <v>1.26</v>
      </c>
      <c r="U1259" s="1070">
        <v>25.0</v>
      </c>
      <c r="V1259" s="1070"/>
      <c r="W1259" s="1070"/>
      <c r="X1259" s="1070"/>
      <c r="Y1259" s="1070"/>
      <c r="Z1259" s="1071" t="s">
        <v>387</v>
      </c>
      <c r="AA1259" s="1071"/>
      <c r="AB1259" s="1071" t="s">
        <v>416</v>
      </c>
      <c r="AC1259" s="1072">
        <v>52.5</v>
      </c>
      <c r="AD1259" s="1031"/>
      <c r="AE1259" s="1031"/>
      <c r="AF1259" s="1031"/>
      <c r="AG1259" s="1031"/>
      <c r="AH1259" s="1031"/>
      <c r="AI1259" s="1031"/>
      <c r="AJ1259" s="1072"/>
      <c r="AK1259" s="1073"/>
      <c r="AL1259" s="1031"/>
      <c r="AM1259" s="1031"/>
      <c r="AN1259" s="1031"/>
      <c r="AO1259" s="1031"/>
      <c r="AP1259" s="1031"/>
      <c r="AQ1259" s="1031"/>
      <c r="AR1259" s="1031"/>
      <c r="AS1259" s="1072"/>
      <c r="AT1259" s="1075" t="s">
        <v>183</v>
      </c>
      <c r="AU1259" s="1005" t="s">
        <v>845</v>
      </c>
      <c r="AV1259" s="330">
        <f>SQRT(($R1259-Infrastructure!J$3)^2+($S1259-Infrastructure!K$3)^2)</f>
        <v>24.42048321</v>
      </c>
      <c r="AW1259" s="331">
        <f>SQRT(($R1259-Infrastructure!J$4)^2+($S1259-Infrastructure!K$4)^2)</f>
        <v>30.90129447</v>
      </c>
      <c r="AX1259" s="331">
        <f>SQRT(($R1259-Infrastructure!J$5)^2+($S1259-Infrastructure!K$5)^2)</f>
        <v>40.83331973</v>
      </c>
      <c r="AY1259" s="331">
        <f>SQRT(($R1259-Infrastructure!J$6)^2+($S1259-Infrastructure!K$6)^2)</f>
        <v>40.88031311</v>
      </c>
      <c r="AZ1259" s="331">
        <f>SQRT(($R1259-Infrastructure!J$7)^2+($S1259-Infrastructure!K$7)^2)</f>
        <v>39.21836305</v>
      </c>
      <c r="BA1259" s="331">
        <f>SQRT(($R1259-Infrastructure!J$8)^2+($S1259-Infrastructure!K$8)^2)</f>
        <v>40.08989898</v>
      </c>
      <c r="BB1259" s="331">
        <f>SQRT(($R1259-Infrastructure!J$9)^2+($S1259-Infrastructure!K$9)^2)</f>
        <v>38.96472764</v>
      </c>
      <c r="BC1259" s="331">
        <f>SQRT(($R1259-Infrastructure!J$10)^2+($S1259-Infrastructure!K$10)^2)</f>
        <v>30.58005886</v>
      </c>
      <c r="BD1259" s="331">
        <f>SQRT(($R1259-Infrastructure!J$11)^2+($S1259-Infrastructure!K$11)^2)</f>
        <v>21.27204739</v>
      </c>
      <c r="BE1259" s="333">
        <f>SQRT(($R1259-Infrastructure!J$12)^2+($S1259-Infrastructure!K$12)^2)</f>
        <v>16.00124995</v>
      </c>
      <c r="BF1259" s="330">
        <f t="shared" si="161"/>
        <v>16.00124995</v>
      </c>
      <c r="BG1259" s="333">
        <f t="shared" si="162"/>
        <v>40.88031311</v>
      </c>
      <c r="BH1259" s="943">
        <v>36526.0</v>
      </c>
      <c r="BI1259" s="319" t="s">
        <v>846</v>
      </c>
      <c r="BJ1259" s="319" t="s">
        <v>846</v>
      </c>
      <c r="BK1259" s="319"/>
      <c r="BL1259" s="319"/>
      <c r="BM1259" s="955"/>
      <c r="BN1259" s="319"/>
      <c r="BO1259" s="319"/>
      <c r="BP1259" s="953" t="s">
        <v>846</v>
      </c>
      <c r="BQ1259" s="319" t="s">
        <v>846</v>
      </c>
      <c r="BR1259" s="324" t="s">
        <v>846</v>
      </c>
      <c r="BS1259" s="330">
        <f t="shared" si="169"/>
        <v>16.00124995</v>
      </c>
      <c r="BT1259" s="331">
        <f t="shared" si="170"/>
        <v>30.90129447</v>
      </c>
      <c r="BU1259" s="920">
        <v>0.4476851851851852</v>
      </c>
      <c r="BV1259" s="903">
        <f t="shared" si="171"/>
        <v>0</v>
      </c>
      <c r="BW1259" s="907">
        <v>20.7</v>
      </c>
      <c r="BX1259" s="908">
        <v>37.1</v>
      </c>
      <c r="BY1259" s="331">
        <f t="shared" si="166"/>
        <v>2.6</v>
      </c>
      <c r="BZ1259" s="340"/>
      <c r="CA1259" s="316"/>
      <c r="CB1259" s="318"/>
      <c r="CC1259" s="318"/>
      <c r="CD1259" s="318"/>
      <c r="CE1259" s="318"/>
      <c r="CF1259" s="318"/>
      <c r="CG1259" s="318"/>
      <c r="CH1259" s="318"/>
      <c r="CI1259" s="318"/>
      <c r="CJ1259" s="463"/>
      <c r="CK1259" s="342"/>
      <c r="CL1259" s="333"/>
      <c r="CM1259" s="872"/>
      <c r="CN1259" s="847"/>
      <c r="CO1259" s="847"/>
      <c r="CP1259" s="847"/>
    </row>
    <row r="1260">
      <c r="B1260" s="1029" t="s">
        <v>1916</v>
      </c>
      <c r="C1260" s="1002">
        <v>44593.0</v>
      </c>
      <c r="D1260" s="1030"/>
      <c r="E1260" s="1031">
        <v>13.0</v>
      </c>
      <c r="F1260" s="1005" t="s">
        <v>1962</v>
      </c>
      <c r="G1260" s="1006">
        <v>0.44837962962962963</v>
      </c>
      <c r="H1260" s="1007"/>
      <c r="I1260" s="1007"/>
      <c r="J1260" s="1028"/>
      <c r="K1260" s="1028">
        <v>0.4490162037037037</v>
      </c>
      <c r="L1260" s="323">
        <v>6.365740740740741E-4</v>
      </c>
      <c r="M1260" s="319" t="s">
        <v>166</v>
      </c>
      <c r="N1260" s="1005" t="s">
        <v>188</v>
      </c>
      <c r="O1260" s="1068" t="s">
        <v>196</v>
      </c>
      <c r="P1260" s="1031" t="s">
        <v>224</v>
      </c>
      <c r="Q1260" s="319" t="s">
        <v>842</v>
      </c>
      <c r="R1260" s="1069">
        <v>21.7</v>
      </c>
      <c r="S1260" s="1004">
        <v>39.5</v>
      </c>
      <c r="T1260" s="1005">
        <v>1.26</v>
      </c>
      <c r="U1260" s="1070">
        <v>25.0</v>
      </c>
      <c r="V1260" s="1070"/>
      <c r="W1260" s="1070"/>
      <c r="X1260" s="1070"/>
      <c r="Y1260" s="1070"/>
      <c r="Z1260" s="1071" t="s">
        <v>387</v>
      </c>
      <c r="AA1260" s="1071"/>
      <c r="AB1260" s="1071" t="s">
        <v>416</v>
      </c>
      <c r="AC1260" s="1072">
        <v>52.5</v>
      </c>
      <c r="AD1260" s="1031"/>
      <c r="AE1260" s="1031"/>
      <c r="AF1260" s="1031"/>
      <c r="AG1260" s="1031"/>
      <c r="AH1260" s="1031"/>
      <c r="AI1260" s="1031"/>
      <c r="AJ1260" s="1072"/>
      <c r="AK1260" s="1073"/>
      <c r="AL1260" s="1031"/>
      <c r="AM1260" s="1031"/>
      <c r="AN1260" s="1031"/>
      <c r="AO1260" s="1031"/>
      <c r="AP1260" s="1031"/>
      <c r="AQ1260" s="1031"/>
      <c r="AR1260" s="1031"/>
      <c r="AS1260" s="1072"/>
      <c r="AT1260" s="1075" t="s">
        <v>183</v>
      </c>
      <c r="AU1260" s="1005" t="s">
        <v>845</v>
      </c>
      <c r="AV1260" s="330">
        <f>SQRT(($R1260-Infrastructure!J$3)^2+($S1260-Infrastructure!K$3)^2)</f>
        <v>24.42048321</v>
      </c>
      <c r="AW1260" s="331">
        <f>SQRT(($R1260-Infrastructure!J$4)^2+($S1260-Infrastructure!K$4)^2)</f>
        <v>30.90129447</v>
      </c>
      <c r="AX1260" s="331">
        <f>SQRT(($R1260-Infrastructure!J$5)^2+($S1260-Infrastructure!K$5)^2)</f>
        <v>40.83331973</v>
      </c>
      <c r="AY1260" s="331">
        <f>SQRT(($R1260-Infrastructure!J$6)^2+($S1260-Infrastructure!K$6)^2)</f>
        <v>40.88031311</v>
      </c>
      <c r="AZ1260" s="331">
        <f>SQRT(($R1260-Infrastructure!J$7)^2+($S1260-Infrastructure!K$7)^2)</f>
        <v>39.21836305</v>
      </c>
      <c r="BA1260" s="331">
        <f>SQRT(($R1260-Infrastructure!J$8)^2+($S1260-Infrastructure!K$8)^2)</f>
        <v>40.08989898</v>
      </c>
      <c r="BB1260" s="331">
        <f>SQRT(($R1260-Infrastructure!J$9)^2+($S1260-Infrastructure!K$9)^2)</f>
        <v>38.96472764</v>
      </c>
      <c r="BC1260" s="331">
        <f>SQRT(($R1260-Infrastructure!J$10)^2+($S1260-Infrastructure!K$10)^2)</f>
        <v>30.58005886</v>
      </c>
      <c r="BD1260" s="331">
        <f>SQRT(($R1260-Infrastructure!J$11)^2+($S1260-Infrastructure!K$11)^2)</f>
        <v>21.27204739</v>
      </c>
      <c r="BE1260" s="333">
        <f>SQRT(($R1260-Infrastructure!J$12)^2+($S1260-Infrastructure!K$12)^2)</f>
        <v>16.00124995</v>
      </c>
      <c r="BF1260" s="330">
        <f t="shared" si="161"/>
        <v>16.00124995</v>
      </c>
      <c r="BG1260" s="333">
        <f t="shared" si="162"/>
        <v>40.88031311</v>
      </c>
      <c r="BH1260" s="943">
        <v>36526.0</v>
      </c>
      <c r="BI1260" s="319" t="s">
        <v>846</v>
      </c>
      <c r="BJ1260" s="319" t="s">
        <v>846</v>
      </c>
      <c r="BK1260" s="319"/>
      <c r="BL1260" s="319"/>
      <c r="BM1260" s="955"/>
      <c r="BN1260" s="319"/>
      <c r="BO1260" s="319"/>
      <c r="BP1260" s="953" t="s">
        <v>846</v>
      </c>
      <c r="BQ1260" s="319" t="s">
        <v>846</v>
      </c>
      <c r="BR1260" s="324" t="s">
        <v>846</v>
      </c>
      <c r="BS1260" s="330">
        <f t="shared" si="169"/>
        <v>16.00124995</v>
      </c>
      <c r="BT1260" s="331">
        <f t="shared" si="170"/>
        <v>30.90129447</v>
      </c>
      <c r="BU1260" s="920">
        <v>0.4487847222222222</v>
      </c>
      <c r="BV1260" s="903">
        <f t="shared" si="171"/>
        <v>0.0004050925926</v>
      </c>
      <c r="BW1260" s="907">
        <v>20.3</v>
      </c>
      <c r="BX1260" s="908">
        <v>32.3</v>
      </c>
      <c r="BY1260" s="331">
        <f t="shared" si="166"/>
        <v>7.334848328</v>
      </c>
      <c r="BZ1260" s="340"/>
      <c r="CA1260" s="316"/>
      <c r="CB1260" s="318"/>
      <c r="CC1260" s="318"/>
      <c r="CD1260" s="318"/>
      <c r="CE1260" s="318"/>
      <c r="CF1260" s="318"/>
      <c r="CG1260" s="318"/>
      <c r="CH1260" s="318"/>
      <c r="CI1260" s="318"/>
      <c r="CJ1260" s="463"/>
      <c r="CK1260" s="342"/>
      <c r="CL1260" s="333"/>
      <c r="CM1260" s="872"/>
      <c r="CN1260" s="847"/>
      <c r="CO1260" s="847"/>
      <c r="CP1260" s="847"/>
    </row>
    <row r="1261">
      <c r="B1261" s="1029" t="s">
        <v>1916</v>
      </c>
      <c r="C1261" s="1002">
        <v>44593.0</v>
      </c>
      <c r="D1261" s="1030"/>
      <c r="E1261" s="1031">
        <v>14.0</v>
      </c>
      <c r="F1261" s="1005" t="s">
        <v>1963</v>
      </c>
      <c r="G1261" s="1006">
        <v>0.44947916666666665</v>
      </c>
      <c r="H1261" s="1007">
        <v>0.4498263888888889</v>
      </c>
      <c r="I1261" s="1007"/>
      <c r="J1261" s="1028"/>
      <c r="K1261" s="1028">
        <v>0.45</v>
      </c>
      <c r="L1261" s="323">
        <v>1.7361111111111112E-4</v>
      </c>
      <c r="M1261" s="319" t="s">
        <v>166</v>
      </c>
      <c r="N1261" s="1005" t="s">
        <v>188</v>
      </c>
      <c r="O1261" s="1068" t="s">
        <v>196</v>
      </c>
      <c r="P1261" s="1031" t="s">
        <v>224</v>
      </c>
      <c r="Q1261" s="319" t="s">
        <v>842</v>
      </c>
      <c r="R1261" s="1069">
        <v>21.7</v>
      </c>
      <c r="S1261" s="1004">
        <v>39.5</v>
      </c>
      <c r="T1261" s="1005">
        <v>1.26</v>
      </c>
      <c r="U1261" s="1070">
        <v>25.0</v>
      </c>
      <c r="V1261" s="1070"/>
      <c r="W1261" s="1070"/>
      <c r="X1261" s="1070"/>
      <c r="Y1261" s="1070"/>
      <c r="Z1261" s="1071" t="s">
        <v>387</v>
      </c>
      <c r="AA1261" s="1071"/>
      <c r="AB1261" s="1071" t="s">
        <v>416</v>
      </c>
      <c r="AC1261" s="1072">
        <v>52.5</v>
      </c>
      <c r="AD1261" s="1031"/>
      <c r="AE1261" s="1031"/>
      <c r="AF1261" s="1031"/>
      <c r="AG1261" s="1031"/>
      <c r="AH1261" s="1031"/>
      <c r="AI1261" s="1031"/>
      <c r="AJ1261" s="1072"/>
      <c r="AK1261" s="1073"/>
      <c r="AL1261" s="1031"/>
      <c r="AM1261" s="1031"/>
      <c r="AN1261" s="1031"/>
      <c r="AO1261" s="1031"/>
      <c r="AP1261" s="1031"/>
      <c r="AQ1261" s="1031"/>
      <c r="AR1261" s="1031"/>
      <c r="AS1261" s="1072"/>
      <c r="AT1261" s="1075" t="s">
        <v>183</v>
      </c>
      <c r="AU1261" s="1005" t="s">
        <v>845</v>
      </c>
      <c r="AV1261" s="330">
        <f>SQRT(($R1261-Infrastructure!J$3)^2+($S1261-Infrastructure!K$3)^2)</f>
        <v>24.42048321</v>
      </c>
      <c r="AW1261" s="331">
        <f>SQRT(($R1261-Infrastructure!J$4)^2+($S1261-Infrastructure!K$4)^2)</f>
        <v>30.90129447</v>
      </c>
      <c r="AX1261" s="331">
        <f>SQRT(($R1261-Infrastructure!J$5)^2+($S1261-Infrastructure!K$5)^2)</f>
        <v>40.83331973</v>
      </c>
      <c r="AY1261" s="331">
        <f>SQRT(($R1261-Infrastructure!J$6)^2+($S1261-Infrastructure!K$6)^2)</f>
        <v>40.88031311</v>
      </c>
      <c r="AZ1261" s="331">
        <f>SQRT(($R1261-Infrastructure!J$7)^2+($S1261-Infrastructure!K$7)^2)</f>
        <v>39.21836305</v>
      </c>
      <c r="BA1261" s="331">
        <f>SQRT(($R1261-Infrastructure!J$8)^2+($S1261-Infrastructure!K$8)^2)</f>
        <v>40.08989898</v>
      </c>
      <c r="BB1261" s="331">
        <f>SQRT(($R1261-Infrastructure!J$9)^2+($S1261-Infrastructure!K$9)^2)</f>
        <v>38.96472764</v>
      </c>
      <c r="BC1261" s="331">
        <f>SQRT(($R1261-Infrastructure!J$10)^2+($S1261-Infrastructure!K$10)^2)</f>
        <v>30.58005886</v>
      </c>
      <c r="BD1261" s="331">
        <f>SQRT(($R1261-Infrastructure!J$11)^2+($S1261-Infrastructure!K$11)^2)</f>
        <v>21.27204739</v>
      </c>
      <c r="BE1261" s="333">
        <f>SQRT(($R1261-Infrastructure!J$12)^2+($S1261-Infrastructure!K$12)^2)</f>
        <v>16.00124995</v>
      </c>
      <c r="BF1261" s="330">
        <f t="shared" si="161"/>
        <v>16.00124995</v>
      </c>
      <c r="BG1261" s="333">
        <f t="shared" si="162"/>
        <v>40.88031311</v>
      </c>
      <c r="BH1261" s="943">
        <v>36526.0</v>
      </c>
      <c r="BI1261" s="319" t="s">
        <v>846</v>
      </c>
      <c r="BJ1261" s="319"/>
      <c r="BK1261" s="319"/>
      <c r="BL1261" s="319"/>
      <c r="BM1261" s="955"/>
      <c r="BN1261" s="319"/>
      <c r="BO1261" s="319"/>
      <c r="BP1261" s="953"/>
      <c r="BQ1261" s="319" t="s">
        <v>846</v>
      </c>
      <c r="BR1261" s="324" t="s">
        <v>846</v>
      </c>
      <c r="BS1261" s="330">
        <f t="shared" si="169"/>
        <v>16.00124995</v>
      </c>
      <c r="BT1261" s="331">
        <f t="shared" si="170"/>
        <v>24.42048321</v>
      </c>
      <c r="BU1261" s="920">
        <v>0.45069444444444445</v>
      </c>
      <c r="BV1261" s="903">
        <f t="shared" si="171"/>
        <v>0.001215277778</v>
      </c>
      <c r="BW1261" s="907">
        <v>19.1</v>
      </c>
      <c r="BX1261" s="908">
        <v>41.9</v>
      </c>
      <c r="BY1261" s="331">
        <f t="shared" si="166"/>
        <v>3.538361203</v>
      </c>
      <c r="BZ1261" s="340"/>
      <c r="CA1261" s="316"/>
      <c r="CB1261" s="318"/>
      <c r="CC1261" s="318"/>
      <c r="CD1261" s="318"/>
      <c r="CE1261" s="318"/>
      <c r="CF1261" s="318"/>
      <c r="CG1261" s="318"/>
      <c r="CH1261" s="318"/>
      <c r="CI1261" s="318"/>
      <c r="CJ1261" s="463"/>
      <c r="CK1261" s="342"/>
      <c r="CL1261" s="333"/>
      <c r="CM1261" s="872"/>
      <c r="CN1261" s="847"/>
      <c r="CO1261" s="847"/>
      <c r="CP1261" s="847"/>
    </row>
    <row r="1262">
      <c r="B1262" s="1029" t="s">
        <v>1916</v>
      </c>
      <c r="C1262" s="1002">
        <v>44593.0</v>
      </c>
      <c r="D1262" s="1030"/>
      <c r="E1262" s="1031">
        <v>15.0</v>
      </c>
      <c r="F1262" s="1005" t="s">
        <v>1964</v>
      </c>
      <c r="G1262" s="1006">
        <v>0.4513888888888889</v>
      </c>
      <c r="H1262" s="1007"/>
      <c r="I1262" s="1007"/>
      <c r="J1262" s="1028"/>
      <c r="K1262" s="1028">
        <v>0.45185185185185184</v>
      </c>
      <c r="L1262" s="323">
        <v>4.62962962962963E-4</v>
      </c>
      <c r="M1262" s="319" t="s">
        <v>166</v>
      </c>
      <c r="N1262" s="1005" t="s">
        <v>188</v>
      </c>
      <c r="O1262" s="1068" t="s">
        <v>196</v>
      </c>
      <c r="P1262" s="1031" t="s">
        <v>224</v>
      </c>
      <c r="Q1262" s="319" t="s">
        <v>842</v>
      </c>
      <c r="R1262" s="1069">
        <v>21.7</v>
      </c>
      <c r="S1262" s="1004">
        <v>39.5</v>
      </c>
      <c r="T1262" s="1005">
        <v>1.26</v>
      </c>
      <c r="U1262" s="1070">
        <v>25.0</v>
      </c>
      <c r="V1262" s="1070"/>
      <c r="W1262" s="1070"/>
      <c r="X1262" s="1070"/>
      <c r="Y1262" s="1070"/>
      <c r="Z1262" s="1071" t="s">
        <v>387</v>
      </c>
      <c r="AA1262" s="1071"/>
      <c r="AB1262" s="1071" t="s">
        <v>416</v>
      </c>
      <c r="AC1262" s="1072">
        <v>52.5</v>
      </c>
      <c r="AD1262" s="1031"/>
      <c r="AE1262" s="1031"/>
      <c r="AF1262" s="1031"/>
      <c r="AG1262" s="1031"/>
      <c r="AH1262" s="1031"/>
      <c r="AI1262" s="1031"/>
      <c r="AJ1262" s="1072"/>
      <c r="AK1262" s="1073"/>
      <c r="AL1262" s="1031"/>
      <c r="AM1262" s="1031"/>
      <c r="AN1262" s="1031"/>
      <c r="AO1262" s="1031"/>
      <c r="AP1262" s="1031"/>
      <c r="AQ1262" s="1031"/>
      <c r="AR1262" s="1031"/>
      <c r="AS1262" s="1072"/>
      <c r="AT1262" s="1075" t="s">
        <v>183</v>
      </c>
      <c r="AU1262" s="1005" t="s">
        <v>845</v>
      </c>
      <c r="AV1262" s="330">
        <f>SQRT(($R1262-Infrastructure!J$3)^2+($S1262-Infrastructure!K$3)^2)</f>
        <v>24.42048321</v>
      </c>
      <c r="AW1262" s="331">
        <f>SQRT(($R1262-Infrastructure!J$4)^2+($S1262-Infrastructure!K$4)^2)</f>
        <v>30.90129447</v>
      </c>
      <c r="AX1262" s="331">
        <f>SQRT(($R1262-Infrastructure!J$5)^2+($S1262-Infrastructure!K$5)^2)</f>
        <v>40.83331973</v>
      </c>
      <c r="AY1262" s="331">
        <f>SQRT(($R1262-Infrastructure!J$6)^2+($S1262-Infrastructure!K$6)^2)</f>
        <v>40.88031311</v>
      </c>
      <c r="AZ1262" s="331">
        <f>SQRT(($R1262-Infrastructure!J$7)^2+($S1262-Infrastructure!K$7)^2)</f>
        <v>39.21836305</v>
      </c>
      <c r="BA1262" s="331">
        <f>SQRT(($R1262-Infrastructure!J$8)^2+($S1262-Infrastructure!K$8)^2)</f>
        <v>40.08989898</v>
      </c>
      <c r="BB1262" s="331">
        <f>SQRT(($R1262-Infrastructure!J$9)^2+($S1262-Infrastructure!K$9)^2)</f>
        <v>38.96472764</v>
      </c>
      <c r="BC1262" s="331">
        <f>SQRT(($R1262-Infrastructure!J$10)^2+($S1262-Infrastructure!K$10)^2)</f>
        <v>30.58005886</v>
      </c>
      <c r="BD1262" s="331">
        <f>SQRT(($R1262-Infrastructure!J$11)^2+($S1262-Infrastructure!K$11)^2)</f>
        <v>21.27204739</v>
      </c>
      <c r="BE1262" s="333">
        <f>SQRT(($R1262-Infrastructure!J$12)^2+($S1262-Infrastructure!K$12)^2)</f>
        <v>16.00124995</v>
      </c>
      <c r="BF1262" s="330">
        <f t="shared" si="161"/>
        <v>16.00124995</v>
      </c>
      <c r="BG1262" s="333">
        <f t="shared" si="162"/>
        <v>40.88031311</v>
      </c>
      <c r="BH1262" s="943">
        <v>36526.0</v>
      </c>
      <c r="BI1262" s="319" t="s">
        <v>846</v>
      </c>
      <c r="BJ1262" s="319"/>
      <c r="BK1262" s="319"/>
      <c r="BL1262" s="319"/>
      <c r="BM1262" s="955"/>
      <c r="BN1262" s="319"/>
      <c r="BO1262" s="319"/>
      <c r="BP1262" s="953"/>
      <c r="BQ1262" s="319" t="s">
        <v>846</v>
      </c>
      <c r="BR1262" s="324" t="s">
        <v>846</v>
      </c>
      <c r="BS1262" s="330">
        <f t="shared" si="169"/>
        <v>16.00124995</v>
      </c>
      <c r="BT1262" s="331">
        <f t="shared" si="170"/>
        <v>24.42048321</v>
      </c>
      <c r="BU1262" s="920">
        <v>0.4520601851851852</v>
      </c>
      <c r="BV1262" s="903">
        <f t="shared" si="171"/>
        <v>0.0006712962963</v>
      </c>
      <c r="BW1262" s="907">
        <v>20.4</v>
      </c>
      <c r="BX1262" s="908">
        <v>37.4</v>
      </c>
      <c r="BY1262" s="331">
        <f t="shared" si="166"/>
        <v>2.469817807</v>
      </c>
      <c r="BZ1262" s="340"/>
      <c r="CA1262" s="316"/>
      <c r="CB1262" s="318"/>
      <c r="CC1262" s="318"/>
      <c r="CD1262" s="318"/>
      <c r="CE1262" s="318"/>
      <c r="CF1262" s="318"/>
      <c r="CG1262" s="318"/>
      <c r="CH1262" s="318"/>
      <c r="CI1262" s="318"/>
      <c r="CJ1262" s="463"/>
      <c r="CK1262" s="342"/>
      <c r="CL1262" s="333"/>
      <c r="CM1262" s="872"/>
      <c r="CN1262" s="847"/>
      <c r="CO1262" s="847"/>
      <c r="CP1262" s="847"/>
    </row>
    <row r="1263">
      <c r="B1263" s="1029" t="s">
        <v>1916</v>
      </c>
      <c r="C1263" s="1002">
        <v>44593.0</v>
      </c>
      <c r="D1263" s="1030"/>
      <c r="E1263" s="1031">
        <v>16.0</v>
      </c>
      <c r="F1263" s="1005" t="s">
        <v>1965</v>
      </c>
      <c r="G1263" s="1006">
        <v>0.4527777777777778</v>
      </c>
      <c r="H1263" s="1007">
        <v>0.45306712962962964</v>
      </c>
      <c r="I1263" s="1007"/>
      <c r="J1263" s="1028"/>
      <c r="K1263" s="1028">
        <v>0.45318287037037036</v>
      </c>
      <c r="L1263" s="323">
        <v>1.1574074074074075E-4</v>
      </c>
      <c r="M1263" s="319" t="s">
        <v>166</v>
      </c>
      <c r="N1263" s="1005" t="s">
        <v>188</v>
      </c>
      <c r="O1263" s="1068" t="s">
        <v>196</v>
      </c>
      <c r="P1263" s="1031" t="s">
        <v>224</v>
      </c>
      <c r="Q1263" s="319" t="s">
        <v>842</v>
      </c>
      <c r="R1263" s="1069">
        <v>21.7</v>
      </c>
      <c r="S1263" s="1004">
        <v>39.5</v>
      </c>
      <c r="T1263" s="1005">
        <v>1.26</v>
      </c>
      <c r="U1263" s="1070">
        <v>25.0</v>
      </c>
      <c r="V1263" s="1070"/>
      <c r="W1263" s="1070"/>
      <c r="X1263" s="1070"/>
      <c r="Y1263" s="1070"/>
      <c r="Z1263" s="1071" t="s">
        <v>387</v>
      </c>
      <c r="AA1263" s="1071"/>
      <c r="AB1263" s="1071" t="s">
        <v>416</v>
      </c>
      <c r="AC1263" s="1072">
        <v>52.5</v>
      </c>
      <c r="AD1263" s="1031"/>
      <c r="AE1263" s="1031"/>
      <c r="AF1263" s="1031"/>
      <c r="AG1263" s="1031"/>
      <c r="AH1263" s="1031"/>
      <c r="AI1263" s="1031"/>
      <c r="AJ1263" s="1072"/>
      <c r="AK1263" s="1073"/>
      <c r="AL1263" s="1031"/>
      <c r="AM1263" s="1031"/>
      <c r="AN1263" s="1031"/>
      <c r="AO1263" s="1031"/>
      <c r="AP1263" s="1031"/>
      <c r="AQ1263" s="1031"/>
      <c r="AR1263" s="1031"/>
      <c r="AS1263" s="1072"/>
      <c r="AT1263" s="1075" t="s">
        <v>183</v>
      </c>
      <c r="AU1263" s="1005" t="s">
        <v>845</v>
      </c>
      <c r="AV1263" s="330">
        <f>SQRT(($R1263-Infrastructure!J$3)^2+($S1263-Infrastructure!K$3)^2)</f>
        <v>24.42048321</v>
      </c>
      <c r="AW1263" s="331">
        <f>SQRT(($R1263-Infrastructure!J$4)^2+($S1263-Infrastructure!K$4)^2)</f>
        <v>30.90129447</v>
      </c>
      <c r="AX1263" s="331">
        <f>SQRT(($R1263-Infrastructure!J$5)^2+($S1263-Infrastructure!K$5)^2)</f>
        <v>40.83331973</v>
      </c>
      <c r="AY1263" s="331">
        <f>SQRT(($R1263-Infrastructure!J$6)^2+($S1263-Infrastructure!K$6)^2)</f>
        <v>40.88031311</v>
      </c>
      <c r="AZ1263" s="331">
        <f>SQRT(($R1263-Infrastructure!J$7)^2+($S1263-Infrastructure!K$7)^2)</f>
        <v>39.21836305</v>
      </c>
      <c r="BA1263" s="331">
        <f>SQRT(($R1263-Infrastructure!J$8)^2+($S1263-Infrastructure!K$8)^2)</f>
        <v>40.08989898</v>
      </c>
      <c r="BB1263" s="331">
        <f>SQRT(($R1263-Infrastructure!J$9)^2+($S1263-Infrastructure!K$9)^2)</f>
        <v>38.96472764</v>
      </c>
      <c r="BC1263" s="331">
        <f>SQRT(($R1263-Infrastructure!J$10)^2+($S1263-Infrastructure!K$10)^2)</f>
        <v>30.58005886</v>
      </c>
      <c r="BD1263" s="331">
        <f>SQRT(($R1263-Infrastructure!J$11)^2+($S1263-Infrastructure!K$11)^2)</f>
        <v>21.27204739</v>
      </c>
      <c r="BE1263" s="333">
        <f>SQRT(($R1263-Infrastructure!J$12)^2+($S1263-Infrastructure!K$12)^2)</f>
        <v>16.00124995</v>
      </c>
      <c r="BF1263" s="330">
        <f t="shared" si="161"/>
        <v>16.00124995</v>
      </c>
      <c r="BG1263" s="333">
        <f t="shared" si="162"/>
        <v>40.88031311</v>
      </c>
      <c r="BH1263" s="943">
        <v>36526.0</v>
      </c>
      <c r="BI1263" s="319"/>
      <c r="BJ1263" s="319"/>
      <c r="BK1263" s="319"/>
      <c r="BL1263" s="319"/>
      <c r="BM1263" s="955"/>
      <c r="BN1263" s="319"/>
      <c r="BO1263" s="319"/>
      <c r="BP1263" s="953"/>
      <c r="BQ1263" s="319"/>
      <c r="BR1263" s="324"/>
      <c r="BS1263" s="330">
        <f t="shared" si="169"/>
        <v>0</v>
      </c>
      <c r="BT1263" s="331">
        <f t="shared" si="170"/>
        <v>0</v>
      </c>
      <c r="BU1263" s="920"/>
      <c r="BV1263" s="903">
        <f t="shared" si="171"/>
        <v>-0.4527777778</v>
      </c>
      <c r="BW1263" s="907"/>
      <c r="BX1263" s="908"/>
      <c r="BY1263" s="331" t="b">
        <f t="shared" si="166"/>
        <v>0</v>
      </c>
      <c r="BZ1263" s="340"/>
      <c r="CA1263" s="316"/>
      <c r="CB1263" s="318"/>
      <c r="CC1263" s="318"/>
      <c r="CD1263" s="318"/>
      <c r="CE1263" s="318"/>
      <c r="CF1263" s="318"/>
      <c r="CG1263" s="318"/>
      <c r="CH1263" s="318"/>
      <c r="CI1263" s="318"/>
      <c r="CJ1263" s="463"/>
      <c r="CK1263" s="342"/>
      <c r="CL1263" s="333"/>
      <c r="CM1263" s="872"/>
      <c r="CN1263" s="847"/>
      <c r="CO1263" s="847"/>
      <c r="CP1263" s="847"/>
    </row>
    <row r="1264">
      <c r="B1264" s="1029" t="s">
        <v>1916</v>
      </c>
      <c r="C1264" s="1002">
        <v>44593.0</v>
      </c>
      <c r="D1264" s="1030"/>
      <c r="E1264" s="1031">
        <v>17.0</v>
      </c>
      <c r="F1264" s="1005" t="s">
        <v>1966</v>
      </c>
      <c r="G1264" s="1006">
        <v>0.4534722222222222</v>
      </c>
      <c r="H1264" s="1007">
        <v>0.4537615740740741</v>
      </c>
      <c r="I1264" s="1007"/>
      <c r="J1264" s="1028"/>
      <c r="K1264" s="1028">
        <v>0.4538773148148148</v>
      </c>
      <c r="L1264" s="323">
        <v>1.1574074074074075E-4</v>
      </c>
      <c r="M1264" s="319" t="s">
        <v>166</v>
      </c>
      <c r="N1264" s="1005" t="s">
        <v>188</v>
      </c>
      <c r="O1264" s="1068" t="s">
        <v>196</v>
      </c>
      <c r="P1264" s="1031" t="s">
        <v>224</v>
      </c>
      <c r="Q1264" s="319" t="s">
        <v>842</v>
      </c>
      <c r="R1264" s="1069">
        <v>21.7</v>
      </c>
      <c r="S1264" s="1004">
        <v>39.5</v>
      </c>
      <c r="T1264" s="1005">
        <v>1.26</v>
      </c>
      <c r="U1264" s="1070">
        <v>25.0</v>
      </c>
      <c r="V1264" s="1070"/>
      <c r="W1264" s="1070"/>
      <c r="X1264" s="1070"/>
      <c r="Y1264" s="1070"/>
      <c r="Z1264" s="1071" t="s">
        <v>387</v>
      </c>
      <c r="AA1264" s="1071"/>
      <c r="AB1264" s="1071" t="s">
        <v>416</v>
      </c>
      <c r="AC1264" s="1072">
        <v>52.5</v>
      </c>
      <c r="AD1264" s="1031"/>
      <c r="AE1264" s="1031"/>
      <c r="AF1264" s="1031"/>
      <c r="AG1264" s="1031"/>
      <c r="AH1264" s="1031"/>
      <c r="AI1264" s="1031"/>
      <c r="AJ1264" s="1072"/>
      <c r="AK1264" s="1073"/>
      <c r="AL1264" s="1031"/>
      <c r="AM1264" s="1031"/>
      <c r="AN1264" s="1031"/>
      <c r="AO1264" s="1031"/>
      <c r="AP1264" s="1031"/>
      <c r="AQ1264" s="1031"/>
      <c r="AR1264" s="1031"/>
      <c r="AS1264" s="1072"/>
      <c r="AT1264" s="1075" t="s">
        <v>183</v>
      </c>
      <c r="AU1264" s="1005" t="s">
        <v>845</v>
      </c>
      <c r="AV1264" s="330">
        <f>SQRT(($R1264-Infrastructure!J$3)^2+($S1264-Infrastructure!K$3)^2)</f>
        <v>24.42048321</v>
      </c>
      <c r="AW1264" s="331">
        <f>SQRT(($R1264-Infrastructure!J$4)^2+($S1264-Infrastructure!K$4)^2)</f>
        <v>30.90129447</v>
      </c>
      <c r="AX1264" s="331">
        <f>SQRT(($R1264-Infrastructure!J$5)^2+($S1264-Infrastructure!K$5)^2)</f>
        <v>40.83331973</v>
      </c>
      <c r="AY1264" s="331">
        <f>SQRT(($R1264-Infrastructure!J$6)^2+($S1264-Infrastructure!K$6)^2)</f>
        <v>40.88031311</v>
      </c>
      <c r="AZ1264" s="331">
        <f>SQRT(($R1264-Infrastructure!J$7)^2+($S1264-Infrastructure!K$7)^2)</f>
        <v>39.21836305</v>
      </c>
      <c r="BA1264" s="331">
        <f>SQRT(($R1264-Infrastructure!J$8)^2+($S1264-Infrastructure!K$8)^2)</f>
        <v>40.08989898</v>
      </c>
      <c r="BB1264" s="331">
        <f>SQRT(($R1264-Infrastructure!J$9)^2+($S1264-Infrastructure!K$9)^2)</f>
        <v>38.96472764</v>
      </c>
      <c r="BC1264" s="331">
        <f>SQRT(($R1264-Infrastructure!J$10)^2+($S1264-Infrastructure!K$10)^2)</f>
        <v>30.58005886</v>
      </c>
      <c r="BD1264" s="331">
        <f>SQRT(($R1264-Infrastructure!J$11)^2+($S1264-Infrastructure!K$11)^2)</f>
        <v>21.27204739</v>
      </c>
      <c r="BE1264" s="333">
        <f>SQRT(($R1264-Infrastructure!J$12)^2+($S1264-Infrastructure!K$12)^2)</f>
        <v>16.00124995</v>
      </c>
      <c r="BF1264" s="330">
        <f t="shared" si="161"/>
        <v>16.00124995</v>
      </c>
      <c r="BG1264" s="333">
        <f t="shared" si="162"/>
        <v>40.88031311</v>
      </c>
      <c r="BH1264" s="943">
        <v>36526.0</v>
      </c>
      <c r="BI1264" s="319"/>
      <c r="BJ1264" s="319"/>
      <c r="BK1264" s="319"/>
      <c r="BL1264" s="319"/>
      <c r="BM1264" s="955"/>
      <c r="BN1264" s="319"/>
      <c r="BO1264" s="319"/>
      <c r="BP1264" s="953"/>
      <c r="BQ1264" s="319"/>
      <c r="BR1264" s="324"/>
      <c r="BS1264" s="330">
        <f t="shared" si="169"/>
        <v>0</v>
      </c>
      <c r="BT1264" s="331">
        <f t="shared" si="170"/>
        <v>0</v>
      </c>
      <c r="BU1264" s="920"/>
      <c r="BV1264" s="903">
        <f t="shared" si="171"/>
        <v>-0.4534722222</v>
      </c>
      <c r="BW1264" s="907"/>
      <c r="BX1264" s="908"/>
      <c r="BY1264" s="331" t="b">
        <f t="shared" si="166"/>
        <v>0</v>
      </c>
      <c r="BZ1264" s="340"/>
      <c r="CA1264" s="316"/>
      <c r="CB1264" s="318"/>
      <c r="CC1264" s="318"/>
      <c r="CD1264" s="318"/>
      <c r="CE1264" s="318"/>
      <c r="CF1264" s="318"/>
      <c r="CG1264" s="318"/>
      <c r="CH1264" s="318"/>
      <c r="CI1264" s="318"/>
      <c r="CJ1264" s="463"/>
      <c r="CK1264" s="342"/>
      <c r="CL1264" s="333"/>
      <c r="CM1264" s="872"/>
      <c r="CN1264" s="847"/>
      <c r="CO1264" s="847"/>
      <c r="CP1264" s="847"/>
    </row>
    <row r="1265">
      <c r="B1265" s="1029" t="s">
        <v>1916</v>
      </c>
      <c r="C1265" s="1002">
        <v>44593.0</v>
      </c>
      <c r="D1265" s="1030"/>
      <c r="E1265" s="1031">
        <v>18.0</v>
      </c>
      <c r="F1265" s="1005" t="s">
        <v>1967</v>
      </c>
      <c r="G1265" s="1006">
        <v>0.4545138888888889</v>
      </c>
      <c r="H1265" s="1007"/>
      <c r="I1265" s="1007"/>
      <c r="J1265" s="1028"/>
      <c r="K1265" s="1028">
        <v>0.4547453703703704</v>
      </c>
      <c r="L1265" s="323">
        <v>2.314814814814815E-4</v>
      </c>
      <c r="M1265" s="319" t="s">
        <v>166</v>
      </c>
      <c r="N1265" s="1005" t="s">
        <v>188</v>
      </c>
      <c r="O1265" s="1068" t="s">
        <v>196</v>
      </c>
      <c r="P1265" s="1031" t="s">
        <v>224</v>
      </c>
      <c r="Q1265" s="319" t="s">
        <v>842</v>
      </c>
      <c r="R1265" s="1069">
        <v>21.7</v>
      </c>
      <c r="S1265" s="1004">
        <v>39.5</v>
      </c>
      <c r="T1265" s="1005">
        <v>1.26</v>
      </c>
      <c r="U1265" s="1070">
        <v>25.0</v>
      </c>
      <c r="V1265" s="1070"/>
      <c r="W1265" s="1070"/>
      <c r="X1265" s="1070"/>
      <c r="Y1265" s="1070"/>
      <c r="Z1265" s="1071" t="s">
        <v>387</v>
      </c>
      <c r="AA1265" s="1071"/>
      <c r="AB1265" s="1071" t="s">
        <v>416</v>
      </c>
      <c r="AC1265" s="1072">
        <v>52.5</v>
      </c>
      <c r="AD1265" s="1031"/>
      <c r="AE1265" s="1031"/>
      <c r="AF1265" s="1031"/>
      <c r="AG1265" s="1031"/>
      <c r="AH1265" s="1031"/>
      <c r="AI1265" s="1031"/>
      <c r="AJ1265" s="1072"/>
      <c r="AK1265" s="1073"/>
      <c r="AL1265" s="1031"/>
      <c r="AM1265" s="1031"/>
      <c r="AN1265" s="1031"/>
      <c r="AO1265" s="1031"/>
      <c r="AP1265" s="1031"/>
      <c r="AQ1265" s="1031"/>
      <c r="AR1265" s="1031"/>
      <c r="AS1265" s="1072"/>
      <c r="AT1265" s="1075" t="s">
        <v>183</v>
      </c>
      <c r="AU1265" s="1005" t="s">
        <v>845</v>
      </c>
      <c r="AV1265" s="330">
        <f>SQRT(($R1265-Infrastructure!J$3)^2+($S1265-Infrastructure!K$3)^2)</f>
        <v>24.42048321</v>
      </c>
      <c r="AW1265" s="331">
        <f>SQRT(($R1265-Infrastructure!J$4)^2+($S1265-Infrastructure!K$4)^2)</f>
        <v>30.90129447</v>
      </c>
      <c r="AX1265" s="331">
        <f>SQRT(($R1265-Infrastructure!J$5)^2+($S1265-Infrastructure!K$5)^2)</f>
        <v>40.83331973</v>
      </c>
      <c r="AY1265" s="331">
        <f>SQRT(($R1265-Infrastructure!J$6)^2+($S1265-Infrastructure!K$6)^2)</f>
        <v>40.88031311</v>
      </c>
      <c r="AZ1265" s="331">
        <f>SQRT(($R1265-Infrastructure!J$7)^2+($S1265-Infrastructure!K$7)^2)</f>
        <v>39.21836305</v>
      </c>
      <c r="BA1265" s="331">
        <f>SQRT(($R1265-Infrastructure!J$8)^2+($S1265-Infrastructure!K$8)^2)</f>
        <v>40.08989898</v>
      </c>
      <c r="BB1265" s="331">
        <f>SQRT(($R1265-Infrastructure!J$9)^2+($S1265-Infrastructure!K$9)^2)</f>
        <v>38.96472764</v>
      </c>
      <c r="BC1265" s="331">
        <f>SQRT(($R1265-Infrastructure!J$10)^2+($S1265-Infrastructure!K$10)^2)</f>
        <v>30.58005886</v>
      </c>
      <c r="BD1265" s="331">
        <f>SQRT(($R1265-Infrastructure!J$11)^2+($S1265-Infrastructure!K$11)^2)</f>
        <v>21.27204739</v>
      </c>
      <c r="BE1265" s="333">
        <f>SQRT(($R1265-Infrastructure!J$12)^2+($S1265-Infrastructure!K$12)^2)</f>
        <v>16.00124995</v>
      </c>
      <c r="BF1265" s="330">
        <f t="shared" si="161"/>
        <v>16.00124995</v>
      </c>
      <c r="BG1265" s="333">
        <f t="shared" si="162"/>
        <v>40.88031311</v>
      </c>
      <c r="BH1265" s="943">
        <v>36526.0</v>
      </c>
      <c r="BI1265" s="319"/>
      <c r="BJ1265" s="319"/>
      <c r="BK1265" s="319"/>
      <c r="BL1265" s="319"/>
      <c r="BM1265" s="955"/>
      <c r="BN1265" s="319"/>
      <c r="BO1265" s="319"/>
      <c r="BP1265" s="953"/>
      <c r="BQ1265" s="319"/>
      <c r="BR1265" s="324"/>
      <c r="BS1265" s="330">
        <f t="shared" si="169"/>
        <v>0</v>
      </c>
      <c r="BT1265" s="331">
        <f t="shared" si="170"/>
        <v>0</v>
      </c>
      <c r="BU1265" s="920"/>
      <c r="BV1265" s="903">
        <f t="shared" si="171"/>
        <v>-0.4545138889</v>
      </c>
      <c r="BW1265" s="907"/>
      <c r="BX1265" s="908"/>
      <c r="BY1265" s="331" t="b">
        <f t="shared" si="166"/>
        <v>0</v>
      </c>
      <c r="BZ1265" s="340"/>
      <c r="CA1265" s="316"/>
      <c r="CB1265" s="318"/>
      <c r="CC1265" s="318"/>
      <c r="CD1265" s="318"/>
      <c r="CE1265" s="318"/>
      <c r="CF1265" s="318"/>
      <c r="CG1265" s="318"/>
      <c r="CH1265" s="318"/>
      <c r="CI1265" s="318"/>
      <c r="CJ1265" s="463"/>
      <c r="CK1265" s="342"/>
      <c r="CL1265" s="333"/>
      <c r="CM1265" s="872"/>
      <c r="CN1265" s="847"/>
      <c r="CO1265" s="847"/>
      <c r="CP1265" s="847"/>
    </row>
    <row r="1266">
      <c r="B1266" s="1029" t="s">
        <v>1916</v>
      </c>
      <c r="C1266" s="1002">
        <v>44593.0</v>
      </c>
      <c r="D1266" s="1030"/>
      <c r="E1266" s="1031">
        <v>19.0</v>
      </c>
      <c r="F1266" s="1005" t="s">
        <v>1968</v>
      </c>
      <c r="G1266" s="1006">
        <v>0.4554398148148148</v>
      </c>
      <c r="H1266" s="1007"/>
      <c r="I1266" s="1007"/>
      <c r="J1266" s="1028"/>
      <c r="K1266" s="1028">
        <v>0.4558449074074074</v>
      </c>
      <c r="L1266" s="323">
        <v>4.050925925925926E-4</v>
      </c>
      <c r="M1266" s="319" t="s">
        <v>166</v>
      </c>
      <c r="N1266" s="1005" t="s">
        <v>188</v>
      </c>
      <c r="O1266" s="1068" t="s">
        <v>196</v>
      </c>
      <c r="P1266" s="1031" t="s">
        <v>224</v>
      </c>
      <c r="Q1266" s="319" t="s">
        <v>842</v>
      </c>
      <c r="R1266" s="1069">
        <v>21.7</v>
      </c>
      <c r="S1266" s="1004">
        <v>39.5</v>
      </c>
      <c r="T1266" s="1005">
        <v>1.26</v>
      </c>
      <c r="U1266" s="1070">
        <v>25.0</v>
      </c>
      <c r="V1266" s="1070"/>
      <c r="W1266" s="1070"/>
      <c r="X1266" s="1070"/>
      <c r="Y1266" s="1070"/>
      <c r="Z1266" s="1071" t="s">
        <v>387</v>
      </c>
      <c r="AA1266" s="1071"/>
      <c r="AB1266" s="1071" t="s">
        <v>416</v>
      </c>
      <c r="AC1266" s="1072">
        <v>52.5</v>
      </c>
      <c r="AD1266" s="1031"/>
      <c r="AE1266" s="1031"/>
      <c r="AF1266" s="1031"/>
      <c r="AG1266" s="1031"/>
      <c r="AH1266" s="1031"/>
      <c r="AI1266" s="1031"/>
      <c r="AJ1266" s="1072"/>
      <c r="AK1266" s="1073"/>
      <c r="AL1266" s="1031"/>
      <c r="AM1266" s="1031"/>
      <c r="AN1266" s="1031"/>
      <c r="AO1266" s="1031"/>
      <c r="AP1266" s="1031"/>
      <c r="AQ1266" s="1031"/>
      <c r="AR1266" s="1031"/>
      <c r="AS1266" s="1072"/>
      <c r="AT1266" s="1075" t="s">
        <v>183</v>
      </c>
      <c r="AU1266" s="1005" t="s">
        <v>845</v>
      </c>
      <c r="AV1266" s="330">
        <f>SQRT(($R1266-Infrastructure!J$3)^2+($S1266-Infrastructure!K$3)^2)</f>
        <v>24.42048321</v>
      </c>
      <c r="AW1266" s="331">
        <f>SQRT(($R1266-Infrastructure!J$4)^2+($S1266-Infrastructure!K$4)^2)</f>
        <v>30.90129447</v>
      </c>
      <c r="AX1266" s="331">
        <f>SQRT(($R1266-Infrastructure!J$5)^2+($S1266-Infrastructure!K$5)^2)</f>
        <v>40.83331973</v>
      </c>
      <c r="AY1266" s="331">
        <f>SQRT(($R1266-Infrastructure!J$6)^2+($S1266-Infrastructure!K$6)^2)</f>
        <v>40.88031311</v>
      </c>
      <c r="AZ1266" s="331">
        <f>SQRT(($R1266-Infrastructure!J$7)^2+($S1266-Infrastructure!K$7)^2)</f>
        <v>39.21836305</v>
      </c>
      <c r="BA1266" s="331">
        <f>SQRT(($R1266-Infrastructure!J$8)^2+($S1266-Infrastructure!K$8)^2)</f>
        <v>40.08989898</v>
      </c>
      <c r="BB1266" s="331">
        <f>SQRT(($R1266-Infrastructure!J$9)^2+($S1266-Infrastructure!K$9)^2)</f>
        <v>38.96472764</v>
      </c>
      <c r="BC1266" s="331">
        <f>SQRT(($R1266-Infrastructure!J$10)^2+($S1266-Infrastructure!K$10)^2)</f>
        <v>30.58005886</v>
      </c>
      <c r="BD1266" s="331">
        <f>SQRT(($R1266-Infrastructure!J$11)^2+($S1266-Infrastructure!K$11)^2)</f>
        <v>21.27204739</v>
      </c>
      <c r="BE1266" s="333">
        <f>SQRT(($R1266-Infrastructure!J$12)^2+($S1266-Infrastructure!K$12)^2)</f>
        <v>16.00124995</v>
      </c>
      <c r="BF1266" s="330">
        <f t="shared" si="161"/>
        <v>16.00124995</v>
      </c>
      <c r="BG1266" s="333">
        <f t="shared" si="162"/>
        <v>40.88031311</v>
      </c>
      <c r="BH1266" s="943">
        <v>36526.0</v>
      </c>
      <c r="BI1266" s="319"/>
      <c r="BJ1266" s="319"/>
      <c r="BK1266" s="319"/>
      <c r="BL1266" s="319"/>
      <c r="BM1266" s="955"/>
      <c r="BN1266" s="319"/>
      <c r="BO1266" s="319"/>
      <c r="BP1266" s="953"/>
      <c r="BQ1266" s="319"/>
      <c r="BR1266" s="324"/>
      <c r="BS1266" s="330">
        <f t="shared" si="169"/>
        <v>0</v>
      </c>
      <c r="BT1266" s="331">
        <f t="shared" si="170"/>
        <v>0</v>
      </c>
      <c r="BU1266" s="920"/>
      <c r="BV1266" s="903">
        <f t="shared" si="171"/>
        <v>-0.4554398148</v>
      </c>
      <c r="BW1266" s="907"/>
      <c r="BX1266" s="908"/>
      <c r="BY1266" s="331" t="b">
        <f t="shared" si="166"/>
        <v>0</v>
      </c>
      <c r="BZ1266" s="340"/>
      <c r="CA1266" s="316"/>
      <c r="CB1266" s="318"/>
      <c r="CC1266" s="318"/>
      <c r="CD1266" s="318"/>
      <c r="CE1266" s="318"/>
      <c r="CF1266" s="318"/>
      <c r="CG1266" s="318"/>
      <c r="CH1266" s="318"/>
      <c r="CI1266" s="318"/>
      <c r="CJ1266" s="463"/>
      <c r="CK1266" s="342"/>
      <c r="CL1266" s="333"/>
      <c r="CM1266" s="872"/>
      <c r="CN1266" s="847"/>
      <c r="CO1266" s="847"/>
      <c r="CP1266" s="847"/>
    </row>
    <row r="1267">
      <c r="B1267" s="1029" t="s">
        <v>1916</v>
      </c>
      <c r="C1267" s="1002">
        <v>44593.0</v>
      </c>
      <c r="D1267" s="1030"/>
      <c r="E1267" s="1031">
        <v>20.0</v>
      </c>
      <c r="F1267" s="1005" t="s">
        <v>1969</v>
      </c>
      <c r="G1267" s="1006">
        <v>0.4588541666666667</v>
      </c>
      <c r="H1267" s="1007">
        <v>0.45914351851851853</v>
      </c>
      <c r="I1267" s="1007"/>
      <c r="J1267" s="1028"/>
      <c r="K1267" s="1028">
        <v>0.4596064814814815</v>
      </c>
      <c r="L1267" s="323">
        <v>4.62962962962963E-4</v>
      </c>
      <c r="M1267" s="319" t="s">
        <v>166</v>
      </c>
      <c r="N1267" s="1005" t="s">
        <v>188</v>
      </c>
      <c r="O1267" s="1068" t="s">
        <v>196</v>
      </c>
      <c r="P1267" s="1031" t="s">
        <v>224</v>
      </c>
      <c r="Q1267" s="319" t="s">
        <v>842</v>
      </c>
      <c r="R1267" s="1069">
        <v>21.7</v>
      </c>
      <c r="S1267" s="1004">
        <v>39.5</v>
      </c>
      <c r="T1267" s="1005">
        <v>1.26</v>
      </c>
      <c r="U1267" s="1070">
        <v>25.0</v>
      </c>
      <c r="V1267" s="1070"/>
      <c r="W1267" s="1070"/>
      <c r="X1267" s="1070"/>
      <c r="Y1267" s="1070"/>
      <c r="Z1267" s="1071" t="s">
        <v>387</v>
      </c>
      <c r="AA1267" s="1071"/>
      <c r="AB1267" s="1071" t="s">
        <v>416</v>
      </c>
      <c r="AC1267" s="1072">
        <v>52.5</v>
      </c>
      <c r="AD1267" s="1031"/>
      <c r="AE1267" s="1031"/>
      <c r="AF1267" s="1031"/>
      <c r="AG1267" s="1031"/>
      <c r="AH1267" s="1031"/>
      <c r="AI1267" s="1031"/>
      <c r="AJ1267" s="1072"/>
      <c r="AK1267" s="1073"/>
      <c r="AL1267" s="1031"/>
      <c r="AM1267" s="1031"/>
      <c r="AN1267" s="1031"/>
      <c r="AO1267" s="1031"/>
      <c r="AP1267" s="1031"/>
      <c r="AQ1267" s="1031"/>
      <c r="AR1267" s="1031"/>
      <c r="AS1267" s="1072"/>
      <c r="AT1267" s="1075" t="s">
        <v>183</v>
      </c>
      <c r="AU1267" s="1005" t="s">
        <v>845</v>
      </c>
      <c r="AV1267" s="330">
        <f>SQRT(($R1267-Infrastructure!J$3)^2+($S1267-Infrastructure!K$3)^2)</f>
        <v>24.42048321</v>
      </c>
      <c r="AW1267" s="331">
        <f>SQRT(($R1267-Infrastructure!J$4)^2+($S1267-Infrastructure!K$4)^2)</f>
        <v>30.90129447</v>
      </c>
      <c r="AX1267" s="331">
        <f>SQRT(($R1267-Infrastructure!J$5)^2+($S1267-Infrastructure!K$5)^2)</f>
        <v>40.83331973</v>
      </c>
      <c r="AY1267" s="331">
        <f>SQRT(($R1267-Infrastructure!J$6)^2+($S1267-Infrastructure!K$6)^2)</f>
        <v>40.88031311</v>
      </c>
      <c r="AZ1267" s="331">
        <f>SQRT(($R1267-Infrastructure!J$7)^2+($S1267-Infrastructure!K$7)^2)</f>
        <v>39.21836305</v>
      </c>
      <c r="BA1267" s="331">
        <f>SQRT(($R1267-Infrastructure!J$8)^2+($S1267-Infrastructure!K$8)^2)</f>
        <v>40.08989898</v>
      </c>
      <c r="BB1267" s="331">
        <f>SQRT(($R1267-Infrastructure!J$9)^2+($S1267-Infrastructure!K$9)^2)</f>
        <v>38.96472764</v>
      </c>
      <c r="BC1267" s="331">
        <f>SQRT(($R1267-Infrastructure!J$10)^2+($S1267-Infrastructure!K$10)^2)</f>
        <v>30.58005886</v>
      </c>
      <c r="BD1267" s="331">
        <f>SQRT(($R1267-Infrastructure!J$11)^2+($S1267-Infrastructure!K$11)^2)</f>
        <v>21.27204739</v>
      </c>
      <c r="BE1267" s="333">
        <f>SQRT(($R1267-Infrastructure!J$12)^2+($S1267-Infrastructure!K$12)^2)</f>
        <v>16.00124995</v>
      </c>
      <c r="BF1267" s="330">
        <f t="shared" si="161"/>
        <v>16.00124995</v>
      </c>
      <c r="BG1267" s="333">
        <f t="shared" si="162"/>
        <v>40.88031311</v>
      </c>
      <c r="BH1267" s="943">
        <v>36526.0</v>
      </c>
      <c r="BI1267" s="319" t="s">
        <v>846</v>
      </c>
      <c r="BJ1267" s="319"/>
      <c r="BK1267" s="319"/>
      <c r="BL1267" s="319"/>
      <c r="BM1267" s="955"/>
      <c r="BN1267" s="319"/>
      <c r="BO1267" s="319"/>
      <c r="BP1267" s="953"/>
      <c r="BQ1267" s="319" t="s">
        <v>846</v>
      </c>
      <c r="BR1267" s="324" t="s">
        <v>846</v>
      </c>
      <c r="BS1267" s="330">
        <f t="shared" si="169"/>
        <v>16.00124995</v>
      </c>
      <c r="BT1267" s="331">
        <f t="shared" si="170"/>
        <v>24.42048321</v>
      </c>
      <c r="BU1267" s="920">
        <v>0.45810185185185187</v>
      </c>
      <c r="BV1267" s="903">
        <f t="shared" si="171"/>
        <v>-0.0007523148148</v>
      </c>
      <c r="BW1267" s="907">
        <v>19.4</v>
      </c>
      <c r="BX1267" s="908">
        <v>38.9</v>
      </c>
      <c r="BY1267" s="331">
        <f t="shared" si="166"/>
        <v>2.376972865</v>
      </c>
      <c r="BZ1267" s="340"/>
      <c r="CA1267" s="316"/>
      <c r="CB1267" s="318"/>
      <c r="CC1267" s="318"/>
      <c r="CD1267" s="318"/>
      <c r="CE1267" s="318"/>
      <c r="CF1267" s="318"/>
      <c r="CG1267" s="318"/>
      <c r="CH1267" s="318"/>
      <c r="CI1267" s="318"/>
      <c r="CJ1267" s="463"/>
      <c r="CK1267" s="342"/>
      <c r="CL1267" s="333"/>
      <c r="CM1267" s="872"/>
      <c r="CN1267" s="847"/>
      <c r="CO1267" s="847"/>
      <c r="CP1267" s="847"/>
    </row>
    <row r="1268">
      <c r="B1268" s="1029" t="s">
        <v>1916</v>
      </c>
      <c r="C1268" s="1002">
        <v>44593.0</v>
      </c>
      <c r="D1268" s="1030"/>
      <c r="E1268" s="1031">
        <v>21.0</v>
      </c>
      <c r="F1268" s="1005" t="s">
        <v>1970</v>
      </c>
      <c r="G1268" s="1006">
        <v>0.46284722222222224</v>
      </c>
      <c r="H1268" s="1007">
        <v>0.46319444444444446</v>
      </c>
      <c r="I1268" s="1007"/>
      <c r="J1268" s="1028"/>
      <c r="K1268" s="1028">
        <v>0.46417824074074077</v>
      </c>
      <c r="L1268" s="323">
        <v>9.837962962962962E-4</v>
      </c>
      <c r="M1268" s="319" t="s">
        <v>166</v>
      </c>
      <c r="N1268" s="1005" t="s">
        <v>188</v>
      </c>
      <c r="O1268" s="1068" t="s">
        <v>196</v>
      </c>
      <c r="P1268" s="1031" t="s">
        <v>224</v>
      </c>
      <c r="Q1268" s="319" t="s">
        <v>842</v>
      </c>
      <c r="R1268" s="1069">
        <v>21.7</v>
      </c>
      <c r="S1268" s="1004">
        <v>39.5</v>
      </c>
      <c r="T1268" s="1005">
        <v>1.26</v>
      </c>
      <c r="U1268" s="1070">
        <v>25.0</v>
      </c>
      <c r="V1268" s="1070"/>
      <c r="W1268" s="1070"/>
      <c r="X1268" s="1070"/>
      <c r="Y1268" s="1070"/>
      <c r="Z1268" s="1071" t="s">
        <v>387</v>
      </c>
      <c r="AA1268" s="1071"/>
      <c r="AB1268" s="1071" t="s">
        <v>416</v>
      </c>
      <c r="AC1268" s="1072">
        <v>52.5</v>
      </c>
      <c r="AD1268" s="1031"/>
      <c r="AE1268" s="1031"/>
      <c r="AF1268" s="1031"/>
      <c r="AG1268" s="1031"/>
      <c r="AH1268" s="1031"/>
      <c r="AI1268" s="1031"/>
      <c r="AJ1268" s="1072"/>
      <c r="AK1268" s="1073"/>
      <c r="AL1268" s="1031"/>
      <c r="AM1268" s="1031"/>
      <c r="AN1268" s="1031"/>
      <c r="AO1268" s="1031"/>
      <c r="AP1268" s="1031"/>
      <c r="AQ1268" s="1031"/>
      <c r="AR1268" s="1031"/>
      <c r="AS1268" s="1072"/>
      <c r="AT1268" s="1075" t="s">
        <v>183</v>
      </c>
      <c r="AU1268" s="1005" t="s">
        <v>845</v>
      </c>
      <c r="AV1268" s="330">
        <f>SQRT(($R1268-Infrastructure!J$3)^2+($S1268-Infrastructure!K$3)^2)</f>
        <v>24.42048321</v>
      </c>
      <c r="AW1268" s="331">
        <f>SQRT(($R1268-Infrastructure!J$4)^2+($S1268-Infrastructure!K$4)^2)</f>
        <v>30.90129447</v>
      </c>
      <c r="AX1268" s="331">
        <f>SQRT(($R1268-Infrastructure!J$5)^2+($S1268-Infrastructure!K$5)^2)</f>
        <v>40.83331973</v>
      </c>
      <c r="AY1268" s="331">
        <f>SQRT(($R1268-Infrastructure!J$6)^2+($S1268-Infrastructure!K$6)^2)</f>
        <v>40.88031311</v>
      </c>
      <c r="AZ1268" s="331">
        <f>SQRT(($R1268-Infrastructure!J$7)^2+($S1268-Infrastructure!K$7)^2)</f>
        <v>39.21836305</v>
      </c>
      <c r="BA1268" s="331">
        <f>SQRT(($R1268-Infrastructure!J$8)^2+($S1268-Infrastructure!K$8)^2)</f>
        <v>40.08989898</v>
      </c>
      <c r="BB1268" s="331">
        <f>SQRT(($R1268-Infrastructure!J$9)^2+($S1268-Infrastructure!K$9)^2)</f>
        <v>38.96472764</v>
      </c>
      <c r="BC1268" s="331">
        <f>SQRT(($R1268-Infrastructure!J$10)^2+($S1268-Infrastructure!K$10)^2)</f>
        <v>30.58005886</v>
      </c>
      <c r="BD1268" s="331">
        <f>SQRT(($R1268-Infrastructure!J$11)^2+($S1268-Infrastructure!K$11)^2)</f>
        <v>21.27204739</v>
      </c>
      <c r="BE1268" s="333">
        <f>SQRT(($R1268-Infrastructure!J$12)^2+($S1268-Infrastructure!K$12)^2)</f>
        <v>16.00124995</v>
      </c>
      <c r="BF1268" s="330">
        <f t="shared" si="161"/>
        <v>16.00124995</v>
      </c>
      <c r="BG1268" s="333">
        <f t="shared" si="162"/>
        <v>40.88031311</v>
      </c>
      <c r="BH1268" s="943">
        <v>36526.0</v>
      </c>
      <c r="BI1268" s="319" t="s">
        <v>846</v>
      </c>
      <c r="BJ1268" s="319" t="s">
        <v>846</v>
      </c>
      <c r="BK1268" s="319"/>
      <c r="BL1268" s="319"/>
      <c r="BM1268" s="955"/>
      <c r="BN1268" s="319"/>
      <c r="BO1268" s="319"/>
      <c r="BP1268" s="953"/>
      <c r="BQ1268" s="319" t="s">
        <v>846</v>
      </c>
      <c r="BR1268" s="324" t="s">
        <v>846</v>
      </c>
      <c r="BS1268" s="330">
        <f t="shared" si="169"/>
        <v>16.00124995</v>
      </c>
      <c r="BT1268" s="331">
        <f t="shared" si="170"/>
        <v>30.90129447</v>
      </c>
      <c r="BU1268" s="920">
        <v>0.4621527777777778</v>
      </c>
      <c r="BV1268" s="903">
        <f t="shared" si="171"/>
        <v>-0.0006944444444</v>
      </c>
      <c r="BW1268" s="907">
        <v>18.9</v>
      </c>
      <c r="BX1268" s="908">
        <v>39.3</v>
      </c>
      <c r="BY1268" s="331">
        <f t="shared" si="166"/>
        <v>2.80713377</v>
      </c>
      <c r="BZ1268" s="340"/>
      <c r="CA1268" s="316"/>
      <c r="CB1268" s="318"/>
      <c r="CC1268" s="318"/>
      <c r="CD1268" s="318"/>
      <c r="CE1268" s="318"/>
      <c r="CF1268" s="318"/>
      <c r="CG1268" s="318"/>
      <c r="CH1268" s="318"/>
      <c r="CI1268" s="318"/>
      <c r="CJ1268" s="463"/>
      <c r="CK1268" s="342"/>
      <c r="CL1268" s="333"/>
      <c r="CM1268" s="872"/>
      <c r="CN1268" s="847"/>
      <c r="CO1268" s="847"/>
      <c r="CP1268" s="847"/>
    </row>
    <row r="1269">
      <c r="B1269" s="1029" t="s">
        <v>1916</v>
      </c>
      <c r="C1269" s="1002">
        <v>44593.0</v>
      </c>
      <c r="D1269" s="1030"/>
      <c r="E1269" s="1031">
        <v>22.0</v>
      </c>
      <c r="F1269" s="1005" t="s">
        <v>1971</v>
      </c>
      <c r="G1269" s="1006">
        <v>0.4689814814814815</v>
      </c>
      <c r="H1269" s="1007">
        <v>0.46927083333333336</v>
      </c>
      <c r="I1269" s="1007"/>
      <c r="J1269" s="1028"/>
      <c r="K1269" s="1028">
        <v>0.4696180555555556</v>
      </c>
      <c r="L1269" s="323">
        <v>3.4722222222222224E-4</v>
      </c>
      <c r="M1269" s="319" t="s">
        <v>166</v>
      </c>
      <c r="N1269" s="1005" t="s">
        <v>187</v>
      </c>
      <c r="O1269" s="1068" t="s">
        <v>204</v>
      </c>
      <c r="P1269" s="1031" t="s">
        <v>262</v>
      </c>
      <c r="Q1269" s="318"/>
      <c r="R1269" s="1069">
        <v>17.9</v>
      </c>
      <c r="S1269" s="1004">
        <v>3.6</v>
      </c>
      <c r="T1269" s="1005">
        <v>2.57</v>
      </c>
      <c r="U1269" s="1070">
        <v>7.0</v>
      </c>
      <c r="V1269" s="1070"/>
      <c r="W1269" s="1070"/>
      <c r="X1269" s="1070"/>
      <c r="Y1269" s="1070"/>
      <c r="Z1269" s="1071" t="s">
        <v>365</v>
      </c>
      <c r="AA1269" s="1071"/>
      <c r="AB1269" s="1071" t="s">
        <v>388</v>
      </c>
      <c r="AC1269" s="1072">
        <v>8.0</v>
      </c>
      <c r="AD1269" s="1031"/>
      <c r="AE1269" s="1031"/>
      <c r="AF1269" s="1031"/>
      <c r="AG1269" s="1031"/>
      <c r="AH1269" s="1031"/>
      <c r="AI1269" s="1031"/>
      <c r="AJ1269" s="1072"/>
      <c r="AK1269" s="1073"/>
      <c r="AL1269" s="1031"/>
      <c r="AM1269" s="1031"/>
      <c r="AN1269" s="1031"/>
      <c r="AO1269" s="1031"/>
      <c r="AP1269" s="1031"/>
      <c r="AQ1269" s="1031"/>
      <c r="AR1269" s="1031"/>
      <c r="AS1269" s="1072"/>
      <c r="AT1269" s="1075" t="s">
        <v>182</v>
      </c>
      <c r="AU1269" s="1005" t="s">
        <v>845</v>
      </c>
      <c r="AV1269" s="330">
        <f>SQRT(($R1269-Infrastructure!J$3)^2+($S1269-Infrastructure!K$3)^2)</f>
        <v>31.16616755</v>
      </c>
      <c r="AW1269" s="331">
        <f>SQRT(($R1269-Infrastructure!J$4)^2+($S1269-Infrastructure!K$4)^2)</f>
        <v>23.08419373</v>
      </c>
      <c r="AX1269" s="331">
        <f>SQRT(($R1269-Infrastructure!J$5)^2+($S1269-Infrastructure!K$5)^2)</f>
        <v>18.26170857</v>
      </c>
      <c r="AY1269" s="331">
        <f>SQRT(($R1269-Infrastructure!J$6)^2+($S1269-Infrastructure!K$6)^2)</f>
        <v>8.469356528</v>
      </c>
      <c r="AZ1269" s="331">
        <f>SQRT(($R1269-Infrastructure!J$7)^2+($S1269-Infrastructure!K$7)^2)</f>
        <v>4.201190308</v>
      </c>
      <c r="BA1269" s="331">
        <f>SQRT(($R1269-Infrastructure!J$8)^2+($S1269-Infrastructure!K$8)^2)</f>
        <v>12.63843345</v>
      </c>
      <c r="BB1269" s="331">
        <f>SQRT(($R1269-Infrastructure!J$9)^2+($S1269-Infrastructure!K$9)^2)</f>
        <v>22.15084648</v>
      </c>
      <c r="BC1269" s="331">
        <f>SQRT(($R1269-Infrastructure!J$10)^2+($S1269-Infrastructure!K$10)^2)</f>
        <v>24.86704647</v>
      </c>
      <c r="BD1269" s="331">
        <f>SQRT(($R1269-Infrastructure!J$11)^2+($S1269-Infrastructure!K$11)^2)</f>
        <v>33.80014793</v>
      </c>
      <c r="BE1269" s="333">
        <f>SQRT(($R1269-Infrastructure!J$12)^2+($S1269-Infrastructure!K$12)^2)</f>
        <v>52.02470567</v>
      </c>
      <c r="BF1269" s="330">
        <f t="shared" si="161"/>
        <v>4.201190308</v>
      </c>
      <c r="BG1269" s="333">
        <f t="shared" si="162"/>
        <v>52.02470567</v>
      </c>
      <c r="BH1269" s="943">
        <v>36526.0</v>
      </c>
      <c r="BI1269" s="319" t="s">
        <v>846</v>
      </c>
      <c r="BJ1269" s="319" t="s">
        <v>846</v>
      </c>
      <c r="BK1269" s="319" t="s">
        <v>846</v>
      </c>
      <c r="BL1269" s="319" t="s">
        <v>846</v>
      </c>
      <c r="BM1269" s="955"/>
      <c r="BN1269" s="319" t="s">
        <v>846</v>
      </c>
      <c r="BO1269" s="319" t="s">
        <v>846</v>
      </c>
      <c r="BP1269" s="953" t="s">
        <v>846</v>
      </c>
      <c r="BQ1269" s="319" t="s">
        <v>846</v>
      </c>
      <c r="BR1269" s="324" t="s">
        <v>846</v>
      </c>
      <c r="BS1269" s="330">
        <f t="shared" si="169"/>
        <v>8.469356528</v>
      </c>
      <c r="BT1269" s="331">
        <f t="shared" si="170"/>
        <v>52.02470567</v>
      </c>
      <c r="BU1269" s="920">
        <v>0.46825231481481483</v>
      </c>
      <c r="BV1269" s="903">
        <f t="shared" si="171"/>
        <v>-0.0007291666667</v>
      </c>
      <c r="BW1269" s="907">
        <v>18.2</v>
      </c>
      <c r="BX1269" s="908">
        <v>16.6</v>
      </c>
      <c r="BY1269" s="331">
        <f t="shared" si="166"/>
        <v>13.00346108</v>
      </c>
      <c r="BZ1269" s="340"/>
      <c r="CA1269" s="316"/>
      <c r="CB1269" s="318"/>
      <c r="CC1269" s="318"/>
      <c r="CD1269" s="318"/>
      <c r="CE1269" s="318"/>
      <c r="CF1269" s="318"/>
      <c r="CG1269" s="318"/>
      <c r="CH1269" s="318"/>
      <c r="CI1269" s="318"/>
      <c r="CJ1269" s="463"/>
      <c r="CK1269" s="342"/>
      <c r="CL1269" s="333"/>
      <c r="CM1269" s="872"/>
      <c r="CN1269" s="847"/>
      <c r="CO1269" s="847"/>
      <c r="CP1269" s="847"/>
    </row>
    <row r="1270">
      <c r="B1270" s="1029" t="s">
        <v>1916</v>
      </c>
      <c r="C1270" s="1002">
        <v>44593.0</v>
      </c>
      <c r="D1270" s="1030"/>
      <c r="E1270" s="1031">
        <v>23.0</v>
      </c>
      <c r="F1270" s="1005" t="s">
        <v>1972</v>
      </c>
      <c r="G1270" s="1006">
        <v>0.4713541666666667</v>
      </c>
      <c r="H1270" s="1007">
        <v>0.47152777777777777</v>
      </c>
      <c r="I1270" s="1007"/>
      <c r="J1270" s="1028"/>
      <c r="K1270" s="1028">
        <v>0.47164351851851855</v>
      </c>
      <c r="L1270" s="323">
        <v>1.1574074074074075E-4</v>
      </c>
      <c r="M1270" s="319" t="s">
        <v>166</v>
      </c>
      <c r="N1270" s="1005" t="s">
        <v>187</v>
      </c>
      <c r="O1270" s="1068" t="s">
        <v>204</v>
      </c>
      <c r="P1270" s="1031" t="s">
        <v>262</v>
      </c>
      <c r="Q1270" s="318"/>
      <c r="R1270" s="1069">
        <v>17.9</v>
      </c>
      <c r="S1270" s="1004">
        <v>3.6</v>
      </c>
      <c r="T1270" s="1005">
        <v>2.57</v>
      </c>
      <c r="U1270" s="1070">
        <v>7.0</v>
      </c>
      <c r="V1270" s="1070"/>
      <c r="W1270" s="1070"/>
      <c r="X1270" s="1070"/>
      <c r="Y1270" s="1070"/>
      <c r="Z1270" s="1071" t="s">
        <v>365</v>
      </c>
      <c r="AA1270" s="1071"/>
      <c r="AB1270" s="1071" t="s">
        <v>388</v>
      </c>
      <c r="AC1270" s="1072">
        <v>8.0</v>
      </c>
      <c r="AD1270" s="1031"/>
      <c r="AE1270" s="1031"/>
      <c r="AF1270" s="1031"/>
      <c r="AG1270" s="1031"/>
      <c r="AH1270" s="1031"/>
      <c r="AI1270" s="1031"/>
      <c r="AJ1270" s="1072"/>
      <c r="AK1270" s="1073"/>
      <c r="AL1270" s="1031"/>
      <c r="AM1270" s="1031"/>
      <c r="AN1270" s="1031"/>
      <c r="AO1270" s="1031"/>
      <c r="AP1270" s="1031"/>
      <c r="AQ1270" s="1031"/>
      <c r="AR1270" s="1031"/>
      <c r="AS1270" s="1072"/>
      <c r="AT1270" s="1075" t="s">
        <v>182</v>
      </c>
      <c r="AU1270" s="1005" t="s">
        <v>845</v>
      </c>
      <c r="AV1270" s="330">
        <f>SQRT(($R1270-Infrastructure!J$3)^2+($S1270-Infrastructure!K$3)^2)</f>
        <v>31.16616755</v>
      </c>
      <c r="AW1270" s="331">
        <f>SQRT(($R1270-Infrastructure!J$4)^2+($S1270-Infrastructure!K$4)^2)</f>
        <v>23.08419373</v>
      </c>
      <c r="AX1270" s="331">
        <f>SQRT(($R1270-Infrastructure!J$5)^2+($S1270-Infrastructure!K$5)^2)</f>
        <v>18.26170857</v>
      </c>
      <c r="AY1270" s="331">
        <f>SQRT(($R1270-Infrastructure!J$6)^2+($S1270-Infrastructure!K$6)^2)</f>
        <v>8.469356528</v>
      </c>
      <c r="AZ1270" s="331">
        <f>SQRT(($R1270-Infrastructure!J$7)^2+($S1270-Infrastructure!K$7)^2)</f>
        <v>4.201190308</v>
      </c>
      <c r="BA1270" s="331">
        <f>SQRT(($R1270-Infrastructure!J$8)^2+($S1270-Infrastructure!K$8)^2)</f>
        <v>12.63843345</v>
      </c>
      <c r="BB1270" s="331">
        <f>SQRT(($R1270-Infrastructure!J$9)^2+($S1270-Infrastructure!K$9)^2)</f>
        <v>22.15084648</v>
      </c>
      <c r="BC1270" s="331">
        <f>SQRT(($R1270-Infrastructure!J$10)^2+($S1270-Infrastructure!K$10)^2)</f>
        <v>24.86704647</v>
      </c>
      <c r="BD1270" s="331">
        <f>SQRT(($R1270-Infrastructure!J$11)^2+($S1270-Infrastructure!K$11)^2)</f>
        <v>33.80014793</v>
      </c>
      <c r="BE1270" s="333">
        <f>SQRT(($R1270-Infrastructure!J$12)^2+($S1270-Infrastructure!K$12)^2)</f>
        <v>52.02470567</v>
      </c>
      <c r="BF1270" s="330">
        <f t="shared" si="161"/>
        <v>4.201190308</v>
      </c>
      <c r="BG1270" s="333">
        <f t="shared" si="162"/>
        <v>52.02470567</v>
      </c>
      <c r="BH1270" s="943">
        <v>36526.0</v>
      </c>
      <c r="BI1270" s="319"/>
      <c r="BJ1270" s="319"/>
      <c r="BK1270" s="319"/>
      <c r="BL1270" s="319"/>
      <c r="BM1270" s="955"/>
      <c r="BN1270" s="319"/>
      <c r="BO1270" s="319"/>
      <c r="BP1270" s="953"/>
      <c r="BQ1270" s="319"/>
      <c r="BR1270" s="324"/>
      <c r="BS1270" s="330">
        <f t="shared" si="169"/>
        <v>0</v>
      </c>
      <c r="BT1270" s="331">
        <f t="shared" si="170"/>
        <v>0</v>
      </c>
      <c r="BU1270" s="920"/>
      <c r="BV1270" s="903">
        <f t="shared" si="171"/>
        <v>-0.4713541667</v>
      </c>
      <c r="BW1270" s="907"/>
      <c r="BX1270" s="908"/>
      <c r="BY1270" s="331" t="b">
        <f t="shared" si="166"/>
        <v>0</v>
      </c>
      <c r="BZ1270" s="340"/>
      <c r="CA1270" s="316"/>
      <c r="CB1270" s="318"/>
      <c r="CC1270" s="318"/>
      <c r="CD1270" s="318"/>
      <c r="CE1270" s="318"/>
      <c r="CF1270" s="318"/>
      <c r="CG1270" s="318"/>
      <c r="CH1270" s="318"/>
      <c r="CI1270" s="318"/>
      <c r="CJ1270" s="463"/>
      <c r="CK1270" s="342"/>
      <c r="CL1270" s="333"/>
      <c r="CM1270" s="872"/>
      <c r="CN1270" s="847"/>
      <c r="CO1270" s="847"/>
      <c r="CP1270" s="847"/>
    </row>
    <row r="1271">
      <c r="B1271" s="1029" t="s">
        <v>1916</v>
      </c>
      <c r="C1271" s="1002">
        <v>44593.0</v>
      </c>
      <c r="D1271" s="1030"/>
      <c r="E1271" s="1031">
        <v>24.0</v>
      </c>
      <c r="F1271" s="1005" t="s">
        <v>1973</v>
      </c>
      <c r="G1271" s="1006">
        <v>0.4734375</v>
      </c>
      <c r="H1271" s="1007">
        <v>0.4736111111111111</v>
      </c>
      <c r="I1271" s="1007"/>
      <c r="J1271" s="1028"/>
      <c r="K1271" s="1028">
        <v>0.47378472222222223</v>
      </c>
      <c r="L1271" s="323">
        <v>1.7361111111111112E-4</v>
      </c>
      <c r="M1271" s="319" t="s">
        <v>166</v>
      </c>
      <c r="N1271" s="1005" t="s">
        <v>187</v>
      </c>
      <c r="O1271" s="1068" t="s">
        <v>204</v>
      </c>
      <c r="P1271" s="1031" t="s">
        <v>262</v>
      </c>
      <c r="Q1271" s="318"/>
      <c r="R1271" s="1069">
        <v>17.9</v>
      </c>
      <c r="S1271" s="1004">
        <v>3.6</v>
      </c>
      <c r="T1271" s="1005">
        <v>2.57</v>
      </c>
      <c r="U1271" s="1070">
        <v>7.0</v>
      </c>
      <c r="V1271" s="1070"/>
      <c r="W1271" s="1070"/>
      <c r="X1271" s="1070"/>
      <c r="Y1271" s="1070"/>
      <c r="Z1271" s="1071" t="s">
        <v>365</v>
      </c>
      <c r="AA1271" s="1071"/>
      <c r="AB1271" s="1071" t="s">
        <v>388</v>
      </c>
      <c r="AC1271" s="1072">
        <v>8.0</v>
      </c>
      <c r="AD1271" s="1031"/>
      <c r="AE1271" s="1031"/>
      <c r="AF1271" s="1031"/>
      <c r="AG1271" s="1031"/>
      <c r="AH1271" s="1031"/>
      <c r="AI1271" s="1031"/>
      <c r="AJ1271" s="1072"/>
      <c r="AK1271" s="1073"/>
      <c r="AL1271" s="1031"/>
      <c r="AM1271" s="1031"/>
      <c r="AN1271" s="1031"/>
      <c r="AO1271" s="1031"/>
      <c r="AP1271" s="1031"/>
      <c r="AQ1271" s="1031"/>
      <c r="AR1271" s="1031"/>
      <c r="AS1271" s="1072"/>
      <c r="AT1271" s="1075" t="s">
        <v>182</v>
      </c>
      <c r="AU1271" s="1005" t="s">
        <v>845</v>
      </c>
      <c r="AV1271" s="330">
        <f>SQRT(($R1271-Infrastructure!J$3)^2+($S1271-Infrastructure!K$3)^2)</f>
        <v>31.16616755</v>
      </c>
      <c r="AW1271" s="331">
        <f>SQRT(($R1271-Infrastructure!J$4)^2+($S1271-Infrastructure!K$4)^2)</f>
        <v>23.08419373</v>
      </c>
      <c r="AX1271" s="331">
        <f>SQRT(($R1271-Infrastructure!J$5)^2+($S1271-Infrastructure!K$5)^2)</f>
        <v>18.26170857</v>
      </c>
      <c r="AY1271" s="331">
        <f>SQRT(($R1271-Infrastructure!J$6)^2+($S1271-Infrastructure!K$6)^2)</f>
        <v>8.469356528</v>
      </c>
      <c r="AZ1271" s="331">
        <f>SQRT(($R1271-Infrastructure!J$7)^2+($S1271-Infrastructure!K$7)^2)</f>
        <v>4.201190308</v>
      </c>
      <c r="BA1271" s="331">
        <f>SQRT(($R1271-Infrastructure!J$8)^2+($S1271-Infrastructure!K$8)^2)</f>
        <v>12.63843345</v>
      </c>
      <c r="BB1271" s="331">
        <f>SQRT(($R1271-Infrastructure!J$9)^2+($S1271-Infrastructure!K$9)^2)</f>
        <v>22.15084648</v>
      </c>
      <c r="BC1271" s="331">
        <f>SQRT(($R1271-Infrastructure!J$10)^2+($S1271-Infrastructure!K$10)^2)</f>
        <v>24.86704647</v>
      </c>
      <c r="BD1271" s="331">
        <f>SQRT(($R1271-Infrastructure!J$11)^2+($S1271-Infrastructure!K$11)^2)</f>
        <v>33.80014793</v>
      </c>
      <c r="BE1271" s="333">
        <f>SQRT(($R1271-Infrastructure!J$12)^2+($S1271-Infrastructure!K$12)^2)</f>
        <v>52.02470567</v>
      </c>
      <c r="BF1271" s="330">
        <f t="shared" si="161"/>
        <v>4.201190308</v>
      </c>
      <c r="BG1271" s="333">
        <f t="shared" si="162"/>
        <v>52.02470567</v>
      </c>
      <c r="BH1271" s="943">
        <v>36526.0</v>
      </c>
      <c r="BI1271" s="319"/>
      <c r="BJ1271" s="319"/>
      <c r="BK1271" s="319"/>
      <c r="BL1271" s="319"/>
      <c r="BM1271" s="955"/>
      <c r="BN1271" s="319"/>
      <c r="BO1271" s="319"/>
      <c r="BP1271" s="953"/>
      <c r="BQ1271" s="319"/>
      <c r="BR1271" s="324"/>
      <c r="BS1271" s="330">
        <f t="shared" si="169"/>
        <v>0</v>
      </c>
      <c r="BT1271" s="331">
        <f t="shared" si="170"/>
        <v>0</v>
      </c>
      <c r="BU1271" s="920"/>
      <c r="BV1271" s="903">
        <f t="shared" si="171"/>
        <v>-0.4734375</v>
      </c>
      <c r="BW1271" s="907"/>
      <c r="BX1271" s="908"/>
      <c r="BY1271" s="331" t="b">
        <f t="shared" si="166"/>
        <v>0</v>
      </c>
      <c r="BZ1271" s="340"/>
      <c r="CA1271" s="316"/>
      <c r="CB1271" s="318"/>
      <c r="CC1271" s="318"/>
      <c r="CD1271" s="318"/>
      <c r="CE1271" s="318"/>
      <c r="CF1271" s="318"/>
      <c r="CG1271" s="318"/>
      <c r="CH1271" s="318"/>
      <c r="CI1271" s="318"/>
      <c r="CJ1271" s="463"/>
      <c r="CK1271" s="342"/>
      <c r="CL1271" s="333"/>
      <c r="CM1271" s="872"/>
      <c r="CN1271" s="847"/>
      <c r="CO1271" s="847"/>
      <c r="CP1271" s="847"/>
    </row>
    <row r="1272">
      <c r="B1272" s="1029" t="s">
        <v>1916</v>
      </c>
      <c r="C1272" s="1002">
        <v>44593.0</v>
      </c>
      <c r="D1272" s="1030"/>
      <c r="E1272" s="1031">
        <v>25.0</v>
      </c>
      <c r="F1272" s="1005" t="s">
        <v>1974</v>
      </c>
      <c r="G1272" s="1006">
        <v>0.4752314814814815</v>
      </c>
      <c r="H1272" s="1007">
        <v>0.4754050925925926</v>
      </c>
      <c r="I1272" s="1007"/>
      <c r="J1272" s="1028"/>
      <c r="K1272" s="1028">
        <v>0.47563657407407406</v>
      </c>
      <c r="L1272" s="323">
        <v>2.314814814814815E-4</v>
      </c>
      <c r="M1272" s="319" t="s">
        <v>166</v>
      </c>
      <c r="N1272" s="1005" t="s">
        <v>187</v>
      </c>
      <c r="O1272" s="1068" t="s">
        <v>204</v>
      </c>
      <c r="P1272" s="1031" t="s">
        <v>262</v>
      </c>
      <c r="Q1272" s="318"/>
      <c r="R1272" s="1069">
        <v>17.9</v>
      </c>
      <c r="S1272" s="1004">
        <v>3.6</v>
      </c>
      <c r="T1272" s="1005">
        <v>2.57</v>
      </c>
      <c r="U1272" s="1070">
        <v>4.0</v>
      </c>
      <c r="V1272" s="1070"/>
      <c r="W1272" s="1070"/>
      <c r="X1272" s="1070"/>
      <c r="Y1272" s="1070"/>
      <c r="Z1272" s="1071" t="s">
        <v>365</v>
      </c>
      <c r="AA1272" s="1071"/>
      <c r="AB1272" s="1071" t="s">
        <v>388</v>
      </c>
      <c r="AC1272" s="1072">
        <v>8.0</v>
      </c>
      <c r="AD1272" s="1031"/>
      <c r="AE1272" s="1031"/>
      <c r="AF1272" s="1031"/>
      <c r="AG1272" s="1031"/>
      <c r="AH1272" s="1031"/>
      <c r="AI1272" s="1031"/>
      <c r="AJ1272" s="1072"/>
      <c r="AK1272" s="1073"/>
      <c r="AL1272" s="1031"/>
      <c r="AM1272" s="1031"/>
      <c r="AN1272" s="1031"/>
      <c r="AO1272" s="1031"/>
      <c r="AP1272" s="1031"/>
      <c r="AQ1272" s="1031"/>
      <c r="AR1272" s="1031"/>
      <c r="AS1272" s="1072"/>
      <c r="AT1272" s="1075" t="s">
        <v>182</v>
      </c>
      <c r="AU1272" s="1005" t="s">
        <v>845</v>
      </c>
      <c r="AV1272" s="330">
        <f>SQRT(($R1272-Infrastructure!J$3)^2+($S1272-Infrastructure!K$3)^2)</f>
        <v>31.16616755</v>
      </c>
      <c r="AW1272" s="331">
        <f>SQRT(($R1272-Infrastructure!J$4)^2+($S1272-Infrastructure!K$4)^2)</f>
        <v>23.08419373</v>
      </c>
      <c r="AX1272" s="331">
        <f>SQRT(($R1272-Infrastructure!J$5)^2+($S1272-Infrastructure!K$5)^2)</f>
        <v>18.26170857</v>
      </c>
      <c r="AY1272" s="331">
        <f>SQRT(($R1272-Infrastructure!J$6)^2+($S1272-Infrastructure!K$6)^2)</f>
        <v>8.469356528</v>
      </c>
      <c r="AZ1272" s="331">
        <f>SQRT(($R1272-Infrastructure!J$7)^2+($S1272-Infrastructure!K$7)^2)</f>
        <v>4.201190308</v>
      </c>
      <c r="BA1272" s="331">
        <f>SQRT(($R1272-Infrastructure!J$8)^2+($S1272-Infrastructure!K$8)^2)</f>
        <v>12.63843345</v>
      </c>
      <c r="BB1272" s="331">
        <f>SQRT(($R1272-Infrastructure!J$9)^2+($S1272-Infrastructure!K$9)^2)</f>
        <v>22.15084648</v>
      </c>
      <c r="BC1272" s="331">
        <f>SQRT(($R1272-Infrastructure!J$10)^2+($S1272-Infrastructure!K$10)^2)</f>
        <v>24.86704647</v>
      </c>
      <c r="BD1272" s="331">
        <f>SQRT(($R1272-Infrastructure!J$11)^2+($S1272-Infrastructure!K$11)^2)</f>
        <v>33.80014793</v>
      </c>
      <c r="BE1272" s="333">
        <f>SQRT(($R1272-Infrastructure!J$12)^2+($S1272-Infrastructure!K$12)^2)</f>
        <v>52.02470567</v>
      </c>
      <c r="BF1272" s="330">
        <f t="shared" si="161"/>
        <v>4.201190308</v>
      </c>
      <c r="BG1272" s="333">
        <f t="shared" si="162"/>
        <v>52.02470567</v>
      </c>
      <c r="BH1272" s="943">
        <v>36526.0</v>
      </c>
      <c r="BI1272" s="319"/>
      <c r="BJ1272" s="319"/>
      <c r="BK1272" s="319"/>
      <c r="BL1272" s="319"/>
      <c r="BM1272" s="955"/>
      <c r="BN1272" s="319"/>
      <c r="BO1272" s="319"/>
      <c r="BP1272" s="953"/>
      <c r="BQ1272" s="319"/>
      <c r="BR1272" s="324"/>
      <c r="BS1272" s="330">
        <f t="shared" si="169"/>
        <v>0</v>
      </c>
      <c r="BT1272" s="331">
        <f t="shared" si="170"/>
        <v>0</v>
      </c>
      <c r="BU1272" s="920"/>
      <c r="BV1272" s="903">
        <f t="shared" si="171"/>
        <v>-0.4752314815</v>
      </c>
      <c r="BW1272" s="907"/>
      <c r="BX1272" s="908"/>
      <c r="BY1272" s="331" t="b">
        <f t="shared" si="166"/>
        <v>0</v>
      </c>
      <c r="BZ1272" s="340"/>
      <c r="CA1272" s="316"/>
      <c r="CB1272" s="318"/>
      <c r="CC1272" s="318"/>
      <c r="CD1272" s="318"/>
      <c r="CE1272" s="318"/>
      <c r="CF1272" s="318"/>
      <c r="CG1272" s="318"/>
      <c r="CH1272" s="318"/>
      <c r="CI1272" s="318"/>
      <c r="CJ1272" s="463"/>
      <c r="CK1272" s="342"/>
      <c r="CL1272" s="333"/>
      <c r="CM1272" s="872"/>
      <c r="CN1272" s="847"/>
      <c r="CO1272" s="847"/>
      <c r="CP1272" s="847"/>
    </row>
    <row r="1273">
      <c r="A1273" s="1050" t="s">
        <v>64</v>
      </c>
      <c r="B1273" s="1051" t="s">
        <v>1916</v>
      </c>
      <c r="C1273" s="1052">
        <v>44594.0</v>
      </c>
      <c r="D1273" s="1053"/>
      <c r="E1273" s="1054" t="s">
        <v>1453</v>
      </c>
      <c r="F1273" s="1055" t="s">
        <v>1975</v>
      </c>
      <c r="G1273" s="1056">
        <v>0.4739583333333333</v>
      </c>
      <c r="H1273" s="1057">
        <v>0.47436342592592595</v>
      </c>
      <c r="I1273" s="1057"/>
      <c r="J1273" s="1058"/>
      <c r="K1273" s="1058">
        <v>0.475</v>
      </c>
      <c r="L1273" s="456">
        <v>6.365740740740741E-4</v>
      </c>
      <c r="M1273" s="393" t="s">
        <v>166</v>
      </c>
      <c r="N1273" s="1055" t="s">
        <v>187</v>
      </c>
      <c r="O1273" s="1059" t="s">
        <v>201</v>
      </c>
      <c r="P1273" s="1054" t="s">
        <v>256</v>
      </c>
      <c r="Q1273" s="392"/>
      <c r="R1273" s="1060">
        <v>2.0</v>
      </c>
      <c r="S1273" s="1061">
        <v>2.5</v>
      </c>
      <c r="T1273" s="1055">
        <v>0.7</v>
      </c>
      <c r="U1273" s="1062">
        <v>5.0</v>
      </c>
      <c r="V1273" s="1062"/>
      <c r="W1273" s="1062"/>
      <c r="X1273" s="1062"/>
      <c r="Y1273" s="1062"/>
      <c r="Z1273" s="1063" t="s">
        <v>339</v>
      </c>
      <c r="AA1273" s="1063"/>
      <c r="AB1273" s="1063" t="s">
        <v>337</v>
      </c>
      <c r="AC1273" s="1064">
        <v>2.5</v>
      </c>
      <c r="AD1273" s="1054"/>
      <c r="AE1273" s="1054"/>
      <c r="AF1273" s="1054"/>
      <c r="AG1273" s="1054"/>
      <c r="AH1273" s="1054"/>
      <c r="AI1273" s="1054"/>
      <c r="AJ1273" s="1064"/>
      <c r="AK1273" s="1065"/>
      <c r="AL1273" s="1054"/>
      <c r="AM1273" s="1054"/>
      <c r="AN1273" s="1054"/>
      <c r="AO1273" s="1054"/>
      <c r="AP1273" s="1054"/>
      <c r="AQ1273" s="1054"/>
      <c r="AR1273" s="1054"/>
      <c r="AS1273" s="1064"/>
      <c r="AT1273" s="1066" t="s">
        <v>182</v>
      </c>
      <c r="AU1273" s="1076" t="s">
        <v>845</v>
      </c>
      <c r="AV1273" s="405">
        <f>SQRT(($R1273-Infrastructure!J$3)^2+($S1273-Infrastructure!K$3)^2)</f>
        <v>26.5</v>
      </c>
      <c r="AW1273" s="406">
        <f>SQRT(($R1273-Infrastructure!J$4)^2+($S1273-Infrastructure!K$4)^2)</f>
        <v>15.47191003</v>
      </c>
      <c r="AX1273" s="406">
        <f>SQRT(($R1273-Infrastructure!J$5)^2+($S1273-Infrastructure!K$5)^2)</f>
        <v>3.471310992</v>
      </c>
      <c r="AY1273" s="406">
        <f>SQRT(($R1273-Infrastructure!J$6)^2+($S1273-Infrastructure!K$6)^2)</f>
        <v>8.393449827</v>
      </c>
      <c r="AZ1273" s="406">
        <f>SQRT(($R1273-Infrastructure!J$7)^2+($S1273-Infrastructure!K$7)^2)</f>
        <v>18.63035158</v>
      </c>
      <c r="BA1273" s="406">
        <f>SQRT(($R1273-Infrastructure!J$8)^2+($S1273-Infrastructure!K$8)^2)</f>
        <v>28.18598943</v>
      </c>
      <c r="BB1273" s="406">
        <f>SQRT(($R1273-Infrastructure!J$9)^2+($S1273-Infrastructure!K$9)^2)</f>
        <v>38.08884351</v>
      </c>
      <c r="BC1273" s="406">
        <f>SQRT(($R1273-Infrastructure!J$10)^2+($S1273-Infrastructure!K$10)^2)</f>
        <v>40.00312488</v>
      </c>
      <c r="BD1273" s="406">
        <f>SQRT(($R1273-Infrastructure!J$11)^2+($S1273-Infrastructure!K$11)^2)</f>
        <v>46.49182724</v>
      </c>
      <c r="BE1273" s="408">
        <f>SQRT(($R1273-Infrastructure!J$12)^2+($S1273-Infrastructure!K$12)^2)</f>
        <v>56.47344509</v>
      </c>
      <c r="BF1273" s="330">
        <f t="shared" si="161"/>
        <v>3.471310992</v>
      </c>
      <c r="BG1273" s="333">
        <f t="shared" si="162"/>
        <v>56.47344509</v>
      </c>
      <c r="BH1273" s="943">
        <v>36526.0</v>
      </c>
      <c r="BI1273" s="393" t="s">
        <v>846</v>
      </c>
      <c r="BJ1273" s="393" t="s">
        <v>846</v>
      </c>
      <c r="BK1273" s="393"/>
      <c r="BL1273" s="393" t="s">
        <v>846</v>
      </c>
      <c r="BM1273" s="959"/>
      <c r="BN1273" s="393" t="s">
        <v>846</v>
      </c>
      <c r="BO1273" s="393" t="s">
        <v>846</v>
      </c>
      <c r="BP1273" s="960" t="s">
        <v>846</v>
      </c>
      <c r="BQ1273" s="393" t="s">
        <v>846</v>
      </c>
      <c r="BR1273" s="394" t="s">
        <v>846</v>
      </c>
      <c r="BS1273" s="330">
        <f t="shared" si="169"/>
        <v>8.393449827</v>
      </c>
      <c r="BT1273" s="331">
        <f t="shared" si="170"/>
        <v>56.47344509</v>
      </c>
      <c r="BU1273" s="931">
        <v>0.4732638888888889</v>
      </c>
      <c r="BV1273" s="903">
        <f t="shared" si="171"/>
        <v>-0.0006944444444</v>
      </c>
      <c r="BW1273" s="925">
        <v>22.1</v>
      </c>
      <c r="BX1273" s="926">
        <v>13.5</v>
      </c>
      <c r="BY1273" s="331">
        <f t="shared" si="166"/>
        <v>22.91309669</v>
      </c>
      <c r="BZ1273" s="412"/>
      <c r="CA1273" s="390"/>
      <c r="CB1273" s="392"/>
      <c r="CC1273" s="392"/>
      <c r="CD1273" s="392"/>
      <c r="CE1273" s="392"/>
      <c r="CF1273" s="392"/>
      <c r="CG1273" s="392"/>
      <c r="CH1273" s="392"/>
      <c r="CI1273" s="392"/>
      <c r="CJ1273" s="898"/>
      <c r="CK1273" s="414"/>
      <c r="CL1273" s="408"/>
      <c r="CM1273" s="1077" t="s">
        <v>1918</v>
      </c>
      <c r="CN1273" s="1005"/>
      <c r="CO1273" s="1005"/>
      <c r="CP1273" s="1005"/>
    </row>
    <row r="1274">
      <c r="B1274" s="1029" t="s">
        <v>1916</v>
      </c>
      <c r="C1274" s="1002">
        <v>44594.0</v>
      </c>
      <c r="D1274" s="1030"/>
      <c r="E1274" s="1031" t="s">
        <v>1455</v>
      </c>
      <c r="F1274" s="1005" t="s">
        <v>1976</v>
      </c>
      <c r="G1274" s="1006">
        <v>0.4756944444444444</v>
      </c>
      <c r="H1274" s="1007">
        <v>0.47604166666666664</v>
      </c>
      <c r="I1274" s="1007"/>
      <c r="J1274" s="1028"/>
      <c r="K1274" s="1028">
        <v>0.4774305555555556</v>
      </c>
      <c r="L1274" s="323">
        <v>0.001388888888888889</v>
      </c>
      <c r="M1274" s="319" t="s">
        <v>166</v>
      </c>
      <c r="N1274" s="1005" t="s">
        <v>187</v>
      </c>
      <c r="O1274" s="1068" t="s">
        <v>201</v>
      </c>
      <c r="P1274" s="1031" t="s">
        <v>256</v>
      </c>
      <c r="Q1274" s="318"/>
      <c r="R1274" s="1069">
        <v>2.0</v>
      </c>
      <c r="S1274" s="1004">
        <v>2.5</v>
      </c>
      <c r="T1274" s="1005">
        <v>0.7</v>
      </c>
      <c r="U1274" s="1070">
        <v>1.0</v>
      </c>
      <c r="V1274" s="1070"/>
      <c r="W1274" s="1070"/>
      <c r="X1274" s="1070"/>
      <c r="Y1274" s="1070"/>
      <c r="Z1274" s="1071" t="s">
        <v>339</v>
      </c>
      <c r="AA1274" s="1071"/>
      <c r="AB1274" s="1071" t="s">
        <v>337</v>
      </c>
      <c r="AC1274" s="1072">
        <v>2.5</v>
      </c>
      <c r="AD1274" s="1031"/>
      <c r="AE1274" s="1031"/>
      <c r="AF1274" s="1031"/>
      <c r="AG1274" s="1031"/>
      <c r="AH1274" s="1031"/>
      <c r="AI1274" s="1031"/>
      <c r="AJ1274" s="1072"/>
      <c r="AK1274" s="1073"/>
      <c r="AL1274" s="1031"/>
      <c r="AM1274" s="1031"/>
      <c r="AN1274" s="1031"/>
      <c r="AO1274" s="1031"/>
      <c r="AP1274" s="1031"/>
      <c r="AQ1274" s="1031"/>
      <c r="AR1274" s="1031"/>
      <c r="AS1274" s="1072"/>
      <c r="AT1274" s="1075" t="s">
        <v>182</v>
      </c>
      <c r="AU1274" s="1078" t="s">
        <v>845</v>
      </c>
      <c r="AV1274" s="330">
        <f>SQRT(($R1274-Infrastructure!J$3)^2+($S1274-Infrastructure!K$3)^2)</f>
        <v>26.5</v>
      </c>
      <c r="AW1274" s="331">
        <f>SQRT(($R1274-Infrastructure!J$4)^2+($S1274-Infrastructure!K$4)^2)</f>
        <v>15.47191003</v>
      </c>
      <c r="AX1274" s="331">
        <f>SQRT(($R1274-Infrastructure!J$5)^2+($S1274-Infrastructure!K$5)^2)</f>
        <v>3.471310992</v>
      </c>
      <c r="AY1274" s="331">
        <f>SQRT(($R1274-Infrastructure!J$6)^2+($S1274-Infrastructure!K$6)^2)</f>
        <v>8.393449827</v>
      </c>
      <c r="AZ1274" s="331">
        <f>SQRT(($R1274-Infrastructure!J$7)^2+($S1274-Infrastructure!K$7)^2)</f>
        <v>18.63035158</v>
      </c>
      <c r="BA1274" s="331">
        <f>SQRT(($R1274-Infrastructure!J$8)^2+($S1274-Infrastructure!K$8)^2)</f>
        <v>28.18598943</v>
      </c>
      <c r="BB1274" s="331">
        <f>SQRT(($R1274-Infrastructure!J$9)^2+($S1274-Infrastructure!K$9)^2)</f>
        <v>38.08884351</v>
      </c>
      <c r="BC1274" s="331">
        <f>SQRT(($R1274-Infrastructure!J$10)^2+($S1274-Infrastructure!K$10)^2)</f>
        <v>40.00312488</v>
      </c>
      <c r="BD1274" s="331">
        <f>SQRT(($R1274-Infrastructure!J$11)^2+($S1274-Infrastructure!K$11)^2)</f>
        <v>46.49182724</v>
      </c>
      <c r="BE1274" s="333">
        <f>SQRT(($R1274-Infrastructure!J$12)^2+($S1274-Infrastructure!K$12)^2)</f>
        <v>56.47344509</v>
      </c>
      <c r="BF1274" s="330">
        <f t="shared" si="161"/>
        <v>3.471310992</v>
      </c>
      <c r="BG1274" s="333">
        <f t="shared" si="162"/>
        <v>56.47344509</v>
      </c>
      <c r="BH1274" s="943">
        <v>36526.0</v>
      </c>
      <c r="BI1274" s="319" t="s">
        <v>846</v>
      </c>
      <c r="BJ1274" s="319" t="s">
        <v>846</v>
      </c>
      <c r="BK1274" s="319" t="s">
        <v>846</v>
      </c>
      <c r="BL1274" s="319" t="s">
        <v>846</v>
      </c>
      <c r="BM1274" s="955"/>
      <c r="BN1274" s="319" t="s">
        <v>846</v>
      </c>
      <c r="BO1274" s="319"/>
      <c r="BP1274" s="953"/>
      <c r="BQ1274" s="319"/>
      <c r="BR1274" s="324"/>
      <c r="BS1274" s="330">
        <f t="shared" si="169"/>
        <v>3.471310992</v>
      </c>
      <c r="BT1274" s="331">
        <f t="shared" si="170"/>
        <v>28.18598943</v>
      </c>
      <c r="BU1274" s="920">
        <v>0.475</v>
      </c>
      <c r="BV1274" s="903">
        <f t="shared" si="171"/>
        <v>-0.0006944444444</v>
      </c>
      <c r="BW1274" s="907">
        <v>8.9</v>
      </c>
      <c r="BX1274" s="908">
        <v>6.5</v>
      </c>
      <c r="BY1274" s="331">
        <f t="shared" si="166"/>
        <v>7.975587753</v>
      </c>
      <c r="BZ1274" s="340"/>
      <c r="CA1274" s="316"/>
      <c r="CB1274" s="318"/>
      <c r="CC1274" s="318"/>
      <c r="CD1274" s="318"/>
      <c r="CE1274" s="318"/>
      <c r="CF1274" s="318"/>
      <c r="CG1274" s="318"/>
      <c r="CH1274" s="318"/>
      <c r="CI1274" s="318"/>
      <c r="CJ1274" s="463"/>
      <c r="CK1274" s="342"/>
      <c r="CL1274" s="333"/>
      <c r="CM1274" s="1079" t="s">
        <v>1918</v>
      </c>
      <c r="CN1274" s="1005"/>
      <c r="CO1274" s="1005"/>
      <c r="CP1274" s="1005"/>
    </row>
    <row r="1275">
      <c r="B1275" s="1029" t="s">
        <v>1916</v>
      </c>
      <c r="C1275" s="1002">
        <v>44594.0</v>
      </c>
      <c r="D1275" s="1030"/>
      <c r="E1275" s="1031" t="s">
        <v>1457</v>
      </c>
      <c r="F1275" s="1005" t="s">
        <v>1977</v>
      </c>
      <c r="G1275" s="1006">
        <v>0.47899305555555555</v>
      </c>
      <c r="H1275" s="1007">
        <v>0.4791666666666667</v>
      </c>
      <c r="I1275" s="1007"/>
      <c r="J1275" s="1028"/>
      <c r="K1275" s="1028">
        <v>0.4799189814814815</v>
      </c>
      <c r="L1275" s="323">
        <v>7.523148148148148E-4</v>
      </c>
      <c r="M1275" s="319" t="s">
        <v>166</v>
      </c>
      <c r="N1275" s="1005" t="s">
        <v>187</v>
      </c>
      <c r="O1275" s="1068" t="s">
        <v>201</v>
      </c>
      <c r="P1275" s="1031" t="s">
        <v>256</v>
      </c>
      <c r="Q1275" s="318"/>
      <c r="R1275" s="1069">
        <v>2.0</v>
      </c>
      <c r="S1275" s="1004">
        <v>2.5</v>
      </c>
      <c r="T1275" s="1005">
        <v>0.7</v>
      </c>
      <c r="U1275" s="1070">
        <v>0.5</v>
      </c>
      <c r="V1275" s="1070"/>
      <c r="W1275" s="1070"/>
      <c r="X1275" s="1070"/>
      <c r="Y1275" s="1070"/>
      <c r="Z1275" s="1071" t="s">
        <v>339</v>
      </c>
      <c r="AA1275" s="1071"/>
      <c r="AB1275" s="1071" t="s">
        <v>337</v>
      </c>
      <c r="AC1275" s="1072">
        <v>2.5</v>
      </c>
      <c r="AD1275" s="1031"/>
      <c r="AE1275" s="1031"/>
      <c r="AF1275" s="1031"/>
      <c r="AG1275" s="1031"/>
      <c r="AH1275" s="1031"/>
      <c r="AI1275" s="1031"/>
      <c r="AJ1275" s="1072"/>
      <c r="AK1275" s="1073"/>
      <c r="AL1275" s="1031"/>
      <c r="AM1275" s="1031"/>
      <c r="AN1275" s="1031"/>
      <c r="AO1275" s="1031"/>
      <c r="AP1275" s="1031"/>
      <c r="AQ1275" s="1031"/>
      <c r="AR1275" s="1031"/>
      <c r="AS1275" s="1072"/>
      <c r="AT1275" s="1075" t="s">
        <v>181</v>
      </c>
      <c r="AU1275" s="1078" t="s">
        <v>845</v>
      </c>
      <c r="AV1275" s="330">
        <f>SQRT(($R1275-Infrastructure!J$3)^2+($S1275-Infrastructure!K$3)^2)</f>
        <v>26.5</v>
      </c>
      <c r="AW1275" s="331">
        <f>SQRT(($R1275-Infrastructure!J$4)^2+($S1275-Infrastructure!K$4)^2)</f>
        <v>15.47191003</v>
      </c>
      <c r="AX1275" s="331">
        <f>SQRT(($R1275-Infrastructure!J$5)^2+($S1275-Infrastructure!K$5)^2)</f>
        <v>3.471310992</v>
      </c>
      <c r="AY1275" s="331">
        <f>SQRT(($R1275-Infrastructure!J$6)^2+($S1275-Infrastructure!K$6)^2)</f>
        <v>8.393449827</v>
      </c>
      <c r="AZ1275" s="331">
        <f>SQRT(($R1275-Infrastructure!J$7)^2+($S1275-Infrastructure!K$7)^2)</f>
        <v>18.63035158</v>
      </c>
      <c r="BA1275" s="331">
        <f>SQRT(($R1275-Infrastructure!J$8)^2+($S1275-Infrastructure!K$8)^2)</f>
        <v>28.18598943</v>
      </c>
      <c r="BB1275" s="331">
        <f>SQRT(($R1275-Infrastructure!J$9)^2+($S1275-Infrastructure!K$9)^2)</f>
        <v>38.08884351</v>
      </c>
      <c r="BC1275" s="331">
        <f>SQRT(($R1275-Infrastructure!J$10)^2+($S1275-Infrastructure!K$10)^2)</f>
        <v>40.00312488</v>
      </c>
      <c r="BD1275" s="331">
        <f>SQRT(($R1275-Infrastructure!J$11)^2+($S1275-Infrastructure!K$11)^2)</f>
        <v>46.49182724</v>
      </c>
      <c r="BE1275" s="333">
        <f>SQRT(($R1275-Infrastructure!J$12)^2+($S1275-Infrastructure!K$12)^2)</f>
        <v>56.47344509</v>
      </c>
      <c r="BF1275" s="330">
        <f t="shared" si="161"/>
        <v>3.471310992</v>
      </c>
      <c r="BG1275" s="333">
        <f t="shared" si="162"/>
        <v>56.47344509</v>
      </c>
      <c r="BH1275" s="943">
        <v>36526.0</v>
      </c>
      <c r="BI1275" s="319"/>
      <c r="BJ1275" s="319"/>
      <c r="BK1275" s="319"/>
      <c r="BL1275" s="319"/>
      <c r="BM1275" s="955"/>
      <c r="BN1275" s="319"/>
      <c r="BO1275" s="319"/>
      <c r="BP1275" s="953"/>
      <c r="BQ1275" s="319"/>
      <c r="BR1275" s="324"/>
      <c r="BS1275" s="330">
        <f t="shared" si="169"/>
        <v>0</v>
      </c>
      <c r="BT1275" s="331">
        <f t="shared" si="170"/>
        <v>0</v>
      </c>
      <c r="BU1275" s="920"/>
      <c r="BV1275" s="903">
        <f t="shared" si="171"/>
        <v>-0.4789930556</v>
      </c>
      <c r="BW1275" s="907"/>
      <c r="BX1275" s="908"/>
      <c r="BY1275" s="331" t="b">
        <f t="shared" si="166"/>
        <v>0</v>
      </c>
      <c r="BZ1275" s="340"/>
      <c r="CA1275" s="316"/>
      <c r="CB1275" s="318"/>
      <c r="CC1275" s="318"/>
      <c r="CD1275" s="318"/>
      <c r="CE1275" s="318"/>
      <c r="CF1275" s="318"/>
      <c r="CG1275" s="318"/>
      <c r="CH1275" s="318"/>
      <c r="CI1275" s="318"/>
      <c r="CJ1275" s="463"/>
      <c r="CK1275" s="342"/>
      <c r="CL1275" s="333"/>
      <c r="CM1275" s="1079" t="s">
        <v>1918</v>
      </c>
      <c r="CN1275" s="1005"/>
      <c r="CO1275" s="1005"/>
      <c r="CP1275" s="1005"/>
    </row>
    <row r="1276">
      <c r="B1276" s="1029" t="s">
        <v>1916</v>
      </c>
      <c r="C1276" s="1002">
        <v>44594.0</v>
      </c>
      <c r="D1276" s="1030"/>
      <c r="E1276" s="1031" t="s">
        <v>1459</v>
      </c>
      <c r="F1276" s="1005" t="s">
        <v>1978</v>
      </c>
      <c r="G1276" s="1006">
        <v>0.48489583333333336</v>
      </c>
      <c r="H1276" s="1007">
        <v>0.4852430555555556</v>
      </c>
      <c r="I1276" s="1007"/>
      <c r="J1276" s="1028"/>
      <c r="K1276" s="1028">
        <v>0.4864583333333333</v>
      </c>
      <c r="L1276" s="323">
        <v>0.0012152777777777778</v>
      </c>
      <c r="M1276" s="319" t="s">
        <v>166</v>
      </c>
      <c r="N1276" s="1005" t="s">
        <v>187</v>
      </c>
      <c r="O1276" s="1068" t="s">
        <v>201</v>
      </c>
      <c r="P1276" s="1031" t="s">
        <v>256</v>
      </c>
      <c r="Q1276" s="318"/>
      <c r="R1276" s="1069">
        <v>2.0</v>
      </c>
      <c r="S1276" s="1004">
        <v>2.5</v>
      </c>
      <c r="T1276" s="1005">
        <v>0.7</v>
      </c>
      <c r="U1276" s="1070">
        <v>0.2</v>
      </c>
      <c r="V1276" s="1070"/>
      <c r="W1276" s="1070"/>
      <c r="X1276" s="1070"/>
      <c r="Y1276" s="1070"/>
      <c r="Z1276" s="1071" t="s">
        <v>339</v>
      </c>
      <c r="AA1276" s="1071"/>
      <c r="AB1276" s="1071" t="s">
        <v>337</v>
      </c>
      <c r="AC1276" s="1072">
        <v>2.5</v>
      </c>
      <c r="AD1276" s="1031"/>
      <c r="AE1276" s="1031"/>
      <c r="AF1276" s="1031"/>
      <c r="AG1276" s="1031"/>
      <c r="AH1276" s="1031"/>
      <c r="AI1276" s="1031"/>
      <c r="AJ1276" s="1072"/>
      <c r="AK1276" s="1073"/>
      <c r="AL1276" s="1031"/>
      <c r="AM1276" s="1031"/>
      <c r="AN1276" s="1031"/>
      <c r="AO1276" s="1031"/>
      <c r="AP1276" s="1031"/>
      <c r="AQ1276" s="1031"/>
      <c r="AR1276" s="1031"/>
      <c r="AS1276" s="1072"/>
      <c r="AT1276" s="1075" t="s">
        <v>181</v>
      </c>
      <c r="AU1276" s="1078" t="s">
        <v>845</v>
      </c>
      <c r="AV1276" s="330">
        <f>SQRT(($R1276-Infrastructure!J$3)^2+($S1276-Infrastructure!K$3)^2)</f>
        <v>26.5</v>
      </c>
      <c r="AW1276" s="331">
        <f>SQRT(($R1276-Infrastructure!J$4)^2+($S1276-Infrastructure!K$4)^2)</f>
        <v>15.47191003</v>
      </c>
      <c r="AX1276" s="331">
        <f>SQRT(($R1276-Infrastructure!J$5)^2+($S1276-Infrastructure!K$5)^2)</f>
        <v>3.471310992</v>
      </c>
      <c r="AY1276" s="331">
        <f>SQRT(($R1276-Infrastructure!J$6)^2+($S1276-Infrastructure!K$6)^2)</f>
        <v>8.393449827</v>
      </c>
      <c r="AZ1276" s="331">
        <f>SQRT(($R1276-Infrastructure!J$7)^2+($S1276-Infrastructure!K$7)^2)</f>
        <v>18.63035158</v>
      </c>
      <c r="BA1276" s="331">
        <f>SQRT(($R1276-Infrastructure!J$8)^2+($S1276-Infrastructure!K$8)^2)</f>
        <v>28.18598943</v>
      </c>
      <c r="BB1276" s="331">
        <f>SQRT(($R1276-Infrastructure!J$9)^2+($S1276-Infrastructure!K$9)^2)</f>
        <v>38.08884351</v>
      </c>
      <c r="BC1276" s="331">
        <f>SQRT(($R1276-Infrastructure!J$10)^2+($S1276-Infrastructure!K$10)^2)</f>
        <v>40.00312488</v>
      </c>
      <c r="BD1276" s="331">
        <f>SQRT(($R1276-Infrastructure!J$11)^2+($S1276-Infrastructure!K$11)^2)</f>
        <v>46.49182724</v>
      </c>
      <c r="BE1276" s="333">
        <f>SQRT(($R1276-Infrastructure!J$12)^2+($S1276-Infrastructure!K$12)^2)</f>
        <v>56.47344509</v>
      </c>
      <c r="BF1276" s="330">
        <f t="shared" si="161"/>
        <v>3.471310992</v>
      </c>
      <c r="BG1276" s="333">
        <f t="shared" si="162"/>
        <v>56.47344509</v>
      </c>
      <c r="BH1276" s="943">
        <v>36526.0</v>
      </c>
      <c r="BI1276" s="319" t="s">
        <v>846</v>
      </c>
      <c r="BJ1276" s="319" t="s">
        <v>846</v>
      </c>
      <c r="BK1276" s="319" t="s">
        <v>846</v>
      </c>
      <c r="BL1276" s="319" t="s">
        <v>846</v>
      </c>
      <c r="BM1276" s="955"/>
      <c r="BN1276" s="319"/>
      <c r="BO1276" s="319"/>
      <c r="BP1276" s="953"/>
      <c r="BQ1276" s="319"/>
      <c r="BR1276" s="324"/>
      <c r="BS1276" s="330">
        <f t="shared" si="169"/>
        <v>3.471310992</v>
      </c>
      <c r="BT1276" s="331">
        <f t="shared" si="170"/>
        <v>26.5</v>
      </c>
      <c r="BU1276" s="920">
        <v>0.4864583333333333</v>
      </c>
      <c r="BV1276" s="903">
        <f t="shared" si="171"/>
        <v>0.0015625</v>
      </c>
      <c r="BW1276" s="907">
        <v>2.9</v>
      </c>
      <c r="BX1276" s="908">
        <v>8.8</v>
      </c>
      <c r="BY1276" s="331">
        <f t="shared" si="166"/>
        <v>6.363961031</v>
      </c>
      <c r="BZ1276" s="340"/>
      <c r="CA1276" s="316"/>
      <c r="CB1276" s="318"/>
      <c r="CC1276" s="318"/>
      <c r="CD1276" s="318"/>
      <c r="CE1276" s="318"/>
      <c r="CF1276" s="318"/>
      <c r="CG1276" s="318"/>
      <c r="CH1276" s="318"/>
      <c r="CI1276" s="318"/>
      <c r="CJ1276" s="463"/>
      <c r="CK1276" s="342"/>
      <c r="CL1276" s="333"/>
      <c r="CM1276" s="1079" t="s">
        <v>1979</v>
      </c>
      <c r="CN1276" s="1005"/>
      <c r="CO1276" s="1005"/>
      <c r="CP1276" s="1005"/>
    </row>
    <row r="1277">
      <c r="B1277" s="1029" t="s">
        <v>1916</v>
      </c>
      <c r="C1277" s="1002">
        <v>44594.0</v>
      </c>
      <c r="D1277" s="1030"/>
      <c r="E1277" s="1031" t="s">
        <v>1804</v>
      </c>
      <c r="F1277" s="1005" t="s">
        <v>1980</v>
      </c>
      <c r="G1277" s="1006">
        <v>0.48715277777777777</v>
      </c>
      <c r="H1277" s="1007">
        <v>0.48738425925925927</v>
      </c>
      <c r="I1277" s="1007"/>
      <c r="J1277" s="1028"/>
      <c r="K1277" s="1028">
        <v>0.48819444444444443</v>
      </c>
      <c r="L1277" s="323">
        <v>8.101851851851852E-4</v>
      </c>
      <c r="M1277" s="319" t="s">
        <v>166</v>
      </c>
      <c r="N1277" s="1005" t="s">
        <v>187</v>
      </c>
      <c r="O1277" s="1068" t="s">
        <v>201</v>
      </c>
      <c r="P1277" s="1031" t="s">
        <v>256</v>
      </c>
      <c r="Q1277" s="318"/>
      <c r="R1277" s="1069">
        <v>2.0</v>
      </c>
      <c r="S1277" s="1004">
        <v>2.5</v>
      </c>
      <c r="T1277" s="1005">
        <v>0.7</v>
      </c>
      <c r="U1277" s="1070">
        <v>1.0</v>
      </c>
      <c r="V1277" s="1070"/>
      <c r="W1277" s="1070"/>
      <c r="X1277" s="1070"/>
      <c r="Y1277" s="1070"/>
      <c r="Z1277" s="1071" t="s">
        <v>339</v>
      </c>
      <c r="AA1277" s="1071"/>
      <c r="AB1277" s="1071" t="s">
        <v>337</v>
      </c>
      <c r="AC1277" s="1072">
        <v>2.5</v>
      </c>
      <c r="AD1277" s="1031"/>
      <c r="AE1277" s="1031"/>
      <c r="AF1277" s="1031"/>
      <c r="AG1277" s="1031"/>
      <c r="AH1277" s="1031"/>
      <c r="AI1277" s="1031"/>
      <c r="AJ1277" s="1072"/>
      <c r="AK1277" s="1073"/>
      <c r="AL1277" s="1031"/>
      <c r="AM1277" s="1031"/>
      <c r="AN1277" s="1031"/>
      <c r="AO1277" s="1031"/>
      <c r="AP1277" s="1031"/>
      <c r="AQ1277" s="1031"/>
      <c r="AR1277" s="1031"/>
      <c r="AS1277" s="1072"/>
      <c r="AT1277" s="1075" t="s">
        <v>182</v>
      </c>
      <c r="AU1277" s="1078" t="s">
        <v>845</v>
      </c>
      <c r="AV1277" s="330">
        <f>SQRT(($R1277-Infrastructure!J$3)^2+($S1277-Infrastructure!K$3)^2)</f>
        <v>26.5</v>
      </c>
      <c r="AW1277" s="331">
        <f>SQRT(($R1277-Infrastructure!J$4)^2+($S1277-Infrastructure!K$4)^2)</f>
        <v>15.47191003</v>
      </c>
      <c r="AX1277" s="331">
        <f>SQRT(($R1277-Infrastructure!J$5)^2+($S1277-Infrastructure!K$5)^2)</f>
        <v>3.471310992</v>
      </c>
      <c r="AY1277" s="331">
        <f>SQRT(($R1277-Infrastructure!J$6)^2+($S1277-Infrastructure!K$6)^2)</f>
        <v>8.393449827</v>
      </c>
      <c r="AZ1277" s="331">
        <f>SQRT(($R1277-Infrastructure!J$7)^2+($S1277-Infrastructure!K$7)^2)</f>
        <v>18.63035158</v>
      </c>
      <c r="BA1277" s="331">
        <f>SQRT(($R1277-Infrastructure!J$8)^2+($S1277-Infrastructure!K$8)^2)</f>
        <v>28.18598943</v>
      </c>
      <c r="BB1277" s="331">
        <f>SQRT(($R1277-Infrastructure!J$9)^2+($S1277-Infrastructure!K$9)^2)</f>
        <v>38.08884351</v>
      </c>
      <c r="BC1277" s="331">
        <f>SQRT(($R1277-Infrastructure!J$10)^2+($S1277-Infrastructure!K$10)^2)</f>
        <v>40.00312488</v>
      </c>
      <c r="BD1277" s="331">
        <f>SQRT(($R1277-Infrastructure!J$11)^2+($S1277-Infrastructure!K$11)^2)</f>
        <v>46.49182724</v>
      </c>
      <c r="BE1277" s="333">
        <f>SQRT(($R1277-Infrastructure!J$12)^2+($S1277-Infrastructure!K$12)^2)</f>
        <v>56.47344509</v>
      </c>
      <c r="BF1277" s="330">
        <f t="shared" si="161"/>
        <v>3.471310992</v>
      </c>
      <c r="BG1277" s="333">
        <f t="shared" si="162"/>
        <v>56.47344509</v>
      </c>
      <c r="BH1277" s="943">
        <v>36526.0</v>
      </c>
      <c r="BI1277" s="319"/>
      <c r="BJ1277" s="319"/>
      <c r="BK1277" s="319"/>
      <c r="BL1277" s="319"/>
      <c r="BM1277" s="955"/>
      <c r="BN1277" s="319"/>
      <c r="BO1277" s="319"/>
      <c r="BP1277" s="953"/>
      <c r="BQ1277" s="319"/>
      <c r="BR1277" s="324"/>
      <c r="BS1277" s="330">
        <f t="shared" si="169"/>
        <v>0</v>
      </c>
      <c r="BT1277" s="331">
        <f t="shared" si="170"/>
        <v>0</v>
      </c>
      <c r="BU1277" s="920"/>
      <c r="BV1277" s="903">
        <f t="shared" si="171"/>
        <v>-0.4871527778</v>
      </c>
      <c r="BW1277" s="907"/>
      <c r="BX1277" s="908"/>
      <c r="BY1277" s="331" t="b">
        <f t="shared" si="166"/>
        <v>0</v>
      </c>
      <c r="BZ1277" s="340"/>
      <c r="CA1277" s="316"/>
      <c r="CB1277" s="318"/>
      <c r="CC1277" s="318"/>
      <c r="CD1277" s="318"/>
      <c r="CE1277" s="318"/>
      <c r="CF1277" s="318"/>
      <c r="CG1277" s="318"/>
      <c r="CH1277" s="318"/>
      <c r="CI1277" s="318"/>
      <c r="CJ1277" s="463"/>
      <c r="CK1277" s="342"/>
      <c r="CL1277" s="333"/>
      <c r="CM1277" s="1079" t="s">
        <v>1979</v>
      </c>
      <c r="CN1277" s="1005"/>
      <c r="CO1277" s="1005"/>
      <c r="CP1277" s="1005"/>
    </row>
    <row r="1278">
      <c r="B1278" s="1029" t="s">
        <v>1916</v>
      </c>
      <c r="C1278" s="1002">
        <v>44594.0</v>
      </c>
      <c r="D1278" s="1030"/>
      <c r="E1278" s="1031" t="s">
        <v>1806</v>
      </c>
      <c r="F1278" s="1005" t="s">
        <v>1981</v>
      </c>
      <c r="G1278" s="1006">
        <v>0.49027777777777776</v>
      </c>
      <c r="H1278" s="1007">
        <v>0.490625</v>
      </c>
      <c r="I1278" s="1007"/>
      <c r="J1278" s="1028"/>
      <c r="K1278" s="1028">
        <v>0.49166666666666664</v>
      </c>
      <c r="L1278" s="323">
        <v>0.0010416666666666667</v>
      </c>
      <c r="M1278" s="319" t="s">
        <v>166</v>
      </c>
      <c r="N1278" s="1005" t="s">
        <v>187</v>
      </c>
      <c r="O1278" s="1068" t="s">
        <v>201</v>
      </c>
      <c r="P1278" s="1031" t="s">
        <v>256</v>
      </c>
      <c r="Q1278" s="318"/>
      <c r="R1278" s="1069">
        <v>2.0</v>
      </c>
      <c r="S1278" s="1004">
        <v>2.5</v>
      </c>
      <c r="T1278" s="1005">
        <v>0.7</v>
      </c>
      <c r="U1278" s="1070">
        <v>0.2</v>
      </c>
      <c r="V1278" s="1070"/>
      <c r="W1278" s="1070"/>
      <c r="X1278" s="1070"/>
      <c r="Y1278" s="1070"/>
      <c r="Z1278" s="1071" t="s">
        <v>339</v>
      </c>
      <c r="AA1278" s="1071"/>
      <c r="AB1278" s="1071" t="s">
        <v>337</v>
      </c>
      <c r="AC1278" s="1072">
        <v>2.5</v>
      </c>
      <c r="AD1278" s="1031"/>
      <c r="AE1278" s="1031"/>
      <c r="AF1278" s="1031"/>
      <c r="AG1278" s="1031"/>
      <c r="AH1278" s="1031"/>
      <c r="AI1278" s="1031"/>
      <c r="AJ1278" s="1072"/>
      <c r="AK1278" s="1073"/>
      <c r="AL1278" s="1031"/>
      <c r="AM1278" s="1031"/>
      <c r="AN1278" s="1031"/>
      <c r="AO1278" s="1031"/>
      <c r="AP1278" s="1031"/>
      <c r="AQ1278" s="1031"/>
      <c r="AR1278" s="1031"/>
      <c r="AS1278" s="1072"/>
      <c r="AT1278" s="1075" t="s">
        <v>181</v>
      </c>
      <c r="AU1278" s="1078" t="s">
        <v>845</v>
      </c>
      <c r="AV1278" s="330">
        <f>SQRT(($R1278-Infrastructure!J$3)^2+($S1278-Infrastructure!K$3)^2)</f>
        <v>26.5</v>
      </c>
      <c r="AW1278" s="331">
        <f>SQRT(($R1278-Infrastructure!J$4)^2+($S1278-Infrastructure!K$4)^2)</f>
        <v>15.47191003</v>
      </c>
      <c r="AX1278" s="331">
        <f>SQRT(($R1278-Infrastructure!J$5)^2+($S1278-Infrastructure!K$5)^2)</f>
        <v>3.471310992</v>
      </c>
      <c r="AY1278" s="331">
        <f>SQRT(($R1278-Infrastructure!J$6)^2+($S1278-Infrastructure!K$6)^2)</f>
        <v>8.393449827</v>
      </c>
      <c r="AZ1278" s="331">
        <f>SQRT(($R1278-Infrastructure!J$7)^2+($S1278-Infrastructure!K$7)^2)</f>
        <v>18.63035158</v>
      </c>
      <c r="BA1278" s="331">
        <f>SQRT(($R1278-Infrastructure!J$8)^2+($S1278-Infrastructure!K$8)^2)</f>
        <v>28.18598943</v>
      </c>
      <c r="BB1278" s="331">
        <f>SQRT(($R1278-Infrastructure!J$9)^2+($S1278-Infrastructure!K$9)^2)</f>
        <v>38.08884351</v>
      </c>
      <c r="BC1278" s="331">
        <f>SQRT(($R1278-Infrastructure!J$10)^2+($S1278-Infrastructure!K$10)^2)</f>
        <v>40.00312488</v>
      </c>
      <c r="BD1278" s="331">
        <f>SQRT(($R1278-Infrastructure!J$11)^2+($S1278-Infrastructure!K$11)^2)</f>
        <v>46.49182724</v>
      </c>
      <c r="BE1278" s="333">
        <f>SQRT(($R1278-Infrastructure!J$12)^2+($S1278-Infrastructure!K$12)^2)</f>
        <v>56.47344509</v>
      </c>
      <c r="BF1278" s="330">
        <f t="shared" si="161"/>
        <v>3.471310992</v>
      </c>
      <c r="BG1278" s="333">
        <f t="shared" si="162"/>
        <v>56.47344509</v>
      </c>
      <c r="BH1278" s="943">
        <v>36526.0</v>
      </c>
      <c r="BI1278" s="319"/>
      <c r="BJ1278" s="319"/>
      <c r="BK1278" s="319"/>
      <c r="BL1278" s="319"/>
      <c r="BM1278" s="955"/>
      <c r="BN1278" s="319"/>
      <c r="BO1278" s="319"/>
      <c r="BP1278" s="953"/>
      <c r="BQ1278" s="319"/>
      <c r="BR1278" s="324"/>
      <c r="BS1278" s="330">
        <f t="shared" si="169"/>
        <v>0</v>
      </c>
      <c r="BT1278" s="331">
        <f t="shared" si="170"/>
        <v>0</v>
      </c>
      <c r="BU1278" s="920"/>
      <c r="BV1278" s="903">
        <f t="shared" si="171"/>
        <v>-0.4902777778</v>
      </c>
      <c r="BW1278" s="907"/>
      <c r="BX1278" s="908"/>
      <c r="BY1278" s="331" t="b">
        <f t="shared" si="166"/>
        <v>0</v>
      </c>
      <c r="BZ1278" s="340"/>
      <c r="CA1278" s="316"/>
      <c r="CB1278" s="318"/>
      <c r="CC1278" s="318"/>
      <c r="CD1278" s="318"/>
      <c r="CE1278" s="318"/>
      <c r="CF1278" s="318"/>
      <c r="CG1278" s="318"/>
      <c r="CH1278" s="318"/>
      <c r="CI1278" s="318"/>
      <c r="CJ1278" s="463"/>
      <c r="CK1278" s="342"/>
      <c r="CL1278" s="333"/>
      <c r="CM1278" s="1079" t="s">
        <v>1918</v>
      </c>
      <c r="CN1278" s="1005"/>
      <c r="CO1278" s="1005"/>
      <c r="CP1278" s="1005"/>
    </row>
    <row r="1279">
      <c r="B1279" s="1029" t="s">
        <v>1916</v>
      </c>
      <c r="C1279" s="1002">
        <v>44594.0</v>
      </c>
      <c r="D1279" s="1030"/>
      <c r="E1279" s="1031" t="s">
        <v>1523</v>
      </c>
      <c r="F1279" s="1005" t="s">
        <v>1982</v>
      </c>
      <c r="G1279" s="1006">
        <v>0.49583333333333335</v>
      </c>
      <c r="H1279" s="1007">
        <v>0.49618055555555557</v>
      </c>
      <c r="I1279" s="1007"/>
      <c r="J1279" s="1028"/>
      <c r="K1279" s="1028">
        <v>0.496875</v>
      </c>
      <c r="L1279" s="323">
        <v>6.944444444444445E-4</v>
      </c>
      <c r="M1279" s="319" t="s">
        <v>166</v>
      </c>
      <c r="N1279" s="1005" t="s">
        <v>187</v>
      </c>
      <c r="O1279" s="1068" t="s">
        <v>200</v>
      </c>
      <c r="P1279" s="1031" t="s">
        <v>256</v>
      </c>
      <c r="Q1279" s="318"/>
      <c r="R1279" s="1069">
        <v>1.0</v>
      </c>
      <c r="S1279" s="1004">
        <v>17.7</v>
      </c>
      <c r="T1279" s="1005">
        <v>0.7</v>
      </c>
      <c r="U1279" s="1070">
        <v>3.0</v>
      </c>
      <c r="V1279" s="1070"/>
      <c r="W1279" s="1070"/>
      <c r="X1279" s="1070"/>
      <c r="Y1279" s="1070"/>
      <c r="Z1279" s="1071" t="s">
        <v>1983</v>
      </c>
      <c r="AA1279" s="1071"/>
      <c r="AB1279" s="1071" t="s">
        <v>337</v>
      </c>
      <c r="AC1279" s="1072">
        <v>2.5</v>
      </c>
      <c r="AD1279" s="1031"/>
      <c r="AE1279" s="1031"/>
      <c r="AF1279" s="1031"/>
      <c r="AG1279" s="1031"/>
      <c r="AH1279" s="1031"/>
      <c r="AI1279" s="1031"/>
      <c r="AJ1279" s="1072"/>
      <c r="AK1279" s="1073"/>
      <c r="AL1279" s="1031"/>
      <c r="AM1279" s="1031"/>
      <c r="AN1279" s="1031"/>
      <c r="AO1279" s="1031"/>
      <c r="AP1279" s="1031"/>
      <c r="AQ1279" s="1031"/>
      <c r="AR1279" s="1031"/>
      <c r="AS1279" s="1072"/>
      <c r="AT1279" s="1075" t="s">
        <v>182</v>
      </c>
      <c r="AU1279" s="1078" t="s">
        <v>845</v>
      </c>
      <c r="AV1279" s="330">
        <f>SQRT(($R1279-Infrastructure!J$3)^2+($S1279-Infrastructure!K$3)^2)</f>
        <v>11.27519401</v>
      </c>
      <c r="AW1279" s="331">
        <f>SQRT(($R1279-Infrastructure!J$4)^2+($S1279-Infrastructure!K$4)^2)</f>
        <v>1.303840481</v>
      </c>
      <c r="AX1279" s="331">
        <f>SQRT(($R1279-Infrastructure!J$5)^2+($S1279-Infrastructure!K$5)^2)</f>
        <v>12.66688596</v>
      </c>
      <c r="AY1279" s="331">
        <f>SQRT(($R1279-Infrastructure!J$6)^2+($S1279-Infrastructure!K$6)^2)</f>
        <v>19.63593644</v>
      </c>
      <c r="AZ1279" s="331">
        <f>SQRT(($R1279-Infrastructure!J$7)^2+($S1279-Infrastructure!K$7)^2)</f>
        <v>26.13446001</v>
      </c>
      <c r="BA1279" s="331">
        <f>SQRT(($R1279-Infrastructure!J$8)^2+($S1279-Infrastructure!K$8)^2)</f>
        <v>33.90530932</v>
      </c>
      <c r="BB1279" s="331">
        <f>SQRT(($R1279-Infrastructure!J$9)^2+($S1279-Infrastructure!K$9)^2)</f>
        <v>40.98487526</v>
      </c>
      <c r="BC1279" s="331">
        <f>SQRT(($R1279-Infrastructure!J$10)^2+($S1279-Infrastructure!K$10)^2)</f>
        <v>39.09334982</v>
      </c>
      <c r="BD1279" s="331">
        <f>SQRT(($R1279-Infrastructure!J$11)^2+($S1279-Infrastructure!K$11)^2)</f>
        <v>40.7962008</v>
      </c>
      <c r="BE1279" s="333">
        <f>SQRT(($R1279-Infrastructure!J$12)^2+($S1279-Infrastructure!K$12)^2)</f>
        <v>43.0010465</v>
      </c>
      <c r="BF1279" s="330">
        <f t="shared" si="161"/>
        <v>1.303840481</v>
      </c>
      <c r="BG1279" s="333">
        <f t="shared" si="162"/>
        <v>43.0010465</v>
      </c>
      <c r="BH1279" s="943">
        <v>36526.0</v>
      </c>
      <c r="BI1279" s="319" t="s">
        <v>846</v>
      </c>
      <c r="BJ1279" s="319" t="s">
        <v>846</v>
      </c>
      <c r="BK1279" s="319" t="s">
        <v>846</v>
      </c>
      <c r="BL1279" s="319" t="s">
        <v>846</v>
      </c>
      <c r="BM1279" s="955"/>
      <c r="BN1279" s="319" t="s">
        <v>846</v>
      </c>
      <c r="BO1279" s="319"/>
      <c r="BP1279" s="953" t="s">
        <v>846</v>
      </c>
      <c r="BQ1279" s="319" t="s">
        <v>846</v>
      </c>
      <c r="BR1279" s="324" t="s">
        <v>846</v>
      </c>
      <c r="BS1279" s="330">
        <f t="shared" si="169"/>
        <v>1.303840481</v>
      </c>
      <c r="BT1279" s="331">
        <f t="shared" si="170"/>
        <v>43.0010465</v>
      </c>
      <c r="BU1279" s="920">
        <v>0.49505787037037036</v>
      </c>
      <c r="BV1279" s="903">
        <f t="shared" si="171"/>
        <v>-0.000775462963</v>
      </c>
      <c r="BW1279" s="907">
        <v>8.2</v>
      </c>
      <c r="BX1279" s="908">
        <v>18.6</v>
      </c>
      <c r="BY1279" s="331">
        <f t="shared" si="166"/>
        <v>7.256031973</v>
      </c>
      <c r="BZ1279" s="340"/>
      <c r="CA1279" s="316"/>
      <c r="CB1279" s="318"/>
      <c r="CC1279" s="318"/>
      <c r="CD1279" s="318"/>
      <c r="CE1279" s="318"/>
      <c r="CF1279" s="318"/>
      <c r="CG1279" s="318"/>
      <c r="CH1279" s="318"/>
      <c r="CI1279" s="318"/>
      <c r="CJ1279" s="463"/>
      <c r="CK1279" s="342"/>
      <c r="CL1279" s="333"/>
      <c r="CM1279" s="1079" t="s">
        <v>1926</v>
      </c>
      <c r="CN1279" s="1005"/>
      <c r="CO1279" s="1005"/>
      <c r="CP1279" s="1005"/>
    </row>
    <row r="1280">
      <c r="B1280" s="1029" t="s">
        <v>1916</v>
      </c>
      <c r="C1280" s="1002">
        <v>44594.0</v>
      </c>
      <c r="D1280" s="1030"/>
      <c r="E1280" s="1031" t="s">
        <v>1525</v>
      </c>
      <c r="F1280" s="1005" t="s">
        <v>1984</v>
      </c>
      <c r="G1280" s="1006">
        <v>0.4982638888888889</v>
      </c>
      <c r="H1280" s="1007">
        <v>0.4986111111111111</v>
      </c>
      <c r="I1280" s="1007"/>
      <c r="J1280" s="1028"/>
      <c r="K1280" s="1028">
        <v>0.49930555555555556</v>
      </c>
      <c r="L1280" s="323">
        <v>6.944444444444445E-4</v>
      </c>
      <c r="M1280" s="319" t="s">
        <v>166</v>
      </c>
      <c r="N1280" s="1005" t="s">
        <v>187</v>
      </c>
      <c r="O1280" s="1068" t="s">
        <v>200</v>
      </c>
      <c r="P1280" s="1031" t="s">
        <v>256</v>
      </c>
      <c r="Q1280" s="318"/>
      <c r="R1280" s="1069">
        <v>1.0</v>
      </c>
      <c r="S1280" s="1004">
        <v>17.7</v>
      </c>
      <c r="T1280" s="1005">
        <v>0.7</v>
      </c>
      <c r="U1280" s="1070">
        <v>1.0</v>
      </c>
      <c r="V1280" s="1070"/>
      <c r="W1280" s="1070"/>
      <c r="X1280" s="1070"/>
      <c r="Y1280" s="1070"/>
      <c r="Z1280" s="1071" t="s">
        <v>1985</v>
      </c>
      <c r="AA1280" s="1071"/>
      <c r="AB1280" s="1071" t="s">
        <v>337</v>
      </c>
      <c r="AC1280" s="1072">
        <v>2.5</v>
      </c>
      <c r="AD1280" s="1031"/>
      <c r="AE1280" s="1031"/>
      <c r="AF1280" s="1031"/>
      <c r="AG1280" s="1031"/>
      <c r="AH1280" s="1031"/>
      <c r="AI1280" s="1031"/>
      <c r="AJ1280" s="1072"/>
      <c r="AK1280" s="1073"/>
      <c r="AL1280" s="1031"/>
      <c r="AM1280" s="1031"/>
      <c r="AN1280" s="1031"/>
      <c r="AO1280" s="1031"/>
      <c r="AP1280" s="1031"/>
      <c r="AQ1280" s="1031"/>
      <c r="AR1280" s="1031"/>
      <c r="AS1280" s="1072"/>
      <c r="AT1280" s="1075" t="s">
        <v>182</v>
      </c>
      <c r="AU1280" s="1078" t="s">
        <v>845</v>
      </c>
      <c r="AV1280" s="330">
        <f>SQRT(($R1280-Infrastructure!J$3)^2+($S1280-Infrastructure!K$3)^2)</f>
        <v>11.27519401</v>
      </c>
      <c r="AW1280" s="331">
        <f>SQRT(($R1280-Infrastructure!J$4)^2+($S1280-Infrastructure!K$4)^2)</f>
        <v>1.303840481</v>
      </c>
      <c r="AX1280" s="331">
        <f>SQRT(($R1280-Infrastructure!J$5)^2+($S1280-Infrastructure!K$5)^2)</f>
        <v>12.66688596</v>
      </c>
      <c r="AY1280" s="331">
        <f>SQRT(($R1280-Infrastructure!J$6)^2+($S1280-Infrastructure!K$6)^2)</f>
        <v>19.63593644</v>
      </c>
      <c r="AZ1280" s="331">
        <f>SQRT(($R1280-Infrastructure!J$7)^2+($S1280-Infrastructure!K$7)^2)</f>
        <v>26.13446001</v>
      </c>
      <c r="BA1280" s="331">
        <f>SQRT(($R1280-Infrastructure!J$8)^2+($S1280-Infrastructure!K$8)^2)</f>
        <v>33.90530932</v>
      </c>
      <c r="BB1280" s="331">
        <f>SQRT(($R1280-Infrastructure!J$9)^2+($S1280-Infrastructure!K$9)^2)</f>
        <v>40.98487526</v>
      </c>
      <c r="BC1280" s="331">
        <f>SQRT(($R1280-Infrastructure!J$10)^2+($S1280-Infrastructure!K$10)^2)</f>
        <v>39.09334982</v>
      </c>
      <c r="BD1280" s="331">
        <f>SQRT(($R1280-Infrastructure!J$11)^2+($S1280-Infrastructure!K$11)^2)</f>
        <v>40.7962008</v>
      </c>
      <c r="BE1280" s="333">
        <f>SQRT(($R1280-Infrastructure!J$12)^2+($S1280-Infrastructure!K$12)^2)</f>
        <v>43.0010465</v>
      </c>
      <c r="BF1280" s="330">
        <f t="shared" si="161"/>
        <v>1.303840481</v>
      </c>
      <c r="BG1280" s="333">
        <f t="shared" si="162"/>
        <v>43.0010465</v>
      </c>
      <c r="BH1280" s="943">
        <v>36526.0</v>
      </c>
      <c r="BI1280" s="319" t="s">
        <v>846</v>
      </c>
      <c r="BJ1280" s="319" t="s">
        <v>846</v>
      </c>
      <c r="BK1280" s="319" t="s">
        <v>846</v>
      </c>
      <c r="BL1280" s="319" t="s">
        <v>846</v>
      </c>
      <c r="BM1280" s="955"/>
      <c r="BN1280" s="319"/>
      <c r="BO1280" s="319"/>
      <c r="BP1280" s="953"/>
      <c r="BQ1280" s="319"/>
      <c r="BR1280" s="324"/>
      <c r="BS1280" s="330">
        <f t="shared" si="169"/>
        <v>1.303840481</v>
      </c>
      <c r="BT1280" s="331">
        <f t="shared" si="170"/>
        <v>19.63593644</v>
      </c>
      <c r="BU1280" s="920">
        <v>0.49755787037037036</v>
      </c>
      <c r="BV1280" s="903">
        <f t="shared" si="171"/>
        <v>-0.0007060185185</v>
      </c>
      <c r="BW1280" s="907">
        <v>3.1</v>
      </c>
      <c r="BX1280" s="908">
        <v>7.2</v>
      </c>
      <c r="BY1280" s="331">
        <f t="shared" si="166"/>
        <v>10.70794098</v>
      </c>
      <c r="BZ1280" s="340"/>
      <c r="CA1280" s="316"/>
      <c r="CB1280" s="318"/>
      <c r="CC1280" s="318"/>
      <c r="CD1280" s="318"/>
      <c r="CE1280" s="318"/>
      <c r="CF1280" s="318"/>
      <c r="CG1280" s="318"/>
      <c r="CH1280" s="318"/>
      <c r="CI1280" s="318"/>
      <c r="CJ1280" s="463"/>
      <c r="CK1280" s="342"/>
      <c r="CL1280" s="333"/>
      <c r="CM1280" s="1079" t="s">
        <v>1926</v>
      </c>
      <c r="CN1280" s="1005"/>
      <c r="CO1280" s="1005"/>
      <c r="CP1280" s="1005"/>
    </row>
    <row r="1281">
      <c r="B1281" s="1029" t="s">
        <v>1916</v>
      </c>
      <c r="C1281" s="1002">
        <v>44594.0</v>
      </c>
      <c r="D1281" s="1030"/>
      <c r="E1281" s="1031" t="s">
        <v>1527</v>
      </c>
      <c r="F1281" s="1005" t="s">
        <v>1986</v>
      </c>
      <c r="G1281" s="1006">
        <v>0.5017361111111112</v>
      </c>
      <c r="H1281" s="1007">
        <v>0.5020833333333333</v>
      </c>
      <c r="I1281" s="1007"/>
      <c r="J1281" s="1028"/>
      <c r="K1281" s="1028">
        <v>0.5041666666666667</v>
      </c>
      <c r="L1281" s="323">
        <v>0.0020833333333333333</v>
      </c>
      <c r="M1281" s="319" t="s">
        <v>166</v>
      </c>
      <c r="N1281" s="1005" t="s">
        <v>187</v>
      </c>
      <c r="O1281" s="1068" t="s">
        <v>200</v>
      </c>
      <c r="P1281" s="1031" t="s">
        <v>256</v>
      </c>
      <c r="Q1281" s="318"/>
      <c r="R1281" s="1069">
        <v>1.0</v>
      </c>
      <c r="S1281" s="1004">
        <v>17.7</v>
      </c>
      <c r="T1281" s="1005">
        <v>0.7</v>
      </c>
      <c r="U1281" s="1070">
        <v>0.25</v>
      </c>
      <c r="V1281" s="1070"/>
      <c r="W1281" s="1070"/>
      <c r="X1281" s="1070"/>
      <c r="Y1281" s="1070"/>
      <c r="Z1281" s="1071" t="s">
        <v>1985</v>
      </c>
      <c r="AA1281" s="1071"/>
      <c r="AB1281" s="1071" t="s">
        <v>337</v>
      </c>
      <c r="AC1281" s="1072">
        <v>2.5</v>
      </c>
      <c r="AD1281" s="1031"/>
      <c r="AE1281" s="1031"/>
      <c r="AF1281" s="1031"/>
      <c r="AG1281" s="1031"/>
      <c r="AH1281" s="1031"/>
      <c r="AI1281" s="1031"/>
      <c r="AJ1281" s="1072"/>
      <c r="AK1281" s="1073"/>
      <c r="AL1281" s="1031"/>
      <c r="AM1281" s="1031"/>
      <c r="AN1281" s="1031"/>
      <c r="AO1281" s="1031"/>
      <c r="AP1281" s="1031"/>
      <c r="AQ1281" s="1031"/>
      <c r="AR1281" s="1031"/>
      <c r="AS1281" s="1072"/>
      <c r="AT1281" s="1075" t="s">
        <v>181</v>
      </c>
      <c r="AU1281" s="1078" t="s">
        <v>845</v>
      </c>
      <c r="AV1281" s="330">
        <f>SQRT(($R1281-Infrastructure!J$3)^2+($S1281-Infrastructure!K$3)^2)</f>
        <v>11.27519401</v>
      </c>
      <c r="AW1281" s="331">
        <f>SQRT(($R1281-Infrastructure!J$4)^2+($S1281-Infrastructure!K$4)^2)</f>
        <v>1.303840481</v>
      </c>
      <c r="AX1281" s="331">
        <f>SQRT(($R1281-Infrastructure!J$5)^2+($S1281-Infrastructure!K$5)^2)</f>
        <v>12.66688596</v>
      </c>
      <c r="AY1281" s="331">
        <f>SQRT(($R1281-Infrastructure!J$6)^2+($S1281-Infrastructure!K$6)^2)</f>
        <v>19.63593644</v>
      </c>
      <c r="AZ1281" s="331">
        <f>SQRT(($R1281-Infrastructure!J$7)^2+($S1281-Infrastructure!K$7)^2)</f>
        <v>26.13446001</v>
      </c>
      <c r="BA1281" s="331">
        <f>SQRT(($R1281-Infrastructure!J$8)^2+($S1281-Infrastructure!K$8)^2)</f>
        <v>33.90530932</v>
      </c>
      <c r="BB1281" s="331">
        <f>SQRT(($R1281-Infrastructure!J$9)^2+($S1281-Infrastructure!K$9)^2)</f>
        <v>40.98487526</v>
      </c>
      <c r="BC1281" s="331">
        <f>SQRT(($R1281-Infrastructure!J$10)^2+($S1281-Infrastructure!K$10)^2)</f>
        <v>39.09334982</v>
      </c>
      <c r="BD1281" s="331">
        <f>SQRT(($R1281-Infrastructure!J$11)^2+($S1281-Infrastructure!K$11)^2)</f>
        <v>40.7962008</v>
      </c>
      <c r="BE1281" s="333">
        <f>SQRT(($R1281-Infrastructure!J$12)^2+($S1281-Infrastructure!K$12)^2)</f>
        <v>43.0010465</v>
      </c>
      <c r="BF1281" s="330">
        <f t="shared" si="161"/>
        <v>1.303840481</v>
      </c>
      <c r="BG1281" s="333">
        <f t="shared" si="162"/>
        <v>43.0010465</v>
      </c>
      <c r="BH1281" s="943">
        <v>36526.0</v>
      </c>
      <c r="BI1281" s="319"/>
      <c r="BJ1281" s="319"/>
      <c r="BK1281" s="319"/>
      <c r="BL1281" s="319"/>
      <c r="BM1281" s="955"/>
      <c r="BN1281" s="319"/>
      <c r="BO1281" s="319"/>
      <c r="BP1281" s="953"/>
      <c r="BQ1281" s="319"/>
      <c r="BR1281" s="324"/>
      <c r="BS1281" s="330">
        <f t="shared" si="169"/>
        <v>0</v>
      </c>
      <c r="BT1281" s="331">
        <f t="shared" si="170"/>
        <v>0</v>
      </c>
      <c r="BU1281" s="920"/>
      <c r="BV1281" s="903">
        <f t="shared" si="171"/>
        <v>-0.5017361111</v>
      </c>
      <c r="BW1281" s="907"/>
      <c r="BX1281" s="908"/>
      <c r="BY1281" s="331" t="b">
        <f t="shared" si="166"/>
        <v>0</v>
      </c>
      <c r="BZ1281" s="340"/>
      <c r="CA1281" s="316"/>
      <c r="CB1281" s="318"/>
      <c r="CC1281" s="318"/>
      <c r="CD1281" s="318"/>
      <c r="CE1281" s="318"/>
      <c r="CF1281" s="318"/>
      <c r="CG1281" s="318"/>
      <c r="CH1281" s="318"/>
      <c r="CI1281" s="318"/>
      <c r="CJ1281" s="463"/>
      <c r="CK1281" s="342"/>
      <c r="CL1281" s="333"/>
      <c r="CM1281" s="1079" t="s">
        <v>1926</v>
      </c>
      <c r="CN1281" s="1005"/>
      <c r="CO1281" s="1005"/>
      <c r="CP1281" s="1005"/>
    </row>
    <row r="1282">
      <c r="B1282" s="1029" t="s">
        <v>1916</v>
      </c>
      <c r="C1282" s="1002">
        <v>44594.0</v>
      </c>
      <c r="D1282" s="1030"/>
      <c r="E1282" s="1031" t="s">
        <v>1529</v>
      </c>
      <c r="F1282" s="1005" t="s">
        <v>1987</v>
      </c>
      <c r="G1282" s="1006">
        <v>0.5072916666666667</v>
      </c>
      <c r="H1282" s="1007">
        <v>0.5079861111111111</v>
      </c>
      <c r="I1282" s="1007"/>
      <c r="J1282" s="1028"/>
      <c r="K1282" s="1028">
        <v>0.5090277777777777</v>
      </c>
      <c r="L1282" s="323">
        <v>0.0010416666666666667</v>
      </c>
      <c r="M1282" s="319" t="s">
        <v>166</v>
      </c>
      <c r="N1282" s="1005" t="s">
        <v>187</v>
      </c>
      <c r="O1282" s="1068" t="s">
        <v>200</v>
      </c>
      <c r="P1282" s="1031" t="s">
        <v>256</v>
      </c>
      <c r="Q1282" s="318"/>
      <c r="R1282" s="1069">
        <v>1.0</v>
      </c>
      <c r="S1282" s="1004">
        <v>17.7</v>
      </c>
      <c r="T1282" s="1005">
        <v>0.7</v>
      </c>
      <c r="U1282" s="1070">
        <v>0.5</v>
      </c>
      <c r="V1282" s="1070"/>
      <c r="W1282" s="1070"/>
      <c r="X1282" s="1070"/>
      <c r="Y1282" s="1070"/>
      <c r="Z1282" s="1071" t="s">
        <v>1985</v>
      </c>
      <c r="AA1282" s="1071"/>
      <c r="AB1282" s="1071" t="s">
        <v>337</v>
      </c>
      <c r="AC1282" s="1072">
        <v>2.5</v>
      </c>
      <c r="AD1282" s="1031"/>
      <c r="AE1282" s="1031"/>
      <c r="AF1282" s="1031"/>
      <c r="AG1282" s="1031"/>
      <c r="AH1282" s="1031"/>
      <c r="AI1282" s="1031"/>
      <c r="AJ1282" s="1072"/>
      <c r="AK1282" s="1073"/>
      <c r="AL1282" s="1031"/>
      <c r="AM1282" s="1031"/>
      <c r="AN1282" s="1031"/>
      <c r="AO1282" s="1031"/>
      <c r="AP1282" s="1031"/>
      <c r="AQ1282" s="1031"/>
      <c r="AR1282" s="1031"/>
      <c r="AS1282" s="1072"/>
      <c r="AT1282" s="1075" t="s">
        <v>181</v>
      </c>
      <c r="AU1282" s="1078" t="s">
        <v>845</v>
      </c>
      <c r="AV1282" s="330">
        <f>SQRT(($R1282-Infrastructure!J$3)^2+($S1282-Infrastructure!K$3)^2)</f>
        <v>11.27519401</v>
      </c>
      <c r="AW1282" s="331">
        <f>SQRT(($R1282-Infrastructure!J$4)^2+($S1282-Infrastructure!K$4)^2)</f>
        <v>1.303840481</v>
      </c>
      <c r="AX1282" s="331">
        <f>SQRT(($R1282-Infrastructure!J$5)^2+($S1282-Infrastructure!K$5)^2)</f>
        <v>12.66688596</v>
      </c>
      <c r="AY1282" s="331">
        <f>SQRT(($R1282-Infrastructure!J$6)^2+($S1282-Infrastructure!K$6)^2)</f>
        <v>19.63593644</v>
      </c>
      <c r="AZ1282" s="331">
        <f>SQRT(($R1282-Infrastructure!J$7)^2+($S1282-Infrastructure!K$7)^2)</f>
        <v>26.13446001</v>
      </c>
      <c r="BA1282" s="331">
        <f>SQRT(($R1282-Infrastructure!J$8)^2+($S1282-Infrastructure!K$8)^2)</f>
        <v>33.90530932</v>
      </c>
      <c r="BB1282" s="331">
        <f>SQRT(($R1282-Infrastructure!J$9)^2+($S1282-Infrastructure!K$9)^2)</f>
        <v>40.98487526</v>
      </c>
      <c r="BC1282" s="331">
        <f>SQRT(($R1282-Infrastructure!J$10)^2+($S1282-Infrastructure!K$10)^2)</f>
        <v>39.09334982</v>
      </c>
      <c r="BD1282" s="331">
        <f>SQRT(($R1282-Infrastructure!J$11)^2+($S1282-Infrastructure!K$11)^2)</f>
        <v>40.7962008</v>
      </c>
      <c r="BE1282" s="333">
        <f>SQRT(($R1282-Infrastructure!J$12)^2+($S1282-Infrastructure!K$12)^2)</f>
        <v>43.0010465</v>
      </c>
      <c r="BF1282" s="330">
        <f t="shared" si="161"/>
        <v>1.303840481</v>
      </c>
      <c r="BG1282" s="333">
        <f t="shared" si="162"/>
        <v>43.0010465</v>
      </c>
      <c r="BH1282" s="943">
        <v>36526.0</v>
      </c>
      <c r="BI1282" s="319"/>
      <c r="BJ1282" s="319"/>
      <c r="BK1282" s="319"/>
      <c r="BL1282" s="319"/>
      <c r="BM1282" s="955"/>
      <c r="BN1282" s="319"/>
      <c r="BO1282" s="319"/>
      <c r="BP1282" s="953"/>
      <c r="BQ1282" s="319"/>
      <c r="BR1282" s="324"/>
      <c r="BS1282" s="330">
        <f t="shared" si="169"/>
        <v>0</v>
      </c>
      <c r="BT1282" s="331">
        <f t="shared" si="170"/>
        <v>0</v>
      </c>
      <c r="BU1282" s="920"/>
      <c r="BV1282" s="903">
        <f t="shared" si="171"/>
        <v>-0.5072916667</v>
      </c>
      <c r="BW1282" s="907"/>
      <c r="BX1282" s="908"/>
      <c r="BY1282" s="331" t="b">
        <f t="shared" si="166"/>
        <v>0</v>
      </c>
      <c r="BZ1282" s="340"/>
      <c r="CA1282" s="316"/>
      <c r="CB1282" s="318"/>
      <c r="CC1282" s="318"/>
      <c r="CD1282" s="318"/>
      <c r="CE1282" s="318"/>
      <c r="CF1282" s="318"/>
      <c r="CG1282" s="318"/>
      <c r="CH1282" s="318"/>
      <c r="CI1282" s="318"/>
      <c r="CJ1282" s="463"/>
      <c r="CK1282" s="342"/>
      <c r="CL1282" s="333"/>
      <c r="CM1282" s="1079" t="s">
        <v>1979</v>
      </c>
      <c r="CN1282" s="1005"/>
      <c r="CO1282" s="1005"/>
      <c r="CP1282" s="1005"/>
    </row>
    <row r="1283">
      <c r="B1283" s="1029" t="s">
        <v>1916</v>
      </c>
      <c r="C1283" s="1002">
        <v>44594.0</v>
      </c>
      <c r="D1283" s="1030"/>
      <c r="E1283" s="1031" t="s">
        <v>1546</v>
      </c>
      <c r="F1283" s="1005" t="s">
        <v>1988</v>
      </c>
      <c r="G1283" s="1006">
        <v>0.5916666666666667</v>
      </c>
      <c r="H1283" s="1007">
        <v>0.5919560185185185</v>
      </c>
      <c r="I1283" s="1007"/>
      <c r="J1283" s="1028"/>
      <c r="K1283" s="1028">
        <v>0.5965277777777778</v>
      </c>
      <c r="L1283" s="323">
        <v>0.004571759259259259</v>
      </c>
      <c r="M1283" s="319" t="s">
        <v>166</v>
      </c>
      <c r="N1283" s="1005" t="s">
        <v>187</v>
      </c>
      <c r="O1283" s="1068" t="s">
        <v>201</v>
      </c>
      <c r="P1283" s="1031" t="s">
        <v>256</v>
      </c>
      <c r="Q1283" s="318"/>
      <c r="R1283" s="1069">
        <v>2.0</v>
      </c>
      <c r="S1283" s="1004">
        <v>2.5</v>
      </c>
      <c r="T1283" s="1005">
        <v>0.7</v>
      </c>
      <c r="U1283" s="1070">
        <v>1.0</v>
      </c>
      <c r="V1283" s="1070"/>
      <c r="W1283" s="1070"/>
      <c r="X1283" s="1070"/>
      <c r="Y1283" s="1070"/>
      <c r="Z1283" s="1071" t="s">
        <v>339</v>
      </c>
      <c r="AA1283" s="1071"/>
      <c r="AB1283" s="1071" t="s">
        <v>337</v>
      </c>
      <c r="AC1283" s="1072">
        <v>2.5</v>
      </c>
      <c r="AD1283" s="1031"/>
      <c r="AE1283" s="1031"/>
      <c r="AF1283" s="1031"/>
      <c r="AG1283" s="1031"/>
      <c r="AH1283" s="1031"/>
      <c r="AI1283" s="1031"/>
      <c r="AJ1283" s="1072"/>
      <c r="AK1283" s="1073"/>
      <c r="AL1283" s="1031"/>
      <c r="AM1283" s="1031"/>
      <c r="AN1283" s="1031"/>
      <c r="AO1283" s="1031"/>
      <c r="AP1283" s="1031"/>
      <c r="AQ1283" s="1031"/>
      <c r="AR1283" s="1031"/>
      <c r="AS1283" s="1072"/>
      <c r="AT1283" s="1075" t="s">
        <v>182</v>
      </c>
      <c r="AU1283" s="1078" t="s">
        <v>845</v>
      </c>
      <c r="AV1283" s="330">
        <f>SQRT(($R1283-Infrastructure!J$3)^2+($S1283-Infrastructure!K$3)^2)</f>
        <v>26.5</v>
      </c>
      <c r="AW1283" s="331">
        <f>SQRT(($R1283-Infrastructure!J$4)^2+($S1283-Infrastructure!K$4)^2)</f>
        <v>15.47191003</v>
      </c>
      <c r="AX1283" s="331">
        <f>SQRT(($R1283-Infrastructure!J$5)^2+($S1283-Infrastructure!K$5)^2)</f>
        <v>3.471310992</v>
      </c>
      <c r="AY1283" s="331">
        <f>SQRT(($R1283-Infrastructure!J$6)^2+($S1283-Infrastructure!K$6)^2)</f>
        <v>8.393449827</v>
      </c>
      <c r="AZ1283" s="331">
        <f>SQRT(($R1283-Infrastructure!J$7)^2+($S1283-Infrastructure!K$7)^2)</f>
        <v>18.63035158</v>
      </c>
      <c r="BA1283" s="331">
        <f>SQRT(($R1283-Infrastructure!J$8)^2+($S1283-Infrastructure!K$8)^2)</f>
        <v>28.18598943</v>
      </c>
      <c r="BB1283" s="331">
        <f>SQRT(($R1283-Infrastructure!J$9)^2+($S1283-Infrastructure!K$9)^2)</f>
        <v>38.08884351</v>
      </c>
      <c r="BC1283" s="331">
        <f>SQRT(($R1283-Infrastructure!J$10)^2+($S1283-Infrastructure!K$10)^2)</f>
        <v>40.00312488</v>
      </c>
      <c r="BD1283" s="331">
        <f>SQRT(($R1283-Infrastructure!J$11)^2+($S1283-Infrastructure!K$11)^2)</f>
        <v>46.49182724</v>
      </c>
      <c r="BE1283" s="333">
        <f>SQRT(($R1283-Infrastructure!J$12)^2+($S1283-Infrastructure!K$12)^2)</f>
        <v>56.47344509</v>
      </c>
      <c r="BF1283" s="330">
        <f t="shared" si="161"/>
        <v>3.471310992</v>
      </c>
      <c r="BG1283" s="333">
        <f t="shared" si="162"/>
        <v>56.47344509</v>
      </c>
      <c r="BH1283" s="943">
        <v>36526.0</v>
      </c>
      <c r="BI1283" s="319" t="s">
        <v>846</v>
      </c>
      <c r="BJ1283" s="319" t="s">
        <v>846</v>
      </c>
      <c r="BK1283" s="319" t="s">
        <v>846</v>
      </c>
      <c r="BL1283" s="319" t="s">
        <v>846</v>
      </c>
      <c r="BM1283" s="955"/>
      <c r="BN1283" s="319" t="s">
        <v>846</v>
      </c>
      <c r="BO1283" s="319"/>
      <c r="BP1283" s="953"/>
      <c r="BQ1283" s="319"/>
      <c r="BR1283" s="324"/>
      <c r="BS1283" s="330">
        <f t="shared" si="169"/>
        <v>3.471310992</v>
      </c>
      <c r="BT1283" s="331">
        <f t="shared" si="170"/>
        <v>28.18598943</v>
      </c>
      <c r="BU1283" s="920">
        <v>0.5909375</v>
      </c>
      <c r="BV1283" s="903">
        <f t="shared" si="171"/>
        <v>-0.0007291666667</v>
      </c>
      <c r="BW1283" s="907">
        <v>5.6</v>
      </c>
      <c r="BX1283" s="908">
        <v>7.6</v>
      </c>
      <c r="BY1283" s="331">
        <f t="shared" si="166"/>
        <v>6.242595614</v>
      </c>
      <c r="BZ1283" s="340"/>
      <c r="CA1283" s="316"/>
      <c r="CB1283" s="318"/>
      <c r="CC1283" s="318"/>
      <c r="CD1283" s="318"/>
      <c r="CE1283" s="318"/>
      <c r="CF1283" s="318"/>
      <c r="CG1283" s="318"/>
      <c r="CH1283" s="318"/>
      <c r="CI1283" s="318"/>
      <c r="CJ1283" s="463"/>
      <c r="CK1283" s="342"/>
      <c r="CL1283" s="333"/>
      <c r="CM1283" s="1079" t="s">
        <v>1918</v>
      </c>
      <c r="CN1283" s="1005"/>
      <c r="CO1283" s="1005"/>
      <c r="CP1283" s="1005"/>
    </row>
    <row r="1284">
      <c r="B1284" s="1029" t="s">
        <v>1916</v>
      </c>
      <c r="C1284" s="1002">
        <v>44594.0</v>
      </c>
      <c r="D1284" s="1030"/>
      <c r="E1284" s="1031" t="s">
        <v>1548</v>
      </c>
      <c r="F1284" s="1005" t="s">
        <v>1989</v>
      </c>
      <c r="G1284" s="1006">
        <v>0.5965277777777778</v>
      </c>
      <c r="H1284" s="1007">
        <v>0.596875</v>
      </c>
      <c r="I1284" s="1007"/>
      <c r="J1284" s="1028"/>
      <c r="K1284" s="1028">
        <v>0.5982060185185185</v>
      </c>
      <c r="L1284" s="323">
        <v>0.0013310185185185185</v>
      </c>
      <c r="M1284" s="319" t="s">
        <v>166</v>
      </c>
      <c r="N1284" s="1005" t="s">
        <v>187</v>
      </c>
      <c r="O1284" s="1068" t="s">
        <v>201</v>
      </c>
      <c r="P1284" s="1031" t="s">
        <v>256</v>
      </c>
      <c r="Q1284" s="318"/>
      <c r="R1284" s="1069">
        <v>2.0</v>
      </c>
      <c r="S1284" s="1004">
        <v>2.5</v>
      </c>
      <c r="T1284" s="1005">
        <v>0.7</v>
      </c>
      <c r="U1284" s="1070">
        <v>0.5</v>
      </c>
      <c r="V1284" s="1070"/>
      <c r="W1284" s="1070"/>
      <c r="X1284" s="1070"/>
      <c r="Y1284" s="1070"/>
      <c r="Z1284" s="1071" t="s">
        <v>339</v>
      </c>
      <c r="AA1284" s="1071"/>
      <c r="AB1284" s="1071" t="s">
        <v>337</v>
      </c>
      <c r="AC1284" s="1072">
        <v>2.5</v>
      </c>
      <c r="AD1284" s="1031"/>
      <c r="AE1284" s="1031"/>
      <c r="AF1284" s="1031"/>
      <c r="AG1284" s="1031"/>
      <c r="AH1284" s="1031"/>
      <c r="AI1284" s="1031"/>
      <c r="AJ1284" s="1072"/>
      <c r="AK1284" s="1073"/>
      <c r="AL1284" s="1031"/>
      <c r="AM1284" s="1031"/>
      <c r="AN1284" s="1031"/>
      <c r="AO1284" s="1031"/>
      <c r="AP1284" s="1031"/>
      <c r="AQ1284" s="1031"/>
      <c r="AR1284" s="1031"/>
      <c r="AS1284" s="1072"/>
      <c r="AT1284" s="1075" t="s">
        <v>181</v>
      </c>
      <c r="AU1284" s="1078" t="s">
        <v>845</v>
      </c>
      <c r="AV1284" s="330">
        <f>SQRT(($R1284-Infrastructure!J$3)^2+($S1284-Infrastructure!K$3)^2)</f>
        <v>26.5</v>
      </c>
      <c r="AW1284" s="331">
        <f>SQRT(($R1284-Infrastructure!J$4)^2+($S1284-Infrastructure!K$4)^2)</f>
        <v>15.47191003</v>
      </c>
      <c r="AX1284" s="331">
        <f>SQRT(($R1284-Infrastructure!J$5)^2+($S1284-Infrastructure!K$5)^2)</f>
        <v>3.471310992</v>
      </c>
      <c r="AY1284" s="331">
        <f>SQRT(($R1284-Infrastructure!J$6)^2+($S1284-Infrastructure!K$6)^2)</f>
        <v>8.393449827</v>
      </c>
      <c r="AZ1284" s="331">
        <f>SQRT(($R1284-Infrastructure!J$7)^2+($S1284-Infrastructure!K$7)^2)</f>
        <v>18.63035158</v>
      </c>
      <c r="BA1284" s="331">
        <f>SQRT(($R1284-Infrastructure!J$8)^2+($S1284-Infrastructure!K$8)^2)</f>
        <v>28.18598943</v>
      </c>
      <c r="BB1284" s="331">
        <f>SQRT(($R1284-Infrastructure!J$9)^2+($S1284-Infrastructure!K$9)^2)</f>
        <v>38.08884351</v>
      </c>
      <c r="BC1284" s="331">
        <f>SQRT(($R1284-Infrastructure!J$10)^2+($S1284-Infrastructure!K$10)^2)</f>
        <v>40.00312488</v>
      </c>
      <c r="BD1284" s="331">
        <f>SQRT(($R1284-Infrastructure!J$11)^2+($S1284-Infrastructure!K$11)^2)</f>
        <v>46.49182724</v>
      </c>
      <c r="BE1284" s="333">
        <f>SQRT(($R1284-Infrastructure!J$12)^2+($S1284-Infrastructure!K$12)^2)</f>
        <v>56.47344509</v>
      </c>
      <c r="BF1284" s="330">
        <f t="shared" si="161"/>
        <v>3.471310992</v>
      </c>
      <c r="BG1284" s="333">
        <f t="shared" si="162"/>
        <v>56.47344509</v>
      </c>
      <c r="BH1284" s="943">
        <v>36526.0</v>
      </c>
      <c r="BI1284" s="319"/>
      <c r="BJ1284" s="319"/>
      <c r="BK1284" s="319"/>
      <c r="BL1284" s="319"/>
      <c r="BM1284" s="955"/>
      <c r="BN1284" s="319"/>
      <c r="BO1284" s="319"/>
      <c r="BP1284" s="953"/>
      <c r="BQ1284" s="319"/>
      <c r="BR1284" s="324"/>
      <c r="BS1284" s="330">
        <f t="shared" si="169"/>
        <v>0</v>
      </c>
      <c r="BT1284" s="331">
        <f t="shared" si="170"/>
        <v>0</v>
      </c>
      <c r="BU1284" s="920"/>
      <c r="BV1284" s="903">
        <f t="shared" si="171"/>
        <v>-0.5965277778</v>
      </c>
      <c r="BW1284" s="907"/>
      <c r="BX1284" s="908"/>
      <c r="BY1284" s="331" t="b">
        <f t="shared" si="166"/>
        <v>0</v>
      </c>
      <c r="BZ1284" s="340"/>
      <c r="CA1284" s="316"/>
      <c r="CB1284" s="318"/>
      <c r="CC1284" s="318"/>
      <c r="CD1284" s="318"/>
      <c r="CE1284" s="318"/>
      <c r="CF1284" s="318"/>
      <c r="CG1284" s="318"/>
      <c r="CH1284" s="318"/>
      <c r="CI1284" s="318"/>
      <c r="CJ1284" s="463"/>
      <c r="CK1284" s="342"/>
      <c r="CL1284" s="333"/>
      <c r="CM1284" s="1079" t="s">
        <v>1918</v>
      </c>
      <c r="CN1284" s="1005"/>
      <c r="CO1284" s="1005"/>
      <c r="CP1284" s="1005"/>
    </row>
    <row r="1285">
      <c r="B1285" s="1029" t="s">
        <v>1916</v>
      </c>
      <c r="C1285" s="1002">
        <v>44594.0</v>
      </c>
      <c r="D1285" s="1030"/>
      <c r="E1285" s="1031">
        <v>4.0</v>
      </c>
      <c r="F1285" s="1005" t="s">
        <v>1990</v>
      </c>
      <c r="G1285" s="1006">
        <v>0.5988425925925925</v>
      </c>
      <c r="H1285" s="1007">
        <v>0.5991898148148148</v>
      </c>
      <c r="I1285" s="1007"/>
      <c r="J1285" s="1028"/>
      <c r="K1285" s="1028">
        <v>0.6038773148148148</v>
      </c>
      <c r="L1285" s="323">
        <v>0.0046875</v>
      </c>
      <c r="M1285" s="319" t="s">
        <v>166</v>
      </c>
      <c r="N1285" s="1005" t="s">
        <v>187</v>
      </c>
      <c r="O1285" s="1068" t="s">
        <v>198</v>
      </c>
      <c r="P1285" s="1031" t="s">
        <v>213</v>
      </c>
      <c r="Q1285" s="318"/>
      <c r="R1285" s="1069">
        <v>10.7</v>
      </c>
      <c r="S1285" s="1004">
        <v>10.9</v>
      </c>
      <c r="T1285" s="1005">
        <v>3.0</v>
      </c>
      <c r="U1285" s="1070">
        <v>3.0</v>
      </c>
      <c r="V1285" s="1070"/>
      <c r="W1285" s="1070"/>
      <c r="X1285" s="1070"/>
      <c r="Y1285" s="1070"/>
      <c r="Z1285" s="1071" t="s">
        <v>343</v>
      </c>
      <c r="AA1285" s="1071"/>
      <c r="AB1285" s="1071" t="s">
        <v>384</v>
      </c>
      <c r="AC1285" s="1072">
        <v>6.0</v>
      </c>
      <c r="AD1285" s="1031"/>
      <c r="AE1285" s="1031"/>
      <c r="AF1285" s="1031"/>
      <c r="AG1285" s="1031"/>
      <c r="AH1285" s="1031"/>
      <c r="AI1285" s="1031"/>
      <c r="AJ1285" s="1072"/>
      <c r="AK1285" s="1073"/>
      <c r="AL1285" s="1031"/>
      <c r="AM1285" s="1031"/>
      <c r="AN1285" s="1031"/>
      <c r="AO1285" s="1031"/>
      <c r="AP1285" s="1031"/>
      <c r="AQ1285" s="1031"/>
      <c r="AR1285" s="1031"/>
      <c r="AS1285" s="1072"/>
      <c r="AT1285" s="1075" t="s">
        <v>182</v>
      </c>
      <c r="AU1285" s="1078" t="s">
        <v>845</v>
      </c>
      <c r="AV1285" s="330">
        <f>SQRT(($R1285-Infrastructure!J$3)^2+($S1285-Infrastructure!K$3)^2)</f>
        <v>21.09502311</v>
      </c>
      <c r="AW1285" s="331">
        <f>SQRT(($R1285-Infrastructure!J$4)^2+($S1285-Infrastructure!K$4)^2)</f>
        <v>12.98499134</v>
      </c>
      <c r="AX1285" s="331">
        <f>SQRT(($R1285-Infrastructure!J$5)^2+($S1285-Infrastructure!K$5)^2)</f>
        <v>12.43543325</v>
      </c>
      <c r="AY1285" s="331">
        <f>SQRT(($R1285-Infrastructure!J$6)^2+($S1285-Infrastructure!K$6)^2)</f>
        <v>10.61696755</v>
      </c>
      <c r="AZ1285" s="331">
        <f>SQRT(($R1285-Infrastructure!J$7)^2+($S1285-Infrastructure!K$7)^2)</f>
        <v>14.43606595</v>
      </c>
      <c r="BA1285" s="331">
        <f>SQRT(($R1285-Infrastructure!J$8)^2+($S1285-Infrastructure!K$8)^2)</f>
        <v>22.10701246</v>
      </c>
      <c r="BB1285" s="331">
        <f>SQRT(($R1285-Infrastructure!J$9)^2+($S1285-Infrastructure!K$9)^2)</f>
        <v>29.86854533</v>
      </c>
      <c r="BC1285" s="331">
        <f>SQRT(($R1285-Infrastructure!J$10)^2+($S1285-Infrastructure!K$10)^2)</f>
        <v>29.58546941</v>
      </c>
      <c r="BD1285" s="331">
        <f>SQRT(($R1285-Infrastructure!J$11)^2+($S1285-Infrastructure!K$11)^2)</f>
        <v>34.61011413</v>
      </c>
      <c r="BE1285" s="333">
        <f>SQRT(($R1285-Infrastructure!J$12)^2+($S1285-Infrastructure!K$12)^2)</f>
        <v>45.8889965</v>
      </c>
      <c r="BF1285" s="330">
        <f t="shared" si="161"/>
        <v>10.61696755</v>
      </c>
      <c r="BG1285" s="333">
        <f t="shared" si="162"/>
        <v>45.8889965</v>
      </c>
      <c r="BH1285" s="943">
        <v>36526.0</v>
      </c>
      <c r="BI1285" s="319"/>
      <c r="BJ1285" s="319"/>
      <c r="BK1285" s="319"/>
      <c r="BL1285" s="319"/>
      <c r="BM1285" s="955"/>
      <c r="BN1285" s="319"/>
      <c r="BO1285" s="319"/>
      <c r="BP1285" s="953"/>
      <c r="BQ1285" s="319"/>
      <c r="BR1285" s="324"/>
      <c r="BS1285" s="330">
        <f t="shared" si="169"/>
        <v>0</v>
      </c>
      <c r="BT1285" s="331">
        <f t="shared" si="170"/>
        <v>0</v>
      </c>
      <c r="BU1285" s="920"/>
      <c r="BV1285" s="903">
        <f t="shared" si="171"/>
        <v>-0.5988425926</v>
      </c>
      <c r="BW1285" s="907"/>
      <c r="BX1285" s="908"/>
      <c r="BY1285" s="331" t="b">
        <f t="shared" si="166"/>
        <v>0</v>
      </c>
      <c r="BZ1285" s="340"/>
      <c r="CA1285" s="316"/>
      <c r="CB1285" s="318"/>
      <c r="CC1285" s="318"/>
      <c r="CD1285" s="318"/>
      <c r="CE1285" s="318"/>
      <c r="CF1285" s="318"/>
      <c r="CG1285" s="318"/>
      <c r="CH1285" s="318"/>
      <c r="CI1285" s="318"/>
      <c r="CJ1285" s="463"/>
      <c r="CK1285" s="342"/>
      <c r="CL1285" s="333"/>
      <c r="CM1285" s="1079" t="s">
        <v>1926</v>
      </c>
      <c r="CN1285" s="1005"/>
      <c r="CO1285" s="1005"/>
      <c r="CP1285" s="1005"/>
    </row>
    <row r="1286">
      <c r="B1286" s="1029" t="s">
        <v>1916</v>
      </c>
      <c r="C1286" s="1002">
        <v>44594.0</v>
      </c>
      <c r="D1286" s="1030"/>
      <c r="E1286" s="1031" t="s">
        <v>1470</v>
      </c>
      <c r="F1286" s="1005" t="s">
        <v>1991</v>
      </c>
      <c r="G1286" s="1006">
        <v>0.6067708333333334</v>
      </c>
      <c r="H1286" s="1007">
        <v>0.6072916666666667</v>
      </c>
      <c r="I1286" s="1007"/>
      <c r="J1286" s="1028"/>
      <c r="K1286" s="1028">
        <v>0.6079861111111111</v>
      </c>
      <c r="L1286" s="323">
        <v>6.944444444444445E-4</v>
      </c>
      <c r="M1286" s="319" t="s">
        <v>166</v>
      </c>
      <c r="N1286" s="1005" t="s">
        <v>188</v>
      </c>
      <c r="O1286" s="1068" t="s">
        <v>196</v>
      </c>
      <c r="P1286" s="1031" t="s">
        <v>224</v>
      </c>
      <c r="Q1286" s="318"/>
      <c r="R1286" s="1069">
        <v>21.7</v>
      </c>
      <c r="S1286" s="1004">
        <v>39.5</v>
      </c>
      <c r="T1286" s="1005">
        <v>1.26</v>
      </c>
      <c r="U1286" s="1070">
        <v>20.0</v>
      </c>
      <c r="V1286" s="1070"/>
      <c r="W1286" s="1070"/>
      <c r="X1286" s="1070"/>
      <c r="Y1286" s="1070"/>
      <c r="Z1286" s="1071" t="s">
        <v>387</v>
      </c>
      <c r="AA1286" s="1071"/>
      <c r="AB1286" s="1071" t="s">
        <v>416</v>
      </c>
      <c r="AC1286" s="1072">
        <v>52.5</v>
      </c>
      <c r="AD1286" s="1031"/>
      <c r="AE1286" s="1031"/>
      <c r="AF1286" s="1031"/>
      <c r="AG1286" s="1031"/>
      <c r="AH1286" s="1031"/>
      <c r="AI1286" s="1031"/>
      <c r="AJ1286" s="1072"/>
      <c r="AK1286" s="1073"/>
      <c r="AL1286" s="1031"/>
      <c r="AM1286" s="1031"/>
      <c r="AN1286" s="1031"/>
      <c r="AO1286" s="1031"/>
      <c r="AP1286" s="1031"/>
      <c r="AQ1286" s="1031"/>
      <c r="AR1286" s="1031"/>
      <c r="AS1286" s="1072"/>
      <c r="AT1286" s="1075" t="s">
        <v>183</v>
      </c>
      <c r="AU1286" s="1078" t="s">
        <v>845</v>
      </c>
      <c r="AV1286" s="330">
        <f>SQRT(($R1286-Infrastructure!J$3)^2+($S1286-Infrastructure!K$3)^2)</f>
        <v>24.42048321</v>
      </c>
      <c r="AW1286" s="331">
        <f>SQRT(($R1286-Infrastructure!J$4)^2+($S1286-Infrastructure!K$4)^2)</f>
        <v>30.90129447</v>
      </c>
      <c r="AX1286" s="331">
        <f>SQRT(($R1286-Infrastructure!J$5)^2+($S1286-Infrastructure!K$5)^2)</f>
        <v>40.83331973</v>
      </c>
      <c r="AY1286" s="331">
        <f>SQRT(($R1286-Infrastructure!J$6)^2+($S1286-Infrastructure!K$6)^2)</f>
        <v>40.88031311</v>
      </c>
      <c r="AZ1286" s="331">
        <f>SQRT(($R1286-Infrastructure!J$7)^2+($S1286-Infrastructure!K$7)^2)</f>
        <v>39.21836305</v>
      </c>
      <c r="BA1286" s="331">
        <f>SQRT(($R1286-Infrastructure!J$8)^2+($S1286-Infrastructure!K$8)^2)</f>
        <v>40.08989898</v>
      </c>
      <c r="BB1286" s="331">
        <f>SQRT(($R1286-Infrastructure!J$9)^2+($S1286-Infrastructure!K$9)^2)</f>
        <v>38.96472764</v>
      </c>
      <c r="BC1286" s="331">
        <f>SQRT(($R1286-Infrastructure!J$10)^2+($S1286-Infrastructure!K$10)^2)</f>
        <v>30.58005886</v>
      </c>
      <c r="BD1286" s="331">
        <f>SQRT(($R1286-Infrastructure!J$11)^2+($S1286-Infrastructure!K$11)^2)</f>
        <v>21.27204739</v>
      </c>
      <c r="BE1286" s="333">
        <f>SQRT(($R1286-Infrastructure!J$12)^2+($S1286-Infrastructure!K$12)^2)</f>
        <v>16.00124995</v>
      </c>
      <c r="BF1286" s="330">
        <f t="shared" si="161"/>
        <v>16.00124995</v>
      </c>
      <c r="BG1286" s="333">
        <f t="shared" si="162"/>
        <v>40.88031311</v>
      </c>
      <c r="BH1286" s="943">
        <v>36526.0</v>
      </c>
      <c r="BI1286" s="319" t="s">
        <v>846</v>
      </c>
      <c r="BJ1286" s="319" t="s">
        <v>846</v>
      </c>
      <c r="BK1286" s="319"/>
      <c r="BL1286" s="319"/>
      <c r="BM1286" s="955"/>
      <c r="BN1286" s="319"/>
      <c r="BO1286" s="319"/>
      <c r="BP1286" s="953"/>
      <c r="BQ1286" s="319"/>
      <c r="BR1286" s="324" t="s">
        <v>846</v>
      </c>
      <c r="BS1286" s="330">
        <f t="shared" si="169"/>
        <v>16.00124995</v>
      </c>
      <c r="BT1286" s="331">
        <f t="shared" si="170"/>
        <v>30.90129447</v>
      </c>
      <c r="BU1286" s="920">
        <v>0.606099537037037</v>
      </c>
      <c r="BV1286" s="903">
        <f t="shared" si="171"/>
        <v>-0.0006712962963</v>
      </c>
      <c r="BW1286" s="907">
        <v>8.0</v>
      </c>
      <c r="BX1286" s="908">
        <v>28.9</v>
      </c>
      <c r="BY1286" s="331">
        <f t="shared" si="166"/>
        <v>17.32195139</v>
      </c>
      <c r="BZ1286" s="340"/>
      <c r="CA1286" s="316"/>
      <c r="CB1286" s="318"/>
      <c r="CC1286" s="318"/>
      <c r="CD1286" s="318"/>
      <c r="CE1286" s="318"/>
      <c r="CF1286" s="318"/>
      <c r="CG1286" s="318"/>
      <c r="CH1286" s="318"/>
      <c r="CI1286" s="318"/>
      <c r="CJ1286" s="463"/>
      <c r="CK1286" s="342"/>
      <c r="CL1286" s="333"/>
      <c r="CM1286" s="1079"/>
      <c r="CN1286" s="1005"/>
      <c r="CO1286" s="1005"/>
      <c r="CP1286" s="1005"/>
    </row>
    <row r="1287">
      <c r="B1287" s="1029" t="s">
        <v>1916</v>
      </c>
      <c r="C1287" s="1002">
        <v>44594.0</v>
      </c>
      <c r="D1287" s="1030"/>
      <c r="E1287" s="1031" t="s">
        <v>1472</v>
      </c>
      <c r="F1287" s="1005" t="s">
        <v>1992</v>
      </c>
      <c r="G1287" s="1006">
        <v>0.6094907407407407</v>
      </c>
      <c r="H1287" s="1007">
        <v>0.6097222222222223</v>
      </c>
      <c r="I1287" s="1007"/>
      <c r="J1287" s="1028"/>
      <c r="K1287" s="1028">
        <v>0.6103009259259259</v>
      </c>
      <c r="L1287" s="323">
        <v>5.787037037037037E-4</v>
      </c>
      <c r="M1287" s="319" t="s">
        <v>166</v>
      </c>
      <c r="N1287" s="1005" t="s">
        <v>188</v>
      </c>
      <c r="O1287" s="1068" t="s">
        <v>196</v>
      </c>
      <c r="P1287" s="1031" t="s">
        <v>224</v>
      </c>
      <c r="Q1287" s="318"/>
      <c r="R1287" s="1069">
        <v>21.7</v>
      </c>
      <c r="S1287" s="1004">
        <v>39.5</v>
      </c>
      <c r="T1287" s="1005">
        <v>1.26</v>
      </c>
      <c r="U1287" s="1070">
        <v>30.0</v>
      </c>
      <c r="V1287" s="1070"/>
      <c r="W1287" s="1070"/>
      <c r="X1287" s="1070"/>
      <c r="Y1287" s="1070"/>
      <c r="Z1287" s="1071" t="s">
        <v>387</v>
      </c>
      <c r="AA1287" s="1071"/>
      <c r="AB1287" s="1071" t="s">
        <v>416</v>
      </c>
      <c r="AC1287" s="1072">
        <v>52.5</v>
      </c>
      <c r="AD1287" s="1031"/>
      <c r="AE1287" s="1031"/>
      <c r="AF1287" s="1031"/>
      <c r="AG1287" s="1031"/>
      <c r="AH1287" s="1031"/>
      <c r="AI1287" s="1031"/>
      <c r="AJ1287" s="1072"/>
      <c r="AK1287" s="1073"/>
      <c r="AL1287" s="1031"/>
      <c r="AM1287" s="1031"/>
      <c r="AN1287" s="1031"/>
      <c r="AO1287" s="1031"/>
      <c r="AP1287" s="1031"/>
      <c r="AQ1287" s="1031"/>
      <c r="AR1287" s="1031"/>
      <c r="AS1287" s="1072"/>
      <c r="AT1287" s="1075" t="s">
        <v>183</v>
      </c>
      <c r="AU1287" s="1078" t="s">
        <v>845</v>
      </c>
      <c r="AV1287" s="330">
        <f>SQRT(($R1287-Infrastructure!J$3)^2+($S1287-Infrastructure!K$3)^2)</f>
        <v>24.42048321</v>
      </c>
      <c r="AW1287" s="331">
        <f>SQRT(($R1287-Infrastructure!J$4)^2+($S1287-Infrastructure!K$4)^2)</f>
        <v>30.90129447</v>
      </c>
      <c r="AX1287" s="331">
        <f>SQRT(($R1287-Infrastructure!J$5)^2+($S1287-Infrastructure!K$5)^2)</f>
        <v>40.83331973</v>
      </c>
      <c r="AY1287" s="331">
        <f>SQRT(($R1287-Infrastructure!J$6)^2+($S1287-Infrastructure!K$6)^2)</f>
        <v>40.88031311</v>
      </c>
      <c r="AZ1287" s="331">
        <f>SQRT(($R1287-Infrastructure!J$7)^2+($S1287-Infrastructure!K$7)^2)</f>
        <v>39.21836305</v>
      </c>
      <c r="BA1287" s="331">
        <f>SQRT(($R1287-Infrastructure!J$8)^2+($S1287-Infrastructure!K$8)^2)</f>
        <v>40.08989898</v>
      </c>
      <c r="BB1287" s="331">
        <f>SQRT(($R1287-Infrastructure!J$9)^2+($S1287-Infrastructure!K$9)^2)</f>
        <v>38.96472764</v>
      </c>
      <c r="BC1287" s="331">
        <f>SQRT(($R1287-Infrastructure!J$10)^2+($S1287-Infrastructure!K$10)^2)</f>
        <v>30.58005886</v>
      </c>
      <c r="BD1287" s="331">
        <f>SQRT(($R1287-Infrastructure!J$11)^2+($S1287-Infrastructure!K$11)^2)</f>
        <v>21.27204739</v>
      </c>
      <c r="BE1287" s="333">
        <f>SQRT(($R1287-Infrastructure!J$12)^2+($S1287-Infrastructure!K$12)^2)</f>
        <v>16.00124995</v>
      </c>
      <c r="BF1287" s="330">
        <f t="shared" si="161"/>
        <v>16.00124995</v>
      </c>
      <c r="BG1287" s="333">
        <f t="shared" si="162"/>
        <v>40.88031311</v>
      </c>
      <c r="BH1287" s="943">
        <v>36526.0</v>
      </c>
      <c r="BI1287" s="319" t="s">
        <v>846</v>
      </c>
      <c r="BJ1287" s="319" t="s">
        <v>846</v>
      </c>
      <c r="BK1287" s="319"/>
      <c r="BL1287" s="319"/>
      <c r="BM1287" s="955"/>
      <c r="BN1287" s="319"/>
      <c r="BO1287" s="319"/>
      <c r="BP1287" s="953" t="s">
        <v>846</v>
      </c>
      <c r="BQ1287" s="319" t="s">
        <v>846</v>
      </c>
      <c r="BR1287" s="324" t="s">
        <v>846</v>
      </c>
      <c r="BS1287" s="330">
        <f t="shared" si="169"/>
        <v>16.00124995</v>
      </c>
      <c r="BT1287" s="331">
        <f t="shared" si="170"/>
        <v>30.90129447</v>
      </c>
      <c r="BU1287" s="920">
        <v>0.6087962962962963</v>
      </c>
      <c r="BV1287" s="903">
        <f t="shared" si="171"/>
        <v>-0.0006944444444</v>
      </c>
      <c r="BW1287" s="907">
        <v>17.8</v>
      </c>
      <c r="BX1287" s="908">
        <v>30.6</v>
      </c>
      <c r="BY1287" s="331">
        <f t="shared" si="166"/>
        <v>9.71699542</v>
      </c>
      <c r="BZ1287" s="340"/>
      <c r="CA1287" s="316"/>
      <c r="CB1287" s="318"/>
      <c r="CC1287" s="318"/>
      <c r="CD1287" s="318"/>
      <c r="CE1287" s="318"/>
      <c r="CF1287" s="318"/>
      <c r="CG1287" s="318"/>
      <c r="CH1287" s="318"/>
      <c r="CI1287" s="318"/>
      <c r="CJ1287" s="463"/>
      <c r="CK1287" s="342"/>
      <c r="CL1287" s="333"/>
      <c r="CM1287" s="1079"/>
      <c r="CN1287" s="1005"/>
      <c r="CO1287" s="1005"/>
      <c r="CP1287" s="1005"/>
    </row>
    <row r="1288">
      <c r="B1288" s="1029" t="s">
        <v>1916</v>
      </c>
      <c r="C1288" s="1002">
        <v>44594.0</v>
      </c>
      <c r="D1288" s="1030"/>
      <c r="E1288" s="1031" t="s">
        <v>1844</v>
      </c>
      <c r="F1288" s="1005" t="s">
        <v>1993</v>
      </c>
      <c r="G1288" s="1006">
        <v>0.6136574074074074</v>
      </c>
      <c r="H1288" s="1007">
        <v>0.6140625</v>
      </c>
      <c r="I1288" s="1007"/>
      <c r="J1288" s="1028"/>
      <c r="K1288" s="1028">
        <v>0.6157986111111111</v>
      </c>
      <c r="L1288" s="323">
        <v>0.001736111111111111</v>
      </c>
      <c r="M1288" s="319" t="s">
        <v>166</v>
      </c>
      <c r="N1288" s="1005" t="s">
        <v>188</v>
      </c>
      <c r="O1288" s="1068" t="s">
        <v>378</v>
      </c>
      <c r="P1288" s="1031" t="s">
        <v>225</v>
      </c>
      <c r="Q1288" s="318"/>
      <c r="R1288" s="1069">
        <v>22.7</v>
      </c>
      <c r="S1288" s="1004">
        <v>39.7</v>
      </c>
      <c r="T1288" s="1005">
        <v>1.02</v>
      </c>
      <c r="U1288" s="1070">
        <v>10.0</v>
      </c>
      <c r="V1288" s="1070"/>
      <c r="W1288" s="1070"/>
      <c r="X1288" s="1070"/>
      <c r="Y1288" s="1070"/>
      <c r="Z1288" s="1071" t="s">
        <v>1140</v>
      </c>
      <c r="AA1288" s="1071"/>
      <c r="AB1288" s="1071" t="s">
        <v>349</v>
      </c>
      <c r="AC1288" s="1072">
        <v>5.0</v>
      </c>
      <c r="AD1288" s="1031"/>
      <c r="AE1288" s="1031"/>
      <c r="AF1288" s="1031"/>
      <c r="AG1288" s="1031"/>
      <c r="AH1288" s="1031"/>
      <c r="AI1288" s="1031"/>
      <c r="AJ1288" s="1072"/>
      <c r="AK1288" s="1073"/>
      <c r="AL1288" s="1031"/>
      <c r="AM1288" s="1031"/>
      <c r="AN1288" s="1031"/>
      <c r="AO1288" s="1031"/>
      <c r="AP1288" s="1031"/>
      <c r="AQ1288" s="1031"/>
      <c r="AR1288" s="1031"/>
      <c r="AS1288" s="1072"/>
      <c r="AT1288" s="1075" t="s">
        <v>183</v>
      </c>
      <c r="AU1288" s="1078" t="s">
        <v>845</v>
      </c>
      <c r="AV1288" s="330">
        <f>SQRT(($R1288-Infrastructure!J$3)^2+($S1288-Infrastructure!K$3)^2)</f>
        <v>25.40944706</v>
      </c>
      <c r="AW1288" s="331">
        <f>SQRT(($R1288-Infrastructure!J$4)^2+($S1288-Infrastructure!K$4)^2)</f>
        <v>31.75862088</v>
      </c>
      <c r="AX1288" s="331">
        <f>SQRT(($R1288-Infrastructure!J$5)^2+($S1288-Infrastructure!K$5)^2)</f>
        <v>41.54708173</v>
      </c>
      <c r="AY1288" s="331">
        <f>SQRT(($R1288-Infrastructure!J$6)^2+($S1288-Infrastructure!K$6)^2)</f>
        <v>41.36568626</v>
      </c>
      <c r="AZ1288" s="331">
        <f>SQRT(($R1288-Infrastructure!J$7)^2+($S1288-Infrastructure!K$7)^2)</f>
        <v>39.46137352</v>
      </c>
      <c r="BA1288" s="331">
        <f>SQRT(($R1288-Infrastructure!J$8)^2+($S1288-Infrastructure!K$8)^2)</f>
        <v>40.08890121</v>
      </c>
      <c r="BB1288" s="331">
        <f>SQRT(($R1288-Infrastructure!J$9)^2+($S1288-Infrastructure!K$9)^2)</f>
        <v>38.68397601</v>
      </c>
      <c r="BC1288" s="331">
        <f>SQRT(($R1288-Infrastructure!J$10)^2+($S1288-Infrastructure!K$10)^2)</f>
        <v>30.15592811</v>
      </c>
      <c r="BD1288" s="331">
        <f>SQRT(($R1288-Infrastructure!J$11)^2+($S1288-Infrastructure!K$11)^2)</f>
        <v>20.51194774</v>
      </c>
      <c r="BE1288" s="333">
        <f>SQRT(($R1288-Infrastructure!J$12)^2+($S1288-Infrastructure!K$12)^2)</f>
        <v>15.84550409</v>
      </c>
      <c r="BF1288" s="330">
        <f t="shared" si="161"/>
        <v>15.84550409</v>
      </c>
      <c r="BG1288" s="333">
        <f t="shared" si="162"/>
        <v>41.54708173</v>
      </c>
      <c r="BH1288" s="943">
        <v>36526.0</v>
      </c>
      <c r="BI1288" s="319" t="s">
        <v>846</v>
      </c>
      <c r="BJ1288" s="319" t="s">
        <v>846</v>
      </c>
      <c r="BK1288" s="319" t="s">
        <v>846</v>
      </c>
      <c r="BL1288" s="319" t="s">
        <v>846</v>
      </c>
      <c r="BM1288" s="955"/>
      <c r="BN1288" s="319" t="s">
        <v>846</v>
      </c>
      <c r="BO1288" s="319" t="s">
        <v>846</v>
      </c>
      <c r="BP1288" s="953" t="s">
        <v>846</v>
      </c>
      <c r="BQ1288" s="319" t="s">
        <v>846</v>
      </c>
      <c r="BR1288" s="324" t="s">
        <v>846</v>
      </c>
      <c r="BS1288" s="330">
        <f t="shared" si="169"/>
        <v>15.84550409</v>
      </c>
      <c r="BT1288" s="331">
        <f t="shared" si="170"/>
        <v>41.54708173</v>
      </c>
      <c r="BU1288" s="920">
        <v>0.6129282407407407</v>
      </c>
      <c r="BV1288" s="903">
        <f t="shared" si="171"/>
        <v>-0.0007291666667</v>
      </c>
      <c r="BW1288" s="907">
        <v>20.9</v>
      </c>
      <c r="BX1288" s="908">
        <v>18.0</v>
      </c>
      <c r="BY1288" s="331">
        <f t="shared" si="166"/>
        <v>21.7745264</v>
      </c>
      <c r="BZ1288" s="340"/>
      <c r="CA1288" s="316"/>
      <c r="CB1288" s="318"/>
      <c r="CC1288" s="318"/>
      <c r="CD1288" s="318"/>
      <c r="CE1288" s="318"/>
      <c r="CF1288" s="318"/>
      <c r="CG1288" s="318"/>
      <c r="CH1288" s="318"/>
      <c r="CI1288" s="318"/>
      <c r="CJ1288" s="463"/>
      <c r="CK1288" s="342"/>
      <c r="CL1288" s="333"/>
      <c r="CM1288" s="1079"/>
      <c r="CN1288" s="1005"/>
      <c r="CO1288" s="1005"/>
      <c r="CP1288" s="1005"/>
    </row>
    <row r="1289">
      <c r="B1289" s="1029" t="s">
        <v>1916</v>
      </c>
      <c r="C1289" s="1002">
        <v>44594.0</v>
      </c>
      <c r="D1289" s="1030"/>
      <c r="E1289" s="1031" t="s">
        <v>1865</v>
      </c>
      <c r="F1289" s="1005" t="s">
        <v>1994</v>
      </c>
      <c r="G1289" s="1006">
        <v>0.6192129629629629</v>
      </c>
      <c r="H1289" s="1007">
        <v>0.6196180555555556</v>
      </c>
      <c r="I1289" s="1007"/>
      <c r="J1289" s="1028"/>
      <c r="K1289" s="1028">
        <v>0.6225694444444444</v>
      </c>
      <c r="L1289" s="323">
        <v>0.002951388888888889</v>
      </c>
      <c r="M1289" s="319" t="s">
        <v>166</v>
      </c>
      <c r="N1289" s="1005" t="s">
        <v>188</v>
      </c>
      <c r="O1289" s="1068" t="s">
        <v>378</v>
      </c>
      <c r="P1289" s="1031" t="s">
        <v>225</v>
      </c>
      <c r="Q1289" s="318"/>
      <c r="R1289" s="1069">
        <v>22.7</v>
      </c>
      <c r="S1289" s="1004">
        <v>39.7</v>
      </c>
      <c r="T1289" s="1005">
        <v>1.02</v>
      </c>
      <c r="U1289" s="1070">
        <v>10.0</v>
      </c>
      <c r="V1289" s="1070"/>
      <c r="W1289" s="1070"/>
      <c r="X1289" s="1070"/>
      <c r="Y1289" s="1070"/>
      <c r="Z1289" s="1071" t="s">
        <v>1140</v>
      </c>
      <c r="AA1289" s="1071"/>
      <c r="AB1289" s="1071" t="s">
        <v>407</v>
      </c>
      <c r="AC1289" s="1072">
        <v>15.75</v>
      </c>
      <c r="AD1289" s="1031"/>
      <c r="AE1289" s="1031"/>
      <c r="AF1289" s="1031"/>
      <c r="AG1289" s="1031"/>
      <c r="AH1289" s="1031"/>
      <c r="AI1289" s="1031"/>
      <c r="AJ1289" s="1072"/>
      <c r="AK1289" s="1073"/>
      <c r="AL1289" s="1031"/>
      <c r="AM1289" s="1031"/>
      <c r="AN1289" s="1031"/>
      <c r="AO1289" s="1031"/>
      <c r="AP1289" s="1031"/>
      <c r="AQ1289" s="1031"/>
      <c r="AR1289" s="1031"/>
      <c r="AS1289" s="1072"/>
      <c r="AT1289" s="1075" t="s">
        <v>183</v>
      </c>
      <c r="AU1289" s="1078" t="s">
        <v>845</v>
      </c>
      <c r="AV1289" s="330">
        <f>SQRT(($R1289-Infrastructure!J$3)^2+($S1289-Infrastructure!K$3)^2)</f>
        <v>25.40944706</v>
      </c>
      <c r="AW1289" s="331">
        <f>SQRT(($R1289-Infrastructure!J$4)^2+($S1289-Infrastructure!K$4)^2)</f>
        <v>31.75862088</v>
      </c>
      <c r="AX1289" s="331">
        <f>SQRT(($R1289-Infrastructure!J$5)^2+($S1289-Infrastructure!K$5)^2)</f>
        <v>41.54708173</v>
      </c>
      <c r="AY1289" s="331">
        <f>SQRT(($R1289-Infrastructure!J$6)^2+($S1289-Infrastructure!K$6)^2)</f>
        <v>41.36568626</v>
      </c>
      <c r="AZ1289" s="331">
        <f>SQRT(($R1289-Infrastructure!J$7)^2+($S1289-Infrastructure!K$7)^2)</f>
        <v>39.46137352</v>
      </c>
      <c r="BA1289" s="331">
        <f>SQRT(($R1289-Infrastructure!J$8)^2+($S1289-Infrastructure!K$8)^2)</f>
        <v>40.08890121</v>
      </c>
      <c r="BB1289" s="331">
        <f>SQRT(($R1289-Infrastructure!J$9)^2+($S1289-Infrastructure!K$9)^2)</f>
        <v>38.68397601</v>
      </c>
      <c r="BC1289" s="331">
        <f>SQRT(($R1289-Infrastructure!J$10)^2+($S1289-Infrastructure!K$10)^2)</f>
        <v>30.15592811</v>
      </c>
      <c r="BD1289" s="331">
        <f>SQRT(($R1289-Infrastructure!J$11)^2+($S1289-Infrastructure!K$11)^2)</f>
        <v>20.51194774</v>
      </c>
      <c r="BE1289" s="333">
        <f>SQRT(($R1289-Infrastructure!J$12)^2+($S1289-Infrastructure!K$12)^2)</f>
        <v>15.84550409</v>
      </c>
      <c r="BF1289" s="330">
        <f t="shared" si="161"/>
        <v>15.84550409</v>
      </c>
      <c r="BG1289" s="333">
        <f t="shared" si="162"/>
        <v>41.54708173</v>
      </c>
      <c r="BH1289" s="943">
        <v>36526.0</v>
      </c>
      <c r="BI1289" s="319" t="s">
        <v>846</v>
      </c>
      <c r="BJ1289" s="319" t="s">
        <v>846</v>
      </c>
      <c r="BK1289" s="319" t="s">
        <v>846</v>
      </c>
      <c r="BL1289" s="319" t="s">
        <v>846</v>
      </c>
      <c r="BM1289" s="955"/>
      <c r="BN1289" s="319"/>
      <c r="BO1289" s="319"/>
      <c r="BP1289" s="953" t="s">
        <v>846</v>
      </c>
      <c r="BQ1289" s="319" t="s">
        <v>846</v>
      </c>
      <c r="BR1289" s="324" t="s">
        <v>846</v>
      </c>
      <c r="BS1289" s="330">
        <f t="shared" si="169"/>
        <v>15.84550409</v>
      </c>
      <c r="BT1289" s="331">
        <f t="shared" si="170"/>
        <v>41.54708173</v>
      </c>
      <c r="BU1289" s="920">
        <v>0.6184606481481482</v>
      </c>
      <c r="BV1289" s="903">
        <f t="shared" si="171"/>
        <v>-0.0007523148148</v>
      </c>
      <c r="BW1289" s="907">
        <v>20.6</v>
      </c>
      <c r="BX1289" s="908">
        <v>28.5</v>
      </c>
      <c r="BY1289" s="331">
        <f t="shared" si="166"/>
        <v>11.39517442</v>
      </c>
      <c r="BZ1289" s="340"/>
      <c r="CA1289" s="316"/>
      <c r="CB1289" s="318"/>
      <c r="CC1289" s="318"/>
      <c r="CD1289" s="318"/>
      <c r="CE1289" s="318"/>
      <c r="CF1289" s="318"/>
      <c r="CG1289" s="318"/>
      <c r="CH1289" s="318"/>
      <c r="CI1289" s="318"/>
      <c r="CJ1289" s="463"/>
      <c r="CK1289" s="342"/>
      <c r="CL1289" s="333"/>
      <c r="CM1289" s="1079"/>
      <c r="CN1289" s="1005"/>
      <c r="CO1289" s="1005"/>
      <c r="CP1289" s="1005"/>
    </row>
    <row r="1290">
      <c r="B1290" s="1029" t="s">
        <v>1916</v>
      </c>
      <c r="C1290" s="1002">
        <v>44594.0</v>
      </c>
      <c r="D1290" s="1030"/>
      <c r="E1290" s="1031" t="s">
        <v>1888</v>
      </c>
      <c r="F1290" s="1005" t="s">
        <v>1995</v>
      </c>
      <c r="G1290" s="1006">
        <v>0.6232060185185185</v>
      </c>
      <c r="H1290" s="1007">
        <v>0.6234375</v>
      </c>
      <c r="I1290" s="1007"/>
      <c r="J1290" s="1028"/>
      <c r="K1290" s="1028">
        <v>0.6253472222222223</v>
      </c>
      <c r="L1290" s="323">
        <v>0.0019097222222222222</v>
      </c>
      <c r="M1290" s="319" t="s">
        <v>166</v>
      </c>
      <c r="N1290" s="1005" t="s">
        <v>188</v>
      </c>
      <c r="O1290" s="1068" t="s">
        <v>378</v>
      </c>
      <c r="P1290" s="1031" t="s">
        <v>225</v>
      </c>
      <c r="Q1290" s="318"/>
      <c r="R1290" s="1069">
        <v>22.7</v>
      </c>
      <c r="S1290" s="1004">
        <v>39.7</v>
      </c>
      <c r="T1290" s="1005">
        <v>1.02</v>
      </c>
      <c r="U1290" s="1070">
        <v>5.0</v>
      </c>
      <c r="V1290" s="1070"/>
      <c r="W1290" s="1070"/>
      <c r="X1290" s="1070"/>
      <c r="Y1290" s="1070"/>
      <c r="Z1290" s="1071" t="s">
        <v>1140</v>
      </c>
      <c r="AA1290" s="1071"/>
      <c r="AB1290" s="1071" t="s">
        <v>407</v>
      </c>
      <c r="AC1290" s="1072">
        <v>15.75</v>
      </c>
      <c r="AD1290" s="1031"/>
      <c r="AE1290" s="1031"/>
      <c r="AF1290" s="1031"/>
      <c r="AG1290" s="1031"/>
      <c r="AH1290" s="1031"/>
      <c r="AI1290" s="1031"/>
      <c r="AJ1290" s="1072"/>
      <c r="AK1290" s="1073"/>
      <c r="AL1290" s="1031"/>
      <c r="AM1290" s="1031"/>
      <c r="AN1290" s="1031"/>
      <c r="AO1290" s="1031"/>
      <c r="AP1290" s="1031"/>
      <c r="AQ1290" s="1031"/>
      <c r="AR1290" s="1031"/>
      <c r="AS1290" s="1072"/>
      <c r="AT1290" s="1075" t="s">
        <v>182</v>
      </c>
      <c r="AU1290" s="1078" t="s">
        <v>845</v>
      </c>
      <c r="AV1290" s="330">
        <f>SQRT(($R1290-Infrastructure!J$3)^2+($S1290-Infrastructure!K$3)^2)</f>
        <v>25.40944706</v>
      </c>
      <c r="AW1290" s="331">
        <f>SQRT(($R1290-Infrastructure!J$4)^2+($S1290-Infrastructure!K$4)^2)</f>
        <v>31.75862088</v>
      </c>
      <c r="AX1290" s="331">
        <f>SQRT(($R1290-Infrastructure!J$5)^2+($S1290-Infrastructure!K$5)^2)</f>
        <v>41.54708173</v>
      </c>
      <c r="AY1290" s="331">
        <f>SQRT(($R1290-Infrastructure!J$6)^2+($S1290-Infrastructure!K$6)^2)</f>
        <v>41.36568626</v>
      </c>
      <c r="AZ1290" s="331">
        <f>SQRT(($R1290-Infrastructure!J$7)^2+($S1290-Infrastructure!K$7)^2)</f>
        <v>39.46137352</v>
      </c>
      <c r="BA1290" s="331">
        <f>SQRT(($R1290-Infrastructure!J$8)^2+($S1290-Infrastructure!K$8)^2)</f>
        <v>40.08890121</v>
      </c>
      <c r="BB1290" s="331">
        <f>SQRT(($R1290-Infrastructure!J$9)^2+($S1290-Infrastructure!K$9)^2)</f>
        <v>38.68397601</v>
      </c>
      <c r="BC1290" s="331">
        <f>SQRT(($R1290-Infrastructure!J$10)^2+($S1290-Infrastructure!K$10)^2)</f>
        <v>30.15592811</v>
      </c>
      <c r="BD1290" s="331">
        <f>SQRT(($R1290-Infrastructure!J$11)^2+($S1290-Infrastructure!K$11)^2)</f>
        <v>20.51194774</v>
      </c>
      <c r="BE1290" s="333">
        <f>SQRT(($R1290-Infrastructure!J$12)^2+($S1290-Infrastructure!K$12)^2)</f>
        <v>15.84550409</v>
      </c>
      <c r="BF1290" s="330">
        <f t="shared" si="161"/>
        <v>15.84550409</v>
      </c>
      <c r="BG1290" s="333">
        <f t="shared" si="162"/>
        <v>41.54708173</v>
      </c>
      <c r="BH1290" s="943">
        <v>36526.0</v>
      </c>
      <c r="BI1290" s="319" t="s">
        <v>846</v>
      </c>
      <c r="BJ1290" s="319" t="s">
        <v>846</v>
      </c>
      <c r="BK1290" s="319" t="s">
        <v>846</v>
      </c>
      <c r="BL1290" s="319"/>
      <c r="BM1290" s="955"/>
      <c r="BN1290" s="319"/>
      <c r="BO1290" s="319"/>
      <c r="BP1290" s="953" t="s">
        <v>846</v>
      </c>
      <c r="BQ1290" s="319"/>
      <c r="BR1290" s="324" t="s">
        <v>846</v>
      </c>
      <c r="BS1290" s="330">
        <f t="shared" si="169"/>
        <v>15.84550409</v>
      </c>
      <c r="BT1290" s="331">
        <f t="shared" si="170"/>
        <v>41.54708173</v>
      </c>
      <c r="BU1290" s="920">
        <v>0.6232986111111111</v>
      </c>
      <c r="BV1290" s="903">
        <f t="shared" si="171"/>
        <v>0.00009259259259</v>
      </c>
      <c r="BW1290" s="907">
        <v>17.7</v>
      </c>
      <c r="BX1290" s="908">
        <v>37.6</v>
      </c>
      <c r="BY1290" s="331">
        <f t="shared" si="166"/>
        <v>5.423098745</v>
      </c>
      <c r="BZ1290" s="340"/>
      <c r="CA1290" s="316"/>
      <c r="CB1290" s="318"/>
      <c r="CC1290" s="318"/>
      <c r="CD1290" s="318"/>
      <c r="CE1290" s="318"/>
      <c r="CF1290" s="318"/>
      <c r="CG1290" s="318"/>
      <c r="CH1290" s="318"/>
      <c r="CI1290" s="318"/>
      <c r="CJ1290" s="463"/>
      <c r="CK1290" s="342"/>
      <c r="CL1290" s="333"/>
      <c r="CM1290" s="1079"/>
      <c r="CN1290" s="1005"/>
      <c r="CO1290" s="1005"/>
      <c r="CP1290" s="1005"/>
    </row>
    <row r="1291">
      <c r="B1291" s="1029" t="s">
        <v>1916</v>
      </c>
      <c r="C1291" s="1002">
        <v>44594.0</v>
      </c>
      <c r="D1291" s="1030"/>
      <c r="E1291" s="1031" t="s">
        <v>1996</v>
      </c>
      <c r="F1291" s="1005" t="s">
        <v>1997</v>
      </c>
      <c r="G1291" s="1006">
        <v>0.6257523148148149</v>
      </c>
      <c r="H1291" s="1007">
        <v>0.6260416666666667</v>
      </c>
      <c r="I1291" s="1007"/>
      <c r="J1291" s="1028"/>
      <c r="K1291" s="1028">
        <v>0.6274305555555556</v>
      </c>
      <c r="L1291" s="323">
        <v>0.001388888888888889</v>
      </c>
      <c r="M1291" s="319" t="s">
        <v>166</v>
      </c>
      <c r="N1291" s="1005" t="s">
        <v>188</v>
      </c>
      <c r="O1291" s="1068" t="s">
        <v>378</v>
      </c>
      <c r="P1291" s="1031" t="s">
        <v>225</v>
      </c>
      <c r="Q1291" s="318"/>
      <c r="R1291" s="1069">
        <v>22.7</v>
      </c>
      <c r="S1291" s="1004">
        <v>39.7</v>
      </c>
      <c r="T1291" s="1005">
        <v>1.02</v>
      </c>
      <c r="U1291" s="1070">
        <v>2.0</v>
      </c>
      <c r="V1291" s="1070"/>
      <c r="W1291" s="1070"/>
      <c r="X1291" s="1070"/>
      <c r="Y1291" s="1070"/>
      <c r="Z1291" s="1071" t="s">
        <v>1140</v>
      </c>
      <c r="AA1291" s="1071"/>
      <c r="AB1291" s="1071" t="s">
        <v>407</v>
      </c>
      <c r="AC1291" s="1072">
        <v>15.75</v>
      </c>
      <c r="AD1291" s="1031"/>
      <c r="AE1291" s="1031"/>
      <c r="AF1291" s="1031"/>
      <c r="AG1291" s="1031"/>
      <c r="AH1291" s="1031"/>
      <c r="AI1291" s="1031"/>
      <c r="AJ1291" s="1072"/>
      <c r="AK1291" s="1073"/>
      <c r="AL1291" s="1031"/>
      <c r="AM1291" s="1031"/>
      <c r="AN1291" s="1031"/>
      <c r="AO1291" s="1031"/>
      <c r="AP1291" s="1031"/>
      <c r="AQ1291" s="1031"/>
      <c r="AR1291" s="1031"/>
      <c r="AS1291" s="1072"/>
      <c r="AT1291" s="1075" t="s">
        <v>182</v>
      </c>
      <c r="AU1291" s="1078" t="s">
        <v>845</v>
      </c>
      <c r="AV1291" s="330">
        <f>SQRT(($R1291-Infrastructure!J$3)^2+($S1291-Infrastructure!K$3)^2)</f>
        <v>25.40944706</v>
      </c>
      <c r="AW1291" s="331">
        <f>SQRT(($R1291-Infrastructure!J$4)^2+($S1291-Infrastructure!K$4)^2)</f>
        <v>31.75862088</v>
      </c>
      <c r="AX1291" s="331">
        <f>SQRT(($R1291-Infrastructure!J$5)^2+($S1291-Infrastructure!K$5)^2)</f>
        <v>41.54708173</v>
      </c>
      <c r="AY1291" s="331">
        <f>SQRT(($R1291-Infrastructure!J$6)^2+($S1291-Infrastructure!K$6)^2)</f>
        <v>41.36568626</v>
      </c>
      <c r="AZ1291" s="331">
        <f>SQRT(($R1291-Infrastructure!J$7)^2+($S1291-Infrastructure!K$7)^2)</f>
        <v>39.46137352</v>
      </c>
      <c r="BA1291" s="331">
        <f>SQRT(($R1291-Infrastructure!J$8)^2+($S1291-Infrastructure!K$8)^2)</f>
        <v>40.08890121</v>
      </c>
      <c r="BB1291" s="331">
        <f>SQRT(($R1291-Infrastructure!J$9)^2+($S1291-Infrastructure!K$9)^2)</f>
        <v>38.68397601</v>
      </c>
      <c r="BC1291" s="331">
        <f>SQRT(($R1291-Infrastructure!J$10)^2+($S1291-Infrastructure!K$10)^2)</f>
        <v>30.15592811</v>
      </c>
      <c r="BD1291" s="331">
        <f>SQRT(($R1291-Infrastructure!J$11)^2+($S1291-Infrastructure!K$11)^2)</f>
        <v>20.51194774</v>
      </c>
      <c r="BE1291" s="333">
        <f>SQRT(($R1291-Infrastructure!J$12)^2+($S1291-Infrastructure!K$12)^2)</f>
        <v>15.84550409</v>
      </c>
      <c r="BF1291" s="330">
        <f t="shared" si="161"/>
        <v>15.84550409</v>
      </c>
      <c r="BG1291" s="333">
        <f t="shared" si="162"/>
        <v>41.54708173</v>
      </c>
      <c r="BH1291" s="943">
        <v>36526.0</v>
      </c>
      <c r="BI1291" s="319"/>
      <c r="BJ1291" s="319"/>
      <c r="BK1291" s="319"/>
      <c r="BL1291" s="319"/>
      <c r="BM1291" s="955"/>
      <c r="BN1291" s="319"/>
      <c r="BO1291" s="319"/>
      <c r="BP1291" s="953"/>
      <c r="BQ1291" s="319"/>
      <c r="BR1291" s="324"/>
      <c r="BS1291" s="330">
        <f t="shared" si="169"/>
        <v>0</v>
      </c>
      <c r="BT1291" s="331">
        <f t="shared" si="170"/>
        <v>0</v>
      </c>
      <c r="BU1291" s="920"/>
      <c r="BV1291" s="903">
        <f t="shared" si="171"/>
        <v>-0.6257523148</v>
      </c>
      <c r="BW1291" s="907"/>
      <c r="BX1291" s="908"/>
      <c r="BY1291" s="331" t="b">
        <f t="shared" si="166"/>
        <v>0</v>
      </c>
      <c r="BZ1291" s="340"/>
      <c r="CA1291" s="316"/>
      <c r="CB1291" s="318"/>
      <c r="CC1291" s="318"/>
      <c r="CD1291" s="318"/>
      <c r="CE1291" s="318"/>
      <c r="CF1291" s="318"/>
      <c r="CG1291" s="318"/>
      <c r="CH1291" s="318"/>
      <c r="CI1291" s="318"/>
      <c r="CJ1291" s="463"/>
      <c r="CK1291" s="342"/>
      <c r="CL1291" s="333"/>
      <c r="CM1291" s="1079"/>
      <c r="CN1291" s="1005"/>
      <c r="CO1291" s="1005"/>
      <c r="CP1291" s="1005"/>
    </row>
    <row r="1292">
      <c r="B1292" s="1029" t="s">
        <v>1916</v>
      </c>
      <c r="C1292" s="1002">
        <v>44594.0</v>
      </c>
      <c r="D1292" s="1030"/>
      <c r="E1292" s="1031" t="s">
        <v>1481</v>
      </c>
      <c r="F1292" s="1005" t="s">
        <v>1998</v>
      </c>
      <c r="G1292" s="1006">
        <v>0.6428819444444445</v>
      </c>
      <c r="H1292" s="1007">
        <v>0.6434027777777778</v>
      </c>
      <c r="I1292" s="1007"/>
      <c r="J1292" s="1028"/>
      <c r="K1292" s="1028">
        <v>0.6446759259259259</v>
      </c>
      <c r="L1292" s="323">
        <v>0.0012731481481481483</v>
      </c>
      <c r="M1292" s="319" t="s">
        <v>166</v>
      </c>
      <c r="N1292" s="1005" t="s">
        <v>187</v>
      </c>
      <c r="O1292" s="1068" t="s">
        <v>204</v>
      </c>
      <c r="P1292" s="1031" t="s">
        <v>247</v>
      </c>
      <c r="Q1292" s="318"/>
      <c r="R1292" s="1069">
        <v>18.3</v>
      </c>
      <c r="S1292" s="1004">
        <v>3.9</v>
      </c>
      <c r="T1292" s="1005">
        <v>1.82</v>
      </c>
      <c r="U1292" s="1070">
        <v>6.0</v>
      </c>
      <c r="V1292" s="1070"/>
      <c r="W1292" s="1070"/>
      <c r="X1292" s="1070"/>
      <c r="Y1292" s="1070"/>
      <c r="Z1292" s="1071" t="s">
        <v>365</v>
      </c>
      <c r="AA1292" s="1071"/>
      <c r="AB1292" s="1071" t="s">
        <v>392</v>
      </c>
      <c r="AC1292" s="1072">
        <v>10.0</v>
      </c>
      <c r="AD1292" s="1031"/>
      <c r="AE1292" s="1031"/>
      <c r="AF1292" s="1031"/>
      <c r="AG1292" s="1031"/>
      <c r="AH1292" s="1031"/>
      <c r="AI1292" s="1031"/>
      <c r="AJ1292" s="1072"/>
      <c r="AK1292" s="1073"/>
      <c r="AL1292" s="1031"/>
      <c r="AM1292" s="1031"/>
      <c r="AN1292" s="1031"/>
      <c r="AO1292" s="1031"/>
      <c r="AP1292" s="1031"/>
      <c r="AQ1292" s="1031"/>
      <c r="AR1292" s="1031"/>
      <c r="AS1292" s="1072"/>
      <c r="AT1292" s="1075" t="s">
        <v>182</v>
      </c>
      <c r="AU1292" s="1078" t="s">
        <v>845</v>
      </c>
      <c r="AV1292" s="330">
        <f>SQRT(($R1292-Infrastructure!J$3)^2+($S1292-Infrastructure!K$3)^2)</f>
        <v>31.16023106</v>
      </c>
      <c r="AW1292" s="331">
        <f>SQRT(($R1292-Infrastructure!J$4)^2+($S1292-Infrastructure!K$4)^2)</f>
        <v>23.22003445</v>
      </c>
      <c r="AX1292" s="331">
        <f>SQRT(($R1292-Infrastructure!J$5)^2+($S1292-Infrastructure!K$5)^2)</f>
        <v>18.63866948</v>
      </c>
      <c r="AY1292" s="331">
        <f>SQRT(($R1292-Infrastructure!J$6)^2+($S1292-Infrastructure!K$6)^2)</f>
        <v>8.955445271</v>
      </c>
      <c r="AZ1292" s="331">
        <f>SQRT(($R1292-Infrastructure!J$7)^2+($S1292-Infrastructure!K$7)^2)</f>
        <v>4.219004622</v>
      </c>
      <c r="BA1292" s="331">
        <f>SQRT(($R1292-Infrastructure!J$8)^2+($S1292-Infrastructure!K$8)^2)</f>
        <v>12.33693641</v>
      </c>
      <c r="BB1292" s="331">
        <f>SQRT(($R1292-Infrastructure!J$9)^2+($S1292-Infrastructure!K$9)^2)</f>
        <v>21.7331544</v>
      </c>
      <c r="BC1292" s="331">
        <f>SQRT(($R1292-Infrastructure!J$10)^2+($S1292-Infrastructure!K$10)^2)</f>
        <v>24.37416665</v>
      </c>
      <c r="BD1292" s="331">
        <f>SQRT(($R1292-Infrastructure!J$11)^2+($S1292-Infrastructure!K$11)^2)</f>
        <v>33.31095916</v>
      </c>
      <c r="BE1292" s="333">
        <f>SQRT(($R1292-Infrastructure!J$12)^2+($S1292-Infrastructure!K$12)^2)</f>
        <v>51.69912959</v>
      </c>
      <c r="BF1292" s="330">
        <f t="shared" si="161"/>
        <v>4.219004622</v>
      </c>
      <c r="BG1292" s="333">
        <f t="shared" si="162"/>
        <v>51.69912959</v>
      </c>
      <c r="BH1292" s="943">
        <v>36526.0</v>
      </c>
      <c r="BI1292" s="319" t="s">
        <v>846</v>
      </c>
      <c r="BJ1292" s="319" t="s">
        <v>846</v>
      </c>
      <c r="BK1292" s="319" t="s">
        <v>846</v>
      </c>
      <c r="BL1292" s="319" t="s">
        <v>846</v>
      </c>
      <c r="BM1292" s="955"/>
      <c r="BN1292" s="319" t="s">
        <v>846</v>
      </c>
      <c r="BO1292" s="319" t="s">
        <v>846</v>
      </c>
      <c r="BP1292" s="953" t="s">
        <v>846</v>
      </c>
      <c r="BQ1292" s="319" t="s">
        <v>846</v>
      </c>
      <c r="BR1292" s="324" t="s">
        <v>846</v>
      </c>
      <c r="BS1292" s="330">
        <f t="shared" si="169"/>
        <v>8.955445271</v>
      </c>
      <c r="BT1292" s="331">
        <f t="shared" si="170"/>
        <v>51.69912959</v>
      </c>
      <c r="BU1292" s="920">
        <v>0.6421527777777778</v>
      </c>
      <c r="BV1292" s="903">
        <f t="shared" si="171"/>
        <v>-0.0007291666667</v>
      </c>
      <c r="BW1292" s="907">
        <v>17.5</v>
      </c>
      <c r="BX1292" s="908">
        <v>15.9</v>
      </c>
      <c r="BY1292" s="331">
        <f t="shared" si="166"/>
        <v>12.0266371</v>
      </c>
      <c r="BZ1292" s="340"/>
      <c r="CA1292" s="316"/>
      <c r="CB1292" s="318"/>
      <c r="CC1292" s="318"/>
      <c r="CD1292" s="318"/>
      <c r="CE1292" s="318"/>
      <c r="CF1292" s="318"/>
      <c r="CG1292" s="318"/>
      <c r="CH1292" s="318"/>
      <c r="CI1292" s="318"/>
      <c r="CJ1292" s="463"/>
      <c r="CK1292" s="342"/>
      <c r="CL1292" s="333"/>
      <c r="CM1292" s="1079"/>
      <c r="CN1292" s="1005"/>
      <c r="CO1292" s="1005"/>
      <c r="CP1292" s="1005"/>
    </row>
    <row r="1293">
      <c r="B1293" s="1029" t="s">
        <v>1916</v>
      </c>
      <c r="C1293" s="1002">
        <v>44594.0</v>
      </c>
      <c r="D1293" s="1030"/>
      <c r="E1293" s="1031" t="s">
        <v>1483</v>
      </c>
      <c r="F1293" s="1005" t="s">
        <v>1999</v>
      </c>
      <c r="G1293" s="1006">
        <v>0.6451388888888889</v>
      </c>
      <c r="H1293" s="1007">
        <v>0.6454861111111111</v>
      </c>
      <c r="I1293" s="1007"/>
      <c r="J1293" s="1028"/>
      <c r="K1293" s="1028">
        <v>0.6460069444444444</v>
      </c>
      <c r="L1293" s="323">
        <v>5.208333333333333E-4</v>
      </c>
      <c r="M1293" s="319" t="s">
        <v>166</v>
      </c>
      <c r="N1293" s="1005" t="s">
        <v>187</v>
      </c>
      <c r="O1293" s="1068" t="s">
        <v>204</v>
      </c>
      <c r="P1293" s="1031" t="s">
        <v>247</v>
      </c>
      <c r="Q1293" s="318"/>
      <c r="R1293" s="1069">
        <v>18.3</v>
      </c>
      <c r="S1293" s="1004">
        <v>3.9</v>
      </c>
      <c r="T1293" s="1005">
        <v>1.82</v>
      </c>
      <c r="U1293" s="1070">
        <v>2.0</v>
      </c>
      <c r="V1293" s="1070"/>
      <c r="W1293" s="1070"/>
      <c r="X1293" s="1070"/>
      <c r="Y1293" s="1070"/>
      <c r="Z1293" s="1071" t="s">
        <v>365</v>
      </c>
      <c r="AA1293" s="1071"/>
      <c r="AB1293" s="1071" t="s">
        <v>392</v>
      </c>
      <c r="AC1293" s="1072">
        <v>10.0</v>
      </c>
      <c r="AD1293" s="1031"/>
      <c r="AE1293" s="1031"/>
      <c r="AF1293" s="1031"/>
      <c r="AG1293" s="1031"/>
      <c r="AH1293" s="1031"/>
      <c r="AI1293" s="1031"/>
      <c r="AJ1293" s="1072"/>
      <c r="AK1293" s="1073"/>
      <c r="AL1293" s="1031"/>
      <c r="AM1293" s="1031"/>
      <c r="AN1293" s="1031"/>
      <c r="AO1293" s="1031"/>
      <c r="AP1293" s="1031"/>
      <c r="AQ1293" s="1031"/>
      <c r="AR1293" s="1031"/>
      <c r="AS1293" s="1072"/>
      <c r="AT1293" s="1075" t="s">
        <v>182</v>
      </c>
      <c r="AU1293" s="1078" t="s">
        <v>845</v>
      </c>
      <c r="AV1293" s="330">
        <f>SQRT(($R1293-Infrastructure!J$3)^2+($S1293-Infrastructure!K$3)^2)</f>
        <v>31.16023106</v>
      </c>
      <c r="AW1293" s="331">
        <f>SQRT(($R1293-Infrastructure!J$4)^2+($S1293-Infrastructure!K$4)^2)</f>
        <v>23.22003445</v>
      </c>
      <c r="AX1293" s="331">
        <f>SQRT(($R1293-Infrastructure!J$5)^2+($S1293-Infrastructure!K$5)^2)</f>
        <v>18.63866948</v>
      </c>
      <c r="AY1293" s="331">
        <f>SQRT(($R1293-Infrastructure!J$6)^2+($S1293-Infrastructure!K$6)^2)</f>
        <v>8.955445271</v>
      </c>
      <c r="AZ1293" s="331">
        <f>SQRT(($R1293-Infrastructure!J$7)^2+($S1293-Infrastructure!K$7)^2)</f>
        <v>4.219004622</v>
      </c>
      <c r="BA1293" s="331">
        <f>SQRT(($R1293-Infrastructure!J$8)^2+($S1293-Infrastructure!K$8)^2)</f>
        <v>12.33693641</v>
      </c>
      <c r="BB1293" s="331">
        <f>SQRT(($R1293-Infrastructure!J$9)^2+($S1293-Infrastructure!K$9)^2)</f>
        <v>21.7331544</v>
      </c>
      <c r="BC1293" s="331">
        <f>SQRT(($R1293-Infrastructure!J$10)^2+($S1293-Infrastructure!K$10)^2)</f>
        <v>24.37416665</v>
      </c>
      <c r="BD1293" s="331">
        <f>SQRT(($R1293-Infrastructure!J$11)^2+($S1293-Infrastructure!K$11)^2)</f>
        <v>33.31095916</v>
      </c>
      <c r="BE1293" s="333">
        <f>SQRT(($R1293-Infrastructure!J$12)^2+($S1293-Infrastructure!K$12)^2)</f>
        <v>51.69912959</v>
      </c>
      <c r="BF1293" s="330">
        <f t="shared" si="161"/>
        <v>4.219004622</v>
      </c>
      <c r="BG1293" s="333">
        <f t="shared" si="162"/>
        <v>51.69912959</v>
      </c>
      <c r="BH1293" s="943">
        <v>36526.0</v>
      </c>
      <c r="BI1293" s="319"/>
      <c r="BJ1293" s="319"/>
      <c r="BK1293" s="319"/>
      <c r="BL1293" s="319"/>
      <c r="BM1293" s="955"/>
      <c r="BN1293" s="319"/>
      <c r="BO1293" s="319"/>
      <c r="BP1293" s="953"/>
      <c r="BQ1293" s="319"/>
      <c r="BR1293" s="324"/>
      <c r="BS1293" s="330">
        <f t="shared" si="169"/>
        <v>0</v>
      </c>
      <c r="BT1293" s="331">
        <f t="shared" si="170"/>
        <v>0</v>
      </c>
      <c r="BU1293" s="920"/>
      <c r="BV1293" s="903">
        <f t="shared" si="171"/>
        <v>-0.6451388889</v>
      </c>
      <c r="BW1293" s="907"/>
      <c r="BX1293" s="908"/>
      <c r="BY1293" s="331" t="b">
        <f t="shared" si="166"/>
        <v>0</v>
      </c>
      <c r="BZ1293" s="340"/>
      <c r="CA1293" s="316"/>
      <c r="CB1293" s="318"/>
      <c r="CC1293" s="318"/>
      <c r="CD1293" s="318"/>
      <c r="CE1293" s="318"/>
      <c r="CF1293" s="318"/>
      <c r="CG1293" s="318"/>
      <c r="CH1293" s="318"/>
      <c r="CI1293" s="318"/>
      <c r="CJ1293" s="463"/>
      <c r="CK1293" s="342"/>
      <c r="CL1293" s="333"/>
      <c r="CM1293" s="1079"/>
      <c r="CN1293" s="1005"/>
      <c r="CO1293" s="1005"/>
      <c r="CP1293" s="1005"/>
    </row>
    <row r="1294">
      <c r="B1294" s="1029" t="s">
        <v>1916</v>
      </c>
      <c r="C1294" s="1002">
        <v>44594.0</v>
      </c>
      <c r="D1294" s="1030"/>
      <c r="E1294" s="1031" t="s">
        <v>1485</v>
      </c>
      <c r="F1294" s="1005" t="s">
        <v>2000</v>
      </c>
      <c r="G1294" s="1006">
        <v>0.646238425925926</v>
      </c>
      <c r="H1294" s="1007">
        <v>0.6465277777777778</v>
      </c>
      <c r="I1294" s="1007"/>
      <c r="J1294" s="1028"/>
      <c r="K1294" s="1028">
        <v>0.6475115740740741</v>
      </c>
      <c r="L1294" s="323">
        <v>9.837962962962962E-4</v>
      </c>
      <c r="M1294" s="319" t="s">
        <v>166</v>
      </c>
      <c r="N1294" s="1005" t="s">
        <v>187</v>
      </c>
      <c r="O1294" s="1068" t="s">
        <v>204</v>
      </c>
      <c r="P1294" s="1031" t="s">
        <v>247</v>
      </c>
      <c r="Q1294" s="318"/>
      <c r="R1294" s="1069">
        <v>18.3</v>
      </c>
      <c r="S1294" s="1004">
        <v>3.9</v>
      </c>
      <c r="T1294" s="1005">
        <v>1.82</v>
      </c>
      <c r="U1294" s="1070">
        <v>1.0</v>
      </c>
      <c r="V1294" s="1070"/>
      <c r="W1294" s="1070"/>
      <c r="X1294" s="1070"/>
      <c r="Y1294" s="1070"/>
      <c r="Z1294" s="1071" t="s">
        <v>365</v>
      </c>
      <c r="AA1294" s="1071"/>
      <c r="AB1294" s="1071" t="s">
        <v>392</v>
      </c>
      <c r="AC1294" s="1072">
        <v>10.0</v>
      </c>
      <c r="AD1294" s="1031"/>
      <c r="AE1294" s="1031"/>
      <c r="AF1294" s="1031"/>
      <c r="AG1294" s="1031"/>
      <c r="AH1294" s="1031"/>
      <c r="AI1294" s="1031"/>
      <c r="AJ1294" s="1072"/>
      <c r="AK1294" s="1073"/>
      <c r="AL1294" s="1031"/>
      <c r="AM1294" s="1031"/>
      <c r="AN1294" s="1031"/>
      <c r="AO1294" s="1031"/>
      <c r="AP1294" s="1031"/>
      <c r="AQ1294" s="1031"/>
      <c r="AR1294" s="1031"/>
      <c r="AS1294" s="1072"/>
      <c r="AT1294" s="1075" t="s">
        <v>182</v>
      </c>
      <c r="AU1294" s="1078" t="s">
        <v>845</v>
      </c>
      <c r="AV1294" s="330">
        <f>SQRT(($R1294-Infrastructure!J$3)^2+($S1294-Infrastructure!K$3)^2)</f>
        <v>31.16023106</v>
      </c>
      <c r="AW1294" s="331">
        <f>SQRT(($R1294-Infrastructure!J$4)^2+($S1294-Infrastructure!K$4)^2)</f>
        <v>23.22003445</v>
      </c>
      <c r="AX1294" s="331">
        <f>SQRT(($R1294-Infrastructure!J$5)^2+($S1294-Infrastructure!K$5)^2)</f>
        <v>18.63866948</v>
      </c>
      <c r="AY1294" s="331">
        <f>SQRT(($R1294-Infrastructure!J$6)^2+($S1294-Infrastructure!K$6)^2)</f>
        <v>8.955445271</v>
      </c>
      <c r="AZ1294" s="331">
        <f>SQRT(($R1294-Infrastructure!J$7)^2+($S1294-Infrastructure!K$7)^2)</f>
        <v>4.219004622</v>
      </c>
      <c r="BA1294" s="331">
        <f>SQRT(($R1294-Infrastructure!J$8)^2+($S1294-Infrastructure!K$8)^2)</f>
        <v>12.33693641</v>
      </c>
      <c r="BB1294" s="331">
        <f>SQRT(($R1294-Infrastructure!J$9)^2+($S1294-Infrastructure!K$9)^2)</f>
        <v>21.7331544</v>
      </c>
      <c r="BC1294" s="331">
        <f>SQRT(($R1294-Infrastructure!J$10)^2+($S1294-Infrastructure!K$10)^2)</f>
        <v>24.37416665</v>
      </c>
      <c r="BD1294" s="331">
        <f>SQRT(($R1294-Infrastructure!J$11)^2+($S1294-Infrastructure!K$11)^2)</f>
        <v>33.31095916</v>
      </c>
      <c r="BE1294" s="333">
        <f>SQRT(($R1294-Infrastructure!J$12)^2+($S1294-Infrastructure!K$12)^2)</f>
        <v>51.69912959</v>
      </c>
      <c r="BF1294" s="330">
        <f t="shared" si="161"/>
        <v>4.219004622</v>
      </c>
      <c r="BG1294" s="333">
        <f t="shared" si="162"/>
        <v>51.69912959</v>
      </c>
      <c r="BH1294" s="943">
        <v>36526.0</v>
      </c>
      <c r="BI1294" s="319"/>
      <c r="BJ1294" s="319"/>
      <c r="BK1294" s="319"/>
      <c r="BL1294" s="319"/>
      <c r="BM1294" s="955"/>
      <c r="BN1294" s="319"/>
      <c r="BO1294" s="319"/>
      <c r="BP1294" s="953"/>
      <c r="BQ1294" s="319"/>
      <c r="BR1294" s="324"/>
      <c r="BS1294" s="330">
        <f t="shared" si="169"/>
        <v>0</v>
      </c>
      <c r="BT1294" s="331">
        <f t="shared" si="170"/>
        <v>0</v>
      </c>
      <c r="BU1294" s="920"/>
      <c r="BV1294" s="903">
        <f t="shared" si="171"/>
        <v>-0.6462384259</v>
      </c>
      <c r="BW1294" s="907"/>
      <c r="BX1294" s="908"/>
      <c r="BY1294" s="331" t="b">
        <f t="shared" si="166"/>
        <v>0</v>
      </c>
      <c r="BZ1294" s="340"/>
      <c r="CA1294" s="316"/>
      <c r="CB1294" s="318"/>
      <c r="CC1294" s="318"/>
      <c r="CD1294" s="318"/>
      <c r="CE1294" s="318"/>
      <c r="CF1294" s="318"/>
      <c r="CG1294" s="318"/>
      <c r="CH1294" s="318"/>
      <c r="CI1294" s="318"/>
      <c r="CJ1294" s="463"/>
      <c r="CK1294" s="342"/>
      <c r="CL1294" s="333"/>
      <c r="CM1294" s="1079"/>
      <c r="CN1294" s="1005"/>
      <c r="CO1294" s="1005"/>
      <c r="CP1294" s="1005"/>
    </row>
    <row r="1295">
      <c r="B1295" s="1029" t="s">
        <v>1916</v>
      </c>
      <c r="C1295" s="1002">
        <v>44594.0</v>
      </c>
      <c r="D1295" s="1030"/>
      <c r="E1295" s="1031" t="s">
        <v>1267</v>
      </c>
      <c r="F1295" s="1005" t="s">
        <v>2001</v>
      </c>
      <c r="G1295" s="1006">
        <v>0.6531828703703704</v>
      </c>
      <c r="H1295" s="1007">
        <v>0.6535300925925925</v>
      </c>
      <c r="I1295" s="1007"/>
      <c r="J1295" s="1028"/>
      <c r="K1295" s="1028">
        <v>0.6548611111111111</v>
      </c>
      <c r="L1295" s="323">
        <v>0.0013310185185185185</v>
      </c>
      <c r="M1295" s="319" t="s">
        <v>166</v>
      </c>
      <c r="N1295" s="1005" t="s">
        <v>187</v>
      </c>
      <c r="O1295" s="1068" t="s">
        <v>323</v>
      </c>
      <c r="P1295" s="1031" t="s">
        <v>269</v>
      </c>
      <c r="Q1295" s="318"/>
      <c r="R1295" s="1069">
        <v>8.0</v>
      </c>
      <c r="S1295" s="1004">
        <v>10.9</v>
      </c>
      <c r="T1295" s="1005">
        <v>1.5</v>
      </c>
      <c r="U1295" s="1070">
        <v>4.0</v>
      </c>
      <c r="V1295" s="1070"/>
      <c r="W1295" s="1070"/>
      <c r="X1295" s="1070"/>
      <c r="Y1295" s="1070"/>
      <c r="Z1295" s="1071" t="s">
        <v>343</v>
      </c>
      <c r="AA1295" s="1071"/>
      <c r="AB1295" s="1071" t="s">
        <v>363</v>
      </c>
      <c r="AC1295" s="1072">
        <v>10.0</v>
      </c>
      <c r="AD1295" s="1031"/>
      <c r="AE1295" s="1031"/>
      <c r="AF1295" s="1031"/>
      <c r="AG1295" s="1031"/>
      <c r="AH1295" s="1031"/>
      <c r="AI1295" s="1031"/>
      <c r="AJ1295" s="1072"/>
      <c r="AK1295" s="1073"/>
      <c r="AL1295" s="1031"/>
      <c r="AM1295" s="1031"/>
      <c r="AN1295" s="1031"/>
      <c r="AO1295" s="1031"/>
      <c r="AP1295" s="1031"/>
      <c r="AQ1295" s="1031"/>
      <c r="AR1295" s="1031"/>
      <c r="AS1295" s="1072"/>
      <c r="AT1295" s="1075" t="s">
        <v>182</v>
      </c>
      <c r="AU1295" s="1078" t="s">
        <v>845</v>
      </c>
      <c r="AV1295" s="330">
        <f>SQRT(($R1295-Infrastructure!J$3)^2+($S1295-Infrastructure!K$3)^2)</f>
        <v>19.82145302</v>
      </c>
      <c r="AW1295" s="331">
        <f>SQRT(($R1295-Infrastructure!J$4)^2+($S1295-Infrastructure!K$4)^2)</f>
        <v>10.79351657</v>
      </c>
      <c r="AX1295" s="331">
        <f>SQRT(($R1295-Infrastructure!J$5)^2+($S1295-Infrastructure!K$5)^2)</f>
        <v>10.12570985</v>
      </c>
      <c r="AY1295" s="331">
        <f>SQRT(($R1295-Infrastructure!J$6)^2+($S1295-Infrastructure!K$6)^2)</f>
        <v>10.80601684</v>
      </c>
      <c r="AZ1295" s="331">
        <f>SQRT(($R1295-Infrastructure!J$7)^2+($S1295-Infrastructure!K$7)^2)</f>
        <v>16.38932579</v>
      </c>
      <c r="BA1295" s="331">
        <f>SQRT(($R1295-Infrastructure!J$8)^2+($S1295-Infrastructure!K$8)^2)</f>
        <v>24.51060995</v>
      </c>
      <c r="BB1295" s="331">
        <f>SQRT(($R1295-Infrastructure!J$9)^2+($S1295-Infrastructure!K$9)^2)</f>
        <v>32.52137758</v>
      </c>
      <c r="BC1295" s="331">
        <f>SQRT(($R1295-Infrastructure!J$10)^2+($S1295-Infrastructure!K$10)^2)</f>
        <v>32.26158707</v>
      </c>
      <c r="BD1295" s="331">
        <f>SQRT(($R1295-Infrastructure!J$11)^2+($S1295-Infrastructure!K$11)^2)</f>
        <v>36.93846234</v>
      </c>
      <c r="BE1295" s="333">
        <f>SQRT(($R1295-Infrastructure!J$12)^2+($S1295-Infrastructure!K$12)^2)</f>
        <v>46.59839053</v>
      </c>
      <c r="BF1295" s="330">
        <f t="shared" si="161"/>
        <v>10.12570985</v>
      </c>
      <c r="BG1295" s="333">
        <f t="shared" si="162"/>
        <v>46.59839053</v>
      </c>
      <c r="BH1295" s="943">
        <v>36526.0</v>
      </c>
      <c r="BI1295" s="319" t="s">
        <v>846</v>
      </c>
      <c r="BJ1295" s="319" t="s">
        <v>846</v>
      </c>
      <c r="BK1295" s="319" t="s">
        <v>846</v>
      </c>
      <c r="BL1295" s="319" t="s">
        <v>846</v>
      </c>
      <c r="BM1295" s="955"/>
      <c r="BN1295" s="319"/>
      <c r="BO1295" s="319"/>
      <c r="BP1295" s="953"/>
      <c r="BQ1295" s="319"/>
      <c r="BR1295" s="324"/>
      <c r="BS1295" s="330">
        <f t="shared" si="169"/>
        <v>10.12570985</v>
      </c>
      <c r="BT1295" s="331">
        <f t="shared" si="170"/>
        <v>19.82145302</v>
      </c>
      <c r="BU1295" s="920">
        <v>0.6525231481481482</v>
      </c>
      <c r="BV1295" s="903">
        <f t="shared" si="171"/>
        <v>-0.0006597222222</v>
      </c>
      <c r="BW1295" s="907">
        <v>3.1</v>
      </c>
      <c r="BX1295" s="908">
        <v>7.0</v>
      </c>
      <c r="BY1295" s="331">
        <f t="shared" si="166"/>
        <v>6.262587325</v>
      </c>
      <c r="BZ1295" s="340"/>
      <c r="CA1295" s="316"/>
      <c r="CB1295" s="318"/>
      <c r="CC1295" s="318"/>
      <c r="CD1295" s="318"/>
      <c r="CE1295" s="318"/>
      <c r="CF1295" s="318"/>
      <c r="CG1295" s="318"/>
      <c r="CH1295" s="318"/>
      <c r="CI1295" s="318"/>
      <c r="CJ1295" s="463"/>
      <c r="CK1295" s="342"/>
      <c r="CL1295" s="333"/>
      <c r="CM1295" s="1079"/>
      <c r="CN1295" s="1005"/>
      <c r="CO1295" s="1005"/>
      <c r="CP1295" s="1005"/>
    </row>
    <row r="1296">
      <c r="B1296" s="1029" t="s">
        <v>1916</v>
      </c>
      <c r="C1296" s="1002">
        <v>44594.0</v>
      </c>
      <c r="D1296" s="1030"/>
      <c r="E1296" s="1031" t="s">
        <v>1269</v>
      </c>
      <c r="F1296" s="1005" t="s">
        <v>2002</v>
      </c>
      <c r="G1296" s="1006">
        <v>0.655150462962963</v>
      </c>
      <c r="H1296" s="1007">
        <v>0.6553240740740741</v>
      </c>
      <c r="I1296" s="1007"/>
      <c r="J1296" s="1028"/>
      <c r="K1296" s="1028">
        <v>0.6566550925925926</v>
      </c>
      <c r="L1296" s="323">
        <v>0.0013310185185185185</v>
      </c>
      <c r="M1296" s="319" t="s">
        <v>166</v>
      </c>
      <c r="N1296" s="1005" t="s">
        <v>187</v>
      </c>
      <c r="O1296" s="1068" t="s">
        <v>323</v>
      </c>
      <c r="P1296" s="1031" t="s">
        <v>269</v>
      </c>
      <c r="Q1296" s="318"/>
      <c r="R1296" s="1069">
        <v>8.0</v>
      </c>
      <c r="S1296" s="1004">
        <v>10.9</v>
      </c>
      <c r="T1296" s="1005">
        <v>1.5</v>
      </c>
      <c r="U1296" s="1070">
        <v>2.0</v>
      </c>
      <c r="V1296" s="1070"/>
      <c r="W1296" s="1070"/>
      <c r="X1296" s="1070"/>
      <c r="Y1296" s="1070"/>
      <c r="Z1296" s="1071" t="s">
        <v>343</v>
      </c>
      <c r="AA1296" s="1071"/>
      <c r="AB1296" s="1071" t="s">
        <v>363</v>
      </c>
      <c r="AC1296" s="1072">
        <v>10.0</v>
      </c>
      <c r="AD1296" s="1031"/>
      <c r="AE1296" s="1031"/>
      <c r="AF1296" s="1031"/>
      <c r="AG1296" s="1031"/>
      <c r="AH1296" s="1031"/>
      <c r="AI1296" s="1031"/>
      <c r="AJ1296" s="1072"/>
      <c r="AK1296" s="1073"/>
      <c r="AL1296" s="1031"/>
      <c r="AM1296" s="1031"/>
      <c r="AN1296" s="1031"/>
      <c r="AO1296" s="1031"/>
      <c r="AP1296" s="1031"/>
      <c r="AQ1296" s="1031"/>
      <c r="AR1296" s="1031"/>
      <c r="AS1296" s="1072"/>
      <c r="AT1296" s="1075" t="s">
        <v>182</v>
      </c>
      <c r="AU1296" s="1078" t="s">
        <v>845</v>
      </c>
      <c r="AV1296" s="330">
        <f>SQRT(($R1296-Infrastructure!J$3)^2+($S1296-Infrastructure!K$3)^2)</f>
        <v>19.82145302</v>
      </c>
      <c r="AW1296" s="331">
        <f>SQRT(($R1296-Infrastructure!J$4)^2+($S1296-Infrastructure!K$4)^2)</f>
        <v>10.79351657</v>
      </c>
      <c r="AX1296" s="331">
        <f>SQRT(($R1296-Infrastructure!J$5)^2+($S1296-Infrastructure!K$5)^2)</f>
        <v>10.12570985</v>
      </c>
      <c r="AY1296" s="331">
        <f>SQRT(($R1296-Infrastructure!J$6)^2+($S1296-Infrastructure!K$6)^2)</f>
        <v>10.80601684</v>
      </c>
      <c r="AZ1296" s="331">
        <f>SQRT(($R1296-Infrastructure!J$7)^2+($S1296-Infrastructure!K$7)^2)</f>
        <v>16.38932579</v>
      </c>
      <c r="BA1296" s="331">
        <f>SQRT(($R1296-Infrastructure!J$8)^2+($S1296-Infrastructure!K$8)^2)</f>
        <v>24.51060995</v>
      </c>
      <c r="BB1296" s="331">
        <f>SQRT(($R1296-Infrastructure!J$9)^2+($S1296-Infrastructure!K$9)^2)</f>
        <v>32.52137758</v>
      </c>
      <c r="BC1296" s="331">
        <f>SQRT(($R1296-Infrastructure!J$10)^2+($S1296-Infrastructure!K$10)^2)</f>
        <v>32.26158707</v>
      </c>
      <c r="BD1296" s="331">
        <f>SQRT(($R1296-Infrastructure!J$11)^2+($S1296-Infrastructure!K$11)^2)</f>
        <v>36.93846234</v>
      </c>
      <c r="BE1296" s="333">
        <f>SQRT(($R1296-Infrastructure!J$12)^2+($S1296-Infrastructure!K$12)^2)</f>
        <v>46.59839053</v>
      </c>
      <c r="BF1296" s="330">
        <f t="shared" si="161"/>
        <v>10.12570985</v>
      </c>
      <c r="BG1296" s="333">
        <f t="shared" si="162"/>
        <v>46.59839053</v>
      </c>
      <c r="BH1296" s="943">
        <v>36526.0</v>
      </c>
      <c r="BI1296" s="319"/>
      <c r="BJ1296" s="319" t="s">
        <v>846</v>
      </c>
      <c r="BK1296" s="319" t="s">
        <v>846</v>
      </c>
      <c r="BL1296" s="319" t="s">
        <v>846</v>
      </c>
      <c r="BM1296" s="955"/>
      <c r="BN1296" s="319"/>
      <c r="BO1296" s="319"/>
      <c r="BP1296" s="953"/>
      <c r="BQ1296" s="319"/>
      <c r="BR1296" s="324"/>
      <c r="BS1296" s="330">
        <f t="shared" si="169"/>
        <v>10.12570985</v>
      </c>
      <c r="BT1296" s="331">
        <f t="shared" si="170"/>
        <v>10.80601684</v>
      </c>
      <c r="BU1296" s="920">
        <v>0.6544791666666666</v>
      </c>
      <c r="BV1296" s="903">
        <f t="shared" si="171"/>
        <v>-0.0006712962963</v>
      </c>
      <c r="BW1296" s="907">
        <v>3.3</v>
      </c>
      <c r="BX1296" s="908">
        <v>5.9</v>
      </c>
      <c r="BY1296" s="331">
        <f t="shared" si="166"/>
        <v>6.862215386</v>
      </c>
      <c r="BZ1296" s="340"/>
      <c r="CA1296" s="316"/>
      <c r="CB1296" s="318"/>
      <c r="CC1296" s="318"/>
      <c r="CD1296" s="318"/>
      <c r="CE1296" s="318"/>
      <c r="CF1296" s="318"/>
      <c r="CG1296" s="318"/>
      <c r="CH1296" s="318"/>
      <c r="CI1296" s="318"/>
      <c r="CJ1296" s="463"/>
      <c r="CK1296" s="342"/>
      <c r="CL1296" s="333"/>
      <c r="CM1296" s="1079"/>
      <c r="CN1296" s="1005"/>
      <c r="CO1296" s="1005"/>
      <c r="CP1296" s="1005"/>
    </row>
    <row r="1297">
      <c r="B1297" s="1029" t="s">
        <v>1916</v>
      </c>
      <c r="C1297" s="1002">
        <v>44594.0</v>
      </c>
      <c r="D1297" s="1030"/>
      <c r="E1297" s="1031" t="s">
        <v>1891</v>
      </c>
      <c r="F1297" s="1005" t="s">
        <v>2003</v>
      </c>
      <c r="G1297" s="1006">
        <v>0.6569444444444444</v>
      </c>
      <c r="H1297" s="1007">
        <v>0.6571180555555556</v>
      </c>
      <c r="I1297" s="1007"/>
      <c r="J1297" s="1028"/>
      <c r="K1297" s="1028">
        <v>0.6583912037037037</v>
      </c>
      <c r="L1297" s="323">
        <v>0.0012731481481481483</v>
      </c>
      <c r="M1297" s="319" t="s">
        <v>166</v>
      </c>
      <c r="N1297" s="1005" t="s">
        <v>187</v>
      </c>
      <c r="O1297" s="1068" t="s">
        <v>323</v>
      </c>
      <c r="P1297" s="1031" t="s">
        <v>269</v>
      </c>
      <c r="Q1297" s="318"/>
      <c r="R1297" s="1069">
        <v>8.0</v>
      </c>
      <c r="S1297" s="1004">
        <v>10.9</v>
      </c>
      <c r="T1297" s="1005">
        <v>1.5</v>
      </c>
      <c r="U1297" s="1070">
        <v>1.0</v>
      </c>
      <c r="V1297" s="1070"/>
      <c r="W1297" s="1070"/>
      <c r="X1297" s="1070"/>
      <c r="Y1297" s="1070"/>
      <c r="Z1297" s="1071" t="s">
        <v>343</v>
      </c>
      <c r="AA1297" s="1071"/>
      <c r="AB1297" s="1071" t="s">
        <v>363</v>
      </c>
      <c r="AC1297" s="1072">
        <v>10.0</v>
      </c>
      <c r="AD1297" s="1031"/>
      <c r="AE1297" s="1031"/>
      <c r="AF1297" s="1031"/>
      <c r="AG1297" s="1031"/>
      <c r="AH1297" s="1031"/>
      <c r="AI1297" s="1031"/>
      <c r="AJ1297" s="1072"/>
      <c r="AK1297" s="1073"/>
      <c r="AL1297" s="1031"/>
      <c r="AM1297" s="1031"/>
      <c r="AN1297" s="1031"/>
      <c r="AO1297" s="1031"/>
      <c r="AP1297" s="1031"/>
      <c r="AQ1297" s="1031"/>
      <c r="AR1297" s="1031"/>
      <c r="AS1297" s="1072"/>
      <c r="AT1297" s="1075" t="s">
        <v>182</v>
      </c>
      <c r="AU1297" s="1078" t="s">
        <v>845</v>
      </c>
      <c r="AV1297" s="330">
        <f>SQRT(($R1297-Infrastructure!J$3)^2+($S1297-Infrastructure!K$3)^2)</f>
        <v>19.82145302</v>
      </c>
      <c r="AW1297" s="331">
        <f>SQRT(($R1297-Infrastructure!J$4)^2+($S1297-Infrastructure!K$4)^2)</f>
        <v>10.79351657</v>
      </c>
      <c r="AX1297" s="331">
        <f>SQRT(($R1297-Infrastructure!J$5)^2+($S1297-Infrastructure!K$5)^2)</f>
        <v>10.12570985</v>
      </c>
      <c r="AY1297" s="331">
        <f>SQRT(($R1297-Infrastructure!J$6)^2+($S1297-Infrastructure!K$6)^2)</f>
        <v>10.80601684</v>
      </c>
      <c r="AZ1297" s="331">
        <f>SQRT(($R1297-Infrastructure!J$7)^2+($S1297-Infrastructure!K$7)^2)</f>
        <v>16.38932579</v>
      </c>
      <c r="BA1297" s="331">
        <f>SQRT(($R1297-Infrastructure!J$8)^2+($S1297-Infrastructure!K$8)^2)</f>
        <v>24.51060995</v>
      </c>
      <c r="BB1297" s="331">
        <f>SQRT(($R1297-Infrastructure!J$9)^2+($S1297-Infrastructure!K$9)^2)</f>
        <v>32.52137758</v>
      </c>
      <c r="BC1297" s="331">
        <f>SQRT(($R1297-Infrastructure!J$10)^2+($S1297-Infrastructure!K$10)^2)</f>
        <v>32.26158707</v>
      </c>
      <c r="BD1297" s="331">
        <f>SQRT(($R1297-Infrastructure!J$11)^2+($S1297-Infrastructure!K$11)^2)</f>
        <v>36.93846234</v>
      </c>
      <c r="BE1297" s="333">
        <f>SQRT(($R1297-Infrastructure!J$12)^2+($S1297-Infrastructure!K$12)^2)</f>
        <v>46.59839053</v>
      </c>
      <c r="BF1297" s="330">
        <f t="shared" si="161"/>
        <v>10.12570985</v>
      </c>
      <c r="BG1297" s="333">
        <f t="shared" si="162"/>
        <v>46.59839053</v>
      </c>
      <c r="BH1297" s="943">
        <v>36526.0</v>
      </c>
      <c r="BI1297" s="319"/>
      <c r="BJ1297" s="319"/>
      <c r="BK1297" s="319"/>
      <c r="BL1297" s="319"/>
      <c r="BM1297" s="955"/>
      <c r="BN1297" s="319"/>
      <c r="BO1297" s="319"/>
      <c r="BP1297" s="953"/>
      <c r="BQ1297" s="319"/>
      <c r="BR1297" s="324"/>
      <c r="BS1297" s="330">
        <f t="shared" si="169"/>
        <v>0</v>
      </c>
      <c r="BT1297" s="331">
        <f t="shared" si="170"/>
        <v>0</v>
      </c>
      <c r="BU1297" s="920"/>
      <c r="BV1297" s="903">
        <f t="shared" si="171"/>
        <v>-0.6569444444</v>
      </c>
      <c r="BW1297" s="907"/>
      <c r="BX1297" s="908"/>
      <c r="BY1297" s="331" t="b">
        <f t="shared" si="166"/>
        <v>0</v>
      </c>
      <c r="BZ1297" s="340"/>
      <c r="CA1297" s="316"/>
      <c r="CB1297" s="318"/>
      <c r="CC1297" s="318"/>
      <c r="CD1297" s="318"/>
      <c r="CE1297" s="318"/>
      <c r="CF1297" s="318"/>
      <c r="CG1297" s="318"/>
      <c r="CH1297" s="318"/>
      <c r="CI1297" s="318"/>
      <c r="CJ1297" s="463"/>
      <c r="CK1297" s="342"/>
      <c r="CL1297" s="333"/>
      <c r="CM1297" s="1079"/>
      <c r="CN1297" s="1005"/>
      <c r="CO1297" s="1005"/>
      <c r="CP1297" s="1005"/>
    </row>
    <row r="1298">
      <c r="B1298" s="1029" t="s">
        <v>1916</v>
      </c>
      <c r="C1298" s="1002">
        <v>44594.0</v>
      </c>
      <c r="D1298" s="1030"/>
      <c r="E1298" s="1031" t="s">
        <v>1488</v>
      </c>
      <c r="F1298" s="1005" t="s">
        <v>2004</v>
      </c>
      <c r="G1298" s="1006">
        <v>0.6607638888888889</v>
      </c>
      <c r="H1298" s="1007">
        <v>0.6609375</v>
      </c>
      <c r="I1298" s="1007"/>
      <c r="J1298" s="1028"/>
      <c r="K1298" s="1028">
        <v>0.661863425925926</v>
      </c>
      <c r="L1298" s="323">
        <v>9.25925925925926E-4</v>
      </c>
      <c r="M1298" s="319" t="s">
        <v>166</v>
      </c>
      <c r="N1298" s="1005" t="s">
        <v>188</v>
      </c>
      <c r="O1298" s="1068" t="s">
        <v>378</v>
      </c>
      <c r="P1298" s="1031" t="s">
        <v>225</v>
      </c>
      <c r="Q1298" s="318"/>
      <c r="R1298" s="1069">
        <v>22.7</v>
      </c>
      <c r="S1298" s="1004">
        <v>39.7</v>
      </c>
      <c r="T1298" s="1005">
        <v>1.02</v>
      </c>
      <c r="U1298" s="1070">
        <v>2.0</v>
      </c>
      <c r="V1298" s="1070"/>
      <c r="W1298" s="1070"/>
      <c r="X1298" s="1070"/>
      <c r="Y1298" s="1070"/>
      <c r="Z1298" s="1071" t="s">
        <v>1140</v>
      </c>
      <c r="AA1298" s="1071"/>
      <c r="AB1298" s="1071" t="s">
        <v>407</v>
      </c>
      <c r="AC1298" s="1072">
        <v>15.75</v>
      </c>
      <c r="AD1298" s="1031"/>
      <c r="AE1298" s="1031"/>
      <c r="AF1298" s="1031"/>
      <c r="AG1298" s="1031"/>
      <c r="AH1298" s="1031"/>
      <c r="AI1298" s="1031"/>
      <c r="AJ1298" s="1072"/>
      <c r="AK1298" s="1073"/>
      <c r="AL1298" s="1031"/>
      <c r="AM1298" s="1031"/>
      <c r="AN1298" s="1031"/>
      <c r="AO1298" s="1031"/>
      <c r="AP1298" s="1031"/>
      <c r="AQ1298" s="1031"/>
      <c r="AR1298" s="1031"/>
      <c r="AS1298" s="1072"/>
      <c r="AT1298" s="1075" t="s">
        <v>182</v>
      </c>
      <c r="AU1298" s="1078" t="s">
        <v>845</v>
      </c>
      <c r="AV1298" s="330">
        <f>SQRT(($R1298-Infrastructure!J$3)^2+($S1298-Infrastructure!K$3)^2)</f>
        <v>25.40944706</v>
      </c>
      <c r="AW1298" s="331">
        <f>SQRT(($R1298-Infrastructure!J$4)^2+($S1298-Infrastructure!K$4)^2)</f>
        <v>31.75862088</v>
      </c>
      <c r="AX1298" s="331">
        <f>SQRT(($R1298-Infrastructure!J$5)^2+($S1298-Infrastructure!K$5)^2)</f>
        <v>41.54708173</v>
      </c>
      <c r="AY1298" s="331">
        <f>SQRT(($R1298-Infrastructure!J$6)^2+($S1298-Infrastructure!K$6)^2)</f>
        <v>41.36568626</v>
      </c>
      <c r="AZ1298" s="331">
        <f>SQRT(($R1298-Infrastructure!J$7)^2+($S1298-Infrastructure!K$7)^2)</f>
        <v>39.46137352</v>
      </c>
      <c r="BA1298" s="331">
        <f>SQRT(($R1298-Infrastructure!J$8)^2+($S1298-Infrastructure!K$8)^2)</f>
        <v>40.08890121</v>
      </c>
      <c r="BB1298" s="331">
        <f>SQRT(($R1298-Infrastructure!J$9)^2+($S1298-Infrastructure!K$9)^2)</f>
        <v>38.68397601</v>
      </c>
      <c r="BC1298" s="331">
        <f>SQRT(($R1298-Infrastructure!J$10)^2+($S1298-Infrastructure!K$10)^2)</f>
        <v>30.15592811</v>
      </c>
      <c r="BD1298" s="331">
        <f>SQRT(($R1298-Infrastructure!J$11)^2+($S1298-Infrastructure!K$11)^2)</f>
        <v>20.51194774</v>
      </c>
      <c r="BE1298" s="333">
        <f>SQRT(($R1298-Infrastructure!J$12)^2+($S1298-Infrastructure!K$12)^2)</f>
        <v>15.84550409</v>
      </c>
      <c r="BF1298" s="330">
        <f t="shared" si="161"/>
        <v>15.84550409</v>
      </c>
      <c r="BG1298" s="333">
        <f t="shared" si="162"/>
        <v>41.54708173</v>
      </c>
      <c r="BH1298" s="943">
        <v>36526.0</v>
      </c>
      <c r="BI1298" s="319"/>
      <c r="BJ1298" s="319"/>
      <c r="BK1298" s="319"/>
      <c r="BL1298" s="319"/>
      <c r="BM1298" s="955"/>
      <c r="BN1298" s="319"/>
      <c r="BO1298" s="319"/>
      <c r="BP1298" s="953"/>
      <c r="BQ1298" s="319"/>
      <c r="BR1298" s="324"/>
      <c r="BS1298" s="330">
        <f t="shared" si="169"/>
        <v>0</v>
      </c>
      <c r="BT1298" s="331">
        <f t="shared" si="170"/>
        <v>0</v>
      </c>
      <c r="BU1298" s="920"/>
      <c r="BV1298" s="903">
        <f t="shared" si="171"/>
        <v>-0.6607638889</v>
      </c>
      <c r="BW1298" s="907"/>
      <c r="BX1298" s="908"/>
      <c r="BY1298" s="331" t="b">
        <f t="shared" si="166"/>
        <v>0</v>
      </c>
      <c r="BZ1298" s="340"/>
      <c r="CA1298" s="316"/>
      <c r="CB1298" s="318"/>
      <c r="CC1298" s="318"/>
      <c r="CD1298" s="318"/>
      <c r="CE1298" s="318"/>
      <c r="CF1298" s="318"/>
      <c r="CG1298" s="318"/>
      <c r="CH1298" s="318"/>
      <c r="CI1298" s="318"/>
      <c r="CJ1298" s="463"/>
      <c r="CK1298" s="342"/>
      <c r="CL1298" s="333"/>
      <c r="CM1298" s="1079"/>
      <c r="CN1298" s="1005"/>
      <c r="CO1298" s="1005"/>
      <c r="CP1298" s="1005"/>
    </row>
    <row r="1299">
      <c r="B1299" s="1029" t="s">
        <v>1916</v>
      </c>
      <c r="C1299" s="1002">
        <v>44594.0</v>
      </c>
      <c r="D1299" s="1030"/>
      <c r="E1299" s="1031" t="s">
        <v>1490</v>
      </c>
      <c r="F1299" s="1005" t="s">
        <v>2005</v>
      </c>
      <c r="G1299" s="1006">
        <v>0.661863425925926</v>
      </c>
      <c r="H1299" s="1007">
        <v>0.6624421296296297</v>
      </c>
      <c r="I1299" s="1007"/>
      <c r="J1299" s="1028"/>
      <c r="K1299" s="1028">
        <v>0.6631944444444444</v>
      </c>
      <c r="L1299" s="323">
        <v>7.523148148148148E-4</v>
      </c>
      <c r="M1299" s="319" t="s">
        <v>166</v>
      </c>
      <c r="N1299" s="1005" t="s">
        <v>188</v>
      </c>
      <c r="O1299" s="1068" t="s">
        <v>378</v>
      </c>
      <c r="P1299" s="1031" t="s">
        <v>225</v>
      </c>
      <c r="Q1299" s="318"/>
      <c r="R1299" s="1069">
        <v>22.7</v>
      </c>
      <c r="S1299" s="1004">
        <v>39.7</v>
      </c>
      <c r="T1299" s="1005">
        <v>1.02</v>
      </c>
      <c r="U1299" s="1070">
        <v>5.0</v>
      </c>
      <c r="V1299" s="1070"/>
      <c r="W1299" s="1070"/>
      <c r="X1299" s="1070"/>
      <c r="Y1299" s="1070"/>
      <c r="Z1299" s="1071" t="s">
        <v>1140</v>
      </c>
      <c r="AA1299" s="1071"/>
      <c r="AB1299" s="1071" t="s">
        <v>407</v>
      </c>
      <c r="AC1299" s="1072">
        <v>15.75</v>
      </c>
      <c r="AD1299" s="1031"/>
      <c r="AE1299" s="1031"/>
      <c r="AF1299" s="1031"/>
      <c r="AG1299" s="1031"/>
      <c r="AH1299" s="1031"/>
      <c r="AI1299" s="1031"/>
      <c r="AJ1299" s="1072"/>
      <c r="AK1299" s="1073"/>
      <c r="AL1299" s="1031"/>
      <c r="AM1299" s="1031"/>
      <c r="AN1299" s="1031"/>
      <c r="AO1299" s="1031"/>
      <c r="AP1299" s="1031"/>
      <c r="AQ1299" s="1031"/>
      <c r="AR1299" s="1031"/>
      <c r="AS1299" s="1072"/>
      <c r="AT1299" s="1075" t="s">
        <v>182</v>
      </c>
      <c r="AU1299" s="1078" t="s">
        <v>845</v>
      </c>
      <c r="AV1299" s="330">
        <f>SQRT(($R1299-Infrastructure!J$3)^2+($S1299-Infrastructure!K$3)^2)</f>
        <v>25.40944706</v>
      </c>
      <c r="AW1299" s="331">
        <f>SQRT(($R1299-Infrastructure!J$4)^2+($S1299-Infrastructure!K$4)^2)</f>
        <v>31.75862088</v>
      </c>
      <c r="AX1299" s="331">
        <f>SQRT(($R1299-Infrastructure!J$5)^2+($S1299-Infrastructure!K$5)^2)</f>
        <v>41.54708173</v>
      </c>
      <c r="AY1299" s="331">
        <f>SQRT(($R1299-Infrastructure!J$6)^2+($S1299-Infrastructure!K$6)^2)</f>
        <v>41.36568626</v>
      </c>
      <c r="AZ1299" s="331">
        <f>SQRT(($R1299-Infrastructure!J$7)^2+($S1299-Infrastructure!K$7)^2)</f>
        <v>39.46137352</v>
      </c>
      <c r="BA1299" s="331">
        <f>SQRT(($R1299-Infrastructure!J$8)^2+($S1299-Infrastructure!K$8)^2)</f>
        <v>40.08890121</v>
      </c>
      <c r="BB1299" s="331">
        <f>SQRT(($R1299-Infrastructure!J$9)^2+($S1299-Infrastructure!K$9)^2)</f>
        <v>38.68397601</v>
      </c>
      <c r="BC1299" s="331">
        <f>SQRT(($R1299-Infrastructure!J$10)^2+($S1299-Infrastructure!K$10)^2)</f>
        <v>30.15592811</v>
      </c>
      <c r="BD1299" s="331">
        <f>SQRT(($R1299-Infrastructure!J$11)^2+($S1299-Infrastructure!K$11)^2)</f>
        <v>20.51194774</v>
      </c>
      <c r="BE1299" s="333">
        <f>SQRT(($R1299-Infrastructure!J$12)^2+($S1299-Infrastructure!K$12)^2)</f>
        <v>15.84550409</v>
      </c>
      <c r="BF1299" s="330">
        <f t="shared" si="161"/>
        <v>15.84550409</v>
      </c>
      <c r="BG1299" s="333">
        <f t="shared" si="162"/>
        <v>41.54708173</v>
      </c>
      <c r="BH1299" s="943">
        <v>36526.0</v>
      </c>
      <c r="BI1299" s="319"/>
      <c r="BJ1299" s="319"/>
      <c r="BK1299" s="319"/>
      <c r="BL1299" s="319"/>
      <c r="BM1299" s="955"/>
      <c r="BN1299" s="319"/>
      <c r="BO1299" s="319"/>
      <c r="BP1299" s="953"/>
      <c r="BQ1299" s="319"/>
      <c r="BR1299" s="324"/>
      <c r="BS1299" s="330">
        <f t="shared" si="169"/>
        <v>0</v>
      </c>
      <c r="BT1299" s="331">
        <f t="shared" si="170"/>
        <v>0</v>
      </c>
      <c r="BU1299" s="920"/>
      <c r="BV1299" s="903">
        <f t="shared" si="171"/>
        <v>-0.6618634259</v>
      </c>
      <c r="BW1299" s="907"/>
      <c r="BX1299" s="908"/>
      <c r="BY1299" s="331" t="b">
        <f t="shared" si="166"/>
        <v>0</v>
      </c>
      <c r="BZ1299" s="340"/>
      <c r="CA1299" s="316"/>
      <c r="CB1299" s="318"/>
      <c r="CC1299" s="318"/>
      <c r="CD1299" s="318"/>
      <c r="CE1299" s="318"/>
      <c r="CF1299" s="318"/>
      <c r="CG1299" s="318"/>
      <c r="CH1299" s="318"/>
      <c r="CI1299" s="318"/>
      <c r="CJ1299" s="463"/>
      <c r="CK1299" s="342"/>
      <c r="CL1299" s="333"/>
      <c r="CM1299" s="1079"/>
      <c r="CN1299" s="1005"/>
      <c r="CO1299" s="1005"/>
      <c r="CP1299" s="1005"/>
    </row>
    <row r="1300">
      <c r="B1300" s="1029" t="s">
        <v>1916</v>
      </c>
      <c r="C1300" s="1002">
        <v>44594.0</v>
      </c>
      <c r="D1300" s="1030"/>
      <c r="E1300" s="1031"/>
      <c r="F1300" s="1005" t="s">
        <v>2006</v>
      </c>
      <c r="G1300" s="1006">
        <v>0.6658564814814815</v>
      </c>
      <c r="H1300" s="1007"/>
      <c r="I1300" s="1007"/>
      <c r="J1300" s="1028"/>
      <c r="K1300" s="1028">
        <v>0.6665509259259259</v>
      </c>
      <c r="L1300" s="323">
        <v>6.944444444444445E-4</v>
      </c>
      <c r="M1300" s="319" t="s">
        <v>166</v>
      </c>
      <c r="N1300" s="1005" t="s">
        <v>188</v>
      </c>
      <c r="O1300" s="1068"/>
      <c r="P1300" s="1031" t="s">
        <v>292</v>
      </c>
      <c r="Q1300" s="318"/>
      <c r="R1300" s="1080"/>
      <c r="S1300" s="1004"/>
      <c r="T1300" s="1005"/>
      <c r="U1300" s="1070"/>
      <c r="V1300" s="1070"/>
      <c r="W1300" s="1070"/>
      <c r="X1300" s="1070"/>
      <c r="Y1300" s="1070"/>
      <c r="Z1300" s="1071" t="s">
        <v>323</v>
      </c>
      <c r="AA1300" s="1071"/>
      <c r="AB1300" s="1071" t="s">
        <v>323</v>
      </c>
      <c r="AC1300" s="1072" t="s">
        <v>323</v>
      </c>
      <c r="AD1300" s="1031"/>
      <c r="AE1300" s="1031"/>
      <c r="AF1300" s="1031"/>
      <c r="AG1300" s="1031"/>
      <c r="AH1300" s="1031"/>
      <c r="AI1300" s="1031"/>
      <c r="AJ1300" s="1072"/>
      <c r="AK1300" s="1073"/>
      <c r="AL1300" s="1031"/>
      <c r="AM1300" s="1031"/>
      <c r="AN1300" s="1031"/>
      <c r="AO1300" s="1031"/>
      <c r="AP1300" s="1031"/>
      <c r="AQ1300" s="1031"/>
      <c r="AR1300" s="1031"/>
      <c r="AS1300" s="1072"/>
      <c r="AT1300" s="1075" t="s">
        <v>1949</v>
      </c>
      <c r="AU1300" s="1078" t="s">
        <v>845</v>
      </c>
      <c r="AV1300" s="330">
        <f>SQRT(($R1300-Infrastructure!J$3)^2+($S1300-Infrastructure!K$3)^2)</f>
        <v>28.90155705</v>
      </c>
      <c r="AW1300" s="331">
        <f>SQRT(($R1300-Infrastructure!J$4)^2+($S1300-Infrastructure!K$4)^2)</f>
        <v>17.80252791</v>
      </c>
      <c r="AX1300" s="331">
        <f>SQRT(($R1300-Infrastructure!J$5)^2+($S1300-Infrastructure!K$5)^2)</f>
        <v>5.10881591</v>
      </c>
      <c r="AY1300" s="331">
        <f>SQRT(($R1300-Infrastructure!J$6)^2+($S1300-Infrastructure!K$6)^2)</f>
        <v>10.10445446</v>
      </c>
      <c r="AZ1300" s="331">
        <f>SQRT(($R1300-Infrastructure!J$7)^2+($S1300-Infrastructure!K$7)^2)</f>
        <v>20.502195</v>
      </c>
      <c r="BA1300" s="331">
        <f>SQRT(($R1300-Infrastructure!J$8)^2+($S1300-Infrastructure!K$8)^2)</f>
        <v>30.10149498</v>
      </c>
      <c r="BB1300" s="331">
        <f>SQRT(($R1300-Infrastructure!J$9)^2+($S1300-Infrastructure!K$9)^2)</f>
        <v>40.3238143</v>
      </c>
      <c r="BC1300" s="331">
        <f>SQRT(($R1300-Infrastructure!J$10)^2+($S1300-Infrastructure!K$10)^2)</f>
        <v>42.72001873</v>
      </c>
      <c r="BD1300" s="331">
        <f>SQRT(($R1300-Infrastructure!J$11)^2+($S1300-Infrastructure!K$11)^2)</f>
        <v>49.56853841</v>
      </c>
      <c r="BE1300" s="333">
        <f>SQRT(($R1300-Infrastructure!J$12)^2+($S1300-Infrastructure!K$12)^2)</f>
        <v>59.51890456</v>
      </c>
      <c r="BF1300" s="330">
        <f t="shared" si="161"/>
        <v>5.10881591</v>
      </c>
      <c r="BG1300" s="333">
        <f t="shared" si="162"/>
        <v>59.51890456</v>
      </c>
      <c r="BH1300" s="943">
        <v>36526.0</v>
      </c>
      <c r="BI1300" s="319"/>
      <c r="BJ1300" s="319"/>
      <c r="BK1300" s="319"/>
      <c r="BL1300" s="319"/>
      <c r="BM1300" s="955"/>
      <c r="BN1300" s="319"/>
      <c r="BO1300" s="319"/>
      <c r="BP1300" s="953"/>
      <c r="BQ1300" s="319"/>
      <c r="BR1300" s="324"/>
      <c r="BS1300" s="330">
        <f t="shared" si="169"/>
        <v>0</v>
      </c>
      <c r="BT1300" s="331">
        <f t="shared" si="170"/>
        <v>0</v>
      </c>
      <c r="BU1300" s="920"/>
      <c r="BV1300" s="903">
        <f t="shared" si="171"/>
        <v>-0.6658564815</v>
      </c>
      <c r="BW1300" s="907"/>
      <c r="BX1300" s="908"/>
      <c r="BY1300" s="331" t="b">
        <f t="shared" si="166"/>
        <v>0</v>
      </c>
      <c r="BZ1300" s="340"/>
      <c r="CA1300" s="316"/>
      <c r="CB1300" s="318"/>
      <c r="CC1300" s="318"/>
      <c r="CD1300" s="318"/>
      <c r="CE1300" s="318"/>
      <c r="CF1300" s="318"/>
      <c r="CG1300" s="318"/>
      <c r="CH1300" s="318"/>
      <c r="CI1300" s="318"/>
      <c r="CJ1300" s="463"/>
      <c r="CK1300" s="342"/>
      <c r="CL1300" s="333"/>
      <c r="CM1300" s="1079"/>
      <c r="CN1300" s="1005"/>
      <c r="CO1300" s="1005"/>
      <c r="CP1300" s="1005"/>
    </row>
    <row r="1301">
      <c r="B1301" s="1029" t="s">
        <v>1916</v>
      </c>
      <c r="C1301" s="1002">
        <v>44594.0</v>
      </c>
      <c r="D1301" s="1030"/>
      <c r="E1301" s="1031">
        <v>10.0</v>
      </c>
      <c r="F1301" s="1005" t="s">
        <v>2007</v>
      </c>
      <c r="G1301" s="1006">
        <v>0.6752893518518519</v>
      </c>
      <c r="H1301" s="1007">
        <v>0.6756944444444445</v>
      </c>
      <c r="I1301" s="1007"/>
      <c r="J1301" s="1028"/>
      <c r="K1301" s="1028">
        <v>0.6782407407407407</v>
      </c>
      <c r="L1301" s="323">
        <v>0.0025462962962962965</v>
      </c>
      <c r="M1301" s="319" t="s">
        <v>358</v>
      </c>
      <c r="N1301" s="1005" t="s">
        <v>187</v>
      </c>
      <c r="O1301" s="1068" t="s">
        <v>198</v>
      </c>
      <c r="P1301" s="1031" t="s">
        <v>213</v>
      </c>
      <c r="Q1301" s="318"/>
      <c r="R1301" s="1069">
        <v>10.7</v>
      </c>
      <c r="S1301" s="1004">
        <v>10.9</v>
      </c>
      <c r="T1301" s="1005">
        <v>3.0</v>
      </c>
      <c r="U1301" s="1070">
        <v>5.0</v>
      </c>
      <c r="V1301" s="1070"/>
      <c r="W1301" s="1070"/>
      <c r="X1301" s="1070"/>
      <c r="Y1301" s="1070"/>
      <c r="Z1301" s="1071" t="s">
        <v>343</v>
      </c>
      <c r="AA1301" s="1071"/>
      <c r="AB1301" s="1071" t="s">
        <v>384</v>
      </c>
      <c r="AC1301" s="1072">
        <v>6.0</v>
      </c>
      <c r="AD1301" s="1031"/>
      <c r="AE1301" s="1031"/>
      <c r="AF1301" s="1031"/>
      <c r="AG1301" s="1031"/>
      <c r="AH1301" s="1031"/>
      <c r="AI1301" s="1031"/>
      <c r="AJ1301" s="1072"/>
      <c r="AK1301" s="1073"/>
      <c r="AL1301" s="1031"/>
      <c r="AM1301" s="1031"/>
      <c r="AN1301" s="1031"/>
      <c r="AO1301" s="1031"/>
      <c r="AP1301" s="1031"/>
      <c r="AQ1301" s="1031"/>
      <c r="AR1301" s="1031"/>
      <c r="AS1301" s="1072"/>
      <c r="AT1301" s="1075" t="s">
        <v>182</v>
      </c>
      <c r="AU1301" s="1078" t="s">
        <v>845</v>
      </c>
      <c r="AV1301" s="330">
        <f>SQRT(($R1301-Infrastructure!J$3)^2+($S1301-Infrastructure!K$3)^2)</f>
        <v>21.09502311</v>
      </c>
      <c r="AW1301" s="331">
        <f>SQRT(($R1301-Infrastructure!J$4)^2+($S1301-Infrastructure!K$4)^2)</f>
        <v>12.98499134</v>
      </c>
      <c r="AX1301" s="331">
        <f>SQRT(($R1301-Infrastructure!J$5)^2+($S1301-Infrastructure!K$5)^2)</f>
        <v>12.43543325</v>
      </c>
      <c r="AY1301" s="331">
        <f>SQRT(($R1301-Infrastructure!J$6)^2+($S1301-Infrastructure!K$6)^2)</f>
        <v>10.61696755</v>
      </c>
      <c r="AZ1301" s="331">
        <f>SQRT(($R1301-Infrastructure!J$7)^2+($S1301-Infrastructure!K$7)^2)</f>
        <v>14.43606595</v>
      </c>
      <c r="BA1301" s="331">
        <f>SQRT(($R1301-Infrastructure!J$8)^2+($S1301-Infrastructure!K$8)^2)</f>
        <v>22.10701246</v>
      </c>
      <c r="BB1301" s="331">
        <f>SQRT(($R1301-Infrastructure!J$9)^2+($S1301-Infrastructure!K$9)^2)</f>
        <v>29.86854533</v>
      </c>
      <c r="BC1301" s="331">
        <f>SQRT(($R1301-Infrastructure!J$10)^2+($S1301-Infrastructure!K$10)^2)</f>
        <v>29.58546941</v>
      </c>
      <c r="BD1301" s="331">
        <f>SQRT(($R1301-Infrastructure!J$11)^2+($S1301-Infrastructure!K$11)^2)</f>
        <v>34.61011413</v>
      </c>
      <c r="BE1301" s="333">
        <f>SQRT(($R1301-Infrastructure!J$12)^2+($S1301-Infrastructure!K$12)^2)</f>
        <v>45.8889965</v>
      </c>
      <c r="BF1301" s="330">
        <f t="shared" si="161"/>
        <v>10.61696755</v>
      </c>
      <c r="BG1301" s="333">
        <f t="shared" si="162"/>
        <v>45.8889965</v>
      </c>
      <c r="BH1301" s="943">
        <v>36526.0</v>
      </c>
      <c r="BI1301" s="319"/>
      <c r="BJ1301" s="319"/>
      <c r="BK1301" s="319"/>
      <c r="BL1301" s="319"/>
      <c r="BM1301" s="955"/>
      <c r="BN1301" s="319"/>
      <c r="BO1301" s="319"/>
      <c r="BP1301" s="953"/>
      <c r="BQ1301" s="319"/>
      <c r="BR1301" s="324"/>
      <c r="BS1301" s="330">
        <f t="shared" si="169"/>
        <v>0</v>
      </c>
      <c r="BT1301" s="331">
        <f t="shared" si="170"/>
        <v>0</v>
      </c>
      <c r="BU1301" s="920"/>
      <c r="BV1301" s="903">
        <f t="shared" si="171"/>
        <v>-0.6752893519</v>
      </c>
      <c r="BW1301" s="907"/>
      <c r="BX1301" s="908"/>
      <c r="BY1301" s="331" t="b">
        <f t="shared" si="166"/>
        <v>0</v>
      </c>
      <c r="BZ1301" s="340"/>
      <c r="CA1301" s="316"/>
      <c r="CB1301" s="318"/>
      <c r="CC1301" s="318"/>
      <c r="CD1301" s="318"/>
      <c r="CE1301" s="318"/>
      <c r="CF1301" s="318"/>
      <c r="CG1301" s="318"/>
      <c r="CH1301" s="318"/>
      <c r="CI1301" s="318"/>
      <c r="CJ1301" s="463"/>
      <c r="CK1301" s="342"/>
      <c r="CL1301" s="333"/>
      <c r="CM1301" s="1079" t="s">
        <v>1918</v>
      </c>
      <c r="CN1301" s="1005"/>
      <c r="CO1301" s="1005"/>
      <c r="CP1301" s="1005"/>
    </row>
    <row r="1302">
      <c r="B1302" s="1029" t="s">
        <v>1916</v>
      </c>
      <c r="C1302" s="1002">
        <v>44594.0</v>
      </c>
      <c r="D1302" s="1030"/>
      <c r="E1302" s="1031" t="s">
        <v>1356</v>
      </c>
      <c r="F1302" s="1005" t="s">
        <v>2008</v>
      </c>
      <c r="G1302" s="1006">
        <v>0.6808449074074074</v>
      </c>
      <c r="H1302" s="1007">
        <v>0.68125</v>
      </c>
      <c r="I1302" s="1007"/>
      <c r="J1302" s="1028"/>
      <c r="K1302" s="1028">
        <v>0.6835069444444445</v>
      </c>
      <c r="L1302" s="323">
        <v>0.0022569444444444442</v>
      </c>
      <c r="M1302" s="319" t="s">
        <v>358</v>
      </c>
      <c r="N1302" s="1005" t="s">
        <v>187</v>
      </c>
      <c r="O1302" s="1068" t="s">
        <v>323</v>
      </c>
      <c r="P1302" s="1031" t="s">
        <v>269</v>
      </c>
      <c r="Q1302" s="318"/>
      <c r="R1302" s="1069">
        <v>8.0</v>
      </c>
      <c r="S1302" s="1004">
        <v>10.9</v>
      </c>
      <c r="T1302" s="1005">
        <v>1.5</v>
      </c>
      <c r="U1302" s="1070">
        <v>4.0</v>
      </c>
      <c r="V1302" s="1070"/>
      <c r="W1302" s="1070"/>
      <c r="X1302" s="1070"/>
      <c r="Y1302" s="1070"/>
      <c r="Z1302" s="1071" t="s">
        <v>343</v>
      </c>
      <c r="AA1302" s="1071"/>
      <c r="AB1302" s="1071" t="s">
        <v>363</v>
      </c>
      <c r="AC1302" s="1072">
        <v>10.0</v>
      </c>
      <c r="AD1302" s="1031"/>
      <c r="AE1302" s="1031"/>
      <c r="AF1302" s="1031"/>
      <c r="AG1302" s="1031"/>
      <c r="AH1302" s="1031"/>
      <c r="AI1302" s="1031"/>
      <c r="AJ1302" s="1072"/>
      <c r="AK1302" s="1073"/>
      <c r="AL1302" s="1031"/>
      <c r="AM1302" s="1031"/>
      <c r="AN1302" s="1031"/>
      <c r="AO1302" s="1031"/>
      <c r="AP1302" s="1031"/>
      <c r="AQ1302" s="1031"/>
      <c r="AR1302" s="1031"/>
      <c r="AS1302" s="1072"/>
      <c r="AT1302" s="1075" t="s">
        <v>182</v>
      </c>
      <c r="AU1302" s="1078" t="s">
        <v>845</v>
      </c>
      <c r="AV1302" s="330">
        <f>SQRT(($R1302-Infrastructure!J$3)^2+($S1302-Infrastructure!K$3)^2)</f>
        <v>19.82145302</v>
      </c>
      <c r="AW1302" s="331">
        <f>SQRT(($R1302-Infrastructure!J$4)^2+($S1302-Infrastructure!K$4)^2)</f>
        <v>10.79351657</v>
      </c>
      <c r="AX1302" s="331">
        <f>SQRT(($R1302-Infrastructure!J$5)^2+($S1302-Infrastructure!K$5)^2)</f>
        <v>10.12570985</v>
      </c>
      <c r="AY1302" s="331">
        <f>SQRT(($R1302-Infrastructure!J$6)^2+($S1302-Infrastructure!K$6)^2)</f>
        <v>10.80601684</v>
      </c>
      <c r="AZ1302" s="331">
        <f>SQRT(($R1302-Infrastructure!J$7)^2+($S1302-Infrastructure!K$7)^2)</f>
        <v>16.38932579</v>
      </c>
      <c r="BA1302" s="331">
        <f>SQRT(($R1302-Infrastructure!J$8)^2+($S1302-Infrastructure!K$8)^2)</f>
        <v>24.51060995</v>
      </c>
      <c r="BB1302" s="331">
        <f>SQRT(($R1302-Infrastructure!J$9)^2+($S1302-Infrastructure!K$9)^2)</f>
        <v>32.52137758</v>
      </c>
      <c r="BC1302" s="331">
        <f>SQRT(($R1302-Infrastructure!J$10)^2+($S1302-Infrastructure!K$10)^2)</f>
        <v>32.26158707</v>
      </c>
      <c r="BD1302" s="331">
        <f>SQRT(($R1302-Infrastructure!J$11)^2+($S1302-Infrastructure!K$11)^2)</f>
        <v>36.93846234</v>
      </c>
      <c r="BE1302" s="333">
        <f>SQRT(($R1302-Infrastructure!J$12)^2+($S1302-Infrastructure!K$12)^2)</f>
        <v>46.59839053</v>
      </c>
      <c r="BF1302" s="330">
        <f t="shared" si="161"/>
        <v>10.12570985</v>
      </c>
      <c r="BG1302" s="333">
        <f t="shared" si="162"/>
        <v>46.59839053</v>
      </c>
      <c r="BH1302" s="943">
        <v>36526.0</v>
      </c>
      <c r="BI1302" s="319"/>
      <c r="BJ1302" s="319" t="s">
        <v>846</v>
      </c>
      <c r="BK1302" s="319" t="s">
        <v>846</v>
      </c>
      <c r="BL1302" s="319" t="s">
        <v>846</v>
      </c>
      <c r="BM1302" s="955"/>
      <c r="BN1302" s="319"/>
      <c r="BO1302" s="319"/>
      <c r="BP1302" s="953"/>
      <c r="BQ1302" s="319"/>
      <c r="BR1302" s="324"/>
      <c r="BS1302" s="330">
        <f t="shared" si="169"/>
        <v>10.12570985</v>
      </c>
      <c r="BT1302" s="331">
        <f t="shared" si="170"/>
        <v>10.80601684</v>
      </c>
      <c r="BU1302" s="920">
        <v>0.6802083333333333</v>
      </c>
      <c r="BV1302" s="903">
        <f t="shared" si="171"/>
        <v>-0.0006365740741</v>
      </c>
      <c r="BW1302" s="907">
        <v>3.1</v>
      </c>
      <c r="BX1302" s="908">
        <v>6.8</v>
      </c>
      <c r="BY1302" s="331">
        <f t="shared" si="166"/>
        <v>6.389053138</v>
      </c>
      <c r="BZ1302" s="340"/>
      <c r="CA1302" s="316"/>
      <c r="CB1302" s="318"/>
      <c r="CC1302" s="318"/>
      <c r="CD1302" s="318"/>
      <c r="CE1302" s="318"/>
      <c r="CF1302" s="318"/>
      <c r="CG1302" s="318"/>
      <c r="CH1302" s="318"/>
      <c r="CI1302" s="318"/>
      <c r="CJ1302" s="463"/>
      <c r="CK1302" s="342"/>
      <c r="CL1302" s="333"/>
      <c r="CM1302" s="1079" t="s">
        <v>1918</v>
      </c>
      <c r="CN1302" s="1005"/>
      <c r="CO1302" s="1005"/>
      <c r="CP1302" s="1005"/>
    </row>
    <row r="1303">
      <c r="B1303" s="1029" t="s">
        <v>1916</v>
      </c>
      <c r="C1303" s="1002">
        <v>44594.0</v>
      </c>
      <c r="D1303" s="1030"/>
      <c r="E1303" s="1031" t="s">
        <v>1360</v>
      </c>
      <c r="F1303" s="1005" t="s">
        <v>2009</v>
      </c>
      <c r="G1303" s="1006">
        <v>0.6835069444444445</v>
      </c>
      <c r="H1303" s="1007">
        <v>0.6837384259259259</v>
      </c>
      <c r="I1303" s="1007"/>
      <c r="J1303" s="1028"/>
      <c r="K1303" s="1028">
        <v>0.684837962962963</v>
      </c>
      <c r="L1303" s="323">
        <v>0.001099537037037037</v>
      </c>
      <c r="M1303" s="319" t="s">
        <v>358</v>
      </c>
      <c r="N1303" s="1005" t="s">
        <v>187</v>
      </c>
      <c r="O1303" s="1068" t="s">
        <v>323</v>
      </c>
      <c r="P1303" s="1031" t="s">
        <v>269</v>
      </c>
      <c r="Q1303" s="318"/>
      <c r="R1303" s="1069">
        <v>8.0</v>
      </c>
      <c r="S1303" s="1004">
        <v>10.9</v>
      </c>
      <c r="T1303" s="1005">
        <v>1.5</v>
      </c>
      <c r="U1303" s="1070">
        <v>2.0</v>
      </c>
      <c r="V1303" s="1070"/>
      <c r="W1303" s="1070"/>
      <c r="X1303" s="1070"/>
      <c r="Y1303" s="1070"/>
      <c r="Z1303" s="1071" t="s">
        <v>343</v>
      </c>
      <c r="AA1303" s="1071"/>
      <c r="AB1303" s="1071" t="s">
        <v>363</v>
      </c>
      <c r="AC1303" s="1072">
        <v>10.0</v>
      </c>
      <c r="AD1303" s="1031"/>
      <c r="AE1303" s="1031"/>
      <c r="AF1303" s="1031"/>
      <c r="AG1303" s="1031"/>
      <c r="AH1303" s="1031"/>
      <c r="AI1303" s="1031"/>
      <c r="AJ1303" s="1072"/>
      <c r="AK1303" s="1073"/>
      <c r="AL1303" s="1031"/>
      <c r="AM1303" s="1031"/>
      <c r="AN1303" s="1031"/>
      <c r="AO1303" s="1031"/>
      <c r="AP1303" s="1031"/>
      <c r="AQ1303" s="1031"/>
      <c r="AR1303" s="1031"/>
      <c r="AS1303" s="1072"/>
      <c r="AT1303" s="1075" t="s">
        <v>182</v>
      </c>
      <c r="AU1303" s="1078" t="s">
        <v>845</v>
      </c>
      <c r="AV1303" s="330">
        <f>SQRT(($R1303-Infrastructure!J$3)^2+($S1303-Infrastructure!K$3)^2)</f>
        <v>19.82145302</v>
      </c>
      <c r="AW1303" s="331">
        <f>SQRT(($R1303-Infrastructure!J$4)^2+($S1303-Infrastructure!K$4)^2)</f>
        <v>10.79351657</v>
      </c>
      <c r="AX1303" s="331">
        <f>SQRT(($R1303-Infrastructure!J$5)^2+($S1303-Infrastructure!K$5)^2)</f>
        <v>10.12570985</v>
      </c>
      <c r="AY1303" s="331">
        <f>SQRT(($R1303-Infrastructure!J$6)^2+($S1303-Infrastructure!K$6)^2)</f>
        <v>10.80601684</v>
      </c>
      <c r="AZ1303" s="331">
        <f>SQRT(($R1303-Infrastructure!J$7)^2+($S1303-Infrastructure!K$7)^2)</f>
        <v>16.38932579</v>
      </c>
      <c r="BA1303" s="331">
        <f>SQRT(($R1303-Infrastructure!J$8)^2+($S1303-Infrastructure!K$8)^2)</f>
        <v>24.51060995</v>
      </c>
      <c r="BB1303" s="331">
        <f>SQRT(($R1303-Infrastructure!J$9)^2+($S1303-Infrastructure!K$9)^2)</f>
        <v>32.52137758</v>
      </c>
      <c r="BC1303" s="331">
        <f>SQRT(($R1303-Infrastructure!J$10)^2+($S1303-Infrastructure!K$10)^2)</f>
        <v>32.26158707</v>
      </c>
      <c r="BD1303" s="331">
        <f>SQRT(($R1303-Infrastructure!J$11)^2+($S1303-Infrastructure!K$11)^2)</f>
        <v>36.93846234</v>
      </c>
      <c r="BE1303" s="333">
        <f>SQRT(($R1303-Infrastructure!J$12)^2+($S1303-Infrastructure!K$12)^2)</f>
        <v>46.59839053</v>
      </c>
      <c r="BF1303" s="330">
        <f t="shared" si="161"/>
        <v>10.12570985</v>
      </c>
      <c r="BG1303" s="333">
        <f t="shared" si="162"/>
        <v>46.59839053</v>
      </c>
      <c r="BH1303" s="943">
        <v>36526.0</v>
      </c>
      <c r="BI1303" s="319"/>
      <c r="BJ1303" s="319"/>
      <c r="BK1303" s="319"/>
      <c r="BL1303" s="319"/>
      <c r="BM1303" s="955"/>
      <c r="BN1303" s="319"/>
      <c r="BO1303" s="319"/>
      <c r="BP1303" s="953"/>
      <c r="BQ1303" s="319"/>
      <c r="BR1303" s="324"/>
      <c r="BS1303" s="330">
        <f t="shared" si="169"/>
        <v>0</v>
      </c>
      <c r="BT1303" s="331">
        <f t="shared" si="170"/>
        <v>0</v>
      </c>
      <c r="BU1303" s="920"/>
      <c r="BV1303" s="903">
        <f t="shared" si="171"/>
        <v>-0.6835069444</v>
      </c>
      <c r="BW1303" s="907"/>
      <c r="BX1303" s="908"/>
      <c r="BY1303" s="331" t="b">
        <f t="shared" si="166"/>
        <v>0</v>
      </c>
      <c r="BZ1303" s="340"/>
      <c r="CA1303" s="316"/>
      <c r="CB1303" s="318"/>
      <c r="CC1303" s="318"/>
      <c r="CD1303" s="318"/>
      <c r="CE1303" s="318"/>
      <c r="CF1303" s="318"/>
      <c r="CG1303" s="318"/>
      <c r="CH1303" s="318"/>
      <c r="CI1303" s="318"/>
      <c r="CJ1303" s="463"/>
      <c r="CK1303" s="342"/>
      <c r="CL1303" s="333"/>
      <c r="CM1303" s="1079" t="s">
        <v>1918</v>
      </c>
      <c r="CN1303" s="1005"/>
      <c r="CO1303" s="1005"/>
      <c r="CP1303" s="1005"/>
    </row>
    <row r="1304">
      <c r="B1304" s="1029" t="s">
        <v>1916</v>
      </c>
      <c r="C1304" s="1002">
        <v>44594.0</v>
      </c>
      <c r="D1304" s="1030"/>
      <c r="E1304" s="1031" t="s">
        <v>1362</v>
      </c>
      <c r="F1304" s="1005" t="s">
        <v>2010</v>
      </c>
      <c r="G1304" s="1006">
        <v>0.684837962962963</v>
      </c>
      <c r="H1304" s="1007">
        <v>0.6854166666666667</v>
      </c>
      <c r="I1304" s="1007"/>
      <c r="J1304" s="1028"/>
      <c r="K1304" s="1028">
        <v>0.6869791666666667</v>
      </c>
      <c r="L1304" s="323">
        <v>0.0015625</v>
      </c>
      <c r="M1304" s="319" t="s">
        <v>358</v>
      </c>
      <c r="N1304" s="1005" t="s">
        <v>187</v>
      </c>
      <c r="O1304" s="1068" t="s">
        <v>323</v>
      </c>
      <c r="P1304" s="1031" t="s">
        <v>269</v>
      </c>
      <c r="Q1304" s="318"/>
      <c r="R1304" s="1069">
        <v>8.0</v>
      </c>
      <c r="S1304" s="1004">
        <v>10.9</v>
      </c>
      <c r="T1304" s="1005">
        <v>1.5</v>
      </c>
      <c r="U1304" s="1070">
        <v>1.0</v>
      </c>
      <c r="V1304" s="1070"/>
      <c r="W1304" s="1070"/>
      <c r="X1304" s="1070"/>
      <c r="Y1304" s="1070"/>
      <c r="Z1304" s="1071" t="s">
        <v>343</v>
      </c>
      <c r="AA1304" s="1071"/>
      <c r="AB1304" s="1071" t="s">
        <v>363</v>
      </c>
      <c r="AC1304" s="1072">
        <v>10.0</v>
      </c>
      <c r="AD1304" s="1031"/>
      <c r="AE1304" s="1031"/>
      <c r="AF1304" s="1031"/>
      <c r="AG1304" s="1031"/>
      <c r="AH1304" s="1031"/>
      <c r="AI1304" s="1031"/>
      <c r="AJ1304" s="1072"/>
      <c r="AK1304" s="1073"/>
      <c r="AL1304" s="1031"/>
      <c r="AM1304" s="1031"/>
      <c r="AN1304" s="1031"/>
      <c r="AO1304" s="1031"/>
      <c r="AP1304" s="1031"/>
      <c r="AQ1304" s="1031"/>
      <c r="AR1304" s="1031"/>
      <c r="AS1304" s="1072"/>
      <c r="AT1304" s="1075" t="s">
        <v>182</v>
      </c>
      <c r="AU1304" s="1078" t="s">
        <v>845</v>
      </c>
      <c r="AV1304" s="330">
        <f>SQRT(($R1304-Infrastructure!J$3)^2+($S1304-Infrastructure!K$3)^2)</f>
        <v>19.82145302</v>
      </c>
      <c r="AW1304" s="331">
        <f>SQRT(($R1304-Infrastructure!J$4)^2+($S1304-Infrastructure!K$4)^2)</f>
        <v>10.79351657</v>
      </c>
      <c r="AX1304" s="331">
        <f>SQRT(($R1304-Infrastructure!J$5)^2+($S1304-Infrastructure!K$5)^2)</f>
        <v>10.12570985</v>
      </c>
      <c r="AY1304" s="331">
        <f>SQRT(($R1304-Infrastructure!J$6)^2+($S1304-Infrastructure!K$6)^2)</f>
        <v>10.80601684</v>
      </c>
      <c r="AZ1304" s="331">
        <f>SQRT(($R1304-Infrastructure!J$7)^2+($S1304-Infrastructure!K$7)^2)</f>
        <v>16.38932579</v>
      </c>
      <c r="BA1304" s="331">
        <f>SQRT(($R1304-Infrastructure!J$8)^2+($S1304-Infrastructure!K$8)^2)</f>
        <v>24.51060995</v>
      </c>
      <c r="BB1304" s="331">
        <f>SQRT(($R1304-Infrastructure!J$9)^2+($S1304-Infrastructure!K$9)^2)</f>
        <v>32.52137758</v>
      </c>
      <c r="BC1304" s="331">
        <f>SQRT(($R1304-Infrastructure!J$10)^2+($S1304-Infrastructure!K$10)^2)</f>
        <v>32.26158707</v>
      </c>
      <c r="BD1304" s="331">
        <f>SQRT(($R1304-Infrastructure!J$11)^2+($S1304-Infrastructure!K$11)^2)</f>
        <v>36.93846234</v>
      </c>
      <c r="BE1304" s="333">
        <f>SQRT(($R1304-Infrastructure!J$12)^2+($S1304-Infrastructure!K$12)^2)</f>
        <v>46.59839053</v>
      </c>
      <c r="BF1304" s="330">
        <f t="shared" si="161"/>
        <v>10.12570985</v>
      </c>
      <c r="BG1304" s="333">
        <f t="shared" si="162"/>
        <v>46.59839053</v>
      </c>
      <c r="BH1304" s="943">
        <v>36526.0</v>
      </c>
      <c r="BI1304" s="319"/>
      <c r="BJ1304" s="319"/>
      <c r="BK1304" s="319"/>
      <c r="BL1304" s="319"/>
      <c r="BM1304" s="955"/>
      <c r="BN1304" s="319"/>
      <c r="BO1304" s="319"/>
      <c r="BP1304" s="953"/>
      <c r="BQ1304" s="319"/>
      <c r="BR1304" s="324"/>
      <c r="BS1304" s="330">
        <f t="shared" si="169"/>
        <v>0</v>
      </c>
      <c r="BT1304" s="331">
        <f t="shared" si="170"/>
        <v>0</v>
      </c>
      <c r="BU1304" s="920"/>
      <c r="BV1304" s="903">
        <f t="shared" si="171"/>
        <v>-0.684837963</v>
      </c>
      <c r="BW1304" s="907"/>
      <c r="BX1304" s="908"/>
      <c r="BY1304" s="331" t="b">
        <f t="shared" si="166"/>
        <v>0</v>
      </c>
      <c r="BZ1304" s="340"/>
      <c r="CA1304" s="316"/>
      <c r="CB1304" s="318"/>
      <c r="CC1304" s="318"/>
      <c r="CD1304" s="318"/>
      <c r="CE1304" s="318"/>
      <c r="CF1304" s="318"/>
      <c r="CG1304" s="318"/>
      <c r="CH1304" s="318"/>
      <c r="CI1304" s="318"/>
      <c r="CJ1304" s="463"/>
      <c r="CK1304" s="342"/>
      <c r="CL1304" s="333"/>
      <c r="CM1304" s="1079" t="s">
        <v>1918</v>
      </c>
      <c r="CN1304" s="1005"/>
      <c r="CO1304" s="1005"/>
      <c r="CP1304" s="1005"/>
    </row>
    <row r="1305">
      <c r="B1305" s="1029" t="s">
        <v>1916</v>
      </c>
      <c r="C1305" s="1002">
        <v>44594.0</v>
      </c>
      <c r="D1305" s="1030"/>
      <c r="E1305" s="1031" t="s">
        <v>1228</v>
      </c>
      <c r="F1305" s="1005" t="s">
        <v>2011</v>
      </c>
      <c r="G1305" s="1006">
        <v>0.688599537037037</v>
      </c>
      <c r="H1305" s="1007">
        <v>0.6888888888888889</v>
      </c>
      <c r="I1305" s="1007"/>
      <c r="J1305" s="1028"/>
      <c r="K1305" s="1028">
        <v>0.6918402777777778</v>
      </c>
      <c r="L1305" s="323">
        <v>0.002951388888888889</v>
      </c>
      <c r="M1305" s="319" t="s">
        <v>358</v>
      </c>
      <c r="N1305" s="1005" t="s">
        <v>187</v>
      </c>
      <c r="O1305" s="1068" t="s">
        <v>204</v>
      </c>
      <c r="P1305" s="1031" t="s">
        <v>247</v>
      </c>
      <c r="Q1305" s="318"/>
      <c r="R1305" s="1069">
        <v>18.3</v>
      </c>
      <c r="S1305" s="1004">
        <v>3.9</v>
      </c>
      <c r="T1305" s="1005">
        <v>1.82</v>
      </c>
      <c r="U1305" s="1070">
        <v>2.0</v>
      </c>
      <c r="V1305" s="1070"/>
      <c r="W1305" s="1070"/>
      <c r="X1305" s="1070"/>
      <c r="Y1305" s="1070"/>
      <c r="Z1305" s="1071" t="s">
        <v>365</v>
      </c>
      <c r="AA1305" s="1071"/>
      <c r="AB1305" s="1071" t="s">
        <v>392</v>
      </c>
      <c r="AC1305" s="1072">
        <v>10.0</v>
      </c>
      <c r="AD1305" s="1031"/>
      <c r="AE1305" s="1031"/>
      <c r="AF1305" s="1031"/>
      <c r="AG1305" s="1031"/>
      <c r="AH1305" s="1031"/>
      <c r="AI1305" s="1031"/>
      <c r="AJ1305" s="1072"/>
      <c r="AK1305" s="1073"/>
      <c r="AL1305" s="1031"/>
      <c r="AM1305" s="1031"/>
      <c r="AN1305" s="1031"/>
      <c r="AO1305" s="1031"/>
      <c r="AP1305" s="1031"/>
      <c r="AQ1305" s="1031"/>
      <c r="AR1305" s="1031"/>
      <c r="AS1305" s="1072"/>
      <c r="AT1305" s="1075" t="s">
        <v>182</v>
      </c>
      <c r="AU1305" s="1078" t="s">
        <v>845</v>
      </c>
      <c r="AV1305" s="330">
        <f>SQRT(($R1305-Infrastructure!J$3)^2+($S1305-Infrastructure!K$3)^2)</f>
        <v>31.16023106</v>
      </c>
      <c r="AW1305" s="331">
        <f>SQRT(($R1305-Infrastructure!J$4)^2+($S1305-Infrastructure!K$4)^2)</f>
        <v>23.22003445</v>
      </c>
      <c r="AX1305" s="331">
        <f>SQRT(($R1305-Infrastructure!J$5)^2+($S1305-Infrastructure!K$5)^2)</f>
        <v>18.63866948</v>
      </c>
      <c r="AY1305" s="331">
        <f>SQRT(($R1305-Infrastructure!J$6)^2+($S1305-Infrastructure!K$6)^2)</f>
        <v>8.955445271</v>
      </c>
      <c r="AZ1305" s="331">
        <f>SQRT(($R1305-Infrastructure!J$7)^2+($S1305-Infrastructure!K$7)^2)</f>
        <v>4.219004622</v>
      </c>
      <c r="BA1305" s="331">
        <f>SQRT(($R1305-Infrastructure!J$8)^2+($S1305-Infrastructure!K$8)^2)</f>
        <v>12.33693641</v>
      </c>
      <c r="BB1305" s="331">
        <f>SQRT(($R1305-Infrastructure!J$9)^2+($S1305-Infrastructure!K$9)^2)</f>
        <v>21.7331544</v>
      </c>
      <c r="BC1305" s="331">
        <f>SQRT(($R1305-Infrastructure!J$10)^2+($S1305-Infrastructure!K$10)^2)</f>
        <v>24.37416665</v>
      </c>
      <c r="BD1305" s="331">
        <f>SQRT(($R1305-Infrastructure!J$11)^2+($S1305-Infrastructure!K$11)^2)</f>
        <v>33.31095916</v>
      </c>
      <c r="BE1305" s="333">
        <f>SQRT(($R1305-Infrastructure!J$12)^2+($S1305-Infrastructure!K$12)^2)</f>
        <v>51.69912959</v>
      </c>
      <c r="BF1305" s="330">
        <f t="shared" si="161"/>
        <v>4.219004622</v>
      </c>
      <c r="BG1305" s="333">
        <f t="shared" si="162"/>
        <v>51.69912959</v>
      </c>
      <c r="BH1305" s="943">
        <v>36526.0</v>
      </c>
      <c r="BI1305" s="319"/>
      <c r="BJ1305" s="319"/>
      <c r="BK1305" s="319"/>
      <c r="BL1305" s="319"/>
      <c r="BM1305" s="955"/>
      <c r="BN1305" s="319"/>
      <c r="BO1305" s="319"/>
      <c r="BP1305" s="953"/>
      <c r="BQ1305" s="319"/>
      <c r="BR1305" s="324"/>
      <c r="BS1305" s="330">
        <f t="shared" si="169"/>
        <v>0</v>
      </c>
      <c r="BT1305" s="331">
        <f t="shared" si="170"/>
        <v>0</v>
      </c>
      <c r="BU1305" s="920"/>
      <c r="BV1305" s="903">
        <f t="shared" si="171"/>
        <v>-0.688599537</v>
      </c>
      <c r="BW1305" s="907"/>
      <c r="BX1305" s="908"/>
      <c r="BY1305" s="331" t="b">
        <f t="shared" si="166"/>
        <v>0</v>
      </c>
      <c r="BZ1305" s="340"/>
      <c r="CA1305" s="316"/>
      <c r="CB1305" s="318"/>
      <c r="CC1305" s="318"/>
      <c r="CD1305" s="318"/>
      <c r="CE1305" s="318"/>
      <c r="CF1305" s="318"/>
      <c r="CG1305" s="318"/>
      <c r="CH1305" s="318"/>
      <c r="CI1305" s="318"/>
      <c r="CJ1305" s="463"/>
      <c r="CK1305" s="342"/>
      <c r="CL1305" s="333"/>
      <c r="CM1305" s="1079" t="s">
        <v>1918</v>
      </c>
      <c r="CN1305" s="1005"/>
      <c r="CO1305" s="1005"/>
      <c r="CP1305" s="1005"/>
    </row>
    <row r="1306">
      <c r="B1306" s="1029" t="s">
        <v>1916</v>
      </c>
      <c r="C1306" s="1002">
        <v>44594.0</v>
      </c>
      <c r="D1306" s="1030"/>
      <c r="E1306" s="1031" t="s">
        <v>1229</v>
      </c>
      <c r="F1306" s="1005" t="s">
        <v>2012</v>
      </c>
      <c r="G1306" s="1006">
        <v>0.6921296296296297</v>
      </c>
      <c r="H1306" s="1007">
        <v>0.6923611111111111</v>
      </c>
      <c r="I1306" s="1007"/>
      <c r="J1306" s="1028"/>
      <c r="K1306" s="1028">
        <v>0.6940972222222223</v>
      </c>
      <c r="L1306" s="323">
        <v>0.001736111111111111</v>
      </c>
      <c r="M1306" s="319" t="s">
        <v>358</v>
      </c>
      <c r="N1306" s="1005" t="s">
        <v>187</v>
      </c>
      <c r="O1306" s="1068" t="s">
        <v>204</v>
      </c>
      <c r="P1306" s="1031" t="s">
        <v>247</v>
      </c>
      <c r="Q1306" s="318"/>
      <c r="R1306" s="1069">
        <v>18.3</v>
      </c>
      <c r="S1306" s="1004">
        <v>3.9</v>
      </c>
      <c r="T1306" s="1005">
        <v>1.82</v>
      </c>
      <c r="U1306" s="1070">
        <v>1.0</v>
      </c>
      <c r="V1306" s="1070"/>
      <c r="W1306" s="1070"/>
      <c r="X1306" s="1070"/>
      <c r="Y1306" s="1070"/>
      <c r="Z1306" s="1071" t="s">
        <v>365</v>
      </c>
      <c r="AA1306" s="1071"/>
      <c r="AB1306" s="1071" t="s">
        <v>392</v>
      </c>
      <c r="AC1306" s="1072">
        <v>10.0</v>
      </c>
      <c r="AD1306" s="1031"/>
      <c r="AE1306" s="1031"/>
      <c r="AF1306" s="1031"/>
      <c r="AG1306" s="1031"/>
      <c r="AH1306" s="1031"/>
      <c r="AI1306" s="1031"/>
      <c r="AJ1306" s="1072"/>
      <c r="AK1306" s="1073"/>
      <c r="AL1306" s="1031"/>
      <c r="AM1306" s="1031"/>
      <c r="AN1306" s="1031"/>
      <c r="AO1306" s="1031"/>
      <c r="AP1306" s="1031"/>
      <c r="AQ1306" s="1031"/>
      <c r="AR1306" s="1031"/>
      <c r="AS1306" s="1072"/>
      <c r="AT1306" s="1075" t="s">
        <v>182</v>
      </c>
      <c r="AU1306" s="1078" t="s">
        <v>845</v>
      </c>
      <c r="AV1306" s="330">
        <f>SQRT(($R1306-Infrastructure!J$3)^2+($S1306-Infrastructure!K$3)^2)</f>
        <v>31.16023106</v>
      </c>
      <c r="AW1306" s="331">
        <f>SQRT(($R1306-Infrastructure!J$4)^2+($S1306-Infrastructure!K$4)^2)</f>
        <v>23.22003445</v>
      </c>
      <c r="AX1306" s="331">
        <f>SQRT(($R1306-Infrastructure!J$5)^2+($S1306-Infrastructure!K$5)^2)</f>
        <v>18.63866948</v>
      </c>
      <c r="AY1306" s="331">
        <f>SQRT(($R1306-Infrastructure!J$6)^2+($S1306-Infrastructure!K$6)^2)</f>
        <v>8.955445271</v>
      </c>
      <c r="AZ1306" s="331">
        <f>SQRT(($R1306-Infrastructure!J$7)^2+($S1306-Infrastructure!K$7)^2)</f>
        <v>4.219004622</v>
      </c>
      <c r="BA1306" s="331">
        <f>SQRT(($R1306-Infrastructure!J$8)^2+($S1306-Infrastructure!K$8)^2)</f>
        <v>12.33693641</v>
      </c>
      <c r="BB1306" s="331">
        <f>SQRT(($R1306-Infrastructure!J$9)^2+($S1306-Infrastructure!K$9)^2)</f>
        <v>21.7331544</v>
      </c>
      <c r="BC1306" s="331">
        <f>SQRT(($R1306-Infrastructure!J$10)^2+($S1306-Infrastructure!K$10)^2)</f>
        <v>24.37416665</v>
      </c>
      <c r="BD1306" s="331">
        <f>SQRT(($R1306-Infrastructure!J$11)^2+($S1306-Infrastructure!K$11)^2)</f>
        <v>33.31095916</v>
      </c>
      <c r="BE1306" s="333">
        <f>SQRT(($R1306-Infrastructure!J$12)^2+($S1306-Infrastructure!K$12)^2)</f>
        <v>51.69912959</v>
      </c>
      <c r="BF1306" s="330">
        <f t="shared" si="161"/>
        <v>4.219004622</v>
      </c>
      <c r="BG1306" s="333">
        <f t="shared" si="162"/>
        <v>51.69912959</v>
      </c>
      <c r="BH1306" s="943">
        <v>36526.0</v>
      </c>
      <c r="BI1306" s="319"/>
      <c r="BJ1306" s="319"/>
      <c r="BK1306" s="319"/>
      <c r="BL1306" s="319"/>
      <c r="BM1306" s="955"/>
      <c r="BN1306" s="319"/>
      <c r="BO1306" s="319"/>
      <c r="BP1306" s="953"/>
      <c r="BQ1306" s="319"/>
      <c r="BR1306" s="324"/>
      <c r="BS1306" s="330">
        <f t="shared" si="169"/>
        <v>0</v>
      </c>
      <c r="BT1306" s="331">
        <f t="shared" si="170"/>
        <v>0</v>
      </c>
      <c r="BU1306" s="920"/>
      <c r="BV1306" s="903">
        <f t="shared" si="171"/>
        <v>-0.6921296296</v>
      </c>
      <c r="BW1306" s="907"/>
      <c r="BX1306" s="908"/>
      <c r="BY1306" s="331" t="b">
        <f t="shared" si="166"/>
        <v>0</v>
      </c>
      <c r="BZ1306" s="340"/>
      <c r="CA1306" s="316"/>
      <c r="CB1306" s="318"/>
      <c r="CC1306" s="318"/>
      <c r="CD1306" s="318"/>
      <c r="CE1306" s="318"/>
      <c r="CF1306" s="318"/>
      <c r="CG1306" s="318"/>
      <c r="CH1306" s="318"/>
      <c r="CI1306" s="318"/>
      <c r="CJ1306" s="463"/>
      <c r="CK1306" s="342"/>
      <c r="CL1306" s="333"/>
      <c r="CM1306" s="1079" t="s">
        <v>1918</v>
      </c>
      <c r="CN1306" s="1005"/>
      <c r="CO1306" s="1005"/>
      <c r="CP1306" s="1005"/>
    </row>
    <row r="1307">
      <c r="B1307" s="1032" t="s">
        <v>1916</v>
      </c>
      <c r="C1307" s="1033">
        <v>44594.0</v>
      </c>
      <c r="D1307" s="1034"/>
      <c r="E1307" s="1035"/>
      <c r="F1307" s="1036" t="s">
        <v>2006</v>
      </c>
      <c r="G1307" s="1037">
        <v>0.7020833333333333</v>
      </c>
      <c r="H1307" s="1038"/>
      <c r="I1307" s="1038"/>
      <c r="J1307" s="1039"/>
      <c r="K1307" s="1039">
        <v>0.7027777777777777</v>
      </c>
      <c r="L1307" s="771">
        <v>6.944444444444445E-4</v>
      </c>
      <c r="M1307" s="663" t="s">
        <v>358</v>
      </c>
      <c r="N1307" s="1036" t="s">
        <v>188</v>
      </c>
      <c r="O1307" s="1081"/>
      <c r="P1307" s="1035" t="s">
        <v>294</v>
      </c>
      <c r="Q1307" s="640"/>
      <c r="R1307" s="1082"/>
      <c r="S1307" s="1083"/>
      <c r="T1307" s="1036"/>
      <c r="U1307" s="1084"/>
      <c r="V1307" s="1084"/>
      <c r="W1307" s="1084"/>
      <c r="X1307" s="1084"/>
      <c r="Y1307" s="1084"/>
      <c r="Z1307" s="1085" t="s">
        <v>323</v>
      </c>
      <c r="AA1307" s="1085"/>
      <c r="AB1307" s="1085" t="s">
        <v>323</v>
      </c>
      <c r="AC1307" s="1086" t="s">
        <v>323</v>
      </c>
      <c r="AD1307" s="1035"/>
      <c r="AE1307" s="1035"/>
      <c r="AF1307" s="1035"/>
      <c r="AG1307" s="1035"/>
      <c r="AH1307" s="1035"/>
      <c r="AI1307" s="1035"/>
      <c r="AJ1307" s="1086"/>
      <c r="AK1307" s="1087"/>
      <c r="AL1307" s="1035"/>
      <c r="AM1307" s="1035"/>
      <c r="AN1307" s="1035"/>
      <c r="AO1307" s="1035"/>
      <c r="AP1307" s="1035"/>
      <c r="AQ1307" s="1035"/>
      <c r="AR1307" s="1035"/>
      <c r="AS1307" s="1086"/>
      <c r="AT1307" s="1088" t="s">
        <v>1949</v>
      </c>
      <c r="AU1307" s="1089" t="s">
        <v>845</v>
      </c>
      <c r="AV1307" s="662">
        <f>SQRT(($R1307-Infrastructure!J$3)^2+($S1307-Infrastructure!K$3)^2)</f>
        <v>28.90155705</v>
      </c>
      <c r="AW1307" s="641">
        <f>SQRT(($R1307-Infrastructure!J$4)^2+($S1307-Infrastructure!K$4)^2)</f>
        <v>17.80252791</v>
      </c>
      <c r="AX1307" s="641">
        <f>SQRT(($R1307-Infrastructure!J$5)^2+($S1307-Infrastructure!K$5)^2)</f>
        <v>5.10881591</v>
      </c>
      <c r="AY1307" s="641">
        <f>SQRT(($R1307-Infrastructure!J$6)^2+($S1307-Infrastructure!K$6)^2)</f>
        <v>10.10445446</v>
      </c>
      <c r="AZ1307" s="641">
        <f>SQRT(($R1307-Infrastructure!J$7)^2+($S1307-Infrastructure!K$7)^2)</f>
        <v>20.502195</v>
      </c>
      <c r="BA1307" s="641">
        <f>SQRT(($R1307-Infrastructure!J$8)^2+($S1307-Infrastructure!K$8)^2)</f>
        <v>30.10149498</v>
      </c>
      <c r="BB1307" s="641">
        <f>SQRT(($R1307-Infrastructure!J$9)^2+($S1307-Infrastructure!K$9)^2)</f>
        <v>40.3238143</v>
      </c>
      <c r="BC1307" s="641">
        <f>SQRT(($R1307-Infrastructure!J$10)^2+($S1307-Infrastructure!K$10)^2)</f>
        <v>42.72001873</v>
      </c>
      <c r="BD1307" s="641">
        <f>SQRT(($R1307-Infrastructure!J$11)^2+($S1307-Infrastructure!K$11)^2)</f>
        <v>49.56853841</v>
      </c>
      <c r="BE1307" s="642">
        <f>SQRT(($R1307-Infrastructure!J$12)^2+($S1307-Infrastructure!K$12)^2)</f>
        <v>59.51890456</v>
      </c>
      <c r="BF1307" s="662">
        <f t="shared" si="161"/>
        <v>5.10881591</v>
      </c>
      <c r="BG1307" s="642">
        <f t="shared" si="162"/>
        <v>59.51890456</v>
      </c>
      <c r="BH1307" s="948">
        <v>36526.0</v>
      </c>
      <c r="BI1307" s="663"/>
      <c r="BJ1307" s="663"/>
      <c r="BK1307" s="663"/>
      <c r="BL1307" s="663"/>
      <c r="BM1307" s="957"/>
      <c r="BN1307" s="663"/>
      <c r="BO1307" s="663"/>
      <c r="BP1307" s="958"/>
      <c r="BQ1307" s="663"/>
      <c r="BR1307" s="637"/>
      <c r="BS1307" s="662">
        <f t="shared" si="169"/>
        <v>0</v>
      </c>
      <c r="BT1307" s="641">
        <f t="shared" si="170"/>
        <v>0</v>
      </c>
      <c r="BU1307" s="937"/>
      <c r="BV1307" s="930">
        <f t="shared" si="171"/>
        <v>-0.7020833333</v>
      </c>
      <c r="BW1307" s="938"/>
      <c r="BX1307" s="939"/>
      <c r="BY1307" s="641" t="b">
        <f t="shared" si="166"/>
        <v>0</v>
      </c>
      <c r="BZ1307" s="742"/>
      <c r="CA1307" s="639"/>
      <c r="CB1307" s="640"/>
      <c r="CC1307" s="640"/>
      <c r="CD1307" s="640"/>
      <c r="CE1307" s="640"/>
      <c r="CF1307" s="640"/>
      <c r="CG1307" s="640"/>
      <c r="CH1307" s="640"/>
      <c r="CI1307" s="640"/>
      <c r="CJ1307" s="785"/>
      <c r="CK1307" s="743"/>
      <c r="CL1307" s="642"/>
      <c r="CM1307" s="1090"/>
      <c r="CN1307" s="1005"/>
      <c r="CO1307" s="1005"/>
      <c r="CP1307" s="1005"/>
    </row>
    <row r="1308">
      <c r="A1308" s="1050" t="s">
        <v>65</v>
      </c>
      <c r="B1308" s="1091" t="s">
        <v>2013</v>
      </c>
      <c r="C1308" s="1092">
        <v>44616.0</v>
      </c>
      <c r="D1308" s="1093"/>
      <c r="E1308" s="1094">
        <v>1.0</v>
      </c>
      <c r="F1308" s="129" t="s">
        <v>2014</v>
      </c>
      <c r="G1308" s="1095">
        <v>0.4154513888888889</v>
      </c>
      <c r="H1308" s="1096">
        <v>0.4156828703703704</v>
      </c>
      <c r="I1308" s="1096"/>
      <c r="J1308" s="1097"/>
      <c r="K1308" s="1097">
        <v>0.4179398148148148</v>
      </c>
      <c r="L1308" s="1098">
        <v>0.0022569444444444442</v>
      </c>
      <c r="M1308" s="1099" t="s">
        <v>166</v>
      </c>
      <c r="N1308" s="129" t="s">
        <v>188</v>
      </c>
      <c r="O1308" s="1100" t="s">
        <v>378</v>
      </c>
      <c r="P1308" s="1101" t="s">
        <v>225</v>
      </c>
      <c r="Q1308" s="1101" t="s">
        <v>842</v>
      </c>
      <c r="R1308" s="132">
        <v>22.7</v>
      </c>
      <c r="S1308" s="1099">
        <v>39.7</v>
      </c>
      <c r="T1308" s="129">
        <v>1.02</v>
      </c>
      <c r="U1308" s="1094">
        <v>10.0</v>
      </c>
      <c r="V1308" s="1094"/>
      <c r="W1308" s="1094"/>
      <c r="X1308" s="1094"/>
      <c r="Y1308" s="1094"/>
      <c r="Z1308" s="1100" t="s">
        <v>1140</v>
      </c>
      <c r="AA1308" s="1100"/>
      <c r="AB1308" s="1100" t="s">
        <v>349</v>
      </c>
      <c r="AC1308" s="1102">
        <v>5.0</v>
      </c>
      <c r="AD1308" s="1101"/>
      <c r="AE1308" s="1101"/>
      <c r="AF1308" s="1101"/>
      <c r="AG1308" s="1101"/>
      <c r="AH1308" s="1101"/>
      <c r="AI1308" s="1101"/>
      <c r="AJ1308" s="1102"/>
      <c r="AK1308" s="1103"/>
      <c r="AL1308" s="1101"/>
      <c r="AM1308" s="1101"/>
      <c r="AN1308" s="1101"/>
      <c r="AO1308" s="1101"/>
      <c r="AP1308" s="1101"/>
      <c r="AQ1308" s="1101"/>
      <c r="AR1308" s="1101"/>
      <c r="AS1308" s="1102"/>
      <c r="AT1308" s="1066" t="s">
        <v>183</v>
      </c>
      <c r="AU1308" s="1104" t="s">
        <v>845</v>
      </c>
      <c r="AV1308" s="330">
        <f>SQRT(($R1308-Infrastructure!J$3)^2+($S1308-Infrastructure!K$3)^2)</f>
        <v>25.40944706</v>
      </c>
      <c r="AW1308" s="331">
        <f>SQRT(($R1308-Infrastructure!J$4)^2+($S1308-Infrastructure!K$4)^2)</f>
        <v>31.75862088</v>
      </c>
      <c r="AX1308" s="331">
        <f>SQRT(($R1308-Infrastructure!J$5)^2+($S1308-Infrastructure!K$5)^2)</f>
        <v>41.54708173</v>
      </c>
      <c r="AY1308" s="331">
        <f>SQRT(($R1308-Infrastructure!J$6)^2+($S1308-Infrastructure!K$6)^2)</f>
        <v>41.36568626</v>
      </c>
      <c r="AZ1308" s="331">
        <f>SQRT(($R1308-Infrastructure!J$7)^2+($S1308-Infrastructure!K$7)^2)</f>
        <v>39.46137352</v>
      </c>
      <c r="BA1308" s="331">
        <f>SQRT(($R1308-Infrastructure!J$8)^2+($S1308-Infrastructure!K$8)^2)</f>
        <v>40.08890121</v>
      </c>
      <c r="BB1308" s="331">
        <f>SQRT(($R1308-Infrastructure!J$9)^2+($S1308-Infrastructure!K$9)^2)</f>
        <v>38.68397601</v>
      </c>
      <c r="BC1308" s="331">
        <f>SQRT(($R1308-Infrastructure!J$10)^2+($S1308-Infrastructure!K$10)^2)</f>
        <v>30.15592811</v>
      </c>
      <c r="BD1308" s="331">
        <f>SQRT(($R1308-Infrastructure!J$11)^2+($S1308-Infrastructure!K$11)^2)</f>
        <v>20.51194774</v>
      </c>
      <c r="BE1308" s="333">
        <f>SQRT(($R1308-Infrastructure!J$12)^2+($S1308-Infrastructure!K$12)^2)</f>
        <v>15.84550409</v>
      </c>
      <c r="BF1308" s="330">
        <f t="shared" si="161"/>
        <v>15.84550409</v>
      </c>
      <c r="BG1308" s="333">
        <f t="shared" si="162"/>
        <v>41.54708173</v>
      </c>
      <c r="BH1308" s="1105"/>
      <c r="BI1308" s="393" t="s">
        <v>846</v>
      </c>
      <c r="BJ1308" s="393" t="s">
        <v>846</v>
      </c>
      <c r="BK1308" s="393" t="s">
        <v>846</v>
      </c>
      <c r="BL1308" s="393" t="s">
        <v>846</v>
      </c>
      <c r="BM1308" s="959"/>
      <c r="BN1308" s="393" t="s">
        <v>846</v>
      </c>
      <c r="BO1308" s="393"/>
      <c r="BP1308" s="960" t="s">
        <v>846</v>
      </c>
      <c r="BQ1308" s="393" t="s">
        <v>846</v>
      </c>
      <c r="BR1308" s="394" t="s">
        <v>846</v>
      </c>
      <c r="BS1308" s="330">
        <f t="shared" si="169"/>
        <v>15.84550409</v>
      </c>
      <c r="BT1308" s="331">
        <f t="shared" si="170"/>
        <v>41.54708173</v>
      </c>
      <c r="BU1308" s="920">
        <v>0.4165740740740741</v>
      </c>
      <c r="BV1308" s="903">
        <f t="shared" si="171"/>
        <v>0.001122685185</v>
      </c>
      <c r="BW1308" s="925">
        <v>20.9</v>
      </c>
      <c r="BX1308" s="926">
        <v>24.8</v>
      </c>
      <c r="BY1308" s="331">
        <f t="shared" si="166"/>
        <v>15.00833102</v>
      </c>
      <c r="BZ1308" s="412"/>
      <c r="CA1308" s="390"/>
      <c r="CB1308" s="392"/>
      <c r="CC1308" s="392"/>
      <c r="CD1308" s="392"/>
      <c r="CE1308" s="392"/>
      <c r="CF1308" s="392"/>
      <c r="CG1308" s="392"/>
      <c r="CH1308" s="392"/>
      <c r="CI1308" s="392"/>
      <c r="CJ1308" s="898"/>
      <c r="CK1308" s="414"/>
      <c r="CL1308" s="408"/>
      <c r="CM1308" s="1077"/>
      <c r="CN1308" s="1005"/>
      <c r="CO1308" s="1005"/>
      <c r="CP1308" s="1005"/>
    </row>
    <row r="1309">
      <c r="B1309" s="1106" t="s">
        <v>2013</v>
      </c>
      <c r="C1309" s="1107">
        <v>44616.0</v>
      </c>
      <c r="D1309" s="103"/>
      <c r="E1309" s="1108">
        <v>2.0</v>
      </c>
      <c r="F1309" s="112" t="s">
        <v>2015</v>
      </c>
      <c r="G1309" s="1109">
        <v>0.4387152777777778</v>
      </c>
      <c r="H1309" s="1110">
        <v>0.4390625</v>
      </c>
      <c r="I1309" s="1110"/>
      <c r="J1309" s="1111"/>
      <c r="K1309" s="1111">
        <v>0.44027777777777777</v>
      </c>
      <c r="L1309" s="1112">
        <v>0.0012152777777777778</v>
      </c>
      <c r="M1309" s="1113" t="s">
        <v>166</v>
      </c>
      <c r="N1309" s="110" t="s">
        <v>187</v>
      </c>
      <c r="O1309" s="1114" t="s">
        <v>203</v>
      </c>
      <c r="P1309" s="1115" t="s">
        <v>227</v>
      </c>
      <c r="Q1309" s="1116"/>
      <c r="R1309" s="120">
        <v>15.5</v>
      </c>
      <c r="S1309" s="1113">
        <v>3.4</v>
      </c>
      <c r="T1309" s="110">
        <v>1.35</v>
      </c>
      <c r="U1309" s="1108">
        <v>6.5</v>
      </c>
      <c r="V1309" s="1108"/>
      <c r="W1309" s="1108"/>
      <c r="X1309" s="1108"/>
      <c r="Y1309" s="1108"/>
      <c r="Z1309" s="1114" t="s">
        <v>357</v>
      </c>
      <c r="AA1309" s="1114"/>
      <c r="AB1309" s="1114" t="s">
        <v>384</v>
      </c>
      <c r="AC1309" s="1117">
        <v>6.0</v>
      </c>
      <c r="AD1309" s="1115"/>
      <c r="AE1309" s="1115"/>
      <c r="AF1309" s="1115"/>
      <c r="AG1309" s="1115"/>
      <c r="AH1309" s="1115"/>
      <c r="AI1309" s="1115"/>
      <c r="AJ1309" s="1117"/>
      <c r="AK1309" s="1118"/>
      <c r="AL1309" s="1115"/>
      <c r="AM1309" s="1115"/>
      <c r="AN1309" s="1115"/>
      <c r="AO1309" s="1115"/>
      <c r="AP1309" s="1115"/>
      <c r="AQ1309" s="1115"/>
      <c r="AR1309" s="1115"/>
      <c r="AS1309" s="1117"/>
      <c r="AT1309" s="1075" t="s">
        <v>182</v>
      </c>
      <c r="AU1309" s="1078" t="s">
        <v>845</v>
      </c>
      <c r="AV1309" s="330">
        <f>SQRT(($R1309-Infrastructure!J$3)^2+($S1309-Infrastructure!K$3)^2)</f>
        <v>29.99816661</v>
      </c>
      <c r="AW1309" s="331">
        <f>SQRT(($R1309-Infrastructure!J$4)^2+($S1309-Infrastructure!K$4)^2)</f>
        <v>21.37755833</v>
      </c>
      <c r="AX1309" s="331">
        <f>SQRT(($R1309-Infrastructure!J$5)^2+($S1309-Infrastructure!K$5)^2)</f>
        <v>15.89119253</v>
      </c>
      <c r="AY1309" s="331">
        <f>SQRT(($R1309-Infrastructure!J$6)^2+($S1309-Infrastructure!K$6)^2)</f>
        <v>6.22655603</v>
      </c>
      <c r="AZ1309" s="331">
        <f>SQRT(($R1309-Infrastructure!J$7)^2+($S1309-Infrastructure!K$7)^2)</f>
        <v>5.883026432</v>
      </c>
      <c r="BA1309" s="331">
        <f>SQRT(($R1309-Infrastructure!J$8)^2+($S1309-Infrastructure!K$8)^2)</f>
        <v>14.92548157</v>
      </c>
      <c r="BB1309" s="331">
        <f>SQRT(($R1309-Infrastructure!J$9)^2+($S1309-Infrastructure!K$9)^2)</f>
        <v>24.55890877</v>
      </c>
      <c r="BC1309" s="331">
        <f>SQRT(($R1309-Infrastructure!J$10)^2+($S1309-Infrastructure!K$10)^2)</f>
        <v>27.10737907</v>
      </c>
      <c r="BD1309" s="331">
        <f>SQRT(($R1309-Infrastructure!J$11)^2+($S1309-Infrastructure!K$11)^2)</f>
        <v>35.57316404</v>
      </c>
      <c r="BE1309" s="333">
        <f>SQRT(($R1309-Infrastructure!J$12)^2+($S1309-Infrastructure!K$12)^2)</f>
        <v>52.44435146</v>
      </c>
      <c r="BF1309" s="330">
        <f t="shared" si="161"/>
        <v>5.883026432</v>
      </c>
      <c r="BG1309" s="333">
        <f t="shared" si="162"/>
        <v>52.44435146</v>
      </c>
      <c r="BH1309" s="1119"/>
      <c r="BI1309" s="319" t="s">
        <v>846</v>
      </c>
      <c r="BJ1309" s="319" t="s">
        <v>846</v>
      </c>
      <c r="BK1309" s="319" t="s">
        <v>846</v>
      </c>
      <c r="BL1309" s="319" t="s">
        <v>846</v>
      </c>
      <c r="BM1309" s="955"/>
      <c r="BN1309" s="319" t="s">
        <v>846</v>
      </c>
      <c r="BO1309" s="319" t="s">
        <v>846</v>
      </c>
      <c r="BP1309" s="953" t="s">
        <v>846</v>
      </c>
      <c r="BQ1309" s="319"/>
      <c r="BR1309" s="324" t="s">
        <v>846</v>
      </c>
      <c r="BS1309" s="330">
        <f t="shared" si="169"/>
        <v>6.22655603</v>
      </c>
      <c r="BT1309" s="331">
        <f t="shared" si="170"/>
        <v>52.44435146</v>
      </c>
      <c r="BU1309" s="920">
        <v>0.43971064814814814</v>
      </c>
      <c r="BV1309" s="903">
        <f t="shared" si="171"/>
        <v>0.0009953703704</v>
      </c>
      <c r="BW1309" s="907">
        <v>18.4</v>
      </c>
      <c r="BX1309" s="908">
        <v>11.6</v>
      </c>
      <c r="BY1309" s="331">
        <f t="shared" si="166"/>
        <v>8.697700846</v>
      </c>
      <c r="BZ1309" s="340"/>
      <c r="CA1309" s="316"/>
      <c r="CB1309" s="318"/>
      <c r="CC1309" s="318"/>
      <c r="CD1309" s="318"/>
      <c r="CE1309" s="318"/>
      <c r="CF1309" s="318"/>
      <c r="CG1309" s="318"/>
      <c r="CH1309" s="318"/>
      <c r="CI1309" s="318"/>
      <c r="CJ1309" s="463"/>
      <c r="CK1309" s="342"/>
      <c r="CL1309" s="333"/>
      <c r="CM1309" s="1079"/>
      <c r="CN1309" s="1005"/>
      <c r="CO1309" s="1005"/>
      <c r="CP1309" s="1005"/>
    </row>
    <row r="1310">
      <c r="B1310" s="1106" t="s">
        <v>2013</v>
      </c>
      <c r="C1310" s="1107">
        <v>44616.0</v>
      </c>
      <c r="D1310" s="103"/>
      <c r="E1310" s="1108">
        <v>3.0</v>
      </c>
      <c r="F1310" s="112" t="s">
        <v>2016</v>
      </c>
      <c r="G1310" s="1109">
        <v>0.4440972222222222</v>
      </c>
      <c r="H1310" s="1110">
        <v>0.44427083333333334</v>
      </c>
      <c r="I1310" s="1110"/>
      <c r="J1310" s="1111"/>
      <c r="K1310" s="1111">
        <v>0.4454282407407407</v>
      </c>
      <c r="L1310" s="1112">
        <v>0.0011574074074074073</v>
      </c>
      <c r="M1310" s="1113" t="s">
        <v>166</v>
      </c>
      <c r="N1310" s="110" t="s">
        <v>187</v>
      </c>
      <c r="O1310" s="1114" t="s">
        <v>203</v>
      </c>
      <c r="P1310" s="1115" t="s">
        <v>227</v>
      </c>
      <c r="Q1310" s="1116"/>
      <c r="R1310" s="120">
        <v>15.5</v>
      </c>
      <c r="S1310" s="1113">
        <v>3.4</v>
      </c>
      <c r="T1310" s="110">
        <v>1.35</v>
      </c>
      <c r="U1310" s="1108">
        <v>6.5</v>
      </c>
      <c r="V1310" s="1108"/>
      <c r="W1310" s="1108"/>
      <c r="X1310" s="1108"/>
      <c r="Y1310" s="1108"/>
      <c r="Z1310" s="1114" t="s">
        <v>357</v>
      </c>
      <c r="AA1310" s="1114"/>
      <c r="AB1310" s="1114" t="s">
        <v>384</v>
      </c>
      <c r="AC1310" s="1117">
        <v>6.0</v>
      </c>
      <c r="AD1310" s="1115"/>
      <c r="AE1310" s="1115"/>
      <c r="AF1310" s="1115"/>
      <c r="AG1310" s="1115"/>
      <c r="AH1310" s="1115"/>
      <c r="AI1310" s="1115"/>
      <c r="AJ1310" s="1117"/>
      <c r="AK1310" s="1118"/>
      <c r="AL1310" s="1115"/>
      <c r="AM1310" s="1115"/>
      <c r="AN1310" s="1115"/>
      <c r="AO1310" s="1115"/>
      <c r="AP1310" s="1115"/>
      <c r="AQ1310" s="1115"/>
      <c r="AR1310" s="1115"/>
      <c r="AS1310" s="1117"/>
      <c r="AT1310" s="1075" t="s">
        <v>182</v>
      </c>
      <c r="AU1310" s="1078" t="s">
        <v>845</v>
      </c>
      <c r="AV1310" s="330">
        <f>SQRT(($R1310-Infrastructure!J$3)^2+($S1310-Infrastructure!K$3)^2)</f>
        <v>29.99816661</v>
      </c>
      <c r="AW1310" s="331">
        <f>SQRT(($R1310-Infrastructure!J$4)^2+($S1310-Infrastructure!K$4)^2)</f>
        <v>21.37755833</v>
      </c>
      <c r="AX1310" s="331">
        <f>SQRT(($R1310-Infrastructure!J$5)^2+($S1310-Infrastructure!K$5)^2)</f>
        <v>15.89119253</v>
      </c>
      <c r="AY1310" s="331">
        <f>SQRT(($R1310-Infrastructure!J$6)^2+($S1310-Infrastructure!K$6)^2)</f>
        <v>6.22655603</v>
      </c>
      <c r="AZ1310" s="331">
        <f>SQRT(($R1310-Infrastructure!J$7)^2+($S1310-Infrastructure!K$7)^2)</f>
        <v>5.883026432</v>
      </c>
      <c r="BA1310" s="331">
        <f>SQRT(($R1310-Infrastructure!J$8)^2+($S1310-Infrastructure!K$8)^2)</f>
        <v>14.92548157</v>
      </c>
      <c r="BB1310" s="331">
        <f>SQRT(($R1310-Infrastructure!J$9)^2+($S1310-Infrastructure!K$9)^2)</f>
        <v>24.55890877</v>
      </c>
      <c r="BC1310" s="331">
        <f>SQRT(($R1310-Infrastructure!J$10)^2+($S1310-Infrastructure!K$10)^2)</f>
        <v>27.10737907</v>
      </c>
      <c r="BD1310" s="331">
        <f>SQRT(($R1310-Infrastructure!J$11)^2+($S1310-Infrastructure!K$11)^2)</f>
        <v>35.57316404</v>
      </c>
      <c r="BE1310" s="333">
        <f>SQRT(($R1310-Infrastructure!J$12)^2+($S1310-Infrastructure!K$12)^2)</f>
        <v>52.44435146</v>
      </c>
      <c r="BF1310" s="330">
        <f t="shared" si="161"/>
        <v>5.883026432</v>
      </c>
      <c r="BG1310" s="333">
        <f t="shared" si="162"/>
        <v>52.44435146</v>
      </c>
      <c r="BH1310" s="1119"/>
      <c r="BI1310" s="319" t="s">
        <v>846</v>
      </c>
      <c r="BJ1310" s="319" t="s">
        <v>846</v>
      </c>
      <c r="BK1310" s="319" t="s">
        <v>846</v>
      </c>
      <c r="BL1310" s="319" t="s">
        <v>846</v>
      </c>
      <c r="BM1310" s="955"/>
      <c r="BN1310" s="319" t="s">
        <v>846</v>
      </c>
      <c r="BO1310" s="319" t="s">
        <v>846</v>
      </c>
      <c r="BP1310" s="953" t="s">
        <v>846</v>
      </c>
      <c r="BQ1310" s="319"/>
      <c r="BR1310" s="324" t="s">
        <v>846</v>
      </c>
      <c r="BS1310" s="330">
        <f t="shared" si="169"/>
        <v>6.22655603</v>
      </c>
      <c r="BT1310" s="331">
        <f t="shared" si="170"/>
        <v>52.44435146</v>
      </c>
      <c r="BU1310" s="920">
        <v>0.44502314814814814</v>
      </c>
      <c r="BV1310" s="903">
        <f t="shared" si="171"/>
        <v>0.0009259259259</v>
      </c>
      <c r="BW1310" s="907">
        <v>17.6</v>
      </c>
      <c r="BX1310" s="908">
        <v>12.9</v>
      </c>
      <c r="BY1310" s="331">
        <f t="shared" si="166"/>
        <v>9.729337079</v>
      </c>
      <c r="BZ1310" s="340"/>
      <c r="CA1310" s="316"/>
      <c r="CB1310" s="318"/>
      <c r="CC1310" s="318"/>
      <c r="CD1310" s="318"/>
      <c r="CE1310" s="318"/>
      <c r="CF1310" s="318"/>
      <c r="CG1310" s="318"/>
      <c r="CH1310" s="318"/>
      <c r="CI1310" s="318"/>
      <c r="CJ1310" s="463"/>
      <c r="CK1310" s="342"/>
      <c r="CL1310" s="333"/>
      <c r="CM1310" s="1079"/>
      <c r="CN1310" s="1005"/>
      <c r="CO1310" s="1005"/>
      <c r="CP1310" s="1005"/>
    </row>
    <row r="1311">
      <c r="B1311" s="1106" t="s">
        <v>2013</v>
      </c>
      <c r="C1311" s="1107">
        <v>44616.0</v>
      </c>
      <c r="D1311" s="103"/>
      <c r="E1311" s="1108">
        <v>4.0</v>
      </c>
      <c r="F1311" s="112" t="s">
        <v>2017</v>
      </c>
      <c r="G1311" s="1109">
        <v>0.446412037037037</v>
      </c>
      <c r="H1311" s="1110">
        <v>0.44658564814814816</v>
      </c>
      <c r="I1311" s="1110"/>
      <c r="J1311" s="1111"/>
      <c r="K1311" s="1111">
        <v>0.44710648148148147</v>
      </c>
      <c r="L1311" s="1112">
        <v>5.208333333333333E-4</v>
      </c>
      <c r="M1311" s="1113" t="s">
        <v>166</v>
      </c>
      <c r="N1311" s="110" t="s">
        <v>187</v>
      </c>
      <c r="O1311" s="1114" t="s">
        <v>203</v>
      </c>
      <c r="P1311" s="1115" t="s">
        <v>227</v>
      </c>
      <c r="Q1311" s="1116"/>
      <c r="R1311" s="120">
        <v>15.5</v>
      </c>
      <c r="S1311" s="1113">
        <v>3.4</v>
      </c>
      <c r="T1311" s="110">
        <v>1.35</v>
      </c>
      <c r="U1311" s="1108">
        <v>6.5</v>
      </c>
      <c r="V1311" s="1108"/>
      <c r="W1311" s="1108"/>
      <c r="X1311" s="1108"/>
      <c r="Y1311" s="1108"/>
      <c r="Z1311" s="1114" t="s">
        <v>357</v>
      </c>
      <c r="AA1311" s="1114"/>
      <c r="AB1311" s="1114" t="s">
        <v>384</v>
      </c>
      <c r="AC1311" s="1117">
        <v>6.0</v>
      </c>
      <c r="AD1311" s="1115"/>
      <c r="AE1311" s="1115"/>
      <c r="AF1311" s="1115"/>
      <c r="AG1311" s="1115"/>
      <c r="AH1311" s="1115"/>
      <c r="AI1311" s="1115"/>
      <c r="AJ1311" s="1117"/>
      <c r="AK1311" s="1118"/>
      <c r="AL1311" s="1115"/>
      <c r="AM1311" s="1115"/>
      <c r="AN1311" s="1115"/>
      <c r="AO1311" s="1115"/>
      <c r="AP1311" s="1115"/>
      <c r="AQ1311" s="1115"/>
      <c r="AR1311" s="1115"/>
      <c r="AS1311" s="1117"/>
      <c r="AT1311" s="1075" t="s">
        <v>182</v>
      </c>
      <c r="AU1311" s="1078" t="s">
        <v>845</v>
      </c>
      <c r="AV1311" s="330">
        <f>SQRT(($R1311-Infrastructure!J$3)^2+($S1311-Infrastructure!K$3)^2)</f>
        <v>29.99816661</v>
      </c>
      <c r="AW1311" s="331">
        <f>SQRT(($R1311-Infrastructure!J$4)^2+($S1311-Infrastructure!K$4)^2)</f>
        <v>21.37755833</v>
      </c>
      <c r="AX1311" s="331">
        <f>SQRT(($R1311-Infrastructure!J$5)^2+($S1311-Infrastructure!K$5)^2)</f>
        <v>15.89119253</v>
      </c>
      <c r="AY1311" s="331">
        <f>SQRT(($R1311-Infrastructure!J$6)^2+($S1311-Infrastructure!K$6)^2)</f>
        <v>6.22655603</v>
      </c>
      <c r="AZ1311" s="331">
        <f>SQRT(($R1311-Infrastructure!J$7)^2+($S1311-Infrastructure!K$7)^2)</f>
        <v>5.883026432</v>
      </c>
      <c r="BA1311" s="331">
        <f>SQRT(($R1311-Infrastructure!J$8)^2+($S1311-Infrastructure!K$8)^2)</f>
        <v>14.92548157</v>
      </c>
      <c r="BB1311" s="331">
        <f>SQRT(($R1311-Infrastructure!J$9)^2+($S1311-Infrastructure!K$9)^2)</f>
        <v>24.55890877</v>
      </c>
      <c r="BC1311" s="331">
        <f>SQRT(($R1311-Infrastructure!J$10)^2+($S1311-Infrastructure!K$10)^2)</f>
        <v>27.10737907</v>
      </c>
      <c r="BD1311" s="331">
        <f>SQRT(($R1311-Infrastructure!J$11)^2+($S1311-Infrastructure!K$11)^2)</f>
        <v>35.57316404</v>
      </c>
      <c r="BE1311" s="333">
        <f>SQRT(($R1311-Infrastructure!J$12)^2+($S1311-Infrastructure!K$12)^2)</f>
        <v>52.44435146</v>
      </c>
      <c r="BF1311" s="330">
        <f t="shared" si="161"/>
        <v>5.883026432</v>
      </c>
      <c r="BG1311" s="333">
        <f t="shared" si="162"/>
        <v>52.44435146</v>
      </c>
      <c r="BH1311" s="1119"/>
      <c r="BI1311" s="319" t="s">
        <v>846</v>
      </c>
      <c r="BJ1311" s="319" t="s">
        <v>846</v>
      </c>
      <c r="BK1311" s="319" t="s">
        <v>846</v>
      </c>
      <c r="BL1311" s="319" t="s">
        <v>846</v>
      </c>
      <c r="BM1311" s="955"/>
      <c r="BN1311" s="319" t="s">
        <v>846</v>
      </c>
      <c r="BO1311" s="319" t="s">
        <v>846</v>
      </c>
      <c r="BP1311" s="953" t="s">
        <v>846</v>
      </c>
      <c r="BQ1311" s="319"/>
      <c r="BR1311" s="324" t="s">
        <v>846</v>
      </c>
      <c r="BS1311" s="330">
        <f t="shared" si="169"/>
        <v>6.22655603</v>
      </c>
      <c r="BT1311" s="331">
        <f t="shared" si="170"/>
        <v>52.44435146</v>
      </c>
      <c r="BU1311" s="920">
        <v>0.44734953703703706</v>
      </c>
      <c r="BV1311" s="903">
        <f t="shared" si="171"/>
        <v>0.0009375</v>
      </c>
      <c r="BW1311" s="907">
        <v>18.4</v>
      </c>
      <c r="BX1311" s="908">
        <v>12.3</v>
      </c>
      <c r="BY1311" s="331">
        <f t="shared" si="166"/>
        <v>9.360555539</v>
      </c>
      <c r="BZ1311" s="340"/>
      <c r="CA1311" s="316"/>
      <c r="CB1311" s="318"/>
      <c r="CC1311" s="318"/>
      <c r="CD1311" s="318"/>
      <c r="CE1311" s="318"/>
      <c r="CF1311" s="318"/>
      <c r="CG1311" s="318"/>
      <c r="CH1311" s="318"/>
      <c r="CI1311" s="318"/>
      <c r="CJ1311" s="463"/>
      <c r="CK1311" s="342"/>
      <c r="CL1311" s="333"/>
      <c r="CM1311" s="1079"/>
      <c r="CN1311" s="1005"/>
      <c r="CO1311" s="1005"/>
      <c r="CP1311" s="1005"/>
    </row>
    <row r="1312">
      <c r="B1312" s="1106" t="s">
        <v>2013</v>
      </c>
      <c r="C1312" s="1107">
        <v>44616.0</v>
      </c>
      <c r="D1312" s="103"/>
      <c r="E1312" s="1108" t="s">
        <v>1470</v>
      </c>
      <c r="F1312" s="112" t="s">
        <v>2018</v>
      </c>
      <c r="G1312" s="1109">
        <v>0.44797453703703705</v>
      </c>
      <c r="H1312" s="1110">
        <v>0.44814814814814813</v>
      </c>
      <c r="I1312" s="1110"/>
      <c r="J1312" s="1111"/>
      <c r="K1312" s="1111">
        <v>0.4486111111111111</v>
      </c>
      <c r="L1312" s="1112">
        <v>4.62962962962963E-4</v>
      </c>
      <c r="M1312" s="1113" t="s">
        <v>166</v>
      </c>
      <c r="N1312" s="110" t="s">
        <v>188</v>
      </c>
      <c r="O1312" s="1114" t="s">
        <v>378</v>
      </c>
      <c r="P1312" s="1115" t="s">
        <v>225</v>
      </c>
      <c r="Q1312" s="1115" t="s">
        <v>842</v>
      </c>
      <c r="R1312" s="120">
        <v>22.7</v>
      </c>
      <c r="S1312" s="1113">
        <v>39.7</v>
      </c>
      <c r="T1312" s="110">
        <v>1.02</v>
      </c>
      <c r="U1312" s="1108">
        <v>10.0</v>
      </c>
      <c r="V1312" s="1108"/>
      <c r="W1312" s="1108"/>
      <c r="X1312" s="1108"/>
      <c r="Y1312" s="1108"/>
      <c r="Z1312" s="1114" t="s">
        <v>1140</v>
      </c>
      <c r="AA1312" s="1114"/>
      <c r="AB1312" s="1114" t="s">
        <v>349</v>
      </c>
      <c r="AC1312" s="1117">
        <v>5.0</v>
      </c>
      <c r="AD1312" s="1115"/>
      <c r="AE1312" s="1115"/>
      <c r="AF1312" s="1115"/>
      <c r="AG1312" s="1115"/>
      <c r="AH1312" s="1115"/>
      <c r="AI1312" s="1115"/>
      <c r="AJ1312" s="1117"/>
      <c r="AK1312" s="1118"/>
      <c r="AL1312" s="1115"/>
      <c r="AM1312" s="1115"/>
      <c r="AN1312" s="1115"/>
      <c r="AO1312" s="1115"/>
      <c r="AP1312" s="1115"/>
      <c r="AQ1312" s="1115"/>
      <c r="AR1312" s="1115"/>
      <c r="AS1312" s="1117"/>
      <c r="AT1312" s="1075" t="s">
        <v>183</v>
      </c>
      <c r="AU1312" s="1078" t="s">
        <v>845</v>
      </c>
      <c r="AV1312" s="330">
        <f>SQRT(($R1312-Infrastructure!J$3)^2+($S1312-Infrastructure!K$3)^2)</f>
        <v>25.40944706</v>
      </c>
      <c r="AW1312" s="331">
        <f>SQRT(($R1312-Infrastructure!J$4)^2+($S1312-Infrastructure!K$4)^2)</f>
        <v>31.75862088</v>
      </c>
      <c r="AX1312" s="331">
        <f>SQRT(($R1312-Infrastructure!J$5)^2+($S1312-Infrastructure!K$5)^2)</f>
        <v>41.54708173</v>
      </c>
      <c r="AY1312" s="331">
        <f>SQRT(($R1312-Infrastructure!J$6)^2+($S1312-Infrastructure!K$6)^2)</f>
        <v>41.36568626</v>
      </c>
      <c r="AZ1312" s="331">
        <f>SQRT(($R1312-Infrastructure!J$7)^2+($S1312-Infrastructure!K$7)^2)</f>
        <v>39.46137352</v>
      </c>
      <c r="BA1312" s="331">
        <f>SQRT(($R1312-Infrastructure!J$8)^2+($S1312-Infrastructure!K$8)^2)</f>
        <v>40.08890121</v>
      </c>
      <c r="BB1312" s="331">
        <f>SQRT(($R1312-Infrastructure!J$9)^2+($S1312-Infrastructure!K$9)^2)</f>
        <v>38.68397601</v>
      </c>
      <c r="BC1312" s="331">
        <f>SQRT(($R1312-Infrastructure!J$10)^2+($S1312-Infrastructure!K$10)^2)</f>
        <v>30.15592811</v>
      </c>
      <c r="BD1312" s="331">
        <f>SQRT(($R1312-Infrastructure!J$11)^2+($S1312-Infrastructure!K$11)^2)</f>
        <v>20.51194774</v>
      </c>
      <c r="BE1312" s="333">
        <f>SQRT(($R1312-Infrastructure!J$12)^2+($S1312-Infrastructure!K$12)^2)</f>
        <v>15.84550409</v>
      </c>
      <c r="BF1312" s="330">
        <f t="shared" si="161"/>
        <v>15.84550409</v>
      </c>
      <c r="BG1312" s="333">
        <f t="shared" si="162"/>
        <v>41.54708173</v>
      </c>
      <c r="BH1312" s="1119"/>
      <c r="BI1312" s="319" t="s">
        <v>846</v>
      </c>
      <c r="BJ1312" s="319" t="s">
        <v>846</v>
      </c>
      <c r="BK1312" s="319"/>
      <c r="BL1312" s="319" t="s">
        <v>846</v>
      </c>
      <c r="BM1312" s="955"/>
      <c r="BN1312" s="319" t="s">
        <v>846</v>
      </c>
      <c r="BO1312" s="319"/>
      <c r="BP1312" s="953" t="s">
        <v>846</v>
      </c>
      <c r="BQ1312" s="319" t="s">
        <v>846</v>
      </c>
      <c r="BR1312" s="324" t="s">
        <v>846</v>
      </c>
      <c r="BS1312" s="330">
        <f t="shared" si="169"/>
        <v>15.84550409</v>
      </c>
      <c r="BT1312" s="331">
        <f t="shared" si="170"/>
        <v>41.36568626</v>
      </c>
      <c r="BU1312" s="920">
        <v>0.44893518518518516</v>
      </c>
      <c r="BV1312" s="903">
        <f t="shared" si="171"/>
        <v>0.0009606481481</v>
      </c>
      <c r="BW1312" s="907">
        <v>22.0</v>
      </c>
      <c r="BX1312" s="908">
        <v>22.3</v>
      </c>
      <c r="BY1312" s="331">
        <f t="shared" si="166"/>
        <v>17.41407477</v>
      </c>
      <c r="BZ1312" s="340"/>
      <c r="CA1312" s="316"/>
      <c r="CB1312" s="318"/>
      <c r="CC1312" s="318"/>
      <c r="CD1312" s="318"/>
      <c r="CE1312" s="318"/>
      <c r="CF1312" s="318"/>
      <c r="CG1312" s="318"/>
      <c r="CH1312" s="318"/>
      <c r="CI1312" s="318"/>
      <c r="CJ1312" s="463"/>
      <c r="CK1312" s="342"/>
      <c r="CL1312" s="333"/>
      <c r="CM1312" s="1079"/>
      <c r="CN1312" s="1005"/>
      <c r="CO1312" s="1005"/>
      <c r="CP1312" s="1005"/>
    </row>
    <row r="1313">
      <c r="B1313" s="1106" t="s">
        <v>2013</v>
      </c>
      <c r="C1313" s="1107">
        <v>44616.0</v>
      </c>
      <c r="D1313" s="103"/>
      <c r="E1313" s="1108" t="s">
        <v>1472</v>
      </c>
      <c r="F1313" s="112" t="s">
        <v>2019</v>
      </c>
      <c r="G1313" s="1109">
        <v>0.4486111111111111</v>
      </c>
      <c r="H1313" s="1110">
        <v>0.4487847222222222</v>
      </c>
      <c r="I1313" s="1110"/>
      <c r="J1313" s="1111"/>
      <c r="K1313" s="1111">
        <v>0.44913194444444443</v>
      </c>
      <c r="L1313" s="1112">
        <v>3.4722222222222224E-4</v>
      </c>
      <c r="M1313" s="1113" t="s">
        <v>166</v>
      </c>
      <c r="N1313" s="110" t="s">
        <v>188</v>
      </c>
      <c r="O1313" s="1114" t="s">
        <v>378</v>
      </c>
      <c r="P1313" s="1115" t="s">
        <v>225</v>
      </c>
      <c r="Q1313" s="1115" t="s">
        <v>842</v>
      </c>
      <c r="R1313" s="120">
        <v>22.7</v>
      </c>
      <c r="S1313" s="1113">
        <v>39.7</v>
      </c>
      <c r="T1313" s="110">
        <v>1.02</v>
      </c>
      <c r="U1313" s="1108">
        <v>15.0</v>
      </c>
      <c r="V1313" s="1108"/>
      <c r="W1313" s="1108"/>
      <c r="X1313" s="1108"/>
      <c r="Y1313" s="1108"/>
      <c r="Z1313" s="1114" t="s">
        <v>1140</v>
      </c>
      <c r="AA1313" s="1114"/>
      <c r="AB1313" s="1114" t="s">
        <v>349</v>
      </c>
      <c r="AC1313" s="1117">
        <v>5.0</v>
      </c>
      <c r="AD1313" s="1115"/>
      <c r="AE1313" s="1115"/>
      <c r="AF1313" s="1115"/>
      <c r="AG1313" s="1115"/>
      <c r="AH1313" s="1115"/>
      <c r="AI1313" s="1115"/>
      <c r="AJ1313" s="1117"/>
      <c r="AK1313" s="1118"/>
      <c r="AL1313" s="1115"/>
      <c r="AM1313" s="1115"/>
      <c r="AN1313" s="1115"/>
      <c r="AO1313" s="1115"/>
      <c r="AP1313" s="1115"/>
      <c r="AQ1313" s="1115"/>
      <c r="AR1313" s="1115"/>
      <c r="AS1313" s="1117"/>
      <c r="AT1313" s="1075" t="s">
        <v>183</v>
      </c>
      <c r="AU1313" s="1078" t="s">
        <v>845</v>
      </c>
      <c r="AV1313" s="330">
        <f>SQRT(($R1313-Infrastructure!J$3)^2+($S1313-Infrastructure!K$3)^2)</f>
        <v>25.40944706</v>
      </c>
      <c r="AW1313" s="331">
        <f>SQRT(($R1313-Infrastructure!J$4)^2+($S1313-Infrastructure!K$4)^2)</f>
        <v>31.75862088</v>
      </c>
      <c r="AX1313" s="331">
        <f>SQRT(($R1313-Infrastructure!J$5)^2+($S1313-Infrastructure!K$5)^2)</f>
        <v>41.54708173</v>
      </c>
      <c r="AY1313" s="331">
        <f>SQRT(($R1313-Infrastructure!J$6)^2+($S1313-Infrastructure!K$6)^2)</f>
        <v>41.36568626</v>
      </c>
      <c r="AZ1313" s="331">
        <f>SQRT(($R1313-Infrastructure!J$7)^2+($S1313-Infrastructure!K$7)^2)</f>
        <v>39.46137352</v>
      </c>
      <c r="BA1313" s="331">
        <f>SQRT(($R1313-Infrastructure!J$8)^2+($S1313-Infrastructure!K$8)^2)</f>
        <v>40.08890121</v>
      </c>
      <c r="BB1313" s="331">
        <f>SQRT(($R1313-Infrastructure!J$9)^2+($S1313-Infrastructure!K$9)^2)</f>
        <v>38.68397601</v>
      </c>
      <c r="BC1313" s="331">
        <f>SQRT(($R1313-Infrastructure!J$10)^2+($S1313-Infrastructure!K$10)^2)</f>
        <v>30.15592811</v>
      </c>
      <c r="BD1313" s="331">
        <f>SQRT(($R1313-Infrastructure!J$11)^2+($S1313-Infrastructure!K$11)^2)</f>
        <v>20.51194774</v>
      </c>
      <c r="BE1313" s="333">
        <f>SQRT(($R1313-Infrastructure!J$12)^2+($S1313-Infrastructure!K$12)^2)</f>
        <v>15.84550409</v>
      </c>
      <c r="BF1313" s="330">
        <f t="shared" si="161"/>
        <v>15.84550409</v>
      </c>
      <c r="BG1313" s="333">
        <f t="shared" si="162"/>
        <v>41.54708173</v>
      </c>
      <c r="BH1313" s="1119"/>
      <c r="BI1313" s="319" t="s">
        <v>846</v>
      </c>
      <c r="BJ1313" s="319" t="s">
        <v>846</v>
      </c>
      <c r="BK1313" s="319"/>
      <c r="BL1313" s="319"/>
      <c r="BM1313" s="955"/>
      <c r="BN1313" s="319" t="s">
        <v>846</v>
      </c>
      <c r="BO1313" s="319"/>
      <c r="BP1313" s="953" t="s">
        <v>846</v>
      </c>
      <c r="BQ1313" s="319" t="s">
        <v>846</v>
      </c>
      <c r="BR1313" s="324" t="s">
        <v>846</v>
      </c>
      <c r="BS1313" s="330">
        <f t="shared" si="169"/>
        <v>15.84550409</v>
      </c>
      <c r="BT1313" s="331">
        <f t="shared" si="170"/>
        <v>40.08890121</v>
      </c>
      <c r="BU1313" s="920">
        <v>0.4496759259259259</v>
      </c>
      <c r="BV1313" s="903">
        <f t="shared" si="171"/>
        <v>0.001064814815</v>
      </c>
      <c r="BW1313" s="907">
        <v>17.4</v>
      </c>
      <c r="BX1313" s="908">
        <v>23.4</v>
      </c>
      <c r="BY1313" s="331">
        <f t="shared" si="166"/>
        <v>17.14001167</v>
      </c>
      <c r="BZ1313" s="340"/>
      <c r="CA1313" s="316"/>
      <c r="CB1313" s="318"/>
      <c r="CC1313" s="318"/>
      <c r="CD1313" s="318"/>
      <c r="CE1313" s="318"/>
      <c r="CF1313" s="318"/>
      <c r="CG1313" s="318"/>
      <c r="CH1313" s="318"/>
      <c r="CI1313" s="318"/>
      <c r="CJ1313" s="463"/>
      <c r="CK1313" s="342"/>
      <c r="CL1313" s="333"/>
      <c r="CM1313" s="1079"/>
      <c r="CN1313" s="1005"/>
      <c r="CO1313" s="1005"/>
      <c r="CP1313" s="1005"/>
    </row>
    <row r="1314">
      <c r="A1314" s="1050" t="s">
        <v>66</v>
      </c>
      <c r="B1314" s="1091" t="s">
        <v>2013</v>
      </c>
      <c r="C1314" s="1092">
        <v>44616.0</v>
      </c>
      <c r="D1314" s="1093"/>
      <c r="E1314" s="1094">
        <v>6.0</v>
      </c>
      <c r="F1314" s="129" t="s">
        <v>2020</v>
      </c>
      <c r="G1314" s="1095">
        <v>0.5090277777777777</v>
      </c>
      <c r="H1314" s="1096">
        <v>0.5095486111111112</v>
      </c>
      <c r="I1314" s="1096"/>
      <c r="J1314" s="1097"/>
      <c r="K1314" s="1097">
        <v>0.5100694444444445</v>
      </c>
      <c r="L1314" s="1098">
        <v>5.208333333333333E-4</v>
      </c>
      <c r="M1314" s="1099" t="s">
        <v>358</v>
      </c>
      <c r="N1314" s="129" t="s">
        <v>187</v>
      </c>
      <c r="O1314" s="1100" t="s">
        <v>206</v>
      </c>
      <c r="P1314" s="1101" t="s">
        <v>288</v>
      </c>
      <c r="Q1314" s="1120"/>
      <c r="R1314" s="132">
        <v>21.0</v>
      </c>
      <c r="S1314" s="1099">
        <v>7.9</v>
      </c>
      <c r="T1314" s="129">
        <v>0.3</v>
      </c>
      <c r="U1314" s="1094">
        <v>4.0</v>
      </c>
      <c r="V1314" s="1094"/>
      <c r="W1314" s="1094"/>
      <c r="X1314" s="1094"/>
      <c r="Y1314" s="1094"/>
      <c r="Z1314" s="1100" t="s">
        <v>347</v>
      </c>
      <c r="AA1314" s="1100"/>
      <c r="AB1314" s="1100" t="s">
        <v>345</v>
      </c>
      <c r="AC1314" s="1102">
        <v>4.0</v>
      </c>
      <c r="AD1314" s="1101"/>
      <c r="AE1314" s="1101"/>
      <c r="AF1314" s="1101"/>
      <c r="AG1314" s="1101"/>
      <c r="AH1314" s="1101"/>
      <c r="AI1314" s="1101"/>
      <c r="AJ1314" s="1102"/>
      <c r="AK1314" s="1103"/>
      <c r="AL1314" s="1101"/>
      <c r="AM1314" s="1101"/>
      <c r="AN1314" s="1101"/>
      <c r="AO1314" s="1101"/>
      <c r="AP1314" s="1101"/>
      <c r="AQ1314" s="1101"/>
      <c r="AR1314" s="1101"/>
      <c r="AS1314" s="1102"/>
      <c r="AT1314" s="1066" t="s">
        <v>182</v>
      </c>
      <c r="AU1314" s="1076" t="s">
        <v>845</v>
      </c>
      <c r="AV1314" s="330">
        <f>SQRT(($R1314-Infrastructure!J$3)^2+($S1314-Infrastructure!K$3)^2)</f>
        <v>29.91136908</v>
      </c>
      <c r="AW1314" s="331">
        <f>SQRT(($R1314-Infrastructure!J$4)^2+($S1314-Infrastructure!K$4)^2)</f>
        <v>23.48829496</v>
      </c>
      <c r="AX1314" s="331">
        <f>SQRT(($R1314-Infrastructure!J$5)^2+($S1314-Infrastructure!K$5)^2)</f>
        <v>21.48324929</v>
      </c>
      <c r="AY1314" s="331">
        <f>SQRT(($R1314-Infrastructure!J$6)^2+($S1314-Infrastructure!K$6)^2)</f>
        <v>13.28796448</v>
      </c>
      <c r="AZ1314" s="331">
        <f>SQRT(($R1314-Infrastructure!J$7)^2+($S1314-Infrastructure!K$7)^2)</f>
        <v>7.61642961</v>
      </c>
      <c r="BA1314" s="331">
        <f>SQRT(($R1314-Infrastructure!J$8)^2+($S1314-Infrastructure!K$8)^2)</f>
        <v>11.856222</v>
      </c>
      <c r="BB1314" s="331">
        <f>SQRT(($R1314-Infrastructure!J$9)^2+($S1314-Infrastructure!K$9)^2)</f>
        <v>19.20520763</v>
      </c>
      <c r="BC1314" s="331">
        <f>SQRT(($R1314-Infrastructure!J$10)^2+($S1314-Infrastructure!K$10)^2)</f>
        <v>20.28324432</v>
      </c>
      <c r="BD1314" s="331">
        <f>SQRT(($R1314-Infrastructure!J$11)^2+($S1314-Infrastructure!K$11)^2)</f>
        <v>28.52805637</v>
      </c>
      <c r="BE1314" s="333">
        <f>SQRT(($R1314-Infrastructure!J$12)^2+($S1314-Infrastructure!K$12)^2)</f>
        <v>47.60262598</v>
      </c>
      <c r="BF1314" s="330">
        <f t="shared" si="161"/>
        <v>7.61642961</v>
      </c>
      <c r="BG1314" s="333">
        <f t="shared" si="162"/>
        <v>47.60262598</v>
      </c>
      <c r="BH1314" s="1105"/>
      <c r="BI1314" s="393" t="s">
        <v>846</v>
      </c>
      <c r="BJ1314" s="393"/>
      <c r="BK1314" s="393" t="s">
        <v>846</v>
      </c>
      <c r="BL1314" s="393"/>
      <c r="BM1314" s="959"/>
      <c r="BN1314" s="393" t="s">
        <v>846</v>
      </c>
      <c r="BO1314" s="393" t="s">
        <v>846</v>
      </c>
      <c r="BP1314" s="960" t="s">
        <v>846</v>
      </c>
      <c r="BQ1314" s="393"/>
      <c r="BR1314" s="394" t="s">
        <v>846</v>
      </c>
      <c r="BS1314" s="330">
        <f t="shared" si="169"/>
        <v>11.856222</v>
      </c>
      <c r="BT1314" s="331">
        <f t="shared" si="170"/>
        <v>47.60262598</v>
      </c>
      <c r="BU1314" s="920">
        <v>0.51</v>
      </c>
      <c r="BV1314" s="903">
        <f t="shared" si="171"/>
        <v>0.0009722222222</v>
      </c>
      <c r="BW1314" s="925">
        <v>19.1</v>
      </c>
      <c r="BX1314" s="926">
        <v>19.2</v>
      </c>
      <c r="BY1314" s="331">
        <f t="shared" si="166"/>
        <v>11.45862121</v>
      </c>
      <c r="BZ1314" s="412"/>
      <c r="CA1314" s="390"/>
      <c r="CB1314" s="392"/>
      <c r="CC1314" s="392"/>
      <c r="CD1314" s="392"/>
      <c r="CE1314" s="392"/>
      <c r="CF1314" s="392"/>
      <c r="CG1314" s="392"/>
      <c r="CH1314" s="392"/>
      <c r="CI1314" s="392"/>
      <c r="CJ1314" s="898"/>
      <c r="CK1314" s="414"/>
      <c r="CL1314" s="408"/>
      <c r="CM1314" s="1077"/>
      <c r="CN1314" s="1005"/>
      <c r="CO1314" s="1005"/>
      <c r="CP1314" s="1005"/>
    </row>
    <row r="1315">
      <c r="A1315" s="634"/>
      <c r="B1315" s="1121" t="s">
        <v>2013</v>
      </c>
      <c r="C1315" s="1122">
        <v>44616.0</v>
      </c>
      <c r="D1315" s="1123"/>
      <c r="E1315" s="1124">
        <v>7.0</v>
      </c>
      <c r="F1315" s="108" t="s">
        <v>2021</v>
      </c>
      <c r="G1315" s="1125">
        <v>0.5225694444444444</v>
      </c>
      <c r="H1315" s="1126">
        <v>0.5226851851851851</v>
      </c>
      <c r="I1315" s="1126"/>
      <c r="J1315" s="1127"/>
      <c r="K1315" s="1127">
        <v>0.5232638888888889</v>
      </c>
      <c r="L1315" s="1128">
        <v>5.787037037037037E-4</v>
      </c>
      <c r="M1315" s="1129" t="s">
        <v>358</v>
      </c>
      <c r="N1315" s="100" t="s">
        <v>187</v>
      </c>
      <c r="O1315" s="1130" t="s">
        <v>206</v>
      </c>
      <c r="P1315" s="1131" t="s">
        <v>288</v>
      </c>
      <c r="Q1315" s="1132"/>
      <c r="R1315" s="137">
        <v>21.0</v>
      </c>
      <c r="S1315" s="1129">
        <v>7.9</v>
      </c>
      <c r="T1315" s="100">
        <v>0.3</v>
      </c>
      <c r="U1315" s="1124">
        <v>4.0</v>
      </c>
      <c r="V1315" s="1124"/>
      <c r="W1315" s="1124"/>
      <c r="X1315" s="1124"/>
      <c r="Y1315" s="1124"/>
      <c r="Z1315" s="1130" t="s">
        <v>347</v>
      </c>
      <c r="AA1315" s="1130"/>
      <c r="AB1315" s="1130" t="s">
        <v>345</v>
      </c>
      <c r="AC1315" s="1133">
        <v>4.0</v>
      </c>
      <c r="AD1315" s="1131"/>
      <c r="AE1315" s="1131"/>
      <c r="AF1315" s="1131"/>
      <c r="AG1315" s="1131"/>
      <c r="AH1315" s="1131"/>
      <c r="AI1315" s="1131"/>
      <c r="AJ1315" s="1133"/>
      <c r="AK1315" s="1134"/>
      <c r="AL1315" s="1131"/>
      <c r="AM1315" s="1131"/>
      <c r="AN1315" s="1131"/>
      <c r="AO1315" s="1131"/>
      <c r="AP1315" s="1131"/>
      <c r="AQ1315" s="1131"/>
      <c r="AR1315" s="1131"/>
      <c r="AS1315" s="1133"/>
      <c r="AT1315" s="1088" t="s">
        <v>182</v>
      </c>
      <c r="AU1315" s="1089" t="s">
        <v>845</v>
      </c>
      <c r="AV1315" s="330">
        <f>SQRT(($R1315-Infrastructure!J$3)^2+($S1315-Infrastructure!K$3)^2)</f>
        <v>29.91136908</v>
      </c>
      <c r="AW1315" s="331">
        <f>SQRT(($R1315-Infrastructure!J$4)^2+($S1315-Infrastructure!K$4)^2)</f>
        <v>23.48829496</v>
      </c>
      <c r="AX1315" s="331">
        <f>SQRT(($R1315-Infrastructure!J$5)^2+($S1315-Infrastructure!K$5)^2)</f>
        <v>21.48324929</v>
      </c>
      <c r="AY1315" s="331">
        <f>SQRT(($R1315-Infrastructure!J$6)^2+($S1315-Infrastructure!K$6)^2)</f>
        <v>13.28796448</v>
      </c>
      <c r="AZ1315" s="331">
        <f>SQRT(($R1315-Infrastructure!J$7)^2+($S1315-Infrastructure!K$7)^2)</f>
        <v>7.61642961</v>
      </c>
      <c r="BA1315" s="331">
        <f>SQRT(($R1315-Infrastructure!J$8)^2+($S1315-Infrastructure!K$8)^2)</f>
        <v>11.856222</v>
      </c>
      <c r="BB1315" s="331">
        <f>SQRT(($R1315-Infrastructure!J$9)^2+($S1315-Infrastructure!K$9)^2)</f>
        <v>19.20520763</v>
      </c>
      <c r="BC1315" s="331">
        <f>SQRT(($R1315-Infrastructure!J$10)^2+($S1315-Infrastructure!K$10)^2)</f>
        <v>20.28324432</v>
      </c>
      <c r="BD1315" s="331">
        <f>SQRT(($R1315-Infrastructure!J$11)^2+($S1315-Infrastructure!K$11)^2)</f>
        <v>28.52805637</v>
      </c>
      <c r="BE1315" s="333">
        <f>SQRT(($R1315-Infrastructure!J$12)^2+($S1315-Infrastructure!K$12)^2)</f>
        <v>47.60262598</v>
      </c>
      <c r="BF1315" s="330">
        <f t="shared" si="161"/>
        <v>7.61642961</v>
      </c>
      <c r="BG1315" s="333">
        <f t="shared" si="162"/>
        <v>47.60262598</v>
      </c>
      <c r="BH1315" s="1135"/>
      <c r="BI1315" s="319" t="s">
        <v>846</v>
      </c>
      <c r="BJ1315" s="319" t="s">
        <v>846</v>
      </c>
      <c r="BK1315" s="319" t="s">
        <v>846</v>
      </c>
      <c r="BL1315" s="319" t="s">
        <v>846</v>
      </c>
      <c r="BM1315" s="955"/>
      <c r="BN1315" s="319" t="s">
        <v>846</v>
      </c>
      <c r="BO1315" s="319" t="s">
        <v>846</v>
      </c>
      <c r="BP1315" s="953" t="s">
        <v>846</v>
      </c>
      <c r="BQ1315" s="319"/>
      <c r="BR1315" s="324" t="s">
        <v>846</v>
      </c>
      <c r="BS1315" s="330">
        <f t="shared" si="169"/>
        <v>11.856222</v>
      </c>
      <c r="BT1315" s="331">
        <f t="shared" si="170"/>
        <v>47.60262598</v>
      </c>
      <c r="BU1315" s="920">
        <v>0.5234837962962963</v>
      </c>
      <c r="BV1315" s="903">
        <f t="shared" si="171"/>
        <v>0.0009143518519</v>
      </c>
      <c r="BW1315" s="938">
        <v>17.6</v>
      </c>
      <c r="BX1315" s="939">
        <v>15.9</v>
      </c>
      <c r="BY1315" s="331">
        <f t="shared" si="166"/>
        <v>8.692525525</v>
      </c>
      <c r="BZ1315" s="742"/>
      <c r="CA1315" s="639"/>
      <c r="CB1315" s="640"/>
      <c r="CC1315" s="640"/>
      <c r="CD1315" s="640"/>
      <c r="CE1315" s="640"/>
      <c r="CF1315" s="640"/>
      <c r="CG1315" s="640"/>
      <c r="CH1315" s="640"/>
      <c r="CI1315" s="640"/>
      <c r="CJ1315" s="785"/>
      <c r="CK1315" s="743"/>
      <c r="CL1315" s="642"/>
      <c r="CM1315" s="1090"/>
      <c r="CN1315" s="1005"/>
      <c r="CO1315" s="1005"/>
      <c r="CP1315" s="1005"/>
    </row>
    <row r="1316">
      <c r="A1316" s="1136" t="s">
        <v>67</v>
      </c>
      <c r="B1316" s="1106" t="s">
        <v>2013</v>
      </c>
      <c r="C1316" s="1107">
        <v>44616.0</v>
      </c>
      <c r="D1316" s="103"/>
      <c r="E1316" s="1108" t="s">
        <v>1267</v>
      </c>
      <c r="F1316" s="110" t="s">
        <v>2022</v>
      </c>
      <c r="G1316" s="1109">
        <v>0.5895833333333333</v>
      </c>
      <c r="H1316" s="1110">
        <v>0.5911458333333334</v>
      </c>
      <c r="I1316" s="1110"/>
      <c r="J1316" s="1111"/>
      <c r="K1316" s="1111">
        <v>0.5925347222222223</v>
      </c>
      <c r="L1316" s="1112">
        <v>0.001388888888888889</v>
      </c>
      <c r="M1316" s="1113" t="s">
        <v>168</v>
      </c>
      <c r="N1316" s="110" t="s">
        <v>187</v>
      </c>
      <c r="O1316" s="1114" t="s">
        <v>204</v>
      </c>
      <c r="P1316" s="1115" t="s">
        <v>265</v>
      </c>
      <c r="Q1316" s="1116"/>
      <c r="R1316" s="120">
        <v>17.9</v>
      </c>
      <c r="S1316" s="1113">
        <v>3.6</v>
      </c>
      <c r="T1316" s="110">
        <v>1.65</v>
      </c>
      <c r="U1316" s="1108">
        <v>2.0</v>
      </c>
      <c r="V1316" s="1108"/>
      <c r="W1316" s="1108"/>
      <c r="X1316" s="1108"/>
      <c r="Y1316" s="1108"/>
      <c r="Z1316" s="1114" t="s">
        <v>365</v>
      </c>
      <c r="AA1316" s="1114"/>
      <c r="AB1316" s="1114" t="s">
        <v>392</v>
      </c>
      <c r="AC1316" s="1117">
        <v>10.0</v>
      </c>
      <c r="AD1316" s="1115"/>
      <c r="AE1316" s="1115"/>
      <c r="AF1316" s="1115"/>
      <c r="AG1316" s="1115"/>
      <c r="AH1316" s="1115"/>
      <c r="AI1316" s="1115"/>
      <c r="AJ1316" s="1117"/>
      <c r="AK1316" s="1118"/>
      <c r="AL1316" s="1115"/>
      <c r="AM1316" s="1115"/>
      <c r="AN1316" s="1115"/>
      <c r="AO1316" s="1115"/>
      <c r="AP1316" s="1115"/>
      <c r="AQ1316" s="1115"/>
      <c r="AR1316" s="1115"/>
      <c r="AS1316" s="1117"/>
      <c r="AT1316" s="1075" t="s">
        <v>182</v>
      </c>
      <c r="AU1316" s="1078" t="s">
        <v>845</v>
      </c>
      <c r="AV1316" s="330">
        <f>SQRT(($R1316-Infrastructure!J$3)^2+($S1316-Infrastructure!K$3)^2)</f>
        <v>31.16616755</v>
      </c>
      <c r="AW1316" s="331">
        <f>SQRT(($R1316-Infrastructure!J$4)^2+($S1316-Infrastructure!K$4)^2)</f>
        <v>23.08419373</v>
      </c>
      <c r="AX1316" s="331">
        <f>SQRT(($R1316-Infrastructure!J$5)^2+($S1316-Infrastructure!K$5)^2)</f>
        <v>18.26170857</v>
      </c>
      <c r="AY1316" s="331">
        <f>SQRT(($R1316-Infrastructure!J$6)^2+($S1316-Infrastructure!K$6)^2)</f>
        <v>8.469356528</v>
      </c>
      <c r="AZ1316" s="331">
        <f>SQRT(($R1316-Infrastructure!J$7)^2+($S1316-Infrastructure!K$7)^2)</f>
        <v>4.201190308</v>
      </c>
      <c r="BA1316" s="331">
        <f>SQRT(($R1316-Infrastructure!J$8)^2+($S1316-Infrastructure!K$8)^2)</f>
        <v>12.63843345</v>
      </c>
      <c r="BB1316" s="331">
        <f>SQRT(($R1316-Infrastructure!J$9)^2+($S1316-Infrastructure!K$9)^2)</f>
        <v>22.15084648</v>
      </c>
      <c r="BC1316" s="331">
        <f>SQRT(($R1316-Infrastructure!J$10)^2+($S1316-Infrastructure!K$10)^2)</f>
        <v>24.86704647</v>
      </c>
      <c r="BD1316" s="331">
        <f>SQRT(($R1316-Infrastructure!J$11)^2+($S1316-Infrastructure!K$11)^2)</f>
        <v>33.80014793</v>
      </c>
      <c r="BE1316" s="333">
        <f>SQRT(($R1316-Infrastructure!J$12)^2+($S1316-Infrastructure!K$12)^2)</f>
        <v>52.02470567</v>
      </c>
      <c r="BF1316" s="330">
        <f t="shared" si="161"/>
        <v>4.201190308</v>
      </c>
      <c r="BG1316" s="333">
        <f t="shared" si="162"/>
        <v>52.02470567</v>
      </c>
      <c r="BH1316" s="1119"/>
      <c r="BI1316" s="319"/>
      <c r="BJ1316" s="319"/>
      <c r="BK1316" s="319"/>
      <c r="BL1316" s="319"/>
      <c r="BM1316" s="955"/>
      <c r="BN1316" s="319"/>
      <c r="BO1316" s="319"/>
      <c r="BP1316" s="953"/>
      <c r="BQ1316" s="319"/>
      <c r="BR1316" s="324"/>
      <c r="BS1316" s="330">
        <f t="shared" si="169"/>
        <v>0</v>
      </c>
      <c r="BT1316" s="331">
        <f t="shared" si="170"/>
        <v>0</v>
      </c>
      <c r="BU1316" s="920"/>
      <c r="BV1316" s="903">
        <f t="shared" si="171"/>
        <v>-0.5895833333</v>
      </c>
      <c r="BW1316" s="907"/>
      <c r="BX1316" s="908"/>
      <c r="BY1316" s="331" t="b">
        <f t="shared" si="166"/>
        <v>0</v>
      </c>
      <c r="BZ1316" s="340"/>
      <c r="CA1316" s="316"/>
      <c r="CB1316" s="318"/>
      <c r="CC1316" s="318"/>
      <c r="CD1316" s="318"/>
      <c r="CE1316" s="318"/>
      <c r="CF1316" s="318"/>
      <c r="CG1316" s="318"/>
      <c r="CH1316" s="318"/>
      <c r="CI1316" s="318"/>
      <c r="CJ1316" s="463"/>
      <c r="CK1316" s="342"/>
      <c r="CL1316" s="333"/>
      <c r="CM1316" s="1079"/>
      <c r="CN1316" s="1005"/>
      <c r="CO1316" s="1005"/>
      <c r="CP1316" s="1005"/>
    </row>
    <row r="1317">
      <c r="B1317" s="1106" t="s">
        <v>2013</v>
      </c>
      <c r="C1317" s="1107">
        <v>44616.0</v>
      </c>
      <c r="D1317" s="103"/>
      <c r="E1317" s="1108" t="s">
        <v>1269</v>
      </c>
      <c r="F1317" s="112" t="s">
        <v>2023</v>
      </c>
      <c r="G1317" s="1109">
        <v>0.5931712962962963</v>
      </c>
      <c r="H1317" s="1110">
        <v>0.59375</v>
      </c>
      <c r="I1317" s="1110"/>
      <c r="J1317" s="1111"/>
      <c r="K1317" s="1111">
        <v>0.5986111111111111</v>
      </c>
      <c r="L1317" s="1112">
        <v>0.004861111111111111</v>
      </c>
      <c r="M1317" s="1113" t="s">
        <v>168</v>
      </c>
      <c r="N1317" s="110" t="s">
        <v>187</v>
      </c>
      <c r="O1317" s="1114" t="s">
        <v>204</v>
      </c>
      <c r="P1317" s="1115" t="s">
        <v>265</v>
      </c>
      <c r="Q1317" s="1116"/>
      <c r="R1317" s="120">
        <v>17.9</v>
      </c>
      <c r="S1317" s="1113">
        <v>3.6</v>
      </c>
      <c r="T1317" s="110">
        <v>1.65</v>
      </c>
      <c r="U1317" s="1108">
        <v>5.0</v>
      </c>
      <c r="V1317" s="1108"/>
      <c r="W1317" s="1108"/>
      <c r="X1317" s="1108"/>
      <c r="Y1317" s="1108"/>
      <c r="Z1317" s="1114" t="s">
        <v>357</v>
      </c>
      <c r="AA1317" s="1114"/>
      <c r="AB1317" s="1114" t="s">
        <v>384</v>
      </c>
      <c r="AC1317" s="1117">
        <v>6.0</v>
      </c>
      <c r="AD1317" s="1115"/>
      <c r="AE1317" s="1115"/>
      <c r="AF1317" s="1115"/>
      <c r="AG1317" s="1115"/>
      <c r="AH1317" s="1115"/>
      <c r="AI1317" s="1115"/>
      <c r="AJ1317" s="1117"/>
      <c r="AK1317" s="1118"/>
      <c r="AL1317" s="1115"/>
      <c r="AM1317" s="1115"/>
      <c r="AN1317" s="1115"/>
      <c r="AO1317" s="1115"/>
      <c r="AP1317" s="1115"/>
      <c r="AQ1317" s="1115"/>
      <c r="AR1317" s="1115"/>
      <c r="AS1317" s="1117"/>
      <c r="AT1317" s="1075" t="s">
        <v>182</v>
      </c>
      <c r="AU1317" s="1078" t="s">
        <v>845</v>
      </c>
      <c r="AV1317" s="330">
        <f>SQRT(($R1317-Infrastructure!J$3)^2+($S1317-Infrastructure!K$3)^2)</f>
        <v>31.16616755</v>
      </c>
      <c r="AW1317" s="331">
        <f>SQRT(($R1317-Infrastructure!J$4)^2+($S1317-Infrastructure!K$4)^2)</f>
        <v>23.08419373</v>
      </c>
      <c r="AX1317" s="331">
        <f>SQRT(($R1317-Infrastructure!J$5)^2+($S1317-Infrastructure!K$5)^2)</f>
        <v>18.26170857</v>
      </c>
      <c r="AY1317" s="331">
        <f>SQRT(($R1317-Infrastructure!J$6)^2+($S1317-Infrastructure!K$6)^2)</f>
        <v>8.469356528</v>
      </c>
      <c r="AZ1317" s="331">
        <f>SQRT(($R1317-Infrastructure!J$7)^2+($S1317-Infrastructure!K$7)^2)</f>
        <v>4.201190308</v>
      </c>
      <c r="BA1317" s="331">
        <f>SQRT(($R1317-Infrastructure!J$8)^2+($S1317-Infrastructure!K$8)^2)</f>
        <v>12.63843345</v>
      </c>
      <c r="BB1317" s="331">
        <f>SQRT(($R1317-Infrastructure!J$9)^2+($S1317-Infrastructure!K$9)^2)</f>
        <v>22.15084648</v>
      </c>
      <c r="BC1317" s="331">
        <f>SQRT(($R1317-Infrastructure!J$10)^2+($S1317-Infrastructure!K$10)^2)</f>
        <v>24.86704647</v>
      </c>
      <c r="BD1317" s="331">
        <f>SQRT(($R1317-Infrastructure!J$11)^2+($S1317-Infrastructure!K$11)^2)</f>
        <v>33.80014793</v>
      </c>
      <c r="BE1317" s="333">
        <f>SQRT(($R1317-Infrastructure!J$12)^2+($S1317-Infrastructure!K$12)^2)</f>
        <v>52.02470567</v>
      </c>
      <c r="BF1317" s="330">
        <f t="shared" si="161"/>
        <v>4.201190308</v>
      </c>
      <c r="BG1317" s="333">
        <f t="shared" si="162"/>
        <v>52.02470567</v>
      </c>
      <c r="BH1317" s="1119"/>
      <c r="BI1317" s="319"/>
      <c r="BJ1317" s="319"/>
      <c r="BK1317" s="319"/>
      <c r="BL1317" s="319"/>
      <c r="BM1317" s="955"/>
      <c r="BN1317" s="319"/>
      <c r="BO1317" s="319"/>
      <c r="BP1317" s="953"/>
      <c r="BQ1317" s="319"/>
      <c r="BR1317" s="324"/>
      <c r="BS1317" s="330">
        <f t="shared" si="169"/>
        <v>0</v>
      </c>
      <c r="BT1317" s="331">
        <f t="shared" si="170"/>
        <v>0</v>
      </c>
      <c r="BU1317" s="920"/>
      <c r="BV1317" s="903">
        <f t="shared" si="171"/>
        <v>-0.5931712963</v>
      </c>
      <c r="BW1317" s="907"/>
      <c r="BX1317" s="908"/>
      <c r="BY1317" s="331" t="b">
        <f t="shared" si="166"/>
        <v>0</v>
      </c>
      <c r="BZ1317" s="340"/>
      <c r="CA1317" s="316"/>
      <c r="CB1317" s="318"/>
      <c r="CC1317" s="318"/>
      <c r="CD1317" s="318"/>
      <c r="CE1317" s="318"/>
      <c r="CF1317" s="318"/>
      <c r="CG1317" s="318"/>
      <c r="CH1317" s="318"/>
      <c r="CI1317" s="318"/>
      <c r="CJ1317" s="463"/>
      <c r="CK1317" s="342"/>
      <c r="CL1317" s="333"/>
      <c r="CM1317" s="1079"/>
      <c r="CN1317" s="1005"/>
      <c r="CO1317" s="1005"/>
      <c r="CP1317" s="1005"/>
    </row>
    <row r="1318">
      <c r="B1318" s="1106" t="s">
        <v>2013</v>
      </c>
      <c r="C1318" s="1107">
        <v>44616.0</v>
      </c>
      <c r="D1318" s="103"/>
      <c r="E1318" s="1108" t="s">
        <v>1891</v>
      </c>
      <c r="F1318" s="112" t="s">
        <v>2024</v>
      </c>
      <c r="G1318" s="1109">
        <v>0.5996527777777778</v>
      </c>
      <c r="H1318" s="1110">
        <v>0.6001736111111111</v>
      </c>
      <c r="I1318" s="1110"/>
      <c r="J1318" s="1111"/>
      <c r="K1318" s="1111">
        <v>0.6020833333333333</v>
      </c>
      <c r="L1318" s="1112">
        <v>0.0019097222222222222</v>
      </c>
      <c r="M1318" s="1113" t="s">
        <v>168</v>
      </c>
      <c r="N1318" s="110" t="s">
        <v>187</v>
      </c>
      <c r="O1318" s="1114" t="s">
        <v>204</v>
      </c>
      <c r="P1318" s="1115" t="s">
        <v>265</v>
      </c>
      <c r="Q1318" s="1116"/>
      <c r="R1318" s="120">
        <v>17.9</v>
      </c>
      <c r="S1318" s="1113">
        <v>3.6</v>
      </c>
      <c r="T1318" s="110">
        <v>1.65</v>
      </c>
      <c r="U1318" s="1108">
        <v>9.0</v>
      </c>
      <c r="V1318" s="1108"/>
      <c r="W1318" s="1108"/>
      <c r="X1318" s="1108"/>
      <c r="Y1318" s="1108"/>
      <c r="Z1318" s="1114" t="s">
        <v>357</v>
      </c>
      <c r="AA1318" s="1114"/>
      <c r="AB1318" s="1114" t="s">
        <v>384</v>
      </c>
      <c r="AC1318" s="1117">
        <v>6.0</v>
      </c>
      <c r="AD1318" s="1115"/>
      <c r="AE1318" s="1115"/>
      <c r="AF1318" s="1115"/>
      <c r="AG1318" s="1115"/>
      <c r="AH1318" s="1115"/>
      <c r="AI1318" s="1115"/>
      <c r="AJ1318" s="1117"/>
      <c r="AK1318" s="1118"/>
      <c r="AL1318" s="1115"/>
      <c r="AM1318" s="1115"/>
      <c r="AN1318" s="1115"/>
      <c r="AO1318" s="1115"/>
      <c r="AP1318" s="1115"/>
      <c r="AQ1318" s="1115"/>
      <c r="AR1318" s="1115"/>
      <c r="AS1318" s="1117"/>
      <c r="AT1318" s="1075" t="s">
        <v>182</v>
      </c>
      <c r="AU1318" s="1078" t="s">
        <v>845</v>
      </c>
      <c r="AV1318" s="330">
        <f>SQRT(($R1318-Infrastructure!J$3)^2+($S1318-Infrastructure!K$3)^2)</f>
        <v>31.16616755</v>
      </c>
      <c r="AW1318" s="331">
        <f>SQRT(($R1318-Infrastructure!J$4)^2+($S1318-Infrastructure!K$4)^2)</f>
        <v>23.08419373</v>
      </c>
      <c r="AX1318" s="331">
        <f>SQRT(($R1318-Infrastructure!J$5)^2+($S1318-Infrastructure!K$5)^2)</f>
        <v>18.26170857</v>
      </c>
      <c r="AY1318" s="331">
        <f>SQRT(($R1318-Infrastructure!J$6)^2+($S1318-Infrastructure!K$6)^2)</f>
        <v>8.469356528</v>
      </c>
      <c r="AZ1318" s="331">
        <f>SQRT(($R1318-Infrastructure!J$7)^2+($S1318-Infrastructure!K$7)^2)</f>
        <v>4.201190308</v>
      </c>
      <c r="BA1318" s="331">
        <f>SQRT(($R1318-Infrastructure!J$8)^2+($S1318-Infrastructure!K$8)^2)</f>
        <v>12.63843345</v>
      </c>
      <c r="BB1318" s="331">
        <f>SQRT(($R1318-Infrastructure!J$9)^2+($S1318-Infrastructure!K$9)^2)</f>
        <v>22.15084648</v>
      </c>
      <c r="BC1318" s="331">
        <f>SQRT(($R1318-Infrastructure!J$10)^2+($S1318-Infrastructure!K$10)^2)</f>
        <v>24.86704647</v>
      </c>
      <c r="BD1318" s="331">
        <f>SQRT(($R1318-Infrastructure!J$11)^2+($S1318-Infrastructure!K$11)^2)</f>
        <v>33.80014793</v>
      </c>
      <c r="BE1318" s="333">
        <f>SQRT(($R1318-Infrastructure!J$12)^2+($S1318-Infrastructure!K$12)^2)</f>
        <v>52.02470567</v>
      </c>
      <c r="BF1318" s="330">
        <f t="shared" si="161"/>
        <v>4.201190308</v>
      </c>
      <c r="BG1318" s="333">
        <f t="shared" si="162"/>
        <v>52.02470567</v>
      </c>
      <c r="BH1318" s="1119"/>
      <c r="BI1318" s="319"/>
      <c r="BJ1318" s="319"/>
      <c r="BK1318" s="319"/>
      <c r="BL1318" s="319"/>
      <c r="BM1318" s="955"/>
      <c r="BN1318" s="319"/>
      <c r="BO1318" s="319"/>
      <c r="BP1318" s="953"/>
      <c r="BQ1318" s="319"/>
      <c r="BR1318" s="324"/>
      <c r="BS1318" s="330">
        <f t="shared" si="169"/>
        <v>0</v>
      </c>
      <c r="BT1318" s="331">
        <f t="shared" si="170"/>
        <v>0</v>
      </c>
      <c r="BU1318" s="920"/>
      <c r="BV1318" s="903">
        <f t="shared" si="171"/>
        <v>-0.5996527778</v>
      </c>
      <c r="BW1318" s="907"/>
      <c r="BX1318" s="908"/>
      <c r="BY1318" s="331" t="b">
        <f t="shared" si="166"/>
        <v>0</v>
      </c>
      <c r="BZ1318" s="340"/>
      <c r="CA1318" s="316"/>
      <c r="CB1318" s="318"/>
      <c r="CC1318" s="318"/>
      <c r="CD1318" s="318"/>
      <c r="CE1318" s="318"/>
      <c r="CF1318" s="318"/>
      <c r="CG1318" s="318"/>
      <c r="CH1318" s="318"/>
      <c r="CI1318" s="318"/>
      <c r="CJ1318" s="463"/>
      <c r="CK1318" s="342"/>
      <c r="CL1318" s="333"/>
      <c r="CM1318" s="1079"/>
      <c r="CN1318" s="1005"/>
      <c r="CO1318" s="1005"/>
      <c r="CP1318" s="1005"/>
    </row>
    <row r="1319">
      <c r="B1319" s="1106" t="s">
        <v>2013</v>
      </c>
      <c r="C1319" s="1107">
        <v>44616.0</v>
      </c>
      <c r="D1319" s="103"/>
      <c r="E1319" s="1108" t="s">
        <v>1488</v>
      </c>
      <c r="F1319" s="112" t="s">
        <v>2025</v>
      </c>
      <c r="G1319" s="1109">
        <v>0.6083333333333333</v>
      </c>
      <c r="H1319" s="1110">
        <v>0.6088541666666667</v>
      </c>
      <c r="I1319" s="1110"/>
      <c r="J1319" s="1111"/>
      <c r="K1319" s="1111">
        <v>0.6097800925925926</v>
      </c>
      <c r="L1319" s="1112">
        <v>9.25925925925926E-4</v>
      </c>
      <c r="M1319" s="1113" t="s">
        <v>168</v>
      </c>
      <c r="N1319" s="110" t="s">
        <v>187</v>
      </c>
      <c r="O1319" s="1114" t="s">
        <v>204</v>
      </c>
      <c r="P1319" s="1115" t="s">
        <v>265</v>
      </c>
      <c r="Q1319" s="1116"/>
      <c r="R1319" s="120">
        <v>17.9</v>
      </c>
      <c r="S1319" s="1113">
        <v>3.6</v>
      </c>
      <c r="T1319" s="110">
        <v>1.6</v>
      </c>
      <c r="U1319" s="1108">
        <v>2.0</v>
      </c>
      <c r="V1319" s="1108"/>
      <c r="W1319" s="1108"/>
      <c r="X1319" s="1108"/>
      <c r="Y1319" s="1108"/>
      <c r="Z1319" s="1114" t="s">
        <v>357</v>
      </c>
      <c r="AA1319" s="1114"/>
      <c r="AB1319" s="1114" t="s">
        <v>384</v>
      </c>
      <c r="AC1319" s="1117">
        <v>6.0</v>
      </c>
      <c r="AD1319" s="1115"/>
      <c r="AE1319" s="1115"/>
      <c r="AF1319" s="1115"/>
      <c r="AG1319" s="1115"/>
      <c r="AH1319" s="1115"/>
      <c r="AI1319" s="1115"/>
      <c r="AJ1319" s="1117"/>
      <c r="AK1319" s="1118"/>
      <c r="AL1319" s="1115"/>
      <c r="AM1319" s="1115"/>
      <c r="AN1319" s="1115"/>
      <c r="AO1319" s="1115"/>
      <c r="AP1319" s="1115"/>
      <c r="AQ1319" s="1115"/>
      <c r="AR1319" s="1115"/>
      <c r="AS1319" s="1117"/>
      <c r="AT1319" s="1075" t="s">
        <v>182</v>
      </c>
      <c r="AU1319" s="1078" t="s">
        <v>845</v>
      </c>
      <c r="AV1319" s="330">
        <f>SQRT(($R1319-Infrastructure!J$3)^2+($S1319-Infrastructure!K$3)^2)</f>
        <v>31.16616755</v>
      </c>
      <c r="AW1319" s="331">
        <f>SQRT(($R1319-Infrastructure!J$4)^2+($S1319-Infrastructure!K$4)^2)</f>
        <v>23.08419373</v>
      </c>
      <c r="AX1319" s="331">
        <f>SQRT(($R1319-Infrastructure!J$5)^2+($S1319-Infrastructure!K$5)^2)</f>
        <v>18.26170857</v>
      </c>
      <c r="AY1319" s="331">
        <f>SQRT(($R1319-Infrastructure!J$6)^2+($S1319-Infrastructure!K$6)^2)</f>
        <v>8.469356528</v>
      </c>
      <c r="AZ1319" s="331">
        <f>SQRT(($R1319-Infrastructure!J$7)^2+($S1319-Infrastructure!K$7)^2)</f>
        <v>4.201190308</v>
      </c>
      <c r="BA1319" s="331">
        <f>SQRT(($R1319-Infrastructure!J$8)^2+($S1319-Infrastructure!K$8)^2)</f>
        <v>12.63843345</v>
      </c>
      <c r="BB1319" s="331">
        <f>SQRT(($R1319-Infrastructure!J$9)^2+($S1319-Infrastructure!K$9)^2)</f>
        <v>22.15084648</v>
      </c>
      <c r="BC1319" s="331">
        <f>SQRT(($R1319-Infrastructure!J$10)^2+($S1319-Infrastructure!K$10)^2)</f>
        <v>24.86704647</v>
      </c>
      <c r="BD1319" s="331">
        <f>SQRT(($R1319-Infrastructure!J$11)^2+($S1319-Infrastructure!K$11)^2)</f>
        <v>33.80014793</v>
      </c>
      <c r="BE1319" s="333">
        <f>SQRT(($R1319-Infrastructure!J$12)^2+($S1319-Infrastructure!K$12)^2)</f>
        <v>52.02470567</v>
      </c>
      <c r="BF1319" s="330">
        <f t="shared" si="161"/>
        <v>4.201190308</v>
      </c>
      <c r="BG1319" s="333">
        <f t="shared" si="162"/>
        <v>52.02470567</v>
      </c>
      <c r="BH1319" s="1119"/>
      <c r="BI1319" s="319"/>
      <c r="BJ1319" s="319"/>
      <c r="BK1319" s="319"/>
      <c r="BL1319" s="319"/>
      <c r="BM1319" s="955"/>
      <c r="BN1319" s="319"/>
      <c r="BO1319" s="319"/>
      <c r="BP1319" s="953"/>
      <c r="BQ1319" s="319"/>
      <c r="BR1319" s="324"/>
      <c r="BS1319" s="330">
        <f t="shared" si="169"/>
        <v>0</v>
      </c>
      <c r="BT1319" s="331">
        <f t="shared" si="170"/>
        <v>0</v>
      </c>
      <c r="BU1319" s="920"/>
      <c r="BV1319" s="903">
        <f t="shared" si="171"/>
        <v>-0.6083333333</v>
      </c>
      <c r="BW1319" s="907"/>
      <c r="BX1319" s="908"/>
      <c r="BY1319" s="331" t="b">
        <f t="shared" si="166"/>
        <v>0</v>
      </c>
      <c r="BZ1319" s="340"/>
      <c r="CA1319" s="316"/>
      <c r="CB1319" s="318"/>
      <c r="CC1319" s="318"/>
      <c r="CD1319" s="318"/>
      <c r="CE1319" s="318"/>
      <c r="CF1319" s="318"/>
      <c r="CG1319" s="318"/>
      <c r="CH1319" s="318"/>
      <c r="CI1319" s="318"/>
      <c r="CJ1319" s="463"/>
      <c r="CK1319" s="342"/>
      <c r="CL1319" s="333"/>
      <c r="CM1319" s="1079"/>
      <c r="CN1319" s="1005"/>
      <c r="CO1319" s="1005"/>
      <c r="CP1319" s="1005"/>
    </row>
    <row r="1320">
      <c r="B1320" s="1106" t="s">
        <v>2013</v>
      </c>
      <c r="C1320" s="1107">
        <v>44616.0</v>
      </c>
      <c r="D1320" s="103"/>
      <c r="E1320" s="1108" t="s">
        <v>1490</v>
      </c>
      <c r="F1320" s="112" t="s">
        <v>2026</v>
      </c>
      <c r="G1320" s="1109">
        <v>0.6102430555555556</v>
      </c>
      <c r="H1320" s="1110">
        <v>0.6105902777777777</v>
      </c>
      <c r="I1320" s="1110"/>
      <c r="J1320" s="1111"/>
      <c r="K1320" s="1111">
        <v>0.6116319444444445</v>
      </c>
      <c r="L1320" s="1112">
        <v>0.0010416666666666667</v>
      </c>
      <c r="M1320" s="1113" t="s">
        <v>168</v>
      </c>
      <c r="N1320" s="110" t="s">
        <v>187</v>
      </c>
      <c r="O1320" s="1114" t="s">
        <v>204</v>
      </c>
      <c r="P1320" s="1115" t="s">
        <v>265</v>
      </c>
      <c r="Q1320" s="1116"/>
      <c r="R1320" s="120">
        <v>17.9</v>
      </c>
      <c r="S1320" s="1113">
        <v>3.6</v>
      </c>
      <c r="T1320" s="110">
        <v>1.6</v>
      </c>
      <c r="U1320" s="1108">
        <v>5.0</v>
      </c>
      <c r="V1320" s="1108"/>
      <c r="W1320" s="1108"/>
      <c r="X1320" s="1108"/>
      <c r="Y1320" s="1108"/>
      <c r="Z1320" s="1114" t="s">
        <v>1140</v>
      </c>
      <c r="AA1320" s="1114"/>
      <c r="AB1320" s="1114" t="s">
        <v>349</v>
      </c>
      <c r="AC1320" s="1117">
        <v>5.0</v>
      </c>
      <c r="AD1320" s="1115"/>
      <c r="AE1320" s="1115"/>
      <c r="AF1320" s="1115"/>
      <c r="AG1320" s="1115"/>
      <c r="AH1320" s="1115"/>
      <c r="AI1320" s="1115"/>
      <c r="AJ1320" s="1117"/>
      <c r="AK1320" s="1118"/>
      <c r="AL1320" s="1115"/>
      <c r="AM1320" s="1115"/>
      <c r="AN1320" s="1115"/>
      <c r="AO1320" s="1115"/>
      <c r="AP1320" s="1115"/>
      <c r="AQ1320" s="1115"/>
      <c r="AR1320" s="1115"/>
      <c r="AS1320" s="1117"/>
      <c r="AT1320" s="1075" t="s">
        <v>182</v>
      </c>
      <c r="AU1320" s="1078" t="s">
        <v>845</v>
      </c>
      <c r="AV1320" s="330">
        <f>SQRT(($R1320-Infrastructure!J$3)^2+($S1320-Infrastructure!K$3)^2)</f>
        <v>31.16616755</v>
      </c>
      <c r="AW1320" s="331">
        <f>SQRT(($R1320-Infrastructure!J$4)^2+($S1320-Infrastructure!K$4)^2)</f>
        <v>23.08419373</v>
      </c>
      <c r="AX1320" s="331">
        <f>SQRT(($R1320-Infrastructure!J$5)^2+($S1320-Infrastructure!K$5)^2)</f>
        <v>18.26170857</v>
      </c>
      <c r="AY1320" s="331">
        <f>SQRT(($R1320-Infrastructure!J$6)^2+($S1320-Infrastructure!K$6)^2)</f>
        <v>8.469356528</v>
      </c>
      <c r="AZ1320" s="331">
        <f>SQRT(($R1320-Infrastructure!J$7)^2+($S1320-Infrastructure!K$7)^2)</f>
        <v>4.201190308</v>
      </c>
      <c r="BA1320" s="331">
        <f>SQRT(($R1320-Infrastructure!J$8)^2+($S1320-Infrastructure!K$8)^2)</f>
        <v>12.63843345</v>
      </c>
      <c r="BB1320" s="331">
        <f>SQRT(($R1320-Infrastructure!J$9)^2+($S1320-Infrastructure!K$9)^2)</f>
        <v>22.15084648</v>
      </c>
      <c r="BC1320" s="331">
        <f>SQRT(($R1320-Infrastructure!J$10)^2+($S1320-Infrastructure!K$10)^2)</f>
        <v>24.86704647</v>
      </c>
      <c r="BD1320" s="331">
        <f>SQRT(($R1320-Infrastructure!J$11)^2+($S1320-Infrastructure!K$11)^2)</f>
        <v>33.80014793</v>
      </c>
      <c r="BE1320" s="333">
        <f>SQRT(($R1320-Infrastructure!J$12)^2+($S1320-Infrastructure!K$12)^2)</f>
        <v>52.02470567</v>
      </c>
      <c r="BF1320" s="330">
        <f t="shared" si="161"/>
        <v>4.201190308</v>
      </c>
      <c r="BG1320" s="333">
        <f t="shared" si="162"/>
        <v>52.02470567</v>
      </c>
      <c r="BH1320" s="1119"/>
      <c r="BI1320" s="319"/>
      <c r="BJ1320" s="319"/>
      <c r="BK1320" s="319"/>
      <c r="BL1320" s="319"/>
      <c r="BM1320" s="955"/>
      <c r="BN1320" s="319"/>
      <c r="BO1320" s="319"/>
      <c r="BP1320" s="953"/>
      <c r="BQ1320" s="319"/>
      <c r="BR1320" s="324"/>
      <c r="BS1320" s="330">
        <f t="shared" si="169"/>
        <v>0</v>
      </c>
      <c r="BT1320" s="331">
        <f t="shared" si="170"/>
        <v>0</v>
      </c>
      <c r="BU1320" s="920"/>
      <c r="BV1320" s="903">
        <f t="shared" si="171"/>
        <v>-0.6102430556</v>
      </c>
      <c r="BW1320" s="907"/>
      <c r="BX1320" s="908"/>
      <c r="BY1320" s="331" t="b">
        <f t="shared" si="166"/>
        <v>0</v>
      </c>
      <c r="BZ1320" s="340"/>
      <c r="CA1320" s="316"/>
      <c r="CB1320" s="318"/>
      <c r="CC1320" s="318"/>
      <c r="CD1320" s="318"/>
      <c r="CE1320" s="318"/>
      <c r="CF1320" s="318"/>
      <c r="CG1320" s="318"/>
      <c r="CH1320" s="318"/>
      <c r="CI1320" s="318"/>
      <c r="CJ1320" s="463"/>
      <c r="CK1320" s="342"/>
      <c r="CL1320" s="333"/>
      <c r="CM1320" s="1079"/>
      <c r="CN1320" s="1005"/>
      <c r="CO1320" s="1005"/>
      <c r="CP1320" s="1005"/>
    </row>
    <row r="1321">
      <c r="B1321" s="1106" t="s">
        <v>2013</v>
      </c>
      <c r="C1321" s="1107">
        <v>44616.0</v>
      </c>
      <c r="D1321" s="103"/>
      <c r="E1321" s="1108" t="s">
        <v>1492</v>
      </c>
      <c r="F1321" s="112" t="s">
        <v>2027</v>
      </c>
      <c r="G1321" s="1109">
        <v>0.6121527777777778</v>
      </c>
      <c r="H1321" s="1110">
        <v>0.6125</v>
      </c>
      <c r="I1321" s="1110"/>
      <c r="J1321" s="1111"/>
      <c r="K1321" s="1111">
        <v>0.6135995370370371</v>
      </c>
      <c r="L1321" s="1112">
        <v>0.001099537037037037</v>
      </c>
      <c r="M1321" s="1113" t="s">
        <v>168</v>
      </c>
      <c r="N1321" s="110" t="s">
        <v>187</v>
      </c>
      <c r="O1321" s="1114" t="s">
        <v>204</v>
      </c>
      <c r="P1321" s="1115" t="s">
        <v>265</v>
      </c>
      <c r="Q1321" s="1116"/>
      <c r="R1321" s="120">
        <v>17.9</v>
      </c>
      <c r="S1321" s="1113">
        <v>3.6</v>
      </c>
      <c r="T1321" s="110">
        <v>1.6</v>
      </c>
      <c r="U1321" s="1108">
        <v>9.0</v>
      </c>
      <c r="V1321" s="1108"/>
      <c r="W1321" s="1108"/>
      <c r="X1321" s="1108"/>
      <c r="Y1321" s="1108"/>
      <c r="Z1321" s="1114" t="s">
        <v>1140</v>
      </c>
      <c r="AA1321" s="1114"/>
      <c r="AB1321" s="1114" t="s">
        <v>349</v>
      </c>
      <c r="AC1321" s="1117">
        <v>5.0</v>
      </c>
      <c r="AD1321" s="1115"/>
      <c r="AE1321" s="1115"/>
      <c r="AF1321" s="1115"/>
      <c r="AG1321" s="1115"/>
      <c r="AH1321" s="1115"/>
      <c r="AI1321" s="1115"/>
      <c r="AJ1321" s="1117"/>
      <c r="AK1321" s="1118"/>
      <c r="AL1321" s="1115"/>
      <c r="AM1321" s="1115"/>
      <c r="AN1321" s="1115"/>
      <c r="AO1321" s="1115"/>
      <c r="AP1321" s="1115"/>
      <c r="AQ1321" s="1115"/>
      <c r="AR1321" s="1115"/>
      <c r="AS1321" s="1117"/>
      <c r="AT1321" s="1075" t="s">
        <v>182</v>
      </c>
      <c r="AU1321" s="1078" t="s">
        <v>845</v>
      </c>
      <c r="AV1321" s="330">
        <f>SQRT(($R1321-Infrastructure!J$3)^2+($S1321-Infrastructure!K$3)^2)</f>
        <v>31.16616755</v>
      </c>
      <c r="AW1321" s="331">
        <f>SQRT(($R1321-Infrastructure!J$4)^2+($S1321-Infrastructure!K$4)^2)</f>
        <v>23.08419373</v>
      </c>
      <c r="AX1321" s="331">
        <f>SQRT(($R1321-Infrastructure!J$5)^2+($S1321-Infrastructure!K$5)^2)</f>
        <v>18.26170857</v>
      </c>
      <c r="AY1321" s="331">
        <f>SQRT(($R1321-Infrastructure!J$6)^2+($S1321-Infrastructure!K$6)^2)</f>
        <v>8.469356528</v>
      </c>
      <c r="AZ1321" s="331">
        <f>SQRT(($R1321-Infrastructure!J$7)^2+($S1321-Infrastructure!K$7)^2)</f>
        <v>4.201190308</v>
      </c>
      <c r="BA1321" s="331">
        <f>SQRT(($R1321-Infrastructure!J$8)^2+($S1321-Infrastructure!K$8)^2)</f>
        <v>12.63843345</v>
      </c>
      <c r="BB1321" s="331">
        <f>SQRT(($R1321-Infrastructure!J$9)^2+($S1321-Infrastructure!K$9)^2)</f>
        <v>22.15084648</v>
      </c>
      <c r="BC1321" s="331">
        <f>SQRT(($R1321-Infrastructure!J$10)^2+($S1321-Infrastructure!K$10)^2)</f>
        <v>24.86704647</v>
      </c>
      <c r="BD1321" s="331">
        <f>SQRT(($R1321-Infrastructure!J$11)^2+($S1321-Infrastructure!K$11)^2)</f>
        <v>33.80014793</v>
      </c>
      <c r="BE1321" s="333">
        <f>SQRT(($R1321-Infrastructure!J$12)^2+($S1321-Infrastructure!K$12)^2)</f>
        <v>52.02470567</v>
      </c>
      <c r="BF1321" s="330">
        <f t="shared" si="161"/>
        <v>4.201190308</v>
      </c>
      <c r="BG1321" s="333">
        <f t="shared" si="162"/>
        <v>52.02470567</v>
      </c>
      <c r="BH1321" s="1119"/>
      <c r="BI1321" s="319"/>
      <c r="BJ1321" s="319"/>
      <c r="BK1321" s="319"/>
      <c r="BL1321" s="319"/>
      <c r="BM1321" s="955"/>
      <c r="BN1321" s="319"/>
      <c r="BO1321" s="319"/>
      <c r="BP1321" s="953"/>
      <c r="BQ1321" s="319"/>
      <c r="BR1321" s="324"/>
      <c r="BS1321" s="330">
        <f t="shared" si="169"/>
        <v>0</v>
      </c>
      <c r="BT1321" s="331">
        <f t="shared" si="170"/>
        <v>0</v>
      </c>
      <c r="BU1321" s="920"/>
      <c r="BV1321" s="903">
        <f t="shared" si="171"/>
        <v>-0.6121527778</v>
      </c>
      <c r="BW1321" s="907"/>
      <c r="BX1321" s="908"/>
      <c r="BY1321" s="331" t="b">
        <f t="shared" si="166"/>
        <v>0</v>
      </c>
      <c r="BZ1321" s="340"/>
      <c r="CA1321" s="316"/>
      <c r="CB1321" s="318"/>
      <c r="CC1321" s="318"/>
      <c r="CD1321" s="318"/>
      <c r="CE1321" s="318"/>
      <c r="CF1321" s="318"/>
      <c r="CG1321" s="318"/>
      <c r="CH1321" s="318"/>
      <c r="CI1321" s="318"/>
      <c r="CJ1321" s="463"/>
      <c r="CK1321" s="342"/>
      <c r="CL1321" s="333"/>
      <c r="CM1321" s="1079"/>
      <c r="CN1321" s="1005"/>
      <c r="CO1321" s="1005"/>
      <c r="CP1321" s="1005"/>
    </row>
    <row r="1322">
      <c r="B1322" s="1106" t="s">
        <v>2013</v>
      </c>
      <c r="C1322" s="1107">
        <v>44616.0</v>
      </c>
      <c r="D1322" s="103"/>
      <c r="E1322" s="1108">
        <v>10.0</v>
      </c>
      <c r="F1322" s="112" t="s">
        <v>2028</v>
      </c>
      <c r="G1322" s="1109">
        <v>0.6356481481481482</v>
      </c>
      <c r="H1322" s="1110">
        <v>0.6361689814814815</v>
      </c>
      <c r="I1322" s="1110"/>
      <c r="J1322" s="1111"/>
      <c r="K1322" s="1111">
        <v>0.6376736111111111</v>
      </c>
      <c r="L1322" s="1112">
        <v>0.0015046296296296296</v>
      </c>
      <c r="M1322" s="1113" t="s">
        <v>168</v>
      </c>
      <c r="N1322" s="110" t="s">
        <v>187</v>
      </c>
      <c r="O1322" s="1114" t="s">
        <v>206</v>
      </c>
      <c r="P1322" s="1115" t="s">
        <v>288</v>
      </c>
      <c r="Q1322" s="1116"/>
      <c r="R1322" s="120">
        <v>21.0</v>
      </c>
      <c r="S1322" s="1113">
        <v>7.9</v>
      </c>
      <c r="T1322" s="110">
        <v>0.3</v>
      </c>
      <c r="U1322" s="1108">
        <v>4.0</v>
      </c>
      <c r="V1322" s="1108"/>
      <c r="W1322" s="1108"/>
      <c r="X1322" s="1108"/>
      <c r="Y1322" s="1108"/>
      <c r="Z1322" s="1114" t="s">
        <v>347</v>
      </c>
      <c r="AA1322" s="1114"/>
      <c r="AB1322" s="1114" t="s">
        <v>345</v>
      </c>
      <c r="AC1322" s="1117">
        <v>4.0</v>
      </c>
      <c r="AD1322" s="1115"/>
      <c r="AE1322" s="1115"/>
      <c r="AF1322" s="1115"/>
      <c r="AG1322" s="1115"/>
      <c r="AH1322" s="1115"/>
      <c r="AI1322" s="1115"/>
      <c r="AJ1322" s="1117"/>
      <c r="AK1322" s="1118"/>
      <c r="AL1322" s="1115"/>
      <c r="AM1322" s="1115"/>
      <c r="AN1322" s="1115"/>
      <c r="AO1322" s="1115"/>
      <c r="AP1322" s="1115"/>
      <c r="AQ1322" s="1115"/>
      <c r="AR1322" s="1115"/>
      <c r="AS1322" s="1117"/>
      <c r="AT1322" s="1075" t="s">
        <v>182</v>
      </c>
      <c r="AU1322" s="1078" t="s">
        <v>845</v>
      </c>
      <c r="AV1322" s="330">
        <f>SQRT(($R1322-Infrastructure!J$3)^2+($S1322-Infrastructure!K$3)^2)</f>
        <v>29.91136908</v>
      </c>
      <c r="AW1322" s="331">
        <f>SQRT(($R1322-Infrastructure!J$4)^2+($S1322-Infrastructure!K$4)^2)</f>
        <v>23.48829496</v>
      </c>
      <c r="AX1322" s="331">
        <f>SQRT(($R1322-Infrastructure!J$5)^2+($S1322-Infrastructure!K$5)^2)</f>
        <v>21.48324929</v>
      </c>
      <c r="AY1322" s="331">
        <f>SQRT(($R1322-Infrastructure!J$6)^2+($S1322-Infrastructure!K$6)^2)</f>
        <v>13.28796448</v>
      </c>
      <c r="AZ1322" s="331">
        <f>SQRT(($R1322-Infrastructure!J$7)^2+($S1322-Infrastructure!K$7)^2)</f>
        <v>7.61642961</v>
      </c>
      <c r="BA1322" s="331">
        <f>SQRT(($R1322-Infrastructure!J$8)^2+($S1322-Infrastructure!K$8)^2)</f>
        <v>11.856222</v>
      </c>
      <c r="BB1322" s="331">
        <f>SQRT(($R1322-Infrastructure!J$9)^2+($S1322-Infrastructure!K$9)^2)</f>
        <v>19.20520763</v>
      </c>
      <c r="BC1322" s="331">
        <f>SQRT(($R1322-Infrastructure!J$10)^2+($S1322-Infrastructure!K$10)^2)</f>
        <v>20.28324432</v>
      </c>
      <c r="BD1322" s="331">
        <f>SQRT(($R1322-Infrastructure!J$11)^2+($S1322-Infrastructure!K$11)^2)</f>
        <v>28.52805637</v>
      </c>
      <c r="BE1322" s="333">
        <f>SQRT(($R1322-Infrastructure!J$12)^2+($S1322-Infrastructure!K$12)^2)</f>
        <v>47.60262598</v>
      </c>
      <c r="BF1322" s="330">
        <f t="shared" si="161"/>
        <v>7.61642961</v>
      </c>
      <c r="BG1322" s="333">
        <f t="shared" si="162"/>
        <v>47.60262598</v>
      </c>
      <c r="BH1322" s="1119"/>
      <c r="BI1322" s="319"/>
      <c r="BJ1322" s="319"/>
      <c r="BK1322" s="319"/>
      <c r="BL1322" s="319"/>
      <c r="BM1322" s="955"/>
      <c r="BN1322" s="319"/>
      <c r="BO1322" s="319"/>
      <c r="BP1322" s="953"/>
      <c r="BQ1322" s="319"/>
      <c r="BR1322" s="324"/>
      <c r="BS1322" s="330">
        <f t="shared" si="169"/>
        <v>0</v>
      </c>
      <c r="BT1322" s="331">
        <f t="shared" si="170"/>
        <v>0</v>
      </c>
      <c r="BU1322" s="920"/>
      <c r="BV1322" s="903">
        <f t="shared" si="171"/>
        <v>-0.6356481481</v>
      </c>
      <c r="BW1322" s="907"/>
      <c r="BX1322" s="908"/>
      <c r="BY1322" s="331" t="b">
        <f t="shared" si="166"/>
        <v>0</v>
      </c>
      <c r="BZ1322" s="340"/>
      <c r="CA1322" s="316"/>
      <c r="CB1322" s="318"/>
      <c r="CC1322" s="318"/>
      <c r="CD1322" s="318"/>
      <c r="CE1322" s="318"/>
      <c r="CF1322" s="318"/>
      <c r="CG1322" s="318"/>
      <c r="CH1322" s="318"/>
      <c r="CI1322" s="318"/>
      <c r="CJ1322" s="463"/>
      <c r="CK1322" s="342"/>
      <c r="CL1322" s="333"/>
      <c r="CM1322" s="1079"/>
      <c r="CN1322" s="1005"/>
      <c r="CO1322" s="1005"/>
      <c r="CP1322" s="1005"/>
    </row>
    <row r="1323">
      <c r="B1323" s="1106" t="s">
        <v>2013</v>
      </c>
      <c r="C1323" s="1107">
        <v>44616.0</v>
      </c>
      <c r="D1323" s="103"/>
      <c r="E1323" s="1137"/>
      <c r="F1323" s="112" t="s">
        <v>2029</v>
      </c>
      <c r="G1323" s="1109">
        <v>0.6436342592592592</v>
      </c>
      <c r="H1323" s="1138"/>
      <c r="I1323" s="1138"/>
      <c r="J1323" s="1139"/>
      <c r="K1323" s="1111">
        <v>0.6440972222222222</v>
      </c>
      <c r="L1323" s="1112">
        <v>4.62962962962963E-4</v>
      </c>
      <c r="M1323" s="1113" t="s">
        <v>168</v>
      </c>
      <c r="N1323" s="110" t="s">
        <v>188</v>
      </c>
      <c r="O1323" s="1140"/>
      <c r="P1323" s="1115" t="s">
        <v>293</v>
      </c>
      <c r="Q1323" s="1116"/>
      <c r="R1323" s="1141"/>
      <c r="S1323" s="1142"/>
      <c r="T1323" s="1143"/>
      <c r="U1323" s="1137"/>
      <c r="V1323" s="1137"/>
      <c r="W1323" s="1137"/>
      <c r="X1323" s="1137"/>
      <c r="Y1323" s="1137"/>
      <c r="Z1323" s="1114" t="s">
        <v>323</v>
      </c>
      <c r="AA1323" s="1114"/>
      <c r="AB1323" s="1114" t="s">
        <v>323</v>
      </c>
      <c r="AC1323" s="1117" t="s">
        <v>323</v>
      </c>
      <c r="AD1323" s="1115"/>
      <c r="AE1323" s="1115"/>
      <c r="AF1323" s="1115"/>
      <c r="AG1323" s="1115"/>
      <c r="AH1323" s="1115"/>
      <c r="AI1323" s="1115"/>
      <c r="AJ1323" s="1117"/>
      <c r="AK1323" s="1118"/>
      <c r="AL1323" s="1115"/>
      <c r="AM1323" s="1115"/>
      <c r="AN1323" s="1115"/>
      <c r="AO1323" s="1115"/>
      <c r="AP1323" s="1115"/>
      <c r="AQ1323" s="1115"/>
      <c r="AR1323" s="1115"/>
      <c r="AS1323" s="1117"/>
      <c r="AT1323" s="1075"/>
      <c r="AU1323" s="1078"/>
      <c r="AV1323" s="330">
        <f>SQRT(($R1323-Infrastructure!J$3)^2+($S1323-Infrastructure!K$3)^2)</f>
        <v>28.90155705</v>
      </c>
      <c r="AW1323" s="331">
        <f>SQRT(($R1323-Infrastructure!J$4)^2+($S1323-Infrastructure!K$4)^2)</f>
        <v>17.80252791</v>
      </c>
      <c r="AX1323" s="331">
        <f>SQRT(($R1323-Infrastructure!J$5)^2+($S1323-Infrastructure!K$5)^2)</f>
        <v>5.10881591</v>
      </c>
      <c r="AY1323" s="331">
        <f>SQRT(($R1323-Infrastructure!J$6)^2+($S1323-Infrastructure!K$6)^2)</f>
        <v>10.10445446</v>
      </c>
      <c r="AZ1323" s="331">
        <f>SQRT(($R1323-Infrastructure!J$7)^2+($S1323-Infrastructure!K$7)^2)</f>
        <v>20.502195</v>
      </c>
      <c r="BA1323" s="331">
        <f>SQRT(($R1323-Infrastructure!J$8)^2+($S1323-Infrastructure!K$8)^2)</f>
        <v>30.10149498</v>
      </c>
      <c r="BB1323" s="331">
        <f>SQRT(($R1323-Infrastructure!J$9)^2+($S1323-Infrastructure!K$9)^2)</f>
        <v>40.3238143</v>
      </c>
      <c r="BC1323" s="331">
        <f>SQRT(($R1323-Infrastructure!J$10)^2+($S1323-Infrastructure!K$10)^2)</f>
        <v>42.72001873</v>
      </c>
      <c r="BD1323" s="331">
        <f>SQRT(($R1323-Infrastructure!J$11)^2+($S1323-Infrastructure!K$11)^2)</f>
        <v>49.56853841</v>
      </c>
      <c r="BE1323" s="333">
        <f>SQRT(($R1323-Infrastructure!J$12)^2+($S1323-Infrastructure!K$12)^2)</f>
        <v>59.51890456</v>
      </c>
      <c r="BF1323" s="330">
        <f t="shared" si="161"/>
        <v>5.10881591</v>
      </c>
      <c r="BG1323" s="333">
        <f t="shared" si="162"/>
        <v>59.51890456</v>
      </c>
      <c r="BH1323" s="1119"/>
      <c r="BI1323" s="319"/>
      <c r="BJ1323" s="319"/>
      <c r="BK1323" s="319"/>
      <c r="BL1323" s="319"/>
      <c r="BM1323" s="955"/>
      <c r="BN1323" s="319"/>
      <c r="BO1323" s="319"/>
      <c r="BP1323" s="953"/>
      <c r="BQ1323" s="319"/>
      <c r="BR1323" s="324"/>
      <c r="BS1323" s="330">
        <f t="shared" si="169"/>
        <v>0</v>
      </c>
      <c r="BT1323" s="331">
        <f t="shared" si="170"/>
        <v>0</v>
      </c>
      <c r="BU1323" s="920"/>
      <c r="BV1323" s="903">
        <f t="shared" si="171"/>
        <v>-0.6436342593</v>
      </c>
      <c r="BW1323" s="907"/>
      <c r="BX1323" s="908"/>
      <c r="BY1323" s="331" t="b">
        <f t="shared" si="166"/>
        <v>0</v>
      </c>
      <c r="BZ1323" s="340"/>
      <c r="CA1323" s="316"/>
      <c r="CB1323" s="318"/>
      <c r="CC1323" s="318"/>
      <c r="CD1323" s="318"/>
      <c r="CE1323" s="318"/>
      <c r="CF1323" s="318"/>
      <c r="CG1323" s="318"/>
      <c r="CH1323" s="318"/>
      <c r="CI1323" s="318"/>
      <c r="CJ1323" s="463"/>
      <c r="CK1323" s="342"/>
      <c r="CL1323" s="333"/>
      <c r="CM1323" s="1079"/>
      <c r="CN1323" s="1005"/>
      <c r="CO1323" s="1005"/>
      <c r="CP1323" s="1005"/>
    </row>
    <row r="1324">
      <c r="B1324" s="1106" t="s">
        <v>2013</v>
      </c>
      <c r="C1324" s="1107">
        <v>44616.0</v>
      </c>
      <c r="D1324" s="103"/>
      <c r="E1324" s="1137"/>
      <c r="F1324" s="112" t="s">
        <v>2029</v>
      </c>
      <c r="G1324" s="1109">
        <v>0.659375</v>
      </c>
      <c r="H1324" s="1138"/>
      <c r="I1324" s="1138"/>
      <c r="J1324" s="1139"/>
      <c r="K1324" s="1111">
        <v>0.6597222222222222</v>
      </c>
      <c r="L1324" s="1112">
        <v>3.4722222222222224E-4</v>
      </c>
      <c r="M1324" s="1113" t="s">
        <v>358</v>
      </c>
      <c r="N1324" s="110" t="s">
        <v>188</v>
      </c>
      <c r="O1324" s="1140"/>
      <c r="P1324" s="1115" t="s">
        <v>294</v>
      </c>
      <c r="Q1324" s="1116"/>
      <c r="R1324" s="1141"/>
      <c r="S1324" s="1142"/>
      <c r="T1324" s="1143"/>
      <c r="U1324" s="1137"/>
      <c r="V1324" s="1137"/>
      <c r="W1324" s="1137"/>
      <c r="X1324" s="1137"/>
      <c r="Y1324" s="1137"/>
      <c r="Z1324" s="1114" t="s">
        <v>323</v>
      </c>
      <c r="AA1324" s="1114"/>
      <c r="AB1324" s="1114" t="s">
        <v>323</v>
      </c>
      <c r="AC1324" s="1117" t="s">
        <v>323</v>
      </c>
      <c r="AD1324" s="1115"/>
      <c r="AE1324" s="1115"/>
      <c r="AF1324" s="1115"/>
      <c r="AG1324" s="1115"/>
      <c r="AH1324" s="1115"/>
      <c r="AI1324" s="1115"/>
      <c r="AJ1324" s="1117"/>
      <c r="AK1324" s="1118"/>
      <c r="AL1324" s="1115"/>
      <c r="AM1324" s="1115"/>
      <c r="AN1324" s="1115"/>
      <c r="AO1324" s="1115"/>
      <c r="AP1324" s="1115"/>
      <c r="AQ1324" s="1115"/>
      <c r="AR1324" s="1115"/>
      <c r="AS1324" s="1117"/>
      <c r="AT1324" s="1075"/>
      <c r="AU1324" s="1078"/>
      <c r="AV1324" s="330">
        <f>SQRT(($R1324-Infrastructure!J$3)^2+($S1324-Infrastructure!K$3)^2)</f>
        <v>28.90155705</v>
      </c>
      <c r="AW1324" s="331">
        <f>SQRT(($R1324-Infrastructure!J$4)^2+($S1324-Infrastructure!K$4)^2)</f>
        <v>17.80252791</v>
      </c>
      <c r="AX1324" s="331">
        <f>SQRT(($R1324-Infrastructure!J$5)^2+($S1324-Infrastructure!K$5)^2)</f>
        <v>5.10881591</v>
      </c>
      <c r="AY1324" s="331">
        <f>SQRT(($R1324-Infrastructure!J$6)^2+($S1324-Infrastructure!K$6)^2)</f>
        <v>10.10445446</v>
      </c>
      <c r="AZ1324" s="331">
        <f>SQRT(($R1324-Infrastructure!J$7)^2+($S1324-Infrastructure!K$7)^2)</f>
        <v>20.502195</v>
      </c>
      <c r="BA1324" s="331">
        <f>SQRT(($R1324-Infrastructure!J$8)^2+($S1324-Infrastructure!K$8)^2)</f>
        <v>30.10149498</v>
      </c>
      <c r="BB1324" s="331">
        <f>SQRT(($R1324-Infrastructure!J$9)^2+($S1324-Infrastructure!K$9)^2)</f>
        <v>40.3238143</v>
      </c>
      <c r="BC1324" s="331">
        <f>SQRT(($R1324-Infrastructure!J$10)^2+($S1324-Infrastructure!K$10)^2)</f>
        <v>42.72001873</v>
      </c>
      <c r="BD1324" s="331">
        <f>SQRT(($R1324-Infrastructure!J$11)^2+($S1324-Infrastructure!K$11)^2)</f>
        <v>49.56853841</v>
      </c>
      <c r="BE1324" s="333">
        <f>SQRT(($R1324-Infrastructure!J$12)^2+($S1324-Infrastructure!K$12)^2)</f>
        <v>59.51890456</v>
      </c>
      <c r="BF1324" s="330">
        <f t="shared" si="161"/>
        <v>5.10881591</v>
      </c>
      <c r="BG1324" s="333">
        <f t="shared" si="162"/>
        <v>59.51890456</v>
      </c>
      <c r="BH1324" s="1119"/>
      <c r="BI1324" s="319"/>
      <c r="BJ1324" s="319"/>
      <c r="BK1324" s="319"/>
      <c r="BL1324" s="319"/>
      <c r="BM1324" s="955"/>
      <c r="BN1324" s="319"/>
      <c r="BO1324" s="319"/>
      <c r="BP1324" s="953"/>
      <c r="BQ1324" s="319"/>
      <c r="BR1324" s="324"/>
      <c r="BS1324" s="330">
        <f t="shared" si="169"/>
        <v>0</v>
      </c>
      <c r="BT1324" s="331">
        <f t="shared" si="170"/>
        <v>0</v>
      </c>
      <c r="BU1324" s="920"/>
      <c r="BV1324" s="903">
        <f t="shared" si="171"/>
        <v>-0.659375</v>
      </c>
      <c r="BW1324" s="907"/>
      <c r="BX1324" s="908"/>
      <c r="BY1324" s="331" t="b">
        <f t="shared" si="166"/>
        <v>0</v>
      </c>
      <c r="BZ1324" s="340"/>
      <c r="CA1324" s="316"/>
      <c r="CB1324" s="318"/>
      <c r="CC1324" s="318"/>
      <c r="CD1324" s="318"/>
      <c r="CE1324" s="318"/>
      <c r="CF1324" s="318"/>
      <c r="CG1324" s="318"/>
      <c r="CH1324" s="318"/>
      <c r="CI1324" s="318"/>
      <c r="CJ1324" s="463"/>
      <c r="CK1324" s="342"/>
      <c r="CL1324" s="333"/>
      <c r="CM1324" s="1079"/>
      <c r="CN1324" s="1005"/>
      <c r="CO1324" s="1005"/>
      <c r="CP1324" s="1005"/>
    </row>
    <row r="1325">
      <c r="A1325" s="1050" t="s">
        <v>68</v>
      </c>
      <c r="B1325" s="1091" t="s">
        <v>1341</v>
      </c>
      <c r="C1325" s="1092">
        <v>44651.0</v>
      </c>
      <c r="D1325" s="1093"/>
      <c r="E1325" s="1094" t="s">
        <v>1453</v>
      </c>
      <c r="F1325" s="129" t="s">
        <v>2030</v>
      </c>
      <c r="G1325" s="1095">
        <v>0.449537037037037</v>
      </c>
      <c r="H1325" s="1096">
        <v>0.4501736111111111</v>
      </c>
      <c r="I1325" s="1096"/>
      <c r="J1325" s="1097"/>
      <c r="K1325" s="1097">
        <v>0.4523726851851852</v>
      </c>
      <c r="L1325" s="1098">
        <v>0.002199074074074074</v>
      </c>
      <c r="M1325" s="1099" t="s">
        <v>358</v>
      </c>
      <c r="N1325" s="129" t="s">
        <v>187</v>
      </c>
      <c r="O1325" s="1100" t="s">
        <v>200</v>
      </c>
      <c r="P1325" s="1101" t="s">
        <v>256</v>
      </c>
      <c r="Q1325" s="1120"/>
      <c r="R1325" s="132">
        <v>1.0</v>
      </c>
      <c r="S1325" s="1099">
        <v>17.7</v>
      </c>
      <c r="T1325" s="129">
        <v>0.7</v>
      </c>
      <c r="U1325" s="1094">
        <v>1.0</v>
      </c>
      <c r="V1325" s="1094"/>
      <c r="W1325" s="1094"/>
      <c r="X1325" s="1094"/>
      <c r="Y1325" s="1094"/>
      <c r="Z1325" s="1100" t="s">
        <v>1985</v>
      </c>
      <c r="AA1325" s="1100"/>
      <c r="AB1325" s="1100" t="s">
        <v>337</v>
      </c>
      <c r="AC1325" s="1102">
        <v>2.5</v>
      </c>
      <c r="AD1325" s="1101"/>
      <c r="AE1325" s="1101"/>
      <c r="AF1325" s="1101"/>
      <c r="AG1325" s="1101"/>
      <c r="AH1325" s="1101"/>
      <c r="AI1325" s="1101"/>
      <c r="AJ1325" s="1102"/>
      <c r="AK1325" s="1103"/>
      <c r="AL1325" s="1101"/>
      <c r="AM1325" s="1101"/>
      <c r="AN1325" s="1101"/>
      <c r="AO1325" s="1101"/>
      <c r="AP1325" s="1101"/>
      <c r="AQ1325" s="1101"/>
      <c r="AR1325" s="1101"/>
      <c r="AS1325" s="1102"/>
      <c r="AT1325" s="1066" t="s">
        <v>182</v>
      </c>
      <c r="AU1325" s="1076" t="s">
        <v>845</v>
      </c>
      <c r="AV1325" s="405">
        <f>SQRT(($R1325-Infrastructure!J$3)^2+($S1325-Infrastructure!K$3)^2)</f>
        <v>11.27519401</v>
      </c>
      <c r="AW1325" s="406">
        <f>SQRT(($R1325-Infrastructure!J$4)^2+($S1325-Infrastructure!K$4)^2)</f>
        <v>1.303840481</v>
      </c>
      <c r="AX1325" s="406">
        <f>SQRT(($R1325-Infrastructure!J$5)^2+($S1325-Infrastructure!K$5)^2)</f>
        <v>12.66688596</v>
      </c>
      <c r="AY1325" s="406">
        <f>SQRT(($R1325-Infrastructure!J$6)^2+($S1325-Infrastructure!K$6)^2)</f>
        <v>19.63593644</v>
      </c>
      <c r="AZ1325" s="406">
        <f>SQRT(($R1325-Infrastructure!J$7)^2+($S1325-Infrastructure!K$7)^2)</f>
        <v>26.13446001</v>
      </c>
      <c r="BA1325" s="406">
        <f>SQRT(($R1325-Infrastructure!J$8)^2+($S1325-Infrastructure!K$8)^2)</f>
        <v>33.90530932</v>
      </c>
      <c r="BB1325" s="406">
        <f>SQRT(($R1325-Infrastructure!J$9)^2+($S1325-Infrastructure!K$9)^2)</f>
        <v>40.98487526</v>
      </c>
      <c r="BC1325" s="406">
        <f>SQRT(($R1325-Infrastructure!J$10)^2+($S1325-Infrastructure!K$10)^2)</f>
        <v>39.09334982</v>
      </c>
      <c r="BD1325" s="406">
        <f>SQRT(($R1325-Infrastructure!J$11)^2+($S1325-Infrastructure!K$11)^2)</f>
        <v>40.7962008</v>
      </c>
      <c r="BE1325" s="408">
        <f>SQRT(($R1325-Infrastructure!J$12)^2+($S1325-Infrastructure!K$12)^2)</f>
        <v>43.0010465</v>
      </c>
      <c r="BF1325" s="405">
        <f t="shared" si="161"/>
        <v>1.303840481</v>
      </c>
      <c r="BG1325" s="408">
        <f t="shared" si="162"/>
        <v>43.0010465</v>
      </c>
      <c r="BH1325" s="1105"/>
      <c r="BI1325" s="393" t="s">
        <v>846</v>
      </c>
      <c r="BJ1325" s="393" t="s">
        <v>846</v>
      </c>
      <c r="BK1325" s="393" t="s">
        <v>846</v>
      </c>
      <c r="BL1325" s="393" t="s">
        <v>846</v>
      </c>
      <c r="BM1325" s="959"/>
      <c r="BN1325" s="393"/>
      <c r="BO1325" s="393"/>
      <c r="BP1325" s="960"/>
      <c r="BQ1325" s="393"/>
      <c r="BR1325" s="394"/>
      <c r="BS1325" s="405">
        <f t="shared" si="169"/>
        <v>1.303840481</v>
      </c>
      <c r="BT1325" s="406">
        <f t="shared" si="170"/>
        <v>19.63593644</v>
      </c>
      <c r="BU1325" s="931">
        <v>0.4501851851851852</v>
      </c>
      <c r="BV1325" s="901">
        <f t="shared" si="171"/>
        <v>0.0006481481481</v>
      </c>
      <c r="BW1325" s="925">
        <v>1.9</v>
      </c>
      <c r="BX1325" s="926">
        <v>7.5</v>
      </c>
      <c r="BY1325" s="406">
        <f t="shared" si="166"/>
        <v>10.2396289</v>
      </c>
      <c r="BZ1325" s="412"/>
      <c r="CA1325" s="390"/>
      <c r="CB1325" s="392"/>
      <c r="CC1325" s="392"/>
      <c r="CD1325" s="392"/>
      <c r="CE1325" s="392"/>
      <c r="CF1325" s="392"/>
      <c r="CG1325" s="392"/>
      <c r="CH1325" s="392"/>
      <c r="CI1325" s="392"/>
      <c r="CJ1325" s="898"/>
      <c r="CK1325" s="414"/>
      <c r="CL1325" s="408"/>
      <c r="CM1325" s="1077"/>
      <c r="CN1325" s="1005"/>
      <c r="CO1325" s="1005"/>
      <c r="CP1325" s="1005"/>
    </row>
    <row r="1326">
      <c r="B1326" s="1106" t="s">
        <v>1341</v>
      </c>
      <c r="C1326" s="1107">
        <v>44651.0</v>
      </c>
      <c r="D1326" s="103"/>
      <c r="E1326" s="1108" t="s">
        <v>1455</v>
      </c>
      <c r="F1326" s="112" t="s">
        <v>2031</v>
      </c>
      <c r="G1326" s="1109">
        <v>0.4545138888888889</v>
      </c>
      <c r="H1326" s="1110">
        <v>0.45532407407407405</v>
      </c>
      <c r="I1326" s="1110"/>
      <c r="J1326" s="1111"/>
      <c r="K1326" s="1111">
        <v>0.46064814814814814</v>
      </c>
      <c r="L1326" s="1112">
        <v>0.005324074074074074</v>
      </c>
      <c r="M1326" s="1113" t="s">
        <v>358</v>
      </c>
      <c r="N1326" s="110" t="s">
        <v>187</v>
      </c>
      <c r="O1326" s="1114" t="s">
        <v>203</v>
      </c>
      <c r="P1326" s="1115" t="s">
        <v>250</v>
      </c>
      <c r="Q1326" s="1116"/>
      <c r="R1326" s="120">
        <v>15.1</v>
      </c>
      <c r="S1326" s="1113">
        <v>2.4</v>
      </c>
      <c r="T1326" s="110">
        <v>1.2</v>
      </c>
      <c r="U1326" s="1108">
        <v>2.0</v>
      </c>
      <c r="V1326" s="1108"/>
      <c r="W1326" s="1108"/>
      <c r="X1326" s="1108"/>
      <c r="Y1326" s="1108"/>
      <c r="Z1326" s="1114" t="s">
        <v>357</v>
      </c>
      <c r="AA1326" s="1114"/>
      <c r="AB1326" s="1114" t="s">
        <v>375</v>
      </c>
      <c r="AC1326" s="1117">
        <v>2.7</v>
      </c>
      <c r="AD1326" s="1115"/>
      <c r="AE1326" s="1115"/>
      <c r="AF1326" s="1115"/>
      <c r="AG1326" s="1115"/>
      <c r="AH1326" s="1115"/>
      <c r="AI1326" s="1115"/>
      <c r="AJ1326" s="1117"/>
      <c r="AK1326" s="1118"/>
      <c r="AL1326" s="1115"/>
      <c r="AM1326" s="1115"/>
      <c r="AN1326" s="1115"/>
      <c r="AO1326" s="1115"/>
      <c r="AP1326" s="1115"/>
      <c r="AQ1326" s="1115"/>
      <c r="AR1326" s="1115"/>
      <c r="AS1326" s="1117"/>
      <c r="AT1326" s="1075" t="s">
        <v>182</v>
      </c>
      <c r="AU1326" s="1078" t="s">
        <v>845</v>
      </c>
      <c r="AV1326" s="330">
        <f>SQRT(($R1326-Infrastructure!J$3)^2+($S1326-Infrastructure!K$3)^2)</f>
        <v>30.64979608</v>
      </c>
      <c r="AW1326" s="331">
        <f>SQRT(($R1326-Infrastructure!J$4)^2+($S1326-Infrastructure!K$4)^2)</f>
        <v>21.77888886</v>
      </c>
      <c r="AX1326" s="331">
        <f>SQRT(($R1326-Infrastructure!J$5)^2+($S1326-Infrastructure!K$5)^2)</f>
        <v>15.63489687</v>
      </c>
      <c r="AY1326" s="331">
        <f>SQRT(($R1326-Infrastructure!J$6)^2+($S1326-Infrastructure!K$6)^2)</f>
        <v>5.423098745</v>
      </c>
      <c r="AZ1326" s="331">
        <f>SQRT(($R1326-Infrastructure!J$7)^2+($S1326-Infrastructure!K$7)^2)</f>
        <v>5.793962375</v>
      </c>
      <c r="BA1326" s="331">
        <f>SQRT(($R1326-Infrastructure!J$8)^2+($S1326-Infrastructure!K$8)^2)</f>
        <v>15.14628667</v>
      </c>
      <c r="BB1326" s="331">
        <f>SQRT(($R1326-Infrastructure!J$9)^2+($S1326-Infrastructure!K$9)^2)</f>
        <v>25.04595776</v>
      </c>
      <c r="BC1326" s="331">
        <f>SQRT(($R1326-Infrastructure!J$10)^2+($S1326-Infrastructure!K$10)^2)</f>
        <v>27.90645087</v>
      </c>
      <c r="BD1326" s="331">
        <f>SQRT(($R1326-Infrastructure!J$11)^2+($S1326-Infrastructure!K$11)^2)</f>
        <v>36.5728041</v>
      </c>
      <c r="BE1326" s="333">
        <f>SQRT(($R1326-Infrastructure!J$12)^2+($S1326-Infrastructure!K$12)^2)</f>
        <v>53.48429676</v>
      </c>
      <c r="BF1326" s="330">
        <f t="shared" si="161"/>
        <v>5.423098745</v>
      </c>
      <c r="BG1326" s="333">
        <f t="shared" si="162"/>
        <v>53.48429676</v>
      </c>
      <c r="BH1326" s="1119"/>
      <c r="BI1326" s="319"/>
      <c r="BJ1326" s="319"/>
      <c r="BK1326" s="319"/>
      <c r="BL1326" s="319"/>
      <c r="BM1326" s="955"/>
      <c r="BN1326" s="319"/>
      <c r="BO1326" s="319"/>
      <c r="BP1326" s="953"/>
      <c r="BQ1326" s="319"/>
      <c r="BR1326" s="324"/>
      <c r="BS1326" s="330">
        <f t="shared" si="169"/>
        <v>0</v>
      </c>
      <c r="BT1326" s="331">
        <f t="shared" si="170"/>
        <v>0</v>
      </c>
      <c r="BU1326" s="920"/>
      <c r="BV1326" s="903">
        <f t="shared" si="171"/>
        <v>-0.4545138889</v>
      </c>
      <c r="BW1326" s="907"/>
      <c r="BX1326" s="908"/>
      <c r="BY1326" s="331" t="b">
        <f t="shared" si="166"/>
        <v>0</v>
      </c>
      <c r="BZ1326" s="340"/>
      <c r="CA1326" s="316"/>
      <c r="CB1326" s="318"/>
      <c r="CC1326" s="318"/>
      <c r="CD1326" s="318"/>
      <c r="CE1326" s="318"/>
      <c r="CF1326" s="318"/>
      <c r="CG1326" s="318"/>
      <c r="CH1326" s="318"/>
      <c r="CI1326" s="318"/>
      <c r="CJ1326" s="463"/>
      <c r="CK1326" s="342"/>
      <c r="CL1326" s="333"/>
      <c r="CM1326" s="1079"/>
      <c r="CN1326" s="1005"/>
      <c r="CO1326" s="1005"/>
      <c r="CP1326" s="1005"/>
    </row>
    <row r="1327">
      <c r="B1327" s="1106" t="s">
        <v>1341</v>
      </c>
      <c r="C1327" s="1107">
        <v>44651.0</v>
      </c>
      <c r="D1327" s="103"/>
      <c r="E1327" s="1108" t="s">
        <v>1457</v>
      </c>
      <c r="F1327" s="112" t="s">
        <v>2032</v>
      </c>
      <c r="G1327" s="1109">
        <v>0.4620949074074074</v>
      </c>
      <c r="H1327" s="1110">
        <v>0.4625</v>
      </c>
      <c r="I1327" s="1110"/>
      <c r="J1327" s="1111"/>
      <c r="K1327" s="1111">
        <v>0.4648726851851852</v>
      </c>
      <c r="L1327" s="1112">
        <v>0.002372685185185185</v>
      </c>
      <c r="M1327" s="1113" t="s">
        <v>358</v>
      </c>
      <c r="N1327" s="110" t="s">
        <v>187</v>
      </c>
      <c r="O1327" s="1114" t="s">
        <v>202</v>
      </c>
      <c r="P1327" s="1115" t="s">
        <v>256</v>
      </c>
      <c r="Q1327" s="1116"/>
      <c r="R1327" s="120">
        <v>24.4</v>
      </c>
      <c r="S1327" s="1113">
        <v>7.5</v>
      </c>
      <c r="T1327" s="110">
        <v>0.57</v>
      </c>
      <c r="U1327" s="1108">
        <v>2.0</v>
      </c>
      <c r="V1327" s="1108"/>
      <c r="W1327" s="1108"/>
      <c r="X1327" s="1108"/>
      <c r="Y1327" s="1108"/>
      <c r="Z1327" s="1114" t="s">
        <v>2033</v>
      </c>
      <c r="AA1327" s="1114"/>
      <c r="AB1327" s="1114" t="s">
        <v>337</v>
      </c>
      <c r="AC1327" s="1117">
        <v>2.5</v>
      </c>
      <c r="AD1327" s="1115"/>
      <c r="AE1327" s="1115"/>
      <c r="AF1327" s="1115"/>
      <c r="AG1327" s="1115"/>
      <c r="AH1327" s="1115"/>
      <c r="AI1327" s="1115"/>
      <c r="AJ1327" s="1117"/>
      <c r="AK1327" s="1118"/>
      <c r="AL1327" s="1115"/>
      <c r="AM1327" s="1115"/>
      <c r="AN1327" s="1115"/>
      <c r="AO1327" s="1115"/>
      <c r="AP1327" s="1115"/>
      <c r="AQ1327" s="1115"/>
      <c r="AR1327" s="1115"/>
      <c r="AS1327" s="1117"/>
      <c r="AT1327" s="1075" t="s">
        <v>182</v>
      </c>
      <c r="AU1327" s="1078" t="s">
        <v>845</v>
      </c>
      <c r="AV1327" s="330">
        <f>SQRT(($R1327-Infrastructure!J$3)^2+($S1327-Infrastructure!K$3)^2)</f>
        <v>32.68103426</v>
      </c>
      <c r="AW1327" s="331">
        <f>SQRT(($R1327-Infrastructure!J$4)^2+($S1327-Infrastructure!K$4)^2)</f>
        <v>26.76153957</v>
      </c>
      <c r="AX1327" s="331">
        <f>SQRT(($R1327-Infrastructure!J$5)^2+($S1327-Infrastructure!K$5)^2)</f>
        <v>24.81632527</v>
      </c>
      <c r="AY1327" s="331">
        <f>SQRT(($R1327-Infrastructure!J$6)^2+($S1327-Infrastructure!K$6)^2)</f>
        <v>16.01030918</v>
      </c>
      <c r="AZ1327" s="331">
        <f>SQRT(($R1327-Infrastructure!J$7)^2+($S1327-Infrastructure!K$7)^2)</f>
        <v>8.188406438</v>
      </c>
      <c r="BA1327" s="331">
        <f>SQRT(($R1327-Infrastructure!J$8)^2+($S1327-Infrastructure!K$8)^2)</f>
        <v>9.183136719</v>
      </c>
      <c r="BB1327" s="331">
        <f>SQRT(($R1327-Infrastructure!J$9)^2+($S1327-Infrastructure!K$9)^2)</f>
        <v>15.78353573</v>
      </c>
      <c r="BC1327" s="331">
        <f>SQRT(($R1327-Infrastructure!J$10)^2+($S1327-Infrastructure!K$10)^2)</f>
        <v>17.30924608</v>
      </c>
      <c r="BD1327" s="331">
        <f>SQRT(($R1327-Infrastructure!J$11)^2+($S1327-Infrastructure!K$11)^2)</f>
        <v>26.68126684</v>
      </c>
      <c r="BE1327" s="333">
        <f>SQRT(($R1327-Infrastructure!J$12)^2+($S1327-Infrastructure!K$12)^2)</f>
        <v>48.08752437</v>
      </c>
      <c r="BF1327" s="330">
        <f t="shared" si="161"/>
        <v>8.188406438</v>
      </c>
      <c r="BG1327" s="333">
        <f t="shared" si="162"/>
        <v>48.08752437</v>
      </c>
      <c r="BH1327" s="1119"/>
      <c r="BI1327" s="319"/>
      <c r="BJ1327" s="319"/>
      <c r="BK1327" s="319" t="s">
        <v>846</v>
      </c>
      <c r="BL1327" s="319"/>
      <c r="BM1327" s="955"/>
      <c r="BN1327" s="319" t="s">
        <v>846</v>
      </c>
      <c r="BO1327" s="319" t="s">
        <v>846</v>
      </c>
      <c r="BP1327" s="953" t="s">
        <v>846</v>
      </c>
      <c r="BQ1327" s="319" t="s">
        <v>846</v>
      </c>
      <c r="BR1327" s="324" t="s">
        <v>846</v>
      </c>
      <c r="BS1327" s="330">
        <f t="shared" si="169"/>
        <v>9.183136719</v>
      </c>
      <c r="BT1327" s="331">
        <f t="shared" si="170"/>
        <v>48.08752437</v>
      </c>
      <c r="BU1327" s="920">
        <v>0.4627662037037037</v>
      </c>
      <c r="BV1327" s="903">
        <f t="shared" si="171"/>
        <v>0.0006712962963</v>
      </c>
      <c r="BW1327" s="907">
        <v>27.6</v>
      </c>
      <c r="BX1327" s="908">
        <v>15.9</v>
      </c>
      <c r="BY1327" s="331">
        <f t="shared" si="166"/>
        <v>8.988882022</v>
      </c>
      <c r="BZ1327" s="340"/>
      <c r="CA1327" s="316"/>
      <c r="CB1327" s="318"/>
      <c r="CC1327" s="318"/>
      <c r="CD1327" s="318"/>
      <c r="CE1327" s="318"/>
      <c r="CF1327" s="318"/>
      <c r="CG1327" s="318"/>
      <c r="CH1327" s="318"/>
      <c r="CI1327" s="318"/>
      <c r="CJ1327" s="463"/>
      <c r="CK1327" s="342"/>
      <c r="CL1327" s="333"/>
      <c r="CM1327" s="1079"/>
      <c r="CN1327" s="1005"/>
      <c r="CO1327" s="1005"/>
      <c r="CP1327" s="1005"/>
    </row>
    <row r="1328">
      <c r="B1328" s="1106" t="s">
        <v>1341</v>
      </c>
      <c r="C1328" s="1107">
        <v>44651.0</v>
      </c>
      <c r="D1328" s="103"/>
      <c r="E1328" s="1108" t="s">
        <v>1523</v>
      </c>
      <c r="F1328" s="112" t="s">
        <v>2034</v>
      </c>
      <c r="G1328" s="1109">
        <v>0.5006944444444444</v>
      </c>
      <c r="H1328" s="1110">
        <v>0.5010416666666667</v>
      </c>
      <c r="I1328" s="1110"/>
      <c r="J1328" s="1111"/>
      <c r="K1328" s="1111">
        <v>0.5036458333333333</v>
      </c>
      <c r="L1328" s="1112">
        <v>0.0026041666666666665</v>
      </c>
      <c r="M1328" s="1113" t="s">
        <v>358</v>
      </c>
      <c r="N1328" s="110" t="s">
        <v>187</v>
      </c>
      <c r="O1328" s="1114" t="s">
        <v>199</v>
      </c>
      <c r="P1328" s="1115" t="s">
        <v>272</v>
      </c>
      <c r="Q1328" s="1116"/>
      <c r="R1328" s="120">
        <v>16.1</v>
      </c>
      <c r="S1328" s="1113">
        <v>9.6</v>
      </c>
      <c r="T1328" s="110">
        <v>0.01</v>
      </c>
      <c r="U1328" s="1108">
        <v>2.0</v>
      </c>
      <c r="V1328" s="1108"/>
      <c r="W1328" s="1108"/>
      <c r="X1328" s="1108"/>
      <c r="Y1328" s="1108"/>
      <c r="Z1328" s="1114" t="s">
        <v>351</v>
      </c>
      <c r="AA1328" s="1114"/>
      <c r="AB1328" s="1114" t="s">
        <v>375</v>
      </c>
      <c r="AC1328" s="1117">
        <v>2.7</v>
      </c>
      <c r="AD1328" s="1115"/>
      <c r="AE1328" s="1115"/>
      <c r="AF1328" s="1115"/>
      <c r="AG1328" s="1115"/>
      <c r="AH1328" s="1115"/>
      <c r="AI1328" s="1115"/>
      <c r="AJ1328" s="1117"/>
      <c r="AK1328" s="1118"/>
      <c r="AL1328" s="1115"/>
      <c r="AM1328" s="1115"/>
      <c r="AN1328" s="1115"/>
      <c r="AO1328" s="1115"/>
      <c r="AP1328" s="1115"/>
      <c r="AQ1328" s="1115"/>
      <c r="AR1328" s="1115"/>
      <c r="AS1328" s="1117"/>
      <c r="AT1328" s="1075" t="s">
        <v>182</v>
      </c>
      <c r="AU1328" s="947" t="s">
        <v>846</v>
      </c>
      <c r="AV1328" s="330">
        <f>SQRT(($R1328-Infrastructure!J$3)^2+($S1328-Infrastructure!K$3)^2)</f>
        <v>25.32686321</v>
      </c>
      <c r="AW1328" s="331">
        <f>SQRT(($R1328-Infrastructure!J$4)^2+($S1328-Infrastructure!K$4)^2)</f>
        <v>18.33575742</v>
      </c>
      <c r="AX1328" s="331">
        <f>SQRT(($R1328-Infrastructure!J$5)^2+($S1328-Infrastructure!K$5)^2)</f>
        <v>17.00617535</v>
      </c>
      <c r="AY1328" s="331">
        <f>SQRT(($R1328-Infrastructure!J$6)^2+($S1328-Infrastructure!K$6)^2)</f>
        <v>11.06752005</v>
      </c>
      <c r="AZ1328" s="331">
        <f>SQRT(($R1328-Infrastructure!J$7)^2+($S1328-Infrastructure!K$7)^2)</f>
        <v>10.28834292</v>
      </c>
      <c r="BA1328" s="331">
        <f>SQRT(($R1328-Infrastructure!J$8)^2+($S1328-Infrastructure!K$8)^2)</f>
        <v>16.80743883</v>
      </c>
      <c r="BB1328" s="331">
        <f>SQRT(($R1328-Infrastructure!J$9)^2+($S1328-Infrastructure!K$9)^2)</f>
        <v>24.31995066</v>
      </c>
      <c r="BC1328" s="331">
        <f>SQRT(($R1328-Infrastructure!J$10)^2+($S1328-Infrastructure!K$10)^2)</f>
        <v>24.50244886</v>
      </c>
      <c r="BD1328" s="331">
        <f>SQRT(($R1328-Infrastructure!J$11)^2+($S1328-Infrastructure!K$11)^2)</f>
        <v>30.93816413</v>
      </c>
      <c r="BE1328" s="333">
        <f>SQRT(($R1328-Infrastructure!J$12)^2+($S1328-Infrastructure!K$12)^2)</f>
        <v>46.21655548</v>
      </c>
      <c r="BF1328" s="330">
        <f t="shared" si="161"/>
        <v>10.28834292</v>
      </c>
      <c r="BG1328" s="333">
        <f t="shared" si="162"/>
        <v>46.21655548</v>
      </c>
      <c r="BH1328" s="1119"/>
      <c r="BI1328" s="319"/>
      <c r="BJ1328" s="319" t="s">
        <v>846</v>
      </c>
      <c r="BK1328" s="319"/>
      <c r="BL1328" s="319"/>
      <c r="BM1328" s="955"/>
      <c r="BN1328" s="319" t="s">
        <v>846</v>
      </c>
      <c r="BO1328" s="319"/>
      <c r="BP1328" s="953"/>
      <c r="BQ1328" s="319"/>
      <c r="BR1328" s="324" t="s">
        <v>846</v>
      </c>
      <c r="BS1328" s="330">
        <f t="shared" si="169"/>
        <v>16.80743883</v>
      </c>
      <c r="BT1328" s="331">
        <f t="shared" si="170"/>
        <v>46.21655548</v>
      </c>
      <c r="BU1328" s="920">
        <v>0.5017824074074074</v>
      </c>
      <c r="BV1328" s="903">
        <f t="shared" si="171"/>
        <v>0.001087962963</v>
      </c>
      <c r="BW1328" s="907">
        <v>14.1</v>
      </c>
      <c r="BX1328" s="908">
        <v>8.4</v>
      </c>
      <c r="BY1328" s="331">
        <f t="shared" si="166"/>
        <v>2.332380758</v>
      </c>
      <c r="BZ1328" s="340"/>
      <c r="CA1328" s="316"/>
      <c r="CB1328" s="318"/>
      <c r="CC1328" s="318"/>
      <c r="CD1328" s="318"/>
      <c r="CE1328" s="318"/>
      <c r="CF1328" s="318"/>
      <c r="CG1328" s="318"/>
      <c r="CH1328" s="318"/>
      <c r="CI1328" s="318"/>
      <c r="CJ1328" s="463"/>
      <c r="CK1328" s="342"/>
      <c r="CL1328" s="333"/>
      <c r="CM1328" s="1079"/>
      <c r="CN1328" s="1005"/>
      <c r="CO1328" s="1005"/>
      <c r="CP1328" s="1005"/>
    </row>
    <row r="1329">
      <c r="B1329" s="1106" t="s">
        <v>1341</v>
      </c>
      <c r="C1329" s="1107">
        <v>44651.0</v>
      </c>
      <c r="D1329" s="103"/>
      <c r="E1329" s="1108" t="s">
        <v>1525</v>
      </c>
      <c r="F1329" s="112" t="s">
        <v>2035</v>
      </c>
      <c r="G1329" s="1109">
        <v>0.5008680555555556</v>
      </c>
      <c r="H1329" s="1110">
        <v>0.5013888888888889</v>
      </c>
      <c r="I1329" s="1110"/>
      <c r="J1329" s="1111"/>
      <c r="K1329" s="1111">
        <v>0.5037037037037037</v>
      </c>
      <c r="L1329" s="1112">
        <v>0.0023148148148148147</v>
      </c>
      <c r="M1329" s="1113" t="s">
        <v>358</v>
      </c>
      <c r="N1329" s="110" t="s">
        <v>187</v>
      </c>
      <c r="O1329" s="1114" t="s">
        <v>207</v>
      </c>
      <c r="P1329" s="1115" t="s">
        <v>221</v>
      </c>
      <c r="Q1329" s="1116"/>
      <c r="R1329" s="120">
        <v>26.2</v>
      </c>
      <c r="S1329" s="1113">
        <v>14.5</v>
      </c>
      <c r="T1329" s="110">
        <v>1.7</v>
      </c>
      <c r="U1329" s="1108">
        <v>3.0</v>
      </c>
      <c r="V1329" s="1108"/>
      <c r="W1329" s="1108"/>
      <c r="X1329" s="1108"/>
      <c r="Y1329" s="1108"/>
      <c r="Z1329" s="1114" t="s">
        <v>374</v>
      </c>
      <c r="AA1329" s="1114"/>
      <c r="AB1329" s="1114" t="s">
        <v>380</v>
      </c>
      <c r="AC1329" s="1117">
        <v>4.0</v>
      </c>
      <c r="AD1329" s="1115"/>
      <c r="AE1329" s="1115"/>
      <c r="AF1329" s="1115"/>
      <c r="AG1329" s="1115"/>
      <c r="AH1329" s="1115"/>
      <c r="AI1329" s="1115"/>
      <c r="AJ1329" s="1117"/>
      <c r="AK1329" s="1118"/>
      <c r="AL1329" s="1115"/>
      <c r="AM1329" s="1115"/>
      <c r="AN1329" s="1115"/>
      <c r="AO1329" s="1115"/>
      <c r="AP1329" s="1115"/>
      <c r="AQ1329" s="1115"/>
      <c r="AR1329" s="1115"/>
      <c r="AS1329" s="1117"/>
      <c r="AT1329" s="1075" t="s">
        <v>182</v>
      </c>
      <c r="AU1329" s="947" t="s">
        <v>846</v>
      </c>
      <c r="AV1329" s="330">
        <f>SQRT(($R1329-Infrastructure!J$3)^2+($S1329-Infrastructure!K$3)^2)</f>
        <v>30.15974138</v>
      </c>
      <c r="AW1329" s="331">
        <f>SQRT(($R1329-Infrastructure!J$4)^2+($S1329-Infrastructure!K$4)^2)</f>
        <v>26.70468124</v>
      </c>
      <c r="AX1329" s="331">
        <f>SQRT(($R1329-Infrastructure!J$5)^2+($S1329-Infrastructure!K$5)^2)</f>
        <v>28.11778796</v>
      </c>
      <c r="AY1329" s="331">
        <f>SQRT(($R1329-Infrastructure!J$6)^2+($S1329-Infrastructure!K$6)^2)</f>
        <v>21.46741717</v>
      </c>
      <c r="AZ1329" s="331">
        <f>SQRT(($R1329-Infrastructure!J$7)^2+($S1329-Infrastructure!K$7)^2)</f>
        <v>15.30130713</v>
      </c>
      <c r="BA1329" s="331">
        <f>SQRT(($R1329-Infrastructure!J$8)^2+($S1329-Infrastructure!K$8)^2)</f>
        <v>14.72582765</v>
      </c>
      <c r="BB1329" s="331">
        <f>SQRT(($R1329-Infrastructure!J$9)^2+($S1329-Infrastructure!K$9)^2)</f>
        <v>16.69730517</v>
      </c>
      <c r="BC1329" s="331">
        <f>SQRT(($R1329-Infrastructure!J$10)^2+($S1329-Infrastructure!K$10)^2)</f>
        <v>13.809055</v>
      </c>
      <c r="BD1329" s="331">
        <f>SQRT(($R1329-Infrastructure!J$11)^2+($S1329-Infrastructure!K$11)^2)</f>
        <v>20.15564437</v>
      </c>
      <c r="BE1329" s="333">
        <f>SQRT(($R1329-Infrastructure!J$12)^2+($S1329-Infrastructure!K$12)^2)</f>
        <v>41.268511</v>
      </c>
      <c r="BF1329" s="330">
        <f t="shared" si="161"/>
        <v>13.809055</v>
      </c>
      <c r="BG1329" s="333">
        <f t="shared" si="162"/>
        <v>41.268511</v>
      </c>
      <c r="BH1329" s="1119"/>
      <c r="BI1329" s="319"/>
      <c r="BJ1329" s="319"/>
      <c r="BK1329" s="319"/>
      <c r="BL1329" s="319"/>
      <c r="BM1329" s="955"/>
      <c r="BN1329" s="319"/>
      <c r="BO1329" s="319"/>
      <c r="BP1329" s="953"/>
      <c r="BQ1329" s="319"/>
      <c r="BR1329" s="324"/>
      <c r="BS1329" s="330">
        <f t="shared" si="169"/>
        <v>0</v>
      </c>
      <c r="BT1329" s="331">
        <f t="shared" si="170"/>
        <v>0</v>
      </c>
      <c r="BU1329" s="920"/>
      <c r="BV1329" s="903">
        <f t="shared" si="171"/>
        <v>-0.5008680556</v>
      </c>
      <c r="BW1329" s="907"/>
      <c r="BX1329" s="908"/>
      <c r="BY1329" s="331" t="b">
        <f t="shared" si="166"/>
        <v>0</v>
      </c>
      <c r="BZ1329" s="340"/>
      <c r="CA1329" s="316"/>
      <c r="CB1329" s="318"/>
      <c r="CC1329" s="318"/>
      <c r="CD1329" s="318"/>
      <c r="CE1329" s="318"/>
      <c r="CF1329" s="318"/>
      <c r="CG1329" s="318"/>
      <c r="CH1329" s="318"/>
      <c r="CI1329" s="318"/>
      <c r="CJ1329" s="463"/>
      <c r="CK1329" s="342"/>
      <c r="CL1329" s="333"/>
      <c r="CM1329" s="1079"/>
      <c r="CN1329" s="1005"/>
      <c r="CO1329" s="1005"/>
      <c r="CP1329" s="1005"/>
    </row>
    <row r="1330">
      <c r="B1330" s="1106" t="s">
        <v>1341</v>
      </c>
      <c r="C1330" s="1107">
        <v>44651.0</v>
      </c>
      <c r="D1330" s="103"/>
      <c r="E1330" s="1108" t="s">
        <v>1527</v>
      </c>
      <c r="F1330" s="112" t="s">
        <v>2036</v>
      </c>
      <c r="G1330" s="1109">
        <v>0.5024305555555556</v>
      </c>
      <c r="H1330" s="1110">
        <v>0.5027777777777778</v>
      </c>
      <c r="I1330" s="1110"/>
      <c r="J1330" s="1111"/>
      <c r="K1330" s="1111">
        <v>0.5037615740740741</v>
      </c>
      <c r="L1330" s="1112">
        <v>9.837962962962962E-4</v>
      </c>
      <c r="M1330" s="1113" t="s">
        <v>358</v>
      </c>
      <c r="N1330" s="110" t="s">
        <v>188</v>
      </c>
      <c r="O1330" s="1114" t="s">
        <v>378</v>
      </c>
      <c r="P1330" s="1115" t="s">
        <v>225</v>
      </c>
      <c r="Q1330" s="1116"/>
      <c r="R1330" s="120">
        <v>22.7</v>
      </c>
      <c r="S1330" s="1113">
        <v>39.7</v>
      </c>
      <c r="T1330" s="110">
        <v>1.02</v>
      </c>
      <c r="U1330" s="1108">
        <v>3.0</v>
      </c>
      <c r="V1330" s="1108"/>
      <c r="W1330" s="1108"/>
      <c r="X1330" s="1108"/>
      <c r="Y1330" s="1108"/>
      <c r="Z1330" s="1114" t="s">
        <v>1140</v>
      </c>
      <c r="AA1330" s="1114"/>
      <c r="AB1330" s="1114" t="s">
        <v>345</v>
      </c>
      <c r="AC1330" s="1117">
        <v>4.0</v>
      </c>
      <c r="AD1330" s="1115"/>
      <c r="AE1330" s="1115"/>
      <c r="AF1330" s="1115"/>
      <c r="AG1330" s="1115"/>
      <c r="AH1330" s="1115"/>
      <c r="AI1330" s="1115"/>
      <c r="AJ1330" s="1117"/>
      <c r="AK1330" s="1118"/>
      <c r="AL1330" s="1115"/>
      <c r="AM1330" s="1115"/>
      <c r="AN1330" s="1115"/>
      <c r="AO1330" s="1115"/>
      <c r="AP1330" s="1115"/>
      <c r="AQ1330" s="1115"/>
      <c r="AR1330" s="1115"/>
      <c r="AS1330" s="1117"/>
      <c r="AT1330" s="1075" t="s">
        <v>182</v>
      </c>
      <c r="AU1330" s="947" t="s">
        <v>846</v>
      </c>
      <c r="AV1330" s="330">
        <f>SQRT(($R1330-Infrastructure!J$3)^2+($S1330-Infrastructure!K$3)^2)</f>
        <v>25.40944706</v>
      </c>
      <c r="AW1330" s="331">
        <f>SQRT(($R1330-Infrastructure!J$4)^2+($S1330-Infrastructure!K$4)^2)</f>
        <v>31.75862088</v>
      </c>
      <c r="AX1330" s="331">
        <f>SQRT(($R1330-Infrastructure!J$5)^2+($S1330-Infrastructure!K$5)^2)</f>
        <v>41.54708173</v>
      </c>
      <c r="AY1330" s="331">
        <f>SQRT(($R1330-Infrastructure!J$6)^2+($S1330-Infrastructure!K$6)^2)</f>
        <v>41.36568626</v>
      </c>
      <c r="AZ1330" s="331">
        <f>SQRT(($R1330-Infrastructure!J$7)^2+($S1330-Infrastructure!K$7)^2)</f>
        <v>39.46137352</v>
      </c>
      <c r="BA1330" s="331">
        <f>SQRT(($R1330-Infrastructure!J$8)^2+($S1330-Infrastructure!K$8)^2)</f>
        <v>40.08890121</v>
      </c>
      <c r="BB1330" s="331">
        <f>SQRT(($R1330-Infrastructure!J$9)^2+($S1330-Infrastructure!K$9)^2)</f>
        <v>38.68397601</v>
      </c>
      <c r="BC1330" s="331">
        <f>SQRT(($R1330-Infrastructure!J$10)^2+($S1330-Infrastructure!K$10)^2)</f>
        <v>30.15592811</v>
      </c>
      <c r="BD1330" s="331">
        <f>SQRT(($R1330-Infrastructure!J$11)^2+($S1330-Infrastructure!K$11)^2)</f>
        <v>20.51194774</v>
      </c>
      <c r="BE1330" s="333">
        <f>SQRT(($R1330-Infrastructure!J$12)^2+($S1330-Infrastructure!K$12)^2)</f>
        <v>15.84550409</v>
      </c>
      <c r="BF1330" s="330">
        <f t="shared" si="161"/>
        <v>15.84550409</v>
      </c>
      <c r="BG1330" s="333">
        <f t="shared" si="162"/>
        <v>41.54708173</v>
      </c>
      <c r="BH1330" s="1119"/>
      <c r="BI1330" s="319"/>
      <c r="BJ1330" s="319"/>
      <c r="BK1330" s="319"/>
      <c r="BL1330" s="319"/>
      <c r="BM1330" s="955"/>
      <c r="BN1330" s="319"/>
      <c r="BO1330" s="319"/>
      <c r="BP1330" s="953"/>
      <c r="BQ1330" s="319"/>
      <c r="BR1330" s="324"/>
      <c r="BS1330" s="330">
        <f t="shared" si="169"/>
        <v>0</v>
      </c>
      <c r="BT1330" s="331">
        <f t="shared" si="170"/>
        <v>0</v>
      </c>
      <c r="BU1330" s="920"/>
      <c r="BV1330" s="903">
        <f t="shared" si="171"/>
        <v>-0.5024305556</v>
      </c>
      <c r="BW1330" s="907"/>
      <c r="BX1330" s="908"/>
      <c r="BY1330" s="331" t="b">
        <f t="shared" si="166"/>
        <v>0</v>
      </c>
      <c r="BZ1330" s="340"/>
      <c r="CA1330" s="316"/>
      <c r="CB1330" s="318"/>
      <c r="CC1330" s="318"/>
      <c r="CD1330" s="318"/>
      <c r="CE1330" s="318"/>
      <c r="CF1330" s="318"/>
      <c r="CG1330" s="318"/>
      <c r="CH1330" s="318"/>
      <c r="CI1330" s="318"/>
      <c r="CJ1330" s="463"/>
      <c r="CK1330" s="342"/>
      <c r="CL1330" s="333"/>
      <c r="CM1330" s="1079"/>
      <c r="CN1330" s="1005"/>
      <c r="CO1330" s="1005"/>
      <c r="CP1330" s="1005"/>
    </row>
    <row r="1331">
      <c r="B1331" s="1106" t="s">
        <v>1341</v>
      </c>
      <c r="C1331" s="1107">
        <v>44651.0</v>
      </c>
      <c r="D1331" s="103"/>
      <c r="E1331" s="1108">
        <v>3.0</v>
      </c>
      <c r="F1331" s="112" t="s">
        <v>2037</v>
      </c>
      <c r="G1331" s="1109">
        <v>0.5078125</v>
      </c>
      <c r="H1331" s="1110">
        <v>0.5085069444444444</v>
      </c>
      <c r="I1331" s="1110"/>
      <c r="J1331" s="1111"/>
      <c r="K1331" s="1111">
        <v>0.5100694444444445</v>
      </c>
      <c r="L1331" s="1112">
        <v>0.0015625</v>
      </c>
      <c r="M1331" s="1113" t="s">
        <v>358</v>
      </c>
      <c r="N1331" s="110" t="s">
        <v>187</v>
      </c>
      <c r="O1331" s="1114" t="s">
        <v>201</v>
      </c>
      <c r="P1331" s="1115" t="s">
        <v>256</v>
      </c>
      <c r="Q1331" s="1116"/>
      <c r="R1331" s="120">
        <v>2.0</v>
      </c>
      <c r="S1331" s="1113">
        <v>2.5</v>
      </c>
      <c r="T1331" s="110">
        <v>0.7</v>
      </c>
      <c r="U1331" s="1108">
        <v>3.0</v>
      </c>
      <c r="V1331" s="1108"/>
      <c r="W1331" s="1108"/>
      <c r="X1331" s="1108"/>
      <c r="Y1331" s="1108"/>
      <c r="Z1331" s="1114" t="s">
        <v>339</v>
      </c>
      <c r="AA1331" s="1114"/>
      <c r="AB1331" s="1114" t="s">
        <v>333</v>
      </c>
      <c r="AC1331" s="1117">
        <v>2.0</v>
      </c>
      <c r="AD1331" s="1115"/>
      <c r="AE1331" s="1115"/>
      <c r="AF1331" s="1115"/>
      <c r="AG1331" s="1115"/>
      <c r="AH1331" s="1115"/>
      <c r="AI1331" s="1115"/>
      <c r="AJ1331" s="1117"/>
      <c r="AK1331" s="1118"/>
      <c r="AL1331" s="1115"/>
      <c r="AM1331" s="1115"/>
      <c r="AN1331" s="1115"/>
      <c r="AO1331" s="1115"/>
      <c r="AP1331" s="1115"/>
      <c r="AQ1331" s="1115"/>
      <c r="AR1331" s="1115"/>
      <c r="AS1331" s="1117"/>
      <c r="AT1331" s="1075" t="s">
        <v>182</v>
      </c>
      <c r="AU1331" s="1078" t="s">
        <v>845</v>
      </c>
      <c r="AV1331" s="330">
        <f>SQRT(($R1331-Infrastructure!J$3)^2+($S1331-Infrastructure!K$3)^2)</f>
        <v>26.5</v>
      </c>
      <c r="AW1331" s="331">
        <f>SQRT(($R1331-Infrastructure!J$4)^2+($S1331-Infrastructure!K$4)^2)</f>
        <v>15.47191003</v>
      </c>
      <c r="AX1331" s="331">
        <f>SQRT(($R1331-Infrastructure!J$5)^2+($S1331-Infrastructure!K$5)^2)</f>
        <v>3.471310992</v>
      </c>
      <c r="AY1331" s="331">
        <f>SQRT(($R1331-Infrastructure!J$6)^2+($S1331-Infrastructure!K$6)^2)</f>
        <v>8.393449827</v>
      </c>
      <c r="AZ1331" s="331">
        <f>SQRT(($R1331-Infrastructure!J$7)^2+($S1331-Infrastructure!K$7)^2)</f>
        <v>18.63035158</v>
      </c>
      <c r="BA1331" s="331">
        <f>SQRT(($R1331-Infrastructure!J$8)^2+($S1331-Infrastructure!K$8)^2)</f>
        <v>28.18598943</v>
      </c>
      <c r="BB1331" s="331">
        <f>SQRT(($R1331-Infrastructure!J$9)^2+($S1331-Infrastructure!K$9)^2)</f>
        <v>38.08884351</v>
      </c>
      <c r="BC1331" s="331">
        <f>SQRT(($R1331-Infrastructure!J$10)^2+($S1331-Infrastructure!K$10)^2)</f>
        <v>40.00312488</v>
      </c>
      <c r="BD1331" s="331">
        <f>SQRT(($R1331-Infrastructure!J$11)^2+($S1331-Infrastructure!K$11)^2)</f>
        <v>46.49182724</v>
      </c>
      <c r="BE1331" s="333">
        <f>SQRT(($R1331-Infrastructure!J$12)^2+($S1331-Infrastructure!K$12)^2)</f>
        <v>56.47344509</v>
      </c>
      <c r="BF1331" s="330">
        <f t="shared" si="161"/>
        <v>3.471310992</v>
      </c>
      <c r="BG1331" s="333">
        <f t="shared" si="162"/>
        <v>56.47344509</v>
      </c>
      <c r="BH1331" s="1119"/>
      <c r="BI1331" s="319" t="s">
        <v>846</v>
      </c>
      <c r="BJ1331" s="319" t="s">
        <v>846</v>
      </c>
      <c r="BK1331" s="319" t="s">
        <v>846</v>
      </c>
      <c r="BL1331" s="319" t="s">
        <v>846</v>
      </c>
      <c r="BM1331" s="955"/>
      <c r="BN1331" s="319" t="s">
        <v>846</v>
      </c>
      <c r="BO1331" s="319"/>
      <c r="BP1331" s="953" t="s">
        <v>846</v>
      </c>
      <c r="BQ1331" s="319"/>
      <c r="BR1331" s="324" t="s">
        <v>846</v>
      </c>
      <c r="BS1331" s="330">
        <f t="shared" si="169"/>
        <v>3.471310992</v>
      </c>
      <c r="BT1331" s="331">
        <f t="shared" si="170"/>
        <v>56.47344509</v>
      </c>
      <c r="BU1331" s="920">
        <v>0.5088078703703703</v>
      </c>
      <c r="BV1331" s="903">
        <f t="shared" si="171"/>
        <v>0.0009953703704</v>
      </c>
      <c r="BW1331" s="907">
        <v>10.4</v>
      </c>
      <c r="BX1331" s="908">
        <v>12.5</v>
      </c>
      <c r="BY1331" s="331">
        <f t="shared" si="166"/>
        <v>13.05986217</v>
      </c>
      <c r="BZ1331" s="340"/>
      <c r="CA1331" s="316"/>
      <c r="CB1331" s="318"/>
      <c r="CC1331" s="318"/>
      <c r="CD1331" s="318"/>
      <c r="CE1331" s="318"/>
      <c r="CF1331" s="318"/>
      <c r="CG1331" s="318"/>
      <c r="CH1331" s="318"/>
      <c r="CI1331" s="318"/>
      <c r="CJ1331" s="463"/>
      <c r="CK1331" s="342"/>
      <c r="CL1331" s="333"/>
      <c r="CM1331" s="1079"/>
      <c r="CN1331" s="1005"/>
      <c r="CO1331" s="1005"/>
      <c r="CP1331" s="1005"/>
    </row>
    <row r="1332">
      <c r="B1332" s="1106" t="s">
        <v>1341</v>
      </c>
      <c r="C1332" s="1107">
        <v>44651.0</v>
      </c>
      <c r="D1332" s="103"/>
      <c r="E1332" s="1108" t="s">
        <v>1550</v>
      </c>
      <c r="F1332" s="112" t="s">
        <v>2038</v>
      </c>
      <c r="G1332" s="1109">
        <v>0.6038194444444445</v>
      </c>
      <c r="H1332" s="1110">
        <v>0.6046296296296296</v>
      </c>
      <c r="I1332" s="1110"/>
      <c r="J1332" s="1111"/>
      <c r="K1332" s="1111">
        <v>0.6053819444444445</v>
      </c>
      <c r="L1332" s="1112">
        <v>7.523148148148148E-4</v>
      </c>
      <c r="M1332" s="1113" t="s">
        <v>358</v>
      </c>
      <c r="N1332" s="110" t="s">
        <v>187</v>
      </c>
      <c r="O1332" s="1114" t="s">
        <v>199</v>
      </c>
      <c r="P1332" s="1115" t="s">
        <v>272</v>
      </c>
      <c r="Q1332" s="1116"/>
      <c r="R1332" s="120">
        <v>16.1</v>
      </c>
      <c r="S1332" s="1113">
        <v>9.6</v>
      </c>
      <c r="T1332" s="110">
        <v>0.01</v>
      </c>
      <c r="U1332" s="1108">
        <v>2.0</v>
      </c>
      <c r="V1332" s="1108"/>
      <c r="W1332" s="1108"/>
      <c r="X1332" s="1108"/>
      <c r="Y1332" s="1108"/>
      <c r="Z1332" s="1114" t="s">
        <v>351</v>
      </c>
      <c r="AA1332" s="1114"/>
      <c r="AB1332" s="1114" t="s">
        <v>375</v>
      </c>
      <c r="AC1332" s="1117">
        <v>2.7</v>
      </c>
      <c r="AD1332" s="1115"/>
      <c r="AE1332" s="1115"/>
      <c r="AF1332" s="1115"/>
      <c r="AG1332" s="1115"/>
      <c r="AH1332" s="1115"/>
      <c r="AI1332" s="1115"/>
      <c r="AJ1332" s="1117"/>
      <c r="AK1332" s="1118"/>
      <c r="AL1332" s="1115"/>
      <c r="AM1332" s="1115"/>
      <c r="AN1332" s="1115"/>
      <c r="AO1332" s="1115"/>
      <c r="AP1332" s="1115"/>
      <c r="AQ1332" s="1115"/>
      <c r="AR1332" s="1115"/>
      <c r="AS1332" s="1117"/>
      <c r="AT1332" s="1075" t="s">
        <v>182</v>
      </c>
      <c r="AU1332" s="947" t="s">
        <v>846</v>
      </c>
      <c r="AV1332" s="330">
        <f>SQRT(($R1332-Infrastructure!J$3)^2+($S1332-Infrastructure!K$3)^2)</f>
        <v>25.32686321</v>
      </c>
      <c r="AW1332" s="331">
        <f>SQRT(($R1332-Infrastructure!J$4)^2+($S1332-Infrastructure!K$4)^2)</f>
        <v>18.33575742</v>
      </c>
      <c r="AX1332" s="331">
        <f>SQRT(($R1332-Infrastructure!J$5)^2+($S1332-Infrastructure!K$5)^2)</f>
        <v>17.00617535</v>
      </c>
      <c r="AY1332" s="331">
        <f>SQRT(($R1332-Infrastructure!J$6)^2+($S1332-Infrastructure!K$6)^2)</f>
        <v>11.06752005</v>
      </c>
      <c r="AZ1332" s="331">
        <f>SQRT(($R1332-Infrastructure!J$7)^2+($S1332-Infrastructure!K$7)^2)</f>
        <v>10.28834292</v>
      </c>
      <c r="BA1332" s="331">
        <f>SQRT(($R1332-Infrastructure!J$8)^2+($S1332-Infrastructure!K$8)^2)</f>
        <v>16.80743883</v>
      </c>
      <c r="BB1332" s="331">
        <f>SQRT(($R1332-Infrastructure!J$9)^2+($S1332-Infrastructure!K$9)^2)</f>
        <v>24.31995066</v>
      </c>
      <c r="BC1332" s="331">
        <f>SQRT(($R1332-Infrastructure!J$10)^2+($S1332-Infrastructure!K$10)^2)</f>
        <v>24.50244886</v>
      </c>
      <c r="BD1332" s="331">
        <f>SQRT(($R1332-Infrastructure!J$11)^2+($S1332-Infrastructure!K$11)^2)</f>
        <v>30.93816413</v>
      </c>
      <c r="BE1332" s="333">
        <f>SQRT(($R1332-Infrastructure!J$12)^2+($S1332-Infrastructure!K$12)^2)</f>
        <v>46.21655548</v>
      </c>
      <c r="BF1332" s="330">
        <f t="shared" si="161"/>
        <v>10.28834292</v>
      </c>
      <c r="BG1332" s="333">
        <f t="shared" si="162"/>
        <v>46.21655548</v>
      </c>
      <c r="BH1332" s="1119"/>
      <c r="BI1332" s="319"/>
      <c r="BJ1332" s="319"/>
      <c r="BK1332" s="319"/>
      <c r="BL1332" s="319"/>
      <c r="BM1332" s="955"/>
      <c r="BN1332" s="319"/>
      <c r="BO1332" s="319"/>
      <c r="BP1332" s="953"/>
      <c r="BQ1332" s="319"/>
      <c r="BR1332" s="324"/>
      <c r="BS1332" s="330">
        <f t="shared" si="169"/>
        <v>0</v>
      </c>
      <c r="BT1332" s="331">
        <f t="shared" si="170"/>
        <v>0</v>
      </c>
      <c r="BU1332" s="920"/>
      <c r="BV1332" s="903">
        <f t="shared" si="171"/>
        <v>-0.6038194444</v>
      </c>
      <c r="BW1332" s="907"/>
      <c r="BX1332" s="908"/>
      <c r="BY1332" s="331" t="b">
        <f t="shared" si="166"/>
        <v>0</v>
      </c>
      <c r="BZ1332" s="340"/>
      <c r="CA1332" s="316"/>
      <c r="CB1332" s="318"/>
      <c r="CC1332" s="318"/>
      <c r="CD1332" s="318"/>
      <c r="CE1332" s="318"/>
      <c r="CF1332" s="318"/>
      <c r="CG1332" s="318"/>
      <c r="CH1332" s="318"/>
      <c r="CI1332" s="318"/>
      <c r="CJ1332" s="463"/>
      <c r="CK1332" s="342"/>
      <c r="CL1332" s="333"/>
      <c r="CM1332" s="1079"/>
      <c r="CN1332" s="1005"/>
      <c r="CO1332" s="1005"/>
      <c r="CP1332" s="1005"/>
    </row>
    <row r="1333">
      <c r="B1333" s="1106" t="s">
        <v>1341</v>
      </c>
      <c r="C1333" s="1107">
        <v>44651.0</v>
      </c>
      <c r="D1333" s="103"/>
      <c r="E1333" s="1108" t="s">
        <v>1552</v>
      </c>
      <c r="F1333" s="112" t="s">
        <v>2039</v>
      </c>
      <c r="G1333" s="1109">
        <v>0.6042824074074075</v>
      </c>
      <c r="H1333" s="1110">
        <v>0.6046875</v>
      </c>
      <c r="I1333" s="1110"/>
      <c r="J1333" s="1111"/>
      <c r="K1333" s="1111">
        <v>0.6060763888888889</v>
      </c>
      <c r="L1333" s="1112">
        <v>0.001388888888888889</v>
      </c>
      <c r="M1333" s="1113" t="s">
        <v>358</v>
      </c>
      <c r="N1333" s="110" t="s">
        <v>187</v>
      </c>
      <c r="O1333" s="1114" t="s">
        <v>207</v>
      </c>
      <c r="P1333" s="1115" t="s">
        <v>221</v>
      </c>
      <c r="Q1333" s="1116"/>
      <c r="R1333" s="120">
        <v>26.2</v>
      </c>
      <c r="S1333" s="1113">
        <v>14.5</v>
      </c>
      <c r="T1333" s="110">
        <v>1.7</v>
      </c>
      <c r="U1333" s="1108">
        <v>3.0</v>
      </c>
      <c r="V1333" s="1108"/>
      <c r="W1333" s="1108"/>
      <c r="X1333" s="1108"/>
      <c r="Y1333" s="1108"/>
      <c r="Z1333" s="1114" t="s">
        <v>374</v>
      </c>
      <c r="AA1333" s="1114"/>
      <c r="AB1333" s="1114" t="s">
        <v>380</v>
      </c>
      <c r="AC1333" s="1117">
        <v>4.0</v>
      </c>
      <c r="AD1333" s="1115"/>
      <c r="AE1333" s="1115"/>
      <c r="AF1333" s="1115"/>
      <c r="AG1333" s="1115"/>
      <c r="AH1333" s="1115"/>
      <c r="AI1333" s="1115"/>
      <c r="AJ1333" s="1117"/>
      <c r="AK1333" s="1118"/>
      <c r="AL1333" s="1115"/>
      <c r="AM1333" s="1115"/>
      <c r="AN1333" s="1115"/>
      <c r="AO1333" s="1115"/>
      <c r="AP1333" s="1115"/>
      <c r="AQ1333" s="1115"/>
      <c r="AR1333" s="1115"/>
      <c r="AS1333" s="1117"/>
      <c r="AT1333" s="1075" t="s">
        <v>182</v>
      </c>
      <c r="AU1333" s="947" t="s">
        <v>846</v>
      </c>
      <c r="AV1333" s="330">
        <f>SQRT(($R1333-Infrastructure!J$3)^2+($S1333-Infrastructure!K$3)^2)</f>
        <v>30.15974138</v>
      </c>
      <c r="AW1333" s="331">
        <f>SQRT(($R1333-Infrastructure!J$4)^2+($S1333-Infrastructure!K$4)^2)</f>
        <v>26.70468124</v>
      </c>
      <c r="AX1333" s="331">
        <f>SQRT(($R1333-Infrastructure!J$5)^2+($S1333-Infrastructure!K$5)^2)</f>
        <v>28.11778796</v>
      </c>
      <c r="AY1333" s="331">
        <f>SQRT(($R1333-Infrastructure!J$6)^2+($S1333-Infrastructure!K$6)^2)</f>
        <v>21.46741717</v>
      </c>
      <c r="AZ1333" s="331">
        <f>SQRT(($R1333-Infrastructure!J$7)^2+($S1333-Infrastructure!K$7)^2)</f>
        <v>15.30130713</v>
      </c>
      <c r="BA1333" s="331">
        <f>SQRT(($R1333-Infrastructure!J$8)^2+($S1333-Infrastructure!K$8)^2)</f>
        <v>14.72582765</v>
      </c>
      <c r="BB1333" s="331">
        <f>SQRT(($R1333-Infrastructure!J$9)^2+($S1333-Infrastructure!K$9)^2)</f>
        <v>16.69730517</v>
      </c>
      <c r="BC1333" s="331">
        <f>SQRT(($R1333-Infrastructure!J$10)^2+($S1333-Infrastructure!K$10)^2)</f>
        <v>13.809055</v>
      </c>
      <c r="BD1333" s="331">
        <f>SQRT(($R1333-Infrastructure!J$11)^2+($S1333-Infrastructure!K$11)^2)</f>
        <v>20.15564437</v>
      </c>
      <c r="BE1333" s="333">
        <f>SQRT(($R1333-Infrastructure!J$12)^2+($S1333-Infrastructure!K$12)^2)</f>
        <v>41.268511</v>
      </c>
      <c r="BF1333" s="330">
        <f t="shared" si="161"/>
        <v>13.809055</v>
      </c>
      <c r="BG1333" s="333">
        <f t="shared" si="162"/>
        <v>41.268511</v>
      </c>
      <c r="BH1333" s="1119"/>
      <c r="BI1333" s="319"/>
      <c r="BJ1333" s="319"/>
      <c r="BK1333" s="319"/>
      <c r="BL1333" s="319"/>
      <c r="BM1333" s="955"/>
      <c r="BN1333" s="319"/>
      <c r="BO1333" s="319"/>
      <c r="BP1333" s="953"/>
      <c r="BQ1333" s="319"/>
      <c r="BR1333" s="324"/>
      <c r="BS1333" s="330">
        <f t="shared" si="169"/>
        <v>0</v>
      </c>
      <c r="BT1333" s="331">
        <f t="shared" si="170"/>
        <v>0</v>
      </c>
      <c r="BU1333" s="920"/>
      <c r="BV1333" s="903">
        <f t="shared" si="171"/>
        <v>-0.6042824074</v>
      </c>
      <c r="BW1333" s="907"/>
      <c r="BX1333" s="908"/>
      <c r="BY1333" s="331" t="b">
        <f t="shared" si="166"/>
        <v>0</v>
      </c>
      <c r="BZ1333" s="340"/>
      <c r="CA1333" s="316"/>
      <c r="CB1333" s="318"/>
      <c r="CC1333" s="318"/>
      <c r="CD1333" s="318"/>
      <c r="CE1333" s="318"/>
      <c r="CF1333" s="318"/>
      <c r="CG1333" s="318"/>
      <c r="CH1333" s="318"/>
      <c r="CI1333" s="318"/>
      <c r="CJ1333" s="463"/>
      <c r="CK1333" s="342"/>
      <c r="CL1333" s="333"/>
      <c r="CM1333" s="1079"/>
      <c r="CN1333" s="1005"/>
      <c r="CO1333" s="1005"/>
      <c r="CP1333" s="1005"/>
    </row>
    <row r="1334">
      <c r="B1334" s="1106" t="s">
        <v>1341</v>
      </c>
      <c r="C1334" s="1107">
        <v>44651.0</v>
      </c>
      <c r="D1334" s="103"/>
      <c r="E1334" s="1108" t="s">
        <v>1885</v>
      </c>
      <c r="F1334" s="112" t="s">
        <v>2040</v>
      </c>
      <c r="G1334" s="1109">
        <v>0.6050347222222222</v>
      </c>
      <c r="H1334" s="1110">
        <v>0.6053819444444445</v>
      </c>
      <c r="I1334" s="1110"/>
      <c r="J1334" s="1111"/>
      <c r="K1334" s="1111">
        <v>0.6064236111111111</v>
      </c>
      <c r="L1334" s="1112">
        <v>0.0010416666666666667</v>
      </c>
      <c r="M1334" s="1113" t="s">
        <v>358</v>
      </c>
      <c r="N1334" s="110" t="s">
        <v>188</v>
      </c>
      <c r="O1334" s="1114" t="s">
        <v>378</v>
      </c>
      <c r="P1334" s="1115" t="s">
        <v>225</v>
      </c>
      <c r="Q1334" s="1116"/>
      <c r="R1334" s="120">
        <v>22.7</v>
      </c>
      <c r="S1334" s="1113">
        <v>39.7</v>
      </c>
      <c r="T1334" s="110">
        <v>1.02</v>
      </c>
      <c r="U1334" s="1108">
        <v>3.0</v>
      </c>
      <c r="V1334" s="1108"/>
      <c r="W1334" s="1108"/>
      <c r="X1334" s="1108"/>
      <c r="Y1334" s="1108"/>
      <c r="Z1334" s="1114" t="s">
        <v>1140</v>
      </c>
      <c r="AA1334" s="1114"/>
      <c r="AB1334" s="1114" t="s">
        <v>345</v>
      </c>
      <c r="AC1334" s="1117">
        <v>4.0</v>
      </c>
      <c r="AD1334" s="1115"/>
      <c r="AE1334" s="1115"/>
      <c r="AF1334" s="1115"/>
      <c r="AG1334" s="1115"/>
      <c r="AH1334" s="1115"/>
      <c r="AI1334" s="1115"/>
      <c r="AJ1334" s="1117"/>
      <c r="AK1334" s="1118"/>
      <c r="AL1334" s="1115"/>
      <c r="AM1334" s="1115"/>
      <c r="AN1334" s="1115"/>
      <c r="AO1334" s="1115"/>
      <c r="AP1334" s="1115"/>
      <c r="AQ1334" s="1115"/>
      <c r="AR1334" s="1115"/>
      <c r="AS1334" s="1117"/>
      <c r="AT1334" s="1075" t="s">
        <v>182</v>
      </c>
      <c r="AU1334" s="947" t="s">
        <v>846</v>
      </c>
      <c r="AV1334" s="330">
        <f>SQRT(($R1334-Infrastructure!J$3)^2+($S1334-Infrastructure!K$3)^2)</f>
        <v>25.40944706</v>
      </c>
      <c r="AW1334" s="331">
        <f>SQRT(($R1334-Infrastructure!J$4)^2+($S1334-Infrastructure!K$4)^2)</f>
        <v>31.75862088</v>
      </c>
      <c r="AX1334" s="331">
        <f>SQRT(($R1334-Infrastructure!J$5)^2+($S1334-Infrastructure!K$5)^2)</f>
        <v>41.54708173</v>
      </c>
      <c r="AY1334" s="331">
        <f>SQRT(($R1334-Infrastructure!J$6)^2+($S1334-Infrastructure!K$6)^2)</f>
        <v>41.36568626</v>
      </c>
      <c r="AZ1334" s="331">
        <f>SQRT(($R1334-Infrastructure!J$7)^2+($S1334-Infrastructure!K$7)^2)</f>
        <v>39.46137352</v>
      </c>
      <c r="BA1334" s="331">
        <f>SQRT(($R1334-Infrastructure!J$8)^2+($S1334-Infrastructure!K$8)^2)</f>
        <v>40.08890121</v>
      </c>
      <c r="BB1334" s="331">
        <f>SQRT(($R1334-Infrastructure!J$9)^2+($S1334-Infrastructure!K$9)^2)</f>
        <v>38.68397601</v>
      </c>
      <c r="BC1334" s="331">
        <f>SQRT(($R1334-Infrastructure!J$10)^2+($S1334-Infrastructure!K$10)^2)</f>
        <v>30.15592811</v>
      </c>
      <c r="BD1334" s="331">
        <f>SQRT(($R1334-Infrastructure!J$11)^2+($S1334-Infrastructure!K$11)^2)</f>
        <v>20.51194774</v>
      </c>
      <c r="BE1334" s="333">
        <f>SQRT(($R1334-Infrastructure!J$12)^2+($S1334-Infrastructure!K$12)^2)</f>
        <v>15.84550409</v>
      </c>
      <c r="BF1334" s="330">
        <f t="shared" si="161"/>
        <v>15.84550409</v>
      </c>
      <c r="BG1334" s="333">
        <f t="shared" si="162"/>
        <v>41.54708173</v>
      </c>
      <c r="BH1334" s="1119"/>
      <c r="BI1334" s="319" t="s">
        <v>846</v>
      </c>
      <c r="BJ1334" s="319" t="s">
        <v>846</v>
      </c>
      <c r="BK1334" s="319" t="s">
        <v>846</v>
      </c>
      <c r="BL1334" s="319"/>
      <c r="BM1334" s="955"/>
      <c r="BN1334" s="319" t="s">
        <v>846</v>
      </c>
      <c r="BO1334" s="319"/>
      <c r="BP1334" s="953"/>
      <c r="BQ1334" s="319" t="s">
        <v>846</v>
      </c>
      <c r="BR1334" s="324" t="s">
        <v>846</v>
      </c>
      <c r="BS1334" s="330">
        <f t="shared" si="169"/>
        <v>15.84550409</v>
      </c>
      <c r="BT1334" s="331">
        <f t="shared" si="170"/>
        <v>41.54708173</v>
      </c>
      <c r="BU1334" s="920">
        <v>0.6056018518518519</v>
      </c>
      <c r="BV1334" s="903">
        <f t="shared" si="171"/>
        <v>0.0005671296296</v>
      </c>
      <c r="BW1334" s="907">
        <v>18.5</v>
      </c>
      <c r="BX1334" s="908">
        <v>24.0</v>
      </c>
      <c r="BY1334" s="331">
        <f t="shared" si="166"/>
        <v>16.25207679</v>
      </c>
      <c r="BZ1334" s="340"/>
      <c r="CA1334" s="316"/>
      <c r="CB1334" s="318"/>
      <c r="CC1334" s="318"/>
      <c r="CD1334" s="318"/>
      <c r="CE1334" s="318"/>
      <c r="CF1334" s="318"/>
      <c r="CG1334" s="318"/>
      <c r="CH1334" s="318"/>
      <c r="CI1334" s="318"/>
      <c r="CJ1334" s="463"/>
      <c r="CK1334" s="342"/>
      <c r="CL1334" s="333"/>
      <c r="CM1334" s="1079"/>
      <c r="CN1334" s="1005"/>
      <c r="CO1334" s="1005"/>
      <c r="CP1334" s="1005"/>
    </row>
    <row r="1335">
      <c r="B1335" s="1106" t="s">
        <v>1341</v>
      </c>
      <c r="C1335" s="1107">
        <v>44651.0</v>
      </c>
      <c r="D1335" s="103"/>
      <c r="E1335" s="1108" t="s">
        <v>1470</v>
      </c>
      <c r="F1335" s="112" t="s">
        <v>2041</v>
      </c>
      <c r="G1335" s="1109">
        <v>0.6175925925925926</v>
      </c>
      <c r="H1335" s="1110">
        <v>0.6180555555555556</v>
      </c>
      <c r="I1335" s="1110"/>
      <c r="J1335" s="1111"/>
      <c r="K1335" s="1111">
        <v>0.6193287037037037</v>
      </c>
      <c r="L1335" s="1112">
        <v>0.0012731481481481483</v>
      </c>
      <c r="M1335" s="1113" t="s">
        <v>358</v>
      </c>
      <c r="N1335" s="110" t="s">
        <v>187</v>
      </c>
      <c r="O1335" s="1114" t="s">
        <v>198</v>
      </c>
      <c r="P1335" s="1115" t="s">
        <v>218</v>
      </c>
      <c r="Q1335" s="1116"/>
      <c r="R1335" s="120">
        <v>10.3</v>
      </c>
      <c r="S1335" s="1113">
        <v>8.1</v>
      </c>
      <c r="T1335" s="110">
        <v>3.0</v>
      </c>
      <c r="U1335" s="1108">
        <v>2.0</v>
      </c>
      <c r="V1335" s="1108"/>
      <c r="W1335" s="1108"/>
      <c r="X1335" s="1108"/>
      <c r="Y1335" s="1108"/>
      <c r="Z1335" s="1114" t="s">
        <v>343</v>
      </c>
      <c r="AA1335" s="1114"/>
      <c r="AB1335" s="1114" t="s">
        <v>375</v>
      </c>
      <c r="AC1335" s="1117">
        <v>2.7</v>
      </c>
      <c r="AD1335" s="1115"/>
      <c r="AE1335" s="1115"/>
      <c r="AF1335" s="1115"/>
      <c r="AG1335" s="1115"/>
      <c r="AH1335" s="1115"/>
      <c r="AI1335" s="1115"/>
      <c r="AJ1335" s="1117"/>
      <c r="AK1335" s="1118"/>
      <c r="AL1335" s="1115"/>
      <c r="AM1335" s="1115"/>
      <c r="AN1335" s="1115"/>
      <c r="AO1335" s="1115"/>
      <c r="AP1335" s="1115"/>
      <c r="AQ1335" s="1115"/>
      <c r="AR1335" s="1115"/>
      <c r="AS1335" s="1117"/>
      <c r="AT1335" s="1075" t="s">
        <v>182</v>
      </c>
      <c r="AU1335" s="1078" t="s">
        <v>845</v>
      </c>
      <c r="AV1335" s="330">
        <f>SQRT(($R1335-Infrastructure!J$3)^2+($S1335-Infrastructure!K$3)^2)</f>
        <v>23.34523506</v>
      </c>
      <c r="AW1335" s="331">
        <f>SQRT(($R1335-Infrastructure!J$4)^2+($S1335-Infrastructure!K$4)^2)</f>
        <v>14.36836804</v>
      </c>
      <c r="AX1335" s="331">
        <f>SQRT(($R1335-Infrastructure!J$5)^2+($S1335-Infrastructure!K$5)^2)</f>
        <v>11.01635148</v>
      </c>
      <c r="AY1335" s="331">
        <f>SQRT(($R1335-Infrastructure!J$6)^2+($S1335-Infrastructure!K$6)^2)</f>
        <v>7.802563681</v>
      </c>
      <c r="AZ1335" s="331">
        <f>SQRT(($R1335-Infrastructure!J$7)^2+($S1335-Infrastructure!K$7)^2)</f>
        <v>12.84056074</v>
      </c>
      <c r="BA1335" s="331">
        <f>SQRT(($R1335-Infrastructure!J$8)^2+($S1335-Infrastructure!K$8)^2)</f>
        <v>21.28097742</v>
      </c>
      <c r="BB1335" s="331">
        <f>SQRT(($R1335-Infrastructure!J$9)^2+($S1335-Infrastructure!K$9)^2)</f>
        <v>29.85113063</v>
      </c>
      <c r="BC1335" s="331">
        <f>SQRT(($R1335-Infrastructure!J$10)^2+($S1335-Infrastructure!K$10)^2)</f>
        <v>30.49098227</v>
      </c>
      <c r="BD1335" s="331">
        <f>SQRT(($R1335-Infrastructure!J$11)^2+($S1335-Infrastructure!K$11)^2)</f>
        <v>36.4804057</v>
      </c>
      <c r="BE1335" s="333">
        <f>SQRT(($R1335-Infrastructure!J$12)^2+($S1335-Infrastructure!K$12)^2)</f>
        <v>48.70523586</v>
      </c>
      <c r="BF1335" s="330">
        <f t="shared" si="161"/>
        <v>7.802563681</v>
      </c>
      <c r="BG1335" s="333">
        <f t="shared" si="162"/>
        <v>48.70523586</v>
      </c>
      <c r="BH1335" s="1119"/>
      <c r="BI1335" s="319"/>
      <c r="BJ1335" s="319"/>
      <c r="BK1335" s="319"/>
      <c r="BL1335" s="319"/>
      <c r="BM1335" s="955"/>
      <c r="BN1335" s="319"/>
      <c r="BO1335" s="319"/>
      <c r="BP1335" s="953"/>
      <c r="BQ1335" s="319"/>
      <c r="BR1335" s="324"/>
      <c r="BS1335" s="330">
        <f t="shared" si="169"/>
        <v>0</v>
      </c>
      <c r="BT1335" s="331">
        <f t="shared" si="170"/>
        <v>0</v>
      </c>
      <c r="BU1335" s="920"/>
      <c r="BV1335" s="903">
        <f t="shared" si="171"/>
        <v>-0.6175925926</v>
      </c>
      <c r="BW1335" s="907"/>
      <c r="BX1335" s="908"/>
      <c r="BY1335" s="331" t="b">
        <f t="shared" si="166"/>
        <v>0</v>
      </c>
      <c r="BZ1335" s="340"/>
      <c r="CA1335" s="316"/>
      <c r="CB1335" s="318"/>
      <c r="CC1335" s="318"/>
      <c r="CD1335" s="318"/>
      <c r="CE1335" s="318"/>
      <c r="CF1335" s="318"/>
      <c r="CG1335" s="318"/>
      <c r="CH1335" s="318"/>
      <c r="CI1335" s="318"/>
      <c r="CJ1335" s="463"/>
      <c r="CK1335" s="342"/>
      <c r="CL1335" s="333"/>
      <c r="CM1335" s="1079"/>
      <c r="CN1335" s="1005"/>
      <c r="CO1335" s="1005"/>
      <c r="CP1335" s="1005"/>
    </row>
    <row r="1336">
      <c r="B1336" s="1106" t="s">
        <v>1341</v>
      </c>
      <c r="C1336" s="1107">
        <v>44651.0</v>
      </c>
      <c r="D1336" s="103"/>
      <c r="E1336" s="1108" t="s">
        <v>1472</v>
      </c>
      <c r="F1336" s="112" t="s">
        <v>2042</v>
      </c>
      <c r="G1336" s="1109">
        <v>0.6200231481481482</v>
      </c>
      <c r="H1336" s="1110">
        <v>0.6202546296296296</v>
      </c>
      <c r="I1336" s="1110"/>
      <c r="J1336" s="1111"/>
      <c r="K1336" s="1111">
        <v>0.6223958333333334</v>
      </c>
      <c r="L1336" s="1112">
        <v>0.0021412037037037038</v>
      </c>
      <c r="M1336" s="1113" t="s">
        <v>358</v>
      </c>
      <c r="N1336" s="110" t="s">
        <v>187</v>
      </c>
      <c r="O1336" s="1114" t="s">
        <v>204</v>
      </c>
      <c r="P1336" s="1115" t="s">
        <v>214</v>
      </c>
      <c r="Q1336" s="1116"/>
      <c r="R1336" s="120">
        <v>18.8</v>
      </c>
      <c r="S1336" s="1113">
        <v>4.0</v>
      </c>
      <c r="T1336" s="110">
        <v>2.54</v>
      </c>
      <c r="U1336" s="1108">
        <v>3.0</v>
      </c>
      <c r="V1336" s="1108"/>
      <c r="W1336" s="1108"/>
      <c r="X1336" s="1108"/>
      <c r="Y1336" s="1108"/>
      <c r="Z1336" s="1114" t="s">
        <v>374</v>
      </c>
      <c r="AA1336" s="1114"/>
      <c r="AB1336" s="1114" t="s">
        <v>384</v>
      </c>
      <c r="AC1336" s="1117">
        <v>6.0</v>
      </c>
      <c r="AD1336" s="1115"/>
      <c r="AE1336" s="1115"/>
      <c r="AF1336" s="1115"/>
      <c r="AG1336" s="1115"/>
      <c r="AH1336" s="1115"/>
      <c r="AI1336" s="1115"/>
      <c r="AJ1336" s="1117"/>
      <c r="AK1336" s="1118"/>
      <c r="AL1336" s="1115"/>
      <c r="AM1336" s="1115"/>
      <c r="AN1336" s="1115"/>
      <c r="AO1336" s="1115"/>
      <c r="AP1336" s="1115"/>
      <c r="AQ1336" s="1115"/>
      <c r="AR1336" s="1115"/>
      <c r="AS1336" s="1117"/>
      <c r="AT1336" s="1075" t="s">
        <v>182</v>
      </c>
      <c r="AU1336" s="1078" t="s">
        <v>845</v>
      </c>
      <c r="AV1336" s="330">
        <f>SQRT(($R1336-Infrastructure!J$3)^2+($S1336-Infrastructure!K$3)^2)</f>
        <v>31.38184188</v>
      </c>
      <c r="AW1336" s="331">
        <f>SQRT(($R1336-Infrastructure!J$4)^2+($S1336-Infrastructure!K$4)^2)</f>
        <v>23.56374334</v>
      </c>
      <c r="AX1336" s="331">
        <f>SQRT(($R1336-Infrastructure!J$5)^2+($S1336-Infrastructure!K$5)^2)</f>
        <v>19.13164917</v>
      </c>
      <c r="AY1336" s="331">
        <f>SQRT(($R1336-Infrastructure!J$6)^2+($S1336-Infrastructure!K$6)^2)</f>
        <v>9.45409964</v>
      </c>
      <c r="AZ1336" s="331">
        <f>SQRT(($R1336-Infrastructure!J$7)^2+($S1336-Infrastructure!K$7)^2)</f>
        <v>4.071854614</v>
      </c>
      <c r="BA1336" s="331">
        <f>SQRT(($R1336-Infrastructure!J$8)^2+($S1336-Infrastructure!K$8)^2)</f>
        <v>11.89033221</v>
      </c>
      <c r="BB1336" s="331">
        <f>SQRT(($R1336-Infrastructure!J$9)^2+($S1336-Infrastructure!K$9)^2)</f>
        <v>21.22851855</v>
      </c>
      <c r="BC1336" s="331">
        <f>SQRT(($R1336-Infrastructure!J$10)^2+($S1336-Infrastructure!K$10)^2)</f>
        <v>23.88388578</v>
      </c>
      <c r="BD1336" s="331">
        <f>SQRT(($R1336-Infrastructure!J$11)^2+($S1336-Infrastructure!K$11)^2)</f>
        <v>32.9083576</v>
      </c>
      <c r="BE1336" s="333">
        <f>SQRT(($R1336-Infrastructure!J$12)^2+($S1336-Infrastructure!K$12)^2)</f>
        <v>51.57072813</v>
      </c>
      <c r="BF1336" s="330">
        <f t="shared" si="161"/>
        <v>4.071854614</v>
      </c>
      <c r="BG1336" s="333">
        <f t="shared" si="162"/>
        <v>51.57072813</v>
      </c>
      <c r="BH1336" s="1119"/>
      <c r="BI1336" s="319"/>
      <c r="BJ1336" s="319"/>
      <c r="BK1336" s="319"/>
      <c r="BL1336" s="319"/>
      <c r="BM1336" s="955"/>
      <c r="BN1336" s="319"/>
      <c r="BO1336" s="319"/>
      <c r="BP1336" s="953"/>
      <c r="BQ1336" s="319"/>
      <c r="BR1336" s="324"/>
      <c r="BS1336" s="330">
        <f t="shared" si="169"/>
        <v>0</v>
      </c>
      <c r="BT1336" s="331">
        <f t="shared" si="170"/>
        <v>0</v>
      </c>
      <c r="BU1336" s="920"/>
      <c r="BV1336" s="903">
        <f t="shared" si="171"/>
        <v>-0.6200231481</v>
      </c>
      <c r="BW1336" s="907"/>
      <c r="BX1336" s="908"/>
      <c r="BY1336" s="331" t="b">
        <f t="shared" si="166"/>
        <v>0</v>
      </c>
      <c r="BZ1336" s="340"/>
      <c r="CA1336" s="316"/>
      <c r="CB1336" s="318"/>
      <c r="CC1336" s="318"/>
      <c r="CD1336" s="318"/>
      <c r="CE1336" s="318"/>
      <c r="CF1336" s="318"/>
      <c r="CG1336" s="318"/>
      <c r="CH1336" s="318"/>
      <c r="CI1336" s="318"/>
      <c r="CJ1336" s="463"/>
      <c r="CK1336" s="342"/>
      <c r="CL1336" s="333"/>
      <c r="CM1336" s="1079"/>
      <c r="CN1336" s="1005"/>
      <c r="CO1336" s="1005"/>
      <c r="CP1336" s="1005"/>
    </row>
    <row r="1337">
      <c r="B1337" s="1106" t="s">
        <v>1341</v>
      </c>
      <c r="C1337" s="1107">
        <v>44651.0</v>
      </c>
      <c r="D1337" s="103"/>
      <c r="E1337" s="1108" t="s">
        <v>1474</v>
      </c>
      <c r="F1337" s="112" t="s">
        <v>2043</v>
      </c>
      <c r="G1337" s="1109">
        <v>0.6230902777777778</v>
      </c>
      <c r="H1337" s="1110">
        <v>0.6236111111111111</v>
      </c>
      <c r="I1337" s="1110"/>
      <c r="J1337" s="1111"/>
      <c r="K1337" s="1111">
        <v>0.6264467592592593</v>
      </c>
      <c r="L1337" s="1112">
        <v>0.0028356481481481483</v>
      </c>
      <c r="M1337" s="1113" t="s">
        <v>358</v>
      </c>
      <c r="N1337" s="110" t="s">
        <v>188</v>
      </c>
      <c r="O1337" s="1114" t="s">
        <v>197</v>
      </c>
      <c r="P1337" s="1115" t="s">
        <v>272</v>
      </c>
      <c r="Q1337" s="1116"/>
      <c r="R1337" s="120">
        <v>37.1</v>
      </c>
      <c r="S1337" s="1113">
        <v>6.9</v>
      </c>
      <c r="T1337" s="110">
        <v>6.5</v>
      </c>
      <c r="U1337" s="1108">
        <v>5.0</v>
      </c>
      <c r="V1337" s="1108"/>
      <c r="W1337" s="1108"/>
      <c r="X1337" s="1108"/>
      <c r="Y1337" s="1108"/>
      <c r="Z1337" s="1114" t="s">
        <v>379</v>
      </c>
      <c r="AA1337" s="1114"/>
      <c r="AB1337" s="1114" t="s">
        <v>384</v>
      </c>
      <c r="AC1337" s="1117">
        <v>6.0</v>
      </c>
      <c r="AD1337" s="1115"/>
      <c r="AE1337" s="1115"/>
      <c r="AF1337" s="1115"/>
      <c r="AG1337" s="1115"/>
      <c r="AH1337" s="1115"/>
      <c r="AI1337" s="1115"/>
      <c r="AJ1337" s="1117"/>
      <c r="AK1337" s="1118"/>
      <c r="AL1337" s="1115"/>
      <c r="AM1337" s="1115"/>
      <c r="AN1337" s="1115"/>
      <c r="AO1337" s="1115"/>
      <c r="AP1337" s="1115"/>
      <c r="AQ1337" s="1115"/>
      <c r="AR1337" s="1115"/>
      <c r="AS1337" s="1117"/>
      <c r="AT1337" s="1075" t="s">
        <v>182</v>
      </c>
      <c r="AU1337" s="1078" t="s">
        <v>845</v>
      </c>
      <c r="AV1337" s="330">
        <f>SQRT(($R1337-Infrastructure!J$3)^2+($S1337-Infrastructure!K$3)^2)</f>
        <v>43.39078243</v>
      </c>
      <c r="AW1337" s="331">
        <f>SQRT(($R1337-Infrastructure!J$4)^2+($S1337-Infrastructure!K$4)^2)</f>
        <v>38.95600082</v>
      </c>
      <c r="AX1337" s="331">
        <f>SQRT(($R1337-Infrastructure!J$5)^2+($S1337-Infrastructure!K$5)^2)</f>
        <v>37.44329045</v>
      </c>
      <c r="AY1337" s="331">
        <f>SQRT(($R1337-Infrastructure!J$6)^2+($S1337-Infrastructure!K$6)^2)</f>
        <v>27.79496357</v>
      </c>
      <c r="AZ1337" s="331">
        <f>SQRT(($R1337-Infrastructure!J$7)^2+($S1337-Infrastructure!K$7)^2)</f>
        <v>17.86393014</v>
      </c>
      <c r="BA1337" s="331">
        <f>SQRT(($R1337-Infrastructure!J$8)^2+($S1337-Infrastructure!K$8)^2)</f>
        <v>9.620810777</v>
      </c>
      <c r="BB1337" s="331">
        <f>SQRT(($R1337-Infrastructure!J$9)^2+($S1337-Infrastructure!K$9)^2)</f>
        <v>3.413209633</v>
      </c>
      <c r="BC1337" s="331">
        <f>SQRT(($R1337-Infrastructure!J$10)^2+($S1337-Infrastructure!K$10)^2)</f>
        <v>8.603487665</v>
      </c>
      <c r="BD1337" s="331">
        <f>SQRT(($R1337-Infrastructure!J$11)^2+($S1337-Infrastructure!K$11)^2)</f>
        <v>22.31636171</v>
      </c>
      <c r="BE1337" s="333">
        <f>SQRT(($R1337-Infrastructure!J$12)^2+($S1337-Infrastructure!K$12)^2)</f>
        <v>51.04233537</v>
      </c>
      <c r="BF1337" s="330">
        <f t="shared" si="161"/>
        <v>3.413209633</v>
      </c>
      <c r="BG1337" s="333">
        <f t="shared" si="162"/>
        <v>51.04233537</v>
      </c>
      <c r="BH1337" s="1119"/>
      <c r="BI1337" s="319"/>
      <c r="BJ1337" s="319"/>
      <c r="BK1337" s="319"/>
      <c r="BL1337" s="319"/>
      <c r="BM1337" s="955"/>
      <c r="BN1337" s="319"/>
      <c r="BO1337" s="319"/>
      <c r="BP1337" s="953"/>
      <c r="BQ1337" s="319"/>
      <c r="BR1337" s="324"/>
      <c r="BS1337" s="330">
        <f t="shared" si="169"/>
        <v>0</v>
      </c>
      <c r="BT1337" s="331">
        <f t="shared" si="170"/>
        <v>0</v>
      </c>
      <c r="BU1337" s="920"/>
      <c r="BV1337" s="903">
        <f t="shared" si="171"/>
        <v>-0.6230902778</v>
      </c>
      <c r="BW1337" s="907"/>
      <c r="BX1337" s="908"/>
      <c r="BY1337" s="331" t="b">
        <f t="shared" si="166"/>
        <v>0</v>
      </c>
      <c r="BZ1337" s="340"/>
      <c r="CA1337" s="316"/>
      <c r="CB1337" s="318"/>
      <c r="CC1337" s="318"/>
      <c r="CD1337" s="318"/>
      <c r="CE1337" s="318"/>
      <c r="CF1337" s="318"/>
      <c r="CG1337" s="318"/>
      <c r="CH1337" s="318"/>
      <c r="CI1337" s="318"/>
      <c r="CJ1337" s="463"/>
      <c r="CK1337" s="342"/>
      <c r="CL1337" s="333"/>
      <c r="CM1337" s="1079"/>
      <c r="CN1337" s="1005"/>
      <c r="CO1337" s="1005"/>
      <c r="CP1337" s="1005"/>
    </row>
    <row r="1338">
      <c r="B1338" s="1106" t="s">
        <v>1341</v>
      </c>
      <c r="C1338" s="1107">
        <v>44651.0</v>
      </c>
      <c r="D1338" s="103"/>
      <c r="E1338" s="1108" t="s">
        <v>1844</v>
      </c>
      <c r="F1338" s="112" t="s">
        <v>2044</v>
      </c>
      <c r="G1338" s="1109">
        <v>0.6315972222222223</v>
      </c>
      <c r="H1338" s="1110">
        <v>0.6319444444444444</v>
      </c>
      <c r="I1338" s="1110"/>
      <c r="J1338" s="1111"/>
      <c r="K1338" s="1111">
        <v>0.633275462962963</v>
      </c>
      <c r="L1338" s="1112">
        <v>0.0013310185185185185</v>
      </c>
      <c r="M1338" s="1113" t="s">
        <v>358</v>
      </c>
      <c r="N1338" s="110" t="s">
        <v>187</v>
      </c>
      <c r="O1338" s="1114" t="s">
        <v>205</v>
      </c>
      <c r="P1338" s="1115" t="s">
        <v>296</v>
      </c>
      <c r="Q1338" s="1116"/>
      <c r="R1338" s="120">
        <v>20.7</v>
      </c>
      <c r="S1338" s="1113">
        <v>5.1</v>
      </c>
      <c r="T1338" s="110">
        <v>1.2</v>
      </c>
      <c r="U1338" s="1108">
        <v>3.0</v>
      </c>
      <c r="V1338" s="1108"/>
      <c r="W1338" s="1108"/>
      <c r="X1338" s="1108"/>
      <c r="Y1338" s="1108"/>
      <c r="Z1338" s="1114" t="s">
        <v>370</v>
      </c>
      <c r="AA1338" s="1114"/>
      <c r="AB1338" s="1114" t="s">
        <v>380</v>
      </c>
      <c r="AC1338" s="1117">
        <v>4.0</v>
      </c>
      <c r="AD1338" s="1115"/>
      <c r="AE1338" s="1115"/>
      <c r="AF1338" s="1115"/>
      <c r="AG1338" s="1115"/>
      <c r="AH1338" s="1115"/>
      <c r="AI1338" s="1115"/>
      <c r="AJ1338" s="1117"/>
      <c r="AK1338" s="1118"/>
      <c r="AL1338" s="1115"/>
      <c r="AM1338" s="1115"/>
      <c r="AN1338" s="1115"/>
      <c r="AO1338" s="1115"/>
      <c r="AP1338" s="1115"/>
      <c r="AQ1338" s="1115"/>
      <c r="AR1338" s="1115"/>
      <c r="AS1338" s="1117"/>
      <c r="AT1338" s="1075" t="s">
        <v>182</v>
      </c>
      <c r="AU1338" s="1078" t="s">
        <v>845</v>
      </c>
      <c r="AV1338" s="330">
        <f>SQRT(($R1338-Infrastructure!J$3)^2+($S1338-Infrastructure!K$3)^2)</f>
        <v>31.74019534</v>
      </c>
      <c r="AW1338" s="331">
        <f>SQRT(($R1338-Infrastructure!J$4)^2+($S1338-Infrastructure!K$4)^2)</f>
        <v>24.54159734</v>
      </c>
      <c r="AX1338" s="331">
        <f>SQRT(($R1338-Infrastructure!J$5)^2+($S1338-Infrastructure!K$5)^2)</f>
        <v>21</v>
      </c>
      <c r="AY1338" s="331">
        <f>SQRT(($R1338-Infrastructure!J$6)^2+($S1338-Infrastructure!K$6)^2)</f>
        <v>11.63615057</v>
      </c>
      <c r="AZ1338" s="331">
        <f>SQRT(($R1338-Infrastructure!J$7)^2+($S1338-Infrastructure!K$7)^2)</f>
        <v>4.80416486</v>
      </c>
      <c r="BA1338" s="331">
        <f>SQRT(($R1338-Infrastructure!J$8)^2+($S1338-Infrastructure!K$8)^2)</f>
        <v>10.55461984</v>
      </c>
      <c r="BB1338" s="331">
        <f>SQRT(($R1338-Infrastructure!J$9)^2+($S1338-Infrastructure!K$9)^2)</f>
        <v>19.3</v>
      </c>
      <c r="BC1338" s="331">
        <f>SQRT(($R1338-Infrastructure!J$10)^2+($S1338-Infrastructure!K$10)^2)</f>
        <v>21.69101196</v>
      </c>
      <c r="BD1338" s="331">
        <f>SQRT(($R1338-Infrastructure!J$11)^2+($S1338-Infrastructure!K$11)^2)</f>
        <v>30.84574525</v>
      </c>
      <c r="BE1338" s="333">
        <f>SQRT(($R1338-Infrastructure!J$12)^2+($S1338-Infrastructure!K$12)^2)</f>
        <v>50.40634881</v>
      </c>
      <c r="BF1338" s="330">
        <f t="shared" si="161"/>
        <v>4.80416486</v>
      </c>
      <c r="BG1338" s="333">
        <f t="shared" si="162"/>
        <v>50.40634881</v>
      </c>
      <c r="BH1338" s="1119"/>
      <c r="BI1338" s="319"/>
      <c r="BJ1338" s="319"/>
      <c r="BK1338" s="319"/>
      <c r="BL1338" s="319"/>
      <c r="BM1338" s="955"/>
      <c r="BN1338" s="319"/>
      <c r="BO1338" s="319"/>
      <c r="BP1338" s="953"/>
      <c r="BQ1338" s="319"/>
      <c r="BR1338" s="324"/>
      <c r="BS1338" s="330">
        <f t="shared" si="169"/>
        <v>0</v>
      </c>
      <c r="BT1338" s="331">
        <f t="shared" si="170"/>
        <v>0</v>
      </c>
      <c r="BU1338" s="920"/>
      <c r="BV1338" s="903">
        <f t="shared" si="171"/>
        <v>-0.6315972222</v>
      </c>
      <c r="BW1338" s="907"/>
      <c r="BX1338" s="908"/>
      <c r="BY1338" s="331" t="b">
        <f t="shared" si="166"/>
        <v>0</v>
      </c>
      <c r="BZ1338" s="340"/>
      <c r="CA1338" s="316"/>
      <c r="CB1338" s="318"/>
      <c r="CC1338" s="318"/>
      <c r="CD1338" s="318"/>
      <c r="CE1338" s="318"/>
      <c r="CF1338" s="318"/>
      <c r="CG1338" s="318"/>
      <c r="CH1338" s="318"/>
      <c r="CI1338" s="318"/>
      <c r="CJ1338" s="463"/>
      <c r="CK1338" s="342"/>
      <c r="CL1338" s="333"/>
      <c r="CM1338" s="1079"/>
      <c r="CN1338" s="1005"/>
      <c r="CO1338" s="1005"/>
      <c r="CP1338" s="1005"/>
    </row>
    <row r="1339">
      <c r="B1339" s="1106" t="s">
        <v>1341</v>
      </c>
      <c r="C1339" s="1107">
        <v>44651.0</v>
      </c>
      <c r="D1339" s="103"/>
      <c r="E1339" s="1108" t="s">
        <v>1865</v>
      </c>
      <c r="F1339" s="112" t="s">
        <v>2045</v>
      </c>
      <c r="G1339" s="1109">
        <v>0.6340277777777777</v>
      </c>
      <c r="H1339" s="1110">
        <v>0.634375</v>
      </c>
      <c r="I1339" s="1110"/>
      <c r="J1339" s="1111"/>
      <c r="K1339" s="1111">
        <v>0.6388888888888888</v>
      </c>
      <c r="L1339" s="1112">
        <v>0.0045138888888888885</v>
      </c>
      <c r="M1339" s="1113" t="s">
        <v>358</v>
      </c>
      <c r="N1339" s="110" t="s">
        <v>187</v>
      </c>
      <c r="O1339" s="1114" t="s">
        <v>205</v>
      </c>
      <c r="P1339" s="1115" t="s">
        <v>296</v>
      </c>
      <c r="Q1339" s="1116"/>
      <c r="R1339" s="120">
        <v>20.7</v>
      </c>
      <c r="S1339" s="1113">
        <v>5.1</v>
      </c>
      <c r="T1339" s="110">
        <v>1.2</v>
      </c>
      <c r="U1339" s="1108">
        <v>1.7</v>
      </c>
      <c r="V1339" s="1108"/>
      <c r="W1339" s="1108"/>
      <c r="X1339" s="1108"/>
      <c r="Y1339" s="1108"/>
      <c r="Z1339" s="1114" t="s">
        <v>370</v>
      </c>
      <c r="AA1339" s="1114"/>
      <c r="AB1339" s="1114" t="s">
        <v>380</v>
      </c>
      <c r="AC1339" s="1117">
        <v>4.0</v>
      </c>
      <c r="AD1339" s="1115"/>
      <c r="AE1339" s="1115"/>
      <c r="AF1339" s="1115"/>
      <c r="AG1339" s="1115"/>
      <c r="AH1339" s="1115"/>
      <c r="AI1339" s="1115"/>
      <c r="AJ1339" s="1117"/>
      <c r="AK1339" s="1118"/>
      <c r="AL1339" s="1115"/>
      <c r="AM1339" s="1115"/>
      <c r="AN1339" s="1115"/>
      <c r="AO1339" s="1115"/>
      <c r="AP1339" s="1115"/>
      <c r="AQ1339" s="1115"/>
      <c r="AR1339" s="1115"/>
      <c r="AS1339" s="1117"/>
      <c r="AT1339" s="1075" t="s">
        <v>182</v>
      </c>
      <c r="AU1339" s="1078" t="s">
        <v>845</v>
      </c>
      <c r="AV1339" s="330">
        <f>SQRT(($R1339-Infrastructure!J$3)^2+($S1339-Infrastructure!K$3)^2)</f>
        <v>31.74019534</v>
      </c>
      <c r="AW1339" s="331">
        <f>SQRT(($R1339-Infrastructure!J$4)^2+($S1339-Infrastructure!K$4)^2)</f>
        <v>24.54159734</v>
      </c>
      <c r="AX1339" s="331">
        <f>SQRT(($R1339-Infrastructure!J$5)^2+($S1339-Infrastructure!K$5)^2)</f>
        <v>21</v>
      </c>
      <c r="AY1339" s="331">
        <f>SQRT(($R1339-Infrastructure!J$6)^2+($S1339-Infrastructure!K$6)^2)</f>
        <v>11.63615057</v>
      </c>
      <c r="AZ1339" s="331">
        <f>SQRT(($R1339-Infrastructure!J$7)^2+($S1339-Infrastructure!K$7)^2)</f>
        <v>4.80416486</v>
      </c>
      <c r="BA1339" s="331">
        <f>SQRT(($R1339-Infrastructure!J$8)^2+($S1339-Infrastructure!K$8)^2)</f>
        <v>10.55461984</v>
      </c>
      <c r="BB1339" s="331">
        <f>SQRT(($R1339-Infrastructure!J$9)^2+($S1339-Infrastructure!K$9)^2)</f>
        <v>19.3</v>
      </c>
      <c r="BC1339" s="331">
        <f>SQRT(($R1339-Infrastructure!J$10)^2+($S1339-Infrastructure!K$10)^2)</f>
        <v>21.69101196</v>
      </c>
      <c r="BD1339" s="331">
        <f>SQRT(($R1339-Infrastructure!J$11)^2+($S1339-Infrastructure!K$11)^2)</f>
        <v>30.84574525</v>
      </c>
      <c r="BE1339" s="333">
        <f>SQRT(($R1339-Infrastructure!J$12)^2+($S1339-Infrastructure!K$12)^2)</f>
        <v>50.40634881</v>
      </c>
      <c r="BF1339" s="330">
        <f t="shared" si="161"/>
        <v>4.80416486</v>
      </c>
      <c r="BG1339" s="333">
        <f t="shared" si="162"/>
        <v>50.40634881</v>
      </c>
      <c r="BH1339" s="1119"/>
      <c r="BI1339" s="319"/>
      <c r="BJ1339" s="319"/>
      <c r="BK1339" s="319"/>
      <c r="BL1339" s="319"/>
      <c r="BM1339" s="955"/>
      <c r="BN1339" s="319"/>
      <c r="BO1339" s="319"/>
      <c r="BP1339" s="953"/>
      <c r="BQ1339" s="319"/>
      <c r="BR1339" s="324"/>
      <c r="BS1339" s="330">
        <f t="shared" si="169"/>
        <v>0</v>
      </c>
      <c r="BT1339" s="331">
        <f t="shared" si="170"/>
        <v>0</v>
      </c>
      <c r="BU1339" s="920"/>
      <c r="BV1339" s="903">
        <f t="shared" si="171"/>
        <v>-0.6340277778</v>
      </c>
      <c r="BW1339" s="907"/>
      <c r="BX1339" s="908"/>
      <c r="BY1339" s="331" t="b">
        <f t="shared" si="166"/>
        <v>0</v>
      </c>
      <c r="BZ1339" s="340"/>
      <c r="CA1339" s="316"/>
      <c r="CB1339" s="318"/>
      <c r="CC1339" s="318"/>
      <c r="CD1339" s="318"/>
      <c r="CE1339" s="318"/>
      <c r="CF1339" s="318"/>
      <c r="CG1339" s="318"/>
      <c r="CH1339" s="318"/>
      <c r="CI1339" s="318"/>
      <c r="CJ1339" s="463"/>
      <c r="CK1339" s="342"/>
      <c r="CL1339" s="333"/>
      <c r="CM1339" s="1079"/>
      <c r="CN1339" s="1005"/>
      <c r="CO1339" s="1005"/>
      <c r="CP1339" s="1005"/>
    </row>
    <row r="1340">
      <c r="A1340" s="634"/>
      <c r="B1340" s="1121" t="s">
        <v>1341</v>
      </c>
      <c r="C1340" s="1122">
        <v>44651.0</v>
      </c>
      <c r="D1340" s="1123"/>
      <c r="E1340" s="1144"/>
      <c r="F1340" s="108" t="s">
        <v>2046</v>
      </c>
      <c r="G1340" s="1125">
        <v>0.6587384259259259</v>
      </c>
      <c r="H1340" s="1145"/>
      <c r="I1340" s="1145"/>
      <c r="J1340" s="1146"/>
      <c r="K1340" s="1127">
        <v>0.6592013888888889</v>
      </c>
      <c r="L1340" s="1128">
        <v>4.62962962962963E-4</v>
      </c>
      <c r="M1340" s="1129" t="s">
        <v>358</v>
      </c>
      <c r="N1340" s="100" t="s">
        <v>188</v>
      </c>
      <c r="O1340" s="1147"/>
      <c r="P1340" s="1131" t="s">
        <v>294</v>
      </c>
      <c r="Q1340" s="1132"/>
      <c r="R1340" s="1148"/>
      <c r="S1340" s="1149"/>
      <c r="T1340" s="1150"/>
      <c r="U1340" s="1144"/>
      <c r="V1340" s="1144"/>
      <c r="W1340" s="1144"/>
      <c r="X1340" s="1144"/>
      <c r="Y1340" s="1144"/>
      <c r="Z1340" s="1130" t="s">
        <v>323</v>
      </c>
      <c r="AA1340" s="1130"/>
      <c r="AB1340" s="1130" t="s">
        <v>323</v>
      </c>
      <c r="AC1340" s="1133" t="s">
        <v>323</v>
      </c>
      <c r="AD1340" s="1131"/>
      <c r="AE1340" s="1131"/>
      <c r="AF1340" s="1131"/>
      <c r="AG1340" s="1131"/>
      <c r="AH1340" s="1131"/>
      <c r="AI1340" s="1131"/>
      <c r="AJ1340" s="1133"/>
      <c r="AK1340" s="1134"/>
      <c r="AL1340" s="1131"/>
      <c r="AM1340" s="1131"/>
      <c r="AN1340" s="1131"/>
      <c r="AO1340" s="1131"/>
      <c r="AP1340" s="1131"/>
      <c r="AQ1340" s="1131"/>
      <c r="AR1340" s="1131"/>
      <c r="AS1340" s="1133"/>
      <c r="AT1340" s="1088"/>
      <c r="AU1340" s="1089"/>
      <c r="AV1340" s="330">
        <f>SQRT(($R1340-Infrastructure!J$3)^2+($S1340-Infrastructure!K$3)^2)</f>
        <v>28.90155705</v>
      </c>
      <c r="AW1340" s="331">
        <f>SQRT(($R1340-Infrastructure!J$4)^2+($S1340-Infrastructure!K$4)^2)</f>
        <v>17.80252791</v>
      </c>
      <c r="AX1340" s="331">
        <f>SQRT(($R1340-Infrastructure!J$5)^2+($S1340-Infrastructure!K$5)^2)</f>
        <v>5.10881591</v>
      </c>
      <c r="AY1340" s="331">
        <f>SQRT(($R1340-Infrastructure!J$6)^2+($S1340-Infrastructure!K$6)^2)</f>
        <v>10.10445446</v>
      </c>
      <c r="AZ1340" s="331">
        <f>SQRT(($R1340-Infrastructure!J$7)^2+($S1340-Infrastructure!K$7)^2)</f>
        <v>20.502195</v>
      </c>
      <c r="BA1340" s="331">
        <f>SQRT(($R1340-Infrastructure!J$8)^2+($S1340-Infrastructure!K$8)^2)</f>
        <v>30.10149498</v>
      </c>
      <c r="BB1340" s="331">
        <f>SQRT(($R1340-Infrastructure!J$9)^2+($S1340-Infrastructure!K$9)^2)</f>
        <v>40.3238143</v>
      </c>
      <c r="BC1340" s="331">
        <f>SQRT(($R1340-Infrastructure!J$10)^2+($S1340-Infrastructure!K$10)^2)</f>
        <v>42.72001873</v>
      </c>
      <c r="BD1340" s="331">
        <f>SQRT(($R1340-Infrastructure!J$11)^2+($S1340-Infrastructure!K$11)^2)</f>
        <v>49.56853841</v>
      </c>
      <c r="BE1340" s="333">
        <f>SQRT(($R1340-Infrastructure!J$12)^2+($S1340-Infrastructure!K$12)^2)</f>
        <v>59.51890456</v>
      </c>
      <c r="BF1340" s="330">
        <f t="shared" si="161"/>
        <v>5.10881591</v>
      </c>
      <c r="BG1340" s="333">
        <f t="shared" si="162"/>
        <v>59.51890456</v>
      </c>
      <c r="BH1340" s="1135"/>
      <c r="BI1340" s="663"/>
      <c r="BJ1340" s="663"/>
      <c r="BK1340" s="663"/>
      <c r="BL1340" s="663"/>
      <c r="BM1340" s="957"/>
      <c r="BN1340" s="663"/>
      <c r="BO1340" s="663"/>
      <c r="BP1340" s="958"/>
      <c r="BQ1340" s="663"/>
      <c r="BR1340" s="637"/>
      <c r="BS1340" s="330">
        <f t="shared" si="169"/>
        <v>0</v>
      </c>
      <c r="BT1340" s="331">
        <f t="shared" si="170"/>
        <v>0</v>
      </c>
      <c r="BU1340" s="920"/>
      <c r="BV1340" s="903">
        <f t="shared" si="171"/>
        <v>-0.6587384259</v>
      </c>
      <c r="BW1340" s="938"/>
      <c r="BX1340" s="939"/>
      <c r="BY1340" s="331" t="b">
        <f t="shared" si="166"/>
        <v>0</v>
      </c>
      <c r="BZ1340" s="742"/>
      <c r="CA1340" s="639"/>
      <c r="CB1340" s="640"/>
      <c r="CC1340" s="640"/>
      <c r="CD1340" s="640"/>
      <c r="CE1340" s="640"/>
      <c r="CF1340" s="640"/>
      <c r="CG1340" s="640"/>
      <c r="CH1340" s="640"/>
      <c r="CI1340" s="640"/>
      <c r="CJ1340" s="785"/>
      <c r="CK1340" s="743"/>
      <c r="CL1340" s="642"/>
      <c r="CM1340" s="1090"/>
      <c r="CN1340" s="1005"/>
      <c r="CO1340" s="1005"/>
      <c r="CP1340" s="1005"/>
    </row>
    <row r="1341">
      <c r="A1341" s="1136" t="s">
        <v>69</v>
      </c>
      <c r="B1341" s="1106" t="s">
        <v>2047</v>
      </c>
      <c r="C1341" s="1107">
        <v>44656.0</v>
      </c>
      <c r="D1341" s="103"/>
      <c r="E1341" s="1108">
        <v>1.0</v>
      </c>
      <c r="F1341" s="110" t="s">
        <v>2048</v>
      </c>
      <c r="G1341" s="1151">
        <v>0.39288194444444446</v>
      </c>
      <c r="H1341" s="1152">
        <v>0.39351851851851855</v>
      </c>
      <c r="I1341" s="1152"/>
      <c r="J1341" s="1153"/>
      <c r="K1341" s="1153">
        <v>0.3939236111111111</v>
      </c>
      <c r="L1341" s="1112">
        <v>4.050925925925926E-4</v>
      </c>
      <c r="M1341" s="1113" t="s">
        <v>358</v>
      </c>
      <c r="N1341" s="110" t="s">
        <v>187</v>
      </c>
      <c r="O1341" s="1114" t="s">
        <v>201</v>
      </c>
      <c r="P1341" s="1115" t="s">
        <v>256</v>
      </c>
      <c r="Q1341" s="1115" t="s">
        <v>842</v>
      </c>
      <c r="R1341" s="1154">
        <v>15.0</v>
      </c>
      <c r="S1341" s="1115">
        <v>5.0</v>
      </c>
      <c r="T1341" s="1155">
        <v>0.65</v>
      </c>
      <c r="U1341" s="1108">
        <v>8.0</v>
      </c>
      <c r="V1341" s="1108"/>
      <c r="W1341" s="1108"/>
      <c r="X1341" s="1108"/>
      <c r="Y1341" s="1108"/>
      <c r="Z1341" s="1114" t="s">
        <v>339</v>
      </c>
      <c r="AA1341" s="1114"/>
      <c r="AB1341" s="1114" t="s">
        <v>341</v>
      </c>
      <c r="AC1341" s="1117">
        <v>3.0</v>
      </c>
      <c r="AD1341" s="1115"/>
      <c r="AE1341" s="1115"/>
      <c r="AF1341" s="1115"/>
      <c r="AG1341" s="1115"/>
      <c r="AH1341" s="1115"/>
      <c r="AI1341" s="1115"/>
      <c r="AJ1341" s="1117"/>
      <c r="AK1341" s="1118"/>
      <c r="AL1341" s="1115"/>
      <c r="AM1341" s="1115"/>
      <c r="AN1341" s="1115"/>
      <c r="AO1341" s="1115"/>
      <c r="AP1341" s="1115"/>
      <c r="AQ1341" s="1115"/>
      <c r="AR1341" s="1115"/>
      <c r="AS1341" s="1117"/>
      <c r="AT1341" s="1075" t="s">
        <v>182</v>
      </c>
      <c r="AU1341" s="1078" t="s">
        <v>845</v>
      </c>
      <c r="AV1341" s="330">
        <f>SQRT(($R1341-Infrastructure!J$3)^2+($S1341-Infrastructure!K$3)^2)</f>
        <v>28.37780823</v>
      </c>
      <c r="AW1341" s="331">
        <f>SQRT(($R1341-Infrastructure!J$4)^2+($S1341-Infrastructure!K$4)^2)</f>
        <v>19.94818287</v>
      </c>
      <c r="AX1341" s="331">
        <f>SQRT(($R1341-Infrastructure!J$5)^2+($S1341-Infrastructure!K$5)^2)</f>
        <v>15.30032679</v>
      </c>
      <c r="AY1341" s="331">
        <f>SQRT(($R1341-Infrastructure!J$6)^2+($S1341-Infrastructure!K$6)^2)</f>
        <v>6.789698079</v>
      </c>
      <c r="AZ1341" s="331">
        <f>SQRT(($R1341-Infrastructure!J$7)^2+($S1341-Infrastructure!K$7)^2)</f>
        <v>7.234638899</v>
      </c>
      <c r="BA1341" s="331">
        <f>SQRT(($R1341-Infrastructure!J$8)^2+($S1341-Infrastructure!K$8)^2)</f>
        <v>15.81455026</v>
      </c>
      <c r="BB1341" s="331">
        <f>SQRT(($R1341-Infrastructure!J$9)^2+($S1341-Infrastructure!K$9)^2)</f>
        <v>25.0002</v>
      </c>
      <c r="BC1341" s="331">
        <f>SQRT(($R1341-Infrastructure!J$10)^2+($S1341-Infrastructure!K$10)^2)</f>
        <v>26.92582404</v>
      </c>
      <c r="BD1341" s="331">
        <f>SQRT(($R1341-Infrastructure!J$11)^2+($S1341-Infrastructure!K$11)^2)</f>
        <v>34.8</v>
      </c>
      <c r="BE1341" s="333">
        <f>SQRT(($R1341-Infrastructure!J$12)^2+($S1341-Infrastructure!K$12)^2)</f>
        <v>50.91659847</v>
      </c>
      <c r="BF1341" s="330">
        <f t="shared" si="161"/>
        <v>6.789698079</v>
      </c>
      <c r="BG1341" s="333">
        <f t="shared" si="162"/>
        <v>50.91659847</v>
      </c>
      <c r="BH1341" s="1119"/>
      <c r="BI1341" s="319" t="s">
        <v>846</v>
      </c>
      <c r="BJ1341" s="319" t="s">
        <v>846</v>
      </c>
      <c r="BK1341" s="319" t="s">
        <v>846</v>
      </c>
      <c r="BL1341" s="319" t="s">
        <v>846</v>
      </c>
      <c r="BM1341" s="955"/>
      <c r="BN1341" s="319" t="s">
        <v>846</v>
      </c>
      <c r="BO1341" s="319" t="s">
        <v>846</v>
      </c>
      <c r="BP1341" s="953"/>
      <c r="BQ1341" s="319" t="s">
        <v>846</v>
      </c>
      <c r="BR1341" s="324" t="s">
        <v>846</v>
      </c>
      <c r="BS1341" s="330">
        <f t="shared" si="169"/>
        <v>6.789698079</v>
      </c>
      <c r="BT1341" s="331">
        <f t="shared" si="170"/>
        <v>50.91659847</v>
      </c>
      <c r="BU1341" s="920"/>
      <c r="BV1341" s="903">
        <f t="shared" si="171"/>
        <v>-0.3928819444</v>
      </c>
      <c r="BW1341" s="907"/>
      <c r="BX1341" s="908"/>
      <c r="BY1341" s="331" t="b">
        <f t="shared" si="166"/>
        <v>0</v>
      </c>
      <c r="BZ1341" s="340"/>
      <c r="CA1341" s="316"/>
      <c r="CB1341" s="318"/>
      <c r="CC1341" s="318"/>
      <c r="CD1341" s="318"/>
      <c r="CE1341" s="318"/>
      <c r="CF1341" s="318"/>
      <c r="CG1341" s="318"/>
      <c r="CH1341" s="318"/>
      <c r="CI1341" s="318"/>
      <c r="CJ1341" s="463"/>
      <c r="CK1341" s="342"/>
      <c r="CL1341" s="333"/>
      <c r="CM1341" s="1079"/>
      <c r="CN1341" s="1005"/>
      <c r="CO1341" s="1005"/>
      <c r="CP1341" s="1005"/>
    </row>
    <row r="1342">
      <c r="B1342" s="1106" t="s">
        <v>2047</v>
      </c>
      <c r="C1342" s="1107">
        <v>44656.0</v>
      </c>
      <c r="D1342" s="103"/>
      <c r="E1342" s="1108">
        <v>2.0</v>
      </c>
      <c r="F1342" s="110" t="s">
        <v>2049</v>
      </c>
      <c r="G1342" s="1109">
        <v>0.4777777777777778</v>
      </c>
      <c r="H1342" s="1110">
        <v>0.478125</v>
      </c>
      <c r="I1342" s="1110"/>
      <c r="J1342" s="1111"/>
      <c r="K1342" s="1111">
        <v>0.48159722222222223</v>
      </c>
      <c r="L1342" s="1112">
        <v>0.003472222222222222</v>
      </c>
      <c r="M1342" s="1113" t="s">
        <v>358</v>
      </c>
      <c r="N1342" s="110" t="s">
        <v>187</v>
      </c>
      <c r="O1342" s="1114" t="s">
        <v>201</v>
      </c>
      <c r="P1342" s="1156" t="s">
        <v>256</v>
      </c>
      <c r="Q1342" s="1115" t="s">
        <v>842</v>
      </c>
      <c r="R1342" s="1154">
        <v>15.0</v>
      </c>
      <c r="S1342" s="1115">
        <v>5.0</v>
      </c>
      <c r="T1342" s="1155">
        <v>0.65</v>
      </c>
      <c r="U1342" s="1108">
        <v>8.0</v>
      </c>
      <c r="V1342" s="1108"/>
      <c r="W1342" s="1108"/>
      <c r="X1342" s="1108"/>
      <c r="Y1342" s="1108"/>
      <c r="Z1342" s="1114" t="s">
        <v>339</v>
      </c>
      <c r="AA1342" s="1114"/>
      <c r="AB1342" s="1114" t="s">
        <v>341</v>
      </c>
      <c r="AC1342" s="1117">
        <v>3.0</v>
      </c>
      <c r="AD1342" s="1115"/>
      <c r="AE1342" s="1115"/>
      <c r="AF1342" s="1115"/>
      <c r="AG1342" s="1115"/>
      <c r="AH1342" s="1115"/>
      <c r="AI1342" s="1115"/>
      <c r="AJ1342" s="1117"/>
      <c r="AK1342" s="1118"/>
      <c r="AL1342" s="1115"/>
      <c r="AM1342" s="1115"/>
      <c r="AN1342" s="1115"/>
      <c r="AO1342" s="1115"/>
      <c r="AP1342" s="1115"/>
      <c r="AQ1342" s="1115"/>
      <c r="AR1342" s="1115"/>
      <c r="AS1342" s="1117"/>
      <c r="AT1342" s="1075" t="s">
        <v>182</v>
      </c>
      <c r="AU1342" s="1078" t="s">
        <v>845</v>
      </c>
      <c r="AV1342" s="330">
        <f>SQRT(($R1342-Infrastructure!J$3)^2+($S1342-Infrastructure!K$3)^2)</f>
        <v>28.37780823</v>
      </c>
      <c r="AW1342" s="331">
        <f>SQRT(($R1342-Infrastructure!J$4)^2+($S1342-Infrastructure!K$4)^2)</f>
        <v>19.94818287</v>
      </c>
      <c r="AX1342" s="331">
        <f>SQRT(($R1342-Infrastructure!J$5)^2+($S1342-Infrastructure!K$5)^2)</f>
        <v>15.30032679</v>
      </c>
      <c r="AY1342" s="331">
        <f>SQRT(($R1342-Infrastructure!J$6)^2+($S1342-Infrastructure!K$6)^2)</f>
        <v>6.789698079</v>
      </c>
      <c r="AZ1342" s="331">
        <f>SQRT(($R1342-Infrastructure!J$7)^2+($S1342-Infrastructure!K$7)^2)</f>
        <v>7.234638899</v>
      </c>
      <c r="BA1342" s="331">
        <f>SQRT(($R1342-Infrastructure!J$8)^2+($S1342-Infrastructure!K$8)^2)</f>
        <v>15.81455026</v>
      </c>
      <c r="BB1342" s="331">
        <f>SQRT(($R1342-Infrastructure!J$9)^2+($S1342-Infrastructure!K$9)^2)</f>
        <v>25.0002</v>
      </c>
      <c r="BC1342" s="331">
        <f>SQRT(($R1342-Infrastructure!J$10)^2+($S1342-Infrastructure!K$10)^2)</f>
        <v>26.92582404</v>
      </c>
      <c r="BD1342" s="331">
        <f>SQRT(($R1342-Infrastructure!J$11)^2+($S1342-Infrastructure!K$11)^2)</f>
        <v>34.8</v>
      </c>
      <c r="BE1342" s="333">
        <f>SQRT(($R1342-Infrastructure!J$12)^2+($S1342-Infrastructure!K$12)^2)</f>
        <v>50.91659847</v>
      </c>
      <c r="BF1342" s="330">
        <f t="shared" si="161"/>
        <v>6.789698079</v>
      </c>
      <c r="BG1342" s="333">
        <f t="shared" si="162"/>
        <v>50.91659847</v>
      </c>
      <c r="BH1342" s="1119"/>
      <c r="BI1342" s="319" t="s">
        <v>846</v>
      </c>
      <c r="BJ1342" s="319" t="s">
        <v>846</v>
      </c>
      <c r="BK1342" s="319" t="s">
        <v>846</v>
      </c>
      <c r="BL1342" s="319" t="s">
        <v>846</v>
      </c>
      <c r="BM1342" s="955"/>
      <c r="BN1342" s="319" t="s">
        <v>846</v>
      </c>
      <c r="BO1342" s="319" t="s">
        <v>846</v>
      </c>
      <c r="BP1342" s="953" t="s">
        <v>846</v>
      </c>
      <c r="BQ1342" s="319" t="s">
        <v>846</v>
      </c>
      <c r="BR1342" s="324" t="s">
        <v>846</v>
      </c>
      <c r="BS1342" s="330">
        <f t="shared" si="169"/>
        <v>6.789698079</v>
      </c>
      <c r="BT1342" s="331">
        <f t="shared" si="170"/>
        <v>50.91659847</v>
      </c>
      <c r="BU1342" s="920"/>
      <c r="BV1342" s="903">
        <f t="shared" si="171"/>
        <v>-0.4777777778</v>
      </c>
      <c r="BW1342" s="907"/>
      <c r="BX1342" s="908"/>
      <c r="BY1342" s="331" t="b">
        <f t="shared" si="166"/>
        <v>0</v>
      </c>
      <c r="BZ1342" s="340"/>
      <c r="CA1342" s="316"/>
      <c r="CB1342" s="318"/>
      <c r="CC1342" s="318"/>
      <c r="CD1342" s="318"/>
      <c r="CE1342" s="318"/>
      <c r="CF1342" s="318"/>
      <c r="CG1342" s="318"/>
      <c r="CH1342" s="318"/>
      <c r="CI1342" s="318"/>
      <c r="CJ1342" s="463"/>
      <c r="CK1342" s="342"/>
      <c r="CL1342" s="333"/>
      <c r="CM1342" s="1079"/>
      <c r="CN1342" s="1005"/>
      <c r="CO1342" s="1005"/>
      <c r="CP1342" s="1005"/>
    </row>
    <row r="1343">
      <c r="B1343" s="1157"/>
      <c r="C1343" s="1158"/>
      <c r="D1343" s="103"/>
      <c r="E1343" s="1137"/>
      <c r="F1343" s="1159"/>
      <c r="G1343" s="1109">
        <v>0.4847222222222222</v>
      </c>
      <c r="H1343" s="1138"/>
      <c r="I1343" s="1138"/>
      <c r="J1343" s="1139"/>
      <c r="K1343" s="1111">
        <v>0.48506944444444444</v>
      </c>
      <c r="L1343" s="1112">
        <v>3.4722222222222224E-4</v>
      </c>
      <c r="M1343" s="1113" t="s">
        <v>358</v>
      </c>
      <c r="N1343" s="110" t="s">
        <v>188</v>
      </c>
      <c r="O1343" s="1140"/>
      <c r="P1343" s="1115" t="s">
        <v>294</v>
      </c>
      <c r="Q1343" s="1116"/>
      <c r="R1343" s="1141"/>
      <c r="S1343" s="1142"/>
      <c r="T1343" s="1143"/>
      <c r="U1343" s="1137"/>
      <c r="V1343" s="1137"/>
      <c r="W1343" s="1137"/>
      <c r="X1343" s="1137"/>
      <c r="Y1343" s="1137"/>
      <c r="Z1343" s="1114" t="s">
        <v>323</v>
      </c>
      <c r="AA1343" s="1114"/>
      <c r="AB1343" s="1114" t="s">
        <v>323</v>
      </c>
      <c r="AC1343" s="1117" t="s">
        <v>323</v>
      </c>
      <c r="AD1343" s="1115"/>
      <c r="AE1343" s="1115"/>
      <c r="AF1343" s="1115"/>
      <c r="AG1343" s="1115"/>
      <c r="AH1343" s="1115"/>
      <c r="AI1343" s="1115"/>
      <c r="AJ1343" s="1117"/>
      <c r="AK1343" s="1118"/>
      <c r="AL1343" s="1115"/>
      <c r="AM1343" s="1115"/>
      <c r="AN1343" s="1115"/>
      <c r="AO1343" s="1115"/>
      <c r="AP1343" s="1115"/>
      <c r="AQ1343" s="1115"/>
      <c r="AR1343" s="1115"/>
      <c r="AS1343" s="1117"/>
      <c r="AT1343" s="1075"/>
      <c r="AU1343" s="1078"/>
      <c r="AV1343" s="330">
        <f>SQRT(($R1343-Infrastructure!J$3)^2+($S1343-Infrastructure!K$3)^2)</f>
        <v>28.90155705</v>
      </c>
      <c r="AW1343" s="331">
        <f>SQRT(($R1343-Infrastructure!J$4)^2+($S1343-Infrastructure!K$4)^2)</f>
        <v>17.80252791</v>
      </c>
      <c r="AX1343" s="331">
        <f>SQRT(($R1343-Infrastructure!J$5)^2+($S1343-Infrastructure!K$5)^2)</f>
        <v>5.10881591</v>
      </c>
      <c r="AY1343" s="331">
        <f>SQRT(($R1343-Infrastructure!J$6)^2+($S1343-Infrastructure!K$6)^2)</f>
        <v>10.10445446</v>
      </c>
      <c r="AZ1343" s="331">
        <f>SQRT(($R1343-Infrastructure!J$7)^2+($S1343-Infrastructure!K$7)^2)</f>
        <v>20.502195</v>
      </c>
      <c r="BA1343" s="331">
        <f>SQRT(($R1343-Infrastructure!J$8)^2+($S1343-Infrastructure!K$8)^2)</f>
        <v>30.10149498</v>
      </c>
      <c r="BB1343" s="331">
        <f>SQRT(($R1343-Infrastructure!J$9)^2+($S1343-Infrastructure!K$9)^2)</f>
        <v>40.3238143</v>
      </c>
      <c r="BC1343" s="331">
        <f>SQRT(($R1343-Infrastructure!J$10)^2+($S1343-Infrastructure!K$10)^2)</f>
        <v>42.72001873</v>
      </c>
      <c r="BD1343" s="331">
        <f>SQRT(($R1343-Infrastructure!J$11)^2+($S1343-Infrastructure!K$11)^2)</f>
        <v>49.56853841</v>
      </c>
      <c r="BE1343" s="333">
        <f>SQRT(($R1343-Infrastructure!J$12)^2+($S1343-Infrastructure!K$12)^2)</f>
        <v>59.51890456</v>
      </c>
      <c r="BF1343" s="330">
        <f t="shared" si="161"/>
        <v>5.10881591</v>
      </c>
      <c r="BG1343" s="333">
        <f t="shared" si="162"/>
        <v>59.51890456</v>
      </c>
      <c r="BH1343" s="1119"/>
      <c r="BI1343" s="319"/>
      <c r="BJ1343" s="319"/>
      <c r="BK1343" s="319"/>
      <c r="BL1343" s="319"/>
      <c r="BM1343" s="955"/>
      <c r="BN1343" s="319"/>
      <c r="BO1343" s="319"/>
      <c r="BP1343" s="953"/>
      <c r="BQ1343" s="319"/>
      <c r="BR1343" s="324"/>
      <c r="BS1343" s="330">
        <f t="shared" si="169"/>
        <v>0</v>
      </c>
      <c r="BT1343" s="331">
        <f t="shared" si="170"/>
        <v>0</v>
      </c>
      <c r="BU1343" s="920"/>
      <c r="BV1343" s="903">
        <f t="shared" si="171"/>
        <v>-0.4847222222</v>
      </c>
      <c r="BW1343" s="907"/>
      <c r="BX1343" s="908"/>
      <c r="BY1343" s="331" t="b">
        <f t="shared" si="166"/>
        <v>0</v>
      </c>
      <c r="BZ1343" s="340"/>
      <c r="CA1343" s="316"/>
      <c r="CB1343" s="318"/>
      <c r="CC1343" s="318"/>
      <c r="CD1343" s="318"/>
      <c r="CE1343" s="318"/>
      <c r="CF1343" s="318"/>
      <c r="CG1343" s="318"/>
      <c r="CH1343" s="318"/>
      <c r="CI1343" s="318"/>
      <c r="CJ1343" s="463"/>
      <c r="CK1343" s="342"/>
      <c r="CL1343" s="333"/>
      <c r="CM1343" s="1079"/>
      <c r="CN1343" s="1005"/>
      <c r="CO1343" s="1005"/>
      <c r="CP1343" s="1005"/>
    </row>
    <row r="1344">
      <c r="A1344" s="1160" t="s">
        <v>70</v>
      </c>
      <c r="B1344" s="1091" t="s">
        <v>2047</v>
      </c>
      <c r="C1344" s="1092">
        <v>44657.0</v>
      </c>
      <c r="D1344" s="1093"/>
      <c r="E1344" s="1094">
        <v>1.0</v>
      </c>
      <c r="F1344" s="129" t="s">
        <v>2050</v>
      </c>
      <c r="G1344" s="1095">
        <v>0.45902777777777776</v>
      </c>
      <c r="H1344" s="1096">
        <v>0.4597222222222222</v>
      </c>
      <c r="I1344" s="1096"/>
      <c r="J1344" s="1097"/>
      <c r="K1344" s="1097">
        <v>0.46273148148148147</v>
      </c>
      <c r="L1344" s="1098">
        <v>0.0030092592592592593</v>
      </c>
      <c r="M1344" s="1099" t="s">
        <v>166</v>
      </c>
      <c r="N1344" s="129" t="s">
        <v>187</v>
      </c>
      <c r="O1344" s="1100" t="s">
        <v>201</v>
      </c>
      <c r="P1344" s="1101" t="s">
        <v>256</v>
      </c>
      <c r="Q1344" s="1120"/>
      <c r="R1344" s="132">
        <v>2.0</v>
      </c>
      <c r="S1344" s="1099">
        <v>5.0</v>
      </c>
      <c r="T1344" s="129">
        <v>0.55</v>
      </c>
      <c r="U1344" s="1094">
        <v>5.0</v>
      </c>
      <c r="V1344" s="1094"/>
      <c r="W1344" s="1094"/>
      <c r="X1344" s="1094"/>
      <c r="Y1344" s="1094"/>
      <c r="Z1344" s="1100" t="s">
        <v>339</v>
      </c>
      <c r="AA1344" s="1100"/>
      <c r="AB1344" s="1100" t="s">
        <v>341</v>
      </c>
      <c r="AC1344" s="1102">
        <v>3.0</v>
      </c>
      <c r="AD1344" s="1101"/>
      <c r="AE1344" s="1101"/>
      <c r="AF1344" s="1101"/>
      <c r="AG1344" s="1101"/>
      <c r="AH1344" s="1101"/>
      <c r="AI1344" s="1101"/>
      <c r="AJ1344" s="1102"/>
      <c r="AK1344" s="1103"/>
      <c r="AL1344" s="1101"/>
      <c r="AM1344" s="1101"/>
      <c r="AN1344" s="1101"/>
      <c r="AO1344" s="1101"/>
      <c r="AP1344" s="1101"/>
      <c r="AQ1344" s="1101"/>
      <c r="AR1344" s="1101"/>
      <c r="AS1344" s="1102"/>
      <c r="AT1344" s="1066" t="s">
        <v>182</v>
      </c>
      <c r="AU1344" s="1076" t="s">
        <v>845</v>
      </c>
      <c r="AV1344" s="330">
        <f>SQRT(($R1344-Infrastructure!J$3)^2+($S1344-Infrastructure!K$3)^2)</f>
        <v>24.01041441</v>
      </c>
      <c r="AW1344" s="331">
        <f>SQRT(($R1344-Infrastructure!J$4)^2+($S1344-Infrastructure!K$4)^2)</f>
        <v>13.00499904</v>
      </c>
      <c r="AX1344" s="331">
        <f>SQRT(($R1344-Infrastructure!J$5)^2+($S1344-Infrastructure!K$5)^2)</f>
        <v>2.302172887</v>
      </c>
      <c r="AY1344" s="331">
        <f>SQRT(($R1344-Infrastructure!J$6)^2+($S1344-Infrastructure!K$6)^2)</f>
        <v>9.364827815</v>
      </c>
      <c r="AZ1344" s="331">
        <f>SQRT(($R1344-Infrastructure!J$7)^2+($S1344-Infrastructure!K$7)^2)</f>
        <v>19.08769237</v>
      </c>
      <c r="BA1344" s="331">
        <f>SQRT(($R1344-Infrastructure!J$8)^2+($S1344-Infrastructure!K$8)^2)</f>
        <v>28.49034924</v>
      </c>
      <c r="BB1344" s="331">
        <f>SQRT(($R1344-Infrastructure!J$9)^2+($S1344-Infrastructure!K$9)^2)</f>
        <v>38.00013158</v>
      </c>
      <c r="BC1344" s="331">
        <f>SQRT(($R1344-Infrastructure!J$10)^2+($S1344-Infrastructure!K$10)^2)</f>
        <v>39.29376541</v>
      </c>
      <c r="BD1344" s="331">
        <f>SQRT(($R1344-Infrastructure!J$11)^2+($S1344-Infrastructure!K$11)^2)</f>
        <v>45.1136343</v>
      </c>
      <c r="BE1344" s="333">
        <f>SQRT(($R1344-Infrastructure!J$12)^2+($S1344-Infrastructure!K$12)^2)</f>
        <v>54.13409277</v>
      </c>
      <c r="BF1344" s="330">
        <f t="shared" si="161"/>
        <v>2.302172887</v>
      </c>
      <c r="BG1344" s="333">
        <f t="shared" si="162"/>
        <v>54.13409277</v>
      </c>
      <c r="BH1344" s="1105"/>
      <c r="BI1344" s="393" t="s">
        <v>846</v>
      </c>
      <c r="BJ1344" s="393" t="s">
        <v>846</v>
      </c>
      <c r="BK1344" s="393"/>
      <c r="BL1344" s="393" t="s">
        <v>846</v>
      </c>
      <c r="BM1344" s="959"/>
      <c r="BN1344" s="393" t="s">
        <v>846</v>
      </c>
      <c r="BO1344" s="393" t="s">
        <v>846</v>
      </c>
      <c r="BP1344" s="960" t="s">
        <v>846</v>
      </c>
      <c r="BQ1344" s="393" t="s">
        <v>846</v>
      </c>
      <c r="BR1344" s="394" t="s">
        <v>846</v>
      </c>
      <c r="BS1344" s="330">
        <f t="shared" si="169"/>
        <v>9.364827815</v>
      </c>
      <c r="BT1344" s="331">
        <f t="shared" si="170"/>
        <v>54.13409277</v>
      </c>
      <c r="BU1344" s="920"/>
      <c r="BV1344" s="903">
        <f t="shared" si="171"/>
        <v>-0.4590277778</v>
      </c>
      <c r="BW1344" s="925"/>
      <c r="BX1344" s="926"/>
      <c r="BY1344" s="331" t="b">
        <f t="shared" si="166"/>
        <v>0</v>
      </c>
      <c r="BZ1344" s="412"/>
      <c r="CA1344" s="390"/>
      <c r="CB1344" s="392"/>
      <c r="CC1344" s="392"/>
      <c r="CD1344" s="392"/>
      <c r="CE1344" s="392"/>
      <c r="CF1344" s="392"/>
      <c r="CG1344" s="392"/>
      <c r="CH1344" s="392"/>
      <c r="CI1344" s="392"/>
      <c r="CJ1344" s="898"/>
      <c r="CK1344" s="414"/>
      <c r="CL1344" s="408"/>
      <c r="CM1344" s="1077"/>
      <c r="CN1344" s="1005"/>
      <c r="CO1344" s="1005"/>
      <c r="CP1344" s="1005"/>
    </row>
    <row r="1345">
      <c r="B1345" s="1106" t="s">
        <v>2047</v>
      </c>
      <c r="C1345" s="1107">
        <v>44657.0</v>
      </c>
      <c r="D1345" s="103"/>
      <c r="E1345" s="1108">
        <v>2.0</v>
      </c>
      <c r="F1345" s="110" t="s">
        <v>2051</v>
      </c>
      <c r="G1345" s="1109">
        <v>0.46521990740740743</v>
      </c>
      <c r="H1345" s="1110">
        <v>0.4654513888888889</v>
      </c>
      <c r="I1345" s="1110"/>
      <c r="J1345" s="1111"/>
      <c r="K1345" s="1111">
        <v>0.47152777777777777</v>
      </c>
      <c r="L1345" s="1112">
        <v>0.006076388888888889</v>
      </c>
      <c r="M1345" s="1113" t="s">
        <v>166</v>
      </c>
      <c r="N1345" s="110" t="s">
        <v>187</v>
      </c>
      <c r="O1345" s="1114" t="s">
        <v>201</v>
      </c>
      <c r="P1345" s="1115" t="s">
        <v>256</v>
      </c>
      <c r="Q1345" s="1116"/>
      <c r="R1345" s="120">
        <v>2.0</v>
      </c>
      <c r="S1345" s="1113">
        <v>5.0</v>
      </c>
      <c r="T1345" s="110">
        <v>0.55</v>
      </c>
      <c r="U1345" s="1108">
        <v>5.0</v>
      </c>
      <c r="V1345" s="1108"/>
      <c r="W1345" s="1108"/>
      <c r="X1345" s="1108"/>
      <c r="Y1345" s="1108"/>
      <c r="Z1345" s="1114" t="s">
        <v>339</v>
      </c>
      <c r="AA1345" s="1114"/>
      <c r="AB1345" s="1114" t="s">
        <v>341</v>
      </c>
      <c r="AC1345" s="1117">
        <v>3.0</v>
      </c>
      <c r="AD1345" s="1115"/>
      <c r="AE1345" s="1115"/>
      <c r="AF1345" s="1115"/>
      <c r="AG1345" s="1115"/>
      <c r="AH1345" s="1115"/>
      <c r="AI1345" s="1115"/>
      <c r="AJ1345" s="1117"/>
      <c r="AK1345" s="1118"/>
      <c r="AL1345" s="1115"/>
      <c r="AM1345" s="1115"/>
      <c r="AN1345" s="1115"/>
      <c r="AO1345" s="1115"/>
      <c r="AP1345" s="1115"/>
      <c r="AQ1345" s="1115"/>
      <c r="AR1345" s="1115"/>
      <c r="AS1345" s="1117"/>
      <c r="AT1345" s="1075" t="s">
        <v>182</v>
      </c>
      <c r="AU1345" s="1078" t="s">
        <v>845</v>
      </c>
      <c r="AV1345" s="330">
        <f>SQRT(($R1345-Infrastructure!J$3)^2+($S1345-Infrastructure!K$3)^2)</f>
        <v>24.01041441</v>
      </c>
      <c r="AW1345" s="331">
        <f>SQRT(($R1345-Infrastructure!J$4)^2+($S1345-Infrastructure!K$4)^2)</f>
        <v>13.00499904</v>
      </c>
      <c r="AX1345" s="331">
        <f>SQRT(($R1345-Infrastructure!J$5)^2+($S1345-Infrastructure!K$5)^2)</f>
        <v>2.302172887</v>
      </c>
      <c r="AY1345" s="331">
        <f>SQRT(($R1345-Infrastructure!J$6)^2+($S1345-Infrastructure!K$6)^2)</f>
        <v>9.364827815</v>
      </c>
      <c r="AZ1345" s="331">
        <f>SQRT(($R1345-Infrastructure!J$7)^2+($S1345-Infrastructure!K$7)^2)</f>
        <v>19.08769237</v>
      </c>
      <c r="BA1345" s="331">
        <f>SQRT(($R1345-Infrastructure!J$8)^2+($S1345-Infrastructure!K$8)^2)</f>
        <v>28.49034924</v>
      </c>
      <c r="BB1345" s="331">
        <f>SQRT(($R1345-Infrastructure!J$9)^2+($S1345-Infrastructure!K$9)^2)</f>
        <v>38.00013158</v>
      </c>
      <c r="BC1345" s="331">
        <f>SQRT(($R1345-Infrastructure!J$10)^2+($S1345-Infrastructure!K$10)^2)</f>
        <v>39.29376541</v>
      </c>
      <c r="BD1345" s="331">
        <f>SQRT(($R1345-Infrastructure!J$11)^2+($S1345-Infrastructure!K$11)^2)</f>
        <v>45.1136343</v>
      </c>
      <c r="BE1345" s="333">
        <f>SQRT(($R1345-Infrastructure!J$12)^2+($S1345-Infrastructure!K$12)^2)</f>
        <v>54.13409277</v>
      </c>
      <c r="BF1345" s="330">
        <f t="shared" si="161"/>
        <v>2.302172887</v>
      </c>
      <c r="BG1345" s="333">
        <f t="shared" si="162"/>
        <v>54.13409277</v>
      </c>
      <c r="BH1345" s="1119"/>
      <c r="BI1345" s="319" t="s">
        <v>846</v>
      </c>
      <c r="BJ1345" s="319" t="s">
        <v>846</v>
      </c>
      <c r="BK1345" s="319"/>
      <c r="BL1345" s="319" t="s">
        <v>846</v>
      </c>
      <c r="BM1345" s="955"/>
      <c r="BN1345" s="319" t="s">
        <v>846</v>
      </c>
      <c r="BO1345" s="319" t="s">
        <v>846</v>
      </c>
      <c r="BP1345" s="953" t="s">
        <v>846</v>
      </c>
      <c r="BQ1345" s="319" t="s">
        <v>846</v>
      </c>
      <c r="BR1345" s="324" t="s">
        <v>846</v>
      </c>
      <c r="BS1345" s="330">
        <f t="shared" si="169"/>
        <v>9.364827815</v>
      </c>
      <c r="BT1345" s="331">
        <f t="shared" si="170"/>
        <v>54.13409277</v>
      </c>
      <c r="BU1345" s="920"/>
      <c r="BV1345" s="903">
        <f t="shared" si="171"/>
        <v>-0.4652199074</v>
      </c>
      <c r="BW1345" s="907"/>
      <c r="BX1345" s="908"/>
      <c r="BY1345" s="331" t="b">
        <f t="shared" si="166"/>
        <v>0</v>
      </c>
      <c r="BZ1345" s="340"/>
      <c r="CA1345" s="316"/>
      <c r="CB1345" s="318"/>
      <c r="CC1345" s="318"/>
      <c r="CD1345" s="318"/>
      <c r="CE1345" s="318"/>
      <c r="CF1345" s="318"/>
      <c r="CG1345" s="318"/>
      <c r="CH1345" s="318"/>
      <c r="CI1345" s="318"/>
      <c r="CJ1345" s="463"/>
      <c r="CK1345" s="342"/>
      <c r="CL1345" s="333"/>
      <c r="CM1345" s="1079"/>
      <c r="CN1345" s="1005"/>
      <c r="CO1345" s="1005"/>
      <c r="CP1345" s="1005"/>
    </row>
    <row r="1346">
      <c r="B1346" s="1106" t="s">
        <v>2047</v>
      </c>
      <c r="C1346" s="1107">
        <v>44657.0</v>
      </c>
      <c r="D1346" s="103"/>
      <c r="E1346" s="1108">
        <v>3.0</v>
      </c>
      <c r="F1346" s="110" t="s">
        <v>2052</v>
      </c>
      <c r="G1346" s="1109">
        <v>0.48483796296296294</v>
      </c>
      <c r="H1346" s="1110">
        <v>0.48506944444444444</v>
      </c>
      <c r="I1346" s="1110"/>
      <c r="J1346" s="1111"/>
      <c r="K1346" s="1111">
        <v>0.4862268518518518</v>
      </c>
      <c r="L1346" s="1112">
        <v>0.0011574074074074073</v>
      </c>
      <c r="M1346" s="1113" t="s">
        <v>166</v>
      </c>
      <c r="N1346" s="110" t="s">
        <v>188</v>
      </c>
      <c r="O1346" s="1114" t="s">
        <v>378</v>
      </c>
      <c r="P1346" s="1115" t="s">
        <v>256</v>
      </c>
      <c r="Q1346" s="1115" t="s">
        <v>842</v>
      </c>
      <c r="R1346" s="120">
        <v>22.7</v>
      </c>
      <c r="S1346" s="1113">
        <v>39.7</v>
      </c>
      <c r="T1346" s="110">
        <v>1.09</v>
      </c>
      <c r="U1346" s="1108">
        <v>5.0</v>
      </c>
      <c r="V1346" s="1108"/>
      <c r="W1346" s="1108"/>
      <c r="X1346" s="1108"/>
      <c r="Y1346" s="1108"/>
      <c r="Z1346" s="1114" t="s">
        <v>1140</v>
      </c>
      <c r="AA1346" s="1114"/>
      <c r="AB1346" s="1114" t="s">
        <v>341</v>
      </c>
      <c r="AC1346" s="1117">
        <v>3.0</v>
      </c>
      <c r="AD1346" s="1115"/>
      <c r="AE1346" s="1115"/>
      <c r="AF1346" s="1115"/>
      <c r="AG1346" s="1115"/>
      <c r="AH1346" s="1115"/>
      <c r="AI1346" s="1115"/>
      <c r="AJ1346" s="1117"/>
      <c r="AK1346" s="1118"/>
      <c r="AL1346" s="1115"/>
      <c r="AM1346" s="1115"/>
      <c r="AN1346" s="1115"/>
      <c r="AO1346" s="1115"/>
      <c r="AP1346" s="1115"/>
      <c r="AQ1346" s="1115"/>
      <c r="AR1346" s="1115"/>
      <c r="AS1346" s="1117"/>
      <c r="AT1346" s="1075" t="s">
        <v>182</v>
      </c>
      <c r="AU1346" s="1078" t="s">
        <v>845</v>
      </c>
      <c r="AV1346" s="330">
        <f>SQRT(($R1346-Infrastructure!J$3)^2+($S1346-Infrastructure!K$3)^2)</f>
        <v>25.40944706</v>
      </c>
      <c r="AW1346" s="331">
        <f>SQRT(($R1346-Infrastructure!J$4)^2+($S1346-Infrastructure!K$4)^2)</f>
        <v>31.75862088</v>
      </c>
      <c r="AX1346" s="331">
        <f>SQRT(($R1346-Infrastructure!J$5)^2+($S1346-Infrastructure!K$5)^2)</f>
        <v>41.54708173</v>
      </c>
      <c r="AY1346" s="331">
        <f>SQRT(($R1346-Infrastructure!J$6)^2+($S1346-Infrastructure!K$6)^2)</f>
        <v>41.36568626</v>
      </c>
      <c r="AZ1346" s="331">
        <f>SQRT(($R1346-Infrastructure!J$7)^2+($S1346-Infrastructure!K$7)^2)</f>
        <v>39.46137352</v>
      </c>
      <c r="BA1346" s="331">
        <f>SQRT(($R1346-Infrastructure!J$8)^2+($S1346-Infrastructure!K$8)^2)</f>
        <v>40.08890121</v>
      </c>
      <c r="BB1346" s="331">
        <f>SQRT(($R1346-Infrastructure!J$9)^2+($S1346-Infrastructure!K$9)^2)</f>
        <v>38.68397601</v>
      </c>
      <c r="BC1346" s="331">
        <f>SQRT(($R1346-Infrastructure!J$10)^2+($S1346-Infrastructure!K$10)^2)</f>
        <v>30.15592811</v>
      </c>
      <c r="BD1346" s="331">
        <f>SQRT(($R1346-Infrastructure!J$11)^2+($S1346-Infrastructure!K$11)^2)</f>
        <v>20.51194774</v>
      </c>
      <c r="BE1346" s="333">
        <f>SQRT(($R1346-Infrastructure!J$12)^2+($S1346-Infrastructure!K$12)^2)</f>
        <v>15.84550409</v>
      </c>
      <c r="BF1346" s="330">
        <f t="shared" si="161"/>
        <v>15.84550409</v>
      </c>
      <c r="BG1346" s="333">
        <f t="shared" si="162"/>
        <v>41.54708173</v>
      </c>
      <c r="BH1346" s="1119"/>
      <c r="BI1346" s="319" t="s">
        <v>846</v>
      </c>
      <c r="BJ1346" s="319" t="s">
        <v>846</v>
      </c>
      <c r="BK1346" s="319" t="s">
        <v>846</v>
      </c>
      <c r="BL1346" s="319" t="s">
        <v>846</v>
      </c>
      <c r="BM1346" s="955"/>
      <c r="BN1346" s="319" t="s">
        <v>846</v>
      </c>
      <c r="BO1346" s="319"/>
      <c r="BP1346" s="953" t="s">
        <v>846</v>
      </c>
      <c r="BQ1346" s="319" t="s">
        <v>846</v>
      </c>
      <c r="BR1346" s="324" t="s">
        <v>846</v>
      </c>
      <c r="BS1346" s="330">
        <f t="shared" si="169"/>
        <v>15.84550409</v>
      </c>
      <c r="BT1346" s="331">
        <f t="shared" si="170"/>
        <v>41.54708173</v>
      </c>
      <c r="BU1346" s="920"/>
      <c r="BV1346" s="903">
        <f t="shared" si="171"/>
        <v>-0.484837963</v>
      </c>
      <c r="BW1346" s="907"/>
      <c r="BX1346" s="908"/>
      <c r="BY1346" s="331" t="b">
        <f t="shared" si="166"/>
        <v>0</v>
      </c>
      <c r="BZ1346" s="340"/>
      <c r="CA1346" s="316"/>
      <c r="CB1346" s="318"/>
      <c r="CC1346" s="318"/>
      <c r="CD1346" s="318"/>
      <c r="CE1346" s="318"/>
      <c r="CF1346" s="318"/>
      <c r="CG1346" s="318"/>
      <c r="CH1346" s="318"/>
      <c r="CI1346" s="318"/>
      <c r="CJ1346" s="463"/>
      <c r="CK1346" s="342"/>
      <c r="CL1346" s="333"/>
      <c r="CM1346" s="1079"/>
      <c r="CN1346" s="1005"/>
      <c r="CO1346" s="1005"/>
      <c r="CP1346" s="1005"/>
    </row>
    <row r="1347">
      <c r="B1347" s="1106" t="s">
        <v>2047</v>
      </c>
      <c r="C1347" s="1107">
        <v>44657.0</v>
      </c>
      <c r="D1347" s="103"/>
      <c r="E1347" s="1108">
        <v>4.0</v>
      </c>
      <c r="F1347" s="110" t="s">
        <v>2053</v>
      </c>
      <c r="G1347" s="1109">
        <v>0.48935185185185187</v>
      </c>
      <c r="H1347" s="1110">
        <v>0.4900462962962963</v>
      </c>
      <c r="I1347" s="1110"/>
      <c r="J1347" s="1111"/>
      <c r="K1347" s="1111">
        <v>0.4941550925925926</v>
      </c>
      <c r="L1347" s="1112">
        <v>0.004108796296296296</v>
      </c>
      <c r="M1347" s="1113" t="s">
        <v>166</v>
      </c>
      <c r="N1347" s="110" t="s">
        <v>188</v>
      </c>
      <c r="O1347" s="1114" t="s">
        <v>196</v>
      </c>
      <c r="P1347" s="1115" t="s">
        <v>224</v>
      </c>
      <c r="Q1347" s="1115" t="s">
        <v>842</v>
      </c>
      <c r="R1347" s="120">
        <v>21.7</v>
      </c>
      <c r="S1347" s="1113">
        <v>39.5</v>
      </c>
      <c r="T1347" s="110">
        <v>1.28</v>
      </c>
      <c r="U1347" s="1108">
        <v>20.0</v>
      </c>
      <c r="V1347" s="1108"/>
      <c r="W1347" s="1108"/>
      <c r="X1347" s="1108"/>
      <c r="Y1347" s="1108"/>
      <c r="Z1347" s="1114" t="s">
        <v>387</v>
      </c>
      <c r="AA1347" s="1114"/>
      <c r="AB1347" s="1114" t="s">
        <v>413</v>
      </c>
      <c r="AC1347" s="1117">
        <v>26.6</v>
      </c>
      <c r="AD1347" s="1115"/>
      <c r="AE1347" s="1115"/>
      <c r="AF1347" s="1115"/>
      <c r="AG1347" s="1115"/>
      <c r="AH1347" s="1115"/>
      <c r="AI1347" s="1115"/>
      <c r="AJ1347" s="1117"/>
      <c r="AK1347" s="1118"/>
      <c r="AL1347" s="1115"/>
      <c r="AM1347" s="1115"/>
      <c r="AN1347" s="1115"/>
      <c r="AO1347" s="1115"/>
      <c r="AP1347" s="1115"/>
      <c r="AQ1347" s="1115"/>
      <c r="AR1347" s="1115"/>
      <c r="AS1347" s="1117"/>
      <c r="AT1347" s="1075" t="s">
        <v>183</v>
      </c>
      <c r="AU1347" s="1078" t="s">
        <v>845</v>
      </c>
      <c r="AV1347" s="330">
        <f>SQRT(($R1347-Infrastructure!J$3)^2+($S1347-Infrastructure!K$3)^2)</f>
        <v>24.42048321</v>
      </c>
      <c r="AW1347" s="331">
        <f>SQRT(($R1347-Infrastructure!J$4)^2+($S1347-Infrastructure!K$4)^2)</f>
        <v>30.90129447</v>
      </c>
      <c r="AX1347" s="331">
        <f>SQRT(($R1347-Infrastructure!J$5)^2+($S1347-Infrastructure!K$5)^2)</f>
        <v>40.83331973</v>
      </c>
      <c r="AY1347" s="331">
        <f>SQRT(($R1347-Infrastructure!J$6)^2+($S1347-Infrastructure!K$6)^2)</f>
        <v>40.88031311</v>
      </c>
      <c r="AZ1347" s="331">
        <f>SQRT(($R1347-Infrastructure!J$7)^2+($S1347-Infrastructure!K$7)^2)</f>
        <v>39.21836305</v>
      </c>
      <c r="BA1347" s="331">
        <f>SQRT(($R1347-Infrastructure!J$8)^2+($S1347-Infrastructure!K$8)^2)</f>
        <v>40.08989898</v>
      </c>
      <c r="BB1347" s="331">
        <f>SQRT(($R1347-Infrastructure!J$9)^2+($S1347-Infrastructure!K$9)^2)</f>
        <v>38.96472764</v>
      </c>
      <c r="BC1347" s="331">
        <f>SQRT(($R1347-Infrastructure!J$10)^2+($S1347-Infrastructure!K$10)^2)</f>
        <v>30.58005886</v>
      </c>
      <c r="BD1347" s="331">
        <f>SQRT(($R1347-Infrastructure!J$11)^2+($S1347-Infrastructure!K$11)^2)</f>
        <v>21.27204739</v>
      </c>
      <c r="BE1347" s="333">
        <f>SQRT(($R1347-Infrastructure!J$12)^2+($S1347-Infrastructure!K$12)^2)</f>
        <v>16.00124995</v>
      </c>
      <c r="BF1347" s="330">
        <f t="shared" si="161"/>
        <v>16.00124995</v>
      </c>
      <c r="BG1347" s="333">
        <f t="shared" si="162"/>
        <v>40.88031311</v>
      </c>
      <c r="BH1347" s="1119"/>
      <c r="BI1347" s="319"/>
      <c r="BJ1347" s="319"/>
      <c r="BK1347" s="319"/>
      <c r="BL1347" s="319"/>
      <c r="BM1347" s="955"/>
      <c r="BN1347" s="319"/>
      <c r="BO1347" s="319"/>
      <c r="BP1347" s="953"/>
      <c r="BQ1347" s="319"/>
      <c r="BR1347" s="324"/>
      <c r="BS1347" s="330">
        <f t="shared" si="169"/>
        <v>0</v>
      </c>
      <c r="BT1347" s="331">
        <f t="shared" si="170"/>
        <v>0</v>
      </c>
      <c r="BU1347" s="920"/>
      <c r="BV1347" s="903">
        <f t="shared" si="171"/>
        <v>-0.4893518519</v>
      </c>
      <c r="BW1347" s="907"/>
      <c r="BX1347" s="908"/>
      <c r="BY1347" s="331" t="b">
        <f t="shared" si="166"/>
        <v>0</v>
      </c>
      <c r="BZ1347" s="340"/>
      <c r="CA1347" s="316"/>
      <c r="CB1347" s="318"/>
      <c r="CC1347" s="318"/>
      <c r="CD1347" s="318"/>
      <c r="CE1347" s="318"/>
      <c r="CF1347" s="318"/>
      <c r="CG1347" s="318"/>
      <c r="CH1347" s="318"/>
      <c r="CI1347" s="318"/>
      <c r="CJ1347" s="463"/>
      <c r="CK1347" s="342"/>
      <c r="CL1347" s="333"/>
      <c r="CM1347" s="1079"/>
      <c r="CN1347" s="1005"/>
      <c r="CO1347" s="1005"/>
      <c r="CP1347" s="1005"/>
    </row>
    <row r="1348">
      <c r="B1348" s="1106" t="s">
        <v>2047</v>
      </c>
      <c r="C1348" s="1107">
        <v>44657.0</v>
      </c>
      <c r="D1348" s="103"/>
      <c r="E1348" s="1108">
        <v>5.0</v>
      </c>
      <c r="F1348" s="110" t="s">
        <v>2054</v>
      </c>
      <c r="G1348" s="1109">
        <v>0.5826388888888889</v>
      </c>
      <c r="H1348" s="1110">
        <v>0.5833333333333334</v>
      </c>
      <c r="I1348" s="1110"/>
      <c r="J1348" s="1111"/>
      <c r="K1348" s="1111">
        <v>0.585474537037037</v>
      </c>
      <c r="L1348" s="1112">
        <v>0.0021412037037037038</v>
      </c>
      <c r="M1348" s="1113" t="s">
        <v>166</v>
      </c>
      <c r="N1348" s="110" t="s">
        <v>188</v>
      </c>
      <c r="O1348" s="1114" t="s">
        <v>378</v>
      </c>
      <c r="P1348" s="1115" t="s">
        <v>256</v>
      </c>
      <c r="Q1348" s="1115" t="s">
        <v>842</v>
      </c>
      <c r="R1348" s="120">
        <v>22.7</v>
      </c>
      <c r="S1348" s="1113">
        <v>39.7</v>
      </c>
      <c r="T1348" s="110">
        <v>1.09</v>
      </c>
      <c r="U1348" s="1108">
        <v>13.5</v>
      </c>
      <c r="V1348" s="1108"/>
      <c r="W1348" s="1108"/>
      <c r="X1348" s="1108"/>
      <c r="Y1348" s="1108"/>
      <c r="Z1348" s="1114" t="s">
        <v>1140</v>
      </c>
      <c r="AA1348" s="1114"/>
      <c r="AB1348" s="1114" t="s">
        <v>341</v>
      </c>
      <c r="AC1348" s="1117">
        <v>3.0</v>
      </c>
      <c r="AD1348" s="1115"/>
      <c r="AE1348" s="1115"/>
      <c r="AF1348" s="1115"/>
      <c r="AG1348" s="1115"/>
      <c r="AH1348" s="1115"/>
      <c r="AI1348" s="1115"/>
      <c r="AJ1348" s="1117"/>
      <c r="AK1348" s="1118"/>
      <c r="AL1348" s="1115"/>
      <c r="AM1348" s="1115"/>
      <c r="AN1348" s="1115"/>
      <c r="AO1348" s="1115"/>
      <c r="AP1348" s="1115"/>
      <c r="AQ1348" s="1115"/>
      <c r="AR1348" s="1115"/>
      <c r="AS1348" s="1117"/>
      <c r="AT1348" s="1075" t="s">
        <v>183</v>
      </c>
      <c r="AU1348" s="1078" t="s">
        <v>845</v>
      </c>
      <c r="AV1348" s="330">
        <f>SQRT(($R1348-Infrastructure!J$3)^2+($S1348-Infrastructure!K$3)^2)</f>
        <v>25.40944706</v>
      </c>
      <c r="AW1348" s="331">
        <f>SQRT(($R1348-Infrastructure!J$4)^2+($S1348-Infrastructure!K$4)^2)</f>
        <v>31.75862088</v>
      </c>
      <c r="AX1348" s="331">
        <f>SQRT(($R1348-Infrastructure!J$5)^2+($S1348-Infrastructure!K$5)^2)</f>
        <v>41.54708173</v>
      </c>
      <c r="AY1348" s="331">
        <f>SQRT(($R1348-Infrastructure!J$6)^2+($S1348-Infrastructure!K$6)^2)</f>
        <v>41.36568626</v>
      </c>
      <c r="AZ1348" s="331">
        <f>SQRT(($R1348-Infrastructure!J$7)^2+($S1348-Infrastructure!K$7)^2)</f>
        <v>39.46137352</v>
      </c>
      <c r="BA1348" s="331">
        <f>SQRT(($R1348-Infrastructure!J$8)^2+($S1348-Infrastructure!K$8)^2)</f>
        <v>40.08890121</v>
      </c>
      <c r="BB1348" s="331">
        <f>SQRT(($R1348-Infrastructure!J$9)^2+($S1348-Infrastructure!K$9)^2)</f>
        <v>38.68397601</v>
      </c>
      <c r="BC1348" s="331">
        <f>SQRT(($R1348-Infrastructure!J$10)^2+($S1348-Infrastructure!K$10)^2)</f>
        <v>30.15592811</v>
      </c>
      <c r="BD1348" s="331">
        <f>SQRT(($R1348-Infrastructure!J$11)^2+($S1348-Infrastructure!K$11)^2)</f>
        <v>20.51194774</v>
      </c>
      <c r="BE1348" s="333">
        <f>SQRT(($R1348-Infrastructure!J$12)^2+($S1348-Infrastructure!K$12)^2)</f>
        <v>15.84550409</v>
      </c>
      <c r="BF1348" s="330">
        <f t="shared" si="161"/>
        <v>15.84550409</v>
      </c>
      <c r="BG1348" s="333">
        <f t="shared" si="162"/>
        <v>41.54708173</v>
      </c>
      <c r="BH1348" s="1119"/>
      <c r="BI1348" s="319" t="s">
        <v>846</v>
      </c>
      <c r="BJ1348" s="319" t="s">
        <v>846</v>
      </c>
      <c r="BK1348" s="319" t="s">
        <v>846</v>
      </c>
      <c r="BL1348" s="319" t="s">
        <v>846</v>
      </c>
      <c r="BM1348" s="955"/>
      <c r="BN1348" s="319" t="s">
        <v>846</v>
      </c>
      <c r="BO1348" s="319" t="s">
        <v>846</v>
      </c>
      <c r="BP1348" s="953" t="s">
        <v>846</v>
      </c>
      <c r="BQ1348" s="319" t="s">
        <v>846</v>
      </c>
      <c r="BR1348" s="324" t="s">
        <v>846</v>
      </c>
      <c r="BS1348" s="330">
        <f t="shared" si="169"/>
        <v>15.84550409</v>
      </c>
      <c r="BT1348" s="331">
        <f t="shared" si="170"/>
        <v>41.54708173</v>
      </c>
      <c r="BU1348" s="920"/>
      <c r="BV1348" s="903">
        <f t="shared" si="171"/>
        <v>-0.5826388889</v>
      </c>
      <c r="BW1348" s="907"/>
      <c r="BX1348" s="908"/>
      <c r="BY1348" s="331" t="b">
        <f t="shared" si="166"/>
        <v>0</v>
      </c>
      <c r="BZ1348" s="340"/>
      <c r="CA1348" s="316"/>
      <c r="CB1348" s="318"/>
      <c r="CC1348" s="318"/>
      <c r="CD1348" s="318"/>
      <c r="CE1348" s="318"/>
      <c r="CF1348" s="318"/>
      <c r="CG1348" s="318"/>
      <c r="CH1348" s="318"/>
      <c r="CI1348" s="318"/>
      <c r="CJ1348" s="463"/>
      <c r="CK1348" s="342"/>
      <c r="CL1348" s="333"/>
      <c r="CM1348" s="1079"/>
      <c r="CN1348" s="1005"/>
      <c r="CO1348" s="1005"/>
      <c r="CP1348" s="1005"/>
    </row>
    <row r="1349">
      <c r="B1349" s="1106" t="s">
        <v>2047</v>
      </c>
      <c r="C1349" s="1107">
        <v>44657.0</v>
      </c>
      <c r="D1349" s="103"/>
      <c r="E1349" s="1108">
        <v>6.0</v>
      </c>
      <c r="F1349" s="110" t="s">
        <v>2055</v>
      </c>
      <c r="G1349" s="1109">
        <v>0.5861111111111111</v>
      </c>
      <c r="H1349" s="1110">
        <v>0.5863425925925926</v>
      </c>
      <c r="I1349" s="1110"/>
      <c r="J1349" s="1111"/>
      <c r="K1349" s="1111">
        <v>0.5875</v>
      </c>
      <c r="L1349" s="1112">
        <v>0.0011574074074074073</v>
      </c>
      <c r="M1349" s="1113" t="s">
        <v>166</v>
      </c>
      <c r="N1349" s="110" t="s">
        <v>188</v>
      </c>
      <c r="O1349" s="1114" t="s">
        <v>378</v>
      </c>
      <c r="P1349" s="1115" t="s">
        <v>256</v>
      </c>
      <c r="Q1349" s="1115" t="s">
        <v>842</v>
      </c>
      <c r="R1349" s="120">
        <v>22.7</v>
      </c>
      <c r="S1349" s="1113">
        <v>39.7</v>
      </c>
      <c r="T1349" s="110">
        <v>1.09</v>
      </c>
      <c r="U1349" s="1108">
        <v>10.0</v>
      </c>
      <c r="V1349" s="1108"/>
      <c r="W1349" s="1108"/>
      <c r="X1349" s="1108"/>
      <c r="Y1349" s="1108"/>
      <c r="Z1349" s="1114" t="s">
        <v>1140</v>
      </c>
      <c r="AA1349" s="1114"/>
      <c r="AB1349" s="1114" t="s">
        <v>341</v>
      </c>
      <c r="AC1349" s="1117">
        <v>3.0</v>
      </c>
      <c r="AD1349" s="1115"/>
      <c r="AE1349" s="1115"/>
      <c r="AF1349" s="1115"/>
      <c r="AG1349" s="1115"/>
      <c r="AH1349" s="1115"/>
      <c r="AI1349" s="1115"/>
      <c r="AJ1349" s="1117"/>
      <c r="AK1349" s="1118"/>
      <c r="AL1349" s="1115"/>
      <c r="AM1349" s="1115"/>
      <c r="AN1349" s="1115"/>
      <c r="AO1349" s="1115"/>
      <c r="AP1349" s="1115"/>
      <c r="AQ1349" s="1115"/>
      <c r="AR1349" s="1115"/>
      <c r="AS1349" s="1117"/>
      <c r="AT1349" s="1075" t="s">
        <v>183</v>
      </c>
      <c r="AU1349" s="1078" t="s">
        <v>845</v>
      </c>
      <c r="AV1349" s="330">
        <f>SQRT(($R1349-Infrastructure!J$3)^2+($S1349-Infrastructure!K$3)^2)</f>
        <v>25.40944706</v>
      </c>
      <c r="AW1349" s="331">
        <f>SQRT(($R1349-Infrastructure!J$4)^2+($S1349-Infrastructure!K$4)^2)</f>
        <v>31.75862088</v>
      </c>
      <c r="AX1349" s="331">
        <f>SQRT(($R1349-Infrastructure!J$5)^2+($S1349-Infrastructure!K$5)^2)</f>
        <v>41.54708173</v>
      </c>
      <c r="AY1349" s="331">
        <f>SQRT(($R1349-Infrastructure!J$6)^2+($S1349-Infrastructure!K$6)^2)</f>
        <v>41.36568626</v>
      </c>
      <c r="AZ1349" s="331">
        <f>SQRT(($R1349-Infrastructure!J$7)^2+($S1349-Infrastructure!K$7)^2)</f>
        <v>39.46137352</v>
      </c>
      <c r="BA1349" s="331">
        <f>SQRT(($R1349-Infrastructure!J$8)^2+($S1349-Infrastructure!K$8)^2)</f>
        <v>40.08890121</v>
      </c>
      <c r="BB1349" s="331">
        <f>SQRT(($R1349-Infrastructure!J$9)^2+($S1349-Infrastructure!K$9)^2)</f>
        <v>38.68397601</v>
      </c>
      <c r="BC1349" s="331">
        <f>SQRT(($R1349-Infrastructure!J$10)^2+($S1349-Infrastructure!K$10)^2)</f>
        <v>30.15592811</v>
      </c>
      <c r="BD1349" s="331">
        <f>SQRT(($R1349-Infrastructure!J$11)^2+($S1349-Infrastructure!K$11)^2)</f>
        <v>20.51194774</v>
      </c>
      <c r="BE1349" s="333">
        <f>SQRT(($R1349-Infrastructure!J$12)^2+($S1349-Infrastructure!K$12)^2)</f>
        <v>15.84550409</v>
      </c>
      <c r="BF1349" s="330">
        <f t="shared" si="161"/>
        <v>15.84550409</v>
      </c>
      <c r="BG1349" s="333">
        <f t="shared" si="162"/>
        <v>41.54708173</v>
      </c>
      <c r="BH1349" s="1119"/>
      <c r="BI1349" s="319" t="s">
        <v>846</v>
      </c>
      <c r="BJ1349" s="319" t="s">
        <v>846</v>
      </c>
      <c r="BK1349" s="319" t="s">
        <v>846</v>
      </c>
      <c r="BL1349" s="319" t="s">
        <v>846</v>
      </c>
      <c r="BM1349" s="955"/>
      <c r="BN1349" s="319" t="s">
        <v>846</v>
      </c>
      <c r="BO1349" s="319" t="s">
        <v>846</v>
      </c>
      <c r="BP1349" s="953" t="s">
        <v>846</v>
      </c>
      <c r="BQ1349" s="319" t="s">
        <v>846</v>
      </c>
      <c r="BR1349" s="324" t="s">
        <v>846</v>
      </c>
      <c r="BS1349" s="330">
        <f t="shared" si="169"/>
        <v>15.84550409</v>
      </c>
      <c r="BT1349" s="331">
        <f t="shared" si="170"/>
        <v>41.54708173</v>
      </c>
      <c r="BU1349" s="920"/>
      <c r="BV1349" s="903">
        <f t="shared" si="171"/>
        <v>-0.5861111111</v>
      </c>
      <c r="BW1349" s="907"/>
      <c r="BX1349" s="908"/>
      <c r="BY1349" s="331" t="b">
        <f t="shared" si="166"/>
        <v>0</v>
      </c>
      <c r="BZ1349" s="340"/>
      <c r="CA1349" s="316"/>
      <c r="CB1349" s="318"/>
      <c r="CC1349" s="318"/>
      <c r="CD1349" s="318"/>
      <c r="CE1349" s="318"/>
      <c r="CF1349" s="318"/>
      <c r="CG1349" s="318"/>
      <c r="CH1349" s="318"/>
      <c r="CI1349" s="318"/>
      <c r="CJ1349" s="463"/>
      <c r="CK1349" s="342"/>
      <c r="CL1349" s="333"/>
      <c r="CM1349" s="1079"/>
      <c r="CN1349" s="1005"/>
      <c r="CO1349" s="1005"/>
      <c r="CP1349" s="1005"/>
    </row>
    <row r="1350">
      <c r="B1350" s="1106" t="s">
        <v>2047</v>
      </c>
      <c r="C1350" s="1107">
        <v>44657.0</v>
      </c>
      <c r="D1350" s="103"/>
      <c r="E1350" s="1108">
        <v>7.0</v>
      </c>
      <c r="F1350" s="112" t="s">
        <v>2056</v>
      </c>
      <c r="G1350" s="1109">
        <v>0.590625</v>
      </c>
      <c r="H1350" s="1110">
        <v>0.5909722222222222</v>
      </c>
      <c r="I1350" s="1110"/>
      <c r="J1350" s="1111"/>
      <c r="K1350" s="1111">
        <v>0.5954282407407407</v>
      </c>
      <c r="L1350" s="1112">
        <v>0.004456018518518519</v>
      </c>
      <c r="M1350" s="1113" t="s">
        <v>166</v>
      </c>
      <c r="N1350" s="110" t="s">
        <v>187</v>
      </c>
      <c r="O1350" s="1114" t="s">
        <v>204</v>
      </c>
      <c r="P1350" s="1115" t="s">
        <v>262</v>
      </c>
      <c r="Q1350" s="1116"/>
      <c r="R1350" s="120">
        <v>17.9</v>
      </c>
      <c r="S1350" s="1113">
        <v>3.6</v>
      </c>
      <c r="T1350" s="110">
        <v>2.57</v>
      </c>
      <c r="U1350" s="1108">
        <v>7.0</v>
      </c>
      <c r="V1350" s="1108"/>
      <c r="W1350" s="1108"/>
      <c r="X1350" s="1108"/>
      <c r="Y1350" s="1108"/>
      <c r="Z1350" s="1114" t="s">
        <v>365</v>
      </c>
      <c r="AA1350" s="1114"/>
      <c r="AB1350" s="1114" t="s">
        <v>388</v>
      </c>
      <c r="AC1350" s="1117">
        <v>8.0</v>
      </c>
      <c r="AD1350" s="1115"/>
      <c r="AE1350" s="1115"/>
      <c r="AF1350" s="1115"/>
      <c r="AG1350" s="1115"/>
      <c r="AH1350" s="1115"/>
      <c r="AI1350" s="1115"/>
      <c r="AJ1350" s="1117"/>
      <c r="AK1350" s="1118"/>
      <c r="AL1350" s="1115"/>
      <c r="AM1350" s="1115"/>
      <c r="AN1350" s="1115"/>
      <c r="AO1350" s="1115"/>
      <c r="AP1350" s="1115"/>
      <c r="AQ1350" s="1115"/>
      <c r="AR1350" s="1115"/>
      <c r="AS1350" s="1117"/>
      <c r="AT1350" s="1075" t="s">
        <v>182</v>
      </c>
      <c r="AU1350" s="1078" t="s">
        <v>845</v>
      </c>
      <c r="AV1350" s="330">
        <f>SQRT(($R1350-Infrastructure!J$3)^2+($S1350-Infrastructure!K$3)^2)</f>
        <v>31.16616755</v>
      </c>
      <c r="AW1350" s="331">
        <f>SQRT(($R1350-Infrastructure!J$4)^2+($S1350-Infrastructure!K$4)^2)</f>
        <v>23.08419373</v>
      </c>
      <c r="AX1350" s="331">
        <f>SQRT(($R1350-Infrastructure!J$5)^2+($S1350-Infrastructure!K$5)^2)</f>
        <v>18.26170857</v>
      </c>
      <c r="AY1350" s="331">
        <f>SQRT(($R1350-Infrastructure!J$6)^2+($S1350-Infrastructure!K$6)^2)</f>
        <v>8.469356528</v>
      </c>
      <c r="AZ1350" s="331">
        <f>SQRT(($R1350-Infrastructure!J$7)^2+($S1350-Infrastructure!K$7)^2)</f>
        <v>4.201190308</v>
      </c>
      <c r="BA1350" s="331">
        <f>SQRT(($R1350-Infrastructure!J$8)^2+($S1350-Infrastructure!K$8)^2)</f>
        <v>12.63843345</v>
      </c>
      <c r="BB1350" s="331">
        <f>SQRT(($R1350-Infrastructure!J$9)^2+($S1350-Infrastructure!K$9)^2)</f>
        <v>22.15084648</v>
      </c>
      <c r="BC1350" s="331">
        <f>SQRT(($R1350-Infrastructure!J$10)^2+($S1350-Infrastructure!K$10)^2)</f>
        <v>24.86704647</v>
      </c>
      <c r="BD1350" s="331">
        <f>SQRT(($R1350-Infrastructure!J$11)^2+($S1350-Infrastructure!K$11)^2)</f>
        <v>33.80014793</v>
      </c>
      <c r="BE1350" s="333">
        <f>SQRT(($R1350-Infrastructure!J$12)^2+($S1350-Infrastructure!K$12)^2)</f>
        <v>52.02470567</v>
      </c>
      <c r="BF1350" s="330">
        <f t="shared" si="161"/>
        <v>4.201190308</v>
      </c>
      <c r="BG1350" s="333">
        <f t="shared" si="162"/>
        <v>52.02470567</v>
      </c>
      <c r="BH1350" s="1119"/>
      <c r="BI1350" s="319" t="s">
        <v>846</v>
      </c>
      <c r="BJ1350" s="319" t="s">
        <v>846</v>
      </c>
      <c r="BK1350" s="319" t="s">
        <v>846</v>
      </c>
      <c r="BL1350" s="319" t="s">
        <v>846</v>
      </c>
      <c r="BM1350" s="955"/>
      <c r="BN1350" s="319" t="s">
        <v>846</v>
      </c>
      <c r="BO1350" s="319" t="s">
        <v>846</v>
      </c>
      <c r="BP1350" s="953"/>
      <c r="BQ1350" s="319" t="s">
        <v>846</v>
      </c>
      <c r="BR1350" s="324" t="s">
        <v>846</v>
      </c>
      <c r="BS1350" s="330">
        <f t="shared" si="169"/>
        <v>8.469356528</v>
      </c>
      <c r="BT1350" s="331">
        <f t="shared" si="170"/>
        <v>52.02470567</v>
      </c>
      <c r="BU1350" s="920"/>
      <c r="BV1350" s="903">
        <f t="shared" si="171"/>
        <v>-0.590625</v>
      </c>
      <c r="BW1350" s="907"/>
      <c r="BX1350" s="908"/>
      <c r="BY1350" s="331" t="b">
        <f t="shared" si="166"/>
        <v>0</v>
      </c>
      <c r="BZ1350" s="340"/>
      <c r="CA1350" s="316"/>
      <c r="CB1350" s="318"/>
      <c r="CC1350" s="318"/>
      <c r="CD1350" s="318"/>
      <c r="CE1350" s="318"/>
      <c r="CF1350" s="318"/>
      <c r="CG1350" s="318"/>
      <c r="CH1350" s="318"/>
      <c r="CI1350" s="318"/>
      <c r="CJ1350" s="463"/>
      <c r="CK1350" s="342"/>
      <c r="CL1350" s="333"/>
      <c r="CM1350" s="1079"/>
      <c r="CN1350" s="1005"/>
      <c r="CO1350" s="1005"/>
      <c r="CP1350" s="1005"/>
    </row>
    <row r="1351">
      <c r="B1351" s="1106" t="s">
        <v>2047</v>
      </c>
      <c r="C1351" s="1107">
        <v>44657.0</v>
      </c>
      <c r="D1351" s="103"/>
      <c r="E1351" s="1108" t="s">
        <v>1267</v>
      </c>
      <c r="F1351" s="110" t="s">
        <v>2057</v>
      </c>
      <c r="G1351" s="1109">
        <v>0.6</v>
      </c>
      <c r="H1351" s="1110">
        <v>0.6003472222222223</v>
      </c>
      <c r="I1351" s="1110"/>
      <c r="J1351" s="1111"/>
      <c r="K1351" s="1111">
        <v>0.6020833333333333</v>
      </c>
      <c r="L1351" s="1112">
        <v>0.001736111111111111</v>
      </c>
      <c r="M1351" s="1113" t="s">
        <v>166</v>
      </c>
      <c r="N1351" s="110" t="s">
        <v>187</v>
      </c>
      <c r="O1351" s="1114" t="s">
        <v>198</v>
      </c>
      <c r="P1351" s="1115" t="s">
        <v>218</v>
      </c>
      <c r="Q1351" s="1116"/>
      <c r="R1351" s="120">
        <v>10.3</v>
      </c>
      <c r="S1351" s="1113">
        <v>8.1</v>
      </c>
      <c r="T1351" s="110">
        <v>3.0</v>
      </c>
      <c r="U1351" s="1108">
        <v>5.0</v>
      </c>
      <c r="V1351" s="1108"/>
      <c r="W1351" s="1108"/>
      <c r="X1351" s="1108"/>
      <c r="Y1351" s="1108"/>
      <c r="Z1351" s="1114" t="s">
        <v>343</v>
      </c>
      <c r="AA1351" s="1114"/>
      <c r="AB1351" s="1114" t="s">
        <v>384</v>
      </c>
      <c r="AC1351" s="1117">
        <v>6.0</v>
      </c>
      <c r="AD1351" s="1115"/>
      <c r="AE1351" s="1115"/>
      <c r="AF1351" s="1115"/>
      <c r="AG1351" s="1115"/>
      <c r="AH1351" s="1115"/>
      <c r="AI1351" s="1115"/>
      <c r="AJ1351" s="1117"/>
      <c r="AK1351" s="1118"/>
      <c r="AL1351" s="1115"/>
      <c r="AM1351" s="1115"/>
      <c r="AN1351" s="1115"/>
      <c r="AO1351" s="1115"/>
      <c r="AP1351" s="1115"/>
      <c r="AQ1351" s="1115"/>
      <c r="AR1351" s="1115"/>
      <c r="AS1351" s="1117"/>
      <c r="AT1351" s="1075" t="s">
        <v>182</v>
      </c>
      <c r="AU1351" s="1078" t="s">
        <v>845</v>
      </c>
      <c r="AV1351" s="330">
        <f>SQRT(($R1351-Infrastructure!J$3)^2+($S1351-Infrastructure!K$3)^2)</f>
        <v>23.34523506</v>
      </c>
      <c r="AW1351" s="331">
        <f>SQRT(($R1351-Infrastructure!J$4)^2+($S1351-Infrastructure!K$4)^2)</f>
        <v>14.36836804</v>
      </c>
      <c r="AX1351" s="331">
        <f>SQRT(($R1351-Infrastructure!J$5)^2+($S1351-Infrastructure!K$5)^2)</f>
        <v>11.01635148</v>
      </c>
      <c r="AY1351" s="331">
        <f>SQRT(($R1351-Infrastructure!J$6)^2+($S1351-Infrastructure!K$6)^2)</f>
        <v>7.802563681</v>
      </c>
      <c r="AZ1351" s="331">
        <f>SQRT(($R1351-Infrastructure!J$7)^2+($S1351-Infrastructure!K$7)^2)</f>
        <v>12.84056074</v>
      </c>
      <c r="BA1351" s="331">
        <f>SQRT(($R1351-Infrastructure!J$8)^2+($S1351-Infrastructure!K$8)^2)</f>
        <v>21.28097742</v>
      </c>
      <c r="BB1351" s="331">
        <f>SQRT(($R1351-Infrastructure!J$9)^2+($S1351-Infrastructure!K$9)^2)</f>
        <v>29.85113063</v>
      </c>
      <c r="BC1351" s="331">
        <f>SQRT(($R1351-Infrastructure!J$10)^2+($S1351-Infrastructure!K$10)^2)</f>
        <v>30.49098227</v>
      </c>
      <c r="BD1351" s="331">
        <f>SQRT(($R1351-Infrastructure!J$11)^2+($S1351-Infrastructure!K$11)^2)</f>
        <v>36.4804057</v>
      </c>
      <c r="BE1351" s="333">
        <f>SQRT(($R1351-Infrastructure!J$12)^2+($S1351-Infrastructure!K$12)^2)</f>
        <v>48.70523586</v>
      </c>
      <c r="BF1351" s="330">
        <f t="shared" si="161"/>
        <v>7.802563681</v>
      </c>
      <c r="BG1351" s="333">
        <f t="shared" si="162"/>
        <v>48.70523586</v>
      </c>
      <c r="BH1351" s="1119"/>
      <c r="BI1351" s="319"/>
      <c r="BJ1351" s="319"/>
      <c r="BK1351" s="319" t="s">
        <v>846</v>
      </c>
      <c r="BL1351" s="319" t="s">
        <v>846</v>
      </c>
      <c r="BM1351" s="955"/>
      <c r="BN1351" s="319" t="s">
        <v>846</v>
      </c>
      <c r="BO1351" s="319"/>
      <c r="BP1351" s="953" t="s">
        <v>846</v>
      </c>
      <c r="BQ1351" s="319"/>
      <c r="BR1351" s="324" t="s">
        <v>846</v>
      </c>
      <c r="BS1351" s="330">
        <f t="shared" si="169"/>
        <v>7.802563681</v>
      </c>
      <c r="BT1351" s="331">
        <f t="shared" si="170"/>
        <v>48.70523586</v>
      </c>
      <c r="BU1351" s="920"/>
      <c r="BV1351" s="903">
        <f t="shared" si="171"/>
        <v>-0.6</v>
      </c>
      <c r="BW1351" s="907"/>
      <c r="BX1351" s="908"/>
      <c r="BY1351" s="331" t="b">
        <f t="shared" si="166"/>
        <v>0</v>
      </c>
      <c r="BZ1351" s="340"/>
      <c r="CA1351" s="316"/>
      <c r="CB1351" s="318"/>
      <c r="CC1351" s="318"/>
      <c r="CD1351" s="318"/>
      <c r="CE1351" s="318"/>
      <c r="CF1351" s="318"/>
      <c r="CG1351" s="318"/>
      <c r="CH1351" s="318"/>
      <c r="CI1351" s="318"/>
      <c r="CJ1351" s="463"/>
      <c r="CK1351" s="342"/>
      <c r="CL1351" s="333"/>
      <c r="CM1351" s="1079"/>
      <c r="CN1351" s="1005"/>
      <c r="CO1351" s="1005"/>
      <c r="CP1351" s="1005"/>
    </row>
    <row r="1352">
      <c r="B1352" s="1106" t="s">
        <v>2047</v>
      </c>
      <c r="C1352" s="1107">
        <v>44657.0</v>
      </c>
      <c r="D1352" s="103"/>
      <c r="E1352" s="1108" t="s">
        <v>1269</v>
      </c>
      <c r="F1352" s="110" t="s">
        <v>2058</v>
      </c>
      <c r="G1352" s="1109">
        <v>0.6020833333333333</v>
      </c>
      <c r="H1352" s="1110">
        <v>0.602662037037037</v>
      </c>
      <c r="I1352" s="1110"/>
      <c r="J1352" s="1111"/>
      <c r="K1352" s="1111">
        <v>0.6057291666666667</v>
      </c>
      <c r="L1352" s="1112">
        <v>0.0030671296296296297</v>
      </c>
      <c r="M1352" s="1113" t="s">
        <v>166</v>
      </c>
      <c r="N1352" s="110" t="s">
        <v>187</v>
      </c>
      <c r="O1352" s="1114" t="s">
        <v>198</v>
      </c>
      <c r="P1352" s="1115" t="s">
        <v>218</v>
      </c>
      <c r="Q1352" s="1116"/>
      <c r="R1352" s="120">
        <v>10.3</v>
      </c>
      <c r="S1352" s="1113">
        <v>8.1</v>
      </c>
      <c r="T1352" s="110">
        <v>3.0</v>
      </c>
      <c r="U1352" s="1108">
        <v>3.0</v>
      </c>
      <c r="V1352" s="1108"/>
      <c r="W1352" s="1108"/>
      <c r="X1352" s="1108"/>
      <c r="Y1352" s="1108"/>
      <c r="Z1352" s="1114" t="s">
        <v>343</v>
      </c>
      <c r="AA1352" s="1114"/>
      <c r="AB1352" s="1114" t="s">
        <v>384</v>
      </c>
      <c r="AC1352" s="1117">
        <v>6.0</v>
      </c>
      <c r="AD1352" s="1115"/>
      <c r="AE1352" s="1115"/>
      <c r="AF1352" s="1115"/>
      <c r="AG1352" s="1115"/>
      <c r="AH1352" s="1115"/>
      <c r="AI1352" s="1115"/>
      <c r="AJ1352" s="1117"/>
      <c r="AK1352" s="1118"/>
      <c r="AL1352" s="1115"/>
      <c r="AM1352" s="1115"/>
      <c r="AN1352" s="1115"/>
      <c r="AO1352" s="1115"/>
      <c r="AP1352" s="1115"/>
      <c r="AQ1352" s="1115"/>
      <c r="AR1352" s="1115"/>
      <c r="AS1352" s="1117"/>
      <c r="AT1352" s="1075" t="s">
        <v>182</v>
      </c>
      <c r="AU1352" s="1078" t="s">
        <v>845</v>
      </c>
      <c r="AV1352" s="330">
        <f>SQRT(($R1352-Infrastructure!J$3)^2+($S1352-Infrastructure!K$3)^2)</f>
        <v>23.34523506</v>
      </c>
      <c r="AW1352" s="331">
        <f>SQRT(($R1352-Infrastructure!J$4)^2+($S1352-Infrastructure!K$4)^2)</f>
        <v>14.36836804</v>
      </c>
      <c r="AX1352" s="331">
        <f>SQRT(($R1352-Infrastructure!J$5)^2+($S1352-Infrastructure!K$5)^2)</f>
        <v>11.01635148</v>
      </c>
      <c r="AY1352" s="331">
        <f>SQRT(($R1352-Infrastructure!J$6)^2+($S1352-Infrastructure!K$6)^2)</f>
        <v>7.802563681</v>
      </c>
      <c r="AZ1352" s="331">
        <f>SQRT(($R1352-Infrastructure!J$7)^2+($S1352-Infrastructure!K$7)^2)</f>
        <v>12.84056074</v>
      </c>
      <c r="BA1352" s="331">
        <f>SQRT(($R1352-Infrastructure!J$8)^2+($S1352-Infrastructure!K$8)^2)</f>
        <v>21.28097742</v>
      </c>
      <c r="BB1352" s="331">
        <f>SQRT(($R1352-Infrastructure!J$9)^2+($S1352-Infrastructure!K$9)^2)</f>
        <v>29.85113063</v>
      </c>
      <c r="BC1352" s="331">
        <f>SQRT(($R1352-Infrastructure!J$10)^2+($S1352-Infrastructure!K$10)^2)</f>
        <v>30.49098227</v>
      </c>
      <c r="BD1352" s="331">
        <f>SQRT(($R1352-Infrastructure!J$11)^2+($S1352-Infrastructure!K$11)^2)</f>
        <v>36.4804057</v>
      </c>
      <c r="BE1352" s="333">
        <f>SQRT(($R1352-Infrastructure!J$12)^2+($S1352-Infrastructure!K$12)^2)</f>
        <v>48.70523586</v>
      </c>
      <c r="BF1352" s="330">
        <f t="shared" si="161"/>
        <v>7.802563681</v>
      </c>
      <c r="BG1352" s="333">
        <f t="shared" si="162"/>
        <v>48.70523586</v>
      </c>
      <c r="BH1352" s="1119"/>
      <c r="BI1352" s="319"/>
      <c r="BJ1352" s="319"/>
      <c r="BK1352" s="319" t="s">
        <v>846</v>
      </c>
      <c r="BL1352" s="319" t="s">
        <v>846</v>
      </c>
      <c r="BM1352" s="955"/>
      <c r="BN1352" s="319" t="s">
        <v>846</v>
      </c>
      <c r="BO1352" s="319"/>
      <c r="BP1352" s="953"/>
      <c r="BQ1352" s="319" t="s">
        <v>846</v>
      </c>
      <c r="BR1352" s="324" t="s">
        <v>846</v>
      </c>
      <c r="BS1352" s="330">
        <f t="shared" si="169"/>
        <v>7.802563681</v>
      </c>
      <c r="BT1352" s="331">
        <f t="shared" si="170"/>
        <v>48.70523586</v>
      </c>
      <c r="BU1352" s="920"/>
      <c r="BV1352" s="903">
        <f t="shared" si="171"/>
        <v>-0.6020833333</v>
      </c>
      <c r="BW1352" s="907"/>
      <c r="BX1352" s="908"/>
      <c r="BY1352" s="331" t="b">
        <f t="shared" si="166"/>
        <v>0</v>
      </c>
      <c r="BZ1352" s="340"/>
      <c r="CA1352" s="316"/>
      <c r="CB1352" s="318"/>
      <c r="CC1352" s="318"/>
      <c r="CD1352" s="318"/>
      <c r="CE1352" s="318"/>
      <c r="CF1352" s="318"/>
      <c r="CG1352" s="318"/>
      <c r="CH1352" s="318"/>
      <c r="CI1352" s="318"/>
      <c r="CJ1352" s="463"/>
      <c r="CK1352" s="342"/>
      <c r="CL1352" s="333"/>
      <c r="CM1352" s="1079"/>
      <c r="CN1352" s="1005"/>
      <c r="CO1352" s="1005"/>
      <c r="CP1352" s="1005"/>
    </row>
    <row r="1353">
      <c r="B1353" s="1106" t="s">
        <v>2047</v>
      </c>
      <c r="C1353" s="1107">
        <v>44657.0</v>
      </c>
      <c r="D1353" s="103"/>
      <c r="E1353" s="1108">
        <v>9.0</v>
      </c>
      <c r="F1353" s="110" t="s">
        <v>2059</v>
      </c>
      <c r="G1353" s="1109">
        <v>0.6097800925925926</v>
      </c>
      <c r="H1353" s="1110">
        <v>0.6102430555555556</v>
      </c>
      <c r="I1353" s="1110"/>
      <c r="J1353" s="1111"/>
      <c r="K1353" s="1111">
        <v>0.6173611111111111</v>
      </c>
      <c r="L1353" s="1112">
        <v>0.007118055555555555</v>
      </c>
      <c r="M1353" s="1113" t="s">
        <v>166</v>
      </c>
      <c r="N1353" s="110" t="s">
        <v>187</v>
      </c>
      <c r="O1353" s="1114" t="s">
        <v>206</v>
      </c>
      <c r="P1353" s="1115" t="s">
        <v>213</v>
      </c>
      <c r="Q1353" s="1116"/>
      <c r="R1353" s="120">
        <v>10.7</v>
      </c>
      <c r="S1353" s="1113">
        <v>10.9</v>
      </c>
      <c r="T1353" s="110">
        <v>3.0</v>
      </c>
      <c r="U1353" s="1108">
        <v>5.0</v>
      </c>
      <c r="V1353" s="1108"/>
      <c r="W1353" s="1108"/>
      <c r="X1353" s="1108"/>
      <c r="Y1353" s="1108"/>
      <c r="Z1353" s="1114" t="s">
        <v>347</v>
      </c>
      <c r="AA1353" s="1114"/>
      <c r="AB1353" s="1114" t="s">
        <v>384</v>
      </c>
      <c r="AC1353" s="1117">
        <v>6.0</v>
      </c>
      <c r="AD1353" s="1115"/>
      <c r="AE1353" s="1115"/>
      <c r="AF1353" s="1115"/>
      <c r="AG1353" s="1115"/>
      <c r="AH1353" s="1115"/>
      <c r="AI1353" s="1115"/>
      <c r="AJ1353" s="1117"/>
      <c r="AK1353" s="1118"/>
      <c r="AL1353" s="1115"/>
      <c r="AM1353" s="1115"/>
      <c r="AN1353" s="1115"/>
      <c r="AO1353" s="1115"/>
      <c r="AP1353" s="1115"/>
      <c r="AQ1353" s="1115"/>
      <c r="AR1353" s="1115"/>
      <c r="AS1353" s="1117"/>
      <c r="AT1353" s="1075" t="s">
        <v>182</v>
      </c>
      <c r="AU1353" s="1078" t="s">
        <v>845</v>
      </c>
      <c r="AV1353" s="330">
        <f>SQRT(($R1353-Infrastructure!J$3)^2+($S1353-Infrastructure!K$3)^2)</f>
        <v>21.09502311</v>
      </c>
      <c r="AW1353" s="331">
        <f>SQRT(($R1353-Infrastructure!J$4)^2+($S1353-Infrastructure!K$4)^2)</f>
        <v>12.98499134</v>
      </c>
      <c r="AX1353" s="331">
        <f>SQRT(($R1353-Infrastructure!J$5)^2+($S1353-Infrastructure!K$5)^2)</f>
        <v>12.43543325</v>
      </c>
      <c r="AY1353" s="331">
        <f>SQRT(($R1353-Infrastructure!J$6)^2+($S1353-Infrastructure!K$6)^2)</f>
        <v>10.61696755</v>
      </c>
      <c r="AZ1353" s="331">
        <f>SQRT(($R1353-Infrastructure!J$7)^2+($S1353-Infrastructure!K$7)^2)</f>
        <v>14.43606595</v>
      </c>
      <c r="BA1353" s="331">
        <f>SQRT(($R1353-Infrastructure!J$8)^2+($S1353-Infrastructure!K$8)^2)</f>
        <v>22.10701246</v>
      </c>
      <c r="BB1353" s="331">
        <f>SQRT(($R1353-Infrastructure!J$9)^2+($S1353-Infrastructure!K$9)^2)</f>
        <v>29.86854533</v>
      </c>
      <c r="BC1353" s="331">
        <f>SQRT(($R1353-Infrastructure!J$10)^2+($S1353-Infrastructure!K$10)^2)</f>
        <v>29.58546941</v>
      </c>
      <c r="BD1353" s="331">
        <f>SQRT(($R1353-Infrastructure!J$11)^2+($S1353-Infrastructure!K$11)^2)</f>
        <v>34.61011413</v>
      </c>
      <c r="BE1353" s="333">
        <f>SQRT(($R1353-Infrastructure!J$12)^2+($S1353-Infrastructure!K$12)^2)</f>
        <v>45.8889965</v>
      </c>
      <c r="BF1353" s="330">
        <f t="shared" si="161"/>
        <v>10.61696755</v>
      </c>
      <c r="BG1353" s="333">
        <f t="shared" si="162"/>
        <v>45.8889965</v>
      </c>
      <c r="BH1353" s="1119"/>
      <c r="BI1353" s="319" t="s">
        <v>846</v>
      </c>
      <c r="BJ1353" s="319" t="s">
        <v>846</v>
      </c>
      <c r="BK1353" s="319"/>
      <c r="BL1353" s="319"/>
      <c r="BM1353" s="955"/>
      <c r="BN1353" s="319" t="s">
        <v>846</v>
      </c>
      <c r="BO1353" s="319"/>
      <c r="BP1353" s="953"/>
      <c r="BQ1353" s="319" t="s">
        <v>846</v>
      </c>
      <c r="BR1353" s="324" t="s">
        <v>846</v>
      </c>
      <c r="BS1353" s="330">
        <f t="shared" si="169"/>
        <v>12.98499134</v>
      </c>
      <c r="BT1353" s="331">
        <f t="shared" si="170"/>
        <v>45.8889965</v>
      </c>
      <c r="BU1353" s="920"/>
      <c r="BV1353" s="903">
        <f t="shared" si="171"/>
        <v>-0.6097800926</v>
      </c>
      <c r="BW1353" s="907"/>
      <c r="BX1353" s="908"/>
      <c r="BY1353" s="331" t="b">
        <f t="shared" si="166"/>
        <v>0</v>
      </c>
      <c r="BZ1353" s="340"/>
      <c r="CA1353" s="316"/>
      <c r="CB1353" s="318"/>
      <c r="CC1353" s="318"/>
      <c r="CD1353" s="318"/>
      <c r="CE1353" s="318"/>
      <c r="CF1353" s="318"/>
      <c r="CG1353" s="318"/>
      <c r="CH1353" s="318"/>
      <c r="CI1353" s="318"/>
      <c r="CJ1353" s="463"/>
      <c r="CK1353" s="342"/>
      <c r="CL1353" s="333"/>
      <c r="CM1353" s="1079"/>
      <c r="CN1353" s="1005"/>
      <c r="CO1353" s="1005"/>
      <c r="CP1353" s="1005"/>
    </row>
    <row r="1354">
      <c r="B1354" s="1106" t="s">
        <v>2047</v>
      </c>
      <c r="C1354" s="1107">
        <v>44657.0</v>
      </c>
      <c r="D1354" s="103"/>
      <c r="E1354" s="1108">
        <v>10.0</v>
      </c>
      <c r="F1354" s="110" t="s">
        <v>2060</v>
      </c>
      <c r="G1354" s="1109">
        <v>0.6239583333333333</v>
      </c>
      <c r="H1354" s="1110">
        <v>0.6243055555555556</v>
      </c>
      <c r="I1354" s="1110"/>
      <c r="J1354" s="1111"/>
      <c r="K1354" s="1111">
        <v>0.6254050925925926</v>
      </c>
      <c r="L1354" s="1112">
        <v>0.001099537037037037</v>
      </c>
      <c r="M1354" s="1113" t="s">
        <v>166</v>
      </c>
      <c r="N1354" s="110" t="s">
        <v>187</v>
      </c>
      <c r="O1354" s="1114" t="s">
        <v>201</v>
      </c>
      <c r="P1354" s="1115" t="s">
        <v>256</v>
      </c>
      <c r="Q1354" s="1116"/>
      <c r="R1354" s="120">
        <v>2.0</v>
      </c>
      <c r="S1354" s="1113">
        <v>5.0</v>
      </c>
      <c r="T1354" s="110">
        <v>0.55</v>
      </c>
      <c r="U1354" s="1108">
        <v>5.0</v>
      </c>
      <c r="V1354" s="1108"/>
      <c r="W1354" s="1108"/>
      <c r="X1354" s="1108"/>
      <c r="Y1354" s="1108"/>
      <c r="Z1354" s="1114" t="s">
        <v>339</v>
      </c>
      <c r="AA1354" s="1114"/>
      <c r="AB1354" s="1114" t="s">
        <v>341</v>
      </c>
      <c r="AC1354" s="1117">
        <v>3.0</v>
      </c>
      <c r="AD1354" s="1115"/>
      <c r="AE1354" s="1115"/>
      <c r="AF1354" s="1115"/>
      <c r="AG1354" s="1115"/>
      <c r="AH1354" s="1115"/>
      <c r="AI1354" s="1115"/>
      <c r="AJ1354" s="1117"/>
      <c r="AK1354" s="1118"/>
      <c r="AL1354" s="1115"/>
      <c r="AM1354" s="1115"/>
      <c r="AN1354" s="1115"/>
      <c r="AO1354" s="1115"/>
      <c r="AP1354" s="1115"/>
      <c r="AQ1354" s="1115"/>
      <c r="AR1354" s="1115"/>
      <c r="AS1354" s="1117"/>
      <c r="AT1354" s="1075" t="s">
        <v>182</v>
      </c>
      <c r="AU1354" s="1078" t="s">
        <v>845</v>
      </c>
      <c r="AV1354" s="330">
        <f>SQRT(($R1354-Infrastructure!J$3)^2+($S1354-Infrastructure!K$3)^2)</f>
        <v>24.01041441</v>
      </c>
      <c r="AW1354" s="331">
        <f>SQRT(($R1354-Infrastructure!J$4)^2+($S1354-Infrastructure!K$4)^2)</f>
        <v>13.00499904</v>
      </c>
      <c r="AX1354" s="331">
        <f>SQRT(($R1354-Infrastructure!J$5)^2+($S1354-Infrastructure!K$5)^2)</f>
        <v>2.302172887</v>
      </c>
      <c r="AY1354" s="331">
        <f>SQRT(($R1354-Infrastructure!J$6)^2+($S1354-Infrastructure!K$6)^2)</f>
        <v>9.364827815</v>
      </c>
      <c r="AZ1354" s="331">
        <f>SQRT(($R1354-Infrastructure!J$7)^2+($S1354-Infrastructure!K$7)^2)</f>
        <v>19.08769237</v>
      </c>
      <c r="BA1354" s="331">
        <f>SQRT(($R1354-Infrastructure!J$8)^2+($S1354-Infrastructure!K$8)^2)</f>
        <v>28.49034924</v>
      </c>
      <c r="BB1354" s="331">
        <f>SQRT(($R1354-Infrastructure!J$9)^2+($S1354-Infrastructure!K$9)^2)</f>
        <v>38.00013158</v>
      </c>
      <c r="BC1354" s="331">
        <f>SQRT(($R1354-Infrastructure!J$10)^2+($S1354-Infrastructure!K$10)^2)</f>
        <v>39.29376541</v>
      </c>
      <c r="BD1354" s="331">
        <f>SQRT(($R1354-Infrastructure!J$11)^2+($S1354-Infrastructure!K$11)^2)</f>
        <v>45.1136343</v>
      </c>
      <c r="BE1354" s="333">
        <f>SQRT(($R1354-Infrastructure!J$12)^2+($S1354-Infrastructure!K$12)^2)</f>
        <v>54.13409277</v>
      </c>
      <c r="BF1354" s="330">
        <f t="shared" si="161"/>
        <v>2.302172887</v>
      </c>
      <c r="BG1354" s="333">
        <f t="shared" si="162"/>
        <v>54.13409277</v>
      </c>
      <c r="BH1354" s="1119"/>
      <c r="BI1354" s="319" t="s">
        <v>846</v>
      </c>
      <c r="BJ1354" s="319" t="s">
        <v>846</v>
      </c>
      <c r="BK1354" s="319" t="s">
        <v>846</v>
      </c>
      <c r="BL1354" s="319" t="s">
        <v>846</v>
      </c>
      <c r="BM1354" s="955"/>
      <c r="BN1354" s="319" t="s">
        <v>846</v>
      </c>
      <c r="BO1354" s="319" t="s">
        <v>846</v>
      </c>
      <c r="BP1354" s="953"/>
      <c r="BQ1354" s="319" t="s">
        <v>846</v>
      </c>
      <c r="BR1354" s="324" t="s">
        <v>846</v>
      </c>
      <c r="BS1354" s="330">
        <f t="shared" si="169"/>
        <v>2.302172887</v>
      </c>
      <c r="BT1354" s="331">
        <f t="shared" si="170"/>
        <v>54.13409277</v>
      </c>
      <c r="BU1354" s="920"/>
      <c r="BV1354" s="903">
        <f t="shared" si="171"/>
        <v>-0.6239583333</v>
      </c>
      <c r="BW1354" s="907"/>
      <c r="BX1354" s="908"/>
      <c r="BY1354" s="331" t="b">
        <f t="shared" si="166"/>
        <v>0</v>
      </c>
      <c r="BZ1354" s="340"/>
      <c r="CA1354" s="316"/>
      <c r="CB1354" s="318"/>
      <c r="CC1354" s="318"/>
      <c r="CD1354" s="318"/>
      <c r="CE1354" s="318"/>
      <c r="CF1354" s="318"/>
      <c r="CG1354" s="318"/>
      <c r="CH1354" s="318"/>
      <c r="CI1354" s="318"/>
      <c r="CJ1354" s="463"/>
      <c r="CK1354" s="342"/>
      <c r="CL1354" s="333"/>
      <c r="CM1354" s="1079"/>
      <c r="CN1354" s="1005"/>
      <c r="CO1354" s="1005"/>
      <c r="CP1354" s="1005"/>
    </row>
    <row r="1355">
      <c r="B1355" s="1106" t="s">
        <v>2047</v>
      </c>
      <c r="C1355" s="1107">
        <v>44657.0</v>
      </c>
      <c r="D1355" s="103"/>
      <c r="E1355" s="1108">
        <v>11.0</v>
      </c>
      <c r="F1355" s="110" t="s">
        <v>2061</v>
      </c>
      <c r="G1355" s="1109">
        <v>0.6256944444444444</v>
      </c>
      <c r="H1355" s="1110">
        <v>0.6263888888888889</v>
      </c>
      <c r="I1355" s="1110"/>
      <c r="J1355" s="1111"/>
      <c r="K1355" s="1111">
        <v>0.6270833333333333</v>
      </c>
      <c r="L1355" s="1112">
        <v>6.944444444444445E-4</v>
      </c>
      <c r="M1355" s="1113" t="s">
        <v>166</v>
      </c>
      <c r="N1355" s="110" t="s">
        <v>187</v>
      </c>
      <c r="O1355" s="1114" t="s">
        <v>201</v>
      </c>
      <c r="P1355" s="1115" t="s">
        <v>256</v>
      </c>
      <c r="Q1355" s="1116"/>
      <c r="R1355" s="120">
        <v>2.0</v>
      </c>
      <c r="S1355" s="1113">
        <v>5.0</v>
      </c>
      <c r="T1355" s="110">
        <v>0.55</v>
      </c>
      <c r="U1355" s="1108">
        <v>2.5</v>
      </c>
      <c r="V1355" s="1108"/>
      <c r="W1355" s="1108"/>
      <c r="X1355" s="1108"/>
      <c r="Y1355" s="1108"/>
      <c r="Z1355" s="1114" t="s">
        <v>339</v>
      </c>
      <c r="AA1355" s="1114"/>
      <c r="AB1355" s="1114" t="s">
        <v>341</v>
      </c>
      <c r="AC1355" s="1117">
        <v>3.0</v>
      </c>
      <c r="AD1355" s="1115"/>
      <c r="AE1355" s="1115"/>
      <c r="AF1355" s="1115"/>
      <c r="AG1355" s="1115"/>
      <c r="AH1355" s="1115"/>
      <c r="AI1355" s="1115"/>
      <c r="AJ1355" s="1117"/>
      <c r="AK1355" s="1118"/>
      <c r="AL1355" s="1115"/>
      <c r="AM1355" s="1115"/>
      <c r="AN1355" s="1115"/>
      <c r="AO1355" s="1115"/>
      <c r="AP1355" s="1115"/>
      <c r="AQ1355" s="1115"/>
      <c r="AR1355" s="1115"/>
      <c r="AS1355" s="1117"/>
      <c r="AT1355" s="1075" t="s">
        <v>182</v>
      </c>
      <c r="AU1355" s="1078" t="s">
        <v>845</v>
      </c>
      <c r="AV1355" s="330">
        <f>SQRT(($R1355-Infrastructure!J$3)^2+($S1355-Infrastructure!K$3)^2)</f>
        <v>24.01041441</v>
      </c>
      <c r="AW1355" s="331">
        <f>SQRT(($R1355-Infrastructure!J$4)^2+($S1355-Infrastructure!K$4)^2)</f>
        <v>13.00499904</v>
      </c>
      <c r="AX1355" s="331">
        <f>SQRT(($R1355-Infrastructure!J$5)^2+($S1355-Infrastructure!K$5)^2)</f>
        <v>2.302172887</v>
      </c>
      <c r="AY1355" s="331">
        <f>SQRT(($R1355-Infrastructure!J$6)^2+($S1355-Infrastructure!K$6)^2)</f>
        <v>9.364827815</v>
      </c>
      <c r="AZ1355" s="331">
        <f>SQRT(($R1355-Infrastructure!J$7)^2+($S1355-Infrastructure!K$7)^2)</f>
        <v>19.08769237</v>
      </c>
      <c r="BA1355" s="331">
        <f>SQRT(($R1355-Infrastructure!J$8)^2+($S1355-Infrastructure!K$8)^2)</f>
        <v>28.49034924</v>
      </c>
      <c r="BB1355" s="331">
        <f>SQRT(($R1355-Infrastructure!J$9)^2+($S1355-Infrastructure!K$9)^2)</f>
        <v>38.00013158</v>
      </c>
      <c r="BC1355" s="331">
        <f>SQRT(($R1355-Infrastructure!J$10)^2+($S1355-Infrastructure!K$10)^2)</f>
        <v>39.29376541</v>
      </c>
      <c r="BD1355" s="331">
        <f>SQRT(($R1355-Infrastructure!J$11)^2+($S1355-Infrastructure!K$11)^2)</f>
        <v>45.1136343</v>
      </c>
      <c r="BE1355" s="333">
        <f>SQRT(($R1355-Infrastructure!J$12)^2+($S1355-Infrastructure!K$12)^2)</f>
        <v>54.13409277</v>
      </c>
      <c r="BF1355" s="330">
        <f t="shared" si="161"/>
        <v>2.302172887</v>
      </c>
      <c r="BG1355" s="333">
        <f t="shared" si="162"/>
        <v>54.13409277</v>
      </c>
      <c r="BH1355" s="1119"/>
      <c r="BI1355" s="319" t="s">
        <v>846</v>
      </c>
      <c r="BJ1355" s="319" t="s">
        <v>846</v>
      </c>
      <c r="BK1355" s="319"/>
      <c r="BL1355" s="319" t="s">
        <v>846</v>
      </c>
      <c r="BM1355" s="955"/>
      <c r="BN1355" s="319" t="s">
        <v>846</v>
      </c>
      <c r="BO1355" s="319" t="s">
        <v>846</v>
      </c>
      <c r="BP1355" s="953"/>
      <c r="BQ1355" s="319" t="s">
        <v>846</v>
      </c>
      <c r="BR1355" s="324" t="s">
        <v>846</v>
      </c>
      <c r="BS1355" s="330">
        <f t="shared" si="169"/>
        <v>9.364827815</v>
      </c>
      <c r="BT1355" s="331">
        <f t="shared" si="170"/>
        <v>54.13409277</v>
      </c>
      <c r="BU1355" s="920"/>
      <c r="BV1355" s="903">
        <f t="shared" si="171"/>
        <v>-0.6256944444</v>
      </c>
      <c r="BW1355" s="907"/>
      <c r="BX1355" s="908"/>
      <c r="BY1355" s="331" t="b">
        <f t="shared" si="166"/>
        <v>0</v>
      </c>
      <c r="BZ1355" s="340"/>
      <c r="CA1355" s="316"/>
      <c r="CB1355" s="318"/>
      <c r="CC1355" s="318"/>
      <c r="CD1355" s="318"/>
      <c r="CE1355" s="318"/>
      <c r="CF1355" s="318"/>
      <c r="CG1355" s="318"/>
      <c r="CH1355" s="318"/>
      <c r="CI1355" s="318"/>
      <c r="CJ1355" s="463"/>
      <c r="CK1355" s="342"/>
      <c r="CL1355" s="333"/>
      <c r="CM1355" s="1079"/>
      <c r="CN1355" s="1005"/>
      <c r="CO1355" s="1005"/>
      <c r="CP1355" s="1005"/>
    </row>
    <row r="1356">
      <c r="B1356" s="1106" t="s">
        <v>2047</v>
      </c>
      <c r="C1356" s="1107">
        <v>44657.0</v>
      </c>
      <c r="D1356" s="103"/>
      <c r="E1356" s="1108">
        <v>12.0</v>
      </c>
      <c r="F1356" s="110" t="s">
        <v>2062</v>
      </c>
      <c r="G1356" s="1109">
        <v>0.6274305555555556</v>
      </c>
      <c r="H1356" s="1110">
        <v>0.6277777777777778</v>
      </c>
      <c r="I1356" s="1110"/>
      <c r="J1356" s="1111"/>
      <c r="K1356" s="1111">
        <v>0.6289930555555555</v>
      </c>
      <c r="L1356" s="1112">
        <v>0.0012152777777777778</v>
      </c>
      <c r="M1356" s="1113" t="s">
        <v>166</v>
      </c>
      <c r="N1356" s="110" t="s">
        <v>187</v>
      </c>
      <c r="O1356" s="1114" t="s">
        <v>201</v>
      </c>
      <c r="P1356" s="1115" t="s">
        <v>256</v>
      </c>
      <c r="Q1356" s="1116"/>
      <c r="R1356" s="120">
        <v>2.0</v>
      </c>
      <c r="S1356" s="1113">
        <v>5.0</v>
      </c>
      <c r="T1356" s="110">
        <v>0.55</v>
      </c>
      <c r="U1356" s="1108">
        <v>1.0</v>
      </c>
      <c r="V1356" s="1108"/>
      <c r="W1356" s="1108"/>
      <c r="X1356" s="1108"/>
      <c r="Y1356" s="1108"/>
      <c r="Z1356" s="1114" t="s">
        <v>339</v>
      </c>
      <c r="AA1356" s="1114"/>
      <c r="AB1356" s="1114" t="s">
        <v>341</v>
      </c>
      <c r="AC1356" s="1117">
        <v>3.0</v>
      </c>
      <c r="AD1356" s="1115"/>
      <c r="AE1356" s="1115"/>
      <c r="AF1356" s="1115"/>
      <c r="AG1356" s="1115"/>
      <c r="AH1356" s="1115"/>
      <c r="AI1356" s="1115"/>
      <c r="AJ1356" s="1117"/>
      <c r="AK1356" s="1118"/>
      <c r="AL1356" s="1115"/>
      <c r="AM1356" s="1115"/>
      <c r="AN1356" s="1115"/>
      <c r="AO1356" s="1115"/>
      <c r="AP1356" s="1115"/>
      <c r="AQ1356" s="1115"/>
      <c r="AR1356" s="1115"/>
      <c r="AS1356" s="1117"/>
      <c r="AT1356" s="1075" t="s">
        <v>182</v>
      </c>
      <c r="AU1356" s="1078" t="s">
        <v>845</v>
      </c>
      <c r="AV1356" s="330">
        <f>SQRT(($R1356-Infrastructure!J$3)^2+($S1356-Infrastructure!K$3)^2)</f>
        <v>24.01041441</v>
      </c>
      <c r="AW1356" s="331">
        <f>SQRT(($R1356-Infrastructure!J$4)^2+($S1356-Infrastructure!K$4)^2)</f>
        <v>13.00499904</v>
      </c>
      <c r="AX1356" s="331">
        <f>SQRT(($R1356-Infrastructure!J$5)^2+($S1356-Infrastructure!K$5)^2)</f>
        <v>2.302172887</v>
      </c>
      <c r="AY1356" s="331">
        <f>SQRT(($R1356-Infrastructure!J$6)^2+($S1356-Infrastructure!K$6)^2)</f>
        <v>9.364827815</v>
      </c>
      <c r="AZ1356" s="331">
        <f>SQRT(($R1356-Infrastructure!J$7)^2+($S1356-Infrastructure!K$7)^2)</f>
        <v>19.08769237</v>
      </c>
      <c r="BA1356" s="331">
        <f>SQRT(($R1356-Infrastructure!J$8)^2+($S1356-Infrastructure!K$8)^2)</f>
        <v>28.49034924</v>
      </c>
      <c r="BB1356" s="331">
        <f>SQRT(($R1356-Infrastructure!J$9)^2+($S1356-Infrastructure!K$9)^2)</f>
        <v>38.00013158</v>
      </c>
      <c r="BC1356" s="331">
        <f>SQRT(($R1356-Infrastructure!J$10)^2+($S1356-Infrastructure!K$10)^2)</f>
        <v>39.29376541</v>
      </c>
      <c r="BD1356" s="331">
        <f>SQRT(($R1356-Infrastructure!J$11)^2+($S1356-Infrastructure!K$11)^2)</f>
        <v>45.1136343</v>
      </c>
      <c r="BE1356" s="333">
        <f>SQRT(($R1356-Infrastructure!J$12)^2+($S1356-Infrastructure!K$12)^2)</f>
        <v>54.13409277</v>
      </c>
      <c r="BF1356" s="330">
        <f t="shared" si="161"/>
        <v>2.302172887</v>
      </c>
      <c r="BG1356" s="333">
        <f t="shared" si="162"/>
        <v>54.13409277</v>
      </c>
      <c r="BH1356" s="1119"/>
      <c r="BI1356" s="319" t="s">
        <v>846</v>
      </c>
      <c r="BJ1356" s="319" t="s">
        <v>846</v>
      </c>
      <c r="BK1356" s="319" t="s">
        <v>846</v>
      </c>
      <c r="BL1356" s="319" t="s">
        <v>846</v>
      </c>
      <c r="BM1356" s="955"/>
      <c r="BN1356" s="319" t="s">
        <v>846</v>
      </c>
      <c r="BO1356" s="319"/>
      <c r="BP1356" s="953"/>
      <c r="BQ1356" s="319"/>
      <c r="BR1356" s="324" t="s">
        <v>846</v>
      </c>
      <c r="BS1356" s="330">
        <f t="shared" si="169"/>
        <v>2.302172887</v>
      </c>
      <c r="BT1356" s="331">
        <f t="shared" si="170"/>
        <v>54.13409277</v>
      </c>
      <c r="BU1356" s="920"/>
      <c r="BV1356" s="903">
        <f t="shared" si="171"/>
        <v>-0.6274305556</v>
      </c>
      <c r="BW1356" s="907"/>
      <c r="BX1356" s="908"/>
      <c r="BY1356" s="331" t="b">
        <f t="shared" si="166"/>
        <v>0</v>
      </c>
      <c r="BZ1356" s="340"/>
      <c r="CA1356" s="316"/>
      <c r="CB1356" s="318"/>
      <c r="CC1356" s="318"/>
      <c r="CD1356" s="318"/>
      <c r="CE1356" s="318"/>
      <c r="CF1356" s="318"/>
      <c r="CG1356" s="318"/>
      <c r="CH1356" s="318"/>
      <c r="CI1356" s="318"/>
      <c r="CJ1356" s="463"/>
      <c r="CK1356" s="342"/>
      <c r="CL1356" s="333"/>
      <c r="CM1356" s="1079"/>
      <c r="CN1356" s="1005"/>
      <c r="CO1356" s="1005"/>
      <c r="CP1356" s="1005"/>
    </row>
    <row r="1357">
      <c r="B1357" s="1106" t="s">
        <v>2047</v>
      </c>
      <c r="C1357" s="1107">
        <v>44657.0</v>
      </c>
      <c r="D1357" s="103"/>
      <c r="E1357" s="1108">
        <v>13.0</v>
      </c>
      <c r="F1357" s="112" t="s">
        <v>2063</v>
      </c>
      <c r="G1357" s="1109">
        <v>0.6293402777777778</v>
      </c>
      <c r="H1357" s="1110">
        <v>0.6296875</v>
      </c>
      <c r="I1357" s="1110"/>
      <c r="J1357" s="1111"/>
      <c r="K1357" s="1111">
        <v>0.6314236111111111</v>
      </c>
      <c r="L1357" s="1112">
        <v>0.001736111111111111</v>
      </c>
      <c r="M1357" s="1113" t="s">
        <v>166</v>
      </c>
      <c r="N1357" s="110" t="s">
        <v>187</v>
      </c>
      <c r="O1357" s="1114" t="s">
        <v>201</v>
      </c>
      <c r="P1357" s="1115" t="s">
        <v>256</v>
      </c>
      <c r="Q1357" s="1116"/>
      <c r="R1357" s="120">
        <v>2.0</v>
      </c>
      <c r="S1357" s="1113">
        <v>5.0</v>
      </c>
      <c r="T1357" s="110">
        <v>0.55</v>
      </c>
      <c r="U1357" s="1108">
        <v>0.5</v>
      </c>
      <c r="V1357" s="1108"/>
      <c r="W1357" s="1108"/>
      <c r="X1357" s="1108"/>
      <c r="Y1357" s="1108"/>
      <c r="Z1357" s="1114" t="s">
        <v>339</v>
      </c>
      <c r="AA1357" s="1114"/>
      <c r="AB1357" s="1114" t="s">
        <v>341</v>
      </c>
      <c r="AC1357" s="1117">
        <v>3.0</v>
      </c>
      <c r="AD1357" s="1115"/>
      <c r="AE1357" s="1115"/>
      <c r="AF1357" s="1115"/>
      <c r="AG1357" s="1115"/>
      <c r="AH1357" s="1115"/>
      <c r="AI1357" s="1115"/>
      <c r="AJ1357" s="1117"/>
      <c r="AK1357" s="1118"/>
      <c r="AL1357" s="1115"/>
      <c r="AM1357" s="1115"/>
      <c r="AN1357" s="1115"/>
      <c r="AO1357" s="1115"/>
      <c r="AP1357" s="1115"/>
      <c r="AQ1357" s="1115"/>
      <c r="AR1357" s="1115"/>
      <c r="AS1357" s="1117"/>
      <c r="AT1357" s="1075" t="s">
        <v>181</v>
      </c>
      <c r="AU1357" s="1078" t="s">
        <v>845</v>
      </c>
      <c r="AV1357" s="330">
        <f>SQRT(($R1357-Infrastructure!J$3)^2+($S1357-Infrastructure!K$3)^2)</f>
        <v>24.01041441</v>
      </c>
      <c r="AW1357" s="331">
        <f>SQRT(($R1357-Infrastructure!J$4)^2+($S1357-Infrastructure!K$4)^2)</f>
        <v>13.00499904</v>
      </c>
      <c r="AX1357" s="331">
        <f>SQRT(($R1357-Infrastructure!J$5)^2+($S1357-Infrastructure!K$5)^2)</f>
        <v>2.302172887</v>
      </c>
      <c r="AY1357" s="331">
        <f>SQRT(($R1357-Infrastructure!J$6)^2+($S1357-Infrastructure!K$6)^2)</f>
        <v>9.364827815</v>
      </c>
      <c r="AZ1357" s="331">
        <f>SQRT(($R1357-Infrastructure!J$7)^2+($S1357-Infrastructure!K$7)^2)</f>
        <v>19.08769237</v>
      </c>
      <c r="BA1357" s="331">
        <f>SQRT(($R1357-Infrastructure!J$8)^2+($S1357-Infrastructure!K$8)^2)</f>
        <v>28.49034924</v>
      </c>
      <c r="BB1357" s="331">
        <f>SQRT(($R1357-Infrastructure!J$9)^2+($S1357-Infrastructure!K$9)^2)</f>
        <v>38.00013158</v>
      </c>
      <c r="BC1357" s="331">
        <f>SQRT(($R1357-Infrastructure!J$10)^2+($S1357-Infrastructure!K$10)^2)</f>
        <v>39.29376541</v>
      </c>
      <c r="BD1357" s="331">
        <f>SQRT(($R1357-Infrastructure!J$11)^2+($S1357-Infrastructure!K$11)^2)</f>
        <v>45.1136343</v>
      </c>
      <c r="BE1357" s="333">
        <f>SQRT(($R1357-Infrastructure!J$12)^2+($S1357-Infrastructure!K$12)^2)</f>
        <v>54.13409277</v>
      </c>
      <c r="BF1357" s="330">
        <f t="shared" si="161"/>
        <v>2.302172887</v>
      </c>
      <c r="BG1357" s="333">
        <f t="shared" si="162"/>
        <v>54.13409277</v>
      </c>
      <c r="BH1357" s="1119"/>
      <c r="BI1357" s="319" t="s">
        <v>846</v>
      </c>
      <c r="BJ1357" s="319"/>
      <c r="BK1357" s="319" t="s">
        <v>846</v>
      </c>
      <c r="BL1357" s="319" t="s">
        <v>846</v>
      </c>
      <c r="BM1357" s="955"/>
      <c r="BN1357" s="319" t="s">
        <v>846</v>
      </c>
      <c r="BO1357" s="319"/>
      <c r="BP1357" s="953" t="s">
        <v>846</v>
      </c>
      <c r="BQ1357" s="319"/>
      <c r="BR1357" s="324" t="s">
        <v>846</v>
      </c>
      <c r="BS1357" s="330">
        <f t="shared" si="169"/>
        <v>2.302172887</v>
      </c>
      <c r="BT1357" s="331">
        <f t="shared" si="170"/>
        <v>54.13409277</v>
      </c>
      <c r="BU1357" s="920"/>
      <c r="BV1357" s="903">
        <f t="shared" si="171"/>
        <v>-0.6293402778</v>
      </c>
      <c r="BW1357" s="907"/>
      <c r="BX1357" s="908"/>
      <c r="BY1357" s="331" t="b">
        <f t="shared" si="166"/>
        <v>0</v>
      </c>
      <c r="BZ1357" s="340"/>
      <c r="CA1357" s="316"/>
      <c r="CB1357" s="318"/>
      <c r="CC1357" s="318"/>
      <c r="CD1357" s="318"/>
      <c r="CE1357" s="318"/>
      <c r="CF1357" s="318"/>
      <c r="CG1357" s="318"/>
      <c r="CH1357" s="318"/>
      <c r="CI1357" s="318"/>
      <c r="CJ1357" s="463"/>
      <c r="CK1357" s="342"/>
      <c r="CL1357" s="333"/>
      <c r="CM1357" s="1079"/>
      <c r="CN1357" s="1005"/>
      <c r="CO1357" s="1005"/>
      <c r="CP1357" s="1005"/>
    </row>
    <row r="1358">
      <c r="B1358" s="1106" t="s">
        <v>2047</v>
      </c>
      <c r="C1358" s="1107">
        <v>44657.0</v>
      </c>
      <c r="D1358" s="103"/>
      <c r="E1358" s="1108">
        <v>14.0</v>
      </c>
      <c r="F1358" s="110" t="s">
        <v>2064</v>
      </c>
      <c r="G1358" s="1109">
        <v>0.6322916666666667</v>
      </c>
      <c r="H1358" s="1110">
        <v>0.6324652777777777</v>
      </c>
      <c r="I1358" s="1110"/>
      <c r="J1358" s="1111"/>
      <c r="K1358" s="1111">
        <v>0.6333333333333333</v>
      </c>
      <c r="L1358" s="1112">
        <v>8.680555555555555E-4</v>
      </c>
      <c r="M1358" s="1113" t="s">
        <v>166</v>
      </c>
      <c r="N1358" s="110" t="s">
        <v>188</v>
      </c>
      <c r="O1358" s="1114" t="s">
        <v>378</v>
      </c>
      <c r="P1358" s="1115" t="s">
        <v>256</v>
      </c>
      <c r="Q1358" s="1115" t="s">
        <v>842</v>
      </c>
      <c r="R1358" s="120">
        <v>22.7</v>
      </c>
      <c r="S1358" s="1113">
        <v>39.7</v>
      </c>
      <c r="T1358" s="110">
        <v>1.09</v>
      </c>
      <c r="U1358" s="1108">
        <v>5.0</v>
      </c>
      <c r="V1358" s="1108"/>
      <c r="W1358" s="1108"/>
      <c r="X1358" s="1108"/>
      <c r="Y1358" s="1108"/>
      <c r="Z1358" s="1114" t="s">
        <v>1140</v>
      </c>
      <c r="AA1358" s="1114"/>
      <c r="AB1358" s="1114" t="s">
        <v>341</v>
      </c>
      <c r="AC1358" s="1117">
        <v>3.0</v>
      </c>
      <c r="AD1358" s="1115"/>
      <c r="AE1358" s="1115"/>
      <c r="AF1358" s="1115"/>
      <c r="AG1358" s="1115"/>
      <c r="AH1358" s="1115"/>
      <c r="AI1358" s="1115"/>
      <c r="AJ1358" s="1117"/>
      <c r="AK1358" s="1118"/>
      <c r="AL1358" s="1115"/>
      <c r="AM1358" s="1115"/>
      <c r="AN1358" s="1115"/>
      <c r="AO1358" s="1115"/>
      <c r="AP1358" s="1115"/>
      <c r="AQ1358" s="1115"/>
      <c r="AR1358" s="1115"/>
      <c r="AS1358" s="1117"/>
      <c r="AT1358" s="1075" t="s">
        <v>182</v>
      </c>
      <c r="AU1358" s="1078" t="s">
        <v>845</v>
      </c>
      <c r="AV1358" s="330">
        <f>SQRT(($R1358-Infrastructure!J$3)^2+($S1358-Infrastructure!K$3)^2)</f>
        <v>25.40944706</v>
      </c>
      <c r="AW1358" s="331">
        <f>SQRT(($R1358-Infrastructure!J$4)^2+($S1358-Infrastructure!K$4)^2)</f>
        <v>31.75862088</v>
      </c>
      <c r="AX1358" s="331">
        <f>SQRT(($R1358-Infrastructure!J$5)^2+($S1358-Infrastructure!K$5)^2)</f>
        <v>41.54708173</v>
      </c>
      <c r="AY1358" s="331">
        <f>SQRT(($R1358-Infrastructure!J$6)^2+($S1358-Infrastructure!K$6)^2)</f>
        <v>41.36568626</v>
      </c>
      <c r="AZ1358" s="331">
        <f>SQRT(($R1358-Infrastructure!J$7)^2+($S1358-Infrastructure!K$7)^2)</f>
        <v>39.46137352</v>
      </c>
      <c r="BA1358" s="331">
        <f>SQRT(($R1358-Infrastructure!J$8)^2+($S1358-Infrastructure!K$8)^2)</f>
        <v>40.08890121</v>
      </c>
      <c r="BB1358" s="331">
        <f>SQRT(($R1358-Infrastructure!J$9)^2+($S1358-Infrastructure!K$9)^2)</f>
        <v>38.68397601</v>
      </c>
      <c r="BC1358" s="331">
        <f>SQRT(($R1358-Infrastructure!J$10)^2+($S1358-Infrastructure!K$10)^2)</f>
        <v>30.15592811</v>
      </c>
      <c r="BD1358" s="331">
        <f>SQRT(($R1358-Infrastructure!J$11)^2+($S1358-Infrastructure!K$11)^2)</f>
        <v>20.51194774</v>
      </c>
      <c r="BE1358" s="333">
        <f>SQRT(($R1358-Infrastructure!J$12)^2+($S1358-Infrastructure!K$12)^2)</f>
        <v>15.84550409</v>
      </c>
      <c r="BF1358" s="330">
        <f t="shared" si="161"/>
        <v>15.84550409</v>
      </c>
      <c r="BG1358" s="333">
        <f t="shared" si="162"/>
        <v>41.54708173</v>
      </c>
      <c r="BH1358" s="1119"/>
      <c r="BI1358" s="319" t="s">
        <v>846</v>
      </c>
      <c r="BJ1358" s="319" t="s">
        <v>846</v>
      </c>
      <c r="BK1358" s="319" t="s">
        <v>846</v>
      </c>
      <c r="BL1358" s="319" t="s">
        <v>846</v>
      </c>
      <c r="BM1358" s="955"/>
      <c r="BN1358" s="319" t="s">
        <v>846</v>
      </c>
      <c r="BO1358" s="319"/>
      <c r="BP1358" s="953"/>
      <c r="BQ1358" s="319" t="s">
        <v>846</v>
      </c>
      <c r="BR1358" s="324" t="s">
        <v>846</v>
      </c>
      <c r="BS1358" s="330">
        <f t="shared" si="169"/>
        <v>15.84550409</v>
      </c>
      <c r="BT1358" s="331">
        <f t="shared" si="170"/>
        <v>41.54708173</v>
      </c>
      <c r="BU1358" s="920"/>
      <c r="BV1358" s="903">
        <f t="shared" si="171"/>
        <v>-0.6322916667</v>
      </c>
      <c r="BW1358" s="907"/>
      <c r="BX1358" s="908"/>
      <c r="BY1358" s="331" t="b">
        <f t="shared" si="166"/>
        <v>0</v>
      </c>
      <c r="BZ1358" s="340"/>
      <c r="CA1358" s="316"/>
      <c r="CB1358" s="318"/>
      <c r="CC1358" s="318"/>
      <c r="CD1358" s="318"/>
      <c r="CE1358" s="318"/>
      <c r="CF1358" s="318"/>
      <c r="CG1358" s="318"/>
      <c r="CH1358" s="318"/>
      <c r="CI1358" s="318"/>
      <c r="CJ1358" s="463"/>
      <c r="CK1358" s="342"/>
      <c r="CL1358" s="333"/>
      <c r="CM1358" s="1079"/>
      <c r="CN1358" s="1005"/>
      <c r="CO1358" s="1005"/>
      <c r="CP1358" s="1005"/>
    </row>
    <row r="1359">
      <c r="B1359" s="1106" t="s">
        <v>2047</v>
      </c>
      <c r="C1359" s="1107">
        <v>44657.0</v>
      </c>
      <c r="D1359" s="103"/>
      <c r="E1359" s="1108">
        <v>15.0</v>
      </c>
      <c r="F1359" s="110" t="s">
        <v>2065</v>
      </c>
      <c r="G1359" s="1109">
        <v>0.6336805555555556</v>
      </c>
      <c r="H1359" s="1110">
        <v>0.6338541666666667</v>
      </c>
      <c r="I1359" s="1110"/>
      <c r="J1359" s="1111"/>
      <c r="K1359" s="1111">
        <v>0.6381944444444444</v>
      </c>
      <c r="L1359" s="1112">
        <v>0.004340277777777778</v>
      </c>
      <c r="M1359" s="1113" t="s">
        <v>166</v>
      </c>
      <c r="N1359" s="110" t="s">
        <v>188</v>
      </c>
      <c r="O1359" s="1114" t="s">
        <v>378</v>
      </c>
      <c r="P1359" s="1115" t="s">
        <v>256</v>
      </c>
      <c r="Q1359" s="1115" t="s">
        <v>842</v>
      </c>
      <c r="R1359" s="120">
        <v>22.7</v>
      </c>
      <c r="S1359" s="1113">
        <v>39.7</v>
      </c>
      <c r="T1359" s="110">
        <v>1.09</v>
      </c>
      <c r="U1359" s="1108">
        <v>2.5</v>
      </c>
      <c r="V1359" s="1108"/>
      <c r="W1359" s="1108"/>
      <c r="X1359" s="1108"/>
      <c r="Y1359" s="1108"/>
      <c r="Z1359" s="1114" t="s">
        <v>1140</v>
      </c>
      <c r="AA1359" s="1114"/>
      <c r="AB1359" s="1114" t="s">
        <v>341</v>
      </c>
      <c r="AC1359" s="1117">
        <v>3.0</v>
      </c>
      <c r="AD1359" s="1115"/>
      <c r="AE1359" s="1115"/>
      <c r="AF1359" s="1115"/>
      <c r="AG1359" s="1115"/>
      <c r="AH1359" s="1115"/>
      <c r="AI1359" s="1115"/>
      <c r="AJ1359" s="1117"/>
      <c r="AK1359" s="1118"/>
      <c r="AL1359" s="1115"/>
      <c r="AM1359" s="1115"/>
      <c r="AN1359" s="1115"/>
      <c r="AO1359" s="1115"/>
      <c r="AP1359" s="1115"/>
      <c r="AQ1359" s="1115"/>
      <c r="AR1359" s="1115"/>
      <c r="AS1359" s="1117"/>
      <c r="AT1359" s="1075" t="s">
        <v>182</v>
      </c>
      <c r="AU1359" s="1078" t="s">
        <v>845</v>
      </c>
      <c r="AV1359" s="330">
        <f>SQRT(($R1359-Infrastructure!J$3)^2+($S1359-Infrastructure!K$3)^2)</f>
        <v>25.40944706</v>
      </c>
      <c r="AW1359" s="331">
        <f>SQRT(($R1359-Infrastructure!J$4)^2+($S1359-Infrastructure!K$4)^2)</f>
        <v>31.75862088</v>
      </c>
      <c r="AX1359" s="331">
        <f>SQRT(($R1359-Infrastructure!J$5)^2+($S1359-Infrastructure!K$5)^2)</f>
        <v>41.54708173</v>
      </c>
      <c r="AY1359" s="331">
        <f>SQRT(($R1359-Infrastructure!J$6)^2+($S1359-Infrastructure!K$6)^2)</f>
        <v>41.36568626</v>
      </c>
      <c r="AZ1359" s="331">
        <f>SQRT(($R1359-Infrastructure!J$7)^2+($S1359-Infrastructure!K$7)^2)</f>
        <v>39.46137352</v>
      </c>
      <c r="BA1359" s="331">
        <f>SQRT(($R1359-Infrastructure!J$8)^2+($S1359-Infrastructure!K$8)^2)</f>
        <v>40.08890121</v>
      </c>
      <c r="BB1359" s="331">
        <f>SQRT(($R1359-Infrastructure!J$9)^2+($S1359-Infrastructure!K$9)^2)</f>
        <v>38.68397601</v>
      </c>
      <c r="BC1359" s="331">
        <f>SQRT(($R1359-Infrastructure!J$10)^2+($S1359-Infrastructure!K$10)^2)</f>
        <v>30.15592811</v>
      </c>
      <c r="BD1359" s="331">
        <f>SQRT(($R1359-Infrastructure!J$11)^2+($S1359-Infrastructure!K$11)^2)</f>
        <v>20.51194774</v>
      </c>
      <c r="BE1359" s="333">
        <f>SQRT(($R1359-Infrastructure!J$12)^2+($S1359-Infrastructure!K$12)^2)</f>
        <v>15.84550409</v>
      </c>
      <c r="BF1359" s="330">
        <f t="shared" si="161"/>
        <v>15.84550409</v>
      </c>
      <c r="BG1359" s="333">
        <f t="shared" si="162"/>
        <v>41.54708173</v>
      </c>
      <c r="BH1359" s="1119"/>
      <c r="BI1359" s="319" t="s">
        <v>846</v>
      </c>
      <c r="BJ1359" s="319" t="s">
        <v>846</v>
      </c>
      <c r="BK1359" s="319"/>
      <c r="BL1359" s="319"/>
      <c r="BM1359" s="955"/>
      <c r="BN1359" s="319"/>
      <c r="BO1359" s="319"/>
      <c r="BP1359" s="953"/>
      <c r="BQ1359" s="319" t="s">
        <v>846</v>
      </c>
      <c r="BR1359" s="324" t="s">
        <v>846</v>
      </c>
      <c r="BS1359" s="330">
        <f t="shared" si="169"/>
        <v>15.84550409</v>
      </c>
      <c r="BT1359" s="331">
        <f t="shared" si="170"/>
        <v>31.75862088</v>
      </c>
      <c r="BU1359" s="920"/>
      <c r="BV1359" s="903">
        <f t="shared" si="171"/>
        <v>-0.6336805556</v>
      </c>
      <c r="BW1359" s="907"/>
      <c r="BX1359" s="908"/>
      <c r="BY1359" s="331" t="b">
        <f t="shared" si="166"/>
        <v>0</v>
      </c>
      <c r="BZ1359" s="340"/>
      <c r="CA1359" s="316"/>
      <c r="CB1359" s="318"/>
      <c r="CC1359" s="318"/>
      <c r="CD1359" s="318"/>
      <c r="CE1359" s="318"/>
      <c r="CF1359" s="318"/>
      <c r="CG1359" s="318"/>
      <c r="CH1359" s="318"/>
      <c r="CI1359" s="318"/>
      <c r="CJ1359" s="463"/>
      <c r="CK1359" s="342"/>
      <c r="CL1359" s="333"/>
      <c r="CM1359" s="1079"/>
      <c r="CN1359" s="1005"/>
      <c r="CO1359" s="1005"/>
      <c r="CP1359" s="1005"/>
    </row>
    <row r="1360">
      <c r="B1360" s="1106" t="s">
        <v>2047</v>
      </c>
      <c r="C1360" s="1107">
        <v>44657.0</v>
      </c>
      <c r="D1360" s="103"/>
      <c r="E1360" s="1108">
        <v>16.0</v>
      </c>
      <c r="F1360" s="110" t="s">
        <v>2066</v>
      </c>
      <c r="G1360" s="1109">
        <v>0.6385416666666667</v>
      </c>
      <c r="H1360" s="1110">
        <v>0.6387152777777778</v>
      </c>
      <c r="I1360" s="1110"/>
      <c r="J1360" s="1111"/>
      <c r="K1360" s="1111">
        <v>0.6411458333333333</v>
      </c>
      <c r="L1360" s="1112">
        <v>0.0024305555555555556</v>
      </c>
      <c r="M1360" s="1113" t="s">
        <v>166</v>
      </c>
      <c r="N1360" s="110" t="s">
        <v>188</v>
      </c>
      <c r="O1360" s="1114" t="s">
        <v>378</v>
      </c>
      <c r="P1360" s="1115" t="s">
        <v>256</v>
      </c>
      <c r="Q1360" s="1115" t="s">
        <v>842</v>
      </c>
      <c r="R1360" s="120">
        <v>22.7</v>
      </c>
      <c r="S1360" s="1113">
        <v>39.7</v>
      </c>
      <c r="T1360" s="110">
        <v>1.09</v>
      </c>
      <c r="U1360" s="1108">
        <v>1.0</v>
      </c>
      <c r="V1360" s="1108"/>
      <c r="W1360" s="1108"/>
      <c r="X1360" s="1108"/>
      <c r="Y1360" s="1108"/>
      <c r="Z1360" s="1114" t="s">
        <v>1140</v>
      </c>
      <c r="AA1360" s="1114"/>
      <c r="AB1360" s="1114" t="s">
        <v>341</v>
      </c>
      <c r="AC1360" s="1117">
        <v>3.0</v>
      </c>
      <c r="AD1360" s="1115"/>
      <c r="AE1360" s="1115"/>
      <c r="AF1360" s="1115"/>
      <c r="AG1360" s="1115"/>
      <c r="AH1360" s="1115"/>
      <c r="AI1360" s="1115"/>
      <c r="AJ1360" s="1117"/>
      <c r="AK1360" s="1118"/>
      <c r="AL1360" s="1115"/>
      <c r="AM1360" s="1115"/>
      <c r="AN1360" s="1115"/>
      <c r="AO1360" s="1115"/>
      <c r="AP1360" s="1115"/>
      <c r="AQ1360" s="1115"/>
      <c r="AR1360" s="1115"/>
      <c r="AS1360" s="1117"/>
      <c r="AT1360" s="1075" t="s">
        <v>182</v>
      </c>
      <c r="AU1360" s="1078" t="s">
        <v>845</v>
      </c>
      <c r="AV1360" s="330">
        <f>SQRT(($R1360-Infrastructure!J$3)^2+($S1360-Infrastructure!K$3)^2)</f>
        <v>25.40944706</v>
      </c>
      <c r="AW1360" s="331">
        <f>SQRT(($R1360-Infrastructure!J$4)^2+($S1360-Infrastructure!K$4)^2)</f>
        <v>31.75862088</v>
      </c>
      <c r="AX1360" s="331">
        <f>SQRT(($R1360-Infrastructure!J$5)^2+($S1360-Infrastructure!K$5)^2)</f>
        <v>41.54708173</v>
      </c>
      <c r="AY1360" s="331">
        <f>SQRT(($R1360-Infrastructure!J$6)^2+($S1360-Infrastructure!K$6)^2)</f>
        <v>41.36568626</v>
      </c>
      <c r="AZ1360" s="331">
        <f>SQRT(($R1360-Infrastructure!J$7)^2+($S1360-Infrastructure!K$7)^2)</f>
        <v>39.46137352</v>
      </c>
      <c r="BA1360" s="331">
        <f>SQRT(($R1360-Infrastructure!J$8)^2+($S1360-Infrastructure!K$8)^2)</f>
        <v>40.08890121</v>
      </c>
      <c r="BB1360" s="331">
        <f>SQRT(($R1360-Infrastructure!J$9)^2+($S1360-Infrastructure!K$9)^2)</f>
        <v>38.68397601</v>
      </c>
      <c r="BC1360" s="331">
        <f>SQRT(($R1360-Infrastructure!J$10)^2+($S1360-Infrastructure!K$10)^2)</f>
        <v>30.15592811</v>
      </c>
      <c r="BD1360" s="331">
        <f>SQRT(($R1360-Infrastructure!J$11)^2+($S1360-Infrastructure!K$11)^2)</f>
        <v>20.51194774</v>
      </c>
      <c r="BE1360" s="333">
        <f>SQRT(($R1360-Infrastructure!J$12)^2+($S1360-Infrastructure!K$12)^2)</f>
        <v>15.84550409</v>
      </c>
      <c r="BF1360" s="330">
        <f t="shared" si="161"/>
        <v>15.84550409</v>
      </c>
      <c r="BG1360" s="333">
        <f t="shared" si="162"/>
        <v>41.54708173</v>
      </c>
      <c r="BH1360" s="1119"/>
      <c r="BI1360" s="319" t="s">
        <v>846</v>
      </c>
      <c r="BJ1360" s="319" t="s">
        <v>846</v>
      </c>
      <c r="BK1360" s="319"/>
      <c r="BL1360" s="319"/>
      <c r="BM1360" s="955"/>
      <c r="BN1360" s="319"/>
      <c r="BO1360" s="319"/>
      <c r="BP1360" s="953"/>
      <c r="BQ1360" s="319" t="s">
        <v>846</v>
      </c>
      <c r="BR1360" s="324" t="s">
        <v>846</v>
      </c>
      <c r="BS1360" s="330">
        <f t="shared" si="169"/>
        <v>15.84550409</v>
      </c>
      <c r="BT1360" s="331">
        <f t="shared" si="170"/>
        <v>31.75862088</v>
      </c>
      <c r="BU1360" s="920"/>
      <c r="BV1360" s="903">
        <f t="shared" si="171"/>
        <v>-0.6385416667</v>
      </c>
      <c r="BW1360" s="907"/>
      <c r="BX1360" s="908"/>
      <c r="BY1360" s="331" t="b">
        <f t="shared" si="166"/>
        <v>0</v>
      </c>
      <c r="BZ1360" s="340"/>
      <c r="CA1360" s="316"/>
      <c r="CB1360" s="318"/>
      <c r="CC1360" s="318"/>
      <c r="CD1360" s="318"/>
      <c r="CE1360" s="318"/>
      <c r="CF1360" s="318"/>
      <c r="CG1360" s="318"/>
      <c r="CH1360" s="318"/>
      <c r="CI1360" s="318"/>
      <c r="CJ1360" s="463"/>
      <c r="CK1360" s="342"/>
      <c r="CL1360" s="333"/>
      <c r="CM1360" s="1079"/>
      <c r="CN1360" s="1005"/>
      <c r="CO1360" s="1005"/>
      <c r="CP1360" s="1005"/>
    </row>
    <row r="1361">
      <c r="B1361" s="1106" t="s">
        <v>2047</v>
      </c>
      <c r="C1361" s="1107">
        <v>44657.0</v>
      </c>
      <c r="D1361" s="103"/>
      <c r="E1361" s="1137"/>
      <c r="F1361" s="112" t="s">
        <v>2067</v>
      </c>
      <c r="G1361" s="1109">
        <v>0.6439236111111111</v>
      </c>
      <c r="H1361" s="1138"/>
      <c r="I1361" s="1138"/>
      <c r="J1361" s="1139"/>
      <c r="K1361" s="1111">
        <v>0.6440972222222222</v>
      </c>
      <c r="L1361" s="1112">
        <v>1.7361111111111112E-4</v>
      </c>
      <c r="M1361" s="1113" t="s">
        <v>166</v>
      </c>
      <c r="N1361" s="110" t="s">
        <v>188</v>
      </c>
      <c r="O1361" s="1140"/>
      <c r="P1361" s="1115" t="s">
        <v>292</v>
      </c>
      <c r="Q1361" s="1116"/>
      <c r="R1361" s="1141"/>
      <c r="S1361" s="1142"/>
      <c r="T1361" s="1143"/>
      <c r="U1361" s="1137"/>
      <c r="V1361" s="1137"/>
      <c r="W1361" s="1137"/>
      <c r="X1361" s="1137"/>
      <c r="Y1361" s="1137"/>
      <c r="Z1361" s="1114" t="s">
        <v>323</v>
      </c>
      <c r="AA1361" s="1114"/>
      <c r="AB1361" s="1114" t="s">
        <v>323</v>
      </c>
      <c r="AC1361" s="1117" t="s">
        <v>323</v>
      </c>
      <c r="AD1361" s="1115"/>
      <c r="AE1361" s="1115"/>
      <c r="AF1361" s="1115"/>
      <c r="AG1361" s="1115"/>
      <c r="AH1361" s="1115"/>
      <c r="AI1361" s="1115"/>
      <c r="AJ1361" s="1117"/>
      <c r="AK1361" s="1118"/>
      <c r="AL1361" s="1115"/>
      <c r="AM1361" s="1115"/>
      <c r="AN1361" s="1115"/>
      <c r="AO1361" s="1115"/>
      <c r="AP1361" s="1115"/>
      <c r="AQ1361" s="1115"/>
      <c r="AR1361" s="1115"/>
      <c r="AS1361" s="1117"/>
      <c r="AT1361" s="1075"/>
      <c r="AU1361" s="1078"/>
      <c r="AV1361" s="330">
        <f>SQRT(($R1361-Infrastructure!J$3)^2+($S1361-Infrastructure!K$3)^2)</f>
        <v>28.90155705</v>
      </c>
      <c r="AW1361" s="331">
        <f>SQRT(($R1361-Infrastructure!J$4)^2+($S1361-Infrastructure!K$4)^2)</f>
        <v>17.80252791</v>
      </c>
      <c r="AX1361" s="331">
        <f>SQRT(($R1361-Infrastructure!J$5)^2+($S1361-Infrastructure!K$5)^2)</f>
        <v>5.10881591</v>
      </c>
      <c r="AY1361" s="331">
        <f>SQRT(($R1361-Infrastructure!J$6)^2+($S1361-Infrastructure!K$6)^2)</f>
        <v>10.10445446</v>
      </c>
      <c r="AZ1361" s="331">
        <f>SQRT(($R1361-Infrastructure!J$7)^2+($S1361-Infrastructure!K$7)^2)</f>
        <v>20.502195</v>
      </c>
      <c r="BA1361" s="331">
        <f>SQRT(($R1361-Infrastructure!J$8)^2+($S1361-Infrastructure!K$8)^2)</f>
        <v>30.10149498</v>
      </c>
      <c r="BB1361" s="331">
        <f>SQRT(($R1361-Infrastructure!J$9)^2+($S1361-Infrastructure!K$9)^2)</f>
        <v>40.3238143</v>
      </c>
      <c r="BC1361" s="331">
        <f>SQRT(($R1361-Infrastructure!J$10)^2+($S1361-Infrastructure!K$10)^2)</f>
        <v>42.72001873</v>
      </c>
      <c r="BD1361" s="331">
        <f>SQRT(($R1361-Infrastructure!J$11)^2+($S1361-Infrastructure!K$11)^2)</f>
        <v>49.56853841</v>
      </c>
      <c r="BE1361" s="333">
        <f>SQRT(($R1361-Infrastructure!J$12)^2+($S1361-Infrastructure!K$12)^2)</f>
        <v>59.51890456</v>
      </c>
      <c r="BF1361" s="330">
        <f t="shared" si="161"/>
        <v>5.10881591</v>
      </c>
      <c r="BG1361" s="333">
        <f t="shared" si="162"/>
        <v>59.51890456</v>
      </c>
      <c r="BH1361" s="1119"/>
      <c r="BI1361" s="319"/>
      <c r="BJ1361" s="319"/>
      <c r="BK1361" s="319"/>
      <c r="BL1361" s="319"/>
      <c r="BM1361" s="955"/>
      <c r="BN1361" s="319"/>
      <c r="BO1361" s="319"/>
      <c r="BP1361" s="953"/>
      <c r="BQ1361" s="319"/>
      <c r="BR1361" s="324"/>
      <c r="BS1361" s="330">
        <f t="shared" si="169"/>
        <v>0</v>
      </c>
      <c r="BT1361" s="331">
        <f t="shared" si="170"/>
        <v>0</v>
      </c>
      <c r="BU1361" s="920"/>
      <c r="BV1361" s="903">
        <f t="shared" si="171"/>
        <v>-0.6439236111</v>
      </c>
      <c r="BW1361" s="907"/>
      <c r="BX1361" s="908"/>
      <c r="BY1361" s="331" t="b">
        <f t="shared" si="166"/>
        <v>0</v>
      </c>
      <c r="BZ1361" s="340"/>
      <c r="CA1361" s="316"/>
      <c r="CB1361" s="318"/>
      <c r="CC1361" s="318"/>
      <c r="CD1361" s="318"/>
      <c r="CE1361" s="318"/>
      <c r="CF1361" s="318"/>
      <c r="CG1361" s="318"/>
      <c r="CH1361" s="318"/>
      <c r="CI1361" s="318"/>
      <c r="CJ1361" s="463"/>
      <c r="CK1361" s="342"/>
      <c r="CL1361" s="333"/>
      <c r="CM1361" s="1079"/>
      <c r="CN1361" s="1005"/>
      <c r="CO1361" s="1005"/>
      <c r="CP1361" s="1005"/>
    </row>
    <row r="1362">
      <c r="A1362" s="634"/>
      <c r="B1362" s="1121" t="s">
        <v>2047</v>
      </c>
      <c r="C1362" s="1122">
        <v>44657.0</v>
      </c>
      <c r="D1362" s="1123"/>
      <c r="E1362" s="1144"/>
      <c r="F1362" s="108" t="s">
        <v>2067</v>
      </c>
      <c r="G1362" s="1125">
        <v>0.6461805555555555</v>
      </c>
      <c r="H1362" s="1145"/>
      <c r="I1362" s="1145"/>
      <c r="J1362" s="1146"/>
      <c r="K1362" s="1127">
        <v>0.6486111111111111</v>
      </c>
      <c r="L1362" s="1128">
        <v>0.0024305555555555556</v>
      </c>
      <c r="M1362" s="1129" t="s">
        <v>358</v>
      </c>
      <c r="N1362" s="100" t="s">
        <v>188</v>
      </c>
      <c r="O1362" s="1161"/>
      <c r="P1362" s="1131" t="s">
        <v>294</v>
      </c>
      <c r="Q1362" s="1132"/>
      <c r="R1362" s="1148"/>
      <c r="S1362" s="1149"/>
      <c r="T1362" s="1150"/>
      <c r="U1362" s="1144"/>
      <c r="V1362" s="1144"/>
      <c r="W1362" s="1144"/>
      <c r="X1362" s="1144"/>
      <c r="Y1362" s="1144"/>
      <c r="Z1362" s="1130" t="s">
        <v>323</v>
      </c>
      <c r="AA1362" s="1130"/>
      <c r="AB1362" s="1130" t="s">
        <v>323</v>
      </c>
      <c r="AC1362" s="1133" t="s">
        <v>323</v>
      </c>
      <c r="AD1362" s="1131"/>
      <c r="AE1362" s="1131"/>
      <c r="AF1362" s="1131"/>
      <c r="AG1362" s="1131"/>
      <c r="AH1362" s="1131"/>
      <c r="AI1362" s="1131"/>
      <c r="AJ1362" s="1133"/>
      <c r="AK1362" s="1134"/>
      <c r="AL1362" s="1131"/>
      <c r="AM1362" s="1131"/>
      <c r="AN1362" s="1131"/>
      <c r="AO1362" s="1131"/>
      <c r="AP1362" s="1131"/>
      <c r="AQ1362" s="1131"/>
      <c r="AR1362" s="1131"/>
      <c r="AS1362" s="1133"/>
      <c r="AT1362" s="1088"/>
      <c r="AU1362" s="1089"/>
      <c r="AV1362" s="330">
        <f>SQRT(($R1362-Infrastructure!J$3)^2+($S1362-Infrastructure!K$3)^2)</f>
        <v>28.90155705</v>
      </c>
      <c r="AW1362" s="331">
        <f>SQRT(($R1362-Infrastructure!J$4)^2+($S1362-Infrastructure!K$4)^2)</f>
        <v>17.80252791</v>
      </c>
      <c r="AX1362" s="331">
        <f>SQRT(($R1362-Infrastructure!J$5)^2+($S1362-Infrastructure!K$5)^2)</f>
        <v>5.10881591</v>
      </c>
      <c r="AY1362" s="331">
        <f>SQRT(($R1362-Infrastructure!J$6)^2+($S1362-Infrastructure!K$6)^2)</f>
        <v>10.10445446</v>
      </c>
      <c r="AZ1362" s="331">
        <f>SQRT(($R1362-Infrastructure!J$7)^2+($S1362-Infrastructure!K$7)^2)</f>
        <v>20.502195</v>
      </c>
      <c r="BA1362" s="331">
        <f>SQRT(($R1362-Infrastructure!J$8)^2+($S1362-Infrastructure!K$8)^2)</f>
        <v>30.10149498</v>
      </c>
      <c r="BB1362" s="331">
        <f>SQRT(($R1362-Infrastructure!J$9)^2+($S1362-Infrastructure!K$9)^2)</f>
        <v>40.3238143</v>
      </c>
      <c r="BC1362" s="331">
        <f>SQRT(($R1362-Infrastructure!J$10)^2+($S1362-Infrastructure!K$10)^2)</f>
        <v>42.72001873</v>
      </c>
      <c r="BD1362" s="331">
        <f>SQRT(($R1362-Infrastructure!J$11)^2+($S1362-Infrastructure!K$11)^2)</f>
        <v>49.56853841</v>
      </c>
      <c r="BE1362" s="333">
        <f>SQRT(($R1362-Infrastructure!J$12)^2+($S1362-Infrastructure!K$12)^2)</f>
        <v>59.51890456</v>
      </c>
      <c r="BF1362" s="330">
        <f t="shared" si="161"/>
        <v>5.10881591</v>
      </c>
      <c r="BG1362" s="333">
        <f t="shared" si="162"/>
        <v>59.51890456</v>
      </c>
      <c r="BH1362" s="1135"/>
      <c r="BI1362" s="663"/>
      <c r="BJ1362" s="663"/>
      <c r="BK1362" s="663"/>
      <c r="BL1362" s="663"/>
      <c r="BM1362" s="957"/>
      <c r="BN1362" s="663"/>
      <c r="BO1362" s="663"/>
      <c r="BP1362" s="958"/>
      <c r="BQ1362" s="663"/>
      <c r="BR1362" s="637"/>
      <c r="BS1362" s="330">
        <f t="shared" si="169"/>
        <v>0</v>
      </c>
      <c r="BT1362" s="331">
        <f t="shared" si="170"/>
        <v>0</v>
      </c>
      <c r="BU1362" s="920"/>
      <c r="BV1362" s="903">
        <f t="shared" si="171"/>
        <v>-0.6461805556</v>
      </c>
      <c r="BW1362" s="938"/>
      <c r="BX1362" s="939"/>
      <c r="BY1362" s="331" t="b">
        <f t="shared" si="166"/>
        <v>0</v>
      </c>
      <c r="BZ1362" s="742"/>
      <c r="CA1362" s="639"/>
      <c r="CB1362" s="640"/>
      <c r="CC1362" s="640"/>
      <c r="CD1362" s="640"/>
      <c r="CE1362" s="640"/>
      <c r="CF1362" s="640"/>
      <c r="CG1362" s="640"/>
      <c r="CH1362" s="640"/>
      <c r="CI1362" s="640"/>
      <c r="CJ1362" s="785"/>
      <c r="CK1362" s="743"/>
      <c r="CL1362" s="642"/>
      <c r="CM1362" s="1090"/>
      <c r="CN1362" s="1005"/>
      <c r="CO1362" s="1005"/>
      <c r="CP1362" s="1005"/>
    </row>
    <row r="1363">
      <c r="A1363" s="1162" t="s">
        <v>71</v>
      </c>
      <c r="B1363" s="1106" t="s">
        <v>1452</v>
      </c>
      <c r="C1363" s="1107">
        <v>44663.0</v>
      </c>
      <c r="D1363" s="103"/>
      <c r="E1363" s="1108">
        <v>1.0</v>
      </c>
      <c r="F1363" s="110" t="s">
        <v>2068</v>
      </c>
      <c r="G1363" s="1109">
        <v>0.475</v>
      </c>
      <c r="H1363" s="1110">
        <v>0.4753472222222222</v>
      </c>
      <c r="I1363" s="1110"/>
      <c r="J1363" s="1111"/>
      <c r="K1363" s="1111">
        <v>0.4769097222222222</v>
      </c>
      <c r="L1363" s="1112">
        <v>0.0015625</v>
      </c>
      <c r="M1363" s="1113" t="s">
        <v>168</v>
      </c>
      <c r="N1363" s="110" t="s">
        <v>187</v>
      </c>
      <c r="O1363" s="1114" t="s">
        <v>201</v>
      </c>
      <c r="P1363" s="1115" t="s">
        <v>256</v>
      </c>
      <c r="Q1363" s="1115" t="s">
        <v>842</v>
      </c>
      <c r="R1363" s="120">
        <v>2.0</v>
      </c>
      <c r="S1363" s="1113">
        <v>5.0</v>
      </c>
      <c r="T1363" s="110">
        <v>0.65</v>
      </c>
      <c r="U1363" s="1108">
        <v>5.0</v>
      </c>
      <c r="V1363" s="1108"/>
      <c r="W1363" s="1108"/>
      <c r="X1363" s="1108"/>
      <c r="Y1363" s="1108"/>
      <c r="Z1363" s="1114" t="s">
        <v>339</v>
      </c>
      <c r="AA1363" s="1114"/>
      <c r="AB1363" s="1114" t="s">
        <v>341</v>
      </c>
      <c r="AC1363" s="1117">
        <v>3.0</v>
      </c>
      <c r="AD1363" s="1115"/>
      <c r="AE1363" s="1115"/>
      <c r="AF1363" s="1115"/>
      <c r="AG1363" s="1115"/>
      <c r="AH1363" s="1115"/>
      <c r="AI1363" s="1115"/>
      <c r="AJ1363" s="1117"/>
      <c r="AK1363" s="1118"/>
      <c r="AL1363" s="1115"/>
      <c r="AM1363" s="1115"/>
      <c r="AN1363" s="1115"/>
      <c r="AO1363" s="1115"/>
      <c r="AP1363" s="1115"/>
      <c r="AQ1363" s="1115"/>
      <c r="AR1363" s="1115"/>
      <c r="AS1363" s="1117"/>
      <c r="AT1363" s="1075" t="s">
        <v>182</v>
      </c>
      <c r="AU1363" s="1078" t="s">
        <v>845</v>
      </c>
      <c r="AV1363" s="330">
        <f>SQRT(($R1363-Infrastructure!J$3)^2+($S1363-Infrastructure!K$3)^2)</f>
        <v>24.01041441</v>
      </c>
      <c r="AW1363" s="331">
        <f>SQRT(($R1363-Infrastructure!J$4)^2+($S1363-Infrastructure!K$4)^2)</f>
        <v>13.00499904</v>
      </c>
      <c r="AX1363" s="331">
        <f>SQRT(($R1363-Infrastructure!J$5)^2+($S1363-Infrastructure!K$5)^2)</f>
        <v>2.302172887</v>
      </c>
      <c r="AY1363" s="331">
        <f>SQRT(($R1363-Infrastructure!J$6)^2+($S1363-Infrastructure!K$6)^2)</f>
        <v>9.364827815</v>
      </c>
      <c r="AZ1363" s="331">
        <f>SQRT(($R1363-Infrastructure!J$7)^2+($S1363-Infrastructure!K$7)^2)</f>
        <v>19.08769237</v>
      </c>
      <c r="BA1363" s="331">
        <f>SQRT(($R1363-Infrastructure!J$8)^2+($S1363-Infrastructure!K$8)^2)</f>
        <v>28.49034924</v>
      </c>
      <c r="BB1363" s="331">
        <f>SQRT(($R1363-Infrastructure!J$9)^2+($S1363-Infrastructure!K$9)^2)</f>
        <v>38.00013158</v>
      </c>
      <c r="BC1363" s="331">
        <f>SQRT(($R1363-Infrastructure!J$10)^2+($S1363-Infrastructure!K$10)^2)</f>
        <v>39.29376541</v>
      </c>
      <c r="BD1363" s="331">
        <f>SQRT(($R1363-Infrastructure!J$11)^2+($S1363-Infrastructure!K$11)^2)</f>
        <v>45.1136343</v>
      </c>
      <c r="BE1363" s="333">
        <f>SQRT(($R1363-Infrastructure!J$12)^2+($S1363-Infrastructure!K$12)^2)</f>
        <v>54.13409277</v>
      </c>
      <c r="BF1363" s="330">
        <f t="shared" si="161"/>
        <v>2.302172887</v>
      </c>
      <c r="BG1363" s="333">
        <f t="shared" si="162"/>
        <v>54.13409277</v>
      </c>
      <c r="BH1363" s="1119"/>
      <c r="BI1363" s="319" t="s">
        <v>846</v>
      </c>
      <c r="BJ1363" s="319" t="s">
        <v>846</v>
      </c>
      <c r="BK1363" s="319" t="s">
        <v>846</v>
      </c>
      <c r="BL1363" s="319" t="s">
        <v>846</v>
      </c>
      <c r="BM1363" s="955"/>
      <c r="BN1363" s="319" t="s">
        <v>846</v>
      </c>
      <c r="BO1363" s="319"/>
      <c r="BP1363" s="953"/>
      <c r="BQ1363" s="319"/>
      <c r="BR1363" s="324" t="s">
        <v>846</v>
      </c>
      <c r="BS1363" s="330">
        <f t="shared" si="169"/>
        <v>2.302172887</v>
      </c>
      <c r="BT1363" s="331">
        <f t="shared" si="170"/>
        <v>54.13409277</v>
      </c>
      <c r="BU1363" s="920"/>
      <c r="BV1363" s="903">
        <f t="shared" si="171"/>
        <v>-0.475</v>
      </c>
      <c r="BW1363" s="907"/>
      <c r="BX1363" s="908"/>
      <c r="BY1363" s="331" t="b">
        <f t="shared" si="166"/>
        <v>0</v>
      </c>
      <c r="BZ1363" s="340"/>
      <c r="CA1363" s="316"/>
      <c r="CB1363" s="318"/>
      <c r="CC1363" s="318"/>
      <c r="CD1363" s="318"/>
      <c r="CE1363" s="318"/>
      <c r="CF1363" s="318"/>
      <c r="CG1363" s="318"/>
      <c r="CH1363" s="318"/>
      <c r="CI1363" s="318"/>
      <c r="CJ1363" s="463"/>
      <c r="CK1363" s="342"/>
      <c r="CL1363" s="333"/>
      <c r="CM1363" s="1079"/>
      <c r="CN1363" s="1005"/>
      <c r="CO1363" s="1005"/>
      <c r="CP1363" s="1005"/>
    </row>
    <row r="1364">
      <c r="B1364" s="1106" t="s">
        <v>1452</v>
      </c>
      <c r="C1364" s="1107">
        <v>44663.0</v>
      </c>
      <c r="D1364" s="103"/>
      <c r="E1364" s="1108">
        <v>2.0</v>
      </c>
      <c r="F1364" s="110" t="s">
        <v>2069</v>
      </c>
      <c r="G1364" s="1109">
        <v>0.6444444444444445</v>
      </c>
      <c r="H1364" s="1110">
        <v>0.6447916666666667</v>
      </c>
      <c r="I1364" s="1110"/>
      <c r="J1364" s="1111"/>
      <c r="K1364" s="1111">
        <v>0.646238425925926</v>
      </c>
      <c r="L1364" s="1112">
        <v>0.0014467592592592592</v>
      </c>
      <c r="M1364" s="1113" t="s">
        <v>168</v>
      </c>
      <c r="N1364" s="110" t="s">
        <v>187</v>
      </c>
      <c r="O1364" s="1114" t="s">
        <v>201</v>
      </c>
      <c r="P1364" s="1115" t="s">
        <v>256</v>
      </c>
      <c r="Q1364" s="1115" t="s">
        <v>842</v>
      </c>
      <c r="R1364" s="120">
        <v>2.0</v>
      </c>
      <c r="S1364" s="1113">
        <v>5.0</v>
      </c>
      <c r="T1364" s="110">
        <v>0.65</v>
      </c>
      <c r="U1364" s="1108">
        <v>5.0</v>
      </c>
      <c r="V1364" s="1108"/>
      <c r="W1364" s="1108"/>
      <c r="X1364" s="1108"/>
      <c r="Y1364" s="1108"/>
      <c r="Z1364" s="1114" t="s">
        <v>339</v>
      </c>
      <c r="AA1364" s="1114"/>
      <c r="AB1364" s="1114" t="s">
        <v>341</v>
      </c>
      <c r="AC1364" s="1117">
        <v>3.0</v>
      </c>
      <c r="AD1364" s="1115"/>
      <c r="AE1364" s="1115"/>
      <c r="AF1364" s="1115"/>
      <c r="AG1364" s="1115"/>
      <c r="AH1364" s="1115"/>
      <c r="AI1364" s="1115"/>
      <c r="AJ1364" s="1117"/>
      <c r="AK1364" s="1118"/>
      <c r="AL1364" s="1115"/>
      <c r="AM1364" s="1115"/>
      <c r="AN1364" s="1115"/>
      <c r="AO1364" s="1115"/>
      <c r="AP1364" s="1115"/>
      <c r="AQ1364" s="1115"/>
      <c r="AR1364" s="1115"/>
      <c r="AS1364" s="1117"/>
      <c r="AT1364" s="1075" t="s">
        <v>182</v>
      </c>
      <c r="AU1364" s="1078" t="s">
        <v>845</v>
      </c>
      <c r="AV1364" s="330">
        <f>SQRT(($R1364-Infrastructure!J$3)^2+($S1364-Infrastructure!K$3)^2)</f>
        <v>24.01041441</v>
      </c>
      <c r="AW1364" s="331">
        <f>SQRT(($R1364-Infrastructure!J$4)^2+($S1364-Infrastructure!K$4)^2)</f>
        <v>13.00499904</v>
      </c>
      <c r="AX1364" s="331">
        <f>SQRT(($R1364-Infrastructure!J$5)^2+($S1364-Infrastructure!K$5)^2)</f>
        <v>2.302172887</v>
      </c>
      <c r="AY1364" s="331">
        <f>SQRT(($R1364-Infrastructure!J$6)^2+($S1364-Infrastructure!K$6)^2)</f>
        <v>9.364827815</v>
      </c>
      <c r="AZ1364" s="331">
        <f>SQRT(($R1364-Infrastructure!J$7)^2+($S1364-Infrastructure!K$7)^2)</f>
        <v>19.08769237</v>
      </c>
      <c r="BA1364" s="331">
        <f>SQRT(($R1364-Infrastructure!J$8)^2+($S1364-Infrastructure!K$8)^2)</f>
        <v>28.49034924</v>
      </c>
      <c r="BB1364" s="331">
        <f>SQRT(($R1364-Infrastructure!J$9)^2+($S1364-Infrastructure!K$9)^2)</f>
        <v>38.00013158</v>
      </c>
      <c r="BC1364" s="331">
        <f>SQRT(($R1364-Infrastructure!J$10)^2+($S1364-Infrastructure!K$10)^2)</f>
        <v>39.29376541</v>
      </c>
      <c r="BD1364" s="331">
        <f>SQRT(($R1364-Infrastructure!J$11)^2+($S1364-Infrastructure!K$11)^2)</f>
        <v>45.1136343</v>
      </c>
      <c r="BE1364" s="333">
        <f>SQRT(($R1364-Infrastructure!J$12)^2+($S1364-Infrastructure!K$12)^2)</f>
        <v>54.13409277</v>
      </c>
      <c r="BF1364" s="330">
        <f t="shared" si="161"/>
        <v>2.302172887</v>
      </c>
      <c r="BG1364" s="333">
        <f t="shared" si="162"/>
        <v>54.13409277</v>
      </c>
      <c r="BH1364" s="1119"/>
      <c r="BI1364" s="319" t="s">
        <v>846</v>
      </c>
      <c r="BJ1364" s="319" t="s">
        <v>846</v>
      </c>
      <c r="BK1364" s="319" t="s">
        <v>846</v>
      </c>
      <c r="BL1364" s="319" t="s">
        <v>846</v>
      </c>
      <c r="BM1364" s="955"/>
      <c r="BN1364" s="319" t="s">
        <v>846</v>
      </c>
      <c r="BO1364" s="319"/>
      <c r="BP1364" s="953"/>
      <c r="BQ1364" s="319"/>
      <c r="BR1364" s="324" t="s">
        <v>846</v>
      </c>
      <c r="BS1364" s="330">
        <f t="shared" si="169"/>
        <v>2.302172887</v>
      </c>
      <c r="BT1364" s="331">
        <f t="shared" si="170"/>
        <v>54.13409277</v>
      </c>
      <c r="BU1364" s="920"/>
      <c r="BV1364" s="903">
        <f t="shared" si="171"/>
        <v>-0.6444444444</v>
      </c>
      <c r="BW1364" s="907"/>
      <c r="BX1364" s="908"/>
      <c r="BY1364" s="331" t="b">
        <f t="shared" si="166"/>
        <v>0</v>
      </c>
      <c r="BZ1364" s="340"/>
      <c r="CA1364" s="316"/>
      <c r="CB1364" s="318"/>
      <c r="CC1364" s="318"/>
      <c r="CD1364" s="318"/>
      <c r="CE1364" s="318"/>
      <c r="CF1364" s="318"/>
      <c r="CG1364" s="318"/>
      <c r="CH1364" s="318"/>
      <c r="CI1364" s="318"/>
      <c r="CJ1364" s="463"/>
      <c r="CK1364" s="342"/>
      <c r="CL1364" s="333"/>
      <c r="CM1364" s="1079"/>
      <c r="CN1364" s="1005"/>
      <c r="CO1364" s="1005"/>
      <c r="CP1364" s="1005"/>
    </row>
    <row r="1365">
      <c r="B1365" s="1106" t="s">
        <v>1452</v>
      </c>
      <c r="C1365" s="1107">
        <v>44663.0</v>
      </c>
      <c r="D1365" s="103"/>
      <c r="E1365" s="1108">
        <v>3.0</v>
      </c>
      <c r="F1365" s="110" t="s">
        <v>2070</v>
      </c>
      <c r="G1365" s="1109">
        <v>0.6788194444444444</v>
      </c>
      <c r="H1365" s="1110">
        <v>0.6789930555555556</v>
      </c>
      <c r="I1365" s="1110"/>
      <c r="J1365" s="1111"/>
      <c r="K1365" s="1111">
        <v>0.6800347222222223</v>
      </c>
      <c r="L1365" s="1112">
        <v>0.0010416666666666667</v>
      </c>
      <c r="M1365" s="1113" t="s">
        <v>168</v>
      </c>
      <c r="N1365" s="110" t="s">
        <v>187</v>
      </c>
      <c r="O1365" s="1114" t="s">
        <v>201</v>
      </c>
      <c r="P1365" s="1115" t="s">
        <v>256</v>
      </c>
      <c r="Q1365" s="1115" t="s">
        <v>842</v>
      </c>
      <c r="R1365" s="120">
        <v>2.0</v>
      </c>
      <c r="S1365" s="1113">
        <v>5.0</v>
      </c>
      <c r="T1365" s="110">
        <v>0.65</v>
      </c>
      <c r="U1365" s="1108">
        <v>5.0</v>
      </c>
      <c r="V1365" s="1108"/>
      <c r="W1365" s="1108"/>
      <c r="X1365" s="1108"/>
      <c r="Y1365" s="1108"/>
      <c r="Z1365" s="1114" t="s">
        <v>339</v>
      </c>
      <c r="AA1365" s="1114"/>
      <c r="AB1365" s="1114" t="s">
        <v>341</v>
      </c>
      <c r="AC1365" s="1117">
        <v>3.0</v>
      </c>
      <c r="AD1365" s="1115"/>
      <c r="AE1365" s="1115"/>
      <c r="AF1365" s="1115"/>
      <c r="AG1365" s="1115"/>
      <c r="AH1365" s="1115"/>
      <c r="AI1365" s="1115"/>
      <c r="AJ1365" s="1117"/>
      <c r="AK1365" s="1118"/>
      <c r="AL1365" s="1115"/>
      <c r="AM1365" s="1115"/>
      <c r="AN1365" s="1115"/>
      <c r="AO1365" s="1115"/>
      <c r="AP1365" s="1115"/>
      <c r="AQ1365" s="1115"/>
      <c r="AR1365" s="1115"/>
      <c r="AS1365" s="1117"/>
      <c r="AT1365" s="1075" t="s">
        <v>182</v>
      </c>
      <c r="AU1365" s="1078" t="s">
        <v>845</v>
      </c>
      <c r="AV1365" s="330">
        <f>SQRT(($R1365-Infrastructure!J$3)^2+($S1365-Infrastructure!K$3)^2)</f>
        <v>24.01041441</v>
      </c>
      <c r="AW1365" s="331">
        <f>SQRT(($R1365-Infrastructure!J$4)^2+($S1365-Infrastructure!K$4)^2)</f>
        <v>13.00499904</v>
      </c>
      <c r="AX1365" s="331">
        <f>SQRT(($R1365-Infrastructure!J$5)^2+($S1365-Infrastructure!K$5)^2)</f>
        <v>2.302172887</v>
      </c>
      <c r="AY1365" s="331">
        <f>SQRT(($R1365-Infrastructure!J$6)^2+($S1365-Infrastructure!K$6)^2)</f>
        <v>9.364827815</v>
      </c>
      <c r="AZ1365" s="331">
        <f>SQRT(($R1365-Infrastructure!J$7)^2+($S1365-Infrastructure!K$7)^2)</f>
        <v>19.08769237</v>
      </c>
      <c r="BA1365" s="331">
        <f>SQRT(($R1365-Infrastructure!J$8)^2+($S1365-Infrastructure!K$8)^2)</f>
        <v>28.49034924</v>
      </c>
      <c r="BB1365" s="331">
        <f>SQRT(($R1365-Infrastructure!J$9)^2+($S1365-Infrastructure!K$9)^2)</f>
        <v>38.00013158</v>
      </c>
      <c r="BC1365" s="331">
        <f>SQRT(($R1365-Infrastructure!J$10)^2+($S1365-Infrastructure!K$10)^2)</f>
        <v>39.29376541</v>
      </c>
      <c r="BD1365" s="331">
        <f>SQRT(($R1365-Infrastructure!J$11)^2+($S1365-Infrastructure!K$11)^2)</f>
        <v>45.1136343</v>
      </c>
      <c r="BE1365" s="333">
        <f>SQRT(($R1365-Infrastructure!J$12)^2+($S1365-Infrastructure!K$12)^2)</f>
        <v>54.13409277</v>
      </c>
      <c r="BF1365" s="330">
        <f t="shared" si="161"/>
        <v>2.302172887</v>
      </c>
      <c r="BG1365" s="333">
        <f t="shared" si="162"/>
        <v>54.13409277</v>
      </c>
      <c r="BH1365" s="1119"/>
      <c r="BI1365" s="319" t="s">
        <v>846</v>
      </c>
      <c r="BJ1365" s="319" t="s">
        <v>846</v>
      </c>
      <c r="BK1365" s="319" t="s">
        <v>846</v>
      </c>
      <c r="BL1365" s="319" t="s">
        <v>846</v>
      </c>
      <c r="BM1365" s="955"/>
      <c r="BN1365" s="319" t="s">
        <v>846</v>
      </c>
      <c r="BO1365" s="319"/>
      <c r="BP1365" s="953"/>
      <c r="BQ1365" s="319"/>
      <c r="BR1365" s="324" t="s">
        <v>846</v>
      </c>
      <c r="BS1365" s="330">
        <f t="shared" si="169"/>
        <v>2.302172887</v>
      </c>
      <c r="BT1365" s="331">
        <f t="shared" si="170"/>
        <v>54.13409277</v>
      </c>
      <c r="BU1365" s="920"/>
      <c r="BV1365" s="903">
        <f t="shared" si="171"/>
        <v>-0.6788194444</v>
      </c>
      <c r="BW1365" s="907"/>
      <c r="BX1365" s="908"/>
      <c r="BY1365" s="331" t="b">
        <f t="shared" si="166"/>
        <v>0</v>
      </c>
      <c r="BZ1365" s="340"/>
      <c r="CA1365" s="316"/>
      <c r="CB1365" s="318"/>
      <c r="CC1365" s="318"/>
      <c r="CD1365" s="318"/>
      <c r="CE1365" s="318"/>
      <c r="CF1365" s="318"/>
      <c r="CG1365" s="318"/>
      <c r="CH1365" s="318"/>
      <c r="CI1365" s="318"/>
      <c r="CJ1365" s="463"/>
      <c r="CK1365" s="342"/>
      <c r="CL1365" s="333"/>
      <c r="CM1365" s="1079"/>
      <c r="CN1365" s="1005"/>
      <c r="CO1365" s="1005"/>
      <c r="CP1365" s="1005"/>
    </row>
    <row r="1366">
      <c r="B1366" s="1106" t="s">
        <v>1452</v>
      </c>
      <c r="C1366" s="1107">
        <v>44663.0</v>
      </c>
      <c r="D1366" s="103"/>
      <c r="E1366" s="1108">
        <v>4.0</v>
      </c>
      <c r="F1366" s="110" t="s">
        <v>2071</v>
      </c>
      <c r="G1366" s="1109">
        <v>0.7223379629629629</v>
      </c>
      <c r="H1366" s="1110">
        <v>0.7225694444444445</v>
      </c>
      <c r="I1366" s="1110"/>
      <c r="J1366" s="1111"/>
      <c r="K1366" s="1111">
        <v>0.7243055555555555</v>
      </c>
      <c r="L1366" s="1112">
        <v>0.001736111111111111</v>
      </c>
      <c r="M1366" s="1113" t="s">
        <v>168</v>
      </c>
      <c r="N1366" s="110" t="s">
        <v>187</v>
      </c>
      <c r="O1366" s="1114" t="s">
        <v>201</v>
      </c>
      <c r="P1366" s="1115" t="s">
        <v>256</v>
      </c>
      <c r="Q1366" s="1115" t="s">
        <v>842</v>
      </c>
      <c r="R1366" s="120">
        <v>2.0</v>
      </c>
      <c r="S1366" s="1113">
        <v>5.0</v>
      </c>
      <c r="T1366" s="110">
        <v>0.65</v>
      </c>
      <c r="U1366" s="1108">
        <v>5.0</v>
      </c>
      <c r="V1366" s="1108"/>
      <c r="W1366" s="1108"/>
      <c r="X1366" s="1108"/>
      <c r="Y1366" s="1108"/>
      <c r="Z1366" s="1114" t="s">
        <v>339</v>
      </c>
      <c r="AA1366" s="1114"/>
      <c r="AB1366" s="1114" t="s">
        <v>341</v>
      </c>
      <c r="AC1366" s="1117">
        <v>3.0</v>
      </c>
      <c r="AD1366" s="1115"/>
      <c r="AE1366" s="1115"/>
      <c r="AF1366" s="1115"/>
      <c r="AG1366" s="1115"/>
      <c r="AH1366" s="1115"/>
      <c r="AI1366" s="1115"/>
      <c r="AJ1366" s="1117"/>
      <c r="AK1366" s="1118"/>
      <c r="AL1366" s="1115"/>
      <c r="AM1366" s="1115"/>
      <c r="AN1366" s="1115"/>
      <c r="AO1366" s="1115"/>
      <c r="AP1366" s="1115"/>
      <c r="AQ1366" s="1115"/>
      <c r="AR1366" s="1115"/>
      <c r="AS1366" s="1117"/>
      <c r="AT1366" s="1075" t="s">
        <v>182</v>
      </c>
      <c r="AU1366" s="1078" t="s">
        <v>845</v>
      </c>
      <c r="AV1366" s="330">
        <f>SQRT(($R1366-Infrastructure!J$3)^2+($S1366-Infrastructure!K$3)^2)</f>
        <v>24.01041441</v>
      </c>
      <c r="AW1366" s="331">
        <f>SQRT(($R1366-Infrastructure!J$4)^2+($S1366-Infrastructure!K$4)^2)</f>
        <v>13.00499904</v>
      </c>
      <c r="AX1366" s="331">
        <f>SQRT(($R1366-Infrastructure!J$5)^2+($S1366-Infrastructure!K$5)^2)</f>
        <v>2.302172887</v>
      </c>
      <c r="AY1366" s="331">
        <f>SQRT(($R1366-Infrastructure!J$6)^2+($S1366-Infrastructure!K$6)^2)</f>
        <v>9.364827815</v>
      </c>
      <c r="AZ1366" s="331">
        <f>SQRT(($R1366-Infrastructure!J$7)^2+($S1366-Infrastructure!K$7)^2)</f>
        <v>19.08769237</v>
      </c>
      <c r="BA1366" s="331">
        <f>SQRT(($R1366-Infrastructure!J$8)^2+($S1366-Infrastructure!K$8)^2)</f>
        <v>28.49034924</v>
      </c>
      <c r="BB1366" s="331">
        <f>SQRT(($R1366-Infrastructure!J$9)^2+($S1366-Infrastructure!K$9)^2)</f>
        <v>38.00013158</v>
      </c>
      <c r="BC1366" s="331">
        <f>SQRT(($R1366-Infrastructure!J$10)^2+($S1366-Infrastructure!K$10)^2)</f>
        <v>39.29376541</v>
      </c>
      <c r="BD1366" s="331">
        <f>SQRT(($R1366-Infrastructure!J$11)^2+($S1366-Infrastructure!K$11)^2)</f>
        <v>45.1136343</v>
      </c>
      <c r="BE1366" s="333">
        <f>SQRT(($R1366-Infrastructure!J$12)^2+($S1366-Infrastructure!K$12)^2)</f>
        <v>54.13409277</v>
      </c>
      <c r="BF1366" s="330">
        <f t="shared" si="161"/>
        <v>2.302172887</v>
      </c>
      <c r="BG1366" s="333">
        <f t="shared" si="162"/>
        <v>54.13409277</v>
      </c>
      <c r="BH1366" s="1119"/>
      <c r="BI1366" s="319" t="s">
        <v>846</v>
      </c>
      <c r="BJ1366" s="319" t="s">
        <v>846</v>
      </c>
      <c r="BK1366" s="319" t="s">
        <v>846</v>
      </c>
      <c r="BL1366" s="319" t="s">
        <v>846</v>
      </c>
      <c r="BM1366" s="955"/>
      <c r="BN1366" s="319" t="s">
        <v>846</v>
      </c>
      <c r="BO1366" s="319"/>
      <c r="BP1366" s="953"/>
      <c r="BQ1366" s="319"/>
      <c r="BR1366" s="324" t="s">
        <v>846</v>
      </c>
      <c r="BS1366" s="330">
        <f t="shared" si="169"/>
        <v>2.302172887</v>
      </c>
      <c r="BT1366" s="331">
        <f t="shared" si="170"/>
        <v>54.13409277</v>
      </c>
      <c r="BU1366" s="920"/>
      <c r="BV1366" s="903">
        <f t="shared" si="171"/>
        <v>-0.722337963</v>
      </c>
      <c r="BW1366" s="907"/>
      <c r="BX1366" s="908"/>
      <c r="BY1366" s="331" t="b">
        <f t="shared" si="166"/>
        <v>0</v>
      </c>
      <c r="BZ1366" s="340"/>
      <c r="CA1366" s="316"/>
      <c r="CB1366" s="318"/>
      <c r="CC1366" s="318"/>
      <c r="CD1366" s="318"/>
      <c r="CE1366" s="318"/>
      <c r="CF1366" s="318"/>
      <c r="CG1366" s="318"/>
      <c r="CH1366" s="318"/>
      <c r="CI1366" s="318"/>
      <c r="CJ1366" s="463"/>
      <c r="CK1366" s="342"/>
      <c r="CL1366" s="333"/>
      <c r="CM1366" s="1079"/>
      <c r="CN1366" s="1005"/>
      <c r="CO1366" s="1005"/>
      <c r="CP1366" s="1005"/>
    </row>
    <row r="1367">
      <c r="B1367" s="1106" t="s">
        <v>1452</v>
      </c>
      <c r="C1367" s="1107">
        <v>44663.0</v>
      </c>
      <c r="D1367" s="103"/>
      <c r="E1367" s="1137"/>
      <c r="F1367" s="112" t="s">
        <v>2072</v>
      </c>
      <c r="G1367" s="1109">
        <v>0.7480902777777778</v>
      </c>
      <c r="H1367" s="1138"/>
      <c r="I1367" s="1138"/>
      <c r="J1367" s="1139"/>
      <c r="K1367" s="1111">
        <v>0.7484375</v>
      </c>
      <c r="L1367" s="1112">
        <v>3.4722222222222224E-4</v>
      </c>
      <c r="M1367" s="1113" t="s">
        <v>168</v>
      </c>
      <c r="N1367" s="110" t="s">
        <v>188</v>
      </c>
      <c r="O1367" s="1140"/>
      <c r="P1367" s="1115" t="s">
        <v>293</v>
      </c>
      <c r="Q1367" s="1116"/>
      <c r="R1367" s="1141"/>
      <c r="S1367" s="1142"/>
      <c r="T1367" s="1143"/>
      <c r="U1367" s="1137"/>
      <c r="V1367" s="1137"/>
      <c r="W1367" s="1137"/>
      <c r="X1367" s="1137"/>
      <c r="Y1367" s="1137"/>
      <c r="Z1367" s="1114" t="s">
        <v>323</v>
      </c>
      <c r="AA1367" s="1114"/>
      <c r="AB1367" s="1114" t="s">
        <v>323</v>
      </c>
      <c r="AC1367" s="1117" t="s">
        <v>323</v>
      </c>
      <c r="AD1367" s="1115"/>
      <c r="AE1367" s="1115"/>
      <c r="AF1367" s="1115"/>
      <c r="AG1367" s="1115"/>
      <c r="AH1367" s="1115"/>
      <c r="AI1367" s="1115"/>
      <c r="AJ1367" s="1117"/>
      <c r="AK1367" s="1118"/>
      <c r="AL1367" s="1115"/>
      <c r="AM1367" s="1115"/>
      <c r="AN1367" s="1115"/>
      <c r="AO1367" s="1115"/>
      <c r="AP1367" s="1115"/>
      <c r="AQ1367" s="1115"/>
      <c r="AR1367" s="1115"/>
      <c r="AS1367" s="1117"/>
      <c r="AT1367" s="1075"/>
      <c r="AU1367" s="1078"/>
      <c r="AV1367" s="330">
        <f>SQRT(($R1367-Infrastructure!J$3)^2+($S1367-Infrastructure!K$3)^2)</f>
        <v>28.90155705</v>
      </c>
      <c r="AW1367" s="331">
        <f>SQRT(($R1367-Infrastructure!J$4)^2+($S1367-Infrastructure!K$4)^2)</f>
        <v>17.80252791</v>
      </c>
      <c r="AX1367" s="331">
        <f>SQRT(($R1367-Infrastructure!J$5)^2+($S1367-Infrastructure!K$5)^2)</f>
        <v>5.10881591</v>
      </c>
      <c r="AY1367" s="331">
        <f>SQRT(($R1367-Infrastructure!J$6)^2+($S1367-Infrastructure!K$6)^2)</f>
        <v>10.10445446</v>
      </c>
      <c r="AZ1367" s="331">
        <f>SQRT(($R1367-Infrastructure!J$7)^2+($S1367-Infrastructure!K$7)^2)</f>
        <v>20.502195</v>
      </c>
      <c r="BA1367" s="331">
        <f>SQRT(($R1367-Infrastructure!J$8)^2+($S1367-Infrastructure!K$8)^2)</f>
        <v>30.10149498</v>
      </c>
      <c r="BB1367" s="331">
        <f>SQRT(($R1367-Infrastructure!J$9)^2+($S1367-Infrastructure!K$9)^2)</f>
        <v>40.3238143</v>
      </c>
      <c r="BC1367" s="331">
        <f>SQRT(($R1367-Infrastructure!J$10)^2+($S1367-Infrastructure!K$10)^2)</f>
        <v>42.72001873</v>
      </c>
      <c r="BD1367" s="331">
        <f>SQRT(($R1367-Infrastructure!J$11)^2+($S1367-Infrastructure!K$11)^2)</f>
        <v>49.56853841</v>
      </c>
      <c r="BE1367" s="333">
        <f>SQRT(($R1367-Infrastructure!J$12)^2+($S1367-Infrastructure!K$12)^2)</f>
        <v>59.51890456</v>
      </c>
      <c r="BF1367" s="330">
        <f t="shared" si="161"/>
        <v>5.10881591</v>
      </c>
      <c r="BG1367" s="333">
        <f t="shared" si="162"/>
        <v>59.51890456</v>
      </c>
      <c r="BH1367" s="1119"/>
      <c r="BI1367" s="319"/>
      <c r="BJ1367" s="319"/>
      <c r="BK1367" s="319"/>
      <c r="BL1367" s="319"/>
      <c r="BM1367" s="955"/>
      <c r="BN1367" s="319"/>
      <c r="BO1367" s="319"/>
      <c r="BP1367" s="953"/>
      <c r="BQ1367" s="319"/>
      <c r="BR1367" s="324"/>
      <c r="BS1367" s="330">
        <f t="shared" si="169"/>
        <v>0</v>
      </c>
      <c r="BT1367" s="331">
        <f t="shared" si="170"/>
        <v>0</v>
      </c>
      <c r="BU1367" s="920"/>
      <c r="BV1367" s="903">
        <f t="shared" si="171"/>
        <v>-0.7480902778</v>
      </c>
      <c r="BW1367" s="907"/>
      <c r="BX1367" s="908"/>
      <c r="BY1367" s="331" t="b">
        <f t="shared" si="166"/>
        <v>0</v>
      </c>
      <c r="BZ1367" s="340"/>
      <c r="CA1367" s="316"/>
      <c r="CB1367" s="318"/>
      <c r="CC1367" s="318"/>
      <c r="CD1367" s="318"/>
      <c r="CE1367" s="318"/>
      <c r="CF1367" s="318"/>
      <c r="CG1367" s="318"/>
      <c r="CH1367" s="318"/>
      <c r="CI1367" s="318"/>
      <c r="CJ1367" s="463"/>
      <c r="CK1367" s="342"/>
      <c r="CL1367" s="333"/>
      <c r="CM1367" s="1079"/>
      <c r="CN1367" s="1005"/>
      <c r="CO1367" s="1005"/>
      <c r="CP1367" s="1005"/>
    </row>
    <row r="1368">
      <c r="B1368" s="1106" t="s">
        <v>1452</v>
      </c>
      <c r="C1368" s="1107">
        <v>44663.0</v>
      </c>
      <c r="D1368" s="103"/>
      <c r="E1368" s="1137"/>
      <c r="F1368" s="112" t="s">
        <v>2072</v>
      </c>
      <c r="G1368" s="1109">
        <v>0.7519097222222222</v>
      </c>
      <c r="H1368" s="1138"/>
      <c r="I1368" s="1138"/>
      <c r="J1368" s="1139"/>
      <c r="K1368" s="1111">
        <v>0.7542824074074074</v>
      </c>
      <c r="L1368" s="1112">
        <v>0.002372685185185185</v>
      </c>
      <c r="M1368" s="1113" t="s">
        <v>358</v>
      </c>
      <c r="N1368" s="110" t="s">
        <v>188</v>
      </c>
      <c r="O1368" s="1140"/>
      <c r="P1368" s="1115" t="s">
        <v>294</v>
      </c>
      <c r="Q1368" s="1116"/>
      <c r="R1368" s="1141"/>
      <c r="S1368" s="1142"/>
      <c r="T1368" s="1143"/>
      <c r="U1368" s="1137"/>
      <c r="V1368" s="1137"/>
      <c r="W1368" s="1137"/>
      <c r="X1368" s="1137"/>
      <c r="Y1368" s="1137"/>
      <c r="Z1368" s="1114" t="s">
        <v>323</v>
      </c>
      <c r="AA1368" s="1114"/>
      <c r="AB1368" s="1114" t="s">
        <v>323</v>
      </c>
      <c r="AC1368" s="1117" t="s">
        <v>323</v>
      </c>
      <c r="AD1368" s="1115"/>
      <c r="AE1368" s="1115"/>
      <c r="AF1368" s="1115"/>
      <c r="AG1368" s="1115"/>
      <c r="AH1368" s="1115"/>
      <c r="AI1368" s="1115"/>
      <c r="AJ1368" s="1117"/>
      <c r="AK1368" s="1118"/>
      <c r="AL1368" s="1115"/>
      <c r="AM1368" s="1115"/>
      <c r="AN1368" s="1115"/>
      <c r="AO1368" s="1115"/>
      <c r="AP1368" s="1115"/>
      <c r="AQ1368" s="1115"/>
      <c r="AR1368" s="1115"/>
      <c r="AS1368" s="1117"/>
      <c r="AT1368" s="1075"/>
      <c r="AU1368" s="1078"/>
      <c r="AV1368" s="330">
        <f>SQRT(($R1368-Infrastructure!J$3)^2+($S1368-Infrastructure!K$3)^2)</f>
        <v>28.90155705</v>
      </c>
      <c r="AW1368" s="331">
        <f>SQRT(($R1368-Infrastructure!J$4)^2+($S1368-Infrastructure!K$4)^2)</f>
        <v>17.80252791</v>
      </c>
      <c r="AX1368" s="331">
        <f>SQRT(($R1368-Infrastructure!J$5)^2+($S1368-Infrastructure!K$5)^2)</f>
        <v>5.10881591</v>
      </c>
      <c r="AY1368" s="331">
        <f>SQRT(($R1368-Infrastructure!J$6)^2+($S1368-Infrastructure!K$6)^2)</f>
        <v>10.10445446</v>
      </c>
      <c r="AZ1368" s="331">
        <f>SQRT(($R1368-Infrastructure!J$7)^2+($S1368-Infrastructure!K$7)^2)</f>
        <v>20.502195</v>
      </c>
      <c r="BA1368" s="331">
        <f>SQRT(($R1368-Infrastructure!J$8)^2+($S1368-Infrastructure!K$8)^2)</f>
        <v>30.10149498</v>
      </c>
      <c r="BB1368" s="331">
        <f>SQRT(($R1368-Infrastructure!J$9)^2+($S1368-Infrastructure!K$9)^2)</f>
        <v>40.3238143</v>
      </c>
      <c r="BC1368" s="331">
        <f>SQRT(($R1368-Infrastructure!J$10)^2+($S1368-Infrastructure!K$10)^2)</f>
        <v>42.72001873</v>
      </c>
      <c r="BD1368" s="331">
        <f>SQRT(($R1368-Infrastructure!J$11)^2+($S1368-Infrastructure!K$11)^2)</f>
        <v>49.56853841</v>
      </c>
      <c r="BE1368" s="333">
        <f>SQRT(($R1368-Infrastructure!J$12)^2+($S1368-Infrastructure!K$12)^2)</f>
        <v>59.51890456</v>
      </c>
      <c r="BF1368" s="330">
        <f t="shared" si="161"/>
        <v>5.10881591</v>
      </c>
      <c r="BG1368" s="333">
        <f t="shared" si="162"/>
        <v>59.51890456</v>
      </c>
      <c r="BH1368" s="1119"/>
      <c r="BI1368" s="319"/>
      <c r="BJ1368" s="319"/>
      <c r="BK1368" s="319"/>
      <c r="BL1368" s="319"/>
      <c r="BM1368" s="955"/>
      <c r="BN1368" s="319"/>
      <c r="BO1368" s="319"/>
      <c r="BP1368" s="953"/>
      <c r="BQ1368" s="319"/>
      <c r="BR1368" s="324"/>
      <c r="BS1368" s="330">
        <f t="shared" si="169"/>
        <v>0</v>
      </c>
      <c r="BT1368" s="331">
        <f t="shared" si="170"/>
        <v>0</v>
      </c>
      <c r="BU1368" s="920"/>
      <c r="BV1368" s="903">
        <f t="shared" si="171"/>
        <v>-0.7519097222</v>
      </c>
      <c r="BW1368" s="907"/>
      <c r="BX1368" s="908"/>
      <c r="BY1368" s="331" t="b">
        <f t="shared" si="166"/>
        <v>0</v>
      </c>
      <c r="BZ1368" s="340"/>
      <c r="CA1368" s="316"/>
      <c r="CB1368" s="318"/>
      <c r="CC1368" s="318"/>
      <c r="CD1368" s="318"/>
      <c r="CE1368" s="318"/>
      <c r="CF1368" s="318"/>
      <c r="CG1368" s="318"/>
      <c r="CH1368" s="318"/>
      <c r="CI1368" s="318"/>
      <c r="CJ1368" s="463"/>
      <c r="CK1368" s="342"/>
      <c r="CL1368" s="333"/>
      <c r="CM1368" s="1079"/>
      <c r="CN1368" s="1005"/>
      <c r="CO1368" s="1005"/>
      <c r="CP1368" s="1005"/>
    </row>
    <row r="1369">
      <c r="A1369" s="1163" t="s">
        <v>72</v>
      </c>
      <c r="B1369" s="1091" t="s">
        <v>1463</v>
      </c>
      <c r="C1369" s="1092">
        <v>44685.0</v>
      </c>
      <c r="D1369" s="1093"/>
      <c r="E1369" s="1094">
        <v>1.0</v>
      </c>
      <c r="F1369" s="129" t="s">
        <v>2073</v>
      </c>
      <c r="G1369" s="1095">
        <v>0.6098958333333333</v>
      </c>
      <c r="H1369" s="1096">
        <v>0.6102430555555556</v>
      </c>
      <c r="I1369" s="1096"/>
      <c r="J1369" s="1097"/>
      <c r="K1369" s="1097">
        <v>0.6127893518518519</v>
      </c>
      <c r="L1369" s="1098">
        <v>0.0025462962962962965</v>
      </c>
      <c r="M1369" s="1099" t="s">
        <v>166</v>
      </c>
      <c r="N1369" s="129" t="s">
        <v>187</v>
      </c>
      <c r="O1369" s="1100" t="s">
        <v>202</v>
      </c>
      <c r="P1369" s="1101" t="s">
        <v>256</v>
      </c>
      <c r="Q1369" s="1120"/>
      <c r="R1369" s="132">
        <v>24.4</v>
      </c>
      <c r="S1369" s="1099">
        <v>7.5</v>
      </c>
      <c r="T1369" s="129">
        <v>0.57</v>
      </c>
      <c r="U1369" s="1094">
        <v>10.0</v>
      </c>
      <c r="V1369" s="1094"/>
      <c r="W1369" s="1094"/>
      <c r="X1369" s="1094"/>
      <c r="Y1369" s="1094"/>
      <c r="Z1369" s="1164" t="s">
        <v>391</v>
      </c>
      <c r="AA1369" s="1164"/>
      <c r="AB1369" s="1100" t="s">
        <v>349</v>
      </c>
      <c r="AC1369" s="1102">
        <v>5.0</v>
      </c>
      <c r="AD1369" s="1101"/>
      <c r="AE1369" s="1101"/>
      <c r="AF1369" s="1101"/>
      <c r="AG1369" s="1101"/>
      <c r="AH1369" s="1101"/>
      <c r="AI1369" s="1101"/>
      <c r="AJ1369" s="1102"/>
      <c r="AK1369" s="1103"/>
      <c r="AL1369" s="1101"/>
      <c r="AM1369" s="1101"/>
      <c r="AN1369" s="1101"/>
      <c r="AO1369" s="1101"/>
      <c r="AP1369" s="1101"/>
      <c r="AQ1369" s="1101"/>
      <c r="AR1369" s="1101"/>
      <c r="AS1369" s="1102"/>
      <c r="AT1369" s="1066" t="s">
        <v>183</v>
      </c>
      <c r="AU1369" s="1076" t="s">
        <v>845</v>
      </c>
      <c r="AV1369" s="330">
        <f>SQRT(($R1369-Infrastructure!J$3)^2+($S1369-Infrastructure!K$3)^2)</f>
        <v>32.68103426</v>
      </c>
      <c r="AW1369" s="331">
        <f>SQRT(($R1369-Infrastructure!J$4)^2+($S1369-Infrastructure!K$4)^2)</f>
        <v>26.76153957</v>
      </c>
      <c r="AX1369" s="331">
        <f>SQRT(($R1369-Infrastructure!J$5)^2+($S1369-Infrastructure!K$5)^2)</f>
        <v>24.81632527</v>
      </c>
      <c r="AY1369" s="331">
        <f>SQRT(($R1369-Infrastructure!J$6)^2+($S1369-Infrastructure!K$6)^2)</f>
        <v>16.01030918</v>
      </c>
      <c r="AZ1369" s="331">
        <f>SQRT(($R1369-Infrastructure!J$7)^2+($S1369-Infrastructure!K$7)^2)</f>
        <v>8.188406438</v>
      </c>
      <c r="BA1369" s="331">
        <f>SQRT(($R1369-Infrastructure!J$8)^2+($S1369-Infrastructure!K$8)^2)</f>
        <v>9.183136719</v>
      </c>
      <c r="BB1369" s="331">
        <f>SQRT(($R1369-Infrastructure!J$9)^2+($S1369-Infrastructure!K$9)^2)</f>
        <v>15.78353573</v>
      </c>
      <c r="BC1369" s="331">
        <f>SQRT(($R1369-Infrastructure!J$10)^2+($S1369-Infrastructure!K$10)^2)</f>
        <v>17.30924608</v>
      </c>
      <c r="BD1369" s="331">
        <f>SQRT(($R1369-Infrastructure!J$11)^2+($S1369-Infrastructure!K$11)^2)</f>
        <v>26.68126684</v>
      </c>
      <c r="BE1369" s="333">
        <f>SQRT(($R1369-Infrastructure!J$12)^2+($S1369-Infrastructure!K$12)^2)</f>
        <v>48.08752437</v>
      </c>
      <c r="BF1369" s="330">
        <f t="shared" si="161"/>
        <v>8.188406438</v>
      </c>
      <c r="BG1369" s="333">
        <f t="shared" si="162"/>
        <v>48.08752437</v>
      </c>
      <c r="BH1369" s="1105"/>
      <c r="BI1369" s="393" t="s">
        <v>846</v>
      </c>
      <c r="BJ1369" s="393" t="s">
        <v>846</v>
      </c>
      <c r="BK1369" s="393" t="s">
        <v>846</v>
      </c>
      <c r="BL1369" s="393" t="s">
        <v>846</v>
      </c>
      <c r="BM1369" s="959"/>
      <c r="BN1369" s="393" t="s">
        <v>846</v>
      </c>
      <c r="BO1369" s="393"/>
      <c r="BP1369" s="960" t="s">
        <v>846</v>
      </c>
      <c r="BQ1369" s="393" t="s">
        <v>846</v>
      </c>
      <c r="BR1369" s="394" t="s">
        <v>846</v>
      </c>
      <c r="BS1369" s="330">
        <f t="shared" si="169"/>
        <v>9.183136719</v>
      </c>
      <c r="BT1369" s="331">
        <f t="shared" si="170"/>
        <v>48.08752437</v>
      </c>
      <c r="BU1369" s="920"/>
      <c r="BV1369" s="903">
        <f t="shared" si="171"/>
        <v>-0.6098958333</v>
      </c>
      <c r="BW1369" s="925"/>
      <c r="BX1369" s="926"/>
      <c r="BY1369" s="331" t="b">
        <f t="shared" si="166"/>
        <v>0</v>
      </c>
      <c r="BZ1369" s="412"/>
      <c r="CA1369" s="390"/>
      <c r="CB1369" s="392"/>
      <c r="CC1369" s="392"/>
      <c r="CD1369" s="392"/>
      <c r="CE1369" s="392"/>
      <c r="CF1369" s="392"/>
      <c r="CG1369" s="392"/>
      <c r="CH1369" s="392"/>
      <c r="CI1369" s="392"/>
      <c r="CJ1369" s="898"/>
      <c r="CK1369" s="414"/>
      <c r="CL1369" s="408"/>
      <c r="CM1369" s="1077"/>
      <c r="CN1369" s="1005"/>
      <c r="CO1369" s="1005"/>
      <c r="CP1369" s="1005"/>
    </row>
    <row r="1370">
      <c r="B1370" s="1106" t="s">
        <v>1463</v>
      </c>
      <c r="C1370" s="1107">
        <v>44685.0</v>
      </c>
      <c r="D1370" s="103"/>
      <c r="E1370" s="1108">
        <v>2.0</v>
      </c>
      <c r="F1370" s="110" t="s">
        <v>2074</v>
      </c>
      <c r="G1370" s="1109">
        <v>0.6280092592592592</v>
      </c>
      <c r="H1370" s="1110">
        <v>0.6288194444444445</v>
      </c>
      <c r="I1370" s="1110"/>
      <c r="J1370" s="1111"/>
      <c r="K1370" s="1111">
        <v>0.6319444444444444</v>
      </c>
      <c r="L1370" s="1112">
        <v>0.003125</v>
      </c>
      <c r="M1370" s="1113" t="s">
        <v>166</v>
      </c>
      <c r="N1370" s="110" t="s">
        <v>187</v>
      </c>
      <c r="O1370" s="1114" t="s">
        <v>202</v>
      </c>
      <c r="P1370" s="1115" t="s">
        <v>256</v>
      </c>
      <c r="Q1370" s="1116"/>
      <c r="R1370" s="120">
        <v>24.4</v>
      </c>
      <c r="S1370" s="1113">
        <v>7.5</v>
      </c>
      <c r="T1370" s="110">
        <v>0.57</v>
      </c>
      <c r="U1370" s="1108">
        <v>5.0</v>
      </c>
      <c r="V1370" s="1108"/>
      <c r="W1370" s="1108"/>
      <c r="X1370" s="1108"/>
      <c r="Y1370" s="1108"/>
      <c r="Z1370" s="1114" t="s">
        <v>339</v>
      </c>
      <c r="AA1370" s="1114"/>
      <c r="AB1370" s="1114" t="s">
        <v>341</v>
      </c>
      <c r="AC1370" s="1117">
        <v>3.0</v>
      </c>
      <c r="AD1370" s="1115"/>
      <c r="AE1370" s="1115"/>
      <c r="AF1370" s="1115"/>
      <c r="AG1370" s="1115"/>
      <c r="AH1370" s="1115"/>
      <c r="AI1370" s="1115"/>
      <c r="AJ1370" s="1117"/>
      <c r="AK1370" s="1118"/>
      <c r="AL1370" s="1115"/>
      <c r="AM1370" s="1115"/>
      <c r="AN1370" s="1115"/>
      <c r="AO1370" s="1115"/>
      <c r="AP1370" s="1115"/>
      <c r="AQ1370" s="1115"/>
      <c r="AR1370" s="1115"/>
      <c r="AS1370" s="1117"/>
      <c r="AT1370" s="1075" t="s">
        <v>182</v>
      </c>
      <c r="AU1370" s="1078" t="s">
        <v>845</v>
      </c>
      <c r="AV1370" s="330">
        <f>SQRT(($R1370-Infrastructure!J$3)^2+($S1370-Infrastructure!K$3)^2)</f>
        <v>32.68103426</v>
      </c>
      <c r="AW1370" s="331">
        <f>SQRT(($R1370-Infrastructure!J$4)^2+($S1370-Infrastructure!K$4)^2)</f>
        <v>26.76153957</v>
      </c>
      <c r="AX1370" s="331">
        <f>SQRT(($R1370-Infrastructure!J$5)^2+($S1370-Infrastructure!K$5)^2)</f>
        <v>24.81632527</v>
      </c>
      <c r="AY1370" s="331">
        <f>SQRT(($R1370-Infrastructure!J$6)^2+($S1370-Infrastructure!K$6)^2)</f>
        <v>16.01030918</v>
      </c>
      <c r="AZ1370" s="331">
        <f>SQRT(($R1370-Infrastructure!J$7)^2+($S1370-Infrastructure!K$7)^2)</f>
        <v>8.188406438</v>
      </c>
      <c r="BA1370" s="331">
        <f>SQRT(($R1370-Infrastructure!J$8)^2+($S1370-Infrastructure!K$8)^2)</f>
        <v>9.183136719</v>
      </c>
      <c r="BB1370" s="331">
        <f>SQRT(($R1370-Infrastructure!J$9)^2+($S1370-Infrastructure!K$9)^2)</f>
        <v>15.78353573</v>
      </c>
      <c r="BC1370" s="331">
        <f>SQRT(($R1370-Infrastructure!J$10)^2+($S1370-Infrastructure!K$10)^2)</f>
        <v>17.30924608</v>
      </c>
      <c r="BD1370" s="331">
        <f>SQRT(($R1370-Infrastructure!J$11)^2+($S1370-Infrastructure!K$11)^2)</f>
        <v>26.68126684</v>
      </c>
      <c r="BE1370" s="333">
        <f>SQRT(($R1370-Infrastructure!J$12)^2+($S1370-Infrastructure!K$12)^2)</f>
        <v>48.08752437</v>
      </c>
      <c r="BF1370" s="330">
        <f t="shared" si="161"/>
        <v>8.188406438</v>
      </c>
      <c r="BG1370" s="333">
        <f t="shared" si="162"/>
        <v>48.08752437</v>
      </c>
      <c r="BH1370" s="1119"/>
      <c r="BI1370" s="319" t="s">
        <v>846</v>
      </c>
      <c r="BJ1370" s="319" t="s">
        <v>846</v>
      </c>
      <c r="BK1370" s="319" t="s">
        <v>846</v>
      </c>
      <c r="BL1370" s="319" t="s">
        <v>846</v>
      </c>
      <c r="BM1370" s="955"/>
      <c r="BN1370" s="319" t="s">
        <v>846</v>
      </c>
      <c r="BO1370" s="319"/>
      <c r="BP1370" s="953" t="s">
        <v>846</v>
      </c>
      <c r="BQ1370" s="319" t="s">
        <v>846</v>
      </c>
      <c r="BR1370" s="324" t="s">
        <v>846</v>
      </c>
      <c r="BS1370" s="330">
        <f t="shared" si="169"/>
        <v>9.183136719</v>
      </c>
      <c r="BT1370" s="331">
        <f t="shared" si="170"/>
        <v>48.08752437</v>
      </c>
      <c r="BU1370" s="920"/>
      <c r="BV1370" s="903">
        <f t="shared" si="171"/>
        <v>-0.6280092593</v>
      </c>
      <c r="BW1370" s="907"/>
      <c r="BX1370" s="908"/>
      <c r="BY1370" s="331" t="b">
        <f t="shared" si="166"/>
        <v>0</v>
      </c>
      <c r="BZ1370" s="340"/>
      <c r="CA1370" s="316"/>
      <c r="CB1370" s="318"/>
      <c r="CC1370" s="318"/>
      <c r="CD1370" s="318"/>
      <c r="CE1370" s="318"/>
      <c r="CF1370" s="318"/>
      <c r="CG1370" s="318"/>
      <c r="CH1370" s="318"/>
      <c r="CI1370" s="318"/>
      <c r="CJ1370" s="463"/>
      <c r="CK1370" s="342"/>
      <c r="CL1370" s="333"/>
      <c r="CM1370" s="1079"/>
      <c r="CN1370" s="1005"/>
      <c r="CO1370" s="1005"/>
      <c r="CP1370" s="1005"/>
    </row>
    <row r="1371">
      <c r="B1371" s="1106" t="s">
        <v>1463</v>
      </c>
      <c r="C1371" s="1107">
        <v>44685.0</v>
      </c>
      <c r="D1371" s="103"/>
      <c r="E1371" s="1108">
        <v>3.0</v>
      </c>
      <c r="F1371" s="112" t="s">
        <v>2075</v>
      </c>
      <c r="G1371" s="1109">
        <v>0.6325231481481481</v>
      </c>
      <c r="H1371" s="1110">
        <v>0.6327546296296296</v>
      </c>
      <c r="I1371" s="1110"/>
      <c r="J1371" s="1111"/>
      <c r="K1371" s="1111">
        <v>0.6342592592592593</v>
      </c>
      <c r="L1371" s="1112">
        <v>0.0015046296296296296</v>
      </c>
      <c r="M1371" s="1113" t="s">
        <v>166</v>
      </c>
      <c r="N1371" s="110" t="s">
        <v>187</v>
      </c>
      <c r="O1371" s="1114" t="s">
        <v>202</v>
      </c>
      <c r="P1371" s="1115" t="s">
        <v>256</v>
      </c>
      <c r="Q1371" s="1116"/>
      <c r="R1371" s="120">
        <v>24.4</v>
      </c>
      <c r="S1371" s="1113">
        <v>7.5</v>
      </c>
      <c r="T1371" s="110">
        <v>0.57</v>
      </c>
      <c r="U1371" s="1108">
        <v>3.0</v>
      </c>
      <c r="V1371" s="1108"/>
      <c r="W1371" s="1108"/>
      <c r="X1371" s="1108"/>
      <c r="Y1371" s="1108"/>
      <c r="Z1371" s="1114" t="s">
        <v>339</v>
      </c>
      <c r="AA1371" s="1114"/>
      <c r="AB1371" s="1114" t="s">
        <v>341</v>
      </c>
      <c r="AC1371" s="1117">
        <v>3.0</v>
      </c>
      <c r="AD1371" s="1115"/>
      <c r="AE1371" s="1115"/>
      <c r="AF1371" s="1115"/>
      <c r="AG1371" s="1115"/>
      <c r="AH1371" s="1115"/>
      <c r="AI1371" s="1115"/>
      <c r="AJ1371" s="1117"/>
      <c r="AK1371" s="1118"/>
      <c r="AL1371" s="1115"/>
      <c r="AM1371" s="1115"/>
      <c r="AN1371" s="1115"/>
      <c r="AO1371" s="1115"/>
      <c r="AP1371" s="1115"/>
      <c r="AQ1371" s="1115"/>
      <c r="AR1371" s="1115"/>
      <c r="AS1371" s="1117"/>
      <c r="AT1371" s="1075" t="s">
        <v>182</v>
      </c>
      <c r="AU1371" s="1078" t="s">
        <v>845</v>
      </c>
      <c r="AV1371" s="330">
        <f>SQRT(($R1371-Infrastructure!J$3)^2+($S1371-Infrastructure!K$3)^2)</f>
        <v>32.68103426</v>
      </c>
      <c r="AW1371" s="331">
        <f>SQRT(($R1371-Infrastructure!J$4)^2+($S1371-Infrastructure!K$4)^2)</f>
        <v>26.76153957</v>
      </c>
      <c r="AX1371" s="331">
        <f>SQRT(($R1371-Infrastructure!J$5)^2+($S1371-Infrastructure!K$5)^2)</f>
        <v>24.81632527</v>
      </c>
      <c r="AY1371" s="331">
        <f>SQRT(($R1371-Infrastructure!J$6)^2+($S1371-Infrastructure!K$6)^2)</f>
        <v>16.01030918</v>
      </c>
      <c r="AZ1371" s="331">
        <f>SQRT(($R1371-Infrastructure!J$7)^2+($S1371-Infrastructure!K$7)^2)</f>
        <v>8.188406438</v>
      </c>
      <c r="BA1371" s="331">
        <f>SQRT(($R1371-Infrastructure!J$8)^2+($S1371-Infrastructure!K$8)^2)</f>
        <v>9.183136719</v>
      </c>
      <c r="BB1371" s="331">
        <f>SQRT(($R1371-Infrastructure!J$9)^2+($S1371-Infrastructure!K$9)^2)</f>
        <v>15.78353573</v>
      </c>
      <c r="BC1371" s="331">
        <f>SQRT(($R1371-Infrastructure!J$10)^2+($S1371-Infrastructure!K$10)^2)</f>
        <v>17.30924608</v>
      </c>
      <c r="BD1371" s="331">
        <f>SQRT(($R1371-Infrastructure!J$11)^2+($S1371-Infrastructure!K$11)^2)</f>
        <v>26.68126684</v>
      </c>
      <c r="BE1371" s="333">
        <f>SQRT(($R1371-Infrastructure!J$12)^2+($S1371-Infrastructure!K$12)^2)</f>
        <v>48.08752437</v>
      </c>
      <c r="BF1371" s="330">
        <f t="shared" si="161"/>
        <v>8.188406438</v>
      </c>
      <c r="BG1371" s="333">
        <f t="shared" si="162"/>
        <v>48.08752437</v>
      </c>
      <c r="BH1371" s="1119"/>
      <c r="BI1371" s="319" t="s">
        <v>846</v>
      </c>
      <c r="BJ1371" s="319" t="s">
        <v>846</v>
      </c>
      <c r="BK1371" s="319" t="s">
        <v>846</v>
      </c>
      <c r="BL1371" s="319" t="s">
        <v>846</v>
      </c>
      <c r="BM1371" s="955"/>
      <c r="BN1371" s="319" t="s">
        <v>846</v>
      </c>
      <c r="BO1371" s="319"/>
      <c r="BP1371" s="953" t="s">
        <v>846</v>
      </c>
      <c r="BQ1371" s="319" t="s">
        <v>846</v>
      </c>
      <c r="BR1371" s="324" t="s">
        <v>846</v>
      </c>
      <c r="BS1371" s="330">
        <f t="shared" si="169"/>
        <v>9.183136719</v>
      </c>
      <c r="BT1371" s="331">
        <f t="shared" si="170"/>
        <v>48.08752437</v>
      </c>
      <c r="BU1371" s="920"/>
      <c r="BV1371" s="903">
        <f t="shared" si="171"/>
        <v>-0.6325231481</v>
      </c>
      <c r="BW1371" s="907"/>
      <c r="BX1371" s="908"/>
      <c r="BY1371" s="331" t="b">
        <f t="shared" si="166"/>
        <v>0</v>
      </c>
      <c r="BZ1371" s="340"/>
      <c r="CA1371" s="316"/>
      <c r="CB1371" s="318"/>
      <c r="CC1371" s="318"/>
      <c r="CD1371" s="318"/>
      <c r="CE1371" s="318"/>
      <c r="CF1371" s="318"/>
      <c r="CG1371" s="318"/>
      <c r="CH1371" s="318"/>
      <c r="CI1371" s="318"/>
      <c r="CJ1371" s="463"/>
      <c r="CK1371" s="342"/>
      <c r="CL1371" s="333"/>
      <c r="CM1371" s="1079"/>
      <c r="CN1371" s="1005"/>
      <c r="CO1371" s="1005"/>
      <c r="CP1371" s="1005"/>
    </row>
    <row r="1372">
      <c r="B1372" s="1106" t="s">
        <v>1463</v>
      </c>
      <c r="C1372" s="1107">
        <v>44685.0</v>
      </c>
      <c r="D1372" s="1165"/>
      <c r="E1372" s="1108">
        <v>4.0</v>
      </c>
      <c r="F1372" s="112" t="s">
        <v>2076</v>
      </c>
      <c r="G1372" s="1151">
        <v>0.6348379629629629</v>
      </c>
      <c r="H1372" s="1152">
        <v>0.6350694444444445</v>
      </c>
      <c r="I1372" s="1152"/>
      <c r="J1372" s="1153"/>
      <c r="K1372" s="1153">
        <v>0.6369212962962963</v>
      </c>
      <c r="L1372" s="1112">
        <v>0.001851851851851852</v>
      </c>
      <c r="M1372" s="1113" t="s">
        <v>166</v>
      </c>
      <c r="N1372" s="110" t="s">
        <v>187</v>
      </c>
      <c r="O1372" s="1114" t="s">
        <v>202</v>
      </c>
      <c r="P1372" s="1115" t="s">
        <v>256</v>
      </c>
      <c r="Q1372" s="1116"/>
      <c r="R1372" s="120">
        <v>24.4</v>
      </c>
      <c r="S1372" s="1113">
        <v>7.5</v>
      </c>
      <c r="T1372" s="110">
        <v>0.57</v>
      </c>
      <c r="U1372" s="1108">
        <v>1.0</v>
      </c>
      <c r="V1372" s="1108"/>
      <c r="W1372" s="1108"/>
      <c r="X1372" s="1108"/>
      <c r="Y1372" s="1108"/>
      <c r="Z1372" s="1114" t="s">
        <v>339</v>
      </c>
      <c r="AA1372" s="1114"/>
      <c r="AB1372" s="1114" t="s">
        <v>341</v>
      </c>
      <c r="AC1372" s="1117">
        <v>3.0</v>
      </c>
      <c r="AD1372" s="1115"/>
      <c r="AE1372" s="1115"/>
      <c r="AF1372" s="1115"/>
      <c r="AG1372" s="1115"/>
      <c r="AH1372" s="1115"/>
      <c r="AI1372" s="1115"/>
      <c r="AJ1372" s="1117"/>
      <c r="AK1372" s="1118"/>
      <c r="AL1372" s="1115"/>
      <c r="AM1372" s="1115"/>
      <c r="AN1372" s="1115"/>
      <c r="AO1372" s="1115"/>
      <c r="AP1372" s="1115"/>
      <c r="AQ1372" s="1115"/>
      <c r="AR1372" s="1115"/>
      <c r="AS1372" s="1117"/>
      <c r="AT1372" s="1075" t="s">
        <v>182</v>
      </c>
      <c r="AU1372" s="1078" t="s">
        <v>845</v>
      </c>
      <c r="AV1372" s="330">
        <f>SQRT(($R1372-Infrastructure!J$3)^2+($S1372-Infrastructure!K$3)^2)</f>
        <v>32.68103426</v>
      </c>
      <c r="AW1372" s="331">
        <f>SQRT(($R1372-Infrastructure!J$4)^2+($S1372-Infrastructure!K$4)^2)</f>
        <v>26.76153957</v>
      </c>
      <c r="AX1372" s="331">
        <f>SQRT(($R1372-Infrastructure!J$5)^2+($S1372-Infrastructure!K$5)^2)</f>
        <v>24.81632527</v>
      </c>
      <c r="AY1372" s="331">
        <f>SQRT(($R1372-Infrastructure!J$6)^2+($S1372-Infrastructure!K$6)^2)</f>
        <v>16.01030918</v>
      </c>
      <c r="AZ1372" s="331">
        <f>SQRT(($R1372-Infrastructure!J$7)^2+($S1372-Infrastructure!K$7)^2)</f>
        <v>8.188406438</v>
      </c>
      <c r="BA1372" s="331">
        <f>SQRT(($R1372-Infrastructure!J$8)^2+($S1372-Infrastructure!K$8)^2)</f>
        <v>9.183136719</v>
      </c>
      <c r="BB1372" s="331">
        <f>SQRT(($R1372-Infrastructure!J$9)^2+($S1372-Infrastructure!K$9)^2)</f>
        <v>15.78353573</v>
      </c>
      <c r="BC1372" s="331">
        <f>SQRT(($R1372-Infrastructure!J$10)^2+($S1372-Infrastructure!K$10)^2)</f>
        <v>17.30924608</v>
      </c>
      <c r="BD1372" s="331">
        <f>SQRT(($R1372-Infrastructure!J$11)^2+($S1372-Infrastructure!K$11)^2)</f>
        <v>26.68126684</v>
      </c>
      <c r="BE1372" s="333">
        <f>SQRT(($R1372-Infrastructure!J$12)^2+($S1372-Infrastructure!K$12)^2)</f>
        <v>48.08752437</v>
      </c>
      <c r="BF1372" s="330">
        <f t="shared" si="161"/>
        <v>8.188406438</v>
      </c>
      <c r="BG1372" s="333">
        <f t="shared" si="162"/>
        <v>48.08752437</v>
      </c>
      <c r="BH1372" s="1119"/>
      <c r="BI1372" s="319"/>
      <c r="BJ1372" s="319"/>
      <c r="BK1372" s="319"/>
      <c r="BL1372" s="319"/>
      <c r="BM1372" s="955"/>
      <c r="BN1372" s="319"/>
      <c r="BO1372" s="319"/>
      <c r="BP1372" s="953"/>
      <c r="BQ1372" s="319"/>
      <c r="BR1372" s="324"/>
      <c r="BS1372" s="330">
        <f t="shared" si="169"/>
        <v>0</v>
      </c>
      <c r="BT1372" s="331">
        <f t="shared" si="170"/>
        <v>0</v>
      </c>
      <c r="BU1372" s="920"/>
      <c r="BV1372" s="903">
        <f t="shared" si="171"/>
        <v>-0.634837963</v>
      </c>
      <c r="BW1372" s="907"/>
      <c r="BX1372" s="908"/>
      <c r="BY1372" s="331" t="b">
        <f t="shared" si="166"/>
        <v>0</v>
      </c>
      <c r="BZ1372" s="340"/>
      <c r="CA1372" s="316"/>
      <c r="CB1372" s="318"/>
      <c r="CC1372" s="318"/>
      <c r="CD1372" s="318"/>
      <c r="CE1372" s="318"/>
      <c r="CF1372" s="318"/>
      <c r="CG1372" s="318"/>
      <c r="CH1372" s="318"/>
      <c r="CI1372" s="318"/>
      <c r="CJ1372" s="463"/>
      <c r="CK1372" s="342"/>
      <c r="CL1372" s="333"/>
      <c r="CM1372" s="1079"/>
      <c r="CN1372" s="1005"/>
      <c r="CO1372" s="1005"/>
      <c r="CP1372" s="1005"/>
    </row>
    <row r="1373">
      <c r="B1373" s="1106" t="s">
        <v>1463</v>
      </c>
      <c r="C1373" s="1107">
        <v>44685.0</v>
      </c>
      <c r="D1373" s="103"/>
      <c r="E1373" s="1108">
        <v>5.0</v>
      </c>
      <c r="F1373" s="112" t="s">
        <v>2077</v>
      </c>
      <c r="G1373" s="1109">
        <v>0.6377314814814815</v>
      </c>
      <c r="H1373" s="1110">
        <v>0.637962962962963</v>
      </c>
      <c r="I1373" s="1110"/>
      <c r="J1373" s="1111"/>
      <c r="K1373" s="1111">
        <v>0.640162037037037</v>
      </c>
      <c r="L1373" s="1112">
        <v>0.002199074074074074</v>
      </c>
      <c r="M1373" s="1113" t="s">
        <v>166</v>
      </c>
      <c r="N1373" s="110" t="s">
        <v>187</v>
      </c>
      <c r="O1373" s="1114" t="s">
        <v>202</v>
      </c>
      <c r="P1373" s="1115" t="s">
        <v>256</v>
      </c>
      <c r="Q1373" s="1116"/>
      <c r="R1373" s="120">
        <v>24.4</v>
      </c>
      <c r="S1373" s="1113">
        <v>7.5</v>
      </c>
      <c r="T1373" s="110">
        <v>0.57</v>
      </c>
      <c r="U1373" s="1108">
        <v>0.5</v>
      </c>
      <c r="V1373" s="1108"/>
      <c r="W1373" s="1108"/>
      <c r="X1373" s="1108"/>
      <c r="Y1373" s="1108"/>
      <c r="Z1373" s="1114" t="s">
        <v>339</v>
      </c>
      <c r="AA1373" s="1114"/>
      <c r="AB1373" s="1114" t="s">
        <v>341</v>
      </c>
      <c r="AC1373" s="1117">
        <v>3.0</v>
      </c>
      <c r="AD1373" s="1115"/>
      <c r="AE1373" s="1115"/>
      <c r="AF1373" s="1115"/>
      <c r="AG1373" s="1115"/>
      <c r="AH1373" s="1115"/>
      <c r="AI1373" s="1115"/>
      <c r="AJ1373" s="1117"/>
      <c r="AK1373" s="1118"/>
      <c r="AL1373" s="1115"/>
      <c r="AM1373" s="1115"/>
      <c r="AN1373" s="1115"/>
      <c r="AO1373" s="1115"/>
      <c r="AP1373" s="1115"/>
      <c r="AQ1373" s="1115"/>
      <c r="AR1373" s="1115"/>
      <c r="AS1373" s="1117"/>
      <c r="AT1373" s="1075" t="s">
        <v>181</v>
      </c>
      <c r="AU1373" s="1078" t="s">
        <v>845</v>
      </c>
      <c r="AV1373" s="330">
        <f>SQRT(($R1373-Infrastructure!J$3)^2+($S1373-Infrastructure!K$3)^2)</f>
        <v>32.68103426</v>
      </c>
      <c r="AW1373" s="331">
        <f>SQRT(($R1373-Infrastructure!J$4)^2+($S1373-Infrastructure!K$4)^2)</f>
        <v>26.76153957</v>
      </c>
      <c r="AX1373" s="331">
        <f>SQRT(($R1373-Infrastructure!J$5)^2+($S1373-Infrastructure!K$5)^2)</f>
        <v>24.81632527</v>
      </c>
      <c r="AY1373" s="331">
        <f>SQRT(($R1373-Infrastructure!J$6)^2+($S1373-Infrastructure!K$6)^2)</f>
        <v>16.01030918</v>
      </c>
      <c r="AZ1373" s="331">
        <f>SQRT(($R1373-Infrastructure!J$7)^2+($S1373-Infrastructure!K$7)^2)</f>
        <v>8.188406438</v>
      </c>
      <c r="BA1373" s="331">
        <f>SQRT(($R1373-Infrastructure!J$8)^2+($S1373-Infrastructure!K$8)^2)</f>
        <v>9.183136719</v>
      </c>
      <c r="BB1373" s="331">
        <f>SQRT(($R1373-Infrastructure!J$9)^2+($S1373-Infrastructure!K$9)^2)</f>
        <v>15.78353573</v>
      </c>
      <c r="BC1373" s="331">
        <f>SQRT(($R1373-Infrastructure!J$10)^2+($S1373-Infrastructure!K$10)^2)</f>
        <v>17.30924608</v>
      </c>
      <c r="BD1373" s="331">
        <f>SQRT(($R1373-Infrastructure!J$11)^2+($S1373-Infrastructure!K$11)^2)</f>
        <v>26.68126684</v>
      </c>
      <c r="BE1373" s="333">
        <f>SQRT(($R1373-Infrastructure!J$12)^2+($S1373-Infrastructure!K$12)^2)</f>
        <v>48.08752437</v>
      </c>
      <c r="BF1373" s="330">
        <f t="shared" si="161"/>
        <v>8.188406438</v>
      </c>
      <c r="BG1373" s="333">
        <f t="shared" si="162"/>
        <v>48.08752437</v>
      </c>
      <c r="BH1373" s="1119"/>
      <c r="BI1373" s="319"/>
      <c r="BJ1373" s="319"/>
      <c r="BK1373" s="319"/>
      <c r="BL1373" s="319"/>
      <c r="BM1373" s="955"/>
      <c r="BN1373" s="319"/>
      <c r="BO1373" s="319"/>
      <c r="BP1373" s="953"/>
      <c r="BQ1373" s="319"/>
      <c r="BR1373" s="324"/>
      <c r="BS1373" s="330">
        <f t="shared" si="169"/>
        <v>0</v>
      </c>
      <c r="BT1373" s="331">
        <f t="shared" si="170"/>
        <v>0</v>
      </c>
      <c r="BU1373" s="920"/>
      <c r="BV1373" s="903">
        <f t="shared" si="171"/>
        <v>-0.6377314815</v>
      </c>
      <c r="BW1373" s="907"/>
      <c r="BX1373" s="908"/>
      <c r="BY1373" s="331" t="b">
        <f t="shared" si="166"/>
        <v>0</v>
      </c>
      <c r="BZ1373" s="340"/>
      <c r="CA1373" s="316"/>
      <c r="CB1373" s="318"/>
      <c r="CC1373" s="318"/>
      <c r="CD1373" s="318"/>
      <c r="CE1373" s="318"/>
      <c r="CF1373" s="318"/>
      <c r="CG1373" s="318"/>
      <c r="CH1373" s="318"/>
      <c r="CI1373" s="318"/>
      <c r="CJ1373" s="463"/>
      <c r="CK1373" s="342"/>
      <c r="CL1373" s="333"/>
      <c r="CM1373" s="1079"/>
      <c r="CN1373" s="1005"/>
      <c r="CO1373" s="1005"/>
      <c r="CP1373" s="1005"/>
    </row>
    <row r="1374">
      <c r="B1374" s="1106" t="s">
        <v>1463</v>
      </c>
      <c r="C1374" s="1107">
        <v>44685.0</v>
      </c>
      <c r="D1374" s="1165"/>
      <c r="E1374" s="1108">
        <v>6.0</v>
      </c>
      <c r="F1374" s="112" t="s">
        <v>2078</v>
      </c>
      <c r="G1374" s="1151">
        <v>0.6410300925925926</v>
      </c>
      <c r="H1374" s="1152">
        <v>0.6413194444444444</v>
      </c>
      <c r="I1374" s="1152"/>
      <c r="J1374" s="1153"/>
      <c r="K1374" s="1153">
        <v>0.6452546296296297</v>
      </c>
      <c r="L1374" s="1112">
        <v>0.003935185185185185</v>
      </c>
      <c r="M1374" s="1113" t="s">
        <v>166</v>
      </c>
      <c r="N1374" s="110" t="s">
        <v>187</v>
      </c>
      <c r="O1374" s="1114" t="s">
        <v>202</v>
      </c>
      <c r="P1374" s="1115" t="s">
        <v>256</v>
      </c>
      <c r="Q1374" s="1116"/>
      <c r="R1374" s="120">
        <v>24.4</v>
      </c>
      <c r="S1374" s="1113">
        <v>7.5</v>
      </c>
      <c r="T1374" s="110">
        <v>0.57</v>
      </c>
      <c r="U1374" s="1108">
        <v>0.3</v>
      </c>
      <c r="V1374" s="1108"/>
      <c r="W1374" s="1108"/>
      <c r="X1374" s="1108"/>
      <c r="Y1374" s="1108"/>
      <c r="Z1374" s="1114" t="s">
        <v>339</v>
      </c>
      <c r="AA1374" s="1114"/>
      <c r="AB1374" s="1114" t="s">
        <v>341</v>
      </c>
      <c r="AC1374" s="1117">
        <v>3.0</v>
      </c>
      <c r="AD1374" s="1115"/>
      <c r="AE1374" s="1115"/>
      <c r="AF1374" s="1115"/>
      <c r="AG1374" s="1115"/>
      <c r="AH1374" s="1115"/>
      <c r="AI1374" s="1115"/>
      <c r="AJ1374" s="1117"/>
      <c r="AK1374" s="1118"/>
      <c r="AL1374" s="1115"/>
      <c r="AM1374" s="1115"/>
      <c r="AN1374" s="1115"/>
      <c r="AO1374" s="1115"/>
      <c r="AP1374" s="1115"/>
      <c r="AQ1374" s="1115"/>
      <c r="AR1374" s="1115"/>
      <c r="AS1374" s="1117"/>
      <c r="AT1374" s="1075" t="s">
        <v>181</v>
      </c>
      <c r="AU1374" s="1078" t="s">
        <v>845</v>
      </c>
      <c r="AV1374" s="330">
        <f>SQRT(($R1374-Infrastructure!J$3)^2+($S1374-Infrastructure!K$3)^2)</f>
        <v>32.68103426</v>
      </c>
      <c r="AW1374" s="331">
        <f>SQRT(($R1374-Infrastructure!J$4)^2+($S1374-Infrastructure!K$4)^2)</f>
        <v>26.76153957</v>
      </c>
      <c r="AX1374" s="331">
        <f>SQRT(($R1374-Infrastructure!J$5)^2+($S1374-Infrastructure!K$5)^2)</f>
        <v>24.81632527</v>
      </c>
      <c r="AY1374" s="331">
        <f>SQRT(($R1374-Infrastructure!J$6)^2+($S1374-Infrastructure!K$6)^2)</f>
        <v>16.01030918</v>
      </c>
      <c r="AZ1374" s="331">
        <f>SQRT(($R1374-Infrastructure!J$7)^2+($S1374-Infrastructure!K$7)^2)</f>
        <v>8.188406438</v>
      </c>
      <c r="BA1374" s="331">
        <f>SQRT(($R1374-Infrastructure!J$8)^2+($S1374-Infrastructure!K$8)^2)</f>
        <v>9.183136719</v>
      </c>
      <c r="BB1374" s="331">
        <f>SQRT(($R1374-Infrastructure!J$9)^2+($S1374-Infrastructure!K$9)^2)</f>
        <v>15.78353573</v>
      </c>
      <c r="BC1374" s="331">
        <f>SQRT(($R1374-Infrastructure!J$10)^2+($S1374-Infrastructure!K$10)^2)</f>
        <v>17.30924608</v>
      </c>
      <c r="BD1374" s="331">
        <f>SQRT(($R1374-Infrastructure!J$11)^2+($S1374-Infrastructure!K$11)^2)</f>
        <v>26.68126684</v>
      </c>
      <c r="BE1374" s="333">
        <f>SQRT(($R1374-Infrastructure!J$12)^2+($S1374-Infrastructure!K$12)^2)</f>
        <v>48.08752437</v>
      </c>
      <c r="BF1374" s="330">
        <f t="shared" si="161"/>
        <v>8.188406438</v>
      </c>
      <c r="BG1374" s="333">
        <f t="shared" si="162"/>
        <v>48.08752437</v>
      </c>
      <c r="BH1374" s="1119"/>
      <c r="BI1374" s="319"/>
      <c r="BJ1374" s="319"/>
      <c r="BK1374" s="319"/>
      <c r="BL1374" s="319"/>
      <c r="BM1374" s="955"/>
      <c r="BN1374" s="319"/>
      <c r="BO1374" s="319"/>
      <c r="BP1374" s="953"/>
      <c r="BQ1374" s="319"/>
      <c r="BR1374" s="324"/>
      <c r="BS1374" s="330">
        <f t="shared" si="169"/>
        <v>0</v>
      </c>
      <c r="BT1374" s="331">
        <f t="shared" si="170"/>
        <v>0</v>
      </c>
      <c r="BU1374" s="920"/>
      <c r="BV1374" s="903">
        <f t="shared" si="171"/>
        <v>-0.6410300926</v>
      </c>
      <c r="BW1374" s="907"/>
      <c r="BX1374" s="908"/>
      <c r="BY1374" s="331" t="b">
        <f t="shared" si="166"/>
        <v>0</v>
      </c>
      <c r="BZ1374" s="340"/>
      <c r="CA1374" s="316"/>
      <c r="CB1374" s="318"/>
      <c r="CC1374" s="318"/>
      <c r="CD1374" s="318"/>
      <c r="CE1374" s="318"/>
      <c r="CF1374" s="318"/>
      <c r="CG1374" s="318"/>
      <c r="CH1374" s="318"/>
      <c r="CI1374" s="318"/>
      <c r="CJ1374" s="463"/>
      <c r="CK1374" s="342"/>
      <c r="CL1374" s="333"/>
      <c r="CM1374" s="1079"/>
      <c r="CN1374" s="1005"/>
      <c r="CO1374" s="1005"/>
      <c r="CP1374" s="1005"/>
    </row>
    <row r="1375">
      <c r="B1375" s="1106" t="s">
        <v>1463</v>
      </c>
      <c r="C1375" s="1107">
        <v>44685.0</v>
      </c>
      <c r="D1375" s="103"/>
      <c r="E1375" s="1108">
        <v>7.0</v>
      </c>
      <c r="F1375" s="112" t="s">
        <v>2079</v>
      </c>
      <c r="G1375" s="1109">
        <v>0.6503472222222222</v>
      </c>
      <c r="H1375" s="1110">
        <v>0.6506944444444445</v>
      </c>
      <c r="I1375" s="1110"/>
      <c r="J1375" s="1111"/>
      <c r="K1375" s="1111">
        <v>0.6530671296296297</v>
      </c>
      <c r="L1375" s="1112">
        <v>0.002372685185185185</v>
      </c>
      <c r="M1375" s="1113" t="s">
        <v>166</v>
      </c>
      <c r="N1375" s="110" t="s">
        <v>187</v>
      </c>
      <c r="O1375" s="1114" t="s">
        <v>205</v>
      </c>
      <c r="P1375" s="1115" t="s">
        <v>296</v>
      </c>
      <c r="Q1375" s="1116"/>
      <c r="R1375" s="120">
        <v>20.7</v>
      </c>
      <c r="S1375" s="1113">
        <v>5.1</v>
      </c>
      <c r="T1375" s="110">
        <v>1.2</v>
      </c>
      <c r="U1375" s="1108">
        <v>10.0</v>
      </c>
      <c r="V1375" s="1108"/>
      <c r="W1375" s="1108"/>
      <c r="X1375" s="1108"/>
      <c r="Y1375" s="1108"/>
      <c r="Z1375" s="1114" t="s">
        <v>1983</v>
      </c>
      <c r="AA1375" s="1114"/>
      <c r="AB1375" s="1114" t="s">
        <v>384</v>
      </c>
      <c r="AC1375" s="1117">
        <v>6.0</v>
      </c>
      <c r="AD1375" s="1115"/>
      <c r="AE1375" s="1115"/>
      <c r="AF1375" s="1115"/>
      <c r="AG1375" s="1115"/>
      <c r="AH1375" s="1115"/>
      <c r="AI1375" s="1115"/>
      <c r="AJ1375" s="1117"/>
      <c r="AK1375" s="1118"/>
      <c r="AL1375" s="1115"/>
      <c r="AM1375" s="1115"/>
      <c r="AN1375" s="1115"/>
      <c r="AO1375" s="1115"/>
      <c r="AP1375" s="1115"/>
      <c r="AQ1375" s="1115"/>
      <c r="AR1375" s="1115"/>
      <c r="AS1375" s="1117"/>
      <c r="AT1375" s="1075" t="s">
        <v>183</v>
      </c>
      <c r="AU1375" s="1078" t="s">
        <v>845</v>
      </c>
      <c r="AV1375" s="330">
        <f>SQRT(($R1375-Infrastructure!J$3)^2+($S1375-Infrastructure!K$3)^2)</f>
        <v>31.74019534</v>
      </c>
      <c r="AW1375" s="331">
        <f>SQRT(($R1375-Infrastructure!J$4)^2+($S1375-Infrastructure!K$4)^2)</f>
        <v>24.54159734</v>
      </c>
      <c r="AX1375" s="331">
        <f>SQRT(($R1375-Infrastructure!J$5)^2+($S1375-Infrastructure!K$5)^2)</f>
        <v>21</v>
      </c>
      <c r="AY1375" s="331">
        <f>SQRT(($R1375-Infrastructure!J$6)^2+($S1375-Infrastructure!K$6)^2)</f>
        <v>11.63615057</v>
      </c>
      <c r="AZ1375" s="331">
        <f>SQRT(($R1375-Infrastructure!J$7)^2+($S1375-Infrastructure!K$7)^2)</f>
        <v>4.80416486</v>
      </c>
      <c r="BA1375" s="331">
        <f>SQRT(($R1375-Infrastructure!J$8)^2+($S1375-Infrastructure!K$8)^2)</f>
        <v>10.55461984</v>
      </c>
      <c r="BB1375" s="331">
        <f>SQRT(($R1375-Infrastructure!J$9)^2+($S1375-Infrastructure!K$9)^2)</f>
        <v>19.3</v>
      </c>
      <c r="BC1375" s="331">
        <f>SQRT(($R1375-Infrastructure!J$10)^2+($S1375-Infrastructure!K$10)^2)</f>
        <v>21.69101196</v>
      </c>
      <c r="BD1375" s="331">
        <f>SQRT(($R1375-Infrastructure!J$11)^2+($S1375-Infrastructure!K$11)^2)</f>
        <v>30.84574525</v>
      </c>
      <c r="BE1375" s="333">
        <f>SQRT(($R1375-Infrastructure!J$12)^2+($S1375-Infrastructure!K$12)^2)</f>
        <v>50.40634881</v>
      </c>
      <c r="BF1375" s="330">
        <f t="shared" si="161"/>
        <v>4.80416486</v>
      </c>
      <c r="BG1375" s="333">
        <f t="shared" si="162"/>
        <v>50.40634881</v>
      </c>
      <c r="BH1375" s="1119"/>
      <c r="BI1375" s="319"/>
      <c r="BJ1375" s="319"/>
      <c r="BK1375" s="319" t="s">
        <v>846</v>
      </c>
      <c r="BL1375" s="319" t="s">
        <v>846</v>
      </c>
      <c r="BM1375" s="955"/>
      <c r="BN1375" s="319" t="s">
        <v>846</v>
      </c>
      <c r="BO1375" s="319"/>
      <c r="BP1375" s="953"/>
      <c r="BQ1375" s="319"/>
      <c r="BR1375" s="324" t="s">
        <v>846</v>
      </c>
      <c r="BS1375" s="330">
        <f t="shared" si="169"/>
        <v>10.55461984</v>
      </c>
      <c r="BT1375" s="331">
        <f t="shared" si="170"/>
        <v>50.40634881</v>
      </c>
      <c r="BU1375" s="920"/>
      <c r="BV1375" s="903">
        <f t="shared" si="171"/>
        <v>-0.6503472222</v>
      </c>
      <c r="BW1375" s="907"/>
      <c r="BX1375" s="908"/>
      <c r="BY1375" s="331" t="b">
        <f t="shared" si="166"/>
        <v>0</v>
      </c>
      <c r="BZ1375" s="340"/>
      <c r="CA1375" s="316"/>
      <c r="CB1375" s="318"/>
      <c r="CC1375" s="318"/>
      <c r="CD1375" s="318"/>
      <c r="CE1375" s="318"/>
      <c r="CF1375" s="318"/>
      <c r="CG1375" s="318"/>
      <c r="CH1375" s="318"/>
      <c r="CI1375" s="318"/>
      <c r="CJ1375" s="463"/>
      <c r="CK1375" s="342"/>
      <c r="CL1375" s="333"/>
      <c r="CM1375" s="1079"/>
      <c r="CN1375" s="1005"/>
      <c r="CO1375" s="1005"/>
      <c r="CP1375" s="1005"/>
    </row>
    <row r="1376">
      <c r="B1376" s="1106" t="s">
        <v>1463</v>
      </c>
      <c r="C1376" s="1107">
        <v>44685.0</v>
      </c>
      <c r="D1376" s="103"/>
      <c r="E1376" s="1108">
        <v>8.0</v>
      </c>
      <c r="F1376" s="112" t="s">
        <v>2080</v>
      </c>
      <c r="G1376" s="1109">
        <v>0.6586226851851852</v>
      </c>
      <c r="H1376" s="1110">
        <v>0.6590277777777778</v>
      </c>
      <c r="I1376" s="1110"/>
      <c r="J1376" s="1111"/>
      <c r="K1376" s="1111">
        <v>0.6605324074074074</v>
      </c>
      <c r="L1376" s="1112">
        <v>0.0015046296296296296</v>
      </c>
      <c r="M1376" s="1113" t="s">
        <v>166</v>
      </c>
      <c r="N1376" s="110" t="s">
        <v>187</v>
      </c>
      <c r="O1376" s="1114" t="s">
        <v>205</v>
      </c>
      <c r="P1376" s="1115" t="s">
        <v>296</v>
      </c>
      <c r="Q1376" s="1116"/>
      <c r="R1376" s="120">
        <v>20.7</v>
      </c>
      <c r="S1376" s="1113">
        <v>5.1</v>
      </c>
      <c r="T1376" s="110">
        <v>1.2</v>
      </c>
      <c r="U1376" s="1108">
        <v>4.0</v>
      </c>
      <c r="V1376" s="1108"/>
      <c r="W1376" s="1108"/>
      <c r="X1376" s="1108"/>
      <c r="Y1376" s="1108"/>
      <c r="Z1376" s="1114" t="s">
        <v>365</v>
      </c>
      <c r="AA1376" s="1114"/>
      <c r="AB1376" s="1114" t="s">
        <v>380</v>
      </c>
      <c r="AC1376" s="1117">
        <v>4.0</v>
      </c>
      <c r="AD1376" s="1115"/>
      <c r="AE1376" s="1115"/>
      <c r="AF1376" s="1115"/>
      <c r="AG1376" s="1115"/>
      <c r="AH1376" s="1115"/>
      <c r="AI1376" s="1115"/>
      <c r="AJ1376" s="1117"/>
      <c r="AK1376" s="1118"/>
      <c r="AL1376" s="1115"/>
      <c r="AM1376" s="1115"/>
      <c r="AN1376" s="1115"/>
      <c r="AO1376" s="1115"/>
      <c r="AP1376" s="1115"/>
      <c r="AQ1376" s="1115"/>
      <c r="AR1376" s="1115"/>
      <c r="AS1376" s="1117"/>
      <c r="AT1376" s="1075" t="s">
        <v>182</v>
      </c>
      <c r="AU1376" s="1078" t="s">
        <v>845</v>
      </c>
      <c r="AV1376" s="330">
        <f>SQRT(($R1376-Infrastructure!J$3)^2+($S1376-Infrastructure!K$3)^2)</f>
        <v>31.74019534</v>
      </c>
      <c r="AW1376" s="331">
        <f>SQRT(($R1376-Infrastructure!J$4)^2+($S1376-Infrastructure!K$4)^2)</f>
        <v>24.54159734</v>
      </c>
      <c r="AX1376" s="331">
        <f>SQRT(($R1376-Infrastructure!J$5)^2+($S1376-Infrastructure!K$5)^2)</f>
        <v>21</v>
      </c>
      <c r="AY1376" s="331">
        <f>SQRT(($R1376-Infrastructure!J$6)^2+($S1376-Infrastructure!K$6)^2)</f>
        <v>11.63615057</v>
      </c>
      <c r="AZ1376" s="331">
        <f>SQRT(($R1376-Infrastructure!J$7)^2+($S1376-Infrastructure!K$7)^2)</f>
        <v>4.80416486</v>
      </c>
      <c r="BA1376" s="331">
        <f>SQRT(($R1376-Infrastructure!J$8)^2+($S1376-Infrastructure!K$8)^2)</f>
        <v>10.55461984</v>
      </c>
      <c r="BB1376" s="331">
        <f>SQRT(($R1376-Infrastructure!J$9)^2+($S1376-Infrastructure!K$9)^2)</f>
        <v>19.3</v>
      </c>
      <c r="BC1376" s="331">
        <f>SQRT(($R1376-Infrastructure!J$10)^2+($S1376-Infrastructure!K$10)^2)</f>
        <v>21.69101196</v>
      </c>
      <c r="BD1376" s="331">
        <f>SQRT(($R1376-Infrastructure!J$11)^2+($S1376-Infrastructure!K$11)^2)</f>
        <v>30.84574525</v>
      </c>
      <c r="BE1376" s="333">
        <f>SQRT(($R1376-Infrastructure!J$12)^2+($S1376-Infrastructure!K$12)^2)</f>
        <v>50.40634881</v>
      </c>
      <c r="BF1376" s="330">
        <f t="shared" si="161"/>
        <v>4.80416486</v>
      </c>
      <c r="BG1376" s="333">
        <f t="shared" si="162"/>
        <v>50.40634881</v>
      </c>
      <c r="BH1376" s="1119"/>
      <c r="BI1376" s="319"/>
      <c r="BJ1376" s="319"/>
      <c r="BK1376" s="319" t="s">
        <v>846</v>
      </c>
      <c r="BL1376" s="319" t="s">
        <v>846</v>
      </c>
      <c r="BM1376" s="955"/>
      <c r="BN1376" s="319" t="s">
        <v>846</v>
      </c>
      <c r="BO1376" s="319"/>
      <c r="BP1376" s="953"/>
      <c r="BQ1376" s="319"/>
      <c r="BR1376" s="324" t="s">
        <v>846</v>
      </c>
      <c r="BS1376" s="330">
        <f t="shared" si="169"/>
        <v>10.55461984</v>
      </c>
      <c r="BT1376" s="331">
        <f t="shared" si="170"/>
        <v>50.40634881</v>
      </c>
      <c r="BU1376" s="920"/>
      <c r="BV1376" s="903">
        <f t="shared" si="171"/>
        <v>-0.6586226852</v>
      </c>
      <c r="BW1376" s="907"/>
      <c r="BX1376" s="908"/>
      <c r="BY1376" s="331" t="b">
        <f t="shared" si="166"/>
        <v>0</v>
      </c>
      <c r="BZ1376" s="340"/>
      <c r="CA1376" s="316"/>
      <c r="CB1376" s="318"/>
      <c r="CC1376" s="318"/>
      <c r="CD1376" s="318"/>
      <c r="CE1376" s="318"/>
      <c r="CF1376" s="318"/>
      <c r="CG1376" s="318"/>
      <c r="CH1376" s="318"/>
      <c r="CI1376" s="318"/>
      <c r="CJ1376" s="463"/>
      <c r="CK1376" s="342"/>
      <c r="CL1376" s="333"/>
      <c r="CM1376" s="1079"/>
      <c r="CN1376" s="1005"/>
      <c r="CO1376" s="1005"/>
      <c r="CP1376" s="1005"/>
    </row>
    <row r="1377">
      <c r="B1377" s="1106" t="s">
        <v>1463</v>
      </c>
      <c r="C1377" s="1107">
        <v>44685.0</v>
      </c>
      <c r="D1377" s="103"/>
      <c r="E1377" s="1108">
        <v>9.0</v>
      </c>
      <c r="F1377" s="112" t="s">
        <v>2081</v>
      </c>
      <c r="G1377" s="1109">
        <v>0.6615740740740741</v>
      </c>
      <c r="H1377" s="1110">
        <v>0.6619212962962963</v>
      </c>
      <c r="I1377" s="1110"/>
      <c r="J1377" s="1111"/>
      <c r="K1377" s="1111">
        <v>0.6637152777777777</v>
      </c>
      <c r="L1377" s="1112">
        <v>0.0017939814814814815</v>
      </c>
      <c r="M1377" s="1113" t="s">
        <v>166</v>
      </c>
      <c r="N1377" s="110" t="s">
        <v>187</v>
      </c>
      <c r="O1377" s="1114" t="s">
        <v>205</v>
      </c>
      <c r="P1377" s="1115" t="s">
        <v>296</v>
      </c>
      <c r="Q1377" s="1116"/>
      <c r="R1377" s="120">
        <v>20.7</v>
      </c>
      <c r="S1377" s="1113">
        <v>5.1</v>
      </c>
      <c r="T1377" s="110">
        <v>1.2</v>
      </c>
      <c r="U1377" s="1108">
        <v>2.0</v>
      </c>
      <c r="V1377" s="1108"/>
      <c r="W1377" s="1108"/>
      <c r="X1377" s="1108"/>
      <c r="Y1377" s="1108"/>
      <c r="Z1377" s="1114" t="s">
        <v>365</v>
      </c>
      <c r="AA1377" s="1114"/>
      <c r="AB1377" s="1114" t="s">
        <v>380</v>
      </c>
      <c r="AC1377" s="1117">
        <v>4.0</v>
      </c>
      <c r="AD1377" s="1115"/>
      <c r="AE1377" s="1115"/>
      <c r="AF1377" s="1115"/>
      <c r="AG1377" s="1115"/>
      <c r="AH1377" s="1115"/>
      <c r="AI1377" s="1115"/>
      <c r="AJ1377" s="1117"/>
      <c r="AK1377" s="1118"/>
      <c r="AL1377" s="1115"/>
      <c r="AM1377" s="1115"/>
      <c r="AN1377" s="1115"/>
      <c r="AO1377" s="1115"/>
      <c r="AP1377" s="1115"/>
      <c r="AQ1377" s="1115"/>
      <c r="AR1377" s="1115"/>
      <c r="AS1377" s="1117"/>
      <c r="AT1377" s="1075" t="s">
        <v>182</v>
      </c>
      <c r="AU1377" s="1078" t="s">
        <v>845</v>
      </c>
      <c r="AV1377" s="330">
        <f>SQRT(($R1377-Infrastructure!J$3)^2+($S1377-Infrastructure!K$3)^2)</f>
        <v>31.74019534</v>
      </c>
      <c r="AW1377" s="331">
        <f>SQRT(($R1377-Infrastructure!J$4)^2+($S1377-Infrastructure!K$4)^2)</f>
        <v>24.54159734</v>
      </c>
      <c r="AX1377" s="331">
        <f>SQRT(($R1377-Infrastructure!J$5)^2+($S1377-Infrastructure!K$5)^2)</f>
        <v>21</v>
      </c>
      <c r="AY1377" s="331">
        <f>SQRT(($R1377-Infrastructure!J$6)^2+($S1377-Infrastructure!K$6)^2)</f>
        <v>11.63615057</v>
      </c>
      <c r="AZ1377" s="331">
        <f>SQRT(($R1377-Infrastructure!J$7)^2+($S1377-Infrastructure!K$7)^2)</f>
        <v>4.80416486</v>
      </c>
      <c r="BA1377" s="331">
        <f>SQRT(($R1377-Infrastructure!J$8)^2+($S1377-Infrastructure!K$8)^2)</f>
        <v>10.55461984</v>
      </c>
      <c r="BB1377" s="331">
        <f>SQRT(($R1377-Infrastructure!J$9)^2+($S1377-Infrastructure!K$9)^2)</f>
        <v>19.3</v>
      </c>
      <c r="BC1377" s="331">
        <f>SQRT(($R1377-Infrastructure!J$10)^2+($S1377-Infrastructure!K$10)^2)</f>
        <v>21.69101196</v>
      </c>
      <c r="BD1377" s="331">
        <f>SQRT(($R1377-Infrastructure!J$11)^2+($S1377-Infrastructure!K$11)^2)</f>
        <v>30.84574525</v>
      </c>
      <c r="BE1377" s="333">
        <f>SQRT(($R1377-Infrastructure!J$12)^2+($S1377-Infrastructure!K$12)^2)</f>
        <v>50.40634881</v>
      </c>
      <c r="BF1377" s="330">
        <f t="shared" si="161"/>
        <v>4.80416486</v>
      </c>
      <c r="BG1377" s="333">
        <f t="shared" si="162"/>
        <v>50.40634881</v>
      </c>
      <c r="BH1377" s="1119"/>
      <c r="BI1377" s="319"/>
      <c r="BJ1377" s="319"/>
      <c r="BK1377" s="319"/>
      <c r="BL1377" s="319"/>
      <c r="BM1377" s="955"/>
      <c r="BN1377" s="319"/>
      <c r="BO1377" s="319"/>
      <c r="BP1377" s="953"/>
      <c r="BQ1377" s="319"/>
      <c r="BR1377" s="324"/>
      <c r="BS1377" s="330">
        <f t="shared" si="169"/>
        <v>0</v>
      </c>
      <c r="BT1377" s="331">
        <f t="shared" si="170"/>
        <v>0</v>
      </c>
      <c r="BU1377" s="920"/>
      <c r="BV1377" s="903">
        <f t="shared" si="171"/>
        <v>-0.6615740741</v>
      </c>
      <c r="BW1377" s="907"/>
      <c r="BX1377" s="908"/>
      <c r="BY1377" s="331" t="b">
        <f t="shared" si="166"/>
        <v>0</v>
      </c>
      <c r="BZ1377" s="340"/>
      <c r="CA1377" s="316"/>
      <c r="CB1377" s="318"/>
      <c r="CC1377" s="318"/>
      <c r="CD1377" s="318"/>
      <c r="CE1377" s="318"/>
      <c r="CF1377" s="318"/>
      <c r="CG1377" s="318"/>
      <c r="CH1377" s="318"/>
      <c r="CI1377" s="318"/>
      <c r="CJ1377" s="463"/>
      <c r="CK1377" s="342"/>
      <c r="CL1377" s="333"/>
      <c r="CM1377" s="1079"/>
      <c r="CN1377" s="1005"/>
      <c r="CO1377" s="1005"/>
      <c r="CP1377" s="1005"/>
    </row>
    <row r="1378">
      <c r="B1378" s="1106" t="s">
        <v>1463</v>
      </c>
      <c r="C1378" s="1107">
        <v>44685.0</v>
      </c>
      <c r="D1378" s="103"/>
      <c r="E1378" s="1108">
        <v>10.0</v>
      </c>
      <c r="F1378" s="112" t="s">
        <v>2082</v>
      </c>
      <c r="G1378" s="1109">
        <v>0.664699074074074</v>
      </c>
      <c r="H1378" s="1110">
        <v>0.6652777777777777</v>
      </c>
      <c r="I1378" s="1110"/>
      <c r="J1378" s="1111"/>
      <c r="K1378" s="1111">
        <v>0.6663773148148148</v>
      </c>
      <c r="L1378" s="1112">
        <v>0.001099537037037037</v>
      </c>
      <c r="M1378" s="1113" t="s">
        <v>166</v>
      </c>
      <c r="N1378" s="110" t="s">
        <v>187</v>
      </c>
      <c r="O1378" s="1114" t="s">
        <v>205</v>
      </c>
      <c r="P1378" s="1115" t="s">
        <v>296</v>
      </c>
      <c r="Q1378" s="1116"/>
      <c r="R1378" s="120">
        <v>20.7</v>
      </c>
      <c r="S1378" s="1113">
        <v>5.1</v>
      </c>
      <c r="T1378" s="110">
        <v>1.2</v>
      </c>
      <c r="U1378" s="1108">
        <v>0.7</v>
      </c>
      <c r="V1378" s="1108"/>
      <c r="W1378" s="1108"/>
      <c r="X1378" s="1108"/>
      <c r="Y1378" s="1108"/>
      <c r="Z1378" s="1114" t="s">
        <v>365</v>
      </c>
      <c r="AA1378" s="1114"/>
      <c r="AB1378" s="1114" t="s">
        <v>380</v>
      </c>
      <c r="AC1378" s="1117">
        <v>4.0</v>
      </c>
      <c r="AD1378" s="1115"/>
      <c r="AE1378" s="1115"/>
      <c r="AF1378" s="1115"/>
      <c r="AG1378" s="1115"/>
      <c r="AH1378" s="1115"/>
      <c r="AI1378" s="1115"/>
      <c r="AJ1378" s="1117"/>
      <c r="AK1378" s="1118"/>
      <c r="AL1378" s="1115"/>
      <c r="AM1378" s="1115"/>
      <c r="AN1378" s="1115"/>
      <c r="AO1378" s="1115"/>
      <c r="AP1378" s="1115"/>
      <c r="AQ1378" s="1115"/>
      <c r="AR1378" s="1115"/>
      <c r="AS1378" s="1117"/>
      <c r="AT1378" s="1075" t="s">
        <v>181</v>
      </c>
      <c r="AU1378" s="1078" t="s">
        <v>845</v>
      </c>
      <c r="AV1378" s="330">
        <f>SQRT(($R1378-Infrastructure!J$3)^2+($S1378-Infrastructure!K$3)^2)</f>
        <v>31.74019534</v>
      </c>
      <c r="AW1378" s="331">
        <f>SQRT(($R1378-Infrastructure!J$4)^2+($S1378-Infrastructure!K$4)^2)</f>
        <v>24.54159734</v>
      </c>
      <c r="AX1378" s="331">
        <f>SQRT(($R1378-Infrastructure!J$5)^2+($S1378-Infrastructure!K$5)^2)</f>
        <v>21</v>
      </c>
      <c r="AY1378" s="331">
        <f>SQRT(($R1378-Infrastructure!J$6)^2+($S1378-Infrastructure!K$6)^2)</f>
        <v>11.63615057</v>
      </c>
      <c r="AZ1378" s="331">
        <f>SQRT(($R1378-Infrastructure!J$7)^2+($S1378-Infrastructure!K$7)^2)</f>
        <v>4.80416486</v>
      </c>
      <c r="BA1378" s="331">
        <f>SQRT(($R1378-Infrastructure!J$8)^2+($S1378-Infrastructure!K$8)^2)</f>
        <v>10.55461984</v>
      </c>
      <c r="BB1378" s="331">
        <f>SQRT(($R1378-Infrastructure!J$9)^2+($S1378-Infrastructure!K$9)^2)</f>
        <v>19.3</v>
      </c>
      <c r="BC1378" s="331">
        <f>SQRT(($R1378-Infrastructure!J$10)^2+($S1378-Infrastructure!K$10)^2)</f>
        <v>21.69101196</v>
      </c>
      <c r="BD1378" s="331">
        <f>SQRT(($R1378-Infrastructure!J$11)^2+($S1378-Infrastructure!K$11)^2)</f>
        <v>30.84574525</v>
      </c>
      <c r="BE1378" s="333">
        <f>SQRT(($R1378-Infrastructure!J$12)^2+($S1378-Infrastructure!K$12)^2)</f>
        <v>50.40634881</v>
      </c>
      <c r="BF1378" s="330">
        <f t="shared" si="161"/>
        <v>4.80416486</v>
      </c>
      <c r="BG1378" s="333">
        <f t="shared" si="162"/>
        <v>50.40634881</v>
      </c>
      <c r="BH1378" s="1119"/>
      <c r="BI1378" s="319"/>
      <c r="BJ1378" s="319"/>
      <c r="BK1378" s="319"/>
      <c r="BL1378" s="319"/>
      <c r="BM1378" s="955"/>
      <c r="BN1378" s="319"/>
      <c r="BO1378" s="319"/>
      <c r="BP1378" s="953"/>
      <c r="BQ1378" s="319"/>
      <c r="BR1378" s="324"/>
      <c r="BS1378" s="330">
        <f t="shared" si="169"/>
        <v>0</v>
      </c>
      <c r="BT1378" s="331">
        <f t="shared" si="170"/>
        <v>0</v>
      </c>
      <c r="BU1378" s="920"/>
      <c r="BV1378" s="903">
        <f t="shared" si="171"/>
        <v>-0.6646990741</v>
      </c>
      <c r="BW1378" s="907"/>
      <c r="BX1378" s="908"/>
      <c r="BY1378" s="331" t="b">
        <f t="shared" si="166"/>
        <v>0</v>
      </c>
      <c r="BZ1378" s="340"/>
      <c r="CA1378" s="316"/>
      <c r="CB1378" s="318"/>
      <c r="CC1378" s="318"/>
      <c r="CD1378" s="318"/>
      <c r="CE1378" s="318"/>
      <c r="CF1378" s="318"/>
      <c r="CG1378" s="318"/>
      <c r="CH1378" s="318"/>
      <c r="CI1378" s="318"/>
      <c r="CJ1378" s="463"/>
      <c r="CK1378" s="342"/>
      <c r="CL1378" s="333"/>
      <c r="CM1378" s="1079"/>
      <c r="CN1378" s="1005"/>
      <c r="CO1378" s="1005"/>
      <c r="CP1378" s="1005"/>
    </row>
    <row r="1379">
      <c r="B1379" s="1106" t="s">
        <v>1463</v>
      </c>
      <c r="C1379" s="1107">
        <v>44685.0</v>
      </c>
      <c r="D1379" s="103"/>
      <c r="E1379" s="1108">
        <v>11.0</v>
      </c>
      <c r="F1379" s="112" t="s">
        <v>2083</v>
      </c>
      <c r="G1379" s="1109">
        <v>0.6672453703703703</v>
      </c>
      <c r="H1379" s="1110">
        <v>0.6677083333333333</v>
      </c>
      <c r="I1379" s="1110"/>
      <c r="J1379" s="1111"/>
      <c r="K1379" s="1111">
        <v>0.6690393518518518</v>
      </c>
      <c r="L1379" s="1112">
        <v>0.0013310185185185185</v>
      </c>
      <c r="M1379" s="1113" t="s">
        <v>166</v>
      </c>
      <c r="N1379" s="110" t="s">
        <v>187</v>
      </c>
      <c r="O1379" s="1114" t="s">
        <v>205</v>
      </c>
      <c r="P1379" s="1115" t="s">
        <v>296</v>
      </c>
      <c r="Q1379" s="1116"/>
      <c r="R1379" s="120">
        <v>20.7</v>
      </c>
      <c r="S1379" s="1113">
        <v>5.1</v>
      </c>
      <c r="T1379" s="110">
        <v>1.2</v>
      </c>
      <c r="U1379" s="1108">
        <v>0.3</v>
      </c>
      <c r="V1379" s="1108"/>
      <c r="W1379" s="1108"/>
      <c r="X1379" s="1108"/>
      <c r="Y1379" s="1108"/>
      <c r="Z1379" s="1114" t="s">
        <v>365</v>
      </c>
      <c r="AA1379" s="1114"/>
      <c r="AB1379" s="1114" t="s">
        <v>380</v>
      </c>
      <c r="AC1379" s="1117">
        <v>4.0</v>
      </c>
      <c r="AD1379" s="1115"/>
      <c r="AE1379" s="1115"/>
      <c r="AF1379" s="1115"/>
      <c r="AG1379" s="1115"/>
      <c r="AH1379" s="1115"/>
      <c r="AI1379" s="1115"/>
      <c r="AJ1379" s="1117"/>
      <c r="AK1379" s="1118"/>
      <c r="AL1379" s="1115"/>
      <c r="AM1379" s="1115"/>
      <c r="AN1379" s="1115"/>
      <c r="AO1379" s="1115"/>
      <c r="AP1379" s="1115"/>
      <c r="AQ1379" s="1115"/>
      <c r="AR1379" s="1115"/>
      <c r="AS1379" s="1117"/>
      <c r="AT1379" s="1075" t="s">
        <v>181</v>
      </c>
      <c r="AU1379" s="1078" t="s">
        <v>845</v>
      </c>
      <c r="AV1379" s="330">
        <f>SQRT(($R1379-Infrastructure!J$3)^2+($S1379-Infrastructure!K$3)^2)</f>
        <v>31.74019534</v>
      </c>
      <c r="AW1379" s="331">
        <f>SQRT(($R1379-Infrastructure!J$4)^2+($S1379-Infrastructure!K$4)^2)</f>
        <v>24.54159734</v>
      </c>
      <c r="AX1379" s="331">
        <f>SQRT(($R1379-Infrastructure!J$5)^2+($S1379-Infrastructure!K$5)^2)</f>
        <v>21</v>
      </c>
      <c r="AY1379" s="331">
        <f>SQRT(($R1379-Infrastructure!J$6)^2+($S1379-Infrastructure!K$6)^2)</f>
        <v>11.63615057</v>
      </c>
      <c r="AZ1379" s="331">
        <f>SQRT(($R1379-Infrastructure!J$7)^2+($S1379-Infrastructure!K$7)^2)</f>
        <v>4.80416486</v>
      </c>
      <c r="BA1379" s="331">
        <f>SQRT(($R1379-Infrastructure!J$8)^2+($S1379-Infrastructure!K$8)^2)</f>
        <v>10.55461984</v>
      </c>
      <c r="BB1379" s="331">
        <f>SQRT(($R1379-Infrastructure!J$9)^2+($S1379-Infrastructure!K$9)^2)</f>
        <v>19.3</v>
      </c>
      <c r="BC1379" s="331">
        <f>SQRT(($R1379-Infrastructure!J$10)^2+($S1379-Infrastructure!K$10)^2)</f>
        <v>21.69101196</v>
      </c>
      <c r="BD1379" s="331">
        <f>SQRT(($R1379-Infrastructure!J$11)^2+($S1379-Infrastructure!K$11)^2)</f>
        <v>30.84574525</v>
      </c>
      <c r="BE1379" s="333">
        <f>SQRT(($R1379-Infrastructure!J$12)^2+($S1379-Infrastructure!K$12)^2)</f>
        <v>50.40634881</v>
      </c>
      <c r="BF1379" s="330">
        <f t="shared" si="161"/>
        <v>4.80416486</v>
      </c>
      <c r="BG1379" s="333">
        <f t="shared" si="162"/>
        <v>50.40634881</v>
      </c>
      <c r="BH1379" s="1119"/>
      <c r="BI1379" s="319"/>
      <c r="BJ1379" s="319"/>
      <c r="BK1379" s="319"/>
      <c r="BL1379" s="319"/>
      <c r="BM1379" s="955"/>
      <c r="BN1379" s="319"/>
      <c r="BO1379" s="319"/>
      <c r="BP1379" s="953"/>
      <c r="BQ1379" s="319"/>
      <c r="BR1379" s="324"/>
      <c r="BS1379" s="330">
        <f t="shared" si="169"/>
        <v>0</v>
      </c>
      <c r="BT1379" s="331">
        <f t="shared" si="170"/>
        <v>0</v>
      </c>
      <c r="BU1379" s="920"/>
      <c r="BV1379" s="903">
        <f t="shared" si="171"/>
        <v>-0.6672453704</v>
      </c>
      <c r="BW1379" s="907"/>
      <c r="BX1379" s="908"/>
      <c r="BY1379" s="331" t="b">
        <f t="shared" si="166"/>
        <v>0</v>
      </c>
      <c r="BZ1379" s="340"/>
      <c r="CA1379" s="316"/>
      <c r="CB1379" s="318"/>
      <c r="CC1379" s="318"/>
      <c r="CD1379" s="318"/>
      <c r="CE1379" s="318"/>
      <c r="CF1379" s="318"/>
      <c r="CG1379" s="318"/>
      <c r="CH1379" s="318"/>
      <c r="CI1379" s="318"/>
      <c r="CJ1379" s="463"/>
      <c r="CK1379" s="342"/>
      <c r="CL1379" s="333"/>
      <c r="CM1379" s="1079"/>
      <c r="CN1379" s="1005"/>
      <c r="CO1379" s="1005"/>
      <c r="CP1379" s="1005"/>
    </row>
    <row r="1380">
      <c r="B1380" s="1106" t="s">
        <v>1463</v>
      </c>
      <c r="C1380" s="1107">
        <v>44685.0</v>
      </c>
      <c r="D1380" s="103"/>
      <c r="E1380" s="1108">
        <v>12.0</v>
      </c>
      <c r="F1380" s="110" t="s">
        <v>2084</v>
      </c>
      <c r="G1380" s="1109">
        <v>0.672337962962963</v>
      </c>
      <c r="H1380" s="1110">
        <v>0.6725694444444444</v>
      </c>
      <c r="I1380" s="1110"/>
      <c r="J1380" s="1111"/>
      <c r="K1380" s="1111">
        <v>0.6748263888888889</v>
      </c>
      <c r="L1380" s="1112">
        <v>0.0022569444444444442</v>
      </c>
      <c r="M1380" s="1113" t="s">
        <v>166</v>
      </c>
      <c r="N1380" s="110" t="s">
        <v>187</v>
      </c>
      <c r="O1380" s="1114" t="s">
        <v>198</v>
      </c>
      <c r="P1380" s="1115" t="s">
        <v>218</v>
      </c>
      <c r="Q1380" s="1116"/>
      <c r="R1380" s="120">
        <v>10.3</v>
      </c>
      <c r="S1380" s="1113">
        <v>8.1</v>
      </c>
      <c r="T1380" s="110">
        <v>3.0</v>
      </c>
      <c r="U1380" s="1108">
        <v>10.0</v>
      </c>
      <c r="V1380" s="1108"/>
      <c r="W1380" s="1108"/>
      <c r="X1380" s="1108"/>
      <c r="Y1380" s="1108"/>
      <c r="Z1380" s="1114" t="s">
        <v>1985</v>
      </c>
      <c r="AA1380" s="1114"/>
      <c r="AB1380" s="1114" t="s">
        <v>384</v>
      </c>
      <c r="AC1380" s="1117">
        <v>6.0</v>
      </c>
      <c r="AD1380" s="1115"/>
      <c r="AE1380" s="1115"/>
      <c r="AF1380" s="1115"/>
      <c r="AG1380" s="1115"/>
      <c r="AH1380" s="1115"/>
      <c r="AI1380" s="1115"/>
      <c r="AJ1380" s="1117"/>
      <c r="AK1380" s="1118"/>
      <c r="AL1380" s="1115"/>
      <c r="AM1380" s="1115"/>
      <c r="AN1380" s="1115"/>
      <c r="AO1380" s="1115"/>
      <c r="AP1380" s="1115"/>
      <c r="AQ1380" s="1115"/>
      <c r="AR1380" s="1115"/>
      <c r="AS1380" s="1117"/>
      <c r="AT1380" s="1075" t="s">
        <v>183</v>
      </c>
      <c r="AU1380" s="1078" t="s">
        <v>845</v>
      </c>
      <c r="AV1380" s="330">
        <f>SQRT(($R1380-Infrastructure!J$3)^2+($S1380-Infrastructure!K$3)^2)</f>
        <v>23.34523506</v>
      </c>
      <c r="AW1380" s="331">
        <f>SQRT(($R1380-Infrastructure!J$4)^2+($S1380-Infrastructure!K$4)^2)</f>
        <v>14.36836804</v>
      </c>
      <c r="AX1380" s="331">
        <f>SQRT(($R1380-Infrastructure!J$5)^2+($S1380-Infrastructure!K$5)^2)</f>
        <v>11.01635148</v>
      </c>
      <c r="AY1380" s="331">
        <f>SQRT(($R1380-Infrastructure!J$6)^2+($S1380-Infrastructure!K$6)^2)</f>
        <v>7.802563681</v>
      </c>
      <c r="AZ1380" s="331">
        <f>SQRT(($R1380-Infrastructure!J$7)^2+($S1380-Infrastructure!K$7)^2)</f>
        <v>12.84056074</v>
      </c>
      <c r="BA1380" s="331">
        <f>SQRT(($R1380-Infrastructure!J$8)^2+($S1380-Infrastructure!K$8)^2)</f>
        <v>21.28097742</v>
      </c>
      <c r="BB1380" s="331">
        <f>SQRT(($R1380-Infrastructure!J$9)^2+($S1380-Infrastructure!K$9)^2)</f>
        <v>29.85113063</v>
      </c>
      <c r="BC1380" s="331">
        <f>SQRT(($R1380-Infrastructure!J$10)^2+($S1380-Infrastructure!K$10)^2)</f>
        <v>30.49098227</v>
      </c>
      <c r="BD1380" s="331">
        <f>SQRT(($R1380-Infrastructure!J$11)^2+($S1380-Infrastructure!K$11)^2)</f>
        <v>36.4804057</v>
      </c>
      <c r="BE1380" s="333">
        <f>SQRT(($R1380-Infrastructure!J$12)^2+($S1380-Infrastructure!K$12)^2)</f>
        <v>48.70523586</v>
      </c>
      <c r="BF1380" s="330">
        <f t="shared" si="161"/>
        <v>7.802563681</v>
      </c>
      <c r="BG1380" s="333">
        <f t="shared" si="162"/>
        <v>48.70523586</v>
      </c>
      <c r="BH1380" s="1119"/>
      <c r="BI1380" s="319" t="s">
        <v>846</v>
      </c>
      <c r="BJ1380" s="319" t="s">
        <v>846</v>
      </c>
      <c r="BK1380" s="319" t="s">
        <v>846</v>
      </c>
      <c r="BL1380" s="319" t="s">
        <v>846</v>
      </c>
      <c r="BM1380" s="955"/>
      <c r="BN1380" s="319" t="s">
        <v>846</v>
      </c>
      <c r="BO1380" s="319"/>
      <c r="BP1380" s="953"/>
      <c r="BQ1380" s="319"/>
      <c r="BR1380" s="324" t="s">
        <v>846</v>
      </c>
      <c r="BS1380" s="330">
        <f t="shared" si="169"/>
        <v>7.802563681</v>
      </c>
      <c r="BT1380" s="331">
        <f t="shared" si="170"/>
        <v>48.70523586</v>
      </c>
      <c r="BU1380" s="920"/>
      <c r="BV1380" s="903">
        <f t="shared" si="171"/>
        <v>-0.672337963</v>
      </c>
      <c r="BW1380" s="907"/>
      <c r="BX1380" s="908"/>
      <c r="BY1380" s="331" t="b">
        <f t="shared" si="166"/>
        <v>0</v>
      </c>
      <c r="BZ1380" s="340"/>
      <c r="CA1380" s="316"/>
      <c r="CB1380" s="318"/>
      <c r="CC1380" s="318"/>
      <c r="CD1380" s="318"/>
      <c r="CE1380" s="318"/>
      <c r="CF1380" s="318"/>
      <c r="CG1380" s="318"/>
      <c r="CH1380" s="318"/>
      <c r="CI1380" s="318"/>
      <c r="CJ1380" s="463"/>
      <c r="CK1380" s="342"/>
      <c r="CL1380" s="333"/>
      <c r="CM1380" s="1079"/>
      <c r="CN1380" s="1005"/>
      <c r="CO1380" s="1005"/>
      <c r="CP1380" s="1005"/>
    </row>
    <row r="1381">
      <c r="B1381" s="1106" t="s">
        <v>1463</v>
      </c>
      <c r="C1381" s="1107">
        <v>44685.0</v>
      </c>
      <c r="D1381" s="103"/>
      <c r="E1381" s="1108">
        <v>13.0</v>
      </c>
      <c r="F1381" s="110" t="s">
        <v>2085</v>
      </c>
      <c r="G1381" s="1109">
        <v>0.6778356481481481</v>
      </c>
      <c r="H1381" s="1110">
        <v>0.6781828703703704</v>
      </c>
      <c r="I1381" s="1110"/>
      <c r="J1381" s="1111"/>
      <c r="K1381" s="1111">
        <v>0.6800694444444444</v>
      </c>
      <c r="L1381" s="1112">
        <v>0.0018865740740740742</v>
      </c>
      <c r="M1381" s="1113" t="s">
        <v>166</v>
      </c>
      <c r="N1381" s="110" t="s">
        <v>187</v>
      </c>
      <c r="O1381" s="1114" t="s">
        <v>198</v>
      </c>
      <c r="P1381" s="1115" t="s">
        <v>218</v>
      </c>
      <c r="Q1381" s="1116"/>
      <c r="R1381" s="120">
        <v>10.3</v>
      </c>
      <c r="S1381" s="1113">
        <v>8.1</v>
      </c>
      <c r="T1381" s="110">
        <v>3.0</v>
      </c>
      <c r="U1381" s="1108">
        <v>7.0</v>
      </c>
      <c r="V1381" s="1108"/>
      <c r="W1381" s="1108"/>
      <c r="X1381" s="1108"/>
      <c r="Y1381" s="1108"/>
      <c r="Z1381" s="1114" t="s">
        <v>343</v>
      </c>
      <c r="AA1381" s="1114"/>
      <c r="AB1381" s="1114" t="s">
        <v>384</v>
      </c>
      <c r="AC1381" s="1117">
        <v>6.0</v>
      </c>
      <c r="AD1381" s="1115"/>
      <c r="AE1381" s="1115"/>
      <c r="AF1381" s="1115"/>
      <c r="AG1381" s="1115"/>
      <c r="AH1381" s="1115"/>
      <c r="AI1381" s="1115"/>
      <c r="AJ1381" s="1117"/>
      <c r="AK1381" s="1118"/>
      <c r="AL1381" s="1115"/>
      <c r="AM1381" s="1115"/>
      <c r="AN1381" s="1115"/>
      <c r="AO1381" s="1115"/>
      <c r="AP1381" s="1115"/>
      <c r="AQ1381" s="1115"/>
      <c r="AR1381" s="1115"/>
      <c r="AS1381" s="1117"/>
      <c r="AT1381" s="1075" t="s">
        <v>182</v>
      </c>
      <c r="AU1381" s="1078" t="s">
        <v>845</v>
      </c>
      <c r="AV1381" s="330">
        <f>SQRT(($R1381-Infrastructure!J$3)^2+($S1381-Infrastructure!K$3)^2)</f>
        <v>23.34523506</v>
      </c>
      <c r="AW1381" s="331">
        <f>SQRT(($R1381-Infrastructure!J$4)^2+($S1381-Infrastructure!K$4)^2)</f>
        <v>14.36836804</v>
      </c>
      <c r="AX1381" s="331">
        <f>SQRT(($R1381-Infrastructure!J$5)^2+($S1381-Infrastructure!K$5)^2)</f>
        <v>11.01635148</v>
      </c>
      <c r="AY1381" s="331">
        <f>SQRT(($R1381-Infrastructure!J$6)^2+($S1381-Infrastructure!K$6)^2)</f>
        <v>7.802563681</v>
      </c>
      <c r="AZ1381" s="331">
        <f>SQRT(($R1381-Infrastructure!J$7)^2+($S1381-Infrastructure!K$7)^2)</f>
        <v>12.84056074</v>
      </c>
      <c r="BA1381" s="331">
        <f>SQRT(($R1381-Infrastructure!J$8)^2+($S1381-Infrastructure!K$8)^2)</f>
        <v>21.28097742</v>
      </c>
      <c r="BB1381" s="331">
        <f>SQRT(($R1381-Infrastructure!J$9)^2+($S1381-Infrastructure!K$9)^2)</f>
        <v>29.85113063</v>
      </c>
      <c r="BC1381" s="331">
        <f>SQRT(($R1381-Infrastructure!J$10)^2+($S1381-Infrastructure!K$10)^2)</f>
        <v>30.49098227</v>
      </c>
      <c r="BD1381" s="331">
        <f>SQRT(($R1381-Infrastructure!J$11)^2+($S1381-Infrastructure!K$11)^2)</f>
        <v>36.4804057</v>
      </c>
      <c r="BE1381" s="333">
        <f>SQRT(($R1381-Infrastructure!J$12)^2+($S1381-Infrastructure!K$12)^2)</f>
        <v>48.70523586</v>
      </c>
      <c r="BF1381" s="330">
        <f t="shared" si="161"/>
        <v>7.802563681</v>
      </c>
      <c r="BG1381" s="333">
        <f t="shared" si="162"/>
        <v>48.70523586</v>
      </c>
      <c r="BH1381" s="1119"/>
      <c r="BI1381" s="319"/>
      <c r="BJ1381" s="319" t="s">
        <v>846</v>
      </c>
      <c r="BK1381" s="319" t="s">
        <v>846</v>
      </c>
      <c r="BL1381" s="319" t="s">
        <v>846</v>
      </c>
      <c r="BM1381" s="955"/>
      <c r="BN1381" s="319" t="s">
        <v>846</v>
      </c>
      <c r="BO1381" s="319"/>
      <c r="BP1381" s="953"/>
      <c r="BQ1381" s="319"/>
      <c r="BR1381" s="324" t="s">
        <v>846</v>
      </c>
      <c r="BS1381" s="330">
        <f t="shared" si="169"/>
        <v>7.802563681</v>
      </c>
      <c r="BT1381" s="331">
        <f t="shared" si="170"/>
        <v>48.70523586</v>
      </c>
      <c r="BU1381" s="920"/>
      <c r="BV1381" s="903">
        <f t="shared" si="171"/>
        <v>-0.6778356481</v>
      </c>
      <c r="BW1381" s="907"/>
      <c r="BX1381" s="908"/>
      <c r="BY1381" s="331" t="b">
        <f t="shared" si="166"/>
        <v>0</v>
      </c>
      <c r="BZ1381" s="340"/>
      <c r="CA1381" s="316"/>
      <c r="CB1381" s="318"/>
      <c r="CC1381" s="318"/>
      <c r="CD1381" s="318"/>
      <c r="CE1381" s="318"/>
      <c r="CF1381" s="318"/>
      <c r="CG1381" s="318"/>
      <c r="CH1381" s="318"/>
      <c r="CI1381" s="318"/>
      <c r="CJ1381" s="463"/>
      <c r="CK1381" s="342"/>
      <c r="CL1381" s="333"/>
      <c r="CM1381" s="1079"/>
      <c r="CN1381" s="1005"/>
      <c r="CO1381" s="1005"/>
      <c r="CP1381" s="1005"/>
    </row>
    <row r="1382">
      <c r="B1382" s="1106" t="s">
        <v>1463</v>
      </c>
      <c r="C1382" s="1107">
        <v>44685.0</v>
      </c>
      <c r="D1382" s="103"/>
      <c r="E1382" s="1108">
        <v>14.0</v>
      </c>
      <c r="F1382" s="110" t="s">
        <v>2086</v>
      </c>
      <c r="G1382" s="1109">
        <v>0.68125</v>
      </c>
      <c r="H1382" s="1110">
        <v>0.6822916666666666</v>
      </c>
      <c r="I1382" s="1110"/>
      <c r="J1382" s="1111"/>
      <c r="K1382" s="1111">
        <v>0.6846064814814815</v>
      </c>
      <c r="L1382" s="1112">
        <v>0.0023148148148148147</v>
      </c>
      <c r="M1382" s="1113" t="s">
        <v>166</v>
      </c>
      <c r="N1382" s="110" t="s">
        <v>187</v>
      </c>
      <c r="O1382" s="1114" t="s">
        <v>198</v>
      </c>
      <c r="P1382" s="1115" t="s">
        <v>218</v>
      </c>
      <c r="Q1382" s="1116"/>
      <c r="R1382" s="120">
        <v>10.3</v>
      </c>
      <c r="S1382" s="1113">
        <v>8.1</v>
      </c>
      <c r="T1382" s="110">
        <v>3.0</v>
      </c>
      <c r="U1382" s="1108">
        <v>5.0</v>
      </c>
      <c r="V1382" s="1108"/>
      <c r="W1382" s="1108"/>
      <c r="X1382" s="1108"/>
      <c r="Y1382" s="1108"/>
      <c r="Z1382" s="1114" t="s">
        <v>343</v>
      </c>
      <c r="AA1382" s="1114"/>
      <c r="AB1382" s="1114" t="s">
        <v>384</v>
      </c>
      <c r="AC1382" s="1117">
        <v>6.0</v>
      </c>
      <c r="AD1382" s="1115"/>
      <c r="AE1382" s="1115"/>
      <c r="AF1382" s="1115"/>
      <c r="AG1382" s="1115"/>
      <c r="AH1382" s="1115"/>
      <c r="AI1382" s="1115"/>
      <c r="AJ1382" s="1117"/>
      <c r="AK1382" s="1118"/>
      <c r="AL1382" s="1115"/>
      <c r="AM1382" s="1115"/>
      <c r="AN1382" s="1115"/>
      <c r="AO1382" s="1115"/>
      <c r="AP1382" s="1115"/>
      <c r="AQ1382" s="1115"/>
      <c r="AR1382" s="1115"/>
      <c r="AS1382" s="1117"/>
      <c r="AT1382" s="1075" t="s">
        <v>182</v>
      </c>
      <c r="AU1382" s="1078" t="s">
        <v>845</v>
      </c>
      <c r="AV1382" s="330">
        <f>SQRT(($R1382-Infrastructure!J$3)^2+($S1382-Infrastructure!K$3)^2)</f>
        <v>23.34523506</v>
      </c>
      <c r="AW1382" s="331">
        <f>SQRT(($R1382-Infrastructure!J$4)^2+($S1382-Infrastructure!K$4)^2)</f>
        <v>14.36836804</v>
      </c>
      <c r="AX1382" s="331">
        <f>SQRT(($R1382-Infrastructure!J$5)^2+($S1382-Infrastructure!K$5)^2)</f>
        <v>11.01635148</v>
      </c>
      <c r="AY1382" s="331">
        <f>SQRT(($R1382-Infrastructure!J$6)^2+($S1382-Infrastructure!K$6)^2)</f>
        <v>7.802563681</v>
      </c>
      <c r="AZ1382" s="331">
        <f>SQRT(($R1382-Infrastructure!J$7)^2+($S1382-Infrastructure!K$7)^2)</f>
        <v>12.84056074</v>
      </c>
      <c r="BA1382" s="331">
        <f>SQRT(($R1382-Infrastructure!J$8)^2+($S1382-Infrastructure!K$8)^2)</f>
        <v>21.28097742</v>
      </c>
      <c r="BB1382" s="331">
        <f>SQRT(($R1382-Infrastructure!J$9)^2+($S1382-Infrastructure!K$9)^2)</f>
        <v>29.85113063</v>
      </c>
      <c r="BC1382" s="331">
        <f>SQRT(($R1382-Infrastructure!J$10)^2+($S1382-Infrastructure!K$10)^2)</f>
        <v>30.49098227</v>
      </c>
      <c r="BD1382" s="331">
        <f>SQRT(($R1382-Infrastructure!J$11)^2+($S1382-Infrastructure!K$11)^2)</f>
        <v>36.4804057</v>
      </c>
      <c r="BE1382" s="333">
        <f>SQRT(($R1382-Infrastructure!J$12)^2+($S1382-Infrastructure!K$12)^2)</f>
        <v>48.70523586</v>
      </c>
      <c r="BF1382" s="330">
        <f t="shared" si="161"/>
        <v>7.802563681</v>
      </c>
      <c r="BG1382" s="333">
        <f t="shared" si="162"/>
        <v>48.70523586</v>
      </c>
      <c r="BH1382" s="1119"/>
      <c r="BI1382" s="319"/>
      <c r="BJ1382" s="319"/>
      <c r="BK1382" s="319" t="s">
        <v>846</v>
      </c>
      <c r="BL1382" s="319" t="s">
        <v>846</v>
      </c>
      <c r="BM1382" s="955"/>
      <c r="BN1382" s="319" t="s">
        <v>846</v>
      </c>
      <c r="BO1382" s="319"/>
      <c r="BP1382" s="953"/>
      <c r="BQ1382" s="319"/>
      <c r="BR1382" s="324" t="s">
        <v>846</v>
      </c>
      <c r="BS1382" s="330">
        <f t="shared" si="169"/>
        <v>7.802563681</v>
      </c>
      <c r="BT1382" s="331">
        <f t="shared" si="170"/>
        <v>48.70523586</v>
      </c>
      <c r="BU1382" s="920"/>
      <c r="BV1382" s="903">
        <f t="shared" si="171"/>
        <v>-0.68125</v>
      </c>
      <c r="BW1382" s="907"/>
      <c r="BX1382" s="908"/>
      <c r="BY1382" s="331" t="b">
        <f t="shared" si="166"/>
        <v>0</v>
      </c>
      <c r="BZ1382" s="340"/>
      <c r="CA1382" s="316"/>
      <c r="CB1382" s="318"/>
      <c r="CC1382" s="318"/>
      <c r="CD1382" s="318"/>
      <c r="CE1382" s="318"/>
      <c r="CF1382" s="318"/>
      <c r="CG1382" s="318"/>
      <c r="CH1382" s="318"/>
      <c r="CI1382" s="318"/>
      <c r="CJ1382" s="463"/>
      <c r="CK1382" s="342"/>
      <c r="CL1382" s="333"/>
      <c r="CM1382" s="1079"/>
      <c r="CN1382" s="1005"/>
      <c r="CO1382" s="1005"/>
      <c r="CP1382" s="1005"/>
    </row>
    <row r="1383">
      <c r="B1383" s="1106" t="s">
        <v>1463</v>
      </c>
      <c r="C1383" s="1107">
        <v>44685.0</v>
      </c>
      <c r="D1383" s="103"/>
      <c r="E1383" s="1108">
        <v>15.0</v>
      </c>
      <c r="F1383" s="110" t="s">
        <v>2087</v>
      </c>
      <c r="G1383" s="1109">
        <v>0.6855902777777778</v>
      </c>
      <c r="H1383" s="1110">
        <v>0.6858796296296297</v>
      </c>
      <c r="I1383" s="1110"/>
      <c r="J1383" s="1111"/>
      <c r="K1383" s="1111">
        <v>0.6905671296296296</v>
      </c>
      <c r="L1383" s="1112">
        <v>0.0046875</v>
      </c>
      <c r="M1383" s="1113" t="s">
        <v>166</v>
      </c>
      <c r="N1383" s="110" t="s">
        <v>187</v>
      </c>
      <c r="O1383" s="1114" t="s">
        <v>198</v>
      </c>
      <c r="P1383" s="1115" t="s">
        <v>218</v>
      </c>
      <c r="Q1383" s="1116"/>
      <c r="R1383" s="120">
        <v>10.3</v>
      </c>
      <c r="S1383" s="1113">
        <v>8.1</v>
      </c>
      <c r="T1383" s="110">
        <v>3.0</v>
      </c>
      <c r="U1383" s="1108">
        <v>1.0</v>
      </c>
      <c r="V1383" s="1108"/>
      <c r="W1383" s="1108"/>
      <c r="X1383" s="1108"/>
      <c r="Y1383" s="1108"/>
      <c r="Z1383" s="1114" t="s">
        <v>343</v>
      </c>
      <c r="AA1383" s="1114"/>
      <c r="AB1383" s="1114" t="s">
        <v>384</v>
      </c>
      <c r="AC1383" s="1117">
        <v>6.0</v>
      </c>
      <c r="AD1383" s="1115"/>
      <c r="AE1383" s="1115"/>
      <c r="AF1383" s="1115"/>
      <c r="AG1383" s="1115"/>
      <c r="AH1383" s="1115"/>
      <c r="AI1383" s="1115"/>
      <c r="AJ1383" s="1117"/>
      <c r="AK1383" s="1118"/>
      <c r="AL1383" s="1115"/>
      <c r="AM1383" s="1115"/>
      <c r="AN1383" s="1115"/>
      <c r="AO1383" s="1115"/>
      <c r="AP1383" s="1115"/>
      <c r="AQ1383" s="1115"/>
      <c r="AR1383" s="1115"/>
      <c r="AS1383" s="1117"/>
      <c r="AT1383" s="1075" t="s">
        <v>182</v>
      </c>
      <c r="AU1383" s="1078" t="s">
        <v>845</v>
      </c>
      <c r="AV1383" s="330">
        <f>SQRT(($R1383-Infrastructure!J$3)^2+($S1383-Infrastructure!K$3)^2)</f>
        <v>23.34523506</v>
      </c>
      <c r="AW1383" s="331">
        <f>SQRT(($R1383-Infrastructure!J$4)^2+($S1383-Infrastructure!K$4)^2)</f>
        <v>14.36836804</v>
      </c>
      <c r="AX1383" s="331">
        <f>SQRT(($R1383-Infrastructure!J$5)^2+($S1383-Infrastructure!K$5)^2)</f>
        <v>11.01635148</v>
      </c>
      <c r="AY1383" s="331">
        <f>SQRT(($R1383-Infrastructure!J$6)^2+($S1383-Infrastructure!K$6)^2)</f>
        <v>7.802563681</v>
      </c>
      <c r="AZ1383" s="331">
        <f>SQRT(($R1383-Infrastructure!J$7)^2+($S1383-Infrastructure!K$7)^2)</f>
        <v>12.84056074</v>
      </c>
      <c r="BA1383" s="331">
        <f>SQRT(($R1383-Infrastructure!J$8)^2+($S1383-Infrastructure!K$8)^2)</f>
        <v>21.28097742</v>
      </c>
      <c r="BB1383" s="331">
        <f>SQRT(($R1383-Infrastructure!J$9)^2+($S1383-Infrastructure!K$9)^2)</f>
        <v>29.85113063</v>
      </c>
      <c r="BC1383" s="331">
        <f>SQRT(($R1383-Infrastructure!J$10)^2+($S1383-Infrastructure!K$10)^2)</f>
        <v>30.49098227</v>
      </c>
      <c r="BD1383" s="331">
        <f>SQRT(($R1383-Infrastructure!J$11)^2+($S1383-Infrastructure!K$11)^2)</f>
        <v>36.4804057</v>
      </c>
      <c r="BE1383" s="333">
        <f>SQRT(($R1383-Infrastructure!J$12)^2+($S1383-Infrastructure!K$12)^2)</f>
        <v>48.70523586</v>
      </c>
      <c r="BF1383" s="330">
        <f t="shared" si="161"/>
        <v>7.802563681</v>
      </c>
      <c r="BG1383" s="333">
        <f t="shared" si="162"/>
        <v>48.70523586</v>
      </c>
      <c r="BH1383" s="1119"/>
      <c r="BI1383" s="319"/>
      <c r="BJ1383" s="319"/>
      <c r="BK1383" s="319"/>
      <c r="BL1383" s="319"/>
      <c r="BM1383" s="955"/>
      <c r="BN1383" s="319"/>
      <c r="BO1383" s="319"/>
      <c r="BP1383" s="953"/>
      <c r="BQ1383" s="319"/>
      <c r="BR1383" s="324"/>
      <c r="BS1383" s="330">
        <f t="shared" si="169"/>
        <v>0</v>
      </c>
      <c r="BT1383" s="331">
        <f t="shared" si="170"/>
        <v>0</v>
      </c>
      <c r="BU1383" s="920"/>
      <c r="BV1383" s="903">
        <f t="shared" si="171"/>
        <v>-0.6855902778</v>
      </c>
      <c r="BW1383" s="907"/>
      <c r="BX1383" s="908"/>
      <c r="BY1383" s="331" t="b">
        <f t="shared" si="166"/>
        <v>0</v>
      </c>
      <c r="BZ1383" s="340"/>
      <c r="CA1383" s="316"/>
      <c r="CB1383" s="318"/>
      <c r="CC1383" s="318"/>
      <c r="CD1383" s="318"/>
      <c r="CE1383" s="318"/>
      <c r="CF1383" s="318"/>
      <c r="CG1383" s="318"/>
      <c r="CH1383" s="318"/>
      <c r="CI1383" s="318"/>
      <c r="CJ1383" s="463"/>
      <c r="CK1383" s="342"/>
      <c r="CL1383" s="333"/>
      <c r="CM1383" s="1079"/>
      <c r="CN1383" s="1005"/>
      <c r="CO1383" s="1005"/>
      <c r="CP1383" s="1005"/>
    </row>
    <row r="1384">
      <c r="B1384" s="1106" t="s">
        <v>1463</v>
      </c>
      <c r="C1384" s="1107">
        <v>44685.0</v>
      </c>
      <c r="D1384" s="103"/>
      <c r="E1384" s="1108">
        <v>16.0</v>
      </c>
      <c r="F1384" s="110" t="s">
        <v>2088</v>
      </c>
      <c r="G1384" s="1109">
        <v>0.6911458333333333</v>
      </c>
      <c r="H1384" s="1110">
        <v>0.6913773148148148</v>
      </c>
      <c r="I1384" s="1110"/>
      <c r="J1384" s="1111"/>
      <c r="K1384" s="1111">
        <v>0.6930555555555555</v>
      </c>
      <c r="L1384" s="1112">
        <v>0.0016782407407407408</v>
      </c>
      <c r="M1384" s="1113" t="s">
        <v>166</v>
      </c>
      <c r="N1384" s="110" t="s">
        <v>187</v>
      </c>
      <c r="O1384" s="1114" t="s">
        <v>198</v>
      </c>
      <c r="P1384" s="1115" t="s">
        <v>218</v>
      </c>
      <c r="Q1384" s="1116"/>
      <c r="R1384" s="120">
        <v>10.3</v>
      </c>
      <c r="S1384" s="1113">
        <v>8.1</v>
      </c>
      <c r="T1384" s="110">
        <v>3.0</v>
      </c>
      <c r="U1384" s="1108">
        <v>0.3</v>
      </c>
      <c r="V1384" s="1108"/>
      <c r="W1384" s="1108"/>
      <c r="X1384" s="1108"/>
      <c r="Y1384" s="1108"/>
      <c r="Z1384" s="1114" t="s">
        <v>343</v>
      </c>
      <c r="AA1384" s="1114"/>
      <c r="AB1384" s="1114" t="s">
        <v>384</v>
      </c>
      <c r="AC1384" s="1117">
        <v>6.0</v>
      </c>
      <c r="AD1384" s="1115"/>
      <c r="AE1384" s="1115"/>
      <c r="AF1384" s="1115"/>
      <c r="AG1384" s="1115"/>
      <c r="AH1384" s="1115"/>
      <c r="AI1384" s="1115"/>
      <c r="AJ1384" s="1117"/>
      <c r="AK1384" s="1118"/>
      <c r="AL1384" s="1115"/>
      <c r="AM1384" s="1115"/>
      <c r="AN1384" s="1115"/>
      <c r="AO1384" s="1115"/>
      <c r="AP1384" s="1115"/>
      <c r="AQ1384" s="1115"/>
      <c r="AR1384" s="1115"/>
      <c r="AS1384" s="1117"/>
      <c r="AT1384" s="1075" t="s">
        <v>181</v>
      </c>
      <c r="AU1384" s="1078" t="s">
        <v>845</v>
      </c>
      <c r="AV1384" s="330">
        <f>SQRT(($R1384-Infrastructure!J$3)^2+($S1384-Infrastructure!K$3)^2)</f>
        <v>23.34523506</v>
      </c>
      <c r="AW1384" s="331">
        <f>SQRT(($R1384-Infrastructure!J$4)^2+($S1384-Infrastructure!K$4)^2)</f>
        <v>14.36836804</v>
      </c>
      <c r="AX1384" s="331">
        <f>SQRT(($R1384-Infrastructure!J$5)^2+($S1384-Infrastructure!K$5)^2)</f>
        <v>11.01635148</v>
      </c>
      <c r="AY1384" s="331">
        <f>SQRT(($R1384-Infrastructure!J$6)^2+($S1384-Infrastructure!K$6)^2)</f>
        <v>7.802563681</v>
      </c>
      <c r="AZ1384" s="331">
        <f>SQRT(($R1384-Infrastructure!J$7)^2+($S1384-Infrastructure!K$7)^2)</f>
        <v>12.84056074</v>
      </c>
      <c r="BA1384" s="331">
        <f>SQRT(($R1384-Infrastructure!J$8)^2+($S1384-Infrastructure!K$8)^2)</f>
        <v>21.28097742</v>
      </c>
      <c r="BB1384" s="331">
        <f>SQRT(($R1384-Infrastructure!J$9)^2+($S1384-Infrastructure!K$9)^2)</f>
        <v>29.85113063</v>
      </c>
      <c r="BC1384" s="331">
        <f>SQRT(($R1384-Infrastructure!J$10)^2+($S1384-Infrastructure!K$10)^2)</f>
        <v>30.49098227</v>
      </c>
      <c r="BD1384" s="331">
        <f>SQRT(($R1384-Infrastructure!J$11)^2+($S1384-Infrastructure!K$11)^2)</f>
        <v>36.4804057</v>
      </c>
      <c r="BE1384" s="333">
        <f>SQRT(($R1384-Infrastructure!J$12)^2+($S1384-Infrastructure!K$12)^2)</f>
        <v>48.70523586</v>
      </c>
      <c r="BF1384" s="330">
        <f t="shared" si="161"/>
        <v>7.802563681</v>
      </c>
      <c r="BG1384" s="333">
        <f t="shared" si="162"/>
        <v>48.70523586</v>
      </c>
      <c r="BH1384" s="1119"/>
      <c r="BI1384" s="319"/>
      <c r="BJ1384" s="319"/>
      <c r="BK1384" s="319"/>
      <c r="BL1384" s="319"/>
      <c r="BM1384" s="955"/>
      <c r="BN1384" s="319"/>
      <c r="BO1384" s="319"/>
      <c r="BP1384" s="953"/>
      <c r="BQ1384" s="319"/>
      <c r="BR1384" s="324"/>
      <c r="BS1384" s="330">
        <f t="shared" si="169"/>
        <v>0</v>
      </c>
      <c r="BT1384" s="331">
        <f t="shared" si="170"/>
        <v>0</v>
      </c>
      <c r="BU1384" s="920"/>
      <c r="BV1384" s="903">
        <f t="shared" si="171"/>
        <v>-0.6911458333</v>
      </c>
      <c r="BW1384" s="907"/>
      <c r="BX1384" s="908"/>
      <c r="BY1384" s="331" t="b">
        <f t="shared" si="166"/>
        <v>0</v>
      </c>
      <c r="BZ1384" s="340"/>
      <c r="CA1384" s="316"/>
      <c r="CB1384" s="318"/>
      <c r="CC1384" s="318"/>
      <c r="CD1384" s="318"/>
      <c r="CE1384" s="318"/>
      <c r="CF1384" s="318"/>
      <c r="CG1384" s="318"/>
      <c r="CH1384" s="318"/>
      <c r="CI1384" s="318"/>
      <c r="CJ1384" s="463"/>
      <c r="CK1384" s="342"/>
      <c r="CL1384" s="333"/>
      <c r="CM1384" s="1079"/>
      <c r="CN1384" s="1005"/>
      <c r="CO1384" s="1005"/>
      <c r="CP1384" s="1005"/>
    </row>
    <row r="1385">
      <c r="B1385" s="1106" t="s">
        <v>1463</v>
      </c>
      <c r="C1385" s="1107">
        <v>44685.0</v>
      </c>
      <c r="D1385" s="103"/>
      <c r="E1385" s="1108">
        <v>17.0</v>
      </c>
      <c r="F1385" s="110" t="s">
        <v>2089</v>
      </c>
      <c r="G1385" s="1109">
        <v>0.6970486111111112</v>
      </c>
      <c r="H1385" s="1110">
        <v>0.6974537037037037</v>
      </c>
      <c r="I1385" s="1110"/>
      <c r="J1385" s="1111"/>
      <c r="K1385" s="1111">
        <v>0.7000578703703704</v>
      </c>
      <c r="L1385" s="1112">
        <v>0.0026041666666666665</v>
      </c>
      <c r="M1385" s="1113" t="s">
        <v>166</v>
      </c>
      <c r="N1385" s="110" t="s">
        <v>188</v>
      </c>
      <c r="O1385" s="1114" t="s">
        <v>196</v>
      </c>
      <c r="P1385" s="1115" t="s">
        <v>224</v>
      </c>
      <c r="Q1385" s="1116"/>
      <c r="R1385" s="120">
        <v>21.7</v>
      </c>
      <c r="S1385" s="1113">
        <v>39.5</v>
      </c>
      <c r="T1385" s="110">
        <v>1.28</v>
      </c>
      <c r="U1385" s="1108">
        <v>50.0</v>
      </c>
      <c r="V1385" s="1108"/>
      <c r="W1385" s="1108"/>
      <c r="X1385" s="1108"/>
      <c r="Y1385" s="1108"/>
      <c r="Z1385" s="1114" t="s">
        <v>387</v>
      </c>
      <c r="AA1385" s="1114"/>
      <c r="AB1385" s="1114" t="s">
        <v>416</v>
      </c>
      <c r="AC1385" s="1117">
        <v>52.5</v>
      </c>
      <c r="AD1385" s="1115"/>
      <c r="AE1385" s="1115"/>
      <c r="AF1385" s="1115"/>
      <c r="AG1385" s="1115"/>
      <c r="AH1385" s="1115"/>
      <c r="AI1385" s="1115"/>
      <c r="AJ1385" s="1117"/>
      <c r="AK1385" s="1118"/>
      <c r="AL1385" s="1115"/>
      <c r="AM1385" s="1115"/>
      <c r="AN1385" s="1115"/>
      <c r="AO1385" s="1115"/>
      <c r="AP1385" s="1115"/>
      <c r="AQ1385" s="1115"/>
      <c r="AR1385" s="1115"/>
      <c r="AS1385" s="1117"/>
      <c r="AT1385" s="1075" t="s">
        <v>183</v>
      </c>
      <c r="AU1385" s="1078" t="s">
        <v>845</v>
      </c>
      <c r="AV1385" s="330">
        <f>SQRT(($R1385-Infrastructure!J$3)^2+($S1385-Infrastructure!K$3)^2)</f>
        <v>24.42048321</v>
      </c>
      <c r="AW1385" s="331">
        <f>SQRT(($R1385-Infrastructure!J$4)^2+($S1385-Infrastructure!K$4)^2)</f>
        <v>30.90129447</v>
      </c>
      <c r="AX1385" s="331">
        <f>SQRT(($R1385-Infrastructure!J$5)^2+($S1385-Infrastructure!K$5)^2)</f>
        <v>40.83331973</v>
      </c>
      <c r="AY1385" s="331">
        <f>SQRT(($R1385-Infrastructure!J$6)^2+($S1385-Infrastructure!K$6)^2)</f>
        <v>40.88031311</v>
      </c>
      <c r="AZ1385" s="331">
        <f>SQRT(($R1385-Infrastructure!J$7)^2+($S1385-Infrastructure!K$7)^2)</f>
        <v>39.21836305</v>
      </c>
      <c r="BA1385" s="331">
        <f>SQRT(($R1385-Infrastructure!J$8)^2+($S1385-Infrastructure!K$8)^2)</f>
        <v>40.08989898</v>
      </c>
      <c r="BB1385" s="331">
        <f>SQRT(($R1385-Infrastructure!J$9)^2+($S1385-Infrastructure!K$9)^2)</f>
        <v>38.96472764</v>
      </c>
      <c r="BC1385" s="331">
        <f>SQRT(($R1385-Infrastructure!J$10)^2+($S1385-Infrastructure!K$10)^2)</f>
        <v>30.58005886</v>
      </c>
      <c r="BD1385" s="331">
        <f>SQRT(($R1385-Infrastructure!J$11)^2+($S1385-Infrastructure!K$11)^2)</f>
        <v>21.27204739</v>
      </c>
      <c r="BE1385" s="333">
        <f>SQRT(($R1385-Infrastructure!J$12)^2+($S1385-Infrastructure!K$12)^2)</f>
        <v>16.00124995</v>
      </c>
      <c r="BF1385" s="330">
        <f t="shared" si="161"/>
        <v>16.00124995</v>
      </c>
      <c r="BG1385" s="333">
        <f t="shared" si="162"/>
        <v>40.88031311</v>
      </c>
      <c r="BH1385" s="1119"/>
      <c r="BI1385" s="319" t="s">
        <v>846</v>
      </c>
      <c r="BJ1385" s="319" t="s">
        <v>846</v>
      </c>
      <c r="BK1385" s="319"/>
      <c r="BL1385" s="319"/>
      <c r="BM1385" s="955"/>
      <c r="BN1385" s="319" t="s">
        <v>846</v>
      </c>
      <c r="BO1385" s="319"/>
      <c r="BP1385" s="953"/>
      <c r="BQ1385" s="319" t="s">
        <v>846</v>
      </c>
      <c r="BR1385" s="324" t="s">
        <v>846</v>
      </c>
      <c r="BS1385" s="330">
        <f t="shared" si="169"/>
        <v>16.00124995</v>
      </c>
      <c r="BT1385" s="331">
        <f t="shared" si="170"/>
        <v>40.08989898</v>
      </c>
      <c r="BU1385" s="920"/>
      <c r="BV1385" s="903">
        <f t="shared" si="171"/>
        <v>-0.6970486111</v>
      </c>
      <c r="BW1385" s="907"/>
      <c r="BX1385" s="908"/>
      <c r="BY1385" s="331" t="b">
        <f t="shared" si="166"/>
        <v>0</v>
      </c>
      <c r="BZ1385" s="340"/>
      <c r="CA1385" s="316"/>
      <c r="CB1385" s="318"/>
      <c r="CC1385" s="318"/>
      <c r="CD1385" s="318"/>
      <c r="CE1385" s="318"/>
      <c r="CF1385" s="318"/>
      <c r="CG1385" s="318"/>
      <c r="CH1385" s="318"/>
      <c r="CI1385" s="318"/>
      <c r="CJ1385" s="463"/>
      <c r="CK1385" s="342"/>
      <c r="CL1385" s="333"/>
      <c r="CM1385" s="1079"/>
      <c r="CN1385" s="1005"/>
      <c r="CO1385" s="1005"/>
      <c r="CP1385" s="1005"/>
    </row>
    <row r="1386">
      <c r="B1386" s="1106" t="s">
        <v>1463</v>
      </c>
      <c r="C1386" s="1107">
        <v>44685.0</v>
      </c>
      <c r="D1386" s="103"/>
      <c r="E1386" s="1108">
        <v>18.0</v>
      </c>
      <c r="F1386" s="110" t="s">
        <v>2090</v>
      </c>
      <c r="G1386" s="1109">
        <v>0.7006944444444444</v>
      </c>
      <c r="H1386" s="1110">
        <v>0.7012152777777778</v>
      </c>
      <c r="I1386" s="1110"/>
      <c r="J1386" s="1111"/>
      <c r="K1386" s="1111">
        <v>0.703125</v>
      </c>
      <c r="L1386" s="1112">
        <v>0.0019097222222222222</v>
      </c>
      <c r="M1386" s="1113" t="s">
        <v>166</v>
      </c>
      <c r="N1386" s="110" t="s">
        <v>188</v>
      </c>
      <c r="O1386" s="1114" t="s">
        <v>196</v>
      </c>
      <c r="P1386" s="1115" t="s">
        <v>224</v>
      </c>
      <c r="Q1386" s="1116"/>
      <c r="R1386" s="120">
        <v>21.7</v>
      </c>
      <c r="S1386" s="1113">
        <v>39.5</v>
      </c>
      <c r="T1386" s="110">
        <v>1.28</v>
      </c>
      <c r="U1386" s="1108">
        <v>20.0</v>
      </c>
      <c r="V1386" s="1108"/>
      <c r="W1386" s="1108"/>
      <c r="X1386" s="1108"/>
      <c r="Y1386" s="1108"/>
      <c r="Z1386" s="1114" t="s">
        <v>387</v>
      </c>
      <c r="AA1386" s="1114"/>
      <c r="AB1386" s="1114" t="s">
        <v>416</v>
      </c>
      <c r="AC1386" s="1117">
        <v>52.5</v>
      </c>
      <c r="AD1386" s="1115"/>
      <c r="AE1386" s="1115"/>
      <c r="AF1386" s="1115"/>
      <c r="AG1386" s="1115"/>
      <c r="AH1386" s="1115"/>
      <c r="AI1386" s="1115"/>
      <c r="AJ1386" s="1117"/>
      <c r="AK1386" s="1118"/>
      <c r="AL1386" s="1115"/>
      <c r="AM1386" s="1115"/>
      <c r="AN1386" s="1115"/>
      <c r="AO1386" s="1115"/>
      <c r="AP1386" s="1115"/>
      <c r="AQ1386" s="1115"/>
      <c r="AR1386" s="1115"/>
      <c r="AS1386" s="1117"/>
      <c r="AT1386" s="1075" t="s">
        <v>183</v>
      </c>
      <c r="AU1386" s="1078" t="s">
        <v>845</v>
      </c>
      <c r="AV1386" s="330">
        <f>SQRT(($R1386-Infrastructure!J$3)^2+($S1386-Infrastructure!K$3)^2)</f>
        <v>24.42048321</v>
      </c>
      <c r="AW1386" s="331">
        <f>SQRT(($R1386-Infrastructure!J$4)^2+($S1386-Infrastructure!K$4)^2)</f>
        <v>30.90129447</v>
      </c>
      <c r="AX1386" s="331">
        <f>SQRT(($R1386-Infrastructure!J$5)^2+($S1386-Infrastructure!K$5)^2)</f>
        <v>40.83331973</v>
      </c>
      <c r="AY1386" s="331">
        <f>SQRT(($R1386-Infrastructure!J$6)^2+($S1386-Infrastructure!K$6)^2)</f>
        <v>40.88031311</v>
      </c>
      <c r="AZ1386" s="331">
        <f>SQRT(($R1386-Infrastructure!J$7)^2+($S1386-Infrastructure!K$7)^2)</f>
        <v>39.21836305</v>
      </c>
      <c r="BA1386" s="331">
        <f>SQRT(($R1386-Infrastructure!J$8)^2+($S1386-Infrastructure!K$8)^2)</f>
        <v>40.08989898</v>
      </c>
      <c r="BB1386" s="331">
        <f>SQRT(($R1386-Infrastructure!J$9)^2+($S1386-Infrastructure!K$9)^2)</f>
        <v>38.96472764</v>
      </c>
      <c r="BC1386" s="331">
        <f>SQRT(($R1386-Infrastructure!J$10)^2+($S1386-Infrastructure!K$10)^2)</f>
        <v>30.58005886</v>
      </c>
      <c r="BD1386" s="331">
        <f>SQRT(($R1386-Infrastructure!J$11)^2+($S1386-Infrastructure!K$11)^2)</f>
        <v>21.27204739</v>
      </c>
      <c r="BE1386" s="333">
        <f>SQRT(($R1386-Infrastructure!J$12)^2+($S1386-Infrastructure!K$12)^2)</f>
        <v>16.00124995</v>
      </c>
      <c r="BF1386" s="330">
        <f t="shared" si="161"/>
        <v>16.00124995</v>
      </c>
      <c r="BG1386" s="333">
        <f t="shared" si="162"/>
        <v>40.88031311</v>
      </c>
      <c r="BH1386" s="1119"/>
      <c r="BI1386" s="319"/>
      <c r="BJ1386" s="319"/>
      <c r="BK1386" s="319"/>
      <c r="BL1386" s="319"/>
      <c r="BM1386" s="955"/>
      <c r="BN1386" s="319"/>
      <c r="BO1386" s="319"/>
      <c r="BP1386" s="953"/>
      <c r="BQ1386" s="319"/>
      <c r="BR1386" s="324"/>
      <c r="BS1386" s="330">
        <f t="shared" si="169"/>
        <v>0</v>
      </c>
      <c r="BT1386" s="331">
        <f t="shared" si="170"/>
        <v>0</v>
      </c>
      <c r="BU1386" s="920"/>
      <c r="BV1386" s="903">
        <f t="shared" si="171"/>
        <v>-0.7006944444</v>
      </c>
      <c r="BW1386" s="907"/>
      <c r="BX1386" s="908"/>
      <c r="BY1386" s="331" t="b">
        <f t="shared" si="166"/>
        <v>0</v>
      </c>
      <c r="BZ1386" s="340"/>
      <c r="CA1386" s="316"/>
      <c r="CB1386" s="318"/>
      <c r="CC1386" s="318"/>
      <c r="CD1386" s="318"/>
      <c r="CE1386" s="318"/>
      <c r="CF1386" s="318"/>
      <c r="CG1386" s="318"/>
      <c r="CH1386" s="318"/>
      <c r="CI1386" s="318"/>
      <c r="CJ1386" s="463"/>
      <c r="CK1386" s="342"/>
      <c r="CL1386" s="333"/>
      <c r="CM1386" s="1079"/>
      <c r="CN1386" s="1005"/>
      <c r="CO1386" s="1005"/>
      <c r="CP1386" s="1005"/>
    </row>
    <row r="1387">
      <c r="B1387" s="1106" t="s">
        <v>1463</v>
      </c>
      <c r="C1387" s="1107">
        <v>44685.0</v>
      </c>
      <c r="D1387" s="103"/>
      <c r="E1387" s="1108">
        <v>19.0</v>
      </c>
      <c r="F1387" s="110" t="s">
        <v>2091</v>
      </c>
      <c r="G1387" s="1109">
        <v>0.7041666666666667</v>
      </c>
      <c r="H1387" s="1110">
        <v>0.7048032407407407</v>
      </c>
      <c r="I1387" s="1110"/>
      <c r="J1387" s="1111"/>
      <c r="K1387" s="1111">
        <v>0.7060763888888889</v>
      </c>
      <c r="L1387" s="1112">
        <v>0.0012731481481481483</v>
      </c>
      <c r="M1387" s="1113" t="s">
        <v>166</v>
      </c>
      <c r="N1387" s="110" t="s">
        <v>188</v>
      </c>
      <c r="O1387" s="1114" t="s">
        <v>378</v>
      </c>
      <c r="P1387" s="1115" t="s">
        <v>256</v>
      </c>
      <c r="Q1387" s="1116"/>
      <c r="R1387" s="120">
        <v>22.7</v>
      </c>
      <c r="S1387" s="1113">
        <v>39.7</v>
      </c>
      <c r="T1387" s="110">
        <v>1.09</v>
      </c>
      <c r="U1387" s="1108">
        <v>5.0</v>
      </c>
      <c r="V1387" s="1108"/>
      <c r="W1387" s="1108"/>
      <c r="X1387" s="1108"/>
      <c r="Y1387" s="1108"/>
      <c r="Z1387" s="1114" t="s">
        <v>1140</v>
      </c>
      <c r="AA1387" s="1114"/>
      <c r="AB1387" s="1114" t="s">
        <v>349</v>
      </c>
      <c r="AC1387" s="1117">
        <v>5.0</v>
      </c>
      <c r="AD1387" s="1115"/>
      <c r="AE1387" s="1115"/>
      <c r="AF1387" s="1115"/>
      <c r="AG1387" s="1115"/>
      <c r="AH1387" s="1115"/>
      <c r="AI1387" s="1115"/>
      <c r="AJ1387" s="1117"/>
      <c r="AK1387" s="1118"/>
      <c r="AL1387" s="1115"/>
      <c r="AM1387" s="1115"/>
      <c r="AN1387" s="1115"/>
      <c r="AO1387" s="1115"/>
      <c r="AP1387" s="1115"/>
      <c r="AQ1387" s="1115"/>
      <c r="AR1387" s="1115"/>
      <c r="AS1387" s="1117"/>
      <c r="AT1387" s="1075" t="s">
        <v>182</v>
      </c>
      <c r="AU1387" s="1078" t="s">
        <v>845</v>
      </c>
      <c r="AV1387" s="330">
        <f>SQRT(($R1387-Infrastructure!J$3)^2+($S1387-Infrastructure!K$3)^2)</f>
        <v>25.40944706</v>
      </c>
      <c r="AW1387" s="331">
        <f>SQRT(($R1387-Infrastructure!J$4)^2+($S1387-Infrastructure!K$4)^2)</f>
        <v>31.75862088</v>
      </c>
      <c r="AX1387" s="331">
        <f>SQRT(($R1387-Infrastructure!J$5)^2+($S1387-Infrastructure!K$5)^2)</f>
        <v>41.54708173</v>
      </c>
      <c r="AY1387" s="331">
        <f>SQRT(($R1387-Infrastructure!J$6)^2+($S1387-Infrastructure!K$6)^2)</f>
        <v>41.36568626</v>
      </c>
      <c r="AZ1387" s="331">
        <f>SQRT(($R1387-Infrastructure!J$7)^2+($S1387-Infrastructure!K$7)^2)</f>
        <v>39.46137352</v>
      </c>
      <c r="BA1387" s="331">
        <f>SQRT(($R1387-Infrastructure!J$8)^2+($S1387-Infrastructure!K$8)^2)</f>
        <v>40.08890121</v>
      </c>
      <c r="BB1387" s="331">
        <f>SQRT(($R1387-Infrastructure!J$9)^2+($S1387-Infrastructure!K$9)^2)</f>
        <v>38.68397601</v>
      </c>
      <c r="BC1387" s="331">
        <f>SQRT(($R1387-Infrastructure!J$10)^2+($S1387-Infrastructure!K$10)^2)</f>
        <v>30.15592811</v>
      </c>
      <c r="BD1387" s="331">
        <f>SQRT(($R1387-Infrastructure!J$11)^2+($S1387-Infrastructure!K$11)^2)</f>
        <v>20.51194774</v>
      </c>
      <c r="BE1387" s="333">
        <f>SQRT(($R1387-Infrastructure!J$12)^2+($S1387-Infrastructure!K$12)^2)</f>
        <v>15.84550409</v>
      </c>
      <c r="BF1387" s="330">
        <f t="shared" si="161"/>
        <v>15.84550409</v>
      </c>
      <c r="BG1387" s="333">
        <f t="shared" si="162"/>
        <v>41.54708173</v>
      </c>
      <c r="BH1387" s="1119"/>
      <c r="BI1387" s="319" t="s">
        <v>846</v>
      </c>
      <c r="BJ1387" s="319" t="s">
        <v>846</v>
      </c>
      <c r="BK1387" s="319" t="s">
        <v>846</v>
      </c>
      <c r="BL1387" s="319" t="s">
        <v>846</v>
      </c>
      <c r="BM1387" s="955"/>
      <c r="BN1387" s="319" t="s">
        <v>846</v>
      </c>
      <c r="BO1387" s="319"/>
      <c r="BP1387" s="953"/>
      <c r="BQ1387" s="319" t="s">
        <v>846</v>
      </c>
      <c r="BR1387" s="324" t="s">
        <v>846</v>
      </c>
      <c r="BS1387" s="330">
        <f t="shared" si="169"/>
        <v>15.84550409</v>
      </c>
      <c r="BT1387" s="331">
        <f t="shared" si="170"/>
        <v>41.54708173</v>
      </c>
      <c r="BU1387" s="920"/>
      <c r="BV1387" s="903">
        <f t="shared" si="171"/>
        <v>-0.7041666667</v>
      </c>
      <c r="BW1387" s="907"/>
      <c r="BX1387" s="908"/>
      <c r="BY1387" s="331" t="b">
        <f t="shared" si="166"/>
        <v>0</v>
      </c>
      <c r="BZ1387" s="340"/>
      <c r="CA1387" s="316"/>
      <c r="CB1387" s="318"/>
      <c r="CC1387" s="318"/>
      <c r="CD1387" s="318"/>
      <c r="CE1387" s="318"/>
      <c r="CF1387" s="318"/>
      <c r="CG1387" s="318"/>
      <c r="CH1387" s="318"/>
      <c r="CI1387" s="318"/>
      <c r="CJ1387" s="463"/>
      <c r="CK1387" s="342"/>
      <c r="CL1387" s="333"/>
      <c r="CM1387" s="1079"/>
      <c r="CN1387" s="1005"/>
      <c r="CO1387" s="1005"/>
      <c r="CP1387" s="1005"/>
    </row>
    <row r="1388">
      <c r="B1388" s="1106" t="s">
        <v>1463</v>
      </c>
      <c r="C1388" s="1107">
        <v>44685.0</v>
      </c>
      <c r="D1388" s="103"/>
      <c r="E1388" s="1108">
        <v>20.0</v>
      </c>
      <c r="F1388" s="110" t="s">
        <v>2092</v>
      </c>
      <c r="G1388" s="1109">
        <v>0.7067708333333333</v>
      </c>
      <c r="H1388" s="1110">
        <v>0.7069444444444445</v>
      </c>
      <c r="I1388" s="1110"/>
      <c r="J1388" s="1111"/>
      <c r="K1388" s="1111">
        <v>0.7090277777777778</v>
      </c>
      <c r="L1388" s="1112">
        <v>0.0020833333333333333</v>
      </c>
      <c r="M1388" s="1113" t="s">
        <v>166</v>
      </c>
      <c r="N1388" s="110" t="s">
        <v>188</v>
      </c>
      <c r="O1388" s="1114" t="s">
        <v>378</v>
      </c>
      <c r="P1388" s="1115" t="s">
        <v>256</v>
      </c>
      <c r="Q1388" s="1116"/>
      <c r="R1388" s="120">
        <v>22.7</v>
      </c>
      <c r="S1388" s="1113">
        <v>39.7</v>
      </c>
      <c r="T1388" s="110">
        <v>1.09</v>
      </c>
      <c r="U1388" s="1108">
        <v>1.0</v>
      </c>
      <c r="V1388" s="1108"/>
      <c r="W1388" s="1108"/>
      <c r="X1388" s="1108"/>
      <c r="Y1388" s="1108"/>
      <c r="Z1388" s="1114" t="s">
        <v>1140</v>
      </c>
      <c r="AA1388" s="1114"/>
      <c r="AB1388" s="1114" t="s">
        <v>349</v>
      </c>
      <c r="AC1388" s="1117">
        <v>5.0</v>
      </c>
      <c r="AD1388" s="1115"/>
      <c r="AE1388" s="1115"/>
      <c r="AF1388" s="1115"/>
      <c r="AG1388" s="1115"/>
      <c r="AH1388" s="1115"/>
      <c r="AI1388" s="1115"/>
      <c r="AJ1388" s="1117"/>
      <c r="AK1388" s="1118"/>
      <c r="AL1388" s="1115"/>
      <c r="AM1388" s="1115"/>
      <c r="AN1388" s="1115"/>
      <c r="AO1388" s="1115"/>
      <c r="AP1388" s="1115"/>
      <c r="AQ1388" s="1115"/>
      <c r="AR1388" s="1115"/>
      <c r="AS1388" s="1117"/>
      <c r="AT1388" s="1075" t="s">
        <v>182</v>
      </c>
      <c r="AU1388" s="1078" t="s">
        <v>845</v>
      </c>
      <c r="AV1388" s="330">
        <f>SQRT(($R1388-Infrastructure!J$3)^2+($S1388-Infrastructure!K$3)^2)</f>
        <v>25.40944706</v>
      </c>
      <c r="AW1388" s="331">
        <f>SQRT(($R1388-Infrastructure!J$4)^2+($S1388-Infrastructure!K$4)^2)</f>
        <v>31.75862088</v>
      </c>
      <c r="AX1388" s="331">
        <f>SQRT(($R1388-Infrastructure!J$5)^2+($S1388-Infrastructure!K$5)^2)</f>
        <v>41.54708173</v>
      </c>
      <c r="AY1388" s="331">
        <f>SQRT(($R1388-Infrastructure!J$6)^2+($S1388-Infrastructure!K$6)^2)</f>
        <v>41.36568626</v>
      </c>
      <c r="AZ1388" s="331">
        <f>SQRT(($R1388-Infrastructure!J$7)^2+($S1388-Infrastructure!K$7)^2)</f>
        <v>39.46137352</v>
      </c>
      <c r="BA1388" s="331">
        <f>SQRT(($R1388-Infrastructure!J$8)^2+($S1388-Infrastructure!K$8)^2)</f>
        <v>40.08890121</v>
      </c>
      <c r="BB1388" s="331">
        <f>SQRT(($R1388-Infrastructure!J$9)^2+($S1388-Infrastructure!K$9)^2)</f>
        <v>38.68397601</v>
      </c>
      <c r="BC1388" s="331">
        <f>SQRT(($R1388-Infrastructure!J$10)^2+($S1388-Infrastructure!K$10)^2)</f>
        <v>30.15592811</v>
      </c>
      <c r="BD1388" s="331">
        <f>SQRT(($R1388-Infrastructure!J$11)^2+($S1388-Infrastructure!K$11)^2)</f>
        <v>20.51194774</v>
      </c>
      <c r="BE1388" s="333">
        <f>SQRT(($R1388-Infrastructure!J$12)^2+($S1388-Infrastructure!K$12)^2)</f>
        <v>15.84550409</v>
      </c>
      <c r="BF1388" s="330">
        <f t="shared" si="161"/>
        <v>15.84550409</v>
      </c>
      <c r="BG1388" s="333">
        <f t="shared" si="162"/>
        <v>41.54708173</v>
      </c>
      <c r="BH1388" s="1119"/>
      <c r="BI1388" s="319"/>
      <c r="BJ1388" s="319"/>
      <c r="BK1388" s="319"/>
      <c r="BL1388" s="319"/>
      <c r="BM1388" s="955"/>
      <c r="BN1388" s="319"/>
      <c r="BO1388" s="319"/>
      <c r="BP1388" s="953"/>
      <c r="BQ1388" s="319"/>
      <c r="BR1388" s="324"/>
      <c r="BS1388" s="330">
        <f t="shared" si="169"/>
        <v>0</v>
      </c>
      <c r="BT1388" s="331">
        <f t="shared" si="170"/>
        <v>0</v>
      </c>
      <c r="BU1388" s="920"/>
      <c r="BV1388" s="903">
        <f t="shared" si="171"/>
        <v>-0.7067708333</v>
      </c>
      <c r="BW1388" s="907"/>
      <c r="BX1388" s="908"/>
      <c r="BY1388" s="331" t="b">
        <f t="shared" si="166"/>
        <v>0</v>
      </c>
      <c r="BZ1388" s="340"/>
      <c r="CA1388" s="316"/>
      <c r="CB1388" s="318"/>
      <c r="CC1388" s="318"/>
      <c r="CD1388" s="318"/>
      <c r="CE1388" s="318"/>
      <c r="CF1388" s="318"/>
      <c r="CG1388" s="318"/>
      <c r="CH1388" s="318"/>
      <c r="CI1388" s="318"/>
      <c r="CJ1388" s="463"/>
      <c r="CK1388" s="342"/>
      <c r="CL1388" s="333"/>
      <c r="CM1388" s="1079"/>
      <c r="CN1388" s="1005"/>
      <c r="CO1388" s="1005"/>
      <c r="CP1388" s="1005"/>
    </row>
    <row r="1389">
      <c r="B1389" s="1157"/>
      <c r="C1389" s="1158"/>
      <c r="D1389" s="103"/>
      <c r="E1389" s="1137"/>
      <c r="F1389" s="1159"/>
      <c r="G1389" s="1109">
        <v>0.7111111111111111</v>
      </c>
      <c r="H1389" s="1138"/>
      <c r="I1389" s="1138"/>
      <c r="J1389" s="1139"/>
      <c r="K1389" s="1111">
        <v>0.7114583333333333</v>
      </c>
      <c r="L1389" s="1112">
        <v>3.4722222222222224E-4</v>
      </c>
      <c r="M1389" s="1113" t="s">
        <v>166</v>
      </c>
      <c r="N1389" s="110" t="s">
        <v>188</v>
      </c>
      <c r="O1389" s="1140"/>
      <c r="P1389" s="1115" t="s">
        <v>292</v>
      </c>
      <c r="Q1389" s="1116"/>
      <c r="R1389" s="1141"/>
      <c r="S1389" s="1142"/>
      <c r="T1389" s="1143"/>
      <c r="U1389" s="1137"/>
      <c r="V1389" s="1137"/>
      <c r="W1389" s="1137"/>
      <c r="X1389" s="1137"/>
      <c r="Y1389" s="1137"/>
      <c r="Z1389" s="1114" t="s">
        <v>323</v>
      </c>
      <c r="AA1389" s="1114"/>
      <c r="AB1389" s="1114" t="s">
        <v>323</v>
      </c>
      <c r="AC1389" s="1117" t="s">
        <v>323</v>
      </c>
      <c r="AD1389" s="1115"/>
      <c r="AE1389" s="1115"/>
      <c r="AF1389" s="1115"/>
      <c r="AG1389" s="1115"/>
      <c r="AH1389" s="1115"/>
      <c r="AI1389" s="1115"/>
      <c r="AJ1389" s="1117"/>
      <c r="AK1389" s="1118"/>
      <c r="AL1389" s="1115"/>
      <c r="AM1389" s="1115"/>
      <c r="AN1389" s="1115"/>
      <c r="AO1389" s="1115"/>
      <c r="AP1389" s="1115"/>
      <c r="AQ1389" s="1115"/>
      <c r="AR1389" s="1115"/>
      <c r="AS1389" s="1117"/>
      <c r="AT1389" s="1075"/>
      <c r="AU1389" s="1078"/>
      <c r="AV1389" s="330">
        <f>SQRT(($R1389-Infrastructure!J$3)^2+($S1389-Infrastructure!K$3)^2)</f>
        <v>28.90155705</v>
      </c>
      <c r="AW1389" s="331">
        <f>SQRT(($R1389-Infrastructure!J$4)^2+($S1389-Infrastructure!K$4)^2)</f>
        <v>17.80252791</v>
      </c>
      <c r="AX1389" s="331">
        <f>SQRT(($R1389-Infrastructure!J$5)^2+($S1389-Infrastructure!K$5)^2)</f>
        <v>5.10881591</v>
      </c>
      <c r="AY1389" s="331">
        <f>SQRT(($R1389-Infrastructure!J$6)^2+($S1389-Infrastructure!K$6)^2)</f>
        <v>10.10445446</v>
      </c>
      <c r="AZ1389" s="331">
        <f>SQRT(($R1389-Infrastructure!J$7)^2+($S1389-Infrastructure!K$7)^2)</f>
        <v>20.502195</v>
      </c>
      <c r="BA1389" s="331">
        <f>SQRT(($R1389-Infrastructure!J$8)^2+($S1389-Infrastructure!K$8)^2)</f>
        <v>30.10149498</v>
      </c>
      <c r="BB1389" s="331">
        <f>SQRT(($R1389-Infrastructure!J$9)^2+($S1389-Infrastructure!K$9)^2)</f>
        <v>40.3238143</v>
      </c>
      <c r="BC1389" s="331">
        <f>SQRT(($R1389-Infrastructure!J$10)^2+($S1389-Infrastructure!K$10)^2)</f>
        <v>42.72001873</v>
      </c>
      <c r="BD1389" s="331">
        <f>SQRT(($R1389-Infrastructure!J$11)^2+($S1389-Infrastructure!K$11)^2)</f>
        <v>49.56853841</v>
      </c>
      <c r="BE1389" s="333">
        <f>SQRT(($R1389-Infrastructure!J$12)^2+($S1389-Infrastructure!K$12)^2)</f>
        <v>59.51890456</v>
      </c>
      <c r="BF1389" s="330">
        <f t="shared" si="161"/>
        <v>5.10881591</v>
      </c>
      <c r="BG1389" s="333">
        <f t="shared" si="162"/>
        <v>59.51890456</v>
      </c>
      <c r="BH1389" s="1119"/>
      <c r="BI1389" s="319"/>
      <c r="BJ1389" s="319"/>
      <c r="BK1389" s="319"/>
      <c r="BL1389" s="319"/>
      <c r="BM1389" s="955"/>
      <c r="BN1389" s="319"/>
      <c r="BO1389" s="319"/>
      <c r="BP1389" s="953"/>
      <c r="BQ1389" s="319"/>
      <c r="BR1389" s="324"/>
      <c r="BS1389" s="330">
        <f t="shared" si="169"/>
        <v>0</v>
      </c>
      <c r="BT1389" s="331">
        <f t="shared" si="170"/>
        <v>0</v>
      </c>
      <c r="BU1389" s="920"/>
      <c r="BV1389" s="903">
        <f t="shared" si="171"/>
        <v>-0.7111111111</v>
      </c>
      <c r="BW1389" s="907"/>
      <c r="BX1389" s="908"/>
      <c r="BY1389" s="331" t="b">
        <f t="shared" si="166"/>
        <v>0</v>
      </c>
      <c r="BZ1389" s="340"/>
      <c r="CA1389" s="316"/>
      <c r="CB1389" s="318"/>
      <c r="CC1389" s="318"/>
      <c r="CD1389" s="318"/>
      <c r="CE1389" s="318"/>
      <c r="CF1389" s="318"/>
      <c r="CG1389" s="318"/>
      <c r="CH1389" s="318"/>
      <c r="CI1389" s="318"/>
      <c r="CJ1389" s="463"/>
      <c r="CK1389" s="342"/>
      <c r="CL1389" s="333"/>
      <c r="CM1389" s="1079"/>
      <c r="CN1389" s="1005"/>
      <c r="CO1389" s="1005"/>
      <c r="CP1389" s="1005"/>
    </row>
    <row r="1390">
      <c r="A1390" s="634"/>
      <c r="B1390" s="1166"/>
      <c r="C1390" s="1167"/>
      <c r="D1390" s="1123"/>
      <c r="E1390" s="1144"/>
      <c r="F1390" s="1168"/>
      <c r="G1390" s="1125">
        <v>0.7182291666666667</v>
      </c>
      <c r="H1390" s="1145"/>
      <c r="I1390" s="1145"/>
      <c r="J1390" s="1146"/>
      <c r="K1390" s="1127">
        <v>0.7185763888888889</v>
      </c>
      <c r="L1390" s="1128">
        <v>3.4722222222222224E-4</v>
      </c>
      <c r="M1390" s="1129" t="s">
        <v>358</v>
      </c>
      <c r="N1390" s="100" t="s">
        <v>188</v>
      </c>
      <c r="O1390" s="1161"/>
      <c r="P1390" s="1131" t="s">
        <v>294</v>
      </c>
      <c r="Q1390" s="1132"/>
      <c r="R1390" s="1148"/>
      <c r="S1390" s="1149"/>
      <c r="T1390" s="1150"/>
      <c r="U1390" s="1144"/>
      <c r="V1390" s="1144"/>
      <c r="W1390" s="1144"/>
      <c r="X1390" s="1144"/>
      <c r="Y1390" s="1144"/>
      <c r="Z1390" s="1130" t="s">
        <v>323</v>
      </c>
      <c r="AA1390" s="1130"/>
      <c r="AB1390" s="1130" t="s">
        <v>323</v>
      </c>
      <c r="AC1390" s="1133" t="s">
        <v>323</v>
      </c>
      <c r="AD1390" s="1131"/>
      <c r="AE1390" s="1131"/>
      <c r="AF1390" s="1131"/>
      <c r="AG1390" s="1131"/>
      <c r="AH1390" s="1131"/>
      <c r="AI1390" s="1131"/>
      <c r="AJ1390" s="1133"/>
      <c r="AK1390" s="1134"/>
      <c r="AL1390" s="1131"/>
      <c r="AM1390" s="1131"/>
      <c r="AN1390" s="1131"/>
      <c r="AO1390" s="1131"/>
      <c r="AP1390" s="1131"/>
      <c r="AQ1390" s="1131"/>
      <c r="AR1390" s="1131"/>
      <c r="AS1390" s="1133"/>
      <c r="AT1390" s="1088"/>
      <c r="AU1390" s="1089"/>
      <c r="AV1390" s="330">
        <f>SQRT(($R1390-Infrastructure!J$3)^2+($S1390-Infrastructure!K$3)^2)</f>
        <v>28.90155705</v>
      </c>
      <c r="AW1390" s="331">
        <f>SQRT(($R1390-Infrastructure!J$4)^2+($S1390-Infrastructure!K$4)^2)</f>
        <v>17.80252791</v>
      </c>
      <c r="AX1390" s="331">
        <f>SQRT(($R1390-Infrastructure!J$5)^2+($S1390-Infrastructure!K$5)^2)</f>
        <v>5.10881591</v>
      </c>
      <c r="AY1390" s="331">
        <f>SQRT(($R1390-Infrastructure!J$6)^2+($S1390-Infrastructure!K$6)^2)</f>
        <v>10.10445446</v>
      </c>
      <c r="AZ1390" s="331">
        <f>SQRT(($R1390-Infrastructure!J$7)^2+($S1390-Infrastructure!K$7)^2)</f>
        <v>20.502195</v>
      </c>
      <c r="BA1390" s="331">
        <f>SQRT(($R1390-Infrastructure!J$8)^2+($S1390-Infrastructure!K$8)^2)</f>
        <v>30.10149498</v>
      </c>
      <c r="BB1390" s="331">
        <f>SQRT(($R1390-Infrastructure!J$9)^2+($S1390-Infrastructure!K$9)^2)</f>
        <v>40.3238143</v>
      </c>
      <c r="BC1390" s="331">
        <f>SQRT(($R1390-Infrastructure!J$10)^2+($S1390-Infrastructure!K$10)^2)</f>
        <v>42.72001873</v>
      </c>
      <c r="BD1390" s="331">
        <f>SQRT(($R1390-Infrastructure!J$11)^2+($S1390-Infrastructure!K$11)^2)</f>
        <v>49.56853841</v>
      </c>
      <c r="BE1390" s="333">
        <f>SQRT(($R1390-Infrastructure!J$12)^2+($S1390-Infrastructure!K$12)^2)</f>
        <v>59.51890456</v>
      </c>
      <c r="BF1390" s="330">
        <f t="shared" si="161"/>
        <v>5.10881591</v>
      </c>
      <c r="BG1390" s="333">
        <f t="shared" si="162"/>
        <v>59.51890456</v>
      </c>
      <c r="BH1390" s="1135"/>
      <c r="BI1390" s="663"/>
      <c r="BJ1390" s="663"/>
      <c r="BK1390" s="663"/>
      <c r="BL1390" s="663"/>
      <c r="BM1390" s="957"/>
      <c r="BN1390" s="663"/>
      <c r="BO1390" s="663"/>
      <c r="BP1390" s="958"/>
      <c r="BQ1390" s="663"/>
      <c r="BR1390" s="637"/>
      <c r="BS1390" s="330">
        <f t="shared" si="169"/>
        <v>0</v>
      </c>
      <c r="BT1390" s="331">
        <f t="shared" si="170"/>
        <v>0</v>
      </c>
      <c r="BU1390" s="920"/>
      <c r="BV1390" s="903">
        <f t="shared" si="171"/>
        <v>-0.7182291667</v>
      </c>
      <c r="BW1390" s="938"/>
      <c r="BX1390" s="939"/>
      <c r="BY1390" s="331" t="b">
        <f t="shared" si="166"/>
        <v>0</v>
      </c>
      <c r="BZ1390" s="742"/>
      <c r="CA1390" s="639"/>
      <c r="CB1390" s="640"/>
      <c r="CC1390" s="640"/>
      <c r="CD1390" s="640"/>
      <c r="CE1390" s="640"/>
      <c r="CF1390" s="640"/>
      <c r="CG1390" s="640"/>
      <c r="CH1390" s="640"/>
      <c r="CI1390" s="640"/>
      <c r="CJ1390" s="785"/>
      <c r="CK1390" s="743"/>
      <c r="CL1390" s="642"/>
      <c r="CM1390" s="1090"/>
      <c r="CN1390" s="1005"/>
      <c r="CO1390" s="1005"/>
      <c r="CP1390" s="1005"/>
    </row>
    <row r="1391">
      <c r="A1391" s="1169" t="s">
        <v>73</v>
      </c>
      <c r="B1391" s="1106" t="s">
        <v>2093</v>
      </c>
      <c r="C1391" s="1107">
        <v>44697.0</v>
      </c>
      <c r="D1391" s="103"/>
      <c r="E1391" s="1108">
        <v>1.0</v>
      </c>
      <c r="F1391" s="110" t="s">
        <v>2094</v>
      </c>
      <c r="G1391" s="1109">
        <v>0.6325231481481481</v>
      </c>
      <c r="H1391" s="1110">
        <v>0.6328125</v>
      </c>
      <c r="I1391" s="1110"/>
      <c r="J1391" s="1111"/>
      <c r="K1391" s="1111">
        <v>0.6352430555555556</v>
      </c>
      <c r="L1391" s="1112">
        <v>0.0024305555555555556</v>
      </c>
      <c r="M1391" s="1113" t="s">
        <v>168</v>
      </c>
      <c r="N1391" s="110" t="s">
        <v>187</v>
      </c>
      <c r="O1391" s="1114" t="s">
        <v>204</v>
      </c>
      <c r="P1391" s="1115" t="s">
        <v>256</v>
      </c>
      <c r="Q1391" s="1116"/>
      <c r="R1391" s="120">
        <v>18.8</v>
      </c>
      <c r="S1391" s="1113">
        <v>4.0</v>
      </c>
      <c r="T1391" s="110">
        <v>1.62</v>
      </c>
      <c r="U1391" s="1108">
        <v>7.0</v>
      </c>
      <c r="V1391" s="1108"/>
      <c r="W1391" s="1108"/>
      <c r="X1391" s="1108"/>
      <c r="Y1391" s="1108"/>
      <c r="Z1391" s="1114" t="s">
        <v>365</v>
      </c>
      <c r="AA1391" s="1114"/>
      <c r="AB1391" s="1114" t="s">
        <v>345</v>
      </c>
      <c r="AC1391" s="1117">
        <v>4.0</v>
      </c>
      <c r="AD1391" s="1115"/>
      <c r="AE1391" s="1115"/>
      <c r="AF1391" s="1115"/>
      <c r="AG1391" s="1115"/>
      <c r="AH1391" s="1115"/>
      <c r="AI1391" s="1115"/>
      <c r="AJ1391" s="1117"/>
      <c r="AK1391" s="1118"/>
      <c r="AL1391" s="1115"/>
      <c r="AM1391" s="1115"/>
      <c r="AN1391" s="1115"/>
      <c r="AO1391" s="1115"/>
      <c r="AP1391" s="1115"/>
      <c r="AQ1391" s="1115"/>
      <c r="AR1391" s="1115"/>
      <c r="AS1391" s="1117"/>
      <c r="AT1391" s="1075" t="s">
        <v>182</v>
      </c>
      <c r="AU1391" s="1078" t="s">
        <v>845</v>
      </c>
      <c r="AV1391" s="330">
        <f>SQRT(($R1391-Infrastructure!J$3)^2+($S1391-Infrastructure!K$3)^2)</f>
        <v>31.38184188</v>
      </c>
      <c r="AW1391" s="331">
        <f>SQRT(($R1391-Infrastructure!J$4)^2+($S1391-Infrastructure!K$4)^2)</f>
        <v>23.56374334</v>
      </c>
      <c r="AX1391" s="331">
        <f>SQRT(($R1391-Infrastructure!J$5)^2+($S1391-Infrastructure!K$5)^2)</f>
        <v>19.13164917</v>
      </c>
      <c r="AY1391" s="331">
        <f>SQRT(($R1391-Infrastructure!J$6)^2+($S1391-Infrastructure!K$6)^2)</f>
        <v>9.45409964</v>
      </c>
      <c r="AZ1391" s="331">
        <f>SQRT(($R1391-Infrastructure!J$7)^2+($S1391-Infrastructure!K$7)^2)</f>
        <v>4.071854614</v>
      </c>
      <c r="BA1391" s="331">
        <f>SQRT(($R1391-Infrastructure!J$8)^2+($S1391-Infrastructure!K$8)^2)</f>
        <v>11.89033221</v>
      </c>
      <c r="BB1391" s="331">
        <f>SQRT(($R1391-Infrastructure!J$9)^2+($S1391-Infrastructure!K$9)^2)</f>
        <v>21.22851855</v>
      </c>
      <c r="BC1391" s="331">
        <f>SQRT(($R1391-Infrastructure!J$10)^2+($S1391-Infrastructure!K$10)^2)</f>
        <v>23.88388578</v>
      </c>
      <c r="BD1391" s="331">
        <f>SQRT(($R1391-Infrastructure!J$11)^2+($S1391-Infrastructure!K$11)^2)</f>
        <v>32.9083576</v>
      </c>
      <c r="BE1391" s="333">
        <f>SQRT(($R1391-Infrastructure!J$12)^2+($S1391-Infrastructure!K$12)^2)</f>
        <v>51.57072813</v>
      </c>
      <c r="BF1391" s="330">
        <f t="shared" si="161"/>
        <v>4.071854614</v>
      </c>
      <c r="BG1391" s="333">
        <f t="shared" si="162"/>
        <v>51.57072813</v>
      </c>
      <c r="BH1391" s="1119"/>
      <c r="BI1391" s="319"/>
      <c r="BJ1391" s="319"/>
      <c r="BK1391" s="319" t="s">
        <v>846</v>
      </c>
      <c r="BL1391" s="319" t="s">
        <v>846</v>
      </c>
      <c r="BM1391" s="955"/>
      <c r="BN1391" s="319" t="s">
        <v>846</v>
      </c>
      <c r="BO1391" s="319"/>
      <c r="BP1391" s="953"/>
      <c r="BQ1391" s="319"/>
      <c r="BR1391" s="324" t="s">
        <v>846</v>
      </c>
      <c r="BS1391" s="330">
        <f t="shared" si="169"/>
        <v>9.45409964</v>
      </c>
      <c r="BT1391" s="331">
        <f t="shared" si="170"/>
        <v>51.57072813</v>
      </c>
      <c r="BU1391" s="920"/>
      <c r="BV1391" s="903">
        <f t="shared" si="171"/>
        <v>-0.6325231481</v>
      </c>
      <c r="BW1391" s="907"/>
      <c r="BX1391" s="908"/>
      <c r="BY1391" s="331" t="b">
        <f t="shared" si="166"/>
        <v>0</v>
      </c>
      <c r="BZ1391" s="340"/>
      <c r="CA1391" s="316"/>
      <c r="CB1391" s="318"/>
      <c r="CC1391" s="318"/>
      <c r="CD1391" s="318"/>
      <c r="CE1391" s="318"/>
      <c r="CF1391" s="318"/>
      <c r="CG1391" s="318"/>
      <c r="CH1391" s="318"/>
      <c r="CI1391" s="318"/>
      <c r="CJ1391" s="463"/>
      <c r="CK1391" s="342"/>
      <c r="CL1391" s="333"/>
      <c r="CM1391" s="1079"/>
      <c r="CN1391" s="1005"/>
      <c r="CO1391" s="1005"/>
      <c r="CP1391" s="1005"/>
    </row>
    <row r="1392">
      <c r="B1392" s="1106" t="s">
        <v>2093</v>
      </c>
      <c r="C1392" s="1107">
        <v>44697.0</v>
      </c>
      <c r="D1392" s="103"/>
      <c r="E1392" s="1108">
        <v>2.0</v>
      </c>
      <c r="F1392" s="110" t="s">
        <v>2095</v>
      </c>
      <c r="G1392" s="1109">
        <v>0.6357638888888889</v>
      </c>
      <c r="H1392" s="1110">
        <v>0.6362268518518519</v>
      </c>
      <c r="I1392" s="1110"/>
      <c r="J1392" s="1111"/>
      <c r="K1392" s="1111">
        <v>0.6398726851851851</v>
      </c>
      <c r="L1392" s="1112">
        <v>0.0036458333333333334</v>
      </c>
      <c r="M1392" s="1113" t="s">
        <v>168</v>
      </c>
      <c r="N1392" s="110" t="s">
        <v>187</v>
      </c>
      <c r="O1392" s="1114" t="s">
        <v>204</v>
      </c>
      <c r="P1392" s="1115" t="s">
        <v>256</v>
      </c>
      <c r="Q1392" s="1116"/>
      <c r="R1392" s="120">
        <v>18.8</v>
      </c>
      <c r="S1392" s="1113">
        <v>4.0</v>
      </c>
      <c r="T1392" s="110">
        <v>1.62</v>
      </c>
      <c r="U1392" s="1108">
        <v>5.0</v>
      </c>
      <c r="V1392" s="1108"/>
      <c r="W1392" s="1108"/>
      <c r="X1392" s="1108"/>
      <c r="Y1392" s="1108"/>
      <c r="Z1392" s="1114" t="s">
        <v>365</v>
      </c>
      <c r="AA1392" s="1114"/>
      <c r="AB1392" s="1114" t="s">
        <v>345</v>
      </c>
      <c r="AC1392" s="1117">
        <v>4.0</v>
      </c>
      <c r="AD1392" s="1115"/>
      <c r="AE1392" s="1115"/>
      <c r="AF1392" s="1115"/>
      <c r="AG1392" s="1115"/>
      <c r="AH1392" s="1115"/>
      <c r="AI1392" s="1115"/>
      <c r="AJ1392" s="1117"/>
      <c r="AK1392" s="1118"/>
      <c r="AL1392" s="1115"/>
      <c r="AM1392" s="1115"/>
      <c r="AN1392" s="1115"/>
      <c r="AO1392" s="1115"/>
      <c r="AP1392" s="1115"/>
      <c r="AQ1392" s="1115"/>
      <c r="AR1392" s="1115"/>
      <c r="AS1392" s="1117"/>
      <c r="AT1392" s="1075" t="s">
        <v>182</v>
      </c>
      <c r="AU1392" s="1078" t="s">
        <v>845</v>
      </c>
      <c r="AV1392" s="330">
        <f>SQRT(($R1392-Infrastructure!J$3)^2+($S1392-Infrastructure!K$3)^2)</f>
        <v>31.38184188</v>
      </c>
      <c r="AW1392" s="331">
        <f>SQRT(($R1392-Infrastructure!J$4)^2+($S1392-Infrastructure!K$4)^2)</f>
        <v>23.56374334</v>
      </c>
      <c r="AX1392" s="331">
        <f>SQRT(($R1392-Infrastructure!J$5)^2+($S1392-Infrastructure!K$5)^2)</f>
        <v>19.13164917</v>
      </c>
      <c r="AY1392" s="331">
        <f>SQRT(($R1392-Infrastructure!J$6)^2+($S1392-Infrastructure!K$6)^2)</f>
        <v>9.45409964</v>
      </c>
      <c r="AZ1392" s="331">
        <f>SQRT(($R1392-Infrastructure!J$7)^2+($S1392-Infrastructure!K$7)^2)</f>
        <v>4.071854614</v>
      </c>
      <c r="BA1392" s="331">
        <f>SQRT(($R1392-Infrastructure!J$8)^2+($S1392-Infrastructure!K$8)^2)</f>
        <v>11.89033221</v>
      </c>
      <c r="BB1392" s="331">
        <f>SQRT(($R1392-Infrastructure!J$9)^2+($S1392-Infrastructure!K$9)^2)</f>
        <v>21.22851855</v>
      </c>
      <c r="BC1392" s="331">
        <f>SQRT(($R1392-Infrastructure!J$10)^2+($S1392-Infrastructure!K$10)^2)</f>
        <v>23.88388578</v>
      </c>
      <c r="BD1392" s="331">
        <f>SQRT(($R1392-Infrastructure!J$11)^2+($S1392-Infrastructure!K$11)^2)</f>
        <v>32.9083576</v>
      </c>
      <c r="BE1392" s="333">
        <f>SQRT(($R1392-Infrastructure!J$12)^2+($S1392-Infrastructure!K$12)^2)</f>
        <v>51.57072813</v>
      </c>
      <c r="BF1392" s="330">
        <f t="shared" si="161"/>
        <v>4.071854614</v>
      </c>
      <c r="BG1392" s="333">
        <f t="shared" si="162"/>
        <v>51.57072813</v>
      </c>
      <c r="BH1392" s="1119"/>
      <c r="BI1392" s="319"/>
      <c r="BJ1392" s="319"/>
      <c r="BK1392" s="319" t="s">
        <v>846</v>
      </c>
      <c r="BL1392" s="319" t="s">
        <v>846</v>
      </c>
      <c r="BM1392" s="955"/>
      <c r="BN1392" s="319" t="s">
        <v>846</v>
      </c>
      <c r="BO1392" s="319"/>
      <c r="BP1392" s="953"/>
      <c r="BQ1392" s="319"/>
      <c r="BR1392" s="324" t="s">
        <v>846</v>
      </c>
      <c r="BS1392" s="330">
        <f t="shared" si="169"/>
        <v>9.45409964</v>
      </c>
      <c r="BT1392" s="331">
        <f t="shared" si="170"/>
        <v>51.57072813</v>
      </c>
      <c r="BU1392" s="920"/>
      <c r="BV1392" s="903">
        <f t="shared" si="171"/>
        <v>-0.6357638889</v>
      </c>
      <c r="BW1392" s="907"/>
      <c r="BX1392" s="908"/>
      <c r="BY1392" s="331" t="b">
        <f t="shared" si="166"/>
        <v>0</v>
      </c>
      <c r="BZ1392" s="340"/>
      <c r="CA1392" s="316"/>
      <c r="CB1392" s="318"/>
      <c r="CC1392" s="318"/>
      <c r="CD1392" s="318"/>
      <c r="CE1392" s="318"/>
      <c r="CF1392" s="318"/>
      <c r="CG1392" s="318"/>
      <c r="CH1392" s="318"/>
      <c r="CI1392" s="318"/>
      <c r="CJ1392" s="463"/>
      <c r="CK1392" s="342"/>
      <c r="CL1392" s="333"/>
      <c r="CM1392" s="1079"/>
      <c r="CN1392" s="1005"/>
      <c r="CO1392" s="1005"/>
      <c r="CP1392" s="1005"/>
    </row>
    <row r="1393">
      <c r="B1393" s="1106" t="s">
        <v>2093</v>
      </c>
      <c r="C1393" s="1107">
        <v>44697.0</v>
      </c>
      <c r="D1393" s="103"/>
      <c r="E1393" s="1108">
        <v>3.0</v>
      </c>
      <c r="F1393" s="112" t="s">
        <v>2096</v>
      </c>
      <c r="G1393" s="1109">
        <v>0.6422453703703703</v>
      </c>
      <c r="H1393" s="1110">
        <v>0.6425925925925926</v>
      </c>
      <c r="I1393" s="1110"/>
      <c r="J1393" s="1111"/>
      <c r="K1393" s="1111">
        <v>0.6506944444444445</v>
      </c>
      <c r="L1393" s="1112">
        <v>0.008101851851851851</v>
      </c>
      <c r="M1393" s="1113" t="s">
        <v>168</v>
      </c>
      <c r="N1393" s="110" t="s">
        <v>187</v>
      </c>
      <c r="O1393" s="1114" t="s">
        <v>204</v>
      </c>
      <c r="P1393" s="1115" t="s">
        <v>256</v>
      </c>
      <c r="Q1393" s="1116"/>
      <c r="R1393" s="120">
        <v>18.8</v>
      </c>
      <c r="S1393" s="1113">
        <v>4.0</v>
      </c>
      <c r="T1393" s="110">
        <v>1.62</v>
      </c>
      <c r="U1393" s="1108">
        <v>2.0</v>
      </c>
      <c r="V1393" s="1108"/>
      <c r="W1393" s="1108"/>
      <c r="X1393" s="1108"/>
      <c r="Y1393" s="1108"/>
      <c r="Z1393" s="1114" t="s">
        <v>365</v>
      </c>
      <c r="AA1393" s="1114"/>
      <c r="AB1393" s="1114" t="s">
        <v>341</v>
      </c>
      <c r="AC1393" s="1117">
        <v>3.0</v>
      </c>
      <c r="AD1393" s="1115"/>
      <c r="AE1393" s="1115"/>
      <c r="AF1393" s="1115"/>
      <c r="AG1393" s="1115"/>
      <c r="AH1393" s="1115"/>
      <c r="AI1393" s="1115"/>
      <c r="AJ1393" s="1117"/>
      <c r="AK1393" s="1118"/>
      <c r="AL1393" s="1115"/>
      <c r="AM1393" s="1115"/>
      <c r="AN1393" s="1115"/>
      <c r="AO1393" s="1115"/>
      <c r="AP1393" s="1115"/>
      <c r="AQ1393" s="1115"/>
      <c r="AR1393" s="1115"/>
      <c r="AS1393" s="1117"/>
      <c r="AT1393" s="1075" t="s">
        <v>182</v>
      </c>
      <c r="AU1393" s="1078" t="s">
        <v>845</v>
      </c>
      <c r="AV1393" s="330">
        <f>SQRT(($R1393-Infrastructure!J$3)^2+($S1393-Infrastructure!K$3)^2)</f>
        <v>31.38184188</v>
      </c>
      <c r="AW1393" s="331">
        <f>SQRT(($R1393-Infrastructure!J$4)^2+($S1393-Infrastructure!K$4)^2)</f>
        <v>23.56374334</v>
      </c>
      <c r="AX1393" s="331">
        <f>SQRT(($R1393-Infrastructure!J$5)^2+($S1393-Infrastructure!K$5)^2)</f>
        <v>19.13164917</v>
      </c>
      <c r="AY1393" s="331">
        <f>SQRT(($R1393-Infrastructure!J$6)^2+($S1393-Infrastructure!K$6)^2)</f>
        <v>9.45409964</v>
      </c>
      <c r="AZ1393" s="331">
        <f>SQRT(($R1393-Infrastructure!J$7)^2+($S1393-Infrastructure!K$7)^2)</f>
        <v>4.071854614</v>
      </c>
      <c r="BA1393" s="331">
        <f>SQRT(($R1393-Infrastructure!J$8)^2+($S1393-Infrastructure!K$8)^2)</f>
        <v>11.89033221</v>
      </c>
      <c r="BB1393" s="331">
        <f>SQRT(($R1393-Infrastructure!J$9)^2+($S1393-Infrastructure!K$9)^2)</f>
        <v>21.22851855</v>
      </c>
      <c r="BC1393" s="331">
        <f>SQRT(($R1393-Infrastructure!J$10)^2+($S1393-Infrastructure!K$10)^2)</f>
        <v>23.88388578</v>
      </c>
      <c r="BD1393" s="331">
        <f>SQRT(($R1393-Infrastructure!J$11)^2+($S1393-Infrastructure!K$11)^2)</f>
        <v>32.9083576</v>
      </c>
      <c r="BE1393" s="333">
        <f>SQRT(($R1393-Infrastructure!J$12)^2+($S1393-Infrastructure!K$12)^2)</f>
        <v>51.57072813</v>
      </c>
      <c r="BF1393" s="330">
        <f t="shared" si="161"/>
        <v>4.071854614</v>
      </c>
      <c r="BG1393" s="333">
        <f t="shared" si="162"/>
        <v>51.57072813</v>
      </c>
      <c r="BH1393" s="1119"/>
      <c r="BI1393" s="319"/>
      <c r="BJ1393" s="319"/>
      <c r="BK1393" s="319"/>
      <c r="BL1393" s="319"/>
      <c r="BM1393" s="955"/>
      <c r="BN1393" s="319"/>
      <c r="BO1393" s="319"/>
      <c r="BP1393" s="953"/>
      <c r="BQ1393" s="319"/>
      <c r="BR1393" s="324"/>
      <c r="BS1393" s="330">
        <f t="shared" si="169"/>
        <v>0</v>
      </c>
      <c r="BT1393" s="331">
        <f t="shared" si="170"/>
        <v>0</v>
      </c>
      <c r="BU1393" s="920"/>
      <c r="BV1393" s="903">
        <f t="shared" si="171"/>
        <v>-0.6422453704</v>
      </c>
      <c r="BW1393" s="907"/>
      <c r="BX1393" s="908"/>
      <c r="BY1393" s="331" t="b">
        <f t="shared" si="166"/>
        <v>0</v>
      </c>
      <c r="BZ1393" s="340"/>
      <c r="CA1393" s="316"/>
      <c r="CB1393" s="318"/>
      <c r="CC1393" s="318"/>
      <c r="CD1393" s="318"/>
      <c r="CE1393" s="318"/>
      <c r="CF1393" s="318"/>
      <c r="CG1393" s="318"/>
      <c r="CH1393" s="318"/>
      <c r="CI1393" s="318"/>
      <c r="CJ1393" s="463"/>
      <c r="CK1393" s="342"/>
      <c r="CL1393" s="333"/>
      <c r="CM1393" s="1079"/>
      <c r="CN1393" s="1005"/>
      <c r="CO1393" s="1005"/>
      <c r="CP1393" s="1005"/>
    </row>
    <row r="1394">
      <c r="B1394" s="1106" t="s">
        <v>2093</v>
      </c>
      <c r="C1394" s="1107">
        <v>44697.0</v>
      </c>
      <c r="D1394" s="103"/>
      <c r="E1394" s="1137"/>
      <c r="F1394" s="112" t="s">
        <v>2097</v>
      </c>
      <c r="G1394" s="1109">
        <v>0.6577546296296296</v>
      </c>
      <c r="H1394" s="1138"/>
      <c r="I1394" s="1138"/>
      <c r="J1394" s="1139"/>
      <c r="K1394" s="1111">
        <v>0.6579861111111112</v>
      </c>
      <c r="L1394" s="1112">
        <v>2.314814814814815E-4</v>
      </c>
      <c r="M1394" s="1113" t="s">
        <v>168</v>
      </c>
      <c r="N1394" s="110" t="s">
        <v>188</v>
      </c>
      <c r="O1394" s="1140"/>
      <c r="P1394" s="1115" t="s">
        <v>293</v>
      </c>
      <c r="Q1394" s="1116"/>
      <c r="R1394" s="1141"/>
      <c r="S1394" s="1142"/>
      <c r="T1394" s="1143"/>
      <c r="U1394" s="1137"/>
      <c r="V1394" s="1137"/>
      <c r="W1394" s="1137"/>
      <c r="X1394" s="1137"/>
      <c r="Y1394" s="1137"/>
      <c r="Z1394" s="1114" t="s">
        <v>323</v>
      </c>
      <c r="AA1394" s="1114"/>
      <c r="AB1394" s="1114" t="s">
        <v>323</v>
      </c>
      <c r="AC1394" s="1117" t="s">
        <v>323</v>
      </c>
      <c r="AD1394" s="1115"/>
      <c r="AE1394" s="1115"/>
      <c r="AF1394" s="1115"/>
      <c r="AG1394" s="1115"/>
      <c r="AH1394" s="1115"/>
      <c r="AI1394" s="1115"/>
      <c r="AJ1394" s="1117"/>
      <c r="AK1394" s="1118"/>
      <c r="AL1394" s="1115"/>
      <c r="AM1394" s="1115"/>
      <c r="AN1394" s="1115"/>
      <c r="AO1394" s="1115"/>
      <c r="AP1394" s="1115"/>
      <c r="AQ1394" s="1115"/>
      <c r="AR1394" s="1115"/>
      <c r="AS1394" s="1117"/>
      <c r="AT1394" s="1075"/>
      <c r="AU1394" s="1078"/>
      <c r="AV1394" s="330">
        <f>SQRT(($R1394-Infrastructure!J$3)^2+($S1394-Infrastructure!K$3)^2)</f>
        <v>28.90155705</v>
      </c>
      <c r="AW1394" s="331">
        <f>SQRT(($R1394-Infrastructure!J$4)^2+($S1394-Infrastructure!K$4)^2)</f>
        <v>17.80252791</v>
      </c>
      <c r="AX1394" s="331">
        <f>SQRT(($R1394-Infrastructure!J$5)^2+($S1394-Infrastructure!K$5)^2)</f>
        <v>5.10881591</v>
      </c>
      <c r="AY1394" s="331">
        <f>SQRT(($R1394-Infrastructure!J$6)^2+($S1394-Infrastructure!K$6)^2)</f>
        <v>10.10445446</v>
      </c>
      <c r="AZ1394" s="331">
        <f>SQRT(($R1394-Infrastructure!J$7)^2+($S1394-Infrastructure!K$7)^2)</f>
        <v>20.502195</v>
      </c>
      <c r="BA1394" s="331">
        <f>SQRT(($R1394-Infrastructure!J$8)^2+($S1394-Infrastructure!K$8)^2)</f>
        <v>30.10149498</v>
      </c>
      <c r="BB1394" s="331">
        <f>SQRT(($R1394-Infrastructure!J$9)^2+($S1394-Infrastructure!K$9)^2)</f>
        <v>40.3238143</v>
      </c>
      <c r="BC1394" s="331">
        <f>SQRT(($R1394-Infrastructure!J$10)^2+($S1394-Infrastructure!K$10)^2)</f>
        <v>42.72001873</v>
      </c>
      <c r="BD1394" s="331">
        <f>SQRT(($R1394-Infrastructure!J$11)^2+($S1394-Infrastructure!K$11)^2)</f>
        <v>49.56853841</v>
      </c>
      <c r="BE1394" s="333">
        <f>SQRT(($R1394-Infrastructure!J$12)^2+($S1394-Infrastructure!K$12)^2)</f>
        <v>59.51890456</v>
      </c>
      <c r="BF1394" s="330">
        <f t="shared" si="161"/>
        <v>5.10881591</v>
      </c>
      <c r="BG1394" s="333">
        <f t="shared" si="162"/>
        <v>59.51890456</v>
      </c>
      <c r="BH1394" s="1119"/>
      <c r="BI1394" s="319"/>
      <c r="BJ1394" s="319"/>
      <c r="BK1394" s="319"/>
      <c r="BL1394" s="319"/>
      <c r="BM1394" s="955"/>
      <c r="BN1394" s="319"/>
      <c r="BO1394" s="319"/>
      <c r="BP1394" s="953"/>
      <c r="BQ1394" s="319"/>
      <c r="BR1394" s="324"/>
      <c r="BS1394" s="330">
        <f t="shared" si="169"/>
        <v>0</v>
      </c>
      <c r="BT1394" s="331">
        <f t="shared" si="170"/>
        <v>0</v>
      </c>
      <c r="BU1394" s="920"/>
      <c r="BV1394" s="903">
        <f t="shared" si="171"/>
        <v>-0.6577546296</v>
      </c>
      <c r="BW1394" s="907"/>
      <c r="BX1394" s="908"/>
      <c r="BY1394" s="331" t="b">
        <f t="shared" si="166"/>
        <v>0</v>
      </c>
      <c r="BZ1394" s="340"/>
      <c r="CA1394" s="316"/>
      <c r="CB1394" s="318"/>
      <c r="CC1394" s="318"/>
      <c r="CD1394" s="318"/>
      <c r="CE1394" s="318"/>
      <c r="CF1394" s="318"/>
      <c r="CG1394" s="318"/>
      <c r="CH1394" s="318"/>
      <c r="CI1394" s="318"/>
      <c r="CJ1394" s="463"/>
      <c r="CK1394" s="342"/>
      <c r="CL1394" s="333"/>
      <c r="CM1394" s="1079"/>
      <c r="CN1394" s="1005"/>
      <c r="CO1394" s="1005"/>
      <c r="CP1394" s="1005"/>
    </row>
    <row r="1395">
      <c r="B1395" s="1106" t="s">
        <v>2093</v>
      </c>
      <c r="C1395" s="1107">
        <v>44697.0</v>
      </c>
      <c r="D1395" s="103"/>
      <c r="E1395" s="1137"/>
      <c r="F1395" s="112" t="s">
        <v>2097</v>
      </c>
      <c r="G1395" s="1109">
        <v>0.6787037037037037</v>
      </c>
      <c r="H1395" s="1138"/>
      <c r="I1395" s="1138"/>
      <c r="J1395" s="1139"/>
      <c r="K1395" s="1111">
        <v>0.6788194444444444</v>
      </c>
      <c r="L1395" s="1112">
        <v>1.1574074074074075E-4</v>
      </c>
      <c r="M1395" s="1113" t="s">
        <v>358</v>
      </c>
      <c r="N1395" s="110" t="s">
        <v>188</v>
      </c>
      <c r="O1395" s="1140"/>
      <c r="P1395" s="1115" t="s">
        <v>294</v>
      </c>
      <c r="Q1395" s="1116"/>
      <c r="R1395" s="1141"/>
      <c r="S1395" s="1142"/>
      <c r="T1395" s="1143"/>
      <c r="U1395" s="1137"/>
      <c r="V1395" s="1137"/>
      <c r="W1395" s="1137"/>
      <c r="X1395" s="1137"/>
      <c r="Y1395" s="1137"/>
      <c r="Z1395" s="1114" t="s">
        <v>323</v>
      </c>
      <c r="AA1395" s="1114"/>
      <c r="AB1395" s="1114" t="s">
        <v>323</v>
      </c>
      <c r="AC1395" s="1117" t="s">
        <v>323</v>
      </c>
      <c r="AD1395" s="1115"/>
      <c r="AE1395" s="1115"/>
      <c r="AF1395" s="1115"/>
      <c r="AG1395" s="1115"/>
      <c r="AH1395" s="1115"/>
      <c r="AI1395" s="1115"/>
      <c r="AJ1395" s="1117"/>
      <c r="AK1395" s="1118"/>
      <c r="AL1395" s="1115"/>
      <c r="AM1395" s="1115"/>
      <c r="AN1395" s="1115"/>
      <c r="AO1395" s="1115"/>
      <c r="AP1395" s="1115"/>
      <c r="AQ1395" s="1115"/>
      <c r="AR1395" s="1115"/>
      <c r="AS1395" s="1117"/>
      <c r="AT1395" s="1075"/>
      <c r="AU1395" s="1078"/>
      <c r="AV1395" s="330">
        <f>SQRT(($R1395-Infrastructure!J$3)^2+($S1395-Infrastructure!K$3)^2)</f>
        <v>28.90155705</v>
      </c>
      <c r="AW1395" s="331">
        <f>SQRT(($R1395-Infrastructure!J$4)^2+($S1395-Infrastructure!K$4)^2)</f>
        <v>17.80252791</v>
      </c>
      <c r="AX1395" s="331">
        <f>SQRT(($R1395-Infrastructure!J$5)^2+($S1395-Infrastructure!K$5)^2)</f>
        <v>5.10881591</v>
      </c>
      <c r="AY1395" s="331">
        <f>SQRT(($R1395-Infrastructure!J$6)^2+($S1395-Infrastructure!K$6)^2)</f>
        <v>10.10445446</v>
      </c>
      <c r="AZ1395" s="331">
        <f>SQRT(($R1395-Infrastructure!J$7)^2+($S1395-Infrastructure!K$7)^2)</f>
        <v>20.502195</v>
      </c>
      <c r="BA1395" s="331">
        <f>SQRT(($R1395-Infrastructure!J$8)^2+($S1395-Infrastructure!K$8)^2)</f>
        <v>30.10149498</v>
      </c>
      <c r="BB1395" s="331">
        <f>SQRT(($R1395-Infrastructure!J$9)^2+($S1395-Infrastructure!K$9)^2)</f>
        <v>40.3238143</v>
      </c>
      <c r="BC1395" s="331">
        <f>SQRT(($R1395-Infrastructure!J$10)^2+($S1395-Infrastructure!K$10)^2)</f>
        <v>42.72001873</v>
      </c>
      <c r="BD1395" s="331">
        <f>SQRT(($R1395-Infrastructure!J$11)^2+($S1395-Infrastructure!K$11)^2)</f>
        <v>49.56853841</v>
      </c>
      <c r="BE1395" s="333">
        <f>SQRT(($R1395-Infrastructure!J$12)^2+($S1395-Infrastructure!K$12)^2)</f>
        <v>59.51890456</v>
      </c>
      <c r="BF1395" s="330">
        <f t="shared" si="161"/>
        <v>5.10881591</v>
      </c>
      <c r="BG1395" s="333">
        <f t="shared" si="162"/>
        <v>59.51890456</v>
      </c>
      <c r="BH1395" s="1119"/>
      <c r="BI1395" s="319"/>
      <c r="BJ1395" s="319"/>
      <c r="BK1395" s="319"/>
      <c r="BL1395" s="319"/>
      <c r="BM1395" s="955"/>
      <c r="BN1395" s="319"/>
      <c r="BO1395" s="319"/>
      <c r="BP1395" s="953"/>
      <c r="BQ1395" s="319"/>
      <c r="BR1395" s="324"/>
      <c r="BS1395" s="330">
        <f t="shared" si="169"/>
        <v>0</v>
      </c>
      <c r="BT1395" s="331">
        <f t="shared" si="170"/>
        <v>0</v>
      </c>
      <c r="BU1395" s="920"/>
      <c r="BV1395" s="903">
        <f t="shared" si="171"/>
        <v>-0.6787037037</v>
      </c>
      <c r="BW1395" s="907"/>
      <c r="BX1395" s="908"/>
      <c r="BY1395" s="331" t="b">
        <f t="shared" si="166"/>
        <v>0</v>
      </c>
      <c r="BZ1395" s="340"/>
      <c r="CA1395" s="316"/>
      <c r="CB1395" s="318"/>
      <c r="CC1395" s="318"/>
      <c r="CD1395" s="318"/>
      <c r="CE1395" s="318"/>
      <c r="CF1395" s="318"/>
      <c r="CG1395" s="318"/>
      <c r="CH1395" s="318"/>
      <c r="CI1395" s="318"/>
      <c r="CJ1395" s="463"/>
      <c r="CK1395" s="342"/>
      <c r="CL1395" s="333"/>
      <c r="CM1395" s="1079"/>
      <c r="CN1395" s="1005"/>
      <c r="CO1395" s="1005"/>
      <c r="CP1395" s="1005"/>
    </row>
    <row r="1396">
      <c r="A1396" s="1163" t="s">
        <v>74</v>
      </c>
      <c r="B1396" s="1091" t="s">
        <v>1517</v>
      </c>
      <c r="C1396" s="1092">
        <v>44720.0</v>
      </c>
      <c r="D1396" s="1093"/>
      <c r="E1396" s="1094">
        <v>1.0</v>
      </c>
      <c r="F1396" s="129" t="s">
        <v>2098</v>
      </c>
      <c r="G1396" s="1095">
        <v>0.5919560185185185</v>
      </c>
      <c r="H1396" s="1096">
        <v>0.5921875</v>
      </c>
      <c r="I1396" s="1096"/>
      <c r="J1396" s="1097"/>
      <c r="K1396" s="1097">
        <v>0.5930555555555556</v>
      </c>
      <c r="L1396" s="1098">
        <v>8.680555555555555E-4</v>
      </c>
      <c r="M1396" s="1099" t="s">
        <v>166</v>
      </c>
      <c r="N1396" s="129" t="s">
        <v>187</v>
      </c>
      <c r="O1396" s="1100" t="s">
        <v>198</v>
      </c>
      <c r="P1396" s="1101" t="s">
        <v>218</v>
      </c>
      <c r="Q1396" s="1120"/>
      <c r="R1396" s="132">
        <v>10.3</v>
      </c>
      <c r="S1396" s="1099">
        <v>8.1</v>
      </c>
      <c r="T1396" s="129">
        <v>3.0</v>
      </c>
      <c r="U1396" s="1094">
        <v>6.0</v>
      </c>
      <c r="V1396" s="1094"/>
      <c r="W1396" s="1094"/>
      <c r="X1396" s="1094"/>
      <c r="Y1396" s="1094"/>
      <c r="Z1396" s="1164" t="s">
        <v>343</v>
      </c>
      <c r="AA1396" s="1164"/>
      <c r="AB1396" s="1100" t="s">
        <v>392</v>
      </c>
      <c r="AC1396" s="1102">
        <v>10.0</v>
      </c>
      <c r="AD1396" s="1101"/>
      <c r="AE1396" s="1101"/>
      <c r="AF1396" s="1101"/>
      <c r="AG1396" s="1101"/>
      <c r="AH1396" s="1101"/>
      <c r="AI1396" s="1101"/>
      <c r="AJ1396" s="1102"/>
      <c r="AK1396" s="1103"/>
      <c r="AL1396" s="1101"/>
      <c r="AM1396" s="1101"/>
      <c r="AN1396" s="1101"/>
      <c r="AO1396" s="1101"/>
      <c r="AP1396" s="1101"/>
      <c r="AQ1396" s="1101"/>
      <c r="AR1396" s="1101"/>
      <c r="AS1396" s="1102"/>
      <c r="AT1396" s="1066" t="s">
        <v>182</v>
      </c>
      <c r="AU1396" s="1076" t="s">
        <v>845</v>
      </c>
      <c r="AV1396" s="330">
        <f>SQRT(($R1396-Infrastructure!J$3)^2+($S1396-Infrastructure!K$3)^2)</f>
        <v>23.34523506</v>
      </c>
      <c r="AW1396" s="331">
        <f>SQRT(($R1396-Infrastructure!J$4)^2+($S1396-Infrastructure!K$4)^2)</f>
        <v>14.36836804</v>
      </c>
      <c r="AX1396" s="331">
        <f>SQRT(($R1396-Infrastructure!J$5)^2+($S1396-Infrastructure!K$5)^2)</f>
        <v>11.01635148</v>
      </c>
      <c r="AY1396" s="331">
        <f>SQRT(($R1396-Infrastructure!J$6)^2+($S1396-Infrastructure!K$6)^2)</f>
        <v>7.802563681</v>
      </c>
      <c r="AZ1396" s="331">
        <f>SQRT(($R1396-Infrastructure!J$7)^2+($S1396-Infrastructure!K$7)^2)</f>
        <v>12.84056074</v>
      </c>
      <c r="BA1396" s="331">
        <f>SQRT(($R1396-Infrastructure!J$8)^2+($S1396-Infrastructure!K$8)^2)</f>
        <v>21.28097742</v>
      </c>
      <c r="BB1396" s="331">
        <f>SQRT(($R1396-Infrastructure!J$9)^2+($S1396-Infrastructure!K$9)^2)</f>
        <v>29.85113063</v>
      </c>
      <c r="BC1396" s="331">
        <f>SQRT(($R1396-Infrastructure!J$10)^2+($S1396-Infrastructure!K$10)^2)</f>
        <v>30.49098227</v>
      </c>
      <c r="BD1396" s="331">
        <f>SQRT(($R1396-Infrastructure!J$11)^2+($S1396-Infrastructure!K$11)^2)</f>
        <v>36.4804057</v>
      </c>
      <c r="BE1396" s="333">
        <f>SQRT(($R1396-Infrastructure!J$12)^2+($S1396-Infrastructure!K$12)^2)</f>
        <v>48.70523586</v>
      </c>
      <c r="BF1396" s="330">
        <f t="shared" si="161"/>
        <v>7.802563681</v>
      </c>
      <c r="BG1396" s="333">
        <f t="shared" si="162"/>
        <v>48.70523586</v>
      </c>
      <c r="BH1396" s="1105"/>
      <c r="BI1396" s="393"/>
      <c r="BJ1396" s="393"/>
      <c r="BK1396" s="393" t="s">
        <v>846</v>
      </c>
      <c r="BL1396" s="393" t="s">
        <v>846</v>
      </c>
      <c r="BM1396" s="959"/>
      <c r="BN1396" s="393"/>
      <c r="BO1396" s="393"/>
      <c r="BP1396" s="960"/>
      <c r="BQ1396" s="393"/>
      <c r="BR1396" s="394" t="s">
        <v>846</v>
      </c>
      <c r="BS1396" s="330">
        <f t="shared" si="169"/>
        <v>7.802563681</v>
      </c>
      <c r="BT1396" s="331">
        <f t="shared" si="170"/>
        <v>48.70523586</v>
      </c>
      <c r="BU1396" s="920"/>
      <c r="BV1396" s="903">
        <f t="shared" si="171"/>
        <v>-0.5919560185</v>
      </c>
      <c r="BW1396" s="925"/>
      <c r="BX1396" s="926"/>
      <c r="BY1396" s="331" t="b">
        <f t="shared" si="166"/>
        <v>0</v>
      </c>
      <c r="BZ1396" s="412"/>
      <c r="CA1396" s="390"/>
      <c r="CB1396" s="392"/>
      <c r="CC1396" s="392"/>
      <c r="CD1396" s="392"/>
      <c r="CE1396" s="392"/>
      <c r="CF1396" s="392"/>
      <c r="CG1396" s="392"/>
      <c r="CH1396" s="392"/>
      <c r="CI1396" s="392"/>
      <c r="CJ1396" s="898"/>
      <c r="CK1396" s="414"/>
      <c r="CL1396" s="408"/>
      <c r="CM1396" s="1077"/>
      <c r="CN1396" s="1005"/>
      <c r="CO1396" s="1005"/>
      <c r="CP1396" s="1005"/>
    </row>
    <row r="1397">
      <c r="B1397" s="1106" t="s">
        <v>1517</v>
      </c>
      <c r="C1397" s="1107">
        <v>44720.0</v>
      </c>
      <c r="D1397" s="103"/>
      <c r="E1397" s="1108">
        <v>2.0</v>
      </c>
      <c r="F1397" s="110" t="s">
        <v>2099</v>
      </c>
      <c r="G1397" s="1109">
        <v>0.5951388888888889</v>
      </c>
      <c r="H1397" s="1110">
        <v>0.5954861111111112</v>
      </c>
      <c r="I1397" s="1110"/>
      <c r="J1397" s="1111"/>
      <c r="K1397" s="1111">
        <v>0.5962962962962963</v>
      </c>
      <c r="L1397" s="1112">
        <v>8.101851851851852E-4</v>
      </c>
      <c r="M1397" s="1113" t="s">
        <v>166</v>
      </c>
      <c r="N1397" s="110" t="s">
        <v>187</v>
      </c>
      <c r="O1397" s="1114" t="s">
        <v>198</v>
      </c>
      <c r="P1397" s="1115" t="s">
        <v>218</v>
      </c>
      <c r="Q1397" s="1116"/>
      <c r="R1397" s="120">
        <v>10.3</v>
      </c>
      <c r="S1397" s="1113">
        <v>8.1</v>
      </c>
      <c r="T1397" s="110">
        <v>3.0</v>
      </c>
      <c r="U1397" s="1108">
        <v>7.0</v>
      </c>
      <c r="V1397" s="1108"/>
      <c r="W1397" s="1108"/>
      <c r="X1397" s="1108"/>
      <c r="Y1397" s="1108"/>
      <c r="Z1397" s="1114" t="s">
        <v>343</v>
      </c>
      <c r="AA1397" s="1114"/>
      <c r="AB1397" s="1114" t="s">
        <v>392</v>
      </c>
      <c r="AC1397" s="1117">
        <v>10.0</v>
      </c>
      <c r="AD1397" s="1115"/>
      <c r="AE1397" s="1115"/>
      <c r="AF1397" s="1115"/>
      <c r="AG1397" s="1115"/>
      <c r="AH1397" s="1115"/>
      <c r="AI1397" s="1115"/>
      <c r="AJ1397" s="1117"/>
      <c r="AK1397" s="1118"/>
      <c r="AL1397" s="1115"/>
      <c r="AM1397" s="1115"/>
      <c r="AN1397" s="1115"/>
      <c r="AO1397" s="1115"/>
      <c r="AP1397" s="1115"/>
      <c r="AQ1397" s="1115"/>
      <c r="AR1397" s="1115"/>
      <c r="AS1397" s="1117"/>
      <c r="AT1397" s="1075" t="s">
        <v>182</v>
      </c>
      <c r="AU1397" s="1078" t="s">
        <v>845</v>
      </c>
      <c r="AV1397" s="330">
        <f>SQRT(($R1397-Infrastructure!J$3)^2+($S1397-Infrastructure!K$3)^2)</f>
        <v>23.34523506</v>
      </c>
      <c r="AW1397" s="331">
        <f>SQRT(($R1397-Infrastructure!J$4)^2+($S1397-Infrastructure!K$4)^2)</f>
        <v>14.36836804</v>
      </c>
      <c r="AX1397" s="331">
        <f>SQRT(($R1397-Infrastructure!J$5)^2+($S1397-Infrastructure!K$5)^2)</f>
        <v>11.01635148</v>
      </c>
      <c r="AY1397" s="331">
        <f>SQRT(($R1397-Infrastructure!J$6)^2+($S1397-Infrastructure!K$6)^2)</f>
        <v>7.802563681</v>
      </c>
      <c r="AZ1397" s="331">
        <f>SQRT(($R1397-Infrastructure!J$7)^2+($S1397-Infrastructure!K$7)^2)</f>
        <v>12.84056074</v>
      </c>
      <c r="BA1397" s="331">
        <f>SQRT(($R1397-Infrastructure!J$8)^2+($S1397-Infrastructure!K$8)^2)</f>
        <v>21.28097742</v>
      </c>
      <c r="BB1397" s="331">
        <f>SQRT(($R1397-Infrastructure!J$9)^2+($S1397-Infrastructure!K$9)^2)</f>
        <v>29.85113063</v>
      </c>
      <c r="BC1397" s="331">
        <f>SQRT(($R1397-Infrastructure!J$10)^2+($S1397-Infrastructure!K$10)^2)</f>
        <v>30.49098227</v>
      </c>
      <c r="BD1397" s="331">
        <f>SQRT(($R1397-Infrastructure!J$11)^2+($S1397-Infrastructure!K$11)^2)</f>
        <v>36.4804057</v>
      </c>
      <c r="BE1397" s="333">
        <f>SQRT(($R1397-Infrastructure!J$12)^2+($S1397-Infrastructure!K$12)^2)</f>
        <v>48.70523586</v>
      </c>
      <c r="BF1397" s="330">
        <f t="shared" si="161"/>
        <v>7.802563681</v>
      </c>
      <c r="BG1397" s="333">
        <f t="shared" si="162"/>
        <v>48.70523586</v>
      </c>
      <c r="BH1397" s="1119"/>
      <c r="BI1397" s="319"/>
      <c r="BJ1397" s="319"/>
      <c r="BK1397" s="319" t="s">
        <v>846</v>
      </c>
      <c r="BL1397" s="319" t="s">
        <v>846</v>
      </c>
      <c r="BM1397" s="955"/>
      <c r="BN1397" s="319" t="s">
        <v>846</v>
      </c>
      <c r="BO1397" s="319"/>
      <c r="BP1397" s="953"/>
      <c r="BQ1397" s="319"/>
      <c r="BR1397" s="324" t="s">
        <v>846</v>
      </c>
      <c r="BS1397" s="330">
        <f t="shared" si="169"/>
        <v>7.802563681</v>
      </c>
      <c r="BT1397" s="331">
        <f t="shared" si="170"/>
        <v>48.70523586</v>
      </c>
      <c r="BU1397" s="920"/>
      <c r="BV1397" s="903">
        <f t="shared" si="171"/>
        <v>-0.5951388889</v>
      </c>
      <c r="BW1397" s="907"/>
      <c r="BX1397" s="908"/>
      <c r="BY1397" s="331" t="b">
        <f t="shared" si="166"/>
        <v>0</v>
      </c>
      <c r="BZ1397" s="340"/>
      <c r="CA1397" s="316"/>
      <c r="CB1397" s="318"/>
      <c r="CC1397" s="318"/>
      <c r="CD1397" s="318"/>
      <c r="CE1397" s="318"/>
      <c r="CF1397" s="318"/>
      <c r="CG1397" s="318"/>
      <c r="CH1397" s="318"/>
      <c r="CI1397" s="318"/>
      <c r="CJ1397" s="463"/>
      <c r="CK1397" s="342"/>
      <c r="CL1397" s="333"/>
      <c r="CM1397" s="1079"/>
      <c r="CN1397" s="1005"/>
      <c r="CO1397" s="1005"/>
      <c r="CP1397" s="1005"/>
    </row>
    <row r="1398">
      <c r="B1398" s="1106" t="s">
        <v>1517</v>
      </c>
      <c r="C1398" s="1107">
        <v>44720.0</v>
      </c>
      <c r="D1398" s="103"/>
      <c r="E1398" s="1108">
        <v>3.0</v>
      </c>
      <c r="F1398" s="112" t="s">
        <v>2100</v>
      </c>
      <c r="G1398" s="1109">
        <v>0.5988194444444445</v>
      </c>
      <c r="H1398" s="1110">
        <v>0.5991319444444444</v>
      </c>
      <c r="I1398" s="1110"/>
      <c r="J1398" s="1111"/>
      <c r="K1398" s="1111">
        <v>0.6</v>
      </c>
      <c r="L1398" s="1112">
        <v>8.680555555555555E-4</v>
      </c>
      <c r="M1398" s="1113" t="s">
        <v>166</v>
      </c>
      <c r="N1398" s="110" t="s">
        <v>187</v>
      </c>
      <c r="O1398" s="1114" t="s">
        <v>198</v>
      </c>
      <c r="P1398" s="1115" t="s">
        <v>218</v>
      </c>
      <c r="Q1398" s="1116"/>
      <c r="R1398" s="120">
        <v>10.3</v>
      </c>
      <c r="S1398" s="1113">
        <v>8.1</v>
      </c>
      <c r="T1398" s="110">
        <v>3.0</v>
      </c>
      <c r="U1398" s="1108">
        <v>7.0</v>
      </c>
      <c r="V1398" s="1108"/>
      <c r="W1398" s="1108"/>
      <c r="X1398" s="1108"/>
      <c r="Y1398" s="1108"/>
      <c r="Z1398" s="1114" t="s">
        <v>343</v>
      </c>
      <c r="AA1398" s="1114"/>
      <c r="AB1398" s="1114" t="s">
        <v>392</v>
      </c>
      <c r="AC1398" s="1117">
        <v>10.0</v>
      </c>
      <c r="AD1398" s="1115"/>
      <c r="AE1398" s="1115"/>
      <c r="AF1398" s="1115"/>
      <c r="AG1398" s="1115"/>
      <c r="AH1398" s="1115"/>
      <c r="AI1398" s="1115"/>
      <c r="AJ1398" s="1117"/>
      <c r="AK1398" s="1118"/>
      <c r="AL1398" s="1115"/>
      <c r="AM1398" s="1115"/>
      <c r="AN1398" s="1115"/>
      <c r="AO1398" s="1115"/>
      <c r="AP1398" s="1115"/>
      <c r="AQ1398" s="1115"/>
      <c r="AR1398" s="1115"/>
      <c r="AS1398" s="1117"/>
      <c r="AT1398" s="1075" t="s">
        <v>182</v>
      </c>
      <c r="AU1398" s="1078" t="s">
        <v>845</v>
      </c>
      <c r="AV1398" s="330">
        <f>SQRT(($R1398-Infrastructure!J$3)^2+($S1398-Infrastructure!K$3)^2)</f>
        <v>23.34523506</v>
      </c>
      <c r="AW1398" s="331">
        <f>SQRT(($R1398-Infrastructure!J$4)^2+($S1398-Infrastructure!K$4)^2)</f>
        <v>14.36836804</v>
      </c>
      <c r="AX1398" s="331">
        <f>SQRT(($R1398-Infrastructure!J$5)^2+($S1398-Infrastructure!K$5)^2)</f>
        <v>11.01635148</v>
      </c>
      <c r="AY1398" s="331">
        <f>SQRT(($R1398-Infrastructure!J$6)^2+($S1398-Infrastructure!K$6)^2)</f>
        <v>7.802563681</v>
      </c>
      <c r="AZ1398" s="331">
        <f>SQRT(($R1398-Infrastructure!J$7)^2+($S1398-Infrastructure!K$7)^2)</f>
        <v>12.84056074</v>
      </c>
      <c r="BA1398" s="331">
        <f>SQRT(($R1398-Infrastructure!J$8)^2+($S1398-Infrastructure!K$8)^2)</f>
        <v>21.28097742</v>
      </c>
      <c r="BB1398" s="331">
        <f>SQRT(($R1398-Infrastructure!J$9)^2+($S1398-Infrastructure!K$9)^2)</f>
        <v>29.85113063</v>
      </c>
      <c r="BC1398" s="331">
        <f>SQRT(($R1398-Infrastructure!J$10)^2+($S1398-Infrastructure!K$10)^2)</f>
        <v>30.49098227</v>
      </c>
      <c r="BD1398" s="331">
        <f>SQRT(($R1398-Infrastructure!J$11)^2+($S1398-Infrastructure!K$11)^2)</f>
        <v>36.4804057</v>
      </c>
      <c r="BE1398" s="333">
        <f>SQRT(($R1398-Infrastructure!J$12)^2+($S1398-Infrastructure!K$12)^2)</f>
        <v>48.70523586</v>
      </c>
      <c r="BF1398" s="330">
        <f t="shared" si="161"/>
        <v>7.802563681</v>
      </c>
      <c r="BG1398" s="333">
        <f t="shared" si="162"/>
        <v>48.70523586</v>
      </c>
      <c r="BH1398" s="1119"/>
      <c r="BI1398" s="319"/>
      <c r="BJ1398" s="319"/>
      <c r="BK1398" s="319" t="s">
        <v>846</v>
      </c>
      <c r="BL1398" s="319" t="s">
        <v>846</v>
      </c>
      <c r="BM1398" s="955"/>
      <c r="BN1398" s="319"/>
      <c r="BO1398" s="319"/>
      <c r="BP1398" s="953"/>
      <c r="BQ1398" s="319"/>
      <c r="BR1398" s="324" t="s">
        <v>846</v>
      </c>
      <c r="BS1398" s="330">
        <f t="shared" si="169"/>
        <v>7.802563681</v>
      </c>
      <c r="BT1398" s="331">
        <f t="shared" si="170"/>
        <v>48.70523586</v>
      </c>
      <c r="BU1398" s="920"/>
      <c r="BV1398" s="903">
        <f t="shared" si="171"/>
        <v>-0.5988194444</v>
      </c>
      <c r="BW1398" s="907"/>
      <c r="BX1398" s="908"/>
      <c r="BY1398" s="331" t="b">
        <f t="shared" si="166"/>
        <v>0</v>
      </c>
      <c r="BZ1398" s="340"/>
      <c r="CA1398" s="316"/>
      <c r="CB1398" s="318"/>
      <c r="CC1398" s="318"/>
      <c r="CD1398" s="318"/>
      <c r="CE1398" s="318"/>
      <c r="CF1398" s="318"/>
      <c r="CG1398" s="318"/>
      <c r="CH1398" s="318"/>
      <c r="CI1398" s="318"/>
      <c r="CJ1398" s="463"/>
      <c r="CK1398" s="342"/>
      <c r="CL1398" s="333"/>
      <c r="CM1398" s="1079"/>
      <c r="CN1398" s="1005"/>
      <c r="CO1398" s="1005"/>
      <c r="CP1398" s="1005"/>
    </row>
    <row r="1399">
      <c r="B1399" s="1106" t="s">
        <v>1517</v>
      </c>
      <c r="C1399" s="1107">
        <v>44720.0</v>
      </c>
      <c r="D1399" s="1165"/>
      <c r="E1399" s="1108">
        <v>4.0</v>
      </c>
      <c r="F1399" s="112" t="s">
        <v>2101</v>
      </c>
      <c r="G1399" s="1151">
        <v>0.6010416666666667</v>
      </c>
      <c r="H1399" s="1152">
        <v>0.6012731481481481</v>
      </c>
      <c r="I1399" s="1152"/>
      <c r="J1399" s="1153"/>
      <c r="K1399" s="1153">
        <v>0.6021412037037037</v>
      </c>
      <c r="L1399" s="1112">
        <v>8.680555555555555E-4</v>
      </c>
      <c r="M1399" s="1113" t="s">
        <v>166</v>
      </c>
      <c r="N1399" s="110" t="s">
        <v>187</v>
      </c>
      <c r="O1399" s="1114" t="s">
        <v>198</v>
      </c>
      <c r="P1399" s="1115" t="s">
        <v>218</v>
      </c>
      <c r="Q1399" s="1116"/>
      <c r="R1399" s="120">
        <v>10.3</v>
      </c>
      <c r="S1399" s="1113">
        <v>8.1</v>
      </c>
      <c r="T1399" s="110">
        <v>3.0</v>
      </c>
      <c r="U1399" s="1108">
        <v>7.0</v>
      </c>
      <c r="V1399" s="1108"/>
      <c r="W1399" s="1108"/>
      <c r="X1399" s="1108"/>
      <c r="Y1399" s="1108"/>
      <c r="Z1399" s="1114" t="s">
        <v>343</v>
      </c>
      <c r="AA1399" s="1114"/>
      <c r="AB1399" s="1114" t="s">
        <v>392</v>
      </c>
      <c r="AC1399" s="1117">
        <v>10.0</v>
      </c>
      <c r="AD1399" s="1115"/>
      <c r="AE1399" s="1115"/>
      <c r="AF1399" s="1115"/>
      <c r="AG1399" s="1115"/>
      <c r="AH1399" s="1115"/>
      <c r="AI1399" s="1115"/>
      <c r="AJ1399" s="1117"/>
      <c r="AK1399" s="1118"/>
      <c r="AL1399" s="1115"/>
      <c r="AM1399" s="1115"/>
      <c r="AN1399" s="1115"/>
      <c r="AO1399" s="1115"/>
      <c r="AP1399" s="1115"/>
      <c r="AQ1399" s="1115"/>
      <c r="AR1399" s="1115"/>
      <c r="AS1399" s="1117"/>
      <c r="AT1399" s="1075" t="s">
        <v>182</v>
      </c>
      <c r="AU1399" s="1078" t="s">
        <v>845</v>
      </c>
      <c r="AV1399" s="330">
        <f>SQRT(($R1399-Infrastructure!J$3)^2+($S1399-Infrastructure!K$3)^2)</f>
        <v>23.34523506</v>
      </c>
      <c r="AW1399" s="331">
        <f>SQRT(($R1399-Infrastructure!J$4)^2+($S1399-Infrastructure!K$4)^2)</f>
        <v>14.36836804</v>
      </c>
      <c r="AX1399" s="331">
        <f>SQRT(($R1399-Infrastructure!J$5)^2+($S1399-Infrastructure!K$5)^2)</f>
        <v>11.01635148</v>
      </c>
      <c r="AY1399" s="331">
        <f>SQRT(($R1399-Infrastructure!J$6)^2+($S1399-Infrastructure!K$6)^2)</f>
        <v>7.802563681</v>
      </c>
      <c r="AZ1399" s="331">
        <f>SQRT(($R1399-Infrastructure!J$7)^2+($S1399-Infrastructure!K$7)^2)</f>
        <v>12.84056074</v>
      </c>
      <c r="BA1399" s="331">
        <f>SQRT(($R1399-Infrastructure!J$8)^2+($S1399-Infrastructure!K$8)^2)</f>
        <v>21.28097742</v>
      </c>
      <c r="BB1399" s="331">
        <f>SQRT(($R1399-Infrastructure!J$9)^2+($S1399-Infrastructure!K$9)^2)</f>
        <v>29.85113063</v>
      </c>
      <c r="BC1399" s="331">
        <f>SQRT(($R1399-Infrastructure!J$10)^2+($S1399-Infrastructure!K$10)^2)</f>
        <v>30.49098227</v>
      </c>
      <c r="BD1399" s="331">
        <f>SQRT(($R1399-Infrastructure!J$11)^2+($S1399-Infrastructure!K$11)^2)</f>
        <v>36.4804057</v>
      </c>
      <c r="BE1399" s="333">
        <f>SQRT(($R1399-Infrastructure!J$12)^2+($S1399-Infrastructure!K$12)^2)</f>
        <v>48.70523586</v>
      </c>
      <c r="BF1399" s="330">
        <f t="shared" si="161"/>
        <v>7.802563681</v>
      </c>
      <c r="BG1399" s="333">
        <f t="shared" si="162"/>
        <v>48.70523586</v>
      </c>
      <c r="BH1399" s="1119"/>
      <c r="BI1399" s="319"/>
      <c r="BJ1399" s="319"/>
      <c r="BK1399" s="319" t="s">
        <v>846</v>
      </c>
      <c r="BL1399" s="319" t="s">
        <v>846</v>
      </c>
      <c r="BM1399" s="955"/>
      <c r="BN1399" s="319"/>
      <c r="BO1399" s="319"/>
      <c r="BP1399" s="953"/>
      <c r="BQ1399" s="319"/>
      <c r="BR1399" s="324" t="s">
        <v>846</v>
      </c>
      <c r="BS1399" s="330">
        <f t="shared" si="169"/>
        <v>7.802563681</v>
      </c>
      <c r="BT1399" s="331">
        <f t="shared" si="170"/>
        <v>48.70523586</v>
      </c>
      <c r="BU1399" s="920"/>
      <c r="BV1399" s="903">
        <f t="shared" si="171"/>
        <v>-0.6010416667</v>
      </c>
      <c r="BW1399" s="907"/>
      <c r="BX1399" s="908"/>
      <c r="BY1399" s="331" t="b">
        <f t="shared" si="166"/>
        <v>0</v>
      </c>
      <c r="BZ1399" s="340"/>
      <c r="CA1399" s="316"/>
      <c r="CB1399" s="318"/>
      <c r="CC1399" s="318"/>
      <c r="CD1399" s="318"/>
      <c r="CE1399" s="318"/>
      <c r="CF1399" s="318"/>
      <c r="CG1399" s="318"/>
      <c r="CH1399" s="318"/>
      <c r="CI1399" s="318"/>
      <c r="CJ1399" s="463"/>
      <c r="CK1399" s="342"/>
      <c r="CL1399" s="333"/>
      <c r="CM1399" s="1079"/>
      <c r="CN1399" s="1005"/>
      <c r="CO1399" s="1005"/>
      <c r="CP1399" s="1005"/>
    </row>
    <row r="1400">
      <c r="B1400" s="1106" t="s">
        <v>1517</v>
      </c>
      <c r="C1400" s="1107">
        <v>44720.0</v>
      </c>
      <c r="D1400" s="103"/>
      <c r="E1400" s="1108">
        <v>5.0</v>
      </c>
      <c r="F1400" s="112" t="s">
        <v>2102</v>
      </c>
      <c r="G1400" s="1109">
        <v>0.6024884259259259</v>
      </c>
      <c r="H1400" s="1110">
        <v>0.6028356481481482</v>
      </c>
      <c r="I1400" s="1110"/>
      <c r="J1400" s="1111"/>
      <c r="K1400" s="1111">
        <v>0.6034722222222222</v>
      </c>
      <c r="L1400" s="1112">
        <v>6.365740740740741E-4</v>
      </c>
      <c r="M1400" s="1113" t="s">
        <v>166</v>
      </c>
      <c r="N1400" s="110" t="s">
        <v>187</v>
      </c>
      <c r="O1400" s="1114" t="s">
        <v>198</v>
      </c>
      <c r="P1400" s="1115" t="s">
        <v>218</v>
      </c>
      <c r="Q1400" s="1116"/>
      <c r="R1400" s="120">
        <v>10.3</v>
      </c>
      <c r="S1400" s="1113">
        <v>8.1</v>
      </c>
      <c r="T1400" s="110">
        <v>3.0</v>
      </c>
      <c r="U1400" s="1108">
        <v>7.0</v>
      </c>
      <c r="V1400" s="1108"/>
      <c r="W1400" s="1108"/>
      <c r="X1400" s="1108"/>
      <c r="Y1400" s="1108"/>
      <c r="Z1400" s="1114" t="s">
        <v>343</v>
      </c>
      <c r="AA1400" s="1114"/>
      <c r="AB1400" s="1114" t="s">
        <v>392</v>
      </c>
      <c r="AC1400" s="1117">
        <v>10.0</v>
      </c>
      <c r="AD1400" s="1115"/>
      <c r="AE1400" s="1115"/>
      <c r="AF1400" s="1115"/>
      <c r="AG1400" s="1115"/>
      <c r="AH1400" s="1115"/>
      <c r="AI1400" s="1115"/>
      <c r="AJ1400" s="1117"/>
      <c r="AK1400" s="1118"/>
      <c r="AL1400" s="1115"/>
      <c r="AM1400" s="1115"/>
      <c r="AN1400" s="1115"/>
      <c r="AO1400" s="1115"/>
      <c r="AP1400" s="1115"/>
      <c r="AQ1400" s="1115"/>
      <c r="AR1400" s="1115"/>
      <c r="AS1400" s="1117"/>
      <c r="AT1400" s="1075" t="s">
        <v>182</v>
      </c>
      <c r="AU1400" s="947" t="s">
        <v>846</v>
      </c>
      <c r="AV1400" s="330">
        <f>SQRT(($R1400-Infrastructure!J$3)^2+($S1400-Infrastructure!K$3)^2)</f>
        <v>23.34523506</v>
      </c>
      <c r="AW1400" s="331">
        <f>SQRT(($R1400-Infrastructure!J$4)^2+($S1400-Infrastructure!K$4)^2)</f>
        <v>14.36836804</v>
      </c>
      <c r="AX1400" s="331">
        <f>SQRT(($R1400-Infrastructure!J$5)^2+($S1400-Infrastructure!K$5)^2)</f>
        <v>11.01635148</v>
      </c>
      <c r="AY1400" s="331">
        <f>SQRT(($R1400-Infrastructure!J$6)^2+($S1400-Infrastructure!K$6)^2)</f>
        <v>7.802563681</v>
      </c>
      <c r="AZ1400" s="331">
        <f>SQRT(($R1400-Infrastructure!J$7)^2+($S1400-Infrastructure!K$7)^2)</f>
        <v>12.84056074</v>
      </c>
      <c r="BA1400" s="331">
        <f>SQRT(($R1400-Infrastructure!J$8)^2+($S1400-Infrastructure!K$8)^2)</f>
        <v>21.28097742</v>
      </c>
      <c r="BB1400" s="331">
        <f>SQRT(($R1400-Infrastructure!J$9)^2+($S1400-Infrastructure!K$9)^2)</f>
        <v>29.85113063</v>
      </c>
      <c r="BC1400" s="331">
        <f>SQRT(($R1400-Infrastructure!J$10)^2+($S1400-Infrastructure!K$10)^2)</f>
        <v>30.49098227</v>
      </c>
      <c r="BD1400" s="331">
        <f>SQRT(($R1400-Infrastructure!J$11)^2+($S1400-Infrastructure!K$11)^2)</f>
        <v>36.4804057</v>
      </c>
      <c r="BE1400" s="333">
        <f>SQRT(($R1400-Infrastructure!J$12)^2+($S1400-Infrastructure!K$12)^2)</f>
        <v>48.70523586</v>
      </c>
      <c r="BF1400" s="330">
        <f t="shared" si="161"/>
        <v>7.802563681</v>
      </c>
      <c r="BG1400" s="333">
        <f t="shared" si="162"/>
        <v>48.70523586</v>
      </c>
      <c r="BH1400" s="1119"/>
      <c r="BI1400" s="319"/>
      <c r="BJ1400" s="319"/>
      <c r="BK1400" s="319" t="s">
        <v>846</v>
      </c>
      <c r="BL1400" s="319" t="s">
        <v>846</v>
      </c>
      <c r="BM1400" s="955"/>
      <c r="BN1400" s="319"/>
      <c r="BO1400" s="319"/>
      <c r="BP1400" s="953"/>
      <c r="BQ1400" s="319"/>
      <c r="BR1400" s="324" t="s">
        <v>846</v>
      </c>
      <c r="BS1400" s="330">
        <f t="shared" si="169"/>
        <v>7.802563681</v>
      </c>
      <c r="BT1400" s="331">
        <f t="shared" si="170"/>
        <v>48.70523586</v>
      </c>
      <c r="BU1400" s="920"/>
      <c r="BV1400" s="903">
        <f t="shared" si="171"/>
        <v>-0.6024884259</v>
      </c>
      <c r="BW1400" s="907"/>
      <c r="BX1400" s="908"/>
      <c r="BY1400" s="331" t="b">
        <f t="shared" si="166"/>
        <v>0</v>
      </c>
      <c r="BZ1400" s="340"/>
      <c r="CA1400" s="316"/>
      <c r="CB1400" s="318"/>
      <c r="CC1400" s="318"/>
      <c r="CD1400" s="318"/>
      <c r="CE1400" s="318"/>
      <c r="CF1400" s="318"/>
      <c r="CG1400" s="318"/>
      <c r="CH1400" s="318"/>
      <c r="CI1400" s="318"/>
      <c r="CJ1400" s="463"/>
      <c r="CK1400" s="342"/>
      <c r="CL1400" s="333"/>
      <c r="CM1400" s="1079"/>
      <c r="CN1400" s="1005"/>
      <c r="CO1400" s="1005"/>
      <c r="CP1400" s="1005"/>
    </row>
    <row r="1401">
      <c r="B1401" s="1106" t="s">
        <v>1517</v>
      </c>
      <c r="C1401" s="1107">
        <v>44720.0</v>
      </c>
      <c r="D1401" s="1165"/>
      <c r="E1401" s="1108">
        <v>6.0</v>
      </c>
      <c r="F1401" s="112" t="s">
        <v>2103</v>
      </c>
      <c r="G1401" s="1151">
        <v>0.6024884259259259</v>
      </c>
      <c r="H1401" s="1152">
        <v>0.6028356481481482</v>
      </c>
      <c r="I1401" s="1152"/>
      <c r="J1401" s="1153"/>
      <c r="K1401" s="1153">
        <v>0.6034722222222222</v>
      </c>
      <c r="L1401" s="1112">
        <v>6.365740740740741E-4</v>
      </c>
      <c r="M1401" s="1113" t="s">
        <v>166</v>
      </c>
      <c r="N1401" s="110" t="s">
        <v>187</v>
      </c>
      <c r="O1401" s="1114" t="s">
        <v>198</v>
      </c>
      <c r="P1401" s="1115" t="s">
        <v>218</v>
      </c>
      <c r="Q1401" s="1116"/>
      <c r="R1401" s="120">
        <v>10.3</v>
      </c>
      <c r="S1401" s="1113">
        <v>8.1</v>
      </c>
      <c r="T1401" s="110">
        <v>3.0</v>
      </c>
      <c r="U1401" s="1108">
        <v>7.0</v>
      </c>
      <c r="V1401" s="1108"/>
      <c r="W1401" s="1108"/>
      <c r="X1401" s="1108"/>
      <c r="Y1401" s="1108"/>
      <c r="Z1401" s="1114" t="s">
        <v>343</v>
      </c>
      <c r="AA1401" s="1114"/>
      <c r="AB1401" s="1114" t="s">
        <v>392</v>
      </c>
      <c r="AC1401" s="1117">
        <v>10.0</v>
      </c>
      <c r="AD1401" s="1115"/>
      <c r="AE1401" s="1115"/>
      <c r="AF1401" s="1115"/>
      <c r="AG1401" s="1115"/>
      <c r="AH1401" s="1115"/>
      <c r="AI1401" s="1115"/>
      <c r="AJ1401" s="1117"/>
      <c r="AK1401" s="1118"/>
      <c r="AL1401" s="1115"/>
      <c r="AM1401" s="1115"/>
      <c r="AN1401" s="1115"/>
      <c r="AO1401" s="1115"/>
      <c r="AP1401" s="1115"/>
      <c r="AQ1401" s="1115"/>
      <c r="AR1401" s="1115"/>
      <c r="AS1401" s="1117"/>
      <c r="AT1401" s="1075" t="s">
        <v>182</v>
      </c>
      <c r="AU1401" s="947" t="s">
        <v>846</v>
      </c>
      <c r="AV1401" s="330">
        <f>SQRT(($R1401-Infrastructure!J$3)^2+($S1401-Infrastructure!K$3)^2)</f>
        <v>23.34523506</v>
      </c>
      <c r="AW1401" s="331">
        <f>SQRT(($R1401-Infrastructure!J$4)^2+($S1401-Infrastructure!K$4)^2)</f>
        <v>14.36836804</v>
      </c>
      <c r="AX1401" s="331">
        <f>SQRT(($R1401-Infrastructure!J$5)^2+($S1401-Infrastructure!K$5)^2)</f>
        <v>11.01635148</v>
      </c>
      <c r="AY1401" s="331">
        <f>SQRT(($R1401-Infrastructure!J$6)^2+($S1401-Infrastructure!K$6)^2)</f>
        <v>7.802563681</v>
      </c>
      <c r="AZ1401" s="331">
        <f>SQRT(($R1401-Infrastructure!J$7)^2+($S1401-Infrastructure!K$7)^2)</f>
        <v>12.84056074</v>
      </c>
      <c r="BA1401" s="331">
        <f>SQRT(($R1401-Infrastructure!J$8)^2+($S1401-Infrastructure!K$8)^2)</f>
        <v>21.28097742</v>
      </c>
      <c r="BB1401" s="331">
        <f>SQRT(($R1401-Infrastructure!J$9)^2+($S1401-Infrastructure!K$9)^2)</f>
        <v>29.85113063</v>
      </c>
      <c r="BC1401" s="331">
        <f>SQRT(($R1401-Infrastructure!J$10)^2+($S1401-Infrastructure!K$10)^2)</f>
        <v>30.49098227</v>
      </c>
      <c r="BD1401" s="331">
        <f>SQRT(($R1401-Infrastructure!J$11)^2+($S1401-Infrastructure!K$11)^2)</f>
        <v>36.4804057</v>
      </c>
      <c r="BE1401" s="333">
        <f>SQRT(($R1401-Infrastructure!J$12)^2+($S1401-Infrastructure!K$12)^2)</f>
        <v>48.70523586</v>
      </c>
      <c r="BF1401" s="330">
        <f t="shared" si="161"/>
        <v>7.802563681</v>
      </c>
      <c r="BG1401" s="333">
        <f t="shared" si="162"/>
        <v>48.70523586</v>
      </c>
      <c r="BH1401" s="1119"/>
      <c r="BI1401" s="319"/>
      <c r="BJ1401" s="319"/>
      <c r="BK1401" s="319" t="s">
        <v>846</v>
      </c>
      <c r="BL1401" s="319" t="s">
        <v>846</v>
      </c>
      <c r="BM1401" s="955"/>
      <c r="BN1401" s="319"/>
      <c r="BO1401" s="319"/>
      <c r="BP1401" s="953"/>
      <c r="BQ1401" s="319"/>
      <c r="BR1401" s="324" t="s">
        <v>846</v>
      </c>
      <c r="BS1401" s="330">
        <f t="shared" si="169"/>
        <v>7.802563681</v>
      </c>
      <c r="BT1401" s="331">
        <f t="shared" si="170"/>
        <v>48.70523586</v>
      </c>
      <c r="BU1401" s="920"/>
      <c r="BV1401" s="903">
        <f t="shared" si="171"/>
        <v>-0.6024884259</v>
      </c>
      <c r="BW1401" s="907"/>
      <c r="BX1401" s="908"/>
      <c r="BY1401" s="331" t="b">
        <f t="shared" si="166"/>
        <v>0</v>
      </c>
      <c r="BZ1401" s="340"/>
      <c r="CA1401" s="316"/>
      <c r="CB1401" s="318"/>
      <c r="CC1401" s="318"/>
      <c r="CD1401" s="318"/>
      <c r="CE1401" s="318"/>
      <c r="CF1401" s="318"/>
      <c r="CG1401" s="318"/>
      <c r="CH1401" s="318"/>
      <c r="CI1401" s="318"/>
      <c r="CJ1401" s="463"/>
      <c r="CK1401" s="342"/>
      <c r="CL1401" s="333"/>
      <c r="CM1401" s="1079"/>
      <c r="CN1401" s="1005"/>
      <c r="CO1401" s="1005"/>
      <c r="CP1401" s="1005"/>
    </row>
    <row r="1402">
      <c r="B1402" s="1106" t="s">
        <v>1517</v>
      </c>
      <c r="C1402" s="1107">
        <v>44720.0</v>
      </c>
      <c r="D1402" s="103"/>
      <c r="E1402" s="1108">
        <v>7.0</v>
      </c>
      <c r="F1402" s="112" t="s">
        <v>2104</v>
      </c>
      <c r="G1402" s="1109">
        <v>0.6047453703703703</v>
      </c>
      <c r="H1402" s="1110">
        <v>0.6050925925925926</v>
      </c>
      <c r="I1402" s="1110"/>
      <c r="J1402" s="1111"/>
      <c r="K1402" s="1111">
        <v>0.60625</v>
      </c>
      <c r="L1402" s="1112">
        <v>0.0011574074074074073</v>
      </c>
      <c r="M1402" s="1113" t="s">
        <v>166</v>
      </c>
      <c r="N1402" s="110" t="s">
        <v>187</v>
      </c>
      <c r="O1402" s="1114" t="s">
        <v>198</v>
      </c>
      <c r="P1402" s="1115" t="s">
        <v>218</v>
      </c>
      <c r="Q1402" s="1116"/>
      <c r="R1402" s="120">
        <v>10.3</v>
      </c>
      <c r="S1402" s="1113">
        <v>8.1</v>
      </c>
      <c r="T1402" s="110">
        <v>3.0</v>
      </c>
      <c r="U1402" s="1108">
        <v>7.0</v>
      </c>
      <c r="V1402" s="1108"/>
      <c r="W1402" s="1108"/>
      <c r="X1402" s="1108"/>
      <c r="Y1402" s="1108"/>
      <c r="Z1402" s="1114" t="s">
        <v>343</v>
      </c>
      <c r="AA1402" s="1114"/>
      <c r="AB1402" s="1114" t="s">
        <v>392</v>
      </c>
      <c r="AC1402" s="1117">
        <v>10.0</v>
      </c>
      <c r="AD1402" s="1115"/>
      <c r="AE1402" s="1115"/>
      <c r="AF1402" s="1115"/>
      <c r="AG1402" s="1115"/>
      <c r="AH1402" s="1115"/>
      <c r="AI1402" s="1115"/>
      <c r="AJ1402" s="1117"/>
      <c r="AK1402" s="1118"/>
      <c r="AL1402" s="1115"/>
      <c r="AM1402" s="1115"/>
      <c r="AN1402" s="1115"/>
      <c r="AO1402" s="1115"/>
      <c r="AP1402" s="1115"/>
      <c r="AQ1402" s="1115"/>
      <c r="AR1402" s="1115"/>
      <c r="AS1402" s="1117"/>
      <c r="AT1402" s="1075" t="s">
        <v>182</v>
      </c>
      <c r="AU1402" s="1078" t="s">
        <v>845</v>
      </c>
      <c r="AV1402" s="330">
        <f>SQRT(($R1402-Infrastructure!J$3)^2+($S1402-Infrastructure!K$3)^2)</f>
        <v>23.34523506</v>
      </c>
      <c r="AW1402" s="331">
        <f>SQRT(($R1402-Infrastructure!J$4)^2+($S1402-Infrastructure!K$4)^2)</f>
        <v>14.36836804</v>
      </c>
      <c r="AX1402" s="331">
        <f>SQRT(($R1402-Infrastructure!J$5)^2+($S1402-Infrastructure!K$5)^2)</f>
        <v>11.01635148</v>
      </c>
      <c r="AY1402" s="331">
        <f>SQRT(($R1402-Infrastructure!J$6)^2+($S1402-Infrastructure!K$6)^2)</f>
        <v>7.802563681</v>
      </c>
      <c r="AZ1402" s="331">
        <f>SQRT(($R1402-Infrastructure!J$7)^2+($S1402-Infrastructure!K$7)^2)</f>
        <v>12.84056074</v>
      </c>
      <c r="BA1402" s="331">
        <f>SQRT(($R1402-Infrastructure!J$8)^2+($S1402-Infrastructure!K$8)^2)</f>
        <v>21.28097742</v>
      </c>
      <c r="BB1402" s="331">
        <f>SQRT(($R1402-Infrastructure!J$9)^2+($S1402-Infrastructure!K$9)^2)</f>
        <v>29.85113063</v>
      </c>
      <c r="BC1402" s="331">
        <f>SQRT(($R1402-Infrastructure!J$10)^2+($S1402-Infrastructure!K$10)^2)</f>
        <v>30.49098227</v>
      </c>
      <c r="BD1402" s="331">
        <f>SQRT(($R1402-Infrastructure!J$11)^2+($S1402-Infrastructure!K$11)^2)</f>
        <v>36.4804057</v>
      </c>
      <c r="BE1402" s="333">
        <f>SQRT(($R1402-Infrastructure!J$12)^2+($S1402-Infrastructure!K$12)^2)</f>
        <v>48.70523586</v>
      </c>
      <c r="BF1402" s="330">
        <f t="shared" si="161"/>
        <v>7.802563681</v>
      </c>
      <c r="BG1402" s="333">
        <f t="shared" si="162"/>
        <v>48.70523586</v>
      </c>
      <c r="BH1402" s="1119"/>
      <c r="BI1402" s="319"/>
      <c r="BJ1402" s="319" t="s">
        <v>846</v>
      </c>
      <c r="BK1402" s="319" t="s">
        <v>846</v>
      </c>
      <c r="BL1402" s="319" t="s">
        <v>846</v>
      </c>
      <c r="BM1402" s="955"/>
      <c r="BN1402" s="319"/>
      <c r="BO1402" s="319"/>
      <c r="BP1402" s="953"/>
      <c r="BQ1402" s="319"/>
      <c r="BR1402" s="324" t="s">
        <v>846</v>
      </c>
      <c r="BS1402" s="330">
        <f t="shared" si="169"/>
        <v>7.802563681</v>
      </c>
      <c r="BT1402" s="331">
        <f t="shared" si="170"/>
        <v>48.70523586</v>
      </c>
      <c r="BU1402" s="920"/>
      <c r="BV1402" s="903">
        <f t="shared" si="171"/>
        <v>-0.6047453704</v>
      </c>
      <c r="BW1402" s="907"/>
      <c r="BX1402" s="908"/>
      <c r="BY1402" s="331" t="b">
        <f t="shared" si="166"/>
        <v>0</v>
      </c>
      <c r="BZ1402" s="340"/>
      <c r="CA1402" s="316"/>
      <c r="CB1402" s="318"/>
      <c r="CC1402" s="318"/>
      <c r="CD1402" s="318"/>
      <c r="CE1402" s="318"/>
      <c r="CF1402" s="318"/>
      <c r="CG1402" s="318"/>
      <c r="CH1402" s="318"/>
      <c r="CI1402" s="318"/>
      <c r="CJ1402" s="463"/>
      <c r="CK1402" s="342"/>
      <c r="CL1402" s="333"/>
      <c r="CM1402" s="1079"/>
      <c r="CN1402" s="1005"/>
      <c r="CO1402" s="1005"/>
      <c r="CP1402" s="1005"/>
    </row>
    <row r="1403">
      <c r="B1403" s="1106" t="s">
        <v>1517</v>
      </c>
      <c r="C1403" s="1107">
        <v>44720.0</v>
      </c>
      <c r="D1403" s="103"/>
      <c r="E1403" s="1108">
        <v>8.0</v>
      </c>
      <c r="F1403" s="112" t="s">
        <v>2105</v>
      </c>
      <c r="G1403" s="1109">
        <v>0.6072453703703704</v>
      </c>
      <c r="H1403" s="1110">
        <v>0.6076388888888888</v>
      </c>
      <c r="I1403" s="1110"/>
      <c r="J1403" s="1111"/>
      <c r="K1403" s="1111">
        <v>0.6080092592592593</v>
      </c>
      <c r="L1403" s="1112">
        <v>3.7037037037037035E-4</v>
      </c>
      <c r="M1403" s="1113" t="s">
        <v>166</v>
      </c>
      <c r="N1403" s="110" t="s">
        <v>187</v>
      </c>
      <c r="O1403" s="1114" t="s">
        <v>198</v>
      </c>
      <c r="P1403" s="1115" t="s">
        <v>218</v>
      </c>
      <c r="Q1403" s="1116"/>
      <c r="R1403" s="120">
        <v>10.3</v>
      </c>
      <c r="S1403" s="1113">
        <v>8.1</v>
      </c>
      <c r="T1403" s="110">
        <v>3.0</v>
      </c>
      <c r="U1403" s="1108">
        <v>7.0</v>
      </c>
      <c r="V1403" s="1108"/>
      <c r="W1403" s="1108"/>
      <c r="X1403" s="1108"/>
      <c r="Y1403" s="1108"/>
      <c r="Z1403" s="1114" t="s">
        <v>343</v>
      </c>
      <c r="AA1403" s="1114"/>
      <c r="AB1403" s="1114" t="s">
        <v>392</v>
      </c>
      <c r="AC1403" s="1117">
        <v>10.0</v>
      </c>
      <c r="AD1403" s="1115"/>
      <c r="AE1403" s="1115"/>
      <c r="AF1403" s="1115"/>
      <c r="AG1403" s="1115"/>
      <c r="AH1403" s="1115"/>
      <c r="AI1403" s="1115"/>
      <c r="AJ1403" s="1117"/>
      <c r="AK1403" s="1118"/>
      <c r="AL1403" s="1115"/>
      <c r="AM1403" s="1115"/>
      <c r="AN1403" s="1115"/>
      <c r="AO1403" s="1115"/>
      <c r="AP1403" s="1115"/>
      <c r="AQ1403" s="1115"/>
      <c r="AR1403" s="1115"/>
      <c r="AS1403" s="1117"/>
      <c r="AT1403" s="1075" t="s">
        <v>182</v>
      </c>
      <c r="AU1403" s="1078" t="s">
        <v>845</v>
      </c>
      <c r="AV1403" s="330">
        <f>SQRT(($R1403-Infrastructure!J$3)^2+($S1403-Infrastructure!K$3)^2)</f>
        <v>23.34523506</v>
      </c>
      <c r="AW1403" s="331">
        <f>SQRT(($R1403-Infrastructure!J$4)^2+($S1403-Infrastructure!K$4)^2)</f>
        <v>14.36836804</v>
      </c>
      <c r="AX1403" s="331">
        <f>SQRT(($R1403-Infrastructure!J$5)^2+($S1403-Infrastructure!K$5)^2)</f>
        <v>11.01635148</v>
      </c>
      <c r="AY1403" s="331">
        <f>SQRT(($R1403-Infrastructure!J$6)^2+($S1403-Infrastructure!K$6)^2)</f>
        <v>7.802563681</v>
      </c>
      <c r="AZ1403" s="331">
        <f>SQRT(($R1403-Infrastructure!J$7)^2+($S1403-Infrastructure!K$7)^2)</f>
        <v>12.84056074</v>
      </c>
      <c r="BA1403" s="331">
        <f>SQRT(($R1403-Infrastructure!J$8)^2+($S1403-Infrastructure!K$8)^2)</f>
        <v>21.28097742</v>
      </c>
      <c r="BB1403" s="331">
        <f>SQRT(($R1403-Infrastructure!J$9)^2+($S1403-Infrastructure!K$9)^2)</f>
        <v>29.85113063</v>
      </c>
      <c r="BC1403" s="331">
        <f>SQRT(($R1403-Infrastructure!J$10)^2+($S1403-Infrastructure!K$10)^2)</f>
        <v>30.49098227</v>
      </c>
      <c r="BD1403" s="331">
        <f>SQRT(($R1403-Infrastructure!J$11)^2+($S1403-Infrastructure!K$11)^2)</f>
        <v>36.4804057</v>
      </c>
      <c r="BE1403" s="333">
        <f>SQRT(($R1403-Infrastructure!J$12)^2+($S1403-Infrastructure!K$12)^2)</f>
        <v>48.70523586</v>
      </c>
      <c r="BF1403" s="330">
        <f t="shared" si="161"/>
        <v>7.802563681</v>
      </c>
      <c r="BG1403" s="333">
        <f t="shared" si="162"/>
        <v>48.70523586</v>
      </c>
      <c r="BH1403" s="1119"/>
      <c r="BI1403" s="319"/>
      <c r="BJ1403" s="319" t="s">
        <v>846</v>
      </c>
      <c r="BK1403" s="319" t="s">
        <v>846</v>
      </c>
      <c r="BL1403" s="319" t="s">
        <v>846</v>
      </c>
      <c r="BM1403" s="955"/>
      <c r="BN1403" s="319"/>
      <c r="BO1403" s="319"/>
      <c r="BP1403" s="953"/>
      <c r="BQ1403" s="319"/>
      <c r="BR1403" s="324" t="s">
        <v>846</v>
      </c>
      <c r="BS1403" s="330">
        <f t="shared" si="169"/>
        <v>7.802563681</v>
      </c>
      <c r="BT1403" s="331">
        <f t="shared" si="170"/>
        <v>48.70523586</v>
      </c>
      <c r="BU1403" s="920"/>
      <c r="BV1403" s="903">
        <f t="shared" si="171"/>
        <v>-0.6072453704</v>
      </c>
      <c r="BW1403" s="907"/>
      <c r="BX1403" s="908"/>
      <c r="BY1403" s="331" t="b">
        <f t="shared" si="166"/>
        <v>0</v>
      </c>
      <c r="BZ1403" s="340"/>
      <c r="CA1403" s="316"/>
      <c r="CB1403" s="318"/>
      <c r="CC1403" s="318"/>
      <c r="CD1403" s="318"/>
      <c r="CE1403" s="318"/>
      <c r="CF1403" s="318"/>
      <c r="CG1403" s="318"/>
      <c r="CH1403" s="318"/>
      <c r="CI1403" s="318"/>
      <c r="CJ1403" s="463"/>
      <c r="CK1403" s="342"/>
      <c r="CL1403" s="333"/>
      <c r="CM1403" s="1079"/>
      <c r="CN1403" s="1005"/>
      <c r="CO1403" s="1005"/>
      <c r="CP1403" s="1005"/>
    </row>
    <row r="1404">
      <c r="B1404" s="1106" t="s">
        <v>1517</v>
      </c>
      <c r="C1404" s="1107">
        <v>44720.0</v>
      </c>
      <c r="D1404" s="103"/>
      <c r="E1404" s="1108">
        <v>9.0</v>
      </c>
      <c r="F1404" s="112" t="s">
        <v>2106</v>
      </c>
      <c r="G1404" s="1109">
        <v>0.6145833333333334</v>
      </c>
      <c r="H1404" s="1110">
        <v>0.6151620370370371</v>
      </c>
      <c r="I1404" s="1110"/>
      <c r="J1404" s="1111"/>
      <c r="K1404" s="1111">
        <v>0.6153356481481481</v>
      </c>
      <c r="L1404" s="1112">
        <v>1.7361111111111112E-4</v>
      </c>
      <c r="M1404" s="1113" t="s">
        <v>166</v>
      </c>
      <c r="N1404" s="110" t="s">
        <v>188</v>
      </c>
      <c r="O1404" s="1114" t="s">
        <v>196</v>
      </c>
      <c r="P1404" s="1115" t="s">
        <v>224</v>
      </c>
      <c r="Q1404" s="1116"/>
      <c r="R1404" s="120">
        <v>21.7</v>
      </c>
      <c r="S1404" s="1113">
        <v>39.5</v>
      </c>
      <c r="T1404" s="110">
        <v>1.29</v>
      </c>
      <c r="U1404" s="1108">
        <v>25.0</v>
      </c>
      <c r="V1404" s="1108"/>
      <c r="W1404" s="1108"/>
      <c r="X1404" s="1108"/>
      <c r="Y1404" s="1108"/>
      <c r="Z1404" s="1114" t="s">
        <v>387</v>
      </c>
      <c r="AA1404" s="1114"/>
      <c r="AB1404" s="1114" t="s">
        <v>416</v>
      </c>
      <c r="AC1404" s="1117">
        <v>52.5</v>
      </c>
      <c r="AD1404" s="1115"/>
      <c r="AE1404" s="1115"/>
      <c r="AF1404" s="1115"/>
      <c r="AG1404" s="1115"/>
      <c r="AH1404" s="1115"/>
      <c r="AI1404" s="1115"/>
      <c r="AJ1404" s="1117"/>
      <c r="AK1404" s="1118"/>
      <c r="AL1404" s="1115"/>
      <c r="AM1404" s="1115"/>
      <c r="AN1404" s="1115"/>
      <c r="AO1404" s="1115"/>
      <c r="AP1404" s="1115"/>
      <c r="AQ1404" s="1115"/>
      <c r="AR1404" s="1115"/>
      <c r="AS1404" s="1117"/>
      <c r="AT1404" s="1075" t="s">
        <v>183</v>
      </c>
      <c r="AU1404" s="1078" t="s">
        <v>845</v>
      </c>
      <c r="AV1404" s="330">
        <f>SQRT(($R1404-Infrastructure!J$3)^2+($S1404-Infrastructure!K$3)^2)</f>
        <v>24.42048321</v>
      </c>
      <c r="AW1404" s="331">
        <f>SQRT(($R1404-Infrastructure!J$4)^2+($S1404-Infrastructure!K$4)^2)</f>
        <v>30.90129447</v>
      </c>
      <c r="AX1404" s="331">
        <f>SQRT(($R1404-Infrastructure!J$5)^2+($S1404-Infrastructure!K$5)^2)</f>
        <v>40.83331973</v>
      </c>
      <c r="AY1404" s="331">
        <f>SQRT(($R1404-Infrastructure!J$6)^2+($S1404-Infrastructure!K$6)^2)</f>
        <v>40.88031311</v>
      </c>
      <c r="AZ1404" s="331">
        <f>SQRT(($R1404-Infrastructure!J$7)^2+($S1404-Infrastructure!K$7)^2)</f>
        <v>39.21836305</v>
      </c>
      <c r="BA1404" s="331">
        <f>SQRT(($R1404-Infrastructure!J$8)^2+($S1404-Infrastructure!K$8)^2)</f>
        <v>40.08989898</v>
      </c>
      <c r="BB1404" s="331">
        <f>SQRT(($R1404-Infrastructure!J$9)^2+($S1404-Infrastructure!K$9)^2)</f>
        <v>38.96472764</v>
      </c>
      <c r="BC1404" s="331">
        <f>SQRT(($R1404-Infrastructure!J$10)^2+($S1404-Infrastructure!K$10)^2)</f>
        <v>30.58005886</v>
      </c>
      <c r="BD1404" s="331">
        <f>SQRT(($R1404-Infrastructure!J$11)^2+($S1404-Infrastructure!K$11)^2)</f>
        <v>21.27204739</v>
      </c>
      <c r="BE1404" s="333">
        <f>SQRT(($R1404-Infrastructure!J$12)^2+($S1404-Infrastructure!K$12)^2)</f>
        <v>16.00124995</v>
      </c>
      <c r="BF1404" s="330">
        <f t="shared" si="161"/>
        <v>16.00124995</v>
      </c>
      <c r="BG1404" s="333">
        <f t="shared" si="162"/>
        <v>40.88031311</v>
      </c>
      <c r="BH1404" s="1119"/>
      <c r="BI1404" s="319"/>
      <c r="BJ1404" s="319"/>
      <c r="BK1404" s="319"/>
      <c r="BL1404" s="319"/>
      <c r="BM1404" s="955"/>
      <c r="BN1404" s="319"/>
      <c r="BO1404" s="319"/>
      <c r="BP1404" s="953"/>
      <c r="BQ1404" s="319"/>
      <c r="BR1404" s="324"/>
      <c r="BS1404" s="330">
        <f t="shared" si="169"/>
        <v>0</v>
      </c>
      <c r="BT1404" s="331">
        <f t="shared" si="170"/>
        <v>0</v>
      </c>
      <c r="BU1404" s="920"/>
      <c r="BV1404" s="903">
        <f t="shared" si="171"/>
        <v>-0.6145833333</v>
      </c>
      <c r="BW1404" s="907"/>
      <c r="BX1404" s="908"/>
      <c r="BY1404" s="331" t="b">
        <f t="shared" si="166"/>
        <v>0</v>
      </c>
      <c r="BZ1404" s="340"/>
      <c r="CA1404" s="316"/>
      <c r="CB1404" s="318"/>
      <c r="CC1404" s="318"/>
      <c r="CD1404" s="318"/>
      <c r="CE1404" s="318"/>
      <c r="CF1404" s="318"/>
      <c r="CG1404" s="318"/>
      <c r="CH1404" s="318"/>
      <c r="CI1404" s="318"/>
      <c r="CJ1404" s="463"/>
      <c r="CK1404" s="342"/>
      <c r="CL1404" s="333"/>
      <c r="CM1404" s="1079"/>
      <c r="CN1404" s="1005"/>
      <c r="CO1404" s="1005"/>
      <c r="CP1404" s="1005"/>
    </row>
    <row r="1405">
      <c r="B1405" s="1106" t="s">
        <v>1517</v>
      </c>
      <c r="C1405" s="1107">
        <v>44720.0</v>
      </c>
      <c r="D1405" s="103"/>
      <c r="E1405" s="1108">
        <v>10.0</v>
      </c>
      <c r="F1405" s="112" t="s">
        <v>2107</v>
      </c>
      <c r="G1405" s="1109">
        <v>0.6163773148148148</v>
      </c>
      <c r="H1405" s="1110">
        <v>0.616724537037037</v>
      </c>
      <c r="I1405" s="1110"/>
      <c r="J1405" s="1111"/>
      <c r="K1405" s="1111">
        <v>0.6171296296296296</v>
      </c>
      <c r="L1405" s="1112">
        <v>4.050925925925926E-4</v>
      </c>
      <c r="M1405" s="1113" t="s">
        <v>166</v>
      </c>
      <c r="N1405" s="110" t="s">
        <v>188</v>
      </c>
      <c r="O1405" s="1114" t="s">
        <v>196</v>
      </c>
      <c r="P1405" s="1115" t="s">
        <v>224</v>
      </c>
      <c r="Q1405" s="1116"/>
      <c r="R1405" s="120">
        <v>21.7</v>
      </c>
      <c r="S1405" s="1113">
        <v>39.5</v>
      </c>
      <c r="T1405" s="110">
        <v>1.29</v>
      </c>
      <c r="U1405" s="1108">
        <v>25.0</v>
      </c>
      <c r="V1405" s="1108"/>
      <c r="W1405" s="1108"/>
      <c r="X1405" s="1108"/>
      <c r="Y1405" s="1108"/>
      <c r="Z1405" s="1114" t="s">
        <v>387</v>
      </c>
      <c r="AA1405" s="1114"/>
      <c r="AB1405" s="1114" t="s">
        <v>416</v>
      </c>
      <c r="AC1405" s="1117">
        <v>52.5</v>
      </c>
      <c r="AD1405" s="1115"/>
      <c r="AE1405" s="1115"/>
      <c r="AF1405" s="1115"/>
      <c r="AG1405" s="1115"/>
      <c r="AH1405" s="1115"/>
      <c r="AI1405" s="1115"/>
      <c r="AJ1405" s="1117"/>
      <c r="AK1405" s="1118"/>
      <c r="AL1405" s="1115"/>
      <c r="AM1405" s="1115"/>
      <c r="AN1405" s="1115"/>
      <c r="AO1405" s="1115"/>
      <c r="AP1405" s="1115"/>
      <c r="AQ1405" s="1115"/>
      <c r="AR1405" s="1115"/>
      <c r="AS1405" s="1117"/>
      <c r="AT1405" s="1075" t="s">
        <v>183</v>
      </c>
      <c r="AU1405" s="1078" t="s">
        <v>845</v>
      </c>
      <c r="AV1405" s="330">
        <f>SQRT(($R1405-Infrastructure!J$3)^2+($S1405-Infrastructure!K$3)^2)</f>
        <v>24.42048321</v>
      </c>
      <c r="AW1405" s="331">
        <f>SQRT(($R1405-Infrastructure!J$4)^2+($S1405-Infrastructure!K$4)^2)</f>
        <v>30.90129447</v>
      </c>
      <c r="AX1405" s="331">
        <f>SQRT(($R1405-Infrastructure!J$5)^2+($S1405-Infrastructure!K$5)^2)</f>
        <v>40.83331973</v>
      </c>
      <c r="AY1405" s="331">
        <f>SQRT(($R1405-Infrastructure!J$6)^2+($S1405-Infrastructure!K$6)^2)</f>
        <v>40.88031311</v>
      </c>
      <c r="AZ1405" s="331">
        <f>SQRT(($R1405-Infrastructure!J$7)^2+($S1405-Infrastructure!K$7)^2)</f>
        <v>39.21836305</v>
      </c>
      <c r="BA1405" s="331">
        <f>SQRT(($R1405-Infrastructure!J$8)^2+($S1405-Infrastructure!K$8)^2)</f>
        <v>40.08989898</v>
      </c>
      <c r="BB1405" s="331">
        <f>SQRT(($R1405-Infrastructure!J$9)^2+($S1405-Infrastructure!K$9)^2)</f>
        <v>38.96472764</v>
      </c>
      <c r="BC1405" s="331">
        <f>SQRT(($R1405-Infrastructure!J$10)^2+($S1405-Infrastructure!K$10)^2)</f>
        <v>30.58005886</v>
      </c>
      <c r="BD1405" s="331">
        <f>SQRT(($R1405-Infrastructure!J$11)^2+($S1405-Infrastructure!K$11)^2)</f>
        <v>21.27204739</v>
      </c>
      <c r="BE1405" s="333">
        <f>SQRT(($R1405-Infrastructure!J$12)^2+($S1405-Infrastructure!K$12)^2)</f>
        <v>16.00124995</v>
      </c>
      <c r="BF1405" s="330">
        <f t="shared" si="161"/>
        <v>16.00124995</v>
      </c>
      <c r="BG1405" s="333">
        <f t="shared" si="162"/>
        <v>40.88031311</v>
      </c>
      <c r="BH1405" s="1119"/>
      <c r="BI1405" s="319"/>
      <c r="BJ1405" s="319"/>
      <c r="BK1405" s="319"/>
      <c r="BL1405" s="319"/>
      <c r="BM1405" s="955"/>
      <c r="BN1405" s="319"/>
      <c r="BO1405" s="319"/>
      <c r="BP1405" s="953"/>
      <c r="BQ1405" s="319"/>
      <c r="BR1405" s="324"/>
      <c r="BS1405" s="330">
        <f t="shared" si="169"/>
        <v>0</v>
      </c>
      <c r="BT1405" s="331">
        <f t="shared" si="170"/>
        <v>0</v>
      </c>
      <c r="BU1405" s="920"/>
      <c r="BV1405" s="903">
        <f t="shared" si="171"/>
        <v>-0.6163773148</v>
      </c>
      <c r="BW1405" s="907"/>
      <c r="BX1405" s="908"/>
      <c r="BY1405" s="331" t="b">
        <f t="shared" si="166"/>
        <v>0</v>
      </c>
      <c r="BZ1405" s="340"/>
      <c r="CA1405" s="316"/>
      <c r="CB1405" s="318"/>
      <c r="CC1405" s="318"/>
      <c r="CD1405" s="318"/>
      <c r="CE1405" s="318"/>
      <c r="CF1405" s="318"/>
      <c r="CG1405" s="318"/>
      <c r="CH1405" s="318"/>
      <c r="CI1405" s="318"/>
      <c r="CJ1405" s="463"/>
      <c r="CK1405" s="342"/>
      <c r="CL1405" s="333"/>
      <c r="CM1405" s="1079"/>
      <c r="CN1405" s="1005"/>
      <c r="CO1405" s="1005"/>
      <c r="CP1405" s="1005"/>
    </row>
    <row r="1406">
      <c r="B1406" s="1106" t="s">
        <v>1517</v>
      </c>
      <c r="C1406" s="1107">
        <v>44720.0</v>
      </c>
      <c r="D1406" s="103"/>
      <c r="E1406" s="1137"/>
      <c r="F1406" s="112" t="s">
        <v>2108</v>
      </c>
      <c r="G1406" s="1109">
        <v>0.6263888888888889</v>
      </c>
      <c r="H1406" s="1110">
        <v>0.6267361111111112</v>
      </c>
      <c r="I1406" s="1110"/>
      <c r="J1406" s="1111"/>
      <c r="K1406" s="1111">
        <v>0.6273726851851852</v>
      </c>
      <c r="L1406" s="1112">
        <v>6.365740740740741E-4</v>
      </c>
      <c r="M1406" s="1113" t="s">
        <v>166</v>
      </c>
      <c r="N1406" s="110" t="s">
        <v>188</v>
      </c>
      <c r="O1406" s="1114" t="s">
        <v>196</v>
      </c>
      <c r="P1406" s="1115" t="s">
        <v>224</v>
      </c>
      <c r="Q1406" s="1116"/>
      <c r="R1406" s="120">
        <v>21.7</v>
      </c>
      <c r="S1406" s="1113">
        <v>39.5</v>
      </c>
      <c r="T1406" s="110">
        <v>1.29</v>
      </c>
      <c r="U1406" s="1108">
        <v>50.0</v>
      </c>
      <c r="V1406" s="1108"/>
      <c r="W1406" s="1108"/>
      <c r="X1406" s="1108"/>
      <c r="Y1406" s="1108"/>
      <c r="Z1406" s="1114" t="s">
        <v>387</v>
      </c>
      <c r="AA1406" s="1114"/>
      <c r="AB1406" s="1114" t="s">
        <v>416</v>
      </c>
      <c r="AC1406" s="1117">
        <v>52.5</v>
      </c>
      <c r="AD1406" s="1115"/>
      <c r="AE1406" s="1115"/>
      <c r="AF1406" s="1115"/>
      <c r="AG1406" s="1115"/>
      <c r="AH1406" s="1115"/>
      <c r="AI1406" s="1115"/>
      <c r="AJ1406" s="1117"/>
      <c r="AK1406" s="1118"/>
      <c r="AL1406" s="1115"/>
      <c r="AM1406" s="1115"/>
      <c r="AN1406" s="1115"/>
      <c r="AO1406" s="1115"/>
      <c r="AP1406" s="1115"/>
      <c r="AQ1406" s="1115"/>
      <c r="AR1406" s="1115"/>
      <c r="AS1406" s="1117"/>
      <c r="AT1406" s="1075" t="s">
        <v>183</v>
      </c>
      <c r="AU1406" s="1078" t="s">
        <v>845</v>
      </c>
      <c r="AV1406" s="330">
        <f>SQRT(($R1406-Infrastructure!J$3)^2+($S1406-Infrastructure!K$3)^2)</f>
        <v>24.42048321</v>
      </c>
      <c r="AW1406" s="331">
        <f>SQRT(($R1406-Infrastructure!J$4)^2+($S1406-Infrastructure!K$4)^2)</f>
        <v>30.90129447</v>
      </c>
      <c r="AX1406" s="331">
        <f>SQRT(($R1406-Infrastructure!J$5)^2+($S1406-Infrastructure!K$5)^2)</f>
        <v>40.83331973</v>
      </c>
      <c r="AY1406" s="331">
        <f>SQRT(($R1406-Infrastructure!J$6)^2+($S1406-Infrastructure!K$6)^2)</f>
        <v>40.88031311</v>
      </c>
      <c r="AZ1406" s="331">
        <f>SQRT(($R1406-Infrastructure!J$7)^2+($S1406-Infrastructure!K$7)^2)</f>
        <v>39.21836305</v>
      </c>
      <c r="BA1406" s="331">
        <f>SQRT(($R1406-Infrastructure!J$8)^2+($S1406-Infrastructure!K$8)^2)</f>
        <v>40.08989898</v>
      </c>
      <c r="BB1406" s="331">
        <f>SQRT(($R1406-Infrastructure!J$9)^2+($S1406-Infrastructure!K$9)^2)</f>
        <v>38.96472764</v>
      </c>
      <c r="BC1406" s="331">
        <f>SQRT(($R1406-Infrastructure!J$10)^2+($S1406-Infrastructure!K$10)^2)</f>
        <v>30.58005886</v>
      </c>
      <c r="BD1406" s="331">
        <f>SQRT(($R1406-Infrastructure!J$11)^2+($S1406-Infrastructure!K$11)^2)</f>
        <v>21.27204739</v>
      </c>
      <c r="BE1406" s="333">
        <f>SQRT(($R1406-Infrastructure!J$12)^2+($S1406-Infrastructure!K$12)^2)</f>
        <v>16.00124995</v>
      </c>
      <c r="BF1406" s="330">
        <f t="shared" si="161"/>
        <v>16.00124995</v>
      </c>
      <c r="BG1406" s="333">
        <f t="shared" si="162"/>
        <v>40.88031311</v>
      </c>
      <c r="BH1406" s="1119"/>
      <c r="BI1406" s="319" t="s">
        <v>846</v>
      </c>
      <c r="BJ1406" s="319" t="s">
        <v>846</v>
      </c>
      <c r="BK1406" s="319"/>
      <c r="BL1406" s="319"/>
      <c r="BM1406" s="955"/>
      <c r="BN1406" s="319" t="s">
        <v>846</v>
      </c>
      <c r="BO1406" s="319"/>
      <c r="BP1406" s="953"/>
      <c r="BQ1406" s="319" t="s">
        <v>846</v>
      </c>
      <c r="BR1406" s="324" t="s">
        <v>846</v>
      </c>
      <c r="BS1406" s="330">
        <f t="shared" si="169"/>
        <v>16.00124995</v>
      </c>
      <c r="BT1406" s="331">
        <f t="shared" si="170"/>
        <v>40.08989898</v>
      </c>
      <c r="BU1406" s="920"/>
      <c r="BV1406" s="903">
        <f t="shared" si="171"/>
        <v>-0.6263888889</v>
      </c>
      <c r="BW1406" s="907"/>
      <c r="BX1406" s="908"/>
      <c r="BY1406" s="331" t="b">
        <f t="shared" si="166"/>
        <v>0</v>
      </c>
      <c r="BZ1406" s="340"/>
      <c r="CA1406" s="316"/>
      <c r="CB1406" s="318"/>
      <c r="CC1406" s="318"/>
      <c r="CD1406" s="318"/>
      <c r="CE1406" s="318"/>
      <c r="CF1406" s="318"/>
      <c r="CG1406" s="318"/>
      <c r="CH1406" s="318"/>
      <c r="CI1406" s="318"/>
      <c r="CJ1406" s="463"/>
      <c r="CK1406" s="342"/>
      <c r="CL1406" s="333"/>
      <c r="CM1406" s="1079"/>
      <c r="CN1406" s="1005"/>
      <c r="CO1406" s="1005"/>
      <c r="CP1406" s="1005"/>
    </row>
    <row r="1407">
      <c r="A1407" s="634"/>
      <c r="B1407" s="1121" t="s">
        <v>1517</v>
      </c>
      <c r="C1407" s="1122">
        <v>44720.0</v>
      </c>
      <c r="D1407" s="1123"/>
      <c r="E1407" s="1144"/>
      <c r="F1407" s="108" t="s">
        <v>2108</v>
      </c>
      <c r="G1407" s="1170"/>
      <c r="H1407" s="1145"/>
      <c r="I1407" s="1145"/>
      <c r="J1407" s="1146"/>
      <c r="K1407" s="1146"/>
      <c r="L1407" s="1128">
        <v>0.0</v>
      </c>
      <c r="M1407" s="1129" t="s">
        <v>358</v>
      </c>
      <c r="N1407" s="100" t="s">
        <v>188</v>
      </c>
      <c r="O1407" s="1161"/>
      <c r="P1407" s="1131" t="s">
        <v>294</v>
      </c>
      <c r="Q1407" s="1132"/>
      <c r="R1407" s="1148"/>
      <c r="S1407" s="1149"/>
      <c r="T1407" s="1150"/>
      <c r="U1407" s="1144"/>
      <c r="V1407" s="1144"/>
      <c r="W1407" s="1144"/>
      <c r="X1407" s="1144"/>
      <c r="Y1407" s="1144"/>
      <c r="Z1407" s="1130" t="s">
        <v>323</v>
      </c>
      <c r="AA1407" s="1130"/>
      <c r="AB1407" s="1130" t="s">
        <v>323</v>
      </c>
      <c r="AC1407" s="1133" t="s">
        <v>323</v>
      </c>
      <c r="AD1407" s="1131"/>
      <c r="AE1407" s="1131"/>
      <c r="AF1407" s="1131"/>
      <c r="AG1407" s="1131"/>
      <c r="AH1407" s="1131"/>
      <c r="AI1407" s="1131"/>
      <c r="AJ1407" s="1133"/>
      <c r="AK1407" s="1134"/>
      <c r="AL1407" s="1131"/>
      <c r="AM1407" s="1131"/>
      <c r="AN1407" s="1131"/>
      <c r="AO1407" s="1131"/>
      <c r="AP1407" s="1131"/>
      <c r="AQ1407" s="1131"/>
      <c r="AR1407" s="1131"/>
      <c r="AS1407" s="1133"/>
      <c r="AT1407" s="1088"/>
      <c r="AU1407" s="1089"/>
      <c r="AV1407" s="330">
        <f>SQRT(($R1407-Infrastructure!J$3)^2+($S1407-Infrastructure!K$3)^2)</f>
        <v>28.90155705</v>
      </c>
      <c r="AW1407" s="331">
        <f>SQRT(($R1407-Infrastructure!J$4)^2+($S1407-Infrastructure!K$4)^2)</f>
        <v>17.80252791</v>
      </c>
      <c r="AX1407" s="331">
        <f>SQRT(($R1407-Infrastructure!J$5)^2+($S1407-Infrastructure!K$5)^2)</f>
        <v>5.10881591</v>
      </c>
      <c r="AY1407" s="331">
        <f>SQRT(($R1407-Infrastructure!J$6)^2+($S1407-Infrastructure!K$6)^2)</f>
        <v>10.10445446</v>
      </c>
      <c r="AZ1407" s="331">
        <f>SQRT(($R1407-Infrastructure!J$7)^2+($S1407-Infrastructure!K$7)^2)</f>
        <v>20.502195</v>
      </c>
      <c r="BA1407" s="331">
        <f>SQRT(($R1407-Infrastructure!J$8)^2+($S1407-Infrastructure!K$8)^2)</f>
        <v>30.10149498</v>
      </c>
      <c r="BB1407" s="331">
        <f>SQRT(($R1407-Infrastructure!J$9)^2+($S1407-Infrastructure!K$9)^2)</f>
        <v>40.3238143</v>
      </c>
      <c r="BC1407" s="331">
        <f>SQRT(($R1407-Infrastructure!J$10)^2+($S1407-Infrastructure!K$10)^2)</f>
        <v>42.72001873</v>
      </c>
      <c r="BD1407" s="331">
        <f>SQRT(($R1407-Infrastructure!J$11)^2+($S1407-Infrastructure!K$11)^2)</f>
        <v>49.56853841</v>
      </c>
      <c r="BE1407" s="333">
        <f>SQRT(($R1407-Infrastructure!J$12)^2+($S1407-Infrastructure!K$12)^2)</f>
        <v>59.51890456</v>
      </c>
      <c r="BF1407" s="330">
        <f t="shared" si="161"/>
        <v>5.10881591</v>
      </c>
      <c r="BG1407" s="333">
        <f t="shared" si="162"/>
        <v>59.51890456</v>
      </c>
      <c r="BH1407" s="1135"/>
      <c r="BI1407" s="663"/>
      <c r="BJ1407" s="663"/>
      <c r="BK1407" s="663"/>
      <c r="BL1407" s="663"/>
      <c r="BM1407" s="957"/>
      <c r="BN1407" s="663"/>
      <c r="BO1407" s="663"/>
      <c r="BP1407" s="958"/>
      <c r="BQ1407" s="663"/>
      <c r="BR1407" s="637"/>
      <c r="BS1407" s="330">
        <f t="shared" si="169"/>
        <v>0</v>
      </c>
      <c r="BT1407" s="331">
        <f t="shared" si="170"/>
        <v>0</v>
      </c>
      <c r="BU1407" s="920"/>
      <c r="BV1407" s="903">
        <f t="shared" si="171"/>
        <v>0</v>
      </c>
      <c r="BW1407" s="938"/>
      <c r="BX1407" s="939"/>
      <c r="BY1407" s="331" t="b">
        <f t="shared" si="166"/>
        <v>0</v>
      </c>
      <c r="BZ1407" s="742"/>
      <c r="CA1407" s="639"/>
      <c r="CB1407" s="640"/>
      <c r="CC1407" s="640"/>
      <c r="CD1407" s="640"/>
      <c r="CE1407" s="640"/>
      <c r="CF1407" s="640"/>
      <c r="CG1407" s="640"/>
      <c r="CH1407" s="640"/>
      <c r="CI1407" s="640"/>
      <c r="CJ1407" s="785"/>
      <c r="CK1407" s="743"/>
      <c r="CL1407" s="642"/>
      <c r="CM1407" s="1090"/>
      <c r="CN1407" s="1005"/>
      <c r="CO1407" s="1005"/>
      <c r="CP1407" s="1005"/>
    </row>
    <row r="1408">
      <c r="A1408" s="1169" t="s">
        <v>75</v>
      </c>
      <c r="B1408" s="1106" t="s">
        <v>1517</v>
      </c>
      <c r="C1408" s="1107">
        <v>44720.0</v>
      </c>
      <c r="D1408" s="103"/>
      <c r="E1408" s="1108">
        <v>1.0</v>
      </c>
      <c r="F1408" s="110" t="s">
        <v>2098</v>
      </c>
      <c r="G1408" s="1109">
        <v>0.48125</v>
      </c>
      <c r="H1408" s="1110">
        <v>0.4817708333333333</v>
      </c>
      <c r="I1408" s="1110"/>
      <c r="J1408" s="1111"/>
      <c r="K1408" s="1111">
        <v>0.4840277777777778</v>
      </c>
      <c r="L1408" s="1112">
        <v>0.0022569444444444442</v>
      </c>
      <c r="M1408" s="1113" t="s">
        <v>358</v>
      </c>
      <c r="N1408" s="110" t="s">
        <v>188</v>
      </c>
      <c r="O1408" s="1114" t="s">
        <v>196</v>
      </c>
      <c r="P1408" s="1115" t="s">
        <v>224</v>
      </c>
      <c r="Q1408" s="1116"/>
      <c r="R1408" s="120">
        <v>21.7</v>
      </c>
      <c r="S1408" s="1113">
        <v>39.5</v>
      </c>
      <c r="T1408" s="110">
        <v>1.29</v>
      </c>
      <c r="U1408" s="1108">
        <v>100.0</v>
      </c>
      <c r="V1408" s="1108"/>
      <c r="W1408" s="1108"/>
      <c r="X1408" s="1108"/>
      <c r="Y1408" s="1108"/>
      <c r="Z1408" s="1171" t="s">
        <v>387</v>
      </c>
      <c r="AA1408" s="1171"/>
      <c r="AB1408" s="1114" t="s">
        <v>422</v>
      </c>
      <c r="AC1408" s="1117">
        <v>102.3</v>
      </c>
      <c r="AD1408" s="1115"/>
      <c r="AE1408" s="1115"/>
      <c r="AF1408" s="1115"/>
      <c r="AG1408" s="1115"/>
      <c r="AH1408" s="1115"/>
      <c r="AI1408" s="1115"/>
      <c r="AJ1408" s="1117"/>
      <c r="AK1408" s="1118"/>
      <c r="AL1408" s="1115"/>
      <c r="AM1408" s="1115"/>
      <c r="AN1408" s="1115"/>
      <c r="AO1408" s="1115"/>
      <c r="AP1408" s="1115"/>
      <c r="AQ1408" s="1115"/>
      <c r="AR1408" s="1115"/>
      <c r="AS1408" s="1117"/>
      <c r="AT1408" s="1075" t="s">
        <v>183</v>
      </c>
      <c r="AU1408" s="1078" t="s">
        <v>845</v>
      </c>
      <c r="AV1408" s="330">
        <f>SQRT(($R1408-Infrastructure!J$3)^2+($S1408-Infrastructure!K$3)^2)</f>
        <v>24.42048321</v>
      </c>
      <c r="AW1408" s="331">
        <f>SQRT(($R1408-Infrastructure!J$4)^2+($S1408-Infrastructure!K$4)^2)</f>
        <v>30.90129447</v>
      </c>
      <c r="AX1408" s="331">
        <f>SQRT(($R1408-Infrastructure!J$5)^2+($S1408-Infrastructure!K$5)^2)</f>
        <v>40.83331973</v>
      </c>
      <c r="AY1408" s="331">
        <f>SQRT(($R1408-Infrastructure!J$6)^2+($S1408-Infrastructure!K$6)^2)</f>
        <v>40.88031311</v>
      </c>
      <c r="AZ1408" s="331">
        <f>SQRT(($R1408-Infrastructure!J$7)^2+($S1408-Infrastructure!K$7)^2)</f>
        <v>39.21836305</v>
      </c>
      <c r="BA1408" s="331">
        <f>SQRT(($R1408-Infrastructure!J$8)^2+($S1408-Infrastructure!K$8)^2)</f>
        <v>40.08989898</v>
      </c>
      <c r="BB1408" s="331">
        <f>SQRT(($R1408-Infrastructure!J$9)^2+($S1408-Infrastructure!K$9)^2)</f>
        <v>38.96472764</v>
      </c>
      <c r="BC1408" s="331">
        <f>SQRT(($R1408-Infrastructure!J$10)^2+($S1408-Infrastructure!K$10)^2)</f>
        <v>30.58005886</v>
      </c>
      <c r="BD1408" s="331">
        <f>SQRT(($R1408-Infrastructure!J$11)^2+($S1408-Infrastructure!K$11)^2)</f>
        <v>21.27204739</v>
      </c>
      <c r="BE1408" s="333">
        <f>SQRT(($R1408-Infrastructure!J$12)^2+($S1408-Infrastructure!K$12)^2)</f>
        <v>16.00124995</v>
      </c>
      <c r="BF1408" s="330">
        <f t="shared" si="161"/>
        <v>16.00124995</v>
      </c>
      <c r="BG1408" s="333">
        <f t="shared" si="162"/>
        <v>40.88031311</v>
      </c>
      <c r="BH1408" s="1119"/>
      <c r="BI1408" s="319" t="s">
        <v>846</v>
      </c>
      <c r="BJ1408" s="319" t="s">
        <v>846</v>
      </c>
      <c r="BK1408" s="319" t="s">
        <v>846</v>
      </c>
      <c r="BL1408" s="319" t="s">
        <v>846</v>
      </c>
      <c r="BM1408" s="955"/>
      <c r="BN1408" s="319" t="s">
        <v>846</v>
      </c>
      <c r="BO1408" s="319"/>
      <c r="BP1408" s="953"/>
      <c r="BQ1408" s="319" t="s">
        <v>846</v>
      </c>
      <c r="BR1408" s="324" t="s">
        <v>846</v>
      </c>
      <c r="BS1408" s="330">
        <f t="shared" si="169"/>
        <v>16.00124995</v>
      </c>
      <c r="BT1408" s="331">
        <f t="shared" si="170"/>
        <v>40.88031311</v>
      </c>
      <c r="BU1408" s="920"/>
      <c r="BV1408" s="903">
        <f t="shared" si="171"/>
        <v>-0.48125</v>
      </c>
      <c r="BW1408" s="907"/>
      <c r="BX1408" s="908"/>
      <c r="BY1408" s="331" t="b">
        <f t="shared" si="166"/>
        <v>0</v>
      </c>
      <c r="BZ1408" s="340"/>
      <c r="CA1408" s="316"/>
      <c r="CB1408" s="318"/>
      <c r="CC1408" s="318"/>
      <c r="CD1408" s="318"/>
      <c r="CE1408" s="318"/>
      <c r="CF1408" s="318"/>
      <c r="CG1408" s="318"/>
      <c r="CH1408" s="318"/>
      <c r="CI1408" s="318"/>
      <c r="CJ1408" s="463"/>
      <c r="CK1408" s="342"/>
      <c r="CL1408" s="333"/>
      <c r="CM1408" s="1079"/>
      <c r="CN1408" s="1005"/>
      <c r="CO1408" s="1005"/>
      <c r="CP1408" s="1005"/>
    </row>
    <row r="1409">
      <c r="B1409" s="1106" t="s">
        <v>1517</v>
      </c>
      <c r="C1409" s="1107">
        <v>44720.0</v>
      </c>
      <c r="D1409" s="103"/>
      <c r="E1409" s="1108">
        <v>2.0</v>
      </c>
      <c r="F1409" s="110" t="s">
        <v>2099</v>
      </c>
      <c r="G1409" s="1109">
        <v>0.6446759259259259</v>
      </c>
      <c r="H1409" s="1110">
        <v>0.6451388888888889</v>
      </c>
      <c r="I1409" s="1110"/>
      <c r="J1409" s="1111"/>
      <c r="K1409" s="1111">
        <v>0.6486111111111111</v>
      </c>
      <c r="L1409" s="1112">
        <v>0.003472222222222222</v>
      </c>
      <c r="M1409" s="1113" t="s">
        <v>358</v>
      </c>
      <c r="N1409" s="110" t="s">
        <v>188</v>
      </c>
      <c r="O1409" s="1114" t="s">
        <v>196</v>
      </c>
      <c r="P1409" s="1115" t="s">
        <v>224</v>
      </c>
      <c r="Q1409" s="1116"/>
      <c r="R1409" s="120">
        <v>21.7</v>
      </c>
      <c r="S1409" s="1113">
        <v>39.5</v>
      </c>
      <c r="T1409" s="110">
        <v>1.29</v>
      </c>
      <c r="U1409" s="1108">
        <v>100.0</v>
      </c>
      <c r="V1409" s="1108"/>
      <c r="W1409" s="1108"/>
      <c r="X1409" s="1108"/>
      <c r="Y1409" s="1108"/>
      <c r="Z1409" s="1114" t="s">
        <v>387</v>
      </c>
      <c r="AA1409" s="1114"/>
      <c r="AB1409" s="1114" t="s">
        <v>422</v>
      </c>
      <c r="AC1409" s="1117">
        <v>102.3</v>
      </c>
      <c r="AD1409" s="1115"/>
      <c r="AE1409" s="1115"/>
      <c r="AF1409" s="1115"/>
      <c r="AG1409" s="1115"/>
      <c r="AH1409" s="1115"/>
      <c r="AI1409" s="1115"/>
      <c r="AJ1409" s="1117"/>
      <c r="AK1409" s="1118"/>
      <c r="AL1409" s="1115"/>
      <c r="AM1409" s="1115"/>
      <c r="AN1409" s="1115"/>
      <c r="AO1409" s="1115"/>
      <c r="AP1409" s="1115"/>
      <c r="AQ1409" s="1115"/>
      <c r="AR1409" s="1115"/>
      <c r="AS1409" s="1117"/>
      <c r="AT1409" s="1075" t="s">
        <v>183</v>
      </c>
      <c r="AU1409" s="1078" t="s">
        <v>845</v>
      </c>
      <c r="AV1409" s="330">
        <f>SQRT(($R1409-Infrastructure!J$3)^2+($S1409-Infrastructure!K$3)^2)</f>
        <v>24.42048321</v>
      </c>
      <c r="AW1409" s="331">
        <f>SQRT(($R1409-Infrastructure!J$4)^2+($S1409-Infrastructure!K$4)^2)</f>
        <v>30.90129447</v>
      </c>
      <c r="AX1409" s="331">
        <f>SQRT(($R1409-Infrastructure!J$5)^2+($S1409-Infrastructure!K$5)^2)</f>
        <v>40.83331973</v>
      </c>
      <c r="AY1409" s="331">
        <f>SQRT(($R1409-Infrastructure!J$6)^2+($S1409-Infrastructure!K$6)^2)</f>
        <v>40.88031311</v>
      </c>
      <c r="AZ1409" s="331">
        <f>SQRT(($R1409-Infrastructure!J$7)^2+($S1409-Infrastructure!K$7)^2)</f>
        <v>39.21836305</v>
      </c>
      <c r="BA1409" s="331">
        <f>SQRT(($R1409-Infrastructure!J$8)^2+($S1409-Infrastructure!K$8)^2)</f>
        <v>40.08989898</v>
      </c>
      <c r="BB1409" s="331">
        <f>SQRT(($R1409-Infrastructure!J$9)^2+($S1409-Infrastructure!K$9)^2)</f>
        <v>38.96472764</v>
      </c>
      <c r="BC1409" s="331">
        <f>SQRT(($R1409-Infrastructure!J$10)^2+($S1409-Infrastructure!K$10)^2)</f>
        <v>30.58005886</v>
      </c>
      <c r="BD1409" s="331">
        <f>SQRT(($R1409-Infrastructure!J$11)^2+($S1409-Infrastructure!K$11)^2)</f>
        <v>21.27204739</v>
      </c>
      <c r="BE1409" s="333">
        <f>SQRT(($R1409-Infrastructure!J$12)^2+($S1409-Infrastructure!K$12)^2)</f>
        <v>16.00124995</v>
      </c>
      <c r="BF1409" s="330">
        <f t="shared" si="161"/>
        <v>16.00124995</v>
      </c>
      <c r="BG1409" s="333">
        <f t="shared" si="162"/>
        <v>40.88031311</v>
      </c>
      <c r="BH1409" s="1119"/>
      <c r="BI1409" s="319" t="s">
        <v>846</v>
      </c>
      <c r="BJ1409" s="319" t="s">
        <v>846</v>
      </c>
      <c r="BK1409" s="319"/>
      <c r="BL1409" s="319"/>
      <c r="BM1409" s="955"/>
      <c r="BN1409" s="319" t="s">
        <v>846</v>
      </c>
      <c r="BO1409" s="319"/>
      <c r="BP1409" s="953"/>
      <c r="BQ1409" s="319" t="s">
        <v>846</v>
      </c>
      <c r="BR1409" s="324" t="s">
        <v>846</v>
      </c>
      <c r="BS1409" s="330">
        <f t="shared" si="169"/>
        <v>16.00124995</v>
      </c>
      <c r="BT1409" s="331">
        <f t="shared" si="170"/>
        <v>40.08989898</v>
      </c>
      <c r="BU1409" s="920"/>
      <c r="BV1409" s="903">
        <f t="shared" si="171"/>
        <v>-0.6446759259</v>
      </c>
      <c r="BW1409" s="907"/>
      <c r="BX1409" s="908"/>
      <c r="BY1409" s="331" t="b">
        <f t="shared" si="166"/>
        <v>0</v>
      </c>
      <c r="BZ1409" s="340"/>
      <c r="CA1409" s="316"/>
      <c r="CB1409" s="318"/>
      <c r="CC1409" s="318"/>
      <c r="CD1409" s="318"/>
      <c r="CE1409" s="318"/>
      <c r="CF1409" s="318"/>
      <c r="CG1409" s="318"/>
      <c r="CH1409" s="318"/>
      <c r="CI1409" s="318"/>
      <c r="CJ1409" s="463"/>
      <c r="CK1409" s="342"/>
      <c r="CL1409" s="333"/>
      <c r="CM1409" s="1079"/>
      <c r="CN1409" s="1005"/>
      <c r="CO1409" s="1005"/>
      <c r="CP1409" s="1005"/>
    </row>
    <row r="1410">
      <c r="B1410" s="1106" t="s">
        <v>1517</v>
      </c>
      <c r="C1410" s="1107">
        <v>44720.0</v>
      </c>
      <c r="D1410" s="103"/>
      <c r="E1410" s="1108">
        <v>3.0</v>
      </c>
      <c r="F1410" s="112" t="s">
        <v>2100</v>
      </c>
      <c r="G1410" s="1109">
        <v>0.6564814814814814</v>
      </c>
      <c r="H1410" s="1110">
        <v>0.6569444444444444</v>
      </c>
      <c r="I1410" s="1110"/>
      <c r="J1410" s="1111"/>
      <c r="K1410" s="1111">
        <v>0.6597222222222222</v>
      </c>
      <c r="L1410" s="1112">
        <v>0.002777777777777778</v>
      </c>
      <c r="M1410" s="1113" t="s">
        <v>358</v>
      </c>
      <c r="N1410" s="110" t="s">
        <v>188</v>
      </c>
      <c r="O1410" s="1114" t="s">
        <v>196</v>
      </c>
      <c r="P1410" s="1115" t="s">
        <v>224</v>
      </c>
      <c r="Q1410" s="1116"/>
      <c r="R1410" s="120">
        <v>21.7</v>
      </c>
      <c r="S1410" s="1113">
        <v>39.5</v>
      </c>
      <c r="T1410" s="110">
        <v>1.29</v>
      </c>
      <c r="U1410" s="1108">
        <v>100.0</v>
      </c>
      <c r="V1410" s="1108"/>
      <c r="W1410" s="1108"/>
      <c r="X1410" s="1108"/>
      <c r="Y1410" s="1108"/>
      <c r="Z1410" s="1114" t="s">
        <v>387</v>
      </c>
      <c r="AA1410" s="1114"/>
      <c r="AB1410" s="1114" t="s">
        <v>422</v>
      </c>
      <c r="AC1410" s="1117">
        <v>102.3</v>
      </c>
      <c r="AD1410" s="1115"/>
      <c r="AE1410" s="1115"/>
      <c r="AF1410" s="1115"/>
      <c r="AG1410" s="1115"/>
      <c r="AH1410" s="1115"/>
      <c r="AI1410" s="1115"/>
      <c r="AJ1410" s="1117"/>
      <c r="AK1410" s="1118"/>
      <c r="AL1410" s="1115"/>
      <c r="AM1410" s="1115"/>
      <c r="AN1410" s="1115"/>
      <c r="AO1410" s="1115"/>
      <c r="AP1410" s="1115"/>
      <c r="AQ1410" s="1115"/>
      <c r="AR1410" s="1115"/>
      <c r="AS1410" s="1117"/>
      <c r="AT1410" s="1075" t="s">
        <v>183</v>
      </c>
      <c r="AU1410" s="1078" t="s">
        <v>845</v>
      </c>
      <c r="AV1410" s="330">
        <f>SQRT(($R1410-Infrastructure!J$3)^2+($S1410-Infrastructure!K$3)^2)</f>
        <v>24.42048321</v>
      </c>
      <c r="AW1410" s="331">
        <f>SQRT(($R1410-Infrastructure!J$4)^2+($S1410-Infrastructure!K$4)^2)</f>
        <v>30.90129447</v>
      </c>
      <c r="AX1410" s="331">
        <f>SQRT(($R1410-Infrastructure!J$5)^2+($S1410-Infrastructure!K$5)^2)</f>
        <v>40.83331973</v>
      </c>
      <c r="AY1410" s="331">
        <f>SQRT(($R1410-Infrastructure!J$6)^2+($S1410-Infrastructure!K$6)^2)</f>
        <v>40.88031311</v>
      </c>
      <c r="AZ1410" s="331">
        <f>SQRT(($R1410-Infrastructure!J$7)^2+($S1410-Infrastructure!K$7)^2)</f>
        <v>39.21836305</v>
      </c>
      <c r="BA1410" s="331">
        <f>SQRT(($R1410-Infrastructure!J$8)^2+($S1410-Infrastructure!K$8)^2)</f>
        <v>40.08989898</v>
      </c>
      <c r="BB1410" s="331">
        <f>SQRT(($R1410-Infrastructure!J$9)^2+($S1410-Infrastructure!K$9)^2)</f>
        <v>38.96472764</v>
      </c>
      <c r="BC1410" s="331">
        <f>SQRT(($R1410-Infrastructure!J$10)^2+($S1410-Infrastructure!K$10)^2)</f>
        <v>30.58005886</v>
      </c>
      <c r="BD1410" s="331">
        <f>SQRT(($R1410-Infrastructure!J$11)^2+($S1410-Infrastructure!K$11)^2)</f>
        <v>21.27204739</v>
      </c>
      <c r="BE1410" s="333">
        <f>SQRT(($R1410-Infrastructure!J$12)^2+($S1410-Infrastructure!K$12)^2)</f>
        <v>16.00124995</v>
      </c>
      <c r="BF1410" s="330">
        <f t="shared" si="161"/>
        <v>16.00124995</v>
      </c>
      <c r="BG1410" s="333">
        <f t="shared" si="162"/>
        <v>40.88031311</v>
      </c>
      <c r="BH1410" s="1119"/>
      <c r="BI1410" s="319" t="s">
        <v>846</v>
      </c>
      <c r="BJ1410" s="319" t="s">
        <v>846</v>
      </c>
      <c r="BK1410" s="319"/>
      <c r="BL1410" s="319"/>
      <c r="BM1410" s="955"/>
      <c r="BN1410" s="319" t="s">
        <v>846</v>
      </c>
      <c r="BO1410" s="319"/>
      <c r="BP1410" s="953"/>
      <c r="BQ1410" s="319" t="s">
        <v>846</v>
      </c>
      <c r="BR1410" s="324" t="s">
        <v>846</v>
      </c>
      <c r="BS1410" s="330">
        <f t="shared" si="169"/>
        <v>16.00124995</v>
      </c>
      <c r="BT1410" s="331">
        <f t="shared" si="170"/>
        <v>40.08989898</v>
      </c>
      <c r="BU1410" s="920"/>
      <c r="BV1410" s="903">
        <f t="shared" si="171"/>
        <v>-0.6564814815</v>
      </c>
      <c r="BW1410" s="907"/>
      <c r="BX1410" s="908"/>
      <c r="BY1410" s="331" t="b">
        <f t="shared" si="166"/>
        <v>0</v>
      </c>
      <c r="BZ1410" s="340"/>
      <c r="CA1410" s="316"/>
      <c r="CB1410" s="318"/>
      <c r="CC1410" s="318"/>
      <c r="CD1410" s="318"/>
      <c r="CE1410" s="318"/>
      <c r="CF1410" s="318"/>
      <c r="CG1410" s="318"/>
      <c r="CH1410" s="318"/>
      <c r="CI1410" s="318"/>
      <c r="CJ1410" s="463"/>
      <c r="CK1410" s="342"/>
      <c r="CL1410" s="333"/>
      <c r="CM1410" s="1079"/>
      <c r="CN1410" s="1005"/>
      <c r="CO1410" s="1005"/>
      <c r="CP1410" s="1005"/>
    </row>
    <row r="1411">
      <c r="B1411" s="1106" t="s">
        <v>1517</v>
      </c>
      <c r="C1411" s="1107">
        <v>44720.0</v>
      </c>
      <c r="D1411" s="1165"/>
      <c r="E1411" s="1108">
        <v>4.0</v>
      </c>
      <c r="F1411" s="112" t="s">
        <v>2101</v>
      </c>
      <c r="G1411" s="1151">
        <v>0.6648726851851852</v>
      </c>
      <c r="H1411" s="1152">
        <v>0.6651041666666667</v>
      </c>
      <c r="I1411" s="1152"/>
      <c r="J1411" s="1153"/>
      <c r="K1411" s="1153">
        <v>0.6661458333333333</v>
      </c>
      <c r="L1411" s="1112">
        <v>0.0010416666666666667</v>
      </c>
      <c r="M1411" s="1113" t="s">
        <v>358</v>
      </c>
      <c r="N1411" s="110" t="s">
        <v>188</v>
      </c>
      <c r="O1411" s="1114" t="s">
        <v>196</v>
      </c>
      <c r="P1411" s="1115" t="s">
        <v>224</v>
      </c>
      <c r="Q1411" s="1116"/>
      <c r="R1411" s="120">
        <v>21.7</v>
      </c>
      <c r="S1411" s="1113">
        <v>39.5</v>
      </c>
      <c r="T1411" s="110">
        <v>1.29</v>
      </c>
      <c r="U1411" s="1108">
        <v>100.0</v>
      </c>
      <c r="V1411" s="1108"/>
      <c r="W1411" s="1108"/>
      <c r="X1411" s="1108"/>
      <c r="Y1411" s="1108"/>
      <c r="Z1411" s="1114" t="s">
        <v>387</v>
      </c>
      <c r="AA1411" s="1114"/>
      <c r="AB1411" s="1114" t="s">
        <v>422</v>
      </c>
      <c r="AC1411" s="1117">
        <v>102.3</v>
      </c>
      <c r="AD1411" s="1115"/>
      <c r="AE1411" s="1115"/>
      <c r="AF1411" s="1115"/>
      <c r="AG1411" s="1115"/>
      <c r="AH1411" s="1115"/>
      <c r="AI1411" s="1115"/>
      <c r="AJ1411" s="1117"/>
      <c r="AK1411" s="1118"/>
      <c r="AL1411" s="1115"/>
      <c r="AM1411" s="1115"/>
      <c r="AN1411" s="1115"/>
      <c r="AO1411" s="1115"/>
      <c r="AP1411" s="1115"/>
      <c r="AQ1411" s="1115"/>
      <c r="AR1411" s="1115"/>
      <c r="AS1411" s="1117"/>
      <c r="AT1411" s="1075" t="s">
        <v>183</v>
      </c>
      <c r="AU1411" s="1078" t="s">
        <v>845</v>
      </c>
      <c r="AV1411" s="330">
        <f>SQRT(($R1411-Infrastructure!J$3)^2+($S1411-Infrastructure!K$3)^2)</f>
        <v>24.42048321</v>
      </c>
      <c r="AW1411" s="331">
        <f>SQRT(($R1411-Infrastructure!J$4)^2+($S1411-Infrastructure!K$4)^2)</f>
        <v>30.90129447</v>
      </c>
      <c r="AX1411" s="331">
        <f>SQRT(($R1411-Infrastructure!J$5)^2+($S1411-Infrastructure!K$5)^2)</f>
        <v>40.83331973</v>
      </c>
      <c r="AY1411" s="331">
        <f>SQRT(($R1411-Infrastructure!J$6)^2+($S1411-Infrastructure!K$6)^2)</f>
        <v>40.88031311</v>
      </c>
      <c r="AZ1411" s="331">
        <f>SQRT(($R1411-Infrastructure!J$7)^2+($S1411-Infrastructure!K$7)^2)</f>
        <v>39.21836305</v>
      </c>
      <c r="BA1411" s="331">
        <f>SQRT(($R1411-Infrastructure!J$8)^2+($S1411-Infrastructure!K$8)^2)</f>
        <v>40.08989898</v>
      </c>
      <c r="BB1411" s="331">
        <f>SQRT(($R1411-Infrastructure!J$9)^2+($S1411-Infrastructure!K$9)^2)</f>
        <v>38.96472764</v>
      </c>
      <c r="BC1411" s="331">
        <f>SQRT(($R1411-Infrastructure!J$10)^2+($S1411-Infrastructure!K$10)^2)</f>
        <v>30.58005886</v>
      </c>
      <c r="BD1411" s="331">
        <f>SQRT(($R1411-Infrastructure!J$11)^2+($S1411-Infrastructure!K$11)^2)</f>
        <v>21.27204739</v>
      </c>
      <c r="BE1411" s="333">
        <f>SQRT(($R1411-Infrastructure!J$12)^2+($S1411-Infrastructure!K$12)^2)</f>
        <v>16.00124995</v>
      </c>
      <c r="BF1411" s="330">
        <f t="shared" si="161"/>
        <v>16.00124995</v>
      </c>
      <c r="BG1411" s="333">
        <f t="shared" si="162"/>
        <v>40.88031311</v>
      </c>
      <c r="BH1411" s="1119"/>
      <c r="BI1411" s="319" t="s">
        <v>846</v>
      </c>
      <c r="BJ1411" s="319" t="s">
        <v>846</v>
      </c>
      <c r="BK1411" s="319"/>
      <c r="BL1411" s="319"/>
      <c r="BM1411" s="955"/>
      <c r="BN1411" s="319" t="s">
        <v>846</v>
      </c>
      <c r="BO1411" s="319"/>
      <c r="BP1411" s="953"/>
      <c r="BQ1411" s="319" t="s">
        <v>846</v>
      </c>
      <c r="BR1411" s="324" t="s">
        <v>846</v>
      </c>
      <c r="BS1411" s="330">
        <f t="shared" si="169"/>
        <v>16.00124995</v>
      </c>
      <c r="BT1411" s="331">
        <f t="shared" si="170"/>
        <v>40.08989898</v>
      </c>
      <c r="BU1411" s="920"/>
      <c r="BV1411" s="903">
        <f t="shared" si="171"/>
        <v>-0.6648726852</v>
      </c>
      <c r="BW1411" s="907"/>
      <c r="BX1411" s="908"/>
      <c r="BY1411" s="331" t="b">
        <f t="shared" si="166"/>
        <v>0</v>
      </c>
      <c r="BZ1411" s="340"/>
      <c r="CA1411" s="316"/>
      <c r="CB1411" s="318"/>
      <c r="CC1411" s="318"/>
      <c r="CD1411" s="318"/>
      <c r="CE1411" s="318"/>
      <c r="CF1411" s="318"/>
      <c r="CG1411" s="318"/>
      <c r="CH1411" s="318"/>
      <c r="CI1411" s="318"/>
      <c r="CJ1411" s="463"/>
      <c r="CK1411" s="342"/>
      <c r="CL1411" s="333"/>
      <c r="CM1411" s="1079"/>
      <c r="CN1411" s="1005"/>
      <c r="CO1411" s="1005"/>
      <c r="CP1411" s="1005"/>
    </row>
    <row r="1412">
      <c r="B1412" s="1106" t="s">
        <v>1517</v>
      </c>
      <c r="C1412" s="1107">
        <v>44720.0</v>
      </c>
      <c r="D1412" s="103"/>
      <c r="E1412" s="1108">
        <v>5.0</v>
      </c>
      <c r="F1412" s="112" t="s">
        <v>2102</v>
      </c>
      <c r="G1412" s="1109">
        <v>0.6677083333333333</v>
      </c>
      <c r="H1412" s="1110">
        <v>0.6680555555555555</v>
      </c>
      <c r="I1412" s="1110"/>
      <c r="J1412" s="1111"/>
      <c r="K1412" s="1111">
        <v>0.6708333333333333</v>
      </c>
      <c r="L1412" s="1112">
        <v>0.002777777777777778</v>
      </c>
      <c r="M1412" s="1113" t="s">
        <v>358</v>
      </c>
      <c r="N1412" s="110" t="s">
        <v>188</v>
      </c>
      <c r="O1412" s="1114" t="s">
        <v>196</v>
      </c>
      <c r="P1412" s="1115" t="s">
        <v>224</v>
      </c>
      <c r="Q1412" s="1116"/>
      <c r="R1412" s="120">
        <v>21.7</v>
      </c>
      <c r="S1412" s="1113">
        <v>39.5</v>
      </c>
      <c r="T1412" s="110">
        <v>1.29</v>
      </c>
      <c r="U1412" s="1108">
        <v>100.0</v>
      </c>
      <c r="V1412" s="1108"/>
      <c r="W1412" s="1108"/>
      <c r="X1412" s="1108"/>
      <c r="Y1412" s="1108"/>
      <c r="Z1412" s="1114" t="s">
        <v>387</v>
      </c>
      <c r="AA1412" s="1114"/>
      <c r="AB1412" s="1114" t="s">
        <v>422</v>
      </c>
      <c r="AC1412" s="1117">
        <v>102.3</v>
      </c>
      <c r="AD1412" s="1115"/>
      <c r="AE1412" s="1115"/>
      <c r="AF1412" s="1115"/>
      <c r="AG1412" s="1115"/>
      <c r="AH1412" s="1115"/>
      <c r="AI1412" s="1115"/>
      <c r="AJ1412" s="1117"/>
      <c r="AK1412" s="1118"/>
      <c r="AL1412" s="1115"/>
      <c r="AM1412" s="1115"/>
      <c r="AN1412" s="1115"/>
      <c r="AO1412" s="1115"/>
      <c r="AP1412" s="1115"/>
      <c r="AQ1412" s="1115"/>
      <c r="AR1412" s="1115"/>
      <c r="AS1412" s="1117"/>
      <c r="AT1412" s="1075" t="s">
        <v>183</v>
      </c>
      <c r="AU1412" s="1078" t="s">
        <v>845</v>
      </c>
      <c r="AV1412" s="330">
        <f>SQRT(($R1412-Infrastructure!J$3)^2+($S1412-Infrastructure!K$3)^2)</f>
        <v>24.42048321</v>
      </c>
      <c r="AW1412" s="331">
        <f>SQRT(($R1412-Infrastructure!J$4)^2+($S1412-Infrastructure!K$4)^2)</f>
        <v>30.90129447</v>
      </c>
      <c r="AX1412" s="331">
        <f>SQRT(($R1412-Infrastructure!J$5)^2+($S1412-Infrastructure!K$5)^2)</f>
        <v>40.83331973</v>
      </c>
      <c r="AY1412" s="331">
        <f>SQRT(($R1412-Infrastructure!J$6)^2+($S1412-Infrastructure!K$6)^2)</f>
        <v>40.88031311</v>
      </c>
      <c r="AZ1412" s="331">
        <f>SQRT(($R1412-Infrastructure!J$7)^2+($S1412-Infrastructure!K$7)^2)</f>
        <v>39.21836305</v>
      </c>
      <c r="BA1412" s="331">
        <f>SQRT(($R1412-Infrastructure!J$8)^2+($S1412-Infrastructure!K$8)^2)</f>
        <v>40.08989898</v>
      </c>
      <c r="BB1412" s="331">
        <f>SQRT(($R1412-Infrastructure!J$9)^2+($S1412-Infrastructure!K$9)^2)</f>
        <v>38.96472764</v>
      </c>
      <c r="BC1412" s="331">
        <f>SQRT(($R1412-Infrastructure!J$10)^2+($S1412-Infrastructure!K$10)^2)</f>
        <v>30.58005886</v>
      </c>
      <c r="BD1412" s="331">
        <f>SQRT(($R1412-Infrastructure!J$11)^2+($S1412-Infrastructure!K$11)^2)</f>
        <v>21.27204739</v>
      </c>
      <c r="BE1412" s="333">
        <f>SQRT(($R1412-Infrastructure!J$12)^2+($S1412-Infrastructure!K$12)^2)</f>
        <v>16.00124995</v>
      </c>
      <c r="BF1412" s="330">
        <f t="shared" si="161"/>
        <v>16.00124995</v>
      </c>
      <c r="BG1412" s="333">
        <f t="shared" si="162"/>
        <v>40.88031311</v>
      </c>
      <c r="BH1412" s="1119"/>
      <c r="BI1412" s="319" t="s">
        <v>846</v>
      </c>
      <c r="BJ1412" s="319" t="s">
        <v>846</v>
      </c>
      <c r="BK1412" s="319"/>
      <c r="BL1412" s="319"/>
      <c r="BM1412" s="955"/>
      <c r="BN1412" s="319" t="s">
        <v>846</v>
      </c>
      <c r="BO1412" s="319"/>
      <c r="BP1412" s="953"/>
      <c r="BQ1412" s="319" t="s">
        <v>846</v>
      </c>
      <c r="BR1412" s="324" t="s">
        <v>846</v>
      </c>
      <c r="BS1412" s="330">
        <f t="shared" si="169"/>
        <v>16.00124995</v>
      </c>
      <c r="BT1412" s="331">
        <f t="shared" si="170"/>
        <v>40.08989898</v>
      </c>
      <c r="BU1412" s="920"/>
      <c r="BV1412" s="903">
        <f t="shared" si="171"/>
        <v>-0.6677083333</v>
      </c>
      <c r="BW1412" s="907"/>
      <c r="BX1412" s="908"/>
      <c r="BY1412" s="331" t="b">
        <f t="shared" si="166"/>
        <v>0</v>
      </c>
      <c r="BZ1412" s="340"/>
      <c r="CA1412" s="316"/>
      <c r="CB1412" s="318"/>
      <c r="CC1412" s="318"/>
      <c r="CD1412" s="318"/>
      <c r="CE1412" s="318"/>
      <c r="CF1412" s="318"/>
      <c r="CG1412" s="318"/>
      <c r="CH1412" s="318"/>
      <c r="CI1412" s="318"/>
      <c r="CJ1412" s="463"/>
      <c r="CK1412" s="342"/>
      <c r="CL1412" s="333"/>
      <c r="CM1412" s="1079"/>
      <c r="CN1412" s="1005"/>
      <c r="CO1412" s="1005"/>
      <c r="CP1412" s="1005"/>
    </row>
    <row r="1413">
      <c r="B1413" s="1106" t="s">
        <v>1517</v>
      </c>
      <c r="C1413" s="1107">
        <v>44720.0</v>
      </c>
      <c r="D1413" s="1165"/>
      <c r="E1413" s="1108">
        <v>6.0</v>
      </c>
      <c r="F1413" s="112" t="s">
        <v>2103</v>
      </c>
      <c r="G1413" s="1151">
        <v>0.6722800925925926</v>
      </c>
      <c r="H1413" s="1152">
        <v>0.6733796296296296</v>
      </c>
      <c r="I1413" s="1152"/>
      <c r="J1413" s="1153"/>
      <c r="K1413" s="1153">
        <v>0.6796296296296296</v>
      </c>
      <c r="L1413" s="1112">
        <v>0.00625</v>
      </c>
      <c r="M1413" s="1113" t="s">
        <v>358</v>
      </c>
      <c r="N1413" s="110" t="s">
        <v>188</v>
      </c>
      <c r="O1413" s="1114" t="s">
        <v>196</v>
      </c>
      <c r="P1413" s="1115" t="s">
        <v>224</v>
      </c>
      <c r="Q1413" s="1116"/>
      <c r="R1413" s="120">
        <v>21.7</v>
      </c>
      <c r="S1413" s="1113">
        <v>39.5</v>
      </c>
      <c r="T1413" s="110">
        <v>1.29</v>
      </c>
      <c r="U1413" s="1108">
        <v>100.0</v>
      </c>
      <c r="V1413" s="1108"/>
      <c r="W1413" s="1108"/>
      <c r="X1413" s="1108"/>
      <c r="Y1413" s="1108"/>
      <c r="Z1413" s="1114" t="s">
        <v>387</v>
      </c>
      <c r="AA1413" s="1114"/>
      <c r="AB1413" s="1114" t="s">
        <v>422</v>
      </c>
      <c r="AC1413" s="1117">
        <v>102.3</v>
      </c>
      <c r="AD1413" s="1115"/>
      <c r="AE1413" s="1115"/>
      <c r="AF1413" s="1115"/>
      <c r="AG1413" s="1115"/>
      <c r="AH1413" s="1115"/>
      <c r="AI1413" s="1115"/>
      <c r="AJ1413" s="1117"/>
      <c r="AK1413" s="1118"/>
      <c r="AL1413" s="1115"/>
      <c r="AM1413" s="1115"/>
      <c r="AN1413" s="1115"/>
      <c r="AO1413" s="1115"/>
      <c r="AP1413" s="1115"/>
      <c r="AQ1413" s="1115"/>
      <c r="AR1413" s="1115"/>
      <c r="AS1413" s="1117"/>
      <c r="AT1413" s="1075" t="s">
        <v>183</v>
      </c>
      <c r="AU1413" s="1078" t="s">
        <v>845</v>
      </c>
      <c r="AV1413" s="330">
        <f>SQRT(($R1413-Infrastructure!J$3)^2+($S1413-Infrastructure!K$3)^2)</f>
        <v>24.42048321</v>
      </c>
      <c r="AW1413" s="331">
        <f>SQRT(($R1413-Infrastructure!J$4)^2+($S1413-Infrastructure!K$4)^2)</f>
        <v>30.90129447</v>
      </c>
      <c r="AX1413" s="331">
        <f>SQRT(($R1413-Infrastructure!J$5)^2+($S1413-Infrastructure!K$5)^2)</f>
        <v>40.83331973</v>
      </c>
      <c r="AY1413" s="331">
        <f>SQRT(($R1413-Infrastructure!J$6)^2+($S1413-Infrastructure!K$6)^2)</f>
        <v>40.88031311</v>
      </c>
      <c r="AZ1413" s="331">
        <f>SQRT(($R1413-Infrastructure!J$7)^2+($S1413-Infrastructure!K$7)^2)</f>
        <v>39.21836305</v>
      </c>
      <c r="BA1413" s="331">
        <f>SQRT(($R1413-Infrastructure!J$8)^2+($S1413-Infrastructure!K$8)^2)</f>
        <v>40.08989898</v>
      </c>
      <c r="BB1413" s="331">
        <f>SQRT(($R1413-Infrastructure!J$9)^2+($S1413-Infrastructure!K$9)^2)</f>
        <v>38.96472764</v>
      </c>
      <c r="BC1413" s="331">
        <f>SQRT(($R1413-Infrastructure!J$10)^2+($S1413-Infrastructure!K$10)^2)</f>
        <v>30.58005886</v>
      </c>
      <c r="BD1413" s="331">
        <f>SQRT(($R1413-Infrastructure!J$11)^2+($S1413-Infrastructure!K$11)^2)</f>
        <v>21.27204739</v>
      </c>
      <c r="BE1413" s="333">
        <f>SQRT(($R1413-Infrastructure!J$12)^2+($S1413-Infrastructure!K$12)^2)</f>
        <v>16.00124995</v>
      </c>
      <c r="BF1413" s="330">
        <f t="shared" si="161"/>
        <v>16.00124995</v>
      </c>
      <c r="BG1413" s="333">
        <f t="shared" si="162"/>
        <v>40.88031311</v>
      </c>
      <c r="BH1413" s="1119"/>
      <c r="BI1413" s="319" t="s">
        <v>846</v>
      </c>
      <c r="BJ1413" s="319" t="s">
        <v>846</v>
      </c>
      <c r="BK1413" s="319"/>
      <c r="BL1413" s="319"/>
      <c r="BM1413" s="955"/>
      <c r="BN1413" s="319" t="s">
        <v>846</v>
      </c>
      <c r="BO1413" s="319"/>
      <c r="BP1413" s="953"/>
      <c r="BQ1413" s="319" t="s">
        <v>846</v>
      </c>
      <c r="BR1413" s="324" t="s">
        <v>846</v>
      </c>
      <c r="BS1413" s="330">
        <f t="shared" si="169"/>
        <v>16.00124995</v>
      </c>
      <c r="BT1413" s="331">
        <f t="shared" si="170"/>
        <v>40.08989898</v>
      </c>
      <c r="BU1413" s="920"/>
      <c r="BV1413" s="903">
        <f t="shared" si="171"/>
        <v>-0.6722800926</v>
      </c>
      <c r="BW1413" s="907"/>
      <c r="BX1413" s="908"/>
      <c r="BY1413" s="331" t="b">
        <f t="shared" si="166"/>
        <v>0</v>
      </c>
      <c r="BZ1413" s="340"/>
      <c r="CA1413" s="316"/>
      <c r="CB1413" s="318"/>
      <c r="CC1413" s="318"/>
      <c r="CD1413" s="318"/>
      <c r="CE1413" s="318"/>
      <c r="CF1413" s="318"/>
      <c r="CG1413" s="318"/>
      <c r="CH1413" s="318"/>
      <c r="CI1413" s="318"/>
      <c r="CJ1413" s="463"/>
      <c r="CK1413" s="342"/>
      <c r="CL1413" s="333"/>
      <c r="CM1413" s="1079"/>
      <c r="CN1413" s="1005"/>
      <c r="CO1413" s="1005"/>
      <c r="CP1413" s="1005"/>
    </row>
    <row r="1414">
      <c r="B1414" s="1106" t="s">
        <v>1517</v>
      </c>
      <c r="C1414" s="1107">
        <v>44720.0</v>
      </c>
      <c r="D1414" s="1165"/>
      <c r="E1414" s="1108">
        <v>7.0</v>
      </c>
      <c r="F1414" s="112" t="s">
        <v>2104</v>
      </c>
      <c r="G1414" s="1151">
        <v>0.7157986111111111</v>
      </c>
      <c r="H1414" s="1152">
        <v>0.7166666666666667</v>
      </c>
      <c r="I1414" s="1152"/>
      <c r="J1414" s="1153"/>
      <c r="K1414" s="1153">
        <v>0.7180555555555556</v>
      </c>
      <c r="L1414" s="1112">
        <v>0.001388888888888889</v>
      </c>
      <c r="M1414" s="1113" t="s">
        <v>358</v>
      </c>
      <c r="N1414" s="110" t="s">
        <v>188</v>
      </c>
      <c r="O1414" s="1114" t="s">
        <v>196</v>
      </c>
      <c r="P1414" s="1115" t="s">
        <v>224</v>
      </c>
      <c r="Q1414" s="1116"/>
      <c r="R1414" s="120">
        <v>21.7</v>
      </c>
      <c r="S1414" s="1113">
        <v>39.5</v>
      </c>
      <c r="T1414" s="110">
        <v>1.29</v>
      </c>
      <c r="U1414" s="1108">
        <v>200.0</v>
      </c>
      <c r="V1414" s="1108"/>
      <c r="W1414" s="1108"/>
      <c r="X1414" s="1108"/>
      <c r="Y1414" s="1108"/>
      <c r="Z1414" s="1114" t="s">
        <v>387</v>
      </c>
      <c r="AA1414" s="1114"/>
      <c r="AB1414" s="1114" t="s">
        <v>422</v>
      </c>
      <c r="AC1414" s="1117">
        <v>102.3</v>
      </c>
      <c r="AD1414" s="1115"/>
      <c r="AE1414" s="1115"/>
      <c r="AF1414" s="1115"/>
      <c r="AG1414" s="1115"/>
      <c r="AH1414" s="1115"/>
      <c r="AI1414" s="1115"/>
      <c r="AJ1414" s="1117"/>
      <c r="AK1414" s="1118"/>
      <c r="AL1414" s="1115"/>
      <c r="AM1414" s="1115"/>
      <c r="AN1414" s="1115"/>
      <c r="AO1414" s="1115"/>
      <c r="AP1414" s="1115"/>
      <c r="AQ1414" s="1115"/>
      <c r="AR1414" s="1115"/>
      <c r="AS1414" s="1117"/>
      <c r="AT1414" s="1075" t="s">
        <v>183</v>
      </c>
      <c r="AU1414" s="1078" t="s">
        <v>845</v>
      </c>
      <c r="AV1414" s="330">
        <f>SQRT(($R1414-Infrastructure!J$3)^2+($S1414-Infrastructure!K$3)^2)</f>
        <v>24.42048321</v>
      </c>
      <c r="AW1414" s="331">
        <f>SQRT(($R1414-Infrastructure!J$4)^2+($S1414-Infrastructure!K$4)^2)</f>
        <v>30.90129447</v>
      </c>
      <c r="AX1414" s="331">
        <f>SQRT(($R1414-Infrastructure!J$5)^2+($S1414-Infrastructure!K$5)^2)</f>
        <v>40.83331973</v>
      </c>
      <c r="AY1414" s="331">
        <f>SQRT(($R1414-Infrastructure!J$6)^2+($S1414-Infrastructure!K$6)^2)</f>
        <v>40.88031311</v>
      </c>
      <c r="AZ1414" s="331">
        <f>SQRT(($R1414-Infrastructure!J$7)^2+($S1414-Infrastructure!K$7)^2)</f>
        <v>39.21836305</v>
      </c>
      <c r="BA1414" s="331">
        <f>SQRT(($R1414-Infrastructure!J$8)^2+($S1414-Infrastructure!K$8)^2)</f>
        <v>40.08989898</v>
      </c>
      <c r="BB1414" s="331">
        <f>SQRT(($R1414-Infrastructure!J$9)^2+($S1414-Infrastructure!K$9)^2)</f>
        <v>38.96472764</v>
      </c>
      <c r="BC1414" s="331">
        <f>SQRT(($R1414-Infrastructure!J$10)^2+($S1414-Infrastructure!K$10)^2)</f>
        <v>30.58005886</v>
      </c>
      <c r="BD1414" s="331">
        <f>SQRT(($R1414-Infrastructure!J$11)^2+($S1414-Infrastructure!K$11)^2)</f>
        <v>21.27204739</v>
      </c>
      <c r="BE1414" s="333">
        <f>SQRT(($R1414-Infrastructure!J$12)^2+($S1414-Infrastructure!K$12)^2)</f>
        <v>16.00124995</v>
      </c>
      <c r="BF1414" s="330">
        <f t="shared" si="161"/>
        <v>16.00124995</v>
      </c>
      <c r="BG1414" s="333">
        <f t="shared" si="162"/>
        <v>40.88031311</v>
      </c>
      <c r="BH1414" s="1119"/>
      <c r="BI1414" s="319" t="s">
        <v>846</v>
      </c>
      <c r="BJ1414" s="319" t="s">
        <v>846</v>
      </c>
      <c r="BK1414" s="319" t="s">
        <v>846</v>
      </c>
      <c r="BL1414" s="319" t="s">
        <v>846</v>
      </c>
      <c r="BM1414" s="955"/>
      <c r="BN1414" s="319" t="s">
        <v>846</v>
      </c>
      <c r="BO1414" s="319"/>
      <c r="BP1414" s="953"/>
      <c r="BQ1414" s="319" t="s">
        <v>846</v>
      </c>
      <c r="BR1414" s="324" t="s">
        <v>846</v>
      </c>
      <c r="BS1414" s="330">
        <f t="shared" si="169"/>
        <v>16.00124995</v>
      </c>
      <c r="BT1414" s="331">
        <f t="shared" si="170"/>
        <v>40.88031311</v>
      </c>
      <c r="BU1414" s="920"/>
      <c r="BV1414" s="903">
        <f t="shared" si="171"/>
        <v>-0.7157986111</v>
      </c>
      <c r="BW1414" s="907"/>
      <c r="BX1414" s="908"/>
      <c r="BY1414" s="331" t="b">
        <f t="shared" si="166"/>
        <v>0</v>
      </c>
      <c r="BZ1414" s="340"/>
      <c r="CA1414" s="316"/>
      <c r="CB1414" s="318"/>
      <c r="CC1414" s="318"/>
      <c r="CD1414" s="318"/>
      <c r="CE1414" s="318"/>
      <c r="CF1414" s="318"/>
      <c r="CG1414" s="318"/>
      <c r="CH1414" s="318"/>
      <c r="CI1414" s="318"/>
      <c r="CJ1414" s="463"/>
      <c r="CK1414" s="342"/>
      <c r="CL1414" s="333"/>
      <c r="CM1414" s="1079"/>
      <c r="CN1414" s="1005"/>
      <c r="CO1414" s="1005"/>
      <c r="CP1414" s="1005"/>
    </row>
    <row r="1415">
      <c r="B1415" s="1106" t="s">
        <v>1517</v>
      </c>
      <c r="C1415" s="1107">
        <v>44720.0</v>
      </c>
      <c r="D1415" s="103"/>
      <c r="E1415" s="1108">
        <v>8.0</v>
      </c>
      <c r="F1415" s="112" t="s">
        <v>2105</v>
      </c>
      <c r="G1415" s="1109">
        <v>0.7196759259259259</v>
      </c>
      <c r="H1415" s="1110">
        <v>0.7201388888888889</v>
      </c>
      <c r="I1415" s="1110"/>
      <c r="J1415" s="1111"/>
      <c r="K1415" s="1111">
        <v>0.7231481481481481</v>
      </c>
      <c r="L1415" s="1112">
        <v>0.0030092592592592593</v>
      </c>
      <c r="M1415" s="1113" t="s">
        <v>358</v>
      </c>
      <c r="N1415" s="110" t="s">
        <v>188</v>
      </c>
      <c r="O1415" s="1114" t="s">
        <v>196</v>
      </c>
      <c r="P1415" s="1115" t="s">
        <v>224</v>
      </c>
      <c r="Q1415" s="1116"/>
      <c r="R1415" s="120">
        <v>21.7</v>
      </c>
      <c r="S1415" s="1113">
        <v>39.5</v>
      </c>
      <c r="T1415" s="110">
        <v>1.29</v>
      </c>
      <c r="U1415" s="1108">
        <v>200.0</v>
      </c>
      <c r="V1415" s="1108"/>
      <c r="W1415" s="1108"/>
      <c r="X1415" s="1108"/>
      <c r="Y1415" s="1108"/>
      <c r="Z1415" s="1114" t="s">
        <v>387</v>
      </c>
      <c r="AA1415" s="1114"/>
      <c r="AB1415" s="1114" t="s">
        <v>422</v>
      </c>
      <c r="AC1415" s="1117">
        <v>102.3</v>
      </c>
      <c r="AD1415" s="1115"/>
      <c r="AE1415" s="1115"/>
      <c r="AF1415" s="1115"/>
      <c r="AG1415" s="1115"/>
      <c r="AH1415" s="1115"/>
      <c r="AI1415" s="1115"/>
      <c r="AJ1415" s="1117"/>
      <c r="AK1415" s="1118"/>
      <c r="AL1415" s="1115"/>
      <c r="AM1415" s="1115"/>
      <c r="AN1415" s="1115"/>
      <c r="AO1415" s="1115"/>
      <c r="AP1415" s="1115"/>
      <c r="AQ1415" s="1115"/>
      <c r="AR1415" s="1115"/>
      <c r="AS1415" s="1117"/>
      <c r="AT1415" s="1075" t="s">
        <v>183</v>
      </c>
      <c r="AU1415" s="1078" t="s">
        <v>845</v>
      </c>
      <c r="AV1415" s="330">
        <f>SQRT(($R1415-Infrastructure!J$3)^2+($S1415-Infrastructure!K$3)^2)</f>
        <v>24.42048321</v>
      </c>
      <c r="AW1415" s="331">
        <f>SQRT(($R1415-Infrastructure!J$4)^2+($S1415-Infrastructure!K$4)^2)</f>
        <v>30.90129447</v>
      </c>
      <c r="AX1415" s="331">
        <f>SQRT(($R1415-Infrastructure!J$5)^2+($S1415-Infrastructure!K$5)^2)</f>
        <v>40.83331973</v>
      </c>
      <c r="AY1415" s="331">
        <f>SQRT(($R1415-Infrastructure!J$6)^2+($S1415-Infrastructure!K$6)^2)</f>
        <v>40.88031311</v>
      </c>
      <c r="AZ1415" s="331">
        <f>SQRT(($R1415-Infrastructure!J$7)^2+($S1415-Infrastructure!K$7)^2)</f>
        <v>39.21836305</v>
      </c>
      <c r="BA1415" s="331">
        <f>SQRT(($R1415-Infrastructure!J$8)^2+($S1415-Infrastructure!K$8)^2)</f>
        <v>40.08989898</v>
      </c>
      <c r="BB1415" s="331">
        <f>SQRT(($R1415-Infrastructure!J$9)^2+($S1415-Infrastructure!K$9)^2)</f>
        <v>38.96472764</v>
      </c>
      <c r="BC1415" s="331">
        <f>SQRT(($R1415-Infrastructure!J$10)^2+($S1415-Infrastructure!K$10)^2)</f>
        <v>30.58005886</v>
      </c>
      <c r="BD1415" s="331">
        <f>SQRT(($R1415-Infrastructure!J$11)^2+($S1415-Infrastructure!K$11)^2)</f>
        <v>21.27204739</v>
      </c>
      <c r="BE1415" s="333">
        <f>SQRT(($R1415-Infrastructure!J$12)^2+($S1415-Infrastructure!K$12)^2)</f>
        <v>16.00124995</v>
      </c>
      <c r="BF1415" s="330">
        <f t="shared" si="161"/>
        <v>16.00124995</v>
      </c>
      <c r="BG1415" s="333">
        <f t="shared" si="162"/>
        <v>40.88031311</v>
      </c>
      <c r="BH1415" s="1119"/>
      <c r="BI1415" s="319" t="s">
        <v>846</v>
      </c>
      <c r="BJ1415" s="319" t="s">
        <v>846</v>
      </c>
      <c r="BK1415" s="319" t="s">
        <v>846</v>
      </c>
      <c r="BL1415" s="319" t="s">
        <v>846</v>
      </c>
      <c r="BM1415" s="955"/>
      <c r="BN1415" s="319" t="s">
        <v>846</v>
      </c>
      <c r="BO1415" s="319"/>
      <c r="BP1415" s="953"/>
      <c r="BQ1415" s="319" t="s">
        <v>846</v>
      </c>
      <c r="BR1415" s="324" t="s">
        <v>846</v>
      </c>
      <c r="BS1415" s="330">
        <f t="shared" si="169"/>
        <v>16.00124995</v>
      </c>
      <c r="BT1415" s="331">
        <f t="shared" si="170"/>
        <v>40.88031311</v>
      </c>
      <c r="BU1415" s="920"/>
      <c r="BV1415" s="903">
        <f t="shared" si="171"/>
        <v>-0.7196759259</v>
      </c>
      <c r="BW1415" s="907"/>
      <c r="BX1415" s="908"/>
      <c r="BY1415" s="331" t="b">
        <f t="shared" si="166"/>
        <v>0</v>
      </c>
      <c r="BZ1415" s="340"/>
      <c r="CA1415" s="316"/>
      <c r="CB1415" s="318"/>
      <c r="CC1415" s="318"/>
      <c r="CD1415" s="318"/>
      <c r="CE1415" s="318"/>
      <c r="CF1415" s="318"/>
      <c r="CG1415" s="318"/>
      <c r="CH1415" s="318"/>
      <c r="CI1415" s="318"/>
      <c r="CJ1415" s="463"/>
      <c r="CK1415" s="342"/>
      <c r="CL1415" s="333"/>
      <c r="CM1415" s="1079"/>
      <c r="CN1415" s="1005"/>
      <c r="CO1415" s="1005"/>
      <c r="CP1415" s="1005"/>
    </row>
    <row r="1416">
      <c r="B1416" s="1106" t="s">
        <v>1517</v>
      </c>
      <c r="C1416" s="1107">
        <v>44720.0</v>
      </c>
      <c r="D1416" s="1165"/>
      <c r="E1416" s="1108">
        <v>9.0</v>
      </c>
      <c r="F1416" s="112" t="s">
        <v>2106</v>
      </c>
      <c r="G1416" s="1151">
        <v>0.728125</v>
      </c>
      <c r="H1416" s="1152">
        <v>0.7282986111111112</v>
      </c>
      <c r="I1416" s="1152"/>
      <c r="J1416" s="1153"/>
      <c r="K1416" s="1153">
        <v>0.7289930555555556</v>
      </c>
      <c r="L1416" s="1112">
        <v>6.944444444444445E-4</v>
      </c>
      <c r="M1416" s="1113" t="s">
        <v>358</v>
      </c>
      <c r="N1416" s="110" t="s">
        <v>188</v>
      </c>
      <c r="O1416" s="1114" t="s">
        <v>196</v>
      </c>
      <c r="P1416" s="1115" t="s">
        <v>224</v>
      </c>
      <c r="Q1416" s="1116"/>
      <c r="R1416" s="120">
        <v>21.7</v>
      </c>
      <c r="S1416" s="1113">
        <v>39.5</v>
      </c>
      <c r="T1416" s="110">
        <v>1.29</v>
      </c>
      <c r="U1416" s="1108">
        <v>50.0</v>
      </c>
      <c r="V1416" s="1108"/>
      <c r="W1416" s="1108"/>
      <c r="X1416" s="1108"/>
      <c r="Y1416" s="1108"/>
      <c r="Z1416" s="1114" t="s">
        <v>387</v>
      </c>
      <c r="AA1416" s="1114"/>
      <c r="AB1416" s="1114" t="s">
        <v>422</v>
      </c>
      <c r="AC1416" s="1117">
        <v>102.3</v>
      </c>
      <c r="AD1416" s="1115"/>
      <c r="AE1416" s="1115"/>
      <c r="AF1416" s="1115"/>
      <c r="AG1416" s="1115"/>
      <c r="AH1416" s="1115"/>
      <c r="AI1416" s="1115"/>
      <c r="AJ1416" s="1117"/>
      <c r="AK1416" s="1118"/>
      <c r="AL1416" s="1115"/>
      <c r="AM1416" s="1115"/>
      <c r="AN1416" s="1115"/>
      <c r="AO1416" s="1115"/>
      <c r="AP1416" s="1115"/>
      <c r="AQ1416" s="1115"/>
      <c r="AR1416" s="1115"/>
      <c r="AS1416" s="1117"/>
      <c r="AT1416" s="1075" t="s">
        <v>183</v>
      </c>
      <c r="AU1416" s="1078" t="s">
        <v>845</v>
      </c>
      <c r="AV1416" s="330">
        <f>SQRT(($R1416-Infrastructure!J$3)^2+($S1416-Infrastructure!K$3)^2)</f>
        <v>24.42048321</v>
      </c>
      <c r="AW1416" s="331">
        <f>SQRT(($R1416-Infrastructure!J$4)^2+($S1416-Infrastructure!K$4)^2)</f>
        <v>30.90129447</v>
      </c>
      <c r="AX1416" s="331">
        <f>SQRT(($R1416-Infrastructure!J$5)^2+($S1416-Infrastructure!K$5)^2)</f>
        <v>40.83331973</v>
      </c>
      <c r="AY1416" s="331">
        <f>SQRT(($R1416-Infrastructure!J$6)^2+($S1416-Infrastructure!K$6)^2)</f>
        <v>40.88031311</v>
      </c>
      <c r="AZ1416" s="331">
        <f>SQRT(($R1416-Infrastructure!J$7)^2+($S1416-Infrastructure!K$7)^2)</f>
        <v>39.21836305</v>
      </c>
      <c r="BA1416" s="331">
        <f>SQRT(($R1416-Infrastructure!J$8)^2+($S1416-Infrastructure!K$8)^2)</f>
        <v>40.08989898</v>
      </c>
      <c r="BB1416" s="331">
        <f>SQRT(($R1416-Infrastructure!J$9)^2+($S1416-Infrastructure!K$9)^2)</f>
        <v>38.96472764</v>
      </c>
      <c r="BC1416" s="331">
        <f>SQRT(($R1416-Infrastructure!J$10)^2+($S1416-Infrastructure!K$10)^2)</f>
        <v>30.58005886</v>
      </c>
      <c r="BD1416" s="331">
        <f>SQRT(($R1416-Infrastructure!J$11)^2+($S1416-Infrastructure!K$11)^2)</f>
        <v>21.27204739</v>
      </c>
      <c r="BE1416" s="333">
        <f>SQRT(($R1416-Infrastructure!J$12)^2+($S1416-Infrastructure!K$12)^2)</f>
        <v>16.00124995</v>
      </c>
      <c r="BF1416" s="330">
        <f t="shared" si="161"/>
        <v>16.00124995</v>
      </c>
      <c r="BG1416" s="333">
        <f t="shared" si="162"/>
        <v>40.88031311</v>
      </c>
      <c r="BH1416" s="1119"/>
      <c r="BI1416" s="319" t="s">
        <v>846</v>
      </c>
      <c r="BJ1416" s="319" t="s">
        <v>846</v>
      </c>
      <c r="BK1416" s="319" t="s">
        <v>846</v>
      </c>
      <c r="BL1416" s="319" t="s">
        <v>846</v>
      </c>
      <c r="BM1416" s="955"/>
      <c r="BN1416" s="319" t="s">
        <v>846</v>
      </c>
      <c r="BO1416" s="319"/>
      <c r="BP1416" s="953"/>
      <c r="BQ1416" s="319" t="s">
        <v>846</v>
      </c>
      <c r="BR1416" s="324" t="s">
        <v>846</v>
      </c>
      <c r="BS1416" s="330">
        <f t="shared" si="169"/>
        <v>16.00124995</v>
      </c>
      <c r="BT1416" s="331">
        <f t="shared" si="170"/>
        <v>40.88031311</v>
      </c>
      <c r="BU1416" s="920"/>
      <c r="BV1416" s="903">
        <f t="shared" si="171"/>
        <v>-0.728125</v>
      </c>
      <c r="BW1416" s="907"/>
      <c r="BX1416" s="908"/>
      <c r="BY1416" s="331" t="b">
        <f t="shared" si="166"/>
        <v>0</v>
      </c>
      <c r="BZ1416" s="340"/>
      <c r="CA1416" s="316"/>
      <c r="CB1416" s="318"/>
      <c r="CC1416" s="318"/>
      <c r="CD1416" s="318"/>
      <c r="CE1416" s="318"/>
      <c r="CF1416" s="318"/>
      <c r="CG1416" s="318"/>
      <c r="CH1416" s="318"/>
      <c r="CI1416" s="318"/>
      <c r="CJ1416" s="463"/>
      <c r="CK1416" s="342"/>
      <c r="CL1416" s="333"/>
      <c r="CM1416" s="1079"/>
      <c r="CN1416" s="1005"/>
      <c r="CO1416" s="1005"/>
      <c r="CP1416" s="1005"/>
    </row>
    <row r="1417">
      <c r="A1417" s="1163" t="s">
        <v>76</v>
      </c>
      <c r="B1417" s="1091" t="s">
        <v>1537</v>
      </c>
      <c r="C1417" s="1092">
        <v>44733.0</v>
      </c>
      <c r="D1417" s="1093"/>
      <c r="E1417" s="1094">
        <v>1.0</v>
      </c>
      <c r="F1417" s="129" t="s">
        <v>2109</v>
      </c>
      <c r="G1417" s="1172">
        <v>0.3872685185185185</v>
      </c>
      <c r="H1417" s="1173">
        <v>0.3876736111111111</v>
      </c>
      <c r="I1417" s="1173"/>
      <c r="J1417" s="1174"/>
      <c r="K1417" s="1174">
        <v>0.43171296296296297</v>
      </c>
      <c r="L1417" s="1098">
        <v>0.04403935185185185</v>
      </c>
      <c r="M1417" s="1099" t="s">
        <v>166</v>
      </c>
      <c r="N1417" s="129" t="s">
        <v>187</v>
      </c>
      <c r="O1417" s="1100" t="s">
        <v>198</v>
      </c>
      <c r="P1417" s="1101" t="s">
        <v>218</v>
      </c>
      <c r="Q1417" s="1120"/>
      <c r="R1417" s="1175">
        <v>10.3</v>
      </c>
      <c r="S1417" s="1101">
        <v>8.1</v>
      </c>
      <c r="T1417" s="1176">
        <v>3.0</v>
      </c>
      <c r="U1417" s="1177">
        <v>2.0</v>
      </c>
      <c r="V1417" s="1177"/>
      <c r="W1417" s="1177"/>
      <c r="X1417" s="1177"/>
      <c r="Y1417" s="1177"/>
      <c r="Z1417" s="1100" t="s">
        <v>343</v>
      </c>
      <c r="AA1417" s="1100"/>
      <c r="AB1417" s="1100" t="s">
        <v>384</v>
      </c>
      <c r="AC1417" s="1102">
        <v>6.0</v>
      </c>
      <c r="AD1417" s="1101"/>
      <c r="AE1417" s="1101"/>
      <c r="AF1417" s="1101"/>
      <c r="AG1417" s="1101"/>
      <c r="AH1417" s="1101"/>
      <c r="AI1417" s="1101"/>
      <c r="AJ1417" s="1102"/>
      <c r="AK1417" s="1103"/>
      <c r="AL1417" s="1101"/>
      <c r="AM1417" s="1101"/>
      <c r="AN1417" s="1101"/>
      <c r="AO1417" s="1101"/>
      <c r="AP1417" s="1101"/>
      <c r="AQ1417" s="1101"/>
      <c r="AR1417" s="1101"/>
      <c r="AS1417" s="1102"/>
      <c r="AT1417" s="1066" t="s">
        <v>182</v>
      </c>
      <c r="AU1417" s="1076" t="s">
        <v>845</v>
      </c>
      <c r="AV1417" s="330">
        <f>SQRT(($R1417-Infrastructure!J$3)^2+($S1417-Infrastructure!K$3)^2)</f>
        <v>23.34523506</v>
      </c>
      <c r="AW1417" s="331">
        <f>SQRT(($R1417-Infrastructure!J$4)^2+($S1417-Infrastructure!K$4)^2)</f>
        <v>14.36836804</v>
      </c>
      <c r="AX1417" s="331">
        <f>SQRT(($R1417-Infrastructure!J$5)^2+($S1417-Infrastructure!K$5)^2)</f>
        <v>11.01635148</v>
      </c>
      <c r="AY1417" s="331">
        <f>SQRT(($R1417-Infrastructure!J$6)^2+($S1417-Infrastructure!K$6)^2)</f>
        <v>7.802563681</v>
      </c>
      <c r="AZ1417" s="331">
        <f>SQRT(($R1417-Infrastructure!J$7)^2+($S1417-Infrastructure!K$7)^2)</f>
        <v>12.84056074</v>
      </c>
      <c r="BA1417" s="331">
        <f>SQRT(($R1417-Infrastructure!J$8)^2+($S1417-Infrastructure!K$8)^2)</f>
        <v>21.28097742</v>
      </c>
      <c r="BB1417" s="331">
        <f>SQRT(($R1417-Infrastructure!J$9)^2+($S1417-Infrastructure!K$9)^2)</f>
        <v>29.85113063</v>
      </c>
      <c r="BC1417" s="331">
        <f>SQRT(($R1417-Infrastructure!J$10)^2+($S1417-Infrastructure!K$10)^2)</f>
        <v>30.49098227</v>
      </c>
      <c r="BD1417" s="331">
        <f>SQRT(($R1417-Infrastructure!J$11)^2+($S1417-Infrastructure!K$11)^2)</f>
        <v>36.4804057</v>
      </c>
      <c r="BE1417" s="333">
        <f>SQRT(($R1417-Infrastructure!J$12)^2+($S1417-Infrastructure!K$12)^2)</f>
        <v>48.70523586</v>
      </c>
      <c r="BF1417" s="330">
        <f t="shared" si="161"/>
        <v>7.802563681</v>
      </c>
      <c r="BG1417" s="333">
        <f t="shared" si="162"/>
        <v>48.70523586</v>
      </c>
      <c r="BH1417" s="1105"/>
      <c r="BI1417" s="393"/>
      <c r="BJ1417" s="393"/>
      <c r="BK1417" s="393" t="s">
        <v>846</v>
      </c>
      <c r="BL1417" s="393" t="s">
        <v>846</v>
      </c>
      <c r="BM1417" s="959"/>
      <c r="BN1417" s="393"/>
      <c r="BO1417" s="393"/>
      <c r="BP1417" s="960"/>
      <c r="BQ1417" s="393"/>
      <c r="BR1417" s="394" t="s">
        <v>846</v>
      </c>
      <c r="BS1417" s="330">
        <f t="shared" si="169"/>
        <v>7.802563681</v>
      </c>
      <c r="BT1417" s="331">
        <f t="shared" si="170"/>
        <v>48.70523586</v>
      </c>
      <c r="BU1417" s="920">
        <v>0.42765046296296294</v>
      </c>
      <c r="BV1417" s="903">
        <f t="shared" si="171"/>
        <v>0.04038194444</v>
      </c>
      <c r="BW1417" s="925"/>
      <c r="BX1417" s="926"/>
      <c r="BY1417" s="331" t="b">
        <f t="shared" si="166"/>
        <v>0</v>
      </c>
      <c r="BZ1417" s="412"/>
      <c r="CA1417" s="390"/>
      <c r="CB1417" s="392"/>
      <c r="CC1417" s="392"/>
      <c r="CD1417" s="392"/>
      <c r="CE1417" s="392"/>
      <c r="CF1417" s="392"/>
      <c r="CG1417" s="392"/>
      <c r="CH1417" s="392"/>
      <c r="CI1417" s="392"/>
      <c r="CJ1417" s="898"/>
      <c r="CK1417" s="414"/>
      <c r="CL1417" s="408"/>
      <c r="CM1417" s="1077"/>
      <c r="CN1417" s="1005"/>
      <c r="CO1417" s="1005"/>
      <c r="CP1417" s="1005"/>
    </row>
    <row r="1418">
      <c r="B1418" s="1106" t="s">
        <v>1537</v>
      </c>
      <c r="C1418" s="1107">
        <v>44733.0</v>
      </c>
      <c r="D1418" s="1113" t="s">
        <v>986</v>
      </c>
      <c r="E1418" s="1108">
        <v>2.0</v>
      </c>
      <c r="F1418" s="110" t="s">
        <v>2110</v>
      </c>
      <c r="G1418" s="1109">
        <v>0.4408564814814815</v>
      </c>
      <c r="H1418" s="1110">
        <v>0.44131944444444443</v>
      </c>
      <c r="I1418" s="1110"/>
      <c r="J1418" s="1111"/>
      <c r="K1418" s="1111">
        <v>0.47638888888888886</v>
      </c>
      <c r="L1418" s="1112">
        <v>0.035069444444444445</v>
      </c>
      <c r="M1418" s="1113" t="s">
        <v>166</v>
      </c>
      <c r="N1418" s="110" t="s">
        <v>187</v>
      </c>
      <c r="O1418" s="1114" t="s">
        <v>197</v>
      </c>
      <c r="P1418" s="1156" t="s">
        <v>272</v>
      </c>
      <c r="Q1418" s="1116"/>
      <c r="R1418" s="1154">
        <v>37.1</v>
      </c>
      <c r="S1418" s="1115">
        <v>6.9</v>
      </c>
      <c r="T1418" s="1155">
        <v>6.5</v>
      </c>
      <c r="U1418" s="1178">
        <v>1.0</v>
      </c>
      <c r="V1418" s="1178"/>
      <c r="W1418" s="1178"/>
      <c r="X1418" s="1178"/>
      <c r="Y1418" s="1178"/>
      <c r="Z1418" s="1114" t="s">
        <v>379</v>
      </c>
      <c r="AA1418" s="1114"/>
      <c r="AB1418" s="1114" t="s">
        <v>380</v>
      </c>
      <c r="AC1418" s="1117">
        <v>4.0</v>
      </c>
      <c r="AD1418" s="1115"/>
      <c r="AE1418" s="1115"/>
      <c r="AF1418" s="1115"/>
      <c r="AG1418" s="1115"/>
      <c r="AH1418" s="1115"/>
      <c r="AI1418" s="1115"/>
      <c r="AJ1418" s="1117"/>
      <c r="AK1418" s="1118"/>
      <c r="AL1418" s="1115"/>
      <c r="AM1418" s="1115"/>
      <c r="AN1418" s="1115"/>
      <c r="AO1418" s="1115"/>
      <c r="AP1418" s="1115"/>
      <c r="AQ1418" s="1115"/>
      <c r="AR1418" s="1115"/>
      <c r="AS1418" s="1117"/>
      <c r="AT1418" s="1075" t="s">
        <v>182</v>
      </c>
      <c r="AU1418" s="1078" t="s">
        <v>845</v>
      </c>
      <c r="AV1418" s="330">
        <f>SQRT(($R1418-Infrastructure!J$3)^2+($S1418-Infrastructure!K$3)^2)</f>
        <v>43.39078243</v>
      </c>
      <c r="AW1418" s="331">
        <f>SQRT(($R1418-Infrastructure!J$4)^2+($S1418-Infrastructure!K$4)^2)</f>
        <v>38.95600082</v>
      </c>
      <c r="AX1418" s="331">
        <f>SQRT(($R1418-Infrastructure!J$5)^2+($S1418-Infrastructure!K$5)^2)</f>
        <v>37.44329045</v>
      </c>
      <c r="AY1418" s="331">
        <f>SQRT(($R1418-Infrastructure!J$6)^2+($S1418-Infrastructure!K$6)^2)</f>
        <v>27.79496357</v>
      </c>
      <c r="AZ1418" s="331">
        <f>SQRT(($R1418-Infrastructure!J$7)^2+($S1418-Infrastructure!K$7)^2)</f>
        <v>17.86393014</v>
      </c>
      <c r="BA1418" s="331">
        <f>SQRT(($R1418-Infrastructure!J$8)^2+($S1418-Infrastructure!K$8)^2)</f>
        <v>9.620810777</v>
      </c>
      <c r="BB1418" s="331">
        <f>SQRT(($R1418-Infrastructure!J$9)^2+($S1418-Infrastructure!K$9)^2)</f>
        <v>3.413209633</v>
      </c>
      <c r="BC1418" s="331">
        <f>SQRT(($R1418-Infrastructure!J$10)^2+($S1418-Infrastructure!K$10)^2)</f>
        <v>8.603487665</v>
      </c>
      <c r="BD1418" s="331">
        <f>SQRT(($R1418-Infrastructure!J$11)^2+($S1418-Infrastructure!K$11)^2)</f>
        <v>22.31636171</v>
      </c>
      <c r="BE1418" s="333">
        <f>SQRT(($R1418-Infrastructure!J$12)^2+($S1418-Infrastructure!K$12)^2)</f>
        <v>51.04233537</v>
      </c>
      <c r="BF1418" s="330">
        <f t="shared" si="161"/>
        <v>3.413209633</v>
      </c>
      <c r="BG1418" s="333">
        <f t="shared" si="162"/>
        <v>51.04233537</v>
      </c>
      <c r="BH1418" s="1119"/>
      <c r="BI1418" s="319"/>
      <c r="BJ1418" s="319"/>
      <c r="BK1418" s="319"/>
      <c r="BL1418" s="319"/>
      <c r="BM1418" s="955"/>
      <c r="BN1418" s="319"/>
      <c r="BO1418" s="319"/>
      <c r="BP1418" s="953"/>
      <c r="BQ1418" s="319"/>
      <c r="BR1418" s="324"/>
      <c r="BS1418" s="330">
        <f t="shared" si="169"/>
        <v>0</v>
      </c>
      <c r="BT1418" s="331">
        <f t="shared" si="170"/>
        <v>0</v>
      </c>
      <c r="BU1418" s="920"/>
      <c r="BV1418" s="903">
        <f t="shared" si="171"/>
        <v>-0.4408564815</v>
      </c>
      <c r="BW1418" s="907"/>
      <c r="BX1418" s="908"/>
      <c r="BY1418" s="331" t="b">
        <f t="shared" si="166"/>
        <v>0</v>
      </c>
      <c r="BZ1418" s="340"/>
      <c r="CA1418" s="316"/>
      <c r="CB1418" s="318"/>
      <c r="CC1418" s="318"/>
      <c r="CD1418" s="318"/>
      <c r="CE1418" s="318"/>
      <c r="CF1418" s="318"/>
      <c r="CG1418" s="318"/>
      <c r="CH1418" s="318"/>
      <c r="CI1418" s="318"/>
      <c r="CJ1418" s="463"/>
      <c r="CK1418" s="342"/>
      <c r="CL1418" s="333"/>
      <c r="CM1418" s="1079"/>
      <c r="CN1418" s="1005"/>
      <c r="CO1418" s="1005"/>
      <c r="CP1418" s="1005"/>
    </row>
    <row r="1419">
      <c r="B1419" s="1106" t="s">
        <v>1537</v>
      </c>
      <c r="C1419" s="1107">
        <v>44733.0</v>
      </c>
      <c r="D1419" s="1113" t="s">
        <v>986</v>
      </c>
      <c r="E1419" s="1108">
        <v>3.0</v>
      </c>
      <c r="F1419" s="110" t="s">
        <v>2111</v>
      </c>
      <c r="G1419" s="1109">
        <v>0.4769097222222222</v>
      </c>
      <c r="H1419" s="1110">
        <v>0.47725694444444444</v>
      </c>
      <c r="I1419" s="1110"/>
      <c r="J1419" s="1111"/>
      <c r="K1419" s="1111">
        <v>0.5229166666666667</v>
      </c>
      <c r="L1419" s="1112">
        <v>0.04565972222222222</v>
      </c>
      <c r="M1419" s="1113" t="s">
        <v>166</v>
      </c>
      <c r="N1419" s="110" t="s">
        <v>187</v>
      </c>
      <c r="O1419" s="1114" t="s">
        <v>204</v>
      </c>
      <c r="P1419" s="1156" t="s">
        <v>262</v>
      </c>
      <c r="Q1419" s="1116"/>
      <c r="R1419" s="1154">
        <v>17.9</v>
      </c>
      <c r="S1419" s="1115">
        <v>3.6</v>
      </c>
      <c r="T1419" s="1155">
        <v>2.6</v>
      </c>
      <c r="U1419" s="1178">
        <v>0.1</v>
      </c>
      <c r="V1419" s="1178"/>
      <c r="W1419" s="1178"/>
      <c r="X1419" s="1178"/>
      <c r="Y1419" s="1178"/>
      <c r="Z1419" s="1114" t="s">
        <v>335</v>
      </c>
      <c r="AA1419" s="1114"/>
      <c r="AB1419" s="1114" t="s">
        <v>371</v>
      </c>
      <c r="AC1419" s="1117">
        <v>1.8</v>
      </c>
      <c r="AD1419" s="1115"/>
      <c r="AE1419" s="1115"/>
      <c r="AF1419" s="1115"/>
      <c r="AG1419" s="1115"/>
      <c r="AH1419" s="1115"/>
      <c r="AI1419" s="1115"/>
      <c r="AJ1419" s="1117"/>
      <c r="AK1419" s="1118"/>
      <c r="AL1419" s="1115"/>
      <c r="AM1419" s="1115"/>
      <c r="AN1419" s="1115"/>
      <c r="AO1419" s="1115"/>
      <c r="AP1419" s="1115"/>
      <c r="AQ1419" s="1115"/>
      <c r="AR1419" s="1115"/>
      <c r="AS1419" s="1117"/>
      <c r="AT1419" s="1075" t="s">
        <v>181</v>
      </c>
      <c r="AU1419" s="1078" t="s">
        <v>845</v>
      </c>
      <c r="AV1419" s="330">
        <f>SQRT(($R1419-Infrastructure!J$3)^2+($S1419-Infrastructure!K$3)^2)</f>
        <v>31.16616755</v>
      </c>
      <c r="AW1419" s="331">
        <f>SQRT(($R1419-Infrastructure!J$4)^2+($S1419-Infrastructure!K$4)^2)</f>
        <v>23.08419373</v>
      </c>
      <c r="AX1419" s="331">
        <f>SQRT(($R1419-Infrastructure!J$5)^2+($S1419-Infrastructure!K$5)^2)</f>
        <v>18.26170857</v>
      </c>
      <c r="AY1419" s="331">
        <f>SQRT(($R1419-Infrastructure!J$6)^2+($S1419-Infrastructure!K$6)^2)</f>
        <v>8.469356528</v>
      </c>
      <c r="AZ1419" s="331">
        <f>SQRT(($R1419-Infrastructure!J$7)^2+($S1419-Infrastructure!K$7)^2)</f>
        <v>4.201190308</v>
      </c>
      <c r="BA1419" s="331">
        <f>SQRT(($R1419-Infrastructure!J$8)^2+($S1419-Infrastructure!K$8)^2)</f>
        <v>12.63843345</v>
      </c>
      <c r="BB1419" s="331">
        <f>SQRT(($R1419-Infrastructure!J$9)^2+($S1419-Infrastructure!K$9)^2)</f>
        <v>22.15084648</v>
      </c>
      <c r="BC1419" s="331">
        <f>SQRT(($R1419-Infrastructure!J$10)^2+($S1419-Infrastructure!K$10)^2)</f>
        <v>24.86704647</v>
      </c>
      <c r="BD1419" s="331">
        <f>SQRT(($R1419-Infrastructure!J$11)^2+($S1419-Infrastructure!K$11)^2)</f>
        <v>33.80014793</v>
      </c>
      <c r="BE1419" s="333">
        <f>SQRT(($R1419-Infrastructure!J$12)^2+($S1419-Infrastructure!K$12)^2)</f>
        <v>52.02470567</v>
      </c>
      <c r="BF1419" s="330">
        <f t="shared" si="161"/>
        <v>4.201190308</v>
      </c>
      <c r="BG1419" s="333">
        <f t="shared" si="162"/>
        <v>52.02470567</v>
      </c>
      <c r="BH1419" s="1119"/>
      <c r="BI1419" s="319"/>
      <c r="BJ1419" s="319"/>
      <c r="BK1419" s="319"/>
      <c r="BL1419" s="319"/>
      <c r="BM1419" s="955"/>
      <c r="BN1419" s="319"/>
      <c r="BO1419" s="319"/>
      <c r="BP1419" s="953"/>
      <c r="BQ1419" s="319"/>
      <c r="BR1419" s="324"/>
      <c r="BS1419" s="330">
        <f t="shared" si="169"/>
        <v>0</v>
      </c>
      <c r="BT1419" s="331">
        <f t="shared" si="170"/>
        <v>0</v>
      </c>
      <c r="BU1419" s="920"/>
      <c r="BV1419" s="903">
        <f t="shared" si="171"/>
        <v>-0.4769097222</v>
      </c>
      <c r="BW1419" s="907"/>
      <c r="BX1419" s="908"/>
      <c r="BY1419" s="331" t="b">
        <f t="shared" si="166"/>
        <v>0</v>
      </c>
      <c r="BZ1419" s="340"/>
      <c r="CA1419" s="316"/>
      <c r="CB1419" s="318"/>
      <c r="CC1419" s="318"/>
      <c r="CD1419" s="318"/>
      <c r="CE1419" s="318"/>
      <c r="CF1419" s="318"/>
      <c r="CG1419" s="318"/>
      <c r="CH1419" s="318"/>
      <c r="CI1419" s="318"/>
      <c r="CJ1419" s="463"/>
      <c r="CK1419" s="342"/>
      <c r="CL1419" s="333"/>
      <c r="CM1419" s="1079"/>
      <c r="CN1419" s="1005"/>
      <c r="CO1419" s="1005"/>
      <c r="CP1419" s="1005"/>
    </row>
    <row r="1420">
      <c r="B1420" s="1106" t="s">
        <v>1537</v>
      </c>
      <c r="C1420" s="1107">
        <v>44733.0</v>
      </c>
      <c r="D1420" s="1113" t="s">
        <v>986</v>
      </c>
      <c r="E1420" s="1108" t="s">
        <v>1550</v>
      </c>
      <c r="F1420" s="110" t="s">
        <v>2112</v>
      </c>
      <c r="G1420" s="1109">
        <v>0.5955439814814815</v>
      </c>
      <c r="H1420" s="1110">
        <v>0.5975694444444445</v>
      </c>
      <c r="I1420" s="1110"/>
      <c r="J1420" s="1111"/>
      <c r="K1420" s="1111">
        <v>0.6352430555555556</v>
      </c>
      <c r="L1420" s="1112">
        <v>0.03767361111111111</v>
      </c>
      <c r="M1420" s="1113" t="s">
        <v>166</v>
      </c>
      <c r="N1420" s="110" t="s">
        <v>187</v>
      </c>
      <c r="O1420" s="1114" t="s">
        <v>207</v>
      </c>
      <c r="P1420" s="1156" t="s">
        <v>221</v>
      </c>
      <c r="Q1420" s="1116"/>
      <c r="R1420" s="1154">
        <v>26.1</v>
      </c>
      <c r="S1420" s="1115">
        <v>14.3</v>
      </c>
      <c r="T1420" s="1155">
        <v>1.5</v>
      </c>
      <c r="U1420" s="1178">
        <v>0.2</v>
      </c>
      <c r="V1420" s="1178"/>
      <c r="W1420" s="1178"/>
      <c r="X1420" s="1178"/>
      <c r="Y1420" s="1178"/>
      <c r="Z1420" s="1114" t="s">
        <v>374</v>
      </c>
      <c r="AA1420" s="1114"/>
      <c r="AB1420" s="1114" t="s">
        <v>375</v>
      </c>
      <c r="AC1420" s="1117">
        <v>2.7</v>
      </c>
      <c r="AD1420" s="1115"/>
      <c r="AE1420" s="1115"/>
      <c r="AF1420" s="1115"/>
      <c r="AG1420" s="1115"/>
      <c r="AH1420" s="1115"/>
      <c r="AI1420" s="1115"/>
      <c r="AJ1420" s="1117"/>
      <c r="AK1420" s="1118"/>
      <c r="AL1420" s="1115"/>
      <c r="AM1420" s="1115"/>
      <c r="AN1420" s="1115"/>
      <c r="AO1420" s="1115"/>
      <c r="AP1420" s="1115"/>
      <c r="AQ1420" s="1115"/>
      <c r="AR1420" s="1115"/>
      <c r="AS1420" s="1117"/>
      <c r="AT1420" s="1075" t="s">
        <v>181</v>
      </c>
      <c r="AU1420" s="947" t="s">
        <v>846</v>
      </c>
      <c r="AV1420" s="330">
        <f>SQRT(($R1420-Infrastructure!J$3)^2+($S1420-Infrastructure!K$3)^2)</f>
        <v>30.16819517</v>
      </c>
      <c r="AW1420" s="331">
        <f>SQRT(($R1420-Infrastructure!J$4)^2+($S1420-Infrastructure!K$4)^2)</f>
        <v>26.63099698</v>
      </c>
      <c r="AX1420" s="331">
        <f>SQRT(($R1420-Infrastructure!J$5)^2+($S1420-Infrastructure!K$5)^2)</f>
        <v>27.95711001</v>
      </c>
      <c r="AY1420" s="331">
        <f>SQRT(($R1420-Infrastructure!J$6)^2+($S1420-Infrastructure!K$6)^2)</f>
        <v>21.26029163</v>
      </c>
      <c r="AZ1420" s="331">
        <f>SQRT(($R1420-Infrastructure!J$7)^2+($S1420-Infrastructure!K$7)^2)</f>
        <v>15.07846146</v>
      </c>
      <c r="BA1420" s="331">
        <f>SQRT(($R1420-Infrastructure!J$8)^2+($S1420-Infrastructure!K$8)^2)</f>
        <v>14.56021978</v>
      </c>
      <c r="BB1420" s="331">
        <f>SQRT(($R1420-Infrastructure!J$9)^2+($S1420-Infrastructure!K$9)^2)</f>
        <v>16.66883319</v>
      </c>
      <c r="BC1420" s="331">
        <f>SQRT(($R1420-Infrastructure!J$10)^2+($S1420-Infrastructure!K$10)^2)</f>
        <v>13.91761474</v>
      </c>
      <c r="BD1420" s="331">
        <f>SQRT(($R1420-Infrastructure!J$11)^2+($S1420-Infrastructure!K$11)^2)</f>
        <v>20.36909424</v>
      </c>
      <c r="BE1420" s="333">
        <f>SQRT(($R1420-Infrastructure!J$12)^2+($S1420-Infrastructure!K$12)^2)</f>
        <v>41.45600077</v>
      </c>
      <c r="BF1420" s="330">
        <f t="shared" si="161"/>
        <v>13.91761474</v>
      </c>
      <c r="BG1420" s="333">
        <f t="shared" si="162"/>
        <v>41.45600077</v>
      </c>
      <c r="BH1420" s="1119"/>
      <c r="BI1420" s="319"/>
      <c r="BJ1420" s="319"/>
      <c r="BK1420" s="319"/>
      <c r="BL1420" s="319"/>
      <c r="BM1420" s="955"/>
      <c r="BN1420" s="319"/>
      <c r="BO1420" s="319"/>
      <c r="BP1420" s="953"/>
      <c r="BQ1420" s="319"/>
      <c r="BR1420" s="324"/>
      <c r="BS1420" s="330">
        <f t="shared" si="169"/>
        <v>0</v>
      </c>
      <c r="BT1420" s="331">
        <f t="shared" si="170"/>
        <v>0</v>
      </c>
      <c r="BU1420" s="920"/>
      <c r="BV1420" s="903">
        <f t="shared" si="171"/>
        <v>-0.5955439815</v>
      </c>
      <c r="BW1420" s="907"/>
      <c r="BX1420" s="908"/>
      <c r="BY1420" s="331" t="b">
        <f t="shared" si="166"/>
        <v>0</v>
      </c>
      <c r="BZ1420" s="340"/>
      <c r="CA1420" s="316"/>
      <c r="CB1420" s="318"/>
      <c r="CC1420" s="318"/>
      <c r="CD1420" s="318"/>
      <c r="CE1420" s="318"/>
      <c r="CF1420" s="318"/>
      <c r="CG1420" s="318"/>
      <c r="CH1420" s="318"/>
      <c r="CI1420" s="318"/>
      <c r="CJ1420" s="463"/>
      <c r="CK1420" s="342"/>
      <c r="CL1420" s="333"/>
      <c r="CM1420" s="1079"/>
      <c r="CN1420" s="1005"/>
      <c r="CO1420" s="1005"/>
      <c r="CP1420" s="1005"/>
    </row>
    <row r="1421">
      <c r="B1421" s="1106" t="s">
        <v>1537</v>
      </c>
      <c r="C1421" s="1107">
        <v>44733.0</v>
      </c>
      <c r="D1421" s="1113" t="s">
        <v>986</v>
      </c>
      <c r="E1421" s="1108" t="s">
        <v>1552</v>
      </c>
      <c r="F1421" s="110" t="s">
        <v>2113</v>
      </c>
      <c r="G1421" s="1109">
        <v>0.5957754629629629</v>
      </c>
      <c r="H1421" s="1110">
        <v>0.5963541666666666</v>
      </c>
      <c r="I1421" s="1110"/>
      <c r="J1421" s="1111"/>
      <c r="K1421" s="1111">
        <v>0.6352430555555556</v>
      </c>
      <c r="L1421" s="1112">
        <v>0.03888888888888889</v>
      </c>
      <c r="M1421" s="1113" t="s">
        <v>166</v>
      </c>
      <c r="N1421" s="110" t="s">
        <v>187</v>
      </c>
      <c r="O1421" s="1114" t="s">
        <v>201</v>
      </c>
      <c r="P1421" s="1156" t="s">
        <v>212</v>
      </c>
      <c r="Q1421" s="1116"/>
      <c r="R1421" s="1154">
        <v>6.5</v>
      </c>
      <c r="S1421" s="1115">
        <v>4.0</v>
      </c>
      <c r="T1421" s="1155">
        <v>0.6</v>
      </c>
      <c r="U1421" s="1178">
        <v>0.1</v>
      </c>
      <c r="V1421" s="1178"/>
      <c r="W1421" s="1178"/>
      <c r="X1421" s="1178"/>
      <c r="Y1421" s="1178"/>
      <c r="Z1421" s="1114" t="s">
        <v>335</v>
      </c>
      <c r="AA1421" s="1114"/>
      <c r="AB1421" s="1114" t="s">
        <v>322</v>
      </c>
      <c r="AC1421" s="1117">
        <v>0.5</v>
      </c>
      <c r="AD1421" s="1115"/>
      <c r="AE1421" s="1115"/>
      <c r="AF1421" s="1115"/>
      <c r="AG1421" s="1115"/>
      <c r="AH1421" s="1115"/>
      <c r="AI1421" s="1115"/>
      <c r="AJ1421" s="1117"/>
      <c r="AK1421" s="1118"/>
      <c r="AL1421" s="1115"/>
      <c r="AM1421" s="1115"/>
      <c r="AN1421" s="1115"/>
      <c r="AO1421" s="1115"/>
      <c r="AP1421" s="1115"/>
      <c r="AQ1421" s="1115"/>
      <c r="AR1421" s="1115"/>
      <c r="AS1421" s="1117"/>
      <c r="AT1421" s="1075" t="s">
        <v>181</v>
      </c>
      <c r="AU1421" s="947" t="s">
        <v>846</v>
      </c>
      <c r="AV1421" s="330">
        <f>SQRT(($R1421-Infrastructure!J$3)^2+($S1421-Infrastructure!K$3)^2)</f>
        <v>25.811819</v>
      </c>
      <c r="AW1421" s="331">
        <f>SQRT(($R1421-Infrastructure!J$4)^2+($S1421-Infrastructure!K$4)^2)</f>
        <v>15.38440769</v>
      </c>
      <c r="AX1421" s="331">
        <f>SQRT(($R1421-Infrastructure!J$5)^2+($S1421-Infrastructure!K$5)^2)</f>
        <v>6.88839604</v>
      </c>
      <c r="AY1421" s="331">
        <f>SQRT(($R1421-Infrastructure!J$6)^2+($S1421-Infrastructure!K$6)^2)</f>
        <v>5.1623638</v>
      </c>
      <c r="AZ1421" s="331">
        <f>SQRT(($R1421-Infrastructure!J$7)^2+($S1421-Infrastructure!K$7)^2)</f>
        <v>14.48067678</v>
      </c>
      <c r="BA1421" s="331">
        <f>SQRT(($R1421-Infrastructure!J$8)^2+($S1421-Infrastructure!K$8)^2)</f>
        <v>23.88828165</v>
      </c>
      <c r="BB1421" s="331">
        <f>SQRT(($R1421-Infrastructure!J$9)^2+($S1421-Infrastructure!K$9)^2)</f>
        <v>33.51805484</v>
      </c>
      <c r="BC1421" s="331">
        <f>SQRT(($R1421-Infrastructure!J$10)^2+($S1421-Infrastructure!K$10)^2)</f>
        <v>35.25975042</v>
      </c>
      <c r="BD1421" s="331">
        <f>SQRT(($R1421-Infrastructure!J$11)^2+($S1421-Infrastructure!K$11)^2)</f>
        <v>41.96057674</v>
      </c>
      <c r="BE1421" s="333">
        <f>SQRT(($R1421-Infrastructure!J$12)^2+($S1421-Infrastructure!K$12)^2)</f>
        <v>53.64000373</v>
      </c>
      <c r="BF1421" s="330">
        <f t="shared" si="161"/>
        <v>5.1623638</v>
      </c>
      <c r="BG1421" s="333">
        <f t="shared" si="162"/>
        <v>53.64000373</v>
      </c>
      <c r="BH1421" s="1119"/>
      <c r="BI1421" s="319"/>
      <c r="BJ1421" s="319"/>
      <c r="BK1421" s="319"/>
      <c r="BL1421" s="319"/>
      <c r="BM1421" s="955"/>
      <c r="BN1421" s="319"/>
      <c r="BO1421" s="319"/>
      <c r="BP1421" s="953"/>
      <c r="BQ1421" s="319"/>
      <c r="BR1421" s="324"/>
      <c r="BS1421" s="330">
        <f t="shared" si="169"/>
        <v>0</v>
      </c>
      <c r="BT1421" s="331">
        <f t="shared" si="170"/>
        <v>0</v>
      </c>
      <c r="BU1421" s="920"/>
      <c r="BV1421" s="903">
        <f t="shared" si="171"/>
        <v>-0.595775463</v>
      </c>
      <c r="BW1421" s="907"/>
      <c r="BX1421" s="908"/>
      <c r="BY1421" s="331" t="b">
        <f t="shared" si="166"/>
        <v>0</v>
      </c>
      <c r="BZ1421" s="340"/>
      <c r="CA1421" s="316"/>
      <c r="CB1421" s="318"/>
      <c r="CC1421" s="318"/>
      <c r="CD1421" s="318"/>
      <c r="CE1421" s="318"/>
      <c r="CF1421" s="318"/>
      <c r="CG1421" s="318"/>
      <c r="CH1421" s="318"/>
      <c r="CI1421" s="318"/>
      <c r="CJ1421" s="463"/>
      <c r="CK1421" s="342"/>
      <c r="CL1421" s="333"/>
      <c r="CM1421" s="1079"/>
      <c r="CN1421" s="1005"/>
      <c r="CO1421" s="1005"/>
      <c r="CP1421" s="1005"/>
    </row>
    <row r="1422">
      <c r="B1422" s="1106" t="s">
        <v>1537</v>
      </c>
      <c r="C1422" s="1107">
        <v>44733.0</v>
      </c>
      <c r="D1422" s="1113" t="s">
        <v>986</v>
      </c>
      <c r="E1422" s="1108">
        <v>5.0</v>
      </c>
      <c r="F1422" s="110" t="s">
        <v>2114</v>
      </c>
      <c r="G1422" s="1109">
        <v>0.6579861111111112</v>
      </c>
      <c r="H1422" s="1110">
        <v>0.6583912037037037</v>
      </c>
      <c r="I1422" s="1110"/>
      <c r="J1422" s="1111"/>
      <c r="K1422" s="1111">
        <v>0.6918981481481481</v>
      </c>
      <c r="L1422" s="1112">
        <v>0.03350694444444444</v>
      </c>
      <c r="M1422" s="1113" t="s">
        <v>166</v>
      </c>
      <c r="N1422" s="110" t="s">
        <v>187</v>
      </c>
      <c r="O1422" s="1114" t="s">
        <v>202</v>
      </c>
      <c r="P1422" s="1156" t="s">
        <v>256</v>
      </c>
      <c r="Q1422" s="1116"/>
      <c r="R1422" s="1154">
        <v>24.4</v>
      </c>
      <c r="S1422" s="1115">
        <v>7.5</v>
      </c>
      <c r="T1422" s="1155">
        <v>0.6</v>
      </c>
      <c r="U1422" s="1178">
        <v>0.2</v>
      </c>
      <c r="V1422" s="1178"/>
      <c r="W1422" s="1178"/>
      <c r="X1422" s="1178"/>
      <c r="Y1422" s="1178"/>
      <c r="Z1422" s="1114" t="s">
        <v>335</v>
      </c>
      <c r="AA1422" s="1114"/>
      <c r="AB1422" s="1114" t="s">
        <v>326</v>
      </c>
      <c r="AC1422" s="1117">
        <v>1.0</v>
      </c>
      <c r="AD1422" s="1115"/>
      <c r="AE1422" s="1115"/>
      <c r="AF1422" s="1115"/>
      <c r="AG1422" s="1115"/>
      <c r="AH1422" s="1115"/>
      <c r="AI1422" s="1115"/>
      <c r="AJ1422" s="1117"/>
      <c r="AK1422" s="1118"/>
      <c r="AL1422" s="1115"/>
      <c r="AM1422" s="1115"/>
      <c r="AN1422" s="1115"/>
      <c r="AO1422" s="1115"/>
      <c r="AP1422" s="1115"/>
      <c r="AQ1422" s="1115"/>
      <c r="AR1422" s="1115"/>
      <c r="AS1422" s="1117"/>
      <c r="AT1422" s="1075" t="s">
        <v>181</v>
      </c>
      <c r="AU1422" s="1078" t="s">
        <v>845</v>
      </c>
      <c r="AV1422" s="330">
        <f>SQRT(($R1422-Infrastructure!J$3)^2+($S1422-Infrastructure!K$3)^2)</f>
        <v>32.68103426</v>
      </c>
      <c r="AW1422" s="331">
        <f>SQRT(($R1422-Infrastructure!J$4)^2+($S1422-Infrastructure!K$4)^2)</f>
        <v>26.76153957</v>
      </c>
      <c r="AX1422" s="331">
        <f>SQRT(($R1422-Infrastructure!J$5)^2+($S1422-Infrastructure!K$5)^2)</f>
        <v>24.81632527</v>
      </c>
      <c r="AY1422" s="331">
        <f>SQRT(($R1422-Infrastructure!J$6)^2+($S1422-Infrastructure!K$6)^2)</f>
        <v>16.01030918</v>
      </c>
      <c r="AZ1422" s="331">
        <f>SQRT(($R1422-Infrastructure!J$7)^2+($S1422-Infrastructure!K$7)^2)</f>
        <v>8.188406438</v>
      </c>
      <c r="BA1422" s="331">
        <f>SQRT(($R1422-Infrastructure!J$8)^2+($S1422-Infrastructure!K$8)^2)</f>
        <v>9.183136719</v>
      </c>
      <c r="BB1422" s="331">
        <f>SQRT(($R1422-Infrastructure!J$9)^2+($S1422-Infrastructure!K$9)^2)</f>
        <v>15.78353573</v>
      </c>
      <c r="BC1422" s="331">
        <f>SQRT(($R1422-Infrastructure!J$10)^2+($S1422-Infrastructure!K$10)^2)</f>
        <v>17.30924608</v>
      </c>
      <c r="BD1422" s="331">
        <f>SQRT(($R1422-Infrastructure!J$11)^2+($S1422-Infrastructure!K$11)^2)</f>
        <v>26.68126684</v>
      </c>
      <c r="BE1422" s="333">
        <f>SQRT(($R1422-Infrastructure!J$12)^2+($S1422-Infrastructure!K$12)^2)</f>
        <v>48.08752437</v>
      </c>
      <c r="BF1422" s="330">
        <f t="shared" si="161"/>
        <v>8.188406438</v>
      </c>
      <c r="BG1422" s="333">
        <f t="shared" si="162"/>
        <v>48.08752437</v>
      </c>
      <c r="BH1422" s="1119"/>
      <c r="BI1422" s="319"/>
      <c r="BJ1422" s="319"/>
      <c r="BK1422" s="319"/>
      <c r="BL1422" s="319"/>
      <c r="BM1422" s="955"/>
      <c r="BN1422" s="319"/>
      <c r="BO1422" s="319"/>
      <c r="BP1422" s="953"/>
      <c r="BQ1422" s="319"/>
      <c r="BR1422" s="324"/>
      <c r="BS1422" s="330">
        <f t="shared" si="169"/>
        <v>0</v>
      </c>
      <c r="BT1422" s="331">
        <f t="shared" si="170"/>
        <v>0</v>
      </c>
      <c r="BU1422" s="920"/>
      <c r="BV1422" s="903">
        <f t="shared" si="171"/>
        <v>-0.6579861111</v>
      </c>
      <c r="BW1422" s="907"/>
      <c r="BX1422" s="908"/>
      <c r="BY1422" s="331" t="b">
        <f t="shared" si="166"/>
        <v>0</v>
      </c>
      <c r="BZ1422" s="340"/>
      <c r="CA1422" s="316"/>
      <c r="CB1422" s="318"/>
      <c r="CC1422" s="318"/>
      <c r="CD1422" s="318"/>
      <c r="CE1422" s="318"/>
      <c r="CF1422" s="318"/>
      <c r="CG1422" s="318"/>
      <c r="CH1422" s="318"/>
      <c r="CI1422" s="318"/>
      <c r="CJ1422" s="463"/>
      <c r="CK1422" s="342"/>
      <c r="CL1422" s="333"/>
      <c r="CM1422" s="1079"/>
      <c r="CN1422" s="1005"/>
      <c r="CO1422" s="1005"/>
      <c r="CP1422" s="1005"/>
    </row>
    <row r="1423">
      <c r="B1423" s="1106" t="s">
        <v>1537</v>
      </c>
      <c r="C1423" s="1107">
        <v>44733.0</v>
      </c>
      <c r="D1423" s="1113" t="s">
        <v>986</v>
      </c>
      <c r="E1423" s="1108">
        <v>6.0</v>
      </c>
      <c r="F1423" s="110" t="s">
        <v>2115</v>
      </c>
      <c r="G1423" s="1109">
        <v>0.6927083333333334</v>
      </c>
      <c r="H1423" s="1110">
        <v>0.69375</v>
      </c>
      <c r="I1423" s="1110"/>
      <c r="J1423" s="1111"/>
      <c r="K1423" s="1111">
        <v>0.7236111111111111</v>
      </c>
      <c r="L1423" s="1112">
        <v>0.029861111111111113</v>
      </c>
      <c r="M1423" s="1113" t="s">
        <v>166</v>
      </c>
      <c r="N1423" s="110" t="s">
        <v>187</v>
      </c>
      <c r="O1423" s="1114" t="s">
        <v>198</v>
      </c>
      <c r="P1423" s="1156" t="s">
        <v>223</v>
      </c>
      <c r="Q1423" s="1116"/>
      <c r="R1423" s="1154">
        <v>10.0</v>
      </c>
      <c r="S1423" s="1115">
        <v>11.7</v>
      </c>
      <c r="T1423" s="1155">
        <v>0.5</v>
      </c>
      <c r="U1423" s="1178">
        <v>0.4</v>
      </c>
      <c r="V1423" s="1178"/>
      <c r="W1423" s="1178"/>
      <c r="X1423" s="1178"/>
      <c r="Y1423" s="1178"/>
      <c r="Z1423" s="1114" t="s">
        <v>343</v>
      </c>
      <c r="AA1423" s="1114"/>
      <c r="AB1423" s="1114" t="s">
        <v>371</v>
      </c>
      <c r="AC1423" s="1117">
        <v>1.8</v>
      </c>
      <c r="AD1423" s="1115"/>
      <c r="AE1423" s="1115"/>
      <c r="AF1423" s="1115"/>
      <c r="AG1423" s="1115"/>
      <c r="AH1423" s="1115"/>
      <c r="AI1423" s="1115"/>
      <c r="AJ1423" s="1117"/>
      <c r="AK1423" s="1118"/>
      <c r="AL1423" s="1115"/>
      <c r="AM1423" s="1115"/>
      <c r="AN1423" s="1115"/>
      <c r="AO1423" s="1115"/>
      <c r="AP1423" s="1115"/>
      <c r="AQ1423" s="1115"/>
      <c r="AR1423" s="1115"/>
      <c r="AS1423" s="1117"/>
      <c r="AT1423" s="1075" t="s">
        <v>181</v>
      </c>
      <c r="AU1423" s="1078" t="s">
        <v>845</v>
      </c>
      <c r="AV1423" s="330">
        <f>SQRT(($R1423-Infrastructure!J$3)^2+($S1423-Infrastructure!K$3)^2)</f>
        <v>20.04819194</v>
      </c>
      <c r="AW1423" s="331">
        <f>SQRT(($R1423-Infrastructure!J$4)^2+($S1423-Infrastructure!K$4)^2)</f>
        <v>11.9707978</v>
      </c>
      <c r="AX1423" s="331">
        <f>SQRT(($R1423-Infrastructure!J$5)^2+($S1423-Infrastructure!K$5)^2)</f>
        <v>12.23315168</v>
      </c>
      <c r="AY1423" s="331">
        <f>SQRT(($R1423-Infrastructure!J$6)^2+($S1423-Infrastructure!K$6)^2)</f>
        <v>11.40043859</v>
      </c>
      <c r="AZ1423" s="331">
        <f>SQRT(($R1423-Infrastructure!J$7)^2+($S1423-Infrastructure!K$7)^2)</f>
        <v>15.49870962</v>
      </c>
      <c r="BA1423" s="331">
        <f>SQRT(($R1423-Infrastructure!J$8)^2+($S1423-Infrastructure!K$8)^2)</f>
        <v>23.10779089</v>
      </c>
      <c r="BB1423" s="331">
        <f>SQRT(($R1423-Infrastructure!J$9)^2+($S1423-Infrastructure!K$9)^2)</f>
        <v>30.71742177</v>
      </c>
      <c r="BC1423" s="331">
        <f>SQRT(($R1423-Infrastructure!J$10)^2+($S1423-Infrastructure!K$10)^2)</f>
        <v>30.18095426</v>
      </c>
      <c r="BD1423" s="331">
        <f>SQRT(($R1423-Infrastructure!J$11)^2+($S1423-Infrastructure!K$11)^2)</f>
        <v>34.80416642</v>
      </c>
      <c r="BE1423" s="333">
        <f>SQRT(($R1423-Infrastructure!J$12)^2+($S1423-Infrastructure!K$12)^2)</f>
        <v>45.28454482</v>
      </c>
      <c r="BF1423" s="330">
        <f t="shared" si="161"/>
        <v>11.40043859</v>
      </c>
      <c r="BG1423" s="333">
        <f t="shared" si="162"/>
        <v>45.28454482</v>
      </c>
      <c r="BH1423" s="1119"/>
      <c r="BI1423" s="319"/>
      <c r="BJ1423" s="319" t="s">
        <v>846</v>
      </c>
      <c r="BK1423" s="319" t="s">
        <v>846</v>
      </c>
      <c r="BL1423" s="319"/>
      <c r="BM1423" s="955"/>
      <c r="BN1423" s="319"/>
      <c r="BO1423" s="319"/>
      <c r="BP1423" s="953"/>
      <c r="BQ1423" s="319"/>
      <c r="BR1423" s="324" t="s">
        <v>846</v>
      </c>
      <c r="BS1423" s="330">
        <f t="shared" si="169"/>
        <v>11.9707978</v>
      </c>
      <c r="BT1423" s="331">
        <f t="shared" si="170"/>
        <v>45.28454482</v>
      </c>
      <c r="BU1423" s="920"/>
      <c r="BV1423" s="903">
        <f t="shared" si="171"/>
        <v>-0.6927083333</v>
      </c>
      <c r="BW1423" s="907"/>
      <c r="BX1423" s="908"/>
      <c r="BY1423" s="331" t="b">
        <f t="shared" si="166"/>
        <v>0</v>
      </c>
      <c r="BZ1423" s="340"/>
      <c r="CA1423" s="316"/>
      <c r="CB1423" s="318"/>
      <c r="CC1423" s="318"/>
      <c r="CD1423" s="318"/>
      <c r="CE1423" s="318"/>
      <c r="CF1423" s="318"/>
      <c r="CG1423" s="318"/>
      <c r="CH1423" s="318"/>
      <c r="CI1423" s="318"/>
      <c r="CJ1423" s="463"/>
      <c r="CK1423" s="342"/>
      <c r="CL1423" s="333"/>
      <c r="CM1423" s="1079"/>
      <c r="CN1423" s="1005"/>
      <c r="CO1423" s="1005"/>
      <c r="CP1423" s="1005"/>
    </row>
    <row r="1424">
      <c r="B1424" s="1106" t="s">
        <v>1537</v>
      </c>
      <c r="C1424" s="1107">
        <v>44734.0</v>
      </c>
      <c r="D1424" s="1113" t="s">
        <v>986</v>
      </c>
      <c r="E1424" s="1108" t="s">
        <v>1481</v>
      </c>
      <c r="F1424" s="110" t="s">
        <v>2116</v>
      </c>
      <c r="G1424" s="1151">
        <v>0.38755787037037037</v>
      </c>
      <c r="H1424" s="1152">
        <v>0.38761574074074073</v>
      </c>
      <c r="I1424" s="1152"/>
      <c r="J1424" s="1153"/>
      <c r="K1424" s="1153">
        <v>0.4111111111111111</v>
      </c>
      <c r="L1424" s="1112">
        <v>0.02349537037037037</v>
      </c>
      <c r="M1424" s="1113" t="s">
        <v>166</v>
      </c>
      <c r="N1424" s="110" t="s">
        <v>187</v>
      </c>
      <c r="O1424" s="1114" t="s">
        <v>197</v>
      </c>
      <c r="P1424" s="1115" t="s">
        <v>272</v>
      </c>
      <c r="Q1424" s="1116"/>
      <c r="R1424" s="1154">
        <v>37.1</v>
      </c>
      <c r="S1424" s="1115">
        <v>6.9</v>
      </c>
      <c r="T1424" s="1155">
        <v>6.5</v>
      </c>
      <c r="U1424" s="1178">
        <v>0.5</v>
      </c>
      <c r="V1424" s="1178"/>
      <c r="W1424" s="1178"/>
      <c r="X1424" s="1178"/>
      <c r="Y1424" s="1178"/>
      <c r="Z1424" s="1114" t="s">
        <v>379</v>
      </c>
      <c r="AA1424" s="1114"/>
      <c r="AB1424" s="1114" t="s">
        <v>375</v>
      </c>
      <c r="AC1424" s="1117">
        <v>2.7</v>
      </c>
      <c r="AD1424" s="1115"/>
      <c r="AE1424" s="1115"/>
      <c r="AF1424" s="1115"/>
      <c r="AG1424" s="1115"/>
      <c r="AH1424" s="1115"/>
      <c r="AI1424" s="1115"/>
      <c r="AJ1424" s="1117"/>
      <c r="AK1424" s="1118"/>
      <c r="AL1424" s="1115"/>
      <c r="AM1424" s="1115"/>
      <c r="AN1424" s="1115"/>
      <c r="AO1424" s="1115"/>
      <c r="AP1424" s="1115"/>
      <c r="AQ1424" s="1115"/>
      <c r="AR1424" s="1115"/>
      <c r="AS1424" s="1117"/>
      <c r="AT1424" s="1075" t="s">
        <v>181</v>
      </c>
      <c r="AU1424" s="1078" t="s">
        <v>845</v>
      </c>
      <c r="AV1424" s="330">
        <f>SQRT(($R1424-Infrastructure!J$3)^2+($S1424-Infrastructure!K$3)^2)</f>
        <v>43.39078243</v>
      </c>
      <c r="AW1424" s="331">
        <f>SQRT(($R1424-Infrastructure!J$4)^2+($S1424-Infrastructure!K$4)^2)</f>
        <v>38.95600082</v>
      </c>
      <c r="AX1424" s="331">
        <f>SQRT(($R1424-Infrastructure!J$5)^2+($S1424-Infrastructure!K$5)^2)</f>
        <v>37.44329045</v>
      </c>
      <c r="AY1424" s="331">
        <f>SQRT(($R1424-Infrastructure!J$6)^2+($S1424-Infrastructure!K$6)^2)</f>
        <v>27.79496357</v>
      </c>
      <c r="AZ1424" s="331">
        <f>SQRT(($R1424-Infrastructure!J$7)^2+($S1424-Infrastructure!K$7)^2)</f>
        <v>17.86393014</v>
      </c>
      <c r="BA1424" s="331">
        <f>SQRT(($R1424-Infrastructure!J$8)^2+($S1424-Infrastructure!K$8)^2)</f>
        <v>9.620810777</v>
      </c>
      <c r="BB1424" s="331">
        <f>SQRT(($R1424-Infrastructure!J$9)^2+($S1424-Infrastructure!K$9)^2)</f>
        <v>3.413209633</v>
      </c>
      <c r="BC1424" s="331">
        <f>SQRT(($R1424-Infrastructure!J$10)^2+($S1424-Infrastructure!K$10)^2)</f>
        <v>8.603487665</v>
      </c>
      <c r="BD1424" s="331">
        <f>SQRT(($R1424-Infrastructure!J$11)^2+($S1424-Infrastructure!K$11)^2)</f>
        <v>22.31636171</v>
      </c>
      <c r="BE1424" s="333">
        <f>SQRT(($R1424-Infrastructure!J$12)^2+($S1424-Infrastructure!K$12)^2)</f>
        <v>51.04233537</v>
      </c>
      <c r="BF1424" s="330">
        <f t="shared" si="161"/>
        <v>3.413209633</v>
      </c>
      <c r="BG1424" s="333">
        <f t="shared" si="162"/>
        <v>51.04233537</v>
      </c>
      <c r="BH1424" s="1119"/>
      <c r="BI1424" s="319"/>
      <c r="BJ1424" s="319"/>
      <c r="BK1424" s="319"/>
      <c r="BL1424" s="319"/>
      <c r="BM1424" s="955"/>
      <c r="BN1424" s="319"/>
      <c r="BO1424" s="319"/>
      <c r="BP1424" s="953"/>
      <c r="BQ1424" s="319"/>
      <c r="BR1424" s="324"/>
      <c r="BS1424" s="330">
        <f t="shared" si="169"/>
        <v>0</v>
      </c>
      <c r="BT1424" s="331">
        <f t="shared" si="170"/>
        <v>0</v>
      </c>
      <c r="BU1424" s="920"/>
      <c r="BV1424" s="903">
        <f t="shared" si="171"/>
        <v>-0.3875578704</v>
      </c>
      <c r="BW1424" s="907"/>
      <c r="BX1424" s="908"/>
      <c r="BY1424" s="331" t="b">
        <f t="shared" si="166"/>
        <v>0</v>
      </c>
      <c r="BZ1424" s="340"/>
      <c r="CA1424" s="316"/>
      <c r="CB1424" s="318"/>
      <c r="CC1424" s="318"/>
      <c r="CD1424" s="318"/>
      <c r="CE1424" s="318"/>
      <c r="CF1424" s="318"/>
      <c r="CG1424" s="318"/>
      <c r="CH1424" s="318"/>
      <c r="CI1424" s="318"/>
      <c r="CJ1424" s="463"/>
      <c r="CK1424" s="342"/>
      <c r="CL1424" s="333"/>
      <c r="CM1424" s="1079"/>
      <c r="CN1424" s="1005"/>
      <c r="CO1424" s="1005"/>
      <c r="CP1424" s="1005"/>
    </row>
    <row r="1425">
      <c r="B1425" s="1106" t="s">
        <v>1537</v>
      </c>
      <c r="C1425" s="1107">
        <v>44734.0</v>
      </c>
      <c r="D1425" s="1113" t="s">
        <v>986</v>
      </c>
      <c r="E1425" s="1108" t="s">
        <v>1483</v>
      </c>
      <c r="F1425" s="110" t="s">
        <v>2117</v>
      </c>
      <c r="G1425" s="1151">
        <v>0.4111111111111111</v>
      </c>
      <c r="H1425" s="1152">
        <v>0.4114583333333333</v>
      </c>
      <c r="I1425" s="1152"/>
      <c r="J1425" s="1153"/>
      <c r="K1425" s="1153">
        <v>0.42743055555555554</v>
      </c>
      <c r="L1425" s="1112">
        <v>0.01597222222222222</v>
      </c>
      <c r="M1425" s="1113" t="s">
        <v>166</v>
      </c>
      <c r="N1425" s="110" t="s">
        <v>187</v>
      </c>
      <c r="O1425" s="1114" t="s">
        <v>197</v>
      </c>
      <c r="P1425" s="1115" t="s">
        <v>272</v>
      </c>
      <c r="Q1425" s="1116"/>
      <c r="R1425" s="1154">
        <v>37.1</v>
      </c>
      <c r="S1425" s="1115">
        <v>6.9</v>
      </c>
      <c r="T1425" s="1155">
        <v>6.5</v>
      </c>
      <c r="U1425" s="1178">
        <v>0.5</v>
      </c>
      <c r="V1425" s="1178"/>
      <c r="W1425" s="1178"/>
      <c r="X1425" s="1178"/>
      <c r="Y1425" s="1178"/>
      <c r="Z1425" s="1114" t="s">
        <v>379</v>
      </c>
      <c r="AA1425" s="1114"/>
      <c r="AB1425" s="1114" t="s">
        <v>375</v>
      </c>
      <c r="AC1425" s="1117">
        <v>2.7</v>
      </c>
      <c r="AD1425" s="1115"/>
      <c r="AE1425" s="1115"/>
      <c r="AF1425" s="1115"/>
      <c r="AG1425" s="1115"/>
      <c r="AH1425" s="1115"/>
      <c r="AI1425" s="1115"/>
      <c r="AJ1425" s="1117"/>
      <c r="AK1425" s="1118"/>
      <c r="AL1425" s="1115"/>
      <c r="AM1425" s="1115"/>
      <c r="AN1425" s="1115"/>
      <c r="AO1425" s="1115"/>
      <c r="AP1425" s="1115"/>
      <c r="AQ1425" s="1115"/>
      <c r="AR1425" s="1115"/>
      <c r="AS1425" s="1117"/>
      <c r="AT1425" s="1075" t="s">
        <v>181</v>
      </c>
      <c r="AU1425" s="1078" t="s">
        <v>845</v>
      </c>
      <c r="AV1425" s="330">
        <f>SQRT(($R1425-Infrastructure!J$3)^2+($S1425-Infrastructure!K$3)^2)</f>
        <v>43.39078243</v>
      </c>
      <c r="AW1425" s="331">
        <f>SQRT(($R1425-Infrastructure!J$4)^2+($S1425-Infrastructure!K$4)^2)</f>
        <v>38.95600082</v>
      </c>
      <c r="AX1425" s="331">
        <f>SQRT(($R1425-Infrastructure!J$5)^2+($S1425-Infrastructure!K$5)^2)</f>
        <v>37.44329045</v>
      </c>
      <c r="AY1425" s="331">
        <f>SQRT(($R1425-Infrastructure!J$6)^2+($S1425-Infrastructure!K$6)^2)</f>
        <v>27.79496357</v>
      </c>
      <c r="AZ1425" s="331">
        <f>SQRT(($R1425-Infrastructure!J$7)^2+($S1425-Infrastructure!K$7)^2)</f>
        <v>17.86393014</v>
      </c>
      <c r="BA1425" s="331">
        <f>SQRT(($R1425-Infrastructure!J$8)^2+($S1425-Infrastructure!K$8)^2)</f>
        <v>9.620810777</v>
      </c>
      <c r="BB1425" s="331">
        <f>SQRT(($R1425-Infrastructure!J$9)^2+($S1425-Infrastructure!K$9)^2)</f>
        <v>3.413209633</v>
      </c>
      <c r="BC1425" s="331">
        <f>SQRT(($R1425-Infrastructure!J$10)^2+($S1425-Infrastructure!K$10)^2)</f>
        <v>8.603487665</v>
      </c>
      <c r="BD1425" s="331">
        <f>SQRT(($R1425-Infrastructure!J$11)^2+($S1425-Infrastructure!K$11)^2)</f>
        <v>22.31636171</v>
      </c>
      <c r="BE1425" s="333">
        <f>SQRT(($R1425-Infrastructure!J$12)^2+($S1425-Infrastructure!K$12)^2)</f>
        <v>51.04233537</v>
      </c>
      <c r="BF1425" s="330">
        <f t="shared" si="161"/>
        <v>3.413209633</v>
      </c>
      <c r="BG1425" s="333">
        <f t="shared" si="162"/>
        <v>51.04233537</v>
      </c>
      <c r="BH1425" s="1119"/>
      <c r="BI1425" s="319"/>
      <c r="BJ1425" s="319"/>
      <c r="BK1425" s="319"/>
      <c r="BL1425" s="319"/>
      <c r="BM1425" s="955"/>
      <c r="BN1425" s="319"/>
      <c r="BO1425" s="319"/>
      <c r="BP1425" s="953"/>
      <c r="BQ1425" s="319"/>
      <c r="BR1425" s="324"/>
      <c r="BS1425" s="330">
        <f t="shared" si="169"/>
        <v>0</v>
      </c>
      <c r="BT1425" s="331">
        <f t="shared" si="170"/>
        <v>0</v>
      </c>
      <c r="BU1425" s="920"/>
      <c r="BV1425" s="903">
        <f t="shared" si="171"/>
        <v>-0.4111111111</v>
      </c>
      <c r="BW1425" s="907"/>
      <c r="BX1425" s="908"/>
      <c r="BY1425" s="331" t="b">
        <f t="shared" si="166"/>
        <v>0</v>
      </c>
      <c r="BZ1425" s="340"/>
      <c r="CA1425" s="316"/>
      <c r="CB1425" s="318"/>
      <c r="CC1425" s="318"/>
      <c r="CD1425" s="318"/>
      <c r="CE1425" s="318"/>
      <c r="CF1425" s="318"/>
      <c r="CG1425" s="318"/>
      <c r="CH1425" s="318"/>
      <c r="CI1425" s="318"/>
      <c r="CJ1425" s="463"/>
      <c r="CK1425" s="342"/>
      <c r="CL1425" s="333"/>
      <c r="CM1425" s="1079"/>
      <c r="CN1425" s="1005"/>
      <c r="CO1425" s="1005"/>
      <c r="CP1425" s="1005"/>
    </row>
    <row r="1426">
      <c r="B1426" s="1106" t="s">
        <v>1537</v>
      </c>
      <c r="C1426" s="1107">
        <v>44734.0</v>
      </c>
      <c r="D1426" s="1113" t="s">
        <v>986</v>
      </c>
      <c r="E1426" s="1108" t="s">
        <v>1267</v>
      </c>
      <c r="F1426" s="110" t="s">
        <v>2118</v>
      </c>
      <c r="G1426" s="1109">
        <v>0.428125</v>
      </c>
      <c r="H1426" s="1110">
        <v>0.42899305555555556</v>
      </c>
      <c r="I1426" s="1110"/>
      <c r="J1426" s="1111"/>
      <c r="K1426" s="1111">
        <v>0.48518518518518516</v>
      </c>
      <c r="L1426" s="1112">
        <v>0.05619212962962963</v>
      </c>
      <c r="M1426" s="1113" t="s">
        <v>166</v>
      </c>
      <c r="N1426" s="110" t="s">
        <v>187</v>
      </c>
      <c r="O1426" s="1114" t="s">
        <v>204</v>
      </c>
      <c r="P1426" s="1156" t="s">
        <v>260</v>
      </c>
      <c r="Q1426" s="1116"/>
      <c r="R1426" s="1154">
        <v>18.6</v>
      </c>
      <c r="S1426" s="1115">
        <v>4.4</v>
      </c>
      <c r="T1426" s="1155">
        <v>2.5</v>
      </c>
      <c r="U1426" s="1178">
        <v>0.4</v>
      </c>
      <c r="V1426" s="1178"/>
      <c r="W1426" s="1178"/>
      <c r="X1426" s="1178"/>
      <c r="Y1426" s="1178"/>
      <c r="Z1426" s="1114" t="s">
        <v>365</v>
      </c>
      <c r="AA1426" s="1114"/>
      <c r="AB1426" s="1114" t="s">
        <v>380</v>
      </c>
      <c r="AC1426" s="1117">
        <v>4.0</v>
      </c>
      <c r="AD1426" s="1115"/>
      <c r="AE1426" s="1115"/>
      <c r="AF1426" s="1115"/>
      <c r="AG1426" s="1115"/>
      <c r="AH1426" s="1115"/>
      <c r="AI1426" s="1115"/>
      <c r="AJ1426" s="1117"/>
      <c r="AK1426" s="1118"/>
      <c r="AL1426" s="1115"/>
      <c r="AM1426" s="1115"/>
      <c r="AN1426" s="1115"/>
      <c r="AO1426" s="1115"/>
      <c r="AP1426" s="1115"/>
      <c r="AQ1426" s="1115"/>
      <c r="AR1426" s="1115"/>
      <c r="AS1426" s="1117"/>
      <c r="AT1426" s="1075" t="s">
        <v>181</v>
      </c>
      <c r="AU1426" s="947" t="s">
        <v>846</v>
      </c>
      <c r="AV1426" s="330">
        <f>SQRT(($R1426-Infrastructure!J$3)^2+($S1426-Infrastructure!K$3)^2)</f>
        <v>30.94285055</v>
      </c>
      <c r="AW1426" s="331">
        <f>SQRT(($R1426-Infrastructure!J$4)^2+($S1426-Infrastructure!K$4)^2)</f>
        <v>23.1682973</v>
      </c>
      <c r="AX1426" s="331">
        <f>SQRT(($R1426-Infrastructure!J$5)^2+($S1426-Infrastructure!K$5)^2)</f>
        <v>18.91295852</v>
      </c>
      <c r="AY1426" s="331">
        <f>SQRT(($R1426-Infrastructure!J$6)^2+($S1426-Infrastructure!K$6)^2)</f>
        <v>9.43716059</v>
      </c>
      <c r="AZ1426" s="331">
        <f>SQRT(($R1426-Infrastructure!J$7)^2+($S1426-Infrastructure!K$7)^2)</f>
        <v>4.518849411</v>
      </c>
      <c r="BA1426" s="331">
        <f>SQRT(($R1426-Infrastructure!J$8)^2+($S1426-Infrastructure!K$8)^2)</f>
        <v>12.20901306</v>
      </c>
      <c r="BB1426" s="331">
        <f>SQRT(($R1426-Infrastructure!J$9)^2+($S1426-Infrastructure!K$9)^2)</f>
        <v>21.41144554</v>
      </c>
      <c r="BC1426" s="331">
        <f>SQRT(($R1426-Infrastructure!J$10)^2+($S1426-Infrastructure!K$10)^2)</f>
        <v>23.88137349</v>
      </c>
      <c r="BD1426" s="331">
        <f>SQRT(($R1426-Infrastructure!J$11)^2+($S1426-Infrastructure!K$11)^2)</f>
        <v>32.73713488</v>
      </c>
      <c r="BE1426" s="333">
        <f>SQRT(($R1426-Infrastructure!J$12)^2+($S1426-Infrastructure!K$12)^2)</f>
        <v>51.18222348</v>
      </c>
      <c r="BF1426" s="330">
        <f t="shared" si="161"/>
        <v>4.518849411</v>
      </c>
      <c r="BG1426" s="333">
        <f t="shared" si="162"/>
        <v>51.18222348</v>
      </c>
      <c r="BH1426" s="1119"/>
      <c r="BI1426" s="319"/>
      <c r="BJ1426" s="319"/>
      <c r="BK1426" s="319"/>
      <c r="BL1426" s="319"/>
      <c r="BM1426" s="955"/>
      <c r="BN1426" s="319"/>
      <c r="BO1426" s="319"/>
      <c r="BP1426" s="953"/>
      <c r="BQ1426" s="319"/>
      <c r="BR1426" s="324"/>
      <c r="BS1426" s="330">
        <f t="shared" si="169"/>
        <v>0</v>
      </c>
      <c r="BT1426" s="331">
        <f t="shared" si="170"/>
        <v>0</v>
      </c>
      <c r="BU1426" s="920"/>
      <c r="BV1426" s="903">
        <f t="shared" si="171"/>
        <v>-0.428125</v>
      </c>
      <c r="BW1426" s="907"/>
      <c r="BX1426" s="908"/>
      <c r="BY1426" s="331" t="b">
        <f t="shared" si="166"/>
        <v>0</v>
      </c>
      <c r="BZ1426" s="340"/>
      <c r="CA1426" s="316"/>
      <c r="CB1426" s="318"/>
      <c r="CC1426" s="318"/>
      <c r="CD1426" s="318"/>
      <c r="CE1426" s="318"/>
      <c r="CF1426" s="318"/>
      <c r="CG1426" s="318"/>
      <c r="CH1426" s="318"/>
      <c r="CI1426" s="318"/>
      <c r="CJ1426" s="463"/>
      <c r="CK1426" s="342"/>
      <c r="CL1426" s="333"/>
      <c r="CM1426" s="1079"/>
      <c r="CN1426" s="1005"/>
      <c r="CO1426" s="1005"/>
      <c r="CP1426" s="1005"/>
    </row>
    <row r="1427">
      <c r="B1427" s="1106" t="s">
        <v>1537</v>
      </c>
      <c r="C1427" s="1107">
        <v>44734.0</v>
      </c>
      <c r="D1427" s="1113" t="s">
        <v>986</v>
      </c>
      <c r="E1427" s="1108" t="s">
        <v>1269</v>
      </c>
      <c r="F1427" s="110" t="s">
        <v>2119</v>
      </c>
      <c r="G1427" s="1109">
        <v>0.4395833333333333</v>
      </c>
      <c r="H1427" s="1110">
        <v>0.44027777777777777</v>
      </c>
      <c r="I1427" s="1110"/>
      <c r="J1427" s="1111"/>
      <c r="K1427" s="1111">
        <v>0.4876736111111111</v>
      </c>
      <c r="L1427" s="1112">
        <v>0.04739583333333333</v>
      </c>
      <c r="M1427" s="1113" t="s">
        <v>172</v>
      </c>
      <c r="N1427" s="110" t="s">
        <v>187</v>
      </c>
      <c r="O1427" s="1114" t="s">
        <v>204</v>
      </c>
      <c r="P1427" s="1156" t="s">
        <v>272</v>
      </c>
      <c r="Q1427" s="1116"/>
      <c r="R1427" s="1154">
        <v>18.5</v>
      </c>
      <c r="S1427" s="1115">
        <v>3.3</v>
      </c>
      <c r="T1427" s="1155">
        <v>1.9</v>
      </c>
      <c r="U1427" s="1178">
        <v>0.2</v>
      </c>
      <c r="V1427" s="1178"/>
      <c r="W1427" s="1178"/>
      <c r="X1427" s="1178"/>
      <c r="Y1427" s="1178"/>
      <c r="Z1427" s="1114" t="s">
        <v>1690</v>
      </c>
      <c r="AA1427" s="1114"/>
      <c r="AB1427" s="1114" t="s">
        <v>371</v>
      </c>
      <c r="AC1427" s="1117">
        <v>1.8</v>
      </c>
      <c r="AD1427" s="1115"/>
      <c r="AE1427" s="1115"/>
      <c r="AF1427" s="1115"/>
      <c r="AG1427" s="1115"/>
      <c r="AH1427" s="1115"/>
      <c r="AI1427" s="1115"/>
      <c r="AJ1427" s="1117"/>
      <c r="AK1427" s="1118"/>
      <c r="AL1427" s="1115"/>
      <c r="AM1427" s="1115"/>
      <c r="AN1427" s="1115"/>
      <c r="AO1427" s="1115"/>
      <c r="AP1427" s="1115"/>
      <c r="AQ1427" s="1115"/>
      <c r="AR1427" s="1115"/>
      <c r="AS1427" s="1117"/>
      <c r="AT1427" s="1075" t="s">
        <v>181</v>
      </c>
      <c r="AU1427" s="947" t="s">
        <v>846</v>
      </c>
      <c r="AV1427" s="330">
        <f>SQRT(($R1427-Infrastructure!J$3)^2+($S1427-Infrastructure!K$3)^2)</f>
        <v>31.76161205</v>
      </c>
      <c r="AW1427" s="331">
        <f>SQRT(($R1427-Infrastructure!J$4)^2+($S1427-Infrastructure!K$4)^2)</f>
        <v>23.7421566</v>
      </c>
      <c r="AX1427" s="331">
        <f>SQRT(($R1427-Infrastructure!J$5)^2+($S1427-Infrastructure!K$5)^2)</f>
        <v>18.88597363</v>
      </c>
      <c r="AY1427" s="331">
        <f>SQRT(($R1427-Infrastructure!J$6)^2+($S1427-Infrastructure!K$6)^2)</f>
        <v>8.919641248</v>
      </c>
      <c r="AZ1427" s="331">
        <f>SQRT(($R1427-Infrastructure!J$7)^2+($S1427-Infrastructure!K$7)^2)</f>
        <v>3.605551275</v>
      </c>
      <c r="BA1427" s="331">
        <f>SQRT(($R1427-Infrastructure!J$8)^2+($S1427-Infrastructure!K$8)^2)</f>
        <v>11.98165264</v>
      </c>
      <c r="BB1427" s="331">
        <f>SQRT(($R1427-Infrastructure!J$9)^2+($S1427-Infrastructure!K$9)^2)</f>
        <v>21.57521726</v>
      </c>
      <c r="BC1427" s="331">
        <f>SQRT(($R1427-Infrastructure!J$10)^2+($S1427-Infrastructure!K$10)^2)</f>
        <v>24.47733646</v>
      </c>
      <c r="BD1427" s="331">
        <f>SQRT(($R1427-Infrastructure!J$11)^2+($S1427-Infrastructure!K$11)^2)</f>
        <v>33.63599263</v>
      </c>
      <c r="BE1427" s="333">
        <f>SQRT(($R1427-Infrastructure!J$12)^2+($S1427-Infrastructure!K$12)^2)</f>
        <v>52.28613583</v>
      </c>
      <c r="BF1427" s="330">
        <f t="shared" si="161"/>
        <v>3.605551275</v>
      </c>
      <c r="BG1427" s="333">
        <f t="shared" si="162"/>
        <v>52.28613583</v>
      </c>
      <c r="BH1427" s="1119"/>
      <c r="BI1427" s="319"/>
      <c r="BJ1427" s="319"/>
      <c r="BK1427" s="319"/>
      <c r="BL1427" s="319"/>
      <c r="BM1427" s="955"/>
      <c r="BN1427" s="319"/>
      <c r="BO1427" s="319"/>
      <c r="BP1427" s="953"/>
      <c r="BQ1427" s="319"/>
      <c r="BR1427" s="324"/>
      <c r="BS1427" s="330">
        <f t="shared" si="169"/>
        <v>0</v>
      </c>
      <c r="BT1427" s="331">
        <f t="shared" si="170"/>
        <v>0</v>
      </c>
      <c r="BU1427" s="920"/>
      <c r="BV1427" s="903">
        <f t="shared" si="171"/>
        <v>-0.4395833333</v>
      </c>
      <c r="BW1427" s="907"/>
      <c r="BX1427" s="908"/>
      <c r="BY1427" s="331" t="b">
        <f t="shared" si="166"/>
        <v>0</v>
      </c>
      <c r="BZ1427" s="340"/>
      <c r="CA1427" s="316"/>
      <c r="CB1427" s="318"/>
      <c r="CC1427" s="318"/>
      <c r="CD1427" s="318"/>
      <c r="CE1427" s="318"/>
      <c r="CF1427" s="318"/>
      <c r="CG1427" s="318"/>
      <c r="CH1427" s="318"/>
      <c r="CI1427" s="318"/>
      <c r="CJ1427" s="463"/>
      <c r="CK1427" s="342"/>
      <c r="CL1427" s="333"/>
      <c r="CM1427" s="1079"/>
      <c r="CN1427" s="1005"/>
      <c r="CO1427" s="1005"/>
      <c r="CP1427" s="1005"/>
    </row>
    <row r="1428">
      <c r="B1428" s="1106" t="s">
        <v>1537</v>
      </c>
      <c r="C1428" s="1107">
        <v>44734.0</v>
      </c>
      <c r="D1428" s="1113" t="s">
        <v>986</v>
      </c>
      <c r="E1428" s="1108">
        <v>9.0</v>
      </c>
      <c r="F1428" s="110" t="s">
        <v>2120</v>
      </c>
      <c r="G1428" s="1109">
        <v>0.48616898148148147</v>
      </c>
      <c r="H1428" s="1110">
        <v>0.4865162037037037</v>
      </c>
      <c r="I1428" s="1110"/>
      <c r="J1428" s="1111"/>
      <c r="K1428" s="1111">
        <v>0.5188078703703703</v>
      </c>
      <c r="L1428" s="1112">
        <v>0.03229166666666667</v>
      </c>
      <c r="M1428" s="1113" t="s">
        <v>166</v>
      </c>
      <c r="N1428" s="110" t="s">
        <v>187</v>
      </c>
      <c r="O1428" s="1114" t="s">
        <v>199</v>
      </c>
      <c r="P1428" s="1156" t="s">
        <v>272</v>
      </c>
      <c r="Q1428" s="1116"/>
      <c r="R1428" s="1154">
        <v>16.1</v>
      </c>
      <c r="S1428" s="1115">
        <v>9.6</v>
      </c>
      <c r="T1428" s="1155">
        <v>0.0</v>
      </c>
      <c r="U1428" s="1178">
        <v>0.1</v>
      </c>
      <c r="V1428" s="1178"/>
      <c r="W1428" s="1178"/>
      <c r="X1428" s="1178"/>
      <c r="Y1428" s="1178"/>
      <c r="Z1428" s="1114" t="s">
        <v>335</v>
      </c>
      <c r="AA1428" s="1114"/>
      <c r="AB1428" s="1114" t="s">
        <v>371</v>
      </c>
      <c r="AC1428" s="1117">
        <v>1.8</v>
      </c>
      <c r="AD1428" s="1115"/>
      <c r="AE1428" s="1115"/>
      <c r="AF1428" s="1115"/>
      <c r="AG1428" s="1115"/>
      <c r="AH1428" s="1115"/>
      <c r="AI1428" s="1115"/>
      <c r="AJ1428" s="1117"/>
      <c r="AK1428" s="1118"/>
      <c r="AL1428" s="1115"/>
      <c r="AM1428" s="1115"/>
      <c r="AN1428" s="1115"/>
      <c r="AO1428" s="1115"/>
      <c r="AP1428" s="1115"/>
      <c r="AQ1428" s="1115"/>
      <c r="AR1428" s="1115"/>
      <c r="AS1428" s="1117"/>
      <c r="AT1428" s="1075" t="s">
        <v>181</v>
      </c>
      <c r="AU1428" s="1078" t="s">
        <v>845</v>
      </c>
      <c r="AV1428" s="330">
        <f>SQRT(($R1428-Infrastructure!J$3)^2+($S1428-Infrastructure!K$3)^2)</f>
        <v>25.32686321</v>
      </c>
      <c r="AW1428" s="331">
        <f>SQRT(($R1428-Infrastructure!J$4)^2+($S1428-Infrastructure!K$4)^2)</f>
        <v>18.33575742</v>
      </c>
      <c r="AX1428" s="331">
        <f>SQRT(($R1428-Infrastructure!J$5)^2+($S1428-Infrastructure!K$5)^2)</f>
        <v>17.00617535</v>
      </c>
      <c r="AY1428" s="331">
        <f>SQRT(($R1428-Infrastructure!J$6)^2+($S1428-Infrastructure!K$6)^2)</f>
        <v>11.06752005</v>
      </c>
      <c r="AZ1428" s="331">
        <f>SQRT(($R1428-Infrastructure!J$7)^2+($S1428-Infrastructure!K$7)^2)</f>
        <v>10.28834292</v>
      </c>
      <c r="BA1428" s="331">
        <f>SQRT(($R1428-Infrastructure!J$8)^2+($S1428-Infrastructure!K$8)^2)</f>
        <v>16.80743883</v>
      </c>
      <c r="BB1428" s="331">
        <f>SQRT(($R1428-Infrastructure!J$9)^2+($S1428-Infrastructure!K$9)^2)</f>
        <v>24.31995066</v>
      </c>
      <c r="BC1428" s="331">
        <f>SQRT(($R1428-Infrastructure!J$10)^2+($S1428-Infrastructure!K$10)^2)</f>
        <v>24.50244886</v>
      </c>
      <c r="BD1428" s="331">
        <f>SQRT(($R1428-Infrastructure!J$11)^2+($S1428-Infrastructure!K$11)^2)</f>
        <v>30.93816413</v>
      </c>
      <c r="BE1428" s="333">
        <f>SQRT(($R1428-Infrastructure!J$12)^2+($S1428-Infrastructure!K$12)^2)</f>
        <v>46.21655548</v>
      </c>
      <c r="BF1428" s="330">
        <f t="shared" si="161"/>
        <v>10.28834292</v>
      </c>
      <c r="BG1428" s="333">
        <f t="shared" si="162"/>
        <v>46.21655548</v>
      </c>
      <c r="BH1428" s="1119"/>
      <c r="BI1428" s="319"/>
      <c r="BJ1428" s="319"/>
      <c r="BK1428" s="319"/>
      <c r="BL1428" s="319"/>
      <c r="BM1428" s="955"/>
      <c r="BN1428" s="319"/>
      <c r="BO1428" s="319"/>
      <c r="BP1428" s="953"/>
      <c r="BQ1428" s="319"/>
      <c r="BR1428" s="324"/>
      <c r="BS1428" s="330">
        <f t="shared" si="169"/>
        <v>0</v>
      </c>
      <c r="BT1428" s="331">
        <f t="shared" si="170"/>
        <v>0</v>
      </c>
      <c r="BU1428" s="920"/>
      <c r="BV1428" s="903">
        <f t="shared" si="171"/>
        <v>-0.4861689815</v>
      </c>
      <c r="BW1428" s="907"/>
      <c r="BX1428" s="908"/>
      <c r="BY1428" s="331" t="b">
        <f t="shared" si="166"/>
        <v>0</v>
      </c>
      <c r="BZ1428" s="340"/>
      <c r="CA1428" s="316"/>
      <c r="CB1428" s="318"/>
      <c r="CC1428" s="318"/>
      <c r="CD1428" s="318"/>
      <c r="CE1428" s="318"/>
      <c r="CF1428" s="318"/>
      <c r="CG1428" s="318"/>
      <c r="CH1428" s="318"/>
      <c r="CI1428" s="318"/>
      <c r="CJ1428" s="463"/>
      <c r="CK1428" s="342"/>
      <c r="CL1428" s="333"/>
      <c r="CM1428" s="1079"/>
      <c r="CN1428" s="1005"/>
      <c r="CO1428" s="1005"/>
      <c r="CP1428" s="1005"/>
    </row>
    <row r="1429">
      <c r="B1429" s="1106" t="s">
        <v>1537</v>
      </c>
      <c r="C1429" s="1107">
        <v>44734.0</v>
      </c>
      <c r="D1429" s="1113" t="s">
        <v>986</v>
      </c>
      <c r="E1429" s="1108">
        <v>10.0</v>
      </c>
      <c r="F1429" s="110" t="s">
        <v>2121</v>
      </c>
      <c r="G1429" s="1109">
        <v>0.5967013888888889</v>
      </c>
      <c r="H1429" s="1110">
        <v>0.5969328703703703</v>
      </c>
      <c r="I1429" s="1110"/>
      <c r="J1429" s="1111"/>
      <c r="K1429" s="1111">
        <v>0.6327546296296296</v>
      </c>
      <c r="L1429" s="1112">
        <v>0.03582175925925926</v>
      </c>
      <c r="M1429" s="1113" t="s">
        <v>166</v>
      </c>
      <c r="N1429" s="110" t="s">
        <v>187</v>
      </c>
      <c r="O1429" s="1114" t="s">
        <v>198</v>
      </c>
      <c r="P1429" s="1156" t="s">
        <v>223</v>
      </c>
      <c r="Q1429" s="1116"/>
      <c r="R1429" s="1154">
        <v>10.0</v>
      </c>
      <c r="S1429" s="1115">
        <v>11.7</v>
      </c>
      <c r="T1429" s="1155">
        <v>0.5</v>
      </c>
      <c r="U1429" s="1178">
        <v>0.08</v>
      </c>
      <c r="V1429" s="1178"/>
      <c r="W1429" s="1178"/>
      <c r="X1429" s="1178"/>
      <c r="Y1429" s="1178"/>
      <c r="Z1429" s="1114" t="s">
        <v>335</v>
      </c>
      <c r="AA1429" s="1114"/>
      <c r="AB1429" s="1114" t="s">
        <v>371</v>
      </c>
      <c r="AC1429" s="1117">
        <v>1.8</v>
      </c>
      <c r="AD1429" s="1115"/>
      <c r="AE1429" s="1115"/>
      <c r="AF1429" s="1115"/>
      <c r="AG1429" s="1115"/>
      <c r="AH1429" s="1115"/>
      <c r="AI1429" s="1115"/>
      <c r="AJ1429" s="1117"/>
      <c r="AK1429" s="1118"/>
      <c r="AL1429" s="1115"/>
      <c r="AM1429" s="1115"/>
      <c r="AN1429" s="1115"/>
      <c r="AO1429" s="1115"/>
      <c r="AP1429" s="1115"/>
      <c r="AQ1429" s="1115"/>
      <c r="AR1429" s="1115"/>
      <c r="AS1429" s="1117"/>
      <c r="AT1429" s="1075" t="s">
        <v>181</v>
      </c>
      <c r="AU1429" s="1078" t="s">
        <v>845</v>
      </c>
      <c r="AV1429" s="330">
        <f>SQRT(($R1429-Infrastructure!J$3)^2+($S1429-Infrastructure!K$3)^2)</f>
        <v>20.04819194</v>
      </c>
      <c r="AW1429" s="331">
        <f>SQRT(($R1429-Infrastructure!J$4)^2+($S1429-Infrastructure!K$4)^2)</f>
        <v>11.9707978</v>
      </c>
      <c r="AX1429" s="331">
        <f>SQRT(($R1429-Infrastructure!J$5)^2+($S1429-Infrastructure!K$5)^2)</f>
        <v>12.23315168</v>
      </c>
      <c r="AY1429" s="331">
        <f>SQRT(($R1429-Infrastructure!J$6)^2+($S1429-Infrastructure!K$6)^2)</f>
        <v>11.40043859</v>
      </c>
      <c r="AZ1429" s="331">
        <f>SQRT(($R1429-Infrastructure!J$7)^2+($S1429-Infrastructure!K$7)^2)</f>
        <v>15.49870962</v>
      </c>
      <c r="BA1429" s="331">
        <f>SQRT(($R1429-Infrastructure!J$8)^2+($S1429-Infrastructure!K$8)^2)</f>
        <v>23.10779089</v>
      </c>
      <c r="BB1429" s="331">
        <f>SQRT(($R1429-Infrastructure!J$9)^2+($S1429-Infrastructure!K$9)^2)</f>
        <v>30.71742177</v>
      </c>
      <c r="BC1429" s="331">
        <f>SQRT(($R1429-Infrastructure!J$10)^2+($S1429-Infrastructure!K$10)^2)</f>
        <v>30.18095426</v>
      </c>
      <c r="BD1429" s="331">
        <f>SQRT(($R1429-Infrastructure!J$11)^2+($S1429-Infrastructure!K$11)^2)</f>
        <v>34.80416642</v>
      </c>
      <c r="BE1429" s="333">
        <f>SQRT(($R1429-Infrastructure!J$12)^2+($S1429-Infrastructure!K$12)^2)</f>
        <v>45.28454482</v>
      </c>
      <c r="BF1429" s="330">
        <f t="shared" si="161"/>
        <v>11.40043859</v>
      </c>
      <c r="BG1429" s="333">
        <f t="shared" si="162"/>
        <v>45.28454482</v>
      </c>
      <c r="BH1429" s="1119"/>
      <c r="BI1429" s="319"/>
      <c r="BJ1429" s="319" t="s">
        <v>846</v>
      </c>
      <c r="BK1429" s="319" t="s">
        <v>846</v>
      </c>
      <c r="BL1429" s="319"/>
      <c r="BM1429" s="955"/>
      <c r="BN1429" s="319"/>
      <c r="BO1429" s="319"/>
      <c r="BP1429" s="953"/>
      <c r="BQ1429" s="319"/>
      <c r="BR1429" s="324" t="s">
        <v>846</v>
      </c>
      <c r="BS1429" s="330">
        <f t="shared" si="169"/>
        <v>11.9707978</v>
      </c>
      <c r="BT1429" s="331">
        <f t="shared" si="170"/>
        <v>45.28454482</v>
      </c>
      <c r="BU1429" s="920">
        <v>0.625</v>
      </c>
      <c r="BV1429" s="903">
        <f t="shared" si="171"/>
        <v>0.02829861111</v>
      </c>
      <c r="BW1429" s="907"/>
      <c r="BX1429" s="908"/>
      <c r="BY1429" s="331" t="b">
        <f t="shared" si="166"/>
        <v>0</v>
      </c>
      <c r="BZ1429" s="340"/>
      <c r="CA1429" s="316"/>
      <c r="CB1429" s="318"/>
      <c r="CC1429" s="318"/>
      <c r="CD1429" s="318"/>
      <c r="CE1429" s="318"/>
      <c r="CF1429" s="318"/>
      <c r="CG1429" s="318"/>
      <c r="CH1429" s="318"/>
      <c r="CI1429" s="318"/>
      <c r="CJ1429" s="463"/>
      <c r="CK1429" s="342"/>
      <c r="CL1429" s="333"/>
      <c r="CM1429" s="1079"/>
      <c r="CN1429" s="1005"/>
      <c r="CO1429" s="1005"/>
      <c r="CP1429" s="1005"/>
    </row>
    <row r="1430">
      <c r="B1430" s="1106" t="s">
        <v>1537</v>
      </c>
      <c r="C1430" s="1107">
        <v>44734.0</v>
      </c>
      <c r="D1430" s="1113" t="s">
        <v>986</v>
      </c>
      <c r="E1430" s="1108" t="s">
        <v>1356</v>
      </c>
      <c r="F1430" s="110" t="s">
        <v>2122</v>
      </c>
      <c r="G1430" s="1109">
        <v>0.6369212962962963</v>
      </c>
      <c r="H1430" s="1110">
        <v>0.6375</v>
      </c>
      <c r="I1430" s="1110"/>
      <c r="J1430" s="1111"/>
      <c r="K1430" s="1111">
        <v>0.6877314814814814</v>
      </c>
      <c r="L1430" s="1112">
        <v>0.05023148148148148</v>
      </c>
      <c r="M1430" s="1113" t="s">
        <v>166</v>
      </c>
      <c r="N1430" s="110" t="s">
        <v>187</v>
      </c>
      <c r="O1430" s="1114" t="s">
        <v>202</v>
      </c>
      <c r="P1430" s="1156" t="s">
        <v>212</v>
      </c>
      <c r="Q1430" s="1116"/>
      <c r="R1430" s="1154">
        <v>24.4</v>
      </c>
      <c r="S1430" s="1115">
        <v>7.5</v>
      </c>
      <c r="T1430" s="1155">
        <v>0.6</v>
      </c>
      <c r="U1430" s="1178">
        <v>0.25</v>
      </c>
      <c r="V1430" s="1178"/>
      <c r="W1430" s="1178"/>
      <c r="X1430" s="1178"/>
      <c r="Y1430" s="1178"/>
      <c r="Z1430" s="1114" t="s">
        <v>335</v>
      </c>
      <c r="AA1430" s="1114"/>
      <c r="AB1430" s="1114" t="s">
        <v>326</v>
      </c>
      <c r="AC1430" s="1117">
        <v>1.0</v>
      </c>
      <c r="AD1430" s="1115"/>
      <c r="AE1430" s="1115"/>
      <c r="AF1430" s="1115"/>
      <c r="AG1430" s="1115"/>
      <c r="AH1430" s="1115"/>
      <c r="AI1430" s="1115"/>
      <c r="AJ1430" s="1117"/>
      <c r="AK1430" s="1118"/>
      <c r="AL1430" s="1115"/>
      <c r="AM1430" s="1115"/>
      <c r="AN1430" s="1115"/>
      <c r="AO1430" s="1115"/>
      <c r="AP1430" s="1115"/>
      <c r="AQ1430" s="1115"/>
      <c r="AR1430" s="1115"/>
      <c r="AS1430" s="1117"/>
      <c r="AT1430" s="1075" t="s">
        <v>181</v>
      </c>
      <c r="AU1430" s="947" t="s">
        <v>846</v>
      </c>
      <c r="AV1430" s="330">
        <f>SQRT(($R1430-Infrastructure!J$3)^2+($S1430-Infrastructure!K$3)^2)</f>
        <v>32.68103426</v>
      </c>
      <c r="AW1430" s="331">
        <f>SQRT(($R1430-Infrastructure!J$4)^2+($S1430-Infrastructure!K$4)^2)</f>
        <v>26.76153957</v>
      </c>
      <c r="AX1430" s="331">
        <f>SQRT(($R1430-Infrastructure!J$5)^2+($S1430-Infrastructure!K$5)^2)</f>
        <v>24.81632527</v>
      </c>
      <c r="AY1430" s="331">
        <f>SQRT(($R1430-Infrastructure!J$6)^2+($S1430-Infrastructure!K$6)^2)</f>
        <v>16.01030918</v>
      </c>
      <c r="AZ1430" s="331">
        <f>SQRT(($R1430-Infrastructure!J$7)^2+($S1430-Infrastructure!K$7)^2)</f>
        <v>8.188406438</v>
      </c>
      <c r="BA1430" s="331">
        <f>SQRT(($R1430-Infrastructure!J$8)^2+($S1430-Infrastructure!K$8)^2)</f>
        <v>9.183136719</v>
      </c>
      <c r="BB1430" s="331">
        <f>SQRT(($R1430-Infrastructure!J$9)^2+($S1430-Infrastructure!K$9)^2)</f>
        <v>15.78353573</v>
      </c>
      <c r="BC1430" s="331">
        <f>SQRT(($R1430-Infrastructure!J$10)^2+($S1430-Infrastructure!K$10)^2)</f>
        <v>17.30924608</v>
      </c>
      <c r="BD1430" s="331">
        <f>SQRT(($R1430-Infrastructure!J$11)^2+($S1430-Infrastructure!K$11)^2)</f>
        <v>26.68126684</v>
      </c>
      <c r="BE1430" s="333">
        <f>SQRT(($R1430-Infrastructure!J$12)^2+($S1430-Infrastructure!K$12)^2)</f>
        <v>48.08752437</v>
      </c>
      <c r="BF1430" s="330">
        <f t="shared" si="161"/>
        <v>8.188406438</v>
      </c>
      <c r="BG1430" s="333">
        <f t="shared" si="162"/>
        <v>48.08752437</v>
      </c>
      <c r="BH1430" s="1119"/>
      <c r="BI1430" s="319"/>
      <c r="BJ1430" s="319"/>
      <c r="BK1430" s="319"/>
      <c r="BL1430" s="319"/>
      <c r="BM1430" s="955"/>
      <c r="BN1430" s="319"/>
      <c r="BO1430" s="319"/>
      <c r="BP1430" s="953"/>
      <c r="BQ1430" s="319"/>
      <c r="BR1430" s="324"/>
      <c r="BS1430" s="330">
        <f t="shared" si="169"/>
        <v>0</v>
      </c>
      <c r="BT1430" s="331">
        <f t="shared" si="170"/>
        <v>0</v>
      </c>
      <c r="BU1430" s="920"/>
      <c r="BV1430" s="903">
        <f t="shared" si="171"/>
        <v>-0.6369212963</v>
      </c>
      <c r="BW1430" s="907"/>
      <c r="BX1430" s="908"/>
      <c r="BY1430" s="331" t="b">
        <f t="shared" si="166"/>
        <v>0</v>
      </c>
      <c r="BZ1430" s="340"/>
      <c r="CA1430" s="316"/>
      <c r="CB1430" s="318"/>
      <c r="CC1430" s="318"/>
      <c r="CD1430" s="318"/>
      <c r="CE1430" s="318"/>
      <c r="CF1430" s="318"/>
      <c r="CG1430" s="318"/>
      <c r="CH1430" s="318"/>
      <c r="CI1430" s="318"/>
      <c r="CJ1430" s="463"/>
      <c r="CK1430" s="342"/>
      <c r="CL1430" s="333"/>
      <c r="CM1430" s="1079"/>
      <c r="CN1430" s="1005"/>
      <c r="CO1430" s="1005"/>
      <c r="CP1430" s="1005"/>
    </row>
    <row r="1431">
      <c r="B1431" s="1106" t="s">
        <v>1537</v>
      </c>
      <c r="C1431" s="1107">
        <v>44734.0</v>
      </c>
      <c r="D1431" s="1113" t="s">
        <v>986</v>
      </c>
      <c r="E1431" s="1108" t="s">
        <v>1360</v>
      </c>
      <c r="F1431" s="110" t="s">
        <v>2123</v>
      </c>
      <c r="G1431" s="1109">
        <v>0.6413194444444444</v>
      </c>
      <c r="H1431" s="1110">
        <v>0.6420138888888889</v>
      </c>
      <c r="I1431" s="1110"/>
      <c r="J1431" s="1111"/>
      <c r="K1431" s="1111">
        <v>0.6888888888888889</v>
      </c>
      <c r="L1431" s="1112">
        <v>0.046875</v>
      </c>
      <c r="M1431" s="1113" t="s">
        <v>173</v>
      </c>
      <c r="N1431" s="110" t="s">
        <v>187</v>
      </c>
      <c r="O1431" s="1114" t="s">
        <v>202</v>
      </c>
      <c r="P1431" s="1156" t="s">
        <v>266</v>
      </c>
      <c r="Q1431" s="1116"/>
      <c r="R1431" s="1154">
        <v>24.4</v>
      </c>
      <c r="S1431" s="1115">
        <v>7.5</v>
      </c>
      <c r="T1431" s="1155">
        <v>0.6</v>
      </c>
      <c r="U1431" s="1178">
        <v>0.125</v>
      </c>
      <c r="V1431" s="1178"/>
      <c r="W1431" s="1178"/>
      <c r="X1431" s="1178"/>
      <c r="Y1431" s="1178"/>
      <c r="Z1431" s="1114" t="s">
        <v>1702</v>
      </c>
      <c r="AA1431" s="1114"/>
      <c r="AB1431" s="1114" t="s">
        <v>371</v>
      </c>
      <c r="AC1431" s="1117">
        <v>1.8</v>
      </c>
      <c r="AD1431" s="1115"/>
      <c r="AE1431" s="1115"/>
      <c r="AF1431" s="1115"/>
      <c r="AG1431" s="1115"/>
      <c r="AH1431" s="1115"/>
      <c r="AI1431" s="1115"/>
      <c r="AJ1431" s="1117"/>
      <c r="AK1431" s="1118"/>
      <c r="AL1431" s="1115"/>
      <c r="AM1431" s="1115"/>
      <c r="AN1431" s="1115"/>
      <c r="AO1431" s="1115"/>
      <c r="AP1431" s="1115"/>
      <c r="AQ1431" s="1115"/>
      <c r="AR1431" s="1115"/>
      <c r="AS1431" s="1117"/>
      <c r="AT1431" s="1075" t="s">
        <v>181</v>
      </c>
      <c r="AU1431" s="947" t="s">
        <v>846</v>
      </c>
      <c r="AV1431" s="330">
        <f>SQRT(($R1431-Infrastructure!J$3)^2+($S1431-Infrastructure!K$3)^2)</f>
        <v>32.68103426</v>
      </c>
      <c r="AW1431" s="331">
        <f>SQRT(($R1431-Infrastructure!J$4)^2+($S1431-Infrastructure!K$4)^2)</f>
        <v>26.76153957</v>
      </c>
      <c r="AX1431" s="331">
        <f>SQRT(($R1431-Infrastructure!J$5)^2+($S1431-Infrastructure!K$5)^2)</f>
        <v>24.81632527</v>
      </c>
      <c r="AY1431" s="331">
        <f>SQRT(($R1431-Infrastructure!J$6)^2+($S1431-Infrastructure!K$6)^2)</f>
        <v>16.01030918</v>
      </c>
      <c r="AZ1431" s="331">
        <f>SQRT(($R1431-Infrastructure!J$7)^2+($S1431-Infrastructure!K$7)^2)</f>
        <v>8.188406438</v>
      </c>
      <c r="BA1431" s="331">
        <f>SQRT(($R1431-Infrastructure!J$8)^2+($S1431-Infrastructure!K$8)^2)</f>
        <v>9.183136719</v>
      </c>
      <c r="BB1431" s="331">
        <f>SQRT(($R1431-Infrastructure!J$9)^2+($S1431-Infrastructure!K$9)^2)</f>
        <v>15.78353573</v>
      </c>
      <c r="BC1431" s="331">
        <f>SQRT(($R1431-Infrastructure!J$10)^2+($S1431-Infrastructure!K$10)^2)</f>
        <v>17.30924608</v>
      </c>
      <c r="BD1431" s="331">
        <f>SQRT(($R1431-Infrastructure!J$11)^2+($S1431-Infrastructure!K$11)^2)</f>
        <v>26.68126684</v>
      </c>
      <c r="BE1431" s="333">
        <f>SQRT(($R1431-Infrastructure!J$12)^2+($S1431-Infrastructure!K$12)^2)</f>
        <v>48.08752437</v>
      </c>
      <c r="BF1431" s="330">
        <f t="shared" si="161"/>
        <v>8.188406438</v>
      </c>
      <c r="BG1431" s="333">
        <f t="shared" si="162"/>
        <v>48.08752437</v>
      </c>
      <c r="BH1431" s="1119"/>
      <c r="BI1431" s="319"/>
      <c r="BJ1431" s="319"/>
      <c r="BK1431" s="319"/>
      <c r="BL1431" s="319"/>
      <c r="BM1431" s="955"/>
      <c r="BN1431" s="319"/>
      <c r="BO1431" s="319"/>
      <c r="BP1431" s="953"/>
      <c r="BQ1431" s="319"/>
      <c r="BR1431" s="324"/>
      <c r="BS1431" s="330">
        <f t="shared" si="169"/>
        <v>0</v>
      </c>
      <c r="BT1431" s="331">
        <f t="shared" si="170"/>
        <v>0</v>
      </c>
      <c r="BU1431" s="920"/>
      <c r="BV1431" s="903">
        <f t="shared" si="171"/>
        <v>-0.6413194444</v>
      </c>
      <c r="BW1431" s="907"/>
      <c r="BX1431" s="908"/>
      <c r="BY1431" s="331" t="b">
        <f t="shared" si="166"/>
        <v>0</v>
      </c>
      <c r="BZ1431" s="340"/>
      <c r="CA1431" s="316"/>
      <c r="CB1431" s="318"/>
      <c r="CC1431" s="318"/>
      <c r="CD1431" s="318"/>
      <c r="CE1431" s="318"/>
      <c r="CF1431" s="318"/>
      <c r="CG1431" s="318"/>
      <c r="CH1431" s="318"/>
      <c r="CI1431" s="318"/>
      <c r="CJ1431" s="463"/>
      <c r="CK1431" s="342"/>
      <c r="CL1431" s="333"/>
      <c r="CM1431" s="1079"/>
      <c r="CN1431" s="1005"/>
      <c r="CO1431" s="1005"/>
      <c r="CP1431" s="1005"/>
    </row>
    <row r="1432">
      <c r="B1432" s="1106" t="s">
        <v>1537</v>
      </c>
      <c r="C1432" s="1107">
        <v>44734.0</v>
      </c>
      <c r="D1432" s="1113" t="s">
        <v>986</v>
      </c>
      <c r="E1432" s="1108">
        <v>12.0</v>
      </c>
      <c r="F1432" s="110" t="s">
        <v>2124</v>
      </c>
      <c r="G1432" s="1109">
        <v>0.6884259259259259</v>
      </c>
      <c r="H1432" s="1110">
        <v>0.6888888888888889</v>
      </c>
      <c r="I1432" s="1110"/>
      <c r="J1432" s="1111"/>
      <c r="K1432" s="1111">
        <v>0.7277777777777777</v>
      </c>
      <c r="L1432" s="1112">
        <v>0.03888888888888889</v>
      </c>
      <c r="M1432" s="1113" t="s">
        <v>166</v>
      </c>
      <c r="N1432" s="110" t="s">
        <v>187</v>
      </c>
      <c r="O1432" s="1114" t="s">
        <v>205</v>
      </c>
      <c r="P1432" s="1156" t="s">
        <v>296</v>
      </c>
      <c r="Q1432" s="1116"/>
      <c r="R1432" s="1154">
        <v>20.7</v>
      </c>
      <c r="S1432" s="1115">
        <v>5.1</v>
      </c>
      <c r="T1432" s="1155">
        <v>1.2</v>
      </c>
      <c r="U1432" s="1178">
        <v>2.0</v>
      </c>
      <c r="V1432" s="1178"/>
      <c r="W1432" s="1178"/>
      <c r="X1432" s="1178"/>
      <c r="Y1432" s="1178"/>
      <c r="Z1432" s="1114" t="s">
        <v>365</v>
      </c>
      <c r="AA1432" s="1114"/>
      <c r="AB1432" s="1114" t="s">
        <v>384</v>
      </c>
      <c r="AC1432" s="1117">
        <v>6.0</v>
      </c>
      <c r="AD1432" s="1115"/>
      <c r="AE1432" s="1115"/>
      <c r="AF1432" s="1115"/>
      <c r="AG1432" s="1115"/>
      <c r="AH1432" s="1115"/>
      <c r="AI1432" s="1115"/>
      <c r="AJ1432" s="1117"/>
      <c r="AK1432" s="1118"/>
      <c r="AL1432" s="1115"/>
      <c r="AM1432" s="1115"/>
      <c r="AN1432" s="1115"/>
      <c r="AO1432" s="1115"/>
      <c r="AP1432" s="1115"/>
      <c r="AQ1432" s="1115"/>
      <c r="AR1432" s="1115"/>
      <c r="AS1432" s="1117"/>
      <c r="AT1432" s="1075" t="s">
        <v>182</v>
      </c>
      <c r="AU1432" s="947" t="s">
        <v>846</v>
      </c>
      <c r="AV1432" s="330">
        <f>SQRT(($R1432-Infrastructure!J$3)^2+($S1432-Infrastructure!K$3)^2)</f>
        <v>31.74019534</v>
      </c>
      <c r="AW1432" s="331">
        <f>SQRT(($R1432-Infrastructure!J$4)^2+($S1432-Infrastructure!K$4)^2)</f>
        <v>24.54159734</v>
      </c>
      <c r="AX1432" s="331">
        <f>SQRT(($R1432-Infrastructure!J$5)^2+($S1432-Infrastructure!K$5)^2)</f>
        <v>21</v>
      </c>
      <c r="AY1432" s="331">
        <f>SQRT(($R1432-Infrastructure!J$6)^2+($S1432-Infrastructure!K$6)^2)</f>
        <v>11.63615057</v>
      </c>
      <c r="AZ1432" s="331">
        <f>SQRT(($R1432-Infrastructure!J$7)^2+($S1432-Infrastructure!K$7)^2)</f>
        <v>4.80416486</v>
      </c>
      <c r="BA1432" s="331">
        <f>SQRT(($R1432-Infrastructure!J$8)^2+($S1432-Infrastructure!K$8)^2)</f>
        <v>10.55461984</v>
      </c>
      <c r="BB1432" s="331">
        <f>SQRT(($R1432-Infrastructure!J$9)^2+($S1432-Infrastructure!K$9)^2)</f>
        <v>19.3</v>
      </c>
      <c r="BC1432" s="331">
        <f>SQRT(($R1432-Infrastructure!J$10)^2+($S1432-Infrastructure!K$10)^2)</f>
        <v>21.69101196</v>
      </c>
      <c r="BD1432" s="331">
        <f>SQRT(($R1432-Infrastructure!J$11)^2+($S1432-Infrastructure!K$11)^2)</f>
        <v>30.84574525</v>
      </c>
      <c r="BE1432" s="333">
        <f>SQRT(($R1432-Infrastructure!J$12)^2+($S1432-Infrastructure!K$12)^2)</f>
        <v>50.40634881</v>
      </c>
      <c r="BF1432" s="330">
        <f t="shared" si="161"/>
        <v>4.80416486</v>
      </c>
      <c r="BG1432" s="333">
        <f t="shared" si="162"/>
        <v>50.40634881</v>
      </c>
      <c r="BH1432" s="1119"/>
      <c r="BI1432" s="319"/>
      <c r="BJ1432" s="319"/>
      <c r="BK1432" s="319"/>
      <c r="BL1432" s="319"/>
      <c r="BM1432" s="955"/>
      <c r="BN1432" s="319"/>
      <c r="BO1432" s="319"/>
      <c r="BP1432" s="953"/>
      <c r="BQ1432" s="319"/>
      <c r="BR1432" s="324"/>
      <c r="BS1432" s="330">
        <f t="shared" si="169"/>
        <v>0</v>
      </c>
      <c r="BT1432" s="331">
        <f t="shared" si="170"/>
        <v>0</v>
      </c>
      <c r="BU1432" s="920"/>
      <c r="BV1432" s="903">
        <f t="shared" si="171"/>
        <v>-0.6884259259</v>
      </c>
      <c r="BW1432" s="907"/>
      <c r="BX1432" s="908"/>
      <c r="BY1432" s="331" t="b">
        <f t="shared" si="166"/>
        <v>0</v>
      </c>
      <c r="BZ1432" s="340"/>
      <c r="CA1432" s="316"/>
      <c r="CB1432" s="318"/>
      <c r="CC1432" s="318"/>
      <c r="CD1432" s="318"/>
      <c r="CE1432" s="318"/>
      <c r="CF1432" s="318"/>
      <c r="CG1432" s="318"/>
      <c r="CH1432" s="318"/>
      <c r="CI1432" s="318"/>
      <c r="CJ1432" s="463"/>
      <c r="CK1432" s="342"/>
      <c r="CL1432" s="333"/>
      <c r="CM1432" s="1079"/>
      <c r="CN1432" s="1005"/>
      <c r="CO1432" s="1005"/>
      <c r="CP1432" s="1005"/>
    </row>
    <row r="1433">
      <c r="B1433" s="1106" t="s">
        <v>1537</v>
      </c>
      <c r="C1433" s="1107">
        <v>44735.0</v>
      </c>
      <c r="D1433" s="1113" t="s">
        <v>986</v>
      </c>
      <c r="E1433" s="1108">
        <v>13.0</v>
      </c>
      <c r="F1433" s="110" t="s">
        <v>2125</v>
      </c>
      <c r="G1433" s="1151">
        <v>0.37482638888888886</v>
      </c>
      <c r="H1433" s="1152">
        <v>0.37517361111111114</v>
      </c>
      <c r="I1433" s="1152"/>
      <c r="J1433" s="1153"/>
      <c r="K1433" s="1153">
        <v>0.46145833333333336</v>
      </c>
      <c r="L1433" s="1112">
        <v>0.08628472222222222</v>
      </c>
      <c r="M1433" s="1113" t="s">
        <v>166</v>
      </c>
      <c r="N1433" s="110" t="s">
        <v>187</v>
      </c>
      <c r="O1433" s="1114" t="s">
        <v>203</v>
      </c>
      <c r="P1433" s="1115" t="s">
        <v>250</v>
      </c>
      <c r="Q1433" s="1116"/>
      <c r="R1433" s="1154">
        <v>15.1</v>
      </c>
      <c r="S1433" s="1115">
        <v>2.4</v>
      </c>
      <c r="T1433" s="1155">
        <v>1.2</v>
      </c>
      <c r="U1433" s="1178">
        <v>0.4</v>
      </c>
      <c r="V1433" s="1178"/>
      <c r="W1433" s="1178"/>
      <c r="X1433" s="1178"/>
      <c r="Y1433" s="1178"/>
      <c r="Z1433" s="1114" t="s">
        <v>357</v>
      </c>
      <c r="AA1433" s="1114"/>
      <c r="AB1433" s="1114" t="s">
        <v>371</v>
      </c>
      <c r="AC1433" s="1117">
        <v>1.8</v>
      </c>
      <c r="AD1433" s="1115"/>
      <c r="AE1433" s="1115"/>
      <c r="AF1433" s="1115"/>
      <c r="AG1433" s="1115"/>
      <c r="AH1433" s="1115"/>
      <c r="AI1433" s="1115"/>
      <c r="AJ1433" s="1117"/>
      <c r="AK1433" s="1118"/>
      <c r="AL1433" s="1115"/>
      <c r="AM1433" s="1115"/>
      <c r="AN1433" s="1115"/>
      <c r="AO1433" s="1115"/>
      <c r="AP1433" s="1115"/>
      <c r="AQ1433" s="1115"/>
      <c r="AR1433" s="1115"/>
      <c r="AS1433" s="1117"/>
      <c r="AT1433" s="1075" t="s">
        <v>181</v>
      </c>
      <c r="AU1433" s="1078" t="s">
        <v>845</v>
      </c>
      <c r="AV1433" s="330">
        <f>SQRT(($R1433-Infrastructure!J$3)^2+($S1433-Infrastructure!K$3)^2)</f>
        <v>30.64979608</v>
      </c>
      <c r="AW1433" s="331">
        <f>SQRT(($R1433-Infrastructure!J$4)^2+($S1433-Infrastructure!K$4)^2)</f>
        <v>21.77888886</v>
      </c>
      <c r="AX1433" s="331">
        <f>SQRT(($R1433-Infrastructure!J$5)^2+($S1433-Infrastructure!K$5)^2)</f>
        <v>15.63489687</v>
      </c>
      <c r="AY1433" s="331">
        <f>SQRT(($R1433-Infrastructure!J$6)^2+($S1433-Infrastructure!K$6)^2)</f>
        <v>5.423098745</v>
      </c>
      <c r="AZ1433" s="331">
        <f>SQRT(($R1433-Infrastructure!J$7)^2+($S1433-Infrastructure!K$7)^2)</f>
        <v>5.793962375</v>
      </c>
      <c r="BA1433" s="331">
        <f>SQRT(($R1433-Infrastructure!J$8)^2+($S1433-Infrastructure!K$8)^2)</f>
        <v>15.14628667</v>
      </c>
      <c r="BB1433" s="331">
        <f>SQRT(($R1433-Infrastructure!J$9)^2+($S1433-Infrastructure!K$9)^2)</f>
        <v>25.04595776</v>
      </c>
      <c r="BC1433" s="331">
        <f>SQRT(($R1433-Infrastructure!J$10)^2+($S1433-Infrastructure!K$10)^2)</f>
        <v>27.90645087</v>
      </c>
      <c r="BD1433" s="331">
        <f>SQRT(($R1433-Infrastructure!J$11)^2+($S1433-Infrastructure!K$11)^2)</f>
        <v>36.5728041</v>
      </c>
      <c r="BE1433" s="333">
        <f>SQRT(($R1433-Infrastructure!J$12)^2+($S1433-Infrastructure!K$12)^2)</f>
        <v>53.48429676</v>
      </c>
      <c r="BF1433" s="330">
        <f t="shared" si="161"/>
        <v>5.423098745</v>
      </c>
      <c r="BG1433" s="333">
        <f t="shared" si="162"/>
        <v>53.48429676</v>
      </c>
      <c r="BH1433" s="1119"/>
      <c r="BI1433" s="319"/>
      <c r="BJ1433" s="319"/>
      <c r="BK1433" s="319" t="s">
        <v>846</v>
      </c>
      <c r="BL1433" s="319"/>
      <c r="BM1433" s="955"/>
      <c r="BN1433" s="319" t="s">
        <v>846</v>
      </c>
      <c r="BO1433" s="319"/>
      <c r="BP1433" s="953"/>
      <c r="BQ1433" s="319"/>
      <c r="BR1433" s="324" t="s">
        <v>846</v>
      </c>
      <c r="BS1433" s="330">
        <f t="shared" si="169"/>
        <v>15.14628667</v>
      </c>
      <c r="BT1433" s="331">
        <f t="shared" si="170"/>
        <v>53.48429676</v>
      </c>
      <c r="BU1433" s="920">
        <v>0.383900462962963</v>
      </c>
      <c r="BV1433" s="903">
        <f t="shared" si="171"/>
        <v>0.009074074074</v>
      </c>
      <c r="BW1433" s="907"/>
      <c r="BX1433" s="908"/>
      <c r="BY1433" s="331" t="b">
        <f t="shared" si="166"/>
        <v>0</v>
      </c>
      <c r="BZ1433" s="340"/>
      <c r="CA1433" s="316"/>
      <c r="CB1433" s="318"/>
      <c r="CC1433" s="318"/>
      <c r="CD1433" s="318"/>
      <c r="CE1433" s="318"/>
      <c r="CF1433" s="318"/>
      <c r="CG1433" s="318"/>
      <c r="CH1433" s="318"/>
      <c r="CI1433" s="318"/>
      <c r="CJ1433" s="463"/>
      <c r="CK1433" s="342"/>
      <c r="CL1433" s="333"/>
      <c r="CM1433" s="1079"/>
      <c r="CN1433" s="1005"/>
      <c r="CO1433" s="1005"/>
      <c r="CP1433" s="1005"/>
    </row>
    <row r="1434">
      <c r="B1434" s="1106" t="s">
        <v>1537</v>
      </c>
      <c r="C1434" s="1107">
        <v>44735.0</v>
      </c>
      <c r="D1434" s="1113" t="s">
        <v>986</v>
      </c>
      <c r="E1434" s="1108" t="s">
        <v>1857</v>
      </c>
      <c r="F1434" s="110" t="s">
        <v>2126</v>
      </c>
      <c r="G1434" s="1109">
        <v>0.4625</v>
      </c>
      <c r="H1434" s="1110">
        <v>0.4638888888888889</v>
      </c>
      <c r="I1434" s="1110"/>
      <c r="J1434" s="1111"/>
      <c r="K1434" s="1111">
        <v>0.5166666666666667</v>
      </c>
      <c r="L1434" s="1112">
        <v>0.05277777777777778</v>
      </c>
      <c r="M1434" s="1113" t="s">
        <v>166</v>
      </c>
      <c r="N1434" s="110" t="s">
        <v>187</v>
      </c>
      <c r="O1434" s="1114" t="s">
        <v>197</v>
      </c>
      <c r="P1434" s="1156" t="s">
        <v>272</v>
      </c>
      <c r="Q1434" s="1116"/>
      <c r="R1434" s="1154">
        <v>37.1</v>
      </c>
      <c r="S1434" s="1115">
        <v>6.9</v>
      </c>
      <c r="T1434" s="1155">
        <v>6.5</v>
      </c>
      <c r="U1434" s="1178">
        <v>1.0</v>
      </c>
      <c r="V1434" s="1178"/>
      <c r="W1434" s="1178"/>
      <c r="X1434" s="1178"/>
      <c r="Y1434" s="1178"/>
      <c r="Z1434" s="1114" t="s">
        <v>379</v>
      </c>
      <c r="AA1434" s="1114"/>
      <c r="AB1434" s="1114" t="s">
        <v>380</v>
      </c>
      <c r="AC1434" s="1117">
        <v>4.0</v>
      </c>
      <c r="AD1434" s="1115"/>
      <c r="AE1434" s="1115"/>
      <c r="AF1434" s="1115"/>
      <c r="AG1434" s="1115"/>
      <c r="AH1434" s="1115"/>
      <c r="AI1434" s="1115"/>
      <c r="AJ1434" s="1117"/>
      <c r="AK1434" s="1118"/>
      <c r="AL1434" s="1115"/>
      <c r="AM1434" s="1115"/>
      <c r="AN1434" s="1115"/>
      <c r="AO1434" s="1115"/>
      <c r="AP1434" s="1115"/>
      <c r="AQ1434" s="1115"/>
      <c r="AR1434" s="1115"/>
      <c r="AS1434" s="1117"/>
      <c r="AT1434" s="1075" t="s">
        <v>182</v>
      </c>
      <c r="AU1434" s="947" t="s">
        <v>846</v>
      </c>
      <c r="AV1434" s="330">
        <f>SQRT(($R1434-Infrastructure!J$3)^2+($S1434-Infrastructure!K$3)^2)</f>
        <v>43.39078243</v>
      </c>
      <c r="AW1434" s="331">
        <f>SQRT(($R1434-Infrastructure!J$4)^2+($S1434-Infrastructure!K$4)^2)</f>
        <v>38.95600082</v>
      </c>
      <c r="AX1434" s="331">
        <f>SQRT(($R1434-Infrastructure!J$5)^2+($S1434-Infrastructure!K$5)^2)</f>
        <v>37.44329045</v>
      </c>
      <c r="AY1434" s="331">
        <f>SQRT(($R1434-Infrastructure!J$6)^2+($S1434-Infrastructure!K$6)^2)</f>
        <v>27.79496357</v>
      </c>
      <c r="AZ1434" s="331">
        <f>SQRT(($R1434-Infrastructure!J$7)^2+($S1434-Infrastructure!K$7)^2)</f>
        <v>17.86393014</v>
      </c>
      <c r="BA1434" s="331">
        <f>SQRT(($R1434-Infrastructure!J$8)^2+($S1434-Infrastructure!K$8)^2)</f>
        <v>9.620810777</v>
      </c>
      <c r="BB1434" s="331">
        <f>SQRT(($R1434-Infrastructure!J$9)^2+($S1434-Infrastructure!K$9)^2)</f>
        <v>3.413209633</v>
      </c>
      <c r="BC1434" s="331">
        <f>SQRT(($R1434-Infrastructure!J$10)^2+($S1434-Infrastructure!K$10)^2)</f>
        <v>8.603487665</v>
      </c>
      <c r="BD1434" s="331">
        <f>SQRT(($R1434-Infrastructure!J$11)^2+($S1434-Infrastructure!K$11)^2)</f>
        <v>22.31636171</v>
      </c>
      <c r="BE1434" s="333">
        <f>SQRT(($R1434-Infrastructure!J$12)^2+($S1434-Infrastructure!K$12)^2)</f>
        <v>51.04233537</v>
      </c>
      <c r="BF1434" s="330">
        <f t="shared" si="161"/>
        <v>3.413209633</v>
      </c>
      <c r="BG1434" s="333">
        <f t="shared" si="162"/>
        <v>51.04233537</v>
      </c>
      <c r="BH1434" s="1119"/>
      <c r="BI1434" s="319"/>
      <c r="BJ1434" s="319" t="s">
        <v>846</v>
      </c>
      <c r="BK1434" s="319" t="s">
        <v>846</v>
      </c>
      <c r="BL1434" s="319" t="s">
        <v>846</v>
      </c>
      <c r="BM1434" s="955"/>
      <c r="BN1434" s="319" t="s">
        <v>846</v>
      </c>
      <c r="BO1434" s="319"/>
      <c r="BP1434" s="953"/>
      <c r="BQ1434" s="319"/>
      <c r="BR1434" s="324" t="s">
        <v>846</v>
      </c>
      <c r="BS1434" s="330">
        <f t="shared" si="169"/>
        <v>9.620810777</v>
      </c>
      <c r="BT1434" s="331">
        <f t="shared" si="170"/>
        <v>51.04233537</v>
      </c>
      <c r="BU1434" s="920"/>
      <c r="BV1434" s="903">
        <f t="shared" si="171"/>
        <v>-0.4625</v>
      </c>
      <c r="BW1434" s="907"/>
      <c r="BX1434" s="908"/>
      <c r="BY1434" s="331" t="b">
        <f t="shared" si="166"/>
        <v>0</v>
      </c>
      <c r="BZ1434" s="340"/>
      <c r="CA1434" s="316"/>
      <c r="CB1434" s="318"/>
      <c r="CC1434" s="318"/>
      <c r="CD1434" s="318"/>
      <c r="CE1434" s="318"/>
      <c r="CF1434" s="318"/>
      <c r="CG1434" s="318"/>
      <c r="CH1434" s="318"/>
      <c r="CI1434" s="318"/>
      <c r="CJ1434" s="463"/>
      <c r="CK1434" s="342"/>
      <c r="CL1434" s="333"/>
      <c r="CM1434" s="1079"/>
      <c r="CN1434" s="1005"/>
      <c r="CO1434" s="1005"/>
      <c r="CP1434" s="1005"/>
    </row>
    <row r="1435">
      <c r="B1435" s="1106" t="s">
        <v>1537</v>
      </c>
      <c r="C1435" s="1107">
        <v>44735.0</v>
      </c>
      <c r="D1435" s="1113" t="s">
        <v>986</v>
      </c>
      <c r="E1435" s="1108" t="s">
        <v>1878</v>
      </c>
      <c r="F1435" s="110" t="s">
        <v>2127</v>
      </c>
      <c r="G1435" s="1109">
        <v>0.4627893518518518</v>
      </c>
      <c r="H1435" s="1110">
        <v>0.4638888888888889</v>
      </c>
      <c r="I1435" s="1110"/>
      <c r="J1435" s="1111"/>
      <c r="K1435" s="1111">
        <v>0.5166666666666667</v>
      </c>
      <c r="L1435" s="1112">
        <v>0.05277777777777778</v>
      </c>
      <c r="M1435" s="1113" t="s">
        <v>166</v>
      </c>
      <c r="N1435" s="110" t="s">
        <v>187</v>
      </c>
      <c r="O1435" s="1114" t="s">
        <v>201</v>
      </c>
      <c r="P1435" s="1156" t="s">
        <v>272</v>
      </c>
      <c r="Q1435" s="1116"/>
      <c r="R1435" s="1154">
        <v>16.5</v>
      </c>
      <c r="S1435" s="1115">
        <v>8.0</v>
      </c>
      <c r="T1435" s="1155">
        <v>0.6</v>
      </c>
      <c r="U1435" s="1178">
        <v>0.5</v>
      </c>
      <c r="V1435" s="1178"/>
      <c r="W1435" s="1178"/>
      <c r="X1435" s="1178"/>
      <c r="Y1435" s="1178"/>
      <c r="Z1435" s="1114" t="s">
        <v>335</v>
      </c>
      <c r="AA1435" s="1114"/>
      <c r="AB1435" s="1114" t="s">
        <v>375</v>
      </c>
      <c r="AC1435" s="1117">
        <v>2.7</v>
      </c>
      <c r="AD1435" s="1115"/>
      <c r="AE1435" s="1115"/>
      <c r="AF1435" s="1115"/>
      <c r="AG1435" s="1115"/>
      <c r="AH1435" s="1115"/>
      <c r="AI1435" s="1115"/>
      <c r="AJ1435" s="1117"/>
      <c r="AK1435" s="1118"/>
      <c r="AL1435" s="1115"/>
      <c r="AM1435" s="1115"/>
      <c r="AN1435" s="1115"/>
      <c r="AO1435" s="1115"/>
      <c r="AP1435" s="1115"/>
      <c r="AQ1435" s="1115"/>
      <c r="AR1435" s="1115"/>
      <c r="AS1435" s="1117"/>
      <c r="AT1435" s="1075" t="s">
        <v>181</v>
      </c>
      <c r="AU1435" s="947" t="s">
        <v>846</v>
      </c>
      <c r="AV1435" s="330">
        <f>SQRT(($R1435-Infrastructure!J$3)^2+($S1435-Infrastructure!K$3)^2)</f>
        <v>26.81510768</v>
      </c>
      <c r="AW1435" s="331">
        <f>SQRT(($R1435-Infrastructure!J$4)^2+($S1435-Infrastructure!K$4)^2)</f>
        <v>19.44942159</v>
      </c>
      <c r="AX1435" s="331">
        <f>SQRT(($R1435-Infrastructure!J$5)^2+($S1435-Infrastructure!K$5)^2)</f>
        <v>17.04846034</v>
      </c>
      <c r="AY1435" s="331">
        <f>SQRT(($R1435-Infrastructure!J$6)^2+($S1435-Infrastructure!K$6)^2)</f>
        <v>10.0124922</v>
      </c>
      <c r="AZ1435" s="331">
        <f>SQRT(($R1435-Infrastructure!J$7)^2+($S1435-Infrastructure!K$7)^2)</f>
        <v>8.676981042</v>
      </c>
      <c r="BA1435" s="331">
        <f>SQRT(($R1435-Infrastructure!J$8)^2+($S1435-Infrastructure!K$8)^2)</f>
        <v>15.62849961</v>
      </c>
      <c r="BB1435" s="331">
        <f>SQRT(($R1435-Infrastructure!J$9)^2+($S1435-Infrastructure!K$9)^2)</f>
        <v>23.67826007</v>
      </c>
      <c r="BC1435" s="331">
        <f>SQRT(($R1435-Infrastructure!J$10)^2+($S1435-Infrastructure!K$10)^2)</f>
        <v>24.52039967</v>
      </c>
      <c r="BD1435" s="331">
        <f>SQRT(($R1435-Infrastructure!J$11)^2+($S1435-Infrastructure!K$11)^2)</f>
        <v>31.66528067</v>
      </c>
      <c r="BE1435" s="333">
        <f>SQRT(($R1435-Infrastructure!J$12)^2+($S1435-Infrastructure!K$12)^2)</f>
        <v>47.76243294</v>
      </c>
      <c r="BF1435" s="330">
        <f t="shared" si="161"/>
        <v>8.676981042</v>
      </c>
      <c r="BG1435" s="333">
        <f t="shared" si="162"/>
        <v>47.76243294</v>
      </c>
      <c r="BH1435" s="1119"/>
      <c r="BI1435" s="319"/>
      <c r="BJ1435" s="319" t="s">
        <v>846</v>
      </c>
      <c r="BK1435" s="319" t="s">
        <v>846</v>
      </c>
      <c r="BL1435" s="319" t="s">
        <v>846</v>
      </c>
      <c r="BM1435" s="955"/>
      <c r="BN1435" s="319" t="s">
        <v>846</v>
      </c>
      <c r="BO1435" s="319"/>
      <c r="BP1435" s="953"/>
      <c r="BQ1435" s="319"/>
      <c r="BR1435" s="324" t="s">
        <v>846</v>
      </c>
      <c r="BS1435" s="330">
        <f t="shared" si="169"/>
        <v>10.0124922</v>
      </c>
      <c r="BT1435" s="331">
        <f t="shared" si="170"/>
        <v>47.76243294</v>
      </c>
      <c r="BU1435" s="920"/>
      <c r="BV1435" s="903">
        <f t="shared" si="171"/>
        <v>-0.4627893519</v>
      </c>
      <c r="BW1435" s="907"/>
      <c r="BX1435" s="908"/>
      <c r="BY1435" s="331" t="b">
        <f t="shared" si="166"/>
        <v>0</v>
      </c>
      <c r="BZ1435" s="340"/>
      <c r="CA1435" s="316"/>
      <c r="CB1435" s="318"/>
      <c r="CC1435" s="318"/>
      <c r="CD1435" s="318"/>
      <c r="CE1435" s="318"/>
      <c r="CF1435" s="318"/>
      <c r="CG1435" s="318"/>
      <c r="CH1435" s="318"/>
      <c r="CI1435" s="318"/>
      <c r="CJ1435" s="463"/>
      <c r="CK1435" s="342"/>
      <c r="CL1435" s="333"/>
      <c r="CM1435" s="1079"/>
      <c r="CN1435" s="1005"/>
      <c r="CO1435" s="1005"/>
      <c r="CP1435" s="1005"/>
    </row>
    <row r="1436">
      <c r="B1436" s="1106" t="s">
        <v>1537</v>
      </c>
      <c r="C1436" s="1107">
        <v>44735.0</v>
      </c>
      <c r="D1436" s="1113" t="s">
        <v>986</v>
      </c>
      <c r="E1436" s="1108">
        <v>16.0</v>
      </c>
      <c r="F1436" s="110" t="s">
        <v>2128</v>
      </c>
      <c r="G1436" s="1109">
        <v>0.5832175925925925</v>
      </c>
      <c r="H1436" s="1110">
        <v>0.5834490740740741</v>
      </c>
      <c r="I1436" s="1110"/>
      <c r="J1436" s="1111"/>
      <c r="K1436" s="1111">
        <v>0.61875</v>
      </c>
      <c r="L1436" s="1112">
        <v>0.03530092592592592</v>
      </c>
      <c r="M1436" s="1113" t="s">
        <v>166</v>
      </c>
      <c r="N1436" s="110" t="s">
        <v>187</v>
      </c>
      <c r="O1436" s="1114" t="s">
        <v>198</v>
      </c>
      <c r="P1436" s="1156" t="s">
        <v>218</v>
      </c>
      <c r="Q1436" s="1116"/>
      <c r="R1436" s="1154">
        <v>10.3</v>
      </c>
      <c r="S1436" s="1115">
        <v>8.1</v>
      </c>
      <c r="T1436" s="1155">
        <v>3.0</v>
      </c>
      <c r="U1436" s="1178">
        <v>0.07</v>
      </c>
      <c r="V1436" s="1178"/>
      <c r="W1436" s="1178"/>
      <c r="X1436" s="1178"/>
      <c r="Y1436" s="1178"/>
      <c r="Z1436" s="1114" t="s">
        <v>335</v>
      </c>
      <c r="AA1436" s="1114"/>
      <c r="AB1436" s="1114" t="s">
        <v>371</v>
      </c>
      <c r="AC1436" s="1117">
        <v>1.8</v>
      </c>
      <c r="AD1436" s="1115"/>
      <c r="AE1436" s="1115"/>
      <c r="AF1436" s="1115"/>
      <c r="AG1436" s="1115"/>
      <c r="AH1436" s="1115"/>
      <c r="AI1436" s="1115"/>
      <c r="AJ1436" s="1117"/>
      <c r="AK1436" s="1118"/>
      <c r="AL1436" s="1115"/>
      <c r="AM1436" s="1115"/>
      <c r="AN1436" s="1115"/>
      <c r="AO1436" s="1115"/>
      <c r="AP1436" s="1115"/>
      <c r="AQ1436" s="1115"/>
      <c r="AR1436" s="1115"/>
      <c r="AS1436" s="1117"/>
      <c r="AT1436" s="1075" t="s">
        <v>181</v>
      </c>
      <c r="AU1436" s="1078" t="s">
        <v>845</v>
      </c>
      <c r="AV1436" s="330">
        <f>SQRT(($R1436-Infrastructure!J$3)^2+($S1436-Infrastructure!K$3)^2)</f>
        <v>23.34523506</v>
      </c>
      <c r="AW1436" s="331">
        <f>SQRT(($R1436-Infrastructure!J$4)^2+($S1436-Infrastructure!K$4)^2)</f>
        <v>14.36836804</v>
      </c>
      <c r="AX1436" s="331">
        <f>SQRT(($R1436-Infrastructure!J$5)^2+($S1436-Infrastructure!K$5)^2)</f>
        <v>11.01635148</v>
      </c>
      <c r="AY1436" s="331">
        <f>SQRT(($R1436-Infrastructure!J$6)^2+($S1436-Infrastructure!K$6)^2)</f>
        <v>7.802563681</v>
      </c>
      <c r="AZ1436" s="331">
        <f>SQRT(($R1436-Infrastructure!J$7)^2+($S1436-Infrastructure!K$7)^2)</f>
        <v>12.84056074</v>
      </c>
      <c r="BA1436" s="331">
        <f>SQRT(($R1436-Infrastructure!J$8)^2+($S1436-Infrastructure!K$8)^2)</f>
        <v>21.28097742</v>
      </c>
      <c r="BB1436" s="331">
        <f>SQRT(($R1436-Infrastructure!J$9)^2+($S1436-Infrastructure!K$9)^2)</f>
        <v>29.85113063</v>
      </c>
      <c r="BC1436" s="331">
        <f>SQRT(($R1436-Infrastructure!J$10)^2+($S1436-Infrastructure!K$10)^2)</f>
        <v>30.49098227</v>
      </c>
      <c r="BD1436" s="331">
        <f>SQRT(($R1436-Infrastructure!J$11)^2+($S1436-Infrastructure!K$11)^2)</f>
        <v>36.4804057</v>
      </c>
      <c r="BE1436" s="333">
        <f>SQRT(($R1436-Infrastructure!J$12)^2+($S1436-Infrastructure!K$12)^2)</f>
        <v>48.70523586</v>
      </c>
      <c r="BF1436" s="330">
        <f t="shared" si="161"/>
        <v>7.802563681</v>
      </c>
      <c r="BG1436" s="333">
        <f t="shared" si="162"/>
        <v>48.70523586</v>
      </c>
      <c r="BH1436" s="1119"/>
      <c r="BI1436" s="319"/>
      <c r="BJ1436" s="319"/>
      <c r="BK1436" s="319"/>
      <c r="BL1436" s="319"/>
      <c r="BM1436" s="955"/>
      <c r="BN1436" s="319"/>
      <c r="BO1436" s="319"/>
      <c r="BP1436" s="953"/>
      <c r="BQ1436" s="319"/>
      <c r="BR1436" s="324"/>
      <c r="BS1436" s="330">
        <f t="shared" si="169"/>
        <v>0</v>
      </c>
      <c r="BT1436" s="331">
        <f t="shared" si="170"/>
        <v>0</v>
      </c>
      <c r="BU1436" s="920"/>
      <c r="BV1436" s="903">
        <f t="shared" si="171"/>
        <v>-0.5832175926</v>
      </c>
      <c r="BW1436" s="907"/>
      <c r="BX1436" s="908"/>
      <c r="BY1436" s="331" t="b">
        <f t="shared" si="166"/>
        <v>0</v>
      </c>
      <c r="BZ1436" s="340"/>
      <c r="CA1436" s="316"/>
      <c r="CB1436" s="318"/>
      <c r="CC1436" s="318"/>
      <c r="CD1436" s="318"/>
      <c r="CE1436" s="318"/>
      <c r="CF1436" s="318"/>
      <c r="CG1436" s="318"/>
      <c r="CH1436" s="318"/>
      <c r="CI1436" s="318"/>
      <c r="CJ1436" s="463"/>
      <c r="CK1436" s="342"/>
      <c r="CL1436" s="333"/>
      <c r="CM1436" s="1079"/>
      <c r="CN1436" s="1005"/>
      <c r="CO1436" s="1005"/>
      <c r="CP1436" s="1005"/>
    </row>
    <row r="1437">
      <c r="B1437" s="1106" t="s">
        <v>1537</v>
      </c>
      <c r="C1437" s="1107">
        <v>44735.0</v>
      </c>
      <c r="D1437" s="1113" t="s">
        <v>986</v>
      </c>
      <c r="E1437" s="1108">
        <v>17.0</v>
      </c>
      <c r="F1437" s="110" t="s">
        <v>2129</v>
      </c>
      <c r="G1437" s="1109">
        <v>0.6195601851851852</v>
      </c>
      <c r="H1437" s="1110">
        <v>0.6203125</v>
      </c>
      <c r="I1437" s="1110"/>
      <c r="J1437" s="1111"/>
      <c r="K1437" s="1111">
        <v>0.6803819444444444</v>
      </c>
      <c r="L1437" s="1112">
        <v>0.060069444444444446</v>
      </c>
      <c r="M1437" s="1113" t="s">
        <v>166</v>
      </c>
      <c r="N1437" s="110" t="s">
        <v>187</v>
      </c>
      <c r="O1437" s="1114" t="s">
        <v>203</v>
      </c>
      <c r="P1437" s="1156" t="s">
        <v>227</v>
      </c>
      <c r="Q1437" s="1116"/>
      <c r="R1437" s="1154">
        <v>15.5</v>
      </c>
      <c r="S1437" s="1115">
        <v>3.4</v>
      </c>
      <c r="T1437" s="1155">
        <v>1.4</v>
      </c>
      <c r="U1437" s="1178">
        <v>0.25</v>
      </c>
      <c r="V1437" s="1178"/>
      <c r="W1437" s="1178"/>
      <c r="X1437" s="1178"/>
      <c r="Y1437" s="1178"/>
      <c r="Z1437" s="1114" t="s">
        <v>357</v>
      </c>
      <c r="AA1437" s="1114"/>
      <c r="AB1437" s="1114" t="s">
        <v>371</v>
      </c>
      <c r="AC1437" s="1117">
        <v>1.8</v>
      </c>
      <c r="AD1437" s="1115"/>
      <c r="AE1437" s="1115"/>
      <c r="AF1437" s="1115"/>
      <c r="AG1437" s="1115"/>
      <c r="AH1437" s="1115"/>
      <c r="AI1437" s="1115"/>
      <c r="AJ1437" s="1117"/>
      <c r="AK1437" s="1118"/>
      <c r="AL1437" s="1115"/>
      <c r="AM1437" s="1115"/>
      <c r="AN1437" s="1115"/>
      <c r="AO1437" s="1115"/>
      <c r="AP1437" s="1115"/>
      <c r="AQ1437" s="1115"/>
      <c r="AR1437" s="1115"/>
      <c r="AS1437" s="1117"/>
      <c r="AT1437" s="1075" t="s">
        <v>181</v>
      </c>
      <c r="AU1437" s="1078" t="s">
        <v>845</v>
      </c>
      <c r="AV1437" s="330">
        <f>SQRT(($R1437-Infrastructure!J$3)^2+($S1437-Infrastructure!K$3)^2)</f>
        <v>29.99816661</v>
      </c>
      <c r="AW1437" s="331">
        <f>SQRT(($R1437-Infrastructure!J$4)^2+($S1437-Infrastructure!K$4)^2)</f>
        <v>21.37755833</v>
      </c>
      <c r="AX1437" s="331">
        <f>SQRT(($R1437-Infrastructure!J$5)^2+($S1437-Infrastructure!K$5)^2)</f>
        <v>15.89119253</v>
      </c>
      <c r="AY1437" s="331">
        <f>SQRT(($R1437-Infrastructure!J$6)^2+($S1437-Infrastructure!K$6)^2)</f>
        <v>6.22655603</v>
      </c>
      <c r="AZ1437" s="331">
        <f>SQRT(($R1437-Infrastructure!J$7)^2+($S1437-Infrastructure!K$7)^2)</f>
        <v>5.883026432</v>
      </c>
      <c r="BA1437" s="331">
        <f>SQRT(($R1437-Infrastructure!J$8)^2+($S1437-Infrastructure!K$8)^2)</f>
        <v>14.92548157</v>
      </c>
      <c r="BB1437" s="331">
        <f>SQRT(($R1437-Infrastructure!J$9)^2+($S1437-Infrastructure!K$9)^2)</f>
        <v>24.55890877</v>
      </c>
      <c r="BC1437" s="331">
        <f>SQRT(($R1437-Infrastructure!J$10)^2+($S1437-Infrastructure!K$10)^2)</f>
        <v>27.10737907</v>
      </c>
      <c r="BD1437" s="331">
        <f>SQRT(($R1437-Infrastructure!J$11)^2+($S1437-Infrastructure!K$11)^2)</f>
        <v>35.57316404</v>
      </c>
      <c r="BE1437" s="333">
        <f>SQRT(($R1437-Infrastructure!J$12)^2+($S1437-Infrastructure!K$12)^2)</f>
        <v>52.44435146</v>
      </c>
      <c r="BF1437" s="330">
        <f t="shared" si="161"/>
        <v>5.883026432</v>
      </c>
      <c r="BG1437" s="333">
        <f t="shared" si="162"/>
        <v>52.44435146</v>
      </c>
      <c r="BH1437" s="1119"/>
      <c r="BI1437" s="319"/>
      <c r="BJ1437" s="319"/>
      <c r="BK1437" s="319"/>
      <c r="BL1437" s="319"/>
      <c r="BM1437" s="955"/>
      <c r="BN1437" s="319"/>
      <c r="BO1437" s="319"/>
      <c r="BP1437" s="953"/>
      <c r="BQ1437" s="319"/>
      <c r="BR1437" s="324"/>
      <c r="BS1437" s="330">
        <f t="shared" si="169"/>
        <v>0</v>
      </c>
      <c r="BT1437" s="331">
        <f t="shared" si="170"/>
        <v>0</v>
      </c>
      <c r="BU1437" s="920"/>
      <c r="BV1437" s="903">
        <f t="shared" si="171"/>
        <v>-0.6195601852</v>
      </c>
      <c r="BW1437" s="907"/>
      <c r="BX1437" s="908"/>
      <c r="BY1437" s="331" t="b">
        <f t="shared" si="166"/>
        <v>0</v>
      </c>
      <c r="BZ1437" s="340"/>
      <c r="CA1437" s="316"/>
      <c r="CB1437" s="318"/>
      <c r="CC1437" s="318"/>
      <c r="CD1437" s="318"/>
      <c r="CE1437" s="318"/>
      <c r="CF1437" s="318"/>
      <c r="CG1437" s="318"/>
      <c r="CH1437" s="318"/>
      <c r="CI1437" s="318"/>
      <c r="CJ1437" s="463"/>
      <c r="CK1437" s="342"/>
      <c r="CL1437" s="333"/>
      <c r="CM1437" s="1079"/>
      <c r="CN1437" s="1005"/>
      <c r="CO1437" s="1005"/>
      <c r="CP1437" s="1005"/>
    </row>
    <row r="1438">
      <c r="B1438" s="1106" t="s">
        <v>1537</v>
      </c>
      <c r="C1438" s="1107">
        <v>44735.0</v>
      </c>
      <c r="D1438" s="1113" t="s">
        <v>986</v>
      </c>
      <c r="E1438" s="1108">
        <v>18.0</v>
      </c>
      <c r="F1438" s="110" t="s">
        <v>2130</v>
      </c>
      <c r="G1438" s="1109">
        <v>0.68125</v>
      </c>
      <c r="H1438" s="1110">
        <v>0.6821180555555556</v>
      </c>
      <c r="I1438" s="1110"/>
      <c r="J1438" s="1111"/>
      <c r="K1438" s="1111">
        <v>0.7248263888888888</v>
      </c>
      <c r="L1438" s="1112">
        <v>0.042708333333333334</v>
      </c>
      <c r="M1438" s="1113" t="s">
        <v>166</v>
      </c>
      <c r="N1438" s="110" t="s">
        <v>187</v>
      </c>
      <c r="O1438" s="1114" t="s">
        <v>199</v>
      </c>
      <c r="P1438" s="1156" t="s">
        <v>272</v>
      </c>
      <c r="Q1438" s="1116"/>
      <c r="R1438" s="1154">
        <v>16.1</v>
      </c>
      <c r="S1438" s="1115">
        <v>9.6</v>
      </c>
      <c r="T1438" s="1155">
        <v>0.01</v>
      </c>
      <c r="U1438" s="1178">
        <v>2.0</v>
      </c>
      <c r="V1438" s="1178"/>
      <c r="W1438" s="1178"/>
      <c r="X1438" s="1178"/>
      <c r="Y1438" s="1178"/>
      <c r="Z1438" s="1114" t="s">
        <v>351</v>
      </c>
      <c r="AA1438" s="1114"/>
      <c r="AB1438" s="1114" t="s">
        <v>384</v>
      </c>
      <c r="AC1438" s="1117">
        <v>6.0</v>
      </c>
      <c r="AD1438" s="1115"/>
      <c r="AE1438" s="1115"/>
      <c r="AF1438" s="1115"/>
      <c r="AG1438" s="1115"/>
      <c r="AH1438" s="1115"/>
      <c r="AI1438" s="1115"/>
      <c r="AJ1438" s="1117"/>
      <c r="AK1438" s="1118"/>
      <c r="AL1438" s="1115"/>
      <c r="AM1438" s="1115"/>
      <c r="AN1438" s="1115"/>
      <c r="AO1438" s="1115"/>
      <c r="AP1438" s="1115"/>
      <c r="AQ1438" s="1115"/>
      <c r="AR1438" s="1115"/>
      <c r="AS1438" s="1117"/>
      <c r="AT1438" s="1075" t="s">
        <v>182</v>
      </c>
      <c r="AU1438" s="1078" t="s">
        <v>845</v>
      </c>
      <c r="AV1438" s="330">
        <f>SQRT(($R1438-Infrastructure!J$3)^2+($S1438-Infrastructure!K$3)^2)</f>
        <v>25.32686321</v>
      </c>
      <c r="AW1438" s="331">
        <f>SQRT(($R1438-Infrastructure!J$4)^2+($S1438-Infrastructure!K$4)^2)</f>
        <v>18.33575742</v>
      </c>
      <c r="AX1438" s="331">
        <f>SQRT(($R1438-Infrastructure!J$5)^2+($S1438-Infrastructure!K$5)^2)</f>
        <v>17.00617535</v>
      </c>
      <c r="AY1438" s="331">
        <f>SQRT(($R1438-Infrastructure!J$6)^2+($S1438-Infrastructure!K$6)^2)</f>
        <v>11.06752005</v>
      </c>
      <c r="AZ1438" s="331">
        <f>SQRT(($R1438-Infrastructure!J$7)^2+($S1438-Infrastructure!K$7)^2)</f>
        <v>10.28834292</v>
      </c>
      <c r="BA1438" s="331">
        <f>SQRT(($R1438-Infrastructure!J$8)^2+($S1438-Infrastructure!K$8)^2)</f>
        <v>16.80743883</v>
      </c>
      <c r="BB1438" s="331">
        <f>SQRT(($R1438-Infrastructure!J$9)^2+($S1438-Infrastructure!K$9)^2)</f>
        <v>24.31995066</v>
      </c>
      <c r="BC1438" s="331">
        <f>SQRT(($R1438-Infrastructure!J$10)^2+($S1438-Infrastructure!K$10)^2)</f>
        <v>24.50244886</v>
      </c>
      <c r="BD1438" s="331">
        <f>SQRT(($R1438-Infrastructure!J$11)^2+($S1438-Infrastructure!K$11)^2)</f>
        <v>30.93816413</v>
      </c>
      <c r="BE1438" s="333">
        <f>SQRT(($R1438-Infrastructure!J$12)^2+($S1438-Infrastructure!K$12)^2)</f>
        <v>46.21655548</v>
      </c>
      <c r="BF1438" s="330">
        <f t="shared" si="161"/>
        <v>10.28834292</v>
      </c>
      <c r="BG1438" s="333">
        <f t="shared" si="162"/>
        <v>46.21655548</v>
      </c>
      <c r="BH1438" s="1119"/>
      <c r="BI1438" s="319"/>
      <c r="BJ1438" s="319"/>
      <c r="BK1438" s="319"/>
      <c r="BL1438" s="319"/>
      <c r="BM1438" s="955"/>
      <c r="BN1438" s="319"/>
      <c r="BO1438" s="319"/>
      <c r="BP1438" s="953"/>
      <c r="BQ1438" s="319"/>
      <c r="BR1438" s="324"/>
      <c r="BS1438" s="330">
        <f t="shared" si="169"/>
        <v>0</v>
      </c>
      <c r="BT1438" s="331">
        <f t="shared" si="170"/>
        <v>0</v>
      </c>
      <c r="BU1438" s="920"/>
      <c r="BV1438" s="903">
        <f t="shared" si="171"/>
        <v>-0.68125</v>
      </c>
      <c r="BW1438" s="907"/>
      <c r="BX1438" s="908"/>
      <c r="BY1438" s="331" t="b">
        <f t="shared" si="166"/>
        <v>0</v>
      </c>
      <c r="BZ1438" s="340"/>
      <c r="CA1438" s="316"/>
      <c r="CB1438" s="318"/>
      <c r="CC1438" s="318"/>
      <c r="CD1438" s="318"/>
      <c r="CE1438" s="318"/>
      <c r="CF1438" s="318"/>
      <c r="CG1438" s="318"/>
      <c r="CH1438" s="318"/>
      <c r="CI1438" s="318"/>
      <c r="CJ1438" s="463"/>
      <c r="CK1438" s="342"/>
      <c r="CL1438" s="333"/>
      <c r="CM1438" s="1079"/>
      <c r="CN1438" s="1005"/>
      <c r="CO1438" s="1005"/>
      <c r="CP1438" s="1005"/>
    </row>
    <row r="1439">
      <c r="B1439" s="1106" t="s">
        <v>1537</v>
      </c>
      <c r="C1439" s="1107">
        <v>44736.0</v>
      </c>
      <c r="D1439" s="1113" t="s">
        <v>986</v>
      </c>
      <c r="E1439" s="1108">
        <v>19.0</v>
      </c>
      <c r="F1439" s="110" t="s">
        <v>2131</v>
      </c>
      <c r="G1439" s="1109">
        <v>0.3527777777777778</v>
      </c>
      <c r="H1439" s="1110">
        <v>0.35347222222222224</v>
      </c>
      <c r="I1439" s="1110"/>
      <c r="J1439" s="1111"/>
      <c r="K1439" s="1111">
        <v>0.39525462962962965</v>
      </c>
      <c r="L1439" s="1112">
        <v>0.04178240740740741</v>
      </c>
      <c r="M1439" s="1113" t="s">
        <v>166</v>
      </c>
      <c r="N1439" s="110" t="s">
        <v>187</v>
      </c>
      <c r="O1439" s="1114" t="s">
        <v>206</v>
      </c>
      <c r="P1439" s="1156" t="s">
        <v>213</v>
      </c>
      <c r="Q1439" s="1116"/>
      <c r="R1439" s="1154">
        <v>21.7</v>
      </c>
      <c r="S1439" s="1115">
        <v>11.1</v>
      </c>
      <c r="T1439" s="1155">
        <v>2.4</v>
      </c>
      <c r="U1439" s="1178">
        <v>0.1</v>
      </c>
      <c r="V1439" s="1178"/>
      <c r="W1439" s="1178"/>
      <c r="X1439" s="1178"/>
      <c r="Y1439" s="1178"/>
      <c r="Z1439" s="1114" t="s">
        <v>335</v>
      </c>
      <c r="AA1439" s="1114"/>
      <c r="AB1439" s="1114" t="s">
        <v>371</v>
      </c>
      <c r="AC1439" s="1117">
        <v>1.8</v>
      </c>
      <c r="AD1439" s="1115"/>
      <c r="AE1439" s="1115"/>
      <c r="AF1439" s="1115"/>
      <c r="AG1439" s="1115"/>
      <c r="AH1439" s="1115"/>
      <c r="AI1439" s="1115"/>
      <c r="AJ1439" s="1117"/>
      <c r="AK1439" s="1118"/>
      <c r="AL1439" s="1115"/>
      <c r="AM1439" s="1115"/>
      <c r="AN1439" s="1115"/>
      <c r="AO1439" s="1115"/>
      <c r="AP1439" s="1115"/>
      <c r="AQ1439" s="1115"/>
      <c r="AR1439" s="1115"/>
      <c r="AS1439" s="1117"/>
      <c r="AT1439" s="1075" t="s">
        <v>181</v>
      </c>
      <c r="AU1439" s="1078" t="s">
        <v>845</v>
      </c>
      <c r="AV1439" s="330">
        <f>SQRT(($R1439-Infrastructure!J$3)^2+($S1439-Infrastructure!K$3)^2)</f>
        <v>28.29911659</v>
      </c>
      <c r="AW1439" s="331">
        <f>SQRT(($R1439-Infrastructure!J$4)^2+($S1439-Infrastructure!K$4)^2)</f>
        <v>22.99760857</v>
      </c>
      <c r="AX1439" s="331">
        <f>SQRT(($R1439-Infrastructure!J$5)^2+($S1439-Infrastructure!K$5)^2)</f>
        <v>22.8035085</v>
      </c>
      <c r="AY1439" s="331">
        <f>SQRT(($R1439-Infrastructure!J$6)^2+($S1439-Infrastructure!K$6)^2)</f>
        <v>15.8492902</v>
      </c>
      <c r="AZ1439" s="331">
        <f>SQRT(($R1439-Infrastructure!J$7)^2+($S1439-Infrastructure!K$7)^2)</f>
        <v>10.86646217</v>
      </c>
      <c r="BA1439" s="331">
        <f>SQRT(($R1439-Infrastructure!J$8)^2+($S1439-Infrastructure!K$8)^2)</f>
        <v>13.6821051</v>
      </c>
      <c r="BB1439" s="331">
        <f>SQRT(($R1439-Infrastructure!J$9)^2+($S1439-Infrastructure!K$9)^2)</f>
        <v>19.25850461</v>
      </c>
      <c r="BC1439" s="331">
        <f>SQRT(($R1439-Infrastructure!J$10)^2+($S1439-Infrastructure!K$10)^2)</f>
        <v>18.71095936</v>
      </c>
      <c r="BD1439" s="331">
        <f>SQRT(($R1439-Infrastructure!J$11)^2+($S1439-Infrastructure!K$11)^2)</f>
        <v>25.74218328</v>
      </c>
      <c r="BE1439" s="333">
        <f>SQRT(($R1439-Infrastructure!J$12)^2+($S1439-Infrastructure!K$12)^2)</f>
        <v>44.40045045</v>
      </c>
      <c r="BF1439" s="330">
        <f t="shared" si="161"/>
        <v>10.86646217</v>
      </c>
      <c r="BG1439" s="333">
        <f t="shared" si="162"/>
        <v>44.40045045</v>
      </c>
      <c r="BH1439" s="1119"/>
      <c r="BI1439" s="319"/>
      <c r="BJ1439" s="319"/>
      <c r="BK1439" s="319"/>
      <c r="BL1439" s="319"/>
      <c r="BM1439" s="955"/>
      <c r="BN1439" s="319"/>
      <c r="BO1439" s="319"/>
      <c r="BP1439" s="953"/>
      <c r="BQ1439" s="319"/>
      <c r="BR1439" s="324"/>
      <c r="BS1439" s="330">
        <f t="shared" si="169"/>
        <v>0</v>
      </c>
      <c r="BT1439" s="331">
        <f t="shared" si="170"/>
        <v>0</v>
      </c>
      <c r="BU1439" s="920"/>
      <c r="BV1439" s="903">
        <f t="shared" si="171"/>
        <v>-0.3527777778</v>
      </c>
      <c r="BW1439" s="907"/>
      <c r="BX1439" s="908"/>
      <c r="BY1439" s="331" t="b">
        <f t="shared" si="166"/>
        <v>0</v>
      </c>
      <c r="BZ1439" s="340"/>
      <c r="CA1439" s="316"/>
      <c r="CB1439" s="318"/>
      <c r="CC1439" s="318"/>
      <c r="CD1439" s="318"/>
      <c r="CE1439" s="318"/>
      <c r="CF1439" s="318"/>
      <c r="CG1439" s="318"/>
      <c r="CH1439" s="318"/>
      <c r="CI1439" s="318"/>
      <c r="CJ1439" s="463"/>
      <c r="CK1439" s="342"/>
      <c r="CL1439" s="333"/>
      <c r="CM1439" s="1079"/>
      <c r="CN1439" s="1005"/>
      <c r="CO1439" s="1005"/>
      <c r="CP1439" s="1005"/>
    </row>
    <row r="1440">
      <c r="B1440" s="1106" t="s">
        <v>1537</v>
      </c>
      <c r="C1440" s="1107">
        <v>44736.0</v>
      </c>
      <c r="D1440" s="1113" t="s">
        <v>986</v>
      </c>
      <c r="E1440" s="1108">
        <v>20.0</v>
      </c>
      <c r="F1440" s="110" t="s">
        <v>2132</v>
      </c>
      <c r="G1440" s="1109">
        <v>0.3975694444444444</v>
      </c>
      <c r="H1440" s="1110">
        <v>0.39797453703703706</v>
      </c>
      <c r="I1440" s="1110"/>
      <c r="J1440" s="1111"/>
      <c r="K1440" s="1111">
        <v>0.41961805555555554</v>
      </c>
      <c r="L1440" s="1112">
        <v>0.021643518518518517</v>
      </c>
      <c r="M1440" s="1113" t="s">
        <v>166</v>
      </c>
      <c r="N1440" s="110" t="s">
        <v>187</v>
      </c>
      <c r="O1440" s="1114" t="s">
        <v>206</v>
      </c>
      <c r="P1440" s="1156" t="s">
        <v>213</v>
      </c>
      <c r="Q1440" s="1116"/>
      <c r="R1440" s="1154">
        <v>21.7</v>
      </c>
      <c r="S1440" s="1115">
        <v>11.1</v>
      </c>
      <c r="T1440" s="1155">
        <v>2.4</v>
      </c>
      <c r="U1440" s="1178">
        <v>0.3</v>
      </c>
      <c r="V1440" s="1178"/>
      <c r="W1440" s="1178"/>
      <c r="X1440" s="1178"/>
      <c r="Y1440" s="1178"/>
      <c r="Z1440" s="1114" t="s">
        <v>335</v>
      </c>
      <c r="AA1440" s="1114"/>
      <c r="AB1440" s="1114" t="s">
        <v>371</v>
      </c>
      <c r="AC1440" s="1117">
        <v>1.8</v>
      </c>
      <c r="AD1440" s="1115"/>
      <c r="AE1440" s="1115"/>
      <c r="AF1440" s="1115"/>
      <c r="AG1440" s="1115"/>
      <c r="AH1440" s="1115"/>
      <c r="AI1440" s="1115"/>
      <c r="AJ1440" s="1117"/>
      <c r="AK1440" s="1118"/>
      <c r="AL1440" s="1115"/>
      <c r="AM1440" s="1115"/>
      <c r="AN1440" s="1115"/>
      <c r="AO1440" s="1115"/>
      <c r="AP1440" s="1115"/>
      <c r="AQ1440" s="1115"/>
      <c r="AR1440" s="1115"/>
      <c r="AS1440" s="1117"/>
      <c r="AT1440" s="1075" t="s">
        <v>181</v>
      </c>
      <c r="AU1440" s="1078" t="s">
        <v>845</v>
      </c>
      <c r="AV1440" s="330">
        <f>SQRT(($R1440-Infrastructure!J$3)^2+($S1440-Infrastructure!K$3)^2)</f>
        <v>28.29911659</v>
      </c>
      <c r="AW1440" s="331">
        <f>SQRT(($R1440-Infrastructure!J$4)^2+($S1440-Infrastructure!K$4)^2)</f>
        <v>22.99760857</v>
      </c>
      <c r="AX1440" s="331">
        <f>SQRT(($R1440-Infrastructure!J$5)^2+($S1440-Infrastructure!K$5)^2)</f>
        <v>22.8035085</v>
      </c>
      <c r="AY1440" s="331">
        <f>SQRT(($R1440-Infrastructure!J$6)^2+($S1440-Infrastructure!K$6)^2)</f>
        <v>15.8492902</v>
      </c>
      <c r="AZ1440" s="331">
        <f>SQRT(($R1440-Infrastructure!J$7)^2+($S1440-Infrastructure!K$7)^2)</f>
        <v>10.86646217</v>
      </c>
      <c r="BA1440" s="331">
        <f>SQRT(($R1440-Infrastructure!J$8)^2+($S1440-Infrastructure!K$8)^2)</f>
        <v>13.6821051</v>
      </c>
      <c r="BB1440" s="331">
        <f>SQRT(($R1440-Infrastructure!J$9)^2+($S1440-Infrastructure!K$9)^2)</f>
        <v>19.25850461</v>
      </c>
      <c r="BC1440" s="331">
        <f>SQRT(($R1440-Infrastructure!J$10)^2+($S1440-Infrastructure!K$10)^2)</f>
        <v>18.71095936</v>
      </c>
      <c r="BD1440" s="331">
        <f>SQRT(($R1440-Infrastructure!J$11)^2+($S1440-Infrastructure!K$11)^2)</f>
        <v>25.74218328</v>
      </c>
      <c r="BE1440" s="333">
        <f>SQRT(($R1440-Infrastructure!J$12)^2+($S1440-Infrastructure!K$12)^2)</f>
        <v>44.40045045</v>
      </c>
      <c r="BF1440" s="330">
        <f t="shared" si="161"/>
        <v>10.86646217</v>
      </c>
      <c r="BG1440" s="333">
        <f t="shared" si="162"/>
        <v>44.40045045</v>
      </c>
      <c r="BH1440" s="1119"/>
      <c r="BI1440" s="319"/>
      <c r="BJ1440" s="319"/>
      <c r="BK1440" s="319"/>
      <c r="BL1440" s="319"/>
      <c r="BM1440" s="955"/>
      <c r="BN1440" s="319"/>
      <c r="BO1440" s="319"/>
      <c r="BP1440" s="953"/>
      <c r="BQ1440" s="319"/>
      <c r="BR1440" s="324"/>
      <c r="BS1440" s="330">
        <f t="shared" si="169"/>
        <v>0</v>
      </c>
      <c r="BT1440" s="331">
        <f t="shared" si="170"/>
        <v>0</v>
      </c>
      <c r="BU1440" s="920"/>
      <c r="BV1440" s="903">
        <f t="shared" si="171"/>
        <v>-0.3975694444</v>
      </c>
      <c r="BW1440" s="907"/>
      <c r="BX1440" s="908"/>
      <c r="BY1440" s="331" t="b">
        <f t="shared" si="166"/>
        <v>0</v>
      </c>
      <c r="BZ1440" s="340"/>
      <c r="CA1440" s="316"/>
      <c r="CB1440" s="318"/>
      <c r="CC1440" s="318"/>
      <c r="CD1440" s="318"/>
      <c r="CE1440" s="318"/>
      <c r="CF1440" s="318"/>
      <c r="CG1440" s="318"/>
      <c r="CH1440" s="318"/>
      <c r="CI1440" s="318"/>
      <c r="CJ1440" s="463"/>
      <c r="CK1440" s="342"/>
      <c r="CL1440" s="333"/>
      <c r="CM1440" s="1079"/>
      <c r="CN1440" s="1005"/>
      <c r="CO1440" s="1005"/>
      <c r="CP1440" s="1005"/>
    </row>
    <row r="1441">
      <c r="B1441" s="1106" t="s">
        <v>1537</v>
      </c>
      <c r="C1441" s="1107">
        <v>44736.0</v>
      </c>
      <c r="D1441" s="103"/>
      <c r="E1441" s="1137"/>
      <c r="F1441" s="112" t="s">
        <v>2133</v>
      </c>
      <c r="G1441" s="1109">
        <v>0.42193287037037036</v>
      </c>
      <c r="H1441" s="1138"/>
      <c r="I1441" s="1138"/>
      <c r="J1441" s="1139"/>
      <c r="K1441" s="1111">
        <v>0.4222222222222222</v>
      </c>
      <c r="L1441" s="1112">
        <v>2.8935185185185184E-4</v>
      </c>
      <c r="M1441" s="1113" t="s">
        <v>166</v>
      </c>
      <c r="N1441" s="110" t="s">
        <v>188</v>
      </c>
      <c r="O1441" s="1140"/>
      <c r="P1441" s="1115" t="s">
        <v>292</v>
      </c>
      <c r="Q1441" s="1116"/>
      <c r="R1441" s="1141"/>
      <c r="S1441" s="1142"/>
      <c r="T1441" s="1143"/>
      <c r="U1441" s="1137"/>
      <c r="V1441" s="1137"/>
      <c r="W1441" s="1137"/>
      <c r="X1441" s="1137"/>
      <c r="Y1441" s="1137"/>
      <c r="Z1441" s="1114" t="s">
        <v>323</v>
      </c>
      <c r="AA1441" s="1114"/>
      <c r="AB1441" s="1114" t="s">
        <v>323</v>
      </c>
      <c r="AC1441" s="1117" t="s">
        <v>323</v>
      </c>
      <c r="AD1441" s="1115"/>
      <c r="AE1441" s="1115"/>
      <c r="AF1441" s="1115"/>
      <c r="AG1441" s="1115"/>
      <c r="AH1441" s="1115"/>
      <c r="AI1441" s="1115"/>
      <c r="AJ1441" s="1117"/>
      <c r="AK1441" s="1118"/>
      <c r="AL1441" s="1115"/>
      <c r="AM1441" s="1115"/>
      <c r="AN1441" s="1115"/>
      <c r="AO1441" s="1115"/>
      <c r="AP1441" s="1115"/>
      <c r="AQ1441" s="1115"/>
      <c r="AR1441" s="1115"/>
      <c r="AS1441" s="1117"/>
      <c r="AT1441" s="1075"/>
      <c r="AU1441" s="1078"/>
      <c r="AV1441" s="330">
        <f>SQRT(($R1441-Infrastructure!J$3)^2+($S1441-Infrastructure!K$3)^2)</f>
        <v>28.90155705</v>
      </c>
      <c r="AW1441" s="331">
        <f>SQRT(($R1441-Infrastructure!J$4)^2+($S1441-Infrastructure!K$4)^2)</f>
        <v>17.80252791</v>
      </c>
      <c r="AX1441" s="331">
        <f>SQRT(($R1441-Infrastructure!J$5)^2+($S1441-Infrastructure!K$5)^2)</f>
        <v>5.10881591</v>
      </c>
      <c r="AY1441" s="331">
        <f>SQRT(($R1441-Infrastructure!J$6)^2+($S1441-Infrastructure!K$6)^2)</f>
        <v>10.10445446</v>
      </c>
      <c r="AZ1441" s="331">
        <f>SQRT(($R1441-Infrastructure!J$7)^2+($S1441-Infrastructure!K$7)^2)</f>
        <v>20.502195</v>
      </c>
      <c r="BA1441" s="331">
        <f>SQRT(($R1441-Infrastructure!J$8)^2+($S1441-Infrastructure!K$8)^2)</f>
        <v>30.10149498</v>
      </c>
      <c r="BB1441" s="331">
        <f>SQRT(($R1441-Infrastructure!J$9)^2+($S1441-Infrastructure!K$9)^2)</f>
        <v>40.3238143</v>
      </c>
      <c r="BC1441" s="331">
        <f>SQRT(($R1441-Infrastructure!J$10)^2+($S1441-Infrastructure!K$10)^2)</f>
        <v>42.72001873</v>
      </c>
      <c r="BD1441" s="331">
        <f>SQRT(($R1441-Infrastructure!J$11)^2+($S1441-Infrastructure!K$11)^2)</f>
        <v>49.56853841</v>
      </c>
      <c r="BE1441" s="333">
        <f>SQRT(($R1441-Infrastructure!J$12)^2+($S1441-Infrastructure!K$12)^2)</f>
        <v>59.51890456</v>
      </c>
      <c r="BF1441" s="330">
        <f t="shared" si="161"/>
        <v>5.10881591</v>
      </c>
      <c r="BG1441" s="333">
        <f t="shared" si="162"/>
        <v>59.51890456</v>
      </c>
      <c r="BH1441" s="1119"/>
      <c r="BI1441" s="319"/>
      <c r="BJ1441" s="319"/>
      <c r="BK1441" s="319"/>
      <c r="BL1441" s="319"/>
      <c r="BM1441" s="955"/>
      <c r="BN1441" s="319"/>
      <c r="BO1441" s="319"/>
      <c r="BP1441" s="953"/>
      <c r="BQ1441" s="319"/>
      <c r="BR1441" s="324"/>
      <c r="BS1441" s="330">
        <f t="shared" si="169"/>
        <v>0</v>
      </c>
      <c r="BT1441" s="331">
        <f t="shared" si="170"/>
        <v>0</v>
      </c>
      <c r="BU1441" s="920"/>
      <c r="BV1441" s="903">
        <f t="shared" si="171"/>
        <v>-0.4219328704</v>
      </c>
      <c r="BW1441" s="907"/>
      <c r="BX1441" s="908"/>
      <c r="BY1441" s="331" t="b">
        <f t="shared" si="166"/>
        <v>0</v>
      </c>
      <c r="BZ1441" s="340"/>
      <c r="CA1441" s="316"/>
      <c r="CB1441" s="318"/>
      <c r="CC1441" s="318"/>
      <c r="CD1441" s="318"/>
      <c r="CE1441" s="318"/>
      <c r="CF1441" s="318"/>
      <c r="CG1441" s="318"/>
      <c r="CH1441" s="318"/>
      <c r="CI1441" s="318"/>
      <c r="CJ1441" s="463"/>
      <c r="CK1441" s="342"/>
      <c r="CL1441" s="333"/>
      <c r="CM1441" s="1079"/>
      <c r="CN1441" s="1005"/>
      <c r="CO1441" s="1005"/>
      <c r="CP1441" s="1005"/>
    </row>
    <row r="1442">
      <c r="A1442" s="634"/>
      <c r="B1442" s="1121" t="s">
        <v>1537</v>
      </c>
      <c r="C1442" s="1122">
        <v>44736.0</v>
      </c>
      <c r="D1442" s="1123"/>
      <c r="E1442" s="1144"/>
      <c r="F1442" s="108" t="s">
        <v>2133</v>
      </c>
      <c r="G1442" s="1125">
        <v>0.4262152777777778</v>
      </c>
      <c r="H1442" s="1145"/>
      <c r="I1442" s="1145"/>
      <c r="J1442" s="1146"/>
      <c r="K1442" s="1127">
        <v>0.43020833333333336</v>
      </c>
      <c r="L1442" s="1128">
        <v>0.003993055555555555</v>
      </c>
      <c r="M1442" s="1129" t="s">
        <v>358</v>
      </c>
      <c r="N1442" s="100" t="s">
        <v>188</v>
      </c>
      <c r="O1442" s="1161"/>
      <c r="P1442" s="1131" t="s">
        <v>294</v>
      </c>
      <c r="Q1442" s="1132"/>
      <c r="R1442" s="1148"/>
      <c r="S1442" s="1149"/>
      <c r="T1442" s="1150"/>
      <c r="U1442" s="1144"/>
      <c r="V1442" s="1144"/>
      <c r="W1442" s="1144"/>
      <c r="X1442" s="1144"/>
      <c r="Y1442" s="1144"/>
      <c r="Z1442" s="1130" t="s">
        <v>323</v>
      </c>
      <c r="AA1442" s="1130"/>
      <c r="AB1442" s="1130" t="s">
        <v>323</v>
      </c>
      <c r="AC1442" s="1133" t="s">
        <v>323</v>
      </c>
      <c r="AD1442" s="1131"/>
      <c r="AE1442" s="1131"/>
      <c r="AF1442" s="1131"/>
      <c r="AG1442" s="1131"/>
      <c r="AH1442" s="1131"/>
      <c r="AI1442" s="1131"/>
      <c r="AJ1442" s="1133"/>
      <c r="AK1442" s="1134"/>
      <c r="AL1442" s="1131"/>
      <c r="AM1442" s="1131"/>
      <c r="AN1442" s="1131"/>
      <c r="AO1442" s="1131"/>
      <c r="AP1442" s="1131"/>
      <c r="AQ1442" s="1131"/>
      <c r="AR1442" s="1131"/>
      <c r="AS1442" s="1133"/>
      <c r="AT1442" s="1088"/>
      <c r="AU1442" s="1089"/>
      <c r="AV1442" s="330">
        <f>SQRT(($R1442-Infrastructure!J$3)^2+($S1442-Infrastructure!K$3)^2)</f>
        <v>28.90155705</v>
      </c>
      <c r="AW1442" s="331">
        <f>SQRT(($R1442-Infrastructure!J$4)^2+($S1442-Infrastructure!K$4)^2)</f>
        <v>17.80252791</v>
      </c>
      <c r="AX1442" s="331">
        <f>SQRT(($R1442-Infrastructure!J$5)^2+($S1442-Infrastructure!K$5)^2)</f>
        <v>5.10881591</v>
      </c>
      <c r="AY1442" s="331">
        <f>SQRT(($R1442-Infrastructure!J$6)^2+($S1442-Infrastructure!K$6)^2)</f>
        <v>10.10445446</v>
      </c>
      <c r="AZ1442" s="331">
        <f>SQRT(($R1442-Infrastructure!J$7)^2+($S1442-Infrastructure!K$7)^2)</f>
        <v>20.502195</v>
      </c>
      <c r="BA1442" s="331">
        <f>SQRT(($R1442-Infrastructure!J$8)^2+($S1442-Infrastructure!K$8)^2)</f>
        <v>30.10149498</v>
      </c>
      <c r="BB1442" s="331">
        <f>SQRT(($R1442-Infrastructure!J$9)^2+($S1442-Infrastructure!K$9)^2)</f>
        <v>40.3238143</v>
      </c>
      <c r="BC1442" s="331">
        <f>SQRT(($R1442-Infrastructure!J$10)^2+($S1442-Infrastructure!K$10)^2)</f>
        <v>42.72001873</v>
      </c>
      <c r="BD1442" s="331">
        <f>SQRT(($R1442-Infrastructure!J$11)^2+($S1442-Infrastructure!K$11)^2)</f>
        <v>49.56853841</v>
      </c>
      <c r="BE1442" s="333">
        <f>SQRT(($R1442-Infrastructure!J$12)^2+($S1442-Infrastructure!K$12)^2)</f>
        <v>59.51890456</v>
      </c>
      <c r="BF1442" s="330">
        <f t="shared" si="161"/>
        <v>5.10881591</v>
      </c>
      <c r="BG1442" s="333">
        <f t="shared" si="162"/>
        <v>59.51890456</v>
      </c>
      <c r="BH1442" s="1135"/>
      <c r="BI1442" s="663"/>
      <c r="BJ1442" s="663"/>
      <c r="BK1442" s="663"/>
      <c r="BL1442" s="663"/>
      <c r="BM1442" s="957"/>
      <c r="BN1442" s="663"/>
      <c r="BO1442" s="663"/>
      <c r="BP1442" s="958"/>
      <c r="BQ1442" s="663"/>
      <c r="BR1442" s="637"/>
      <c r="BS1442" s="330">
        <f t="shared" si="169"/>
        <v>0</v>
      </c>
      <c r="BT1442" s="331">
        <f t="shared" si="170"/>
        <v>0</v>
      </c>
      <c r="BU1442" s="920"/>
      <c r="BV1442" s="903">
        <f t="shared" si="171"/>
        <v>-0.4262152778</v>
      </c>
      <c r="BW1442" s="938"/>
      <c r="BX1442" s="939"/>
      <c r="BY1442" s="331" t="b">
        <f t="shared" si="166"/>
        <v>0</v>
      </c>
      <c r="BZ1442" s="742"/>
      <c r="CA1442" s="639"/>
      <c r="CB1442" s="640"/>
      <c r="CC1442" s="640"/>
      <c r="CD1442" s="640"/>
      <c r="CE1442" s="640"/>
      <c r="CF1442" s="640"/>
      <c r="CG1442" s="640"/>
      <c r="CH1442" s="640"/>
      <c r="CI1442" s="640"/>
      <c r="CJ1442" s="785"/>
      <c r="CK1442" s="743"/>
      <c r="CL1442" s="642"/>
      <c r="CM1442" s="1090"/>
      <c r="CN1442" s="1005"/>
      <c r="CO1442" s="1005"/>
      <c r="CP1442" s="1005"/>
    </row>
    <row r="1443">
      <c r="A1443" s="1162" t="s">
        <v>77</v>
      </c>
      <c r="B1443" s="1106" t="s">
        <v>2134</v>
      </c>
      <c r="C1443" s="1107">
        <v>44740.0</v>
      </c>
      <c r="D1443" s="103"/>
      <c r="E1443" s="1108">
        <v>1.0</v>
      </c>
      <c r="F1443" s="110" t="s">
        <v>2135</v>
      </c>
      <c r="G1443" s="1109">
        <v>0.6305555555555555</v>
      </c>
      <c r="H1443" s="1110">
        <v>0.6308449074074074</v>
      </c>
      <c r="I1443" s="1110"/>
      <c r="J1443" s="1111"/>
      <c r="K1443" s="1111">
        <v>0.6329282407407407</v>
      </c>
      <c r="L1443" s="1112">
        <v>0.0020833333333333333</v>
      </c>
      <c r="M1443" s="1113" t="s">
        <v>166</v>
      </c>
      <c r="N1443" s="110" t="s">
        <v>187</v>
      </c>
      <c r="O1443" s="1114" t="s">
        <v>198</v>
      </c>
      <c r="P1443" s="1115" t="s">
        <v>218</v>
      </c>
      <c r="Q1443" s="1116"/>
      <c r="R1443" s="120">
        <v>10.3</v>
      </c>
      <c r="S1443" s="1113">
        <v>8.1</v>
      </c>
      <c r="T1443" s="110">
        <v>3.0</v>
      </c>
      <c r="U1443" s="1108">
        <v>5.0</v>
      </c>
      <c r="V1443" s="1108"/>
      <c r="W1443" s="1108"/>
      <c r="X1443" s="1108"/>
      <c r="Y1443" s="1108"/>
      <c r="Z1443" s="1114" t="s">
        <v>343</v>
      </c>
      <c r="AA1443" s="1114"/>
      <c r="AB1443" s="1114" t="s">
        <v>384</v>
      </c>
      <c r="AC1443" s="1117">
        <v>6.0</v>
      </c>
      <c r="AD1443" s="1115"/>
      <c r="AE1443" s="1115"/>
      <c r="AF1443" s="1115"/>
      <c r="AG1443" s="1115"/>
      <c r="AH1443" s="1115"/>
      <c r="AI1443" s="1115"/>
      <c r="AJ1443" s="1117"/>
      <c r="AK1443" s="1118"/>
      <c r="AL1443" s="1115"/>
      <c r="AM1443" s="1115"/>
      <c r="AN1443" s="1115"/>
      <c r="AO1443" s="1115"/>
      <c r="AP1443" s="1115"/>
      <c r="AQ1443" s="1115"/>
      <c r="AR1443" s="1115"/>
      <c r="AS1443" s="1117"/>
      <c r="AT1443" s="1075" t="s">
        <v>182</v>
      </c>
      <c r="AU1443" s="1078" t="s">
        <v>845</v>
      </c>
      <c r="AV1443" s="330">
        <f>SQRT(($R1443-Infrastructure!J$3)^2+($S1443-Infrastructure!K$3)^2)</f>
        <v>23.34523506</v>
      </c>
      <c r="AW1443" s="331">
        <f>SQRT(($R1443-Infrastructure!J$4)^2+($S1443-Infrastructure!K$4)^2)</f>
        <v>14.36836804</v>
      </c>
      <c r="AX1443" s="331">
        <f>SQRT(($R1443-Infrastructure!J$5)^2+($S1443-Infrastructure!K$5)^2)</f>
        <v>11.01635148</v>
      </c>
      <c r="AY1443" s="331">
        <f>SQRT(($R1443-Infrastructure!J$6)^2+($S1443-Infrastructure!K$6)^2)</f>
        <v>7.802563681</v>
      </c>
      <c r="AZ1443" s="331">
        <f>SQRT(($R1443-Infrastructure!J$7)^2+($S1443-Infrastructure!K$7)^2)</f>
        <v>12.84056074</v>
      </c>
      <c r="BA1443" s="331">
        <f>SQRT(($R1443-Infrastructure!J$8)^2+($S1443-Infrastructure!K$8)^2)</f>
        <v>21.28097742</v>
      </c>
      <c r="BB1443" s="331">
        <f>SQRT(($R1443-Infrastructure!J$9)^2+($S1443-Infrastructure!K$9)^2)</f>
        <v>29.85113063</v>
      </c>
      <c r="BC1443" s="331">
        <f>SQRT(($R1443-Infrastructure!J$10)^2+($S1443-Infrastructure!K$10)^2)</f>
        <v>30.49098227</v>
      </c>
      <c r="BD1443" s="331">
        <f>SQRT(($R1443-Infrastructure!J$11)^2+($S1443-Infrastructure!K$11)^2)</f>
        <v>36.4804057</v>
      </c>
      <c r="BE1443" s="333">
        <f>SQRT(($R1443-Infrastructure!J$12)^2+($S1443-Infrastructure!K$12)^2)</f>
        <v>48.70523586</v>
      </c>
      <c r="BF1443" s="330">
        <f t="shared" si="161"/>
        <v>7.802563681</v>
      </c>
      <c r="BG1443" s="333">
        <f t="shared" si="162"/>
        <v>48.70523586</v>
      </c>
      <c r="BH1443" s="1119"/>
      <c r="BI1443" s="319"/>
      <c r="BJ1443" s="319" t="s">
        <v>846</v>
      </c>
      <c r="BK1443" s="319" t="s">
        <v>846</v>
      </c>
      <c r="BL1443" s="319" t="s">
        <v>846</v>
      </c>
      <c r="BM1443" s="955"/>
      <c r="BN1443" s="319"/>
      <c r="BO1443" s="319"/>
      <c r="BP1443" s="953"/>
      <c r="BQ1443" s="319"/>
      <c r="BR1443" s="324" t="s">
        <v>846</v>
      </c>
      <c r="BS1443" s="330">
        <f t="shared" si="169"/>
        <v>7.802563681</v>
      </c>
      <c r="BT1443" s="331">
        <f t="shared" si="170"/>
        <v>48.70523586</v>
      </c>
      <c r="BU1443" s="920"/>
      <c r="BV1443" s="903">
        <f t="shared" si="171"/>
        <v>-0.6305555556</v>
      </c>
      <c r="BW1443" s="907"/>
      <c r="BX1443" s="908"/>
      <c r="BY1443" s="331" t="b">
        <f t="shared" si="166"/>
        <v>0</v>
      </c>
      <c r="BZ1443" s="340"/>
      <c r="CA1443" s="316"/>
      <c r="CB1443" s="318"/>
      <c r="CC1443" s="318"/>
      <c r="CD1443" s="318"/>
      <c r="CE1443" s="318"/>
      <c r="CF1443" s="318"/>
      <c r="CG1443" s="318"/>
      <c r="CH1443" s="318"/>
      <c r="CI1443" s="318"/>
      <c r="CJ1443" s="463"/>
      <c r="CK1443" s="342"/>
      <c r="CL1443" s="333"/>
      <c r="CM1443" s="1079"/>
      <c r="CN1443" s="1005"/>
      <c r="CO1443" s="1005"/>
      <c r="CP1443" s="1005"/>
    </row>
    <row r="1444">
      <c r="B1444" s="1106" t="s">
        <v>2134</v>
      </c>
      <c r="C1444" s="1107">
        <v>44740.0</v>
      </c>
      <c r="D1444" s="103"/>
      <c r="E1444" s="1108">
        <v>2.0</v>
      </c>
      <c r="F1444" s="110" t="s">
        <v>2136</v>
      </c>
      <c r="G1444" s="1109">
        <v>0.6329282407407407</v>
      </c>
      <c r="H1444" s="1110">
        <v>0.6336805555555556</v>
      </c>
      <c r="I1444" s="1110"/>
      <c r="J1444" s="1111"/>
      <c r="K1444" s="1111">
        <v>0.6340856481481482</v>
      </c>
      <c r="L1444" s="1112">
        <v>4.050925925925926E-4</v>
      </c>
      <c r="M1444" s="1113" t="s">
        <v>166</v>
      </c>
      <c r="N1444" s="110" t="s">
        <v>187</v>
      </c>
      <c r="O1444" s="1114" t="s">
        <v>198</v>
      </c>
      <c r="P1444" s="1115" t="s">
        <v>218</v>
      </c>
      <c r="Q1444" s="1116"/>
      <c r="R1444" s="120">
        <v>10.3</v>
      </c>
      <c r="S1444" s="1113">
        <v>8.1</v>
      </c>
      <c r="T1444" s="110">
        <v>3.0</v>
      </c>
      <c r="U1444" s="1108">
        <v>3.0</v>
      </c>
      <c r="V1444" s="1108"/>
      <c r="W1444" s="1108"/>
      <c r="X1444" s="1108"/>
      <c r="Y1444" s="1108"/>
      <c r="Z1444" s="1114" t="s">
        <v>343</v>
      </c>
      <c r="AA1444" s="1114"/>
      <c r="AB1444" s="1114" t="s">
        <v>384</v>
      </c>
      <c r="AC1444" s="1117">
        <v>6.0</v>
      </c>
      <c r="AD1444" s="1115"/>
      <c r="AE1444" s="1115"/>
      <c r="AF1444" s="1115"/>
      <c r="AG1444" s="1115"/>
      <c r="AH1444" s="1115"/>
      <c r="AI1444" s="1115"/>
      <c r="AJ1444" s="1117"/>
      <c r="AK1444" s="1118"/>
      <c r="AL1444" s="1115"/>
      <c r="AM1444" s="1115"/>
      <c r="AN1444" s="1115"/>
      <c r="AO1444" s="1115"/>
      <c r="AP1444" s="1115"/>
      <c r="AQ1444" s="1115"/>
      <c r="AR1444" s="1115"/>
      <c r="AS1444" s="1117"/>
      <c r="AT1444" s="1075" t="s">
        <v>182</v>
      </c>
      <c r="AU1444" s="1078" t="s">
        <v>845</v>
      </c>
      <c r="AV1444" s="330">
        <f>SQRT(($R1444-Infrastructure!J$3)^2+($S1444-Infrastructure!K$3)^2)</f>
        <v>23.34523506</v>
      </c>
      <c r="AW1444" s="331">
        <f>SQRT(($R1444-Infrastructure!J$4)^2+($S1444-Infrastructure!K$4)^2)</f>
        <v>14.36836804</v>
      </c>
      <c r="AX1444" s="331">
        <f>SQRT(($R1444-Infrastructure!J$5)^2+($S1444-Infrastructure!K$5)^2)</f>
        <v>11.01635148</v>
      </c>
      <c r="AY1444" s="331">
        <f>SQRT(($R1444-Infrastructure!J$6)^2+($S1444-Infrastructure!K$6)^2)</f>
        <v>7.802563681</v>
      </c>
      <c r="AZ1444" s="331">
        <f>SQRT(($R1444-Infrastructure!J$7)^2+($S1444-Infrastructure!K$7)^2)</f>
        <v>12.84056074</v>
      </c>
      <c r="BA1444" s="331">
        <f>SQRT(($R1444-Infrastructure!J$8)^2+($S1444-Infrastructure!K$8)^2)</f>
        <v>21.28097742</v>
      </c>
      <c r="BB1444" s="331">
        <f>SQRT(($R1444-Infrastructure!J$9)^2+($S1444-Infrastructure!K$9)^2)</f>
        <v>29.85113063</v>
      </c>
      <c r="BC1444" s="331">
        <f>SQRT(($R1444-Infrastructure!J$10)^2+($S1444-Infrastructure!K$10)^2)</f>
        <v>30.49098227</v>
      </c>
      <c r="BD1444" s="331">
        <f>SQRT(($R1444-Infrastructure!J$11)^2+($S1444-Infrastructure!K$11)^2)</f>
        <v>36.4804057</v>
      </c>
      <c r="BE1444" s="333">
        <f>SQRT(($R1444-Infrastructure!J$12)^2+($S1444-Infrastructure!K$12)^2)</f>
        <v>48.70523586</v>
      </c>
      <c r="BF1444" s="330">
        <f t="shared" si="161"/>
        <v>7.802563681</v>
      </c>
      <c r="BG1444" s="333">
        <f t="shared" si="162"/>
        <v>48.70523586</v>
      </c>
      <c r="BH1444" s="1119"/>
      <c r="BI1444" s="319"/>
      <c r="BJ1444" s="319" t="s">
        <v>846</v>
      </c>
      <c r="BK1444" s="319" t="s">
        <v>846</v>
      </c>
      <c r="BL1444" s="319" t="s">
        <v>846</v>
      </c>
      <c r="BM1444" s="955"/>
      <c r="BN1444" s="319"/>
      <c r="BO1444" s="319"/>
      <c r="BP1444" s="953"/>
      <c r="BQ1444" s="319"/>
      <c r="BR1444" s="324" t="s">
        <v>846</v>
      </c>
      <c r="BS1444" s="330">
        <f t="shared" si="169"/>
        <v>7.802563681</v>
      </c>
      <c r="BT1444" s="331">
        <f t="shared" si="170"/>
        <v>48.70523586</v>
      </c>
      <c r="BU1444" s="920"/>
      <c r="BV1444" s="903">
        <f t="shared" si="171"/>
        <v>-0.6329282407</v>
      </c>
      <c r="BW1444" s="907"/>
      <c r="BX1444" s="908"/>
      <c r="BY1444" s="331" t="b">
        <f t="shared" si="166"/>
        <v>0</v>
      </c>
      <c r="BZ1444" s="340"/>
      <c r="CA1444" s="316"/>
      <c r="CB1444" s="318"/>
      <c r="CC1444" s="318"/>
      <c r="CD1444" s="318"/>
      <c r="CE1444" s="318"/>
      <c r="CF1444" s="318"/>
      <c r="CG1444" s="318"/>
      <c r="CH1444" s="318"/>
      <c r="CI1444" s="318"/>
      <c r="CJ1444" s="463"/>
      <c r="CK1444" s="342"/>
      <c r="CL1444" s="333"/>
      <c r="CM1444" s="1079"/>
      <c r="CN1444" s="1005"/>
      <c r="CO1444" s="1005"/>
      <c r="CP1444" s="1005"/>
    </row>
    <row r="1445">
      <c r="B1445" s="1106" t="s">
        <v>2134</v>
      </c>
      <c r="C1445" s="1107">
        <v>44740.0</v>
      </c>
      <c r="D1445" s="103"/>
      <c r="E1445" s="1108">
        <v>3.0</v>
      </c>
      <c r="F1445" s="110" t="s">
        <v>2137</v>
      </c>
      <c r="G1445" s="1109">
        <v>0.6351851851851852</v>
      </c>
      <c r="H1445" s="1110">
        <v>0.6354166666666666</v>
      </c>
      <c r="I1445" s="1110"/>
      <c r="J1445" s="1111"/>
      <c r="K1445" s="1111">
        <v>0.6387152777777778</v>
      </c>
      <c r="L1445" s="1112">
        <v>0.003298611111111111</v>
      </c>
      <c r="M1445" s="1113" t="s">
        <v>166</v>
      </c>
      <c r="N1445" s="110" t="s">
        <v>187</v>
      </c>
      <c r="O1445" s="1114" t="s">
        <v>198</v>
      </c>
      <c r="P1445" s="1115" t="s">
        <v>218</v>
      </c>
      <c r="Q1445" s="1116"/>
      <c r="R1445" s="120">
        <v>10.3</v>
      </c>
      <c r="S1445" s="1113">
        <v>8.1</v>
      </c>
      <c r="T1445" s="110">
        <v>3.0</v>
      </c>
      <c r="U1445" s="1108">
        <v>1.0</v>
      </c>
      <c r="V1445" s="1108"/>
      <c r="W1445" s="1108"/>
      <c r="X1445" s="1108"/>
      <c r="Y1445" s="1108"/>
      <c r="Z1445" s="1114" t="s">
        <v>343</v>
      </c>
      <c r="AA1445" s="1114"/>
      <c r="AB1445" s="1114" t="s">
        <v>384</v>
      </c>
      <c r="AC1445" s="1117">
        <v>6.0</v>
      </c>
      <c r="AD1445" s="1115"/>
      <c r="AE1445" s="1115"/>
      <c r="AF1445" s="1115"/>
      <c r="AG1445" s="1115"/>
      <c r="AH1445" s="1115"/>
      <c r="AI1445" s="1115"/>
      <c r="AJ1445" s="1117"/>
      <c r="AK1445" s="1118"/>
      <c r="AL1445" s="1115"/>
      <c r="AM1445" s="1115"/>
      <c r="AN1445" s="1115"/>
      <c r="AO1445" s="1115"/>
      <c r="AP1445" s="1115"/>
      <c r="AQ1445" s="1115"/>
      <c r="AR1445" s="1115"/>
      <c r="AS1445" s="1117"/>
      <c r="AT1445" s="1075" t="s">
        <v>182</v>
      </c>
      <c r="AU1445" s="1078" t="s">
        <v>845</v>
      </c>
      <c r="AV1445" s="330">
        <f>SQRT(($R1445-Infrastructure!J$3)^2+($S1445-Infrastructure!K$3)^2)</f>
        <v>23.34523506</v>
      </c>
      <c r="AW1445" s="331">
        <f>SQRT(($R1445-Infrastructure!J$4)^2+($S1445-Infrastructure!K$4)^2)</f>
        <v>14.36836804</v>
      </c>
      <c r="AX1445" s="331">
        <f>SQRT(($R1445-Infrastructure!J$5)^2+($S1445-Infrastructure!K$5)^2)</f>
        <v>11.01635148</v>
      </c>
      <c r="AY1445" s="331">
        <f>SQRT(($R1445-Infrastructure!J$6)^2+($S1445-Infrastructure!K$6)^2)</f>
        <v>7.802563681</v>
      </c>
      <c r="AZ1445" s="331">
        <f>SQRT(($R1445-Infrastructure!J$7)^2+($S1445-Infrastructure!K$7)^2)</f>
        <v>12.84056074</v>
      </c>
      <c r="BA1445" s="331">
        <f>SQRT(($R1445-Infrastructure!J$8)^2+($S1445-Infrastructure!K$8)^2)</f>
        <v>21.28097742</v>
      </c>
      <c r="BB1445" s="331">
        <f>SQRT(($R1445-Infrastructure!J$9)^2+($S1445-Infrastructure!K$9)^2)</f>
        <v>29.85113063</v>
      </c>
      <c r="BC1445" s="331">
        <f>SQRT(($R1445-Infrastructure!J$10)^2+($S1445-Infrastructure!K$10)^2)</f>
        <v>30.49098227</v>
      </c>
      <c r="BD1445" s="331">
        <f>SQRT(($R1445-Infrastructure!J$11)^2+($S1445-Infrastructure!K$11)^2)</f>
        <v>36.4804057</v>
      </c>
      <c r="BE1445" s="333">
        <f>SQRT(($R1445-Infrastructure!J$12)^2+($S1445-Infrastructure!K$12)^2)</f>
        <v>48.70523586</v>
      </c>
      <c r="BF1445" s="330">
        <f t="shared" si="161"/>
        <v>7.802563681</v>
      </c>
      <c r="BG1445" s="333">
        <f t="shared" si="162"/>
        <v>48.70523586</v>
      </c>
      <c r="BH1445" s="1119"/>
      <c r="BI1445" s="319"/>
      <c r="BJ1445" s="319"/>
      <c r="BK1445" s="319"/>
      <c r="BL1445" s="319"/>
      <c r="BM1445" s="955"/>
      <c r="BN1445" s="319"/>
      <c r="BO1445" s="319"/>
      <c r="BP1445" s="953"/>
      <c r="BQ1445" s="319"/>
      <c r="BR1445" s="324"/>
      <c r="BS1445" s="330">
        <f t="shared" si="169"/>
        <v>0</v>
      </c>
      <c r="BT1445" s="331">
        <f t="shared" si="170"/>
        <v>0</v>
      </c>
      <c r="BU1445" s="920"/>
      <c r="BV1445" s="903">
        <f t="shared" si="171"/>
        <v>-0.6351851852</v>
      </c>
      <c r="BW1445" s="907"/>
      <c r="BX1445" s="908"/>
      <c r="BY1445" s="331" t="b">
        <f t="shared" si="166"/>
        <v>0</v>
      </c>
      <c r="BZ1445" s="340"/>
      <c r="CA1445" s="316"/>
      <c r="CB1445" s="318"/>
      <c r="CC1445" s="318"/>
      <c r="CD1445" s="318"/>
      <c r="CE1445" s="318"/>
      <c r="CF1445" s="318"/>
      <c r="CG1445" s="318"/>
      <c r="CH1445" s="318"/>
      <c r="CI1445" s="318"/>
      <c r="CJ1445" s="463"/>
      <c r="CK1445" s="342"/>
      <c r="CL1445" s="333"/>
      <c r="CM1445" s="1079"/>
      <c r="CN1445" s="1005"/>
      <c r="CO1445" s="1005"/>
      <c r="CP1445" s="1005"/>
    </row>
    <row r="1446">
      <c r="B1446" s="1106" t="s">
        <v>2134</v>
      </c>
      <c r="C1446" s="1107">
        <v>44740.0</v>
      </c>
      <c r="D1446" s="103"/>
      <c r="E1446" s="1108">
        <v>4.0</v>
      </c>
      <c r="F1446" s="110" t="s">
        <v>2138</v>
      </c>
      <c r="G1446" s="1109">
        <v>0.6392939814814815</v>
      </c>
      <c r="H1446" s="1110">
        <v>0.6395833333333333</v>
      </c>
      <c r="I1446" s="1110"/>
      <c r="J1446" s="1111"/>
      <c r="K1446" s="1111">
        <v>0.6416087962962963</v>
      </c>
      <c r="L1446" s="1112">
        <v>0.002025462962962963</v>
      </c>
      <c r="M1446" s="1113" t="s">
        <v>166</v>
      </c>
      <c r="N1446" s="110" t="s">
        <v>188</v>
      </c>
      <c r="O1446" s="1114" t="s">
        <v>198</v>
      </c>
      <c r="P1446" s="1115" t="s">
        <v>218</v>
      </c>
      <c r="Q1446" s="1116"/>
      <c r="R1446" s="120">
        <v>10.3</v>
      </c>
      <c r="S1446" s="1113">
        <v>8.1</v>
      </c>
      <c r="T1446" s="110">
        <v>3.0</v>
      </c>
      <c r="U1446" s="1108">
        <v>0.3</v>
      </c>
      <c r="V1446" s="1108"/>
      <c r="W1446" s="1108"/>
      <c r="X1446" s="1108"/>
      <c r="Y1446" s="1108"/>
      <c r="Z1446" s="1114" t="s">
        <v>343</v>
      </c>
      <c r="AA1446" s="1114"/>
      <c r="AB1446" s="1114" t="s">
        <v>384</v>
      </c>
      <c r="AC1446" s="1117">
        <v>6.0</v>
      </c>
      <c r="AD1446" s="1115"/>
      <c r="AE1446" s="1115"/>
      <c r="AF1446" s="1115"/>
      <c r="AG1446" s="1115"/>
      <c r="AH1446" s="1115"/>
      <c r="AI1446" s="1115"/>
      <c r="AJ1446" s="1117"/>
      <c r="AK1446" s="1118"/>
      <c r="AL1446" s="1115"/>
      <c r="AM1446" s="1115"/>
      <c r="AN1446" s="1115"/>
      <c r="AO1446" s="1115"/>
      <c r="AP1446" s="1115"/>
      <c r="AQ1446" s="1115"/>
      <c r="AR1446" s="1115"/>
      <c r="AS1446" s="1117"/>
      <c r="AT1446" s="1075" t="s">
        <v>181</v>
      </c>
      <c r="AU1446" s="1078" t="s">
        <v>845</v>
      </c>
      <c r="AV1446" s="330">
        <f>SQRT(($R1446-Infrastructure!J$3)^2+($S1446-Infrastructure!K$3)^2)</f>
        <v>23.34523506</v>
      </c>
      <c r="AW1446" s="331">
        <f>SQRT(($R1446-Infrastructure!J$4)^2+($S1446-Infrastructure!K$4)^2)</f>
        <v>14.36836804</v>
      </c>
      <c r="AX1446" s="331">
        <f>SQRT(($R1446-Infrastructure!J$5)^2+($S1446-Infrastructure!K$5)^2)</f>
        <v>11.01635148</v>
      </c>
      <c r="AY1446" s="331">
        <f>SQRT(($R1446-Infrastructure!J$6)^2+($S1446-Infrastructure!K$6)^2)</f>
        <v>7.802563681</v>
      </c>
      <c r="AZ1446" s="331">
        <f>SQRT(($R1446-Infrastructure!J$7)^2+($S1446-Infrastructure!K$7)^2)</f>
        <v>12.84056074</v>
      </c>
      <c r="BA1446" s="331">
        <f>SQRT(($R1446-Infrastructure!J$8)^2+($S1446-Infrastructure!K$8)^2)</f>
        <v>21.28097742</v>
      </c>
      <c r="BB1446" s="331">
        <f>SQRT(($R1446-Infrastructure!J$9)^2+($S1446-Infrastructure!K$9)^2)</f>
        <v>29.85113063</v>
      </c>
      <c r="BC1446" s="331">
        <f>SQRT(($R1446-Infrastructure!J$10)^2+($S1446-Infrastructure!K$10)^2)</f>
        <v>30.49098227</v>
      </c>
      <c r="BD1446" s="331">
        <f>SQRT(($R1446-Infrastructure!J$11)^2+($S1446-Infrastructure!K$11)^2)</f>
        <v>36.4804057</v>
      </c>
      <c r="BE1446" s="333">
        <f>SQRT(($R1446-Infrastructure!J$12)^2+($S1446-Infrastructure!K$12)^2)</f>
        <v>48.70523586</v>
      </c>
      <c r="BF1446" s="330">
        <f t="shared" si="161"/>
        <v>7.802563681</v>
      </c>
      <c r="BG1446" s="333">
        <f t="shared" si="162"/>
        <v>48.70523586</v>
      </c>
      <c r="BH1446" s="1119"/>
      <c r="BI1446" s="319"/>
      <c r="BJ1446" s="319"/>
      <c r="BK1446" s="319"/>
      <c r="BL1446" s="319"/>
      <c r="BM1446" s="955"/>
      <c r="BN1446" s="319"/>
      <c r="BO1446" s="319"/>
      <c r="BP1446" s="953"/>
      <c r="BQ1446" s="319"/>
      <c r="BR1446" s="324"/>
      <c r="BS1446" s="330">
        <f t="shared" si="169"/>
        <v>0</v>
      </c>
      <c r="BT1446" s="331">
        <f t="shared" si="170"/>
        <v>0</v>
      </c>
      <c r="BU1446" s="920"/>
      <c r="BV1446" s="903">
        <f t="shared" si="171"/>
        <v>-0.6392939815</v>
      </c>
      <c r="BW1446" s="907"/>
      <c r="BX1446" s="908"/>
      <c r="BY1446" s="331" t="b">
        <f t="shared" si="166"/>
        <v>0</v>
      </c>
      <c r="BZ1446" s="340"/>
      <c r="CA1446" s="316"/>
      <c r="CB1446" s="318"/>
      <c r="CC1446" s="318"/>
      <c r="CD1446" s="318"/>
      <c r="CE1446" s="318"/>
      <c r="CF1446" s="318"/>
      <c r="CG1446" s="318"/>
      <c r="CH1446" s="318"/>
      <c r="CI1446" s="318"/>
      <c r="CJ1446" s="463"/>
      <c r="CK1446" s="342"/>
      <c r="CL1446" s="333"/>
      <c r="CM1446" s="1079"/>
      <c r="CN1446" s="1005"/>
      <c r="CO1446" s="1005"/>
      <c r="CP1446" s="1005"/>
    </row>
    <row r="1447">
      <c r="B1447" s="1106" t="s">
        <v>2134</v>
      </c>
      <c r="C1447" s="1107">
        <v>44740.0</v>
      </c>
      <c r="D1447" s="103"/>
      <c r="E1447" s="1137"/>
      <c r="F1447" s="112" t="s">
        <v>2139</v>
      </c>
      <c r="G1447" s="1109">
        <v>0.6519097222222222</v>
      </c>
      <c r="H1447" s="1138"/>
      <c r="I1447" s="1138"/>
      <c r="J1447" s="1139"/>
      <c r="K1447" s="1111">
        <v>0.6522569444444445</v>
      </c>
      <c r="L1447" s="1112">
        <v>3.4722222222222224E-4</v>
      </c>
      <c r="M1447" s="1113" t="s">
        <v>166</v>
      </c>
      <c r="N1447" s="110" t="s">
        <v>188</v>
      </c>
      <c r="O1447" s="1140"/>
      <c r="P1447" s="1115" t="s">
        <v>292</v>
      </c>
      <c r="Q1447" s="1116"/>
      <c r="R1447" s="1141"/>
      <c r="S1447" s="1142"/>
      <c r="T1447" s="1143"/>
      <c r="U1447" s="1137"/>
      <c r="V1447" s="1137"/>
      <c r="W1447" s="1137"/>
      <c r="X1447" s="1137"/>
      <c r="Y1447" s="1137"/>
      <c r="Z1447" s="1114" t="s">
        <v>323</v>
      </c>
      <c r="AA1447" s="1114"/>
      <c r="AB1447" s="1114" t="s">
        <v>323</v>
      </c>
      <c r="AC1447" s="1117" t="s">
        <v>323</v>
      </c>
      <c r="AD1447" s="1115"/>
      <c r="AE1447" s="1115"/>
      <c r="AF1447" s="1115"/>
      <c r="AG1447" s="1115"/>
      <c r="AH1447" s="1115"/>
      <c r="AI1447" s="1115"/>
      <c r="AJ1447" s="1117"/>
      <c r="AK1447" s="1118"/>
      <c r="AL1447" s="1115"/>
      <c r="AM1447" s="1115"/>
      <c r="AN1447" s="1115"/>
      <c r="AO1447" s="1115"/>
      <c r="AP1447" s="1115"/>
      <c r="AQ1447" s="1115"/>
      <c r="AR1447" s="1115"/>
      <c r="AS1447" s="1117"/>
      <c r="AT1447" s="1075"/>
      <c r="AU1447" s="1078"/>
      <c r="AV1447" s="330">
        <f>SQRT(($R1447-Infrastructure!J$3)^2+($S1447-Infrastructure!K$3)^2)</f>
        <v>28.90155705</v>
      </c>
      <c r="AW1447" s="331">
        <f>SQRT(($R1447-Infrastructure!J$4)^2+($S1447-Infrastructure!K$4)^2)</f>
        <v>17.80252791</v>
      </c>
      <c r="AX1447" s="331">
        <f>SQRT(($R1447-Infrastructure!J$5)^2+($S1447-Infrastructure!K$5)^2)</f>
        <v>5.10881591</v>
      </c>
      <c r="AY1447" s="331">
        <f>SQRT(($R1447-Infrastructure!J$6)^2+($S1447-Infrastructure!K$6)^2)</f>
        <v>10.10445446</v>
      </c>
      <c r="AZ1447" s="331">
        <f>SQRT(($R1447-Infrastructure!J$7)^2+($S1447-Infrastructure!K$7)^2)</f>
        <v>20.502195</v>
      </c>
      <c r="BA1447" s="331">
        <f>SQRT(($R1447-Infrastructure!J$8)^2+($S1447-Infrastructure!K$8)^2)</f>
        <v>30.10149498</v>
      </c>
      <c r="BB1447" s="331">
        <f>SQRT(($R1447-Infrastructure!J$9)^2+($S1447-Infrastructure!K$9)^2)</f>
        <v>40.3238143</v>
      </c>
      <c r="BC1447" s="331">
        <f>SQRT(($R1447-Infrastructure!J$10)^2+($S1447-Infrastructure!K$10)^2)</f>
        <v>42.72001873</v>
      </c>
      <c r="BD1447" s="331">
        <f>SQRT(($R1447-Infrastructure!J$11)^2+($S1447-Infrastructure!K$11)^2)</f>
        <v>49.56853841</v>
      </c>
      <c r="BE1447" s="333">
        <f>SQRT(($R1447-Infrastructure!J$12)^2+($S1447-Infrastructure!K$12)^2)</f>
        <v>59.51890456</v>
      </c>
      <c r="BF1447" s="330">
        <f t="shared" si="161"/>
        <v>5.10881591</v>
      </c>
      <c r="BG1447" s="333">
        <f t="shared" si="162"/>
        <v>59.51890456</v>
      </c>
      <c r="BH1447" s="1119"/>
      <c r="BI1447" s="319"/>
      <c r="BJ1447" s="319"/>
      <c r="BK1447" s="319"/>
      <c r="BL1447" s="319"/>
      <c r="BM1447" s="955"/>
      <c r="BN1447" s="319"/>
      <c r="BO1447" s="319"/>
      <c r="BP1447" s="953"/>
      <c r="BQ1447" s="319"/>
      <c r="BR1447" s="324"/>
      <c r="BS1447" s="330">
        <f t="shared" si="169"/>
        <v>0</v>
      </c>
      <c r="BT1447" s="331">
        <f t="shared" si="170"/>
        <v>0</v>
      </c>
      <c r="BU1447" s="920"/>
      <c r="BV1447" s="903">
        <f t="shared" si="171"/>
        <v>-0.6519097222</v>
      </c>
      <c r="BW1447" s="907"/>
      <c r="BX1447" s="908"/>
      <c r="BY1447" s="331" t="b">
        <f t="shared" si="166"/>
        <v>0</v>
      </c>
      <c r="BZ1447" s="340"/>
      <c r="CA1447" s="316"/>
      <c r="CB1447" s="318"/>
      <c r="CC1447" s="318"/>
      <c r="CD1447" s="318"/>
      <c r="CE1447" s="318"/>
      <c r="CF1447" s="318"/>
      <c r="CG1447" s="318"/>
      <c r="CH1447" s="318"/>
      <c r="CI1447" s="318"/>
      <c r="CJ1447" s="463"/>
      <c r="CK1447" s="342"/>
      <c r="CL1447" s="333"/>
      <c r="CM1447" s="1079"/>
      <c r="CN1447" s="1005"/>
      <c r="CO1447" s="1005"/>
      <c r="CP1447" s="1005"/>
    </row>
    <row r="1448">
      <c r="B1448" s="1106" t="s">
        <v>2134</v>
      </c>
      <c r="C1448" s="1107">
        <v>44740.0</v>
      </c>
      <c r="D1448" s="103"/>
      <c r="E1448" s="1137"/>
      <c r="F1448" s="112" t="s">
        <v>2139</v>
      </c>
      <c r="G1448" s="1109">
        <v>0.7090277777777778</v>
      </c>
      <c r="H1448" s="1138"/>
      <c r="I1448" s="1138"/>
      <c r="J1448" s="1139"/>
      <c r="K1448" s="1111">
        <v>0.7104166666666667</v>
      </c>
      <c r="L1448" s="1112">
        <v>0.001388888888888889</v>
      </c>
      <c r="M1448" s="1113" t="s">
        <v>358</v>
      </c>
      <c r="N1448" s="110" t="s">
        <v>188</v>
      </c>
      <c r="O1448" s="1140"/>
      <c r="P1448" s="1115" t="s">
        <v>294</v>
      </c>
      <c r="Q1448" s="1116"/>
      <c r="R1448" s="1141"/>
      <c r="S1448" s="1142"/>
      <c r="T1448" s="1143"/>
      <c r="U1448" s="1137"/>
      <c r="V1448" s="1137"/>
      <c r="W1448" s="1137"/>
      <c r="X1448" s="1137"/>
      <c r="Y1448" s="1137"/>
      <c r="Z1448" s="1114" t="s">
        <v>323</v>
      </c>
      <c r="AA1448" s="1114"/>
      <c r="AB1448" s="1114" t="s">
        <v>323</v>
      </c>
      <c r="AC1448" s="1117" t="s">
        <v>323</v>
      </c>
      <c r="AD1448" s="1115"/>
      <c r="AE1448" s="1115"/>
      <c r="AF1448" s="1115"/>
      <c r="AG1448" s="1115"/>
      <c r="AH1448" s="1115"/>
      <c r="AI1448" s="1115"/>
      <c r="AJ1448" s="1117"/>
      <c r="AK1448" s="1118"/>
      <c r="AL1448" s="1115"/>
      <c r="AM1448" s="1115"/>
      <c r="AN1448" s="1115"/>
      <c r="AO1448" s="1115"/>
      <c r="AP1448" s="1115"/>
      <c r="AQ1448" s="1115"/>
      <c r="AR1448" s="1115"/>
      <c r="AS1448" s="1117"/>
      <c r="AT1448" s="1075"/>
      <c r="AU1448" s="1078"/>
      <c r="AV1448" s="330">
        <f>SQRT(($R1448-Infrastructure!J$3)^2+($S1448-Infrastructure!K$3)^2)</f>
        <v>28.90155705</v>
      </c>
      <c r="AW1448" s="331">
        <f>SQRT(($R1448-Infrastructure!J$4)^2+($S1448-Infrastructure!K$4)^2)</f>
        <v>17.80252791</v>
      </c>
      <c r="AX1448" s="331">
        <f>SQRT(($R1448-Infrastructure!J$5)^2+($S1448-Infrastructure!K$5)^2)</f>
        <v>5.10881591</v>
      </c>
      <c r="AY1448" s="331">
        <f>SQRT(($R1448-Infrastructure!J$6)^2+($S1448-Infrastructure!K$6)^2)</f>
        <v>10.10445446</v>
      </c>
      <c r="AZ1448" s="331">
        <f>SQRT(($R1448-Infrastructure!J$7)^2+($S1448-Infrastructure!K$7)^2)</f>
        <v>20.502195</v>
      </c>
      <c r="BA1448" s="331">
        <f>SQRT(($R1448-Infrastructure!J$8)^2+($S1448-Infrastructure!K$8)^2)</f>
        <v>30.10149498</v>
      </c>
      <c r="BB1448" s="331">
        <f>SQRT(($R1448-Infrastructure!J$9)^2+($S1448-Infrastructure!K$9)^2)</f>
        <v>40.3238143</v>
      </c>
      <c r="BC1448" s="331">
        <f>SQRT(($R1448-Infrastructure!J$10)^2+($S1448-Infrastructure!K$10)^2)</f>
        <v>42.72001873</v>
      </c>
      <c r="BD1448" s="331">
        <f>SQRT(($R1448-Infrastructure!J$11)^2+($S1448-Infrastructure!K$11)^2)</f>
        <v>49.56853841</v>
      </c>
      <c r="BE1448" s="333">
        <f>SQRT(($R1448-Infrastructure!J$12)^2+($S1448-Infrastructure!K$12)^2)</f>
        <v>59.51890456</v>
      </c>
      <c r="BF1448" s="330">
        <f t="shared" si="161"/>
        <v>5.10881591</v>
      </c>
      <c r="BG1448" s="333">
        <f t="shared" si="162"/>
        <v>59.51890456</v>
      </c>
      <c r="BH1448" s="1119"/>
      <c r="BI1448" s="319"/>
      <c r="BJ1448" s="319"/>
      <c r="BK1448" s="319"/>
      <c r="BL1448" s="319"/>
      <c r="BM1448" s="955"/>
      <c r="BN1448" s="319"/>
      <c r="BO1448" s="319"/>
      <c r="BP1448" s="953"/>
      <c r="BQ1448" s="319"/>
      <c r="BR1448" s="324"/>
      <c r="BS1448" s="330">
        <f t="shared" si="169"/>
        <v>0</v>
      </c>
      <c r="BT1448" s="331">
        <f t="shared" si="170"/>
        <v>0</v>
      </c>
      <c r="BU1448" s="920"/>
      <c r="BV1448" s="903">
        <f t="shared" si="171"/>
        <v>-0.7090277778</v>
      </c>
      <c r="BW1448" s="907"/>
      <c r="BX1448" s="908"/>
      <c r="BY1448" s="331" t="b">
        <f t="shared" si="166"/>
        <v>0</v>
      </c>
      <c r="BZ1448" s="340"/>
      <c r="CA1448" s="316"/>
      <c r="CB1448" s="318"/>
      <c r="CC1448" s="318"/>
      <c r="CD1448" s="318"/>
      <c r="CE1448" s="318"/>
      <c r="CF1448" s="318"/>
      <c r="CG1448" s="318"/>
      <c r="CH1448" s="318"/>
      <c r="CI1448" s="318"/>
      <c r="CJ1448" s="463"/>
      <c r="CK1448" s="342"/>
      <c r="CL1448" s="333"/>
      <c r="CM1448" s="1079"/>
      <c r="CN1448" s="1005"/>
      <c r="CO1448" s="1005"/>
      <c r="CP1448" s="1005"/>
    </row>
    <row r="1449">
      <c r="A1449" s="1160" t="s">
        <v>78</v>
      </c>
      <c r="B1449" s="1091" t="s">
        <v>2134</v>
      </c>
      <c r="C1449" s="1092">
        <v>44743.0</v>
      </c>
      <c r="D1449" s="1093"/>
      <c r="E1449" s="1094">
        <v>1.0</v>
      </c>
      <c r="F1449" s="129" t="s">
        <v>2140</v>
      </c>
      <c r="G1449" s="1095">
        <v>0.45914351851851853</v>
      </c>
      <c r="H1449" s="1096">
        <v>0.4600694444444444</v>
      </c>
      <c r="I1449" s="1096"/>
      <c r="J1449" s="1097"/>
      <c r="K1449" s="1097">
        <v>0.4621527777777778</v>
      </c>
      <c r="L1449" s="1098">
        <v>0.0020833333333333333</v>
      </c>
      <c r="M1449" s="1099" t="s">
        <v>358</v>
      </c>
      <c r="N1449" s="129" t="s">
        <v>187</v>
      </c>
      <c r="O1449" s="1100" t="s">
        <v>198</v>
      </c>
      <c r="P1449" s="1101" t="s">
        <v>218</v>
      </c>
      <c r="Q1449" s="1120"/>
      <c r="R1449" s="132">
        <v>10.3</v>
      </c>
      <c r="S1449" s="1099">
        <v>8.1</v>
      </c>
      <c r="T1449" s="129">
        <v>3.0</v>
      </c>
      <c r="U1449" s="1094">
        <v>7.0</v>
      </c>
      <c r="V1449" s="1094"/>
      <c r="W1449" s="1094"/>
      <c r="X1449" s="1094"/>
      <c r="Y1449" s="1094"/>
      <c r="Z1449" s="1100" t="s">
        <v>343</v>
      </c>
      <c r="AA1449" s="1100"/>
      <c r="AB1449" s="1100" t="s">
        <v>392</v>
      </c>
      <c r="AC1449" s="1102">
        <v>10.0</v>
      </c>
      <c r="AD1449" s="1101"/>
      <c r="AE1449" s="1101"/>
      <c r="AF1449" s="1101"/>
      <c r="AG1449" s="1101"/>
      <c r="AH1449" s="1101"/>
      <c r="AI1449" s="1101"/>
      <c r="AJ1449" s="1102"/>
      <c r="AK1449" s="1103"/>
      <c r="AL1449" s="1101"/>
      <c r="AM1449" s="1101"/>
      <c r="AN1449" s="1101"/>
      <c r="AO1449" s="1101"/>
      <c r="AP1449" s="1101"/>
      <c r="AQ1449" s="1101"/>
      <c r="AR1449" s="1101"/>
      <c r="AS1449" s="1102"/>
      <c r="AT1449" s="1066" t="s">
        <v>182</v>
      </c>
      <c r="AU1449" s="1076" t="s">
        <v>845</v>
      </c>
      <c r="AV1449" s="330">
        <f>SQRT(($R1449-Infrastructure!J$3)^2+($S1449-Infrastructure!K$3)^2)</f>
        <v>23.34523506</v>
      </c>
      <c r="AW1449" s="331">
        <f>SQRT(($R1449-Infrastructure!J$4)^2+($S1449-Infrastructure!K$4)^2)</f>
        <v>14.36836804</v>
      </c>
      <c r="AX1449" s="331">
        <f>SQRT(($R1449-Infrastructure!J$5)^2+($S1449-Infrastructure!K$5)^2)</f>
        <v>11.01635148</v>
      </c>
      <c r="AY1449" s="331">
        <f>SQRT(($R1449-Infrastructure!J$6)^2+($S1449-Infrastructure!K$6)^2)</f>
        <v>7.802563681</v>
      </c>
      <c r="AZ1449" s="331">
        <f>SQRT(($R1449-Infrastructure!J$7)^2+($S1449-Infrastructure!K$7)^2)</f>
        <v>12.84056074</v>
      </c>
      <c r="BA1449" s="331">
        <f>SQRT(($R1449-Infrastructure!J$8)^2+($S1449-Infrastructure!K$8)^2)</f>
        <v>21.28097742</v>
      </c>
      <c r="BB1449" s="331">
        <f>SQRT(($R1449-Infrastructure!J$9)^2+($S1449-Infrastructure!K$9)^2)</f>
        <v>29.85113063</v>
      </c>
      <c r="BC1449" s="331">
        <f>SQRT(($R1449-Infrastructure!J$10)^2+($S1449-Infrastructure!K$10)^2)</f>
        <v>30.49098227</v>
      </c>
      <c r="BD1449" s="331">
        <f>SQRT(($R1449-Infrastructure!J$11)^2+($S1449-Infrastructure!K$11)^2)</f>
        <v>36.4804057</v>
      </c>
      <c r="BE1449" s="333">
        <f>SQRT(($R1449-Infrastructure!J$12)^2+($S1449-Infrastructure!K$12)^2)</f>
        <v>48.70523586</v>
      </c>
      <c r="BF1449" s="330">
        <f t="shared" si="161"/>
        <v>7.802563681</v>
      </c>
      <c r="BG1449" s="333">
        <f t="shared" si="162"/>
        <v>48.70523586</v>
      </c>
      <c r="BH1449" s="1105"/>
      <c r="BI1449" s="393"/>
      <c r="BJ1449" s="393" t="s">
        <v>846</v>
      </c>
      <c r="BK1449" s="393" t="s">
        <v>846</v>
      </c>
      <c r="BL1449" s="393" t="s">
        <v>846</v>
      </c>
      <c r="BM1449" s="959"/>
      <c r="BN1449" s="393"/>
      <c r="BO1449" s="393"/>
      <c r="BP1449" s="960"/>
      <c r="BQ1449" s="393"/>
      <c r="BR1449" s="394"/>
      <c r="BS1449" s="330">
        <f t="shared" si="169"/>
        <v>7.802563681</v>
      </c>
      <c r="BT1449" s="331">
        <f t="shared" si="170"/>
        <v>14.36836804</v>
      </c>
      <c r="BU1449" s="920"/>
      <c r="BV1449" s="903">
        <f t="shared" si="171"/>
        <v>-0.4591435185</v>
      </c>
      <c r="BW1449" s="925"/>
      <c r="BX1449" s="926"/>
      <c r="BY1449" s="331" t="b">
        <f t="shared" si="166"/>
        <v>0</v>
      </c>
      <c r="BZ1449" s="412"/>
      <c r="CA1449" s="390"/>
      <c r="CB1449" s="392"/>
      <c r="CC1449" s="392"/>
      <c r="CD1449" s="392"/>
      <c r="CE1449" s="392"/>
      <c r="CF1449" s="392"/>
      <c r="CG1449" s="392"/>
      <c r="CH1449" s="392"/>
      <c r="CI1449" s="392"/>
      <c r="CJ1449" s="898"/>
      <c r="CK1449" s="414"/>
      <c r="CL1449" s="408"/>
      <c r="CM1449" s="1077"/>
      <c r="CN1449" s="1005"/>
      <c r="CO1449" s="1005"/>
      <c r="CP1449" s="1005"/>
    </row>
    <row r="1450">
      <c r="B1450" s="1106" t="s">
        <v>2134</v>
      </c>
      <c r="C1450" s="1107">
        <v>44743.0</v>
      </c>
      <c r="D1450" s="1165"/>
      <c r="E1450" s="1108">
        <v>2.0</v>
      </c>
      <c r="F1450" s="112" t="s">
        <v>2141</v>
      </c>
      <c r="G1450" s="1151">
        <v>0.4626736111111111</v>
      </c>
      <c r="H1450" s="1152">
        <v>0.46336805555555555</v>
      </c>
      <c r="I1450" s="1152"/>
      <c r="J1450" s="1153"/>
      <c r="K1450" s="1153">
        <v>0.4648726851851852</v>
      </c>
      <c r="L1450" s="1112">
        <v>0.0015046296296296296</v>
      </c>
      <c r="M1450" s="1113" t="s">
        <v>358</v>
      </c>
      <c r="N1450" s="110" t="s">
        <v>187</v>
      </c>
      <c r="O1450" s="1114" t="s">
        <v>201</v>
      </c>
      <c r="P1450" s="1115" t="s">
        <v>256</v>
      </c>
      <c r="Q1450" s="1116"/>
      <c r="R1450" s="120">
        <v>16.5</v>
      </c>
      <c r="S1450" s="1113">
        <v>6.0</v>
      </c>
      <c r="T1450" s="110">
        <v>0.55</v>
      </c>
      <c r="U1450" s="1108">
        <v>4.0</v>
      </c>
      <c r="V1450" s="1108"/>
      <c r="W1450" s="1108"/>
      <c r="X1450" s="1108"/>
      <c r="Y1450" s="1108"/>
      <c r="Z1450" s="1114" t="s">
        <v>339</v>
      </c>
      <c r="AA1450" s="1114"/>
      <c r="AB1450" s="1114" t="s">
        <v>345</v>
      </c>
      <c r="AC1450" s="1117">
        <v>4.0</v>
      </c>
      <c r="AD1450" s="1115"/>
      <c r="AE1450" s="1115"/>
      <c r="AF1450" s="1115"/>
      <c r="AG1450" s="1115"/>
      <c r="AH1450" s="1115"/>
      <c r="AI1450" s="1115"/>
      <c r="AJ1450" s="1117"/>
      <c r="AK1450" s="1118"/>
      <c r="AL1450" s="1115"/>
      <c r="AM1450" s="1115"/>
      <c r="AN1450" s="1115"/>
      <c r="AO1450" s="1115"/>
      <c r="AP1450" s="1115"/>
      <c r="AQ1450" s="1115"/>
      <c r="AR1450" s="1115"/>
      <c r="AS1450" s="1117"/>
      <c r="AT1450" s="1075" t="s">
        <v>182</v>
      </c>
      <c r="AU1450" s="1078" t="s">
        <v>845</v>
      </c>
      <c r="AV1450" s="330">
        <f>SQRT(($R1450-Infrastructure!J$3)^2+($S1450-Infrastructure!K$3)^2)</f>
        <v>28.40158446</v>
      </c>
      <c r="AW1450" s="331">
        <f>SQRT(($R1450-Infrastructure!J$4)^2+($S1450-Infrastructure!K$4)^2)</f>
        <v>20.52997808</v>
      </c>
      <c r="AX1450" s="331">
        <f>SQRT(($R1450-Infrastructure!J$5)^2+($S1450-Infrastructure!K$5)^2)</f>
        <v>16.82408987</v>
      </c>
      <c r="AY1450" s="331">
        <f>SQRT(($R1450-Infrastructure!J$6)^2+($S1450-Infrastructure!K$6)^2)</f>
        <v>8.570297544</v>
      </c>
      <c r="AZ1450" s="331">
        <f>SQRT(($R1450-Infrastructure!J$7)^2+($S1450-Infrastructure!K$7)^2)</f>
        <v>6.963476143</v>
      </c>
      <c r="BA1450" s="331">
        <f>SQRT(($R1450-Infrastructure!J$8)^2+($S1450-Infrastructure!K$8)^2)</f>
        <v>14.74618595</v>
      </c>
      <c r="BB1450" s="331">
        <f>SQRT(($R1450-Infrastructure!J$9)^2+($S1450-Infrastructure!K$9)^2)</f>
        <v>23.51722773</v>
      </c>
      <c r="BC1450" s="331">
        <f>SQRT(($R1450-Infrastructure!J$10)^2+($S1450-Infrastructure!K$10)^2)</f>
        <v>25.16445906</v>
      </c>
      <c r="BD1450" s="331">
        <f>SQRT(($R1450-Infrastructure!J$11)^2+($S1450-Infrastructure!K$11)^2)</f>
        <v>33.02559613</v>
      </c>
      <c r="BE1450" s="333">
        <f>SQRT(($R1450-Infrastructure!J$12)^2+($S1450-Infrastructure!K$12)^2)</f>
        <v>49.75188439</v>
      </c>
      <c r="BF1450" s="330">
        <f t="shared" si="161"/>
        <v>6.963476143</v>
      </c>
      <c r="BG1450" s="333">
        <f t="shared" si="162"/>
        <v>49.75188439</v>
      </c>
      <c r="BH1450" s="1119"/>
      <c r="BI1450" s="319"/>
      <c r="BJ1450" s="319"/>
      <c r="BK1450" s="319" t="s">
        <v>846</v>
      </c>
      <c r="BL1450" s="319" t="s">
        <v>846</v>
      </c>
      <c r="BM1450" s="955"/>
      <c r="BN1450" s="319" t="s">
        <v>846</v>
      </c>
      <c r="BO1450" s="319"/>
      <c r="BP1450" s="953"/>
      <c r="BQ1450" s="319"/>
      <c r="BR1450" s="324" t="s">
        <v>846</v>
      </c>
      <c r="BS1450" s="330">
        <f t="shared" si="169"/>
        <v>8.570297544</v>
      </c>
      <c r="BT1450" s="331">
        <f t="shared" si="170"/>
        <v>49.75188439</v>
      </c>
      <c r="BU1450" s="920"/>
      <c r="BV1450" s="903">
        <f t="shared" si="171"/>
        <v>-0.4626736111</v>
      </c>
      <c r="BW1450" s="907"/>
      <c r="BX1450" s="908"/>
      <c r="BY1450" s="331" t="b">
        <f t="shared" si="166"/>
        <v>0</v>
      </c>
      <c r="BZ1450" s="340"/>
      <c r="CA1450" s="316"/>
      <c r="CB1450" s="318"/>
      <c r="CC1450" s="318"/>
      <c r="CD1450" s="318"/>
      <c r="CE1450" s="318"/>
      <c r="CF1450" s="318"/>
      <c r="CG1450" s="318"/>
      <c r="CH1450" s="318"/>
      <c r="CI1450" s="318"/>
      <c r="CJ1450" s="463"/>
      <c r="CK1450" s="342"/>
      <c r="CL1450" s="333"/>
      <c r="CM1450" s="1079"/>
      <c r="CN1450" s="1005"/>
      <c r="CO1450" s="1005"/>
      <c r="CP1450" s="1005"/>
    </row>
    <row r="1451">
      <c r="A1451" s="634"/>
      <c r="B1451" s="1121" t="s">
        <v>2134</v>
      </c>
      <c r="C1451" s="1122">
        <v>44743.0</v>
      </c>
      <c r="D1451" s="1123"/>
      <c r="E1451" s="1144"/>
      <c r="F1451" s="108" t="s">
        <v>2142</v>
      </c>
      <c r="G1451" s="1125">
        <v>0.4748263888888889</v>
      </c>
      <c r="H1451" s="1145"/>
      <c r="I1451" s="1145"/>
      <c r="J1451" s="1146"/>
      <c r="K1451" s="1127">
        <v>0.4756944444444444</v>
      </c>
      <c r="L1451" s="1128">
        <v>8.680555555555555E-4</v>
      </c>
      <c r="M1451" s="1129" t="s">
        <v>358</v>
      </c>
      <c r="N1451" s="100" t="s">
        <v>188</v>
      </c>
      <c r="O1451" s="1161"/>
      <c r="P1451" s="1131" t="s">
        <v>294</v>
      </c>
      <c r="Q1451" s="1132"/>
      <c r="R1451" s="1148"/>
      <c r="S1451" s="1149"/>
      <c r="T1451" s="1150"/>
      <c r="U1451" s="1144"/>
      <c r="V1451" s="1144"/>
      <c r="W1451" s="1144"/>
      <c r="X1451" s="1144"/>
      <c r="Y1451" s="1144"/>
      <c r="Z1451" s="1130" t="s">
        <v>323</v>
      </c>
      <c r="AA1451" s="1130"/>
      <c r="AB1451" s="1130" t="s">
        <v>323</v>
      </c>
      <c r="AC1451" s="1133" t="s">
        <v>323</v>
      </c>
      <c r="AD1451" s="1131"/>
      <c r="AE1451" s="1131"/>
      <c r="AF1451" s="1131"/>
      <c r="AG1451" s="1131"/>
      <c r="AH1451" s="1131"/>
      <c r="AI1451" s="1131"/>
      <c r="AJ1451" s="1133"/>
      <c r="AK1451" s="1134"/>
      <c r="AL1451" s="1131"/>
      <c r="AM1451" s="1131"/>
      <c r="AN1451" s="1131"/>
      <c r="AO1451" s="1131"/>
      <c r="AP1451" s="1131"/>
      <c r="AQ1451" s="1131"/>
      <c r="AR1451" s="1131"/>
      <c r="AS1451" s="1133"/>
      <c r="AT1451" s="1088"/>
      <c r="AU1451" s="1089"/>
      <c r="AV1451" s="330">
        <f>SQRT(($R1451-Infrastructure!J$3)^2+($S1451-Infrastructure!K$3)^2)</f>
        <v>28.90155705</v>
      </c>
      <c r="AW1451" s="331">
        <f>SQRT(($R1451-Infrastructure!J$4)^2+($S1451-Infrastructure!K$4)^2)</f>
        <v>17.80252791</v>
      </c>
      <c r="AX1451" s="331">
        <f>SQRT(($R1451-Infrastructure!J$5)^2+($S1451-Infrastructure!K$5)^2)</f>
        <v>5.10881591</v>
      </c>
      <c r="AY1451" s="331">
        <f>SQRT(($R1451-Infrastructure!J$6)^2+($S1451-Infrastructure!K$6)^2)</f>
        <v>10.10445446</v>
      </c>
      <c r="AZ1451" s="331">
        <f>SQRT(($R1451-Infrastructure!J$7)^2+($S1451-Infrastructure!K$7)^2)</f>
        <v>20.502195</v>
      </c>
      <c r="BA1451" s="331">
        <f>SQRT(($R1451-Infrastructure!J$8)^2+($S1451-Infrastructure!K$8)^2)</f>
        <v>30.10149498</v>
      </c>
      <c r="BB1451" s="331">
        <f>SQRT(($R1451-Infrastructure!J$9)^2+($S1451-Infrastructure!K$9)^2)</f>
        <v>40.3238143</v>
      </c>
      <c r="BC1451" s="331">
        <f>SQRT(($R1451-Infrastructure!J$10)^2+($S1451-Infrastructure!K$10)^2)</f>
        <v>42.72001873</v>
      </c>
      <c r="BD1451" s="331">
        <f>SQRT(($R1451-Infrastructure!J$11)^2+($S1451-Infrastructure!K$11)^2)</f>
        <v>49.56853841</v>
      </c>
      <c r="BE1451" s="333">
        <f>SQRT(($R1451-Infrastructure!J$12)^2+($S1451-Infrastructure!K$12)^2)</f>
        <v>59.51890456</v>
      </c>
      <c r="BF1451" s="330">
        <f t="shared" si="161"/>
        <v>5.10881591</v>
      </c>
      <c r="BG1451" s="333">
        <f t="shared" si="162"/>
        <v>59.51890456</v>
      </c>
      <c r="BH1451" s="1135"/>
      <c r="BI1451" s="663"/>
      <c r="BJ1451" s="663"/>
      <c r="BK1451" s="663"/>
      <c r="BL1451" s="663"/>
      <c r="BM1451" s="957"/>
      <c r="BN1451" s="663"/>
      <c r="BO1451" s="663"/>
      <c r="BP1451" s="958"/>
      <c r="BQ1451" s="663"/>
      <c r="BR1451" s="637"/>
      <c r="BS1451" s="330">
        <f t="shared" si="169"/>
        <v>0</v>
      </c>
      <c r="BT1451" s="331">
        <f t="shared" si="170"/>
        <v>0</v>
      </c>
      <c r="BU1451" s="920"/>
      <c r="BV1451" s="903">
        <f t="shared" si="171"/>
        <v>-0.4748263889</v>
      </c>
      <c r="BW1451" s="938"/>
      <c r="BX1451" s="939"/>
      <c r="BY1451" s="331" t="b">
        <f t="shared" si="166"/>
        <v>0</v>
      </c>
      <c r="BZ1451" s="742"/>
      <c r="CA1451" s="639"/>
      <c r="CB1451" s="640"/>
      <c r="CC1451" s="640"/>
      <c r="CD1451" s="640"/>
      <c r="CE1451" s="640"/>
      <c r="CF1451" s="640"/>
      <c r="CG1451" s="640"/>
      <c r="CH1451" s="640"/>
      <c r="CI1451" s="640"/>
      <c r="CJ1451" s="785"/>
      <c r="CK1451" s="743"/>
      <c r="CL1451" s="642"/>
      <c r="CM1451" s="1090"/>
      <c r="CN1451" s="1005"/>
      <c r="CO1451" s="1005"/>
      <c r="CP1451" s="1005"/>
    </row>
    <row r="1452">
      <c r="A1452" s="1162" t="s">
        <v>79</v>
      </c>
      <c r="B1452" s="1106" t="s">
        <v>1561</v>
      </c>
      <c r="C1452" s="1107">
        <v>44746.0</v>
      </c>
      <c r="D1452" s="103"/>
      <c r="E1452" s="1108">
        <v>1.0</v>
      </c>
      <c r="F1452" s="110" t="s">
        <v>2143</v>
      </c>
      <c r="G1452" s="1109">
        <v>0.6222222222222222</v>
      </c>
      <c r="H1452" s="1110">
        <v>0.6230324074074074</v>
      </c>
      <c r="I1452" s="1110"/>
      <c r="J1452" s="1111"/>
      <c r="K1452" s="1111">
        <v>0.6248263888888889</v>
      </c>
      <c r="L1452" s="1112">
        <v>0.0017939814814814815</v>
      </c>
      <c r="M1452" s="1113" t="s">
        <v>166</v>
      </c>
      <c r="N1452" s="110" t="s">
        <v>187</v>
      </c>
      <c r="O1452" s="1114" t="s">
        <v>207</v>
      </c>
      <c r="P1452" s="1113" t="s">
        <v>223</v>
      </c>
      <c r="Q1452" s="1116"/>
      <c r="R1452" s="1154">
        <v>26.4</v>
      </c>
      <c r="S1452" s="1115">
        <v>14.4</v>
      </c>
      <c r="T1452" s="1155">
        <v>2.3</v>
      </c>
      <c r="U1452" s="1108">
        <v>7.0</v>
      </c>
      <c r="V1452" s="1108"/>
      <c r="W1452" s="1108"/>
      <c r="X1452" s="1108"/>
      <c r="Y1452" s="1108"/>
      <c r="Z1452" s="1114" t="s">
        <v>374</v>
      </c>
      <c r="AA1452" s="1114"/>
      <c r="AB1452" s="1114" t="s">
        <v>384</v>
      </c>
      <c r="AC1452" s="1117">
        <v>6.0</v>
      </c>
      <c r="AD1452" s="1115"/>
      <c r="AE1452" s="1115"/>
      <c r="AF1452" s="1115"/>
      <c r="AG1452" s="1115"/>
      <c r="AH1452" s="1115"/>
      <c r="AI1452" s="1115"/>
      <c r="AJ1452" s="1117"/>
      <c r="AK1452" s="1118"/>
      <c r="AL1452" s="1115"/>
      <c r="AM1452" s="1115"/>
      <c r="AN1452" s="1115"/>
      <c r="AO1452" s="1115"/>
      <c r="AP1452" s="1115"/>
      <c r="AQ1452" s="1115"/>
      <c r="AR1452" s="1115"/>
      <c r="AS1452" s="1117"/>
      <c r="AT1452" s="1075" t="s">
        <v>182</v>
      </c>
      <c r="AU1452" s="1078" t="s">
        <v>845</v>
      </c>
      <c r="AV1452" s="330">
        <f>SQRT(($R1452-Infrastructure!J$3)^2+($S1452-Infrastructure!K$3)^2)</f>
        <v>30.38321905</v>
      </c>
      <c r="AW1452" s="331">
        <f>SQRT(($R1452-Infrastructure!J$4)^2+($S1452-Infrastructure!K$4)^2)</f>
        <v>26.91560885</v>
      </c>
      <c r="AX1452" s="331">
        <f>SQRT(($R1452-Infrastructure!J$5)^2+($S1452-Infrastructure!K$5)^2)</f>
        <v>28.27330897</v>
      </c>
      <c r="AY1452" s="331">
        <f>SQRT(($R1452-Infrastructure!J$6)^2+($S1452-Infrastructure!K$6)^2)</f>
        <v>21.55226206</v>
      </c>
      <c r="AZ1452" s="331">
        <f>SQRT(($R1452-Infrastructure!J$7)^2+($S1452-Infrastructure!K$7)^2)</f>
        <v>15.28463281</v>
      </c>
      <c r="BA1452" s="331">
        <f>SQRT(($R1452-Infrastructure!J$8)^2+($S1452-Infrastructure!K$8)^2)</f>
        <v>14.57737974</v>
      </c>
      <c r="BB1452" s="331">
        <f>SQRT(($R1452-Infrastructure!J$9)^2+($S1452-Infrastructure!K$9)^2)</f>
        <v>16.47573974</v>
      </c>
      <c r="BC1452" s="331">
        <f>SQRT(($R1452-Infrastructure!J$10)^2+($S1452-Infrastructure!K$10)^2)</f>
        <v>13.61322886</v>
      </c>
      <c r="BD1452" s="331">
        <f>SQRT(($R1452-Infrastructure!J$11)^2+($S1452-Infrastructure!K$11)^2)</f>
        <v>20.08979841</v>
      </c>
      <c r="BE1452" s="333">
        <f>SQRT(($R1452-Infrastructure!J$12)^2+($S1452-Infrastructure!K$12)^2)</f>
        <v>41.39106184</v>
      </c>
      <c r="BF1452" s="330">
        <f t="shared" si="161"/>
        <v>13.61322886</v>
      </c>
      <c r="BG1452" s="333">
        <f t="shared" si="162"/>
        <v>41.39106184</v>
      </c>
      <c r="BH1452" s="1119"/>
      <c r="BI1452" s="319" t="s">
        <v>846</v>
      </c>
      <c r="BJ1452" s="319" t="s">
        <v>846</v>
      </c>
      <c r="BK1452" s="319" t="s">
        <v>846</v>
      </c>
      <c r="BL1452" s="319" t="s">
        <v>846</v>
      </c>
      <c r="BM1452" s="955"/>
      <c r="BN1452" s="319" t="s">
        <v>846</v>
      </c>
      <c r="BO1452" s="319"/>
      <c r="BP1452" s="953" t="s">
        <v>846</v>
      </c>
      <c r="BQ1452" s="319"/>
      <c r="BR1452" s="324" t="s">
        <v>846</v>
      </c>
      <c r="BS1452" s="330">
        <f t="shared" si="169"/>
        <v>13.61322886</v>
      </c>
      <c r="BT1452" s="331">
        <f t="shared" si="170"/>
        <v>41.39106184</v>
      </c>
      <c r="BU1452" s="920"/>
      <c r="BV1452" s="903">
        <f t="shared" si="171"/>
        <v>-0.6222222222</v>
      </c>
      <c r="BW1452" s="907"/>
      <c r="BX1452" s="908"/>
      <c r="BY1452" s="331" t="b">
        <f t="shared" si="166"/>
        <v>0</v>
      </c>
      <c r="BZ1452" s="340"/>
      <c r="CA1452" s="316"/>
      <c r="CB1452" s="318"/>
      <c r="CC1452" s="318"/>
      <c r="CD1452" s="318"/>
      <c r="CE1452" s="318"/>
      <c r="CF1452" s="318"/>
      <c r="CG1452" s="318"/>
      <c r="CH1452" s="318"/>
      <c r="CI1452" s="318"/>
      <c r="CJ1452" s="463"/>
      <c r="CK1452" s="342"/>
      <c r="CL1452" s="333"/>
      <c r="CM1452" s="1079"/>
      <c r="CN1452" s="1005"/>
      <c r="CO1452" s="1005"/>
      <c r="CP1452" s="1005"/>
    </row>
    <row r="1453">
      <c r="B1453" s="1106" t="s">
        <v>1561</v>
      </c>
      <c r="C1453" s="1107">
        <v>44746.0</v>
      </c>
      <c r="D1453" s="103"/>
      <c r="E1453" s="1108">
        <v>2.0</v>
      </c>
      <c r="F1453" s="112" t="s">
        <v>2144</v>
      </c>
      <c r="G1453" s="1109">
        <v>0.6276041666666666</v>
      </c>
      <c r="H1453" s="1110">
        <v>0.6278356481481482</v>
      </c>
      <c r="I1453" s="1110"/>
      <c r="J1453" s="1111"/>
      <c r="K1453" s="1111">
        <v>0.6292245370370371</v>
      </c>
      <c r="L1453" s="1112">
        <v>0.001388888888888889</v>
      </c>
      <c r="M1453" s="1113" t="s">
        <v>166</v>
      </c>
      <c r="N1453" s="110" t="s">
        <v>187</v>
      </c>
      <c r="O1453" s="1114" t="s">
        <v>207</v>
      </c>
      <c r="P1453" s="1113" t="s">
        <v>223</v>
      </c>
      <c r="Q1453" s="1116"/>
      <c r="R1453" s="1154">
        <v>26.4</v>
      </c>
      <c r="S1453" s="1115">
        <v>14.4</v>
      </c>
      <c r="T1453" s="1155">
        <v>2.3</v>
      </c>
      <c r="U1453" s="1108">
        <v>3.0</v>
      </c>
      <c r="V1453" s="1108"/>
      <c r="W1453" s="1108"/>
      <c r="X1453" s="1108"/>
      <c r="Y1453" s="1108"/>
      <c r="Z1453" s="1114" t="s">
        <v>374</v>
      </c>
      <c r="AA1453" s="1114"/>
      <c r="AB1453" s="1114" t="s">
        <v>384</v>
      </c>
      <c r="AC1453" s="1117">
        <v>6.0</v>
      </c>
      <c r="AD1453" s="1115"/>
      <c r="AE1453" s="1115"/>
      <c r="AF1453" s="1115"/>
      <c r="AG1453" s="1115"/>
      <c r="AH1453" s="1115"/>
      <c r="AI1453" s="1115"/>
      <c r="AJ1453" s="1117"/>
      <c r="AK1453" s="1118"/>
      <c r="AL1453" s="1115"/>
      <c r="AM1453" s="1115"/>
      <c r="AN1453" s="1115"/>
      <c r="AO1453" s="1115"/>
      <c r="AP1453" s="1115"/>
      <c r="AQ1453" s="1115"/>
      <c r="AR1453" s="1115"/>
      <c r="AS1453" s="1117"/>
      <c r="AT1453" s="1075" t="s">
        <v>182</v>
      </c>
      <c r="AU1453" s="1078" t="s">
        <v>845</v>
      </c>
      <c r="AV1453" s="330">
        <f>SQRT(($R1453-Infrastructure!J$3)^2+($S1453-Infrastructure!K$3)^2)</f>
        <v>30.38321905</v>
      </c>
      <c r="AW1453" s="331">
        <f>SQRT(($R1453-Infrastructure!J$4)^2+($S1453-Infrastructure!K$4)^2)</f>
        <v>26.91560885</v>
      </c>
      <c r="AX1453" s="331">
        <f>SQRT(($R1453-Infrastructure!J$5)^2+($S1453-Infrastructure!K$5)^2)</f>
        <v>28.27330897</v>
      </c>
      <c r="AY1453" s="331">
        <f>SQRT(($R1453-Infrastructure!J$6)^2+($S1453-Infrastructure!K$6)^2)</f>
        <v>21.55226206</v>
      </c>
      <c r="AZ1453" s="331">
        <f>SQRT(($R1453-Infrastructure!J$7)^2+($S1453-Infrastructure!K$7)^2)</f>
        <v>15.28463281</v>
      </c>
      <c r="BA1453" s="331">
        <f>SQRT(($R1453-Infrastructure!J$8)^2+($S1453-Infrastructure!K$8)^2)</f>
        <v>14.57737974</v>
      </c>
      <c r="BB1453" s="331">
        <f>SQRT(($R1453-Infrastructure!J$9)^2+($S1453-Infrastructure!K$9)^2)</f>
        <v>16.47573974</v>
      </c>
      <c r="BC1453" s="331">
        <f>SQRT(($R1453-Infrastructure!J$10)^2+($S1453-Infrastructure!K$10)^2)</f>
        <v>13.61322886</v>
      </c>
      <c r="BD1453" s="331">
        <f>SQRT(($R1453-Infrastructure!J$11)^2+($S1453-Infrastructure!K$11)^2)</f>
        <v>20.08979841</v>
      </c>
      <c r="BE1453" s="333">
        <f>SQRT(($R1453-Infrastructure!J$12)^2+($S1453-Infrastructure!K$12)^2)</f>
        <v>41.39106184</v>
      </c>
      <c r="BF1453" s="330">
        <f t="shared" si="161"/>
        <v>13.61322886</v>
      </c>
      <c r="BG1453" s="333">
        <f t="shared" si="162"/>
        <v>41.39106184</v>
      </c>
      <c r="BH1453" s="1119"/>
      <c r="BI1453" s="319"/>
      <c r="BJ1453" s="319" t="s">
        <v>846</v>
      </c>
      <c r="BK1453" s="319"/>
      <c r="BL1453" s="319"/>
      <c r="BM1453" s="955"/>
      <c r="BN1453" s="319" t="s">
        <v>846</v>
      </c>
      <c r="BO1453" s="319"/>
      <c r="BP1453" s="953"/>
      <c r="BQ1453" s="319"/>
      <c r="BR1453" s="324" t="s">
        <v>846</v>
      </c>
      <c r="BS1453" s="330">
        <f t="shared" si="169"/>
        <v>14.57737974</v>
      </c>
      <c r="BT1453" s="331">
        <f t="shared" si="170"/>
        <v>41.39106184</v>
      </c>
      <c r="BU1453" s="920"/>
      <c r="BV1453" s="903">
        <f t="shared" si="171"/>
        <v>-0.6276041667</v>
      </c>
      <c r="BW1453" s="907"/>
      <c r="BX1453" s="908"/>
      <c r="BY1453" s="331" t="b">
        <f t="shared" si="166"/>
        <v>0</v>
      </c>
      <c r="BZ1453" s="340"/>
      <c r="CA1453" s="316"/>
      <c r="CB1453" s="318"/>
      <c r="CC1453" s="318"/>
      <c r="CD1453" s="318"/>
      <c r="CE1453" s="318"/>
      <c r="CF1453" s="318"/>
      <c r="CG1453" s="318"/>
      <c r="CH1453" s="318"/>
      <c r="CI1453" s="318"/>
      <c r="CJ1453" s="463"/>
      <c r="CK1453" s="342"/>
      <c r="CL1453" s="333"/>
      <c r="CM1453" s="1079"/>
      <c r="CN1453" s="1005"/>
      <c r="CO1453" s="1005"/>
      <c r="CP1453" s="1005"/>
    </row>
    <row r="1454">
      <c r="B1454" s="1106" t="s">
        <v>1561</v>
      </c>
      <c r="C1454" s="1107">
        <v>44746.0</v>
      </c>
      <c r="D1454" s="103"/>
      <c r="E1454" s="1108">
        <v>3.0</v>
      </c>
      <c r="F1454" s="112" t="s">
        <v>2145</v>
      </c>
      <c r="G1454" s="1109">
        <v>0.6350694444444445</v>
      </c>
      <c r="H1454" s="1110">
        <v>0.6357638888888889</v>
      </c>
      <c r="I1454" s="1110"/>
      <c r="J1454" s="1111"/>
      <c r="K1454" s="1111">
        <v>0.6377314814814815</v>
      </c>
      <c r="L1454" s="1112">
        <v>0.0019675925925925924</v>
      </c>
      <c r="M1454" s="1113" t="s">
        <v>166</v>
      </c>
      <c r="N1454" s="110" t="s">
        <v>187</v>
      </c>
      <c r="O1454" s="1114" t="s">
        <v>205</v>
      </c>
      <c r="P1454" s="1115" t="s">
        <v>296</v>
      </c>
      <c r="Q1454" s="1116"/>
      <c r="R1454" s="120">
        <v>20.7</v>
      </c>
      <c r="S1454" s="1113">
        <v>5.1</v>
      </c>
      <c r="T1454" s="110">
        <v>1.2</v>
      </c>
      <c r="U1454" s="1108">
        <v>7.0</v>
      </c>
      <c r="V1454" s="1108"/>
      <c r="W1454" s="1108"/>
      <c r="X1454" s="1108"/>
      <c r="Y1454" s="1108"/>
      <c r="Z1454" s="1114" t="s">
        <v>365</v>
      </c>
      <c r="AA1454" s="1114"/>
      <c r="AB1454" s="1114" t="s">
        <v>384</v>
      </c>
      <c r="AC1454" s="1117">
        <v>6.0</v>
      </c>
      <c r="AD1454" s="1115"/>
      <c r="AE1454" s="1115"/>
      <c r="AF1454" s="1115"/>
      <c r="AG1454" s="1115"/>
      <c r="AH1454" s="1115"/>
      <c r="AI1454" s="1115"/>
      <c r="AJ1454" s="1117"/>
      <c r="AK1454" s="1118"/>
      <c r="AL1454" s="1115"/>
      <c r="AM1454" s="1115"/>
      <c r="AN1454" s="1115"/>
      <c r="AO1454" s="1115"/>
      <c r="AP1454" s="1115"/>
      <c r="AQ1454" s="1115"/>
      <c r="AR1454" s="1115"/>
      <c r="AS1454" s="1117"/>
      <c r="AT1454" s="1075" t="s">
        <v>182</v>
      </c>
      <c r="AU1454" s="1078" t="s">
        <v>845</v>
      </c>
      <c r="AV1454" s="330">
        <f>SQRT(($R1454-Infrastructure!J$3)^2+($S1454-Infrastructure!K$3)^2)</f>
        <v>31.74019534</v>
      </c>
      <c r="AW1454" s="331">
        <f>SQRT(($R1454-Infrastructure!J$4)^2+($S1454-Infrastructure!K$4)^2)</f>
        <v>24.54159734</v>
      </c>
      <c r="AX1454" s="331">
        <f>SQRT(($R1454-Infrastructure!J$5)^2+($S1454-Infrastructure!K$5)^2)</f>
        <v>21</v>
      </c>
      <c r="AY1454" s="331">
        <f>SQRT(($R1454-Infrastructure!J$6)^2+($S1454-Infrastructure!K$6)^2)</f>
        <v>11.63615057</v>
      </c>
      <c r="AZ1454" s="331">
        <f>SQRT(($R1454-Infrastructure!J$7)^2+($S1454-Infrastructure!K$7)^2)</f>
        <v>4.80416486</v>
      </c>
      <c r="BA1454" s="331">
        <f>SQRT(($R1454-Infrastructure!J$8)^2+($S1454-Infrastructure!K$8)^2)</f>
        <v>10.55461984</v>
      </c>
      <c r="BB1454" s="331">
        <f>SQRT(($R1454-Infrastructure!J$9)^2+($S1454-Infrastructure!K$9)^2)</f>
        <v>19.3</v>
      </c>
      <c r="BC1454" s="331">
        <f>SQRT(($R1454-Infrastructure!J$10)^2+($S1454-Infrastructure!K$10)^2)</f>
        <v>21.69101196</v>
      </c>
      <c r="BD1454" s="331">
        <f>SQRT(($R1454-Infrastructure!J$11)^2+($S1454-Infrastructure!K$11)^2)</f>
        <v>30.84574525</v>
      </c>
      <c r="BE1454" s="333">
        <f>SQRT(($R1454-Infrastructure!J$12)^2+($S1454-Infrastructure!K$12)^2)</f>
        <v>50.40634881</v>
      </c>
      <c r="BF1454" s="330">
        <f t="shared" si="161"/>
        <v>4.80416486</v>
      </c>
      <c r="BG1454" s="333">
        <f t="shared" si="162"/>
        <v>50.40634881</v>
      </c>
      <c r="BH1454" s="1119"/>
      <c r="BI1454" s="319"/>
      <c r="BJ1454" s="319"/>
      <c r="BK1454" s="319"/>
      <c r="BL1454" s="319"/>
      <c r="BM1454" s="955"/>
      <c r="BN1454" s="319"/>
      <c r="BO1454" s="319"/>
      <c r="BP1454" s="953"/>
      <c r="BQ1454" s="319"/>
      <c r="BR1454" s="324"/>
      <c r="BS1454" s="330">
        <f t="shared" si="169"/>
        <v>0</v>
      </c>
      <c r="BT1454" s="331">
        <f t="shared" si="170"/>
        <v>0</v>
      </c>
      <c r="BU1454" s="920"/>
      <c r="BV1454" s="903">
        <f t="shared" si="171"/>
        <v>-0.6350694444</v>
      </c>
      <c r="BW1454" s="907"/>
      <c r="BX1454" s="908"/>
      <c r="BY1454" s="331" t="b">
        <f t="shared" si="166"/>
        <v>0</v>
      </c>
      <c r="BZ1454" s="340"/>
      <c r="CA1454" s="316"/>
      <c r="CB1454" s="318"/>
      <c r="CC1454" s="318"/>
      <c r="CD1454" s="318"/>
      <c r="CE1454" s="318"/>
      <c r="CF1454" s="318"/>
      <c r="CG1454" s="318"/>
      <c r="CH1454" s="318"/>
      <c r="CI1454" s="318"/>
      <c r="CJ1454" s="463"/>
      <c r="CK1454" s="342"/>
      <c r="CL1454" s="333"/>
      <c r="CM1454" s="1079"/>
      <c r="CN1454" s="1005"/>
      <c r="CO1454" s="1005"/>
      <c r="CP1454" s="1005"/>
    </row>
    <row r="1455">
      <c r="B1455" s="1106" t="s">
        <v>1561</v>
      </c>
      <c r="C1455" s="1107">
        <v>44746.0</v>
      </c>
      <c r="D1455" s="103"/>
      <c r="E1455" s="1108">
        <v>4.0</v>
      </c>
      <c r="F1455" s="112" t="s">
        <v>2146</v>
      </c>
      <c r="G1455" s="1109">
        <v>0.64375</v>
      </c>
      <c r="H1455" s="1110">
        <v>0.6440972222222222</v>
      </c>
      <c r="I1455" s="1110"/>
      <c r="J1455" s="1111"/>
      <c r="K1455" s="1111">
        <v>0.6460069444444444</v>
      </c>
      <c r="L1455" s="1112">
        <v>0.0019097222222222222</v>
      </c>
      <c r="M1455" s="1113" t="s">
        <v>166</v>
      </c>
      <c r="N1455" s="110" t="s">
        <v>187</v>
      </c>
      <c r="O1455" s="1114" t="s">
        <v>205</v>
      </c>
      <c r="P1455" s="1115" t="s">
        <v>296</v>
      </c>
      <c r="Q1455" s="1116"/>
      <c r="R1455" s="120">
        <v>20.7</v>
      </c>
      <c r="S1455" s="1113">
        <v>5.1</v>
      </c>
      <c r="T1455" s="110">
        <v>1.2</v>
      </c>
      <c r="U1455" s="1108">
        <v>2.0</v>
      </c>
      <c r="V1455" s="1108"/>
      <c r="W1455" s="1108"/>
      <c r="X1455" s="1108"/>
      <c r="Y1455" s="1108"/>
      <c r="Z1455" s="1114" t="s">
        <v>365</v>
      </c>
      <c r="AA1455" s="1114"/>
      <c r="AB1455" s="1114" t="s">
        <v>380</v>
      </c>
      <c r="AC1455" s="1117">
        <v>4.0</v>
      </c>
      <c r="AD1455" s="1115"/>
      <c r="AE1455" s="1115"/>
      <c r="AF1455" s="1115"/>
      <c r="AG1455" s="1115"/>
      <c r="AH1455" s="1115"/>
      <c r="AI1455" s="1115"/>
      <c r="AJ1455" s="1117"/>
      <c r="AK1455" s="1118"/>
      <c r="AL1455" s="1115"/>
      <c r="AM1455" s="1115"/>
      <c r="AN1455" s="1115"/>
      <c r="AO1455" s="1115"/>
      <c r="AP1455" s="1115"/>
      <c r="AQ1455" s="1115"/>
      <c r="AR1455" s="1115"/>
      <c r="AS1455" s="1117"/>
      <c r="AT1455" s="1075" t="s">
        <v>182</v>
      </c>
      <c r="AU1455" s="1078" t="s">
        <v>845</v>
      </c>
      <c r="AV1455" s="330">
        <f>SQRT(($R1455-Infrastructure!J$3)^2+($S1455-Infrastructure!K$3)^2)</f>
        <v>31.74019534</v>
      </c>
      <c r="AW1455" s="331">
        <f>SQRT(($R1455-Infrastructure!J$4)^2+($S1455-Infrastructure!K$4)^2)</f>
        <v>24.54159734</v>
      </c>
      <c r="AX1455" s="331">
        <f>SQRT(($R1455-Infrastructure!J$5)^2+($S1455-Infrastructure!K$5)^2)</f>
        <v>21</v>
      </c>
      <c r="AY1455" s="331">
        <f>SQRT(($R1455-Infrastructure!J$6)^2+($S1455-Infrastructure!K$6)^2)</f>
        <v>11.63615057</v>
      </c>
      <c r="AZ1455" s="331">
        <f>SQRT(($R1455-Infrastructure!J$7)^2+($S1455-Infrastructure!K$7)^2)</f>
        <v>4.80416486</v>
      </c>
      <c r="BA1455" s="331">
        <f>SQRT(($R1455-Infrastructure!J$8)^2+($S1455-Infrastructure!K$8)^2)</f>
        <v>10.55461984</v>
      </c>
      <c r="BB1455" s="331">
        <f>SQRT(($R1455-Infrastructure!J$9)^2+($S1455-Infrastructure!K$9)^2)</f>
        <v>19.3</v>
      </c>
      <c r="BC1455" s="331">
        <f>SQRT(($R1455-Infrastructure!J$10)^2+($S1455-Infrastructure!K$10)^2)</f>
        <v>21.69101196</v>
      </c>
      <c r="BD1455" s="331">
        <f>SQRT(($R1455-Infrastructure!J$11)^2+($S1455-Infrastructure!K$11)^2)</f>
        <v>30.84574525</v>
      </c>
      <c r="BE1455" s="333">
        <f>SQRT(($R1455-Infrastructure!J$12)^2+($S1455-Infrastructure!K$12)^2)</f>
        <v>50.40634881</v>
      </c>
      <c r="BF1455" s="330">
        <f t="shared" si="161"/>
        <v>4.80416486</v>
      </c>
      <c r="BG1455" s="333">
        <f t="shared" si="162"/>
        <v>50.40634881</v>
      </c>
      <c r="BH1455" s="1119"/>
      <c r="BI1455" s="319"/>
      <c r="BJ1455" s="319"/>
      <c r="BK1455" s="319"/>
      <c r="BL1455" s="319"/>
      <c r="BM1455" s="955"/>
      <c r="BN1455" s="319"/>
      <c r="BO1455" s="319"/>
      <c r="BP1455" s="953"/>
      <c r="BQ1455" s="319"/>
      <c r="BR1455" s="324"/>
      <c r="BS1455" s="330">
        <f t="shared" si="169"/>
        <v>0</v>
      </c>
      <c r="BT1455" s="331">
        <f t="shared" si="170"/>
        <v>0</v>
      </c>
      <c r="BU1455" s="920"/>
      <c r="BV1455" s="903">
        <f t="shared" si="171"/>
        <v>-0.64375</v>
      </c>
      <c r="BW1455" s="907"/>
      <c r="BX1455" s="908"/>
      <c r="BY1455" s="331" t="b">
        <f t="shared" si="166"/>
        <v>0</v>
      </c>
      <c r="BZ1455" s="340"/>
      <c r="CA1455" s="316"/>
      <c r="CB1455" s="318"/>
      <c r="CC1455" s="318"/>
      <c r="CD1455" s="318"/>
      <c r="CE1455" s="318"/>
      <c r="CF1455" s="318"/>
      <c r="CG1455" s="318"/>
      <c r="CH1455" s="318"/>
      <c r="CI1455" s="318"/>
      <c r="CJ1455" s="463"/>
      <c r="CK1455" s="342"/>
      <c r="CL1455" s="333"/>
      <c r="CM1455" s="1079"/>
      <c r="CN1455" s="1005"/>
      <c r="CO1455" s="1005"/>
      <c r="CP1455" s="1005"/>
    </row>
    <row r="1456">
      <c r="B1456" s="1106" t="s">
        <v>1561</v>
      </c>
      <c r="C1456" s="1107">
        <v>44746.0</v>
      </c>
      <c r="D1456" s="103"/>
      <c r="E1456" s="1108">
        <v>5.0</v>
      </c>
      <c r="F1456" s="112" t="s">
        <v>2147</v>
      </c>
      <c r="G1456" s="1109">
        <v>0.6491319444444444</v>
      </c>
      <c r="H1456" s="1110">
        <v>0.6501736111111112</v>
      </c>
      <c r="I1456" s="1110"/>
      <c r="J1456" s="1111"/>
      <c r="K1456" s="1111">
        <v>0.6511574074074075</v>
      </c>
      <c r="L1456" s="1112">
        <v>9.837962962962962E-4</v>
      </c>
      <c r="M1456" s="1113" t="s">
        <v>166</v>
      </c>
      <c r="N1456" s="110" t="s">
        <v>187</v>
      </c>
      <c r="O1456" s="1114" t="s">
        <v>205</v>
      </c>
      <c r="P1456" s="1115" t="s">
        <v>296</v>
      </c>
      <c r="Q1456" s="1116"/>
      <c r="R1456" s="120">
        <v>20.7</v>
      </c>
      <c r="S1456" s="1113">
        <v>5.1</v>
      </c>
      <c r="T1456" s="110">
        <v>1.2</v>
      </c>
      <c r="U1456" s="1108">
        <v>0.3</v>
      </c>
      <c r="V1456" s="1108"/>
      <c r="W1456" s="1108"/>
      <c r="X1456" s="1108"/>
      <c r="Y1456" s="1108"/>
      <c r="Z1456" s="1114" t="s">
        <v>365</v>
      </c>
      <c r="AA1456" s="1114"/>
      <c r="AB1456" s="1114" t="s">
        <v>380</v>
      </c>
      <c r="AC1456" s="1117">
        <v>4.0</v>
      </c>
      <c r="AD1456" s="1115"/>
      <c r="AE1456" s="1115"/>
      <c r="AF1456" s="1115"/>
      <c r="AG1456" s="1115"/>
      <c r="AH1456" s="1115"/>
      <c r="AI1456" s="1115"/>
      <c r="AJ1456" s="1117"/>
      <c r="AK1456" s="1118"/>
      <c r="AL1456" s="1115"/>
      <c r="AM1456" s="1115"/>
      <c r="AN1456" s="1115"/>
      <c r="AO1456" s="1115"/>
      <c r="AP1456" s="1115"/>
      <c r="AQ1456" s="1115"/>
      <c r="AR1456" s="1115"/>
      <c r="AS1456" s="1117"/>
      <c r="AT1456" s="1075" t="s">
        <v>181</v>
      </c>
      <c r="AU1456" s="1078" t="s">
        <v>845</v>
      </c>
      <c r="AV1456" s="330">
        <f>SQRT(($R1456-Infrastructure!J$3)^2+($S1456-Infrastructure!K$3)^2)</f>
        <v>31.74019534</v>
      </c>
      <c r="AW1456" s="331">
        <f>SQRT(($R1456-Infrastructure!J$4)^2+($S1456-Infrastructure!K$4)^2)</f>
        <v>24.54159734</v>
      </c>
      <c r="AX1456" s="331">
        <f>SQRT(($R1456-Infrastructure!J$5)^2+($S1456-Infrastructure!K$5)^2)</f>
        <v>21</v>
      </c>
      <c r="AY1456" s="331">
        <f>SQRT(($R1456-Infrastructure!J$6)^2+($S1456-Infrastructure!K$6)^2)</f>
        <v>11.63615057</v>
      </c>
      <c r="AZ1456" s="331">
        <f>SQRT(($R1456-Infrastructure!J$7)^2+($S1456-Infrastructure!K$7)^2)</f>
        <v>4.80416486</v>
      </c>
      <c r="BA1456" s="331">
        <f>SQRT(($R1456-Infrastructure!J$8)^2+($S1456-Infrastructure!K$8)^2)</f>
        <v>10.55461984</v>
      </c>
      <c r="BB1456" s="331">
        <f>SQRT(($R1456-Infrastructure!J$9)^2+($S1456-Infrastructure!K$9)^2)</f>
        <v>19.3</v>
      </c>
      <c r="BC1456" s="331">
        <f>SQRT(($R1456-Infrastructure!J$10)^2+($S1456-Infrastructure!K$10)^2)</f>
        <v>21.69101196</v>
      </c>
      <c r="BD1456" s="331">
        <f>SQRT(($R1456-Infrastructure!J$11)^2+($S1456-Infrastructure!K$11)^2)</f>
        <v>30.84574525</v>
      </c>
      <c r="BE1456" s="333">
        <f>SQRT(($R1456-Infrastructure!J$12)^2+($S1456-Infrastructure!K$12)^2)</f>
        <v>50.40634881</v>
      </c>
      <c r="BF1456" s="330">
        <f t="shared" si="161"/>
        <v>4.80416486</v>
      </c>
      <c r="BG1456" s="333">
        <f t="shared" si="162"/>
        <v>50.40634881</v>
      </c>
      <c r="BH1456" s="1119"/>
      <c r="BI1456" s="319"/>
      <c r="BJ1456" s="319"/>
      <c r="BK1456" s="319"/>
      <c r="BL1456" s="319"/>
      <c r="BM1456" s="955"/>
      <c r="BN1456" s="319"/>
      <c r="BO1456" s="319"/>
      <c r="BP1456" s="953"/>
      <c r="BQ1456" s="319"/>
      <c r="BR1456" s="324"/>
      <c r="BS1456" s="330">
        <f t="shared" si="169"/>
        <v>0</v>
      </c>
      <c r="BT1456" s="331">
        <f t="shared" si="170"/>
        <v>0</v>
      </c>
      <c r="BU1456" s="920"/>
      <c r="BV1456" s="903">
        <f t="shared" si="171"/>
        <v>-0.6491319444</v>
      </c>
      <c r="BW1456" s="907"/>
      <c r="BX1456" s="908"/>
      <c r="BY1456" s="331" t="b">
        <f t="shared" si="166"/>
        <v>0</v>
      </c>
      <c r="BZ1456" s="340"/>
      <c r="CA1456" s="316"/>
      <c r="CB1456" s="318"/>
      <c r="CC1456" s="318"/>
      <c r="CD1456" s="318"/>
      <c r="CE1456" s="318"/>
      <c r="CF1456" s="318"/>
      <c r="CG1456" s="318"/>
      <c r="CH1456" s="318"/>
      <c r="CI1456" s="318"/>
      <c r="CJ1456" s="463"/>
      <c r="CK1456" s="342"/>
      <c r="CL1456" s="333"/>
      <c r="CM1456" s="1079"/>
      <c r="CN1456" s="1005"/>
      <c r="CO1456" s="1005"/>
      <c r="CP1456" s="1005"/>
    </row>
    <row r="1457">
      <c r="B1457" s="1106" t="s">
        <v>1561</v>
      </c>
      <c r="C1457" s="1107">
        <v>44746.0</v>
      </c>
      <c r="D1457" s="103"/>
      <c r="E1457" s="1108">
        <v>6.0</v>
      </c>
      <c r="F1457" s="110" t="s">
        <v>2148</v>
      </c>
      <c r="G1457" s="1109">
        <v>0.6574652777777777</v>
      </c>
      <c r="H1457" s="1110">
        <v>0.6577546296296296</v>
      </c>
      <c r="I1457" s="1110"/>
      <c r="J1457" s="1111"/>
      <c r="K1457" s="1111">
        <v>0.6594907407407408</v>
      </c>
      <c r="L1457" s="1112">
        <v>0.001736111111111111</v>
      </c>
      <c r="M1457" s="1113" t="s">
        <v>166</v>
      </c>
      <c r="N1457" s="110" t="s">
        <v>187</v>
      </c>
      <c r="O1457" s="1114" t="s">
        <v>198</v>
      </c>
      <c r="P1457" s="1115" t="s">
        <v>218</v>
      </c>
      <c r="Q1457" s="1116"/>
      <c r="R1457" s="120">
        <v>10.3</v>
      </c>
      <c r="S1457" s="1113">
        <v>8.1</v>
      </c>
      <c r="T1457" s="110">
        <v>3.0</v>
      </c>
      <c r="U1457" s="1108">
        <v>7.0</v>
      </c>
      <c r="V1457" s="1108"/>
      <c r="W1457" s="1108"/>
      <c r="X1457" s="1108"/>
      <c r="Y1457" s="1108"/>
      <c r="Z1457" s="1114" t="s">
        <v>343</v>
      </c>
      <c r="AA1457" s="1114"/>
      <c r="AB1457" s="1114" t="s">
        <v>384</v>
      </c>
      <c r="AC1457" s="1117">
        <v>6.0</v>
      </c>
      <c r="AD1457" s="1115"/>
      <c r="AE1457" s="1115"/>
      <c r="AF1457" s="1115"/>
      <c r="AG1457" s="1115"/>
      <c r="AH1457" s="1115"/>
      <c r="AI1457" s="1115"/>
      <c r="AJ1457" s="1117"/>
      <c r="AK1457" s="1118"/>
      <c r="AL1457" s="1115"/>
      <c r="AM1457" s="1115"/>
      <c r="AN1457" s="1115"/>
      <c r="AO1457" s="1115"/>
      <c r="AP1457" s="1115"/>
      <c r="AQ1457" s="1115"/>
      <c r="AR1457" s="1115"/>
      <c r="AS1457" s="1117"/>
      <c r="AT1457" s="1075" t="s">
        <v>182</v>
      </c>
      <c r="AU1457" s="1078" t="s">
        <v>845</v>
      </c>
      <c r="AV1457" s="330">
        <f>SQRT(($R1457-Infrastructure!J$3)^2+($S1457-Infrastructure!K$3)^2)</f>
        <v>23.34523506</v>
      </c>
      <c r="AW1457" s="331">
        <f>SQRT(($R1457-Infrastructure!J$4)^2+($S1457-Infrastructure!K$4)^2)</f>
        <v>14.36836804</v>
      </c>
      <c r="AX1457" s="331">
        <f>SQRT(($R1457-Infrastructure!J$5)^2+($S1457-Infrastructure!K$5)^2)</f>
        <v>11.01635148</v>
      </c>
      <c r="AY1457" s="331">
        <f>SQRT(($R1457-Infrastructure!J$6)^2+($S1457-Infrastructure!K$6)^2)</f>
        <v>7.802563681</v>
      </c>
      <c r="AZ1457" s="331">
        <f>SQRT(($R1457-Infrastructure!J$7)^2+($S1457-Infrastructure!K$7)^2)</f>
        <v>12.84056074</v>
      </c>
      <c r="BA1457" s="331">
        <f>SQRT(($R1457-Infrastructure!J$8)^2+($S1457-Infrastructure!K$8)^2)</f>
        <v>21.28097742</v>
      </c>
      <c r="BB1457" s="331">
        <f>SQRT(($R1457-Infrastructure!J$9)^2+($S1457-Infrastructure!K$9)^2)</f>
        <v>29.85113063</v>
      </c>
      <c r="BC1457" s="331">
        <f>SQRT(($R1457-Infrastructure!J$10)^2+($S1457-Infrastructure!K$10)^2)</f>
        <v>30.49098227</v>
      </c>
      <c r="BD1457" s="331">
        <f>SQRT(($R1457-Infrastructure!J$11)^2+($S1457-Infrastructure!K$11)^2)</f>
        <v>36.4804057</v>
      </c>
      <c r="BE1457" s="333">
        <f>SQRT(($R1457-Infrastructure!J$12)^2+($S1457-Infrastructure!K$12)^2)</f>
        <v>48.70523586</v>
      </c>
      <c r="BF1457" s="330">
        <f t="shared" si="161"/>
        <v>7.802563681</v>
      </c>
      <c r="BG1457" s="333">
        <f t="shared" si="162"/>
        <v>48.70523586</v>
      </c>
      <c r="BH1457" s="1119"/>
      <c r="BI1457" s="319"/>
      <c r="BJ1457" s="319" t="s">
        <v>846</v>
      </c>
      <c r="BK1457" s="319" t="s">
        <v>846</v>
      </c>
      <c r="BL1457" s="319" t="s">
        <v>846</v>
      </c>
      <c r="BM1457" s="955"/>
      <c r="BN1457" s="319" t="s">
        <v>846</v>
      </c>
      <c r="BO1457" s="319"/>
      <c r="BP1457" s="953"/>
      <c r="BQ1457" s="319" t="s">
        <v>846</v>
      </c>
      <c r="BR1457" s="324" t="s">
        <v>846</v>
      </c>
      <c r="BS1457" s="330">
        <f t="shared" si="169"/>
        <v>7.802563681</v>
      </c>
      <c r="BT1457" s="331">
        <f t="shared" si="170"/>
        <v>48.70523586</v>
      </c>
      <c r="BU1457" s="920"/>
      <c r="BV1457" s="903">
        <f t="shared" si="171"/>
        <v>-0.6574652778</v>
      </c>
      <c r="BW1457" s="907"/>
      <c r="BX1457" s="908"/>
      <c r="BY1457" s="331" t="b">
        <f t="shared" si="166"/>
        <v>0</v>
      </c>
      <c r="BZ1457" s="340"/>
      <c r="CA1457" s="316"/>
      <c r="CB1457" s="318"/>
      <c r="CC1457" s="318"/>
      <c r="CD1457" s="318"/>
      <c r="CE1457" s="318"/>
      <c r="CF1457" s="318"/>
      <c r="CG1457" s="318"/>
      <c r="CH1457" s="318"/>
      <c r="CI1457" s="318"/>
      <c r="CJ1457" s="463"/>
      <c r="CK1457" s="342"/>
      <c r="CL1457" s="333"/>
      <c r="CM1457" s="1079"/>
      <c r="CN1457" s="1005"/>
      <c r="CO1457" s="1005"/>
      <c r="CP1457" s="1005"/>
    </row>
    <row r="1458">
      <c r="B1458" s="1106" t="s">
        <v>1561</v>
      </c>
      <c r="C1458" s="1107">
        <v>44746.0</v>
      </c>
      <c r="D1458" s="103"/>
      <c r="E1458" s="1108">
        <v>7.0</v>
      </c>
      <c r="F1458" s="110" t="s">
        <v>2149</v>
      </c>
      <c r="G1458" s="1109">
        <v>0.6653935185185185</v>
      </c>
      <c r="H1458" s="1110">
        <v>0.6657986111111112</v>
      </c>
      <c r="I1458" s="1110"/>
      <c r="J1458" s="1111"/>
      <c r="K1458" s="1111">
        <v>0.6676504629629629</v>
      </c>
      <c r="L1458" s="1112">
        <v>0.001851851851851852</v>
      </c>
      <c r="M1458" s="1113" t="s">
        <v>166</v>
      </c>
      <c r="N1458" s="110" t="s">
        <v>187</v>
      </c>
      <c r="O1458" s="1114" t="s">
        <v>198</v>
      </c>
      <c r="P1458" s="1115" t="s">
        <v>218</v>
      </c>
      <c r="Q1458" s="1116"/>
      <c r="R1458" s="120">
        <v>10.3</v>
      </c>
      <c r="S1458" s="1113">
        <v>8.1</v>
      </c>
      <c r="T1458" s="110">
        <v>3.0</v>
      </c>
      <c r="U1458" s="1108">
        <v>5.0</v>
      </c>
      <c r="V1458" s="1108"/>
      <c r="W1458" s="1108"/>
      <c r="X1458" s="1108"/>
      <c r="Y1458" s="1108"/>
      <c r="Z1458" s="1114" t="s">
        <v>343</v>
      </c>
      <c r="AA1458" s="1114"/>
      <c r="AB1458" s="1114" t="s">
        <v>384</v>
      </c>
      <c r="AC1458" s="1117">
        <v>6.0</v>
      </c>
      <c r="AD1458" s="1115"/>
      <c r="AE1458" s="1115"/>
      <c r="AF1458" s="1115"/>
      <c r="AG1458" s="1115"/>
      <c r="AH1458" s="1115"/>
      <c r="AI1458" s="1115"/>
      <c r="AJ1458" s="1117"/>
      <c r="AK1458" s="1118"/>
      <c r="AL1458" s="1115"/>
      <c r="AM1458" s="1115"/>
      <c r="AN1458" s="1115"/>
      <c r="AO1458" s="1115"/>
      <c r="AP1458" s="1115"/>
      <c r="AQ1458" s="1115"/>
      <c r="AR1458" s="1115"/>
      <c r="AS1458" s="1117"/>
      <c r="AT1458" s="1075" t="s">
        <v>182</v>
      </c>
      <c r="AU1458" s="1078" t="s">
        <v>845</v>
      </c>
      <c r="AV1458" s="330">
        <f>SQRT(($R1458-Infrastructure!J$3)^2+($S1458-Infrastructure!K$3)^2)</f>
        <v>23.34523506</v>
      </c>
      <c r="AW1458" s="331">
        <f>SQRT(($R1458-Infrastructure!J$4)^2+($S1458-Infrastructure!K$4)^2)</f>
        <v>14.36836804</v>
      </c>
      <c r="AX1458" s="331">
        <f>SQRT(($R1458-Infrastructure!J$5)^2+($S1458-Infrastructure!K$5)^2)</f>
        <v>11.01635148</v>
      </c>
      <c r="AY1458" s="331">
        <f>SQRT(($R1458-Infrastructure!J$6)^2+($S1458-Infrastructure!K$6)^2)</f>
        <v>7.802563681</v>
      </c>
      <c r="AZ1458" s="331">
        <f>SQRT(($R1458-Infrastructure!J$7)^2+($S1458-Infrastructure!K$7)^2)</f>
        <v>12.84056074</v>
      </c>
      <c r="BA1458" s="331">
        <f>SQRT(($R1458-Infrastructure!J$8)^2+($S1458-Infrastructure!K$8)^2)</f>
        <v>21.28097742</v>
      </c>
      <c r="BB1458" s="331">
        <f>SQRT(($R1458-Infrastructure!J$9)^2+($S1458-Infrastructure!K$9)^2)</f>
        <v>29.85113063</v>
      </c>
      <c r="BC1458" s="331">
        <f>SQRT(($R1458-Infrastructure!J$10)^2+($S1458-Infrastructure!K$10)^2)</f>
        <v>30.49098227</v>
      </c>
      <c r="BD1458" s="331">
        <f>SQRT(($R1458-Infrastructure!J$11)^2+($S1458-Infrastructure!K$11)^2)</f>
        <v>36.4804057</v>
      </c>
      <c r="BE1458" s="333">
        <f>SQRT(($R1458-Infrastructure!J$12)^2+($S1458-Infrastructure!K$12)^2)</f>
        <v>48.70523586</v>
      </c>
      <c r="BF1458" s="330">
        <f t="shared" si="161"/>
        <v>7.802563681</v>
      </c>
      <c r="BG1458" s="333">
        <f t="shared" si="162"/>
        <v>48.70523586</v>
      </c>
      <c r="BH1458" s="1119"/>
      <c r="BI1458" s="319"/>
      <c r="BJ1458" s="319" t="s">
        <v>846</v>
      </c>
      <c r="BK1458" s="319" t="s">
        <v>846</v>
      </c>
      <c r="BL1458" s="319" t="s">
        <v>846</v>
      </c>
      <c r="BM1458" s="955"/>
      <c r="BN1458" s="319" t="s">
        <v>846</v>
      </c>
      <c r="BO1458" s="319"/>
      <c r="BP1458" s="953"/>
      <c r="BQ1458" s="319"/>
      <c r="BR1458" s="324" t="s">
        <v>846</v>
      </c>
      <c r="BS1458" s="330">
        <f t="shared" si="169"/>
        <v>7.802563681</v>
      </c>
      <c r="BT1458" s="331">
        <f t="shared" si="170"/>
        <v>48.70523586</v>
      </c>
      <c r="BU1458" s="920"/>
      <c r="BV1458" s="903">
        <f t="shared" si="171"/>
        <v>-0.6653935185</v>
      </c>
      <c r="BW1458" s="907"/>
      <c r="BX1458" s="908"/>
      <c r="BY1458" s="331" t="b">
        <f t="shared" si="166"/>
        <v>0</v>
      </c>
      <c r="BZ1458" s="340"/>
      <c r="CA1458" s="316"/>
      <c r="CB1458" s="318"/>
      <c r="CC1458" s="318"/>
      <c r="CD1458" s="318"/>
      <c r="CE1458" s="318"/>
      <c r="CF1458" s="318"/>
      <c r="CG1458" s="318"/>
      <c r="CH1458" s="318"/>
      <c r="CI1458" s="318"/>
      <c r="CJ1458" s="463"/>
      <c r="CK1458" s="342"/>
      <c r="CL1458" s="333"/>
      <c r="CM1458" s="1079"/>
      <c r="CN1458" s="1005"/>
      <c r="CO1458" s="1005"/>
      <c r="CP1458" s="1005"/>
    </row>
    <row r="1459">
      <c r="B1459" s="1106" t="s">
        <v>1561</v>
      </c>
      <c r="C1459" s="1107">
        <v>44746.0</v>
      </c>
      <c r="D1459" s="103"/>
      <c r="E1459" s="1108">
        <v>8.0</v>
      </c>
      <c r="F1459" s="110" t="s">
        <v>2150</v>
      </c>
      <c r="G1459" s="1109">
        <v>0.6712962962962963</v>
      </c>
      <c r="H1459" s="1110">
        <v>0.6714699074074074</v>
      </c>
      <c r="I1459" s="1110"/>
      <c r="J1459" s="1111"/>
      <c r="K1459" s="1111">
        <v>0.6734953703703703</v>
      </c>
      <c r="L1459" s="1112">
        <v>0.002025462962962963</v>
      </c>
      <c r="M1459" s="1113" t="s">
        <v>166</v>
      </c>
      <c r="N1459" s="110" t="s">
        <v>187</v>
      </c>
      <c r="O1459" s="1114" t="s">
        <v>198</v>
      </c>
      <c r="P1459" s="1115" t="s">
        <v>218</v>
      </c>
      <c r="Q1459" s="1116"/>
      <c r="R1459" s="120">
        <v>10.3</v>
      </c>
      <c r="S1459" s="1113">
        <v>8.1</v>
      </c>
      <c r="T1459" s="110">
        <v>3.0</v>
      </c>
      <c r="U1459" s="1108">
        <v>1.0</v>
      </c>
      <c r="V1459" s="1108"/>
      <c r="W1459" s="1108"/>
      <c r="X1459" s="1108"/>
      <c r="Y1459" s="1108"/>
      <c r="Z1459" s="1114" t="s">
        <v>343</v>
      </c>
      <c r="AA1459" s="1114"/>
      <c r="AB1459" s="1114" t="s">
        <v>384</v>
      </c>
      <c r="AC1459" s="1117">
        <v>6.0</v>
      </c>
      <c r="AD1459" s="1115"/>
      <c r="AE1459" s="1115"/>
      <c r="AF1459" s="1115"/>
      <c r="AG1459" s="1115"/>
      <c r="AH1459" s="1115"/>
      <c r="AI1459" s="1115"/>
      <c r="AJ1459" s="1117"/>
      <c r="AK1459" s="1118"/>
      <c r="AL1459" s="1115"/>
      <c r="AM1459" s="1115"/>
      <c r="AN1459" s="1115"/>
      <c r="AO1459" s="1115"/>
      <c r="AP1459" s="1115"/>
      <c r="AQ1459" s="1115"/>
      <c r="AR1459" s="1115"/>
      <c r="AS1459" s="1117"/>
      <c r="AT1459" s="1075" t="s">
        <v>182</v>
      </c>
      <c r="AU1459" s="1078" t="s">
        <v>845</v>
      </c>
      <c r="AV1459" s="330">
        <f>SQRT(($R1459-Infrastructure!J$3)^2+($S1459-Infrastructure!K$3)^2)</f>
        <v>23.34523506</v>
      </c>
      <c r="AW1459" s="331">
        <f>SQRT(($R1459-Infrastructure!J$4)^2+($S1459-Infrastructure!K$4)^2)</f>
        <v>14.36836804</v>
      </c>
      <c r="AX1459" s="331">
        <f>SQRT(($R1459-Infrastructure!J$5)^2+($S1459-Infrastructure!K$5)^2)</f>
        <v>11.01635148</v>
      </c>
      <c r="AY1459" s="331">
        <f>SQRT(($R1459-Infrastructure!J$6)^2+($S1459-Infrastructure!K$6)^2)</f>
        <v>7.802563681</v>
      </c>
      <c r="AZ1459" s="331">
        <f>SQRT(($R1459-Infrastructure!J$7)^2+($S1459-Infrastructure!K$7)^2)</f>
        <v>12.84056074</v>
      </c>
      <c r="BA1459" s="331">
        <f>SQRT(($R1459-Infrastructure!J$8)^2+($S1459-Infrastructure!K$8)^2)</f>
        <v>21.28097742</v>
      </c>
      <c r="BB1459" s="331">
        <f>SQRT(($R1459-Infrastructure!J$9)^2+($S1459-Infrastructure!K$9)^2)</f>
        <v>29.85113063</v>
      </c>
      <c r="BC1459" s="331">
        <f>SQRT(($R1459-Infrastructure!J$10)^2+($S1459-Infrastructure!K$10)^2)</f>
        <v>30.49098227</v>
      </c>
      <c r="BD1459" s="331">
        <f>SQRT(($R1459-Infrastructure!J$11)^2+($S1459-Infrastructure!K$11)^2)</f>
        <v>36.4804057</v>
      </c>
      <c r="BE1459" s="333">
        <f>SQRT(($R1459-Infrastructure!J$12)^2+($S1459-Infrastructure!K$12)^2)</f>
        <v>48.70523586</v>
      </c>
      <c r="BF1459" s="330">
        <f t="shared" si="161"/>
        <v>7.802563681</v>
      </c>
      <c r="BG1459" s="333">
        <f t="shared" si="162"/>
        <v>48.70523586</v>
      </c>
      <c r="BH1459" s="1119"/>
      <c r="BI1459" s="319"/>
      <c r="BJ1459" s="319"/>
      <c r="BK1459" s="319"/>
      <c r="BL1459" s="319"/>
      <c r="BM1459" s="955"/>
      <c r="BN1459" s="319"/>
      <c r="BO1459" s="319"/>
      <c r="BP1459" s="953"/>
      <c r="BQ1459" s="319"/>
      <c r="BR1459" s="324"/>
      <c r="BS1459" s="330">
        <f t="shared" si="169"/>
        <v>0</v>
      </c>
      <c r="BT1459" s="331">
        <f t="shared" si="170"/>
        <v>0</v>
      </c>
      <c r="BU1459" s="920"/>
      <c r="BV1459" s="903">
        <f t="shared" si="171"/>
        <v>-0.6712962963</v>
      </c>
      <c r="BW1459" s="907"/>
      <c r="BX1459" s="908"/>
      <c r="BY1459" s="331" t="b">
        <f t="shared" si="166"/>
        <v>0</v>
      </c>
      <c r="BZ1459" s="340"/>
      <c r="CA1459" s="316"/>
      <c r="CB1459" s="318"/>
      <c r="CC1459" s="318"/>
      <c r="CD1459" s="318"/>
      <c r="CE1459" s="318"/>
      <c r="CF1459" s="318"/>
      <c r="CG1459" s="318"/>
      <c r="CH1459" s="318"/>
      <c r="CI1459" s="318"/>
      <c r="CJ1459" s="463"/>
      <c r="CK1459" s="342"/>
      <c r="CL1459" s="333"/>
      <c r="CM1459" s="1079"/>
      <c r="CN1459" s="1005"/>
      <c r="CO1459" s="1005"/>
      <c r="CP1459" s="1005"/>
    </row>
    <row r="1460">
      <c r="B1460" s="1106" t="s">
        <v>1561</v>
      </c>
      <c r="C1460" s="1107">
        <v>44746.0</v>
      </c>
      <c r="D1460" s="103"/>
      <c r="E1460" s="1108">
        <v>9.0</v>
      </c>
      <c r="F1460" s="110" t="s">
        <v>2151</v>
      </c>
      <c r="G1460" s="1109">
        <v>0.680324074074074</v>
      </c>
      <c r="H1460" s="1110">
        <v>0.6807291666666667</v>
      </c>
      <c r="I1460" s="1110"/>
      <c r="J1460" s="1111"/>
      <c r="K1460" s="1111">
        <v>0.681886574074074</v>
      </c>
      <c r="L1460" s="1112">
        <v>0.0011574074074074073</v>
      </c>
      <c r="M1460" s="1113" t="s">
        <v>166</v>
      </c>
      <c r="N1460" s="110" t="s">
        <v>188</v>
      </c>
      <c r="O1460" s="1114" t="s">
        <v>196</v>
      </c>
      <c r="P1460" s="1115" t="s">
        <v>224</v>
      </c>
      <c r="Q1460" s="1116"/>
      <c r="R1460" s="120">
        <v>21.7</v>
      </c>
      <c r="S1460" s="1113">
        <v>39.5</v>
      </c>
      <c r="T1460" s="110">
        <v>1.28</v>
      </c>
      <c r="U1460" s="1108">
        <v>20.0</v>
      </c>
      <c r="V1460" s="1108"/>
      <c r="W1460" s="1108"/>
      <c r="X1460" s="1108"/>
      <c r="Y1460" s="1108"/>
      <c r="Z1460" s="1114" t="s">
        <v>387</v>
      </c>
      <c r="AA1460" s="1114"/>
      <c r="AB1460" s="1114" t="s">
        <v>416</v>
      </c>
      <c r="AC1460" s="1117">
        <v>52.5</v>
      </c>
      <c r="AD1460" s="1115"/>
      <c r="AE1460" s="1115"/>
      <c r="AF1460" s="1115"/>
      <c r="AG1460" s="1115"/>
      <c r="AH1460" s="1115"/>
      <c r="AI1460" s="1115"/>
      <c r="AJ1460" s="1117"/>
      <c r="AK1460" s="1118"/>
      <c r="AL1460" s="1115"/>
      <c r="AM1460" s="1115"/>
      <c r="AN1460" s="1115"/>
      <c r="AO1460" s="1115"/>
      <c r="AP1460" s="1115"/>
      <c r="AQ1460" s="1115"/>
      <c r="AR1460" s="1115"/>
      <c r="AS1460" s="1117"/>
      <c r="AT1460" s="1075" t="s">
        <v>183</v>
      </c>
      <c r="AU1460" s="1078" t="s">
        <v>845</v>
      </c>
      <c r="AV1460" s="330">
        <f>SQRT(($R1460-Infrastructure!J$3)^2+($S1460-Infrastructure!K$3)^2)</f>
        <v>24.42048321</v>
      </c>
      <c r="AW1460" s="331">
        <f>SQRT(($R1460-Infrastructure!J$4)^2+($S1460-Infrastructure!K$4)^2)</f>
        <v>30.90129447</v>
      </c>
      <c r="AX1460" s="331">
        <f>SQRT(($R1460-Infrastructure!J$5)^2+($S1460-Infrastructure!K$5)^2)</f>
        <v>40.83331973</v>
      </c>
      <c r="AY1460" s="331">
        <f>SQRT(($R1460-Infrastructure!J$6)^2+($S1460-Infrastructure!K$6)^2)</f>
        <v>40.88031311</v>
      </c>
      <c r="AZ1460" s="331">
        <f>SQRT(($R1460-Infrastructure!J$7)^2+($S1460-Infrastructure!K$7)^2)</f>
        <v>39.21836305</v>
      </c>
      <c r="BA1460" s="331">
        <f>SQRT(($R1460-Infrastructure!J$8)^2+($S1460-Infrastructure!K$8)^2)</f>
        <v>40.08989898</v>
      </c>
      <c r="BB1460" s="331">
        <f>SQRT(($R1460-Infrastructure!J$9)^2+($S1460-Infrastructure!K$9)^2)</f>
        <v>38.96472764</v>
      </c>
      <c r="BC1460" s="331">
        <f>SQRT(($R1460-Infrastructure!J$10)^2+($S1460-Infrastructure!K$10)^2)</f>
        <v>30.58005886</v>
      </c>
      <c r="BD1460" s="331">
        <f>SQRT(($R1460-Infrastructure!J$11)^2+($S1460-Infrastructure!K$11)^2)</f>
        <v>21.27204739</v>
      </c>
      <c r="BE1460" s="333">
        <f>SQRT(($R1460-Infrastructure!J$12)^2+($S1460-Infrastructure!K$12)^2)</f>
        <v>16.00124995</v>
      </c>
      <c r="BF1460" s="330">
        <f t="shared" si="161"/>
        <v>16.00124995</v>
      </c>
      <c r="BG1460" s="333">
        <f t="shared" si="162"/>
        <v>40.88031311</v>
      </c>
      <c r="BH1460" s="1119"/>
      <c r="BI1460" s="319"/>
      <c r="BJ1460" s="319"/>
      <c r="BK1460" s="319"/>
      <c r="BL1460" s="319"/>
      <c r="BM1460" s="955"/>
      <c r="BN1460" s="319"/>
      <c r="BO1460" s="319"/>
      <c r="BP1460" s="953"/>
      <c r="BQ1460" s="319"/>
      <c r="BR1460" s="324"/>
      <c r="BS1460" s="330">
        <f t="shared" si="169"/>
        <v>0</v>
      </c>
      <c r="BT1460" s="331">
        <f t="shared" si="170"/>
        <v>0</v>
      </c>
      <c r="BU1460" s="920"/>
      <c r="BV1460" s="903">
        <f t="shared" si="171"/>
        <v>-0.6803240741</v>
      </c>
      <c r="BW1460" s="907"/>
      <c r="BX1460" s="908"/>
      <c r="BY1460" s="331" t="b">
        <f t="shared" si="166"/>
        <v>0</v>
      </c>
      <c r="BZ1460" s="340"/>
      <c r="CA1460" s="316"/>
      <c r="CB1460" s="318"/>
      <c r="CC1460" s="318"/>
      <c r="CD1460" s="318"/>
      <c r="CE1460" s="318"/>
      <c r="CF1460" s="318"/>
      <c r="CG1460" s="318"/>
      <c r="CH1460" s="318"/>
      <c r="CI1460" s="318"/>
      <c r="CJ1460" s="463"/>
      <c r="CK1460" s="342"/>
      <c r="CL1460" s="333"/>
      <c r="CM1460" s="1079"/>
      <c r="CN1460" s="1005"/>
      <c r="CO1460" s="1005"/>
      <c r="CP1460" s="1005"/>
    </row>
    <row r="1461">
      <c r="B1461" s="1106" t="s">
        <v>1561</v>
      </c>
      <c r="C1461" s="1107">
        <v>44746.0</v>
      </c>
      <c r="D1461" s="103"/>
      <c r="E1461" s="1108">
        <v>10.0</v>
      </c>
      <c r="F1461" s="110" t="s">
        <v>2152</v>
      </c>
      <c r="G1461" s="1109">
        <v>0.6951388888888889</v>
      </c>
      <c r="H1461" s="1110">
        <v>0.6953703703703704</v>
      </c>
      <c r="I1461" s="1110"/>
      <c r="J1461" s="1111"/>
      <c r="K1461" s="1111">
        <v>0.6979166666666666</v>
      </c>
      <c r="L1461" s="1112">
        <v>0.0025462962962962965</v>
      </c>
      <c r="M1461" s="1113" t="s">
        <v>166</v>
      </c>
      <c r="N1461" s="110" t="s">
        <v>188</v>
      </c>
      <c r="O1461" s="1114" t="s">
        <v>378</v>
      </c>
      <c r="P1461" s="1115" t="s">
        <v>256</v>
      </c>
      <c r="Q1461" s="1116"/>
      <c r="R1461" s="120">
        <v>22.7</v>
      </c>
      <c r="S1461" s="1113">
        <v>39.7</v>
      </c>
      <c r="T1461" s="110">
        <v>1.09</v>
      </c>
      <c r="U1461" s="1108">
        <v>5.0</v>
      </c>
      <c r="V1461" s="1108"/>
      <c r="W1461" s="1108"/>
      <c r="X1461" s="1108"/>
      <c r="Y1461" s="1108"/>
      <c r="Z1461" s="1114" t="s">
        <v>1140</v>
      </c>
      <c r="AA1461" s="1114"/>
      <c r="AB1461" s="1114" t="s">
        <v>349</v>
      </c>
      <c r="AC1461" s="1117">
        <v>5.0</v>
      </c>
      <c r="AD1461" s="1115"/>
      <c r="AE1461" s="1115"/>
      <c r="AF1461" s="1115"/>
      <c r="AG1461" s="1115"/>
      <c r="AH1461" s="1115"/>
      <c r="AI1461" s="1115"/>
      <c r="AJ1461" s="1117"/>
      <c r="AK1461" s="1118"/>
      <c r="AL1461" s="1115"/>
      <c r="AM1461" s="1115"/>
      <c r="AN1461" s="1115"/>
      <c r="AO1461" s="1115"/>
      <c r="AP1461" s="1115"/>
      <c r="AQ1461" s="1115"/>
      <c r="AR1461" s="1115"/>
      <c r="AS1461" s="1117"/>
      <c r="AT1461" s="1075" t="s">
        <v>182</v>
      </c>
      <c r="AU1461" s="1078" t="s">
        <v>845</v>
      </c>
      <c r="AV1461" s="330">
        <f>SQRT(($R1461-Infrastructure!J$3)^2+($S1461-Infrastructure!K$3)^2)</f>
        <v>25.40944706</v>
      </c>
      <c r="AW1461" s="331">
        <f>SQRT(($R1461-Infrastructure!J$4)^2+($S1461-Infrastructure!K$4)^2)</f>
        <v>31.75862088</v>
      </c>
      <c r="AX1461" s="331">
        <f>SQRT(($R1461-Infrastructure!J$5)^2+($S1461-Infrastructure!K$5)^2)</f>
        <v>41.54708173</v>
      </c>
      <c r="AY1461" s="331">
        <f>SQRT(($R1461-Infrastructure!J$6)^2+($S1461-Infrastructure!K$6)^2)</f>
        <v>41.36568626</v>
      </c>
      <c r="AZ1461" s="331">
        <f>SQRT(($R1461-Infrastructure!J$7)^2+($S1461-Infrastructure!K$7)^2)</f>
        <v>39.46137352</v>
      </c>
      <c r="BA1461" s="331">
        <f>SQRT(($R1461-Infrastructure!J$8)^2+($S1461-Infrastructure!K$8)^2)</f>
        <v>40.08890121</v>
      </c>
      <c r="BB1461" s="331">
        <f>SQRT(($R1461-Infrastructure!J$9)^2+($S1461-Infrastructure!K$9)^2)</f>
        <v>38.68397601</v>
      </c>
      <c r="BC1461" s="331">
        <f>SQRT(($R1461-Infrastructure!J$10)^2+($S1461-Infrastructure!K$10)^2)</f>
        <v>30.15592811</v>
      </c>
      <c r="BD1461" s="331">
        <f>SQRT(($R1461-Infrastructure!J$11)^2+($S1461-Infrastructure!K$11)^2)</f>
        <v>20.51194774</v>
      </c>
      <c r="BE1461" s="333">
        <f>SQRT(($R1461-Infrastructure!J$12)^2+($S1461-Infrastructure!K$12)^2)</f>
        <v>15.84550409</v>
      </c>
      <c r="BF1461" s="330">
        <f t="shared" si="161"/>
        <v>15.84550409</v>
      </c>
      <c r="BG1461" s="333">
        <f t="shared" si="162"/>
        <v>41.54708173</v>
      </c>
      <c r="BH1461" s="1119"/>
      <c r="BI1461" s="319" t="s">
        <v>846</v>
      </c>
      <c r="BJ1461" s="319" t="s">
        <v>846</v>
      </c>
      <c r="BK1461" s="319"/>
      <c r="BL1461" s="319"/>
      <c r="BM1461" s="955"/>
      <c r="BN1461" s="319" t="s">
        <v>846</v>
      </c>
      <c r="BO1461" s="319"/>
      <c r="BP1461" s="953"/>
      <c r="BQ1461" s="319" t="s">
        <v>846</v>
      </c>
      <c r="BR1461" s="324" t="s">
        <v>846</v>
      </c>
      <c r="BS1461" s="330">
        <f t="shared" si="169"/>
        <v>15.84550409</v>
      </c>
      <c r="BT1461" s="331">
        <f t="shared" si="170"/>
        <v>40.08890121</v>
      </c>
      <c r="BU1461" s="920"/>
      <c r="BV1461" s="903">
        <f t="shared" si="171"/>
        <v>-0.6951388889</v>
      </c>
      <c r="BW1461" s="907"/>
      <c r="BX1461" s="908"/>
      <c r="BY1461" s="331" t="b">
        <f t="shared" si="166"/>
        <v>0</v>
      </c>
      <c r="BZ1461" s="340"/>
      <c r="CA1461" s="316"/>
      <c r="CB1461" s="318"/>
      <c r="CC1461" s="318"/>
      <c r="CD1461" s="318"/>
      <c r="CE1461" s="318"/>
      <c r="CF1461" s="318"/>
      <c r="CG1461" s="318"/>
      <c r="CH1461" s="318"/>
      <c r="CI1461" s="318"/>
      <c r="CJ1461" s="463"/>
      <c r="CK1461" s="342"/>
      <c r="CL1461" s="333"/>
      <c r="CM1461" s="1079"/>
      <c r="CN1461" s="1005"/>
      <c r="CO1461" s="1005"/>
      <c r="CP1461" s="1005"/>
    </row>
    <row r="1462">
      <c r="B1462" s="1106" t="s">
        <v>1561</v>
      </c>
      <c r="C1462" s="1107">
        <v>44746.0</v>
      </c>
      <c r="D1462" s="103"/>
      <c r="E1462" s="1108">
        <v>11.0</v>
      </c>
      <c r="F1462" s="110" t="s">
        <v>2153</v>
      </c>
      <c r="G1462" s="1109">
        <v>0.6998263888888889</v>
      </c>
      <c r="H1462" s="1110">
        <v>0.7</v>
      </c>
      <c r="I1462" s="1110"/>
      <c r="J1462" s="1111"/>
      <c r="K1462" s="1111">
        <v>0.7008680555555555</v>
      </c>
      <c r="L1462" s="1112">
        <v>8.680555555555555E-4</v>
      </c>
      <c r="M1462" s="1113" t="s">
        <v>166</v>
      </c>
      <c r="N1462" s="110" t="s">
        <v>188</v>
      </c>
      <c r="O1462" s="1114" t="s">
        <v>378</v>
      </c>
      <c r="P1462" s="1115" t="s">
        <v>256</v>
      </c>
      <c r="Q1462" s="1116"/>
      <c r="R1462" s="120">
        <v>22.7</v>
      </c>
      <c r="S1462" s="1113">
        <v>39.7</v>
      </c>
      <c r="T1462" s="110">
        <v>1.09</v>
      </c>
      <c r="U1462" s="1108">
        <v>1.0</v>
      </c>
      <c r="V1462" s="1108"/>
      <c r="W1462" s="1108"/>
      <c r="X1462" s="1108"/>
      <c r="Y1462" s="1108"/>
      <c r="Z1462" s="1114" t="s">
        <v>1140</v>
      </c>
      <c r="AA1462" s="1114"/>
      <c r="AB1462" s="1114" t="s">
        <v>349</v>
      </c>
      <c r="AC1462" s="1117">
        <v>5.0</v>
      </c>
      <c r="AD1462" s="1115"/>
      <c r="AE1462" s="1115"/>
      <c r="AF1462" s="1115"/>
      <c r="AG1462" s="1115"/>
      <c r="AH1462" s="1115"/>
      <c r="AI1462" s="1115"/>
      <c r="AJ1462" s="1117"/>
      <c r="AK1462" s="1118"/>
      <c r="AL1462" s="1115"/>
      <c r="AM1462" s="1115"/>
      <c r="AN1462" s="1115"/>
      <c r="AO1462" s="1115"/>
      <c r="AP1462" s="1115"/>
      <c r="AQ1462" s="1115"/>
      <c r="AR1462" s="1115"/>
      <c r="AS1462" s="1117"/>
      <c r="AT1462" s="1075" t="s">
        <v>182</v>
      </c>
      <c r="AU1462" s="1078" t="s">
        <v>845</v>
      </c>
      <c r="AV1462" s="330">
        <f>SQRT(($R1462-Infrastructure!J$3)^2+($S1462-Infrastructure!K$3)^2)</f>
        <v>25.40944706</v>
      </c>
      <c r="AW1462" s="331">
        <f>SQRT(($R1462-Infrastructure!J$4)^2+($S1462-Infrastructure!K$4)^2)</f>
        <v>31.75862088</v>
      </c>
      <c r="AX1462" s="331">
        <f>SQRT(($R1462-Infrastructure!J$5)^2+($S1462-Infrastructure!K$5)^2)</f>
        <v>41.54708173</v>
      </c>
      <c r="AY1462" s="331">
        <f>SQRT(($R1462-Infrastructure!J$6)^2+($S1462-Infrastructure!K$6)^2)</f>
        <v>41.36568626</v>
      </c>
      <c r="AZ1462" s="331">
        <f>SQRT(($R1462-Infrastructure!J$7)^2+($S1462-Infrastructure!K$7)^2)</f>
        <v>39.46137352</v>
      </c>
      <c r="BA1462" s="331">
        <f>SQRT(($R1462-Infrastructure!J$8)^2+($S1462-Infrastructure!K$8)^2)</f>
        <v>40.08890121</v>
      </c>
      <c r="BB1462" s="331">
        <f>SQRT(($R1462-Infrastructure!J$9)^2+($S1462-Infrastructure!K$9)^2)</f>
        <v>38.68397601</v>
      </c>
      <c r="BC1462" s="331">
        <f>SQRT(($R1462-Infrastructure!J$10)^2+($S1462-Infrastructure!K$10)^2)</f>
        <v>30.15592811</v>
      </c>
      <c r="BD1462" s="331">
        <f>SQRT(($R1462-Infrastructure!J$11)^2+($S1462-Infrastructure!K$11)^2)</f>
        <v>20.51194774</v>
      </c>
      <c r="BE1462" s="333">
        <f>SQRT(($R1462-Infrastructure!J$12)^2+($S1462-Infrastructure!K$12)^2)</f>
        <v>15.84550409</v>
      </c>
      <c r="BF1462" s="330">
        <f t="shared" si="161"/>
        <v>15.84550409</v>
      </c>
      <c r="BG1462" s="333">
        <f t="shared" si="162"/>
        <v>41.54708173</v>
      </c>
      <c r="BH1462" s="1119"/>
      <c r="BI1462" s="319"/>
      <c r="BJ1462" s="319"/>
      <c r="BK1462" s="319"/>
      <c r="BL1462" s="319"/>
      <c r="BM1462" s="955"/>
      <c r="BN1462" s="319"/>
      <c r="BO1462" s="319"/>
      <c r="BP1462" s="953"/>
      <c r="BQ1462" s="319"/>
      <c r="BR1462" s="324"/>
      <c r="BS1462" s="330">
        <f t="shared" si="169"/>
        <v>0</v>
      </c>
      <c r="BT1462" s="331">
        <f t="shared" si="170"/>
        <v>0</v>
      </c>
      <c r="BU1462" s="920"/>
      <c r="BV1462" s="903">
        <f t="shared" si="171"/>
        <v>-0.6998263889</v>
      </c>
      <c r="BW1462" s="907"/>
      <c r="BX1462" s="908"/>
      <c r="BY1462" s="331" t="b">
        <f t="shared" si="166"/>
        <v>0</v>
      </c>
      <c r="BZ1462" s="340"/>
      <c r="CA1462" s="316"/>
      <c r="CB1462" s="318"/>
      <c r="CC1462" s="318"/>
      <c r="CD1462" s="318"/>
      <c r="CE1462" s="318"/>
      <c r="CF1462" s="318"/>
      <c r="CG1462" s="318"/>
      <c r="CH1462" s="318"/>
      <c r="CI1462" s="318"/>
      <c r="CJ1462" s="463"/>
      <c r="CK1462" s="342"/>
      <c r="CL1462" s="333"/>
      <c r="CM1462" s="1079"/>
      <c r="CN1462" s="1005"/>
      <c r="CO1462" s="1005"/>
      <c r="CP1462" s="1005"/>
    </row>
    <row r="1463">
      <c r="A1463" s="1160" t="s">
        <v>80</v>
      </c>
      <c r="B1463" s="1091" t="s">
        <v>1561</v>
      </c>
      <c r="C1463" s="1092">
        <v>44747.0</v>
      </c>
      <c r="D1463" s="1093"/>
      <c r="E1463" s="1094">
        <v>1.0</v>
      </c>
      <c r="F1463" s="1179" t="s">
        <v>2154</v>
      </c>
      <c r="G1463" s="1095">
        <v>0.6121527777777778</v>
      </c>
      <c r="H1463" s="1096">
        <v>0.6125</v>
      </c>
      <c r="I1463" s="1096"/>
      <c r="J1463" s="1097"/>
      <c r="K1463" s="1097">
        <v>0.6166666666666667</v>
      </c>
      <c r="L1463" s="1098">
        <v>0.004166666666666667</v>
      </c>
      <c r="M1463" s="1099" t="s">
        <v>166</v>
      </c>
      <c r="N1463" s="129" t="s">
        <v>188</v>
      </c>
      <c r="O1463" s="1100" t="s">
        <v>378</v>
      </c>
      <c r="P1463" s="1180" t="s">
        <v>276</v>
      </c>
      <c r="Q1463" s="1120"/>
      <c r="R1463" s="132">
        <v>18.4</v>
      </c>
      <c r="S1463" s="1099">
        <v>35.0</v>
      </c>
      <c r="T1463" s="129">
        <v>6.15</v>
      </c>
      <c r="U1463" s="1094">
        <v>0.3</v>
      </c>
      <c r="V1463" s="1094"/>
      <c r="W1463" s="1094"/>
      <c r="X1463" s="1094"/>
      <c r="Y1463" s="1094"/>
      <c r="Z1463" s="1100" t="s">
        <v>1221</v>
      </c>
      <c r="AA1463" s="1100"/>
      <c r="AB1463" s="1100" t="s">
        <v>326</v>
      </c>
      <c r="AC1463" s="1102">
        <v>1.0</v>
      </c>
      <c r="AD1463" s="1101"/>
      <c r="AE1463" s="1101"/>
      <c r="AF1463" s="1101"/>
      <c r="AG1463" s="1101"/>
      <c r="AH1463" s="1101"/>
      <c r="AI1463" s="1101"/>
      <c r="AJ1463" s="1102"/>
      <c r="AK1463" s="1103"/>
      <c r="AL1463" s="1101"/>
      <c r="AM1463" s="1101"/>
      <c r="AN1463" s="1101"/>
      <c r="AO1463" s="1101"/>
      <c r="AP1463" s="1101"/>
      <c r="AQ1463" s="1101"/>
      <c r="AR1463" s="1101"/>
      <c r="AS1463" s="1102"/>
      <c r="AT1463" s="1066" t="s">
        <v>181</v>
      </c>
      <c r="AU1463" s="1076" t="s">
        <v>845</v>
      </c>
      <c r="AV1463" s="330">
        <f>SQRT(($R1463-Infrastructure!J$3)^2+($S1463-Infrastructure!K$3)^2)</f>
        <v>19.66977377</v>
      </c>
      <c r="AW1463" s="331">
        <f>SQRT(($R1463-Infrastructure!J$4)^2+($S1463-Infrastructure!K$4)^2)</f>
        <v>25.40728242</v>
      </c>
      <c r="AX1463" s="331">
        <f>SQRT(($R1463-Infrastructure!J$5)^2+($S1463-Infrastructure!K$5)^2)</f>
        <v>35.26613106</v>
      </c>
      <c r="AY1463" s="331">
        <f>SQRT(($R1463-Infrastructure!J$6)^2+($S1463-Infrastructure!K$6)^2)</f>
        <v>35.67884527</v>
      </c>
      <c r="AZ1463" s="331">
        <f>SQRT(($R1463-Infrastructure!J$7)^2+($S1463-Infrastructure!K$7)^2)</f>
        <v>34.76348659</v>
      </c>
      <c r="BA1463" s="331">
        <f>SQRT(($R1463-Infrastructure!J$8)^2+($S1463-Infrastructure!K$8)^2)</f>
        <v>36.61939377</v>
      </c>
      <c r="BB1463" s="331">
        <f>SQRT(($R1463-Infrastructure!J$9)^2+($S1463-Infrastructure!K$9)^2)</f>
        <v>36.88590517</v>
      </c>
      <c r="BC1463" s="331">
        <f>SQRT(($R1463-Infrastructure!J$10)^2+($S1463-Infrastructure!K$10)^2)</f>
        <v>29.43739119</v>
      </c>
      <c r="BD1463" s="331">
        <f>SQRT(($R1463-Infrastructure!J$11)^2+($S1463-Infrastructure!K$11)^2)</f>
        <v>22.61061698</v>
      </c>
      <c r="BE1463" s="333">
        <f>SQRT(($R1463-Infrastructure!J$12)^2+($S1463-Infrastructure!K$12)^2)</f>
        <v>20.73306538</v>
      </c>
      <c r="BF1463" s="330">
        <f t="shared" si="161"/>
        <v>19.66977377</v>
      </c>
      <c r="BG1463" s="333">
        <f t="shared" si="162"/>
        <v>36.88590517</v>
      </c>
      <c r="BH1463" s="1105"/>
      <c r="BI1463" s="393"/>
      <c r="BJ1463" s="393"/>
      <c r="BK1463" s="393"/>
      <c r="BL1463" s="393"/>
      <c r="BM1463" s="959"/>
      <c r="BN1463" s="393"/>
      <c r="BO1463" s="393"/>
      <c r="BP1463" s="960"/>
      <c r="BQ1463" s="393"/>
      <c r="BR1463" s="394"/>
      <c r="BS1463" s="330">
        <f t="shared" si="169"/>
        <v>0</v>
      </c>
      <c r="BT1463" s="331">
        <f t="shared" si="170"/>
        <v>0</v>
      </c>
      <c r="BU1463" s="920"/>
      <c r="BV1463" s="903">
        <f t="shared" si="171"/>
        <v>-0.6121527778</v>
      </c>
      <c r="BW1463" s="925"/>
      <c r="BX1463" s="926"/>
      <c r="BY1463" s="331" t="b">
        <f t="shared" si="166"/>
        <v>0</v>
      </c>
      <c r="BZ1463" s="412"/>
      <c r="CA1463" s="390"/>
      <c r="CB1463" s="392"/>
      <c r="CC1463" s="392"/>
      <c r="CD1463" s="392"/>
      <c r="CE1463" s="392"/>
      <c r="CF1463" s="392"/>
      <c r="CG1463" s="392"/>
      <c r="CH1463" s="392"/>
      <c r="CI1463" s="392"/>
      <c r="CJ1463" s="898"/>
      <c r="CK1463" s="414"/>
      <c r="CL1463" s="408"/>
      <c r="CM1463" s="1077"/>
      <c r="CN1463" s="1005"/>
      <c r="CO1463" s="1005"/>
      <c r="CP1463" s="1005"/>
    </row>
    <row r="1464">
      <c r="B1464" s="1106" t="s">
        <v>1561</v>
      </c>
      <c r="C1464" s="1107">
        <v>44747.0</v>
      </c>
      <c r="D1464" s="103"/>
      <c r="E1464" s="1108">
        <v>2.0</v>
      </c>
      <c r="F1464" s="112" t="s">
        <v>2155</v>
      </c>
      <c r="G1464" s="1109">
        <v>0.6256944444444444</v>
      </c>
      <c r="H1464" s="1110">
        <v>0.626099537037037</v>
      </c>
      <c r="I1464" s="1110"/>
      <c r="J1464" s="1111"/>
      <c r="K1464" s="1111">
        <v>0.6361111111111111</v>
      </c>
      <c r="L1464" s="1112">
        <v>0.010011574074074074</v>
      </c>
      <c r="M1464" s="1113" t="s">
        <v>166</v>
      </c>
      <c r="N1464" s="110" t="s">
        <v>188</v>
      </c>
      <c r="O1464" s="1114" t="s">
        <v>378</v>
      </c>
      <c r="P1464" s="1156" t="s">
        <v>276</v>
      </c>
      <c r="Q1464" s="1116"/>
      <c r="R1464" s="120">
        <v>18.4</v>
      </c>
      <c r="S1464" s="1113">
        <v>35.0</v>
      </c>
      <c r="T1464" s="110">
        <v>6.15</v>
      </c>
      <c r="U1464" s="1108">
        <v>0.6</v>
      </c>
      <c r="V1464" s="1108"/>
      <c r="W1464" s="1108"/>
      <c r="X1464" s="1108"/>
      <c r="Y1464" s="1108"/>
      <c r="Z1464" s="1114" t="s">
        <v>1221</v>
      </c>
      <c r="AA1464" s="1114"/>
      <c r="AB1464" s="1171" t="s">
        <v>329</v>
      </c>
      <c r="AC1464" s="1117">
        <v>1.5</v>
      </c>
      <c r="AD1464" s="1115"/>
      <c r="AE1464" s="1115"/>
      <c r="AF1464" s="1115"/>
      <c r="AG1464" s="1115"/>
      <c r="AH1464" s="1115"/>
      <c r="AI1464" s="1115"/>
      <c r="AJ1464" s="1117"/>
      <c r="AK1464" s="1118"/>
      <c r="AL1464" s="1115"/>
      <c r="AM1464" s="1115"/>
      <c r="AN1464" s="1115"/>
      <c r="AO1464" s="1115"/>
      <c r="AP1464" s="1115"/>
      <c r="AQ1464" s="1115"/>
      <c r="AR1464" s="1115"/>
      <c r="AS1464" s="1117"/>
      <c r="AT1464" s="1075" t="s">
        <v>181</v>
      </c>
      <c r="AU1464" s="1078" t="s">
        <v>845</v>
      </c>
      <c r="AV1464" s="330">
        <f>SQRT(($R1464-Infrastructure!J$3)^2+($S1464-Infrastructure!K$3)^2)</f>
        <v>19.66977377</v>
      </c>
      <c r="AW1464" s="331">
        <f>SQRT(($R1464-Infrastructure!J$4)^2+($S1464-Infrastructure!K$4)^2)</f>
        <v>25.40728242</v>
      </c>
      <c r="AX1464" s="331">
        <f>SQRT(($R1464-Infrastructure!J$5)^2+($S1464-Infrastructure!K$5)^2)</f>
        <v>35.26613106</v>
      </c>
      <c r="AY1464" s="331">
        <f>SQRT(($R1464-Infrastructure!J$6)^2+($S1464-Infrastructure!K$6)^2)</f>
        <v>35.67884527</v>
      </c>
      <c r="AZ1464" s="331">
        <f>SQRT(($R1464-Infrastructure!J$7)^2+($S1464-Infrastructure!K$7)^2)</f>
        <v>34.76348659</v>
      </c>
      <c r="BA1464" s="331">
        <f>SQRT(($R1464-Infrastructure!J$8)^2+($S1464-Infrastructure!K$8)^2)</f>
        <v>36.61939377</v>
      </c>
      <c r="BB1464" s="331">
        <f>SQRT(($R1464-Infrastructure!J$9)^2+($S1464-Infrastructure!K$9)^2)</f>
        <v>36.88590517</v>
      </c>
      <c r="BC1464" s="331">
        <f>SQRT(($R1464-Infrastructure!J$10)^2+($S1464-Infrastructure!K$10)^2)</f>
        <v>29.43739119</v>
      </c>
      <c r="BD1464" s="331">
        <f>SQRT(($R1464-Infrastructure!J$11)^2+($S1464-Infrastructure!K$11)^2)</f>
        <v>22.61061698</v>
      </c>
      <c r="BE1464" s="333">
        <f>SQRT(($R1464-Infrastructure!J$12)^2+($S1464-Infrastructure!K$12)^2)</f>
        <v>20.73306538</v>
      </c>
      <c r="BF1464" s="330">
        <f t="shared" si="161"/>
        <v>19.66977377</v>
      </c>
      <c r="BG1464" s="333">
        <f t="shared" si="162"/>
        <v>36.88590517</v>
      </c>
      <c r="BH1464" s="1119"/>
      <c r="BI1464" s="319"/>
      <c r="BJ1464" s="319"/>
      <c r="BK1464" s="319"/>
      <c r="BL1464" s="319"/>
      <c r="BM1464" s="955"/>
      <c r="BN1464" s="319"/>
      <c r="BO1464" s="319"/>
      <c r="BP1464" s="953"/>
      <c r="BQ1464" s="319"/>
      <c r="BR1464" s="324"/>
      <c r="BS1464" s="330">
        <f t="shared" si="169"/>
        <v>0</v>
      </c>
      <c r="BT1464" s="331">
        <f t="shared" si="170"/>
        <v>0</v>
      </c>
      <c r="BU1464" s="920"/>
      <c r="BV1464" s="903">
        <f t="shared" si="171"/>
        <v>-0.6256944444</v>
      </c>
      <c r="BW1464" s="907"/>
      <c r="BX1464" s="908"/>
      <c r="BY1464" s="331" t="b">
        <f t="shared" si="166"/>
        <v>0</v>
      </c>
      <c r="BZ1464" s="340"/>
      <c r="CA1464" s="316"/>
      <c r="CB1464" s="318"/>
      <c r="CC1464" s="318"/>
      <c r="CD1464" s="318"/>
      <c r="CE1464" s="318"/>
      <c r="CF1464" s="318"/>
      <c r="CG1464" s="318"/>
      <c r="CH1464" s="318"/>
      <c r="CI1464" s="318"/>
      <c r="CJ1464" s="463"/>
      <c r="CK1464" s="342"/>
      <c r="CL1464" s="333"/>
      <c r="CM1464" s="1079"/>
      <c r="CN1464" s="1005"/>
      <c r="CO1464" s="1005"/>
      <c r="CP1464" s="1005"/>
    </row>
    <row r="1465">
      <c r="B1465" s="1106" t="s">
        <v>1561</v>
      </c>
      <c r="C1465" s="1107">
        <v>44747.0</v>
      </c>
      <c r="D1465" s="103"/>
      <c r="E1465" s="1108">
        <v>3.0</v>
      </c>
      <c r="F1465" s="112" t="s">
        <v>2156</v>
      </c>
      <c r="G1465" s="1109">
        <v>0.6376157407407408</v>
      </c>
      <c r="H1465" s="1110">
        <v>0.6386226851851852</v>
      </c>
      <c r="I1465" s="1110"/>
      <c r="J1465" s="1111"/>
      <c r="K1465" s="1111">
        <v>0.6472222222222223</v>
      </c>
      <c r="L1465" s="1112">
        <v>0.008599537037037037</v>
      </c>
      <c r="M1465" s="1113" t="s">
        <v>166</v>
      </c>
      <c r="N1465" s="110" t="s">
        <v>188</v>
      </c>
      <c r="O1465" s="1114" t="s">
        <v>378</v>
      </c>
      <c r="P1465" s="1156" t="s">
        <v>276</v>
      </c>
      <c r="Q1465" s="1116"/>
      <c r="R1465" s="120">
        <v>18.4</v>
      </c>
      <c r="S1465" s="1113">
        <v>35.0</v>
      </c>
      <c r="T1465" s="110">
        <v>6.15</v>
      </c>
      <c r="U1465" s="1108">
        <v>0.8</v>
      </c>
      <c r="V1465" s="1108"/>
      <c r="W1465" s="1108"/>
      <c r="X1465" s="1108"/>
      <c r="Y1465" s="1108"/>
      <c r="Z1465" s="1114" t="s">
        <v>1221</v>
      </c>
      <c r="AA1465" s="1114"/>
      <c r="AB1465" s="1171" t="s">
        <v>329</v>
      </c>
      <c r="AC1465" s="1117">
        <v>1.5</v>
      </c>
      <c r="AD1465" s="1115"/>
      <c r="AE1465" s="1115"/>
      <c r="AF1465" s="1115"/>
      <c r="AG1465" s="1115"/>
      <c r="AH1465" s="1115"/>
      <c r="AI1465" s="1115"/>
      <c r="AJ1465" s="1117"/>
      <c r="AK1465" s="1118"/>
      <c r="AL1465" s="1115"/>
      <c r="AM1465" s="1115"/>
      <c r="AN1465" s="1115"/>
      <c r="AO1465" s="1115"/>
      <c r="AP1465" s="1115"/>
      <c r="AQ1465" s="1115"/>
      <c r="AR1465" s="1115"/>
      <c r="AS1465" s="1117"/>
      <c r="AT1465" s="1075" t="s">
        <v>181</v>
      </c>
      <c r="AU1465" s="1078" t="s">
        <v>845</v>
      </c>
      <c r="AV1465" s="330">
        <f>SQRT(($R1465-Infrastructure!J$3)^2+($S1465-Infrastructure!K$3)^2)</f>
        <v>19.66977377</v>
      </c>
      <c r="AW1465" s="331">
        <f>SQRT(($R1465-Infrastructure!J$4)^2+($S1465-Infrastructure!K$4)^2)</f>
        <v>25.40728242</v>
      </c>
      <c r="AX1465" s="331">
        <f>SQRT(($R1465-Infrastructure!J$5)^2+($S1465-Infrastructure!K$5)^2)</f>
        <v>35.26613106</v>
      </c>
      <c r="AY1465" s="331">
        <f>SQRT(($R1465-Infrastructure!J$6)^2+($S1465-Infrastructure!K$6)^2)</f>
        <v>35.67884527</v>
      </c>
      <c r="AZ1465" s="331">
        <f>SQRT(($R1465-Infrastructure!J$7)^2+($S1465-Infrastructure!K$7)^2)</f>
        <v>34.76348659</v>
      </c>
      <c r="BA1465" s="331">
        <f>SQRT(($R1465-Infrastructure!J$8)^2+($S1465-Infrastructure!K$8)^2)</f>
        <v>36.61939377</v>
      </c>
      <c r="BB1465" s="331">
        <f>SQRT(($R1465-Infrastructure!J$9)^2+($S1465-Infrastructure!K$9)^2)</f>
        <v>36.88590517</v>
      </c>
      <c r="BC1465" s="331">
        <f>SQRT(($R1465-Infrastructure!J$10)^2+($S1465-Infrastructure!K$10)^2)</f>
        <v>29.43739119</v>
      </c>
      <c r="BD1465" s="331">
        <f>SQRT(($R1465-Infrastructure!J$11)^2+($S1465-Infrastructure!K$11)^2)</f>
        <v>22.61061698</v>
      </c>
      <c r="BE1465" s="333">
        <f>SQRT(($R1465-Infrastructure!J$12)^2+($S1465-Infrastructure!K$12)^2)</f>
        <v>20.73306538</v>
      </c>
      <c r="BF1465" s="330">
        <f t="shared" si="161"/>
        <v>19.66977377</v>
      </c>
      <c r="BG1465" s="333">
        <f t="shared" si="162"/>
        <v>36.88590517</v>
      </c>
      <c r="BH1465" s="1119"/>
      <c r="BI1465" s="319"/>
      <c r="BJ1465" s="319"/>
      <c r="BK1465" s="319"/>
      <c r="BL1465" s="319"/>
      <c r="BM1465" s="955"/>
      <c r="BN1465" s="319"/>
      <c r="BO1465" s="319"/>
      <c r="BP1465" s="953"/>
      <c r="BQ1465" s="319"/>
      <c r="BR1465" s="324"/>
      <c r="BS1465" s="330">
        <f t="shared" si="169"/>
        <v>0</v>
      </c>
      <c r="BT1465" s="331">
        <f t="shared" si="170"/>
        <v>0</v>
      </c>
      <c r="BU1465" s="920"/>
      <c r="BV1465" s="903">
        <f t="shared" si="171"/>
        <v>-0.6376157407</v>
      </c>
      <c r="BW1465" s="907"/>
      <c r="BX1465" s="908"/>
      <c r="BY1465" s="331" t="b">
        <f t="shared" si="166"/>
        <v>0</v>
      </c>
      <c r="BZ1465" s="340"/>
      <c r="CA1465" s="316"/>
      <c r="CB1465" s="318"/>
      <c r="CC1465" s="318"/>
      <c r="CD1465" s="318"/>
      <c r="CE1465" s="318"/>
      <c r="CF1465" s="318"/>
      <c r="CG1465" s="318"/>
      <c r="CH1465" s="318"/>
      <c r="CI1465" s="318"/>
      <c r="CJ1465" s="463"/>
      <c r="CK1465" s="342"/>
      <c r="CL1465" s="333"/>
      <c r="CM1465" s="1079"/>
      <c r="CN1465" s="1005"/>
      <c r="CO1465" s="1005"/>
      <c r="CP1465" s="1005"/>
    </row>
    <row r="1466">
      <c r="B1466" s="1106" t="s">
        <v>1561</v>
      </c>
      <c r="C1466" s="1107">
        <v>44747.0</v>
      </c>
      <c r="D1466" s="103"/>
      <c r="E1466" s="1108">
        <v>4.0</v>
      </c>
      <c r="F1466" s="112" t="s">
        <v>2157</v>
      </c>
      <c r="G1466" s="1109">
        <v>0.672511574074074</v>
      </c>
      <c r="H1466" s="1110">
        <v>0.6728587962962963</v>
      </c>
      <c r="I1466" s="1110"/>
      <c r="J1466" s="1111"/>
      <c r="K1466" s="1111">
        <v>0.680324074074074</v>
      </c>
      <c r="L1466" s="1112">
        <v>0.007465277777777778</v>
      </c>
      <c r="M1466" s="1113" t="s">
        <v>166</v>
      </c>
      <c r="N1466" s="110" t="s">
        <v>188</v>
      </c>
      <c r="O1466" s="1114" t="s">
        <v>378</v>
      </c>
      <c r="P1466" s="1156" t="s">
        <v>276</v>
      </c>
      <c r="Q1466" s="1116"/>
      <c r="R1466" s="120">
        <v>18.4</v>
      </c>
      <c r="S1466" s="1113">
        <v>35.0</v>
      </c>
      <c r="T1466" s="110">
        <v>6.15</v>
      </c>
      <c r="U1466" s="1108">
        <v>1.1</v>
      </c>
      <c r="V1466" s="1108"/>
      <c r="W1466" s="1108"/>
      <c r="X1466" s="1108"/>
      <c r="Y1466" s="1108"/>
      <c r="Z1466" s="1114" t="s">
        <v>1221</v>
      </c>
      <c r="AA1466" s="1114"/>
      <c r="AB1466" s="1171" t="s">
        <v>333</v>
      </c>
      <c r="AC1466" s="1117">
        <v>2.0</v>
      </c>
      <c r="AD1466" s="1115"/>
      <c r="AE1466" s="1115"/>
      <c r="AF1466" s="1115"/>
      <c r="AG1466" s="1115"/>
      <c r="AH1466" s="1115"/>
      <c r="AI1466" s="1115"/>
      <c r="AJ1466" s="1117"/>
      <c r="AK1466" s="1118"/>
      <c r="AL1466" s="1115"/>
      <c r="AM1466" s="1115"/>
      <c r="AN1466" s="1115"/>
      <c r="AO1466" s="1115"/>
      <c r="AP1466" s="1115"/>
      <c r="AQ1466" s="1115"/>
      <c r="AR1466" s="1115"/>
      <c r="AS1466" s="1117"/>
      <c r="AT1466" s="1075" t="s">
        <v>182</v>
      </c>
      <c r="AU1466" s="1078" t="s">
        <v>845</v>
      </c>
      <c r="AV1466" s="330">
        <f>SQRT(($R1466-Infrastructure!J$3)^2+($S1466-Infrastructure!K$3)^2)</f>
        <v>19.66977377</v>
      </c>
      <c r="AW1466" s="331">
        <f>SQRT(($R1466-Infrastructure!J$4)^2+($S1466-Infrastructure!K$4)^2)</f>
        <v>25.40728242</v>
      </c>
      <c r="AX1466" s="331">
        <f>SQRT(($R1466-Infrastructure!J$5)^2+($S1466-Infrastructure!K$5)^2)</f>
        <v>35.26613106</v>
      </c>
      <c r="AY1466" s="331">
        <f>SQRT(($R1466-Infrastructure!J$6)^2+($S1466-Infrastructure!K$6)^2)</f>
        <v>35.67884527</v>
      </c>
      <c r="AZ1466" s="331">
        <f>SQRT(($R1466-Infrastructure!J$7)^2+($S1466-Infrastructure!K$7)^2)</f>
        <v>34.76348659</v>
      </c>
      <c r="BA1466" s="331">
        <f>SQRT(($R1466-Infrastructure!J$8)^2+($S1466-Infrastructure!K$8)^2)</f>
        <v>36.61939377</v>
      </c>
      <c r="BB1466" s="331">
        <f>SQRT(($R1466-Infrastructure!J$9)^2+($S1466-Infrastructure!K$9)^2)</f>
        <v>36.88590517</v>
      </c>
      <c r="BC1466" s="331">
        <f>SQRT(($R1466-Infrastructure!J$10)^2+($S1466-Infrastructure!K$10)^2)</f>
        <v>29.43739119</v>
      </c>
      <c r="BD1466" s="331">
        <f>SQRT(($R1466-Infrastructure!J$11)^2+($S1466-Infrastructure!K$11)^2)</f>
        <v>22.61061698</v>
      </c>
      <c r="BE1466" s="333">
        <f>SQRT(($R1466-Infrastructure!J$12)^2+($S1466-Infrastructure!K$12)^2)</f>
        <v>20.73306538</v>
      </c>
      <c r="BF1466" s="330">
        <f t="shared" si="161"/>
        <v>19.66977377</v>
      </c>
      <c r="BG1466" s="333">
        <f t="shared" si="162"/>
        <v>36.88590517</v>
      </c>
      <c r="BH1466" s="1119"/>
      <c r="BI1466" s="319" t="s">
        <v>846</v>
      </c>
      <c r="BJ1466" s="319"/>
      <c r="BK1466" s="319" t="s">
        <v>846</v>
      </c>
      <c r="BL1466" s="319"/>
      <c r="BM1466" s="955"/>
      <c r="BN1466" s="319" t="s">
        <v>846</v>
      </c>
      <c r="BO1466" s="319"/>
      <c r="BP1466" s="953"/>
      <c r="BQ1466" s="319"/>
      <c r="BR1466" s="324" t="s">
        <v>846</v>
      </c>
      <c r="BS1466" s="330">
        <f t="shared" si="169"/>
        <v>19.66977377</v>
      </c>
      <c r="BT1466" s="331">
        <f t="shared" si="170"/>
        <v>36.61939377</v>
      </c>
      <c r="BU1466" s="920"/>
      <c r="BV1466" s="903">
        <f t="shared" si="171"/>
        <v>-0.6725115741</v>
      </c>
      <c r="BW1466" s="907"/>
      <c r="BX1466" s="908"/>
      <c r="BY1466" s="331" t="b">
        <f t="shared" si="166"/>
        <v>0</v>
      </c>
      <c r="BZ1466" s="340"/>
      <c r="CA1466" s="316"/>
      <c r="CB1466" s="318"/>
      <c r="CC1466" s="318"/>
      <c r="CD1466" s="318"/>
      <c r="CE1466" s="318"/>
      <c r="CF1466" s="318"/>
      <c r="CG1466" s="318"/>
      <c r="CH1466" s="318"/>
      <c r="CI1466" s="318"/>
      <c r="CJ1466" s="463"/>
      <c r="CK1466" s="342"/>
      <c r="CL1466" s="333"/>
      <c r="CM1466" s="1079"/>
      <c r="CN1466" s="1005"/>
      <c r="CO1466" s="1005"/>
      <c r="CP1466" s="1005"/>
    </row>
    <row r="1467">
      <c r="B1467" s="1106" t="s">
        <v>1561</v>
      </c>
      <c r="C1467" s="1107">
        <v>44747.0</v>
      </c>
      <c r="D1467" s="103"/>
      <c r="E1467" s="1108">
        <v>5.0</v>
      </c>
      <c r="F1467" s="112" t="s">
        <v>2158</v>
      </c>
      <c r="G1467" s="1109">
        <v>0.6828703703703703</v>
      </c>
      <c r="H1467" s="1110">
        <v>0.6837962962962963</v>
      </c>
      <c r="I1467" s="1110"/>
      <c r="J1467" s="1111"/>
      <c r="K1467" s="1111">
        <v>0.686863425925926</v>
      </c>
      <c r="L1467" s="1112">
        <v>0.0030671296296296297</v>
      </c>
      <c r="M1467" s="1113" t="s">
        <v>166</v>
      </c>
      <c r="N1467" s="110" t="s">
        <v>188</v>
      </c>
      <c r="O1467" s="1114" t="s">
        <v>378</v>
      </c>
      <c r="P1467" s="1156" t="s">
        <v>276</v>
      </c>
      <c r="Q1467" s="1116"/>
      <c r="R1467" s="120">
        <v>18.4</v>
      </c>
      <c r="S1467" s="1113">
        <v>35.0</v>
      </c>
      <c r="T1467" s="110">
        <v>6.15</v>
      </c>
      <c r="U1467" s="1108">
        <v>1.4</v>
      </c>
      <c r="V1467" s="1108"/>
      <c r="W1467" s="1108"/>
      <c r="X1467" s="1108"/>
      <c r="Y1467" s="1108"/>
      <c r="Z1467" s="1114" t="s">
        <v>1221</v>
      </c>
      <c r="AA1467" s="1114"/>
      <c r="AB1467" s="1114" t="s">
        <v>333</v>
      </c>
      <c r="AC1467" s="1117">
        <v>2.0</v>
      </c>
      <c r="AD1467" s="1115"/>
      <c r="AE1467" s="1115"/>
      <c r="AF1467" s="1115"/>
      <c r="AG1467" s="1115"/>
      <c r="AH1467" s="1115"/>
      <c r="AI1467" s="1115"/>
      <c r="AJ1467" s="1117"/>
      <c r="AK1467" s="1118"/>
      <c r="AL1467" s="1115"/>
      <c r="AM1467" s="1115"/>
      <c r="AN1467" s="1115"/>
      <c r="AO1467" s="1115"/>
      <c r="AP1467" s="1115"/>
      <c r="AQ1467" s="1115"/>
      <c r="AR1467" s="1115"/>
      <c r="AS1467" s="1117"/>
      <c r="AT1467" s="1075" t="s">
        <v>182</v>
      </c>
      <c r="AU1467" s="1078" t="s">
        <v>845</v>
      </c>
      <c r="AV1467" s="330">
        <f>SQRT(($R1467-Infrastructure!J$3)^2+($S1467-Infrastructure!K$3)^2)</f>
        <v>19.66977377</v>
      </c>
      <c r="AW1467" s="331">
        <f>SQRT(($R1467-Infrastructure!J$4)^2+($S1467-Infrastructure!K$4)^2)</f>
        <v>25.40728242</v>
      </c>
      <c r="AX1467" s="331">
        <f>SQRT(($R1467-Infrastructure!J$5)^2+($S1467-Infrastructure!K$5)^2)</f>
        <v>35.26613106</v>
      </c>
      <c r="AY1467" s="331">
        <f>SQRT(($R1467-Infrastructure!J$6)^2+($S1467-Infrastructure!K$6)^2)</f>
        <v>35.67884527</v>
      </c>
      <c r="AZ1467" s="331">
        <f>SQRT(($R1467-Infrastructure!J$7)^2+($S1467-Infrastructure!K$7)^2)</f>
        <v>34.76348659</v>
      </c>
      <c r="BA1467" s="331">
        <f>SQRT(($R1467-Infrastructure!J$8)^2+($S1467-Infrastructure!K$8)^2)</f>
        <v>36.61939377</v>
      </c>
      <c r="BB1467" s="331">
        <f>SQRT(($R1467-Infrastructure!J$9)^2+($S1467-Infrastructure!K$9)^2)</f>
        <v>36.88590517</v>
      </c>
      <c r="BC1467" s="331">
        <f>SQRT(($R1467-Infrastructure!J$10)^2+($S1467-Infrastructure!K$10)^2)</f>
        <v>29.43739119</v>
      </c>
      <c r="BD1467" s="331">
        <f>SQRT(($R1467-Infrastructure!J$11)^2+($S1467-Infrastructure!K$11)^2)</f>
        <v>22.61061698</v>
      </c>
      <c r="BE1467" s="333">
        <f>SQRT(($R1467-Infrastructure!J$12)^2+($S1467-Infrastructure!K$12)^2)</f>
        <v>20.73306538</v>
      </c>
      <c r="BF1467" s="330">
        <f t="shared" si="161"/>
        <v>19.66977377</v>
      </c>
      <c r="BG1467" s="333">
        <f t="shared" si="162"/>
        <v>36.88590517</v>
      </c>
      <c r="BH1467" s="1119"/>
      <c r="BI1467" s="319" t="s">
        <v>846</v>
      </c>
      <c r="BJ1467" s="319"/>
      <c r="BK1467" s="319"/>
      <c r="BL1467" s="319"/>
      <c r="BM1467" s="955"/>
      <c r="BN1467" s="319" t="s">
        <v>846</v>
      </c>
      <c r="BO1467" s="319"/>
      <c r="BP1467" s="953"/>
      <c r="BQ1467" s="319" t="s">
        <v>846</v>
      </c>
      <c r="BR1467" s="324" t="s">
        <v>846</v>
      </c>
      <c r="BS1467" s="330">
        <f t="shared" si="169"/>
        <v>19.66977377</v>
      </c>
      <c r="BT1467" s="331">
        <f t="shared" si="170"/>
        <v>36.61939377</v>
      </c>
      <c r="BU1467" s="920"/>
      <c r="BV1467" s="903">
        <f t="shared" si="171"/>
        <v>-0.6828703704</v>
      </c>
      <c r="BW1467" s="907"/>
      <c r="BX1467" s="908"/>
      <c r="BY1467" s="331" t="b">
        <f t="shared" si="166"/>
        <v>0</v>
      </c>
      <c r="BZ1467" s="340"/>
      <c r="CA1467" s="316"/>
      <c r="CB1467" s="318"/>
      <c r="CC1467" s="318"/>
      <c r="CD1467" s="318"/>
      <c r="CE1467" s="318"/>
      <c r="CF1467" s="318"/>
      <c r="CG1467" s="318"/>
      <c r="CH1467" s="318"/>
      <c r="CI1467" s="318"/>
      <c r="CJ1467" s="463"/>
      <c r="CK1467" s="342"/>
      <c r="CL1467" s="333"/>
      <c r="CM1467" s="1079"/>
      <c r="CN1467" s="1005"/>
      <c r="CO1467" s="1005"/>
      <c r="CP1467" s="1005"/>
    </row>
    <row r="1468">
      <c r="A1468" s="634"/>
      <c r="B1468" s="1121" t="s">
        <v>1561</v>
      </c>
      <c r="C1468" s="1122">
        <v>44747.0</v>
      </c>
      <c r="D1468" s="1123"/>
      <c r="E1468" s="1124">
        <v>6.0</v>
      </c>
      <c r="F1468" s="108" t="s">
        <v>2159</v>
      </c>
      <c r="G1468" s="1125">
        <v>0.695949074074074</v>
      </c>
      <c r="H1468" s="1126">
        <v>0.6961805555555556</v>
      </c>
      <c r="I1468" s="1126"/>
      <c r="J1468" s="1127"/>
      <c r="K1468" s="1127">
        <v>0.7087962962962963</v>
      </c>
      <c r="L1468" s="1128">
        <v>0.012615740740740742</v>
      </c>
      <c r="M1468" s="1129" t="s">
        <v>166</v>
      </c>
      <c r="N1468" s="100" t="s">
        <v>188</v>
      </c>
      <c r="O1468" s="1130" t="s">
        <v>378</v>
      </c>
      <c r="P1468" s="1181" t="s">
        <v>276</v>
      </c>
      <c r="Q1468" s="1132"/>
      <c r="R1468" s="137">
        <v>18.4</v>
      </c>
      <c r="S1468" s="1129">
        <v>35.0</v>
      </c>
      <c r="T1468" s="100">
        <v>6.15</v>
      </c>
      <c r="U1468" s="1124">
        <v>1.4</v>
      </c>
      <c r="V1468" s="1124"/>
      <c r="W1468" s="1124"/>
      <c r="X1468" s="1124"/>
      <c r="Y1468" s="1124"/>
      <c r="Z1468" s="1130" t="s">
        <v>1221</v>
      </c>
      <c r="AA1468" s="1130"/>
      <c r="AB1468" s="1182" t="s">
        <v>333</v>
      </c>
      <c r="AC1468" s="1133">
        <v>2.0</v>
      </c>
      <c r="AD1468" s="1131"/>
      <c r="AE1468" s="1131"/>
      <c r="AF1468" s="1131"/>
      <c r="AG1468" s="1131"/>
      <c r="AH1468" s="1131"/>
      <c r="AI1468" s="1131"/>
      <c r="AJ1468" s="1133"/>
      <c r="AK1468" s="1134"/>
      <c r="AL1468" s="1131"/>
      <c r="AM1468" s="1131"/>
      <c r="AN1468" s="1131"/>
      <c r="AO1468" s="1131"/>
      <c r="AP1468" s="1131"/>
      <c r="AQ1468" s="1131"/>
      <c r="AR1468" s="1131"/>
      <c r="AS1468" s="1133"/>
      <c r="AT1468" s="1088" t="s">
        <v>182</v>
      </c>
      <c r="AU1468" s="1089" t="s">
        <v>845</v>
      </c>
      <c r="AV1468" s="330">
        <f>SQRT(($R1468-Infrastructure!J$3)^2+($S1468-Infrastructure!K$3)^2)</f>
        <v>19.66977377</v>
      </c>
      <c r="AW1468" s="331">
        <f>SQRT(($R1468-Infrastructure!J$4)^2+($S1468-Infrastructure!K$4)^2)</f>
        <v>25.40728242</v>
      </c>
      <c r="AX1468" s="331">
        <f>SQRT(($R1468-Infrastructure!J$5)^2+($S1468-Infrastructure!K$5)^2)</f>
        <v>35.26613106</v>
      </c>
      <c r="AY1468" s="331">
        <f>SQRT(($R1468-Infrastructure!J$6)^2+($S1468-Infrastructure!K$6)^2)</f>
        <v>35.67884527</v>
      </c>
      <c r="AZ1468" s="331">
        <f>SQRT(($R1468-Infrastructure!J$7)^2+($S1468-Infrastructure!K$7)^2)</f>
        <v>34.76348659</v>
      </c>
      <c r="BA1468" s="331">
        <f>SQRT(($R1468-Infrastructure!J$8)^2+($S1468-Infrastructure!K$8)^2)</f>
        <v>36.61939377</v>
      </c>
      <c r="BB1468" s="331">
        <f>SQRT(($R1468-Infrastructure!J$9)^2+($S1468-Infrastructure!K$9)^2)</f>
        <v>36.88590517</v>
      </c>
      <c r="BC1468" s="331">
        <f>SQRT(($R1468-Infrastructure!J$10)^2+($S1468-Infrastructure!K$10)^2)</f>
        <v>29.43739119</v>
      </c>
      <c r="BD1468" s="331">
        <f>SQRT(($R1468-Infrastructure!J$11)^2+($S1468-Infrastructure!K$11)^2)</f>
        <v>22.61061698</v>
      </c>
      <c r="BE1468" s="333">
        <f>SQRT(($R1468-Infrastructure!J$12)^2+($S1468-Infrastructure!K$12)^2)</f>
        <v>20.73306538</v>
      </c>
      <c r="BF1468" s="330">
        <f t="shared" si="161"/>
        <v>19.66977377</v>
      </c>
      <c r="BG1468" s="333">
        <f t="shared" si="162"/>
        <v>36.88590517</v>
      </c>
      <c r="BH1468" s="1135"/>
      <c r="BI1468" s="663" t="s">
        <v>846</v>
      </c>
      <c r="BJ1468" s="663" t="s">
        <v>846</v>
      </c>
      <c r="BK1468" s="663" t="s">
        <v>846</v>
      </c>
      <c r="BL1468" s="663"/>
      <c r="BM1468" s="957"/>
      <c r="BN1468" s="663"/>
      <c r="BO1468" s="663"/>
      <c r="BP1468" s="958"/>
      <c r="BQ1468" s="663" t="s">
        <v>846</v>
      </c>
      <c r="BR1468" s="637" t="s">
        <v>846</v>
      </c>
      <c r="BS1468" s="330">
        <f t="shared" si="169"/>
        <v>19.66977377</v>
      </c>
      <c r="BT1468" s="331">
        <f t="shared" si="170"/>
        <v>35.26613106</v>
      </c>
      <c r="BU1468" s="920"/>
      <c r="BV1468" s="903">
        <f t="shared" si="171"/>
        <v>-0.6959490741</v>
      </c>
      <c r="BW1468" s="938"/>
      <c r="BX1468" s="939"/>
      <c r="BY1468" s="331" t="b">
        <f t="shared" si="166"/>
        <v>0</v>
      </c>
      <c r="BZ1468" s="742"/>
      <c r="CA1468" s="639"/>
      <c r="CB1468" s="640"/>
      <c r="CC1468" s="640"/>
      <c r="CD1468" s="640"/>
      <c r="CE1468" s="640"/>
      <c r="CF1468" s="640"/>
      <c r="CG1468" s="640"/>
      <c r="CH1468" s="640"/>
      <c r="CI1468" s="640"/>
      <c r="CJ1468" s="785"/>
      <c r="CK1468" s="743"/>
      <c r="CL1468" s="642"/>
      <c r="CM1468" s="1090"/>
      <c r="CN1468" s="1005"/>
      <c r="CO1468" s="1005"/>
      <c r="CP1468" s="1005"/>
    </row>
    <row r="1469">
      <c r="A1469" s="1162" t="s">
        <v>81</v>
      </c>
      <c r="B1469" s="1106" t="s">
        <v>1561</v>
      </c>
      <c r="C1469" s="1107">
        <v>44748.0</v>
      </c>
      <c r="D1469" s="103"/>
      <c r="E1469" s="1108">
        <v>1.0</v>
      </c>
      <c r="F1469" s="110" t="s">
        <v>2160</v>
      </c>
      <c r="G1469" s="1109">
        <v>0.4296875</v>
      </c>
      <c r="H1469" s="1110">
        <v>0.4309027777777778</v>
      </c>
      <c r="I1469" s="1110"/>
      <c r="J1469" s="1111"/>
      <c r="K1469" s="1111">
        <v>0.4456597222222222</v>
      </c>
      <c r="L1469" s="1112">
        <v>0.014756944444444444</v>
      </c>
      <c r="M1469" s="1113" t="s">
        <v>166</v>
      </c>
      <c r="N1469" s="110" t="s">
        <v>188</v>
      </c>
      <c r="O1469" s="1114" t="s">
        <v>378</v>
      </c>
      <c r="P1469" s="1156" t="s">
        <v>276</v>
      </c>
      <c r="Q1469" s="1116"/>
      <c r="R1469" s="120">
        <v>18.4</v>
      </c>
      <c r="S1469" s="1113">
        <v>35.0</v>
      </c>
      <c r="T1469" s="110">
        <v>6.15</v>
      </c>
      <c r="U1469" s="1108">
        <v>2.8</v>
      </c>
      <c r="V1469" s="1108"/>
      <c r="W1469" s="1108"/>
      <c r="X1469" s="1108"/>
      <c r="Y1469" s="1108"/>
      <c r="Z1469" s="1114" t="s">
        <v>1221</v>
      </c>
      <c r="AA1469" s="1114"/>
      <c r="AB1469" s="1171" t="s">
        <v>341</v>
      </c>
      <c r="AC1469" s="1117">
        <v>3.0</v>
      </c>
      <c r="AD1469" s="1115"/>
      <c r="AE1469" s="1115"/>
      <c r="AF1469" s="1115"/>
      <c r="AG1469" s="1115"/>
      <c r="AH1469" s="1115"/>
      <c r="AI1469" s="1115"/>
      <c r="AJ1469" s="1117"/>
      <c r="AK1469" s="1118"/>
      <c r="AL1469" s="1115"/>
      <c r="AM1469" s="1115"/>
      <c r="AN1469" s="1115"/>
      <c r="AO1469" s="1115"/>
      <c r="AP1469" s="1115"/>
      <c r="AQ1469" s="1115"/>
      <c r="AR1469" s="1115"/>
      <c r="AS1469" s="1117"/>
      <c r="AT1469" s="1075" t="s">
        <v>182</v>
      </c>
      <c r="AU1469" s="1078" t="s">
        <v>845</v>
      </c>
      <c r="AV1469" s="330">
        <f>SQRT(($R1469-Infrastructure!J$3)^2+($S1469-Infrastructure!K$3)^2)</f>
        <v>19.66977377</v>
      </c>
      <c r="AW1469" s="331">
        <f>SQRT(($R1469-Infrastructure!J$4)^2+($S1469-Infrastructure!K$4)^2)</f>
        <v>25.40728242</v>
      </c>
      <c r="AX1469" s="331">
        <f>SQRT(($R1469-Infrastructure!J$5)^2+($S1469-Infrastructure!K$5)^2)</f>
        <v>35.26613106</v>
      </c>
      <c r="AY1469" s="331">
        <f>SQRT(($R1469-Infrastructure!J$6)^2+($S1469-Infrastructure!K$6)^2)</f>
        <v>35.67884527</v>
      </c>
      <c r="AZ1469" s="331">
        <f>SQRT(($R1469-Infrastructure!J$7)^2+($S1469-Infrastructure!K$7)^2)</f>
        <v>34.76348659</v>
      </c>
      <c r="BA1469" s="331">
        <f>SQRT(($R1469-Infrastructure!J$8)^2+($S1469-Infrastructure!K$8)^2)</f>
        <v>36.61939377</v>
      </c>
      <c r="BB1469" s="331">
        <f>SQRT(($R1469-Infrastructure!J$9)^2+($S1469-Infrastructure!K$9)^2)</f>
        <v>36.88590517</v>
      </c>
      <c r="BC1469" s="331">
        <f>SQRT(($R1469-Infrastructure!J$10)^2+($S1469-Infrastructure!K$10)^2)</f>
        <v>29.43739119</v>
      </c>
      <c r="BD1469" s="331">
        <f>SQRT(($R1469-Infrastructure!J$11)^2+($S1469-Infrastructure!K$11)^2)</f>
        <v>22.61061698</v>
      </c>
      <c r="BE1469" s="333">
        <f>SQRT(($R1469-Infrastructure!J$12)^2+($S1469-Infrastructure!K$12)^2)</f>
        <v>20.73306538</v>
      </c>
      <c r="BF1469" s="330">
        <f t="shared" si="161"/>
        <v>19.66977377</v>
      </c>
      <c r="BG1469" s="333">
        <f t="shared" si="162"/>
        <v>36.88590517</v>
      </c>
      <c r="BH1469" s="1119"/>
      <c r="BI1469" s="319" t="s">
        <v>846</v>
      </c>
      <c r="BJ1469" s="319"/>
      <c r="BK1469" s="319"/>
      <c r="BL1469" s="319" t="s">
        <v>846</v>
      </c>
      <c r="BM1469" s="955"/>
      <c r="BN1469" s="319" t="s">
        <v>846</v>
      </c>
      <c r="BO1469" s="319"/>
      <c r="BP1469" s="953"/>
      <c r="BQ1469" s="319" t="s">
        <v>846</v>
      </c>
      <c r="BR1469" s="324" t="s">
        <v>846</v>
      </c>
      <c r="BS1469" s="330">
        <f t="shared" si="169"/>
        <v>19.66977377</v>
      </c>
      <c r="BT1469" s="331">
        <f t="shared" si="170"/>
        <v>36.61939377</v>
      </c>
      <c r="BU1469" s="920"/>
      <c r="BV1469" s="903">
        <f t="shared" si="171"/>
        <v>-0.4296875</v>
      </c>
      <c r="BW1469" s="907"/>
      <c r="BX1469" s="908"/>
      <c r="BY1469" s="331" t="b">
        <f t="shared" si="166"/>
        <v>0</v>
      </c>
      <c r="BZ1469" s="340"/>
      <c r="CA1469" s="316"/>
      <c r="CB1469" s="318"/>
      <c r="CC1469" s="318"/>
      <c r="CD1469" s="318"/>
      <c r="CE1469" s="318"/>
      <c r="CF1469" s="318"/>
      <c r="CG1469" s="318"/>
      <c r="CH1469" s="318"/>
      <c r="CI1469" s="318"/>
      <c r="CJ1469" s="463"/>
      <c r="CK1469" s="342"/>
      <c r="CL1469" s="333"/>
      <c r="CM1469" s="1079"/>
      <c r="CN1469" s="1005"/>
      <c r="CO1469" s="1005"/>
      <c r="CP1469" s="1005"/>
    </row>
    <row r="1470">
      <c r="B1470" s="1106" t="s">
        <v>1561</v>
      </c>
      <c r="C1470" s="1107">
        <v>44748.0</v>
      </c>
      <c r="D1470" s="103"/>
      <c r="E1470" s="1108">
        <v>2.0</v>
      </c>
      <c r="F1470" s="110" t="s">
        <v>2161</v>
      </c>
      <c r="G1470" s="1109">
        <v>0.47638888888888886</v>
      </c>
      <c r="H1470" s="1110">
        <v>0.47708333333333336</v>
      </c>
      <c r="I1470" s="1110"/>
      <c r="J1470" s="1111"/>
      <c r="K1470" s="1111">
        <v>0.5158564814814814</v>
      </c>
      <c r="L1470" s="1112">
        <v>0.03877314814814815</v>
      </c>
      <c r="M1470" s="1113" t="s">
        <v>166</v>
      </c>
      <c r="N1470" s="110" t="s">
        <v>188</v>
      </c>
      <c r="O1470" s="1114" t="s">
        <v>378</v>
      </c>
      <c r="P1470" s="1156" t="s">
        <v>276</v>
      </c>
      <c r="Q1470" s="1116"/>
      <c r="R1470" s="120">
        <v>18.4</v>
      </c>
      <c r="S1470" s="1113">
        <v>35.0</v>
      </c>
      <c r="T1470" s="110">
        <v>6.15</v>
      </c>
      <c r="U1470" s="1108">
        <v>2.2</v>
      </c>
      <c r="V1470" s="1108"/>
      <c r="W1470" s="1108"/>
      <c r="X1470" s="1108"/>
      <c r="Y1470" s="1108"/>
      <c r="Z1470" s="1114" t="s">
        <v>1221</v>
      </c>
      <c r="AA1470" s="1114"/>
      <c r="AB1470" s="1171" t="s">
        <v>337</v>
      </c>
      <c r="AC1470" s="1117">
        <v>2.5</v>
      </c>
      <c r="AD1470" s="1115"/>
      <c r="AE1470" s="1115"/>
      <c r="AF1470" s="1115"/>
      <c r="AG1470" s="1115"/>
      <c r="AH1470" s="1115"/>
      <c r="AI1470" s="1115"/>
      <c r="AJ1470" s="1117"/>
      <c r="AK1470" s="1118"/>
      <c r="AL1470" s="1115"/>
      <c r="AM1470" s="1115"/>
      <c r="AN1470" s="1115"/>
      <c r="AO1470" s="1115"/>
      <c r="AP1470" s="1115"/>
      <c r="AQ1470" s="1115"/>
      <c r="AR1470" s="1115"/>
      <c r="AS1470" s="1117"/>
      <c r="AT1470" s="1075" t="s">
        <v>182</v>
      </c>
      <c r="AU1470" s="1078" t="s">
        <v>845</v>
      </c>
      <c r="AV1470" s="330">
        <f>SQRT(($R1470-Infrastructure!J$3)^2+($S1470-Infrastructure!K$3)^2)</f>
        <v>19.66977377</v>
      </c>
      <c r="AW1470" s="331">
        <f>SQRT(($R1470-Infrastructure!J$4)^2+($S1470-Infrastructure!K$4)^2)</f>
        <v>25.40728242</v>
      </c>
      <c r="AX1470" s="331">
        <f>SQRT(($R1470-Infrastructure!J$5)^2+($S1470-Infrastructure!K$5)^2)</f>
        <v>35.26613106</v>
      </c>
      <c r="AY1470" s="331">
        <f>SQRT(($R1470-Infrastructure!J$6)^2+($S1470-Infrastructure!K$6)^2)</f>
        <v>35.67884527</v>
      </c>
      <c r="AZ1470" s="331">
        <f>SQRT(($R1470-Infrastructure!J$7)^2+($S1470-Infrastructure!K$7)^2)</f>
        <v>34.76348659</v>
      </c>
      <c r="BA1470" s="331">
        <f>SQRT(($R1470-Infrastructure!J$8)^2+($S1470-Infrastructure!K$8)^2)</f>
        <v>36.61939377</v>
      </c>
      <c r="BB1470" s="331">
        <f>SQRT(($R1470-Infrastructure!J$9)^2+($S1470-Infrastructure!K$9)^2)</f>
        <v>36.88590517</v>
      </c>
      <c r="BC1470" s="331">
        <f>SQRT(($R1470-Infrastructure!J$10)^2+($S1470-Infrastructure!K$10)^2)</f>
        <v>29.43739119</v>
      </c>
      <c r="BD1470" s="331">
        <f>SQRT(($R1470-Infrastructure!J$11)^2+($S1470-Infrastructure!K$11)^2)</f>
        <v>22.61061698</v>
      </c>
      <c r="BE1470" s="333">
        <f>SQRT(($R1470-Infrastructure!J$12)^2+($S1470-Infrastructure!K$12)^2)</f>
        <v>20.73306538</v>
      </c>
      <c r="BF1470" s="330">
        <f t="shared" si="161"/>
        <v>19.66977377</v>
      </c>
      <c r="BG1470" s="333">
        <f t="shared" si="162"/>
        <v>36.88590517</v>
      </c>
      <c r="BH1470" s="1119"/>
      <c r="BI1470" s="319" t="s">
        <v>846</v>
      </c>
      <c r="BJ1470" s="319"/>
      <c r="BK1470" s="319"/>
      <c r="BL1470" s="319" t="s">
        <v>846</v>
      </c>
      <c r="BM1470" s="955"/>
      <c r="BN1470" s="319" t="s">
        <v>846</v>
      </c>
      <c r="BO1470" s="319"/>
      <c r="BP1470" s="953"/>
      <c r="BQ1470" s="319" t="s">
        <v>846</v>
      </c>
      <c r="BR1470" s="324" t="s">
        <v>846</v>
      </c>
      <c r="BS1470" s="330">
        <f t="shared" si="169"/>
        <v>19.66977377</v>
      </c>
      <c r="BT1470" s="331">
        <f t="shared" si="170"/>
        <v>36.61939377</v>
      </c>
      <c r="BU1470" s="920"/>
      <c r="BV1470" s="903">
        <f t="shared" si="171"/>
        <v>-0.4763888889</v>
      </c>
      <c r="BW1470" s="907"/>
      <c r="BX1470" s="908"/>
      <c r="BY1470" s="331" t="b">
        <f t="shared" si="166"/>
        <v>0</v>
      </c>
      <c r="BZ1470" s="340"/>
      <c r="CA1470" s="316"/>
      <c r="CB1470" s="318"/>
      <c r="CC1470" s="318"/>
      <c r="CD1470" s="318"/>
      <c r="CE1470" s="318"/>
      <c r="CF1470" s="318"/>
      <c r="CG1470" s="318"/>
      <c r="CH1470" s="318"/>
      <c r="CI1470" s="318"/>
      <c r="CJ1470" s="463"/>
      <c r="CK1470" s="342"/>
      <c r="CL1470" s="333"/>
      <c r="CM1470" s="1079"/>
      <c r="CN1470" s="1005"/>
      <c r="CO1470" s="1005"/>
      <c r="CP1470" s="1005"/>
    </row>
    <row r="1471">
      <c r="B1471" s="1106" t="s">
        <v>1561</v>
      </c>
      <c r="C1471" s="1107">
        <v>44748.0</v>
      </c>
      <c r="D1471" s="103"/>
      <c r="E1471" s="1108">
        <v>3.0</v>
      </c>
      <c r="F1471" s="112" t="s">
        <v>2162</v>
      </c>
      <c r="G1471" s="1109">
        <v>0.6129050925925926</v>
      </c>
      <c r="H1471" s="1110">
        <v>0.6131944444444445</v>
      </c>
      <c r="I1471" s="1110"/>
      <c r="J1471" s="1111"/>
      <c r="K1471" s="1111">
        <v>0.6243055555555556</v>
      </c>
      <c r="L1471" s="1112">
        <v>0.011111111111111112</v>
      </c>
      <c r="M1471" s="1113" t="s">
        <v>166</v>
      </c>
      <c r="N1471" s="110" t="s">
        <v>188</v>
      </c>
      <c r="O1471" s="1114" t="s">
        <v>378</v>
      </c>
      <c r="P1471" s="1156" t="s">
        <v>276</v>
      </c>
      <c r="Q1471" s="1116"/>
      <c r="R1471" s="120">
        <v>18.4</v>
      </c>
      <c r="S1471" s="1113">
        <v>35.0</v>
      </c>
      <c r="T1471" s="110">
        <v>6.15</v>
      </c>
      <c r="U1471" s="1108">
        <v>1.4</v>
      </c>
      <c r="V1471" s="1108"/>
      <c r="W1471" s="1108"/>
      <c r="X1471" s="1108"/>
      <c r="Y1471" s="1108"/>
      <c r="Z1471" s="1114" t="s">
        <v>1221</v>
      </c>
      <c r="AA1471" s="1114"/>
      <c r="AB1471" s="1171" t="s">
        <v>333</v>
      </c>
      <c r="AC1471" s="1117">
        <v>2.0</v>
      </c>
      <c r="AD1471" s="1115"/>
      <c r="AE1471" s="1115"/>
      <c r="AF1471" s="1115"/>
      <c r="AG1471" s="1115"/>
      <c r="AH1471" s="1115"/>
      <c r="AI1471" s="1115"/>
      <c r="AJ1471" s="1117"/>
      <c r="AK1471" s="1118"/>
      <c r="AL1471" s="1115"/>
      <c r="AM1471" s="1115"/>
      <c r="AN1471" s="1115"/>
      <c r="AO1471" s="1115"/>
      <c r="AP1471" s="1115"/>
      <c r="AQ1471" s="1115"/>
      <c r="AR1471" s="1115"/>
      <c r="AS1471" s="1117"/>
      <c r="AT1471" s="1075" t="s">
        <v>182</v>
      </c>
      <c r="AU1471" s="1078" t="s">
        <v>845</v>
      </c>
      <c r="AV1471" s="330">
        <f>SQRT(($R1471-Infrastructure!J$3)^2+($S1471-Infrastructure!K$3)^2)</f>
        <v>19.66977377</v>
      </c>
      <c r="AW1471" s="331">
        <f>SQRT(($R1471-Infrastructure!J$4)^2+($S1471-Infrastructure!K$4)^2)</f>
        <v>25.40728242</v>
      </c>
      <c r="AX1471" s="331">
        <f>SQRT(($R1471-Infrastructure!J$5)^2+($S1471-Infrastructure!K$5)^2)</f>
        <v>35.26613106</v>
      </c>
      <c r="AY1471" s="331">
        <f>SQRT(($R1471-Infrastructure!J$6)^2+($S1471-Infrastructure!K$6)^2)</f>
        <v>35.67884527</v>
      </c>
      <c r="AZ1471" s="331">
        <f>SQRT(($R1471-Infrastructure!J$7)^2+($S1471-Infrastructure!K$7)^2)</f>
        <v>34.76348659</v>
      </c>
      <c r="BA1471" s="331">
        <f>SQRT(($R1471-Infrastructure!J$8)^2+($S1471-Infrastructure!K$8)^2)</f>
        <v>36.61939377</v>
      </c>
      <c r="BB1471" s="331">
        <f>SQRT(($R1471-Infrastructure!J$9)^2+($S1471-Infrastructure!K$9)^2)</f>
        <v>36.88590517</v>
      </c>
      <c r="BC1471" s="331">
        <f>SQRT(($R1471-Infrastructure!J$10)^2+($S1471-Infrastructure!K$10)^2)</f>
        <v>29.43739119</v>
      </c>
      <c r="BD1471" s="331">
        <f>SQRT(($R1471-Infrastructure!J$11)^2+($S1471-Infrastructure!K$11)^2)</f>
        <v>22.61061698</v>
      </c>
      <c r="BE1471" s="333">
        <f>SQRT(($R1471-Infrastructure!J$12)^2+($S1471-Infrastructure!K$12)^2)</f>
        <v>20.73306538</v>
      </c>
      <c r="BF1471" s="330">
        <f t="shared" si="161"/>
        <v>19.66977377</v>
      </c>
      <c r="BG1471" s="333">
        <f t="shared" si="162"/>
        <v>36.88590517</v>
      </c>
      <c r="BH1471" s="1119"/>
      <c r="BI1471" s="319" t="s">
        <v>846</v>
      </c>
      <c r="BJ1471" s="319"/>
      <c r="BK1471" s="319" t="s">
        <v>846</v>
      </c>
      <c r="BL1471" s="319"/>
      <c r="BM1471" s="955"/>
      <c r="BN1471" s="319"/>
      <c r="BO1471" s="319"/>
      <c r="BP1471" s="953"/>
      <c r="BQ1471" s="319" t="s">
        <v>846</v>
      </c>
      <c r="BR1471" s="324" t="s">
        <v>846</v>
      </c>
      <c r="BS1471" s="330">
        <f t="shared" si="169"/>
        <v>19.66977377</v>
      </c>
      <c r="BT1471" s="331">
        <f t="shared" si="170"/>
        <v>35.26613106</v>
      </c>
      <c r="BU1471" s="920"/>
      <c r="BV1471" s="903">
        <f t="shared" si="171"/>
        <v>-0.6129050926</v>
      </c>
      <c r="BW1471" s="907"/>
      <c r="BX1471" s="908"/>
      <c r="BY1471" s="331" t="b">
        <f t="shared" si="166"/>
        <v>0</v>
      </c>
      <c r="BZ1471" s="340"/>
      <c r="CA1471" s="316"/>
      <c r="CB1471" s="318"/>
      <c r="CC1471" s="318"/>
      <c r="CD1471" s="318"/>
      <c r="CE1471" s="318"/>
      <c r="CF1471" s="318"/>
      <c r="CG1471" s="318"/>
      <c r="CH1471" s="318"/>
      <c r="CI1471" s="318"/>
      <c r="CJ1471" s="463"/>
      <c r="CK1471" s="342"/>
      <c r="CL1471" s="333"/>
      <c r="CM1471" s="1079"/>
      <c r="CN1471" s="1005"/>
      <c r="CO1471" s="1005"/>
      <c r="CP1471" s="1005"/>
    </row>
    <row r="1472">
      <c r="B1472" s="1106" t="s">
        <v>1561</v>
      </c>
      <c r="C1472" s="1107">
        <v>44748.0</v>
      </c>
      <c r="D1472" s="1165"/>
      <c r="E1472" s="1108">
        <v>4.0</v>
      </c>
      <c r="F1472" s="112" t="s">
        <v>2163</v>
      </c>
      <c r="G1472" s="1151">
        <v>0.6900462962962963</v>
      </c>
      <c r="H1472" s="1152">
        <v>0.6905092592592592</v>
      </c>
      <c r="I1472" s="1152"/>
      <c r="J1472" s="1153"/>
      <c r="K1472" s="1153">
        <v>0.7063657407407408</v>
      </c>
      <c r="L1472" s="1112">
        <v>0.015856481481481482</v>
      </c>
      <c r="M1472" s="1113" t="s">
        <v>166</v>
      </c>
      <c r="N1472" s="110" t="s">
        <v>188</v>
      </c>
      <c r="O1472" s="1114" t="s">
        <v>378</v>
      </c>
      <c r="P1472" s="1156" t="s">
        <v>276</v>
      </c>
      <c r="Q1472" s="1116"/>
      <c r="R1472" s="120">
        <v>18.4</v>
      </c>
      <c r="S1472" s="1113">
        <v>35.0</v>
      </c>
      <c r="T1472" s="110">
        <v>6.15</v>
      </c>
      <c r="U1472" s="1108">
        <v>1.1</v>
      </c>
      <c r="V1472" s="1108"/>
      <c r="W1472" s="1108"/>
      <c r="X1472" s="1108"/>
      <c r="Y1472" s="1108"/>
      <c r="Z1472" s="1114" t="s">
        <v>1221</v>
      </c>
      <c r="AA1472" s="1114"/>
      <c r="AB1472" s="1171" t="s">
        <v>333</v>
      </c>
      <c r="AC1472" s="1117">
        <v>2.0</v>
      </c>
      <c r="AD1472" s="1115"/>
      <c r="AE1472" s="1115"/>
      <c r="AF1472" s="1115"/>
      <c r="AG1472" s="1115"/>
      <c r="AH1472" s="1115"/>
      <c r="AI1472" s="1115"/>
      <c r="AJ1472" s="1117"/>
      <c r="AK1472" s="1118"/>
      <c r="AL1472" s="1115"/>
      <c r="AM1472" s="1115"/>
      <c r="AN1472" s="1115"/>
      <c r="AO1472" s="1115"/>
      <c r="AP1472" s="1115"/>
      <c r="AQ1472" s="1115"/>
      <c r="AR1472" s="1115"/>
      <c r="AS1472" s="1117"/>
      <c r="AT1472" s="1075" t="s">
        <v>182</v>
      </c>
      <c r="AU1472" s="1078" t="s">
        <v>845</v>
      </c>
      <c r="AV1472" s="330">
        <f>SQRT(($R1472-Infrastructure!J$3)^2+($S1472-Infrastructure!K$3)^2)</f>
        <v>19.66977377</v>
      </c>
      <c r="AW1472" s="331">
        <f>SQRT(($R1472-Infrastructure!J$4)^2+($S1472-Infrastructure!K$4)^2)</f>
        <v>25.40728242</v>
      </c>
      <c r="AX1472" s="331">
        <f>SQRT(($R1472-Infrastructure!J$5)^2+($S1472-Infrastructure!K$5)^2)</f>
        <v>35.26613106</v>
      </c>
      <c r="AY1472" s="331">
        <f>SQRT(($R1472-Infrastructure!J$6)^2+($S1472-Infrastructure!K$6)^2)</f>
        <v>35.67884527</v>
      </c>
      <c r="AZ1472" s="331">
        <f>SQRT(($R1472-Infrastructure!J$7)^2+($S1472-Infrastructure!K$7)^2)</f>
        <v>34.76348659</v>
      </c>
      <c r="BA1472" s="331">
        <f>SQRT(($R1472-Infrastructure!J$8)^2+($S1472-Infrastructure!K$8)^2)</f>
        <v>36.61939377</v>
      </c>
      <c r="BB1472" s="331">
        <f>SQRT(($R1472-Infrastructure!J$9)^2+($S1472-Infrastructure!K$9)^2)</f>
        <v>36.88590517</v>
      </c>
      <c r="BC1472" s="331">
        <f>SQRT(($R1472-Infrastructure!J$10)^2+($S1472-Infrastructure!K$10)^2)</f>
        <v>29.43739119</v>
      </c>
      <c r="BD1472" s="331">
        <f>SQRT(($R1472-Infrastructure!J$11)^2+($S1472-Infrastructure!K$11)^2)</f>
        <v>22.61061698</v>
      </c>
      <c r="BE1472" s="333">
        <f>SQRT(($R1472-Infrastructure!J$12)^2+($S1472-Infrastructure!K$12)^2)</f>
        <v>20.73306538</v>
      </c>
      <c r="BF1472" s="330">
        <f t="shared" si="161"/>
        <v>19.66977377</v>
      </c>
      <c r="BG1472" s="333">
        <f t="shared" si="162"/>
        <v>36.88590517</v>
      </c>
      <c r="BH1472" s="1119"/>
      <c r="BI1472" s="319"/>
      <c r="BJ1472" s="319"/>
      <c r="BK1472" s="319"/>
      <c r="BL1472" s="319"/>
      <c r="BM1472" s="955"/>
      <c r="BN1472" s="319"/>
      <c r="BO1472" s="319"/>
      <c r="BP1472" s="953"/>
      <c r="BQ1472" s="319"/>
      <c r="BR1472" s="324"/>
      <c r="BS1472" s="330">
        <f t="shared" si="169"/>
        <v>0</v>
      </c>
      <c r="BT1472" s="331">
        <f t="shared" si="170"/>
        <v>0</v>
      </c>
      <c r="BU1472" s="920"/>
      <c r="BV1472" s="903">
        <f t="shared" si="171"/>
        <v>-0.6900462963</v>
      </c>
      <c r="BW1472" s="907"/>
      <c r="BX1472" s="908"/>
      <c r="BY1472" s="331" t="b">
        <f t="shared" si="166"/>
        <v>0</v>
      </c>
      <c r="BZ1472" s="340"/>
      <c r="CA1472" s="316"/>
      <c r="CB1472" s="318"/>
      <c r="CC1472" s="318"/>
      <c r="CD1472" s="318"/>
      <c r="CE1472" s="318"/>
      <c r="CF1472" s="318"/>
      <c r="CG1472" s="318"/>
      <c r="CH1472" s="318"/>
      <c r="CI1472" s="318"/>
      <c r="CJ1472" s="463"/>
      <c r="CK1472" s="342"/>
      <c r="CL1472" s="333"/>
      <c r="CM1472" s="1079"/>
      <c r="CN1472" s="1005"/>
      <c r="CO1472" s="1005"/>
      <c r="CP1472" s="1005"/>
    </row>
    <row r="1473">
      <c r="B1473" s="1106" t="s">
        <v>1561</v>
      </c>
      <c r="C1473" s="1107">
        <v>44749.0</v>
      </c>
      <c r="D1473" s="103"/>
      <c r="E1473" s="1108">
        <v>1.0</v>
      </c>
      <c r="F1473" s="110" t="s">
        <v>2164</v>
      </c>
      <c r="G1473" s="1109">
        <v>0.38535879629629627</v>
      </c>
      <c r="H1473" s="1110">
        <v>0.38570601851851855</v>
      </c>
      <c r="I1473" s="1110"/>
      <c r="J1473" s="1111"/>
      <c r="K1473" s="1111">
        <v>0.3986689814814815</v>
      </c>
      <c r="L1473" s="1112">
        <v>0.012962962962962963</v>
      </c>
      <c r="M1473" s="1113" t="s">
        <v>166</v>
      </c>
      <c r="N1473" s="110" t="s">
        <v>188</v>
      </c>
      <c r="O1473" s="1114" t="s">
        <v>378</v>
      </c>
      <c r="P1473" s="1156" t="s">
        <v>276</v>
      </c>
      <c r="Q1473" s="1116"/>
      <c r="R1473" s="120">
        <v>18.4</v>
      </c>
      <c r="S1473" s="1113">
        <v>35.0</v>
      </c>
      <c r="T1473" s="110">
        <v>6.15</v>
      </c>
      <c r="U1473" s="1108">
        <v>0.8</v>
      </c>
      <c r="V1473" s="1108"/>
      <c r="W1473" s="1108"/>
      <c r="X1473" s="1108"/>
      <c r="Y1473" s="1108"/>
      <c r="Z1473" s="1114" t="s">
        <v>1221</v>
      </c>
      <c r="AA1473" s="1114"/>
      <c r="AB1473" s="1171" t="s">
        <v>329</v>
      </c>
      <c r="AC1473" s="1117">
        <v>1.5</v>
      </c>
      <c r="AD1473" s="1115"/>
      <c r="AE1473" s="1115"/>
      <c r="AF1473" s="1115"/>
      <c r="AG1473" s="1115"/>
      <c r="AH1473" s="1115"/>
      <c r="AI1473" s="1115"/>
      <c r="AJ1473" s="1117"/>
      <c r="AK1473" s="1118"/>
      <c r="AL1473" s="1115"/>
      <c r="AM1473" s="1115"/>
      <c r="AN1473" s="1115"/>
      <c r="AO1473" s="1115"/>
      <c r="AP1473" s="1115"/>
      <c r="AQ1473" s="1115"/>
      <c r="AR1473" s="1115"/>
      <c r="AS1473" s="1117"/>
      <c r="AT1473" s="1075" t="s">
        <v>181</v>
      </c>
      <c r="AU1473" s="1078" t="s">
        <v>845</v>
      </c>
      <c r="AV1473" s="330">
        <f>SQRT(($R1473-Infrastructure!J$3)^2+($S1473-Infrastructure!K$3)^2)</f>
        <v>19.66977377</v>
      </c>
      <c r="AW1473" s="331">
        <f>SQRT(($R1473-Infrastructure!J$4)^2+($S1473-Infrastructure!K$4)^2)</f>
        <v>25.40728242</v>
      </c>
      <c r="AX1473" s="331">
        <f>SQRT(($R1473-Infrastructure!J$5)^2+($S1473-Infrastructure!K$5)^2)</f>
        <v>35.26613106</v>
      </c>
      <c r="AY1473" s="331">
        <f>SQRT(($R1473-Infrastructure!J$6)^2+($S1473-Infrastructure!K$6)^2)</f>
        <v>35.67884527</v>
      </c>
      <c r="AZ1473" s="331">
        <f>SQRT(($R1473-Infrastructure!J$7)^2+($S1473-Infrastructure!K$7)^2)</f>
        <v>34.76348659</v>
      </c>
      <c r="BA1473" s="331">
        <f>SQRT(($R1473-Infrastructure!J$8)^2+($S1473-Infrastructure!K$8)^2)</f>
        <v>36.61939377</v>
      </c>
      <c r="BB1473" s="331">
        <f>SQRT(($R1473-Infrastructure!J$9)^2+($S1473-Infrastructure!K$9)^2)</f>
        <v>36.88590517</v>
      </c>
      <c r="BC1473" s="331">
        <f>SQRT(($R1473-Infrastructure!J$10)^2+($S1473-Infrastructure!K$10)^2)</f>
        <v>29.43739119</v>
      </c>
      <c r="BD1473" s="331">
        <f>SQRT(($R1473-Infrastructure!J$11)^2+($S1473-Infrastructure!K$11)^2)</f>
        <v>22.61061698</v>
      </c>
      <c r="BE1473" s="333">
        <f>SQRT(($R1473-Infrastructure!J$12)^2+($S1473-Infrastructure!K$12)^2)</f>
        <v>20.73306538</v>
      </c>
      <c r="BF1473" s="330">
        <f t="shared" si="161"/>
        <v>19.66977377</v>
      </c>
      <c r="BG1473" s="333">
        <f t="shared" si="162"/>
        <v>36.88590517</v>
      </c>
      <c r="BH1473" s="1119"/>
      <c r="BI1473" s="319" t="s">
        <v>846</v>
      </c>
      <c r="BJ1473" s="319" t="s">
        <v>846</v>
      </c>
      <c r="BK1473" s="319"/>
      <c r="BL1473" s="319"/>
      <c r="BM1473" s="955"/>
      <c r="BN1473" s="319"/>
      <c r="BO1473" s="319"/>
      <c r="BP1473" s="953"/>
      <c r="BQ1473" s="319" t="s">
        <v>846</v>
      </c>
      <c r="BR1473" s="324" t="s">
        <v>846</v>
      </c>
      <c r="BS1473" s="330">
        <f t="shared" si="169"/>
        <v>19.66977377</v>
      </c>
      <c r="BT1473" s="331">
        <f t="shared" si="170"/>
        <v>25.40728242</v>
      </c>
      <c r="BU1473" s="920"/>
      <c r="BV1473" s="903">
        <f t="shared" si="171"/>
        <v>-0.3853587963</v>
      </c>
      <c r="BW1473" s="907"/>
      <c r="BX1473" s="908"/>
      <c r="BY1473" s="331" t="b">
        <f t="shared" si="166"/>
        <v>0</v>
      </c>
      <c r="BZ1473" s="340"/>
      <c r="CA1473" s="316"/>
      <c r="CB1473" s="318"/>
      <c r="CC1473" s="318"/>
      <c r="CD1473" s="318"/>
      <c r="CE1473" s="318"/>
      <c r="CF1473" s="318"/>
      <c r="CG1473" s="318"/>
      <c r="CH1473" s="318"/>
      <c r="CI1473" s="318"/>
      <c r="CJ1473" s="463"/>
      <c r="CK1473" s="342"/>
      <c r="CL1473" s="333"/>
      <c r="CM1473" s="1079"/>
      <c r="CN1473" s="1005"/>
      <c r="CO1473" s="1005"/>
      <c r="CP1473" s="1005"/>
    </row>
    <row r="1474">
      <c r="B1474" s="1106" t="s">
        <v>1561</v>
      </c>
      <c r="C1474" s="1107">
        <v>44749.0</v>
      </c>
      <c r="D1474" s="103"/>
      <c r="E1474" s="1108">
        <v>2.0</v>
      </c>
      <c r="F1474" s="110" t="s">
        <v>2165</v>
      </c>
      <c r="G1474" s="1109">
        <v>0.4029513888888889</v>
      </c>
      <c r="H1474" s="1110">
        <v>0.4037615740740741</v>
      </c>
      <c r="I1474" s="1110"/>
      <c r="J1474" s="1111"/>
      <c r="K1474" s="1111">
        <v>0.4263310185185185</v>
      </c>
      <c r="L1474" s="1112">
        <v>0.022569444444444444</v>
      </c>
      <c r="M1474" s="1113" t="s">
        <v>166</v>
      </c>
      <c r="N1474" s="110" t="s">
        <v>188</v>
      </c>
      <c r="O1474" s="1114" t="s">
        <v>378</v>
      </c>
      <c r="P1474" s="1156" t="s">
        <v>276</v>
      </c>
      <c r="Q1474" s="1116"/>
      <c r="R1474" s="120">
        <v>18.4</v>
      </c>
      <c r="S1474" s="1113">
        <v>35.0</v>
      </c>
      <c r="T1474" s="110">
        <v>6.15</v>
      </c>
      <c r="U1474" s="1108">
        <v>0.6</v>
      </c>
      <c r="V1474" s="1108"/>
      <c r="W1474" s="1108"/>
      <c r="X1474" s="1108"/>
      <c r="Y1474" s="1108"/>
      <c r="Z1474" s="1114" t="s">
        <v>1221</v>
      </c>
      <c r="AA1474" s="1114"/>
      <c r="AB1474" s="1171" t="s">
        <v>329</v>
      </c>
      <c r="AC1474" s="1117">
        <v>1.5</v>
      </c>
      <c r="AD1474" s="1115"/>
      <c r="AE1474" s="1115"/>
      <c r="AF1474" s="1115"/>
      <c r="AG1474" s="1115"/>
      <c r="AH1474" s="1115"/>
      <c r="AI1474" s="1115"/>
      <c r="AJ1474" s="1117"/>
      <c r="AK1474" s="1118"/>
      <c r="AL1474" s="1115"/>
      <c r="AM1474" s="1115"/>
      <c r="AN1474" s="1115"/>
      <c r="AO1474" s="1115"/>
      <c r="AP1474" s="1115"/>
      <c r="AQ1474" s="1115"/>
      <c r="AR1474" s="1115"/>
      <c r="AS1474" s="1117"/>
      <c r="AT1474" s="1075" t="s">
        <v>181</v>
      </c>
      <c r="AU1474" s="1078" t="s">
        <v>845</v>
      </c>
      <c r="AV1474" s="330">
        <f>SQRT(($R1474-Infrastructure!J$3)^2+($S1474-Infrastructure!K$3)^2)</f>
        <v>19.66977377</v>
      </c>
      <c r="AW1474" s="331">
        <f>SQRT(($R1474-Infrastructure!J$4)^2+($S1474-Infrastructure!K$4)^2)</f>
        <v>25.40728242</v>
      </c>
      <c r="AX1474" s="331">
        <f>SQRT(($R1474-Infrastructure!J$5)^2+($S1474-Infrastructure!K$5)^2)</f>
        <v>35.26613106</v>
      </c>
      <c r="AY1474" s="331">
        <f>SQRT(($R1474-Infrastructure!J$6)^2+($S1474-Infrastructure!K$6)^2)</f>
        <v>35.67884527</v>
      </c>
      <c r="AZ1474" s="331">
        <f>SQRT(($R1474-Infrastructure!J$7)^2+($S1474-Infrastructure!K$7)^2)</f>
        <v>34.76348659</v>
      </c>
      <c r="BA1474" s="331">
        <f>SQRT(($R1474-Infrastructure!J$8)^2+($S1474-Infrastructure!K$8)^2)</f>
        <v>36.61939377</v>
      </c>
      <c r="BB1474" s="331">
        <f>SQRT(($R1474-Infrastructure!J$9)^2+($S1474-Infrastructure!K$9)^2)</f>
        <v>36.88590517</v>
      </c>
      <c r="BC1474" s="331">
        <f>SQRT(($R1474-Infrastructure!J$10)^2+($S1474-Infrastructure!K$10)^2)</f>
        <v>29.43739119</v>
      </c>
      <c r="BD1474" s="331">
        <f>SQRT(($R1474-Infrastructure!J$11)^2+($S1474-Infrastructure!K$11)^2)</f>
        <v>22.61061698</v>
      </c>
      <c r="BE1474" s="333">
        <f>SQRT(($R1474-Infrastructure!J$12)^2+($S1474-Infrastructure!K$12)^2)</f>
        <v>20.73306538</v>
      </c>
      <c r="BF1474" s="330">
        <f t="shared" si="161"/>
        <v>19.66977377</v>
      </c>
      <c r="BG1474" s="333">
        <f t="shared" si="162"/>
        <v>36.88590517</v>
      </c>
      <c r="BH1474" s="1119"/>
      <c r="BI1474" s="319"/>
      <c r="BJ1474" s="319"/>
      <c r="BK1474" s="319"/>
      <c r="BL1474" s="319"/>
      <c r="BM1474" s="955"/>
      <c r="BN1474" s="319"/>
      <c r="BO1474" s="319"/>
      <c r="BP1474" s="953"/>
      <c r="BQ1474" s="319"/>
      <c r="BR1474" s="324"/>
      <c r="BS1474" s="330">
        <f t="shared" si="169"/>
        <v>0</v>
      </c>
      <c r="BT1474" s="331">
        <f t="shared" si="170"/>
        <v>0</v>
      </c>
      <c r="BU1474" s="920"/>
      <c r="BV1474" s="903">
        <f t="shared" si="171"/>
        <v>-0.4029513889</v>
      </c>
      <c r="BW1474" s="907"/>
      <c r="BX1474" s="908"/>
      <c r="BY1474" s="331" t="b">
        <f t="shared" si="166"/>
        <v>0</v>
      </c>
      <c r="BZ1474" s="340"/>
      <c r="CA1474" s="316"/>
      <c r="CB1474" s="318"/>
      <c r="CC1474" s="318"/>
      <c r="CD1474" s="318"/>
      <c r="CE1474" s="318"/>
      <c r="CF1474" s="318"/>
      <c r="CG1474" s="318"/>
      <c r="CH1474" s="318"/>
      <c r="CI1474" s="318"/>
      <c r="CJ1474" s="463"/>
      <c r="CK1474" s="342"/>
      <c r="CL1474" s="333"/>
      <c r="CM1474" s="1079"/>
      <c r="CN1474" s="1005"/>
      <c r="CO1474" s="1005"/>
      <c r="CP1474" s="1005"/>
    </row>
    <row r="1475">
      <c r="B1475" s="1106" t="s">
        <v>1561</v>
      </c>
      <c r="C1475" s="1107">
        <v>44749.0</v>
      </c>
      <c r="D1475" s="103"/>
      <c r="E1475" s="1108">
        <v>3.0</v>
      </c>
      <c r="F1475" s="112" t="s">
        <v>2166</v>
      </c>
      <c r="G1475" s="1109">
        <v>0.4330439814814815</v>
      </c>
      <c r="H1475" s="1110">
        <v>0.43344907407407407</v>
      </c>
      <c r="I1475" s="1110"/>
      <c r="J1475" s="1111"/>
      <c r="K1475" s="1111">
        <v>0.4470486111111111</v>
      </c>
      <c r="L1475" s="1112">
        <v>0.013599537037037037</v>
      </c>
      <c r="M1475" s="1113" t="s">
        <v>166</v>
      </c>
      <c r="N1475" s="110" t="s">
        <v>188</v>
      </c>
      <c r="O1475" s="1114" t="s">
        <v>378</v>
      </c>
      <c r="P1475" s="1156" t="s">
        <v>276</v>
      </c>
      <c r="Q1475" s="1116"/>
      <c r="R1475" s="120">
        <v>18.4</v>
      </c>
      <c r="S1475" s="1113">
        <v>35.0</v>
      </c>
      <c r="T1475" s="110">
        <v>6.15</v>
      </c>
      <c r="U1475" s="1108">
        <v>0.3</v>
      </c>
      <c r="V1475" s="1108"/>
      <c r="W1475" s="1108"/>
      <c r="X1475" s="1108"/>
      <c r="Y1475" s="1108"/>
      <c r="Z1475" s="1114" t="s">
        <v>1221</v>
      </c>
      <c r="AA1475" s="1114"/>
      <c r="AB1475" s="1171" t="s">
        <v>329</v>
      </c>
      <c r="AC1475" s="1117">
        <v>1.5</v>
      </c>
      <c r="AD1475" s="1115"/>
      <c r="AE1475" s="1115"/>
      <c r="AF1475" s="1115"/>
      <c r="AG1475" s="1115"/>
      <c r="AH1475" s="1115"/>
      <c r="AI1475" s="1115"/>
      <c r="AJ1475" s="1117"/>
      <c r="AK1475" s="1118"/>
      <c r="AL1475" s="1115"/>
      <c r="AM1475" s="1115"/>
      <c r="AN1475" s="1115"/>
      <c r="AO1475" s="1115"/>
      <c r="AP1475" s="1115"/>
      <c r="AQ1475" s="1115"/>
      <c r="AR1475" s="1115"/>
      <c r="AS1475" s="1117"/>
      <c r="AT1475" s="1075" t="s">
        <v>181</v>
      </c>
      <c r="AU1475" s="1078" t="s">
        <v>845</v>
      </c>
      <c r="AV1475" s="330">
        <f>SQRT(($R1475-Infrastructure!J$3)^2+($S1475-Infrastructure!K$3)^2)</f>
        <v>19.66977377</v>
      </c>
      <c r="AW1475" s="331">
        <f>SQRT(($R1475-Infrastructure!J$4)^2+($S1475-Infrastructure!K$4)^2)</f>
        <v>25.40728242</v>
      </c>
      <c r="AX1475" s="331">
        <f>SQRT(($R1475-Infrastructure!J$5)^2+($S1475-Infrastructure!K$5)^2)</f>
        <v>35.26613106</v>
      </c>
      <c r="AY1475" s="331">
        <f>SQRT(($R1475-Infrastructure!J$6)^2+($S1475-Infrastructure!K$6)^2)</f>
        <v>35.67884527</v>
      </c>
      <c r="AZ1475" s="331">
        <f>SQRT(($R1475-Infrastructure!J$7)^2+($S1475-Infrastructure!K$7)^2)</f>
        <v>34.76348659</v>
      </c>
      <c r="BA1475" s="331">
        <f>SQRT(($R1475-Infrastructure!J$8)^2+($S1475-Infrastructure!K$8)^2)</f>
        <v>36.61939377</v>
      </c>
      <c r="BB1475" s="331">
        <f>SQRT(($R1475-Infrastructure!J$9)^2+($S1475-Infrastructure!K$9)^2)</f>
        <v>36.88590517</v>
      </c>
      <c r="BC1475" s="331">
        <f>SQRT(($R1475-Infrastructure!J$10)^2+($S1475-Infrastructure!K$10)^2)</f>
        <v>29.43739119</v>
      </c>
      <c r="BD1475" s="331">
        <f>SQRT(($R1475-Infrastructure!J$11)^2+($S1475-Infrastructure!K$11)^2)</f>
        <v>22.61061698</v>
      </c>
      <c r="BE1475" s="333">
        <f>SQRT(($R1475-Infrastructure!J$12)^2+($S1475-Infrastructure!K$12)^2)</f>
        <v>20.73306538</v>
      </c>
      <c r="BF1475" s="330">
        <f t="shared" si="161"/>
        <v>19.66977377</v>
      </c>
      <c r="BG1475" s="333">
        <f t="shared" si="162"/>
        <v>36.88590517</v>
      </c>
      <c r="BH1475" s="1119"/>
      <c r="BI1475" s="319"/>
      <c r="BJ1475" s="319"/>
      <c r="BK1475" s="319"/>
      <c r="BL1475" s="319"/>
      <c r="BM1475" s="955"/>
      <c r="BN1475" s="319"/>
      <c r="BO1475" s="319"/>
      <c r="BP1475" s="953"/>
      <c r="BQ1475" s="319"/>
      <c r="BR1475" s="324"/>
      <c r="BS1475" s="330">
        <f t="shared" si="169"/>
        <v>0</v>
      </c>
      <c r="BT1475" s="331">
        <f t="shared" si="170"/>
        <v>0</v>
      </c>
      <c r="BU1475" s="920"/>
      <c r="BV1475" s="903">
        <f t="shared" si="171"/>
        <v>-0.4330439815</v>
      </c>
      <c r="BW1475" s="907"/>
      <c r="BX1475" s="908"/>
      <c r="BY1475" s="331" t="b">
        <f t="shared" si="166"/>
        <v>0</v>
      </c>
      <c r="BZ1475" s="340"/>
      <c r="CA1475" s="316"/>
      <c r="CB1475" s="318"/>
      <c r="CC1475" s="318"/>
      <c r="CD1475" s="318"/>
      <c r="CE1475" s="318"/>
      <c r="CF1475" s="318"/>
      <c r="CG1475" s="318"/>
      <c r="CH1475" s="318"/>
      <c r="CI1475" s="318"/>
      <c r="CJ1475" s="463"/>
      <c r="CK1475" s="342"/>
      <c r="CL1475" s="333"/>
      <c r="CM1475" s="1079"/>
      <c r="CN1475" s="1005"/>
      <c r="CO1475" s="1005"/>
      <c r="CP1475" s="1005"/>
    </row>
    <row r="1476">
      <c r="B1476" s="1106" t="s">
        <v>1561</v>
      </c>
      <c r="C1476" s="1107">
        <v>44749.0</v>
      </c>
      <c r="D1476" s="1165"/>
      <c r="E1476" s="1108">
        <v>4.0</v>
      </c>
      <c r="F1476" s="112" t="s">
        <v>2167</v>
      </c>
      <c r="G1476" s="1151">
        <v>0.4509606481481481</v>
      </c>
      <c r="H1476" s="1152">
        <v>0.4513888888888889</v>
      </c>
      <c r="I1476" s="1152"/>
      <c r="J1476" s="1153"/>
      <c r="K1476" s="1153">
        <v>0.4707175925925926</v>
      </c>
      <c r="L1476" s="1112">
        <v>0.019328703703703702</v>
      </c>
      <c r="M1476" s="1113" t="s">
        <v>166</v>
      </c>
      <c r="N1476" s="110" t="s">
        <v>188</v>
      </c>
      <c r="O1476" s="1114" t="s">
        <v>378</v>
      </c>
      <c r="P1476" s="1156" t="s">
        <v>276</v>
      </c>
      <c r="Q1476" s="1116"/>
      <c r="R1476" s="120">
        <v>18.4</v>
      </c>
      <c r="S1476" s="1113">
        <v>35.0</v>
      </c>
      <c r="T1476" s="110">
        <v>6.15</v>
      </c>
      <c r="U1476" s="1108">
        <v>1.1</v>
      </c>
      <c r="V1476" s="1108"/>
      <c r="W1476" s="1108"/>
      <c r="X1476" s="1108"/>
      <c r="Y1476" s="1108"/>
      <c r="Z1476" s="1114" t="s">
        <v>1221</v>
      </c>
      <c r="AA1476" s="1114"/>
      <c r="AB1476" s="1171" t="s">
        <v>333</v>
      </c>
      <c r="AC1476" s="1117">
        <v>2.0</v>
      </c>
      <c r="AD1476" s="1115"/>
      <c r="AE1476" s="1115"/>
      <c r="AF1476" s="1115"/>
      <c r="AG1476" s="1115"/>
      <c r="AH1476" s="1115"/>
      <c r="AI1476" s="1115"/>
      <c r="AJ1476" s="1117"/>
      <c r="AK1476" s="1118"/>
      <c r="AL1476" s="1115"/>
      <c r="AM1476" s="1115"/>
      <c r="AN1476" s="1115"/>
      <c r="AO1476" s="1115"/>
      <c r="AP1476" s="1115"/>
      <c r="AQ1476" s="1115"/>
      <c r="AR1476" s="1115"/>
      <c r="AS1476" s="1117"/>
      <c r="AT1476" s="1075" t="s">
        <v>182</v>
      </c>
      <c r="AU1476" s="1078" t="s">
        <v>845</v>
      </c>
      <c r="AV1476" s="330">
        <f>SQRT(($R1476-Infrastructure!J$3)^2+($S1476-Infrastructure!K$3)^2)</f>
        <v>19.66977377</v>
      </c>
      <c r="AW1476" s="331">
        <f>SQRT(($R1476-Infrastructure!J$4)^2+($S1476-Infrastructure!K$4)^2)</f>
        <v>25.40728242</v>
      </c>
      <c r="AX1476" s="331">
        <f>SQRT(($R1476-Infrastructure!J$5)^2+($S1476-Infrastructure!K$5)^2)</f>
        <v>35.26613106</v>
      </c>
      <c r="AY1476" s="331">
        <f>SQRT(($R1476-Infrastructure!J$6)^2+($S1476-Infrastructure!K$6)^2)</f>
        <v>35.67884527</v>
      </c>
      <c r="AZ1476" s="331">
        <f>SQRT(($R1476-Infrastructure!J$7)^2+($S1476-Infrastructure!K$7)^2)</f>
        <v>34.76348659</v>
      </c>
      <c r="BA1476" s="331">
        <f>SQRT(($R1476-Infrastructure!J$8)^2+($S1476-Infrastructure!K$8)^2)</f>
        <v>36.61939377</v>
      </c>
      <c r="BB1476" s="331">
        <f>SQRT(($R1476-Infrastructure!J$9)^2+($S1476-Infrastructure!K$9)^2)</f>
        <v>36.88590517</v>
      </c>
      <c r="BC1476" s="331">
        <f>SQRT(($R1476-Infrastructure!J$10)^2+($S1476-Infrastructure!K$10)^2)</f>
        <v>29.43739119</v>
      </c>
      <c r="BD1476" s="331">
        <f>SQRT(($R1476-Infrastructure!J$11)^2+($S1476-Infrastructure!K$11)^2)</f>
        <v>22.61061698</v>
      </c>
      <c r="BE1476" s="333">
        <f>SQRT(($R1476-Infrastructure!J$12)^2+($S1476-Infrastructure!K$12)^2)</f>
        <v>20.73306538</v>
      </c>
      <c r="BF1476" s="330">
        <f t="shared" si="161"/>
        <v>19.66977377</v>
      </c>
      <c r="BG1476" s="333">
        <f t="shared" si="162"/>
        <v>36.88590517</v>
      </c>
      <c r="BH1476" s="1119"/>
      <c r="BI1476" s="319" t="s">
        <v>846</v>
      </c>
      <c r="BJ1476" s="319"/>
      <c r="BK1476" s="319"/>
      <c r="BL1476" s="319"/>
      <c r="BM1476" s="955"/>
      <c r="BN1476" s="319" t="s">
        <v>846</v>
      </c>
      <c r="BO1476" s="319"/>
      <c r="BP1476" s="953"/>
      <c r="BQ1476" s="319" t="s">
        <v>846</v>
      </c>
      <c r="BR1476" s="324" t="s">
        <v>846</v>
      </c>
      <c r="BS1476" s="330">
        <f t="shared" si="169"/>
        <v>19.66977377</v>
      </c>
      <c r="BT1476" s="331">
        <f t="shared" si="170"/>
        <v>36.61939377</v>
      </c>
      <c r="BU1476" s="920"/>
      <c r="BV1476" s="903">
        <f t="shared" si="171"/>
        <v>-0.4509606481</v>
      </c>
      <c r="BW1476" s="907"/>
      <c r="BX1476" s="908"/>
      <c r="BY1476" s="331" t="b">
        <f t="shared" si="166"/>
        <v>0</v>
      </c>
      <c r="BZ1476" s="340"/>
      <c r="CA1476" s="316"/>
      <c r="CB1476" s="318"/>
      <c r="CC1476" s="318"/>
      <c r="CD1476" s="318"/>
      <c r="CE1476" s="318"/>
      <c r="CF1476" s="318"/>
      <c r="CG1476" s="318"/>
      <c r="CH1476" s="318"/>
      <c r="CI1476" s="318"/>
      <c r="CJ1476" s="463"/>
      <c r="CK1476" s="342"/>
      <c r="CL1476" s="333"/>
      <c r="CM1476" s="1079"/>
      <c r="CN1476" s="1005"/>
      <c r="CO1476" s="1005"/>
      <c r="CP1476" s="1005"/>
    </row>
    <row r="1477">
      <c r="B1477" s="1106" t="s">
        <v>1561</v>
      </c>
      <c r="C1477" s="1107">
        <v>44749.0</v>
      </c>
      <c r="D1477" s="1165"/>
      <c r="E1477" s="1108" t="s">
        <v>1470</v>
      </c>
      <c r="F1477" s="112" t="s">
        <v>2168</v>
      </c>
      <c r="G1477" s="1151">
        <v>0.4765625</v>
      </c>
      <c r="H1477" s="1152">
        <v>0.4769097222222222</v>
      </c>
      <c r="I1477" s="1152"/>
      <c r="J1477" s="1153"/>
      <c r="K1477" s="1153">
        <v>0.4788773148148148</v>
      </c>
      <c r="L1477" s="1112">
        <v>0.0019675925925925924</v>
      </c>
      <c r="M1477" s="1113" t="s">
        <v>166</v>
      </c>
      <c r="N1477" s="110" t="s">
        <v>188</v>
      </c>
      <c r="O1477" s="1114" t="s">
        <v>378</v>
      </c>
      <c r="P1477" s="1156" t="s">
        <v>276</v>
      </c>
      <c r="Q1477" s="1116"/>
      <c r="R1477" s="120">
        <v>18.4</v>
      </c>
      <c r="S1477" s="1113">
        <v>35.0</v>
      </c>
      <c r="T1477" s="110">
        <v>6.15</v>
      </c>
      <c r="U1477" s="1108">
        <v>1.1</v>
      </c>
      <c r="V1477" s="1108"/>
      <c r="W1477" s="1108"/>
      <c r="X1477" s="1108"/>
      <c r="Y1477" s="1108"/>
      <c r="Z1477" s="1114" t="s">
        <v>1221</v>
      </c>
      <c r="AA1477" s="1114"/>
      <c r="AB1477" s="1171" t="s">
        <v>333</v>
      </c>
      <c r="AC1477" s="1117">
        <v>2.0</v>
      </c>
      <c r="AD1477" s="1115"/>
      <c r="AE1477" s="1115"/>
      <c r="AF1477" s="1115"/>
      <c r="AG1477" s="1115"/>
      <c r="AH1477" s="1115"/>
      <c r="AI1477" s="1115"/>
      <c r="AJ1477" s="1117"/>
      <c r="AK1477" s="1118"/>
      <c r="AL1477" s="1115"/>
      <c r="AM1477" s="1115"/>
      <c r="AN1477" s="1115"/>
      <c r="AO1477" s="1115"/>
      <c r="AP1477" s="1115"/>
      <c r="AQ1477" s="1115"/>
      <c r="AR1477" s="1115"/>
      <c r="AS1477" s="1117"/>
      <c r="AT1477" s="1075" t="s">
        <v>182</v>
      </c>
      <c r="AU1477" s="1078" t="s">
        <v>845</v>
      </c>
      <c r="AV1477" s="330">
        <f>SQRT(($R1477-Infrastructure!J$3)^2+($S1477-Infrastructure!K$3)^2)</f>
        <v>19.66977377</v>
      </c>
      <c r="AW1477" s="331">
        <f>SQRT(($R1477-Infrastructure!J$4)^2+($S1477-Infrastructure!K$4)^2)</f>
        <v>25.40728242</v>
      </c>
      <c r="AX1477" s="331">
        <f>SQRT(($R1477-Infrastructure!J$5)^2+($S1477-Infrastructure!K$5)^2)</f>
        <v>35.26613106</v>
      </c>
      <c r="AY1477" s="331">
        <f>SQRT(($R1477-Infrastructure!J$6)^2+($S1477-Infrastructure!K$6)^2)</f>
        <v>35.67884527</v>
      </c>
      <c r="AZ1477" s="331">
        <f>SQRT(($R1477-Infrastructure!J$7)^2+($S1477-Infrastructure!K$7)^2)</f>
        <v>34.76348659</v>
      </c>
      <c r="BA1477" s="331">
        <f>SQRT(($R1477-Infrastructure!J$8)^2+($S1477-Infrastructure!K$8)^2)</f>
        <v>36.61939377</v>
      </c>
      <c r="BB1477" s="331">
        <f>SQRT(($R1477-Infrastructure!J$9)^2+($S1477-Infrastructure!K$9)^2)</f>
        <v>36.88590517</v>
      </c>
      <c r="BC1477" s="331">
        <f>SQRT(($R1477-Infrastructure!J$10)^2+($S1477-Infrastructure!K$10)^2)</f>
        <v>29.43739119</v>
      </c>
      <c r="BD1477" s="331">
        <f>SQRT(($R1477-Infrastructure!J$11)^2+($S1477-Infrastructure!K$11)^2)</f>
        <v>22.61061698</v>
      </c>
      <c r="BE1477" s="333">
        <f>SQRT(($R1477-Infrastructure!J$12)^2+($S1477-Infrastructure!K$12)^2)</f>
        <v>20.73306538</v>
      </c>
      <c r="BF1477" s="330">
        <f t="shared" si="161"/>
        <v>19.66977377</v>
      </c>
      <c r="BG1477" s="333">
        <f t="shared" si="162"/>
        <v>36.88590517</v>
      </c>
      <c r="BH1477" s="1119"/>
      <c r="BI1477" s="319" t="s">
        <v>846</v>
      </c>
      <c r="BJ1477" s="319"/>
      <c r="BK1477" s="319"/>
      <c r="BL1477" s="319"/>
      <c r="BM1477" s="955"/>
      <c r="BN1477" s="319" t="s">
        <v>846</v>
      </c>
      <c r="BO1477" s="319"/>
      <c r="BP1477" s="953"/>
      <c r="BQ1477" s="319" t="s">
        <v>846</v>
      </c>
      <c r="BR1477" s="324" t="s">
        <v>846</v>
      </c>
      <c r="BS1477" s="330">
        <f t="shared" si="169"/>
        <v>19.66977377</v>
      </c>
      <c r="BT1477" s="331">
        <f t="shared" si="170"/>
        <v>36.61939377</v>
      </c>
      <c r="BU1477" s="920"/>
      <c r="BV1477" s="903">
        <f t="shared" si="171"/>
        <v>-0.4765625</v>
      </c>
      <c r="BW1477" s="907"/>
      <c r="BX1477" s="908"/>
      <c r="BY1477" s="331" t="b">
        <f t="shared" si="166"/>
        <v>0</v>
      </c>
      <c r="BZ1477" s="340"/>
      <c r="CA1477" s="316"/>
      <c r="CB1477" s="318"/>
      <c r="CC1477" s="318"/>
      <c r="CD1477" s="318"/>
      <c r="CE1477" s="318"/>
      <c r="CF1477" s="318"/>
      <c r="CG1477" s="318"/>
      <c r="CH1477" s="318"/>
      <c r="CI1477" s="318"/>
      <c r="CJ1477" s="463"/>
      <c r="CK1477" s="342"/>
      <c r="CL1477" s="333"/>
      <c r="CM1477" s="1079"/>
      <c r="CN1477" s="1005"/>
      <c r="CO1477" s="1005"/>
      <c r="CP1477" s="1005"/>
    </row>
    <row r="1478">
      <c r="B1478" s="1106" t="s">
        <v>1561</v>
      </c>
      <c r="C1478" s="1107">
        <v>44749.0</v>
      </c>
      <c r="D1478" s="103"/>
      <c r="E1478" s="1108" t="s">
        <v>1472</v>
      </c>
      <c r="F1478" s="112" t="s">
        <v>2169</v>
      </c>
      <c r="G1478" s="1109">
        <v>0.4788773148148148</v>
      </c>
      <c r="H1478" s="1110">
        <v>0.4790509259259259</v>
      </c>
      <c r="I1478" s="1110"/>
      <c r="J1478" s="1111"/>
      <c r="K1478" s="1111">
        <v>0.48877314814814815</v>
      </c>
      <c r="L1478" s="1112">
        <v>0.009722222222222222</v>
      </c>
      <c r="M1478" s="1113" t="s">
        <v>166</v>
      </c>
      <c r="N1478" s="110" t="s">
        <v>188</v>
      </c>
      <c r="O1478" s="1114" t="s">
        <v>378</v>
      </c>
      <c r="P1478" s="1156" t="s">
        <v>276</v>
      </c>
      <c r="Q1478" s="1116"/>
      <c r="R1478" s="120">
        <v>18.4</v>
      </c>
      <c r="S1478" s="1113">
        <v>35.0</v>
      </c>
      <c r="T1478" s="110">
        <v>6.15</v>
      </c>
      <c r="U1478" s="1108">
        <v>1.4</v>
      </c>
      <c r="V1478" s="1108"/>
      <c r="W1478" s="1108"/>
      <c r="X1478" s="1108"/>
      <c r="Y1478" s="1108"/>
      <c r="Z1478" s="1114" t="s">
        <v>1221</v>
      </c>
      <c r="AA1478" s="1114"/>
      <c r="AB1478" s="1114" t="s">
        <v>333</v>
      </c>
      <c r="AC1478" s="1117">
        <v>2.0</v>
      </c>
      <c r="AD1478" s="1115"/>
      <c r="AE1478" s="1115"/>
      <c r="AF1478" s="1115"/>
      <c r="AG1478" s="1115"/>
      <c r="AH1478" s="1115"/>
      <c r="AI1478" s="1115"/>
      <c r="AJ1478" s="1117"/>
      <c r="AK1478" s="1118"/>
      <c r="AL1478" s="1115"/>
      <c r="AM1478" s="1115"/>
      <c r="AN1478" s="1115"/>
      <c r="AO1478" s="1115"/>
      <c r="AP1478" s="1115"/>
      <c r="AQ1478" s="1115"/>
      <c r="AR1478" s="1115"/>
      <c r="AS1478" s="1117"/>
      <c r="AT1478" s="1075" t="s">
        <v>182</v>
      </c>
      <c r="AU1478" s="1078" t="s">
        <v>845</v>
      </c>
      <c r="AV1478" s="330">
        <f>SQRT(($R1478-Infrastructure!J$3)^2+($S1478-Infrastructure!K$3)^2)</f>
        <v>19.66977377</v>
      </c>
      <c r="AW1478" s="331">
        <f>SQRT(($R1478-Infrastructure!J$4)^2+($S1478-Infrastructure!K$4)^2)</f>
        <v>25.40728242</v>
      </c>
      <c r="AX1478" s="331">
        <f>SQRT(($R1478-Infrastructure!J$5)^2+($S1478-Infrastructure!K$5)^2)</f>
        <v>35.26613106</v>
      </c>
      <c r="AY1478" s="331">
        <f>SQRT(($R1478-Infrastructure!J$6)^2+($S1478-Infrastructure!K$6)^2)</f>
        <v>35.67884527</v>
      </c>
      <c r="AZ1478" s="331">
        <f>SQRT(($R1478-Infrastructure!J$7)^2+($S1478-Infrastructure!K$7)^2)</f>
        <v>34.76348659</v>
      </c>
      <c r="BA1478" s="331">
        <f>SQRT(($R1478-Infrastructure!J$8)^2+($S1478-Infrastructure!K$8)^2)</f>
        <v>36.61939377</v>
      </c>
      <c r="BB1478" s="331">
        <f>SQRT(($R1478-Infrastructure!J$9)^2+($S1478-Infrastructure!K$9)^2)</f>
        <v>36.88590517</v>
      </c>
      <c r="BC1478" s="331">
        <f>SQRT(($R1478-Infrastructure!J$10)^2+($S1478-Infrastructure!K$10)^2)</f>
        <v>29.43739119</v>
      </c>
      <c r="BD1478" s="331">
        <f>SQRT(($R1478-Infrastructure!J$11)^2+($S1478-Infrastructure!K$11)^2)</f>
        <v>22.61061698</v>
      </c>
      <c r="BE1478" s="333">
        <f>SQRT(($R1478-Infrastructure!J$12)^2+($S1478-Infrastructure!K$12)^2)</f>
        <v>20.73306538</v>
      </c>
      <c r="BF1478" s="330">
        <f t="shared" si="161"/>
        <v>19.66977377</v>
      </c>
      <c r="BG1478" s="333">
        <f t="shared" si="162"/>
        <v>36.88590517</v>
      </c>
      <c r="BH1478" s="1119"/>
      <c r="BI1478" s="319" t="s">
        <v>846</v>
      </c>
      <c r="BJ1478" s="319" t="s">
        <v>846</v>
      </c>
      <c r="BK1478" s="319" t="s">
        <v>846</v>
      </c>
      <c r="BL1478" s="319"/>
      <c r="BM1478" s="955"/>
      <c r="BN1478" s="319" t="s">
        <v>846</v>
      </c>
      <c r="BO1478" s="319"/>
      <c r="BP1478" s="953"/>
      <c r="BQ1478" s="319" t="s">
        <v>846</v>
      </c>
      <c r="BR1478" s="324" t="s">
        <v>846</v>
      </c>
      <c r="BS1478" s="330">
        <f t="shared" si="169"/>
        <v>19.66977377</v>
      </c>
      <c r="BT1478" s="331">
        <f t="shared" si="170"/>
        <v>36.61939377</v>
      </c>
      <c r="BU1478" s="920"/>
      <c r="BV1478" s="903">
        <f t="shared" si="171"/>
        <v>-0.4788773148</v>
      </c>
      <c r="BW1478" s="907"/>
      <c r="BX1478" s="908"/>
      <c r="BY1478" s="331" t="b">
        <f t="shared" si="166"/>
        <v>0</v>
      </c>
      <c r="BZ1478" s="340"/>
      <c r="CA1478" s="316"/>
      <c r="CB1478" s="318"/>
      <c r="CC1478" s="318"/>
      <c r="CD1478" s="318"/>
      <c r="CE1478" s="318"/>
      <c r="CF1478" s="318"/>
      <c r="CG1478" s="318"/>
      <c r="CH1478" s="318"/>
      <c r="CI1478" s="318"/>
      <c r="CJ1478" s="463"/>
      <c r="CK1478" s="342"/>
      <c r="CL1478" s="333"/>
      <c r="CM1478" s="1079"/>
      <c r="CN1478" s="1005"/>
      <c r="CO1478" s="1005"/>
      <c r="CP1478" s="1005"/>
    </row>
    <row r="1479">
      <c r="B1479" s="1106" t="s">
        <v>1561</v>
      </c>
      <c r="C1479" s="1107">
        <v>44749.0</v>
      </c>
      <c r="D1479" s="103"/>
      <c r="E1479" s="1108">
        <v>6.0</v>
      </c>
      <c r="F1479" s="112" t="s">
        <v>2170</v>
      </c>
      <c r="G1479" s="1109">
        <v>0.5034722222222222</v>
      </c>
      <c r="H1479" s="1110">
        <v>0.5040509259259259</v>
      </c>
      <c r="I1479" s="1110"/>
      <c r="J1479" s="1111"/>
      <c r="K1479" s="1111">
        <v>0.5197337962962963</v>
      </c>
      <c r="L1479" s="1112">
        <v>0.01568287037037037</v>
      </c>
      <c r="M1479" s="1113" t="s">
        <v>166</v>
      </c>
      <c r="N1479" s="110" t="s">
        <v>188</v>
      </c>
      <c r="O1479" s="1114" t="s">
        <v>378</v>
      </c>
      <c r="P1479" s="1156" t="s">
        <v>276</v>
      </c>
      <c r="Q1479" s="1116"/>
      <c r="R1479" s="120">
        <v>18.4</v>
      </c>
      <c r="S1479" s="1113">
        <v>35.0</v>
      </c>
      <c r="T1479" s="110">
        <v>6.15</v>
      </c>
      <c r="U1479" s="1108">
        <v>2.2</v>
      </c>
      <c r="V1479" s="1108"/>
      <c r="W1479" s="1108"/>
      <c r="X1479" s="1108"/>
      <c r="Y1479" s="1108"/>
      <c r="Z1479" s="1114" t="s">
        <v>1221</v>
      </c>
      <c r="AA1479" s="1114"/>
      <c r="AB1479" s="1114" t="s">
        <v>337</v>
      </c>
      <c r="AC1479" s="1117">
        <v>2.5</v>
      </c>
      <c r="AD1479" s="1115"/>
      <c r="AE1479" s="1115"/>
      <c r="AF1479" s="1115"/>
      <c r="AG1479" s="1115"/>
      <c r="AH1479" s="1115"/>
      <c r="AI1479" s="1115"/>
      <c r="AJ1479" s="1117"/>
      <c r="AK1479" s="1118"/>
      <c r="AL1479" s="1115"/>
      <c r="AM1479" s="1115"/>
      <c r="AN1479" s="1115"/>
      <c r="AO1479" s="1115"/>
      <c r="AP1479" s="1115"/>
      <c r="AQ1479" s="1115"/>
      <c r="AR1479" s="1115"/>
      <c r="AS1479" s="1117"/>
      <c r="AT1479" s="1075" t="s">
        <v>182</v>
      </c>
      <c r="AU1479" s="1078" t="s">
        <v>845</v>
      </c>
      <c r="AV1479" s="330">
        <f>SQRT(($R1479-Infrastructure!J$3)^2+($S1479-Infrastructure!K$3)^2)</f>
        <v>19.66977377</v>
      </c>
      <c r="AW1479" s="331">
        <f>SQRT(($R1479-Infrastructure!J$4)^2+($S1479-Infrastructure!K$4)^2)</f>
        <v>25.40728242</v>
      </c>
      <c r="AX1479" s="331">
        <f>SQRT(($R1479-Infrastructure!J$5)^2+($S1479-Infrastructure!K$5)^2)</f>
        <v>35.26613106</v>
      </c>
      <c r="AY1479" s="331">
        <f>SQRT(($R1479-Infrastructure!J$6)^2+($S1479-Infrastructure!K$6)^2)</f>
        <v>35.67884527</v>
      </c>
      <c r="AZ1479" s="331">
        <f>SQRT(($R1479-Infrastructure!J$7)^2+($S1479-Infrastructure!K$7)^2)</f>
        <v>34.76348659</v>
      </c>
      <c r="BA1479" s="331">
        <f>SQRT(($R1479-Infrastructure!J$8)^2+($S1479-Infrastructure!K$8)^2)</f>
        <v>36.61939377</v>
      </c>
      <c r="BB1479" s="331">
        <f>SQRT(($R1479-Infrastructure!J$9)^2+($S1479-Infrastructure!K$9)^2)</f>
        <v>36.88590517</v>
      </c>
      <c r="BC1479" s="331">
        <f>SQRT(($R1479-Infrastructure!J$10)^2+($S1479-Infrastructure!K$10)^2)</f>
        <v>29.43739119</v>
      </c>
      <c r="BD1479" s="331">
        <f>SQRT(($R1479-Infrastructure!J$11)^2+($S1479-Infrastructure!K$11)^2)</f>
        <v>22.61061698</v>
      </c>
      <c r="BE1479" s="333">
        <f>SQRT(($R1479-Infrastructure!J$12)^2+($S1479-Infrastructure!K$12)^2)</f>
        <v>20.73306538</v>
      </c>
      <c r="BF1479" s="330">
        <f t="shared" si="161"/>
        <v>19.66977377</v>
      </c>
      <c r="BG1479" s="333">
        <f t="shared" si="162"/>
        <v>36.88590517</v>
      </c>
      <c r="BH1479" s="1119"/>
      <c r="BI1479" s="319" t="s">
        <v>846</v>
      </c>
      <c r="BJ1479" s="319" t="s">
        <v>846</v>
      </c>
      <c r="BK1479" s="319" t="s">
        <v>846</v>
      </c>
      <c r="BL1479" s="319" t="s">
        <v>846</v>
      </c>
      <c r="BM1479" s="955"/>
      <c r="BN1479" s="319" t="s">
        <v>846</v>
      </c>
      <c r="BO1479" s="319"/>
      <c r="BP1479" s="953"/>
      <c r="BQ1479" s="319" t="s">
        <v>846</v>
      </c>
      <c r="BR1479" s="324" t="s">
        <v>846</v>
      </c>
      <c r="BS1479" s="330">
        <f t="shared" si="169"/>
        <v>19.66977377</v>
      </c>
      <c r="BT1479" s="331">
        <f t="shared" si="170"/>
        <v>36.61939377</v>
      </c>
      <c r="BU1479" s="920"/>
      <c r="BV1479" s="903">
        <f t="shared" si="171"/>
        <v>-0.5034722222</v>
      </c>
      <c r="BW1479" s="907"/>
      <c r="BX1479" s="908"/>
      <c r="BY1479" s="331" t="b">
        <f t="shared" si="166"/>
        <v>0</v>
      </c>
      <c r="BZ1479" s="340"/>
      <c r="CA1479" s="316"/>
      <c r="CB1479" s="318"/>
      <c r="CC1479" s="318"/>
      <c r="CD1479" s="318"/>
      <c r="CE1479" s="318"/>
      <c r="CF1479" s="318"/>
      <c r="CG1479" s="318"/>
      <c r="CH1479" s="318"/>
      <c r="CI1479" s="318"/>
      <c r="CJ1479" s="463"/>
      <c r="CK1479" s="342"/>
      <c r="CL1479" s="333"/>
      <c r="CM1479" s="1079"/>
      <c r="CN1479" s="1005"/>
      <c r="CO1479" s="1005"/>
      <c r="CP1479" s="1005"/>
    </row>
    <row r="1480">
      <c r="B1480" s="1106" t="s">
        <v>1561</v>
      </c>
      <c r="C1480" s="1107">
        <v>44749.0</v>
      </c>
      <c r="D1480" s="103"/>
      <c r="E1480" s="1137"/>
      <c r="F1480" s="112" t="s">
        <v>2171</v>
      </c>
      <c r="G1480" s="1109">
        <v>0.6909722222222222</v>
      </c>
      <c r="H1480" s="1138"/>
      <c r="I1480" s="1138"/>
      <c r="J1480" s="1139"/>
      <c r="K1480" s="1111">
        <v>0.7048611111111112</v>
      </c>
      <c r="L1480" s="1112">
        <v>0.013888888888888888</v>
      </c>
      <c r="M1480" s="1113" t="s">
        <v>166</v>
      </c>
      <c r="N1480" s="110" t="s">
        <v>188</v>
      </c>
      <c r="O1480" s="1140"/>
      <c r="P1480" s="1115" t="s">
        <v>292</v>
      </c>
      <c r="Q1480" s="1116"/>
      <c r="R1480" s="1141"/>
      <c r="S1480" s="1142"/>
      <c r="T1480" s="1143"/>
      <c r="U1480" s="1137"/>
      <c r="V1480" s="1137"/>
      <c r="W1480" s="1137"/>
      <c r="X1480" s="1137"/>
      <c r="Y1480" s="1137"/>
      <c r="Z1480" s="1114" t="s">
        <v>323</v>
      </c>
      <c r="AA1480" s="1114"/>
      <c r="AB1480" s="1114" t="s">
        <v>323</v>
      </c>
      <c r="AC1480" s="1117" t="s">
        <v>323</v>
      </c>
      <c r="AD1480" s="1115"/>
      <c r="AE1480" s="1115"/>
      <c r="AF1480" s="1115"/>
      <c r="AG1480" s="1115"/>
      <c r="AH1480" s="1115"/>
      <c r="AI1480" s="1115"/>
      <c r="AJ1480" s="1117"/>
      <c r="AK1480" s="1118"/>
      <c r="AL1480" s="1115"/>
      <c r="AM1480" s="1115"/>
      <c r="AN1480" s="1115"/>
      <c r="AO1480" s="1115"/>
      <c r="AP1480" s="1115"/>
      <c r="AQ1480" s="1115"/>
      <c r="AR1480" s="1115"/>
      <c r="AS1480" s="1117"/>
      <c r="AT1480" s="1075"/>
      <c r="AU1480" s="1078"/>
      <c r="AV1480" s="330">
        <f>SQRT(($R1480-Infrastructure!J$3)^2+($S1480-Infrastructure!K$3)^2)</f>
        <v>28.90155705</v>
      </c>
      <c r="AW1480" s="331">
        <f>SQRT(($R1480-Infrastructure!J$4)^2+($S1480-Infrastructure!K$4)^2)</f>
        <v>17.80252791</v>
      </c>
      <c r="AX1480" s="331">
        <f>SQRT(($R1480-Infrastructure!J$5)^2+($S1480-Infrastructure!K$5)^2)</f>
        <v>5.10881591</v>
      </c>
      <c r="AY1480" s="331">
        <f>SQRT(($R1480-Infrastructure!J$6)^2+($S1480-Infrastructure!K$6)^2)</f>
        <v>10.10445446</v>
      </c>
      <c r="AZ1480" s="331">
        <f>SQRT(($R1480-Infrastructure!J$7)^2+($S1480-Infrastructure!K$7)^2)</f>
        <v>20.502195</v>
      </c>
      <c r="BA1480" s="331">
        <f>SQRT(($R1480-Infrastructure!J$8)^2+($S1480-Infrastructure!K$8)^2)</f>
        <v>30.10149498</v>
      </c>
      <c r="BB1480" s="331">
        <f>SQRT(($R1480-Infrastructure!J$9)^2+($S1480-Infrastructure!K$9)^2)</f>
        <v>40.3238143</v>
      </c>
      <c r="BC1480" s="331">
        <f>SQRT(($R1480-Infrastructure!J$10)^2+($S1480-Infrastructure!K$10)^2)</f>
        <v>42.72001873</v>
      </c>
      <c r="BD1480" s="331">
        <f>SQRT(($R1480-Infrastructure!J$11)^2+($S1480-Infrastructure!K$11)^2)</f>
        <v>49.56853841</v>
      </c>
      <c r="BE1480" s="333">
        <f>SQRT(($R1480-Infrastructure!J$12)^2+($S1480-Infrastructure!K$12)^2)</f>
        <v>59.51890456</v>
      </c>
      <c r="BF1480" s="330">
        <f t="shared" si="161"/>
        <v>5.10881591</v>
      </c>
      <c r="BG1480" s="333">
        <f t="shared" si="162"/>
        <v>59.51890456</v>
      </c>
      <c r="BH1480" s="1119"/>
      <c r="BI1480" s="319"/>
      <c r="BJ1480" s="319"/>
      <c r="BK1480" s="319"/>
      <c r="BL1480" s="319"/>
      <c r="BM1480" s="955"/>
      <c r="BN1480" s="319"/>
      <c r="BO1480" s="319"/>
      <c r="BP1480" s="953"/>
      <c r="BQ1480" s="319"/>
      <c r="BR1480" s="324"/>
      <c r="BS1480" s="330">
        <f t="shared" si="169"/>
        <v>0</v>
      </c>
      <c r="BT1480" s="331">
        <f t="shared" si="170"/>
        <v>0</v>
      </c>
      <c r="BU1480" s="920"/>
      <c r="BV1480" s="903">
        <f t="shared" si="171"/>
        <v>-0.6909722222</v>
      </c>
      <c r="BW1480" s="907"/>
      <c r="BX1480" s="908"/>
      <c r="BY1480" s="331" t="b">
        <f t="shared" si="166"/>
        <v>0</v>
      </c>
      <c r="BZ1480" s="340"/>
      <c r="CA1480" s="316"/>
      <c r="CB1480" s="318"/>
      <c r="CC1480" s="318"/>
      <c r="CD1480" s="318"/>
      <c r="CE1480" s="318"/>
      <c r="CF1480" s="318"/>
      <c r="CG1480" s="318"/>
      <c r="CH1480" s="318"/>
      <c r="CI1480" s="318"/>
      <c r="CJ1480" s="463"/>
      <c r="CK1480" s="342"/>
      <c r="CL1480" s="333"/>
      <c r="CM1480" s="1079"/>
      <c r="CN1480" s="1005"/>
      <c r="CO1480" s="1005"/>
      <c r="CP1480" s="1005"/>
    </row>
    <row r="1481">
      <c r="B1481" s="1106" t="s">
        <v>1561</v>
      </c>
      <c r="C1481" s="1107">
        <v>44749.0</v>
      </c>
      <c r="D1481" s="103"/>
      <c r="E1481" s="1137"/>
      <c r="F1481" s="112" t="s">
        <v>2171</v>
      </c>
      <c r="G1481" s="1109">
        <v>0.7041666666666667</v>
      </c>
      <c r="H1481" s="1138"/>
      <c r="I1481" s="1138"/>
      <c r="J1481" s="1139"/>
      <c r="K1481" s="1111">
        <v>0.7083333333333334</v>
      </c>
      <c r="L1481" s="1112">
        <v>0.004166666666666667</v>
      </c>
      <c r="M1481" s="1113" t="s">
        <v>358</v>
      </c>
      <c r="N1481" s="110" t="s">
        <v>188</v>
      </c>
      <c r="O1481" s="1140"/>
      <c r="P1481" s="1115" t="s">
        <v>294</v>
      </c>
      <c r="Q1481" s="1116"/>
      <c r="R1481" s="1141"/>
      <c r="S1481" s="1142"/>
      <c r="T1481" s="1143"/>
      <c r="U1481" s="1137"/>
      <c r="V1481" s="1137"/>
      <c r="W1481" s="1137"/>
      <c r="X1481" s="1137"/>
      <c r="Y1481" s="1137"/>
      <c r="Z1481" s="1114" t="s">
        <v>323</v>
      </c>
      <c r="AA1481" s="1114"/>
      <c r="AB1481" s="1114" t="s">
        <v>323</v>
      </c>
      <c r="AC1481" s="1117" t="s">
        <v>323</v>
      </c>
      <c r="AD1481" s="1115"/>
      <c r="AE1481" s="1115"/>
      <c r="AF1481" s="1115"/>
      <c r="AG1481" s="1115"/>
      <c r="AH1481" s="1115"/>
      <c r="AI1481" s="1115"/>
      <c r="AJ1481" s="1117"/>
      <c r="AK1481" s="1118"/>
      <c r="AL1481" s="1115"/>
      <c r="AM1481" s="1115"/>
      <c r="AN1481" s="1115"/>
      <c r="AO1481" s="1115"/>
      <c r="AP1481" s="1115"/>
      <c r="AQ1481" s="1115"/>
      <c r="AR1481" s="1115"/>
      <c r="AS1481" s="1117"/>
      <c r="AT1481" s="1075"/>
      <c r="AU1481" s="1078"/>
      <c r="AV1481" s="330">
        <f>SQRT(($R1481-Infrastructure!J$3)^2+($S1481-Infrastructure!K$3)^2)</f>
        <v>28.90155705</v>
      </c>
      <c r="AW1481" s="331">
        <f>SQRT(($R1481-Infrastructure!J$4)^2+($S1481-Infrastructure!K$4)^2)</f>
        <v>17.80252791</v>
      </c>
      <c r="AX1481" s="331">
        <f>SQRT(($R1481-Infrastructure!J$5)^2+($S1481-Infrastructure!K$5)^2)</f>
        <v>5.10881591</v>
      </c>
      <c r="AY1481" s="331">
        <f>SQRT(($R1481-Infrastructure!J$6)^2+($S1481-Infrastructure!K$6)^2)</f>
        <v>10.10445446</v>
      </c>
      <c r="AZ1481" s="331">
        <f>SQRT(($R1481-Infrastructure!J$7)^2+($S1481-Infrastructure!K$7)^2)</f>
        <v>20.502195</v>
      </c>
      <c r="BA1481" s="331">
        <f>SQRT(($R1481-Infrastructure!J$8)^2+($S1481-Infrastructure!K$8)^2)</f>
        <v>30.10149498</v>
      </c>
      <c r="BB1481" s="331">
        <f>SQRT(($R1481-Infrastructure!J$9)^2+($S1481-Infrastructure!K$9)^2)</f>
        <v>40.3238143</v>
      </c>
      <c r="BC1481" s="331">
        <f>SQRT(($R1481-Infrastructure!J$10)^2+($S1481-Infrastructure!K$10)^2)</f>
        <v>42.72001873</v>
      </c>
      <c r="BD1481" s="331">
        <f>SQRT(($R1481-Infrastructure!J$11)^2+($S1481-Infrastructure!K$11)^2)</f>
        <v>49.56853841</v>
      </c>
      <c r="BE1481" s="333">
        <f>SQRT(($R1481-Infrastructure!J$12)^2+($S1481-Infrastructure!K$12)^2)</f>
        <v>59.51890456</v>
      </c>
      <c r="BF1481" s="330">
        <f t="shared" si="161"/>
        <v>5.10881591</v>
      </c>
      <c r="BG1481" s="333">
        <f t="shared" si="162"/>
        <v>59.51890456</v>
      </c>
      <c r="BH1481" s="1119"/>
      <c r="BI1481" s="319"/>
      <c r="BJ1481" s="319"/>
      <c r="BK1481" s="319"/>
      <c r="BL1481" s="319"/>
      <c r="BM1481" s="955"/>
      <c r="BN1481" s="319"/>
      <c r="BO1481" s="319"/>
      <c r="BP1481" s="953"/>
      <c r="BQ1481" s="319"/>
      <c r="BR1481" s="324"/>
      <c r="BS1481" s="330">
        <f t="shared" si="169"/>
        <v>0</v>
      </c>
      <c r="BT1481" s="331">
        <f t="shared" si="170"/>
        <v>0</v>
      </c>
      <c r="BU1481" s="920"/>
      <c r="BV1481" s="903">
        <f t="shared" si="171"/>
        <v>-0.7041666667</v>
      </c>
      <c r="BW1481" s="907"/>
      <c r="BX1481" s="908"/>
      <c r="BY1481" s="331" t="b">
        <f t="shared" si="166"/>
        <v>0</v>
      </c>
      <c r="BZ1481" s="340"/>
      <c r="CA1481" s="316"/>
      <c r="CB1481" s="318"/>
      <c r="CC1481" s="318"/>
      <c r="CD1481" s="318"/>
      <c r="CE1481" s="318"/>
      <c r="CF1481" s="318"/>
      <c r="CG1481" s="318"/>
      <c r="CH1481" s="318"/>
      <c r="CI1481" s="318"/>
      <c r="CJ1481" s="463"/>
      <c r="CK1481" s="342"/>
      <c r="CL1481" s="333"/>
      <c r="CM1481" s="1079"/>
      <c r="CN1481" s="1005"/>
      <c r="CO1481" s="1005"/>
      <c r="CP1481" s="1005"/>
    </row>
    <row r="1482">
      <c r="A1482" s="1160" t="s">
        <v>82</v>
      </c>
      <c r="B1482" s="1091" t="s">
        <v>1652</v>
      </c>
      <c r="C1482" s="1092">
        <v>44771.0</v>
      </c>
      <c r="D1482" s="1093"/>
      <c r="E1482" s="1094">
        <v>1.0</v>
      </c>
      <c r="F1482" s="129" t="s">
        <v>2172</v>
      </c>
      <c r="G1482" s="1095">
        <v>0.4097222222222222</v>
      </c>
      <c r="H1482" s="1183"/>
      <c r="I1482" s="1183"/>
      <c r="J1482" s="1184"/>
      <c r="K1482" s="1097">
        <v>0.4111111111111111</v>
      </c>
      <c r="L1482" s="1098">
        <v>0.001388888888888889</v>
      </c>
      <c r="M1482" s="1099" t="s">
        <v>358</v>
      </c>
      <c r="N1482" s="129" t="s">
        <v>187</v>
      </c>
      <c r="O1482" s="1100" t="s">
        <v>323</v>
      </c>
      <c r="P1482" s="1180" t="s">
        <v>272</v>
      </c>
      <c r="Q1482" s="1120"/>
      <c r="R1482" s="132">
        <v>3.0</v>
      </c>
      <c r="S1482" s="1099">
        <v>7.0</v>
      </c>
      <c r="T1482" s="129">
        <v>1.56</v>
      </c>
      <c r="U1482" s="1094" t="s">
        <v>323</v>
      </c>
      <c r="V1482" s="1094"/>
      <c r="W1482" s="1094"/>
      <c r="X1482" s="1094"/>
      <c r="Y1482" s="1094"/>
      <c r="Z1482" s="1185"/>
      <c r="AA1482" s="1185"/>
      <c r="AB1482" s="1164" t="s">
        <v>333</v>
      </c>
      <c r="AC1482" s="1102">
        <v>2.0</v>
      </c>
      <c r="AD1482" s="1101"/>
      <c r="AE1482" s="1101"/>
      <c r="AF1482" s="1101"/>
      <c r="AG1482" s="1101"/>
      <c r="AH1482" s="1101"/>
      <c r="AI1482" s="1101"/>
      <c r="AJ1482" s="1102"/>
      <c r="AK1482" s="1103"/>
      <c r="AL1482" s="1101"/>
      <c r="AM1482" s="1101"/>
      <c r="AN1482" s="1101"/>
      <c r="AO1482" s="1101"/>
      <c r="AP1482" s="1101"/>
      <c r="AQ1482" s="1101"/>
      <c r="AR1482" s="1101"/>
      <c r="AS1482" s="1102"/>
      <c r="AT1482" s="1066"/>
      <c r="AU1482" s="1076" t="s">
        <v>845</v>
      </c>
      <c r="AV1482" s="330">
        <f>SQRT(($R1482-Infrastructure!J$3)^2+($S1482-Infrastructure!K$3)^2)</f>
        <v>22.14723459</v>
      </c>
      <c r="AW1482" s="331">
        <f>SQRT(($R1482-Infrastructure!J$4)^2+($S1482-Infrastructure!K$4)^2)</f>
        <v>11.29291813</v>
      </c>
      <c r="AX1482" s="331">
        <f>SQRT(($R1482-Infrastructure!J$5)^2+($S1482-Infrastructure!K$5)^2)</f>
        <v>3.807886553</v>
      </c>
      <c r="AY1482" s="331">
        <f>SQRT(($R1482-Infrastructure!J$6)^2+($S1482-Infrastructure!K$6)^2)</f>
        <v>9.762171889</v>
      </c>
      <c r="AZ1482" s="331">
        <f>SQRT(($R1482-Infrastructure!J$7)^2+($S1482-Infrastructure!K$7)^2)</f>
        <v>18.73872995</v>
      </c>
      <c r="BA1482" s="331">
        <f>SQRT(($R1482-Infrastructure!J$8)^2+($S1482-Infrastructure!K$8)^2)</f>
        <v>27.91594526</v>
      </c>
      <c r="BB1482" s="331">
        <f>SQRT(($R1482-Infrastructure!J$9)^2+($S1482-Infrastructure!K$9)^2)</f>
        <v>37.04875167</v>
      </c>
      <c r="BC1482" s="331">
        <f>SQRT(($R1482-Infrastructure!J$10)^2+($S1482-Infrastructure!K$10)^2)</f>
        <v>37.85498646</v>
      </c>
      <c r="BD1482" s="331">
        <f>SQRT(($R1482-Infrastructure!J$11)^2+($S1482-Infrastructure!K$11)^2)</f>
        <v>43.21851455</v>
      </c>
      <c r="BE1482" s="333">
        <f>SQRT(($R1482-Infrastructure!J$12)^2+($S1482-Infrastructure!K$12)^2)</f>
        <v>51.90857347</v>
      </c>
      <c r="BF1482" s="330">
        <f t="shared" si="161"/>
        <v>3.807886553</v>
      </c>
      <c r="BG1482" s="333">
        <f t="shared" si="162"/>
        <v>51.90857347</v>
      </c>
      <c r="BH1482" s="1105"/>
      <c r="BI1482" s="393" t="s">
        <v>846</v>
      </c>
      <c r="BJ1482" s="393" t="s">
        <v>846</v>
      </c>
      <c r="BK1482" s="393" t="s">
        <v>846</v>
      </c>
      <c r="BL1482" s="393" t="s">
        <v>846</v>
      </c>
      <c r="BM1482" s="959"/>
      <c r="BN1482" s="393" t="s">
        <v>846</v>
      </c>
      <c r="BO1482" s="393"/>
      <c r="BP1482" s="960"/>
      <c r="BQ1482" s="393" t="s">
        <v>846</v>
      </c>
      <c r="BR1482" s="394"/>
      <c r="BS1482" s="330">
        <f t="shared" si="169"/>
        <v>3.807886553</v>
      </c>
      <c r="BT1482" s="331">
        <f t="shared" si="170"/>
        <v>43.21851455</v>
      </c>
      <c r="BU1482" s="920"/>
      <c r="BV1482" s="903">
        <f t="shared" si="171"/>
        <v>-0.4097222222</v>
      </c>
      <c r="BW1482" s="925"/>
      <c r="BX1482" s="926"/>
      <c r="BY1482" s="331" t="b">
        <f t="shared" si="166"/>
        <v>0</v>
      </c>
      <c r="BZ1482" s="412"/>
      <c r="CA1482" s="390"/>
      <c r="CB1482" s="392"/>
      <c r="CC1482" s="392"/>
      <c r="CD1482" s="392"/>
      <c r="CE1482" s="392"/>
      <c r="CF1482" s="392"/>
      <c r="CG1482" s="392"/>
      <c r="CH1482" s="392"/>
      <c r="CI1482" s="392"/>
      <c r="CJ1482" s="898"/>
      <c r="CK1482" s="414"/>
      <c r="CL1482" s="408"/>
      <c r="CM1482" s="1077"/>
      <c r="CN1482" s="1005"/>
      <c r="CO1482" s="1005"/>
      <c r="CP1482" s="1005"/>
    </row>
    <row r="1483">
      <c r="B1483" s="1106" t="s">
        <v>1652</v>
      </c>
      <c r="C1483" s="1107">
        <v>44771.0</v>
      </c>
      <c r="D1483" s="103"/>
      <c r="E1483" s="1108">
        <v>2.0</v>
      </c>
      <c r="F1483" s="110" t="s">
        <v>2173</v>
      </c>
      <c r="G1483" s="1109">
        <v>0.56875</v>
      </c>
      <c r="H1483" s="1138"/>
      <c r="I1483" s="1138"/>
      <c r="J1483" s="1139"/>
      <c r="K1483" s="1111">
        <v>0.575</v>
      </c>
      <c r="L1483" s="1112">
        <v>0.00625</v>
      </c>
      <c r="M1483" s="1113" t="s">
        <v>358</v>
      </c>
      <c r="N1483" s="110" t="s">
        <v>187</v>
      </c>
      <c r="O1483" s="1114" t="s">
        <v>323</v>
      </c>
      <c r="P1483" s="1156" t="s">
        <v>272</v>
      </c>
      <c r="Q1483" s="1116"/>
      <c r="R1483" s="120">
        <v>18.4</v>
      </c>
      <c r="S1483" s="1113">
        <v>35.0</v>
      </c>
      <c r="T1483" s="110">
        <v>6.15</v>
      </c>
      <c r="U1483" s="1108" t="s">
        <v>323</v>
      </c>
      <c r="V1483" s="1108"/>
      <c r="W1483" s="1108"/>
      <c r="X1483" s="1108"/>
      <c r="Y1483" s="1108"/>
      <c r="Z1483" s="1186"/>
      <c r="AA1483" s="1186"/>
      <c r="AB1483" s="1171" t="s">
        <v>333</v>
      </c>
      <c r="AC1483" s="1117">
        <v>2.0</v>
      </c>
      <c r="AD1483" s="1115"/>
      <c r="AE1483" s="1115"/>
      <c r="AF1483" s="1115"/>
      <c r="AG1483" s="1115"/>
      <c r="AH1483" s="1115"/>
      <c r="AI1483" s="1115"/>
      <c r="AJ1483" s="1117"/>
      <c r="AK1483" s="1118"/>
      <c r="AL1483" s="1115"/>
      <c r="AM1483" s="1115"/>
      <c r="AN1483" s="1115"/>
      <c r="AO1483" s="1115"/>
      <c r="AP1483" s="1115"/>
      <c r="AQ1483" s="1115"/>
      <c r="AR1483" s="1115"/>
      <c r="AS1483" s="1117"/>
      <c r="AT1483" s="1075"/>
      <c r="AU1483" s="1078" t="s">
        <v>845</v>
      </c>
      <c r="AV1483" s="330">
        <f>SQRT(($R1483-Infrastructure!J$3)^2+($S1483-Infrastructure!K$3)^2)</f>
        <v>19.66977377</v>
      </c>
      <c r="AW1483" s="331">
        <f>SQRT(($R1483-Infrastructure!J$4)^2+($S1483-Infrastructure!K$4)^2)</f>
        <v>25.40728242</v>
      </c>
      <c r="AX1483" s="331">
        <f>SQRT(($R1483-Infrastructure!J$5)^2+($S1483-Infrastructure!K$5)^2)</f>
        <v>35.26613106</v>
      </c>
      <c r="AY1483" s="331">
        <f>SQRT(($R1483-Infrastructure!J$6)^2+($S1483-Infrastructure!K$6)^2)</f>
        <v>35.67884527</v>
      </c>
      <c r="AZ1483" s="331">
        <f>SQRT(($R1483-Infrastructure!J$7)^2+($S1483-Infrastructure!K$7)^2)</f>
        <v>34.76348659</v>
      </c>
      <c r="BA1483" s="331">
        <f>SQRT(($R1483-Infrastructure!J$8)^2+($S1483-Infrastructure!K$8)^2)</f>
        <v>36.61939377</v>
      </c>
      <c r="BB1483" s="331">
        <f>SQRT(($R1483-Infrastructure!J$9)^2+($S1483-Infrastructure!K$9)^2)</f>
        <v>36.88590517</v>
      </c>
      <c r="BC1483" s="331">
        <f>SQRT(($R1483-Infrastructure!J$10)^2+($S1483-Infrastructure!K$10)^2)</f>
        <v>29.43739119</v>
      </c>
      <c r="BD1483" s="331">
        <f>SQRT(($R1483-Infrastructure!J$11)^2+($S1483-Infrastructure!K$11)^2)</f>
        <v>22.61061698</v>
      </c>
      <c r="BE1483" s="333">
        <f>SQRT(($R1483-Infrastructure!J$12)^2+($S1483-Infrastructure!K$12)^2)</f>
        <v>20.73306538</v>
      </c>
      <c r="BF1483" s="330">
        <f t="shared" si="161"/>
        <v>19.66977377</v>
      </c>
      <c r="BG1483" s="333">
        <f t="shared" si="162"/>
        <v>36.88590517</v>
      </c>
      <c r="BH1483" s="1119"/>
      <c r="BI1483" s="319" t="s">
        <v>846</v>
      </c>
      <c r="BJ1483" s="319" t="s">
        <v>846</v>
      </c>
      <c r="BK1483" s="319" t="s">
        <v>846</v>
      </c>
      <c r="BL1483" s="319" t="s">
        <v>846</v>
      </c>
      <c r="BM1483" s="955"/>
      <c r="BN1483" s="319" t="s">
        <v>846</v>
      </c>
      <c r="BO1483" s="319"/>
      <c r="BP1483" s="953"/>
      <c r="BQ1483" s="319" t="s">
        <v>846</v>
      </c>
      <c r="BR1483" s="324"/>
      <c r="BS1483" s="330">
        <f t="shared" si="169"/>
        <v>19.66977377</v>
      </c>
      <c r="BT1483" s="331">
        <f t="shared" si="170"/>
        <v>36.61939377</v>
      </c>
      <c r="BU1483" s="920"/>
      <c r="BV1483" s="903">
        <f t="shared" si="171"/>
        <v>-0.56875</v>
      </c>
      <c r="BW1483" s="907"/>
      <c r="BX1483" s="908"/>
      <c r="BY1483" s="331" t="b">
        <f t="shared" si="166"/>
        <v>0</v>
      </c>
      <c r="BZ1483" s="340"/>
      <c r="CA1483" s="316"/>
      <c r="CB1483" s="318"/>
      <c r="CC1483" s="318"/>
      <c r="CD1483" s="318"/>
      <c r="CE1483" s="318"/>
      <c r="CF1483" s="318"/>
      <c r="CG1483" s="318"/>
      <c r="CH1483" s="318"/>
      <c r="CI1483" s="318"/>
      <c r="CJ1483" s="463"/>
      <c r="CK1483" s="342"/>
      <c r="CL1483" s="333"/>
      <c r="CM1483" s="1079"/>
      <c r="CN1483" s="1005"/>
      <c r="CO1483" s="1005"/>
      <c r="CP1483" s="1005"/>
    </row>
    <row r="1484">
      <c r="A1484" s="634"/>
      <c r="B1484" s="1121" t="s">
        <v>1652</v>
      </c>
      <c r="C1484" s="1122">
        <v>44771.0</v>
      </c>
      <c r="D1484" s="1187"/>
      <c r="E1484" s="1124">
        <v>3.0</v>
      </c>
      <c r="F1484" s="108" t="s">
        <v>2174</v>
      </c>
      <c r="G1484" s="1188">
        <v>0.575</v>
      </c>
      <c r="H1484" s="1189"/>
      <c r="I1484" s="1189"/>
      <c r="J1484" s="1190"/>
      <c r="K1484" s="1191">
        <v>0.5791666666666667</v>
      </c>
      <c r="L1484" s="1128">
        <v>0.004166666666666667</v>
      </c>
      <c r="M1484" s="1129" t="s">
        <v>358</v>
      </c>
      <c r="N1484" s="100" t="s">
        <v>187</v>
      </c>
      <c r="O1484" s="1130" t="s">
        <v>323</v>
      </c>
      <c r="P1484" s="1181" t="s">
        <v>272</v>
      </c>
      <c r="Q1484" s="1132"/>
      <c r="R1484" s="137">
        <v>18.4</v>
      </c>
      <c r="S1484" s="1129">
        <v>35.0</v>
      </c>
      <c r="T1484" s="100">
        <v>6.15</v>
      </c>
      <c r="U1484" s="1124" t="s">
        <v>323</v>
      </c>
      <c r="V1484" s="1124"/>
      <c r="W1484" s="1124"/>
      <c r="X1484" s="1124"/>
      <c r="Y1484" s="1124"/>
      <c r="Z1484" s="1147"/>
      <c r="AA1484" s="1147"/>
      <c r="AB1484" s="1182" t="s">
        <v>333</v>
      </c>
      <c r="AC1484" s="1133">
        <v>2.0</v>
      </c>
      <c r="AD1484" s="1131"/>
      <c r="AE1484" s="1131"/>
      <c r="AF1484" s="1131"/>
      <c r="AG1484" s="1131"/>
      <c r="AH1484" s="1131"/>
      <c r="AI1484" s="1131"/>
      <c r="AJ1484" s="1133"/>
      <c r="AK1484" s="1134"/>
      <c r="AL1484" s="1131"/>
      <c r="AM1484" s="1131"/>
      <c r="AN1484" s="1131"/>
      <c r="AO1484" s="1131"/>
      <c r="AP1484" s="1131"/>
      <c r="AQ1484" s="1131"/>
      <c r="AR1484" s="1131"/>
      <c r="AS1484" s="1133"/>
      <c r="AT1484" s="1088"/>
      <c r="AU1484" s="1089" t="s">
        <v>845</v>
      </c>
      <c r="AV1484" s="330">
        <f>SQRT(($R1484-Infrastructure!J$3)^2+($S1484-Infrastructure!K$3)^2)</f>
        <v>19.66977377</v>
      </c>
      <c r="AW1484" s="331">
        <f>SQRT(($R1484-Infrastructure!J$4)^2+($S1484-Infrastructure!K$4)^2)</f>
        <v>25.40728242</v>
      </c>
      <c r="AX1484" s="331">
        <f>SQRT(($R1484-Infrastructure!J$5)^2+($S1484-Infrastructure!K$5)^2)</f>
        <v>35.26613106</v>
      </c>
      <c r="AY1484" s="331">
        <f>SQRT(($R1484-Infrastructure!J$6)^2+($S1484-Infrastructure!K$6)^2)</f>
        <v>35.67884527</v>
      </c>
      <c r="AZ1484" s="331">
        <f>SQRT(($R1484-Infrastructure!J$7)^2+($S1484-Infrastructure!K$7)^2)</f>
        <v>34.76348659</v>
      </c>
      <c r="BA1484" s="331">
        <f>SQRT(($R1484-Infrastructure!J$8)^2+($S1484-Infrastructure!K$8)^2)</f>
        <v>36.61939377</v>
      </c>
      <c r="BB1484" s="331">
        <f>SQRT(($R1484-Infrastructure!J$9)^2+($S1484-Infrastructure!K$9)^2)</f>
        <v>36.88590517</v>
      </c>
      <c r="BC1484" s="331">
        <f>SQRT(($R1484-Infrastructure!J$10)^2+($S1484-Infrastructure!K$10)^2)</f>
        <v>29.43739119</v>
      </c>
      <c r="BD1484" s="331">
        <f>SQRT(($R1484-Infrastructure!J$11)^2+($S1484-Infrastructure!K$11)^2)</f>
        <v>22.61061698</v>
      </c>
      <c r="BE1484" s="333">
        <f>SQRT(($R1484-Infrastructure!J$12)^2+($S1484-Infrastructure!K$12)^2)</f>
        <v>20.73306538</v>
      </c>
      <c r="BF1484" s="330">
        <f t="shared" si="161"/>
        <v>19.66977377</v>
      </c>
      <c r="BG1484" s="333">
        <f t="shared" si="162"/>
        <v>36.88590517</v>
      </c>
      <c r="BH1484" s="1135"/>
      <c r="BI1484" s="663" t="s">
        <v>846</v>
      </c>
      <c r="BJ1484" s="663" t="s">
        <v>846</v>
      </c>
      <c r="BK1484" s="663" t="s">
        <v>846</v>
      </c>
      <c r="BL1484" s="663" t="s">
        <v>846</v>
      </c>
      <c r="BM1484" s="957"/>
      <c r="BN1484" s="663" t="s">
        <v>846</v>
      </c>
      <c r="BO1484" s="663"/>
      <c r="BP1484" s="958"/>
      <c r="BQ1484" s="663" t="s">
        <v>846</v>
      </c>
      <c r="BR1484" s="637"/>
      <c r="BS1484" s="330">
        <f t="shared" si="169"/>
        <v>19.66977377</v>
      </c>
      <c r="BT1484" s="331">
        <f t="shared" si="170"/>
        <v>36.61939377</v>
      </c>
      <c r="BU1484" s="920"/>
      <c r="BV1484" s="903">
        <f t="shared" si="171"/>
        <v>-0.575</v>
      </c>
      <c r="BW1484" s="938"/>
      <c r="BX1484" s="939"/>
      <c r="BY1484" s="331" t="b">
        <f t="shared" si="166"/>
        <v>0</v>
      </c>
      <c r="BZ1484" s="742"/>
      <c r="CA1484" s="639"/>
      <c r="CB1484" s="640"/>
      <c r="CC1484" s="640"/>
      <c r="CD1484" s="640"/>
      <c r="CE1484" s="640"/>
      <c r="CF1484" s="640"/>
      <c r="CG1484" s="640"/>
      <c r="CH1484" s="640"/>
      <c r="CI1484" s="640"/>
      <c r="CJ1484" s="785"/>
      <c r="CK1484" s="743"/>
      <c r="CL1484" s="642"/>
      <c r="CM1484" s="1090"/>
      <c r="CN1484" s="1005"/>
      <c r="CO1484" s="1005"/>
      <c r="CP1484" s="1005"/>
    </row>
    <row r="1485">
      <c r="A1485" s="1162" t="s">
        <v>83</v>
      </c>
      <c r="B1485" s="1106" t="s">
        <v>1743</v>
      </c>
      <c r="C1485" s="1107">
        <v>44833.0</v>
      </c>
      <c r="D1485" s="103"/>
      <c r="E1485" s="1108">
        <v>1.0</v>
      </c>
      <c r="F1485" s="110" t="s">
        <v>2175</v>
      </c>
      <c r="G1485" s="1109">
        <v>0.6202546296296296</v>
      </c>
      <c r="H1485" s="1110">
        <v>0.6210069444444445</v>
      </c>
      <c r="I1485" s="1110"/>
      <c r="J1485" s="1111"/>
      <c r="K1485" s="1111">
        <v>0.6324652777777777</v>
      </c>
      <c r="L1485" s="1112">
        <v>0.011458333333333333</v>
      </c>
      <c r="M1485" s="1113" t="s">
        <v>166</v>
      </c>
      <c r="N1485" s="110" t="s">
        <v>187</v>
      </c>
      <c r="O1485" s="1114" t="s">
        <v>198</v>
      </c>
      <c r="P1485" s="1115" t="s">
        <v>218</v>
      </c>
      <c r="Q1485" s="1116"/>
      <c r="R1485" s="120">
        <v>10.3</v>
      </c>
      <c r="S1485" s="1113">
        <v>8.1</v>
      </c>
      <c r="T1485" s="110">
        <v>3.0</v>
      </c>
      <c r="U1485" s="1108">
        <v>7.0</v>
      </c>
      <c r="V1485" s="1108"/>
      <c r="W1485" s="1108"/>
      <c r="X1485" s="1108"/>
      <c r="Y1485" s="1108"/>
      <c r="Z1485" s="1114" t="s">
        <v>343</v>
      </c>
      <c r="AA1485" s="1114"/>
      <c r="AB1485" s="1114" t="s">
        <v>392</v>
      </c>
      <c r="AC1485" s="1117">
        <v>10.0</v>
      </c>
      <c r="AD1485" s="1115"/>
      <c r="AE1485" s="1115"/>
      <c r="AF1485" s="1115"/>
      <c r="AG1485" s="1115"/>
      <c r="AH1485" s="1115"/>
      <c r="AI1485" s="1115"/>
      <c r="AJ1485" s="1117"/>
      <c r="AK1485" s="1118"/>
      <c r="AL1485" s="1115"/>
      <c r="AM1485" s="1115"/>
      <c r="AN1485" s="1115"/>
      <c r="AO1485" s="1115"/>
      <c r="AP1485" s="1115"/>
      <c r="AQ1485" s="1115"/>
      <c r="AR1485" s="1115"/>
      <c r="AS1485" s="1117"/>
      <c r="AT1485" s="1075" t="s">
        <v>182</v>
      </c>
      <c r="AU1485" s="1078" t="s">
        <v>845</v>
      </c>
      <c r="AV1485" s="330">
        <f>SQRT(($R1485-Infrastructure!J$3)^2+($S1485-Infrastructure!K$3)^2)</f>
        <v>23.34523506</v>
      </c>
      <c r="AW1485" s="331">
        <f>SQRT(($R1485-Infrastructure!J$4)^2+($S1485-Infrastructure!K$4)^2)</f>
        <v>14.36836804</v>
      </c>
      <c r="AX1485" s="331">
        <f>SQRT(($R1485-Infrastructure!J$5)^2+($S1485-Infrastructure!K$5)^2)</f>
        <v>11.01635148</v>
      </c>
      <c r="AY1485" s="331">
        <f>SQRT(($R1485-Infrastructure!J$6)^2+($S1485-Infrastructure!K$6)^2)</f>
        <v>7.802563681</v>
      </c>
      <c r="AZ1485" s="331">
        <f>SQRT(($R1485-Infrastructure!J$7)^2+($S1485-Infrastructure!K$7)^2)</f>
        <v>12.84056074</v>
      </c>
      <c r="BA1485" s="331">
        <f>SQRT(($R1485-Infrastructure!J$8)^2+($S1485-Infrastructure!K$8)^2)</f>
        <v>21.28097742</v>
      </c>
      <c r="BB1485" s="331">
        <f>SQRT(($R1485-Infrastructure!J$9)^2+($S1485-Infrastructure!K$9)^2)</f>
        <v>29.85113063</v>
      </c>
      <c r="BC1485" s="331">
        <f>SQRT(($R1485-Infrastructure!J$10)^2+($S1485-Infrastructure!K$10)^2)</f>
        <v>30.49098227</v>
      </c>
      <c r="BD1485" s="331">
        <f>SQRT(($R1485-Infrastructure!J$11)^2+($S1485-Infrastructure!K$11)^2)</f>
        <v>36.4804057</v>
      </c>
      <c r="BE1485" s="333">
        <f>SQRT(($R1485-Infrastructure!J$12)^2+($S1485-Infrastructure!K$12)^2)</f>
        <v>48.70523586</v>
      </c>
      <c r="BF1485" s="330">
        <f t="shared" si="161"/>
        <v>7.802563681</v>
      </c>
      <c r="BG1485" s="333">
        <f t="shared" si="162"/>
        <v>48.70523586</v>
      </c>
      <c r="BH1485" s="1119"/>
      <c r="BI1485" s="319"/>
      <c r="BJ1485" s="319"/>
      <c r="BK1485" s="319"/>
      <c r="BL1485" s="319"/>
      <c r="BM1485" s="955"/>
      <c r="BN1485" s="319"/>
      <c r="BO1485" s="319"/>
      <c r="BP1485" s="953"/>
      <c r="BQ1485" s="319"/>
      <c r="BR1485" s="324"/>
      <c r="BS1485" s="330">
        <f t="shared" si="169"/>
        <v>0</v>
      </c>
      <c r="BT1485" s="331">
        <f t="shared" si="170"/>
        <v>0</v>
      </c>
      <c r="BU1485" s="920"/>
      <c r="BV1485" s="903">
        <f t="shared" si="171"/>
        <v>-0.6202546296</v>
      </c>
      <c r="BW1485" s="907"/>
      <c r="BX1485" s="908"/>
      <c r="BY1485" s="331" t="b">
        <f t="shared" si="166"/>
        <v>0</v>
      </c>
      <c r="BZ1485" s="340"/>
      <c r="CA1485" s="316"/>
      <c r="CB1485" s="318"/>
      <c r="CC1485" s="318"/>
      <c r="CD1485" s="318"/>
      <c r="CE1485" s="318"/>
      <c r="CF1485" s="318"/>
      <c r="CG1485" s="318"/>
      <c r="CH1485" s="318"/>
      <c r="CI1485" s="318"/>
      <c r="CJ1485" s="463"/>
      <c r="CK1485" s="342"/>
      <c r="CL1485" s="333"/>
      <c r="CM1485" s="1079"/>
      <c r="CN1485" s="1005"/>
      <c r="CO1485" s="1005"/>
      <c r="CP1485" s="1005"/>
    </row>
    <row r="1486">
      <c r="B1486" s="1106" t="s">
        <v>1743</v>
      </c>
      <c r="C1486" s="1107">
        <v>44833.0</v>
      </c>
      <c r="D1486" s="103"/>
      <c r="E1486" s="1108">
        <v>2.0</v>
      </c>
      <c r="F1486" s="110" t="s">
        <v>2176</v>
      </c>
      <c r="G1486" s="1109">
        <v>0.6338541666666667</v>
      </c>
      <c r="H1486" s="1110">
        <v>0.6341435185185185</v>
      </c>
      <c r="I1486" s="1110"/>
      <c r="J1486" s="1111"/>
      <c r="K1486" s="1111">
        <v>0.6396180555555555</v>
      </c>
      <c r="L1486" s="1112">
        <v>0.005474537037037037</v>
      </c>
      <c r="M1486" s="1113" t="s">
        <v>166</v>
      </c>
      <c r="N1486" s="110" t="s">
        <v>187</v>
      </c>
      <c r="O1486" s="1114" t="s">
        <v>198</v>
      </c>
      <c r="P1486" s="1115" t="s">
        <v>218</v>
      </c>
      <c r="Q1486" s="1116"/>
      <c r="R1486" s="120">
        <v>10.3</v>
      </c>
      <c r="S1486" s="1113">
        <v>8.1</v>
      </c>
      <c r="T1486" s="110">
        <v>3.0</v>
      </c>
      <c r="U1486" s="1108">
        <v>5.0</v>
      </c>
      <c r="V1486" s="1108"/>
      <c r="W1486" s="1108"/>
      <c r="X1486" s="1108"/>
      <c r="Y1486" s="1108"/>
      <c r="Z1486" s="1114" t="s">
        <v>343</v>
      </c>
      <c r="AA1486" s="1114"/>
      <c r="AB1486" s="1114" t="s">
        <v>392</v>
      </c>
      <c r="AC1486" s="1117">
        <v>10.0</v>
      </c>
      <c r="AD1486" s="1115"/>
      <c r="AE1486" s="1115"/>
      <c r="AF1486" s="1115"/>
      <c r="AG1486" s="1115"/>
      <c r="AH1486" s="1115"/>
      <c r="AI1486" s="1115"/>
      <c r="AJ1486" s="1117"/>
      <c r="AK1486" s="1118"/>
      <c r="AL1486" s="1115"/>
      <c r="AM1486" s="1115"/>
      <c r="AN1486" s="1115"/>
      <c r="AO1486" s="1115"/>
      <c r="AP1486" s="1115"/>
      <c r="AQ1486" s="1115"/>
      <c r="AR1486" s="1115"/>
      <c r="AS1486" s="1117"/>
      <c r="AT1486" s="1075" t="s">
        <v>182</v>
      </c>
      <c r="AU1486" s="1078" t="s">
        <v>845</v>
      </c>
      <c r="AV1486" s="330">
        <f>SQRT(($R1486-Infrastructure!J$3)^2+($S1486-Infrastructure!K$3)^2)</f>
        <v>23.34523506</v>
      </c>
      <c r="AW1486" s="331">
        <f>SQRT(($R1486-Infrastructure!J$4)^2+($S1486-Infrastructure!K$4)^2)</f>
        <v>14.36836804</v>
      </c>
      <c r="AX1486" s="331">
        <f>SQRT(($R1486-Infrastructure!J$5)^2+($S1486-Infrastructure!K$5)^2)</f>
        <v>11.01635148</v>
      </c>
      <c r="AY1486" s="331">
        <f>SQRT(($R1486-Infrastructure!J$6)^2+($S1486-Infrastructure!K$6)^2)</f>
        <v>7.802563681</v>
      </c>
      <c r="AZ1486" s="331">
        <f>SQRT(($R1486-Infrastructure!J$7)^2+($S1486-Infrastructure!K$7)^2)</f>
        <v>12.84056074</v>
      </c>
      <c r="BA1486" s="331">
        <f>SQRT(($R1486-Infrastructure!J$8)^2+($S1486-Infrastructure!K$8)^2)</f>
        <v>21.28097742</v>
      </c>
      <c r="BB1486" s="331">
        <f>SQRT(($R1486-Infrastructure!J$9)^2+($S1486-Infrastructure!K$9)^2)</f>
        <v>29.85113063</v>
      </c>
      <c r="BC1486" s="331">
        <f>SQRT(($R1486-Infrastructure!J$10)^2+($S1486-Infrastructure!K$10)^2)</f>
        <v>30.49098227</v>
      </c>
      <c r="BD1486" s="331">
        <f>SQRT(($R1486-Infrastructure!J$11)^2+($S1486-Infrastructure!K$11)^2)</f>
        <v>36.4804057</v>
      </c>
      <c r="BE1486" s="333">
        <f>SQRT(($R1486-Infrastructure!J$12)^2+($S1486-Infrastructure!K$12)^2)</f>
        <v>48.70523586</v>
      </c>
      <c r="BF1486" s="330">
        <f t="shared" si="161"/>
        <v>7.802563681</v>
      </c>
      <c r="BG1486" s="333">
        <f t="shared" si="162"/>
        <v>48.70523586</v>
      </c>
      <c r="BH1486" s="1119"/>
      <c r="BI1486" s="319"/>
      <c r="BJ1486" s="319"/>
      <c r="BK1486" s="319"/>
      <c r="BL1486" s="319"/>
      <c r="BM1486" s="955"/>
      <c r="BN1486" s="319"/>
      <c r="BO1486" s="319"/>
      <c r="BP1486" s="953"/>
      <c r="BQ1486" s="319"/>
      <c r="BR1486" s="324"/>
      <c r="BS1486" s="330">
        <f t="shared" si="169"/>
        <v>0</v>
      </c>
      <c r="BT1486" s="331">
        <f t="shared" si="170"/>
        <v>0</v>
      </c>
      <c r="BU1486" s="920"/>
      <c r="BV1486" s="903">
        <f t="shared" si="171"/>
        <v>-0.6338541667</v>
      </c>
      <c r="BW1486" s="907"/>
      <c r="BX1486" s="908"/>
      <c r="BY1486" s="331" t="b">
        <f t="shared" si="166"/>
        <v>0</v>
      </c>
      <c r="BZ1486" s="340"/>
      <c r="CA1486" s="316"/>
      <c r="CB1486" s="318"/>
      <c r="CC1486" s="318"/>
      <c r="CD1486" s="318"/>
      <c r="CE1486" s="318"/>
      <c r="CF1486" s="318"/>
      <c r="CG1486" s="318"/>
      <c r="CH1486" s="318"/>
      <c r="CI1486" s="318"/>
      <c r="CJ1486" s="463"/>
      <c r="CK1486" s="342"/>
      <c r="CL1486" s="333"/>
      <c r="CM1486" s="1079"/>
      <c r="CN1486" s="1005"/>
      <c r="CO1486" s="1005"/>
      <c r="CP1486" s="1005"/>
    </row>
    <row r="1487">
      <c r="B1487" s="1106" t="s">
        <v>1743</v>
      </c>
      <c r="C1487" s="1107">
        <v>44833.0</v>
      </c>
      <c r="D1487" s="103"/>
      <c r="E1487" s="1108">
        <v>3.0</v>
      </c>
      <c r="F1487" s="110" t="s">
        <v>2177</v>
      </c>
      <c r="G1487" s="1109">
        <v>0.6402777777777777</v>
      </c>
      <c r="H1487" s="1110">
        <v>0.640625</v>
      </c>
      <c r="I1487" s="1110"/>
      <c r="J1487" s="1111"/>
      <c r="K1487" s="1111">
        <v>0.6430555555555556</v>
      </c>
      <c r="L1487" s="1112">
        <v>0.0024305555555555556</v>
      </c>
      <c r="M1487" s="1113" t="s">
        <v>166</v>
      </c>
      <c r="N1487" s="110" t="s">
        <v>187</v>
      </c>
      <c r="O1487" s="1114" t="s">
        <v>198</v>
      </c>
      <c r="P1487" s="1115" t="s">
        <v>218</v>
      </c>
      <c r="Q1487" s="1116"/>
      <c r="R1487" s="120">
        <v>10.3</v>
      </c>
      <c r="S1487" s="1113">
        <v>8.1</v>
      </c>
      <c r="T1487" s="110">
        <v>3.0</v>
      </c>
      <c r="U1487" s="1108">
        <v>6.0</v>
      </c>
      <c r="V1487" s="1108"/>
      <c r="W1487" s="1108"/>
      <c r="X1487" s="1108"/>
      <c r="Y1487" s="1108"/>
      <c r="Z1487" s="1114" t="s">
        <v>343</v>
      </c>
      <c r="AA1487" s="1114"/>
      <c r="AB1487" s="1114" t="s">
        <v>392</v>
      </c>
      <c r="AC1487" s="1117">
        <v>10.0</v>
      </c>
      <c r="AD1487" s="1115"/>
      <c r="AE1487" s="1115"/>
      <c r="AF1487" s="1115"/>
      <c r="AG1487" s="1115"/>
      <c r="AH1487" s="1115"/>
      <c r="AI1487" s="1115"/>
      <c r="AJ1487" s="1117"/>
      <c r="AK1487" s="1118"/>
      <c r="AL1487" s="1115"/>
      <c r="AM1487" s="1115"/>
      <c r="AN1487" s="1115"/>
      <c r="AO1487" s="1115"/>
      <c r="AP1487" s="1115"/>
      <c r="AQ1487" s="1115"/>
      <c r="AR1487" s="1115"/>
      <c r="AS1487" s="1117"/>
      <c r="AT1487" s="1075" t="s">
        <v>182</v>
      </c>
      <c r="AU1487" s="1078" t="s">
        <v>845</v>
      </c>
      <c r="AV1487" s="330">
        <f>SQRT(($R1487-Infrastructure!J$3)^2+($S1487-Infrastructure!K$3)^2)</f>
        <v>23.34523506</v>
      </c>
      <c r="AW1487" s="331">
        <f>SQRT(($R1487-Infrastructure!J$4)^2+($S1487-Infrastructure!K$4)^2)</f>
        <v>14.36836804</v>
      </c>
      <c r="AX1487" s="331">
        <f>SQRT(($R1487-Infrastructure!J$5)^2+($S1487-Infrastructure!K$5)^2)</f>
        <v>11.01635148</v>
      </c>
      <c r="AY1487" s="331">
        <f>SQRT(($R1487-Infrastructure!J$6)^2+($S1487-Infrastructure!K$6)^2)</f>
        <v>7.802563681</v>
      </c>
      <c r="AZ1487" s="331">
        <f>SQRT(($R1487-Infrastructure!J$7)^2+($S1487-Infrastructure!K$7)^2)</f>
        <v>12.84056074</v>
      </c>
      <c r="BA1487" s="331">
        <f>SQRT(($R1487-Infrastructure!J$8)^2+($S1487-Infrastructure!K$8)^2)</f>
        <v>21.28097742</v>
      </c>
      <c r="BB1487" s="331">
        <f>SQRT(($R1487-Infrastructure!J$9)^2+($S1487-Infrastructure!K$9)^2)</f>
        <v>29.85113063</v>
      </c>
      <c r="BC1487" s="331">
        <f>SQRT(($R1487-Infrastructure!J$10)^2+($S1487-Infrastructure!K$10)^2)</f>
        <v>30.49098227</v>
      </c>
      <c r="BD1487" s="331">
        <f>SQRT(($R1487-Infrastructure!J$11)^2+($S1487-Infrastructure!K$11)^2)</f>
        <v>36.4804057</v>
      </c>
      <c r="BE1487" s="333">
        <f>SQRT(($R1487-Infrastructure!J$12)^2+($S1487-Infrastructure!K$12)^2)</f>
        <v>48.70523586</v>
      </c>
      <c r="BF1487" s="330">
        <f t="shared" si="161"/>
        <v>7.802563681</v>
      </c>
      <c r="BG1487" s="333">
        <f t="shared" si="162"/>
        <v>48.70523586</v>
      </c>
      <c r="BH1487" s="1119"/>
      <c r="BI1487" s="319"/>
      <c r="BJ1487" s="319"/>
      <c r="BK1487" s="319"/>
      <c r="BL1487" s="319"/>
      <c r="BM1487" s="955"/>
      <c r="BN1487" s="319"/>
      <c r="BO1487" s="319"/>
      <c r="BP1487" s="953"/>
      <c r="BQ1487" s="319"/>
      <c r="BR1487" s="324"/>
      <c r="BS1487" s="330">
        <f t="shared" si="169"/>
        <v>0</v>
      </c>
      <c r="BT1487" s="331">
        <f t="shared" si="170"/>
        <v>0</v>
      </c>
      <c r="BU1487" s="920"/>
      <c r="BV1487" s="903">
        <f t="shared" si="171"/>
        <v>-0.6402777778</v>
      </c>
      <c r="BW1487" s="907"/>
      <c r="BX1487" s="908"/>
      <c r="BY1487" s="331" t="b">
        <f t="shared" si="166"/>
        <v>0</v>
      </c>
      <c r="BZ1487" s="340"/>
      <c r="CA1487" s="316"/>
      <c r="CB1487" s="318"/>
      <c r="CC1487" s="318"/>
      <c r="CD1487" s="318"/>
      <c r="CE1487" s="318"/>
      <c r="CF1487" s="318"/>
      <c r="CG1487" s="318"/>
      <c r="CH1487" s="318"/>
      <c r="CI1487" s="318"/>
      <c r="CJ1487" s="463"/>
      <c r="CK1487" s="342"/>
      <c r="CL1487" s="333"/>
      <c r="CM1487" s="1079"/>
      <c r="CN1487" s="1005"/>
      <c r="CO1487" s="1005"/>
      <c r="CP1487" s="1005"/>
    </row>
    <row r="1488">
      <c r="B1488" s="1106" t="s">
        <v>1743</v>
      </c>
      <c r="C1488" s="1107">
        <v>44833.0</v>
      </c>
      <c r="D1488" s="103"/>
      <c r="E1488" s="1108">
        <v>4.0</v>
      </c>
      <c r="F1488" s="110" t="s">
        <v>2178</v>
      </c>
      <c r="G1488" s="1109">
        <v>0.64375</v>
      </c>
      <c r="H1488" s="1110">
        <v>0.6440972222222222</v>
      </c>
      <c r="I1488" s="1110"/>
      <c r="J1488" s="1111"/>
      <c r="K1488" s="1111">
        <v>0.6533564814814815</v>
      </c>
      <c r="L1488" s="1112">
        <v>0.009259259259259259</v>
      </c>
      <c r="M1488" s="1113" t="s">
        <v>166</v>
      </c>
      <c r="N1488" s="110" t="s">
        <v>187</v>
      </c>
      <c r="O1488" s="1114" t="s">
        <v>198</v>
      </c>
      <c r="P1488" s="1115" t="s">
        <v>218</v>
      </c>
      <c r="Q1488" s="1116"/>
      <c r="R1488" s="120">
        <v>10.3</v>
      </c>
      <c r="S1488" s="1113">
        <v>8.1</v>
      </c>
      <c r="T1488" s="110">
        <v>3.0</v>
      </c>
      <c r="U1488" s="1108">
        <v>7.0</v>
      </c>
      <c r="V1488" s="1108"/>
      <c r="W1488" s="1108"/>
      <c r="X1488" s="1108"/>
      <c r="Y1488" s="1108"/>
      <c r="Z1488" s="1114" t="s">
        <v>343</v>
      </c>
      <c r="AA1488" s="1114"/>
      <c r="AB1488" s="1114" t="s">
        <v>392</v>
      </c>
      <c r="AC1488" s="1117">
        <v>10.0</v>
      </c>
      <c r="AD1488" s="1115"/>
      <c r="AE1488" s="1115"/>
      <c r="AF1488" s="1115"/>
      <c r="AG1488" s="1115"/>
      <c r="AH1488" s="1115"/>
      <c r="AI1488" s="1115"/>
      <c r="AJ1488" s="1117"/>
      <c r="AK1488" s="1118"/>
      <c r="AL1488" s="1115"/>
      <c r="AM1488" s="1115"/>
      <c r="AN1488" s="1115"/>
      <c r="AO1488" s="1115"/>
      <c r="AP1488" s="1115"/>
      <c r="AQ1488" s="1115"/>
      <c r="AR1488" s="1115"/>
      <c r="AS1488" s="1117"/>
      <c r="AT1488" s="1075" t="s">
        <v>182</v>
      </c>
      <c r="AU1488" s="1078" t="s">
        <v>845</v>
      </c>
      <c r="AV1488" s="330">
        <f>SQRT(($R1488-Infrastructure!J$3)^2+($S1488-Infrastructure!K$3)^2)</f>
        <v>23.34523506</v>
      </c>
      <c r="AW1488" s="331">
        <f>SQRT(($R1488-Infrastructure!J$4)^2+($S1488-Infrastructure!K$4)^2)</f>
        <v>14.36836804</v>
      </c>
      <c r="AX1488" s="331">
        <f>SQRT(($R1488-Infrastructure!J$5)^2+($S1488-Infrastructure!K$5)^2)</f>
        <v>11.01635148</v>
      </c>
      <c r="AY1488" s="331">
        <f>SQRT(($R1488-Infrastructure!J$6)^2+($S1488-Infrastructure!K$6)^2)</f>
        <v>7.802563681</v>
      </c>
      <c r="AZ1488" s="331">
        <f>SQRT(($R1488-Infrastructure!J$7)^2+($S1488-Infrastructure!K$7)^2)</f>
        <v>12.84056074</v>
      </c>
      <c r="BA1488" s="331">
        <f>SQRT(($R1488-Infrastructure!J$8)^2+($S1488-Infrastructure!K$8)^2)</f>
        <v>21.28097742</v>
      </c>
      <c r="BB1488" s="331">
        <f>SQRT(($R1488-Infrastructure!J$9)^2+($S1488-Infrastructure!K$9)^2)</f>
        <v>29.85113063</v>
      </c>
      <c r="BC1488" s="331">
        <f>SQRT(($R1488-Infrastructure!J$10)^2+($S1488-Infrastructure!K$10)^2)</f>
        <v>30.49098227</v>
      </c>
      <c r="BD1488" s="331">
        <f>SQRT(($R1488-Infrastructure!J$11)^2+($S1488-Infrastructure!K$11)^2)</f>
        <v>36.4804057</v>
      </c>
      <c r="BE1488" s="333">
        <f>SQRT(($R1488-Infrastructure!J$12)^2+($S1488-Infrastructure!K$12)^2)</f>
        <v>48.70523586</v>
      </c>
      <c r="BF1488" s="330">
        <f t="shared" si="161"/>
        <v>7.802563681</v>
      </c>
      <c r="BG1488" s="333">
        <f t="shared" si="162"/>
        <v>48.70523586</v>
      </c>
      <c r="BH1488" s="1119"/>
      <c r="BI1488" s="319"/>
      <c r="BJ1488" s="319"/>
      <c r="BK1488" s="319"/>
      <c r="BL1488" s="319"/>
      <c r="BM1488" s="955"/>
      <c r="BN1488" s="319"/>
      <c r="BO1488" s="319"/>
      <c r="BP1488" s="953"/>
      <c r="BQ1488" s="319"/>
      <c r="BR1488" s="324"/>
      <c r="BS1488" s="330">
        <f t="shared" si="169"/>
        <v>0</v>
      </c>
      <c r="BT1488" s="331">
        <f t="shared" si="170"/>
        <v>0</v>
      </c>
      <c r="BU1488" s="920"/>
      <c r="BV1488" s="903">
        <f t="shared" si="171"/>
        <v>-0.64375</v>
      </c>
      <c r="BW1488" s="907"/>
      <c r="BX1488" s="908"/>
      <c r="BY1488" s="331" t="b">
        <f t="shared" si="166"/>
        <v>0</v>
      </c>
      <c r="BZ1488" s="340"/>
      <c r="CA1488" s="316"/>
      <c r="CB1488" s="318"/>
      <c r="CC1488" s="318"/>
      <c r="CD1488" s="318"/>
      <c r="CE1488" s="318"/>
      <c r="CF1488" s="318"/>
      <c r="CG1488" s="318"/>
      <c r="CH1488" s="318"/>
      <c r="CI1488" s="318"/>
      <c r="CJ1488" s="463"/>
      <c r="CK1488" s="342"/>
      <c r="CL1488" s="333"/>
      <c r="CM1488" s="1079"/>
      <c r="CN1488" s="1005"/>
      <c r="CO1488" s="1005"/>
      <c r="CP1488" s="1005"/>
    </row>
    <row r="1489">
      <c r="B1489" s="1106" t="s">
        <v>1743</v>
      </c>
      <c r="C1489" s="1107">
        <v>44833.0</v>
      </c>
      <c r="D1489" s="103"/>
      <c r="E1489" s="1108">
        <v>5.0</v>
      </c>
      <c r="F1489" s="110" t="s">
        <v>2179</v>
      </c>
      <c r="G1489" s="1109">
        <v>0.6592592592592592</v>
      </c>
      <c r="H1489" s="1138"/>
      <c r="I1489" s="1138"/>
      <c r="J1489" s="1139"/>
      <c r="K1489" s="1111">
        <v>0.6613425925925925</v>
      </c>
      <c r="L1489" s="1112">
        <v>0.0020833333333333333</v>
      </c>
      <c r="M1489" s="1113" t="s">
        <v>166</v>
      </c>
      <c r="N1489" s="110" t="s">
        <v>187</v>
      </c>
      <c r="O1489" s="1114" t="s">
        <v>198</v>
      </c>
      <c r="P1489" s="1115" t="s">
        <v>218</v>
      </c>
      <c r="Q1489" s="1116"/>
      <c r="R1489" s="120">
        <v>10.3</v>
      </c>
      <c r="S1489" s="1113">
        <v>8.1</v>
      </c>
      <c r="T1489" s="110">
        <v>3.0</v>
      </c>
      <c r="U1489" s="1108">
        <v>7.0</v>
      </c>
      <c r="V1489" s="1108"/>
      <c r="W1489" s="1108"/>
      <c r="X1489" s="1108"/>
      <c r="Y1489" s="1108"/>
      <c r="Z1489" s="1114" t="s">
        <v>1140</v>
      </c>
      <c r="AA1489" s="1114"/>
      <c r="AB1489" s="1114" t="s">
        <v>392</v>
      </c>
      <c r="AC1489" s="1117">
        <v>10.0</v>
      </c>
      <c r="AD1489" s="1115"/>
      <c r="AE1489" s="1115"/>
      <c r="AF1489" s="1115"/>
      <c r="AG1489" s="1115"/>
      <c r="AH1489" s="1115"/>
      <c r="AI1489" s="1115"/>
      <c r="AJ1489" s="1117"/>
      <c r="AK1489" s="1118"/>
      <c r="AL1489" s="1115"/>
      <c r="AM1489" s="1115"/>
      <c r="AN1489" s="1115"/>
      <c r="AO1489" s="1115"/>
      <c r="AP1489" s="1115"/>
      <c r="AQ1489" s="1115"/>
      <c r="AR1489" s="1115"/>
      <c r="AS1489" s="1117"/>
      <c r="AT1489" s="1075" t="s">
        <v>182</v>
      </c>
      <c r="AU1489" s="1078" t="s">
        <v>845</v>
      </c>
      <c r="AV1489" s="330">
        <f>SQRT(($R1489-Infrastructure!J$3)^2+($S1489-Infrastructure!K$3)^2)</f>
        <v>23.34523506</v>
      </c>
      <c r="AW1489" s="331">
        <f>SQRT(($R1489-Infrastructure!J$4)^2+($S1489-Infrastructure!K$4)^2)</f>
        <v>14.36836804</v>
      </c>
      <c r="AX1489" s="331">
        <f>SQRT(($R1489-Infrastructure!J$5)^2+($S1489-Infrastructure!K$5)^2)</f>
        <v>11.01635148</v>
      </c>
      <c r="AY1489" s="331">
        <f>SQRT(($R1489-Infrastructure!J$6)^2+($S1489-Infrastructure!K$6)^2)</f>
        <v>7.802563681</v>
      </c>
      <c r="AZ1489" s="331">
        <f>SQRT(($R1489-Infrastructure!J$7)^2+($S1489-Infrastructure!K$7)^2)</f>
        <v>12.84056074</v>
      </c>
      <c r="BA1489" s="331">
        <f>SQRT(($R1489-Infrastructure!J$8)^2+($S1489-Infrastructure!K$8)^2)</f>
        <v>21.28097742</v>
      </c>
      <c r="BB1489" s="331">
        <f>SQRT(($R1489-Infrastructure!J$9)^2+($S1489-Infrastructure!K$9)^2)</f>
        <v>29.85113063</v>
      </c>
      <c r="BC1489" s="331">
        <f>SQRT(($R1489-Infrastructure!J$10)^2+($S1489-Infrastructure!K$10)^2)</f>
        <v>30.49098227</v>
      </c>
      <c r="BD1489" s="331">
        <f>SQRT(($R1489-Infrastructure!J$11)^2+($S1489-Infrastructure!K$11)^2)</f>
        <v>36.4804057</v>
      </c>
      <c r="BE1489" s="333">
        <f>SQRT(($R1489-Infrastructure!J$12)^2+($S1489-Infrastructure!K$12)^2)</f>
        <v>48.70523586</v>
      </c>
      <c r="BF1489" s="330">
        <f t="shared" si="161"/>
        <v>7.802563681</v>
      </c>
      <c r="BG1489" s="333">
        <f t="shared" si="162"/>
        <v>48.70523586</v>
      </c>
      <c r="BH1489" s="1119"/>
      <c r="BI1489" s="319"/>
      <c r="BJ1489" s="319"/>
      <c r="BK1489" s="319"/>
      <c r="BL1489" s="319"/>
      <c r="BM1489" s="955"/>
      <c r="BN1489" s="319"/>
      <c r="BO1489" s="319"/>
      <c r="BP1489" s="953"/>
      <c r="BQ1489" s="319"/>
      <c r="BR1489" s="324"/>
      <c r="BS1489" s="330">
        <f t="shared" si="169"/>
        <v>0</v>
      </c>
      <c r="BT1489" s="331">
        <f t="shared" si="170"/>
        <v>0</v>
      </c>
      <c r="BU1489" s="920"/>
      <c r="BV1489" s="903">
        <f t="shared" si="171"/>
        <v>-0.6592592593</v>
      </c>
      <c r="BW1489" s="907"/>
      <c r="BX1489" s="908"/>
      <c r="BY1489" s="331" t="b">
        <f t="shared" si="166"/>
        <v>0</v>
      </c>
      <c r="BZ1489" s="340"/>
      <c r="CA1489" s="316"/>
      <c r="CB1489" s="318"/>
      <c r="CC1489" s="318"/>
      <c r="CD1489" s="318"/>
      <c r="CE1489" s="318"/>
      <c r="CF1489" s="318"/>
      <c r="CG1489" s="318"/>
      <c r="CH1489" s="318"/>
      <c r="CI1489" s="318"/>
      <c r="CJ1489" s="463"/>
      <c r="CK1489" s="342"/>
      <c r="CL1489" s="333"/>
      <c r="CM1489" s="1079"/>
      <c r="CN1489" s="1005"/>
      <c r="CO1489" s="1005"/>
      <c r="CP1489" s="1005"/>
    </row>
    <row r="1490">
      <c r="B1490" s="1106" t="s">
        <v>1743</v>
      </c>
      <c r="C1490" s="1107">
        <v>44833.0</v>
      </c>
      <c r="D1490" s="103"/>
      <c r="E1490" s="1137"/>
      <c r="F1490" s="112" t="s">
        <v>2180</v>
      </c>
      <c r="G1490" s="1192"/>
      <c r="H1490" s="1138"/>
      <c r="I1490" s="1138"/>
      <c r="J1490" s="1139"/>
      <c r="K1490" s="1139"/>
      <c r="L1490" s="1112">
        <v>0.0</v>
      </c>
      <c r="M1490" s="1113" t="s">
        <v>166</v>
      </c>
      <c r="N1490" s="110" t="s">
        <v>188</v>
      </c>
      <c r="O1490" s="1140"/>
      <c r="P1490" s="1115" t="s">
        <v>292</v>
      </c>
      <c r="Q1490" s="1116"/>
      <c r="R1490" s="1141"/>
      <c r="S1490" s="1142"/>
      <c r="T1490" s="1143"/>
      <c r="U1490" s="1137"/>
      <c r="V1490" s="1137"/>
      <c r="W1490" s="1137"/>
      <c r="X1490" s="1137"/>
      <c r="Y1490" s="1137"/>
      <c r="Z1490" s="1114" t="s">
        <v>323</v>
      </c>
      <c r="AA1490" s="1114"/>
      <c r="AB1490" s="1114" t="s">
        <v>323</v>
      </c>
      <c r="AC1490" s="1117" t="s">
        <v>323</v>
      </c>
      <c r="AD1490" s="1115"/>
      <c r="AE1490" s="1115"/>
      <c r="AF1490" s="1115"/>
      <c r="AG1490" s="1115"/>
      <c r="AH1490" s="1115"/>
      <c r="AI1490" s="1115"/>
      <c r="AJ1490" s="1117"/>
      <c r="AK1490" s="1118"/>
      <c r="AL1490" s="1115"/>
      <c r="AM1490" s="1115"/>
      <c r="AN1490" s="1115"/>
      <c r="AO1490" s="1115"/>
      <c r="AP1490" s="1115"/>
      <c r="AQ1490" s="1115"/>
      <c r="AR1490" s="1115"/>
      <c r="AS1490" s="1117"/>
      <c r="AT1490" s="1075"/>
      <c r="AU1490" s="1078"/>
      <c r="AV1490" s="330">
        <f>SQRT(($R1490-Infrastructure!J$3)^2+($S1490-Infrastructure!K$3)^2)</f>
        <v>28.90155705</v>
      </c>
      <c r="AW1490" s="331">
        <f>SQRT(($R1490-Infrastructure!J$4)^2+($S1490-Infrastructure!K$4)^2)</f>
        <v>17.80252791</v>
      </c>
      <c r="AX1490" s="331">
        <f>SQRT(($R1490-Infrastructure!J$5)^2+($S1490-Infrastructure!K$5)^2)</f>
        <v>5.10881591</v>
      </c>
      <c r="AY1490" s="331">
        <f>SQRT(($R1490-Infrastructure!J$6)^2+($S1490-Infrastructure!K$6)^2)</f>
        <v>10.10445446</v>
      </c>
      <c r="AZ1490" s="331">
        <f>SQRT(($R1490-Infrastructure!J$7)^2+($S1490-Infrastructure!K$7)^2)</f>
        <v>20.502195</v>
      </c>
      <c r="BA1490" s="331">
        <f>SQRT(($R1490-Infrastructure!J$8)^2+($S1490-Infrastructure!K$8)^2)</f>
        <v>30.10149498</v>
      </c>
      <c r="BB1490" s="331">
        <f>SQRT(($R1490-Infrastructure!J$9)^2+($S1490-Infrastructure!K$9)^2)</f>
        <v>40.3238143</v>
      </c>
      <c r="BC1490" s="331">
        <f>SQRT(($R1490-Infrastructure!J$10)^2+($S1490-Infrastructure!K$10)^2)</f>
        <v>42.72001873</v>
      </c>
      <c r="BD1490" s="331">
        <f>SQRT(($R1490-Infrastructure!J$11)^2+($S1490-Infrastructure!K$11)^2)</f>
        <v>49.56853841</v>
      </c>
      <c r="BE1490" s="333">
        <f>SQRT(($R1490-Infrastructure!J$12)^2+($S1490-Infrastructure!K$12)^2)</f>
        <v>59.51890456</v>
      </c>
      <c r="BF1490" s="330">
        <f t="shared" si="161"/>
        <v>5.10881591</v>
      </c>
      <c r="BG1490" s="333">
        <f t="shared" si="162"/>
        <v>59.51890456</v>
      </c>
      <c r="BH1490" s="1119"/>
      <c r="BI1490" s="319"/>
      <c r="BJ1490" s="319"/>
      <c r="BK1490" s="319"/>
      <c r="BL1490" s="319"/>
      <c r="BM1490" s="955"/>
      <c r="BN1490" s="319"/>
      <c r="BO1490" s="319"/>
      <c r="BP1490" s="953"/>
      <c r="BQ1490" s="319"/>
      <c r="BR1490" s="324"/>
      <c r="BS1490" s="330">
        <f t="shared" si="169"/>
        <v>0</v>
      </c>
      <c r="BT1490" s="331">
        <f t="shared" si="170"/>
        <v>0</v>
      </c>
      <c r="BU1490" s="920"/>
      <c r="BV1490" s="903">
        <f t="shared" si="171"/>
        <v>0</v>
      </c>
      <c r="BW1490" s="907"/>
      <c r="BX1490" s="908"/>
      <c r="BY1490" s="331" t="b">
        <f t="shared" si="166"/>
        <v>0</v>
      </c>
      <c r="BZ1490" s="340"/>
      <c r="CA1490" s="316"/>
      <c r="CB1490" s="318"/>
      <c r="CC1490" s="318"/>
      <c r="CD1490" s="318"/>
      <c r="CE1490" s="318"/>
      <c r="CF1490" s="318"/>
      <c r="CG1490" s="318"/>
      <c r="CH1490" s="318"/>
      <c r="CI1490" s="318"/>
      <c r="CJ1490" s="463"/>
      <c r="CK1490" s="342"/>
      <c r="CL1490" s="333"/>
      <c r="CM1490" s="1079"/>
      <c r="CN1490" s="1005"/>
      <c r="CO1490" s="1005"/>
      <c r="CP1490" s="1005"/>
    </row>
    <row r="1491">
      <c r="B1491" s="1121" t="s">
        <v>1743</v>
      </c>
      <c r="C1491" s="1122">
        <v>44833.0</v>
      </c>
      <c r="D1491" s="1123"/>
      <c r="E1491" s="1144"/>
      <c r="F1491" s="108" t="s">
        <v>2180</v>
      </c>
      <c r="G1491" s="1170"/>
      <c r="H1491" s="1145"/>
      <c r="I1491" s="1145"/>
      <c r="J1491" s="1146"/>
      <c r="K1491" s="1146"/>
      <c r="L1491" s="1128">
        <v>0.0</v>
      </c>
      <c r="M1491" s="1129" t="s">
        <v>358</v>
      </c>
      <c r="N1491" s="100" t="s">
        <v>188</v>
      </c>
      <c r="O1491" s="1161"/>
      <c r="P1491" s="1131" t="s">
        <v>294</v>
      </c>
      <c r="Q1491" s="1132"/>
      <c r="R1491" s="1148"/>
      <c r="S1491" s="1149"/>
      <c r="T1491" s="1150"/>
      <c r="U1491" s="1144"/>
      <c r="V1491" s="1144"/>
      <c r="W1491" s="1144"/>
      <c r="X1491" s="1144"/>
      <c r="Y1491" s="1144"/>
      <c r="Z1491" s="1130" t="s">
        <v>323</v>
      </c>
      <c r="AA1491" s="1130"/>
      <c r="AB1491" s="1130" t="s">
        <v>323</v>
      </c>
      <c r="AC1491" s="1133" t="s">
        <v>323</v>
      </c>
      <c r="AD1491" s="1131"/>
      <c r="AE1491" s="1131"/>
      <c r="AF1491" s="1131"/>
      <c r="AG1491" s="1131"/>
      <c r="AH1491" s="1131"/>
      <c r="AI1491" s="1131"/>
      <c r="AJ1491" s="1133"/>
      <c r="AK1491" s="1134"/>
      <c r="AL1491" s="1131"/>
      <c r="AM1491" s="1131"/>
      <c r="AN1491" s="1131"/>
      <c r="AO1491" s="1131"/>
      <c r="AP1491" s="1131"/>
      <c r="AQ1491" s="1131"/>
      <c r="AR1491" s="1131"/>
      <c r="AS1491" s="1133"/>
      <c r="AT1491" s="1088"/>
      <c r="AU1491" s="1089"/>
      <c r="AV1491" s="330">
        <f>SQRT(($R1491-Infrastructure!J$3)^2+($S1491-Infrastructure!K$3)^2)</f>
        <v>28.90155705</v>
      </c>
      <c r="AW1491" s="331">
        <f>SQRT(($R1491-Infrastructure!J$4)^2+($S1491-Infrastructure!K$4)^2)</f>
        <v>17.80252791</v>
      </c>
      <c r="AX1491" s="331">
        <f>SQRT(($R1491-Infrastructure!J$5)^2+($S1491-Infrastructure!K$5)^2)</f>
        <v>5.10881591</v>
      </c>
      <c r="AY1491" s="331">
        <f>SQRT(($R1491-Infrastructure!J$6)^2+($S1491-Infrastructure!K$6)^2)</f>
        <v>10.10445446</v>
      </c>
      <c r="AZ1491" s="331">
        <f>SQRT(($R1491-Infrastructure!J$7)^2+($S1491-Infrastructure!K$7)^2)</f>
        <v>20.502195</v>
      </c>
      <c r="BA1491" s="331">
        <f>SQRT(($R1491-Infrastructure!J$8)^2+($S1491-Infrastructure!K$8)^2)</f>
        <v>30.10149498</v>
      </c>
      <c r="BB1491" s="331">
        <f>SQRT(($R1491-Infrastructure!J$9)^2+($S1491-Infrastructure!K$9)^2)</f>
        <v>40.3238143</v>
      </c>
      <c r="BC1491" s="331">
        <f>SQRT(($R1491-Infrastructure!J$10)^2+($S1491-Infrastructure!K$10)^2)</f>
        <v>42.72001873</v>
      </c>
      <c r="BD1491" s="331">
        <f>SQRT(($R1491-Infrastructure!J$11)^2+($S1491-Infrastructure!K$11)^2)</f>
        <v>49.56853841</v>
      </c>
      <c r="BE1491" s="333">
        <f>SQRT(($R1491-Infrastructure!J$12)^2+($S1491-Infrastructure!K$12)^2)</f>
        <v>59.51890456</v>
      </c>
      <c r="BF1491" s="330">
        <f t="shared" si="161"/>
        <v>5.10881591</v>
      </c>
      <c r="BG1491" s="333">
        <f t="shared" si="162"/>
        <v>59.51890456</v>
      </c>
      <c r="BH1491" s="1135"/>
      <c r="BI1491" s="663"/>
      <c r="BJ1491" s="663"/>
      <c r="BK1491" s="663"/>
      <c r="BL1491" s="663"/>
      <c r="BM1491" s="957"/>
      <c r="BN1491" s="663"/>
      <c r="BO1491" s="663"/>
      <c r="BP1491" s="958"/>
      <c r="BQ1491" s="663"/>
      <c r="BR1491" s="637"/>
      <c r="BS1491" s="662">
        <f t="shared" si="169"/>
        <v>0</v>
      </c>
      <c r="BT1491" s="641">
        <f t="shared" si="170"/>
        <v>0</v>
      </c>
      <c r="BU1491" s="937"/>
      <c r="BV1491" s="930">
        <f t="shared" si="171"/>
        <v>0</v>
      </c>
      <c r="BW1491" s="938"/>
      <c r="BX1491" s="939"/>
      <c r="BY1491" s="641" t="b">
        <f t="shared" si="166"/>
        <v>0</v>
      </c>
      <c r="BZ1491" s="742"/>
      <c r="CA1491" s="639"/>
      <c r="CB1491" s="640"/>
      <c r="CC1491" s="640"/>
      <c r="CD1491" s="640"/>
      <c r="CE1491" s="640"/>
      <c r="CF1491" s="640"/>
      <c r="CG1491" s="640"/>
      <c r="CH1491" s="640"/>
      <c r="CI1491" s="640"/>
      <c r="CJ1491" s="785"/>
      <c r="CK1491" s="743"/>
      <c r="CL1491" s="642"/>
      <c r="CM1491" s="1090"/>
      <c r="CN1491" s="1005"/>
      <c r="CO1491" s="1005"/>
      <c r="CP1491" s="1005"/>
    </row>
    <row r="1492">
      <c r="A1492" s="1162" t="s">
        <v>83</v>
      </c>
      <c r="B1492" s="1106" t="s">
        <v>1750</v>
      </c>
      <c r="C1492" s="1107">
        <v>44844.0</v>
      </c>
      <c r="D1492" s="103"/>
      <c r="E1492" s="1108">
        <v>1.0</v>
      </c>
      <c r="F1492" s="112" t="s">
        <v>2181</v>
      </c>
      <c r="G1492" s="1110">
        <v>0.6879050925925926</v>
      </c>
      <c r="H1492" s="1110">
        <v>0.6881944444444444</v>
      </c>
      <c r="I1492" s="1110"/>
      <c r="J1492" s="1111"/>
      <c r="K1492" s="1111">
        <v>0.6912615740740741</v>
      </c>
      <c r="L1492" s="1112">
        <v>0.0030671296296296297</v>
      </c>
      <c r="M1492" s="1113" t="s">
        <v>166</v>
      </c>
      <c r="N1492" s="110" t="s">
        <v>188</v>
      </c>
      <c r="O1492" s="1115" t="s">
        <v>378</v>
      </c>
      <c r="P1492" s="1115" t="s">
        <v>225</v>
      </c>
      <c r="Q1492" s="1115" t="s">
        <v>842</v>
      </c>
      <c r="R1492" s="120">
        <v>22.7</v>
      </c>
      <c r="S1492" s="1113">
        <v>39.7</v>
      </c>
      <c r="T1492" s="110">
        <v>1.1</v>
      </c>
      <c r="U1492" s="1108">
        <v>10.0</v>
      </c>
      <c r="V1492" s="1108"/>
      <c r="W1492" s="1108"/>
      <c r="X1492" s="1108"/>
      <c r="Y1492" s="1108"/>
      <c r="Z1492" s="1114" t="s">
        <v>1140</v>
      </c>
      <c r="AA1492" s="1114"/>
      <c r="AB1492" s="1114" t="s">
        <v>349</v>
      </c>
      <c r="AC1492" s="1117">
        <v>5.0</v>
      </c>
      <c r="AD1492" s="1115"/>
      <c r="AE1492" s="1115"/>
      <c r="AF1492" s="1115"/>
      <c r="AG1492" s="1115"/>
      <c r="AH1492" s="1115"/>
      <c r="AI1492" s="1115"/>
      <c r="AJ1492" s="1117"/>
      <c r="AK1492" s="1118"/>
      <c r="AL1492" s="1115"/>
      <c r="AM1492" s="1115"/>
      <c r="AN1492" s="1115"/>
      <c r="AO1492" s="1115"/>
      <c r="AP1492" s="1115"/>
      <c r="AQ1492" s="1115"/>
      <c r="AR1492" s="1115"/>
      <c r="AS1492" s="1117"/>
      <c r="AT1492" s="1075" t="s">
        <v>183</v>
      </c>
      <c r="AU1492" s="1193" t="s">
        <v>845</v>
      </c>
      <c r="AV1492" s="330">
        <f>SQRT(($R1492-Infrastructure!J$3)^2+($S1492-Infrastructure!K$3)^2)</f>
        <v>25.40944706</v>
      </c>
      <c r="AW1492" s="331">
        <f>SQRT(($R1492-Infrastructure!J$4)^2+($S1492-Infrastructure!K$4)^2)</f>
        <v>31.75862088</v>
      </c>
      <c r="AX1492" s="331">
        <f>SQRT(($R1492-Infrastructure!J$5)^2+($S1492-Infrastructure!K$5)^2)</f>
        <v>41.54708173</v>
      </c>
      <c r="AY1492" s="331">
        <f>SQRT(($R1492-Infrastructure!J$6)^2+($S1492-Infrastructure!K$6)^2)</f>
        <v>41.36568626</v>
      </c>
      <c r="AZ1492" s="331">
        <f>SQRT(($R1492-Infrastructure!J$7)^2+($S1492-Infrastructure!K$7)^2)</f>
        <v>39.46137352</v>
      </c>
      <c r="BA1492" s="331">
        <f>SQRT(($R1492-Infrastructure!J$8)^2+($S1492-Infrastructure!K$8)^2)</f>
        <v>40.08890121</v>
      </c>
      <c r="BB1492" s="331">
        <f>SQRT(($R1492-Infrastructure!J$9)^2+($S1492-Infrastructure!K$9)^2)</f>
        <v>38.68397601</v>
      </c>
      <c r="BC1492" s="331">
        <f>SQRT(($R1492-Infrastructure!J$10)^2+($S1492-Infrastructure!K$10)^2)</f>
        <v>30.15592811</v>
      </c>
      <c r="BD1492" s="331">
        <f>SQRT(($R1492-Infrastructure!J$11)^2+($S1492-Infrastructure!K$11)^2)</f>
        <v>20.51194774</v>
      </c>
      <c r="BE1492" s="333">
        <f>SQRT(($R1492-Infrastructure!J$12)^2+($S1492-Infrastructure!K$12)^2)</f>
        <v>15.84550409</v>
      </c>
      <c r="BF1492" s="330">
        <f t="shared" si="161"/>
        <v>15.84550409</v>
      </c>
      <c r="BG1492" s="333">
        <f t="shared" si="162"/>
        <v>41.54708173</v>
      </c>
      <c r="BH1492" s="1119"/>
      <c r="BI1492" s="319" t="s">
        <v>846</v>
      </c>
      <c r="BJ1492" s="319"/>
      <c r="BK1492" s="319" t="s">
        <v>846</v>
      </c>
      <c r="BL1492" s="319"/>
      <c r="BM1492" s="319"/>
      <c r="BN1492" s="319" t="s">
        <v>846</v>
      </c>
      <c r="BO1492" s="319"/>
      <c r="BP1492" s="953"/>
      <c r="BQ1492" s="319" t="s">
        <v>846</v>
      </c>
      <c r="BR1492" s="324" t="s">
        <v>846</v>
      </c>
      <c r="BS1492" s="330">
        <f t="shared" si="169"/>
        <v>15.84550409</v>
      </c>
      <c r="BT1492" s="331">
        <f t="shared" si="170"/>
        <v>41.54708173</v>
      </c>
      <c r="BU1492" s="920"/>
      <c r="BV1492" s="903">
        <f t="shared" si="171"/>
        <v>-0.6879050926</v>
      </c>
      <c r="BW1492" s="907"/>
      <c r="BX1492" s="908"/>
      <c r="BY1492" s="331"/>
      <c r="BZ1492" s="340"/>
      <c r="CA1492" s="316"/>
      <c r="CB1492" s="318"/>
      <c r="CC1492" s="318"/>
      <c r="CD1492" s="318"/>
      <c r="CE1492" s="318"/>
      <c r="CF1492" s="318"/>
      <c r="CG1492" s="318"/>
      <c r="CH1492" s="318"/>
      <c r="CI1492" s="318"/>
      <c r="CJ1492" s="463"/>
      <c r="CK1492" s="342"/>
      <c r="CL1492" s="333"/>
      <c r="CM1492" s="1079"/>
      <c r="CN1492" s="1005"/>
      <c r="CO1492" s="1005"/>
      <c r="CP1492" s="1005"/>
    </row>
    <row r="1493">
      <c r="B1493" s="1106" t="s">
        <v>1750</v>
      </c>
      <c r="C1493" s="1107">
        <v>44844.0</v>
      </c>
      <c r="D1493" s="103"/>
      <c r="E1493" s="1108">
        <v>2.0</v>
      </c>
      <c r="F1493" s="112" t="s">
        <v>2182</v>
      </c>
      <c r="G1493" s="1110">
        <v>0.6912615740740741</v>
      </c>
      <c r="H1493" s="1110">
        <v>0.6916666666666667</v>
      </c>
      <c r="I1493" s="1110"/>
      <c r="J1493" s="1111"/>
      <c r="K1493" s="1111">
        <v>0.6954282407407407</v>
      </c>
      <c r="L1493" s="1112">
        <v>0.003761574074074074</v>
      </c>
      <c r="M1493" s="1113" t="s">
        <v>166</v>
      </c>
      <c r="N1493" s="110" t="s">
        <v>188</v>
      </c>
      <c r="O1493" s="1115" t="s">
        <v>378</v>
      </c>
      <c r="P1493" s="1115" t="s">
        <v>225</v>
      </c>
      <c r="Q1493" s="1115" t="s">
        <v>842</v>
      </c>
      <c r="R1493" s="120">
        <v>22.7</v>
      </c>
      <c r="S1493" s="1113">
        <v>39.7</v>
      </c>
      <c r="T1493" s="110">
        <v>1.1</v>
      </c>
      <c r="U1493" s="1108">
        <v>15.0</v>
      </c>
      <c r="V1493" s="1108"/>
      <c r="W1493" s="1108"/>
      <c r="X1493" s="1108"/>
      <c r="Y1493" s="1108"/>
      <c r="Z1493" s="1114" t="s">
        <v>1140</v>
      </c>
      <c r="AA1493" s="1114"/>
      <c r="AB1493" s="1114" t="s">
        <v>349</v>
      </c>
      <c r="AC1493" s="1117">
        <v>5.0</v>
      </c>
      <c r="AD1493" s="1115"/>
      <c r="AE1493" s="1115"/>
      <c r="AF1493" s="1115"/>
      <c r="AG1493" s="1115"/>
      <c r="AH1493" s="1115"/>
      <c r="AI1493" s="1115"/>
      <c r="AJ1493" s="1117"/>
      <c r="AK1493" s="1118"/>
      <c r="AL1493" s="1115"/>
      <c r="AM1493" s="1115"/>
      <c r="AN1493" s="1115"/>
      <c r="AO1493" s="1115"/>
      <c r="AP1493" s="1115"/>
      <c r="AQ1493" s="1115"/>
      <c r="AR1493" s="1115"/>
      <c r="AS1493" s="1117"/>
      <c r="AT1493" s="1075" t="s">
        <v>183</v>
      </c>
      <c r="AU1493" s="1193" t="s">
        <v>845</v>
      </c>
      <c r="AV1493" s="330">
        <f>SQRT(($R1493-Infrastructure!J$3)^2+($S1493-Infrastructure!K$3)^2)</f>
        <v>25.40944706</v>
      </c>
      <c r="AW1493" s="331">
        <f>SQRT(($R1493-Infrastructure!J$4)^2+($S1493-Infrastructure!K$4)^2)</f>
        <v>31.75862088</v>
      </c>
      <c r="AX1493" s="331">
        <f>SQRT(($R1493-Infrastructure!J$5)^2+($S1493-Infrastructure!K$5)^2)</f>
        <v>41.54708173</v>
      </c>
      <c r="AY1493" s="331">
        <f>SQRT(($R1493-Infrastructure!J$6)^2+($S1493-Infrastructure!K$6)^2)</f>
        <v>41.36568626</v>
      </c>
      <c r="AZ1493" s="331">
        <f>SQRT(($R1493-Infrastructure!J$7)^2+($S1493-Infrastructure!K$7)^2)</f>
        <v>39.46137352</v>
      </c>
      <c r="BA1493" s="331">
        <f>SQRT(($R1493-Infrastructure!J$8)^2+($S1493-Infrastructure!K$8)^2)</f>
        <v>40.08890121</v>
      </c>
      <c r="BB1493" s="331">
        <f>SQRT(($R1493-Infrastructure!J$9)^2+($S1493-Infrastructure!K$9)^2)</f>
        <v>38.68397601</v>
      </c>
      <c r="BC1493" s="331">
        <f>SQRT(($R1493-Infrastructure!J$10)^2+($S1493-Infrastructure!K$10)^2)</f>
        <v>30.15592811</v>
      </c>
      <c r="BD1493" s="331">
        <f>SQRT(($R1493-Infrastructure!J$11)^2+($S1493-Infrastructure!K$11)^2)</f>
        <v>20.51194774</v>
      </c>
      <c r="BE1493" s="333">
        <f>SQRT(($R1493-Infrastructure!J$12)^2+($S1493-Infrastructure!K$12)^2)</f>
        <v>15.84550409</v>
      </c>
      <c r="BF1493" s="330">
        <f t="shared" si="161"/>
        <v>15.84550409</v>
      </c>
      <c r="BG1493" s="333">
        <f t="shared" si="162"/>
        <v>41.54708173</v>
      </c>
      <c r="BH1493" s="1119"/>
      <c r="BI1493" s="319" t="s">
        <v>846</v>
      </c>
      <c r="BJ1493" s="319"/>
      <c r="BK1493" s="319" t="s">
        <v>846</v>
      </c>
      <c r="BL1493" s="319"/>
      <c r="BM1493" s="319"/>
      <c r="BN1493" s="319" t="s">
        <v>846</v>
      </c>
      <c r="BO1493" s="319"/>
      <c r="BP1493" s="953" t="s">
        <v>846</v>
      </c>
      <c r="BQ1493" s="319" t="s">
        <v>846</v>
      </c>
      <c r="BR1493" s="319" t="s">
        <v>846</v>
      </c>
      <c r="BS1493" s="330">
        <f t="shared" si="169"/>
        <v>15.84550409</v>
      </c>
      <c r="BT1493" s="331">
        <f t="shared" si="170"/>
        <v>41.54708173</v>
      </c>
      <c r="BU1493" s="920"/>
      <c r="BV1493" s="903">
        <f t="shared" si="171"/>
        <v>-0.6912615741</v>
      </c>
      <c r="BW1493" s="907"/>
      <c r="BX1493" s="908"/>
      <c r="BY1493" s="331"/>
      <c r="BZ1493" s="340"/>
      <c r="CA1493" s="316"/>
      <c r="CB1493" s="318"/>
      <c r="CC1493" s="318"/>
      <c r="CD1493" s="318"/>
      <c r="CE1493" s="318"/>
      <c r="CF1493" s="318"/>
      <c r="CG1493" s="318"/>
      <c r="CH1493" s="318"/>
      <c r="CI1493" s="318"/>
      <c r="CJ1493" s="463"/>
      <c r="CK1493" s="342"/>
      <c r="CL1493" s="333"/>
      <c r="CM1493" s="1079"/>
      <c r="CN1493" s="1005"/>
      <c r="CO1493" s="1005"/>
      <c r="CP1493" s="1005"/>
    </row>
    <row r="1494">
      <c r="A1494" s="634"/>
      <c r="B1494" s="1121" t="s">
        <v>1750</v>
      </c>
      <c r="C1494" s="1122">
        <v>44844.0</v>
      </c>
      <c r="D1494" s="1123"/>
      <c r="E1494" s="1124">
        <v>3.0</v>
      </c>
      <c r="F1494" s="108" t="s">
        <v>2183</v>
      </c>
      <c r="G1494" s="1126">
        <v>0.7086805555555555</v>
      </c>
      <c r="H1494" s="1126">
        <v>0.709375</v>
      </c>
      <c r="I1494" s="1126"/>
      <c r="J1494" s="1127"/>
      <c r="K1494" s="1127">
        <v>0.7129629629629629</v>
      </c>
      <c r="L1494" s="1128">
        <v>0.003587962962962963</v>
      </c>
      <c r="M1494" s="1129" t="s">
        <v>166</v>
      </c>
      <c r="N1494" s="100" t="s">
        <v>188</v>
      </c>
      <c r="O1494" s="1131" t="s">
        <v>196</v>
      </c>
      <c r="P1494" s="1131" t="s">
        <v>225</v>
      </c>
      <c r="Q1494" s="1131" t="s">
        <v>842</v>
      </c>
      <c r="R1494" s="137">
        <v>21.7</v>
      </c>
      <c r="S1494" s="1129">
        <v>39.5</v>
      </c>
      <c r="T1494" s="100">
        <v>1.3</v>
      </c>
      <c r="U1494" s="1124">
        <v>30.0</v>
      </c>
      <c r="V1494" s="1124"/>
      <c r="W1494" s="1124"/>
      <c r="X1494" s="1124"/>
      <c r="Y1494" s="1124"/>
      <c r="Z1494" s="1130" t="s">
        <v>387</v>
      </c>
      <c r="AA1494" s="1130"/>
      <c r="AB1494" s="1130" t="s">
        <v>416</v>
      </c>
      <c r="AC1494" s="1133">
        <v>52.5</v>
      </c>
      <c r="AD1494" s="1131"/>
      <c r="AE1494" s="1131"/>
      <c r="AF1494" s="1131"/>
      <c r="AG1494" s="1131"/>
      <c r="AH1494" s="1131"/>
      <c r="AI1494" s="1131"/>
      <c r="AJ1494" s="1133"/>
      <c r="AK1494" s="1134"/>
      <c r="AL1494" s="1131"/>
      <c r="AM1494" s="1131"/>
      <c r="AN1494" s="1131"/>
      <c r="AO1494" s="1131"/>
      <c r="AP1494" s="1131"/>
      <c r="AQ1494" s="1131"/>
      <c r="AR1494" s="1131"/>
      <c r="AS1494" s="1133"/>
      <c r="AT1494" s="1088" t="s">
        <v>183</v>
      </c>
      <c r="AU1494" s="1194" t="s">
        <v>845</v>
      </c>
      <c r="AV1494" s="330">
        <f>SQRT(($R1494-Infrastructure!J$3)^2+($S1494-Infrastructure!K$3)^2)</f>
        <v>24.42048321</v>
      </c>
      <c r="AW1494" s="331">
        <f>SQRT(($R1494-Infrastructure!J$4)^2+($S1494-Infrastructure!K$4)^2)</f>
        <v>30.90129447</v>
      </c>
      <c r="AX1494" s="331">
        <f>SQRT(($R1494-Infrastructure!J$5)^2+($S1494-Infrastructure!K$5)^2)</f>
        <v>40.83331973</v>
      </c>
      <c r="AY1494" s="331">
        <f>SQRT(($R1494-Infrastructure!J$6)^2+($S1494-Infrastructure!K$6)^2)</f>
        <v>40.88031311</v>
      </c>
      <c r="AZ1494" s="331">
        <f>SQRT(($R1494-Infrastructure!J$7)^2+($S1494-Infrastructure!K$7)^2)</f>
        <v>39.21836305</v>
      </c>
      <c r="BA1494" s="331">
        <f>SQRT(($R1494-Infrastructure!J$8)^2+($S1494-Infrastructure!K$8)^2)</f>
        <v>40.08989898</v>
      </c>
      <c r="BB1494" s="331">
        <f>SQRT(($R1494-Infrastructure!J$9)^2+($S1494-Infrastructure!K$9)^2)</f>
        <v>38.96472764</v>
      </c>
      <c r="BC1494" s="331">
        <f>SQRT(($R1494-Infrastructure!J$10)^2+($S1494-Infrastructure!K$10)^2)</f>
        <v>30.58005886</v>
      </c>
      <c r="BD1494" s="331">
        <f>SQRT(($R1494-Infrastructure!J$11)^2+($S1494-Infrastructure!K$11)^2)</f>
        <v>21.27204739</v>
      </c>
      <c r="BE1494" s="333">
        <f>SQRT(($R1494-Infrastructure!J$12)^2+($S1494-Infrastructure!K$12)^2)</f>
        <v>16.00124995</v>
      </c>
      <c r="BF1494" s="330">
        <f t="shared" si="161"/>
        <v>16.00124995</v>
      </c>
      <c r="BG1494" s="333">
        <f t="shared" si="162"/>
        <v>40.88031311</v>
      </c>
      <c r="BH1494" s="1135"/>
      <c r="BI1494" s="663" t="s">
        <v>846</v>
      </c>
      <c r="BJ1494" s="663"/>
      <c r="BK1494" s="663" t="s">
        <v>846</v>
      </c>
      <c r="BL1494" s="663"/>
      <c r="BM1494" s="663"/>
      <c r="BN1494" s="663"/>
      <c r="BO1494" s="663"/>
      <c r="BP1494" s="958"/>
      <c r="BQ1494" s="663"/>
      <c r="BR1494" s="637" t="s">
        <v>846</v>
      </c>
      <c r="BS1494" s="330">
        <f t="shared" si="169"/>
        <v>16.00124995</v>
      </c>
      <c r="BT1494" s="331">
        <f t="shared" si="170"/>
        <v>40.83331973</v>
      </c>
      <c r="BU1494" s="920"/>
      <c r="BV1494" s="903">
        <f t="shared" si="171"/>
        <v>-0.7086805556</v>
      </c>
      <c r="BW1494" s="938"/>
      <c r="BX1494" s="939"/>
      <c r="BY1494" s="641"/>
      <c r="BZ1494" s="742"/>
      <c r="CA1494" s="639"/>
      <c r="CB1494" s="640"/>
      <c r="CC1494" s="640"/>
      <c r="CD1494" s="640"/>
      <c r="CE1494" s="640"/>
      <c r="CF1494" s="640"/>
      <c r="CG1494" s="640"/>
      <c r="CH1494" s="640"/>
      <c r="CI1494" s="640"/>
      <c r="CJ1494" s="785"/>
      <c r="CK1494" s="743"/>
      <c r="CL1494" s="642"/>
      <c r="CM1494" s="1090"/>
      <c r="CN1494" s="1005"/>
      <c r="CO1494" s="1005"/>
      <c r="CP1494" s="1005"/>
    </row>
    <row r="1495">
      <c r="A1495" s="1162" t="s">
        <v>83</v>
      </c>
      <c r="B1495" s="1106" t="s">
        <v>1750</v>
      </c>
      <c r="C1495" s="1107">
        <v>44845.0</v>
      </c>
      <c r="D1495" s="103"/>
      <c r="E1495" s="1108">
        <v>1.0</v>
      </c>
      <c r="F1495" s="112" t="s">
        <v>2184</v>
      </c>
      <c r="G1495" s="1110">
        <v>0.44814814814814813</v>
      </c>
      <c r="H1495" s="1110">
        <v>0.44849537037037035</v>
      </c>
      <c r="I1495" s="1110"/>
      <c r="J1495" s="1111"/>
      <c r="K1495" s="1111">
        <v>0.45034722222222223</v>
      </c>
      <c r="L1495" s="1112">
        <v>0.001851851851851852</v>
      </c>
      <c r="M1495" s="1113" t="s">
        <v>166</v>
      </c>
      <c r="N1495" s="110" t="s">
        <v>188</v>
      </c>
      <c r="O1495" s="1115" t="s">
        <v>196</v>
      </c>
      <c r="P1495" s="1115" t="s">
        <v>225</v>
      </c>
      <c r="Q1495" s="1115" t="s">
        <v>842</v>
      </c>
      <c r="R1495" s="120">
        <v>21.7</v>
      </c>
      <c r="S1495" s="1113">
        <v>39.5</v>
      </c>
      <c r="T1495" s="110">
        <v>1.3</v>
      </c>
      <c r="U1495" s="1108">
        <v>30.0</v>
      </c>
      <c r="V1495" s="1108"/>
      <c r="W1495" s="1108"/>
      <c r="X1495" s="1108"/>
      <c r="Y1495" s="1108"/>
      <c r="Z1495" s="1114" t="s">
        <v>387</v>
      </c>
      <c r="AA1495" s="1114"/>
      <c r="AB1495" s="1114" t="s">
        <v>416</v>
      </c>
      <c r="AC1495" s="1117">
        <v>52.5</v>
      </c>
      <c r="AD1495" s="1115"/>
      <c r="AE1495" s="1115"/>
      <c r="AF1495" s="1115"/>
      <c r="AG1495" s="1115"/>
      <c r="AH1495" s="1115"/>
      <c r="AI1495" s="1115"/>
      <c r="AJ1495" s="1117"/>
      <c r="AK1495" s="1118"/>
      <c r="AL1495" s="1115"/>
      <c r="AM1495" s="1115"/>
      <c r="AN1495" s="1115"/>
      <c r="AO1495" s="1115"/>
      <c r="AP1495" s="1115"/>
      <c r="AQ1495" s="1115"/>
      <c r="AR1495" s="1115"/>
      <c r="AS1495" s="1117"/>
      <c r="AT1495" s="1075" t="s">
        <v>183</v>
      </c>
      <c r="AU1495" s="1193" t="s">
        <v>845</v>
      </c>
      <c r="AV1495" s="330">
        <f>SQRT(($R1495-Infrastructure!J$3)^2+($S1495-Infrastructure!K$3)^2)</f>
        <v>24.42048321</v>
      </c>
      <c r="AW1495" s="331">
        <f>SQRT(($R1495-Infrastructure!J$4)^2+($S1495-Infrastructure!K$4)^2)</f>
        <v>30.90129447</v>
      </c>
      <c r="AX1495" s="331">
        <f>SQRT(($R1495-Infrastructure!J$5)^2+($S1495-Infrastructure!K$5)^2)</f>
        <v>40.83331973</v>
      </c>
      <c r="AY1495" s="331">
        <f>SQRT(($R1495-Infrastructure!J$6)^2+($S1495-Infrastructure!K$6)^2)</f>
        <v>40.88031311</v>
      </c>
      <c r="AZ1495" s="331">
        <f>SQRT(($R1495-Infrastructure!J$7)^2+($S1495-Infrastructure!K$7)^2)</f>
        <v>39.21836305</v>
      </c>
      <c r="BA1495" s="331">
        <f>SQRT(($R1495-Infrastructure!J$8)^2+($S1495-Infrastructure!K$8)^2)</f>
        <v>40.08989898</v>
      </c>
      <c r="BB1495" s="331">
        <f>SQRT(($R1495-Infrastructure!J$9)^2+($S1495-Infrastructure!K$9)^2)</f>
        <v>38.96472764</v>
      </c>
      <c r="BC1495" s="331">
        <f>SQRT(($R1495-Infrastructure!J$10)^2+($S1495-Infrastructure!K$10)^2)</f>
        <v>30.58005886</v>
      </c>
      <c r="BD1495" s="331">
        <f>SQRT(($R1495-Infrastructure!J$11)^2+($S1495-Infrastructure!K$11)^2)</f>
        <v>21.27204739</v>
      </c>
      <c r="BE1495" s="333">
        <f>SQRT(($R1495-Infrastructure!J$12)^2+($S1495-Infrastructure!K$12)^2)</f>
        <v>16.00124995</v>
      </c>
      <c r="BF1495" s="330">
        <f t="shared" si="161"/>
        <v>16.00124995</v>
      </c>
      <c r="BG1495" s="333">
        <f t="shared" si="162"/>
        <v>40.88031311</v>
      </c>
      <c r="BH1495" s="1119"/>
      <c r="BI1495" s="319"/>
      <c r="BJ1495" s="319"/>
      <c r="BK1495" s="319"/>
      <c r="BL1495" s="319"/>
      <c r="BM1495" s="319"/>
      <c r="BN1495" s="319"/>
      <c r="BO1495" s="319"/>
      <c r="BP1495" s="953"/>
      <c r="BQ1495" s="319"/>
      <c r="BR1495" s="319"/>
      <c r="BS1495" s="405">
        <f t="shared" si="169"/>
        <v>0</v>
      </c>
      <c r="BT1495" s="406">
        <f t="shared" si="170"/>
        <v>0</v>
      </c>
      <c r="BU1495" s="931"/>
      <c r="BV1495" s="901">
        <f t="shared" si="171"/>
        <v>-0.4481481481</v>
      </c>
      <c r="BW1495" s="907"/>
      <c r="BX1495" s="908"/>
      <c r="BY1495" s="331"/>
      <c r="BZ1495" s="340"/>
      <c r="CA1495" s="316"/>
      <c r="CB1495" s="318"/>
      <c r="CC1495" s="318"/>
      <c r="CD1495" s="318"/>
      <c r="CE1495" s="318"/>
      <c r="CF1495" s="318"/>
      <c r="CG1495" s="318"/>
      <c r="CH1495" s="318"/>
      <c r="CI1495" s="318"/>
      <c r="CJ1495" s="463"/>
      <c r="CK1495" s="342"/>
      <c r="CL1495" s="333"/>
      <c r="CM1495" s="1079"/>
      <c r="CN1495" s="1005"/>
      <c r="CO1495" s="1005"/>
      <c r="CP1495" s="1005"/>
    </row>
    <row r="1496">
      <c r="B1496" s="1106" t="s">
        <v>1750</v>
      </c>
      <c r="C1496" s="1107">
        <v>44845.0</v>
      </c>
      <c r="D1496" s="103"/>
      <c r="E1496" s="1108">
        <v>2.0</v>
      </c>
      <c r="F1496" s="112" t="s">
        <v>2185</v>
      </c>
      <c r="G1496" s="1110">
        <v>0.45034722222222223</v>
      </c>
      <c r="H1496" s="1110">
        <v>0.4512731481481482</v>
      </c>
      <c r="I1496" s="1110"/>
      <c r="J1496" s="1111"/>
      <c r="K1496" s="1111">
        <v>0.4525462962962963</v>
      </c>
      <c r="L1496" s="1112">
        <v>0.0012731481481481483</v>
      </c>
      <c r="M1496" s="1113" t="s">
        <v>166</v>
      </c>
      <c r="N1496" s="110" t="s">
        <v>188</v>
      </c>
      <c r="O1496" s="1115" t="s">
        <v>196</v>
      </c>
      <c r="P1496" s="1115" t="s">
        <v>225</v>
      </c>
      <c r="Q1496" s="1115" t="s">
        <v>842</v>
      </c>
      <c r="R1496" s="120">
        <v>21.7</v>
      </c>
      <c r="S1496" s="1113">
        <v>39.5</v>
      </c>
      <c r="T1496" s="110">
        <v>1.3</v>
      </c>
      <c r="U1496" s="1108">
        <v>40.0</v>
      </c>
      <c r="V1496" s="1108"/>
      <c r="W1496" s="1108"/>
      <c r="X1496" s="1108"/>
      <c r="Y1496" s="1108"/>
      <c r="Z1496" s="1114" t="s">
        <v>387</v>
      </c>
      <c r="AA1496" s="1114"/>
      <c r="AB1496" s="1114" t="s">
        <v>416</v>
      </c>
      <c r="AC1496" s="1117">
        <v>52.5</v>
      </c>
      <c r="AD1496" s="1115"/>
      <c r="AE1496" s="1115"/>
      <c r="AF1496" s="1115"/>
      <c r="AG1496" s="1115"/>
      <c r="AH1496" s="1115"/>
      <c r="AI1496" s="1115"/>
      <c r="AJ1496" s="1117"/>
      <c r="AK1496" s="1118"/>
      <c r="AL1496" s="1115"/>
      <c r="AM1496" s="1115"/>
      <c r="AN1496" s="1115"/>
      <c r="AO1496" s="1115"/>
      <c r="AP1496" s="1115"/>
      <c r="AQ1496" s="1115"/>
      <c r="AR1496" s="1115"/>
      <c r="AS1496" s="1117"/>
      <c r="AT1496" s="1075" t="s">
        <v>183</v>
      </c>
      <c r="AU1496" s="1193" t="s">
        <v>845</v>
      </c>
      <c r="AV1496" s="330">
        <f>SQRT(($R1496-Infrastructure!J$3)^2+($S1496-Infrastructure!K$3)^2)</f>
        <v>24.42048321</v>
      </c>
      <c r="AW1496" s="331">
        <f>SQRT(($R1496-Infrastructure!J$4)^2+($S1496-Infrastructure!K$4)^2)</f>
        <v>30.90129447</v>
      </c>
      <c r="AX1496" s="331">
        <f>SQRT(($R1496-Infrastructure!J$5)^2+($S1496-Infrastructure!K$5)^2)</f>
        <v>40.83331973</v>
      </c>
      <c r="AY1496" s="331">
        <f>SQRT(($R1496-Infrastructure!J$6)^2+($S1496-Infrastructure!K$6)^2)</f>
        <v>40.88031311</v>
      </c>
      <c r="AZ1496" s="331">
        <f>SQRT(($R1496-Infrastructure!J$7)^2+($S1496-Infrastructure!K$7)^2)</f>
        <v>39.21836305</v>
      </c>
      <c r="BA1496" s="331">
        <f>SQRT(($R1496-Infrastructure!J$8)^2+($S1496-Infrastructure!K$8)^2)</f>
        <v>40.08989898</v>
      </c>
      <c r="BB1496" s="331">
        <f>SQRT(($R1496-Infrastructure!J$9)^2+($S1496-Infrastructure!K$9)^2)</f>
        <v>38.96472764</v>
      </c>
      <c r="BC1496" s="331">
        <f>SQRT(($R1496-Infrastructure!J$10)^2+($S1496-Infrastructure!K$10)^2)</f>
        <v>30.58005886</v>
      </c>
      <c r="BD1496" s="331">
        <f>SQRT(($R1496-Infrastructure!J$11)^2+($S1496-Infrastructure!K$11)^2)</f>
        <v>21.27204739</v>
      </c>
      <c r="BE1496" s="333">
        <f>SQRT(($R1496-Infrastructure!J$12)^2+($S1496-Infrastructure!K$12)^2)</f>
        <v>16.00124995</v>
      </c>
      <c r="BF1496" s="330">
        <f t="shared" si="161"/>
        <v>16.00124995</v>
      </c>
      <c r="BG1496" s="333">
        <f t="shared" si="162"/>
        <v>40.88031311</v>
      </c>
      <c r="BH1496" s="1119"/>
      <c r="BI1496" s="319" t="s">
        <v>846</v>
      </c>
      <c r="BJ1496" s="319"/>
      <c r="BK1496" s="319" t="s">
        <v>846</v>
      </c>
      <c r="BL1496" s="319"/>
      <c r="BM1496" s="319"/>
      <c r="BN1496" s="319"/>
      <c r="BO1496" s="319"/>
      <c r="BP1496" s="953"/>
      <c r="BQ1496" s="319" t="s">
        <v>846</v>
      </c>
      <c r="BR1496" s="319" t="s">
        <v>846</v>
      </c>
      <c r="BS1496" s="330">
        <f t="shared" si="169"/>
        <v>16.00124995</v>
      </c>
      <c r="BT1496" s="331">
        <f t="shared" si="170"/>
        <v>40.83331973</v>
      </c>
      <c r="BU1496" s="920"/>
      <c r="BV1496" s="903">
        <f t="shared" si="171"/>
        <v>-0.4503472222</v>
      </c>
      <c r="BW1496" s="907"/>
      <c r="BX1496" s="908"/>
      <c r="BY1496" s="331"/>
      <c r="BZ1496" s="340"/>
      <c r="CA1496" s="316"/>
      <c r="CB1496" s="318"/>
      <c r="CC1496" s="318"/>
      <c r="CD1496" s="318"/>
      <c r="CE1496" s="318"/>
      <c r="CF1496" s="318"/>
      <c r="CG1496" s="318"/>
      <c r="CH1496" s="318"/>
      <c r="CI1496" s="318"/>
      <c r="CJ1496" s="463"/>
      <c r="CK1496" s="342"/>
      <c r="CL1496" s="333"/>
      <c r="CM1496" s="1079"/>
      <c r="CN1496" s="1005"/>
      <c r="CO1496" s="1005"/>
      <c r="CP1496" s="1005"/>
    </row>
    <row r="1497">
      <c r="B1497" s="1106" t="s">
        <v>1750</v>
      </c>
      <c r="C1497" s="1107">
        <v>44845.0</v>
      </c>
      <c r="D1497" s="103"/>
      <c r="E1497" s="1108"/>
      <c r="F1497" s="112" t="s">
        <v>2186</v>
      </c>
      <c r="G1497" s="1110">
        <v>0.4564236111111111</v>
      </c>
      <c r="H1497" s="1110"/>
      <c r="I1497" s="1110"/>
      <c r="J1497" s="1111"/>
      <c r="K1497" s="1111">
        <v>0.45694444444444443</v>
      </c>
      <c r="L1497" s="1112">
        <v>5.208333333333333E-4</v>
      </c>
      <c r="M1497" s="1113" t="s">
        <v>166</v>
      </c>
      <c r="N1497" s="110" t="s">
        <v>188</v>
      </c>
      <c r="O1497" s="1115"/>
      <c r="P1497" s="1115" t="s">
        <v>292</v>
      </c>
      <c r="Q1497" s="1115"/>
      <c r="R1497" s="120"/>
      <c r="S1497" s="1113"/>
      <c r="T1497" s="110"/>
      <c r="U1497" s="1108"/>
      <c r="V1497" s="1108"/>
      <c r="W1497" s="1108"/>
      <c r="X1497" s="1108"/>
      <c r="Y1497" s="1108"/>
      <c r="Z1497" s="1114" t="s">
        <v>323</v>
      </c>
      <c r="AA1497" s="1114"/>
      <c r="AB1497" s="1114" t="s">
        <v>323</v>
      </c>
      <c r="AC1497" s="1117" t="s">
        <v>323</v>
      </c>
      <c r="AD1497" s="1115"/>
      <c r="AE1497" s="1115"/>
      <c r="AF1497" s="1115"/>
      <c r="AG1497" s="1115"/>
      <c r="AH1497" s="1115"/>
      <c r="AI1497" s="1115"/>
      <c r="AJ1497" s="1117"/>
      <c r="AK1497" s="1118"/>
      <c r="AL1497" s="1115"/>
      <c r="AM1497" s="1115"/>
      <c r="AN1497" s="1115"/>
      <c r="AO1497" s="1115"/>
      <c r="AP1497" s="1115"/>
      <c r="AQ1497" s="1115"/>
      <c r="AR1497" s="1115"/>
      <c r="AS1497" s="1117"/>
      <c r="AT1497" s="1075"/>
      <c r="AU1497" s="1193"/>
      <c r="AV1497" s="330">
        <f>SQRT(($R1497-Infrastructure!J$3)^2+($S1497-Infrastructure!K$3)^2)</f>
        <v>28.90155705</v>
      </c>
      <c r="AW1497" s="331">
        <f>SQRT(($R1497-Infrastructure!J$4)^2+($S1497-Infrastructure!K$4)^2)</f>
        <v>17.80252791</v>
      </c>
      <c r="AX1497" s="331">
        <f>SQRT(($R1497-Infrastructure!J$5)^2+($S1497-Infrastructure!K$5)^2)</f>
        <v>5.10881591</v>
      </c>
      <c r="AY1497" s="331">
        <f>SQRT(($R1497-Infrastructure!J$6)^2+($S1497-Infrastructure!K$6)^2)</f>
        <v>10.10445446</v>
      </c>
      <c r="AZ1497" s="331">
        <f>SQRT(($R1497-Infrastructure!J$7)^2+($S1497-Infrastructure!K$7)^2)</f>
        <v>20.502195</v>
      </c>
      <c r="BA1497" s="331">
        <f>SQRT(($R1497-Infrastructure!J$8)^2+($S1497-Infrastructure!K$8)^2)</f>
        <v>30.10149498</v>
      </c>
      <c r="BB1497" s="331">
        <f>SQRT(($R1497-Infrastructure!J$9)^2+($S1497-Infrastructure!K$9)^2)</f>
        <v>40.3238143</v>
      </c>
      <c r="BC1497" s="331">
        <f>SQRT(($R1497-Infrastructure!J$10)^2+($S1497-Infrastructure!K$10)^2)</f>
        <v>42.72001873</v>
      </c>
      <c r="BD1497" s="331">
        <f>SQRT(($R1497-Infrastructure!J$11)^2+($S1497-Infrastructure!K$11)^2)</f>
        <v>49.56853841</v>
      </c>
      <c r="BE1497" s="333">
        <f>SQRT(($R1497-Infrastructure!J$12)^2+($S1497-Infrastructure!K$12)^2)</f>
        <v>59.51890456</v>
      </c>
      <c r="BF1497" s="330">
        <f t="shared" si="161"/>
        <v>5.10881591</v>
      </c>
      <c r="BG1497" s="333">
        <f t="shared" si="162"/>
        <v>59.51890456</v>
      </c>
      <c r="BH1497" s="1119"/>
      <c r="BI1497" s="319"/>
      <c r="BJ1497" s="319"/>
      <c r="BK1497" s="319"/>
      <c r="BL1497" s="319"/>
      <c r="BM1497" s="319"/>
      <c r="BN1497" s="319"/>
      <c r="BO1497" s="319"/>
      <c r="BP1497" s="953"/>
      <c r="BQ1497" s="319"/>
      <c r="BR1497" s="319"/>
      <c r="BS1497" s="330">
        <f t="shared" si="169"/>
        <v>0</v>
      </c>
      <c r="BT1497" s="331">
        <f t="shared" si="170"/>
        <v>0</v>
      </c>
      <c r="BU1497" s="920"/>
      <c r="BV1497" s="903">
        <f t="shared" si="171"/>
        <v>-0.4564236111</v>
      </c>
      <c r="BW1497" s="907"/>
      <c r="BX1497" s="908"/>
      <c r="BY1497" s="331"/>
      <c r="BZ1497" s="340"/>
      <c r="CA1497" s="316"/>
      <c r="CB1497" s="318"/>
      <c r="CC1497" s="318"/>
      <c r="CD1497" s="318"/>
      <c r="CE1497" s="318"/>
      <c r="CF1497" s="318"/>
      <c r="CG1497" s="318"/>
      <c r="CH1497" s="318"/>
      <c r="CI1497" s="318"/>
      <c r="CJ1497" s="463"/>
      <c r="CK1497" s="342"/>
      <c r="CL1497" s="333"/>
      <c r="CM1497" s="1079"/>
      <c r="CN1497" s="1005"/>
      <c r="CO1497" s="1005"/>
      <c r="CP1497" s="1005"/>
    </row>
    <row r="1498">
      <c r="B1498" s="1106" t="s">
        <v>1750</v>
      </c>
      <c r="C1498" s="1107">
        <v>44845.0</v>
      </c>
      <c r="D1498" s="103"/>
      <c r="E1498" s="1108"/>
      <c r="F1498" s="112" t="s">
        <v>2186</v>
      </c>
      <c r="G1498" s="1110">
        <v>0.47291666666666665</v>
      </c>
      <c r="H1498" s="1110"/>
      <c r="I1498" s="1110"/>
      <c r="J1498" s="1111"/>
      <c r="K1498" s="1111">
        <v>0.4739583333333333</v>
      </c>
      <c r="L1498" s="1112">
        <v>0.0010416666666666667</v>
      </c>
      <c r="M1498" s="1113" t="s">
        <v>358</v>
      </c>
      <c r="N1498" s="110" t="s">
        <v>188</v>
      </c>
      <c r="O1498" s="1115"/>
      <c r="P1498" s="1115" t="s">
        <v>294</v>
      </c>
      <c r="Q1498" s="1115"/>
      <c r="R1498" s="120"/>
      <c r="S1498" s="1113"/>
      <c r="T1498" s="110"/>
      <c r="U1498" s="1108"/>
      <c r="V1498" s="1108"/>
      <c r="W1498" s="1108"/>
      <c r="X1498" s="1108"/>
      <c r="Y1498" s="1108"/>
      <c r="Z1498" s="1114" t="s">
        <v>323</v>
      </c>
      <c r="AA1498" s="1114"/>
      <c r="AB1498" s="1114" t="s">
        <v>323</v>
      </c>
      <c r="AC1498" s="1117" t="s">
        <v>323</v>
      </c>
      <c r="AD1498" s="1115"/>
      <c r="AE1498" s="1115"/>
      <c r="AF1498" s="1115"/>
      <c r="AG1498" s="1115"/>
      <c r="AH1498" s="1115"/>
      <c r="AI1498" s="1115"/>
      <c r="AJ1498" s="1117"/>
      <c r="AK1498" s="1118"/>
      <c r="AL1498" s="1115"/>
      <c r="AM1498" s="1115"/>
      <c r="AN1498" s="1115"/>
      <c r="AO1498" s="1115"/>
      <c r="AP1498" s="1115"/>
      <c r="AQ1498" s="1115"/>
      <c r="AR1498" s="1115"/>
      <c r="AS1498" s="1117"/>
      <c r="AT1498" s="1075"/>
      <c r="AU1498" s="1193"/>
      <c r="AV1498" s="330">
        <f>SQRT(($R1498-Infrastructure!J$3)^2+($S1498-Infrastructure!K$3)^2)</f>
        <v>28.90155705</v>
      </c>
      <c r="AW1498" s="331">
        <f>SQRT(($R1498-Infrastructure!J$4)^2+($S1498-Infrastructure!K$4)^2)</f>
        <v>17.80252791</v>
      </c>
      <c r="AX1498" s="331">
        <f>SQRT(($R1498-Infrastructure!J$5)^2+($S1498-Infrastructure!K$5)^2)</f>
        <v>5.10881591</v>
      </c>
      <c r="AY1498" s="331">
        <f>SQRT(($R1498-Infrastructure!J$6)^2+($S1498-Infrastructure!K$6)^2)</f>
        <v>10.10445446</v>
      </c>
      <c r="AZ1498" s="331">
        <f>SQRT(($R1498-Infrastructure!J$7)^2+($S1498-Infrastructure!K$7)^2)</f>
        <v>20.502195</v>
      </c>
      <c r="BA1498" s="331">
        <f>SQRT(($R1498-Infrastructure!J$8)^2+($S1498-Infrastructure!K$8)^2)</f>
        <v>30.10149498</v>
      </c>
      <c r="BB1498" s="331">
        <f>SQRT(($R1498-Infrastructure!J$9)^2+($S1498-Infrastructure!K$9)^2)</f>
        <v>40.3238143</v>
      </c>
      <c r="BC1498" s="331">
        <f>SQRT(($R1498-Infrastructure!J$10)^2+($S1498-Infrastructure!K$10)^2)</f>
        <v>42.72001873</v>
      </c>
      <c r="BD1498" s="331">
        <f>SQRT(($R1498-Infrastructure!J$11)^2+($S1498-Infrastructure!K$11)^2)</f>
        <v>49.56853841</v>
      </c>
      <c r="BE1498" s="333">
        <f>SQRT(($R1498-Infrastructure!J$12)^2+($S1498-Infrastructure!K$12)^2)</f>
        <v>59.51890456</v>
      </c>
      <c r="BF1498" s="330">
        <f t="shared" si="161"/>
        <v>5.10881591</v>
      </c>
      <c r="BG1498" s="333">
        <f t="shared" si="162"/>
        <v>59.51890456</v>
      </c>
      <c r="BH1498" s="1119"/>
      <c r="BI1498" s="319"/>
      <c r="BJ1498" s="319"/>
      <c r="BK1498" s="319"/>
      <c r="BL1498" s="319"/>
      <c r="BM1498" s="319"/>
      <c r="BN1498" s="319"/>
      <c r="BO1498" s="319"/>
      <c r="BP1498" s="953"/>
      <c r="BQ1498" s="319"/>
      <c r="BR1498" s="319"/>
      <c r="BS1498" s="662">
        <f t="shared" si="169"/>
        <v>0</v>
      </c>
      <c r="BT1498" s="641">
        <f t="shared" si="170"/>
        <v>0</v>
      </c>
      <c r="BU1498" s="937"/>
      <c r="BV1498" s="930">
        <f t="shared" si="171"/>
        <v>-0.4729166667</v>
      </c>
      <c r="BW1498" s="907"/>
      <c r="BX1498" s="908"/>
      <c r="BY1498" s="331"/>
      <c r="BZ1498" s="340"/>
      <c r="CA1498" s="316"/>
      <c r="CB1498" s="318"/>
      <c r="CC1498" s="318"/>
      <c r="CD1498" s="318"/>
      <c r="CE1498" s="318"/>
      <c r="CF1498" s="318"/>
      <c r="CG1498" s="318"/>
      <c r="CH1498" s="318"/>
      <c r="CI1498" s="318"/>
      <c r="CJ1498" s="463"/>
      <c r="CK1498" s="342"/>
      <c r="CL1498" s="333"/>
      <c r="CM1498" s="1079"/>
      <c r="CN1498" s="1005"/>
      <c r="CO1498" s="1005"/>
      <c r="CP1498" s="1005"/>
    </row>
    <row r="1499">
      <c r="A1499" s="1160" t="s">
        <v>84</v>
      </c>
      <c r="B1499" s="1091" t="s">
        <v>1750</v>
      </c>
      <c r="C1499" s="1092">
        <v>44847.0</v>
      </c>
      <c r="D1499" s="1093"/>
      <c r="E1499" s="1094">
        <v>1.0</v>
      </c>
      <c r="F1499" s="1179" t="s">
        <v>2187</v>
      </c>
      <c r="G1499" s="1096">
        <v>0.47934027777777777</v>
      </c>
      <c r="H1499" s="1096">
        <v>0.4798611111111111</v>
      </c>
      <c r="I1499" s="1096"/>
      <c r="J1499" s="1097"/>
      <c r="K1499" s="1097">
        <v>0.48813657407407407</v>
      </c>
      <c r="L1499" s="1098">
        <v>0.008275462962962964</v>
      </c>
      <c r="M1499" s="1099" t="s">
        <v>166</v>
      </c>
      <c r="N1499" s="129" t="s">
        <v>187</v>
      </c>
      <c r="O1499" s="1101" t="s">
        <v>206</v>
      </c>
      <c r="P1499" s="1101" t="s">
        <v>223</v>
      </c>
      <c r="Q1499" s="1101"/>
      <c r="R1499" s="132">
        <v>21.8</v>
      </c>
      <c r="S1499" s="1099">
        <v>7.4</v>
      </c>
      <c r="T1499" s="129">
        <v>0.4</v>
      </c>
      <c r="U1499" s="1094">
        <v>0.5</v>
      </c>
      <c r="V1499" s="1094"/>
      <c r="W1499" s="1094"/>
      <c r="X1499" s="1094"/>
      <c r="Y1499" s="1094"/>
      <c r="Z1499" s="1100" t="s">
        <v>347</v>
      </c>
      <c r="AA1499" s="1100"/>
      <c r="AB1499" s="1100" t="s">
        <v>384</v>
      </c>
      <c r="AC1499" s="1102">
        <v>6.0</v>
      </c>
      <c r="AD1499" s="1101"/>
      <c r="AE1499" s="1101"/>
      <c r="AF1499" s="1101"/>
      <c r="AG1499" s="1101"/>
      <c r="AH1499" s="1101"/>
      <c r="AI1499" s="1101"/>
      <c r="AJ1499" s="1102"/>
      <c r="AK1499" s="1103"/>
      <c r="AL1499" s="1101"/>
      <c r="AM1499" s="1101"/>
      <c r="AN1499" s="1101"/>
      <c r="AO1499" s="1101"/>
      <c r="AP1499" s="1101"/>
      <c r="AQ1499" s="1101"/>
      <c r="AR1499" s="1101"/>
      <c r="AS1499" s="1102"/>
      <c r="AT1499" s="1066" t="s">
        <v>181</v>
      </c>
      <c r="AU1499" s="1195" t="s">
        <v>845</v>
      </c>
      <c r="AV1499" s="330">
        <f>SQRT(($R1499-Infrastructure!J$3)^2+($S1499-Infrastructure!K$3)^2)</f>
        <v>30.83277477</v>
      </c>
      <c r="AW1499" s="331">
        <f>SQRT(($R1499-Infrastructure!J$4)^2+($S1499-Infrastructure!K$4)^2)</f>
        <v>24.4247825</v>
      </c>
      <c r="AX1499" s="331">
        <f>SQRT(($R1499-Infrastructure!J$5)^2+($S1499-Infrastructure!K$5)^2)</f>
        <v>22.21936093</v>
      </c>
      <c r="AY1499" s="331">
        <f>SQRT(($R1499-Infrastructure!J$6)^2+($S1499-Infrastructure!K$6)^2)</f>
        <v>13.68575902</v>
      </c>
      <c r="AZ1499" s="331">
        <f>SQRT(($R1499-Infrastructure!J$7)^2+($S1499-Infrastructure!K$7)^2)</f>
        <v>7.218032973</v>
      </c>
      <c r="BA1499" s="331">
        <f>SQRT(($R1499-Infrastructure!J$8)^2+($S1499-Infrastructure!K$8)^2)</f>
        <v>10.92245394</v>
      </c>
      <c r="BB1499" s="331">
        <f>SQRT(($R1499-Infrastructure!J$9)^2+($S1499-Infrastructure!K$9)^2)</f>
        <v>18.34475402</v>
      </c>
      <c r="BC1499" s="331">
        <f>SQRT(($R1499-Infrastructure!J$10)^2+($S1499-Infrastructure!K$10)^2)</f>
        <v>19.72308292</v>
      </c>
      <c r="BD1499" s="331">
        <f>SQRT(($R1499-Infrastructure!J$11)^2+($S1499-Infrastructure!K$11)^2)</f>
        <v>28.37463656</v>
      </c>
      <c r="BE1499" s="333">
        <f>SQRT(($R1499-Infrastructure!J$12)^2+($S1499-Infrastructure!K$12)^2)</f>
        <v>48.10093554</v>
      </c>
      <c r="BF1499" s="330">
        <f t="shared" si="161"/>
        <v>7.218032973</v>
      </c>
      <c r="BG1499" s="333">
        <f t="shared" si="162"/>
        <v>48.10093554</v>
      </c>
      <c r="BH1499" s="1105"/>
      <c r="BI1499" s="393"/>
      <c r="BJ1499" s="393"/>
      <c r="BK1499" s="393"/>
      <c r="BL1499" s="393"/>
      <c r="BM1499" s="393"/>
      <c r="BN1499" s="393"/>
      <c r="BO1499" s="393"/>
      <c r="BP1499" s="960"/>
      <c r="BQ1499" s="393"/>
      <c r="BR1499" s="394"/>
      <c r="BS1499" s="405">
        <f t="shared" si="169"/>
        <v>0</v>
      </c>
      <c r="BT1499" s="406">
        <f t="shared" si="170"/>
        <v>0</v>
      </c>
      <c r="BU1499" s="931"/>
      <c r="BV1499" s="901">
        <f t="shared" si="171"/>
        <v>-0.4793402778</v>
      </c>
      <c r="BW1499" s="925"/>
      <c r="BX1499" s="926"/>
      <c r="BY1499" s="406"/>
      <c r="BZ1499" s="412"/>
      <c r="CA1499" s="390"/>
      <c r="CB1499" s="392"/>
      <c r="CC1499" s="392"/>
      <c r="CD1499" s="392"/>
      <c r="CE1499" s="392"/>
      <c r="CF1499" s="392"/>
      <c r="CG1499" s="392"/>
      <c r="CH1499" s="392"/>
      <c r="CI1499" s="392"/>
      <c r="CJ1499" s="898"/>
      <c r="CK1499" s="414"/>
      <c r="CL1499" s="408"/>
      <c r="CM1499" s="1077"/>
      <c r="CN1499" s="1005"/>
      <c r="CO1499" s="1005"/>
      <c r="CP1499" s="1005"/>
    </row>
    <row r="1500">
      <c r="B1500" s="1106" t="s">
        <v>1750</v>
      </c>
      <c r="C1500" s="1107">
        <v>44847.0</v>
      </c>
      <c r="D1500" s="103"/>
      <c r="E1500" s="1108">
        <v>2.0</v>
      </c>
      <c r="F1500" s="112" t="s">
        <v>2188</v>
      </c>
      <c r="G1500" s="1110">
        <v>0.48813657407407407</v>
      </c>
      <c r="H1500" s="1110">
        <v>0.48854166666666665</v>
      </c>
      <c r="I1500" s="1110"/>
      <c r="J1500" s="1111"/>
      <c r="K1500" s="1111">
        <v>0.4929398148148148</v>
      </c>
      <c r="L1500" s="1112">
        <v>0.004398148148148148</v>
      </c>
      <c r="M1500" s="1113" t="s">
        <v>166</v>
      </c>
      <c r="N1500" s="110" t="s">
        <v>187</v>
      </c>
      <c r="O1500" s="1115" t="s">
        <v>206</v>
      </c>
      <c r="P1500" s="1115" t="s">
        <v>223</v>
      </c>
      <c r="Q1500" s="1115"/>
      <c r="R1500" s="120">
        <v>21.8</v>
      </c>
      <c r="S1500" s="1113">
        <v>7.4</v>
      </c>
      <c r="T1500" s="110">
        <v>0.4</v>
      </c>
      <c r="U1500" s="1108">
        <v>4.0</v>
      </c>
      <c r="V1500" s="1108"/>
      <c r="W1500" s="1108"/>
      <c r="X1500" s="1108"/>
      <c r="Y1500" s="1108"/>
      <c r="Z1500" s="1114" t="s">
        <v>347</v>
      </c>
      <c r="AA1500" s="1114"/>
      <c r="AB1500" s="1114" t="s">
        <v>384</v>
      </c>
      <c r="AC1500" s="1117">
        <v>6.0</v>
      </c>
      <c r="AD1500" s="1115"/>
      <c r="AE1500" s="1115"/>
      <c r="AF1500" s="1115"/>
      <c r="AG1500" s="1115"/>
      <c r="AH1500" s="1115"/>
      <c r="AI1500" s="1115"/>
      <c r="AJ1500" s="1117"/>
      <c r="AK1500" s="1118"/>
      <c r="AL1500" s="1115"/>
      <c r="AM1500" s="1115"/>
      <c r="AN1500" s="1115"/>
      <c r="AO1500" s="1115"/>
      <c r="AP1500" s="1115"/>
      <c r="AQ1500" s="1115"/>
      <c r="AR1500" s="1115"/>
      <c r="AS1500" s="1117"/>
      <c r="AT1500" s="1075" t="s">
        <v>182</v>
      </c>
      <c r="AU1500" s="1193" t="s">
        <v>845</v>
      </c>
      <c r="AV1500" s="330">
        <f>SQRT(($R1500-Infrastructure!J$3)^2+($S1500-Infrastructure!K$3)^2)</f>
        <v>30.83277477</v>
      </c>
      <c r="AW1500" s="331">
        <f>SQRT(($R1500-Infrastructure!J$4)^2+($S1500-Infrastructure!K$4)^2)</f>
        <v>24.4247825</v>
      </c>
      <c r="AX1500" s="331">
        <f>SQRT(($R1500-Infrastructure!J$5)^2+($S1500-Infrastructure!K$5)^2)</f>
        <v>22.21936093</v>
      </c>
      <c r="AY1500" s="331">
        <f>SQRT(($R1500-Infrastructure!J$6)^2+($S1500-Infrastructure!K$6)^2)</f>
        <v>13.68575902</v>
      </c>
      <c r="AZ1500" s="331">
        <f>SQRT(($R1500-Infrastructure!J$7)^2+($S1500-Infrastructure!K$7)^2)</f>
        <v>7.218032973</v>
      </c>
      <c r="BA1500" s="331">
        <f>SQRT(($R1500-Infrastructure!J$8)^2+($S1500-Infrastructure!K$8)^2)</f>
        <v>10.92245394</v>
      </c>
      <c r="BB1500" s="331">
        <f>SQRT(($R1500-Infrastructure!J$9)^2+($S1500-Infrastructure!K$9)^2)</f>
        <v>18.34475402</v>
      </c>
      <c r="BC1500" s="331">
        <f>SQRT(($R1500-Infrastructure!J$10)^2+($S1500-Infrastructure!K$10)^2)</f>
        <v>19.72308292</v>
      </c>
      <c r="BD1500" s="331">
        <f>SQRT(($R1500-Infrastructure!J$11)^2+($S1500-Infrastructure!K$11)^2)</f>
        <v>28.37463656</v>
      </c>
      <c r="BE1500" s="333">
        <f>SQRT(($R1500-Infrastructure!J$12)^2+($S1500-Infrastructure!K$12)^2)</f>
        <v>48.10093554</v>
      </c>
      <c r="BF1500" s="330">
        <f t="shared" si="161"/>
        <v>7.218032973</v>
      </c>
      <c r="BG1500" s="333">
        <f t="shared" si="162"/>
        <v>48.10093554</v>
      </c>
      <c r="BH1500" s="1119"/>
      <c r="BI1500" s="319"/>
      <c r="BJ1500" s="319"/>
      <c r="BK1500" s="319" t="s">
        <v>846</v>
      </c>
      <c r="BL1500" s="319"/>
      <c r="BM1500" s="319"/>
      <c r="BN1500" s="319" t="s">
        <v>846</v>
      </c>
      <c r="BO1500" s="319"/>
      <c r="BP1500" s="953"/>
      <c r="BQ1500" s="319"/>
      <c r="BR1500" s="324" t="s">
        <v>846</v>
      </c>
      <c r="BS1500" s="330">
        <f t="shared" si="169"/>
        <v>10.92245394</v>
      </c>
      <c r="BT1500" s="331">
        <f t="shared" si="170"/>
        <v>48.10093554</v>
      </c>
      <c r="BU1500" s="920"/>
      <c r="BV1500" s="903">
        <f t="shared" si="171"/>
        <v>-0.4881365741</v>
      </c>
      <c r="BW1500" s="907"/>
      <c r="BX1500" s="908"/>
      <c r="BY1500" s="331"/>
      <c r="BZ1500" s="340"/>
      <c r="CA1500" s="316"/>
      <c r="CB1500" s="318"/>
      <c r="CC1500" s="318"/>
      <c r="CD1500" s="318"/>
      <c r="CE1500" s="318"/>
      <c r="CF1500" s="318"/>
      <c r="CG1500" s="318"/>
      <c r="CH1500" s="318"/>
      <c r="CI1500" s="318"/>
      <c r="CJ1500" s="463"/>
      <c r="CK1500" s="342"/>
      <c r="CL1500" s="333"/>
      <c r="CM1500" s="1079"/>
      <c r="CN1500" s="1005"/>
      <c r="CO1500" s="1005"/>
      <c r="CP1500" s="1005"/>
    </row>
    <row r="1501">
      <c r="B1501" s="1106" t="s">
        <v>1750</v>
      </c>
      <c r="C1501" s="1107">
        <v>44847.0</v>
      </c>
      <c r="D1501" s="103"/>
      <c r="E1501" s="1108"/>
      <c r="F1501" s="112" t="s">
        <v>2189</v>
      </c>
      <c r="G1501" s="1110">
        <v>0.6210069444444445</v>
      </c>
      <c r="H1501" s="1110"/>
      <c r="I1501" s="1110"/>
      <c r="J1501" s="1111"/>
      <c r="K1501" s="1111">
        <v>0.6211805555555555</v>
      </c>
      <c r="L1501" s="1112">
        <v>1.7361111111111112E-4</v>
      </c>
      <c r="M1501" s="1113" t="s">
        <v>166</v>
      </c>
      <c r="N1501" s="110" t="s">
        <v>188</v>
      </c>
      <c r="O1501" s="1115"/>
      <c r="P1501" s="1115" t="s">
        <v>292</v>
      </c>
      <c r="Q1501" s="1115"/>
      <c r="R1501" s="120"/>
      <c r="S1501" s="1113"/>
      <c r="T1501" s="110"/>
      <c r="U1501" s="1108"/>
      <c r="V1501" s="1108"/>
      <c r="W1501" s="1108"/>
      <c r="X1501" s="1108"/>
      <c r="Y1501" s="1108"/>
      <c r="Z1501" s="1114" t="s">
        <v>323</v>
      </c>
      <c r="AA1501" s="1114"/>
      <c r="AB1501" s="1114" t="s">
        <v>323</v>
      </c>
      <c r="AC1501" s="1117" t="s">
        <v>323</v>
      </c>
      <c r="AD1501" s="1115"/>
      <c r="AE1501" s="1115"/>
      <c r="AF1501" s="1115"/>
      <c r="AG1501" s="1115"/>
      <c r="AH1501" s="1115"/>
      <c r="AI1501" s="1115"/>
      <c r="AJ1501" s="1117"/>
      <c r="AK1501" s="1118"/>
      <c r="AL1501" s="1115"/>
      <c r="AM1501" s="1115"/>
      <c r="AN1501" s="1115"/>
      <c r="AO1501" s="1115"/>
      <c r="AP1501" s="1115"/>
      <c r="AQ1501" s="1115"/>
      <c r="AR1501" s="1115"/>
      <c r="AS1501" s="1117"/>
      <c r="AT1501" s="1075"/>
      <c r="AU1501" s="1193"/>
      <c r="AV1501" s="330">
        <f>SQRT(($R1501-Infrastructure!J$3)^2+($S1501-Infrastructure!K$3)^2)</f>
        <v>28.90155705</v>
      </c>
      <c r="AW1501" s="331">
        <f>SQRT(($R1501-Infrastructure!J$4)^2+($S1501-Infrastructure!K$4)^2)</f>
        <v>17.80252791</v>
      </c>
      <c r="AX1501" s="331">
        <f>SQRT(($R1501-Infrastructure!J$5)^2+($S1501-Infrastructure!K$5)^2)</f>
        <v>5.10881591</v>
      </c>
      <c r="AY1501" s="331">
        <f>SQRT(($R1501-Infrastructure!J$6)^2+($S1501-Infrastructure!K$6)^2)</f>
        <v>10.10445446</v>
      </c>
      <c r="AZ1501" s="331">
        <f>SQRT(($R1501-Infrastructure!J$7)^2+($S1501-Infrastructure!K$7)^2)</f>
        <v>20.502195</v>
      </c>
      <c r="BA1501" s="331">
        <f>SQRT(($R1501-Infrastructure!J$8)^2+($S1501-Infrastructure!K$8)^2)</f>
        <v>30.10149498</v>
      </c>
      <c r="BB1501" s="331">
        <f>SQRT(($R1501-Infrastructure!J$9)^2+($S1501-Infrastructure!K$9)^2)</f>
        <v>40.3238143</v>
      </c>
      <c r="BC1501" s="331">
        <f>SQRT(($R1501-Infrastructure!J$10)^2+($S1501-Infrastructure!K$10)^2)</f>
        <v>42.72001873</v>
      </c>
      <c r="BD1501" s="331">
        <f>SQRT(($R1501-Infrastructure!J$11)^2+($S1501-Infrastructure!K$11)^2)</f>
        <v>49.56853841</v>
      </c>
      <c r="BE1501" s="333">
        <f>SQRT(($R1501-Infrastructure!J$12)^2+($S1501-Infrastructure!K$12)^2)</f>
        <v>59.51890456</v>
      </c>
      <c r="BF1501" s="330">
        <f t="shared" si="161"/>
        <v>5.10881591</v>
      </c>
      <c r="BG1501" s="333">
        <f t="shared" si="162"/>
        <v>59.51890456</v>
      </c>
      <c r="BH1501" s="1119"/>
      <c r="BI1501" s="319"/>
      <c r="BJ1501" s="319"/>
      <c r="BK1501" s="319"/>
      <c r="BL1501" s="319"/>
      <c r="BM1501" s="319"/>
      <c r="BN1501" s="319"/>
      <c r="BO1501" s="319"/>
      <c r="BP1501" s="953"/>
      <c r="BQ1501" s="319"/>
      <c r="BR1501" s="324"/>
      <c r="BS1501" s="330">
        <f t="shared" si="169"/>
        <v>0</v>
      </c>
      <c r="BT1501" s="331">
        <f t="shared" si="170"/>
        <v>0</v>
      </c>
      <c r="BU1501" s="920"/>
      <c r="BV1501" s="903">
        <f t="shared" si="171"/>
        <v>-0.6210069444</v>
      </c>
      <c r="BW1501" s="907"/>
      <c r="BX1501" s="908"/>
      <c r="BY1501" s="331"/>
      <c r="BZ1501" s="340"/>
      <c r="CA1501" s="316"/>
      <c r="CB1501" s="318"/>
      <c r="CC1501" s="318"/>
      <c r="CD1501" s="318"/>
      <c r="CE1501" s="318"/>
      <c r="CF1501" s="318"/>
      <c r="CG1501" s="318"/>
      <c r="CH1501" s="318"/>
      <c r="CI1501" s="318"/>
      <c r="CJ1501" s="463"/>
      <c r="CK1501" s="342"/>
      <c r="CL1501" s="333"/>
      <c r="CM1501" s="1079"/>
      <c r="CN1501" s="1005"/>
      <c r="CO1501" s="1005"/>
      <c r="CP1501" s="1005"/>
    </row>
    <row r="1502">
      <c r="B1502" s="1106" t="s">
        <v>1750</v>
      </c>
      <c r="C1502" s="1107">
        <v>44847.0</v>
      </c>
      <c r="D1502" s="103"/>
      <c r="E1502" s="1108"/>
      <c r="F1502" s="112" t="s">
        <v>2189</v>
      </c>
      <c r="G1502" s="1110">
        <v>0.6291666666666667</v>
      </c>
      <c r="H1502" s="1110"/>
      <c r="I1502" s="1110"/>
      <c r="J1502" s="1111"/>
      <c r="K1502" s="1111">
        <v>0.6302083333333334</v>
      </c>
      <c r="L1502" s="1112">
        <v>0.0010416666666666667</v>
      </c>
      <c r="M1502" s="1113" t="s">
        <v>358</v>
      </c>
      <c r="N1502" s="110" t="s">
        <v>188</v>
      </c>
      <c r="O1502" s="1115"/>
      <c r="P1502" s="1115" t="s">
        <v>294</v>
      </c>
      <c r="Q1502" s="1115"/>
      <c r="R1502" s="120"/>
      <c r="S1502" s="1113"/>
      <c r="T1502" s="110"/>
      <c r="U1502" s="1108"/>
      <c r="V1502" s="1108"/>
      <c r="W1502" s="1108"/>
      <c r="X1502" s="1108"/>
      <c r="Y1502" s="1108"/>
      <c r="Z1502" s="1114" t="s">
        <v>323</v>
      </c>
      <c r="AA1502" s="1114"/>
      <c r="AB1502" s="1114" t="s">
        <v>323</v>
      </c>
      <c r="AC1502" s="1117" t="s">
        <v>323</v>
      </c>
      <c r="AD1502" s="1115"/>
      <c r="AE1502" s="1115"/>
      <c r="AF1502" s="1115"/>
      <c r="AG1502" s="1115"/>
      <c r="AH1502" s="1115"/>
      <c r="AI1502" s="1115"/>
      <c r="AJ1502" s="1117"/>
      <c r="AK1502" s="1118"/>
      <c r="AL1502" s="1115"/>
      <c r="AM1502" s="1115"/>
      <c r="AN1502" s="1115"/>
      <c r="AO1502" s="1115"/>
      <c r="AP1502" s="1115"/>
      <c r="AQ1502" s="1115"/>
      <c r="AR1502" s="1115"/>
      <c r="AS1502" s="1117"/>
      <c r="AT1502" s="1075"/>
      <c r="AU1502" s="1193"/>
      <c r="AV1502" s="330">
        <f>SQRT(($R1502-Infrastructure!J$3)^2+($S1502-Infrastructure!K$3)^2)</f>
        <v>28.90155705</v>
      </c>
      <c r="AW1502" s="331">
        <f>SQRT(($R1502-Infrastructure!J$4)^2+($S1502-Infrastructure!K$4)^2)</f>
        <v>17.80252791</v>
      </c>
      <c r="AX1502" s="331">
        <f>SQRT(($R1502-Infrastructure!J$5)^2+($S1502-Infrastructure!K$5)^2)</f>
        <v>5.10881591</v>
      </c>
      <c r="AY1502" s="331">
        <f>SQRT(($R1502-Infrastructure!J$6)^2+($S1502-Infrastructure!K$6)^2)</f>
        <v>10.10445446</v>
      </c>
      <c r="AZ1502" s="331">
        <f>SQRT(($R1502-Infrastructure!J$7)^2+($S1502-Infrastructure!K$7)^2)</f>
        <v>20.502195</v>
      </c>
      <c r="BA1502" s="331">
        <f>SQRT(($R1502-Infrastructure!J$8)^2+($S1502-Infrastructure!K$8)^2)</f>
        <v>30.10149498</v>
      </c>
      <c r="BB1502" s="331">
        <f>SQRT(($R1502-Infrastructure!J$9)^2+($S1502-Infrastructure!K$9)^2)</f>
        <v>40.3238143</v>
      </c>
      <c r="BC1502" s="331">
        <f>SQRT(($R1502-Infrastructure!J$10)^2+($S1502-Infrastructure!K$10)^2)</f>
        <v>42.72001873</v>
      </c>
      <c r="BD1502" s="331">
        <f>SQRT(($R1502-Infrastructure!J$11)^2+($S1502-Infrastructure!K$11)^2)</f>
        <v>49.56853841</v>
      </c>
      <c r="BE1502" s="333">
        <f>SQRT(($R1502-Infrastructure!J$12)^2+($S1502-Infrastructure!K$12)^2)</f>
        <v>59.51890456</v>
      </c>
      <c r="BF1502" s="330">
        <f t="shared" si="161"/>
        <v>5.10881591</v>
      </c>
      <c r="BG1502" s="333">
        <f t="shared" si="162"/>
        <v>59.51890456</v>
      </c>
      <c r="BH1502" s="1119"/>
      <c r="BI1502" s="319"/>
      <c r="BJ1502" s="319"/>
      <c r="BK1502" s="319"/>
      <c r="BL1502" s="319"/>
      <c r="BM1502" s="319"/>
      <c r="BN1502" s="319"/>
      <c r="BO1502" s="319"/>
      <c r="BP1502" s="953"/>
      <c r="BQ1502" s="319"/>
      <c r="BR1502" s="324"/>
      <c r="BS1502" s="330">
        <f t="shared" si="169"/>
        <v>0</v>
      </c>
      <c r="BT1502" s="331">
        <f t="shared" si="170"/>
        <v>0</v>
      </c>
      <c r="BU1502" s="920"/>
      <c r="BV1502" s="903">
        <f t="shared" si="171"/>
        <v>-0.6291666667</v>
      </c>
      <c r="BW1502" s="907"/>
      <c r="BX1502" s="908"/>
      <c r="BY1502" s="331"/>
      <c r="BZ1502" s="340"/>
      <c r="CA1502" s="316"/>
      <c r="CB1502" s="318"/>
      <c r="CC1502" s="318"/>
      <c r="CD1502" s="318"/>
      <c r="CE1502" s="318"/>
      <c r="CF1502" s="318"/>
      <c r="CG1502" s="318"/>
      <c r="CH1502" s="318"/>
      <c r="CI1502" s="318"/>
      <c r="CJ1502" s="463"/>
      <c r="CK1502" s="342"/>
      <c r="CL1502" s="333"/>
      <c r="CM1502" s="1079"/>
      <c r="CN1502" s="1005"/>
      <c r="CO1502" s="1005"/>
      <c r="CP1502" s="1005"/>
    </row>
    <row r="1503">
      <c r="A1503" s="1160" t="s">
        <v>85</v>
      </c>
      <c r="B1503" s="1091" t="s">
        <v>1755</v>
      </c>
      <c r="C1503" s="1092">
        <v>44852.0</v>
      </c>
      <c r="D1503" s="1093"/>
      <c r="E1503" s="1094">
        <v>1.0</v>
      </c>
      <c r="F1503" s="1179" t="s">
        <v>2190</v>
      </c>
      <c r="G1503" s="1096">
        <v>0.6344907407407407</v>
      </c>
      <c r="H1503" s="1096">
        <v>0.6346064814814815</v>
      </c>
      <c r="I1503" s="1096"/>
      <c r="J1503" s="1097"/>
      <c r="K1503" s="1097">
        <v>0.6359953703703703</v>
      </c>
      <c r="L1503" s="1098">
        <v>0.001388888888888889</v>
      </c>
      <c r="M1503" s="1099" t="s">
        <v>358</v>
      </c>
      <c r="N1503" s="129" t="s">
        <v>188</v>
      </c>
      <c r="O1503" s="1101" t="s">
        <v>378</v>
      </c>
      <c r="P1503" s="1101" t="s">
        <v>225</v>
      </c>
      <c r="Q1503" s="1101" t="s">
        <v>842</v>
      </c>
      <c r="R1503" s="132">
        <v>22.7</v>
      </c>
      <c r="S1503" s="1099">
        <v>39.7</v>
      </c>
      <c r="T1503" s="129">
        <v>1.1</v>
      </c>
      <c r="U1503" s="1094">
        <v>1.3</v>
      </c>
      <c r="V1503" s="1094"/>
      <c r="W1503" s="1094"/>
      <c r="X1503" s="1094"/>
      <c r="Y1503" s="1094"/>
      <c r="Z1503" s="1100" t="s">
        <v>1140</v>
      </c>
      <c r="AA1503" s="1100"/>
      <c r="AB1503" s="1100" t="s">
        <v>326</v>
      </c>
      <c r="AC1503" s="1102">
        <v>1.0</v>
      </c>
      <c r="AD1503" s="1101"/>
      <c r="AE1503" s="1101"/>
      <c r="AF1503" s="1101"/>
      <c r="AG1503" s="1101"/>
      <c r="AH1503" s="1101"/>
      <c r="AI1503" s="1101"/>
      <c r="AJ1503" s="1102"/>
      <c r="AK1503" s="1103"/>
      <c r="AL1503" s="1101"/>
      <c r="AM1503" s="1101"/>
      <c r="AN1503" s="1101"/>
      <c r="AO1503" s="1101"/>
      <c r="AP1503" s="1101"/>
      <c r="AQ1503" s="1101"/>
      <c r="AR1503" s="1101"/>
      <c r="AS1503" s="1102"/>
      <c r="AT1503" s="1066" t="s">
        <v>182</v>
      </c>
      <c r="AU1503" s="1195" t="s">
        <v>845</v>
      </c>
      <c r="AV1503" s="330">
        <f>SQRT(($R1503-Infrastructure!J$3)^2+($S1503-Infrastructure!K$3)^2)</f>
        <v>25.40944706</v>
      </c>
      <c r="AW1503" s="331">
        <f>SQRT(($R1503-Infrastructure!J$4)^2+($S1503-Infrastructure!K$4)^2)</f>
        <v>31.75862088</v>
      </c>
      <c r="AX1503" s="331">
        <f>SQRT(($R1503-Infrastructure!J$5)^2+($S1503-Infrastructure!K$5)^2)</f>
        <v>41.54708173</v>
      </c>
      <c r="AY1503" s="331">
        <f>SQRT(($R1503-Infrastructure!J$6)^2+($S1503-Infrastructure!K$6)^2)</f>
        <v>41.36568626</v>
      </c>
      <c r="AZ1503" s="331">
        <f>SQRT(($R1503-Infrastructure!J$7)^2+($S1503-Infrastructure!K$7)^2)</f>
        <v>39.46137352</v>
      </c>
      <c r="BA1503" s="331">
        <f>SQRT(($R1503-Infrastructure!J$8)^2+($S1503-Infrastructure!K$8)^2)</f>
        <v>40.08890121</v>
      </c>
      <c r="BB1503" s="331">
        <f>SQRT(($R1503-Infrastructure!J$9)^2+($S1503-Infrastructure!K$9)^2)</f>
        <v>38.68397601</v>
      </c>
      <c r="BC1503" s="331">
        <f>SQRT(($R1503-Infrastructure!J$10)^2+($S1503-Infrastructure!K$10)^2)</f>
        <v>30.15592811</v>
      </c>
      <c r="BD1503" s="331">
        <f>SQRT(($R1503-Infrastructure!J$11)^2+($S1503-Infrastructure!K$11)^2)</f>
        <v>20.51194774</v>
      </c>
      <c r="BE1503" s="333">
        <f>SQRT(($R1503-Infrastructure!J$12)^2+($S1503-Infrastructure!K$12)^2)</f>
        <v>15.84550409</v>
      </c>
      <c r="BF1503" s="330">
        <f t="shared" si="161"/>
        <v>15.84550409</v>
      </c>
      <c r="BG1503" s="333">
        <f t="shared" si="162"/>
        <v>41.54708173</v>
      </c>
      <c r="BH1503" s="1105"/>
      <c r="BI1503" s="393"/>
      <c r="BJ1503" s="393"/>
      <c r="BK1503" s="393"/>
      <c r="BL1503" s="393"/>
      <c r="BM1503" s="393"/>
      <c r="BN1503" s="393"/>
      <c r="BO1503" s="393"/>
      <c r="BP1503" s="960"/>
      <c r="BQ1503" s="393"/>
      <c r="BR1503" s="393"/>
      <c r="BS1503" s="405">
        <f t="shared" si="169"/>
        <v>0</v>
      </c>
      <c r="BT1503" s="406">
        <f t="shared" si="170"/>
        <v>0</v>
      </c>
      <c r="BU1503" s="931"/>
      <c r="BV1503" s="901">
        <f t="shared" si="171"/>
        <v>-0.6344907407</v>
      </c>
      <c r="BW1503" s="925"/>
      <c r="BX1503" s="926"/>
      <c r="BY1503" s="406"/>
      <c r="BZ1503" s="412"/>
      <c r="CA1503" s="390"/>
      <c r="CB1503" s="392"/>
      <c r="CC1503" s="392"/>
      <c r="CD1503" s="392"/>
      <c r="CE1503" s="392"/>
      <c r="CF1503" s="392"/>
      <c r="CG1503" s="392"/>
      <c r="CH1503" s="392"/>
      <c r="CI1503" s="392"/>
      <c r="CJ1503" s="898"/>
      <c r="CK1503" s="414"/>
      <c r="CL1503" s="408"/>
      <c r="CM1503" s="1077"/>
      <c r="CN1503" s="1005"/>
      <c r="CO1503" s="1005"/>
      <c r="CP1503" s="1005"/>
    </row>
    <row r="1504">
      <c r="B1504" s="1106" t="s">
        <v>1755</v>
      </c>
      <c r="C1504" s="1107">
        <v>44852.0</v>
      </c>
      <c r="D1504" s="103"/>
      <c r="E1504" s="1108">
        <v>2.0</v>
      </c>
      <c r="F1504" s="112" t="s">
        <v>2191</v>
      </c>
      <c r="G1504" s="1110">
        <v>0.6376157407407408</v>
      </c>
      <c r="H1504" s="1110">
        <v>0.6380208333333334</v>
      </c>
      <c r="I1504" s="1110"/>
      <c r="J1504" s="1111"/>
      <c r="K1504" s="1111">
        <v>0.6394097222222223</v>
      </c>
      <c r="L1504" s="1112">
        <v>0.001388888888888889</v>
      </c>
      <c r="M1504" s="1113" t="s">
        <v>358</v>
      </c>
      <c r="N1504" s="110" t="s">
        <v>188</v>
      </c>
      <c r="O1504" s="1115" t="s">
        <v>378</v>
      </c>
      <c r="P1504" s="1115" t="s">
        <v>225</v>
      </c>
      <c r="Q1504" s="1115" t="s">
        <v>842</v>
      </c>
      <c r="R1504" s="120">
        <v>22.7</v>
      </c>
      <c r="S1504" s="1113">
        <v>39.7</v>
      </c>
      <c r="T1504" s="110">
        <v>1.1</v>
      </c>
      <c r="U1504" s="1108">
        <v>1.44</v>
      </c>
      <c r="V1504" s="1108"/>
      <c r="W1504" s="1108"/>
      <c r="X1504" s="1108"/>
      <c r="Y1504" s="1108"/>
      <c r="Z1504" s="1114" t="s">
        <v>1140</v>
      </c>
      <c r="AA1504" s="1114"/>
      <c r="AB1504" s="1114" t="s">
        <v>326</v>
      </c>
      <c r="AC1504" s="1117">
        <v>1.0</v>
      </c>
      <c r="AD1504" s="1115"/>
      <c r="AE1504" s="1115"/>
      <c r="AF1504" s="1115"/>
      <c r="AG1504" s="1115"/>
      <c r="AH1504" s="1115"/>
      <c r="AI1504" s="1115"/>
      <c r="AJ1504" s="1117"/>
      <c r="AK1504" s="1118"/>
      <c r="AL1504" s="1115"/>
      <c r="AM1504" s="1115"/>
      <c r="AN1504" s="1115"/>
      <c r="AO1504" s="1115"/>
      <c r="AP1504" s="1115"/>
      <c r="AQ1504" s="1115"/>
      <c r="AR1504" s="1115"/>
      <c r="AS1504" s="1117"/>
      <c r="AT1504" s="1075" t="s">
        <v>182</v>
      </c>
      <c r="AU1504" s="1193" t="s">
        <v>845</v>
      </c>
      <c r="AV1504" s="330">
        <f>SQRT(($R1504-Infrastructure!J$3)^2+($S1504-Infrastructure!K$3)^2)</f>
        <v>25.40944706</v>
      </c>
      <c r="AW1504" s="331">
        <f>SQRT(($R1504-Infrastructure!J$4)^2+($S1504-Infrastructure!K$4)^2)</f>
        <v>31.75862088</v>
      </c>
      <c r="AX1504" s="331">
        <f>SQRT(($R1504-Infrastructure!J$5)^2+($S1504-Infrastructure!K$5)^2)</f>
        <v>41.54708173</v>
      </c>
      <c r="AY1504" s="331">
        <f>SQRT(($R1504-Infrastructure!J$6)^2+($S1504-Infrastructure!K$6)^2)</f>
        <v>41.36568626</v>
      </c>
      <c r="AZ1504" s="331">
        <f>SQRT(($R1504-Infrastructure!J$7)^2+($S1504-Infrastructure!K$7)^2)</f>
        <v>39.46137352</v>
      </c>
      <c r="BA1504" s="331">
        <f>SQRT(($R1504-Infrastructure!J$8)^2+($S1504-Infrastructure!K$8)^2)</f>
        <v>40.08890121</v>
      </c>
      <c r="BB1504" s="331">
        <f>SQRT(($R1504-Infrastructure!J$9)^2+($S1504-Infrastructure!K$9)^2)</f>
        <v>38.68397601</v>
      </c>
      <c r="BC1504" s="331">
        <f>SQRT(($R1504-Infrastructure!J$10)^2+($S1504-Infrastructure!K$10)^2)</f>
        <v>30.15592811</v>
      </c>
      <c r="BD1504" s="331">
        <f>SQRT(($R1504-Infrastructure!J$11)^2+($S1504-Infrastructure!K$11)^2)</f>
        <v>20.51194774</v>
      </c>
      <c r="BE1504" s="333">
        <f>SQRT(($R1504-Infrastructure!J$12)^2+($S1504-Infrastructure!K$12)^2)</f>
        <v>15.84550409</v>
      </c>
      <c r="BF1504" s="330">
        <f t="shared" si="161"/>
        <v>15.84550409</v>
      </c>
      <c r="BG1504" s="333">
        <f t="shared" si="162"/>
        <v>41.54708173</v>
      </c>
      <c r="BH1504" s="1119"/>
      <c r="BI1504" s="319"/>
      <c r="BJ1504" s="319"/>
      <c r="BK1504" s="319" t="s">
        <v>846</v>
      </c>
      <c r="BL1504" s="319"/>
      <c r="BM1504" s="319"/>
      <c r="BN1504" s="319"/>
      <c r="BO1504" s="319"/>
      <c r="BP1504" s="953"/>
      <c r="BQ1504" s="319" t="s">
        <v>846</v>
      </c>
      <c r="BR1504" s="319" t="s">
        <v>846</v>
      </c>
      <c r="BS1504" s="330">
        <f t="shared" si="169"/>
        <v>15.84550409</v>
      </c>
      <c r="BT1504" s="331">
        <f t="shared" si="170"/>
        <v>41.54708173</v>
      </c>
      <c r="BU1504" s="920"/>
      <c r="BV1504" s="903">
        <f t="shared" si="171"/>
        <v>-0.6376157407</v>
      </c>
      <c r="BW1504" s="907"/>
      <c r="BX1504" s="908"/>
      <c r="BY1504" s="331"/>
      <c r="BZ1504" s="340"/>
      <c r="CA1504" s="316"/>
      <c r="CB1504" s="318"/>
      <c r="CC1504" s="318"/>
      <c r="CD1504" s="318"/>
      <c r="CE1504" s="318"/>
      <c r="CF1504" s="318"/>
      <c r="CG1504" s="318"/>
      <c r="CH1504" s="318"/>
      <c r="CI1504" s="318"/>
      <c r="CJ1504" s="463"/>
      <c r="CK1504" s="342"/>
      <c r="CL1504" s="333"/>
      <c r="CM1504" s="1079"/>
      <c r="CN1504" s="1005"/>
      <c r="CO1504" s="1005"/>
      <c r="CP1504" s="1005"/>
    </row>
    <row r="1505">
      <c r="B1505" s="1106" t="s">
        <v>1755</v>
      </c>
      <c r="C1505" s="1107">
        <v>44852.0</v>
      </c>
      <c r="D1505" s="103"/>
      <c r="E1505" s="1108">
        <v>3.0</v>
      </c>
      <c r="F1505" s="112" t="s">
        <v>2192</v>
      </c>
      <c r="G1505" s="1110">
        <v>0.6408564814814814</v>
      </c>
      <c r="H1505" s="1110">
        <v>0.641261574074074</v>
      </c>
      <c r="I1505" s="1110"/>
      <c r="J1505" s="1111"/>
      <c r="K1505" s="1111">
        <v>0.6426504629629629</v>
      </c>
      <c r="L1505" s="1112">
        <v>0.001388888888888889</v>
      </c>
      <c r="M1505" s="1113" t="s">
        <v>358</v>
      </c>
      <c r="N1505" s="110" t="s">
        <v>188</v>
      </c>
      <c r="O1505" s="1115" t="s">
        <v>378</v>
      </c>
      <c r="P1505" s="1115" t="s">
        <v>225</v>
      </c>
      <c r="Q1505" s="1115" t="s">
        <v>842</v>
      </c>
      <c r="R1505" s="120">
        <v>22.7</v>
      </c>
      <c r="S1505" s="1113">
        <v>39.7</v>
      </c>
      <c r="T1505" s="110">
        <v>1.1</v>
      </c>
      <c r="U1505" s="1108">
        <v>2.95</v>
      </c>
      <c r="V1505" s="1108"/>
      <c r="W1505" s="1108"/>
      <c r="X1505" s="1108"/>
      <c r="Y1505" s="1108"/>
      <c r="Z1505" s="1114" t="s">
        <v>1140</v>
      </c>
      <c r="AA1505" s="1114"/>
      <c r="AB1505" s="1114" t="s">
        <v>329</v>
      </c>
      <c r="AC1505" s="1117">
        <v>1.5</v>
      </c>
      <c r="AD1505" s="1115"/>
      <c r="AE1505" s="1115"/>
      <c r="AF1505" s="1115"/>
      <c r="AG1505" s="1115"/>
      <c r="AH1505" s="1115"/>
      <c r="AI1505" s="1115"/>
      <c r="AJ1505" s="1117"/>
      <c r="AK1505" s="1118"/>
      <c r="AL1505" s="1115"/>
      <c r="AM1505" s="1115"/>
      <c r="AN1505" s="1115"/>
      <c r="AO1505" s="1115"/>
      <c r="AP1505" s="1115"/>
      <c r="AQ1505" s="1115"/>
      <c r="AR1505" s="1115"/>
      <c r="AS1505" s="1117"/>
      <c r="AT1505" s="1075" t="s">
        <v>182</v>
      </c>
      <c r="AU1505" s="1193" t="s">
        <v>845</v>
      </c>
      <c r="AV1505" s="330">
        <f>SQRT(($R1505-Infrastructure!J$3)^2+($S1505-Infrastructure!K$3)^2)</f>
        <v>25.40944706</v>
      </c>
      <c r="AW1505" s="331">
        <f>SQRT(($R1505-Infrastructure!J$4)^2+($S1505-Infrastructure!K$4)^2)</f>
        <v>31.75862088</v>
      </c>
      <c r="AX1505" s="331">
        <f>SQRT(($R1505-Infrastructure!J$5)^2+($S1505-Infrastructure!K$5)^2)</f>
        <v>41.54708173</v>
      </c>
      <c r="AY1505" s="331">
        <f>SQRT(($R1505-Infrastructure!J$6)^2+($S1505-Infrastructure!K$6)^2)</f>
        <v>41.36568626</v>
      </c>
      <c r="AZ1505" s="331">
        <f>SQRT(($R1505-Infrastructure!J$7)^2+($S1505-Infrastructure!K$7)^2)</f>
        <v>39.46137352</v>
      </c>
      <c r="BA1505" s="331">
        <f>SQRT(($R1505-Infrastructure!J$8)^2+($S1505-Infrastructure!K$8)^2)</f>
        <v>40.08890121</v>
      </c>
      <c r="BB1505" s="331">
        <f>SQRT(($R1505-Infrastructure!J$9)^2+($S1505-Infrastructure!K$9)^2)</f>
        <v>38.68397601</v>
      </c>
      <c r="BC1505" s="331">
        <f>SQRT(($R1505-Infrastructure!J$10)^2+($S1505-Infrastructure!K$10)^2)</f>
        <v>30.15592811</v>
      </c>
      <c r="BD1505" s="331">
        <f>SQRT(($R1505-Infrastructure!J$11)^2+($S1505-Infrastructure!K$11)^2)</f>
        <v>20.51194774</v>
      </c>
      <c r="BE1505" s="333">
        <f>SQRT(($R1505-Infrastructure!J$12)^2+($S1505-Infrastructure!K$12)^2)</f>
        <v>15.84550409</v>
      </c>
      <c r="BF1505" s="330">
        <f t="shared" si="161"/>
        <v>15.84550409</v>
      </c>
      <c r="BG1505" s="333">
        <f t="shared" si="162"/>
        <v>41.54708173</v>
      </c>
      <c r="BH1505" s="1119"/>
      <c r="BI1505" s="319" t="s">
        <v>846</v>
      </c>
      <c r="BJ1505" s="319"/>
      <c r="BK1505" s="319" t="s">
        <v>846</v>
      </c>
      <c r="BL1505" s="319"/>
      <c r="BM1505" s="319"/>
      <c r="BN1505" s="319"/>
      <c r="BO1505" s="319"/>
      <c r="BP1505" s="953"/>
      <c r="BQ1505" s="319" t="s">
        <v>846</v>
      </c>
      <c r="BR1505" s="319" t="s">
        <v>846</v>
      </c>
      <c r="BS1505" s="330">
        <f t="shared" si="169"/>
        <v>15.84550409</v>
      </c>
      <c r="BT1505" s="331">
        <f t="shared" si="170"/>
        <v>41.54708173</v>
      </c>
      <c r="BU1505" s="920"/>
      <c r="BV1505" s="903">
        <f t="shared" si="171"/>
        <v>-0.6408564815</v>
      </c>
      <c r="BW1505" s="907"/>
      <c r="BX1505" s="908"/>
      <c r="BY1505" s="331"/>
      <c r="BZ1505" s="340"/>
      <c r="CA1505" s="316"/>
      <c r="CB1505" s="318"/>
      <c r="CC1505" s="318"/>
      <c r="CD1505" s="318"/>
      <c r="CE1505" s="318"/>
      <c r="CF1505" s="318"/>
      <c r="CG1505" s="318"/>
      <c r="CH1505" s="318"/>
      <c r="CI1505" s="318"/>
      <c r="CJ1505" s="463"/>
      <c r="CK1505" s="342"/>
      <c r="CL1505" s="333"/>
      <c r="CM1505" s="1079"/>
      <c r="CN1505" s="1005"/>
      <c r="CO1505" s="1005"/>
      <c r="CP1505" s="1005"/>
    </row>
    <row r="1506">
      <c r="B1506" s="1106" t="s">
        <v>1755</v>
      </c>
      <c r="C1506" s="1107">
        <v>44852.0</v>
      </c>
      <c r="D1506" s="103"/>
      <c r="E1506" s="1108">
        <v>4.0</v>
      </c>
      <c r="F1506" s="112" t="s">
        <v>2193</v>
      </c>
      <c r="G1506" s="1110">
        <v>0.6440393518518519</v>
      </c>
      <c r="H1506" s="1110">
        <v>0.6442708333333333</v>
      </c>
      <c r="I1506" s="1110"/>
      <c r="J1506" s="1111"/>
      <c r="K1506" s="1111">
        <v>0.6456597222222222</v>
      </c>
      <c r="L1506" s="1112">
        <v>0.001388888888888889</v>
      </c>
      <c r="M1506" s="1113" t="s">
        <v>358</v>
      </c>
      <c r="N1506" s="110" t="s">
        <v>188</v>
      </c>
      <c r="O1506" s="1115" t="s">
        <v>378</v>
      </c>
      <c r="P1506" s="1115" t="s">
        <v>225</v>
      </c>
      <c r="Q1506" s="1115" t="s">
        <v>842</v>
      </c>
      <c r="R1506" s="120">
        <v>22.7</v>
      </c>
      <c r="S1506" s="1113">
        <v>39.7</v>
      </c>
      <c r="T1506" s="110">
        <v>1.1</v>
      </c>
      <c r="U1506" s="1108">
        <v>2.82</v>
      </c>
      <c r="V1506" s="1108"/>
      <c r="W1506" s="1108"/>
      <c r="X1506" s="1108"/>
      <c r="Y1506" s="1108"/>
      <c r="Z1506" s="1114" t="s">
        <v>1140</v>
      </c>
      <c r="AA1506" s="1114"/>
      <c r="AB1506" s="1114" t="s">
        <v>329</v>
      </c>
      <c r="AC1506" s="1117">
        <v>1.5</v>
      </c>
      <c r="AD1506" s="1115"/>
      <c r="AE1506" s="1115"/>
      <c r="AF1506" s="1115"/>
      <c r="AG1506" s="1115"/>
      <c r="AH1506" s="1115"/>
      <c r="AI1506" s="1115"/>
      <c r="AJ1506" s="1117"/>
      <c r="AK1506" s="1118"/>
      <c r="AL1506" s="1115"/>
      <c r="AM1506" s="1115"/>
      <c r="AN1506" s="1115"/>
      <c r="AO1506" s="1115"/>
      <c r="AP1506" s="1115"/>
      <c r="AQ1506" s="1115"/>
      <c r="AR1506" s="1115"/>
      <c r="AS1506" s="1117"/>
      <c r="AT1506" s="1075" t="s">
        <v>182</v>
      </c>
      <c r="AU1506" s="1193" t="s">
        <v>845</v>
      </c>
      <c r="AV1506" s="330">
        <f>SQRT(($R1506-Infrastructure!J$3)^2+($S1506-Infrastructure!K$3)^2)</f>
        <v>25.40944706</v>
      </c>
      <c r="AW1506" s="331">
        <f>SQRT(($R1506-Infrastructure!J$4)^2+($S1506-Infrastructure!K$4)^2)</f>
        <v>31.75862088</v>
      </c>
      <c r="AX1506" s="331">
        <f>SQRT(($R1506-Infrastructure!J$5)^2+($S1506-Infrastructure!K$5)^2)</f>
        <v>41.54708173</v>
      </c>
      <c r="AY1506" s="331">
        <f>SQRT(($R1506-Infrastructure!J$6)^2+($S1506-Infrastructure!K$6)^2)</f>
        <v>41.36568626</v>
      </c>
      <c r="AZ1506" s="331">
        <f>SQRT(($R1506-Infrastructure!J$7)^2+($S1506-Infrastructure!K$7)^2)</f>
        <v>39.46137352</v>
      </c>
      <c r="BA1506" s="331">
        <f>SQRT(($R1506-Infrastructure!J$8)^2+($S1506-Infrastructure!K$8)^2)</f>
        <v>40.08890121</v>
      </c>
      <c r="BB1506" s="331">
        <f>SQRT(($R1506-Infrastructure!J$9)^2+($S1506-Infrastructure!K$9)^2)</f>
        <v>38.68397601</v>
      </c>
      <c r="BC1506" s="331">
        <f>SQRT(($R1506-Infrastructure!J$10)^2+($S1506-Infrastructure!K$10)^2)</f>
        <v>30.15592811</v>
      </c>
      <c r="BD1506" s="331">
        <f>SQRT(($R1506-Infrastructure!J$11)^2+($S1506-Infrastructure!K$11)^2)</f>
        <v>20.51194774</v>
      </c>
      <c r="BE1506" s="333">
        <f>SQRT(($R1506-Infrastructure!J$12)^2+($S1506-Infrastructure!K$12)^2)</f>
        <v>15.84550409</v>
      </c>
      <c r="BF1506" s="330">
        <f t="shared" si="161"/>
        <v>15.84550409</v>
      </c>
      <c r="BG1506" s="333">
        <f t="shared" si="162"/>
        <v>41.54708173</v>
      </c>
      <c r="BH1506" s="1119"/>
      <c r="BI1506" s="319"/>
      <c r="BJ1506" s="319"/>
      <c r="BK1506" s="319" t="s">
        <v>846</v>
      </c>
      <c r="BL1506" s="319"/>
      <c r="BM1506" s="319"/>
      <c r="BN1506" s="319"/>
      <c r="BO1506" s="319"/>
      <c r="BP1506" s="953"/>
      <c r="BQ1506" s="319" t="s">
        <v>846</v>
      </c>
      <c r="BR1506" s="319" t="s">
        <v>846</v>
      </c>
      <c r="BS1506" s="330">
        <f t="shared" si="169"/>
        <v>15.84550409</v>
      </c>
      <c r="BT1506" s="331">
        <f t="shared" si="170"/>
        <v>41.54708173</v>
      </c>
      <c r="BU1506" s="920"/>
      <c r="BV1506" s="903">
        <f t="shared" si="171"/>
        <v>-0.6440393519</v>
      </c>
      <c r="BW1506" s="907"/>
      <c r="BX1506" s="908"/>
      <c r="BY1506" s="331"/>
      <c r="BZ1506" s="340"/>
      <c r="CA1506" s="316"/>
      <c r="CB1506" s="318"/>
      <c r="CC1506" s="318"/>
      <c r="CD1506" s="318"/>
      <c r="CE1506" s="318"/>
      <c r="CF1506" s="318"/>
      <c r="CG1506" s="318"/>
      <c r="CH1506" s="318"/>
      <c r="CI1506" s="318"/>
      <c r="CJ1506" s="463"/>
      <c r="CK1506" s="342"/>
      <c r="CL1506" s="333"/>
      <c r="CM1506" s="1079"/>
      <c r="CN1506" s="1005"/>
      <c r="CO1506" s="1005"/>
      <c r="CP1506" s="1005"/>
    </row>
    <row r="1507">
      <c r="B1507" s="1106" t="s">
        <v>1755</v>
      </c>
      <c r="C1507" s="1107">
        <v>44852.0</v>
      </c>
      <c r="D1507" s="103"/>
      <c r="E1507" s="1108">
        <v>5.0</v>
      </c>
      <c r="F1507" s="112" t="s">
        <v>2194</v>
      </c>
      <c r="G1507" s="1110">
        <v>0.6469907407407407</v>
      </c>
      <c r="H1507" s="1110">
        <v>0.6473958333333333</v>
      </c>
      <c r="I1507" s="1110"/>
      <c r="J1507" s="1111"/>
      <c r="K1507" s="1111">
        <v>0.6487847222222223</v>
      </c>
      <c r="L1507" s="1112">
        <v>0.001388888888888889</v>
      </c>
      <c r="M1507" s="1113" t="s">
        <v>358</v>
      </c>
      <c r="N1507" s="110" t="s">
        <v>188</v>
      </c>
      <c r="O1507" s="1115" t="s">
        <v>378</v>
      </c>
      <c r="P1507" s="1115" t="s">
        <v>225</v>
      </c>
      <c r="Q1507" s="1115" t="s">
        <v>842</v>
      </c>
      <c r="R1507" s="120">
        <v>22.7</v>
      </c>
      <c r="S1507" s="1113">
        <v>39.7</v>
      </c>
      <c r="T1507" s="110">
        <v>1.1</v>
      </c>
      <c r="U1507" s="1108">
        <v>5.11</v>
      </c>
      <c r="V1507" s="1108"/>
      <c r="W1507" s="1108"/>
      <c r="X1507" s="1108"/>
      <c r="Y1507" s="1108"/>
      <c r="Z1507" s="1114" t="s">
        <v>1140</v>
      </c>
      <c r="AA1507" s="1114"/>
      <c r="AB1507" s="1114" t="s">
        <v>333</v>
      </c>
      <c r="AC1507" s="1117">
        <v>2.0</v>
      </c>
      <c r="AD1507" s="1115"/>
      <c r="AE1507" s="1115"/>
      <c r="AF1507" s="1115"/>
      <c r="AG1507" s="1115"/>
      <c r="AH1507" s="1115"/>
      <c r="AI1507" s="1115"/>
      <c r="AJ1507" s="1117"/>
      <c r="AK1507" s="1118"/>
      <c r="AL1507" s="1115"/>
      <c r="AM1507" s="1115"/>
      <c r="AN1507" s="1115"/>
      <c r="AO1507" s="1115"/>
      <c r="AP1507" s="1115"/>
      <c r="AQ1507" s="1115"/>
      <c r="AR1507" s="1115"/>
      <c r="AS1507" s="1117"/>
      <c r="AT1507" s="1075" t="s">
        <v>182</v>
      </c>
      <c r="AU1507" s="1193" t="s">
        <v>845</v>
      </c>
      <c r="AV1507" s="330">
        <f>SQRT(($R1507-Infrastructure!J$3)^2+($S1507-Infrastructure!K$3)^2)</f>
        <v>25.40944706</v>
      </c>
      <c r="AW1507" s="331">
        <f>SQRT(($R1507-Infrastructure!J$4)^2+($S1507-Infrastructure!K$4)^2)</f>
        <v>31.75862088</v>
      </c>
      <c r="AX1507" s="331">
        <f>SQRT(($R1507-Infrastructure!J$5)^2+($S1507-Infrastructure!K$5)^2)</f>
        <v>41.54708173</v>
      </c>
      <c r="AY1507" s="331">
        <f>SQRT(($R1507-Infrastructure!J$6)^2+($S1507-Infrastructure!K$6)^2)</f>
        <v>41.36568626</v>
      </c>
      <c r="AZ1507" s="331">
        <f>SQRT(($R1507-Infrastructure!J$7)^2+($S1507-Infrastructure!K$7)^2)</f>
        <v>39.46137352</v>
      </c>
      <c r="BA1507" s="331">
        <f>SQRT(($R1507-Infrastructure!J$8)^2+($S1507-Infrastructure!K$8)^2)</f>
        <v>40.08890121</v>
      </c>
      <c r="BB1507" s="331">
        <f>SQRT(($R1507-Infrastructure!J$9)^2+($S1507-Infrastructure!K$9)^2)</f>
        <v>38.68397601</v>
      </c>
      <c r="BC1507" s="331">
        <f>SQRT(($R1507-Infrastructure!J$10)^2+($S1507-Infrastructure!K$10)^2)</f>
        <v>30.15592811</v>
      </c>
      <c r="BD1507" s="331">
        <f>SQRT(($R1507-Infrastructure!J$11)^2+($S1507-Infrastructure!K$11)^2)</f>
        <v>20.51194774</v>
      </c>
      <c r="BE1507" s="333">
        <f>SQRT(($R1507-Infrastructure!J$12)^2+($S1507-Infrastructure!K$12)^2)</f>
        <v>15.84550409</v>
      </c>
      <c r="BF1507" s="330">
        <f t="shared" si="161"/>
        <v>15.84550409</v>
      </c>
      <c r="BG1507" s="333">
        <f t="shared" si="162"/>
        <v>41.54708173</v>
      </c>
      <c r="BH1507" s="1119"/>
      <c r="BI1507" s="319" t="s">
        <v>846</v>
      </c>
      <c r="BJ1507" s="319"/>
      <c r="BK1507" s="319" t="s">
        <v>846</v>
      </c>
      <c r="BL1507" s="319"/>
      <c r="BM1507" s="319"/>
      <c r="BN1507" s="319" t="s">
        <v>846</v>
      </c>
      <c r="BO1507" s="319"/>
      <c r="BP1507" s="953"/>
      <c r="BQ1507" s="319" t="s">
        <v>846</v>
      </c>
      <c r="BR1507" s="319" t="s">
        <v>846</v>
      </c>
      <c r="BS1507" s="330">
        <f t="shared" si="169"/>
        <v>15.84550409</v>
      </c>
      <c r="BT1507" s="331">
        <f t="shared" si="170"/>
        <v>41.54708173</v>
      </c>
      <c r="BU1507" s="920"/>
      <c r="BV1507" s="903">
        <f t="shared" si="171"/>
        <v>-0.6469907407</v>
      </c>
      <c r="BW1507" s="907"/>
      <c r="BX1507" s="908"/>
      <c r="BY1507" s="331"/>
      <c r="BZ1507" s="340"/>
      <c r="CA1507" s="316"/>
      <c r="CB1507" s="318"/>
      <c r="CC1507" s="318"/>
      <c r="CD1507" s="318"/>
      <c r="CE1507" s="318"/>
      <c r="CF1507" s="318"/>
      <c r="CG1507" s="318"/>
      <c r="CH1507" s="318"/>
      <c r="CI1507" s="318"/>
      <c r="CJ1507" s="463"/>
      <c r="CK1507" s="342"/>
      <c r="CL1507" s="333"/>
      <c r="CM1507" s="1079"/>
      <c r="CN1507" s="1005"/>
      <c r="CO1507" s="1005"/>
      <c r="CP1507" s="1005"/>
    </row>
    <row r="1508">
      <c r="B1508" s="1106" t="s">
        <v>1755</v>
      </c>
      <c r="C1508" s="1107">
        <v>44852.0</v>
      </c>
      <c r="D1508" s="103"/>
      <c r="E1508" s="1108">
        <v>6.0</v>
      </c>
      <c r="F1508" s="112" t="s">
        <v>2195</v>
      </c>
      <c r="G1508" s="1110">
        <v>0.65</v>
      </c>
      <c r="H1508" s="1110">
        <v>0.6503472222222222</v>
      </c>
      <c r="I1508" s="1110"/>
      <c r="J1508" s="1111"/>
      <c r="K1508" s="1111">
        <v>0.6517361111111111</v>
      </c>
      <c r="L1508" s="1112">
        <v>0.001388888888888889</v>
      </c>
      <c r="M1508" s="1113" t="s">
        <v>358</v>
      </c>
      <c r="N1508" s="110" t="s">
        <v>188</v>
      </c>
      <c r="O1508" s="1115" t="s">
        <v>378</v>
      </c>
      <c r="P1508" s="1115" t="s">
        <v>225</v>
      </c>
      <c r="Q1508" s="1115" t="s">
        <v>842</v>
      </c>
      <c r="R1508" s="120">
        <v>22.7</v>
      </c>
      <c r="S1508" s="1113">
        <v>39.7</v>
      </c>
      <c r="T1508" s="110">
        <v>1.1</v>
      </c>
      <c r="U1508" s="1108">
        <v>7.1</v>
      </c>
      <c r="V1508" s="1108"/>
      <c r="W1508" s="1108"/>
      <c r="X1508" s="1108"/>
      <c r="Y1508" s="1108"/>
      <c r="Z1508" s="1114" t="s">
        <v>1140</v>
      </c>
      <c r="AA1508" s="1114"/>
      <c r="AB1508" s="1114" t="s">
        <v>333</v>
      </c>
      <c r="AC1508" s="1117">
        <v>2.0</v>
      </c>
      <c r="AD1508" s="1115"/>
      <c r="AE1508" s="1115"/>
      <c r="AF1508" s="1115"/>
      <c r="AG1508" s="1115"/>
      <c r="AH1508" s="1115"/>
      <c r="AI1508" s="1115"/>
      <c r="AJ1508" s="1117"/>
      <c r="AK1508" s="1118"/>
      <c r="AL1508" s="1115"/>
      <c r="AM1508" s="1115"/>
      <c r="AN1508" s="1115"/>
      <c r="AO1508" s="1115"/>
      <c r="AP1508" s="1115"/>
      <c r="AQ1508" s="1115"/>
      <c r="AR1508" s="1115"/>
      <c r="AS1508" s="1117"/>
      <c r="AT1508" s="1075" t="s">
        <v>182</v>
      </c>
      <c r="AU1508" s="1193" t="s">
        <v>845</v>
      </c>
      <c r="AV1508" s="330">
        <f>SQRT(($R1508-Infrastructure!J$3)^2+($S1508-Infrastructure!K$3)^2)</f>
        <v>25.40944706</v>
      </c>
      <c r="AW1508" s="331">
        <f>SQRT(($R1508-Infrastructure!J$4)^2+($S1508-Infrastructure!K$4)^2)</f>
        <v>31.75862088</v>
      </c>
      <c r="AX1508" s="331">
        <f>SQRT(($R1508-Infrastructure!J$5)^2+($S1508-Infrastructure!K$5)^2)</f>
        <v>41.54708173</v>
      </c>
      <c r="AY1508" s="331">
        <f>SQRT(($R1508-Infrastructure!J$6)^2+($S1508-Infrastructure!K$6)^2)</f>
        <v>41.36568626</v>
      </c>
      <c r="AZ1508" s="331">
        <f>SQRT(($R1508-Infrastructure!J$7)^2+($S1508-Infrastructure!K$7)^2)</f>
        <v>39.46137352</v>
      </c>
      <c r="BA1508" s="331">
        <f>SQRT(($R1508-Infrastructure!J$8)^2+($S1508-Infrastructure!K$8)^2)</f>
        <v>40.08890121</v>
      </c>
      <c r="BB1508" s="331">
        <f>SQRT(($R1508-Infrastructure!J$9)^2+($S1508-Infrastructure!K$9)^2)</f>
        <v>38.68397601</v>
      </c>
      <c r="BC1508" s="331">
        <f>SQRT(($R1508-Infrastructure!J$10)^2+($S1508-Infrastructure!K$10)^2)</f>
        <v>30.15592811</v>
      </c>
      <c r="BD1508" s="331">
        <f>SQRT(($R1508-Infrastructure!J$11)^2+($S1508-Infrastructure!K$11)^2)</f>
        <v>20.51194774</v>
      </c>
      <c r="BE1508" s="333">
        <f>SQRT(($R1508-Infrastructure!J$12)^2+($S1508-Infrastructure!K$12)^2)</f>
        <v>15.84550409</v>
      </c>
      <c r="BF1508" s="330">
        <f t="shared" si="161"/>
        <v>15.84550409</v>
      </c>
      <c r="BG1508" s="333">
        <f t="shared" si="162"/>
        <v>41.54708173</v>
      </c>
      <c r="BH1508" s="1119"/>
      <c r="BI1508" s="319" t="s">
        <v>846</v>
      </c>
      <c r="BJ1508" s="319"/>
      <c r="BK1508" s="319" t="s">
        <v>846</v>
      </c>
      <c r="BL1508" s="319"/>
      <c r="BM1508" s="319"/>
      <c r="BN1508" s="319" t="s">
        <v>846</v>
      </c>
      <c r="BO1508" s="319"/>
      <c r="BP1508" s="953"/>
      <c r="BQ1508" s="319" t="s">
        <v>846</v>
      </c>
      <c r="BR1508" s="319" t="s">
        <v>846</v>
      </c>
      <c r="BS1508" s="330">
        <f t="shared" si="169"/>
        <v>15.84550409</v>
      </c>
      <c r="BT1508" s="331">
        <f t="shared" si="170"/>
        <v>41.54708173</v>
      </c>
      <c r="BU1508" s="920"/>
      <c r="BV1508" s="903">
        <f t="shared" si="171"/>
        <v>-0.65</v>
      </c>
      <c r="BW1508" s="907"/>
      <c r="BX1508" s="908"/>
      <c r="BY1508" s="331"/>
      <c r="BZ1508" s="340"/>
      <c r="CA1508" s="316"/>
      <c r="CB1508" s="318"/>
      <c r="CC1508" s="318"/>
      <c r="CD1508" s="318"/>
      <c r="CE1508" s="318"/>
      <c r="CF1508" s="318"/>
      <c r="CG1508" s="318"/>
      <c r="CH1508" s="318"/>
      <c r="CI1508" s="318"/>
      <c r="CJ1508" s="463"/>
      <c r="CK1508" s="342"/>
      <c r="CL1508" s="333"/>
      <c r="CM1508" s="1079"/>
      <c r="CN1508" s="1005"/>
      <c r="CO1508" s="1005"/>
      <c r="CP1508" s="1005"/>
    </row>
    <row r="1509">
      <c r="B1509" s="1106" t="s">
        <v>1755</v>
      </c>
      <c r="C1509" s="1107">
        <v>44852.0</v>
      </c>
      <c r="D1509" s="103"/>
      <c r="E1509" s="1108">
        <v>7.0</v>
      </c>
      <c r="F1509" s="112" t="s">
        <v>2196</v>
      </c>
      <c r="G1509" s="1110">
        <v>0.6530092592592592</v>
      </c>
      <c r="H1509" s="1110">
        <v>0.6532986111111111</v>
      </c>
      <c r="I1509" s="1110"/>
      <c r="J1509" s="1111"/>
      <c r="K1509" s="1111">
        <v>0.6546875</v>
      </c>
      <c r="L1509" s="1112">
        <v>0.001388888888888889</v>
      </c>
      <c r="M1509" s="1113" t="s">
        <v>358</v>
      </c>
      <c r="N1509" s="110" t="s">
        <v>188</v>
      </c>
      <c r="O1509" s="1115" t="s">
        <v>378</v>
      </c>
      <c r="P1509" s="1115" t="s">
        <v>225</v>
      </c>
      <c r="Q1509" s="1115" t="s">
        <v>842</v>
      </c>
      <c r="R1509" s="120">
        <v>22.7</v>
      </c>
      <c r="S1509" s="1113">
        <v>39.7</v>
      </c>
      <c r="T1509" s="110">
        <v>1.1</v>
      </c>
      <c r="U1509" s="1108">
        <v>3.92</v>
      </c>
      <c r="V1509" s="1108"/>
      <c r="W1509" s="1108"/>
      <c r="X1509" s="1108"/>
      <c r="Y1509" s="1108"/>
      <c r="Z1509" s="1114" t="s">
        <v>1140</v>
      </c>
      <c r="AA1509" s="1114"/>
      <c r="AB1509" s="1114" t="s">
        <v>329</v>
      </c>
      <c r="AC1509" s="1117">
        <v>1.5</v>
      </c>
      <c r="AD1509" s="1115"/>
      <c r="AE1509" s="1115"/>
      <c r="AF1509" s="1115"/>
      <c r="AG1509" s="1115"/>
      <c r="AH1509" s="1115"/>
      <c r="AI1509" s="1115"/>
      <c r="AJ1509" s="1117"/>
      <c r="AK1509" s="1118"/>
      <c r="AL1509" s="1115"/>
      <c r="AM1509" s="1115"/>
      <c r="AN1509" s="1115"/>
      <c r="AO1509" s="1115"/>
      <c r="AP1509" s="1115"/>
      <c r="AQ1509" s="1115"/>
      <c r="AR1509" s="1115"/>
      <c r="AS1509" s="1117"/>
      <c r="AT1509" s="1075" t="s">
        <v>182</v>
      </c>
      <c r="AU1509" s="1193" t="s">
        <v>845</v>
      </c>
      <c r="AV1509" s="330">
        <f>SQRT(($R1509-Infrastructure!J$3)^2+($S1509-Infrastructure!K$3)^2)</f>
        <v>25.40944706</v>
      </c>
      <c r="AW1509" s="331">
        <f>SQRT(($R1509-Infrastructure!J$4)^2+($S1509-Infrastructure!K$4)^2)</f>
        <v>31.75862088</v>
      </c>
      <c r="AX1509" s="331">
        <f>SQRT(($R1509-Infrastructure!J$5)^2+($S1509-Infrastructure!K$5)^2)</f>
        <v>41.54708173</v>
      </c>
      <c r="AY1509" s="331">
        <f>SQRT(($R1509-Infrastructure!J$6)^2+($S1509-Infrastructure!K$6)^2)</f>
        <v>41.36568626</v>
      </c>
      <c r="AZ1509" s="331">
        <f>SQRT(($R1509-Infrastructure!J$7)^2+($S1509-Infrastructure!K$7)^2)</f>
        <v>39.46137352</v>
      </c>
      <c r="BA1509" s="331">
        <f>SQRT(($R1509-Infrastructure!J$8)^2+($S1509-Infrastructure!K$8)^2)</f>
        <v>40.08890121</v>
      </c>
      <c r="BB1509" s="331">
        <f>SQRT(($R1509-Infrastructure!J$9)^2+($S1509-Infrastructure!K$9)^2)</f>
        <v>38.68397601</v>
      </c>
      <c r="BC1509" s="331">
        <f>SQRT(($R1509-Infrastructure!J$10)^2+($S1509-Infrastructure!K$10)^2)</f>
        <v>30.15592811</v>
      </c>
      <c r="BD1509" s="331">
        <f>SQRT(($R1509-Infrastructure!J$11)^2+($S1509-Infrastructure!K$11)^2)</f>
        <v>20.51194774</v>
      </c>
      <c r="BE1509" s="333">
        <f>SQRT(($R1509-Infrastructure!J$12)^2+($S1509-Infrastructure!K$12)^2)</f>
        <v>15.84550409</v>
      </c>
      <c r="BF1509" s="330">
        <f t="shared" si="161"/>
        <v>15.84550409</v>
      </c>
      <c r="BG1509" s="333">
        <f t="shared" si="162"/>
        <v>41.54708173</v>
      </c>
      <c r="BH1509" s="1119"/>
      <c r="BI1509" s="319"/>
      <c r="BJ1509" s="319"/>
      <c r="BK1509" s="319" t="s">
        <v>846</v>
      </c>
      <c r="BL1509" s="319"/>
      <c r="BM1509" s="319"/>
      <c r="BN1509" s="319"/>
      <c r="BO1509" s="319"/>
      <c r="BP1509" s="953"/>
      <c r="BQ1509" s="319" t="s">
        <v>846</v>
      </c>
      <c r="BR1509" s="319" t="s">
        <v>846</v>
      </c>
      <c r="BS1509" s="330">
        <f t="shared" si="169"/>
        <v>15.84550409</v>
      </c>
      <c r="BT1509" s="331">
        <f t="shared" si="170"/>
        <v>41.54708173</v>
      </c>
      <c r="BU1509" s="920"/>
      <c r="BV1509" s="903">
        <f t="shared" si="171"/>
        <v>-0.6530092593</v>
      </c>
      <c r="BW1509" s="907"/>
      <c r="BX1509" s="908"/>
      <c r="BY1509" s="331"/>
      <c r="BZ1509" s="340"/>
      <c r="CA1509" s="316"/>
      <c r="CB1509" s="318"/>
      <c r="CC1509" s="318"/>
      <c r="CD1509" s="318"/>
      <c r="CE1509" s="318"/>
      <c r="CF1509" s="318"/>
      <c r="CG1509" s="318"/>
      <c r="CH1509" s="318"/>
      <c r="CI1509" s="318"/>
      <c r="CJ1509" s="463"/>
      <c r="CK1509" s="342"/>
      <c r="CL1509" s="333"/>
      <c r="CM1509" s="1079"/>
      <c r="CN1509" s="1005"/>
      <c r="CO1509" s="1005"/>
      <c r="CP1509" s="1005"/>
    </row>
    <row r="1510">
      <c r="B1510" s="1106" t="s">
        <v>1755</v>
      </c>
      <c r="C1510" s="1107">
        <v>44852.0</v>
      </c>
      <c r="D1510" s="103"/>
      <c r="E1510" s="1108">
        <v>8.0</v>
      </c>
      <c r="F1510" s="112" t="s">
        <v>2197</v>
      </c>
      <c r="G1510" s="1110">
        <v>0.657349537037037</v>
      </c>
      <c r="H1510" s="1110">
        <v>0.6578703703703703</v>
      </c>
      <c r="I1510" s="1110"/>
      <c r="J1510" s="1111"/>
      <c r="K1510" s="1111">
        <v>0.6592592592592592</v>
      </c>
      <c r="L1510" s="1112">
        <v>0.001388888888888889</v>
      </c>
      <c r="M1510" s="1113" t="s">
        <v>358</v>
      </c>
      <c r="N1510" s="110" t="s">
        <v>188</v>
      </c>
      <c r="O1510" s="1115" t="s">
        <v>378</v>
      </c>
      <c r="P1510" s="1115" t="s">
        <v>225</v>
      </c>
      <c r="Q1510" s="1115" t="s">
        <v>842</v>
      </c>
      <c r="R1510" s="120">
        <v>22.7</v>
      </c>
      <c r="S1510" s="1113">
        <v>39.7</v>
      </c>
      <c r="T1510" s="110">
        <v>1.1</v>
      </c>
      <c r="U1510" s="1108">
        <v>4.07</v>
      </c>
      <c r="V1510" s="1108"/>
      <c r="W1510" s="1108"/>
      <c r="X1510" s="1108"/>
      <c r="Y1510" s="1108"/>
      <c r="Z1510" s="1114" t="s">
        <v>1140</v>
      </c>
      <c r="AA1510" s="1114"/>
      <c r="AB1510" s="1114" t="s">
        <v>329</v>
      </c>
      <c r="AC1510" s="1117">
        <v>1.5</v>
      </c>
      <c r="AD1510" s="1115"/>
      <c r="AE1510" s="1115"/>
      <c r="AF1510" s="1115"/>
      <c r="AG1510" s="1115"/>
      <c r="AH1510" s="1115"/>
      <c r="AI1510" s="1115"/>
      <c r="AJ1510" s="1117"/>
      <c r="AK1510" s="1118"/>
      <c r="AL1510" s="1115"/>
      <c r="AM1510" s="1115"/>
      <c r="AN1510" s="1115"/>
      <c r="AO1510" s="1115"/>
      <c r="AP1510" s="1115"/>
      <c r="AQ1510" s="1115"/>
      <c r="AR1510" s="1115"/>
      <c r="AS1510" s="1117"/>
      <c r="AT1510" s="1075" t="s">
        <v>182</v>
      </c>
      <c r="AU1510" s="1193" t="s">
        <v>845</v>
      </c>
      <c r="AV1510" s="330">
        <f>SQRT(($R1510-Infrastructure!J$3)^2+($S1510-Infrastructure!K$3)^2)</f>
        <v>25.40944706</v>
      </c>
      <c r="AW1510" s="331">
        <f>SQRT(($R1510-Infrastructure!J$4)^2+($S1510-Infrastructure!K$4)^2)</f>
        <v>31.75862088</v>
      </c>
      <c r="AX1510" s="331">
        <f>SQRT(($R1510-Infrastructure!J$5)^2+($S1510-Infrastructure!K$5)^2)</f>
        <v>41.54708173</v>
      </c>
      <c r="AY1510" s="331">
        <f>SQRT(($R1510-Infrastructure!J$6)^2+($S1510-Infrastructure!K$6)^2)</f>
        <v>41.36568626</v>
      </c>
      <c r="AZ1510" s="331">
        <f>SQRT(($R1510-Infrastructure!J$7)^2+($S1510-Infrastructure!K$7)^2)</f>
        <v>39.46137352</v>
      </c>
      <c r="BA1510" s="331">
        <f>SQRT(($R1510-Infrastructure!J$8)^2+($S1510-Infrastructure!K$8)^2)</f>
        <v>40.08890121</v>
      </c>
      <c r="BB1510" s="331">
        <f>SQRT(($R1510-Infrastructure!J$9)^2+($S1510-Infrastructure!K$9)^2)</f>
        <v>38.68397601</v>
      </c>
      <c r="BC1510" s="331">
        <f>SQRT(($R1510-Infrastructure!J$10)^2+($S1510-Infrastructure!K$10)^2)</f>
        <v>30.15592811</v>
      </c>
      <c r="BD1510" s="331">
        <f>SQRT(($R1510-Infrastructure!J$11)^2+($S1510-Infrastructure!K$11)^2)</f>
        <v>20.51194774</v>
      </c>
      <c r="BE1510" s="333">
        <f>SQRT(($R1510-Infrastructure!J$12)^2+($S1510-Infrastructure!K$12)^2)</f>
        <v>15.84550409</v>
      </c>
      <c r="BF1510" s="330">
        <f t="shared" si="161"/>
        <v>15.84550409</v>
      </c>
      <c r="BG1510" s="333">
        <f t="shared" si="162"/>
        <v>41.54708173</v>
      </c>
      <c r="BH1510" s="1119"/>
      <c r="BI1510" s="319" t="s">
        <v>846</v>
      </c>
      <c r="BJ1510" s="319"/>
      <c r="BK1510" s="319" t="s">
        <v>846</v>
      </c>
      <c r="BL1510" s="319"/>
      <c r="BM1510" s="319"/>
      <c r="BN1510" s="319" t="s">
        <v>846</v>
      </c>
      <c r="BO1510" s="319"/>
      <c r="BP1510" s="953"/>
      <c r="BQ1510" s="319" t="s">
        <v>846</v>
      </c>
      <c r="BR1510" s="319" t="s">
        <v>846</v>
      </c>
      <c r="BS1510" s="330">
        <f t="shared" si="169"/>
        <v>15.84550409</v>
      </c>
      <c r="BT1510" s="331">
        <f t="shared" si="170"/>
        <v>41.54708173</v>
      </c>
      <c r="BU1510" s="920"/>
      <c r="BV1510" s="903">
        <f t="shared" si="171"/>
        <v>-0.657349537</v>
      </c>
      <c r="BW1510" s="907"/>
      <c r="BX1510" s="908"/>
      <c r="BY1510" s="331"/>
      <c r="BZ1510" s="340"/>
      <c r="CA1510" s="316"/>
      <c r="CB1510" s="318"/>
      <c r="CC1510" s="318"/>
      <c r="CD1510" s="318"/>
      <c r="CE1510" s="318"/>
      <c r="CF1510" s="318"/>
      <c r="CG1510" s="318"/>
      <c r="CH1510" s="318"/>
      <c r="CI1510" s="318"/>
      <c r="CJ1510" s="463"/>
      <c r="CK1510" s="342"/>
      <c r="CL1510" s="333"/>
      <c r="CM1510" s="1079"/>
      <c r="CN1510" s="1005"/>
      <c r="CO1510" s="1005"/>
      <c r="CP1510" s="1005"/>
    </row>
    <row r="1511">
      <c r="B1511" s="1106" t="s">
        <v>1755</v>
      </c>
      <c r="C1511" s="1107">
        <v>44852.0</v>
      </c>
      <c r="D1511" s="103"/>
      <c r="E1511" s="1108">
        <v>9.0</v>
      </c>
      <c r="F1511" s="112" t="s">
        <v>2198</v>
      </c>
      <c r="G1511" s="1110">
        <v>0.6605902777777778</v>
      </c>
      <c r="H1511" s="1110">
        <v>0.6609375</v>
      </c>
      <c r="I1511" s="1110"/>
      <c r="J1511" s="1111"/>
      <c r="K1511" s="1111">
        <v>0.6623263888888888</v>
      </c>
      <c r="L1511" s="1112">
        <v>0.001388888888888889</v>
      </c>
      <c r="M1511" s="1113" t="s">
        <v>358</v>
      </c>
      <c r="N1511" s="110" t="s">
        <v>188</v>
      </c>
      <c r="O1511" s="1115" t="s">
        <v>378</v>
      </c>
      <c r="P1511" s="1115" t="s">
        <v>225</v>
      </c>
      <c r="Q1511" s="1115" t="s">
        <v>842</v>
      </c>
      <c r="R1511" s="120">
        <v>22.7</v>
      </c>
      <c r="S1511" s="1113">
        <v>39.7</v>
      </c>
      <c r="T1511" s="110">
        <v>1.1</v>
      </c>
      <c r="U1511" s="1108">
        <v>2.02</v>
      </c>
      <c r="V1511" s="1108"/>
      <c r="W1511" s="1108"/>
      <c r="X1511" s="1108"/>
      <c r="Y1511" s="1108"/>
      <c r="Z1511" s="1114" t="s">
        <v>1140</v>
      </c>
      <c r="AA1511" s="1114"/>
      <c r="AB1511" s="1114" t="s">
        <v>326</v>
      </c>
      <c r="AC1511" s="1117">
        <v>1.0</v>
      </c>
      <c r="AD1511" s="1115"/>
      <c r="AE1511" s="1115"/>
      <c r="AF1511" s="1115"/>
      <c r="AG1511" s="1115"/>
      <c r="AH1511" s="1115"/>
      <c r="AI1511" s="1115"/>
      <c r="AJ1511" s="1117"/>
      <c r="AK1511" s="1118"/>
      <c r="AL1511" s="1115"/>
      <c r="AM1511" s="1115"/>
      <c r="AN1511" s="1115"/>
      <c r="AO1511" s="1115"/>
      <c r="AP1511" s="1115"/>
      <c r="AQ1511" s="1115"/>
      <c r="AR1511" s="1115"/>
      <c r="AS1511" s="1117"/>
      <c r="AT1511" s="1075" t="s">
        <v>182</v>
      </c>
      <c r="AU1511" s="1193" t="s">
        <v>845</v>
      </c>
      <c r="AV1511" s="330">
        <f>SQRT(($R1511-Infrastructure!J$3)^2+($S1511-Infrastructure!K$3)^2)</f>
        <v>25.40944706</v>
      </c>
      <c r="AW1511" s="331">
        <f>SQRT(($R1511-Infrastructure!J$4)^2+($S1511-Infrastructure!K$4)^2)</f>
        <v>31.75862088</v>
      </c>
      <c r="AX1511" s="331">
        <f>SQRT(($R1511-Infrastructure!J$5)^2+($S1511-Infrastructure!K$5)^2)</f>
        <v>41.54708173</v>
      </c>
      <c r="AY1511" s="331">
        <f>SQRT(($R1511-Infrastructure!J$6)^2+($S1511-Infrastructure!K$6)^2)</f>
        <v>41.36568626</v>
      </c>
      <c r="AZ1511" s="331">
        <f>SQRT(($R1511-Infrastructure!J$7)^2+($S1511-Infrastructure!K$7)^2)</f>
        <v>39.46137352</v>
      </c>
      <c r="BA1511" s="331">
        <f>SQRT(($R1511-Infrastructure!J$8)^2+($S1511-Infrastructure!K$8)^2)</f>
        <v>40.08890121</v>
      </c>
      <c r="BB1511" s="331">
        <f>SQRT(($R1511-Infrastructure!J$9)^2+($S1511-Infrastructure!K$9)^2)</f>
        <v>38.68397601</v>
      </c>
      <c r="BC1511" s="331">
        <f>SQRT(($R1511-Infrastructure!J$10)^2+($S1511-Infrastructure!K$10)^2)</f>
        <v>30.15592811</v>
      </c>
      <c r="BD1511" s="331">
        <f>SQRT(($R1511-Infrastructure!J$11)^2+($S1511-Infrastructure!K$11)^2)</f>
        <v>20.51194774</v>
      </c>
      <c r="BE1511" s="333">
        <f>SQRT(($R1511-Infrastructure!J$12)^2+($S1511-Infrastructure!K$12)^2)</f>
        <v>15.84550409</v>
      </c>
      <c r="BF1511" s="330">
        <f t="shared" si="161"/>
        <v>15.84550409</v>
      </c>
      <c r="BG1511" s="333">
        <f t="shared" si="162"/>
        <v>41.54708173</v>
      </c>
      <c r="BH1511" s="1119"/>
      <c r="BI1511" s="319"/>
      <c r="BJ1511" s="319"/>
      <c r="BK1511" s="319"/>
      <c r="BL1511" s="319"/>
      <c r="BM1511" s="319"/>
      <c r="BN1511" s="319"/>
      <c r="BO1511" s="319"/>
      <c r="BP1511" s="953"/>
      <c r="BQ1511" s="319"/>
      <c r="BR1511" s="319"/>
      <c r="BS1511" s="330">
        <f t="shared" si="169"/>
        <v>0</v>
      </c>
      <c r="BT1511" s="331">
        <f t="shared" si="170"/>
        <v>0</v>
      </c>
      <c r="BU1511" s="920"/>
      <c r="BV1511" s="903">
        <f t="shared" si="171"/>
        <v>-0.6605902778</v>
      </c>
      <c r="BW1511" s="907"/>
      <c r="BX1511" s="908"/>
      <c r="BY1511" s="331"/>
      <c r="BZ1511" s="340"/>
      <c r="CA1511" s="316"/>
      <c r="CB1511" s="318"/>
      <c r="CC1511" s="318"/>
      <c r="CD1511" s="318"/>
      <c r="CE1511" s="318"/>
      <c r="CF1511" s="318"/>
      <c r="CG1511" s="318"/>
      <c r="CH1511" s="318"/>
      <c r="CI1511" s="318"/>
      <c r="CJ1511" s="463"/>
      <c r="CK1511" s="342"/>
      <c r="CL1511" s="333"/>
      <c r="CM1511" s="1079"/>
      <c r="CN1511" s="1005"/>
      <c r="CO1511" s="1005"/>
      <c r="CP1511" s="1005"/>
    </row>
    <row r="1512">
      <c r="B1512" s="1106" t="s">
        <v>1755</v>
      </c>
      <c r="C1512" s="1107">
        <v>44852.0</v>
      </c>
      <c r="D1512" s="103"/>
      <c r="E1512" s="1108">
        <v>10.0</v>
      </c>
      <c r="F1512" s="112" t="s">
        <v>2199</v>
      </c>
      <c r="G1512" s="1110">
        <v>0.663599537037037</v>
      </c>
      <c r="H1512" s="1110">
        <v>0.6638888888888889</v>
      </c>
      <c r="I1512" s="1110"/>
      <c r="J1512" s="1111"/>
      <c r="K1512" s="1111">
        <v>0.6652777777777777</v>
      </c>
      <c r="L1512" s="1112">
        <v>0.001388888888888889</v>
      </c>
      <c r="M1512" s="1113" t="s">
        <v>358</v>
      </c>
      <c r="N1512" s="110" t="s">
        <v>188</v>
      </c>
      <c r="O1512" s="1115" t="s">
        <v>378</v>
      </c>
      <c r="P1512" s="1115" t="s">
        <v>225</v>
      </c>
      <c r="Q1512" s="1115" t="s">
        <v>842</v>
      </c>
      <c r="R1512" s="120">
        <v>22.7</v>
      </c>
      <c r="S1512" s="1113">
        <v>39.7</v>
      </c>
      <c r="T1512" s="110">
        <v>1.1</v>
      </c>
      <c r="U1512" s="1108">
        <v>1.84</v>
      </c>
      <c r="V1512" s="1108"/>
      <c r="W1512" s="1108"/>
      <c r="X1512" s="1108"/>
      <c r="Y1512" s="1108"/>
      <c r="Z1512" s="1114" t="s">
        <v>1140</v>
      </c>
      <c r="AA1512" s="1114"/>
      <c r="AB1512" s="1114" t="s">
        <v>326</v>
      </c>
      <c r="AC1512" s="1117">
        <v>1.0</v>
      </c>
      <c r="AD1512" s="1115"/>
      <c r="AE1512" s="1115"/>
      <c r="AF1512" s="1115"/>
      <c r="AG1512" s="1115"/>
      <c r="AH1512" s="1115"/>
      <c r="AI1512" s="1115"/>
      <c r="AJ1512" s="1117"/>
      <c r="AK1512" s="1118"/>
      <c r="AL1512" s="1115"/>
      <c r="AM1512" s="1115"/>
      <c r="AN1512" s="1115"/>
      <c r="AO1512" s="1115"/>
      <c r="AP1512" s="1115"/>
      <c r="AQ1512" s="1115"/>
      <c r="AR1512" s="1115"/>
      <c r="AS1512" s="1117"/>
      <c r="AT1512" s="1075" t="s">
        <v>182</v>
      </c>
      <c r="AU1512" s="1193" t="s">
        <v>845</v>
      </c>
      <c r="AV1512" s="330">
        <f>SQRT(($R1512-Infrastructure!J$3)^2+($S1512-Infrastructure!K$3)^2)</f>
        <v>25.40944706</v>
      </c>
      <c r="AW1512" s="331">
        <f>SQRT(($R1512-Infrastructure!J$4)^2+($S1512-Infrastructure!K$4)^2)</f>
        <v>31.75862088</v>
      </c>
      <c r="AX1512" s="331">
        <f>SQRT(($R1512-Infrastructure!J$5)^2+($S1512-Infrastructure!K$5)^2)</f>
        <v>41.54708173</v>
      </c>
      <c r="AY1512" s="331">
        <f>SQRT(($R1512-Infrastructure!J$6)^2+($S1512-Infrastructure!K$6)^2)</f>
        <v>41.36568626</v>
      </c>
      <c r="AZ1512" s="331">
        <f>SQRT(($R1512-Infrastructure!J$7)^2+($S1512-Infrastructure!K$7)^2)</f>
        <v>39.46137352</v>
      </c>
      <c r="BA1512" s="331">
        <f>SQRT(($R1512-Infrastructure!J$8)^2+($S1512-Infrastructure!K$8)^2)</f>
        <v>40.08890121</v>
      </c>
      <c r="BB1512" s="331">
        <f>SQRT(($R1512-Infrastructure!J$9)^2+($S1512-Infrastructure!K$9)^2)</f>
        <v>38.68397601</v>
      </c>
      <c r="BC1512" s="331">
        <f>SQRT(($R1512-Infrastructure!J$10)^2+($S1512-Infrastructure!K$10)^2)</f>
        <v>30.15592811</v>
      </c>
      <c r="BD1512" s="331">
        <f>SQRT(($R1512-Infrastructure!J$11)^2+($S1512-Infrastructure!K$11)^2)</f>
        <v>20.51194774</v>
      </c>
      <c r="BE1512" s="333">
        <f>SQRT(($R1512-Infrastructure!J$12)^2+($S1512-Infrastructure!K$12)^2)</f>
        <v>15.84550409</v>
      </c>
      <c r="BF1512" s="330">
        <f t="shared" si="161"/>
        <v>15.84550409</v>
      </c>
      <c r="BG1512" s="333">
        <f t="shared" si="162"/>
        <v>41.54708173</v>
      </c>
      <c r="BH1512" s="1119"/>
      <c r="BI1512" s="319"/>
      <c r="BJ1512" s="319"/>
      <c r="BK1512" s="319"/>
      <c r="BL1512" s="319"/>
      <c r="BM1512" s="319"/>
      <c r="BN1512" s="319"/>
      <c r="BO1512" s="319"/>
      <c r="BP1512" s="953"/>
      <c r="BQ1512" s="319"/>
      <c r="BR1512" s="319"/>
      <c r="BS1512" s="330">
        <f t="shared" si="169"/>
        <v>0</v>
      </c>
      <c r="BT1512" s="331">
        <f t="shared" si="170"/>
        <v>0</v>
      </c>
      <c r="BU1512" s="920"/>
      <c r="BV1512" s="903">
        <f t="shared" si="171"/>
        <v>-0.663599537</v>
      </c>
      <c r="BW1512" s="907"/>
      <c r="BX1512" s="908"/>
      <c r="BY1512" s="331"/>
      <c r="BZ1512" s="340"/>
      <c r="CA1512" s="316"/>
      <c r="CB1512" s="318"/>
      <c r="CC1512" s="318"/>
      <c r="CD1512" s="318"/>
      <c r="CE1512" s="318"/>
      <c r="CF1512" s="318"/>
      <c r="CG1512" s="318"/>
      <c r="CH1512" s="318"/>
      <c r="CI1512" s="318"/>
      <c r="CJ1512" s="463"/>
      <c r="CK1512" s="342"/>
      <c r="CL1512" s="333"/>
      <c r="CM1512" s="1079"/>
      <c r="CN1512" s="1005"/>
      <c r="CO1512" s="1005"/>
      <c r="CP1512" s="1005"/>
    </row>
    <row r="1513">
      <c r="B1513" s="1106" t="s">
        <v>1755</v>
      </c>
      <c r="C1513" s="1107">
        <v>44852.0</v>
      </c>
      <c r="D1513" s="103"/>
      <c r="E1513" s="1108">
        <v>11.0</v>
      </c>
      <c r="F1513" s="112" t="s">
        <v>2200</v>
      </c>
      <c r="G1513" s="1110">
        <v>0.6663773148148148</v>
      </c>
      <c r="H1513" s="1110">
        <v>0.666724537037037</v>
      </c>
      <c r="I1513" s="1110"/>
      <c r="J1513" s="1111"/>
      <c r="K1513" s="1111">
        <v>0.6681134259259259</v>
      </c>
      <c r="L1513" s="1112">
        <v>0.001388888888888889</v>
      </c>
      <c r="M1513" s="1113" t="s">
        <v>358</v>
      </c>
      <c r="N1513" s="110" t="s">
        <v>188</v>
      </c>
      <c r="O1513" s="1115" t="s">
        <v>378</v>
      </c>
      <c r="P1513" s="1115" t="s">
        <v>225</v>
      </c>
      <c r="Q1513" s="1115" t="s">
        <v>842</v>
      </c>
      <c r="R1513" s="120">
        <v>22.7</v>
      </c>
      <c r="S1513" s="1113">
        <v>39.7</v>
      </c>
      <c r="T1513" s="110">
        <v>1.1</v>
      </c>
      <c r="U1513" s="1108">
        <v>2.32</v>
      </c>
      <c r="V1513" s="1108"/>
      <c r="W1513" s="1108"/>
      <c r="X1513" s="1108"/>
      <c r="Y1513" s="1108"/>
      <c r="Z1513" s="1114" t="s">
        <v>1140</v>
      </c>
      <c r="AA1513" s="1114"/>
      <c r="AB1513" s="1114" t="s">
        <v>326</v>
      </c>
      <c r="AC1513" s="1117">
        <v>1.0</v>
      </c>
      <c r="AD1513" s="1115"/>
      <c r="AE1513" s="1115"/>
      <c r="AF1513" s="1115"/>
      <c r="AG1513" s="1115"/>
      <c r="AH1513" s="1115"/>
      <c r="AI1513" s="1115"/>
      <c r="AJ1513" s="1117"/>
      <c r="AK1513" s="1118"/>
      <c r="AL1513" s="1115"/>
      <c r="AM1513" s="1115"/>
      <c r="AN1513" s="1115"/>
      <c r="AO1513" s="1115"/>
      <c r="AP1513" s="1115"/>
      <c r="AQ1513" s="1115"/>
      <c r="AR1513" s="1115"/>
      <c r="AS1513" s="1117"/>
      <c r="AT1513" s="1075" t="s">
        <v>182</v>
      </c>
      <c r="AU1513" s="1193" t="s">
        <v>845</v>
      </c>
      <c r="AV1513" s="330">
        <f>SQRT(($R1513-Infrastructure!J$3)^2+($S1513-Infrastructure!K$3)^2)</f>
        <v>25.40944706</v>
      </c>
      <c r="AW1513" s="331">
        <f>SQRT(($R1513-Infrastructure!J$4)^2+($S1513-Infrastructure!K$4)^2)</f>
        <v>31.75862088</v>
      </c>
      <c r="AX1513" s="331">
        <f>SQRT(($R1513-Infrastructure!J$5)^2+($S1513-Infrastructure!K$5)^2)</f>
        <v>41.54708173</v>
      </c>
      <c r="AY1513" s="331">
        <f>SQRT(($R1513-Infrastructure!J$6)^2+($S1513-Infrastructure!K$6)^2)</f>
        <v>41.36568626</v>
      </c>
      <c r="AZ1513" s="331">
        <f>SQRT(($R1513-Infrastructure!J$7)^2+($S1513-Infrastructure!K$7)^2)</f>
        <v>39.46137352</v>
      </c>
      <c r="BA1513" s="331">
        <f>SQRT(($R1513-Infrastructure!J$8)^2+($S1513-Infrastructure!K$8)^2)</f>
        <v>40.08890121</v>
      </c>
      <c r="BB1513" s="331">
        <f>SQRT(($R1513-Infrastructure!J$9)^2+($S1513-Infrastructure!K$9)^2)</f>
        <v>38.68397601</v>
      </c>
      <c r="BC1513" s="331">
        <f>SQRT(($R1513-Infrastructure!J$10)^2+($S1513-Infrastructure!K$10)^2)</f>
        <v>30.15592811</v>
      </c>
      <c r="BD1513" s="331">
        <f>SQRT(($R1513-Infrastructure!J$11)^2+($S1513-Infrastructure!K$11)^2)</f>
        <v>20.51194774</v>
      </c>
      <c r="BE1513" s="333">
        <f>SQRT(($R1513-Infrastructure!J$12)^2+($S1513-Infrastructure!K$12)^2)</f>
        <v>15.84550409</v>
      </c>
      <c r="BF1513" s="330">
        <f t="shared" si="161"/>
        <v>15.84550409</v>
      </c>
      <c r="BG1513" s="333">
        <f t="shared" si="162"/>
        <v>41.54708173</v>
      </c>
      <c r="BH1513" s="1119"/>
      <c r="BI1513" s="319"/>
      <c r="BJ1513" s="319"/>
      <c r="BK1513" s="319"/>
      <c r="BL1513" s="319"/>
      <c r="BM1513" s="319"/>
      <c r="BN1513" s="319"/>
      <c r="BO1513" s="319"/>
      <c r="BP1513" s="953"/>
      <c r="BQ1513" s="319"/>
      <c r="BR1513" s="319"/>
      <c r="BS1513" s="330">
        <f t="shared" si="169"/>
        <v>0</v>
      </c>
      <c r="BT1513" s="331">
        <f t="shared" si="170"/>
        <v>0</v>
      </c>
      <c r="BU1513" s="920"/>
      <c r="BV1513" s="903">
        <f t="shared" si="171"/>
        <v>-0.6663773148</v>
      </c>
      <c r="BW1513" s="907"/>
      <c r="BX1513" s="908"/>
      <c r="BY1513" s="331"/>
      <c r="BZ1513" s="340"/>
      <c r="CA1513" s="316"/>
      <c r="CB1513" s="318"/>
      <c r="CC1513" s="318"/>
      <c r="CD1513" s="318"/>
      <c r="CE1513" s="318"/>
      <c r="CF1513" s="318"/>
      <c r="CG1513" s="318"/>
      <c r="CH1513" s="318"/>
      <c r="CI1513" s="318"/>
      <c r="CJ1513" s="463"/>
      <c r="CK1513" s="342"/>
      <c r="CL1513" s="333"/>
      <c r="CM1513" s="1079"/>
      <c r="CN1513" s="1005"/>
      <c r="CO1513" s="1005"/>
      <c r="CP1513" s="1005"/>
    </row>
    <row r="1514">
      <c r="B1514" s="1106" t="s">
        <v>1755</v>
      </c>
      <c r="C1514" s="1107">
        <v>44852.0</v>
      </c>
      <c r="D1514" s="103"/>
      <c r="E1514" s="1108">
        <v>12.0</v>
      </c>
      <c r="F1514" s="112" t="s">
        <v>2201</v>
      </c>
      <c r="G1514" s="1110">
        <v>0.6693287037037037</v>
      </c>
      <c r="H1514" s="1110">
        <v>0.669675925925926</v>
      </c>
      <c r="I1514" s="1110"/>
      <c r="J1514" s="1111"/>
      <c r="K1514" s="1111">
        <v>0.6710648148148148</v>
      </c>
      <c r="L1514" s="1112">
        <v>0.001388888888888889</v>
      </c>
      <c r="M1514" s="1113" t="s">
        <v>358</v>
      </c>
      <c r="N1514" s="110" t="s">
        <v>188</v>
      </c>
      <c r="O1514" s="1115" t="s">
        <v>378</v>
      </c>
      <c r="P1514" s="1115" t="s">
        <v>225</v>
      </c>
      <c r="Q1514" s="1115" t="s">
        <v>842</v>
      </c>
      <c r="R1514" s="120">
        <v>22.7</v>
      </c>
      <c r="S1514" s="1113">
        <v>39.7</v>
      </c>
      <c r="T1514" s="110">
        <v>1.1</v>
      </c>
      <c r="U1514" s="1108">
        <v>2.61</v>
      </c>
      <c r="V1514" s="1108"/>
      <c r="W1514" s="1108"/>
      <c r="X1514" s="1108"/>
      <c r="Y1514" s="1108"/>
      <c r="Z1514" s="1114" t="s">
        <v>1140</v>
      </c>
      <c r="AA1514" s="1114"/>
      <c r="AB1514" s="1114" t="s">
        <v>326</v>
      </c>
      <c r="AC1514" s="1117">
        <v>1.0</v>
      </c>
      <c r="AD1514" s="1115"/>
      <c r="AE1514" s="1115"/>
      <c r="AF1514" s="1115"/>
      <c r="AG1514" s="1115"/>
      <c r="AH1514" s="1115"/>
      <c r="AI1514" s="1115"/>
      <c r="AJ1514" s="1117"/>
      <c r="AK1514" s="1118"/>
      <c r="AL1514" s="1115"/>
      <c r="AM1514" s="1115"/>
      <c r="AN1514" s="1115"/>
      <c r="AO1514" s="1115"/>
      <c r="AP1514" s="1115"/>
      <c r="AQ1514" s="1115"/>
      <c r="AR1514" s="1115"/>
      <c r="AS1514" s="1117"/>
      <c r="AT1514" s="1075" t="s">
        <v>182</v>
      </c>
      <c r="AU1514" s="1193" t="s">
        <v>845</v>
      </c>
      <c r="AV1514" s="330">
        <f>SQRT(($R1514-Infrastructure!J$3)^2+($S1514-Infrastructure!K$3)^2)</f>
        <v>25.40944706</v>
      </c>
      <c r="AW1514" s="331">
        <f>SQRT(($R1514-Infrastructure!J$4)^2+($S1514-Infrastructure!K$4)^2)</f>
        <v>31.75862088</v>
      </c>
      <c r="AX1514" s="331">
        <f>SQRT(($R1514-Infrastructure!J$5)^2+($S1514-Infrastructure!K$5)^2)</f>
        <v>41.54708173</v>
      </c>
      <c r="AY1514" s="331">
        <f>SQRT(($R1514-Infrastructure!J$6)^2+($S1514-Infrastructure!K$6)^2)</f>
        <v>41.36568626</v>
      </c>
      <c r="AZ1514" s="331">
        <f>SQRT(($R1514-Infrastructure!J$7)^2+($S1514-Infrastructure!K$7)^2)</f>
        <v>39.46137352</v>
      </c>
      <c r="BA1514" s="331">
        <f>SQRT(($R1514-Infrastructure!J$8)^2+($S1514-Infrastructure!K$8)^2)</f>
        <v>40.08890121</v>
      </c>
      <c r="BB1514" s="331">
        <f>SQRT(($R1514-Infrastructure!J$9)^2+($S1514-Infrastructure!K$9)^2)</f>
        <v>38.68397601</v>
      </c>
      <c r="BC1514" s="331">
        <f>SQRT(($R1514-Infrastructure!J$10)^2+($S1514-Infrastructure!K$10)^2)</f>
        <v>30.15592811</v>
      </c>
      <c r="BD1514" s="331">
        <f>SQRT(($R1514-Infrastructure!J$11)^2+($S1514-Infrastructure!K$11)^2)</f>
        <v>20.51194774</v>
      </c>
      <c r="BE1514" s="333">
        <f>SQRT(($R1514-Infrastructure!J$12)^2+($S1514-Infrastructure!K$12)^2)</f>
        <v>15.84550409</v>
      </c>
      <c r="BF1514" s="330">
        <f t="shared" si="161"/>
        <v>15.84550409</v>
      </c>
      <c r="BG1514" s="333">
        <f t="shared" si="162"/>
        <v>41.54708173</v>
      </c>
      <c r="BH1514" s="1119"/>
      <c r="BI1514" s="319"/>
      <c r="BJ1514" s="319"/>
      <c r="BK1514" s="319" t="s">
        <v>846</v>
      </c>
      <c r="BL1514" s="319"/>
      <c r="BM1514" s="319"/>
      <c r="BN1514" s="319"/>
      <c r="BO1514" s="319"/>
      <c r="BP1514" s="953"/>
      <c r="BQ1514" s="319" t="s">
        <v>846</v>
      </c>
      <c r="BR1514" s="319" t="s">
        <v>846</v>
      </c>
      <c r="BS1514" s="330">
        <f t="shared" si="169"/>
        <v>15.84550409</v>
      </c>
      <c r="BT1514" s="331">
        <f t="shared" si="170"/>
        <v>41.54708173</v>
      </c>
      <c r="BU1514" s="920"/>
      <c r="BV1514" s="903">
        <f t="shared" si="171"/>
        <v>-0.6693287037</v>
      </c>
      <c r="BW1514" s="907"/>
      <c r="BX1514" s="908"/>
      <c r="BY1514" s="331"/>
      <c r="BZ1514" s="340"/>
      <c r="CA1514" s="316"/>
      <c r="CB1514" s="318"/>
      <c r="CC1514" s="318"/>
      <c r="CD1514" s="318"/>
      <c r="CE1514" s="318"/>
      <c r="CF1514" s="318"/>
      <c r="CG1514" s="318"/>
      <c r="CH1514" s="318"/>
      <c r="CI1514" s="318"/>
      <c r="CJ1514" s="463"/>
      <c r="CK1514" s="342"/>
      <c r="CL1514" s="333"/>
      <c r="CM1514" s="1079"/>
      <c r="CN1514" s="1005"/>
      <c r="CO1514" s="1005"/>
      <c r="CP1514" s="1005"/>
    </row>
    <row r="1515">
      <c r="B1515" s="1106" t="s">
        <v>1755</v>
      </c>
      <c r="C1515" s="1107">
        <v>44852.0</v>
      </c>
      <c r="D1515" s="103"/>
      <c r="E1515" s="1108">
        <v>13.0</v>
      </c>
      <c r="F1515" s="112" t="s">
        <v>2202</v>
      </c>
      <c r="G1515" s="1110">
        <v>0.6722800925925926</v>
      </c>
      <c r="H1515" s="1110">
        <v>0.6728009259259259</v>
      </c>
      <c r="I1515" s="1110"/>
      <c r="J1515" s="1111"/>
      <c r="K1515" s="1111">
        <v>0.6741898148148148</v>
      </c>
      <c r="L1515" s="1112">
        <v>0.001388888888888889</v>
      </c>
      <c r="M1515" s="1113" t="s">
        <v>358</v>
      </c>
      <c r="N1515" s="110" t="s">
        <v>188</v>
      </c>
      <c r="O1515" s="1115" t="s">
        <v>378</v>
      </c>
      <c r="P1515" s="1115" t="s">
        <v>225</v>
      </c>
      <c r="Q1515" s="1115" t="s">
        <v>842</v>
      </c>
      <c r="R1515" s="120">
        <v>22.7</v>
      </c>
      <c r="S1515" s="1113">
        <v>39.7</v>
      </c>
      <c r="T1515" s="110">
        <v>1.1</v>
      </c>
      <c r="U1515" s="1108">
        <v>5.15</v>
      </c>
      <c r="V1515" s="1108"/>
      <c r="W1515" s="1108"/>
      <c r="X1515" s="1108"/>
      <c r="Y1515" s="1108"/>
      <c r="Z1515" s="1114" t="s">
        <v>1140</v>
      </c>
      <c r="AA1515" s="1114"/>
      <c r="AB1515" s="1114" t="s">
        <v>329</v>
      </c>
      <c r="AC1515" s="1117">
        <v>1.5</v>
      </c>
      <c r="AD1515" s="1115"/>
      <c r="AE1515" s="1115"/>
      <c r="AF1515" s="1115"/>
      <c r="AG1515" s="1115"/>
      <c r="AH1515" s="1115"/>
      <c r="AI1515" s="1115"/>
      <c r="AJ1515" s="1117"/>
      <c r="AK1515" s="1118"/>
      <c r="AL1515" s="1115"/>
      <c r="AM1515" s="1115"/>
      <c r="AN1515" s="1115"/>
      <c r="AO1515" s="1115"/>
      <c r="AP1515" s="1115"/>
      <c r="AQ1515" s="1115"/>
      <c r="AR1515" s="1115"/>
      <c r="AS1515" s="1117"/>
      <c r="AT1515" s="1075" t="s">
        <v>182</v>
      </c>
      <c r="AU1515" s="1193" t="s">
        <v>845</v>
      </c>
      <c r="AV1515" s="330">
        <f>SQRT(($R1515-Infrastructure!J$3)^2+($S1515-Infrastructure!K$3)^2)</f>
        <v>25.40944706</v>
      </c>
      <c r="AW1515" s="331">
        <f>SQRT(($R1515-Infrastructure!J$4)^2+($S1515-Infrastructure!K$4)^2)</f>
        <v>31.75862088</v>
      </c>
      <c r="AX1515" s="331">
        <f>SQRT(($R1515-Infrastructure!J$5)^2+($S1515-Infrastructure!K$5)^2)</f>
        <v>41.54708173</v>
      </c>
      <c r="AY1515" s="331">
        <f>SQRT(($R1515-Infrastructure!J$6)^2+($S1515-Infrastructure!K$6)^2)</f>
        <v>41.36568626</v>
      </c>
      <c r="AZ1515" s="331">
        <f>SQRT(($R1515-Infrastructure!J$7)^2+($S1515-Infrastructure!K$7)^2)</f>
        <v>39.46137352</v>
      </c>
      <c r="BA1515" s="331">
        <f>SQRT(($R1515-Infrastructure!J$8)^2+($S1515-Infrastructure!K$8)^2)</f>
        <v>40.08890121</v>
      </c>
      <c r="BB1515" s="331">
        <f>SQRT(($R1515-Infrastructure!J$9)^2+($S1515-Infrastructure!K$9)^2)</f>
        <v>38.68397601</v>
      </c>
      <c r="BC1515" s="331">
        <f>SQRT(($R1515-Infrastructure!J$10)^2+($S1515-Infrastructure!K$10)^2)</f>
        <v>30.15592811</v>
      </c>
      <c r="BD1515" s="331">
        <f>SQRT(($R1515-Infrastructure!J$11)^2+($S1515-Infrastructure!K$11)^2)</f>
        <v>20.51194774</v>
      </c>
      <c r="BE1515" s="333">
        <f>SQRT(($R1515-Infrastructure!J$12)^2+($S1515-Infrastructure!K$12)^2)</f>
        <v>15.84550409</v>
      </c>
      <c r="BF1515" s="330">
        <f t="shared" si="161"/>
        <v>15.84550409</v>
      </c>
      <c r="BG1515" s="333">
        <f t="shared" si="162"/>
        <v>41.54708173</v>
      </c>
      <c r="BH1515" s="1119"/>
      <c r="BI1515" s="319" t="s">
        <v>846</v>
      </c>
      <c r="BJ1515" s="319"/>
      <c r="BK1515" s="319" t="s">
        <v>846</v>
      </c>
      <c r="BL1515" s="319"/>
      <c r="BM1515" s="319"/>
      <c r="BN1515" s="319" t="s">
        <v>846</v>
      </c>
      <c r="BO1515" s="319"/>
      <c r="BP1515" s="953"/>
      <c r="BQ1515" s="319" t="s">
        <v>846</v>
      </c>
      <c r="BR1515" s="319" t="s">
        <v>846</v>
      </c>
      <c r="BS1515" s="330">
        <f t="shared" si="169"/>
        <v>15.84550409</v>
      </c>
      <c r="BT1515" s="331">
        <f t="shared" si="170"/>
        <v>41.54708173</v>
      </c>
      <c r="BU1515" s="920"/>
      <c r="BV1515" s="903">
        <f t="shared" si="171"/>
        <v>-0.6722800926</v>
      </c>
      <c r="BW1515" s="907"/>
      <c r="BX1515" s="908"/>
      <c r="BY1515" s="331"/>
      <c r="BZ1515" s="340"/>
      <c r="CA1515" s="316"/>
      <c r="CB1515" s="318"/>
      <c r="CC1515" s="318"/>
      <c r="CD1515" s="318"/>
      <c r="CE1515" s="318"/>
      <c r="CF1515" s="318"/>
      <c r="CG1515" s="318"/>
      <c r="CH1515" s="318"/>
      <c r="CI1515" s="318"/>
      <c r="CJ1515" s="463"/>
      <c r="CK1515" s="342"/>
      <c r="CL1515" s="333"/>
      <c r="CM1515" s="1079"/>
      <c r="CN1515" s="1005"/>
      <c r="CO1515" s="1005"/>
      <c r="CP1515" s="1005"/>
    </row>
    <row r="1516">
      <c r="B1516" s="1106" t="s">
        <v>1755</v>
      </c>
      <c r="C1516" s="1107">
        <v>44852.0</v>
      </c>
      <c r="D1516" s="103"/>
      <c r="E1516" s="1108">
        <v>14.0</v>
      </c>
      <c r="F1516" s="112" t="s">
        <v>2203</v>
      </c>
      <c r="G1516" s="1110">
        <v>0.6754629629629629</v>
      </c>
      <c r="H1516" s="1110">
        <v>0.6758680555555555</v>
      </c>
      <c r="I1516" s="1110"/>
      <c r="J1516" s="1111"/>
      <c r="K1516" s="1111">
        <v>0.6772569444444444</v>
      </c>
      <c r="L1516" s="1112">
        <v>0.001388888888888889</v>
      </c>
      <c r="M1516" s="1113" t="s">
        <v>358</v>
      </c>
      <c r="N1516" s="110" t="s">
        <v>188</v>
      </c>
      <c r="O1516" s="1115" t="s">
        <v>378</v>
      </c>
      <c r="P1516" s="1115" t="s">
        <v>225</v>
      </c>
      <c r="Q1516" s="1115" t="s">
        <v>842</v>
      </c>
      <c r="R1516" s="120">
        <v>22.7</v>
      </c>
      <c r="S1516" s="1113">
        <v>39.7</v>
      </c>
      <c r="T1516" s="110">
        <v>1.1</v>
      </c>
      <c r="U1516" s="1108">
        <v>5.03</v>
      </c>
      <c r="V1516" s="1108"/>
      <c r="W1516" s="1108"/>
      <c r="X1516" s="1108"/>
      <c r="Y1516" s="1108"/>
      <c r="Z1516" s="1114" t="s">
        <v>1140</v>
      </c>
      <c r="AA1516" s="1114"/>
      <c r="AB1516" s="1114" t="s">
        <v>329</v>
      </c>
      <c r="AC1516" s="1117">
        <v>1.5</v>
      </c>
      <c r="AD1516" s="1115"/>
      <c r="AE1516" s="1115"/>
      <c r="AF1516" s="1115"/>
      <c r="AG1516" s="1115"/>
      <c r="AH1516" s="1115"/>
      <c r="AI1516" s="1115"/>
      <c r="AJ1516" s="1117"/>
      <c r="AK1516" s="1118"/>
      <c r="AL1516" s="1115"/>
      <c r="AM1516" s="1115"/>
      <c r="AN1516" s="1115"/>
      <c r="AO1516" s="1115"/>
      <c r="AP1516" s="1115"/>
      <c r="AQ1516" s="1115"/>
      <c r="AR1516" s="1115"/>
      <c r="AS1516" s="1117"/>
      <c r="AT1516" s="1075" t="s">
        <v>182</v>
      </c>
      <c r="AU1516" s="1193" t="s">
        <v>845</v>
      </c>
      <c r="AV1516" s="330">
        <f>SQRT(($R1516-Infrastructure!J$3)^2+($S1516-Infrastructure!K$3)^2)</f>
        <v>25.40944706</v>
      </c>
      <c r="AW1516" s="331">
        <f>SQRT(($R1516-Infrastructure!J$4)^2+($S1516-Infrastructure!K$4)^2)</f>
        <v>31.75862088</v>
      </c>
      <c r="AX1516" s="331">
        <f>SQRT(($R1516-Infrastructure!J$5)^2+($S1516-Infrastructure!K$5)^2)</f>
        <v>41.54708173</v>
      </c>
      <c r="AY1516" s="331">
        <f>SQRT(($R1516-Infrastructure!J$6)^2+($S1516-Infrastructure!K$6)^2)</f>
        <v>41.36568626</v>
      </c>
      <c r="AZ1516" s="331">
        <f>SQRT(($R1516-Infrastructure!J$7)^2+($S1516-Infrastructure!K$7)^2)</f>
        <v>39.46137352</v>
      </c>
      <c r="BA1516" s="331">
        <f>SQRT(($R1516-Infrastructure!J$8)^2+($S1516-Infrastructure!K$8)^2)</f>
        <v>40.08890121</v>
      </c>
      <c r="BB1516" s="331">
        <f>SQRT(($R1516-Infrastructure!J$9)^2+($S1516-Infrastructure!K$9)^2)</f>
        <v>38.68397601</v>
      </c>
      <c r="BC1516" s="331">
        <f>SQRT(($R1516-Infrastructure!J$10)^2+($S1516-Infrastructure!K$10)^2)</f>
        <v>30.15592811</v>
      </c>
      <c r="BD1516" s="331">
        <f>SQRT(($R1516-Infrastructure!J$11)^2+($S1516-Infrastructure!K$11)^2)</f>
        <v>20.51194774</v>
      </c>
      <c r="BE1516" s="333">
        <f>SQRT(($R1516-Infrastructure!J$12)^2+($S1516-Infrastructure!K$12)^2)</f>
        <v>15.84550409</v>
      </c>
      <c r="BF1516" s="330">
        <f t="shared" si="161"/>
        <v>15.84550409</v>
      </c>
      <c r="BG1516" s="333">
        <f t="shared" si="162"/>
        <v>41.54708173</v>
      </c>
      <c r="BH1516" s="1119"/>
      <c r="BI1516" s="319" t="s">
        <v>846</v>
      </c>
      <c r="BJ1516" s="319"/>
      <c r="BK1516" s="319" t="s">
        <v>846</v>
      </c>
      <c r="BL1516" s="319"/>
      <c r="BM1516" s="319"/>
      <c r="BN1516" s="319"/>
      <c r="BO1516" s="319"/>
      <c r="BP1516" s="953"/>
      <c r="BQ1516" s="319" t="s">
        <v>846</v>
      </c>
      <c r="BR1516" s="319" t="s">
        <v>846</v>
      </c>
      <c r="BS1516" s="330">
        <f t="shared" si="169"/>
        <v>15.84550409</v>
      </c>
      <c r="BT1516" s="331">
        <f t="shared" si="170"/>
        <v>41.54708173</v>
      </c>
      <c r="BU1516" s="920"/>
      <c r="BV1516" s="903">
        <f t="shared" si="171"/>
        <v>-0.675462963</v>
      </c>
      <c r="BW1516" s="907"/>
      <c r="BX1516" s="908"/>
      <c r="BY1516" s="331"/>
      <c r="BZ1516" s="340"/>
      <c r="CA1516" s="316"/>
      <c r="CB1516" s="318"/>
      <c r="CC1516" s="318"/>
      <c r="CD1516" s="318"/>
      <c r="CE1516" s="318"/>
      <c r="CF1516" s="318"/>
      <c r="CG1516" s="318"/>
      <c r="CH1516" s="318"/>
      <c r="CI1516" s="318"/>
      <c r="CJ1516" s="463"/>
      <c r="CK1516" s="342"/>
      <c r="CL1516" s="333"/>
      <c r="CM1516" s="1079"/>
      <c r="CN1516" s="1005"/>
      <c r="CO1516" s="1005"/>
      <c r="CP1516" s="1005"/>
    </row>
    <row r="1517">
      <c r="B1517" s="1106" t="s">
        <v>1755</v>
      </c>
      <c r="C1517" s="1107">
        <v>44852.0</v>
      </c>
      <c r="D1517" s="103"/>
      <c r="E1517" s="1108">
        <v>15.0</v>
      </c>
      <c r="F1517" s="112" t="s">
        <v>2204</v>
      </c>
      <c r="G1517" s="1110">
        <v>0.6784722222222223</v>
      </c>
      <c r="H1517" s="1110">
        <v>0.6793402777777777</v>
      </c>
      <c r="I1517" s="1110"/>
      <c r="J1517" s="1111"/>
      <c r="K1517" s="1111">
        <v>0.68125</v>
      </c>
      <c r="L1517" s="1112">
        <v>0.0019097222222222222</v>
      </c>
      <c r="M1517" s="1113" t="s">
        <v>358</v>
      </c>
      <c r="N1517" s="110" t="s">
        <v>188</v>
      </c>
      <c r="O1517" s="1115" t="s">
        <v>378</v>
      </c>
      <c r="P1517" s="1115" t="s">
        <v>225</v>
      </c>
      <c r="Q1517" s="1115" t="s">
        <v>842</v>
      </c>
      <c r="R1517" s="120">
        <v>22.7</v>
      </c>
      <c r="S1517" s="1113">
        <v>39.7</v>
      </c>
      <c r="T1517" s="110">
        <v>1.1</v>
      </c>
      <c r="U1517" s="1108">
        <v>8.87</v>
      </c>
      <c r="V1517" s="1108"/>
      <c r="W1517" s="1108"/>
      <c r="X1517" s="1108"/>
      <c r="Y1517" s="1108"/>
      <c r="Z1517" s="1114" t="s">
        <v>1140</v>
      </c>
      <c r="AA1517" s="1114"/>
      <c r="AB1517" s="1114" t="s">
        <v>333</v>
      </c>
      <c r="AC1517" s="1117">
        <v>2.0</v>
      </c>
      <c r="AD1517" s="1115"/>
      <c r="AE1517" s="1115"/>
      <c r="AF1517" s="1115"/>
      <c r="AG1517" s="1115"/>
      <c r="AH1517" s="1115"/>
      <c r="AI1517" s="1115"/>
      <c r="AJ1517" s="1117"/>
      <c r="AK1517" s="1118"/>
      <c r="AL1517" s="1115"/>
      <c r="AM1517" s="1115"/>
      <c r="AN1517" s="1115"/>
      <c r="AO1517" s="1115"/>
      <c r="AP1517" s="1115"/>
      <c r="AQ1517" s="1115"/>
      <c r="AR1517" s="1115"/>
      <c r="AS1517" s="1117"/>
      <c r="AT1517" s="1075" t="s">
        <v>182</v>
      </c>
      <c r="AU1517" s="1193" t="s">
        <v>845</v>
      </c>
      <c r="AV1517" s="330">
        <f>SQRT(($R1517-Infrastructure!J$3)^2+($S1517-Infrastructure!K$3)^2)</f>
        <v>25.40944706</v>
      </c>
      <c r="AW1517" s="331">
        <f>SQRT(($R1517-Infrastructure!J$4)^2+($S1517-Infrastructure!K$4)^2)</f>
        <v>31.75862088</v>
      </c>
      <c r="AX1517" s="331">
        <f>SQRT(($R1517-Infrastructure!J$5)^2+($S1517-Infrastructure!K$5)^2)</f>
        <v>41.54708173</v>
      </c>
      <c r="AY1517" s="331">
        <f>SQRT(($R1517-Infrastructure!J$6)^2+($S1517-Infrastructure!K$6)^2)</f>
        <v>41.36568626</v>
      </c>
      <c r="AZ1517" s="331">
        <f>SQRT(($R1517-Infrastructure!J$7)^2+($S1517-Infrastructure!K$7)^2)</f>
        <v>39.46137352</v>
      </c>
      <c r="BA1517" s="331">
        <f>SQRT(($R1517-Infrastructure!J$8)^2+($S1517-Infrastructure!K$8)^2)</f>
        <v>40.08890121</v>
      </c>
      <c r="BB1517" s="331">
        <f>SQRT(($R1517-Infrastructure!J$9)^2+($S1517-Infrastructure!K$9)^2)</f>
        <v>38.68397601</v>
      </c>
      <c r="BC1517" s="331">
        <f>SQRT(($R1517-Infrastructure!J$10)^2+($S1517-Infrastructure!K$10)^2)</f>
        <v>30.15592811</v>
      </c>
      <c r="BD1517" s="331">
        <f>SQRT(($R1517-Infrastructure!J$11)^2+($S1517-Infrastructure!K$11)^2)</f>
        <v>20.51194774</v>
      </c>
      <c r="BE1517" s="333">
        <f>SQRT(($R1517-Infrastructure!J$12)^2+($S1517-Infrastructure!K$12)^2)</f>
        <v>15.84550409</v>
      </c>
      <c r="BF1517" s="330">
        <f t="shared" si="161"/>
        <v>15.84550409</v>
      </c>
      <c r="BG1517" s="333">
        <f t="shared" si="162"/>
        <v>41.54708173</v>
      </c>
      <c r="BH1517" s="1119"/>
      <c r="BI1517" s="319" t="s">
        <v>846</v>
      </c>
      <c r="BJ1517" s="319"/>
      <c r="BK1517" s="319" t="s">
        <v>846</v>
      </c>
      <c r="BL1517" s="319"/>
      <c r="BM1517" s="319"/>
      <c r="BN1517" s="319" t="s">
        <v>846</v>
      </c>
      <c r="BO1517" s="319"/>
      <c r="BP1517" s="953"/>
      <c r="BQ1517" s="319" t="s">
        <v>846</v>
      </c>
      <c r="BR1517" s="319" t="s">
        <v>846</v>
      </c>
      <c r="BS1517" s="330">
        <f t="shared" si="169"/>
        <v>15.84550409</v>
      </c>
      <c r="BT1517" s="331">
        <f t="shared" si="170"/>
        <v>41.54708173</v>
      </c>
      <c r="BU1517" s="920"/>
      <c r="BV1517" s="903">
        <f t="shared" si="171"/>
        <v>-0.6784722222</v>
      </c>
      <c r="BW1517" s="907"/>
      <c r="BX1517" s="908"/>
      <c r="BY1517" s="331"/>
      <c r="BZ1517" s="340"/>
      <c r="CA1517" s="316"/>
      <c r="CB1517" s="318"/>
      <c r="CC1517" s="318"/>
      <c r="CD1517" s="318"/>
      <c r="CE1517" s="318"/>
      <c r="CF1517" s="318"/>
      <c r="CG1517" s="318"/>
      <c r="CH1517" s="318"/>
      <c r="CI1517" s="318"/>
      <c r="CJ1517" s="463"/>
      <c r="CK1517" s="342"/>
      <c r="CL1517" s="333"/>
      <c r="CM1517" s="1079"/>
      <c r="CN1517" s="1005"/>
      <c r="CO1517" s="1005"/>
      <c r="CP1517" s="1005"/>
    </row>
    <row r="1518">
      <c r="B1518" s="1106" t="s">
        <v>1755</v>
      </c>
      <c r="C1518" s="1107">
        <v>44853.0</v>
      </c>
      <c r="D1518" s="103"/>
      <c r="E1518" s="1108">
        <v>16.0</v>
      </c>
      <c r="F1518" s="112" t="s">
        <v>2205</v>
      </c>
      <c r="G1518" s="1110">
        <v>0.45243055555555556</v>
      </c>
      <c r="H1518" s="1110">
        <v>0.45283564814814814</v>
      </c>
      <c r="I1518" s="1110"/>
      <c r="J1518" s="1111"/>
      <c r="K1518" s="1111">
        <v>0.4539930555555556</v>
      </c>
      <c r="L1518" s="1112">
        <v>0.0011574074074074073</v>
      </c>
      <c r="M1518" s="1113" t="s">
        <v>358</v>
      </c>
      <c r="N1518" s="110" t="s">
        <v>188</v>
      </c>
      <c r="O1518" s="1115" t="s">
        <v>378</v>
      </c>
      <c r="P1518" s="1115" t="s">
        <v>225</v>
      </c>
      <c r="Q1518" s="1115" t="s">
        <v>842</v>
      </c>
      <c r="R1518" s="120">
        <v>22.7</v>
      </c>
      <c r="S1518" s="1113">
        <v>39.7</v>
      </c>
      <c r="T1518" s="110">
        <v>1.1</v>
      </c>
      <c r="U1518" s="1108">
        <v>10.4</v>
      </c>
      <c r="V1518" s="1108"/>
      <c r="W1518" s="1108"/>
      <c r="X1518" s="1108"/>
      <c r="Y1518" s="1108"/>
      <c r="Z1518" s="1114" t="s">
        <v>1140</v>
      </c>
      <c r="AA1518" s="1114"/>
      <c r="AB1518" s="1114" t="s">
        <v>333</v>
      </c>
      <c r="AC1518" s="1117">
        <v>2.0</v>
      </c>
      <c r="AD1518" s="1115"/>
      <c r="AE1518" s="1115"/>
      <c r="AF1518" s="1115"/>
      <c r="AG1518" s="1115"/>
      <c r="AH1518" s="1115"/>
      <c r="AI1518" s="1115"/>
      <c r="AJ1518" s="1117"/>
      <c r="AK1518" s="1118"/>
      <c r="AL1518" s="1115"/>
      <c r="AM1518" s="1115"/>
      <c r="AN1518" s="1115"/>
      <c r="AO1518" s="1115"/>
      <c r="AP1518" s="1115"/>
      <c r="AQ1518" s="1115"/>
      <c r="AR1518" s="1115"/>
      <c r="AS1518" s="1117"/>
      <c r="AT1518" s="1075" t="s">
        <v>183</v>
      </c>
      <c r="AU1518" s="1193" t="s">
        <v>845</v>
      </c>
      <c r="AV1518" s="330">
        <f>SQRT(($R1518-Infrastructure!J$3)^2+($S1518-Infrastructure!K$3)^2)</f>
        <v>25.40944706</v>
      </c>
      <c r="AW1518" s="331">
        <f>SQRT(($R1518-Infrastructure!J$4)^2+($S1518-Infrastructure!K$4)^2)</f>
        <v>31.75862088</v>
      </c>
      <c r="AX1518" s="331">
        <f>SQRT(($R1518-Infrastructure!J$5)^2+($S1518-Infrastructure!K$5)^2)</f>
        <v>41.54708173</v>
      </c>
      <c r="AY1518" s="331">
        <f>SQRT(($R1518-Infrastructure!J$6)^2+($S1518-Infrastructure!K$6)^2)</f>
        <v>41.36568626</v>
      </c>
      <c r="AZ1518" s="331">
        <f>SQRT(($R1518-Infrastructure!J$7)^2+($S1518-Infrastructure!K$7)^2)</f>
        <v>39.46137352</v>
      </c>
      <c r="BA1518" s="331">
        <f>SQRT(($R1518-Infrastructure!J$8)^2+($S1518-Infrastructure!K$8)^2)</f>
        <v>40.08890121</v>
      </c>
      <c r="BB1518" s="331">
        <f>SQRT(($R1518-Infrastructure!J$9)^2+($S1518-Infrastructure!K$9)^2)</f>
        <v>38.68397601</v>
      </c>
      <c r="BC1518" s="331">
        <f>SQRT(($R1518-Infrastructure!J$10)^2+($S1518-Infrastructure!K$10)^2)</f>
        <v>30.15592811</v>
      </c>
      <c r="BD1518" s="331">
        <f>SQRT(($R1518-Infrastructure!J$11)^2+($S1518-Infrastructure!K$11)^2)</f>
        <v>20.51194774</v>
      </c>
      <c r="BE1518" s="333">
        <f>SQRT(($R1518-Infrastructure!J$12)^2+($S1518-Infrastructure!K$12)^2)</f>
        <v>15.84550409</v>
      </c>
      <c r="BF1518" s="330">
        <f t="shared" si="161"/>
        <v>15.84550409</v>
      </c>
      <c r="BG1518" s="333">
        <f t="shared" si="162"/>
        <v>41.54708173</v>
      </c>
      <c r="BH1518" s="1119"/>
      <c r="BI1518" s="319" t="s">
        <v>846</v>
      </c>
      <c r="BJ1518" s="319"/>
      <c r="BK1518" s="319" t="s">
        <v>846</v>
      </c>
      <c r="BL1518" s="319"/>
      <c r="BM1518" s="319"/>
      <c r="BN1518" s="319" t="s">
        <v>846</v>
      </c>
      <c r="BO1518" s="319"/>
      <c r="BP1518" s="953"/>
      <c r="BQ1518" s="319" t="s">
        <v>846</v>
      </c>
      <c r="BR1518" s="319" t="s">
        <v>846</v>
      </c>
      <c r="BS1518" s="330">
        <f t="shared" si="169"/>
        <v>15.84550409</v>
      </c>
      <c r="BT1518" s="331">
        <f t="shared" si="170"/>
        <v>41.54708173</v>
      </c>
      <c r="BU1518" s="920"/>
      <c r="BV1518" s="903">
        <f t="shared" si="171"/>
        <v>-0.4524305556</v>
      </c>
      <c r="BW1518" s="907"/>
      <c r="BX1518" s="908"/>
      <c r="BY1518" s="331"/>
      <c r="BZ1518" s="340"/>
      <c r="CA1518" s="316"/>
      <c r="CB1518" s="318"/>
      <c r="CC1518" s="318"/>
      <c r="CD1518" s="318"/>
      <c r="CE1518" s="318"/>
      <c r="CF1518" s="318"/>
      <c r="CG1518" s="318"/>
      <c r="CH1518" s="318"/>
      <c r="CI1518" s="318"/>
      <c r="CJ1518" s="463"/>
      <c r="CK1518" s="342"/>
      <c r="CL1518" s="333"/>
      <c r="CM1518" s="1079"/>
      <c r="CN1518" s="1005"/>
      <c r="CO1518" s="1005"/>
      <c r="CP1518" s="1005"/>
    </row>
    <row r="1519">
      <c r="B1519" s="1106" t="s">
        <v>1755</v>
      </c>
      <c r="C1519" s="1107">
        <v>44853.0</v>
      </c>
      <c r="D1519" s="103"/>
      <c r="E1519" s="1108">
        <v>17.0</v>
      </c>
      <c r="F1519" s="112" t="s">
        <v>2206</v>
      </c>
      <c r="G1519" s="1110">
        <v>0.4557291666666667</v>
      </c>
      <c r="H1519" s="1110">
        <v>0.45613425925925927</v>
      </c>
      <c r="I1519" s="1110"/>
      <c r="J1519" s="1111"/>
      <c r="K1519" s="1111">
        <v>0.45740740740740743</v>
      </c>
      <c r="L1519" s="1112">
        <v>0.0012731481481481483</v>
      </c>
      <c r="M1519" s="1113" t="s">
        <v>358</v>
      </c>
      <c r="N1519" s="110" t="s">
        <v>188</v>
      </c>
      <c r="O1519" s="1115" t="s">
        <v>378</v>
      </c>
      <c r="P1519" s="1115" t="s">
        <v>225</v>
      </c>
      <c r="Q1519" s="1115" t="s">
        <v>842</v>
      </c>
      <c r="R1519" s="120">
        <v>22.7</v>
      </c>
      <c r="S1519" s="1113">
        <v>39.7</v>
      </c>
      <c r="T1519" s="110">
        <v>1.1</v>
      </c>
      <c r="U1519" s="1108">
        <v>5.93</v>
      </c>
      <c r="V1519" s="1108"/>
      <c r="W1519" s="1108"/>
      <c r="X1519" s="1108"/>
      <c r="Y1519" s="1108"/>
      <c r="Z1519" s="1114" t="s">
        <v>1140</v>
      </c>
      <c r="AA1519" s="1114"/>
      <c r="AB1519" s="1114" t="s">
        <v>329</v>
      </c>
      <c r="AC1519" s="1117">
        <v>1.5</v>
      </c>
      <c r="AD1519" s="1115"/>
      <c r="AE1519" s="1115"/>
      <c r="AF1519" s="1115"/>
      <c r="AG1519" s="1115"/>
      <c r="AH1519" s="1115"/>
      <c r="AI1519" s="1115"/>
      <c r="AJ1519" s="1117"/>
      <c r="AK1519" s="1118"/>
      <c r="AL1519" s="1115"/>
      <c r="AM1519" s="1115"/>
      <c r="AN1519" s="1115"/>
      <c r="AO1519" s="1115"/>
      <c r="AP1519" s="1115"/>
      <c r="AQ1519" s="1115"/>
      <c r="AR1519" s="1115"/>
      <c r="AS1519" s="1117"/>
      <c r="AT1519" s="1075" t="s">
        <v>182</v>
      </c>
      <c r="AU1519" s="1193" t="s">
        <v>845</v>
      </c>
      <c r="AV1519" s="330">
        <f>SQRT(($R1519-Infrastructure!J$3)^2+($S1519-Infrastructure!K$3)^2)</f>
        <v>25.40944706</v>
      </c>
      <c r="AW1519" s="331">
        <f>SQRT(($R1519-Infrastructure!J$4)^2+($S1519-Infrastructure!K$4)^2)</f>
        <v>31.75862088</v>
      </c>
      <c r="AX1519" s="331">
        <f>SQRT(($R1519-Infrastructure!J$5)^2+($S1519-Infrastructure!K$5)^2)</f>
        <v>41.54708173</v>
      </c>
      <c r="AY1519" s="331">
        <f>SQRT(($R1519-Infrastructure!J$6)^2+($S1519-Infrastructure!K$6)^2)</f>
        <v>41.36568626</v>
      </c>
      <c r="AZ1519" s="331">
        <f>SQRT(($R1519-Infrastructure!J$7)^2+($S1519-Infrastructure!K$7)^2)</f>
        <v>39.46137352</v>
      </c>
      <c r="BA1519" s="331">
        <f>SQRT(($R1519-Infrastructure!J$8)^2+($S1519-Infrastructure!K$8)^2)</f>
        <v>40.08890121</v>
      </c>
      <c r="BB1519" s="331">
        <f>SQRT(($R1519-Infrastructure!J$9)^2+($S1519-Infrastructure!K$9)^2)</f>
        <v>38.68397601</v>
      </c>
      <c r="BC1519" s="331">
        <f>SQRT(($R1519-Infrastructure!J$10)^2+($S1519-Infrastructure!K$10)^2)</f>
        <v>30.15592811</v>
      </c>
      <c r="BD1519" s="331">
        <f>SQRT(($R1519-Infrastructure!J$11)^2+($S1519-Infrastructure!K$11)^2)</f>
        <v>20.51194774</v>
      </c>
      <c r="BE1519" s="333">
        <f>SQRT(($R1519-Infrastructure!J$12)^2+($S1519-Infrastructure!K$12)^2)</f>
        <v>15.84550409</v>
      </c>
      <c r="BF1519" s="330">
        <f t="shared" si="161"/>
        <v>15.84550409</v>
      </c>
      <c r="BG1519" s="333">
        <f t="shared" si="162"/>
        <v>41.54708173</v>
      </c>
      <c r="BH1519" s="1119"/>
      <c r="BI1519" s="319" t="s">
        <v>846</v>
      </c>
      <c r="BJ1519" s="319"/>
      <c r="BK1519" s="319" t="s">
        <v>846</v>
      </c>
      <c r="BL1519" s="319"/>
      <c r="BM1519" s="319"/>
      <c r="BN1519" s="319" t="s">
        <v>846</v>
      </c>
      <c r="BO1519" s="319"/>
      <c r="BP1519" s="953"/>
      <c r="BQ1519" s="319" t="s">
        <v>846</v>
      </c>
      <c r="BR1519" s="319" t="s">
        <v>846</v>
      </c>
      <c r="BS1519" s="330">
        <f t="shared" si="169"/>
        <v>15.84550409</v>
      </c>
      <c r="BT1519" s="331">
        <f t="shared" si="170"/>
        <v>41.54708173</v>
      </c>
      <c r="BU1519" s="920"/>
      <c r="BV1519" s="903">
        <f t="shared" si="171"/>
        <v>-0.4557291667</v>
      </c>
      <c r="BW1519" s="907"/>
      <c r="BX1519" s="908"/>
      <c r="BY1519" s="331"/>
      <c r="BZ1519" s="340"/>
      <c r="CA1519" s="316"/>
      <c r="CB1519" s="318"/>
      <c r="CC1519" s="318"/>
      <c r="CD1519" s="318"/>
      <c r="CE1519" s="318"/>
      <c r="CF1519" s="318"/>
      <c r="CG1519" s="318"/>
      <c r="CH1519" s="318"/>
      <c r="CI1519" s="318"/>
      <c r="CJ1519" s="463"/>
      <c r="CK1519" s="342"/>
      <c r="CL1519" s="333"/>
      <c r="CM1519" s="1079"/>
      <c r="CN1519" s="1005"/>
      <c r="CO1519" s="1005"/>
      <c r="CP1519" s="1005"/>
    </row>
    <row r="1520">
      <c r="B1520" s="1106" t="s">
        <v>1755</v>
      </c>
      <c r="C1520" s="1107">
        <v>44853.0</v>
      </c>
      <c r="D1520" s="103"/>
      <c r="E1520" s="1108">
        <v>18.0</v>
      </c>
      <c r="F1520" s="112" t="s">
        <v>2207</v>
      </c>
      <c r="G1520" s="1110">
        <v>0.4588541666666667</v>
      </c>
      <c r="H1520" s="1110">
        <v>0.45925925925925926</v>
      </c>
      <c r="I1520" s="1110"/>
      <c r="J1520" s="1111"/>
      <c r="K1520" s="1111">
        <v>0.4605324074074074</v>
      </c>
      <c r="L1520" s="1112">
        <v>0.0012731481481481483</v>
      </c>
      <c r="M1520" s="1113" t="s">
        <v>358</v>
      </c>
      <c r="N1520" s="110" t="s">
        <v>188</v>
      </c>
      <c r="O1520" s="1115" t="s">
        <v>378</v>
      </c>
      <c r="P1520" s="1115" t="s">
        <v>225</v>
      </c>
      <c r="Q1520" s="1115" t="s">
        <v>842</v>
      </c>
      <c r="R1520" s="120">
        <v>22.7</v>
      </c>
      <c r="S1520" s="1113">
        <v>39.7</v>
      </c>
      <c r="T1520" s="110">
        <v>1.1</v>
      </c>
      <c r="U1520" s="1108">
        <v>6.1</v>
      </c>
      <c r="V1520" s="1108"/>
      <c r="W1520" s="1108"/>
      <c r="X1520" s="1108"/>
      <c r="Y1520" s="1108"/>
      <c r="Z1520" s="1114" t="s">
        <v>1140</v>
      </c>
      <c r="AA1520" s="1114"/>
      <c r="AB1520" s="1114" t="s">
        <v>329</v>
      </c>
      <c r="AC1520" s="1117">
        <v>1.5</v>
      </c>
      <c r="AD1520" s="1115"/>
      <c r="AE1520" s="1115"/>
      <c r="AF1520" s="1115"/>
      <c r="AG1520" s="1115"/>
      <c r="AH1520" s="1115"/>
      <c r="AI1520" s="1115"/>
      <c r="AJ1520" s="1117"/>
      <c r="AK1520" s="1118"/>
      <c r="AL1520" s="1115"/>
      <c r="AM1520" s="1115"/>
      <c r="AN1520" s="1115"/>
      <c r="AO1520" s="1115"/>
      <c r="AP1520" s="1115"/>
      <c r="AQ1520" s="1115"/>
      <c r="AR1520" s="1115"/>
      <c r="AS1520" s="1117"/>
      <c r="AT1520" s="1075" t="s">
        <v>182</v>
      </c>
      <c r="AU1520" s="1193" t="s">
        <v>845</v>
      </c>
      <c r="AV1520" s="330">
        <f>SQRT(($R1520-Infrastructure!J$3)^2+($S1520-Infrastructure!K$3)^2)</f>
        <v>25.40944706</v>
      </c>
      <c r="AW1520" s="331">
        <f>SQRT(($R1520-Infrastructure!J$4)^2+($S1520-Infrastructure!K$4)^2)</f>
        <v>31.75862088</v>
      </c>
      <c r="AX1520" s="331">
        <f>SQRT(($R1520-Infrastructure!J$5)^2+($S1520-Infrastructure!K$5)^2)</f>
        <v>41.54708173</v>
      </c>
      <c r="AY1520" s="331">
        <f>SQRT(($R1520-Infrastructure!J$6)^2+($S1520-Infrastructure!K$6)^2)</f>
        <v>41.36568626</v>
      </c>
      <c r="AZ1520" s="331">
        <f>SQRT(($R1520-Infrastructure!J$7)^2+($S1520-Infrastructure!K$7)^2)</f>
        <v>39.46137352</v>
      </c>
      <c r="BA1520" s="331">
        <f>SQRT(($R1520-Infrastructure!J$8)^2+($S1520-Infrastructure!K$8)^2)</f>
        <v>40.08890121</v>
      </c>
      <c r="BB1520" s="331">
        <f>SQRT(($R1520-Infrastructure!J$9)^2+($S1520-Infrastructure!K$9)^2)</f>
        <v>38.68397601</v>
      </c>
      <c r="BC1520" s="331">
        <f>SQRT(($R1520-Infrastructure!J$10)^2+($S1520-Infrastructure!K$10)^2)</f>
        <v>30.15592811</v>
      </c>
      <c r="BD1520" s="331">
        <f>SQRT(($R1520-Infrastructure!J$11)^2+($S1520-Infrastructure!K$11)^2)</f>
        <v>20.51194774</v>
      </c>
      <c r="BE1520" s="333">
        <f>SQRT(($R1520-Infrastructure!J$12)^2+($S1520-Infrastructure!K$12)^2)</f>
        <v>15.84550409</v>
      </c>
      <c r="BF1520" s="330">
        <f t="shared" si="161"/>
        <v>15.84550409</v>
      </c>
      <c r="BG1520" s="333">
        <f t="shared" si="162"/>
        <v>41.54708173</v>
      </c>
      <c r="BH1520" s="1119"/>
      <c r="BI1520" s="319" t="s">
        <v>846</v>
      </c>
      <c r="BJ1520" s="319"/>
      <c r="BK1520" s="319" t="s">
        <v>846</v>
      </c>
      <c r="BL1520" s="319"/>
      <c r="BM1520" s="319"/>
      <c r="BN1520" s="319" t="s">
        <v>846</v>
      </c>
      <c r="BO1520" s="319"/>
      <c r="BP1520" s="953"/>
      <c r="BQ1520" s="319" t="s">
        <v>846</v>
      </c>
      <c r="BR1520" s="319" t="s">
        <v>846</v>
      </c>
      <c r="BS1520" s="330">
        <f t="shared" si="169"/>
        <v>15.84550409</v>
      </c>
      <c r="BT1520" s="331">
        <f t="shared" si="170"/>
        <v>41.54708173</v>
      </c>
      <c r="BU1520" s="920"/>
      <c r="BV1520" s="903">
        <f t="shared" si="171"/>
        <v>-0.4588541667</v>
      </c>
      <c r="BW1520" s="907"/>
      <c r="BX1520" s="908"/>
      <c r="BY1520" s="331"/>
      <c r="BZ1520" s="340"/>
      <c r="CA1520" s="316"/>
      <c r="CB1520" s="318"/>
      <c r="CC1520" s="318"/>
      <c r="CD1520" s="318"/>
      <c r="CE1520" s="318"/>
      <c r="CF1520" s="318"/>
      <c r="CG1520" s="318"/>
      <c r="CH1520" s="318"/>
      <c r="CI1520" s="318"/>
      <c r="CJ1520" s="463"/>
      <c r="CK1520" s="342"/>
      <c r="CL1520" s="333"/>
      <c r="CM1520" s="1079"/>
      <c r="CN1520" s="1005"/>
      <c r="CO1520" s="1005"/>
      <c r="CP1520" s="1005"/>
    </row>
    <row r="1521">
      <c r="B1521" s="1106" t="s">
        <v>1755</v>
      </c>
      <c r="C1521" s="1107">
        <v>44853.0</v>
      </c>
      <c r="D1521" s="103"/>
      <c r="E1521" s="1108">
        <v>19.0</v>
      </c>
      <c r="F1521" s="112" t="s">
        <v>2208</v>
      </c>
      <c r="G1521" s="1110">
        <v>0.4620949074074074</v>
      </c>
      <c r="H1521" s="1110">
        <v>0.4625</v>
      </c>
      <c r="I1521" s="1110"/>
      <c r="J1521" s="1111"/>
      <c r="K1521" s="1111">
        <v>0.46377314814814813</v>
      </c>
      <c r="L1521" s="1112">
        <v>0.0012731481481481483</v>
      </c>
      <c r="M1521" s="1113" t="s">
        <v>358</v>
      </c>
      <c r="N1521" s="110" t="s">
        <v>188</v>
      </c>
      <c r="O1521" s="1115" t="s">
        <v>378</v>
      </c>
      <c r="P1521" s="1115" t="s">
        <v>225</v>
      </c>
      <c r="Q1521" s="1115" t="s">
        <v>842</v>
      </c>
      <c r="R1521" s="120">
        <v>22.7</v>
      </c>
      <c r="S1521" s="1113">
        <v>39.7</v>
      </c>
      <c r="T1521" s="110">
        <v>1.1</v>
      </c>
      <c r="U1521" s="1108">
        <v>3.03</v>
      </c>
      <c r="V1521" s="1108"/>
      <c r="W1521" s="1108"/>
      <c r="X1521" s="1108"/>
      <c r="Y1521" s="1108"/>
      <c r="Z1521" s="1114" t="s">
        <v>1140</v>
      </c>
      <c r="AA1521" s="1114"/>
      <c r="AB1521" s="1114" t="s">
        <v>326</v>
      </c>
      <c r="AC1521" s="1117">
        <v>1.0</v>
      </c>
      <c r="AD1521" s="1115"/>
      <c r="AE1521" s="1115"/>
      <c r="AF1521" s="1115"/>
      <c r="AG1521" s="1115"/>
      <c r="AH1521" s="1115"/>
      <c r="AI1521" s="1115"/>
      <c r="AJ1521" s="1117"/>
      <c r="AK1521" s="1118"/>
      <c r="AL1521" s="1115"/>
      <c r="AM1521" s="1115"/>
      <c r="AN1521" s="1115"/>
      <c r="AO1521" s="1115"/>
      <c r="AP1521" s="1115"/>
      <c r="AQ1521" s="1115"/>
      <c r="AR1521" s="1115"/>
      <c r="AS1521" s="1117"/>
      <c r="AT1521" s="1075" t="s">
        <v>182</v>
      </c>
      <c r="AU1521" s="1193" t="s">
        <v>845</v>
      </c>
      <c r="AV1521" s="330">
        <f>SQRT(($R1521-Infrastructure!J$3)^2+($S1521-Infrastructure!K$3)^2)</f>
        <v>25.40944706</v>
      </c>
      <c r="AW1521" s="331">
        <f>SQRT(($R1521-Infrastructure!J$4)^2+($S1521-Infrastructure!K$4)^2)</f>
        <v>31.75862088</v>
      </c>
      <c r="AX1521" s="331">
        <f>SQRT(($R1521-Infrastructure!J$5)^2+($S1521-Infrastructure!K$5)^2)</f>
        <v>41.54708173</v>
      </c>
      <c r="AY1521" s="331">
        <f>SQRT(($R1521-Infrastructure!J$6)^2+($S1521-Infrastructure!K$6)^2)</f>
        <v>41.36568626</v>
      </c>
      <c r="AZ1521" s="331">
        <f>SQRT(($R1521-Infrastructure!J$7)^2+($S1521-Infrastructure!K$7)^2)</f>
        <v>39.46137352</v>
      </c>
      <c r="BA1521" s="331">
        <f>SQRT(($R1521-Infrastructure!J$8)^2+($S1521-Infrastructure!K$8)^2)</f>
        <v>40.08890121</v>
      </c>
      <c r="BB1521" s="331">
        <f>SQRT(($R1521-Infrastructure!J$9)^2+($S1521-Infrastructure!K$9)^2)</f>
        <v>38.68397601</v>
      </c>
      <c r="BC1521" s="331">
        <f>SQRT(($R1521-Infrastructure!J$10)^2+($S1521-Infrastructure!K$10)^2)</f>
        <v>30.15592811</v>
      </c>
      <c r="BD1521" s="331">
        <f>SQRT(($R1521-Infrastructure!J$11)^2+($S1521-Infrastructure!K$11)^2)</f>
        <v>20.51194774</v>
      </c>
      <c r="BE1521" s="333">
        <f>SQRT(($R1521-Infrastructure!J$12)^2+($S1521-Infrastructure!K$12)^2)</f>
        <v>15.84550409</v>
      </c>
      <c r="BF1521" s="330">
        <f t="shared" si="161"/>
        <v>15.84550409</v>
      </c>
      <c r="BG1521" s="333">
        <f t="shared" si="162"/>
        <v>41.54708173</v>
      </c>
      <c r="BH1521" s="1119"/>
      <c r="BI1521" s="319" t="s">
        <v>846</v>
      </c>
      <c r="BJ1521" s="319"/>
      <c r="BK1521" s="319" t="s">
        <v>846</v>
      </c>
      <c r="BL1521" s="319"/>
      <c r="BM1521" s="319"/>
      <c r="BN1521" s="319"/>
      <c r="BO1521" s="319"/>
      <c r="BP1521" s="953"/>
      <c r="BQ1521" s="319" t="s">
        <v>846</v>
      </c>
      <c r="BR1521" s="319" t="s">
        <v>846</v>
      </c>
      <c r="BS1521" s="330">
        <f t="shared" si="169"/>
        <v>15.84550409</v>
      </c>
      <c r="BT1521" s="331">
        <f t="shared" si="170"/>
        <v>41.54708173</v>
      </c>
      <c r="BU1521" s="920"/>
      <c r="BV1521" s="903">
        <f t="shared" si="171"/>
        <v>-0.4620949074</v>
      </c>
      <c r="BW1521" s="907"/>
      <c r="BX1521" s="908"/>
      <c r="BY1521" s="331"/>
      <c r="BZ1521" s="340"/>
      <c r="CA1521" s="316"/>
      <c r="CB1521" s="318"/>
      <c r="CC1521" s="318"/>
      <c r="CD1521" s="318"/>
      <c r="CE1521" s="318"/>
      <c r="CF1521" s="318"/>
      <c r="CG1521" s="318"/>
      <c r="CH1521" s="318"/>
      <c r="CI1521" s="318"/>
      <c r="CJ1521" s="463"/>
      <c r="CK1521" s="342"/>
      <c r="CL1521" s="333"/>
      <c r="CM1521" s="1079"/>
      <c r="CN1521" s="1005"/>
      <c r="CO1521" s="1005"/>
      <c r="CP1521" s="1005"/>
    </row>
    <row r="1522">
      <c r="B1522" s="1106" t="s">
        <v>1755</v>
      </c>
      <c r="C1522" s="1107">
        <v>44853.0</v>
      </c>
      <c r="D1522" s="103"/>
      <c r="E1522" s="1108">
        <v>20.0</v>
      </c>
      <c r="F1522" s="112" t="s">
        <v>2209</v>
      </c>
      <c r="G1522" s="1110">
        <v>0.465162037037037</v>
      </c>
      <c r="H1522" s="1110">
        <v>0.4654513888888889</v>
      </c>
      <c r="I1522" s="1110"/>
      <c r="J1522" s="1111"/>
      <c r="K1522" s="1111">
        <v>0.4666666666666667</v>
      </c>
      <c r="L1522" s="1112">
        <v>0.0012152777777777778</v>
      </c>
      <c r="M1522" s="1113" t="s">
        <v>358</v>
      </c>
      <c r="N1522" s="110" t="s">
        <v>188</v>
      </c>
      <c r="O1522" s="1115" t="s">
        <v>378</v>
      </c>
      <c r="P1522" s="1115" t="s">
        <v>225</v>
      </c>
      <c r="Q1522" s="1115" t="s">
        <v>842</v>
      </c>
      <c r="R1522" s="120">
        <v>22.7</v>
      </c>
      <c r="S1522" s="1113">
        <v>39.7</v>
      </c>
      <c r="T1522" s="110">
        <v>1.1</v>
      </c>
      <c r="U1522" s="1108">
        <v>2.75</v>
      </c>
      <c r="V1522" s="1108"/>
      <c r="W1522" s="1108"/>
      <c r="X1522" s="1108"/>
      <c r="Y1522" s="1108"/>
      <c r="Z1522" s="1114" t="s">
        <v>1140</v>
      </c>
      <c r="AA1522" s="1114"/>
      <c r="AB1522" s="1114" t="s">
        <v>326</v>
      </c>
      <c r="AC1522" s="1117">
        <v>1.0</v>
      </c>
      <c r="AD1522" s="1115"/>
      <c r="AE1522" s="1115"/>
      <c r="AF1522" s="1115"/>
      <c r="AG1522" s="1115"/>
      <c r="AH1522" s="1115"/>
      <c r="AI1522" s="1115"/>
      <c r="AJ1522" s="1117"/>
      <c r="AK1522" s="1118"/>
      <c r="AL1522" s="1115"/>
      <c r="AM1522" s="1115"/>
      <c r="AN1522" s="1115"/>
      <c r="AO1522" s="1115"/>
      <c r="AP1522" s="1115"/>
      <c r="AQ1522" s="1115"/>
      <c r="AR1522" s="1115"/>
      <c r="AS1522" s="1117"/>
      <c r="AT1522" s="1075" t="s">
        <v>182</v>
      </c>
      <c r="AU1522" s="1193" t="s">
        <v>845</v>
      </c>
      <c r="AV1522" s="330">
        <f>SQRT(($R1522-Infrastructure!J$3)^2+($S1522-Infrastructure!K$3)^2)</f>
        <v>25.40944706</v>
      </c>
      <c r="AW1522" s="331">
        <f>SQRT(($R1522-Infrastructure!J$4)^2+($S1522-Infrastructure!K$4)^2)</f>
        <v>31.75862088</v>
      </c>
      <c r="AX1522" s="331">
        <f>SQRT(($R1522-Infrastructure!J$5)^2+($S1522-Infrastructure!K$5)^2)</f>
        <v>41.54708173</v>
      </c>
      <c r="AY1522" s="331">
        <f>SQRT(($R1522-Infrastructure!J$6)^2+($S1522-Infrastructure!K$6)^2)</f>
        <v>41.36568626</v>
      </c>
      <c r="AZ1522" s="331">
        <f>SQRT(($R1522-Infrastructure!J$7)^2+($S1522-Infrastructure!K$7)^2)</f>
        <v>39.46137352</v>
      </c>
      <c r="BA1522" s="331">
        <f>SQRT(($R1522-Infrastructure!J$8)^2+($S1522-Infrastructure!K$8)^2)</f>
        <v>40.08890121</v>
      </c>
      <c r="BB1522" s="331">
        <f>SQRT(($R1522-Infrastructure!J$9)^2+($S1522-Infrastructure!K$9)^2)</f>
        <v>38.68397601</v>
      </c>
      <c r="BC1522" s="331">
        <f>SQRT(($R1522-Infrastructure!J$10)^2+($S1522-Infrastructure!K$10)^2)</f>
        <v>30.15592811</v>
      </c>
      <c r="BD1522" s="331">
        <f>SQRT(($R1522-Infrastructure!J$11)^2+($S1522-Infrastructure!K$11)^2)</f>
        <v>20.51194774</v>
      </c>
      <c r="BE1522" s="333">
        <f>SQRT(($R1522-Infrastructure!J$12)^2+($S1522-Infrastructure!K$12)^2)</f>
        <v>15.84550409</v>
      </c>
      <c r="BF1522" s="330">
        <f t="shared" si="161"/>
        <v>15.84550409</v>
      </c>
      <c r="BG1522" s="333">
        <f t="shared" si="162"/>
        <v>41.54708173</v>
      </c>
      <c r="BH1522" s="1119"/>
      <c r="BI1522" s="319" t="s">
        <v>846</v>
      </c>
      <c r="BJ1522" s="319"/>
      <c r="BK1522" s="319" t="s">
        <v>846</v>
      </c>
      <c r="BL1522" s="319"/>
      <c r="BM1522" s="319"/>
      <c r="BN1522" s="319"/>
      <c r="BO1522" s="319"/>
      <c r="BP1522" s="953"/>
      <c r="BQ1522" s="319" t="s">
        <v>846</v>
      </c>
      <c r="BR1522" s="319" t="s">
        <v>846</v>
      </c>
      <c r="BS1522" s="330">
        <f t="shared" si="169"/>
        <v>15.84550409</v>
      </c>
      <c r="BT1522" s="331">
        <f t="shared" si="170"/>
        <v>41.54708173</v>
      </c>
      <c r="BU1522" s="920"/>
      <c r="BV1522" s="903">
        <f t="shared" si="171"/>
        <v>-0.465162037</v>
      </c>
      <c r="BW1522" s="907"/>
      <c r="BX1522" s="908"/>
      <c r="BY1522" s="331"/>
      <c r="BZ1522" s="340"/>
      <c r="CA1522" s="316"/>
      <c r="CB1522" s="318"/>
      <c r="CC1522" s="318"/>
      <c r="CD1522" s="318"/>
      <c r="CE1522" s="318"/>
      <c r="CF1522" s="318"/>
      <c r="CG1522" s="318"/>
      <c r="CH1522" s="318"/>
      <c r="CI1522" s="318"/>
      <c r="CJ1522" s="463"/>
      <c r="CK1522" s="342"/>
      <c r="CL1522" s="333"/>
      <c r="CM1522" s="1079"/>
      <c r="CN1522" s="1005"/>
      <c r="CO1522" s="1005"/>
      <c r="CP1522" s="1005"/>
    </row>
    <row r="1523">
      <c r="B1523" s="1106" t="s">
        <v>1755</v>
      </c>
      <c r="C1523" s="1107">
        <v>44853.0</v>
      </c>
      <c r="D1523" s="103"/>
      <c r="E1523" s="1108">
        <v>21.0</v>
      </c>
      <c r="F1523" s="112" t="s">
        <v>2210</v>
      </c>
      <c r="G1523" s="1110">
        <v>0.4736111111111111</v>
      </c>
      <c r="H1523" s="1110">
        <v>0.4739583333333333</v>
      </c>
      <c r="I1523" s="1110"/>
      <c r="J1523" s="1111"/>
      <c r="K1523" s="1111">
        <v>0.4753472222222222</v>
      </c>
      <c r="L1523" s="1112">
        <v>0.001388888888888889</v>
      </c>
      <c r="M1523" s="1113" t="s">
        <v>358</v>
      </c>
      <c r="N1523" s="110" t="s">
        <v>188</v>
      </c>
      <c r="O1523" s="1115" t="s">
        <v>378</v>
      </c>
      <c r="P1523" s="1115" t="s">
        <v>225</v>
      </c>
      <c r="Q1523" s="1115" t="s">
        <v>842</v>
      </c>
      <c r="R1523" s="120">
        <v>22.7</v>
      </c>
      <c r="S1523" s="1113">
        <v>39.7</v>
      </c>
      <c r="T1523" s="110">
        <v>1.1</v>
      </c>
      <c r="U1523" s="1108">
        <v>3.9</v>
      </c>
      <c r="V1523" s="1108"/>
      <c r="W1523" s="1108"/>
      <c r="X1523" s="1108"/>
      <c r="Y1523" s="1108"/>
      <c r="Z1523" s="1114" t="s">
        <v>1140</v>
      </c>
      <c r="AA1523" s="1114"/>
      <c r="AB1523" s="1114" t="s">
        <v>333</v>
      </c>
      <c r="AC1523" s="1117">
        <v>2.0</v>
      </c>
      <c r="AD1523" s="1115"/>
      <c r="AE1523" s="1115"/>
      <c r="AF1523" s="1115"/>
      <c r="AG1523" s="1115"/>
      <c r="AH1523" s="1115"/>
      <c r="AI1523" s="1115"/>
      <c r="AJ1523" s="1117"/>
      <c r="AK1523" s="1118"/>
      <c r="AL1523" s="1115"/>
      <c r="AM1523" s="1115"/>
      <c r="AN1523" s="1115"/>
      <c r="AO1523" s="1115"/>
      <c r="AP1523" s="1115"/>
      <c r="AQ1523" s="1115"/>
      <c r="AR1523" s="1115"/>
      <c r="AS1523" s="1117"/>
      <c r="AT1523" s="1075" t="s">
        <v>182</v>
      </c>
      <c r="AU1523" s="1193" t="s">
        <v>845</v>
      </c>
      <c r="AV1523" s="330">
        <f>SQRT(($R1523-Infrastructure!J$3)^2+($S1523-Infrastructure!K$3)^2)</f>
        <v>25.40944706</v>
      </c>
      <c r="AW1523" s="331">
        <f>SQRT(($R1523-Infrastructure!J$4)^2+($S1523-Infrastructure!K$4)^2)</f>
        <v>31.75862088</v>
      </c>
      <c r="AX1523" s="331">
        <f>SQRT(($R1523-Infrastructure!J$5)^2+($S1523-Infrastructure!K$5)^2)</f>
        <v>41.54708173</v>
      </c>
      <c r="AY1523" s="331">
        <f>SQRT(($R1523-Infrastructure!J$6)^2+($S1523-Infrastructure!K$6)^2)</f>
        <v>41.36568626</v>
      </c>
      <c r="AZ1523" s="331">
        <f>SQRT(($R1523-Infrastructure!J$7)^2+($S1523-Infrastructure!K$7)^2)</f>
        <v>39.46137352</v>
      </c>
      <c r="BA1523" s="331">
        <f>SQRT(($R1523-Infrastructure!J$8)^2+($S1523-Infrastructure!K$8)^2)</f>
        <v>40.08890121</v>
      </c>
      <c r="BB1523" s="331">
        <f>SQRT(($R1523-Infrastructure!J$9)^2+($S1523-Infrastructure!K$9)^2)</f>
        <v>38.68397601</v>
      </c>
      <c r="BC1523" s="331">
        <f>SQRT(($R1523-Infrastructure!J$10)^2+($S1523-Infrastructure!K$10)^2)</f>
        <v>30.15592811</v>
      </c>
      <c r="BD1523" s="331">
        <f>SQRT(($R1523-Infrastructure!J$11)^2+($S1523-Infrastructure!K$11)^2)</f>
        <v>20.51194774</v>
      </c>
      <c r="BE1523" s="333">
        <f>SQRT(($R1523-Infrastructure!J$12)^2+($S1523-Infrastructure!K$12)^2)</f>
        <v>15.84550409</v>
      </c>
      <c r="BF1523" s="330">
        <f t="shared" si="161"/>
        <v>15.84550409</v>
      </c>
      <c r="BG1523" s="333">
        <f t="shared" si="162"/>
        <v>41.54708173</v>
      </c>
      <c r="BH1523" s="1119"/>
      <c r="BI1523" s="319" t="s">
        <v>846</v>
      </c>
      <c r="BJ1523" s="319"/>
      <c r="BK1523" s="319" t="s">
        <v>846</v>
      </c>
      <c r="BL1523" s="319"/>
      <c r="BM1523" s="319"/>
      <c r="BN1523" s="319"/>
      <c r="BO1523" s="319"/>
      <c r="BP1523" s="953"/>
      <c r="BQ1523" s="319" t="s">
        <v>846</v>
      </c>
      <c r="BR1523" s="319" t="s">
        <v>846</v>
      </c>
      <c r="BS1523" s="330">
        <f t="shared" si="169"/>
        <v>15.84550409</v>
      </c>
      <c r="BT1523" s="331">
        <f t="shared" si="170"/>
        <v>41.54708173</v>
      </c>
      <c r="BU1523" s="920"/>
      <c r="BV1523" s="903">
        <f t="shared" si="171"/>
        <v>-0.4736111111</v>
      </c>
      <c r="BW1523" s="907"/>
      <c r="BX1523" s="908"/>
      <c r="BY1523" s="331"/>
      <c r="BZ1523" s="340"/>
      <c r="CA1523" s="316"/>
      <c r="CB1523" s="318"/>
      <c r="CC1523" s="318"/>
      <c r="CD1523" s="318"/>
      <c r="CE1523" s="318"/>
      <c r="CF1523" s="318"/>
      <c r="CG1523" s="318"/>
      <c r="CH1523" s="318"/>
      <c r="CI1523" s="318"/>
      <c r="CJ1523" s="463"/>
      <c r="CK1523" s="342"/>
      <c r="CL1523" s="333"/>
      <c r="CM1523" s="1079"/>
      <c r="CN1523" s="1005"/>
      <c r="CO1523" s="1005"/>
      <c r="CP1523" s="1005"/>
    </row>
    <row r="1524">
      <c r="B1524" s="1106" t="s">
        <v>1755</v>
      </c>
      <c r="C1524" s="1107">
        <v>44853.0</v>
      </c>
      <c r="D1524" s="103"/>
      <c r="E1524" s="1108">
        <v>22.0</v>
      </c>
      <c r="F1524" s="112" t="s">
        <v>2211</v>
      </c>
      <c r="G1524" s="1110">
        <v>0.47673611111111114</v>
      </c>
      <c r="H1524" s="1110">
        <v>0.4769097222222222</v>
      </c>
      <c r="I1524" s="1110"/>
      <c r="J1524" s="1111"/>
      <c r="K1524" s="1111">
        <v>0.4782986111111111</v>
      </c>
      <c r="L1524" s="1112">
        <v>0.001388888888888889</v>
      </c>
      <c r="M1524" s="1113" t="s">
        <v>358</v>
      </c>
      <c r="N1524" s="110" t="s">
        <v>188</v>
      </c>
      <c r="O1524" s="1115" t="s">
        <v>378</v>
      </c>
      <c r="P1524" s="1115" t="s">
        <v>225</v>
      </c>
      <c r="Q1524" s="1115" t="s">
        <v>842</v>
      </c>
      <c r="R1524" s="120">
        <v>22.7</v>
      </c>
      <c r="S1524" s="1113">
        <v>39.7</v>
      </c>
      <c r="T1524" s="110">
        <v>1.1</v>
      </c>
      <c r="U1524" s="1108">
        <v>2.13</v>
      </c>
      <c r="V1524" s="1108"/>
      <c r="W1524" s="1108"/>
      <c r="X1524" s="1108"/>
      <c r="Y1524" s="1108"/>
      <c r="Z1524" s="1114" t="s">
        <v>1140</v>
      </c>
      <c r="AA1524" s="1114"/>
      <c r="AB1524" s="1114" t="s">
        <v>329</v>
      </c>
      <c r="AC1524" s="1117">
        <v>1.5</v>
      </c>
      <c r="AD1524" s="1115"/>
      <c r="AE1524" s="1115"/>
      <c r="AF1524" s="1115"/>
      <c r="AG1524" s="1115"/>
      <c r="AH1524" s="1115"/>
      <c r="AI1524" s="1115"/>
      <c r="AJ1524" s="1117"/>
      <c r="AK1524" s="1118"/>
      <c r="AL1524" s="1115"/>
      <c r="AM1524" s="1115"/>
      <c r="AN1524" s="1115"/>
      <c r="AO1524" s="1115"/>
      <c r="AP1524" s="1115"/>
      <c r="AQ1524" s="1115"/>
      <c r="AR1524" s="1115"/>
      <c r="AS1524" s="1117"/>
      <c r="AT1524" s="1075" t="s">
        <v>182</v>
      </c>
      <c r="AU1524" s="1193" t="s">
        <v>845</v>
      </c>
      <c r="AV1524" s="330">
        <f>SQRT(($R1524-Infrastructure!J$3)^2+($S1524-Infrastructure!K$3)^2)</f>
        <v>25.40944706</v>
      </c>
      <c r="AW1524" s="331">
        <f>SQRT(($R1524-Infrastructure!J$4)^2+($S1524-Infrastructure!K$4)^2)</f>
        <v>31.75862088</v>
      </c>
      <c r="AX1524" s="331">
        <f>SQRT(($R1524-Infrastructure!J$5)^2+($S1524-Infrastructure!K$5)^2)</f>
        <v>41.54708173</v>
      </c>
      <c r="AY1524" s="331">
        <f>SQRT(($R1524-Infrastructure!J$6)^2+($S1524-Infrastructure!K$6)^2)</f>
        <v>41.36568626</v>
      </c>
      <c r="AZ1524" s="331">
        <f>SQRT(($R1524-Infrastructure!J$7)^2+($S1524-Infrastructure!K$7)^2)</f>
        <v>39.46137352</v>
      </c>
      <c r="BA1524" s="331">
        <f>SQRT(($R1524-Infrastructure!J$8)^2+($S1524-Infrastructure!K$8)^2)</f>
        <v>40.08890121</v>
      </c>
      <c r="BB1524" s="331">
        <f>SQRT(($R1524-Infrastructure!J$9)^2+($S1524-Infrastructure!K$9)^2)</f>
        <v>38.68397601</v>
      </c>
      <c r="BC1524" s="331">
        <f>SQRT(($R1524-Infrastructure!J$10)^2+($S1524-Infrastructure!K$10)^2)</f>
        <v>30.15592811</v>
      </c>
      <c r="BD1524" s="331">
        <f>SQRT(($R1524-Infrastructure!J$11)^2+($S1524-Infrastructure!K$11)^2)</f>
        <v>20.51194774</v>
      </c>
      <c r="BE1524" s="333">
        <f>SQRT(($R1524-Infrastructure!J$12)^2+($S1524-Infrastructure!K$12)^2)</f>
        <v>15.84550409</v>
      </c>
      <c r="BF1524" s="330">
        <f t="shared" si="161"/>
        <v>15.84550409</v>
      </c>
      <c r="BG1524" s="333">
        <f t="shared" si="162"/>
        <v>41.54708173</v>
      </c>
      <c r="BH1524" s="1119"/>
      <c r="BI1524" s="319" t="s">
        <v>846</v>
      </c>
      <c r="BJ1524" s="319"/>
      <c r="BK1524" s="319"/>
      <c r="BL1524" s="319"/>
      <c r="BM1524" s="319"/>
      <c r="BN1524" s="319"/>
      <c r="BO1524" s="319"/>
      <c r="BP1524" s="953"/>
      <c r="BQ1524" s="319" t="s">
        <v>846</v>
      </c>
      <c r="BR1524" s="319" t="s">
        <v>846</v>
      </c>
      <c r="BS1524" s="330">
        <f t="shared" si="169"/>
        <v>15.84550409</v>
      </c>
      <c r="BT1524" s="331">
        <f t="shared" si="170"/>
        <v>25.40944706</v>
      </c>
      <c r="BU1524" s="920"/>
      <c r="BV1524" s="903">
        <f t="shared" si="171"/>
        <v>-0.4767361111</v>
      </c>
      <c r="BW1524" s="907"/>
      <c r="BX1524" s="908"/>
      <c r="BY1524" s="331"/>
      <c r="BZ1524" s="340"/>
      <c r="CA1524" s="316"/>
      <c r="CB1524" s="318"/>
      <c r="CC1524" s="318"/>
      <c r="CD1524" s="318"/>
      <c r="CE1524" s="318"/>
      <c r="CF1524" s="318"/>
      <c r="CG1524" s="318"/>
      <c r="CH1524" s="318"/>
      <c r="CI1524" s="318"/>
      <c r="CJ1524" s="463"/>
      <c r="CK1524" s="342"/>
      <c r="CL1524" s="333"/>
      <c r="CM1524" s="1079"/>
      <c r="CN1524" s="1005"/>
      <c r="CO1524" s="1005"/>
      <c r="CP1524" s="1005"/>
    </row>
    <row r="1525">
      <c r="B1525" s="1106" t="s">
        <v>1755</v>
      </c>
      <c r="C1525" s="1107">
        <v>44853.0</v>
      </c>
      <c r="D1525" s="103"/>
      <c r="E1525" s="1108">
        <v>23.0</v>
      </c>
      <c r="F1525" s="112" t="s">
        <v>2212</v>
      </c>
      <c r="G1525" s="1110">
        <v>0.47962962962962963</v>
      </c>
      <c r="H1525" s="1110">
        <v>0.4798611111111111</v>
      </c>
      <c r="I1525" s="1110"/>
      <c r="J1525" s="1111"/>
      <c r="K1525" s="1111">
        <v>0.48130787037037037</v>
      </c>
      <c r="L1525" s="1112">
        <v>0.0014467592592592592</v>
      </c>
      <c r="M1525" s="1113" t="s">
        <v>358</v>
      </c>
      <c r="N1525" s="110" t="s">
        <v>188</v>
      </c>
      <c r="O1525" s="1115" t="s">
        <v>378</v>
      </c>
      <c r="P1525" s="1115" t="s">
        <v>225</v>
      </c>
      <c r="Q1525" s="1115" t="s">
        <v>842</v>
      </c>
      <c r="R1525" s="120">
        <v>22.7</v>
      </c>
      <c r="S1525" s="1113">
        <v>39.7</v>
      </c>
      <c r="T1525" s="110">
        <v>1.1</v>
      </c>
      <c r="U1525" s="1108">
        <v>2.22</v>
      </c>
      <c r="V1525" s="1108"/>
      <c r="W1525" s="1108"/>
      <c r="X1525" s="1108"/>
      <c r="Y1525" s="1108"/>
      <c r="Z1525" s="1114" t="s">
        <v>1140</v>
      </c>
      <c r="AA1525" s="1114"/>
      <c r="AB1525" s="1114" t="s">
        <v>329</v>
      </c>
      <c r="AC1525" s="1117">
        <v>1.5</v>
      </c>
      <c r="AD1525" s="1115"/>
      <c r="AE1525" s="1115"/>
      <c r="AF1525" s="1115"/>
      <c r="AG1525" s="1115"/>
      <c r="AH1525" s="1115"/>
      <c r="AI1525" s="1115"/>
      <c r="AJ1525" s="1117"/>
      <c r="AK1525" s="1118"/>
      <c r="AL1525" s="1115"/>
      <c r="AM1525" s="1115"/>
      <c r="AN1525" s="1115"/>
      <c r="AO1525" s="1115"/>
      <c r="AP1525" s="1115"/>
      <c r="AQ1525" s="1115"/>
      <c r="AR1525" s="1115"/>
      <c r="AS1525" s="1117"/>
      <c r="AT1525" s="1075" t="s">
        <v>182</v>
      </c>
      <c r="AU1525" s="1193" t="s">
        <v>845</v>
      </c>
      <c r="AV1525" s="330">
        <f>SQRT(($R1525-Infrastructure!J$3)^2+($S1525-Infrastructure!K$3)^2)</f>
        <v>25.40944706</v>
      </c>
      <c r="AW1525" s="331">
        <f>SQRT(($R1525-Infrastructure!J$4)^2+($S1525-Infrastructure!K$4)^2)</f>
        <v>31.75862088</v>
      </c>
      <c r="AX1525" s="331">
        <f>SQRT(($R1525-Infrastructure!J$5)^2+($S1525-Infrastructure!K$5)^2)</f>
        <v>41.54708173</v>
      </c>
      <c r="AY1525" s="331">
        <f>SQRT(($R1525-Infrastructure!J$6)^2+($S1525-Infrastructure!K$6)^2)</f>
        <v>41.36568626</v>
      </c>
      <c r="AZ1525" s="331">
        <f>SQRT(($R1525-Infrastructure!J$7)^2+($S1525-Infrastructure!K$7)^2)</f>
        <v>39.46137352</v>
      </c>
      <c r="BA1525" s="331">
        <f>SQRT(($R1525-Infrastructure!J$8)^2+($S1525-Infrastructure!K$8)^2)</f>
        <v>40.08890121</v>
      </c>
      <c r="BB1525" s="331">
        <f>SQRT(($R1525-Infrastructure!J$9)^2+($S1525-Infrastructure!K$9)^2)</f>
        <v>38.68397601</v>
      </c>
      <c r="BC1525" s="331">
        <f>SQRT(($R1525-Infrastructure!J$10)^2+($S1525-Infrastructure!K$10)^2)</f>
        <v>30.15592811</v>
      </c>
      <c r="BD1525" s="331">
        <f>SQRT(($R1525-Infrastructure!J$11)^2+($S1525-Infrastructure!K$11)^2)</f>
        <v>20.51194774</v>
      </c>
      <c r="BE1525" s="333">
        <f>SQRT(($R1525-Infrastructure!J$12)^2+($S1525-Infrastructure!K$12)^2)</f>
        <v>15.84550409</v>
      </c>
      <c r="BF1525" s="330">
        <f t="shared" si="161"/>
        <v>15.84550409</v>
      </c>
      <c r="BG1525" s="333">
        <f t="shared" si="162"/>
        <v>41.54708173</v>
      </c>
      <c r="BH1525" s="1119"/>
      <c r="BI1525" s="319" t="s">
        <v>846</v>
      </c>
      <c r="BJ1525" s="319"/>
      <c r="BK1525" s="319"/>
      <c r="BL1525" s="319"/>
      <c r="BM1525" s="319"/>
      <c r="BN1525" s="319"/>
      <c r="BO1525" s="319"/>
      <c r="BP1525" s="953"/>
      <c r="BQ1525" s="319" t="s">
        <v>846</v>
      </c>
      <c r="BR1525" s="319" t="s">
        <v>846</v>
      </c>
      <c r="BS1525" s="330">
        <f t="shared" si="169"/>
        <v>15.84550409</v>
      </c>
      <c r="BT1525" s="331">
        <f t="shared" si="170"/>
        <v>25.40944706</v>
      </c>
      <c r="BU1525" s="920"/>
      <c r="BV1525" s="903">
        <f t="shared" si="171"/>
        <v>-0.4796296296</v>
      </c>
      <c r="BW1525" s="907"/>
      <c r="BX1525" s="908"/>
      <c r="BY1525" s="331"/>
      <c r="BZ1525" s="340"/>
      <c r="CA1525" s="316"/>
      <c r="CB1525" s="318"/>
      <c r="CC1525" s="318"/>
      <c r="CD1525" s="318"/>
      <c r="CE1525" s="318"/>
      <c r="CF1525" s="318"/>
      <c r="CG1525" s="318"/>
      <c r="CH1525" s="318"/>
      <c r="CI1525" s="318"/>
      <c r="CJ1525" s="463"/>
      <c r="CK1525" s="342"/>
      <c r="CL1525" s="333"/>
      <c r="CM1525" s="1079"/>
      <c r="CN1525" s="1005"/>
      <c r="CO1525" s="1005"/>
      <c r="CP1525" s="1005"/>
    </row>
    <row r="1526">
      <c r="B1526" s="1106" t="s">
        <v>1755</v>
      </c>
      <c r="C1526" s="1107">
        <v>44853.0</v>
      </c>
      <c r="D1526" s="103"/>
      <c r="E1526" s="1108">
        <v>24.0</v>
      </c>
      <c r="F1526" s="112" t="s">
        <v>2213</v>
      </c>
      <c r="G1526" s="1110">
        <v>0.48269675925925926</v>
      </c>
      <c r="H1526" s="1110">
        <v>0.4829861111111111</v>
      </c>
      <c r="I1526" s="1110"/>
      <c r="J1526" s="1111"/>
      <c r="K1526" s="1111">
        <v>0.484375</v>
      </c>
      <c r="L1526" s="1112">
        <v>0.001388888888888889</v>
      </c>
      <c r="M1526" s="1113" t="s">
        <v>358</v>
      </c>
      <c r="N1526" s="110" t="s">
        <v>188</v>
      </c>
      <c r="O1526" s="1115" t="s">
        <v>378</v>
      </c>
      <c r="P1526" s="1115" t="s">
        <v>225</v>
      </c>
      <c r="Q1526" s="1115" t="s">
        <v>842</v>
      </c>
      <c r="R1526" s="120">
        <v>22.7</v>
      </c>
      <c r="S1526" s="1113">
        <v>39.7</v>
      </c>
      <c r="T1526" s="110">
        <v>1.1</v>
      </c>
      <c r="U1526" s="1108">
        <v>1.14</v>
      </c>
      <c r="V1526" s="1108"/>
      <c r="W1526" s="1108"/>
      <c r="X1526" s="1108"/>
      <c r="Y1526" s="1108"/>
      <c r="Z1526" s="1114" t="s">
        <v>1140</v>
      </c>
      <c r="AA1526" s="1114"/>
      <c r="AB1526" s="1114" t="s">
        <v>326</v>
      </c>
      <c r="AC1526" s="1117">
        <v>1.0</v>
      </c>
      <c r="AD1526" s="1115"/>
      <c r="AE1526" s="1115"/>
      <c r="AF1526" s="1115"/>
      <c r="AG1526" s="1115"/>
      <c r="AH1526" s="1115"/>
      <c r="AI1526" s="1115"/>
      <c r="AJ1526" s="1117"/>
      <c r="AK1526" s="1118"/>
      <c r="AL1526" s="1115"/>
      <c r="AM1526" s="1115"/>
      <c r="AN1526" s="1115"/>
      <c r="AO1526" s="1115"/>
      <c r="AP1526" s="1115"/>
      <c r="AQ1526" s="1115"/>
      <c r="AR1526" s="1115"/>
      <c r="AS1526" s="1117"/>
      <c r="AT1526" s="1075" t="s">
        <v>182</v>
      </c>
      <c r="AU1526" s="1193" t="s">
        <v>845</v>
      </c>
      <c r="AV1526" s="330">
        <f>SQRT(($R1526-Infrastructure!J$3)^2+($S1526-Infrastructure!K$3)^2)</f>
        <v>25.40944706</v>
      </c>
      <c r="AW1526" s="331">
        <f>SQRT(($R1526-Infrastructure!J$4)^2+($S1526-Infrastructure!K$4)^2)</f>
        <v>31.75862088</v>
      </c>
      <c r="AX1526" s="331">
        <f>SQRT(($R1526-Infrastructure!J$5)^2+($S1526-Infrastructure!K$5)^2)</f>
        <v>41.54708173</v>
      </c>
      <c r="AY1526" s="331">
        <f>SQRT(($R1526-Infrastructure!J$6)^2+($S1526-Infrastructure!K$6)^2)</f>
        <v>41.36568626</v>
      </c>
      <c r="AZ1526" s="331">
        <f>SQRT(($R1526-Infrastructure!J$7)^2+($S1526-Infrastructure!K$7)^2)</f>
        <v>39.46137352</v>
      </c>
      <c r="BA1526" s="331">
        <f>SQRT(($R1526-Infrastructure!J$8)^2+($S1526-Infrastructure!K$8)^2)</f>
        <v>40.08890121</v>
      </c>
      <c r="BB1526" s="331">
        <f>SQRT(($R1526-Infrastructure!J$9)^2+($S1526-Infrastructure!K$9)^2)</f>
        <v>38.68397601</v>
      </c>
      <c r="BC1526" s="331">
        <f>SQRT(($R1526-Infrastructure!J$10)^2+($S1526-Infrastructure!K$10)^2)</f>
        <v>30.15592811</v>
      </c>
      <c r="BD1526" s="331">
        <f>SQRT(($R1526-Infrastructure!J$11)^2+($S1526-Infrastructure!K$11)^2)</f>
        <v>20.51194774</v>
      </c>
      <c r="BE1526" s="333">
        <f>SQRT(($R1526-Infrastructure!J$12)^2+($S1526-Infrastructure!K$12)^2)</f>
        <v>15.84550409</v>
      </c>
      <c r="BF1526" s="330">
        <f t="shared" si="161"/>
        <v>15.84550409</v>
      </c>
      <c r="BG1526" s="333">
        <f t="shared" si="162"/>
        <v>41.54708173</v>
      </c>
      <c r="BH1526" s="1119"/>
      <c r="BI1526" s="319"/>
      <c r="BJ1526" s="319"/>
      <c r="BK1526" s="319"/>
      <c r="BL1526" s="319"/>
      <c r="BM1526" s="319"/>
      <c r="BN1526" s="319"/>
      <c r="BO1526" s="319"/>
      <c r="BP1526" s="953"/>
      <c r="BQ1526" s="319"/>
      <c r="BR1526" s="319"/>
      <c r="BS1526" s="330">
        <f t="shared" si="169"/>
        <v>0</v>
      </c>
      <c r="BT1526" s="331">
        <f t="shared" si="170"/>
        <v>0</v>
      </c>
      <c r="BU1526" s="920"/>
      <c r="BV1526" s="903">
        <f t="shared" si="171"/>
        <v>-0.4826967593</v>
      </c>
      <c r="BW1526" s="907"/>
      <c r="BX1526" s="908"/>
      <c r="BY1526" s="331"/>
      <c r="BZ1526" s="340"/>
      <c r="CA1526" s="316"/>
      <c r="CB1526" s="318"/>
      <c r="CC1526" s="318"/>
      <c r="CD1526" s="318"/>
      <c r="CE1526" s="318"/>
      <c r="CF1526" s="318"/>
      <c r="CG1526" s="318"/>
      <c r="CH1526" s="318"/>
      <c r="CI1526" s="318"/>
      <c r="CJ1526" s="463"/>
      <c r="CK1526" s="342"/>
      <c r="CL1526" s="333"/>
      <c r="CM1526" s="1079"/>
      <c r="CN1526" s="1005"/>
      <c r="CO1526" s="1005"/>
      <c r="CP1526" s="1005"/>
    </row>
    <row r="1527">
      <c r="B1527" s="1106" t="s">
        <v>1755</v>
      </c>
      <c r="C1527" s="1107">
        <v>44853.0</v>
      </c>
      <c r="D1527" s="103"/>
      <c r="E1527" s="1108">
        <v>25.0</v>
      </c>
      <c r="F1527" s="112" t="s">
        <v>2214</v>
      </c>
      <c r="G1527" s="1110">
        <v>0.48564814814814816</v>
      </c>
      <c r="H1527" s="1110">
        <v>0.4861111111111111</v>
      </c>
      <c r="I1527" s="1110"/>
      <c r="J1527" s="1111"/>
      <c r="K1527" s="1111">
        <v>0.4875</v>
      </c>
      <c r="L1527" s="1112">
        <v>0.001388888888888889</v>
      </c>
      <c r="M1527" s="1113" t="s">
        <v>358</v>
      </c>
      <c r="N1527" s="110" t="s">
        <v>188</v>
      </c>
      <c r="O1527" s="1115" t="s">
        <v>378</v>
      </c>
      <c r="P1527" s="1115" t="s">
        <v>225</v>
      </c>
      <c r="Q1527" s="1115" t="s">
        <v>842</v>
      </c>
      <c r="R1527" s="120">
        <v>22.7</v>
      </c>
      <c r="S1527" s="1113">
        <v>39.7</v>
      </c>
      <c r="T1527" s="110">
        <v>1.1</v>
      </c>
      <c r="U1527" s="1108">
        <v>1.0</v>
      </c>
      <c r="V1527" s="1108"/>
      <c r="W1527" s="1108"/>
      <c r="X1527" s="1108"/>
      <c r="Y1527" s="1108"/>
      <c r="Z1527" s="1114" t="s">
        <v>1140</v>
      </c>
      <c r="AA1527" s="1114"/>
      <c r="AB1527" s="1114" t="s">
        <v>326</v>
      </c>
      <c r="AC1527" s="1117">
        <v>1.0</v>
      </c>
      <c r="AD1527" s="1115"/>
      <c r="AE1527" s="1115"/>
      <c r="AF1527" s="1115"/>
      <c r="AG1527" s="1115"/>
      <c r="AH1527" s="1115"/>
      <c r="AI1527" s="1115"/>
      <c r="AJ1527" s="1117"/>
      <c r="AK1527" s="1118"/>
      <c r="AL1527" s="1115"/>
      <c r="AM1527" s="1115"/>
      <c r="AN1527" s="1115"/>
      <c r="AO1527" s="1115"/>
      <c r="AP1527" s="1115"/>
      <c r="AQ1527" s="1115"/>
      <c r="AR1527" s="1115"/>
      <c r="AS1527" s="1117"/>
      <c r="AT1527" s="1075" t="s">
        <v>182</v>
      </c>
      <c r="AU1527" s="1193" t="s">
        <v>845</v>
      </c>
      <c r="AV1527" s="330">
        <f>SQRT(($R1527-Infrastructure!J$3)^2+($S1527-Infrastructure!K$3)^2)</f>
        <v>25.40944706</v>
      </c>
      <c r="AW1527" s="331">
        <f>SQRT(($R1527-Infrastructure!J$4)^2+($S1527-Infrastructure!K$4)^2)</f>
        <v>31.75862088</v>
      </c>
      <c r="AX1527" s="331">
        <f>SQRT(($R1527-Infrastructure!J$5)^2+($S1527-Infrastructure!K$5)^2)</f>
        <v>41.54708173</v>
      </c>
      <c r="AY1527" s="331">
        <f>SQRT(($R1527-Infrastructure!J$6)^2+($S1527-Infrastructure!K$6)^2)</f>
        <v>41.36568626</v>
      </c>
      <c r="AZ1527" s="331">
        <f>SQRT(($R1527-Infrastructure!J$7)^2+($S1527-Infrastructure!K$7)^2)</f>
        <v>39.46137352</v>
      </c>
      <c r="BA1527" s="331">
        <f>SQRT(($R1527-Infrastructure!J$8)^2+($S1527-Infrastructure!K$8)^2)</f>
        <v>40.08890121</v>
      </c>
      <c r="BB1527" s="331">
        <f>SQRT(($R1527-Infrastructure!J$9)^2+($S1527-Infrastructure!K$9)^2)</f>
        <v>38.68397601</v>
      </c>
      <c r="BC1527" s="331">
        <f>SQRT(($R1527-Infrastructure!J$10)^2+($S1527-Infrastructure!K$10)^2)</f>
        <v>30.15592811</v>
      </c>
      <c r="BD1527" s="331">
        <f>SQRT(($R1527-Infrastructure!J$11)^2+($S1527-Infrastructure!K$11)^2)</f>
        <v>20.51194774</v>
      </c>
      <c r="BE1527" s="333">
        <f>SQRT(($R1527-Infrastructure!J$12)^2+($S1527-Infrastructure!K$12)^2)</f>
        <v>15.84550409</v>
      </c>
      <c r="BF1527" s="330">
        <f t="shared" si="161"/>
        <v>15.84550409</v>
      </c>
      <c r="BG1527" s="333">
        <f t="shared" si="162"/>
        <v>41.54708173</v>
      </c>
      <c r="BH1527" s="1119"/>
      <c r="BI1527" s="319"/>
      <c r="BJ1527" s="319"/>
      <c r="BK1527" s="319"/>
      <c r="BL1527" s="319"/>
      <c r="BM1527" s="319"/>
      <c r="BN1527" s="319"/>
      <c r="BO1527" s="319"/>
      <c r="BP1527" s="953"/>
      <c r="BQ1527" s="319"/>
      <c r="BR1527" s="319"/>
      <c r="BS1527" s="330">
        <f t="shared" si="169"/>
        <v>0</v>
      </c>
      <c r="BT1527" s="331">
        <f t="shared" si="170"/>
        <v>0</v>
      </c>
      <c r="BU1527" s="920"/>
      <c r="BV1527" s="903">
        <f t="shared" si="171"/>
        <v>-0.4856481481</v>
      </c>
      <c r="BW1527" s="907"/>
      <c r="BX1527" s="908"/>
      <c r="BY1527" s="331"/>
      <c r="BZ1527" s="340"/>
      <c r="CA1527" s="316"/>
      <c r="CB1527" s="318"/>
      <c r="CC1527" s="318"/>
      <c r="CD1527" s="318"/>
      <c r="CE1527" s="318"/>
      <c r="CF1527" s="318"/>
      <c r="CG1527" s="318"/>
      <c r="CH1527" s="318"/>
      <c r="CI1527" s="318"/>
      <c r="CJ1527" s="463"/>
      <c r="CK1527" s="342"/>
      <c r="CL1527" s="333"/>
      <c r="CM1527" s="1079"/>
      <c r="CN1527" s="1005"/>
      <c r="CO1527" s="1005"/>
      <c r="CP1527" s="1005"/>
    </row>
    <row r="1528">
      <c r="B1528" s="1106" t="s">
        <v>1755</v>
      </c>
      <c r="C1528" s="1107">
        <v>44853.0</v>
      </c>
      <c r="D1528" s="103"/>
      <c r="E1528" s="1108">
        <v>26.0</v>
      </c>
      <c r="F1528" s="112" t="s">
        <v>2215</v>
      </c>
      <c r="G1528" s="1110">
        <v>0.5930555555555556</v>
      </c>
      <c r="H1528" s="1110">
        <v>0.5934027777777777</v>
      </c>
      <c r="I1528" s="1110"/>
      <c r="J1528" s="1111"/>
      <c r="K1528" s="1111">
        <v>0.5947916666666667</v>
      </c>
      <c r="L1528" s="1112">
        <v>0.001388888888888889</v>
      </c>
      <c r="M1528" s="1113" t="s">
        <v>358</v>
      </c>
      <c r="N1528" s="110" t="s">
        <v>188</v>
      </c>
      <c r="O1528" s="1115" t="s">
        <v>378</v>
      </c>
      <c r="P1528" s="1115" t="s">
        <v>225</v>
      </c>
      <c r="Q1528" s="1115" t="s">
        <v>842</v>
      </c>
      <c r="R1528" s="120">
        <v>22.7</v>
      </c>
      <c r="S1528" s="1113">
        <v>39.7</v>
      </c>
      <c r="T1528" s="110">
        <v>1.1</v>
      </c>
      <c r="U1528" s="1108">
        <v>2.53</v>
      </c>
      <c r="V1528" s="1108"/>
      <c r="W1528" s="1108"/>
      <c r="X1528" s="1108"/>
      <c r="Y1528" s="1108"/>
      <c r="Z1528" s="1114" t="s">
        <v>1140</v>
      </c>
      <c r="AA1528" s="1114"/>
      <c r="AB1528" s="1114" t="s">
        <v>333</v>
      </c>
      <c r="AC1528" s="1117">
        <v>2.0</v>
      </c>
      <c r="AD1528" s="1115"/>
      <c r="AE1528" s="1115"/>
      <c r="AF1528" s="1115"/>
      <c r="AG1528" s="1115"/>
      <c r="AH1528" s="1115"/>
      <c r="AI1528" s="1115"/>
      <c r="AJ1528" s="1117"/>
      <c r="AK1528" s="1118"/>
      <c r="AL1528" s="1115"/>
      <c r="AM1528" s="1115"/>
      <c r="AN1528" s="1115"/>
      <c r="AO1528" s="1115"/>
      <c r="AP1528" s="1115"/>
      <c r="AQ1528" s="1115"/>
      <c r="AR1528" s="1115"/>
      <c r="AS1528" s="1117"/>
      <c r="AT1528" s="1075" t="s">
        <v>182</v>
      </c>
      <c r="AU1528" s="1193" t="s">
        <v>845</v>
      </c>
      <c r="AV1528" s="330">
        <f>SQRT(($R1528-Infrastructure!J$3)^2+($S1528-Infrastructure!K$3)^2)</f>
        <v>25.40944706</v>
      </c>
      <c r="AW1528" s="331">
        <f>SQRT(($R1528-Infrastructure!J$4)^2+($S1528-Infrastructure!K$4)^2)</f>
        <v>31.75862088</v>
      </c>
      <c r="AX1528" s="331">
        <f>SQRT(($R1528-Infrastructure!J$5)^2+($S1528-Infrastructure!K$5)^2)</f>
        <v>41.54708173</v>
      </c>
      <c r="AY1528" s="331">
        <f>SQRT(($R1528-Infrastructure!J$6)^2+($S1528-Infrastructure!K$6)^2)</f>
        <v>41.36568626</v>
      </c>
      <c r="AZ1528" s="331">
        <f>SQRT(($R1528-Infrastructure!J$7)^2+($S1528-Infrastructure!K$7)^2)</f>
        <v>39.46137352</v>
      </c>
      <c r="BA1528" s="331">
        <f>SQRT(($R1528-Infrastructure!J$8)^2+($S1528-Infrastructure!K$8)^2)</f>
        <v>40.08890121</v>
      </c>
      <c r="BB1528" s="331">
        <f>SQRT(($R1528-Infrastructure!J$9)^2+($S1528-Infrastructure!K$9)^2)</f>
        <v>38.68397601</v>
      </c>
      <c r="BC1528" s="331">
        <f>SQRT(($R1528-Infrastructure!J$10)^2+($S1528-Infrastructure!K$10)^2)</f>
        <v>30.15592811</v>
      </c>
      <c r="BD1528" s="331">
        <f>SQRT(($R1528-Infrastructure!J$11)^2+($S1528-Infrastructure!K$11)^2)</f>
        <v>20.51194774</v>
      </c>
      <c r="BE1528" s="333">
        <f>SQRT(($R1528-Infrastructure!J$12)^2+($S1528-Infrastructure!K$12)^2)</f>
        <v>15.84550409</v>
      </c>
      <c r="BF1528" s="330">
        <f t="shared" si="161"/>
        <v>15.84550409</v>
      </c>
      <c r="BG1528" s="333">
        <f t="shared" si="162"/>
        <v>41.54708173</v>
      </c>
      <c r="BH1528" s="1119"/>
      <c r="BI1528" s="319"/>
      <c r="BJ1528" s="319"/>
      <c r="BK1528" s="319"/>
      <c r="BL1528" s="319"/>
      <c r="BM1528" s="319"/>
      <c r="BN1528" s="319"/>
      <c r="BO1528" s="319"/>
      <c r="BP1528" s="953"/>
      <c r="BQ1528" s="319"/>
      <c r="BR1528" s="319"/>
      <c r="BS1528" s="330">
        <f t="shared" si="169"/>
        <v>0</v>
      </c>
      <c r="BT1528" s="331">
        <f t="shared" si="170"/>
        <v>0</v>
      </c>
      <c r="BU1528" s="920"/>
      <c r="BV1528" s="903">
        <f t="shared" si="171"/>
        <v>-0.5930555556</v>
      </c>
      <c r="BW1528" s="907"/>
      <c r="BX1528" s="908"/>
      <c r="BY1528" s="331"/>
      <c r="BZ1528" s="340"/>
      <c r="CA1528" s="316"/>
      <c r="CB1528" s="318"/>
      <c r="CC1528" s="318"/>
      <c r="CD1528" s="318"/>
      <c r="CE1528" s="318"/>
      <c r="CF1528" s="318"/>
      <c r="CG1528" s="318"/>
      <c r="CH1528" s="318"/>
      <c r="CI1528" s="318"/>
      <c r="CJ1528" s="463"/>
      <c r="CK1528" s="342"/>
      <c r="CL1528" s="333"/>
      <c r="CM1528" s="1079"/>
      <c r="CN1528" s="1005"/>
      <c r="CO1528" s="1005"/>
      <c r="CP1528" s="1005"/>
    </row>
    <row r="1529">
      <c r="B1529" s="1106" t="s">
        <v>1755</v>
      </c>
      <c r="C1529" s="1107">
        <v>44853.0</v>
      </c>
      <c r="D1529" s="103"/>
      <c r="E1529" s="1108">
        <v>27.0</v>
      </c>
      <c r="F1529" s="112" t="s">
        <v>2216</v>
      </c>
      <c r="G1529" s="1110">
        <v>0.5962962962962963</v>
      </c>
      <c r="H1529" s="1110">
        <v>0.5965277777777778</v>
      </c>
      <c r="I1529" s="1110"/>
      <c r="J1529" s="1111"/>
      <c r="K1529" s="1111">
        <v>0.5980324074074074</v>
      </c>
      <c r="L1529" s="1112">
        <v>0.0015046296296296296</v>
      </c>
      <c r="M1529" s="1113" t="s">
        <v>358</v>
      </c>
      <c r="N1529" s="110" t="s">
        <v>188</v>
      </c>
      <c r="O1529" s="1115" t="s">
        <v>378</v>
      </c>
      <c r="P1529" s="1115" t="s">
        <v>225</v>
      </c>
      <c r="Q1529" s="1115" t="s">
        <v>842</v>
      </c>
      <c r="R1529" s="120">
        <v>22.7</v>
      </c>
      <c r="S1529" s="1113">
        <v>39.7</v>
      </c>
      <c r="T1529" s="110">
        <v>1.1</v>
      </c>
      <c r="U1529" s="1108">
        <v>1.35</v>
      </c>
      <c r="V1529" s="1108"/>
      <c r="W1529" s="1108"/>
      <c r="X1529" s="1108"/>
      <c r="Y1529" s="1108"/>
      <c r="Z1529" s="1114" t="s">
        <v>1140</v>
      </c>
      <c r="AA1529" s="1114"/>
      <c r="AB1529" s="1114" t="s">
        <v>329</v>
      </c>
      <c r="AC1529" s="1117">
        <v>1.5</v>
      </c>
      <c r="AD1529" s="1115"/>
      <c r="AE1529" s="1115"/>
      <c r="AF1529" s="1115"/>
      <c r="AG1529" s="1115"/>
      <c r="AH1529" s="1115"/>
      <c r="AI1529" s="1115"/>
      <c r="AJ1529" s="1117"/>
      <c r="AK1529" s="1118"/>
      <c r="AL1529" s="1115"/>
      <c r="AM1529" s="1115"/>
      <c r="AN1529" s="1115"/>
      <c r="AO1529" s="1115"/>
      <c r="AP1529" s="1115"/>
      <c r="AQ1529" s="1115"/>
      <c r="AR1529" s="1115"/>
      <c r="AS1529" s="1117"/>
      <c r="AT1529" s="1075" t="s">
        <v>182</v>
      </c>
      <c r="AU1529" s="1193" t="s">
        <v>845</v>
      </c>
      <c r="AV1529" s="330">
        <f>SQRT(($R1529-Infrastructure!J$3)^2+($S1529-Infrastructure!K$3)^2)</f>
        <v>25.40944706</v>
      </c>
      <c r="AW1529" s="331">
        <f>SQRT(($R1529-Infrastructure!J$4)^2+($S1529-Infrastructure!K$4)^2)</f>
        <v>31.75862088</v>
      </c>
      <c r="AX1529" s="331">
        <f>SQRT(($R1529-Infrastructure!J$5)^2+($S1529-Infrastructure!K$5)^2)</f>
        <v>41.54708173</v>
      </c>
      <c r="AY1529" s="331">
        <f>SQRT(($R1529-Infrastructure!J$6)^2+($S1529-Infrastructure!K$6)^2)</f>
        <v>41.36568626</v>
      </c>
      <c r="AZ1529" s="331">
        <f>SQRT(($R1529-Infrastructure!J$7)^2+($S1529-Infrastructure!K$7)^2)</f>
        <v>39.46137352</v>
      </c>
      <c r="BA1529" s="331">
        <f>SQRT(($R1529-Infrastructure!J$8)^2+($S1529-Infrastructure!K$8)^2)</f>
        <v>40.08890121</v>
      </c>
      <c r="BB1529" s="331">
        <f>SQRT(($R1529-Infrastructure!J$9)^2+($S1529-Infrastructure!K$9)^2)</f>
        <v>38.68397601</v>
      </c>
      <c r="BC1529" s="331">
        <f>SQRT(($R1529-Infrastructure!J$10)^2+($S1529-Infrastructure!K$10)^2)</f>
        <v>30.15592811</v>
      </c>
      <c r="BD1529" s="331">
        <f>SQRT(($R1529-Infrastructure!J$11)^2+($S1529-Infrastructure!K$11)^2)</f>
        <v>20.51194774</v>
      </c>
      <c r="BE1529" s="333">
        <f>SQRT(($R1529-Infrastructure!J$12)^2+($S1529-Infrastructure!K$12)^2)</f>
        <v>15.84550409</v>
      </c>
      <c r="BF1529" s="330">
        <f t="shared" si="161"/>
        <v>15.84550409</v>
      </c>
      <c r="BG1529" s="333">
        <f t="shared" si="162"/>
        <v>41.54708173</v>
      </c>
      <c r="BH1529" s="1119"/>
      <c r="BI1529" s="319"/>
      <c r="BJ1529" s="319"/>
      <c r="BK1529" s="319"/>
      <c r="BL1529" s="319"/>
      <c r="BM1529" s="319"/>
      <c r="BN1529" s="319"/>
      <c r="BO1529" s="319"/>
      <c r="BP1529" s="953"/>
      <c r="BQ1529" s="319"/>
      <c r="BR1529" s="319"/>
      <c r="BS1529" s="330">
        <f t="shared" si="169"/>
        <v>0</v>
      </c>
      <c r="BT1529" s="331">
        <f t="shared" si="170"/>
        <v>0</v>
      </c>
      <c r="BU1529" s="920"/>
      <c r="BV1529" s="903">
        <f t="shared" si="171"/>
        <v>-0.5962962963</v>
      </c>
      <c r="BW1529" s="907"/>
      <c r="BX1529" s="908"/>
      <c r="BY1529" s="331"/>
      <c r="BZ1529" s="340"/>
      <c r="CA1529" s="316"/>
      <c r="CB1529" s="318"/>
      <c r="CC1529" s="318"/>
      <c r="CD1529" s="318"/>
      <c r="CE1529" s="318"/>
      <c r="CF1529" s="318"/>
      <c r="CG1529" s="318"/>
      <c r="CH1529" s="318"/>
      <c r="CI1529" s="318"/>
      <c r="CJ1529" s="463"/>
      <c r="CK1529" s="342"/>
      <c r="CL1529" s="333"/>
      <c r="CM1529" s="1079"/>
      <c r="CN1529" s="1005"/>
      <c r="CO1529" s="1005"/>
      <c r="CP1529" s="1005"/>
    </row>
    <row r="1530">
      <c r="B1530" s="1106" t="s">
        <v>1755</v>
      </c>
      <c r="C1530" s="1107">
        <v>44853.0</v>
      </c>
      <c r="D1530" s="103"/>
      <c r="E1530" s="1108">
        <v>28.0</v>
      </c>
      <c r="F1530" s="112" t="s">
        <v>2217</v>
      </c>
      <c r="G1530" s="1110">
        <v>0.5995370370370371</v>
      </c>
      <c r="H1530" s="1110">
        <v>0.5998263888888888</v>
      </c>
      <c r="I1530" s="1110"/>
      <c r="J1530" s="1111"/>
      <c r="K1530" s="1111">
        <v>0.6012152777777777</v>
      </c>
      <c r="L1530" s="1112">
        <v>0.001388888888888889</v>
      </c>
      <c r="M1530" s="1113" t="s">
        <v>358</v>
      </c>
      <c r="N1530" s="110" t="s">
        <v>188</v>
      </c>
      <c r="O1530" s="1115" t="s">
        <v>378</v>
      </c>
      <c r="P1530" s="1115" t="s">
        <v>225</v>
      </c>
      <c r="Q1530" s="1115" t="s">
        <v>842</v>
      </c>
      <c r="R1530" s="120">
        <v>22.7</v>
      </c>
      <c r="S1530" s="1113">
        <v>39.7</v>
      </c>
      <c r="T1530" s="110">
        <v>1.1</v>
      </c>
      <c r="U1530" s="1108">
        <v>1.42</v>
      </c>
      <c r="V1530" s="1108"/>
      <c r="W1530" s="1108"/>
      <c r="X1530" s="1108"/>
      <c r="Y1530" s="1108"/>
      <c r="Z1530" s="1114" t="s">
        <v>1140</v>
      </c>
      <c r="AA1530" s="1114"/>
      <c r="AB1530" s="1114" t="s">
        <v>329</v>
      </c>
      <c r="AC1530" s="1117">
        <v>1.5</v>
      </c>
      <c r="AD1530" s="1115"/>
      <c r="AE1530" s="1115"/>
      <c r="AF1530" s="1115"/>
      <c r="AG1530" s="1115"/>
      <c r="AH1530" s="1115"/>
      <c r="AI1530" s="1115"/>
      <c r="AJ1530" s="1117"/>
      <c r="AK1530" s="1118"/>
      <c r="AL1530" s="1115"/>
      <c r="AM1530" s="1115"/>
      <c r="AN1530" s="1115"/>
      <c r="AO1530" s="1115"/>
      <c r="AP1530" s="1115"/>
      <c r="AQ1530" s="1115"/>
      <c r="AR1530" s="1115"/>
      <c r="AS1530" s="1117"/>
      <c r="AT1530" s="1075" t="s">
        <v>182</v>
      </c>
      <c r="AU1530" s="1193" t="s">
        <v>845</v>
      </c>
      <c r="AV1530" s="330">
        <f>SQRT(($R1530-Infrastructure!J$3)^2+($S1530-Infrastructure!K$3)^2)</f>
        <v>25.40944706</v>
      </c>
      <c r="AW1530" s="331">
        <f>SQRT(($R1530-Infrastructure!J$4)^2+($S1530-Infrastructure!K$4)^2)</f>
        <v>31.75862088</v>
      </c>
      <c r="AX1530" s="331">
        <f>SQRT(($R1530-Infrastructure!J$5)^2+($S1530-Infrastructure!K$5)^2)</f>
        <v>41.54708173</v>
      </c>
      <c r="AY1530" s="331">
        <f>SQRT(($R1530-Infrastructure!J$6)^2+($S1530-Infrastructure!K$6)^2)</f>
        <v>41.36568626</v>
      </c>
      <c r="AZ1530" s="331">
        <f>SQRT(($R1530-Infrastructure!J$7)^2+($S1530-Infrastructure!K$7)^2)</f>
        <v>39.46137352</v>
      </c>
      <c r="BA1530" s="331">
        <f>SQRT(($R1530-Infrastructure!J$8)^2+($S1530-Infrastructure!K$8)^2)</f>
        <v>40.08890121</v>
      </c>
      <c r="BB1530" s="331">
        <f>SQRT(($R1530-Infrastructure!J$9)^2+($S1530-Infrastructure!K$9)^2)</f>
        <v>38.68397601</v>
      </c>
      <c r="BC1530" s="331">
        <f>SQRT(($R1530-Infrastructure!J$10)^2+($S1530-Infrastructure!K$10)^2)</f>
        <v>30.15592811</v>
      </c>
      <c r="BD1530" s="331">
        <f>SQRT(($R1530-Infrastructure!J$11)^2+($S1530-Infrastructure!K$11)^2)</f>
        <v>20.51194774</v>
      </c>
      <c r="BE1530" s="333">
        <f>SQRT(($R1530-Infrastructure!J$12)^2+($S1530-Infrastructure!K$12)^2)</f>
        <v>15.84550409</v>
      </c>
      <c r="BF1530" s="330">
        <f t="shared" si="161"/>
        <v>15.84550409</v>
      </c>
      <c r="BG1530" s="333">
        <f t="shared" si="162"/>
        <v>41.54708173</v>
      </c>
      <c r="BH1530" s="1119"/>
      <c r="BI1530" s="319"/>
      <c r="BJ1530" s="319"/>
      <c r="BK1530" s="319"/>
      <c r="BL1530" s="319"/>
      <c r="BM1530" s="319"/>
      <c r="BN1530" s="319"/>
      <c r="BO1530" s="319"/>
      <c r="BP1530" s="953"/>
      <c r="BQ1530" s="319"/>
      <c r="BR1530" s="319"/>
      <c r="BS1530" s="330">
        <f t="shared" si="169"/>
        <v>0</v>
      </c>
      <c r="BT1530" s="331">
        <f t="shared" si="170"/>
        <v>0</v>
      </c>
      <c r="BU1530" s="920"/>
      <c r="BV1530" s="903">
        <f t="shared" si="171"/>
        <v>-0.599537037</v>
      </c>
      <c r="BW1530" s="907"/>
      <c r="BX1530" s="908"/>
      <c r="BY1530" s="331"/>
      <c r="BZ1530" s="340"/>
      <c r="CA1530" s="316"/>
      <c r="CB1530" s="318"/>
      <c r="CC1530" s="318"/>
      <c r="CD1530" s="318"/>
      <c r="CE1530" s="318"/>
      <c r="CF1530" s="318"/>
      <c r="CG1530" s="318"/>
      <c r="CH1530" s="318"/>
      <c r="CI1530" s="318"/>
      <c r="CJ1530" s="463"/>
      <c r="CK1530" s="342"/>
      <c r="CL1530" s="333"/>
      <c r="CM1530" s="1079"/>
      <c r="CN1530" s="1005"/>
      <c r="CO1530" s="1005"/>
      <c r="CP1530" s="1005"/>
    </row>
    <row r="1531">
      <c r="B1531" s="1106" t="s">
        <v>1755</v>
      </c>
      <c r="C1531" s="1107">
        <v>44853.0</v>
      </c>
      <c r="D1531" s="103"/>
      <c r="E1531" s="1108">
        <v>29.0</v>
      </c>
      <c r="F1531" s="112" t="s">
        <v>2218</v>
      </c>
      <c r="G1531" s="1110">
        <v>0.6026041666666667</v>
      </c>
      <c r="H1531" s="1110">
        <v>0.6027777777777777</v>
      </c>
      <c r="I1531" s="1110"/>
      <c r="J1531" s="1111"/>
      <c r="K1531" s="1111">
        <v>0.6041666666666666</v>
      </c>
      <c r="L1531" s="1112">
        <v>0.001388888888888889</v>
      </c>
      <c r="M1531" s="1113" t="s">
        <v>358</v>
      </c>
      <c r="N1531" s="110" t="s">
        <v>188</v>
      </c>
      <c r="O1531" s="1115" t="s">
        <v>378</v>
      </c>
      <c r="P1531" s="1115" t="s">
        <v>225</v>
      </c>
      <c r="Q1531" s="1115" t="s">
        <v>842</v>
      </c>
      <c r="R1531" s="120">
        <v>22.7</v>
      </c>
      <c r="S1531" s="1113">
        <v>39.7</v>
      </c>
      <c r="T1531" s="110">
        <v>1.1</v>
      </c>
      <c r="U1531" s="1108">
        <v>0.7</v>
      </c>
      <c r="V1531" s="1108"/>
      <c r="W1531" s="1108"/>
      <c r="X1531" s="1108"/>
      <c r="Y1531" s="1108"/>
      <c r="Z1531" s="1114" t="s">
        <v>1140</v>
      </c>
      <c r="AA1531" s="1114"/>
      <c r="AB1531" s="1114" t="s">
        <v>326</v>
      </c>
      <c r="AC1531" s="1117">
        <v>1.0</v>
      </c>
      <c r="AD1531" s="1115"/>
      <c r="AE1531" s="1115"/>
      <c r="AF1531" s="1115"/>
      <c r="AG1531" s="1115"/>
      <c r="AH1531" s="1115"/>
      <c r="AI1531" s="1115"/>
      <c r="AJ1531" s="1117"/>
      <c r="AK1531" s="1118"/>
      <c r="AL1531" s="1115"/>
      <c r="AM1531" s="1115"/>
      <c r="AN1531" s="1115"/>
      <c r="AO1531" s="1115"/>
      <c r="AP1531" s="1115"/>
      <c r="AQ1531" s="1115"/>
      <c r="AR1531" s="1115"/>
      <c r="AS1531" s="1117"/>
      <c r="AT1531" s="1075" t="s">
        <v>181</v>
      </c>
      <c r="AU1531" s="1193" t="s">
        <v>845</v>
      </c>
      <c r="AV1531" s="330">
        <f>SQRT(($R1531-Infrastructure!J$3)^2+($S1531-Infrastructure!K$3)^2)</f>
        <v>25.40944706</v>
      </c>
      <c r="AW1531" s="331">
        <f>SQRT(($R1531-Infrastructure!J$4)^2+($S1531-Infrastructure!K$4)^2)</f>
        <v>31.75862088</v>
      </c>
      <c r="AX1531" s="331">
        <f>SQRT(($R1531-Infrastructure!J$5)^2+($S1531-Infrastructure!K$5)^2)</f>
        <v>41.54708173</v>
      </c>
      <c r="AY1531" s="331">
        <f>SQRT(($R1531-Infrastructure!J$6)^2+($S1531-Infrastructure!K$6)^2)</f>
        <v>41.36568626</v>
      </c>
      <c r="AZ1531" s="331">
        <f>SQRT(($R1531-Infrastructure!J$7)^2+($S1531-Infrastructure!K$7)^2)</f>
        <v>39.46137352</v>
      </c>
      <c r="BA1531" s="331">
        <f>SQRT(($R1531-Infrastructure!J$8)^2+($S1531-Infrastructure!K$8)^2)</f>
        <v>40.08890121</v>
      </c>
      <c r="BB1531" s="331">
        <f>SQRT(($R1531-Infrastructure!J$9)^2+($S1531-Infrastructure!K$9)^2)</f>
        <v>38.68397601</v>
      </c>
      <c r="BC1531" s="331">
        <f>SQRT(($R1531-Infrastructure!J$10)^2+($S1531-Infrastructure!K$10)^2)</f>
        <v>30.15592811</v>
      </c>
      <c r="BD1531" s="331">
        <f>SQRT(($R1531-Infrastructure!J$11)^2+($S1531-Infrastructure!K$11)^2)</f>
        <v>20.51194774</v>
      </c>
      <c r="BE1531" s="333">
        <f>SQRT(($R1531-Infrastructure!J$12)^2+($S1531-Infrastructure!K$12)^2)</f>
        <v>15.84550409</v>
      </c>
      <c r="BF1531" s="330">
        <f t="shared" si="161"/>
        <v>15.84550409</v>
      </c>
      <c r="BG1531" s="333">
        <f t="shared" si="162"/>
        <v>41.54708173</v>
      </c>
      <c r="BH1531" s="1119"/>
      <c r="BI1531" s="319"/>
      <c r="BJ1531" s="319"/>
      <c r="BK1531" s="319"/>
      <c r="BL1531" s="319"/>
      <c r="BM1531" s="319"/>
      <c r="BN1531" s="319"/>
      <c r="BO1531" s="319"/>
      <c r="BP1531" s="953"/>
      <c r="BQ1531" s="319"/>
      <c r="BR1531" s="319"/>
      <c r="BS1531" s="330">
        <f t="shared" si="169"/>
        <v>0</v>
      </c>
      <c r="BT1531" s="331">
        <f t="shared" si="170"/>
        <v>0</v>
      </c>
      <c r="BU1531" s="920"/>
      <c r="BV1531" s="903">
        <f t="shared" si="171"/>
        <v>-0.6026041667</v>
      </c>
      <c r="BW1531" s="907"/>
      <c r="BX1531" s="908"/>
      <c r="BY1531" s="331"/>
      <c r="BZ1531" s="340"/>
      <c r="CA1531" s="316"/>
      <c r="CB1531" s="318"/>
      <c r="CC1531" s="318"/>
      <c r="CD1531" s="318"/>
      <c r="CE1531" s="318"/>
      <c r="CF1531" s="318"/>
      <c r="CG1531" s="318"/>
      <c r="CH1531" s="318"/>
      <c r="CI1531" s="318"/>
      <c r="CJ1531" s="463"/>
      <c r="CK1531" s="342"/>
      <c r="CL1531" s="333"/>
      <c r="CM1531" s="1079"/>
      <c r="CN1531" s="1005"/>
      <c r="CO1531" s="1005"/>
      <c r="CP1531" s="1005"/>
    </row>
    <row r="1532">
      <c r="B1532" s="1106" t="s">
        <v>1755</v>
      </c>
      <c r="C1532" s="1107">
        <v>44853.0</v>
      </c>
      <c r="D1532" s="103"/>
      <c r="E1532" s="1108">
        <v>30.0</v>
      </c>
      <c r="F1532" s="112" t="s">
        <v>2219</v>
      </c>
      <c r="G1532" s="1110">
        <v>0.6055555555555555</v>
      </c>
      <c r="H1532" s="1110">
        <v>0.6057291666666667</v>
      </c>
      <c r="I1532" s="1110"/>
      <c r="J1532" s="1111"/>
      <c r="K1532" s="1111">
        <v>0.6071180555555555</v>
      </c>
      <c r="L1532" s="1112">
        <v>0.001388888888888889</v>
      </c>
      <c r="M1532" s="1113" t="s">
        <v>358</v>
      </c>
      <c r="N1532" s="110" t="s">
        <v>188</v>
      </c>
      <c r="O1532" s="1115" t="s">
        <v>378</v>
      </c>
      <c r="P1532" s="1115" t="s">
        <v>225</v>
      </c>
      <c r="Q1532" s="1115" t="s">
        <v>842</v>
      </c>
      <c r="R1532" s="120">
        <v>22.7</v>
      </c>
      <c r="S1532" s="1113">
        <v>39.7</v>
      </c>
      <c r="T1532" s="110">
        <v>1.1</v>
      </c>
      <c r="U1532" s="1108">
        <v>0.6</v>
      </c>
      <c r="V1532" s="1108"/>
      <c r="W1532" s="1108"/>
      <c r="X1532" s="1108"/>
      <c r="Y1532" s="1108"/>
      <c r="Z1532" s="1114" t="s">
        <v>1140</v>
      </c>
      <c r="AA1532" s="1114"/>
      <c r="AB1532" s="1114" t="s">
        <v>326</v>
      </c>
      <c r="AC1532" s="1117">
        <v>1.0</v>
      </c>
      <c r="AD1532" s="1115"/>
      <c r="AE1532" s="1115"/>
      <c r="AF1532" s="1115"/>
      <c r="AG1532" s="1115"/>
      <c r="AH1532" s="1115"/>
      <c r="AI1532" s="1115"/>
      <c r="AJ1532" s="1117"/>
      <c r="AK1532" s="1118"/>
      <c r="AL1532" s="1115"/>
      <c r="AM1532" s="1115"/>
      <c r="AN1532" s="1115"/>
      <c r="AO1532" s="1115"/>
      <c r="AP1532" s="1115"/>
      <c r="AQ1532" s="1115"/>
      <c r="AR1532" s="1115"/>
      <c r="AS1532" s="1117"/>
      <c r="AT1532" s="1075" t="s">
        <v>181</v>
      </c>
      <c r="AU1532" s="1193" t="s">
        <v>845</v>
      </c>
      <c r="AV1532" s="330">
        <f>SQRT(($R1532-Infrastructure!J$3)^2+($S1532-Infrastructure!K$3)^2)</f>
        <v>25.40944706</v>
      </c>
      <c r="AW1532" s="331">
        <f>SQRT(($R1532-Infrastructure!J$4)^2+($S1532-Infrastructure!K$4)^2)</f>
        <v>31.75862088</v>
      </c>
      <c r="AX1532" s="331">
        <f>SQRT(($R1532-Infrastructure!J$5)^2+($S1532-Infrastructure!K$5)^2)</f>
        <v>41.54708173</v>
      </c>
      <c r="AY1532" s="331">
        <f>SQRT(($R1532-Infrastructure!J$6)^2+($S1532-Infrastructure!K$6)^2)</f>
        <v>41.36568626</v>
      </c>
      <c r="AZ1532" s="331">
        <f>SQRT(($R1532-Infrastructure!J$7)^2+($S1532-Infrastructure!K$7)^2)</f>
        <v>39.46137352</v>
      </c>
      <c r="BA1532" s="331">
        <f>SQRT(($R1532-Infrastructure!J$8)^2+($S1532-Infrastructure!K$8)^2)</f>
        <v>40.08890121</v>
      </c>
      <c r="BB1532" s="331">
        <f>SQRT(($R1532-Infrastructure!J$9)^2+($S1532-Infrastructure!K$9)^2)</f>
        <v>38.68397601</v>
      </c>
      <c r="BC1532" s="331">
        <f>SQRT(($R1532-Infrastructure!J$10)^2+($S1532-Infrastructure!K$10)^2)</f>
        <v>30.15592811</v>
      </c>
      <c r="BD1532" s="331">
        <f>SQRT(($R1532-Infrastructure!J$11)^2+($S1532-Infrastructure!K$11)^2)</f>
        <v>20.51194774</v>
      </c>
      <c r="BE1532" s="333">
        <f>SQRT(($R1532-Infrastructure!J$12)^2+($S1532-Infrastructure!K$12)^2)</f>
        <v>15.84550409</v>
      </c>
      <c r="BF1532" s="330">
        <f t="shared" si="161"/>
        <v>15.84550409</v>
      </c>
      <c r="BG1532" s="333">
        <f t="shared" si="162"/>
        <v>41.54708173</v>
      </c>
      <c r="BH1532" s="1119"/>
      <c r="BI1532" s="319"/>
      <c r="BJ1532" s="319"/>
      <c r="BK1532" s="319"/>
      <c r="BL1532" s="319"/>
      <c r="BM1532" s="319"/>
      <c r="BN1532" s="319"/>
      <c r="BO1532" s="319"/>
      <c r="BP1532" s="953"/>
      <c r="BQ1532" s="319"/>
      <c r="BR1532" s="319"/>
      <c r="BS1532" s="330">
        <f t="shared" si="169"/>
        <v>0</v>
      </c>
      <c r="BT1532" s="331">
        <f t="shared" si="170"/>
        <v>0</v>
      </c>
      <c r="BU1532" s="920"/>
      <c r="BV1532" s="903">
        <f t="shared" si="171"/>
        <v>-0.6055555556</v>
      </c>
      <c r="BW1532" s="907"/>
      <c r="BX1532" s="908"/>
      <c r="BY1532" s="331"/>
      <c r="BZ1532" s="340"/>
      <c r="CA1532" s="316"/>
      <c r="CB1532" s="318"/>
      <c r="CC1532" s="318"/>
      <c r="CD1532" s="318"/>
      <c r="CE1532" s="318"/>
      <c r="CF1532" s="318"/>
      <c r="CG1532" s="318"/>
      <c r="CH1532" s="318"/>
      <c r="CI1532" s="318"/>
      <c r="CJ1532" s="463"/>
      <c r="CK1532" s="342"/>
      <c r="CL1532" s="333"/>
      <c r="CM1532" s="1079"/>
      <c r="CN1532" s="1005"/>
      <c r="CO1532" s="1005"/>
      <c r="CP1532" s="1005"/>
    </row>
    <row r="1533">
      <c r="A1533" s="1160" t="s">
        <v>86</v>
      </c>
      <c r="B1533" s="1091" t="s">
        <v>1755</v>
      </c>
      <c r="C1533" s="1092">
        <v>44855.0</v>
      </c>
      <c r="D1533" s="1093"/>
      <c r="E1533" s="1094">
        <v>1.0</v>
      </c>
      <c r="F1533" s="1179" t="s">
        <v>2220</v>
      </c>
      <c r="G1533" s="1096">
        <v>0.5825231481481481</v>
      </c>
      <c r="H1533" s="1096"/>
      <c r="I1533" s="1096"/>
      <c r="J1533" s="1097"/>
      <c r="K1533" s="1097">
        <v>0.5839120370370371</v>
      </c>
      <c r="L1533" s="1098">
        <v>0.001388888888888889</v>
      </c>
      <c r="M1533" s="1099" t="s">
        <v>166</v>
      </c>
      <c r="N1533" s="129" t="s">
        <v>188</v>
      </c>
      <c r="O1533" s="1101" t="s">
        <v>196</v>
      </c>
      <c r="P1533" s="1101" t="s">
        <v>225</v>
      </c>
      <c r="Q1533" s="1101" t="s">
        <v>842</v>
      </c>
      <c r="R1533" s="132">
        <v>21.7</v>
      </c>
      <c r="S1533" s="1099">
        <v>39.5</v>
      </c>
      <c r="T1533" s="129">
        <v>1.3</v>
      </c>
      <c r="U1533" s="1094">
        <v>35.0</v>
      </c>
      <c r="V1533" s="1094"/>
      <c r="W1533" s="1094"/>
      <c r="X1533" s="1094"/>
      <c r="Y1533" s="1094"/>
      <c r="Z1533" s="1100" t="s">
        <v>387</v>
      </c>
      <c r="AA1533" s="1100"/>
      <c r="AB1533" s="1100" t="s">
        <v>416</v>
      </c>
      <c r="AC1533" s="1102">
        <v>52.5</v>
      </c>
      <c r="AD1533" s="1101"/>
      <c r="AE1533" s="1101"/>
      <c r="AF1533" s="1101"/>
      <c r="AG1533" s="1101"/>
      <c r="AH1533" s="1101"/>
      <c r="AI1533" s="1101"/>
      <c r="AJ1533" s="1102"/>
      <c r="AK1533" s="1103"/>
      <c r="AL1533" s="1101"/>
      <c r="AM1533" s="1101"/>
      <c r="AN1533" s="1101"/>
      <c r="AO1533" s="1101"/>
      <c r="AP1533" s="1101"/>
      <c r="AQ1533" s="1101"/>
      <c r="AR1533" s="1101"/>
      <c r="AS1533" s="1102"/>
      <c r="AT1533" s="1066" t="s">
        <v>183</v>
      </c>
      <c r="AU1533" s="1195" t="s">
        <v>845</v>
      </c>
      <c r="AV1533" s="330">
        <f>SQRT(($R1533-Infrastructure!J$3)^2+($S1533-Infrastructure!K$3)^2)</f>
        <v>24.42048321</v>
      </c>
      <c r="AW1533" s="331">
        <f>SQRT(($R1533-Infrastructure!J$4)^2+($S1533-Infrastructure!K$4)^2)</f>
        <v>30.90129447</v>
      </c>
      <c r="AX1533" s="331">
        <f>SQRT(($R1533-Infrastructure!J$5)^2+($S1533-Infrastructure!K$5)^2)</f>
        <v>40.83331973</v>
      </c>
      <c r="AY1533" s="331">
        <f>SQRT(($R1533-Infrastructure!J$6)^2+($S1533-Infrastructure!K$6)^2)</f>
        <v>40.88031311</v>
      </c>
      <c r="AZ1533" s="331">
        <f>SQRT(($R1533-Infrastructure!J$7)^2+($S1533-Infrastructure!K$7)^2)</f>
        <v>39.21836305</v>
      </c>
      <c r="BA1533" s="331">
        <f>SQRT(($R1533-Infrastructure!J$8)^2+($S1533-Infrastructure!K$8)^2)</f>
        <v>40.08989898</v>
      </c>
      <c r="BB1533" s="331">
        <f>SQRT(($R1533-Infrastructure!J$9)^2+($S1533-Infrastructure!K$9)^2)</f>
        <v>38.96472764</v>
      </c>
      <c r="BC1533" s="331">
        <f>SQRT(($R1533-Infrastructure!J$10)^2+($S1533-Infrastructure!K$10)^2)</f>
        <v>30.58005886</v>
      </c>
      <c r="BD1533" s="331">
        <f>SQRT(($R1533-Infrastructure!J$11)^2+($S1533-Infrastructure!K$11)^2)</f>
        <v>21.27204739</v>
      </c>
      <c r="BE1533" s="333">
        <f>SQRT(($R1533-Infrastructure!J$12)^2+($S1533-Infrastructure!K$12)^2)</f>
        <v>16.00124995</v>
      </c>
      <c r="BF1533" s="330">
        <f t="shared" si="161"/>
        <v>16.00124995</v>
      </c>
      <c r="BG1533" s="333">
        <f t="shared" si="162"/>
        <v>40.88031311</v>
      </c>
      <c r="BH1533" s="1105"/>
      <c r="BI1533" s="393" t="s">
        <v>846</v>
      </c>
      <c r="BJ1533" s="393"/>
      <c r="BK1533" s="393"/>
      <c r="BL1533" s="393"/>
      <c r="BM1533" s="393"/>
      <c r="BN1533" s="393"/>
      <c r="BO1533" s="393"/>
      <c r="BP1533" s="960"/>
      <c r="BQ1533" s="393" t="s">
        <v>846</v>
      </c>
      <c r="BR1533" s="393" t="s">
        <v>846</v>
      </c>
      <c r="BS1533" s="405">
        <f t="shared" si="169"/>
        <v>16.00124995</v>
      </c>
      <c r="BT1533" s="406">
        <f t="shared" si="170"/>
        <v>24.42048321</v>
      </c>
      <c r="BU1533" s="931"/>
      <c r="BV1533" s="901">
        <f t="shared" si="171"/>
        <v>-0.5825231481</v>
      </c>
      <c r="BW1533" s="925"/>
      <c r="BX1533" s="926"/>
      <c r="BY1533" s="406"/>
      <c r="BZ1533" s="412"/>
      <c r="CA1533" s="390"/>
      <c r="CB1533" s="392"/>
      <c r="CC1533" s="392"/>
      <c r="CD1533" s="392"/>
      <c r="CE1533" s="392"/>
      <c r="CF1533" s="392"/>
      <c r="CG1533" s="392"/>
      <c r="CH1533" s="392"/>
      <c r="CI1533" s="392"/>
      <c r="CJ1533" s="898"/>
      <c r="CK1533" s="414"/>
      <c r="CL1533" s="408"/>
      <c r="CM1533" s="1077"/>
      <c r="CN1533" s="1005"/>
      <c r="CO1533" s="1005"/>
      <c r="CP1533" s="1005"/>
    </row>
    <row r="1534">
      <c r="B1534" s="1106" t="s">
        <v>1755</v>
      </c>
      <c r="C1534" s="1107">
        <v>44855.0</v>
      </c>
      <c r="D1534" s="103"/>
      <c r="E1534" s="1108">
        <v>2.0</v>
      </c>
      <c r="F1534" s="112" t="s">
        <v>2221</v>
      </c>
      <c r="G1534" s="1110">
        <v>0.5880208333333333</v>
      </c>
      <c r="H1534" s="1110">
        <v>0.5885416666666666</v>
      </c>
      <c r="I1534" s="1110"/>
      <c r="J1534" s="1111"/>
      <c r="K1534" s="1111">
        <v>0.5889467592592592</v>
      </c>
      <c r="L1534" s="1112">
        <v>4.050925925925926E-4</v>
      </c>
      <c r="M1534" s="1113" t="s">
        <v>166</v>
      </c>
      <c r="N1534" s="110" t="s">
        <v>188</v>
      </c>
      <c r="O1534" s="1115" t="s">
        <v>196</v>
      </c>
      <c r="P1534" s="1115" t="s">
        <v>225</v>
      </c>
      <c r="Q1534" s="1115" t="s">
        <v>842</v>
      </c>
      <c r="R1534" s="120">
        <v>21.7</v>
      </c>
      <c r="S1534" s="1113">
        <v>39.5</v>
      </c>
      <c r="T1534" s="110">
        <v>1.3</v>
      </c>
      <c r="U1534" s="1108">
        <v>45.0</v>
      </c>
      <c r="V1534" s="1108"/>
      <c r="W1534" s="1108"/>
      <c r="X1534" s="1108"/>
      <c r="Y1534" s="1108"/>
      <c r="Z1534" s="1114" t="s">
        <v>387</v>
      </c>
      <c r="AA1534" s="1114"/>
      <c r="AB1534" s="1114" t="s">
        <v>416</v>
      </c>
      <c r="AC1534" s="1117">
        <v>52.5</v>
      </c>
      <c r="AD1534" s="1115"/>
      <c r="AE1534" s="1115"/>
      <c r="AF1534" s="1115"/>
      <c r="AG1534" s="1115"/>
      <c r="AH1534" s="1115"/>
      <c r="AI1534" s="1115"/>
      <c r="AJ1534" s="1117"/>
      <c r="AK1534" s="1118"/>
      <c r="AL1534" s="1115"/>
      <c r="AM1534" s="1115"/>
      <c r="AN1534" s="1115"/>
      <c r="AO1534" s="1115"/>
      <c r="AP1534" s="1115"/>
      <c r="AQ1534" s="1115"/>
      <c r="AR1534" s="1115"/>
      <c r="AS1534" s="1117"/>
      <c r="AT1534" s="1075" t="s">
        <v>183</v>
      </c>
      <c r="AU1534" s="1193" t="s">
        <v>845</v>
      </c>
      <c r="AV1534" s="330">
        <f>SQRT(($R1534-Infrastructure!J$3)^2+($S1534-Infrastructure!K$3)^2)</f>
        <v>24.42048321</v>
      </c>
      <c r="AW1534" s="331">
        <f>SQRT(($R1534-Infrastructure!J$4)^2+($S1534-Infrastructure!K$4)^2)</f>
        <v>30.90129447</v>
      </c>
      <c r="AX1534" s="331">
        <f>SQRT(($R1534-Infrastructure!J$5)^2+($S1534-Infrastructure!K$5)^2)</f>
        <v>40.83331973</v>
      </c>
      <c r="AY1534" s="331">
        <f>SQRT(($R1534-Infrastructure!J$6)^2+($S1534-Infrastructure!K$6)^2)</f>
        <v>40.88031311</v>
      </c>
      <c r="AZ1534" s="331">
        <f>SQRT(($R1534-Infrastructure!J$7)^2+($S1534-Infrastructure!K$7)^2)</f>
        <v>39.21836305</v>
      </c>
      <c r="BA1534" s="331">
        <f>SQRT(($R1534-Infrastructure!J$8)^2+($S1534-Infrastructure!K$8)^2)</f>
        <v>40.08989898</v>
      </c>
      <c r="BB1534" s="331">
        <f>SQRT(($R1534-Infrastructure!J$9)^2+($S1534-Infrastructure!K$9)^2)</f>
        <v>38.96472764</v>
      </c>
      <c r="BC1534" s="331">
        <f>SQRT(($R1534-Infrastructure!J$10)^2+($S1534-Infrastructure!K$10)^2)</f>
        <v>30.58005886</v>
      </c>
      <c r="BD1534" s="331">
        <f>SQRT(($R1534-Infrastructure!J$11)^2+($S1534-Infrastructure!K$11)^2)</f>
        <v>21.27204739</v>
      </c>
      <c r="BE1534" s="333">
        <f>SQRT(($R1534-Infrastructure!J$12)^2+($S1534-Infrastructure!K$12)^2)</f>
        <v>16.00124995</v>
      </c>
      <c r="BF1534" s="330">
        <f t="shared" si="161"/>
        <v>16.00124995</v>
      </c>
      <c r="BG1534" s="333">
        <f t="shared" si="162"/>
        <v>40.88031311</v>
      </c>
      <c r="BH1534" s="1119"/>
      <c r="BI1534" s="319" t="s">
        <v>846</v>
      </c>
      <c r="BJ1534" s="319"/>
      <c r="BK1534" s="319" t="s">
        <v>846</v>
      </c>
      <c r="BL1534" s="319"/>
      <c r="BM1534" s="319"/>
      <c r="BN1534" s="319"/>
      <c r="BO1534" s="319"/>
      <c r="BP1534" s="953"/>
      <c r="BQ1534" s="319" t="s">
        <v>846</v>
      </c>
      <c r="BR1534" s="319" t="s">
        <v>846</v>
      </c>
      <c r="BS1534" s="330">
        <f t="shared" si="169"/>
        <v>16.00124995</v>
      </c>
      <c r="BT1534" s="331">
        <f t="shared" si="170"/>
        <v>40.83331973</v>
      </c>
      <c r="BU1534" s="920"/>
      <c r="BV1534" s="903">
        <f t="shared" si="171"/>
        <v>-0.5880208333</v>
      </c>
      <c r="BW1534" s="907"/>
      <c r="BX1534" s="908"/>
      <c r="BY1534" s="331"/>
      <c r="BZ1534" s="340"/>
      <c r="CA1534" s="316"/>
      <c r="CB1534" s="318"/>
      <c r="CC1534" s="318"/>
      <c r="CD1534" s="318"/>
      <c r="CE1534" s="318"/>
      <c r="CF1534" s="318"/>
      <c r="CG1534" s="318"/>
      <c r="CH1534" s="318"/>
      <c r="CI1534" s="318"/>
      <c r="CJ1534" s="463"/>
      <c r="CK1534" s="342"/>
      <c r="CL1534" s="333"/>
      <c r="CM1534" s="1079"/>
      <c r="CN1534" s="1005"/>
      <c r="CO1534" s="1005"/>
      <c r="CP1534" s="1005"/>
    </row>
    <row r="1535">
      <c r="B1535" s="1106" t="s">
        <v>1755</v>
      </c>
      <c r="C1535" s="1107">
        <v>44855.0</v>
      </c>
      <c r="D1535" s="103"/>
      <c r="E1535" s="1108">
        <v>3.0</v>
      </c>
      <c r="F1535" s="112" t="s">
        <v>2222</v>
      </c>
      <c r="G1535" s="1110">
        <v>0.5899305555555555</v>
      </c>
      <c r="H1535" s="1110">
        <v>0.5902777777777778</v>
      </c>
      <c r="I1535" s="1110"/>
      <c r="J1535" s="1111"/>
      <c r="K1535" s="1111">
        <v>0.5904513888888889</v>
      </c>
      <c r="L1535" s="1112">
        <v>1.7361111111111112E-4</v>
      </c>
      <c r="M1535" s="1113" t="s">
        <v>166</v>
      </c>
      <c r="N1535" s="110" t="s">
        <v>188</v>
      </c>
      <c r="O1535" s="1115" t="s">
        <v>196</v>
      </c>
      <c r="P1535" s="1115" t="s">
        <v>225</v>
      </c>
      <c r="Q1535" s="1115" t="s">
        <v>842</v>
      </c>
      <c r="R1535" s="120">
        <v>21.7</v>
      </c>
      <c r="S1535" s="1113">
        <v>39.5</v>
      </c>
      <c r="T1535" s="110">
        <v>1.3</v>
      </c>
      <c r="U1535" s="1108">
        <v>50.0</v>
      </c>
      <c r="V1535" s="1108"/>
      <c r="W1535" s="1108"/>
      <c r="X1535" s="1108"/>
      <c r="Y1535" s="1108"/>
      <c r="Z1535" s="1114" t="s">
        <v>387</v>
      </c>
      <c r="AA1535" s="1114"/>
      <c r="AB1535" s="1114" t="s">
        <v>416</v>
      </c>
      <c r="AC1535" s="1117">
        <v>52.5</v>
      </c>
      <c r="AD1535" s="1115"/>
      <c r="AE1535" s="1115"/>
      <c r="AF1535" s="1115"/>
      <c r="AG1535" s="1115"/>
      <c r="AH1535" s="1115"/>
      <c r="AI1535" s="1115"/>
      <c r="AJ1535" s="1117"/>
      <c r="AK1535" s="1118"/>
      <c r="AL1535" s="1115"/>
      <c r="AM1535" s="1115"/>
      <c r="AN1535" s="1115"/>
      <c r="AO1535" s="1115"/>
      <c r="AP1535" s="1115"/>
      <c r="AQ1535" s="1115"/>
      <c r="AR1535" s="1115"/>
      <c r="AS1535" s="1117"/>
      <c r="AT1535" s="1075" t="s">
        <v>183</v>
      </c>
      <c r="AU1535" s="1193" t="s">
        <v>845</v>
      </c>
      <c r="AV1535" s="330">
        <f>SQRT(($R1535-Infrastructure!J$3)^2+($S1535-Infrastructure!K$3)^2)</f>
        <v>24.42048321</v>
      </c>
      <c r="AW1535" s="331">
        <f>SQRT(($R1535-Infrastructure!J$4)^2+($S1535-Infrastructure!K$4)^2)</f>
        <v>30.90129447</v>
      </c>
      <c r="AX1535" s="331">
        <f>SQRT(($R1535-Infrastructure!J$5)^2+($S1535-Infrastructure!K$5)^2)</f>
        <v>40.83331973</v>
      </c>
      <c r="AY1535" s="331">
        <f>SQRT(($R1535-Infrastructure!J$6)^2+($S1535-Infrastructure!K$6)^2)</f>
        <v>40.88031311</v>
      </c>
      <c r="AZ1535" s="331">
        <f>SQRT(($R1535-Infrastructure!J$7)^2+($S1535-Infrastructure!K$7)^2)</f>
        <v>39.21836305</v>
      </c>
      <c r="BA1535" s="331">
        <f>SQRT(($R1535-Infrastructure!J$8)^2+($S1535-Infrastructure!K$8)^2)</f>
        <v>40.08989898</v>
      </c>
      <c r="BB1535" s="331">
        <f>SQRT(($R1535-Infrastructure!J$9)^2+($S1535-Infrastructure!K$9)^2)</f>
        <v>38.96472764</v>
      </c>
      <c r="BC1535" s="331">
        <f>SQRT(($R1535-Infrastructure!J$10)^2+($S1535-Infrastructure!K$10)^2)</f>
        <v>30.58005886</v>
      </c>
      <c r="BD1535" s="331">
        <f>SQRT(($R1535-Infrastructure!J$11)^2+($S1535-Infrastructure!K$11)^2)</f>
        <v>21.27204739</v>
      </c>
      <c r="BE1535" s="333">
        <f>SQRT(($R1535-Infrastructure!J$12)^2+($S1535-Infrastructure!K$12)^2)</f>
        <v>16.00124995</v>
      </c>
      <c r="BF1535" s="330">
        <f t="shared" si="161"/>
        <v>16.00124995</v>
      </c>
      <c r="BG1535" s="333">
        <f t="shared" si="162"/>
        <v>40.88031311</v>
      </c>
      <c r="BH1535" s="1119"/>
      <c r="BI1535" s="319" t="s">
        <v>846</v>
      </c>
      <c r="BJ1535" s="319"/>
      <c r="BK1535" s="319"/>
      <c r="BL1535" s="319"/>
      <c r="BM1535" s="319"/>
      <c r="BN1535" s="319"/>
      <c r="BO1535" s="319"/>
      <c r="BP1535" s="953"/>
      <c r="BQ1535" s="319" t="s">
        <v>846</v>
      </c>
      <c r="BR1535" s="319" t="s">
        <v>846</v>
      </c>
      <c r="BS1535" s="330">
        <f t="shared" si="169"/>
        <v>16.00124995</v>
      </c>
      <c r="BT1535" s="331">
        <f t="shared" si="170"/>
        <v>24.42048321</v>
      </c>
      <c r="BU1535" s="920"/>
      <c r="BV1535" s="903">
        <f t="shared" si="171"/>
        <v>-0.5899305556</v>
      </c>
      <c r="BW1535" s="907"/>
      <c r="BX1535" s="908"/>
      <c r="BY1535" s="331"/>
      <c r="BZ1535" s="340"/>
      <c r="CA1535" s="316"/>
      <c r="CB1535" s="318"/>
      <c r="CC1535" s="318"/>
      <c r="CD1535" s="318"/>
      <c r="CE1535" s="318"/>
      <c r="CF1535" s="318"/>
      <c r="CG1535" s="318"/>
      <c r="CH1535" s="318"/>
      <c r="CI1535" s="318"/>
      <c r="CJ1535" s="463"/>
      <c r="CK1535" s="342"/>
      <c r="CL1535" s="333"/>
      <c r="CM1535" s="1079"/>
      <c r="CN1535" s="1005"/>
      <c r="CO1535" s="1005"/>
      <c r="CP1535" s="1005"/>
    </row>
    <row r="1536">
      <c r="B1536" s="1106" t="s">
        <v>1755</v>
      </c>
      <c r="C1536" s="1107">
        <v>44855.0</v>
      </c>
      <c r="D1536" s="103"/>
      <c r="E1536" s="1108">
        <v>4.0</v>
      </c>
      <c r="F1536" s="112" t="s">
        <v>2223</v>
      </c>
      <c r="G1536" s="1110">
        <v>0.6779513888888888</v>
      </c>
      <c r="H1536" s="1110">
        <v>0.6762731481481481</v>
      </c>
      <c r="I1536" s="1110"/>
      <c r="J1536" s="1111"/>
      <c r="K1536" s="1111">
        <v>0.6765625</v>
      </c>
      <c r="L1536" s="1112">
        <v>2.8935185185185184E-4</v>
      </c>
      <c r="M1536" s="1113" t="s">
        <v>166</v>
      </c>
      <c r="N1536" s="110" t="s">
        <v>188</v>
      </c>
      <c r="O1536" s="1115" t="s">
        <v>196</v>
      </c>
      <c r="P1536" s="1115" t="s">
        <v>225</v>
      </c>
      <c r="Q1536" s="1115" t="s">
        <v>842</v>
      </c>
      <c r="R1536" s="120">
        <v>21.7</v>
      </c>
      <c r="S1536" s="1113">
        <v>39.5</v>
      </c>
      <c r="T1536" s="110">
        <v>1.3</v>
      </c>
      <c r="U1536" s="1108">
        <v>50.0</v>
      </c>
      <c r="V1536" s="1108"/>
      <c r="W1536" s="1108"/>
      <c r="X1536" s="1108"/>
      <c r="Y1536" s="1108"/>
      <c r="Z1536" s="1114" t="s">
        <v>387</v>
      </c>
      <c r="AA1536" s="1114"/>
      <c r="AB1536" s="1114" t="s">
        <v>416</v>
      </c>
      <c r="AC1536" s="1117">
        <v>52.5</v>
      </c>
      <c r="AD1536" s="1115"/>
      <c r="AE1536" s="1115"/>
      <c r="AF1536" s="1115"/>
      <c r="AG1536" s="1115"/>
      <c r="AH1536" s="1115"/>
      <c r="AI1536" s="1115"/>
      <c r="AJ1536" s="1117"/>
      <c r="AK1536" s="1118"/>
      <c r="AL1536" s="1115"/>
      <c r="AM1536" s="1115"/>
      <c r="AN1536" s="1115"/>
      <c r="AO1536" s="1115"/>
      <c r="AP1536" s="1115"/>
      <c r="AQ1536" s="1115"/>
      <c r="AR1536" s="1115"/>
      <c r="AS1536" s="1117"/>
      <c r="AT1536" s="1075" t="s">
        <v>183</v>
      </c>
      <c r="AU1536" s="1193" t="s">
        <v>845</v>
      </c>
      <c r="AV1536" s="330">
        <f>SQRT(($R1536-Infrastructure!J$3)^2+($S1536-Infrastructure!K$3)^2)</f>
        <v>24.42048321</v>
      </c>
      <c r="AW1536" s="331">
        <f>SQRT(($R1536-Infrastructure!J$4)^2+($S1536-Infrastructure!K$4)^2)</f>
        <v>30.90129447</v>
      </c>
      <c r="AX1536" s="331">
        <f>SQRT(($R1536-Infrastructure!J$5)^2+($S1536-Infrastructure!K$5)^2)</f>
        <v>40.83331973</v>
      </c>
      <c r="AY1536" s="331">
        <f>SQRT(($R1536-Infrastructure!J$6)^2+($S1536-Infrastructure!K$6)^2)</f>
        <v>40.88031311</v>
      </c>
      <c r="AZ1536" s="331">
        <f>SQRT(($R1536-Infrastructure!J$7)^2+($S1536-Infrastructure!K$7)^2)</f>
        <v>39.21836305</v>
      </c>
      <c r="BA1536" s="331">
        <f>SQRT(($R1536-Infrastructure!J$8)^2+($S1536-Infrastructure!K$8)^2)</f>
        <v>40.08989898</v>
      </c>
      <c r="BB1536" s="331">
        <f>SQRT(($R1536-Infrastructure!J$9)^2+($S1536-Infrastructure!K$9)^2)</f>
        <v>38.96472764</v>
      </c>
      <c r="BC1536" s="331">
        <f>SQRT(($R1536-Infrastructure!J$10)^2+($S1536-Infrastructure!K$10)^2)</f>
        <v>30.58005886</v>
      </c>
      <c r="BD1536" s="331">
        <f>SQRT(($R1536-Infrastructure!J$11)^2+($S1536-Infrastructure!K$11)^2)</f>
        <v>21.27204739</v>
      </c>
      <c r="BE1536" s="333">
        <f>SQRT(($R1536-Infrastructure!J$12)^2+($S1536-Infrastructure!K$12)^2)</f>
        <v>16.00124995</v>
      </c>
      <c r="BF1536" s="330">
        <f t="shared" si="161"/>
        <v>16.00124995</v>
      </c>
      <c r="BG1536" s="333">
        <f t="shared" si="162"/>
        <v>40.88031311</v>
      </c>
      <c r="BH1536" s="1119"/>
      <c r="BI1536" s="319" t="s">
        <v>846</v>
      </c>
      <c r="BJ1536" s="319"/>
      <c r="BK1536" s="319"/>
      <c r="BL1536" s="319"/>
      <c r="BM1536" s="319"/>
      <c r="BN1536" s="319"/>
      <c r="BO1536" s="319"/>
      <c r="BP1536" s="953"/>
      <c r="BQ1536" s="319" t="s">
        <v>846</v>
      </c>
      <c r="BR1536" s="319" t="s">
        <v>846</v>
      </c>
      <c r="BS1536" s="330">
        <f t="shared" si="169"/>
        <v>16.00124995</v>
      </c>
      <c r="BT1536" s="331">
        <f t="shared" si="170"/>
        <v>24.42048321</v>
      </c>
      <c r="BU1536" s="920"/>
      <c r="BV1536" s="903">
        <f t="shared" si="171"/>
        <v>-0.6779513889</v>
      </c>
      <c r="BW1536" s="907"/>
      <c r="BX1536" s="908"/>
      <c r="BY1536" s="331"/>
      <c r="BZ1536" s="340"/>
      <c r="CA1536" s="316"/>
      <c r="CB1536" s="318"/>
      <c r="CC1536" s="318"/>
      <c r="CD1536" s="318"/>
      <c r="CE1536" s="318"/>
      <c r="CF1536" s="318"/>
      <c r="CG1536" s="318"/>
      <c r="CH1536" s="318"/>
      <c r="CI1536" s="318"/>
      <c r="CJ1536" s="463"/>
      <c r="CK1536" s="342"/>
      <c r="CL1536" s="333"/>
      <c r="CM1536" s="1079"/>
      <c r="CN1536" s="1005"/>
      <c r="CO1536" s="1005"/>
      <c r="CP1536" s="1005"/>
    </row>
    <row r="1537">
      <c r="B1537" s="1106" t="s">
        <v>1755</v>
      </c>
      <c r="C1537" s="1107">
        <v>44855.0</v>
      </c>
      <c r="D1537" s="103"/>
      <c r="E1537" s="1108">
        <v>5.0</v>
      </c>
      <c r="F1537" s="112" t="s">
        <v>2224</v>
      </c>
      <c r="G1537" s="1110">
        <v>0.6776620370370371</v>
      </c>
      <c r="H1537" s="1110"/>
      <c r="I1537" s="1110"/>
      <c r="J1537" s="1111"/>
      <c r="K1537" s="1111">
        <v>0.6778935185185185</v>
      </c>
      <c r="L1537" s="1112">
        <v>2.314814814814815E-4</v>
      </c>
      <c r="M1537" s="1113" t="s">
        <v>166</v>
      </c>
      <c r="N1537" s="110" t="s">
        <v>188</v>
      </c>
      <c r="O1537" s="1115" t="s">
        <v>196</v>
      </c>
      <c r="P1537" s="1115" t="s">
        <v>225</v>
      </c>
      <c r="Q1537" s="1115" t="s">
        <v>842</v>
      </c>
      <c r="R1537" s="120">
        <v>21.7</v>
      </c>
      <c r="S1537" s="1113">
        <v>39.5</v>
      </c>
      <c r="T1537" s="110">
        <v>1.3</v>
      </c>
      <c r="U1537" s="1108">
        <v>50.0</v>
      </c>
      <c r="V1537" s="1108"/>
      <c r="W1537" s="1108"/>
      <c r="X1537" s="1108"/>
      <c r="Y1537" s="1108"/>
      <c r="Z1537" s="1114" t="s">
        <v>387</v>
      </c>
      <c r="AA1537" s="1114"/>
      <c r="AB1537" s="1114" t="s">
        <v>416</v>
      </c>
      <c r="AC1537" s="1117">
        <v>52.5</v>
      </c>
      <c r="AD1537" s="1115"/>
      <c r="AE1537" s="1115"/>
      <c r="AF1537" s="1115"/>
      <c r="AG1537" s="1115"/>
      <c r="AH1537" s="1115"/>
      <c r="AI1537" s="1115"/>
      <c r="AJ1537" s="1117"/>
      <c r="AK1537" s="1118"/>
      <c r="AL1537" s="1115"/>
      <c r="AM1537" s="1115"/>
      <c r="AN1537" s="1115"/>
      <c r="AO1537" s="1115"/>
      <c r="AP1537" s="1115"/>
      <c r="AQ1537" s="1115"/>
      <c r="AR1537" s="1115"/>
      <c r="AS1537" s="1117"/>
      <c r="AT1537" s="1075" t="s">
        <v>183</v>
      </c>
      <c r="AU1537" s="1193" t="s">
        <v>845</v>
      </c>
      <c r="AV1537" s="330">
        <f>SQRT(($R1537-Infrastructure!J$3)^2+($S1537-Infrastructure!K$3)^2)</f>
        <v>24.42048321</v>
      </c>
      <c r="AW1537" s="331">
        <f>SQRT(($R1537-Infrastructure!J$4)^2+($S1537-Infrastructure!K$4)^2)</f>
        <v>30.90129447</v>
      </c>
      <c r="AX1537" s="331">
        <f>SQRT(($R1537-Infrastructure!J$5)^2+($S1537-Infrastructure!K$5)^2)</f>
        <v>40.83331973</v>
      </c>
      <c r="AY1537" s="331">
        <f>SQRT(($R1537-Infrastructure!J$6)^2+($S1537-Infrastructure!K$6)^2)</f>
        <v>40.88031311</v>
      </c>
      <c r="AZ1537" s="331">
        <f>SQRT(($R1537-Infrastructure!J$7)^2+($S1537-Infrastructure!K$7)^2)</f>
        <v>39.21836305</v>
      </c>
      <c r="BA1537" s="331">
        <f>SQRT(($R1537-Infrastructure!J$8)^2+($S1537-Infrastructure!K$8)^2)</f>
        <v>40.08989898</v>
      </c>
      <c r="BB1537" s="331">
        <f>SQRT(($R1537-Infrastructure!J$9)^2+($S1537-Infrastructure!K$9)^2)</f>
        <v>38.96472764</v>
      </c>
      <c r="BC1537" s="331">
        <f>SQRT(($R1537-Infrastructure!J$10)^2+($S1537-Infrastructure!K$10)^2)</f>
        <v>30.58005886</v>
      </c>
      <c r="BD1537" s="331">
        <f>SQRT(($R1537-Infrastructure!J$11)^2+($S1537-Infrastructure!K$11)^2)</f>
        <v>21.27204739</v>
      </c>
      <c r="BE1537" s="333">
        <f>SQRT(($R1537-Infrastructure!J$12)^2+($S1537-Infrastructure!K$12)^2)</f>
        <v>16.00124995</v>
      </c>
      <c r="BF1537" s="330">
        <f t="shared" si="161"/>
        <v>16.00124995</v>
      </c>
      <c r="BG1537" s="333">
        <f t="shared" si="162"/>
        <v>40.88031311</v>
      </c>
      <c r="BH1537" s="1119"/>
      <c r="BI1537" s="319" t="s">
        <v>846</v>
      </c>
      <c r="BJ1537" s="319"/>
      <c r="BK1537" s="319"/>
      <c r="BL1537" s="319"/>
      <c r="BM1537" s="319"/>
      <c r="BN1537" s="319"/>
      <c r="BO1537" s="319"/>
      <c r="BP1537" s="953"/>
      <c r="BQ1537" s="319" t="s">
        <v>846</v>
      </c>
      <c r="BR1537" s="319" t="s">
        <v>846</v>
      </c>
      <c r="BS1537" s="330">
        <f t="shared" si="169"/>
        <v>16.00124995</v>
      </c>
      <c r="BT1537" s="331">
        <f t="shared" si="170"/>
        <v>24.42048321</v>
      </c>
      <c r="BU1537" s="920"/>
      <c r="BV1537" s="903">
        <f t="shared" si="171"/>
        <v>-0.677662037</v>
      </c>
      <c r="BW1537" s="907"/>
      <c r="BX1537" s="908"/>
      <c r="BY1537" s="331"/>
      <c r="BZ1537" s="340"/>
      <c r="CA1537" s="316"/>
      <c r="CB1537" s="318"/>
      <c r="CC1537" s="318"/>
      <c r="CD1537" s="318"/>
      <c r="CE1537" s="318"/>
      <c r="CF1537" s="318"/>
      <c r="CG1537" s="318"/>
      <c r="CH1537" s="318"/>
      <c r="CI1537" s="318"/>
      <c r="CJ1537" s="463"/>
      <c r="CK1537" s="342"/>
      <c r="CL1537" s="333"/>
      <c r="CM1537" s="1079"/>
      <c r="CN1537" s="1005"/>
      <c r="CO1537" s="1005"/>
      <c r="CP1537" s="1005"/>
    </row>
    <row r="1538">
      <c r="B1538" s="1106" t="s">
        <v>1755</v>
      </c>
      <c r="C1538" s="1107">
        <v>44855.0</v>
      </c>
      <c r="D1538" s="103"/>
      <c r="E1538" s="1108">
        <v>6.0</v>
      </c>
      <c r="F1538" s="112" t="s">
        <v>2225</v>
      </c>
      <c r="G1538" s="1110">
        <v>0.6798032407407407</v>
      </c>
      <c r="H1538" s="1110"/>
      <c r="I1538" s="1110"/>
      <c r="J1538" s="1111"/>
      <c r="K1538" s="1111">
        <v>0.6799768518518519</v>
      </c>
      <c r="L1538" s="1112">
        <v>1.7361111111111112E-4</v>
      </c>
      <c r="M1538" s="1113" t="s">
        <v>166</v>
      </c>
      <c r="N1538" s="110" t="s">
        <v>188</v>
      </c>
      <c r="O1538" s="1115" t="s">
        <v>196</v>
      </c>
      <c r="P1538" s="1115" t="s">
        <v>225</v>
      </c>
      <c r="Q1538" s="1115" t="s">
        <v>842</v>
      </c>
      <c r="R1538" s="120">
        <v>21.7</v>
      </c>
      <c r="S1538" s="1113">
        <v>39.5</v>
      </c>
      <c r="T1538" s="110">
        <v>1.3</v>
      </c>
      <c r="U1538" s="1108">
        <v>50.0</v>
      </c>
      <c r="V1538" s="1108"/>
      <c r="W1538" s="1108"/>
      <c r="X1538" s="1108"/>
      <c r="Y1538" s="1108"/>
      <c r="Z1538" s="1114" t="s">
        <v>387</v>
      </c>
      <c r="AA1538" s="1114"/>
      <c r="AB1538" s="1114" t="s">
        <v>416</v>
      </c>
      <c r="AC1538" s="1117">
        <v>52.5</v>
      </c>
      <c r="AD1538" s="1115"/>
      <c r="AE1538" s="1115"/>
      <c r="AF1538" s="1115"/>
      <c r="AG1538" s="1115"/>
      <c r="AH1538" s="1115"/>
      <c r="AI1538" s="1115"/>
      <c r="AJ1538" s="1117"/>
      <c r="AK1538" s="1118"/>
      <c r="AL1538" s="1115"/>
      <c r="AM1538" s="1115"/>
      <c r="AN1538" s="1115"/>
      <c r="AO1538" s="1115"/>
      <c r="AP1538" s="1115"/>
      <c r="AQ1538" s="1115"/>
      <c r="AR1538" s="1115"/>
      <c r="AS1538" s="1117"/>
      <c r="AT1538" s="1075" t="s">
        <v>183</v>
      </c>
      <c r="AU1538" s="1193" t="s">
        <v>845</v>
      </c>
      <c r="AV1538" s="330">
        <f>SQRT(($R1538-Infrastructure!J$3)^2+($S1538-Infrastructure!K$3)^2)</f>
        <v>24.42048321</v>
      </c>
      <c r="AW1538" s="331">
        <f>SQRT(($R1538-Infrastructure!J$4)^2+($S1538-Infrastructure!K$4)^2)</f>
        <v>30.90129447</v>
      </c>
      <c r="AX1538" s="331">
        <f>SQRT(($R1538-Infrastructure!J$5)^2+($S1538-Infrastructure!K$5)^2)</f>
        <v>40.83331973</v>
      </c>
      <c r="AY1538" s="331">
        <f>SQRT(($R1538-Infrastructure!J$6)^2+($S1538-Infrastructure!K$6)^2)</f>
        <v>40.88031311</v>
      </c>
      <c r="AZ1538" s="331">
        <f>SQRT(($R1538-Infrastructure!J$7)^2+($S1538-Infrastructure!K$7)^2)</f>
        <v>39.21836305</v>
      </c>
      <c r="BA1538" s="331">
        <f>SQRT(($R1538-Infrastructure!J$8)^2+($S1538-Infrastructure!K$8)^2)</f>
        <v>40.08989898</v>
      </c>
      <c r="BB1538" s="331">
        <f>SQRT(($R1538-Infrastructure!J$9)^2+($S1538-Infrastructure!K$9)^2)</f>
        <v>38.96472764</v>
      </c>
      <c r="BC1538" s="331">
        <f>SQRT(($R1538-Infrastructure!J$10)^2+($S1538-Infrastructure!K$10)^2)</f>
        <v>30.58005886</v>
      </c>
      <c r="BD1538" s="331">
        <f>SQRT(($R1538-Infrastructure!J$11)^2+($S1538-Infrastructure!K$11)^2)</f>
        <v>21.27204739</v>
      </c>
      <c r="BE1538" s="333">
        <f>SQRT(($R1538-Infrastructure!J$12)^2+($S1538-Infrastructure!K$12)^2)</f>
        <v>16.00124995</v>
      </c>
      <c r="BF1538" s="330">
        <f t="shared" si="161"/>
        <v>16.00124995</v>
      </c>
      <c r="BG1538" s="333">
        <f t="shared" si="162"/>
        <v>40.88031311</v>
      </c>
      <c r="BH1538" s="1119"/>
      <c r="BI1538" s="319" t="s">
        <v>846</v>
      </c>
      <c r="BJ1538" s="319"/>
      <c r="BK1538" s="319"/>
      <c r="BL1538" s="319"/>
      <c r="BM1538" s="319"/>
      <c r="BN1538" s="319"/>
      <c r="BO1538" s="319"/>
      <c r="BP1538" s="953"/>
      <c r="BQ1538" s="319" t="s">
        <v>846</v>
      </c>
      <c r="BR1538" s="319" t="s">
        <v>846</v>
      </c>
      <c r="BS1538" s="330">
        <f t="shared" si="169"/>
        <v>16.00124995</v>
      </c>
      <c r="BT1538" s="331">
        <f t="shared" si="170"/>
        <v>24.42048321</v>
      </c>
      <c r="BU1538" s="920"/>
      <c r="BV1538" s="903">
        <f t="shared" si="171"/>
        <v>-0.6798032407</v>
      </c>
      <c r="BW1538" s="907"/>
      <c r="BX1538" s="908"/>
      <c r="BY1538" s="331"/>
      <c r="BZ1538" s="340"/>
      <c r="CA1538" s="316"/>
      <c r="CB1538" s="318"/>
      <c r="CC1538" s="318"/>
      <c r="CD1538" s="318"/>
      <c r="CE1538" s="318"/>
      <c r="CF1538" s="318"/>
      <c r="CG1538" s="318"/>
      <c r="CH1538" s="318"/>
      <c r="CI1538" s="318"/>
      <c r="CJ1538" s="463"/>
      <c r="CK1538" s="342"/>
      <c r="CL1538" s="333"/>
      <c r="CM1538" s="1079"/>
      <c r="CN1538" s="1005"/>
      <c r="CO1538" s="1005"/>
      <c r="CP1538" s="1005"/>
    </row>
    <row r="1539">
      <c r="B1539" s="1106" t="s">
        <v>1755</v>
      </c>
      <c r="C1539" s="1107">
        <v>44855.0</v>
      </c>
      <c r="D1539" s="103"/>
      <c r="E1539" s="1108">
        <v>7.0</v>
      </c>
      <c r="F1539" s="112" t="s">
        <v>2226</v>
      </c>
      <c r="G1539" s="1110">
        <v>0.6818518518518518</v>
      </c>
      <c r="H1539" s="1110"/>
      <c r="I1539" s="1110"/>
      <c r="J1539" s="1111"/>
      <c r="K1539" s="1111">
        <v>0.6820023148148148</v>
      </c>
      <c r="L1539" s="1112">
        <v>1.5046296296296297E-4</v>
      </c>
      <c r="M1539" s="1113" t="s">
        <v>166</v>
      </c>
      <c r="N1539" s="110" t="s">
        <v>188</v>
      </c>
      <c r="O1539" s="1115" t="s">
        <v>196</v>
      </c>
      <c r="P1539" s="1115" t="s">
        <v>225</v>
      </c>
      <c r="Q1539" s="1115" t="s">
        <v>842</v>
      </c>
      <c r="R1539" s="120">
        <v>21.7</v>
      </c>
      <c r="S1539" s="1113">
        <v>39.5</v>
      </c>
      <c r="T1539" s="110">
        <v>1.3</v>
      </c>
      <c r="U1539" s="1108">
        <v>50.0</v>
      </c>
      <c r="V1539" s="1108"/>
      <c r="W1539" s="1108"/>
      <c r="X1539" s="1108"/>
      <c r="Y1539" s="1108"/>
      <c r="Z1539" s="1114" t="s">
        <v>387</v>
      </c>
      <c r="AA1539" s="1114"/>
      <c r="AB1539" s="1114" t="s">
        <v>416</v>
      </c>
      <c r="AC1539" s="1117">
        <v>52.5</v>
      </c>
      <c r="AD1539" s="1115"/>
      <c r="AE1539" s="1115"/>
      <c r="AF1539" s="1115"/>
      <c r="AG1539" s="1115"/>
      <c r="AH1539" s="1115"/>
      <c r="AI1539" s="1115"/>
      <c r="AJ1539" s="1117"/>
      <c r="AK1539" s="1118"/>
      <c r="AL1539" s="1115"/>
      <c r="AM1539" s="1115"/>
      <c r="AN1539" s="1115"/>
      <c r="AO1539" s="1115"/>
      <c r="AP1539" s="1115"/>
      <c r="AQ1539" s="1115"/>
      <c r="AR1539" s="1115"/>
      <c r="AS1539" s="1117"/>
      <c r="AT1539" s="1075" t="s">
        <v>183</v>
      </c>
      <c r="AU1539" s="1193" t="s">
        <v>845</v>
      </c>
      <c r="AV1539" s="330">
        <f>SQRT(($R1539-Infrastructure!J$3)^2+($S1539-Infrastructure!K$3)^2)</f>
        <v>24.42048321</v>
      </c>
      <c r="AW1539" s="331">
        <f>SQRT(($R1539-Infrastructure!J$4)^2+($S1539-Infrastructure!K$4)^2)</f>
        <v>30.90129447</v>
      </c>
      <c r="AX1539" s="331">
        <f>SQRT(($R1539-Infrastructure!J$5)^2+($S1539-Infrastructure!K$5)^2)</f>
        <v>40.83331973</v>
      </c>
      <c r="AY1539" s="331">
        <f>SQRT(($R1539-Infrastructure!J$6)^2+($S1539-Infrastructure!K$6)^2)</f>
        <v>40.88031311</v>
      </c>
      <c r="AZ1539" s="331">
        <f>SQRT(($R1539-Infrastructure!J$7)^2+($S1539-Infrastructure!K$7)^2)</f>
        <v>39.21836305</v>
      </c>
      <c r="BA1539" s="331">
        <f>SQRT(($R1539-Infrastructure!J$8)^2+($S1539-Infrastructure!K$8)^2)</f>
        <v>40.08989898</v>
      </c>
      <c r="BB1539" s="331">
        <f>SQRT(($R1539-Infrastructure!J$9)^2+($S1539-Infrastructure!K$9)^2)</f>
        <v>38.96472764</v>
      </c>
      <c r="BC1539" s="331">
        <f>SQRT(($R1539-Infrastructure!J$10)^2+($S1539-Infrastructure!K$10)^2)</f>
        <v>30.58005886</v>
      </c>
      <c r="BD1539" s="331">
        <f>SQRT(($R1539-Infrastructure!J$11)^2+($S1539-Infrastructure!K$11)^2)</f>
        <v>21.27204739</v>
      </c>
      <c r="BE1539" s="333">
        <f>SQRT(($R1539-Infrastructure!J$12)^2+($S1539-Infrastructure!K$12)^2)</f>
        <v>16.00124995</v>
      </c>
      <c r="BF1539" s="330">
        <f t="shared" si="161"/>
        <v>16.00124995</v>
      </c>
      <c r="BG1539" s="333">
        <f t="shared" si="162"/>
        <v>40.88031311</v>
      </c>
      <c r="BH1539" s="1119"/>
      <c r="BI1539" s="319" t="s">
        <v>846</v>
      </c>
      <c r="BJ1539" s="319"/>
      <c r="BK1539" s="319"/>
      <c r="BL1539" s="319"/>
      <c r="BM1539" s="319"/>
      <c r="BN1539" s="319"/>
      <c r="BO1539" s="319"/>
      <c r="BP1539" s="953"/>
      <c r="BQ1539" s="319" t="s">
        <v>846</v>
      </c>
      <c r="BR1539" s="319" t="s">
        <v>846</v>
      </c>
      <c r="BS1539" s="330">
        <f t="shared" si="169"/>
        <v>16.00124995</v>
      </c>
      <c r="BT1539" s="331">
        <f t="shared" si="170"/>
        <v>24.42048321</v>
      </c>
      <c r="BU1539" s="920"/>
      <c r="BV1539" s="903">
        <f t="shared" si="171"/>
        <v>-0.6818518519</v>
      </c>
      <c r="BW1539" s="907"/>
      <c r="BX1539" s="908"/>
      <c r="BY1539" s="331"/>
      <c r="BZ1539" s="340"/>
      <c r="CA1539" s="316"/>
      <c r="CB1539" s="318"/>
      <c r="CC1539" s="318"/>
      <c r="CD1539" s="318"/>
      <c r="CE1539" s="318"/>
      <c r="CF1539" s="318"/>
      <c r="CG1539" s="318"/>
      <c r="CH1539" s="318"/>
      <c r="CI1539" s="318"/>
      <c r="CJ1539" s="463"/>
      <c r="CK1539" s="342"/>
      <c r="CL1539" s="333"/>
      <c r="CM1539" s="1079"/>
      <c r="CN1539" s="1005"/>
      <c r="CO1539" s="1005"/>
      <c r="CP1539" s="1005"/>
    </row>
    <row r="1540">
      <c r="B1540" s="1106" t="s">
        <v>1755</v>
      </c>
      <c r="C1540" s="1107">
        <v>44855.0</v>
      </c>
      <c r="D1540" s="103"/>
      <c r="E1540" s="1108">
        <v>8.0</v>
      </c>
      <c r="F1540" s="112" t="s">
        <v>2227</v>
      </c>
      <c r="G1540" s="1110">
        <v>0.6830439814814815</v>
      </c>
      <c r="H1540" s="1110"/>
      <c r="I1540" s="1110"/>
      <c r="J1540" s="1111"/>
      <c r="K1540" s="1111">
        <v>0.6831597222222222</v>
      </c>
      <c r="L1540" s="1112">
        <v>1.1574074074074075E-4</v>
      </c>
      <c r="M1540" s="1113" t="s">
        <v>166</v>
      </c>
      <c r="N1540" s="110" t="s">
        <v>188</v>
      </c>
      <c r="O1540" s="1115" t="s">
        <v>196</v>
      </c>
      <c r="P1540" s="1115" t="s">
        <v>225</v>
      </c>
      <c r="Q1540" s="1115" t="s">
        <v>842</v>
      </c>
      <c r="R1540" s="120">
        <v>21.7</v>
      </c>
      <c r="S1540" s="1113">
        <v>39.5</v>
      </c>
      <c r="T1540" s="110">
        <v>1.3</v>
      </c>
      <c r="U1540" s="1108">
        <v>50.0</v>
      </c>
      <c r="V1540" s="1108"/>
      <c r="W1540" s="1108"/>
      <c r="X1540" s="1108"/>
      <c r="Y1540" s="1108"/>
      <c r="Z1540" s="1114" t="s">
        <v>387</v>
      </c>
      <c r="AA1540" s="1114"/>
      <c r="AB1540" s="1114" t="s">
        <v>416</v>
      </c>
      <c r="AC1540" s="1117">
        <v>52.5</v>
      </c>
      <c r="AD1540" s="1115"/>
      <c r="AE1540" s="1115"/>
      <c r="AF1540" s="1115"/>
      <c r="AG1540" s="1115"/>
      <c r="AH1540" s="1115"/>
      <c r="AI1540" s="1115"/>
      <c r="AJ1540" s="1117"/>
      <c r="AK1540" s="1118"/>
      <c r="AL1540" s="1115"/>
      <c r="AM1540" s="1115"/>
      <c r="AN1540" s="1115"/>
      <c r="AO1540" s="1115"/>
      <c r="AP1540" s="1115"/>
      <c r="AQ1540" s="1115"/>
      <c r="AR1540" s="1115"/>
      <c r="AS1540" s="1117"/>
      <c r="AT1540" s="1075" t="s">
        <v>183</v>
      </c>
      <c r="AU1540" s="1193" t="s">
        <v>845</v>
      </c>
      <c r="AV1540" s="330">
        <f>SQRT(($R1540-Infrastructure!J$3)^2+($S1540-Infrastructure!K$3)^2)</f>
        <v>24.42048321</v>
      </c>
      <c r="AW1540" s="331">
        <f>SQRT(($R1540-Infrastructure!J$4)^2+($S1540-Infrastructure!K$4)^2)</f>
        <v>30.90129447</v>
      </c>
      <c r="AX1540" s="331">
        <f>SQRT(($R1540-Infrastructure!J$5)^2+($S1540-Infrastructure!K$5)^2)</f>
        <v>40.83331973</v>
      </c>
      <c r="AY1540" s="331">
        <f>SQRT(($R1540-Infrastructure!J$6)^2+($S1540-Infrastructure!K$6)^2)</f>
        <v>40.88031311</v>
      </c>
      <c r="AZ1540" s="331">
        <f>SQRT(($R1540-Infrastructure!J$7)^2+($S1540-Infrastructure!K$7)^2)</f>
        <v>39.21836305</v>
      </c>
      <c r="BA1540" s="331">
        <f>SQRT(($R1540-Infrastructure!J$8)^2+($S1540-Infrastructure!K$8)^2)</f>
        <v>40.08989898</v>
      </c>
      <c r="BB1540" s="331">
        <f>SQRT(($R1540-Infrastructure!J$9)^2+($S1540-Infrastructure!K$9)^2)</f>
        <v>38.96472764</v>
      </c>
      <c r="BC1540" s="331">
        <f>SQRT(($R1540-Infrastructure!J$10)^2+($S1540-Infrastructure!K$10)^2)</f>
        <v>30.58005886</v>
      </c>
      <c r="BD1540" s="331">
        <f>SQRT(($R1540-Infrastructure!J$11)^2+($S1540-Infrastructure!K$11)^2)</f>
        <v>21.27204739</v>
      </c>
      <c r="BE1540" s="333">
        <f>SQRT(($R1540-Infrastructure!J$12)^2+($S1540-Infrastructure!K$12)^2)</f>
        <v>16.00124995</v>
      </c>
      <c r="BF1540" s="330">
        <f t="shared" si="161"/>
        <v>16.00124995</v>
      </c>
      <c r="BG1540" s="333">
        <f t="shared" si="162"/>
        <v>40.88031311</v>
      </c>
      <c r="BH1540" s="1119"/>
      <c r="BI1540" s="319" t="s">
        <v>846</v>
      </c>
      <c r="BJ1540" s="319"/>
      <c r="BK1540" s="319"/>
      <c r="BL1540" s="319"/>
      <c r="BM1540" s="319"/>
      <c r="BN1540" s="319"/>
      <c r="BO1540" s="319"/>
      <c r="BP1540" s="953"/>
      <c r="BQ1540" s="319" t="s">
        <v>846</v>
      </c>
      <c r="BR1540" s="319" t="s">
        <v>846</v>
      </c>
      <c r="BS1540" s="330">
        <f t="shared" si="169"/>
        <v>16.00124995</v>
      </c>
      <c r="BT1540" s="331">
        <f t="shared" si="170"/>
        <v>24.42048321</v>
      </c>
      <c r="BU1540" s="920"/>
      <c r="BV1540" s="903">
        <f t="shared" si="171"/>
        <v>-0.6830439815</v>
      </c>
      <c r="BW1540" s="907"/>
      <c r="BX1540" s="908"/>
      <c r="BY1540" s="331"/>
      <c r="BZ1540" s="340"/>
      <c r="CA1540" s="316"/>
      <c r="CB1540" s="318"/>
      <c r="CC1540" s="318"/>
      <c r="CD1540" s="318"/>
      <c r="CE1540" s="318"/>
      <c r="CF1540" s="318"/>
      <c r="CG1540" s="318"/>
      <c r="CH1540" s="318"/>
      <c r="CI1540" s="318"/>
      <c r="CJ1540" s="463"/>
      <c r="CK1540" s="342"/>
      <c r="CL1540" s="333"/>
      <c r="CM1540" s="1079"/>
      <c r="CN1540" s="1005"/>
      <c r="CO1540" s="1005"/>
      <c r="CP1540" s="1005"/>
    </row>
    <row r="1541">
      <c r="B1541" s="1106" t="s">
        <v>1755</v>
      </c>
      <c r="C1541" s="1107">
        <v>44855.0</v>
      </c>
      <c r="D1541" s="103"/>
      <c r="E1541" s="1108"/>
      <c r="F1541" s="112" t="s">
        <v>2228</v>
      </c>
      <c r="G1541" s="1110">
        <v>0.6887731481481482</v>
      </c>
      <c r="H1541" s="1110"/>
      <c r="I1541" s="1110"/>
      <c r="J1541" s="1111"/>
      <c r="K1541" s="1111">
        <v>0.6895833333333333</v>
      </c>
      <c r="L1541" s="1112">
        <v>8.101851851851852E-4</v>
      </c>
      <c r="M1541" s="1113" t="s">
        <v>166</v>
      </c>
      <c r="N1541" s="110" t="s">
        <v>188</v>
      </c>
      <c r="O1541" s="1115"/>
      <c r="P1541" s="1115" t="s">
        <v>292</v>
      </c>
      <c r="Q1541" s="1115"/>
      <c r="R1541" s="120"/>
      <c r="S1541" s="1113"/>
      <c r="T1541" s="110"/>
      <c r="U1541" s="1108"/>
      <c r="V1541" s="1108"/>
      <c r="W1541" s="1108"/>
      <c r="X1541" s="1108"/>
      <c r="Y1541" s="1108"/>
      <c r="Z1541" s="1114" t="s">
        <v>323</v>
      </c>
      <c r="AA1541" s="1114"/>
      <c r="AB1541" s="1114" t="s">
        <v>323</v>
      </c>
      <c r="AC1541" s="1117" t="s">
        <v>323</v>
      </c>
      <c r="AD1541" s="1115"/>
      <c r="AE1541" s="1115"/>
      <c r="AF1541" s="1115"/>
      <c r="AG1541" s="1115"/>
      <c r="AH1541" s="1115"/>
      <c r="AI1541" s="1115"/>
      <c r="AJ1541" s="1117"/>
      <c r="AK1541" s="1118"/>
      <c r="AL1541" s="1115"/>
      <c r="AM1541" s="1115"/>
      <c r="AN1541" s="1115"/>
      <c r="AO1541" s="1115"/>
      <c r="AP1541" s="1115"/>
      <c r="AQ1541" s="1115"/>
      <c r="AR1541" s="1115"/>
      <c r="AS1541" s="1117"/>
      <c r="AT1541" s="1075"/>
      <c r="AU1541" s="1193"/>
      <c r="AV1541" s="330">
        <f>SQRT(($R1541-Infrastructure!J$3)^2+($S1541-Infrastructure!K$3)^2)</f>
        <v>28.90155705</v>
      </c>
      <c r="AW1541" s="331">
        <f>SQRT(($R1541-Infrastructure!J$4)^2+($S1541-Infrastructure!K$4)^2)</f>
        <v>17.80252791</v>
      </c>
      <c r="AX1541" s="331">
        <f>SQRT(($R1541-Infrastructure!J$5)^2+($S1541-Infrastructure!K$5)^2)</f>
        <v>5.10881591</v>
      </c>
      <c r="AY1541" s="331">
        <f>SQRT(($R1541-Infrastructure!J$6)^2+($S1541-Infrastructure!K$6)^2)</f>
        <v>10.10445446</v>
      </c>
      <c r="AZ1541" s="331">
        <f>SQRT(($R1541-Infrastructure!J$7)^2+($S1541-Infrastructure!K$7)^2)</f>
        <v>20.502195</v>
      </c>
      <c r="BA1541" s="331">
        <f>SQRT(($R1541-Infrastructure!J$8)^2+($S1541-Infrastructure!K$8)^2)</f>
        <v>30.10149498</v>
      </c>
      <c r="BB1541" s="331">
        <f>SQRT(($R1541-Infrastructure!J$9)^2+($S1541-Infrastructure!K$9)^2)</f>
        <v>40.3238143</v>
      </c>
      <c r="BC1541" s="331">
        <f>SQRT(($R1541-Infrastructure!J$10)^2+($S1541-Infrastructure!K$10)^2)</f>
        <v>42.72001873</v>
      </c>
      <c r="BD1541" s="331">
        <f>SQRT(($R1541-Infrastructure!J$11)^2+($S1541-Infrastructure!K$11)^2)</f>
        <v>49.56853841</v>
      </c>
      <c r="BE1541" s="333">
        <f>SQRT(($R1541-Infrastructure!J$12)^2+($S1541-Infrastructure!K$12)^2)</f>
        <v>59.51890456</v>
      </c>
      <c r="BF1541" s="330">
        <f t="shared" si="161"/>
        <v>5.10881591</v>
      </c>
      <c r="BG1541" s="333">
        <f t="shared" si="162"/>
        <v>59.51890456</v>
      </c>
      <c r="BH1541" s="1119"/>
      <c r="BI1541" s="319"/>
      <c r="BJ1541" s="319"/>
      <c r="BK1541" s="319"/>
      <c r="BL1541" s="319"/>
      <c r="BM1541" s="319"/>
      <c r="BN1541" s="319"/>
      <c r="BO1541" s="319"/>
      <c r="BP1541" s="953"/>
      <c r="BQ1541" s="319"/>
      <c r="BR1541" s="319"/>
      <c r="BS1541" s="330">
        <f t="shared" si="169"/>
        <v>0</v>
      </c>
      <c r="BT1541" s="331">
        <f t="shared" si="170"/>
        <v>0</v>
      </c>
      <c r="BU1541" s="920"/>
      <c r="BV1541" s="903">
        <f t="shared" si="171"/>
        <v>-0.6887731481</v>
      </c>
      <c r="BW1541" s="907"/>
      <c r="BX1541" s="908"/>
      <c r="BY1541" s="331"/>
      <c r="BZ1541" s="340"/>
      <c r="CA1541" s="316"/>
      <c r="CB1541" s="318"/>
      <c r="CC1541" s="318"/>
      <c r="CD1541" s="318"/>
      <c r="CE1541" s="318"/>
      <c r="CF1541" s="318"/>
      <c r="CG1541" s="318"/>
      <c r="CH1541" s="318"/>
      <c r="CI1541" s="318"/>
      <c r="CJ1541" s="463"/>
      <c r="CK1541" s="342"/>
      <c r="CL1541" s="333"/>
      <c r="CM1541" s="1079"/>
      <c r="CN1541" s="1005"/>
      <c r="CO1541" s="1005"/>
      <c r="CP1541" s="1005"/>
    </row>
    <row r="1542">
      <c r="A1542" s="634"/>
      <c r="B1542" s="1121" t="s">
        <v>1755</v>
      </c>
      <c r="C1542" s="1122">
        <v>44855.0</v>
      </c>
      <c r="D1542" s="1123"/>
      <c r="E1542" s="1124"/>
      <c r="F1542" s="108" t="s">
        <v>2228</v>
      </c>
      <c r="G1542" s="1126">
        <v>0.6907407407407408</v>
      </c>
      <c r="H1542" s="1126"/>
      <c r="I1542" s="1126"/>
      <c r="J1542" s="1127"/>
      <c r="K1542" s="1127">
        <v>0.6918402777777778</v>
      </c>
      <c r="L1542" s="1128">
        <v>0.001099537037037037</v>
      </c>
      <c r="M1542" s="1129" t="s">
        <v>358</v>
      </c>
      <c r="N1542" s="100" t="s">
        <v>188</v>
      </c>
      <c r="O1542" s="1131"/>
      <c r="P1542" s="1131" t="s">
        <v>294</v>
      </c>
      <c r="Q1542" s="1131"/>
      <c r="R1542" s="137"/>
      <c r="S1542" s="1129"/>
      <c r="T1542" s="100"/>
      <c r="U1542" s="1124"/>
      <c r="V1542" s="1124"/>
      <c r="W1542" s="1124"/>
      <c r="X1542" s="1124"/>
      <c r="Y1542" s="1124"/>
      <c r="Z1542" s="1130" t="s">
        <v>323</v>
      </c>
      <c r="AA1542" s="1130"/>
      <c r="AB1542" s="1130" t="s">
        <v>323</v>
      </c>
      <c r="AC1542" s="1133" t="s">
        <v>323</v>
      </c>
      <c r="AD1542" s="1131"/>
      <c r="AE1542" s="1131"/>
      <c r="AF1542" s="1131"/>
      <c r="AG1542" s="1131"/>
      <c r="AH1542" s="1131"/>
      <c r="AI1542" s="1131"/>
      <c r="AJ1542" s="1133"/>
      <c r="AK1542" s="1134"/>
      <c r="AL1542" s="1131"/>
      <c r="AM1542" s="1131"/>
      <c r="AN1542" s="1131"/>
      <c r="AO1542" s="1131"/>
      <c r="AP1542" s="1131"/>
      <c r="AQ1542" s="1131"/>
      <c r="AR1542" s="1131"/>
      <c r="AS1542" s="1133"/>
      <c r="AT1542" s="1088"/>
      <c r="AU1542" s="1194"/>
      <c r="AV1542" s="330">
        <f>SQRT(($R1542-Infrastructure!J$3)^2+($S1542-Infrastructure!K$3)^2)</f>
        <v>28.90155705</v>
      </c>
      <c r="AW1542" s="331">
        <f>SQRT(($R1542-Infrastructure!J$4)^2+($S1542-Infrastructure!K$4)^2)</f>
        <v>17.80252791</v>
      </c>
      <c r="AX1542" s="331">
        <f>SQRT(($R1542-Infrastructure!J$5)^2+($S1542-Infrastructure!K$5)^2)</f>
        <v>5.10881591</v>
      </c>
      <c r="AY1542" s="331">
        <f>SQRT(($R1542-Infrastructure!J$6)^2+($S1542-Infrastructure!K$6)^2)</f>
        <v>10.10445446</v>
      </c>
      <c r="AZ1542" s="331">
        <f>SQRT(($R1542-Infrastructure!J$7)^2+($S1542-Infrastructure!K$7)^2)</f>
        <v>20.502195</v>
      </c>
      <c r="BA1542" s="331">
        <f>SQRT(($R1542-Infrastructure!J$8)^2+($S1542-Infrastructure!K$8)^2)</f>
        <v>30.10149498</v>
      </c>
      <c r="BB1542" s="331">
        <f>SQRT(($R1542-Infrastructure!J$9)^2+($S1542-Infrastructure!K$9)^2)</f>
        <v>40.3238143</v>
      </c>
      <c r="BC1542" s="331">
        <f>SQRT(($R1542-Infrastructure!J$10)^2+($S1542-Infrastructure!K$10)^2)</f>
        <v>42.72001873</v>
      </c>
      <c r="BD1542" s="331">
        <f>SQRT(($R1542-Infrastructure!J$11)^2+($S1542-Infrastructure!K$11)^2)</f>
        <v>49.56853841</v>
      </c>
      <c r="BE1542" s="333">
        <f>SQRT(($R1542-Infrastructure!J$12)^2+($S1542-Infrastructure!K$12)^2)</f>
        <v>59.51890456</v>
      </c>
      <c r="BF1542" s="330">
        <f t="shared" si="161"/>
        <v>5.10881591</v>
      </c>
      <c r="BG1542" s="333">
        <f t="shared" si="162"/>
        <v>59.51890456</v>
      </c>
      <c r="BH1542" s="1135"/>
      <c r="BI1542" s="663"/>
      <c r="BJ1542" s="663"/>
      <c r="BK1542" s="663"/>
      <c r="BL1542" s="663"/>
      <c r="BM1542" s="663"/>
      <c r="BN1542" s="663"/>
      <c r="BO1542" s="663"/>
      <c r="BP1542" s="958"/>
      <c r="BQ1542" s="663"/>
      <c r="BR1542" s="663"/>
      <c r="BS1542" s="330">
        <f t="shared" si="169"/>
        <v>0</v>
      </c>
      <c r="BT1542" s="331">
        <f t="shared" si="170"/>
        <v>0</v>
      </c>
      <c r="BU1542" s="920"/>
      <c r="BV1542" s="903">
        <f t="shared" si="171"/>
        <v>-0.6907407407</v>
      </c>
      <c r="BW1542" s="938"/>
      <c r="BX1542" s="939"/>
      <c r="BY1542" s="641"/>
      <c r="BZ1542" s="742"/>
      <c r="CA1542" s="639"/>
      <c r="CB1542" s="640"/>
      <c r="CC1542" s="640"/>
      <c r="CD1542" s="640"/>
      <c r="CE1542" s="640"/>
      <c r="CF1542" s="640"/>
      <c r="CG1542" s="640"/>
      <c r="CH1542" s="640"/>
      <c r="CI1542" s="640"/>
      <c r="CJ1542" s="785"/>
      <c r="CK1542" s="743"/>
      <c r="CL1542" s="642"/>
      <c r="CM1542" s="1090"/>
      <c r="CN1542" s="1005"/>
      <c r="CO1542" s="1005"/>
      <c r="CP1542" s="1005"/>
    </row>
    <row r="1543">
      <c r="A1543" s="1162" t="s">
        <v>87</v>
      </c>
      <c r="B1543" s="1106" t="s">
        <v>1761</v>
      </c>
      <c r="C1543" s="1107">
        <v>44867.0</v>
      </c>
      <c r="D1543" s="103"/>
      <c r="E1543" s="1108">
        <v>1.0</v>
      </c>
      <c r="F1543" s="112" t="s">
        <v>2229</v>
      </c>
      <c r="G1543" s="1110">
        <v>0.43559027777777776</v>
      </c>
      <c r="H1543" s="1110">
        <v>0.4362847222222222</v>
      </c>
      <c r="I1543" s="1110"/>
      <c r="J1543" s="1111"/>
      <c r="K1543" s="1111">
        <v>0.4378472222222222</v>
      </c>
      <c r="L1543" s="1112">
        <v>0.0015625</v>
      </c>
      <c r="M1543" s="1113" t="s">
        <v>166</v>
      </c>
      <c r="N1543" s="110" t="s">
        <v>188</v>
      </c>
      <c r="O1543" s="1115" t="s">
        <v>196</v>
      </c>
      <c r="P1543" s="1115" t="s">
        <v>224</v>
      </c>
      <c r="Q1543" s="1115"/>
      <c r="R1543" s="120">
        <v>21.7</v>
      </c>
      <c r="S1543" s="1113">
        <v>39.5</v>
      </c>
      <c r="T1543" s="110">
        <v>1.3</v>
      </c>
      <c r="U1543" s="1108">
        <v>25.0</v>
      </c>
      <c r="V1543" s="1108"/>
      <c r="W1543" s="1108"/>
      <c r="X1543" s="1108"/>
      <c r="Y1543" s="1108"/>
      <c r="Z1543" s="1114" t="s">
        <v>387</v>
      </c>
      <c r="AA1543" s="1114"/>
      <c r="AB1543" s="1114" t="s">
        <v>416</v>
      </c>
      <c r="AC1543" s="1117">
        <v>52.5</v>
      </c>
      <c r="AD1543" s="1115"/>
      <c r="AE1543" s="1115"/>
      <c r="AF1543" s="1115"/>
      <c r="AG1543" s="1115"/>
      <c r="AH1543" s="1115"/>
      <c r="AI1543" s="1115"/>
      <c r="AJ1543" s="1117"/>
      <c r="AK1543" s="1118"/>
      <c r="AL1543" s="1115"/>
      <c r="AM1543" s="1115"/>
      <c r="AN1543" s="1115"/>
      <c r="AO1543" s="1115"/>
      <c r="AP1543" s="1115"/>
      <c r="AQ1543" s="1115"/>
      <c r="AR1543" s="1115"/>
      <c r="AS1543" s="1117"/>
      <c r="AT1543" s="1196" t="s">
        <v>183</v>
      </c>
      <c r="AU1543" s="1193" t="s">
        <v>845</v>
      </c>
      <c r="AV1543" s="330">
        <f>SQRT(($R1543-Infrastructure!J$3)^2+($S1543-Infrastructure!K$3)^2)</f>
        <v>24.42048321</v>
      </c>
      <c r="AW1543" s="331">
        <f>SQRT(($R1543-Infrastructure!J$4)^2+($S1543-Infrastructure!K$4)^2)</f>
        <v>30.90129447</v>
      </c>
      <c r="AX1543" s="331">
        <f>SQRT(($R1543-Infrastructure!J$5)^2+($S1543-Infrastructure!K$5)^2)</f>
        <v>40.83331973</v>
      </c>
      <c r="AY1543" s="331">
        <f>SQRT(($R1543-Infrastructure!J$6)^2+($S1543-Infrastructure!K$6)^2)</f>
        <v>40.88031311</v>
      </c>
      <c r="AZ1543" s="331">
        <f>SQRT(($R1543-Infrastructure!J$7)^2+($S1543-Infrastructure!K$7)^2)</f>
        <v>39.21836305</v>
      </c>
      <c r="BA1543" s="331">
        <f>SQRT(($R1543-Infrastructure!J$8)^2+($S1543-Infrastructure!K$8)^2)</f>
        <v>40.08989898</v>
      </c>
      <c r="BB1543" s="331">
        <f>SQRT(($R1543-Infrastructure!J$9)^2+($S1543-Infrastructure!K$9)^2)</f>
        <v>38.96472764</v>
      </c>
      <c r="BC1543" s="331">
        <f>SQRT(($R1543-Infrastructure!J$10)^2+($S1543-Infrastructure!K$10)^2)</f>
        <v>30.58005886</v>
      </c>
      <c r="BD1543" s="331">
        <f>SQRT(($R1543-Infrastructure!J$11)^2+($S1543-Infrastructure!K$11)^2)</f>
        <v>21.27204739</v>
      </c>
      <c r="BE1543" s="333">
        <f>SQRT(($R1543-Infrastructure!J$12)^2+($S1543-Infrastructure!K$12)^2)</f>
        <v>16.00124995</v>
      </c>
      <c r="BF1543" s="330">
        <f t="shared" si="161"/>
        <v>16.00124995</v>
      </c>
      <c r="BG1543" s="333">
        <f t="shared" si="162"/>
        <v>40.88031311</v>
      </c>
      <c r="BH1543" s="1119"/>
      <c r="BI1543" s="319"/>
      <c r="BJ1543" s="319"/>
      <c r="BK1543" s="319"/>
      <c r="BL1543" s="319"/>
      <c r="BM1543" s="319"/>
      <c r="BN1543" s="319"/>
      <c r="BO1543" s="319"/>
      <c r="BP1543" s="953"/>
      <c r="BQ1543" s="319"/>
      <c r="BR1543" s="319"/>
      <c r="BS1543" s="405">
        <f t="shared" si="169"/>
        <v>0</v>
      </c>
      <c r="BT1543" s="406">
        <f t="shared" si="170"/>
        <v>0</v>
      </c>
      <c r="BU1543" s="931"/>
      <c r="BV1543" s="901">
        <f t="shared" si="171"/>
        <v>-0.4355902778</v>
      </c>
      <c r="BW1543" s="907"/>
      <c r="BX1543" s="908"/>
      <c r="BY1543" s="331"/>
      <c r="BZ1543" s="340"/>
      <c r="CA1543" s="316"/>
      <c r="CB1543" s="318"/>
      <c r="CC1543" s="318"/>
      <c r="CD1543" s="318"/>
      <c r="CE1543" s="318"/>
      <c r="CF1543" s="318"/>
      <c r="CG1543" s="318"/>
      <c r="CH1543" s="318"/>
      <c r="CI1543" s="318"/>
      <c r="CJ1543" s="463"/>
      <c r="CK1543" s="342"/>
      <c r="CL1543" s="333"/>
      <c r="CM1543" s="1079"/>
      <c r="CN1543" s="1005"/>
      <c r="CO1543" s="1005"/>
      <c r="CP1543" s="1005"/>
    </row>
    <row r="1544">
      <c r="B1544" s="1106" t="s">
        <v>1761</v>
      </c>
      <c r="C1544" s="1107">
        <v>44867.0</v>
      </c>
      <c r="D1544" s="103"/>
      <c r="E1544" s="1108">
        <v>2.0</v>
      </c>
      <c r="F1544" s="112" t="s">
        <v>2230</v>
      </c>
      <c r="G1544" s="1110">
        <v>0.4390625</v>
      </c>
      <c r="H1544" s="1110">
        <v>0.4398726851851852</v>
      </c>
      <c r="I1544" s="1110"/>
      <c r="J1544" s="1111"/>
      <c r="K1544" s="1111">
        <v>0.44131944444444443</v>
      </c>
      <c r="L1544" s="1112">
        <v>0.0014467592592592592</v>
      </c>
      <c r="M1544" s="1113" t="s">
        <v>166</v>
      </c>
      <c r="N1544" s="110" t="s">
        <v>188</v>
      </c>
      <c r="O1544" s="1115" t="s">
        <v>196</v>
      </c>
      <c r="P1544" s="1115" t="s">
        <v>224</v>
      </c>
      <c r="Q1544" s="1115"/>
      <c r="R1544" s="120">
        <v>21.7</v>
      </c>
      <c r="S1544" s="1113">
        <v>39.5</v>
      </c>
      <c r="T1544" s="110">
        <v>1.3</v>
      </c>
      <c r="U1544" s="1108">
        <v>50.0</v>
      </c>
      <c r="V1544" s="1108"/>
      <c r="W1544" s="1108"/>
      <c r="X1544" s="1108"/>
      <c r="Y1544" s="1108"/>
      <c r="Z1544" s="1114" t="s">
        <v>387</v>
      </c>
      <c r="AA1544" s="1114"/>
      <c r="AB1544" s="1114" t="s">
        <v>416</v>
      </c>
      <c r="AC1544" s="1117">
        <v>52.5</v>
      </c>
      <c r="AD1544" s="1115"/>
      <c r="AE1544" s="1115"/>
      <c r="AF1544" s="1115"/>
      <c r="AG1544" s="1115"/>
      <c r="AH1544" s="1115"/>
      <c r="AI1544" s="1115"/>
      <c r="AJ1544" s="1117"/>
      <c r="AK1544" s="1118"/>
      <c r="AL1544" s="1115"/>
      <c r="AM1544" s="1115"/>
      <c r="AN1544" s="1115"/>
      <c r="AO1544" s="1115"/>
      <c r="AP1544" s="1115"/>
      <c r="AQ1544" s="1115"/>
      <c r="AR1544" s="1115"/>
      <c r="AS1544" s="1117"/>
      <c r="AT1544" s="1196" t="s">
        <v>183</v>
      </c>
      <c r="AU1544" s="1193" t="s">
        <v>845</v>
      </c>
      <c r="AV1544" s="330">
        <f>SQRT(($R1544-Infrastructure!J$3)^2+($S1544-Infrastructure!K$3)^2)</f>
        <v>24.42048321</v>
      </c>
      <c r="AW1544" s="331">
        <f>SQRT(($R1544-Infrastructure!J$4)^2+($S1544-Infrastructure!K$4)^2)</f>
        <v>30.90129447</v>
      </c>
      <c r="AX1544" s="331">
        <f>SQRT(($R1544-Infrastructure!J$5)^2+($S1544-Infrastructure!K$5)^2)</f>
        <v>40.83331973</v>
      </c>
      <c r="AY1544" s="331">
        <f>SQRT(($R1544-Infrastructure!J$6)^2+($S1544-Infrastructure!K$6)^2)</f>
        <v>40.88031311</v>
      </c>
      <c r="AZ1544" s="331">
        <f>SQRT(($R1544-Infrastructure!J$7)^2+($S1544-Infrastructure!K$7)^2)</f>
        <v>39.21836305</v>
      </c>
      <c r="BA1544" s="331">
        <f>SQRT(($R1544-Infrastructure!J$8)^2+($S1544-Infrastructure!K$8)^2)</f>
        <v>40.08989898</v>
      </c>
      <c r="BB1544" s="331">
        <f>SQRT(($R1544-Infrastructure!J$9)^2+($S1544-Infrastructure!K$9)^2)</f>
        <v>38.96472764</v>
      </c>
      <c r="BC1544" s="331">
        <f>SQRT(($R1544-Infrastructure!J$10)^2+($S1544-Infrastructure!K$10)^2)</f>
        <v>30.58005886</v>
      </c>
      <c r="BD1544" s="331">
        <f>SQRT(($R1544-Infrastructure!J$11)^2+($S1544-Infrastructure!K$11)^2)</f>
        <v>21.27204739</v>
      </c>
      <c r="BE1544" s="333">
        <f>SQRT(($R1544-Infrastructure!J$12)^2+($S1544-Infrastructure!K$12)^2)</f>
        <v>16.00124995</v>
      </c>
      <c r="BF1544" s="330">
        <f t="shared" si="161"/>
        <v>16.00124995</v>
      </c>
      <c r="BG1544" s="333">
        <f t="shared" si="162"/>
        <v>40.88031311</v>
      </c>
      <c r="BH1544" s="1119"/>
      <c r="BI1544" s="319"/>
      <c r="BJ1544" s="319"/>
      <c r="BK1544" s="319"/>
      <c r="BL1544" s="319"/>
      <c r="BM1544" s="319"/>
      <c r="BN1544" s="319"/>
      <c r="BO1544" s="319"/>
      <c r="BP1544" s="953"/>
      <c r="BQ1544" s="319"/>
      <c r="BR1544" s="319"/>
      <c r="BS1544" s="330">
        <f t="shared" si="169"/>
        <v>0</v>
      </c>
      <c r="BT1544" s="331">
        <f t="shared" si="170"/>
        <v>0</v>
      </c>
      <c r="BU1544" s="920"/>
      <c r="BV1544" s="903">
        <f t="shared" si="171"/>
        <v>-0.4390625</v>
      </c>
      <c r="BW1544" s="907"/>
      <c r="BX1544" s="908"/>
      <c r="BY1544" s="331"/>
      <c r="BZ1544" s="340"/>
      <c r="CA1544" s="316"/>
      <c r="CB1544" s="318"/>
      <c r="CC1544" s="318"/>
      <c r="CD1544" s="318"/>
      <c r="CE1544" s="318"/>
      <c r="CF1544" s="318"/>
      <c r="CG1544" s="318"/>
      <c r="CH1544" s="318"/>
      <c r="CI1544" s="318"/>
      <c r="CJ1544" s="463"/>
      <c r="CK1544" s="342"/>
      <c r="CL1544" s="333"/>
      <c r="CM1544" s="1079"/>
      <c r="CN1544" s="1005"/>
      <c r="CO1544" s="1005"/>
      <c r="CP1544" s="1005"/>
    </row>
    <row r="1545">
      <c r="B1545" s="1106" t="s">
        <v>1761</v>
      </c>
      <c r="C1545" s="1107">
        <v>44867.0</v>
      </c>
      <c r="D1545" s="103"/>
      <c r="E1545" s="1108"/>
      <c r="F1545" s="112" t="s">
        <v>2231</v>
      </c>
      <c r="G1545" s="1110">
        <v>0.4444444444444444</v>
      </c>
      <c r="H1545" s="1110"/>
      <c r="I1545" s="1110"/>
      <c r="J1545" s="1111"/>
      <c r="K1545" s="1111">
        <v>0.4513888888888889</v>
      </c>
      <c r="L1545" s="1112">
        <v>0.006944444444444444</v>
      </c>
      <c r="M1545" s="1113" t="s">
        <v>166</v>
      </c>
      <c r="N1545" s="110" t="s">
        <v>188</v>
      </c>
      <c r="O1545" s="1115"/>
      <c r="P1545" s="1115" t="s">
        <v>292</v>
      </c>
      <c r="Q1545" s="1115"/>
      <c r="R1545" s="120"/>
      <c r="S1545" s="1113"/>
      <c r="T1545" s="110"/>
      <c r="U1545" s="1108"/>
      <c r="V1545" s="1108"/>
      <c r="W1545" s="1108"/>
      <c r="X1545" s="1108"/>
      <c r="Y1545" s="1108"/>
      <c r="Z1545" s="1114" t="s">
        <v>323</v>
      </c>
      <c r="AA1545" s="1114"/>
      <c r="AB1545" s="1114" t="s">
        <v>323</v>
      </c>
      <c r="AC1545" s="1117" t="s">
        <v>323</v>
      </c>
      <c r="AD1545" s="1115"/>
      <c r="AE1545" s="1115"/>
      <c r="AF1545" s="1115"/>
      <c r="AG1545" s="1115"/>
      <c r="AH1545" s="1115"/>
      <c r="AI1545" s="1115"/>
      <c r="AJ1545" s="1117"/>
      <c r="AK1545" s="1118"/>
      <c r="AL1545" s="1115"/>
      <c r="AM1545" s="1115"/>
      <c r="AN1545" s="1115"/>
      <c r="AO1545" s="1115"/>
      <c r="AP1545" s="1115"/>
      <c r="AQ1545" s="1115"/>
      <c r="AR1545" s="1115"/>
      <c r="AS1545" s="1117"/>
      <c r="AT1545" s="1196"/>
      <c r="AU1545" s="1193"/>
      <c r="AV1545" s="330">
        <f>SQRT(($R1545-Infrastructure!J$3)^2+($S1545-Infrastructure!K$3)^2)</f>
        <v>28.90155705</v>
      </c>
      <c r="AW1545" s="331">
        <f>SQRT(($R1545-Infrastructure!J$4)^2+($S1545-Infrastructure!K$4)^2)</f>
        <v>17.80252791</v>
      </c>
      <c r="AX1545" s="331">
        <f>SQRT(($R1545-Infrastructure!J$5)^2+($S1545-Infrastructure!K$5)^2)</f>
        <v>5.10881591</v>
      </c>
      <c r="AY1545" s="331">
        <f>SQRT(($R1545-Infrastructure!J$6)^2+($S1545-Infrastructure!K$6)^2)</f>
        <v>10.10445446</v>
      </c>
      <c r="AZ1545" s="331">
        <f>SQRT(($R1545-Infrastructure!J$7)^2+($S1545-Infrastructure!K$7)^2)</f>
        <v>20.502195</v>
      </c>
      <c r="BA1545" s="331">
        <f>SQRT(($R1545-Infrastructure!J$8)^2+($S1545-Infrastructure!K$8)^2)</f>
        <v>30.10149498</v>
      </c>
      <c r="BB1545" s="331">
        <f>SQRT(($R1545-Infrastructure!J$9)^2+($S1545-Infrastructure!K$9)^2)</f>
        <v>40.3238143</v>
      </c>
      <c r="BC1545" s="331">
        <f>SQRT(($R1545-Infrastructure!J$10)^2+($S1545-Infrastructure!K$10)^2)</f>
        <v>42.72001873</v>
      </c>
      <c r="BD1545" s="331">
        <f>SQRT(($R1545-Infrastructure!J$11)^2+($S1545-Infrastructure!K$11)^2)</f>
        <v>49.56853841</v>
      </c>
      <c r="BE1545" s="333">
        <f>SQRT(($R1545-Infrastructure!J$12)^2+($S1545-Infrastructure!K$12)^2)</f>
        <v>59.51890456</v>
      </c>
      <c r="BF1545" s="330">
        <f t="shared" si="161"/>
        <v>5.10881591</v>
      </c>
      <c r="BG1545" s="333">
        <f t="shared" si="162"/>
        <v>59.51890456</v>
      </c>
      <c r="BH1545" s="1119"/>
      <c r="BI1545" s="319"/>
      <c r="BJ1545" s="319"/>
      <c r="BK1545" s="319"/>
      <c r="BL1545" s="319"/>
      <c r="BM1545" s="319"/>
      <c r="BN1545" s="319"/>
      <c r="BO1545" s="319"/>
      <c r="BP1545" s="953"/>
      <c r="BQ1545" s="319"/>
      <c r="BR1545" s="319"/>
      <c r="BS1545" s="330">
        <f t="shared" si="169"/>
        <v>0</v>
      </c>
      <c r="BT1545" s="331">
        <f t="shared" si="170"/>
        <v>0</v>
      </c>
      <c r="BU1545" s="920"/>
      <c r="BV1545" s="903">
        <f t="shared" si="171"/>
        <v>-0.4444444444</v>
      </c>
      <c r="BW1545" s="907"/>
      <c r="BX1545" s="908"/>
      <c r="BY1545" s="331"/>
      <c r="BZ1545" s="340"/>
      <c r="CA1545" s="316"/>
      <c r="CB1545" s="318"/>
      <c r="CC1545" s="318"/>
      <c r="CD1545" s="318"/>
      <c r="CE1545" s="318"/>
      <c r="CF1545" s="318"/>
      <c r="CG1545" s="318"/>
      <c r="CH1545" s="318"/>
      <c r="CI1545" s="318"/>
      <c r="CJ1545" s="463"/>
      <c r="CK1545" s="342"/>
      <c r="CL1545" s="333"/>
      <c r="CM1545" s="1079"/>
      <c r="CN1545" s="1005"/>
      <c r="CO1545" s="1005"/>
      <c r="CP1545" s="1005"/>
    </row>
    <row r="1546">
      <c r="B1546" s="1106" t="s">
        <v>1761</v>
      </c>
      <c r="C1546" s="1107">
        <v>44867.0</v>
      </c>
      <c r="D1546" s="103"/>
      <c r="E1546" s="1108">
        <v>3.0</v>
      </c>
      <c r="F1546" s="112" t="s">
        <v>2232</v>
      </c>
      <c r="G1546" s="1110">
        <v>0.5825231481481481</v>
      </c>
      <c r="H1546" s="1110">
        <v>0.583275462962963</v>
      </c>
      <c r="I1546" s="1110"/>
      <c r="J1546" s="1111"/>
      <c r="K1546" s="1111">
        <v>0.5844328703703704</v>
      </c>
      <c r="L1546" s="1112">
        <v>0.0011574074074074073</v>
      </c>
      <c r="M1546" s="1113" t="s">
        <v>358</v>
      </c>
      <c r="N1546" s="110" t="s">
        <v>188</v>
      </c>
      <c r="O1546" s="1115" t="s">
        <v>196</v>
      </c>
      <c r="P1546" s="1115" t="s">
        <v>224</v>
      </c>
      <c r="Q1546" s="1115"/>
      <c r="R1546" s="120">
        <v>21.7</v>
      </c>
      <c r="S1546" s="1113">
        <v>39.5</v>
      </c>
      <c r="T1546" s="110">
        <v>1.3</v>
      </c>
      <c r="U1546" s="1108">
        <v>50.0</v>
      </c>
      <c r="V1546" s="1108"/>
      <c r="W1546" s="1108"/>
      <c r="X1546" s="1108"/>
      <c r="Y1546" s="1108"/>
      <c r="Z1546" s="1114" t="s">
        <v>387</v>
      </c>
      <c r="AA1546" s="1114"/>
      <c r="AB1546" s="1114" t="s">
        <v>422</v>
      </c>
      <c r="AC1546" s="1117">
        <v>102.3</v>
      </c>
      <c r="AD1546" s="1115"/>
      <c r="AE1546" s="1115"/>
      <c r="AF1546" s="1115"/>
      <c r="AG1546" s="1115"/>
      <c r="AH1546" s="1115"/>
      <c r="AI1546" s="1115"/>
      <c r="AJ1546" s="1117"/>
      <c r="AK1546" s="1118"/>
      <c r="AL1546" s="1115"/>
      <c r="AM1546" s="1115"/>
      <c r="AN1546" s="1115"/>
      <c r="AO1546" s="1115"/>
      <c r="AP1546" s="1115"/>
      <c r="AQ1546" s="1115"/>
      <c r="AR1546" s="1115"/>
      <c r="AS1546" s="1117"/>
      <c r="AT1546" s="1196" t="s">
        <v>183</v>
      </c>
      <c r="AU1546" s="1193" t="s">
        <v>845</v>
      </c>
      <c r="AV1546" s="330">
        <f>SQRT(($R1546-Infrastructure!J$3)^2+($S1546-Infrastructure!K$3)^2)</f>
        <v>24.42048321</v>
      </c>
      <c r="AW1546" s="331">
        <f>SQRT(($R1546-Infrastructure!J$4)^2+($S1546-Infrastructure!K$4)^2)</f>
        <v>30.90129447</v>
      </c>
      <c r="AX1546" s="331">
        <f>SQRT(($R1546-Infrastructure!J$5)^2+($S1546-Infrastructure!K$5)^2)</f>
        <v>40.83331973</v>
      </c>
      <c r="AY1546" s="331">
        <f>SQRT(($R1546-Infrastructure!J$6)^2+($S1546-Infrastructure!K$6)^2)</f>
        <v>40.88031311</v>
      </c>
      <c r="AZ1546" s="331">
        <f>SQRT(($R1546-Infrastructure!J$7)^2+($S1546-Infrastructure!K$7)^2)</f>
        <v>39.21836305</v>
      </c>
      <c r="BA1546" s="331">
        <f>SQRT(($R1546-Infrastructure!J$8)^2+($S1546-Infrastructure!K$8)^2)</f>
        <v>40.08989898</v>
      </c>
      <c r="BB1546" s="331">
        <f>SQRT(($R1546-Infrastructure!J$9)^2+($S1546-Infrastructure!K$9)^2)</f>
        <v>38.96472764</v>
      </c>
      <c r="BC1546" s="331">
        <f>SQRT(($R1546-Infrastructure!J$10)^2+($S1546-Infrastructure!K$10)^2)</f>
        <v>30.58005886</v>
      </c>
      <c r="BD1546" s="331">
        <f>SQRT(($R1546-Infrastructure!J$11)^2+($S1546-Infrastructure!K$11)^2)</f>
        <v>21.27204739</v>
      </c>
      <c r="BE1546" s="333">
        <f>SQRT(($R1546-Infrastructure!J$12)^2+($S1546-Infrastructure!K$12)^2)</f>
        <v>16.00124995</v>
      </c>
      <c r="BF1546" s="330">
        <f t="shared" si="161"/>
        <v>16.00124995</v>
      </c>
      <c r="BG1546" s="333">
        <f t="shared" si="162"/>
        <v>40.88031311</v>
      </c>
      <c r="BH1546" s="1119"/>
      <c r="BI1546" s="319"/>
      <c r="BJ1546" s="319"/>
      <c r="BK1546" s="319"/>
      <c r="BL1546" s="319"/>
      <c r="BM1546" s="319"/>
      <c r="BN1546" s="319"/>
      <c r="BO1546" s="319"/>
      <c r="BP1546" s="953"/>
      <c r="BQ1546" s="319"/>
      <c r="BR1546" s="319"/>
      <c r="BS1546" s="330">
        <f t="shared" si="169"/>
        <v>0</v>
      </c>
      <c r="BT1546" s="331">
        <f t="shared" si="170"/>
        <v>0</v>
      </c>
      <c r="BU1546" s="920"/>
      <c r="BV1546" s="903">
        <f t="shared" si="171"/>
        <v>-0.5825231481</v>
      </c>
      <c r="BW1546" s="907"/>
      <c r="BX1546" s="908"/>
      <c r="BY1546" s="331"/>
      <c r="BZ1546" s="340"/>
      <c r="CA1546" s="316"/>
      <c r="CB1546" s="318"/>
      <c r="CC1546" s="318"/>
      <c r="CD1546" s="318"/>
      <c r="CE1546" s="318"/>
      <c r="CF1546" s="318"/>
      <c r="CG1546" s="318"/>
      <c r="CH1546" s="318"/>
      <c r="CI1546" s="318"/>
      <c r="CJ1546" s="463"/>
      <c r="CK1546" s="342"/>
      <c r="CL1546" s="333"/>
      <c r="CM1546" s="1079"/>
      <c r="CN1546" s="1005"/>
      <c r="CO1546" s="1005"/>
      <c r="CP1546" s="1005"/>
    </row>
    <row r="1547">
      <c r="B1547" s="1106" t="s">
        <v>1761</v>
      </c>
      <c r="C1547" s="1107">
        <v>44867.0</v>
      </c>
      <c r="D1547" s="103"/>
      <c r="E1547" s="1108">
        <v>4.0</v>
      </c>
      <c r="F1547" s="112" t="s">
        <v>2233</v>
      </c>
      <c r="G1547" s="1110">
        <v>0.594849537037037</v>
      </c>
      <c r="H1547" s="1110">
        <v>0.5951388888888889</v>
      </c>
      <c r="I1547" s="1110"/>
      <c r="J1547" s="1111"/>
      <c r="K1547" s="1111">
        <v>0.596875</v>
      </c>
      <c r="L1547" s="1112">
        <v>0.001736111111111111</v>
      </c>
      <c r="M1547" s="1113" t="s">
        <v>358</v>
      </c>
      <c r="N1547" s="110" t="s">
        <v>188</v>
      </c>
      <c r="O1547" s="1115" t="s">
        <v>196</v>
      </c>
      <c r="P1547" s="1115" t="s">
        <v>224</v>
      </c>
      <c r="Q1547" s="1115"/>
      <c r="R1547" s="120">
        <v>21.7</v>
      </c>
      <c r="S1547" s="1113">
        <v>39.5</v>
      </c>
      <c r="T1547" s="110">
        <v>1.3</v>
      </c>
      <c r="U1547" s="1108">
        <v>100.0</v>
      </c>
      <c r="V1547" s="1108"/>
      <c r="W1547" s="1108"/>
      <c r="X1547" s="1108"/>
      <c r="Y1547" s="1108"/>
      <c r="Z1547" s="1114" t="s">
        <v>387</v>
      </c>
      <c r="AA1547" s="1114"/>
      <c r="AB1547" s="1114" t="s">
        <v>422</v>
      </c>
      <c r="AC1547" s="1117">
        <v>102.3</v>
      </c>
      <c r="AD1547" s="1115"/>
      <c r="AE1547" s="1115"/>
      <c r="AF1547" s="1115"/>
      <c r="AG1547" s="1115"/>
      <c r="AH1547" s="1115"/>
      <c r="AI1547" s="1115"/>
      <c r="AJ1547" s="1117"/>
      <c r="AK1547" s="1118"/>
      <c r="AL1547" s="1115"/>
      <c r="AM1547" s="1115"/>
      <c r="AN1547" s="1115"/>
      <c r="AO1547" s="1115"/>
      <c r="AP1547" s="1115"/>
      <c r="AQ1547" s="1115"/>
      <c r="AR1547" s="1115"/>
      <c r="AS1547" s="1117"/>
      <c r="AT1547" s="1196" t="s">
        <v>183</v>
      </c>
      <c r="AU1547" s="1193" t="s">
        <v>845</v>
      </c>
      <c r="AV1547" s="330">
        <f>SQRT(($R1547-Infrastructure!J$3)^2+($S1547-Infrastructure!K$3)^2)</f>
        <v>24.42048321</v>
      </c>
      <c r="AW1547" s="331">
        <f>SQRT(($R1547-Infrastructure!J$4)^2+($S1547-Infrastructure!K$4)^2)</f>
        <v>30.90129447</v>
      </c>
      <c r="AX1547" s="331">
        <f>SQRT(($R1547-Infrastructure!J$5)^2+($S1547-Infrastructure!K$5)^2)</f>
        <v>40.83331973</v>
      </c>
      <c r="AY1547" s="331">
        <f>SQRT(($R1547-Infrastructure!J$6)^2+($S1547-Infrastructure!K$6)^2)</f>
        <v>40.88031311</v>
      </c>
      <c r="AZ1547" s="331">
        <f>SQRT(($R1547-Infrastructure!J$7)^2+($S1547-Infrastructure!K$7)^2)</f>
        <v>39.21836305</v>
      </c>
      <c r="BA1547" s="331">
        <f>SQRT(($R1547-Infrastructure!J$8)^2+($S1547-Infrastructure!K$8)^2)</f>
        <v>40.08989898</v>
      </c>
      <c r="BB1547" s="331">
        <f>SQRT(($R1547-Infrastructure!J$9)^2+($S1547-Infrastructure!K$9)^2)</f>
        <v>38.96472764</v>
      </c>
      <c r="BC1547" s="331">
        <f>SQRT(($R1547-Infrastructure!J$10)^2+($S1547-Infrastructure!K$10)^2)</f>
        <v>30.58005886</v>
      </c>
      <c r="BD1547" s="331">
        <f>SQRT(($R1547-Infrastructure!J$11)^2+($S1547-Infrastructure!K$11)^2)</f>
        <v>21.27204739</v>
      </c>
      <c r="BE1547" s="333">
        <f>SQRT(($R1547-Infrastructure!J$12)^2+($S1547-Infrastructure!K$12)^2)</f>
        <v>16.00124995</v>
      </c>
      <c r="BF1547" s="330">
        <f t="shared" si="161"/>
        <v>16.00124995</v>
      </c>
      <c r="BG1547" s="333">
        <f t="shared" si="162"/>
        <v>40.88031311</v>
      </c>
      <c r="BH1547" s="1119"/>
      <c r="BI1547" s="319"/>
      <c r="BJ1547" s="319"/>
      <c r="BK1547" s="319"/>
      <c r="BL1547" s="319"/>
      <c r="BM1547" s="319"/>
      <c r="BN1547" s="319"/>
      <c r="BO1547" s="319"/>
      <c r="BP1547" s="953"/>
      <c r="BQ1547" s="319"/>
      <c r="BR1547" s="319"/>
      <c r="BS1547" s="330">
        <f t="shared" si="169"/>
        <v>0</v>
      </c>
      <c r="BT1547" s="331">
        <f t="shared" si="170"/>
        <v>0</v>
      </c>
      <c r="BU1547" s="920"/>
      <c r="BV1547" s="903">
        <f t="shared" si="171"/>
        <v>-0.594849537</v>
      </c>
      <c r="BW1547" s="907"/>
      <c r="BX1547" s="908"/>
      <c r="BY1547" s="331"/>
      <c r="BZ1547" s="340"/>
      <c r="CA1547" s="316"/>
      <c r="CB1547" s="318"/>
      <c r="CC1547" s="318"/>
      <c r="CD1547" s="318"/>
      <c r="CE1547" s="318"/>
      <c r="CF1547" s="318"/>
      <c r="CG1547" s="318"/>
      <c r="CH1547" s="318"/>
      <c r="CI1547" s="318"/>
      <c r="CJ1547" s="463"/>
      <c r="CK1547" s="342"/>
      <c r="CL1547" s="333"/>
      <c r="CM1547" s="1079"/>
      <c r="CN1547" s="1005"/>
      <c r="CO1547" s="1005"/>
      <c r="CP1547" s="1005"/>
    </row>
    <row r="1548">
      <c r="B1548" s="1106" t="s">
        <v>1761</v>
      </c>
      <c r="C1548" s="1107">
        <v>44867.0</v>
      </c>
      <c r="D1548" s="103"/>
      <c r="E1548" s="1108">
        <v>5.0</v>
      </c>
      <c r="F1548" s="112" t="s">
        <v>2234</v>
      </c>
      <c r="G1548" s="1110">
        <v>0.5975694444444445</v>
      </c>
      <c r="H1548" s="1110">
        <v>0.5979166666666667</v>
      </c>
      <c r="I1548" s="1110"/>
      <c r="J1548" s="1111"/>
      <c r="K1548" s="1111">
        <v>0.599363425925926</v>
      </c>
      <c r="L1548" s="1112">
        <v>0.0014467592592592592</v>
      </c>
      <c r="M1548" s="1113" t="s">
        <v>358</v>
      </c>
      <c r="N1548" s="110" t="s">
        <v>188</v>
      </c>
      <c r="O1548" s="1115" t="s">
        <v>196</v>
      </c>
      <c r="P1548" s="1115" t="s">
        <v>224</v>
      </c>
      <c r="Q1548" s="1115"/>
      <c r="R1548" s="120">
        <v>21.7</v>
      </c>
      <c r="S1548" s="1113">
        <v>39.5</v>
      </c>
      <c r="T1548" s="110">
        <v>1.3</v>
      </c>
      <c r="U1548" s="1108">
        <v>200.0</v>
      </c>
      <c r="V1548" s="1108"/>
      <c r="W1548" s="1108"/>
      <c r="X1548" s="1108"/>
      <c r="Y1548" s="1108"/>
      <c r="Z1548" s="1114" t="s">
        <v>387</v>
      </c>
      <c r="AA1548" s="1114"/>
      <c r="AB1548" s="1114" t="s">
        <v>422</v>
      </c>
      <c r="AC1548" s="1117">
        <v>102.3</v>
      </c>
      <c r="AD1548" s="1115"/>
      <c r="AE1548" s="1115"/>
      <c r="AF1548" s="1115"/>
      <c r="AG1548" s="1115"/>
      <c r="AH1548" s="1115"/>
      <c r="AI1548" s="1115"/>
      <c r="AJ1548" s="1117"/>
      <c r="AK1548" s="1118"/>
      <c r="AL1548" s="1115"/>
      <c r="AM1548" s="1115"/>
      <c r="AN1548" s="1115"/>
      <c r="AO1548" s="1115"/>
      <c r="AP1548" s="1115"/>
      <c r="AQ1548" s="1115"/>
      <c r="AR1548" s="1115"/>
      <c r="AS1548" s="1117"/>
      <c r="AT1548" s="1196" t="s">
        <v>183</v>
      </c>
      <c r="AU1548" s="1193" t="s">
        <v>845</v>
      </c>
      <c r="AV1548" s="330">
        <f>SQRT(($R1548-Infrastructure!J$3)^2+($S1548-Infrastructure!K$3)^2)</f>
        <v>24.42048321</v>
      </c>
      <c r="AW1548" s="331">
        <f>SQRT(($R1548-Infrastructure!J$4)^2+($S1548-Infrastructure!K$4)^2)</f>
        <v>30.90129447</v>
      </c>
      <c r="AX1548" s="331">
        <f>SQRT(($R1548-Infrastructure!J$5)^2+($S1548-Infrastructure!K$5)^2)</f>
        <v>40.83331973</v>
      </c>
      <c r="AY1548" s="331">
        <f>SQRT(($R1548-Infrastructure!J$6)^2+($S1548-Infrastructure!K$6)^2)</f>
        <v>40.88031311</v>
      </c>
      <c r="AZ1548" s="331">
        <f>SQRT(($R1548-Infrastructure!J$7)^2+($S1548-Infrastructure!K$7)^2)</f>
        <v>39.21836305</v>
      </c>
      <c r="BA1548" s="331">
        <f>SQRT(($R1548-Infrastructure!J$8)^2+($S1548-Infrastructure!K$8)^2)</f>
        <v>40.08989898</v>
      </c>
      <c r="BB1548" s="331">
        <f>SQRT(($R1548-Infrastructure!J$9)^2+($S1548-Infrastructure!K$9)^2)</f>
        <v>38.96472764</v>
      </c>
      <c r="BC1548" s="331">
        <f>SQRT(($R1548-Infrastructure!J$10)^2+($S1548-Infrastructure!K$10)^2)</f>
        <v>30.58005886</v>
      </c>
      <c r="BD1548" s="331">
        <f>SQRT(($R1548-Infrastructure!J$11)^2+($S1548-Infrastructure!K$11)^2)</f>
        <v>21.27204739</v>
      </c>
      <c r="BE1548" s="333">
        <f>SQRT(($R1548-Infrastructure!J$12)^2+($S1548-Infrastructure!K$12)^2)</f>
        <v>16.00124995</v>
      </c>
      <c r="BF1548" s="330">
        <f t="shared" si="161"/>
        <v>16.00124995</v>
      </c>
      <c r="BG1548" s="333">
        <f t="shared" si="162"/>
        <v>40.88031311</v>
      </c>
      <c r="BH1548" s="1119"/>
      <c r="BI1548" s="319"/>
      <c r="BJ1548" s="319"/>
      <c r="BK1548" s="319"/>
      <c r="BL1548" s="319"/>
      <c r="BM1548" s="319"/>
      <c r="BN1548" s="319"/>
      <c r="BO1548" s="319"/>
      <c r="BP1548" s="953"/>
      <c r="BQ1548" s="319"/>
      <c r="BR1548" s="319"/>
      <c r="BS1548" s="330">
        <f t="shared" si="169"/>
        <v>0</v>
      </c>
      <c r="BT1548" s="331">
        <f t="shared" si="170"/>
        <v>0</v>
      </c>
      <c r="BU1548" s="920"/>
      <c r="BV1548" s="903">
        <f t="shared" si="171"/>
        <v>-0.5975694444</v>
      </c>
      <c r="BW1548" s="907"/>
      <c r="BX1548" s="908"/>
      <c r="BY1548" s="331"/>
      <c r="BZ1548" s="340"/>
      <c r="CA1548" s="316"/>
      <c r="CB1548" s="318"/>
      <c r="CC1548" s="318"/>
      <c r="CD1548" s="318"/>
      <c r="CE1548" s="318"/>
      <c r="CF1548" s="318"/>
      <c r="CG1548" s="318"/>
      <c r="CH1548" s="318"/>
      <c r="CI1548" s="318"/>
      <c r="CJ1548" s="463"/>
      <c r="CK1548" s="342"/>
      <c r="CL1548" s="333"/>
      <c r="CM1548" s="1079"/>
      <c r="CN1548" s="1005"/>
      <c r="CO1548" s="1005"/>
      <c r="CP1548" s="1005"/>
    </row>
    <row r="1549">
      <c r="B1549" s="1106" t="s">
        <v>1761</v>
      </c>
      <c r="C1549" s="1107">
        <v>44867.0</v>
      </c>
      <c r="D1549" s="103"/>
      <c r="E1549" s="1108">
        <v>6.0</v>
      </c>
      <c r="F1549" s="112" t="s">
        <v>2235</v>
      </c>
      <c r="G1549" s="1110">
        <v>0.6074652777777778</v>
      </c>
      <c r="H1549" s="1110">
        <v>0.6077546296296297</v>
      </c>
      <c r="I1549" s="1110"/>
      <c r="J1549" s="1111"/>
      <c r="K1549" s="1111">
        <v>0.6091435185185186</v>
      </c>
      <c r="L1549" s="1112">
        <v>0.001388888888888889</v>
      </c>
      <c r="M1549" s="1113" t="s">
        <v>358</v>
      </c>
      <c r="N1549" s="110" t="s">
        <v>187</v>
      </c>
      <c r="O1549" s="1115" t="s">
        <v>323</v>
      </c>
      <c r="P1549" s="1115" t="s">
        <v>256</v>
      </c>
      <c r="Q1549" s="1115"/>
      <c r="R1549" s="120">
        <v>-5.0</v>
      </c>
      <c r="S1549" s="1113">
        <v>14.0</v>
      </c>
      <c r="T1549" s="110">
        <v>1.2</v>
      </c>
      <c r="U1549" s="1108">
        <v>8.0</v>
      </c>
      <c r="V1549" s="1108"/>
      <c r="W1549" s="1108"/>
      <c r="X1549" s="1108"/>
      <c r="Y1549" s="1108"/>
      <c r="Z1549" s="1114" t="s">
        <v>1983</v>
      </c>
      <c r="AA1549" s="1114"/>
      <c r="AB1549" s="1114" t="s">
        <v>337</v>
      </c>
      <c r="AC1549" s="1117">
        <v>2.5</v>
      </c>
      <c r="AD1549" s="1115"/>
      <c r="AE1549" s="1115"/>
      <c r="AF1549" s="1115"/>
      <c r="AG1549" s="1115"/>
      <c r="AH1549" s="1115"/>
      <c r="AI1549" s="1115"/>
      <c r="AJ1549" s="1117"/>
      <c r="AK1549" s="1118"/>
      <c r="AL1549" s="1115"/>
      <c r="AM1549" s="1115"/>
      <c r="AN1549" s="1115"/>
      <c r="AO1549" s="1115"/>
      <c r="AP1549" s="1115"/>
      <c r="AQ1549" s="1115"/>
      <c r="AR1549" s="1115"/>
      <c r="AS1549" s="1117"/>
      <c r="AT1549" s="1196" t="s">
        <v>182</v>
      </c>
      <c r="AU1549" s="1193" t="s">
        <v>845</v>
      </c>
      <c r="AV1549" s="330">
        <f>SQRT(($R1549-Infrastructure!J$3)^2+($S1549-Infrastructure!K$3)^2)</f>
        <v>15.62369995</v>
      </c>
      <c r="AW1549" s="331">
        <f>SQRT(($R1549-Infrastructure!J$4)^2+($S1549-Infrastructure!K$4)^2)</f>
        <v>6.044005295</v>
      </c>
      <c r="AX1549" s="331">
        <f>SQRT(($R1549-Infrastructure!J$5)^2+($S1549-Infrastructure!K$5)^2)</f>
        <v>10.06479011</v>
      </c>
      <c r="AY1549" s="331">
        <f>SQRT(($R1549-Infrastructure!J$6)^2+($S1549-Infrastructure!K$6)^2)</f>
        <v>20.38872237</v>
      </c>
      <c r="AZ1549" s="331">
        <f>SQRT(($R1549-Infrastructure!J$7)^2+($S1549-Infrastructure!K$7)^2)</f>
        <v>28.9471933</v>
      </c>
      <c r="BA1549" s="331">
        <f>SQRT(($R1549-Infrastructure!J$8)^2+($S1549-Infrastructure!K$8)^2)</f>
        <v>37.67890657</v>
      </c>
      <c r="BB1549" s="331">
        <f>SQRT(($R1549-Infrastructure!J$9)^2+($S1549-Infrastructure!K$9)^2)</f>
        <v>45.87166882</v>
      </c>
      <c r="BC1549" s="331">
        <f>SQRT(($R1549-Infrastructure!J$10)^2+($S1549-Infrastructure!K$10)^2)</f>
        <v>45.01110974</v>
      </c>
      <c r="BD1549" s="331">
        <f>SQRT(($R1549-Infrastructure!J$11)^2+($S1549-Infrastructure!K$11)^2)</f>
        <v>47.62394356</v>
      </c>
      <c r="BE1549" s="333">
        <f>SQRT(($R1549-Infrastructure!J$12)^2+($S1549-Infrastructure!K$12)^2)</f>
        <v>49.23921202</v>
      </c>
      <c r="BF1549" s="330">
        <f t="shared" si="161"/>
        <v>6.044005295</v>
      </c>
      <c r="BG1549" s="333">
        <f t="shared" si="162"/>
        <v>49.23921202</v>
      </c>
      <c r="BH1549" s="1119"/>
      <c r="BI1549" s="319"/>
      <c r="BJ1549" s="319"/>
      <c r="BK1549" s="319"/>
      <c r="BL1549" s="319"/>
      <c r="BM1549" s="319"/>
      <c r="BN1549" s="319"/>
      <c r="BO1549" s="319"/>
      <c r="BP1549" s="953"/>
      <c r="BQ1549" s="319"/>
      <c r="BR1549" s="319"/>
      <c r="BS1549" s="330">
        <f t="shared" si="169"/>
        <v>0</v>
      </c>
      <c r="BT1549" s="331">
        <f t="shared" si="170"/>
        <v>0</v>
      </c>
      <c r="BU1549" s="920"/>
      <c r="BV1549" s="903">
        <f t="shared" si="171"/>
        <v>-0.6074652778</v>
      </c>
      <c r="BW1549" s="907"/>
      <c r="BX1549" s="908"/>
      <c r="BY1549" s="331"/>
      <c r="BZ1549" s="340"/>
      <c r="CA1549" s="316"/>
      <c r="CB1549" s="318"/>
      <c r="CC1549" s="318"/>
      <c r="CD1549" s="318"/>
      <c r="CE1549" s="318"/>
      <c r="CF1549" s="318"/>
      <c r="CG1549" s="318"/>
      <c r="CH1549" s="318"/>
      <c r="CI1549" s="318"/>
      <c r="CJ1549" s="463"/>
      <c r="CK1549" s="342"/>
      <c r="CL1549" s="333"/>
      <c r="CM1549" s="1079"/>
      <c r="CN1549" s="1005"/>
      <c r="CO1549" s="1005"/>
      <c r="CP1549" s="1005"/>
    </row>
    <row r="1550">
      <c r="B1550" s="1106" t="s">
        <v>1761</v>
      </c>
      <c r="C1550" s="1107">
        <v>44867.0</v>
      </c>
      <c r="D1550" s="103"/>
      <c r="E1550" s="1108">
        <v>7.0</v>
      </c>
      <c r="F1550" s="112" t="s">
        <v>2236</v>
      </c>
      <c r="G1550" s="1110">
        <v>0.616550925925926</v>
      </c>
      <c r="H1550" s="1110">
        <v>0.6170138888888889</v>
      </c>
      <c r="I1550" s="1110"/>
      <c r="J1550" s="1111"/>
      <c r="K1550" s="1111">
        <v>0.6184027777777777</v>
      </c>
      <c r="L1550" s="1112">
        <v>0.001388888888888889</v>
      </c>
      <c r="M1550" s="1113" t="s">
        <v>358</v>
      </c>
      <c r="N1550" s="110" t="s">
        <v>187</v>
      </c>
      <c r="O1550" s="1115" t="s">
        <v>323</v>
      </c>
      <c r="P1550" s="1115" t="s">
        <v>256</v>
      </c>
      <c r="Q1550" s="1115"/>
      <c r="R1550" s="120">
        <v>-10.0</v>
      </c>
      <c r="S1550" s="1113">
        <v>14.0</v>
      </c>
      <c r="T1550" s="110">
        <v>1.2</v>
      </c>
      <c r="U1550" s="1108">
        <v>8.0</v>
      </c>
      <c r="V1550" s="1108"/>
      <c r="W1550" s="1108"/>
      <c r="X1550" s="1108"/>
      <c r="Y1550" s="1108"/>
      <c r="Z1550" s="1114" t="s">
        <v>1983</v>
      </c>
      <c r="AA1550" s="1114"/>
      <c r="AB1550" s="1114" t="s">
        <v>337</v>
      </c>
      <c r="AC1550" s="1117">
        <v>2.5</v>
      </c>
      <c r="AD1550" s="1115"/>
      <c r="AE1550" s="1115"/>
      <c r="AF1550" s="1115"/>
      <c r="AG1550" s="1115"/>
      <c r="AH1550" s="1115"/>
      <c r="AI1550" s="1115"/>
      <c r="AJ1550" s="1117"/>
      <c r="AK1550" s="1118"/>
      <c r="AL1550" s="1115"/>
      <c r="AM1550" s="1115"/>
      <c r="AN1550" s="1115"/>
      <c r="AO1550" s="1115"/>
      <c r="AP1550" s="1115"/>
      <c r="AQ1550" s="1115"/>
      <c r="AR1550" s="1115"/>
      <c r="AS1550" s="1117"/>
      <c r="AT1550" s="1196" t="s">
        <v>182</v>
      </c>
      <c r="AU1550" s="1193" t="s">
        <v>845</v>
      </c>
      <c r="AV1550" s="330">
        <f>SQRT(($R1550-Infrastructure!J$3)^2+($S1550-Infrastructure!K$3)^2)</f>
        <v>17.77920133</v>
      </c>
      <c r="AW1550" s="331">
        <f>SQRT(($R1550-Infrastructure!J$4)^2+($S1550-Infrastructure!K$4)^2)</f>
        <v>10.41777327</v>
      </c>
      <c r="AX1550" s="331">
        <f>SQRT(($R1550-Infrastructure!J$5)^2+($S1550-Infrastructure!K$5)^2)</f>
        <v>13.16434579</v>
      </c>
      <c r="AY1550" s="331">
        <f>SQRT(($R1550-Infrastructure!J$6)^2+($S1550-Infrastructure!K$6)^2)</f>
        <v>24.32488438</v>
      </c>
      <c r="AZ1550" s="331">
        <f>SQRT(($R1550-Infrastructure!J$7)^2+($S1550-Infrastructure!K$7)^2)</f>
        <v>33.43560976</v>
      </c>
      <c r="BA1550" s="331">
        <f>SQRT(($R1550-Infrastructure!J$8)^2+($S1550-Infrastructure!K$8)^2)</f>
        <v>42.37570058</v>
      </c>
      <c r="BB1550" s="331">
        <f>SQRT(($R1550-Infrastructure!J$9)^2+($S1550-Infrastructure!K$9)^2)</f>
        <v>50.78592325</v>
      </c>
      <c r="BC1550" s="331">
        <f>SQRT(($R1550-Infrastructure!J$10)^2+($S1550-Infrastructure!K$10)^2)</f>
        <v>50.009999</v>
      </c>
      <c r="BD1550" s="331">
        <f>SQRT(($R1550-Infrastructure!J$11)^2+($S1550-Infrastructure!K$11)^2)</f>
        <v>52.39312932</v>
      </c>
      <c r="BE1550" s="333">
        <f>SQRT(($R1550-Infrastructure!J$12)^2+($S1550-Infrastructure!K$12)^2)</f>
        <v>52.10086372</v>
      </c>
      <c r="BF1550" s="330">
        <f t="shared" si="161"/>
        <v>10.41777327</v>
      </c>
      <c r="BG1550" s="333">
        <f t="shared" si="162"/>
        <v>52.39312932</v>
      </c>
      <c r="BH1550" s="1119"/>
      <c r="BI1550" s="319"/>
      <c r="BJ1550" s="319"/>
      <c r="BK1550" s="319"/>
      <c r="BL1550" s="319"/>
      <c r="BM1550" s="319"/>
      <c r="BN1550" s="319"/>
      <c r="BO1550" s="319"/>
      <c r="BP1550" s="953"/>
      <c r="BQ1550" s="319"/>
      <c r="BR1550" s="319"/>
      <c r="BS1550" s="330">
        <f t="shared" si="169"/>
        <v>0</v>
      </c>
      <c r="BT1550" s="331">
        <f t="shared" si="170"/>
        <v>0</v>
      </c>
      <c r="BU1550" s="920"/>
      <c r="BV1550" s="903">
        <f t="shared" si="171"/>
        <v>-0.6165509259</v>
      </c>
      <c r="BW1550" s="907"/>
      <c r="BX1550" s="908"/>
      <c r="BY1550" s="331"/>
      <c r="BZ1550" s="340"/>
      <c r="CA1550" s="316"/>
      <c r="CB1550" s="318"/>
      <c r="CC1550" s="318"/>
      <c r="CD1550" s="318"/>
      <c r="CE1550" s="318"/>
      <c r="CF1550" s="318"/>
      <c r="CG1550" s="318"/>
      <c r="CH1550" s="318"/>
      <c r="CI1550" s="318"/>
      <c r="CJ1550" s="463"/>
      <c r="CK1550" s="342"/>
      <c r="CL1550" s="333"/>
      <c r="CM1550" s="1079"/>
      <c r="CN1550" s="1005"/>
      <c r="CO1550" s="1005"/>
      <c r="CP1550" s="1005"/>
    </row>
    <row r="1551">
      <c r="B1551" s="1106" t="s">
        <v>1761</v>
      </c>
      <c r="C1551" s="1107">
        <v>44867.0</v>
      </c>
      <c r="D1551" s="103"/>
      <c r="E1551" s="1108">
        <v>8.0</v>
      </c>
      <c r="F1551" s="112" t="s">
        <v>2237</v>
      </c>
      <c r="G1551" s="1110">
        <v>0.6200231481481482</v>
      </c>
      <c r="H1551" s="1110">
        <v>0.6203703703703703</v>
      </c>
      <c r="I1551" s="1110"/>
      <c r="J1551" s="1111"/>
      <c r="K1551" s="1111">
        <v>0.6217592592592592</v>
      </c>
      <c r="L1551" s="1112">
        <v>0.001388888888888889</v>
      </c>
      <c r="M1551" s="1113" t="s">
        <v>358</v>
      </c>
      <c r="N1551" s="110" t="s">
        <v>187</v>
      </c>
      <c r="O1551" s="1115" t="s">
        <v>323</v>
      </c>
      <c r="P1551" s="1115" t="s">
        <v>256</v>
      </c>
      <c r="Q1551" s="1115"/>
      <c r="R1551" s="120">
        <v>-15.0</v>
      </c>
      <c r="S1551" s="1113">
        <v>14.0</v>
      </c>
      <c r="T1551" s="110">
        <v>1.2</v>
      </c>
      <c r="U1551" s="1108">
        <v>8.0</v>
      </c>
      <c r="V1551" s="1108"/>
      <c r="W1551" s="1108"/>
      <c r="X1551" s="1108"/>
      <c r="Y1551" s="1108"/>
      <c r="Z1551" s="1114" t="s">
        <v>1983</v>
      </c>
      <c r="AA1551" s="1114"/>
      <c r="AB1551" s="1114" t="s">
        <v>337</v>
      </c>
      <c r="AC1551" s="1117">
        <v>2.5</v>
      </c>
      <c r="AD1551" s="1115"/>
      <c r="AE1551" s="1115"/>
      <c r="AF1551" s="1115"/>
      <c r="AG1551" s="1115"/>
      <c r="AH1551" s="1115"/>
      <c r="AI1551" s="1115"/>
      <c r="AJ1551" s="1117"/>
      <c r="AK1551" s="1118"/>
      <c r="AL1551" s="1115"/>
      <c r="AM1551" s="1115"/>
      <c r="AN1551" s="1115"/>
      <c r="AO1551" s="1115"/>
      <c r="AP1551" s="1115"/>
      <c r="AQ1551" s="1115"/>
      <c r="AR1551" s="1115"/>
      <c r="AS1551" s="1117"/>
      <c r="AT1551" s="1196" t="s">
        <v>182</v>
      </c>
      <c r="AU1551" s="1193" t="s">
        <v>845</v>
      </c>
      <c r="AV1551" s="330">
        <f>SQRT(($R1551-Infrastructure!J$3)^2+($S1551-Infrastructure!K$3)^2)</f>
        <v>20.93083849</v>
      </c>
      <c r="AW1551" s="331">
        <f>SQRT(($R1551-Infrastructure!J$4)^2+($S1551-Infrastructure!K$4)^2)</f>
        <v>15.18321442</v>
      </c>
      <c r="AX1551" s="331">
        <f>SQRT(($R1551-Infrastructure!J$5)^2+($S1551-Infrastructure!K$5)^2)</f>
        <v>17.18429516</v>
      </c>
      <c r="AY1551" s="331">
        <f>SQRT(($R1551-Infrastructure!J$6)^2+($S1551-Infrastructure!K$6)^2)</f>
        <v>28.59545418</v>
      </c>
      <c r="AZ1551" s="331">
        <f>SQRT(($R1551-Infrastructure!J$7)^2+($S1551-Infrastructure!K$7)^2)</f>
        <v>38.05180679</v>
      </c>
      <c r="BA1551" s="331">
        <f>SQRT(($R1551-Infrastructure!J$8)^2+($S1551-Infrastructure!K$8)^2)</f>
        <v>47.13491275</v>
      </c>
      <c r="BB1551" s="331">
        <f>SQRT(($R1551-Infrastructure!J$9)^2+($S1551-Infrastructure!K$9)^2)</f>
        <v>55.71543772</v>
      </c>
      <c r="BC1551" s="331">
        <f>SQRT(($R1551-Infrastructure!J$10)^2+($S1551-Infrastructure!K$10)^2)</f>
        <v>55.00909016</v>
      </c>
      <c r="BD1551" s="331">
        <f>SQRT(($R1551-Infrastructure!J$11)^2+($S1551-Infrastructure!K$11)^2)</f>
        <v>57.20174823</v>
      </c>
      <c r="BE1551" s="333">
        <f>SQRT(($R1551-Infrastructure!J$12)^2+($S1551-Infrastructure!K$12)^2)</f>
        <v>55.26753116</v>
      </c>
      <c r="BF1551" s="330">
        <f t="shared" si="161"/>
        <v>15.18321442</v>
      </c>
      <c r="BG1551" s="333">
        <f t="shared" si="162"/>
        <v>57.20174823</v>
      </c>
      <c r="BH1551" s="1119"/>
      <c r="BI1551" s="319"/>
      <c r="BJ1551" s="319"/>
      <c r="BK1551" s="319"/>
      <c r="BL1551" s="319"/>
      <c r="BM1551" s="319"/>
      <c r="BN1551" s="319"/>
      <c r="BO1551" s="319"/>
      <c r="BP1551" s="953"/>
      <c r="BQ1551" s="319"/>
      <c r="BR1551" s="319"/>
      <c r="BS1551" s="330">
        <f t="shared" si="169"/>
        <v>0</v>
      </c>
      <c r="BT1551" s="331">
        <f t="shared" si="170"/>
        <v>0</v>
      </c>
      <c r="BU1551" s="920"/>
      <c r="BV1551" s="903">
        <f t="shared" si="171"/>
        <v>-0.6200231481</v>
      </c>
      <c r="BW1551" s="907"/>
      <c r="BX1551" s="908"/>
      <c r="BY1551" s="331"/>
      <c r="BZ1551" s="340"/>
      <c r="CA1551" s="316"/>
      <c r="CB1551" s="318"/>
      <c r="CC1551" s="318"/>
      <c r="CD1551" s="318"/>
      <c r="CE1551" s="318"/>
      <c r="CF1551" s="318"/>
      <c r="CG1551" s="318"/>
      <c r="CH1551" s="318"/>
      <c r="CI1551" s="318"/>
      <c r="CJ1551" s="463"/>
      <c r="CK1551" s="342"/>
      <c r="CL1551" s="333"/>
      <c r="CM1551" s="1079"/>
      <c r="CN1551" s="1005"/>
      <c r="CO1551" s="1005"/>
      <c r="CP1551" s="1005"/>
    </row>
    <row r="1552">
      <c r="B1552" s="1106" t="s">
        <v>1761</v>
      </c>
      <c r="C1552" s="1107">
        <v>44867.0</v>
      </c>
      <c r="D1552" s="103"/>
      <c r="E1552" s="1108">
        <v>9.0</v>
      </c>
      <c r="F1552" s="112" t="s">
        <v>2238</v>
      </c>
      <c r="G1552" s="1110">
        <v>0.6225694444444444</v>
      </c>
      <c r="H1552" s="1110">
        <v>0.6229166666666667</v>
      </c>
      <c r="I1552" s="1110"/>
      <c r="J1552" s="1111"/>
      <c r="K1552" s="1111">
        <v>0.6243055555555556</v>
      </c>
      <c r="L1552" s="1112">
        <v>0.001388888888888889</v>
      </c>
      <c r="M1552" s="1113" t="s">
        <v>358</v>
      </c>
      <c r="N1552" s="110" t="s">
        <v>187</v>
      </c>
      <c r="O1552" s="1115" t="s">
        <v>323</v>
      </c>
      <c r="P1552" s="1115" t="s">
        <v>256</v>
      </c>
      <c r="Q1552" s="1115"/>
      <c r="R1552" s="120">
        <v>-20.0</v>
      </c>
      <c r="S1552" s="1113">
        <v>14.0</v>
      </c>
      <c r="T1552" s="110">
        <v>1.2</v>
      </c>
      <c r="U1552" s="1108">
        <v>8.0</v>
      </c>
      <c r="V1552" s="1108"/>
      <c r="W1552" s="1108"/>
      <c r="X1552" s="1108"/>
      <c r="Y1552" s="1108"/>
      <c r="Z1552" s="1114" t="s">
        <v>1983</v>
      </c>
      <c r="AA1552" s="1114"/>
      <c r="AB1552" s="1114" t="s">
        <v>337</v>
      </c>
      <c r="AC1552" s="1117">
        <v>2.5</v>
      </c>
      <c r="AD1552" s="1115"/>
      <c r="AE1552" s="1115"/>
      <c r="AF1552" s="1115"/>
      <c r="AG1552" s="1115"/>
      <c r="AH1552" s="1115"/>
      <c r="AI1552" s="1115"/>
      <c r="AJ1552" s="1117"/>
      <c r="AK1552" s="1118"/>
      <c r="AL1552" s="1115"/>
      <c r="AM1552" s="1115"/>
      <c r="AN1552" s="1115"/>
      <c r="AO1552" s="1115"/>
      <c r="AP1552" s="1115"/>
      <c r="AQ1552" s="1115"/>
      <c r="AR1552" s="1115"/>
      <c r="AS1552" s="1117"/>
      <c r="AT1552" s="1196" t="s">
        <v>182</v>
      </c>
      <c r="AU1552" s="1193" t="s">
        <v>845</v>
      </c>
      <c r="AV1552" s="330">
        <f>SQRT(($R1552-Infrastructure!J$3)^2+($S1552-Infrastructure!K$3)^2)</f>
        <v>24.70020243</v>
      </c>
      <c r="AW1552" s="331">
        <f>SQRT(($R1552-Infrastructure!J$4)^2+($S1552-Infrastructure!K$4)^2)</f>
        <v>20.0631503</v>
      </c>
      <c r="AX1552" s="331">
        <f>SQRT(($R1552-Infrastructure!J$5)^2+($S1552-Infrastructure!K$5)^2)</f>
        <v>21.61712284</v>
      </c>
      <c r="AY1552" s="331">
        <f>SQRT(($R1552-Infrastructure!J$6)^2+($S1552-Infrastructure!K$6)^2)</f>
        <v>33.07113545</v>
      </c>
      <c r="AZ1552" s="331">
        <f>SQRT(($R1552-Infrastructure!J$7)^2+($S1552-Infrastructure!K$7)^2)</f>
        <v>42.75441498</v>
      </c>
      <c r="BA1552" s="331">
        <f>SQRT(($R1552-Infrastructure!J$8)^2+($S1552-Infrastructure!K$8)^2)</f>
        <v>51.93938775</v>
      </c>
      <c r="BB1552" s="331">
        <f>SQRT(($R1552-Infrastructure!J$9)^2+($S1552-Infrastructure!K$9)^2)</f>
        <v>60.65649182</v>
      </c>
      <c r="BC1552" s="331">
        <f>SQRT(($R1552-Infrastructure!J$10)^2+($S1552-Infrastructure!K$10)^2)</f>
        <v>60.00833275</v>
      </c>
      <c r="BD1552" s="331">
        <f>SQRT(($R1552-Infrastructure!J$11)^2+($S1552-Infrastructure!K$11)^2)</f>
        <v>62.04063185</v>
      </c>
      <c r="BE1552" s="333">
        <f>SQRT(($R1552-Infrastructure!J$12)^2+($S1552-Infrastructure!K$12)^2)</f>
        <v>58.68986284</v>
      </c>
      <c r="BF1552" s="330">
        <f t="shared" si="161"/>
        <v>20.0631503</v>
      </c>
      <c r="BG1552" s="333">
        <f t="shared" si="162"/>
        <v>62.04063185</v>
      </c>
      <c r="BH1552" s="1119"/>
      <c r="BI1552" s="319"/>
      <c r="BJ1552" s="319"/>
      <c r="BK1552" s="319"/>
      <c r="BL1552" s="319"/>
      <c r="BM1552" s="319"/>
      <c r="BN1552" s="319"/>
      <c r="BO1552" s="319"/>
      <c r="BP1552" s="953"/>
      <c r="BQ1552" s="319"/>
      <c r="BR1552" s="319"/>
      <c r="BS1552" s="330">
        <f t="shared" si="169"/>
        <v>0</v>
      </c>
      <c r="BT1552" s="331">
        <f t="shared" si="170"/>
        <v>0</v>
      </c>
      <c r="BU1552" s="920"/>
      <c r="BV1552" s="903">
        <f t="shared" si="171"/>
        <v>-0.6225694444</v>
      </c>
      <c r="BW1552" s="907"/>
      <c r="BX1552" s="908"/>
      <c r="BY1552" s="331"/>
      <c r="BZ1552" s="340"/>
      <c r="CA1552" s="316"/>
      <c r="CB1552" s="318"/>
      <c r="CC1552" s="318"/>
      <c r="CD1552" s="318"/>
      <c r="CE1552" s="318"/>
      <c r="CF1552" s="318"/>
      <c r="CG1552" s="318"/>
      <c r="CH1552" s="318"/>
      <c r="CI1552" s="318"/>
      <c r="CJ1552" s="463"/>
      <c r="CK1552" s="342"/>
      <c r="CL1552" s="333"/>
      <c r="CM1552" s="1079"/>
      <c r="CN1552" s="1005"/>
      <c r="CO1552" s="1005"/>
      <c r="CP1552" s="1005"/>
    </row>
    <row r="1553">
      <c r="A1553" s="634"/>
      <c r="B1553" s="1121" t="s">
        <v>1761</v>
      </c>
      <c r="C1553" s="1122">
        <v>44867.0</v>
      </c>
      <c r="D1553" s="1123"/>
      <c r="E1553" s="1124">
        <v>10.0</v>
      </c>
      <c r="F1553" s="108" t="s">
        <v>2239</v>
      </c>
      <c r="G1553" s="1126">
        <v>0.6253472222222223</v>
      </c>
      <c r="H1553" s="1126">
        <v>0.6257523148148149</v>
      </c>
      <c r="I1553" s="1126"/>
      <c r="J1553" s="1127"/>
      <c r="K1553" s="1127">
        <v>0.6271412037037037</v>
      </c>
      <c r="L1553" s="1128">
        <v>0.001388888888888889</v>
      </c>
      <c r="M1553" s="1129" t="s">
        <v>358</v>
      </c>
      <c r="N1553" s="100" t="s">
        <v>187</v>
      </c>
      <c r="O1553" s="1131" t="s">
        <v>323</v>
      </c>
      <c r="P1553" s="1131" t="s">
        <v>256</v>
      </c>
      <c r="Q1553" s="1131"/>
      <c r="R1553" s="137">
        <v>-25.0</v>
      </c>
      <c r="S1553" s="1129">
        <v>14.0</v>
      </c>
      <c r="T1553" s="100">
        <v>1.2</v>
      </c>
      <c r="U1553" s="1124">
        <v>8.0</v>
      </c>
      <c r="V1553" s="1124"/>
      <c r="W1553" s="1124"/>
      <c r="X1553" s="1124"/>
      <c r="Y1553" s="1124"/>
      <c r="Z1553" s="1130" t="s">
        <v>1983</v>
      </c>
      <c r="AA1553" s="1130"/>
      <c r="AB1553" s="1130" t="s">
        <v>337</v>
      </c>
      <c r="AC1553" s="1133">
        <v>2.5</v>
      </c>
      <c r="AD1553" s="1131"/>
      <c r="AE1553" s="1131"/>
      <c r="AF1553" s="1131"/>
      <c r="AG1553" s="1131"/>
      <c r="AH1553" s="1131"/>
      <c r="AI1553" s="1131"/>
      <c r="AJ1553" s="1133"/>
      <c r="AK1553" s="1134"/>
      <c r="AL1553" s="1131"/>
      <c r="AM1553" s="1131"/>
      <c r="AN1553" s="1131"/>
      <c r="AO1553" s="1131"/>
      <c r="AP1553" s="1131"/>
      <c r="AQ1553" s="1131"/>
      <c r="AR1553" s="1131"/>
      <c r="AS1553" s="1133"/>
      <c r="AT1553" s="1197" t="s">
        <v>182</v>
      </c>
      <c r="AU1553" s="1194" t="s">
        <v>845</v>
      </c>
      <c r="AV1553" s="330">
        <f>SQRT(($R1553-Infrastructure!J$3)^2+($S1553-Infrastructure!K$3)^2)</f>
        <v>28.84614359</v>
      </c>
      <c r="AW1553" s="331">
        <f>SQRT(($R1553-Infrastructure!J$4)^2+($S1553-Infrastructure!K$4)^2)</f>
        <v>24.99059823</v>
      </c>
      <c r="AX1553" s="331">
        <f>SQRT(($R1553-Infrastructure!J$5)^2+($S1553-Infrastructure!K$5)^2)</f>
        <v>26.25452342</v>
      </c>
      <c r="AY1553" s="331">
        <f>SQRT(($R1553-Infrastructure!J$6)^2+($S1553-Infrastructure!K$6)^2)</f>
        <v>37.67890657</v>
      </c>
      <c r="AZ1553" s="331">
        <f>SQRT(($R1553-Infrastructure!J$7)^2+($S1553-Infrastructure!K$7)^2)</f>
        <v>47.51778614</v>
      </c>
      <c r="BA1553" s="331">
        <f>SQRT(($R1553-Infrastructure!J$8)^2+($S1553-Infrastructure!K$8)^2)</f>
        <v>56.77763644</v>
      </c>
      <c r="BB1553" s="331">
        <f>SQRT(($R1553-Infrastructure!J$9)^2+($S1553-Infrastructure!K$9)^2)</f>
        <v>65.60647834</v>
      </c>
      <c r="BC1553" s="331">
        <f>SQRT(($R1553-Infrastructure!J$10)^2+($S1553-Infrastructure!K$10)^2)</f>
        <v>65.00769185</v>
      </c>
      <c r="BD1553" s="331">
        <f>SQRT(($R1553-Infrastructure!J$11)^2+($S1553-Infrastructure!K$11)^2)</f>
        <v>66.90321367</v>
      </c>
      <c r="BE1553" s="333">
        <f>SQRT(($R1553-Infrastructure!J$12)^2+($S1553-Infrastructure!K$12)^2)</f>
        <v>62.32575712</v>
      </c>
      <c r="BF1553" s="330">
        <f t="shared" si="161"/>
        <v>24.99059823</v>
      </c>
      <c r="BG1553" s="333">
        <f t="shared" si="162"/>
        <v>66.90321367</v>
      </c>
      <c r="BH1553" s="1135"/>
      <c r="BI1553" s="663"/>
      <c r="BJ1553" s="663"/>
      <c r="BK1553" s="663"/>
      <c r="BL1553" s="663"/>
      <c r="BM1553" s="663"/>
      <c r="BN1553" s="663"/>
      <c r="BO1553" s="663"/>
      <c r="BP1553" s="958"/>
      <c r="BQ1553" s="663"/>
      <c r="BR1553" s="663"/>
      <c r="BS1553" s="330">
        <f t="shared" si="169"/>
        <v>0</v>
      </c>
      <c r="BT1553" s="331">
        <f t="shared" si="170"/>
        <v>0</v>
      </c>
      <c r="BU1553" s="920"/>
      <c r="BV1553" s="903">
        <f t="shared" si="171"/>
        <v>-0.6253472222</v>
      </c>
      <c r="BW1553" s="938"/>
      <c r="BX1553" s="939"/>
      <c r="BY1553" s="641"/>
      <c r="BZ1553" s="742"/>
      <c r="CA1553" s="639"/>
      <c r="CB1553" s="640"/>
      <c r="CC1553" s="640"/>
      <c r="CD1553" s="640"/>
      <c r="CE1553" s="640"/>
      <c r="CF1553" s="640"/>
      <c r="CG1553" s="640"/>
      <c r="CH1553" s="640"/>
      <c r="CI1553" s="640"/>
      <c r="CJ1553" s="785"/>
      <c r="CK1553" s="743"/>
      <c r="CL1553" s="642"/>
      <c r="CM1553" s="1090"/>
      <c r="CN1553" s="1005"/>
      <c r="CO1553" s="1005"/>
      <c r="CP1553" s="1005"/>
    </row>
    <row r="1554">
      <c r="A1554" s="1162" t="s">
        <v>88</v>
      </c>
      <c r="B1554" s="1106" t="s">
        <v>2240</v>
      </c>
      <c r="C1554" s="1107">
        <v>44872.0</v>
      </c>
      <c r="D1554" s="1113" t="s">
        <v>986</v>
      </c>
      <c r="E1554" s="1108">
        <v>1.0</v>
      </c>
      <c r="F1554" s="112" t="s">
        <v>2241</v>
      </c>
      <c r="G1554" s="1110">
        <v>0.4989351851851852</v>
      </c>
      <c r="H1554" s="1110">
        <v>0.4990625</v>
      </c>
      <c r="I1554" s="1110"/>
      <c r="J1554" s="1111"/>
      <c r="K1554" s="1111">
        <v>0.5144675925925926</v>
      </c>
      <c r="L1554" s="1112">
        <v>0.015405092592592592</v>
      </c>
      <c r="M1554" s="1113" t="s">
        <v>166</v>
      </c>
      <c r="N1554" s="110" t="s">
        <v>187</v>
      </c>
      <c r="O1554" s="1115" t="s">
        <v>198</v>
      </c>
      <c r="P1554" s="1115" t="s">
        <v>218</v>
      </c>
      <c r="Q1554" s="1115" t="s">
        <v>2242</v>
      </c>
      <c r="R1554" s="120">
        <v>10.3</v>
      </c>
      <c r="S1554" s="1113">
        <v>8.1</v>
      </c>
      <c r="T1554" s="110">
        <v>3.0</v>
      </c>
      <c r="U1554" s="1108">
        <v>2.0</v>
      </c>
      <c r="V1554" s="1108"/>
      <c r="W1554" s="1108"/>
      <c r="X1554" s="1108"/>
      <c r="Y1554" s="1108"/>
      <c r="Z1554" s="1114" t="s">
        <v>343</v>
      </c>
      <c r="AA1554" s="1114"/>
      <c r="AB1554" s="1114" t="s">
        <v>384</v>
      </c>
      <c r="AC1554" s="1117">
        <v>6.0</v>
      </c>
      <c r="AD1554" s="1115"/>
      <c r="AE1554" s="1115"/>
      <c r="AF1554" s="1115"/>
      <c r="AG1554" s="1115"/>
      <c r="AH1554" s="1115"/>
      <c r="AI1554" s="1115"/>
      <c r="AJ1554" s="1117"/>
      <c r="AK1554" s="1118"/>
      <c r="AL1554" s="1115"/>
      <c r="AM1554" s="1115"/>
      <c r="AN1554" s="1115"/>
      <c r="AO1554" s="1115"/>
      <c r="AP1554" s="1115"/>
      <c r="AQ1554" s="1115"/>
      <c r="AR1554" s="1115"/>
      <c r="AS1554" s="1117"/>
      <c r="AT1554" s="1196" t="s">
        <v>182</v>
      </c>
      <c r="AU1554" s="1193" t="s">
        <v>845</v>
      </c>
      <c r="AV1554" s="330">
        <f>SQRT(($R1554-Infrastructure!J$3)^2+($S1554-Infrastructure!K$3)^2)</f>
        <v>23.34523506</v>
      </c>
      <c r="AW1554" s="331">
        <f>SQRT(($R1554-Infrastructure!J$4)^2+($S1554-Infrastructure!K$4)^2)</f>
        <v>14.36836804</v>
      </c>
      <c r="AX1554" s="331">
        <f>SQRT(($R1554-Infrastructure!J$5)^2+($S1554-Infrastructure!K$5)^2)</f>
        <v>11.01635148</v>
      </c>
      <c r="AY1554" s="331">
        <f>SQRT(($R1554-Infrastructure!J$6)^2+($S1554-Infrastructure!K$6)^2)</f>
        <v>7.802563681</v>
      </c>
      <c r="AZ1554" s="331">
        <f>SQRT(($R1554-Infrastructure!J$7)^2+($S1554-Infrastructure!K$7)^2)</f>
        <v>12.84056074</v>
      </c>
      <c r="BA1554" s="331">
        <f>SQRT(($R1554-Infrastructure!J$8)^2+($S1554-Infrastructure!K$8)^2)</f>
        <v>21.28097742</v>
      </c>
      <c r="BB1554" s="331">
        <f>SQRT(($R1554-Infrastructure!J$9)^2+($S1554-Infrastructure!K$9)^2)</f>
        <v>29.85113063</v>
      </c>
      <c r="BC1554" s="331">
        <f>SQRT(($R1554-Infrastructure!J$10)^2+($S1554-Infrastructure!K$10)^2)</f>
        <v>30.49098227</v>
      </c>
      <c r="BD1554" s="331">
        <f>SQRT(($R1554-Infrastructure!J$11)^2+($S1554-Infrastructure!K$11)^2)</f>
        <v>36.4804057</v>
      </c>
      <c r="BE1554" s="333">
        <f>SQRT(($R1554-Infrastructure!J$12)^2+($S1554-Infrastructure!K$12)^2)</f>
        <v>48.70523586</v>
      </c>
      <c r="BF1554" s="330">
        <f t="shared" si="161"/>
        <v>7.802563681</v>
      </c>
      <c r="BG1554" s="333">
        <f t="shared" si="162"/>
        <v>48.70523586</v>
      </c>
      <c r="BH1554" s="1119"/>
      <c r="BI1554" s="319"/>
      <c r="BJ1554" s="319"/>
      <c r="BK1554" s="319"/>
      <c r="BL1554" s="319"/>
      <c r="BM1554" s="319"/>
      <c r="BN1554" s="319"/>
      <c r="BO1554" s="319"/>
      <c r="BP1554" s="953"/>
      <c r="BQ1554" s="319"/>
      <c r="BR1554" s="319"/>
      <c r="BS1554" s="405">
        <f t="shared" si="169"/>
        <v>0</v>
      </c>
      <c r="BT1554" s="406">
        <f t="shared" si="170"/>
        <v>0</v>
      </c>
      <c r="BU1554" s="931"/>
      <c r="BV1554" s="901">
        <f t="shared" si="171"/>
        <v>-0.4989351852</v>
      </c>
      <c r="BW1554" s="907"/>
      <c r="BX1554" s="908"/>
      <c r="BY1554" s="331"/>
      <c r="BZ1554" s="340"/>
      <c r="CA1554" s="316"/>
      <c r="CB1554" s="318"/>
      <c r="CC1554" s="318"/>
      <c r="CD1554" s="318"/>
      <c r="CE1554" s="318"/>
      <c r="CF1554" s="318"/>
      <c r="CG1554" s="318"/>
      <c r="CH1554" s="318"/>
      <c r="CI1554" s="318"/>
      <c r="CJ1554" s="463"/>
      <c r="CK1554" s="342"/>
      <c r="CL1554" s="333"/>
      <c r="CM1554" s="1079"/>
      <c r="CN1554" s="1005"/>
      <c r="CO1554" s="1005"/>
      <c r="CP1554" s="1005"/>
    </row>
    <row r="1555">
      <c r="B1555" s="1106" t="s">
        <v>2240</v>
      </c>
      <c r="C1555" s="1107">
        <v>44872.0</v>
      </c>
      <c r="D1555" s="1113" t="s">
        <v>986</v>
      </c>
      <c r="E1555" s="1108">
        <v>2.0</v>
      </c>
      <c r="F1555" s="112" t="s">
        <v>2243</v>
      </c>
      <c r="G1555" s="1110">
        <v>0.5160300925925926</v>
      </c>
      <c r="H1555" s="1110">
        <v>0.5162731481481482</v>
      </c>
      <c r="I1555" s="1110"/>
      <c r="J1555" s="1111"/>
      <c r="K1555" s="1111">
        <v>0.5305324074074074</v>
      </c>
      <c r="L1555" s="1112">
        <v>0.01425925925925926</v>
      </c>
      <c r="M1555" s="1113" t="s">
        <v>166</v>
      </c>
      <c r="N1555" s="110" t="s">
        <v>187</v>
      </c>
      <c r="O1555" s="1115" t="s">
        <v>204</v>
      </c>
      <c r="P1555" s="1115" t="s">
        <v>260</v>
      </c>
      <c r="Q1555" s="1115" t="s">
        <v>2244</v>
      </c>
      <c r="R1555" s="120">
        <v>18.6</v>
      </c>
      <c r="S1555" s="1113">
        <v>4.4</v>
      </c>
      <c r="T1555" s="110">
        <v>2.5</v>
      </c>
      <c r="U1555" s="1108">
        <v>1.0</v>
      </c>
      <c r="V1555" s="1108"/>
      <c r="W1555" s="1108"/>
      <c r="X1555" s="1108"/>
      <c r="Y1555" s="1108"/>
      <c r="Z1555" s="1114" t="s">
        <v>365</v>
      </c>
      <c r="AA1555" s="1114"/>
      <c r="AB1555" s="1114" t="s">
        <v>380</v>
      </c>
      <c r="AC1555" s="1117">
        <v>4.0</v>
      </c>
      <c r="AD1555" s="1115"/>
      <c r="AE1555" s="1115"/>
      <c r="AF1555" s="1115"/>
      <c r="AG1555" s="1115"/>
      <c r="AH1555" s="1115"/>
      <c r="AI1555" s="1115"/>
      <c r="AJ1555" s="1117"/>
      <c r="AK1555" s="1118"/>
      <c r="AL1555" s="1115"/>
      <c r="AM1555" s="1115"/>
      <c r="AN1555" s="1115"/>
      <c r="AO1555" s="1115"/>
      <c r="AP1555" s="1115"/>
      <c r="AQ1555" s="1115"/>
      <c r="AR1555" s="1115"/>
      <c r="AS1555" s="1117"/>
      <c r="AT1555" s="1196" t="s">
        <v>182</v>
      </c>
      <c r="AU1555" s="1193" t="s">
        <v>845</v>
      </c>
      <c r="AV1555" s="330">
        <f>SQRT(($R1555-Infrastructure!J$3)^2+($S1555-Infrastructure!K$3)^2)</f>
        <v>30.94285055</v>
      </c>
      <c r="AW1555" s="331">
        <f>SQRT(($R1555-Infrastructure!J$4)^2+($S1555-Infrastructure!K$4)^2)</f>
        <v>23.1682973</v>
      </c>
      <c r="AX1555" s="331">
        <f>SQRT(($R1555-Infrastructure!J$5)^2+($S1555-Infrastructure!K$5)^2)</f>
        <v>18.91295852</v>
      </c>
      <c r="AY1555" s="331">
        <f>SQRT(($R1555-Infrastructure!J$6)^2+($S1555-Infrastructure!K$6)^2)</f>
        <v>9.43716059</v>
      </c>
      <c r="AZ1555" s="331">
        <f>SQRT(($R1555-Infrastructure!J$7)^2+($S1555-Infrastructure!K$7)^2)</f>
        <v>4.518849411</v>
      </c>
      <c r="BA1555" s="331">
        <f>SQRT(($R1555-Infrastructure!J$8)^2+($S1555-Infrastructure!K$8)^2)</f>
        <v>12.20901306</v>
      </c>
      <c r="BB1555" s="331">
        <f>SQRT(($R1555-Infrastructure!J$9)^2+($S1555-Infrastructure!K$9)^2)</f>
        <v>21.41144554</v>
      </c>
      <c r="BC1555" s="331">
        <f>SQRT(($R1555-Infrastructure!J$10)^2+($S1555-Infrastructure!K$10)^2)</f>
        <v>23.88137349</v>
      </c>
      <c r="BD1555" s="331">
        <f>SQRT(($R1555-Infrastructure!J$11)^2+($S1555-Infrastructure!K$11)^2)</f>
        <v>32.73713488</v>
      </c>
      <c r="BE1555" s="333">
        <f>SQRT(($R1555-Infrastructure!J$12)^2+($S1555-Infrastructure!K$12)^2)</f>
        <v>51.18222348</v>
      </c>
      <c r="BF1555" s="330">
        <f t="shared" si="161"/>
        <v>4.518849411</v>
      </c>
      <c r="BG1555" s="333">
        <f t="shared" si="162"/>
        <v>51.18222348</v>
      </c>
      <c r="BH1555" s="1119"/>
      <c r="BI1555" s="319"/>
      <c r="BJ1555" s="319"/>
      <c r="BK1555" s="319"/>
      <c r="BL1555" s="319"/>
      <c r="BM1555" s="319"/>
      <c r="BN1555" s="319"/>
      <c r="BO1555" s="319"/>
      <c r="BP1555" s="953"/>
      <c r="BQ1555" s="319"/>
      <c r="BR1555" s="319"/>
      <c r="BS1555" s="330">
        <f t="shared" si="169"/>
        <v>0</v>
      </c>
      <c r="BT1555" s="331">
        <f t="shared" si="170"/>
        <v>0</v>
      </c>
      <c r="BU1555" s="920"/>
      <c r="BV1555" s="903">
        <f t="shared" si="171"/>
        <v>-0.5160300926</v>
      </c>
      <c r="BW1555" s="907"/>
      <c r="BX1555" s="908"/>
      <c r="BY1555" s="331"/>
      <c r="BZ1555" s="340"/>
      <c r="CA1555" s="316"/>
      <c r="CB1555" s="318"/>
      <c r="CC1555" s="318"/>
      <c r="CD1555" s="318"/>
      <c r="CE1555" s="318"/>
      <c r="CF1555" s="318"/>
      <c r="CG1555" s="318"/>
      <c r="CH1555" s="318"/>
      <c r="CI1555" s="318"/>
      <c r="CJ1555" s="463"/>
      <c r="CK1555" s="342"/>
      <c r="CL1555" s="333"/>
      <c r="CM1555" s="1079"/>
      <c r="CN1555" s="1005"/>
      <c r="CO1555" s="1005"/>
      <c r="CP1555" s="1005"/>
    </row>
    <row r="1556">
      <c r="B1556" s="1106" t="s">
        <v>2240</v>
      </c>
      <c r="C1556" s="1107">
        <v>44872.0</v>
      </c>
      <c r="D1556" s="1113" t="s">
        <v>986</v>
      </c>
      <c r="E1556" s="1108">
        <v>3.0</v>
      </c>
      <c r="F1556" s="112" t="s">
        <v>2245</v>
      </c>
      <c r="G1556" s="1110">
        <v>0.6031365740740741</v>
      </c>
      <c r="H1556" s="1110">
        <v>0.6032407407407407</v>
      </c>
      <c r="I1556" s="1110"/>
      <c r="J1556" s="1111"/>
      <c r="K1556" s="1111">
        <v>0.6176157407407408</v>
      </c>
      <c r="L1556" s="1112">
        <v>0.014375</v>
      </c>
      <c r="M1556" s="1113" t="s">
        <v>166</v>
      </c>
      <c r="N1556" s="110" t="s">
        <v>187</v>
      </c>
      <c r="O1556" s="1115" t="s">
        <v>207</v>
      </c>
      <c r="P1556" s="1115" t="s">
        <v>221</v>
      </c>
      <c r="Q1556" s="1115" t="s">
        <v>2246</v>
      </c>
      <c r="R1556" s="120">
        <v>26.1</v>
      </c>
      <c r="S1556" s="1113">
        <v>14.3</v>
      </c>
      <c r="T1556" s="110">
        <v>1.5</v>
      </c>
      <c r="U1556" s="1108">
        <v>0.4</v>
      </c>
      <c r="V1556" s="1108"/>
      <c r="W1556" s="1108"/>
      <c r="X1556" s="1108"/>
      <c r="Y1556" s="1108"/>
      <c r="Z1556" s="1114" t="s">
        <v>374</v>
      </c>
      <c r="AA1556" s="1114"/>
      <c r="AB1556" s="1114" t="s">
        <v>380</v>
      </c>
      <c r="AC1556" s="1117">
        <v>4.0</v>
      </c>
      <c r="AD1556" s="1115"/>
      <c r="AE1556" s="1115"/>
      <c r="AF1556" s="1115"/>
      <c r="AG1556" s="1115"/>
      <c r="AH1556" s="1115"/>
      <c r="AI1556" s="1115"/>
      <c r="AJ1556" s="1117"/>
      <c r="AK1556" s="1118"/>
      <c r="AL1556" s="1115"/>
      <c r="AM1556" s="1115"/>
      <c r="AN1556" s="1115"/>
      <c r="AO1556" s="1115"/>
      <c r="AP1556" s="1115"/>
      <c r="AQ1556" s="1115"/>
      <c r="AR1556" s="1115"/>
      <c r="AS1556" s="1117"/>
      <c r="AT1556" s="1196" t="s">
        <v>181</v>
      </c>
      <c r="AU1556" s="1193" t="s">
        <v>845</v>
      </c>
      <c r="AV1556" s="330">
        <f>SQRT(($R1556-Infrastructure!J$3)^2+($S1556-Infrastructure!K$3)^2)</f>
        <v>30.16819517</v>
      </c>
      <c r="AW1556" s="331">
        <f>SQRT(($R1556-Infrastructure!J$4)^2+($S1556-Infrastructure!K$4)^2)</f>
        <v>26.63099698</v>
      </c>
      <c r="AX1556" s="331">
        <f>SQRT(($R1556-Infrastructure!J$5)^2+($S1556-Infrastructure!K$5)^2)</f>
        <v>27.95711001</v>
      </c>
      <c r="AY1556" s="331">
        <f>SQRT(($R1556-Infrastructure!J$6)^2+($S1556-Infrastructure!K$6)^2)</f>
        <v>21.26029163</v>
      </c>
      <c r="AZ1556" s="331">
        <f>SQRT(($R1556-Infrastructure!J$7)^2+($S1556-Infrastructure!K$7)^2)</f>
        <v>15.07846146</v>
      </c>
      <c r="BA1556" s="331">
        <f>SQRT(($R1556-Infrastructure!J$8)^2+($S1556-Infrastructure!K$8)^2)</f>
        <v>14.56021978</v>
      </c>
      <c r="BB1556" s="331">
        <f>SQRT(($R1556-Infrastructure!J$9)^2+($S1556-Infrastructure!K$9)^2)</f>
        <v>16.66883319</v>
      </c>
      <c r="BC1556" s="331">
        <f>SQRT(($R1556-Infrastructure!J$10)^2+($S1556-Infrastructure!K$10)^2)</f>
        <v>13.91761474</v>
      </c>
      <c r="BD1556" s="331">
        <f>SQRT(($R1556-Infrastructure!J$11)^2+($S1556-Infrastructure!K$11)^2)</f>
        <v>20.36909424</v>
      </c>
      <c r="BE1556" s="333">
        <f>SQRT(($R1556-Infrastructure!J$12)^2+($S1556-Infrastructure!K$12)^2)</f>
        <v>41.45600077</v>
      </c>
      <c r="BF1556" s="330">
        <f t="shared" si="161"/>
        <v>13.91761474</v>
      </c>
      <c r="BG1556" s="333">
        <f t="shared" si="162"/>
        <v>41.45600077</v>
      </c>
      <c r="BH1556" s="1119"/>
      <c r="BI1556" s="319"/>
      <c r="BJ1556" s="319"/>
      <c r="BK1556" s="319"/>
      <c r="BL1556" s="319"/>
      <c r="BM1556" s="319"/>
      <c r="BN1556" s="319"/>
      <c r="BO1556" s="319"/>
      <c r="BP1556" s="953"/>
      <c r="BQ1556" s="319"/>
      <c r="BR1556" s="319"/>
      <c r="BS1556" s="330">
        <f t="shared" si="169"/>
        <v>0</v>
      </c>
      <c r="BT1556" s="331">
        <f t="shared" si="170"/>
        <v>0</v>
      </c>
      <c r="BU1556" s="920"/>
      <c r="BV1556" s="903">
        <f t="shared" si="171"/>
        <v>-0.6031365741</v>
      </c>
      <c r="BW1556" s="907"/>
      <c r="BX1556" s="908"/>
      <c r="BY1556" s="331"/>
      <c r="BZ1556" s="340"/>
      <c r="CA1556" s="316"/>
      <c r="CB1556" s="318"/>
      <c r="CC1556" s="318"/>
      <c r="CD1556" s="318"/>
      <c r="CE1556" s="318"/>
      <c r="CF1556" s="318"/>
      <c r="CG1556" s="318"/>
      <c r="CH1556" s="318"/>
      <c r="CI1556" s="318"/>
      <c r="CJ1556" s="463"/>
      <c r="CK1556" s="342"/>
      <c r="CL1556" s="333"/>
      <c r="CM1556" s="1079"/>
      <c r="CN1556" s="1005"/>
      <c r="CO1556" s="1005"/>
      <c r="CP1556" s="1005"/>
    </row>
    <row r="1557">
      <c r="B1557" s="1106" t="s">
        <v>2240</v>
      </c>
      <c r="C1557" s="1107">
        <v>44872.0</v>
      </c>
      <c r="D1557" s="1113" t="s">
        <v>986</v>
      </c>
      <c r="E1557" s="1108">
        <v>4.0</v>
      </c>
      <c r="F1557" s="112" t="s">
        <v>2247</v>
      </c>
      <c r="G1557" s="1110">
        <v>0.6197337962962963</v>
      </c>
      <c r="H1557" s="1110">
        <v>0.6199652777777778</v>
      </c>
      <c r="I1557" s="1110"/>
      <c r="J1557" s="1111"/>
      <c r="K1557" s="1111">
        <v>0.6368055555555555</v>
      </c>
      <c r="L1557" s="1112">
        <v>0.016840277777777777</v>
      </c>
      <c r="M1557" s="1113" t="s">
        <v>166</v>
      </c>
      <c r="N1557" s="110" t="s">
        <v>187</v>
      </c>
      <c r="O1557" s="1115" t="s">
        <v>206</v>
      </c>
      <c r="P1557" s="1115" t="s">
        <v>218</v>
      </c>
      <c r="Q1557" s="1115" t="s">
        <v>2244</v>
      </c>
      <c r="R1557" s="120">
        <v>21.5</v>
      </c>
      <c r="S1557" s="1113">
        <v>8.7</v>
      </c>
      <c r="T1557" s="110">
        <v>2.4</v>
      </c>
      <c r="U1557" s="1108">
        <v>0.2</v>
      </c>
      <c r="V1557" s="1108"/>
      <c r="W1557" s="1108"/>
      <c r="X1557" s="1108"/>
      <c r="Y1557" s="1108"/>
      <c r="Z1557" s="1114" t="s">
        <v>347</v>
      </c>
      <c r="AA1557" s="1114"/>
      <c r="AB1557" s="1114" t="s">
        <v>375</v>
      </c>
      <c r="AC1557" s="1117">
        <v>2.7</v>
      </c>
      <c r="AD1557" s="1115"/>
      <c r="AE1557" s="1115"/>
      <c r="AF1557" s="1115"/>
      <c r="AG1557" s="1115"/>
      <c r="AH1557" s="1115"/>
      <c r="AI1557" s="1115"/>
      <c r="AJ1557" s="1117"/>
      <c r="AK1557" s="1118"/>
      <c r="AL1557" s="1115"/>
      <c r="AM1557" s="1115"/>
      <c r="AN1557" s="1115"/>
      <c r="AO1557" s="1115"/>
      <c r="AP1557" s="1115"/>
      <c r="AQ1557" s="1115"/>
      <c r="AR1557" s="1115"/>
      <c r="AS1557" s="1117"/>
      <c r="AT1557" s="1196" t="s">
        <v>181</v>
      </c>
      <c r="AU1557" s="1193" t="s">
        <v>845</v>
      </c>
      <c r="AV1557" s="330">
        <f>SQRT(($R1557-Infrastructure!J$3)^2+($S1557-Infrastructure!K$3)^2)</f>
        <v>29.72002692</v>
      </c>
      <c r="AW1557" s="331">
        <f>SQRT(($R1557-Infrastructure!J$4)^2+($S1557-Infrastructure!K$4)^2)</f>
        <v>23.62308193</v>
      </c>
      <c r="AX1557" s="331">
        <f>SQRT(($R1557-Infrastructure!J$5)^2+($S1557-Infrastructure!K$5)^2)</f>
        <v>22.09524836</v>
      </c>
      <c r="AY1557" s="331">
        <f>SQRT(($R1557-Infrastructure!J$6)^2+($S1557-Infrastructure!K$6)^2)</f>
        <v>14.16050847</v>
      </c>
      <c r="AZ1557" s="331">
        <f>SQRT(($R1557-Infrastructure!J$7)^2+($S1557-Infrastructure!K$7)^2)</f>
        <v>8.459314393</v>
      </c>
      <c r="BA1557" s="331">
        <f>SQRT(($R1557-Infrastructure!J$8)^2+($S1557-Infrastructure!K$8)^2)</f>
        <v>12.02164714</v>
      </c>
      <c r="BB1557" s="331">
        <f>SQRT(($R1557-Infrastructure!J$9)^2+($S1557-Infrastructure!K$9)^2)</f>
        <v>18.84701568</v>
      </c>
      <c r="BC1557" s="331">
        <f>SQRT(($R1557-Infrastructure!J$10)^2+($S1557-Infrastructure!K$10)^2)</f>
        <v>19.54328529</v>
      </c>
      <c r="BD1557" s="331">
        <f>SQRT(($R1557-Infrastructure!J$11)^2+($S1557-Infrastructure!K$11)^2)</f>
        <v>27.60036232</v>
      </c>
      <c r="BE1557" s="333">
        <f>SQRT(($R1557-Infrastructure!J$12)^2+($S1557-Infrastructure!K$12)^2)</f>
        <v>46.8</v>
      </c>
      <c r="BF1557" s="330">
        <f t="shared" si="161"/>
        <v>8.459314393</v>
      </c>
      <c r="BG1557" s="333">
        <f t="shared" si="162"/>
        <v>46.8</v>
      </c>
      <c r="BH1557" s="1119"/>
      <c r="BI1557" s="319"/>
      <c r="BJ1557" s="319"/>
      <c r="BK1557" s="319"/>
      <c r="BL1557" s="319"/>
      <c r="BM1557" s="319"/>
      <c r="BN1557" s="319"/>
      <c r="BO1557" s="319"/>
      <c r="BP1557" s="953"/>
      <c r="BQ1557" s="319"/>
      <c r="BR1557" s="319"/>
      <c r="BS1557" s="330">
        <f t="shared" si="169"/>
        <v>0</v>
      </c>
      <c r="BT1557" s="331">
        <f t="shared" si="170"/>
        <v>0</v>
      </c>
      <c r="BU1557" s="920"/>
      <c r="BV1557" s="903">
        <f t="shared" si="171"/>
        <v>-0.6197337963</v>
      </c>
      <c r="BW1557" s="907"/>
      <c r="BX1557" s="908"/>
      <c r="BY1557" s="331"/>
      <c r="BZ1557" s="340"/>
      <c r="CA1557" s="316"/>
      <c r="CB1557" s="318"/>
      <c r="CC1557" s="318"/>
      <c r="CD1557" s="318"/>
      <c r="CE1557" s="318"/>
      <c r="CF1557" s="318"/>
      <c r="CG1557" s="318"/>
      <c r="CH1557" s="318"/>
      <c r="CI1557" s="318"/>
      <c r="CJ1557" s="463"/>
      <c r="CK1557" s="342"/>
      <c r="CL1557" s="333"/>
      <c r="CM1557" s="1079"/>
      <c r="CN1557" s="1005"/>
      <c r="CO1557" s="1005"/>
      <c r="CP1557" s="1005"/>
    </row>
    <row r="1558">
      <c r="B1558" s="1106" t="s">
        <v>2240</v>
      </c>
      <c r="C1558" s="1107">
        <v>44872.0</v>
      </c>
      <c r="D1558" s="1113" t="s">
        <v>986</v>
      </c>
      <c r="E1558" s="1108">
        <v>5.0</v>
      </c>
      <c r="F1558" s="112" t="s">
        <v>2248</v>
      </c>
      <c r="G1558" s="1110">
        <v>0.6394675925925926</v>
      </c>
      <c r="H1558" s="1110">
        <v>0.6399421296296296</v>
      </c>
      <c r="I1558" s="1110"/>
      <c r="J1558" s="1111"/>
      <c r="K1558" s="1111">
        <v>0.6495949074074074</v>
      </c>
      <c r="L1558" s="1112">
        <v>0.009652777777777777</v>
      </c>
      <c r="M1558" s="1113" t="s">
        <v>166</v>
      </c>
      <c r="N1558" s="110" t="s">
        <v>187</v>
      </c>
      <c r="O1558" s="1115" t="s">
        <v>198</v>
      </c>
      <c r="P1558" s="1115" t="s">
        <v>223</v>
      </c>
      <c r="Q1558" s="1115" t="s">
        <v>2242</v>
      </c>
      <c r="R1558" s="120">
        <v>10.0</v>
      </c>
      <c r="S1558" s="1113">
        <v>11.7</v>
      </c>
      <c r="T1558" s="110">
        <v>0.5</v>
      </c>
      <c r="U1558" s="1108">
        <v>1.5</v>
      </c>
      <c r="V1558" s="1108"/>
      <c r="W1558" s="1108"/>
      <c r="X1558" s="1108"/>
      <c r="Y1558" s="1108"/>
      <c r="Z1558" s="1114" t="s">
        <v>343</v>
      </c>
      <c r="AA1558" s="1114"/>
      <c r="AB1558" s="1114" t="s">
        <v>380</v>
      </c>
      <c r="AC1558" s="1117">
        <v>4.0</v>
      </c>
      <c r="AD1558" s="1115"/>
      <c r="AE1558" s="1115"/>
      <c r="AF1558" s="1115"/>
      <c r="AG1558" s="1115"/>
      <c r="AH1558" s="1115"/>
      <c r="AI1558" s="1115"/>
      <c r="AJ1558" s="1117"/>
      <c r="AK1558" s="1118"/>
      <c r="AL1558" s="1115"/>
      <c r="AM1558" s="1115"/>
      <c r="AN1558" s="1115"/>
      <c r="AO1558" s="1115"/>
      <c r="AP1558" s="1115"/>
      <c r="AQ1558" s="1115"/>
      <c r="AR1558" s="1115"/>
      <c r="AS1558" s="1117"/>
      <c r="AT1558" s="1196" t="s">
        <v>182</v>
      </c>
      <c r="AU1558" s="1193" t="s">
        <v>845</v>
      </c>
      <c r="AV1558" s="330">
        <f>SQRT(($R1558-Infrastructure!J$3)^2+($S1558-Infrastructure!K$3)^2)</f>
        <v>20.04819194</v>
      </c>
      <c r="AW1558" s="331">
        <f>SQRT(($R1558-Infrastructure!J$4)^2+($S1558-Infrastructure!K$4)^2)</f>
        <v>11.9707978</v>
      </c>
      <c r="AX1558" s="331">
        <f>SQRT(($R1558-Infrastructure!J$5)^2+($S1558-Infrastructure!K$5)^2)</f>
        <v>12.23315168</v>
      </c>
      <c r="AY1558" s="331">
        <f>SQRT(($R1558-Infrastructure!J$6)^2+($S1558-Infrastructure!K$6)^2)</f>
        <v>11.40043859</v>
      </c>
      <c r="AZ1558" s="331">
        <f>SQRT(($R1558-Infrastructure!J$7)^2+($S1558-Infrastructure!K$7)^2)</f>
        <v>15.49870962</v>
      </c>
      <c r="BA1558" s="331">
        <f>SQRT(($R1558-Infrastructure!J$8)^2+($S1558-Infrastructure!K$8)^2)</f>
        <v>23.10779089</v>
      </c>
      <c r="BB1558" s="331">
        <f>SQRT(($R1558-Infrastructure!J$9)^2+($S1558-Infrastructure!K$9)^2)</f>
        <v>30.71742177</v>
      </c>
      <c r="BC1558" s="331">
        <f>SQRT(($R1558-Infrastructure!J$10)^2+($S1558-Infrastructure!K$10)^2)</f>
        <v>30.18095426</v>
      </c>
      <c r="BD1558" s="331">
        <f>SQRT(($R1558-Infrastructure!J$11)^2+($S1558-Infrastructure!K$11)^2)</f>
        <v>34.80416642</v>
      </c>
      <c r="BE1558" s="333">
        <f>SQRT(($R1558-Infrastructure!J$12)^2+($S1558-Infrastructure!K$12)^2)</f>
        <v>45.28454482</v>
      </c>
      <c r="BF1558" s="330">
        <f t="shared" si="161"/>
        <v>11.40043859</v>
      </c>
      <c r="BG1558" s="333">
        <f t="shared" si="162"/>
        <v>45.28454482</v>
      </c>
      <c r="BH1558" s="1119"/>
      <c r="BI1558" s="319"/>
      <c r="BJ1558" s="319"/>
      <c r="BK1558" s="319"/>
      <c r="BL1558" s="319"/>
      <c r="BM1558" s="319"/>
      <c r="BN1558" s="319"/>
      <c r="BO1558" s="319"/>
      <c r="BP1558" s="953"/>
      <c r="BQ1558" s="319"/>
      <c r="BR1558" s="319"/>
      <c r="BS1558" s="330">
        <f t="shared" si="169"/>
        <v>0</v>
      </c>
      <c r="BT1558" s="331">
        <f t="shared" si="170"/>
        <v>0</v>
      </c>
      <c r="BU1558" s="920"/>
      <c r="BV1558" s="903">
        <f t="shared" si="171"/>
        <v>-0.6394675926</v>
      </c>
      <c r="BW1558" s="907"/>
      <c r="BX1558" s="908"/>
      <c r="BY1558" s="331"/>
      <c r="BZ1558" s="340"/>
      <c r="CA1558" s="316"/>
      <c r="CB1558" s="318"/>
      <c r="CC1558" s="318"/>
      <c r="CD1558" s="318"/>
      <c r="CE1558" s="318"/>
      <c r="CF1558" s="318"/>
      <c r="CG1558" s="318"/>
      <c r="CH1558" s="318"/>
      <c r="CI1558" s="318"/>
      <c r="CJ1558" s="463"/>
      <c r="CK1558" s="342"/>
      <c r="CL1558" s="333"/>
      <c r="CM1558" s="1079"/>
      <c r="CN1558" s="1005"/>
      <c r="CO1558" s="1005"/>
      <c r="CP1558" s="1005"/>
    </row>
    <row r="1559">
      <c r="B1559" s="1106" t="s">
        <v>2240</v>
      </c>
      <c r="C1559" s="1107">
        <v>44872.0</v>
      </c>
      <c r="D1559" s="1113" t="s">
        <v>986</v>
      </c>
      <c r="E1559" s="1108">
        <v>6.0</v>
      </c>
      <c r="F1559" s="112" t="s">
        <v>2249</v>
      </c>
      <c r="G1559" s="1110">
        <v>0.6529513888888889</v>
      </c>
      <c r="H1559" s="1110">
        <v>0.653125</v>
      </c>
      <c r="I1559" s="1110"/>
      <c r="J1559" s="1111"/>
      <c r="K1559" s="1111">
        <v>0.6696180555555555</v>
      </c>
      <c r="L1559" s="1112">
        <v>0.016493055555555556</v>
      </c>
      <c r="M1559" s="1113" t="s">
        <v>166</v>
      </c>
      <c r="N1559" s="110" t="s">
        <v>187</v>
      </c>
      <c r="O1559" s="1115" t="s">
        <v>197</v>
      </c>
      <c r="P1559" s="1115" t="s">
        <v>272</v>
      </c>
      <c r="Q1559" s="1115" t="s">
        <v>2244</v>
      </c>
      <c r="R1559" s="120">
        <v>37.1</v>
      </c>
      <c r="S1559" s="1113">
        <v>6.9</v>
      </c>
      <c r="T1559" s="110">
        <v>6.5</v>
      </c>
      <c r="U1559" s="1108">
        <v>1.2</v>
      </c>
      <c r="V1559" s="1108"/>
      <c r="W1559" s="1108"/>
      <c r="X1559" s="1108"/>
      <c r="Y1559" s="1108"/>
      <c r="Z1559" s="1114" t="s">
        <v>379</v>
      </c>
      <c r="AA1559" s="1114"/>
      <c r="AB1559" s="1114" t="s">
        <v>380</v>
      </c>
      <c r="AC1559" s="1117">
        <v>4.0</v>
      </c>
      <c r="AD1559" s="1115"/>
      <c r="AE1559" s="1115"/>
      <c r="AF1559" s="1115"/>
      <c r="AG1559" s="1115"/>
      <c r="AH1559" s="1115"/>
      <c r="AI1559" s="1115"/>
      <c r="AJ1559" s="1117"/>
      <c r="AK1559" s="1118"/>
      <c r="AL1559" s="1115"/>
      <c r="AM1559" s="1115"/>
      <c r="AN1559" s="1115"/>
      <c r="AO1559" s="1115"/>
      <c r="AP1559" s="1115"/>
      <c r="AQ1559" s="1115"/>
      <c r="AR1559" s="1115"/>
      <c r="AS1559" s="1117"/>
      <c r="AT1559" s="1196" t="s">
        <v>182</v>
      </c>
      <c r="AU1559" s="1193" t="s">
        <v>845</v>
      </c>
      <c r="AV1559" s="330">
        <f>SQRT(($R1559-Infrastructure!J$3)^2+($S1559-Infrastructure!K$3)^2)</f>
        <v>43.39078243</v>
      </c>
      <c r="AW1559" s="331">
        <f>SQRT(($R1559-Infrastructure!J$4)^2+($S1559-Infrastructure!K$4)^2)</f>
        <v>38.95600082</v>
      </c>
      <c r="AX1559" s="331">
        <f>SQRT(($R1559-Infrastructure!J$5)^2+($S1559-Infrastructure!K$5)^2)</f>
        <v>37.44329045</v>
      </c>
      <c r="AY1559" s="331">
        <f>SQRT(($R1559-Infrastructure!J$6)^2+($S1559-Infrastructure!K$6)^2)</f>
        <v>27.79496357</v>
      </c>
      <c r="AZ1559" s="331">
        <f>SQRT(($R1559-Infrastructure!J$7)^2+($S1559-Infrastructure!K$7)^2)</f>
        <v>17.86393014</v>
      </c>
      <c r="BA1559" s="331">
        <f>SQRT(($R1559-Infrastructure!J$8)^2+($S1559-Infrastructure!K$8)^2)</f>
        <v>9.620810777</v>
      </c>
      <c r="BB1559" s="331">
        <f>SQRT(($R1559-Infrastructure!J$9)^2+($S1559-Infrastructure!K$9)^2)</f>
        <v>3.413209633</v>
      </c>
      <c r="BC1559" s="331">
        <f>SQRT(($R1559-Infrastructure!J$10)^2+($S1559-Infrastructure!K$10)^2)</f>
        <v>8.603487665</v>
      </c>
      <c r="BD1559" s="331">
        <f>SQRT(($R1559-Infrastructure!J$11)^2+($S1559-Infrastructure!K$11)^2)</f>
        <v>22.31636171</v>
      </c>
      <c r="BE1559" s="333">
        <f>SQRT(($R1559-Infrastructure!J$12)^2+($S1559-Infrastructure!K$12)^2)</f>
        <v>51.04233537</v>
      </c>
      <c r="BF1559" s="330">
        <f t="shared" si="161"/>
        <v>3.413209633</v>
      </c>
      <c r="BG1559" s="333">
        <f t="shared" si="162"/>
        <v>51.04233537</v>
      </c>
      <c r="BH1559" s="1119"/>
      <c r="BI1559" s="319"/>
      <c r="BJ1559" s="319"/>
      <c r="BK1559" s="319"/>
      <c r="BL1559" s="319"/>
      <c r="BM1559" s="319"/>
      <c r="BN1559" s="319"/>
      <c r="BO1559" s="319"/>
      <c r="BP1559" s="953"/>
      <c r="BQ1559" s="319"/>
      <c r="BR1559" s="319"/>
      <c r="BS1559" s="330">
        <f t="shared" si="169"/>
        <v>0</v>
      </c>
      <c r="BT1559" s="331">
        <f t="shared" si="170"/>
        <v>0</v>
      </c>
      <c r="BU1559" s="920"/>
      <c r="BV1559" s="903">
        <f t="shared" si="171"/>
        <v>-0.6529513889</v>
      </c>
      <c r="BW1559" s="907"/>
      <c r="BX1559" s="908"/>
      <c r="BY1559" s="331"/>
      <c r="BZ1559" s="340"/>
      <c r="CA1559" s="316"/>
      <c r="CB1559" s="318"/>
      <c r="CC1559" s="318"/>
      <c r="CD1559" s="318"/>
      <c r="CE1559" s="318"/>
      <c r="CF1559" s="318"/>
      <c r="CG1559" s="318"/>
      <c r="CH1559" s="318"/>
      <c r="CI1559" s="318"/>
      <c r="CJ1559" s="463"/>
      <c r="CK1559" s="342"/>
      <c r="CL1559" s="333"/>
      <c r="CM1559" s="1079"/>
      <c r="CN1559" s="1005"/>
      <c r="CO1559" s="1005"/>
      <c r="CP1559" s="1005"/>
    </row>
    <row r="1560">
      <c r="B1560" s="1106" t="s">
        <v>2240</v>
      </c>
      <c r="C1560" s="1107">
        <v>44872.0</v>
      </c>
      <c r="D1560" s="1113" t="s">
        <v>986</v>
      </c>
      <c r="E1560" s="1108" t="s">
        <v>1481</v>
      </c>
      <c r="F1560" s="112" t="s">
        <v>2250</v>
      </c>
      <c r="G1560" s="1110">
        <v>0.671412037037037</v>
      </c>
      <c r="H1560" s="1110">
        <v>0.671712962962963</v>
      </c>
      <c r="I1560" s="1110"/>
      <c r="J1560" s="1111"/>
      <c r="K1560" s="1111">
        <v>0.6980555555555555</v>
      </c>
      <c r="L1560" s="1112">
        <v>0.02634259259259259</v>
      </c>
      <c r="M1560" s="1113" t="s">
        <v>166</v>
      </c>
      <c r="N1560" s="110" t="s">
        <v>187</v>
      </c>
      <c r="O1560" s="1115" t="s">
        <v>202</v>
      </c>
      <c r="P1560" s="1115" t="s">
        <v>256</v>
      </c>
      <c r="Q1560" s="1115" t="s">
        <v>2242</v>
      </c>
      <c r="R1560" s="120">
        <v>24.4</v>
      </c>
      <c r="S1560" s="1113">
        <v>7.5</v>
      </c>
      <c r="T1560" s="110">
        <v>0.6</v>
      </c>
      <c r="U1560" s="1108">
        <v>0.2</v>
      </c>
      <c r="V1560" s="1108"/>
      <c r="W1560" s="1108"/>
      <c r="X1560" s="1108"/>
      <c r="Y1560" s="1108"/>
      <c r="Z1560" s="1114" t="s">
        <v>339</v>
      </c>
      <c r="AA1560" s="1114"/>
      <c r="AB1560" s="1114" t="s">
        <v>326</v>
      </c>
      <c r="AC1560" s="1117">
        <v>1.0</v>
      </c>
      <c r="AD1560" s="1115"/>
      <c r="AE1560" s="1115"/>
      <c r="AF1560" s="1115"/>
      <c r="AG1560" s="1115"/>
      <c r="AH1560" s="1115"/>
      <c r="AI1560" s="1115"/>
      <c r="AJ1560" s="1117"/>
      <c r="AK1560" s="1118"/>
      <c r="AL1560" s="1115"/>
      <c r="AM1560" s="1115"/>
      <c r="AN1560" s="1115"/>
      <c r="AO1560" s="1115"/>
      <c r="AP1560" s="1115"/>
      <c r="AQ1560" s="1115"/>
      <c r="AR1560" s="1115"/>
      <c r="AS1560" s="1117"/>
      <c r="AT1560" s="1196" t="s">
        <v>181</v>
      </c>
      <c r="AU1560" s="1193" t="s">
        <v>845</v>
      </c>
      <c r="AV1560" s="330">
        <f>SQRT(($R1560-Infrastructure!J$3)^2+($S1560-Infrastructure!K$3)^2)</f>
        <v>32.68103426</v>
      </c>
      <c r="AW1560" s="331">
        <f>SQRT(($R1560-Infrastructure!J$4)^2+($S1560-Infrastructure!K$4)^2)</f>
        <v>26.76153957</v>
      </c>
      <c r="AX1560" s="331">
        <f>SQRT(($R1560-Infrastructure!J$5)^2+($S1560-Infrastructure!K$5)^2)</f>
        <v>24.81632527</v>
      </c>
      <c r="AY1560" s="331">
        <f>SQRT(($R1560-Infrastructure!J$6)^2+($S1560-Infrastructure!K$6)^2)</f>
        <v>16.01030918</v>
      </c>
      <c r="AZ1560" s="331">
        <f>SQRT(($R1560-Infrastructure!J$7)^2+($S1560-Infrastructure!K$7)^2)</f>
        <v>8.188406438</v>
      </c>
      <c r="BA1560" s="331">
        <f>SQRT(($R1560-Infrastructure!J$8)^2+($S1560-Infrastructure!K$8)^2)</f>
        <v>9.183136719</v>
      </c>
      <c r="BB1560" s="331">
        <f>SQRT(($R1560-Infrastructure!J$9)^2+($S1560-Infrastructure!K$9)^2)</f>
        <v>15.78353573</v>
      </c>
      <c r="BC1560" s="331">
        <f>SQRT(($R1560-Infrastructure!J$10)^2+($S1560-Infrastructure!K$10)^2)</f>
        <v>17.30924608</v>
      </c>
      <c r="BD1560" s="331">
        <f>SQRT(($R1560-Infrastructure!J$11)^2+($S1560-Infrastructure!K$11)^2)</f>
        <v>26.68126684</v>
      </c>
      <c r="BE1560" s="333">
        <f>SQRT(($R1560-Infrastructure!J$12)^2+($S1560-Infrastructure!K$12)^2)</f>
        <v>48.08752437</v>
      </c>
      <c r="BF1560" s="330">
        <f t="shared" si="161"/>
        <v>8.188406438</v>
      </c>
      <c r="BG1560" s="333">
        <f t="shared" si="162"/>
        <v>48.08752437</v>
      </c>
      <c r="BH1560" s="1119"/>
      <c r="BI1560" s="319"/>
      <c r="BJ1560" s="319"/>
      <c r="BK1560" s="319"/>
      <c r="BL1560" s="319"/>
      <c r="BM1560" s="319"/>
      <c r="BN1560" s="319"/>
      <c r="BO1560" s="319"/>
      <c r="BP1560" s="953"/>
      <c r="BQ1560" s="319"/>
      <c r="BR1560" s="319"/>
      <c r="BS1560" s="330">
        <f t="shared" si="169"/>
        <v>0</v>
      </c>
      <c r="BT1560" s="331">
        <f t="shared" si="170"/>
        <v>0</v>
      </c>
      <c r="BU1560" s="920"/>
      <c r="BV1560" s="903">
        <f t="shared" si="171"/>
        <v>-0.671412037</v>
      </c>
      <c r="BW1560" s="907"/>
      <c r="BX1560" s="908"/>
      <c r="BY1560" s="331"/>
      <c r="BZ1560" s="340"/>
      <c r="CA1560" s="316"/>
      <c r="CB1560" s="318"/>
      <c r="CC1560" s="318"/>
      <c r="CD1560" s="318"/>
      <c r="CE1560" s="318"/>
      <c r="CF1560" s="318"/>
      <c r="CG1560" s="318"/>
      <c r="CH1560" s="318"/>
      <c r="CI1560" s="318"/>
      <c r="CJ1560" s="463"/>
      <c r="CK1560" s="342"/>
      <c r="CL1560" s="333"/>
      <c r="CM1560" s="1079"/>
      <c r="CN1560" s="1005"/>
      <c r="CO1560" s="1005"/>
      <c r="CP1560" s="1005"/>
    </row>
    <row r="1561">
      <c r="B1561" s="1106" t="s">
        <v>2240</v>
      </c>
      <c r="C1561" s="1107">
        <v>44872.0</v>
      </c>
      <c r="D1561" s="1113" t="s">
        <v>986</v>
      </c>
      <c r="E1561" s="1108" t="s">
        <v>1483</v>
      </c>
      <c r="F1561" s="112" t="s">
        <v>2251</v>
      </c>
      <c r="G1561" s="1110">
        <v>0.671412037037037</v>
      </c>
      <c r="H1561" s="1110">
        <v>0.671712962962963</v>
      </c>
      <c r="I1561" s="1110"/>
      <c r="J1561" s="1111"/>
      <c r="K1561" s="1111">
        <v>0.7001736111111111</v>
      </c>
      <c r="L1561" s="1112">
        <v>0.028460648148148148</v>
      </c>
      <c r="M1561" s="1113" t="s">
        <v>166</v>
      </c>
      <c r="N1561" s="110" t="s">
        <v>187</v>
      </c>
      <c r="O1561" s="1115" t="s">
        <v>202</v>
      </c>
      <c r="P1561" s="1115" t="s">
        <v>256</v>
      </c>
      <c r="Q1561" s="1115" t="s">
        <v>2246</v>
      </c>
      <c r="R1561" s="120">
        <v>24.4</v>
      </c>
      <c r="S1561" s="1113">
        <v>7.5</v>
      </c>
      <c r="T1561" s="110">
        <v>0.6</v>
      </c>
      <c r="U1561" s="1108">
        <v>0.3</v>
      </c>
      <c r="V1561" s="1108"/>
      <c r="W1561" s="1108"/>
      <c r="X1561" s="1108"/>
      <c r="Y1561" s="1108"/>
      <c r="Z1561" s="1114" t="s">
        <v>347</v>
      </c>
      <c r="AA1561" s="1114"/>
      <c r="AB1561" s="1114" t="s">
        <v>326</v>
      </c>
      <c r="AC1561" s="1117">
        <v>1.0</v>
      </c>
      <c r="AD1561" s="1115"/>
      <c r="AE1561" s="1115"/>
      <c r="AF1561" s="1115"/>
      <c r="AG1561" s="1115"/>
      <c r="AH1561" s="1115"/>
      <c r="AI1561" s="1115"/>
      <c r="AJ1561" s="1117"/>
      <c r="AK1561" s="1118"/>
      <c r="AL1561" s="1115"/>
      <c r="AM1561" s="1115"/>
      <c r="AN1561" s="1115"/>
      <c r="AO1561" s="1115"/>
      <c r="AP1561" s="1115"/>
      <c r="AQ1561" s="1115"/>
      <c r="AR1561" s="1115"/>
      <c r="AS1561" s="1117"/>
      <c r="AT1561" s="1196" t="s">
        <v>181</v>
      </c>
      <c r="AU1561" s="1193" t="s">
        <v>845</v>
      </c>
      <c r="AV1561" s="330">
        <f>SQRT(($R1561-Infrastructure!J$3)^2+($S1561-Infrastructure!K$3)^2)</f>
        <v>32.68103426</v>
      </c>
      <c r="AW1561" s="331">
        <f>SQRT(($R1561-Infrastructure!J$4)^2+($S1561-Infrastructure!K$4)^2)</f>
        <v>26.76153957</v>
      </c>
      <c r="AX1561" s="331">
        <f>SQRT(($R1561-Infrastructure!J$5)^2+($S1561-Infrastructure!K$5)^2)</f>
        <v>24.81632527</v>
      </c>
      <c r="AY1561" s="331">
        <f>SQRT(($R1561-Infrastructure!J$6)^2+($S1561-Infrastructure!K$6)^2)</f>
        <v>16.01030918</v>
      </c>
      <c r="AZ1561" s="331">
        <f>SQRT(($R1561-Infrastructure!J$7)^2+($S1561-Infrastructure!K$7)^2)</f>
        <v>8.188406438</v>
      </c>
      <c r="BA1561" s="331">
        <f>SQRT(($R1561-Infrastructure!J$8)^2+($S1561-Infrastructure!K$8)^2)</f>
        <v>9.183136719</v>
      </c>
      <c r="BB1561" s="331">
        <f>SQRT(($R1561-Infrastructure!J$9)^2+($S1561-Infrastructure!K$9)^2)</f>
        <v>15.78353573</v>
      </c>
      <c r="BC1561" s="331">
        <f>SQRT(($R1561-Infrastructure!J$10)^2+($S1561-Infrastructure!K$10)^2)</f>
        <v>17.30924608</v>
      </c>
      <c r="BD1561" s="331">
        <f>SQRT(($R1561-Infrastructure!J$11)^2+($S1561-Infrastructure!K$11)^2)</f>
        <v>26.68126684</v>
      </c>
      <c r="BE1561" s="333">
        <f>SQRT(($R1561-Infrastructure!J$12)^2+($S1561-Infrastructure!K$12)^2)</f>
        <v>48.08752437</v>
      </c>
      <c r="BF1561" s="330">
        <f t="shared" si="161"/>
        <v>8.188406438</v>
      </c>
      <c r="BG1561" s="333">
        <f t="shared" si="162"/>
        <v>48.08752437</v>
      </c>
      <c r="BH1561" s="1119"/>
      <c r="BI1561" s="319"/>
      <c r="BJ1561" s="319"/>
      <c r="BK1561" s="319"/>
      <c r="BL1561" s="319"/>
      <c r="BM1561" s="319"/>
      <c r="BN1561" s="319"/>
      <c r="BO1561" s="319"/>
      <c r="BP1561" s="953"/>
      <c r="BQ1561" s="319"/>
      <c r="BR1561" s="319"/>
      <c r="BS1561" s="330">
        <f t="shared" si="169"/>
        <v>0</v>
      </c>
      <c r="BT1561" s="331">
        <f t="shared" si="170"/>
        <v>0</v>
      </c>
      <c r="BU1561" s="920"/>
      <c r="BV1561" s="903">
        <f t="shared" si="171"/>
        <v>-0.671412037</v>
      </c>
      <c r="BW1561" s="907"/>
      <c r="BX1561" s="908"/>
      <c r="BY1561" s="331"/>
      <c r="BZ1561" s="340"/>
      <c r="CA1561" s="316"/>
      <c r="CB1561" s="318"/>
      <c r="CC1561" s="318"/>
      <c r="CD1561" s="318"/>
      <c r="CE1561" s="318"/>
      <c r="CF1561" s="318"/>
      <c r="CG1561" s="318"/>
      <c r="CH1561" s="318"/>
      <c r="CI1561" s="318"/>
      <c r="CJ1561" s="463"/>
      <c r="CK1561" s="342"/>
      <c r="CL1561" s="333"/>
      <c r="CM1561" s="1079"/>
      <c r="CN1561" s="1005"/>
      <c r="CO1561" s="1005"/>
      <c r="CP1561" s="1005"/>
    </row>
    <row r="1562">
      <c r="B1562" s="1106" t="s">
        <v>2240</v>
      </c>
      <c r="C1562" s="1107">
        <v>44873.0</v>
      </c>
      <c r="D1562" s="1113" t="s">
        <v>986</v>
      </c>
      <c r="E1562" s="1108" t="s">
        <v>1267</v>
      </c>
      <c r="F1562" s="112" t="s">
        <v>2252</v>
      </c>
      <c r="G1562" s="1110">
        <v>0.7065972222222222</v>
      </c>
      <c r="H1562" s="1110">
        <v>0.7071990740740741</v>
      </c>
      <c r="I1562" s="1110"/>
      <c r="J1562" s="1111"/>
      <c r="K1562" s="1111">
        <v>0.7246412037037037</v>
      </c>
      <c r="L1562" s="1112">
        <v>0.01744212962962963</v>
      </c>
      <c r="M1562" s="1113" t="s">
        <v>166</v>
      </c>
      <c r="N1562" s="110" t="s">
        <v>187</v>
      </c>
      <c r="O1562" s="1115" t="s">
        <v>204</v>
      </c>
      <c r="P1562" s="1115" t="s">
        <v>215</v>
      </c>
      <c r="Q1562" s="1115" t="s">
        <v>2242</v>
      </c>
      <c r="R1562" s="120">
        <v>18.5</v>
      </c>
      <c r="S1562" s="1113">
        <v>3.3</v>
      </c>
      <c r="T1562" s="110">
        <v>1.9</v>
      </c>
      <c r="U1562" s="1108">
        <v>0.2</v>
      </c>
      <c r="V1562" s="1108"/>
      <c r="W1562" s="1108"/>
      <c r="X1562" s="1108"/>
      <c r="Y1562" s="1108"/>
      <c r="Z1562" s="1114" t="s">
        <v>365</v>
      </c>
      <c r="AA1562" s="1114"/>
      <c r="AB1562" s="1114" t="s">
        <v>388</v>
      </c>
      <c r="AC1562" s="1117">
        <v>8.0</v>
      </c>
      <c r="AD1562" s="1115"/>
      <c r="AE1562" s="1115"/>
      <c r="AF1562" s="1115"/>
      <c r="AG1562" s="1115"/>
      <c r="AH1562" s="1115"/>
      <c r="AI1562" s="1115"/>
      <c r="AJ1562" s="1117"/>
      <c r="AK1562" s="1118"/>
      <c r="AL1562" s="1115"/>
      <c r="AM1562" s="1115"/>
      <c r="AN1562" s="1115"/>
      <c r="AO1562" s="1115"/>
      <c r="AP1562" s="1115"/>
      <c r="AQ1562" s="1115"/>
      <c r="AR1562" s="1115"/>
      <c r="AS1562" s="1117"/>
      <c r="AT1562" s="1196" t="s">
        <v>181</v>
      </c>
      <c r="AU1562" s="1193" t="s">
        <v>845</v>
      </c>
      <c r="AV1562" s="330">
        <f>SQRT(($R1562-Infrastructure!J$3)^2+($S1562-Infrastructure!K$3)^2)</f>
        <v>31.76161205</v>
      </c>
      <c r="AW1562" s="331">
        <f>SQRT(($R1562-Infrastructure!J$4)^2+($S1562-Infrastructure!K$4)^2)</f>
        <v>23.7421566</v>
      </c>
      <c r="AX1562" s="331">
        <f>SQRT(($R1562-Infrastructure!J$5)^2+($S1562-Infrastructure!K$5)^2)</f>
        <v>18.88597363</v>
      </c>
      <c r="AY1562" s="331">
        <f>SQRT(($R1562-Infrastructure!J$6)^2+($S1562-Infrastructure!K$6)^2)</f>
        <v>8.919641248</v>
      </c>
      <c r="AZ1562" s="331">
        <f>SQRT(($R1562-Infrastructure!J$7)^2+($S1562-Infrastructure!K$7)^2)</f>
        <v>3.605551275</v>
      </c>
      <c r="BA1562" s="331">
        <f>SQRT(($R1562-Infrastructure!J$8)^2+($S1562-Infrastructure!K$8)^2)</f>
        <v>11.98165264</v>
      </c>
      <c r="BB1562" s="331">
        <f>SQRT(($R1562-Infrastructure!J$9)^2+($S1562-Infrastructure!K$9)^2)</f>
        <v>21.57521726</v>
      </c>
      <c r="BC1562" s="331">
        <f>SQRT(($R1562-Infrastructure!J$10)^2+($S1562-Infrastructure!K$10)^2)</f>
        <v>24.47733646</v>
      </c>
      <c r="BD1562" s="331">
        <f>SQRT(($R1562-Infrastructure!J$11)^2+($S1562-Infrastructure!K$11)^2)</f>
        <v>33.63599263</v>
      </c>
      <c r="BE1562" s="333">
        <f>SQRT(($R1562-Infrastructure!J$12)^2+($S1562-Infrastructure!K$12)^2)</f>
        <v>52.28613583</v>
      </c>
      <c r="BF1562" s="330">
        <f t="shared" si="161"/>
        <v>3.605551275</v>
      </c>
      <c r="BG1562" s="333">
        <f t="shared" si="162"/>
        <v>52.28613583</v>
      </c>
      <c r="BH1562" s="1119"/>
      <c r="BI1562" s="319"/>
      <c r="BJ1562" s="319"/>
      <c r="BK1562" s="319"/>
      <c r="BL1562" s="319"/>
      <c r="BM1562" s="319"/>
      <c r="BN1562" s="319"/>
      <c r="BO1562" s="319"/>
      <c r="BP1562" s="953"/>
      <c r="BQ1562" s="319"/>
      <c r="BR1562" s="319"/>
      <c r="BS1562" s="330">
        <f t="shared" si="169"/>
        <v>0</v>
      </c>
      <c r="BT1562" s="331">
        <f t="shared" si="170"/>
        <v>0</v>
      </c>
      <c r="BU1562" s="920"/>
      <c r="BV1562" s="903">
        <f t="shared" si="171"/>
        <v>-0.7065972222</v>
      </c>
      <c r="BW1562" s="907"/>
      <c r="BX1562" s="908"/>
      <c r="BY1562" s="331"/>
      <c r="BZ1562" s="340"/>
      <c r="CA1562" s="316"/>
      <c r="CB1562" s="318"/>
      <c r="CC1562" s="318"/>
      <c r="CD1562" s="318"/>
      <c r="CE1562" s="318"/>
      <c r="CF1562" s="318"/>
      <c r="CG1562" s="318"/>
      <c r="CH1562" s="318"/>
      <c r="CI1562" s="318"/>
      <c r="CJ1562" s="463"/>
      <c r="CK1562" s="342"/>
      <c r="CL1562" s="333"/>
      <c r="CM1562" s="1079"/>
      <c r="CN1562" s="1005"/>
      <c r="CO1562" s="1005"/>
      <c r="CP1562" s="1005"/>
    </row>
    <row r="1563">
      <c r="A1563" s="634"/>
      <c r="B1563" s="1121" t="s">
        <v>2240</v>
      </c>
      <c r="C1563" s="1122">
        <v>44873.0</v>
      </c>
      <c r="D1563" s="1129" t="s">
        <v>986</v>
      </c>
      <c r="E1563" s="1124" t="s">
        <v>1269</v>
      </c>
      <c r="F1563" s="108" t="s">
        <v>2253</v>
      </c>
      <c r="G1563" s="1126">
        <v>0.7065972222222222</v>
      </c>
      <c r="H1563" s="1126">
        <v>0.7071990740740741</v>
      </c>
      <c r="I1563" s="1126"/>
      <c r="J1563" s="1127"/>
      <c r="K1563" s="1127">
        <v>0.7246990740740741</v>
      </c>
      <c r="L1563" s="1128">
        <v>0.0175</v>
      </c>
      <c r="M1563" s="1129" t="s">
        <v>166</v>
      </c>
      <c r="N1563" s="100" t="s">
        <v>187</v>
      </c>
      <c r="O1563" s="1131" t="s">
        <v>199</v>
      </c>
      <c r="P1563" s="1131" t="s">
        <v>272</v>
      </c>
      <c r="Q1563" s="1131" t="s">
        <v>2244</v>
      </c>
      <c r="R1563" s="137">
        <v>16.1</v>
      </c>
      <c r="S1563" s="1129">
        <v>9.6</v>
      </c>
      <c r="T1563" s="100">
        <v>0.0</v>
      </c>
      <c r="U1563" s="1124">
        <v>0.6</v>
      </c>
      <c r="V1563" s="1124"/>
      <c r="W1563" s="1124"/>
      <c r="X1563" s="1124"/>
      <c r="Y1563" s="1124"/>
      <c r="Z1563" s="1130" t="s">
        <v>351</v>
      </c>
      <c r="AA1563" s="1130"/>
      <c r="AB1563" s="1130" t="s">
        <v>375</v>
      </c>
      <c r="AC1563" s="1133">
        <v>2.7</v>
      </c>
      <c r="AD1563" s="1131"/>
      <c r="AE1563" s="1131"/>
      <c r="AF1563" s="1131"/>
      <c r="AG1563" s="1131"/>
      <c r="AH1563" s="1131"/>
      <c r="AI1563" s="1131"/>
      <c r="AJ1563" s="1133"/>
      <c r="AK1563" s="1134"/>
      <c r="AL1563" s="1131"/>
      <c r="AM1563" s="1131"/>
      <c r="AN1563" s="1131"/>
      <c r="AO1563" s="1131"/>
      <c r="AP1563" s="1131"/>
      <c r="AQ1563" s="1131"/>
      <c r="AR1563" s="1131"/>
      <c r="AS1563" s="1133"/>
      <c r="AT1563" s="1197" t="s">
        <v>181</v>
      </c>
      <c r="AU1563" s="1194" t="s">
        <v>845</v>
      </c>
      <c r="AV1563" s="330">
        <f>SQRT(($R1563-Infrastructure!J$3)^2+($S1563-Infrastructure!K$3)^2)</f>
        <v>25.32686321</v>
      </c>
      <c r="AW1563" s="331">
        <f>SQRT(($R1563-Infrastructure!J$4)^2+($S1563-Infrastructure!K$4)^2)</f>
        <v>18.33575742</v>
      </c>
      <c r="AX1563" s="331">
        <f>SQRT(($R1563-Infrastructure!J$5)^2+($S1563-Infrastructure!K$5)^2)</f>
        <v>17.00617535</v>
      </c>
      <c r="AY1563" s="331">
        <f>SQRT(($R1563-Infrastructure!J$6)^2+($S1563-Infrastructure!K$6)^2)</f>
        <v>11.06752005</v>
      </c>
      <c r="AZ1563" s="331">
        <f>SQRT(($R1563-Infrastructure!J$7)^2+($S1563-Infrastructure!K$7)^2)</f>
        <v>10.28834292</v>
      </c>
      <c r="BA1563" s="331">
        <f>SQRT(($R1563-Infrastructure!J$8)^2+($S1563-Infrastructure!K$8)^2)</f>
        <v>16.80743883</v>
      </c>
      <c r="BB1563" s="331">
        <f>SQRT(($R1563-Infrastructure!J$9)^2+($S1563-Infrastructure!K$9)^2)</f>
        <v>24.31995066</v>
      </c>
      <c r="BC1563" s="331">
        <f>SQRT(($R1563-Infrastructure!J$10)^2+($S1563-Infrastructure!K$10)^2)</f>
        <v>24.50244886</v>
      </c>
      <c r="BD1563" s="331">
        <f>SQRT(($R1563-Infrastructure!J$11)^2+($S1563-Infrastructure!K$11)^2)</f>
        <v>30.93816413</v>
      </c>
      <c r="BE1563" s="333">
        <f>SQRT(($R1563-Infrastructure!J$12)^2+($S1563-Infrastructure!K$12)^2)</f>
        <v>46.21655548</v>
      </c>
      <c r="BF1563" s="330">
        <f t="shared" si="161"/>
        <v>10.28834292</v>
      </c>
      <c r="BG1563" s="333">
        <f t="shared" si="162"/>
        <v>46.21655548</v>
      </c>
      <c r="BH1563" s="1135"/>
      <c r="BI1563" s="663"/>
      <c r="BJ1563" s="663"/>
      <c r="BK1563" s="663"/>
      <c r="BL1563" s="663"/>
      <c r="BM1563" s="663"/>
      <c r="BN1563" s="663"/>
      <c r="BO1563" s="663"/>
      <c r="BP1563" s="958"/>
      <c r="BQ1563" s="663"/>
      <c r="BR1563" s="663"/>
      <c r="BS1563" s="330">
        <f t="shared" si="169"/>
        <v>0</v>
      </c>
      <c r="BT1563" s="331">
        <f t="shared" si="170"/>
        <v>0</v>
      </c>
      <c r="BU1563" s="920"/>
      <c r="BV1563" s="903">
        <f t="shared" si="171"/>
        <v>-0.7065972222</v>
      </c>
      <c r="BW1563" s="938"/>
      <c r="BX1563" s="939"/>
      <c r="BY1563" s="641"/>
      <c r="BZ1563" s="742"/>
      <c r="CA1563" s="639"/>
      <c r="CB1563" s="640"/>
      <c r="CC1563" s="640"/>
      <c r="CD1563" s="640"/>
      <c r="CE1563" s="640"/>
      <c r="CF1563" s="640"/>
      <c r="CG1563" s="640"/>
      <c r="CH1563" s="640"/>
      <c r="CI1563" s="640"/>
      <c r="CJ1563" s="785"/>
      <c r="CK1563" s="743"/>
      <c r="CL1563" s="642"/>
      <c r="CM1563" s="1090"/>
      <c r="CN1563" s="1005"/>
      <c r="CO1563" s="1005"/>
      <c r="CP1563" s="1005"/>
    </row>
    <row r="1564">
      <c r="A1564" s="1162" t="s">
        <v>88</v>
      </c>
      <c r="B1564" s="1106" t="s">
        <v>2240</v>
      </c>
      <c r="C1564" s="1107">
        <v>44873.0</v>
      </c>
      <c r="D1564" s="1113" t="s">
        <v>986</v>
      </c>
      <c r="E1564" s="1108">
        <v>9.0</v>
      </c>
      <c r="F1564" s="112" t="s">
        <v>2254</v>
      </c>
      <c r="G1564" s="1110">
        <v>0.36809027777777775</v>
      </c>
      <c r="H1564" s="1110">
        <v>0.36875</v>
      </c>
      <c r="I1564" s="1110"/>
      <c r="J1564" s="1111"/>
      <c r="K1564" s="1111">
        <v>0.38634259259259257</v>
      </c>
      <c r="L1564" s="1112">
        <v>0.017592592592592594</v>
      </c>
      <c r="M1564" s="1113" t="s">
        <v>166</v>
      </c>
      <c r="N1564" s="110" t="s">
        <v>187</v>
      </c>
      <c r="O1564" s="1115" t="s">
        <v>205</v>
      </c>
      <c r="P1564" s="1115" t="s">
        <v>296</v>
      </c>
      <c r="Q1564" s="1115" t="s">
        <v>2242</v>
      </c>
      <c r="R1564" s="120">
        <v>20.7</v>
      </c>
      <c r="S1564" s="1113">
        <v>5.1</v>
      </c>
      <c r="T1564" s="110">
        <v>1.2</v>
      </c>
      <c r="U1564" s="1108">
        <v>0.3</v>
      </c>
      <c r="V1564" s="1108"/>
      <c r="W1564" s="1108"/>
      <c r="X1564" s="1108"/>
      <c r="Y1564" s="1108"/>
      <c r="Z1564" s="1114" t="s">
        <v>365</v>
      </c>
      <c r="AA1564" s="1114"/>
      <c r="AB1564" s="1114" t="s">
        <v>380</v>
      </c>
      <c r="AC1564" s="1117">
        <v>4.0</v>
      </c>
      <c r="AD1564" s="1115"/>
      <c r="AE1564" s="1115"/>
      <c r="AF1564" s="1115"/>
      <c r="AG1564" s="1115"/>
      <c r="AH1564" s="1115"/>
      <c r="AI1564" s="1115"/>
      <c r="AJ1564" s="1117"/>
      <c r="AK1564" s="1118"/>
      <c r="AL1564" s="1115"/>
      <c r="AM1564" s="1115"/>
      <c r="AN1564" s="1115"/>
      <c r="AO1564" s="1115"/>
      <c r="AP1564" s="1115"/>
      <c r="AQ1564" s="1115"/>
      <c r="AR1564" s="1115"/>
      <c r="AS1564" s="1117"/>
      <c r="AT1564" s="1196" t="s">
        <v>181</v>
      </c>
      <c r="AU1564" s="1193" t="s">
        <v>845</v>
      </c>
      <c r="AV1564" s="330">
        <f>SQRT(($R1564-Infrastructure!J$3)^2+($S1564-Infrastructure!K$3)^2)</f>
        <v>31.74019534</v>
      </c>
      <c r="AW1564" s="331">
        <f>SQRT(($R1564-Infrastructure!J$4)^2+($S1564-Infrastructure!K$4)^2)</f>
        <v>24.54159734</v>
      </c>
      <c r="AX1564" s="331">
        <f>SQRT(($R1564-Infrastructure!J$5)^2+($S1564-Infrastructure!K$5)^2)</f>
        <v>21</v>
      </c>
      <c r="AY1564" s="331">
        <f>SQRT(($R1564-Infrastructure!J$6)^2+($S1564-Infrastructure!K$6)^2)</f>
        <v>11.63615057</v>
      </c>
      <c r="AZ1564" s="331">
        <f>SQRT(($R1564-Infrastructure!J$7)^2+($S1564-Infrastructure!K$7)^2)</f>
        <v>4.80416486</v>
      </c>
      <c r="BA1564" s="331">
        <f>SQRT(($R1564-Infrastructure!J$8)^2+($S1564-Infrastructure!K$8)^2)</f>
        <v>10.55461984</v>
      </c>
      <c r="BB1564" s="331">
        <f>SQRT(($R1564-Infrastructure!J$9)^2+($S1564-Infrastructure!K$9)^2)</f>
        <v>19.3</v>
      </c>
      <c r="BC1564" s="331">
        <f>SQRT(($R1564-Infrastructure!J$10)^2+($S1564-Infrastructure!K$10)^2)</f>
        <v>21.69101196</v>
      </c>
      <c r="BD1564" s="331">
        <f>SQRT(($R1564-Infrastructure!J$11)^2+($S1564-Infrastructure!K$11)^2)</f>
        <v>30.84574525</v>
      </c>
      <c r="BE1564" s="333">
        <f>SQRT(($R1564-Infrastructure!J$12)^2+($S1564-Infrastructure!K$12)^2)</f>
        <v>50.40634881</v>
      </c>
      <c r="BF1564" s="330">
        <f t="shared" si="161"/>
        <v>4.80416486</v>
      </c>
      <c r="BG1564" s="333">
        <f t="shared" si="162"/>
        <v>50.40634881</v>
      </c>
      <c r="BH1564" s="1119"/>
      <c r="BI1564" s="319"/>
      <c r="BJ1564" s="319"/>
      <c r="BK1564" s="319"/>
      <c r="BL1564" s="319"/>
      <c r="BM1564" s="319"/>
      <c r="BN1564" s="319"/>
      <c r="BO1564" s="319"/>
      <c r="BP1564" s="953"/>
      <c r="BQ1564" s="319"/>
      <c r="BR1564" s="319"/>
      <c r="BS1564" s="405">
        <f t="shared" si="169"/>
        <v>0</v>
      </c>
      <c r="BT1564" s="406">
        <f t="shared" si="170"/>
        <v>0</v>
      </c>
      <c r="BU1564" s="931"/>
      <c r="BV1564" s="901">
        <f t="shared" si="171"/>
        <v>-0.3680902778</v>
      </c>
      <c r="BW1564" s="907"/>
      <c r="BX1564" s="908"/>
      <c r="BY1564" s="331"/>
      <c r="BZ1564" s="340"/>
      <c r="CA1564" s="316"/>
      <c r="CB1564" s="318"/>
      <c r="CC1564" s="318"/>
      <c r="CD1564" s="318"/>
      <c r="CE1564" s="318"/>
      <c r="CF1564" s="318"/>
      <c r="CG1564" s="318"/>
      <c r="CH1564" s="318"/>
      <c r="CI1564" s="318"/>
      <c r="CJ1564" s="463"/>
      <c r="CK1564" s="342"/>
      <c r="CL1564" s="333"/>
      <c r="CM1564" s="1079"/>
      <c r="CN1564" s="1005"/>
      <c r="CO1564" s="1005"/>
      <c r="CP1564" s="1005"/>
    </row>
    <row r="1565">
      <c r="B1565" s="1106" t="s">
        <v>2240</v>
      </c>
      <c r="C1565" s="1107">
        <v>44873.0</v>
      </c>
      <c r="D1565" s="1113" t="s">
        <v>986</v>
      </c>
      <c r="E1565" s="1108">
        <v>10.0</v>
      </c>
      <c r="F1565" s="112" t="s">
        <v>2255</v>
      </c>
      <c r="G1565" s="1110">
        <v>0.3880439814814815</v>
      </c>
      <c r="H1565" s="1110">
        <v>0.38851851851851854</v>
      </c>
      <c r="I1565" s="1110"/>
      <c r="J1565" s="1111"/>
      <c r="K1565" s="1111">
        <v>0.4041087962962963</v>
      </c>
      <c r="L1565" s="1112">
        <v>0.015590277777777778</v>
      </c>
      <c r="M1565" s="1113" t="s">
        <v>166</v>
      </c>
      <c r="N1565" s="110" t="s">
        <v>187</v>
      </c>
      <c r="O1565" s="1115" t="s">
        <v>203</v>
      </c>
      <c r="P1565" s="1115" t="s">
        <v>250</v>
      </c>
      <c r="Q1565" s="1115" t="s">
        <v>2244</v>
      </c>
      <c r="R1565" s="120">
        <v>15.1</v>
      </c>
      <c r="S1565" s="1113">
        <v>2.4</v>
      </c>
      <c r="T1565" s="110">
        <v>1.2</v>
      </c>
      <c r="U1565" s="1108">
        <v>0.4</v>
      </c>
      <c r="V1565" s="1108"/>
      <c r="W1565" s="1108"/>
      <c r="X1565" s="1108"/>
      <c r="Y1565" s="1108"/>
      <c r="Z1565" s="1114" t="s">
        <v>357</v>
      </c>
      <c r="AA1565" s="1114"/>
      <c r="AB1565" s="1114" t="s">
        <v>375</v>
      </c>
      <c r="AC1565" s="1117">
        <v>2.7</v>
      </c>
      <c r="AD1565" s="1115"/>
      <c r="AE1565" s="1115"/>
      <c r="AF1565" s="1115"/>
      <c r="AG1565" s="1115"/>
      <c r="AH1565" s="1115"/>
      <c r="AI1565" s="1115"/>
      <c r="AJ1565" s="1117"/>
      <c r="AK1565" s="1118"/>
      <c r="AL1565" s="1115"/>
      <c r="AM1565" s="1115"/>
      <c r="AN1565" s="1115"/>
      <c r="AO1565" s="1115"/>
      <c r="AP1565" s="1115"/>
      <c r="AQ1565" s="1115"/>
      <c r="AR1565" s="1115"/>
      <c r="AS1565" s="1117"/>
      <c r="AT1565" s="1196" t="s">
        <v>181</v>
      </c>
      <c r="AU1565" s="1193" t="s">
        <v>845</v>
      </c>
      <c r="AV1565" s="330">
        <f>SQRT(($R1565-Infrastructure!J$3)^2+($S1565-Infrastructure!K$3)^2)</f>
        <v>30.64979608</v>
      </c>
      <c r="AW1565" s="331">
        <f>SQRT(($R1565-Infrastructure!J$4)^2+($S1565-Infrastructure!K$4)^2)</f>
        <v>21.77888886</v>
      </c>
      <c r="AX1565" s="331">
        <f>SQRT(($R1565-Infrastructure!J$5)^2+($S1565-Infrastructure!K$5)^2)</f>
        <v>15.63489687</v>
      </c>
      <c r="AY1565" s="331">
        <f>SQRT(($R1565-Infrastructure!J$6)^2+($S1565-Infrastructure!K$6)^2)</f>
        <v>5.423098745</v>
      </c>
      <c r="AZ1565" s="331">
        <f>SQRT(($R1565-Infrastructure!J$7)^2+($S1565-Infrastructure!K$7)^2)</f>
        <v>5.793962375</v>
      </c>
      <c r="BA1565" s="331">
        <f>SQRT(($R1565-Infrastructure!J$8)^2+($S1565-Infrastructure!K$8)^2)</f>
        <v>15.14628667</v>
      </c>
      <c r="BB1565" s="331">
        <f>SQRT(($R1565-Infrastructure!J$9)^2+($S1565-Infrastructure!K$9)^2)</f>
        <v>25.04595776</v>
      </c>
      <c r="BC1565" s="331">
        <f>SQRT(($R1565-Infrastructure!J$10)^2+($S1565-Infrastructure!K$10)^2)</f>
        <v>27.90645087</v>
      </c>
      <c r="BD1565" s="331">
        <f>SQRT(($R1565-Infrastructure!J$11)^2+($S1565-Infrastructure!K$11)^2)</f>
        <v>36.5728041</v>
      </c>
      <c r="BE1565" s="333">
        <f>SQRT(($R1565-Infrastructure!J$12)^2+($S1565-Infrastructure!K$12)^2)</f>
        <v>53.48429676</v>
      </c>
      <c r="BF1565" s="330">
        <f t="shared" si="161"/>
        <v>5.423098745</v>
      </c>
      <c r="BG1565" s="333">
        <f t="shared" si="162"/>
        <v>53.48429676</v>
      </c>
      <c r="BH1565" s="1119"/>
      <c r="BI1565" s="319"/>
      <c r="BJ1565" s="319"/>
      <c r="BK1565" s="319"/>
      <c r="BL1565" s="319"/>
      <c r="BM1565" s="319"/>
      <c r="BN1565" s="319"/>
      <c r="BO1565" s="319"/>
      <c r="BP1565" s="953"/>
      <c r="BQ1565" s="319"/>
      <c r="BR1565" s="319"/>
      <c r="BS1565" s="330">
        <f t="shared" si="169"/>
        <v>0</v>
      </c>
      <c r="BT1565" s="331">
        <f t="shared" si="170"/>
        <v>0</v>
      </c>
      <c r="BU1565" s="920"/>
      <c r="BV1565" s="903">
        <f t="shared" si="171"/>
        <v>-0.3880439815</v>
      </c>
      <c r="BW1565" s="907"/>
      <c r="BX1565" s="908"/>
      <c r="BY1565" s="331"/>
      <c r="BZ1565" s="340"/>
      <c r="CA1565" s="316"/>
      <c r="CB1565" s="318"/>
      <c r="CC1565" s="318"/>
      <c r="CD1565" s="318"/>
      <c r="CE1565" s="318"/>
      <c r="CF1565" s="318"/>
      <c r="CG1565" s="318"/>
      <c r="CH1565" s="318"/>
      <c r="CI1565" s="318"/>
      <c r="CJ1565" s="463"/>
      <c r="CK1565" s="342"/>
      <c r="CL1565" s="333"/>
      <c r="CM1565" s="1079"/>
      <c r="CN1565" s="1005"/>
      <c r="CO1565" s="1005"/>
      <c r="CP1565" s="1005"/>
    </row>
    <row r="1566">
      <c r="B1566" s="1106" t="s">
        <v>2240</v>
      </c>
      <c r="C1566" s="1107">
        <v>44873.0</v>
      </c>
      <c r="D1566" s="1113" t="s">
        <v>986</v>
      </c>
      <c r="E1566" s="1108">
        <v>11.0</v>
      </c>
      <c r="F1566" s="112" t="s">
        <v>2256</v>
      </c>
      <c r="G1566" s="1110">
        <v>0.4056712962962963</v>
      </c>
      <c r="H1566" s="1110">
        <v>0.40729166666666666</v>
      </c>
      <c r="I1566" s="1110"/>
      <c r="J1566" s="1111"/>
      <c r="K1566" s="1111">
        <v>0.4281828703703704</v>
      </c>
      <c r="L1566" s="1112">
        <v>0.020891203703703703</v>
      </c>
      <c r="M1566" s="1113" t="s">
        <v>166</v>
      </c>
      <c r="N1566" s="110" t="s">
        <v>187</v>
      </c>
      <c r="O1566" s="1115" t="s">
        <v>204</v>
      </c>
      <c r="P1566" s="1115" t="s">
        <v>260</v>
      </c>
      <c r="Q1566" s="1115" t="s">
        <v>2242</v>
      </c>
      <c r="R1566" s="120">
        <v>18.6</v>
      </c>
      <c r="S1566" s="1113">
        <v>4.4</v>
      </c>
      <c r="T1566" s="110">
        <v>2.5</v>
      </c>
      <c r="U1566" s="1108">
        <v>0.13</v>
      </c>
      <c r="V1566" s="1108"/>
      <c r="W1566" s="1108"/>
      <c r="X1566" s="1108"/>
      <c r="Y1566" s="1108"/>
      <c r="Z1566" s="1114" t="s">
        <v>365</v>
      </c>
      <c r="AA1566" s="1114"/>
      <c r="AB1566" s="1114" t="s">
        <v>380</v>
      </c>
      <c r="AC1566" s="1117">
        <v>4.0</v>
      </c>
      <c r="AD1566" s="1115"/>
      <c r="AE1566" s="1115"/>
      <c r="AF1566" s="1115"/>
      <c r="AG1566" s="1115"/>
      <c r="AH1566" s="1115"/>
      <c r="AI1566" s="1115"/>
      <c r="AJ1566" s="1117"/>
      <c r="AK1566" s="1118"/>
      <c r="AL1566" s="1115"/>
      <c r="AM1566" s="1115"/>
      <c r="AN1566" s="1115"/>
      <c r="AO1566" s="1115"/>
      <c r="AP1566" s="1115"/>
      <c r="AQ1566" s="1115"/>
      <c r="AR1566" s="1115"/>
      <c r="AS1566" s="1117"/>
      <c r="AT1566" s="1196" t="s">
        <v>181</v>
      </c>
      <c r="AU1566" s="1193" t="s">
        <v>845</v>
      </c>
      <c r="AV1566" s="330">
        <f>SQRT(($R1566-Infrastructure!J$3)^2+($S1566-Infrastructure!K$3)^2)</f>
        <v>30.94285055</v>
      </c>
      <c r="AW1566" s="331">
        <f>SQRT(($R1566-Infrastructure!J$4)^2+($S1566-Infrastructure!K$4)^2)</f>
        <v>23.1682973</v>
      </c>
      <c r="AX1566" s="331">
        <f>SQRT(($R1566-Infrastructure!J$5)^2+($S1566-Infrastructure!K$5)^2)</f>
        <v>18.91295852</v>
      </c>
      <c r="AY1566" s="331">
        <f>SQRT(($R1566-Infrastructure!J$6)^2+($S1566-Infrastructure!K$6)^2)</f>
        <v>9.43716059</v>
      </c>
      <c r="AZ1566" s="331">
        <f>SQRT(($R1566-Infrastructure!J$7)^2+($S1566-Infrastructure!K$7)^2)</f>
        <v>4.518849411</v>
      </c>
      <c r="BA1566" s="331">
        <f>SQRT(($R1566-Infrastructure!J$8)^2+($S1566-Infrastructure!K$8)^2)</f>
        <v>12.20901306</v>
      </c>
      <c r="BB1566" s="331">
        <f>SQRT(($R1566-Infrastructure!J$9)^2+($S1566-Infrastructure!K$9)^2)</f>
        <v>21.41144554</v>
      </c>
      <c r="BC1566" s="331">
        <f>SQRT(($R1566-Infrastructure!J$10)^2+($S1566-Infrastructure!K$10)^2)</f>
        <v>23.88137349</v>
      </c>
      <c r="BD1566" s="331">
        <f>SQRT(($R1566-Infrastructure!J$11)^2+($S1566-Infrastructure!K$11)^2)</f>
        <v>32.73713488</v>
      </c>
      <c r="BE1566" s="333">
        <f>SQRT(($R1566-Infrastructure!J$12)^2+($S1566-Infrastructure!K$12)^2)</f>
        <v>51.18222348</v>
      </c>
      <c r="BF1566" s="330">
        <f t="shared" si="161"/>
        <v>4.518849411</v>
      </c>
      <c r="BG1566" s="333">
        <f t="shared" si="162"/>
        <v>51.18222348</v>
      </c>
      <c r="BH1566" s="1119"/>
      <c r="BI1566" s="319"/>
      <c r="BJ1566" s="319"/>
      <c r="BK1566" s="319"/>
      <c r="BL1566" s="319"/>
      <c r="BM1566" s="319"/>
      <c r="BN1566" s="319"/>
      <c r="BO1566" s="319"/>
      <c r="BP1566" s="953"/>
      <c r="BQ1566" s="319"/>
      <c r="BR1566" s="319"/>
      <c r="BS1566" s="330">
        <f t="shared" si="169"/>
        <v>0</v>
      </c>
      <c r="BT1566" s="331">
        <f t="shared" si="170"/>
        <v>0</v>
      </c>
      <c r="BU1566" s="920"/>
      <c r="BV1566" s="903">
        <f t="shared" si="171"/>
        <v>-0.4056712963</v>
      </c>
      <c r="BW1566" s="907"/>
      <c r="BX1566" s="908"/>
      <c r="BY1566" s="331"/>
      <c r="BZ1566" s="340"/>
      <c r="CA1566" s="316"/>
      <c r="CB1566" s="318"/>
      <c r="CC1566" s="318"/>
      <c r="CD1566" s="318"/>
      <c r="CE1566" s="318"/>
      <c r="CF1566" s="318"/>
      <c r="CG1566" s="318"/>
      <c r="CH1566" s="318"/>
      <c r="CI1566" s="318"/>
      <c r="CJ1566" s="463"/>
      <c r="CK1566" s="342"/>
      <c r="CL1566" s="333"/>
      <c r="CM1566" s="1079"/>
      <c r="CN1566" s="1005"/>
      <c r="CO1566" s="1005"/>
      <c r="CP1566" s="1005"/>
    </row>
    <row r="1567">
      <c r="B1567" s="1106" t="s">
        <v>2240</v>
      </c>
      <c r="C1567" s="1107">
        <v>44873.0</v>
      </c>
      <c r="D1567" s="1113" t="s">
        <v>986</v>
      </c>
      <c r="E1567" s="1108" t="s">
        <v>1228</v>
      </c>
      <c r="F1567" s="112" t="s">
        <v>2257</v>
      </c>
      <c r="G1567" s="1110">
        <v>0.42986111111111114</v>
      </c>
      <c r="H1567" s="1110">
        <v>0.4312037037037037</v>
      </c>
      <c r="I1567" s="1110"/>
      <c r="J1567" s="1111"/>
      <c r="K1567" s="1111">
        <v>0.45578703703703705</v>
      </c>
      <c r="L1567" s="1112">
        <v>0.024583333333333332</v>
      </c>
      <c r="M1567" s="1113" t="s">
        <v>166</v>
      </c>
      <c r="N1567" s="110" t="s">
        <v>187</v>
      </c>
      <c r="O1567" s="1115" t="s">
        <v>202</v>
      </c>
      <c r="P1567" s="1115" t="s">
        <v>256</v>
      </c>
      <c r="Q1567" s="1115" t="s">
        <v>2244</v>
      </c>
      <c r="R1567" s="120">
        <v>24.4</v>
      </c>
      <c r="S1567" s="1113">
        <v>7.5</v>
      </c>
      <c r="T1567" s="110">
        <v>0.6</v>
      </c>
      <c r="U1567" s="1108">
        <v>0.2</v>
      </c>
      <c r="V1567" s="1108"/>
      <c r="W1567" s="1108"/>
      <c r="X1567" s="1108"/>
      <c r="Y1567" s="1108"/>
      <c r="Z1567" s="1114" t="s">
        <v>339</v>
      </c>
      <c r="AA1567" s="1114"/>
      <c r="AB1567" s="1114" t="s">
        <v>326</v>
      </c>
      <c r="AC1567" s="1117">
        <v>1.0</v>
      </c>
      <c r="AD1567" s="1115"/>
      <c r="AE1567" s="1115"/>
      <c r="AF1567" s="1115"/>
      <c r="AG1567" s="1115"/>
      <c r="AH1567" s="1115"/>
      <c r="AI1567" s="1115"/>
      <c r="AJ1567" s="1117"/>
      <c r="AK1567" s="1118"/>
      <c r="AL1567" s="1115"/>
      <c r="AM1567" s="1115"/>
      <c r="AN1567" s="1115"/>
      <c r="AO1567" s="1115"/>
      <c r="AP1567" s="1115"/>
      <c r="AQ1567" s="1115"/>
      <c r="AR1567" s="1115"/>
      <c r="AS1567" s="1117"/>
      <c r="AT1567" s="1196" t="s">
        <v>181</v>
      </c>
      <c r="AU1567" s="1193" t="s">
        <v>845</v>
      </c>
      <c r="AV1567" s="330">
        <f>SQRT(($R1567-Infrastructure!J$3)^2+($S1567-Infrastructure!K$3)^2)</f>
        <v>32.68103426</v>
      </c>
      <c r="AW1567" s="331">
        <f>SQRT(($R1567-Infrastructure!J$4)^2+($S1567-Infrastructure!K$4)^2)</f>
        <v>26.76153957</v>
      </c>
      <c r="AX1567" s="331">
        <f>SQRT(($R1567-Infrastructure!J$5)^2+($S1567-Infrastructure!K$5)^2)</f>
        <v>24.81632527</v>
      </c>
      <c r="AY1567" s="331">
        <f>SQRT(($R1567-Infrastructure!J$6)^2+($S1567-Infrastructure!K$6)^2)</f>
        <v>16.01030918</v>
      </c>
      <c r="AZ1567" s="331">
        <f>SQRT(($R1567-Infrastructure!J$7)^2+($S1567-Infrastructure!K$7)^2)</f>
        <v>8.188406438</v>
      </c>
      <c r="BA1567" s="331">
        <f>SQRT(($R1567-Infrastructure!J$8)^2+($S1567-Infrastructure!K$8)^2)</f>
        <v>9.183136719</v>
      </c>
      <c r="BB1567" s="331">
        <f>SQRT(($R1567-Infrastructure!J$9)^2+($S1567-Infrastructure!K$9)^2)</f>
        <v>15.78353573</v>
      </c>
      <c r="BC1567" s="331">
        <f>SQRT(($R1567-Infrastructure!J$10)^2+($S1567-Infrastructure!K$10)^2)</f>
        <v>17.30924608</v>
      </c>
      <c r="BD1567" s="331">
        <f>SQRT(($R1567-Infrastructure!J$11)^2+($S1567-Infrastructure!K$11)^2)</f>
        <v>26.68126684</v>
      </c>
      <c r="BE1567" s="333">
        <f>SQRT(($R1567-Infrastructure!J$12)^2+($S1567-Infrastructure!K$12)^2)</f>
        <v>48.08752437</v>
      </c>
      <c r="BF1567" s="330">
        <f t="shared" si="161"/>
        <v>8.188406438</v>
      </c>
      <c r="BG1567" s="333">
        <f t="shared" si="162"/>
        <v>48.08752437</v>
      </c>
      <c r="BH1567" s="1119"/>
      <c r="BI1567" s="319"/>
      <c r="BJ1567" s="319"/>
      <c r="BK1567" s="319"/>
      <c r="BL1567" s="319"/>
      <c r="BM1567" s="319"/>
      <c r="BN1567" s="319"/>
      <c r="BO1567" s="319"/>
      <c r="BP1567" s="953"/>
      <c r="BQ1567" s="319"/>
      <c r="BR1567" s="319"/>
      <c r="BS1567" s="330">
        <f t="shared" si="169"/>
        <v>0</v>
      </c>
      <c r="BT1567" s="331">
        <f t="shared" si="170"/>
        <v>0</v>
      </c>
      <c r="BU1567" s="920"/>
      <c r="BV1567" s="903">
        <f t="shared" si="171"/>
        <v>-0.4298611111</v>
      </c>
      <c r="BW1567" s="907"/>
      <c r="BX1567" s="908"/>
      <c r="BY1567" s="331"/>
      <c r="BZ1567" s="340"/>
      <c r="CA1567" s="316"/>
      <c r="CB1567" s="318"/>
      <c r="CC1567" s="318"/>
      <c r="CD1567" s="318"/>
      <c r="CE1567" s="318"/>
      <c r="CF1567" s="318"/>
      <c r="CG1567" s="318"/>
      <c r="CH1567" s="318"/>
      <c r="CI1567" s="318"/>
      <c r="CJ1567" s="463"/>
      <c r="CK1567" s="342"/>
      <c r="CL1567" s="333"/>
      <c r="CM1567" s="1079"/>
      <c r="CN1567" s="1005"/>
      <c r="CO1567" s="1005"/>
      <c r="CP1567" s="1005"/>
    </row>
    <row r="1568">
      <c r="B1568" s="1106" t="s">
        <v>2240</v>
      </c>
      <c r="C1568" s="1107">
        <v>44873.0</v>
      </c>
      <c r="D1568" s="1113" t="s">
        <v>986</v>
      </c>
      <c r="E1568" s="1108" t="s">
        <v>1229</v>
      </c>
      <c r="F1568" s="112" t="s">
        <v>2258</v>
      </c>
      <c r="G1568" s="1110">
        <v>0.42986111111111114</v>
      </c>
      <c r="H1568" s="1110">
        <v>0.4312037037037037</v>
      </c>
      <c r="I1568" s="1110"/>
      <c r="J1568" s="1111"/>
      <c r="K1568" s="1111">
        <v>0.45578703703703705</v>
      </c>
      <c r="L1568" s="1112">
        <v>0.024583333333333332</v>
      </c>
      <c r="M1568" s="1113" t="s">
        <v>173</v>
      </c>
      <c r="N1568" s="110" t="s">
        <v>187</v>
      </c>
      <c r="O1568" s="1115" t="s">
        <v>202</v>
      </c>
      <c r="P1568" s="1115" t="s">
        <v>256</v>
      </c>
      <c r="Q1568" s="1115" t="s">
        <v>2246</v>
      </c>
      <c r="R1568" s="120">
        <v>24.4</v>
      </c>
      <c r="S1568" s="1113">
        <v>7.5</v>
      </c>
      <c r="T1568" s="110">
        <v>0.6</v>
      </c>
      <c r="U1568" s="1108">
        <v>0.3</v>
      </c>
      <c r="V1568" s="1108"/>
      <c r="W1568" s="1108"/>
      <c r="X1568" s="1108"/>
      <c r="Y1568" s="1108"/>
      <c r="Z1568" s="1114" t="s">
        <v>347</v>
      </c>
      <c r="AA1568" s="1114"/>
      <c r="AB1568" s="1114" t="s">
        <v>326</v>
      </c>
      <c r="AC1568" s="1117">
        <v>1.0</v>
      </c>
      <c r="AD1568" s="1115"/>
      <c r="AE1568" s="1115"/>
      <c r="AF1568" s="1115"/>
      <c r="AG1568" s="1115"/>
      <c r="AH1568" s="1115"/>
      <c r="AI1568" s="1115"/>
      <c r="AJ1568" s="1117"/>
      <c r="AK1568" s="1118"/>
      <c r="AL1568" s="1115"/>
      <c r="AM1568" s="1115"/>
      <c r="AN1568" s="1115"/>
      <c r="AO1568" s="1115"/>
      <c r="AP1568" s="1115"/>
      <c r="AQ1568" s="1115"/>
      <c r="AR1568" s="1115"/>
      <c r="AS1568" s="1117"/>
      <c r="AT1568" s="1196" t="s">
        <v>181</v>
      </c>
      <c r="AU1568" s="1193" t="s">
        <v>845</v>
      </c>
      <c r="AV1568" s="330">
        <f>SQRT(($R1568-Infrastructure!J$3)^2+($S1568-Infrastructure!K$3)^2)</f>
        <v>32.68103426</v>
      </c>
      <c r="AW1568" s="331">
        <f>SQRT(($R1568-Infrastructure!J$4)^2+($S1568-Infrastructure!K$4)^2)</f>
        <v>26.76153957</v>
      </c>
      <c r="AX1568" s="331">
        <f>SQRT(($R1568-Infrastructure!J$5)^2+($S1568-Infrastructure!K$5)^2)</f>
        <v>24.81632527</v>
      </c>
      <c r="AY1568" s="331">
        <f>SQRT(($R1568-Infrastructure!J$6)^2+($S1568-Infrastructure!K$6)^2)</f>
        <v>16.01030918</v>
      </c>
      <c r="AZ1568" s="331">
        <f>SQRT(($R1568-Infrastructure!J$7)^2+($S1568-Infrastructure!K$7)^2)</f>
        <v>8.188406438</v>
      </c>
      <c r="BA1568" s="331">
        <f>SQRT(($R1568-Infrastructure!J$8)^2+($S1568-Infrastructure!K$8)^2)</f>
        <v>9.183136719</v>
      </c>
      <c r="BB1568" s="331">
        <f>SQRT(($R1568-Infrastructure!J$9)^2+($S1568-Infrastructure!K$9)^2)</f>
        <v>15.78353573</v>
      </c>
      <c r="BC1568" s="331">
        <f>SQRT(($R1568-Infrastructure!J$10)^2+($S1568-Infrastructure!K$10)^2)</f>
        <v>17.30924608</v>
      </c>
      <c r="BD1568" s="331">
        <f>SQRT(($R1568-Infrastructure!J$11)^2+($S1568-Infrastructure!K$11)^2)</f>
        <v>26.68126684</v>
      </c>
      <c r="BE1568" s="333">
        <f>SQRT(($R1568-Infrastructure!J$12)^2+($S1568-Infrastructure!K$12)^2)</f>
        <v>48.08752437</v>
      </c>
      <c r="BF1568" s="330">
        <f t="shared" si="161"/>
        <v>8.188406438</v>
      </c>
      <c r="BG1568" s="333">
        <f t="shared" si="162"/>
        <v>48.08752437</v>
      </c>
      <c r="BH1568" s="1119"/>
      <c r="BI1568" s="319"/>
      <c r="BJ1568" s="319"/>
      <c r="BK1568" s="319"/>
      <c r="BL1568" s="319"/>
      <c r="BM1568" s="319"/>
      <c r="BN1568" s="319"/>
      <c r="BO1568" s="319"/>
      <c r="BP1568" s="953"/>
      <c r="BQ1568" s="319"/>
      <c r="BR1568" s="319"/>
      <c r="BS1568" s="330">
        <f t="shared" si="169"/>
        <v>0</v>
      </c>
      <c r="BT1568" s="331">
        <f t="shared" si="170"/>
        <v>0</v>
      </c>
      <c r="BU1568" s="920"/>
      <c r="BV1568" s="903">
        <f t="shared" si="171"/>
        <v>-0.4298611111</v>
      </c>
      <c r="BW1568" s="907"/>
      <c r="BX1568" s="908"/>
      <c r="BY1568" s="331"/>
      <c r="BZ1568" s="340"/>
      <c r="CA1568" s="316"/>
      <c r="CB1568" s="318"/>
      <c r="CC1568" s="318"/>
      <c r="CD1568" s="318"/>
      <c r="CE1568" s="318"/>
      <c r="CF1568" s="318"/>
      <c r="CG1568" s="318"/>
      <c r="CH1568" s="318"/>
      <c r="CI1568" s="318"/>
      <c r="CJ1568" s="463"/>
      <c r="CK1568" s="342"/>
      <c r="CL1568" s="333"/>
      <c r="CM1568" s="1079"/>
      <c r="CN1568" s="1005"/>
      <c r="CO1568" s="1005"/>
      <c r="CP1568" s="1005"/>
    </row>
    <row r="1569">
      <c r="B1569" s="1106" t="s">
        <v>2240</v>
      </c>
      <c r="C1569" s="1107">
        <v>44873.0</v>
      </c>
      <c r="D1569" s="1113" t="s">
        <v>986</v>
      </c>
      <c r="E1569" s="1108">
        <v>13.0</v>
      </c>
      <c r="F1569" s="112" t="s">
        <v>2259</v>
      </c>
      <c r="G1569" s="1110">
        <v>0.4570601851851852</v>
      </c>
      <c r="H1569" s="1110">
        <v>0.4584722222222222</v>
      </c>
      <c r="I1569" s="1110"/>
      <c r="J1569" s="1111"/>
      <c r="K1569" s="1111">
        <v>0.4758449074074074</v>
      </c>
      <c r="L1569" s="1112">
        <v>0.017372685185185185</v>
      </c>
      <c r="M1569" s="1113" t="s">
        <v>166</v>
      </c>
      <c r="N1569" s="110" t="s">
        <v>187</v>
      </c>
      <c r="O1569" s="1115" t="s">
        <v>198</v>
      </c>
      <c r="P1569" s="1115" t="s">
        <v>223</v>
      </c>
      <c r="Q1569" s="1115" t="s">
        <v>2242</v>
      </c>
      <c r="R1569" s="120">
        <v>10.0</v>
      </c>
      <c r="S1569" s="1113">
        <v>11.7</v>
      </c>
      <c r="T1569" s="110">
        <v>0.5</v>
      </c>
      <c r="U1569" s="1108">
        <v>0.2</v>
      </c>
      <c r="V1569" s="1108"/>
      <c r="W1569" s="1108"/>
      <c r="X1569" s="1108"/>
      <c r="Y1569" s="1108"/>
      <c r="Z1569" s="1114" t="s">
        <v>343</v>
      </c>
      <c r="AA1569" s="1114"/>
      <c r="AB1569" s="1114" t="s">
        <v>375</v>
      </c>
      <c r="AC1569" s="1117">
        <v>2.7</v>
      </c>
      <c r="AD1569" s="1115"/>
      <c r="AE1569" s="1115"/>
      <c r="AF1569" s="1115"/>
      <c r="AG1569" s="1115"/>
      <c r="AH1569" s="1115"/>
      <c r="AI1569" s="1115"/>
      <c r="AJ1569" s="1117"/>
      <c r="AK1569" s="1118"/>
      <c r="AL1569" s="1115"/>
      <c r="AM1569" s="1115"/>
      <c r="AN1569" s="1115"/>
      <c r="AO1569" s="1115"/>
      <c r="AP1569" s="1115"/>
      <c r="AQ1569" s="1115"/>
      <c r="AR1569" s="1115"/>
      <c r="AS1569" s="1117"/>
      <c r="AT1569" s="1196" t="s">
        <v>181</v>
      </c>
      <c r="AU1569" s="1193" t="s">
        <v>845</v>
      </c>
      <c r="AV1569" s="330">
        <f>SQRT(($R1569-Infrastructure!J$3)^2+($S1569-Infrastructure!K$3)^2)</f>
        <v>20.04819194</v>
      </c>
      <c r="AW1569" s="331">
        <f>SQRT(($R1569-Infrastructure!J$4)^2+($S1569-Infrastructure!K$4)^2)</f>
        <v>11.9707978</v>
      </c>
      <c r="AX1569" s="331">
        <f>SQRT(($R1569-Infrastructure!J$5)^2+($S1569-Infrastructure!K$5)^2)</f>
        <v>12.23315168</v>
      </c>
      <c r="AY1569" s="331">
        <f>SQRT(($R1569-Infrastructure!J$6)^2+($S1569-Infrastructure!K$6)^2)</f>
        <v>11.40043859</v>
      </c>
      <c r="AZ1569" s="331">
        <f>SQRT(($R1569-Infrastructure!J$7)^2+($S1569-Infrastructure!K$7)^2)</f>
        <v>15.49870962</v>
      </c>
      <c r="BA1569" s="331">
        <f>SQRT(($R1569-Infrastructure!J$8)^2+($S1569-Infrastructure!K$8)^2)</f>
        <v>23.10779089</v>
      </c>
      <c r="BB1569" s="331">
        <f>SQRT(($R1569-Infrastructure!J$9)^2+($S1569-Infrastructure!K$9)^2)</f>
        <v>30.71742177</v>
      </c>
      <c r="BC1569" s="331">
        <f>SQRT(($R1569-Infrastructure!J$10)^2+($S1569-Infrastructure!K$10)^2)</f>
        <v>30.18095426</v>
      </c>
      <c r="BD1569" s="331">
        <f>SQRT(($R1569-Infrastructure!J$11)^2+($S1569-Infrastructure!K$11)^2)</f>
        <v>34.80416642</v>
      </c>
      <c r="BE1569" s="333">
        <f>SQRT(($R1569-Infrastructure!J$12)^2+($S1569-Infrastructure!K$12)^2)</f>
        <v>45.28454482</v>
      </c>
      <c r="BF1569" s="330">
        <f t="shared" si="161"/>
        <v>11.40043859</v>
      </c>
      <c r="BG1569" s="333">
        <f t="shared" si="162"/>
        <v>45.28454482</v>
      </c>
      <c r="BH1569" s="1119"/>
      <c r="BI1569" s="319"/>
      <c r="BJ1569" s="319"/>
      <c r="BK1569" s="319"/>
      <c r="BL1569" s="319"/>
      <c r="BM1569" s="319"/>
      <c r="BN1569" s="319"/>
      <c r="BO1569" s="319"/>
      <c r="BP1569" s="953"/>
      <c r="BQ1569" s="319"/>
      <c r="BR1569" s="319"/>
      <c r="BS1569" s="330">
        <f t="shared" si="169"/>
        <v>0</v>
      </c>
      <c r="BT1569" s="331">
        <f t="shared" si="170"/>
        <v>0</v>
      </c>
      <c r="BU1569" s="920"/>
      <c r="BV1569" s="903">
        <f t="shared" si="171"/>
        <v>-0.4570601852</v>
      </c>
      <c r="BW1569" s="907"/>
      <c r="BX1569" s="908"/>
      <c r="BY1569" s="331"/>
      <c r="BZ1569" s="340"/>
      <c r="CA1569" s="316"/>
      <c r="CB1569" s="318"/>
      <c r="CC1569" s="318"/>
      <c r="CD1569" s="318"/>
      <c r="CE1569" s="318"/>
      <c r="CF1569" s="318"/>
      <c r="CG1569" s="318"/>
      <c r="CH1569" s="318"/>
      <c r="CI1569" s="318"/>
      <c r="CJ1569" s="463"/>
      <c r="CK1569" s="342"/>
      <c r="CL1569" s="333"/>
      <c r="CM1569" s="1079"/>
      <c r="CN1569" s="1005"/>
      <c r="CO1569" s="1005"/>
      <c r="CP1569" s="1005"/>
    </row>
    <row r="1570">
      <c r="B1570" s="1106" t="s">
        <v>2240</v>
      </c>
      <c r="C1570" s="1107">
        <v>44873.0</v>
      </c>
      <c r="D1570" s="1113" t="s">
        <v>986</v>
      </c>
      <c r="E1570" s="1108">
        <v>14.0</v>
      </c>
      <c r="F1570" s="112" t="s">
        <v>2260</v>
      </c>
      <c r="G1570" s="1110">
        <v>0.4784837962962963</v>
      </c>
      <c r="H1570" s="1110">
        <v>0.4786574074074074</v>
      </c>
      <c r="I1570" s="1110"/>
      <c r="J1570" s="1111"/>
      <c r="K1570" s="1111">
        <v>0.4901273148148148</v>
      </c>
      <c r="L1570" s="1112">
        <v>0.011469907407407408</v>
      </c>
      <c r="M1570" s="1113" t="s">
        <v>166</v>
      </c>
      <c r="N1570" s="110" t="s">
        <v>187</v>
      </c>
      <c r="O1570" s="1115" t="s">
        <v>203</v>
      </c>
      <c r="P1570" s="1115" t="s">
        <v>250</v>
      </c>
      <c r="Q1570" s="1115" t="s">
        <v>2244</v>
      </c>
      <c r="R1570" s="120">
        <v>15.1</v>
      </c>
      <c r="S1570" s="1113">
        <v>2.4</v>
      </c>
      <c r="T1570" s="110">
        <v>1.2</v>
      </c>
      <c r="U1570" s="1108">
        <v>0.4</v>
      </c>
      <c r="V1570" s="1108"/>
      <c r="W1570" s="1108"/>
      <c r="X1570" s="1108"/>
      <c r="Y1570" s="1108"/>
      <c r="Z1570" s="1114" t="s">
        <v>357</v>
      </c>
      <c r="AA1570" s="1114"/>
      <c r="AB1570" s="1114" t="s">
        <v>375</v>
      </c>
      <c r="AC1570" s="1117">
        <v>2.7</v>
      </c>
      <c r="AD1570" s="1115"/>
      <c r="AE1570" s="1115"/>
      <c r="AF1570" s="1115"/>
      <c r="AG1570" s="1115"/>
      <c r="AH1570" s="1115"/>
      <c r="AI1570" s="1115"/>
      <c r="AJ1570" s="1117"/>
      <c r="AK1570" s="1118"/>
      <c r="AL1570" s="1115"/>
      <c r="AM1570" s="1115"/>
      <c r="AN1570" s="1115"/>
      <c r="AO1570" s="1115"/>
      <c r="AP1570" s="1115"/>
      <c r="AQ1570" s="1115"/>
      <c r="AR1570" s="1115"/>
      <c r="AS1570" s="1117"/>
      <c r="AT1570" s="1196" t="s">
        <v>181</v>
      </c>
      <c r="AU1570" s="1193" t="s">
        <v>845</v>
      </c>
      <c r="AV1570" s="330">
        <f>SQRT(($R1570-Infrastructure!J$3)^2+($S1570-Infrastructure!K$3)^2)</f>
        <v>30.64979608</v>
      </c>
      <c r="AW1570" s="331">
        <f>SQRT(($R1570-Infrastructure!J$4)^2+($S1570-Infrastructure!K$4)^2)</f>
        <v>21.77888886</v>
      </c>
      <c r="AX1570" s="331">
        <f>SQRT(($R1570-Infrastructure!J$5)^2+($S1570-Infrastructure!K$5)^2)</f>
        <v>15.63489687</v>
      </c>
      <c r="AY1570" s="331">
        <f>SQRT(($R1570-Infrastructure!J$6)^2+($S1570-Infrastructure!K$6)^2)</f>
        <v>5.423098745</v>
      </c>
      <c r="AZ1570" s="331">
        <f>SQRT(($R1570-Infrastructure!J$7)^2+($S1570-Infrastructure!K$7)^2)</f>
        <v>5.793962375</v>
      </c>
      <c r="BA1570" s="331">
        <f>SQRT(($R1570-Infrastructure!J$8)^2+($S1570-Infrastructure!K$8)^2)</f>
        <v>15.14628667</v>
      </c>
      <c r="BB1570" s="331">
        <f>SQRT(($R1570-Infrastructure!J$9)^2+($S1570-Infrastructure!K$9)^2)</f>
        <v>25.04595776</v>
      </c>
      <c r="BC1570" s="331">
        <f>SQRT(($R1570-Infrastructure!J$10)^2+($S1570-Infrastructure!K$10)^2)</f>
        <v>27.90645087</v>
      </c>
      <c r="BD1570" s="331">
        <f>SQRT(($R1570-Infrastructure!J$11)^2+($S1570-Infrastructure!K$11)^2)</f>
        <v>36.5728041</v>
      </c>
      <c r="BE1570" s="333">
        <f>SQRT(($R1570-Infrastructure!J$12)^2+($S1570-Infrastructure!K$12)^2)</f>
        <v>53.48429676</v>
      </c>
      <c r="BF1570" s="330">
        <f t="shared" si="161"/>
        <v>5.423098745</v>
      </c>
      <c r="BG1570" s="333">
        <f t="shared" si="162"/>
        <v>53.48429676</v>
      </c>
      <c r="BH1570" s="1119"/>
      <c r="BI1570" s="319"/>
      <c r="BJ1570" s="319"/>
      <c r="BK1570" s="319"/>
      <c r="BL1570" s="319"/>
      <c r="BM1570" s="319"/>
      <c r="BN1570" s="319"/>
      <c r="BO1570" s="319"/>
      <c r="BP1570" s="953"/>
      <c r="BQ1570" s="319"/>
      <c r="BR1570" s="319"/>
      <c r="BS1570" s="330">
        <f t="shared" si="169"/>
        <v>0</v>
      </c>
      <c r="BT1570" s="331">
        <f t="shared" si="170"/>
        <v>0</v>
      </c>
      <c r="BU1570" s="920"/>
      <c r="BV1570" s="903">
        <f t="shared" si="171"/>
        <v>-0.4784837963</v>
      </c>
      <c r="BW1570" s="907"/>
      <c r="BX1570" s="908"/>
      <c r="BY1570" s="331"/>
      <c r="BZ1570" s="340"/>
      <c r="CA1570" s="316"/>
      <c r="CB1570" s="318"/>
      <c r="CC1570" s="318"/>
      <c r="CD1570" s="318"/>
      <c r="CE1570" s="318"/>
      <c r="CF1570" s="318"/>
      <c r="CG1570" s="318"/>
      <c r="CH1570" s="318"/>
      <c r="CI1570" s="318"/>
      <c r="CJ1570" s="463"/>
      <c r="CK1570" s="342"/>
      <c r="CL1570" s="333"/>
      <c r="CM1570" s="1079"/>
      <c r="CN1570" s="1005"/>
      <c r="CO1570" s="1005"/>
      <c r="CP1570" s="1005"/>
    </row>
    <row r="1571">
      <c r="B1571" s="1106" t="s">
        <v>2240</v>
      </c>
      <c r="C1571" s="1107">
        <v>44873.0</v>
      </c>
      <c r="D1571" s="1113" t="s">
        <v>986</v>
      </c>
      <c r="E1571" s="1108">
        <v>15.0</v>
      </c>
      <c r="F1571" s="112" t="s">
        <v>2261</v>
      </c>
      <c r="G1571" s="1110">
        <v>0.4910069444444444</v>
      </c>
      <c r="H1571" s="1110">
        <v>0.49135416666666665</v>
      </c>
      <c r="I1571" s="1110"/>
      <c r="J1571" s="1111"/>
      <c r="K1571" s="1111">
        <v>0.5057291666666667</v>
      </c>
      <c r="L1571" s="1112">
        <v>0.014375</v>
      </c>
      <c r="M1571" s="1113" t="s">
        <v>166</v>
      </c>
      <c r="N1571" s="110" t="s">
        <v>187</v>
      </c>
      <c r="O1571" s="1115" t="s">
        <v>205</v>
      </c>
      <c r="P1571" s="1115" t="s">
        <v>296</v>
      </c>
      <c r="Q1571" s="1115" t="s">
        <v>2242</v>
      </c>
      <c r="R1571" s="120">
        <v>20.7</v>
      </c>
      <c r="S1571" s="1113">
        <v>5.1</v>
      </c>
      <c r="T1571" s="110">
        <v>1.2</v>
      </c>
      <c r="U1571" s="1108">
        <v>0.2</v>
      </c>
      <c r="V1571" s="1108"/>
      <c r="W1571" s="1108"/>
      <c r="X1571" s="1108"/>
      <c r="Y1571" s="1108"/>
      <c r="Z1571" s="1114" t="s">
        <v>365</v>
      </c>
      <c r="AA1571" s="1114"/>
      <c r="AB1571" s="1114" t="s">
        <v>380</v>
      </c>
      <c r="AC1571" s="1117">
        <v>4.0</v>
      </c>
      <c r="AD1571" s="1115"/>
      <c r="AE1571" s="1115"/>
      <c r="AF1571" s="1115"/>
      <c r="AG1571" s="1115"/>
      <c r="AH1571" s="1115"/>
      <c r="AI1571" s="1115"/>
      <c r="AJ1571" s="1117"/>
      <c r="AK1571" s="1118"/>
      <c r="AL1571" s="1115"/>
      <c r="AM1571" s="1115"/>
      <c r="AN1571" s="1115"/>
      <c r="AO1571" s="1115"/>
      <c r="AP1571" s="1115"/>
      <c r="AQ1571" s="1115"/>
      <c r="AR1571" s="1115"/>
      <c r="AS1571" s="1117"/>
      <c r="AT1571" s="1196" t="s">
        <v>181</v>
      </c>
      <c r="AU1571" s="1193" t="s">
        <v>845</v>
      </c>
      <c r="AV1571" s="330">
        <f>SQRT(($R1571-Infrastructure!J$3)^2+($S1571-Infrastructure!K$3)^2)</f>
        <v>31.74019534</v>
      </c>
      <c r="AW1571" s="331">
        <f>SQRT(($R1571-Infrastructure!J$4)^2+($S1571-Infrastructure!K$4)^2)</f>
        <v>24.54159734</v>
      </c>
      <c r="AX1571" s="331">
        <f>SQRT(($R1571-Infrastructure!J$5)^2+($S1571-Infrastructure!K$5)^2)</f>
        <v>21</v>
      </c>
      <c r="AY1571" s="331">
        <f>SQRT(($R1571-Infrastructure!J$6)^2+($S1571-Infrastructure!K$6)^2)</f>
        <v>11.63615057</v>
      </c>
      <c r="AZ1571" s="331">
        <f>SQRT(($R1571-Infrastructure!J$7)^2+($S1571-Infrastructure!K$7)^2)</f>
        <v>4.80416486</v>
      </c>
      <c r="BA1571" s="331">
        <f>SQRT(($R1571-Infrastructure!J$8)^2+($S1571-Infrastructure!K$8)^2)</f>
        <v>10.55461984</v>
      </c>
      <c r="BB1571" s="331">
        <f>SQRT(($R1571-Infrastructure!J$9)^2+($S1571-Infrastructure!K$9)^2)</f>
        <v>19.3</v>
      </c>
      <c r="BC1571" s="331">
        <f>SQRT(($R1571-Infrastructure!J$10)^2+($S1571-Infrastructure!K$10)^2)</f>
        <v>21.69101196</v>
      </c>
      <c r="BD1571" s="331">
        <f>SQRT(($R1571-Infrastructure!J$11)^2+($S1571-Infrastructure!K$11)^2)</f>
        <v>30.84574525</v>
      </c>
      <c r="BE1571" s="333">
        <f>SQRT(($R1571-Infrastructure!J$12)^2+($S1571-Infrastructure!K$12)^2)</f>
        <v>50.40634881</v>
      </c>
      <c r="BF1571" s="330">
        <f t="shared" si="161"/>
        <v>4.80416486</v>
      </c>
      <c r="BG1571" s="333">
        <f t="shared" si="162"/>
        <v>50.40634881</v>
      </c>
      <c r="BH1571" s="1119"/>
      <c r="BI1571" s="319"/>
      <c r="BJ1571" s="319"/>
      <c r="BK1571" s="319"/>
      <c r="BL1571" s="319"/>
      <c r="BM1571" s="319"/>
      <c r="BN1571" s="319"/>
      <c r="BO1571" s="319"/>
      <c r="BP1571" s="953"/>
      <c r="BQ1571" s="319"/>
      <c r="BR1571" s="319"/>
      <c r="BS1571" s="330">
        <f t="shared" si="169"/>
        <v>0</v>
      </c>
      <c r="BT1571" s="331">
        <f t="shared" si="170"/>
        <v>0</v>
      </c>
      <c r="BU1571" s="920"/>
      <c r="BV1571" s="903">
        <f t="shared" si="171"/>
        <v>-0.4910069444</v>
      </c>
      <c r="BW1571" s="907"/>
      <c r="BX1571" s="908"/>
      <c r="BY1571" s="331"/>
      <c r="BZ1571" s="340"/>
      <c r="CA1571" s="316"/>
      <c r="CB1571" s="318"/>
      <c r="CC1571" s="318"/>
      <c r="CD1571" s="318"/>
      <c r="CE1571" s="318"/>
      <c r="CF1571" s="318"/>
      <c r="CG1571" s="318"/>
      <c r="CH1571" s="318"/>
      <c r="CI1571" s="318"/>
      <c r="CJ1571" s="463"/>
      <c r="CK1571" s="342"/>
      <c r="CL1571" s="333"/>
      <c r="CM1571" s="1079"/>
      <c r="CN1571" s="1005"/>
      <c r="CO1571" s="1005"/>
      <c r="CP1571" s="1005"/>
    </row>
    <row r="1572">
      <c r="B1572" s="1106" t="s">
        <v>2240</v>
      </c>
      <c r="C1572" s="1107">
        <v>44873.0</v>
      </c>
      <c r="D1572" s="1113" t="s">
        <v>986</v>
      </c>
      <c r="E1572" s="1108">
        <v>16.0</v>
      </c>
      <c r="F1572" s="112" t="s">
        <v>2262</v>
      </c>
      <c r="G1572" s="1110">
        <v>0.5072916666666667</v>
      </c>
      <c r="H1572" s="1110">
        <v>0.5088541666666667</v>
      </c>
      <c r="I1572" s="1110"/>
      <c r="J1572" s="1111"/>
      <c r="K1572" s="1111">
        <v>0.5192129629629629</v>
      </c>
      <c r="L1572" s="1112">
        <v>0.010358796296296297</v>
      </c>
      <c r="M1572" s="1113" t="s">
        <v>166</v>
      </c>
      <c r="N1572" s="110" t="s">
        <v>187</v>
      </c>
      <c r="O1572" s="1115" t="s">
        <v>2263</v>
      </c>
      <c r="P1572" s="1115" t="s">
        <v>256</v>
      </c>
      <c r="Q1572" s="1115" t="s">
        <v>2244</v>
      </c>
      <c r="R1572" s="120"/>
      <c r="S1572" s="1113"/>
      <c r="T1572" s="110"/>
      <c r="U1572" s="1108">
        <v>0.15</v>
      </c>
      <c r="V1572" s="1108"/>
      <c r="W1572" s="1108"/>
      <c r="X1572" s="1108"/>
      <c r="Y1572" s="1108"/>
      <c r="Z1572" s="1114" t="s">
        <v>335</v>
      </c>
      <c r="AA1572" s="1114"/>
      <c r="AB1572" s="1114" t="s">
        <v>326</v>
      </c>
      <c r="AC1572" s="1117">
        <v>1.0</v>
      </c>
      <c r="AD1572" s="1115"/>
      <c r="AE1572" s="1115"/>
      <c r="AF1572" s="1115"/>
      <c r="AG1572" s="1115"/>
      <c r="AH1572" s="1115"/>
      <c r="AI1572" s="1115"/>
      <c r="AJ1572" s="1117"/>
      <c r="AK1572" s="1118"/>
      <c r="AL1572" s="1115"/>
      <c r="AM1572" s="1115"/>
      <c r="AN1572" s="1115"/>
      <c r="AO1572" s="1115"/>
      <c r="AP1572" s="1115"/>
      <c r="AQ1572" s="1115"/>
      <c r="AR1572" s="1115"/>
      <c r="AS1572" s="1117"/>
      <c r="AT1572" s="1196" t="s">
        <v>181</v>
      </c>
      <c r="AU1572" s="1193" t="s">
        <v>845</v>
      </c>
      <c r="AV1572" s="330">
        <f>SQRT(($R1572-Infrastructure!J$3)^2+($S1572-Infrastructure!K$3)^2)</f>
        <v>28.90155705</v>
      </c>
      <c r="AW1572" s="331">
        <f>SQRT(($R1572-Infrastructure!J$4)^2+($S1572-Infrastructure!K$4)^2)</f>
        <v>17.80252791</v>
      </c>
      <c r="AX1572" s="331">
        <f>SQRT(($R1572-Infrastructure!J$5)^2+($S1572-Infrastructure!K$5)^2)</f>
        <v>5.10881591</v>
      </c>
      <c r="AY1572" s="331">
        <f>SQRT(($R1572-Infrastructure!J$6)^2+($S1572-Infrastructure!K$6)^2)</f>
        <v>10.10445446</v>
      </c>
      <c r="AZ1572" s="331">
        <f>SQRT(($R1572-Infrastructure!J$7)^2+($S1572-Infrastructure!K$7)^2)</f>
        <v>20.502195</v>
      </c>
      <c r="BA1572" s="331">
        <f>SQRT(($R1572-Infrastructure!J$8)^2+($S1572-Infrastructure!K$8)^2)</f>
        <v>30.10149498</v>
      </c>
      <c r="BB1572" s="331">
        <f>SQRT(($R1572-Infrastructure!J$9)^2+($S1572-Infrastructure!K$9)^2)</f>
        <v>40.3238143</v>
      </c>
      <c r="BC1572" s="331">
        <f>SQRT(($R1572-Infrastructure!J$10)^2+($S1572-Infrastructure!K$10)^2)</f>
        <v>42.72001873</v>
      </c>
      <c r="BD1572" s="331">
        <f>SQRT(($R1572-Infrastructure!J$11)^2+($S1572-Infrastructure!K$11)^2)</f>
        <v>49.56853841</v>
      </c>
      <c r="BE1572" s="333">
        <f>SQRT(($R1572-Infrastructure!J$12)^2+($S1572-Infrastructure!K$12)^2)</f>
        <v>59.51890456</v>
      </c>
      <c r="BF1572" s="330">
        <f t="shared" si="161"/>
        <v>5.10881591</v>
      </c>
      <c r="BG1572" s="333">
        <f t="shared" si="162"/>
        <v>59.51890456</v>
      </c>
      <c r="BH1572" s="1119"/>
      <c r="BI1572" s="319"/>
      <c r="BJ1572" s="319"/>
      <c r="BK1572" s="319"/>
      <c r="BL1572" s="319"/>
      <c r="BM1572" s="319"/>
      <c r="BN1572" s="319"/>
      <c r="BO1572" s="319"/>
      <c r="BP1572" s="953"/>
      <c r="BQ1572" s="319"/>
      <c r="BR1572" s="319"/>
      <c r="BS1572" s="330">
        <f t="shared" si="169"/>
        <v>0</v>
      </c>
      <c r="BT1572" s="331">
        <f t="shared" si="170"/>
        <v>0</v>
      </c>
      <c r="BU1572" s="920"/>
      <c r="BV1572" s="903">
        <f t="shared" si="171"/>
        <v>-0.5072916667</v>
      </c>
      <c r="BW1572" s="907"/>
      <c r="BX1572" s="908"/>
      <c r="BY1572" s="331"/>
      <c r="BZ1572" s="340"/>
      <c r="CA1572" s="316"/>
      <c r="CB1572" s="318"/>
      <c r="CC1572" s="318"/>
      <c r="CD1572" s="318"/>
      <c r="CE1572" s="318"/>
      <c r="CF1572" s="318"/>
      <c r="CG1572" s="318"/>
      <c r="CH1572" s="318"/>
      <c r="CI1572" s="318"/>
      <c r="CJ1572" s="463"/>
      <c r="CK1572" s="342"/>
      <c r="CL1572" s="333"/>
      <c r="CM1572" s="1079"/>
      <c r="CN1572" s="1005"/>
      <c r="CO1572" s="1005"/>
      <c r="CP1572" s="1005"/>
    </row>
    <row r="1573">
      <c r="B1573" s="1106" t="s">
        <v>2240</v>
      </c>
      <c r="C1573" s="1107">
        <v>44873.0</v>
      </c>
      <c r="D1573" s="1113" t="s">
        <v>986</v>
      </c>
      <c r="E1573" s="1108">
        <v>17.0</v>
      </c>
      <c r="F1573" s="112" t="s">
        <v>2264</v>
      </c>
      <c r="G1573" s="1110">
        <v>0.520474537037037</v>
      </c>
      <c r="H1573" s="1110">
        <v>0.5206597222222222</v>
      </c>
      <c r="I1573" s="1110"/>
      <c r="J1573" s="1111"/>
      <c r="K1573" s="1111">
        <v>0.5315972222222223</v>
      </c>
      <c r="L1573" s="1112">
        <v>0.0109375</v>
      </c>
      <c r="M1573" s="1113" t="s">
        <v>166</v>
      </c>
      <c r="N1573" s="110" t="s">
        <v>187</v>
      </c>
      <c r="O1573" s="1115" t="s">
        <v>323</v>
      </c>
      <c r="P1573" s="1115" t="s">
        <v>323</v>
      </c>
      <c r="Q1573" s="1115"/>
      <c r="R1573" s="120"/>
      <c r="S1573" s="1113"/>
      <c r="T1573" s="110"/>
      <c r="U1573" s="1108">
        <v>0.0</v>
      </c>
      <c r="V1573" s="1108"/>
      <c r="W1573" s="1108"/>
      <c r="X1573" s="1108"/>
      <c r="Y1573" s="1108"/>
      <c r="Z1573" s="1114" t="s">
        <v>323</v>
      </c>
      <c r="AA1573" s="1114"/>
      <c r="AB1573" s="1114" t="s">
        <v>323</v>
      </c>
      <c r="AC1573" s="1117" t="s">
        <v>323</v>
      </c>
      <c r="AD1573" s="1115"/>
      <c r="AE1573" s="1115"/>
      <c r="AF1573" s="1115"/>
      <c r="AG1573" s="1115"/>
      <c r="AH1573" s="1115"/>
      <c r="AI1573" s="1115"/>
      <c r="AJ1573" s="1117"/>
      <c r="AK1573" s="1118"/>
      <c r="AL1573" s="1115"/>
      <c r="AM1573" s="1115"/>
      <c r="AN1573" s="1115"/>
      <c r="AO1573" s="1115"/>
      <c r="AP1573" s="1115"/>
      <c r="AQ1573" s="1115"/>
      <c r="AR1573" s="1115"/>
      <c r="AS1573" s="1117"/>
      <c r="AT1573" s="1196"/>
      <c r="AU1573" s="1193"/>
      <c r="AV1573" s="330">
        <f>SQRT(($R1573-Infrastructure!J$3)^2+($S1573-Infrastructure!K$3)^2)</f>
        <v>28.90155705</v>
      </c>
      <c r="AW1573" s="331">
        <f>SQRT(($R1573-Infrastructure!J$4)^2+($S1573-Infrastructure!K$4)^2)</f>
        <v>17.80252791</v>
      </c>
      <c r="AX1573" s="331">
        <f>SQRT(($R1573-Infrastructure!J$5)^2+($S1573-Infrastructure!K$5)^2)</f>
        <v>5.10881591</v>
      </c>
      <c r="AY1573" s="331">
        <f>SQRT(($R1573-Infrastructure!J$6)^2+($S1573-Infrastructure!K$6)^2)</f>
        <v>10.10445446</v>
      </c>
      <c r="AZ1573" s="331">
        <f>SQRT(($R1573-Infrastructure!J$7)^2+($S1573-Infrastructure!K$7)^2)</f>
        <v>20.502195</v>
      </c>
      <c r="BA1573" s="331">
        <f>SQRT(($R1573-Infrastructure!J$8)^2+($S1573-Infrastructure!K$8)^2)</f>
        <v>30.10149498</v>
      </c>
      <c r="BB1573" s="331">
        <f>SQRT(($R1573-Infrastructure!J$9)^2+($S1573-Infrastructure!K$9)^2)</f>
        <v>40.3238143</v>
      </c>
      <c r="BC1573" s="331">
        <f>SQRT(($R1573-Infrastructure!J$10)^2+($S1573-Infrastructure!K$10)^2)</f>
        <v>42.72001873</v>
      </c>
      <c r="BD1573" s="331">
        <f>SQRT(($R1573-Infrastructure!J$11)^2+($S1573-Infrastructure!K$11)^2)</f>
        <v>49.56853841</v>
      </c>
      <c r="BE1573" s="333">
        <f>SQRT(($R1573-Infrastructure!J$12)^2+($S1573-Infrastructure!K$12)^2)</f>
        <v>59.51890456</v>
      </c>
      <c r="BF1573" s="330">
        <f t="shared" si="161"/>
        <v>5.10881591</v>
      </c>
      <c r="BG1573" s="333">
        <f t="shared" si="162"/>
        <v>59.51890456</v>
      </c>
      <c r="BH1573" s="1119"/>
      <c r="BI1573" s="319"/>
      <c r="BJ1573" s="319"/>
      <c r="BK1573" s="319"/>
      <c r="BL1573" s="319"/>
      <c r="BM1573" s="319"/>
      <c r="BN1573" s="319"/>
      <c r="BO1573" s="319"/>
      <c r="BP1573" s="953"/>
      <c r="BQ1573" s="319"/>
      <c r="BR1573" s="319"/>
      <c r="BS1573" s="330">
        <f t="shared" si="169"/>
        <v>0</v>
      </c>
      <c r="BT1573" s="331">
        <f t="shared" si="170"/>
        <v>0</v>
      </c>
      <c r="BU1573" s="920"/>
      <c r="BV1573" s="903">
        <f t="shared" si="171"/>
        <v>-0.520474537</v>
      </c>
      <c r="BW1573" s="907"/>
      <c r="BX1573" s="908"/>
      <c r="BY1573" s="331"/>
      <c r="BZ1573" s="340"/>
      <c r="CA1573" s="316"/>
      <c r="CB1573" s="318"/>
      <c r="CC1573" s="318"/>
      <c r="CD1573" s="318"/>
      <c r="CE1573" s="318"/>
      <c r="CF1573" s="318"/>
      <c r="CG1573" s="318"/>
      <c r="CH1573" s="318"/>
      <c r="CI1573" s="318"/>
      <c r="CJ1573" s="463"/>
      <c r="CK1573" s="342"/>
      <c r="CL1573" s="333"/>
      <c r="CM1573" s="1079"/>
      <c r="CN1573" s="1005"/>
      <c r="CO1573" s="1005"/>
      <c r="CP1573" s="1005"/>
    </row>
    <row r="1574">
      <c r="B1574" s="1106" t="s">
        <v>2240</v>
      </c>
      <c r="C1574" s="1107">
        <v>44873.0</v>
      </c>
      <c r="D1574" s="1113" t="s">
        <v>986</v>
      </c>
      <c r="E1574" s="1108">
        <v>18.0</v>
      </c>
      <c r="F1574" s="112" t="s">
        <v>2265</v>
      </c>
      <c r="G1574" s="1110">
        <v>0.5961805555555556</v>
      </c>
      <c r="H1574" s="1110">
        <v>0.596574074074074</v>
      </c>
      <c r="I1574" s="1110"/>
      <c r="J1574" s="1111"/>
      <c r="K1574" s="1111">
        <v>0.6100231481481482</v>
      </c>
      <c r="L1574" s="1112">
        <v>0.013449074074074073</v>
      </c>
      <c r="M1574" s="1113" t="s">
        <v>173</v>
      </c>
      <c r="N1574" s="110" t="s">
        <v>187</v>
      </c>
      <c r="O1574" s="1115" t="s">
        <v>206</v>
      </c>
      <c r="P1574" s="1115" t="s">
        <v>296</v>
      </c>
      <c r="Q1574" s="1115" t="s">
        <v>2246</v>
      </c>
      <c r="R1574" s="120">
        <v>22.0</v>
      </c>
      <c r="S1574" s="1113">
        <v>11.4</v>
      </c>
      <c r="T1574" s="110">
        <v>0.6</v>
      </c>
      <c r="U1574" s="1108">
        <v>0.3</v>
      </c>
      <c r="V1574" s="1108"/>
      <c r="W1574" s="1108"/>
      <c r="X1574" s="1108"/>
      <c r="Y1574" s="1108"/>
      <c r="Z1574" s="1114" t="s">
        <v>347</v>
      </c>
      <c r="AA1574" s="1114"/>
      <c r="AB1574" s="1114" t="s">
        <v>380</v>
      </c>
      <c r="AC1574" s="1117">
        <v>4.0</v>
      </c>
      <c r="AD1574" s="1115"/>
      <c r="AE1574" s="1115"/>
      <c r="AF1574" s="1115"/>
      <c r="AG1574" s="1115"/>
      <c r="AH1574" s="1115"/>
      <c r="AI1574" s="1115"/>
      <c r="AJ1574" s="1117"/>
      <c r="AK1574" s="1118"/>
      <c r="AL1574" s="1115"/>
      <c r="AM1574" s="1115"/>
      <c r="AN1574" s="1115"/>
      <c r="AO1574" s="1115"/>
      <c r="AP1574" s="1115"/>
      <c r="AQ1574" s="1115"/>
      <c r="AR1574" s="1115"/>
      <c r="AS1574" s="1117"/>
      <c r="AT1574" s="1196" t="s">
        <v>181</v>
      </c>
      <c r="AU1574" s="1193" t="s">
        <v>845</v>
      </c>
      <c r="AV1574" s="330">
        <f>SQRT(($R1574-Infrastructure!J$3)^2+($S1574-Infrastructure!K$3)^2)</f>
        <v>28.34678112</v>
      </c>
      <c r="AW1574" s="331">
        <f>SQRT(($R1574-Infrastructure!J$4)^2+($S1574-Infrastructure!K$4)^2)</f>
        <v>23.20021552</v>
      </c>
      <c r="AX1574" s="331">
        <f>SQRT(($R1574-Infrastructure!J$5)^2+($S1574-Infrastructure!K$5)^2)</f>
        <v>23.17282892</v>
      </c>
      <c r="AY1574" s="331">
        <f>SQRT(($R1574-Infrastructure!J$6)^2+($S1574-Infrastructure!K$6)^2)</f>
        <v>16.273291</v>
      </c>
      <c r="AZ1574" s="331">
        <f>SQRT(($R1574-Infrastructure!J$7)^2+($S1574-Infrastructure!K$7)^2)</f>
        <v>11.20089282</v>
      </c>
      <c r="BA1574" s="331">
        <f>SQRT(($R1574-Infrastructure!J$8)^2+($S1574-Infrastructure!K$8)^2)</f>
        <v>13.74117899</v>
      </c>
      <c r="BB1574" s="331">
        <f>SQRT(($R1574-Infrastructure!J$9)^2+($S1574-Infrastructure!K$9)^2)</f>
        <v>19.07065809</v>
      </c>
      <c r="BC1574" s="331">
        <f>SQRT(($R1574-Infrastructure!J$10)^2+($S1574-Infrastructure!K$10)^2)</f>
        <v>18.35647025</v>
      </c>
      <c r="BD1574" s="331">
        <f>SQRT(($R1574-Infrastructure!J$11)^2+($S1574-Infrastructure!K$11)^2)</f>
        <v>25.3179778</v>
      </c>
      <c r="BE1574" s="333">
        <f>SQRT(($R1574-Infrastructure!J$12)^2+($S1574-Infrastructure!K$12)^2)</f>
        <v>44.10283438</v>
      </c>
      <c r="BF1574" s="330">
        <f t="shared" si="161"/>
        <v>11.20089282</v>
      </c>
      <c r="BG1574" s="333">
        <f t="shared" si="162"/>
        <v>44.10283438</v>
      </c>
      <c r="BH1574" s="1119"/>
      <c r="BI1574" s="319"/>
      <c r="BJ1574" s="319"/>
      <c r="BK1574" s="319"/>
      <c r="BL1574" s="319"/>
      <c r="BM1574" s="319"/>
      <c r="BN1574" s="319"/>
      <c r="BO1574" s="319"/>
      <c r="BP1574" s="953"/>
      <c r="BQ1574" s="319"/>
      <c r="BR1574" s="319"/>
      <c r="BS1574" s="330">
        <f t="shared" si="169"/>
        <v>0</v>
      </c>
      <c r="BT1574" s="331">
        <f t="shared" si="170"/>
        <v>0</v>
      </c>
      <c r="BU1574" s="920"/>
      <c r="BV1574" s="903">
        <f t="shared" si="171"/>
        <v>-0.5961805556</v>
      </c>
      <c r="BW1574" s="907"/>
      <c r="BX1574" s="908"/>
      <c r="BY1574" s="331"/>
      <c r="BZ1574" s="340"/>
      <c r="CA1574" s="316"/>
      <c r="CB1574" s="318"/>
      <c r="CC1574" s="318"/>
      <c r="CD1574" s="318"/>
      <c r="CE1574" s="318"/>
      <c r="CF1574" s="318"/>
      <c r="CG1574" s="318"/>
      <c r="CH1574" s="318"/>
      <c r="CI1574" s="318"/>
      <c r="CJ1574" s="463"/>
      <c r="CK1574" s="342"/>
      <c r="CL1574" s="333"/>
      <c r="CM1574" s="1079"/>
      <c r="CN1574" s="1005"/>
      <c r="CO1574" s="1005"/>
      <c r="CP1574" s="1005"/>
    </row>
    <row r="1575">
      <c r="B1575" s="1106" t="s">
        <v>2240</v>
      </c>
      <c r="C1575" s="1107">
        <v>44873.0</v>
      </c>
      <c r="D1575" s="1113" t="s">
        <v>986</v>
      </c>
      <c r="E1575" s="1108" t="s">
        <v>2266</v>
      </c>
      <c r="F1575" s="112" t="s">
        <v>2267</v>
      </c>
      <c r="G1575" s="1110">
        <v>0.6114583333333333</v>
      </c>
      <c r="H1575" s="1110">
        <v>0.6115625</v>
      </c>
      <c r="I1575" s="1110"/>
      <c r="J1575" s="1111"/>
      <c r="K1575" s="1111">
        <v>0.6322916666666667</v>
      </c>
      <c r="L1575" s="1112">
        <v>0.020729166666666667</v>
      </c>
      <c r="M1575" s="1113" t="s">
        <v>166</v>
      </c>
      <c r="N1575" s="110" t="s">
        <v>187</v>
      </c>
      <c r="O1575" s="1115" t="s">
        <v>206</v>
      </c>
      <c r="P1575" s="1115" t="s">
        <v>296</v>
      </c>
      <c r="Q1575" s="1115" t="s">
        <v>2246</v>
      </c>
      <c r="R1575" s="120">
        <v>22.0</v>
      </c>
      <c r="S1575" s="1113">
        <v>11.4</v>
      </c>
      <c r="T1575" s="110">
        <v>0.6</v>
      </c>
      <c r="U1575" s="1108">
        <v>0.3</v>
      </c>
      <c r="V1575" s="1108"/>
      <c r="W1575" s="1108"/>
      <c r="X1575" s="1108"/>
      <c r="Y1575" s="1108"/>
      <c r="Z1575" s="1114" t="s">
        <v>347</v>
      </c>
      <c r="AA1575" s="1114"/>
      <c r="AB1575" s="1114" t="s">
        <v>380</v>
      </c>
      <c r="AC1575" s="1117">
        <v>4.0</v>
      </c>
      <c r="AD1575" s="1115"/>
      <c r="AE1575" s="1115"/>
      <c r="AF1575" s="1115"/>
      <c r="AG1575" s="1115"/>
      <c r="AH1575" s="1115"/>
      <c r="AI1575" s="1115"/>
      <c r="AJ1575" s="1117"/>
      <c r="AK1575" s="1118"/>
      <c r="AL1575" s="1115"/>
      <c r="AM1575" s="1115"/>
      <c r="AN1575" s="1115"/>
      <c r="AO1575" s="1115"/>
      <c r="AP1575" s="1115"/>
      <c r="AQ1575" s="1115"/>
      <c r="AR1575" s="1115"/>
      <c r="AS1575" s="1117"/>
      <c r="AT1575" s="1196" t="s">
        <v>181</v>
      </c>
      <c r="AU1575" s="1193" t="s">
        <v>845</v>
      </c>
      <c r="AV1575" s="330">
        <f>SQRT(($R1575-Infrastructure!J$3)^2+($S1575-Infrastructure!K$3)^2)</f>
        <v>28.34678112</v>
      </c>
      <c r="AW1575" s="331">
        <f>SQRT(($R1575-Infrastructure!J$4)^2+($S1575-Infrastructure!K$4)^2)</f>
        <v>23.20021552</v>
      </c>
      <c r="AX1575" s="331">
        <f>SQRT(($R1575-Infrastructure!J$5)^2+($S1575-Infrastructure!K$5)^2)</f>
        <v>23.17282892</v>
      </c>
      <c r="AY1575" s="331">
        <f>SQRT(($R1575-Infrastructure!J$6)^2+($S1575-Infrastructure!K$6)^2)</f>
        <v>16.273291</v>
      </c>
      <c r="AZ1575" s="331">
        <f>SQRT(($R1575-Infrastructure!J$7)^2+($S1575-Infrastructure!K$7)^2)</f>
        <v>11.20089282</v>
      </c>
      <c r="BA1575" s="331">
        <f>SQRT(($R1575-Infrastructure!J$8)^2+($S1575-Infrastructure!K$8)^2)</f>
        <v>13.74117899</v>
      </c>
      <c r="BB1575" s="331">
        <f>SQRT(($R1575-Infrastructure!J$9)^2+($S1575-Infrastructure!K$9)^2)</f>
        <v>19.07065809</v>
      </c>
      <c r="BC1575" s="331">
        <f>SQRT(($R1575-Infrastructure!J$10)^2+($S1575-Infrastructure!K$10)^2)</f>
        <v>18.35647025</v>
      </c>
      <c r="BD1575" s="331">
        <f>SQRT(($R1575-Infrastructure!J$11)^2+($S1575-Infrastructure!K$11)^2)</f>
        <v>25.3179778</v>
      </c>
      <c r="BE1575" s="333">
        <f>SQRT(($R1575-Infrastructure!J$12)^2+($S1575-Infrastructure!K$12)^2)</f>
        <v>44.10283438</v>
      </c>
      <c r="BF1575" s="330">
        <f t="shared" si="161"/>
        <v>11.20089282</v>
      </c>
      <c r="BG1575" s="333">
        <f t="shared" si="162"/>
        <v>44.10283438</v>
      </c>
      <c r="BH1575" s="1119"/>
      <c r="BI1575" s="319"/>
      <c r="BJ1575" s="319"/>
      <c r="BK1575" s="319"/>
      <c r="BL1575" s="319"/>
      <c r="BM1575" s="319"/>
      <c r="BN1575" s="319"/>
      <c r="BO1575" s="319"/>
      <c r="BP1575" s="953"/>
      <c r="BQ1575" s="319"/>
      <c r="BR1575" s="319"/>
      <c r="BS1575" s="330">
        <f t="shared" si="169"/>
        <v>0</v>
      </c>
      <c r="BT1575" s="331">
        <f t="shared" si="170"/>
        <v>0</v>
      </c>
      <c r="BU1575" s="920"/>
      <c r="BV1575" s="903">
        <f t="shared" si="171"/>
        <v>-0.6114583333</v>
      </c>
      <c r="BW1575" s="907"/>
      <c r="BX1575" s="908"/>
      <c r="BY1575" s="331"/>
      <c r="BZ1575" s="340"/>
      <c r="CA1575" s="316"/>
      <c r="CB1575" s="318"/>
      <c r="CC1575" s="318"/>
      <c r="CD1575" s="318"/>
      <c r="CE1575" s="318"/>
      <c r="CF1575" s="318"/>
      <c r="CG1575" s="318"/>
      <c r="CH1575" s="318"/>
      <c r="CI1575" s="318"/>
      <c r="CJ1575" s="463"/>
      <c r="CK1575" s="342"/>
      <c r="CL1575" s="333"/>
      <c r="CM1575" s="1079"/>
      <c r="CN1575" s="1005"/>
      <c r="CO1575" s="1005"/>
      <c r="CP1575" s="1005"/>
    </row>
    <row r="1576">
      <c r="B1576" s="1106" t="s">
        <v>2240</v>
      </c>
      <c r="C1576" s="1107">
        <v>44873.0</v>
      </c>
      <c r="D1576" s="1113" t="s">
        <v>986</v>
      </c>
      <c r="E1576" s="1108">
        <v>19.0</v>
      </c>
      <c r="F1576" s="112" t="s">
        <v>2268</v>
      </c>
      <c r="G1576" s="1110">
        <v>0.633449074074074</v>
      </c>
      <c r="H1576" s="1110">
        <v>0.6356481481481482</v>
      </c>
      <c r="I1576" s="1110"/>
      <c r="J1576" s="1111"/>
      <c r="K1576" s="1111">
        <v>0.6458564814814814</v>
      </c>
      <c r="L1576" s="1112">
        <v>0.010208333333333333</v>
      </c>
      <c r="M1576" s="1113" t="s">
        <v>166</v>
      </c>
      <c r="N1576" s="110" t="s">
        <v>187</v>
      </c>
      <c r="O1576" s="1115" t="s">
        <v>2263</v>
      </c>
      <c r="P1576" s="1115" t="s">
        <v>323</v>
      </c>
      <c r="Q1576" s="1115" t="s">
        <v>2244</v>
      </c>
      <c r="R1576" s="120"/>
      <c r="S1576" s="1113"/>
      <c r="T1576" s="110"/>
      <c r="U1576" s="1108">
        <v>0.25</v>
      </c>
      <c r="V1576" s="1108"/>
      <c r="W1576" s="1108"/>
      <c r="X1576" s="1108"/>
      <c r="Y1576" s="1108"/>
      <c r="Z1576" s="1114" t="s">
        <v>335</v>
      </c>
      <c r="AA1576" s="1114"/>
      <c r="AB1576" s="1114" t="s">
        <v>326</v>
      </c>
      <c r="AC1576" s="1117">
        <v>1.0</v>
      </c>
      <c r="AD1576" s="1115"/>
      <c r="AE1576" s="1115"/>
      <c r="AF1576" s="1115"/>
      <c r="AG1576" s="1115"/>
      <c r="AH1576" s="1115"/>
      <c r="AI1576" s="1115"/>
      <c r="AJ1576" s="1117"/>
      <c r="AK1576" s="1118"/>
      <c r="AL1576" s="1115"/>
      <c r="AM1576" s="1115"/>
      <c r="AN1576" s="1115"/>
      <c r="AO1576" s="1115"/>
      <c r="AP1576" s="1115"/>
      <c r="AQ1576" s="1115"/>
      <c r="AR1576" s="1115"/>
      <c r="AS1576" s="1117"/>
      <c r="AT1576" s="1196" t="s">
        <v>181</v>
      </c>
      <c r="AU1576" s="1193" t="s">
        <v>845</v>
      </c>
      <c r="AV1576" s="330">
        <f>SQRT(($R1576-Infrastructure!J$3)^2+($S1576-Infrastructure!K$3)^2)</f>
        <v>28.90155705</v>
      </c>
      <c r="AW1576" s="331">
        <f>SQRT(($R1576-Infrastructure!J$4)^2+($S1576-Infrastructure!K$4)^2)</f>
        <v>17.80252791</v>
      </c>
      <c r="AX1576" s="331">
        <f>SQRT(($R1576-Infrastructure!J$5)^2+($S1576-Infrastructure!K$5)^2)</f>
        <v>5.10881591</v>
      </c>
      <c r="AY1576" s="331">
        <f>SQRT(($R1576-Infrastructure!J$6)^2+($S1576-Infrastructure!K$6)^2)</f>
        <v>10.10445446</v>
      </c>
      <c r="AZ1576" s="331">
        <f>SQRT(($R1576-Infrastructure!J$7)^2+($S1576-Infrastructure!K$7)^2)</f>
        <v>20.502195</v>
      </c>
      <c r="BA1576" s="331">
        <f>SQRT(($R1576-Infrastructure!J$8)^2+($S1576-Infrastructure!K$8)^2)</f>
        <v>30.10149498</v>
      </c>
      <c r="BB1576" s="331">
        <f>SQRT(($R1576-Infrastructure!J$9)^2+($S1576-Infrastructure!K$9)^2)</f>
        <v>40.3238143</v>
      </c>
      <c r="BC1576" s="331">
        <f>SQRT(($R1576-Infrastructure!J$10)^2+($S1576-Infrastructure!K$10)^2)</f>
        <v>42.72001873</v>
      </c>
      <c r="BD1576" s="331">
        <f>SQRT(($R1576-Infrastructure!J$11)^2+($S1576-Infrastructure!K$11)^2)</f>
        <v>49.56853841</v>
      </c>
      <c r="BE1576" s="333">
        <f>SQRT(($R1576-Infrastructure!J$12)^2+($S1576-Infrastructure!K$12)^2)</f>
        <v>59.51890456</v>
      </c>
      <c r="BF1576" s="330">
        <f t="shared" si="161"/>
        <v>5.10881591</v>
      </c>
      <c r="BG1576" s="333">
        <f t="shared" si="162"/>
        <v>59.51890456</v>
      </c>
      <c r="BH1576" s="1119"/>
      <c r="BI1576" s="319"/>
      <c r="BJ1576" s="319"/>
      <c r="BK1576" s="319"/>
      <c r="BL1576" s="319"/>
      <c r="BM1576" s="319"/>
      <c r="BN1576" s="319"/>
      <c r="BO1576" s="319"/>
      <c r="BP1576" s="953"/>
      <c r="BQ1576" s="319"/>
      <c r="BR1576" s="319"/>
      <c r="BS1576" s="330">
        <f t="shared" si="169"/>
        <v>0</v>
      </c>
      <c r="BT1576" s="331">
        <f t="shared" si="170"/>
        <v>0</v>
      </c>
      <c r="BU1576" s="920"/>
      <c r="BV1576" s="903">
        <f t="shared" si="171"/>
        <v>-0.6334490741</v>
      </c>
      <c r="BW1576" s="907"/>
      <c r="BX1576" s="908"/>
      <c r="BY1576" s="331"/>
      <c r="BZ1576" s="340"/>
      <c r="CA1576" s="316"/>
      <c r="CB1576" s="318"/>
      <c r="CC1576" s="318"/>
      <c r="CD1576" s="318"/>
      <c r="CE1576" s="318"/>
      <c r="CF1576" s="318"/>
      <c r="CG1576" s="318"/>
      <c r="CH1576" s="318"/>
      <c r="CI1576" s="318"/>
      <c r="CJ1576" s="463"/>
      <c r="CK1576" s="342"/>
      <c r="CL1576" s="333"/>
      <c r="CM1576" s="1079"/>
      <c r="CN1576" s="1005"/>
      <c r="CO1576" s="1005"/>
      <c r="CP1576" s="1005"/>
    </row>
    <row r="1577">
      <c r="B1577" s="1106" t="s">
        <v>2240</v>
      </c>
      <c r="C1577" s="1107">
        <v>44873.0</v>
      </c>
      <c r="D1577" s="1113" t="s">
        <v>986</v>
      </c>
      <c r="E1577" s="1108">
        <v>20.0</v>
      </c>
      <c r="F1577" s="112" t="s">
        <v>2269</v>
      </c>
      <c r="G1577" s="1110">
        <v>0.6476851851851851</v>
      </c>
      <c r="H1577" s="1110">
        <v>0.6485069444444445</v>
      </c>
      <c r="I1577" s="1110"/>
      <c r="J1577" s="1111"/>
      <c r="K1577" s="1111">
        <v>0.6632523148148148</v>
      </c>
      <c r="L1577" s="1112">
        <v>0.01474537037037037</v>
      </c>
      <c r="M1577" s="1113" t="s">
        <v>166</v>
      </c>
      <c r="N1577" s="110" t="s">
        <v>187</v>
      </c>
      <c r="O1577" s="1115" t="s">
        <v>206</v>
      </c>
      <c r="P1577" s="1115" t="s">
        <v>213</v>
      </c>
      <c r="Q1577" s="1115" t="s">
        <v>2246</v>
      </c>
      <c r="R1577" s="120">
        <v>21.7</v>
      </c>
      <c r="S1577" s="1113">
        <v>11.1</v>
      </c>
      <c r="T1577" s="110">
        <v>2.4</v>
      </c>
      <c r="U1577" s="1108">
        <v>0.35</v>
      </c>
      <c r="V1577" s="1108"/>
      <c r="W1577" s="1108"/>
      <c r="X1577" s="1108"/>
      <c r="Y1577" s="1108"/>
      <c r="Z1577" s="1114" t="s">
        <v>347</v>
      </c>
      <c r="AA1577" s="1114"/>
      <c r="AB1577" s="1114" t="s">
        <v>380</v>
      </c>
      <c r="AC1577" s="1117">
        <v>4.0</v>
      </c>
      <c r="AD1577" s="1115"/>
      <c r="AE1577" s="1115"/>
      <c r="AF1577" s="1115"/>
      <c r="AG1577" s="1115"/>
      <c r="AH1577" s="1115"/>
      <c r="AI1577" s="1115"/>
      <c r="AJ1577" s="1117"/>
      <c r="AK1577" s="1118"/>
      <c r="AL1577" s="1115"/>
      <c r="AM1577" s="1115"/>
      <c r="AN1577" s="1115"/>
      <c r="AO1577" s="1115"/>
      <c r="AP1577" s="1115"/>
      <c r="AQ1577" s="1115"/>
      <c r="AR1577" s="1115"/>
      <c r="AS1577" s="1117"/>
      <c r="AT1577" s="1196" t="s">
        <v>181</v>
      </c>
      <c r="AU1577" s="1193" t="s">
        <v>845</v>
      </c>
      <c r="AV1577" s="330">
        <f>SQRT(($R1577-Infrastructure!J$3)^2+($S1577-Infrastructure!K$3)^2)</f>
        <v>28.29911659</v>
      </c>
      <c r="AW1577" s="331">
        <f>SQRT(($R1577-Infrastructure!J$4)^2+($S1577-Infrastructure!K$4)^2)</f>
        <v>22.99760857</v>
      </c>
      <c r="AX1577" s="331">
        <f>SQRT(($R1577-Infrastructure!J$5)^2+($S1577-Infrastructure!K$5)^2)</f>
        <v>22.8035085</v>
      </c>
      <c r="AY1577" s="331">
        <f>SQRT(($R1577-Infrastructure!J$6)^2+($S1577-Infrastructure!K$6)^2)</f>
        <v>15.8492902</v>
      </c>
      <c r="AZ1577" s="331">
        <f>SQRT(($R1577-Infrastructure!J$7)^2+($S1577-Infrastructure!K$7)^2)</f>
        <v>10.86646217</v>
      </c>
      <c r="BA1577" s="331">
        <f>SQRT(($R1577-Infrastructure!J$8)^2+($S1577-Infrastructure!K$8)^2)</f>
        <v>13.6821051</v>
      </c>
      <c r="BB1577" s="331">
        <f>SQRT(($R1577-Infrastructure!J$9)^2+($S1577-Infrastructure!K$9)^2)</f>
        <v>19.25850461</v>
      </c>
      <c r="BC1577" s="331">
        <f>SQRT(($R1577-Infrastructure!J$10)^2+($S1577-Infrastructure!K$10)^2)</f>
        <v>18.71095936</v>
      </c>
      <c r="BD1577" s="331">
        <f>SQRT(($R1577-Infrastructure!J$11)^2+($S1577-Infrastructure!K$11)^2)</f>
        <v>25.74218328</v>
      </c>
      <c r="BE1577" s="333">
        <f>SQRT(($R1577-Infrastructure!J$12)^2+($S1577-Infrastructure!K$12)^2)</f>
        <v>44.40045045</v>
      </c>
      <c r="BF1577" s="330">
        <f t="shared" si="161"/>
        <v>10.86646217</v>
      </c>
      <c r="BG1577" s="333">
        <f t="shared" si="162"/>
        <v>44.40045045</v>
      </c>
      <c r="BH1577" s="1119"/>
      <c r="BI1577" s="319"/>
      <c r="BJ1577" s="319"/>
      <c r="BK1577" s="319"/>
      <c r="BL1577" s="319"/>
      <c r="BM1577" s="319"/>
      <c r="BN1577" s="319"/>
      <c r="BO1577" s="319"/>
      <c r="BP1577" s="953"/>
      <c r="BQ1577" s="319"/>
      <c r="BR1577" s="319"/>
      <c r="BS1577" s="330">
        <f t="shared" si="169"/>
        <v>0</v>
      </c>
      <c r="BT1577" s="331">
        <f t="shared" si="170"/>
        <v>0</v>
      </c>
      <c r="BU1577" s="920"/>
      <c r="BV1577" s="903">
        <f t="shared" si="171"/>
        <v>-0.6476851852</v>
      </c>
      <c r="BW1577" s="907"/>
      <c r="BX1577" s="908"/>
      <c r="BY1577" s="331"/>
      <c r="BZ1577" s="340"/>
      <c r="CA1577" s="316"/>
      <c r="CB1577" s="318"/>
      <c r="CC1577" s="318"/>
      <c r="CD1577" s="318"/>
      <c r="CE1577" s="318"/>
      <c r="CF1577" s="318"/>
      <c r="CG1577" s="318"/>
      <c r="CH1577" s="318"/>
      <c r="CI1577" s="318"/>
      <c r="CJ1577" s="463"/>
      <c r="CK1577" s="342"/>
      <c r="CL1577" s="333"/>
      <c r="CM1577" s="1079"/>
      <c r="CN1577" s="1005"/>
      <c r="CO1577" s="1005"/>
      <c r="CP1577" s="1005"/>
    </row>
    <row r="1578">
      <c r="B1578" s="1106" t="s">
        <v>2240</v>
      </c>
      <c r="C1578" s="1107">
        <v>44873.0</v>
      </c>
      <c r="D1578" s="103"/>
      <c r="E1578" s="1108"/>
      <c r="F1578" s="112" t="s">
        <v>2270</v>
      </c>
      <c r="G1578" s="1110">
        <v>0.6594907407407408</v>
      </c>
      <c r="H1578" s="1110"/>
      <c r="I1578" s="1110"/>
      <c r="J1578" s="1111"/>
      <c r="K1578" s="1111">
        <v>0.6663194444444445</v>
      </c>
      <c r="L1578" s="1112">
        <v>0.006828703703703704</v>
      </c>
      <c r="M1578" s="1113" t="s">
        <v>166</v>
      </c>
      <c r="N1578" s="110" t="s">
        <v>188</v>
      </c>
      <c r="O1578" s="1115"/>
      <c r="P1578" s="1115" t="s">
        <v>292</v>
      </c>
      <c r="Q1578" s="1115"/>
      <c r="R1578" s="120"/>
      <c r="S1578" s="1113"/>
      <c r="T1578" s="110"/>
      <c r="U1578" s="1108"/>
      <c r="V1578" s="1108"/>
      <c r="W1578" s="1108"/>
      <c r="X1578" s="1108"/>
      <c r="Y1578" s="1108"/>
      <c r="Z1578" s="1114" t="s">
        <v>323</v>
      </c>
      <c r="AA1578" s="1114"/>
      <c r="AB1578" s="1114" t="s">
        <v>323</v>
      </c>
      <c r="AC1578" s="1117" t="s">
        <v>323</v>
      </c>
      <c r="AD1578" s="1115"/>
      <c r="AE1578" s="1115"/>
      <c r="AF1578" s="1115"/>
      <c r="AG1578" s="1115"/>
      <c r="AH1578" s="1115"/>
      <c r="AI1578" s="1115"/>
      <c r="AJ1578" s="1117"/>
      <c r="AK1578" s="1118"/>
      <c r="AL1578" s="1115"/>
      <c r="AM1578" s="1115"/>
      <c r="AN1578" s="1115"/>
      <c r="AO1578" s="1115"/>
      <c r="AP1578" s="1115"/>
      <c r="AQ1578" s="1115"/>
      <c r="AR1578" s="1115"/>
      <c r="AS1578" s="1117"/>
      <c r="AT1578" s="1196"/>
      <c r="AU1578" s="1193"/>
      <c r="AV1578" s="330">
        <f>SQRT(($R1578-Infrastructure!J$3)^2+($S1578-Infrastructure!K$3)^2)</f>
        <v>28.90155705</v>
      </c>
      <c r="AW1578" s="331">
        <f>SQRT(($R1578-Infrastructure!J$4)^2+($S1578-Infrastructure!K$4)^2)</f>
        <v>17.80252791</v>
      </c>
      <c r="AX1578" s="331">
        <f>SQRT(($R1578-Infrastructure!J$5)^2+($S1578-Infrastructure!K$5)^2)</f>
        <v>5.10881591</v>
      </c>
      <c r="AY1578" s="331">
        <f>SQRT(($R1578-Infrastructure!J$6)^2+($S1578-Infrastructure!K$6)^2)</f>
        <v>10.10445446</v>
      </c>
      <c r="AZ1578" s="331">
        <f>SQRT(($R1578-Infrastructure!J$7)^2+($S1578-Infrastructure!K$7)^2)</f>
        <v>20.502195</v>
      </c>
      <c r="BA1578" s="331">
        <f>SQRT(($R1578-Infrastructure!J$8)^2+($S1578-Infrastructure!K$8)^2)</f>
        <v>30.10149498</v>
      </c>
      <c r="BB1578" s="331">
        <f>SQRT(($R1578-Infrastructure!J$9)^2+($S1578-Infrastructure!K$9)^2)</f>
        <v>40.3238143</v>
      </c>
      <c r="BC1578" s="331">
        <f>SQRT(($R1578-Infrastructure!J$10)^2+($S1578-Infrastructure!K$10)^2)</f>
        <v>42.72001873</v>
      </c>
      <c r="BD1578" s="331">
        <f>SQRT(($R1578-Infrastructure!J$11)^2+($S1578-Infrastructure!K$11)^2)</f>
        <v>49.56853841</v>
      </c>
      <c r="BE1578" s="333">
        <f>SQRT(($R1578-Infrastructure!J$12)^2+($S1578-Infrastructure!K$12)^2)</f>
        <v>59.51890456</v>
      </c>
      <c r="BF1578" s="330">
        <f t="shared" si="161"/>
        <v>5.10881591</v>
      </c>
      <c r="BG1578" s="333">
        <f t="shared" si="162"/>
        <v>59.51890456</v>
      </c>
      <c r="BH1578" s="1119"/>
      <c r="BI1578" s="319"/>
      <c r="BJ1578" s="319"/>
      <c r="BK1578" s="319"/>
      <c r="BL1578" s="319"/>
      <c r="BM1578" s="319"/>
      <c r="BN1578" s="319"/>
      <c r="BO1578" s="319"/>
      <c r="BP1578" s="953"/>
      <c r="BQ1578" s="319"/>
      <c r="BR1578" s="319"/>
      <c r="BS1578" s="330">
        <f t="shared" si="169"/>
        <v>0</v>
      </c>
      <c r="BT1578" s="331">
        <f t="shared" si="170"/>
        <v>0</v>
      </c>
      <c r="BU1578" s="920"/>
      <c r="BV1578" s="903">
        <f t="shared" si="171"/>
        <v>-0.6594907407</v>
      </c>
      <c r="BW1578" s="907"/>
      <c r="BX1578" s="908"/>
      <c r="BY1578" s="331"/>
      <c r="BZ1578" s="340"/>
      <c r="CA1578" s="316"/>
      <c r="CB1578" s="318"/>
      <c r="CC1578" s="318"/>
      <c r="CD1578" s="318"/>
      <c r="CE1578" s="318"/>
      <c r="CF1578" s="318"/>
      <c r="CG1578" s="318"/>
      <c r="CH1578" s="318"/>
      <c r="CI1578" s="318"/>
      <c r="CJ1578" s="463"/>
      <c r="CK1578" s="342"/>
      <c r="CL1578" s="333"/>
      <c r="CM1578" s="1079"/>
      <c r="CN1578" s="1005"/>
      <c r="CO1578" s="1005"/>
      <c r="CP1578" s="1005"/>
    </row>
    <row r="1579">
      <c r="A1579" s="634"/>
      <c r="B1579" s="1121" t="s">
        <v>2240</v>
      </c>
      <c r="C1579" s="1122">
        <v>44873.0</v>
      </c>
      <c r="D1579" s="1123"/>
      <c r="E1579" s="1124"/>
      <c r="F1579" s="108" t="s">
        <v>2270</v>
      </c>
      <c r="G1579" s="1126">
        <v>0.7152777777777778</v>
      </c>
      <c r="H1579" s="1126"/>
      <c r="I1579" s="1126"/>
      <c r="J1579" s="1127"/>
      <c r="K1579" s="1127">
        <v>0.71875</v>
      </c>
      <c r="L1579" s="1128">
        <v>0.003472222222222222</v>
      </c>
      <c r="M1579" s="1129" t="s">
        <v>358</v>
      </c>
      <c r="N1579" s="100" t="s">
        <v>188</v>
      </c>
      <c r="O1579" s="1131"/>
      <c r="P1579" s="1131" t="s">
        <v>294</v>
      </c>
      <c r="Q1579" s="1131"/>
      <c r="R1579" s="137"/>
      <c r="S1579" s="1129"/>
      <c r="T1579" s="100"/>
      <c r="U1579" s="1124"/>
      <c r="V1579" s="1124"/>
      <c r="W1579" s="1124"/>
      <c r="X1579" s="1124"/>
      <c r="Y1579" s="1124"/>
      <c r="Z1579" s="1130" t="s">
        <v>323</v>
      </c>
      <c r="AA1579" s="1130"/>
      <c r="AB1579" s="1130" t="s">
        <v>323</v>
      </c>
      <c r="AC1579" s="1133" t="s">
        <v>323</v>
      </c>
      <c r="AD1579" s="1131"/>
      <c r="AE1579" s="1131"/>
      <c r="AF1579" s="1131"/>
      <c r="AG1579" s="1131"/>
      <c r="AH1579" s="1131"/>
      <c r="AI1579" s="1131"/>
      <c r="AJ1579" s="1133"/>
      <c r="AK1579" s="1134"/>
      <c r="AL1579" s="1131"/>
      <c r="AM1579" s="1131"/>
      <c r="AN1579" s="1131"/>
      <c r="AO1579" s="1131"/>
      <c r="AP1579" s="1131"/>
      <c r="AQ1579" s="1131"/>
      <c r="AR1579" s="1131"/>
      <c r="AS1579" s="1133"/>
      <c r="AT1579" s="1197"/>
      <c r="AU1579" s="1194"/>
      <c r="AV1579" s="330">
        <f>SQRT(($R1579-Infrastructure!J$3)^2+($S1579-Infrastructure!K$3)^2)</f>
        <v>28.90155705</v>
      </c>
      <c r="AW1579" s="331">
        <f>SQRT(($R1579-Infrastructure!J$4)^2+($S1579-Infrastructure!K$4)^2)</f>
        <v>17.80252791</v>
      </c>
      <c r="AX1579" s="331">
        <f>SQRT(($R1579-Infrastructure!J$5)^2+($S1579-Infrastructure!K$5)^2)</f>
        <v>5.10881591</v>
      </c>
      <c r="AY1579" s="331">
        <f>SQRT(($R1579-Infrastructure!J$6)^2+($S1579-Infrastructure!K$6)^2)</f>
        <v>10.10445446</v>
      </c>
      <c r="AZ1579" s="331">
        <f>SQRT(($R1579-Infrastructure!J$7)^2+($S1579-Infrastructure!K$7)^2)</f>
        <v>20.502195</v>
      </c>
      <c r="BA1579" s="331">
        <f>SQRT(($R1579-Infrastructure!J$8)^2+($S1579-Infrastructure!K$8)^2)</f>
        <v>30.10149498</v>
      </c>
      <c r="BB1579" s="331">
        <f>SQRT(($R1579-Infrastructure!J$9)^2+($S1579-Infrastructure!K$9)^2)</f>
        <v>40.3238143</v>
      </c>
      <c r="BC1579" s="331">
        <f>SQRT(($R1579-Infrastructure!J$10)^2+($S1579-Infrastructure!K$10)^2)</f>
        <v>42.72001873</v>
      </c>
      <c r="BD1579" s="331">
        <f>SQRT(($R1579-Infrastructure!J$11)^2+($S1579-Infrastructure!K$11)^2)</f>
        <v>49.56853841</v>
      </c>
      <c r="BE1579" s="333">
        <f>SQRT(($R1579-Infrastructure!J$12)^2+($S1579-Infrastructure!K$12)^2)</f>
        <v>59.51890456</v>
      </c>
      <c r="BF1579" s="330">
        <f t="shared" si="161"/>
        <v>5.10881591</v>
      </c>
      <c r="BG1579" s="333">
        <f t="shared" si="162"/>
        <v>59.51890456</v>
      </c>
      <c r="BH1579" s="1135"/>
      <c r="BI1579" s="663"/>
      <c r="BJ1579" s="663"/>
      <c r="BK1579" s="663"/>
      <c r="BL1579" s="663"/>
      <c r="BM1579" s="663"/>
      <c r="BN1579" s="663"/>
      <c r="BO1579" s="663"/>
      <c r="BP1579" s="958"/>
      <c r="BQ1579" s="663"/>
      <c r="BR1579" s="663"/>
      <c r="BS1579" s="330">
        <f t="shared" si="169"/>
        <v>0</v>
      </c>
      <c r="BT1579" s="331">
        <f t="shared" si="170"/>
        <v>0</v>
      </c>
      <c r="BU1579" s="920"/>
      <c r="BV1579" s="903">
        <f t="shared" si="171"/>
        <v>-0.7152777778</v>
      </c>
      <c r="BW1579" s="938"/>
      <c r="BX1579" s="939"/>
      <c r="BY1579" s="641"/>
      <c r="BZ1579" s="742"/>
      <c r="CA1579" s="639"/>
      <c r="CB1579" s="640"/>
      <c r="CC1579" s="640"/>
      <c r="CD1579" s="640"/>
      <c r="CE1579" s="640"/>
      <c r="CF1579" s="640"/>
      <c r="CG1579" s="640"/>
      <c r="CH1579" s="640"/>
      <c r="CI1579" s="640"/>
      <c r="CJ1579" s="785"/>
      <c r="CK1579" s="743"/>
      <c r="CL1579" s="642"/>
      <c r="CM1579" s="1090"/>
      <c r="CN1579" s="1005"/>
      <c r="CO1579" s="1005"/>
      <c r="CP1579" s="1005"/>
    </row>
    <row r="1580">
      <c r="A1580" s="1162" t="s">
        <v>89</v>
      </c>
      <c r="B1580" s="1106" t="s">
        <v>1792</v>
      </c>
      <c r="C1580" s="1107">
        <v>44896.0</v>
      </c>
      <c r="D1580" s="103"/>
      <c r="E1580" s="1108" t="s">
        <v>1453</v>
      </c>
      <c r="F1580" s="112" t="s">
        <v>2271</v>
      </c>
      <c r="G1580" s="1110">
        <v>0.3872685185185185</v>
      </c>
      <c r="H1580" s="1110">
        <v>0.38871527777777776</v>
      </c>
      <c r="I1580" s="1110"/>
      <c r="J1580" s="1111"/>
      <c r="K1580" s="1111">
        <v>0.4309027777777778</v>
      </c>
      <c r="L1580" s="1112">
        <v>0.0421875</v>
      </c>
      <c r="M1580" s="1113" t="s">
        <v>166</v>
      </c>
      <c r="N1580" s="110" t="s">
        <v>187</v>
      </c>
      <c r="O1580" s="1115" t="s">
        <v>2263</v>
      </c>
      <c r="P1580" s="1115" t="s">
        <v>256</v>
      </c>
      <c r="Q1580" s="1115" t="s">
        <v>842</v>
      </c>
      <c r="R1580" s="120">
        <v>16.0</v>
      </c>
      <c r="S1580" s="1113">
        <v>4.5</v>
      </c>
      <c r="T1580" s="110">
        <v>0.6</v>
      </c>
      <c r="U1580" s="1108">
        <v>0.25</v>
      </c>
      <c r="V1580" s="1108"/>
      <c r="W1580" s="1108"/>
      <c r="X1580" s="1108"/>
      <c r="Y1580" s="1108"/>
      <c r="Z1580" s="1114" t="s">
        <v>335</v>
      </c>
      <c r="AA1580" s="1114"/>
      <c r="AB1580" s="1114" t="s">
        <v>322</v>
      </c>
      <c r="AC1580" s="1117">
        <v>0.5</v>
      </c>
      <c r="AD1580" s="1115"/>
      <c r="AE1580" s="1115"/>
      <c r="AF1580" s="1115"/>
      <c r="AG1580" s="1115"/>
      <c r="AH1580" s="1115"/>
      <c r="AI1580" s="1115"/>
      <c r="AJ1580" s="1117"/>
      <c r="AK1580" s="1118"/>
      <c r="AL1580" s="1115"/>
      <c r="AM1580" s="1115"/>
      <c r="AN1580" s="1115"/>
      <c r="AO1580" s="1115"/>
      <c r="AP1580" s="1115"/>
      <c r="AQ1580" s="1115"/>
      <c r="AR1580" s="1115"/>
      <c r="AS1580" s="1117"/>
      <c r="AT1580" s="1196" t="s">
        <v>181</v>
      </c>
      <c r="AU1580" s="1193" t="s">
        <v>845</v>
      </c>
      <c r="AV1580" s="330">
        <f>SQRT(($R1580-Infrastructure!J$3)^2+($S1580-Infrastructure!K$3)^2)</f>
        <v>29.34365349</v>
      </c>
      <c r="AW1580" s="331">
        <f>SQRT(($R1580-Infrastructure!J$4)^2+($S1580-Infrastructure!K$4)^2)</f>
        <v>21.03758541</v>
      </c>
      <c r="AX1580" s="331">
        <f>SQRT(($R1580-Infrastructure!J$5)^2+($S1580-Infrastructure!K$5)^2)</f>
        <v>16.31103921</v>
      </c>
      <c r="AY1580" s="331">
        <f>SQRT(($R1580-Infrastructure!J$6)^2+($S1580-Infrastructure!K$6)^2)</f>
        <v>7.242237223</v>
      </c>
      <c r="AZ1580" s="331">
        <f>SQRT(($R1580-Infrastructure!J$7)^2+($S1580-Infrastructure!K$7)^2)</f>
        <v>6.155485359</v>
      </c>
      <c r="BA1580" s="331">
        <f>SQRT(($R1580-Infrastructure!J$8)^2+($S1580-Infrastructure!K$8)^2)</f>
        <v>14.7122398</v>
      </c>
      <c r="BB1580" s="331">
        <f>SQRT(($R1580-Infrastructure!J$9)^2+($S1580-Infrastructure!K$9)^2)</f>
        <v>24.00749883</v>
      </c>
      <c r="BC1580" s="331">
        <f>SQRT(($R1580-Infrastructure!J$10)^2+($S1580-Infrastructure!K$10)^2)</f>
        <v>26.19637379</v>
      </c>
      <c r="BD1580" s="331">
        <f>SQRT(($R1580-Infrastructure!J$11)^2+($S1580-Infrastructure!K$11)^2)</f>
        <v>34.43675362</v>
      </c>
      <c r="BE1580" s="333">
        <f>SQRT(($R1580-Infrastructure!J$12)^2+($S1580-Infrastructure!K$12)^2)</f>
        <v>51.29571132</v>
      </c>
      <c r="BF1580" s="330">
        <f t="shared" si="161"/>
        <v>6.155485359</v>
      </c>
      <c r="BG1580" s="333">
        <f t="shared" si="162"/>
        <v>51.29571132</v>
      </c>
      <c r="BH1580" s="1119"/>
      <c r="BI1580" s="319"/>
      <c r="BJ1580" s="319"/>
      <c r="BK1580" s="319"/>
      <c r="BL1580" s="319"/>
      <c r="BM1580" s="319"/>
      <c r="BN1580" s="319"/>
      <c r="BO1580" s="319"/>
      <c r="BP1580" s="953"/>
      <c r="BQ1580" s="319"/>
      <c r="BR1580" s="319"/>
      <c r="BS1580" s="405">
        <f t="shared" si="169"/>
        <v>0</v>
      </c>
      <c r="BT1580" s="406">
        <f t="shared" si="170"/>
        <v>0</v>
      </c>
      <c r="BU1580" s="931"/>
      <c r="BV1580" s="901">
        <f t="shared" si="171"/>
        <v>-0.3872685185</v>
      </c>
      <c r="BW1580" s="907"/>
      <c r="BX1580" s="908"/>
      <c r="BY1580" s="331"/>
      <c r="BZ1580" s="340"/>
      <c r="CA1580" s="316"/>
      <c r="CB1580" s="318"/>
      <c r="CC1580" s="318"/>
      <c r="CD1580" s="318"/>
      <c r="CE1580" s="318"/>
      <c r="CF1580" s="318"/>
      <c r="CG1580" s="318"/>
      <c r="CH1580" s="318"/>
      <c r="CI1580" s="318"/>
      <c r="CJ1580" s="463"/>
      <c r="CK1580" s="342"/>
      <c r="CL1580" s="333"/>
      <c r="CM1580" s="1079"/>
      <c r="CN1580" s="1005"/>
      <c r="CO1580" s="1005"/>
      <c r="CP1580" s="1005"/>
    </row>
    <row r="1581">
      <c r="B1581" s="1106" t="s">
        <v>1792</v>
      </c>
      <c r="C1581" s="1107">
        <v>44896.0</v>
      </c>
      <c r="D1581" s="103"/>
      <c r="E1581" s="1108" t="s">
        <v>1455</v>
      </c>
      <c r="F1581" s="112" t="s">
        <v>2272</v>
      </c>
      <c r="G1581" s="1110">
        <v>0.38738425925925923</v>
      </c>
      <c r="H1581" s="1110">
        <v>0.38871527777777776</v>
      </c>
      <c r="I1581" s="1110"/>
      <c r="J1581" s="1111"/>
      <c r="K1581" s="1111">
        <v>0.43096064814814816</v>
      </c>
      <c r="L1581" s="1112">
        <v>0.04224537037037037</v>
      </c>
      <c r="M1581" s="1113" t="s">
        <v>166</v>
      </c>
      <c r="N1581" s="110" t="s">
        <v>187</v>
      </c>
      <c r="O1581" s="1115" t="s">
        <v>198</v>
      </c>
      <c r="P1581" s="1115" t="s">
        <v>218</v>
      </c>
      <c r="Q1581" s="1115" t="s">
        <v>842</v>
      </c>
      <c r="R1581" s="120">
        <v>10.3</v>
      </c>
      <c r="S1581" s="1113">
        <v>8.1</v>
      </c>
      <c r="T1581" s="110">
        <v>3.0</v>
      </c>
      <c r="U1581" s="1108">
        <v>2.5</v>
      </c>
      <c r="V1581" s="1108"/>
      <c r="W1581" s="1108"/>
      <c r="X1581" s="1108"/>
      <c r="Y1581" s="1108"/>
      <c r="Z1581" s="1114" t="s">
        <v>347</v>
      </c>
      <c r="AA1581" s="1114"/>
      <c r="AB1581" s="1114" t="s">
        <v>384</v>
      </c>
      <c r="AC1581" s="1117">
        <v>6.0</v>
      </c>
      <c r="AD1581" s="1115"/>
      <c r="AE1581" s="1115"/>
      <c r="AF1581" s="1115"/>
      <c r="AG1581" s="1115"/>
      <c r="AH1581" s="1115"/>
      <c r="AI1581" s="1115"/>
      <c r="AJ1581" s="1117"/>
      <c r="AK1581" s="1118"/>
      <c r="AL1581" s="1115"/>
      <c r="AM1581" s="1115"/>
      <c r="AN1581" s="1115"/>
      <c r="AO1581" s="1115"/>
      <c r="AP1581" s="1115"/>
      <c r="AQ1581" s="1115"/>
      <c r="AR1581" s="1115"/>
      <c r="AS1581" s="1117"/>
      <c r="AT1581" s="1196" t="s">
        <v>182</v>
      </c>
      <c r="AU1581" s="1193" t="s">
        <v>845</v>
      </c>
      <c r="AV1581" s="330">
        <f>SQRT(($R1581-Infrastructure!J$3)^2+($S1581-Infrastructure!K$3)^2)</f>
        <v>23.34523506</v>
      </c>
      <c r="AW1581" s="331">
        <f>SQRT(($R1581-Infrastructure!J$4)^2+($S1581-Infrastructure!K$4)^2)</f>
        <v>14.36836804</v>
      </c>
      <c r="AX1581" s="331">
        <f>SQRT(($R1581-Infrastructure!J$5)^2+($S1581-Infrastructure!K$5)^2)</f>
        <v>11.01635148</v>
      </c>
      <c r="AY1581" s="331">
        <f>SQRT(($R1581-Infrastructure!J$6)^2+($S1581-Infrastructure!K$6)^2)</f>
        <v>7.802563681</v>
      </c>
      <c r="AZ1581" s="331">
        <f>SQRT(($R1581-Infrastructure!J$7)^2+($S1581-Infrastructure!K$7)^2)</f>
        <v>12.84056074</v>
      </c>
      <c r="BA1581" s="331">
        <f>SQRT(($R1581-Infrastructure!J$8)^2+($S1581-Infrastructure!K$8)^2)</f>
        <v>21.28097742</v>
      </c>
      <c r="BB1581" s="331">
        <f>SQRT(($R1581-Infrastructure!J$9)^2+($S1581-Infrastructure!K$9)^2)</f>
        <v>29.85113063</v>
      </c>
      <c r="BC1581" s="331">
        <f>SQRT(($R1581-Infrastructure!J$10)^2+($S1581-Infrastructure!K$10)^2)</f>
        <v>30.49098227</v>
      </c>
      <c r="BD1581" s="331">
        <f>SQRT(($R1581-Infrastructure!J$11)^2+($S1581-Infrastructure!K$11)^2)</f>
        <v>36.4804057</v>
      </c>
      <c r="BE1581" s="333">
        <f>SQRT(($R1581-Infrastructure!J$12)^2+($S1581-Infrastructure!K$12)^2)</f>
        <v>48.70523586</v>
      </c>
      <c r="BF1581" s="330">
        <f t="shared" si="161"/>
        <v>7.802563681</v>
      </c>
      <c r="BG1581" s="333">
        <f t="shared" si="162"/>
        <v>48.70523586</v>
      </c>
      <c r="BH1581" s="1119"/>
      <c r="BI1581" s="319"/>
      <c r="BJ1581" s="319"/>
      <c r="BK1581" s="319"/>
      <c r="BL1581" s="319"/>
      <c r="BM1581" s="319"/>
      <c r="BN1581" s="319"/>
      <c r="BO1581" s="319"/>
      <c r="BP1581" s="953"/>
      <c r="BQ1581" s="319"/>
      <c r="BR1581" s="319"/>
      <c r="BS1581" s="330">
        <f t="shared" si="169"/>
        <v>0</v>
      </c>
      <c r="BT1581" s="331">
        <f t="shared" si="170"/>
        <v>0</v>
      </c>
      <c r="BU1581" s="920"/>
      <c r="BV1581" s="903">
        <f t="shared" si="171"/>
        <v>-0.3873842593</v>
      </c>
      <c r="BW1581" s="907"/>
      <c r="BX1581" s="908"/>
      <c r="BY1581" s="331"/>
      <c r="BZ1581" s="340"/>
      <c r="CA1581" s="316"/>
      <c r="CB1581" s="318"/>
      <c r="CC1581" s="318"/>
      <c r="CD1581" s="318"/>
      <c r="CE1581" s="318"/>
      <c r="CF1581" s="318"/>
      <c r="CG1581" s="318"/>
      <c r="CH1581" s="318"/>
      <c r="CI1581" s="318"/>
      <c r="CJ1581" s="463"/>
      <c r="CK1581" s="342"/>
      <c r="CL1581" s="333"/>
      <c r="CM1581" s="1079"/>
      <c r="CN1581" s="1005"/>
      <c r="CO1581" s="1005"/>
      <c r="CP1581" s="1005"/>
    </row>
    <row r="1582">
      <c r="B1582" s="1106" t="s">
        <v>1792</v>
      </c>
      <c r="C1582" s="1107">
        <v>44896.0</v>
      </c>
      <c r="D1582" s="103"/>
      <c r="E1582" s="1108" t="s">
        <v>1523</v>
      </c>
      <c r="F1582" s="112" t="s">
        <v>2273</v>
      </c>
      <c r="G1582" s="1110">
        <v>0.43559027777777776</v>
      </c>
      <c r="H1582" s="1110">
        <v>0.436400462962963</v>
      </c>
      <c r="I1582" s="1110"/>
      <c r="J1582" s="1111"/>
      <c r="K1582" s="1111">
        <v>0.477662037037037</v>
      </c>
      <c r="L1582" s="1112">
        <v>0.041261574074074076</v>
      </c>
      <c r="M1582" s="1113" t="s">
        <v>166</v>
      </c>
      <c r="N1582" s="110" t="s">
        <v>187</v>
      </c>
      <c r="O1582" s="1115" t="s">
        <v>2263</v>
      </c>
      <c r="P1582" s="1115" t="s">
        <v>256</v>
      </c>
      <c r="Q1582" s="1115" t="s">
        <v>842</v>
      </c>
      <c r="R1582" s="120">
        <v>16.5</v>
      </c>
      <c r="S1582" s="1113">
        <v>4.5</v>
      </c>
      <c r="T1582" s="110">
        <v>0.6</v>
      </c>
      <c r="U1582" s="1108">
        <v>0.5</v>
      </c>
      <c r="V1582" s="1108"/>
      <c r="W1582" s="1108"/>
      <c r="X1582" s="1108"/>
      <c r="Y1582" s="1108"/>
      <c r="Z1582" s="1114" t="s">
        <v>339</v>
      </c>
      <c r="AA1582" s="1114"/>
      <c r="AB1582" s="1114" t="s">
        <v>326</v>
      </c>
      <c r="AC1582" s="1117">
        <v>1.0</v>
      </c>
      <c r="AD1582" s="1115"/>
      <c r="AE1582" s="1115"/>
      <c r="AF1582" s="1115"/>
      <c r="AG1582" s="1115"/>
      <c r="AH1582" s="1115"/>
      <c r="AI1582" s="1115"/>
      <c r="AJ1582" s="1117"/>
      <c r="AK1582" s="1118"/>
      <c r="AL1582" s="1115"/>
      <c r="AM1582" s="1115"/>
      <c r="AN1582" s="1115"/>
      <c r="AO1582" s="1115"/>
      <c r="AP1582" s="1115"/>
      <c r="AQ1582" s="1115"/>
      <c r="AR1582" s="1115"/>
      <c r="AS1582" s="1117"/>
      <c r="AT1582" s="1196" t="s">
        <v>181</v>
      </c>
      <c r="AU1582" s="1193" t="s">
        <v>845</v>
      </c>
      <c r="AV1582" s="330">
        <f>SQRT(($R1582-Infrastructure!J$3)^2+($S1582-Infrastructure!K$3)^2)</f>
        <v>29.62431434</v>
      </c>
      <c r="AW1582" s="331">
        <f>SQRT(($R1582-Infrastructure!J$4)^2+($S1582-Infrastructure!K$4)^2)</f>
        <v>21.42731901</v>
      </c>
      <c r="AX1582" s="331">
        <f>SQRT(($R1582-Infrastructure!J$5)^2+($S1582-Infrastructure!K$5)^2)</f>
        <v>16.81071087</v>
      </c>
      <c r="AY1582" s="331">
        <f>SQRT(($R1582-Infrastructure!J$6)^2+($S1582-Infrastructure!K$6)^2)</f>
        <v>7.655063684</v>
      </c>
      <c r="AZ1582" s="331">
        <f>SQRT(($R1582-Infrastructure!J$7)^2+($S1582-Infrastructure!K$7)^2)</f>
        <v>5.8</v>
      </c>
      <c r="BA1582" s="331">
        <f>SQRT(($R1582-Infrastructure!J$8)^2+($S1582-Infrastructure!K$8)^2)</f>
        <v>14.23376268</v>
      </c>
      <c r="BB1582" s="331">
        <f>SQRT(($R1582-Infrastructure!J$9)^2+($S1582-Infrastructure!K$9)^2)</f>
        <v>23.50765833</v>
      </c>
      <c r="BC1582" s="331">
        <f>SQRT(($R1582-Infrastructure!J$10)^2+($S1582-Infrastructure!K$10)^2)</f>
        <v>25.73907535</v>
      </c>
      <c r="BD1582" s="331">
        <f>SQRT(($R1582-Infrastructure!J$11)^2+($S1582-Infrastructure!K$11)^2)</f>
        <v>34.08724101</v>
      </c>
      <c r="BE1582" s="333">
        <f>SQRT(($R1582-Infrastructure!J$12)^2+($S1582-Infrastructure!K$12)^2)</f>
        <v>51.2445119</v>
      </c>
      <c r="BF1582" s="330">
        <f t="shared" si="161"/>
        <v>5.8</v>
      </c>
      <c r="BG1582" s="333">
        <f t="shared" si="162"/>
        <v>51.2445119</v>
      </c>
      <c r="BH1582" s="1119"/>
      <c r="BI1582" s="319"/>
      <c r="BJ1582" s="319"/>
      <c r="BK1582" s="319"/>
      <c r="BL1582" s="319"/>
      <c r="BM1582" s="319"/>
      <c r="BN1582" s="319"/>
      <c r="BO1582" s="319"/>
      <c r="BP1582" s="953"/>
      <c r="BQ1582" s="319"/>
      <c r="BR1582" s="319"/>
      <c r="BS1582" s="330">
        <f t="shared" si="169"/>
        <v>0</v>
      </c>
      <c r="BT1582" s="331">
        <f t="shared" si="170"/>
        <v>0</v>
      </c>
      <c r="BU1582" s="920"/>
      <c r="BV1582" s="903">
        <f t="shared" si="171"/>
        <v>-0.4355902778</v>
      </c>
      <c r="BW1582" s="907"/>
      <c r="BX1582" s="908"/>
      <c r="BY1582" s="331"/>
      <c r="BZ1582" s="340"/>
      <c r="CA1582" s="316"/>
      <c r="CB1582" s="318"/>
      <c r="CC1582" s="318"/>
      <c r="CD1582" s="318"/>
      <c r="CE1582" s="318"/>
      <c r="CF1582" s="318"/>
      <c r="CG1582" s="318"/>
      <c r="CH1582" s="318"/>
      <c r="CI1582" s="318"/>
      <c r="CJ1582" s="463"/>
      <c r="CK1582" s="342"/>
      <c r="CL1582" s="333"/>
      <c r="CM1582" s="1079"/>
      <c r="CN1582" s="1005"/>
      <c r="CO1582" s="1005"/>
      <c r="CP1582" s="1005"/>
    </row>
    <row r="1583">
      <c r="B1583" s="1106" t="s">
        <v>1792</v>
      </c>
      <c r="C1583" s="1107">
        <v>44896.0</v>
      </c>
      <c r="D1583" s="103"/>
      <c r="E1583" s="1108" t="s">
        <v>1525</v>
      </c>
      <c r="F1583" s="112" t="s">
        <v>2274</v>
      </c>
      <c r="G1583" s="1110">
        <v>0.4356481481481482</v>
      </c>
      <c r="H1583" s="1110">
        <v>0.4359375</v>
      </c>
      <c r="I1583" s="1110"/>
      <c r="J1583" s="1111"/>
      <c r="K1583" s="1111">
        <v>0.4777199074074074</v>
      </c>
      <c r="L1583" s="1112">
        <v>0.04178240740740741</v>
      </c>
      <c r="M1583" s="1113" t="s">
        <v>166</v>
      </c>
      <c r="N1583" s="110" t="s">
        <v>187</v>
      </c>
      <c r="O1583" s="1115" t="s">
        <v>206</v>
      </c>
      <c r="P1583" s="1115" t="s">
        <v>218</v>
      </c>
      <c r="Q1583" s="1115" t="s">
        <v>842</v>
      </c>
      <c r="R1583" s="120">
        <v>21.5</v>
      </c>
      <c r="S1583" s="1113">
        <v>8.7</v>
      </c>
      <c r="T1583" s="110">
        <v>2.4</v>
      </c>
      <c r="U1583" s="1108">
        <v>1.0</v>
      </c>
      <c r="V1583" s="1108"/>
      <c r="W1583" s="1108"/>
      <c r="X1583" s="1108"/>
      <c r="Y1583" s="1108"/>
      <c r="Z1583" s="1114" t="s">
        <v>343</v>
      </c>
      <c r="AA1583" s="1114"/>
      <c r="AB1583" s="1114" t="s">
        <v>375</v>
      </c>
      <c r="AC1583" s="1117">
        <v>2.7</v>
      </c>
      <c r="AD1583" s="1115"/>
      <c r="AE1583" s="1115"/>
      <c r="AF1583" s="1115"/>
      <c r="AG1583" s="1115"/>
      <c r="AH1583" s="1115"/>
      <c r="AI1583" s="1115"/>
      <c r="AJ1583" s="1117"/>
      <c r="AK1583" s="1118"/>
      <c r="AL1583" s="1115"/>
      <c r="AM1583" s="1115"/>
      <c r="AN1583" s="1115"/>
      <c r="AO1583" s="1115"/>
      <c r="AP1583" s="1115"/>
      <c r="AQ1583" s="1115"/>
      <c r="AR1583" s="1115"/>
      <c r="AS1583" s="1117"/>
      <c r="AT1583" s="1196" t="s">
        <v>182</v>
      </c>
      <c r="AU1583" s="1193" t="s">
        <v>845</v>
      </c>
      <c r="AV1583" s="330">
        <f>SQRT(($R1583-Infrastructure!J$3)^2+($S1583-Infrastructure!K$3)^2)</f>
        <v>29.72002692</v>
      </c>
      <c r="AW1583" s="331">
        <f>SQRT(($R1583-Infrastructure!J$4)^2+($S1583-Infrastructure!K$4)^2)</f>
        <v>23.62308193</v>
      </c>
      <c r="AX1583" s="331">
        <f>SQRT(($R1583-Infrastructure!J$5)^2+($S1583-Infrastructure!K$5)^2)</f>
        <v>22.09524836</v>
      </c>
      <c r="AY1583" s="331">
        <f>SQRT(($R1583-Infrastructure!J$6)^2+($S1583-Infrastructure!K$6)^2)</f>
        <v>14.16050847</v>
      </c>
      <c r="AZ1583" s="331">
        <f>SQRT(($R1583-Infrastructure!J$7)^2+($S1583-Infrastructure!K$7)^2)</f>
        <v>8.459314393</v>
      </c>
      <c r="BA1583" s="331">
        <f>SQRT(($R1583-Infrastructure!J$8)^2+($S1583-Infrastructure!K$8)^2)</f>
        <v>12.02164714</v>
      </c>
      <c r="BB1583" s="331">
        <f>SQRT(($R1583-Infrastructure!J$9)^2+($S1583-Infrastructure!K$9)^2)</f>
        <v>18.84701568</v>
      </c>
      <c r="BC1583" s="331">
        <f>SQRT(($R1583-Infrastructure!J$10)^2+($S1583-Infrastructure!K$10)^2)</f>
        <v>19.54328529</v>
      </c>
      <c r="BD1583" s="331">
        <f>SQRT(($R1583-Infrastructure!J$11)^2+($S1583-Infrastructure!K$11)^2)</f>
        <v>27.60036232</v>
      </c>
      <c r="BE1583" s="333">
        <f>SQRT(($R1583-Infrastructure!J$12)^2+($S1583-Infrastructure!K$12)^2)</f>
        <v>46.8</v>
      </c>
      <c r="BF1583" s="330">
        <f t="shared" si="161"/>
        <v>8.459314393</v>
      </c>
      <c r="BG1583" s="333">
        <f t="shared" si="162"/>
        <v>46.8</v>
      </c>
      <c r="BH1583" s="1119"/>
      <c r="BI1583" s="319"/>
      <c r="BJ1583" s="319"/>
      <c r="BK1583" s="319"/>
      <c r="BL1583" s="319"/>
      <c r="BM1583" s="319"/>
      <c r="BN1583" s="319"/>
      <c r="BO1583" s="319"/>
      <c r="BP1583" s="953"/>
      <c r="BQ1583" s="319"/>
      <c r="BR1583" s="319"/>
      <c r="BS1583" s="330">
        <f t="shared" si="169"/>
        <v>0</v>
      </c>
      <c r="BT1583" s="331">
        <f t="shared" si="170"/>
        <v>0</v>
      </c>
      <c r="BU1583" s="920"/>
      <c r="BV1583" s="903">
        <f t="shared" si="171"/>
        <v>-0.4356481481</v>
      </c>
      <c r="BW1583" s="907"/>
      <c r="BX1583" s="908"/>
      <c r="BY1583" s="331"/>
      <c r="BZ1583" s="340"/>
      <c r="CA1583" s="316"/>
      <c r="CB1583" s="318"/>
      <c r="CC1583" s="318"/>
      <c r="CD1583" s="318"/>
      <c r="CE1583" s="318"/>
      <c r="CF1583" s="318"/>
      <c r="CG1583" s="318"/>
      <c r="CH1583" s="318"/>
      <c r="CI1583" s="318"/>
      <c r="CJ1583" s="463"/>
      <c r="CK1583" s="342"/>
      <c r="CL1583" s="333"/>
      <c r="CM1583" s="1079"/>
      <c r="CN1583" s="1005"/>
      <c r="CO1583" s="1005"/>
      <c r="CP1583" s="1005"/>
    </row>
    <row r="1584">
      <c r="B1584" s="1106" t="s">
        <v>1792</v>
      </c>
      <c r="C1584" s="1107">
        <v>44896.0</v>
      </c>
      <c r="D1584" s="103"/>
      <c r="E1584" s="1108">
        <v>3.0</v>
      </c>
      <c r="F1584" s="112" t="s">
        <v>2275</v>
      </c>
      <c r="G1584" s="1110">
        <v>0.5483217592592593</v>
      </c>
      <c r="H1584" s="1110">
        <v>0.5489583333333333</v>
      </c>
      <c r="I1584" s="1110"/>
      <c r="J1584" s="1111"/>
      <c r="K1584" s="1111">
        <v>0.5967013888888889</v>
      </c>
      <c r="L1584" s="1112">
        <v>0.04774305555555555</v>
      </c>
      <c r="M1584" s="1113" t="s">
        <v>166</v>
      </c>
      <c r="N1584" s="110" t="s">
        <v>187</v>
      </c>
      <c r="O1584" s="1115" t="s">
        <v>2263</v>
      </c>
      <c r="P1584" s="1115" t="s">
        <v>256</v>
      </c>
      <c r="Q1584" s="1115" t="s">
        <v>842</v>
      </c>
      <c r="R1584" s="120">
        <v>16.0</v>
      </c>
      <c r="S1584" s="1113">
        <v>4.5</v>
      </c>
      <c r="T1584" s="110">
        <v>0.6</v>
      </c>
      <c r="U1584" s="1108">
        <v>0.25</v>
      </c>
      <c r="V1584" s="1108"/>
      <c r="W1584" s="1108"/>
      <c r="X1584" s="1108"/>
      <c r="Y1584" s="1108"/>
      <c r="Z1584" s="1114" t="s">
        <v>335</v>
      </c>
      <c r="AA1584" s="1114"/>
      <c r="AB1584" s="1114" t="s">
        <v>322</v>
      </c>
      <c r="AC1584" s="1117">
        <v>0.5</v>
      </c>
      <c r="AD1584" s="1115"/>
      <c r="AE1584" s="1115"/>
      <c r="AF1584" s="1115"/>
      <c r="AG1584" s="1115"/>
      <c r="AH1584" s="1115"/>
      <c r="AI1584" s="1115"/>
      <c r="AJ1584" s="1117"/>
      <c r="AK1584" s="1118"/>
      <c r="AL1584" s="1115"/>
      <c r="AM1584" s="1115"/>
      <c r="AN1584" s="1115"/>
      <c r="AO1584" s="1115"/>
      <c r="AP1584" s="1115"/>
      <c r="AQ1584" s="1115"/>
      <c r="AR1584" s="1115"/>
      <c r="AS1584" s="1117"/>
      <c r="AT1584" s="1196" t="s">
        <v>181</v>
      </c>
      <c r="AU1584" s="1193" t="s">
        <v>845</v>
      </c>
      <c r="AV1584" s="330">
        <f>SQRT(($R1584-Infrastructure!J$3)^2+($S1584-Infrastructure!K$3)^2)</f>
        <v>29.34365349</v>
      </c>
      <c r="AW1584" s="331">
        <f>SQRT(($R1584-Infrastructure!J$4)^2+($S1584-Infrastructure!K$4)^2)</f>
        <v>21.03758541</v>
      </c>
      <c r="AX1584" s="331">
        <f>SQRT(($R1584-Infrastructure!J$5)^2+($S1584-Infrastructure!K$5)^2)</f>
        <v>16.31103921</v>
      </c>
      <c r="AY1584" s="331">
        <f>SQRT(($R1584-Infrastructure!J$6)^2+($S1584-Infrastructure!K$6)^2)</f>
        <v>7.242237223</v>
      </c>
      <c r="AZ1584" s="331">
        <f>SQRT(($R1584-Infrastructure!J$7)^2+($S1584-Infrastructure!K$7)^2)</f>
        <v>6.155485359</v>
      </c>
      <c r="BA1584" s="331">
        <f>SQRT(($R1584-Infrastructure!J$8)^2+($S1584-Infrastructure!K$8)^2)</f>
        <v>14.7122398</v>
      </c>
      <c r="BB1584" s="331">
        <f>SQRT(($R1584-Infrastructure!J$9)^2+($S1584-Infrastructure!K$9)^2)</f>
        <v>24.00749883</v>
      </c>
      <c r="BC1584" s="331">
        <f>SQRT(($R1584-Infrastructure!J$10)^2+($S1584-Infrastructure!K$10)^2)</f>
        <v>26.19637379</v>
      </c>
      <c r="BD1584" s="331">
        <f>SQRT(($R1584-Infrastructure!J$11)^2+($S1584-Infrastructure!K$11)^2)</f>
        <v>34.43675362</v>
      </c>
      <c r="BE1584" s="333">
        <f>SQRT(($R1584-Infrastructure!J$12)^2+($S1584-Infrastructure!K$12)^2)</f>
        <v>51.29571132</v>
      </c>
      <c r="BF1584" s="330">
        <f t="shared" si="161"/>
        <v>6.155485359</v>
      </c>
      <c r="BG1584" s="333">
        <f t="shared" si="162"/>
        <v>51.29571132</v>
      </c>
      <c r="BH1584" s="1119"/>
      <c r="BI1584" s="319"/>
      <c r="BJ1584" s="319"/>
      <c r="BK1584" s="319"/>
      <c r="BL1584" s="319"/>
      <c r="BM1584" s="319"/>
      <c r="BN1584" s="319"/>
      <c r="BO1584" s="319"/>
      <c r="BP1584" s="953"/>
      <c r="BQ1584" s="319"/>
      <c r="BR1584" s="319"/>
      <c r="BS1584" s="330">
        <f t="shared" si="169"/>
        <v>0</v>
      </c>
      <c r="BT1584" s="331">
        <f t="shared" si="170"/>
        <v>0</v>
      </c>
      <c r="BU1584" s="920"/>
      <c r="BV1584" s="903">
        <f t="shared" si="171"/>
        <v>-0.5483217593</v>
      </c>
      <c r="BW1584" s="907"/>
      <c r="BX1584" s="908"/>
      <c r="BY1584" s="331"/>
      <c r="BZ1584" s="340"/>
      <c r="CA1584" s="316"/>
      <c r="CB1584" s="318"/>
      <c r="CC1584" s="318"/>
      <c r="CD1584" s="318"/>
      <c r="CE1584" s="318"/>
      <c r="CF1584" s="318"/>
      <c r="CG1584" s="318"/>
      <c r="CH1584" s="318"/>
      <c r="CI1584" s="318"/>
      <c r="CJ1584" s="463"/>
      <c r="CK1584" s="342"/>
      <c r="CL1584" s="333"/>
      <c r="CM1584" s="1079"/>
      <c r="CN1584" s="1005"/>
      <c r="CO1584" s="1005"/>
      <c r="CP1584" s="1005"/>
    </row>
    <row r="1585">
      <c r="B1585" s="1106" t="s">
        <v>1792</v>
      </c>
      <c r="C1585" s="1107">
        <v>44896.0</v>
      </c>
      <c r="D1585" s="103"/>
      <c r="E1585" s="1108">
        <v>4.0</v>
      </c>
      <c r="F1585" s="112" t="s">
        <v>2276</v>
      </c>
      <c r="G1585" s="1110">
        <v>0.5982638888888889</v>
      </c>
      <c r="H1585" s="1110">
        <v>0.5990740740740741</v>
      </c>
      <c r="I1585" s="1110"/>
      <c r="J1585" s="1111"/>
      <c r="K1585" s="1111">
        <v>0.6409722222222223</v>
      </c>
      <c r="L1585" s="1112">
        <v>0.04189814814814815</v>
      </c>
      <c r="M1585" s="1113" t="s">
        <v>166</v>
      </c>
      <c r="N1585" s="110" t="s">
        <v>187</v>
      </c>
      <c r="O1585" s="1115" t="s">
        <v>198</v>
      </c>
      <c r="P1585" s="1115" t="s">
        <v>218</v>
      </c>
      <c r="Q1585" s="1115" t="s">
        <v>842</v>
      </c>
      <c r="R1585" s="120">
        <v>10.3</v>
      </c>
      <c r="S1585" s="1113">
        <v>8.1</v>
      </c>
      <c r="T1585" s="110">
        <v>3.0</v>
      </c>
      <c r="U1585" s="1108">
        <v>2.5</v>
      </c>
      <c r="V1585" s="1108"/>
      <c r="W1585" s="1108"/>
      <c r="X1585" s="1108"/>
      <c r="Y1585" s="1108"/>
      <c r="Z1585" s="1114" t="s">
        <v>347</v>
      </c>
      <c r="AA1585" s="1114"/>
      <c r="AB1585" s="1114" t="s">
        <v>384</v>
      </c>
      <c r="AC1585" s="1117">
        <v>6.0</v>
      </c>
      <c r="AD1585" s="1115"/>
      <c r="AE1585" s="1115"/>
      <c r="AF1585" s="1115"/>
      <c r="AG1585" s="1115"/>
      <c r="AH1585" s="1115"/>
      <c r="AI1585" s="1115"/>
      <c r="AJ1585" s="1117"/>
      <c r="AK1585" s="1118"/>
      <c r="AL1585" s="1115"/>
      <c r="AM1585" s="1115"/>
      <c r="AN1585" s="1115"/>
      <c r="AO1585" s="1115"/>
      <c r="AP1585" s="1115"/>
      <c r="AQ1585" s="1115"/>
      <c r="AR1585" s="1115"/>
      <c r="AS1585" s="1117"/>
      <c r="AT1585" s="1196" t="s">
        <v>182</v>
      </c>
      <c r="AU1585" s="1193" t="s">
        <v>845</v>
      </c>
      <c r="AV1585" s="330">
        <f>SQRT(($R1585-Infrastructure!J$3)^2+($S1585-Infrastructure!K$3)^2)</f>
        <v>23.34523506</v>
      </c>
      <c r="AW1585" s="331">
        <f>SQRT(($R1585-Infrastructure!J$4)^2+($S1585-Infrastructure!K$4)^2)</f>
        <v>14.36836804</v>
      </c>
      <c r="AX1585" s="331">
        <f>SQRT(($R1585-Infrastructure!J$5)^2+($S1585-Infrastructure!K$5)^2)</f>
        <v>11.01635148</v>
      </c>
      <c r="AY1585" s="331">
        <f>SQRT(($R1585-Infrastructure!J$6)^2+($S1585-Infrastructure!K$6)^2)</f>
        <v>7.802563681</v>
      </c>
      <c r="AZ1585" s="331">
        <f>SQRT(($R1585-Infrastructure!J$7)^2+($S1585-Infrastructure!K$7)^2)</f>
        <v>12.84056074</v>
      </c>
      <c r="BA1585" s="331">
        <f>SQRT(($R1585-Infrastructure!J$8)^2+($S1585-Infrastructure!K$8)^2)</f>
        <v>21.28097742</v>
      </c>
      <c r="BB1585" s="331">
        <f>SQRT(($R1585-Infrastructure!J$9)^2+($S1585-Infrastructure!K$9)^2)</f>
        <v>29.85113063</v>
      </c>
      <c r="BC1585" s="331">
        <f>SQRT(($R1585-Infrastructure!J$10)^2+($S1585-Infrastructure!K$10)^2)</f>
        <v>30.49098227</v>
      </c>
      <c r="BD1585" s="331">
        <f>SQRT(($R1585-Infrastructure!J$11)^2+($S1585-Infrastructure!K$11)^2)</f>
        <v>36.4804057</v>
      </c>
      <c r="BE1585" s="333">
        <f>SQRT(($R1585-Infrastructure!J$12)^2+($S1585-Infrastructure!K$12)^2)</f>
        <v>48.70523586</v>
      </c>
      <c r="BF1585" s="330">
        <f t="shared" si="161"/>
        <v>7.802563681</v>
      </c>
      <c r="BG1585" s="333">
        <f t="shared" si="162"/>
        <v>48.70523586</v>
      </c>
      <c r="BH1585" s="1119"/>
      <c r="BI1585" s="319"/>
      <c r="BJ1585" s="319"/>
      <c r="BK1585" s="319"/>
      <c r="BL1585" s="319"/>
      <c r="BM1585" s="319"/>
      <c r="BN1585" s="319"/>
      <c r="BO1585" s="319"/>
      <c r="BP1585" s="953"/>
      <c r="BQ1585" s="319"/>
      <c r="BR1585" s="319"/>
      <c r="BS1585" s="330">
        <f t="shared" si="169"/>
        <v>0</v>
      </c>
      <c r="BT1585" s="331">
        <f t="shared" si="170"/>
        <v>0</v>
      </c>
      <c r="BU1585" s="920"/>
      <c r="BV1585" s="903">
        <f t="shared" si="171"/>
        <v>-0.5982638889</v>
      </c>
      <c r="BW1585" s="907"/>
      <c r="BX1585" s="908"/>
      <c r="BY1585" s="331"/>
      <c r="BZ1585" s="340"/>
      <c r="CA1585" s="316"/>
      <c r="CB1585" s="318"/>
      <c r="CC1585" s="318"/>
      <c r="CD1585" s="318"/>
      <c r="CE1585" s="318"/>
      <c r="CF1585" s="318"/>
      <c r="CG1585" s="318"/>
      <c r="CH1585" s="318"/>
      <c r="CI1585" s="318"/>
      <c r="CJ1585" s="463"/>
      <c r="CK1585" s="342"/>
      <c r="CL1585" s="333"/>
      <c r="CM1585" s="1079"/>
      <c r="CN1585" s="1005"/>
      <c r="CO1585" s="1005"/>
      <c r="CP1585" s="1005"/>
    </row>
    <row r="1586">
      <c r="B1586" s="1106" t="s">
        <v>1792</v>
      </c>
      <c r="C1586" s="1107">
        <v>44896.0</v>
      </c>
      <c r="D1586" s="103"/>
      <c r="E1586" s="1108"/>
      <c r="F1586" s="112" t="s">
        <v>2277</v>
      </c>
      <c r="G1586" s="1110">
        <v>0.6423611111111112</v>
      </c>
      <c r="H1586" s="1110"/>
      <c r="I1586" s="1110"/>
      <c r="J1586" s="1111"/>
      <c r="K1586" s="1111">
        <v>0.6493055555555556</v>
      </c>
      <c r="L1586" s="1112">
        <v>0.006944444444444444</v>
      </c>
      <c r="M1586" s="1113" t="s">
        <v>166</v>
      </c>
      <c r="N1586" s="110" t="s">
        <v>188</v>
      </c>
      <c r="O1586" s="1115"/>
      <c r="P1586" s="1115" t="s">
        <v>292</v>
      </c>
      <c r="Q1586" s="1115"/>
      <c r="R1586" s="120"/>
      <c r="S1586" s="1113"/>
      <c r="T1586" s="110"/>
      <c r="U1586" s="1108"/>
      <c r="V1586" s="1108"/>
      <c r="W1586" s="1108"/>
      <c r="X1586" s="1108"/>
      <c r="Y1586" s="1108"/>
      <c r="Z1586" s="1114" t="s">
        <v>323</v>
      </c>
      <c r="AA1586" s="1114"/>
      <c r="AB1586" s="1114" t="s">
        <v>323</v>
      </c>
      <c r="AC1586" s="1117" t="s">
        <v>323</v>
      </c>
      <c r="AD1586" s="1115"/>
      <c r="AE1586" s="1115"/>
      <c r="AF1586" s="1115"/>
      <c r="AG1586" s="1115"/>
      <c r="AH1586" s="1115"/>
      <c r="AI1586" s="1115"/>
      <c r="AJ1586" s="1117"/>
      <c r="AK1586" s="1118"/>
      <c r="AL1586" s="1115"/>
      <c r="AM1586" s="1115"/>
      <c r="AN1586" s="1115"/>
      <c r="AO1586" s="1115"/>
      <c r="AP1586" s="1115"/>
      <c r="AQ1586" s="1115"/>
      <c r="AR1586" s="1115"/>
      <c r="AS1586" s="1117"/>
      <c r="AT1586" s="1196"/>
      <c r="AU1586" s="1193"/>
      <c r="AV1586" s="330">
        <f>SQRT(($R1586-Infrastructure!J$3)^2+($S1586-Infrastructure!K$3)^2)</f>
        <v>28.90155705</v>
      </c>
      <c r="AW1586" s="331">
        <f>SQRT(($R1586-Infrastructure!J$4)^2+($S1586-Infrastructure!K$4)^2)</f>
        <v>17.80252791</v>
      </c>
      <c r="AX1586" s="331">
        <f>SQRT(($R1586-Infrastructure!J$5)^2+($S1586-Infrastructure!K$5)^2)</f>
        <v>5.10881591</v>
      </c>
      <c r="AY1586" s="331">
        <f>SQRT(($R1586-Infrastructure!J$6)^2+($S1586-Infrastructure!K$6)^2)</f>
        <v>10.10445446</v>
      </c>
      <c r="AZ1586" s="331">
        <f>SQRT(($R1586-Infrastructure!J$7)^2+($S1586-Infrastructure!K$7)^2)</f>
        <v>20.502195</v>
      </c>
      <c r="BA1586" s="331">
        <f>SQRT(($R1586-Infrastructure!J$8)^2+($S1586-Infrastructure!K$8)^2)</f>
        <v>30.10149498</v>
      </c>
      <c r="BB1586" s="331">
        <f>SQRT(($R1586-Infrastructure!J$9)^2+($S1586-Infrastructure!K$9)^2)</f>
        <v>40.3238143</v>
      </c>
      <c r="BC1586" s="331">
        <f>SQRT(($R1586-Infrastructure!J$10)^2+($S1586-Infrastructure!K$10)^2)</f>
        <v>42.72001873</v>
      </c>
      <c r="BD1586" s="331">
        <f>SQRT(($R1586-Infrastructure!J$11)^2+($S1586-Infrastructure!K$11)^2)</f>
        <v>49.56853841</v>
      </c>
      <c r="BE1586" s="333">
        <f>SQRT(($R1586-Infrastructure!J$12)^2+($S1586-Infrastructure!K$12)^2)</f>
        <v>59.51890456</v>
      </c>
      <c r="BF1586" s="330">
        <f t="shared" si="161"/>
        <v>5.10881591</v>
      </c>
      <c r="BG1586" s="333">
        <f t="shared" si="162"/>
        <v>59.51890456</v>
      </c>
      <c r="BH1586" s="1119"/>
      <c r="BI1586" s="319"/>
      <c r="BJ1586" s="319"/>
      <c r="BK1586" s="319"/>
      <c r="BL1586" s="319"/>
      <c r="BM1586" s="319"/>
      <c r="BN1586" s="319"/>
      <c r="BO1586" s="319"/>
      <c r="BP1586" s="953"/>
      <c r="BQ1586" s="319"/>
      <c r="BR1586" s="319"/>
      <c r="BS1586" s="330">
        <f t="shared" si="169"/>
        <v>0</v>
      </c>
      <c r="BT1586" s="331">
        <f t="shared" si="170"/>
        <v>0</v>
      </c>
      <c r="BU1586" s="920"/>
      <c r="BV1586" s="903">
        <f t="shared" si="171"/>
        <v>-0.6423611111</v>
      </c>
      <c r="BW1586" s="907"/>
      <c r="BX1586" s="908"/>
      <c r="BY1586" s="331"/>
      <c r="BZ1586" s="340"/>
      <c r="CA1586" s="316"/>
      <c r="CB1586" s="318"/>
      <c r="CC1586" s="318"/>
      <c r="CD1586" s="318"/>
      <c r="CE1586" s="318"/>
      <c r="CF1586" s="318"/>
      <c r="CG1586" s="318"/>
      <c r="CH1586" s="318"/>
      <c r="CI1586" s="318"/>
      <c r="CJ1586" s="463"/>
      <c r="CK1586" s="342"/>
      <c r="CL1586" s="333"/>
      <c r="CM1586" s="1079"/>
      <c r="CN1586" s="1005"/>
      <c r="CO1586" s="1005"/>
      <c r="CP1586" s="1005"/>
    </row>
    <row r="1587">
      <c r="A1587" s="634"/>
      <c r="B1587" s="1121" t="s">
        <v>1792</v>
      </c>
      <c r="C1587" s="1122">
        <v>44896.0</v>
      </c>
      <c r="D1587" s="1123"/>
      <c r="E1587" s="1124"/>
      <c r="F1587" s="108" t="s">
        <v>2277</v>
      </c>
      <c r="G1587" s="1126">
        <v>0.65</v>
      </c>
      <c r="H1587" s="1126"/>
      <c r="I1587" s="1126"/>
      <c r="J1587" s="1127"/>
      <c r="K1587" s="1127">
        <v>0.6520833333333333</v>
      </c>
      <c r="L1587" s="1128">
        <v>0.0020833333333333333</v>
      </c>
      <c r="M1587" s="1129" t="s">
        <v>358</v>
      </c>
      <c r="N1587" s="100" t="s">
        <v>188</v>
      </c>
      <c r="O1587" s="1131"/>
      <c r="P1587" s="1131" t="s">
        <v>294</v>
      </c>
      <c r="Q1587" s="1131"/>
      <c r="R1587" s="137"/>
      <c r="S1587" s="1129"/>
      <c r="T1587" s="100"/>
      <c r="U1587" s="1124"/>
      <c r="V1587" s="1124"/>
      <c r="W1587" s="1124"/>
      <c r="X1587" s="1124"/>
      <c r="Y1587" s="1124"/>
      <c r="Z1587" s="1130" t="s">
        <v>323</v>
      </c>
      <c r="AA1587" s="1130"/>
      <c r="AB1587" s="1130" t="s">
        <v>323</v>
      </c>
      <c r="AC1587" s="1133" t="s">
        <v>323</v>
      </c>
      <c r="AD1587" s="1131"/>
      <c r="AE1587" s="1131"/>
      <c r="AF1587" s="1131"/>
      <c r="AG1587" s="1131"/>
      <c r="AH1587" s="1131"/>
      <c r="AI1587" s="1131"/>
      <c r="AJ1587" s="1133"/>
      <c r="AK1587" s="1134"/>
      <c r="AL1587" s="1131"/>
      <c r="AM1587" s="1131"/>
      <c r="AN1587" s="1131"/>
      <c r="AO1587" s="1131"/>
      <c r="AP1587" s="1131"/>
      <c r="AQ1587" s="1131"/>
      <c r="AR1587" s="1131"/>
      <c r="AS1587" s="1133"/>
      <c r="AT1587" s="1197"/>
      <c r="AU1587" s="1194"/>
      <c r="AV1587" s="330">
        <f>SQRT(($R1587-Infrastructure!J$3)^2+($S1587-Infrastructure!K$3)^2)</f>
        <v>28.90155705</v>
      </c>
      <c r="AW1587" s="331">
        <f>SQRT(($R1587-Infrastructure!J$4)^2+($S1587-Infrastructure!K$4)^2)</f>
        <v>17.80252791</v>
      </c>
      <c r="AX1587" s="331">
        <f>SQRT(($R1587-Infrastructure!J$5)^2+($S1587-Infrastructure!K$5)^2)</f>
        <v>5.10881591</v>
      </c>
      <c r="AY1587" s="331">
        <f>SQRT(($R1587-Infrastructure!J$6)^2+($S1587-Infrastructure!K$6)^2)</f>
        <v>10.10445446</v>
      </c>
      <c r="AZ1587" s="331">
        <f>SQRT(($R1587-Infrastructure!J$7)^2+($S1587-Infrastructure!K$7)^2)</f>
        <v>20.502195</v>
      </c>
      <c r="BA1587" s="331">
        <f>SQRT(($R1587-Infrastructure!J$8)^2+($S1587-Infrastructure!K$8)^2)</f>
        <v>30.10149498</v>
      </c>
      <c r="BB1587" s="331">
        <f>SQRT(($R1587-Infrastructure!J$9)^2+($S1587-Infrastructure!K$9)^2)</f>
        <v>40.3238143</v>
      </c>
      <c r="BC1587" s="331">
        <f>SQRT(($R1587-Infrastructure!J$10)^2+($S1587-Infrastructure!K$10)^2)</f>
        <v>42.72001873</v>
      </c>
      <c r="BD1587" s="331">
        <f>SQRT(($R1587-Infrastructure!J$11)^2+($S1587-Infrastructure!K$11)^2)</f>
        <v>49.56853841</v>
      </c>
      <c r="BE1587" s="333">
        <f>SQRT(($R1587-Infrastructure!J$12)^2+($S1587-Infrastructure!K$12)^2)</f>
        <v>59.51890456</v>
      </c>
      <c r="BF1587" s="330">
        <f t="shared" si="161"/>
        <v>5.10881591</v>
      </c>
      <c r="BG1587" s="333">
        <f t="shared" si="162"/>
        <v>59.51890456</v>
      </c>
      <c r="BH1587" s="1135"/>
      <c r="BI1587" s="663"/>
      <c r="BJ1587" s="663"/>
      <c r="BK1587" s="663"/>
      <c r="BL1587" s="663"/>
      <c r="BM1587" s="663"/>
      <c r="BN1587" s="663"/>
      <c r="BO1587" s="663"/>
      <c r="BP1587" s="958"/>
      <c r="BQ1587" s="663"/>
      <c r="BR1587" s="663"/>
      <c r="BS1587" s="330">
        <f t="shared" si="169"/>
        <v>0</v>
      </c>
      <c r="BT1587" s="331">
        <f t="shared" si="170"/>
        <v>0</v>
      </c>
      <c r="BU1587" s="920"/>
      <c r="BV1587" s="903">
        <f t="shared" si="171"/>
        <v>-0.65</v>
      </c>
      <c r="BW1587" s="938"/>
      <c r="BX1587" s="939"/>
      <c r="BY1587" s="641"/>
      <c r="BZ1587" s="742"/>
      <c r="CA1587" s="639"/>
      <c r="CB1587" s="640"/>
      <c r="CC1587" s="640"/>
      <c r="CD1587" s="640"/>
      <c r="CE1587" s="640"/>
      <c r="CF1587" s="640"/>
      <c r="CG1587" s="640"/>
      <c r="CH1587" s="640"/>
      <c r="CI1587" s="640"/>
      <c r="CJ1587" s="785"/>
      <c r="CK1587" s="743"/>
      <c r="CL1587" s="642"/>
      <c r="CM1587" s="1090"/>
      <c r="CN1587" s="1005"/>
      <c r="CO1587" s="1005"/>
      <c r="CP1587" s="1005"/>
    </row>
    <row r="1588">
      <c r="A1588" s="1162" t="s">
        <v>89</v>
      </c>
      <c r="B1588" s="1106" t="s">
        <v>1799</v>
      </c>
      <c r="C1588" s="1107">
        <v>44902.0</v>
      </c>
      <c r="D1588" s="103"/>
      <c r="E1588" s="1108">
        <v>1.0</v>
      </c>
      <c r="F1588" s="112" t="s">
        <v>2278</v>
      </c>
      <c r="G1588" s="1110">
        <v>0.41105324074074073</v>
      </c>
      <c r="H1588" s="1110">
        <v>0.4119791666666667</v>
      </c>
      <c r="I1588" s="1110"/>
      <c r="J1588" s="1111"/>
      <c r="K1588" s="1111">
        <v>0.45358796296296294</v>
      </c>
      <c r="L1588" s="1112">
        <v>0.041608796296296297</v>
      </c>
      <c r="M1588" s="1113" t="s">
        <v>166</v>
      </c>
      <c r="N1588" s="110" t="s">
        <v>187</v>
      </c>
      <c r="O1588" s="1115" t="s">
        <v>203</v>
      </c>
      <c r="P1588" s="1115" t="s">
        <v>250</v>
      </c>
      <c r="Q1588" s="1115" t="s">
        <v>842</v>
      </c>
      <c r="R1588" s="120">
        <v>16.0</v>
      </c>
      <c r="S1588" s="1113">
        <v>4.5</v>
      </c>
      <c r="T1588" s="110">
        <v>1.2</v>
      </c>
      <c r="U1588" s="1108">
        <v>3.5</v>
      </c>
      <c r="V1588" s="1108"/>
      <c r="W1588" s="1108"/>
      <c r="X1588" s="1108"/>
      <c r="Y1588" s="1108"/>
      <c r="Z1588" s="1114" t="s">
        <v>357</v>
      </c>
      <c r="AA1588" s="1114"/>
      <c r="AB1588" s="1114" t="s">
        <v>384</v>
      </c>
      <c r="AC1588" s="1117">
        <v>6.0</v>
      </c>
      <c r="AD1588" s="1115"/>
      <c r="AE1588" s="1115"/>
      <c r="AF1588" s="1115"/>
      <c r="AG1588" s="1115"/>
      <c r="AH1588" s="1115"/>
      <c r="AI1588" s="1115"/>
      <c r="AJ1588" s="1117"/>
      <c r="AK1588" s="1118"/>
      <c r="AL1588" s="1115"/>
      <c r="AM1588" s="1115"/>
      <c r="AN1588" s="1115"/>
      <c r="AO1588" s="1115"/>
      <c r="AP1588" s="1115"/>
      <c r="AQ1588" s="1115"/>
      <c r="AR1588" s="1115"/>
      <c r="AS1588" s="1117"/>
      <c r="AT1588" s="1196" t="s">
        <v>182</v>
      </c>
      <c r="AU1588" s="1193" t="s">
        <v>845</v>
      </c>
      <c r="AV1588" s="330">
        <f>SQRT(($R1588-Infrastructure!J$3)^2+($S1588-Infrastructure!K$3)^2)</f>
        <v>29.34365349</v>
      </c>
      <c r="AW1588" s="331">
        <f>SQRT(($R1588-Infrastructure!J$4)^2+($S1588-Infrastructure!K$4)^2)</f>
        <v>21.03758541</v>
      </c>
      <c r="AX1588" s="331">
        <f>SQRT(($R1588-Infrastructure!J$5)^2+($S1588-Infrastructure!K$5)^2)</f>
        <v>16.31103921</v>
      </c>
      <c r="AY1588" s="331">
        <f>SQRT(($R1588-Infrastructure!J$6)^2+($S1588-Infrastructure!K$6)^2)</f>
        <v>7.242237223</v>
      </c>
      <c r="AZ1588" s="331">
        <f>SQRT(($R1588-Infrastructure!J$7)^2+($S1588-Infrastructure!K$7)^2)</f>
        <v>6.155485359</v>
      </c>
      <c r="BA1588" s="331">
        <f>SQRT(($R1588-Infrastructure!J$8)^2+($S1588-Infrastructure!K$8)^2)</f>
        <v>14.7122398</v>
      </c>
      <c r="BB1588" s="331">
        <f>SQRT(($R1588-Infrastructure!J$9)^2+($S1588-Infrastructure!K$9)^2)</f>
        <v>24.00749883</v>
      </c>
      <c r="BC1588" s="331">
        <f>SQRT(($R1588-Infrastructure!J$10)^2+($S1588-Infrastructure!K$10)^2)</f>
        <v>26.19637379</v>
      </c>
      <c r="BD1588" s="331">
        <f>SQRT(($R1588-Infrastructure!J$11)^2+($S1588-Infrastructure!K$11)^2)</f>
        <v>34.43675362</v>
      </c>
      <c r="BE1588" s="333">
        <f>SQRT(($R1588-Infrastructure!J$12)^2+($S1588-Infrastructure!K$12)^2)</f>
        <v>51.29571132</v>
      </c>
      <c r="BF1588" s="330">
        <f t="shared" si="161"/>
        <v>6.155485359</v>
      </c>
      <c r="BG1588" s="333">
        <f t="shared" si="162"/>
        <v>51.29571132</v>
      </c>
      <c r="BH1588" s="1119"/>
      <c r="BI1588" s="319"/>
      <c r="BJ1588" s="319"/>
      <c r="BK1588" s="319"/>
      <c r="BL1588" s="319"/>
      <c r="BM1588" s="319"/>
      <c r="BN1588" s="319"/>
      <c r="BO1588" s="319"/>
      <c r="BP1588" s="953"/>
      <c r="BQ1588" s="319"/>
      <c r="BR1588" s="319"/>
      <c r="BS1588" s="405">
        <f t="shared" si="169"/>
        <v>0</v>
      </c>
      <c r="BT1588" s="406">
        <f t="shared" si="170"/>
        <v>0</v>
      </c>
      <c r="BU1588" s="931"/>
      <c r="BV1588" s="901">
        <f t="shared" si="171"/>
        <v>-0.4110532407</v>
      </c>
      <c r="BW1588" s="907"/>
      <c r="BX1588" s="908"/>
      <c r="BY1588" s="331"/>
      <c r="BZ1588" s="340"/>
      <c r="CA1588" s="316"/>
      <c r="CB1588" s="318"/>
      <c r="CC1588" s="318"/>
      <c r="CD1588" s="318"/>
      <c r="CE1588" s="318"/>
      <c r="CF1588" s="318"/>
      <c r="CG1588" s="318"/>
      <c r="CH1588" s="318"/>
      <c r="CI1588" s="318"/>
      <c r="CJ1588" s="463"/>
      <c r="CK1588" s="342"/>
      <c r="CL1588" s="333"/>
      <c r="CM1588" s="1079"/>
      <c r="CN1588" s="1005"/>
      <c r="CO1588" s="1005"/>
      <c r="CP1588" s="1005"/>
    </row>
    <row r="1589">
      <c r="B1589" s="1106" t="s">
        <v>1799</v>
      </c>
      <c r="C1589" s="1107">
        <v>44902.0</v>
      </c>
      <c r="D1589" s="103"/>
      <c r="E1589" s="1108">
        <v>2.0</v>
      </c>
      <c r="F1589" s="112" t="s">
        <v>2279</v>
      </c>
      <c r="G1589" s="1110">
        <v>0.4542824074074074</v>
      </c>
      <c r="H1589" s="1110">
        <v>0.4548611111111111</v>
      </c>
      <c r="I1589" s="1110"/>
      <c r="J1589" s="1111"/>
      <c r="K1589" s="1111">
        <v>0.4756944444444444</v>
      </c>
      <c r="L1589" s="1112">
        <v>0.020833333333333332</v>
      </c>
      <c r="M1589" s="1113" t="s">
        <v>166</v>
      </c>
      <c r="N1589" s="110" t="s">
        <v>187</v>
      </c>
      <c r="O1589" s="1115" t="s">
        <v>206</v>
      </c>
      <c r="P1589" s="1115" t="s">
        <v>213</v>
      </c>
      <c r="Q1589" s="1115" t="s">
        <v>851</v>
      </c>
      <c r="R1589" s="120">
        <v>16.5</v>
      </c>
      <c r="S1589" s="1113">
        <v>4.5</v>
      </c>
      <c r="T1589" s="110">
        <v>2.4</v>
      </c>
      <c r="U1589" s="1108">
        <v>5.0</v>
      </c>
      <c r="V1589" s="1108"/>
      <c r="W1589" s="1108"/>
      <c r="X1589" s="1108"/>
      <c r="Y1589" s="1108"/>
      <c r="Z1589" s="1114" t="s">
        <v>347</v>
      </c>
      <c r="AA1589" s="1114"/>
      <c r="AB1589" s="1114" t="s">
        <v>392</v>
      </c>
      <c r="AC1589" s="1117">
        <v>10.0</v>
      </c>
      <c r="AD1589" s="1115"/>
      <c r="AE1589" s="1115"/>
      <c r="AF1589" s="1115"/>
      <c r="AG1589" s="1115"/>
      <c r="AH1589" s="1115"/>
      <c r="AI1589" s="1115"/>
      <c r="AJ1589" s="1117"/>
      <c r="AK1589" s="1118"/>
      <c r="AL1589" s="1115"/>
      <c r="AM1589" s="1115"/>
      <c r="AN1589" s="1115"/>
      <c r="AO1589" s="1115"/>
      <c r="AP1589" s="1115"/>
      <c r="AQ1589" s="1115"/>
      <c r="AR1589" s="1115"/>
      <c r="AS1589" s="1117"/>
      <c r="AT1589" s="1196" t="s">
        <v>182</v>
      </c>
      <c r="AU1589" s="1193" t="s">
        <v>845</v>
      </c>
      <c r="AV1589" s="330">
        <f>SQRT(($R1589-Infrastructure!J$3)^2+($S1589-Infrastructure!K$3)^2)</f>
        <v>29.62431434</v>
      </c>
      <c r="AW1589" s="331">
        <f>SQRT(($R1589-Infrastructure!J$4)^2+($S1589-Infrastructure!K$4)^2)</f>
        <v>21.42731901</v>
      </c>
      <c r="AX1589" s="331">
        <f>SQRT(($R1589-Infrastructure!J$5)^2+($S1589-Infrastructure!K$5)^2)</f>
        <v>16.81071087</v>
      </c>
      <c r="AY1589" s="331">
        <f>SQRT(($R1589-Infrastructure!J$6)^2+($S1589-Infrastructure!K$6)^2)</f>
        <v>7.655063684</v>
      </c>
      <c r="AZ1589" s="331">
        <f>SQRT(($R1589-Infrastructure!J$7)^2+($S1589-Infrastructure!K$7)^2)</f>
        <v>5.8</v>
      </c>
      <c r="BA1589" s="331">
        <f>SQRT(($R1589-Infrastructure!J$8)^2+($S1589-Infrastructure!K$8)^2)</f>
        <v>14.23376268</v>
      </c>
      <c r="BB1589" s="331">
        <f>SQRT(($R1589-Infrastructure!J$9)^2+($S1589-Infrastructure!K$9)^2)</f>
        <v>23.50765833</v>
      </c>
      <c r="BC1589" s="331">
        <f>SQRT(($R1589-Infrastructure!J$10)^2+($S1589-Infrastructure!K$10)^2)</f>
        <v>25.73907535</v>
      </c>
      <c r="BD1589" s="331">
        <f>SQRT(($R1589-Infrastructure!J$11)^2+($S1589-Infrastructure!K$11)^2)</f>
        <v>34.08724101</v>
      </c>
      <c r="BE1589" s="333">
        <f>SQRT(($R1589-Infrastructure!J$12)^2+($S1589-Infrastructure!K$12)^2)</f>
        <v>51.2445119</v>
      </c>
      <c r="BF1589" s="330">
        <f t="shared" si="161"/>
        <v>5.8</v>
      </c>
      <c r="BG1589" s="333">
        <f t="shared" si="162"/>
        <v>51.2445119</v>
      </c>
      <c r="BH1589" s="1119"/>
      <c r="BI1589" s="319"/>
      <c r="BJ1589" s="319"/>
      <c r="BK1589" s="319"/>
      <c r="BL1589" s="319"/>
      <c r="BM1589" s="319"/>
      <c r="BN1589" s="319"/>
      <c r="BO1589" s="319"/>
      <c r="BP1589" s="953"/>
      <c r="BQ1589" s="319"/>
      <c r="BR1589" s="319"/>
      <c r="BS1589" s="330">
        <f t="shared" si="169"/>
        <v>0</v>
      </c>
      <c r="BT1589" s="331">
        <f t="shared" si="170"/>
        <v>0</v>
      </c>
      <c r="BU1589" s="920"/>
      <c r="BV1589" s="903">
        <f t="shared" si="171"/>
        <v>-0.4542824074</v>
      </c>
      <c r="BW1589" s="907"/>
      <c r="BX1589" s="908"/>
      <c r="BY1589" s="331"/>
      <c r="BZ1589" s="340"/>
      <c r="CA1589" s="316"/>
      <c r="CB1589" s="318"/>
      <c r="CC1589" s="318"/>
      <c r="CD1589" s="318"/>
      <c r="CE1589" s="318"/>
      <c r="CF1589" s="318"/>
      <c r="CG1589" s="318"/>
      <c r="CH1589" s="318"/>
      <c r="CI1589" s="318"/>
      <c r="CJ1589" s="463"/>
      <c r="CK1589" s="342"/>
      <c r="CL1589" s="333"/>
      <c r="CM1589" s="1079"/>
      <c r="CN1589" s="1005"/>
      <c r="CO1589" s="1005"/>
      <c r="CP1589" s="1005"/>
    </row>
    <row r="1590">
      <c r="B1590" s="1106" t="s">
        <v>1799</v>
      </c>
      <c r="C1590" s="1107">
        <v>44902.0</v>
      </c>
      <c r="D1590" s="103"/>
      <c r="E1590" s="1108">
        <v>3.0</v>
      </c>
      <c r="F1590" s="112" t="s">
        <v>2280</v>
      </c>
      <c r="G1590" s="1110">
        <v>0.5896990740740741</v>
      </c>
      <c r="H1590" s="1110">
        <v>0.5904513888888889</v>
      </c>
      <c r="I1590" s="1110"/>
      <c r="J1590" s="1111"/>
      <c r="K1590" s="1111">
        <v>0.6430555555555556</v>
      </c>
      <c r="L1590" s="1112">
        <v>0.05260416666666667</v>
      </c>
      <c r="M1590" s="1113" t="s">
        <v>166</v>
      </c>
      <c r="N1590" s="110" t="s">
        <v>187</v>
      </c>
      <c r="O1590" s="1115" t="s">
        <v>198</v>
      </c>
      <c r="P1590" s="1115" t="s">
        <v>213</v>
      </c>
      <c r="Q1590" s="1115" t="s">
        <v>851</v>
      </c>
      <c r="R1590" s="120">
        <v>16.0</v>
      </c>
      <c r="S1590" s="1113">
        <v>4.5</v>
      </c>
      <c r="T1590" s="110">
        <v>3.0</v>
      </c>
      <c r="U1590" s="1108">
        <v>6.5</v>
      </c>
      <c r="V1590" s="1108"/>
      <c r="W1590" s="1108"/>
      <c r="X1590" s="1108"/>
      <c r="Y1590" s="1108"/>
      <c r="Z1590" s="1114" t="s">
        <v>343</v>
      </c>
      <c r="AA1590" s="1114"/>
      <c r="AB1590" s="1114" t="s">
        <v>392</v>
      </c>
      <c r="AC1590" s="1117">
        <v>10.0</v>
      </c>
      <c r="AD1590" s="1115"/>
      <c r="AE1590" s="1115"/>
      <c r="AF1590" s="1115"/>
      <c r="AG1590" s="1115"/>
      <c r="AH1590" s="1115"/>
      <c r="AI1590" s="1115"/>
      <c r="AJ1590" s="1117"/>
      <c r="AK1590" s="1118"/>
      <c r="AL1590" s="1115"/>
      <c r="AM1590" s="1115"/>
      <c r="AN1590" s="1115"/>
      <c r="AO1590" s="1115"/>
      <c r="AP1590" s="1115"/>
      <c r="AQ1590" s="1115"/>
      <c r="AR1590" s="1115"/>
      <c r="AS1590" s="1117"/>
      <c r="AT1590" s="1196" t="s">
        <v>182</v>
      </c>
      <c r="AU1590" s="1193" t="s">
        <v>845</v>
      </c>
      <c r="AV1590" s="330">
        <f>SQRT(($R1590-Infrastructure!J$3)^2+($S1590-Infrastructure!K$3)^2)</f>
        <v>29.34365349</v>
      </c>
      <c r="AW1590" s="331">
        <f>SQRT(($R1590-Infrastructure!J$4)^2+($S1590-Infrastructure!K$4)^2)</f>
        <v>21.03758541</v>
      </c>
      <c r="AX1590" s="331">
        <f>SQRT(($R1590-Infrastructure!J$5)^2+($S1590-Infrastructure!K$5)^2)</f>
        <v>16.31103921</v>
      </c>
      <c r="AY1590" s="331">
        <f>SQRT(($R1590-Infrastructure!J$6)^2+($S1590-Infrastructure!K$6)^2)</f>
        <v>7.242237223</v>
      </c>
      <c r="AZ1590" s="331">
        <f>SQRT(($R1590-Infrastructure!J$7)^2+($S1590-Infrastructure!K$7)^2)</f>
        <v>6.155485359</v>
      </c>
      <c r="BA1590" s="331">
        <f>SQRT(($R1590-Infrastructure!J$8)^2+($S1590-Infrastructure!K$8)^2)</f>
        <v>14.7122398</v>
      </c>
      <c r="BB1590" s="331">
        <f>SQRT(($R1590-Infrastructure!J$9)^2+($S1590-Infrastructure!K$9)^2)</f>
        <v>24.00749883</v>
      </c>
      <c r="BC1590" s="331">
        <f>SQRT(($R1590-Infrastructure!J$10)^2+($S1590-Infrastructure!K$10)^2)</f>
        <v>26.19637379</v>
      </c>
      <c r="BD1590" s="331">
        <f>SQRT(($R1590-Infrastructure!J$11)^2+($S1590-Infrastructure!K$11)^2)</f>
        <v>34.43675362</v>
      </c>
      <c r="BE1590" s="333">
        <f>SQRT(($R1590-Infrastructure!J$12)^2+($S1590-Infrastructure!K$12)^2)</f>
        <v>51.29571132</v>
      </c>
      <c r="BF1590" s="330">
        <f t="shared" si="161"/>
        <v>6.155485359</v>
      </c>
      <c r="BG1590" s="333">
        <f t="shared" si="162"/>
        <v>51.29571132</v>
      </c>
      <c r="BH1590" s="1119"/>
      <c r="BI1590" s="319"/>
      <c r="BJ1590" s="319"/>
      <c r="BK1590" s="319"/>
      <c r="BL1590" s="319"/>
      <c r="BM1590" s="319"/>
      <c r="BN1590" s="319"/>
      <c r="BO1590" s="319"/>
      <c r="BP1590" s="953"/>
      <c r="BQ1590" s="319"/>
      <c r="BR1590" s="319"/>
      <c r="BS1590" s="330">
        <f t="shared" si="169"/>
        <v>0</v>
      </c>
      <c r="BT1590" s="331">
        <f t="shared" si="170"/>
        <v>0</v>
      </c>
      <c r="BU1590" s="920"/>
      <c r="BV1590" s="903">
        <f t="shared" si="171"/>
        <v>-0.5896990741</v>
      </c>
      <c r="BW1590" s="907"/>
      <c r="BX1590" s="908"/>
      <c r="BY1590" s="331"/>
      <c r="BZ1590" s="340"/>
      <c r="CA1590" s="316"/>
      <c r="CB1590" s="318"/>
      <c r="CC1590" s="318"/>
      <c r="CD1590" s="318"/>
      <c r="CE1590" s="318"/>
      <c r="CF1590" s="318"/>
      <c r="CG1590" s="318"/>
      <c r="CH1590" s="318"/>
      <c r="CI1590" s="318"/>
      <c r="CJ1590" s="463"/>
      <c r="CK1590" s="342"/>
      <c r="CL1590" s="333"/>
      <c r="CM1590" s="1079"/>
      <c r="CN1590" s="1005"/>
      <c r="CO1590" s="1005"/>
      <c r="CP1590" s="1005"/>
    </row>
    <row r="1591">
      <c r="B1591" s="1106" t="s">
        <v>1799</v>
      </c>
      <c r="C1591" s="1107">
        <v>44902.0</v>
      </c>
      <c r="D1591" s="103"/>
      <c r="E1591" s="1108"/>
      <c r="F1591" s="112" t="s">
        <v>2281</v>
      </c>
      <c r="G1591" s="1110">
        <v>0.6538194444444444</v>
      </c>
      <c r="H1591" s="1110"/>
      <c r="I1591" s="1110"/>
      <c r="J1591" s="1111"/>
      <c r="K1591" s="1111">
        <v>0.6545138888888888</v>
      </c>
      <c r="L1591" s="1112">
        <v>6.944444444444445E-4</v>
      </c>
      <c r="M1591" s="1113" t="s">
        <v>166</v>
      </c>
      <c r="N1591" s="110" t="s">
        <v>188</v>
      </c>
      <c r="O1591" s="1115"/>
      <c r="P1591" s="1115" t="s">
        <v>292</v>
      </c>
      <c r="Q1591" s="1115"/>
      <c r="R1591" s="120"/>
      <c r="S1591" s="1113"/>
      <c r="T1591" s="110"/>
      <c r="U1591" s="1108"/>
      <c r="V1591" s="1108"/>
      <c r="W1591" s="1108"/>
      <c r="X1591" s="1108"/>
      <c r="Y1591" s="1108"/>
      <c r="Z1591" s="1114" t="s">
        <v>323</v>
      </c>
      <c r="AA1591" s="1114"/>
      <c r="AB1591" s="1114" t="s">
        <v>323</v>
      </c>
      <c r="AC1591" s="1117" t="s">
        <v>323</v>
      </c>
      <c r="AD1591" s="1115"/>
      <c r="AE1591" s="1115"/>
      <c r="AF1591" s="1115"/>
      <c r="AG1591" s="1115"/>
      <c r="AH1591" s="1115"/>
      <c r="AI1591" s="1115"/>
      <c r="AJ1591" s="1117"/>
      <c r="AK1591" s="1118"/>
      <c r="AL1591" s="1115"/>
      <c r="AM1591" s="1115"/>
      <c r="AN1591" s="1115"/>
      <c r="AO1591" s="1115"/>
      <c r="AP1591" s="1115"/>
      <c r="AQ1591" s="1115"/>
      <c r="AR1591" s="1115"/>
      <c r="AS1591" s="1117"/>
      <c r="AT1591" s="1196"/>
      <c r="AU1591" s="1193"/>
      <c r="AV1591" s="330">
        <f>SQRT(($R1591-Infrastructure!J$3)^2+($S1591-Infrastructure!K$3)^2)</f>
        <v>28.90155705</v>
      </c>
      <c r="AW1591" s="331">
        <f>SQRT(($R1591-Infrastructure!J$4)^2+($S1591-Infrastructure!K$4)^2)</f>
        <v>17.80252791</v>
      </c>
      <c r="AX1591" s="331">
        <f>SQRT(($R1591-Infrastructure!J$5)^2+($S1591-Infrastructure!K$5)^2)</f>
        <v>5.10881591</v>
      </c>
      <c r="AY1591" s="331">
        <f>SQRT(($R1591-Infrastructure!J$6)^2+($S1591-Infrastructure!K$6)^2)</f>
        <v>10.10445446</v>
      </c>
      <c r="AZ1591" s="331">
        <f>SQRT(($R1591-Infrastructure!J$7)^2+($S1591-Infrastructure!K$7)^2)</f>
        <v>20.502195</v>
      </c>
      <c r="BA1591" s="331">
        <f>SQRT(($R1591-Infrastructure!J$8)^2+($S1591-Infrastructure!K$8)^2)</f>
        <v>30.10149498</v>
      </c>
      <c r="BB1591" s="331">
        <f>SQRT(($R1591-Infrastructure!J$9)^2+($S1591-Infrastructure!K$9)^2)</f>
        <v>40.3238143</v>
      </c>
      <c r="BC1591" s="331">
        <f>SQRT(($R1591-Infrastructure!J$10)^2+($S1591-Infrastructure!K$10)^2)</f>
        <v>42.72001873</v>
      </c>
      <c r="BD1591" s="331">
        <f>SQRT(($R1591-Infrastructure!J$11)^2+($S1591-Infrastructure!K$11)^2)</f>
        <v>49.56853841</v>
      </c>
      <c r="BE1591" s="333">
        <f>SQRT(($R1591-Infrastructure!J$12)^2+($S1591-Infrastructure!K$12)^2)</f>
        <v>59.51890456</v>
      </c>
      <c r="BF1591" s="330">
        <f t="shared" si="161"/>
        <v>5.10881591</v>
      </c>
      <c r="BG1591" s="333">
        <f t="shared" si="162"/>
        <v>59.51890456</v>
      </c>
      <c r="BH1591" s="1119"/>
      <c r="BI1591" s="319"/>
      <c r="BJ1591" s="319"/>
      <c r="BK1591" s="319"/>
      <c r="BL1591" s="319"/>
      <c r="BM1591" s="319"/>
      <c r="BN1591" s="319"/>
      <c r="BO1591" s="319"/>
      <c r="BP1591" s="953"/>
      <c r="BQ1591" s="319"/>
      <c r="BR1591" s="319"/>
      <c r="BS1591" s="330">
        <f t="shared" si="169"/>
        <v>0</v>
      </c>
      <c r="BT1591" s="331">
        <f t="shared" si="170"/>
        <v>0</v>
      </c>
      <c r="BU1591" s="920"/>
      <c r="BV1591" s="903">
        <f t="shared" si="171"/>
        <v>-0.6538194444</v>
      </c>
      <c r="BW1591" s="907"/>
      <c r="BX1591" s="908"/>
      <c r="BY1591" s="331"/>
      <c r="BZ1591" s="340"/>
      <c r="CA1591" s="316"/>
      <c r="CB1591" s="318"/>
      <c r="CC1591" s="318"/>
      <c r="CD1591" s="318"/>
      <c r="CE1591" s="318"/>
      <c r="CF1591" s="318"/>
      <c r="CG1591" s="318"/>
      <c r="CH1591" s="318"/>
      <c r="CI1591" s="318"/>
      <c r="CJ1591" s="463"/>
      <c r="CK1591" s="342"/>
      <c r="CL1591" s="333"/>
      <c r="CM1591" s="1079"/>
      <c r="CN1591" s="1005"/>
      <c r="CO1591" s="1005"/>
      <c r="CP1591" s="1005"/>
    </row>
    <row r="1592">
      <c r="A1592" s="1198"/>
      <c r="B1592" s="1199" t="s">
        <v>1799</v>
      </c>
      <c r="C1592" s="1200">
        <v>44902.0</v>
      </c>
      <c r="D1592" s="1201"/>
      <c r="E1592" s="1202"/>
      <c r="F1592" s="1203" t="s">
        <v>2281</v>
      </c>
      <c r="G1592" s="1204">
        <v>0.6482638888888889</v>
      </c>
      <c r="H1592" s="1204"/>
      <c r="I1592" s="1204"/>
      <c r="J1592" s="1205"/>
      <c r="K1592" s="1205">
        <v>0.6579861111111112</v>
      </c>
      <c r="L1592" s="1206">
        <v>0.009722222222222222</v>
      </c>
      <c r="M1592" s="1207" t="s">
        <v>358</v>
      </c>
      <c r="N1592" s="1208" t="s">
        <v>188</v>
      </c>
      <c r="O1592" s="1209"/>
      <c r="P1592" s="1209" t="s">
        <v>294</v>
      </c>
      <c r="Q1592" s="1209"/>
      <c r="R1592" s="1210"/>
      <c r="S1592" s="1207"/>
      <c r="T1592" s="1208"/>
      <c r="U1592" s="1202"/>
      <c r="V1592" s="1202"/>
      <c r="W1592" s="1202"/>
      <c r="X1592" s="1202"/>
      <c r="Y1592" s="1202"/>
      <c r="Z1592" s="1211" t="s">
        <v>323</v>
      </c>
      <c r="AA1592" s="1211"/>
      <c r="AB1592" s="1211" t="s">
        <v>323</v>
      </c>
      <c r="AC1592" s="1212" t="s">
        <v>323</v>
      </c>
      <c r="AD1592" s="1209"/>
      <c r="AE1592" s="1209"/>
      <c r="AF1592" s="1209"/>
      <c r="AG1592" s="1209"/>
      <c r="AH1592" s="1209"/>
      <c r="AI1592" s="1209"/>
      <c r="AJ1592" s="1212"/>
      <c r="AK1592" s="1213"/>
      <c r="AL1592" s="1209"/>
      <c r="AM1592" s="1209"/>
      <c r="AN1592" s="1209"/>
      <c r="AO1592" s="1209"/>
      <c r="AP1592" s="1209"/>
      <c r="AQ1592" s="1209"/>
      <c r="AR1592" s="1209"/>
      <c r="AS1592" s="1212"/>
      <c r="AT1592" s="1214"/>
      <c r="AU1592" s="1215"/>
      <c r="AV1592" s="330">
        <f>SQRT(($R1592-Infrastructure!J$3)^2+($S1592-Infrastructure!K$3)^2)</f>
        <v>28.90155705</v>
      </c>
      <c r="AW1592" s="331">
        <f>SQRT(($R1592-Infrastructure!J$4)^2+($S1592-Infrastructure!K$4)^2)</f>
        <v>17.80252791</v>
      </c>
      <c r="AX1592" s="331">
        <f>SQRT(($R1592-Infrastructure!J$5)^2+($S1592-Infrastructure!K$5)^2)</f>
        <v>5.10881591</v>
      </c>
      <c r="AY1592" s="331">
        <f>SQRT(($R1592-Infrastructure!J$6)^2+($S1592-Infrastructure!K$6)^2)</f>
        <v>10.10445446</v>
      </c>
      <c r="AZ1592" s="331">
        <f>SQRT(($R1592-Infrastructure!J$7)^2+($S1592-Infrastructure!K$7)^2)</f>
        <v>20.502195</v>
      </c>
      <c r="BA1592" s="331">
        <f>SQRT(($R1592-Infrastructure!J$8)^2+($S1592-Infrastructure!K$8)^2)</f>
        <v>30.10149498</v>
      </c>
      <c r="BB1592" s="331">
        <f>SQRT(($R1592-Infrastructure!J$9)^2+($S1592-Infrastructure!K$9)^2)</f>
        <v>40.3238143</v>
      </c>
      <c r="BC1592" s="331">
        <f>SQRT(($R1592-Infrastructure!J$10)^2+($S1592-Infrastructure!K$10)^2)</f>
        <v>42.72001873</v>
      </c>
      <c r="BD1592" s="331">
        <f>SQRT(($R1592-Infrastructure!J$11)^2+($S1592-Infrastructure!K$11)^2)</f>
        <v>49.56853841</v>
      </c>
      <c r="BE1592" s="333">
        <f>SQRT(($R1592-Infrastructure!J$12)^2+($S1592-Infrastructure!K$12)^2)</f>
        <v>59.51890456</v>
      </c>
      <c r="BF1592" s="330">
        <f t="shared" si="161"/>
        <v>5.10881591</v>
      </c>
      <c r="BG1592" s="333">
        <f t="shared" si="162"/>
        <v>59.51890456</v>
      </c>
      <c r="BH1592" s="1216"/>
      <c r="BI1592" s="432"/>
      <c r="BJ1592" s="432"/>
      <c r="BK1592" s="432"/>
      <c r="BL1592" s="432"/>
      <c r="BM1592" s="432"/>
      <c r="BN1592" s="432"/>
      <c r="BO1592" s="432"/>
      <c r="BP1592" s="1217"/>
      <c r="BQ1592" s="432"/>
      <c r="BR1592" s="432"/>
      <c r="BS1592" s="330">
        <f t="shared" si="169"/>
        <v>0</v>
      </c>
      <c r="BT1592" s="331">
        <f t="shared" si="170"/>
        <v>0</v>
      </c>
      <c r="BU1592" s="920"/>
      <c r="BV1592" s="903">
        <f t="shared" si="171"/>
        <v>-0.6482638889</v>
      </c>
      <c r="BW1592" s="1218"/>
      <c r="BX1592" s="1219"/>
      <c r="BY1592" s="446"/>
      <c r="BZ1592" s="452"/>
      <c r="CA1592" s="429"/>
      <c r="CB1592" s="439"/>
      <c r="CC1592" s="439"/>
      <c r="CD1592" s="439"/>
      <c r="CE1592" s="439"/>
      <c r="CF1592" s="439"/>
      <c r="CG1592" s="439"/>
      <c r="CH1592" s="439"/>
      <c r="CI1592" s="439"/>
      <c r="CJ1592" s="1220"/>
      <c r="CK1592" s="454"/>
      <c r="CL1592" s="448"/>
      <c r="CM1592" s="1221"/>
      <c r="CN1592" s="1005"/>
      <c r="CO1592" s="1005"/>
      <c r="CP1592" s="1005"/>
    </row>
    <row r="1593">
      <c r="A1593" s="1162" t="s">
        <v>65</v>
      </c>
      <c r="B1593" s="1106" t="s">
        <v>2282</v>
      </c>
      <c r="C1593" s="1107">
        <v>44937.0</v>
      </c>
      <c r="D1593" s="103"/>
      <c r="E1593" s="1108">
        <v>1.0</v>
      </c>
      <c r="F1593" s="112" t="s">
        <v>2283</v>
      </c>
      <c r="G1593" s="1110">
        <v>0.4736111111111111</v>
      </c>
      <c r="H1593" s="1110">
        <v>0.47413194444444445</v>
      </c>
      <c r="I1593" s="1110"/>
      <c r="J1593" s="1111"/>
      <c r="K1593" s="1111">
        <v>0.47453703703703703</v>
      </c>
      <c r="L1593" s="1112">
        <v>4.050925925925926E-4</v>
      </c>
      <c r="M1593" s="1113" t="s">
        <v>166</v>
      </c>
      <c r="N1593" s="110" t="s">
        <v>188</v>
      </c>
      <c r="O1593" s="1115" t="s">
        <v>196</v>
      </c>
      <c r="P1593" s="1115" t="s">
        <v>224</v>
      </c>
      <c r="Q1593" s="1115" t="s">
        <v>842</v>
      </c>
      <c r="R1593" s="120">
        <v>21.7</v>
      </c>
      <c r="S1593" s="1113">
        <v>39.5</v>
      </c>
      <c r="T1593" s="110">
        <v>1.3</v>
      </c>
      <c r="U1593" s="1108">
        <v>20.0</v>
      </c>
      <c r="V1593" s="1108"/>
      <c r="W1593" s="1108"/>
      <c r="X1593" s="1108"/>
      <c r="Y1593" s="1108"/>
      <c r="Z1593" s="1114" t="s">
        <v>387</v>
      </c>
      <c r="AA1593" s="1114"/>
      <c r="AB1593" s="1114" t="s">
        <v>416</v>
      </c>
      <c r="AC1593" s="1117">
        <v>52.5</v>
      </c>
      <c r="AD1593" s="1115"/>
      <c r="AE1593" s="1115"/>
      <c r="AF1593" s="1115"/>
      <c r="AG1593" s="1115"/>
      <c r="AH1593" s="1115"/>
      <c r="AI1593" s="1115"/>
      <c r="AJ1593" s="1117"/>
      <c r="AK1593" s="1118"/>
      <c r="AL1593" s="1115"/>
      <c r="AM1593" s="1115"/>
      <c r="AN1593" s="1115"/>
      <c r="AO1593" s="1115"/>
      <c r="AP1593" s="1115"/>
      <c r="AQ1593" s="1115"/>
      <c r="AR1593" s="1115"/>
      <c r="AS1593" s="1117"/>
      <c r="AT1593" s="1196" t="str">
        <f t="shared" ref="AT1593:AT1653" si="172">IF(AND(U1593&gt;0, U1593&lt;1), "0-1", IF(AND(U1593&gt;=1, U1593&lt;10), "1-10", IF(U1593&gt;=10, "10+", "")))</f>
        <v>10+</v>
      </c>
      <c r="AU1593" s="1193"/>
      <c r="AV1593" s="330">
        <f>SQRT(($R1593-Infrastructure!J$3)^2+($S1593-Infrastructure!K$3)^2)</f>
        <v>24.42048321</v>
      </c>
      <c r="AW1593" s="331">
        <f>SQRT(($R1593-Infrastructure!J$4)^2+($S1593-Infrastructure!K$4)^2)</f>
        <v>30.90129447</v>
      </c>
      <c r="AX1593" s="331">
        <f>SQRT(($R1593-Infrastructure!J$5)^2+($S1593-Infrastructure!K$5)^2)</f>
        <v>40.83331973</v>
      </c>
      <c r="AY1593" s="331">
        <f>SQRT(($R1593-Infrastructure!J$6)^2+($S1593-Infrastructure!K$6)^2)</f>
        <v>40.88031311</v>
      </c>
      <c r="AZ1593" s="331">
        <f>SQRT(($R1593-Infrastructure!J$7)^2+($S1593-Infrastructure!K$7)^2)</f>
        <v>39.21836305</v>
      </c>
      <c r="BA1593" s="331">
        <f>SQRT(($R1593-Infrastructure!J$8)^2+($S1593-Infrastructure!K$8)^2)</f>
        <v>40.08989898</v>
      </c>
      <c r="BB1593" s="331">
        <f>SQRT(($R1593-Infrastructure!J$9)^2+($S1593-Infrastructure!K$9)^2)</f>
        <v>38.96472764</v>
      </c>
      <c r="BC1593" s="331">
        <f>SQRT(($R1593-Infrastructure!J$10)^2+($S1593-Infrastructure!K$10)^2)</f>
        <v>30.58005886</v>
      </c>
      <c r="BD1593" s="331">
        <f>SQRT(($R1593-Infrastructure!J$11)^2+($S1593-Infrastructure!K$11)^2)</f>
        <v>21.27204739</v>
      </c>
      <c r="BE1593" s="333">
        <f>SQRT(($R1593-Infrastructure!J$12)^2+($S1593-Infrastructure!K$12)^2)</f>
        <v>16.00124995</v>
      </c>
      <c r="BF1593" s="330">
        <f t="shared" si="161"/>
        <v>16.00124995</v>
      </c>
      <c r="BG1593" s="333">
        <f t="shared" si="162"/>
        <v>40.88031311</v>
      </c>
      <c r="BH1593" s="1119"/>
      <c r="BI1593" s="319"/>
      <c r="BJ1593" s="319"/>
      <c r="BK1593" s="319"/>
      <c r="BL1593" s="319"/>
      <c r="BM1593" s="319"/>
      <c r="BN1593" s="319"/>
      <c r="BO1593" s="319"/>
      <c r="BP1593" s="953"/>
      <c r="BQ1593" s="319"/>
      <c r="BR1593" s="319"/>
      <c r="BS1593" s="405">
        <f t="shared" si="169"/>
        <v>0</v>
      </c>
      <c r="BT1593" s="406">
        <f t="shared" si="170"/>
        <v>0</v>
      </c>
      <c r="BU1593" s="931"/>
      <c r="BV1593" s="901">
        <f t="shared" si="171"/>
        <v>-0.4736111111</v>
      </c>
      <c r="BW1593" s="907"/>
      <c r="BX1593" s="908"/>
      <c r="BY1593" s="331"/>
      <c r="BZ1593" s="340"/>
      <c r="CA1593" s="316"/>
      <c r="CB1593" s="318"/>
      <c r="CC1593" s="318"/>
      <c r="CD1593" s="318"/>
      <c r="CE1593" s="318"/>
      <c r="CF1593" s="318"/>
      <c r="CG1593" s="318"/>
      <c r="CH1593" s="318"/>
      <c r="CI1593" s="318"/>
      <c r="CJ1593" s="463"/>
      <c r="CK1593" s="342"/>
      <c r="CL1593" s="333"/>
      <c r="CM1593" s="1079"/>
      <c r="CN1593" s="1005"/>
      <c r="CO1593" s="1005"/>
      <c r="CP1593" s="1005"/>
    </row>
    <row r="1594">
      <c r="B1594" s="1106" t="s">
        <v>2282</v>
      </c>
      <c r="C1594" s="1107">
        <v>44937.0</v>
      </c>
      <c r="D1594" s="103"/>
      <c r="E1594" s="1108">
        <v>2.0</v>
      </c>
      <c r="F1594" s="112" t="s">
        <v>2284</v>
      </c>
      <c r="G1594" s="1110">
        <v>0.4756944444444444</v>
      </c>
      <c r="H1594" s="1138"/>
      <c r="I1594" s="1138"/>
      <c r="J1594" s="1139"/>
      <c r="K1594" s="1111">
        <v>0.4759837962962963</v>
      </c>
      <c r="L1594" s="1112">
        <v>2.8935185185185184E-4</v>
      </c>
      <c r="M1594" s="1113" t="s">
        <v>166</v>
      </c>
      <c r="N1594" s="110" t="s">
        <v>188</v>
      </c>
      <c r="O1594" s="1115" t="s">
        <v>196</v>
      </c>
      <c r="P1594" s="1115" t="s">
        <v>224</v>
      </c>
      <c r="Q1594" s="1115" t="s">
        <v>842</v>
      </c>
      <c r="R1594" s="120">
        <v>21.7</v>
      </c>
      <c r="S1594" s="1113">
        <v>39.5</v>
      </c>
      <c r="T1594" s="110">
        <v>1.3</v>
      </c>
      <c r="U1594" s="1108">
        <v>20.0</v>
      </c>
      <c r="V1594" s="1108"/>
      <c r="W1594" s="1108"/>
      <c r="X1594" s="1108"/>
      <c r="Y1594" s="1108"/>
      <c r="Z1594" s="1114" t="s">
        <v>387</v>
      </c>
      <c r="AA1594" s="1114"/>
      <c r="AB1594" s="1114" t="s">
        <v>416</v>
      </c>
      <c r="AC1594" s="1117">
        <v>52.5</v>
      </c>
      <c r="AD1594" s="1115"/>
      <c r="AE1594" s="1115"/>
      <c r="AF1594" s="1115"/>
      <c r="AG1594" s="1115"/>
      <c r="AH1594" s="1115"/>
      <c r="AI1594" s="1115"/>
      <c r="AJ1594" s="1117"/>
      <c r="AK1594" s="1118"/>
      <c r="AL1594" s="1115"/>
      <c r="AM1594" s="1115"/>
      <c r="AN1594" s="1115"/>
      <c r="AO1594" s="1115"/>
      <c r="AP1594" s="1115"/>
      <c r="AQ1594" s="1115"/>
      <c r="AR1594" s="1115"/>
      <c r="AS1594" s="1117"/>
      <c r="AT1594" s="1196" t="str">
        <f t="shared" si="172"/>
        <v>10+</v>
      </c>
      <c r="AU1594" s="1193"/>
      <c r="AV1594" s="330">
        <f>SQRT(($R1594-Infrastructure!J$3)^2+($S1594-Infrastructure!K$3)^2)</f>
        <v>24.42048321</v>
      </c>
      <c r="AW1594" s="331">
        <f>SQRT(($R1594-Infrastructure!J$4)^2+($S1594-Infrastructure!K$4)^2)</f>
        <v>30.90129447</v>
      </c>
      <c r="AX1594" s="331">
        <f>SQRT(($R1594-Infrastructure!J$5)^2+($S1594-Infrastructure!K$5)^2)</f>
        <v>40.83331973</v>
      </c>
      <c r="AY1594" s="331">
        <f>SQRT(($R1594-Infrastructure!J$6)^2+($S1594-Infrastructure!K$6)^2)</f>
        <v>40.88031311</v>
      </c>
      <c r="AZ1594" s="331">
        <f>SQRT(($R1594-Infrastructure!J$7)^2+($S1594-Infrastructure!K$7)^2)</f>
        <v>39.21836305</v>
      </c>
      <c r="BA1594" s="331">
        <f>SQRT(($R1594-Infrastructure!J$8)^2+($S1594-Infrastructure!K$8)^2)</f>
        <v>40.08989898</v>
      </c>
      <c r="BB1594" s="331">
        <f>SQRT(($R1594-Infrastructure!J$9)^2+($S1594-Infrastructure!K$9)^2)</f>
        <v>38.96472764</v>
      </c>
      <c r="BC1594" s="331">
        <f>SQRT(($R1594-Infrastructure!J$10)^2+($S1594-Infrastructure!K$10)^2)</f>
        <v>30.58005886</v>
      </c>
      <c r="BD1594" s="331">
        <f>SQRT(($R1594-Infrastructure!J$11)^2+($S1594-Infrastructure!K$11)^2)</f>
        <v>21.27204739</v>
      </c>
      <c r="BE1594" s="333">
        <f>SQRT(($R1594-Infrastructure!J$12)^2+($S1594-Infrastructure!K$12)^2)</f>
        <v>16.00124995</v>
      </c>
      <c r="BF1594" s="330">
        <f t="shared" si="161"/>
        <v>16.00124995</v>
      </c>
      <c r="BG1594" s="333">
        <f t="shared" si="162"/>
        <v>40.88031311</v>
      </c>
      <c r="BH1594" s="1119"/>
      <c r="BI1594" s="319"/>
      <c r="BJ1594" s="319"/>
      <c r="BK1594" s="319"/>
      <c r="BL1594" s="319"/>
      <c r="BM1594" s="319"/>
      <c r="BN1594" s="319"/>
      <c r="BO1594" s="319"/>
      <c r="BP1594" s="953"/>
      <c r="BQ1594" s="319"/>
      <c r="BR1594" s="319"/>
      <c r="BS1594" s="330">
        <f t="shared" si="169"/>
        <v>0</v>
      </c>
      <c r="BT1594" s="331">
        <f t="shared" si="170"/>
        <v>0</v>
      </c>
      <c r="BU1594" s="920"/>
      <c r="BV1594" s="903">
        <f t="shared" si="171"/>
        <v>-0.4756944444</v>
      </c>
      <c r="BW1594" s="907"/>
      <c r="BX1594" s="908"/>
      <c r="BY1594" s="331"/>
      <c r="BZ1594" s="340"/>
      <c r="CA1594" s="316"/>
      <c r="CB1594" s="318"/>
      <c r="CC1594" s="318"/>
      <c r="CD1594" s="318"/>
      <c r="CE1594" s="318"/>
      <c r="CF1594" s="318"/>
      <c r="CG1594" s="318"/>
      <c r="CH1594" s="318"/>
      <c r="CI1594" s="318"/>
      <c r="CJ1594" s="463"/>
      <c r="CK1594" s="342"/>
      <c r="CL1594" s="333"/>
      <c r="CM1594" s="1079"/>
      <c r="CN1594" s="1005"/>
      <c r="CO1594" s="1005"/>
      <c r="CP1594" s="1005"/>
    </row>
    <row r="1595">
      <c r="B1595" s="1106" t="s">
        <v>2282</v>
      </c>
      <c r="C1595" s="1107">
        <v>44937.0</v>
      </c>
      <c r="D1595" s="103"/>
      <c r="E1595" s="1108">
        <v>3.0</v>
      </c>
      <c r="F1595" s="112" t="s">
        <v>2285</v>
      </c>
      <c r="G1595" s="1110">
        <v>0.4816550925925926</v>
      </c>
      <c r="H1595" s="1110">
        <v>0.4820601851851852</v>
      </c>
      <c r="I1595" s="1110"/>
      <c r="J1595" s="1111"/>
      <c r="K1595" s="1111">
        <v>0.4840277777777778</v>
      </c>
      <c r="L1595" s="1112">
        <v>0.0019675925925925924</v>
      </c>
      <c r="M1595" s="1113" t="s">
        <v>166</v>
      </c>
      <c r="N1595" s="110" t="s">
        <v>188</v>
      </c>
      <c r="O1595" s="1115" t="s">
        <v>196</v>
      </c>
      <c r="P1595" s="1115" t="s">
        <v>224</v>
      </c>
      <c r="Q1595" s="1115" t="s">
        <v>842</v>
      </c>
      <c r="R1595" s="120">
        <v>21.7</v>
      </c>
      <c r="S1595" s="1113">
        <v>39.5</v>
      </c>
      <c r="T1595" s="110">
        <v>1.3</v>
      </c>
      <c r="U1595" s="1108">
        <v>25.0</v>
      </c>
      <c r="V1595" s="1108"/>
      <c r="W1595" s="1108"/>
      <c r="X1595" s="1108"/>
      <c r="Y1595" s="1108"/>
      <c r="Z1595" s="1114" t="s">
        <v>387</v>
      </c>
      <c r="AA1595" s="1114"/>
      <c r="AB1595" s="1114" t="s">
        <v>416</v>
      </c>
      <c r="AC1595" s="1117">
        <v>52.5</v>
      </c>
      <c r="AD1595" s="1115"/>
      <c r="AE1595" s="1115"/>
      <c r="AF1595" s="1115"/>
      <c r="AG1595" s="1115"/>
      <c r="AH1595" s="1115"/>
      <c r="AI1595" s="1115"/>
      <c r="AJ1595" s="1117"/>
      <c r="AK1595" s="1118"/>
      <c r="AL1595" s="1115"/>
      <c r="AM1595" s="1115"/>
      <c r="AN1595" s="1115"/>
      <c r="AO1595" s="1115"/>
      <c r="AP1595" s="1115"/>
      <c r="AQ1595" s="1115"/>
      <c r="AR1595" s="1115"/>
      <c r="AS1595" s="1117"/>
      <c r="AT1595" s="1196" t="str">
        <f t="shared" si="172"/>
        <v>10+</v>
      </c>
      <c r="AU1595" s="1193"/>
      <c r="AV1595" s="330">
        <f>SQRT(($R1595-Infrastructure!J$3)^2+($S1595-Infrastructure!K$3)^2)</f>
        <v>24.42048321</v>
      </c>
      <c r="AW1595" s="331">
        <f>SQRT(($R1595-Infrastructure!J$4)^2+($S1595-Infrastructure!K$4)^2)</f>
        <v>30.90129447</v>
      </c>
      <c r="AX1595" s="331">
        <f>SQRT(($R1595-Infrastructure!J$5)^2+($S1595-Infrastructure!K$5)^2)</f>
        <v>40.83331973</v>
      </c>
      <c r="AY1595" s="331">
        <f>SQRT(($R1595-Infrastructure!J$6)^2+($S1595-Infrastructure!K$6)^2)</f>
        <v>40.88031311</v>
      </c>
      <c r="AZ1595" s="331">
        <f>SQRT(($R1595-Infrastructure!J$7)^2+($S1595-Infrastructure!K$7)^2)</f>
        <v>39.21836305</v>
      </c>
      <c r="BA1595" s="331">
        <f>SQRT(($R1595-Infrastructure!J$8)^2+($S1595-Infrastructure!K$8)^2)</f>
        <v>40.08989898</v>
      </c>
      <c r="BB1595" s="331">
        <f>SQRT(($R1595-Infrastructure!J$9)^2+($S1595-Infrastructure!K$9)^2)</f>
        <v>38.96472764</v>
      </c>
      <c r="BC1595" s="331">
        <f>SQRT(($R1595-Infrastructure!J$10)^2+($S1595-Infrastructure!K$10)^2)</f>
        <v>30.58005886</v>
      </c>
      <c r="BD1595" s="331">
        <f>SQRT(($R1595-Infrastructure!J$11)^2+($S1595-Infrastructure!K$11)^2)</f>
        <v>21.27204739</v>
      </c>
      <c r="BE1595" s="333">
        <f>SQRT(($R1595-Infrastructure!J$12)^2+($S1595-Infrastructure!K$12)^2)</f>
        <v>16.00124995</v>
      </c>
      <c r="BF1595" s="330">
        <f t="shared" si="161"/>
        <v>16.00124995</v>
      </c>
      <c r="BG1595" s="333">
        <f t="shared" si="162"/>
        <v>40.88031311</v>
      </c>
      <c r="BH1595" s="1119"/>
      <c r="BI1595" s="319"/>
      <c r="BJ1595" s="319"/>
      <c r="BK1595" s="319"/>
      <c r="BL1595" s="319"/>
      <c r="BM1595" s="319"/>
      <c r="BN1595" s="319"/>
      <c r="BO1595" s="319"/>
      <c r="BP1595" s="953"/>
      <c r="BQ1595" s="319"/>
      <c r="BR1595" s="319"/>
      <c r="BS1595" s="330">
        <f t="shared" si="169"/>
        <v>0</v>
      </c>
      <c r="BT1595" s="331">
        <f t="shared" si="170"/>
        <v>0</v>
      </c>
      <c r="BU1595" s="920"/>
      <c r="BV1595" s="903">
        <f t="shared" si="171"/>
        <v>-0.4816550926</v>
      </c>
      <c r="BW1595" s="907"/>
      <c r="BX1595" s="908"/>
      <c r="BY1595" s="331"/>
      <c r="BZ1595" s="340"/>
      <c r="CA1595" s="316"/>
      <c r="CB1595" s="318"/>
      <c r="CC1595" s="318"/>
      <c r="CD1595" s="318"/>
      <c r="CE1595" s="318"/>
      <c r="CF1595" s="318"/>
      <c r="CG1595" s="318"/>
      <c r="CH1595" s="318"/>
      <c r="CI1595" s="318"/>
      <c r="CJ1595" s="463"/>
      <c r="CK1595" s="342"/>
      <c r="CL1595" s="333"/>
      <c r="CM1595" s="1079"/>
      <c r="CN1595" s="1005"/>
      <c r="CO1595" s="1005"/>
      <c r="CP1595" s="1005"/>
    </row>
    <row r="1596">
      <c r="A1596" s="634"/>
      <c r="B1596" s="1121" t="s">
        <v>2282</v>
      </c>
      <c r="C1596" s="1122">
        <v>44937.0</v>
      </c>
      <c r="D1596" s="1123"/>
      <c r="E1596" s="1144"/>
      <c r="F1596" s="108" t="s">
        <v>2286</v>
      </c>
      <c r="G1596" s="1126">
        <v>0.4864583333333333</v>
      </c>
      <c r="H1596" s="1145"/>
      <c r="I1596" s="1145"/>
      <c r="J1596" s="1146"/>
      <c r="K1596" s="1127">
        <v>0.48900462962962965</v>
      </c>
      <c r="L1596" s="1128">
        <v>0.0025462962962962965</v>
      </c>
      <c r="M1596" s="1129" t="s">
        <v>358</v>
      </c>
      <c r="N1596" s="100" t="s">
        <v>188</v>
      </c>
      <c r="O1596" s="1161"/>
      <c r="P1596" s="1131" t="s">
        <v>294</v>
      </c>
      <c r="Q1596" s="1132"/>
      <c r="R1596" s="1148"/>
      <c r="S1596" s="1149"/>
      <c r="T1596" s="1150"/>
      <c r="U1596" s="1144"/>
      <c r="V1596" s="1144"/>
      <c r="W1596" s="1144"/>
      <c r="X1596" s="1144"/>
      <c r="Y1596" s="1144"/>
      <c r="Z1596" s="1130" t="s">
        <v>323</v>
      </c>
      <c r="AA1596" s="1130"/>
      <c r="AB1596" s="1130" t="s">
        <v>323</v>
      </c>
      <c r="AC1596" s="1133" t="s">
        <v>323</v>
      </c>
      <c r="AD1596" s="1131"/>
      <c r="AE1596" s="1131"/>
      <c r="AF1596" s="1131"/>
      <c r="AG1596" s="1131"/>
      <c r="AH1596" s="1131"/>
      <c r="AI1596" s="1131"/>
      <c r="AJ1596" s="1133"/>
      <c r="AK1596" s="1134"/>
      <c r="AL1596" s="1131"/>
      <c r="AM1596" s="1131"/>
      <c r="AN1596" s="1131"/>
      <c r="AO1596" s="1131"/>
      <c r="AP1596" s="1131"/>
      <c r="AQ1596" s="1131"/>
      <c r="AR1596" s="1131"/>
      <c r="AS1596" s="1133"/>
      <c r="AT1596" s="1197" t="str">
        <f t="shared" si="172"/>
        <v/>
      </c>
      <c r="AU1596" s="1194"/>
      <c r="AV1596" s="330">
        <f>SQRT(($R1596-Infrastructure!J$3)^2+($S1596-Infrastructure!K$3)^2)</f>
        <v>28.90155705</v>
      </c>
      <c r="AW1596" s="331">
        <f>SQRT(($R1596-Infrastructure!J$4)^2+($S1596-Infrastructure!K$4)^2)</f>
        <v>17.80252791</v>
      </c>
      <c r="AX1596" s="331">
        <f>SQRT(($R1596-Infrastructure!J$5)^2+($S1596-Infrastructure!K$5)^2)</f>
        <v>5.10881591</v>
      </c>
      <c r="AY1596" s="331">
        <f>SQRT(($R1596-Infrastructure!J$6)^2+($S1596-Infrastructure!K$6)^2)</f>
        <v>10.10445446</v>
      </c>
      <c r="AZ1596" s="331">
        <f>SQRT(($R1596-Infrastructure!J$7)^2+($S1596-Infrastructure!K$7)^2)</f>
        <v>20.502195</v>
      </c>
      <c r="BA1596" s="331">
        <f>SQRT(($R1596-Infrastructure!J$8)^2+($S1596-Infrastructure!K$8)^2)</f>
        <v>30.10149498</v>
      </c>
      <c r="BB1596" s="331">
        <f>SQRT(($R1596-Infrastructure!J$9)^2+($S1596-Infrastructure!K$9)^2)</f>
        <v>40.3238143</v>
      </c>
      <c r="BC1596" s="331">
        <f>SQRT(($R1596-Infrastructure!J$10)^2+($S1596-Infrastructure!K$10)^2)</f>
        <v>42.72001873</v>
      </c>
      <c r="BD1596" s="331">
        <f>SQRT(($R1596-Infrastructure!J$11)^2+($S1596-Infrastructure!K$11)^2)</f>
        <v>49.56853841</v>
      </c>
      <c r="BE1596" s="333">
        <f>SQRT(($R1596-Infrastructure!J$12)^2+($S1596-Infrastructure!K$12)^2)</f>
        <v>59.51890456</v>
      </c>
      <c r="BF1596" s="330">
        <f t="shared" si="161"/>
        <v>5.10881591</v>
      </c>
      <c r="BG1596" s="333">
        <f t="shared" si="162"/>
        <v>59.51890456</v>
      </c>
      <c r="BH1596" s="1135"/>
      <c r="BI1596" s="663"/>
      <c r="BJ1596" s="663"/>
      <c r="BK1596" s="663"/>
      <c r="BL1596" s="663"/>
      <c r="BM1596" s="663"/>
      <c r="BN1596" s="663"/>
      <c r="BO1596" s="663"/>
      <c r="BP1596" s="958"/>
      <c r="BQ1596" s="663"/>
      <c r="BR1596" s="663"/>
      <c r="BS1596" s="330">
        <f t="shared" si="169"/>
        <v>0</v>
      </c>
      <c r="BT1596" s="331">
        <f t="shared" si="170"/>
        <v>0</v>
      </c>
      <c r="BU1596" s="920"/>
      <c r="BV1596" s="903">
        <f t="shared" si="171"/>
        <v>-0.4864583333</v>
      </c>
      <c r="BW1596" s="938"/>
      <c r="BX1596" s="939"/>
      <c r="BY1596" s="641"/>
      <c r="BZ1596" s="742"/>
      <c r="CA1596" s="639"/>
      <c r="CB1596" s="640"/>
      <c r="CC1596" s="640"/>
      <c r="CD1596" s="640"/>
      <c r="CE1596" s="640"/>
      <c r="CF1596" s="640"/>
      <c r="CG1596" s="640"/>
      <c r="CH1596" s="640"/>
      <c r="CI1596" s="640"/>
      <c r="CJ1596" s="785"/>
      <c r="CK1596" s="743"/>
      <c r="CL1596" s="642"/>
      <c r="CM1596" s="1090"/>
      <c r="CN1596" s="1005"/>
      <c r="CO1596" s="1005"/>
      <c r="CP1596" s="1005"/>
    </row>
    <row r="1597">
      <c r="A1597" s="1162" t="s">
        <v>65</v>
      </c>
      <c r="B1597" s="1106" t="s">
        <v>2282</v>
      </c>
      <c r="C1597" s="1107">
        <v>44939.0</v>
      </c>
      <c r="D1597" s="103"/>
      <c r="E1597" s="1108">
        <v>1.0</v>
      </c>
      <c r="F1597" s="112" t="s">
        <v>2287</v>
      </c>
      <c r="G1597" s="1110">
        <v>0.44513888888888886</v>
      </c>
      <c r="H1597" s="1138"/>
      <c r="I1597" s="1138"/>
      <c r="J1597" s="1139"/>
      <c r="K1597" s="1111">
        <v>0.44537037037037036</v>
      </c>
      <c r="L1597" s="1112">
        <v>2.314814814814815E-4</v>
      </c>
      <c r="M1597" s="1113" t="s">
        <v>166</v>
      </c>
      <c r="N1597" s="110" t="s">
        <v>188</v>
      </c>
      <c r="O1597" s="1115" t="s">
        <v>196</v>
      </c>
      <c r="P1597" s="1115" t="s">
        <v>224</v>
      </c>
      <c r="Q1597" s="1115" t="s">
        <v>842</v>
      </c>
      <c r="R1597" s="120">
        <v>21.7</v>
      </c>
      <c r="S1597" s="1113">
        <v>39.5</v>
      </c>
      <c r="T1597" s="110">
        <v>1.3</v>
      </c>
      <c r="U1597" s="1108">
        <v>20.0</v>
      </c>
      <c r="V1597" s="1108"/>
      <c r="W1597" s="1108"/>
      <c r="X1597" s="1108"/>
      <c r="Y1597" s="1108"/>
      <c r="Z1597" s="1114" t="s">
        <v>387</v>
      </c>
      <c r="AA1597" s="1114"/>
      <c r="AB1597" s="1114" t="s">
        <v>416</v>
      </c>
      <c r="AC1597" s="1117">
        <v>52.5</v>
      </c>
      <c r="AD1597" s="1115"/>
      <c r="AE1597" s="1115"/>
      <c r="AF1597" s="1115"/>
      <c r="AG1597" s="1115"/>
      <c r="AH1597" s="1115"/>
      <c r="AI1597" s="1115"/>
      <c r="AJ1597" s="1117"/>
      <c r="AK1597" s="1118"/>
      <c r="AL1597" s="1115"/>
      <c r="AM1597" s="1115"/>
      <c r="AN1597" s="1115"/>
      <c r="AO1597" s="1115"/>
      <c r="AP1597" s="1115"/>
      <c r="AQ1597" s="1115"/>
      <c r="AR1597" s="1115"/>
      <c r="AS1597" s="1117"/>
      <c r="AT1597" s="1196" t="str">
        <f t="shared" si="172"/>
        <v>10+</v>
      </c>
      <c r="AU1597" s="1193"/>
      <c r="AV1597" s="330">
        <f>SQRT(($R1597-Infrastructure!J$3)^2+($S1597-Infrastructure!K$3)^2)</f>
        <v>24.42048321</v>
      </c>
      <c r="AW1597" s="331">
        <f>SQRT(($R1597-Infrastructure!J$4)^2+($S1597-Infrastructure!K$4)^2)</f>
        <v>30.90129447</v>
      </c>
      <c r="AX1597" s="331">
        <f>SQRT(($R1597-Infrastructure!J$5)^2+($S1597-Infrastructure!K$5)^2)</f>
        <v>40.83331973</v>
      </c>
      <c r="AY1597" s="331">
        <f>SQRT(($R1597-Infrastructure!J$6)^2+($S1597-Infrastructure!K$6)^2)</f>
        <v>40.88031311</v>
      </c>
      <c r="AZ1597" s="331">
        <f>SQRT(($R1597-Infrastructure!J$7)^2+($S1597-Infrastructure!K$7)^2)</f>
        <v>39.21836305</v>
      </c>
      <c r="BA1597" s="331">
        <f>SQRT(($R1597-Infrastructure!J$8)^2+($S1597-Infrastructure!K$8)^2)</f>
        <v>40.08989898</v>
      </c>
      <c r="BB1597" s="331">
        <f>SQRT(($R1597-Infrastructure!J$9)^2+($S1597-Infrastructure!K$9)^2)</f>
        <v>38.96472764</v>
      </c>
      <c r="BC1597" s="331">
        <f>SQRT(($R1597-Infrastructure!J$10)^2+($S1597-Infrastructure!K$10)^2)</f>
        <v>30.58005886</v>
      </c>
      <c r="BD1597" s="331">
        <f>SQRT(($R1597-Infrastructure!J$11)^2+($S1597-Infrastructure!K$11)^2)</f>
        <v>21.27204739</v>
      </c>
      <c r="BE1597" s="333">
        <f>SQRT(($R1597-Infrastructure!J$12)^2+($S1597-Infrastructure!K$12)^2)</f>
        <v>16.00124995</v>
      </c>
      <c r="BF1597" s="330">
        <f t="shared" si="161"/>
        <v>16.00124995</v>
      </c>
      <c r="BG1597" s="333">
        <f t="shared" si="162"/>
        <v>40.88031311</v>
      </c>
      <c r="BH1597" s="1119"/>
      <c r="BI1597" s="319"/>
      <c r="BJ1597" s="319"/>
      <c r="BK1597" s="319"/>
      <c r="BL1597" s="319"/>
      <c r="BM1597" s="319"/>
      <c r="BN1597" s="319"/>
      <c r="BO1597" s="319"/>
      <c r="BP1597" s="953"/>
      <c r="BQ1597" s="319"/>
      <c r="BR1597" s="319"/>
      <c r="BS1597" s="405">
        <f t="shared" si="169"/>
        <v>0</v>
      </c>
      <c r="BT1597" s="406">
        <f t="shared" si="170"/>
        <v>0</v>
      </c>
      <c r="BU1597" s="931"/>
      <c r="BV1597" s="901">
        <f t="shared" si="171"/>
        <v>-0.4451388889</v>
      </c>
      <c r="BW1597" s="907"/>
      <c r="BX1597" s="908"/>
      <c r="BY1597" s="331"/>
      <c r="BZ1597" s="340"/>
      <c r="CA1597" s="316"/>
      <c r="CB1597" s="318"/>
      <c r="CC1597" s="318"/>
      <c r="CD1597" s="318"/>
      <c r="CE1597" s="318"/>
      <c r="CF1597" s="318"/>
      <c r="CG1597" s="318"/>
      <c r="CH1597" s="318"/>
      <c r="CI1597" s="318"/>
      <c r="CJ1597" s="463"/>
      <c r="CK1597" s="342"/>
      <c r="CL1597" s="333"/>
      <c r="CM1597" s="1079"/>
      <c r="CN1597" s="1005"/>
      <c r="CO1597" s="1005"/>
      <c r="CP1597" s="1005"/>
    </row>
    <row r="1598">
      <c r="B1598" s="1106" t="s">
        <v>2282</v>
      </c>
      <c r="C1598" s="1107">
        <v>44939.0</v>
      </c>
      <c r="D1598" s="103"/>
      <c r="E1598" s="1108">
        <v>2.0</v>
      </c>
      <c r="F1598" s="112" t="s">
        <v>2288</v>
      </c>
      <c r="G1598" s="1110">
        <v>0.4462962962962963</v>
      </c>
      <c r="H1598" s="1110">
        <v>0.4465277777777778</v>
      </c>
      <c r="I1598" s="1110"/>
      <c r="J1598" s="1111"/>
      <c r="K1598" s="1111">
        <v>0.44710648148148147</v>
      </c>
      <c r="L1598" s="1112">
        <v>5.787037037037037E-4</v>
      </c>
      <c r="M1598" s="1113" t="s">
        <v>166</v>
      </c>
      <c r="N1598" s="110" t="s">
        <v>188</v>
      </c>
      <c r="O1598" s="1115" t="s">
        <v>196</v>
      </c>
      <c r="P1598" s="1115" t="s">
        <v>224</v>
      </c>
      <c r="Q1598" s="1115" t="s">
        <v>842</v>
      </c>
      <c r="R1598" s="120">
        <v>21.7</v>
      </c>
      <c r="S1598" s="1113">
        <v>39.5</v>
      </c>
      <c r="T1598" s="110">
        <v>1.3</v>
      </c>
      <c r="U1598" s="1108">
        <v>20.0</v>
      </c>
      <c r="V1598" s="1108"/>
      <c r="W1598" s="1108"/>
      <c r="X1598" s="1108"/>
      <c r="Y1598" s="1108"/>
      <c r="Z1598" s="1114" t="s">
        <v>387</v>
      </c>
      <c r="AA1598" s="1114"/>
      <c r="AB1598" s="1114" t="s">
        <v>416</v>
      </c>
      <c r="AC1598" s="1117">
        <v>52.5</v>
      </c>
      <c r="AD1598" s="1115"/>
      <c r="AE1598" s="1115"/>
      <c r="AF1598" s="1115"/>
      <c r="AG1598" s="1115"/>
      <c r="AH1598" s="1115"/>
      <c r="AI1598" s="1115"/>
      <c r="AJ1598" s="1117"/>
      <c r="AK1598" s="1118"/>
      <c r="AL1598" s="1115"/>
      <c r="AM1598" s="1115"/>
      <c r="AN1598" s="1115"/>
      <c r="AO1598" s="1115"/>
      <c r="AP1598" s="1115"/>
      <c r="AQ1598" s="1115"/>
      <c r="AR1598" s="1115"/>
      <c r="AS1598" s="1117"/>
      <c r="AT1598" s="1196" t="str">
        <f t="shared" si="172"/>
        <v>10+</v>
      </c>
      <c r="AU1598" s="1193"/>
      <c r="AV1598" s="330">
        <f>SQRT(($R1598-Infrastructure!J$3)^2+($S1598-Infrastructure!K$3)^2)</f>
        <v>24.42048321</v>
      </c>
      <c r="AW1598" s="331">
        <f>SQRT(($R1598-Infrastructure!J$4)^2+($S1598-Infrastructure!K$4)^2)</f>
        <v>30.90129447</v>
      </c>
      <c r="AX1598" s="331">
        <f>SQRT(($R1598-Infrastructure!J$5)^2+($S1598-Infrastructure!K$5)^2)</f>
        <v>40.83331973</v>
      </c>
      <c r="AY1598" s="331">
        <f>SQRT(($R1598-Infrastructure!J$6)^2+($S1598-Infrastructure!K$6)^2)</f>
        <v>40.88031311</v>
      </c>
      <c r="AZ1598" s="331">
        <f>SQRT(($R1598-Infrastructure!J$7)^2+($S1598-Infrastructure!K$7)^2)</f>
        <v>39.21836305</v>
      </c>
      <c r="BA1598" s="331">
        <f>SQRT(($R1598-Infrastructure!J$8)^2+($S1598-Infrastructure!K$8)^2)</f>
        <v>40.08989898</v>
      </c>
      <c r="BB1598" s="331">
        <f>SQRT(($R1598-Infrastructure!J$9)^2+($S1598-Infrastructure!K$9)^2)</f>
        <v>38.96472764</v>
      </c>
      <c r="BC1598" s="331">
        <f>SQRT(($R1598-Infrastructure!J$10)^2+($S1598-Infrastructure!K$10)^2)</f>
        <v>30.58005886</v>
      </c>
      <c r="BD1598" s="331">
        <f>SQRT(($R1598-Infrastructure!J$11)^2+($S1598-Infrastructure!K$11)^2)</f>
        <v>21.27204739</v>
      </c>
      <c r="BE1598" s="333">
        <f>SQRT(($R1598-Infrastructure!J$12)^2+($S1598-Infrastructure!K$12)^2)</f>
        <v>16.00124995</v>
      </c>
      <c r="BF1598" s="330">
        <f t="shared" si="161"/>
        <v>16.00124995</v>
      </c>
      <c r="BG1598" s="333">
        <f t="shared" si="162"/>
        <v>40.88031311</v>
      </c>
      <c r="BH1598" s="1119"/>
      <c r="BI1598" s="319"/>
      <c r="BJ1598" s="319"/>
      <c r="BK1598" s="319"/>
      <c r="BL1598" s="319"/>
      <c r="BM1598" s="319"/>
      <c r="BN1598" s="319"/>
      <c r="BO1598" s="319"/>
      <c r="BP1598" s="953"/>
      <c r="BQ1598" s="319"/>
      <c r="BR1598" s="319"/>
      <c r="BS1598" s="330">
        <f t="shared" si="169"/>
        <v>0</v>
      </c>
      <c r="BT1598" s="331">
        <f t="shared" si="170"/>
        <v>0</v>
      </c>
      <c r="BU1598" s="920"/>
      <c r="BV1598" s="903">
        <f t="shared" si="171"/>
        <v>-0.4462962963</v>
      </c>
      <c r="BW1598" s="907"/>
      <c r="BX1598" s="908"/>
      <c r="BY1598" s="331"/>
      <c r="BZ1598" s="340"/>
      <c r="CA1598" s="316"/>
      <c r="CB1598" s="318"/>
      <c r="CC1598" s="318"/>
      <c r="CD1598" s="318"/>
      <c r="CE1598" s="318"/>
      <c r="CF1598" s="318"/>
      <c r="CG1598" s="318"/>
      <c r="CH1598" s="318"/>
      <c r="CI1598" s="318"/>
      <c r="CJ1598" s="463"/>
      <c r="CK1598" s="342"/>
      <c r="CL1598" s="333"/>
      <c r="CM1598" s="1079"/>
      <c r="CN1598" s="1005"/>
      <c r="CO1598" s="1005"/>
      <c r="CP1598" s="1005"/>
    </row>
    <row r="1599">
      <c r="B1599" s="1106" t="s">
        <v>2282</v>
      </c>
      <c r="C1599" s="1107">
        <v>44939.0</v>
      </c>
      <c r="D1599" s="103"/>
      <c r="E1599" s="1108">
        <v>3.0</v>
      </c>
      <c r="F1599" s="112" t="s">
        <v>2289</v>
      </c>
      <c r="G1599" s="1110">
        <v>0.44832175925925927</v>
      </c>
      <c r="H1599" s="1110">
        <v>0.4486111111111111</v>
      </c>
      <c r="I1599" s="1110"/>
      <c r="J1599" s="1111"/>
      <c r="K1599" s="1111">
        <v>0.4490162037037037</v>
      </c>
      <c r="L1599" s="1112">
        <v>4.050925925925926E-4</v>
      </c>
      <c r="M1599" s="1113" t="s">
        <v>166</v>
      </c>
      <c r="N1599" s="110" t="s">
        <v>188</v>
      </c>
      <c r="O1599" s="1115" t="s">
        <v>196</v>
      </c>
      <c r="P1599" s="1115" t="s">
        <v>224</v>
      </c>
      <c r="Q1599" s="1115" t="s">
        <v>842</v>
      </c>
      <c r="R1599" s="120">
        <v>21.7</v>
      </c>
      <c r="S1599" s="1113">
        <v>39.5</v>
      </c>
      <c r="T1599" s="110">
        <v>1.3</v>
      </c>
      <c r="U1599" s="1108">
        <v>20.0</v>
      </c>
      <c r="V1599" s="1108"/>
      <c r="W1599" s="1108"/>
      <c r="X1599" s="1108"/>
      <c r="Y1599" s="1108"/>
      <c r="Z1599" s="1114" t="s">
        <v>387</v>
      </c>
      <c r="AA1599" s="1114"/>
      <c r="AB1599" s="1114" t="s">
        <v>416</v>
      </c>
      <c r="AC1599" s="1117">
        <v>52.5</v>
      </c>
      <c r="AD1599" s="1115"/>
      <c r="AE1599" s="1115"/>
      <c r="AF1599" s="1115"/>
      <c r="AG1599" s="1115"/>
      <c r="AH1599" s="1115"/>
      <c r="AI1599" s="1115"/>
      <c r="AJ1599" s="1117"/>
      <c r="AK1599" s="1118"/>
      <c r="AL1599" s="1115"/>
      <c r="AM1599" s="1115"/>
      <c r="AN1599" s="1115"/>
      <c r="AO1599" s="1115"/>
      <c r="AP1599" s="1115"/>
      <c r="AQ1599" s="1115"/>
      <c r="AR1599" s="1115"/>
      <c r="AS1599" s="1117"/>
      <c r="AT1599" s="1196" t="str">
        <f t="shared" si="172"/>
        <v>10+</v>
      </c>
      <c r="AU1599" s="1193"/>
      <c r="AV1599" s="330">
        <f>SQRT(($R1599-Infrastructure!J$3)^2+($S1599-Infrastructure!K$3)^2)</f>
        <v>24.42048321</v>
      </c>
      <c r="AW1599" s="331">
        <f>SQRT(($R1599-Infrastructure!J$4)^2+($S1599-Infrastructure!K$4)^2)</f>
        <v>30.90129447</v>
      </c>
      <c r="AX1599" s="331">
        <f>SQRT(($R1599-Infrastructure!J$5)^2+($S1599-Infrastructure!K$5)^2)</f>
        <v>40.83331973</v>
      </c>
      <c r="AY1599" s="331">
        <f>SQRT(($R1599-Infrastructure!J$6)^2+($S1599-Infrastructure!K$6)^2)</f>
        <v>40.88031311</v>
      </c>
      <c r="AZ1599" s="331">
        <f>SQRT(($R1599-Infrastructure!J$7)^2+($S1599-Infrastructure!K$7)^2)</f>
        <v>39.21836305</v>
      </c>
      <c r="BA1599" s="331">
        <f>SQRT(($R1599-Infrastructure!J$8)^2+($S1599-Infrastructure!K$8)^2)</f>
        <v>40.08989898</v>
      </c>
      <c r="BB1599" s="331">
        <f>SQRT(($R1599-Infrastructure!J$9)^2+($S1599-Infrastructure!K$9)^2)</f>
        <v>38.96472764</v>
      </c>
      <c r="BC1599" s="331">
        <f>SQRT(($R1599-Infrastructure!J$10)^2+($S1599-Infrastructure!K$10)^2)</f>
        <v>30.58005886</v>
      </c>
      <c r="BD1599" s="331">
        <f>SQRT(($R1599-Infrastructure!J$11)^2+($S1599-Infrastructure!K$11)^2)</f>
        <v>21.27204739</v>
      </c>
      <c r="BE1599" s="333">
        <f>SQRT(($R1599-Infrastructure!J$12)^2+($S1599-Infrastructure!K$12)^2)</f>
        <v>16.00124995</v>
      </c>
      <c r="BF1599" s="330">
        <f t="shared" si="161"/>
        <v>16.00124995</v>
      </c>
      <c r="BG1599" s="333">
        <f t="shared" si="162"/>
        <v>40.88031311</v>
      </c>
      <c r="BH1599" s="1119"/>
      <c r="BI1599" s="319"/>
      <c r="BJ1599" s="319"/>
      <c r="BK1599" s="319"/>
      <c r="BL1599" s="319"/>
      <c r="BM1599" s="319"/>
      <c r="BN1599" s="319"/>
      <c r="BO1599" s="319"/>
      <c r="BP1599" s="953"/>
      <c r="BQ1599" s="319"/>
      <c r="BR1599" s="319"/>
      <c r="BS1599" s="330">
        <f t="shared" si="169"/>
        <v>0</v>
      </c>
      <c r="BT1599" s="331">
        <f t="shared" si="170"/>
        <v>0</v>
      </c>
      <c r="BU1599" s="920"/>
      <c r="BV1599" s="903">
        <f t="shared" si="171"/>
        <v>-0.4483217593</v>
      </c>
      <c r="BW1599" s="907"/>
      <c r="BX1599" s="908"/>
      <c r="BY1599" s="331"/>
      <c r="BZ1599" s="340"/>
      <c r="CA1599" s="316"/>
      <c r="CB1599" s="318"/>
      <c r="CC1599" s="318"/>
      <c r="CD1599" s="318"/>
      <c r="CE1599" s="318"/>
      <c r="CF1599" s="318"/>
      <c r="CG1599" s="318"/>
      <c r="CH1599" s="318"/>
      <c r="CI1599" s="318"/>
      <c r="CJ1599" s="463"/>
      <c r="CK1599" s="342"/>
      <c r="CL1599" s="333"/>
      <c r="CM1599" s="1079"/>
      <c r="CN1599" s="1005"/>
      <c r="CO1599" s="1005"/>
      <c r="CP1599" s="1005"/>
    </row>
    <row r="1600">
      <c r="B1600" s="1106" t="s">
        <v>2282</v>
      </c>
      <c r="C1600" s="1107">
        <v>44939.0</v>
      </c>
      <c r="D1600" s="103"/>
      <c r="E1600" s="1108">
        <v>4.0</v>
      </c>
      <c r="F1600" s="112" t="s">
        <v>2290</v>
      </c>
      <c r="G1600" s="1110">
        <v>0.44994212962962965</v>
      </c>
      <c r="H1600" s="1138"/>
      <c r="I1600" s="1138"/>
      <c r="J1600" s="1139"/>
      <c r="K1600" s="1111">
        <v>0.4504050925925926</v>
      </c>
      <c r="L1600" s="1112">
        <v>4.62962962962963E-4</v>
      </c>
      <c r="M1600" s="1113" t="s">
        <v>166</v>
      </c>
      <c r="N1600" s="110" t="s">
        <v>188</v>
      </c>
      <c r="O1600" s="1115" t="s">
        <v>196</v>
      </c>
      <c r="P1600" s="1115" t="s">
        <v>224</v>
      </c>
      <c r="Q1600" s="1115" t="s">
        <v>842</v>
      </c>
      <c r="R1600" s="120">
        <v>21.7</v>
      </c>
      <c r="S1600" s="1113">
        <v>39.5</v>
      </c>
      <c r="T1600" s="110">
        <v>1.3</v>
      </c>
      <c r="U1600" s="1108">
        <v>20.0</v>
      </c>
      <c r="V1600" s="1108"/>
      <c r="W1600" s="1108"/>
      <c r="X1600" s="1108"/>
      <c r="Y1600" s="1108"/>
      <c r="Z1600" s="1114" t="s">
        <v>387</v>
      </c>
      <c r="AA1600" s="1114"/>
      <c r="AB1600" s="1114" t="s">
        <v>416</v>
      </c>
      <c r="AC1600" s="1117">
        <v>52.5</v>
      </c>
      <c r="AD1600" s="1115"/>
      <c r="AE1600" s="1115"/>
      <c r="AF1600" s="1115"/>
      <c r="AG1600" s="1115"/>
      <c r="AH1600" s="1115"/>
      <c r="AI1600" s="1115"/>
      <c r="AJ1600" s="1117"/>
      <c r="AK1600" s="1118"/>
      <c r="AL1600" s="1115"/>
      <c r="AM1600" s="1115"/>
      <c r="AN1600" s="1115"/>
      <c r="AO1600" s="1115"/>
      <c r="AP1600" s="1115"/>
      <c r="AQ1600" s="1115"/>
      <c r="AR1600" s="1115"/>
      <c r="AS1600" s="1117"/>
      <c r="AT1600" s="1196" t="str">
        <f t="shared" si="172"/>
        <v>10+</v>
      </c>
      <c r="AU1600" s="1193"/>
      <c r="AV1600" s="330">
        <f>SQRT(($R1600-Infrastructure!J$3)^2+($S1600-Infrastructure!K$3)^2)</f>
        <v>24.42048321</v>
      </c>
      <c r="AW1600" s="331">
        <f>SQRT(($R1600-Infrastructure!J$4)^2+($S1600-Infrastructure!K$4)^2)</f>
        <v>30.90129447</v>
      </c>
      <c r="AX1600" s="331">
        <f>SQRT(($R1600-Infrastructure!J$5)^2+($S1600-Infrastructure!K$5)^2)</f>
        <v>40.83331973</v>
      </c>
      <c r="AY1600" s="331">
        <f>SQRT(($R1600-Infrastructure!J$6)^2+($S1600-Infrastructure!K$6)^2)</f>
        <v>40.88031311</v>
      </c>
      <c r="AZ1600" s="331">
        <f>SQRT(($R1600-Infrastructure!J$7)^2+($S1600-Infrastructure!K$7)^2)</f>
        <v>39.21836305</v>
      </c>
      <c r="BA1600" s="331">
        <f>SQRT(($R1600-Infrastructure!J$8)^2+($S1600-Infrastructure!K$8)^2)</f>
        <v>40.08989898</v>
      </c>
      <c r="BB1600" s="331">
        <f>SQRT(($R1600-Infrastructure!J$9)^2+($S1600-Infrastructure!K$9)^2)</f>
        <v>38.96472764</v>
      </c>
      <c r="BC1600" s="331">
        <f>SQRT(($R1600-Infrastructure!J$10)^2+($S1600-Infrastructure!K$10)^2)</f>
        <v>30.58005886</v>
      </c>
      <c r="BD1600" s="331">
        <f>SQRT(($R1600-Infrastructure!J$11)^2+($S1600-Infrastructure!K$11)^2)</f>
        <v>21.27204739</v>
      </c>
      <c r="BE1600" s="333">
        <f>SQRT(($R1600-Infrastructure!J$12)^2+($S1600-Infrastructure!K$12)^2)</f>
        <v>16.00124995</v>
      </c>
      <c r="BF1600" s="330">
        <f t="shared" si="161"/>
        <v>16.00124995</v>
      </c>
      <c r="BG1600" s="333">
        <f t="shared" si="162"/>
        <v>40.88031311</v>
      </c>
      <c r="BH1600" s="1119"/>
      <c r="BI1600" s="319"/>
      <c r="BJ1600" s="319"/>
      <c r="BK1600" s="319"/>
      <c r="BL1600" s="319"/>
      <c r="BM1600" s="319"/>
      <c r="BN1600" s="319"/>
      <c r="BO1600" s="319"/>
      <c r="BP1600" s="953"/>
      <c r="BQ1600" s="319"/>
      <c r="BR1600" s="319"/>
      <c r="BS1600" s="330">
        <f t="shared" si="169"/>
        <v>0</v>
      </c>
      <c r="BT1600" s="331">
        <f t="shared" si="170"/>
        <v>0</v>
      </c>
      <c r="BU1600" s="920"/>
      <c r="BV1600" s="903">
        <f t="shared" si="171"/>
        <v>-0.4499421296</v>
      </c>
      <c r="BW1600" s="907"/>
      <c r="BX1600" s="908"/>
      <c r="BY1600" s="331"/>
      <c r="BZ1600" s="340"/>
      <c r="CA1600" s="316"/>
      <c r="CB1600" s="318"/>
      <c r="CC1600" s="318"/>
      <c r="CD1600" s="318"/>
      <c r="CE1600" s="318"/>
      <c r="CF1600" s="318"/>
      <c r="CG1600" s="318"/>
      <c r="CH1600" s="318"/>
      <c r="CI1600" s="318"/>
      <c r="CJ1600" s="463"/>
      <c r="CK1600" s="342"/>
      <c r="CL1600" s="333"/>
      <c r="CM1600" s="1079"/>
      <c r="CN1600" s="1005"/>
      <c r="CO1600" s="1005"/>
      <c r="CP1600" s="1005"/>
    </row>
    <row r="1601">
      <c r="B1601" s="1106" t="s">
        <v>2282</v>
      </c>
      <c r="C1601" s="1107">
        <v>44939.0</v>
      </c>
      <c r="D1601" s="103"/>
      <c r="E1601" s="1108">
        <v>5.0</v>
      </c>
      <c r="F1601" s="112" t="s">
        <v>2291</v>
      </c>
      <c r="G1601" s="1110">
        <v>0.4511574074074074</v>
      </c>
      <c r="H1601" s="1110">
        <v>0.4517361111111111</v>
      </c>
      <c r="I1601" s="1110"/>
      <c r="J1601" s="1111"/>
      <c r="K1601" s="1111">
        <v>0.45318287037037036</v>
      </c>
      <c r="L1601" s="1112">
        <v>0.0014467592592592592</v>
      </c>
      <c r="M1601" s="1113" t="s">
        <v>166</v>
      </c>
      <c r="N1601" s="110" t="s">
        <v>188</v>
      </c>
      <c r="O1601" s="1115" t="s">
        <v>196</v>
      </c>
      <c r="P1601" s="1115" t="s">
        <v>224</v>
      </c>
      <c r="Q1601" s="1115" t="s">
        <v>842</v>
      </c>
      <c r="R1601" s="120">
        <v>21.7</v>
      </c>
      <c r="S1601" s="1113">
        <v>39.5</v>
      </c>
      <c r="T1601" s="110">
        <v>1.3</v>
      </c>
      <c r="U1601" s="1108">
        <v>20.0</v>
      </c>
      <c r="V1601" s="1108"/>
      <c r="W1601" s="1108"/>
      <c r="X1601" s="1108"/>
      <c r="Y1601" s="1108"/>
      <c r="Z1601" s="1114" t="s">
        <v>387</v>
      </c>
      <c r="AA1601" s="1114"/>
      <c r="AB1601" s="1114" t="s">
        <v>416</v>
      </c>
      <c r="AC1601" s="1117">
        <v>52.5</v>
      </c>
      <c r="AD1601" s="1115"/>
      <c r="AE1601" s="1115"/>
      <c r="AF1601" s="1115"/>
      <c r="AG1601" s="1115"/>
      <c r="AH1601" s="1115"/>
      <c r="AI1601" s="1115"/>
      <c r="AJ1601" s="1117"/>
      <c r="AK1601" s="1118"/>
      <c r="AL1601" s="1115"/>
      <c r="AM1601" s="1115"/>
      <c r="AN1601" s="1115"/>
      <c r="AO1601" s="1115"/>
      <c r="AP1601" s="1115"/>
      <c r="AQ1601" s="1115"/>
      <c r="AR1601" s="1115"/>
      <c r="AS1601" s="1117"/>
      <c r="AT1601" s="1196" t="str">
        <f t="shared" si="172"/>
        <v>10+</v>
      </c>
      <c r="AU1601" s="1193"/>
      <c r="AV1601" s="330">
        <f>SQRT(($R1601-Infrastructure!J$3)^2+($S1601-Infrastructure!K$3)^2)</f>
        <v>24.42048321</v>
      </c>
      <c r="AW1601" s="331">
        <f>SQRT(($R1601-Infrastructure!J$4)^2+($S1601-Infrastructure!K$4)^2)</f>
        <v>30.90129447</v>
      </c>
      <c r="AX1601" s="331">
        <f>SQRT(($R1601-Infrastructure!J$5)^2+($S1601-Infrastructure!K$5)^2)</f>
        <v>40.83331973</v>
      </c>
      <c r="AY1601" s="331">
        <f>SQRT(($R1601-Infrastructure!J$6)^2+($S1601-Infrastructure!K$6)^2)</f>
        <v>40.88031311</v>
      </c>
      <c r="AZ1601" s="331">
        <f>SQRT(($R1601-Infrastructure!J$7)^2+($S1601-Infrastructure!K$7)^2)</f>
        <v>39.21836305</v>
      </c>
      <c r="BA1601" s="331">
        <f>SQRT(($R1601-Infrastructure!J$8)^2+($S1601-Infrastructure!K$8)^2)</f>
        <v>40.08989898</v>
      </c>
      <c r="BB1601" s="331">
        <f>SQRT(($R1601-Infrastructure!J$9)^2+($S1601-Infrastructure!K$9)^2)</f>
        <v>38.96472764</v>
      </c>
      <c r="BC1601" s="331">
        <f>SQRT(($R1601-Infrastructure!J$10)^2+($S1601-Infrastructure!K$10)^2)</f>
        <v>30.58005886</v>
      </c>
      <c r="BD1601" s="331">
        <f>SQRT(($R1601-Infrastructure!J$11)^2+($S1601-Infrastructure!K$11)^2)</f>
        <v>21.27204739</v>
      </c>
      <c r="BE1601" s="333">
        <f>SQRT(($R1601-Infrastructure!J$12)^2+($S1601-Infrastructure!K$12)^2)</f>
        <v>16.00124995</v>
      </c>
      <c r="BF1601" s="330">
        <f t="shared" si="161"/>
        <v>16.00124995</v>
      </c>
      <c r="BG1601" s="333">
        <f t="shared" si="162"/>
        <v>40.88031311</v>
      </c>
      <c r="BH1601" s="1119"/>
      <c r="BI1601" s="319"/>
      <c r="BJ1601" s="319"/>
      <c r="BK1601" s="319"/>
      <c r="BL1601" s="319"/>
      <c r="BM1601" s="319"/>
      <c r="BN1601" s="319"/>
      <c r="BO1601" s="319"/>
      <c r="BP1601" s="953"/>
      <c r="BQ1601" s="319"/>
      <c r="BR1601" s="319"/>
      <c r="BS1601" s="330">
        <f t="shared" si="169"/>
        <v>0</v>
      </c>
      <c r="BT1601" s="331">
        <f t="shared" si="170"/>
        <v>0</v>
      </c>
      <c r="BU1601" s="920"/>
      <c r="BV1601" s="903">
        <f t="shared" si="171"/>
        <v>-0.4511574074</v>
      </c>
      <c r="BW1601" s="907"/>
      <c r="BX1601" s="908"/>
      <c r="BY1601" s="331"/>
      <c r="BZ1601" s="340"/>
      <c r="CA1601" s="316"/>
      <c r="CB1601" s="318"/>
      <c r="CC1601" s="318"/>
      <c r="CD1601" s="318"/>
      <c r="CE1601" s="318"/>
      <c r="CF1601" s="318"/>
      <c r="CG1601" s="318"/>
      <c r="CH1601" s="318"/>
      <c r="CI1601" s="318"/>
      <c r="CJ1601" s="463"/>
      <c r="CK1601" s="342"/>
      <c r="CL1601" s="333"/>
      <c r="CM1601" s="1079"/>
      <c r="CN1601" s="1005"/>
      <c r="CO1601" s="1005"/>
      <c r="CP1601" s="1005"/>
    </row>
    <row r="1602">
      <c r="B1602" s="1106" t="s">
        <v>2282</v>
      </c>
      <c r="C1602" s="1107">
        <v>44939.0</v>
      </c>
      <c r="D1602" s="103"/>
      <c r="E1602" s="1108">
        <v>6.0</v>
      </c>
      <c r="F1602" s="112" t="s">
        <v>2292</v>
      </c>
      <c r="G1602" s="1110">
        <v>0.4616898148148148</v>
      </c>
      <c r="H1602" s="1110">
        <v>0.46197916666666666</v>
      </c>
      <c r="I1602" s="1110"/>
      <c r="J1602" s="1111"/>
      <c r="K1602" s="1111">
        <v>0.46261574074074074</v>
      </c>
      <c r="L1602" s="1112">
        <v>6.365740740740741E-4</v>
      </c>
      <c r="M1602" s="1113" t="s">
        <v>166</v>
      </c>
      <c r="N1602" s="110" t="s">
        <v>188</v>
      </c>
      <c r="O1602" s="1115" t="s">
        <v>196</v>
      </c>
      <c r="P1602" s="1115" t="s">
        <v>224</v>
      </c>
      <c r="Q1602" s="1115" t="s">
        <v>842</v>
      </c>
      <c r="R1602" s="120">
        <v>21.7</v>
      </c>
      <c r="S1602" s="1113">
        <v>39.5</v>
      </c>
      <c r="T1602" s="110">
        <v>1.3</v>
      </c>
      <c r="U1602" s="1108">
        <v>20.0</v>
      </c>
      <c r="V1602" s="1108"/>
      <c r="W1602" s="1108"/>
      <c r="X1602" s="1108"/>
      <c r="Y1602" s="1108"/>
      <c r="Z1602" s="1114" t="s">
        <v>387</v>
      </c>
      <c r="AA1602" s="1114"/>
      <c r="AB1602" s="1114" t="s">
        <v>416</v>
      </c>
      <c r="AC1602" s="1117">
        <v>52.5</v>
      </c>
      <c r="AD1602" s="1115"/>
      <c r="AE1602" s="1115"/>
      <c r="AF1602" s="1115"/>
      <c r="AG1602" s="1115"/>
      <c r="AH1602" s="1115"/>
      <c r="AI1602" s="1115"/>
      <c r="AJ1602" s="1117"/>
      <c r="AK1602" s="1118"/>
      <c r="AL1602" s="1115"/>
      <c r="AM1602" s="1115"/>
      <c r="AN1602" s="1115"/>
      <c r="AO1602" s="1115"/>
      <c r="AP1602" s="1115"/>
      <c r="AQ1602" s="1115"/>
      <c r="AR1602" s="1115"/>
      <c r="AS1602" s="1117"/>
      <c r="AT1602" s="1196" t="str">
        <f t="shared" si="172"/>
        <v>10+</v>
      </c>
      <c r="AU1602" s="1193"/>
      <c r="AV1602" s="330">
        <f>SQRT(($R1602-Infrastructure!J$3)^2+($S1602-Infrastructure!K$3)^2)</f>
        <v>24.42048321</v>
      </c>
      <c r="AW1602" s="331">
        <f>SQRT(($R1602-Infrastructure!J$4)^2+($S1602-Infrastructure!K$4)^2)</f>
        <v>30.90129447</v>
      </c>
      <c r="AX1602" s="331">
        <f>SQRT(($R1602-Infrastructure!J$5)^2+($S1602-Infrastructure!K$5)^2)</f>
        <v>40.83331973</v>
      </c>
      <c r="AY1602" s="331">
        <f>SQRT(($R1602-Infrastructure!J$6)^2+($S1602-Infrastructure!K$6)^2)</f>
        <v>40.88031311</v>
      </c>
      <c r="AZ1602" s="331">
        <f>SQRT(($R1602-Infrastructure!J$7)^2+($S1602-Infrastructure!K$7)^2)</f>
        <v>39.21836305</v>
      </c>
      <c r="BA1602" s="331">
        <f>SQRT(($R1602-Infrastructure!J$8)^2+($S1602-Infrastructure!K$8)^2)</f>
        <v>40.08989898</v>
      </c>
      <c r="BB1602" s="331">
        <f>SQRT(($R1602-Infrastructure!J$9)^2+($S1602-Infrastructure!K$9)^2)</f>
        <v>38.96472764</v>
      </c>
      <c r="BC1602" s="331">
        <f>SQRT(($R1602-Infrastructure!J$10)^2+($S1602-Infrastructure!K$10)^2)</f>
        <v>30.58005886</v>
      </c>
      <c r="BD1602" s="331">
        <f>SQRT(($R1602-Infrastructure!J$11)^2+($S1602-Infrastructure!K$11)^2)</f>
        <v>21.27204739</v>
      </c>
      <c r="BE1602" s="333">
        <f>SQRT(($R1602-Infrastructure!J$12)^2+($S1602-Infrastructure!K$12)^2)</f>
        <v>16.00124995</v>
      </c>
      <c r="BF1602" s="330">
        <f t="shared" si="161"/>
        <v>16.00124995</v>
      </c>
      <c r="BG1602" s="333">
        <f t="shared" si="162"/>
        <v>40.88031311</v>
      </c>
      <c r="BH1602" s="1119"/>
      <c r="BI1602" s="319"/>
      <c r="BJ1602" s="319"/>
      <c r="BK1602" s="319"/>
      <c r="BL1602" s="319"/>
      <c r="BM1602" s="319"/>
      <c r="BN1602" s="319"/>
      <c r="BO1602" s="319"/>
      <c r="BP1602" s="953"/>
      <c r="BQ1602" s="319"/>
      <c r="BR1602" s="319"/>
      <c r="BS1602" s="330">
        <f t="shared" si="169"/>
        <v>0</v>
      </c>
      <c r="BT1602" s="331">
        <f t="shared" si="170"/>
        <v>0</v>
      </c>
      <c r="BU1602" s="920"/>
      <c r="BV1602" s="903">
        <f t="shared" si="171"/>
        <v>-0.4616898148</v>
      </c>
      <c r="BW1602" s="907"/>
      <c r="BX1602" s="908"/>
      <c r="BY1602" s="331"/>
      <c r="BZ1602" s="340"/>
      <c r="CA1602" s="316"/>
      <c r="CB1602" s="318"/>
      <c r="CC1602" s="318"/>
      <c r="CD1602" s="318"/>
      <c r="CE1602" s="318"/>
      <c r="CF1602" s="318"/>
      <c r="CG1602" s="318"/>
      <c r="CH1602" s="318"/>
      <c r="CI1602" s="318"/>
      <c r="CJ1602" s="463"/>
      <c r="CK1602" s="342"/>
      <c r="CL1602" s="333"/>
      <c r="CM1602" s="1079"/>
      <c r="CN1602" s="1005"/>
      <c r="CO1602" s="1005"/>
      <c r="CP1602" s="1005"/>
    </row>
    <row r="1603">
      <c r="B1603" s="1106" t="s">
        <v>2282</v>
      </c>
      <c r="C1603" s="1107">
        <v>44939.0</v>
      </c>
      <c r="D1603" s="103"/>
      <c r="E1603" s="1108">
        <v>7.0</v>
      </c>
      <c r="F1603" s="112" t="s">
        <v>2293</v>
      </c>
      <c r="G1603" s="1110">
        <v>0.46261574074074074</v>
      </c>
      <c r="H1603" s="1110">
        <v>0.46313657407407405</v>
      </c>
      <c r="I1603" s="1110"/>
      <c r="J1603" s="1111"/>
      <c r="K1603" s="1111">
        <v>0.4635416666666667</v>
      </c>
      <c r="L1603" s="1112">
        <v>4.050925925925926E-4</v>
      </c>
      <c r="M1603" s="1113" t="s">
        <v>166</v>
      </c>
      <c r="N1603" s="110" t="s">
        <v>188</v>
      </c>
      <c r="O1603" s="1115" t="s">
        <v>196</v>
      </c>
      <c r="P1603" s="1115" t="s">
        <v>224</v>
      </c>
      <c r="Q1603" s="1115" t="s">
        <v>842</v>
      </c>
      <c r="R1603" s="120">
        <v>21.7</v>
      </c>
      <c r="S1603" s="1113">
        <v>39.5</v>
      </c>
      <c r="T1603" s="110">
        <v>1.3</v>
      </c>
      <c r="U1603" s="1108">
        <v>30.0</v>
      </c>
      <c r="V1603" s="1108"/>
      <c r="W1603" s="1108"/>
      <c r="X1603" s="1108"/>
      <c r="Y1603" s="1108"/>
      <c r="Z1603" s="1114" t="s">
        <v>387</v>
      </c>
      <c r="AA1603" s="1114"/>
      <c r="AB1603" s="1114" t="s">
        <v>416</v>
      </c>
      <c r="AC1603" s="1117">
        <v>52.5</v>
      </c>
      <c r="AD1603" s="1115"/>
      <c r="AE1603" s="1115"/>
      <c r="AF1603" s="1115"/>
      <c r="AG1603" s="1115"/>
      <c r="AH1603" s="1115"/>
      <c r="AI1603" s="1115"/>
      <c r="AJ1603" s="1117"/>
      <c r="AK1603" s="1118"/>
      <c r="AL1603" s="1115"/>
      <c r="AM1603" s="1115"/>
      <c r="AN1603" s="1115"/>
      <c r="AO1603" s="1115"/>
      <c r="AP1603" s="1115"/>
      <c r="AQ1603" s="1115"/>
      <c r="AR1603" s="1115"/>
      <c r="AS1603" s="1117"/>
      <c r="AT1603" s="1196" t="str">
        <f t="shared" si="172"/>
        <v>10+</v>
      </c>
      <c r="AU1603" s="1193"/>
      <c r="AV1603" s="330">
        <f>SQRT(($R1603-Infrastructure!J$3)^2+($S1603-Infrastructure!K$3)^2)</f>
        <v>24.42048321</v>
      </c>
      <c r="AW1603" s="331">
        <f>SQRT(($R1603-Infrastructure!J$4)^2+($S1603-Infrastructure!K$4)^2)</f>
        <v>30.90129447</v>
      </c>
      <c r="AX1603" s="331">
        <f>SQRT(($R1603-Infrastructure!J$5)^2+($S1603-Infrastructure!K$5)^2)</f>
        <v>40.83331973</v>
      </c>
      <c r="AY1603" s="331">
        <f>SQRT(($R1603-Infrastructure!J$6)^2+($S1603-Infrastructure!K$6)^2)</f>
        <v>40.88031311</v>
      </c>
      <c r="AZ1603" s="331">
        <f>SQRT(($R1603-Infrastructure!J$7)^2+($S1603-Infrastructure!K$7)^2)</f>
        <v>39.21836305</v>
      </c>
      <c r="BA1603" s="331">
        <f>SQRT(($R1603-Infrastructure!J$8)^2+($S1603-Infrastructure!K$8)^2)</f>
        <v>40.08989898</v>
      </c>
      <c r="BB1603" s="331">
        <f>SQRT(($R1603-Infrastructure!J$9)^2+($S1603-Infrastructure!K$9)^2)</f>
        <v>38.96472764</v>
      </c>
      <c r="BC1603" s="331">
        <f>SQRT(($R1603-Infrastructure!J$10)^2+($S1603-Infrastructure!K$10)^2)</f>
        <v>30.58005886</v>
      </c>
      <c r="BD1603" s="331">
        <f>SQRT(($R1603-Infrastructure!J$11)^2+($S1603-Infrastructure!K$11)^2)</f>
        <v>21.27204739</v>
      </c>
      <c r="BE1603" s="333">
        <f>SQRT(($R1603-Infrastructure!J$12)^2+($S1603-Infrastructure!K$12)^2)</f>
        <v>16.00124995</v>
      </c>
      <c r="BF1603" s="330">
        <f t="shared" si="161"/>
        <v>16.00124995</v>
      </c>
      <c r="BG1603" s="333">
        <f t="shared" si="162"/>
        <v>40.88031311</v>
      </c>
      <c r="BH1603" s="1119"/>
      <c r="BI1603" s="319"/>
      <c r="BJ1603" s="319"/>
      <c r="BK1603" s="319"/>
      <c r="BL1603" s="319"/>
      <c r="BM1603" s="319"/>
      <c r="BN1603" s="319"/>
      <c r="BO1603" s="319"/>
      <c r="BP1603" s="953"/>
      <c r="BQ1603" s="319"/>
      <c r="BR1603" s="319"/>
      <c r="BS1603" s="330">
        <f t="shared" si="169"/>
        <v>0</v>
      </c>
      <c r="BT1603" s="331">
        <f t="shared" si="170"/>
        <v>0</v>
      </c>
      <c r="BU1603" s="920"/>
      <c r="BV1603" s="903">
        <f t="shared" si="171"/>
        <v>-0.4626157407</v>
      </c>
      <c r="BW1603" s="907"/>
      <c r="BX1603" s="908"/>
      <c r="BY1603" s="331"/>
      <c r="BZ1603" s="340"/>
      <c r="CA1603" s="316"/>
      <c r="CB1603" s="318"/>
      <c r="CC1603" s="318"/>
      <c r="CD1603" s="318"/>
      <c r="CE1603" s="318"/>
      <c r="CF1603" s="318"/>
      <c r="CG1603" s="318"/>
      <c r="CH1603" s="318"/>
      <c r="CI1603" s="318"/>
      <c r="CJ1603" s="463"/>
      <c r="CK1603" s="342"/>
      <c r="CL1603" s="333"/>
      <c r="CM1603" s="1079"/>
      <c r="CN1603" s="1005"/>
      <c r="CO1603" s="1005"/>
      <c r="CP1603" s="1005"/>
    </row>
    <row r="1604">
      <c r="B1604" s="1106" t="s">
        <v>2282</v>
      </c>
      <c r="C1604" s="1107">
        <v>44939.0</v>
      </c>
      <c r="D1604" s="103"/>
      <c r="E1604" s="1108">
        <v>8.0</v>
      </c>
      <c r="F1604" s="112" t="s">
        <v>2294</v>
      </c>
      <c r="G1604" s="1110">
        <v>0.4675347222222222</v>
      </c>
      <c r="H1604" s="1138"/>
      <c r="I1604" s="1138"/>
      <c r="J1604" s="1139"/>
      <c r="K1604" s="1111">
        <v>0.46793981481481484</v>
      </c>
      <c r="L1604" s="1112">
        <v>4.050925925925926E-4</v>
      </c>
      <c r="M1604" s="1113" t="s">
        <v>166</v>
      </c>
      <c r="N1604" s="110" t="s">
        <v>188</v>
      </c>
      <c r="O1604" s="1115" t="s">
        <v>196</v>
      </c>
      <c r="P1604" s="1115" t="s">
        <v>224</v>
      </c>
      <c r="Q1604" s="1115" t="s">
        <v>842</v>
      </c>
      <c r="R1604" s="120">
        <v>21.7</v>
      </c>
      <c r="S1604" s="1113">
        <v>39.5</v>
      </c>
      <c r="T1604" s="110">
        <v>1.3</v>
      </c>
      <c r="U1604" s="1108">
        <v>40.0</v>
      </c>
      <c r="V1604" s="1108"/>
      <c r="W1604" s="1108"/>
      <c r="X1604" s="1108"/>
      <c r="Y1604" s="1108"/>
      <c r="Z1604" s="1114" t="s">
        <v>387</v>
      </c>
      <c r="AA1604" s="1114"/>
      <c r="AB1604" s="1114" t="s">
        <v>416</v>
      </c>
      <c r="AC1604" s="1117">
        <v>52.5</v>
      </c>
      <c r="AD1604" s="1115"/>
      <c r="AE1604" s="1115"/>
      <c r="AF1604" s="1115"/>
      <c r="AG1604" s="1115"/>
      <c r="AH1604" s="1115"/>
      <c r="AI1604" s="1115"/>
      <c r="AJ1604" s="1117"/>
      <c r="AK1604" s="1118"/>
      <c r="AL1604" s="1115"/>
      <c r="AM1604" s="1115"/>
      <c r="AN1604" s="1115"/>
      <c r="AO1604" s="1115"/>
      <c r="AP1604" s="1115"/>
      <c r="AQ1604" s="1115"/>
      <c r="AR1604" s="1115"/>
      <c r="AS1604" s="1117"/>
      <c r="AT1604" s="1196" t="str">
        <f t="shared" si="172"/>
        <v>10+</v>
      </c>
      <c r="AU1604" s="1193"/>
      <c r="AV1604" s="330">
        <f>SQRT(($R1604-Infrastructure!J$3)^2+($S1604-Infrastructure!K$3)^2)</f>
        <v>24.42048321</v>
      </c>
      <c r="AW1604" s="331">
        <f>SQRT(($R1604-Infrastructure!J$4)^2+($S1604-Infrastructure!K$4)^2)</f>
        <v>30.90129447</v>
      </c>
      <c r="AX1604" s="331">
        <f>SQRT(($R1604-Infrastructure!J$5)^2+($S1604-Infrastructure!K$5)^2)</f>
        <v>40.83331973</v>
      </c>
      <c r="AY1604" s="331">
        <f>SQRT(($R1604-Infrastructure!J$6)^2+($S1604-Infrastructure!K$6)^2)</f>
        <v>40.88031311</v>
      </c>
      <c r="AZ1604" s="331">
        <f>SQRT(($R1604-Infrastructure!J$7)^2+($S1604-Infrastructure!K$7)^2)</f>
        <v>39.21836305</v>
      </c>
      <c r="BA1604" s="331">
        <f>SQRT(($R1604-Infrastructure!J$8)^2+($S1604-Infrastructure!K$8)^2)</f>
        <v>40.08989898</v>
      </c>
      <c r="BB1604" s="331">
        <f>SQRT(($R1604-Infrastructure!J$9)^2+($S1604-Infrastructure!K$9)^2)</f>
        <v>38.96472764</v>
      </c>
      <c r="BC1604" s="331">
        <f>SQRT(($R1604-Infrastructure!J$10)^2+($S1604-Infrastructure!K$10)^2)</f>
        <v>30.58005886</v>
      </c>
      <c r="BD1604" s="331">
        <f>SQRT(($R1604-Infrastructure!J$11)^2+($S1604-Infrastructure!K$11)^2)</f>
        <v>21.27204739</v>
      </c>
      <c r="BE1604" s="333">
        <f>SQRT(($R1604-Infrastructure!J$12)^2+($S1604-Infrastructure!K$12)^2)</f>
        <v>16.00124995</v>
      </c>
      <c r="BF1604" s="330">
        <f t="shared" si="161"/>
        <v>16.00124995</v>
      </c>
      <c r="BG1604" s="333">
        <f t="shared" si="162"/>
        <v>40.88031311</v>
      </c>
      <c r="BH1604" s="1119"/>
      <c r="BI1604" s="319"/>
      <c r="BJ1604" s="319"/>
      <c r="BK1604" s="319"/>
      <c r="BL1604" s="319"/>
      <c r="BM1604" s="319"/>
      <c r="BN1604" s="319"/>
      <c r="BO1604" s="319"/>
      <c r="BP1604" s="953"/>
      <c r="BQ1604" s="319"/>
      <c r="BR1604" s="319"/>
      <c r="BS1604" s="330">
        <f t="shared" si="169"/>
        <v>0</v>
      </c>
      <c r="BT1604" s="331">
        <f t="shared" si="170"/>
        <v>0</v>
      </c>
      <c r="BU1604" s="920"/>
      <c r="BV1604" s="903">
        <f t="shared" si="171"/>
        <v>-0.4675347222</v>
      </c>
      <c r="BW1604" s="907"/>
      <c r="BX1604" s="908"/>
      <c r="BY1604" s="331"/>
      <c r="BZ1604" s="340"/>
      <c r="CA1604" s="316"/>
      <c r="CB1604" s="318"/>
      <c r="CC1604" s="318"/>
      <c r="CD1604" s="318"/>
      <c r="CE1604" s="318"/>
      <c r="CF1604" s="318"/>
      <c r="CG1604" s="318"/>
      <c r="CH1604" s="318"/>
      <c r="CI1604" s="318"/>
      <c r="CJ1604" s="463"/>
      <c r="CK1604" s="342"/>
      <c r="CL1604" s="333"/>
      <c r="CM1604" s="1079"/>
      <c r="CN1604" s="1005"/>
      <c r="CO1604" s="1005"/>
      <c r="CP1604" s="1005"/>
    </row>
    <row r="1605">
      <c r="B1605" s="1106" t="s">
        <v>2282</v>
      </c>
      <c r="C1605" s="1107">
        <v>44939.0</v>
      </c>
      <c r="D1605" s="103"/>
      <c r="E1605" s="1108">
        <v>9.0</v>
      </c>
      <c r="F1605" s="112" t="s">
        <v>2295</v>
      </c>
      <c r="G1605" s="1110">
        <v>0.46869212962962964</v>
      </c>
      <c r="H1605" s="1138"/>
      <c r="I1605" s="1138"/>
      <c r="J1605" s="1139"/>
      <c r="K1605" s="1111">
        <v>0.46903935185185186</v>
      </c>
      <c r="L1605" s="1112">
        <v>3.4722222222222224E-4</v>
      </c>
      <c r="M1605" s="1113" t="s">
        <v>166</v>
      </c>
      <c r="N1605" s="110" t="s">
        <v>188</v>
      </c>
      <c r="O1605" s="1115" t="s">
        <v>196</v>
      </c>
      <c r="P1605" s="1115" t="s">
        <v>224</v>
      </c>
      <c r="Q1605" s="1115" t="s">
        <v>842</v>
      </c>
      <c r="R1605" s="120">
        <v>21.7</v>
      </c>
      <c r="S1605" s="1113">
        <v>39.5</v>
      </c>
      <c r="T1605" s="110">
        <v>1.3</v>
      </c>
      <c r="U1605" s="1108">
        <v>40.0</v>
      </c>
      <c r="V1605" s="1108"/>
      <c r="W1605" s="1108"/>
      <c r="X1605" s="1108"/>
      <c r="Y1605" s="1108"/>
      <c r="Z1605" s="1114" t="s">
        <v>387</v>
      </c>
      <c r="AA1605" s="1114"/>
      <c r="AB1605" s="1114" t="s">
        <v>416</v>
      </c>
      <c r="AC1605" s="1117">
        <v>52.5</v>
      </c>
      <c r="AD1605" s="1115"/>
      <c r="AE1605" s="1115"/>
      <c r="AF1605" s="1115"/>
      <c r="AG1605" s="1115"/>
      <c r="AH1605" s="1115"/>
      <c r="AI1605" s="1115"/>
      <c r="AJ1605" s="1117"/>
      <c r="AK1605" s="1118"/>
      <c r="AL1605" s="1115"/>
      <c r="AM1605" s="1115"/>
      <c r="AN1605" s="1115"/>
      <c r="AO1605" s="1115"/>
      <c r="AP1605" s="1115"/>
      <c r="AQ1605" s="1115"/>
      <c r="AR1605" s="1115"/>
      <c r="AS1605" s="1117"/>
      <c r="AT1605" s="1196" t="str">
        <f t="shared" si="172"/>
        <v>10+</v>
      </c>
      <c r="AU1605" s="1193"/>
      <c r="AV1605" s="330">
        <f>SQRT(($R1605-Infrastructure!J$3)^2+($S1605-Infrastructure!K$3)^2)</f>
        <v>24.42048321</v>
      </c>
      <c r="AW1605" s="331">
        <f>SQRT(($R1605-Infrastructure!J$4)^2+($S1605-Infrastructure!K$4)^2)</f>
        <v>30.90129447</v>
      </c>
      <c r="AX1605" s="331">
        <f>SQRT(($R1605-Infrastructure!J$5)^2+($S1605-Infrastructure!K$5)^2)</f>
        <v>40.83331973</v>
      </c>
      <c r="AY1605" s="331">
        <f>SQRT(($R1605-Infrastructure!J$6)^2+($S1605-Infrastructure!K$6)^2)</f>
        <v>40.88031311</v>
      </c>
      <c r="AZ1605" s="331">
        <f>SQRT(($R1605-Infrastructure!J$7)^2+($S1605-Infrastructure!K$7)^2)</f>
        <v>39.21836305</v>
      </c>
      <c r="BA1605" s="331">
        <f>SQRT(($R1605-Infrastructure!J$8)^2+($S1605-Infrastructure!K$8)^2)</f>
        <v>40.08989898</v>
      </c>
      <c r="BB1605" s="331">
        <f>SQRT(($R1605-Infrastructure!J$9)^2+($S1605-Infrastructure!K$9)^2)</f>
        <v>38.96472764</v>
      </c>
      <c r="BC1605" s="331">
        <f>SQRT(($R1605-Infrastructure!J$10)^2+($S1605-Infrastructure!K$10)^2)</f>
        <v>30.58005886</v>
      </c>
      <c r="BD1605" s="331">
        <f>SQRT(($R1605-Infrastructure!J$11)^2+($S1605-Infrastructure!K$11)^2)</f>
        <v>21.27204739</v>
      </c>
      <c r="BE1605" s="333">
        <f>SQRT(($R1605-Infrastructure!J$12)^2+($S1605-Infrastructure!K$12)^2)</f>
        <v>16.00124995</v>
      </c>
      <c r="BF1605" s="330">
        <f t="shared" si="161"/>
        <v>16.00124995</v>
      </c>
      <c r="BG1605" s="333">
        <f t="shared" si="162"/>
        <v>40.88031311</v>
      </c>
      <c r="BH1605" s="1119"/>
      <c r="BI1605" s="319"/>
      <c r="BJ1605" s="319"/>
      <c r="BK1605" s="319"/>
      <c r="BL1605" s="319"/>
      <c r="BM1605" s="319"/>
      <c r="BN1605" s="319"/>
      <c r="BO1605" s="319"/>
      <c r="BP1605" s="953"/>
      <c r="BQ1605" s="319"/>
      <c r="BR1605" s="319"/>
      <c r="BS1605" s="330">
        <f t="shared" si="169"/>
        <v>0</v>
      </c>
      <c r="BT1605" s="331">
        <f t="shared" si="170"/>
        <v>0</v>
      </c>
      <c r="BU1605" s="920"/>
      <c r="BV1605" s="903">
        <f t="shared" si="171"/>
        <v>-0.4686921296</v>
      </c>
      <c r="BW1605" s="907"/>
      <c r="BX1605" s="908"/>
      <c r="BY1605" s="331"/>
      <c r="BZ1605" s="340"/>
      <c r="CA1605" s="316"/>
      <c r="CB1605" s="318"/>
      <c r="CC1605" s="318"/>
      <c r="CD1605" s="318"/>
      <c r="CE1605" s="318"/>
      <c r="CF1605" s="318"/>
      <c r="CG1605" s="318"/>
      <c r="CH1605" s="318"/>
      <c r="CI1605" s="318"/>
      <c r="CJ1605" s="463"/>
      <c r="CK1605" s="342"/>
      <c r="CL1605" s="333"/>
      <c r="CM1605" s="1079"/>
      <c r="CN1605" s="1005"/>
      <c r="CO1605" s="1005"/>
      <c r="CP1605" s="1005"/>
    </row>
    <row r="1606">
      <c r="B1606" s="1106" t="s">
        <v>2282</v>
      </c>
      <c r="C1606" s="1107">
        <v>44939.0</v>
      </c>
      <c r="D1606" s="103"/>
      <c r="E1606" s="1108">
        <v>10.0</v>
      </c>
      <c r="F1606" s="112" t="s">
        <v>2296</v>
      </c>
      <c r="G1606" s="1110">
        <v>0.47239583333333335</v>
      </c>
      <c r="H1606" s="1138"/>
      <c r="I1606" s="1138"/>
      <c r="J1606" s="1139"/>
      <c r="K1606" s="1111">
        <v>0.47332175925925923</v>
      </c>
      <c r="L1606" s="1112">
        <v>9.25925925925926E-4</v>
      </c>
      <c r="M1606" s="1113" t="s">
        <v>166</v>
      </c>
      <c r="N1606" s="110" t="s">
        <v>188</v>
      </c>
      <c r="O1606" s="1115" t="s">
        <v>196</v>
      </c>
      <c r="P1606" s="1115" t="s">
        <v>224</v>
      </c>
      <c r="Q1606" s="1115" t="s">
        <v>842</v>
      </c>
      <c r="R1606" s="120">
        <v>21.7</v>
      </c>
      <c r="S1606" s="1113">
        <v>39.5</v>
      </c>
      <c r="T1606" s="110">
        <v>1.3</v>
      </c>
      <c r="U1606" s="1108">
        <v>40.0</v>
      </c>
      <c r="V1606" s="1108"/>
      <c r="W1606" s="1108"/>
      <c r="X1606" s="1108"/>
      <c r="Y1606" s="1108"/>
      <c r="Z1606" s="1114" t="s">
        <v>387</v>
      </c>
      <c r="AA1606" s="1114"/>
      <c r="AB1606" s="1114" t="s">
        <v>416</v>
      </c>
      <c r="AC1606" s="1117">
        <v>52.5</v>
      </c>
      <c r="AD1606" s="1115"/>
      <c r="AE1606" s="1115"/>
      <c r="AF1606" s="1115"/>
      <c r="AG1606" s="1115"/>
      <c r="AH1606" s="1115"/>
      <c r="AI1606" s="1115"/>
      <c r="AJ1606" s="1117"/>
      <c r="AK1606" s="1118"/>
      <c r="AL1606" s="1115"/>
      <c r="AM1606" s="1115"/>
      <c r="AN1606" s="1115"/>
      <c r="AO1606" s="1115"/>
      <c r="AP1606" s="1115"/>
      <c r="AQ1606" s="1115"/>
      <c r="AR1606" s="1115"/>
      <c r="AS1606" s="1117"/>
      <c r="AT1606" s="1196" t="str">
        <f t="shared" si="172"/>
        <v>10+</v>
      </c>
      <c r="AU1606" s="1193"/>
      <c r="AV1606" s="330">
        <f>SQRT(($R1606-Infrastructure!J$3)^2+($S1606-Infrastructure!K$3)^2)</f>
        <v>24.42048321</v>
      </c>
      <c r="AW1606" s="331">
        <f>SQRT(($R1606-Infrastructure!J$4)^2+($S1606-Infrastructure!K$4)^2)</f>
        <v>30.90129447</v>
      </c>
      <c r="AX1606" s="331">
        <f>SQRT(($R1606-Infrastructure!J$5)^2+($S1606-Infrastructure!K$5)^2)</f>
        <v>40.83331973</v>
      </c>
      <c r="AY1606" s="331">
        <f>SQRT(($R1606-Infrastructure!J$6)^2+($S1606-Infrastructure!K$6)^2)</f>
        <v>40.88031311</v>
      </c>
      <c r="AZ1606" s="331">
        <f>SQRT(($R1606-Infrastructure!J$7)^2+($S1606-Infrastructure!K$7)^2)</f>
        <v>39.21836305</v>
      </c>
      <c r="BA1606" s="331">
        <f>SQRT(($R1606-Infrastructure!J$8)^2+($S1606-Infrastructure!K$8)^2)</f>
        <v>40.08989898</v>
      </c>
      <c r="BB1606" s="331">
        <f>SQRT(($R1606-Infrastructure!J$9)^2+($S1606-Infrastructure!K$9)^2)</f>
        <v>38.96472764</v>
      </c>
      <c r="BC1606" s="331">
        <f>SQRT(($R1606-Infrastructure!J$10)^2+($S1606-Infrastructure!K$10)^2)</f>
        <v>30.58005886</v>
      </c>
      <c r="BD1606" s="331">
        <f>SQRT(($R1606-Infrastructure!J$11)^2+($S1606-Infrastructure!K$11)^2)</f>
        <v>21.27204739</v>
      </c>
      <c r="BE1606" s="333">
        <f>SQRT(($R1606-Infrastructure!J$12)^2+($S1606-Infrastructure!K$12)^2)</f>
        <v>16.00124995</v>
      </c>
      <c r="BF1606" s="330">
        <f t="shared" si="161"/>
        <v>16.00124995</v>
      </c>
      <c r="BG1606" s="333">
        <f t="shared" si="162"/>
        <v>40.88031311</v>
      </c>
      <c r="BH1606" s="1119"/>
      <c r="BI1606" s="319"/>
      <c r="BJ1606" s="319"/>
      <c r="BK1606" s="319"/>
      <c r="BL1606" s="319"/>
      <c r="BM1606" s="319"/>
      <c r="BN1606" s="319"/>
      <c r="BO1606" s="319"/>
      <c r="BP1606" s="953"/>
      <c r="BQ1606" s="319"/>
      <c r="BR1606" s="319"/>
      <c r="BS1606" s="330">
        <f t="shared" si="169"/>
        <v>0</v>
      </c>
      <c r="BT1606" s="331">
        <f t="shared" si="170"/>
        <v>0</v>
      </c>
      <c r="BU1606" s="920"/>
      <c r="BV1606" s="903">
        <f t="shared" si="171"/>
        <v>-0.4723958333</v>
      </c>
      <c r="BW1606" s="907"/>
      <c r="BX1606" s="908"/>
      <c r="BY1606" s="331"/>
      <c r="BZ1606" s="340"/>
      <c r="CA1606" s="316"/>
      <c r="CB1606" s="318"/>
      <c r="CC1606" s="318"/>
      <c r="CD1606" s="318"/>
      <c r="CE1606" s="318"/>
      <c r="CF1606" s="318"/>
      <c r="CG1606" s="318"/>
      <c r="CH1606" s="318"/>
      <c r="CI1606" s="318"/>
      <c r="CJ1606" s="463"/>
      <c r="CK1606" s="342"/>
      <c r="CL1606" s="333"/>
      <c r="CM1606" s="1079"/>
      <c r="CN1606" s="1005"/>
      <c r="CO1606" s="1005"/>
      <c r="CP1606" s="1005"/>
    </row>
    <row r="1607">
      <c r="B1607" s="1106" t="s">
        <v>2282</v>
      </c>
      <c r="C1607" s="1107">
        <v>44939.0</v>
      </c>
      <c r="D1607" s="103"/>
      <c r="E1607" s="1108">
        <v>11.0</v>
      </c>
      <c r="F1607" s="112" t="s">
        <v>2297</v>
      </c>
      <c r="G1607" s="1110">
        <v>0.47575231481481484</v>
      </c>
      <c r="H1607" s="1110">
        <v>0.47627314814814814</v>
      </c>
      <c r="I1607" s="1110"/>
      <c r="J1607" s="1111"/>
      <c r="K1607" s="1111">
        <v>0.47708333333333336</v>
      </c>
      <c r="L1607" s="1112">
        <v>8.101851851851852E-4</v>
      </c>
      <c r="M1607" s="1113" t="s">
        <v>166</v>
      </c>
      <c r="N1607" s="110" t="s">
        <v>188</v>
      </c>
      <c r="O1607" s="1115" t="s">
        <v>196</v>
      </c>
      <c r="P1607" s="1115" t="s">
        <v>224</v>
      </c>
      <c r="Q1607" s="1115" t="s">
        <v>842</v>
      </c>
      <c r="R1607" s="120">
        <v>21.7</v>
      </c>
      <c r="S1607" s="1113">
        <v>39.5</v>
      </c>
      <c r="T1607" s="110">
        <v>1.3</v>
      </c>
      <c r="U1607" s="1108">
        <v>40.0</v>
      </c>
      <c r="V1607" s="1108"/>
      <c r="W1607" s="1108"/>
      <c r="X1607" s="1108"/>
      <c r="Y1607" s="1108"/>
      <c r="Z1607" s="1114" t="s">
        <v>387</v>
      </c>
      <c r="AA1607" s="1114"/>
      <c r="AB1607" s="1114" t="s">
        <v>416</v>
      </c>
      <c r="AC1607" s="1117">
        <v>52.5</v>
      </c>
      <c r="AD1607" s="1115"/>
      <c r="AE1607" s="1115"/>
      <c r="AF1607" s="1115"/>
      <c r="AG1607" s="1115"/>
      <c r="AH1607" s="1115"/>
      <c r="AI1607" s="1115"/>
      <c r="AJ1607" s="1117"/>
      <c r="AK1607" s="1118"/>
      <c r="AL1607" s="1115"/>
      <c r="AM1607" s="1115"/>
      <c r="AN1607" s="1115"/>
      <c r="AO1607" s="1115"/>
      <c r="AP1607" s="1115"/>
      <c r="AQ1607" s="1115"/>
      <c r="AR1607" s="1115"/>
      <c r="AS1607" s="1117"/>
      <c r="AT1607" s="1196" t="str">
        <f t="shared" si="172"/>
        <v>10+</v>
      </c>
      <c r="AU1607" s="1193"/>
      <c r="AV1607" s="330">
        <f>SQRT(($R1607-Infrastructure!J$3)^2+($S1607-Infrastructure!K$3)^2)</f>
        <v>24.42048321</v>
      </c>
      <c r="AW1607" s="331">
        <f>SQRT(($R1607-Infrastructure!J$4)^2+($S1607-Infrastructure!K$4)^2)</f>
        <v>30.90129447</v>
      </c>
      <c r="AX1607" s="331">
        <f>SQRT(($R1607-Infrastructure!J$5)^2+($S1607-Infrastructure!K$5)^2)</f>
        <v>40.83331973</v>
      </c>
      <c r="AY1607" s="331">
        <f>SQRT(($R1607-Infrastructure!J$6)^2+($S1607-Infrastructure!K$6)^2)</f>
        <v>40.88031311</v>
      </c>
      <c r="AZ1607" s="331">
        <f>SQRT(($R1607-Infrastructure!J$7)^2+($S1607-Infrastructure!K$7)^2)</f>
        <v>39.21836305</v>
      </c>
      <c r="BA1607" s="331">
        <f>SQRT(($R1607-Infrastructure!J$8)^2+($S1607-Infrastructure!K$8)^2)</f>
        <v>40.08989898</v>
      </c>
      <c r="BB1607" s="331">
        <f>SQRT(($R1607-Infrastructure!J$9)^2+($S1607-Infrastructure!K$9)^2)</f>
        <v>38.96472764</v>
      </c>
      <c r="BC1607" s="331">
        <f>SQRT(($R1607-Infrastructure!J$10)^2+($S1607-Infrastructure!K$10)^2)</f>
        <v>30.58005886</v>
      </c>
      <c r="BD1607" s="331">
        <f>SQRT(($R1607-Infrastructure!J$11)^2+($S1607-Infrastructure!K$11)^2)</f>
        <v>21.27204739</v>
      </c>
      <c r="BE1607" s="333">
        <f>SQRT(($R1607-Infrastructure!J$12)^2+($S1607-Infrastructure!K$12)^2)</f>
        <v>16.00124995</v>
      </c>
      <c r="BF1607" s="330">
        <f t="shared" si="161"/>
        <v>16.00124995</v>
      </c>
      <c r="BG1607" s="333">
        <f t="shared" si="162"/>
        <v>40.88031311</v>
      </c>
      <c r="BH1607" s="1119"/>
      <c r="BI1607" s="319"/>
      <c r="BJ1607" s="319"/>
      <c r="BK1607" s="319"/>
      <c r="BL1607" s="319"/>
      <c r="BM1607" s="319"/>
      <c r="BN1607" s="319"/>
      <c r="BO1607" s="319"/>
      <c r="BP1607" s="953"/>
      <c r="BQ1607" s="319"/>
      <c r="BR1607" s="319"/>
      <c r="BS1607" s="330">
        <f t="shared" si="169"/>
        <v>0</v>
      </c>
      <c r="BT1607" s="331">
        <f t="shared" si="170"/>
        <v>0</v>
      </c>
      <c r="BU1607" s="920"/>
      <c r="BV1607" s="903">
        <f t="shared" si="171"/>
        <v>-0.4757523148</v>
      </c>
      <c r="BW1607" s="907"/>
      <c r="BX1607" s="908"/>
      <c r="BY1607" s="331"/>
      <c r="BZ1607" s="340"/>
      <c r="CA1607" s="316"/>
      <c r="CB1607" s="318"/>
      <c r="CC1607" s="318"/>
      <c r="CD1607" s="318"/>
      <c r="CE1607" s="318"/>
      <c r="CF1607" s="318"/>
      <c r="CG1607" s="318"/>
      <c r="CH1607" s="318"/>
      <c r="CI1607" s="318"/>
      <c r="CJ1607" s="463"/>
      <c r="CK1607" s="342"/>
      <c r="CL1607" s="333"/>
      <c r="CM1607" s="1079"/>
      <c r="CN1607" s="1005"/>
      <c r="CO1607" s="1005"/>
      <c r="CP1607" s="1005"/>
    </row>
    <row r="1608">
      <c r="B1608" s="1106" t="s">
        <v>2282</v>
      </c>
      <c r="C1608" s="1107">
        <v>44939.0</v>
      </c>
      <c r="D1608" s="103"/>
      <c r="E1608" s="1108">
        <v>12.0</v>
      </c>
      <c r="F1608" s="112" t="s">
        <v>2298</v>
      </c>
      <c r="G1608" s="1110">
        <v>0.48211805555555554</v>
      </c>
      <c r="H1608" s="1110">
        <v>0.4825231481481482</v>
      </c>
      <c r="I1608" s="1110"/>
      <c r="J1608" s="1111"/>
      <c r="K1608" s="1111">
        <v>0.4837384259259259</v>
      </c>
      <c r="L1608" s="1112">
        <v>0.0012152777777777778</v>
      </c>
      <c r="M1608" s="1113" t="s">
        <v>166</v>
      </c>
      <c r="N1608" s="110" t="s">
        <v>188</v>
      </c>
      <c r="O1608" s="1115" t="s">
        <v>196</v>
      </c>
      <c r="P1608" s="1115" t="s">
        <v>224</v>
      </c>
      <c r="Q1608" s="1115" t="s">
        <v>842</v>
      </c>
      <c r="R1608" s="120">
        <v>21.7</v>
      </c>
      <c r="S1608" s="1113">
        <v>39.5</v>
      </c>
      <c r="T1608" s="110">
        <v>1.3</v>
      </c>
      <c r="U1608" s="1108">
        <v>35.0</v>
      </c>
      <c r="V1608" s="1108"/>
      <c r="W1608" s="1108"/>
      <c r="X1608" s="1108"/>
      <c r="Y1608" s="1108"/>
      <c r="Z1608" s="1114" t="s">
        <v>387</v>
      </c>
      <c r="AA1608" s="1114"/>
      <c r="AB1608" s="1114" t="s">
        <v>416</v>
      </c>
      <c r="AC1608" s="1117">
        <v>52.5</v>
      </c>
      <c r="AD1608" s="1115"/>
      <c r="AE1608" s="1115"/>
      <c r="AF1608" s="1115"/>
      <c r="AG1608" s="1115"/>
      <c r="AH1608" s="1115"/>
      <c r="AI1608" s="1115"/>
      <c r="AJ1608" s="1117"/>
      <c r="AK1608" s="1118"/>
      <c r="AL1608" s="1115"/>
      <c r="AM1608" s="1115"/>
      <c r="AN1608" s="1115"/>
      <c r="AO1608" s="1115"/>
      <c r="AP1608" s="1115"/>
      <c r="AQ1608" s="1115"/>
      <c r="AR1608" s="1115"/>
      <c r="AS1608" s="1117"/>
      <c r="AT1608" s="1196" t="str">
        <f t="shared" si="172"/>
        <v>10+</v>
      </c>
      <c r="AU1608" s="1193"/>
      <c r="AV1608" s="330">
        <f>SQRT(($R1608-Infrastructure!J$3)^2+($S1608-Infrastructure!K$3)^2)</f>
        <v>24.42048321</v>
      </c>
      <c r="AW1608" s="331">
        <f>SQRT(($R1608-Infrastructure!J$4)^2+($S1608-Infrastructure!K$4)^2)</f>
        <v>30.90129447</v>
      </c>
      <c r="AX1608" s="331">
        <f>SQRT(($R1608-Infrastructure!J$5)^2+($S1608-Infrastructure!K$5)^2)</f>
        <v>40.83331973</v>
      </c>
      <c r="AY1608" s="331">
        <f>SQRT(($R1608-Infrastructure!J$6)^2+($S1608-Infrastructure!K$6)^2)</f>
        <v>40.88031311</v>
      </c>
      <c r="AZ1608" s="331">
        <f>SQRT(($R1608-Infrastructure!J$7)^2+($S1608-Infrastructure!K$7)^2)</f>
        <v>39.21836305</v>
      </c>
      <c r="BA1608" s="331">
        <f>SQRT(($R1608-Infrastructure!J$8)^2+($S1608-Infrastructure!K$8)^2)</f>
        <v>40.08989898</v>
      </c>
      <c r="BB1608" s="331">
        <f>SQRT(($R1608-Infrastructure!J$9)^2+($S1608-Infrastructure!K$9)^2)</f>
        <v>38.96472764</v>
      </c>
      <c r="BC1608" s="331">
        <f>SQRT(($R1608-Infrastructure!J$10)^2+($S1608-Infrastructure!K$10)^2)</f>
        <v>30.58005886</v>
      </c>
      <c r="BD1608" s="331">
        <f>SQRT(($R1608-Infrastructure!J$11)^2+($S1608-Infrastructure!K$11)^2)</f>
        <v>21.27204739</v>
      </c>
      <c r="BE1608" s="333">
        <f>SQRT(($R1608-Infrastructure!J$12)^2+($S1608-Infrastructure!K$12)^2)</f>
        <v>16.00124995</v>
      </c>
      <c r="BF1608" s="330">
        <f t="shared" si="161"/>
        <v>16.00124995</v>
      </c>
      <c r="BG1608" s="333">
        <f t="shared" si="162"/>
        <v>40.88031311</v>
      </c>
      <c r="BH1608" s="1119"/>
      <c r="BI1608" s="319"/>
      <c r="BJ1608" s="319"/>
      <c r="BK1608" s="319"/>
      <c r="BL1608" s="319"/>
      <c r="BM1608" s="319"/>
      <c r="BN1608" s="319"/>
      <c r="BO1608" s="319"/>
      <c r="BP1608" s="953"/>
      <c r="BQ1608" s="319"/>
      <c r="BR1608" s="319"/>
      <c r="BS1608" s="330">
        <f t="shared" si="169"/>
        <v>0</v>
      </c>
      <c r="BT1608" s="331">
        <f t="shared" si="170"/>
        <v>0</v>
      </c>
      <c r="BU1608" s="920"/>
      <c r="BV1608" s="903">
        <f t="shared" si="171"/>
        <v>-0.4821180556</v>
      </c>
      <c r="BW1608" s="907"/>
      <c r="BX1608" s="908"/>
      <c r="BY1608" s="331"/>
      <c r="BZ1608" s="340"/>
      <c r="CA1608" s="316"/>
      <c r="CB1608" s="318"/>
      <c r="CC1608" s="318"/>
      <c r="CD1608" s="318"/>
      <c r="CE1608" s="318"/>
      <c r="CF1608" s="318"/>
      <c r="CG1608" s="318"/>
      <c r="CH1608" s="318"/>
      <c r="CI1608" s="318"/>
      <c r="CJ1608" s="463"/>
      <c r="CK1608" s="342"/>
      <c r="CL1608" s="333"/>
      <c r="CM1608" s="1079"/>
      <c r="CN1608" s="1005"/>
      <c r="CO1608" s="1005"/>
      <c r="CP1608" s="1005"/>
    </row>
    <row r="1609">
      <c r="A1609" s="634"/>
      <c r="B1609" s="1121" t="s">
        <v>2282</v>
      </c>
      <c r="C1609" s="1122">
        <v>44939.0</v>
      </c>
      <c r="D1609" s="1123"/>
      <c r="E1609" s="1144"/>
      <c r="F1609" s="108" t="s">
        <v>2299</v>
      </c>
      <c r="G1609" s="1126">
        <v>0.48854166666666665</v>
      </c>
      <c r="H1609" s="1145"/>
      <c r="I1609" s="1145"/>
      <c r="J1609" s="1146"/>
      <c r="K1609" s="1127">
        <v>0.4907986111111111</v>
      </c>
      <c r="L1609" s="1128">
        <v>0.0022569444444444442</v>
      </c>
      <c r="M1609" s="1129" t="s">
        <v>358</v>
      </c>
      <c r="N1609" s="100" t="s">
        <v>188</v>
      </c>
      <c r="O1609" s="1161"/>
      <c r="P1609" s="1131" t="s">
        <v>294</v>
      </c>
      <c r="Q1609" s="1132"/>
      <c r="R1609" s="1148"/>
      <c r="S1609" s="1149"/>
      <c r="T1609" s="1150"/>
      <c r="U1609" s="1144"/>
      <c r="V1609" s="1144"/>
      <c r="W1609" s="1144"/>
      <c r="X1609" s="1144"/>
      <c r="Y1609" s="1144"/>
      <c r="Z1609" s="1130" t="s">
        <v>323</v>
      </c>
      <c r="AA1609" s="1130"/>
      <c r="AB1609" s="1130" t="s">
        <v>323</v>
      </c>
      <c r="AC1609" s="1133" t="s">
        <v>323</v>
      </c>
      <c r="AD1609" s="1131"/>
      <c r="AE1609" s="1131"/>
      <c r="AF1609" s="1131"/>
      <c r="AG1609" s="1131"/>
      <c r="AH1609" s="1131"/>
      <c r="AI1609" s="1131"/>
      <c r="AJ1609" s="1133"/>
      <c r="AK1609" s="1134"/>
      <c r="AL1609" s="1131"/>
      <c r="AM1609" s="1131"/>
      <c r="AN1609" s="1131"/>
      <c r="AO1609" s="1131"/>
      <c r="AP1609" s="1131"/>
      <c r="AQ1609" s="1131"/>
      <c r="AR1609" s="1131"/>
      <c r="AS1609" s="1133"/>
      <c r="AT1609" s="1197" t="str">
        <f t="shared" si="172"/>
        <v/>
      </c>
      <c r="AU1609" s="1194"/>
      <c r="AV1609" s="330">
        <f>SQRT(($R1609-Infrastructure!J$3)^2+($S1609-Infrastructure!K$3)^2)</f>
        <v>28.90155705</v>
      </c>
      <c r="AW1609" s="331">
        <f>SQRT(($R1609-Infrastructure!J$4)^2+($S1609-Infrastructure!K$4)^2)</f>
        <v>17.80252791</v>
      </c>
      <c r="AX1609" s="331">
        <f>SQRT(($R1609-Infrastructure!J$5)^2+($S1609-Infrastructure!K$5)^2)</f>
        <v>5.10881591</v>
      </c>
      <c r="AY1609" s="331">
        <f>SQRT(($R1609-Infrastructure!J$6)^2+($S1609-Infrastructure!K$6)^2)</f>
        <v>10.10445446</v>
      </c>
      <c r="AZ1609" s="331">
        <f>SQRT(($R1609-Infrastructure!J$7)^2+($S1609-Infrastructure!K$7)^2)</f>
        <v>20.502195</v>
      </c>
      <c r="BA1609" s="331">
        <f>SQRT(($R1609-Infrastructure!J$8)^2+($S1609-Infrastructure!K$8)^2)</f>
        <v>30.10149498</v>
      </c>
      <c r="BB1609" s="331">
        <f>SQRT(($R1609-Infrastructure!J$9)^2+($S1609-Infrastructure!K$9)^2)</f>
        <v>40.3238143</v>
      </c>
      <c r="BC1609" s="331">
        <f>SQRT(($R1609-Infrastructure!J$10)^2+($S1609-Infrastructure!K$10)^2)</f>
        <v>42.72001873</v>
      </c>
      <c r="BD1609" s="331">
        <f>SQRT(($R1609-Infrastructure!J$11)^2+($S1609-Infrastructure!K$11)^2)</f>
        <v>49.56853841</v>
      </c>
      <c r="BE1609" s="333">
        <f>SQRT(($R1609-Infrastructure!J$12)^2+($S1609-Infrastructure!K$12)^2)</f>
        <v>59.51890456</v>
      </c>
      <c r="BF1609" s="330">
        <f t="shared" si="161"/>
        <v>5.10881591</v>
      </c>
      <c r="BG1609" s="333">
        <f t="shared" si="162"/>
        <v>59.51890456</v>
      </c>
      <c r="BH1609" s="1135"/>
      <c r="BI1609" s="663"/>
      <c r="BJ1609" s="663"/>
      <c r="BK1609" s="663"/>
      <c r="BL1609" s="663"/>
      <c r="BM1609" s="663"/>
      <c r="BN1609" s="663"/>
      <c r="BO1609" s="663"/>
      <c r="BP1609" s="958"/>
      <c r="BQ1609" s="663"/>
      <c r="BR1609" s="663"/>
      <c r="BS1609" s="330">
        <f t="shared" si="169"/>
        <v>0</v>
      </c>
      <c r="BT1609" s="331">
        <f t="shared" si="170"/>
        <v>0</v>
      </c>
      <c r="BU1609" s="920"/>
      <c r="BV1609" s="903">
        <f t="shared" si="171"/>
        <v>-0.4885416667</v>
      </c>
      <c r="BW1609" s="938"/>
      <c r="BX1609" s="939"/>
      <c r="BY1609" s="641"/>
      <c r="BZ1609" s="742"/>
      <c r="CA1609" s="639"/>
      <c r="CB1609" s="640"/>
      <c r="CC1609" s="640"/>
      <c r="CD1609" s="640"/>
      <c r="CE1609" s="640"/>
      <c r="CF1609" s="640"/>
      <c r="CG1609" s="640"/>
      <c r="CH1609" s="640"/>
      <c r="CI1609" s="640"/>
      <c r="CJ1609" s="785"/>
      <c r="CK1609" s="743"/>
      <c r="CL1609" s="642"/>
      <c r="CM1609" s="1090"/>
      <c r="CN1609" s="1005"/>
      <c r="CO1609" s="1005"/>
      <c r="CP1609" s="1005"/>
    </row>
    <row r="1610">
      <c r="A1610" s="1162" t="s">
        <v>65</v>
      </c>
      <c r="B1610" s="1106" t="s">
        <v>1916</v>
      </c>
      <c r="C1610" s="1107">
        <v>44949.0</v>
      </c>
      <c r="D1610" s="103"/>
      <c r="E1610" s="1108">
        <v>1.0</v>
      </c>
      <c r="F1610" s="112" t="s">
        <v>2300</v>
      </c>
      <c r="G1610" s="1110">
        <v>0.6830439814814815</v>
      </c>
      <c r="H1610" s="1110">
        <v>0.6835069444444445</v>
      </c>
      <c r="I1610" s="1110"/>
      <c r="J1610" s="1111"/>
      <c r="K1610" s="1111">
        <v>0.6850115740740741</v>
      </c>
      <c r="L1610" s="1112">
        <v>0.0015046296296296296</v>
      </c>
      <c r="M1610" s="1113" t="s">
        <v>166</v>
      </c>
      <c r="N1610" s="110" t="s">
        <v>188</v>
      </c>
      <c r="O1610" s="1115" t="s">
        <v>196</v>
      </c>
      <c r="P1610" s="1115" t="s">
        <v>224</v>
      </c>
      <c r="Q1610" s="1115" t="s">
        <v>842</v>
      </c>
      <c r="R1610" s="120">
        <v>21.7</v>
      </c>
      <c r="S1610" s="1113">
        <v>39.5</v>
      </c>
      <c r="T1610" s="110">
        <v>1.3</v>
      </c>
      <c r="U1610" s="1108">
        <v>20.0</v>
      </c>
      <c r="V1610" s="1108"/>
      <c r="W1610" s="1108"/>
      <c r="X1610" s="1108"/>
      <c r="Y1610" s="1108"/>
      <c r="Z1610" s="1114" t="s">
        <v>387</v>
      </c>
      <c r="AA1610" s="1114"/>
      <c r="AB1610" s="1114" t="s">
        <v>416</v>
      </c>
      <c r="AC1610" s="1117">
        <v>52.5</v>
      </c>
      <c r="AD1610" s="1115"/>
      <c r="AE1610" s="1115"/>
      <c r="AF1610" s="1115"/>
      <c r="AG1610" s="1115"/>
      <c r="AH1610" s="1115"/>
      <c r="AI1610" s="1115"/>
      <c r="AJ1610" s="1117"/>
      <c r="AK1610" s="1118"/>
      <c r="AL1610" s="1115"/>
      <c r="AM1610" s="1115"/>
      <c r="AN1610" s="1115"/>
      <c r="AO1610" s="1115"/>
      <c r="AP1610" s="1115"/>
      <c r="AQ1610" s="1115"/>
      <c r="AR1610" s="1115"/>
      <c r="AS1610" s="1117"/>
      <c r="AT1610" s="1196" t="str">
        <f t="shared" si="172"/>
        <v>10+</v>
      </c>
      <c r="AU1610" s="1193"/>
      <c r="AV1610" s="330">
        <f>SQRT(($R1610-Infrastructure!J$3)^2+($S1610-Infrastructure!K$3)^2)</f>
        <v>24.42048321</v>
      </c>
      <c r="AW1610" s="331">
        <f>SQRT(($R1610-Infrastructure!J$4)^2+($S1610-Infrastructure!K$4)^2)</f>
        <v>30.90129447</v>
      </c>
      <c r="AX1610" s="331">
        <f>SQRT(($R1610-Infrastructure!J$5)^2+($S1610-Infrastructure!K$5)^2)</f>
        <v>40.83331973</v>
      </c>
      <c r="AY1610" s="331">
        <f>SQRT(($R1610-Infrastructure!J$6)^2+($S1610-Infrastructure!K$6)^2)</f>
        <v>40.88031311</v>
      </c>
      <c r="AZ1610" s="331">
        <f>SQRT(($R1610-Infrastructure!J$7)^2+($S1610-Infrastructure!K$7)^2)</f>
        <v>39.21836305</v>
      </c>
      <c r="BA1610" s="331">
        <f>SQRT(($R1610-Infrastructure!J$8)^2+($S1610-Infrastructure!K$8)^2)</f>
        <v>40.08989898</v>
      </c>
      <c r="BB1610" s="331">
        <f>SQRT(($R1610-Infrastructure!J$9)^2+($S1610-Infrastructure!K$9)^2)</f>
        <v>38.96472764</v>
      </c>
      <c r="BC1610" s="331">
        <f>SQRT(($R1610-Infrastructure!J$10)^2+($S1610-Infrastructure!K$10)^2)</f>
        <v>30.58005886</v>
      </c>
      <c r="BD1610" s="331">
        <f>SQRT(($R1610-Infrastructure!J$11)^2+($S1610-Infrastructure!K$11)^2)</f>
        <v>21.27204739</v>
      </c>
      <c r="BE1610" s="333">
        <f>SQRT(($R1610-Infrastructure!J$12)^2+($S1610-Infrastructure!K$12)^2)</f>
        <v>16.00124995</v>
      </c>
      <c r="BF1610" s="330">
        <f t="shared" si="161"/>
        <v>16.00124995</v>
      </c>
      <c r="BG1610" s="333">
        <f t="shared" si="162"/>
        <v>40.88031311</v>
      </c>
      <c r="BH1610" s="1119"/>
      <c r="BI1610" s="319"/>
      <c r="BJ1610" s="319"/>
      <c r="BK1610" s="319"/>
      <c r="BL1610" s="319"/>
      <c r="BM1610" s="319"/>
      <c r="BN1610" s="319"/>
      <c r="BO1610" s="319"/>
      <c r="BP1610" s="953"/>
      <c r="BQ1610" s="319"/>
      <c r="BR1610" s="319"/>
      <c r="BS1610" s="405">
        <f t="shared" si="169"/>
        <v>0</v>
      </c>
      <c r="BT1610" s="406">
        <f t="shared" si="170"/>
        <v>0</v>
      </c>
      <c r="BU1610" s="931"/>
      <c r="BV1610" s="901">
        <f t="shared" si="171"/>
        <v>-0.6830439815</v>
      </c>
      <c r="BW1610" s="907"/>
      <c r="BX1610" s="908"/>
      <c r="BY1610" s="331"/>
      <c r="BZ1610" s="340"/>
      <c r="CA1610" s="316"/>
      <c r="CB1610" s="318"/>
      <c r="CC1610" s="318"/>
      <c r="CD1610" s="318"/>
      <c r="CE1610" s="318"/>
      <c r="CF1610" s="318"/>
      <c r="CG1610" s="318"/>
      <c r="CH1610" s="318"/>
      <c r="CI1610" s="318"/>
      <c r="CJ1610" s="463"/>
      <c r="CK1610" s="342"/>
      <c r="CL1610" s="333"/>
      <c r="CM1610" s="1079"/>
      <c r="CN1610" s="1005"/>
      <c r="CO1610" s="1005"/>
      <c r="CP1610" s="1005"/>
    </row>
    <row r="1611">
      <c r="B1611" s="1106" t="s">
        <v>1916</v>
      </c>
      <c r="C1611" s="1107">
        <v>44949.0</v>
      </c>
      <c r="D1611" s="103"/>
      <c r="E1611" s="1108">
        <v>2.0</v>
      </c>
      <c r="F1611" s="112" t="s">
        <v>2301</v>
      </c>
      <c r="G1611" s="1110">
        <v>0.6898148148148148</v>
      </c>
      <c r="H1611" s="1110">
        <v>0.6900462962962963</v>
      </c>
      <c r="I1611" s="1110"/>
      <c r="J1611" s="1111"/>
      <c r="K1611" s="1111">
        <v>0.6902777777777778</v>
      </c>
      <c r="L1611" s="1112">
        <v>2.314814814814815E-4</v>
      </c>
      <c r="M1611" s="1113" t="s">
        <v>166</v>
      </c>
      <c r="N1611" s="110" t="s">
        <v>188</v>
      </c>
      <c r="O1611" s="1115" t="s">
        <v>378</v>
      </c>
      <c r="P1611" s="1115" t="s">
        <v>225</v>
      </c>
      <c r="Q1611" s="1115" t="s">
        <v>842</v>
      </c>
      <c r="R1611" s="120">
        <v>22.7</v>
      </c>
      <c r="S1611" s="1113">
        <v>39.7</v>
      </c>
      <c r="T1611" s="110">
        <v>1.1</v>
      </c>
      <c r="U1611" s="1108">
        <v>10.0</v>
      </c>
      <c r="V1611" s="1108"/>
      <c r="W1611" s="1108"/>
      <c r="X1611" s="1108"/>
      <c r="Y1611" s="1108"/>
      <c r="Z1611" s="1114" t="s">
        <v>1140</v>
      </c>
      <c r="AA1611" s="1114"/>
      <c r="AB1611" s="1114" t="s">
        <v>398</v>
      </c>
      <c r="AC1611" s="1117">
        <v>6.0</v>
      </c>
      <c r="AD1611" s="1115"/>
      <c r="AE1611" s="1115"/>
      <c r="AF1611" s="1115"/>
      <c r="AG1611" s="1115"/>
      <c r="AH1611" s="1115"/>
      <c r="AI1611" s="1115"/>
      <c r="AJ1611" s="1117"/>
      <c r="AK1611" s="1118"/>
      <c r="AL1611" s="1115"/>
      <c r="AM1611" s="1115"/>
      <c r="AN1611" s="1115"/>
      <c r="AO1611" s="1115"/>
      <c r="AP1611" s="1115"/>
      <c r="AQ1611" s="1115"/>
      <c r="AR1611" s="1115"/>
      <c r="AS1611" s="1117"/>
      <c r="AT1611" s="1196" t="str">
        <f t="shared" si="172"/>
        <v>10+</v>
      </c>
      <c r="AU1611" s="1193"/>
      <c r="AV1611" s="330">
        <f>SQRT(($R1611-Infrastructure!J$3)^2+($S1611-Infrastructure!K$3)^2)</f>
        <v>25.40944706</v>
      </c>
      <c r="AW1611" s="331">
        <f>SQRT(($R1611-Infrastructure!J$4)^2+($S1611-Infrastructure!K$4)^2)</f>
        <v>31.75862088</v>
      </c>
      <c r="AX1611" s="331">
        <f>SQRT(($R1611-Infrastructure!J$5)^2+($S1611-Infrastructure!K$5)^2)</f>
        <v>41.54708173</v>
      </c>
      <c r="AY1611" s="331">
        <f>SQRT(($R1611-Infrastructure!J$6)^2+($S1611-Infrastructure!K$6)^2)</f>
        <v>41.36568626</v>
      </c>
      <c r="AZ1611" s="331">
        <f>SQRT(($R1611-Infrastructure!J$7)^2+($S1611-Infrastructure!K$7)^2)</f>
        <v>39.46137352</v>
      </c>
      <c r="BA1611" s="331">
        <f>SQRT(($R1611-Infrastructure!J$8)^2+($S1611-Infrastructure!K$8)^2)</f>
        <v>40.08890121</v>
      </c>
      <c r="BB1611" s="331">
        <f>SQRT(($R1611-Infrastructure!J$9)^2+($S1611-Infrastructure!K$9)^2)</f>
        <v>38.68397601</v>
      </c>
      <c r="BC1611" s="331">
        <f>SQRT(($R1611-Infrastructure!J$10)^2+($S1611-Infrastructure!K$10)^2)</f>
        <v>30.15592811</v>
      </c>
      <c r="BD1611" s="331">
        <f>SQRT(($R1611-Infrastructure!J$11)^2+($S1611-Infrastructure!K$11)^2)</f>
        <v>20.51194774</v>
      </c>
      <c r="BE1611" s="333">
        <f>SQRT(($R1611-Infrastructure!J$12)^2+($S1611-Infrastructure!K$12)^2)</f>
        <v>15.84550409</v>
      </c>
      <c r="BF1611" s="330">
        <f t="shared" si="161"/>
        <v>15.84550409</v>
      </c>
      <c r="BG1611" s="333">
        <f t="shared" si="162"/>
        <v>41.54708173</v>
      </c>
      <c r="BH1611" s="1119"/>
      <c r="BI1611" s="319"/>
      <c r="BJ1611" s="319"/>
      <c r="BK1611" s="319"/>
      <c r="BL1611" s="319"/>
      <c r="BM1611" s="319"/>
      <c r="BN1611" s="319"/>
      <c r="BO1611" s="319"/>
      <c r="BP1611" s="953"/>
      <c r="BQ1611" s="319"/>
      <c r="BR1611" s="319"/>
      <c r="BS1611" s="330">
        <f t="shared" si="169"/>
        <v>0</v>
      </c>
      <c r="BT1611" s="331">
        <f t="shared" si="170"/>
        <v>0</v>
      </c>
      <c r="BU1611" s="920"/>
      <c r="BV1611" s="903">
        <f t="shared" si="171"/>
        <v>-0.6898148148</v>
      </c>
      <c r="BW1611" s="907"/>
      <c r="BX1611" s="908"/>
      <c r="BY1611" s="331"/>
      <c r="BZ1611" s="340"/>
      <c r="CA1611" s="316"/>
      <c r="CB1611" s="318"/>
      <c r="CC1611" s="318"/>
      <c r="CD1611" s="318"/>
      <c r="CE1611" s="318"/>
      <c r="CF1611" s="318"/>
      <c r="CG1611" s="318"/>
      <c r="CH1611" s="318"/>
      <c r="CI1611" s="318"/>
      <c r="CJ1611" s="463"/>
      <c r="CK1611" s="342"/>
      <c r="CL1611" s="333"/>
      <c r="CM1611" s="1079"/>
      <c r="CN1611" s="1005"/>
      <c r="CO1611" s="1005"/>
      <c r="CP1611" s="1005"/>
    </row>
    <row r="1612">
      <c r="B1612" s="1106" t="s">
        <v>1916</v>
      </c>
      <c r="C1612" s="1107">
        <v>44949.0</v>
      </c>
      <c r="D1612" s="103"/>
      <c r="E1612" s="1108">
        <v>3.0</v>
      </c>
      <c r="F1612" s="112" t="s">
        <v>2302</v>
      </c>
      <c r="G1612" s="1110">
        <v>0.6912615740740741</v>
      </c>
      <c r="H1612" s="1138"/>
      <c r="I1612" s="1138"/>
      <c r="J1612" s="1139"/>
      <c r="K1612" s="1111">
        <v>0.6916087962962963</v>
      </c>
      <c r="L1612" s="1112">
        <v>3.4722222222222224E-4</v>
      </c>
      <c r="M1612" s="1113" t="s">
        <v>166</v>
      </c>
      <c r="N1612" s="110" t="s">
        <v>188</v>
      </c>
      <c r="O1612" s="1115" t="s">
        <v>378</v>
      </c>
      <c r="P1612" s="1115" t="s">
        <v>225</v>
      </c>
      <c r="Q1612" s="1115" t="s">
        <v>842</v>
      </c>
      <c r="R1612" s="120">
        <v>22.7</v>
      </c>
      <c r="S1612" s="1113">
        <v>39.7</v>
      </c>
      <c r="T1612" s="110">
        <v>1.1</v>
      </c>
      <c r="U1612" s="1108">
        <v>14.0</v>
      </c>
      <c r="V1612" s="1108"/>
      <c r="W1612" s="1108"/>
      <c r="X1612" s="1108"/>
      <c r="Y1612" s="1108"/>
      <c r="Z1612" s="1114" t="s">
        <v>1140</v>
      </c>
      <c r="AA1612" s="1114"/>
      <c r="AB1612" s="1114" t="s">
        <v>398</v>
      </c>
      <c r="AC1612" s="1117">
        <v>6.0</v>
      </c>
      <c r="AD1612" s="1115"/>
      <c r="AE1612" s="1115"/>
      <c r="AF1612" s="1115"/>
      <c r="AG1612" s="1115"/>
      <c r="AH1612" s="1115"/>
      <c r="AI1612" s="1115"/>
      <c r="AJ1612" s="1117"/>
      <c r="AK1612" s="1118"/>
      <c r="AL1612" s="1115"/>
      <c r="AM1612" s="1115"/>
      <c r="AN1612" s="1115"/>
      <c r="AO1612" s="1115"/>
      <c r="AP1612" s="1115"/>
      <c r="AQ1612" s="1115"/>
      <c r="AR1612" s="1115"/>
      <c r="AS1612" s="1117"/>
      <c r="AT1612" s="1196" t="str">
        <f t="shared" si="172"/>
        <v>10+</v>
      </c>
      <c r="AU1612" s="1193"/>
      <c r="AV1612" s="330">
        <f>SQRT(($R1612-Infrastructure!J$3)^2+($S1612-Infrastructure!K$3)^2)</f>
        <v>25.40944706</v>
      </c>
      <c r="AW1612" s="331">
        <f>SQRT(($R1612-Infrastructure!J$4)^2+($S1612-Infrastructure!K$4)^2)</f>
        <v>31.75862088</v>
      </c>
      <c r="AX1612" s="331">
        <f>SQRT(($R1612-Infrastructure!J$5)^2+($S1612-Infrastructure!K$5)^2)</f>
        <v>41.54708173</v>
      </c>
      <c r="AY1612" s="331">
        <f>SQRT(($R1612-Infrastructure!J$6)^2+($S1612-Infrastructure!K$6)^2)</f>
        <v>41.36568626</v>
      </c>
      <c r="AZ1612" s="331">
        <f>SQRT(($R1612-Infrastructure!J$7)^2+($S1612-Infrastructure!K$7)^2)</f>
        <v>39.46137352</v>
      </c>
      <c r="BA1612" s="331">
        <f>SQRT(($R1612-Infrastructure!J$8)^2+($S1612-Infrastructure!K$8)^2)</f>
        <v>40.08890121</v>
      </c>
      <c r="BB1612" s="331">
        <f>SQRT(($R1612-Infrastructure!J$9)^2+($S1612-Infrastructure!K$9)^2)</f>
        <v>38.68397601</v>
      </c>
      <c r="BC1612" s="331">
        <f>SQRT(($R1612-Infrastructure!J$10)^2+($S1612-Infrastructure!K$10)^2)</f>
        <v>30.15592811</v>
      </c>
      <c r="BD1612" s="331">
        <f>SQRT(($R1612-Infrastructure!J$11)^2+($S1612-Infrastructure!K$11)^2)</f>
        <v>20.51194774</v>
      </c>
      <c r="BE1612" s="333">
        <f>SQRT(($R1612-Infrastructure!J$12)^2+($S1612-Infrastructure!K$12)^2)</f>
        <v>15.84550409</v>
      </c>
      <c r="BF1612" s="330">
        <f t="shared" si="161"/>
        <v>15.84550409</v>
      </c>
      <c r="BG1612" s="333">
        <f t="shared" si="162"/>
        <v>41.54708173</v>
      </c>
      <c r="BH1612" s="1119"/>
      <c r="BI1612" s="319"/>
      <c r="BJ1612" s="319"/>
      <c r="BK1612" s="319"/>
      <c r="BL1612" s="319"/>
      <c r="BM1612" s="319"/>
      <c r="BN1612" s="319"/>
      <c r="BO1612" s="319"/>
      <c r="BP1612" s="953"/>
      <c r="BQ1612" s="319"/>
      <c r="BR1612" s="319"/>
      <c r="BS1612" s="330">
        <f t="shared" si="169"/>
        <v>0</v>
      </c>
      <c r="BT1612" s="331">
        <f t="shared" si="170"/>
        <v>0</v>
      </c>
      <c r="BU1612" s="920"/>
      <c r="BV1612" s="903">
        <f t="shared" si="171"/>
        <v>-0.6912615741</v>
      </c>
      <c r="BW1612" s="907"/>
      <c r="BX1612" s="908"/>
      <c r="BY1612" s="331"/>
      <c r="BZ1612" s="340"/>
      <c r="CA1612" s="316"/>
      <c r="CB1612" s="318"/>
      <c r="CC1612" s="318"/>
      <c r="CD1612" s="318"/>
      <c r="CE1612" s="318"/>
      <c r="CF1612" s="318"/>
      <c r="CG1612" s="318"/>
      <c r="CH1612" s="318"/>
      <c r="CI1612" s="318"/>
      <c r="CJ1612" s="463"/>
      <c r="CK1612" s="342"/>
      <c r="CL1612" s="333"/>
      <c r="CM1612" s="1079"/>
      <c r="CN1612" s="1005"/>
      <c r="CO1612" s="1005"/>
      <c r="CP1612" s="1005"/>
    </row>
    <row r="1613">
      <c r="B1613" s="1106" t="s">
        <v>1916</v>
      </c>
      <c r="C1613" s="1107">
        <v>44949.0</v>
      </c>
      <c r="D1613" s="103"/>
      <c r="E1613" s="1108">
        <v>4.0</v>
      </c>
      <c r="F1613" s="112" t="s">
        <v>2303</v>
      </c>
      <c r="G1613" s="1110">
        <v>0.6973379629629629</v>
      </c>
      <c r="H1613" s="1110">
        <v>0.6976851851851852</v>
      </c>
      <c r="I1613" s="1110"/>
      <c r="J1613" s="1111"/>
      <c r="K1613" s="1111">
        <v>0.7005787037037037</v>
      </c>
      <c r="L1613" s="1112">
        <v>0.0028935185185185184</v>
      </c>
      <c r="M1613" s="1113" t="s">
        <v>166</v>
      </c>
      <c r="N1613" s="110" t="s">
        <v>188</v>
      </c>
      <c r="O1613" s="1115" t="s">
        <v>378</v>
      </c>
      <c r="P1613" s="1115" t="s">
        <v>225</v>
      </c>
      <c r="Q1613" s="1115" t="s">
        <v>842</v>
      </c>
      <c r="R1613" s="120">
        <v>22.7</v>
      </c>
      <c r="S1613" s="1113">
        <v>39.7</v>
      </c>
      <c r="T1613" s="110">
        <v>1.1</v>
      </c>
      <c r="U1613" s="1108">
        <v>15.0</v>
      </c>
      <c r="V1613" s="1108"/>
      <c r="W1613" s="1108"/>
      <c r="X1613" s="1108"/>
      <c r="Y1613" s="1108"/>
      <c r="Z1613" s="1114" t="s">
        <v>1140</v>
      </c>
      <c r="AA1613" s="1114"/>
      <c r="AB1613" s="1114" t="s">
        <v>398</v>
      </c>
      <c r="AC1613" s="1117">
        <v>6.0</v>
      </c>
      <c r="AD1613" s="1115"/>
      <c r="AE1613" s="1115"/>
      <c r="AF1613" s="1115"/>
      <c r="AG1613" s="1115"/>
      <c r="AH1613" s="1115"/>
      <c r="AI1613" s="1115"/>
      <c r="AJ1613" s="1117"/>
      <c r="AK1613" s="1118"/>
      <c r="AL1613" s="1115"/>
      <c r="AM1613" s="1115"/>
      <c r="AN1613" s="1115"/>
      <c r="AO1613" s="1115"/>
      <c r="AP1613" s="1115"/>
      <c r="AQ1613" s="1115"/>
      <c r="AR1613" s="1115"/>
      <c r="AS1613" s="1117"/>
      <c r="AT1613" s="1196" t="str">
        <f t="shared" si="172"/>
        <v>10+</v>
      </c>
      <c r="AU1613" s="1193"/>
      <c r="AV1613" s="330">
        <f>SQRT(($R1613-Infrastructure!J$3)^2+($S1613-Infrastructure!K$3)^2)</f>
        <v>25.40944706</v>
      </c>
      <c r="AW1613" s="331">
        <f>SQRT(($R1613-Infrastructure!J$4)^2+($S1613-Infrastructure!K$4)^2)</f>
        <v>31.75862088</v>
      </c>
      <c r="AX1613" s="331">
        <f>SQRT(($R1613-Infrastructure!J$5)^2+($S1613-Infrastructure!K$5)^2)</f>
        <v>41.54708173</v>
      </c>
      <c r="AY1613" s="331">
        <f>SQRT(($R1613-Infrastructure!J$6)^2+($S1613-Infrastructure!K$6)^2)</f>
        <v>41.36568626</v>
      </c>
      <c r="AZ1613" s="331">
        <f>SQRT(($R1613-Infrastructure!J$7)^2+($S1613-Infrastructure!K$7)^2)</f>
        <v>39.46137352</v>
      </c>
      <c r="BA1613" s="331">
        <f>SQRT(($R1613-Infrastructure!J$8)^2+($S1613-Infrastructure!K$8)^2)</f>
        <v>40.08890121</v>
      </c>
      <c r="BB1613" s="331">
        <f>SQRT(($R1613-Infrastructure!J$9)^2+($S1613-Infrastructure!K$9)^2)</f>
        <v>38.68397601</v>
      </c>
      <c r="BC1613" s="331">
        <f>SQRT(($R1613-Infrastructure!J$10)^2+($S1613-Infrastructure!K$10)^2)</f>
        <v>30.15592811</v>
      </c>
      <c r="BD1613" s="331">
        <f>SQRT(($R1613-Infrastructure!J$11)^2+($S1613-Infrastructure!K$11)^2)</f>
        <v>20.51194774</v>
      </c>
      <c r="BE1613" s="333">
        <f>SQRT(($R1613-Infrastructure!J$12)^2+($S1613-Infrastructure!K$12)^2)</f>
        <v>15.84550409</v>
      </c>
      <c r="BF1613" s="330">
        <f t="shared" si="161"/>
        <v>15.84550409</v>
      </c>
      <c r="BG1613" s="333">
        <f t="shared" si="162"/>
        <v>41.54708173</v>
      </c>
      <c r="BH1613" s="1119"/>
      <c r="BI1613" s="319"/>
      <c r="BJ1613" s="319"/>
      <c r="BK1613" s="319"/>
      <c r="BL1613" s="319"/>
      <c r="BM1613" s="319"/>
      <c r="BN1613" s="319"/>
      <c r="BO1613" s="319"/>
      <c r="BP1613" s="953"/>
      <c r="BQ1613" s="319"/>
      <c r="BR1613" s="319"/>
      <c r="BS1613" s="330">
        <f t="shared" si="169"/>
        <v>0</v>
      </c>
      <c r="BT1613" s="331">
        <f t="shared" si="170"/>
        <v>0</v>
      </c>
      <c r="BU1613" s="920"/>
      <c r="BV1613" s="903">
        <f t="shared" si="171"/>
        <v>-0.697337963</v>
      </c>
      <c r="BW1613" s="907"/>
      <c r="BX1613" s="908"/>
      <c r="BY1613" s="331"/>
      <c r="BZ1613" s="340"/>
      <c r="CA1613" s="316"/>
      <c r="CB1613" s="318"/>
      <c r="CC1613" s="318"/>
      <c r="CD1613" s="318"/>
      <c r="CE1613" s="318"/>
      <c r="CF1613" s="318"/>
      <c r="CG1613" s="318"/>
      <c r="CH1613" s="318"/>
      <c r="CI1613" s="318"/>
      <c r="CJ1613" s="463"/>
      <c r="CK1613" s="342"/>
      <c r="CL1613" s="333"/>
      <c r="CM1613" s="1079"/>
      <c r="CN1613" s="1005"/>
      <c r="CO1613" s="1005"/>
      <c r="CP1613" s="1005"/>
    </row>
    <row r="1614">
      <c r="B1614" s="1106" t="s">
        <v>1916</v>
      </c>
      <c r="C1614" s="1107">
        <v>44949.0</v>
      </c>
      <c r="D1614" s="103"/>
      <c r="E1614" s="1137"/>
      <c r="F1614" s="112" t="s">
        <v>2304</v>
      </c>
      <c r="G1614" s="1110">
        <v>0.7008101851851852</v>
      </c>
      <c r="H1614" s="1138"/>
      <c r="I1614" s="1138"/>
      <c r="J1614" s="1139"/>
      <c r="K1614" s="1111">
        <v>0.7013888888888888</v>
      </c>
      <c r="L1614" s="1112">
        <v>5.787037037037037E-4</v>
      </c>
      <c r="M1614" s="1113" t="s">
        <v>166</v>
      </c>
      <c r="N1614" s="110" t="s">
        <v>188</v>
      </c>
      <c r="O1614" s="1140"/>
      <c r="P1614" s="1115" t="s">
        <v>292</v>
      </c>
      <c r="Q1614" s="1116"/>
      <c r="R1614" s="1141"/>
      <c r="S1614" s="1142"/>
      <c r="T1614" s="1143"/>
      <c r="U1614" s="1137"/>
      <c r="V1614" s="1137"/>
      <c r="W1614" s="1137"/>
      <c r="X1614" s="1137"/>
      <c r="Y1614" s="1137"/>
      <c r="Z1614" s="1114" t="s">
        <v>323</v>
      </c>
      <c r="AA1614" s="1114"/>
      <c r="AB1614" s="1114" t="s">
        <v>323</v>
      </c>
      <c r="AC1614" s="1117" t="s">
        <v>323</v>
      </c>
      <c r="AD1614" s="1115"/>
      <c r="AE1614" s="1115"/>
      <c r="AF1614" s="1115"/>
      <c r="AG1614" s="1115"/>
      <c r="AH1614" s="1115"/>
      <c r="AI1614" s="1115"/>
      <c r="AJ1614" s="1117"/>
      <c r="AK1614" s="1118"/>
      <c r="AL1614" s="1115"/>
      <c r="AM1614" s="1115"/>
      <c r="AN1614" s="1115"/>
      <c r="AO1614" s="1115"/>
      <c r="AP1614" s="1115"/>
      <c r="AQ1614" s="1115"/>
      <c r="AR1614" s="1115"/>
      <c r="AS1614" s="1117"/>
      <c r="AT1614" s="1196" t="str">
        <f t="shared" si="172"/>
        <v/>
      </c>
      <c r="AU1614" s="1193"/>
      <c r="AV1614" s="330">
        <f>SQRT(($R1614-Infrastructure!J$3)^2+($S1614-Infrastructure!K$3)^2)</f>
        <v>28.90155705</v>
      </c>
      <c r="AW1614" s="331">
        <f>SQRT(($R1614-Infrastructure!J$4)^2+($S1614-Infrastructure!K$4)^2)</f>
        <v>17.80252791</v>
      </c>
      <c r="AX1614" s="331">
        <f>SQRT(($R1614-Infrastructure!J$5)^2+($S1614-Infrastructure!K$5)^2)</f>
        <v>5.10881591</v>
      </c>
      <c r="AY1614" s="331">
        <f>SQRT(($R1614-Infrastructure!J$6)^2+($S1614-Infrastructure!K$6)^2)</f>
        <v>10.10445446</v>
      </c>
      <c r="AZ1614" s="331">
        <f>SQRT(($R1614-Infrastructure!J$7)^2+($S1614-Infrastructure!K$7)^2)</f>
        <v>20.502195</v>
      </c>
      <c r="BA1614" s="331">
        <f>SQRT(($R1614-Infrastructure!J$8)^2+($S1614-Infrastructure!K$8)^2)</f>
        <v>30.10149498</v>
      </c>
      <c r="BB1614" s="331">
        <f>SQRT(($R1614-Infrastructure!J$9)^2+($S1614-Infrastructure!K$9)^2)</f>
        <v>40.3238143</v>
      </c>
      <c r="BC1614" s="331">
        <f>SQRT(($R1614-Infrastructure!J$10)^2+($S1614-Infrastructure!K$10)^2)</f>
        <v>42.72001873</v>
      </c>
      <c r="BD1614" s="331">
        <f>SQRT(($R1614-Infrastructure!J$11)^2+($S1614-Infrastructure!K$11)^2)</f>
        <v>49.56853841</v>
      </c>
      <c r="BE1614" s="333">
        <f>SQRT(($R1614-Infrastructure!J$12)^2+($S1614-Infrastructure!K$12)^2)</f>
        <v>59.51890456</v>
      </c>
      <c r="BF1614" s="330">
        <f t="shared" si="161"/>
        <v>5.10881591</v>
      </c>
      <c r="BG1614" s="333">
        <f t="shared" si="162"/>
        <v>59.51890456</v>
      </c>
      <c r="BH1614" s="1119"/>
      <c r="BI1614" s="319"/>
      <c r="BJ1614" s="319"/>
      <c r="BK1614" s="319"/>
      <c r="BL1614" s="319"/>
      <c r="BM1614" s="319"/>
      <c r="BN1614" s="319"/>
      <c r="BO1614" s="319"/>
      <c r="BP1614" s="953"/>
      <c r="BQ1614" s="319"/>
      <c r="BR1614" s="319"/>
      <c r="BS1614" s="330">
        <f t="shared" si="169"/>
        <v>0</v>
      </c>
      <c r="BT1614" s="331">
        <f t="shared" si="170"/>
        <v>0</v>
      </c>
      <c r="BU1614" s="920"/>
      <c r="BV1614" s="903">
        <f t="shared" si="171"/>
        <v>-0.7008101852</v>
      </c>
      <c r="BW1614" s="907"/>
      <c r="BX1614" s="908"/>
      <c r="BY1614" s="331"/>
      <c r="BZ1614" s="340"/>
      <c r="CA1614" s="316"/>
      <c r="CB1614" s="318"/>
      <c r="CC1614" s="318"/>
      <c r="CD1614" s="318"/>
      <c r="CE1614" s="318"/>
      <c r="CF1614" s="318"/>
      <c r="CG1614" s="318"/>
      <c r="CH1614" s="318"/>
      <c r="CI1614" s="318"/>
      <c r="CJ1614" s="463"/>
      <c r="CK1614" s="342"/>
      <c r="CL1614" s="333"/>
      <c r="CM1614" s="1079"/>
      <c r="CN1614" s="1005"/>
      <c r="CO1614" s="1005"/>
      <c r="CP1614" s="1005"/>
    </row>
    <row r="1615">
      <c r="A1615" s="634"/>
      <c r="B1615" s="1121" t="s">
        <v>1916</v>
      </c>
      <c r="C1615" s="1122">
        <v>44949.0</v>
      </c>
      <c r="D1615" s="1123"/>
      <c r="E1615" s="1144"/>
      <c r="F1615" s="108" t="s">
        <v>2304</v>
      </c>
      <c r="G1615" s="1126">
        <v>0.7020833333333333</v>
      </c>
      <c r="H1615" s="1145"/>
      <c r="I1615" s="1145"/>
      <c r="J1615" s="1146"/>
      <c r="K1615" s="1127">
        <v>0.7034722222222223</v>
      </c>
      <c r="L1615" s="1128">
        <v>0.001388888888888889</v>
      </c>
      <c r="M1615" s="1129" t="s">
        <v>358</v>
      </c>
      <c r="N1615" s="100" t="s">
        <v>188</v>
      </c>
      <c r="O1615" s="1161"/>
      <c r="P1615" s="1131" t="s">
        <v>294</v>
      </c>
      <c r="Q1615" s="1132"/>
      <c r="R1615" s="1148"/>
      <c r="S1615" s="1149"/>
      <c r="T1615" s="1150"/>
      <c r="U1615" s="1144"/>
      <c r="V1615" s="1144"/>
      <c r="W1615" s="1144"/>
      <c r="X1615" s="1144"/>
      <c r="Y1615" s="1144"/>
      <c r="Z1615" s="1130" t="s">
        <v>323</v>
      </c>
      <c r="AA1615" s="1130"/>
      <c r="AB1615" s="1130" t="s">
        <v>323</v>
      </c>
      <c r="AC1615" s="1133" t="s">
        <v>323</v>
      </c>
      <c r="AD1615" s="1131"/>
      <c r="AE1615" s="1131"/>
      <c r="AF1615" s="1131"/>
      <c r="AG1615" s="1131"/>
      <c r="AH1615" s="1131"/>
      <c r="AI1615" s="1131"/>
      <c r="AJ1615" s="1133"/>
      <c r="AK1615" s="1134"/>
      <c r="AL1615" s="1131"/>
      <c r="AM1615" s="1131"/>
      <c r="AN1615" s="1131"/>
      <c r="AO1615" s="1131"/>
      <c r="AP1615" s="1131"/>
      <c r="AQ1615" s="1131"/>
      <c r="AR1615" s="1131"/>
      <c r="AS1615" s="1133"/>
      <c r="AT1615" s="1197" t="str">
        <f t="shared" si="172"/>
        <v/>
      </c>
      <c r="AU1615" s="1194"/>
      <c r="AV1615" s="330">
        <f>SQRT(($R1615-Infrastructure!J$3)^2+($S1615-Infrastructure!K$3)^2)</f>
        <v>28.90155705</v>
      </c>
      <c r="AW1615" s="331">
        <f>SQRT(($R1615-Infrastructure!J$4)^2+($S1615-Infrastructure!K$4)^2)</f>
        <v>17.80252791</v>
      </c>
      <c r="AX1615" s="331">
        <f>SQRT(($R1615-Infrastructure!J$5)^2+($S1615-Infrastructure!K$5)^2)</f>
        <v>5.10881591</v>
      </c>
      <c r="AY1615" s="331">
        <f>SQRT(($R1615-Infrastructure!J$6)^2+($S1615-Infrastructure!K$6)^2)</f>
        <v>10.10445446</v>
      </c>
      <c r="AZ1615" s="331">
        <f>SQRT(($R1615-Infrastructure!J$7)^2+($S1615-Infrastructure!K$7)^2)</f>
        <v>20.502195</v>
      </c>
      <c r="BA1615" s="331">
        <f>SQRT(($R1615-Infrastructure!J$8)^2+($S1615-Infrastructure!K$8)^2)</f>
        <v>30.10149498</v>
      </c>
      <c r="BB1615" s="331">
        <f>SQRT(($R1615-Infrastructure!J$9)^2+($S1615-Infrastructure!K$9)^2)</f>
        <v>40.3238143</v>
      </c>
      <c r="BC1615" s="331">
        <f>SQRT(($R1615-Infrastructure!J$10)^2+($S1615-Infrastructure!K$10)^2)</f>
        <v>42.72001873</v>
      </c>
      <c r="BD1615" s="331">
        <f>SQRT(($R1615-Infrastructure!J$11)^2+($S1615-Infrastructure!K$11)^2)</f>
        <v>49.56853841</v>
      </c>
      <c r="BE1615" s="333">
        <f>SQRT(($R1615-Infrastructure!J$12)^2+($S1615-Infrastructure!K$12)^2)</f>
        <v>59.51890456</v>
      </c>
      <c r="BF1615" s="330">
        <f t="shared" si="161"/>
        <v>5.10881591</v>
      </c>
      <c r="BG1615" s="333">
        <f t="shared" si="162"/>
        <v>59.51890456</v>
      </c>
      <c r="BH1615" s="1135"/>
      <c r="BI1615" s="663"/>
      <c r="BJ1615" s="663"/>
      <c r="BK1615" s="663"/>
      <c r="BL1615" s="663"/>
      <c r="BM1615" s="663"/>
      <c r="BN1615" s="663"/>
      <c r="BO1615" s="663"/>
      <c r="BP1615" s="958"/>
      <c r="BQ1615" s="663"/>
      <c r="BR1615" s="663"/>
      <c r="BS1615" s="330">
        <f t="shared" si="169"/>
        <v>0</v>
      </c>
      <c r="BT1615" s="331">
        <f t="shared" si="170"/>
        <v>0</v>
      </c>
      <c r="BU1615" s="920"/>
      <c r="BV1615" s="903">
        <f t="shared" si="171"/>
        <v>-0.7020833333</v>
      </c>
      <c r="BW1615" s="938"/>
      <c r="BX1615" s="939"/>
      <c r="BY1615" s="641"/>
      <c r="BZ1615" s="742"/>
      <c r="CA1615" s="639"/>
      <c r="CB1615" s="640"/>
      <c r="CC1615" s="640"/>
      <c r="CD1615" s="640"/>
      <c r="CE1615" s="640"/>
      <c r="CF1615" s="640"/>
      <c r="CG1615" s="640"/>
      <c r="CH1615" s="640"/>
      <c r="CI1615" s="640"/>
      <c r="CJ1615" s="785"/>
      <c r="CK1615" s="743"/>
      <c r="CL1615" s="642"/>
      <c r="CM1615" s="1090"/>
      <c r="CN1615" s="1005"/>
      <c r="CO1615" s="1005"/>
      <c r="CP1615" s="1005"/>
    </row>
    <row r="1616">
      <c r="A1616" s="1162" t="s">
        <v>90</v>
      </c>
      <c r="B1616" s="1106" t="s">
        <v>1916</v>
      </c>
      <c r="C1616" s="1107">
        <v>44951.0</v>
      </c>
      <c r="D1616" s="103"/>
      <c r="E1616" s="1108">
        <v>1.0</v>
      </c>
      <c r="F1616" s="112" t="s">
        <v>2305</v>
      </c>
      <c r="G1616" s="1110">
        <v>0.48408564814814814</v>
      </c>
      <c r="H1616" s="1110">
        <v>0.484375</v>
      </c>
      <c r="I1616" s="1110"/>
      <c r="J1616" s="1111"/>
      <c r="K1616" s="1111">
        <v>0.4870949074074074</v>
      </c>
      <c r="L1616" s="1112">
        <v>0.0027199074074074074</v>
      </c>
      <c r="M1616" s="1113" t="s">
        <v>166</v>
      </c>
      <c r="N1616" s="110" t="s">
        <v>188</v>
      </c>
      <c r="O1616" s="1115" t="s">
        <v>196</v>
      </c>
      <c r="P1616" s="1115" t="s">
        <v>224</v>
      </c>
      <c r="Q1616" s="1115" t="s">
        <v>842</v>
      </c>
      <c r="R1616" s="120">
        <v>21.7</v>
      </c>
      <c r="S1616" s="1113">
        <v>39.5</v>
      </c>
      <c r="T1616" s="110">
        <v>1.3</v>
      </c>
      <c r="U1616" s="1108">
        <v>20.0</v>
      </c>
      <c r="V1616" s="1108"/>
      <c r="W1616" s="1108"/>
      <c r="X1616" s="1108"/>
      <c r="Y1616" s="1108"/>
      <c r="Z1616" s="1114" t="s">
        <v>387</v>
      </c>
      <c r="AA1616" s="1114"/>
      <c r="AB1616" s="1114" t="s">
        <v>416</v>
      </c>
      <c r="AC1616" s="1117">
        <v>52.5</v>
      </c>
      <c r="AD1616" s="1115"/>
      <c r="AE1616" s="1115"/>
      <c r="AF1616" s="1115"/>
      <c r="AG1616" s="1115"/>
      <c r="AH1616" s="1115"/>
      <c r="AI1616" s="1115"/>
      <c r="AJ1616" s="1117"/>
      <c r="AK1616" s="1118"/>
      <c r="AL1616" s="1115"/>
      <c r="AM1616" s="1115"/>
      <c r="AN1616" s="1115"/>
      <c r="AO1616" s="1115"/>
      <c r="AP1616" s="1115"/>
      <c r="AQ1616" s="1115"/>
      <c r="AR1616" s="1115"/>
      <c r="AS1616" s="1117"/>
      <c r="AT1616" s="1196" t="str">
        <f t="shared" si="172"/>
        <v>10+</v>
      </c>
      <c r="AU1616" s="1193"/>
      <c r="AV1616" s="330">
        <f>SQRT(($R1616-Infrastructure!J$3)^2+($S1616-Infrastructure!K$3)^2)</f>
        <v>24.42048321</v>
      </c>
      <c r="AW1616" s="331">
        <f>SQRT(($R1616-Infrastructure!J$4)^2+($S1616-Infrastructure!K$4)^2)</f>
        <v>30.90129447</v>
      </c>
      <c r="AX1616" s="331">
        <f>SQRT(($R1616-Infrastructure!J$5)^2+($S1616-Infrastructure!K$5)^2)</f>
        <v>40.83331973</v>
      </c>
      <c r="AY1616" s="331">
        <f>SQRT(($R1616-Infrastructure!J$6)^2+($S1616-Infrastructure!K$6)^2)</f>
        <v>40.88031311</v>
      </c>
      <c r="AZ1616" s="331">
        <f>SQRT(($R1616-Infrastructure!J$7)^2+($S1616-Infrastructure!K$7)^2)</f>
        <v>39.21836305</v>
      </c>
      <c r="BA1616" s="331">
        <f>SQRT(($R1616-Infrastructure!J$8)^2+($S1616-Infrastructure!K$8)^2)</f>
        <v>40.08989898</v>
      </c>
      <c r="BB1616" s="331">
        <f>SQRT(($R1616-Infrastructure!J$9)^2+($S1616-Infrastructure!K$9)^2)</f>
        <v>38.96472764</v>
      </c>
      <c r="BC1616" s="331">
        <f>SQRT(($R1616-Infrastructure!J$10)^2+($S1616-Infrastructure!K$10)^2)</f>
        <v>30.58005886</v>
      </c>
      <c r="BD1616" s="331">
        <f>SQRT(($R1616-Infrastructure!J$11)^2+($S1616-Infrastructure!K$11)^2)</f>
        <v>21.27204739</v>
      </c>
      <c r="BE1616" s="333">
        <f>SQRT(($R1616-Infrastructure!J$12)^2+($S1616-Infrastructure!K$12)^2)</f>
        <v>16.00124995</v>
      </c>
      <c r="BF1616" s="330">
        <f t="shared" si="161"/>
        <v>16.00124995</v>
      </c>
      <c r="BG1616" s="333">
        <f t="shared" si="162"/>
        <v>40.88031311</v>
      </c>
      <c r="BH1616" s="1119"/>
      <c r="BI1616" s="319"/>
      <c r="BJ1616" s="319"/>
      <c r="BK1616" s="319"/>
      <c r="BL1616" s="319"/>
      <c r="BM1616" s="319"/>
      <c r="BN1616" s="319"/>
      <c r="BO1616" s="319"/>
      <c r="BP1616" s="953"/>
      <c r="BQ1616" s="319"/>
      <c r="BR1616" s="319"/>
      <c r="BS1616" s="405">
        <f t="shared" si="169"/>
        <v>0</v>
      </c>
      <c r="BT1616" s="406">
        <f t="shared" si="170"/>
        <v>0</v>
      </c>
      <c r="BU1616" s="931"/>
      <c r="BV1616" s="901">
        <f t="shared" si="171"/>
        <v>-0.4840856481</v>
      </c>
      <c r="BW1616" s="907"/>
      <c r="BX1616" s="908"/>
      <c r="BY1616" s="331"/>
      <c r="BZ1616" s="340"/>
      <c r="CA1616" s="316"/>
      <c r="CB1616" s="318"/>
      <c r="CC1616" s="318"/>
      <c r="CD1616" s="318"/>
      <c r="CE1616" s="318"/>
      <c r="CF1616" s="318"/>
      <c r="CG1616" s="318"/>
      <c r="CH1616" s="318"/>
      <c r="CI1616" s="318"/>
      <c r="CJ1616" s="463"/>
      <c r="CK1616" s="342"/>
      <c r="CL1616" s="333"/>
      <c r="CM1616" s="1079"/>
      <c r="CN1616" s="1005"/>
      <c r="CO1616" s="1005"/>
      <c r="CP1616" s="1005"/>
    </row>
    <row r="1617">
      <c r="B1617" s="1106" t="s">
        <v>1916</v>
      </c>
      <c r="C1617" s="1107">
        <v>44951.0</v>
      </c>
      <c r="D1617" s="103"/>
      <c r="E1617" s="1108">
        <v>2.0</v>
      </c>
      <c r="F1617" s="112" t="s">
        <v>2306</v>
      </c>
      <c r="G1617" s="1110">
        <v>0.48912037037037037</v>
      </c>
      <c r="H1617" s="1110">
        <v>0.48952546296296295</v>
      </c>
      <c r="I1617" s="1110"/>
      <c r="J1617" s="1111"/>
      <c r="K1617" s="1111">
        <v>0.49027777777777776</v>
      </c>
      <c r="L1617" s="1112">
        <v>7.523148148148148E-4</v>
      </c>
      <c r="M1617" s="1113" t="s">
        <v>166</v>
      </c>
      <c r="N1617" s="110" t="s">
        <v>188</v>
      </c>
      <c r="O1617" s="1115" t="s">
        <v>196</v>
      </c>
      <c r="P1617" s="1115" t="s">
        <v>224</v>
      </c>
      <c r="Q1617" s="1115" t="s">
        <v>842</v>
      </c>
      <c r="R1617" s="120">
        <v>21.7</v>
      </c>
      <c r="S1617" s="1113">
        <v>39.5</v>
      </c>
      <c r="T1617" s="110">
        <v>1.3</v>
      </c>
      <c r="U1617" s="1108">
        <v>20.0</v>
      </c>
      <c r="V1617" s="1108"/>
      <c r="W1617" s="1108"/>
      <c r="X1617" s="1108"/>
      <c r="Y1617" s="1108"/>
      <c r="Z1617" s="1114" t="s">
        <v>387</v>
      </c>
      <c r="AA1617" s="1114"/>
      <c r="AB1617" s="1114" t="s">
        <v>416</v>
      </c>
      <c r="AC1617" s="1117">
        <v>52.5</v>
      </c>
      <c r="AD1617" s="1115"/>
      <c r="AE1617" s="1115"/>
      <c r="AF1617" s="1115"/>
      <c r="AG1617" s="1115"/>
      <c r="AH1617" s="1115"/>
      <c r="AI1617" s="1115"/>
      <c r="AJ1617" s="1117"/>
      <c r="AK1617" s="1118"/>
      <c r="AL1617" s="1115"/>
      <c r="AM1617" s="1115"/>
      <c r="AN1617" s="1115"/>
      <c r="AO1617" s="1115"/>
      <c r="AP1617" s="1115"/>
      <c r="AQ1617" s="1115"/>
      <c r="AR1617" s="1115"/>
      <c r="AS1617" s="1117"/>
      <c r="AT1617" s="1196" t="str">
        <f t="shared" si="172"/>
        <v>10+</v>
      </c>
      <c r="AU1617" s="1193"/>
      <c r="AV1617" s="330">
        <f>SQRT(($R1617-Infrastructure!J$3)^2+($S1617-Infrastructure!K$3)^2)</f>
        <v>24.42048321</v>
      </c>
      <c r="AW1617" s="331">
        <f>SQRT(($R1617-Infrastructure!J$4)^2+($S1617-Infrastructure!K$4)^2)</f>
        <v>30.90129447</v>
      </c>
      <c r="AX1617" s="331">
        <f>SQRT(($R1617-Infrastructure!J$5)^2+($S1617-Infrastructure!K$5)^2)</f>
        <v>40.83331973</v>
      </c>
      <c r="AY1617" s="331">
        <f>SQRT(($R1617-Infrastructure!J$6)^2+($S1617-Infrastructure!K$6)^2)</f>
        <v>40.88031311</v>
      </c>
      <c r="AZ1617" s="331">
        <f>SQRT(($R1617-Infrastructure!J$7)^2+($S1617-Infrastructure!K$7)^2)</f>
        <v>39.21836305</v>
      </c>
      <c r="BA1617" s="331">
        <f>SQRT(($R1617-Infrastructure!J$8)^2+($S1617-Infrastructure!K$8)^2)</f>
        <v>40.08989898</v>
      </c>
      <c r="BB1617" s="331">
        <f>SQRT(($R1617-Infrastructure!J$9)^2+($S1617-Infrastructure!K$9)^2)</f>
        <v>38.96472764</v>
      </c>
      <c r="BC1617" s="331">
        <f>SQRT(($R1617-Infrastructure!J$10)^2+($S1617-Infrastructure!K$10)^2)</f>
        <v>30.58005886</v>
      </c>
      <c r="BD1617" s="331">
        <f>SQRT(($R1617-Infrastructure!J$11)^2+($S1617-Infrastructure!K$11)^2)</f>
        <v>21.27204739</v>
      </c>
      <c r="BE1617" s="333">
        <f>SQRT(($R1617-Infrastructure!J$12)^2+($S1617-Infrastructure!K$12)^2)</f>
        <v>16.00124995</v>
      </c>
      <c r="BF1617" s="330">
        <f t="shared" si="161"/>
        <v>16.00124995</v>
      </c>
      <c r="BG1617" s="333">
        <f t="shared" si="162"/>
        <v>40.88031311</v>
      </c>
      <c r="BH1617" s="1119"/>
      <c r="BI1617" s="319"/>
      <c r="BJ1617" s="319"/>
      <c r="BK1617" s="319"/>
      <c r="BL1617" s="319"/>
      <c r="BM1617" s="319"/>
      <c r="BN1617" s="319"/>
      <c r="BO1617" s="319"/>
      <c r="BP1617" s="953"/>
      <c r="BQ1617" s="319"/>
      <c r="BR1617" s="319"/>
      <c r="BS1617" s="330">
        <f t="shared" si="169"/>
        <v>0</v>
      </c>
      <c r="BT1617" s="331">
        <f t="shared" si="170"/>
        <v>0</v>
      </c>
      <c r="BU1617" s="920"/>
      <c r="BV1617" s="903">
        <f t="shared" si="171"/>
        <v>-0.4891203704</v>
      </c>
      <c r="BW1617" s="907"/>
      <c r="BX1617" s="908"/>
      <c r="BY1617" s="331"/>
      <c r="BZ1617" s="340"/>
      <c r="CA1617" s="316"/>
      <c r="CB1617" s="318"/>
      <c r="CC1617" s="318"/>
      <c r="CD1617" s="318"/>
      <c r="CE1617" s="318"/>
      <c r="CF1617" s="318"/>
      <c r="CG1617" s="318"/>
      <c r="CH1617" s="318"/>
      <c r="CI1617" s="318"/>
      <c r="CJ1617" s="463"/>
      <c r="CK1617" s="342"/>
      <c r="CL1617" s="333"/>
      <c r="CM1617" s="1079"/>
      <c r="CN1617" s="1005"/>
      <c r="CO1617" s="1005"/>
      <c r="CP1617" s="1005"/>
    </row>
    <row r="1618">
      <c r="B1618" s="1106" t="s">
        <v>1916</v>
      </c>
      <c r="C1618" s="1107">
        <v>44951.0</v>
      </c>
      <c r="D1618" s="103"/>
      <c r="E1618" s="1108">
        <v>3.0</v>
      </c>
      <c r="F1618" s="112" t="s">
        <v>2307</v>
      </c>
      <c r="G1618" s="1110">
        <v>0.49149305555555556</v>
      </c>
      <c r="H1618" s="1110">
        <v>0.49201388888888886</v>
      </c>
      <c r="I1618" s="1110"/>
      <c r="J1618" s="1111"/>
      <c r="K1618" s="1111">
        <v>0.4935185185185185</v>
      </c>
      <c r="L1618" s="1112">
        <v>0.0015046296296296296</v>
      </c>
      <c r="M1618" s="1113" t="s">
        <v>166</v>
      </c>
      <c r="N1618" s="110" t="s">
        <v>188</v>
      </c>
      <c r="O1618" s="1115" t="s">
        <v>378</v>
      </c>
      <c r="P1618" s="1115" t="s">
        <v>225</v>
      </c>
      <c r="Q1618" s="1115" t="s">
        <v>842</v>
      </c>
      <c r="R1618" s="120">
        <v>22.7</v>
      </c>
      <c r="S1618" s="1113">
        <v>39.7</v>
      </c>
      <c r="T1618" s="110">
        <v>1.1</v>
      </c>
      <c r="U1618" s="1108">
        <v>15.0</v>
      </c>
      <c r="V1618" s="1108"/>
      <c r="W1618" s="1108"/>
      <c r="X1618" s="1108"/>
      <c r="Y1618" s="1108"/>
      <c r="Z1618" s="1114" t="s">
        <v>1140</v>
      </c>
      <c r="AA1618" s="1114"/>
      <c r="AB1618" s="1114" t="s">
        <v>398</v>
      </c>
      <c r="AC1618" s="1117">
        <v>6.0</v>
      </c>
      <c r="AD1618" s="1115"/>
      <c r="AE1618" s="1115"/>
      <c r="AF1618" s="1115"/>
      <c r="AG1618" s="1115"/>
      <c r="AH1618" s="1115"/>
      <c r="AI1618" s="1115"/>
      <c r="AJ1618" s="1117"/>
      <c r="AK1618" s="1118"/>
      <c r="AL1618" s="1115"/>
      <c r="AM1618" s="1115"/>
      <c r="AN1618" s="1115"/>
      <c r="AO1618" s="1115"/>
      <c r="AP1618" s="1115"/>
      <c r="AQ1618" s="1115"/>
      <c r="AR1618" s="1115"/>
      <c r="AS1618" s="1117"/>
      <c r="AT1618" s="1196" t="str">
        <f t="shared" si="172"/>
        <v>10+</v>
      </c>
      <c r="AU1618" s="1193"/>
      <c r="AV1618" s="330">
        <f>SQRT(($R1618-Infrastructure!J$3)^2+($S1618-Infrastructure!K$3)^2)</f>
        <v>25.40944706</v>
      </c>
      <c r="AW1618" s="331">
        <f>SQRT(($R1618-Infrastructure!J$4)^2+($S1618-Infrastructure!K$4)^2)</f>
        <v>31.75862088</v>
      </c>
      <c r="AX1618" s="331">
        <f>SQRT(($R1618-Infrastructure!J$5)^2+($S1618-Infrastructure!K$5)^2)</f>
        <v>41.54708173</v>
      </c>
      <c r="AY1618" s="331">
        <f>SQRT(($R1618-Infrastructure!J$6)^2+($S1618-Infrastructure!K$6)^2)</f>
        <v>41.36568626</v>
      </c>
      <c r="AZ1618" s="331">
        <f>SQRT(($R1618-Infrastructure!J$7)^2+($S1618-Infrastructure!K$7)^2)</f>
        <v>39.46137352</v>
      </c>
      <c r="BA1618" s="331">
        <f>SQRT(($R1618-Infrastructure!J$8)^2+($S1618-Infrastructure!K$8)^2)</f>
        <v>40.08890121</v>
      </c>
      <c r="BB1618" s="331">
        <f>SQRT(($R1618-Infrastructure!J$9)^2+($S1618-Infrastructure!K$9)^2)</f>
        <v>38.68397601</v>
      </c>
      <c r="BC1618" s="331">
        <f>SQRT(($R1618-Infrastructure!J$10)^2+($S1618-Infrastructure!K$10)^2)</f>
        <v>30.15592811</v>
      </c>
      <c r="BD1618" s="331">
        <f>SQRT(($R1618-Infrastructure!J$11)^2+($S1618-Infrastructure!K$11)^2)</f>
        <v>20.51194774</v>
      </c>
      <c r="BE1618" s="333">
        <f>SQRT(($R1618-Infrastructure!J$12)^2+($S1618-Infrastructure!K$12)^2)</f>
        <v>15.84550409</v>
      </c>
      <c r="BF1618" s="330">
        <f t="shared" si="161"/>
        <v>15.84550409</v>
      </c>
      <c r="BG1618" s="333">
        <f t="shared" si="162"/>
        <v>41.54708173</v>
      </c>
      <c r="BH1618" s="1119"/>
      <c r="BI1618" s="319"/>
      <c r="BJ1618" s="319"/>
      <c r="BK1618" s="319"/>
      <c r="BL1618" s="319"/>
      <c r="BM1618" s="319"/>
      <c r="BN1618" s="319"/>
      <c r="BO1618" s="319"/>
      <c r="BP1618" s="953"/>
      <c r="BQ1618" s="319"/>
      <c r="BR1618" s="319"/>
      <c r="BS1618" s="330">
        <f t="shared" si="169"/>
        <v>0</v>
      </c>
      <c r="BT1618" s="331">
        <f t="shared" si="170"/>
        <v>0</v>
      </c>
      <c r="BU1618" s="920"/>
      <c r="BV1618" s="903">
        <f t="shared" si="171"/>
        <v>-0.4914930556</v>
      </c>
      <c r="BW1618" s="907"/>
      <c r="BX1618" s="908"/>
      <c r="BY1618" s="331"/>
      <c r="BZ1618" s="340"/>
      <c r="CA1618" s="316"/>
      <c r="CB1618" s="318"/>
      <c r="CC1618" s="318"/>
      <c r="CD1618" s="318"/>
      <c r="CE1618" s="318"/>
      <c r="CF1618" s="318"/>
      <c r="CG1618" s="318"/>
      <c r="CH1618" s="318"/>
      <c r="CI1618" s="318"/>
      <c r="CJ1618" s="463"/>
      <c r="CK1618" s="342"/>
      <c r="CL1618" s="333"/>
      <c r="CM1618" s="1079"/>
      <c r="CN1618" s="1005"/>
      <c r="CO1618" s="1005"/>
      <c r="CP1618" s="1005"/>
    </row>
    <row r="1619">
      <c r="B1619" s="1106" t="s">
        <v>1916</v>
      </c>
      <c r="C1619" s="1107">
        <v>44951.0</v>
      </c>
      <c r="D1619" s="103"/>
      <c r="E1619" s="1108">
        <v>4.0</v>
      </c>
      <c r="F1619" s="112" t="s">
        <v>2308</v>
      </c>
      <c r="G1619" s="1110">
        <v>0.49444444444444446</v>
      </c>
      <c r="H1619" s="1110">
        <v>0.4947916666666667</v>
      </c>
      <c r="I1619" s="1110"/>
      <c r="J1619" s="1111"/>
      <c r="K1619" s="1111">
        <v>0.49618055555555557</v>
      </c>
      <c r="L1619" s="1112">
        <v>0.001388888888888889</v>
      </c>
      <c r="M1619" s="1113" t="s">
        <v>166</v>
      </c>
      <c r="N1619" s="110" t="s">
        <v>188</v>
      </c>
      <c r="O1619" s="1115" t="s">
        <v>378</v>
      </c>
      <c r="P1619" s="1115" t="s">
        <v>225</v>
      </c>
      <c r="Q1619" s="1115" t="s">
        <v>842</v>
      </c>
      <c r="R1619" s="120">
        <v>22.7</v>
      </c>
      <c r="S1619" s="1113">
        <v>39.7</v>
      </c>
      <c r="T1619" s="110">
        <v>1.1</v>
      </c>
      <c r="U1619" s="1108">
        <v>15.0</v>
      </c>
      <c r="V1619" s="1108"/>
      <c r="W1619" s="1108"/>
      <c r="X1619" s="1108"/>
      <c r="Y1619" s="1108"/>
      <c r="Z1619" s="1114" t="s">
        <v>1140</v>
      </c>
      <c r="AA1619" s="1114"/>
      <c r="AB1619" s="1114" t="s">
        <v>398</v>
      </c>
      <c r="AC1619" s="1117">
        <v>6.0</v>
      </c>
      <c r="AD1619" s="1115"/>
      <c r="AE1619" s="1115"/>
      <c r="AF1619" s="1115"/>
      <c r="AG1619" s="1115"/>
      <c r="AH1619" s="1115"/>
      <c r="AI1619" s="1115"/>
      <c r="AJ1619" s="1117"/>
      <c r="AK1619" s="1118"/>
      <c r="AL1619" s="1115"/>
      <c r="AM1619" s="1115"/>
      <c r="AN1619" s="1115"/>
      <c r="AO1619" s="1115"/>
      <c r="AP1619" s="1115"/>
      <c r="AQ1619" s="1115"/>
      <c r="AR1619" s="1115"/>
      <c r="AS1619" s="1117"/>
      <c r="AT1619" s="1196" t="str">
        <f t="shared" si="172"/>
        <v>10+</v>
      </c>
      <c r="AU1619" s="1193"/>
      <c r="AV1619" s="330">
        <f>SQRT(($R1619-Infrastructure!J$3)^2+($S1619-Infrastructure!K$3)^2)</f>
        <v>25.40944706</v>
      </c>
      <c r="AW1619" s="331">
        <f>SQRT(($R1619-Infrastructure!J$4)^2+($S1619-Infrastructure!K$4)^2)</f>
        <v>31.75862088</v>
      </c>
      <c r="AX1619" s="331">
        <f>SQRT(($R1619-Infrastructure!J$5)^2+($S1619-Infrastructure!K$5)^2)</f>
        <v>41.54708173</v>
      </c>
      <c r="AY1619" s="331">
        <f>SQRT(($R1619-Infrastructure!J$6)^2+($S1619-Infrastructure!K$6)^2)</f>
        <v>41.36568626</v>
      </c>
      <c r="AZ1619" s="331">
        <f>SQRT(($R1619-Infrastructure!J$7)^2+($S1619-Infrastructure!K$7)^2)</f>
        <v>39.46137352</v>
      </c>
      <c r="BA1619" s="331">
        <f>SQRT(($R1619-Infrastructure!J$8)^2+($S1619-Infrastructure!K$8)^2)</f>
        <v>40.08890121</v>
      </c>
      <c r="BB1619" s="331">
        <f>SQRT(($R1619-Infrastructure!J$9)^2+($S1619-Infrastructure!K$9)^2)</f>
        <v>38.68397601</v>
      </c>
      <c r="BC1619" s="331">
        <f>SQRT(($R1619-Infrastructure!J$10)^2+($S1619-Infrastructure!K$10)^2)</f>
        <v>30.15592811</v>
      </c>
      <c r="BD1619" s="331">
        <f>SQRT(($R1619-Infrastructure!J$11)^2+($S1619-Infrastructure!K$11)^2)</f>
        <v>20.51194774</v>
      </c>
      <c r="BE1619" s="333">
        <f>SQRT(($R1619-Infrastructure!J$12)^2+($S1619-Infrastructure!K$12)^2)</f>
        <v>15.84550409</v>
      </c>
      <c r="BF1619" s="330">
        <f t="shared" si="161"/>
        <v>15.84550409</v>
      </c>
      <c r="BG1619" s="333">
        <f t="shared" si="162"/>
        <v>41.54708173</v>
      </c>
      <c r="BH1619" s="1119"/>
      <c r="BI1619" s="319"/>
      <c r="BJ1619" s="319"/>
      <c r="BK1619" s="319"/>
      <c r="BL1619" s="319"/>
      <c r="BM1619" s="319"/>
      <c r="BN1619" s="319"/>
      <c r="BO1619" s="319"/>
      <c r="BP1619" s="953"/>
      <c r="BQ1619" s="319"/>
      <c r="BR1619" s="319"/>
      <c r="BS1619" s="330">
        <f t="shared" si="169"/>
        <v>0</v>
      </c>
      <c r="BT1619" s="331">
        <f t="shared" si="170"/>
        <v>0</v>
      </c>
      <c r="BU1619" s="920"/>
      <c r="BV1619" s="903">
        <f t="shared" si="171"/>
        <v>-0.4944444444</v>
      </c>
      <c r="BW1619" s="907"/>
      <c r="BX1619" s="908"/>
      <c r="BY1619" s="331"/>
      <c r="BZ1619" s="340"/>
      <c r="CA1619" s="316"/>
      <c r="CB1619" s="318"/>
      <c r="CC1619" s="318"/>
      <c r="CD1619" s="318"/>
      <c r="CE1619" s="318"/>
      <c r="CF1619" s="318"/>
      <c r="CG1619" s="318"/>
      <c r="CH1619" s="318"/>
      <c r="CI1619" s="318"/>
      <c r="CJ1619" s="463"/>
      <c r="CK1619" s="342"/>
      <c r="CL1619" s="333"/>
      <c r="CM1619" s="1079"/>
      <c r="CN1619" s="1005"/>
      <c r="CO1619" s="1005"/>
      <c r="CP1619" s="1005"/>
    </row>
    <row r="1620">
      <c r="B1620" s="1106" t="s">
        <v>1916</v>
      </c>
      <c r="C1620" s="1107">
        <v>44951.0</v>
      </c>
      <c r="D1620" s="103"/>
      <c r="E1620" s="1108">
        <v>5.0</v>
      </c>
      <c r="F1620" s="112" t="s">
        <v>2309</v>
      </c>
      <c r="G1620" s="1110">
        <v>0.6593171296296296</v>
      </c>
      <c r="H1620" s="1110">
        <v>0.6596064814814815</v>
      </c>
      <c r="I1620" s="1110"/>
      <c r="J1620" s="1111"/>
      <c r="K1620" s="1111">
        <v>0.6603009259259259</v>
      </c>
      <c r="L1620" s="1112">
        <v>6.944444444444445E-4</v>
      </c>
      <c r="M1620" s="1113" t="s">
        <v>166</v>
      </c>
      <c r="N1620" s="110" t="s">
        <v>188</v>
      </c>
      <c r="O1620" s="1115" t="s">
        <v>378</v>
      </c>
      <c r="P1620" s="1115" t="s">
        <v>225</v>
      </c>
      <c r="Q1620" s="1115" t="s">
        <v>842</v>
      </c>
      <c r="R1620" s="120">
        <v>22.7</v>
      </c>
      <c r="S1620" s="1113">
        <v>39.7</v>
      </c>
      <c r="T1620" s="110">
        <v>1.1</v>
      </c>
      <c r="U1620" s="1108">
        <v>10.0</v>
      </c>
      <c r="V1620" s="1108"/>
      <c r="W1620" s="1108"/>
      <c r="X1620" s="1108"/>
      <c r="Y1620" s="1108"/>
      <c r="Z1620" s="1114" t="s">
        <v>1140</v>
      </c>
      <c r="AA1620" s="1114"/>
      <c r="AB1620" s="1114" t="s">
        <v>398</v>
      </c>
      <c r="AC1620" s="1117">
        <v>6.0</v>
      </c>
      <c r="AD1620" s="1115"/>
      <c r="AE1620" s="1115"/>
      <c r="AF1620" s="1115"/>
      <c r="AG1620" s="1115"/>
      <c r="AH1620" s="1115"/>
      <c r="AI1620" s="1115"/>
      <c r="AJ1620" s="1117"/>
      <c r="AK1620" s="1118"/>
      <c r="AL1620" s="1115"/>
      <c r="AM1620" s="1115"/>
      <c r="AN1620" s="1115"/>
      <c r="AO1620" s="1115"/>
      <c r="AP1620" s="1115"/>
      <c r="AQ1620" s="1115"/>
      <c r="AR1620" s="1115"/>
      <c r="AS1620" s="1117"/>
      <c r="AT1620" s="1196" t="str">
        <f t="shared" si="172"/>
        <v>10+</v>
      </c>
      <c r="AU1620" s="1193"/>
      <c r="AV1620" s="330">
        <f>SQRT(($R1620-Infrastructure!J$3)^2+($S1620-Infrastructure!K$3)^2)</f>
        <v>25.40944706</v>
      </c>
      <c r="AW1620" s="331">
        <f>SQRT(($R1620-Infrastructure!J$4)^2+($S1620-Infrastructure!K$4)^2)</f>
        <v>31.75862088</v>
      </c>
      <c r="AX1620" s="331">
        <f>SQRT(($R1620-Infrastructure!J$5)^2+($S1620-Infrastructure!K$5)^2)</f>
        <v>41.54708173</v>
      </c>
      <c r="AY1620" s="331">
        <f>SQRT(($R1620-Infrastructure!J$6)^2+($S1620-Infrastructure!K$6)^2)</f>
        <v>41.36568626</v>
      </c>
      <c r="AZ1620" s="331">
        <f>SQRT(($R1620-Infrastructure!J$7)^2+($S1620-Infrastructure!K$7)^2)</f>
        <v>39.46137352</v>
      </c>
      <c r="BA1620" s="331">
        <f>SQRT(($R1620-Infrastructure!J$8)^2+($S1620-Infrastructure!K$8)^2)</f>
        <v>40.08890121</v>
      </c>
      <c r="BB1620" s="331">
        <f>SQRT(($R1620-Infrastructure!J$9)^2+($S1620-Infrastructure!K$9)^2)</f>
        <v>38.68397601</v>
      </c>
      <c r="BC1620" s="331">
        <f>SQRT(($R1620-Infrastructure!J$10)^2+($S1620-Infrastructure!K$10)^2)</f>
        <v>30.15592811</v>
      </c>
      <c r="BD1620" s="331">
        <f>SQRT(($R1620-Infrastructure!J$11)^2+($S1620-Infrastructure!K$11)^2)</f>
        <v>20.51194774</v>
      </c>
      <c r="BE1620" s="333">
        <f>SQRT(($R1620-Infrastructure!J$12)^2+($S1620-Infrastructure!K$12)^2)</f>
        <v>15.84550409</v>
      </c>
      <c r="BF1620" s="330">
        <f t="shared" si="161"/>
        <v>15.84550409</v>
      </c>
      <c r="BG1620" s="333">
        <f t="shared" si="162"/>
        <v>41.54708173</v>
      </c>
      <c r="BH1620" s="1119"/>
      <c r="BI1620" s="319"/>
      <c r="BJ1620" s="319"/>
      <c r="BK1620" s="319"/>
      <c r="BL1620" s="319"/>
      <c r="BM1620" s="319"/>
      <c r="BN1620" s="319"/>
      <c r="BO1620" s="319"/>
      <c r="BP1620" s="953"/>
      <c r="BQ1620" s="319"/>
      <c r="BR1620" s="319"/>
      <c r="BS1620" s="330">
        <f t="shared" si="169"/>
        <v>0</v>
      </c>
      <c r="BT1620" s="331">
        <f t="shared" si="170"/>
        <v>0</v>
      </c>
      <c r="BU1620" s="920"/>
      <c r="BV1620" s="903">
        <f t="shared" si="171"/>
        <v>-0.6593171296</v>
      </c>
      <c r="BW1620" s="907"/>
      <c r="BX1620" s="908"/>
      <c r="BY1620" s="331"/>
      <c r="BZ1620" s="340"/>
      <c r="CA1620" s="316"/>
      <c r="CB1620" s="318"/>
      <c r="CC1620" s="318"/>
      <c r="CD1620" s="318"/>
      <c r="CE1620" s="318"/>
      <c r="CF1620" s="318"/>
      <c r="CG1620" s="318"/>
      <c r="CH1620" s="318"/>
      <c r="CI1620" s="318"/>
      <c r="CJ1620" s="463"/>
      <c r="CK1620" s="342"/>
      <c r="CL1620" s="333"/>
      <c r="CM1620" s="1079"/>
      <c r="CN1620" s="1005"/>
      <c r="CO1620" s="1005"/>
      <c r="CP1620" s="1005"/>
    </row>
    <row r="1621">
      <c r="B1621" s="1106" t="s">
        <v>1916</v>
      </c>
      <c r="C1621" s="1107">
        <v>44951.0</v>
      </c>
      <c r="D1621" s="103"/>
      <c r="E1621" s="1108">
        <v>6.0</v>
      </c>
      <c r="F1621" s="112" t="s">
        <v>2310</v>
      </c>
      <c r="G1621" s="1110">
        <v>0.6612847222222222</v>
      </c>
      <c r="H1621" s="1138"/>
      <c r="I1621" s="1138"/>
      <c r="J1621" s="1139"/>
      <c r="K1621" s="1111">
        <v>0.661886574074074</v>
      </c>
      <c r="L1621" s="1112">
        <v>6.018518518518519E-4</v>
      </c>
      <c r="M1621" s="1113" t="s">
        <v>166</v>
      </c>
      <c r="N1621" s="110" t="s">
        <v>188</v>
      </c>
      <c r="O1621" s="1115" t="s">
        <v>196</v>
      </c>
      <c r="P1621" s="1115" t="s">
        <v>224</v>
      </c>
      <c r="Q1621" s="1115" t="s">
        <v>842</v>
      </c>
      <c r="R1621" s="120">
        <v>21.7</v>
      </c>
      <c r="S1621" s="1113">
        <v>39.5</v>
      </c>
      <c r="T1621" s="110">
        <v>1.3</v>
      </c>
      <c r="U1621" s="1108">
        <v>25.0</v>
      </c>
      <c r="V1621" s="1108"/>
      <c r="W1621" s="1108"/>
      <c r="X1621" s="1108"/>
      <c r="Y1621" s="1108"/>
      <c r="Z1621" s="1114" t="s">
        <v>387</v>
      </c>
      <c r="AA1621" s="1114"/>
      <c r="AB1621" s="1114" t="s">
        <v>416</v>
      </c>
      <c r="AC1621" s="1117">
        <v>52.5</v>
      </c>
      <c r="AD1621" s="1115"/>
      <c r="AE1621" s="1115"/>
      <c r="AF1621" s="1115"/>
      <c r="AG1621" s="1115"/>
      <c r="AH1621" s="1115"/>
      <c r="AI1621" s="1115"/>
      <c r="AJ1621" s="1117"/>
      <c r="AK1621" s="1118"/>
      <c r="AL1621" s="1115"/>
      <c r="AM1621" s="1115"/>
      <c r="AN1621" s="1115"/>
      <c r="AO1621" s="1115"/>
      <c r="AP1621" s="1115"/>
      <c r="AQ1621" s="1115"/>
      <c r="AR1621" s="1115"/>
      <c r="AS1621" s="1117"/>
      <c r="AT1621" s="1196" t="str">
        <f t="shared" si="172"/>
        <v>10+</v>
      </c>
      <c r="AU1621" s="1193"/>
      <c r="AV1621" s="330">
        <f>SQRT(($R1621-Infrastructure!J$3)^2+($S1621-Infrastructure!K$3)^2)</f>
        <v>24.42048321</v>
      </c>
      <c r="AW1621" s="331">
        <f>SQRT(($R1621-Infrastructure!J$4)^2+($S1621-Infrastructure!K$4)^2)</f>
        <v>30.90129447</v>
      </c>
      <c r="AX1621" s="331">
        <f>SQRT(($R1621-Infrastructure!J$5)^2+($S1621-Infrastructure!K$5)^2)</f>
        <v>40.83331973</v>
      </c>
      <c r="AY1621" s="331">
        <f>SQRT(($R1621-Infrastructure!J$6)^2+($S1621-Infrastructure!K$6)^2)</f>
        <v>40.88031311</v>
      </c>
      <c r="AZ1621" s="331">
        <f>SQRT(($R1621-Infrastructure!J$7)^2+($S1621-Infrastructure!K$7)^2)</f>
        <v>39.21836305</v>
      </c>
      <c r="BA1621" s="331">
        <f>SQRT(($R1621-Infrastructure!J$8)^2+($S1621-Infrastructure!K$8)^2)</f>
        <v>40.08989898</v>
      </c>
      <c r="BB1621" s="331">
        <f>SQRT(($R1621-Infrastructure!J$9)^2+($S1621-Infrastructure!K$9)^2)</f>
        <v>38.96472764</v>
      </c>
      <c r="BC1621" s="331">
        <f>SQRT(($R1621-Infrastructure!J$10)^2+($S1621-Infrastructure!K$10)^2)</f>
        <v>30.58005886</v>
      </c>
      <c r="BD1621" s="331">
        <f>SQRT(($R1621-Infrastructure!J$11)^2+($S1621-Infrastructure!K$11)^2)</f>
        <v>21.27204739</v>
      </c>
      <c r="BE1621" s="333">
        <f>SQRT(($R1621-Infrastructure!J$12)^2+($S1621-Infrastructure!K$12)^2)</f>
        <v>16.00124995</v>
      </c>
      <c r="BF1621" s="330">
        <f t="shared" si="161"/>
        <v>16.00124995</v>
      </c>
      <c r="BG1621" s="333">
        <f t="shared" si="162"/>
        <v>40.88031311</v>
      </c>
      <c r="BH1621" s="1119"/>
      <c r="BI1621" s="319"/>
      <c r="BJ1621" s="319"/>
      <c r="BK1621" s="319"/>
      <c r="BL1621" s="319"/>
      <c r="BM1621" s="319"/>
      <c r="BN1621" s="319"/>
      <c r="BO1621" s="319"/>
      <c r="BP1621" s="953"/>
      <c r="BQ1621" s="319"/>
      <c r="BR1621" s="319"/>
      <c r="BS1621" s="330">
        <f t="shared" si="169"/>
        <v>0</v>
      </c>
      <c r="BT1621" s="331">
        <f t="shared" si="170"/>
        <v>0</v>
      </c>
      <c r="BU1621" s="920"/>
      <c r="BV1621" s="903">
        <f t="shared" si="171"/>
        <v>-0.6612847222</v>
      </c>
      <c r="BW1621" s="907"/>
      <c r="BX1621" s="908"/>
      <c r="BY1621" s="331"/>
      <c r="BZ1621" s="340"/>
      <c r="CA1621" s="316"/>
      <c r="CB1621" s="318"/>
      <c r="CC1621" s="318"/>
      <c r="CD1621" s="318"/>
      <c r="CE1621" s="318"/>
      <c r="CF1621" s="318"/>
      <c r="CG1621" s="318"/>
      <c r="CH1621" s="318"/>
      <c r="CI1621" s="318"/>
      <c r="CJ1621" s="463"/>
      <c r="CK1621" s="342"/>
      <c r="CL1621" s="333"/>
      <c r="CM1621" s="1079"/>
      <c r="CN1621" s="1005"/>
      <c r="CO1621" s="1005"/>
      <c r="CP1621" s="1005"/>
    </row>
    <row r="1622">
      <c r="B1622" s="1106" t="s">
        <v>1916</v>
      </c>
      <c r="C1622" s="1107">
        <v>44951.0</v>
      </c>
      <c r="D1622" s="103"/>
      <c r="E1622" s="1137"/>
      <c r="F1622" s="112" t="s">
        <v>2311</v>
      </c>
      <c r="G1622" s="1110">
        <v>0.6972222222222222</v>
      </c>
      <c r="H1622" s="1138"/>
      <c r="I1622" s="1138"/>
      <c r="J1622" s="1139"/>
      <c r="K1622" s="1111">
        <v>0.6982638888888889</v>
      </c>
      <c r="L1622" s="1112">
        <v>0.0010416666666666667</v>
      </c>
      <c r="M1622" s="1113" t="s">
        <v>166</v>
      </c>
      <c r="N1622" s="110" t="s">
        <v>188</v>
      </c>
      <c r="O1622" s="1140"/>
      <c r="P1622" s="1115" t="s">
        <v>292</v>
      </c>
      <c r="Q1622" s="1116"/>
      <c r="R1622" s="1141"/>
      <c r="S1622" s="1142"/>
      <c r="T1622" s="1143"/>
      <c r="U1622" s="1137"/>
      <c r="V1622" s="1137"/>
      <c r="W1622" s="1137"/>
      <c r="X1622" s="1137"/>
      <c r="Y1622" s="1137"/>
      <c r="Z1622" s="1114" t="s">
        <v>323</v>
      </c>
      <c r="AA1622" s="1114"/>
      <c r="AB1622" s="1114" t="s">
        <v>323</v>
      </c>
      <c r="AC1622" s="1117" t="s">
        <v>323</v>
      </c>
      <c r="AD1622" s="1115"/>
      <c r="AE1622" s="1115"/>
      <c r="AF1622" s="1115"/>
      <c r="AG1622" s="1115"/>
      <c r="AH1622" s="1115"/>
      <c r="AI1622" s="1115"/>
      <c r="AJ1622" s="1117"/>
      <c r="AK1622" s="1118"/>
      <c r="AL1622" s="1115"/>
      <c r="AM1622" s="1115"/>
      <c r="AN1622" s="1115"/>
      <c r="AO1622" s="1115"/>
      <c r="AP1622" s="1115"/>
      <c r="AQ1622" s="1115"/>
      <c r="AR1622" s="1115"/>
      <c r="AS1622" s="1117"/>
      <c r="AT1622" s="1196" t="str">
        <f t="shared" si="172"/>
        <v/>
      </c>
      <c r="AU1622" s="1193"/>
      <c r="AV1622" s="330">
        <f>SQRT(($R1622-Infrastructure!J$3)^2+($S1622-Infrastructure!K$3)^2)</f>
        <v>28.90155705</v>
      </c>
      <c r="AW1622" s="331">
        <f>SQRT(($R1622-Infrastructure!J$4)^2+($S1622-Infrastructure!K$4)^2)</f>
        <v>17.80252791</v>
      </c>
      <c r="AX1622" s="331">
        <f>SQRT(($R1622-Infrastructure!J$5)^2+($S1622-Infrastructure!K$5)^2)</f>
        <v>5.10881591</v>
      </c>
      <c r="AY1622" s="331">
        <f>SQRT(($R1622-Infrastructure!J$6)^2+($S1622-Infrastructure!K$6)^2)</f>
        <v>10.10445446</v>
      </c>
      <c r="AZ1622" s="331">
        <f>SQRT(($R1622-Infrastructure!J$7)^2+($S1622-Infrastructure!K$7)^2)</f>
        <v>20.502195</v>
      </c>
      <c r="BA1622" s="331">
        <f>SQRT(($R1622-Infrastructure!J$8)^2+($S1622-Infrastructure!K$8)^2)</f>
        <v>30.10149498</v>
      </c>
      <c r="BB1622" s="331">
        <f>SQRT(($R1622-Infrastructure!J$9)^2+($S1622-Infrastructure!K$9)^2)</f>
        <v>40.3238143</v>
      </c>
      <c r="BC1622" s="331">
        <f>SQRT(($R1622-Infrastructure!J$10)^2+($S1622-Infrastructure!K$10)^2)</f>
        <v>42.72001873</v>
      </c>
      <c r="BD1622" s="331">
        <f>SQRT(($R1622-Infrastructure!J$11)^2+($S1622-Infrastructure!K$11)^2)</f>
        <v>49.56853841</v>
      </c>
      <c r="BE1622" s="333">
        <f>SQRT(($R1622-Infrastructure!J$12)^2+($S1622-Infrastructure!K$12)^2)</f>
        <v>59.51890456</v>
      </c>
      <c r="BF1622" s="330">
        <f t="shared" si="161"/>
        <v>5.10881591</v>
      </c>
      <c r="BG1622" s="333">
        <f t="shared" si="162"/>
        <v>59.51890456</v>
      </c>
      <c r="BH1622" s="1119"/>
      <c r="BI1622" s="319"/>
      <c r="BJ1622" s="319"/>
      <c r="BK1622" s="319"/>
      <c r="BL1622" s="319"/>
      <c r="BM1622" s="319"/>
      <c r="BN1622" s="319"/>
      <c r="BO1622" s="319"/>
      <c r="BP1622" s="953"/>
      <c r="BQ1622" s="319"/>
      <c r="BR1622" s="319"/>
      <c r="BS1622" s="330">
        <f t="shared" si="169"/>
        <v>0</v>
      </c>
      <c r="BT1622" s="331">
        <f t="shared" si="170"/>
        <v>0</v>
      </c>
      <c r="BU1622" s="920"/>
      <c r="BV1622" s="903">
        <f t="shared" si="171"/>
        <v>-0.6972222222</v>
      </c>
      <c r="BW1622" s="907"/>
      <c r="BX1622" s="908"/>
      <c r="BY1622" s="331"/>
      <c r="BZ1622" s="340"/>
      <c r="CA1622" s="316"/>
      <c r="CB1622" s="318"/>
      <c r="CC1622" s="318"/>
      <c r="CD1622" s="318"/>
      <c r="CE1622" s="318"/>
      <c r="CF1622" s="318"/>
      <c r="CG1622" s="318"/>
      <c r="CH1622" s="318"/>
      <c r="CI1622" s="318"/>
      <c r="CJ1622" s="463"/>
      <c r="CK1622" s="342"/>
      <c r="CL1622" s="333"/>
      <c r="CM1622" s="1079"/>
      <c r="CN1622" s="1005"/>
      <c r="CO1622" s="1005"/>
      <c r="CP1622" s="1005"/>
    </row>
    <row r="1623">
      <c r="A1623" s="634"/>
      <c r="B1623" s="1121" t="s">
        <v>1916</v>
      </c>
      <c r="C1623" s="1122">
        <v>44951.0</v>
      </c>
      <c r="D1623" s="1123"/>
      <c r="E1623" s="1144"/>
      <c r="F1623" s="108" t="s">
        <v>2311</v>
      </c>
      <c r="G1623" s="1126">
        <v>0.7020833333333333</v>
      </c>
      <c r="H1623" s="1145"/>
      <c r="I1623" s="1145"/>
      <c r="J1623" s="1146"/>
      <c r="K1623" s="1127">
        <v>0.7027777777777777</v>
      </c>
      <c r="L1623" s="1128">
        <v>6.944444444444445E-4</v>
      </c>
      <c r="M1623" s="1129" t="s">
        <v>358</v>
      </c>
      <c r="N1623" s="100" t="s">
        <v>188</v>
      </c>
      <c r="O1623" s="1161"/>
      <c r="P1623" s="1131" t="s">
        <v>294</v>
      </c>
      <c r="Q1623" s="1132"/>
      <c r="R1623" s="1148"/>
      <c r="S1623" s="1149"/>
      <c r="T1623" s="1150"/>
      <c r="U1623" s="1144"/>
      <c r="V1623" s="1144"/>
      <c r="W1623" s="1144"/>
      <c r="X1623" s="1144"/>
      <c r="Y1623" s="1144"/>
      <c r="Z1623" s="1130" t="s">
        <v>323</v>
      </c>
      <c r="AA1623" s="1130"/>
      <c r="AB1623" s="1130" t="s">
        <v>323</v>
      </c>
      <c r="AC1623" s="1133" t="s">
        <v>323</v>
      </c>
      <c r="AD1623" s="1131"/>
      <c r="AE1623" s="1131"/>
      <c r="AF1623" s="1131"/>
      <c r="AG1623" s="1131"/>
      <c r="AH1623" s="1131"/>
      <c r="AI1623" s="1131"/>
      <c r="AJ1623" s="1133"/>
      <c r="AK1623" s="1134"/>
      <c r="AL1623" s="1131"/>
      <c r="AM1623" s="1131"/>
      <c r="AN1623" s="1131"/>
      <c r="AO1623" s="1131"/>
      <c r="AP1623" s="1131"/>
      <c r="AQ1623" s="1131"/>
      <c r="AR1623" s="1131"/>
      <c r="AS1623" s="1133"/>
      <c r="AT1623" s="1197" t="str">
        <f t="shared" si="172"/>
        <v/>
      </c>
      <c r="AU1623" s="1194"/>
      <c r="AV1623" s="330">
        <f>SQRT(($R1623-Infrastructure!J$3)^2+($S1623-Infrastructure!K$3)^2)</f>
        <v>28.90155705</v>
      </c>
      <c r="AW1623" s="331">
        <f>SQRT(($R1623-Infrastructure!J$4)^2+($S1623-Infrastructure!K$4)^2)</f>
        <v>17.80252791</v>
      </c>
      <c r="AX1623" s="331">
        <f>SQRT(($R1623-Infrastructure!J$5)^2+($S1623-Infrastructure!K$5)^2)</f>
        <v>5.10881591</v>
      </c>
      <c r="AY1623" s="331">
        <f>SQRT(($R1623-Infrastructure!J$6)^2+($S1623-Infrastructure!K$6)^2)</f>
        <v>10.10445446</v>
      </c>
      <c r="AZ1623" s="331">
        <f>SQRT(($R1623-Infrastructure!J$7)^2+($S1623-Infrastructure!K$7)^2)</f>
        <v>20.502195</v>
      </c>
      <c r="BA1623" s="331">
        <f>SQRT(($R1623-Infrastructure!J$8)^2+($S1623-Infrastructure!K$8)^2)</f>
        <v>30.10149498</v>
      </c>
      <c r="BB1623" s="331">
        <f>SQRT(($R1623-Infrastructure!J$9)^2+($S1623-Infrastructure!K$9)^2)</f>
        <v>40.3238143</v>
      </c>
      <c r="BC1623" s="331">
        <f>SQRT(($R1623-Infrastructure!J$10)^2+($S1623-Infrastructure!K$10)^2)</f>
        <v>42.72001873</v>
      </c>
      <c r="BD1623" s="331">
        <f>SQRT(($R1623-Infrastructure!J$11)^2+($S1623-Infrastructure!K$11)^2)</f>
        <v>49.56853841</v>
      </c>
      <c r="BE1623" s="333">
        <f>SQRT(($R1623-Infrastructure!J$12)^2+($S1623-Infrastructure!K$12)^2)</f>
        <v>59.51890456</v>
      </c>
      <c r="BF1623" s="330">
        <f t="shared" si="161"/>
        <v>5.10881591</v>
      </c>
      <c r="BG1623" s="333">
        <f t="shared" si="162"/>
        <v>59.51890456</v>
      </c>
      <c r="BH1623" s="1135"/>
      <c r="BI1623" s="663"/>
      <c r="BJ1623" s="663"/>
      <c r="BK1623" s="663"/>
      <c r="BL1623" s="663"/>
      <c r="BM1623" s="663"/>
      <c r="BN1623" s="663"/>
      <c r="BO1623" s="663"/>
      <c r="BP1623" s="958"/>
      <c r="BQ1623" s="663"/>
      <c r="BR1623" s="663"/>
      <c r="BS1623" s="330">
        <f t="shared" si="169"/>
        <v>0</v>
      </c>
      <c r="BT1623" s="331">
        <f t="shared" si="170"/>
        <v>0</v>
      </c>
      <c r="BU1623" s="920"/>
      <c r="BV1623" s="903">
        <f t="shared" si="171"/>
        <v>-0.7020833333</v>
      </c>
      <c r="BW1623" s="938"/>
      <c r="BX1623" s="939"/>
      <c r="BY1623" s="641"/>
      <c r="BZ1623" s="742"/>
      <c r="CA1623" s="639"/>
      <c r="CB1623" s="640"/>
      <c r="CC1623" s="640"/>
      <c r="CD1623" s="640"/>
      <c r="CE1623" s="640"/>
      <c r="CF1623" s="640"/>
      <c r="CG1623" s="640"/>
      <c r="CH1623" s="640"/>
      <c r="CI1623" s="640"/>
      <c r="CJ1623" s="785"/>
      <c r="CK1623" s="743"/>
      <c r="CL1623" s="642"/>
      <c r="CM1623" s="1090"/>
      <c r="CN1623" s="1005"/>
      <c r="CO1623" s="1005"/>
      <c r="CP1623" s="1005"/>
    </row>
    <row r="1624">
      <c r="A1624" s="1162" t="s">
        <v>65</v>
      </c>
      <c r="B1624" s="1106" t="s">
        <v>2312</v>
      </c>
      <c r="C1624" s="1107">
        <v>44956.0</v>
      </c>
      <c r="D1624" s="103"/>
      <c r="E1624" s="1108">
        <v>1.0</v>
      </c>
      <c r="F1624" s="112" t="s">
        <v>2313</v>
      </c>
      <c r="G1624" s="1110">
        <v>0.6101273148148149</v>
      </c>
      <c r="H1624" s="1138"/>
      <c r="I1624" s="1138"/>
      <c r="J1624" s="1139"/>
      <c r="K1624" s="1111">
        <v>0.6107638888888889</v>
      </c>
      <c r="L1624" s="1112">
        <v>6.365740740740741E-4</v>
      </c>
      <c r="M1624" s="1113" t="s">
        <v>166</v>
      </c>
      <c r="N1624" s="110" t="s">
        <v>188</v>
      </c>
      <c r="O1624" s="1115" t="s">
        <v>196</v>
      </c>
      <c r="P1624" s="1115" t="s">
        <v>224</v>
      </c>
      <c r="Q1624" s="1115" t="s">
        <v>842</v>
      </c>
      <c r="R1624" s="120">
        <v>21.7</v>
      </c>
      <c r="S1624" s="1113">
        <v>39.5</v>
      </c>
      <c r="T1624" s="110">
        <v>1.3</v>
      </c>
      <c r="U1624" s="1108">
        <v>20.0</v>
      </c>
      <c r="V1624" s="1108"/>
      <c r="W1624" s="1108"/>
      <c r="X1624" s="1108"/>
      <c r="Y1624" s="1108"/>
      <c r="Z1624" s="1114" t="s">
        <v>387</v>
      </c>
      <c r="AA1624" s="1114"/>
      <c r="AB1624" s="1114" t="s">
        <v>416</v>
      </c>
      <c r="AC1624" s="1117">
        <v>52.5</v>
      </c>
      <c r="AD1624" s="1115"/>
      <c r="AE1624" s="1115"/>
      <c r="AF1624" s="1115"/>
      <c r="AG1624" s="1115"/>
      <c r="AH1624" s="1115"/>
      <c r="AI1624" s="1115"/>
      <c r="AJ1624" s="1117"/>
      <c r="AK1624" s="1118"/>
      <c r="AL1624" s="1115"/>
      <c r="AM1624" s="1115"/>
      <c r="AN1624" s="1115"/>
      <c r="AO1624" s="1115"/>
      <c r="AP1624" s="1115"/>
      <c r="AQ1624" s="1115"/>
      <c r="AR1624" s="1115"/>
      <c r="AS1624" s="1117"/>
      <c r="AT1624" s="1196" t="str">
        <f t="shared" si="172"/>
        <v>10+</v>
      </c>
      <c r="AU1624" s="1193"/>
      <c r="AV1624" s="330">
        <f>SQRT(($R1624-Infrastructure!J$3)^2+($S1624-Infrastructure!K$3)^2)</f>
        <v>24.42048321</v>
      </c>
      <c r="AW1624" s="331">
        <f>SQRT(($R1624-Infrastructure!J$4)^2+($S1624-Infrastructure!K$4)^2)</f>
        <v>30.90129447</v>
      </c>
      <c r="AX1624" s="331">
        <f>SQRT(($R1624-Infrastructure!J$5)^2+($S1624-Infrastructure!K$5)^2)</f>
        <v>40.83331973</v>
      </c>
      <c r="AY1624" s="331">
        <f>SQRT(($R1624-Infrastructure!J$6)^2+($S1624-Infrastructure!K$6)^2)</f>
        <v>40.88031311</v>
      </c>
      <c r="AZ1624" s="331">
        <f>SQRT(($R1624-Infrastructure!J$7)^2+($S1624-Infrastructure!K$7)^2)</f>
        <v>39.21836305</v>
      </c>
      <c r="BA1624" s="331">
        <f>SQRT(($R1624-Infrastructure!J$8)^2+($S1624-Infrastructure!K$8)^2)</f>
        <v>40.08989898</v>
      </c>
      <c r="BB1624" s="331">
        <f>SQRT(($R1624-Infrastructure!J$9)^2+($S1624-Infrastructure!K$9)^2)</f>
        <v>38.96472764</v>
      </c>
      <c r="BC1624" s="331">
        <f>SQRT(($R1624-Infrastructure!J$10)^2+($S1624-Infrastructure!K$10)^2)</f>
        <v>30.58005886</v>
      </c>
      <c r="BD1624" s="331">
        <f>SQRT(($R1624-Infrastructure!J$11)^2+($S1624-Infrastructure!K$11)^2)</f>
        <v>21.27204739</v>
      </c>
      <c r="BE1624" s="333">
        <f>SQRT(($R1624-Infrastructure!J$12)^2+($S1624-Infrastructure!K$12)^2)</f>
        <v>16.00124995</v>
      </c>
      <c r="BF1624" s="330">
        <f t="shared" si="161"/>
        <v>16.00124995</v>
      </c>
      <c r="BG1624" s="333">
        <f t="shared" si="162"/>
        <v>40.88031311</v>
      </c>
      <c r="BH1624" s="1119"/>
      <c r="BI1624" s="319"/>
      <c r="BJ1624" s="319"/>
      <c r="BK1624" s="319"/>
      <c r="BL1624" s="319"/>
      <c r="BM1624" s="319"/>
      <c r="BN1624" s="319"/>
      <c r="BO1624" s="319"/>
      <c r="BP1624" s="953"/>
      <c r="BQ1624" s="319"/>
      <c r="BR1624" s="319"/>
      <c r="BS1624" s="405">
        <f t="shared" si="169"/>
        <v>0</v>
      </c>
      <c r="BT1624" s="406">
        <f t="shared" si="170"/>
        <v>0</v>
      </c>
      <c r="BU1624" s="931"/>
      <c r="BV1624" s="901">
        <f t="shared" si="171"/>
        <v>-0.6101273148</v>
      </c>
      <c r="BW1624" s="907">
        <v>16.0</v>
      </c>
      <c r="BX1624" s="908">
        <v>23.0</v>
      </c>
      <c r="BY1624" s="331">
        <f>IF(BW1624&gt;0, SQRT((R1624-BW1624)^2+(S1624-BX1624)^2))</f>
        <v>17.45680383</v>
      </c>
      <c r="BZ1624" s="340"/>
      <c r="CA1624" s="316"/>
      <c r="CB1624" s="318"/>
      <c r="CC1624" s="318"/>
      <c r="CD1624" s="318"/>
      <c r="CE1624" s="318"/>
      <c r="CF1624" s="318"/>
      <c r="CG1624" s="318"/>
      <c r="CH1624" s="318"/>
      <c r="CI1624" s="318"/>
      <c r="CJ1624" s="463"/>
      <c r="CK1624" s="342"/>
      <c r="CL1624" s="333"/>
      <c r="CM1624" s="1079"/>
      <c r="CN1624" s="1005"/>
      <c r="CO1624" s="1005"/>
      <c r="CP1624" s="1005"/>
    </row>
    <row r="1625">
      <c r="B1625" s="1106" t="s">
        <v>2312</v>
      </c>
      <c r="C1625" s="1107">
        <v>44956.0</v>
      </c>
      <c r="D1625" s="103"/>
      <c r="E1625" s="1108">
        <v>2.0</v>
      </c>
      <c r="F1625" s="112" t="s">
        <v>2314</v>
      </c>
      <c r="G1625" s="1110">
        <v>0.6145833333333334</v>
      </c>
      <c r="H1625" s="1138"/>
      <c r="I1625" s="1138"/>
      <c r="J1625" s="1139"/>
      <c r="K1625" s="1111">
        <v>0.6149305555555555</v>
      </c>
      <c r="L1625" s="1112">
        <v>3.4722222222222224E-4</v>
      </c>
      <c r="M1625" s="1113" t="s">
        <v>166</v>
      </c>
      <c r="N1625" s="110" t="s">
        <v>188</v>
      </c>
      <c r="O1625" s="1115" t="s">
        <v>196</v>
      </c>
      <c r="P1625" s="1115" t="s">
        <v>224</v>
      </c>
      <c r="Q1625" s="1115" t="s">
        <v>842</v>
      </c>
      <c r="R1625" s="120">
        <v>21.7</v>
      </c>
      <c r="S1625" s="1113">
        <v>39.5</v>
      </c>
      <c r="T1625" s="110">
        <v>1.3</v>
      </c>
      <c r="U1625" s="1108">
        <v>20.0</v>
      </c>
      <c r="V1625" s="1108"/>
      <c r="W1625" s="1108"/>
      <c r="X1625" s="1108"/>
      <c r="Y1625" s="1108"/>
      <c r="Z1625" s="1114" t="s">
        <v>387</v>
      </c>
      <c r="AA1625" s="1114"/>
      <c r="AB1625" s="1114" t="s">
        <v>416</v>
      </c>
      <c r="AC1625" s="1117">
        <v>52.5</v>
      </c>
      <c r="AD1625" s="1115"/>
      <c r="AE1625" s="1115"/>
      <c r="AF1625" s="1115"/>
      <c r="AG1625" s="1115"/>
      <c r="AH1625" s="1115"/>
      <c r="AI1625" s="1115"/>
      <c r="AJ1625" s="1117"/>
      <c r="AK1625" s="1118"/>
      <c r="AL1625" s="1115"/>
      <c r="AM1625" s="1115"/>
      <c r="AN1625" s="1115"/>
      <c r="AO1625" s="1115"/>
      <c r="AP1625" s="1115"/>
      <c r="AQ1625" s="1115"/>
      <c r="AR1625" s="1115"/>
      <c r="AS1625" s="1117"/>
      <c r="AT1625" s="1196" t="str">
        <f t="shared" si="172"/>
        <v>10+</v>
      </c>
      <c r="AU1625" s="1193"/>
      <c r="AV1625" s="330">
        <f>SQRT(($R1625-Infrastructure!J$3)^2+($S1625-Infrastructure!K$3)^2)</f>
        <v>24.42048321</v>
      </c>
      <c r="AW1625" s="331">
        <f>SQRT(($R1625-Infrastructure!J$4)^2+($S1625-Infrastructure!K$4)^2)</f>
        <v>30.90129447</v>
      </c>
      <c r="AX1625" s="331">
        <f>SQRT(($R1625-Infrastructure!J$5)^2+($S1625-Infrastructure!K$5)^2)</f>
        <v>40.83331973</v>
      </c>
      <c r="AY1625" s="331">
        <f>SQRT(($R1625-Infrastructure!J$6)^2+($S1625-Infrastructure!K$6)^2)</f>
        <v>40.88031311</v>
      </c>
      <c r="AZ1625" s="331">
        <f>SQRT(($R1625-Infrastructure!J$7)^2+($S1625-Infrastructure!K$7)^2)</f>
        <v>39.21836305</v>
      </c>
      <c r="BA1625" s="331">
        <f>SQRT(($R1625-Infrastructure!J$8)^2+($S1625-Infrastructure!K$8)^2)</f>
        <v>40.08989898</v>
      </c>
      <c r="BB1625" s="331">
        <f>SQRT(($R1625-Infrastructure!J$9)^2+($S1625-Infrastructure!K$9)^2)</f>
        <v>38.96472764</v>
      </c>
      <c r="BC1625" s="331">
        <f>SQRT(($R1625-Infrastructure!J$10)^2+($S1625-Infrastructure!K$10)^2)</f>
        <v>30.58005886</v>
      </c>
      <c r="BD1625" s="331">
        <f>SQRT(($R1625-Infrastructure!J$11)^2+($S1625-Infrastructure!K$11)^2)</f>
        <v>21.27204739</v>
      </c>
      <c r="BE1625" s="333">
        <f>SQRT(($R1625-Infrastructure!J$12)^2+($S1625-Infrastructure!K$12)^2)</f>
        <v>16.00124995</v>
      </c>
      <c r="BF1625" s="330">
        <f t="shared" si="161"/>
        <v>16.00124995</v>
      </c>
      <c r="BG1625" s="333">
        <f t="shared" si="162"/>
        <v>40.88031311</v>
      </c>
      <c r="BH1625" s="1119"/>
      <c r="BI1625" s="319"/>
      <c r="BJ1625" s="319"/>
      <c r="BK1625" s="319"/>
      <c r="BL1625" s="319"/>
      <c r="BM1625" s="319"/>
      <c r="BN1625" s="319"/>
      <c r="BO1625" s="319"/>
      <c r="BP1625" s="953"/>
      <c r="BQ1625" s="319"/>
      <c r="BR1625" s="319"/>
      <c r="BS1625" s="330">
        <f t="shared" si="169"/>
        <v>0</v>
      </c>
      <c r="BT1625" s="331">
        <f t="shared" si="170"/>
        <v>0</v>
      </c>
      <c r="BU1625" s="920"/>
      <c r="BV1625" s="903">
        <f t="shared" si="171"/>
        <v>-0.6145833333</v>
      </c>
      <c r="BW1625" s="907"/>
      <c r="BX1625" s="908"/>
      <c r="BY1625" s="331"/>
      <c r="BZ1625" s="340"/>
      <c r="CA1625" s="316"/>
      <c r="CB1625" s="318"/>
      <c r="CC1625" s="318"/>
      <c r="CD1625" s="318"/>
      <c r="CE1625" s="318"/>
      <c r="CF1625" s="318"/>
      <c r="CG1625" s="318"/>
      <c r="CH1625" s="318"/>
      <c r="CI1625" s="318"/>
      <c r="CJ1625" s="463"/>
      <c r="CK1625" s="342"/>
      <c r="CL1625" s="333"/>
      <c r="CM1625" s="1079"/>
      <c r="CN1625" s="1005"/>
      <c r="CO1625" s="1005"/>
      <c r="CP1625" s="1005"/>
    </row>
    <row r="1626">
      <c r="B1626" s="1106" t="s">
        <v>2312</v>
      </c>
      <c r="C1626" s="1107">
        <v>44956.0</v>
      </c>
      <c r="D1626" s="103"/>
      <c r="E1626" s="1108">
        <v>3.0</v>
      </c>
      <c r="F1626" s="112" t="s">
        <v>2315</v>
      </c>
      <c r="G1626" s="1110">
        <v>0.6214699074074074</v>
      </c>
      <c r="H1626" s="1138"/>
      <c r="I1626" s="1138"/>
      <c r="J1626" s="1139"/>
      <c r="K1626" s="1111">
        <v>0.6220486111111111</v>
      </c>
      <c r="L1626" s="1112">
        <v>5.787037037037037E-4</v>
      </c>
      <c r="M1626" s="1113" t="s">
        <v>166</v>
      </c>
      <c r="N1626" s="110" t="s">
        <v>188</v>
      </c>
      <c r="O1626" s="1115" t="s">
        <v>196</v>
      </c>
      <c r="P1626" s="1115" t="s">
        <v>224</v>
      </c>
      <c r="Q1626" s="1115" t="s">
        <v>842</v>
      </c>
      <c r="R1626" s="120">
        <v>21.7</v>
      </c>
      <c r="S1626" s="1113">
        <v>39.5</v>
      </c>
      <c r="T1626" s="110">
        <v>1.3</v>
      </c>
      <c r="U1626" s="1108">
        <v>20.0</v>
      </c>
      <c r="V1626" s="1108"/>
      <c r="W1626" s="1108"/>
      <c r="X1626" s="1108"/>
      <c r="Y1626" s="1108"/>
      <c r="Z1626" s="1114" t="s">
        <v>387</v>
      </c>
      <c r="AA1626" s="1114"/>
      <c r="AB1626" s="1114" t="s">
        <v>416</v>
      </c>
      <c r="AC1626" s="1117">
        <v>52.5</v>
      </c>
      <c r="AD1626" s="1115"/>
      <c r="AE1626" s="1115"/>
      <c r="AF1626" s="1115"/>
      <c r="AG1626" s="1115"/>
      <c r="AH1626" s="1115"/>
      <c r="AI1626" s="1115"/>
      <c r="AJ1626" s="1117"/>
      <c r="AK1626" s="1118"/>
      <c r="AL1626" s="1115"/>
      <c r="AM1626" s="1115"/>
      <c r="AN1626" s="1115"/>
      <c r="AO1626" s="1115"/>
      <c r="AP1626" s="1115"/>
      <c r="AQ1626" s="1115"/>
      <c r="AR1626" s="1115"/>
      <c r="AS1626" s="1117"/>
      <c r="AT1626" s="1196" t="str">
        <f t="shared" si="172"/>
        <v>10+</v>
      </c>
      <c r="AU1626" s="1193"/>
      <c r="AV1626" s="330">
        <f>SQRT(($R1626-Infrastructure!J$3)^2+($S1626-Infrastructure!K$3)^2)</f>
        <v>24.42048321</v>
      </c>
      <c r="AW1626" s="331">
        <f>SQRT(($R1626-Infrastructure!J$4)^2+($S1626-Infrastructure!K$4)^2)</f>
        <v>30.90129447</v>
      </c>
      <c r="AX1626" s="331">
        <f>SQRT(($R1626-Infrastructure!J$5)^2+($S1626-Infrastructure!K$5)^2)</f>
        <v>40.83331973</v>
      </c>
      <c r="AY1626" s="331">
        <f>SQRT(($R1626-Infrastructure!J$6)^2+($S1626-Infrastructure!K$6)^2)</f>
        <v>40.88031311</v>
      </c>
      <c r="AZ1626" s="331">
        <f>SQRT(($R1626-Infrastructure!J$7)^2+($S1626-Infrastructure!K$7)^2)</f>
        <v>39.21836305</v>
      </c>
      <c r="BA1626" s="331">
        <f>SQRT(($R1626-Infrastructure!J$8)^2+($S1626-Infrastructure!K$8)^2)</f>
        <v>40.08989898</v>
      </c>
      <c r="BB1626" s="331">
        <f>SQRT(($R1626-Infrastructure!J$9)^2+($S1626-Infrastructure!K$9)^2)</f>
        <v>38.96472764</v>
      </c>
      <c r="BC1626" s="331">
        <f>SQRT(($R1626-Infrastructure!J$10)^2+($S1626-Infrastructure!K$10)^2)</f>
        <v>30.58005886</v>
      </c>
      <c r="BD1626" s="331">
        <f>SQRT(($R1626-Infrastructure!J$11)^2+($S1626-Infrastructure!K$11)^2)</f>
        <v>21.27204739</v>
      </c>
      <c r="BE1626" s="333">
        <f>SQRT(($R1626-Infrastructure!J$12)^2+($S1626-Infrastructure!K$12)^2)</f>
        <v>16.00124995</v>
      </c>
      <c r="BF1626" s="330">
        <f t="shared" si="161"/>
        <v>16.00124995</v>
      </c>
      <c r="BG1626" s="333">
        <f t="shared" si="162"/>
        <v>40.88031311</v>
      </c>
      <c r="BH1626" s="1119"/>
      <c r="BI1626" s="319"/>
      <c r="BJ1626" s="319"/>
      <c r="BK1626" s="319"/>
      <c r="BL1626" s="319"/>
      <c r="BM1626" s="319"/>
      <c r="BN1626" s="319"/>
      <c r="BO1626" s="319"/>
      <c r="BP1626" s="953"/>
      <c r="BQ1626" s="319"/>
      <c r="BR1626" s="319"/>
      <c r="BS1626" s="330">
        <f t="shared" si="169"/>
        <v>0</v>
      </c>
      <c r="BT1626" s="331">
        <f t="shared" si="170"/>
        <v>0</v>
      </c>
      <c r="BU1626" s="920"/>
      <c r="BV1626" s="903">
        <f t="shared" si="171"/>
        <v>-0.6214699074</v>
      </c>
      <c r="BW1626" s="907">
        <v>16.0</v>
      </c>
      <c r="BX1626" s="908">
        <v>24.0</v>
      </c>
      <c r="BY1626" s="331">
        <f t="shared" ref="BY1626:BY1629" si="173">IF(BW1626&gt;0, SQRT((R1626-BW1626)^2+(S1626-BX1626)^2))</f>
        <v>16.51484181</v>
      </c>
      <c r="BZ1626" s="340"/>
      <c r="CA1626" s="316"/>
      <c r="CB1626" s="318"/>
      <c r="CC1626" s="318"/>
      <c r="CD1626" s="318"/>
      <c r="CE1626" s="318"/>
      <c r="CF1626" s="318"/>
      <c r="CG1626" s="318"/>
      <c r="CH1626" s="318"/>
      <c r="CI1626" s="318"/>
      <c r="CJ1626" s="463"/>
      <c r="CK1626" s="342"/>
      <c r="CL1626" s="333"/>
      <c r="CM1626" s="1079"/>
      <c r="CN1626" s="1005"/>
      <c r="CO1626" s="1005"/>
      <c r="CP1626" s="1005"/>
    </row>
    <row r="1627">
      <c r="B1627" s="1106" t="s">
        <v>2312</v>
      </c>
      <c r="C1627" s="1107">
        <v>44956.0</v>
      </c>
      <c r="D1627" s="103"/>
      <c r="E1627" s="1108">
        <v>4.0</v>
      </c>
      <c r="F1627" s="112" t="s">
        <v>2316</v>
      </c>
      <c r="G1627" s="1110">
        <v>0.6236111111111111</v>
      </c>
      <c r="H1627" s="1138"/>
      <c r="I1627" s="1138"/>
      <c r="J1627" s="1139"/>
      <c r="K1627" s="1111">
        <v>0.6242476851851851</v>
      </c>
      <c r="L1627" s="1112">
        <v>6.365740740740741E-4</v>
      </c>
      <c r="M1627" s="1113" t="s">
        <v>166</v>
      </c>
      <c r="N1627" s="110" t="s">
        <v>188</v>
      </c>
      <c r="O1627" s="1115" t="s">
        <v>196</v>
      </c>
      <c r="P1627" s="1115" t="s">
        <v>224</v>
      </c>
      <c r="Q1627" s="1115" t="s">
        <v>842</v>
      </c>
      <c r="R1627" s="120">
        <v>21.7</v>
      </c>
      <c r="S1627" s="1113">
        <v>39.5</v>
      </c>
      <c r="T1627" s="110">
        <v>1.3</v>
      </c>
      <c r="U1627" s="1108">
        <v>20.0</v>
      </c>
      <c r="V1627" s="1108"/>
      <c r="W1627" s="1108"/>
      <c r="X1627" s="1108"/>
      <c r="Y1627" s="1108"/>
      <c r="Z1627" s="1114" t="s">
        <v>387</v>
      </c>
      <c r="AA1627" s="1114"/>
      <c r="AB1627" s="1114" t="s">
        <v>416</v>
      </c>
      <c r="AC1627" s="1117">
        <v>52.5</v>
      </c>
      <c r="AD1627" s="1115"/>
      <c r="AE1627" s="1115"/>
      <c r="AF1627" s="1115"/>
      <c r="AG1627" s="1115"/>
      <c r="AH1627" s="1115"/>
      <c r="AI1627" s="1115"/>
      <c r="AJ1627" s="1117"/>
      <c r="AK1627" s="1118"/>
      <c r="AL1627" s="1115"/>
      <c r="AM1627" s="1115"/>
      <c r="AN1627" s="1115"/>
      <c r="AO1627" s="1115"/>
      <c r="AP1627" s="1115"/>
      <c r="AQ1627" s="1115"/>
      <c r="AR1627" s="1115"/>
      <c r="AS1627" s="1117"/>
      <c r="AT1627" s="1196" t="str">
        <f t="shared" si="172"/>
        <v>10+</v>
      </c>
      <c r="AU1627" s="1193"/>
      <c r="AV1627" s="330">
        <f>SQRT(($R1627-Infrastructure!J$3)^2+($S1627-Infrastructure!K$3)^2)</f>
        <v>24.42048321</v>
      </c>
      <c r="AW1627" s="331">
        <f>SQRT(($R1627-Infrastructure!J$4)^2+($S1627-Infrastructure!K$4)^2)</f>
        <v>30.90129447</v>
      </c>
      <c r="AX1627" s="331">
        <f>SQRT(($R1627-Infrastructure!J$5)^2+($S1627-Infrastructure!K$5)^2)</f>
        <v>40.83331973</v>
      </c>
      <c r="AY1627" s="331">
        <f>SQRT(($R1627-Infrastructure!J$6)^2+($S1627-Infrastructure!K$6)^2)</f>
        <v>40.88031311</v>
      </c>
      <c r="AZ1627" s="331">
        <f>SQRT(($R1627-Infrastructure!J$7)^2+($S1627-Infrastructure!K$7)^2)</f>
        <v>39.21836305</v>
      </c>
      <c r="BA1627" s="331">
        <f>SQRT(($R1627-Infrastructure!J$8)^2+($S1627-Infrastructure!K$8)^2)</f>
        <v>40.08989898</v>
      </c>
      <c r="BB1627" s="331">
        <f>SQRT(($R1627-Infrastructure!J$9)^2+($S1627-Infrastructure!K$9)^2)</f>
        <v>38.96472764</v>
      </c>
      <c r="BC1627" s="331">
        <f>SQRT(($R1627-Infrastructure!J$10)^2+($S1627-Infrastructure!K$10)^2)</f>
        <v>30.58005886</v>
      </c>
      <c r="BD1627" s="331">
        <f>SQRT(($R1627-Infrastructure!J$11)^2+($S1627-Infrastructure!K$11)^2)</f>
        <v>21.27204739</v>
      </c>
      <c r="BE1627" s="333">
        <f>SQRT(($R1627-Infrastructure!J$12)^2+($S1627-Infrastructure!K$12)^2)</f>
        <v>16.00124995</v>
      </c>
      <c r="BF1627" s="330">
        <f t="shared" si="161"/>
        <v>16.00124995</v>
      </c>
      <c r="BG1627" s="333">
        <f t="shared" si="162"/>
        <v>40.88031311</v>
      </c>
      <c r="BH1627" s="1119"/>
      <c r="BI1627" s="319"/>
      <c r="BJ1627" s="319"/>
      <c r="BK1627" s="319"/>
      <c r="BL1627" s="319"/>
      <c r="BM1627" s="319"/>
      <c r="BN1627" s="319"/>
      <c r="BO1627" s="319"/>
      <c r="BP1627" s="953"/>
      <c r="BQ1627" s="319"/>
      <c r="BR1627" s="319"/>
      <c r="BS1627" s="330">
        <f t="shared" si="169"/>
        <v>0</v>
      </c>
      <c r="BT1627" s="331">
        <f t="shared" si="170"/>
        <v>0</v>
      </c>
      <c r="BU1627" s="920"/>
      <c r="BV1627" s="903">
        <f t="shared" si="171"/>
        <v>-0.6236111111</v>
      </c>
      <c r="BW1627" s="907">
        <v>18.0</v>
      </c>
      <c r="BX1627" s="908">
        <v>21.0</v>
      </c>
      <c r="BY1627" s="331">
        <f t="shared" si="173"/>
        <v>18.8663722</v>
      </c>
      <c r="BZ1627" s="340"/>
      <c r="CA1627" s="316"/>
      <c r="CB1627" s="318"/>
      <c r="CC1627" s="318"/>
      <c r="CD1627" s="318"/>
      <c r="CE1627" s="318"/>
      <c r="CF1627" s="318"/>
      <c r="CG1627" s="318"/>
      <c r="CH1627" s="318"/>
      <c r="CI1627" s="318"/>
      <c r="CJ1627" s="463"/>
      <c r="CK1627" s="342"/>
      <c r="CL1627" s="333"/>
      <c r="CM1627" s="1079"/>
      <c r="CN1627" s="1005"/>
      <c r="CO1627" s="1005"/>
      <c r="CP1627" s="1005"/>
    </row>
    <row r="1628">
      <c r="B1628" s="1106" t="s">
        <v>2312</v>
      </c>
      <c r="C1628" s="1107">
        <v>44956.0</v>
      </c>
      <c r="D1628" s="103"/>
      <c r="E1628" s="1108">
        <v>5.0</v>
      </c>
      <c r="F1628" s="112" t="s">
        <v>2317</v>
      </c>
      <c r="G1628" s="1110">
        <v>0.627199074074074</v>
      </c>
      <c r="H1628" s="1138"/>
      <c r="I1628" s="1138"/>
      <c r="J1628" s="1139"/>
      <c r="K1628" s="1111">
        <v>0.6282986111111111</v>
      </c>
      <c r="L1628" s="1112">
        <v>0.001099537037037037</v>
      </c>
      <c r="M1628" s="1113" t="s">
        <v>166</v>
      </c>
      <c r="N1628" s="110" t="s">
        <v>188</v>
      </c>
      <c r="O1628" s="1115" t="s">
        <v>196</v>
      </c>
      <c r="P1628" s="1115" t="s">
        <v>224</v>
      </c>
      <c r="Q1628" s="1115" t="s">
        <v>842</v>
      </c>
      <c r="R1628" s="120">
        <v>21.7</v>
      </c>
      <c r="S1628" s="1113">
        <v>39.5</v>
      </c>
      <c r="T1628" s="110">
        <v>1.3</v>
      </c>
      <c r="U1628" s="1108">
        <v>20.0</v>
      </c>
      <c r="V1628" s="1108"/>
      <c r="W1628" s="1108"/>
      <c r="X1628" s="1108"/>
      <c r="Y1628" s="1108"/>
      <c r="Z1628" s="1114" t="s">
        <v>387</v>
      </c>
      <c r="AA1628" s="1114"/>
      <c r="AB1628" s="1114" t="s">
        <v>416</v>
      </c>
      <c r="AC1628" s="1117">
        <v>52.5</v>
      </c>
      <c r="AD1628" s="1115"/>
      <c r="AE1628" s="1115"/>
      <c r="AF1628" s="1115"/>
      <c r="AG1628" s="1115"/>
      <c r="AH1628" s="1115"/>
      <c r="AI1628" s="1115"/>
      <c r="AJ1628" s="1117"/>
      <c r="AK1628" s="1118"/>
      <c r="AL1628" s="1115"/>
      <c r="AM1628" s="1115"/>
      <c r="AN1628" s="1115"/>
      <c r="AO1628" s="1115"/>
      <c r="AP1628" s="1115"/>
      <c r="AQ1628" s="1115"/>
      <c r="AR1628" s="1115"/>
      <c r="AS1628" s="1117"/>
      <c r="AT1628" s="1196" t="str">
        <f t="shared" si="172"/>
        <v>10+</v>
      </c>
      <c r="AU1628" s="1193"/>
      <c r="AV1628" s="330">
        <f>SQRT(($R1628-Infrastructure!J$3)^2+($S1628-Infrastructure!K$3)^2)</f>
        <v>24.42048321</v>
      </c>
      <c r="AW1628" s="331">
        <f>SQRT(($R1628-Infrastructure!J$4)^2+($S1628-Infrastructure!K$4)^2)</f>
        <v>30.90129447</v>
      </c>
      <c r="AX1628" s="331">
        <f>SQRT(($R1628-Infrastructure!J$5)^2+($S1628-Infrastructure!K$5)^2)</f>
        <v>40.83331973</v>
      </c>
      <c r="AY1628" s="331">
        <f>SQRT(($R1628-Infrastructure!J$6)^2+($S1628-Infrastructure!K$6)^2)</f>
        <v>40.88031311</v>
      </c>
      <c r="AZ1628" s="331">
        <f>SQRT(($R1628-Infrastructure!J$7)^2+($S1628-Infrastructure!K$7)^2)</f>
        <v>39.21836305</v>
      </c>
      <c r="BA1628" s="331">
        <f>SQRT(($R1628-Infrastructure!J$8)^2+($S1628-Infrastructure!K$8)^2)</f>
        <v>40.08989898</v>
      </c>
      <c r="BB1628" s="331">
        <f>SQRT(($R1628-Infrastructure!J$9)^2+($S1628-Infrastructure!K$9)^2)</f>
        <v>38.96472764</v>
      </c>
      <c r="BC1628" s="331">
        <f>SQRT(($R1628-Infrastructure!J$10)^2+($S1628-Infrastructure!K$10)^2)</f>
        <v>30.58005886</v>
      </c>
      <c r="BD1628" s="331">
        <f>SQRT(($R1628-Infrastructure!J$11)^2+($S1628-Infrastructure!K$11)^2)</f>
        <v>21.27204739</v>
      </c>
      <c r="BE1628" s="333">
        <f>SQRT(($R1628-Infrastructure!J$12)^2+($S1628-Infrastructure!K$12)^2)</f>
        <v>16.00124995</v>
      </c>
      <c r="BF1628" s="330">
        <f t="shared" si="161"/>
        <v>16.00124995</v>
      </c>
      <c r="BG1628" s="333">
        <f t="shared" si="162"/>
        <v>40.88031311</v>
      </c>
      <c r="BH1628" s="1119"/>
      <c r="BI1628" s="319"/>
      <c r="BJ1628" s="319"/>
      <c r="BK1628" s="319"/>
      <c r="BL1628" s="319"/>
      <c r="BM1628" s="319"/>
      <c r="BN1628" s="319"/>
      <c r="BO1628" s="319"/>
      <c r="BP1628" s="953"/>
      <c r="BQ1628" s="319"/>
      <c r="BR1628" s="319"/>
      <c r="BS1628" s="330">
        <f t="shared" si="169"/>
        <v>0</v>
      </c>
      <c r="BT1628" s="331">
        <f t="shared" si="170"/>
        <v>0</v>
      </c>
      <c r="BU1628" s="920"/>
      <c r="BV1628" s="903">
        <f t="shared" si="171"/>
        <v>-0.6271990741</v>
      </c>
      <c r="BW1628" s="907">
        <v>18.0</v>
      </c>
      <c r="BX1628" s="908">
        <v>23.0</v>
      </c>
      <c r="BY1628" s="331">
        <f t="shared" si="173"/>
        <v>16.9097605</v>
      </c>
      <c r="BZ1628" s="340"/>
      <c r="CA1628" s="316"/>
      <c r="CB1628" s="318"/>
      <c r="CC1628" s="318"/>
      <c r="CD1628" s="318"/>
      <c r="CE1628" s="318"/>
      <c r="CF1628" s="318"/>
      <c r="CG1628" s="318"/>
      <c r="CH1628" s="318"/>
      <c r="CI1628" s="318"/>
      <c r="CJ1628" s="463"/>
      <c r="CK1628" s="342"/>
      <c r="CL1628" s="333"/>
      <c r="CM1628" s="1079"/>
      <c r="CN1628" s="1005"/>
      <c r="CO1628" s="1005"/>
      <c r="CP1628" s="1005"/>
    </row>
    <row r="1629">
      <c r="B1629" s="1106" t="s">
        <v>2312</v>
      </c>
      <c r="C1629" s="1107">
        <v>44956.0</v>
      </c>
      <c r="D1629" s="103"/>
      <c r="E1629" s="1108">
        <v>6.0</v>
      </c>
      <c r="F1629" s="112" t="s">
        <v>2318</v>
      </c>
      <c r="G1629" s="1110">
        <v>0.6314236111111111</v>
      </c>
      <c r="H1629" s="1110">
        <v>0.6319444444444444</v>
      </c>
      <c r="I1629" s="1110"/>
      <c r="J1629" s="1111"/>
      <c r="K1629" s="1111">
        <v>0.6337962962962963</v>
      </c>
      <c r="L1629" s="1112">
        <v>0.001851851851851852</v>
      </c>
      <c r="M1629" s="1113" t="s">
        <v>166</v>
      </c>
      <c r="N1629" s="110" t="s">
        <v>188</v>
      </c>
      <c r="O1629" s="1115" t="s">
        <v>196</v>
      </c>
      <c r="P1629" s="1115" t="s">
        <v>224</v>
      </c>
      <c r="Q1629" s="1115" t="s">
        <v>842</v>
      </c>
      <c r="R1629" s="120">
        <v>21.7</v>
      </c>
      <c r="S1629" s="1113">
        <v>39.5</v>
      </c>
      <c r="T1629" s="110">
        <v>1.3</v>
      </c>
      <c r="U1629" s="1108">
        <v>20.0</v>
      </c>
      <c r="V1629" s="1108"/>
      <c r="W1629" s="1108"/>
      <c r="X1629" s="1108"/>
      <c r="Y1629" s="1108"/>
      <c r="Z1629" s="1114" t="s">
        <v>387</v>
      </c>
      <c r="AA1629" s="1114"/>
      <c r="AB1629" s="1114" t="s">
        <v>416</v>
      </c>
      <c r="AC1629" s="1117">
        <v>52.5</v>
      </c>
      <c r="AD1629" s="1115"/>
      <c r="AE1629" s="1115"/>
      <c r="AF1629" s="1115"/>
      <c r="AG1629" s="1115"/>
      <c r="AH1629" s="1115"/>
      <c r="AI1629" s="1115"/>
      <c r="AJ1629" s="1117"/>
      <c r="AK1629" s="1118"/>
      <c r="AL1629" s="1115"/>
      <c r="AM1629" s="1115"/>
      <c r="AN1629" s="1115"/>
      <c r="AO1629" s="1115"/>
      <c r="AP1629" s="1115"/>
      <c r="AQ1629" s="1115"/>
      <c r="AR1629" s="1115"/>
      <c r="AS1629" s="1117"/>
      <c r="AT1629" s="1196" t="str">
        <f t="shared" si="172"/>
        <v>10+</v>
      </c>
      <c r="AU1629" s="1193"/>
      <c r="AV1629" s="330">
        <f>SQRT(($R1629-Infrastructure!J$3)^2+($S1629-Infrastructure!K$3)^2)</f>
        <v>24.42048321</v>
      </c>
      <c r="AW1629" s="331">
        <f>SQRT(($R1629-Infrastructure!J$4)^2+($S1629-Infrastructure!K$4)^2)</f>
        <v>30.90129447</v>
      </c>
      <c r="AX1629" s="331">
        <f>SQRT(($R1629-Infrastructure!J$5)^2+($S1629-Infrastructure!K$5)^2)</f>
        <v>40.83331973</v>
      </c>
      <c r="AY1629" s="331">
        <f>SQRT(($R1629-Infrastructure!J$6)^2+($S1629-Infrastructure!K$6)^2)</f>
        <v>40.88031311</v>
      </c>
      <c r="AZ1629" s="331">
        <f>SQRT(($R1629-Infrastructure!J$7)^2+($S1629-Infrastructure!K$7)^2)</f>
        <v>39.21836305</v>
      </c>
      <c r="BA1629" s="331">
        <f>SQRT(($R1629-Infrastructure!J$8)^2+($S1629-Infrastructure!K$8)^2)</f>
        <v>40.08989898</v>
      </c>
      <c r="BB1629" s="331">
        <f>SQRT(($R1629-Infrastructure!J$9)^2+($S1629-Infrastructure!K$9)^2)</f>
        <v>38.96472764</v>
      </c>
      <c r="BC1629" s="331">
        <f>SQRT(($R1629-Infrastructure!J$10)^2+($S1629-Infrastructure!K$10)^2)</f>
        <v>30.58005886</v>
      </c>
      <c r="BD1629" s="331">
        <f>SQRT(($R1629-Infrastructure!J$11)^2+($S1629-Infrastructure!K$11)^2)</f>
        <v>21.27204739</v>
      </c>
      <c r="BE1629" s="333">
        <f>SQRT(($R1629-Infrastructure!J$12)^2+($S1629-Infrastructure!K$12)^2)</f>
        <v>16.00124995</v>
      </c>
      <c r="BF1629" s="330">
        <f t="shared" si="161"/>
        <v>16.00124995</v>
      </c>
      <c r="BG1629" s="333">
        <f t="shared" si="162"/>
        <v>40.88031311</v>
      </c>
      <c r="BH1629" s="1119"/>
      <c r="BI1629" s="319"/>
      <c r="BJ1629" s="319"/>
      <c r="BK1629" s="319"/>
      <c r="BL1629" s="319"/>
      <c r="BM1629" s="319"/>
      <c r="BN1629" s="319"/>
      <c r="BO1629" s="319"/>
      <c r="BP1629" s="953"/>
      <c r="BQ1629" s="319"/>
      <c r="BR1629" s="319"/>
      <c r="BS1629" s="330">
        <f t="shared" si="169"/>
        <v>0</v>
      </c>
      <c r="BT1629" s="331">
        <f t="shared" si="170"/>
        <v>0</v>
      </c>
      <c r="BU1629" s="920"/>
      <c r="BV1629" s="903">
        <f t="shared" si="171"/>
        <v>-0.6314236111</v>
      </c>
      <c r="BW1629" s="907">
        <v>19.0</v>
      </c>
      <c r="BX1629" s="908">
        <v>24.0</v>
      </c>
      <c r="BY1629" s="331">
        <f t="shared" si="173"/>
        <v>15.73340395</v>
      </c>
      <c r="BZ1629" s="340"/>
      <c r="CA1629" s="316"/>
      <c r="CB1629" s="318"/>
      <c r="CC1629" s="318"/>
      <c r="CD1629" s="318"/>
      <c r="CE1629" s="318"/>
      <c r="CF1629" s="318"/>
      <c r="CG1629" s="318"/>
      <c r="CH1629" s="318"/>
      <c r="CI1629" s="318"/>
      <c r="CJ1629" s="463"/>
      <c r="CK1629" s="342"/>
      <c r="CL1629" s="333"/>
      <c r="CM1629" s="1079"/>
      <c r="CN1629" s="1005"/>
      <c r="CO1629" s="1005"/>
      <c r="CP1629" s="1005"/>
    </row>
    <row r="1630">
      <c r="B1630" s="1106" t="s">
        <v>2312</v>
      </c>
      <c r="C1630" s="1107">
        <v>44956.0</v>
      </c>
      <c r="D1630" s="103"/>
      <c r="E1630" s="1137"/>
      <c r="F1630" s="112" t="s">
        <v>2319</v>
      </c>
      <c r="G1630" s="1110">
        <v>0.6341435185185185</v>
      </c>
      <c r="H1630" s="1138"/>
      <c r="I1630" s="1138"/>
      <c r="J1630" s="1139"/>
      <c r="K1630" s="1111">
        <v>0.634375</v>
      </c>
      <c r="L1630" s="1112">
        <v>2.314814814814815E-4</v>
      </c>
      <c r="M1630" s="1113" t="s">
        <v>166</v>
      </c>
      <c r="N1630" s="110" t="s">
        <v>188</v>
      </c>
      <c r="O1630" s="1140"/>
      <c r="P1630" s="1115" t="s">
        <v>292</v>
      </c>
      <c r="Q1630" s="1116"/>
      <c r="R1630" s="1141"/>
      <c r="S1630" s="1142"/>
      <c r="T1630" s="1143"/>
      <c r="U1630" s="1137"/>
      <c r="V1630" s="1137"/>
      <c r="W1630" s="1137"/>
      <c r="X1630" s="1137"/>
      <c r="Y1630" s="1137"/>
      <c r="Z1630" s="1114" t="s">
        <v>323</v>
      </c>
      <c r="AA1630" s="1114"/>
      <c r="AB1630" s="1114" t="s">
        <v>323</v>
      </c>
      <c r="AC1630" s="1117" t="s">
        <v>323</v>
      </c>
      <c r="AD1630" s="1115"/>
      <c r="AE1630" s="1115"/>
      <c r="AF1630" s="1115"/>
      <c r="AG1630" s="1115"/>
      <c r="AH1630" s="1115"/>
      <c r="AI1630" s="1115"/>
      <c r="AJ1630" s="1117"/>
      <c r="AK1630" s="1118"/>
      <c r="AL1630" s="1115"/>
      <c r="AM1630" s="1115"/>
      <c r="AN1630" s="1115"/>
      <c r="AO1630" s="1115"/>
      <c r="AP1630" s="1115"/>
      <c r="AQ1630" s="1115"/>
      <c r="AR1630" s="1115"/>
      <c r="AS1630" s="1117"/>
      <c r="AT1630" s="1196" t="str">
        <f t="shared" si="172"/>
        <v/>
      </c>
      <c r="AU1630" s="1193"/>
      <c r="AV1630" s="330">
        <f>SQRT(($R1630-Infrastructure!J$3)^2+($S1630-Infrastructure!K$3)^2)</f>
        <v>28.90155705</v>
      </c>
      <c r="AW1630" s="331">
        <f>SQRT(($R1630-Infrastructure!J$4)^2+($S1630-Infrastructure!K$4)^2)</f>
        <v>17.80252791</v>
      </c>
      <c r="AX1630" s="331">
        <f>SQRT(($R1630-Infrastructure!J$5)^2+($S1630-Infrastructure!K$5)^2)</f>
        <v>5.10881591</v>
      </c>
      <c r="AY1630" s="331">
        <f>SQRT(($R1630-Infrastructure!J$6)^2+($S1630-Infrastructure!K$6)^2)</f>
        <v>10.10445446</v>
      </c>
      <c r="AZ1630" s="331">
        <f>SQRT(($R1630-Infrastructure!J$7)^2+($S1630-Infrastructure!K$7)^2)</f>
        <v>20.502195</v>
      </c>
      <c r="BA1630" s="331">
        <f>SQRT(($R1630-Infrastructure!J$8)^2+($S1630-Infrastructure!K$8)^2)</f>
        <v>30.10149498</v>
      </c>
      <c r="BB1630" s="331">
        <f>SQRT(($R1630-Infrastructure!J$9)^2+($S1630-Infrastructure!K$9)^2)</f>
        <v>40.3238143</v>
      </c>
      <c r="BC1630" s="331">
        <f>SQRT(($R1630-Infrastructure!J$10)^2+($S1630-Infrastructure!K$10)^2)</f>
        <v>42.72001873</v>
      </c>
      <c r="BD1630" s="331">
        <f>SQRT(($R1630-Infrastructure!J$11)^2+($S1630-Infrastructure!K$11)^2)</f>
        <v>49.56853841</v>
      </c>
      <c r="BE1630" s="333">
        <f>SQRT(($R1630-Infrastructure!J$12)^2+($S1630-Infrastructure!K$12)^2)</f>
        <v>59.51890456</v>
      </c>
      <c r="BF1630" s="330">
        <f t="shared" si="161"/>
        <v>5.10881591</v>
      </c>
      <c r="BG1630" s="333">
        <f t="shared" si="162"/>
        <v>59.51890456</v>
      </c>
      <c r="BH1630" s="1119"/>
      <c r="BI1630" s="319"/>
      <c r="BJ1630" s="319"/>
      <c r="BK1630" s="319"/>
      <c r="BL1630" s="319"/>
      <c r="BM1630" s="319"/>
      <c r="BN1630" s="319"/>
      <c r="BO1630" s="319"/>
      <c r="BP1630" s="953"/>
      <c r="BQ1630" s="319"/>
      <c r="BR1630" s="319"/>
      <c r="BS1630" s="330">
        <f t="shared" si="169"/>
        <v>0</v>
      </c>
      <c r="BT1630" s="331">
        <f t="shared" si="170"/>
        <v>0</v>
      </c>
      <c r="BU1630" s="920"/>
      <c r="BV1630" s="903">
        <f t="shared" si="171"/>
        <v>-0.6341435185</v>
      </c>
      <c r="BW1630" s="907"/>
      <c r="BX1630" s="908"/>
      <c r="BY1630" s="331"/>
      <c r="BZ1630" s="340"/>
      <c r="CA1630" s="316"/>
      <c r="CB1630" s="318"/>
      <c r="CC1630" s="318"/>
      <c r="CD1630" s="318"/>
      <c r="CE1630" s="318"/>
      <c r="CF1630" s="318"/>
      <c r="CG1630" s="318"/>
      <c r="CH1630" s="318"/>
      <c r="CI1630" s="318"/>
      <c r="CJ1630" s="463"/>
      <c r="CK1630" s="342"/>
      <c r="CL1630" s="333"/>
      <c r="CM1630" s="1079"/>
      <c r="CN1630" s="1005"/>
      <c r="CO1630" s="1005"/>
      <c r="CP1630" s="1005"/>
    </row>
    <row r="1631">
      <c r="A1631" s="634"/>
      <c r="B1631" s="1121" t="s">
        <v>2312</v>
      </c>
      <c r="C1631" s="1122">
        <v>44956.0</v>
      </c>
      <c r="D1631" s="1123"/>
      <c r="E1631" s="1144"/>
      <c r="F1631" s="108" t="s">
        <v>2319</v>
      </c>
      <c r="G1631" s="1126">
        <v>0.6358796296296296</v>
      </c>
      <c r="H1631" s="1145"/>
      <c r="I1631" s="1145"/>
      <c r="J1631" s="1146"/>
      <c r="K1631" s="1127">
        <v>0.6378472222222222</v>
      </c>
      <c r="L1631" s="1128">
        <v>0.0019675925925925924</v>
      </c>
      <c r="M1631" s="1129" t="s">
        <v>358</v>
      </c>
      <c r="N1631" s="100" t="s">
        <v>188</v>
      </c>
      <c r="O1631" s="1161"/>
      <c r="P1631" s="1131" t="s">
        <v>294</v>
      </c>
      <c r="Q1631" s="1132"/>
      <c r="R1631" s="1148"/>
      <c r="S1631" s="1149"/>
      <c r="T1631" s="1150"/>
      <c r="U1631" s="1144"/>
      <c r="V1631" s="1144"/>
      <c r="W1631" s="1144"/>
      <c r="X1631" s="1144"/>
      <c r="Y1631" s="1144"/>
      <c r="Z1631" s="1130" t="s">
        <v>323</v>
      </c>
      <c r="AA1631" s="1130"/>
      <c r="AB1631" s="1130" t="s">
        <v>323</v>
      </c>
      <c r="AC1631" s="1133" t="s">
        <v>323</v>
      </c>
      <c r="AD1631" s="1131"/>
      <c r="AE1631" s="1131"/>
      <c r="AF1631" s="1131"/>
      <c r="AG1631" s="1131"/>
      <c r="AH1631" s="1131"/>
      <c r="AI1631" s="1131"/>
      <c r="AJ1631" s="1133"/>
      <c r="AK1631" s="1134"/>
      <c r="AL1631" s="1131"/>
      <c r="AM1631" s="1131"/>
      <c r="AN1631" s="1131"/>
      <c r="AO1631" s="1131"/>
      <c r="AP1631" s="1131"/>
      <c r="AQ1631" s="1131"/>
      <c r="AR1631" s="1131"/>
      <c r="AS1631" s="1133"/>
      <c r="AT1631" s="1197" t="str">
        <f t="shared" si="172"/>
        <v/>
      </c>
      <c r="AU1631" s="1194"/>
      <c r="AV1631" s="330">
        <f>SQRT(($R1631-Infrastructure!J$3)^2+($S1631-Infrastructure!K$3)^2)</f>
        <v>28.90155705</v>
      </c>
      <c r="AW1631" s="331">
        <f>SQRT(($R1631-Infrastructure!J$4)^2+($S1631-Infrastructure!K$4)^2)</f>
        <v>17.80252791</v>
      </c>
      <c r="AX1631" s="331">
        <f>SQRT(($R1631-Infrastructure!J$5)^2+($S1631-Infrastructure!K$5)^2)</f>
        <v>5.10881591</v>
      </c>
      <c r="AY1631" s="331">
        <f>SQRT(($R1631-Infrastructure!J$6)^2+($S1631-Infrastructure!K$6)^2)</f>
        <v>10.10445446</v>
      </c>
      <c r="AZ1631" s="331">
        <f>SQRT(($R1631-Infrastructure!J$7)^2+($S1631-Infrastructure!K$7)^2)</f>
        <v>20.502195</v>
      </c>
      <c r="BA1631" s="331">
        <f>SQRT(($R1631-Infrastructure!J$8)^2+($S1631-Infrastructure!K$8)^2)</f>
        <v>30.10149498</v>
      </c>
      <c r="BB1631" s="331">
        <f>SQRT(($R1631-Infrastructure!J$9)^2+($S1631-Infrastructure!K$9)^2)</f>
        <v>40.3238143</v>
      </c>
      <c r="BC1631" s="331">
        <f>SQRT(($R1631-Infrastructure!J$10)^2+($S1631-Infrastructure!K$10)^2)</f>
        <v>42.72001873</v>
      </c>
      <c r="BD1631" s="331">
        <f>SQRT(($R1631-Infrastructure!J$11)^2+($S1631-Infrastructure!K$11)^2)</f>
        <v>49.56853841</v>
      </c>
      <c r="BE1631" s="333">
        <f>SQRT(($R1631-Infrastructure!J$12)^2+($S1631-Infrastructure!K$12)^2)</f>
        <v>59.51890456</v>
      </c>
      <c r="BF1631" s="330">
        <f t="shared" si="161"/>
        <v>5.10881591</v>
      </c>
      <c r="BG1631" s="333">
        <f t="shared" si="162"/>
        <v>59.51890456</v>
      </c>
      <c r="BH1631" s="1135"/>
      <c r="BI1631" s="663"/>
      <c r="BJ1631" s="663"/>
      <c r="BK1631" s="663"/>
      <c r="BL1631" s="663"/>
      <c r="BM1631" s="663"/>
      <c r="BN1631" s="663"/>
      <c r="BO1631" s="663"/>
      <c r="BP1631" s="958"/>
      <c r="BQ1631" s="663"/>
      <c r="BR1631" s="663"/>
      <c r="BS1631" s="330">
        <f t="shared" si="169"/>
        <v>0</v>
      </c>
      <c r="BT1631" s="331">
        <f t="shared" si="170"/>
        <v>0</v>
      </c>
      <c r="BU1631" s="920"/>
      <c r="BV1631" s="903">
        <f t="shared" si="171"/>
        <v>-0.6358796296</v>
      </c>
      <c r="BW1631" s="938"/>
      <c r="BX1631" s="939"/>
      <c r="BY1631" s="641"/>
      <c r="BZ1631" s="742"/>
      <c r="CA1631" s="639"/>
      <c r="CB1631" s="640"/>
      <c r="CC1631" s="640"/>
      <c r="CD1631" s="640"/>
      <c r="CE1631" s="640"/>
      <c r="CF1631" s="640"/>
      <c r="CG1631" s="640"/>
      <c r="CH1631" s="640"/>
      <c r="CI1631" s="640"/>
      <c r="CJ1631" s="785"/>
      <c r="CK1631" s="743"/>
      <c r="CL1631" s="642"/>
      <c r="CM1631" s="1090"/>
      <c r="CN1631" s="1005"/>
      <c r="CO1631" s="1005"/>
      <c r="CP1631" s="1005"/>
    </row>
    <row r="1632">
      <c r="A1632" s="1162" t="s">
        <v>65</v>
      </c>
      <c r="B1632" s="1106" t="s">
        <v>2312</v>
      </c>
      <c r="C1632" s="1107">
        <v>44959.0</v>
      </c>
      <c r="D1632" s="103"/>
      <c r="E1632" s="1108">
        <v>1.0</v>
      </c>
      <c r="F1632" s="112" t="s">
        <v>2320</v>
      </c>
      <c r="G1632" s="1110">
        <v>0.5946759259259259</v>
      </c>
      <c r="H1632" s="1110">
        <v>0.5950231481481482</v>
      </c>
      <c r="I1632" s="1110"/>
      <c r="J1632" s="1111"/>
      <c r="K1632" s="1111">
        <v>0.5951388888888889</v>
      </c>
      <c r="L1632" s="1112">
        <v>1.1574074074074075E-4</v>
      </c>
      <c r="M1632" s="1113" t="s">
        <v>166</v>
      </c>
      <c r="N1632" s="110" t="s">
        <v>188</v>
      </c>
      <c r="O1632" s="1115" t="s">
        <v>196</v>
      </c>
      <c r="P1632" s="1115" t="s">
        <v>224</v>
      </c>
      <c r="Q1632" s="1115" t="s">
        <v>842</v>
      </c>
      <c r="R1632" s="120">
        <v>21.7</v>
      </c>
      <c r="S1632" s="1113">
        <v>39.5</v>
      </c>
      <c r="T1632" s="110">
        <v>1.3</v>
      </c>
      <c r="U1632" s="1108">
        <v>20.0</v>
      </c>
      <c r="V1632" s="1108"/>
      <c r="W1632" s="1108"/>
      <c r="X1632" s="1108"/>
      <c r="Y1632" s="1108"/>
      <c r="Z1632" s="1114" t="s">
        <v>387</v>
      </c>
      <c r="AA1632" s="1114"/>
      <c r="AB1632" s="1114" t="s">
        <v>416</v>
      </c>
      <c r="AC1632" s="1117">
        <v>52.5</v>
      </c>
      <c r="AD1632" s="1115"/>
      <c r="AE1632" s="1115"/>
      <c r="AF1632" s="1115"/>
      <c r="AG1632" s="1115"/>
      <c r="AH1632" s="1115"/>
      <c r="AI1632" s="1115"/>
      <c r="AJ1632" s="1117"/>
      <c r="AK1632" s="1118"/>
      <c r="AL1632" s="1115"/>
      <c r="AM1632" s="1115"/>
      <c r="AN1632" s="1115"/>
      <c r="AO1632" s="1115"/>
      <c r="AP1632" s="1115"/>
      <c r="AQ1632" s="1115"/>
      <c r="AR1632" s="1115"/>
      <c r="AS1632" s="1117"/>
      <c r="AT1632" s="1196" t="str">
        <f t="shared" si="172"/>
        <v>10+</v>
      </c>
      <c r="AU1632" s="1193"/>
      <c r="AV1632" s="330">
        <f>SQRT(($R1632-Infrastructure!J$3)^2+($S1632-Infrastructure!K$3)^2)</f>
        <v>24.42048321</v>
      </c>
      <c r="AW1632" s="331">
        <f>SQRT(($R1632-Infrastructure!J$4)^2+($S1632-Infrastructure!K$4)^2)</f>
        <v>30.90129447</v>
      </c>
      <c r="AX1632" s="331">
        <f>SQRT(($R1632-Infrastructure!J$5)^2+($S1632-Infrastructure!K$5)^2)</f>
        <v>40.83331973</v>
      </c>
      <c r="AY1632" s="331">
        <f>SQRT(($R1632-Infrastructure!J$6)^2+($S1632-Infrastructure!K$6)^2)</f>
        <v>40.88031311</v>
      </c>
      <c r="AZ1632" s="331">
        <f>SQRT(($R1632-Infrastructure!J$7)^2+($S1632-Infrastructure!K$7)^2)</f>
        <v>39.21836305</v>
      </c>
      <c r="BA1632" s="331">
        <f>SQRT(($R1632-Infrastructure!J$8)^2+($S1632-Infrastructure!K$8)^2)</f>
        <v>40.08989898</v>
      </c>
      <c r="BB1632" s="331">
        <f>SQRT(($R1632-Infrastructure!J$9)^2+($S1632-Infrastructure!K$9)^2)</f>
        <v>38.96472764</v>
      </c>
      <c r="BC1632" s="331">
        <f>SQRT(($R1632-Infrastructure!J$10)^2+($S1632-Infrastructure!K$10)^2)</f>
        <v>30.58005886</v>
      </c>
      <c r="BD1632" s="331">
        <f>SQRT(($R1632-Infrastructure!J$11)^2+($S1632-Infrastructure!K$11)^2)</f>
        <v>21.27204739</v>
      </c>
      <c r="BE1632" s="333">
        <f>SQRT(($R1632-Infrastructure!J$12)^2+($S1632-Infrastructure!K$12)^2)</f>
        <v>16.00124995</v>
      </c>
      <c r="BF1632" s="330">
        <f t="shared" si="161"/>
        <v>16.00124995</v>
      </c>
      <c r="BG1632" s="333">
        <f t="shared" si="162"/>
        <v>40.88031311</v>
      </c>
      <c r="BH1632" s="1119"/>
      <c r="BI1632" s="319"/>
      <c r="BJ1632" s="319"/>
      <c r="BK1632" s="319"/>
      <c r="BL1632" s="319"/>
      <c r="BM1632" s="319"/>
      <c r="BN1632" s="319"/>
      <c r="BO1632" s="319"/>
      <c r="BP1632" s="953"/>
      <c r="BQ1632" s="319"/>
      <c r="BR1632" s="319"/>
      <c r="BS1632" s="405">
        <f t="shared" si="169"/>
        <v>0</v>
      </c>
      <c r="BT1632" s="406">
        <f t="shared" si="170"/>
        <v>0</v>
      </c>
      <c r="BU1632" s="931"/>
      <c r="BV1632" s="901">
        <f t="shared" si="171"/>
        <v>-0.5946759259</v>
      </c>
      <c r="BW1632" s="907">
        <v>16.6</v>
      </c>
      <c r="BX1632" s="908">
        <v>29.7</v>
      </c>
      <c r="BY1632" s="331">
        <f t="shared" ref="BY1632:BY1635" si="174">IF(BW1632&gt;0, SQRT((R1632-BW1632)^2+(S1632-BX1632)^2))</f>
        <v>11.04762418</v>
      </c>
      <c r="BZ1632" s="340"/>
      <c r="CA1632" s="316"/>
      <c r="CB1632" s="318"/>
      <c r="CC1632" s="318"/>
      <c r="CD1632" s="318"/>
      <c r="CE1632" s="318"/>
      <c r="CF1632" s="318"/>
      <c r="CG1632" s="318"/>
      <c r="CH1632" s="318"/>
      <c r="CI1632" s="318"/>
      <c r="CJ1632" s="463"/>
      <c r="CK1632" s="342"/>
      <c r="CL1632" s="333"/>
      <c r="CM1632" s="1079"/>
      <c r="CN1632" s="1005"/>
      <c r="CO1632" s="1005"/>
      <c r="CP1632" s="1005"/>
    </row>
    <row r="1633">
      <c r="B1633" s="1106" t="s">
        <v>2312</v>
      </c>
      <c r="C1633" s="1107">
        <v>44959.0</v>
      </c>
      <c r="D1633" s="103"/>
      <c r="E1633" s="1108">
        <v>2.0</v>
      </c>
      <c r="F1633" s="112" t="s">
        <v>2321</v>
      </c>
      <c r="G1633" s="1110">
        <v>0.5972222222222222</v>
      </c>
      <c r="H1633" s="1110">
        <v>0.5975694444444445</v>
      </c>
      <c r="I1633" s="1110"/>
      <c r="J1633" s="1111"/>
      <c r="K1633" s="1111">
        <v>0.5981481481481481</v>
      </c>
      <c r="L1633" s="1112">
        <v>5.787037037037037E-4</v>
      </c>
      <c r="M1633" s="1113" t="s">
        <v>166</v>
      </c>
      <c r="N1633" s="110" t="s">
        <v>188</v>
      </c>
      <c r="O1633" s="1115" t="s">
        <v>196</v>
      </c>
      <c r="P1633" s="1115" t="s">
        <v>224</v>
      </c>
      <c r="Q1633" s="1115" t="s">
        <v>842</v>
      </c>
      <c r="R1633" s="120">
        <v>21.7</v>
      </c>
      <c r="S1633" s="1113">
        <v>39.5</v>
      </c>
      <c r="T1633" s="110">
        <v>1.3</v>
      </c>
      <c r="U1633" s="1108">
        <v>20.0</v>
      </c>
      <c r="V1633" s="1108"/>
      <c r="W1633" s="1108"/>
      <c r="X1633" s="1108"/>
      <c r="Y1633" s="1108"/>
      <c r="Z1633" s="1114" t="s">
        <v>387</v>
      </c>
      <c r="AA1633" s="1114"/>
      <c r="AB1633" s="1114" t="s">
        <v>416</v>
      </c>
      <c r="AC1633" s="1117">
        <v>52.5</v>
      </c>
      <c r="AD1633" s="1115"/>
      <c r="AE1633" s="1115"/>
      <c r="AF1633" s="1115"/>
      <c r="AG1633" s="1115"/>
      <c r="AH1633" s="1115"/>
      <c r="AI1633" s="1115"/>
      <c r="AJ1633" s="1117"/>
      <c r="AK1633" s="1118"/>
      <c r="AL1633" s="1115"/>
      <c r="AM1633" s="1115"/>
      <c r="AN1633" s="1115"/>
      <c r="AO1633" s="1115"/>
      <c r="AP1633" s="1115"/>
      <c r="AQ1633" s="1115"/>
      <c r="AR1633" s="1115"/>
      <c r="AS1633" s="1117"/>
      <c r="AT1633" s="1196" t="str">
        <f t="shared" si="172"/>
        <v>10+</v>
      </c>
      <c r="AU1633" s="1193"/>
      <c r="AV1633" s="330">
        <f>SQRT(($R1633-Infrastructure!J$3)^2+($S1633-Infrastructure!K$3)^2)</f>
        <v>24.42048321</v>
      </c>
      <c r="AW1633" s="331">
        <f>SQRT(($R1633-Infrastructure!J$4)^2+($S1633-Infrastructure!K$4)^2)</f>
        <v>30.90129447</v>
      </c>
      <c r="AX1633" s="331">
        <f>SQRT(($R1633-Infrastructure!J$5)^2+($S1633-Infrastructure!K$5)^2)</f>
        <v>40.83331973</v>
      </c>
      <c r="AY1633" s="331">
        <f>SQRT(($R1633-Infrastructure!J$6)^2+($S1633-Infrastructure!K$6)^2)</f>
        <v>40.88031311</v>
      </c>
      <c r="AZ1633" s="331">
        <f>SQRT(($R1633-Infrastructure!J$7)^2+($S1633-Infrastructure!K$7)^2)</f>
        <v>39.21836305</v>
      </c>
      <c r="BA1633" s="331">
        <f>SQRT(($R1633-Infrastructure!J$8)^2+($S1633-Infrastructure!K$8)^2)</f>
        <v>40.08989898</v>
      </c>
      <c r="BB1633" s="331">
        <f>SQRT(($R1633-Infrastructure!J$9)^2+($S1633-Infrastructure!K$9)^2)</f>
        <v>38.96472764</v>
      </c>
      <c r="BC1633" s="331">
        <f>SQRT(($R1633-Infrastructure!J$10)^2+($S1633-Infrastructure!K$10)^2)</f>
        <v>30.58005886</v>
      </c>
      <c r="BD1633" s="331">
        <f>SQRT(($R1633-Infrastructure!J$11)^2+($S1633-Infrastructure!K$11)^2)</f>
        <v>21.27204739</v>
      </c>
      <c r="BE1633" s="333">
        <f>SQRT(($R1633-Infrastructure!J$12)^2+($S1633-Infrastructure!K$12)^2)</f>
        <v>16.00124995</v>
      </c>
      <c r="BF1633" s="330">
        <f t="shared" si="161"/>
        <v>16.00124995</v>
      </c>
      <c r="BG1633" s="333">
        <f t="shared" si="162"/>
        <v>40.88031311</v>
      </c>
      <c r="BH1633" s="1119"/>
      <c r="BI1633" s="319"/>
      <c r="BJ1633" s="319"/>
      <c r="BK1633" s="319"/>
      <c r="BL1633" s="319"/>
      <c r="BM1633" s="319"/>
      <c r="BN1633" s="319"/>
      <c r="BO1633" s="319"/>
      <c r="BP1633" s="953"/>
      <c r="BQ1633" s="319"/>
      <c r="BR1633" s="319"/>
      <c r="BS1633" s="330">
        <f t="shared" si="169"/>
        <v>0</v>
      </c>
      <c r="BT1633" s="331">
        <f t="shared" si="170"/>
        <v>0</v>
      </c>
      <c r="BU1633" s="920"/>
      <c r="BV1633" s="903">
        <f t="shared" si="171"/>
        <v>-0.5972222222</v>
      </c>
      <c r="BW1633" s="907">
        <v>16.6</v>
      </c>
      <c r="BX1633" s="908">
        <v>28.4</v>
      </c>
      <c r="BY1633" s="331">
        <f t="shared" si="174"/>
        <v>12.21556384</v>
      </c>
      <c r="BZ1633" s="340"/>
      <c r="CA1633" s="316"/>
      <c r="CB1633" s="318"/>
      <c r="CC1633" s="318"/>
      <c r="CD1633" s="318"/>
      <c r="CE1633" s="318"/>
      <c r="CF1633" s="318"/>
      <c r="CG1633" s="318"/>
      <c r="CH1633" s="318"/>
      <c r="CI1633" s="318"/>
      <c r="CJ1633" s="463"/>
      <c r="CK1633" s="342"/>
      <c r="CL1633" s="333"/>
      <c r="CM1633" s="1079"/>
      <c r="CN1633" s="1005"/>
      <c r="CO1633" s="1005"/>
      <c r="CP1633" s="1005"/>
    </row>
    <row r="1634">
      <c r="B1634" s="1106" t="s">
        <v>2312</v>
      </c>
      <c r="C1634" s="1107">
        <v>44959.0</v>
      </c>
      <c r="D1634" s="103"/>
      <c r="E1634" s="1108">
        <v>3.0</v>
      </c>
      <c r="F1634" s="112" t="s">
        <v>2322</v>
      </c>
      <c r="G1634" s="1110">
        <v>0.5984375</v>
      </c>
      <c r="H1634" s="1110">
        <v>0.5980324074074074</v>
      </c>
      <c r="I1634" s="1110"/>
      <c r="J1634" s="1111"/>
      <c r="K1634" s="1111">
        <v>0.5991319444444444</v>
      </c>
      <c r="L1634" s="1112">
        <v>0.001099537037037037</v>
      </c>
      <c r="M1634" s="1113" t="s">
        <v>166</v>
      </c>
      <c r="N1634" s="110" t="s">
        <v>188</v>
      </c>
      <c r="O1634" s="1115" t="s">
        <v>196</v>
      </c>
      <c r="P1634" s="1115" t="s">
        <v>224</v>
      </c>
      <c r="Q1634" s="1115" t="s">
        <v>842</v>
      </c>
      <c r="R1634" s="120">
        <v>21.7</v>
      </c>
      <c r="S1634" s="1113">
        <v>39.5</v>
      </c>
      <c r="T1634" s="110">
        <v>1.3</v>
      </c>
      <c r="U1634" s="1108">
        <v>20.0</v>
      </c>
      <c r="V1634" s="1108"/>
      <c r="W1634" s="1108"/>
      <c r="X1634" s="1108"/>
      <c r="Y1634" s="1108"/>
      <c r="Z1634" s="1114" t="s">
        <v>387</v>
      </c>
      <c r="AA1634" s="1114"/>
      <c r="AB1634" s="1114" t="s">
        <v>416</v>
      </c>
      <c r="AC1634" s="1117">
        <v>52.5</v>
      </c>
      <c r="AD1634" s="1115"/>
      <c r="AE1634" s="1115"/>
      <c r="AF1634" s="1115"/>
      <c r="AG1634" s="1115"/>
      <c r="AH1634" s="1115"/>
      <c r="AI1634" s="1115"/>
      <c r="AJ1634" s="1117"/>
      <c r="AK1634" s="1118"/>
      <c r="AL1634" s="1115"/>
      <c r="AM1634" s="1115"/>
      <c r="AN1634" s="1115"/>
      <c r="AO1634" s="1115"/>
      <c r="AP1634" s="1115"/>
      <c r="AQ1634" s="1115"/>
      <c r="AR1634" s="1115"/>
      <c r="AS1634" s="1117"/>
      <c r="AT1634" s="1196" t="str">
        <f t="shared" si="172"/>
        <v>10+</v>
      </c>
      <c r="AU1634" s="1193"/>
      <c r="AV1634" s="330">
        <f>SQRT(($R1634-Infrastructure!J$3)^2+($S1634-Infrastructure!K$3)^2)</f>
        <v>24.42048321</v>
      </c>
      <c r="AW1634" s="331">
        <f>SQRT(($R1634-Infrastructure!J$4)^2+($S1634-Infrastructure!K$4)^2)</f>
        <v>30.90129447</v>
      </c>
      <c r="AX1634" s="331">
        <f>SQRT(($R1634-Infrastructure!J$5)^2+($S1634-Infrastructure!K$5)^2)</f>
        <v>40.83331973</v>
      </c>
      <c r="AY1634" s="331">
        <f>SQRT(($R1634-Infrastructure!J$6)^2+($S1634-Infrastructure!K$6)^2)</f>
        <v>40.88031311</v>
      </c>
      <c r="AZ1634" s="331">
        <f>SQRT(($R1634-Infrastructure!J$7)^2+($S1634-Infrastructure!K$7)^2)</f>
        <v>39.21836305</v>
      </c>
      <c r="BA1634" s="331">
        <f>SQRT(($R1634-Infrastructure!J$8)^2+($S1634-Infrastructure!K$8)^2)</f>
        <v>40.08989898</v>
      </c>
      <c r="BB1634" s="331">
        <f>SQRT(($R1634-Infrastructure!J$9)^2+($S1634-Infrastructure!K$9)^2)</f>
        <v>38.96472764</v>
      </c>
      <c r="BC1634" s="331">
        <f>SQRT(($R1634-Infrastructure!J$10)^2+($S1634-Infrastructure!K$10)^2)</f>
        <v>30.58005886</v>
      </c>
      <c r="BD1634" s="331">
        <f>SQRT(($R1634-Infrastructure!J$11)^2+($S1634-Infrastructure!K$11)^2)</f>
        <v>21.27204739</v>
      </c>
      <c r="BE1634" s="333">
        <f>SQRT(($R1634-Infrastructure!J$12)^2+($S1634-Infrastructure!K$12)^2)</f>
        <v>16.00124995</v>
      </c>
      <c r="BF1634" s="330">
        <f t="shared" si="161"/>
        <v>16.00124995</v>
      </c>
      <c r="BG1634" s="333">
        <f t="shared" si="162"/>
        <v>40.88031311</v>
      </c>
      <c r="BH1634" s="1119"/>
      <c r="BI1634" s="319"/>
      <c r="BJ1634" s="319"/>
      <c r="BK1634" s="319"/>
      <c r="BL1634" s="319"/>
      <c r="BM1634" s="319"/>
      <c r="BN1634" s="319"/>
      <c r="BO1634" s="319"/>
      <c r="BP1634" s="953"/>
      <c r="BQ1634" s="319"/>
      <c r="BR1634" s="319"/>
      <c r="BS1634" s="330">
        <f t="shared" si="169"/>
        <v>0</v>
      </c>
      <c r="BT1634" s="331">
        <f t="shared" si="170"/>
        <v>0</v>
      </c>
      <c r="BU1634" s="920"/>
      <c r="BV1634" s="903">
        <f t="shared" si="171"/>
        <v>-0.5984375</v>
      </c>
      <c r="BW1634" s="907">
        <v>18.1</v>
      </c>
      <c r="BX1634" s="908">
        <v>29.0</v>
      </c>
      <c r="BY1634" s="331">
        <f t="shared" si="174"/>
        <v>11.1</v>
      </c>
      <c r="BZ1634" s="340"/>
      <c r="CA1634" s="316"/>
      <c r="CB1634" s="318"/>
      <c r="CC1634" s="318"/>
      <c r="CD1634" s="318"/>
      <c r="CE1634" s="318"/>
      <c r="CF1634" s="318"/>
      <c r="CG1634" s="318"/>
      <c r="CH1634" s="318"/>
      <c r="CI1634" s="318"/>
      <c r="CJ1634" s="463"/>
      <c r="CK1634" s="342"/>
      <c r="CL1634" s="333"/>
      <c r="CM1634" s="1079"/>
      <c r="CN1634" s="1005"/>
      <c r="CO1634" s="1005"/>
      <c r="CP1634" s="1005"/>
    </row>
    <row r="1635">
      <c r="B1635" s="1106" t="s">
        <v>2312</v>
      </c>
      <c r="C1635" s="1107">
        <v>44959.0</v>
      </c>
      <c r="D1635" s="103"/>
      <c r="E1635" s="1108">
        <v>4.0</v>
      </c>
      <c r="F1635" s="112" t="s">
        <v>2323</v>
      </c>
      <c r="G1635" s="1110">
        <v>0.6004050925925926</v>
      </c>
      <c r="H1635" s="1110">
        <v>0.6006944444444444</v>
      </c>
      <c r="I1635" s="1110"/>
      <c r="J1635" s="1111"/>
      <c r="K1635" s="1111">
        <v>0.6012152777777777</v>
      </c>
      <c r="L1635" s="1112">
        <v>5.208333333333333E-4</v>
      </c>
      <c r="M1635" s="1113" t="s">
        <v>166</v>
      </c>
      <c r="N1635" s="110" t="s">
        <v>188</v>
      </c>
      <c r="O1635" s="1115" t="s">
        <v>378</v>
      </c>
      <c r="P1635" s="1115" t="s">
        <v>225</v>
      </c>
      <c r="Q1635" s="1115" t="s">
        <v>842</v>
      </c>
      <c r="R1635" s="120">
        <v>22.7</v>
      </c>
      <c r="S1635" s="1113">
        <v>39.7</v>
      </c>
      <c r="T1635" s="110">
        <v>1.1</v>
      </c>
      <c r="U1635" s="1108">
        <v>15.0</v>
      </c>
      <c r="V1635" s="1108"/>
      <c r="W1635" s="1108"/>
      <c r="X1635" s="1108"/>
      <c r="Y1635" s="1108"/>
      <c r="Z1635" s="1114" t="s">
        <v>1140</v>
      </c>
      <c r="AA1635" s="1114"/>
      <c r="AB1635" s="1114" t="s">
        <v>398</v>
      </c>
      <c r="AC1635" s="1117">
        <v>6.0</v>
      </c>
      <c r="AD1635" s="1115"/>
      <c r="AE1635" s="1115"/>
      <c r="AF1635" s="1115"/>
      <c r="AG1635" s="1115"/>
      <c r="AH1635" s="1115"/>
      <c r="AI1635" s="1115"/>
      <c r="AJ1635" s="1117"/>
      <c r="AK1635" s="1118"/>
      <c r="AL1635" s="1115"/>
      <c r="AM1635" s="1115"/>
      <c r="AN1635" s="1115"/>
      <c r="AO1635" s="1115"/>
      <c r="AP1635" s="1115"/>
      <c r="AQ1635" s="1115"/>
      <c r="AR1635" s="1115"/>
      <c r="AS1635" s="1117"/>
      <c r="AT1635" s="1196" t="str">
        <f t="shared" si="172"/>
        <v>10+</v>
      </c>
      <c r="AU1635" s="1193"/>
      <c r="AV1635" s="330">
        <f>SQRT(($R1635-Infrastructure!J$3)^2+($S1635-Infrastructure!K$3)^2)</f>
        <v>25.40944706</v>
      </c>
      <c r="AW1635" s="331">
        <f>SQRT(($R1635-Infrastructure!J$4)^2+($S1635-Infrastructure!K$4)^2)</f>
        <v>31.75862088</v>
      </c>
      <c r="AX1635" s="331">
        <f>SQRT(($R1635-Infrastructure!J$5)^2+($S1635-Infrastructure!K$5)^2)</f>
        <v>41.54708173</v>
      </c>
      <c r="AY1635" s="331">
        <f>SQRT(($R1635-Infrastructure!J$6)^2+($S1635-Infrastructure!K$6)^2)</f>
        <v>41.36568626</v>
      </c>
      <c r="AZ1635" s="331">
        <f>SQRT(($R1635-Infrastructure!J$7)^2+($S1635-Infrastructure!K$7)^2)</f>
        <v>39.46137352</v>
      </c>
      <c r="BA1635" s="331">
        <f>SQRT(($R1635-Infrastructure!J$8)^2+($S1635-Infrastructure!K$8)^2)</f>
        <v>40.08890121</v>
      </c>
      <c r="BB1635" s="331">
        <f>SQRT(($R1635-Infrastructure!J$9)^2+($S1635-Infrastructure!K$9)^2)</f>
        <v>38.68397601</v>
      </c>
      <c r="BC1635" s="331">
        <f>SQRT(($R1635-Infrastructure!J$10)^2+($S1635-Infrastructure!K$10)^2)</f>
        <v>30.15592811</v>
      </c>
      <c r="BD1635" s="331">
        <f>SQRT(($R1635-Infrastructure!J$11)^2+($S1635-Infrastructure!K$11)^2)</f>
        <v>20.51194774</v>
      </c>
      <c r="BE1635" s="333">
        <f>SQRT(($R1635-Infrastructure!J$12)^2+($S1635-Infrastructure!K$12)^2)</f>
        <v>15.84550409</v>
      </c>
      <c r="BF1635" s="330">
        <f t="shared" si="161"/>
        <v>15.84550409</v>
      </c>
      <c r="BG1635" s="333">
        <f t="shared" si="162"/>
        <v>41.54708173</v>
      </c>
      <c r="BH1635" s="1119"/>
      <c r="BI1635" s="319"/>
      <c r="BJ1635" s="319"/>
      <c r="BK1635" s="319"/>
      <c r="BL1635" s="319"/>
      <c r="BM1635" s="319"/>
      <c r="BN1635" s="319"/>
      <c r="BO1635" s="319"/>
      <c r="BP1635" s="953"/>
      <c r="BQ1635" s="319"/>
      <c r="BR1635" s="319"/>
      <c r="BS1635" s="330">
        <f t="shared" si="169"/>
        <v>0</v>
      </c>
      <c r="BT1635" s="331">
        <f t="shared" si="170"/>
        <v>0</v>
      </c>
      <c r="BU1635" s="920"/>
      <c r="BV1635" s="903">
        <f t="shared" si="171"/>
        <v>-0.6004050926</v>
      </c>
      <c r="BW1635" s="907">
        <v>19.4</v>
      </c>
      <c r="BX1635" s="908">
        <v>17.4</v>
      </c>
      <c r="BY1635" s="331">
        <f t="shared" si="174"/>
        <v>22.54284809</v>
      </c>
      <c r="BZ1635" s="340"/>
      <c r="CA1635" s="316"/>
      <c r="CB1635" s="318"/>
      <c r="CC1635" s="318"/>
      <c r="CD1635" s="318"/>
      <c r="CE1635" s="318"/>
      <c r="CF1635" s="318"/>
      <c r="CG1635" s="318"/>
      <c r="CH1635" s="318"/>
      <c r="CI1635" s="318"/>
      <c r="CJ1635" s="463"/>
      <c r="CK1635" s="342"/>
      <c r="CL1635" s="333"/>
      <c r="CM1635" s="1079"/>
      <c r="CN1635" s="1005"/>
      <c r="CO1635" s="1005"/>
      <c r="CP1635" s="1005"/>
    </row>
    <row r="1636">
      <c r="B1636" s="1106" t="s">
        <v>2312</v>
      </c>
      <c r="C1636" s="1107">
        <v>44959.0</v>
      </c>
      <c r="D1636" s="103"/>
      <c r="E1636" s="1108">
        <v>5.0</v>
      </c>
      <c r="F1636" s="112" t="s">
        <v>2324</v>
      </c>
      <c r="G1636" s="1110">
        <v>0.6022569444444444</v>
      </c>
      <c r="H1636" s="1110">
        <v>0.6024884259259259</v>
      </c>
      <c r="I1636" s="1110"/>
      <c r="J1636" s="1111"/>
      <c r="K1636" s="1111">
        <v>0.6027777777777777</v>
      </c>
      <c r="L1636" s="1112">
        <v>2.8935185185185184E-4</v>
      </c>
      <c r="M1636" s="1113" t="s">
        <v>166</v>
      </c>
      <c r="N1636" s="110" t="s">
        <v>188</v>
      </c>
      <c r="O1636" s="1115" t="s">
        <v>378</v>
      </c>
      <c r="P1636" s="1115" t="s">
        <v>225</v>
      </c>
      <c r="Q1636" s="1115" t="s">
        <v>842</v>
      </c>
      <c r="R1636" s="120">
        <v>22.7</v>
      </c>
      <c r="S1636" s="1113">
        <v>39.7</v>
      </c>
      <c r="T1636" s="110">
        <v>1.1</v>
      </c>
      <c r="U1636" s="1108">
        <v>7.0</v>
      </c>
      <c r="V1636" s="1108"/>
      <c r="W1636" s="1108"/>
      <c r="X1636" s="1108"/>
      <c r="Y1636" s="1108"/>
      <c r="Z1636" s="1114" t="s">
        <v>1140</v>
      </c>
      <c r="AA1636" s="1114"/>
      <c r="AB1636" s="1114" t="s">
        <v>398</v>
      </c>
      <c r="AC1636" s="1117">
        <v>6.0</v>
      </c>
      <c r="AD1636" s="1115"/>
      <c r="AE1636" s="1115"/>
      <c r="AF1636" s="1115"/>
      <c r="AG1636" s="1115"/>
      <c r="AH1636" s="1115"/>
      <c r="AI1636" s="1115"/>
      <c r="AJ1636" s="1117"/>
      <c r="AK1636" s="1118"/>
      <c r="AL1636" s="1115"/>
      <c r="AM1636" s="1115"/>
      <c r="AN1636" s="1115"/>
      <c r="AO1636" s="1115"/>
      <c r="AP1636" s="1115"/>
      <c r="AQ1636" s="1115"/>
      <c r="AR1636" s="1115"/>
      <c r="AS1636" s="1117"/>
      <c r="AT1636" s="1196" t="str">
        <f t="shared" si="172"/>
        <v>1-10</v>
      </c>
      <c r="AU1636" s="1193"/>
      <c r="AV1636" s="330">
        <f>SQRT(($R1636-Infrastructure!J$3)^2+($S1636-Infrastructure!K$3)^2)</f>
        <v>25.40944706</v>
      </c>
      <c r="AW1636" s="331">
        <f>SQRT(($R1636-Infrastructure!J$4)^2+($S1636-Infrastructure!K$4)^2)</f>
        <v>31.75862088</v>
      </c>
      <c r="AX1636" s="331">
        <f>SQRT(($R1636-Infrastructure!J$5)^2+($S1636-Infrastructure!K$5)^2)</f>
        <v>41.54708173</v>
      </c>
      <c r="AY1636" s="331">
        <f>SQRT(($R1636-Infrastructure!J$6)^2+($S1636-Infrastructure!K$6)^2)</f>
        <v>41.36568626</v>
      </c>
      <c r="AZ1636" s="331">
        <f>SQRT(($R1636-Infrastructure!J$7)^2+($S1636-Infrastructure!K$7)^2)</f>
        <v>39.46137352</v>
      </c>
      <c r="BA1636" s="331">
        <f>SQRT(($R1636-Infrastructure!J$8)^2+($S1636-Infrastructure!K$8)^2)</f>
        <v>40.08890121</v>
      </c>
      <c r="BB1636" s="331">
        <f>SQRT(($R1636-Infrastructure!J$9)^2+($S1636-Infrastructure!K$9)^2)</f>
        <v>38.68397601</v>
      </c>
      <c r="BC1636" s="331">
        <f>SQRT(($R1636-Infrastructure!J$10)^2+($S1636-Infrastructure!K$10)^2)</f>
        <v>30.15592811</v>
      </c>
      <c r="BD1636" s="331">
        <f>SQRT(($R1636-Infrastructure!J$11)^2+($S1636-Infrastructure!K$11)^2)</f>
        <v>20.51194774</v>
      </c>
      <c r="BE1636" s="333">
        <f>SQRT(($R1636-Infrastructure!J$12)^2+($S1636-Infrastructure!K$12)^2)</f>
        <v>15.84550409</v>
      </c>
      <c r="BF1636" s="330">
        <f t="shared" si="161"/>
        <v>15.84550409</v>
      </c>
      <c r="BG1636" s="333">
        <f t="shared" si="162"/>
        <v>41.54708173</v>
      </c>
      <c r="BH1636" s="1119"/>
      <c r="BI1636" s="319"/>
      <c r="BJ1636" s="319"/>
      <c r="BK1636" s="319"/>
      <c r="BL1636" s="319"/>
      <c r="BM1636" s="319"/>
      <c r="BN1636" s="319"/>
      <c r="BO1636" s="319"/>
      <c r="BP1636" s="953"/>
      <c r="BQ1636" s="319"/>
      <c r="BR1636" s="319"/>
      <c r="BS1636" s="330">
        <f t="shared" si="169"/>
        <v>0</v>
      </c>
      <c r="BT1636" s="331">
        <f t="shared" si="170"/>
        <v>0</v>
      </c>
      <c r="BU1636" s="920"/>
      <c r="BV1636" s="903">
        <f t="shared" si="171"/>
        <v>-0.6022569444</v>
      </c>
      <c r="BW1636" s="907"/>
      <c r="BX1636" s="908"/>
      <c r="BY1636" s="331"/>
      <c r="BZ1636" s="340"/>
      <c r="CA1636" s="316"/>
      <c r="CB1636" s="318"/>
      <c r="CC1636" s="318"/>
      <c r="CD1636" s="318"/>
      <c r="CE1636" s="318"/>
      <c r="CF1636" s="318"/>
      <c r="CG1636" s="318"/>
      <c r="CH1636" s="318"/>
      <c r="CI1636" s="318"/>
      <c r="CJ1636" s="463"/>
      <c r="CK1636" s="342"/>
      <c r="CL1636" s="333"/>
      <c r="CM1636" s="1079"/>
      <c r="CN1636" s="1005"/>
      <c r="CO1636" s="1005"/>
      <c r="CP1636" s="1005"/>
    </row>
    <row r="1637">
      <c r="B1637" s="1106" t="s">
        <v>2312</v>
      </c>
      <c r="C1637" s="1107">
        <v>44959.0</v>
      </c>
      <c r="D1637" s="103"/>
      <c r="E1637" s="1108">
        <v>6.0</v>
      </c>
      <c r="F1637" s="112" t="s">
        <v>2325</v>
      </c>
      <c r="G1637" s="1110">
        <v>0.603125</v>
      </c>
      <c r="H1637" s="1110">
        <v>0.6033564814814815</v>
      </c>
      <c r="I1637" s="1110"/>
      <c r="J1637" s="1111"/>
      <c r="K1637" s="1111">
        <v>0.6038194444444445</v>
      </c>
      <c r="L1637" s="1112">
        <v>4.62962962962963E-4</v>
      </c>
      <c r="M1637" s="1113" t="s">
        <v>166</v>
      </c>
      <c r="N1637" s="110" t="s">
        <v>188</v>
      </c>
      <c r="O1637" s="1115" t="s">
        <v>378</v>
      </c>
      <c r="P1637" s="1115" t="s">
        <v>225</v>
      </c>
      <c r="Q1637" s="1115" t="s">
        <v>842</v>
      </c>
      <c r="R1637" s="120">
        <v>22.7</v>
      </c>
      <c r="S1637" s="1113">
        <v>39.7</v>
      </c>
      <c r="T1637" s="110">
        <v>1.1</v>
      </c>
      <c r="U1637" s="1108">
        <v>2.0</v>
      </c>
      <c r="V1637" s="1108"/>
      <c r="W1637" s="1108"/>
      <c r="X1637" s="1108"/>
      <c r="Y1637" s="1108"/>
      <c r="Z1637" s="1114" t="s">
        <v>1140</v>
      </c>
      <c r="AA1637" s="1114"/>
      <c r="AB1637" s="1114" t="s">
        <v>398</v>
      </c>
      <c r="AC1637" s="1117">
        <v>6.0</v>
      </c>
      <c r="AD1637" s="1115"/>
      <c r="AE1637" s="1115"/>
      <c r="AF1637" s="1115"/>
      <c r="AG1637" s="1115"/>
      <c r="AH1637" s="1115"/>
      <c r="AI1637" s="1115"/>
      <c r="AJ1637" s="1117"/>
      <c r="AK1637" s="1118"/>
      <c r="AL1637" s="1115"/>
      <c r="AM1637" s="1115"/>
      <c r="AN1637" s="1115"/>
      <c r="AO1637" s="1115"/>
      <c r="AP1637" s="1115"/>
      <c r="AQ1637" s="1115"/>
      <c r="AR1637" s="1115"/>
      <c r="AS1637" s="1117"/>
      <c r="AT1637" s="1196" t="str">
        <f t="shared" si="172"/>
        <v>1-10</v>
      </c>
      <c r="AU1637" s="1193"/>
      <c r="AV1637" s="330">
        <f>SQRT(($R1637-Infrastructure!J$3)^2+($S1637-Infrastructure!K$3)^2)</f>
        <v>25.40944706</v>
      </c>
      <c r="AW1637" s="331">
        <f>SQRT(($R1637-Infrastructure!J$4)^2+($S1637-Infrastructure!K$4)^2)</f>
        <v>31.75862088</v>
      </c>
      <c r="AX1637" s="331">
        <f>SQRT(($R1637-Infrastructure!J$5)^2+($S1637-Infrastructure!K$5)^2)</f>
        <v>41.54708173</v>
      </c>
      <c r="AY1637" s="331">
        <f>SQRT(($R1637-Infrastructure!J$6)^2+($S1637-Infrastructure!K$6)^2)</f>
        <v>41.36568626</v>
      </c>
      <c r="AZ1637" s="331">
        <f>SQRT(($R1637-Infrastructure!J$7)^2+($S1637-Infrastructure!K$7)^2)</f>
        <v>39.46137352</v>
      </c>
      <c r="BA1637" s="331">
        <f>SQRT(($R1637-Infrastructure!J$8)^2+($S1637-Infrastructure!K$8)^2)</f>
        <v>40.08890121</v>
      </c>
      <c r="BB1637" s="331">
        <f>SQRT(($R1637-Infrastructure!J$9)^2+($S1637-Infrastructure!K$9)^2)</f>
        <v>38.68397601</v>
      </c>
      <c r="BC1637" s="331">
        <f>SQRT(($R1637-Infrastructure!J$10)^2+($S1637-Infrastructure!K$10)^2)</f>
        <v>30.15592811</v>
      </c>
      <c r="BD1637" s="331">
        <f>SQRT(($R1637-Infrastructure!J$11)^2+($S1637-Infrastructure!K$11)^2)</f>
        <v>20.51194774</v>
      </c>
      <c r="BE1637" s="333">
        <f>SQRT(($R1637-Infrastructure!J$12)^2+($S1637-Infrastructure!K$12)^2)</f>
        <v>15.84550409</v>
      </c>
      <c r="BF1637" s="330">
        <f t="shared" si="161"/>
        <v>15.84550409</v>
      </c>
      <c r="BG1637" s="333">
        <f t="shared" si="162"/>
        <v>41.54708173</v>
      </c>
      <c r="BH1637" s="1119"/>
      <c r="BI1637" s="319"/>
      <c r="BJ1637" s="319"/>
      <c r="BK1637" s="319"/>
      <c r="BL1637" s="319"/>
      <c r="BM1637" s="319"/>
      <c r="BN1637" s="319"/>
      <c r="BO1637" s="319"/>
      <c r="BP1637" s="953"/>
      <c r="BQ1637" s="319"/>
      <c r="BR1637" s="319"/>
      <c r="BS1637" s="330">
        <f t="shared" si="169"/>
        <v>0</v>
      </c>
      <c r="BT1637" s="331">
        <f t="shared" si="170"/>
        <v>0</v>
      </c>
      <c r="BU1637" s="920"/>
      <c r="BV1637" s="903">
        <f t="shared" si="171"/>
        <v>-0.603125</v>
      </c>
      <c r="BW1637" s="907">
        <v>19.1</v>
      </c>
      <c r="BX1637" s="908">
        <v>24.2</v>
      </c>
      <c r="BY1637" s="331">
        <f>IF(BW1637&gt;0, SQRT((R1637-BW1637)^2+(S1637-BX1637)^2))</f>
        <v>15.91257364</v>
      </c>
      <c r="BZ1637" s="340"/>
      <c r="CA1637" s="316"/>
      <c r="CB1637" s="318"/>
      <c r="CC1637" s="318"/>
      <c r="CD1637" s="318"/>
      <c r="CE1637" s="318"/>
      <c r="CF1637" s="318"/>
      <c r="CG1637" s="318"/>
      <c r="CH1637" s="318"/>
      <c r="CI1637" s="318"/>
      <c r="CJ1637" s="463"/>
      <c r="CK1637" s="342"/>
      <c r="CL1637" s="333"/>
      <c r="CM1637" s="1079"/>
      <c r="CN1637" s="1005"/>
      <c r="CO1637" s="1005"/>
      <c r="CP1637" s="1005"/>
    </row>
    <row r="1638">
      <c r="B1638" s="1106" t="s">
        <v>2312</v>
      </c>
      <c r="C1638" s="1107">
        <v>44959.0</v>
      </c>
      <c r="D1638" s="103"/>
      <c r="E1638" s="1108">
        <v>7.0</v>
      </c>
      <c r="F1638" s="112" t="s">
        <v>2326</v>
      </c>
      <c r="G1638" s="1110">
        <v>0.6070601851851852</v>
      </c>
      <c r="H1638" s="1138"/>
      <c r="I1638" s="1138"/>
      <c r="J1638" s="1139"/>
      <c r="K1638" s="1111">
        <v>0.6074074074074074</v>
      </c>
      <c r="L1638" s="1112">
        <v>3.4722222222222224E-4</v>
      </c>
      <c r="M1638" s="1113" t="s">
        <v>166</v>
      </c>
      <c r="N1638" s="110" t="s">
        <v>188</v>
      </c>
      <c r="O1638" s="1115" t="s">
        <v>196</v>
      </c>
      <c r="P1638" s="1115" t="s">
        <v>224</v>
      </c>
      <c r="Q1638" s="1115" t="s">
        <v>842</v>
      </c>
      <c r="R1638" s="120">
        <v>21.7</v>
      </c>
      <c r="S1638" s="1113">
        <v>39.5</v>
      </c>
      <c r="T1638" s="110">
        <v>1.3</v>
      </c>
      <c r="U1638" s="1108">
        <v>40.0</v>
      </c>
      <c r="V1638" s="1108"/>
      <c r="W1638" s="1108"/>
      <c r="X1638" s="1108"/>
      <c r="Y1638" s="1108"/>
      <c r="Z1638" s="1114" t="s">
        <v>387</v>
      </c>
      <c r="AA1638" s="1114"/>
      <c r="AB1638" s="1114" t="s">
        <v>416</v>
      </c>
      <c r="AC1638" s="1117">
        <v>52.5</v>
      </c>
      <c r="AD1638" s="1115"/>
      <c r="AE1638" s="1115"/>
      <c r="AF1638" s="1115"/>
      <c r="AG1638" s="1115"/>
      <c r="AH1638" s="1115"/>
      <c r="AI1638" s="1115"/>
      <c r="AJ1638" s="1117"/>
      <c r="AK1638" s="1118"/>
      <c r="AL1638" s="1115"/>
      <c r="AM1638" s="1115"/>
      <c r="AN1638" s="1115"/>
      <c r="AO1638" s="1115"/>
      <c r="AP1638" s="1115"/>
      <c r="AQ1638" s="1115"/>
      <c r="AR1638" s="1115"/>
      <c r="AS1638" s="1117"/>
      <c r="AT1638" s="1196" t="str">
        <f t="shared" si="172"/>
        <v>10+</v>
      </c>
      <c r="AU1638" s="1193"/>
      <c r="AV1638" s="330">
        <f>SQRT(($R1638-Infrastructure!J$3)^2+($S1638-Infrastructure!K$3)^2)</f>
        <v>24.42048321</v>
      </c>
      <c r="AW1638" s="331">
        <f>SQRT(($R1638-Infrastructure!J$4)^2+($S1638-Infrastructure!K$4)^2)</f>
        <v>30.90129447</v>
      </c>
      <c r="AX1638" s="331">
        <f>SQRT(($R1638-Infrastructure!J$5)^2+($S1638-Infrastructure!K$5)^2)</f>
        <v>40.83331973</v>
      </c>
      <c r="AY1638" s="331">
        <f>SQRT(($R1638-Infrastructure!J$6)^2+($S1638-Infrastructure!K$6)^2)</f>
        <v>40.88031311</v>
      </c>
      <c r="AZ1638" s="331">
        <f>SQRT(($R1638-Infrastructure!J$7)^2+($S1638-Infrastructure!K$7)^2)</f>
        <v>39.21836305</v>
      </c>
      <c r="BA1638" s="331">
        <f>SQRT(($R1638-Infrastructure!J$8)^2+($S1638-Infrastructure!K$8)^2)</f>
        <v>40.08989898</v>
      </c>
      <c r="BB1638" s="331">
        <f>SQRT(($R1638-Infrastructure!J$9)^2+($S1638-Infrastructure!K$9)^2)</f>
        <v>38.96472764</v>
      </c>
      <c r="BC1638" s="331">
        <f>SQRT(($R1638-Infrastructure!J$10)^2+($S1638-Infrastructure!K$10)^2)</f>
        <v>30.58005886</v>
      </c>
      <c r="BD1638" s="331">
        <f>SQRT(($R1638-Infrastructure!J$11)^2+($S1638-Infrastructure!K$11)^2)</f>
        <v>21.27204739</v>
      </c>
      <c r="BE1638" s="333">
        <f>SQRT(($R1638-Infrastructure!J$12)^2+($S1638-Infrastructure!K$12)^2)</f>
        <v>16.00124995</v>
      </c>
      <c r="BF1638" s="330">
        <f t="shared" si="161"/>
        <v>16.00124995</v>
      </c>
      <c r="BG1638" s="333">
        <f t="shared" si="162"/>
        <v>40.88031311</v>
      </c>
      <c r="BH1638" s="1119"/>
      <c r="BI1638" s="319"/>
      <c r="BJ1638" s="319"/>
      <c r="BK1638" s="319"/>
      <c r="BL1638" s="319"/>
      <c r="BM1638" s="319"/>
      <c r="BN1638" s="319"/>
      <c r="BO1638" s="319"/>
      <c r="BP1638" s="953"/>
      <c r="BQ1638" s="319"/>
      <c r="BR1638" s="319"/>
      <c r="BS1638" s="330">
        <f t="shared" si="169"/>
        <v>0</v>
      </c>
      <c r="BT1638" s="331">
        <f t="shared" si="170"/>
        <v>0</v>
      </c>
      <c r="BU1638" s="920"/>
      <c r="BV1638" s="903">
        <f t="shared" si="171"/>
        <v>-0.6070601852</v>
      </c>
      <c r="BW1638" s="907"/>
      <c r="BX1638" s="908"/>
      <c r="BY1638" s="331"/>
      <c r="BZ1638" s="340"/>
      <c r="CA1638" s="316"/>
      <c r="CB1638" s="318"/>
      <c r="CC1638" s="318"/>
      <c r="CD1638" s="318"/>
      <c r="CE1638" s="318"/>
      <c r="CF1638" s="318"/>
      <c r="CG1638" s="318"/>
      <c r="CH1638" s="318"/>
      <c r="CI1638" s="318"/>
      <c r="CJ1638" s="463"/>
      <c r="CK1638" s="342"/>
      <c r="CL1638" s="333"/>
      <c r="CM1638" s="1079"/>
      <c r="CN1638" s="1005"/>
      <c r="CO1638" s="1005"/>
      <c r="CP1638" s="1005"/>
    </row>
    <row r="1639">
      <c r="B1639" s="1106" t="s">
        <v>2312</v>
      </c>
      <c r="C1639" s="1107">
        <v>44959.0</v>
      </c>
      <c r="D1639" s="103"/>
      <c r="E1639" s="1108">
        <v>8.0</v>
      </c>
      <c r="F1639" s="112" t="s">
        <v>2327</v>
      </c>
      <c r="G1639" s="1110">
        <v>0.6172453703703704</v>
      </c>
      <c r="H1639" s="1110">
        <v>0.6179398148148149</v>
      </c>
      <c r="I1639" s="1110"/>
      <c r="J1639" s="1111"/>
      <c r="K1639" s="1111">
        <v>0.6193287037037037</v>
      </c>
      <c r="L1639" s="1112">
        <v>0.001388888888888889</v>
      </c>
      <c r="M1639" s="1113" t="s">
        <v>166</v>
      </c>
      <c r="N1639" s="110" t="s">
        <v>187</v>
      </c>
      <c r="O1639" s="1115" t="s">
        <v>204</v>
      </c>
      <c r="P1639" s="1115" t="s">
        <v>256</v>
      </c>
      <c r="Q1639" s="1115" t="s">
        <v>842</v>
      </c>
      <c r="R1639" s="120">
        <v>18.6</v>
      </c>
      <c r="S1639" s="1113">
        <v>4.4</v>
      </c>
      <c r="T1639" s="110">
        <v>2.5</v>
      </c>
      <c r="U1639" s="1108">
        <v>6.0</v>
      </c>
      <c r="V1639" s="1108"/>
      <c r="W1639" s="1108"/>
      <c r="X1639" s="1108"/>
      <c r="Y1639" s="1108"/>
      <c r="Z1639" s="1114" t="s">
        <v>365</v>
      </c>
      <c r="AA1639" s="1114"/>
      <c r="AB1639" s="1114" t="s">
        <v>341</v>
      </c>
      <c r="AC1639" s="1117">
        <v>3.0</v>
      </c>
      <c r="AD1639" s="1115"/>
      <c r="AE1639" s="1115"/>
      <c r="AF1639" s="1115"/>
      <c r="AG1639" s="1115"/>
      <c r="AH1639" s="1115"/>
      <c r="AI1639" s="1115"/>
      <c r="AJ1639" s="1117"/>
      <c r="AK1639" s="1118"/>
      <c r="AL1639" s="1115"/>
      <c r="AM1639" s="1115"/>
      <c r="AN1639" s="1115"/>
      <c r="AO1639" s="1115"/>
      <c r="AP1639" s="1115"/>
      <c r="AQ1639" s="1115"/>
      <c r="AR1639" s="1115"/>
      <c r="AS1639" s="1117"/>
      <c r="AT1639" s="1196" t="str">
        <f t="shared" si="172"/>
        <v>1-10</v>
      </c>
      <c r="AU1639" s="1193"/>
      <c r="AV1639" s="330">
        <f>SQRT(($R1639-Infrastructure!J$3)^2+($S1639-Infrastructure!K$3)^2)</f>
        <v>30.94285055</v>
      </c>
      <c r="AW1639" s="331">
        <f>SQRT(($R1639-Infrastructure!J$4)^2+($S1639-Infrastructure!K$4)^2)</f>
        <v>23.1682973</v>
      </c>
      <c r="AX1639" s="331">
        <f>SQRT(($R1639-Infrastructure!J$5)^2+($S1639-Infrastructure!K$5)^2)</f>
        <v>18.91295852</v>
      </c>
      <c r="AY1639" s="331">
        <f>SQRT(($R1639-Infrastructure!J$6)^2+($S1639-Infrastructure!K$6)^2)</f>
        <v>9.43716059</v>
      </c>
      <c r="AZ1639" s="331">
        <f>SQRT(($R1639-Infrastructure!J$7)^2+($S1639-Infrastructure!K$7)^2)</f>
        <v>4.518849411</v>
      </c>
      <c r="BA1639" s="331">
        <f>SQRT(($R1639-Infrastructure!J$8)^2+($S1639-Infrastructure!K$8)^2)</f>
        <v>12.20901306</v>
      </c>
      <c r="BB1639" s="331">
        <f>SQRT(($R1639-Infrastructure!J$9)^2+($S1639-Infrastructure!K$9)^2)</f>
        <v>21.41144554</v>
      </c>
      <c r="BC1639" s="331">
        <f>SQRT(($R1639-Infrastructure!J$10)^2+($S1639-Infrastructure!K$10)^2)</f>
        <v>23.88137349</v>
      </c>
      <c r="BD1639" s="331">
        <f>SQRT(($R1639-Infrastructure!J$11)^2+($S1639-Infrastructure!K$11)^2)</f>
        <v>32.73713488</v>
      </c>
      <c r="BE1639" s="333">
        <f>SQRT(($R1639-Infrastructure!J$12)^2+($S1639-Infrastructure!K$12)^2)</f>
        <v>51.18222348</v>
      </c>
      <c r="BF1639" s="330">
        <f t="shared" si="161"/>
        <v>4.518849411</v>
      </c>
      <c r="BG1639" s="333">
        <f t="shared" si="162"/>
        <v>51.18222348</v>
      </c>
      <c r="BH1639" s="1119"/>
      <c r="BI1639" s="319"/>
      <c r="BJ1639" s="319"/>
      <c r="BK1639" s="319"/>
      <c r="BL1639" s="319"/>
      <c r="BM1639" s="319"/>
      <c r="BN1639" s="319"/>
      <c r="BO1639" s="319"/>
      <c r="BP1639" s="953"/>
      <c r="BQ1639" s="319"/>
      <c r="BR1639" s="319"/>
      <c r="BS1639" s="330">
        <f t="shared" si="169"/>
        <v>0</v>
      </c>
      <c r="BT1639" s="331">
        <f t="shared" si="170"/>
        <v>0</v>
      </c>
      <c r="BU1639" s="920"/>
      <c r="BV1639" s="903">
        <f t="shared" si="171"/>
        <v>-0.6172453704</v>
      </c>
      <c r="BW1639" s="907">
        <v>20.8</v>
      </c>
      <c r="BX1639" s="908">
        <v>8.1</v>
      </c>
      <c r="BY1639" s="331">
        <f t="shared" ref="BY1639:BY1641" si="175">IF(BW1639&gt;0, SQRT((R1639-BW1639)^2+(S1639-BX1639)^2))</f>
        <v>4.30464865</v>
      </c>
      <c r="BZ1639" s="340"/>
      <c r="CA1639" s="316"/>
      <c r="CB1639" s="318"/>
      <c r="CC1639" s="318"/>
      <c r="CD1639" s="318"/>
      <c r="CE1639" s="318"/>
      <c r="CF1639" s="318"/>
      <c r="CG1639" s="318"/>
      <c r="CH1639" s="318"/>
      <c r="CI1639" s="318"/>
      <c r="CJ1639" s="463"/>
      <c r="CK1639" s="342"/>
      <c r="CL1639" s="333"/>
      <c r="CM1639" s="1079"/>
      <c r="CN1639" s="1005"/>
      <c r="CO1639" s="1005"/>
      <c r="CP1639" s="1005"/>
    </row>
    <row r="1640">
      <c r="B1640" s="1106" t="s">
        <v>2312</v>
      </c>
      <c r="C1640" s="1107">
        <v>44959.0</v>
      </c>
      <c r="D1640" s="103"/>
      <c r="E1640" s="1108">
        <v>9.0</v>
      </c>
      <c r="F1640" s="112" t="s">
        <v>2328</v>
      </c>
      <c r="G1640" s="1110">
        <v>0.6231481481481481</v>
      </c>
      <c r="H1640" s="1110">
        <v>0.6234375</v>
      </c>
      <c r="I1640" s="1110"/>
      <c r="J1640" s="1111"/>
      <c r="K1640" s="1111">
        <v>0.6261574074074074</v>
      </c>
      <c r="L1640" s="1112">
        <v>0.0027199074074074074</v>
      </c>
      <c r="M1640" s="1113" t="s">
        <v>166</v>
      </c>
      <c r="N1640" s="110" t="s">
        <v>187</v>
      </c>
      <c r="O1640" s="1115" t="s">
        <v>204</v>
      </c>
      <c r="P1640" s="1115" t="s">
        <v>256</v>
      </c>
      <c r="Q1640" s="1115" t="s">
        <v>842</v>
      </c>
      <c r="R1640" s="120">
        <v>18.6</v>
      </c>
      <c r="S1640" s="1113">
        <v>4.4</v>
      </c>
      <c r="T1640" s="110">
        <v>2.5</v>
      </c>
      <c r="U1640" s="1108">
        <v>6.0</v>
      </c>
      <c r="V1640" s="1108"/>
      <c r="W1640" s="1108"/>
      <c r="X1640" s="1108"/>
      <c r="Y1640" s="1108"/>
      <c r="Z1640" s="1114" t="s">
        <v>365</v>
      </c>
      <c r="AA1640" s="1114"/>
      <c r="AB1640" s="1114" t="s">
        <v>341</v>
      </c>
      <c r="AC1640" s="1117">
        <v>3.0</v>
      </c>
      <c r="AD1640" s="1115"/>
      <c r="AE1640" s="1115"/>
      <c r="AF1640" s="1115"/>
      <c r="AG1640" s="1115"/>
      <c r="AH1640" s="1115"/>
      <c r="AI1640" s="1115"/>
      <c r="AJ1640" s="1117"/>
      <c r="AK1640" s="1118"/>
      <c r="AL1640" s="1115"/>
      <c r="AM1640" s="1115"/>
      <c r="AN1640" s="1115"/>
      <c r="AO1640" s="1115"/>
      <c r="AP1640" s="1115"/>
      <c r="AQ1640" s="1115"/>
      <c r="AR1640" s="1115"/>
      <c r="AS1640" s="1117"/>
      <c r="AT1640" s="1196" t="str">
        <f t="shared" si="172"/>
        <v>1-10</v>
      </c>
      <c r="AU1640" s="1193"/>
      <c r="AV1640" s="330">
        <f>SQRT(($R1640-Infrastructure!J$3)^2+($S1640-Infrastructure!K$3)^2)</f>
        <v>30.94285055</v>
      </c>
      <c r="AW1640" s="331">
        <f>SQRT(($R1640-Infrastructure!J$4)^2+($S1640-Infrastructure!K$4)^2)</f>
        <v>23.1682973</v>
      </c>
      <c r="AX1640" s="331">
        <f>SQRT(($R1640-Infrastructure!J$5)^2+($S1640-Infrastructure!K$5)^2)</f>
        <v>18.91295852</v>
      </c>
      <c r="AY1640" s="331">
        <f>SQRT(($R1640-Infrastructure!J$6)^2+($S1640-Infrastructure!K$6)^2)</f>
        <v>9.43716059</v>
      </c>
      <c r="AZ1640" s="331">
        <f>SQRT(($R1640-Infrastructure!J$7)^2+($S1640-Infrastructure!K$7)^2)</f>
        <v>4.518849411</v>
      </c>
      <c r="BA1640" s="331">
        <f>SQRT(($R1640-Infrastructure!J$8)^2+($S1640-Infrastructure!K$8)^2)</f>
        <v>12.20901306</v>
      </c>
      <c r="BB1640" s="331">
        <f>SQRT(($R1640-Infrastructure!J$9)^2+($S1640-Infrastructure!K$9)^2)</f>
        <v>21.41144554</v>
      </c>
      <c r="BC1640" s="331">
        <f>SQRT(($R1640-Infrastructure!J$10)^2+($S1640-Infrastructure!K$10)^2)</f>
        <v>23.88137349</v>
      </c>
      <c r="BD1640" s="331">
        <f>SQRT(($R1640-Infrastructure!J$11)^2+($S1640-Infrastructure!K$11)^2)</f>
        <v>32.73713488</v>
      </c>
      <c r="BE1640" s="333">
        <f>SQRT(($R1640-Infrastructure!J$12)^2+($S1640-Infrastructure!K$12)^2)</f>
        <v>51.18222348</v>
      </c>
      <c r="BF1640" s="330">
        <f t="shared" si="161"/>
        <v>4.518849411</v>
      </c>
      <c r="BG1640" s="333">
        <f t="shared" si="162"/>
        <v>51.18222348</v>
      </c>
      <c r="BH1640" s="1119"/>
      <c r="BI1640" s="319"/>
      <c r="BJ1640" s="319"/>
      <c r="BK1640" s="319"/>
      <c r="BL1640" s="319"/>
      <c r="BM1640" s="319"/>
      <c r="BN1640" s="319"/>
      <c r="BO1640" s="319"/>
      <c r="BP1640" s="953"/>
      <c r="BQ1640" s="319"/>
      <c r="BR1640" s="319"/>
      <c r="BS1640" s="330">
        <f t="shared" si="169"/>
        <v>0</v>
      </c>
      <c r="BT1640" s="331">
        <f t="shared" si="170"/>
        <v>0</v>
      </c>
      <c r="BU1640" s="920"/>
      <c r="BV1640" s="903">
        <f t="shared" si="171"/>
        <v>-0.6231481481</v>
      </c>
      <c r="BW1640" s="907">
        <v>20.7</v>
      </c>
      <c r="BX1640" s="908">
        <v>7.7</v>
      </c>
      <c r="BY1640" s="331">
        <f t="shared" si="175"/>
        <v>3.911521443</v>
      </c>
      <c r="BZ1640" s="340"/>
      <c r="CA1640" s="316"/>
      <c r="CB1640" s="318"/>
      <c r="CC1640" s="318"/>
      <c r="CD1640" s="318"/>
      <c r="CE1640" s="318"/>
      <c r="CF1640" s="318"/>
      <c r="CG1640" s="318"/>
      <c r="CH1640" s="318"/>
      <c r="CI1640" s="318"/>
      <c r="CJ1640" s="463"/>
      <c r="CK1640" s="342"/>
      <c r="CL1640" s="333"/>
      <c r="CM1640" s="1079"/>
      <c r="CN1640" s="1005"/>
      <c r="CO1640" s="1005"/>
      <c r="CP1640" s="1005"/>
    </row>
    <row r="1641">
      <c r="B1641" s="1106" t="s">
        <v>2312</v>
      </c>
      <c r="C1641" s="1107">
        <v>44959.0</v>
      </c>
      <c r="D1641" s="103"/>
      <c r="E1641" s="1108">
        <v>10.0</v>
      </c>
      <c r="F1641" s="112" t="s">
        <v>2329</v>
      </c>
      <c r="G1641" s="1110">
        <v>0.6285879629629629</v>
      </c>
      <c r="H1641" s="1110">
        <v>0.6288194444444445</v>
      </c>
      <c r="I1641" s="1110"/>
      <c r="J1641" s="1111"/>
      <c r="K1641" s="1111">
        <v>0.6304976851851852</v>
      </c>
      <c r="L1641" s="1112">
        <v>0.0016782407407407408</v>
      </c>
      <c r="M1641" s="1113" t="s">
        <v>166</v>
      </c>
      <c r="N1641" s="110" t="s">
        <v>187</v>
      </c>
      <c r="O1641" s="1115" t="s">
        <v>204</v>
      </c>
      <c r="P1641" s="1115" t="s">
        <v>256</v>
      </c>
      <c r="Q1641" s="1115" t="s">
        <v>842</v>
      </c>
      <c r="R1641" s="120">
        <v>18.6</v>
      </c>
      <c r="S1641" s="1113">
        <v>4.4</v>
      </c>
      <c r="T1641" s="110">
        <v>2.5</v>
      </c>
      <c r="U1641" s="1108">
        <v>7.2</v>
      </c>
      <c r="V1641" s="1108"/>
      <c r="W1641" s="1108"/>
      <c r="X1641" s="1108"/>
      <c r="Y1641" s="1108"/>
      <c r="Z1641" s="1114" t="s">
        <v>365</v>
      </c>
      <c r="AA1641" s="1114"/>
      <c r="AB1641" s="1114" t="s">
        <v>2330</v>
      </c>
      <c r="AC1641" s="1117">
        <v>10.0</v>
      </c>
      <c r="AD1641" s="1115"/>
      <c r="AE1641" s="1115"/>
      <c r="AF1641" s="1115"/>
      <c r="AG1641" s="1115"/>
      <c r="AH1641" s="1115"/>
      <c r="AI1641" s="1115"/>
      <c r="AJ1641" s="1117"/>
      <c r="AK1641" s="1118"/>
      <c r="AL1641" s="1115"/>
      <c r="AM1641" s="1115"/>
      <c r="AN1641" s="1115"/>
      <c r="AO1641" s="1115"/>
      <c r="AP1641" s="1115"/>
      <c r="AQ1641" s="1115"/>
      <c r="AR1641" s="1115"/>
      <c r="AS1641" s="1117"/>
      <c r="AT1641" s="1196" t="str">
        <f t="shared" si="172"/>
        <v>1-10</v>
      </c>
      <c r="AU1641" s="1193"/>
      <c r="AV1641" s="330">
        <f>SQRT(($R1641-Infrastructure!J$3)^2+($S1641-Infrastructure!K$3)^2)</f>
        <v>30.94285055</v>
      </c>
      <c r="AW1641" s="331">
        <f>SQRT(($R1641-Infrastructure!J$4)^2+($S1641-Infrastructure!K$4)^2)</f>
        <v>23.1682973</v>
      </c>
      <c r="AX1641" s="331">
        <f>SQRT(($R1641-Infrastructure!J$5)^2+($S1641-Infrastructure!K$5)^2)</f>
        <v>18.91295852</v>
      </c>
      <c r="AY1641" s="331">
        <f>SQRT(($R1641-Infrastructure!J$6)^2+($S1641-Infrastructure!K$6)^2)</f>
        <v>9.43716059</v>
      </c>
      <c r="AZ1641" s="331">
        <f>SQRT(($R1641-Infrastructure!J$7)^2+($S1641-Infrastructure!K$7)^2)</f>
        <v>4.518849411</v>
      </c>
      <c r="BA1641" s="331">
        <f>SQRT(($R1641-Infrastructure!J$8)^2+($S1641-Infrastructure!K$8)^2)</f>
        <v>12.20901306</v>
      </c>
      <c r="BB1641" s="331">
        <f>SQRT(($R1641-Infrastructure!J$9)^2+($S1641-Infrastructure!K$9)^2)</f>
        <v>21.41144554</v>
      </c>
      <c r="BC1641" s="331">
        <f>SQRT(($R1641-Infrastructure!J$10)^2+($S1641-Infrastructure!K$10)^2)</f>
        <v>23.88137349</v>
      </c>
      <c r="BD1641" s="331">
        <f>SQRT(($R1641-Infrastructure!J$11)^2+($S1641-Infrastructure!K$11)^2)</f>
        <v>32.73713488</v>
      </c>
      <c r="BE1641" s="333">
        <f>SQRT(($R1641-Infrastructure!J$12)^2+($S1641-Infrastructure!K$12)^2)</f>
        <v>51.18222348</v>
      </c>
      <c r="BF1641" s="330">
        <f t="shared" si="161"/>
        <v>4.518849411</v>
      </c>
      <c r="BG1641" s="333">
        <f t="shared" si="162"/>
        <v>51.18222348</v>
      </c>
      <c r="BH1641" s="1119"/>
      <c r="BI1641" s="319"/>
      <c r="BJ1641" s="319"/>
      <c r="BK1641" s="319"/>
      <c r="BL1641" s="319"/>
      <c r="BM1641" s="319"/>
      <c r="BN1641" s="319"/>
      <c r="BO1641" s="319"/>
      <c r="BP1641" s="953"/>
      <c r="BQ1641" s="319"/>
      <c r="BR1641" s="319"/>
      <c r="BS1641" s="330">
        <f t="shared" si="169"/>
        <v>0</v>
      </c>
      <c r="BT1641" s="331">
        <f t="shared" si="170"/>
        <v>0</v>
      </c>
      <c r="BU1641" s="920"/>
      <c r="BV1641" s="903">
        <f t="shared" si="171"/>
        <v>-0.628587963</v>
      </c>
      <c r="BW1641" s="907">
        <v>19.7</v>
      </c>
      <c r="BX1641" s="908">
        <v>3.9</v>
      </c>
      <c r="BY1641" s="331">
        <f t="shared" si="175"/>
        <v>1.208304597</v>
      </c>
      <c r="BZ1641" s="340"/>
      <c r="CA1641" s="316"/>
      <c r="CB1641" s="318"/>
      <c r="CC1641" s="318"/>
      <c r="CD1641" s="318"/>
      <c r="CE1641" s="318"/>
      <c r="CF1641" s="318"/>
      <c r="CG1641" s="318"/>
      <c r="CH1641" s="318"/>
      <c r="CI1641" s="318"/>
      <c r="CJ1641" s="463"/>
      <c r="CK1641" s="342"/>
      <c r="CL1641" s="333"/>
      <c r="CM1641" s="1079"/>
      <c r="CN1641" s="1005"/>
      <c r="CO1641" s="1005"/>
      <c r="CP1641" s="1005"/>
    </row>
    <row r="1642">
      <c r="B1642" s="1106" t="s">
        <v>2312</v>
      </c>
      <c r="C1642" s="1107">
        <v>44959.0</v>
      </c>
      <c r="D1642" s="103"/>
      <c r="E1642" s="1137"/>
      <c r="F1642" s="112" t="s">
        <v>2331</v>
      </c>
      <c r="G1642" s="1110">
        <v>0.633912037037037</v>
      </c>
      <c r="H1642" s="1138"/>
      <c r="I1642" s="1138"/>
      <c r="J1642" s="1139"/>
      <c r="K1642" s="1111">
        <v>0.6346064814814815</v>
      </c>
      <c r="L1642" s="1112">
        <v>6.944444444444445E-4</v>
      </c>
      <c r="M1642" s="1113" t="s">
        <v>166</v>
      </c>
      <c r="N1642" s="110" t="s">
        <v>188</v>
      </c>
      <c r="O1642" s="1140"/>
      <c r="P1642" s="1115" t="s">
        <v>292</v>
      </c>
      <c r="Q1642" s="1116"/>
      <c r="R1642" s="1141"/>
      <c r="S1642" s="1142"/>
      <c r="T1642" s="1143"/>
      <c r="U1642" s="1137"/>
      <c r="V1642" s="1137"/>
      <c r="W1642" s="1137"/>
      <c r="X1642" s="1137"/>
      <c r="Y1642" s="1137"/>
      <c r="Z1642" s="1114" t="s">
        <v>323</v>
      </c>
      <c r="AA1642" s="1114"/>
      <c r="AB1642" s="1114" t="s">
        <v>323</v>
      </c>
      <c r="AC1642" s="1117" t="s">
        <v>323</v>
      </c>
      <c r="AD1642" s="1115"/>
      <c r="AE1642" s="1115"/>
      <c r="AF1642" s="1115"/>
      <c r="AG1642" s="1115"/>
      <c r="AH1642" s="1115"/>
      <c r="AI1642" s="1115"/>
      <c r="AJ1642" s="1117"/>
      <c r="AK1642" s="1118"/>
      <c r="AL1642" s="1115"/>
      <c r="AM1642" s="1115"/>
      <c r="AN1642" s="1115"/>
      <c r="AO1642" s="1115"/>
      <c r="AP1642" s="1115"/>
      <c r="AQ1642" s="1115"/>
      <c r="AR1642" s="1115"/>
      <c r="AS1642" s="1117"/>
      <c r="AT1642" s="1196" t="str">
        <f t="shared" si="172"/>
        <v/>
      </c>
      <c r="AU1642" s="1193"/>
      <c r="AV1642" s="330">
        <f>SQRT(($R1642-Infrastructure!J$3)^2+($S1642-Infrastructure!K$3)^2)</f>
        <v>28.90155705</v>
      </c>
      <c r="AW1642" s="331">
        <f>SQRT(($R1642-Infrastructure!J$4)^2+($S1642-Infrastructure!K$4)^2)</f>
        <v>17.80252791</v>
      </c>
      <c r="AX1642" s="331">
        <f>SQRT(($R1642-Infrastructure!J$5)^2+($S1642-Infrastructure!K$5)^2)</f>
        <v>5.10881591</v>
      </c>
      <c r="AY1642" s="331">
        <f>SQRT(($R1642-Infrastructure!J$6)^2+($S1642-Infrastructure!K$6)^2)</f>
        <v>10.10445446</v>
      </c>
      <c r="AZ1642" s="331">
        <f>SQRT(($R1642-Infrastructure!J$7)^2+($S1642-Infrastructure!K$7)^2)</f>
        <v>20.502195</v>
      </c>
      <c r="BA1642" s="331">
        <f>SQRT(($R1642-Infrastructure!J$8)^2+($S1642-Infrastructure!K$8)^2)</f>
        <v>30.10149498</v>
      </c>
      <c r="BB1642" s="331">
        <f>SQRT(($R1642-Infrastructure!J$9)^2+($S1642-Infrastructure!K$9)^2)</f>
        <v>40.3238143</v>
      </c>
      <c r="BC1642" s="331">
        <f>SQRT(($R1642-Infrastructure!J$10)^2+($S1642-Infrastructure!K$10)^2)</f>
        <v>42.72001873</v>
      </c>
      <c r="BD1642" s="331">
        <f>SQRT(($R1642-Infrastructure!J$11)^2+($S1642-Infrastructure!K$11)^2)</f>
        <v>49.56853841</v>
      </c>
      <c r="BE1642" s="333">
        <f>SQRT(($R1642-Infrastructure!J$12)^2+($S1642-Infrastructure!K$12)^2)</f>
        <v>59.51890456</v>
      </c>
      <c r="BF1642" s="330">
        <f t="shared" si="161"/>
        <v>5.10881591</v>
      </c>
      <c r="BG1642" s="333">
        <f t="shared" si="162"/>
        <v>59.51890456</v>
      </c>
      <c r="BH1642" s="1119"/>
      <c r="BI1642" s="319"/>
      <c r="BJ1642" s="319"/>
      <c r="BK1642" s="319"/>
      <c r="BL1642" s="319"/>
      <c r="BM1642" s="319"/>
      <c r="BN1642" s="319"/>
      <c r="BO1642" s="319"/>
      <c r="BP1642" s="953"/>
      <c r="BQ1642" s="319"/>
      <c r="BR1642" s="319"/>
      <c r="BS1642" s="330">
        <f t="shared" si="169"/>
        <v>0</v>
      </c>
      <c r="BT1642" s="331">
        <f t="shared" si="170"/>
        <v>0</v>
      </c>
      <c r="BU1642" s="920"/>
      <c r="BV1642" s="903">
        <f t="shared" si="171"/>
        <v>-0.633912037</v>
      </c>
      <c r="BW1642" s="907"/>
      <c r="BX1642" s="908"/>
      <c r="BY1642" s="331"/>
      <c r="BZ1642" s="340"/>
      <c r="CA1642" s="316"/>
      <c r="CB1642" s="318"/>
      <c r="CC1642" s="318"/>
      <c r="CD1642" s="318"/>
      <c r="CE1642" s="318"/>
      <c r="CF1642" s="318"/>
      <c r="CG1642" s="318"/>
      <c r="CH1642" s="318"/>
      <c r="CI1642" s="318"/>
      <c r="CJ1642" s="463"/>
      <c r="CK1642" s="342"/>
      <c r="CL1642" s="333"/>
      <c r="CM1642" s="1079"/>
      <c r="CN1642" s="1005"/>
      <c r="CO1642" s="1005"/>
      <c r="CP1642" s="1005"/>
    </row>
    <row r="1643">
      <c r="A1643" s="634"/>
      <c r="B1643" s="1121" t="s">
        <v>2312</v>
      </c>
      <c r="C1643" s="1122">
        <v>44959.0</v>
      </c>
      <c r="D1643" s="1123"/>
      <c r="E1643" s="1144"/>
      <c r="F1643" s="108" t="s">
        <v>2331</v>
      </c>
      <c r="G1643" s="1126">
        <v>0.6403935185185186</v>
      </c>
      <c r="H1643" s="1145"/>
      <c r="I1643" s="1145"/>
      <c r="J1643" s="1146"/>
      <c r="K1643" s="1127">
        <v>0.6423611111111112</v>
      </c>
      <c r="L1643" s="1128">
        <v>0.0019675925925925924</v>
      </c>
      <c r="M1643" s="1129" t="s">
        <v>358</v>
      </c>
      <c r="N1643" s="100" t="s">
        <v>188</v>
      </c>
      <c r="O1643" s="1161"/>
      <c r="P1643" s="1131" t="s">
        <v>294</v>
      </c>
      <c r="Q1643" s="1132"/>
      <c r="R1643" s="1148"/>
      <c r="S1643" s="1149"/>
      <c r="T1643" s="1150"/>
      <c r="U1643" s="1144"/>
      <c r="V1643" s="1144"/>
      <c r="W1643" s="1144"/>
      <c r="X1643" s="1144"/>
      <c r="Y1643" s="1144"/>
      <c r="Z1643" s="1130" t="s">
        <v>323</v>
      </c>
      <c r="AA1643" s="1130"/>
      <c r="AB1643" s="1130" t="s">
        <v>323</v>
      </c>
      <c r="AC1643" s="1133" t="s">
        <v>323</v>
      </c>
      <c r="AD1643" s="1131"/>
      <c r="AE1643" s="1131"/>
      <c r="AF1643" s="1131"/>
      <c r="AG1643" s="1131"/>
      <c r="AH1643" s="1131"/>
      <c r="AI1643" s="1131"/>
      <c r="AJ1643" s="1133"/>
      <c r="AK1643" s="1134"/>
      <c r="AL1643" s="1131"/>
      <c r="AM1643" s="1131"/>
      <c r="AN1643" s="1131"/>
      <c r="AO1643" s="1131"/>
      <c r="AP1643" s="1131"/>
      <c r="AQ1643" s="1131"/>
      <c r="AR1643" s="1131"/>
      <c r="AS1643" s="1133"/>
      <c r="AT1643" s="1197" t="str">
        <f t="shared" si="172"/>
        <v/>
      </c>
      <c r="AU1643" s="1194"/>
      <c r="AV1643" s="662">
        <f>SQRT(($R1643-Infrastructure!J$3)^2+($S1643-Infrastructure!K$3)^2)</f>
        <v>28.90155705</v>
      </c>
      <c r="AW1643" s="641">
        <f>SQRT(($R1643-Infrastructure!J$4)^2+($S1643-Infrastructure!K$4)^2)</f>
        <v>17.80252791</v>
      </c>
      <c r="AX1643" s="641">
        <f>SQRT(($R1643-Infrastructure!J$5)^2+($S1643-Infrastructure!K$5)^2)</f>
        <v>5.10881591</v>
      </c>
      <c r="AY1643" s="641">
        <f>SQRT(($R1643-Infrastructure!J$6)^2+($S1643-Infrastructure!K$6)^2)</f>
        <v>10.10445446</v>
      </c>
      <c r="AZ1643" s="641">
        <f>SQRT(($R1643-Infrastructure!J$7)^2+($S1643-Infrastructure!K$7)^2)</f>
        <v>20.502195</v>
      </c>
      <c r="BA1643" s="641">
        <f>SQRT(($R1643-Infrastructure!J$8)^2+($S1643-Infrastructure!K$8)^2)</f>
        <v>30.10149498</v>
      </c>
      <c r="BB1643" s="641">
        <f>SQRT(($R1643-Infrastructure!J$9)^2+($S1643-Infrastructure!K$9)^2)</f>
        <v>40.3238143</v>
      </c>
      <c r="BC1643" s="641">
        <f>SQRT(($R1643-Infrastructure!J$10)^2+($S1643-Infrastructure!K$10)^2)</f>
        <v>42.72001873</v>
      </c>
      <c r="BD1643" s="641">
        <f>SQRT(($R1643-Infrastructure!J$11)^2+($S1643-Infrastructure!K$11)^2)</f>
        <v>49.56853841</v>
      </c>
      <c r="BE1643" s="642">
        <f>SQRT(($R1643-Infrastructure!J$12)^2+($S1643-Infrastructure!K$12)^2)</f>
        <v>59.51890456</v>
      </c>
      <c r="BF1643" s="662">
        <f t="shared" si="161"/>
        <v>5.10881591</v>
      </c>
      <c r="BG1643" s="642">
        <f t="shared" si="162"/>
        <v>59.51890456</v>
      </c>
      <c r="BH1643" s="1135"/>
      <c r="BI1643" s="663"/>
      <c r="BJ1643" s="663"/>
      <c r="BK1643" s="663"/>
      <c r="BL1643" s="663"/>
      <c r="BM1643" s="663"/>
      <c r="BN1643" s="663"/>
      <c r="BO1643" s="663"/>
      <c r="BP1643" s="958"/>
      <c r="BQ1643" s="663"/>
      <c r="BR1643" s="663"/>
      <c r="BS1643" s="662">
        <f t="shared" si="169"/>
        <v>0</v>
      </c>
      <c r="BT1643" s="641">
        <f t="shared" si="170"/>
        <v>0</v>
      </c>
      <c r="BU1643" s="937"/>
      <c r="BV1643" s="930">
        <f t="shared" si="171"/>
        <v>-0.6403935185</v>
      </c>
      <c r="BW1643" s="938"/>
      <c r="BX1643" s="939"/>
      <c r="BY1643" s="641"/>
      <c r="BZ1643" s="742"/>
      <c r="CA1643" s="639"/>
      <c r="CB1643" s="640"/>
      <c r="CC1643" s="640"/>
      <c r="CD1643" s="640"/>
      <c r="CE1643" s="640"/>
      <c r="CF1643" s="640"/>
      <c r="CG1643" s="640"/>
      <c r="CH1643" s="640"/>
      <c r="CI1643" s="640"/>
      <c r="CJ1643" s="785"/>
      <c r="CK1643" s="743"/>
      <c r="CL1643" s="642"/>
      <c r="CM1643" s="1090"/>
      <c r="CN1643" s="1005"/>
      <c r="CO1643" s="1005"/>
      <c r="CP1643" s="1005"/>
    </row>
    <row r="1644">
      <c r="A1644" s="1162" t="s">
        <v>91</v>
      </c>
      <c r="B1644" s="1106" t="s">
        <v>1680</v>
      </c>
      <c r="C1644" s="1107">
        <v>45175.0</v>
      </c>
      <c r="D1644" s="103"/>
      <c r="E1644" s="1108">
        <v>1.0</v>
      </c>
      <c r="F1644" s="112" t="s">
        <v>2332</v>
      </c>
      <c r="G1644" s="1110">
        <v>0.5717013888888889</v>
      </c>
      <c r="H1644" s="1110">
        <v>0.5723379629629629</v>
      </c>
      <c r="I1644" s="1110"/>
      <c r="J1644" s="1111"/>
      <c r="K1644" s="1111">
        <v>0.5748842592592592</v>
      </c>
      <c r="L1644" s="1112">
        <v>0.0025462962962962965</v>
      </c>
      <c r="M1644" s="1113" t="s">
        <v>166</v>
      </c>
      <c r="N1644" s="110" t="s">
        <v>188</v>
      </c>
      <c r="O1644" s="1115" t="s">
        <v>196</v>
      </c>
      <c r="P1644" s="1115" t="s">
        <v>224</v>
      </c>
      <c r="Q1644" s="1115" t="s">
        <v>842</v>
      </c>
      <c r="R1644" s="120">
        <v>21.7</v>
      </c>
      <c r="S1644" s="1113">
        <v>39.5</v>
      </c>
      <c r="T1644" s="110">
        <v>1.3</v>
      </c>
      <c r="U1644" s="1108">
        <v>30.0</v>
      </c>
      <c r="V1644" s="1108"/>
      <c r="W1644" s="1108"/>
      <c r="X1644" s="1108"/>
      <c r="Y1644" s="1108"/>
      <c r="Z1644" s="1114" t="s">
        <v>387</v>
      </c>
      <c r="AA1644" s="1114"/>
      <c r="AB1644" s="1114" t="s">
        <v>416</v>
      </c>
      <c r="AC1644" s="1222" t="s">
        <v>2333</v>
      </c>
      <c r="AD1644" s="1223"/>
      <c r="AE1644" s="1223"/>
      <c r="AF1644" s="1223"/>
      <c r="AG1644" s="1223"/>
      <c r="AH1644" s="1223"/>
      <c r="AI1644" s="1223"/>
      <c r="AJ1644" s="1222"/>
      <c r="AK1644" s="1224"/>
      <c r="AL1644" s="1223"/>
      <c r="AM1644" s="1223"/>
      <c r="AN1644" s="1223"/>
      <c r="AO1644" s="1223"/>
      <c r="AP1644" s="1223"/>
      <c r="AQ1644" s="1223"/>
      <c r="AR1644" s="1223"/>
      <c r="AS1644" s="1222"/>
      <c r="AT1644" s="1196" t="str">
        <f t="shared" si="172"/>
        <v>10+</v>
      </c>
      <c r="AU1644" s="1193"/>
      <c r="AV1644" s="330">
        <f>SQRT(($R1644-Infrastructure!J$3)^2+($S1644-Infrastructure!K$3)^2)</f>
        <v>24.42048321</v>
      </c>
      <c r="AW1644" s="331">
        <f>SQRT(($R1644-Infrastructure!J$4)^2+($S1644-Infrastructure!K$4)^2)</f>
        <v>30.90129447</v>
      </c>
      <c r="AX1644" s="331">
        <f>SQRT(($R1644-Infrastructure!J$5)^2+($S1644-Infrastructure!K$5)^2)</f>
        <v>40.83331973</v>
      </c>
      <c r="AY1644" s="331">
        <f>SQRT(($R1644-Infrastructure!J$6)^2+($S1644-Infrastructure!K$6)^2)</f>
        <v>40.88031311</v>
      </c>
      <c r="AZ1644" s="331">
        <f>SQRT(($R1644-Infrastructure!J$7)^2+($S1644-Infrastructure!K$7)^2)</f>
        <v>39.21836305</v>
      </c>
      <c r="BA1644" s="331">
        <f>SQRT(($R1644-Infrastructure!J$8)^2+($S1644-Infrastructure!K$8)^2)</f>
        <v>40.08989898</v>
      </c>
      <c r="BB1644" s="331">
        <f>SQRT(($R1644-Infrastructure!J$9)^2+($S1644-Infrastructure!K$9)^2)</f>
        <v>38.96472764</v>
      </c>
      <c r="BC1644" s="331">
        <f>SQRT(($R1644-Infrastructure!J$10)^2+($S1644-Infrastructure!K$10)^2)</f>
        <v>30.58005886</v>
      </c>
      <c r="BD1644" s="331">
        <f>SQRT(($R1644-Infrastructure!J$11)^2+($S1644-Infrastructure!K$11)^2)</f>
        <v>21.27204739</v>
      </c>
      <c r="BE1644" s="333">
        <f>SQRT(($R1644-Infrastructure!J$12)^2+($S1644-Infrastructure!K$12)^2)</f>
        <v>16.00124995</v>
      </c>
      <c r="BF1644" s="330">
        <f t="shared" si="161"/>
        <v>16.00124995</v>
      </c>
      <c r="BG1644" s="333">
        <f t="shared" si="162"/>
        <v>40.88031311</v>
      </c>
      <c r="BH1644" s="1119"/>
      <c r="BI1644" s="319" t="s">
        <v>846</v>
      </c>
      <c r="BJ1644" s="319" t="s">
        <v>846</v>
      </c>
      <c r="BK1644" s="319" t="s">
        <v>846</v>
      </c>
      <c r="BL1644" s="319" t="s">
        <v>846</v>
      </c>
      <c r="BM1644" s="319" t="s">
        <v>846</v>
      </c>
      <c r="BN1644" s="319" t="s">
        <v>846</v>
      </c>
      <c r="BO1644" s="319" t="s">
        <v>846</v>
      </c>
      <c r="BP1644" s="953" t="s">
        <v>846</v>
      </c>
      <c r="BQ1644" s="319" t="s">
        <v>846</v>
      </c>
      <c r="BR1644" s="324" t="s">
        <v>846</v>
      </c>
      <c r="BS1644" s="330">
        <f t="shared" si="169"/>
        <v>16.00124995</v>
      </c>
      <c r="BT1644" s="331">
        <f t="shared" si="170"/>
        <v>40.88031311</v>
      </c>
      <c r="BU1644" s="920">
        <v>0.5723842592592593</v>
      </c>
      <c r="BV1644" s="903">
        <f t="shared" si="171"/>
        <v>0.0006828703704</v>
      </c>
      <c r="BW1644" s="907">
        <v>14.0</v>
      </c>
      <c r="BX1644" s="908">
        <v>39.1</v>
      </c>
      <c r="BY1644" s="331">
        <f t="shared" ref="BY1644:BY1660" si="176">IF(BW1644&gt;0, SQRT((R1644-BW1644)^2+(S1644-BX1644)^2))</f>
        <v>7.71038261</v>
      </c>
      <c r="BZ1644" s="340"/>
      <c r="CA1644" s="316"/>
      <c r="CB1644" s="318"/>
      <c r="CC1644" s="318"/>
      <c r="CD1644" s="318"/>
      <c r="CE1644" s="318"/>
      <c r="CF1644" s="318"/>
      <c r="CG1644" s="318"/>
      <c r="CH1644" s="318"/>
      <c r="CI1644" s="318"/>
      <c r="CJ1644" s="463"/>
      <c r="CK1644" s="342"/>
      <c r="CL1644" s="333"/>
      <c r="CM1644" s="1079"/>
      <c r="CN1644" s="1005"/>
      <c r="CO1644" s="1055"/>
      <c r="CP1644" s="1055"/>
    </row>
    <row r="1645">
      <c r="B1645" s="1106" t="s">
        <v>1680</v>
      </c>
      <c r="C1645" s="1107">
        <v>45175.0</v>
      </c>
      <c r="D1645" s="103"/>
      <c r="E1645" s="1108">
        <v>2.0</v>
      </c>
      <c r="F1645" s="112" t="s">
        <v>2334</v>
      </c>
      <c r="G1645" s="1110">
        <v>0.578125</v>
      </c>
      <c r="H1645" s="1110">
        <v>0.5788194444444444</v>
      </c>
      <c r="I1645" s="1110"/>
      <c r="J1645" s="1111"/>
      <c r="K1645" s="1111">
        <v>0.5826388888888889</v>
      </c>
      <c r="L1645" s="1112">
        <v>0.0038194444444444443</v>
      </c>
      <c r="M1645" s="1113" t="s">
        <v>166</v>
      </c>
      <c r="N1645" s="110" t="s">
        <v>188</v>
      </c>
      <c r="O1645" s="1115" t="s">
        <v>196</v>
      </c>
      <c r="P1645" s="1115" t="s">
        <v>224</v>
      </c>
      <c r="Q1645" s="1115" t="s">
        <v>842</v>
      </c>
      <c r="R1645" s="120">
        <v>21.7</v>
      </c>
      <c r="S1645" s="1113">
        <v>39.5</v>
      </c>
      <c r="T1645" s="110">
        <v>1.3</v>
      </c>
      <c r="U1645" s="1108">
        <v>20.0</v>
      </c>
      <c r="V1645" s="1108"/>
      <c r="W1645" s="1108"/>
      <c r="X1645" s="1108"/>
      <c r="Y1645" s="1108"/>
      <c r="Z1645" s="1114" t="s">
        <v>387</v>
      </c>
      <c r="AA1645" s="1114"/>
      <c r="AB1645" s="1114" t="s">
        <v>416</v>
      </c>
      <c r="AC1645" s="1222" t="s">
        <v>2333</v>
      </c>
      <c r="AD1645" s="1223"/>
      <c r="AE1645" s="1223"/>
      <c r="AF1645" s="1223"/>
      <c r="AG1645" s="1223"/>
      <c r="AH1645" s="1223"/>
      <c r="AI1645" s="1223"/>
      <c r="AJ1645" s="1222"/>
      <c r="AK1645" s="1224"/>
      <c r="AL1645" s="1223"/>
      <c r="AM1645" s="1223"/>
      <c r="AN1645" s="1223"/>
      <c r="AO1645" s="1223"/>
      <c r="AP1645" s="1223"/>
      <c r="AQ1645" s="1223"/>
      <c r="AR1645" s="1223"/>
      <c r="AS1645" s="1222"/>
      <c r="AT1645" s="1196" t="str">
        <f t="shared" si="172"/>
        <v>10+</v>
      </c>
      <c r="AU1645" s="1193"/>
      <c r="AV1645" s="330">
        <f>SQRT(($R1645-Infrastructure!J$3)^2+($S1645-Infrastructure!K$3)^2)</f>
        <v>24.42048321</v>
      </c>
      <c r="AW1645" s="331">
        <f>SQRT(($R1645-Infrastructure!J$4)^2+($S1645-Infrastructure!K$4)^2)</f>
        <v>30.90129447</v>
      </c>
      <c r="AX1645" s="331">
        <f>SQRT(($R1645-Infrastructure!J$5)^2+($S1645-Infrastructure!K$5)^2)</f>
        <v>40.83331973</v>
      </c>
      <c r="AY1645" s="331">
        <f>SQRT(($R1645-Infrastructure!J$6)^2+($S1645-Infrastructure!K$6)^2)</f>
        <v>40.88031311</v>
      </c>
      <c r="AZ1645" s="331">
        <f>SQRT(($R1645-Infrastructure!J$7)^2+($S1645-Infrastructure!K$7)^2)</f>
        <v>39.21836305</v>
      </c>
      <c r="BA1645" s="331">
        <f>SQRT(($R1645-Infrastructure!J$8)^2+($S1645-Infrastructure!K$8)^2)</f>
        <v>40.08989898</v>
      </c>
      <c r="BB1645" s="331">
        <f>SQRT(($R1645-Infrastructure!J$9)^2+($S1645-Infrastructure!K$9)^2)</f>
        <v>38.96472764</v>
      </c>
      <c r="BC1645" s="331">
        <f>SQRT(($R1645-Infrastructure!J$10)^2+($S1645-Infrastructure!K$10)^2)</f>
        <v>30.58005886</v>
      </c>
      <c r="BD1645" s="331">
        <f>SQRT(($R1645-Infrastructure!J$11)^2+($S1645-Infrastructure!K$11)^2)</f>
        <v>21.27204739</v>
      </c>
      <c r="BE1645" s="333">
        <f>SQRT(($R1645-Infrastructure!J$12)^2+($S1645-Infrastructure!K$12)^2)</f>
        <v>16.00124995</v>
      </c>
      <c r="BF1645" s="330">
        <f t="shared" si="161"/>
        <v>16.00124995</v>
      </c>
      <c r="BG1645" s="333">
        <f t="shared" si="162"/>
        <v>40.88031311</v>
      </c>
      <c r="BH1645" s="1119"/>
      <c r="BI1645" s="319" t="s">
        <v>846</v>
      </c>
      <c r="BJ1645" s="319" t="s">
        <v>846</v>
      </c>
      <c r="BK1645" s="319" t="s">
        <v>846</v>
      </c>
      <c r="BL1645" s="319" t="s">
        <v>846</v>
      </c>
      <c r="BM1645" s="319" t="s">
        <v>846</v>
      </c>
      <c r="BN1645" s="319"/>
      <c r="BO1645" s="319"/>
      <c r="BP1645" s="953" t="s">
        <v>846</v>
      </c>
      <c r="BQ1645" s="319" t="s">
        <v>846</v>
      </c>
      <c r="BR1645" s="324" t="s">
        <v>846</v>
      </c>
      <c r="BS1645" s="330">
        <f t="shared" si="169"/>
        <v>16.00124995</v>
      </c>
      <c r="BT1645" s="331">
        <f t="shared" si="170"/>
        <v>40.88031311</v>
      </c>
      <c r="BU1645" s="920">
        <v>0.5788194444444444</v>
      </c>
      <c r="BV1645" s="903">
        <f t="shared" si="171"/>
        <v>0.0006944444444</v>
      </c>
      <c r="BW1645" s="907">
        <v>14.2</v>
      </c>
      <c r="BX1645" s="908">
        <v>34.0</v>
      </c>
      <c r="BY1645" s="331">
        <f t="shared" si="176"/>
        <v>9.300537619</v>
      </c>
      <c r="BZ1645" s="340"/>
      <c r="CA1645" s="316"/>
      <c r="CB1645" s="318"/>
      <c r="CC1645" s="318"/>
      <c r="CD1645" s="318"/>
      <c r="CE1645" s="318"/>
      <c r="CF1645" s="318"/>
      <c r="CG1645" s="318"/>
      <c r="CH1645" s="318"/>
      <c r="CI1645" s="318"/>
      <c r="CJ1645" s="463"/>
      <c r="CK1645" s="342"/>
      <c r="CL1645" s="333"/>
      <c r="CM1645" s="1079"/>
      <c r="CN1645" s="1005"/>
      <c r="CO1645" s="1005"/>
      <c r="CP1645" s="1005"/>
    </row>
    <row r="1646">
      <c r="B1646" s="1106" t="s">
        <v>1680</v>
      </c>
      <c r="C1646" s="1107">
        <v>45175.0</v>
      </c>
      <c r="D1646" s="103"/>
      <c r="E1646" s="1108">
        <v>3.0</v>
      </c>
      <c r="F1646" s="112" t="s">
        <v>2335</v>
      </c>
      <c r="G1646" s="1110">
        <v>0.5843171296296297</v>
      </c>
      <c r="H1646" s="1110">
        <v>0.5849537037037037</v>
      </c>
      <c r="I1646" s="1110"/>
      <c r="J1646" s="1111"/>
      <c r="K1646" s="1111">
        <v>0.5880787037037037</v>
      </c>
      <c r="L1646" s="1112">
        <v>0.003125</v>
      </c>
      <c r="M1646" s="1113" t="s">
        <v>166</v>
      </c>
      <c r="N1646" s="110" t="s">
        <v>188</v>
      </c>
      <c r="O1646" s="1115" t="s">
        <v>378</v>
      </c>
      <c r="P1646" s="1115" t="s">
        <v>225</v>
      </c>
      <c r="Q1646" s="1115" t="s">
        <v>842</v>
      </c>
      <c r="R1646" s="120">
        <v>22.7</v>
      </c>
      <c r="S1646" s="1113">
        <v>39.7</v>
      </c>
      <c r="T1646" s="110">
        <v>1.1</v>
      </c>
      <c r="U1646" s="1108">
        <v>10.0</v>
      </c>
      <c r="V1646" s="1108"/>
      <c r="W1646" s="1108"/>
      <c r="X1646" s="1108"/>
      <c r="Y1646" s="1108"/>
      <c r="Z1646" s="1114" t="s">
        <v>1140</v>
      </c>
      <c r="AA1646" s="1114"/>
      <c r="AB1646" s="1114" t="s">
        <v>363</v>
      </c>
      <c r="AC1646" s="1222" t="s">
        <v>2336</v>
      </c>
      <c r="AD1646" s="1223"/>
      <c r="AE1646" s="1223"/>
      <c r="AF1646" s="1223"/>
      <c r="AG1646" s="1223"/>
      <c r="AH1646" s="1223"/>
      <c r="AI1646" s="1223"/>
      <c r="AJ1646" s="1222"/>
      <c r="AK1646" s="1224"/>
      <c r="AL1646" s="1223"/>
      <c r="AM1646" s="1223"/>
      <c r="AN1646" s="1223"/>
      <c r="AO1646" s="1223"/>
      <c r="AP1646" s="1223"/>
      <c r="AQ1646" s="1223"/>
      <c r="AR1646" s="1223"/>
      <c r="AS1646" s="1222"/>
      <c r="AT1646" s="1196" t="str">
        <f t="shared" si="172"/>
        <v>10+</v>
      </c>
      <c r="AU1646" s="1193"/>
      <c r="AV1646" s="330">
        <f>SQRT(($R1646-Infrastructure!J$3)^2+($S1646-Infrastructure!K$3)^2)</f>
        <v>25.40944706</v>
      </c>
      <c r="AW1646" s="331">
        <f>SQRT(($R1646-Infrastructure!J$4)^2+($S1646-Infrastructure!K$4)^2)</f>
        <v>31.75862088</v>
      </c>
      <c r="AX1646" s="331">
        <f>SQRT(($R1646-Infrastructure!J$5)^2+($S1646-Infrastructure!K$5)^2)</f>
        <v>41.54708173</v>
      </c>
      <c r="AY1646" s="331">
        <f>SQRT(($R1646-Infrastructure!J$6)^2+($S1646-Infrastructure!K$6)^2)</f>
        <v>41.36568626</v>
      </c>
      <c r="AZ1646" s="331">
        <f>SQRT(($R1646-Infrastructure!J$7)^2+($S1646-Infrastructure!K$7)^2)</f>
        <v>39.46137352</v>
      </c>
      <c r="BA1646" s="331">
        <f>SQRT(($R1646-Infrastructure!J$8)^2+($S1646-Infrastructure!K$8)^2)</f>
        <v>40.08890121</v>
      </c>
      <c r="BB1646" s="331">
        <f>SQRT(($R1646-Infrastructure!J$9)^2+($S1646-Infrastructure!K$9)^2)</f>
        <v>38.68397601</v>
      </c>
      <c r="BC1646" s="331">
        <f>SQRT(($R1646-Infrastructure!J$10)^2+($S1646-Infrastructure!K$10)^2)</f>
        <v>30.15592811</v>
      </c>
      <c r="BD1646" s="331">
        <f>SQRT(($R1646-Infrastructure!J$11)^2+($S1646-Infrastructure!K$11)^2)</f>
        <v>20.51194774</v>
      </c>
      <c r="BE1646" s="333">
        <f>SQRT(($R1646-Infrastructure!J$12)^2+($S1646-Infrastructure!K$12)^2)</f>
        <v>15.84550409</v>
      </c>
      <c r="BF1646" s="330">
        <f t="shared" si="161"/>
        <v>15.84550409</v>
      </c>
      <c r="BG1646" s="333">
        <f t="shared" si="162"/>
        <v>41.54708173</v>
      </c>
      <c r="BH1646" s="1119"/>
      <c r="BI1646" s="319" t="s">
        <v>846</v>
      </c>
      <c r="BJ1646" s="319" t="s">
        <v>846</v>
      </c>
      <c r="BK1646" s="319"/>
      <c r="BL1646" s="319" t="s">
        <v>846</v>
      </c>
      <c r="BM1646" s="319" t="s">
        <v>846</v>
      </c>
      <c r="BN1646" s="319" t="s">
        <v>846</v>
      </c>
      <c r="BO1646" s="319"/>
      <c r="BP1646" s="953" t="s">
        <v>846</v>
      </c>
      <c r="BQ1646" s="319" t="s">
        <v>846</v>
      </c>
      <c r="BR1646" s="324" t="s">
        <v>846</v>
      </c>
      <c r="BS1646" s="330">
        <f t="shared" si="169"/>
        <v>15.84550409</v>
      </c>
      <c r="BT1646" s="331">
        <f t="shared" si="170"/>
        <v>41.36568626</v>
      </c>
      <c r="BU1646" s="920">
        <v>0.5855092592592592</v>
      </c>
      <c r="BV1646" s="903">
        <f t="shared" si="171"/>
        <v>0.00119212963</v>
      </c>
      <c r="BW1646" s="907">
        <v>20.0</v>
      </c>
      <c r="BX1646" s="908">
        <v>38.6</v>
      </c>
      <c r="BY1646" s="331">
        <f t="shared" si="176"/>
        <v>2.915475947</v>
      </c>
      <c r="BZ1646" s="340"/>
      <c r="CA1646" s="316"/>
      <c r="CB1646" s="318"/>
      <c r="CC1646" s="318"/>
      <c r="CD1646" s="318"/>
      <c r="CE1646" s="318"/>
      <c r="CF1646" s="318"/>
      <c r="CG1646" s="318"/>
      <c r="CH1646" s="318"/>
      <c r="CI1646" s="318"/>
      <c r="CJ1646" s="463"/>
      <c r="CK1646" s="342"/>
      <c r="CL1646" s="333"/>
      <c r="CM1646" s="1079"/>
      <c r="CN1646" s="1005"/>
      <c r="CO1646" s="1005"/>
      <c r="CP1646" s="1005"/>
    </row>
    <row r="1647">
      <c r="B1647" s="1106" t="s">
        <v>1680</v>
      </c>
      <c r="C1647" s="1107">
        <v>45175.0</v>
      </c>
      <c r="D1647" s="103"/>
      <c r="E1647" s="1108">
        <v>4.0</v>
      </c>
      <c r="F1647" s="112" t="s">
        <v>2337</v>
      </c>
      <c r="G1647" s="1110">
        <v>0.5912615740740741</v>
      </c>
      <c r="H1647" s="1110">
        <v>0.5920717592592593</v>
      </c>
      <c r="I1647" s="1110"/>
      <c r="J1647" s="1111"/>
      <c r="K1647" s="1111">
        <v>0.5955439814814815</v>
      </c>
      <c r="L1647" s="1112">
        <v>0.003472222222222222</v>
      </c>
      <c r="M1647" s="1113" t="s">
        <v>166</v>
      </c>
      <c r="N1647" s="110" t="s">
        <v>187</v>
      </c>
      <c r="O1647" s="1115" t="s">
        <v>204</v>
      </c>
      <c r="P1647" s="1115" t="s">
        <v>279</v>
      </c>
      <c r="Q1647" s="1115" t="s">
        <v>851</v>
      </c>
      <c r="R1647" s="120">
        <v>18.7</v>
      </c>
      <c r="S1647" s="1113">
        <v>4.1</v>
      </c>
      <c r="T1647" s="110">
        <v>1.2</v>
      </c>
      <c r="U1647" s="1108">
        <v>6.3</v>
      </c>
      <c r="V1647" s="1108"/>
      <c r="W1647" s="1108"/>
      <c r="X1647" s="1108"/>
      <c r="Y1647" s="1108"/>
      <c r="Z1647" s="1114" t="s">
        <v>365</v>
      </c>
      <c r="AA1647" s="1114"/>
      <c r="AB1647" s="1114" t="s">
        <v>2330</v>
      </c>
      <c r="AC1647" s="1222" t="s">
        <v>2336</v>
      </c>
      <c r="AD1647" s="1223"/>
      <c r="AE1647" s="1223"/>
      <c r="AF1647" s="1223"/>
      <c r="AG1647" s="1223"/>
      <c r="AH1647" s="1223"/>
      <c r="AI1647" s="1223"/>
      <c r="AJ1647" s="1222"/>
      <c r="AK1647" s="1224"/>
      <c r="AL1647" s="1223"/>
      <c r="AM1647" s="1223"/>
      <c r="AN1647" s="1223"/>
      <c r="AO1647" s="1223"/>
      <c r="AP1647" s="1223"/>
      <c r="AQ1647" s="1223"/>
      <c r="AR1647" s="1223"/>
      <c r="AS1647" s="1222"/>
      <c r="AT1647" s="1196" t="str">
        <f t="shared" si="172"/>
        <v>1-10</v>
      </c>
      <c r="AU1647" s="1193"/>
      <c r="AV1647" s="330">
        <f>SQRT(($R1647-Infrastructure!J$3)^2+($S1647-Infrastructure!K$3)^2)</f>
        <v>31.24163888</v>
      </c>
      <c r="AW1647" s="331">
        <f>SQRT(($R1647-Infrastructure!J$4)^2+($S1647-Infrastructure!K$4)^2)</f>
        <v>23.42413285</v>
      </c>
      <c r="AX1647" s="331">
        <f>SQRT(($R1647-Infrastructure!J$5)^2+($S1647-Infrastructure!K$5)^2)</f>
        <v>19.02629759</v>
      </c>
      <c r="AY1647" s="331">
        <f>SQRT(($R1647-Infrastructure!J$6)^2+($S1647-Infrastructure!K$6)^2)</f>
        <v>9.402127419</v>
      </c>
      <c r="AZ1647" s="331">
        <f>SQRT(($R1647-Infrastructure!J$7)^2+($S1647-Infrastructure!K$7)^2)</f>
        <v>4.204759208</v>
      </c>
      <c r="BA1647" s="331">
        <f>SQRT(($R1647-Infrastructure!J$8)^2+($S1647-Infrastructure!K$8)^2)</f>
        <v>12.01665511</v>
      </c>
      <c r="BB1647" s="331">
        <f>SQRT(($R1647-Infrastructure!J$9)^2+($S1647-Infrastructure!K$9)^2)</f>
        <v>21.32346126</v>
      </c>
      <c r="BC1647" s="331">
        <f>SQRT(($R1647-Infrastructure!J$10)^2+($S1647-Infrastructure!K$10)^2)</f>
        <v>23.92697223</v>
      </c>
      <c r="BD1647" s="331">
        <f>SQRT(($R1647-Infrastructure!J$11)^2+($S1647-Infrastructure!K$11)^2)</f>
        <v>32.89772029</v>
      </c>
      <c r="BE1647" s="333">
        <f>SQRT(($R1647-Infrastructure!J$12)^2+($S1647-Infrastructure!K$12)^2)</f>
        <v>51.4762081</v>
      </c>
      <c r="BF1647" s="330">
        <f t="shared" si="161"/>
        <v>4.204759208</v>
      </c>
      <c r="BG1647" s="333">
        <f t="shared" si="162"/>
        <v>51.4762081</v>
      </c>
      <c r="BH1647" s="1119"/>
      <c r="BI1647" s="319" t="s">
        <v>846</v>
      </c>
      <c r="BJ1647" s="319" t="s">
        <v>846</v>
      </c>
      <c r="BK1647" s="319" t="s">
        <v>846</v>
      </c>
      <c r="BL1647" s="319" t="s">
        <v>846</v>
      </c>
      <c r="BM1647" s="319" t="s">
        <v>846</v>
      </c>
      <c r="BN1647" s="319" t="s">
        <v>846</v>
      </c>
      <c r="BO1647" s="319" t="s">
        <v>846</v>
      </c>
      <c r="BP1647" s="953" t="s">
        <v>846</v>
      </c>
      <c r="BQ1647" s="319" t="s">
        <v>846</v>
      </c>
      <c r="BR1647" s="324" t="s">
        <v>846</v>
      </c>
      <c r="BS1647" s="330">
        <f t="shared" si="169"/>
        <v>4.204759208</v>
      </c>
      <c r="BT1647" s="331">
        <f t="shared" si="170"/>
        <v>51.4762081</v>
      </c>
      <c r="BU1647" s="920">
        <v>0.591875</v>
      </c>
      <c r="BV1647" s="903">
        <f t="shared" si="171"/>
        <v>0.0006134259259</v>
      </c>
      <c r="BW1647" s="907">
        <v>17.8</v>
      </c>
      <c r="BX1647" s="908">
        <v>6.8</v>
      </c>
      <c r="BY1647" s="331">
        <f t="shared" si="176"/>
        <v>2.846049894</v>
      </c>
      <c r="BZ1647" s="340"/>
      <c r="CA1647" s="316"/>
      <c r="CB1647" s="318"/>
      <c r="CC1647" s="318"/>
      <c r="CD1647" s="318"/>
      <c r="CE1647" s="318"/>
      <c r="CF1647" s="318"/>
      <c r="CG1647" s="318"/>
      <c r="CH1647" s="318"/>
      <c r="CI1647" s="318"/>
      <c r="CJ1647" s="463"/>
      <c r="CK1647" s="342"/>
      <c r="CL1647" s="333"/>
      <c r="CM1647" s="1079"/>
      <c r="CN1647" s="1005"/>
      <c r="CO1647" s="1005"/>
      <c r="CP1647" s="1005"/>
    </row>
    <row r="1648">
      <c r="B1648" s="1106" t="s">
        <v>1680</v>
      </c>
      <c r="C1648" s="1107">
        <v>45175.0</v>
      </c>
      <c r="D1648" s="103"/>
      <c r="E1648" s="1108">
        <v>5.0</v>
      </c>
      <c r="F1648" s="112" t="s">
        <v>2338</v>
      </c>
      <c r="G1648" s="1110">
        <v>0.5976851851851852</v>
      </c>
      <c r="H1648" s="1110">
        <v>0.5982638888888889</v>
      </c>
      <c r="I1648" s="1110"/>
      <c r="J1648" s="1111"/>
      <c r="K1648" s="1111">
        <v>0.6017361111111111</v>
      </c>
      <c r="L1648" s="1112">
        <v>0.003472222222222222</v>
      </c>
      <c r="M1648" s="1113" t="s">
        <v>166</v>
      </c>
      <c r="N1648" s="110" t="s">
        <v>187</v>
      </c>
      <c r="O1648" s="1115" t="s">
        <v>204</v>
      </c>
      <c r="P1648" s="1115" t="s">
        <v>279</v>
      </c>
      <c r="Q1648" s="1115" t="s">
        <v>851</v>
      </c>
      <c r="R1648" s="120">
        <v>18.7</v>
      </c>
      <c r="S1648" s="1113">
        <v>4.1</v>
      </c>
      <c r="T1648" s="110">
        <v>1.2</v>
      </c>
      <c r="U1648" s="1108">
        <v>4.0</v>
      </c>
      <c r="V1648" s="1108"/>
      <c r="W1648" s="1108"/>
      <c r="X1648" s="1108"/>
      <c r="Y1648" s="1108"/>
      <c r="Z1648" s="1114" t="s">
        <v>365</v>
      </c>
      <c r="AA1648" s="1114"/>
      <c r="AB1648" s="1114" t="s">
        <v>2330</v>
      </c>
      <c r="AC1648" s="1222" t="s">
        <v>2336</v>
      </c>
      <c r="AD1648" s="1223"/>
      <c r="AE1648" s="1223"/>
      <c r="AF1648" s="1223"/>
      <c r="AG1648" s="1223"/>
      <c r="AH1648" s="1223"/>
      <c r="AI1648" s="1223"/>
      <c r="AJ1648" s="1222"/>
      <c r="AK1648" s="1224"/>
      <c r="AL1648" s="1223"/>
      <c r="AM1648" s="1223"/>
      <c r="AN1648" s="1223"/>
      <c r="AO1648" s="1223"/>
      <c r="AP1648" s="1223"/>
      <c r="AQ1648" s="1223"/>
      <c r="AR1648" s="1223"/>
      <c r="AS1648" s="1222"/>
      <c r="AT1648" s="1196" t="str">
        <f t="shared" si="172"/>
        <v>1-10</v>
      </c>
      <c r="AU1648" s="1193"/>
      <c r="AV1648" s="330">
        <f>SQRT(($R1648-Infrastructure!J$3)^2+($S1648-Infrastructure!K$3)^2)</f>
        <v>31.24163888</v>
      </c>
      <c r="AW1648" s="331">
        <f>SQRT(($R1648-Infrastructure!J$4)^2+($S1648-Infrastructure!K$4)^2)</f>
        <v>23.42413285</v>
      </c>
      <c r="AX1648" s="331">
        <f>SQRT(($R1648-Infrastructure!J$5)^2+($S1648-Infrastructure!K$5)^2)</f>
        <v>19.02629759</v>
      </c>
      <c r="AY1648" s="331">
        <f>SQRT(($R1648-Infrastructure!J$6)^2+($S1648-Infrastructure!K$6)^2)</f>
        <v>9.402127419</v>
      </c>
      <c r="AZ1648" s="331">
        <f>SQRT(($R1648-Infrastructure!J$7)^2+($S1648-Infrastructure!K$7)^2)</f>
        <v>4.204759208</v>
      </c>
      <c r="BA1648" s="331">
        <f>SQRT(($R1648-Infrastructure!J$8)^2+($S1648-Infrastructure!K$8)^2)</f>
        <v>12.01665511</v>
      </c>
      <c r="BB1648" s="331">
        <f>SQRT(($R1648-Infrastructure!J$9)^2+($S1648-Infrastructure!K$9)^2)</f>
        <v>21.32346126</v>
      </c>
      <c r="BC1648" s="331">
        <f>SQRT(($R1648-Infrastructure!J$10)^2+($S1648-Infrastructure!K$10)^2)</f>
        <v>23.92697223</v>
      </c>
      <c r="BD1648" s="331">
        <f>SQRT(($R1648-Infrastructure!J$11)^2+($S1648-Infrastructure!K$11)^2)</f>
        <v>32.89772029</v>
      </c>
      <c r="BE1648" s="333">
        <f>SQRT(($R1648-Infrastructure!J$12)^2+($S1648-Infrastructure!K$12)^2)</f>
        <v>51.4762081</v>
      </c>
      <c r="BF1648" s="330">
        <f t="shared" si="161"/>
        <v>4.204759208</v>
      </c>
      <c r="BG1648" s="333">
        <f t="shared" si="162"/>
        <v>51.4762081</v>
      </c>
      <c r="BH1648" s="1119"/>
      <c r="BI1648" s="319" t="s">
        <v>846</v>
      </c>
      <c r="BJ1648" s="319" t="s">
        <v>846</v>
      </c>
      <c r="BK1648" s="319" t="s">
        <v>846</v>
      </c>
      <c r="BL1648" s="319" t="s">
        <v>846</v>
      </c>
      <c r="BM1648" s="319" t="s">
        <v>846</v>
      </c>
      <c r="BN1648" s="319" t="s">
        <v>846</v>
      </c>
      <c r="BO1648" s="319" t="s">
        <v>846</v>
      </c>
      <c r="BP1648" s="953" t="s">
        <v>846</v>
      </c>
      <c r="BQ1648" s="319" t="s">
        <v>846</v>
      </c>
      <c r="BR1648" s="324" t="s">
        <v>846</v>
      </c>
      <c r="BS1648" s="330">
        <f t="shared" si="169"/>
        <v>4.204759208</v>
      </c>
      <c r="BT1648" s="331">
        <f t="shared" si="170"/>
        <v>51.4762081</v>
      </c>
      <c r="BU1648" s="920">
        <v>0.5982523148148148</v>
      </c>
      <c r="BV1648" s="903">
        <f t="shared" si="171"/>
        <v>0.0005671296296</v>
      </c>
      <c r="BW1648" s="907">
        <v>18.1</v>
      </c>
      <c r="BX1648" s="908">
        <v>5.7</v>
      </c>
      <c r="BY1648" s="331">
        <f t="shared" si="176"/>
        <v>1.708800749</v>
      </c>
      <c r="BZ1648" s="340"/>
      <c r="CA1648" s="316"/>
      <c r="CB1648" s="318"/>
      <c r="CC1648" s="318"/>
      <c r="CD1648" s="318"/>
      <c r="CE1648" s="318"/>
      <c r="CF1648" s="318"/>
      <c r="CG1648" s="318"/>
      <c r="CH1648" s="318"/>
      <c r="CI1648" s="318"/>
      <c r="CJ1648" s="463"/>
      <c r="CK1648" s="342"/>
      <c r="CL1648" s="333"/>
      <c r="CM1648" s="1079"/>
      <c r="CN1648" s="1005"/>
      <c r="CO1648" s="1005"/>
      <c r="CP1648" s="1005"/>
    </row>
    <row r="1649">
      <c r="B1649" s="1106" t="s">
        <v>1680</v>
      </c>
      <c r="C1649" s="1107">
        <v>45175.0</v>
      </c>
      <c r="D1649" s="103"/>
      <c r="E1649" s="1108">
        <v>6.0</v>
      </c>
      <c r="F1649" s="112" t="s">
        <v>2339</v>
      </c>
      <c r="G1649" s="1110">
        <v>0.6035879629629629</v>
      </c>
      <c r="H1649" s="1110">
        <v>0.6040509259259259</v>
      </c>
      <c r="I1649" s="1110"/>
      <c r="J1649" s="1111"/>
      <c r="K1649" s="1111">
        <v>0.60625</v>
      </c>
      <c r="L1649" s="1112">
        <v>0.002199074074074074</v>
      </c>
      <c r="M1649" s="1113" t="s">
        <v>166</v>
      </c>
      <c r="N1649" s="110" t="s">
        <v>187</v>
      </c>
      <c r="O1649" s="1115" t="s">
        <v>204</v>
      </c>
      <c r="P1649" s="1115" t="s">
        <v>279</v>
      </c>
      <c r="Q1649" s="1115" t="s">
        <v>851</v>
      </c>
      <c r="R1649" s="120">
        <v>18.7</v>
      </c>
      <c r="S1649" s="1113">
        <v>4.1</v>
      </c>
      <c r="T1649" s="110">
        <v>1.2</v>
      </c>
      <c r="U1649" s="1108">
        <v>2.0</v>
      </c>
      <c r="V1649" s="1108"/>
      <c r="W1649" s="1108"/>
      <c r="X1649" s="1108"/>
      <c r="Y1649" s="1108"/>
      <c r="Z1649" s="1114" t="s">
        <v>365</v>
      </c>
      <c r="AA1649" s="1114"/>
      <c r="AB1649" s="1114" t="s">
        <v>2330</v>
      </c>
      <c r="AC1649" s="1222" t="s">
        <v>2336</v>
      </c>
      <c r="AD1649" s="1223"/>
      <c r="AE1649" s="1223"/>
      <c r="AF1649" s="1223"/>
      <c r="AG1649" s="1223"/>
      <c r="AH1649" s="1223"/>
      <c r="AI1649" s="1223"/>
      <c r="AJ1649" s="1222"/>
      <c r="AK1649" s="1224"/>
      <c r="AL1649" s="1223"/>
      <c r="AM1649" s="1223"/>
      <c r="AN1649" s="1223"/>
      <c r="AO1649" s="1223"/>
      <c r="AP1649" s="1223"/>
      <c r="AQ1649" s="1223"/>
      <c r="AR1649" s="1223"/>
      <c r="AS1649" s="1222"/>
      <c r="AT1649" s="1196" t="str">
        <f t="shared" si="172"/>
        <v>1-10</v>
      </c>
      <c r="AU1649" s="1193"/>
      <c r="AV1649" s="330">
        <f>SQRT(($R1649-Infrastructure!J$3)^2+($S1649-Infrastructure!K$3)^2)</f>
        <v>31.24163888</v>
      </c>
      <c r="AW1649" s="331">
        <f>SQRT(($R1649-Infrastructure!J$4)^2+($S1649-Infrastructure!K$4)^2)</f>
        <v>23.42413285</v>
      </c>
      <c r="AX1649" s="331">
        <f>SQRT(($R1649-Infrastructure!J$5)^2+($S1649-Infrastructure!K$5)^2)</f>
        <v>19.02629759</v>
      </c>
      <c r="AY1649" s="331">
        <f>SQRT(($R1649-Infrastructure!J$6)^2+($S1649-Infrastructure!K$6)^2)</f>
        <v>9.402127419</v>
      </c>
      <c r="AZ1649" s="331">
        <f>SQRT(($R1649-Infrastructure!J$7)^2+($S1649-Infrastructure!K$7)^2)</f>
        <v>4.204759208</v>
      </c>
      <c r="BA1649" s="331">
        <f>SQRT(($R1649-Infrastructure!J$8)^2+($S1649-Infrastructure!K$8)^2)</f>
        <v>12.01665511</v>
      </c>
      <c r="BB1649" s="331">
        <f>SQRT(($R1649-Infrastructure!J$9)^2+($S1649-Infrastructure!K$9)^2)</f>
        <v>21.32346126</v>
      </c>
      <c r="BC1649" s="331">
        <f>SQRT(($R1649-Infrastructure!J$10)^2+($S1649-Infrastructure!K$10)^2)</f>
        <v>23.92697223</v>
      </c>
      <c r="BD1649" s="331">
        <f>SQRT(($R1649-Infrastructure!J$11)^2+($S1649-Infrastructure!K$11)^2)</f>
        <v>32.89772029</v>
      </c>
      <c r="BE1649" s="333">
        <f>SQRT(($R1649-Infrastructure!J$12)^2+($S1649-Infrastructure!K$12)^2)</f>
        <v>51.4762081</v>
      </c>
      <c r="BF1649" s="330">
        <f t="shared" si="161"/>
        <v>4.204759208</v>
      </c>
      <c r="BG1649" s="333">
        <f t="shared" si="162"/>
        <v>51.4762081</v>
      </c>
      <c r="BH1649" s="1119"/>
      <c r="BI1649" s="319" t="s">
        <v>846</v>
      </c>
      <c r="BJ1649" s="319"/>
      <c r="BK1649" s="319" t="s">
        <v>846</v>
      </c>
      <c r="BL1649" s="319" t="s">
        <v>846</v>
      </c>
      <c r="BM1649" s="319" t="s">
        <v>846</v>
      </c>
      <c r="BN1649" s="319" t="s">
        <v>846</v>
      </c>
      <c r="BO1649" s="319" t="s">
        <v>846</v>
      </c>
      <c r="BP1649" s="953" t="s">
        <v>846</v>
      </c>
      <c r="BQ1649" s="319" t="s">
        <v>846</v>
      </c>
      <c r="BR1649" s="324" t="s">
        <v>846</v>
      </c>
      <c r="BS1649" s="330">
        <f t="shared" si="169"/>
        <v>4.204759208</v>
      </c>
      <c r="BT1649" s="331">
        <f t="shared" si="170"/>
        <v>51.4762081</v>
      </c>
      <c r="BU1649" s="920">
        <v>0.6042013888888889</v>
      </c>
      <c r="BV1649" s="903">
        <f t="shared" si="171"/>
        <v>0.0006134259259</v>
      </c>
      <c r="BW1649" s="907">
        <v>18.7</v>
      </c>
      <c r="BX1649" s="908">
        <v>6.1</v>
      </c>
      <c r="BY1649" s="331">
        <f t="shared" si="176"/>
        <v>2</v>
      </c>
      <c r="BZ1649" s="340"/>
      <c r="CA1649" s="316"/>
      <c r="CB1649" s="318"/>
      <c r="CC1649" s="318"/>
      <c r="CD1649" s="318"/>
      <c r="CE1649" s="318"/>
      <c r="CF1649" s="318"/>
      <c r="CG1649" s="318"/>
      <c r="CH1649" s="318"/>
      <c r="CI1649" s="318"/>
      <c r="CJ1649" s="463"/>
      <c r="CK1649" s="342"/>
      <c r="CL1649" s="333"/>
      <c r="CM1649" s="1079"/>
      <c r="CN1649" s="1005"/>
      <c r="CO1649" s="1005"/>
      <c r="CP1649" s="1005"/>
    </row>
    <row r="1650">
      <c r="B1650" s="1106" t="s">
        <v>1680</v>
      </c>
      <c r="C1650" s="1107">
        <v>45175.0</v>
      </c>
      <c r="D1650" s="103"/>
      <c r="E1650" s="1108">
        <v>7.0</v>
      </c>
      <c r="F1650" s="112" t="s">
        <v>2340</v>
      </c>
      <c r="G1650" s="1110">
        <v>0.6075231481481481</v>
      </c>
      <c r="H1650" s="1110">
        <v>0.6078703703703704</v>
      </c>
      <c r="I1650" s="1110"/>
      <c r="J1650" s="1111"/>
      <c r="K1650" s="1111">
        <v>0.6111111111111112</v>
      </c>
      <c r="L1650" s="1112">
        <v>0.0032407407407407406</v>
      </c>
      <c r="M1650" s="1113" t="s">
        <v>166</v>
      </c>
      <c r="N1650" s="110" t="s">
        <v>187</v>
      </c>
      <c r="O1650" s="1115" t="s">
        <v>204</v>
      </c>
      <c r="P1650" s="1115" t="s">
        <v>279</v>
      </c>
      <c r="Q1650" s="1115" t="s">
        <v>851</v>
      </c>
      <c r="R1650" s="120">
        <v>18.7</v>
      </c>
      <c r="S1650" s="1113">
        <v>4.1</v>
      </c>
      <c r="T1650" s="110">
        <v>1.2</v>
      </c>
      <c r="U1650" s="1108">
        <v>2.0</v>
      </c>
      <c r="V1650" s="1108"/>
      <c r="W1650" s="1108"/>
      <c r="X1650" s="1108"/>
      <c r="Y1650" s="1108"/>
      <c r="Z1650" s="1114" t="s">
        <v>365</v>
      </c>
      <c r="AA1650" s="1114"/>
      <c r="AB1650" s="1114" t="s">
        <v>337</v>
      </c>
      <c r="AC1650" s="1222" t="s">
        <v>2341</v>
      </c>
      <c r="AD1650" s="1223"/>
      <c r="AE1650" s="1223"/>
      <c r="AF1650" s="1223"/>
      <c r="AG1650" s="1223"/>
      <c r="AH1650" s="1223"/>
      <c r="AI1650" s="1223"/>
      <c r="AJ1650" s="1222"/>
      <c r="AK1650" s="1224"/>
      <c r="AL1650" s="1223"/>
      <c r="AM1650" s="1223"/>
      <c r="AN1650" s="1223"/>
      <c r="AO1650" s="1223"/>
      <c r="AP1650" s="1223"/>
      <c r="AQ1650" s="1223"/>
      <c r="AR1650" s="1223"/>
      <c r="AS1650" s="1222"/>
      <c r="AT1650" s="1196" t="str">
        <f t="shared" si="172"/>
        <v>1-10</v>
      </c>
      <c r="AU1650" s="1193"/>
      <c r="AV1650" s="330">
        <f>SQRT(($R1650-Infrastructure!J$3)^2+($S1650-Infrastructure!K$3)^2)</f>
        <v>31.24163888</v>
      </c>
      <c r="AW1650" s="331">
        <f>SQRT(($R1650-Infrastructure!J$4)^2+($S1650-Infrastructure!K$4)^2)</f>
        <v>23.42413285</v>
      </c>
      <c r="AX1650" s="331">
        <f>SQRT(($R1650-Infrastructure!J$5)^2+($S1650-Infrastructure!K$5)^2)</f>
        <v>19.02629759</v>
      </c>
      <c r="AY1650" s="331">
        <f>SQRT(($R1650-Infrastructure!J$6)^2+($S1650-Infrastructure!K$6)^2)</f>
        <v>9.402127419</v>
      </c>
      <c r="AZ1650" s="331">
        <f>SQRT(($R1650-Infrastructure!J$7)^2+($S1650-Infrastructure!K$7)^2)</f>
        <v>4.204759208</v>
      </c>
      <c r="BA1650" s="331">
        <f>SQRT(($R1650-Infrastructure!J$8)^2+($S1650-Infrastructure!K$8)^2)</f>
        <v>12.01665511</v>
      </c>
      <c r="BB1650" s="331">
        <f>SQRT(($R1650-Infrastructure!J$9)^2+($S1650-Infrastructure!K$9)^2)</f>
        <v>21.32346126</v>
      </c>
      <c r="BC1650" s="331">
        <f>SQRT(($R1650-Infrastructure!J$10)^2+($S1650-Infrastructure!K$10)^2)</f>
        <v>23.92697223</v>
      </c>
      <c r="BD1650" s="331">
        <f>SQRT(($R1650-Infrastructure!J$11)^2+($S1650-Infrastructure!K$11)^2)</f>
        <v>32.89772029</v>
      </c>
      <c r="BE1650" s="333">
        <f>SQRT(($R1650-Infrastructure!J$12)^2+($S1650-Infrastructure!K$12)^2)</f>
        <v>51.4762081</v>
      </c>
      <c r="BF1650" s="330">
        <f t="shared" si="161"/>
        <v>4.204759208</v>
      </c>
      <c r="BG1650" s="333">
        <f t="shared" si="162"/>
        <v>51.4762081</v>
      </c>
      <c r="BH1650" s="1119"/>
      <c r="BI1650" s="319" t="s">
        <v>846</v>
      </c>
      <c r="BJ1650" s="319" t="s">
        <v>846</v>
      </c>
      <c r="BK1650" s="319" t="s">
        <v>846</v>
      </c>
      <c r="BL1650" s="319" t="s">
        <v>846</v>
      </c>
      <c r="BM1650" s="319" t="s">
        <v>846</v>
      </c>
      <c r="BN1650" s="319" t="s">
        <v>846</v>
      </c>
      <c r="BO1650" s="319" t="s">
        <v>846</v>
      </c>
      <c r="BP1650" s="953" t="s">
        <v>846</v>
      </c>
      <c r="BQ1650" s="319" t="s">
        <v>846</v>
      </c>
      <c r="BR1650" s="324" t="s">
        <v>846</v>
      </c>
      <c r="BS1650" s="330">
        <f t="shared" si="169"/>
        <v>4.204759208</v>
      </c>
      <c r="BT1650" s="331">
        <f t="shared" si="170"/>
        <v>51.4762081</v>
      </c>
      <c r="BU1650" s="920">
        <v>0.6081597222222223</v>
      </c>
      <c r="BV1650" s="903">
        <f t="shared" si="171"/>
        <v>0.0006365740741</v>
      </c>
      <c r="BW1650" s="907">
        <v>20.8</v>
      </c>
      <c r="BX1650" s="908">
        <v>2.3</v>
      </c>
      <c r="BY1650" s="331">
        <f t="shared" si="176"/>
        <v>2.765863337</v>
      </c>
      <c r="BZ1650" s="340"/>
      <c r="CA1650" s="316"/>
      <c r="CB1650" s="318"/>
      <c r="CC1650" s="318"/>
      <c r="CD1650" s="318"/>
      <c r="CE1650" s="318"/>
      <c r="CF1650" s="318"/>
      <c r="CG1650" s="318"/>
      <c r="CH1650" s="318"/>
      <c r="CI1650" s="318"/>
      <c r="CJ1650" s="463"/>
      <c r="CK1650" s="342"/>
      <c r="CL1650" s="333"/>
      <c r="CM1650" s="1079"/>
      <c r="CN1650" s="1005"/>
      <c r="CO1650" s="1005"/>
      <c r="CP1650" s="1005"/>
    </row>
    <row r="1651">
      <c r="B1651" s="1106" t="s">
        <v>1680</v>
      </c>
      <c r="C1651" s="1107">
        <v>45175.0</v>
      </c>
      <c r="D1651" s="103"/>
      <c r="E1651" s="1108">
        <v>8.0</v>
      </c>
      <c r="F1651" s="112" t="s">
        <v>2342</v>
      </c>
      <c r="G1651" s="1110">
        <v>0.6236689814814815</v>
      </c>
      <c r="H1651" s="1110">
        <v>0.6241319444444444</v>
      </c>
      <c r="I1651" s="1110"/>
      <c r="J1651" s="1111"/>
      <c r="K1651" s="1111">
        <v>0.6265625</v>
      </c>
      <c r="L1651" s="1112">
        <v>0.0024305555555555556</v>
      </c>
      <c r="M1651" s="1113" t="s">
        <v>166</v>
      </c>
      <c r="N1651" s="110" t="s">
        <v>188</v>
      </c>
      <c r="O1651" s="1115" t="s">
        <v>196</v>
      </c>
      <c r="P1651" s="1115" t="s">
        <v>224</v>
      </c>
      <c r="Q1651" s="1115" t="s">
        <v>842</v>
      </c>
      <c r="R1651" s="120">
        <v>21.7</v>
      </c>
      <c r="S1651" s="1113">
        <v>39.5</v>
      </c>
      <c r="T1651" s="110">
        <v>1.3</v>
      </c>
      <c r="U1651" s="1108">
        <v>30.0</v>
      </c>
      <c r="V1651" s="1108"/>
      <c r="W1651" s="1108"/>
      <c r="X1651" s="1108"/>
      <c r="Y1651" s="1108"/>
      <c r="Z1651" s="1114" t="s">
        <v>387</v>
      </c>
      <c r="AA1651" s="1114"/>
      <c r="AB1651" s="1114" t="s">
        <v>416</v>
      </c>
      <c r="AC1651" s="1222" t="s">
        <v>2333</v>
      </c>
      <c r="AD1651" s="1223"/>
      <c r="AE1651" s="1223"/>
      <c r="AF1651" s="1223"/>
      <c r="AG1651" s="1223"/>
      <c r="AH1651" s="1223"/>
      <c r="AI1651" s="1223"/>
      <c r="AJ1651" s="1222"/>
      <c r="AK1651" s="1224"/>
      <c r="AL1651" s="1223"/>
      <c r="AM1651" s="1223"/>
      <c r="AN1651" s="1223"/>
      <c r="AO1651" s="1223"/>
      <c r="AP1651" s="1223"/>
      <c r="AQ1651" s="1223"/>
      <c r="AR1651" s="1223"/>
      <c r="AS1651" s="1222"/>
      <c r="AT1651" s="1196" t="str">
        <f t="shared" si="172"/>
        <v>10+</v>
      </c>
      <c r="AU1651" s="1193"/>
      <c r="AV1651" s="330">
        <f>SQRT(($R1651-Infrastructure!J$3)^2+($S1651-Infrastructure!K$3)^2)</f>
        <v>24.42048321</v>
      </c>
      <c r="AW1651" s="331">
        <f>SQRT(($R1651-Infrastructure!J$4)^2+($S1651-Infrastructure!K$4)^2)</f>
        <v>30.90129447</v>
      </c>
      <c r="AX1651" s="331">
        <f>SQRT(($R1651-Infrastructure!J$5)^2+($S1651-Infrastructure!K$5)^2)</f>
        <v>40.83331973</v>
      </c>
      <c r="AY1651" s="331">
        <f>SQRT(($R1651-Infrastructure!J$6)^2+($S1651-Infrastructure!K$6)^2)</f>
        <v>40.88031311</v>
      </c>
      <c r="AZ1651" s="331">
        <f>SQRT(($R1651-Infrastructure!J$7)^2+($S1651-Infrastructure!K$7)^2)</f>
        <v>39.21836305</v>
      </c>
      <c r="BA1651" s="331">
        <f>SQRT(($R1651-Infrastructure!J$8)^2+($S1651-Infrastructure!K$8)^2)</f>
        <v>40.08989898</v>
      </c>
      <c r="BB1651" s="331">
        <f>SQRT(($R1651-Infrastructure!J$9)^2+($S1651-Infrastructure!K$9)^2)</f>
        <v>38.96472764</v>
      </c>
      <c r="BC1651" s="331">
        <f>SQRT(($R1651-Infrastructure!J$10)^2+($S1651-Infrastructure!K$10)^2)</f>
        <v>30.58005886</v>
      </c>
      <c r="BD1651" s="331">
        <f>SQRT(($R1651-Infrastructure!J$11)^2+($S1651-Infrastructure!K$11)^2)</f>
        <v>21.27204739</v>
      </c>
      <c r="BE1651" s="333">
        <f>SQRT(($R1651-Infrastructure!J$12)^2+($S1651-Infrastructure!K$12)^2)</f>
        <v>16.00124995</v>
      </c>
      <c r="BF1651" s="330">
        <f t="shared" si="161"/>
        <v>16.00124995</v>
      </c>
      <c r="BG1651" s="333">
        <f t="shared" si="162"/>
        <v>40.88031311</v>
      </c>
      <c r="BH1651" s="1119"/>
      <c r="BI1651" s="319" t="s">
        <v>846</v>
      </c>
      <c r="BJ1651" s="319" t="s">
        <v>846</v>
      </c>
      <c r="BK1651" s="319" t="s">
        <v>846</v>
      </c>
      <c r="BL1651" s="319" t="s">
        <v>846</v>
      </c>
      <c r="BM1651" s="319" t="s">
        <v>846</v>
      </c>
      <c r="BN1651" s="319" t="s">
        <v>846</v>
      </c>
      <c r="BO1651" s="319"/>
      <c r="BP1651" s="953" t="s">
        <v>846</v>
      </c>
      <c r="BQ1651" s="319" t="s">
        <v>846</v>
      </c>
      <c r="BR1651" s="324" t="s">
        <v>846</v>
      </c>
      <c r="BS1651" s="330">
        <f t="shared" si="169"/>
        <v>16.00124995</v>
      </c>
      <c r="BT1651" s="331">
        <f t="shared" si="170"/>
        <v>40.88031311</v>
      </c>
      <c r="BU1651" s="920">
        <v>0.624386574074074</v>
      </c>
      <c r="BV1651" s="903">
        <f t="shared" si="171"/>
        <v>0.0007175925926</v>
      </c>
      <c r="BW1651" s="907">
        <v>18.3</v>
      </c>
      <c r="BX1651" s="908">
        <v>41.2</v>
      </c>
      <c r="BY1651" s="331">
        <f t="shared" si="176"/>
        <v>3.801315562</v>
      </c>
      <c r="BZ1651" s="340"/>
      <c r="CA1651" s="316"/>
      <c r="CB1651" s="318"/>
      <c r="CC1651" s="318"/>
      <c r="CD1651" s="318"/>
      <c r="CE1651" s="318"/>
      <c r="CF1651" s="318"/>
      <c r="CG1651" s="318"/>
      <c r="CH1651" s="318"/>
      <c r="CI1651" s="318"/>
      <c r="CJ1651" s="463"/>
      <c r="CK1651" s="342"/>
      <c r="CL1651" s="333"/>
      <c r="CM1651" s="1079"/>
      <c r="CN1651" s="1005"/>
      <c r="CO1651" s="1005"/>
      <c r="CP1651" s="1005"/>
    </row>
    <row r="1652">
      <c r="B1652" s="1106" t="s">
        <v>1680</v>
      </c>
      <c r="C1652" s="1107">
        <v>45175.0</v>
      </c>
      <c r="D1652" s="103"/>
      <c r="E1652" s="1137"/>
      <c r="F1652" s="112"/>
      <c r="G1652" s="1110">
        <v>0.6269097222222222</v>
      </c>
      <c r="H1652" s="1138"/>
      <c r="I1652" s="1138"/>
      <c r="J1652" s="1139"/>
      <c r="K1652" s="1111">
        <v>0.6270833333333333</v>
      </c>
      <c r="L1652" s="1112">
        <v>1.7361111111111112E-4</v>
      </c>
      <c r="M1652" s="1113" t="s">
        <v>166</v>
      </c>
      <c r="N1652" s="110" t="s">
        <v>188</v>
      </c>
      <c r="O1652" s="1140"/>
      <c r="P1652" s="1115" t="s">
        <v>292</v>
      </c>
      <c r="Q1652" s="1116"/>
      <c r="R1652" s="1141"/>
      <c r="S1652" s="1113">
        <v>39.5</v>
      </c>
      <c r="T1652" s="1143"/>
      <c r="U1652" s="1137"/>
      <c r="V1652" s="1137"/>
      <c r="W1652" s="1137"/>
      <c r="X1652" s="1137"/>
      <c r="Y1652" s="1137"/>
      <c r="Z1652" s="1114"/>
      <c r="AA1652" s="1114"/>
      <c r="AB1652" s="1114" t="s">
        <v>323</v>
      </c>
      <c r="AC1652" s="1117" t="s">
        <v>323</v>
      </c>
      <c r="AD1652" s="1115"/>
      <c r="AE1652" s="1115"/>
      <c r="AF1652" s="1115"/>
      <c r="AG1652" s="1115"/>
      <c r="AH1652" s="1115"/>
      <c r="AI1652" s="1115"/>
      <c r="AJ1652" s="1117"/>
      <c r="AK1652" s="1118"/>
      <c r="AL1652" s="1115"/>
      <c r="AM1652" s="1115"/>
      <c r="AN1652" s="1115"/>
      <c r="AO1652" s="1115"/>
      <c r="AP1652" s="1115"/>
      <c r="AQ1652" s="1115"/>
      <c r="AR1652" s="1115"/>
      <c r="AS1652" s="1117"/>
      <c r="AT1652" s="1196" t="str">
        <f t="shared" si="172"/>
        <v/>
      </c>
      <c r="AU1652" s="1193"/>
      <c r="AV1652" s="330">
        <f>SQRT(($R1652-Infrastructure!J$3)^2+($S1652-Infrastructure!K$3)^2)</f>
        <v>10.60424443</v>
      </c>
      <c r="AW1652" s="331">
        <f>SQRT(($R1652-Infrastructure!J$4)^2+($S1652-Infrastructure!K$4)^2)</f>
        <v>21.70207363</v>
      </c>
      <c r="AX1652" s="331">
        <f>SQRT(($R1652-Infrastructure!J$5)^2+($S1652-Infrastructure!K$5)^2)</f>
        <v>34.40130811</v>
      </c>
      <c r="AY1652" s="331">
        <f>SQRT(($R1652-Infrastructure!J$6)^2+($S1652-Infrastructure!K$6)^2)</f>
        <v>40.48024209</v>
      </c>
      <c r="AZ1652" s="331">
        <f>SQRT(($R1652-Infrastructure!J$7)^2+($S1652-Infrastructure!K$7)^2)</f>
        <v>44.23674943</v>
      </c>
      <c r="BA1652" s="331">
        <f>SQRT(($R1652-Infrastructure!J$8)^2+($S1652-Infrastructure!K$8)^2)</f>
        <v>49.4231727</v>
      </c>
      <c r="BB1652" s="331">
        <f>SQRT(($R1652-Infrastructure!J$9)^2+($S1652-Infrastructure!K$9)^2)</f>
        <v>52.7575587</v>
      </c>
      <c r="BC1652" s="331">
        <f>SQRT(($R1652-Infrastructure!J$10)^2+($S1652-Infrastructure!K$10)^2)</f>
        <v>46.90682253</v>
      </c>
      <c r="BD1652" s="331">
        <f>SQRT(($R1652-Infrastructure!J$11)^2+($S1652-Infrastructure!K$11)^2)</f>
        <v>41.54864619</v>
      </c>
      <c r="BE1652" s="333">
        <f>SQRT(($R1652-Infrastructure!J$12)^2+($S1652-Infrastructure!K$12)^2)</f>
        <v>26.80018657</v>
      </c>
      <c r="BF1652" s="330">
        <f t="shared" si="161"/>
        <v>10.60424443</v>
      </c>
      <c r="BG1652" s="333">
        <f t="shared" si="162"/>
        <v>52.7575587</v>
      </c>
      <c r="BH1652" s="1119"/>
      <c r="BI1652" s="319" t="s">
        <v>846</v>
      </c>
      <c r="BJ1652" s="319"/>
      <c r="BK1652" s="319"/>
      <c r="BL1652" s="319"/>
      <c r="BM1652" s="319"/>
      <c r="BN1652" s="319"/>
      <c r="BO1652" s="319"/>
      <c r="BP1652" s="953" t="s">
        <v>846</v>
      </c>
      <c r="BQ1652" s="319" t="s">
        <v>846</v>
      </c>
      <c r="BR1652" s="324" t="s">
        <v>846</v>
      </c>
      <c r="BS1652" s="330">
        <f t="shared" si="169"/>
        <v>10.60424443</v>
      </c>
      <c r="BT1652" s="331">
        <f t="shared" si="170"/>
        <v>46.90682253</v>
      </c>
      <c r="BU1652" s="920">
        <v>0.6267361111111112</v>
      </c>
      <c r="BV1652" s="903">
        <f t="shared" si="171"/>
        <v>-0.0001736111111</v>
      </c>
      <c r="BW1652" s="907">
        <v>20.0</v>
      </c>
      <c r="BX1652" s="908">
        <v>42.0</v>
      </c>
      <c r="BY1652" s="331">
        <f t="shared" si="176"/>
        <v>20.15564437</v>
      </c>
      <c r="BZ1652" s="340"/>
      <c r="CA1652" s="316"/>
      <c r="CB1652" s="318"/>
      <c r="CC1652" s="318"/>
      <c r="CD1652" s="318"/>
      <c r="CE1652" s="318"/>
      <c r="CF1652" s="318"/>
      <c r="CG1652" s="318"/>
      <c r="CH1652" s="318"/>
      <c r="CI1652" s="318"/>
      <c r="CJ1652" s="463"/>
      <c r="CK1652" s="342"/>
      <c r="CL1652" s="333"/>
      <c r="CM1652" s="1079"/>
      <c r="CN1652" s="1005"/>
      <c r="CO1652" s="1005"/>
      <c r="CP1652" s="1005"/>
    </row>
    <row r="1653">
      <c r="B1653" s="1106" t="s">
        <v>1680</v>
      </c>
      <c r="C1653" s="1107">
        <v>45175.0</v>
      </c>
      <c r="D1653" s="103"/>
      <c r="E1653" s="1137"/>
      <c r="F1653" s="112"/>
      <c r="G1653" s="1110">
        <v>0.6291666666666667</v>
      </c>
      <c r="H1653" s="1138"/>
      <c r="I1653" s="1138"/>
      <c r="J1653" s="1139"/>
      <c r="K1653" s="1111">
        <v>0.6309027777777778</v>
      </c>
      <c r="L1653" s="1112">
        <v>0.001736111111111111</v>
      </c>
      <c r="M1653" s="1113" t="s">
        <v>358</v>
      </c>
      <c r="N1653" s="110" t="s">
        <v>188</v>
      </c>
      <c r="O1653" s="1140"/>
      <c r="P1653" s="1115" t="s">
        <v>294</v>
      </c>
      <c r="Q1653" s="1116"/>
      <c r="R1653" s="1141"/>
      <c r="S1653" s="1113">
        <v>39.5</v>
      </c>
      <c r="T1653" s="1143"/>
      <c r="U1653" s="1137"/>
      <c r="V1653" s="1137"/>
      <c r="W1653" s="1137"/>
      <c r="X1653" s="1137"/>
      <c r="Y1653" s="1137"/>
      <c r="Z1653" s="1114"/>
      <c r="AA1653" s="1114"/>
      <c r="AB1653" s="1114" t="s">
        <v>323</v>
      </c>
      <c r="AC1653" s="1117" t="s">
        <v>323</v>
      </c>
      <c r="AD1653" s="1115"/>
      <c r="AE1653" s="1115"/>
      <c r="AF1653" s="1115"/>
      <c r="AG1653" s="1115"/>
      <c r="AH1653" s="1115"/>
      <c r="AI1653" s="1115"/>
      <c r="AJ1653" s="1117"/>
      <c r="AK1653" s="1118"/>
      <c r="AL1653" s="1115"/>
      <c r="AM1653" s="1115"/>
      <c r="AN1653" s="1115"/>
      <c r="AO1653" s="1115"/>
      <c r="AP1653" s="1115"/>
      <c r="AQ1653" s="1115"/>
      <c r="AR1653" s="1115"/>
      <c r="AS1653" s="1117"/>
      <c r="AT1653" s="1196" t="str">
        <f t="shared" si="172"/>
        <v/>
      </c>
      <c r="AU1653" s="1193"/>
      <c r="AV1653" s="330">
        <f>SQRT(($R1653-Infrastructure!J$3)^2+($S1653-Infrastructure!K$3)^2)</f>
        <v>10.60424443</v>
      </c>
      <c r="AW1653" s="331">
        <f>SQRT(($R1653-Infrastructure!J$4)^2+($S1653-Infrastructure!K$4)^2)</f>
        <v>21.70207363</v>
      </c>
      <c r="AX1653" s="331">
        <f>SQRT(($R1653-Infrastructure!J$5)^2+($S1653-Infrastructure!K$5)^2)</f>
        <v>34.40130811</v>
      </c>
      <c r="AY1653" s="331">
        <f>SQRT(($R1653-Infrastructure!J$6)^2+($S1653-Infrastructure!K$6)^2)</f>
        <v>40.48024209</v>
      </c>
      <c r="AZ1653" s="331">
        <f>SQRT(($R1653-Infrastructure!J$7)^2+($S1653-Infrastructure!K$7)^2)</f>
        <v>44.23674943</v>
      </c>
      <c r="BA1653" s="331">
        <f>SQRT(($R1653-Infrastructure!J$8)^2+($S1653-Infrastructure!K$8)^2)</f>
        <v>49.4231727</v>
      </c>
      <c r="BB1653" s="331">
        <f>SQRT(($R1653-Infrastructure!J$9)^2+($S1653-Infrastructure!K$9)^2)</f>
        <v>52.7575587</v>
      </c>
      <c r="BC1653" s="331">
        <f>SQRT(($R1653-Infrastructure!J$10)^2+($S1653-Infrastructure!K$10)^2)</f>
        <v>46.90682253</v>
      </c>
      <c r="BD1653" s="331">
        <f>SQRT(($R1653-Infrastructure!J$11)^2+($S1653-Infrastructure!K$11)^2)</f>
        <v>41.54864619</v>
      </c>
      <c r="BE1653" s="333">
        <f>SQRT(($R1653-Infrastructure!J$12)^2+($S1653-Infrastructure!K$12)^2)</f>
        <v>26.80018657</v>
      </c>
      <c r="BF1653" s="330">
        <f t="shared" si="161"/>
        <v>10.60424443</v>
      </c>
      <c r="BG1653" s="333">
        <f t="shared" si="162"/>
        <v>52.7575587</v>
      </c>
      <c r="BH1653" s="1119"/>
      <c r="BI1653" s="319" t="s">
        <v>846</v>
      </c>
      <c r="BJ1653" s="319" t="s">
        <v>846</v>
      </c>
      <c r="BK1653" s="319" t="s">
        <v>846</v>
      </c>
      <c r="BL1653" s="319" t="s">
        <v>846</v>
      </c>
      <c r="BM1653" s="319" t="s">
        <v>846</v>
      </c>
      <c r="BN1653" s="319" t="s">
        <v>846</v>
      </c>
      <c r="BO1653" s="319"/>
      <c r="BP1653" s="953" t="s">
        <v>846</v>
      </c>
      <c r="BQ1653" s="319" t="s">
        <v>846</v>
      </c>
      <c r="BR1653" s="324" t="s">
        <v>846</v>
      </c>
      <c r="BS1653" s="330">
        <f t="shared" si="169"/>
        <v>10.60424443</v>
      </c>
      <c r="BT1653" s="331">
        <f t="shared" si="170"/>
        <v>49.4231727</v>
      </c>
      <c r="BU1653" s="920">
        <v>0.6284722222222222</v>
      </c>
      <c r="BV1653" s="903">
        <f t="shared" si="171"/>
        <v>-0.0006944444444</v>
      </c>
      <c r="BW1653" s="907">
        <v>15.2</v>
      </c>
      <c r="BX1653" s="908">
        <v>44.1</v>
      </c>
      <c r="BY1653" s="331">
        <f t="shared" si="176"/>
        <v>15.88080602</v>
      </c>
      <c r="BZ1653" s="340"/>
      <c r="CA1653" s="316"/>
      <c r="CB1653" s="318"/>
      <c r="CC1653" s="318"/>
      <c r="CD1653" s="318"/>
      <c r="CE1653" s="318"/>
      <c r="CF1653" s="318"/>
      <c r="CG1653" s="318"/>
      <c r="CH1653" s="318"/>
      <c r="CI1653" s="318"/>
      <c r="CJ1653" s="463"/>
      <c r="CK1653" s="342"/>
      <c r="CL1653" s="333"/>
      <c r="CM1653" s="1079"/>
      <c r="CN1653" s="1005"/>
      <c r="CO1653" s="1005"/>
      <c r="CP1653" s="1005"/>
    </row>
    <row r="1654">
      <c r="A1654" s="1225" t="s">
        <v>92</v>
      </c>
      <c r="B1654" s="1226" t="s">
        <v>2343</v>
      </c>
      <c r="C1654" s="1227">
        <v>45405.0</v>
      </c>
      <c r="D1654" s="1228" t="s">
        <v>986</v>
      </c>
      <c r="E1654" s="1229">
        <v>1.0</v>
      </c>
      <c r="F1654" s="1230" t="s">
        <v>2344</v>
      </c>
      <c r="G1654" s="1231">
        <v>0.5762731481481481</v>
      </c>
      <c r="H1654" s="1231">
        <v>0.5774305555555556</v>
      </c>
      <c r="I1654" s="1231"/>
      <c r="J1654" s="1232"/>
      <c r="K1654" s="1232">
        <v>0.5934027777777777</v>
      </c>
      <c r="L1654" s="1233">
        <v>0.01597222222222222</v>
      </c>
      <c r="M1654" s="1228" t="s">
        <v>166</v>
      </c>
      <c r="N1654" s="1234" t="s">
        <v>187</v>
      </c>
      <c r="O1654" s="1235" t="s">
        <v>197</v>
      </c>
      <c r="P1654" s="1235" t="s">
        <v>272</v>
      </c>
      <c r="Q1654" s="1235" t="s">
        <v>842</v>
      </c>
      <c r="R1654" s="1236">
        <v>37.1</v>
      </c>
      <c r="S1654" s="1228">
        <v>6.9</v>
      </c>
      <c r="T1654" s="1234">
        <v>6.5</v>
      </c>
      <c r="U1654" s="1229">
        <v>0.75</v>
      </c>
      <c r="V1654" s="1229"/>
      <c r="W1654" s="1229"/>
      <c r="X1654" s="1229"/>
      <c r="Y1654" s="1229"/>
      <c r="Z1654" s="1237" t="s">
        <v>379</v>
      </c>
      <c r="AA1654" s="1237"/>
      <c r="AB1654" s="1237" t="s">
        <v>380</v>
      </c>
      <c r="AC1654" s="1238">
        <v>4.0</v>
      </c>
      <c r="AD1654" s="1235"/>
      <c r="AE1654" s="1235"/>
      <c r="AF1654" s="1235"/>
      <c r="AG1654" s="1235"/>
      <c r="AH1654" s="1235"/>
      <c r="AI1654" s="1235"/>
      <c r="AJ1654" s="1238"/>
      <c r="AK1654" s="1239"/>
      <c r="AL1654" s="1235"/>
      <c r="AM1654" s="1235"/>
      <c r="AN1654" s="1235"/>
      <c r="AO1654" s="1235"/>
      <c r="AP1654" s="1235"/>
      <c r="AQ1654" s="1235"/>
      <c r="AR1654" s="1235"/>
      <c r="AS1654" s="1238"/>
      <c r="AT1654" s="1240" t="str">
        <f t="shared" ref="AT1654:AT1714" si="179">IF(ISNUMBER(U1654), IF(AND(U1654&gt;0, U1654&lt;1), "0-1", IF(AND(U1654&gt;=1, U1654&lt;10), "1-10", IF(U1654&gt;=10, "10+", ""))), "")</f>
        <v>0-1</v>
      </c>
      <c r="AU1654" s="1241"/>
      <c r="AV1654" s="758">
        <f>SQRT(($R1654-Infrastructure!J$3)^2+($S1654-Infrastructure!K$3)^2)</f>
        <v>43.39078243</v>
      </c>
      <c r="AW1654" s="759">
        <f>SQRT(($R1654-Infrastructure!J$4)^2+($S1654-Infrastructure!K$4)^2)</f>
        <v>38.95600082</v>
      </c>
      <c r="AX1654" s="759">
        <f>SQRT(($R1654-Infrastructure!J$5)^2+($S1654-Infrastructure!K$5)^2)</f>
        <v>37.44329045</v>
      </c>
      <c r="AY1654" s="759">
        <f>SQRT(($R1654-Infrastructure!J$6)^2+($S1654-Infrastructure!K$6)^2)</f>
        <v>27.79496357</v>
      </c>
      <c r="AZ1654" s="759">
        <f>SQRT(($R1654-Infrastructure!J$7)^2+($S1654-Infrastructure!K$7)^2)</f>
        <v>17.86393014</v>
      </c>
      <c r="BA1654" s="759">
        <f>SQRT(($R1654-Infrastructure!J$8)^2+($S1654-Infrastructure!K$8)^2)</f>
        <v>9.620810777</v>
      </c>
      <c r="BB1654" s="759">
        <f>SQRT(($R1654-Infrastructure!J$9)^2+($S1654-Infrastructure!K$9)^2)</f>
        <v>3.413209633</v>
      </c>
      <c r="BC1654" s="759">
        <f>SQRT(($R1654-Infrastructure!J$10)^2+($S1654-Infrastructure!K$10)^2)</f>
        <v>8.603487665</v>
      </c>
      <c r="BD1654" s="759">
        <f>SQRT(($R1654-Infrastructure!J$11)^2+($S1654-Infrastructure!K$11)^2)</f>
        <v>22.31636171</v>
      </c>
      <c r="BE1654" s="765">
        <f>SQRT(($R1654-Infrastructure!J$12)^2+($S1654-Infrastructure!K$12)^2)</f>
        <v>51.04233537</v>
      </c>
      <c r="BF1654" s="758">
        <f t="shared" si="161"/>
        <v>3.413209633</v>
      </c>
      <c r="BG1654" s="765">
        <f t="shared" si="162"/>
        <v>51.04233537</v>
      </c>
      <c r="BH1654" s="1242"/>
      <c r="BI1654" s="749" t="str">
        <f t="shared" ref="BI1654:BR1654" si="177">IF(ISNUMBER(FIND(BI$3, $CO1654)), "Y", "")</f>
        <v/>
      </c>
      <c r="BJ1654" s="749" t="str">
        <f t="shared" si="177"/>
        <v/>
      </c>
      <c r="BK1654" s="749" t="str">
        <f t="shared" si="177"/>
        <v/>
      </c>
      <c r="BL1654" s="749" t="str">
        <f t="shared" si="177"/>
        <v/>
      </c>
      <c r="BM1654" s="749" t="str">
        <f t="shared" si="177"/>
        <v/>
      </c>
      <c r="BN1654" s="749" t="str">
        <f t="shared" si="177"/>
        <v/>
      </c>
      <c r="BO1654" s="749" t="str">
        <f t="shared" si="177"/>
        <v/>
      </c>
      <c r="BP1654" s="749" t="str">
        <f t="shared" si="177"/>
        <v/>
      </c>
      <c r="BQ1654" s="749" t="str">
        <f t="shared" si="177"/>
        <v/>
      </c>
      <c r="BR1654" s="749" t="str">
        <f t="shared" si="177"/>
        <v/>
      </c>
      <c r="BS1654" s="758">
        <f>IF(AV1654="","",MINIFS(AV1654:BE1654,BI1654:BR1654, "Y"))</f>
        <v>0</v>
      </c>
      <c r="BT1654" s="759">
        <f t="shared" si="170"/>
        <v>0</v>
      </c>
      <c r="BU1654" s="1243"/>
      <c r="BV1654" s="1244" t="str">
        <f>IF(BU1654-G1654&lt;0,"",BU1654-G1654)</f>
        <v/>
      </c>
      <c r="BW1654" s="1245"/>
      <c r="BX1654" s="1245"/>
      <c r="BY1654" s="759" t="b">
        <f t="shared" si="176"/>
        <v>0</v>
      </c>
      <c r="BZ1654" s="759"/>
      <c r="CA1654" s="746" t="str">
        <f t="shared" ref="CA1654:CJ1654" si="178">IF(ISNUMBER(FIND(BI$3, $CP1654)), "Y", "")</f>
        <v/>
      </c>
      <c r="CB1654" s="749" t="str">
        <f t="shared" si="178"/>
        <v/>
      </c>
      <c r="CC1654" s="749" t="str">
        <f t="shared" si="178"/>
        <v/>
      </c>
      <c r="CD1654" s="749" t="str">
        <f t="shared" si="178"/>
        <v/>
      </c>
      <c r="CE1654" s="749" t="str">
        <f t="shared" si="178"/>
        <v>Y</v>
      </c>
      <c r="CF1654" s="749" t="str">
        <f t="shared" si="178"/>
        <v>Y</v>
      </c>
      <c r="CG1654" s="749" t="str">
        <f t="shared" si="178"/>
        <v>Y</v>
      </c>
      <c r="CH1654" s="749" t="str">
        <f t="shared" si="178"/>
        <v>Y</v>
      </c>
      <c r="CI1654" s="749" t="str">
        <f t="shared" si="178"/>
        <v>Y</v>
      </c>
      <c r="CJ1654" s="749" t="str">
        <f t="shared" si="178"/>
        <v>Y</v>
      </c>
      <c r="CK1654" s="1246">
        <f t="shared" ref="CK1654:CK2464" si="182">MINIFS(AV1654:BE1654,CA1654:CJ1654, "Y")</f>
        <v>3.413209633</v>
      </c>
      <c r="CL1654" s="765">
        <f t="shared" ref="CL1654:CL2464" si="183">MAXIFS(AV1654:BE1654,CA1654:CJ1654, "Y")</f>
        <v>51.04233537</v>
      </c>
      <c r="CM1654" s="1247" t="s">
        <v>2345</v>
      </c>
      <c r="CN1654" s="1248" t="s">
        <v>2346</v>
      </c>
      <c r="CO1654" s="1249"/>
      <c r="CP1654" s="1249" t="s">
        <v>2347</v>
      </c>
    </row>
    <row r="1655">
      <c r="B1655" s="1106" t="s">
        <v>2343</v>
      </c>
      <c r="C1655" s="1107">
        <v>45405.0</v>
      </c>
      <c r="D1655" s="1113" t="s">
        <v>986</v>
      </c>
      <c r="E1655" s="1108" t="s">
        <v>1546</v>
      </c>
      <c r="F1655" s="112" t="s">
        <v>2348</v>
      </c>
      <c r="G1655" s="1110">
        <v>0.6052083333333333</v>
      </c>
      <c r="H1655" s="1110">
        <v>0.6057870370370371</v>
      </c>
      <c r="I1655" s="1110"/>
      <c r="J1655" s="1111"/>
      <c r="K1655" s="1111">
        <v>0.6222222222222222</v>
      </c>
      <c r="L1655" s="1112">
        <v>0.016435185185185185</v>
      </c>
      <c r="M1655" s="1113" t="s">
        <v>166</v>
      </c>
      <c r="N1655" s="110" t="s">
        <v>187</v>
      </c>
      <c r="O1655" s="1115" t="s">
        <v>198</v>
      </c>
      <c r="P1655" s="1115" t="s">
        <v>218</v>
      </c>
      <c r="Q1655" s="1115" t="s">
        <v>851</v>
      </c>
      <c r="R1655" s="120">
        <v>10.3</v>
      </c>
      <c r="S1655" s="1113">
        <v>8.1</v>
      </c>
      <c r="T1655" s="110">
        <v>3.0</v>
      </c>
      <c r="U1655" s="1108">
        <v>0.2</v>
      </c>
      <c r="V1655" s="1108"/>
      <c r="W1655" s="1108"/>
      <c r="X1655" s="1108"/>
      <c r="Y1655" s="1108"/>
      <c r="Z1655" s="1114" t="s">
        <v>335</v>
      </c>
      <c r="AA1655" s="1114"/>
      <c r="AB1655" s="1114" t="s">
        <v>375</v>
      </c>
      <c r="AC1655" s="1117">
        <v>2.7</v>
      </c>
      <c r="AD1655" s="1115"/>
      <c r="AE1655" s="1115"/>
      <c r="AF1655" s="1115"/>
      <c r="AG1655" s="1115"/>
      <c r="AH1655" s="1115"/>
      <c r="AI1655" s="1115"/>
      <c r="AJ1655" s="1117"/>
      <c r="AK1655" s="1118"/>
      <c r="AL1655" s="1115"/>
      <c r="AM1655" s="1115"/>
      <c r="AN1655" s="1115"/>
      <c r="AO1655" s="1115"/>
      <c r="AP1655" s="1115"/>
      <c r="AQ1655" s="1115"/>
      <c r="AR1655" s="1115"/>
      <c r="AS1655" s="1117"/>
      <c r="AT1655" s="1196" t="str">
        <f t="shared" si="179"/>
        <v>0-1</v>
      </c>
      <c r="AU1655" s="945" t="s">
        <v>846</v>
      </c>
      <c r="AV1655" s="330">
        <f>SQRT(($R1655-Infrastructure!J$3)^2+($S1655-Infrastructure!K$3)^2)</f>
        <v>23.34523506</v>
      </c>
      <c r="AW1655" s="331">
        <f>SQRT(($R1655-Infrastructure!J$4)^2+($S1655-Infrastructure!K$4)^2)</f>
        <v>14.36836804</v>
      </c>
      <c r="AX1655" s="331">
        <f>SQRT(($R1655-Infrastructure!J$5)^2+($S1655-Infrastructure!K$5)^2)</f>
        <v>11.01635148</v>
      </c>
      <c r="AY1655" s="331">
        <f>SQRT(($R1655-Infrastructure!J$6)^2+($S1655-Infrastructure!K$6)^2)</f>
        <v>7.802563681</v>
      </c>
      <c r="AZ1655" s="331">
        <f>SQRT(($R1655-Infrastructure!J$7)^2+($S1655-Infrastructure!K$7)^2)</f>
        <v>12.84056074</v>
      </c>
      <c r="BA1655" s="331">
        <f>SQRT(($R1655-Infrastructure!J$8)^2+($S1655-Infrastructure!K$8)^2)</f>
        <v>21.28097742</v>
      </c>
      <c r="BB1655" s="331">
        <f>SQRT(($R1655-Infrastructure!J$9)^2+($S1655-Infrastructure!K$9)^2)</f>
        <v>29.85113063</v>
      </c>
      <c r="BC1655" s="331">
        <f>SQRT(($R1655-Infrastructure!J$10)^2+($S1655-Infrastructure!K$10)^2)</f>
        <v>30.49098227</v>
      </c>
      <c r="BD1655" s="331">
        <f>SQRT(($R1655-Infrastructure!J$11)^2+($S1655-Infrastructure!K$11)^2)</f>
        <v>36.4804057</v>
      </c>
      <c r="BE1655" s="333">
        <f>SQRT(($R1655-Infrastructure!J$12)^2+($S1655-Infrastructure!K$12)^2)</f>
        <v>48.70523586</v>
      </c>
      <c r="BF1655" s="330">
        <f t="shared" si="161"/>
        <v>7.802563681</v>
      </c>
      <c r="BG1655" s="333">
        <f t="shared" si="162"/>
        <v>48.70523586</v>
      </c>
      <c r="BH1655" s="1119"/>
      <c r="BI1655" s="319" t="str">
        <f t="shared" ref="BI1655:BR1655" si="180">IF(ISNUMBER(FIND(BI$3, $CO1655)), "Y", "")</f>
        <v/>
      </c>
      <c r="BJ1655" s="319" t="str">
        <f t="shared" si="180"/>
        <v/>
      </c>
      <c r="BK1655" s="319" t="str">
        <f t="shared" si="180"/>
        <v/>
      </c>
      <c r="BL1655" s="319" t="str">
        <f t="shared" si="180"/>
        <v/>
      </c>
      <c r="BM1655" s="319" t="str">
        <f t="shared" si="180"/>
        <v/>
      </c>
      <c r="BN1655" s="319" t="str">
        <f t="shared" si="180"/>
        <v/>
      </c>
      <c r="BO1655" s="319" t="str">
        <f t="shared" si="180"/>
        <v/>
      </c>
      <c r="BP1655" s="319" t="str">
        <f t="shared" si="180"/>
        <v/>
      </c>
      <c r="BQ1655" s="319" t="str">
        <f t="shared" si="180"/>
        <v/>
      </c>
      <c r="BR1655" s="319" t="str">
        <f t="shared" si="180"/>
        <v/>
      </c>
      <c r="BS1655" s="330">
        <f t="shared" ref="BS1655:BS2464" si="185">MINIFS(AV1655:BE1655,BI1655:BR1655, "Y")</f>
        <v>0</v>
      </c>
      <c r="BT1655" s="331">
        <f t="shared" si="170"/>
        <v>0</v>
      </c>
      <c r="BU1655" s="920"/>
      <c r="BV1655" s="903" t="str">
        <f t="shared" ref="BV1655:BV2192" si="186">IF(BU1655-G1655&lt;=0,"",BU1655-G1655)</f>
        <v/>
      </c>
      <c r="BW1655" s="908"/>
      <c r="BX1655" s="908"/>
      <c r="BY1655" s="331" t="b">
        <f t="shared" si="176"/>
        <v>0</v>
      </c>
      <c r="BZ1655" s="331"/>
      <c r="CA1655" s="462" t="str">
        <f t="shared" ref="CA1655:CJ1655" si="181">IF(ISNUMBER(FIND(BI$3, $CP1655)), "Y", "")</f>
        <v/>
      </c>
      <c r="CB1655" s="319" t="str">
        <f t="shared" si="181"/>
        <v/>
      </c>
      <c r="CC1655" s="319" t="str">
        <f t="shared" si="181"/>
        <v>Y</v>
      </c>
      <c r="CD1655" s="319" t="str">
        <f t="shared" si="181"/>
        <v>Y</v>
      </c>
      <c r="CE1655" s="319" t="str">
        <f t="shared" si="181"/>
        <v>Y</v>
      </c>
      <c r="CF1655" s="319" t="str">
        <f t="shared" si="181"/>
        <v>Y</v>
      </c>
      <c r="CG1655" s="319" t="str">
        <f t="shared" si="181"/>
        <v>Y</v>
      </c>
      <c r="CH1655" s="319" t="str">
        <f t="shared" si="181"/>
        <v>Y</v>
      </c>
      <c r="CI1655" s="319" t="str">
        <f t="shared" si="181"/>
        <v>Y</v>
      </c>
      <c r="CJ1655" s="319" t="str">
        <f t="shared" si="181"/>
        <v>Y</v>
      </c>
      <c r="CK1655" s="342">
        <f t="shared" si="182"/>
        <v>7.802563681</v>
      </c>
      <c r="CL1655" s="333">
        <f t="shared" si="183"/>
        <v>48.70523586</v>
      </c>
      <c r="CM1655" s="1079" t="s">
        <v>2345</v>
      </c>
      <c r="CN1655" s="1079" t="s">
        <v>2346</v>
      </c>
      <c r="CO1655" s="1005"/>
      <c r="CP1655" s="1005" t="s">
        <v>2349</v>
      </c>
    </row>
    <row r="1656">
      <c r="B1656" s="1106" t="s">
        <v>2343</v>
      </c>
      <c r="C1656" s="1107">
        <v>45405.0</v>
      </c>
      <c r="D1656" s="1113" t="s">
        <v>986</v>
      </c>
      <c r="E1656" s="1108" t="s">
        <v>1548</v>
      </c>
      <c r="F1656" s="112" t="s">
        <v>2350</v>
      </c>
      <c r="G1656" s="1110">
        <v>0.6052662037037037</v>
      </c>
      <c r="H1656" s="1110">
        <v>0.6057291666666667</v>
      </c>
      <c r="I1656" s="1110"/>
      <c r="J1656" s="1111"/>
      <c r="K1656" s="1111">
        <v>0.6222222222222222</v>
      </c>
      <c r="L1656" s="1112">
        <v>0.016493055555555556</v>
      </c>
      <c r="M1656" s="1113" t="s">
        <v>166</v>
      </c>
      <c r="N1656" s="110" t="s">
        <v>187</v>
      </c>
      <c r="O1656" s="1115" t="s">
        <v>197</v>
      </c>
      <c r="P1656" s="1115" t="s">
        <v>272</v>
      </c>
      <c r="Q1656" s="1115" t="s">
        <v>842</v>
      </c>
      <c r="R1656" s="120">
        <v>37.1</v>
      </c>
      <c r="S1656" s="1113">
        <v>6.9</v>
      </c>
      <c r="T1656" s="110">
        <v>6.5</v>
      </c>
      <c r="U1656" s="1108">
        <v>0.5</v>
      </c>
      <c r="V1656" s="1108"/>
      <c r="W1656" s="1108"/>
      <c r="X1656" s="1108"/>
      <c r="Y1656" s="1108"/>
      <c r="Z1656" s="1114" t="s">
        <v>379</v>
      </c>
      <c r="AA1656" s="1114"/>
      <c r="AB1656" s="1114" t="s">
        <v>380</v>
      </c>
      <c r="AC1656" s="1117">
        <v>4.0</v>
      </c>
      <c r="AD1656" s="1115"/>
      <c r="AE1656" s="1115"/>
      <c r="AF1656" s="1115"/>
      <c r="AG1656" s="1115"/>
      <c r="AH1656" s="1115"/>
      <c r="AI1656" s="1115"/>
      <c r="AJ1656" s="1117"/>
      <c r="AK1656" s="1118"/>
      <c r="AL1656" s="1115"/>
      <c r="AM1656" s="1115"/>
      <c r="AN1656" s="1115"/>
      <c r="AO1656" s="1115"/>
      <c r="AP1656" s="1115"/>
      <c r="AQ1656" s="1115"/>
      <c r="AR1656" s="1115"/>
      <c r="AS1656" s="1117"/>
      <c r="AT1656" s="1196" t="str">
        <f t="shared" si="179"/>
        <v>0-1</v>
      </c>
      <c r="AU1656" s="945" t="s">
        <v>846</v>
      </c>
      <c r="AV1656" s="330">
        <f>SQRT(($R1656-Infrastructure!J$3)^2+($S1656-Infrastructure!K$3)^2)</f>
        <v>43.39078243</v>
      </c>
      <c r="AW1656" s="331">
        <f>SQRT(($R1656-Infrastructure!J$4)^2+($S1656-Infrastructure!K$4)^2)</f>
        <v>38.95600082</v>
      </c>
      <c r="AX1656" s="331">
        <f>SQRT(($R1656-Infrastructure!J$5)^2+($S1656-Infrastructure!K$5)^2)</f>
        <v>37.44329045</v>
      </c>
      <c r="AY1656" s="331">
        <f>SQRT(($R1656-Infrastructure!J$6)^2+($S1656-Infrastructure!K$6)^2)</f>
        <v>27.79496357</v>
      </c>
      <c r="AZ1656" s="331">
        <f>SQRT(($R1656-Infrastructure!J$7)^2+($S1656-Infrastructure!K$7)^2)</f>
        <v>17.86393014</v>
      </c>
      <c r="BA1656" s="331">
        <f>SQRT(($R1656-Infrastructure!J$8)^2+($S1656-Infrastructure!K$8)^2)</f>
        <v>9.620810777</v>
      </c>
      <c r="BB1656" s="331">
        <f>SQRT(($R1656-Infrastructure!J$9)^2+($S1656-Infrastructure!K$9)^2)</f>
        <v>3.413209633</v>
      </c>
      <c r="BC1656" s="331">
        <f>SQRT(($R1656-Infrastructure!J$10)^2+($S1656-Infrastructure!K$10)^2)</f>
        <v>8.603487665</v>
      </c>
      <c r="BD1656" s="331">
        <f>SQRT(($R1656-Infrastructure!J$11)^2+($S1656-Infrastructure!K$11)^2)</f>
        <v>22.31636171</v>
      </c>
      <c r="BE1656" s="333">
        <f>SQRT(($R1656-Infrastructure!J$12)^2+($S1656-Infrastructure!K$12)^2)</f>
        <v>51.04233537</v>
      </c>
      <c r="BF1656" s="330">
        <f t="shared" si="161"/>
        <v>3.413209633</v>
      </c>
      <c r="BG1656" s="333">
        <f t="shared" si="162"/>
        <v>51.04233537</v>
      </c>
      <c r="BH1656" s="1119"/>
      <c r="BI1656" s="319" t="str">
        <f t="shared" ref="BI1656:BR1656" si="184">IF(ISNUMBER(FIND(BI$3, $CO1656)), "Y", "")</f>
        <v/>
      </c>
      <c r="BJ1656" s="319" t="str">
        <f t="shared" si="184"/>
        <v/>
      </c>
      <c r="BK1656" s="319" t="str">
        <f t="shared" si="184"/>
        <v/>
      </c>
      <c r="BL1656" s="319" t="str">
        <f t="shared" si="184"/>
        <v/>
      </c>
      <c r="BM1656" s="319" t="str">
        <f t="shared" si="184"/>
        <v/>
      </c>
      <c r="BN1656" s="319" t="str">
        <f t="shared" si="184"/>
        <v/>
      </c>
      <c r="BO1656" s="319" t="str">
        <f t="shared" si="184"/>
        <v/>
      </c>
      <c r="BP1656" s="319" t="str">
        <f t="shared" si="184"/>
        <v/>
      </c>
      <c r="BQ1656" s="319" t="str">
        <f t="shared" si="184"/>
        <v/>
      </c>
      <c r="BR1656" s="319" t="str">
        <f t="shared" si="184"/>
        <v/>
      </c>
      <c r="BS1656" s="330">
        <f t="shared" si="185"/>
        <v>0</v>
      </c>
      <c r="BT1656" s="331">
        <f t="shared" si="170"/>
        <v>0</v>
      </c>
      <c r="BU1656" s="920"/>
      <c r="BV1656" s="903" t="str">
        <f t="shared" si="186"/>
        <v/>
      </c>
      <c r="BW1656" s="908"/>
      <c r="BX1656" s="908"/>
      <c r="BY1656" s="331" t="b">
        <f t="shared" si="176"/>
        <v>0</v>
      </c>
      <c r="BZ1656" s="331"/>
      <c r="CA1656" s="462" t="str">
        <f t="shared" ref="CA1656:CJ1656" si="187">IF(ISNUMBER(FIND(BI$3, $CP1656)), "Y", "")</f>
        <v/>
      </c>
      <c r="CB1656" s="319" t="str">
        <f t="shared" si="187"/>
        <v/>
      </c>
      <c r="CC1656" s="319" t="str">
        <f t="shared" si="187"/>
        <v>Y</v>
      </c>
      <c r="CD1656" s="319" t="str">
        <f t="shared" si="187"/>
        <v>Y</v>
      </c>
      <c r="CE1656" s="319" t="str">
        <f t="shared" si="187"/>
        <v>Y</v>
      </c>
      <c r="CF1656" s="319" t="str">
        <f t="shared" si="187"/>
        <v>Y</v>
      </c>
      <c r="CG1656" s="319" t="str">
        <f t="shared" si="187"/>
        <v>Y</v>
      </c>
      <c r="CH1656" s="319" t="str">
        <f t="shared" si="187"/>
        <v>Y</v>
      </c>
      <c r="CI1656" s="319" t="str">
        <f t="shared" si="187"/>
        <v>Y</v>
      </c>
      <c r="CJ1656" s="319" t="str">
        <f t="shared" si="187"/>
        <v>Y</v>
      </c>
      <c r="CK1656" s="342">
        <f t="shared" si="182"/>
        <v>3.413209633</v>
      </c>
      <c r="CL1656" s="333">
        <f t="shared" si="183"/>
        <v>51.04233537</v>
      </c>
      <c r="CM1656" s="1079" t="s">
        <v>2345</v>
      </c>
      <c r="CN1656" s="1079" t="s">
        <v>2346</v>
      </c>
      <c r="CO1656" s="1005"/>
      <c r="CP1656" s="1005" t="s">
        <v>2349</v>
      </c>
    </row>
    <row r="1657">
      <c r="B1657" s="1106" t="s">
        <v>2343</v>
      </c>
      <c r="C1657" s="1107">
        <v>45405.0</v>
      </c>
      <c r="D1657" s="1113" t="s">
        <v>986</v>
      </c>
      <c r="E1657" s="1108">
        <v>4.0</v>
      </c>
      <c r="F1657" s="112" t="s">
        <v>2351</v>
      </c>
      <c r="G1657" s="1110">
        <v>0.6352430555555556</v>
      </c>
      <c r="H1657" s="1110">
        <v>0.6354166666666666</v>
      </c>
      <c r="I1657" s="1110"/>
      <c r="J1657" s="1111"/>
      <c r="K1657" s="1111">
        <v>0.6680555555555555</v>
      </c>
      <c r="L1657" s="1112">
        <v>0.03263888888888889</v>
      </c>
      <c r="M1657" s="1113" t="s">
        <v>166</v>
      </c>
      <c r="N1657" s="110" t="s">
        <v>187</v>
      </c>
      <c r="O1657" s="1115" t="s">
        <v>206</v>
      </c>
      <c r="P1657" s="1115" t="s">
        <v>296</v>
      </c>
      <c r="Q1657" s="1116"/>
      <c r="R1657" s="120">
        <v>22.0</v>
      </c>
      <c r="S1657" s="1113">
        <v>11.4</v>
      </c>
      <c r="T1657" s="110">
        <v>0.6</v>
      </c>
      <c r="U1657" s="1108">
        <v>0.1</v>
      </c>
      <c r="V1657" s="1108"/>
      <c r="W1657" s="1108"/>
      <c r="X1657" s="1108"/>
      <c r="Y1657" s="1108"/>
      <c r="Z1657" s="1114" t="s">
        <v>1690</v>
      </c>
      <c r="AA1657" s="1114"/>
      <c r="AB1657" s="1114" t="s">
        <v>371</v>
      </c>
      <c r="AC1657" s="1117">
        <v>1.8</v>
      </c>
      <c r="AD1657" s="1115"/>
      <c r="AE1657" s="1115"/>
      <c r="AF1657" s="1115"/>
      <c r="AG1657" s="1115"/>
      <c r="AH1657" s="1115"/>
      <c r="AI1657" s="1115"/>
      <c r="AJ1657" s="1117"/>
      <c r="AK1657" s="1118"/>
      <c r="AL1657" s="1115"/>
      <c r="AM1657" s="1115"/>
      <c r="AN1657" s="1115"/>
      <c r="AO1657" s="1115"/>
      <c r="AP1657" s="1115"/>
      <c r="AQ1657" s="1115"/>
      <c r="AR1657" s="1115"/>
      <c r="AS1657" s="1117"/>
      <c r="AT1657" s="1196" t="str">
        <f t="shared" si="179"/>
        <v>0-1</v>
      </c>
      <c r="AU1657" s="1193"/>
      <c r="AV1657" s="330">
        <f>SQRT(($R1657-Infrastructure!J$3)^2+($S1657-Infrastructure!K$3)^2)</f>
        <v>28.34678112</v>
      </c>
      <c r="AW1657" s="331">
        <f>SQRT(($R1657-Infrastructure!J$4)^2+($S1657-Infrastructure!K$4)^2)</f>
        <v>23.20021552</v>
      </c>
      <c r="AX1657" s="331">
        <f>SQRT(($R1657-Infrastructure!J$5)^2+($S1657-Infrastructure!K$5)^2)</f>
        <v>23.17282892</v>
      </c>
      <c r="AY1657" s="331">
        <f>SQRT(($R1657-Infrastructure!J$6)^2+($S1657-Infrastructure!K$6)^2)</f>
        <v>16.273291</v>
      </c>
      <c r="AZ1657" s="331">
        <f>SQRT(($R1657-Infrastructure!J$7)^2+($S1657-Infrastructure!K$7)^2)</f>
        <v>11.20089282</v>
      </c>
      <c r="BA1657" s="331">
        <f>SQRT(($R1657-Infrastructure!J$8)^2+($S1657-Infrastructure!K$8)^2)</f>
        <v>13.74117899</v>
      </c>
      <c r="BB1657" s="331">
        <f>SQRT(($R1657-Infrastructure!J$9)^2+($S1657-Infrastructure!K$9)^2)</f>
        <v>19.07065809</v>
      </c>
      <c r="BC1657" s="331">
        <f>SQRT(($R1657-Infrastructure!J$10)^2+($S1657-Infrastructure!K$10)^2)</f>
        <v>18.35647025</v>
      </c>
      <c r="BD1657" s="331">
        <f>SQRT(($R1657-Infrastructure!J$11)^2+($S1657-Infrastructure!K$11)^2)</f>
        <v>25.3179778</v>
      </c>
      <c r="BE1657" s="333">
        <f>SQRT(($R1657-Infrastructure!J$12)^2+($S1657-Infrastructure!K$12)^2)</f>
        <v>44.10283438</v>
      </c>
      <c r="BF1657" s="330">
        <f t="shared" si="161"/>
        <v>11.20089282</v>
      </c>
      <c r="BG1657" s="333">
        <f t="shared" si="162"/>
        <v>44.10283438</v>
      </c>
      <c r="BH1657" s="1119"/>
      <c r="BI1657" s="319" t="str">
        <f t="shared" ref="BI1657:BR1657" si="188">IF(ISNUMBER(FIND(BI$3, $CO1657)), "Y", "")</f>
        <v/>
      </c>
      <c r="BJ1657" s="319" t="str">
        <f t="shared" si="188"/>
        <v/>
      </c>
      <c r="BK1657" s="319" t="str">
        <f t="shared" si="188"/>
        <v/>
      </c>
      <c r="BL1657" s="319" t="str">
        <f t="shared" si="188"/>
        <v/>
      </c>
      <c r="BM1657" s="319" t="str">
        <f t="shared" si="188"/>
        <v/>
      </c>
      <c r="BN1657" s="319" t="str">
        <f t="shared" si="188"/>
        <v/>
      </c>
      <c r="BO1657" s="319" t="str">
        <f t="shared" si="188"/>
        <v/>
      </c>
      <c r="BP1657" s="319" t="str">
        <f t="shared" si="188"/>
        <v/>
      </c>
      <c r="BQ1657" s="319" t="str">
        <f t="shared" si="188"/>
        <v/>
      </c>
      <c r="BR1657" s="319" t="str">
        <f t="shared" si="188"/>
        <v/>
      </c>
      <c r="BS1657" s="330">
        <f t="shared" si="185"/>
        <v>0</v>
      </c>
      <c r="BT1657" s="331">
        <f t="shared" si="170"/>
        <v>0</v>
      </c>
      <c r="BU1657" s="920"/>
      <c r="BV1657" s="903" t="str">
        <f t="shared" si="186"/>
        <v/>
      </c>
      <c r="BW1657" s="908"/>
      <c r="BX1657" s="908"/>
      <c r="BY1657" s="331" t="b">
        <f t="shared" si="176"/>
        <v>0</v>
      </c>
      <c r="BZ1657" s="331"/>
      <c r="CA1657" s="462" t="str">
        <f t="shared" ref="CA1657:CJ1657" si="189">IF(ISNUMBER(FIND(BI$3, $CP1657)), "Y", "")</f>
        <v/>
      </c>
      <c r="CB1657" s="319" t="str">
        <f t="shared" si="189"/>
        <v/>
      </c>
      <c r="CC1657" s="319" t="str">
        <f t="shared" si="189"/>
        <v/>
      </c>
      <c r="CD1657" s="319" t="str">
        <f t="shared" si="189"/>
        <v/>
      </c>
      <c r="CE1657" s="319" t="str">
        <f t="shared" si="189"/>
        <v>Y</v>
      </c>
      <c r="CF1657" s="319" t="str">
        <f t="shared" si="189"/>
        <v>Y</v>
      </c>
      <c r="CG1657" s="319" t="str">
        <f t="shared" si="189"/>
        <v>Y</v>
      </c>
      <c r="CH1657" s="319" t="str">
        <f t="shared" si="189"/>
        <v>Y</v>
      </c>
      <c r="CI1657" s="319" t="str">
        <f t="shared" si="189"/>
        <v>Y</v>
      </c>
      <c r="CJ1657" s="319" t="str">
        <f t="shared" si="189"/>
        <v>Y</v>
      </c>
      <c r="CK1657" s="342">
        <f t="shared" si="182"/>
        <v>11.20089282</v>
      </c>
      <c r="CL1657" s="333">
        <f t="shared" si="183"/>
        <v>44.10283438</v>
      </c>
      <c r="CM1657" s="1079" t="s">
        <v>2345</v>
      </c>
      <c r="CN1657" s="1079" t="s">
        <v>2346</v>
      </c>
      <c r="CO1657" s="1005"/>
      <c r="CP1657" s="1005" t="s">
        <v>2347</v>
      </c>
    </row>
    <row r="1658">
      <c r="B1658" s="1106" t="s">
        <v>2343</v>
      </c>
      <c r="C1658" s="1107">
        <v>45405.0</v>
      </c>
      <c r="D1658" s="1113" t="s">
        <v>986</v>
      </c>
      <c r="E1658" s="1108">
        <v>5.0</v>
      </c>
      <c r="F1658" s="112" t="s">
        <v>2352</v>
      </c>
      <c r="G1658" s="1110">
        <v>0.6770833333333334</v>
      </c>
      <c r="H1658" s="1110">
        <v>0.6772569444444444</v>
      </c>
      <c r="I1658" s="1110"/>
      <c r="J1658" s="1111"/>
      <c r="K1658" s="1111">
        <v>0.7116319444444444</v>
      </c>
      <c r="L1658" s="1112">
        <v>0.034375</v>
      </c>
      <c r="M1658" s="1113" t="s">
        <v>166</v>
      </c>
      <c r="N1658" s="110" t="s">
        <v>187</v>
      </c>
      <c r="O1658" s="1115" t="s">
        <v>203</v>
      </c>
      <c r="P1658" s="1115" t="s">
        <v>227</v>
      </c>
      <c r="Q1658" s="1115" t="s">
        <v>842</v>
      </c>
      <c r="R1658" s="120">
        <v>15.5</v>
      </c>
      <c r="S1658" s="1113">
        <v>3.4</v>
      </c>
      <c r="T1658" s="110">
        <v>1.4</v>
      </c>
      <c r="U1658" s="1108">
        <v>0.02</v>
      </c>
      <c r="V1658" s="1108"/>
      <c r="W1658" s="1108"/>
      <c r="X1658" s="1108"/>
      <c r="Y1658" s="1108"/>
      <c r="Z1658" s="1114" t="s">
        <v>1690</v>
      </c>
      <c r="AA1658" s="1114"/>
      <c r="AB1658" s="1114" t="s">
        <v>371</v>
      </c>
      <c r="AC1658" s="1117">
        <v>1.8</v>
      </c>
      <c r="AD1658" s="1115"/>
      <c r="AE1658" s="1115"/>
      <c r="AF1658" s="1115"/>
      <c r="AG1658" s="1115"/>
      <c r="AH1658" s="1115"/>
      <c r="AI1658" s="1115"/>
      <c r="AJ1658" s="1117"/>
      <c r="AK1658" s="1118"/>
      <c r="AL1658" s="1115"/>
      <c r="AM1658" s="1115"/>
      <c r="AN1658" s="1115"/>
      <c r="AO1658" s="1115"/>
      <c r="AP1658" s="1115"/>
      <c r="AQ1658" s="1115"/>
      <c r="AR1658" s="1115"/>
      <c r="AS1658" s="1117"/>
      <c r="AT1658" s="1196" t="str">
        <f t="shared" si="179"/>
        <v>0-1</v>
      </c>
      <c r="AU1658" s="1193"/>
      <c r="AV1658" s="330">
        <f>SQRT(($R1658-Infrastructure!J$3)^2+($S1658-Infrastructure!K$3)^2)</f>
        <v>29.99816661</v>
      </c>
      <c r="AW1658" s="331">
        <f>SQRT(($R1658-Infrastructure!J$4)^2+($S1658-Infrastructure!K$4)^2)</f>
        <v>21.37755833</v>
      </c>
      <c r="AX1658" s="331">
        <f>SQRT(($R1658-Infrastructure!J$5)^2+($S1658-Infrastructure!K$5)^2)</f>
        <v>15.89119253</v>
      </c>
      <c r="AY1658" s="331">
        <f>SQRT(($R1658-Infrastructure!J$6)^2+($S1658-Infrastructure!K$6)^2)</f>
        <v>6.22655603</v>
      </c>
      <c r="AZ1658" s="331">
        <f>SQRT(($R1658-Infrastructure!J$7)^2+($S1658-Infrastructure!K$7)^2)</f>
        <v>5.883026432</v>
      </c>
      <c r="BA1658" s="331">
        <f>SQRT(($R1658-Infrastructure!J$8)^2+($S1658-Infrastructure!K$8)^2)</f>
        <v>14.92548157</v>
      </c>
      <c r="BB1658" s="331">
        <f>SQRT(($R1658-Infrastructure!J$9)^2+($S1658-Infrastructure!K$9)^2)</f>
        <v>24.55890877</v>
      </c>
      <c r="BC1658" s="331">
        <f>SQRT(($R1658-Infrastructure!J$10)^2+($S1658-Infrastructure!K$10)^2)</f>
        <v>27.10737907</v>
      </c>
      <c r="BD1658" s="331">
        <f>SQRT(($R1658-Infrastructure!J$11)^2+($S1658-Infrastructure!K$11)^2)</f>
        <v>35.57316404</v>
      </c>
      <c r="BE1658" s="333">
        <f>SQRT(($R1658-Infrastructure!J$12)^2+($S1658-Infrastructure!K$12)^2)</f>
        <v>52.44435146</v>
      </c>
      <c r="BF1658" s="330">
        <f t="shared" si="161"/>
        <v>5.883026432</v>
      </c>
      <c r="BG1658" s="333">
        <f t="shared" si="162"/>
        <v>52.44435146</v>
      </c>
      <c r="BH1658" s="1119"/>
      <c r="BI1658" s="319" t="str">
        <f t="shared" ref="BI1658:BR1658" si="190">IF(ISNUMBER(FIND(BI$3, $CO1658)), "Y", "")</f>
        <v/>
      </c>
      <c r="BJ1658" s="319" t="str">
        <f t="shared" si="190"/>
        <v/>
      </c>
      <c r="BK1658" s="319" t="str">
        <f t="shared" si="190"/>
        <v/>
      </c>
      <c r="BL1658" s="319" t="str">
        <f t="shared" si="190"/>
        <v/>
      </c>
      <c r="BM1658" s="319" t="str">
        <f t="shared" si="190"/>
        <v/>
      </c>
      <c r="BN1658" s="319" t="str">
        <f t="shared" si="190"/>
        <v/>
      </c>
      <c r="BO1658" s="319" t="str">
        <f t="shared" si="190"/>
        <v/>
      </c>
      <c r="BP1658" s="319" t="str">
        <f t="shared" si="190"/>
        <v/>
      </c>
      <c r="BQ1658" s="319" t="str">
        <f t="shared" si="190"/>
        <v/>
      </c>
      <c r="BR1658" s="319" t="str">
        <f t="shared" si="190"/>
        <v/>
      </c>
      <c r="BS1658" s="330">
        <f t="shared" si="185"/>
        <v>0</v>
      </c>
      <c r="BT1658" s="331">
        <f t="shared" si="170"/>
        <v>0</v>
      </c>
      <c r="BU1658" s="920"/>
      <c r="BV1658" s="903" t="str">
        <f t="shared" si="186"/>
        <v/>
      </c>
      <c r="BW1658" s="908"/>
      <c r="BX1658" s="908"/>
      <c r="BY1658" s="331" t="b">
        <f t="shared" si="176"/>
        <v>0</v>
      </c>
      <c r="BZ1658" s="331"/>
      <c r="CA1658" s="462" t="str">
        <f t="shared" ref="CA1658:CJ1658" si="191">IF(ISNUMBER(FIND(BI$3, $CP1658)), "Y", "")</f>
        <v/>
      </c>
      <c r="CB1658" s="319" t="str">
        <f t="shared" si="191"/>
        <v/>
      </c>
      <c r="CC1658" s="319" t="str">
        <f t="shared" si="191"/>
        <v/>
      </c>
      <c r="CD1658" s="319" t="str">
        <f t="shared" si="191"/>
        <v/>
      </c>
      <c r="CE1658" s="319" t="str">
        <f t="shared" si="191"/>
        <v>Y</v>
      </c>
      <c r="CF1658" s="319" t="str">
        <f t="shared" si="191"/>
        <v>Y</v>
      </c>
      <c r="CG1658" s="319" t="str">
        <f t="shared" si="191"/>
        <v>Y</v>
      </c>
      <c r="CH1658" s="319" t="str">
        <f t="shared" si="191"/>
        <v>Y</v>
      </c>
      <c r="CI1658" s="319" t="str">
        <f t="shared" si="191"/>
        <v>Y</v>
      </c>
      <c r="CJ1658" s="319" t="str">
        <f t="shared" si="191"/>
        <v>Y</v>
      </c>
      <c r="CK1658" s="342">
        <f t="shared" si="182"/>
        <v>5.883026432</v>
      </c>
      <c r="CL1658" s="333">
        <f t="shared" si="183"/>
        <v>52.44435146</v>
      </c>
      <c r="CM1658" s="1079" t="s">
        <v>2345</v>
      </c>
      <c r="CN1658" s="1079" t="s">
        <v>2346</v>
      </c>
      <c r="CO1658" s="1005"/>
      <c r="CP1658" s="1005" t="s">
        <v>2347</v>
      </c>
    </row>
    <row r="1659">
      <c r="B1659" s="1106" t="s">
        <v>2343</v>
      </c>
      <c r="C1659" s="1107">
        <v>45405.0</v>
      </c>
      <c r="D1659" s="1113" t="s">
        <v>986</v>
      </c>
      <c r="E1659" s="1108">
        <v>6.0</v>
      </c>
      <c r="F1659" s="112" t="s">
        <v>2353</v>
      </c>
      <c r="G1659" s="1110">
        <v>0.7145833333333333</v>
      </c>
      <c r="H1659" s="1110">
        <v>0.7149305555555555</v>
      </c>
      <c r="I1659" s="1110"/>
      <c r="J1659" s="1111"/>
      <c r="K1659" s="1111">
        <v>0.7173611111111111</v>
      </c>
      <c r="L1659" s="1112">
        <v>0.0024305555555555556</v>
      </c>
      <c r="M1659" s="1113" t="s">
        <v>166</v>
      </c>
      <c r="N1659" s="110" t="s">
        <v>187</v>
      </c>
      <c r="O1659" s="1115" t="s">
        <v>2354</v>
      </c>
      <c r="P1659" s="1115" t="s">
        <v>256</v>
      </c>
      <c r="Q1659" s="1116"/>
      <c r="R1659" s="120">
        <v>17.6</v>
      </c>
      <c r="S1659" s="1113">
        <v>9.0</v>
      </c>
      <c r="T1659" s="110">
        <v>0.64</v>
      </c>
      <c r="U1659" s="1108">
        <v>0.15</v>
      </c>
      <c r="V1659" s="1108"/>
      <c r="W1659" s="1108"/>
      <c r="X1659" s="1108"/>
      <c r="Y1659" s="1108"/>
      <c r="Z1659" s="1114" t="s">
        <v>335</v>
      </c>
      <c r="AA1659" s="1114"/>
      <c r="AB1659" s="1114" t="s">
        <v>333</v>
      </c>
      <c r="AC1659" s="1117">
        <v>2.0</v>
      </c>
      <c r="AD1659" s="1115"/>
      <c r="AE1659" s="1115"/>
      <c r="AF1659" s="1115"/>
      <c r="AG1659" s="1115"/>
      <c r="AH1659" s="1115"/>
      <c r="AI1659" s="1115"/>
      <c r="AJ1659" s="1117"/>
      <c r="AK1659" s="1118"/>
      <c r="AL1659" s="1115"/>
      <c r="AM1659" s="1115"/>
      <c r="AN1659" s="1115"/>
      <c r="AO1659" s="1115"/>
      <c r="AP1659" s="1115"/>
      <c r="AQ1659" s="1115"/>
      <c r="AR1659" s="1115"/>
      <c r="AS1659" s="1117"/>
      <c r="AT1659" s="1196" t="str">
        <f t="shared" si="179"/>
        <v>0-1</v>
      </c>
      <c r="AU1659" s="1193"/>
      <c r="AV1659" s="330">
        <f>SQRT(($R1659-Infrastructure!J$3)^2+($S1659-Infrastructure!K$3)^2)</f>
        <v>26.76602324</v>
      </c>
      <c r="AW1659" s="331">
        <f>SQRT(($R1659-Infrastructure!J$4)^2+($S1659-Infrastructure!K$4)^2)</f>
        <v>19.94617758</v>
      </c>
      <c r="AX1659" s="331">
        <f>SQRT(($R1659-Infrastructure!J$5)^2+($S1659-Infrastructure!K$5)^2)</f>
        <v>18.3199345</v>
      </c>
      <c r="AY1659" s="331">
        <f>SQRT(($R1659-Infrastructure!J$6)^2+($S1659-Infrastructure!K$6)^2)</f>
        <v>11.48651383</v>
      </c>
      <c r="AZ1659" s="331">
        <f>SQRT(($R1659-Infrastructure!J$7)^2+($S1659-Infrastructure!K$7)^2)</f>
        <v>9.170605214</v>
      </c>
      <c r="BA1659" s="331">
        <f>SQRT(($R1659-Infrastructure!J$8)^2+($S1659-Infrastructure!K$8)^2)</f>
        <v>15.22957649</v>
      </c>
      <c r="BB1659" s="331">
        <f>SQRT(($R1659-Infrastructure!J$9)^2+($S1659-Infrastructure!K$9)^2)</f>
        <v>22.73697429</v>
      </c>
      <c r="BC1659" s="331">
        <f>SQRT(($R1659-Infrastructure!J$10)^2+($S1659-Infrastructure!K$10)^2)</f>
        <v>23.18965287</v>
      </c>
      <c r="BD1659" s="331">
        <f>SQRT(($R1659-Infrastructure!J$11)^2+($S1659-Infrastructure!K$11)^2)</f>
        <v>30.17880051</v>
      </c>
      <c r="BE1659" s="333">
        <f>SQRT(($R1659-Infrastructure!J$12)^2+($S1659-Infrastructure!K$12)^2)</f>
        <v>46.66326178</v>
      </c>
      <c r="BF1659" s="330">
        <f t="shared" si="161"/>
        <v>9.170605214</v>
      </c>
      <c r="BG1659" s="333">
        <f t="shared" si="162"/>
        <v>46.66326178</v>
      </c>
      <c r="BH1659" s="1119"/>
      <c r="BI1659" s="319" t="str">
        <f t="shared" ref="BI1659:BR1659" si="192">IF(ISNUMBER(FIND(BI$3, $CO1659)), "Y", "")</f>
        <v/>
      </c>
      <c r="BJ1659" s="319" t="str">
        <f t="shared" si="192"/>
        <v/>
      </c>
      <c r="BK1659" s="319" t="str">
        <f t="shared" si="192"/>
        <v/>
      </c>
      <c r="BL1659" s="319" t="str">
        <f t="shared" si="192"/>
        <v/>
      </c>
      <c r="BM1659" s="319" t="str">
        <f t="shared" si="192"/>
        <v/>
      </c>
      <c r="BN1659" s="319" t="str">
        <f t="shared" si="192"/>
        <v/>
      </c>
      <c r="BO1659" s="319" t="str">
        <f t="shared" si="192"/>
        <v/>
      </c>
      <c r="BP1659" s="319" t="str">
        <f t="shared" si="192"/>
        <v/>
      </c>
      <c r="BQ1659" s="319" t="str">
        <f t="shared" si="192"/>
        <v/>
      </c>
      <c r="BR1659" s="319" t="str">
        <f t="shared" si="192"/>
        <v/>
      </c>
      <c r="BS1659" s="330">
        <f t="shared" si="185"/>
        <v>0</v>
      </c>
      <c r="BT1659" s="331">
        <f t="shared" si="170"/>
        <v>0</v>
      </c>
      <c r="BU1659" s="920"/>
      <c r="BV1659" s="903" t="str">
        <f t="shared" si="186"/>
        <v/>
      </c>
      <c r="BW1659" s="908"/>
      <c r="BX1659" s="908"/>
      <c r="BY1659" s="331" t="b">
        <f t="shared" si="176"/>
        <v>0</v>
      </c>
      <c r="BZ1659" s="331"/>
      <c r="CA1659" s="462" t="str">
        <f t="shared" ref="CA1659:CJ1659" si="193">IF(ISNUMBER(FIND(BI$3, $CP1659)), "Y", "")</f>
        <v/>
      </c>
      <c r="CB1659" s="319" t="str">
        <f t="shared" si="193"/>
        <v/>
      </c>
      <c r="CC1659" s="319" t="str">
        <f t="shared" si="193"/>
        <v/>
      </c>
      <c r="CD1659" s="319" t="str">
        <f t="shared" si="193"/>
        <v/>
      </c>
      <c r="CE1659" s="319" t="str">
        <f t="shared" si="193"/>
        <v/>
      </c>
      <c r="CF1659" s="319" t="str">
        <f t="shared" si="193"/>
        <v/>
      </c>
      <c r="CG1659" s="319" t="str">
        <f t="shared" si="193"/>
        <v/>
      </c>
      <c r="CH1659" s="319" t="str">
        <f t="shared" si="193"/>
        <v/>
      </c>
      <c r="CI1659" s="319" t="str">
        <f t="shared" si="193"/>
        <v/>
      </c>
      <c r="CJ1659" s="319" t="str">
        <f t="shared" si="193"/>
        <v/>
      </c>
      <c r="CK1659" s="342">
        <f t="shared" si="182"/>
        <v>0</v>
      </c>
      <c r="CL1659" s="333">
        <f t="shared" si="183"/>
        <v>0</v>
      </c>
      <c r="CM1659" s="1079" t="s">
        <v>2355</v>
      </c>
      <c r="CN1659" s="1079" t="s">
        <v>2346</v>
      </c>
      <c r="CO1659" s="1005"/>
      <c r="CP1659" s="1005"/>
    </row>
    <row r="1660">
      <c r="B1660" s="1106" t="s">
        <v>2343</v>
      </c>
      <c r="C1660" s="1107">
        <v>45405.0</v>
      </c>
      <c r="D1660" s="103"/>
      <c r="E1660" s="1137"/>
      <c r="F1660" s="112" t="s">
        <v>2356</v>
      </c>
      <c r="G1660" s="1110">
        <v>0.7241319444444444</v>
      </c>
      <c r="H1660" s="1138"/>
      <c r="I1660" s="1138"/>
      <c r="J1660" s="1139"/>
      <c r="K1660" s="1111">
        <v>0.7256944444444444</v>
      </c>
      <c r="L1660" s="1112">
        <v>0.0015625</v>
      </c>
      <c r="M1660" s="1113" t="s">
        <v>166</v>
      </c>
      <c r="N1660" s="110" t="s">
        <v>188</v>
      </c>
      <c r="O1660" s="1140"/>
      <c r="P1660" s="1115" t="s">
        <v>292</v>
      </c>
      <c r="Q1660" s="1116"/>
      <c r="R1660" s="1141"/>
      <c r="S1660" s="1113"/>
      <c r="T1660" s="1143"/>
      <c r="U1660" s="1108" t="s">
        <v>323</v>
      </c>
      <c r="V1660" s="1108"/>
      <c r="W1660" s="1108"/>
      <c r="X1660" s="1108"/>
      <c r="Y1660" s="1108"/>
      <c r="Z1660" s="1114" t="s">
        <v>323</v>
      </c>
      <c r="AA1660" s="1114"/>
      <c r="AB1660" s="1114" t="s">
        <v>323</v>
      </c>
      <c r="AC1660" s="1117" t="s">
        <v>323</v>
      </c>
      <c r="AD1660" s="1115"/>
      <c r="AE1660" s="1115"/>
      <c r="AF1660" s="1115"/>
      <c r="AG1660" s="1115"/>
      <c r="AH1660" s="1115"/>
      <c r="AI1660" s="1115"/>
      <c r="AJ1660" s="1117"/>
      <c r="AK1660" s="1118"/>
      <c r="AL1660" s="1115"/>
      <c r="AM1660" s="1115"/>
      <c r="AN1660" s="1115"/>
      <c r="AO1660" s="1115"/>
      <c r="AP1660" s="1115"/>
      <c r="AQ1660" s="1115"/>
      <c r="AR1660" s="1115"/>
      <c r="AS1660" s="1117"/>
      <c r="AT1660" s="1196" t="str">
        <f t="shared" si="179"/>
        <v/>
      </c>
      <c r="AU1660" s="1193"/>
      <c r="AV1660" s="330">
        <f>SQRT(($R1660-Infrastructure!J$3)^2+($S1660-Infrastructure!K$3)^2)</f>
        <v>28.90155705</v>
      </c>
      <c r="AW1660" s="331">
        <f>SQRT(($R1660-Infrastructure!J$4)^2+($S1660-Infrastructure!K$4)^2)</f>
        <v>17.80252791</v>
      </c>
      <c r="AX1660" s="331">
        <f>SQRT(($R1660-Infrastructure!J$5)^2+($S1660-Infrastructure!K$5)^2)</f>
        <v>5.10881591</v>
      </c>
      <c r="AY1660" s="331">
        <f>SQRT(($R1660-Infrastructure!J$6)^2+($S1660-Infrastructure!K$6)^2)</f>
        <v>10.10445446</v>
      </c>
      <c r="AZ1660" s="331">
        <f>SQRT(($R1660-Infrastructure!J$7)^2+($S1660-Infrastructure!K$7)^2)</f>
        <v>20.502195</v>
      </c>
      <c r="BA1660" s="331">
        <f>SQRT(($R1660-Infrastructure!J$8)^2+($S1660-Infrastructure!K$8)^2)</f>
        <v>30.10149498</v>
      </c>
      <c r="BB1660" s="331">
        <f>SQRT(($R1660-Infrastructure!J$9)^2+($S1660-Infrastructure!K$9)^2)</f>
        <v>40.3238143</v>
      </c>
      <c r="BC1660" s="331">
        <f>SQRT(($R1660-Infrastructure!J$10)^2+($S1660-Infrastructure!K$10)^2)</f>
        <v>42.72001873</v>
      </c>
      <c r="BD1660" s="331">
        <f>SQRT(($R1660-Infrastructure!J$11)^2+($S1660-Infrastructure!K$11)^2)</f>
        <v>49.56853841</v>
      </c>
      <c r="BE1660" s="333">
        <f>SQRT(($R1660-Infrastructure!J$12)^2+($S1660-Infrastructure!K$12)^2)</f>
        <v>59.51890456</v>
      </c>
      <c r="BF1660" s="330">
        <f t="shared" si="161"/>
        <v>5.10881591</v>
      </c>
      <c r="BG1660" s="333">
        <f t="shared" si="162"/>
        <v>59.51890456</v>
      </c>
      <c r="BH1660" s="1119"/>
      <c r="BI1660" s="319" t="str">
        <f t="shared" ref="BI1660:BR1660" si="194">IF(ISNUMBER(FIND(BI$3, $CO1660)), "Y", "")</f>
        <v>Y</v>
      </c>
      <c r="BJ1660" s="319" t="str">
        <f t="shared" si="194"/>
        <v>Y</v>
      </c>
      <c r="BK1660" s="319" t="str">
        <f t="shared" si="194"/>
        <v/>
      </c>
      <c r="BL1660" s="319" t="str">
        <f t="shared" si="194"/>
        <v/>
      </c>
      <c r="BM1660" s="319" t="str">
        <f t="shared" si="194"/>
        <v/>
      </c>
      <c r="BN1660" s="319" t="str">
        <f t="shared" si="194"/>
        <v/>
      </c>
      <c r="BO1660" s="319" t="str">
        <f t="shared" si="194"/>
        <v/>
      </c>
      <c r="BP1660" s="319" t="str">
        <f t="shared" si="194"/>
        <v>Y</v>
      </c>
      <c r="BQ1660" s="319" t="str">
        <f t="shared" si="194"/>
        <v>Y</v>
      </c>
      <c r="BR1660" s="319" t="str">
        <f t="shared" si="194"/>
        <v>Y</v>
      </c>
      <c r="BS1660" s="330">
        <f t="shared" si="185"/>
        <v>17.80252791</v>
      </c>
      <c r="BT1660" s="331">
        <f t="shared" si="170"/>
        <v>59.51890456</v>
      </c>
      <c r="BU1660" s="1250">
        <v>0.7250231481481482</v>
      </c>
      <c r="BV1660" s="903">
        <f t="shared" si="186"/>
        <v>0.0008912037037</v>
      </c>
      <c r="BW1660" s="907">
        <v>12.9</v>
      </c>
      <c r="BX1660" s="908">
        <v>43.5</v>
      </c>
      <c r="BY1660" s="331">
        <f t="shared" si="176"/>
        <v>45.37245861</v>
      </c>
      <c r="BZ1660" s="331"/>
      <c r="CA1660" s="462" t="str">
        <f t="shared" ref="CA1660:CJ1660" si="195">IF(ISNUMBER(FIND(BI$3, $CP1660)), "Y", "")</f>
        <v>Y</v>
      </c>
      <c r="CB1660" s="319" t="str">
        <f t="shared" si="195"/>
        <v>Y</v>
      </c>
      <c r="CC1660" s="319" t="str">
        <f t="shared" si="195"/>
        <v>Y</v>
      </c>
      <c r="CD1660" s="319" t="str">
        <f t="shared" si="195"/>
        <v>Y</v>
      </c>
      <c r="CE1660" s="319" t="str">
        <f t="shared" si="195"/>
        <v>Y</v>
      </c>
      <c r="CF1660" s="319" t="str">
        <f t="shared" si="195"/>
        <v/>
      </c>
      <c r="CG1660" s="319" t="str">
        <f t="shared" si="195"/>
        <v>Y</v>
      </c>
      <c r="CH1660" s="319" t="str">
        <f t="shared" si="195"/>
        <v>Y</v>
      </c>
      <c r="CI1660" s="319" t="str">
        <f t="shared" si="195"/>
        <v>Y</v>
      </c>
      <c r="CJ1660" s="319" t="str">
        <f t="shared" si="195"/>
        <v>Y</v>
      </c>
      <c r="CK1660" s="342">
        <f t="shared" si="182"/>
        <v>5.10881591</v>
      </c>
      <c r="CL1660" s="333">
        <f t="shared" si="183"/>
        <v>59.51890456</v>
      </c>
      <c r="CM1660" s="1079" t="s">
        <v>2357</v>
      </c>
      <c r="CN1660" s="1079" t="s">
        <v>2346</v>
      </c>
      <c r="CO1660" s="1005" t="s">
        <v>2358</v>
      </c>
      <c r="CP1660" s="1005" t="s">
        <v>2359</v>
      </c>
    </row>
    <row r="1661">
      <c r="B1661" s="1121" t="s">
        <v>2343</v>
      </c>
      <c r="C1661" s="1122">
        <v>45405.0</v>
      </c>
      <c r="D1661" s="1123"/>
      <c r="E1661" s="1144"/>
      <c r="F1661" s="108" t="s">
        <v>2356</v>
      </c>
      <c r="G1661" s="1126">
        <v>0.7333333333333333</v>
      </c>
      <c r="H1661" s="1145"/>
      <c r="I1661" s="1145"/>
      <c r="J1661" s="1146"/>
      <c r="K1661" s="1127">
        <v>0.7345486111111111</v>
      </c>
      <c r="L1661" s="1128">
        <v>0.0012152777777777778</v>
      </c>
      <c r="M1661" s="1129" t="s">
        <v>358</v>
      </c>
      <c r="N1661" s="100" t="s">
        <v>188</v>
      </c>
      <c r="O1661" s="1161"/>
      <c r="P1661" s="1131" t="s">
        <v>294</v>
      </c>
      <c r="Q1661" s="1132"/>
      <c r="R1661" s="1148"/>
      <c r="S1661" s="1129"/>
      <c r="T1661" s="1150"/>
      <c r="U1661" s="1124" t="s">
        <v>323</v>
      </c>
      <c r="V1661" s="1124"/>
      <c r="W1661" s="1124"/>
      <c r="X1661" s="1124"/>
      <c r="Y1661" s="1124"/>
      <c r="Z1661" s="1130" t="s">
        <v>323</v>
      </c>
      <c r="AA1661" s="1130"/>
      <c r="AB1661" s="1130" t="s">
        <v>323</v>
      </c>
      <c r="AC1661" s="1133" t="s">
        <v>323</v>
      </c>
      <c r="AD1661" s="1131"/>
      <c r="AE1661" s="1131"/>
      <c r="AF1661" s="1131"/>
      <c r="AG1661" s="1131"/>
      <c r="AH1661" s="1131"/>
      <c r="AI1661" s="1131"/>
      <c r="AJ1661" s="1133"/>
      <c r="AK1661" s="1134"/>
      <c r="AL1661" s="1131"/>
      <c r="AM1661" s="1131"/>
      <c r="AN1661" s="1131"/>
      <c r="AO1661" s="1131"/>
      <c r="AP1661" s="1131"/>
      <c r="AQ1661" s="1131"/>
      <c r="AR1661" s="1131"/>
      <c r="AS1661" s="1133"/>
      <c r="AT1661" s="1197" t="str">
        <f t="shared" si="179"/>
        <v/>
      </c>
      <c r="AU1661" s="1194"/>
      <c r="AV1661" s="662">
        <f>SQRT(($R1661-Infrastructure!J$3)^2+($S1661-Infrastructure!K$3)^2)</f>
        <v>28.90155705</v>
      </c>
      <c r="AW1661" s="641">
        <f>SQRT(($R1661-Infrastructure!J$4)^2+($S1661-Infrastructure!K$4)^2)</f>
        <v>17.80252791</v>
      </c>
      <c r="AX1661" s="641">
        <f>SQRT(($R1661-Infrastructure!J$5)^2+($S1661-Infrastructure!K$5)^2)</f>
        <v>5.10881591</v>
      </c>
      <c r="AY1661" s="641">
        <f>SQRT(($R1661-Infrastructure!J$6)^2+($S1661-Infrastructure!K$6)^2)</f>
        <v>10.10445446</v>
      </c>
      <c r="AZ1661" s="641">
        <f>SQRT(($R1661-Infrastructure!J$7)^2+($S1661-Infrastructure!K$7)^2)</f>
        <v>20.502195</v>
      </c>
      <c r="BA1661" s="641">
        <f>SQRT(($R1661-Infrastructure!J$8)^2+($S1661-Infrastructure!K$8)^2)</f>
        <v>30.10149498</v>
      </c>
      <c r="BB1661" s="641">
        <f>SQRT(($R1661-Infrastructure!J$9)^2+($S1661-Infrastructure!K$9)^2)</f>
        <v>40.3238143</v>
      </c>
      <c r="BC1661" s="641">
        <f>SQRT(($R1661-Infrastructure!J$10)^2+($S1661-Infrastructure!K$10)^2)</f>
        <v>42.72001873</v>
      </c>
      <c r="BD1661" s="641">
        <f>SQRT(($R1661-Infrastructure!J$11)^2+($S1661-Infrastructure!K$11)^2)</f>
        <v>49.56853841</v>
      </c>
      <c r="BE1661" s="642">
        <f>SQRT(($R1661-Infrastructure!J$12)^2+($S1661-Infrastructure!K$12)^2)</f>
        <v>59.51890456</v>
      </c>
      <c r="BF1661" s="662">
        <f t="shared" si="161"/>
        <v>5.10881591</v>
      </c>
      <c r="BG1661" s="642">
        <f t="shared" si="162"/>
        <v>59.51890456</v>
      </c>
      <c r="BH1661" s="1135"/>
      <c r="BI1661" s="319" t="str">
        <f t="shared" ref="BI1661:BR1661" si="196">IF(ISNUMBER(FIND(BI$3, $CO1661)), "Y", "")</f>
        <v/>
      </c>
      <c r="BJ1661" s="319" t="str">
        <f t="shared" si="196"/>
        <v/>
      </c>
      <c r="BK1661" s="319" t="str">
        <f t="shared" si="196"/>
        <v/>
      </c>
      <c r="BL1661" s="319" t="str">
        <f t="shared" si="196"/>
        <v/>
      </c>
      <c r="BM1661" s="319" t="str">
        <f t="shared" si="196"/>
        <v/>
      </c>
      <c r="BN1661" s="319" t="str">
        <f t="shared" si="196"/>
        <v/>
      </c>
      <c r="BO1661" s="319" t="str">
        <f t="shared" si="196"/>
        <v/>
      </c>
      <c r="BP1661" s="319" t="str">
        <f t="shared" si="196"/>
        <v/>
      </c>
      <c r="BQ1661" s="319" t="str">
        <f t="shared" si="196"/>
        <v/>
      </c>
      <c r="BR1661" s="319" t="str">
        <f t="shared" si="196"/>
        <v/>
      </c>
      <c r="BS1661" s="662">
        <f t="shared" si="185"/>
        <v>0</v>
      </c>
      <c r="BT1661" s="641">
        <f t="shared" si="170"/>
        <v>0</v>
      </c>
      <c r="BU1661" s="937"/>
      <c r="BV1661" s="930" t="str">
        <f t="shared" si="186"/>
        <v/>
      </c>
      <c r="BW1661" s="6"/>
      <c r="BX1661" s="6"/>
      <c r="BY1661" s="641">
        <f>IF(BW1660&gt;0, SQRT((R1661-BW1660)^2+(S1661-BX1660)^2))</f>
        <v>45.37245861</v>
      </c>
      <c r="BZ1661" s="641"/>
      <c r="CA1661" s="462" t="str">
        <f t="shared" ref="CA1661:CJ1661" si="197">IF(ISNUMBER(FIND(BI$3, $CP1661)), "Y", "")</f>
        <v>Y</v>
      </c>
      <c r="CB1661" s="319" t="str">
        <f t="shared" si="197"/>
        <v>Y</v>
      </c>
      <c r="CC1661" s="319" t="str">
        <f t="shared" si="197"/>
        <v/>
      </c>
      <c r="CD1661" s="319" t="str">
        <f t="shared" si="197"/>
        <v/>
      </c>
      <c r="CE1661" s="319" t="str">
        <f t="shared" si="197"/>
        <v/>
      </c>
      <c r="CF1661" s="319" t="str">
        <f t="shared" si="197"/>
        <v/>
      </c>
      <c r="CG1661" s="319" t="str">
        <f t="shared" si="197"/>
        <v/>
      </c>
      <c r="CH1661" s="319" t="str">
        <f t="shared" si="197"/>
        <v/>
      </c>
      <c r="CI1661" s="319" t="str">
        <f t="shared" si="197"/>
        <v/>
      </c>
      <c r="CJ1661" s="319" t="str">
        <f t="shared" si="197"/>
        <v/>
      </c>
      <c r="CK1661" s="743">
        <f t="shared" si="182"/>
        <v>17.80252791</v>
      </c>
      <c r="CL1661" s="642">
        <f t="shared" si="183"/>
        <v>28.90155705</v>
      </c>
      <c r="CM1661" s="1090" t="s">
        <v>2360</v>
      </c>
      <c r="CN1661" s="1090" t="s">
        <v>2346</v>
      </c>
      <c r="CO1661" s="1036"/>
      <c r="CP1661" s="1005">
        <v>41.53</v>
      </c>
    </row>
    <row r="1662">
      <c r="A1662" s="1251" t="s">
        <v>93</v>
      </c>
      <c r="B1662" s="1099" t="s">
        <v>2343</v>
      </c>
      <c r="C1662" s="1092">
        <v>45407.0</v>
      </c>
      <c r="D1662" s="1099" t="s">
        <v>986</v>
      </c>
      <c r="E1662" s="1094" t="s">
        <v>1481</v>
      </c>
      <c r="F1662" s="1179" t="s">
        <v>2361</v>
      </c>
      <c r="G1662" s="1096">
        <v>0.37002314814814813</v>
      </c>
      <c r="H1662" s="1096">
        <v>0.37222222222222223</v>
      </c>
      <c r="I1662" s="1096"/>
      <c r="J1662" s="1097"/>
      <c r="K1662" s="1097">
        <v>0.39947916666666666</v>
      </c>
      <c r="L1662" s="1098">
        <v>0.027256944444444445</v>
      </c>
      <c r="M1662" s="1099" t="s">
        <v>168</v>
      </c>
      <c r="N1662" s="129" t="s">
        <v>188</v>
      </c>
      <c r="O1662" s="1101" t="s">
        <v>196</v>
      </c>
      <c r="P1662" s="1101" t="s">
        <v>267</v>
      </c>
      <c r="Q1662" s="1101" t="s">
        <v>842</v>
      </c>
      <c r="R1662" s="132">
        <v>21.7</v>
      </c>
      <c r="S1662" s="1099">
        <v>39.5</v>
      </c>
      <c r="T1662" s="129">
        <v>2.5</v>
      </c>
      <c r="U1662" s="1094">
        <v>75.0</v>
      </c>
      <c r="V1662" s="1094"/>
      <c r="W1662" s="1094"/>
      <c r="X1662" s="1094"/>
      <c r="Y1662" s="1094"/>
      <c r="Z1662" s="1100" t="s">
        <v>387</v>
      </c>
      <c r="AA1662" s="1100"/>
      <c r="AB1662" s="1100" t="s">
        <v>416</v>
      </c>
      <c r="AC1662" s="1102">
        <v>52.5</v>
      </c>
      <c r="AD1662" s="1115"/>
      <c r="AE1662" s="1115"/>
      <c r="AF1662" s="1115"/>
      <c r="AG1662" s="1115"/>
      <c r="AH1662" s="1115"/>
      <c r="AI1662" s="1115"/>
      <c r="AJ1662" s="1117"/>
      <c r="AK1662" s="1118"/>
      <c r="AL1662" s="1115"/>
      <c r="AM1662" s="1115"/>
      <c r="AN1662" s="1115"/>
      <c r="AO1662" s="1115"/>
      <c r="AP1662" s="1115"/>
      <c r="AQ1662" s="1115"/>
      <c r="AR1662" s="1115"/>
      <c r="AS1662" s="1117"/>
      <c r="AT1662" s="1196" t="str">
        <f t="shared" si="179"/>
        <v>10+</v>
      </c>
      <c r="AU1662" s="1252" t="s">
        <v>846</v>
      </c>
      <c r="AV1662" s="330">
        <f>SQRT(($R1662-Infrastructure!J$3)^2+($S1662-Infrastructure!K$3)^2)</f>
        <v>24.42048321</v>
      </c>
      <c r="AW1662" s="331">
        <f>SQRT(($R1662-Infrastructure!J$4)^2+($S1662-Infrastructure!K$4)^2)</f>
        <v>30.90129447</v>
      </c>
      <c r="AX1662" s="331">
        <f>SQRT(($R1662-Infrastructure!J$5)^2+($S1662-Infrastructure!K$5)^2)</f>
        <v>40.83331973</v>
      </c>
      <c r="AY1662" s="331">
        <f>SQRT(($R1662-Infrastructure!J$6)^2+($S1662-Infrastructure!K$6)^2)</f>
        <v>40.88031311</v>
      </c>
      <c r="AZ1662" s="331">
        <f>SQRT(($R1662-Infrastructure!J$7)^2+($S1662-Infrastructure!K$7)^2)</f>
        <v>39.21836305</v>
      </c>
      <c r="BA1662" s="331">
        <f>SQRT(($R1662-Infrastructure!J$8)^2+($S1662-Infrastructure!K$8)^2)</f>
        <v>40.08989898</v>
      </c>
      <c r="BB1662" s="331">
        <f>SQRT(($R1662-Infrastructure!J$9)^2+($S1662-Infrastructure!K$9)^2)</f>
        <v>38.96472764</v>
      </c>
      <c r="BC1662" s="331">
        <f>SQRT(($R1662-Infrastructure!J$10)^2+($S1662-Infrastructure!K$10)^2)</f>
        <v>30.58005886</v>
      </c>
      <c r="BD1662" s="331">
        <f>SQRT(($R1662-Infrastructure!J$11)^2+($S1662-Infrastructure!K$11)^2)</f>
        <v>21.27204739</v>
      </c>
      <c r="BE1662" s="333">
        <f>SQRT(($R1662-Infrastructure!J$12)^2+($S1662-Infrastructure!K$12)^2)</f>
        <v>16.00124995</v>
      </c>
      <c r="BF1662" s="330">
        <f t="shared" si="161"/>
        <v>16.00124995</v>
      </c>
      <c r="BG1662" s="333">
        <f t="shared" si="162"/>
        <v>40.88031311</v>
      </c>
      <c r="BH1662" s="1105"/>
      <c r="BI1662" s="393" t="str">
        <f t="shared" ref="BI1662:BR1662" si="198">IF(ISNUMBER(FIND(BI$3, $CO1662)), "Y", "")</f>
        <v>Y</v>
      </c>
      <c r="BJ1662" s="393" t="str">
        <f t="shared" si="198"/>
        <v/>
      </c>
      <c r="BK1662" s="393" t="str">
        <f t="shared" si="198"/>
        <v>Y</v>
      </c>
      <c r="BL1662" s="393" t="str">
        <f t="shared" si="198"/>
        <v/>
      </c>
      <c r="BM1662" s="393" t="str">
        <f t="shared" si="198"/>
        <v/>
      </c>
      <c r="BN1662" s="393" t="str">
        <f t="shared" si="198"/>
        <v>Y</v>
      </c>
      <c r="BO1662" s="393" t="str">
        <f t="shared" si="198"/>
        <v/>
      </c>
      <c r="BP1662" s="393" t="str">
        <f t="shared" si="198"/>
        <v/>
      </c>
      <c r="BQ1662" s="393" t="str">
        <f t="shared" si="198"/>
        <v>Y</v>
      </c>
      <c r="BR1662" s="393" t="str">
        <f t="shared" si="198"/>
        <v>Y</v>
      </c>
      <c r="BS1662" s="405">
        <f t="shared" si="185"/>
        <v>16.00124995</v>
      </c>
      <c r="BT1662" s="406">
        <f t="shared" si="170"/>
        <v>40.83331973</v>
      </c>
      <c r="BU1662" s="1250">
        <v>0.37061342592592594</v>
      </c>
      <c r="BV1662" s="903">
        <f t="shared" si="186"/>
        <v>0.0005902777778</v>
      </c>
      <c r="BW1662" s="926">
        <v>10.5</v>
      </c>
      <c r="BX1662" s="926">
        <v>35.8</v>
      </c>
      <c r="BY1662" s="331">
        <f t="shared" ref="BY1662:BY2464" si="201">IF(BW1662&gt;0, SQRT((R1662-BW1662)^2+(S1662-BX1662)^2))</f>
        <v>11.79533806</v>
      </c>
      <c r="BZ1662" s="406"/>
      <c r="CA1662" s="573" t="str">
        <f t="shared" ref="CA1662:CJ1662" si="199">IF(ISNUMBER(FIND(BI$3, $CP1662)), "Y", "")</f>
        <v>Y</v>
      </c>
      <c r="CB1662" s="393" t="str">
        <f t="shared" si="199"/>
        <v>Y</v>
      </c>
      <c r="CC1662" s="393" t="str">
        <f t="shared" si="199"/>
        <v>Y</v>
      </c>
      <c r="CD1662" s="393" t="str">
        <f t="shared" si="199"/>
        <v>Y</v>
      </c>
      <c r="CE1662" s="393" t="str">
        <f t="shared" si="199"/>
        <v>Y</v>
      </c>
      <c r="CF1662" s="393" t="str">
        <f t="shared" si="199"/>
        <v>Y</v>
      </c>
      <c r="CG1662" s="393" t="str">
        <f t="shared" si="199"/>
        <v>Y</v>
      </c>
      <c r="CH1662" s="393" t="str">
        <f t="shared" si="199"/>
        <v>Y</v>
      </c>
      <c r="CI1662" s="393" t="str">
        <f t="shared" si="199"/>
        <v>Y</v>
      </c>
      <c r="CJ1662" s="393" t="str">
        <f t="shared" si="199"/>
        <v>Y</v>
      </c>
      <c r="CK1662" s="342">
        <f t="shared" si="182"/>
        <v>16.00124995</v>
      </c>
      <c r="CL1662" s="333">
        <f t="shared" si="183"/>
        <v>40.88031311</v>
      </c>
      <c r="CM1662" s="1077" t="s">
        <v>2362</v>
      </c>
      <c r="CN1662" s="1005" t="s">
        <v>2363</v>
      </c>
      <c r="CO1662" s="1005" t="s">
        <v>2364</v>
      </c>
      <c r="CP1662" s="1055" t="s">
        <v>2365</v>
      </c>
    </row>
    <row r="1663">
      <c r="A1663" s="797"/>
      <c r="B1663" s="1113" t="s">
        <v>2343</v>
      </c>
      <c r="C1663" s="1107">
        <v>45407.0</v>
      </c>
      <c r="D1663" s="1113" t="s">
        <v>986</v>
      </c>
      <c r="E1663" s="1108" t="s">
        <v>1483</v>
      </c>
      <c r="F1663" s="112" t="s">
        <v>2366</v>
      </c>
      <c r="G1663" s="1110">
        <v>0.36961805555555555</v>
      </c>
      <c r="H1663" s="1110">
        <v>0.3704861111111111</v>
      </c>
      <c r="I1663" s="1110"/>
      <c r="J1663" s="1111"/>
      <c r="K1663" s="1111">
        <v>0.39971064814814816</v>
      </c>
      <c r="L1663" s="1112">
        <v>0.02922453703703704</v>
      </c>
      <c r="M1663" s="1113" t="s">
        <v>166</v>
      </c>
      <c r="N1663" s="110" t="s">
        <v>188</v>
      </c>
      <c r="O1663" s="1115" t="s">
        <v>196</v>
      </c>
      <c r="P1663" s="1115" t="s">
        <v>267</v>
      </c>
      <c r="Q1663" s="1115" t="s">
        <v>842</v>
      </c>
      <c r="R1663" s="120">
        <v>21.7</v>
      </c>
      <c r="S1663" s="1113">
        <v>39.5</v>
      </c>
      <c r="T1663" s="110">
        <v>2.5</v>
      </c>
      <c r="U1663" s="1108">
        <v>0.56</v>
      </c>
      <c r="V1663" s="1108"/>
      <c r="W1663" s="1108"/>
      <c r="X1663" s="1108"/>
      <c r="Y1663" s="1108"/>
      <c r="Z1663" s="1114" t="s">
        <v>335</v>
      </c>
      <c r="AA1663" s="1114"/>
      <c r="AB1663" s="1114" t="s">
        <v>380</v>
      </c>
      <c r="AC1663" s="1117">
        <v>4.0</v>
      </c>
      <c r="AD1663" s="1115"/>
      <c r="AE1663" s="1115"/>
      <c r="AF1663" s="1115"/>
      <c r="AG1663" s="1115"/>
      <c r="AH1663" s="1115"/>
      <c r="AI1663" s="1115"/>
      <c r="AJ1663" s="1117"/>
      <c r="AK1663" s="1118"/>
      <c r="AL1663" s="1115"/>
      <c r="AM1663" s="1115"/>
      <c r="AN1663" s="1115"/>
      <c r="AO1663" s="1115"/>
      <c r="AP1663" s="1115"/>
      <c r="AQ1663" s="1115"/>
      <c r="AR1663" s="1115"/>
      <c r="AS1663" s="1117"/>
      <c r="AT1663" s="1196" t="str">
        <f t="shared" si="179"/>
        <v>0-1</v>
      </c>
      <c r="AU1663" s="945" t="s">
        <v>846</v>
      </c>
      <c r="AV1663" s="330">
        <f>SQRT(($R1663-Infrastructure!J$3)^2+($S1663-Infrastructure!K$3)^2)</f>
        <v>24.42048321</v>
      </c>
      <c r="AW1663" s="331">
        <f>SQRT(($R1663-Infrastructure!J$4)^2+($S1663-Infrastructure!K$4)^2)</f>
        <v>30.90129447</v>
      </c>
      <c r="AX1663" s="331">
        <f>SQRT(($R1663-Infrastructure!J$5)^2+($S1663-Infrastructure!K$5)^2)</f>
        <v>40.83331973</v>
      </c>
      <c r="AY1663" s="331">
        <f>SQRT(($R1663-Infrastructure!J$6)^2+($S1663-Infrastructure!K$6)^2)</f>
        <v>40.88031311</v>
      </c>
      <c r="AZ1663" s="331">
        <f>SQRT(($R1663-Infrastructure!J$7)^2+($S1663-Infrastructure!K$7)^2)</f>
        <v>39.21836305</v>
      </c>
      <c r="BA1663" s="331">
        <f>SQRT(($R1663-Infrastructure!J$8)^2+($S1663-Infrastructure!K$8)^2)</f>
        <v>40.08989898</v>
      </c>
      <c r="BB1663" s="331">
        <f>SQRT(($R1663-Infrastructure!J$9)^2+($S1663-Infrastructure!K$9)^2)</f>
        <v>38.96472764</v>
      </c>
      <c r="BC1663" s="331">
        <f>SQRT(($R1663-Infrastructure!J$10)^2+($S1663-Infrastructure!K$10)^2)</f>
        <v>30.58005886</v>
      </c>
      <c r="BD1663" s="331">
        <f>SQRT(($R1663-Infrastructure!J$11)^2+($S1663-Infrastructure!K$11)^2)</f>
        <v>21.27204739</v>
      </c>
      <c r="BE1663" s="333">
        <f>SQRT(($R1663-Infrastructure!J$12)^2+($S1663-Infrastructure!K$12)^2)</f>
        <v>16.00124995</v>
      </c>
      <c r="BF1663" s="330">
        <f t="shared" si="161"/>
        <v>16.00124995</v>
      </c>
      <c r="BG1663" s="333">
        <f t="shared" si="162"/>
        <v>40.88031311</v>
      </c>
      <c r="BH1663" s="1119"/>
      <c r="BI1663" s="319" t="str">
        <f t="shared" ref="BI1663:BR1663" si="200">IF(ISNUMBER(FIND(BI$3, $CO1663)), "Y", "")</f>
        <v>Y</v>
      </c>
      <c r="BJ1663" s="319" t="str">
        <f t="shared" si="200"/>
        <v/>
      </c>
      <c r="BK1663" s="319" t="str">
        <f t="shared" si="200"/>
        <v>Y</v>
      </c>
      <c r="BL1663" s="319" t="str">
        <f t="shared" si="200"/>
        <v/>
      </c>
      <c r="BM1663" s="319" t="str">
        <f t="shared" si="200"/>
        <v/>
      </c>
      <c r="BN1663" s="319" t="str">
        <f t="shared" si="200"/>
        <v>Y</v>
      </c>
      <c r="BO1663" s="319" t="str">
        <f t="shared" si="200"/>
        <v/>
      </c>
      <c r="BP1663" s="319" t="str">
        <f t="shared" si="200"/>
        <v/>
      </c>
      <c r="BQ1663" s="319" t="str">
        <f t="shared" si="200"/>
        <v>Y</v>
      </c>
      <c r="BR1663" s="319" t="str">
        <f t="shared" si="200"/>
        <v>Y</v>
      </c>
      <c r="BS1663" s="330">
        <f t="shared" si="185"/>
        <v>16.00124995</v>
      </c>
      <c r="BT1663" s="331">
        <f t="shared" si="170"/>
        <v>40.83331973</v>
      </c>
      <c r="BU1663" s="1250">
        <v>0.37061342592592594</v>
      </c>
      <c r="BV1663" s="903">
        <f t="shared" si="186"/>
        <v>0.0009953703704</v>
      </c>
      <c r="BW1663" s="908">
        <v>10.5</v>
      </c>
      <c r="BX1663" s="908">
        <v>35.8</v>
      </c>
      <c r="BY1663" s="331">
        <f t="shared" si="201"/>
        <v>11.79533806</v>
      </c>
      <c r="BZ1663" s="331"/>
      <c r="CA1663" s="462" t="str">
        <f t="shared" ref="CA1663:CJ1663" si="202">IF(ISNUMBER(FIND(BI$3, $CP1663)), "Y", "")</f>
        <v>Y</v>
      </c>
      <c r="CB1663" s="319" t="str">
        <f t="shared" si="202"/>
        <v>Y</v>
      </c>
      <c r="CC1663" s="319" t="str">
        <f t="shared" si="202"/>
        <v>Y</v>
      </c>
      <c r="CD1663" s="319" t="str">
        <f t="shared" si="202"/>
        <v>Y</v>
      </c>
      <c r="CE1663" s="319" t="str">
        <f t="shared" si="202"/>
        <v>Y</v>
      </c>
      <c r="CF1663" s="319" t="str">
        <f t="shared" si="202"/>
        <v>Y</v>
      </c>
      <c r="CG1663" s="319" t="str">
        <f t="shared" si="202"/>
        <v>Y</v>
      </c>
      <c r="CH1663" s="319" t="str">
        <f t="shared" si="202"/>
        <v>Y</v>
      </c>
      <c r="CI1663" s="319" t="str">
        <f t="shared" si="202"/>
        <v>Y</v>
      </c>
      <c r="CJ1663" s="319" t="str">
        <f t="shared" si="202"/>
        <v>Y</v>
      </c>
      <c r="CK1663" s="342">
        <f t="shared" si="182"/>
        <v>16.00124995</v>
      </c>
      <c r="CL1663" s="333">
        <f t="shared" si="183"/>
        <v>40.88031311</v>
      </c>
      <c r="CM1663" s="1079" t="s">
        <v>2362</v>
      </c>
      <c r="CN1663" s="1005" t="s">
        <v>2363</v>
      </c>
      <c r="CO1663" s="1005" t="s">
        <v>2364</v>
      </c>
      <c r="CP1663" s="1005" t="s">
        <v>2365</v>
      </c>
    </row>
    <row r="1664">
      <c r="A1664" s="797"/>
      <c r="B1664" s="1113" t="s">
        <v>2343</v>
      </c>
      <c r="C1664" s="1107">
        <v>45407.0</v>
      </c>
      <c r="D1664" s="1113" t="s">
        <v>986</v>
      </c>
      <c r="E1664" s="1108" t="s">
        <v>1267</v>
      </c>
      <c r="F1664" s="112" t="s">
        <v>2367</v>
      </c>
      <c r="G1664" s="1110">
        <v>0.41064814814814815</v>
      </c>
      <c r="H1664" s="1110">
        <v>0.41180555555555554</v>
      </c>
      <c r="I1664" s="1110"/>
      <c r="J1664" s="1111"/>
      <c r="K1664" s="1111">
        <v>0.42569444444444443</v>
      </c>
      <c r="L1664" s="1112">
        <v>0.013888888888888888</v>
      </c>
      <c r="M1664" s="1113" t="s">
        <v>168</v>
      </c>
      <c r="N1664" s="110" t="s">
        <v>188</v>
      </c>
      <c r="O1664" s="1115" t="s">
        <v>196</v>
      </c>
      <c r="P1664" s="1115" t="s">
        <v>267</v>
      </c>
      <c r="Q1664" s="1115" t="s">
        <v>842</v>
      </c>
      <c r="R1664" s="120">
        <v>21.7</v>
      </c>
      <c r="S1664" s="1113">
        <v>39.5</v>
      </c>
      <c r="T1664" s="110">
        <v>2.5</v>
      </c>
      <c r="U1664" s="1108">
        <v>83.4</v>
      </c>
      <c r="V1664" s="1108"/>
      <c r="W1664" s="1108"/>
      <c r="X1664" s="1108"/>
      <c r="Y1664" s="1108"/>
      <c r="Z1664" s="1114" t="s">
        <v>387</v>
      </c>
      <c r="AA1664" s="1114"/>
      <c r="AB1664" s="1114" t="s">
        <v>416</v>
      </c>
      <c r="AC1664" s="1117">
        <v>52.5</v>
      </c>
      <c r="AD1664" s="1115"/>
      <c r="AE1664" s="1115"/>
      <c r="AF1664" s="1115"/>
      <c r="AG1664" s="1115"/>
      <c r="AH1664" s="1115"/>
      <c r="AI1664" s="1115"/>
      <c r="AJ1664" s="1117"/>
      <c r="AK1664" s="1118"/>
      <c r="AL1664" s="1115"/>
      <c r="AM1664" s="1115"/>
      <c r="AN1664" s="1115"/>
      <c r="AO1664" s="1115"/>
      <c r="AP1664" s="1115"/>
      <c r="AQ1664" s="1115"/>
      <c r="AR1664" s="1115"/>
      <c r="AS1664" s="1117"/>
      <c r="AT1664" s="1196" t="str">
        <f t="shared" si="179"/>
        <v>10+</v>
      </c>
      <c r="AU1664" s="945" t="s">
        <v>846</v>
      </c>
      <c r="AV1664" s="330">
        <f>SQRT(($R1664-Infrastructure!J$3)^2+($S1664-Infrastructure!K$3)^2)</f>
        <v>24.42048321</v>
      </c>
      <c r="AW1664" s="331">
        <f>SQRT(($R1664-Infrastructure!J$4)^2+($S1664-Infrastructure!K$4)^2)</f>
        <v>30.90129447</v>
      </c>
      <c r="AX1664" s="331">
        <f>SQRT(($R1664-Infrastructure!J$5)^2+($S1664-Infrastructure!K$5)^2)</f>
        <v>40.83331973</v>
      </c>
      <c r="AY1664" s="331">
        <f>SQRT(($R1664-Infrastructure!J$6)^2+($S1664-Infrastructure!K$6)^2)</f>
        <v>40.88031311</v>
      </c>
      <c r="AZ1664" s="331">
        <f>SQRT(($R1664-Infrastructure!J$7)^2+($S1664-Infrastructure!K$7)^2)</f>
        <v>39.21836305</v>
      </c>
      <c r="BA1664" s="331">
        <f>SQRT(($R1664-Infrastructure!J$8)^2+($S1664-Infrastructure!K$8)^2)</f>
        <v>40.08989898</v>
      </c>
      <c r="BB1664" s="331">
        <f>SQRT(($R1664-Infrastructure!J$9)^2+($S1664-Infrastructure!K$9)^2)</f>
        <v>38.96472764</v>
      </c>
      <c r="BC1664" s="331">
        <f>SQRT(($R1664-Infrastructure!J$10)^2+($S1664-Infrastructure!K$10)^2)</f>
        <v>30.58005886</v>
      </c>
      <c r="BD1664" s="331">
        <f>SQRT(($R1664-Infrastructure!J$11)^2+($S1664-Infrastructure!K$11)^2)</f>
        <v>21.27204739</v>
      </c>
      <c r="BE1664" s="333">
        <f>SQRT(($R1664-Infrastructure!J$12)^2+($S1664-Infrastructure!K$12)^2)</f>
        <v>16.00124995</v>
      </c>
      <c r="BF1664" s="330">
        <f t="shared" si="161"/>
        <v>16.00124995</v>
      </c>
      <c r="BG1664" s="333">
        <f t="shared" si="162"/>
        <v>40.88031311</v>
      </c>
      <c r="BH1664" s="1119"/>
      <c r="BI1664" s="319" t="str">
        <f t="shared" ref="BI1664:BR1664" si="203">IF(ISNUMBER(FIND(BI$3, $CO1664)), "Y", "")</f>
        <v/>
      </c>
      <c r="BJ1664" s="319" t="str">
        <f t="shared" si="203"/>
        <v/>
      </c>
      <c r="BK1664" s="319" t="str">
        <f t="shared" si="203"/>
        <v/>
      </c>
      <c r="BL1664" s="319" t="str">
        <f t="shared" si="203"/>
        <v/>
      </c>
      <c r="BM1664" s="319" t="str">
        <f t="shared" si="203"/>
        <v/>
      </c>
      <c r="BN1664" s="319" t="str">
        <f t="shared" si="203"/>
        <v/>
      </c>
      <c r="BO1664" s="319" t="str">
        <f t="shared" si="203"/>
        <v/>
      </c>
      <c r="BP1664" s="319" t="str">
        <f t="shared" si="203"/>
        <v/>
      </c>
      <c r="BQ1664" s="319" t="str">
        <f t="shared" si="203"/>
        <v/>
      </c>
      <c r="BR1664" s="319" t="str">
        <f t="shared" si="203"/>
        <v/>
      </c>
      <c r="BS1664" s="330">
        <f t="shared" si="185"/>
        <v>0</v>
      </c>
      <c r="BT1664" s="331">
        <f t="shared" si="170"/>
        <v>0</v>
      </c>
      <c r="BU1664" s="920"/>
      <c r="BV1664" s="903" t="str">
        <f t="shared" si="186"/>
        <v/>
      </c>
      <c r="BW1664" s="908"/>
      <c r="BX1664" s="908"/>
      <c r="BY1664" s="331" t="b">
        <f t="shared" si="201"/>
        <v>0</v>
      </c>
      <c r="BZ1664" s="331"/>
      <c r="CA1664" s="462" t="str">
        <f t="shared" ref="CA1664:CJ1664" si="204">IF(ISNUMBER(FIND(BI$3, $CP1664)), "Y", "")</f>
        <v>Y</v>
      </c>
      <c r="CB1664" s="319" t="str">
        <f t="shared" si="204"/>
        <v>Y</v>
      </c>
      <c r="CC1664" s="319" t="str">
        <f t="shared" si="204"/>
        <v>Y</v>
      </c>
      <c r="CD1664" s="319" t="str">
        <f t="shared" si="204"/>
        <v/>
      </c>
      <c r="CE1664" s="319" t="str">
        <f t="shared" si="204"/>
        <v>Y</v>
      </c>
      <c r="CF1664" s="319" t="str">
        <f t="shared" si="204"/>
        <v>Y</v>
      </c>
      <c r="CG1664" s="319" t="str">
        <f t="shared" si="204"/>
        <v>Y</v>
      </c>
      <c r="CH1664" s="319" t="str">
        <f t="shared" si="204"/>
        <v>Y</v>
      </c>
      <c r="CI1664" s="319" t="str">
        <f t="shared" si="204"/>
        <v>Y</v>
      </c>
      <c r="CJ1664" s="319" t="str">
        <f t="shared" si="204"/>
        <v>Y</v>
      </c>
      <c r="CK1664" s="342">
        <f t="shared" si="182"/>
        <v>16.00124995</v>
      </c>
      <c r="CL1664" s="333">
        <f t="shared" si="183"/>
        <v>40.83331973</v>
      </c>
      <c r="CM1664" s="1079" t="s">
        <v>2362</v>
      </c>
      <c r="CN1664" s="1005" t="s">
        <v>2363</v>
      </c>
      <c r="CO1664" s="1005"/>
      <c r="CP1664" s="1005" t="s">
        <v>2368</v>
      </c>
    </row>
    <row r="1665">
      <c r="A1665" s="797"/>
      <c r="B1665" s="1113" t="s">
        <v>2343</v>
      </c>
      <c r="C1665" s="1107">
        <v>45407.0</v>
      </c>
      <c r="D1665" s="1113" t="s">
        <v>986</v>
      </c>
      <c r="E1665" s="1108" t="s">
        <v>1269</v>
      </c>
      <c r="F1665" s="112" t="s">
        <v>2369</v>
      </c>
      <c r="G1665" s="1110">
        <v>0.4099537037037037</v>
      </c>
      <c r="H1665" s="1110">
        <v>0.4111111111111111</v>
      </c>
      <c r="I1665" s="1110"/>
      <c r="J1665" s="1111"/>
      <c r="K1665" s="1111">
        <v>0.4263888888888889</v>
      </c>
      <c r="L1665" s="1112">
        <v>0.015277777777777777</v>
      </c>
      <c r="M1665" s="1113" t="s">
        <v>166</v>
      </c>
      <c r="N1665" s="110" t="s">
        <v>188</v>
      </c>
      <c r="O1665" s="1115" t="s">
        <v>196</v>
      </c>
      <c r="P1665" s="1115" t="s">
        <v>267</v>
      </c>
      <c r="Q1665" s="1115" t="s">
        <v>842</v>
      </c>
      <c r="R1665" s="120">
        <v>21.7</v>
      </c>
      <c r="S1665" s="1113">
        <v>39.5</v>
      </c>
      <c r="T1665" s="110">
        <v>2.5</v>
      </c>
      <c r="U1665" s="1108">
        <v>0.15</v>
      </c>
      <c r="V1665" s="1108"/>
      <c r="W1665" s="1108"/>
      <c r="X1665" s="1108"/>
      <c r="Y1665" s="1108"/>
      <c r="Z1665" s="1114" t="s">
        <v>335</v>
      </c>
      <c r="AA1665" s="1114"/>
      <c r="AB1665" s="1114" t="s">
        <v>380</v>
      </c>
      <c r="AC1665" s="1117">
        <v>4.0</v>
      </c>
      <c r="AD1665" s="1115"/>
      <c r="AE1665" s="1115"/>
      <c r="AF1665" s="1115"/>
      <c r="AG1665" s="1115"/>
      <c r="AH1665" s="1115"/>
      <c r="AI1665" s="1115"/>
      <c r="AJ1665" s="1117"/>
      <c r="AK1665" s="1118"/>
      <c r="AL1665" s="1115"/>
      <c r="AM1665" s="1115"/>
      <c r="AN1665" s="1115"/>
      <c r="AO1665" s="1115"/>
      <c r="AP1665" s="1115"/>
      <c r="AQ1665" s="1115"/>
      <c r="AR1665" s="1115"/>
      <c r="AS1665" s="1117"/>
      <c r="AT1665" s="1196" t="str">
        <f t="shared" si="179"/>
        <v>0-1</v>
      </c>
      <c r="AU1665" s="945" t="s">
        <v>846</v>
      </c>
      <c r="AV1665" s="330">
        <f>SQRT(($R1665-Infrastructure!J$3)^2+($S1665-Infrastructure!K$3)^2)</f>
        <v>24.42048321</v>
      </c>
      <c r="AW1665" s="331">
        <f>SQRT(($R1665-Infrastructure!J$4)^2+($S1665-Infrastructure!K$4)^2)</f>
        <v>30.90129447</v>
      </c>
      <c r="AX1665" s="331">
        <f>SQRT(($R1665-Infrastructure!J$5)^2+($S1665-Infrastructure!K$5)^2)</f>
        <v>40.83331973</v>
      </c>
      <c r="AY1665" s="331">
        <f>SQRT(($R1665-Infrastructure!J$6)^2+($S1665-Infrastructure!K$6)^2)</f>
        <v>40.88031311</v>
      </c>
      <c r="AZ1665" s="331">
        <f>SQRT(($R1665-Infrastructure!J$7)^2+($S1665-Infrastructure!K$7)^2)</f>
        <v>39.21836305</v>
      </c>
      <c r="BA1665" s="331">
        <f>SQRT(($R1665-Infrastructure!J$8)^2+($S1665-Infrastructure!K$8)^2)</f>
        <v>40.08989898</v>
      </c>
      <c r="BB1665" s="331">
        <f>SQRT(($R1665-Infrastructure!J$9)^2+($S1665-Infrastructure!K$9)^2)</f>
        <v>38.96472764</v>
      </c>
      <c r="BC1665" s="331">
        <f>SQRT(($R1665-Infrastructure!J$10)^2+($S1665-Infrastructure!K$10)^2)</f>
        <v>30.58005886</v>
      </c>
      <c r="BD1665" s="331">
        <f>SQRT(($R1665-Infrastructure!J$11)^2+($S1665-Infrastructure!K$11)^2)</f>
        <v>21.27204739</v>
      </c>
      <c r="BE1665" s="333">
        <f>SQRT(($R1665-Infrastructure!J$12)^2+($S1665-Infrastructure!K$12)^2)</f>
        <v>16.00124995</v>
      </c>
      <c r="BF1665" s="330">
        <f t="shared" si="161"/>
        <v>16.00124995</v>
      </c>
      <c r="BG1665" s="333">
        <f t="shared" si="162"/>
        <v>40.88031311</v>
      </c>
      <c r="BH1665" s="1119"/>
      <c r="BI1665" s="319" t="str">
        <f t="shared" ref="BI1665:BR1665" si="205">IF(ISNUMBER(FIND(BI$3, $CO1665)), "Y", "")</f>
        <v/>
      </c>
      <c r="BJ1665" s="319" t="str">
        <f t="shared" si="205"/>
        <v/>
      </c>
      <c r="BK1665" s="319" t="str">
        <f t="shared" si="205"/>
        <v/>
      </c>
      <c r="BL1665" s="319" t="str">
        <f t="shared" si="205"/>
        <v/>
      </c>
      <c r="BM1665" s="319" t="str">
        <f t="shared" si="205"/>
        <v/>
      </c>
      <c r="BN1665" s="319" t="str">
        <f t="shared" si="205"/>
        <v/>
      </c>
      <c r="BO1665" s="319" t="str">
        <f t="shared" si="205"/>
        <v/>
      </c>
      <c r="BP1665" s="319" t="str">
        <f t="shared" si="205"/>
        <v/>
      </c>
      <c r="BQ1665" s="319" t="str">
        <f t="shared" si="205"/>
        <v/>
      </c>
      <c r="BR1665" s="319" t="str">
        <f t="shared" si="205"/>
        <v/>
      </c>
      <c r="BS1665" s="330">
        <f t="shared" si="185"/>
        <v>0</v>
      </c>
      <c r="BT1665" s="331">
        <f t="shared" si="170"/>
        <v>0</v>
      </c>
      <c r="BU1665" s="920"/>
      <c r="BV1665" s="903" t="str">
        <f t="shared" si="186"/>
        <v/>
      </c>
      <c r="BW1665" s="908"/>
      <c r="BX1665" s="908"/>
      <c r="BY1665" s="331" t="b">
        <f t="shared" si="201"/>
        <v>0</v>
      </c>
      <c r="BZ1665" s="331"/>
      <c r="CA1665" s="462" t="str">
        <f t="shared" ref="CA1665:CJ1665" si="206">IF(ISNUMBER(FIND(BI$3, $CP1665)), "Y", "")</f>
        <v>Y</v>
      </c>
      <c r="CB1665" s="319" t="str">
        <f t="shared" si="206"/>
        <v>Y</v>
      </c>
      <c r="CC1665" s="319" t="str">
        <f t="shared" si="206"/>
        <v>Y</v>
      </c>
      <c r="CD1665" s="319" t="str">
        <f t="shared" si="206"/>
        <v/>
      </c>
      <c r="CE1665" s="319" t="str">
        <f t="shared" si="206"/>
        <v>Y</v>
      </c>
      <c r="CF1665" s="319" t="str">
        <f t="shared" si="206"/>
        <v>Y</v>
      </c>
      <c r="CG1665" s="319" t="str">
        <f t="shared" si="206"/>
        <v>Y</v>
      </c>
      <c r="CH1665" s="319" t="str">
        <f t="shared" si="206"/>
        <v>Y</v>
      </c>
      <c r="CI1665" s="319" t="str">
        <f t="shared" si="206"/>
        <v>Y</v>
      </c>
      <c r="CJ1665" s="319" t="str">
        <f t="shared" si="206"/>
        <v>Y</v>
      </c>
      <c r="CK1665" s="342">
        <f t="shared" si="182"/>
        <v>16.00124995</v>
      </c>
      <c r="CL1665" s="333">
        <f t="shared" si="183"/>
        <v>40.83331973</v>
      </c>
      <c r="CM1665" s="1079" t="s">
        <v>2362</v>
      </c>
      <c r="CN1665" s="1005" t="s">
        <v>2363</v>
      </c>
      <c r="CO1665" s="1005"/>
      <c r="CP1665" s="1005" t="s">
        <v>2368</v>
      </c>
    </row>
    <row r="1666">
      <c r="A1666" s="797"/>
      <c r="B1666" s="1113" t="s">
        <v>2343</v>
      </c>
      <c r="C1666" s="1107">
        <v>45407.0</v>
      </c>
      <c r="D1666" s="1113" t="s">
        <v>986</v>
      </c>
      <c r="E1666" s="1108">
        <v>10.0</v>
      </c>
      <c r="F1666" s="112" t="s">
        <v>2370</v>
      </c>
      <c r="G1666" s="1110">
        <v>0.4395833333333333</v>
      </c>
      <c r="H1666" s="1110">
        <v>0.43993055555555555</v>
      </c>
      <c r="I1666" s="1110"/>
      <c r="J1666" s="1111"/>
      <c r="K1666" s="1111">
        <v>0.4802662037037037</v>
      </c>
      <c r="L1666" s="1112">
        <v>0.04033564814814815</v>
      </c>
      <c r="M1666" s="1113" t="s">
        <v>166</v>
      </c>
      <c r="N1666" s="110" t="s">
        <v>187</v>
      </c>
      <c r="O1666" s="1115" t="s">
        <v>203</v>
      </c>
      <c r="P1666" s="1115" t="s">
        <v>227</v>
      </c>
      <c r="Q1666" s="1115" t="s">
        <v>842</v>
      </c>
      <c r="R1666" s="120">
        <v>15.5</v>
      </c>
      <c r="S1666" s="1113">
        <v>3.4</v>
      </c>
      <c r="T1666" s="110">
        <v>1.4</v>
      </c>
      <c r="U1666" s="1108">
        <v>0.02</v>
      </c>
      <c r="V1666" s="1108"/>
      <c r="W1666" s="1108"/>
      <c r="X1666" s="1108"/>
      <c r="Y1666" s="1108"/>
      <c r="Z1666" s="1114" t="s">
        <v>1690</v>
      </c>
      <c r="AA1666" s="1114"/>
      <c r="AB1666" s="1114" t="s">
        <v>371</v>
      </c>
      <c r="AC1666" s="1117">
        <v>1.8</v>
      </c>
      <c r="AD1666" s="1115"/>
      <c r="AE1666" s="1115"/>
      <c r="AF1666" s="1115"/>
      <c r="AG1666" s="1115"/>
      <c r="AH1666" s="1115"/>
      <c r="AI1666" s="1115"/>
      <c r="AJ1666" s="1117"/>
      <c r="AK1666" s="1118"/>
      <c r="AL1666" s="1115"/>
      <c r="AM1666" s="1115"/>
      <c r="AN1666" s="1115"/>
      <c r="AO1666" s="1115"/>
      <c r="AP1666" s="1115"/>
      <c r="AQ1666" s="1115"/>
      <c r="AR1666" s="1115"/>
      <c r="AS1666" s="1117"/>
      <c r="AT1666" s="1196" t="str">
        <f t="shared" si="179"/>
        <v>0-1</v>
      </c>
      <c r="AU1666" s="1193"/>
      <c r="AV1666" s="330">
        <f>SQRT(($R1666-Infrastructure!J$3)^2+($S1666-Infrastructure!K$3)^2)</f>
        <v>29.99816661</v>
      </c>
      <c r="AW1666" s="331">
        <f>SQRT(($R1666-Infrastructure!J$4)^2+($S1666-Infrastructure!K$4)^2)</f>
        <v>21.37755833</v>
      </c>
      <c r="AX1666" s="331">
        <f>SQRT(($R1666-Infrastructure!J$5)^2+($S1666-Infrastructure!K$5)^2)</f>
        <v>15.89119253</v>
      </c>
      <c r="AY1666" s="331">
        <f>SQRT(($R1666-Infrastructure!J$6)^2+($S1666-Infrastructure!K$6)^2)</f>
        <v>6.22655603</v>
      </c>
      <c r="AZ1666" s="331">
        <f>SQRT(($R1666-Infrastructure!J$7)^2+($S1666-Infrastructure!K$7)^2)</f>
        <v>5.883026432</v>
      </c>
      <c r="BA1666" s="331">
        <f>SQRT(($R1666-Infrastructure!J$8)^2+($S1666-Infrastructure!K$8)^2)</f>
        <v>14.92548157</v>
      </c>
      <c r="BB1666" s="331">
        <f>SQRT(($R1666-Infrastructure!J$9)^2+($S1666-Infrastructure!K$9)^2)</f>
        <v>24.55890877</v>
      </c>
      <c r="BC1666" s="331">
        <f>SQRT(($R1666-Infrastructure!J$10)^2+($S1666-Infrastructure!K$10)^2)</f>
        <v>27.10737907</v>
      </c>
      <c r="BD1666" s="331">
        <f>SQRT(($R1666-Infrastructure!J$11)^2+($S1666-Infrastructure!K$11)^2)</f>
        <v>35.57316404</v>
      </c>
      <c r="BE1666" s="333">
        <f>SQRT(($R1666-Infrastructure!J$12)^2+($S1666-Infrastructure!K$12)^2)</f>
        <v>52.44435146</v>
      </c>
      <c r="BF1666" s="330">
        <f t="shared" si="161"/>
        <v>5.883026432</v>
      </c>
      <c r="BG1666" s="333">
        <f t="shared" si="162"/>
        <v>52.44435146</v>
      </c>
      <c r="BH1666" s="1119"/>
      <c r="BI1666" s="319" t="str">
        <f t="shared" ref="BI1666:BR1666" si="207">IF(ISNUMBER(FIND(BI$3, $CO1666)), "Y", "")</f>
        <v/>
      </c>
      <c r="BJ1666" s="319" t="str">
        <f t="shared" si="207"/>
        <v/>
      </c>
      <c r="BK1666" s="319" t="str">
        <f t="shared" si="207"/>
        <v/>
      </c>
      <c r="BL1666" s="319" t="str">
        <f t="shared" si="207"/>
        <v/>
      </c>
      <c r="BM1666" s="319" t="str">
        <f t="shared" si="207"/>
        <v/>
      </c>
      <c r="BN1666" s="319" t="str">
        <f t="shared" si="207"/>
        <v/>
      </c>
      <c r="BO1666" s="319" t="str">
        <f t="shared" si="207"/>
        <v/>
      </c>
      <c r="BP1666" s="319" t="str">
        <f t="shared" si="207"/>
        <v/>
      </c>
      <c r="BQ1666" s="319" t="str">
        <f t="shared" si="207"/>
        <v/>
      </c>
      <c r="BR1666" s="319" t="str">
        <f t="shared" si="207"/>
        <v/>
      </c>
      <c r="BS1666" s="330">
        <f t="shared" si="185"/>
        <v>0</v>
      </c>
      <c r="BT1666" s="331">
        <f t="shared" si="170"/>
        <v>0</v>
      </c>
      <c r="BU1666" s="920"/>
      <c r="BV1666" s="903" t="str">
        <f t="shared" si="186"/>
        <v/>
      </c>
      <c r="BW1666" s="908"/>
      <c r="BX1666" s="908"/>
      <c r="BY1666" s="331" t="b">
        <f t="shared" si="201"/>
        <v>0</v>
      </c>
      <c r="BZ1666" s="331"/>
      <c r="CA1666" s="462" t="str">
        <f t="shared" ref="CA1666:CJ1666" si="208">IF(ISNUMBER(FIND(BI$3, $CP1666)), "Y", "")</f>
        <v/>
      </c>
      <c r="CB1666" s="319" t="str">
        <f t="shared" si="208"/>
        <v/>
      </c>
      <c r="CC1666" s="319" t="str">
        <f t="shared" si="208"/>
        <v/>
      </c>
      <c r="CD1666" s="319" t="str">
        <f t="shared" si="208"/>
        <v>Y</v>
      </c>
      <c r="CE1666" s="319" t="str">
        <f t="shared" si="208"/>
        <v>Y</v>
      </c>
      <c r="CF1666" s="319" t="str">
        <f t="shared" si="208"/>
        <v>Y</v>
      </c>
      <c r="CG1666" s="319" t="str">
        <f t="shared" si="208"/>
        <v>Y</v>
      </c>
      <c r="CH1666" s="319" t="str">
        <f t="shared" si="208"/>
        <v>Y</v>
      </c>
      <c r="CI1666" s="319" t="str">
        <f t="shared" si="208"/>
        <v>Y</v>
      </c>
      <c r="CJ1666" s="319" t="str">
        <f t="shared" si="208"/>
        <v/>
      </c>
      <c r="CK1666" s="342">
        <f t="shared" si="182"/>
        <v>5.883026432</v>
      </c>
      <c r="CL1666" s="333">
        <f t="shared" si="183"/>
        <v>35.57316404</v>
      </c>
      <c r="CM1666" s="1079" t="s">
        <v>2345</v>
      </c>
      <c r="CN1666" s="1005" t="s">
        <v>2363</v>
      </c>
      <c r="CO1666" s="1005"/>
      <c r="CP1666" s="1005" t="s">
        <v>2371</v>
      </c>
    </row>
    <row r="1667">
      <c r="A1667" s="797"/>
      <c r="B1667" s="1113" t="s">
        <v>2343</v>
      </c>
      <c r="C1667" s="1107">
        <v>45407.0</v>
      </c>
      <c r="D1667" s="1113" t="s">
        <v>986</v>
      </c>
      <c r="E1667" s="1108" t="s">
        <v>1356</v>
      </c>
      <c r="F1667" s="112" t="s">
        <v>2372</v>
      </c>
      <c r="G1667" s="1110">
        <v>0.48663194444444446</v>
      </c>
      <c r="H1667" s="1110">
        <v>0.48680555555555555</v>
      </c>
      <c r="I1667" s="1110"/>
      <c r="J1667" s="1111"/>
      <c r="K1667" s="1111">
        <v>0.515162037037037</v>
      </c>
      <c r="L1667" s="1112">
        <v>0.028356481481481483</v>
      </c>
      <c r="M1667" s="1113" t="s">
        <v>166</v>
      </c>
      <c r="N1667" s="110" t="s">
        <v>187</v>
      </c>
      <c r="O1667" s="1115" t="s">
        <v>198</v>
      </c>
      <c r="P1667" s="1115" t="s">
        <v>223</v>
      </c>
      <c r="Q1667" s="1116"/>
      <c r="R1667" s="120">
        <v>10.0</v>
      </c>
      <c r="S1667" s="1113">
        <v>11.7</v>
      </c>
      <c r="T1667" s="110">
        <v>0.5</v>
      </c>
      <c r="U1667" s="1108">
        <v>0.04</v>
      </c>
      <c r="V1667" s="1108"/>
      <c r="W1667" s="1108"/>
      <c r="X1667" s="1108"/>
      <c r="Y1667" s="1108"/>
      <c r="Z1667" s="1114" t="s">
        <v>1690</v>
      </c>
      <c r="AA1667" s="1114"/>
      <c r="AB1667" s="1114" t="s">
        <v>371</v>
      </c>
      <c r="AC1667" s="1117">
        <v>1.8</v>
      </c>
      <c r="AD1667" s="1115"/>
      <c r="AE1667" s="1115"/>
      <c r="AF1667" s="1115"/>
      <c r="AG1667" s="1115"/>
      <c r="AH1667" s="1115"/>
      <c r="AI1667" s="1115"/>
      <c r="AJ1667" s="1117"/>
      <c r="AK1667" s="1118"/>
      <c r="AL1667" s="1115"/>
      <c r="AM1667" s="1115"/>
      <c r="AN1667" s="1115"/>
      <c r="AO1667" s="1115"/>
      <c r="AP1667" s="1115"/>
      <c r="AQ1667" s="1115"/>
      <c r="AR1667" s="1115"/>
      <c r="AS1667" s="1117"/>
      <c r="AT1667" s="1196" t="str">
        <f t="shared" si="179"/>
        <v>0-1</v>
      </c>
      <c r="AU1667" s="945" t="s">
        <v>846</v>
      </c>
      <c r="AV1667" s="330">
        <f>SQRT(($R1667-Infrastructure!J$3)^2+($S1667-Infrastructure!K$3)^2)</f>
        <v>20.04819194</v>
      </c>
      <c r="AW1667" s="331">
        <f>SQRT(($R1667-Infrastructure!J$4)^2+($S1667-Infrastructure!K$4)^2)</f>
        <v>11.9707978</v>
      </c>
      <c r="AX1667" s="331">
        <f>SQRT(($R1667-Infrastructure!J$5)^2+($S1667-Infrastructure!K$5)^2)</f>
        <v>12.23315168</v>
      </c>
      <c r="AY1667" s="331">
        <f>SQRT(($R1667-Infrastructure!J$6)^2+($S1667-Infrastructure!K$6)^2)</f>
        <v>11.40043859</v>
      </c>
      <c r="AZ1667" s="331">
        <f>SQRT(($R1667-Infrastructure!J$7)^2+($S1667-Infrastructure!K$7)^2)</f>
        <v>15.49870962</v>
      </c>
      <c r="BA1667" s="331">
        <f>SQRT(($R1667-Infrastructure!J$8)^2+($S1667-Infrastructure!K$8)^2)</f>
        <v>23.10779089</v>
      </c>
      <c r="BB1667" s="331">
        <f>SQRT(($R1667-Infrastructure!J$9)^2+($S1667-Infrastructure!K$9)^2)</f>
        <v>30.71742177</v>
      </c>
      <c r="BC1667" s="331">
        <f>SQRT(($R1667-Infrastructure!J$10)^2+($S1667-Infrastructure!K$10)^2)</f>
        <v>30.18095426</v>
      </c>
      <c r="BD1667" s="331">
        <f>SQRT(($R1667-Infrastructure!J$11)^2+($S1667-Infrastructure!K$11)^2)</f>
        <v>34.80416642</v>
      </c>
      <c r="BE1667" s="333">
        <f>SQRT(($R1667-Infrastructure!J$12)^2+($S1667-Infrastructure!K$12)^2)</f>
        <v>45.28454482</v>
      </c>
      <c r="BF1667" s="330">
        <f t="shared" si="161"/>
        <v>11.40043859</v>
      </c>
      <c r="BG1667" s="333">
        <f t="shared" si="162"/>
        <v>45.28454482</v>
      </c>
      <c r="BH1667" s="1119"/>
      <c r="BI1667" s="319" t="str">
        <f t="shared" ref="BI1667:BR1667" si="209">IF(ISNUMBER(FIND(BI$3, $CO1667)), "Y", "")</f>
        <v/>
      </c>
      <c r="BJ1667" s="319" t="str">
        <f t="shared" si="209"/>
        <v/>
      </c>
      <c r="BK1667" s="319" t="str">
        <f t="shared" si="209"/>
        <v/>
      </c>
      <c r="BL1667" s="319" t="str">
        <f t="shared" si="209"/>
        <v/>
      </c>
      <c r="BM1667" s="319" t="str">
        <f t="shared" si="209"/>
        <v/>
      </c>
      <c r="BN1667" s="319" t="str">
        <f t="shared" si="209"/>
        <v/>
      </c>
      <c r="BO1667" s="319" t="str">
        <f t="shared" si="209"/>
        <v/>
      </c>
      <c r="BP1667" s="319" t="str">
        <f t="shared" si="209"/>
        <v/>
      </c>
      <c r="BQ1667" s="319" t="str">
        <f t="shared" si="209"/>
        <v/>
      </c>
      <c r="BR1667" s="319" t="str">
        <f t="shared" si="209"/>
        <v/>
      </c>
      <c r="BS1667" s="330">
        <f t="shared" si="185"/>
        <v>0</v>
      </c>
      <c r="BT1667" s="331">
        <f t="shared" si="170"/>
        <v>0</v>
      </c>
      <c r="BU1667" s="920"/>
      <c r="BV1667" s="903" t="str">
        <f t="shared" si="186"/>
        <v/>
      </c>
      <c r="BW1667" s="908"/>
      <c r="BX1667" s="908"/>
      <c r="BY1667" s="331" t="b">
        <f t="shared" si="201"/>
        <v>0</v>
      </c>
      <c r="BZ1667" s="331"/>
      <c r="CA1667" s="462" t="str">
        <f t="shared" ref="CA1667:CJ1667" si="210">IF(ISNUMBER(FIND(BI$3, $CP1667)), "Y", "")</f>
        <v/>
      </c>
      <c r="CB1667" s="319" t="str">
        <f t="shared" si="210"/>
        <v/>
      </c>
      <c r="CC1667" s="319" t="str">
        <f t="shared" si="210"/>
        <v/>
      </c>
      <c r="CD1667" s="319" t="str">
        <f t="shared" si="210"/>
        <v/>
      </c>
      <c r="CE1667" s="319" t="str">
        <f t="shared" si="210"/>
        <v>Y</v>
      </c>
      <c r="CF1667" s="319" t="str">
        <f t="shared" si="210"/>
        <v>Y</v>
      </c>
      <c r="CG1667" s="319" t="str">
        <f t="shared" si="210"/>
        <v>Y</v>
      </c>
      <c r="CH1667" s="319" t="str">
        <f t="shared" si="210"/>
        <v>Y</v>
      </c>
      <c r="CI1667" s="319" t="str">
        <f t="shared" si="210"/>
        <v>Y</v>
      </c>
      <c r="CJ1667" s="319" t="str">
        <f t="shared" si="210"/>
        <v/>
      </c>
      <c r="CK1667" s="342">
        <f t="shared" si="182"/>
        <v>15.49870962</v>
      </c>
      <c r="CL1667" s="333">
        <f t="shared" si="183"/>
        <v>34.80416642</v>
      </c>
      <c r="CM1667" s="1079" t="s">
        <v>2373</v>
      </c>
      <c r="CN1667" s="1005" t="s">
        <v>2363</v>
      </c>
      <c r="CO1667" s="1005"/>
      <c r="CP1667" s="1005" t="s">
        <v>2374</v>
      </c>
    </row>
    <row r="1668">
      <c r="A1668" s="797"/>
      <c r="B1668" s="1113" t="s">
        <v>2343</v>
      </c>
      <c r="C1668" s="1107">
        <v>45407.0</v>
      </c>
      <c r="D1668" s="1113" t="s">
        <v>986</v>
      </c>
      <c r="E1668" s="1108" t="s">
        <v>1360</v>
      </c>
      <c r="F1668" s="112" t="s">
        <v>2375</v>
      </c>
      <c r="G1668" s="1110">
        <v>0.48640046296296297</v>
      </c>
      <c r="H1668" s="1110">
        <v>0.48680555555555555</v>
      </c>
      <c r="I1668" s="1110"/>
      <c r="J1668" s="1111"/>
      <c r="K1668" s="1111">
        <v>0.5150462962962963</v>
      </c>
      <c r="L1668" s="1112">
        <v>0.02824074074074074</v>
      </c>
      <c r="M1668" s="1113" t="s">
        <v>166</v>
      </c>
      <c r="N1668" s="110" t="s">
        <v>187</v>
      </c>
      <c r="O1668" s="1115" t="s">
        <v>203</v>
      </c>
      <c r="P1668" s="1115" t="s">
        <v>227</v>
      </c>
      <c r="Q1668" s="1115" t="s">
        <v>842</v>
      </c>
      <c r="R1668" s="120">
        <v>15.5</v>
      </c>
      <c r="S1668" s="1113">
        <v>3.4</v>
      </c>
      <c r="T1668" s="110">
        <v>1.4</v>
      </c>
      <c r="U1668" s="1108">
        <v>0.01</v>
      </c>
      <c r="V1668" s="1108"/>
      <c r="W1668" s="1108"/>
      <c r="X1668" s="1108"/>
      <c r="Y1668" s="1108"/>
      <c r="Z1668" s="1114" t="s">
        <v>1702</v>
      </c>
      <c r="AA1668" s="1114"/>
      <c r="AB1668" s="1114" t="s">
        <v>371</v>
      </c>
      <c r="AC1668" s="1117">
        <v>1.8</v>
      </c>
      <c r="AD1668" s="1115"/>
      <c r="AE1668" s="1115"/>
      <c r="AF1668" s="1115"/>
      <c r="AG1668" s="1115"/>
      <c r="AH1668" s="1115"/>
      <c r="AI1668" s="1115"/>
      <c r="AJ1668" s="1117"/>
      <c r="AK1668" s="1118"/>
      <c r="AL1668" s="1115"/>
      <c r="AM1668" s="1115"/>
      <c r="AN1668" s="1115"/>
      <c r="AO1668" s="1115"/>
      <c r="AP1668" s="1115"/>
      <c r="AQ1668" s="1115"/>
      <c r="AR1668" s="1115"/>
      <c r="AS1668" s="1117"/>
      <c r="AT1668" s="1196" t="str">
        <f t="shared" si="179"/>
        <v>0-1</v>
      </c>
      <c r="AU1668" s="945" t="s">
        <v>846</v>
      </c>
      <c r="AV1668" s="330">
        <f>SQRT(($R1668-Infrastructure!J$3)^2+($S1668-Infrastructure!K$3)^2)</f>
        <v>29.99816661</v>
      </c>
      <c r="AW1668" s="331">
        <f>SQRT(($R1668-Infrastructure!J$4)^2+($S1668-Infrastructure!K$4)^2)</f>
        <v>21.37755833</v>
      </c>
      <c r="AX1668" s="331">
        <f>SQRT(($R1668-Infrastructure!J$5)^2+($S1668-Infrastructure!K$5)^2)</f>
        <v>15.89119253</v>
      </c>
      <c r="AY1668" s="331">
        <f>SQRT(($R1668-Infrastructure!J$6)^2+($S1668-Infrastructure!K$6)^2)</f>
        <v>6.22655603</v>
      </c>
      <c r="AZ1668" s="331">
        <f>SQRT(($R1668-Infrastructure!J$7)^2+($S1668-Infrastructure!K$7)^2)</f>
        <v>5.883026432</v>
      </c>
      <c r="BA1668" s="331">
        <f>SQRT(($R1668-Infrastructure!J$8)^2+($S1668-Infrastructure!K$8)^2)</f>
        <v>14.92548157</v>
      </c>
      <c r="BB1668" s="331">
        <f>SQRT(($R1668-Infrastructure!J$9)^2+($S1668-Infrastructure!K$9)^2)</f>
        <v>24.55890877</v>
      </c>
      <c r="BC1668" s="331">
        <f>SQRT(($R1668-Infrastructure!J$10)^2+($S1668-Infrastructure!K$10)^2)</f>
        <v>27.10737907</v>
      </c>
      <c r="BD1668" s="331">
        <f>SQRT(($R1668-Infrastructure!J$11)^2+($S1668-Infrastructure!K$11)^2)</f>
        <v>35.57316404</v>
      </c>
      <c r="BE1668" s="333">
        <f>SQRT(($R1668-Infrastructure!J$12)^2+($S1668-Infrastructure!K$12)^2)</f>
        <v>52.44435146</v>
      </c>
      <c r="BF1668" s="330">
        <f t="shared" si="161"/>
        <v>5.883026432</v>
      </c>
      <c r="BG1668" s="333">
        <f t="shared" si="162"/>
        <v>52.44435146</v>
      </c>
      <c r="BH1668" s="1119"/>
      <c r="BI1668" s="319" t="str">
        <f t="shared" ref="BI1668:BR1668" si="211">IF(ISNUMBER(FIND(BI$3, $CO1668)), "Y", "")</f>
        <v/>
      </c>
      <c r="BJ1668" s="319" t="str">
        <f t="shared" si="211"/>
        <v/>
      </c>
      <c r="BK1668" s="319" t="str">
        <f t="shared" si="211"/>
        <v/>
      </c>
      <c r="BL1668" s="319" t="str">
        <f t="shared" si="211"/>
        <v/>
      </c>
      <c r="BM1668" s="319" t="str">
        <f t="shared" si="211"/>
        <v/>
      </c>
      <c r="BN1668" s="319" t="str">
        <f t="shared" si="211"/>
        <v/>
      </c>
      <c r="BO1668" s="319" t="str">
        <f t="shared" si="211"/>
        <v/>
      </c>
      <c r="BP1668" s="319" t="str">
        <f t="shared" si="211"/>
        <v/>
      </c>
      <c r="BQ1668" s="319" t="str">
        <f t="shared" si="211"/>
        <v/>
      </c>
      <c r="BR1668" s="319" t="str">
        <f t="shared" si="211"/>
        <v/>
      </c>
      <c r="BS1668" s="330">
        <f t="shared" si="185"/>
        <v>0</v>
      </c>
      <c r="BT1668" s="331">
        <f t="shared" si="170"/>
        <v>0</v>
      </c>
      <c r="BU1668" s="920"/>
      <c r="BV1668" s="903" t="str">
        <f t="shared" si="186"/>
        <v/>
      </c>
      <c r="BW1668" s="908"/>
      <c r="BX1668" s="908"/>
      <c r="BY1668" s="331" t="b">
        <f t="shared" si="201"/>
        <v>0</v>
      </c>
      <c r="BZ1668" s="331"/>
      <c r="CA1668" s="462" t="str">
        <f t="shared" ref="CA1668:CJ1668" si="212">IF(ISNUMBER(FIND(BI$3, $CP1668)), "Y", "")</f>
        <v/>
      </c>
      <c r="CB1668" s="319" t="str">
        <f t="shared" si="212"/>
        <v/>
      </c>
      <c r="CC1668" s="319" t="str">
        <f t="shared" si="212"/>
        <v/>
      </c>
      <c r="CD1668" s="319" t="str">
        <f t="shared" si="212"/>
        <v/>
      </c>
      <c r="CE1668" s="319" t="str">
        <f t="shared" si="212"/>
        <v>Y</v>
      </c>
      <c r="CF1668" s="319" t="str">
        <f t="shared" si="212"/>
        <v>Y</v>
      </c>
      <c r="CG1668" s="319" t="str">
        <f t="shared" si="212"/>
        <v>Y</v>
      </c>
      <c r="CH1668" s="319" t="str">
        <f t="shared" si="212"/>
        <v>Y</v>
      </c>
      <c r="CI1668" s="319" t="str">
        <f t="shared" si="212"/>
        <v>Y</v>
      </c>
      <c r="CJ1668" s="319" t="str">
        <f t="shared" si="212"/>
        <v/>
      </c>
      <c r="CK1668" s="342">
        <f t="shared" si="182"/>
        <v>5.883026432</v>
      </c>
      <c r="CL1668" s="333">
        <f t="shared" si="183"/>
        <v>35.57316404</v>
      </c>
      <c r="CM1668" s="1079" t="s">
        <v>2373</v>
      </c>
      <c r="CN1668" s="1005" t="s">
        <v>2363</v>
      </c>
      <c r="CO1668" s="1005"/>
      <c r="CP1668" s="1005" t="s">
        <v>2374</v>
      </c>
    </row>
    <row r="1669">
      <c r="A1669" s="797"/>
      <c r="B1669" s="1113" t="s">
        <v>2343</v>
      </c>
      <c r="C1669" s="1107">
        <v>45407.0</v>
      </c>
      <c r="D1669" s="1113" t="s">
        <v>986</v>
      </c>
      <c r="E1669" s="1108" t="s">
        <v>1488</v>
      </c>
      <c r="F1669" s="112" t="s">
        <v>2376</v>
      </c>
      <c r="G1669" s="1110">
        <v>0.5207175925925925</v>
      </c>
      <c r="H1669" s="1110">
        <v>0.5215277777777778</v>
      </c>
      <c r="I1669" s="1110"/>
      <c r="J1669" s="1111"/>
      <c r="K1669" s="1111">
        <v>0.5454861111111111</v>
      </c>
      <c r="L1669" s="1112">
        <v>0.023958333333333335</v>
      </c>
      <c r="M1669" s="1113" t="s">
        <v>168</v>
      </c>
      <c r="N1669" s="110" t="s">
        <v>188</v>
      </c>
      <c r="O1669" s="1115" t="s">
        <v>196</v>
      </c>
      <c r="P1669" s="1115" t="s">
        <v>267</v>
      </c>
      <c r="Q1669" s="1115" t="s">
        <v>842</v>
      </c>
      <c r="R1669" s="120">
        <v>21.7</v>
      </c>
      <c r="S1669" s="1113">
        <v>39.5</v>
      </c>
      <c r="T1669" s="110">
        <v>2.5</v>
      </c>
      <c r="U1669" s="1108">
        <v>83.4</v>
      </c>
      <c r="V1669" s="1108"/>
      <c r="W1669" s="1108"/>
      <c r="X1669" s="1108"/>
      <c r="Y1669" s="1108"/>
      <c r="Z1669" s="1114" t="s">
        <v>387</v>
      </c>
      <c r="AA1669" s="1114"/>
      <c r="AB1669" s="1114" t="s">
        <v>416</v>
      </c>
      <c r="AC1669" s="1117">
        <v>52.5</v>
      </c>
      <c r="AD1669" s="1115"/>
      <c r="AE1669" s="1115"/>
      <c r="AF1669" s="1115"/>
      <c r="AG1669" s="1115"/>
      <c r="AH1669" s="1115"/>
      <c r="AI1669" s="1115"/>
      <c r="AJ1669" s="1117"/>
      <c r="AK1669" s="1118"/>
      <c r="AL1669" s="1115"/>
      <c r="AM1669" s="1115"/>
      <c r="AN1669" s="1115"/>
      <c r="AO1669" s="1115"/>
      <c r="AP1669" s="1115"/>
      <c r="AQ1669" s="1115"/>
      <c r="AR1669" s="1115"/>
      <c r="AS1669" s="1117"/>
      <c r="AT1669" s="1196" t="str">
        <f t="shared" si="179"/>
        <v>10+</v>
      </c>
      <c r="AU1669" s="945" t="s">
        <v>846</v>
      </c>
      <c r="AV1669" s="330">
        <f>SQRT(($R1669-Infrastructure!J$3)^2+($S1669-Infrastructure!K$3)^2)</f>
        <v>24.42048321</v>
      </c>
      <c r="AW1669" s="331">
        <f>SQRT(($R1669-Infrastructure!J$4)^2+($S1669-Infrastructure!K$4)^2)</f>
        <v>30.90129447</v>
      </c>
      <c r="AX1669" s="331">
        <f>SQRT(($R1669-Infrastructure!J$5)^2+($S1669-Infrastructure!K$5)^2)</f>
        <v>40.83331973</v>
      </c>
      <c r="AY1669" s="331">
        <f>SQRT(($R1669-Infrastructure!J$6)^2+($S1669-Infrastructure!K$6)^2)</f>
        <v>40.88031311</v>
      </c>
      <c r="AZ1669" s="331">
        <f>SQRT(($R1669-Infrastructure!J$7)^2+($S1669-Infrastructure!K$7)^2)</f>
        <v>39.21836305</v>
      </c>
      <c r="BA1669" s="331">
        <f>SQRT(($R1669-Infrastructure!J$8)^2+($S1669-Infrastructure!K$8)^2)</f>
        <v>40.08989898</v>
      </c>
      <c r="BB1669" s="331">
        <f>SQRT(($R1669-Infrastructure!J$9)^2+($S1669-Infrastructure!K$9)^2)</f>
        <v>38.96472764</v>
      </c>
      <c r="BC1669" s="331">
        <f>SQRT(($R1669-Infrastructure!J$10)^2+($S1669-Infrastructure!K$10)^2)</f>
        <v>30.58005886</v>
      </c>
      <c r="BD1669" s="331">
        <f>SQRT(($R1669-Infrastructure!J$11)^2+($S1669-Infrastructure!K$11)^2)</f>
        <v>21.27204739</v>
      </c>
      <c r="BE1669" s="333">
        <f>SQRT(($R1669-Infrastructure!J$12)^2+($S1669-Infrastructure!K$12)^2)</f>
        <v>16.00124995</v>
      </c>
      <c r="BF1669" s="330">
        <f t="shared" si="161"/>
        <v>16.00124995</v>
      </c>
      <c r="BG1669" s="333">
        <f t="shared" si="162"/>
        <v>40.88031311</v>
      </c>
      <c r="BH1669" s="1119"/>
      <c r="BI1669" s="319" t="str">
        <f t="shared" ref="BI1669:BR1669" si="213">IF(ISNUMBER(FIND(BI$3, $CO1669)), "Y", "")</f>
        <v/>
      </c>
      <c r="BJ1669" s="319" t="str">
        <f t="shared" si="213"/>
        <v/>
      </c>
      <c r="BK1669" s="319" t="str">
        <f t="shared" si="213"/>
        <v/>
      </c>
      <c r="BL1669" s="319" t="str">
        <f t="shared" si="213"/>
        <v/>
      </c>
      <c r="BM1669" s="319" t="str">
        <f t="shared" si="213"/>
        <v/>
      </c>
      <c r="BN1669" s="319" t="str">
        <f t="shared" si="213"/>
        <v/>
      </c>
      <c r="BO1669" s="319" t="str">
        <f t="shared" si="213"/>
        <v/>
      </c>
      <c r="BP1669" s="319" t="str">
        <f t="shared" si="213"/>
        <v/>
      </c>
      <c r="BQ1669" s="319" t="str">
        <f t="shared" si="213"/>
        <v/>
      </c>
      <c r="BR1669" s="319" t="str">
        <f t="shared" si="213"/>
        <v/>
      </c>
      <c r="BS1669" s="330">
        <f t="shared" si="185"/>
        <v>0</v>
      </c>
      <c r="BT1669" s="331">
        <f t="shared" si="170"/>
        <v>0</v>
      </c>
      <c r="BU1669" s="920"/>
      <c r="BV1669" s="903" t="str">
        <f t="shared" si="186"/>
        <v/>
      </c>
      <c r="BW1669" s="908"/>
      <c r="BX1669" s="908"/>
      <c r="BY1669" s="331" t="b">
        <f t="shared" si="201"/>
        <v>0</v>
      </c>
      <c r="BZ1669" s="331"/>
      <c r="CA1669" s="462" t="str">
        <f t="shared" ref="CA1669:CJ1669" si="214">IF(ISNUMBER(FIND(BI$3, $CP1669)), "Y", "")</f>
        <v>Y</v>
      </c>
      <c r="CB1669" s="319" t="str">
        <f t="shared" si="214"/>
        <v/>
      </c>
      <c r="CC1669" s="319" t="str">
        <f t="shared" si="214"/>
        <v>Y</v>
      </c>
      <c r="CD1669" s="319" t="str">
        <f t="shared" si="214"/>
        <v>Y</v>
      </c>
      <c r="CE1669" s="319" t="str">
        <f t="shared" si="214"/>
        <v>Y</v>
      </c>
      <c r="CF1669" s="319" t="str">
        <f t="shared" si="214"/>
        <v>Y</v>
      </c>
      <c r="CG1669" s="319" t="str">
        <f t="shared" si="214"/>
        <v>Y</v>
      </c>
      <c r="CH1669" s="319" t="str">
        <f t="shared" si="214"/>
        <v>Y</v>
      </c>
      <c r="CI1669" s="319" t="str">
        <f t="shared" si="214"/>
        <v>Y</v>
      </c>
      <c r="CJ1669" s="319" t="str">
        <f t="shared" si="214"/>
        <v>Y</v>
      </c>
      <c r="CK1669" s="342">
        <f t="shared" si="182"/>
        <v>16.00124995</v>
      </c>
      <c r="CL1669" s="333">
        <f t="shared" si="183"/>
        <v>40.88031311</v>
      </c>
      <c r="CM1669" s="1079" t="s">
        <v>2377</v>
      </c>
      <c r="CN1669" s="1005" t="s">
        <v>2363</v>
      </c>
      <c r="CO1669" s="1005"/>
      <c r="CP1669" s="1005" t="s">
        <v>2378</v>
      </c>
    </row>
    <row r="1670">
      <c r="A1670" s="797"/>
      <c r="B1670" s="1113" t="s">
        <v>2343</v>
      </c>
      <c r="C1670" s="1107">
        <v>45407.0</v>
      </c>
      <c r="D1670" s="1113" t="s">
        <v>986</v>
      </c>
      <c r="E1670" s="1108" t="s">
        <v>1490</v>
      </c>
      <c r="F1670" s="112" t="s">
        <v>2379</v>
      </c>
      <c r="G1670" s="1110">
        <v>0.5203125</v>
      </c>
      <c r="H1670" s="1110">
        <v>0.5211805555555555</v>
      </c>
      <c r="I1670" s="1110"/>
      <c r="J1670" s="1111"/>
      <c r="K1670" s="1111">
        <v>0.5459490740740741</v>
      </c>
      <c r="L1670" s="1112">
        <v>0.02476851851851852</v>
      </c>
      <c r="M1670" s="1113" t="s">
        <v>166</v>
      </c>
      <c r="N1670" s="110" t="s">
        <v>188</v>
      </c>
      <c r="O1670" s="1115" t="s">
        <v>196</v>
      </c>
      <c r="P1670" s="1115" t="s">
        <v>267</v>
      </c>
      <c r="Q1670" s="1115" t="s">
        <v>842</v>
      </c>
      <c r="R1670" s="120">
        <v>21.7</v>
      </c>
      <c r="S1670" s="1113">
        <v>39.5</v>
      </c>
      <c r="T1670" s="110">
        <v>2.5</v>
      </c>
      <c r="U1670" s="1108">
        <v>0.15</v>
      </c>
      <c r="V1670" s="1108"/>
      <c r="W1670" s="1108"/>
      <c r="X1670" s="1108"/>
      <c r="Y1670" s="1108"/>
      <c r="Z1670" s="1114" t="s">
        <v>335</v>
      </c>
      <c r="AA1670" s="1114"/>
      <c r="AB1670" s="1114" t="s">
        <v>380</v>
      </c>
      <c r="AC1670" s="1117">
        <v>4.0</v>
      </c>
      <c r="AD1670" s="1115"/>
      <c r="AE1670" s="1115"/>
      <c r="AF1670" s="1115"/>
      <c r="AG1670" s="1115"/>
      <c r="AH1670" s="1115"/>
      <c r="AI1670" s="1115"/>
      <c r="AJ1670" s="1117"/>
      <c r="AK1670" s="1118"/>
      <c r="AL1670" s="1115"/>
      <c r="AM1670" s="1115"/>
      <c r="AN1670" s="1115"/>
      <c r="AO1670" s="1115"/>
      <c r="AP1670" s="1115"/>
      <c r="AQ1670" s="1115"/>
      <c r="AR1670" s="1115"/>
      <c r="AS1670" s="1117"/>
      <c r="AT1670" s="1196" t="str">
        <f t="shared" si="179"/>
        <v>0-1</v>
      </c>
      <c r="AU1670" s="945" t="s">
        <v>846</v>
      </c>
      <c r="AV1670" s="330">
        <f>SQRT(($R1670-Infrastructure!J$3)^2+($S1670-Infrastructure!K$3)^2)</f>
        <v>24.42048321</v>
      </c>
      <c r="AW1670" s="331">
        <f>SQRT(($R1670-Infrastructure!J$4)^2+($S1670-Infrastructure!K$4)^2)</f>
        <v>30.90129447</v>
      </c>
      <c r="AX1670" s="331">
        <f>SQRT(($R1670-Infrastructure!J$5)^2+($S1670-Infrastructure!K$5)^2)</f>
        <v>40.83331973</v>
      </c>
      <c r="AY1670" s="331">
        <f>SQRT(($R1670-Infrastructure!J$6)^2+($S1670-Infrastructure!K$6)^2)</f>
        <v>40.88031311</v>
      </c>
      <c r="AZ1670" s="331">
        <f>SQRT(($R1670-Infrastructure!J$7)^2+($S1670-Infrastructure!K$7)^2)</f>
        <v>39.21836305</v>
      </c>
      <c r="BA1670" s="331">
        <f>SQRT(($R1670-Infrastructure!J$8)^2+($S1670-Infrastructure!K$8)^2)</f>
        <v>40.08989898</v>
      </c>
      <c r="BB1670" s="331">
        <f>SQRT(($R1670-Infrastructure!J$9)^2+($S1670-Infrastructure!K$9)^2)</f>
        <v>38.96472764</v>
      </c>
      <c r="BC1670" s="331">
        <f>SQRT(($R1670-Infrastructure!J$10)^2+($S1670-Infrastructure!K$10)^2)</f>
        <v>30.58005886</v>
      </c>
      <c r="BD1670" s="331">
        <f>SQRT(($R1670-Infrastructure!J$11)^2+($S1670-Infrastructure!K$11)^2)</f>
        <v>21.27204739</v>
      </c>
      <c r="BE1670" s="333">
        <f>SQRT(($R1670-Infrastructure!J$12)^2+($S1670-Infrastructure!K$12)^2)</f>
        <v>16.00124995</v>
      </c>
      <c r="BF1670" s="330">
        <f t="shared" si="161"/>
        <v>16.00124995</v>
      </c>
      <c r="BG1670" s="333">
        <f t="shared" si="162"/>
        <v>40.88031311</v>
      </c>
      <c r="BH1670" s="1119"/>
      <c r="BI1670" s="319" t="str">
        <f t="shared" ref="BI1670:BR1670" si="215">IF(ISNUMBER(FIND(BI$3, $CO1670)), "Y", "")</f>
        <v/>
      </c>
      <c r="BJ1670" s="319" t="str">
        <f t="shared" si="215"/>
        <v/>
      </c>
      <c r="BK1670" s="319" t="str">
        <f t="shared" si="215"/>
        <v/>
      </c>
      <c r="BL1670" s="319" t="str">
        <f t="shared" si="215"/>
        <v/>
      </c>
      <c r="BM1670" s="319" t="str">
        <f t="shared" si="215"/>
        <v/>
      </c>
      <c r="BN1670" s="319" t="str">
        <f t="shared" si="215"/>
        <v/>
      </c>
      <c r="BO1670" s="319" t="str">
        <f t="shared" si="215"/>
        <v/>
      </c>
      <c r="BP1670" s="319" t="str">
        <f t="shared" si="215"/>
        <v/>
      </c>
      <c r="BQ1670" s="319" t="str">
        <f t="shared" si="215"/>
        <v/>
      </c>
      <c r="BR1670" s="319" t="str">
        <f t="shared" si="215"/>
        <v/>
      </c>
      <c r="BS1670" s="330">
        <f t="shared" si="185"/>
        <v>0</v>
      </c>
      <c r="BT1670" s="331">
        <f t="shared" si="170"/>
        <v>0</v>
      </c>
      <c r="BU1670" s="920"/>
      <c r="BV1670" s="903" t="str">
        <f t="shared" si="186"/>
        <v/>
      </c>
      <c r="BW1670" s="908"/>
      <c r="BX1670" s="908"/>
      <c r="BY1670" s="331" t="b">
        <f t="shared" si="201"/>
        <v>0</v>
      </c>
      <c r="BZ1670" s="331"/>
      <c r="CA1670" s="462" t="str">
        <f t="shared" ref="CA1670:CJ1670" si="216">IF(ISNUMBER(FIND(BI$3, $CP1670)), "Y", "")</f>
        <v>Y</v>
      </c>
      <c r="CB1670" s="319" t="str">
        <f t="shared" si="216"/>
        <v/>
      </c>
      <c r="CC1670" s="319" t="str">
        <f t="shared" si="216"/>
        <v>Y</v>
      </c>
      <c r="CD1670" s="319" t="str">
        <f t="shared" si="216"/>
        <v>Y</v>
      </c>
      <c r="CE1670" s="319" t="str">
        <f t="shared" si="216"/>
        <v>Y</v>
      </c>
      <c r="CF1670" s="319" t="str">
        <f t="shared" si="216"/>
        <v>Y</v>
      </c>
      <c r="CG1670" s="319" t="str">
        <f t="shared" si="216"/>
        <v>Y</v>
      </c>
      <c r="CH1670" s="319" t="str">
        <f t="shared" si="216"/>
        <v>Y</v>
      </c>
      <c r="CI1670" s="319" t="str">
        <f t="shared" si="216"/>
        <v>Y</v>
      </c>
      <c r="CJ1670" s="319" t="str">
        <f t="shared" si="216"/>
        <v>Y</v>
      </c>
      <c r="CK1670" s="342">
        <f t="shared" si="182"/>
        <v>16.00124995</v>
      </c>
      <c r="CL1670" s="333">
        <f t="shared" si="183"/>
        <v>40.88031311</v>
      </c>
      <c r="CM1670" s="1079" t="s">
        <v>2377</v>
      </c>
      <c r="CN1670" s="1005" t="s">
        <v>2363</v>
      </c>
      <c r="CO1670" s="1005"/>
      <c r="CP1670" s="1005" t="s">
        <v>2378</v>
      </c>
    </row>
    <row r="1671">
      <c r="A1671" s="797"/>
      <c r="B1671" s="1113" t="s">
        <v>2343</v>
      </c>
      <c r="C1671" s="1107">
        <v>45407.0</v>
      </c>
      <c r="D1671" s="1113" t="s">
        <v>986</v>
      </c>
      <c r="E1671" s="1108" t="s">
        <v>2380</v>
      </c>
      <c r="F1671" s="112" t="s">
        <v>2381</v>
      </c>
      <c r="G1671" s="1110">
        <v>0.5491319444444445</v>
      </c>
      <c r="H1671" s="1110">
        <v>0.5496527777777778</v>
      </c>
      <c r="I1671" s="1110"/>
      <c r="J1671" s="1111"/>
      <c r="K1671" s="1111">
        <v>0.5677083333333334</v>
      </c>
      <c r="L1671" s="1112">
        <v>0.018055555555555554</v>
      </c>
      <c r="M1671" s="1113" t="s">
        <v>166</v>
      </c>
      <c r="N1671" s="110" t="s">
        <v>187</v>
      </c>
      <c r="O1671" s="1115" t="s">
        <v>2354</v>
      </c>
      <c r="P1671" s="1115" t="s">
        <v>256</v>
      </c>
      <c r="Q1671" s="1116"/>
      <c r="R1671" s="120">
        <v>17.6</v>
      </c>
      <c r="S1671" s="1113">
        <v>9.0</v>
      </c>
      <c r="T1671" s="110">
        <v>0.64</v>
      </c>
      <c r="U1671" s="1108">
        <v>0.15</v>
      </c>
      <c r="V1671" s="1108"/>
      <c r="W1671" s="1108"/>
      <c r="X1671" s="1108"/>
      <c r="Y1671" s="1108"/>
      <c r="Z1671" s="1114" t="s">
        <v>335</v>
      </c>
      <c r="AA1671" s="1114"/>
      <c r="AB1671" s="1114" t="s">
        <v>375</v>
      </c>
      <c r="AC1671" s="1117">
        <v>2.7</v>
      </c>
      <c r="AD1671" s="1115"/>
      <c r="AE1671" s="1115"/>
      <c r="AF1671" s="1115"/>
      <c r="AG1671" s="1115"/>
      <c r="AH1671" s="1115"/>
      <c r="AI1671" s="1115"/>
      <c r="AJ1671" s="1117"/>
      <c r="AK1671" s="1118"/>
      <c r="AL1671" s="1115"/>
      <c r="AM1671" s="1115"/>
      <c r="AN1671" s="1115"/>
      <c r="AO1671" s="1115"/>
      <c r="AP1671" s="1115"/>
      <c r="AQ1671" s="1115"/>
      <c r="AR1671" s="1115"/>
      <c r="AS1671" s="1117"/>
      <c r="AT1671" s="1196" t="str">
        <f t="shared" si="179"/>
        <v>0-1</v>
      </c>
      <c r="AU1671" s="1193"/>
      <c r="AV1671" s="330">
        <f>SQRT(($R1671-Infrastructure!J$3)^2+($S1671-Infrastructure!K$3)^2)</f>
        <v>26.76602324</v>
      </c>
      <c r="AW1671" s="331">
        <f>SQRT(($R1671-Infrastructure!J$4)^2+($S1671-Infrastructure!K$4)^2)</f>
        <v>19.94617758</v>
      </c>
      <c r="AX1671" s="331">
        <f>SQRT(($R1671-Infrastructure!J$5)^2+($S1671-Infrastructure!K$5)^2)</f>
        <v>18.3199345</v>
      </c>
      <c r="AY1671" s="331">
        <f>SQRT(($R1671-Infrastructure!J$6)^2+($S1671-Infrastructure!K$6)^2)</f>
        <v>11.48651383</v>
      </c>
      <c r="AZ1671" s="331">
        <f>SQRT(($R1671-Infrastructure!J$7)^2+($S1671-Infrastructure!K$7)^2)</f>
        <v>9.170605214</v>
      </c>
      <c r="BA1671" s="331">
        <f>SQRT(($R1671-Infrastructure!J$8)^2+($S1671-Infrastructure!K$8)^2)</f>
        <v>15.22957649</v>
      </c>
      <c r="BB1671" s="331">
        <f>SQRT(($R1671-Infrastructure!J$9)^2+($S1671-Infrastructure!K$9)^2)</f>
        <v>22.73697429</v>
      </c>
      <c r="BC1671" s="331">
        <f>SQRT(($R1671-Infrastructure!J$10)^2+($S1671-Infrastructure!K$10)^2)</f>
        <v>23.18965287</v>
      </c>
      <c r="BD1671" s="331">
        <f>SQRT(($R1671-Infrastructure!J$11)^2+($S1671-Infrastructure!K$11)^2)</f>
        <v>30.17880051</v>
      </c>
      <c r="BE1671" s="333">
        <f>SQRT(($R1671-Infrastructure!J$12)^2+($S1671-Infrastructure!K$12)^2)</f>
        <v>46.66326178</v>
      </c>
      <c r="BF1671" s="330">
        <f t="shared" si="161"/>
        <v>9.170605214</v>
      </c>
      <c r="BG1671" s="333">
        <f t="shared" si="162"/>
        <v>46.66326178</v>
      </c>
      <c r="BH1671" s="1119"/>
      <c r="BI1671" s="319" t="str">
        <f t="shared" ref="BI1671:BR1671" si="217">IF(ISNUMBER(FIND(BI$3, $CO1671)), "Y", "")</f>
        <v/>
      </c>
      <c r="BJ1671" s="319" t="str">
        <f t="shared" si="217"/>
        <v/>
      </c>
      <c r="BK1671" s="319" t="str">
        <f t="shared" si="217"/>
        <v/>
      </c>
      <c r="BL1671" s="319" t="str">
        <f t="shared" si="217"/>
        <v/>
      </c>
      <c r="BM1671" s="319" t="str">
        <f t="shared" si="217"/>
        <v/>
      </c>
      <c r="BN1671" s="319" t="str">
        <f t="shared" si="217"/>
        <v/>
      </c>
      <c r="BO1671" s="319" t="str">
        <f t="shared" si="217"/>
        <v/>
      </c>
      <c r="BP1671" s="319" t="str">
        <f t="shared" si="217"/>
        <v/>
      </c>
      <c r="BQ1671" s="319" t="str">
        <f t="shared" si="217"/>
        <v/>
      </c>
      <c r="BR1671" s="319" t="str">
        <f t="shared" si="217"/>
        <v/>
      </c>
      <c r="BS1671" s="330">
        <f t="shared" si="185"/>
        <v>0</v>
      </c>
      <c r="BT1671" s="331">
        <f t="shared" si="170"/>
        <v>0</v>
      </c>
      <c r="BU1671" s="920"/>
      <c r="BV1671" s="903" t="str">
        <f t="shared" si="186"/>
        <v/>
      </c>
      <c r="BW1671" s="908"/>
      <c r="BX1671" s="908"/>
      <c r="BY1671" s="331" t="b">
        <f t="shared" si="201"/>
        <v>0</v>
      </c>
      <c r="BZ1671" s="331"/>
      <c r="CA1671" s="462" t="str">
        <f t="shared" ref="CA1671:CJ1671" si="218">IF(ISNUMBER(FIND(BI$3, $CP1671)), "Y", "")</f>
        <v/>
      </c>
      <c r="CB1671" s="319" t="str">
        <f t="shared" si="218"/>
        <v/>
      </c>
      <c r="CC1671" s="319" t="str">
        <f t="shared" si="218"/>
        <v/>
      </c>
      <c r="CD1671" s="319" t="str">
        <f t="shared" si="218"/>
        <v/>
      </c>
      <c r="CE1671" s="319" t="str">
        <f t="shared" si="218"/>
        <v>Y</v>
      </c>
      <c r="CF1671" s="319" t="str">
        <f t="shared" si="218"/>
        <v>Y</v>
      </c>
      <c r="CG1671" s="319" t="str">
        <f t="shared" si="218"/>
        <v>Y</v>
      </c>
      <c r="CH1671" s="319" t="str">
        <f t="shared" si="218"/>
        <v>Y</v>
      </c>
      <c r="CI1671" s="319" t="str">
        <f t="shared" si="218"/>
        <v>Y</v>
      </c>
      <c r="CJ1671" s="319" t="str">
        <f t="shared" si="218"/>
        <v/>
      </c>
      <c r="CK1671" s="342">
        <f t="shared" si="182"/>
        <v>9.170605214</v>
      </c>
      <c r="CL1671" s="333">
        <f t="shared" si="183"/>
        <v>30.17880051</v>
      </c>
      <c r="CM1671" s="1079" t="s">
        <v>2345</v>
      </c>
      <c r="CN1671" s="1005" t="s">
        <v>2363</v>
      </c>
      <c r="CO1671" s="1005"/>
      <c r="CP1671" s="1005" t="s">
        <v>2374</v>
      </c>
    </row>
    <row r="1672">
      <c r="A1672" s="797"/>
      <c r="B1672" s="1113" t="s">
        <v>2343</v>
      </c>
      <c r="C1672" s="1107">
        <v>45407.0</v>
      </c>
      <c r="D1672" s="1113" t="s">
        <v>986</v>
      </c>
      <c r="E1672" s="1108" t="s">
        <v>1218</v>
      </c>
      <c r="F1672" s="112" t="s">
        <v>2382</v>
      </c>
      <c r="G1672" s="1110">
        <v>0.5717013888888889</v>
      </c>
      <c r="H1672" s="1110">
        <v>0.5722222222222222</v>
      </c>
      <c r="I1672" s="1110"/>
      <c r="J1672" s="1111"/>
      <c r="K1672" s="1111">
        <v>0.585300925925926</v>
      </c>
      <c r="L1672" s="1112">
        <v>0.013078703703703703</v>
      </c>
      <c r="M1672" s="1113" t="s">
        <v>166</v>
      </c>
      <c r="N1672" s="110" t="s">
        <v>187</v>
      </c>
      <c r="O1672" s="1115" t="s">
        <v>197</v>
      </c>
      <c r="P1672" s="1115" t="s">
        <v>272</v>
      </c>
      <c r="Q1672" s="1115" t="s">
        <v>842</v>
      </c>
      <c r="R1672" s="120">
        <v>37.1</v>
      </c>
      <c r="S1672" s="1113">
        <v>6.9</v>
      </c>
      <c r="T1672" s="110">
        <v>6.5</v>
      </c>
      <c r="U1672" s="1108">
        <v>0.75</v>
      </c>
      <c r="V1672" s="1108"/>
      <c r="W1672" s="1108"/>
      <c r="X1672" s="1108"/>
      <c r="Y1672" s="1108"/>
      <c r="Z1672" s="1114" t="s">
        <v>335</v>
      </c>
      <c r="AA1672" s="1114"/>
      <c r="AB1672" s="1114" t="s">
        <v>333</v>
      </c>
      <c r="AC1672" s="1117">
        <v>2.0</v>
      </c>
      <c r="AD1672" s="1115"/>
      <c r="AE1672" s="1115"/>
      <c r="AF1672" s="1115"/>
      <c r="AG1672" s="1115"/>
      <c r="AH1672" s="1115"/>
      <c r="AI1672" s="1115"/>
      <c r="AJ1672" s="1117"/>
      <c r="AK1672" s="1118"/>
      <c r="AL1672" s="1115"/>
      <c r="AM1672" s="1115"/>
      <c r="AN1672" s="1115"/>
      <c r="AO1672" s="1115"/>
      <c r="AP1672" s="1115"/>
      <c r="AQ1672" s="1115"/>
      <c r="AR1672" s="1115"/>
      <c r="AS1672" s="1117"/>
      <c r="AT1672" s="1196" t="str">
        <f t="shared" si="179"/>
        <v>0-1</v>
      </c>
      <c r="AU1672" s="1193"/>
      <c r="AV1672" s="330">
        <f>SQRT(($R1672-Infrastructure!J$3)^2+($S1672-Infrastructure!K$3)^2)</f>
        <v>43.39078243</v>
      </c>
      <c r="AW1672" s="331">
        <f>SQRT(($R1672-Infrastructure!J$4)^2+($S1672-Infrastructure!K$4)^2)</f>
        <v>38.95600082</v>
      </c>
      <c r="AX1672" s="331">
        <f>SQRT(($R1672-Infrastructure!J$5)^2+($S1672-Infrastructure!K$5)^2)</f>
        <v>37.44329045</v>
      </c>
      <c r="AY1672" s="331">
        <f>SQRT(($R1672-Infrastructure!J$6)^2+($S1672-Infrastructure!K$6)^2)</f>
        <v>27.79496357</v>
      </c>
      <c r="AZ1672" s="331">
        <f>SQRT(($R1672-Infrastructure!J$7)^2+($S1672-Infrastructure!K$7)^2)</f>
        <v>17.86393014</v>
      </c>
      <c r="BA1672" s="331">
        <f>SQRT(($R1672-Infrastructure!J$8)^2+($S1672-Infrastructure!K$8)^2)</f>
        <v>9.620810777</v>
      </c>
      <c r="BB1672" s="331">
        <f>SQRT(($R1672-Infrastructure!J$9)^2+($S1672-Infrastructure!K$9)^2)</f>
        <v>3.413209633</v>
      </c>
      <c r="BC1672" s="331">
        <f>SQRT(($R1672-Infrastructure!J$10)^2+($S1672-Infrastructure!K$10)^2)</f>
        <v>8.603487665</v>
      </c>
      <c r="BD1672" s="331">
        <f>SQRT(($R1672-Infrastructure!J$11)^2+($S1672-Infrastructure!K$11)^2)</f>
        <v>22.31636171</v>
      </c>
      <c r="BE1672" s="333">
        <f>SQRT(($R1672-Infrastructure!J$12)^2+($S1672-Infrastructure!K$12)^2)</f>
        <v>51.04233537</v>
      </c>
      <c r="BF1672" s="330">
        <f t="shared" si="161"/>
        <v>3.413209633</v>
      </c>
      <c r="BG1672" s="333">
        <f t="shared" si="162"/>
        <v>51.04233537</v>
      </c>
      <c r="BH1672" s="1119"/>
      <c r="BI1672" s="319" t="str">
        <f t="shared" ref="BI1672:BR1672" si="219">IF(ISNUMBER(FIND(BI$3, $CO1672)), "Y", "")</f>
        <v/>
      </c>
      <c r="BJ1672" s="319" t="str">
        <f t="shared" si="219"/>
        <v/>
      </c>
      <c r="BK1672" s="319" t="str">
        <f t="shared" si="219"/>
        <v/>
      </c>
      <c r="BL1672" s="319" t="str">
        <f t="shared" si="219"/>
        <v/>
      </c>
      <c r="BM1672" s="319" t="str">
        <f t="shared" si="219"/>
        <v/>
      </c>
      <c r="BN1672" s="319" t="str">
        <f t="shared" si="219"/>
        <v/>
      </c>
      <c r="BO1672" s="319" t="str">
        <f t="shared" si="219"/>
        <v/>
      </c>
      <c r="BP1672" s="319" t="str">
        <f t="shared" si="219"/>
        <v/>
      </c>
      <c r="BQ1672" s="319" t="str">
        <f t="shared" si="219"/>
        <v/>
      </c>
      <c r="BR1672" s="319" t="str">
        <f t="shared" si="219"/>
        <v/>
      </c>
      <c r="BS1672" s="330">
        <f t="shared" si="185"/>
        <v>0</v>
      </c>
      <c r="BT1672" s="331">
        <f t="shared" si="170"/>
        <v>0</v>
      </c>
      <c r="BU1672" s="920"/>
      <c r="BV1672" s="903" t="str">
        <f t="shared" si="186"/>
        <v/>
      </c>
      <c r="BW1672" s="908"/>
      <c r="BX1672" s="908"/>
      <c r="BY1672" s="331" t="b">
        <f t="shared" si="201"/>
        <v>0</v>
      </c>
      <c r="BZ1672" s="331"/>
      <c r="CA1672" s="462" t="str">
        <f t="shared" ref="CA1672:CJ1672" si="220">IF(ISNUMBER(FIND(BI$3, $CP1672)), "Y", "")</f>
        <v/>
      </c>
      <c r="CB1672" s="319" t="str">
        <f t="shared" si="220"/>
        <v/>
      </c>
      <c r="CC1672" s="319" t="str">
        <f t="shared" si="220"/>
        <v/>
      </c>
      <c r="CD1672" s="319" t="str">
        <f t="shared" si="220"/>
        <v/>
      </c>
      <c r="CE1672" s="319" t="str">
        <f t="shared" si="220"/>
        <v>Y</v>
      </c>
      <c r="CF1672" s="319" t="str">
        <f t="shared" si="220"/>
        <v>Y</v>
      </c>
      <c r="CG1672" s="319" t="str">
        <f t="shared" si="220"/>
        <v>Y</v>
      </c>
      <c r="CH1672" s="319" t="str">
        <f t="shared" si="220"/>
        <v>Y</v>
      </c>
      <c r="CI1672" s="319" t="str">
        <f t="shared" si="220"/>
        <v>Y</v>
      </c>
      <c r="CJ1672" s="319" t="str">
        <f t="shared" si="220"/>
        <v/>
      </c>
      <c r="CK1672" s="342">
        <f t="shared" si="182"/>
        <v>3.413209633</v>
      </c>
      <c r="CL1672" s="333">
        <f t="shared" si="183"/>
        <v>22.31636171</v>
      </c>
      <c r="CM1672" s="1079" t="s">
        <v>2345</v>
      </c>
      <c r="CN1672" s="1005" t="s">
        <v>2363</v>
      </c>
      <c r="CO1672" s="1005"/>
      <c r="CP1672" s="1005" t="s">
        <v>2374</v>
      </c>
    </row>
    <row r="1673">
      <c r="A1673" s="797"/>
      <c r="B1673" s="1113" t="s">
        <v>2343</v>
      </c>
      <c r="C1673" s="1107">
        <v>45407.0</v>
      </c>
      <c r="D1673" s="103"/>
      <c r="E1673" s="1137"/>
      <c r="F1673" s="112" t="s">
        <v>2383</v>
      </c>
      <c r="G1673" s="1110">
        <v>0.6416666666666667</v>
      </c>
      <c r="H1673" s="1138"/>
      <c r="I1673" s="1138"/>
      <c r="J1673" s="1139"/>
      <c r="K1673" s="1111">
        <v>0.6447916666666667</v>
      </c>
      <c r="L1673" s="1112">
        <v>0.003125</v>
      </c>
      <c r="M1673" s="1113" t="s">
        <v>168</v>
      </c>
      <c r="N1673" s="110" t="s">
        <v>188</v>
      </c>
      <c r="O1673" s="1140"/>
      <c r="P1673" s="1115" t="s">
        <v>293</v>
      </c>
      <c r="Q1673" s="1116"/>
      <c r="R1673" s="1141"/>
      <c r="S1673" s="1113"/>
      <c r="T1673" s="1143"/>
      <c r="U1673" s="1108" t="s">
        <v>323</v>
      </c>
      <c r="V1673" s="1108"/>
      <c r="W1673" s="1108"/>
      <c r="X1673" s="1108"/>
      <c r="Y1673" s="1108"/>
      <c r="Z1673" s="1114" t="s">
        <v>379</v>
      </c>
      <c r="AA1673" s="1114"/>
      <c r="AB1673" s="1114" t="s">
        <v>380</v>
      </c>
      <c r="AC1673" s="1117">
        <v>4.0</v>
      </c>
      <c r="AD1673" s="1115"/>
      <c r="AE1673" s="1115"/>
      <c r="AF1673" s="1115"/>
      <c r="AG1673" s="1115"/>
      <c r="AH1673" s="1115"/>
      <c r="AI1673" s="1115"/>
      <c r="AJ1673" s="1117"/>
      <c r="AK1673" s="1118"/>
      <c r="AL1673" s="1115"/>
      <c r="AM1673" s="1115"/>
      <c r="AN1673" s="1115"/>
      <c r="AO1673" s="1115"/>
      <c r="AP1673" s="1115"/>
      <c r="AQ1673" s="1115"/>
      <c r="AR1673" s="1115"/>
      <c r="AS1673" s="1117"/>
      <c r="AT1673" s="1196" t="str">
        <f t="shared" si="179"/>
        <v/>
      </c>
      <c r="AU1673" s="1193"/>
      <c r="AV1673" s="330">
        <f>SQRT(($R1673-Infrastructure!J$3)^2+($S1673-Infrastructure!K$3)^2)</f>
        <v>28.90155705</v>
      </c>
      <c r="AW1673" s="331">
        <f>SQRT(($R1673-Infrastructure!J$4)^2+($S1673-Infrastructure!K$4)^2)</f>
        <v>17.80252791</v>
      </c>
      <c r="AX1673" s="331">
        <f>SQRT(($R1673-Infrastructure!J$5)^2+($S1673-Infrastructure!K$5)^2)</f>
        <v>5.10881591</v>
      </c>
      <c r="AY1673" s="331">
        <f>SQRT(($R1673-Infrastructure!J$6)^2+($S1673-Infrastructure!K$6)^2)</f>
        <v>10.10445446</v>
      </c>
      <c r="AZ1673" s="331">
        <f>SQRT(($R1673-Infrastructure!J$7)^2+($S1673-Infrastructure!K$7)^2)</f>
        <v>20.502195</v>
      </c>
      <c r="BA1673" s="331">
        <f>SQRT(($R1673-Infrastructure!J$8)^2+($S1673-Infrastructure!K$8)^2)</f>
        <v>30.10149498</v>
      </c>
      <c r="BB1673" s="331">
        <f>SQRT(($R1673-Infrastructure!J$9)^2+($S1673-Infrastructure!K$9)^2)</f>
        <v>40.3238143</v>
      </c>
      <c r="BC1673" s="331">
        <f>SQRT(($R1673-Infrastructure!J$10)^2+($S1673-Infrastructure!K$10)^2)</f>
        <v>42.72001873</v>
      </c>
      <c r="BD1673" s="331">
        <f>SQRT(($R1673-Infrastructure!J$11)^2+($S1673-Infrastructure!K$11)^2)</f>
        <v>49.56853841</v>
      </c>
      <c r="BE1673" s="333">
        <f>SQRT(($R1673-Infrastructure!J$12)^2+($S1673-Infrastructure!K$12)^2)</f>
        <v>59.51890456</v>
      </c>
      <c r="BF1673" s="330">
        <f t="shared" si="161"/>
        <v>5.10881591</v>
      </c>
      <c r="BG1673" s="333">
        <f t="shared" si="162"/>
        <v>59.51890456</v>
      </c>
      <c r="BH1673" s="1119"/>
      <c r="BI1673" s="319" t="str">
        <f t="shared" ref="BI1673:BR1673" si="221">IF(ISNUMBER(FIND(BI$3, $CO1673)), "Y", "")</f>
        <v>Y</v>
      </c>
      <c r="BJ1673" s="319" t="str">
        <f t="shared" si="221"/>
        <v>Y</v>
      </c>
      <c r="BK1673" s="319" t="str">
        <f t="shared" si="221"/>
        <v/>
      </c>
      <c r="BL1673" s="319" t="str">
        <f t="shared" si="221"/>
        <v>Y</v>
      </c>
      <c r="BM1673" s="319" t="str">
        <f t="shared" si="221"/>
        <v/>
      </c>
      <c r="BN1673" s="319" t="str">
        <f t="shared" si="221"/>
        <v>Y</v>
      </c>
      <c r="BO1673" s="319" t="str">
        <f t="shared" si="221"/>
        <v/>
      </c>
      <c r="BP1673" s="319" t="str">
        <f t="shared" si="221"/>
        <v>Y</v>
      </c>
      <c r="BQ1673" s="319" t="str">
        <f t="shared" si="221"/>
        <v>Y</v>
      </c>
      <c r="BR1673" s="319" t="str">
        <f t="shared" si="221"/>
        <v>Y</v>
      </c>
      <c r="BS1673" s="330">
        <f t="shared" si="185"/>
        <v>10.10445446</v>
      </c>
      <c r="BT1673" s="331">
        <f t="shared" si="170"/>
        <v>59.51890456</v>
      </c>
      <c r="BU1673" s="920">
        <v>0.6444675925925926</v>
      </c>
      <c r="BV1673" s="903">
        <f t="shared" si="186"/>
        <v>0.002800925926</v>
      </c>
      <c r="BW1673" s="908">
        <v>11.5</v>
      </c>
      <c r="BX1673" s="908">
        <v>42.1</v>
      </c>
      <c r="BY1673" s="331">
        <f t="shared" si="201"/>
        <v>43.64241057</v>
      </c>
      <c r="BZ1673" s="331"/>
      <c r="CA1673" s="462" t="str">
        <f t="shared" ref="CA1673:CJ1673" si="222">IF(ISNUMBER(FIND(BI$3, $CP1673)), "Y", "")</f>
        <v>Y</v>
      </c>
      <c r="CB1673" s="319" t="str">
        <f t="shared" si="222"/>
        <v>Y</v>
      </c>
      <c r="CC1673" s="319" t="str">
        <f t="shared" si="222"/>
        <v>Y</v>
      </c>
      <c r="CD1673" s="319" t="str">
        <f t="shared" si="222"/>
        <v>Y</v>
      </c>
      <c r="CE1673" s="319" t="str">
        <f t="shared" si="222"/>
        <v>Y</v>
      </c>
      <c r="CF1673" s="319" t="str">
        <f t="shared" si="222"/>
        <v>Y</v>
      </c>
      <c r="CG1673" s="319" t="str">
        <f t="shared" si="222"/>
        <v>Y</v>
      </c>
      <c r="CH1673" s="319" t="str">
        <f t="shared" si="222"/>
        <v>Y</v>
      </c>
      <c r="CI1673" s="319" t="str">
        <f t="shared" si="222"/>
        <v>Y</v>
      </c>
      <c r="CJ1673" s="319" t="str">
        <f t="shared" si="222"/>
        <v>Y</v>
      </c>
      <c r="CK1673" s="342">
        <f t="shared" si="182"/>
        <v>5.10881591</v>
      </c>
      <c r="CL1673" s="333">
        <f t="shared" si="183"/>
        <v>59.51890456</v>
      </c>
      <c r="CM1673" s="1079" t="s">
        <v>2384</v>
      </c>
      <c r="CN1673" s="1005" t="s">
        <v>2363</v>
      </c>
      <c r="CO1673" s="1005" t="s">
        <v>2385</v>
      </c>
      <c r="CP1673" s="1005" t="s">
        <v>2365</v>
      </c>
    </row>
    <row r="1674">
      <c r="A1674" s="1253"/>
      <c r="B1674" s="1113" t="s">
        <v>2343</v>
      </c>
      <c r="C1674" s="1107">
        <v>45407.0</v>
      </c>
      <c r="D1674" s="103"/>
      <c r="E1674" s="1137"/>
      <c r="F1674" s="112" t="s">
        <v>2383</v>
      </c>
      <c r="G1674" s="1110">
        <v>0.6609375</v>
      </c>
      <c r="H1674" s="1138"/>
      <c r="I1674" s="1138"/>
      <c r="J1674" s="1139"/>
      <c r="K1674" s="1111">
        <v>0.6621527777777778</v>
      </c>
      <c r="L1674" s="1112">
        <v>0.0012152777777777778</v>
      </c>
      <c r="M1674" s="1113" t="s">
        <v>358</v>
      </c>
      <c r="N1674" s="110" t="s">
        <v>188</v>
      </c>
      <c r="O1674" s="1140"/>
      <c r="P1674" s="1115" t="s">
        <v>294</v>
      </c>
      <c r="Q1674" s="1116"/>
      <c r="R1674" s="1141"/>
      <c r="S1674" s="1113"/>
      <c r="T1674" s="1143"/>
      <c r="U1674" s="1108" t="s">
        <v>323</v>
      </c>
      <c r="V1674" s="1108"/>
      <c r="W1674" s="1108"/>
      <c r="X1674" s="1108"/>
      <c r="Y1674" s="1108"/>
      <c r="Z1674" s="1114" t="s">
        <v>323</v>
      </c>
      <c r="AA1674" s="1114"/>
      <c r="AB1674" s="1114" t="s">
        <v>323</v>
      </c>
      <c r="AC1674" s="1117" t="s">
        <v>323</v>
      </c>
      <c r="AD1674" s="1115"/>
      <c r="AE1674" s="1115"/>
      <c r="AF1674" s="1115"/>
      <c r="AG1674" s="1115"/>
      <c r="AH1674" s="1115"/>
      <c r="AI1674" s="1115"/>
      <c r="AJ1674" s="1117"/>
      <c r="AK1674" s="1118"/>
      <c r="AL1674" s="1115"/>
      <c r="AM1674" s="1115"/>
      <c r="AN1674" s="1115"/>
      <c r="AO1674" s="1115"/>
      <c r="AP1674" s="1115"/>
      <c r="AQ1674" s="1115"/>
      <c r="AR1674" s="1115"/>
      <c r="AS1674" s="1117"/>
      <c r="AT1674" s="1197" t="str">
        <f t="shared" si="179"/>
        <v/>
      </c>
      <c r="AU1674" s="1193"/>
      <c r="AV1674" s="330">
        <f>SQRT(($R1674-Infrastructure!J$3)^2+($S1674-Infrastructure!K$3)^2)</f>
        <v>28.90155705</v>
      </c>
      <c r="AW1674" s="331">
        <f>SQRT(($R1674-Infrastructure!J$4)^2+($S1674-Infrastructure!K$4)^2)</f>
        <v>17.80252791</v>
      </c>
      <c r="AX1674" s="331">
        <f>SQRT(($R1674-Infrastructure!J$5)^2+($S1674-Infrastructure!K$5)^2)</f>
        <v>5.10881591</v>
      </c>
      <c r="AY1674" s="331">
        <f>SQRT(($R1674-Infrastructure!J$6)^2+($S1674-Infrastructure!K$6)^2)</f>
        <v>10.10445446</v>
      </c>
      <c r="AZ1674" s="331">
        <f>SQRT(($R1674-Infrastructure!J$7)^2+($S1674-Infrastructure!K$7)^2)</f>
        <v>20.502195</v>
      </c>
      <c r="BA1674" s="331">
        <f>SQRT(($R1674-Infrastructure!J$8)^2+($S1674-Infrastructure!K$8)^2)</f>
        <v>30.10149498</v>
      </c>
      <c r="BB1674" s="331">
        <f>SQRT(($R1674-Infrastructure!J$9)^2+($S1674-Infrastructure!K$9)^2)</f>
        <v>40.3238143</v>
      </c>
      <c r="BC1674" s="331">
        <f>SQRT(($R1674-Infrastructure!J$10)^2+($S1674-Infrastructure!K$10)^2)</f>
        <v>42.72001873</v>
      </c>
      <c r="BD1674" s="331">
        <f>SQRT(($R1674-Infrastructure!J$11)^2+($S1674-Infrastructure!K$11)^2)</f>
        <v>49.56853841</v>
      </c>
      <c r="BE1674" s="333">
        <f>SQRT(($R1674-Infrastructure!J$12)^2+($S1674-Infrastructure!K$12)^2)</f>
        <v>59.51890456</v>
      </c>
      <c r="BF1674" s="330">
        <f t="shared" si="161"/>
        <v>5.10881591</v>
      </c>
      <c r="BG1674" s="333">
        <f t="shared" si="162"/>
        <v>59.51890456</v>
      </c>
      <c r="BH1674" s="1119"/>
      <c r="BI1674" s="663" t="str">
        <f t="shared" ref="BI1674:BR1674" si="223">IF(ISNUMBER(FIND(BI$3, $CO1674)), "Y", "")</f>
        <v/>
      </c>
      <c r="BJ1674" s="663" t="str">
        <f t="shared" si="223"/>
        <v/>
      </c>
      <c r="BK1674" s="663" t="str">
        <f t="shared" si="223"/>
        <v/>
      </c>
      <c r="BL1674" s="663" t="str">
        <f t="shared" si="223"/>
        <v/>
      </c>
      <c r="BM1674" s="663" t="str">
        <f t="shared" si="223"/>
        <v/>
      </c>
      <c r="BN1674" s="663" t="str">
        <f t="shared" si="223"/>
        <v/>
      </c>
      <c r="BO1674" s="663" t="str">
        <f t="shared" si="223"/>
        <v/>
      </c>
      <c r="BP1674" s="663" t="str">
        <f t="shared" si="223"/>
        <v/>
      </c>
      <c r="BQ1674" s="663" t="str">
        <f t="shared" si="223"/>
        <v/>
      </c>
      <c r="BR1674" s="663" t="str">
        <f t="shared" si="223"/>
        <v/>
      </c>
      <c r="BS1674" s="330">
        <f t="shared" si="185"/>
        <v>0</v>
      </c>
      <c r="BT1674" s="331">
        <f t="shared" si="170"/>
        <v>0</v>
      </c>
      <c r="BU1674" s="920"/>
      <c r="BV1674" s="930" t="str">
        <f t="shared" si="186"/>
        <v/>
      </c>
      <c r="BW1674" s="908"/>
      <c r="BX1674" s="908"/>
      <c r="BY1674" s="331" t="b">
        <f t="shared" si="201"/>
        <v>0</v>
      </c>
      <c r="BZ1674" s="331"/>
      <c r="CA1674" s="462" t="str">
        <f t="shared" ref="CA1674:CJ1674" si="224">IF(ISNUMBER(FIND(BI$3, $CP1674)), "Y", "")</f>
        <v>Y</v>
      </c>
      <c r="CB1674" s="319" t="str">
        <f t="shared" si="224"/>
        <v>Y</v>
      </c>
      <c r="CC1674" s="319" t="str">
        <f t="shared" si="224"/>
        <v/>
      </c>
      <c r="CD1674" s="319" t="str">
        <f t="shared" si="224"/>
        <v/>
      </c>
      <c r="CE1674" s="319" t="str">
        <f t="shared" si="224"/>
        <v/>
      </c>
      <c r="CF1674" s="319" t="str">
        <f t="shared" si="224"/>
        <v/>
      </c>
      <c r="CG1674" s="319" t="str">
        <f t="shared" si="224"/>
        <v/>
      </c>
      <c r="CH1674" s="319" t="str">
        <f t="shared" si="224"/>
        <v/>
      </c>
      <c r="CI1674" s="319" t="str">
        <f t="shared" si="224"/>
        <v/>
      </c>
      <c r="CJ1674" s="319" t="str">
        <f t="shared" si="224"/>
        <v>Y</v>
      </c>
      <c r="CK1674" s="342">
        <f t="shared" si="182"/>
        <v>17.80252791</v>
      </c>
      <c r="CL1674" s="333">
        <f t="shared" si="183"/>
        <v>59.51890456</v>
      </c>
      <c r="CM1674" s="1079" t="s">
        <v>2386</v>
      </c>
      <c r="CN1674" s="1005" t="s">
        <v>2363</v>
      </c>
      <c r="CO1674" s="1005"/>
      <c r="CP1674" s="1005" t="s">
        <v>2387</v>
      </c>
    </row>
    <row r="1675">
      <c r="A1675" s="1251" t="s">
        <v>94</v>
      </c>
      <c r="B1675" s="1099" t="s">
        <v>2093</v>
      </c>
      <c r="C1675" s="1092">
        <v>45427.0</v>
      </c>
      <c r="D1675" s="1093"/>
      <c r="E1675" s="1094">
        <v>1.0</v>
      </c>
      <c r="F1675" s="1179" t="s">
        <v>2388</v>
      </c>
      <c r="G1675" s="1096">
        <v>0.4036458333333333</v>
      </c>
      <c r="H1675" s="1096">
        <v>0.4041666666666667</v>
      </c>
      <c r="I1675" s="1096"/>
      <c r="J1675" s="1097"/>
      <c r="K1675" s="1097">
        <v>0.425</v>
      </c>
      <c r="L1675" s="1098">
        <v>0.020833333333333332</v>
      </c>
      <c r="M1675" s="1099" t="s">
        <v>166</v>
      </c>
      <c r="N1675" s="129" t="s">
        <v>187</v>
      </c>
      <c r="O1675" s="1101" t="s">
        <v>2354</v>
      </c>
      <c r="P1675" s="1101" t="s">
        <v>256</v>
      </c>
      <c r="Q1675" s="1101" t="s">
        <v>851</v>
      </c>
      <c r="R1675" s="132">
        <v>7.8</v>
      </c>
      <c r="S1675" s="1099">
        <v>8.2</v>
      </c>
      <c r="T1675" s="129">
        <v>0.64</v>
      </c>
      <c r="U1675" s="1094">
        <v>0.5</v>
      </c>
      <c r="V1675" s="1094"/>
      <c r="W1675" s="1094"/>
      <c r="X1675" s="1094"/>
      <c r="Y1675" s="1094"/>
      <c r="Z1675" s="1100" t="s">
        <v>335</v>
      </c>
      <c r="AA1675" s="1100"/>
      <c r="AB1675" s="1100" t="s">
        <v>333</v>
      </c>
      <c r="AC1675" s="1254" t="s">
        <v>2389</v>
      </c>
      <c r="AD1675" s="1223"/>
      <c r="AE1675" s="1223"/>
      <c r="AF1675" s="1223"/>
      <c r="AG1675" s="1223"/>
      <c r="AH1675" s="1223"/>
      <c r="AI1675" s="1223"/>
      <c r="AJ1675" s="1222"/>
      <c r="AK1675" s="1224"/>
      <c r="AL1675" s="1223"/>
      <c r="AM1675" s="1223"/>
      <c r="AN1675" s="1223"/>
      <c r="AO1675" s="1223"/>
      <c r="AP1675" s="1223"/>
      <c r="AQ1675" s="1223"/>
      <c r="AR1675" s="1223"/>
      <c r="AS1675" s="1222"/>
      <c r="AT1675" s="1196" t="str">
        <f t="shared" si="179"/>
        <v>0-1</v>
      </c>
      <c r="AU1675" s="1195"/>
      <c r="AV1675" s="405">
        <f>SQRT(($R1675-Infrastructure!J$3)^2+($S1675-Infrastructure!K$3)^2)</f>
        <v>22.22836026</v>
      </c>
      <c r="AW1675" s="406">
        <f>SQRT(($R1675-Infrastructure!J$4)^2+($S1675-Infrastructure!K$4)^2)</f>
        <v>12.56065285</v>
      </c>
      <c r="AX1675" s="406">
        <f>SQRT(($R1675-Infrastructure!J$5)^2+($S1675-Infrastructure!K$5)^2)</f>
        <v>8.672946443</v>
      </c>
      <c r="AY1675" s="406">
        <f>SQRT(($R1675-Infrastructure!J$6)^2+($S1675-Infrastructure!K$6)^2)</f>
        <v>8.228000972</v>
      </c>
      <c r="AZ1675" s="406">
        <f>SQRT(($R1675-Infrastructure!J$7)^2+($S1675-Infrastructure!K$7)^2)</f>
        <v>14.95660389</v>
      </c>
      <c r="BA1675" s="406">
        <f>SQRT(($R1675-Infrastructure!J$8)^2+($S1675-Infrastructure!K$8)^2)</f>
        <v>23.65797963</v>
      </c>
      <c r="BB1675" s="406">
        <f>SQRT(($R1675-Infrastructure!J$9)^2+($S1675-Infrastructure!K$9)^2)</f>
        <v>32.34887942</v>
      </c>
      <c r="BC1675" s="406">
        <f>SQRT(($R1675-Infrastructure!J$10)^2+($S1675-Infrastructure!K$10)^2)</f>
        <v>32.9101808</v>
      </c>
      <c r="BD1675" s="406">
        <f>SQRT(($R1675-Infrastructure!J$11)^2+($S1675-Infrastructure!K$11)^2)</f>
        <v>38.501948</v>
      </c>
      <c r="BE1675" s="408">
        <f>SQRT(($R1675-Infrastructure!J$12)^2+($S1675-Infrastructure!K$12)^2)</f>
        <v>49.24408594</v>
      </c>
      <c r="BF1675" s="405">
        <f t="shared" si="161"/>
        <v>8.228000972</v>
      </c>
      <c r="BG1675" s="408">
        <f t="shared" si="162"/>
        <v>49.24408594</v>
      </c>
      <c r="BH1675" s="1105"/>
      <c r="BI1675" s="319" t="str">
        <f t="shared" ref="BI1675:BR1675" si="225">IF(ISNUMBER(FIND(BI$3, $CO1675)), "Y", "")</f>
        <v>Y</v>
      </c>
      <c r="BJ1675" s="319" t="str">
        <f t="shared" si="225"/>
        <v/>
      </c>
      <c r="BK1675" s="319" t="str">
        <f t="shared" si="225"/>
        <v>Y</v>
      </c>
      <c r="BL1675" s="319" t="str">
        <f t="shared" si="225"/>
        <v>Y</v>
      </c>
      <c r="BM1675" s="319" t="str">
        <f t="shared" si="225"/>
        <v>Y</v>
      </c>
      <c r="BN1675" s="319" t="str">
        <f t="shared" si="225"/>
        <v/>
      </c>
      <c r="BO1675" s="319" t="str">
        <f t="shared" si="225"/>
        <v/>
      </c>
      <c r="BP1675" s="319" t="str">
        <f t="shared" si="225"/>
        <v/>
      </c>
      <c r="BQ1675" s="319" t="str">
        <f t="shared" si="225"/>
        <v/>
      </c>
      <c r="BR1675" s="319" t="str">
        <f t="shared" si="225"/>
        <v/>
      </c>
      <c r="BS1675" s="405">
        <f t="shared" si="185"/>
        <v>8.228000972</v>
      </c>
      <c r="BT1675" s="406">
        <f t="shared" si="170"/>
        <v>22.22836026</v>
      </c>
      <c r="BU1675" s="931">
        <v>0.4105787037037037</v>
      </c>
      <c r="BV1675" s="903">
        <f t="shared" si="186"/>
        <v>0.00693287037</v>
      </c>
      <c r="BW1675" s="926">
        <v>4.5</v>
      </c>
      <c r="BX1675" s="926">
        <v>21.7</v>
      </c>
      <c r="BY1675" s="406">
        <f t="shared" si="201"/>
        <v>13.89748179</v>
      </c>
      <c r="BZ1675" s="406"/>
      <c r="CA1675" s="573" t="s">
        <v>846</v>
      </c>
      <c r="CB1675" s="393" t="s">
        <v>846</v>
      </c>
      <c r="CC1675" s="393" t="s">
        <v>846</v>
      </c>
      <c r="CD1675" s="393" t="s">
        <v>846</v>
      </c>
      <c r="CE1675" s="393" t="s">
        <v>846</v>
      </c>
      <c r="CF1675" s="393"/>
      <c r="CG1675" s="393" t="s">
        <v>846</v>
      </c>
      <c r="CH1675" s="392"/>
      <c r="CI1675" s="393"/>
      <c r="CJ1675" s="393"/>
      <c r="CK1675" s="414">
        <f t="shared" si="182"/>
        <v>8.228000972</v>
      </c>
      <c r="CL1675" s="408">
        <f t="shared" si="183"/>
        <v>32.34887942</v>
      </c>
      <c r="CM1675" s="1077" t="s">
        <v>2390</v>
      </c>
      <c r="CN1675" s="1055" t="s">
        <v>2391</v>
      </c>
      <c r="CO1675" s="1255" t="s">
        <v>2392</v>
      </c>
      <c r="CP1675" s="1255" t="s">
        <v>2393</v>
      </c>
    </row>
    <row r="1676">
      <c r="A1676" s="797"/>
      <c r="B1676" s="1113" t="s">
        <v>2093</v>
      </c>
      <c r="C1676" s="1107">
        <v>45427.0</v>
      </c>
      <c r="D1676" s="103"/>
      <c r="E1676" s="1108">
        <v>2.0</v>
      </c>
      <c r="F1676" s="112" t="s">
        <v>2394</v>
      </c>
      <c r="G1676" s="1110">
        <v>0.425</v>
      </c>
      <c r="H1676" s="1110">
        <v>0.42569444444444443</v>
      </c>
      <c r="I1676" s="1110"/>
      <c r="J1676" s="1111"/>
      <c r="K1676" s="1111">
        <v>0.46875</v>
      </c>
      <c r="L1676" s="1112">
        <v>0.043055555555555555</v>
      </c>
      <c r="M1676" s="1113" t="s">
        <v>166</v>
      </c>
      <c r="N1676" s="110" t="s">
        <v>187</v>
      </c>
      <c r="O1676" s="1115" t="s">
        <v>2354</v>
      </c>
      <c r="P1676" s="1115" t="s">
        <v>256</v>
      </c>
      <c r="Q1676" s="1115" t="s">
        <v>851</v>
      </c>
      <c r="R1676" s="120">
        <v>7.8</v>
      </c>
      <c r="S1676" s="1113">
        <v>8.2</v>
      </c>
      <c r="T1676" s="110">
        <v>0.64</v>
      </c>
      <c r="U1676" s="1108">
        <v>0.08</v>
      </c>
      <c r="V1676" s="1108"/>
      <c r="W1676" s="1108"/>
      <c r="X1676" s="1108"/>
      <c r="Y1676" s="1108"/>
      <c r="Z1676" s="1114" t="s">
        <v>335</v>
      </c>
      <c r="AA1676" s="1114"/>
      <c r="AB1676" s="1114" t="s">
        <v>333</v>
      </c>
      <c r="AC1676" s="1117">
        <v>2.0</v>
      </c>
      <c r="AD1676" s="1115"/>
      <c r="AE1676" s="1115"/>
      <c r="AF1676" s="1115"/>
      <c r="AG1676" s="1115"/>
      <c r="AH1676" s="1115"/>
      <c r="AI1676" s="1115"/>
      <c r="AJ1676" s="1117"/>
      <c r="AK1676" s="1118"/>
      <c r="AL1676" s="1115"/>
      <c r="AM1676" s="1115"/>
      <c r="AN1676" s="1115"/>
      <c r="AO1676" s="1115"/>
      <c r="AP1676" s="1115"/>
      <c r="AQ1676" s="1115"/>
      <c r="AR1676" s="1115"/>
      <c r="AS1676" s="1117"/>
      <c r="AT1676" s="1196" t="str">
        <f t="shared" si="179"/>
        <v>0-1</v>
      </c>
      <c r="AU1676" s="1193"/>
      <c r="AV1676" s="330">
        <f>SQRT(($R1676-Infrastructure!J$3)^2+($S1676-Infrastructure!K$3)^2)</f>
        <v>22.22836026</v>
      </c>
      <c r="AW1676" s="331">
        <f>SQRT(($R1676-Infrastructure!J$4)^2+($S1676-Infrastructure!K$4)^2)</f>
        <v>12.56065285</v>
      </c>
      <c r="AX1676" s="331">
        <f>SQRT(($R1676-Infrastructure!J$5)^2+($S1676-Infrastructure!K$5)^2)</f>
        <v>8.672946443</v>
      </c>
      <c r="AY1676" s="331">
        <f>SQRT(($R1676-Infrastructure!J$6)^2+($S1676-Infrastructure!K$6)^2)</f>
        <v>8.228000972</v>
      </c>
      <c r="AZ1676" s="331">
        <f>SQRT(($R1676-Infrastructure!J$7)^2+($S1676-Infrastructure!K$7)^2)</f>
        <v>14.95660389</v>
      </c>
      <c r="BA1676" s="331">
        <f>SQRT(($R1676-Infrastructure!J$8)^2+($S1676-Infrastructure!K$8)^2)</f>
        <v>23.65797963</v>
      </c>
      <c r="BB1676" s="331">
        <f>SQRT(($R1676-Infrastructure!J$9)^2+($S1676-Infrastructure!K$9)^2)</f>
        <v>32.34887942</v>
      </c>
      <c r="BC1676" s="331">
        <f>SQRT(($R1676-Infrastructure!J$10)^2+($S1676-Infrastructure!K$10)^2)</f>
        <v>32.9101808</v>
      </c>
      <c r="BD1676" s="331">
        <f>SQRT(($R1676-Infrastructure!J$11)^2+($S1676-Infrastructure!K$11)^2)</f>
        <v>38.501948</v>
      </c>
      <c r="BE1676" s="333">
        <f>SQRT(($R1676-Infrastructure!J$12)^2+($S1676-Infrastructure!K$12)^2)</f>
        <v>49.24408594</v>
      </c>
      <c r="BF1676" s="330">
        <f t="shared" si="161"/>
        <v>8.228000972</v>
      </c>
      <c r="BG1676" s="333">
        <f t="shared" si="162"/>
        <v>49.24408594</v>
      </c>
      <c r="BH1676" s="1119"/>
      <c r="BI1676" s="319" t="str">
        <f t="shared" ref="BI1676:BR1676" si="226">IF(ISNUMBER(FIND(BI$3, $CO1676)), "Y", "")</f>
        <v>Y</v>
      </c>
      <c r="BJ1676" s="319" t="str">
        <f t="shared" si="226"/>
        <v/>
      </c>
      <c r="BK1676" s="319" t="str">
        <f t="shared" si="226"/>
        <v>Y</v>
      </c>
      <c r="BL1676" s="319" t="str">
        <f t="shared" si="226"/>
        <v/>
      </c>
      <c r="BM1676" s="319" t="str">
        <f t="shared" si="226"/>
        <v>Y</v>
      </c>
      <c r="BN1676" s="319" t="str">
        <f t="shared" si="226"/>
        <v>Y</v>
      </c>
      <c r="BO1676" s="319" t="str">
        <f t="shared" si="226"/>
        <v/>
      </c>
      <c r="BP1676" s="319" t="str">
        <f t="shared" si="226"/>
        <v/>
      </c>
      <c r="BQ1676" s="319" t="str">
        <f t="shared" si="226"/>
        <v/>
      </c>
      <c r="BR1676" s="319" t="str">
        <f t="shared" si="226"/>
        <v/>
      </c>
      <c r="BS1676" s="330">
        <f t="shared" si="185"/>
        <v>8.672946443</v>
      </c>
      <c r="BT1676" s="331">
        <f t="shared" si="170"/>
        <v>23.65797963</v>
      </c>
      <c r="BU1676" s="920">
        <v>0.4205902777777778</v>
      </c>
      <c r="BV1676" s="903" t="str">
        <f t="shared" si="186"/>
        <v/>
      </c>
      <c r="BW1676" s="908">
        <v>5.0</v>
      </c>
      <c r="BX1676" s="908">
        <v>24.2</v>
      </c>
      <c r="BY1676" s="331">
        <f t="shared" si="201"/>
        <v>16.2431524</v>
      </c>
      <c r="BZ1676" s="331"/>
      <c r="CA1676" s="462"/>
      <c r="CB1676" s="319"/>
      <c r="CC1676" s="319"/>
      <c r="CD1676" s="319"/>
      <c r="CE1676" s="319"/>
      <c r="CF1676" s="319"/>
      <c r="CG1676" s="319"/>
      <c r="CH1676" s="318"/>
      <c r="CI1676" s="319"/>
      <c r="CJ1676" s="319"/>
      <c r="CK1676" s="342">
        <f t="shared" si="182"/>
        <v>0</v>
      </c>
      <c r="CL1676" s="333">
        <f t="shared" si="183"/>
        <v>0</v>
      </c>
      <c r="CM1676" s="1079" t="s">
        <v>2355</v>
      </c>
      <c r="CN1676" s="1005" t="s">
        <v>2391</v>
      </c>
      <c r="CO1676" s="1256" t="s">
        <v>2395</v>
      </c>
      <c r="CP1676" s="1256"/>
    </row>
    <row r="1677">
      <c r="A1677" s="797"/>
      <c r="B1677" s="1113" t="s">
        <v>2093</v>
      </c>
      <c r="C1677" s="1107">
        <v>45427.0</v>
      </c>
      <c r="D1677" s="103"/>
      <c r="E1677" s="1108">
        <v>3.0</v>
      </c>
      <c r="F1677" s="112" t="s">
        <v>2396</v>
      </c>
      <c r="G1677" s="1110">
        <v>0.46875</v>
      </c>
      <c r="H1677" s="1110">
        <v>0.4690972222222222</v>
      </c>
      <c r="I1677" s="1110"/>
      <c r="J1677" s="1111"/>
      <c r="K1677" s="1111">
        <v>0.48408564814814814</v>
      </c>
      <c r="L1677" s="1112">
        <v>0.014988425925925926</v>
      </c>
      <c r="M1677" s="1113" t="s">
        <v>166</v>
      </c>
      <c r="N1677" s="110" t="s">
        <v>187</v>
      </c>
      <c r="O1677" s="1115" t="s">
        <v>2354</v>
      </c>
      <c r="P1677" s="1115" t="s">
        <v>256</v>
      </c>
      <c r="Q1677" s="1115" t="s">
        <v>851</v>
      </c>
      <c r="R1677" s="120">
        <v>7.8</v>
      </c>
      <c r="S1677" s="1113">
        <v>8.2</v>
      </c>
      <c r="T1677" s="110">
        <v>0.64</v>
      </c>
      <c r="U1677" s="1108" t="s">
        <v>2397</v>
      </c>
      <c r="V1677" s="1108"/>
      <c r="W1677" s="1108"/>
      <c r="X1677" s="1108"/>
      <c r="Y1677" s="1108"/>
      <c r="Z1677" s="1114" t="s">
        <v>335</v>
      </c>
      <c r="AA1677" s="1114"/>
      <c r="AB1677" s="1114" t="s">
        <v>333</v>
      </c>
      <c r="AC1677" s="1117">
        <v>2.0</v>
      </c>
      <c r="AD1677" s="1115"/>
      <c r="AE1677" s="1115"/>
      <c r="AF1677" s="1115"/>
      <c r="AG1677" s="1115"/>
      <c r="AH1677" s="1115"/>
      <c r="AI1677" s="1115"/>
      <c r="AJ1677" s="1117"/>
      <c r="AK1677" s="1118"/>
      <c r="AL1677" s="1115"/>
      <c r="AM1677" s="1115"/>
      <c r="AN1677" s="1115"/>
      <c r="AO1677" s="1115"/>
      <c r="AP1677" s="1115"/>
      <c r="AQ1677" s="1115"/>
      <c r="AR1677" s="1115"/>
      <c r="AS1677" s="1117"/>
      <c r="AT1677" s="1196" t="str">
        <f t="shared" si="179"/>
        <v/>
      </c>
      <c r="AU1677" s="1193"/>
      <c r="AV1677" s="330">
        <f>SQRT(($R1677-Infrastructure!J$3)^2+($S1677-Infrastructure!K$3)^2)</f>
        <v>22.22836026</v>
      </c>
      <c r="AW1677" s="331">
        <f>SQRT(($R1677-Infrastructure!J$4)^2+($S1677-Infrastructure!K$4)^2)</f>
        <v>12.56065285</v>
      </c>
      <c r="AX1677" s="331">
        <f>SQRT(($R1677-Infrastructure!J$5)^2+($S1677-Infrastructure!K$5)^2)</f>
        <v>8.672946443</v>
      </c>
      <c r="AY1677" s="331">
        <f>SQRT(($R1677-Infrastructure!J$6)^2+($S1677-Infrastructure!K$6)^2)</f>
        <v>8.228000972</v>
      </c>
      <c r="AZ1677" s="331">
        <f>SQRT(($R1677-Infrastructure!J$7)^2+($S1677-Infrastructure!K$7)^2)</f>
        <v>14.95660389</v>
      </c>
      <c r="BA1677" s="331">
        <f>SQRT(($R1677-Infrastructure!J$8)^2+($S1677-Infrastructure!K$8)^2)</f>
        <v>23.65797963</v>
      </c>
      <c r="BB1677" s="331">
        <f>SQRT(($R1677-Infrastructure!J$9)^2+($S1677-Infrastructure!K$9)^2)</f>
        <v>32.34887942</v>
      </c>
      <c r="BC1677" s="331">
        <f>SQRT(($R1677-Infrastructure!J$10)^2+($S1677-Infrastructure!K$10)^2)</f>
        <v>32.9101808</v>
      </c>
      <c r="BD1677" s="331">
        <f>SQRT(($R1677-Infrastructure!J$11)^2+($S1677-Infrastructure!K$11)^2)</f>
        <v>38.501948</v>
      </c>
      <c r="BE1677" s="333">
        <f>SQRT(($R1677-Infrastructure!J$12)^2+($S1677-Infrastructure!K$12)^2)</f>
        <v>49.24408594</v>
      </c>
      <c r="BF1677" s="330">
        <f t="shared" si="161"/>
        <v>8.228000972</v>
      </c>
      <c r="BG1677" s="333">
        <f t="shared" si="162"/>
        <v>49.24408594</v>
      </c>
      <c r="BH1677" s="1119"/>
      <c r="BI1677" s="319" t="str">
        <f t="shared" ref="BI1677:BR1677" si="227">IF(ISNUMBER(FIND(BI$3, $CO1677)), "Y", "")</f>
        <v/>
      </c>
      <c r="BJ1677" s="319" t="str">
        <f t="shared" si="227"/>
        <v/>
      </c>
      <c r="BK1677" s="319" t="str">
        <f t="shared" si="227"/>
        <v/>
      </c>
      <c r="BL1677" s="319" t="str">
        <f t="shared" si="227"/>
        <v/>
      </c>
      <c r="BM1677" s="319" t="str">
        <f t="shared" si="227"/>
        <v/>
      </c>
      <c r="BN1677" s="319" t="str">
        <f t="shared" si="227"/>
        <v/>
      </c>
      <c r="BO1677" s="319" t="str">
        <f t="shared" si="227"/>
        <v/>
      </c>
      <c r="BP1677" s="319" t="str">
        <f t="shared" si="227"/>
        <v/>
      </c>
      <c r="BQ1677" s="319" t="str">
        <f t="shared" si="227"/>
        <v/>
      </c>
      <c r="BR1677" s="319" t="str">
        <f t="shared" si="227"/>
        <v/>
      </c>
      <c r="BS1677" s="330">
        <f t="shared" si="185"/>
        <v>0</v>
      </c>
      <c r="BT1677" s="331">
        <f t="shared" si="170"/>
        <v>0</v>
      </c>
      <c r="BU1677" s="920"/>
      <c r="BV1677" s="903" t="str">
        <f t="shared" si="186"/>
        <v/>
      </c>
      <c r="BW1677" s="908"/>
      <c r="BX1677" s="908"/>
      <c r="BY1677" s="331" t="b">
        <f t="shared" si="201"/>
        <v>0</v>
      </c>
      <c r="BZ1677" s="331"/>
      <c r="CA1677" s="462"/>
      <c r="CB1677" s="319"/>
      <c r="CC1677" s="319"/>
      <c r="CD1677" s="319"/>
      <c r="CE1677" s="319"/>
      <c r="CF1677" s="319"/>
      <c r="CG1677" s="319"/>
      <c r="CH1677" s="318"/>
      <c r="CI1677" s="319"/>
      <c r="CJ1677" s="319"/>
      <c r="CK1677" s="342">
        <f t="shared" si="182"/>
        <v>0</v>
      </c>
      <c r="CL1677" s="333">
        <f t="shared" si="183"/>
        <v>0</v>
      </c>
      <c r="CM1677" s="1079" t="s">
        <v>2355</v>
      </c>
      <c r="CN1677" s="1005" t="s">
        <v>2391</v>
      </c>
      <c r="CO1677" s="1005"/>
      <c r="CP1677" s="1005"/>
    </row>
    <row r="1678">
      <c r="A1678" s="797"/>
      <c r="B1678" s="1113" t="s">
        <v>2093</v>
      </c>
      <c r="C1678" s="1107">
        <v>45427.0</v>
      </c>
      <c r="D1678" s="103"/>
      <c r="E1678" s="1108">
        <v>4.0</v>
      </c>
      <c r="F1678" s="112" t="s">
        <v>2398</v>
      </c>
      <c r="G1678" s="1110">
        <v>0.48408564814814814</v>
      </c>
      <c r="H1678" s="1110">
        <v>0.484375</v>
      </c>
      <c r="I1678" s="1110"/>
      <c r="J1678" s="1111"/>
      <c r="K1678" s="1111">
        <v>0.5041666666666667</v>
      </c>
      <c r="L1678" s="1112">
        <v>0.019791666666666666</v>
      </c>
      <c r="M1678" s="1113" t="s">
        <v>166</v>
      </c>
      <c r="N1678" s="110" t="s">
        <v>187</v>
      </c>
      <c r="O1678" s="1115" t="s">
        <v>2354</v>
      </c>
      <c r="P1678" s="1115" t="s">
        <v>256</v>
      </c>
      <c r="Q1678" s="1115" t="s">
        <v>851</v>
      </c>
      <c r="R1678" s="120">
        <v>7.8</v>
      </c>
      <c r="S1678" s="1113">
        <v>8.2</v>
      </c>
      <c r="T1678" s="110">
        <v>0.64</v>
      </c>
      <c r="U1678" s="1108" t="s">
        <v>2397</v>
      </c>
      <c r="V1678" s="1108"/>
      <c r="W1678" s="1108"/>
      <c r="X1678" s="1108"/>
      <c r="Y1678" s="1108"/>
      <c r="Z1678" s="1114" t="s">
        <v>335</v>
      </c>
      <c r="AA1678" s="1114"/>
      <c r="AB1678" s="1114" t="s">
        <v>333</v>
      </c>
      <c r="AC1678" s="1117">
        <v>2.0</v>
      </c>
      <c r="AD1678" s="1115"/>
      <c r="AE1678" s="1115"/>
      <c r="AF1678" s="1115"/>
      <c r="AG1678" s="1115"/>
      <c r="AH1678" s="1115"/>
      <c r="AI1678" s="1115"/>
      <c r="AJ1678" s="1117"/>
      <c r="AK1678" s="1118"/>
      <c r="AL1678" s="1115"/>
      <c r="AM1678" s="1115"/>
      <c r="AN1678" s="1115"/>
      <c r="AO1678" s="1115"/>
      <c r="AP1678" s="1115"/>
      <c r="AQ1678" s="1115"/>
      <c r="AR1678" s="1115"/>
      <c r="AS1678" s="1117"/>
      <c r="AT1678" s="1196" t="str">
        <f t="shared" si="179"/>
        <v/>
      </c>
      <c r="AU1678" s="1193"/>
      <c r="AV1678" s="330">
        <f>SQRT(($R1678-Infrastructure!J$3)^2+($S1678-Infrastructure!K$3)^2)</f>
        <v>22.22836026</v>
      </c>
      <c r="AW1678" s="331">
        <f>SQRT(($R1678-Infrastructure!J$4)^2+($S1678-Infrastructure!K$4)^2)</f>
        <v>12.56065285</v>
      </c>
      <c r="AX1678" s="331">
        <f>SQRT(($R1678-Infrastructure!J$5)^2+($S1678-Infrastructure!K$5)^2)</f>
        <v>8.672946443</v>
      </c>
      <c r="AY1678" s="331">
        <f>SQRT(($R1678-Infrastructure!J$6)^2+($S1678-Infrastructure!K$6)^2)</f>
        <v>8.228000972</v>
      </c>
      <c r="AZ1678" s="331">
        <f>SQRT(($R1678-Infrastructure!J$7)^2+($S1678-Infrastructure!K$7)^2)</f>
        <v>14.95660389</v>
      </c>
      <c r="BA1678" s="331">
        <f>SQRT(($R1678-Infrastructure!J$8)^2+($S1678-Infrastructure!K$8)^2)</f>
        <v>23.65797963</v>
      </c>
      <c r="BB1678" s="331">
        <f>SQRT(($R1678-Infrastructure!J$9)^2+($S1678-Infrastructure!K$9)^2)</f>
        <v>32.34887942</v>
      </c>
      <c r="BC1678" s="331">
        <f>SQRT(($R1678-Infrastructure!J$10)^2+($S1678-Infrastructure!K$10)^2)</f>
        <v>32.9101808</v>
      </c>
      <c r="BD1678" s="331">
        <f>SQRT(($R1678-Infrastructure!J$11)^2+($S1678-Infrastructure!K$11)^2)</f>
        <v>38.501948</v>
      </c>
      <c r="BE1678" s="333">
        <f>SQRT(($R1678-Infrastructure!J$12)^2+($S1678-Infrastructure!K$12)^2)</f>
        <v>49.24408594</v>
      </c>
      <c r="BF1678" s="330">
        <f t="shared" si="161"/>
        <v>8.228000972</v>
      </c>
      <c r="BG1678" s="333">
        <f t="shared" si="162"/>
        <v>49.24408594</v>
      </c>
      <c r="BH1678" s="1119"/>
      <c r="BI1678" s="319" t="str">
        <f t="shared" ref="BI1678:BR1678" si="228">IF(ISNUMBER(FIND(BI$3, $CO1678)), "Y", "")</f>
        <v/>
      </c>
      <c r="BJ1678" s="319" t="str">
        <f t="shared" si="228"/>
        <v/>
      </c>
      <c r="BK1678" s="319" t="str">
        <f t="shared" si="228"/>
        <v/>
      </c>
      <c r="BL1678" s="319" t="str">
        <f t="shared" si="228"/>
        <v/>
      </c>
      <c r="BM1678" s="319" t="str">
        <f t="shared" si="228"/>
        <v/>
      </c>
      <c r="BN1678" s="319" t="str">
        <f t="shared" si="228"/>
        <v/>
      </c>
      <c r="BO1678" s="319" t="str">
        <f t="shared" si="228"/>
        <v/>
      </c>
      <c r="BP1678" s="319" t="str">
        <f t="shared" si="228"/>
        <v/>
      </c>
      <c r="BQ1678" s="319" t="str">
        <f t="shared" si="228"/>
        <v/>
      </c>
      <c r="BR1678" s="319" t="str">
        <f t="shared" si="228"/>
        <v/>
      </c>
      <c r="BS1678" s="330">
        <f t="shared" si="185"/>
        <v>0</v>
      </c>
      <c r="BT1678" s="331">
        <f t="shared" si="170"/>
        <v>0</v>
      </c>
      <c r="BU1678" s="920"/>
      <c r="BV1678" s="903" t="str">
        <f t="shared" si="186"/>
        <v/>
      </c>
      <c r="BW1678" s="908"/>
      <c r="BX1678" s="908"/>
      <c r="BY1678" s="331" t="b">
        <f t="shared" si="201"/>
        <v>0</v>
      </c>
      <c r="BZ1678" s="331"/>
      <c r="CA1678" s="462"/>
      <c r="CB1678" s="319"/>
      <c r="CC1678" s="319"/>
      <c r="CD1678" s="319"/>
      <c r="CE1678" s="319"/>
      <c r="CF1678" s="319"/>
      <c r="CG1678" s="319"/>
      <c r="CH1678" s="318"/>
      <c r="CI1678" s="319"/>
      <c r="CJ1678" s="319"/>
      <c r="CK1678" s="342">
        <f t="shared" si="182"/>
        <v>0</v>
      </c>
      <c r="CL1678" s="333">
        <f t="shared" si="183"/>
        <v>0</v>
      </c>
      <c r="CM1678" s="1079" t="s">
        <v>2355</v>
      </c>
      <c r="CN1678" s="1005" t="s">
        <v>2391</v>
      </c>
      <c r="CO1678" s="1005"/>
      <c r="CP1678" s="1005"/>
    </row>
    <row r="1679">
      <c r="A1679" s="797"/>
      <c r="B1679" s="1113"/>
      <c r="C1679" s="1107"/>
      <c r="D1679" s="103"/>
      <c r="E1679" s="1137"/>
      <c r="F1679" s="112"/>
      <c r="G1679" s="1110">
        <v>0.5916666666666667</v>
      </c>
      <c r="H1679" s="1138"/>
      <c r="I1679" s="1138"/>
      <c r="J1679" s="1139"/>
      <c r="K1679" s="1111">
        <v>0.5944444444444444</v>
      </c>
      <c r="L1679" s="1112">
        <v>0.002777777777777778</v>
      </c>
      <c r="M1679" s="1113" t="s">
        <v>166</v>
      </c>
      <c r="N1679" s="110" t="s">
        <v>188</v>
      </c>
      <c r="O1679" s="1140"/>
      <c r="P1679" s="1115" t="s">
        <v>292</v>
      </c>
      <c r="Q1679" s="1116"/>
      <c r="R1679" s="1141"/>
      <c r="S1679" s="1113"/>
      <c r="T1679" s="1143"/>
      <c r="U1679" s="1108" t="s">
        <v>323</v>
      </c>
      <c r="V1679" s="1108"/>
      <c r="W1679" s="1108"/>
      <c r="X1679" s="1108"/>
      <c r="Y1679" s="1108"/>
      <c r="Z1679" s="1114" t="s">
        <v>323</v>
      </c>
      <c r="AA1679" s="1114"/>
      <c r="AB1679" s="1114" t="s">
        <v>323</v>
      </c>
      <c r="AC1679" s="1117" t="s">
        <v>323</v>
      </c>
      <c r="AD1679" s="1115"/>
      <c r="AE1679" s="1115"/>
      <c r="AF1679" s="1115"/>
      <c r="AG1679" s="1115"/>
      <c r="AH1679" s="1115"/>
      <c r="AI1679" s="1115"/>
      <c r="AJ1679" s="1117"/>
      <c r="AK1679" s="1118"/>
      <c r="AL1679" s="1115"/>
      <c r="AM1679" s="1115"/>
      <c r="AN1679" s="1115"/>
      <c r="AO1679" s="1115"/>
      <c r="AP1679" s="1115"/>
      <c r="AQ1679" s="1115"/>
      <c r="AR1679" s="1115"/>
      <c r="AS1679" s="1117"/>
      <c r="AT1679" s="1196" t="str">
        <f t="shared" si="179"/>
        <v/>
      </c>
      <c r="AU1679" s="1193"/>
      <c r="AV1679" s="330">
        <f>SQRT(($R1679-Infrastructure!J$3)^2+($S1679-Infrastructure!K$3)^2)</f>
        <v>28.90155705</v>
      </c>
      <c r="AW1679" s="331">
        <f>SQRT(($R1679-Infrastructure!J$4)^2+($S1679-Infrastructure!K$4)^2)</f>
        <v>17.80252791</v>
      </c>
      <c r="AX1679" s="331">
        <f>SQRT(($R1679-Infrastructure!J$5)^2+($S1679-Infrastructure!K$5)^2)</f>
        <v>5.10881591</v>
      </c>
      <c r="AY1679" s="331">
        <f>SQRT(($R1679-Infrastructure!J$6)^2+($S1679-Infrastructure!K$6)^2)</f>
        <v>10.10445446</v>
      </c>
      <c r="AZ1679" s="331">
        <f>SQRT(($R1679-Infrastructure!J$7)^2+($S1679-Infrastructure!K$7)^2)</f>
        <v>20.502195</v>
      </c>
      <c r="BA1679" s="331">
        <f>SQRT(($R1679-Infrastructure!J$8)^2+($S1679-Infrastructure!K$8)^2)</f>
        <v>30.10149498</v>
      </c>
      <c r="BB1679" s="331">
        <f>SQRT(($R1679-Infrastructure!J$9)^2+($S1679-Infrastructure!K$9)^2)</f>
        <v>40.3238143</v>
      </c>
      <c r="BC1679" s="331">
        <f>SQRT(($R1679-Infrastructure!J$10)^2+($S1679-Infrastructure!K$10)^2)</f>
        <v>42.72001873</v>
      </c>
      <c r="BD1679" s="331">
        <f>SQRT(($R1679-Infrastructure!J$11)^2+($S1679-Infrastructure!K$11)^2)</f>
        <v>49.56853841</v>
      </c>
      <c r="BE1679" s="333">
        <f>SQRT(($R1679-Infrastructure!J$12)^2+($S1679-Infrastructure!K$12)^2)</f>
        <v>59.51890456</v>
      </c>
      <c r="BF1679" s="330">
        <f t="shared" si="161"/>
        <v>5.10881591</v>
      </c>
      <c r="BG1679" s="333">
        <f t="shared" si="162"/>
        <v>59.51890456</v>
      </c>
      <c r="BH1679" s="1119"/>
      <c r="BI1679" s="319" t="str">
        <f t="shared" ref="BI1679:BR1679" si="229">IF(ISNUMBER(FIND(BI$3, $CO1679)), "Y", "")</f>
        <v>Y</v>
      </c>
      <c r="BJ1679" s="319" t="str">
        <f t="shared" si="229"/>
        <v/>
      </c>
      <c r="BK1679" s="319" t="str">
        <f t="shared" si="229"/>
        <v>Y</v>
      </c>
      <c r="BL1679" s="319" t="str">
        <f t="shared" si="229"/>
        <v/>
      </c>
      <c r="BM1679" s="319" t="str">
        <f t="shared" si="229"/>
        <v>Y</v>
      </c>
      <c r="BN1679" s="319" t="str">
        <f t="shared" si="229"/>
        <v>Y</v>
      </c>
      <c r="BO1679" s="319" t="str">
        <f t="shared" si="229"/>
        <v/>
      </c>
      <c r="BP1679" s="319" t="str">
        <f t="shared" si="229"/>
        <v/>
      </c>
      <c r="BQ1679" s="319" t="str">
        <f t="shared" si="229"/>
        <v/>
      </c>
      <c r="BR1679" s="319" t="str">
        <f t="shared" si="229"/>
        <v/>
      </c>
      <c r="BS1679" s="330">
        <f t="shared" si="185"/>
        <v>5.10881591</v>
      </c>
      <c r="BT1679" s="331">
        <f t="shared" si="170"/>
        <v>30.10149498</v>
      </c>
      <c r="BU1679" s="920">
        <v>0.5925115740740741</v>
      </c>
      <c r="BV1679" s="903">
        <f t="shared" si="186"/>
        <v>0.0008449074074</v>
      </c>
      <c r="BW1679" s="908">
        <v>11.6</v>
      </c>
      <c r="BX1679" s="908">
        <v>40.2</v>
      </c>
      <c r="BY1679" s="331">
        <f t="shared" si="201"/>
        <v>41.84017208</v>
      </c>
      <c r="BZ1679" s="331"/>
      <c r="CA1679" s="462" t="s">
        <v>846</v>
      </c>
      <c r="CB1679" s="319"/>
      <c r="CC1679" s="319"/>
      <c r="CD1679" s="319"/>
      <c r="CE1679" s="319"/>
      <c r="CF1679" s="319"/>
      <c r="CG1679" s="319"/>
      <c r="CH1679" s="318"/>
      <c r="CI1679" s="319"/>
      <c r="CJ1679" s="319" t="s">
        <v>846</v>
      </c>
      <c r="CK1679" s="342">
        <f t="shared" si="182"/>
        <v>28.90155705</v>
      </c>
      <c r="CL1679" s="333">
        <f t="shared" si="183"/>
        <v>59.51890456</v>
      </c>
      <c r="CM1679" s="1079" t="s">
        <v>2399</v>
      </c>
      <c r="CN1679" s="1005" t="s">
        <v>2391</v>
      </c>
      <c r="CO1679" s="1256" t="s">
        <v>2395</v>
      </c>
      <c r="CP1679" s="1005" t="s">
        <v>2400</v>
      </c>
    </row>
    <row r="1680">
      <c r="A1680" s="1253"/>
      <c r="B1680" s="1129"/>
      <c r="C1680" s="1122"/>
      <c r="D1680" s="1123"/>
      <c r="E1680" s="1144"/>
      <c r="F1680" s="108"/>
      <c r="G1680" s="1126">
        <v>0.5951388888888889</v>
      </c>
      <c r="H1680" s="1145"/>
      <c r="I1680" s="1145"/>
      <c r="J1680" s="1146"/>
      <c r="K1680" s="1127">
        <v>0.5976273148148148</v>
      </c>
      <c r="L1680" s="1128">
        <v>0.002488425925925926</v>
      </c>
      <c r="M1680" s="1129" t="s">
        <v>358</v>
      </c>
      <c r="N1680" s="100" t="s">
        <v>188</v>
      </c>
      <c r="O1680" s="1161"/>
      <c r="P1680" s="1131" t="s">
        <v>294</v>
      </c>
      <c r="Q1680" s="1132"/>
      <c r="R1680" s="1148"/>
      <c r="S1680" s="1129"/>
      <c r="T1680" s="1150"/>
      <c r="U1680" s="1124" t="s">
        <v>323</v>
      </c>
      <c r="V1680" s="1124"/>
      <c r="W1680" s="1124"/>
      <c r="X1680" s="1124"/>
      <c r="Y1680" s="1124"/>
      <c r="Z1680" s="1130"/>
      <c r="AA1680" s="1130"/>
      <c r="AB1680" s="1130"/>
      <c r="AC1680" s="1133" t="s">
        <v>323</v>
      </c>
      <c r="AD1680" s="1131"/>
      <c r="AE1680" s="1131"/>
      <c r="AF1680" s="1131"/>
      <c r="AG1680" s="1131"/>
      <c r="AH1680" s="1131"/>
      <c r="AI1680" s="1131"/>
      <c r="AJ1680" s="1133"/>
      <c r="AK1680" s="1134"/>
      <c r="AL1680" s="1131"/>
      <c r="AM1680" s="1131"/>
      <c r="AN1680" s="1131"/>
      <c r="AO1680" s="1131"/>
      <c r="AP1680" s="1131"/>
      <c r="AQ1680" s="1131"/>
      <c r="AR1680" s="1131"/>
      <c r="AS1680" s="1133"/>
      <c r="AT1680" s="1197" t="str">
        <f t="shared" si="179"/>
        <v/>
      </c>
      <c r="AU1680" s="1194"/>
      <c r="AV1680" s="662">
        <f>SQRT(($R1680-Infrastructure!J$3)^2+($S1680-Infrastructure!K$3)^2)</f>
        <v>28.90155705</v>
      </c>
      <c r="AW1680" s="641">
        <f>SQRT(($R1680-Infrastructure!J$4)^2+($S1680-Infrastructure!K$4)^2)</f>
        <v>17.80252791</v>
      </c>
      <c r="AX1680" s="641">
        <f>SQRT(($R1680-Infrastructure!J$5)^2+($S1680-Infrastructure!K$5)^2)</f>
        <v>5.10881591</v>
      </c>
      <c r="AY1680" s="641">
        <f>SQRT(($R1680-Infrastructure!J$6)^2+($S1680-Infrastructure!K$6)^2)</f>
        <v>10.10445446</v>
      </c>
      <c r="AZ1680" s="641">
        <f>SQRT(($R1680-Infrastructure!J$7)^2+($S1680-Infrastructure!K$7)^2)</f>
        <v>20.502195</v>
      </c>
      <c r="BA1680" s="641">
        <f>SQRT(($R1680-Infrastructure!J$8)^2+($S1680-Infrastructure!K$8)^2)</f>
        <v>30.10149498</v>
      </c>
      <c r="BB1680" s="641">
        <f>SQRT(($R1680-Infrastructure!J$9)^2+($S1680-Infrastructure!K$9)^2)</f>
        <v>40.3238143</v>
      </c>
      <c r="BC1680" s="641">
        <f>SQRT(($R1680-Infrastructure!J$10)^2+($S1680-Infrastructure!K$10)^2)</f>
        <v>42.72001873</v>
      </c>
      <c r="BD1680" s="641">
        <f>SQRT(($R1680-Infrastructure!J$11)^2+($S1680-Infrastructure!K$11)^2)</f>
        <v>49.56853841</v>
      </c>
      <c r="BE1680" s="642">
        <f>SQRT(($R1680-Infrastructure!J$12)^2+($S1680-Infrastructure!K$12)^2)</f>
        <v>59.51890456</v>
      </c>
      <c r="BF1680" s="662">
        <f t="shared" si="161"/>
        <v>5.10881591</v>
      </c>
      <c r="BG1680" s="642">
        <f t="shared" si="162"/>
        <v>59.51890456</v>
      </c>
      <c r="BH1680" s="1135"/>
      <c r="BI1680" s="663" t="str">
        <f t="shared" ref="BI1680:BR1680" si="230">IF(ISNUMBER(FIND(BI$3, $CO1680)), "Y", "")</f>
        <v/>
      </c>
      <c r="BJ1680" s="663" t="str">
        <f t="shared" si="230"/>
        <v/>
      </c>
      <c r="BK1680" s="663" t="str">
        <f t="shared" si="230"/>
        <v/>
      </c>
      <c r="BL1680" s="663" t="str">
        <f t="shared" si="230"/>
        <v/>
      </c>
      <c r="BM1680" s="663" t="str">
        <f t="shared" si="230"/>
        <v/>
      </c>
      <c r="BN1680" s="663" t="str">
        <f t="shared" si="230"/>
        <v/>
      </c>
      <c r="BO1680" s="663" t="str">
        <f t="shared" si="230"/>
        <v/>
      </c>
      <c r="BP1680" s="663" t="str">
        <f t="shared" si="230"/>
        <v/>
      </c>
      <c r="BQ1680" s="663" t="str">
        <f t="shared" si="230"/>
        <v/>
      </c>
      <c r="BR1680" s="663" t="str">
        <f t="shared" si="230"/>
        <v/>
      </c>
      <c r="BS1680" s="662">
        <f t="shared" si="185"/>
        <v>0</v>
      </c>
      <c r="BT1680" s="641">
        <f t="shared" si="170"/>
        <v>0</v>
      </c>
      <c r="BU1680" s="937"/>
      <c r="BV1680" s="930" t="str">
        <f t="shared" si="186"/>
        <v/>
      </c>
      <c r="BW1680" s="939"/>
      <c r="BX1680" s="939"/>
      <c r="BY1680" s="641" t="b">
        <f t="shared" si="201"/>
        <v>0</v>
      </c>
      <c r="BZ1680" s="641"/>
      <c r="CA1680" s="635"/>
      <c r="CB1680" s="663"/>
      <c r="CC1680" s="663"/>
      <c r="CD1680" s="663"/>
      <c r="CE1680" s="663"/>
      <c r="CF1680" s="663"/>
      <c r="CG1680" s="663"/>
      <c r="CH1680" s="640"/>
      <c r="CI1680" s="663"/>
      <c r="CJ1680" s="663"/>
      <c r="CK1680" s="743">
        <f t="shared" si="182"/>
        <v>0</v>
      </c>
      <c r="CL1680" s="642">
        <f t="shared" si="183"/>
        <v>0</v>
      </c>
      <c r="CM1680" s="1090" t="s">
        <v>2399</v>
      </c>
      <c r="CN1680" s="1036" t="s">
        <v>2391</v>
      </c>
      <c r="CO1680" s="1036"/>
      <c r="CP1680" s="1005" t="s">
        <v>2400</v>
      </c>
    </row>
    <row r="1681">
      <c r="A1681" s="1251" t="s">
        <v>95</v>
      </c>
      <c r="B1681" s="1113" t="s">
        <v>1511</v>
      </c>
      <c r="C1681" s="1107">
        <v>45439.0</v>
      </c>
      <c r="D1681" s="103"/>
      <c r="E1681" s="1108">
        <v>1.0</v>
      </c>
      <c r="F1681" s="112" t="s">
        <v>2401</v>
      </c>
      <c r="G1681" s="1110">
        <v>0.6831597222222222</v>
      </c>
      <c r="H1681" s="1110">
        <v>0.684375</v>
      </c>
      <c r="I1681" s="1110"/>
      <c r="J1681" s="1111"/>
      <c r="K1681" s="1111">
        <v>0.6858796296296297</v>
      </c>
      <c r="L1681" s="1112">
        <v>0.0015046296296296296</v>
      </c>
      <c r="M1681" s="1113" t="s">
        <v>166</v>
      </c>
      <c r="N1681" s="110" t="s">
        <v>187</v>
      </c>
      <c r="O1681" s="1115" t="s">
        <v>202</v>
      </c>
      <c r="P1681" s="1115" t="s">
        <v>256</v>
      </c>
      <c r="Q1681" s="1115" t="s">
        <v>851</v>
      </c>
      <c r="R1681" s="120">
        <v>24.4</v>
      </c>
      <c r="S1681" s="1113">
        <v>7.5</v>
      </c>
      <c r="T1681" s="110">
        <v>0.57</v>
      </c>
      <c r="U1681" s="1108">
        <v>5.0</v>
      </c>
      <c r="V1681" s="1108"/>
      <c r="W1681" s="1108"/>
      <c r="X1681" s="1108"/>
      <c r="Y1681" s="1108"/>
      <c r="Z1681" s="1114" t="s">
        <v>339</v>
      </c>
      <c r="AA1681" s="1114"/>
      <c r="AB1681" s="1114" t="s">
        <v>341</v>
      </c>
      <c r="AC1681" s="1117">
        <v>3.0</v>
      </c>
      <c r="AD1681" s="1115"/>
      <c r="AE1681" s="1115"/>
      <c r="AF1681" s="1115"/>
      <c r="AG1681" s="1115"/>
      <c r="AH1681" s="1115"/>
      <c r="AI1681" s="1115"/>
      <c r="AJ1681" s="1117"/>
      <c r="AK1681" s="1118"/>
      <c r="AL1681" s="1115"/>
      <c r="AM1681" s="1115"/>
      <c r="AN1681" s="1115"/>
      <c r="AO1681" s="1115"/>
      <c r="AP1681" s="1115"/>
      <c r="AQ1681" s="1115"/>
      <c r="AR1681" s="1115"/>
      <c r="AS1681" s="1117"/>
      <c r="AT1681" s="1196" t="str">
        <f t="shared" si="179"/>
        <v>1-10</v>
      </c>
      <c r="AU1681" s="1193"/>
      <c r="AV1681" s="330">
        <f>SQRT(($R1681-Infrastructure!J$3)^2+($S1681-Infrastructure!K$3)^2)</f>
        <v>32.68103426</v>
      </c>
      <c r="AW1681" s="331">
        <f>SQRT(($R1681-Infrastructure!J$4)^2+($S1681-Infrastructure!K$4)^2)</f>
        <v>26.76153957</v>
      </c>
      <c r="AX1681" s="331">
        <f>SQRT(($R1681-Infrastructure!J$5)^2+($S1681-Infrastructure!K$5)^2)</f>
        <v>24.81632527</v>
      </c>
      <c r="AY1681" s="331">
        <f>SQRT(($R1681-Infrastructure!J$6)^2+($S1681-Infrastructure!K$6)^2)</f>
        <v>16.01030918</v>
      </c>
      <c r="AZ1681" s="331">
        <f>SQRT(($R1681-Infrastructure!J$7)^2+($S1681-Infrastructure!K$7)^2)</f>
        <v>8.188406438</v>
      </c>
      <c r="BA1681" s="331">
        <f>SQRT(($R1681-Infrastructure!J$8)^2+($S1681-Infrastructure!K$8)^2)</f>
        <v>9.183136719</v>
      </c>
      <c r="BB1681" s="331">
        <f>SQRT(($R1681-Infrastructure!J$9)^2+($S1681-Infrastructure!K$9)^2)</f>
        <v>15.78353573</v>
      </c>
      <c r="BC1681" s="331">
        <f>SQRT(($R1681-Infrastructure!J$10)^2+($S1681-Infrastructure!K$10)^2)</f>
        <v>17.30924608</v>
      </c>
      <c r="BD1681" s="331">
        <f>SQRT(($R1681-Infrastructure!J$11)^2+($S1681-Infrastructure!K$11)^2)</f>
        <v>26.68126684</v>
      </c>
      <c r="BE1681" s="333">
        <f>SQRT(($R1681-Infrastructure!J$12)^2+($S1681-Infrastructure!K$12)^2)</f>
        <v>48.08752437</v>
      </c>
      <c r="BF1681" s="330">
        <f t="shared" si="161"/>
        <v>8.188406438</v>
      </c>
      <c r="BG1681" s="333">
        <f t="shared" si="162"/>
        <v>48.08752437</v>
      </c>
      <c r="BH1681" s="1119"/>
      <c r="BI1681" s="319" t="str">
        <f t="shared" ref="BI1681:BR1681" si="231">IF(ISNUMBER(FIND(BI$3, $CO1681)), "Y", "")</f>
        <v>Y</v>
      </c>
      <c r="BJ1681" s="319" t="str">
        <f t="shared" si="231"/>
        <v>Y</v>
      </c>
      <c r="BK1681" s="319" t="str">
        <f t="shared" si="231"/>
        <v>Y</v>
      </c>
      <c r="BL1681" s="319" t="str">
        <f t="shared" si="231"/>
        <v>Y</v>
      </c>
      <c r="BM1681" s="319" t="str">
        <f t="shared" si="231"/>
        <v>Y</v>
      </c>
      <c r="BN1681" s="319" t="str">
        <f t="shared" si="231"/>
        <v>Y</v>
      </c>
      <c r="BO1681" s="319" t="str">
        <f t="shared" si="231"/>
        <v>Y</v>
      </c>
      <c r="BP1681" s="319" t="str">
        <f t="shared" si="231"/>
        <v>Y</v>
      </c>
      <c r="BQ1681" s="319" t="str">
        <f t="shared" si="231"/>
        <v>Y</v>
      </c>
      <c r="BR1681" s="319" t="str">
        <f t="shared" si="231"/>
        <v>Y</v>
      </c>
      <c r="BS1681" s="330">
        <f t="shared" si="185"/>
        <v>8.188406438</v>
      </c>
      <c r="BT1681" s="331">
        <f t="shared" si="170"/>
        <v>48.08752437</v>
      </c>
      <c r="BU1681" s="920">
        <v>0.6837384259259259</v>
      </c>
      <c r="BV1681" s="903">
        <f t="shared" si="186"/>
        <v>0.0005787037037</v>
      </c>
      <c r="BW1681" s="908">
        <v>17.3</v>
      </c>
      <c r="BX1681" s="908">
        <v>19.8</v>
      </c>
      <c r="BY1681" s="331">
        <f t="shared" si="201"/>
        <v>14.20211252</v>
      </c>
      <c r="BZ1681" s="331"/>
      <c r="CA1681" s="462" t="s">
        <v>846</v>
      </c>
      <c r="CB1681" s="319" t="s">
        <v>846</v>
      </c>
      <c r="CC1681" s="319" t="s">
        <v>846</v>
      </c>
      <c r="CD1681" s="319" t="s">
        <v>846</v>
      </c>
      <c r="CE1681" s="319" t="s">
        <v>846</v>
      </c>
      <c r="CF1681" s="319" t="s">
        <v>846</v>
      </c>
      <c r="CG1681" s="319" t="s">
        <v>846</v>
      </c>
      <c r="CH1681" s="319" t="s">
        <v>846</v>
      </c>
      <c r="CI1681" s="319" t="s">
        <v>846</v>
      </c>
      <c r="CJ1681" s="319" t="s">
        <v>846</v>
      </c>
      <c r="CK1681" s="342">
        <f t="shared" si="182"/>
        <v>8.188406438</v>
      </c>
      <c r="CL1681" s="333">
        <f t="shared" si="183"/>
        <v>48.08752437</v>
      </c>
      <c r="CM1681" s="1079" t="s">
        <v>2402</v>
      </c>
      <c r="CN1681" s="1005" t="s">
        <v>2403</v>
      </c>
      <c r="CO1681" s="1005" t="s">
        <v>2365</v>
      </c>
      <c r="CP1681" s="1055" t="s">
        <v>2365</v>
      </c>
    </row>
    <row r="1682">
      <c r="A1682" s="797"/>
      <c r="B1682" s="1113" t="s">
        <v>1511</v>
      </c>
      <c r="C1682" s="1107">
        <v>45439.0</v>
      </c>
      <c r="D1682" s="103"/>
      <c r="E1682" s="1108">
        <v>2.0</v>
      </c>
      <c r="F1682" s="112" t="s">
        <v>2404</v>
      </c>
      <c r="G1682" s="1110">
        <v>0.6868055555555556</v>
      </c>
      <c r="H1682" s="1110">
        <v>0.6875</v>
      </c>
      <c r="I1682" s="1110"/>
      <c r="J1682" s="1111"/>
      <c r="K1682" s="1111">
        <v>0.6888888888888889</v>
      </c>
      <c r="L1682" s="1112">
        <v>0.001388888888888889</v>
      </c>
      <c r="M1682" s="1113" t="s">
        <v>166</v>
      </c>
      <c r="N1682" s="110" t="s">
        <v>187</v>
      </c>
      <c r="O1682" s="1115" t="s">
        <v>202</v>
      </c>
      <c r="P1682" s="1115" t="s">
        <v>256</v>
      </c>
      <c r="Q1682" s="1115" t="s">
        <v>851</v>
      </c>
      <c r="R1682" s="120">
        <v>24.4</v>
      </c>
      <c r="S1682" s="1113">
        <v>7.5</v>
      </c>
      <c r="T1682" s="110">
        <v>0.57</v>
      </c>
      <c r="U1682" s="1108">
        <v>4.0</v>
      </c>
      <c r="V1682" s="1108"/>
      <c r="W1682" s="1108"/>
      <c r="X1682" s="1108"/>
      <c r="Y1682" s="1108"/>
      <c r="Z1682" s="1114" t="s">
        <v>339</v>
      </c>
      <c r="AA1682" s="1114"/>
      <c r="AB1682" s="1114" t="s">
        <v>341</v>
      </c>
      <c r="AC1682" s="1117">
        <v>3.0</v>
      </c>
      <c r="AD1682" s="1115"/>
      <c r="AE1682" s="1115"/>
      <c r="AF1682" s="1115"/>
      <c r="AG1682" s="1115"/>
      <c r="AH1682" s="1115"/>
      <c r="AI1682" s="1115"/>
      <c r="AJ1682" s="1117"/>
      <c r="AK1682" s="1118"/>
      <c r="AL1682" s="1115"/>
      <c r="AM1682" s="1115"/>
      <c r="AN1682" s="1115"/>
      <c r="AO1682" s="1115"/>
      <c r="AP1682" s="1115"/>
      <c r="AQ1682" s="1115"/>
      <c r="AR1682" s="1115"/>
      <c r="AS1682" s="1117"/>
      <c r="AT1682" s="1196" t="str">
        <f t="shared" si="179"/>
        <v>1-10</v>
      </c>
      <c r="AU1682" s="1193"/>
      <c r="AV1682" s="330">
        <f>SQRT(($R1682-Infrastructure!J$3)^2+($S1682-Infrastructure!K$3)^2)</f>
        <v>32.68103426</v>
      </c>
      <c r="AW1682" s="331">
        <f>SQRT(($R1682-Infrastructure!J$4)^2+($S1682-Infrastructure!K$4)^2)</f>
        <v>26.76153957</v>
      </c>
      <c r="AX1682" s="331">
        <f>SQRT(($R1682-Infrastructure!J$5)^2+($S1682-Infrastructure!K$5)^2)</f>
        <v>24.81632527</v>
      </c>
      <c r="AY1682" s="331">
        <f>SQRT(($R1682-Infrastructure!J$6)^2+($S1682-Infrastructure!K$6)^2)</f>
        <v>16.01030918</v>
      </c>
      <c r="AZ1682" s="331">
        <f>SQRT(($R1682-Infrastructure!J$7)^2+($S1682-Infrastructure!K$7)^2)</f>
        <v>8.188406438</v>
      </c>
      <c r="BA1682" s="331">
        <f>SQRT(($R1682-Infrastructure!J$8)^2+($S1682-Infrastructure!K$8)^2)</f>
        <v>9.183136719</v>
      </c>
      <c r="BB1682" s="331">
        <f>SQRT(($R1682-Infrastructure!J$9)^2+($S1682-Infrastructure!K$9)^2)</f>
        <v>15.78353573</v>
      </c>
      <c r="BC1682" s="331">
        <f>SQRT(($R1682-Infrastructure!J$10)^2+($S1682-Infrastructure!K$10)^2)</f>
        <v>17.30924608</v>
      </c>
      <c r="BD1682" s="331">
        <f>SQRT(($R1682-Infrastructure!J$11)^2+($S1682-Infrastructure!K$11)^2)</f>
        <v>26.68126684</v>
      </c>
      <c r="BE1682" s="333">
        <f>SQRT(($R1682-Infrastructure!J$12)^2+($S1682-Infrastructure!K$12)^2)</f>
        <v>48.08752437</v>
      </c>
      <c r="BF1682" s="330">
        <f t="shared" si="161"/>
        <v>8.188406438</v>
      </c>
      <c r="BG1682" s="333">
        <f t="shared" si="162"/>
        <v>48.08752437</v>
      </c>
      <c r="BH1682" s="1119"/>
      <c r="BI1682" s="319" t="str">
        <f t="shared" ref="BI1682:BR1682" si="232">IF(ISNUMBER(FIND(BI$3, $CO1682)), "Y", "")</f>
        <v>Y</v>
      </c>
      <c r="BJ1682" s="319" t="str">
        <f t="shared" si="232"/>
        <v>Y</v>
      </c>
      <c r="BK1682" s="319" t="str">
        <f t="shared" si="232"/>
        <v>Y</v>
      </c>
      <c r="BL1682" s="319" t="str">
        <f t="shared" si="232"/>
        <v>Y</v>
      </c>
      <c r="BM1682" s="319" t="str">
        <f t="shared" si="232"/>
        <v>Y</v>
      </c>
      <c r="BN1682" s="319" t="str">
        <f t="shared" si="232"/>
        <v>Y</v>
      </c>
      <c r="BO1682" s="319" t="str">
        <f t="shared" si="232"/>
        <v>Y</v>
      </c>
      <c r="BP1682" s="319" t="str">
        <f t="shared" si="232"/>
        <v>Y</v>
      </c>
      <c r="BQ1682" s="319" t="str">
        <f t="shared" si="232"/>
        <v>Y</v>
      </c>
      <c r="BR1682" s="319" t="str">
        <f t="shared" si="232"/>
        <v>Y</v>
      </c>
      <c r="BS1682" s="330">
        <f t="shared" si="185"/>
        <v>8.188406438</v>
      </c>
      <c r="BT1682" s="331">
        <f t="shared" si="170"/>
        <v>48.08752437</v>
      </c>
      <c r="BU1682" s="920">
        <v>0.6873842592592593</v>
      </c>
      <c r="BV1682" s="903">
        <f t="shared" si="186"/>
        <v>0.0005787037037</v>
      </c>
      <c r="BW1682" s="908">
        <v>17.6</v>
      </c>
      <c r="BX1682" s="908">
        <v>21.4</v>
      </c>
      <c r="BY1682" s="331">
        <f t="shared" si="201"/>
        <v>15.47417203</v>
      </c>
      <c r="BZ1682" s="331"/>
      <c r="CA1682" s="462" t="s">
        <v>846</v>
      </c>
      <c r="CB1682" s="319" t="s">
        <v>846</v>
      </c>
      <c r="CC1682" s="319" t="s">
        <v>846</v>
      </c>
      <c r="CD1682" s="319" t="s">
        <v>846</v>
      </c>
      <c r="CE1682" s="319" t="s">
        <v>846</v>
      </c>
      <c r="CF1682" s="319" t="s">
        <v>846</v>
      </c>
      <c r="CG1682" s="319" t="s">
        <v>846</v>
      </c>
      <c r="CH1682" s="319" t="s">
        <v>846</v>
      </c>
      <c r="CI1682" s="319" t="s">
        <v>846</v>
      </c>
      <c r="CJ1682" s="319" t="s">
        <v>846</v>
      </c>
      <c r="CK1682" s="342">
        <f t="shared" si="182"/>
        <v>8.188406438</v>
      </c>
      <c r="CL1682" s="333">
        <f t="shared" si="183"/>
        <v>48.08752437</v>
      </c>
      <c r="CM1682" s="1079" t="s">
        <v>2402</v>
      </c>
      <c r="CN1682" s="1004" t="s">
        <v>2403</v>
      </c>
      <c r="CO1682" s="3" t="s">
        <v>2365</v>
      </c>
      <c r="CP1682" s="1005" t="s">
        <v>2365</v>
      </c>
    </row>
    <row r="1683">
      <c r="A1683" s="797"/>
      <c r="B1683" s="1113" t="s">
        <v>1511</v>
      </c>
      <c r="C1683" s="1107">
        <v>45439.0</v>
      </c>
      <c r="D1683" s="103"/>
      <c r="E1683" s="1108">
        <v>3.0</v>
      </c>
      <c r="F1683" s="112" t="s">
        <v>2405</v>
      </c>
      <c r="G1683" s="1110">
        <v>0.6902777777777778</v>
      </c>
      <c r="H1683" s="1110">
        <v>0.690625</v>
      </c>
      <c r="I1683" s="1110"/>
      <c r="J1683" s="1111"/>
      <c r="K1683" s="1111">
        <v>0.6920138888888889</v>
      </c>
      <c r="L1683" s="1112">
        <v>0.001388888888888889</v>
      </c>
      <c r="M1683" s="1113" t="s">
        <v>166</v>
      </c>
      <c r="N1683" s="110" t="s">
        <v>187</v>
      </c>
      <c r="O1683" s="1115" t="s">
        <v>202</v>
      </c>
      <c r="P1683" s="1115" t="s">
        <v>256</v>
      </c>
      <c r="Q1683" s="1115" t="s">
        <v>851</v>
      </c>
      <c r="R1683" s="120">
        <v>24.4</v>
      </c>
      <c r="S1683" s="1113">
        <v>7.5</v>
      </c>
      <c r="T1683" s="110">
        <v>0.57</v>
      </c>
      <c r="U1683" s="1108">
        <v>3.0</v>
      </c>
      <c r="V1683" s="1108"/>
      <c r="W1683" s="1108"/>
      <c r="X1683" s="1108"/>
      <c r="Y1683" s="1108"/>
      <c r="Z1683" s="1114" t="s">
        <v>339</v>
      </c>
      <c r="AA1683" s="1114"/>
      <c r="AB1683" s="1114" t="s">
        <v>341</v>
      </c>
      <c r="AC1683" s="1117">
        <v>3.0</v>
      </c>
      <c r="AD1683" s="1115"/>
      <c r="AE1683" s="1115"/>
      <c r="AF1683" s="1115"/>
      <c r="AG1683" s="1115"/>
      <c r="AH1683" s="1115"/>
      <c r="AI1683" s="1115"/>
      <c r="AJ1683" s="1117"/>
      <c r="AK1683" s="1118"/>
      <c r="AL1683" s="1115"/>
      <c r="AM1683" s="1115"/>
      <c r="AN1683" s="1115"/>
      <c r="AO1683" s="1115"/>
      <c r="AP1683" s="1115"/>
      <c r="AQ1683" s="1115"/>
      <c r="AR1683" s="1115"/>
      <c r="AS1683" s="1117"/>
      <c r="AT1683" s="1196" t="str">
        <f t="shared" si="179"/>
        <v>1-10</v>
      </c>
      <c r="AU1683" s="1193"/>
      <c r="AV1683" s="330">
        <f>SQRT(($R1683-Infrastructure!J$3)^2+($S1683-Infrastructure!K$3)^2)</f>
        <v>32.68103426</v>
      </c>
      <c r="AW1683" s="331">
        <f>SQRT(($R1683-Infrastructure!J$4)^2+($S1683-Infrastructure!K$4)^2)</f>
        <v>26.76153957</v>
      </c>
      <c r="AX1683" s="331">
        <f>SQRT(($R1683-Infrastructure!J$5)^2+($S1683-Infrastructure!K$5)^2)</f>
        <v>24.81632527</v>
      </c>
      <c r="AY1683" s="331">
        <f>SQRT(($R1683-Infrastructure!J$6)^2+($S1683-Infrastructure!K$6)^2)</f>
        <v>16.01030918</v>
      </c>
      <c r="AZ1683" s="331">
        <f>SQRT(($R1683-Infrastructure!J$7)^2+($S1683-Infrastructure!K$7)^2)</f>
        <v>8.188406438</v>
      </c>
      <c r="BA1683" s="331">
        <f>SQRT(($R1683-Infrastructure!J$8)^2+($S1683-Infrastructure!K$8)^2)</f>
        <v>9.183136719</v>
      </c>
      <c r="BB1683" s="331">
        <f>SQRT(($R1683-Infrastructure!J$9)^2+($S1683-Infrastructure!K$9)^2)</f>
        <v>15.78353573</v>
      </c>
      <c r="BC1683" s="331">
        <f>SQRT(($R1683-Infrastructure!J$10)^2+($S1683-Infrastructure!K$10)^2)</f>
        <v>17.30924608</v>
      </c>
      <c r="BD1683" s="331">
        <f>SQRT(($R1683-Infrastructure!J$11)^2+($S1683-Infrastructure!K$11)^2)</f>
        <v>26.68126684</v>
      </c>
      <c r="BE1683" s="333">
        <f>SQRT(($R1683-Infrastructure!J$12)^2+($S1683-Infrastructure!K$12)^2)</f>
        <v>48.08752437</v>
      </c>
      <c r="BF1683" s="330">
        <f t="shared" si="161"/>
        <v>8.188406438</v>
      </c>
      <c r="BG1683" s="333">
        <f t="shared" si="162"/>
        <v>48.08752437</v>
      </c>
      <c r="BH1683" s="1119"/>
      <c r="BI1683" s="319" t="str">
        <f t="shared" ref="BI1683:BR1683" si="233">IF(ISNUMBER(FIND(BI$3, $CO1683)), "Y", "")</f>
        <v>Y</v>
      </c>
      <c r="BJ1683" s="319" t="str">
        <f t="shared" si="233"/>
        <v>Y</v>
      </c>
      <c r="BK1683" s="319" t="str">
        <f t="shared" si="233"/>
        <v>Y</v>
      </c>
      <c r="BL1683" s="319" t="str">
        <f t="shared" si="233"/>
        <v>Y</v>
      </c>
      <c r="BM1683" s="319" t="str">
        <f t="shared" si="233"/>
        <v>Y</v>
      </c>
      <c r="BN1683" s="319" t="str">
        <f t="shared" si="233"/>
        <v>Y</v>
      </c>
      <c r="BO1683" s="319" t="str">
        <f t="shared" si="233"/>
        <v>Y</v>
      </c>
      <c r="BP1683" s="319" t="str">
        <f t="shared" si="233"/>
        <v>Y</v>
      </c>
      <c r="BQ1683" s="319" t="str">
        <f t="shared" si="233"/>
        <v>Y</v>
      </c>
      <c r="BR1683" s="319" t="str">
        <f t="shared" si="233"/>
        <v>Y</v>
      </c>
      <c r="BS1683" s="330">
        <f t="shared" si="185"/>
        <v>8.188406438</v>
      </c>
      <c r="BT1683" s="331">
        <f t="shared" si="170"/>
        <v>48.08752437</v>
      </c>
      <c r="BU1683" s="920">
        <v>0.6908564814814815</v>
      </c>
      <c r="BV1683" s="903">
        <f t="shared" si="186"/>
        <v>0.0005787037037</v>
      </c>
      <c r="BW1683" s="908">
        <v>17.3</v>
      </c>
      <c r="BX1683" s="908">
        <v>22.4</v>
      </c>
      <c r="BY1683" s="331">
        <f t="shared" si="201"/>
        <v>16.50515071</v>
      </c>
      <c r="BZ1683" s="331"/>
      <c r="CA1683" s="462" t="s">
        <v>846</v>
      </c>
      <c r="CB1683" s="319" t="s">
        <v>846</v>
      </c>
      <c r="CC1683" s="319" t="s">
        <v>846</v>
      </c>
      <c r="CD1683" s="319" t="s">
        <v>846</v>
      </c>
      <c r="CE1683" s="319" t="s">
        <v>846</v>
      </c>
      <c r="CF1683" s="319" t="s">
        <v>846</v>
      </c>
      <c r="CG1683" s="319" t="s">
        <v>846</v>
      </c>
      <c r="CH1683" s="319" t="s">
        <v>846</v>
      </c>
      <c r="CI1683" s="319" t="s">
        <v>846</v>
      </c>
      <c r="CJ1683" s="319" t="s">
        <v>846</v>
      </c>
      <c r="CK1683" s="342">
        <f t="shared" si="182"/>
        <v>8.188406438</v>
      </c>
      <c r="CL1683" s="333">
        <f t="shared" si="183"/>
        <v>48.08752437</v>
      </c>
      <c r="CM1683" s="1079" t="s">
        <v>2406</v>
      </c>
      <c r="CN1683" s="1004" t="s">
        <v>2403</v>
      </c>
      <c r="CO1683" s="1005" t="s">
        <v>2365</v>
      </c>
      <c r="CP1683" s="1005" t="s">
        <v>2365</v>
      </c>
    </row>
    <row r="1684">
      <c r="A1684" s="797"/>
      <c r="B1684" s="1113" t="s">
        <v>1511</v>
      </c>
      <c r="C1684" s="1107">
        <v>45439.0</v>
      </c>
      <c r="D1684" s="103"/>
      <c r="E1684" s="1108">
        <v>4.0</v>
      </c>
      <c r="F1684" s="112" t="s">
        <v>2407</v>
      </c>
      <c r="G1684" s="1110">
        <v>0.6934027777777778</v>
      </c>
      <c r="H1684" s="1110">
        <v>0.69375</v>
      </c>
      <c r="I1684" s="1110"/>
      <c r="J1684" s="1111"/>
      <c r="K1684" s="1111">
        <v>0.6958333333333333</v>
      </c>
      <c r="L1684" s="1112">
        <v>0.0020833333333333333</v>
      </c>
      <c r="M1684" s="1113" t="s">
        <v>166</v>
      </c>
      <c r="N1684" s="110" t="s">
        <v>187</v>
      </c>
      <c r="O1684" s="1115" t="s">
        <v>202</v>
      </c>
      <c r="P1684" s="1115" t="s">
        <v>256</v>
      </c>
      <c r="Q1684" s="1115" t="s">
        <v>851</v>
      </c>
      <c r="R1684" s="120">
        <v>24.4</v>
      </c>
      <c r="S1684" s="1113">
        <v>7.5</v>
      </c>
      <c r="T1684" s="110">
        <v>0.57</v>
      </c>
      <c r="U1684" s="1108">
        <v>2.0</v>
      </c>
      <c r="V1684" s="1108"/>
      <c r="W1684" s="1108"/>
      <c r="X1684" s="1108"/>
      <c r="Y1684" s="1108"/>
      <c r="Z1684" s="1114" t="s">
        <v>339</v>
      </c>
      <c r="AA1684" s="1114"/>
      <c r="AB1684" s="1114" t="s">
        <v>341</v>
      </c>
      <c r="AC1684" s="1117">
        <v>3.0</v>
      </c>
      <c r="AD1684" s="1115"/>
      <c r="AE1684" s="1115"/>
      <c r="AF1684" s="1115"/>
      <c r="AG1684" s="1115"/>
      <c r="AH1684" s="1115"/>
      <c r="AI1684" s="1115"/>
      <c r="AJ1684" s="1117"/>
      <c r="AK1684" s="1118"/>
      <c r="AL1684" s="1115"/>
      <c r="AM1684" s="1115"/>
      <c r="AN1684" s="1115"/>
      <c r="AO1684" s="1115"/>
      <c r="AP1684" s="1115"/>
      <c r="AQ1684" s="1115"/>
      <c r="AR1684" s="1115"/>
      <c r="AS1684" s="1117"/>
      <c r="AT1684" s="1196" t="str">
        <f t="shared" si="179"/>
        <v>1-10</v>
      </c>
      <c r="AU1684" s="1193"/>
      <c r="AV1684" s="330">
        <f>SQRT(($R1684-Infrastructure!J$3)^2+($S1684-Infrastructure!K$3)^2)</f>
        <v>32.68103426</v>
      </c>
      <c r="AW1684" s="331">
        <f>SQRT(($R1684-Infrastructure!J$4)^2+($S1684-Infrastructure!K$4)^2)</f>
        <v>26.76153957</v>
      </c>
      <c r="AX1684" s="331">
        <f>SQRT(($R1684-Infrastructure!J$5)^2+($S1684-Infrastructure!K$5)^2)</f>
        <v>24.81632527</v>
      </c>
      <c r="AY1684" s="331">
        <f>SQRT(($R1684-Infrastructure!J$6)^2+($S1684-Infrastructure!K$6)^2)</f>
        <v>16.01030918</v>
      </c>
      <c r="AZ1684" s="331">
        <f>SQRT(($R1684-Infrastructure!J$7)^2+($S1684-Infrastructure!K$7)^2)</f>
        <v>8.188406438</v>
      </c>
      <c r="BA1684" s="331">
        <f>SQRT(($R1684-Infrastructure!J$8)^2+($S1684-Infrastructure!K$8)^2)</f>
        <v>9.183136719</v>
      </c>
      <c r="BB1684" s="331">
        <f>SQRT(($R1684-Infrastructure!J$9)^2+($S1684-Infrastructure!K$9)^2)</f>
        <v>15.78353573</v>
      </c>
      <c r="BC1684" s="331">
        <f>SQRT(($R1684-Infrastructure!J$10)^2+($S1684-Infrastructure!K$10)^2)</f>
        <v>17.30924608</v>
      </c>
      <c r="BD1684" s="331">
        <f>SQRT(($R1684-Infrastructure!J$11)^2+($S1684-Infrastructure!K$11)^2)</f>
        <v>26.68126684</v>
      </c>
      <c r="BE1684" s="333">
        <f>SQRT(($R1684-Infrastructure!J$12)^2+($S1684-Infrastructure!K$12)^2)</f>
        <v>48.08752437</v>
      </c>
      <c r="BF1684" s="330">
        <f t="shared" si="161"/>
        <v>8.188406438</v>
      </c>
      <c r="BG1684" s="333">
        <f t="shared" si="162"/>
        <v>48.08752437</v>
      </c>
      <c r="BH1684" s="1119"/>
      <c r="BI1684" s="319" t="str">
        <f t="shared" ref="BI1684:BR1684" si="234">IF(ISNUMBER(FIND(BI$3, $CO1684)), "Y", "")</f>
        <v>Y</v>
      </c>
      <c r="BJ1684" s="319" t="str">
        <f t="shared" si="234"/>
        <v>Y</v>
      </c>
      <c r="BK1684" s="319" t="str">
        <f t="shared" si="234"/>
        <v>Y</v>
      </c>
      <c r="BL1684" s="319" t="str">
        <f t="shared" si="234"/>
        <v>Y</v>
      </c>
      <c r="BM1684" s="319" t="str">
        <f t="shared" si="234"/>
        <v>Y</v>
      </c>
      <c r="BN1684" s="319" t="str">
        <f t="shared" si="234"/>
        <v>Y</v>
      </c>
      <c r="BO1684" s="319" t="str">
        <f t="shared" si="234"/>
        <v>Y</v>
      </c>
      <c r="BP1684" s="319" t="str">
        <f t="shared" si="234"/>
        <v>Y</v>
      </c>
      <c r="BQ1684" s="319" t="str">
        <f t="shared" si="234"/>
        <v>Y</v>
      </c>
      <c r="BR1684" s="319" t="str">
        <f t="shared" si="234"/>
        <v>Y</v>
      </c>
      <c r="BS1684" s="330">
        <f t="shared" si="185"/>
        <v>8.188406438</v>
      </c>
      <c r="BT1684" s="331">
        <f t="shared" si="170"/>
        <v>48.08752437</v>
      </c>
      <c r="BU1684" s="920">
        <v>0.6939583333333333</v>
      </c>
      <c r="BV1684" s="903">
        <f t="shared" si="186"/>
        <v>0.0005555555556</v>
      </c>
      <c r="BW1684" s="908">
        <v>17.4</v>
      </c>
      <c r="BX1684" s="908">
        <v>22.5</v>
      </c>
      <c r="BY1684" s="331">
        <f t="shared" si="201"/>
        <v>16.55294536</v>
      </c>
      <c r="BZ1684" s="331"/>
      <c r="CA1684" s="462" t="s">
        <v>846</v>
      </c>
      <c r="CB1684" s="319" t="s">
        <v>846</v>
      </c>
      <c r="CC1684" s="319" t="s">
        <v>846</v>
      </c>
      <c r="CD1684" s="319" t="s">
        <v>846</v>
      </c>
      <c r="CE1684" s="319" t="s">
        <v>846</v>
      </c>
      <c r="CF1684" s="319" t="s">
        <v>846</v>
      </c>
      <c r="CG1684" s="319" t="s">
        <v>846</v>
      </c>
      <c r="CH1684" s="319" t="s">
        <v>846</v>
      </c>
      <c r="CI1684" s="319" t="s">
        <v>846</v>
      </c>
      <c r="CJ1684" s="319" t="s">
        <v>846</v>
      </c>
      <c r="CK1684" s="342">
        <f t="shared" si="182"/>
        <v>8.188406438</v>
      </c>
      <c r="CL1684" s="333">
        <f t="shared" si="183"/>
        <v>48.08752437</v>
      </c>
      <c r="CM1684" s="1079" t="s">
        <v>2408</v>
      </c>
      <c r="CN1684" s="1004" t="s">
        <v>2403</v>
      </c>
      <c r="CO1684" s="1005" t="s">
        <v>2365</v>
      </c>
      <c r="CP1684" s="1005" t="s">
        <v>2365</v>
      </c>
    </row>
    <row r="1685">
      <c r="A1685" s="797"/>
      <c r="B1685" s="1113" t="s">
        <v>1511</v>
      </c>
      <c r="C1685" s="1107">
        <v>45439.0</v>
      </c>
      <c r="D1685" s="103"/>
      <c r="E1685" s="1108">
        <v>5.0</v>
      </c>
      <c r="F1685" s="112" t="s">
        <v>2409</v>
      </c>
      <c r="G1685" s="1110">
        <v>0.6972222222222222</v>
      </c>
      <c r="H1685" s="1110">
        <v>0.6976273148148148</v>
      </c>
      <c r="I1685" s="1110"/>
      <c r="J1685" s="1111"/>
      <c r="K1685" s="1111">
        <v>0.6991319444444445</v>
      </c>
      <c r="L1685" s="1112">
        <v>0.0015046296296296296</v>
      </c>
      <c r="M1685" s="1113" t="s">
        <v>166</v>
      </c>
      <c r="N1685" s="110" t="s">
        <v>187</v>
      </c>
      <c r="O1685" s="1115" t="s">
        <v>202</v>
      </c>
      <c r="P1685" s="1115" t="s">
        <v>256</v>
      </c>
      <c r="Q1685" s="1115" t="s">
        <v>851</v>
      </c>
      <c r="R1685" s="120">
        <v>24.4</v>
      </c>
      <c r="S1685" s="1113">
        <v>7.5</v>
      </c>
      <c r="T1685" s="110">
        <v>0.57</v>
      </c>
      <c r="U1685" s="1108">
        <v>1.0</v>
      </c>
      <c r="V1685" s="1108"/>
      <c r="W1685" s="1108"/>
      <c r="X1685" s="1108"/>
      <c r="Y1685" s="1108"/>
      <c r="Z1685" s="1114" t="s">
        <v>339</v>
      </c>
      <c r="AA1685" s="1114"/>
      <c r="AB1685" s="1114" t="s">
        <v>341</v>
      </c>
      <c r="AC1685" s="1117">
        <v>3.0</v>
      </c>
      <c r="AD1685" s="1115"/>
      <c r="AE1685" s="1115"/>
      <c r="AF1685" s="1115"/>
      <c r="AG1685" s="1115"/>
      <c r="AH1685" s="1115"/>
      <c r="AI1685" s="1115"/>
      <c r="AJ1685" s="1117"/>
      <c r="AK1685" s="1118"/>
      <c r="AL1685" s="1115"/>
      <c r="AM1685" s="1115"/>
      <c r="AN1685" s="1115"/>
      <c r="AO1685" s="1115"/>
      <c r="AP1685" s="1115"/>
      <c r="AQ1685" s="1115"/>
      <c r="AR1685" s="1115"/>
      <c r="AS1685" s="1117"/>
      <c r="AT1685" s="1196" t="str">
        <f t="shared" si="179"/>
        <v>1-10</v>
      </c>
      <c r="AU1685" s="1193"/>
      <c r="AV1685" s="330">
        <f>SQRT(($R1685-Infrastructure!J$3)^2+($S1685-Infrastructure!K$3)^2)</f>
        <v>32.68103426</v>
      </c>
      <c r="AW1685" s="331">
        <f>SQRT(($R1685-Infrastructure!J$4)^2+($S1685-Infrastructure!K$4)^2)</f>
        <v>26.76153957</v>
      </c>
      <c r="AX1685" s="331">
        <f>SQRT(($R1685-Infrastructure!J$5)^2+($S1685-Infrastructure!K$5)^2)</f>
        <v>24.81632527</v>
      </c>
      <c r="AY1685" s="331">
        <f>SQRT(($R1685-Infrastructure!J$6)^2+($S1685-Infrastructure!K$6)^2)</f>
        <v>16.01030918</v>
      </c>
      <c r="AZ1685" s="331">
        <f>SQRT(($R1685-Infrastructure!J$7)^2+($S1685-Infrastructure!K$7)^2)</f>
        <v>8.188406438</v>
      </c>
      <c r="BA1685" s="331">
        <f>SQRT(($R1685-Infrastructure!J$8)^2+($S1685-Infrastructure!K$8)^2)</f>
        <v>9.183136719</v>
      </c>
      <c r="BB1685" s="331">
        <f>SQRT(($R1685-Infrastructure!J$9)^2+($S1685-Infrastructure!K$9)^2)</f>
        <v>15.78353573</v>
      </c>
      <c r="BC1685" s="331">
        <f>SQRT(($R1685-Infrastructure!J$10)^2+($S1685-Infrastructure!K$10)^2)</f>
        <v>17.30924608</v>
      </c>
      <c r="BD1685" s="331">
        <f>SQRT(($R1685-Infrastructure!J$11)^2+($S1685-Infrastructure!K$11)^2)</f>
        <v>26.68126684</v>
      </c>
      <c r="BE1685" s="333">
        <f>SQRT(($R1685-Infrastructure!J$12)^2+($S1685-Infrastructure!K$12)^2)</f>
        <v>48.08752437</v>
      </c>
      <c r="BF1685" s="330">
        <f t="shared" si="161"/>
        <v>8.188406438</v>
      </c>
      <c r="BG1685" s="333">
        <f t="shared" si="162"/>
        <v>48.08752437</v>
      </c>
      <c r="BH1685" s="1119"/>
      <c r="BI1685" s="319" t="str">
        <f t="shared" ref="BI1685:BR1685" si="235">IF(ISNUMBER(FIND(BI$3, $CO1685)), "Y", "")</f>
        <v>Y</v>
      </c>
      <c r="BJ1685" s="319" t="str">
        <f t="shared" si="235"/>
        <v/>
      </c>
      <c r="BK1685" s="319" t="str">
        <f t="shared" si="235"/>
        <v>Y</v>
      </c>
      <c r="BL1685" s="319" t="str">
        <f t="shared" si="235"/>
        <v>Y</v>
      </c>
      <c r="BM1685" s="319" t="str">
        <f t="shared" si="235"/>
        <v>Y</v>
      </c>
      <c r="BN1685" s="319" t="str">
        <f t="shared" si="235"/>
        <v>Y</v>
      </c>
      <c r="BO1685" s="319" t="str">
        <f t="shared" si="235"/>
        <v>Y</v>
      </c>
      <c r="BP1685" s="319" t="str">
        <f t="shared" si="235"/>
        <v>Y</v>
      </c>
      <c r="BQ1685" s="319" t="str">
        <f t="shared" si="235"/>
        <v>Y</v>
      </c>
      <c r="BR1685" s="319" t="str">
        <f t="shared" si="235"/>
        <v>Y</v>
      </c>
      <c r="BS1685" s="330">
        <f t="shared" si="185"/>
        <v>8.188406438</v>
      </c>
      <c r="BT1685" s="331">
        <f t="shared" si="170"/>
        <v>48.08752437</v>
      </c>
      <c r="BU1685" s="920">
        <v>0.6978009259259259</v>
      </c>
      <c r="BV1685" s="903">
        <f t="shared" si="186"/>
        <v>0.0005787037037</v>
      </c>
      <c r="BW1685" s="908">
        <v>16.7</v>
      </c>
      <c r="BX1685" s="908">
        <v>20.8</v>
      </c>
      <c r="BY1685" s="331">
        <f t="shared" si="201"/>
        <v>15.36814888</v>
      </c>
      <c r="BZ1685" s="331"/>
      <c r="CA1685" s="462" t="s">
        <v>846</v>
      </c>
      <c r="CB1685" s="319" t="s">
        <v>846</v>
      </c>
      <c r="CC1685" s="319" t="s">
        <v>846</v>
      </c>
      <c r="CD1685" s="319" t="s">
        <v>846</v>
      </c>
      <c r="CE1685" s="319" t="s">
        <v>846</v>
      </c>
      <c r="CF1685" s="319" t="s">
        <v>846</v>
      </c>
      <c r="CG1685" s="319" t="s">
        <v>846</v>
      </c>
      <c r="CH1685" s="319" t="s">
        <v>846</v>
      </c>
      <c r="CI1685" s="319" t="s">
        <v>846</v>
      </c>
      <c r="CJ1685" s="319" t="s">
        <v>846</v>
      </c>
      <c r="CK1685" s="342">
        <f t="shared" si="182"/>
        <v>8.188406438</v>
      </c>
      <c r="CL1685" s="333">
        <f t="shared" si="183"/>
        <v>48.08752437</v>
      </c>
      <c r="CM1685" s="1079" t="s">
        <v>2410</v>
      </c>
      <c r="CN1685" s="1004" t="s">
        <v>2403</v>
      </c>
      <c r="CO1685" s="1005" t="s">
        <v>2378</v>
      </c>
      <c r="CP1685" s="1005" t="s">
        <v>2365</v>
      </c>
    </row>
    <row r="1686">
      <c r="A1686" s="797"/>
      <c r="B1686" s="1113" t="s">
        <v>1511</v>
      </c>
      <c r="C1686" s="1107">
        <v>45439.0</v>
      </c>
      <c r="D1686" s="103"/>
      <c r="E1686" s="1108">
        <v>6.0</v>
      </c>
      <c r="F1686" s="112" t="s">
        <v>2411</v>
      </c>
      <c r="G1686" s="1110">
        <v>0.6998842592592592</v>
      </c>
      <c r="H1686" s="1110">
        <v>0.7003472222222222</v>
      </c>
      <c r="I1686" s="1110"/>
      <c r="J1686" s="1111"/>
      <c r="K1686" s="1111">
        <v>0.7017361111111111</v>
      </c>
      <c r="L1686" s="1112">
        <v>0.001388888888888889</v>
      </c>
      <c r="M1686" s="1113" t="s">
        <v>166</v>
      </c>
      <c r="N1686" s="110" t="s">
        <v>187</v>
      </c>
      <c r="O1686" s="1115" t="s">
        <v>199</v>
      </c>
      <c r="P1686" s="1115" t="s">
        <v>272</v>
      </c>
      <c r="Q1686" s="1115" t="s">
        <v>842</v>
      </c>
      <c r="R1686" s="120">
        <v>16.1</v>
      </c>
      <c r="S1686" s="1113">
        <v>9.6</v>
      </c>
      <c r="T1686" s="110">
        <v>0.01</v>
      </c>
      <c r="U1686" s="1108">
        <v>6.0</v>
      </c>
      <c r="V1686" s="1108"/>
      <c r="W1686" s="1108"/>
      <c r="X1686" s="1108"/>
      <c r="Y1686" s="1108"/>
      <c r="Z1686" s="1114" t="s">
        <v>351</v>
      </c>
      <c r="AA1686" s="1114"/>
      <c r="AB1686" s="1114" t="s">
        <v>380</v>
      </c>
      <c r="AC1686" s="1117">
        <v>4.0</v>
      </c>
      <c r="AD1686" s="1115"/>
      <c r="AE1686" s="1115"/>
      <c r="AF1686" s="1115"/>
      <c r="AG1686" s="1115"/>
      <c r="AH1686" s="1115"/>
      <c r="AI1686" s="1115"/>
      <c r="AJ1686" s="1117"/>
      <c r="AK1686" s="1118"/>
      <c r="AL1686" s="1115"/>
      <c r="AM1686" s="1115"/>
      <c r="AN1686" s="1115"/>
      <c r="AO1686" s="1115"/>
      <c r="AP1686" s="1115"/>
      <c r="AQ1686" s="1115"/>
      <c r="AR1686" s="1115"/>
      <c r="AS1686" s="1117"/>
      <c r="AT1686" s="1196" t="str">
        <f t="shared" si="179"/>
        <v>1-10</v>
      </c>
      <c r="AU1686" s="1193"/>
      <c r="AV1686" s="330">
        <f>SQRT(($R1686-Infrastructure!J$3)^2+($S1686-Infrastructure!K$3)^2)</f>
        <v>25.32686321</v>
      </c>
      <c r="AW1686" s="331">
        <f>SQRT(($R1686-Infrastructure!J$4)^2+($S1686-Infrastructure!K$4)^2)</f>
        <v>18.33575742</v>
      </c>
      <c r="AX1686" s="331">
        <f>SQRT(($R1686-Infrastructure!J$5)^2+($S1686-Infrastructure!K$5)^2)</f>
        <v>17.00617535</v>
      </c>
      <c r="AY1686" s="331">
        <f>SQRT(($R1686-Infrastructure!J$6)^2+($S1686-Infrastructure!K$6)^2)</f>
        <v>11.06752005</v>
      </c>
      <c r="AZ1686" s="331">
        <f>SQRT(($R1686-Infrastructure!J$7)^2+($S1686-Infrastructure!K$7)^2)</f>
        <v>10.28834292</v>
      </c>
      <c r="BA1686" s="331">
        <f>SQRT(($R1686-Infrastructure!J$8)^2+($S1686-Infrastructure!K$8)^2)</f>
        <v>16.80743883</v>
      </c>
      <c r="BB1686" s="331">
        <f>SQRT(($R1686-Infrastructure!J$9)^2+($S1686-Infrastructure!K$9)^2)</f>
        <v>24.31995066</v>
      </c>
      <c r="BC1686" s="331">
        <f>SQRT(($R1686-Infrastructure!J$10)^2+($S1686-Infrastructure!K$10)^2)</f>
        <v>24.50244886</v>
      </c>
      <c r="BD1686" s="331">
        <f>SQRT(($R1686-Infrastructure!J$11)^2+($S1686-Infrastructure!K$11)^2)</f>
        <v>30.93816413</v>
      </c>
      <c r="BE1686" s="333">
        <f>SQRT(($R1686-Infrastructure!J$12)^2+($S1686-Infrastructure!K$12)^2)</f>
        <v>46.21655548</v>
      </c>
      <c r="BF1686" s="330">
        <f t="shared" si="161"/>
        <v>10.28834292</v>
      </c>
      <c r="BG1686" s="333">
        <f t="shared" si="162"/>
        <v>46.21655548</v>
      </c>
      <c r="BH1686" s="1119"/>
      <c r="BI1686" s="319" t="str">
        <f t="shared" ref="BI1686:BR1686" si="236">IF(ISNUMBER(FIND(BI$3, $CO1686)), "Y", "")</f>
        <v>Y</v>
      </c>
      <c r="BJ1686" s="319" t="str">
        <f t="shared" si="236"/>
        <v>Y</v>
      </c>
      <c r="BK1686" s="319" t="str">
        <f t="shared" si="236"/>
        <v>Y</v>
      </c>
      <c r="BL1686" s="319" t="str">
        <f t="shared" si="236"/>
        <v>Y</v>
      </c>
      <c r="BM1686" s="319" t="str">
        <f t="shared" si="236"/>
        <v>Y</v>
      </c>
      <c r="BN1686" s="319" t="str">
        <f t="shared" si="236"/>
        <v>Y</v>
      </c>
      <c r="BO1686" s="319" t="str">
        <f t="shared" si="236"/>
        <v>Y</v>
      </c>
      <c r="BP1686" s="319" t="str">
        <f t="shared" si="236"/>
        <v>Y</v>
      </c>
      <c r="BQ1686" s="319" t="str">
        <f t="shared" si="236"/>
        <v>Y</v>
      </c>
      <c r="BR1686" s="319" t="str">
        <f t="shared" si="236"/>
        <v>Y</v>
      </c>
      <c r="BS1686" s="330">
        <f t="shared" si="185"/>
        <v>10.28834292</v>
      </c>
      <c r="BT1686" s="331">
        <f t="shared" si="170"/>
        <v>46.21655548</v>
      </c>
      <c r="BU1686" s="920">
        <v>0.700474537037037</v>
      </c>
      <c r="BV1686" s="903">
        <f t="shared" si="186"/>
        <v>0.0005902777778</v>
      </c>
      <c r="BW1686" s="908">
        <v>11.8</v>
      </c>
      <c r="BX1686" s="908">
        <v>15.2</v>
      </c>
      <c r="BY1686" s="331">
        <f t="shared" si="201"/>
        <v>7.060453243</v>
      </c>
      <c r="BZ1686" s="331"/>
      <c r="CA1686" s="462" t="s">
        <v>846</v>
      </c>
      <c r="CB1686" s="319" t="s">
        <v>846</v>
      </c>
      <c r="CC1686" s="319" t="s">
        <v>846</v>
      </c>
      <c r="CD1686" s="319" t="s">
        <v>846</v>
      </c>
      <c r="CE1686" s="319" t="s">
        <v>846</v>
      </c>
      <c r="CF1686" s="319" t="s">
        <v>846</v>
      </c>
      <c r="CG1686" s="319" t="s">
        <v>846</v>
      </c>
      <c r="CH1686" s="319" t="s">
        <v>846</v>
      </c>
      <c r="CI1686" s="319" t="s">
        <v>846</v>
      </c>
      <c r="CJ1686" s="319" t="s">
        <v>846</v>
      </c>
      <c r="CK1686" s="342">
        <f t="shared" si="182"/>
        <v>10.28834292</v>
      </c>
      <c r="CL1686" s="333">
        <f t="shared" si="183"/>
        <v>46.21655548</v>
      </c>
      <c r="CM1686" s="1079" t="s">
        <v>2384</v>
      </c>
      <c r="CN1686" s="1004" t="s">
        <v>2403</v>
      </c>
      <c r="CO1686" s="1005" t="s">
        <v>2365</v>
      </c>
      <c r="CP1686" s="1005" t="s">
        <v>2365</v>
      </c>
    </row>
    <row r="1687">
      <c r="A1687" s="797"/>
      <c r="B1687" s="1113" t="s">
        <v>1511</v>
      </c>
      <c r="C1687" s="1107">
        <v>45439.0</v>
      </c>
      <c r="D1687" s="103"/>
      <c r="E1687" s="1108">
        <v>7.0</v>
      </c>
      <c r="F1687" s="112" t="s">
        <v>2412</v>
      </c>
      <c r="G1687" s="1110">
        <v>0.703125</v>
      </c>
      <c r="H1687" s="1110">
        <v>0.7036458333333333</v>
      </c>
      <c r="I1687" s="1110"/>
      <c r="J1687" s="1111"/>
      <c r="K1687" s="1111">
        <v>0.7052662037037037</v>
      </c>
      <c r="L1687" s="1112">
        <v>0.0016203703703703703</v>
      </c>
      <c r="M1687" s="1113" t="s">
        <v>166</v>
      </c>
      <c r="N1687" s="110" t="s">
        <v>187</v>
      </c>
      <c r="O1687" s="1115" t="s">
        <v>199</v>
      </c>
      <c r="P1687" s="1115" t="s">
        <v>272</v>
      </c>
      <c r="Q1687" s="1115" t="s">
        <v>842</v>
      </c>
      <c r="R1687" s="120">
        <v>16.1</v>
      </c>
      <c r="S1687" s="1113">
        <v>9.6</v>
      </c>
      <c r="T1687" s="110">
        <v>0.01</v>
      </c>
      <c r="U1687" s="1108">
        <v>5.0</v>
      </c>
      <c r="V1687" s="1108"/>
      <c r="W1687" s="1108"/>
      <c r="X1687" s="1108"/>
      <c r="Y1687" s="1108"/>
      <c r="Z1687" s="1114" t="s">
        <v>351</v>
      </c>
      <c r="AA1687" s="1114"/>
      <c r="AB1687" s="1114" t="s">
        <v>380</v>
      </c>
      <c r="AC1687" s="1117">
        <v>4.0</v>
      </c>
      <c r="AD1687" s="1115"/>
      <c r="AE1687" s="1115"/>
      <c r="AF1687" s="1115"/>
      <c r="AG1687" s="1115"/>
      <c r="AH1687" s="1115"/>
      <c r="AI1687" s="1115"/>
      <c r="AJ1687" s="1117"/>
      <c r="AK1687" s="1118"/>
      <c r="AL1687" s="1115"/>
      <c r="AM1687" s="1115"/>
      <c r="AN1687" s="1115"/>
      <c r="AO1687" s="1115"/>
      <c r="AP1687" s="1115"/>
      <c r="AQ1687" s="1115"/>
      <c r="AR1687" s="1115"/>
      <c r="AS1687" s="1117"/>
      <c r="AT1687" s="1196" t="str">
        <f t="shared" si="179"/>
        <v>1-10</v>
      </c>
      <c r="AU1687" s="1193"/>
      <c r="AV1687" s="330">
        <f>SQRT(($R1687-Infrastructure!J$3)^2+($S1687-Infrastructure!K$3)^2)</f>
        <v>25.32686321</v>
      </c>
      <c r="AW1687" s="331">
        <f>SQRT(($R1687-Infrastructure!J$4)^2+($S1687-Infrastructure!K$4)^2)</f>
        <v>18.33575742</v>
      </c>
      <c r="AX1687" s="331">
        <f>SQRT(($R1687-Infrastructure!J$5)^2+($S1687-Infrastructure!K$5)^2)</f>
        <v>17.00617535</v>
      </c>
      <c r="AY1687" s="331">
        <f>SQRT(($R1687-Infrastructure!J$6)^2+($S1687-Infrastructure!K$6)^2)</f>
        <v>11.06752005</v>
      </c>
      <c r="AZ1687" s="331">
        <f>SQRT(($R1687-Infrastructure!J$7)^2+($S1687-Infrastructure!K$7)^2)</f>
        <v>10.28834292</v>
      </c>
      <c r="BA1687" s="331">
        <f>SQRT(($R1687-Infrastructure!J$8)^2+($S1687-Infrastructure!K$8)^2)</f>
        <v>16.80743883</v>
      </c>
      <c r="BB1687" s="331">
        <f>SQRT(($R1687-Infrastructure!J$9)^2+($S1687-Infrastructure!K$9)^2)</f>
        <v>24.31995066</v>
      </c>
      <c r="BC1687" s="331">
        <f>SQRT(($R1687-Infrastructure!J$10)^2+($S1687-Infrastructure!K$10)^2)</f>
        <v>24.50244886</v>
      </c>
      <c r="BD1687" s="331">
        <f>SQRT(($R1687-Infrastructure!J$11)^2+($S1687-Infrastructure!K$11)^2)</f>
        <v>30.93816413</v>
      </c>
      <c r="BE1687" s="333">
        <f>SQRT(($R1687-Infrastructure!J$12)^2+($S1687-Infrastructure!K$12)^2)</f>
        <v>46.21655548</v>
      </c>
      <c r="BF1687" s="330">
        <f t="shared" si="161"/>
        <v>10.28834292</v>
      </c>
      <c r="BG1687" s="333">
        <f t="shared" si="162"/>
        <v>46.21655548</v>
      </c>
      <c r="BH1687" s="1119"/>
      <c r="BI1687" s="319" t="str">
        <f t="shared" ref="BI1687:BR1687" si="237">IF(ISNUMBER(FIND(BI$3, $CO1687)), "Y", "")</f>
        <v>Y</v>
      </c>
      <c r="BJ1687" s="319" t="str">
        <f t="shared" si="237"/>
        <v>Y</v>
      </c>
      <c r="BK1687" s="319" t="str">
        <f t="shared" si="237"/>
        <v>Y</v>
      </c>
      <c r="BL1687" s="319" t="str">
        <f t="shared" si="237"/>
        <v>Y</v>
      </c>
      <c r="BM1687" s="319" t="str">
        <f t="shared" si="237"/>
        <v>Y</v>
      </c>
      <c r="BN1687" s="319" t="str">
        <f t="shared" si="237"/>
        <v>Y</v>
      </c>
      <c r="BO1687" s="319" t="str">
        <f t="shared" si="237"/>
        <v>Y</v>
      </c>
      <c r="BP1687" s="319" t="str">
        <f t="shared" si="237"/>
        <v>Y</v>
      </c>
      <c r="BQ1687" s="319" t="str">
        <f t="shared" si="237"/>
        <v>Y</v>
      </c>
      <c r="BR1687" s="319" t="str">
        <f t="shared" si="237"/>
        <v/>
      </c>
      <c r="BS1687" s="330">
        <f t="shared" si="185"/>
        <v>10.28834292</v>
      </c>
      <c r="BT1687" s="331">
        <f t="shared" si="170"/>
        <v>30.93816413</v>
      </c>
      <c r="BU1687" s="920">
        <v>0.7036805555555555</v>
      </c>
      <c r="BV1687" s="903">
        <f t="shared" si="186"/>
        <v>0.0005555555556</v>
      </c>
      <c r="BW1687" s="908">
        <v>12.4</v>
      </c>
      <c r="BX1687" s="908">
        <v>16.9</v>
      </c>
      <c r="BY1687" s="331">
        <f t="shared" si="201"/>
        <v>8.184130986</v>
      </c>
      <c r="BZ1687" s="331"/>
      <c r="CA1687" s="462" t="s">
        <v>846</v>
      </c>
      <c r="CB1687" s="319"/>
      <c r="CC1687" s="319" t="s">
        <v>846</v>
      </c>
      <c r="CD1687" s="319" t="s">
        <v>846</v>
      </c>
      <c r="CE1687" s="319" t="s">
        <v>846</v>
      </c>
      <c r="CF1687" s="319" t="s">
        <v>846</v>
      </c>
      <c r="CG1687" s="319" t="s">
        <v>846</v>
      </c>
      <c r="CH1687" s="318"/>
      <c r="CI1687" s="319"/>
      <c r="CJ1687" s="319"/>
      <c r="CK1687" s="342">
        <f t="shared" si="182"/>
        <v>10.28834292</v>
      </c>
      <c r="CL1687" s="333">
        <f t="shared" si="183"/>
        <v>25.32686321</v>
      </c>
      <c r="CM1687" s="1079" t="s">
        <v>2384</v>
      </c>
      <c r="CN1687" s="1004" t="s">
        <v>2403</v>
      </c>
      <c r="CO1687" s="1005" t="s">
        <v>2413</v>
      </c>
      <c r="CP1687" s="1005" t="s">
        <v>2414</v>
      </c>
    </row>
    <row r="1688">
      <c r="A1688" s="797"/>
      <c r="B1688" s="1113" t="s">
        <v>1511</v>
      </c>
      <c r="C1688" s="1107">
        <v>45439.0</v>
      </c>
      <c r="D1688" s="103"/>
      <c r="E1688" s="1108">
        <v>8.0</v>
      </c>
      <c r="F1688" s="112" t="s">
        <v>2415</v>
      </c>
      <c r="G1688" s="1110">
        <v>0.7065972222222222</v>
      </c>
      <c r="H1688" s="1110">
        <v>0.7071180555555555</v>
      </c>
      <c r="I1688" s="1110"/>
      <c r="J1688" s="1111"/>
      <c r="K1688" s="1111">
        <v>0.7085069444444444</v>
      </c>
      <c r="L1688" s="1112">
        <v>0.001388888888888889</v>
      </c>
      <c r="M1688" s="1113" t="s">
        <v>166</v>
      </c>
      <c r="N1688" s="110" t="s">
        <v>187</v>
      </c>
      <c r="O1688" s="1115" t="s">
        <v>199</v>
      </c>
      <c r="P1688" s="1115" t="s">
        <v>272</v>
      </c>
      <c r="Q1688" s="1115" t="s">
        <v>842</v>
      </c>
      <c r="R1688" s="120">
        <v>16.1</v>
      </c>
      <c r="S1688" s="1113">
        <v>9.6</v>
      </c>
      <c r="T1688" s="110">
        <v>0.01</v>
      </c>
      <c r="U1688" s="1108">
        <v>4.0</v>
      </c>
      <c r="V1688" s="1108"/>
      <c r="W1688" s="1108"/>
      <c r="X1688" s="1108"/>
      <c r="Y1688" s="1108"/>
      <c r="Z1688" s="1114" t="s">
        <v>351</v>
      </c>
      <c r="AA1688" s="1114"/>
      <c r="AB1688" s="1114" t="s">
        <v>380</v>
      </c>
      <c r="AC1688" s="1117">
        <v>4.0</v>
      </c>
      <c r="AD1688" s="1115"/>
      <c r="AE1688" s="1115"/>
      <c r="AF1688" s="1115"/>
      <c r="AG1688" s="1115"/>
      <c r="AH1688" s="1115"/>
      <c r="AI1688" s="1115"/>
      <c r="AJ1688" s="1117"/>
      <c r="AK1688" s="1118"/>
      <c r="AL1688" s="1115"/>
      <c r="AM1688" s="1115"/>
      <c r="AN1688" s="1115"/>
      <c r="AO1688" s="1115"/>
      <c r="AP1688" s="1115"/>
      <c r="AQ1688" s="1115"/>
      <c r="AR1688" s="1115"/>
      <c r="AS1688" s="1117"/>
      <c r="AT1688" s="1196" t="str">
        <f t="shared" si="179"/>
        <v>1-10</v>
      </c>
      <c r="AU1688" s="1193"/>
      <c r="AV1688" s="330">
        <f>SQRT(($R1688-Infrastructure!J$3)^2+($S1688-Infrastructure!K$3)^2)</f>
        <v>25.32686321</v>
      </c>
      <c r="AW1688" s="331">
        <f>SQRT(($R1688-Infrastructure!J$4)^2+($S1688-Infrastructure!K$4)^2)</f>
        <v>18.33575742</v>
      </c>
      <c r="AX1688" s="331">
        <f>SQRT(($R1688-Infrastructure!J$5)^2+($S1688-Infrastructure!K$5)^2)</f>
        <v>17.00617535</v>
      </c>
      <c r="AY1688" s="331">
        <f>SQRT(($R1688-Infrastructure!J$6)^2+($S1688-Infrastructure!K$6)^2)</f>
        <v>11.06752005</v>
      </c>
      <c r="AZ1688" s="331">
        <f>SQRT(($R1688-Infrastructure!J$7)^2+($S1688-Infrastructure!K$7)^2)</f>
        <v>10.28834292</v>
      </c>
      <c r="BA1688" s="331">
        <f>SQRT(($R1688-Infrastructure!J$8)^2+($S1688-Infrastructure!K$8)^2)</f>
        <v>16.80743883</v>
      </c>
      <c r="BB1688" s="331">
        <f>SQRT(($R1688-Infrastructure!J$9)^2+($S1688-Infrastructure!K$9)^2)</f>
        <v>24.31995066</v>
      </c>
      <c r="BC1688" s="331">
        <f>SQRT(($R1688-Infrastructure!J$10)^2+($S1688-Infrastructure!K$10)^2)</f>
        <v>24.50244886</v>
      </c>
      <c r="BD1688" s="331">
        <f>SQRT(($R1688-Infrastructure!J$11)^2+($S1688-Infrastructure!K$11)^2)</f>
        <v>30.93816413</v>
      </c>
      <c r="BE1688" s="333">
        <f>SQRT(($R1688-Infrastructure!J$12)^2+($S1688-Infrastructure!K$12)^2)</f>
        <v>46.21655548</v>
      </c>
      <c r="BF1688" s="330">
        <f t="shared" si="161"/>
        <v>10.28834292</v>
      </c>
      <c r="BG1688" s="333">
        <f t="shared" si="162"/>
        <v>46.21655548</v>
      </c>
      <c r="BH1688" s="1119"/>
      <c r="BI1688" s="319" t="str">
        <f t="shared" ref="BI1688:BR1688" si="238">IF(ISNUMBER(FIND(BI$3, $CO1688)), "Y", "")</f>
        <v/>
      </c>
      <c r="BJ1688" s="319" t="str">
        <f t="shared" si="238"/>
        <v/>
      </c>
      <c r="BK1688" s="319" t="str">
        <f t="shared" si="238"/>
        <v>Y</v>
      </c>
      <c r="BL1688" s="319" t="str">
        <f t="shared" si="238"/>
        <v>Y</v>
      </c>
      <c r="BM1688" s="319" t="str">
        <f t="shared" si="238"/>
        <v>Y</v>
      </c>
      <c r="BN1688" s="319" t="str">
        <f t="shared" si="238"/>
        <v>Y</v>
      </c>
      <c r="BO1688" s="319" t="str">
        <f t="shared" si="238"/>
        <v>Y</v>
      </c>
      <c r="BP1688" s="319" t="str">
        <f t="shared" si="238"/>
        <v/>
      </c>
      <c r="BQ1688" s="319" t="str">
        <f t="shared" si="238"/>
        <v>Y</v>
      </c>
      <c r="BR1688" s="319" t="str">
        <f t="shared" si="238"/>
        <v/>
      </c>
      <c r="BS1688" s="330">
        <f t="shared" si="185"/>
        <v>10.28834292</v>
      </c>
      <c r="BT1688" s="331">
        <f t="shared" si="170"/>
        <v>30.93816413</v>
      </c>
      <c r="BU1688" s="920">
        <v>0.7071527777777777</v>
      </c>
      <c r="BV1688" s="903">
        <f t="shared" si="186"/>
        <v>0.0005555555556</v>
      </c>
      <c r="BW1688" s="908">
        <v>13.0</v>
      </c>
      <c r="BX1688" s="908">
        <v>18.9</v>
      </c>
      <c r="BY1688" s="331">
        <f t="shared" si="201"/>
        <v>9.803060747</v>
      </c>
      <c r="BZ1688" s="331"/>
      <c r="CA1688" s="462" t="s">
        <v>846</v>
      </c>
      <c r="CB1688" s="319"/>
      <c r="CC1688" s="319" t="s">
        <v>846</v>
      </c>
      <c r="CD1688" s="319" t="s">
        <v>846</v>
      </c>
      <c r="CE1688" s="319" t="s">
        <v>846</v>
      </c>
      <c r="CF1688" s="319" t="s">
        <v>846</v>
      </c>
      <c r="CG1688" s="319" t="s">
        <v>846</v>
      </c>
      <c r="CH1688" s="318"/>
      <c r="CI1688" s="319"/>
      <c r="CJ1688" s="319"/>
      <c r="CK1688" s="342">
        <f t="shared" si="182"/>
        <v>10.28834292</v>
      </c>
      <c r="CL1688" s="333">
        <f t="shared" si="183"/>
        <v>25.32686321</v>
      </c>
      <c r="CM1688" s="1079" t="s">
        <v>2384</v>
      </c>
      <c r="CN1688" s="1004" t="s">
        <v>2403</v>
      </c>
      <c r="CO1688" s="1005" t="s">
        <v>2416</v>
      </c>
      <c r="CP1688" s="1005" t="s">
        <v>2414</v>
      </c>
    </row>
    <row r="1689">
      <c r="A1689" s="797"/>
      <c r="B1689" s="1113" t="s">
        <v>1511</v>
      </c>
      <c r="C1689" s="1107">
        <v>45439.0</v>
      </c>
      <c r="D1689" s="103"/>
      <c r="E1689" s="1108">
        <v>9.0</v>
      </c>
      <c r="F1689" s="112" t="s">
        <v>2417</v>
      </c>
      <c r="G1689" s="1110">
        <v>0.7121527777777777</v>
      </c>
      <c r="H1689" s="1110">
        <v>0.7104166666666667</v>
      </c>
      <c r="I1689" s="1110"/>
      <c r="J1689" s="1111"/>
      <c r="K1689" s="1111">
        <v>0.7118055555555556</v>
      </c>
      <c r="L1689" s="1112">
        <v>0.001388888888888889</v>
      </c>
      <c r="M1689" s="1113" t="s">
        <v>166</v>
      </c>
      <c r="N1689" s="110" t="s">
        <v>187</v>
      </c>
      <c r="O1689" s="1115" t="s">
        <v>199</v>
      </c>
      <c r="P1689" s="1115" t="s">
        <v>272</v>
      </c>
      <c r="Q1689" s="1115" t="s">
        <v>842</v>
      </c>
      <c r="R1689" s="120">
        <v>16.1</v>
      </c>
      <c r="S1689" s="1113">
        <v>9.6</v>
      </c>
      <c r="T1689" s="110">
        <v>0.01</v>
      </c>
      <c r="U1689" s="1108">
        <v>3.0</v>
      </c>
      <c r="V1689" s="1108"/>
      <c r="W1689" s="1108"/>
      <c r="X1689" s="1108"/>
      <c r="Y1689" s="1108"/>
      <c r="Z1689" s="1114" t="s">
        <v>351</v>
      </c>
      <c r="AA1689" s="1114"/>
      <c r="AB1689" s="1114" t="s">
        <v>380</v>
      </c>
      <c r="AC1689" s="1117">
        <v>4.0</v>
      </c>
      <c r="AD1689" s="1115"/>
      <c r="AE1689" s="1115"/>
      <c r="AF1689" s="1115"/>
      <c r="AG1689" s="1115"/>
      <c r="AH1689" s="1115"/>
      <c r="AI1689" s="1115"/>
      <c r="AJ1689" s="1117"/>
      <c r="AK1689" s="1118"/>
      <c r="AL1689" s="1115"/>
      <c r="AM1689" s="1115"/>
      <c r="AN1689" s="1115"/>
      <c r="AO1689" s="1115"/>
      <c r="AP1689" s="1115"/>
      <c r="AQ1689" s="1115"/>
      <c r="AR1689" s="1115"/>
      <c r="AS1689" s="1117"/>
      <c r="AT1689" s="1196" t="str">
        <f t="shared" si="179"/>
        <v>1-10</v>
      </c>
      <c r="AU1689" s="1193"/>
      <c r="AV1689" s="330">
        <f>SQRT(($R1689-Infrastructure!J$3)^2+($S1689-Infrastructure!K$3)^2)</f>
        <v>25.32686321</v>
      </c>
      <c r="AW1689" s="331">
        <f>SQRT(($R1689-Infrastructure!J$4)^2+($S1689-Infrastructure!K$4)^2)</f>
        <v>18.33575742</v>
      </c>
      <c r="AX1689" s="331">
        <f>SQRT(($R1689-Infrastructure!J$5)^2+($S1689-Infrastructure!K$5)^2)</f>
        <v>17.00617535</v>
      </c>
      <c r="AY1689" s="331">
        <f>SQRT(($R1689-Infrastructure!J$6)^2+($S1689-Infrastructure!K$6)^2)</f>
        <v>11.06752005</v>
      </c>
      <c r="AZ1689" s="331">
        <f>SQRT(($R1689-Infrastructure!J$7)^2+($S1689-Infrastructure!K$7)^2)</f>
        <v>10.28834292</v>
      </c>
      <c r="BA1689" s="331">
        <f>SQRT(($R1689-Infrastructure!J$8)^2+($S1689-Infrastructure!K$8)^2)</f>
        <v>16.80743883</v>
      </c>
      <c r="BB1689" s="331">
        <f>SQRT(($R1689-Infrastructure!J$9)^2+($S1689-Infrastructure!K$9)^2)</f>
        <v>24.31995066</v>
      </c>
      <c r="BC1689" s="331">
        <f>SQRT(($R1689-Infrastructure!J$10)^2+($S1689-Infrastructure!K$10)^2)</f>
        <v>24.50244886</v>
      </c>
      <c r="BD1689" s="331">
        <f>SQRT(($R1689-Infrastructure!J$11)^2+($S1689-Infrastructure!K$11)^2)</f>
        <v>30.93816413</v>
      </c>
      <c r="BE1689" s="333">
        <f>SQRT(($R1689-Infrastructure!J$12)^2+($S1689-Infrastructure!K$12)^2)</f>
        <v>46.21655548</v>
      </c>
      <c r="BF1689" s="330">
        <f t="shared" si="161"/>
        <v>10.28834292</v>
      </c>
      <c r="BG1689" s="333">
        <f t="shared" si="162"/>
        <v>46.21655548</v>
      </c>
      <c r="BH1689" s="1119"/>
      <c r="BI1689" s="319" t="str">
        <f t="shared" ref="BI1689:BR1689" si="239">IF(ISNUMBER(FIND(BI$3, $CO1689)), "Y", "")</f>
        <v/>
      </c>
      <c r="BJ1689" s="319" t="str">
        <f t="shared" si="239"/>
        <v/>
      </c>
      <c r="BK1689" s="319" t="str">
        <f t="shared" si="239"/>
        <v>Y</v>
      </c>
      <c r="BL1689" s="319" t="str">
        <f t="shared" si="239"/>
        <v>Y</v>
      </c>
      <c r="BM1689" s="319" t="str">
        <f t="shared" si="239"/>
        <v>Y</v>
      </c>
      <c r="BN1689" s="319" t="str">
        <f t="shared" si="239"/>
        <v>Y</v>
      </c>
      <c r="BO1689" s="319" t="str">
        <f t="shared" si="239"/>
        <v/>
      </c>
      <c r="BP1689" s="319" t="str">
        <f t="shared" si="239"/>
        <v/>
      </c>
      <c r="BQ1689" s="319" t="str">
        <f t="shared" si="239"/>
        <v/>
      </c>
      <c r="BR1689" s="319" t="str">
        <f t="shared" si="239"/>
        <v/>
      </c>
      <c r="BS1689" s="330">
        <f t="shared" si="185"/>
        <v>10.28834292</v>
      </c>
      <c r="BT1689" s="331">
        <f t="shared" si="170"/>
        <v>17.00617535</v>
      </c>
      <c r="BU1689" s="920">
        <v>0.7127777777777777</v>
      </c>
      <c r="BV1689" s="903">
        <f t="shared" si="186"/>
        <v>0.000625</v>
      </c>
      <c r="BW1689" s="908">
        <v>13.4</v>
      </c>
      <c r="BX1689" s="908">
        <v>21.5</v>
      </c>
      <c r="BY1689" s="331">
        <f t="shared" si="201"/>
        <v>12.20245877</v>
      </c>
      <c r="BZ1689" s="331"/>
      <c r="CA1689" s="462" t="s">
        <v>846</v>
      </c>
      <c r="CB1689" s="319"/>
      <c r="CC1689" s="319" t="s">
        <v>846</v>
      </c>
      <c r="CD1689" s="319" t="s">
        <v>846</v>
      </c>
      <c r="CE1689" s="319" t="s">
        <v>846</v>
      </c>
      <c r="CF1689" s="319" t="s">
        <v>846</v>
      </c>
      <c r="CG1689" s="319" t="s">
        <v>846</v>
      </c>
      <c r="CH1689" s="318"/>
      <c r="CI1689" s="319"/>
      <c r="CJ1689" s="319"/>
      <c r="CK1689" s="342">
        <f t="shared" si="182"/>
        <v>10.28834292</v>
      </c>
      <c r="CL1689" s="333">
        <f t="shared" si="183"/>
        <v>25.32686321</v>
      </c>
      <c r="CM1689" s="1079" t="s">
        <v>2418</v>
      </c>
      <c r="CN1689" s="1004" t="s">
        <v>2403</v>
      </c>
      <c r="CO1689" s="1005" t="s">
        <v>2419</v>
      </c>
      <c r="CP1689" s="1005" t="s">
        <v>2414</v>
      </c>
    </row>
    <row r="1690">
      <c r="A1690" s="797"/>
      <c r="B1690" s="1113" t="s">
        <v>1511</v>
      </c>
      <c r="C1690" s="1107">
        <v>45439.0</v>
      </c>
      <c r="D1690" s="103"/>
      <c r="E1690" s="1108">
        <v>10.0</v>
      </c>
      <c r="F1690" s="112" t="s">
        <v>2420</v>
      </c>
      <c r="G1690" s="1110">
        <v>0.7131944444444445</v>
      </c>
      <c r="H1690" s="1110">
        <v>0.7135416666666666</v>
      </c>
      <c r="I1690" s="1110"/>
      <c r="J1690" s="1111"/>
      <c r="K1690" s="1111">
        <v>0.7149305555555555</v>
      </c>
      <c r="L1690" s="1112">
        <v>0.001388888888888889</v>
      </c>
      <c r="M1690" s="1113" t="s">
        <v>166</v>
      </c>
      <c r="N1690" s="110" t="s">
        <v>187</v>
      </c>
      <c r="O1690" s="1115" t="s">
        <v>199</v>
      </c>
      <c r="P1690" s="1115" t="s">
        <v>272</v>
      </c>
      <c r="Q1690" s="1115" t="s">
        <v>842</v>
      </c>
      <c r="R1690" s="120">
        <v>16.1</v>
      </c>
      <c r="S1690" s="1113">
        <v>9.6</v>
      </c>
      <c r="T1690" s="110">
        <v>0.01</v>
      </c>
      <c r="U1690" s="1108">
        <v>2.0</v>
      </c>
      <c r="V1690" s="1108"/>
      <c r="W1690" s="1108"/>
      <c r="X1690" s="1108"/>
      <c r="Y1690" s="1108"/>
      <c r="Z1690" s="1114" t="s">
        <v>351</v>
      </c>
      <c r="AA1690" s="1114"/>
      <c r="AB1690" s="1114" t="s">
        <v>380</v>
      </c>
      <c r="AC1690" s="1117">
        <v>4.0</v>
      </c>
      <c r="AD1690" s="1115"/>
      <c r="AE1690" s="1115"/>
      <c r="AF1690" s="1115"/>
      <c r="AG1690" s="1115"/>
      <c r="AH1690" s="1115"/>
      <c r="AI1690" s="1115"/>
      <c r="AJ1690" s="1117"/>
      <c r="AK1690" s="1118"/>
      <c r="AL1690" s="1115"/>
      <c r="AM1690" s="1115"/>
      <c r="AN1690" s="1115"/>
      <c r="AO1690" s="1115"/>
      <c r="AP1690" s="1115"/>
      <c r="AQ1690" s="1115"/>
      <c r="AR1690" s="1115"/>
      <c r="AS1690" s="1117"/>
      <c r="AT1690" s="1196" t="str">
        <f t="shared" si="179"/>
        <v>1-10</v>
      </c>
      <c r="AU1690" s="1193"/>
      <c r="AV1690" s="330">
        <f>SQRT(($R1690-Infrastructure!J$3)^2+($S1690-Infrastructure!K$3)^2)</f>
        <v>25.32686321</v>
      </c>
      <c r="AW1690" s="331">
        <f>SQRT(($R1690-Infrastructure!J$4)^2+($S1690-Infrastructure!K$4)^2)</f>
        <v>18.33575742</v>
      </c>
      <c r="AX1690" s="331">
        <f>SQRT(($R1690-Infrastructure!J$5)^2+($S1690-Infrastructure!K$5)^2)</f>
        <v>17.00617535</v>
      </c>
      <c r="AY1690" s="331">
        <f>SQRT(($R1690-Infrastructure!J$6)^2+($S1690-Infrastructure!K$6)^2)</f>
        <v>11.06752005</v>
      </c>
      <c r="AZ1690" s="331">
        <f>SQRT(($R1690-Infrastructure!J$7)^2+($S1690-Infrastructure!K$7)^2)</f>
        <v>10.28834292</v>
      </c>
      <c r="BA1690" s="331">
        <f>SQRT(($R1690-Infrastructure!J$8)^2+($S1690-Infrastructure!K$8)^2)</f>
        <v>16.80743883</v>
      </c>
      <c r="BB1690" s="331">
        <f>SQRT(($R1690-Infrastructure!J$9)^2+($S1690-Infrastructure!K$9)^2)</f>
        <v>24.31995066</v>
      </c>
      <c r="BC1690" s="331">
        <f>SQRT(($R1690-Infrastructure!J$10)^2+($S1690-Infrastructure!K$10)^2)</f>
        <v>24.50244886</v>
      </c>
      <c r="BD1690" s="331">
        <f>SQRT(($R1690-Infrastructure!J$11)^2+($S1690-Infrastructure!K$11)^2)</f>
        <v>30.93816413</v>
      </c>
      <c r="BE1690" s="333">
        <f>SQRT(($R1690-Infrastructure!J$12)^2+($S1690-Infrastructure!K$12)^2)</f>
        <v>46.21655548</v>
      </c>
      <c r="BF1690" s="330">
        <f t="shared" si="161"/>
        <v>10.28834292</v>
      </c>
      <c r="BG1690" s="333">
        <f t="shared" si="162"/>
        <v>46.21655548</v>
      </c>
      <c r="BH1690" s="1119"/>
      <c r="BI1690" s="319" t="str">
        <f t="shared" ref="BI1690:BR1690" si="240">IF(ISNUMBER(FIND(BI$3, $CO1690)), "Y", "")</f>
        <v/>
      </c>
      <c r="BJ1690" s="319" t="str">
        <f t="shared" si="240"/>
        <v/>
      </c>
      <c r="BK1690" s="319" t="str">
        <f t="shared" si="240"/>
        <v/>
      </c>
      <c r="BL1690" s="319" t="str">
        <f t="shared" si="240"/>
        <v/>
      </c>
      <c r="BM1690" s="319" t="str">
        <f t="shared" si="240"/>
        <v/>
      </c>
      <c r="BN1690" s="319" t="str">
        <f t="shared" si="240"/>
        <v/>
      </c>
      <c r="BO1690" s="319" t="str">
        <f t="shared" si="240"/>
        <v/>
      </c>
      <c r="BP1690" s="319" t="str">
        <f t="shared" si="240"/>
        <v/>
      </c>
      <c r="BQ1690" s="319" t="str">
        <f t="shared" si="240"/>
        <v/>
      </c>
      <c r="BR1690" s="319" t="str">
        <f t="shared" si="240"/>
        <v/>
      </c>
      <c r="BS1690" s="330">
        <f t="shared" si="185"/>
        <v>0</v>
      </c>
      <c r="BT1690" s="331">
        <f t="shared" si="170"/>
        <v>0</v>
      </c>
      <c r="BU1690" s="920"/>
      <c r="BV1690" s="903" t="str">
        <f t="shared" si="186"/>
        <v/>
      </c>
      <c r="BW1690" s="908"/>
      <c r="BX1690" s="908"/>
      <c r="BY1690" s="331" t="b">
        <f t="shared" si="201"/>
        <v>0</v>
      </c>
      <c r="BZ1690" s="331"/>
      <c r="CA1690" s="462" t="s">
        <v>846</v>
      </c>
      <c r="CB1690" s="319"/>
      <c r="CC1690" s="319"/>
      <c r="CD1690" s="319" t="s">
        <v>846</v>
      </c>
      <c r="CE1690" s="319" t="s">
        <v>846</v>
      </c>
      <c r="CF1690" s="319" t="s">
        <v>846</v>
      </c>
      <c r="CG1690" s="319" t="s">
        <v>846</v>
      </c>
      <c r="CH1690" s="318"/>
      <c r="CI1690" s="319"/>
      <c r="CJ1690" s="319"/>
      <c r="CK1690" s="342">
        <f t="shared" si="182"/>
        <v>10.28834292</v>
      </c>
      <c r="CL1690" s="333">
        <f t="shared" si="183"/>
        <v>25.32686321</v>
      </c>
      <c r="CM1690" s="1079" t="s">
        <v>2421</v>
      </c>
      <c r="CN1690" s="1004" t="s">
        <v>2403</v>
      </c>
      <c r="CO1690" s="1005"/>
      <c r="CP1690" s="1005" t="s">
        <v>2422</v>
      </c>
    </row>
    <row r="1691">
      <c r="A1691" s="797"/>
      <c r="B1691" s="1113" t="s">
        <v>1511</v>
      </c>
      <c r="C1691" s="1107">
        <v>45439.0</v>
      </c>
      <c r="D1691" s="103"/>
      <c r="E1691" s="1108">
        <v>11.0</v>
      </c>
      <c r="F1691" s="112" t="s">
        <v>2423</v>
      </c>
      <c r="G1691" s="1110">
        <v>0.7159722222222222</v>
      </c>
      <c r="H1691" s="1110">
        <v>0.7163194444444444</v>
      </c>
      <c r="I1691" s="1110"/>
      <c r="J1691" s="1111"/>
      <c r="K1691" s="1111">
        <v>0.7177083333333333</v>
      </c>
      <c r="L1691" s="1112">
        <v>0.001388888888888889</v>
      </c>
      <c r="M1691" s="1113" t="s">
        <v>166</v>
      </c>
      <c r="N1691" s="110" t="s">
        <v>187</v>
      </c>
      <c r="O1691" s="1115" t="s">
        <v>199</v>
      </c>
      <c r="P1691" s="1115" t="s">
        <v>272</v>
      </c>
      <c r="Q1691" s="1115" t="s">
        <v>842</v>
      </c>
      <c r="R1691" s="120">
        <v>16.1</v>
      </c>
      <c r="S1691" s="1113">
        <v>9.6</v>
      </c>
      <c r="T1691" s="110">
        <v>0.01</v>
      </c>
      <c r="U1691" s="1108">
        <v>1.0</v>
      </c>
      <c r="V1691" s="1108"/>
      <c r="W1691" s="1108"/>
      <c r="X1691" s="1108"/>
      <c r="Y1691" s="1108"/>
      <c r="Z1691" s="1114" t="s">
        <v>351</v>
      </c>
      <c r="AA1691" s="1114"/>
      <c r="AB1691" s="1114" t="s">
        <v>380</v>
      </c>
      <c r="AC1691" s="1117">
        <v>4.0</v>
      </c>
      <c r="AD1691" s="1115"/>
      <c r="AE1691" s="1115"/>
      <c r="AF1691" s="1115"/>
      <c r="AG1691" s="1115"/>
      <c r="AH1691" s="1115"/>
      <c r="AI1691" s="1115"/>
      <c r="AJ1691" s="1117"/>
      <c r="AK1691" s="1118"/>
      <c r="AL1691" s="1115"/>
      <c r="AM1691" s="1115"/>
      <c r="AN1691" s="1115"/>
      <c r="AO1691" s="1115"/>
      <c r="AP1691" s="1115"/>
      <c r="AQ1691" s="1115"/>
      <c r="AR1691" s="1115"/>
      <c r="AS1691" s="1117"/>
      <c r="AT1691" s="1196" t="str">
        <f t="shared" si="179"/>
        <v>1-10</v>
      </c>
      <c r="AU1691" s="1193"/>
      <c r="AV1691" s="330">
        <f>SQRT(($R1691-Infrastructure!J$3)^2+($S1691-Infrastructure!K$3)^2)</f>
        <v>25.32686321</v>
      </c>
      <c r="AW1691" s="331">
        <f>SQRT(($R1691-Infrastructure!J$4)^2+($S1691-Infrastructure!K$4)^2)</f>
        <v>18.33575742</v>
      </c>
      <c r="AX1691" s="331">
        <f>SQRT(($R1691-Infrastructure!J$5)^2+($S1691-Infrastructure!K$5)^2)</f>
        <v>17.00617535</v>
      </c>
      <c r="AY1691" s="331">
        <f>SQRT(($R1691-Infrastructure!J$6)^2+($S1691-Infrastructure!K$6)^2)</f>
        <v>11.06752005</v>
      </c>
      <c r="AZ1691" s="331">
        <f>SQRT(($R1691-Infrastructure!J$7)^2+($S1691-Infrastructure!K$7)^2)</f>
        <v>10.28834292</v>
      </c>
      <c r="BA1691" s="331">
        <f>SQRT(($R1691-Infrastructure!J$8)^2+($S1691-Infrastructure!K$8)^2)</f>
        <v>16.80743883</v>
      </c>
      <c r="BB1691" s="331">
        <f>SQRT(($R1691-Infrastructure!J$9)^2+($S1691-Infrastructure!K$9)^2)</f>
        <v>24.31995066</v>
      </c>
      <c r="BC1691" s="331">
        <f>SQRT(($R1691-Infrastructure!J$10)^2+($S1691-Infrastructure!K$10)^2)</f>
        <v>24.50244886</v>
      </c>
      <c r="BD1691" s="331">
        <f>SQRT(($R1691-Infrastructure!J$11)^2+($S1691-Infrastructure!K$11)^2)</f>
        <v>30.93816413</v>
      </c>
      <c r="BE1691" s="333">
        <f>SQRT(($R1691-Infrastructure!J$12)^2+($S1691-Infrastructure!K$12)^2)</f>
        <v>46.21655548</v>
      </c>
      <c r="BF1691" s="330">
        <f t="shared" si="161"/>
        <v>10.28834292</v>
      </c>
      <c r="BG1691" s="333">
        <f t="shared" si="162"/>
        <v>46.21655548</v>
      </c>
      <c r="BH1691" s="1119"/>
      <c r="BI1691" s="319" t="str">
        <f t="shared" ref="BI1691:BR1691" si="241">IF(ISNUMBER(FIND(BI$3, $CO1691)), "Y", "")</f>
        <v/>
      </c>
      <c r="BJ1691" s="319" t="str">
        <f t="shared" si="241"/>
        <v/>
      </c>
      <c r="BK1691" s="319" t="str">
        <f t="shared" si="241"/>
        <v/>
      </c>
      <c r="BL1691" s="319" t="str">
        <f t="shared" si="241"/>
        <v/>
      </c>
      <c r="BM1691" s="319" t="str">
        <f t="shared" si="241"/>
        <v/>
      </c>
      <c r="BN1691" s="319" t="str">
        <f t="shared" si="241"/>
        <v/>
      </c>
      <c r="BO1691" s="319" t="str">
        <f t="shared" si="241"/>
        <v/>
      </c>
      <c r="BP1691" s="319" t="str">
        <f t="shared" si="241"/>
        <v/>
      </c>
      <c r="BQ1691" s="319" t="str">
        <f t="shared" si="241"/>
        <v/>
      </c>
      <c r="BR1691" s="319" t="str">
        <f t="shared" si="241"/>
        <v/>
      </c>
      <c r="BS1691" s="330">
        <f t="shared" si="185"/>
        <v>0</v>
      </c>
      <c r="BT1691" s="331">
        <f t="shared" si="170"/>
        <v>0</v>
      </c>
      <c r="BU1691" s="920"/>
      <c r="BV1691" s="903" t="str">
        <f t="shared" si="186"/>
        <v/>
      </c>
      <c r="BW1691" s="908"/>
      <c r="BX1691" s="908"/>
      <c r="BY1691" s="331" t="b">
        <f t="shared" si="201"/>
        <v>0</v>
      </c>
      <c r="BZ1691" s="331"/>
      <c r="CA1691" s="462"/>
      <c r="CB1691" s="319"/>
      <c r="CC1691" s="319"/>
      <c r="CD1691" s="319"/>
      <c r="CE1691" s="319"/>
      <c r="CF1691" s="319"/>
      <c r="CG1691" s="319"/>
      <c r="CH1691" s="318"/>
      <c r="CI1691" s="319"/>
      <c r="CJ1691" s="319"/>
      <c r="CK1691" s="342">
        <f t="shared" si="182"/>
        <v>0</v>
      </c>
      <c r="CL1691" s="333">
        <f t="shared" si="183"/>
        <v>0</v>
      </c>
      <c r="CM1691" s="1079" t="s">
        <v>2355</v>
      </c>
      <c r="CN1691" s="1004" t="s">
        <v>2403</v>
      </c>
      <c r="CO1691" s="1005"/>
      <c r="CP1691" s="1005"/>
    </row>
    <row r="1692">
      <c r="A1692" s="797"/>
      <c r="B1692" s="1113" t="s">
        <v>1511</v>
      </c>
      <c r="C1692" s="1107">
        <v>45439.0</v>
      </c>
      <c r="D1692" s="103"/>
      <c r="E1692" s="1108">
        <v>12.0</v>
      </c>
      <c r="F1692" s="112" t="s">
        <v>2424</v>
      </c>
      <c r="G1692" s="1110">
        <v>0.71875</v>
      </c>
      <c r="H1692" s="1110">
        <v>0.7190972222222223</v>
      </c>
      <c r="I1692" s="1110"/>
      <c r="J1692" s="1111"/>
      <c r="K1692" s="1111">
        <v>0.7201388888888889</v>
      </c>
      <c r="L1692" s="1112">
        <v>0.0010416666666666667</v>
      </c>
      <c r="M1692" s="1113" t="s">
        <v>166</v>
      </c>
      <c r="N1692" s="110" t="s">
        <v>188</v>
      </c>
      <c r="O1692" s="1115" t="s">
        <v>378</v>
      </c>
      <c r="P1692" s="1115" t="s">
        <v>225</v>
      </c>
      <c r="Q1692" s="1115" t="s">
        <v>842</v>
      </c>
      <c r="R1692" s="120">
        <v>22.7</v>
      </c>
      <c r="S1692" s="1113">
        <v>39.7</v>
      </c>
      <c r="T1692" s="110">
        <v>1.09</v>
      </c>
      <c r="U1692" s="1108">
        <v>15.0</v>
      </c>
      <c r="V1692" s="1108"/>
      <c r="W1692" s="1108"/>
      <c r="X1692" s="1108"/>
      <c r="Y1692" s="1108"/>
      <c r="Z1692" s="1114" t="s">
        <v>1140</v>
      </c>
      <c r="AA1692" s="1114"/>
      <c r="AB1692" s="1114" t="s">
        <v>403</v>
      </c>
      <c r="AC1692" s="1117">
        <v>8.0</v>
      </c>
      <c r="AD1692" s="1115"/>
      <c r="AE1692" s="1115"/>
      <c r="AF1692" s="1115"/>
      <c r="AG1692" s="1115"/>
      <c r="AH1692" s="1115"/>
      <c r="AI1692" s="1115"/>
      <c r="AJ1692" s="1117"/>
      <c r="AK1692" s="1118"/>
      <c r="AL1692" s="1115"/>
      <c r="AM1692" s="1115"/>
      <c r="AN1692" s="1115"/>
      <c r="AO1692" s="1115"/>
      <c r="AP1692" s="1115"/>
      <c r="AQ1692" s="1115"/>
      <c r="AR1692" s="1115"/>
      <c r="AS1692" s="1117"/>
      <c r="AT1692" s="1196" t="str">
        <f t="shared" si="179"/>
        <v>10+</v>
      </c>
      <c r="AU1692" s="1193"/>
      <c r="AV1692" s="330">
        <f>SQRT(($R1692-Infrastructure!J$3)^2+($S1692-Infrastructure!K$3)^2)</f>
        <v>25.40944706</v>
      </c>
      <c r="AW1692" s="331">
        <f>SQRT(($R1692-Infrastructure!J$4)^2+($S1692-Infrastructure!K$4)^2)</f>
        <v>31.75862088</v>
      </c>
      <c r="AX1692" s="331">
        <f>SQRT(($R1692-Infrastructure!J$5)^2+($S1692-Infrastructure!K$5)^2)</f>
        <v>41.54708173</v>
      </c>
      <c r="AY1692" s="331">
        <f>SQRT(($R1692-Infrastructure!J$6)^2+($S1692-Infrastructure!K$6)^2)</f>
        <v>41.36568626</v>
      </c>
      <c r="AZ1692" s="331">
        <f>SQRT(($R1692-Infrastructure!J$7)^2+($S1692-Infrastructure!K$7)^2)</f>
        <v>39.46137352</v>
      </c>
      <c r="BA1692" s="331">
        <f>SQRT(($R1692-Infrastructure!J$8)^2+($S1692-Infrastructure!K$8)^2)</f>
        <v>40.08890121</v>
      </c>
      <c r="BB1692" s="331">
        <f>SQRT(($R1692-Infrastructure!J$9)^2+($S1692-Infrastructure!K$9)^2)</f>
        <v>38.68397601</v>
      </c>
      <c r="BC1692" s="331">
        <f>SQRT(($R1692-Infrastructure!J$10)^2+($S1692-Infrastructure!K$10)^2)</f>
        <v>30.15592811</v>
      </c>
      <c r="BD1692" s="331">
        <f>SQRT(($R1692-Infrastructure!J$11)^2+($S1692-Infrastructure!K$11)^2)</f>
        <v>20.51194774</v>
      </c>
      <c r="BE1692" s="333">
        <f>SQRT(($R1692-Infrastructure!J$12)^2+($S1692-Infrastructure!K$12)^2)</f>
        <v>15.84550409</v>
      </c>
      <c r="BF1692" s="330">
        <f t="shared" si="161"/>
        <v>15.84550409</v>
      </c>
      <c r="BG1692" s="333">
        <f t="shared" si="162"/>
        <v>41.54708173</v>
      </c>
      <c r="BH1692" s="1119"/>
      <c r="BI1692" s="319" t="str">
        <f t="shared" ref="BI1692:BR1692" si="242">IF(ISNUMBER(FIND(BI$3, $CO1692)), "Y", "")</f>
        <v>Y</v>
      </c>
      <c r="BJ1692" s="319" t="str">
        <f t="shared" si="242"/>
        <v>Y</v>
      </c>
      <c r="BK1692" s="319" t="str">
        <f t="shared" si="242"/>
        <v>Y</v>
      </c>
      <c r="BL1692" s="319" t="str">
        <f t="shared" si="242"/>
        <v>Y</v>
      </c>
      <c r="BM1692" s="319" t="str">
        <f t="shared" si="242"/>
        <v>Y</v>
      </c>
      <c r="BN1692" s="319" t="str">
        <f t="shared" si="242"/>
        <v>Y</v>
      </c>
      <c r="BO1692" s="319" t="str">
        <f t="shared" si="242"/>
        <v>Y</v>
      </c>
      <c r="BP1692" s="319" t="str">
        <f t="shared" si="242"/>
        <v>Y</v>
      </c>
      <c r="BQ1692" s="319" t="str">
        <f t="shared" si="242"/>
        <v>Y</v>
      </c>
      <c r="BR1692" s="319" t="str">
        <f t="shared" si="242"/>
        <v>Y</v>
      </c>
      <c r="BS1692" s="330">
        <f t="shared" si="185"/>
        <v>15.84550409</v>
      </c>
      <c r="BT1692" s="331">
        <f t="shared" si="170"/>
        <v>41.54708173</v>
      </c>
      <c r="BU1692" s="920">
        <v>0.7193402777777778</v>
      </c>
      <c r="BV1692" s="903">
        <f t="shared" si="186"/>
        <v>0.0005902777778</v>
      </c>
      <c r="BW1692" s="908">
        <v>16.2</v>
      </c>
      <c r="BX1692" s="908">
        <v>41.9</v>
      </c>
      <c r="BY1692" s="331">
        <f t="shared" si="201"/>
        <v>6.862215386</v>
      </c>
      <c r="BZ1692" s="331"/>
      <c r="CA1692" s="462" t="s">
        <v>846</v>
      </c>
      <c r="CB1692" s="319" t="s">
        <v>846</v>
      </c>
      <c r="CC1692" s="319" t="s">
        <v>846</v>
      </c>
      <c r="CD1692" s="319" t="s">
        <v>846</v>
      </c>
      <c r="CE1692" s="319" t="s">
        <v>846</v>
      </c>
      <c r="CF1692" s="319" t="s">
        <v>846</v>
      </c>
      <c r="CG1692" s="319" t="s">
        <v>846</v>
      </c>
      <c r="CH1692" s="319" t="s">
        <v>846</v>
      </c>
      <c r="CI1692" s="319" t="s">
        <v>846</v>
      </c>
      <c r="CJ1692" s="319" t="s">
        <v>846</v>
      </c>
      <c r="CK1692" s="342">
        <f t="shared" si="182"/>
        <v>15.84550409</v>
      </c>
      <c r="CL1692" s="333">
        <f t="shared" si="183"/>
        <v>41.54708173</v>
      </c>
      <c r="CM1692" s="1079" t="s">
        <v>2406</v>
      </c>
      <c r="CN1692" s="1004" t="s">
        <v>2403</v>
      </c>
      <c r="CO1692" s="1005" t="s">
        <v>2365</v>
      </c>
      <c r="CP1692" s="1005" t="s">
        <v>2365</v>
      </c>
    </row>
    <row r="1693">
      <c r="A1693" s="797"/>
      <c r="B1693" s="1113" t="s">
        <v>1511</v>
      </c>
      <c r="C1693" s="1107">
        <v>45439.0</v>
      </c>
      <c r="D1693" s="103"/>
      <c r="E1693" s="1108">
        <v>13.0</v>
      </c>
      <c r="F1693" s="112" t="s">
        <v>2425</v>
      </c>
      <c r="G1693" s="1110">
        <v>0.7211805555555556</v>
      </c>
      <c r="H1693" s="1110">
        <v>0.7215277777777778</v>
      </c>
      <c r="I1693" s="1110"/>
      <c r="J1693" s="1111"/>
      <c r="K1693" s="1111">
        <v>0.7229166666666667</v>
      </c>
      <c r="L1693" s="1112">
        <v>0.001388888888888889</v>
      </c>
      <c r="M1693" s="1113" t="s">
        <v>166</v>
      </c>
      <c r="N1693" s="110" t="s">
        <v>188</v>
      </c>
      <c r="O1693" s="1115" t="s">
        <v>378</v>
      </c>
      <c r="P1693" s="1115" t="s">
        <v>225</v>
      </c>
      <c r="Q1693" s="1115" t="s">
        <v>842</v>
      </c>
      <c r="R1693" s="120">
        <v>22.7</v>
      </c>
      <c r="S1693" s="1113">
        <v>39.7</v>
      </c>
      <c r="T1693" s="110">
        <v>1.09</v>
      </c>
      <c r="U1693" s="1108">
        <v>14.0</v>
      </c>
      <c r="V1693" s="1108"/>
      <c r="W1693" s="1108"/>
      <c r="X1693" s="1108"/>
      <c r="Y1693" s="1108"/>
      <c r="Z1693" s="1114" t="s">
        <v>1140</v>
      </c>
      <c r="AA1693" s="1114"/>
      <c r="AB1693" s="1114" t="s">
        <v>403</v>
      </c>
      <c r="AC1693" s="1117">
        <v>8.0</v>
      </c>
      <c r="AD1693" s="1115"/>
      <c r="AE1693" s="1115"/>
      <c r="AF1693" s="1115"/>
      <c r="AG1693" s="1115"/>
      <c r="AH1693" s="1115"/>
      <c r="AI1693" s="1115"/>
      <c r="AJ1693" s="1117"/>
      <c r="AK1693" s="1118"/>
      <c r="AL1693" s="1115"/>
      <c r="AM1693" s="1115"/>
      <c r="AN1693" s="1115"/>
      <c r="AO1693" s="1115"/>
      <c r="AP1693" s="1115"/>
      <c r="AQ1693" s="1115"/>
      <c r="AR1693" s="1115"/>
      <c r="AS1693" s="1117"/>
      <c r="AT1693" s="1196" t="str">
        <f t="shared" si="179"/>
        <v>10+</v>
      </c>
      <c r="AU1693" s="1193"/>
      <c r="AV1693" s="330">
        <f>SQRT(($R1693-Infrastructure!J$3)^2+($S1693-Infrastructure!K$3)^2)</f>
        <v>25.40944706</v>
      </c>
      <c r="AW1693" s="331">
        <f>SQRT(($R1693-Infrastructure!J$4)^2+($S1693-Infrastructure!K$4)^2)</f>
        <v>31.75862088</v>
      </c>
      <c r="AX1693" s="331">
        <f>SQRT(($R1693-Infrastructure!J$5)^2+($S1693-Infrastructure!K$5)^2)</f>
        <v>41.54708173</v>
      </c>
      <c r="AY1693" s="331">
        <f>SQRT(($R1693-Infrastructure!J$6)^2+($S1693-Infrastructure!K$6)^2)</f>
        <v>41.36568626</v>
      </c>
      <c r="AZ1693" s="331">
        <f>SQRT(($R1693-Infrastructure!J$7)^2+($S1693-Infrastructure!K$7)^2)</f>
        <v>39.46137352</v>
      </c>
      <c r="BA1693" s="331">
        <f>SQRT(($R1693-Infrastructure!J$8)^2+($S1693-Infrastructure!K$8)^2)</f>
        <v>40.08890121</v>
      </c>
      <c r="BB1693" s="331">
        <f>SQRT(($R1693-Infrastructure!J$9)^2+($S1693-Infrastructure!K$9)^2)</f>
        <v>38.68397601</v>
      </c>
      <c r="BC1693" s="331">
        <f>SQRT(($R1693-Infrastructure!J$10)^2+($S1693-Infrastructure!K$10)^2)</f>
        <v>30.15592811</v>
      </c>
      <c r="BD1693" s="331">
        <f>SQRT(($R1693-Infrastructure!J$11)^2+($S1693-Infrastructure!K$11)^2)</f>
        <v>20.51194774</v>
      </c>
      <c r="BE1693" s="333">
        <f>SQRT(($R1693-Infrastructure!J$12)^2+($S1693-Infrastructure!K$12)^2)</f>
        <v>15.84550409</v>
      </c>
      <c r="BF1693" s="330">
        <f t="shared" si="161"/>
        <v>15.84550409</v>
      </c>
      <c r="BG1693" s="333">
        <f t="shared" si="162"/>
        <v>41.54708173</v>
      </c>
      <c r="BH1693" s="1119"/>
      <c r="BI1693" s="319" t="str">
        <f t="shared" ref="BI1693:BR1693" si="243">IF(ISNUMBER(FIND(BI$3, $CO1693)), "Y", "")</f>
        <v>Y</v>
      </c>
      <c r="BJ1693" s="319" t="str">
        <f t="shared" si="243"/>
        <v>Y</v>
      </c>
      <c r="BK1693" s="319" t="str">
        <f t="shared" si="243"/>
        <v>Y</v>
      </c>
      <c r="BL1693" s="319" t="str">
        <f t="shared" si="243"/>
        <v>Y</v>
      </c>
      <c r="BM1693" s="319" t="str">
        <f t="shared" si="243"/>
        <v>Y</v>
      </c>
      <c r="BN1693" s="319" t="str">
        <f t="shared" si="243"/>
        <v>Y</v>
      </c>
      <c r="BO1693" s="319" t="str">
        <f t="shared" si="243"/>
        <v>Y</v>
      </c>
      <c r="BP1693" s="319" t="str">
        <f t="shared" si="243"/>
        <v>Y</v>
      </c>
      <c r="BQ1693" s="319" t="str">
        <f t="shared" si="243"/>
        <v>Y</v>
      </c>
      <c r="BR1693" s="319" t="str">
        <f t="shared" si="243"/>
        <v>Y</v>
      </c>
      <c r="BS1693" s="330">
        <f t="shared" si="185"/>
        <v>15.84550409</v>
      </c>
      <c r="BT1693" s="331">
        <f t="shared" si="170"/>
        <v>41.54708173</v>
      </c>
      <c r="BU1693" s="920"/>
      <c r="BV1693" s="903" t="str">
        <f t="shared" si="186"/>
        <v/>
      </c>
      <c r="BW1693" s="908">
        <v>14.3</v>
      </c>
      <c r="BX1693" s="908">
        <v>43.1</v>
      </c>
      <c r="BY1693" s="331">
        <f t="shared" si="201"/>
        <v>9.062008607</v>
      </c>
      <c r="BZ1693" s="331"/>
      <c r="CA1693" s="462" t="s">
        <v>846</v>
      </c>
      <c r="CB1693" s="319" t="s">
        <v>846</v>
      </c>
      <c r="CC1693" s="319" t="s">
        <v>846</v>
      </c>
      <c r="CD1693" s="319" t="s">
        <v>846</v>
      </c>
      <c r="CE1693" s="319" t="s">
        <v>846</v>
      </c>
      <c r="CF1693" s="319" t="s">
        <v>846</v>
      </c>
      <c r="CG1693" s="319" t="s">
        <v>846</v>
      </c>
      <c r="CH1693" s="319" t="s">
        <v>846</v>
      </c>
      <c r="CI1693" s="319" t="s">
        <v>846</v>
      </c>
      <c r="CJ1693" s="319" t="s">
        <v>846</v>
      </c>
      <c r="CK1693" s="342">
        <f t="shared" si="182"/>
        <v>15.84550409</v>
      </c>
      <c r="CL1693" s="333">
        <f t="shared" si="183"/>
        <v>41.54708173</v>
      </c>
      <c r="CM1693" s="1079" t="s">
        <v>2406</v>
      </c>
      <c r="CN1693" s="1004" t="s">
        <v>2403</v>
      </c>
      <c r="CO1693" s="1256" t="s">
        <v>2365</v>
      </c>
      <c r="CP1693" s="1256" t="s">
        <v>2365</v>
      </c>
    </row>
    <row r="1694">
      <c r="A1694" s="797"/>
      <c r="B1694" s="1113" t="s">
        <v>1511</v>
      </c>
      <c r="C1694" s="1107">
        <v>45439.0</v>
      </c>
      <c r="D1694" s="103"/>
      <c r="E1694" s="1108">
        <v>14.0</v>
      </c>
      <c r="F1694" s="112" t="s">
        <v>2426</v>
      </c>
      <c r="G1694" s="1110">
        <v>0.7239583333333334</v>
      </c>
      <c r="H1694" s="1110">
        <v>0.7243055555555555</v>
      </c>
      <c r="I1694" s="1110"/>
      <c r="J1694" s="1111"/>
      <c r="K1694" s="1111">
        <v>0.7256944444444444</v>
      </c>
      <c r="L1694" s="1112">
        <v>0.001388888888888889</v>
      </c>
      <c r="M1694" s="1113" t="s">
        <v>166</v>
      </c>
      <c r="N1694" s="110" t="s">
        <v>188</v>
      </c>
      <c r="O1694" s="1115" t="s">
        <v>378</v>
      </c>
      <c r="P1694" s="1115" t="s">
        <v>225</v>
      </c>
      <c r="Q1694" s="1115" t="s">
        <v>842</v>
      </c>
      <c r="R1694" s="120">
        <v>22.7</v>
      </c>
      <c r="S1694" s="1113">
        <v>39.7</v>
      </c>
      <c r="T1694" s="110">
        <v>1.09</v>
      </c>
      <c r="U1694" s="1108">
        <v>13.0</v>
      </c>
      <c r="V1694" s="1108"/>
      <c r="W1694" s="1108"/>
      <c r="X1694" s="1108"/>
      <c r="Y1694" s="1108"/>
      <c r="Z1694" s="1114" t="s">
        <v>1140</v>
      </c>
      <c r="AA1694" s="1114"/>
      <c r="AB1694" s="1114" t="s">
        <v>403</v>
      </c>
      <c r="AC1694" s="1117">
        <v>8.0</v>
      </c>
      <c r="AD1694" s="1115"/>
      <c r="AE1694" s="1115"/>
      <c r="AF1694" s="1115"/>
      <c r="AG1694" s="1115"/>
      <c r="AH1694" s="1115"/>
      <c r="AI1694" s="1115"/>
      <c r="AJ1694" s="1117"/>
      <c r="AK1694" s="1118"/>
      <c r="AL1694" s="1115"/>
      <c r="AM1694" s="1115"/>
      <c r="AN1694" s="1115"/>
      <c r="AO1694" s="1115"/>
      <c r="AP1694" s="1115"/>
      <c r="AQ1694" s="1115"/>
      <c r="AR1694" s="1115"/>
      <c r="AS1694" s="1117"/>
      <c r="AT1694" s="1196" t="str">
        <f t="shared" si="179"/>
        <v>10+</v>
      </c>
      <c r="AU1694" s="1193"/>
      <c r="AV1694" s="330">
        <f>SQRT(($R1694-Infrastructure!J$3)^2+($S1694-Infrastructure!K$3)^2)</f>
        <v>25.40944706</v>
      </c>
      <c r="AW1694" s="331">
        <f>SQRT(($R1694-Infrastructure!J$4)^2+($S1694-Infrastructure!K$4)^2)</f>
        <v>31.75862088</v>
      </c>
      <c r="AX1694" s="331">
        <f>SQRT(($R1694-Infrastructure!J$5)^2+($S1694-Infrastructure!K$5)^2)</f>
        <v>41.54708173</v>
      </c>
      <c r="AY1694" s="331">
        <f>SQRT(($R1694-Infrastructure!J$6)^2+($S1694-Infrastructure!K$6)^2)</f>
        <v>41.36568626</v>
      </c>
      <c r="AZ1694" s="331">
        <f>SQRT(($R1694-Infrastructure!J$7)^2+($S1694-Infrastructure!K$7)^2)</f>
        <v>39.46137352</v>
      </c>
      <c r="BA1694" s="331">
        <f>SQRT(($R1694-Infrastructure!J$8)^2+($S1694-Infrastructure!K$8)^2)</f>
        <v>40.08890121</v>
      </c>
      <c r="BB1694" s="331">
        <f>SQRT(($R1694-Infrastructure!J$9)^2+($S1694-Infrastructure!K$9)^2)</f>
        <v>38.68397601</v>
      </c>
      <c r="BC1694" s="331">
        <f>SQRT(($R1694-Infrastructure!J$10)^2+($S1694-Infrastructure!K$10)^2)</f>
        <v>30.15592811</v>
      </c>
      <c r="BD1694" s="331">
        <f>SQRT(($R1694-Infrastructure!J$11)^2+($S1694-Infrastructure!K$11)^2)</f>
        <v>20.51194774</v>
      </c>
      <c r="BE1694" s="333">
        <f>SQRT(($R1694-Infrastructure!J$12)^2+($S1694-Infrastructure!K$12)^2)</f>
        <v>15.84550409</v>
      </c>
      <c r="BF1694" s="330">
        <f t="shared" si="161"/>
        <v>15.84550409</v>
      </c>
      <c r="BG1694" s="333">
        <f t="shared" si="162"/>
        <v>41.54708173</v>
      </c>
      <c r="BH1694" s="1119"/>
      <c r="BI1694" s="319" t="str">
        <f t="shared" ref="BI1694:BR1694" si="244">IF(ISNUMBER(FIND(BI$3, $CO1694)), "Y", "")</f>
        <v>Y</v>
      </c>
      <c r="BJ1694" s="319" t="str">
        <f t="shared" si="244"/>
        <v>Y</v>
      </c>
      <c r="BK1694" s="319" t="str">
        <f t="shared" si="244"/>
        <v/>
      </c>
      <c r="BL1694" s="319" t="str">
        <f t="shared" si="244"/>
        <v>Y</v>
      </c>
      <c r="BM1694" s="319" t="str">
        <f t="shared" si="244"/>
        <v>Y</v>
      </c>
      <c r="BN1694" s="319" t="str">
        <f t="shared" si="244"/>
        <v>Y</v>
      </c>
      <c r="BO1694" s="319" t="str">
        <f t="shared" si="244"/>
        <v/>
      </c>
      <c r="BP1694" s="319" t="str">
        <f t="shared" si="244"/>
        <v>Y</v>
      </c>
      <c r="BQ1694" s="319" t="str">
        <f t="shared" si="244"/>
        <v>Y</v>
      </c>
      <c r="BR1694" s="319" t="str">
        <f t="shared" si="244"/>
        <v>Y</v>
      </c>
      <c r="BS1694" s="330">
        <f t="shared" si="185"/>
        <v>15.84550409</v>
      </c>
      <c r="BT1694" s="331">
        <f t="shared" si="170"/>
        <v>41.36568626</v>
      </c>
      <c r="BU1694" s="920"/>
      <c r="BV1694" s="903" t="str">
        <f t="shared" si="186"/>
        <v/>
      </c>
      <c r="BW1694" s="908">
        <v>16.3</v>
      </c>
      <c r="BX1694" s="908">
        <v>42.1</v>
      </c>
      <c r="BY1694" s="331">
        <f t="shared" si="201"/>
        <v>6.835202996</v>
      </c>
      <c r="BZ1694" s="331"/>
      <c r="CA1694" s="462" t="s">
        <v>846</v>
      </c>
      <c r="CB1694" s="319" t="s">
        <v>846</v>
      </c>
      <c r="CC1694" s="319" t="s">
        <v>846</v>
      </c>
      <c r="CD1694" s="319" t="s">
        <v>846</v>
      </c>
      <c r="CE1694" s="319" t="s">
        <v>846</v>
      </c>
      <c r="CF1694" s="319" t="s">
        <v>846</v>
      </c>
      <c r="CG1694" s="319" t="s">
        <v>846</v>
      </c>
      <c r="CH1694" s="319" t="s">
        <v>846</v>
      </c>
      <c r="CI1694" s="319" t="s">
        <v>846</v>
      </c>
      <c r="CJ1694" s="319" t="s">
        <v>846</v>
      </c>
      <c r="CK1694" s="342">
        <f t="shared" si="182"/>
        <v>15.84550409</v>
      </c>
      <c r="CL1694" s="333">
        <f t="shared" si="183"/>
        <v>41.54708173</v>
      </c>
      <c r="CM1694" s="1079" t="s">
        <v>2427</v>
      </c>
      <c r="CN1694" s="1004" t="s">
        <v>2403</v>
      </c>
      <c r="CO1694" s="1256" t="s">
        <v>2428</v>
      </c>
      <c r="CP1694" s="1256" t="s">
        <v>2365</v>
      </c>
    </row>
    <row r="1695">
      <c r="A1695" s="797"/>
      <c r="B1695" s="1113" t="s">
        <v>1511</v>
      </c>
      <c r="C1695" s="1107">
        <v>45439.0</v>
      </c>
      <c r="D1695" s="103"/>
      <c r="E1695" s="1108">
        <v>15.0</v>
      </c>
      <c r="F1695" s="112" t="s">
        <v>2429</v>
      </c>
      <c r="G1695" s="1110">
        <v>0.7267361111111111</v>
      </c>
      <c r="H1695" s="1110">
        <v>0.7270833333333333</v>
      </c>
      <c r="I1695" s="1110"/>
      <c r="J1695" s="1111"/>
      <c r="K1695" s="1111">
        <v>0.7284722222222222</v>
      </c>
      <c r="L1695" s="1112">
        <v>0.001388888888888889</v>
      </c>
      <c r="M1695" s="1113" t="s">
        <v>166</v>
      </c>
      <c r="N1695" s="110" t="s">
        <v>188</v>
      </c>
      <c r="O1695" s="1115" t="s">
        <v>378</v>
      </c>
      <c r="P1695" s="1115" t="s">
        <v>225</v>
      </c>
      <c r="Q1695" s="1115" t="s">
        <v>842</v>
      </c>
      <c r="R1695" s="120">
        <v>22.7</v>
      </c>
      <c r="S1695" s="1113">
        <v>39.7</v>
      </c>
      <c r="T1695" s="110">
        <v>1.09</v>
      </c>
      <c r="U1695" s="1108">
        <v>12.0</v>
      </c>
      <c r="V1695" s="1108"/>
      <c r="W1695" s="1108"/>
      <c r="X1695" s="1108"/>
      <c r="Y1695" s="1108"/>
      <c r="Z1695" s="1114" t="s">
        <v>1140</v>
      </c>
      <c r="AA1695" s="1114"/>
      <c r="AB1695" s="1114" t="s">
        <v>403</v>
      </c>
      <c r="AC1695" s="1117">
        <v>8.0</v>
      </c>
      <c r="AD1695" s="1115"/>
      <c r="AE1695" s="1115"/>
      <c r="AF1695" s="1115"/>
      <c r="AG1695" s="1115"/>
      <c r="AH1695" s="1115"/>
      <c r="AI1695" s="1115"/>
      <c r="AJ1695" s="1117"/>
      <c r="AK1695" s="1118"/>
      <c r="AL1695" s="1115"/>
      <c r="AM1695" s="1115"/>
      <c r="AN1695" s="1115"/>
      <c r="AO1695" s="1115"/>
      <c r="AP1695" s="1115"/>
      <c r="AQ1695" s="1115"/>
      <c r="AR1695" s="1115"/>
      <c r="AS1695" s="1117"/>
      <c r="AT1695" s="1196" t="str">
        <f t="shared" si="179"/>
        <v>10+</v>
      </c>
      <c r="AU1695" s="1193"/>
      <c r="AV1695" s="330">
        <f>SQRT(($R1695-Infrastructure!J$3)^2+($S1695-Infrastructure!K$3)^2)</f>
        <v>25.40944706</v>
      </c>
      <c r="AW1695" s="331">
        <f>SQRT(($R1695-Infrastructure!J$4)^2+($S1695-Infrastructure!K$4)^2)</f>
        <v>31.75862088</v>
      </c>
      <c r="AX1695" s="331">
        <f>SQRT(($R1695-Infrastructure!J$5)^2+($S1695-Infrastructure!K$5)^2)</f>
        <v>41.54708173</v>
      </c>
      <c r="AY1695" s="331">
        <f>SQRT(($R1695-Infrastructure!J$6)^2+($S1695-Infrastructure!K$6)^2)</f>
        <v>41.36568626</v>
      </c>
      <c r="AZ1695" s="331">
        <f>SQRT(($R1695-Infrastructure!J$7)^2+($S1695-Infrastructure!K$7)^2)</f>
        <v>39.46137352</v>
      </c>
      <c r="BA1695" s="331">
        <f>SQRT(($R1695-Infrastructure!J$8)^2+($S1695-Infrastructure!K$8)^2)</f>
        <v>40.08890121</v>
      </c>
      <c r="BB1695" s="331">
        <f>SQRT(($R1695-Infrastructure!J$9)^2+($S1695-Infrastructure!K$9)^2)</f>
        <v>38.68397601</v>
      </c>
      <c r="BC1695" s="331">
        <f>SQRT(($R1695-Infrastructure!J$10)^2+($S1695-Infrastructure!K$10)^2)</f>
        <v>30.15592811</v>
      </c>
      <c r="BD1695" s="331">
        <f>SQRT(($R1695-Infrastructure!J$11)^2+($S1695-Infrastructure!K$11)^2)</f>
        <v>20.51194774</v>
      </c>
      <c r="BE1695" s="333">
        <f>SQRT(($R1695-Infrastructure!J$12)^2+($S1695-Infrastructure!K$12)^2)</f>
        <v>15.84550409</v>
      </c>
      <c r="BF1695" s="330">
        <f t="shared" si="161"/>
        <v>15.84550409</v>
      </c>
      <c r="BG1695" s="333">
        <f t="shared" si="162"/>
        <v>41.54708173</v>
      </c>
      <c r="BH1695" s="1119"/>
      <c r="BI1695" s="319" t="str">
        <f t="shared" ref="BI1695:BR1695" si="245">IF(ISNUMBER(FIND(BI$3, $CO1695)), "Y", "")</f>
        <v>Y</v>
      </c>
      <c r="BJ1695" s="319" t="str">
        <f t="shared" si="245"/>
        <v>Y</v>
      </c>
      <c r="BK1695" s="319" t="str">
        <f t="shared" si="245"/>
        <v>Y</v>
      </c>
      <c r="BL1695" s="319" t="str">
        <f t="shared" si="245"/>
        <v/>
      </c>
      <c r="BM1695" s="319" t="str">
        <f t="shared" si="245"/>
        <v>Y</v>
      </c>
      <c r="BN1695" s="319" t="str">
        <f t="shared" si="245"/>
        <v>Y</v>
      </c>
      <c r="BO1695" s="319" t="str">
        <f t="shared" si="245"/>
        <v>Y</v>
      </c>
      <c r="BP1695" s="319" t="str">
        <f t="shared" si="245"/>
        <v>Y</v>
      </c>
      <c r="BQ1695" s="319" t="str">
        <f t="shared" si="245"/>
        <v>Y</v>
      </c>
      <c r="BR1695" s="319" t="str">
        <f t="shared" si="245"/>
        <v>Y</v>
      </c>
      <c r="BS1695" s="330">
        <f t="shared" si="185"/>
        <v>15.84550409</v>
      </c>
      <c r="BT1695" s="331">
        <f t="shared" si="170"/>
        <v>41.54708173</v>
      </c>
      <c r="BU1695" s="920"/>
      <c r="BV1695" s="903" t="str">
        <f t="shared" si="186"/>
        <v/>
      </c>
      <c r="BW1695" s="908">
        <v>15.6</v>
      </c>
      <c r="BX1695" s="908">
        <v>42.6</v>
      </c>
      <c r="BY1695" s="331">
        <f t="shared" si="201"/>
        <v>7.669419796</v>
      </c>
      <c r="BZ1695" s="331"/>
      <c r="CA1695" s="462" t="s">
        <v>846</v>
      </c>
      <c r="CB1695" s="319" t="s">
        <v>846</v>
      </c>
      <c r="CC1695" s="319" t="s">
        <v>846</v>
      </c>
      <c r="CD1695" s="319" t="s">
        <v>846</v>
      </c>
      <c r="CE1695" s="319" t="s">
        <v>846</v>
      </c>
      <c r="CF1695" s="319" t="s">
        <v>846</v>
      </c>
      <c r="CG1695" s="319" t="s">
        <v>846</v>
      </c>
      <c r="CH1695" s="319" t="s">
        <v>846</v>
      </c>
      <c r="CI1695" s="319" t="s">
        <v>846</v>
      </c>
      <c r="CJ1695" s="319" t="s">
        <v>846</v>
      </c>
      <c r="CK1695" s="342">
        <f t="shared" si="182"/>
        <v>15.84550409</v>
      </c>
      <c r="CL1695" s="333">
        <f t="shared" si="183"/>
        <v>41.54708173</v>
      </c>
      <c r="CM1695" s="1079" t="s">
        <v>2430</v>
      </c>
      <c r="CN1695" s="1004" t="s">
        <v>2403</v>
      </c>
      <c r="CO1695" s="1256" t="s">
        <v>2368</v>
      </c>
      <c r="CP1695" s="1005" t="s">
        <v>2365</v>
      </c>
    </row>
    <row r="1696">
      <c r="A1696" s="797"/>
      <c r="B1696" s="1113" t="s">
        <v>1511</v>
      </c>
      <c r="C1696" s="1107">
        <v>45439.0</v>
      </c>
      <c r="D1696" s="103"/>
      <c r="E1696" s="1108">
        <v>16.0</v>
      </c>
      <c r="F1696" s="112" t="s">
        <v>2431</v>
      </c>
      <c r="G1696" s="1110">
        <v>0.7295717592592592</v>
      </c>
      <c r="H1696" s="1110">
        <v>0.7298611111111111</v>
      </c>
      <c r="I1696" s="1110"/>
      <c r="J1696" s="1111"/>
      <c r="K1696" s="1111">
        <v>0.7315393518518518</v>
      </c>
      <c r="L1696" s="1112">
        <v>0.0016782407407407408</v>
      </c>
      <c r="M1696" s="1113" t="s">
        <v>166</v>
      </c>
      <c r="N1696" s="110" t="s">
        <v>188</v>
      </c>
      <c r="O1696" s="1115" t="s">
        <v>378</v>
      </c>
      <c r="P1696" s="1115" t="s">
        <v>225</v>
      </c>
      <c r="Q1696" s="1115" t="s">
        <v>842</v>
      </c>
      <c r="R1696" s="120">
        <v>22.7</v>
      </c>
      <c r="S1696" s="1113">
        <v>39.7</v>
      </c>
      <c r="T1696" s="110">
        <v>1.09</v>
      </c>
      <c r="U1696" s="1108">
        <v>11.0</v>
      </c>
      <c r="V1696" s="1108"/>
      <c r="W1696" s="1108"/>
      <c r="X1696" s="1108"/>
      <c r="Y1696" s="1108"/>
      <c r="Z1696" s="1114" t="s">
        <v>1140</v>
      </c>
      <c r="AA1696" s="1114"/>
      <c r="AB1696" s="1114" t="s">
        <v>403</v>
      </c>
      <c r="AC1696" s="1117">
        <v>8.0</v>
      </c>
      <c r="AD1696" s="1115"/>
      <c r="AE1696" s="1115"/>
      <c r="AF1696" s="1115"/>
      <c r="AG1696" s="1115"/>
      <c r="AH1696" s="1115"/>
      <c r="AI1696" s="1115"/>
      <c r="AJ1696" s="1117"/>
      <c r="AK1696" s="1118"/>
      <c r="AL1696" s="1115"/>
      <c r="AM1696" s="1115"/>
      <c r="AN1696" s="1115"/>
      <c r="AO1696" s="1115"/>
      <c r="AP1696" s="1115"/>
      <c r="AQ1696" s="1115"/>
      <c r="AR1696" s="1115"/>
      <c r="AS1696" s="1117"/>
      <c r="AT1696" s="1196" t="str">
        <f t="shared" si="179"/>
        <v>10+</v>
      </c>
      <c r="AU1696" s="1193"/>
      <c r="AV1696" s="330">
        <f>SQRT(($R1696-Infrastructure!J$3)^2+($S1696-Infrastructure!K$3)^2)</f>
        <v>25.40944706</v>
      </c>
      <c r="AW1696" s="331">
        <f>SQRT(($R1696-Infrastructure!J$4)^2+($S1696-Infrastructure!K$4)^2)</f>
        <v>31.75862088</v>
      </c>
      <c r="AX1696" s="331">
        <f>SQRT(($R1696-Infrastructure!J$5)^2+($S1696-Infrastructure!K$5)^2)</f>
        <v>41.54708173</v>
      </c>
      <c r="AY1696" s="331">
        <f>SQRT(($R1696-Infrastructure!J$6)^2+($S1696-Infrastructure!K$6)^2)</f>
        <v>41.36568626</v>
      </c>
      <c r="AZ1696" s="331">
        <f>SQRT(($R1696-Infrastructure!J$7)^2+($S1696-Infrastructure!K$7)^2)</f>
        <v>39.46137352</v>
      </c>
      <c r="BA1696" s="331">
        <f>SQRT(($R1696-Infrastructure!J$8)^2+($S1696-Infrastructure!K$8)^2)</f>
        <v>40.08890121</v>
      </c>
      <c r="BB1696" s="331">
        <f>SQRT(($R1696-Infrastructure!J$9)^2+($S1696-Infrastructure!K$9)^2)</f>
        <v>38.68397601</v>
      </c>
      <c r="BC1696" s="331">
        <f>SQRT(($R1696-Infrastructure!J$10)^2+($S1696-Infrastructure!K$10)^2)</f>
        <v>30.15592811</v>
      </c>
      <c r="BD1696" s="331">
        <f>SQRT(($R1696-Infrastructure!J$11)^2+($S1696-Infrastructure!K$11)^2)</f>
        <v>20.51194774</v>
      </c>
      <c r="BE1696" s="333">
        <f>SQRT(($R1696-Infrastructure!J$12)^2+($S1696-Infrastructure!K$12)^2)</f>
        <v>15.84550409</v>
      </c>
      <c r="BF1696" s="330">
        <f t="shared" si="161"/>
        <v>15.84550409</v>
      </c>
      <c r="BG1696" s="333">
        <f t="shared" si="162"/>
        <v>41.54708173</v>
      </c>
      <c r="BH1696" s="1119"/>
      <c r="BI1696" s="319" t="str">
        <f t="shared" ref="BI1696:BR1696" si="246">IF(ISNUMBER(FIND(BI$3, $CO1696)), "Y", "")</f>
        <v>Y</v>
      </c>
      <c r="BJ1696" s="319" t="str">
        <f t="shared" si="246"/>
        <v>Y</v>
      </c>
      <c r="BK1696" s="319" t="str">
        <f t="shared" si="246"/>
        <v>Y</v>
      </c>
      <c r="BL1696" s="319" t="str">
        <f t="shared" si="246"/>
        <v>Y</v>
      </c>
      <c r="BM1696" s="319" t="str">
        <f t="shared" si="246"/>
        <v>Y</v>
      </c>
      <c r="BN1696" s="319" t="str">
        <f t="shared" si="246"/>
        <v>Y</v>
      </c>
      <c r="BO1696" s="319" t="str">
        <f t="shared" si="246"/>
        <v>Y</v>
      </c>
      <c r="BP1696" s="319" t="str">
        <f t="shared" si="246"/>
        <v>Y</v>
      </c>
      <c r="BQ1696" s="319" t="str">
        <f t="shared" si="246"/>
        <v>Y</v>
      </c>
      <c r="BR1696" s="319" t="str">
        <f t="shared" si="246"/>
        <v>Y</v>
      </c>
      <c r="BS1696" s="330">
        <f t="shared" si="185"/>
        <v>15.84550409</v>
      </c>
      <c r="BT1696" s="331">
        <f t="shared" si="170"/>
        <v>41.54708173</v>
      </c>
      <c r="BU1696" s="920"/>
      <c r="BV1696" s="903" t="str">
        <f t="shared" si="186"/>
        <v/>
      </c>
      <c r="BW1696" s="908">
        <v>15.7</v>
      </c>
      <c r="BX1696" s="908">
        <v>43.1</v>
      </c>
      <c r="BY1696" s="331">
        <f t="shared" si="201"/>
        <v>7.782030583</v>
      </c>
      <c r="BZ1696" s="331"/>
      <c r="CA1696" s="462" t="s">
        <v>846</v>
      </c>
      <c r="CB1696" s="319" t="s">
        <v>846</v>
      </c>
      <c r="CC1696" s="319" t="s">
        <v>846</v>
      </c>
      <c r="CD1696" s="319" t="s">
        <v>846</v>
      </c>
      <c r="CE1696" s="319" t="s">
        <v>846</v>
      </c>
      <c r="CF1696" s="319" t="s">
        <v>846</v>
      </c>
      <c r="CG1696" s="319" t="s">
        <v>846</v>
      </c>
      <c r="CH1696" s="319" t="s">
        <v>846</v>
      </c>
      <c r="CI1696" s="319" t="s">
        <v>846</v>
      </c>
      <c r="CJ1696" s="319" t="s">
        <v>846</v>
      </c>
      <c r="CK1696" s="342">
        <f t="shared" si="182"/>
        <v>15.84550409</v>
      </c>
      <c r="CL1696" s="333">
        <f t="shared" si="183"/>
        <v>41.54708173</v>
      </c>
      <c r="CM1696" s="1079" t="s">
        <v>2432</v>
      </c>
      <c r="CN1696" s="1004" t="s">
        <v>2403</v>
      </c>
      <c r="CO1696" s="1256" t="s">
        <v>2365</v>
      </c>
      <c r="CP1696" s="1256" t="s">
        <v>2365</v>
      </c>
    </row>
    <row r="1697">
      <c r="A1697" s="797"/>
      <c r="B1697" s="1113" t="s">
        <v>1511</v>
      </c>
      <c r="C1697" s="1107">
        <v>45439.0</v>
      </c>
      <c r="D1697" s="103"/>
      <c r="E1697" s="1108">
        <v>17.0</v>
      </c>
      <c r="F1697" s="112" t="s">
        <v>2433</v>
      </c>
      <c r="G1697" s="1110">
        <v>0.7329861111111111</v>
      </c>
      <c r="H1697" s="1110">
        <v>0.7333333333333333</v>
      </c>
      <c r="I1697" s="1110"/>
      <c r="J1697" s="1111"/>
      <c r="K1697" s="1111">
        <v>0.7347222222222223</v>
      </c>
      <c r="L1697" s="1112">
        <v>0.001388888888888889</v>
      </c>
      <c r="M1697" s="1113" t="s">
        <v>166</v>
      </c>
      <c r="N1697" s="110" t="s">
        <v>188</v>
      </c>
      <c r="O1697" s="1115" t="s">
        <v>378</v>
      </c>
      <c r="P1697" s="1115" t="s">
        <v>225</v>
      </c>
      <c r="Q1697" s="1115" t="s">
        <v>842</v>
      </c>
      <c r="R1697" s="120">
        <v>22.7</v>
      </c>
      <c r="S1697" s="1113">
        <v>39.7</v>
      </c>
      <c r="T1697" s="110">
        <v>1.09</v>
      </c>
      <c r="U1697" s="1108">
        <v>10.0</v>
      </c>
      <c r="V1697" s="1108"/>
      <c r="W1697" s="1108"/>
      <c r="X1697" s="1108"/>
      <c r="Y1697" s="1108"/>
      <c r="Z1697" s="1114" t="s">
        <v>1140</v>
      </c>
      <c r="AA1697" s="1114"/>
      <c r="AB1697" s="1114" t="s">
        <v>403</v>
      </c>
      <c r="AC1697" s="1117">
        <v>8.0</v>
      </c>
      <c r="AD1697" s="1115"/>
      <c r="AE1697" s="1115"/>
      <c r="AF1697" s="1115"/>
      <c r="AG1697" s="1115"/>
      <c r="AH1697" s="1115"/>
      <c r="AI1697" s="1115"/>
      <c r="AJ1697" s="1117"/>
      <c r="AK1697" s="1118"/>
      <c r="AL1697" s="1115"/>
      <c r="AM1697" s="1115"/>
      <c r="AN1697" s="1115"/>
      <c r="AO1697" s="1115"/>
      <c r="AP1697" s="1115"/>
      <c r="AQ1697" s="1115"/>
      <c r="AR1697" s="1115"/>
      <c r="AS1697" s="1117"/>
      <c r="AT1697" s="1196" t="str">
        <f t="shared" si="179"/>
        <v>10+</v>
      </c>
      <c r="AU1697" s="1193"/>
      <c r="AV1697" s="330">
        <f>SQRT(($R1697-Infrastructure!J$3)^2+($S1697-Infrastructure!K$3)^2)</f>
        <v>25.40944706</v>
      </c>
      <c r="AW1697" s="331">
        <f>SQRT(($R1697-Infrastructure!J$4)^2+($S1697-Infrastructure!K$4)^2)</f>
        <v>31.75862088</v>
      </c>
      <c r="AX1697" s="331">
        <f>SQRT(($R1697-Infrastructure!J$5)^2+($S1697-Infrastructure!K$5)^2)</f>
        <v>41.54708173</v>
      </c>
      <c r="AY1697" s="331">
        <f>SQRT(($R1697-Infrastructure!J$6)^2+($S1697-Infrastructure!K$6)^2)</f>
        <v>41.36568626</v>
      </c>
      <c r="AZ1697" s="331">
        <f>SQRT(($R1697-Infrastructure!J$7)^2+($S1697-Infrastructure!K$7)^2)</f>
        <v>39.46137352</v>
      </c>
      <c r="BA1697" s="331">
        <f>SQRT(($R1697-Infrastructure!J$8)^2+($S1697-Infrastructure!K$8)^2)</f>
        <v>40.08890121</v>
      </c>
      <c r="BB1697" s="331">
        <f>SQRT(($R1697-Infrastructure!J$9)^2+($S1697-Infrastructure!K$9)^2)</f>
        <v>38.68397601</v>
      </c>
      <c r="BC1697" s="331">
        <f>SQRT(($R1697-Infrastructure!J$10)^2+($S1697-Infrastructure!K$10)^2)</f>
        <v>30.15592811</v>
      </c>
      <c r="BD1697" s="331">
        <f>SQRT(($R1697-Infrastructure!J$11)^2+($S1697-Infrastructure!K$11)^2)</f>
        <v>20.51194774</v>
      </c>
      <c r="BE1697" s="333">
        <f>SQRT(($R1697-Infrastructure!J$12)^2+($S1697-Infrastructure!K$12)^2)</f>
        <v>15.84550409</v>
      </c>
      <c r="BF1697" s="330">
        <f t="shared" si="161"/>
        <v>15.84550409</v>
      </c>
      <c r="BG1697" s="333">
        <f t="shared" si="162"/>
        <v>41.54708173</v>
      </c>
      <c r="BH1697" s="1119"/>
      <c r="BI1697" s="319" t="str">
        <f t="shared" ref="BI1697:BR1697" si="247">IF(ISNUMBER(FIND(BI$3, $CO1697)), "Y", "")</f>
        <v>Y</v>
      </c>
      <c r="BJ1697" s="319" t="str">
        <f t="shared" si="247"/>
        <v>Y</v>
      </c>
      <c r="BK1697" s="319" t="str">
        <f t="shared" si="247"/>
        <v>Y</v>
      </c>
      <c r="BL1697" s="319" t="str">
        <f t="shared" si="247"/>
        <v/>
      </c>
      <c r="BM1697" s="319" t="str">
        <f t="shared" si="247"/>
        <v>Y</v>
      </c>
      <c r="BN1697" s="319" t="str">
        <f t="shared" si="247"/>
        <v>Y</v>
      </c>
      <c r="BO1697" s="319" t="str">
        <f t="shared" si="247"/>
        <v>Y</v>
      </c>
      <c r="BP1697" s="319" t="str">
        <f t="shared" si="247"/>
        <v>Y</v>
      </c>
      <c r="BQ1697" s="319" t="str">
        <f t="shared" si="247"/>
        <v>Y</v>
      </c>
      <c r="BR1697" s="319" t="str">
        <f t="shared" si="247"/>
        <v>Y</v>
      </c>
      <c r="BS1697" s="330">
        <f t="shared" si="185"/>
        <v>15.84550409</v>
      </c>
      <c r="BT1697" s="331">
        <f t="shared" si="170"/>
        <v>41.54708173</v>
      </c>
      <c r="BU1697" s="920"/>
      <c r="BV1697" s="903" t="str">
        <f t="shared" si="186"/>
        <v/>
      </c>
      <c r="BW1697" s="908">
        <v>19.6</v>
      </c>
      <c r="BX1697" s="908">
        <v>47.1</v>
      </c>
      <c r="BY1697" s="331">
        <f t="shared" si="201"/>
        <v>8.023091673</v>
      </c>
      <c r="BZ1697" s="331"/>
      <c r="CA1697" s="462" t="s">
        <v>846</v>
      </c>
      <c r="CB1697" s="319" t="s">
        <v>846</v>
      </c>
      <c r="CC1697" s="319" t="s">
        <v>846</v>
      </c>
      <c r="CD1697" s="319" t="s">
        <v>846</v>
      </c>
      <c r="CE1697" s="319" t="s">
        <v>846</v>
      </c>
      <c r="CF1697" s="319" t="s">
        <v>846</v>
      </c>
      <c r="CG1697" s="319" t="s">
        <v>846</v>
      </c>
      <c r="CH1697" s="319" t="s">
        <v>846</v>
      </c>
      <c r="CI1697" s="319" t="s">
        <v>846</v>
      </c>
      <c r="CJ1697" s="319" t="s">
        <v>846</v>
      </c>
      <c r="CK1697" s="342">
        <f t="shared" si="182"/>
        <v>15.84550409</v>
      </c>
      <c r="CL1697" s="333">
        <f t="shared" si="183"/>
        <v>41.54708173</v>
      </c>
      <c r="CM1697" s="1079" t="s">
        <v>2434</v>
      </c>
      <c r="CN1697" s="1004" t="s">
        <v>2403</v>
      </c>
      <c r="CO1697" s="1256" t="s">
        <v>2368</v>
      </c>
      <c r="CP1697" s="1256" t="s">
        <v>2365</v>
      </c>
    </row>
    <row r="1698">
      <c r="A1698" s="797"/>
      <c r="B1698" s="1113" t="s">
        <v>1511</v>
      </c>
      <c r="C1698" s="1107">
        <v>45439.0</v>
      </c>
      <c r="D1698" s="103"/>
      <c r="E1698" s="1137"/>
      <c r="F1698" s="112" t="s">
        <v>2435</v>
      </c>
      <c r="G1698" s="1110">
        <v>0.7373263888888889</v>
      </c>
      <c r="H1698" s="1138"/>
      <c r="I1698" s="1138"/>
      <c r="J1698" s="1139"/>
      <c r="K1698" s="1111">
        <v>0.7392361111111111</v>
      </c>
      <c r="L1698" s="1112">
        <v>0.0019097222222222222</v>
      </c>
      <c r="M1698" s="1113" t="s">
        <v>166</v>
      </c>
      <c r="N1698" s="110" t="s">
        <v>188</v>
      </c>
      <c r="O1698" s="1140"/>
      <c r="P1698" s="1115" t="s">
        <v>292</v>
      </c>
      <c r="Q1698" s="1116"/>
      <c r="R1698" s="1141"/>
      <c r="S1698" s="1113"/>
      <c r="T1698" s="1143"/>
      <c r="U1698" s="1108" t="s">
        <v>323</v>
      </c>
      <c r="V1698" s="1108"/>
      <c r="W1698" s="1108"/>
      <c r="X1698" s="1108"/>
      <c r="Y1698" s="1108"/>
      <c r="Z1698" s="1114" t="s">
        <v>323</v>
      </c>
      <c r="AA1698" s="1114"/>
      <c r="AB1698" s="1114" t="s">
        <v>323</v>
      </c>
      <c r="AC1698" s="1117" t="s">
        <v>323</v>
      </c>
      <c r="AD1698" s="1115"/>
      <c r="AE1698" s="1115"/>
      <c r="AF1698" s="1115"/>
      <c r="AG1698" s="1115"/>
      <c r="AH1698" s="1115"/>
      <c r="AI1698" s="1115"/>
      <c r="AJ1698" s="1117"/>
      <c r="AK1698" s="1118"/>
      <c r="AL1698" s="1115"/>
      <c r="AM1698" s="1115"/>
      <c r="AN1698" s="1115"/>
      <c r="AO1698" s="1115"/>
      <c r="AP1698" s="1115"/>
      <c r="AQ1698" s="1115"/>
      <c r="AR1698" s="1115"/>
      <c r="AS1698" s="1117"/>
      <c r="AT1698" s="1196" t="str">
        <f t="shared" si="179"/>
        <v/>
      </c>
      <c r="AU1698" s="1193"/>
      <c r="AV1698" s="330">
        <f>SQRT(($R1698-Infrastructure!J$3)^2+($S1698-Infrastructure!K$3)^2)</f>
        <v>28.90155705</v>
      </c>
      <c r="AW1698" s="331">
        <f>SQRT(($R1698-Infrastructure!J$4)^2+($S1698-Infrastructure!K$4)^2)</f>
        <v>17.80252791</v>
      </c>
      <c r="AX1698" s="331">
        <f>SQRT(($R1698-Infrastructure!J$5)^2+($S1698-Infrastructure!K$5)^2)</f>
        <v>5.10881591</v>
      </c>
      <c r="AY1698" s="331">
        <f>SQRT(($R1698-Infrastructure!J$6)^2+($S1698-Infrastructure!K$6)^2)</f>
        <v>10.10445446</v>
      </c>
      <c r="AZ1698" s="331">
        <f>SQRT(($R1698-Infrastructure!J$7)^2+($S1698-Infrastructure!K$7)^2)</f>
        <v>20.502195</v>
      </c>
      <c r="BA1698" s="331">
        <f>SQRT(($R1698-Infrastructure!J$8)^2+($S1698-Infrastructure!K$8)^2)</f>
        <v>30.10149498</v>
      </c>
      <c r="BB1698" s="331">
        <f>SQRT(($R1698-Infrastructure!J$9)^2+($S1698-Infrastructure!K$9)^2)</f>
        <v>40.3238143</v>
      </c>
      <c r="BC1698" s="331">
        <f>SQRT(($R1698-Infrastructure!J$10)^2+($S1698-Infrastructure!K$10)^2)</f>
        <v>42.72001873</v>
      </c>
      <c r="BD1698" s="331">
        <f>SQRT(($R1698-Infrastructure!J$11)^2+($S1698-Infrastructure!K$11)^2)</f>
        <v>49.56853841</v>
      </c>
      <c r="BE1698" s="333">
        <f>SQRT(($R1698-Infrastructure!J$12)^2+($S1698-Infrastructure!K$12)^2)</f>
        <v>59.51890456</v>
      </c>
      <c r="BF1698" s="330">
        <f t="shared" si="161"/>
        <v>5.10881591</v>
      </c>
      <c r="BG1698" s="333">
        <f t="shared" si="162"/>
        <v>59.51890456</v>
      </c>
      <c r="BH1698" s="1119"/>
      <c r="BI1698" s="319" t="str">
        <f t="shared" ref="BI1698:BR1698" si="248">IF(ISNUMBER(FIND(BI$3, $CO1698)), "Y", "")</f>
        <v>Y</v>
      </c>
      <c r="BJ1698" s="319" t="str">
        <f t="shared" si="248"/>
        <v>Y</v>
      </c>
      <c r="BK1698" s="319" t="str">
        <f t="shared" si="248"/>
        <v>Y</v>
      </c>
      <c r="BL1698" s="319" t="str">
        <f t="shared" si="248"/>
        <v>Y</v>
      </c>
      <c r="BM1698" s="319" t="str">
        <f t="shared" si="248"/>
        <v>Y</v>
      </c>
      <c r="BN1698" s="319" t="str">
        <f t="shared" si="248"/>
        <v>Y</v>
      </c>
      <c r="BO1698" s="319" t="str">
        <f t="shared" si="248"/>
        <v/>
      </c>
      <c r="BP1698" s="319" t="str">
        <f t="shared" si="248"/>
        <v>Y</v>
      </c>
      <c r="BQ1698" s="319" t="str">
        <f t="shared" si="248"/>
        <v>Y</v>
      </c>
      <c r="BR1698" s="319" t="str">
        <f t="shared" si="248"/>
        <v>Y</v>
      </c>
      <c r="BS1698" s="330">
        <f t="shared" si="185"/>
        <v>5.10881591</v>
      </c>
      <c r="BT1698" s="331">
        <f t="shared" si="170"/>
        <v>59.51890456</v>
      </c>
      <c r="BU1698" s="920"/>
      <c r="BV1698" s="903" t="str">
        <f t="shared" si="186"/>
        <v/>
      </c>
      <c r="BW1698" s="908">
        <v>14.0</v>
      </c>
      <c r="BX1698" s="908">
        <v>42.2</v>
      </c>
      <c r="BY1698" s="331">
        <f t="shared" si="201"/>
        <v>44.46166888</v>
      </c>
      <c r="BZ1698" s="331"/>
      <c r="CA1698" s="462" t="s">
        <v>846</v>
      </c>
      <c r="CB1698" s="319" t="s">
        <v>846</v>
      </c>
      <c r="CC1698" s="319" t="s">
        <v>846</v>
      </c>
      <c r="CD1698" s="319" t="s">
        <v>846</v>
      </c>
      <c r="CE1698" s="319" t="s">
        <v>846</v>
      </c>
      <c r="CF1698" s="319" t="s">
        <v>846</v>
      </c>
      <c r="CG1698" s="319" t="s">
        <v>846</v>
      </c>
      <c r="CH1698" s="319" t="s">
        <v>846</v>
      </c>
      <c r="CI1698" s="319" t="s">
        <v>846</v>
      </c>
      <c r="CJ1698" s="319" t="s">
        <v>846</v>
      </c>
      <c r="CK1698" s="342">
        <f t="shared" si="182"/>
        <v>5.10881591</v>
      </c>
      <c r="CL1698" s="333">
        <f t="shared" si="183"/>
        <v>59.51890456</v>
      </c>
      <c r="CM1698" s="1079" t="s">
        <v>2434</v>
      </c>
      <c r="CN1698" s="1004" t="s">
        <v>2403</v>
      </c>
      <c r="CO1698" s="1256" t="s">
        <v>2436</v>
      </c>
      <c r="CP1698" s="1256" t="s">
        <v>2365</v>
      </c>
    </row>
    <row r="1699">
      <c r="A1699" s="1253"/>
      <c r="B1699" s="1129" t="s">
        <v>1511</v>
      </c>
      <c r="C1699" s="1122">
        <v>45439.0</v>
      </c>
      <c r="D1699" s="1123"/>
      <c r="E1699" s="1144"/>
      <c r="F1699" s="108" t="s">
        <v>2435</v>
      </c>
      <c r="G1699" s="1126">
        <v>0.7423611111111111</v>
      </c>
      <c r="H1699" s="1145"/>
      <c r="I1699" s="1145"/>
      <c r="J1699" s="1146"/>
      <c r="K1699" s="1127">
        <v>0.7431712962962963</v>
      </c>
      <c r="L1699" s="1128">
        <v>8.101851851851852E-4</v>
      </c>
      <c r="M1699" s="1129" t="s">
        <v>358</v>
      </c>
      <c r="N1699" s="100" t="s">
        <v>188</v>
      </c>
      <c r="O1699" s="1161"/>
      <c r="P1699" s="1131" t="s">
        <v>294</v>
      </c>
      <c r="Q1699" s="1132"/>
      <c r="R1699" s="1148"/>
      <c r="S1699" s="1129"/>
      <c r="T1699" s="1150"/>
      <c r="U1699" s="1124" t="s">
        <v>323</v>
      </c>
      <c r="V1699" s="1124"/>
      <c r="W1699" s="1124"/>
      <c r="X1699" s="1124"/>
      <c r="Y1699" s="1124"/>
      <c r="Z1699" s="1130" t="s">
        <v>323</v>
      </c>
      <c r="AA1699" s="1130"/>
      <c r="AB1699" s="1130" t="s">
        <v>323</v>
      </c>
      <c r="AC1699" s="1133" t="s">
        <v>323</v>
      </c>
      <c r="AD1699" s="1131"/>
      <c r="AE1699" s="1131"/>
      <c r="AF1699" s="1131"/>
      <c r="AG1699" s="1131"/>
      <c r="AH1699" s="1131"/>
      <c r="AI1699" s="1131"/>
      <c r="AJ1699" s="1133"/>
      <c r="AK1699" s="1134"/>
      <c r="AL1699" s="1131"/>
      <c r="AM1699" s="1131"/>
      <c r="AN1699" s="1131"/>
      <c r="AO1699" s="1131"/>
      <c r="AP1699" s="1131"/>
      <c r="AQ1699" s="1131"/>
      <c r="AR1699" s="1131"/>
      <c r="AS1699" s="1133"/>
      <c r="AT1699" s="1197" t="str">
        <f t="shared" si="179"/>
        <v/>
      </c>
      <c r="AU1699" s="1194"/>
      <c r="AV1699" s="662">
        <f>SQRT(($R1699-Infrastructure!J$3)^2+($S1699-Infrastructure!K$3)^2)</f>
        <v>28.90155705</v>
      </c>
      <c r="AW1699" s="641">
        <f>SQRT(($R1699-Infrastructure!J$4)^2+($S1699-Infrastructure!K$4)^2)</f>
        <v>17.80252791</v>
      </c>
      <c r="AX1699" s="641">
        <f>SQRT(($R1699-Infrastructure!J$5)^2+($S1699-Infrastructure!K$5)^2)</f>
        <v>5.10881591</v>
      </c>
      <c r="AY1699" s="641">
        <f>SQRT(($R1699-Infrastructure!J$6)^2+($S1699-Infrastructure!K$6)^2)</f>
        <v>10.10445446</v>
      </c>
      <c r="AZ1699" s="641">
        <f>SQRT(($R1699-Infrastructure!J$7)^2+($S1699-Infrastructure!K$7)^2)</f>
        <v>20.502195</v>
      </c>
      <c r="BA1699" s="641">
        <f>SQRT(($R1699-Infrastructure!J$8)^2+($S1699-Infrastructure!K$8)^2)</f>
        <v>30.10149498</v>
      </c>
      <c r="BB1699" s="641">
        <f>SQRT(($R1699-Infrastructure!J$9)^2+($S1699-Infrastructure!K$9)^2)</f>
        <v>40.3238143</v>
      </c>
      <c r="BC1699" s="641">
        <f>SQRT(($R1699-Infrastructure!J$10)^2+($S1699-Infrastructure!K$10)^2)</f>
        <v>42.72001873</v>
      </c>
      <c r="BD1699" s="641">
        <f>SQRT(($R1699-Infrastructure!J$11)^2+($S1699-Infrastructure!K$11)^2)</f>
        <v>49.56853841</v>
      </c>
      <c r="BE1699" s="642">
        <f>SQRT(($R1699-Infrastructure!J$12)^2+($S1699-Infrastructure!K$12)^2)</f>
        <v>59.51890456</v>
      </c>
      <c r="BF1699" s="662">
        <f t="shared" si="161"/>
        <v>5.10881591</v>
      </c>
      <c r="BG1699" s="642">
        <f t="shared" si="162"/>
        <v>59.51890456</v>
      </c>
      <c r="BH1699" s="1135"/>
      <c r="BI1699" s="663" t="str">
        <f t="shared" ref="BI1699:BR1699" si="249">IF(ISNUMBER(FIND(BI$3, $CO1699)), "Y", "")</f>
        <v/>
      </c>
      <c r="BJ1699" s="663" t="str">
        <f t="shared" si="249"/>
        <v/>
      </c>
      <c r="BK1699" s="663" t="str">
        <f t="shared" si="249"/>
        <v/>
      </c>
      <c r="BL1699" s="663" t="str">
        <f t="shared" si="249"/>
        <v/>
      </c>
      <c r="BM1699" s="663" t="str">
        <f t="shared" si="249"/>
        <v/>
      </c>
      <c r="BN1699" s="663" t="str">
        <f t="shared" si="249"/>
        <v/>
      </c>
      <c r="BO1699" s="663" t="str">
        <f t="shared" si="249"/>
        <v/>
      </c>
      <c r="BP1699" s="663" t="str">
        <f t="shared" si="249"/>
        <v/>
      </c>
      <c r="BQ1699" s="663" t="str">
        <f t="shared" si="249"/>
        <v/>
      </c>
      <c r="BR1699" s="663" t="str">
        <f t="shared" si="249"/>
        <v/>
      </c>
      <c r="BS1699" s="662">
        <f t="shared" si="185"/>
        <v>0</v>
      </c>
      <c r="BT1699" s="641">
        <f t="shared" si="170"/>
        <v>0</v>
      </c>
      <c r="BU1699" s="937"/>
      <c r="BV1699" s="930" t="str">
        <f t="shared" si="186"/>
        <v/>
      </c>
      <c r="BW1699" s="939"/>
      <c r="BX1699" s="939"/>
      <c r="BY1699" s="641" t="b">
        <f t="shared" si="201"/>
        <v>0</v>
      </c>
      <c r="BZ1699" s="641"/>
      <c r="CA1699" s="635" t="s">
        <v>846</v>
      </c>
      <c r="CB1699" s="663" t="s">
        <v>846</v>
      </c>
      <c r="CC1699" s="663"/>
      <c r="CD1699" s="663"/>
      <c r="CE1699" s="663"/>
      <c r="CF1699" s="663"/>
      <c r="CG1699" s="663"/>
      <c r="CH1699" s="640"/>
      <c r="CI1699" s="663"/>
      <c r="CJ1699" s="663" t="s">
        <v>846</v>
      </c>
      <c r="CK1699" s="743">
        <f t="shared" si="182"/>
        <v>17.80252791</v>
      </c>
      <c r="CL1699" s="642">
        <f t="shared" si="183"/>
        <v>59.51890456</v>
      </c>
      <c r="CM1699" s="1090" t="s">
        <v>2437</v>
      </c>
      <c r="CN1699" s="1083" t="s">
        <v>2403</v>
      </c>
      <c r="CO1699" s="1036"/>
      <c r="CP1699" s="1005" t="s">
        <v>2387</v>
      </c>
    </row>
    <row r="1700">
      <c r="A1700" s="1257" t="s">
        <v>96</v>
      </c>
      <c r="B1700" s="1113" t="s">
        <v>2438</v>
      </c>
      <c r="C1700" s="1107">
        <v>45453.0</v>
      </c>
      <c r="D1700" s="103"/>
      <c r="E1700" s="1108">
        <v>1.0</v>
      </c>
      <c r="F1700" s="112" t="s">
        <v>2439</v>
      </c>
      <c r="G1700" s="1110">
        <v>0.5784722222222223</v>
      </c>
      <c r="H1700" s="1110">
        <v>0.5791666666666667</v>
      </c>
      <c r="I1700" s="1110"/>
      <c r="J1700" s="1111"/>
      <c r="K1700" s="1111">
        <v>0.5871527777777777</v>
      </c>
      <c r="L1700" s="1112">
        <v>0.00798611111111111</v>
      </c>
      <c r="M1700" s="1113" t="s">
        <v>174</v>
      </c>
      <c r="N1700" s="110" t="s">
        <v>187</v>
      </c>
      <c r="O1700" s="1115" t="s">
        <v>204</v>
      </c>
      <c r="P1700" s="1115" t="s">
        <v>262</v>
      </c>
      <c r="Q1700" s="1116"/>
      <c r="R1700" s="120">
        <v>17.9</v>
      </c>
      <c r="S1700" s="1113">
        <v>3.6</v>
      </c>
      <c r="T1700" s="110">
        <v>2.6</v>
      </c>
      <c r="U1700" s="1108">
        <v>0.3</v>
      </c>
      <c r="V1700" s="1108"/>
      <c r="W1700" s="1108"/>
      <c r="X1700" s="1108"/>
      <c r="Y1700" s="1108"/>
      <c r="Z1700" s="1114" t="s">
        <v>365</v>
      </c>
      <c r="AA1700" s="1114"/>
      <c r="AB1700" s="1114" t="s">
        <v>388</v>
      </c>
      <c r="AC1700" s="1117">
        <v>8.0</v>
      </c>
      <c r="AD1700" s="1115"/>
      <c r="AE1700" s="1115"/>
      <c r="AF1700" s="1115"/>
      <c r="AG1700" s="1115"/>
      <c r="AH1700" s="1115"/>
      <c r="AI1700" s="1115"/>
      <c r="AJ1700" s="1117"/>
      <c r="AK1700" s="1118"/>
      <c r="AL1700" s="1115"/>
      <c r="AM1700" s="1115"/>
      <c r="AN1700" s="1115"/>
      <c r="AO1700" s="1115"/>
      <c r="AP1700" s="1115"/>
      <c r="AQ1700" s="1115"/>
      <c r="AR1700" s="1115"/>
      <c r="AS1700" s="1117"/>
      <c r="AT1700" s="1196" t="str">
        <f t="shared" si="179"/>
        <v>0-1</v>
      </c>
      <c r="AU1700" s="1193"/>
      <c r="AV1700" s="330">
        <f>SQRT(($R1700-Infrastructure!J$3)^2+($S1700-Infrastructure!K$3)^2)</f>
        <v>31.16616755</v>
      </c>
      <c r="AW1700" s="331">
        <f>SQRT(($R1700-Infrastructure!J$4)^2+($S1700-Infrastructure!K$4)^2)</f>
        <v>23.08419373</v>
      </c>
      <c r="AX1700" s="331">
        <f>SQRT(($R1700-Infrastructure!J$5)^2+($S1700-Infrastructure!K$5)^2)</f>
        <v>18.26170857</v>
      </c>
      <c r="AY1700" s="331">
        <f>SQRT(($R1700-Infrastructure!J$6)^2+($S1700-Infrastructure!K$6)^2)</f>
        <v>8.469356528</v>
      </c>
      <c r="AZ1700" s="331">
        <f>SQRT(($R1700-Infrastructure!J$7)^2+($S1700-Infrastructure!K$7)^2)</f>
        <v>4.201190308</v>
      </c>
      <c r="BA1700" s="331">
        <f>SQRT(($R1700-Infrastructure!J$8)^2+($S1700-Infrastructure!K$8)^2)</f>
        <v>12.63843345</v>
      </c>
      <c r="BB1700" s="331">
        <f>SQRT(($R1700-Infrastructure!J$9)^2+($S1700-Infrastructure!K$9)^2)</f>
        <v>22.15084648</v>
      </c>
      <c r="BC1700" s="331">
        <f>SQRT(($R1700-Infrastructure!J$10)^2+($S1700-Infrastructure!K$10)^2)</f>
        <v>24.86704647</v>
      </c>
      <c r="BD1700" s="331">
        <f>SQRT(($R1700-Infrastructure!J$11)^2+($S1700-Infrastructure!K$11)^2)</f>
        <v>33.80014793</v>
      </c>
      <c r="BE1700" s="333">
        <f>SQRT(($R1700-Infrastructure!J$12)^2+($S1700-Infrastructure!K$12)^2)</f>
        <v>52.02470567</v>
      </c>
      <c r="BF1700" s="330">
        <f t="shared" si="161"/>
        <v>4.201190308</v>
      </c>
      <c r="BG1700" s="333">
        <f t="shared" si="162"/>
        <v>52.02470567</v>
      </c>
      <c r="BH1700" s="1119"/>
      <c r="BI1700" s="319" t="str">
        <f t="shared" ref="BI1700:BR1700" si="250">IF(ISNUMBER(FIND(BI$3, $CO1700)), "Y", "")</f>
        <v>Y</v>
      </c>
      <c r="BJ1700" s="319" t="str">
        <f t="shared" si="250"/>
        <v/>
      </c>
      <c r="BK1700" s="319" t="str">
        <f t="shared" si="250"/>
        <v>Y</v>
      </c>
      <c r="BL1700" s="319" t="str">
        <f t="shared" si="250"/>
        <v>Y</v>
      </c>
      <c r="BM1700" s="319" t="str">
        <f t="shared" si="250"/>
        <v>Y</v>
      </c>
      <c r="BN1700" s="319" t="str">
        <f t="shared" si="250"/>
        <v>Y</v>
      </c>
      <c r="BO1700" s="319" t="str">
        <f t="shared" si="250"/>
        <v>Y</v>
      </c>
      <c r="BP1700" s="319" t="str">
        <f t="shared" si="250"/>
        <v/>
      </c>
      <c r="BQ1700" s="319" t="str">
        <f t="shared" si="250"/>
        <v/>
      </c>
      <c r="BR1700" s="319" t="str">
        <f t="shared" si="250"/>
        <v>Y</v>
      </c>
      <c r="BS1700" s="330">
        <f t="shared" si="185"/>
        <v>4.201190308</v>
      </c>
      <c r="BT1700" s="331">
        <f t="shared" si="170"/>
        <v>52.02470567</v>
      </c>
      <c r="BU1700" s="920">
        <v>0.5807291666666666</v>
      </c>
      <c r="BV1700" s="903">
        <f t="shared" si="186"/>
        <v>0.002256944444</v>
      </c>
      <c r="BW1700" s="908">
        <v>11.7</v>
      </c>
      <c r="BX1700" s="908">
        <v>30.3</v>
      </c>
      <c r="BY1700" s="331">
        <f t="shared" si="201"/>
        <v>27.41039949</v>
      </c>
      <c r="BZ1700" s="331"/>
      <c r="CA1700" s="462" t="str">
        <f t="shared" ref="CA1700:CJ1700" si="251">IF(ISNUMBER(FIND(BI$3, $CP1700)), "Y", "")</f>
        <v/>
      </c>
      <c r="CB1700" s="319" t="str">
        <f t="shared" si="251"/>
        <v/>
      </c>
      <c r="CC1700" s="319" t="str">
        <f t="shared" si="251"/>
        <v/>
      </c>
      <c r="CD1700" s="319" t="str">
        <f t="shared" si="251"/>
        <v>Y</v>
      </c>
      <c r="CE1700" s="319" t="str">
        <f t="shared" si="251"/>
        <v>Y</v>
      </c>
      <c r="CF1700" s="319" t="str">
        <f t="shared" si="251"/>
        <v>Y</v>
      </c>
      <c r="CG1700" s="319" t="str">
        <f t="shared" si="251"/>
        <v>Y</v>
      </c>
      <c r="CH1700" s="319" t="str">
        <f t="shared" si="251"/>
        <v/>
      </c>
      <c r="CI1700" s="319" t="str">
        <f t="shared" si="251"/>
        <v/>
      </c>
      <c r="CJ1700" s="319" t="str">
        <f t="shared" si="251"/>
        <v/>
      </c>
      <c r="CK1700" s="342">
        <f t="shared" si="182"/>
        <v>4.201190308</v>
      </c>
      <c r="CL1700" s="333">
        <f t="shared" si="183"/>
        <v>22.15084648</v>
      </c>
      <c r="CM1700" s="1079" t="s">
        <v>2440</v>
      </c>
      <c r="CN1700" s="1005" t="s">
        <v>2441</v>
      </c>
      <c r="CO1700" s="1256" t="s">
        <v>2442</v>
      </c>
      <c r="CP1700" s="1255" t="s">
        <v>2443</v>
      </c>
    </row>
    <row r="1701">
      <c r="A1701" s="266"/>
      <c r="B1701" s="1113" t="s">
        <v>2438</v>
      </c>
      <c r="C1701" s="1107">
        <v>45453.0</v>
      </c>
      <c r="D1701" s="103"/>
      <c r="E1701" s="1108">
        <v>2.0</v>
      </c>
      <c r="F1701" s="112" t="s">
        <v>2444</v>
      </c>
      <c r="G1701" s="1110">
        <v>0.5895833333333333</v>
      </c>
      <c r="H1701" s="1110">
        <v>0.5902777777777778</v>
      </c>
      <c r="I1701" s="1110"/>
      <c r="J1701" s="1111"/>
      <c r="K1701" s="1111">
        <v>0.5944444444444444</v>
      </c>
      <c r="L1701" s="1112">
        <v>0.004166666666666667</v>
      </c>
      <c r="M1701" s="1113" t="s">
        <v>174</v>
      </c>
      <c r="N1701" s="110" t="s">
        <v>187</v>
      </c>
      <c r="O1701" s="1115" t="s">
        <v>204</v>
      </c>
      <c r="P1701" s="1115" t="s">
        <v>262</v>
      </c>
      <c r="Q1701" s="1116"/>
      <c r="R1701" s="120">
        <v>17.9</v>
      </c>
      <c r="S1701" s="1113">
        <v>3.6</v>
      </c>
      <c r="T1701" s="110">
        <v>2.6</v>
      </c>
      <c r="U1701" s="1108">
        <v>0.5</v>
      </c>
      <c r="V1701" s="1108"/>
      <c r="W1701" s="1108"/>
      <c r="X1701" s="1108"/>
      <c r="Y1701" s="1108"/>
      <c r="Z1701" s="1114" t="s">
        <v>365</v>
      </c>
      <c r="AA1701" s="1114"/>
      <c r="AB1701" s="1114" t="s">
        <v>388</v>
      </c>
      <c r="AC1701" s="1117">
        <v>8.0</v>
      </c>
      <c r="AD1701" s="1115"/>
      <c r="AE1701" s="1115"/>
      <c r="AF1701" s="1115"/>
      <c r="AG1701" s="1115"/>
      <c r="AH1701" s="1115"/>
      <c r="AI1701" s="1115"/>
      <c r="AJ1701" s="1117"/>
      <c r="AK1701" s="1118"/>
      <c r="AL1701" s="1115"/>
      <c r="AM1701" s="1115"/>
      <c r="AN1701" s="1115"/>
      <c r="AO1701" s="1115"/>
      <c r="AP1701" s="1115"/>
      <c r="AQ1701" s="1115"/>
      <c r="AR1701" s="1115"/>
      <c r="AS1701" s="1117"/>
      <c r="AT1701" s="1196" t="str">
        <f t="shared" si="179"/>
        <v>0-1</v>
      </c>
      <c r="AU1701" s="1193"/>
      <c r="AV1701" s="330">
        <f>SQRT(($R1701-Infrastructure!J$3)^2+($S1701-Infrastructure!K$3)^2)</f>
        <v>31.16616755</v>
      </c>
      <c r="AW1701" s="331">
        <f>SQRT(($R1701-Infrastructure!J$4)^2+($S1701-Infrastructure!K$4)^2)</f>
        <v>23.08419373</v>
      </c>
      <c r="AX1701" s="331">
        <f>SQRT(($R1701-Infrastructure!J$5)^2+($S1701-Infrastructure!K$5)^2)</f>
        <v>18.26170857</v>
      </c>
      <c r="AY1701" s="331">
        <f>SQRT(($R1701-Infrastructure!J$6)^2+($S1701-Infrastructure!K$6)^2)</f>
        <v>8.469356528</v>
      </c>
      <c r="AZ1701" s="331">
        <f>SQRT(($R1701-Infrastructure!J$7)^2+($S1701-Infrastructure!K$7)^2)</f>
        <v>4.201190308</v>
      </c>
      <c r="BA1701" s="331">
        <f>SQRT(($R1701-Infrastructure!J$8)^2+($S1701-Infrastructure!K$8)^2)</f>
        <v>12.63843345</v>
      </c>
      <c r="BB1701" s="331">
        <f>SQRT(($R1701-Infrastructure!J$9)^2+($S1701-Infrastructure!K$9)^2)</f>
        <v>22.15084648</v>
      </c>
      <c r="BC1701" s="331">
        <f>SQRT(($R1701-Infrastructure!J$10)^2+($S1701-Infrastructure!K$10)^2)</f>
        <v>24.86704647</v>
      </c>
      <c r="BD1701" s="331">
        <f>SQRT(($R1701-Infrastructure!J$11)^2+($S1701-Infrastructure!K$11)^2)</f>
        <v>33.80014793</v>
      </c>
      <c r="BE1701" s="333">
        <f>SQRT(($R1701-Infrastructure!J$12)^2+($S1701-Infrastructure!K$12)^2)</f>
        <v>52.02470567</v>
      </c>
      <c r="BF1701" s="330">
        <f t="shared" si="161"/>
        <v>4.201190308</v>
      </c>
      <c r="BG1701" s="333">
        <f t="shared" si="162"/>
        <v>52.02470567</v>
      </c>
      <c r="BH1701" s="1119"/>
      <c r="BI1701" s="319" t="str">
        <f t="shared" ref="BI1701:BR1701" si="252">IF(ISNUMBER(FIND(BI$3, $CO1701)), "Y", "")</f>
        <v>Y</v>
      </c>
      <c r="BJ1701" s="319" t="str">
        <f t="shared" si="252"/>
        <v/>
      </c>
      <c r="BK1701" s="319" t="str">
        <f t="shared" si="252"/>
        <v>Y</v>
      </c>
      <c r="BL1701" s="319" t="str">
        <f t="shared" si="252"/>
        <v/>
      </c>
      <c r="BM1701" s="319" t="str">
        <f t="shared" si="252"/>
        <v>Y</v>
      </c>
      <c r="BN1701" s="319" t="str">
        <f t="shared" si="252"/>
        <v/>
      </c>
      <c r="BO1701" s="319" t="str">
        <f t="shared" si="252"/>
        <v>Y</v>
      </c>
      <c r="BP1701" s="319" t="str">
        <f t="shared" si="252"/>
        <v>Y</v>
      </c>
      <c r="BQ1701" s="319" t="str">
        <f t="shared" si="252"/>
        <v/>
      </c>
      <c r="BR1701" s="319" t="str">
        <f t="shared" si="252"/>
        <v>Y</v>
      </c>
      <c r="BS1701" s="330">
        <f t="shared" si="185"/>
        <v>4.201190308</v>
      </c>
      <c r="BT1701" s="331">
        <f t="shared" si="170"/>
        <v>52.02470567</v>
      </c>
      <c r="BU1701" s="920">
        <v>0.5905787037037037</v>
      </c>
      <c r="BV1701" s="903">
        <f t="shared" si="186"/>
        <v>0.0009953703704</v>
      </c>
      <c r="BW1701" s="908">
        <v>10.1</v>
      </c>
      <c r="BX1701" s="908">
        <v>24.5</v>
      </c>
      <c r="BY1701" s="331">
        <f t="shared" si="201"/>
        <v>22.30807029</v>
      </c>
      <c r="BZ1701" s="331"/>
      <c r="CA1701" s="462" t="str">
        <f t="shared" ref="CA1701:CJ1701" si="253">IF(ISNUMBER(FIND(BI$3, $CP1701)), "Y", "")</f>
        <v/>
      </c>
      <c r="CB1701" s="319" t="str">
        <f t="shared" si="253"/>
        <v/>
      </c>
      <c r="CC1701" s="319" t="str">
        <f t="shared" si="253"/>
        <v>Y</v>
      </c>
      <c r="CD1701" s="319" t="str">
        <f t="shared" si="253"/>
        <v>Y</v>
      </c>
      <c r="CE1701" s="319" t="str">
        <f t="shared" si="253"/>
        <v>Y</v>
      </c>
      <c r="CF1701" s="319" t="str">
        <f t="shared" si="253"/>
        <v>Y</v>
      </c>
      <c r="CG1701" s="319" t="str">
        <f t="shared" si="253"/>
        <v>Y</v>
      </c>
      <c r="CH1701" s="319" t="str">
        <f t="shared" si="253"/>
        <v>Y</v>
      </c>
      <c r="CI1701" s="319" t="str">
        <f t="shared" si="253"/>
        <v/>
      </c>
      <c r="CJ1701" s="319" t="str">
        <f t="shared" si="253"/>
        <v>Y</v>
      </c>
      <c r="CK1701" s="342">
        <f t="shared" si="182"/>
        <v>4.201190308</v>
      </c>
      <c r="CL1701" s="333">
        <f t="shared" si="183"/>
        <v>52.02470567</v>
      </c>
      <c r="CM1701" s="1079" t="s">
        <v>2445</v>
      </c>
      <c r="CN1701" s="1005" t="s">
        <v>2441</v>
      </c>
      <c r="CO1701" s="1256" t="s">
        <v>2446</v>
      </c>
      <c r="CP1701" s="3" t="s">
        <v>2447</v>
      </c>
    </row>
    <row r="1702">
      <c r="A1702" s="266"/>
      <c r="B1702" s="1113" t="s">
        <v>2438</v>
      </c>
      <c r="C1702" s="1107">
        <v>45453.0</v>
      </c>
      <c r="D1702" s="103"/>
      <c r="E1702" s="1108">
        <v>3.0</v>
      </c>
      <c r="F1702" s="112" t="s">
        <v>2448</v>
      </c>
      <c r="G1702" s="1110">
        <v>0.6659722222222222</v>
      </c>
      <c r="H1702" s="1110">
        <v>0.6677083333333333</v>
      </c>
      <c r="I1702" s="1110"/>
      <c r="J1702" s="1111"/>
      <c r="K1702" s="1111">
        <v>0.671875</v>
      </c>
      <c r="L1702" s="1112">
        <v>0.004166666666666667</v>
      </c>
      <c r="M1702" s="1113" t="s">
        <v>174</v>
      </c>
      <c r="N1702" s="110" t="s">
        <v>187</v>
      </c>
      <c r="O1702" s="1115" t="s">
        <v>199</v>
      </c>
      <c r="P1702" s="1115" t="s">
        <v>279</v>
      </c>
      <c r="Q1702" s="1116"/>
      <c r="R1702" s="120">
        <v>16.4</v>
      </c>
      <c r="S1702" s="1113">
        <v>10.4</v>
      </c>
      <c r="T1702" s="110">
        <v>0.44</v>
      </c>
      <c r="U1702" s="1108">
        <v>1.0</v>
      </c>
      <c r="V1702" s="1108"/>
      <c r="W1702" s="1108"/>
      <c r="X1702" s="1108"/>
      <c r="Y1702" s="1108"/>
      <c r="Z1702" s="1114" t="s">
        <v>351</v>
      </c>
      <c r="AA1702" s="1114"/>
      <c r="AB1702" s="1114" t="s">
        <v>279</v>
      </c>
      <c r="AC1702" s="1117">
        <v>10.0</v>
      </c>
      <c r="AD1702" s="1115"/>
      <c r="AE1702" s="1115"/>
      <c r="AF1702" s="1115"/>
      <c r="AG1702" s="1115"/>
      <c r="AH1702" s="1115"/>
      <c r="AI1702" s="1115"/>
      <c r="AJ1702" s="1117"/>
      <c r="AK1702" s="1118"/>
      <c r="AL1702" s="1115"/>
      <c r="AM1702" s="1115"/>
      <c r="AN1702" s="1115"/>
      <c r="AO1702" s="1115"/>
      <c r="AP1702" s="1115"/>
      <c r="AQ1702" s="1115"/>
      <c r="AR1702" s="1115"/>
      <c r="AS1702" s="1117"/>
      <c r="AT1702" s="1196" t="str">
        <f t="shared" si="179"/>
        <v>1-10</v>
      </c>
      <c r="AU1702" s="1193"/>
      <c r="AV1702" s="330">
        <f>SQRT(($R1702-Infrastructure!J$3)^2+($S1702-Infrastructure!K$3)^2)</f>
        <v>24.92268043</v>
      </c>
      <c r="AW1702" s="331">
        <f>SQRT(($R1702-Infrastructure!J$4)^2+($S1702-Infrastructure!K$4)^2)</f>
        <v>18.2660888</v>
      </c>
      <c r="AX1702" s="331">
        <f>SQRT(($R1702-Infrastructure!J$5)^2+($S1702-Infrastructure!K$5)^2)</f>
        <v>17.52084473</v>
      </c>
      <c r="AY1702" s="331">
        <f>SQRT(($R1702-Infrastructure!J$6)^2+($S1702-Infrastructure!K$6)^2)</f>
        <v>11.90378091</v>
      </c>
      <c r="AZ1702" s="331">
        <f>SQRT(($R1702-Infrastructure!J$7)^2+($S1702-Infrastructure!K$7)^2)</f>
        <v>10.90045871</v>
      </c>
      <c r="BA1702" s="331">
        <f>SQRT(($R1702-Infrastructure!J$8)^2+($S1702-Infrastructure!K$8)^2)</f>
        <v>17.02057578</v>
      </c>
      <c r="BB1702" s="331">
        <f>SQRT(($R1702-Infrastructure!J$9)^2+($S1702-Infrastructure!K$9)^2)</f>
        <v>24.18780685</v>
      </c>
      <c r="BC1702" s="331">
        <f>SQRT(($R1702-Infrastructure!J$10)^2+($S1702-Infrastructure!K$10)^2)</f>
        <v>24.0441261</v>
      </c>
      <c r="BD1702" s="331">
        <f>SQRT(($R1702-Infrastructure!J$11)^2+($S1702-Infrastructure!K$11)^2)</f>
        <v>30.20595968</v>
      </c>
      <c r="BE1702" s="333">
        <f>SQRT(($R1702-Infrastructure!J$12)^2+($S1702-Infrastructure!K$12)^2)</f>
        <v>45.3874432</v>
      </c>
      <c r="BF1702" s="330">
        <f t="shared" si="161"/>
        <v>10.90045871</v>
      </c>
      <c r="BG1702" s="333">
        <f t="shared" si="162"/>
        <v>45.3874432</v>
      </c>
      <c r="BH1702" s="1119"/>
      <c r="BI1702" s="319" t="str">
        <f t="shared" ref="BI1702:BR1702" si="254">IF(ISNUMBER(FIND(BI$3, $CO1702)), "Y", "")</f>
        <v>Y</v>
      </c>
      <c r="BJ1702" s="319" t="str">
        <f t="shared" si="254"/>
        <v>Y</v>
      </c>
      <c r="BK1702" s="319" t="str">
        <f t="shared" si="254"/>
        <v>Y</v>
      </c>
      <c r="BL1702" s="319" t="str">
        <f t="shared" si="254"/>
        <v>Y</v>
      </c>
      <c r="BM1702" s="319" t="str">
        <f t="shared" si="254"/>
        <v>Y</v>
      </c>
      <c r="BN1702" s="319" t="str">
        <f t="shared" si="254"/>
        <v>Y</v>
      </c>
      <c r="BO1702" s="319" t="str">
        <f t="shared" si="254"/>
        <v>Y</v>
      </c>
      <c r="BP1702" s="319" t="str">
        <f t="shared" si="254"/>
        <v>Y</v>
      </c>
      <c r="BQ1702" s="319" t="str">
        <f t="shared" si="254"/>
        <v>Y</v>
      </c>
      <c r="BR1702" s="319" t="str">
        <f t="shared" si="254"/>
        <v>Y</v>
      </c>
      <c r="BS1702" s="330">
        <f t="shared" si="185"/>
        <v>10.90045871</v>
      </c>
      <c r="BT1702" s="331">
        <f t="shared" si="170"/>
        <v>45.3874432</v>
      </c>
      <c r="BU1702" s="920">
        <v>0.6665740740740741</v>
      </c>
      <c r="BV1702" s="903">
        <f t="shared" si="186"/>
        <v>0.0006018518519</v>
      </c>
      <c r="BW1702" s="908">
        <v>11.9</v>
      </c>
      <c r="BX1702" s="908">
        <v>21.1</v>
      </c>
      <c r="BY1702" s="331">
        <f t="shared" si="201"/>
        <v>11.60775603</v>
      </c>
      <c r="BZ1702" s="331"/>
      <c r="CA1702" s="462" t="str">
        <f t="shared" ref="CA1702:CJ1702" si="255">IF(ISNUMBER(FIND(BI$3, $CP1702)), "Y", "")</f>
        <v>Y</v>
      </c>
      <c r="CB1702" s="319" t="str">
        <f t="shared" si="255"/>
        <v>Y</v>
      </c>
      <c r="CC1702" s="319" t="str">
        <f t="shared" si="255"/>
        <v>Y</v>
      </c>
      <c r="CD1702" s="319" t="str">
        <f t="shared" si="255"/>
        <v>Y</v>
      </c>
      <c r="CE1702" s="319" t="str">
        <f t="shared" si="255"/>
        <v>Y</v>
      </c>
      <c r="CF1702" s="319" t="str">
        <f t="shared" si="255"/>
        <v>Y</v>
      </c>
      <c r="CG1702" s="319" t="str">
        <f t="shared" si="255"/>
        <v>Y</v>
      </c>
      <c r="CH1702" s="319" t="str">
        <f t="shared" si="255"/>
        <v>Y</v>
      </c>
      <c r="CI1702" s="319" t="str">
        <f t="shared" si="255"/>
        <v>Y</v>
      </c>
      <c r="CJ1702" s="319" t="str">
        <f t="shared" si="255"/>
        <v>Y</v>
      </c>
      <c r="CK1702" s="342">
        <f t="shared" si="182"/>
        <v>10.90045871</v>
      </c>
      <c r="CL1702" s="333">
        <f t="shared" si="183"/>
        <v>45.3874432</v>
      </c>
      <c r="CM1702" s="1079" t="s">
        <v>2449</v>
      </c>
      <c r="CN1702" s="1005" t="s">
        <v>2441</v>
      </c>
      <c r="CO1702" s="1005" t="s">
        <v>2365</v>
      </c>
      <c r="CP1702" s="1005" t="s">
        <v>2365</v>
      </c>
    </row>
    <row r="1703">
      <c r="A1703" s="266"/>
      <c r="B1703" s="1113" t="s">
        <v>2438</v>
      </c>
      <c r="C1703" s="1107">
        <v>45453.0</v>
      </c>
      <c r="D1703" s="103"/>
      <c r="E1703" s="1108">
        <v>4.0</v>
      </c>
      <c r="F1703" s="112" t="s">
        <v>2450</v>
      </c>
      <c r="G1703" s="1110">
        <v>0.6729166666666667</v>
      </c>
      <c r="H1703" s="1110">
        <v>0.6736111111111112</v>
      </c>
      <c r="I1703" s="1110"/>
      <c r="J1703" s="1111"/>
      <c r="K1703" s="1111">
        <v>0.6769097222222222</v>
      </c>
      <c r="L1703" s="1112">
        <v>0.003298611111111111</v>
      </c>
      <c r="M1703" s="1113" t="s">
        <v>174</v>
      </c>
      <c r="N1703" s="110" t="s">
        <v>187</v>
      </c>
      <c r="O1703" s="1115" t="s">
        <v>199</v>
      </c>
      <c r="P1703" s="1115" t="s">
        <v>279</v>
      </c>
      <c r="Q1703" s="1116"/>
      <c r="R1703" s="120">
        <v>16.4</v>
      </c>
      <c r="S1703" s="1113">
        <v>10.4</v>
      </c>
      <c r="T1703" s="110">
        <v>0.44</v>
      </c>
      <c r="U1703" s="1108">
        <v>0.5</v>
      </c>
      <c r="V1703" s="1108"/>
      <c r="W1703" s="1108"/>
      <c r="X1703" s="1108"/>
      <c r="Y1703" s="1108"/>
      <c r="Z1703" s="1114" t="s">
        <v>351</v>
      </c>
      <c r="AA1703" s="1114"/>
      <c r="AB1703" s="1114" t="s">
        <v>279</v>
      </c>
      <c r="AC1703" s="1117">
        <v>10.0</v>
      </c>
      <c r="AD1703" s="1115"/>
      <c r="AE1703" s="1115"/>
      <c r="AF1703" s="1115"/>
      <c r="AG1703" s="1115"/>
      <c r="AH1703" s="1115"/>
      <c r="AI1703" s="1115"/>
      <c r="AJ1703" s="1117"/>
      <c r="AK1703" s="1118"/>
      <c r="AL1703" s="1115"/>
      <c r="AM1703" s="1115"/>
      <c r="AN1703" s="1115"/>
      <c r="AO1703" s="1115"/>
      <c r="AP1703" s="1115"/>
      <c r="AQ1703" s="1115"/>
      <c r="AR1703" s="1115"/>
      <c r="AS1703" s="1117"/>
      <c r="AT1703" s="1196" t="str">
        <f t="shared" si="179"/>
        <v>0-1</v>
      </c>
      <c r="AU1703" s="1193"/>
      <c r="AV1703" s="330">
        <f>SQRT(($R1703-Infrastructure!J$3)^2+($S1703-Infrastructure!K$3)^2)</f>
        <v>24.92268043</v>
      </c>
      <c r="AW1703" s="331">
        <f>SQRT(($R1703-Infrastructure!J$4)^2+($S1703-Infrastructure!K$4)^2)</f>
        <v>18.2660888</v>
      </c>
      <c r="AX1703" s="331">
        <f>SQRT(($R1703-Infrastructure!J$5)^2+($S1703-Infrastructure!K$5)^2)</f>
        <v>17.52084473</v>
      </c>
      <c r="AY1703" s="331">
        <f>SQRT(($R1703-Infrastructure!J$6)^2+($S1703-Infrastructure!K$6)^2)</f>
        <v>11.90378091</v>
      </c>
      <c r="AZ1703" s="331">
        <f>SQRT(($R1703-Infrastructure!J$7)^2+($S1703-Infrastructure!K$7)^2)</f>
        <v>10.90045871</v>
      </c>
      <c r="BA1703" s="331">
        <f>SQRT(($R1703-Infrastructure!J$8)^2+($S1703-Infrastructure!K$8)^2)</f>
        <v>17.02057578</v>
      </c>
      <c r="BB1703" s="331">
        <f>SQRT(($R1703-Infrastructure!J$9)^2+($S1703-Infrastructure!K$9)^2)</f>
        <v>24.18780685</v>
      </c>
      <c r="BC1703" s="331">
        <f>SQRT(($R1703-Infrastructure!J$10)^2+($S1703-Infrastructure!K$10)^2)</f>
        <v>24.0441261</v>
      </c>
      <c r="BD1703" s="331">
        <f>SQRT(($R1703-Infrastructure!J$11)^2+($S1703-Infrastructure!K$11)^2)</f>
        <v>30.20595968</v>
      </c>
      <c r="BE1703" s="333">
        <f>SQRT(($R1703-Infrastructure!J$12)^2+($S1703-Infrastructure!K$12)^2)</f>
        <v>45.3874432</v>
      </c>
      <c r="BF1703" s="330">
        <f t="shared" si="161"/>
        <v>10.90045871</v>
      </c>
      <c r="BG1703" s="333">
        <f t="shared" si="162"/>
        <v>45.3874432</v>
      </c>
      <c r="BH1703" s="1119"/>
      <c r="BI1703" s="319" t="str">
        <f t="shared" ref="BI1703:BR1703" si="256">IF(ISNUMBER(FIND(BI$3, $CO1703)), "Y", "")</f>
        <v>Y</v>
      </c>
      <c r="BJ1703" s="319" t="str">
        <f t="shared" si="256"/>
        <v>Y</v>
      </c>
      <c r="BK1703" s="319" t="str">
        <f t="shared" si="256"/>
        <v>Y</v>
      </c>
      <c r="BL1703" s="319" t="str">
        <f t="shared" si="256"/>
        <v>Y</v>
      </c>
      <c r="BM1703" s="319" t="str">
        <f t="shared" si="256"/>
        <v>Y</v>
      </c>
      <c r="BN1703" s="319" t="str">
        <f t="shared" si="256"/>
        <v>Y</v>
      </c>
      <c r="BO1703" s="319" t="str">
        <f t="shared" si="256"/>
        <v>Y</v>
      </c>
      <c r="BP1703" s="319" t="str">
        <f t="shared" si="256"/>
        <v>Y</v>
      </c>
      <c r="BQ1703" s="319" t="str">
        <f t="shared" si="256"/>
        <v>Y</v>
      </c>
      <c r="BR1703" s="319" t="str">
        <f t="shared" si="256"/>
        <v>Y</v>
      </c>
      <c r="BS1703" s="330">
        <f t="shared" si="185"/>
        <v>10.90045871</v>
      </c>
      <c r="BT1703" s="331">
        <f t="shared" si="170"/>
        <v>45.3874432</v>
      </c>
      <c r="BU1703" s="920">
        <v>0.6735300925925926</v>
      </c>
      <c r="BV1703" s="903">
        <f t="shared" si="186"/>
        <v>0.0006134259259</v>
      </c>
      <c r="BW1703" s="908">
        <v>11.1</v>
      </c>
      <c r="BX1703" s="908">
        <v>17.7</v>
      </c>
      <c r="BY1703" s="331">
        <f t="shared" si="201"/>
        <v>9.021086409</v>
      </c>
      <c r="BZ1703" s="331"/>
      <c r="CA1703" s="462" t="str">
        <f t="shared" ref="CA1703:CJ1703" si="257">IF(ISNUMBER(FIND(BI$3, $CP1703)), "Y", "")</f>
        <v>Y</v>
      </c>
      <c r="CB1703" s="319" t="str">
        <f t="shared" si="257"/>
        <v>Y</v>
      </c>
      <c r="CC1703" s="319" t="str">
        <f t="shared" si="257"/>
        <v>Y</v>
      </c>
      <c r="CD1703" s="319" t="str">
        <f t="shared" si="257"/>
        <v>Y</v>
      </c>
      <c r="CE1703" s="319" t="str">
        <f t="shared" si="257"/>
        <v>Y</v>
      </c>
      <c r="CF1703" s="319" t="str">
        <f t="shared" si="257"/>
        <v>Y</v>
      </c>
      <c r="CG1703" s="319" t="str">
        <f t="shared" si="257"/>
        <v>Y</v>
      </c>
      <c r="CH1703" s="319" t="str">
        <f t="shared" si="257"/>
        <v>Y</v>
      </c>
      <c r="CI1703" s="319" t="str">
        <f t="shared" si="257"/>
        <v>Y</v>
      </c>
      <c r="CJ1703" s="319" t="str">
        <f t="shared" si="257"/>
        <v>Y</v>
      </c>
      <c r="CK1703" s="342">
        <f t="shared" si="182"/>
        <v>10.90045871</v>
      </c>
      <c r="CL1703" s="333">
        <f t="shared" si="183"/>
        <v>45.3874432</v>
      </c>
      <c r="CM1703" s="1079" t="s">
        <v>2384</v>
      </c>
      <c r="CN1703" s="1005" t="s">
        <v>2441</v>
      </c>
      <c r="CO1703" s="1005" t="s">
        <v>2365</v>
      </c>
      <c r="CP1703" s="1005" t="s">
        <v>2365</v>
      </c>
    </row>
    <row r="1704">
      <c r="A1704" s="266"/>
      <c r="B1704" s="1113" t="s">
        <v>2438</v>
      </c>
      <c r="C1704" s="1107">
        <v>45453.0</v>
      </c>
      <c r="D1704" s="103"/>
      <c r="E1704" s="1108">
        <v>5.0</v>
      </c>
      <c r="F1704" s="112" t="s">
        <v>2451</v>
      </c>
      <c r="G1704" s="1110">
        <v>0.678125</v>
      </c>
      <c r="H1704" s="1110">
        <v>0.6784722222222223</v>
      </c>
      <c r="I1704" s="1110"/>
      <c r="J1704" s="1111"/>
      <c r="K1704" s="1111">
        <v>0.6805555555555556</v>
      </c>
      <c r="L1704" s="1112">
        <v>0.0020833333333333333</v>
      </c>
      <c r="M1704" s="1113" t="s">
        <v>174</v>
      </c>
      <c r="N1704" s="110" t="s">
        <v>187</v>
      </c>
      <c r="O1704" s="1115" t="s">
        <v>199</v>
      </c>
      <c r="P1704" s="1115" t="s">
        <v>279</v>
      </c>
      <c r="Q1704" s="1116"/>
      <c r="R1704" s="120">
        <v>16.4</v>
      </c>
      <c r="S1704" s="1113">
        <v>10.4</v>
      </c>
      <c r="T1704" s="110">
        <v>0.44</v>
      </c>
      <c r="U1704" s="1108">
        <v>0.25</v>
      </c>
      <c r="V1704" s="1108"/>
      <c r="W1704" s="1108"/>
      <c r="X1704" s="1108"/>
      <c r="Y1704" s="1108"/>
      <c r="Z1704" s="1114" t="s">
        <v>351</v>
      </c>
      <c r="AA1704" s="1114"/>
      <c r="AB1704" s="1114" t="s">
        <v>279</v>
      </c>
      <c r="AC1704" s="1117">
        <v>10.0</v>
      </c>
      <c r="AD1704" s="1115"/>
      <c r="AE1704" s="1115"/>
      <c r="AF1704" s="1115"/>
      <c r="AG1704" s="1115"/>
      <c r="AH1704" s="1115"/>
      <c r="AI1704" s="1115"/>
      <c r="AJ1704" s="1117"/>
      <c r="AK1704" s="1118"/>
      <c r="AL1704" s="1115"/>
      <c r="AM1704" s="1115"/>
      <c r="AN1704" s="1115"/>
      <c r="AO1704" s="1115"/>
      <c r="AP1704" s="1115"/>
      <c r="AQ1704" s="1115"/>
      <c r="AR1704" s="1115"/>
      <c r="AS1704" s="1117"/>
      <c r="AT1704" s="1196" t="str">
        <f t="shared" si="179"/>
        <v>0-1</v>
      </c>
      <c r="AU1704" s="1193"/>
      <c r="AV1704" s="330">
        <f>SQRT(($R1704-Infrastructure!J$3)^2+($S1704-Infrastructure!K$3)^2)</f>
        <v>24.92268043</v>
      </c>
      <c r="AW1704" s="331">
        <f>SQRT(($R1704-Infrastructure!J$4)^2+($S1704-Infrastructure!K$4)^2)</f>
        <v>18.2660888</v>
      </c>
      <c r="AX1704" s="331">
        <f>SQRT(($R1704-Infrastructure!J$5)^2+($S1704-Infrastructure!K$5)^2)</f>
        <v>17.52084473</v>
      </c>
      <c r="AY1704" s="331">
        <f>SQRT(($R1704-Infrastructure!J$6)^2+($S1704-Infrastructure!K$6)^2)</f>
        <v>11.90378091</v>
      </c>
      <c r="AZ1704" s="331">
        <f>SQRT(($R1704-Infrastructure!J$7)^2+($S1704-Infrastructure!K$7)^2)</f>
        <v>10.90045871</v>
      </c>
      <c r="BA1704" s="331">
        <f>SQRT(($R1704-Infrastructure!J$8)^2+($S1704-Infrastructure!K$8)^2)</f>
        <v>17.02057578</v>
      </c>
      <c r="BB1704" s="331">
        <f>SQRT(($R1704-Infrastructure!J$9)^2+($S1704-Infrastructure!K$9)^2)</f>
        <v>24.18780685</v>
      </c>
      <c r="BC1704" s="331">
        <f>SQRT(($R1704-Infrastructure!J$10)^2+($S1704-Infrastructure!K$10)^2)</f>
        <v>24.0441261</v>
      </c>
      <c r="BD1704" s="331">
        <f>SQRT(($R1704-Infrastructure!J$11)^2+($S1704-Infrastructure!K$11)^2)</f>
        <v>30.20595968</v>
      </c>
      <c r="BE1704" s="333">
        <f>SQRT(($R1704-Infrastructure!J$12)^2+($S1704-Infrastructure!K$12)^2)</f>
        <v>45.3874432</v>
      </c>
      <c r="BF1704" s="330">
        <f t="shared" si="161"/>
        <v>10.90045871</v>
      </c>
      <c r="BG1704" s="333">
        <f t="shared" si="162"/>
        <v>45.3874432</v>
      </c>
      <c r="BH1704" s="1119"/>
      <c r="BI1704" s="319" t="str">
        <f t="shared" ref="BI1704:BR1704" si="258">IF(ISNUMBER(FIND(BI$3, $CO1704)), "Y", "")</f>
        <v>Y</v>
      </c>
      <c r="BJ1704" s="319" t="str">
        <f t="shared" si="258"/>
        <v/>
      </c>
      <c r="BK1704" s="319" t="str">
        <f t="shared" si="258"/>
        <v>Y</v>
      </c>
      <c r="BL1704" s="319" t="str">
        <f t="shared" si="258"/>
        <v>Y</v>
      </c>
      <c r="BM1704" s="319" t="str">
        <f t="shared" si="258"/>
        <v>Y</v>
      </c>
      <c r="BN1704" s="319" t="str">
        <f t="shared" si="258"/>
        <v>Y</v>
      </c>
      <c r="BO1704" s="319" t="str">
        <f t="shared" si="258"/>
        <v>Y</v>
      </c>
      <c r="BP1704" s="319" t="str">
        <f t="shared" si="258"/>
        <v>Y</v>
      </c>
      <c r="BQ1704" s="319" t="str">
        <f t="shared" si="258"/>
        <v>Y</v>
      </c>
      <c r="BR1704" s="319" t="str">
        <f t="shared" si="258"/>
        <v/>
      </c>
      <c r="BS1704" s="330">
        <f t="shared" si="185"/>
        <v>10.90045871</v>
      </c>
      <c r="BT1704" s="331">
        <f t="shared" si="170"/>
        <v>30.20595968</v>
      </c>
      <c r="BU1704" s="920">
        <v>0.6786805555555555</v>
      </c>
      <c r="BV1704" s="903">
        <f t="shared" si="186"/>
        <v>0.0005555555556</v>
      </c>
      <c r="BW1704" s="908">
        <v>12.2</v>
      </c>
      <c r="BX1704" s="908">
        <v>20.8</v>
      </c>
      <c r="BY1704" s="331">
        <f t="shared" si="201"/>
        <v>11.21605991</v>
      </c>
      <c r="BZ1704" s="331"/>
      <c r="CA1704" s="462" t="str">
        <f t="shared" ref="CA1704:CJ1704" si="259">IF(ISNUMBER(FIND(BI$3, $CP1704)), "Y", "")</f>
        <v>Y</v>
      </c>
      <c r="CB1704" s="319" t="str">
        <f t="shared" si="259"/>
        <v>Y</v>
      </c>
      <c r="CC1704" s="319" t="str">
        <f t="shared" si="259"/>
        <v>Y</v>
      </c>
      <c r="CD1704" s="319" t="str">
        <f t="shared" si="259"/>
        <v>Y</v>
      </c>
      <c r="CE1704" s="319" t="str">
        <f t="shared" si="259"/>
        <v>Y</v>
      </c>
      <c r="CF1704" s="319" t="str">
        <f t="shared" si="259"/>
        <v>Y</v>
      </c>
      <c r="CG1704" s="319" t="str">
        <f t="shared" si="259"/>
        <v>Y</v>
      </c>
      <c r="CH1704" s="319" t="str">
        <f t="shared" si="259"/>
        <v>Y</v>
      </c>
      <c r="CI1704" s="319" t="str">
        <f t="shared" si="259"/>
        <v>Y</v>
      </c>
      <c r="CJ1704" s="319" t="str">
        <f t="shared" si="259"/>
        <v>Y</v>
      </c>
      <c r="CK1704" s="342">
        <f t="shared" si="182"/>
        <v>10.90045871</v>
      </c>
      <c r="CL1704" s="333">
        <f t="shared" si="183"/>
        <v>45.3874432</v>
      </c>
      <c r="CM1704" s="1079" t="s">
        <v>2452</v>
      </c>
      <c r="CN1704" s="1005" t="s">
        <v>2441</v>
      </c>
      <c r="CO1704" s="1005" t="s">
        <v>2453</v>
      </c>
      <c r="CP1704" s="1005" t="s">
        <v>2365</v>
      </c>
    </row>
    <row r="1705">
      <c r="A1705" s="266"/>
      <c r="B1705" s="1113" t="s">
        <v>2438</v>
      </c>
      <c r="C1705" s="1107">
        <v>45453.0</v>
      </c>
      <c r="D1705" s="103"/>
      <c r="E1705" s="1108">
        <v>6.0</v>
      </c>
      <c r="F1705" s="112" t="s">
        <v>2454</v>
      </c>
      <c r="G1705" s="1110">
        <v>0.6819444444444445</v>
      </c>
      <c r="H1705" s="1110">
        <v>0.6826388888888889</v>
      </c>
      <c r="I1705" s="1110"/>
      <c r="J1705" s="1111"/>
      <c r="K1705" s="1111">
        <v>0.6878472222222223</v>
      </c>
      <c r="L1705" s="1112">
        <v>0.005208333333333333</v>
      </c>
      <c r="M1705" s="1113" t="s">
        <v>174</v>
      </c>
      <c r="N1705" s="110" t="s">
        <v>187</v>
      </c>
      <c r="O1705" s="1115" t="s">
        <v>199</v>
      </c>
      <c r="P1705" s="1115" t="s">
        <v>279</v>
      </c>
      <c r="Q1705" s="1116"/>
      <c r="R1705" s="120">
        <v>16.4</v>
      </c>
      <c r="S1705" s="1113">
        <v>10.4</v>
      </c>
      <c r="T1705" s="110">
        <v>0.44</v>
      </c>
      <c r="U1705" s="1108">
        <v>0.1</v>
      </c>
      <c r="V1705" s="1108"/>
      <c r="W1705" s="1108"/>
      <c r="X1705" s="1108"/>
      <c r="Y1705" s="1108"/>
      <c r="Z1705" s="1114" t="s">
        <v>351</v>
      </c>
      <c r="AA1705" s="1114"/>
      <c r="AB1705" s="1114" t="s">
        <v>279</v>
      </c>
      <c r="AC1705" s="1117">
        <v>10.0</v>
      </c>
      <c r="AD1705" s="1115"/>
      <c r="AE1705" s="1115"/>
      <c r="AF1705" s="1115"/>
      <c r="AG1705" s="1115"/>
      <c r="AH1705" s="1115"/>
      <c r="AI1705" s="1115"/>
      <c r="AJ1705" s="1117"/>
      <c r="AK1705" s="1118"/>
      <c r="AL1705" s="1115"/>
      <c r="AM1705" s="1115"/>
      <c r="AN1705" s="1115"/>
      <c r="AO1705" s="1115"/>
      <c r="AP1705" s="1115"/>
      <c r="AQ1705" s="1115"/>
      <c r="AR1705" s="1115"/>
      <c r="AS1705" s="1117"/>
      <c r="AT1705" s="1196" t="str">
        <f t="shared" si="179"/>
        <v>0-1</v>
      </c>
      <c r="AU1705" s="1193"/>
      <c r="AV1705" s="330">
        <f>SQRT(($R1705-Infrastructure!J$3)^2+($S1705-Infrastructure!K$3)^2)</f>
        <v>24.92268043</v>
      </c>
      <c r="AW1705" s="331">
        <f>SQRT(($R1705-Infrastructure!J$4)^2+($S1705-Infrastructure!K$4)^2)</f>
        <v>18.2660888</v>
      </c>
      <c r="AX1705" s="331">
        <f>SQRT(($R1705-Infrastructure!J$5)^2+($S1705-Infrastructure!K$5)^2)</f>
        <v>17.52084473</v>
      </c>
      <c r="AY1705" s="331">
        <f>SQRT(($R1705-Infrastructure!J$6)^2+($S1705-Infrastructure!K$6)^2)</f>
        <v>11.90378091</v>
      </c>
      <c r="AZ1705" s="331">
        <f>SQRT(($R1705-Infrastructure!J$7)^2+($S1705-Infrastructure!K$7)^2)</f>
        <v>10.90045871</v>
      </c>
      <c r="BA1705" s="331">
        <f>SQRT(($R1705-Infrastructure!J$8)^2+($S1705-Infrastructure!K$8)^2)</f>
        <v>17.02057578</v>
      </c>
      <c r="BB1705" s="331">
        <f>SQRT(($R1705-Infrastructure!J$9)^2+($S1705-Infrastructure!K$9)^2)</f>
        <v>24.18780685</v>
      </c>
      <c r="BC1705" s="331">
        <f>SQRT(($R1705-Infrastructure!J$10)^2+($S1705-Infrastructure!K$10)^2)</f>
        <v>24.0441261</v>
      </c>
      <c r="BD1705" s="331">
        <f>SQRT(($R1705-Infrastructure!J$11)^2+($S1705-Infrastructure!K$11)^2)</f>
        <v>30.20595968</v>
      </c>
      <c r="BE1705" s="333">
        <f>SQRT(($R1705-Infrastructure!J$12)^2+($S1705-Infrastructure!K$12)^2)</f>
        <v>45.3874432</v>
      </c>
      <c r="BF1705" s="330">
        <f t="shared" si="161"/>
        <v>10.90045871</v>
      </c>
      <c r="BG1705" s="333">
        <f t="shared" si="162"/>
        <v>45.3874432</v>
      </c>
      <c r="BH1705" s="1119"/>
      <c r="BI1705" s="319" t="str">
        <f t="shared" ref="BI1705:BR1705" si="260">IF(ISNUMBER(FIND(BI$3, $CO1705)), "Y", "")</f>
        <v>Y</v>
      </c>
      <c r="BJ1705" s="319" t="str">
        <f t="shared" si="260"/>
        <v>Y</v>
      </c>
      <c r="BK1705" s="319" t="str">
        <f t="shared" si="260"/>
        <v>Y</v>
      </c>
      <c r="BL1705" s="319" t="str">
        <f t="shared" si="260"/>
        <v>Y</v>
      </c>
      <c r="BM1705" s="319" t="str">
        <f t="shared" si="260"/>
        <v>Y</v>
      </c>
      <c r="BN1705" s="319" t="str">
        <f t="shared" si="260"/>
        <v>Y</v>
      </c>
      <c r="BO1705" s="319" t="str">
        <f t="shared" si="260"/>
        <v>Y</v>
      </c>
      <c r="BP1705" s="319" t="str">
        <f t="shared" si="260"/>
        <v>Y</v>
      </c>
      <c r="BQ1705" s="319" t="str">
        <f t="shared" si="260"/>
        <v>Y</v>
      </c>
      <c r="BR1705" s="319" t="str">
        <f t="shared" si="260"/>
        <v>Y</v>
      </c>
      <c r="BS1705" s="330">
        <f t="shared" si="185"/>
        <v>10.90045871</v>
      </c>
      <c r="BT1705" s="331">
        <f t="shared" si="170"/>
        <v>45.3874432</v>
      </c>
      <c r="BU1705" s="920">
        <v>0.6825347222222222</v>
      </c>
      <c r="BV1705" s="903">
        <f t="shared" si="186"/>
        <v>0.0005902777778</v>
      </c>
      <c r="BW1705" s="908">
        <v>12.2</v>
      </c>
      <c r="BX1705" s="908">
        <v>19.3</v>
      </c>
      <c r="BY1705" s="331">
        <f t="shared" si="201"/>
        <v>9.841239759</v>
      </c>
      <c r="BZ1705" s="331"/>
      <c r="CA1705" s="462" t="str">
        <f t="shared" ref="CA1705:CJ1705" si="261">IF(ISNUMBER(FIND(BI$3, $CP1705)), "Y", "")</f>
        <v>Y</v>
      </c>
      <c r="CB1705" s="319" t="str">
        <f t="shared" si="261"/>
        <v>Y</v>
      </c>
      <c r="CC1705" s="319" t="str">
        <f t="shared" si="261"/>
        <v>Y</v>
      </c>
      <c r="CD1705" s="319" t="str">
        <f t="shared" si="261"/>
        <v>Y</v>
      </c>
      <c r="CE1705" s="319" t="str">
        <f t="shared" si="261"/>
        <v>Y</v>
      </c>
      <c r="CF1705" s="319" t="str">
        <f t="shared" si="261"/>
        <v>Y</v>
      </c>
      <c r="CG1705" s="319" t="str">
        <f t="shared" si="261"/>
        <v>Y</v>
      </c>
      <c r="CH1705" s="319" t="str">
        <f t="shared" si="261"/>
        <v>Y</v>
      </c>
      <c r="CI1705" s="319" t="str">
        <f t="shared" si="261"/>
        <v>Y</v>
      </c>
      <c r="CJ1705" s="319" t="str">
        <f t="shared" si="261"/>
        <v>Y</v>
      </c>
      <c r="CK1705" s="342">
        <f t="shared" si="182"/>
        <v>10.90045871</v>
      </c>
      <c r="CL1705" s="333">
        <f t="shared" si="183"/>
        <v>45.3874432</v>
      </c>
      <c r="CM1705" s="1079" t="s">
        <v>2455</v>
      </c>
      <c r="CN1705" s="1005" t="s">
        <v>2441</v>
      </c>
      <c r="CO1705" s="1005" t="s">
        <v>2365</v>
      </c>
      <c r="CP1705" s="1005" t="s">
        <v>2365</v>
      </c>
    </row>
    <row r="1706">
      <c r="A1706" s="266"/>
      <c r="B1706" s="1113"/>
      <c r="C1706" s="1107"/>
      <c r="D1706" s="103"/>
      <c r="E1706" s="1137"/>
      <c r="F1706" s="112"/>
      <c r="G1706" s="1110"/>
      <c r="H1706" s="1138"/>
      <c r="I1706" s="1138"/>
      <c r="J1706" s="1139"/>
      <c r="K1706" s="1111"/>
      <c r="L1706" s="1112">
        <v>0.0</v>
      </c>
      <c r="M1706" s="1113" t="s">
        <v>166</v>
      </c>
      <c r="N1706" s="110" t="s">
        <v>188</v>
      </c>
      <c r="O1706" s="1140"/>
      <c r="P1706" s="1115" t="s">
        <v>292</v>
      </c>
      <c r="Q1706" s="1116"/>
      <c r="R1706" s="1141"/>
      <c r="S1706" s="1113"/>
      <c r="T1706" s="1143"/>
      <c r="U1706" s="1108" t="s">
        <v>323</v>
      </c>
      <c r="V1706" s="1108"/>
      <c r="W1706" s="1108"/>
      <c r="X1706" s="1108"/>
      <c r="Y1706" s="1108"/>
      <c r="Z1706" s="1114" t="s">
        <v>323</v>
      </c>
      <c r="AA1706" s="1114"/>
      <c r="AB1706" s="1114" t="s">
        <v>323</v>
      </c>
      <c r="AC1706" s="1117" t="s">
        <v>323</v>
      </c>
      <c r="AD1706" s="1115"/>
      <c r="AE1706" s="1115"/>
      <c r="AF1706" s="1115"/>
      <c r="AG1706" s="1115"/>
      <c r="AH1706" s="1115"/>
      <c r="AI1706" s="1115"/>
      <c r="AJ1706" s="1117"/>
      <c r="AK1706" s="1118"/>
      <c r="AL1706" s="1115"/>
      <c r="AM1706" s="1115"/>
      <c r="AN1706" s="1115"/>
      <c r="AO1706" s="1115"/>
      <c r="AP1706" s="1115"/>
      <c r="AQ1706" s="1115"/>
      <c r="AR1706" s="1115"/>
      <c r="AS1706" s="1117"/>
      <c r="AT1706" s="1196" t="str">
        <f t="shared" si="179"/>
        <v/>
      </c>
      <c r="AU1706" s="1193"/>
      <c r="AV1706" s="330">
        <f>SQRT(($R1706-Infrastructure!J$3)^2+($S1706-Infrastructure!K$3)^2)</f>
        <v>28.90155705</v>
      </c>
      <c r="AW1706" s="331">
        <f>SQRT(($R1706-Infrastructure!J$4)^2+($S1706-Infrastructure!K$4)^2)</f>
        <v>17.80252791</v>
      </c>
      <c r="AX1706" s="331">
        <f>SQRT(($R1706-Infrastructure!J$5)^2+($S1706-Infrastructure!K$5)^2)</f>
        <v>5.10881591</v>
      </c>
      <c r="AY1706" s="331">
        <f>SQRT(($R1706-Infrastructure!J$6)^2+($S1706-Infrastructure!K$6)^2)</f>
        <v>10.10445446</v>
      </c>
      <c r="AZ1706" s="331">
        <f>SQRT(($R1706-Infrastructure!J$7)^2+($S1706-Infrastructure!K$7)^2)</f>
        <v>20.502195</v>
      </c>
      <c r="BA1706" s="331">
        <f>SQRT(($R1706-Infrastructure!J$8)^2+($S1706-Infrastructure!K$8)^2)</f>
        <v>30.10149498</v>
      </c>
      <c r="BB1706" s="331">
        <f>SQRT(($R1706-Infrastructure!J$9)^2+($S1706-Infrastructure!K$9)^2)</f>
        <v>40.3238143</v>
      </c>
      <c r="BC1706" s="331">
        <f>SQRT(($R1706-Infrastructure!J$10)^2+($S1706-Infrastructure!K$10)^2)</f>
        <v>42.72001873</v>
      </c>
      <c r="BD1706" s="331">
        <f>SQRT(($R1706-Infrastructure!J$11)^2+($S1706-Infrastructure!K$11)^2)</f>
        <v>49.56853841</v>
      </c>
      <c r="BE1706" s="333">
        <f>SQRT(($R1706-Infrastructure!J$12)^2+($S1706-Infrastructure!K$12)^2)</f>
        <v>59.51890456</v>
      </c>
      <c r="BF1706" s="330">
        <f t="shared" si="161"/>
        <v>5.10881591</v>
      </c>
      <c r="BG1706" s="333">
        <f t="shared" si="162"/>
        <v>59.51890456</v>
      </c>
      <c r="BH1706" s="1119"/>
      <c r="BI1706" s="319" t="str">
        <f t="shared" ref="BI1706:BR1706" si="262">IF(ISNUMBER(FIND(BI$3, $CO1706)), "Y", "")</f>
        <v/>
      </c>
      <c r="BJ1706" s="319" t="str">
        <f t="shared" si="262"/>
        <v/>
      </c>
      <c r="BK1706" s="319" t="str">
        <f t="shared" si="262"/>
        <v/>
      </c>
      <c r="BL1706" s="319" t="str">
        <f t="shared" si="262"/>
        <v/>
      </c>
      <c r="BM1706" s="319" t="str">
        <f t="shared" si="262"/>
        <v/>
      </c>
      <c r="BN1706" s="319" t="str">
        <f t="shared" si="262"/>
        <v/>
      </c>
      <c r="BO1706" s="319" t="str">
        <f t="shared" si="262"/>
        <v/>
      </c>
      <c r="BP1706" s="319" t="str">
        <f t="shared" si="262"/>
        <v/>
      </c>
      <c r="BQ1706" s="319" t="str">
        <f t="shared" si="262"/>
        <v/>
      </c>
      <c r="BR1706" s="319" t="str">
        <f t="shared" si="262"/>
        <v/>
      </c>
      <c r="BS1706" s="330">
        <f t="shared" si="185"/>
        <v>0</v>
      </c>
      <c r="BT1706" s="331">
        <f t="shared" si="170"/>
        <v>0</v>
      </c>
      <c r="BU1706" s="920"/>
      <c r="BV1706" s="903" t="str">
        <f t="shared" si="186"/>
        <v/>
      </c>
      <c r="BW1706" s="908"/>
      <c r="BX1706" s="908"/>
      <c r="BY1706" s="331" t="b">
        <f t="shared" si="201"/>
        <v>0</v>
      </c>
      <c r="BZ1706" s="331"/>
      <c r="CA1706" s="462" t="str">
        <f t="shared" ref="CA1706:CJ1706" si="263">IF(ISNUMBER(FIND(BI$3, $CP1706)), "Y", "")</f>
        <v/>
      </c>
      <c r="CB1706" s="319" t="str">
        <f t="shared" si="263"/>
        <v/>
      </c>
      <c r="CC1706" s="319" t="str">
        <f t="shared" si="263"/>
        <v/>
      </c>
      <c r="CD1706" s="319" t="str">
        <f t="shared" si="263"/>
        <v/>
      </c>
      <c r="CE1706" s="319" t="str">
        <f t="shared" si="263"/>
        <v/>
      </c>
      <c r="CF1706" s="319" t="str">
        <f t="shared" si="263"/>
        <v/>
      </c>
      <c r="CG1706" s="319" t="str">
        <f t="shared" si="263"/>
        <v/>
      </c>
      <c r="CH1706" s="319" t="str">
        <f t="shared" si="263"/>
        <v/>
      </c>
      <c r="CI1706" s="319" t="str">
        <f t="shared" si="263"/>
        <v/>
      </c>
      <c r="CJ1706" s="319" t="str">
        <f t="shared" si="263"/>
        <v/>
      </c>
      <c r="CK1706" s="342">
        <f t="shared" si="182"/>
        <v>0</v>
      </c>
      <c r="CL1706" s="333">
        <f t="shared" si="183"/>
        <v>0</v>
      </c>
      <c r="CM1706" s="1079"/>
      <c r="CN1706" s="1005" t="s">
        <v>2441</v>
      </c>
      <c r="CO1706" s="1005"/>
      <c r="CP1706" s="1005"/>
    </row>
    <row r="1707">
      <c r="A1707" s="1258"/>
      <c r="B1707" s="1129"/>
      <c r="C1707" s="1122"/>
      <c r="D1707" s="1123"/>
      <c r="E1707" s="1144"/>
      <c r="F1707" s="108"/>
      <c r="G1707" s="1126"/>
      <c r="H1707" s="1145"/>
      <c r="I1707" s="1145"/>
      <c r="J1707" s="1146"/>
      <c r="K1707" s="1127"/>
      <c r="L1707" s="1128">
        <v>0.0</v>
      </c>
      <c r="M1707" s="1129" t="s">
        <v>358</v>
      </c>
      <c r="N1707" s="100" t="s">
        <v>188</v>
      </c>
      <c r="O1707" s="1161"/>
      <c r="P1707" s="1131" t="s">
        <v>294</v>
      </c>
      <c r="Q1707" s="1132"/>
      <c r="R1707" s="1148"/>
      <c r="S1707" s="1129"/>
      <c r="T1707" s="1150"/>
      <c r="U1707" s="1124" t="s">
        <v>323</v>
      </c>
      <c r="V1707" s="1124"/>
      <c r="W1707" s="1124"/>
      <c r="X1707" s="1124"/>
      <c r="Y1707" s="1124"/>
      <c r="Z1707" s="1130" t="s">
        <v>323</v>
      </c>
      <c r="AA1707" s="1130"/>
      <c r="AB1707" s="1130" t="s">
        <v>323</v>
      </c>
      <c r="AC1707" s="1133" t="s">
        <v>323</v>
      </c>
      <c r="AD1707" s="1131"/>
      <c r="AE1707" s="1131"/>
      <c r="AF1707" s="1131"/>
      <c r="AG1707" s="1131"/>
      <c r="AH1707" s="1131"/>
      <c r="AI1707" s="1131"/>
      <c r="AJ1707" s="1133"/>
      <c r="AK1707" s="1134"/>
      <c r="AL1707" s="1131"/>
      <c r="AM1707" s="1131"/>
      <c r="AN1707" s="1131"/>
      <c r="AO1707" s="1131"/>
      <c r="AP1707" s="1131"/>
      <c r="AQ1707" s="1131"/>
      <c r="AR1707" s="1131"/>
      <c r="AS1707" s="1133"/>
      <c r="AT1707" s="1197" t="str">
        <f t="shared" si="179"/>
        <v/>
      </c>
      <c r="AU1707" s="1194"/>
      <c r="AV1707" s="662">
        <f>SQRT(($R1707-Infrastructure!J$3)^2+($S1707-Infrastructure!K$3)^2)</f>
        <v>28.90155705</v>
      </c>
      <c r="AW1707" s="641">
        <f>SQRT(($R1707-Infrastructure!J$4)^2+($S1707-Infrastructure!K$4)^2)</f>
        <v>17.80252791</v>
      </c>
      <c r="AX1707" s="641">
        <f>SQRT(($R1707-Infrastructure!J$5)^2+($S1707-Infrastructure!K$5)^2)</f>
        <v>5.10881591</v>
      </c>
      <c r="AY1707" s="641">
        <f>SQRT(($R1707-Infrastructure!J$6)^2+($S1707-Infrastructure!K$6)^2)</f>
        <v>10.10445446</v>
      </c>
      <c r="AZ1707" s="641">
        <f>SQRT(($R1707-Infrastructure!J$7)^2+($S1707-Infrastructure!K$7)^2)</f>
        <v>20.502195</v>
      </c>
      <c r="BA1707" s="641">
        <f>SQRT(($R1707-Infrastructure!J$8)^2+($S1707-Infrastructure!K$8)^2)</f>
        <v>30.10149498</v>
      </c>
      <c r="BB1707" s="641">
        <f>SQRT(($R1707-Infrastructure!J$9)^2+($S1707-Infrastructure!K$9)^2)</f>
        <v>40.3238143</v>
      </c>
      <c r="BC1707" s="641">
        <f>SQRT(($R1707-Infrastructure!J$10)^2+($S1707-Infrastructure!K$10)^2)</f>
        <v>42.72001873</v>
      </c>
      <c r="BD1707" s="641">
        <f>SQRT(($R1707-Infrastructure!J$11)^2+($S1707-Infrastructure!K$11)^2)</f>
        <v>49.56853841</v>
      </c>
      <c r="BE1707" s="642">
        <f>SQRT(($R1707-Infrastructure!J$12)^2+($S1707-Infrastructure!K$12)^2)</f>
        <v>59.51890456</v>
      </c>
      <c r="BF1707" s="662">
        <f t="shared" si="161"/>
        <v>5.10881591</v>
      </c>
      <c r="BG1707" s="642">
        <f t="shared" si="162"/>
        <v>59.51890456</v>
      </c>
      <c r="BH1707" s="1135"/>
      <c r="BI1707" s="663" t="str">
        <f t="shared" ref="BI1707:BR1707" si="264">IF(ISNUMBER(FIND(BI$3, $CO1707)), "Y", "")</f>
        <v/>
      </c>
      <c r="BJ1707" s="663" t="str">
        <f t="shared" si="264"/>
        <v/>
      </c>
      <c r="BK1707" s="663" t="str">
        <f t="shared" si="264"/>
        <v/>
      </c>
      <c r="BL1707" s="663" t="str">
        <f t="shared" si="264"/>
        <v/>
      </c>
      <c r="BM1707" s="663" t="str">
        <f t="shared" si="264"/>
        <v/>
      </c>
      <c r="BN1707" s="663" t="str">
        <f t="shared" si="264"/>
        <v/>
      </c>
      <c r="BO1707" s="663" t="str">
        <f t="shared" si="264"/>
        <v/>
      </c>
      <c r="BP1707" s="663" t="str">
        <f t="shared" si="264"/>
        <v/>
      </c>
      <c r="BQ1707" s="663" t="str">
        <f t="shared" si="264"/>
        <v/>
      </c>
      <c r="BR1707" s="663" t="str">
        <f t="shared" si="264"/>
        <v/>
      </c>
      <c r="BS1707" s="662">
        <f t="shared" si="185"/>
        <v>0</v>
      </c>
      <c r="BT1707" s="641">
        <f t="shared" si="170"/>
        <v>0</v>
      </c>
      <c r="BU1707" s="937"/>
      <c r="BV1707" s="930" t="str">
        <f t="shared" si="186"/>
        <v/>
      </c>
      <c r="BW1707" s="939"/>
      <c r="BX1707" s="939"/>
      <c r="BY1707" s="641" t="b">
        <f t="shared" si="201"/>
        <v>0</v>
      </c>
      <c r="BZ1707" s="641"/>
      <c r="CA1707" s="635" t="str">
        <f t="shared" ref="CA1707:CJ1707" si="265">IF(ISNUMBER(FIND(BI$3, $CP1707)), "Y", "")</f>
        <v/>
      </c>
      <c r="CB1707" s="663" t="str">
        <f t="shared" si="265"/>
        <v/>
      </c>
      <c r="CC1707" s="663" t="str">
        <f t="shared" si="265"/>
        <v/>
      </c>
      <c r="CD1707" s="663" t="str">
        <f t="shared" si="265"/>
        <v/>
      </c>
      <c r="CE1707" s="663" t="str">
        <f t="shared" si="265"/>
        <v/>
      </c>
      <c r="CF1707" s="663" t="str">
        <f t="shared" si="265"/>
        <v/>
      </c>
      <c r="CG1707" s="663" t="str">
        <f t="shared" si="265"/>
        <v/>
      </c>
      <c r="CH1707" s="663" t="str">
        <f t="shared" si="265"/>
        <v/>
      </c>
      <c r="CI1707" s="663" t="str">
        <f t="shared" si="265"/>
        <v/>
      </c>
      <c r="CJ1707" s="663" t="str">
        <f t="shared" si="265"/>
        <v/>
      </c>
      <c r="CK1707" s="743">
        <f t="shared" si="182"/>
        <v>0</v>
      </c>
      <c r="CL1707" s="642">
        <f t="shared" si="183"/>
        <v>0</v>
      </c>
      <c r="CM1707" s="1090"/>
      <c r="CN1707" s="1036" t="s">
        <v>2441</v>
      </c>
      <c r="CO1707" s="1036"/>
      <c r="CP1707" s="1036"/>
    </row>
    <row r="1708">
      <c r="A1708" s="1257" t="s">
        <v>97</v>
      </c>
      <c r="B1708" s="1113" t="s">
        <v>2438</v>
      </c>
      <c r="C1708" s="1107">
        <v>45457.0</v>
      </c>
      <c r="D1708" s="1113"/>
      <c r="E1708" s="1108">
        <v>1.0</v>
      </c>
      <c r="F1708" s="112" t="s">
        <v>2456</v>
      </c>
      <c r="G1708" s="1110">
        <v>0.44583333333333336</v>
      </c>
      <c r="H1708" s="1110">
        <v>0.4465277777777778</v>
      </c>
      <c r="I1708" s="1110"/>
      <c r="J1708" s="1111"/>
      <c r="K1708" s="1111">
        <v>0.4654513888888889</v>
      </c>
      <c r="L1708" s="1112">
        <v>0.01892361111111111</v>
      </c>
      <c r="M1708" s="1113" t="s">
        <v>358</v>
      </c>
      <c r="N1708" s="110" t="s">
        <v>187</v>
      </c>
      <c r="O1708" s="1115" t="s">
        <v>2354</v>
      </c>
      <c r="P1708" s="1115" t="s">
        <v>256</v>
      </c>
      <c r="Q1708" s="1115" t="s">
        <v>851</v>
      </c>
      <c r="R1708" s="120">
        <v>7.8</v>
      </c>
      <c r="S1708" s="1113">
        <v>8.2</v>
      </c>
      <c r="T1708" s="110">
        <v>0.64</v>
      </c>
      <c r="U1708" s="1108">
        <v>0.5</v>
      </c>
      <c r="V1708" s="1108"/>
      <c r="W1708" s="1108"/>
      <c r="X1708" s="1108"/>
      <c r="Y1708" s="1108"/>
      <c r="Z1708" s="1114" t="s">
        <v>335</v>
      </c>
      <c r="AA1708" s="1114"/>
      <c r="AB1708" s="1114" t="s">
        <v>333</v>
      </c>
      <c r="AC1708" s="1117">
        <v>2.0</v>
      </c>
      <c r="AD1708" s="1115"/>
      <c r="AE1708" s="1115"/>
      <c r="AF1708" s="1115"/>
      <c r="AG1708" s="1115"/>
      <c r="AH1708" s="1115"/>
      <c r="AI1708" s="1115"/>
      <c r="AJ1708" s="1117"/>
      <c r="AK1708" s="1118"/>
      <c r="AL1708" s="1115"/>
      <c r="AM1708" s="1115"/>
      <c r="AN1708" s="1115"/>
      <c r="AO1708" s="1115"/>
      <c r="AP1708" s="1115"/>
      <c r="AQ1708" s="1115"/>
      <c r="AR1708" s="1115"/>
      <c r="AS1708" s="1117"/>
      <c r="AT1708" s="1196" t="str">
        <f t="shared" si="179"/>
        <v>0-1</v>
      </c>
      <c r="AU1708" s="1193"/>
      <c r="AV1708" s="330">
        <f>SQRT(($R1708-Infrastructure!J$3)^2+($S1708-Infrastructure!K$3)^2)</f>
        <v>22.22836026</v>
      </c>
      <c r="AW1708" s="331">
        <f>SQRT(($R1708-Infrastructure!J$4)^2+($S1708-Infrastructure!K$4)^2)</f>
        <v>12.56065285</v>
      </c>
      <c r="AX1708" s="331">
        <f>SQRT(($R1708-Infrastructure!J$5)^2+($S1708-Infrastructure!K$5)^2)</f>
        <v>8.672946443</v>
      </c>
      <c r="AY1708" s="331">
        <f>SQRT(($R1708-Infrastructure!J$6)^2+($S1708-Infrastructure!K$6)^2)</f>
        <v>8.228000972</v>
      </c>
      <c r="AZ1708" s="331">
        <f>SQRT(($R1708-Infrastructure!J$7)^2+($S1708-Infrastructure!K$7)^2)</f>
        <v>14.95660389</v>
      </c>
      <c r="BA1708" s="331">
        <f>SQRT(($R1708-Infrastructure!J$8)^2+($S1708-Infrastructure!K$8)^2)</f>
        <v>23.65797963</v>
      </c>
      <c r="BB1708" s="331">
        <f>SQRT(($R1708-Infrastructure!J$9)^2+($S1708-Infrastructure!K$9)^2)</f>
        <v>32.34887942</v>
      </c>
      <c r="BC1708" s="331">
        <f>SQRT(($R1708-Infrastructure!J$10)^2+($S1708-Infrastructure!K$10)^2)</f>
        <v>32.9101808</v>
      </c>
      <c r="BD1708" s="331">
        <f>SQRT(($R1708-Infrastructure!J$11)^2+($S1708-Infrastructure!K$11)^2)</f>
        <v>38.501948</v>
      </c>
      <c r="BE1708" s="333">
        <f>SQRT(($R1708-Infrastructure!J$12)^2+($S1708-Infrastructure!K$12)^2)</f>
        <v>49.24408594</v>
      </c>
      <c r="BF1708" s="330">
        <f t="shared" si="161"/>
        <v>8.228000972</v>
      </c>
      <c r="BG1708" s="333">
        <f t="shared" si="162"/>
        <v>49.24408594</v>
      </c>
      <c r="BH1708" s="1119"/>
      <c r="BI1708" s="319" t="str">
        <f t="shared" ref="BI1708:BR1708" si="266">IF(ISNUMBER(FIND(BI$3, $CO1708)), "Y", "")</f>
        <v/>
      </c>
      <c r="BJ1708" s="319" t="str">
        <f t="shared" si="266"/>
        <v/>
      </c>
      <c r="BK1708" s="319" t="str">
        <f t="shared" si="266"/>
        <v/>
      </c>
      <c r="BL1708" s="319" t="str">
        <f t="shared" si="266"/>
        <v/>
      </c>
      <c r="BM1708" s="319" t="str">
        <f t="shared" si="266"/>
        <v/>
      </c>
      <c r="BN1708" s="319" t="str">
        <f t="shared" si="266"/>
        <v/>
      </c>
      <c r="BO1708" s="319" t="str">
        <f t="shared" si="266"/>
        <v/>
      </c>
      <c r="BP1708" s="319" t="str">
        <f t="shared" si="266"/>
        <v/>
      </c>
      <c r="BQ1708" s="319" t="str">
        <f t="shared" si="266"/>
        <v/>
      </c>
      <c r="BR1708" s="319" t="str">
        <f t="shared" si="266"/>
        <v/>
      </c>
      <c r="BS1708" s="330">
        <f t="shared" si="185"/>
        <v>0</v>
      </c>
      <c r="BT1708" s="331">
        <f t="shared" si="170"/>
        <v>0</v>
      </c>
      <c r="BU1708" s="920"/>
      <c r="BV1708" s="903" t="str">
        <f t="shared" si="186"/>
        <v/>
      </c>
      <c r="BW1708" s="908"/>
      <c r="BX1708" s="908"/>
      <c r="BY1708" s="331" t="b">
        <f t="shared" si="201"/>
        <v>0</v>
      </c>
      <c r="BZ1708" s="331"/>
      <c r="CA1708" s="462" t="str">
        <f t="shared" ref="CA1708:CJ1708" si="267">IF(ISNUMBER(FIND(BI$3, $CP1708)), "Y", "")</f>
        <v/>
      </c>
      <c r="CB1708" s="319" t="str">
        <f t="shared" si="267"/>
        <v/>
      </c>
      <c r="CC1708" s="319" t="str">
        <f t="shared" si="267"/>
        <v/>
      </c>
      <c r="CD1708" s="319" t="str">
        <f t="shared" si="267"/>
        <v/>
      </c>
      <c r="CE1708" s="319" t="str">
        <f t="shared" si="267"/>
        <v/>
      </c>
      <c r="CF1708" s="319" t="str">
        <f t="shared" si="267"/>
        <v/>
      </c>
      <c r="CG1708" s="319" t="str">
        <f t="shared" si="267"/>
        <v/>
      </c>
      <c r="CH1708" s="319" t="str">
        <f t="shared" si="267"/>
        <v/>
      </c>
      <c r="CI1708" s="319" t="str">
        <f t="shared" si="267"/>
        <v/>
      </c>
      <c r="CJ1708" s="319" t="str">
        <f t="shared" si="267"/>
        <v/>
      </c>
      <c r="CK1708" s="342">
        <f t="shared" si="182"/>
        <v>0</v>
      </c>
      <c r="CL1708" s="333">
        <f t="shared" si="183"/>
        <v>0</v>
      </c>
      <c r="CM1708" s="1079" t="s">
        <v>2457</v>
      </c>
      <c r="CN1708" s="1005" t="s">
        <v>2458</v>
      </c>
      <c r="CO1708" s="1005"/>
      <c r="CP1708" s="1005"/>
    </row>
    <row r="1709">
      <c r="A1709" s="266"/>
      <c r="B1709" s="1113" t="s">
        <v>2438</v>
      </c>
      <c r="C1709" s="1107">
        <v>45457.0</v>
      </c>
      <c r="D1709" s="1113"/>
      <c r="E1709" s="1108">
        <v>2.0</v>
      </c>
      <c r="F1709" s="112" t="s">
        <v>2459</v>
      </c>
      <c r="G1709" s="1110">
        <v>0.46620370370370373</v>
      </c>
      <c r="H1709" s="1110">
        <v>0.4666666666666667</v>
      </c>
      <c r="I1709" s="1110"/>
      <c r="J1709" s="1111"/>
      <c r="K1709" s="1111">
        <v>0.49444444444444446</v>
      </c>
      <c r="L1709" s="1112">
        <v>0.027777777777777776</v>
      </c>
      <c r="M1709" s="1113" t="s">
        <v>358</v>
      </c>
      <c r="N1709" s="110" t="s">
        <v>187</v>
      </c>
      <c r="O1709" s="1115" t="s">
        <v>2354</v>
      </c>
      <c r="P1709" s="1115" t="s">
        <v>256</v>
      </c>
      <c r="Q1709" s="1115" t="s">
        <v>851</v>
      </c>
      <c r="R1709" s="120">
        <v>7.8</v>
      </c>
      <c r="S1709" s="1113">
        <v>8.2</v>
      </c>
      <c r="T1709" s="110">
        <v>0.64</v>
      </c>
      <c r="U1709" s="1108">
        <v>0.08</v>
      </c>
      <c r="V1709" s="1108"/>
      <c r="W1709" s="1108"/>
      <c r="X1709" s="1108"/>
      <c r="Y1709" s="1108"/>
      <c r="Z1709" s="1114" t="s">
        <v>335</v>
      </c>
      <c r="AA1709" s="1114"/>
      <c r="AB1709" s="1114" t="s">
        <v>333</v>
      </c>
      <c r="AC1709" s="1117">
        <v>2.0</v>
      </c>
      <c r="AD1709" s="1115"/>
      <c r="AE1709" s="1115"/>
      <c r="AF1709" s="1115"/>
      <c r="AG1709" s="1115"/>
      <c r="AH1709" s="1115"/>
      <c r="AI1709" s="1115"/>
      <c r="AJ1709" s="1117"/>
      <c r="AK1709" s="1118"/>
      <c r="AL1709" s="1115"/>
      <c r="AM1709" s="1115"/>
      <c r="AN1709" s="1115"/>
      <c r="AO1709" s="1115"/>
      <c r="AP1709" s="1115"/>
      <c r="AQ1709" s="1115"/>
      <c r="AR1709" s="1115"/>
      <c r="AS1709" s="1117"/>
      <c r="AT1709" s="1196" t="str">
        <f t="shared" si="179"/>
        <v>0-1</v>
      </c>
      <c r="AU1709" s="1193"/>
      <c r="AV1709" s="330">
        <f>SQRT(($R1709-Infrastructure!J$3)^2+($S1709-Infrastructure!K$3)^2)</f>
        <v>22.22836026</v>
      </c>
      <c r="AW1709" s="331">
        <f>SQRT(($R1709-Infrastructure!J$4)^2+($S1709-Infrastructure!K$4)^2)</f>
        <v>12.56065285</v>
      </c>
      <c r="AX1709" s="331">
        <f>SQRT(($R1709-Infrastructure!J$5)^2+($S1709-Infrastructure!K$5)^2)</f>
        <v>8.672946443</v>
      </c>
      <c r="AY1709" s="331">
        <f>SQRT(($R1709-Infrastructure!J$6)^2+($S1709-Infrastructure!K$6)^2)</f>
        <v>8.228000972</v>
      </c>
      <c r="AZ1709" s="331">
        <f>SQRT(($R1709-Infrastructure!J$7)^2+($S1709-Infrastructure!K$7)^2)</f>
        <v>14.95660389</v>
      </c>
      <c r="BA1709" s="331">
        <f>SQRT(($R1709-Infrastructure!J$8)^2+($S1709-Infrastructure!K$8)^2)</f>
        <v>23.65797963</v>
      </c>
      <c r="BB1709" s="331">
        <f>SQRT(($R1709-Infrastructure!J$9)^2+($S1709-Infrastructure!K$9)^2)</f>
        <v>32.34887942</v>
      </c>
      <c r="BC1709" s="331">
        <f>SQRT(($R1709-Infrastructure!J$10)^2+($S1709-Infrastructure!K$10)^2)</f>
        <v>32.9101808</v>
      </c>
      <c r="BD1709" s="331">
        <f>SQRT(($R1709-Infrastructure!J$11)^2+($S1709-Infrastructure!K$11)^2)</f>
        <v>38.501948</v>
      </c>
      <c r="BE1709" s="333">
        <f>SQRT(($R1709-Infrastructure!J$12)^2+($S1709-Infrastructure!K$12)^2)</f>
        <v>49.24408594</v>
      </c>
      <c r="BF1709" s="330">
        <f t="shared" si="161"/>
        <v>8.228000972</v>
      </c>
      <c r="BG1709" s="333">
        <f t="shared" si="162"/>
        <v>49.24408594</v>
      </c>
      <c r="BH1709" s="1119"/>
      <c r="BI1709" s="319" t="str">
        <f t="shared" ref="BI1709:BR1709" si="268">IF(ISNUMBER(FIND(BI$3, $CO1709)), "Y", "")</f>
        <v>Y</v>
      </c>
      <c r="BJ1709" s="319" t="str">
        <f t="shared" si="268"/>
        <v/>
      </c>
      <c r="BK1709" s="319" t="str">
        <f t="shared" si="268"/>
        <v>Y</v>
      </c>
      <c r="BL1709" s="319" t="str">
        <f t="shared" si="268"/>
        <v>Y</v>
      </c>
      <c r="BM1709" s="319" t="str">
        <f t="shared" si="268"/>
        <v>Y</v>
      </c>
      <c r="BN1709" s="319" t="str">
        <f t="shared" si="268"/>
        <v>Y</v>
      </c>
      <c r="BO1709" s="319" t="str">
        <f t="shared" si="268"/>
        <v>Y</v>
      </c>
      <c r="BP1709" s="319" t="str">
        <f t="shared" si="268"/>
        <v/>
      </c>
      <c r="BQ1709" s="319" t="str">
        <f t="shared" si="268"/>
        <v>Y</v>
      </c>
      <c r="BR1709" s="319" t="str">
        <f t="shared" si="268"/>
        <v>Y</v>
      </c>
      <c r="BS1709" s="330">
        <f t="shared" si="185"/>
        <v>8.228000972</v>
      </c>
      <c r="BT1709" s="331">
        <f t="shared" si="170"/>
        <v>49.24408594</v>
      </c>
      <c r="BU1709" s="920">
        <v>0.4948611111111111</v>
      </c>
      <c r="BV1709" s="903">
        <f t="shared" si="186"/>
        <v>0.02865740741</v>
      </c>
      <c r="BW1709" s="908">
        <v>12.4</v>
      </c>
      <c r="BX1709" s="908">
        <v>40.7</v>
      </c>
      <c r="BY1709" s="331">
        <f t="shared" si="201"/>
        <v>32.8239242</v>
      </c>
      <c r="BZ1709" s="331"/>
      <c r="CA1709" s="462" t="str">
        <f t="shared" ref="CA1709:CJ1709" si="269">IF(ISNUMBER(FIND(BI$3, $CP1709)), "Y", "")</f>
        <v/>
      </c>
      <c r="CB1709" s="319" t="str">
        <f t="shared" si="269"/>
        <v/>
      </c>
      <c r="CC1709" s="319" t="str">
        <f t="shared" si="269"/>
        <v/>
      </c>
      <c r="CD1709" s="319" t="str">
        <f t="shared" si="269"/>
        <v/>
      </c>
      <c r="CE1709" s="319" t="str">
        <f t="shared" si="269"/>
        <v/>
      </c>
      <c r="CF1709" s="319" t="str">
        <f t="shared" si="269"/>
        <v/>
      </c>
      <c r="CG1709" s="319" t="str">
        <f t="shared" si="269"/>
        <v/>
      </c>
      <c r="CH1709" s="319" t="str">
        <f t="shared" si="269"/>
        <v/>
      </c>
      <c r="CI1709" s="319" t="str">
        <f t="shared" si="269"/>
        <v/>
      </c>
      <c r="CJ1709" s="319" t="str">
        <f t="shared" si="269"/>
        <v/>
      </c>
      <c r="CK1709" s="342">
        <f t="shared" si="182"/>
        <v>0</v>
      </c>
      <c r="CL1709" s="333">
        <f t="shared" si="183"/>
        <v>0</v>
      </c>
      <c r="CM1709" s="1079" t="s">
        <v>2355</v>
      </c>
      <c r="CN1709" s="1005" t="s">
        <v>2458</v>
      </c>
      <c r="CO1709" s="1256" t="s">
        <v>2460</v>
      </c>
      <c r="CP1709" s="1005"/>
    </row>
    <row r="1710">
      <c r="A1710" s="266"/>
      <c r="B1710" s="1113" t="s">
        <v>2438</v>
      </c>
      <c r="C1710" s="1107">
        <v>45457.0</v>
      </c>
      <c r="D1710" s="1113"/>
      <c r="E1710" s="1108">
        <v>3.0</v>
      </c>
      <c r="F1710" s="112" t="s">
        <v>2461</v>
      </c>
      <c r="G1710" s="1110">
        <v>0.5046875</v>
      </c>
      <c r="H1710" s="1110">
        <v>0.5054398148148148</v>
      </c>
      <c r="I1710" s="1110"/>
      <c r="J1710" s="1111"/>
      <c r="K1710" s="1111">
        <v>0.5194444444444445</v>
      </c>
      <c r="L1710" s="1112">
        <v>0.014004629629629629</v>
      </c>
      <c r="M1710" s="1113" t="s">
        <v>166</v>
      </c>
      <c r="N1710" s="110" t="s">
        <v>187</v>
      </c>
      <c r="O1710" s="1115" t="s">
        <v>2354</v>
      </c>
      <c r="P1710" s="1115" t="s">
        <v>256</v>
      </c>
      <c r="Q1710" s="1115" t="s">
        <v>851</v>
      </c>
      <c r="R1710" s="120">
        <v>7.8</v>
      </c>
      <c r="S1710" s="1113">
        <v>8.2</v>
      </c>
      <c r="T1710" s="110">
        <v>0.64</v>
      </c>
      <c r="U1710" s="1108">
        <v>0.5</v>
      </c>
      <c r="V1710" s="1108"/>
      <c r="W1710" s="1108"/>
      <c r="X1710" s="1108"/>
      <c r="Y1710" s="1108"/>
      <c r="Z1710" s="1114" t="s">
        <v>335</v>
      </c>
      <c r="AA1710" s="1114"/>
      <c r="AB1710" s="1114" t="s">
        <v>333</v>
      </c>
      <c r="AC1710" s="1117">
        <v>2.0</v>
      </c>
      <c r="AD1710" s="1115"/>
      <c r="AE1710" s="1115"/>
      <c r="AF1710" s="1115"/>
      <c r="AG1710" s="1115"/>
      <c r="AH1710" s="1115"/>
      <c r="AI1710" s="1115"/>
      <c r="AJ1710" s="1117"/>
      <c r="AK1710" s="1118"/>
      <c r="AL1710" s="1115"/>
      <c r="AM1710" s="1115"/>
      <c r="AN1710" s="1115"/>
      <c r="AO1710" s="1115"/>
      <c r="AP1710" s="1115"/>
      <c r="AQ1710" s="1115"/>
      <c r="AR1710" s="1115"/>
      <c r="AS1710" s="1117"/>
      <c r="AT1710" s="1196" t="str">
        <f t="shared" si="179"/>
        <v>0-1</v>
      </c>
      <c r="AU1710" s="1193"/>
      <c r="AV1710" s="330">
        <f>SQRT(($R1710-Infrastructure!J$3)^2+($S1710-Infrastructure!K$3)^2)</f>
        <v>22.22836026</v>
      </c>
      <c r="AW1710" s="331">
        <f>SQRT(($R1710-Infrastructure!J$4)^2+($S1710-Infrastructure!K$4)^2)</f>
        <v>12.56065285</v>
      </c>
      <c r="AX1710" s="331">
        <f>SQRT(($R1710-Infrastructure!J$5)^2+($S1710-Infrastructure!K$5)^2)</f>
        <v>8.672946443</v>
      </c>
      <c r="AY1710" s="331">
        <f>SQRT(($R1710-Infrastructure!J$6)^2+($S1710-Infrastructure!K$6)^2)</f>
        <v>8.228000972</v>
      </c>
      <c r="AZ1710" s="331">
        <f>SQRT(($R1710-Infrastructure!J$7)^2+($S1710-Infrastructure!K$7)^2)</f>
        <v>14.95660389</v>
      </c>
      <c r="BA1710" s="331">
        <f>SQRT(($R1710-Infrastructure!J$8)^2+($S1710-Infrastructure!K$8)^2)</f>
        <v>23.65797963</v>
      </c>
      <c r="BB1710" s="331">
        <f>SQRT(($R1710-Infrastructure!J$9)^2+($S1710-Infrastructure!K$9)^2)</f>
        <v>32.34887942</v>
      </c>
      <c r="BC1710" s="331">
        <f>SQRT(($R1710-Infrastructure!J$10)^2+($S1710-Infrastructure!K$10)^2)</f>
        <v>32.9101808</v>
      </c>
      <c r="BD1710" s="331">
        <f>SQRT(($R1710-Infrastructure!J$11)^2+($S1710-Infrastructure!K$11)^2)</f>
        <v>38.501948</v>
      </c>
      <c r="BE1710" s="333">
        <f>SQRT(($R1710-Infrastructure!J$12)^2+($S1710-Infrastructure!K$12)^2)</f>
        <v>49.24408594</v>
      </c>
      <c r="BF1710" s="330">
        <f t="shared" si="161"/>
        <v>8.228000972</v>
      </c>
      <c r="BG1710" s="333">
        <f t="shared" si="162"/>
        <v>49.24408594</v>
      </c>
      <c r="BH1710" s="1119"/>
      <c r="BI1710" s="319" t="str">
        <f t="shared" ref="BI1710:BR1710" si="270">IF(ISNUMBER(FIND(BI$3, $CO1710)), "Y", "")</f>
        <v>Y</v>
      </c>
      <c r="BJ1710" s="319" t="str">
        <f t="shared" si="270"/>
        <v>Y</v>
      </c>
      <c r="BK1710" s="319" t="str">
        <f t="shared" si="270"/>
        <v>Y</v>
      </c>
      <c r="BL1710" s="319" t="str">
        <f t="shared" si="270"/>
        <v>Y</v>
      </c>
      <c r="BM1710" s="319" t="str">
        <f t="shared" si="270"/>
        <v/>
      </c>
      <c r="BN1710" s="319" t="str">
        <f t="shared" si="270"/>
        <v/>
      </c>
      <c r="BO1710" s="319" t="str">
        <f t="shared" si="270"/>
        <v/>
      </c>
      <c r="BP1710" s="319" t="str">
        <f t="shared" si="270"/>
        <v/>
      </c>
      <c r="BQ1710" s="319" t="str">
        <f t="shared" si="270"/>
        <v/>
      </c>
      <c r="BR1710" s="319" t="str">
        <f t="shared" si="270"/>
        <v/>
      </c>
      <c r="BS1710" s="330">
        <f t="shared" si="185"/>
        <v>8.228000972</v>
      </c>
      <c r="BT1710" s="331">
        <f t="shared" si="170"/>
        <v>22.22836026</v>
      </c>
      <c r="BU1710" s="920">
        <v>0.5089351851851852</v>
      </c>
      <c r="BV1710" s="903">
        <f t="shared" si="186"/>
        <v>0.004247685185</v>
      </c>
      <c r="BW1710" s="908">
        <v>3.4</v>
      </c>
      <c r="BX1710" s="908">
        <v>21.5</v>
      </c>
      <c r="BY1710" s="331">
        <f t="shared" si="201"/>
        <v>14.00892573</v>
      </c>
      <c r="BZ1710" s="331"/>
      <c r="CA1710" s="462" t="str">
        <f t="shared" ref="CA1710:CJ1710" si="271">IF(ISNUMBER(FIND(BI$3, $CP1710)), "Y", "")</f>
        <v/>
      </c>
      <c r="CB1710" s="319" t="str">
        <f t="shared" si="271"/>
        <v/>
      </c>
      <c r="CC1710" s="319" t="str">
        <f t="shared" si="271"/>
        <v/>
      </c>
      <c r="CD1710" s="319" t="str">
        <f t="shared" si="271"/>
        <v/>
      </c>
      <c r="CE1710" s="319" t="str">
        <f t="shared" si="271"/>
        <v/>
      </c>
      <c r="CF1710" s="319" t="str">
        <f t="shared" si="271"/>
        <v/>
      </c>
      <c r="CG1710" s="319" t="str">
        <f t="shared" si="271"/>
        <v/>
      </c>
      <c r="CH1710" s="319" t="str">
        <f t="shared" si="271"/>
        <v/>
      </c>
      <c r="CI1710" s="319" t="str">
        <f t="shared" si="271"/>
        <v/>
      </c>
      <c r="CJ1710" s="319" t="str">
        <f t="shared" si="271"/>
        <v/>
      </c>
      <c r="CK1710" s="342">
        <f t="shared" si="182"/>
        <v>0</v>
      </c>
      <c r="CL1710" s="333">
        <f t="shared" si="183"/>
        <v>0</v>
      </c>
      <c r="CM1710" s="1079" t="s">
        <v>2462</v>
      </c>
      <c r="CN1710" s="1005" t="s">
        <v>2458</v>
      </c>
      <c r="CO1710" s="1005" t="s">
        <v>2463</v>
      </c>
      <c r="CP1710" s="1005"/>
    </row>
    <row r="1711">
      <c r="A1711" s="266"/>
      <c r="B1711" s="1113" t="s">
        <v>2438</v>
      </c>
      <c r="C1711" s="1107">
        <v>45457.0</v>
      </c>
      <c r="D1711" s="1113"/>
      <c r="E1711" s="1108">
        <v>4.0</v>
      </c>
      <c r="F1711" s="112" t="s">
        <v>2464</v>
      </c>
      <c r="G1711" s="1110">
        <v>0.5254050925925926</v>
      </c>
      <c r="H1711" s="1110">
        <v>0.5256944444444445</v>
      </c>
      <c r="I1711" s="1110"/>
      <c r="J1711" s="1111"/>
      <c r="K1711" s="1111">
        <v>0.5350694444444445</v>
      </c>
      <c r="L1711" s="1112">
        <v>0.009375</v>
      </c>
      <c r="M1711" s="1113" t="s">
        <v>166</v>
      </c>
      <c r="N1711" s="110" t="s">
        <v>187</v>
      </c>
      <c r="O1711" s="1115" t="s">
        <v>2354</v>
      </c>
      <c r="P1711" s="1115" t="s">
        <v>256</v>
      </c>
      <c r="Q1711" s="1115" t="s">
        <v>851</v>
      </c>
      <c r="R1711" s="120">
        <v>7.8</v>
      </c>
      <c r="S1711" s="1113">
        <v>8.2</v>
      </c>
      <c r="T1711" s="110">
        <v>0.64</v>
      </c>
      <c r="U1711" s="1108">
        <v>0.08</v>
      </c>
      <c r="V1711" s="1108"/>
      <c r="W1711" s="1108"/>
      <c r="X1711" s="1108"/>
      <c r="Y1711" s="1108"/>
      <c r="Z1711" s="1114" t="s">
        <v>335</v>
      </c>
      <c r="AA1711" s="1114"/>
      <c r="AB1711" s="1114" t="s">
        <v>333</v>
      </c>
      <c r="AC1711" s="1117">
        <v>2.0</v>
      </c>
      <c r="AD1711" s="1115"/>
      <c r="AE1711" s="1115"/>
      <c r="AF1711" s="1115"/>
      <c r="AG1711" s="1115"/>
      <c r="AH1711" s="1115"/>
      <c r="AI1711" s="1115"/>
      <c r="AJ1711" s="1117"/>
      <c r="AK1711" s="1118"/>
      <c r="AL1711" s="1115"/>
      <c r="AM1711" s="1115"/>
      <c r="AN1711" s="1115"/>
      <c r="AO1711" s="1115"/>
      <c r="AP1711" s="1115"/>
      <c r="AQ1711" s="1115"/>
      <c r="AR1711" s="1115"/>
      <c r="AS1711" s="1117"/>
      <c r="AT1711" s="1196" t="str">
        <f t="shared" si="179"/>
        <v>0-1</v>
      </c>
      <c r="AU1711" s="1193"/>
      <c r="AV1711" s="330">
        <f>SQRT(($R1711-Infrastructure!J$3)^2+($S1711-Infrastructure!K$3)^2)</f>
        <v>22.22836026</v>
      </c>
      <c r="AW1711" s="331">
        <f>SQRT(($R1711-Infrastructure!J$4)^2+($S1711-Infrastructure!K$4)^2)</f>
        <v>12.56065285</v>
      </c>
      <c r="AX1711" s="331">
        <f>SQRT(($R1711-Infrastructure!J$5)^2+($S1711-Infrastructure!K$5)^2)</f>
        <v>8.672946443</v>
      </c>
      <c r="AY1711" s="331">
        <f>SQRT(($R1711-Infrastructure!J$6)^2+($S1711-Infrastructure!K$6)^2)</f>
        <v>8.228000972</v>
      </c>
      <c r="AZ1711" s="331">
        <f>SQRT(($R1711-Infrastructure!J$7)^2+($S1711-Infrastructure!K$7)^2)</f>
        <v>14.95660389</v>
      </c>
      <c r="BA1711" s="331">
        <f>SQRT(($R1711-Infrastructure!J$8)^2+($S1711-Infrastructure!K$8)^2)</f>
        <v>23.65797963</v>
      </c>
      <c r="BB1711" s="331">
        <f>SQRT(($R1711-Infrastructure!J$9)^2+($S1711-Infrastructure!K$9)^2)</f>
        <v>32.34887942</v>
      </c>
      <c r="BC1711" s="331">
        <f>SQRT(($R1711-Infrastructure!J$10)^2+($S1711-Infrastructure!K$10)^2)</f>
        <v>32.9101808</v>
      </c>
      <c r="BD1711" s="331">
        <f>SQRT(($R1711-Infrastructure!J$11)^2+($S1711-Infrastructure!K$11)^2)</f>
        <v>38.501948</v>
      </c>
      <c r="BE1711" s="333">
        <f>SQRT(($R1711-Infrastructure!J$12)^2+($S1711-Infrastructure!K$12)^2)</f>
        <v>49.24408594</v>
      </c>
      <c r="BF1711" s="330">
        <f t="shared" si="161"/>
        <v>8.228000972</v>
      </c>
      <c r="BG1711" s="333">
        <f t="shared" si="162"/>
        <v>49.24408594</v>
      </c>
      <c r="BH1711" s="1119"/>
      <c r="BI1711" s="319" t="str">
        <f t="shared" ref="BI1711:BR1711" si="272">IF(ISNUMBER(FIND(BI$3, $CO1711)), "Y", "")</f>
        <v/>
      </c>
      <c r="BJ1711" s="319" t="str">
        <f t="shared" si="272"/>
        <v/>
      </c>
      <c r="BK1711" s="319" t="str">
        <f t="shared" si="272"/>
        <v/>
      </c>
      <c r="BL1711" s="319" t="str">
        <f t="shared" si="272"/>
        <v/>
      </c>
      <c r="BM1711" s="319" t="str">
        <f t="shared" si="272"/>
        <v/>
      </c>
      <c r="BN1711" s="319" t="str">
        <f t="shared" si="272"/>
        <v/>
      </c>
      <c r="BO1711" s="319" t="str">
        <f t="shared" si="272"/>
        <v/>
      </c>
      <c r="BP1711" s="319" t="str">
        <f t="shared" si="272"/>
        <v/>
      </c>
      <c r="BQ1711" s="319" t="str">
        <f t="shared" si="272"/>
        <v/>
      </c>
      <c r="BR1711" s="319" t="str">
        <f t="shared" si="272"/>
        <v/>
      </c>
      <c r="BS1711" s="330">
        <f t="shared" si="185"/>
        <v>0</v>
      </c>
      <c r="BT1711" s="331">
        <f t="shared" si="170"/>
        <v>0</v>
      </c>
      <c r="BU1711" s="920"/>
      <c r="BV1711" s="903" t="str">
        <f t="shared" si="186"/>
        <v/>
      </c>
      <c r="BW1711" s="908"/>
      <c r="BX1711" s="908"/>
      <c r="BY1711" s="331" t="b">
        <f t="shared" si="201"/>
        <v>0</v>
      </c>
      <c r="BZ1711" s="331"/>
      <c r="CA1711" s="462" t="str">
        <f t="shared" ref="CA1711:CJ1711" si="273">IF(ISNUMBER(FIND(BI$3, $CP1711)), "Y", "")</f>
        <v/>
      </c>
      <c r="CB1711" s="319" t="str">
        <f t="shared" si="273"/>
        <v/>
      </c>
      <c r="CC1711" s="319" t="str">
        <f t="shared" si="273"/>
        <v/>
      </c>
      <c r="CD1711" s="319" t="str">
        <f t="shared" si="273"/>
        <v/>
      </c>
      <c r="CE1711" s="319" t="str">
        <f t="shared" si="273"/>
        <v/>
      </c>
      <c r="CF1711" s="319" t="str">
        <f t="shared" si="273"/>
        <v/>
      </c>
      <c r="CG1711" s="319" t="str">
        <f t="shared" si="273"/>
        <v/>
      </c>
      <c r="CH1711" s="319" t="str">
        <f t="shared" si="273"/>
        <v/>
      </c>
      <c r="CI1711" s="319" t="str">
        <f t="shared" si="273"/>
        <v/>
      </c>
      <c r="CJ1711" s="319" t="str">
        <f t="shared" si="273"/>
        <v/>
      </c>
      <c r="CK1711" s="342">
        <f t="shared" si="182"/>
        <v>0</v>
      </c>
      <c r="CL1711" s="333">
        <f t="shared" si="183"/>
        <v>0</v>
      </c>
      <c r="CM1711" s="1079" t="s">
        <v>2355</v>
      </c>
      <c r="CN1711" s="1005" t="s">
        <v>2458</v>
      </c>
      <c r="CO1711" s="1005"/>
      <c r="CP1711" s="1005"/>
    </row>
    <row r="1712">
      <c r="A1712" s="266"/>
      <c r="B1712" s="1113" t="s">
        <v>2438</v>
      </c>
      <c r="C1712" s="1107">
        <v>45457.0</v>
      </c>
      <c r="D1712" s="1113"/>
      <c r="E1712" s="1108">
        <v>5.0</v>
      </c>
      <c r="F1712" s="112" t="s">
        <v>2465</v>
      </c>
      <c r="G1712" s="1110">
        <v>0.5354166666666667</v>
      </c>
      <c r="H1712" s="1110">
        <v>0.5361111111111111</v>
      </c>
      <c r="I1712" s="1110"/>
      <c r="J1712" s="1111"/>
      <c r="K1712" s="1111">
        <v>0.5420138888888889</v>
      </c>
      <c r="L1712" s="1112">
        <v>0.005902777777777778</v>
      </c>
      <c r="M1712" s="1113" t="s">
        <v>166</v>
      </c>
      <c r="N1712" s="110" t="s">
        <v>187</v>
      </c>
      <c r="O1712" s="1115" t="s">
        <v>2354</v>
      </c>
      <c r="P1712" s="1115" t="s">
        <v>256</v>
      </c>
      <c r="Q1712" s="1115" t="s">
        <v>851</v>
      </c>
      <c r="R1712" s="120">
        <v>7.8</v>
      </c>
      <c r="S1712" s="1113">
        <v>8.2</v>
      </c>
      <c r="T1712" s="110">
        <v>0.64</v>
      </c>
      <c r="U1712" s="1108">
        <v>0.9</v>
      </c>
      <c r="V1712" s="1108"/>
      <c r="W1712" s="1108"/>
      <c r="X1712" s="1108"/>
      <c r="Y1712" s="1108"/>
      <c r="Z1712" s="1114" t="s">
        <v>335</v>
      </c>
      <c r="AA1712" s="1114"/>
      <c r="AB1712" s="1114" t="s">
        <v>333</v>
      </c>
      <c r="AC1712" s="1117">
        <v>2.0</v>
      </c>
      <c r="AD1712" s="1115"/>
      <c r="AE1712" s="1115"/>
      <c r="AF1712" s="1115"/>
      <c r="AG1712" s="1115"/>
      <c r="AH1712" s="1115"/>
      <c r="AI1712" s="1115"/>
      <c r="AJ1712" s="1117"/>
      <c r="AK1712" s="1118"/>
      <c r="AL1712" s="1115"/>
      <c r="AM1712" s="1115"/>
      <c r="AN1712" s="1115"/>
      <c r="AO1712" s="1115"/>
      <c r="AP1712" s="1115"/>
      <c r="AQ1712" s="1115"/>
      <c r="AR1712" s="1115"/>
      <c r="AS1712" s="1117"/>
      <c r="AT1712" s="1196" t="str">
        <f t="shared" si="179"/>
        <v>0-1</v>
      </c>
      <c r="AU1712" s="1193"/>
      <c r="AV1712" s="330">
        <f>SQRT(($R1712-Infrastructure!J$3)^2+($S1712-Infrastructure!K$3)^2)</f>
        <v>22.22836026</v>
      </c>
      <c r="AW1712" s="331">
        <f>SQRT(($R1712-Infrastructure!J$4)^2+($S1712-Infrastructure!K$4)^2)</f>
        <v>12.56065285</v>
      </c>
      <c r="AX1712" s="331">
        <f>SQRT(($R1712-Infrastructure!J$5)^2+($S1712-Infrastructure!K$5)^2)</f>
        <v>8.672946443</v>
      </c>
      <c r="AY1712" s="331">
        <f>SQRT(($R1712-Infrastructure!J$6)^2+($S1712-Infrastructure!K$6)^2)</f>
        <v>8.228000972</v>
      </c>
      <c r="AZ1712" s="331">
        <f>SQRT(($R1712-Infrastructure!J$7)^2+($S1712-Infrastructure!K$7)^2)</f>
        <v>14.95660389</v>
      </c>
      <c r="BA1712" s="331">
        <f>SQRT(($R1712-Infrastructure!J$8)^2+($S1712-Infrastructure!K$8)^2)</f>
        <v>23.65797963</v>
      </c>
      <c r="BB1712" s="331">
        <f>SQRT(($R1712-Infrastructure!J$9)^2+($S1712-Infrastructure!K$9)^2)</f>
        <v>32.34887942</v>
      </c>
      <c r="BC1712" s="331">
        <f>SQRT(($R1712-Infrastructure!J$10)^2+($S1712-Infrastructure!K$10)^2)</f>
        <v>32.9101808</v>
      </c>
      <c r="BD1712" s="331">
        <f>SQRT(($R1712-Infrastructure!J$11)^2+($S1712-Infrastructure!K$11)^2)</f>
        <v>38.501948</v>
      </c>
      <c r="BE1712" s="333">
        <f>SQRT(($R1712-Infrastructure!J$12)^2+($S1712-Infrastructure!K$12)^2)</f>
        <v>49.24408594</v>
      </c>
      <c r="BF1712" s="330">
        <f t="shared" si="161"/>
        <v>8.228000972</v>
      </c>
      <c r="BG1712" s="333">
        <f t="shared" si="162"/>
        <v>49.24408594</v>
      </c>
      <c r="BH1712" s="1119"/>
      <c r="BI1712" s="319" t="str">
        <f t="shared" ref="BI1712:BR1712" si="274">IF(ISNUMBER(FIND(BI$3, $CO1712)), "Y", "")</f>
        <v>Y</v>
      </c>
      <c r="BJ1712" s="319" t="str">
        <f t="shared" si="274"/>
        <v>Y</v>
      </c>
      <c r="BK1712" s="319" t="str">
        <f t="shared" si="274"/>
        <v>Y</v>
      </c>
      <c r="BL1712" s="319" t="str">
        <f t="shared" si="274"/>
        <v>Y</v>
      </c>
      <c r="BM1712" s="319" t="str">
        <f t="shared" si="274"/>
        <v/>
      </c>
      <c r="BN1712" s="319" t="str">
        <f t="shared" si="274"/>
        <v/>
      </c>
      <c r="BO1712" s="319" t="str">
        <f t="shared" si="274"/>
        <v/>
      </c>
      <c r="BP1712" s="319" t="str">
        <f t="shared" si="274"/>
        <v/>
      </c>
      <c r="BQ1712" s="319" t="str">
        <f t="shared" si="274"/>
        <v/>
      </c>
      <c r="BR1712" s="319" t="str">
        <f t="shared" si="274"/>
        <v/>
      </c>
      <c r="BS1712" s="330">
        <f t="shared" si="185"/>
        <v>8.228000972</v>
      </c>
      <c r="BT1712" s="331">
        <f t="shared" si="170"/>
        <v>22.22836026</v>
      </c>
      <c r="BU1712" s="920">
        <v>0.5361226851851851</v>
      </c>
      <c r="BV1712" s="903">
        <f t="shared" si="186"/>
        <v>0.0007060185185</v>
      </c>
      <c r="BW1712" s="908">
        <v>3.0</v>
      </c>
      <c r="BX1712" s="908">
        <v>20.4</v>
      </c>
      <c r="BY1712" s="331">
        <f t="shared" si="201"/>
        <v>13.11030129</v>
      </c>
      <c r="BZ1712" s="331"/>
      <c r="CA1712" s="462" t="str">
        <f t="shared" ref="CA1712:CJ1712" si="275">IF(ISNUMBER(FIND(BI$3, $CP1712)), "Y", "")</f>
        <v/>
      </c>
      <c r="CB1712" s="319" t="str">
        <f t="shared" si="275"/>
        <v/>
      </c>
      <c r="CC1712" s="319" t="str">
        <f t="shared" si="275"/>
        <v/>
      </c>
      <c r="CD1712" s="319" t="str">
        <f t="shared" si="275"/>
        <v/>
      </c>
      <c r="CE1712" s="319" t="str">
        <f t="shared" si="275"/>
        <v/>
      </c>
      <c r="CF1712" s="319" t="str">
        <f t="shared" si="275"/>
        <v/>
      </c>
      <c r="CG1712" s="319" t="str">
        <f t="shared" si="275"/>
        <v/>
      </c>
      <c r="CH1712" s="319" t="str">
        <f t="shared" si="275"/>
        <v/>
      </c>
      <c r="CI1712" s="319" t="str">
        <f t="shared" si="275"/>
        <v/>
      </c>
      <c r="CJ1712" s="319" t="str">
        <f t="shared" si="275"/>
        <v/>
      </c>
      <c r="CK1712" s="342">
        <f t="shared" si="182"/>
        <v>0</v>
      </c>
      <c r="CL1712" s="333">
        <f t="shared" si="183"/>
        <v>0</v>
      </c>
      <c r="CM1712" s="1079" t="s">
        <v>2408</v>
      </c>
      <c r="CN1712" s="1005" t="s">
        <v>2458</v>
      </c>
      <c r="CO1712" s="1005" t="s">
        <v>2463</v>
      </c>
      <c r="CP1712" s="1005"/>
    </row>
    <row r="1713">
      <c r="A1713" s="266"/>
      <c r="B1713" s="1113" t="s">
        <v>2438</v>
      </c>
      <c r="C1713" s="1107">
        <v>45457.0</v>
      </c>
      <c r="D1713" s="1113"/>
      <c r="E1713" s="1108"/>
      <c r="F1713" s="112" t="s">
        <v>2466</v>
      </c>
      <c r="G1713" s="1110">
        <v>0.5444444444444444</v>
      </c>
      <c r="H1713" s="1110"/>
      <c r="I1713" s="1110"/>
      <c r="J1713" s="1111"/>
      <c r="K1713" s="1111">
        <v>0.5454861111111111</v>
      </c>
      <c r="L1713" s="1112">
        <v>0.0010416666666666667</v>
      </c>
      <c r="M1713" s="1113" t="s">
        <v>166</v>
      </c>
      <c r="N1713" s="110" t="s">
        <v>188</v>
      </c>
      <c r="O1713" s="1115"/>
      <c r="P1713" s="1115" t="s">
        <v>292</v>
      </c>
      <c r="Q1713" s="1116"/>
      <c r="R1713" s="120"/>
      <c r="S1713" s="1113"/>
      <c r="T1713" s="110"/>
      <c r="U1713" s="1108" t="s">
        <v>323</v>
      </c>
      <c r="V1713" s="1108"/>
      <c r="W1713" s="1108"/>
      <c r="X1713" s="1108"/>
      <c r="Y1713" s="1108"/>
      <c r="Z1713" s="1114" t="s">
        <v>323</v>
      </c>
      <c r="AA1713" s="1114"/>
      <c r="AB1713" s="1114" t="s">
        <v>323</v>
      </c>
      <c r="AC1713" s="1117" t="s">
        <v>323</v>
      </c>
      <c r="AD1713" s="1115"/>
      <c r="AE1713" s="1115"/>
      <c r="AF1713" s="1115"/>
      <c r="AG1713" s="1115"/>
      <c r="AH1713" s="1115"/>
      <c r="AI1713" s="1115"/>
      <c r="AJ1713" s="1117"/>
      <c r="AK1713" s="1118"/>
      <c r="AL1713" s="1115"/>
      <c r="AM1713" s="1115"/>
      <c r="AN1713" s="1115"/>
      <c r="AO1713" s="1115"/>
      <c r="AP1713" s="1115"/>
      <c r="AQ1713" s="1115"/>
      <c r="AR1713" s="1115"/>
      <c r="AS1713" s="1117"/>
      <c r="AT1713" s="1196" t="str">
        <f t="shared" si="179"/>
        <v/>
      </c>
      <c r="AU1713" s="1193"/>
      <c r="AV1713" s="330">
        <f>SQRT(($R1713-Infrastructure!J$3)^2+($S1713-Infrastructure!K$3)^2)</f>
        <v>28.90155705</v>
      </c>
      <c r="AW1713" s="331">
        <f>SQRT(($R1713-Infrastructure!J$4)^2+($S1713-Infrastructure!K$4)^2)</f>
        <v>17.80252791</v>
      </c>
      <c r="AX1713" s="331">
        <f>SQRT(($R1713-Infrastructure!J$5)^2+($S1713-Infrastructure!K$5)^2)</f>
        <v>5.10881591</v>
      </c>
      <c r="AY1713" s="331">
        <f>SQRT(($R1713-Infrastructure!J$6)^2+($S1713-Infrastructure!K$6)^2)</f>
        <v>10.10445446</v>
      </c>
      <c r="AZ1713" s="331">
        <f>SQRT(($R1713-Infrastructure!J$7)^2+($S1713-Infrastructure!K$7)^2)</f>
        <v>20.502195</v>
      </c>
      <c r="BA1713" s="331">
        <f>SQRT(($R1713-Infrastructure!J$8)^2+($S1713-Infrastructure!K$8)^2)</f>
        <v>30.10149498</v>
      </c>
      <c r="BB1713" s="331">
        <f>SQRT(($R1713-Infrastructure!J$9)^2+($S1713-Infrastructure!K$9)^2)</f>
        <v>40.3238143</v>
      </c>
      <c r="BC1713" s="331">
        <f>SQRT(($R1713-Infrastructure!J$10)^2+($S1713-Infrastructure!K$10)^2)</f>
        <v>42.72001873</v>
      </c>
      <c r="BD1713" s="331">
        <f>SQRT(($R1713-Infrastructure!J$11)^2+($S1713-Infrastructure!K$11)^2)</f>
        <v>49.56853841</v>
      </c>
      <c r="BE1713" s="333">
        <f>SQRT(($R1713-Infrastructure!J$12)^2+($S1713-Infrastructure!K$12)^2)</f>
        <v>59.51890456</v>
      </c>
      <c r="BF1713" s="330">
        <f t="shared" si="161"/>
        <v>5.10881591</v>
      </c>
      <c r="BG1713" s="333">
        <f t="shared" si="162"/>
        <v>59.51890456</v>
      </c>
      <c r="BH1713" s="1119"/>
      <c r="BI1713" s="319" t="str">
        <f t="shared" ref="BI1713:BR1713" si="276">IF(ISNUMBER(FIND(BI$3, $CO1713)), "Y", "")</f>
        <v>Y</v>
      </c>
      <c r="BJ1713" s="319" t="str">
        <f t="shared" si="276"/>
        <v>Y</v>
      </c>
      <c r="BK1713" s="319" t="str">
        <f t="shared" si="276"/>
        <v>Y</v>
      </c>
      <c r="BL1713" s="319" t="str">
        <f t="shared" si="276"/>
        <v>Y</v>
      </c>
      <c r="BM1713" s="319" t="str">
        <f t="shared" si="276"/>
        <v>Y</v>
      </c>
      <c r="BN1713" s="319" t="str">
        <f t="shared" si="276"/>
        <v>Y</v>
      </c>
      <c r="BO1713" s="319" t="str">
        <f t="shared" si="276"/>
        <v>Y</v>
      </c>
      <c r="BP1713" s="319" t="str">
        <f t="shared" si="276"/>
        <v/>
      </c>
      <c r="BQ1713" s="319" t="str">
        <f t="shared" si="276"/>
        <v>Y</v>
      </c>
      <c r="BR1713" s="319" t="str">
        <f t="shared" si="276"/>
        <v>Y</v>
      </c>
      <c r="BS1713" s="330">
        <f t="shared" si="185"/>
        <v>5.10881591</v>
      </c>
      <c r="BT1713" s="331">
        <f t="shared" si="170"/>
        <v>59.51890456</v>
      </c>
      <c r="BU1713" s="920">
        <v>0.5449768518518519</v>
      </c>
      <c r="BV1713" s="903">
        <f t="shared" si="186"/>
        <v>0.0005324074074</v>
      </c>
      <c r="BW1713" s="908">
        <v>15.3</v>
      </c>
      <c r="BX1713" s="908">
        <v>44.5</v>
      </c>
      <c r="BY1713" s="331">
        <f t="shared" si="201"/>
        <v>47.05677422</v>
      </c>
      <c r="BZ1713" s="331"/>
      <c r="CA1713" s="462" t="str">
        <f t="shared" ref="CA1713:CJ1713" si="277">IF(ISNUMBER(FIND(BI$3, $CP1713)), "Y", "")</f>
        <v/>
      </c>
      <c r="CB1713" s="319" t="str">
        <f t="shared" si="277"/>
        <v/>
      </c>
      <c r="CC1713" s="319" t="str">
        <f t="shared" si="277"/>
        <v/>
      </c>
      <c r="CD1713" s="319" t="str">
        <f t="shared" si="277"/>
        <v/>
      </c>
      <c r="CE1713" s="319" t="str">
        <f t="shared" si="277"/>
        <v/>
      </c>
      <c r="CF1713" s="319" t="str">
        <f t="shared" si="277"/>
        <v/>
      </c>
      <c r="CG1713" s="319" t="str">
        <f t="shared" si="277"/>
        <v/>
      </c>
      <c r="CH1713" s="319" t="str">
        <f t="shared" si="277"/>
        <v/>
      </c>
      <c r="CI1713" s="319" t="str">
        <f t="shared" si="277"/>
        <v/>
      </c>
      <c r="CJ1713" s="319" t="str">
        <f t="shared" si="277"/>
        <v/>
      </c>
      <c r="CK1713" s="342">
        <f t="shared" si="182"/>
        <v>0</v>
      </c>
      <c r="CL1713" s="333">
        <f t="shared" si="183"/>
        <v>0</v>
      </c>
      <c r="CM1713" s="1079" t="s">
        <v>2467</v>
      </c>
      <c r="CN1713" s="1005" t="s">
        <v>2458</v>
      </c>
      <c r="CO1713" s="1005" t="s">
        <v>2400</v>
      </c>
      <c r="CP1713" s="1005"/>
    </row>
    <row r="1714">
      <c r="A1714" s="1258"/>
      <c r="B1714" s="1129" t="s">
        <v>2438</v>
      </c>
      <c r="C1714" s="1122">
        <v>45457.0</v>
      </c>
      <c r="D1714" s="1129"/>
      <c r="E1714" s="1124"/>
      <c r="F1714" s="108" t="s">
        <v>2466</v>
      </c>
      <c r="G1714" s="1126">
        <v>0.5892361111111111</v>
      </c>
      <c r="H1714" s="1126"/>
      <c r="I1714" s="1126"/>
      <c r="J1714" s="1127"/>
      <c r="K1714" s="1127">
        <v>0.5904513888888889</v>
      </c>
      <c r="L1714" s="1128">
        <v>0.0012152777777777778</v>
      </c>
      <c r="M1714" s="1129" t="s">
        <v>358</v>
      </c>
      <c r="N1714" s="100" t="s">
        <v>188</v>
      </c>
      <c r="O1714" s="1131"/>
      <c r="P1714" s="1131" t="s">
        <v>294</v>
      </c>
      <c r="Q1714" s="1131"/>
      <c r="R1714" s="137"/>
      <c r="S1714" s="1129"/>
      <c r="T1714" s="100"/>
      <c r="U1714" s="1124" t="s">
        <v>323</v>
      </c>
      <c r="V1714" s="1124"/>
      <c r="W1714" s="1124"/>
      <c r="X1714" s="1124"/>
      <c r="Y1714" s="1124"/>
      <c r="Z1714" s="1130" t="s">
        <v>323</v>
      </c>
      <c r="AA1714" s="1130"/>
      <c r="AB1714" s="1130" t="s">
        <v>323</v>
      </c>
      <c r="AC1714" s="1133" t="s">
        <v>323</v>
      </c>
      <c r="AD1714" s="1131"/>
      <c r="AE1714" s="1131"/>
      <c r="AF1714" s="1131"/>
      <c r="AG1714" s="1131"/>
      <c r="AH1714" s="1131"/>
      <c r="AI1714" s="1131"/>
      <c r="AJ1714" s="1133"/>
      <c r="AK1714" s="1134"/>
      <c r="AL1714" s="1131"/>
      <c r="AM1714" s="1131"/>
      <c r="AN1714" s="1131"/>
      <c r="AO1714" s="1131"/>
      <c r="AP1714" s="1131"/>
      <c r="AQ1714" s="1131"/>
      <c r="AR1714" s="1131"/>
      <c r="AS1714" s="1133"/>
      <c r="AT1714" s="1197" t="str">
        <f t="shared" si="179"/>
        <v/>
      </c>
      <c r="AU1714" s="1194"/>
      <c r="AV1714" s="662">
        <f>SQRT(($R1714-Infrastructure!J$3)^2+($S1714-Infrastructure!K$3)^2)</f>
        <v>28.90155705</v>
      </c>
      <c r="AW1714" s="641">
        <f>SQRT(($R1714-Infrastructure!J$4)^2+($S1714-Infrastructure!K$4)^2)</f>
        <v>17.80252791</v>
      </c>
      <c r="AX1714" s="641">
        <f>SQRT(($R1714-Infrastructure!J$5)^2+($S1714-Infrastructure!K$5)^2)</f>
        <v>5.10881591</v>
      </c>
      <c r="AY1714" s="641">
        <f>SQRT(($R1714-Infrastructure!J$6)^2+($S1714-Infrastructure!K$6)^2)</f>
        <v>10.10445446</v>
      </c>
      <c r="AZ1714" s="641">
        <f>SQRT(($R1714-Infrastructure!J$7)^2+($S1714-Infrastructure!K$7)^2)</f>
        <v>20.502195</v>
      </c>
      <c r="BA1714" s="641">
        <f>SQRT(($R1714-Infrastructure!J$8)^2+($S1714-Infrastructure!K$8)^2)</f>
        <v>30.10149498</v>
      </c>
      <c r="BB1714" s="641">
        <f>SQRT(($R1714-Infrastructure!J$9)^2+($S1714-Infrastructure!K$9)^2)</f>
        <v>40.3238143</v>
      </c>
      <c r="BC1714" s="641">
        <f>SQRT(($R1714-Infrastructure!J$10)^2+($S1714-Infrastructure!K$10)^2)</f>
        <v>42.72001873</v>
      </c>
      <c r="BD1714" s="641">
        <f>SQRT(($R1714-Infrastructure!J$11)^2+($S1714-Infrastructure!K$11)^2)</f>
        <v>49.56853841</v>
      </c>
      <c r="BE1714" s="642">
        <f>SQRT(($R1714-Infrastructure!J$12)^2+($S1714-Infrastructure!K$12)^2)</f>
        <v>59.51890456</v>
      </c>
      <c r="BF1714" s="662">
        <f t="shared" si="161"/>
        <v>5.10881591</v>
      </c>
      <c r="BG1714" s="642">
        <f t="shared" si="162"/>
        <v>59.51890456</v>
      </c>
      <c r="BH1714" s="1135"/>
      <c r="BI1714" s="663" t="str">
        <f t="shared" ref="BI1714:BR1714" si="278">IF(ISNUMBER(FIND(BI$3, $CO1714)), "Y", "")</f>
        <v/>
      </c>
      <c r="BJ1714" s="663" t="str">
        <f t="shared" si="278"/>
        <v/>
      </c>
      <c r="BK1714" s="663" t="str">
        <f t="shared" si="278"/>
        <v/>
      </c>
      <c r="BL1714" s="663" t="str">
        <f t="shared" si="278"/>
        <v/>
      </c>
      <c r="BM1714" s="663" t="str">
        <f t="shared" si="278"/>
        <v/>
      </c>
      <c r="BN1714" s="663" t="str">
        <f t="shared" si="278"/>
        <v/>
      </c>
      <c r="BO1714" s="663" t="str">
        <f t="shared" si="278"/>
        <v/>
      </c>
      <c r="BP1714" s="663" t="str">
        <f t="shared" si="278"/>
        <v/>
      </c>
      <c r="BQ1714" s="663" t="str">
        <f t="shared" si="278"/>
        <v/>
      </c>
      <c r="BR1714" s="663" t="str">
        <f t="shared" si="278"/>
        <v/>
      </c>
      <c r="BS1714" s="662">
        <f t="shared" si="185"/>
        <v>0</v>
      </c>
      <c r="BT1714" s="641">
        <f t="shared" si="170"/>
        <v>0</v>
      </c>
      <c r="BU1714" s="937"/>
      <c r="BV1714" s="903" t="str">
        <f t="shared" si="186"/>
        <v/>
      </c>
      <c r="BW1714" s="939"/>
      <c r="BX1714" s="939"/>
      <c r="BY1714" s="641" t="b">
        <f t="shared" si="201"/>
        <v>0</v>
      </c>
      <c r="BZ1714" s="641"/>
      <c r="CA1714" s="635" t="str">
        <f t="shared" ref="CA1714:CJ1714" si="279">IF(ISNUMBER(FIND(BI$3, $CP1714)), "Y", "")</f>
        <v/>
      </c>
      <c r="CB1714" s="663" t="str">
        <f t="shared" si="279"/>
        <v/>
      </c>
      <c r="CC1714" s="663" t="str">
        <f t="shared" si="279"/>
        <v/>
      </c>
      <c r="CD1714" s="663" t="str">
        <f t="shared" si="279"/>
        <v/>
      </c>
      <c r="CE1714" s="663" t="str">
        <f t="shared" si="279"/>
        <v/>
      </c>
      <c r="CF1714" s="663" t="str">
        <f t="shared" si="279"/>
        <v/>
      </c>
      <c r="CG1714" s="663" t="str">
        <f t="shared" si="279"/>
        <v/>
      </c>
      <c r="CH1714" s="663" t="str">
        <f t="shared" si="279"/>
        <v/>
      </c>
      <c r="CI1714" s="663" t="str">
        <f t="shared" si="279"/>
        <v/>
      </c>
      <c r="CJ1714" s="663" t="str">
        <f t="shared" si="279"/>
        <v/>
      </c>
      <c r="CK1714" s="743">
        <f t="shared" si="182"/>
        <v>0</v>
      </c>
      <c r="CL1714" s="642">
        <f t="shared" si="183"/>
        <v>0</v>
      </c>
      <c r="CM1714" s="1090"/>
      <c r="CN1714" s="1036" t="s">
        <v>2458</v>
      </c>
      <c r="CO1714" s="1036"/>
      <c r="CP1714" s="1036"/>
    </row>
    <row r="1715">
      <c r="A1715" s="1257" t="s">
        <v>98</v>
      </c>
      <c r="B1715" s="1113" t="s">
        <v>1537</v>
      </c>
      <c r="C1715" s="1107">
        <v>45460.0</v>
      </c>
      <c r="D1715" s="1113" t="s">
        <v>986</v>
      </c>
      <c r="E1715" s="1108">
        <v>1.0</v>
      </c>
      <c r="F1715" s="112" t="s">
        <v>2468</v>
      </c>
      <c r="G1715" s="1110">
        <v>0.46319444444444446</v>
      </c>
      <c r="H1715" s="1110">
        <v>0.46371527777777777</v>
      </c>
      <c r="I1715" s="1110"/>
      <c r="J1715" s="1111"/>
      <c r="K1715" s="1111">
        <v>0.4954861111111111</v>
      </c>
      <c r="L1715" s="1112">
        <v>0.03125</v>
      </c>
      <c r="M1715" s="1113" t="s">
        <v>166</v>
      </c>
      <c r="N1715" s="110" t="s">
        <v>188</v>
      </c>
      <c r="O1715" s="1115" t="s">
        <v>378</v>
      </c>
      <c r="P1715" s="1115" t="s">
        <v>225</v>
      </c>
      <c r="Q1715" s="1115" t="s">
        <v>842</v>
      </c>
      <c r="R1715" s="120">
        <v>22.7</v>
      </c>
      <c r="S1715" s="1113">
        <v>39.7</v>
      </c>
      <c r="T1715" s="110">
        <v>1.1</v>
      </c>
      <c r="U1715" s="1108"/>
      <c r="V1715" s="1108"/>
      <c r="W1715" s="1108"/>
      <c r="X1715" s="1108"/>
      <c r="Y1715" s="1108"/>
      <c r="Z1715" s="1114" t="s">
        <v>1140</v>
      </c>
      <c r="AA1715" s="1114"/>
      <c r="AB1715" s="1114" t="s">
        <v>407</v>
      </c>
      <c r="AC1715" s="1117">
        <v>15.75</v>
      </c>
      <c r="AD1715" s="1115"/>
      <c r="AE1715" s="1115"/>
      <c r="AF1715" s="1115"/>
      <c r="AG1715" s="1115"/>
      <c r="AH1715" s="1115"/>
      <c r="AI1715" s="1115"/>
      <c r="AJ1715" s="1117"/>
      <c r="AK1715" s="1118"/>
      <c r="AL1715" s="1115"/>
      <c r="AM1715" s="1115"/>
      <c r="AN1715" s="1115"/>
      <c r="AO1715" s="1115"/>
      <c r="AP1715" s="1115"/>
      <c r="AQ1715" s="1115"/>
      <c r="AR1715" s="1115"/>
      <c r="AS1715" s="1117"/>
      <c r="AT1715" s="1196"/>
      <c r="AU1715" s="1193"/>
      <c r="AV1715" s="330">
        <f>SQRT(($R1715-Infrastructure!J$3)^2+($S1715-Infrastructure!K$3)^2)</f>
        <v>25.40944706</v>
      </c>
      <c r="AW1715" s="331">
        <f>SQRT(($R1715-Infrastructure!J$4)^2+($S1715-Infrastructure!K$4)^2)</f>
        <v>31.75862088</v>
      </c>
      <c r="AX1715" s="331">
        <f>SQRT(($R1715-Infrastructure!J$5)^2+($S1715-Infrastructure!K$5)^2)</f>
        <v>41.54708173</v>
      </c>
      <c r="AY1715" s="331">
        <f>SQRT(($R1715-Infrastructure!J$6)^2+($S1715-Infrastructure!K$6)^2)</f>
        <v>41.36568626</v>
      </c>
      <c r="AZ1715" s="331">
        <f>SQRT(($R1715-Infrastructure!J$7)^2+($S1715-Infrastructure!K$7)^2)</f>
        <v>39.46137352</v>
      </c>
      <c r="BA1715" s="331">
        <f>SQRT(($R1715-Infrastructure!J$8)^2+($S1715-Infrastructure!K$8)^2)</f>
        <v>40.08890121</v>
      </c>
      <c r="BB1715" s="331">
        <f>SQRT(($R1715-Infrastructure!J$9)^2+($S1715-Infrastructure!K$9)^2)</f>
        <v>38.68397601</v>
      </c>
      <c r="BC1715" s="331">
        <f>SQRT(($R1715-Infrastructure!J$10)^2+($S1715-Infrastructure!K$10)^2)</f>
        <v>30.15592811</v>
      </c>
      <c r="BD1715" s="331">
        <f>SQRT(($R1715-Infrastructure!J$11)^2+($S1715-Infrastructure!K$11)^2)</f>
        <v>20.51194774</v>
      </c>
      <c r="BE1715" s="333">
        <f>SQRT(($R1715-Infrastructure!J$12)^2+($S1715-Infrastructure!K$12)^2)</f>
        <v>15.84550409</v>
      </c>
      <c r="BF1715" s="330">
        <f t="shared" si="161"/>
        <v>15.84550409</v>
      </c>
      <c r="BG1715" s="333">
        <f t="shared" si="162"/>
        <v>41.54708173</v>
      </c>
      <c r="BH1715" s="1119"/>
      <c r="BI1715" s="319" t="str">
        <f t="shared" ref="BI1715:BR1715" si="280">IF(ISNUMBER(FIND(BI$3, $CO1715)), "Y", "")</f>
        <v/>
      </c>
      <c r="BJ1715" s="319" t="str">
        <f t="shared" si="280"/>
        <v/>
      </c>
      <c r="BK1715" s="319" t="str">
        <f t="shared" si="280"/>
        <v/>
      </c>
      <c r="BL1715" s="319" t="str">
        <f t="shared" si="280"/>
        <v/>
      </c>
      <c r="BM1715" s="319" t="str">
        <f t="shared" si="280"/>
        <v/>
      </c>
      <c r="BN1715" s="319" t="str">
        <f t="shared" si="280"/>
        <v>Y</v>
      </c>
      <c r="BO1715" s="319" t="str">
        <f t="shared" si="280"/>
        <v>Y</v>
      </c>
      <c r="BP1715" s="319" t="str">
        <f t="shared" si="280"/>
        <v>Y</v>
      </c>
      <c r="BQ1715" s="319" t="str">
        <f t="shared" si="280"/>
        <v>Y</v>
      </c>
      <c r="BR1715" s="319" t="str">
        <f t="shared" si="280"/>
        <v>Y</v>
      </c>
      <c r="BS1715" s="330">
        <f t="shared" si="185"/>
        <v>15.84550409</v>
      </c>
      <c r="BT1715" s="331">
        <f t="shared" si="170"/>
        <v>40.08890121</v>
      </c>
      <c r="BU1715" s="920">
        <v>0.4720486111111111</v>
      </c>
      <c r="BV1715" s="903">
        <f t="shared" si="186"/>
        <v>0.008854166667</v>
      </c>
      <c r="BW1715" s="908">
        <v>13.0</v>
      </c>
      <c r="BX1715" s="908">
        <v>41.2</v>
      </c>
      <c r="BY1715" s="331">
        <f t="shared" si="201"/>
        <v>9.815294188</v>
      </c>
      <c r="BZ1715" s="331"/>
      <c r="CA1715" s="462" t="str">
        <f t="shared" ref="CA1715:CJ1715" si="281">IF(ISNUMBER(FIND(BI$3, $CP1715)), "Y", "")</f>
        <v>Y</v>
      </c>
      <c r="CB1715" s="319" t="str">
        <f t="shared" si="281"/>
        <v>Y</v>
      </c>
      <c r="CC1715" s="319" t="str">
        <f t="shared" si="281"/>
        <v>Y</v>
      </c>
      <c r="CD1715" s="319" t="str">
        <f t="shared" si="281"/>
        <v>Y</v>
      </c>
      <c r="CE1715" s="319" t="str">
        <f t="shared" si="281"/>
        <v>Y</v>
      </c>
      <c r="CF1715" s="319" t="str">
        <f t="shared" si="281"/>
        <v>Y</v>
      </c>
      <c r="CG1715" s="319" t="str">
        <f t="shared" si="281"/>
        <v>Y</v>
      </c>
      <c r="CH1715" s="319" t="str">
        <f t="shared" si="281"/>
        <v>Y</v>
      </c>
      <c r="CI1715" s="319" t="str">
        <f t="shared" si="281"/>
        <v>Y</v>
      </c>
      <c r="CJ1715" s="319" t="str">
        <f t="shared" si="281"/>
        <v>Y</v>
      </c>
      <c r="CK1715" s="342">
        <f t="shared" si="182"/>
        <v>15.84550409</v>
      </c>
      <c r="CL1715" s="333">
        <f t="shared" si="183"/>
        <v>41.54708173</v>
      </c>
      <c r="CM1715" s="1079" t="s">
        <v>2469</v>
      </c>
      <c r="CN1715" s="1005" t="s">
        <v>2470</v>
      </c>
      <c r="CO1715" s="1005" t="s">
        <v>2471</v>
      </c>
      <c r="CP1715" s="1005" t="s">
        <v>2365</v>
      </c>
    </row>
    <row r="1716">
      <c r="A1716" s="266"/>
      <c r="B1716" s="1113" t="s">
        <v>1537</v>
      </c>
      <c r="C1716" s="1107">
        <v>45460.0</v>
      </c>
      <c r="D1716" s="1113" t="s">
        <v>986</v>
      </c>
      <c r="E1716" s="1108">
        <v>2.0</v>
      </c>
      <c r="F1716" s="112" t="s">
        <v>2472</v>
      </c>
      <c r="G1716" s="1110">
        <v>0.5034722222222222</v>
      </c>
      <c r="H1716" s="1110">
        <v>0.5039930555555555</v>
      </c>
      <c r="I1716" s="1110"/>
      <c r="J1716" s="1111"/>
      <c r="K1716" s="1111">
        <v>0.5354166666666667</v>
      </c>
      <c r="L1716" s="1112">
        <v>0.03125</v>
      </c>
      <c r="M1716" s="1113" t="s">
        <v>166</v>
      </c>
      <c r="N1716" s="110" t="s">
        <v>187</v>
      </c>
      <c r="O1716" s="1115" t="s">
        <v>206</v>
      </c>
      <c r="P1716" s="1115" t="s">
        <v>218</v>
      </c>
      <c r="Q1716" s="1116"/>
      <c r="R1716" s="120">
        <v>21.5</v>
      </c>
      <c r="S1716" s="1113">
        <v>8.7</v>
      </c>
      <c r="T1716" s="110">
        <v>2.4</v>
      </c>
      <c r="U1716" s="1108"/>
      <c r="V1716" s="1108"/>
      <c r="W1716" s="1108"/>
      <c r="X1716" s="1108"/>
      <c r="Y1716" s="1108"/>
      <c r="Z1716" s="1114" t="s">
        <v>335</v>
      </c>
      <c r="AA1716" s="1114"/>
      <c r="AB1716" s="1114" t="s">
        <v>375</v>
      </c>
      <c r="AC1716" s="1117">
        <v>2.7</v>
      </c>
      <c r="AD1716" s="1115"/>
      <c r="AE1716" s="1115"/>
      <c r="AF1716" s="1115"/>
      <c r="AG1716" s="1115"/>
      <c r="AH1716" s="1115"/>
      <c r="AI1716" s="1115"/>
      <c r="AJ1716" s="1117"/>
      <c r="AK1716" s="1118"/>
      <c r="AL1716" s="1115"/>
      <c r="AM1716" s="1115"/>
      <c r="AN1716" s="1115"/>
      <c r="AO1716" s="1115"/>
      <c r="AP1716" s="1115"/>
      <c r="AQ1716" s="1115"/>
      <c r="AR1716" s="1115"/>
      <c r="AS1716" s="1117"/>
      <c r="AT1716" s="1196"/>
      <c r="AU1716" s="1193"/>
      <c r="AV1716" s="330">
        <f>SQRT(($R1716-Infrastructure!J$3)^2+($S1716-Infrastructure!K$3)^2)</f>
        <v>29.72002692</v>
      </c>
      <c r="AW1716" s="331">
        <f>SQRT(($R1716-Infrastructure!J$4)^2+($S1716-Infrastructure!K$4)^2)</f>
        <v>23.62308193</v>
      </c>
      <c r="AX1716" s="331">
        <f>SQRT(($R1716-Infrastructure!J$5)^2+($S1716-Infrastructure!K$5)^2)</f>
        <v>22.09524836</v>
      </c>
      <c r="AY1716" s="331">
        <f>SQRT(($R1716-Infrastructure!J$6)^2+($S1716-Infrastructure!K$6)^2)</f>
        <v>14.16050847</v>
      </c>
      <c r="AZ1716" s="331">
        <f>SQRT(($R1716-Infrastructure!J$7)^2+($S1716-Infrastructure!K$7)^2)</f>
        <v>8.459314393</v>
      </c>
      <c r="BA1716" s="331">
        <f>SQRT(($R1716-Infrastructure!J$8)^2+($S1716-Infrastructure!K$8)^2)</f>
        <v>12.02164714</v>
      </c>
      <c r="BB1716" s="331">
        <f>SQRT(($R1716-Infrastructure!J$9)^2+($S1716-Infrastructure!K$9)^2)</f>
        <v>18.84701568</v>
      </c>
      <c r="BC1716" s="331">
        <f>SQRT(($R1716-Infrastructure!J$10)^2+($S1716-Infrastructure!K$10)^2)</f>
        <v>19.54328529</v>
      </c>
      <c r="BD1716" s="331">
        <f>SQRT(($R1716-Infrastructure!J$11)^2+($S1716-Infrastructure!K$11)^2)</f>
        <v>27.60036232</v>
      </c>
      <c r="BE1716" s="333">
        <f>SQRT(($R1716-Infrastructure!J$12)^2+($S1716-Infrastructure!K$12)^2)</f>
        <v>46.8</v>
      </c>
      <c r="BF1716" s="330">
        <f t="shared" si="161"/>
        <v>8.459314393</v>
      </c>
      <c r="BG1716" s="333">
        <f t="shared" si="162"/>
        <v>46.8</v>
      </c>
      <c r="BH1716" s="1119"/>
      <c r="BI1716" s="319" t="str">
        <f t="shared" ref="BI1716:BR1716" si="282">IF(ISNUMBER(FIND(BI$3, $CO1716)), "Y", "")</f>
        <v/>
      </c>
      <c r="BJ1716" s="319" t="str">
        <f t="shared" si="282"/>
        <v/>
      </c>
      <c r="BK1716" s="319" t="str">
        <f t="shared" si="282"/>
        <v/>
      </c>
      <c r="BL1716" s="319" t="str">
        <f t="shared" si="282"/>
        <v/>
      </c>
      <c r="BM1716" s="319" t="str">
        <f t="shared" si="282"/>
        <v/>
      </c>
      <c r="BN1716" s="319" t="str">
        <f t="shared" si="282"/>
        <v/>
      </c>
      <c r="BO1716" s="319" t="str">
        <f t="shared" si="282"/>
        <v/>
      </c>
      <c r="BP1716" s="319" t="str">
        <f t="shared" si="282"/>
        <v/>
      </c>
      <c r="BQ1716" s="319" t="str">
        <f t="shared" si="282"/>
        <v/>
      </c>
      <c r="BR1716" s="319" t="str">
        <f t="shared" si="282"/>
        <v/>
      </c>
      <c r="BS1716" s="330">
        <f t="shared" si="185"/>
        <v>0</v>
      </c>
      <c r="BT1716" s="331">
        <f t="shared" si="170"/>
        <v>0</v>
      </c>
      <c r="BU1716" s="920"/>
      <c r="BV1716" s="903" t="str">
        <f t="shared" si="186"/>
        <v/>
      </c>
      <c r="BW1716" s="908"/>
      <c r="BX1716" s="908"/>
      <c r="BY1716" s="331" t="b">
        <f t="shared" si="201"/>
        <v>0</v>
      </c>
      <c r="BZ1716" s="331"/>
      <c r="CA1716" s="462" t="str">
        <f t="shared" ref="CA1716:CJ1716" si="283">IF(ISNUMBER(FIND(BI$3, $CP1716)), "Y", "")</f>
        <v/>
      </c>
      <c r="CB1716" s="319" t="str">
        <f t="shared" si="283"/>
        <v/>
      </c>
      <c r="CC1716" s="319" t="str">
        <f t="shared" si="283"/>
        <v/>
      </c>
      <c r="CD1716" s="319" t="str">
        <f t="shared" si="283"/>
        <v/>
      </c>
      <c r="CE1716" s="319" t="str">
        <f t="shared" si="283"/>
        <v/>
      </c>
      <c r="CF1716" s="319" t="str">
        <f t="shared" si="283"/>
        <v/>
      </c>
      <c r="CG1716" s="319" t="str">
        <f t="shared" si="283"/>
        <v/>
      </c>
      <c r="CH1716" s="319" t="str">
        <f t="shared" si="283"/>
        <v/>
      </c>
      <c r="CI1716" s="319" t="str">
        <f t="shared" si="283"/>
        <v/>
      </c>
      <c r="CJ1716" s="319" t="str">
        <f t="shared" si="283"/>
        <v/>
      </c>
      <c r="CK1716" s="342">
        <f t="shared" si="182"/>
        <v>0</v>
      </c>
      <c r="CL1716" s="333">
        <f t="shared" si="183"/>
        <v>0</v>
      </c>
      <c r="CM1716" s="1079" t="s">
        <v>2473</v>
      </c>
      <c r="CN1716" s="1005" t="s">
        <v>2470</v>
      </c>
      <c r="CO1716" s="1005"/>
      <c r="CP1716" s="1005"/>
    </row>
    <row r="1717">
      <c r="A1717" s="266"/>
      <c r="B1717" s="1113" t="s">
        <v>1537</v>
      </c>
      <c r="C1717" s="1107">
        <v>45460.0</v>
      </c>
      <c r="D1717" s="1113" t="s">
        <v>986</v>
      </c>
      <c r="E1717" s="1108">
        <v>3.0</v>
      </c>
      <c r="F1717" s="112" t="s">
        <v>2474</v>
      </c>
      <c r="G1717" s="1110">
        <v>0.5456597222222223</v>
      </c>
      <c r="H1717" s="1110">
        <v>0.5463541666666667</v>
      </c>
      <c r="I1717" s="1110"/>
      <c r="J1717" s="1111"/>
      <c r="K1717" s="1111">
        <v>0.5777777777777777</v>
      </c>
      <c r="L1717" s="1112">
        <v>0.03125</v>
      </c>
      <c r="M1717" s="1113" t="s">
        <v>166</v>
      </c>
      <c r="N1717" s="110" t="s">
        <v>187</v>
      </c>
      <c r="O1717" s="1115" t="s">
        <v>203</v>
      </c>
      <c r="P1717" s="1115" t="s">
        <v>227</v>
      </c>
      <c r="Q1717" s="1116"/>
      <c r="R1717" s="120">
        <v>15.5</v>
      </c>
      <c r="S1717" s="1113">
        <v>3.4</v>
      </c>
      <c r="T1717" s="110">
        <v>1.4</v>
      </c>
      <c r="U1717" s="1108"/>
      <c r="V1717" s="1108"/>
      <c r="W1717" s="1108"/>
      <c r="X1717" s="1108"/>
      <c r="Y1717" s="1108"/>
      <c r="Z1717" s="1114" t="s">
        <v>357</v>
      </c>
      <c r="AA1717" s="1114"/>
      <c r="AB1717" s="1114" t="s">
        <v>384</v>
      </c>
      <c r="AC1717" s="1117">
        <v>6.0</v>
      </c>
      <c r="AD1717" s="1115"/>
      <c r="AE1717" s="1115"/>
      <c r="AF1717" s="1115"/>
      <c r="AG1717" s="1115"/>
      <c r="AH1717" s="1115"/>
      <c r="AI1717" s="1115"/>
      <c r="AJ1717" s="1117"/>
      <c r="AK1717" s="1118"/>
      <c r="AL1717" s="1115"/>
      <c r="AM1717" s="1115"/>
      <c r="AN1717" s="1115"/>
      <c r="AO1717" s="1115"/>
      <c r="AP1717" s="1115"/>
      <c r="AQ1717" s="1115"/>
      <c r="AR1717" s="1115"/>
      <c r="AS1717" s="1117"/>
      <c r="AT1717" s="1196"/>
      <c r="AU1717" s="1193"/>
      <c r="AV1717" s="330">
        <f>SQRT(($R1717-Infrastructure!J$3)^2+($S1717-Infrastructure!K$3)^2)</f>
        <v>29.99816661</v>
      </c>
      <c r="AW1717" s="331">
        <f>SQRT(($R1717-Infrastructure!J$4)^2+($S1717-Infrastructure!K$4)^2)</f>
        <v>21.37755833</v>
      </c>
      <c r="AX1717" s="331">
        <f>SQRT(($R1717-Infrastructure!J$5)^2+($S1717-Infrastructure!K$5)^2)</f>
        <v>15.89119253</v>
      </c>
      <c r="AY1717" s="331">
        <f>SQRT(($R1717-Infrastructure!J$6)^2+($S1717-Infrastructure!K$6)^2)</f>
        <v>6.22655603</v>
      </c>
      <c r="AZ1717" s="331">
        <f>SQRT(($R1717-Infrastructure!J$7)^2+($S1717-Infrastructure!K$7)^2)</f>
        <v>5.883026432</v>
      </c>
      <c r="BA1717" s="331">
        <f>SQRT(($R1717-Infrastructure!J$8)^2+($S1717-Infrastructure!K$8)^2)</f>
        <v>14.92548157</v>
      </c>
      <c r="BB1717" s="331">
        <f>SQRT(($R1717-Infrastructure!J$9)^2+($S1717-Infrastructure!K$9)^2)</f>
        <v>24.55890877</v>
      </c>
      <c r="BC1717" s="331">
        <f>SQRT(($R1717-Infrastructure!J$10)^2+($S1717-Infrastructure!K$10)^2)</f>
        <v>27.10737907</v>
      </c>
      <c r="BD1717" s="331">
        <f>SQRT(($R1717-Infrastructure!J$11)^2+($S1717-Infrastructure!K$11)^2)</f>
        <v>35.57316404</v>
      </c>
      <c r="BE1717" s="333">
        <f>SQRT(($R1717-Infrastructure!J$12)^2+($S1717-Infrastructure!K$12)^2)</f>
        <v>52.44435146</v>
      </c>
      <c r="BF1717" s="330">
        <f t="shared" si="161"/>
        <v>5.883026432</v>
      </c>
      <c r="BG1717" s="333">
        <f t="shared" si="162"/>
        <v>52.44435146</v>
      </c>
      <c r="BH1717" s="1119"/>
      <c r="BI1717" s="319" t="str">
        <f t="shared" ref="BI1717:BR1717" si="284">IF(ISNUMBER(FIND(BI$3, $CO1717)), "Y", "")</f>
        <v>Y</v>
      </c>
      <c r="BJ1717" s="319" t="str">
        <f t="shared" si="284"/>
        <v>Y</v>
      </c>
      <c r="BK1717" s="319" t="str">
        <f t="shared" si="284"/>
        <v>Y</v>
      </c>
      <c r="BL1717" s="319" t="str">
        <f t="shared" si="284"/>
        <v>Y</v>
      </c>
      <c r="BM1717" s="319" t="str">
        <f t="shared" si="284"/>
        <v>Y</v>
      </c>
      <c r="BN1717" s="319" t="str">
        <f t="shared" si="284"/>
        <v>Y</v>
      </c>
      <c r="BO1717" s="319" t="str">
        <f t="shared" si="284"/>
        <v>Y</v>
      </c>
      <c r="BP1717" s="319" t="str">
        <f t="shared" si="284"/>
        <v>Y</v>
      </c>
      <c r="BQ1717" s="319" t="str">
        <f t="shared" si="284"/>
        <v>Y</v>
      </c>
      <c r="BR1717" s="319" t="str">
        <f t="shared" si="284"/>
        <v>Y</v>
      </c>
      <c r="BS1717" s="330">
        <f t="shared" si="185"/>
        <v>5.883026432</v>
      </c>
      <c r="BT1717" s="331">
        <f t="shared" si="170"/>
        <v>52.44435146</v>
      </c>
      <c r="BU1717" s="920">
        <v>0.5462152777777778</v>
      </c>
      <c r="BV1717" s="903">
        <f t="shared" si="186"/>
        <v>0.0005555555556</v>
      </c>
      <c r="BW1717" s="908">
        <v>10.5</v>
      </c>
      <c r="BX1717" s="908">
        <v>13.0</v>
      </c>
      <c r="BY1717" s="331">
        <f t="shared" si="201"/>
        <v>10.8240473</v>
      </c>
      <c r="BZ1717" s="331"/>
      <c r="CA1717" s="462" t="str">
        <f t="shared" ref="CA1717:CJ1717" si="285">IF(ISNUMBER(FIND(BI$3, $CP1717)), "Y", "")</f>
        <v>Y</v>
      </c>
      <c r="CB1717" s="319" t="str">
        <f t="shared" si="285"/>
        <v>Y</v>
      </c>
      <c r="CC1717" s="319" t="str">
        <f t="shared" si="285"/>
        <v>Y</v>
      </c>
      <c r="CD1717" s="319" t="str">
        <f t="shared" si="285"/>
        <v>Y</v>
      </c>
      <c r="CE1717" s="319" t="str">
        <f t="shared" si="285"/>
        <v>Y</v>
      </c>
      <c r="CF1717" s="319" t="str">
        <f t="shared" si="285"/>
        <v>Y</v>
      </c>
      <c r="CG1717" s="319" t="str">
        <f t="shared" si="285"/>
        <v>Y</v>
      </c>
      <c r="CH1717" s="319" t="str">
        <f t="shared" si="285"/>
        <v>Y</v>
      </c>
      <c r="CI1717" s="319" t="str">
        <f t="shared" si="285"/>
        <v>Y</v>
      </c>
      <c r="CJ1717" s="319" t="str">
        <f t="shared" si="285"/>
        <v>Y</v>
      </c>
      <c r="CK1717" s="342">
        <f t="shared" si="182"/>
        <v>5.883026432</v>
      </c>
      <c r="CL1717" s="333">
        <f t="shared" si="183"/>
        <v>52.44435146</v>
      </c>
      <c r="CM1717" s="1079" t="s">
        <v>2469</v>
      </c>
      <c r="CN1717" s="1005" t="s">
        <v>2475</v>
      </c>
      <c r="CO1717" s="1005" t="s">
        <v>2476</v>
      </c>
      <c r="CP1717" s="1005" t="s">
        <v>2365</v>
      </c>
    </row>
    <row r="1718">
      <c r="A1718" s="266"/>
      <c r="B1718" s="1113" t="s">
        <v>1537</v>
      </c>
      <c r="C1718" s="1107">
        <v>45460.0</v>
      </c>
      <c r="D1718" s="1113" t="s">
        <v>986</v>
      </c>
      <c r="E1718" s="1108">
        <v>4.0</v>
      </c>
      <c r="F1718" s="112" t="s">
        <v>2477</v>
      </c>
      <c r="G1718" s="1110">
        <v>0.5833333333333334</v>
      </c>
      <c r="H1718" s="1110">
        <v>0.5836805555555555</v>
      </c>
      <c r="I1718" s="1110"/>
      <c r="J1718" s="1111"/>
      <c r="K1718" s="1111">
        <v>0.6170138888888889</v>
      </c>
      <c r="L1718" s="1112">
        <v>0.03333333333333333</v>
      </c>
      <c r="M1718" s="1113" t="s">
        <v>166</v>
      </c>
      <c r="N1718" s="110" t="s">
        <v>188</v>
      </c>
      <c r="O1718" s="1115" t="s">
        <v>378</v>
      </c>
      <c r="P1718" s="1115" t="s">
        <v>225</v>
      </c>
      <c r="Q1718" s="1115" t="s">
        <v>842</v>
      </c>
      <c r="R1718" s="120">
        <v>22.7</v>
      </c>
      <c r="S1718" s="1113">
        <v>39.7</v>
      </c>
      <c r="T1718" s="110">
        <v>1.1</v>
      </c>
      <c r="U1718" s="1108"/>
      <c r="V1718" s="1108"/>
      <c r="W1718" s="1108"/>
      <c r="X1718" s="1108"/>
      <c r="Y1718" s="1108"/>
      <c r="Z1718" s="1114" t="s">
        <v>1140</v>
      </c>
      <c r="AA1718" s="1114"/>
      <c r="AB1718" s="1114" t="s">
        <v>403</v>
      </c>
      <c r="AC1718" s="1117">
        <v>8.0</v>
      </c>
      <c r="AD1718" s="1115"/>
      <c r="AE1718" s="1115"/>
      <c r="AF1718" s="1115"/>
      <c r="AG1718" s="1115"/>
      <c r="AH1718" s="1115"/>
      <c r="AI1718" s="1115"/>
      <c r="AJ1718" s="1117"/>
      <c r="AK1718" s="1118"/>
      <c r="AL1718" s="1115"/>
      <c r="AM1718" s="1115"/>
      <c r="AN1718" s="1115"/>
      <c r="AO1718" s="1115"/>
      <c r="AP1718" s="1115"/>
      <c r="AQ1718" s="1115"/>
      <c r="AR1718" s="1115"/>
      <c r="AS1718" s="1117"/>
      <c r="AT1718" s="1196"/>
      <c r="AU1718" s="1193"/>
      <c r="AV1718" s="330">
        <f>SQRT(($R1718-Infrastructure!J$3)^2+($S1718-Infrastructure!K$3)^2)</f>
        <v>25.40944706</v>
      </c>
      <c r="AW1718" s="331">
        <f>SQRT(($R1718-Infrastructure!J$4)^2+($S1718-Infrastructure!K$4)^2)</f>
        <v>31.75862088</v>
      </c>
      <c r="AX1718" s="331">
        <f>SQRT(($R1718-Infrastructure!J$5)^2+($S1718-Infrastructure!K$5)^2)</f>
        <v>41.54708173</v>
      </c>
      <c r="AY1718" s="331">
        <f>SQRT(($R1718-Infrastructure!J$6)^2+($S1718-Infrastructure!K$6)^2)</f>
        <v>41.36568626</v>
      </c>
      <c r="AZ1718" s="331">
        <f>SQRT(($R1718-Infrastructure!J$7)^2+($S1718-Infrastructure!K$7)^2)</f>
        <v>39.46137352</v>
      </c>
      <c r="BA1718" s="331">
        <f>SQRT(($R1718-Infrastructure!J$8)^2+($S1718-Infrastructure!K$8)^2)</f>
        <v>40.08890121</v>
      </c>
      <c r="BB1718" s="331">
        <f>SQRT(($R1718-Infrastructure!J$9)^2+($S1718-Infrastructure!K$9)^2)</f>
        <v>38.68397601</v>
      </c>
      <c r="BC1718" s="331">
        <f>SQRT(($R1718-Infrastructure!J$10)^2+($S1718-Infrastructure!K$10)^2)</f>
        <v>30.15592811</v>
      </c>
      <c r="BD1718" s="331">
        <f>SQRT(($R1718-Infrastructure!J$11)^2+($S1718-Infrastructure!K$11)^2)</f>
        <v>20.51194774</v>
      </c>
      <c r="BE1718" s="333">
        <f>SQRT(($R1718-Infrastructure!J$12)^2+($S1718-Infrastructure!K$12)^2)</f>
        <v>15.84550409</v>
      </c>
      <c r="BF1718" s="330">
        <f t="shared" si="161"/>
        <v>15.84550409</v>
      </c>
      <c r="BG1718" s="333">
        <f t="shared" si="162"/>
        <v>41.54708173</v>
      </c>
      <c r="BH1718" s="1119"/>
      <c r="BI1718" s="319" t="str">
        <f t="shared" ref="BI1718:BR1718" si="286">IF(ISNUMBER(FIND(BI$3, $CO1718)), "Y", "")</f>
        <v/>
      </c>
      <c r="BJ1718" s="319" t="str">
        <f t="shared" si="286"/>
        <v/>
      </c>
      <c r="BK1718" s="319" t="str">
        <f t="shared" si="286"/>
        <v/>
      </c>
      <c r="BL1718" s="319" t="str">
        <f t="shared" si="286"/>
        <v/>
      </c>
      <c r="BM1718" s="319" t="str">
        <f t="shared" si="286"/>
        <v/>
      </c>
      <c r="BN1718" s="319" t="str">
        <f t="shared" si="286"/>
        <v/>
      </c>
      <c r="BO1718" s="319" t="str">
        <f t="shared" si="286"/>
        <v/>
      </c>
      <c r="BP1718" s="319" t="str">
        <f t="shared" si="286"/>
        <v/>
      </c>
      <c r="BQ1718" s="319" t="str">
        <f t="shared" si="286"/>
        <v/>
      </c>
      <c r="BR1718" s="319" t="str">
        <f t="shared" si="286"/>
        <v/>
      </c>
      <c r="BS1718" s="330">
        <f t="shared" si="185"/>
        <v>0</v>
      </c>
      <c r="BT1718" s="331">
        <f t="shared" si="170"/>
        <v>0</v>
      </c>
      <c r="BU1718" s="920"/>
      <c r="BV1718" s="903" t="str">
        <f t="shared" si="186"/>
        <v/>
      </c>
      <c r="BW1718" s="908"/>
      <c r="BX1718" s="908"/>
      <c r="BY1718" s="331" t="b">
        <f t="shared" si="201"/>
        <v>0</v>
      </c>
      <c r="BZ1718" s="331"/>
      <c r="CA1718" s="462" t="str">
        <f t="shared" ref="CA1718:CJ1718" si="287">IF(ISNUMBER(FIND(BI$3, $CP1718)), "Y", "")</f>
        <v/>
      </c>
      <c r="CB1718" s="319" t="str">
        <f t="shared" si="287"/>
        <v/>
      </c>
      <c r="CC1718" s="319" t="str">
        <f t="shared" si="287"/>
        <v/>
      </c>
      <c r="CD1718" s="319" t="str">
        <f t="shared" si="287"/>
        <v/>
      </c>
      <c r="CE1718" s="319" t="str">
        <f t="shared" si="287"/>
        <v/>
      </c>
      <c r="CF1718" s="319" t="str">
        <f t="shared" si="287"/>
        <v/>
      </c>
      <c r="CG1718" s="319" t="str">
        <f t="shared" si="287"/>
        <v/>
      </c>
      <c r="CH1718" s="319" t="str">
        <f t="shared" si="287"/>
        <v/>
      </c>
      <c r="CI1718" s="319" t="str">
        <f t="shared" si="287"/>
        <v/>
      </c>
      <c r="CJ1718" s="319" t="str">
        <f t="shared" si="287"/>
        <v/>
      </c>
      <c r="CK1718" s="342">
        <f t="shared" si="182"/>
        <v>0</v>
      </c>
      <c r="CL1718" s="333">
        <f t="shared" si="183"/>
        <v>0</v>
      </c>
      <c r="CM1718" s="1079" t="s">
        <v>2473</v>
      </c>
      <c r="CN1718" s="1005" t="s">
        <v>2475</v>
      </c>
      <c r="CO1718" s="1005"/>
      <c r="CP1718" s="1005"/>
    </row>
    <row r="1719">
      <c r="A1719" s="266"/>
      <c r="B1719" s="1113" t="s">
        <v>1537</v>
      </c>
      <c r="C1719" s="1107">
        <v>45460.0</v>
      </c>
      <c r="D1719" s="1113" t="s">
        <v>986</v>
      </c>
      <c r="E1719" s="1108">
        <v>5.0</v>
      </c>
      <c r="F1719" s="112" t="s">
        <v>2478</v>
      </c>
      <c r="G1719" s="1110">
        <v>0.625</v>
      </c>
      <c r="H1719" s="1110">
        <v>0.6253472222222223</v>
      </c>
      <c r="I1719" s="1110"/>
      <c r="J1719" s="1111"/>
      <c r="K1719" s="1111">
        <v>0.6569444444444444</v>
      </c>
      <c r="L1719" s="1112">
        <v>0.03125</v>
      </c>
      <c r="M1719" s="1113" t="s">
        <v>166</v>
      </c>
      <c r="N1719" s="110" t="s">
        <v>187</v>
      </c>
      <c r="O1719" s="1115" t="s">
        <v>207</v>
      </c>
      <c r="P1719" s="1115" t="s">
        <v>221</v>
      </c>
      <c r="Q1719" s="1116"/>
      <c r="R1719" s="120">
        <v>26.1</v>
      </c>
      <c r="S1719" s="1113">
        <v>14.3</v>
      </c>
      <c r="T1719" s="110">
        <v>1.5</v>
      </c>
      <c r="U1719" s="1108"/>
      <c r="V1719" s="1108"/>
      <c r="W1719" s="1108"/>
      <c r="X1719" s="1108"/>
      <c r="Y1719" s="1108"/>
      <c r="Z1719" s="1114" t="s">
        <v>374</v>
      </c>
      <c r="AA1719" s="1114"/>
      <c r="AB1719" s="1114" t="s">
        <v>380</v>
      </c>
      <c r="AC1719" s="1117">
        <v>4.0</v>
      </c>
      <c r="AD1719" s="1115"/>
      <c r="AE1719" s="1115"/>
      <c r="AF1719" s="1115"/>
      <c r="AG1719" s="1115"/>
      <c r="AH1719" s="1115"/>
      <c r="AI1719" s="1115"/>
      <c r="AJ1719" s="1117"/>
      <c r="AK1719" s="1118"/>
      <c r="AL1719" s="1115"/>
      <c r="AM1719" s="1115"/>
      <c r="AN1719" s="1115"/>
      <c r="AO1719" s="1115"/>
      <c r="AP1719" s="1115"/>
      <c r="AQ1719" s="1115"/>
      <c r="AR1719" s="1115"/>
      <c r="AS1719" s="1117"/>
      <c r="AT1719" s="1196"/>
      <c r="AU1719" s="1193"/>
      <c r="AV1719" s="330">
        <f>SQRT(($R1719-Infrastructure!J$3)^2+($S1719-Infrastructure!K$3)^2)</f>
        <v>30.16819517</v>
      </c>
      <c r="AW1719" s="331">
        <f>SQRT(($R1719-Infrastructure!J$4)^2+($S1719-Infrastructure!K$4)^2)</f>
        <v>26.63099698</v>
      </c>
      <c r="AX1719" s="331">
        <f>SQRT(($R1719-Infrastructure!J$5)^2+($S1719-Infrastructure!K$5)^2)</f>
        <v>27.95711001</v>
      </c>
      <c r="AY1719" s="331">
        <f>SQRT(($R1719-Infrastructure!J$6)^2+($S1719-Infrastructure!K$6)^2)</f>
        <v>21.26029163</v>
      </c>
      <c r="AZ1719" s="331">
        <f>SQRT(($R1719-Infrastructure!J$7)^2+($S1719-Infrastructure!K$7)^2)</f>
        <v>15.07846146</v>
      </c>
      <c r="BA1719" s="331">
        <f>SQRT(($R1719-Infrastructure!J$8)^2+($S1719-Infrastructure!K$8)^2)</f>
        <v>14.56021978</v>
      </c>
      <c r="BB1719" s="331">
        <f>SQRT(($R1719-Infrastructure!J$9)^2+($S1719-Infrastructure!K$9)^2)</f>
        <v>16.66883319</v>
      </c>
      <c r="BC1719" s="331">
        <f>SQRT(($R1719-Infrastructure!J$10)^2+($S1719-Infrastructure!K$10)^2)</f>
        <v>13.91761474</v>
      </c>
      <c r="BD1719" s="331">
        <f>SQRT(($R1719-Infrastructure!J$11)^2+($S1719-Infrastructure!K$11)^2)</f>
        <v>20.36909424</v>
      </c>
      <c r="BE1719" s="333">
        <f>SQRT(($R1719-Infrastructure!J$12)^2+($S1719-Infrastructure!K$12)^2)</f>
        <v>41.45600077</v>
      </c>
      <c r="BF1719" s="330">
        <f t="shared" si="161"/>
        <v>13.91761474</v>
      </c>
      <c r="BG1719" s="333">
        <f t="shared" si="162"/>
        <v>41.45600077</v>
      </c>
      <c r="BH1719" s="1119"/>
      <c r="BI1719" s="319" t="str">
        <f t="shared" ref="BI1719:BR1719" si="288">IF(ISNUMBER(FIND(BI$3, $CO1719)), "Y", "")</f>
        <v/>
      </c>
      <c r="BJ1719" s="319" t="str">
        <f t="shared" si="288"/>
        <v/>
      </c>
      <c r="BK1719" s="319" t="str">
        <f t="shared" si="288"/>
        <v/>
      </c>
      <c r="BL1719" s="319" t="str">
        <f t="shared" si="288"/>
        <v/>
      </c>
      <c r="BM1719" s="319" t="str">
        <f t="shared" si="288"/>
        <v/>
      </c>
      <c r="BN1719" s="319" t="str">
        <f t="shared" si="288"/>
        <v/>
      </c>
      <c r="BO1719" s="319" t="str">
        <f t="shared" si="288"/>
        <v/>
      </c>
      <c r="BP1719" s="319" t="str">
        <f t="shared" si="288"/>
        <v/>
      </c>
      <c r="BQ1719" s="319" t="str">
        <f t="shared" si="288"/>
        <v/>
      </c>
      <c r="BR1719" s="319" t="str">
        <f t="shared" si="288"/>
        <v/>
      </c>
      <c r="BS1719" s="330">
        <f t="shared" si="185"/>
        <v>0</v>
      </c>
      <c r="BT1719" s="331">
        <f t="shared" si="170"/>
        <v>0</v>
      </c>
      <c r="BU1719" s="920"/>
      <c r="BV1719" s="903" t="str">
        <f t="shared" si="186"/>
        <v/>
      </c>
      <c r="BW1719" s="908"/>
      <c r="BX1719" s="908"/>
      <c r="BY1719" s="331" t="b">
        <f t="shared" si="201"/>
        <v>0</v>
      </c>
      <c r="BZ1719" s="331"/>
      <c r="CA1719" s="462" t="str">
        <f t="shared" ref="CA1719:CJ1719" si="289">IF(ISNUMBER(FIND(BI$3, $CP1719)), "Y", "")</f>
        <v/>
      </c>
      <c r="CB1719" s="319" t="str">
        <f t="shared" si="289"/>
        <v/>
      </c>
      <c r="CC1719" s="319" t="str">
        <f t="shared" si="289"/>
        <v/>
      </c>
      <c r="CD1719" s="319" t="str">
        <f t="shared" si="289"/>
        <v/>
      </c>
      <c r="CE1719" s="319" t="str">
        <f t="shared" si="289"/>
        <v/>
      </c>
      <c r="CF1719" s="319" t="str">
        <f t="shared" si="289"/>
        <v/>
      </c>
      <c r="CG1719" s="319" t="str">
        <f t="shared" si="289"/>
        <v/>
      </c>
      <c r="CH1719" s="319" t="str">
        <f t="shared" si="289"/>
        <v/>
      </c>
      <c r="CI1719" s="319" t="str">
        <f t="shared" si="289"/>
        <v/>
      </c>
      <c r="CJ1719" s="319" t="str">
        <f t="shared" si="289"/>
        <v/>
      </c>
      <c r="CK1719" s="342">
        <f t="shared" si="182"/>
        <v>0</v>
      </c>
      <c r="CL1719" s="333">
        <f t="shared" si="183"/>
        <v>0</v>
      </c>
      <c r="CM1719" s="1079" t="s">
        <v>2479</v>
      </c>
      <c r="CN1719" s="1005" t="s">
        <v>2475</v>
      </c>
      <c r="CO1719" s="1005"/>
      <c r="CP1719" s="1005"/>
    </row>
    <row r="1720">
      <c r="A1720" s="266"/>
      <c r="B1720" s="1113" t="s">
        <v>1537</v>
      </c>
      <c r="C1720" s="1107">
        <v>45460.0</v>
      </c>
      <c r="D1720" s="1113" t="s">
        <v>986</v>
      </c>
      <c r="E1720" s="1108">
        <v>6.0</v>
      </c>
      <c r="F1720" s="112" t="s">
        <v>2480</v>
      </c>
      <c r="G1720" s="1110">
        <v>0.6666666666666666</v>
      </c>
      <c r="H1720" s="1110">
        <v>0.6680555555555555</v>
      </c>
      <c r="I1720" s="1110"/>
      <c r="J1720" s="1111"/>
      <c r="K1720" s="1111">
        <v>0.6996527777777778</v>
      </c>
      <c r="L1720" s="1112">
        <v>0.03125</v>
      </c>
      <c r="M1720" s="1113" t="s">
        <v>166</v>
      </c>
      <c r="N1720" s="110" t="s">
        <v>187</v>
      </c>
      <c r="O1720" s="1115" t="s">
        <v>198</v>
      </c>
      <c r="P1720" s="1115" t="s">
        <v>218</v>
      </c>
      <c r="Q1720" s="1116"/>
      <c r="R1720" s="120">
        <v>10.3</v>
      </c>
      <c r="S1720" s="1113">
        <v>8.1</v>
      </c>
      <c r="T1720" s="110">
        <v>3.0</v>
      </c>
      <c r="U1720" s="1108"/>
      <c r="V1720" s="1108"/>
      <c r="W1720" s="1108"/>
      <c r="X1720" s="1108"/>
      <c r="Y1720" s="1108"/>
      <c r="Z1720" s="1114" t="s">
        <v>343</v>
      </c>
      <c r="AA1720" s="1114"/>
      <c r="AB1720" s="1114" t="s">
        <v>392</v>
      </c>
      <c r="AC1720" s="1117">
        <v>10.0</v>
      </c>
      <c r="AD1720" s="1115"/>
      <c r="AE1720" s="1115"/>
      <c r="AF1720" s="1115"/>
      <c r="AG1720" s="1115"/>
      <c r="AH1720" s="1115"/>
      <c r="AI1720" s="1115"/>
      <c r="AJ1720" s="1117"/>
      <c r="AK1720" s="1118"/>
      <c r="AL1720" s="1115"/>
      <c r="AM1720" s="1115"/>
      <c r="AN1720" s="1115"/>
      <c r="AO1720" s="1115"/>
      <c r="AP1720" s="1115"/>
      <c r="AQ1720" s="1115"/>
      <c r="AR1720" s="1115"/>
      <c r="AS1720" s="1117"/>
      <c r="AT1720" s="1196"/>
      <c r="AU1720" s="1193"/>
      <c r="AV1720" s="330">
        <f>SQRT(($R1720-Infrastructure!J$3)^2+($S1720-Infrastructure!K$3)^2)</f>
        <v>23.34523506</v>
      </c>
      <c r="AW1720" s="331">
        <f>SQRT(($R1720-Infrastructure!J$4)^2+($S1720-Infrastructure!K$4)^2)</f>
        <v>14.36836804</v>
      </c>
      <c r="AX1720" s="331">
        <f>SQRT(($R1720-Infrastructure!J$5)^2+($S1720-Infrastructure!K$5)^2)</f>
        <v>11.01635148</v>
      </c>
      <c r="AY1720" s="331">
        <f>SQRT(($R1720-Infrastructure!J$6)^2+($S1720-Infrastructure!K$6)^2)</f>
        <v>7.802563681</v>
      </c>
      <c r="AZ1720" s="331">
        <f>SQRT(($R1720-Infrastructure!J$7)^2+($S1720-Infrastructure!K$7)^2)</f>
        <v>12.84056074</v>
      </c>
      <c r="BA1720" s="331">
        <f>SQRT(($R1720-Infrastructure!J$8)^2+($S1720-Infrastructure!K$8)^2)</f>
        <v>21.28097742</v>
      </c>
      <c r="BB1720" s="331">
        <f>SQRT(($R1720-Infrastructure!J$9)^2+($S1720-Infrastructure!K$9)^2)</f>
        <v>29.85113063</v>
      </c>
      <c r="BC1720" s="331">
        <f>SQRT(($R1720-Infrastructure!J$10)^2+($S1720-Infrastructure!K$10)^2)</f>
        <v>30.49098227</v>
      </c>
      <c r="BD1720" s="331">
        <f>SQRT(($R1720-Infrastructure!J$11)^2+($S1720-Infrastructure!K$11)^2)</f>
        <v>36.4804057</v>
      </c>
      <c r="BE1720" s="333">
        <f>SQRT(($R1720-Infrastructure!J$12)^2+($S1720-Infrastructure!K$12)^2)</f>
        <v>48.70523586</v>
      </c>
      <c r="BF1720" s="330">
        <f t="shared" si="161"/>
        <v>7.802563681</v>
      </c>
      <c r="BG1720" s="333">
        <f t="shared" si="162"/>
        <v>48.70523586</v>
      </c>
      <c r="BH1720" s="1119"/>
      <c r="BI1720" s="319" t="str">
        <f t="shared" ref="BI1720:BR1720" si="290">IF(ISNUMBER(FIND(BI$3, $CO1720)), "Y", "")</f>
        <v>Y</v>
      </c>
      <c r="BJ1720" s="319" t="str">
        <f t="shared" si="290"/>
        <v/>
      </c>
      <c r="BK1720" s="319" t="str">
        <f t="shared" si="290"/>
        <v>Y</v>
      </c>
      <c r="BL1720" s="319" t="str">
        <f t="shared" si="290"/>
        <v>Y</v>
      </c>
      <c r="BM1720" s="319" t="str">
        <f t="shared" si="290"/>
        <v>Y</v>
      </c>
      <c r="BN1720" s="319" t="str">
        <f t="shared" si="290"/>
        <v>Y</v>
      </c>
      <c r="BO1720" s="319" t="str">
        <f t="shared" si="290"/>
        <v/>
      </c>
      <c r="BP1720" s="319" t="str">
        <f t="shared" si="290"/>
        <v/>
      </c>
      <c r="BQ1720" s="319" t="str">
        <f t="shared" si="290"/>
        <v/>
      </c>
      <c r="BR1720" s="319" t="str">
        <f t="shared" si="290"/>
        <v/>
      </c>
      <c r="BS1720" s="330">
        <f t="shared" si="185"/>
        <v>7.802563681</v>
      </c>
      <c r="BT1720" s="331">
        <f t="shared" si="170"/>
        <v>23.34523506</v>
      </c>
      <c r="BU1720" s="920">
        <v>0.6756481481481481</v>
      </c>
      <c r="BV1720" s="903">
        <f t="shared" si="186"/>
        <v>0.008981481481</v>
      </c>
      <c r="BW1720" s="908">
        <v>4.5</v>
      </c>
      <c r="BX1720" s="908">
        <v>22.1</v>
      </c>
      <c r="BY1720" s="331">
        <f t="shared" si="201"/>
        <v>15.15387739</v>
      </c>
      <c r="BZ1720" s="331"/>
      <c r="CA1720" s="462" t="str">
        <f t="shared" ref="CA1720:CJ1720" si="291">IF(ISNUMBER(FIND(BI$3, $CP1720)), "Y", "")</f>
        <v/>
      </c>
      <c r="CB1720" s="319" t="str">
        <f t="shared" si="291"/>
        <v/>
      </c>
      <c r="CC1720" s="319" t="str">
        <f t="shared" si="291"/>
        <v>Y</v>
      </c>
      <c r="CD1720" s="319" t="str">
        <f t="shared" si="291"/>
        <v>Y</v>
      </c>
      <c r="CE1720" s="319" t="str">
        <f t="shared" si="291"/>
        <v>Y</v>
      </c>
      <c r="CF1720" s="319" t="str">
        <f t="shared" si="291"/>
        <v>Y</v>
      </c>
      <c r="CG1720" s="319" t="str">
        <f t="shared" si="291"/>
        <v/>
      </c>
      <c r="CH1720" s="319" t="str">
        <f t="shared" si="291"/>
        <v/>
      </c>
      <c r="CI1720" s="319" t="str">
        <f t="shared" si="291"/>
        <v/>
      </c>
      <c r="CJ1720" s="319" t="str">
        <f t="shared" si="291"/>
        <v>Y</v>
      </c>
      <c r="CK1720" s="342">
        <f t="shared" si="182"/>
        <v>7.802563681</v>
      </c>
      <c r="CL1720" s="333">
        <f t="shared" si="183"/>
        <v>48.70523586</v>
      </c>
      <c r="CM1720" s="1079" t="s">
        <v>2481</v>
      </c>
      <c r="CN1720" s="1005" t="s">
        <v>2475</v>
      </c>
      <c r="CO1720" s="1005" t="s">
        <v>2482</v>
      </c>
      <c r="CP1720" s="1005" t="s">
        <v>2483</v>
      </c>
    </row>
    <row r="1721">
      <c r="A1721" s="1258"/>
      <c r="B1721" s="1129" t="s">
        <v>1537</v>
      </c>
      <c r="C1721" s="1122">
        <v>45460.0</v>
      </c>
      <c r="D1721" s="1129" t="s">
        <v>986</v>
      </c>
      <c r="E1721" s="1124">
        <v>7.0</v>
      </c>
      <c r="F1721" s="108" t="s">
        <v>2484</v>
      </c>
      <c r="G1721" s="1126">
        <v>0.7063078703703703</v>
      </c>
      <c r="H1721" s="1126">
        <v>0.7074652777777778</v>
      </c>
      <c r="I1721" s="1126"/>
      <c r="J1721" s="1127"/>
      <c r="K1721" s="1127">
        <v>0.7420138888888889</v>
      </c>
      <c r="L1721" s="1128">
        <v>0.034027777777777775</v>
      </c>
      <c r="M1721" s="1129" t="s">
        <v>166</v>
      </c>
      <c r="N1721" s="100" t="s">
        <v>188</v>
      </c>
      <c r="O1721" s="1131" t="s">
        <v>378</v>
      </c>
      <c r="P1721" s="1131" t="s">
        <v>225</v>
      </c>
      <c r="Q1721" s="1131" t="s">
        <v>842</v>
      </c>
      <c r="R1721" s="137">
        <v>22.7</v>
      </c>
      <c r="S1721" s="1129">
        <v>39.7</v>
      </c>
      <c r="T1721" s="100">
        <v>1.1</v>
      </c>
      <c r="U1721" s="1124"/>
      <c r="V1721" s="1124"/>
      <c r="W1721" s="1124"/>
      <c r="X1721" s="1124"/>
      <c r="Y1721" s="1124"/>
      <c r="Z1721" s="1130" t="s">
        <v>1140</v>
      </c>
      <c r="AA1721" s="1130"/>
      <c r="AB1721" s="1130" t="s">
        <v>410</v>
      </c>
      <c r="AC1721" s="1133">
        <v>22.1</v>
      </c>
      <c r="AD1721" s="1131"/>
      <c r="AE1721" s="1131"/>
      <c r="AF1721" s="1131"/>
      <c r="AG1721" s="1131"/>
      <c r="AH1721" s="1131"/>
      <c r="AI1721" s="1131"/>
      <c r="AJ1721" s="1133"/>
      <c r="AK1721" s="1134"/>
      <c r="AL1721" s="1131"/>
      <c r="AM1721" s="1131"/>
      <c r="AN1721" s="1131"/>
      <c r="AO1721" s="1131"/>
      <c r="AP1721" s="1131"/>
      <c r="AQ1721" s="1131"/>
      <c r="AR1721" s="1131"/>
      <c r="AS1721" s="1133"/>
      <c r="AT1721" s="1197"/>
      <c r="AU1721" s="1194"/>
      <c r="AV1721" s="662">
        <f>SQRT(($R1721-Infrastructure!J$3)^2+($S1721-Infrastructure!K$3)^2)</f>
        <v>25.40944706</v>
      </c>
      <c r="AW1721" s="641">
        <f>SQRT(($R1721-Infrastructure!J$4)^2+($S1721-Infrastructure!K$4)^2)</f>
        <v>31.75862088</v>
      </c>
      <c r="AX1721" s="641">
        <f>SQRT(($R1721-Infrastructure!J$5)^2+($S1721-Infrastructure!K$5)^2)</f>
        <v>41.54708173</v>
      </c>
      <c r="AY1721" s="641">
        <f>SQRT(($R1721-Infrastructure!J$6)^2+($S1721-Infrastructure!K$6)^2)</f>
        <v>41.36568626</v>
      </c>
      <c r="AZ1721" s="641">
        <f>SQRT(($R1721-Infrastructure!J$7)^2+($S1721-Infrastructure!K$7)^2)</f>
        <v>39.46137352</v>
      </c>
      <c r="BA1721" s="641">
        <f>SQRT(($R1721-Infrastructure!J$8)^2+($S1721-Infrastructure!K$8)^2)</f>
        <v>40.08890121</v>
      </c>
      <c r="BB1721" s="641">
        <f>SQRT(($R1721-Infrastructure!J$9)^2+($S1721-Infrastructure!K$9)^2)</f>
        <v>38.68397601</v>
      </c>
      <c r="BC1721" s="641">
        <f>SQRT(($R1721-Infrastructure!J$10)^2+($S1721-Infrastructure!K$10)^2)</f>
        <v>30.15592811</v>
      </c>
      <c r="BD1721" s="641">
        <f>SQRT(($R1721-Infrastructure!J$11)^2+($S1721-Infrastructure!K$11)^2)</f>
        <v>20.51194774</v>
      </c>
      <c r="BE1721" s="642">
        <f>SQRT(($R1721-Infrastructure!J$12)^2+($S1721-Infrastructure!K$12)^2)</f>
        <v>15.84550409</v>
      </c>
      <c r="BF1721" s="662">
        <f t="shared" si="161"/>
        <v>15.84550409</v>
      </c>
      <c r="BG1721" s="642">
        <f t="shared" si="162"/>
        <v>41.54708173</v>
      </c>
      <c r="BH1721" s="1135"/>
      <c r="BI1721" s="663" t="str">
        <f t="shared" ref="BI1721:BR1721" si="292">IF(ISNUMBER(FIND(BI$3, $CO1721)), "Y", "")</f>
        <v>Y</v>
      </c>
      <c r="BJ1721" s="663" t="str">
        <f t="shared" si="292"/>
        <v/>
      </c>
      <c r="BK1721" s="663" t="str">
        <f t="shared" si="292"/>
        <v>Y</v>
      </c>
      <c r="BL1721" s="663" t="str">
        <f t="shared" si="292"/>
        <v>Y</v>
      </c>
      <c r="BM1721" s="663" t="str">
        <f t="shared" si="292"/>
        <v>Y</v>
      </c>
      <c r="BN1721" s="663" t="str">
        <f t="shared" si="292"/>
        <v>Y</v>
      </c>
      <c r="BO1721" s="663" t="str">
        <f t="shared" si="292"/>
        <v>Y</v>
      </c>
      <c r="BP1721" s="663" t="str">
        <f t="shared" si="292"/>
        <v/>
      </c>
      <c r="BQ1721" s="663" t="str">
        <f t="shared" si="292"/>
        <v>Y</v>
      </c>
      <c r="BR1721" s="663" t="str">
        <f t="shared" si="292"/>
        <v>Y</v>
      </c>
      <c r="BS1721" s="662">
        <f t="shared" si="185"/>
        <v>15.84550409</v>
      </c>
      <c r="BT1721" s="641">
        <f t="shared" si="170"/>
        <v>41.54708173</v>
      </c>
      <c r="BU1721" s="937">
        <v>0.7068634259259259</v>
      </c>
      <c r="BV1721" s="930">
        <f t="shared" si="186"/>
        <v>0.0005555555556</v>
      </c>
      <c r="BW1721" s="939">
        <v>14.9</v>
      </c>
      <c r="BX1721" s="939">
        <v>45.8</v>
      </c>
      <c r="BY1721" s="641">
        <f t="shared" si="201"/>
        <v>9.902019996</v>
      </c>
      <c r="BZ1721" s="641"/>
      <c r="CA1721" s="635" t="str">
        <f t="shared" ref="CA1721:CJ1721" si="293">IF(ISNUMBER(FIND(BI$3, $CP1721)), "Y", "")</f>
        <v>Y</v>
      </c>
      <c r="CB1721" s="663" t="str">
        <f t="shared" si="293"/>
        <v>Y</v>
      </c>
      <c r="CC1721" s="663" t="str">
        <f t="shared" si="293"/>
        <v>Y</v>
      </c>
      <c r="CD1721" s="663" t="str">
        <f t="shared" si="293"/>
        <v>Y</v>
      </c>
      <c r="CE1721" s="663" t="str">
        <f t="shared" si="293"/>
        <v>Y</v>
      </c>
      <c r="CF1721" s="663" t="str">
        <f t="shared" si="293"/>
        <v>Y</v>
      </c>
      <c r="CG1721" s="663" t="str">
        <f t="shared" si="293"/>
        <v>Y</v>
      </c>
      <c r="CH1721" s="663" t="str">
        <f t="shared" si="293"/>
        <v/>
      </c>
      <c r="CI1721" s="663" t="str">
        <f t="shared" si="293"/>
        <v>Y</v>
      </c>
      <c r="CJ1721" s="663" t="str">
        <f t="shared" si="293"/>
        <v>Y</v>
      </c>
      <c r="CK1721" s="743">
        <f t="shared" si="182"/>
        <v>15.84550409</v>
      </c>
      <c r="CL1721" s="642">
        <f t="shared" si="183"/>
        <v>41.54708173</v>
      </c>
      <c r="CM1721" s="1090" t="s">
        <v>2485</v>
      </c>
      <c r="CN1721" s="1036" t="s">
        <v>2475</v>
      </c>
      <c r="CO1721" s="1036" t="s">
        <v>2460</v>
      </c>
      <c r="CP1721" s="1036" t="s">
        <v>2400</v>
      </c>
    </row>
    <row r="1722">
      <c r="A1722" s="1257" t="s">
        <v>99</v>
      </c>
      <c r="B1722" s="1113" t="s">
        <v>1537</v>
      </c>
      <c r="C1722" s="1107">
        <v>45461.0</v>
      </c>
      <c r="D1722" s="1113" t="s">
        <v>986</v>
      </c>
      <c r="E1722" s="1108">
        <v>1.0</v>
      </c>
      <c r="F1722" s="112" t="s">
        <v>2486</v>
      </c>
      <c r="G1722" s="1110">
        <v>0.38055555555555554</v>
      </c>
      <c r="H1722" s="1110">
        <v>0.38125</v>
      </c>
      <c r="I1722" s="1110"/>
      <c r="J1722" s="1111"/>
      <c r="K1722" s="1111">
        <v>0.4125</v>
      </c>
      <c r="L1722" s="1112">
        <v>0.03125</v>
      </c>
      <c r="M1722" s="1113" t="s">
        <v>166</v>
      </c>
      <c r="N1722" s="110" t="s">
        <v>188</v>
      </c>
      <c r="O1722" s="1115" t="s">
        <v>378</v>
      </c>
      <c r="P1722" s="1115" t="s">
        <v>225</v>
      </c>
      <c r="Q1722" s="1115" t="s">
        <v>842</v>
      </c>
      <c r="R1722" s="120">
        <v>22.7</v>
      </c>
      <c r="S1722" s="1113">
        <v>39.7</v>
      </c>
      <c r="T1722" s="110">
        <v>1.1</v>
      </c>
      <c r="U1722" s="1108"/>
      <c r="V1722" s="1108"/>
      <c r="W1722" s="1108"/>
      <c r="X1722" s="1108"/>
      <c r="Y1722" s="1108"/>
      <c r="Z1722" s="1114" t="s">
        <v>1140</v>
      </c>
      <c r="AA1722" s="1114"/>
      <c r="AB1722" s="1114" t="s">
        <v>410</v>
      </c>
      <c r="AC1722" s="1117">
        <v>22.1</v>
      </c>
      <c r="AD1722" s="1115"/>
      <c r="AE1722" s="1115"/>
      <c r="AF1722" s="1115"/>
      <c r="AG1722" s="1115"/>
      <c r="AH1722" s="1115"/>
      <c r="AI1722" s="1115"/>
      <c r="AJ1722" s="1117"/>
      <c r="AK1722" s="1118"/>
      <c r="AL1722" s="1115"/>
      <c r="AM1722" s="1115"/>
      <c r="AN1722" s="1115"/>
      <c r="AO1722" s="1115"/>
      <c r="AP1722" s="1115"/>
      <c r="AQ1722" s="1115"/>
      <c r="AR1722" s="1115"/>
      <c r="AS1722" s="1117"/>
      <c r="AT1722" s="1196"/>
      <c r="AU1722" s="1193"/>
      <c r="AV1722" s="330">
        <f>SQRT(($R1722-Infrastructure!J$3)^2+($S1722-Infrastructure!K$3)^2)</f>
        <v>25.40944706</v>
      </c>
      <c r="AW1722" s="331">
        <f>SQRT(($R1722-Infrastructure!J$4)^2+($S1722-Infrastructure!K$4)^2)</f>
        <v>31.75862088</v>
      </c>
      <c r="AX1722" s="331">
        <f>SQRT(($R1722-Infrastructure!J$5)^2+($S1722-Infrastructure!K$5)^2)</f>
        <v>41.54708173</v>
      </c>
      <c r="AY1722" s="331">
        <f>SQRT(($R1722-Infrastructure!J$6)^2+($S1722-Infrastructure!K$6)^2)</f>
        <v>41.36568626</v>
      </c>
      <c r="AZ1722" s="331">
        <f>SQRT(($R1722-Infrastructure!J$7)^2+($S1722-Infrastructure!K$7)^2)</f>
        <v>39.46137352</v>
      </c>
      <c r="BA1722" s="331">
        <f>SQRT(($R1722-Infrastructure!J$8)^2+($S1722-Infrastructure!K$8)^2)</f>
        <v>40.08890121</v>
      </c>
      <c r="BB1722" s="331">
        <f>SQRT(($R1722-Infrastructure!J$9)^2+($S1722-Infrastructure!K$9)^2)</f>
        <v>38.68397601</v>
      </c>
      <c r="BC1722" s="331">
        <f>SQRT(($R1722-Infrastructure!J$10)^2+($S1722-Infrastructure!K$10)^2)</f>
        <v>30.15592811</v>
      </c>
      <c r="BD1722" s="331">
        <f>SQRT(($R1722-Infrastructure!J$11)^2+($S1722-Infrastructure!K$11)^2)</f>
        <v>20.51194774</v>
      </c>
      <c r="BE1722" s="333">
        <f>SQRT(($R1722-Infrastructure!J$12)^2+($S1722-Infrastructure!K$12)^2)</f>
        <v>15.84550409</v>
      </c>
      <c r="BF1722" s="330">
        <f t="shared" si="161"/>
        <v>15.84550409</v>
      </c>
      <c r="BG1722" s="333">
        <f t="shared" si="162"/>
        <v>41.54708173</v>
      </c>
      <c r="BH1722" s="1119"/>
      <c r="BI1722" s="319" t="str">
        <f t="shared" ref="BI1722:BR1722" si="294">IF(ISNUMBER(FIND(BI$3, $CO1722)), "Y", "")</f>
        <v>Y</v>
      </c>
      <c r="BJ1722" s="319" t="str">
        <f t="shared" si="294"/>
        <v/>
      </c>
      <c r="BK1722" s="319" t="str">
        <f t="shared" si="294"/>
        <v>Y</v>
      </c>
      <c r="BL1722" s="319" t="str">
        <f t="shared" si="294"/>
        <v>Y</v>
      </c>
      <c r="BM1722" s="319" t="str">
        <f t="shared" si="294"/>
        <v>Y</v>
      </c>
      <c r="BN1722" s="319" t="str">
        <f t="shared" si="294"/>
        <v>Y</v>
      </c>
      <c r="BO1722" s="319" t="str">
        <f t="shared" si="294"/>
        <v>Y</v>
      </c>
      <c r="BP1722" s="319" t="str">
        <f t="shared" si="294"/>
        <v/>
      </c>
      <c r="BQ1722" s="319" t="str">
        <f t="shared" si="294"/>
        <v>Y</v>
      </c>
      <c r="BR1722" s="319" t="str">
        <f t="shared" si="294"/>
        <v>Y</v>
      </c>
      <c r="BS1722" s="330">
        <f t="shared" si="185"/>
        <v>15.84550409</v>
      </c>
      <c r="BT1722" s="331">
        <f t="shared" si="170"/>
        <v>41.54708173</v>
      </c>
      <c r="BU1722" s="920">
        <v>0.38462962962962965</v>
      </c>
      <c r="BV1722" s="903">
        <f t="shared" si="186"/>
        <v>0.004074074074</v>
      </c>
      <c r="BW1722" s="908">
        <v>11.4</v>
      </c>
      <c r="BX1722" s="908">
        <v>37.8</v>
      </c>
      <c r="BY1722" s="331">
        <f t="shared" si="201"/>
        <v>11.45862121</v>
      </c>
      <c r="BZ1722" s="331"/>
      <c r="CA1722" s="462" t="str">
        <f t="shared" ref="CA1722:CJ1722" si="295">IF(ISNUMBER(FIND(BI$3, $CP1722)), "Y", "")</f>
        <v>Y</v>
      </c>
      <c r="CB1722" s="319" t="str">
        <f t="shared" si="295"/>
        <v>Y</v>
      </c>
      <c r="CC1722" s="319" t="str">
        <f t="shared" si="295"/>
        <v>Y</v>
      </c>
      <c r="CD1722" s="319" t="str">
        <f t="shared" si="295"/>
        <v>Y</v>
      </c>
      <c r="CE1722" s="319" t="str">
        <f t="shared" si="295"/>
        <v>Y</v>
      </c>
      <c r="CF1722" s="319" t="str">
        <f t="shared" si="295"/>
        <v>Y</v>
      </c>
      <c r="CG1722" s="319" t="str">
        <f t="shared" si="295"/>
        <v>Y</v>
      </c>
      <c r="CH1722" s="319" t="str">
        <f t="shared" si="295"/>
        <v/>
      </c>
      <c r="CI1722" s="319" t="str">
        <f t="shared" si="295"/>
        <v>Y</v>
      </c>
      <c r="CJ1722" s="319" t="str">
        <f t="shared" si="295"/>
        <v>Y</v>
      </c>
      <c r="CK1722" s="342">
        <f t="shared" si="182"/>
        <v>15.84550409</v>
      </c>
      <c r="CL1722" s="333">
        <f t="shared" si="183"/>
        <v>41.54708173</v>
      </c>
      <c r="CM1722" s="1079" t="s">
        <v>2487</v>
      </c>
      <c r="CN1722" s="1005" t="s">
        <v>2488</v>
      </c>
      <c r="CO1722" s="1005" t="s">
        <v>2460</v>
      </c>
      <c r="CP1722" s="1005" t="s">
        <v>2400</v>
      </c>
    </row>
    <row r="1723">
      <c r="A1723" s="266"/>
      <c r="B1723" s="1113" t="s">
        <v>1537</v>
      </c>
      <c r="C1723" s="1107">
        <v>45461.0</v>
      </c>
      <c r="D1723" s="1113" t="s">
        <v>986</v>
      </c>
      <c r="E1723" s="1108">
        <v>2.0</v>
      </c>
      <c r="F1723" s="112" t="s">
        <v>2489</v>
      </c>
      <c r="G1723" s="1110">
        <v>0.42019675925925926</v>
      </c>
      <c r="H1723" s="1110">
        <v>0.42083333333333334</v>
      </c>
      <c r="I1723" s="1110"/>
      <c r="J1723" s="1111"/>
      <c r="K1723" s="1111">
        <v>0.45243055555555556</v>
      </c>
      <c r="L1723" s="1112">
        <v>0.03125</v>
      </c>
      <c r="M1723" s="1113" t="s">
        <v>166</v>
      </c>
      <c r="N1723" s="110" t="s">
        <v>188</v>
      </c>
      <c r="O1723" s="1115" t="s">
        <v>378</v>
      </c>
      <c r="P1723" s="1115" t="s">
        <v>225</v>
      </c>
      <c r="Q1723" s="1115" t="s">
        <v>842</v>
      </c>
      <c r="R1723" s="120">
        <v>22.7</v>
      </c>
      <c r="S1723" s="1113">
        <v>39.7</v>
      </c>
      <c r="T1723" s="110">
        <v>1.1</v>
      </c>
      <c r="U1723" s="1108"/>
      <c r="V1723" s="1108"/>
      <c r="W1723" s="1108"/>
      <c r="X1723" s="1108"/>
      <c r="Y1723" s="1108"/>
      <c r="Z1723" s="1114" t="s">
        <v>1140</v>
      </c>
      <c r="AA1723" s="1114"/>
      <c r="AB1723" s="1114" t="s">
        <v>407</v>
      </c>
      <c r="AC1723" s="1117">
        <v>15.75</v>
      </c>
      <c r="AD1723" s="1115"/>
      <c r="AE1723" s="1115"/>
      <c r="AF1723" s="1115"/>
      <c r="AG1723" s="1115"/>
      <c r="AH1723" s="1115"/>
      <c r="AI1723" s="1115"/>
      <c r="AJ1723" s="1117"/>
      <c r="AK1723" s="1118"/>
      <c r="AL1723" s="1115"/>
      <c r="AM1723" s="1115"/>
      <c r="AN1723" s="1115"/>
      <c r="AO1723" s="1115"/>
      <c r="AP1723" s="1115"/>
      <c r="AQ1723" s="1115"/>
      <c r="AR1723" s="1115"/>
      <c r="AS1723" s="1117"/>
      <c r="AT1723" s="1196"/>
      <c r="AU1723" s="1193"/>
      <c r="AV1723" s="330">
        <f>SQRT(($R1723-Infrastructure!J$3)^2+($S1723-Infrastructure!K$3)^2)</f>
        <v>25.40944706</v>
      </c>
      <c r="AW1723" s="331">
        <f>SQRT(($R1723-Infrastructure!J$4)^2+($S1723-Infrastructure!K$4)^2)</f>
        <v>31.75862088</v>
      </c>
      <c r="AX1723" s="331">
        <f>SQRT(($R1723-Infrastructure!J$5)^2+($S1723-Infrastructure!K$5)^2)</f>
        <v>41.54708173</v>
      </c>
      <c r="AY1723" s="331">
        <f>SQRT(($R1723-Infrastructure!J$6)^2+($S1723-Infrastructure!K$6)^2)</f>
        <v>41.36568626</v>
      </c>
      <c r="AZ1723" s="331">
        <f>SQRT(($R1723-Infrastructure!J$7)^2+($S1723-Infrastructure!K$7)^2)</f>
        <v>39.46137352</v>
      </c>
      <c r="BA1723" s="331">
        <f>SQRT(($R1723-Infrastructure!J$8)^2+($S1723-Infrastructure!K$8)^2)</f>
        <v>40.08890121</v>
      </c>
      <c r="BB1723" s="331">
        <f>SQRT(($R1723-Infrastructure!J$9)^2+($S1723-Infrastructure!K$9)^2)</f>
        <v>38.68397601</v>
      </c>
      <c r="BC1723" s="331">
        <f>SQRT(($R1723-Infrastructure!J$10)^2+($S1723-Infrastructure!K$10)^2)</f>
        <v>30.15592811</v>
      </c>
      <c r="BD1723" s="331">
        <f>SQRT(($R1723-Infrastructure!J$11)^2+($S1723-Infrastructure!K$11)^2)</f>
        <v>20.51194774</v>
      </c>
      <c r="BE1723" s="333">
        <f>SQRT(($R1723-Infrastructure!J$12)^2+($S1723-Infrastructure!K$12)^2)</f>
        <v>15.84550409</v>
      </c>
      <c r="BF1723" s="330">
        <f t="shared" si="161"/>
        <v>15.84550409</v>
      </c>
      <c r="BG1723" s="333">
        <f t="shared" si="162"/>
        <v>41.54708173</v>
      </c>
      <c r="BH1723" s="1119"/>
      <c r="BI1723" s="319" t="str">
        <f t="shared" ref="BI1723:BR1723" si="296">IF(ISNUMBER(FIND(BI$3, $CO1723)), "Y", "")</f>
        <v>Y</v>
      </c>
      <c r="BJ1723" s="319" t="str">
        <f t="shared" si="296"/>
        <v/>
      </c>
      <c r="BK1723" s="319" t="str">
        <f t="shared" si="296"/>
        <v>Y</v>
      </c>
      <c r="BL1723" s="319" t="str">
        <f t="shared" si="296"/>
        <v>Y</v>
      </c>
      <c r="BM1723" s="319" t="str">
        <f t="shared" si="296"/>
        <v>Y</v>
      </c>
      <c r="BN1723" s="319" t="str">
        <f t="shared" si="296"/>
        <v>Y</v>
      </c>
      <c r="BO1723" s="319" t="str">
        <f t="shared" si="296"/>
        <v/>
      </c>
      <c r="BP1723" s="319" t="str">
        <f t="shared" si="296"/>
        <v/>
      </c>
      <c r="BQ1723" s="319" t="str">
        <f t="shared" si="296"/>
        <v>Y</v>
      </c>
      <c r="BR1723" s="319" t="str">
        <f t="shared" si="296"/>
        <v>Y</v>
      </c>
      <c r="BS1723" s="330">
        <f t="shared" si="185"/>
        <v>15.84550409</v>
      </c>
      <c r="BT1723" s="331">
        <f t="shared" si="170"/>
        <v>41.54708173</v>
      </c>
      <c r="BU1723" s="920">
        <v>0.420787037037037</v>
      </c>
      <c r="BV1723" s="903">
        <f t="shared" si="186"/>
        <v>0.0005902777778</v>
      </c>
      <c r="BW1723" s="908">
        <v>13.3</v>
      </c>
      <c r="BX1723" s="908">
        <v>38.6</v>
      </c>
      <c r="BY1723" s="331">
        <f t="shared" si="201"/>
        <v>9.464142856</v>
      </c>
      <c r="BZ1723" s="331"/>
      <c r="CA1723" s="462" t="str">
        <f t="shared" ref="CA1723:CJ1723" si="297">IF(ISNUMBER(FIND(BI$3, $CP1723)), "Y", "")</f>
        <v>Y</v>
      </c>
      <c r="CB1723" s="319" t="str">
        <f t="shared" si="297"/>
        <v>Y</v>
      </c>
      <c r="CC1723" s="319" t="str">
        <f t="shared" si="297"/>
        <v>Y</v>
      </c>
      <c r="CD1723" s="319" t="str">
        <f t="shared" si="297"/>
        <v>Y</v>
      </c>
      <c r="CE1723" s="319" t="str">
        <f t="shared" si="297"/>
        <v>Y</v>
      </c>
      <c r="CF1723" s="319" t="str">
        <f t="shared" si="297"/>
        <v>Y</v>
      </c>
      <c r="CG1723" s="319" t="str">
        <f t="shared" si="297"/>
        <v>Y</v>
      </c>
      <c r="CH1723" s="319" t="str">
        <f t="shared" si="297"/>
        <v/>
      </c>
      <c r="CI1723" s="319" t="str">
        <f t="shared" si="297"/>
        <v>Y</v>
      </c>
      <c r="CJ1723" s="319" t="str">
        <f t="shared" si="297"/>
        <v>Y</v>
      </c>
      <c r="CK1723" s="342">
        <f t="shared" si="182"/>
        <v>15.84550409</v>
      </c>
      <c r="CL1723" s="333">
        <f t="shared" si="183"/>
        <v>41.54708173</v>
      </c>
      <c r="CM1723" s="1079" t="s">
        <v>2487</v>
      </c>
      <c r="CN1723" s="1005" t="s">
        <v>2488</v>
      </c>
      <c r="CO1723" s="1005" t="s">
        <v>2490</v>
      </c>
      <c r="CP1723" s="1005" t="s">
        <v>2400</v>
      </c>
    </row>
    <row r="1724">
      <c r="A1724" s="266"/>
      <c r="B1724" s="1113" t="s">
        <v>1537</v>
      </c>
      <c r="C1724" s="1107">
        <v>45461.0</v>
      </c>
      <c r="D1724" s="1113" t="s">
        <v>986</v>
      </c>
      <c r="E1724" s="1108">
        <v>3.0</v>
      </c>
      <c r="F1724" s="112" t="s">
        <v>2491</v>
      </c>
      <c r="G1724" s="1110">
        <v>0.46041666666666664</v>
      </c>
      <c r="H1724" s="1110">
        <v>0.46111111111111114</v>
      </c>
      <c r="I1724" s="1110"/>
      <c r="J1724" s="1111"/>
      <c r="K1724" s="1111">
        <v>0.49236111111111114</v>
      </c>
      <c r="L1724" s="1112">
        <v>0.03125</v>
      </c>
      <c r="M1724" s="1113" t="s">
        <v>166</v>
      </c>
      <c r="N1724" s="110" t="s">
        <v>188</v>
      </c>
      <c r="O1724" s="1115" t="s">
        <v>378</v>
      </c>
      <c r="P1724" s="1115" t="s">
        <v>217</v>
      </c>
      <c r="Q1724" s="1115" t="s">
        <v>851</v>
      </c>
      <c r="R1724" s="120">
        <v>22.7</v>
      </c>
      <c r="S1724" s="1113">
        <v>39.7</v>
      </c>
      <c r="T1724" s="110">
        <v>1.8</v>
      </c>
      <c r="U1724" s="1108"/>
      <c r="V1724" s="1108"/>
      <c r="W1724" s="1108"/>
      <c r="X1724" s="1108"/>
      <c r="Y1724" s="1108"/>
      <c r="Z1724" s="1114" t="s">
        <v>1221</v>
      </c>
      <c r="AA1724" s="1114"/>
      <c r="AB1724" s="1114" t="s">
        <v>398</v>
      </c>
      <c r="AC1724" s="1117">
        <v>6.0</v>
      </c>
      <c r="AD1724" s="1115"/>
      <c r="AE1724" s="1115"/>
      <c r="AF1724" s="1115"/>
      <c r="AG1724" s="1115"/>
      <c r="AH1724" s="1115"/>
      <c r="AI1724" s="1115"/>
      <c r="AJ1724" s="1117"/>
      <c r="AK1724" s="1118"/>
      <c r="AL1724" s="1115"/>
      <c r="AM1724" s="1115"/>
      <c r="AN1724" s="1115"/>
      <c r="AO1724" s="1115"/>
      <c r="AP1724" s="1115"/>
      <c r="AQ1724" s="1115"/>
      <c r="AR1724" s="1115"/>
      <c r="AS1724" s="1117"/>
      <c r="AT1724" s="1196"/>
      <c r="AU1724" s="1193"/>
      <c r="AV1724" s="330">
        <f>SQRT(($R1724-Infrastructure!J$3)^2+($S1724-Infrastructure!K$3)^2)</f>
        <v>25.40944706</v>
      </c>
      <c r="AW1724" s="331">
        <f>SQRT(($R1724-Infrastructure!J$4)^2+($S1724-Infrastructure!K$4)^2)</f>
        <v>31.75862088</v>
      </c>
      <c r="AX1724" s="331">
        <f>SQRT(($R1724-Infrastructure!J$5)^2+($S1724-Infrastructure!K$5)^2)</f>
        <v>41.54708173</v>
      </c>
      <c r="AY1724" s="331">
        <f>SQRT(($R1724-Infrastructure!J$6)^2+($S1724-Infrastructure!K$6)^2)</f>
        <v>41.36568626</v>
      </c>
      <c r="AZ1724" s="331">
        <f>SQRT(($R1724-Infrastructure!J$7)^2+($S1724-Infrastructure!K$7)^2)</f>
        <v>39.46137352</v>
      </c>
      <c r="BA1724" s="331">
        <f>SQRT(($R1724-Infrastructure!J$8)^2+($S1724-Infrastructure!K$8)^2)</f>
        <v>40.08890121</v>
      </c>
      <c r="BB1724" s="331">
        <f>SQRT(($R1724-Infrastructure!J$9)^2+($S1724-Infrastructure!K$9)^2)</f>
        <v>38.68397601</v>
      </c>
      <c r="BC1724" s="331">
        <f>SQRT(($R1724-Infrastructure!J$10)^2+($S1724-Infrastructure!K$10)^2)</f>
        <v>30.15592811</v>
      </c>
      <c r="BD1724" s="331">
        <f>SQRT(($R1724-Infrastructure!J$11)^2+($S1724-Infrastructure!K$11)^2)</f>
        <v>20.51194774</v>
      </c>
      <c r="BE1724" s="333">
        <f>SQRT(($R1724-Infrastructure!J$12)^2+($S1724-Infrastructure!K$12)^2)</f>
        <v>15.84550409</v>
      </c>
      <c r="BF1724" s="330">
        <f t="shared" si="161"/>
        <v>15.84550409</v>
      </c>
      <c r="BG1724" s="333">
        <f t="shared" si="162"/>
        <v>41.54708173</v>
      </c>
      <c r="BH1724" s="1119"/>
      <c r="BI1724" s="319" t="str">
        <f t="shared" ref="BI1724:BR1724" si="298">IF(ISNUMBER(FIND(BI$3, $CO1724)), "Y", "")</f>
        <v>Y</v>
      </c>
      <c r="BJ1724" s="319" t="str">
        <f t="shared" si="298"/>
        <v>Y</v>
      </c>
      <c r="BK1724" s="319" t="str">
        <f t="shared" si="298"/>
        <v>Y</v>
      </c>
      <c r="BL1724" s="319" t="str">
        <f t="shared" si="298"/>
        <v>Y</v>
      </c>
      <c r="BM1724" s="319" t="str">
        <f t="shared" si="298"/>
        <v/>
      </c>
      <c r="BN1724" s="319" t="str">
        <f t="shared" si="298"/>
        <v>Y</v>
      </c>
      <c r="BO1724" s="319" t="str">
        <f t="shared" si="298"/>
        <v/>
      </c>
      <c r="BP1724" s="319" t="str">
        <f t="shared" si="298"/>
        <v/>
      </c>
      <c r="BQ1724" s="319" t="str">
        <f t="shared" si="298"/>
        <v>Y</v>
      </c>
      <c r="BR1724" s="319" t="str">
        <f t="shared" si="298"/>
        <v>Y</v>
      </c>
      <c r="BS1724" s="330">
        <f t="shared" si="185"/>
        <v>15.84550409</v>
      </c>
      <c r="BT1724" s="331">
        <f t="shared" si="170"/>
        <v>41.54708173</v>
      </c>
      <c r="BU1724" s="920">
        <v>0.46125</v>
      </c>
      <c r="BV1724" s="903">
        <f t="shared" si="186"/>
        <v>0.0008333333333</v>
      </c>
      <c r="BW1724" s="908">
        <v>14.9</v>
      </c>
      <c r="BX1724" s="908">
        <v>40.0</v>
      </c>
      <c r="BY1724" s="331">
        <f t="shared" si="201"/>
        <v>7.805767099</v>
      </c>
      <c r="BZ1724" s="331"/>
      <c r="CA1724" s="462" t="str">
        <f t="shared" ref="CA1724:CJ1724" si="299">IF(ISNUMBER(FIND(BI$3, $CP1724)), "Y", "")</f>
        <v>Y</v>
      </c>
      <c r="CB1724" s="319" t="str">
        <f t="shared" si="299"/>
        <v>Y</v>
      </c>
      <c r="CC1724" s="319" t="str">
        <f t="shared" si="299"/>
        <v>Y</v>
      </c>
      <c r="CD1724" s="319" t="str">
        <f t="shared" si="299"/>
        <v>Y</v>
      </c>
      <c r="CE1724" s="319" t="str">
        <f t="shared" si="299"/>
        <v>Y</v>
      </c>
      <c r="CF1724" s="319" t="str">
        <f t="shared" si="299"/>
        <v>Y</v>
      </c>
      <c r="CG1724" s="319" t="str">
        <f t="shared" si="299"/>
        <v>Y</v>
      </c>
      <c r="CH1724" s="319" t="str">
        <f t="shared" si="299"/>
        <v/>
      </c>
      <c r="CI1724" s="319" t="str">
        <f t="shared" si="299"/>
        <v>Y</v>
      </c>
      <c r="CJ1724" s="319" t="str">
        <f t="shared" si="299"/>
        <v>Y</v>
      </c>
      <c r="CK1724" s="342">
        <f t="shared" si="182"/>
        <v>15.84550409</v>
      </c>
      <c r="CL1724" s="333">
        <f t="shared" si="183"/>
        <v>41.54708173</v>
      </c>
      <c r="CM1724" s="1079" t="s">
        <v>2492</v>
      </c>
      <c r="CN1724" s="1005" t="s">
        <v>2488</v>
      </c>
      <c r="CO1724" s="1005" t="s">
        <v>2493</v>
      </c>
      <c r="CP1724" s="1005" t="s">
        <v>2400</v>
      </c>
    </row>
    <row r="1725">
      <c r="A1725" s="266"/>
      <c r="B1725" s="1113" t="s">
        <v>1537</v>
      </c>
      <c r="C1725" s="1107">
        <v>45461.0</v>
      </c>
      <c r="D1725" s="1113" t="s">
        <v>986</v>
      </c>
      <c r="E1725" s="1108">
        <v>4.0</v>
      </c>
      <c r="F1725" s="112" t="s">
        <v>2494</v>
      </c>
      <c r="G1725" s="1110">
        <v>0.5003472222222223</v>
      </c>
      <c r="H1725" s="1110">
        <v>0.5006944444444444</v>
      </c>
      <c r="I1725" s="1110"/>
      <c r="J1725" s="1111"/>
      <c r="K1725" s="1111">
        <v>0.5322916666666667</v>
      </c>
      <c r="L1725" s="1112">
        <v>0.03125</v>
      </c>
      <c r="M1725" s="1113" t="s">
        <v>166</v>
      </c>
      <c r="N1725" s="110" t="s">
        <v>188</v>
      </c>
      <c r="O1725" s="1115" t="s">
        <v>378</v>
      </c>
      <c r="P1725" s="1115" t="s">
        <v>225</v>
      </c>
      <c r="Q1725" s="1115" t="s">
        <v>842</v>
      </c>
      <c r="R1725" s="120">
        <v>22.7</v>
      </c>
      <c r="S1725" s="1113">
        <v>39.7</v>
      </c>
      <c r="T1725" s="110">
        <v>1.1</v>
      </c>
      <c r="U1725" s="1108"/>
      <c r="V1725" s="1108"/>
      <c r="W1725" s="1108"/>
      <c r="X1725" s="1108"/>
      <c r="Y1725" s="1108"/>
      <c r="Z1725" s="1114" t="s">
        <v>1140</v>
      </c>
      <c r="AA1725" s="1114"/>
      <c r="AB1725" s="1114" t="s">
        <v>403</v>
      </c>
      <c r="AC1725" s="1117">
        <v>8.0</v>
      </c>
      <c r="AD1725" s="1115"/>
      <c r="AE1725" s="1115"/>
      <c r="AF1725" s="1115"/>
      <c r="AG1725" s="1115"/>
      <c r="AH1725" s="1115"/>
      <c r="AI1725" s="1115"/>
      <c r="AJ1725" s="1117"/>
      <c r="AK1725" s="1118"/>
      <c r="AL1725" s="1115"/>
      <c r="AM1725" s="1115"/>
      <c r="AN1725" s="1115"/>
      <c r="AO1725" s="1115"/>
      <c r="AP1725" s="1115"/>
      <c r="AQ1725" s="1115"/>
      <c r="AR1725" s="1115"/>
      <c r="AS1725" s="1117"/>
      <c r="AT1725" s="1196"/>
      <c r="AU1725" s="1193"/>
      <c r="AV1725" s="330">
        <f>SQRT(($R1725-Infrastructure!J$3)^2+($S1725-Infrastructure!K$3)^2)</f>
        <v>25.40944706</v>
      </c>
      <c r="AW1725" s="331">
        <f>SQRT(($R1725-Infrastructure!J$4)^2+($S1725-Infrastructure!K$4)^2)</f>
        <v>31.75862088</v>
      </c>
      <c r="AX1725" s="331">
        <f>SQRT(($R1725-Infrastructure!J$5)^2+($S1725-Infrastructure!K$5)^2)</f>
        <v>41.54708173</v>
      </c>
      <c r="AY1725" s="331">
        <f>SQRT(($R1725-Infrastructure!J$6)^2+($S1725-Infrastructure!K$6)^2)</f>
        <v>41.36568626</v>
      </c>
      <c r="AZ1725" s="331">
        <f>SQRT(($R1725-Infrastructure!J$7)^2+($S1725-Infrastructure!K$7)^2)</f>
        <v>39.46137352</v>
      </c>
      <c r="BA1725" s="331">
        <f>SQRT(($R1725-Infrastructure!J$8)^2+($S1725-Infrastructure!K$8)^2)</f>
        <v>40.08890121</v>
      </c>
      <c r="BB1725" s="331">
        <f>SQRT(($R1725-Infrastructure!J$9)^2+($S1725-Infrastructure!K$9)^2)</f>
        <v>38.68397601</v>
      </c>
      <c r="BC1725" s="331">
        <f>SQRT(($R1725-Infrastructure!J$10)^2+($S1725-Infrastructure!K$10)^2)</f>
        <v>30.15592811</v>
      </c>
      <c r="BD1725" s="331">
        <f>SQRT(($R1725-Infrastructure!J$11)^2+($S1725-Infrastructure!K$11)^2)</f>
        <v>20.51194774</v>
      </c>
      <c r="BE1725" s="333">
        <f>SQRT(($R1725-Infrastructure!J$12)^2+($S1725-Infrastructure!K$12)^2)</f>
        <v>15.84550409</v>
      </c>
      <c r="BF1725" s="330">
        <f t="shared" si="161"/>
        <v>15.84550409</v>
      </c>
      <c r="BG1725" s="333">
        <f t="shared" si="162"/>
        <v>41.54708173</v>
      </c>
      <c r="BH1725" s="1119"/>
      <c r="BI1725" s="319" t="str">
        <f t="shared" ref="BI1725:BR1725" si="300">IF(ISNUMBER(FIND(BI$3, $CO1725)), "Y", "")</f>
        <v>Y</v>
      </c>
      <c r="BJ1725" s="319" t="str">
        <f t="shared" si="300"/>
        <v/>
      </c>
      <c r="BK1725" s="319" t="str">
        <f t="shared" si="300"/>
        <v>Y</v>
      </c>
      <c r="BL1725" s="319" t="str">
        <f t="shared" si="300"/>
        <v/>
      </c>
      <c r="BM1725" s="319" t="str">
        <f t="shared" si="300"/>
        <v/>
      </c>
      <c r="BN1725" s="319" t="str">
        <f t="shared" si="300"/>
        <v/>
      </c>
      <c r="BO1725" s="319" t="str">
        <f t="shared" si="300"/>
        <v/>
      </c>
      <c r="BP1725" s="319" t="str">
        <f t="shared" si="300"/>
        <v/>
      </c>
      <c r="BQ1725" s="319" t="str">
        <f t="shared" si="300"/>
        <v>Y</v>
      </c>
      <c r="BR1725" s="319" t="str">
        <f t="shared" si="300"/>
        <v>Y</v>
      </c>
      <c r="BS1725" s="330">
        <f t="shared" si="185"/>
        <v>15.84550409</v>
      </c>
      <c r="BT1725" s="331">
        <f t="shared" si="170"/>
        <v>41.54708173</v>
      </c>
      <c r="BU1725" s="920">
        <v>0.5059027777777778</v>
      </c>
      <c r="BV1725" s="903">
        <f t="shared" si="186"/>
        <v>0.005555555556</v>
      </c>
      <c r="BW1725" s="908">
        <v>14.6</v>
      </c>
      <c r="BX1725" s="908">
        <v>43.2</v>
      </c>
      <c r="BY1725" s="331">
        <f t="shared" si="201"/>
        <v>8.823831367</v>
      </c>
      <c r="BZ1725" s="331"/>
      <c r="CA1725" s="462" t="str">
        <f t="shared" ref="CA1725:CJ1725" si="301">IF(ISNUMBER(FIND(BI$3, $CP1725)), "Y", "")</f>
        <v>Y</v>
      </c>
      <c r="CB1725" s="319" t="str">
        <f t="shared" si="301"/>
        <v/>
      </c>
      <c r="CC1725" s="319" t="str">
        <f t="shared" si="301"/>
        <v>Y</v>
      </c>
      <c r="CD1725" s="319" t="str">
        <f t="shared" si="301"/>
        <v>Y</v>
      </c>
      <c r="CE1725" s="319" t="str">
        <f t="shared" si="301"/>
        <v>Y</v>
      </c>
      <c r="CF1725" s="319" t="str">
        <f t="shared" si="301"/>
        <v>Y</v>
      </c>
      <c r="CG1725" s="319" t="str">
        <f t="shared" si="301"/>
        <v>Y</v>
      </c>
      <c r="CH1725" s="319" t="str">
        <f t="shared" si="301"/>
        <v/>
      </c>
      <c r="CI1725" s="319" t="str">
        <f t="shared" si="301"/>
        <v>Y</v>
      </c>
      <c r="CJ1725" s="319" t="str">
        <f t="shared" si="301"/>
        <v>Y</v>
      </c>
      <c r="CK1725" s="342">
        <f t="shared" si="182"/>
        <v>15.84550409</v>
      </c>
      <c r="CL1725" s="333">
        <f t="shared" si="183"/>
        <v>41.54708173</v>
      </c>
      <c r="CM1725" s="1079" t="s">
        <v>2495</v>
      </c>
      <c r="CN1725" s="1005" t="s">
        <v>2488</v>
      </c>
      <c r="CO1725" s="1005" t="s">
        <v>2496</v>
      </c>
      <c r="CP1725" s="1005" t="s">
        <v>2497</v>
      </c>
    </row>
    <row r="1726">
      <c r="A1726" s="266"/>
      <c r="B1726" s="1113" t="s">
        <v>1537</v>
      </c>
      <c r="C1726" s="1107">
        <v>45461.0</v>
      </c>
      <c r="D1726" s="1113" t="s">
        <v>986</v>
      </c>
      <c r="E1726" s="1108">
        <v>5.0</v>
      </c>
      <c r="F1726" s="112" t="s">
        <v>2498</v>
      </c>
      <c r="G1726" s="1110">
        <v>0.5416666666666666</v>
      </c>
      <c r="H1726" s="1110">
        <v>0.5423611111111111</v>
      </c>
      <c r="I1726" s="1110"/>
      <c r="J1726" s="1111"/>
      <c r="K1726" s="1111">
        <v>0.5736111111111111</v>
      </c>
      <c r="L1726" s="1112">
        <v>0.03125</v>
      </c>
      <c r="M1726" s="1113" t="s">
        <v>166</v>
      </c>
      <c r="N1726" s="110" t="s">
        <v>188</v>
      </c>
      <c r="O1726" s="1115" t="s">
        <v>378</v>
      </c>
      <c r="P1726" s="1115" t="s">
        <v>225</v>
      </c>
      <c r="Q1726" s="1115" t="s">
        <v>842</v>
      </c>
      <c r="R1726" s="120">
        <v>22.7</v>
      </c>
      <c r="S1726" s="1113">
        <v>39.7</v>
      </c>
      <c r="T1726" s="110">
        <v>1.1</v>
      </c>
      <c r="U1726" s="1108"/>
      <c r="V1726" s="1108"/>
      <c r="W1726" s="1108"/>
      <c r="X1726" s="1108"/>
      <c r="Y1726" s="1108"/>
      <c r="Z1726" s="1114" t="s">
        <v>1140</v>
      </c>
      <c r="AA1726" s="1114"/>
      <c r="AB1726" s="1114" t="s">
        <v>410</v>
      </c>
      <c r="AC1726" s="1117">
        <v>22.1</v>
      </c>
      <c r="AD1726" s="1115"/>
      <c r="AE1726" s="1115"/>
      <c r="AF1726" s="1115"/>
      <c r="AG1726" s="1115"/>
      <c r="AH1726" s="1115"/>
      <c r="AI1726" s="1115"/>
      <c r="AJ1726" s="1117"/>
      <c r="AK1726" s="1118"/>
      <c r="AL1726" s="1115"/>
      <c r="AM1726" s="1115"/>
      <c r="AN1726" s="1115"/>
      <c r="AO1726" s="1115"/>
      <c r="AP1726" s="1115"/>
      <c r="AQ1726" s="1115"/>
      <c r="AR1726" s="1115"/>
      <c r="AS1726" s="1117"/>
      <c r="AT1726" s="1196"/>
      <c r="AU1726" s="1193"/>
      <c r="AV1726" s="330">
        <f>SQRT(($R1726-Infrastructure!J$3)^2+($S1726-Infrastructure!K$3)^2)</f>
        <v>25.40944706</v>
      </c>
      <c r="AW1726" s="331">
        <f>SQRT(($R1726-Infrastructure!J$4)^2+($S1726-Infrastructure!K$4)^2)</f>
        <v>31.75862088</v>
      </c>
      <c r="AX1726" s="331">
        <f>SQRT(($R1726-Infrastructure!J$5)^2+($S1726-Infrastructure!K$5)^2)</f>
        <v>41.54708173</v>
      </c>
      <c r="AY1726" s="331">
        <f>SQRT(($R1726-Infrastructure!J$6)^2+($S1726-Infrastructure!K$6)^2)</f>
        <v>41.36568626</v>
      </c>
      <c r="AZ1726" s="331">
        <f>SQRT(($R1726-Infrastructure!J$7)^2+($S1726-Infrastructure!K$7)^2)</f>
        <v>39.46137352</v>
      </c>
      <c r="BA1726" s="331">
        <f>SQRT(($R1726-Infrastructure!J$8)^2+($S1726-Infrastructure!K$8)^2)</f>
        <v>40.08890121</v>
      </c>
      <c r="BB1726" s="331">
        <f>SQRT(($R1726-Infrastructure!J$9)^2+($S1726-Infrastructure!K$9)^2)</f>
        <v>38.68397601</v>
      </c>
      <c r="BC1726" s="331">
        <f>SQRT(($R1726-Infrastructure!J$10)^2+($S1726-Infrastructure!K$10)^2)</f>
        <v>30.15592811</v>
      </c>
      <c r="BD1726" s="331">
        <f>SQRT(($R1726-Infrastructure!J$11)^2+($S1726-Infrastructure!K$11)^2)</f>
        <v>20.51194774</v>
      </c>
      <c r="BE1726" s="333">
        <f>SQRT(($R1726-Infrastructure!J$12)^2+($S1726-Infrastructure!K$12)^2)</f>
        <v>15.84550409</v>
      </c>
      <c r="BF1726" s="330">
        <f t="shared" si="161"/>
        <v>15.84550409</v>
      </c>
      <c r="BG1726" s="333">
        <f t="shared" si="162"/>
        <v>41.54708173</v>
      </c>
      <c r="BH1726" s="1119"/>
      <c r="BI1726" s="319" t="str">
        <f t="shared" ref="BI1726:BR1726" si="302">IF(ISNUMBER(FIND(BI$3, $CO1726)), "Y", "")</f>
        <v>Y</v>
      </c>
      <c r="BJ1726" s="319" t="str">
        <f t="shared" si="302"/>
        <v/>
      </c>
      <c r="BK1726" s="319" t="str">
        <f t="shared" si="302"/>
        <v/>
      </c>
      <c r="BL1726" s="319" t="str">
        <f t="shared" si="302"/>
        <v/>
      </c>
      <c r="BM1726" s="319" t="str">
        <f t="shared" si="302"/>
        <v>Y</v>
      </c>
      <c r="BN1726" s="319" t="str">
        <f t="shared" si="302"/>
        <v>Y</v>
      </c>
      <c r="BO1726" s="319" t="str">
        <f t="shared" si="302"/>
        <v/>
      </c>
      <c r="BP1726" s="319" t="str">
        <f t="shared" si="302"/>
        <v/>
      </c>
      <c r="BQ1726" s="319" t="str">
        <f t="shared" si="302"/>
        <v>Y</v>
      </c>
      <c r="BR1726" s="319" t="str">
        <f t="shared" si="302"/>
        <v>Y</v>
      </c>
      <c r="BS1726" s="330">
        <f t="shared" si="185"/>
        <v>15.84550409</v>
      </c>
      <c r="BT1726" s="331">
        <f t="shared" si="170"/>
        <v>40.08890121</v>
      </c>
      <c r="BU1726" s="920">
        <v>0.5422453703703703</v>
      </c>
      <c r="BV1726" s="903">
        <f t="shared" si="186"/>
        <v>0.0005787037037</v>
      </c>
      <c r="BW1726" s="908">
        <v>14.2</v>
      </c>
      <c r="BX1726" s="908">
        <v>42.6</v>
      </c>
      <c r="BY1726" s="331">
        <f t="shared" si="201"/>
        <v>8.981091248</v>
      </c>
      <c r="BZ1726" s="331"/>
      <c r="CA1726" s="462" t="str">
        <f t="shared" ref="CA1726:CJ1726" si="303">IF(ISNUMBER(FIND(BI$3, $CP1726)), "Y", "")</f>
        <v>Y</v>
      </c>
      <c r="CB1726" s="319" t="str">
        <f t="shared" si="303"/>
        <v>Y</v>
      </c>
      <c r="CC1726" s="319" t="str">
        <f t="shared" si="303"/>
        <v>Y</v>
      </c>
      <c r="CD1726" s="319" t="str">
        <f t="shared" si="303"/>
        <v>Y</v>
      </c>
      <c r="CE1726" s="319" t="str">
        <f t="shared" si="303"/>
        <v>Y</v>
      </c>
      <c r="CF1726" s="319" t="str">
        <f t="shared" si="303"/>
        <v>Y</v>
      </c>
      <c r="CG1726" s="319" t="str">
        <f t="shared" si="303"/>
        <v>Y</v>
      </c>
      <c r="CH1726" s="319" t="str">
        <f t="shared" si="303"/>
        <v/>
      </c>
      <c r="CI1726" s="319" t="str">
        <f t="shared" si="303"/>
        <v>Y</v>
      </c>
      <c r="CJ1726" s="319" t="str">
        <f t="shared" si="303"/>
        <v>Y</v>
      </c>
      <c r="CK1726" s="342">
        <f t="shared" si="182"/>
        <v>15.84550409</v>
      </c>
      <c r="CL1726" s="333">
        <f t="shared" si="183"/>
        <v>41.54708173</v>
      </c>
      <c r="CM1726" s="1079" t="s">
        <v>2384</v>
      </c>
      <c r="CN1726" s="1005" t="s">
        <v>2499</v>
      </c>
      <c r="CO1726" s="1005" t="s">
        <v>2500</v>
      </c>
      <c r="CP1726" s="1005" t="s">
        <v>2400</v>
      </c>
    </row>
    <row r="1727">
      <c r="A1727" s="266"/>
      <c r="B1727" s="1113" t="s">
        <v>1537</v>
      </c>
      <c r="C1727" s="1107">
        <v>45461.0</v>
      </c>
      <c r="D1727" s="1113" t="s">
        <v>986</v>
      </c>
      <c r="E1727" s="1108">
        <v>6.0</v>
      </c>
      <c r="F1727" s="112" t="s">
        <v>2501</v>
      </c>
      <c r="G1727" s="1110">
        <v>0.5861689814814814</v>
      </c>
      <c r="H1727" s="1110">
        <v>0.5868055555555556</v>
      </c>
      <c r="I1727" s="1110"/>
      <c r="J1727" s="1111"/>
      <c r="K1727" s="1111">
        <v>0.61875</v>
      </c>
      <c r="L1727" s="1112">
        <v>0.03194444444444444</v>
      </c>
      <c r="M1727" s="1113" t="s">
        <v>166</v>
      </c>
      <c r="N1727" s="110" t="s">
        <v>188</v>
      </c>
      <c r="O1727" s="1115" t="s">
        <v>378</v>
      </c>
      <c r="P1727" s="1115" t="s">
        <v>217</v>
      </c>
      <c r="Q1727" s="1115" t="s">
        <v>851</v>
      </c>
      <c r="R1727" s="120">
        <v>22.7</v>
      </c>
      <c r="S1727" s="1113">
        <v>39.7</v>
      </c>
      <c r="T1727" s="110">
        <v>1.8</v>
      </c>
      <c r="U1727" s="1108"/>
      <c r="V1727" s="1108"/>
      <c r="W1727" s="1108"/>
      <c r="X1727" s="1108"/>
      <c r="Y1727" s="1108"/>
      <c r="Z1727" s="1114" t="s">
        <v>1221</v>
      </c>
      <c r="AA1727" s="1114"/>
      <c r="AB1727" s="1114" t="s">
        <v>398</v>
      </c>
      <c r="AC1727" s="1117">
        <v>6.0</v>
      </c>
      <c r="AD1727" s="1115"/>
      <c r="AE1727" s="1115"/>
      <c r="AF1727" s="1115"/>
      <c r="AG1727" s="1115"/>
      <c r="AH1727" s="1115"/>
      <c r="AI1727" s="1115"/>
      <c r="AJ1727" s="1117"/>
      <c r="AK1727" s="1118"/>
      <c r="AL1727" s="1115"/>
      <c r="AM1727" s="1115"/>
      <c r="AN1727" s="1115"/>
      <c r="AO1727" s="1115"/>
      <c r="AP1727" s="1115"/>
      <c r="AQ1727" s="1115"/>
      <c r="AR1727" s="1115"/>
      <c r="AS1727" s="1117"/>
      <c r="AT1727" s="1196"/>
      <c r="AU1727" s="1193"/>
      <c r="AV1727" s="330">
        <f>SQRT(($R1727-Infrastructure!J$3)^2+($S1727-Infrastructure!K$3)^2)</f>
        <v>25.40944706</v>
      </c>
      <c r="AW1727" s="331">
        <f>SQRT(($R1727-Infrastructure!J$4)^2+($S1727-Infrastructure!K$4)^2)</f>
        <v>31.75862088</v>
      </c>
      <c r="AX1727" s="331">
        <f>SQRT(($R1727-Infrastructure!J$5)^2+($S1727-Infrastructure!K$5)^2)</f>
        <v>41.54708173</v>
      </c>
      <c r="AY1727" s="331">
        <f>SQRT(($R1727-Infrastructure!J$6)^2+($S1727-Infrastructure!K$6)^2)</f>
        <v>41.36568626</v>
      </c>
      <c r="AZ1727" s="331">
        <f>SQRT(($R1727-Infrastructure!J$7)^2+($S1727-Infrastructure!K$7)^2)</f>
        <v>39.46137352</v>
      </c>
      <c r="BA1727" s="331">
        <f>SQRT(($R1727-Infrastructure!J$8)^2+($S1727-Infrastructure!K$8)^2)</f>
        <v>40.08890121</v>
      </c>
      <c r="BB1727" s="331">
        <f>SQRT(($R1727-Infrastructure!J$9)^2+($S1727-Infrastructure!K$9)^2)</f>
        <v>38.68397601</v>
      </c>
      <c r="BC1727" s="331">
        <f>SQRT(($R1727-Infrastructure!J$10)^2+($S1727-Infrastructure!K$10)^2)</f>
        <v>30.15592811</v>
      </c>
      <c r="BD1727" s="331">
        <f>SQRT(($R1727-Infrastructure!J$11)^2+($S1727-Infrastructure!K$11)^2)</f>
        <v>20.51194774</v>
      </c>
      <c r="BE1727" s="333">
        <f>SQRT(($R1727-Infrastructure!J$12)^2+($S1727-Infrastructure!K$12)^2)</f>
        <v>15.84550409</v>
      </c>
      <c r="BF1727" s="330">
        <f t="shared" si="161"/>
        <v>15.84550409</v>
      </c>
      <c r="BG1727" s="333">
        <f t="shared" si="162"/>
        <v>41.54708173</v>
      </c>
      <c r="BH1727" s="1119"/>
      <c r="BI1727" s="319" t="str">
        <f t="shared" ref="BI1727:BR1727" si="304">IF(ISNUMBER(FIND(BI$3, $CO1727)), "Y", "")</f>
        <v>Y</v>
      </c>
      <c r="BJ1727" s="319" t="str">
        <f t="shared" si="304"/>
        <v/>
      </c>
      <c r="BK1727" s="319" t="str">
        <f t="shared" si="304"/>
        <v>Y</v>
      </c>
      <c r="BL1727" s="319" t="str">
        <f t="shared" si="304"/>
        <v>Y</v>
      </c>
      <c r="BM1727" s="319" t="str">
        <f t="shared" si="304"/>
        <v/>
      </c>
      <c r="BN1727" s="319" t="str">
        <f t="shared" si="304"/>
        <v/>
      </c>
      <c r="BO1727" s="319" t="str">
        <f t="shared" si="304"/>
        <v/>
      </c>
      <c r="BP1727" s="319" t="str">
        <f t="shared" si="304"/>
        <v/>
      </c>
      <c r="BQ1727" s="319" t="str">
        <f t="shared" si="304"/>
        <v>Y</v>
      </c>
      <c r="BR1727" s="319" t="str">
        <f t="shared" si="304"/>
        <v>Y</v>
      </c>
      <c r="BS1727" s="330">
        <f t="shared" si="185"/>
        <v>15.84550409</v>
      </c>
      <c r="BT1727" s="331">
        <f t="shared" si="170"/>
        <v>41.54708173</v>
      </c>
      <c r="BU1727" s="920">
        <v>0.5893634259259259</v>
      </c>
      <c r="BV1727" s="903">
        <f t="shared" si="186"/>
        <v>0.003194444444</v>
      </c>
      <c r="BW1727" s="908">
        <v>11.8</v>
      </c>
      <c r="BX1727" s="908">
        <v>38.1</v>
      </c>
      <c r="BY1727" s="331">
        <f t="shared" si="201"/>
        <v>11.01680534</v>
      </c>
      <c r="BZ1727" s="331"/>
      <c r="CA1727" s="462" t="str">
        <f t="shared" ref="CA1727:CJ1727" si="305">IF(ISNUMBER(FIND(BI$3, $CP1727)), "Y", "")</f>
        <v>Y</v>
      </c>
      <c r="CB1727" s="319" t="str">
        <f t="shared" si="305"/>
        <v>Y</v>
      </c>
      <c r="CC1727" s="319" t="str">
        <f t="shared" si="305"/>
        <v>Y</v>
      </c>
      <c r="CD1727" s="319" t="str">
        <f t="shared" si="305"/>
        <v>Y</v>
      </c>
      <c r="CE1727" s="319" t="str">
        <f t="shared" si="305"/>
        <v>Y</v>
      </c>
      <c r="CF1727" s="319" t="str">
        <f t="shared" si="305"/>
        <v>Y</v>
      </c>
      <c r="CG1727" s="319" t="str">
        <f t="shared" si="305"/>
        <v>Y</v>
      </c>
      <c r="CH1727" s="319" t="str">
        <f t="shared" si="305"/>
        <v/>
      </c>
      <c r="CI1727" s="319" t="str">
        <f t="shared" si="305"/>
        <v>Y</v>
      </c>
      <c r="CJ1727" s="319" t="str">
        <f t="shared" si="305"/>
        <v>Y</v>
      </c>
      <c r="CK1727" s="342">
        <f t="shared" si="182"/>
        <v>15.84550409</v>
      </c>
      <c r="CL1727" s="333">
        <f t="shared" si="183"/>
        <v>41.54708173</v>
      </c>
      <c r="CM1727" s="1079" t="s">
        <v>2492</v>
      </c>
      <c r="CN1727" s="1005" t="s">
        <v>2499</v>
      </c>
      <c r="CO1727" s="1005" t="s">
        <v>2502</v>
      </c>
      <c r="CP1727" s="1005" t="s">
        <v>2400</v>
      </c>
    </row>
    <row r="1728">
      <c r="A1728" s="266"/>
      <c r="B1728" s="1113" t="s">
        <v>1537</v>
      </c>
      <c r="C1728" s="1107">
        <v>45461.0</v>
      </c>
      <c r="D1728" s="1113" t="s">
        <v>986</v>
      </c>
      <c r="E1728" s="1108">
        <v>7.0</v>
      </c>
      <c r="F1728" s="112" t="s">
        <v>2503</v>
      </c>
      <c r="G1728" s="1110">
        <v>0.6289930555555555</v>
      </c>
      <c r="H1728" s="1110">
        <v>0.6295138888888889</v>
      </c>
      <c r="I1728" s="1110"/>
      <c r="J1728" s="1111"/>
      <c r="K1728" s="1111">
        <v>0.6479166666666667</v>
      </c>
      <c r="L1728" s="1112">
        <v>0.018055555555555554</v>
      </c>
      <c r="M1728" s="1113" t="s">
        <v>166</v>
      </c>
      <c r="N1728" s="110" t="s">
        <v>188</v>
      </c>
      <c r="O1728" s="1115" t="s">
        <v>378</v>
      </c>
      <c r="P1728" s="1115" t="s">
        <v>217</v>
      </c>
      <c r="Q1728" s="1115" t="s">
        <v>851</v>
      </c>
      <c r="R1728" s="120">
        <v>22.7</v>
      </c>
      <c r="S1728" s="1113">
        <v>39.7</v>
      </c>
      <c r="T1728" s="110">
        <v>1.8</v>
      </c>
      <c r="U1728" s="1108"/>
      <c r="V1728" s="1108"/>
      <c r="W1728" s="1108"/>
      <c r="X1728" s="1108"/>
      <c r="Y1728" s="1108"/>
      <c r="Z1728" s="1114" t="s">
        <v>1221</v>
      </c>
      <c r="AA1728" s="1114"/>
      <c r="AB1728" s="1114" t="s">
        <v>395</v>
      </c>
      <c r="AC1728" s="1117">
        <v>4.0</v>
      </c>
      <c r="AD1728" s="1115"/>
      <c r="AE1728" s="1115"/>
      <c r="AF1728" s="1115"/>
      <c r="AG1728" s="1115"/>
      <c r="AH1728" s="1115"/>
      <c r="AI1728" s="1115"/>
      <c r="AJ1728" s="1117"/>
      <c r="AK1728" s="1118"/>
      <c r="AL1728" s="1115"/>
      <c r="AM1728" s="1115"/>
      <c r="AN1728" s="1115"/>
      <c r="AO1728" s="1115"/>
      <c r="AP1728" s="1115"/>
      <c r="AQ1728" s="1115"/>
      <c r="AR1728" s="1115"/>
      <c r="AS1728" s="1117"/>
      <c r="AT1728" s="1196"/>
      <c r="AU1728" s="1193"/>
      <c r="AV1728" s="330">
        <f>SQRT(($R1728-Infrastructure!J$3)^2+($S1728-Infrastructure!K$3)^2)</f>
        <v>25.40944706</v>
      </c>
      <c r="AW1728" s="331">
        <f>SQRT(($R1728-Infrastructure!J$4)^2+($S1728-Infrastructure!K$4)^2)</f>
        <v>31.75862088</v>
      </c>
      <c r="AX1728" s="331">
        <f>SQRT(($R1728-Infrastructure!J$5)^2+($S1728-Infrastructure!K$5)^2)</f>
        <v>41.54708173</v>
      </c>
      <c r="AY1728" s="331">
        <f>SQRT(($R1728-Infrastructure!J$6)^2+($S1728-Infrastructure!K$6)^2)</f>
        <v>41.36568626</v>
      </c>
      <c r="AZ1728" s="331">
        <f>SQRT(($R1728-Infrastructure!J$7)^2+($S1728-Infrastructure!K$7)^2)</f>
        <v>39.46137352</v>
      </c>
      <c r="BA1728" s="331">
        <f>SQRT(($R1728-Infrastructure!J$8)^2+($S1728-Infrastructure!K$8)^2)</f>
        <v>40.08890121</v>
      </c>
      <c r="BB1728" s="331">
        <f>SQRT(($R1728-Infrastructure!J$9)^2+($S1728-Infrastructure!K$9)^2)</f>
        <v>38.68397601</v>
      </c>
      <c r="BC1728" s="331">
        <f>SQRT(($R1728-Infrastructure!J$10)^2+($S1728-Infrastructure!K$10)^2)</f>
        <v>30.15592811</v>
      </c>
      <c r="BD1728" s="331">
        <f>SQRT(($R1728-Infrastructure!J$11)^2+($S1728-Infrastructure!K$11)^2)</f>
        <v>20.51194774</v>
      </c>
      <c r="BE1728" s="333">
        <f>SQRT(($R1728-Infrastructure!J$12)^2+($S1728-Infrastructure!K$12)^2)</f>
        <v>15.84550409</v>
      </c>
      <c r="BF1728" s="330">
        <f t="shared" si="161"/>
        <v>15.84550409</v>
      </c>
      <c r="BG1728" s="333">
        <f t="shared" si="162"/>
        <v>41.54708173</v>
      </c>
      <c r="BH1728" s="1119"/>
      <c r="BI1728" s="319" t="str">
        <f t="shared" ref="BI1728:BR1728" si="306">IF(ISNUMBER(FIND(BI$3, $CO1728)), "Y", "")</f>
        <v/>
      </c>
      <c r="BJ1728" s="319" t="str">
        <f t="shared" si="306"/>
        <v/>
      </c>
      <c r="BK1728" s="319" t="str">
        <f t="shared" si="306"/>
        <v/>
      </c>
      <c r="BL1728" s="319" t="str">
        <f t="shared" si="306"/>
        <v/>
      </c>
      <c r="BM1728" s="319" t="str">
        <f t="shared" si="306"/>
        <v/>
      </c>
      <c r="BN1728" s="319" t="str">
        <f t="shared" si="306"/>
        <v/>
      </c>
      <c r="BO1728" s="319" t="str">
        <f t="shared" si="306"/>
        <v/>
      </c>
      <c r="BP1728" s="319" t="str">
        <f t="shared" si="306"/>
        <v/>
      </c>
      <c r="BQ1728" s="319" t="str">
        <f t="shared" si="306"/>
        <v/>
      </c>
      <c r="BR1728" s="319" t="str">
        <f t="shared" si="306"/>
        <v/>
      </c>
      <c r="BS1728" s="330">
        <f t="shared" si="185"/>
        <v>0</v>
      </c>
      <c r="BT1728" s="331">
        <f t="shared" si="170"/>
        <v>0</v>
      </c>
      <c r="BU1728" s="920"/>
      <c r="BV1728" s="903" t="str">
        <f t="shared" si="186"/>
        <v/>
      </c>
      <c r="BW1728" s="908"/>
      <c r="BX1728" s="908"/>
      <c r="BY1728" s="331" t="b">
        <f t="shared" si="201"/>
        <v>0</v>
      </c>
      <c r="BZ1728" s="331"/>
      <c r="CA1728" s="462" t="str">
        <f t="shared" ref="CA1728:CJ1728" si="307">IF(ISNUMBER(FIND(BI$3, $CP1728)), "Y", "")</f>
        <v>Y</v>
      </c>
      <c r="CB1728" s="319" t="str">
        <f t="shared" si="307"/>
        <v>Y</v>
      </c>
      <c r="CC1728" s="319" t="str">
        <f t="shared" si="307"/>
        <v/>
      </c>
      <c r="CD1728" s="319" t="str">
        <f t="shared" si="307"/>
        <v/>
      </c>
      <c r="CE1728" s="319" t="str">
        <f t="shared" si="307"/>
        <v/>
      </c>
      <c r="CF1728" s="319" t="str">
        <f t="shared" si="307"/>
        <v/>
      </c>
      <c r="CG1728" s="319" t="str">
        <f t="shared" si="307"/>
        <v/>
      </c>
      <c r="CH1728" s="319" t="str">
        <f t="shared" si="307"/>
        <v/>
      </c>
      <c r="CI1728" s="319" t="str">
        <f t="shared" si="307"/>
        <v>Y</v>
      </c>
      <c r="CJ1728" s="319" t="str">
        <f t="shared" si="307"/>
        <v>Y</v>
      </c>
      <c r="CK1728" s="342">
        <f t="shared" si="182"/>
        <v>15.84550409</v>
      </c>
      <c r="CL1728" s="333">
        <f t="shared" si="183"/>
        <v>31.75862088</v>
      </c>
      <c r="CM1728" s="1079" t="s">
        <v>2504</v>
      </c>
      <c r="CN1728" s="1005" t="s">
        <v>2499</v>
      </c>
      <c r="CO1728" s="1005"/>
      <c r="CP1728" s="1005" t="s">
        <v>2505</v>
      </c>
    </row>
    <row r="1729">
      <c r="A1729" s="266"/>
      <c r="B1729" s="1113" t="s">
        <v>1537</v>
      </c>
      <c r="C1729" s="1107">
        <v>45461.0</v>
      </c>
      <c r="D1729" s="1113" t="s">
        <v>986</v>
      </c>
      <c r="E1729" s="1108">
        <v>8.0</v>
      </c>
      <c r="F1729" s="112" t="s">
        <v>2506</v>
      </c>
      <c r="G1729" s="1110">
        <v>0.6513888888888889</v>
      </c>
      <c r="H1729" s="1110">
        <v>0.6527777777777778</v>
      </c>
      <c r="I1729" s="1110"/>
      <c r="J1729" s="1111"/>
      <c r="K1729" s="1111">
        <v>0.6840277777777778</v>
      </c>
      <c r="L1729" s="1112">
        <v>0.03125</v>
      </c>
      <c r="M1729" s="1113" t="s">
        <v>166</v>
      </c>
      <c r="N1729" s="110" t="s">
        <v>188</v>
      </c>
      <c r="O1729" s="1115" t="s">
        <v>196</v>
      </c>
      <c r="P1729" s="1115" t="s">
        <v>224</v>
      </c>
      <c r="Q1729" s="1115" t="s">
        <v>842</v>
      </c>
      <c r="R1729" s="120">
        <v>21.7</v>
      </c>
      <c r="S1729" s="1113">
        <v>39.5</v>
      </c>
      <c r="T1729" s="110">
        <v>1.3</v>
      </c>
      <c r="U1729" s="1108"/>
      <c r="V1729" s="1108"/>
      <c r="W1729" s="1108"/>
      <c r="X1729" s="1108"/>
      <c r="Y1729" s="1108"/>
      <c r="Z1729" s="1114" t="s">
        <v>387</v>
      </c>
      <c r="AA1729" s="1114"/>
      <c r="AB1729" s="1114" t="s">
        <v>416</v>
      </c>
      <c r="AC1729" s="1117">
        <v>52.5</v>
      </c>
      <c r="AD1729" s="1115"/>
      <c r="AE1729" s="1115"/>
      <c r="AF1729" s="1115"/>
      <c r="AG1729" s="1115"/>
      <c r="AH1729" s="1115"/>
      <c r="AI1729" s="1115"/>
      <c r="AJ1729" s="1117"/>
      <c r="AK1729" s="1118"/>
      <c r="AL1729" s="1115"/>
      <c r="AM1729" s="1115"/>
      <c r="AN1729" s="1115"/>
      <c r="AO1729" s="1115"/>
      <c r="AP1729" s="1115"/>
      <c r="AQ1729" s="1115"/>
      <c r="AR1729" s="1115"/>
      <c r="AS1729" s="1117"/>
      <c r="AT1729" s="1196"/>
      <c r="AU1729" s="1193"/>
      <c r="AV1729" s="330">
        <f>SQRT(($R1729-Infrastructure!J$3)^2+($S1729-Infrastructure!K$3)^2)</f>
        <v>24.42048321</v>
      </c>
      <c r="AW1729" s="331">
        <f>SQRT(($R1729-Infrastructure!J$4)^2+($S1729-Infrastructure!K$4)^2)</f>
        <v>30.90129447</v>
      </c>
      <c r="AX1729" s="331">
        <f>SQRT(($R1729-Infrastructure!J$5)^2+($S1729-Infrastructure!K$5)^2)</f>
        <v>40.83331973</v>
      </c>
      <c r="AY1729" s="331">
        <f>SQRT(($R1729-Infrastructure!J$6)^2+($S1729-Infrastructure!K$6)^2)</f>
        <v>40.88031311</v>
      </c>
      <c r="AZ1729" s="331">
        <f>SQRT(($R1729-Infrastructure!J$7)^2+($S1729-Infrastructure!K$7)^2)</f>
        <v>39.21836305</v>
      </c>
      <c r="BA1729" s="331">
        <f>SQRT(($R1729-Infrastructure!J$8)^2+($S1729-Infrastructure!K$8)^2)</f>
        <v>40.08989898</v>
      </c>
      <c r="BB1729" s="331">
        <f>SQRT(($R1729-Infrastructure!J$9)^2+($S1729-Infrastructure!K$9)^2)</f>
        <v>38.96472764</v>
      </c>
      <c r="BC1729" s="331">
        <f>SQRT(($R1729-Infrastructure!J$10)^2+($S1729-Infrastructure!K$10)^2)</f>
        <v>30.58005886</v>
      </c>
      <c r="BD1729" s="331">
        <f>SQRT(($R1729-Infrastructure!J$11)^2+($S1729-Infrastructure!K$11)^2)</f>
        <v>21.27204739</v>
      </c>
      <c r="BE1729" s="333">
        <f>SQRT(($R1729-Infrastructure!J$12)^2+($S1729-Infrastructure!K$12)^2)</f>
        <v>16.00124995</v>
      </c>
      <c r="BF1729" s="330">
        <f t="shared" si="161"/>
        <v>16.00124995</v>
      </c>
      <c r="BG1729" s="333">
        <f t="shared" si="162"/>
        <v>40.88031311</v>
      </c>
      <c r="BH1729" s="1119"/>
      <c r="BI1729" s="319" t="str">
        <f t="shared" ref="BI1729:BR1729" si="308">IF(ISNUMBER(FIND(BI$3, $CO1729)), "Y", "")</f>
        <v>Y</v>
      </c>
      <c r="BJ1729" s="319" t="str">
        <f t="shared" si="308"/>
        <v/>
      </c>
      <c r="BK1729" s="319" t="str">
        <f t="shared" si="308"/>
        <v/>
      </c>
      <c r="BL1729" s="319" t="str">
        <f t="shared" si="308"/>
        <v/>
      </c>
      <c r="BM1729" s="319" t="str">
        <f t="shared" si="308"/>
        <v>Y</v>
      </c>
      <c r="BN1729" s="319" t="str">
        <f t="shared" si="308"/>
        <v>Y</v>
      </c>
      <c r="BO1729" s="319" t="str">
        <f t="shared" si="308"/>
        <v>Y</v>
      </c>
      <c r="BP1729" s="319" t="str">
        <f t="shared" si="308"/>
        <v/>
      </c>
      <c r="BQ1729" s="319" t="str">
        <f t="shared" si="308"/>
        <v>Y</v>
      </c>
      <c r="BR1729" s="319" t="str">
        <f t="shared" si="308"/>
        <v>Y</v>
      </c>
      <c r="BS1729" s="330">
        <f t="shared" si="185"/>
        <v>16.00124995</v>
      </c>
      <c r="BT1729" s="331">
        <f t="shared" si="170"/>
        <v>40.08989898</v>
      </c>
      <c r="BU1729" s="920">
        <v>0.6519560185185185</v>
      </c>
      <c r="BV1729" s="903">
        <f t="shared" si="186"/>
        <v>0.0005671296296</v>
      </c>
      <c r="BW1729" s="908">
        <v>13.6</v>
      </c>
      <c r="BX1729" s="908">
        <v>41.6</v>
      </c>
      <c r="BY1729" s="331">
        <f t="shared" si="201"/>
        <v>8.367795409</v>
      </c>
      <c r="BZ1729" s="331"/>
      <c r="CA1729" s="462" t="str">
        <f t="shared" ref="CA1729:CJ1729" si="309">IF(ISNUMBER(FIND(BI$3, $CP1729)), "Y", "")</f>
        <v>Y</v>
      </c>
      <c r="CB1729" s="319" t="str">
        <f t="shared" si="309"/>
        <v>Y</v>
      </c>
      <c r="CC1729" s="319" t="str">
        <f t="shared" si="309"/>
        <v>Y</v>
      </c>
      <c r="CD1729" s="319" t="str">
        <f t="shared" si="309"/>
        <v>Y</v>
      </c>
      <c r="CE1729" s="319" t="str">
        <f t="shared" si="309"/>
        <v>Y</v>
      </c>
      <c r="CF1729" s="319" t="str">
        <f t="shared" si="309"/>
        <v>Y</v>
      </c>
      <c r="CG1729" s="319" t="str">
        <f t="shared" si="309"/>
        <v>Y</v>
      </c>
      <c r="CH1729" s="319" t="str">
        <f t="shared" si="309"/>
        <v/>
      </c>
      <c r="CI1729" s="319" t="str">
        <f t="shared" si="309"/>
        <v>Y</v>
      </c>
      <c r="CJ1729" s="319" t="str">
        <f t="shared" si="309"/>
        <v>Y</v>
      </c>
      <c r="CK1729" s="342">
        <f t="shared" si="182"/>
        <v>16.00124995</v>
      </c>
      <c r="CL1729" s="333">
        <f t="shared" si="183"/>
        <v>40.88031311</v>
      </c>
      <c r="CM1729" s="1079" t="s">
        <v>2384</v>
      </c>
      <c r="CN1729" s="1005" t="s">
        <v>2499</v>
      </c>
      <c r="CO1729" s="1005" t="s">
        <v>2507</v>
      </c>
      <c r="CP1729" s="1005" t="s">
        <v>2400</v>
      </c>
    </row>
    <row r="1730">
      <c r="A1730" s="1258"/>
      <c r="B1730" s="1129" t="s">
        <v>1537</v>
      </c>
      <c r="C1730" s="1122">
        <v>45461.0</v>
      </c>
      <c r="D1730" s="1129" t="s">
        <v>986</v>
      </c>
      <c r="E1730" s="1124">
        <v>9.0</v>
      </c>
      <c r="F1730" s="108" t="s">
        <v>2508</v>
      </c>
      <c r="G1730" s="1126">
        <v>0.6951388888888889</v>
      </c>
      <c r="H1730" s="1126">
        <v>0.6954861111111111</v>
      </c>
      <c r="I1730" s="1126"/>
      <c r="J1730" s="1127"/>
      <c r="K1730" s="1127">
        <v>0.7328125</v>
      </c>
      <c r="L1730" s="1128">
        <v>0.03680555555555556</v>
      </c>
      <c r="M1730" s="1129" t="s">
        <v>166</v>
      </c>
      <c r="N1730" s="100" t="s">
        <v>188</v>
      </c>
      <c r="O1730" s="1131" t="s">
        <v>378</v>
      </c>
      <c r="P1730" s="1131" t="s">
        <v>217</v>
      </c>
      <c r="Q1730" s="1131" t="s">
        <v>851</v>
      </c>
      <c r="R1730" s="137">
        <v>22.7</v>
      </c>
      <c r="S1730" s="1129">
        <v>39.7</v>
      </c>
      <c r="T1730" s="100">
        <v>1.8</v>
      </c>
      <c r="U1730" s="1124"/>
      <c r="V1730" s="1124"/>
      <c r="W1730" s="1124"/>
      <c r="X1730" s="1124"/>
      <c r="Y1730" s="1124"/>
      <c r="Z1730" s="1130" t="s">
        <v>1221</v>
      </c>
      <c r="AA1730" s="1130"/>
      <c r="AB1730" s="1130" t="s">
        <v>398</v>
      </c>
      <c r="AC1730" s="1133">
        <v>6.0</v>
      </c>
      <c r="AD1730" s="1131"/>
      <c r="AE1730" s="1131"/>
      <c r="AF1730" s="1131"/>
      <c r="AG1730" s="1131"/>
      <c r="AH1730" s="1131"/>
      <c r="AI1730" s="1131"/>
      <c r="AJ1730" s="1133"/>
      <c r="AK1730" s="1134"/>
      <c r="AL1730" s="1131"/>
      <c r="AM1730" s="1131"/>
      <c r="AN1730" s="1131"/>
      <c r="AO1730" s="1131"/>
      <c r="AP1730" s="1131"/>
      <c r="AQ1730" s="1131"/>
      <c r="AR1730" s="1131"/>
      <c r="AS1730" s="1133"/>
      <c r="AT1730" s="1197"/>
      <c r="AU1730" s="1194"/>
      <c r="AV1730" s="662">
        <f>SQRT(($R1730-Infrastructure!J$3)^2+($S1730-Infrastructure!K$3)^2)</f>
        <v>25.40944706</v>
      </c>
      <c r="AW1730" s="641">
        <f>SQRT(($R1730-Infrastructure!J$4)^2+($S1730-Infrastructure!K$4)^2)</f>
        <v>31.75862088</v>
      </c>
      <c r="AX1730" s="641">
        <f>SQRT(($R1730-Infrastructure!J$5)^2+($S1730-Infrastructure!K$5)^2)</f>
        <v>41.54708173</v>
      </c>
      <c r="AY1730" s="641">
        <f>SQRT(($R1730-Infrastructure!J$6)^2+($S1730-Infrastructure!K$6)^2)</f>
        <v>41.36568626</v>
      </c>
      <c r="AZ1730" s="641">
        <f>SQRT(($R1730-Infrastructure!J$7)^2+($S1730-Infrastructure!K$7)^2)</f>
        <v>39.46137352</v>
      </c>
      <c r="BA1730" s="641">
        <f>SQRT(($R1730-Infrastructure!J$8)^2+($S1730-Infrastructure!K$8)^2)</f>
        <v>40.08890121</v>
      </c>
      <c r="BB1730" s="641">
        <f>SQRT(($R1730-Infrastructure!J$9)^2+($S1730-Infrastructure!K$9)^2)</f>
        <v>38.68397601</v>
      </c>
      <c r="BC1730" s="641">
        <f>SQRT(($R1730-Infrastructure!J$10)^2+($S1730-Infrastructure!K$10)^2)</f>
        <v>30.15592811</v>
      </c>
      <c r="BD1730" s="641">
        <f>SQRT(($R1730-Infrastructure!J$11)^2+($S1730-Infrastructure!K$11)^2)</f>
        <v>20.51194774</v>
      </c>
      <c r="BE1730" s="642">
        <f>SQRT(($R1730-Infrastructure!J$12)^2+($S1730-Infrastructure!K$12)^2)</f>
        <v>15.84550409</v>
      </c>
      <c r="BF1730" s="662">
        <f t="shared" si="161"/>
        <v>15.84550409</v>
      </c>
      <c r="BG1730" s="642">
        <f t="shared" si="162"/>
        <v>41.54708173</v>
      </c>
      <c r="BH1730" s="1135"/>
      <c r="BI1730" s="663" t="str">
        <f t="shared" ref="BI1730:BR1730" si="310">IF(ISNUMBER(FIND(BI$3, $CO1730)), "Y", "")</f>
        <v>Y</v>
      </c>
      <c r="BJ1730" s="663" t="str">
        <f t="shared" si="310"/>
        <v/>
      </c>
      <c r="BK1730" s="663" t="str">
        <f t="shared" si="310"/>
        <v>Y</v>
      </c>
      <c r="BL1730" s="663" t="str">
        <f t="shared" si="310"/>
        <v>Y</v>
      </c>
      <c r="BM1730" s="663" t="str">
        <f t="shared" si="310"/>
        <v>Y</v>
      </c>
      <c r="BN1730" s="663" t="str">
        <f t="shared" si="310"/>
        <v>Y</v>
      </c>
      <c r="BO1730" s="663" t="str">
        <f t="shared" si="310"/>
        <v/>
      </c>
      <c r="BP1730" s="663" t="str">
        <f t="shared" si="310"/>
        <v/>
      </c>
      <c r="BQ1730" s="663" t="str">
        <f t="shared" si="310"/>
        <v>Y</v>
      </c>
      <c r="BR1730" s="663" t="str">
        <f t="shared" si="310"/>
        <v>Y</v>
      </c>
      <c r="BS1730" s="662">
        <f t="shared" si="185"/>
        <v>15.84550409</v>
      </c>
      <c r="BT1730" s="641">
        <f t="shared" si="170"/>
        <v>41.54708173</v>
      </c>
      <c r="BU1730" s="937">
        <v>0.695925925925926</v>
      </c>
      <c r="BV1730" s="930">
        <f t="shared" si="186"/>
        <v>0.000787037037</v>
      </c>
      <c r="BW1730" s="939">
        <v>9.6</v>
      </c>
      <c r="BX1730" s="939">
        <v>34.6</v>
      </c>
      <c r="BY1730" s="641">
        <f t="shared" si="201"/>
        <v>14.05773808</v>
      </c>
      <c r="BZ1730" s="641"/>
      <c r="CA1730" s="635" t="str">
        <f t="shared" ref="CA1730:CJ1730" si="311">IF(ISNUMBER(FIND(BI$3, $CP1730)), "Y", "")</f>
        <v>Y</v>
      </c>
      <c r="CB1730" s="663" t="str">
        <f t="shared" si="311"/>
        <v>Y</v>
      </c>
      <c r="CC1730" s="663" t="str">
        <f t="shared" si="311"/>
        <v>Y</v>
      </c>
      <c r="CD1730" s="663" t="str">
        <f t="shared" si="311"/>
        <v>Y</v>
      </c>
      <c r="CE1730" s="663" t="str">
        <f t="shared" si="311"/>
        <v>Y</v>
      </c>
      <c r="CF1730" s="663" t="str">
        <f t="shared" si="311"/>
        <v>Y</v>
      </c>
      <c r="CG1730" s="663" t="str">
        <f t="shared" si="311"/>
        <v>Y</v>
      </c>
      <c r="CH1730" s="663" t="str">
        <f t="shared" si="311"/>
        <v/>
      </c>
      <c r="CI1730" s="663" t="str">
        <f t="shared" si="311"/>
        <v>Y</v>
      </c>
      <c r="CJ1730" s="663" t="str">
        <f t="shared" si="311"/>
        <v>Y</v>
      </c>
      <c r="CK1730" s="743">
        <f t="shared" si="182"/>
        <v>15.84550409</v>
      </c>
      <c r="CL1730" s="642">
        <f t="shared" si="183"/>
        <v>41.54708173</v>
      </c>
      <c r="CM1730" s="1090" t="s">
        <v>2492</v>
      </c>
      <c r="CN1730" s="1036" t="s">
        <v>2499</v>
      </c>
      <c r="CO1730" s="1036" t="s">
        <v>2490</v>
      </c>
      <c r="CP1730" s="1036" t="s">
        <v>2400</v>
      </c>
    </row>
    <row r="1731">
      <c r="A1731" s="1257" t="s">
        <v>100</v>
      </c>
      <c r="B1731" s="1113" t="s">
        <v>1537</v>
      </c>
      <c r="C1731" s="1107">
        <v>45462.0</v>
      </c>
      <c r="D1731" s="1113" t="s">
        <v>986</v>
      </c>
      <c r="E1731" s="1108">
        <v>1.0</v>
      </c>
      <c r="F1731" s="112" t="s">
        <v>2509</v>
      </c>
      <c r="G1731" s="1110">
        <v>0.3755787037037037</v>
      </c>
      <c r="H1731" s="1110">
        <v>0.3763888888888889</v>
      </c>
      <c r="I1731" s="1110"/>
      <c r="J1731" s="1111"/>
      <c r="K1731" s="1111">
        <v>0.4077546296296296</v>
      </c>
      <c r="L1731" s="1112">
        <v>0.03125</v>
      </c>
      <c r="M1731" s="1113" t="s">
        <v>166</v>
      </c>
      <c r="N1731" s="110" t="s">
        <v>187</v>
      </c>
      <c r="O1731" s="1115" t="s">
        <v>197</v>
      </c>
      <c r="P1731" s="1115" t="s">
        <v>272</v>
      </c>
      <c r="Q1731" s="1115" t="s">
        <v>842</v>
      </c>
      <c r="R1731" s="120">
        <v>37.1</v>
      </c>
      <c r="S1731" s="1113">
        <v>6.9</v>
      </c>
      <c r="T1731" s="110">
        <v>6.5</v>
      </c>
      <c r="U1731" s="1108"/>
      <c r="V1731" s="1108"/>
      <c r="W1731" s="1108"/>
      <c r="X1731" s="1108"/>
      <c r="Y1731" s="1108"/>
      <c r="Z1731" s="1114" t="s">
        <v>379</v>
      </c>
      <c r="AA1731" s="1114"/>
      <c r="AB1731" s="1114" t="s">
        <v>392</v>
      </c>
      <c r="AC1731" s="1117">
        <v>10.0</v>
      </c>
      <c r="AD1731" s="1115"/>
      <c r="AE1731" s="1115"/>
      <c r="AF1731" s="1115"/>
      <c r="AG1731" s="1115"/>
      <c r="AH1731" s="1115"/>
      <c r="AI1731" s="1115"/>
      <c r="AJ1731" s="1117"/>
      <c r="AK1731" s="1118"/>
      <c r="AL1731" s="1115"/>
      <c r="AM1731" s="1115"/>
      <c r="AN1731" s="1115"/>
      <c r="AO1731" s="1115"/>
      <c r="AP1731" s="1115"/>
      <c r="AQ1731" s="1115"/>
      <c r="AR1731" s="1115"/>
      <c r="AS1731" s="1117"/>
      <c r="AT1731" s="1196"/>
      <c r="AU1731" s="1193"/>
      <c r="AV1731" s="330">
        <f>SQRT(($R1731-Infrastructure!J$3)^2+($S1731-Infrastructure!K$3)^2)</f>
        <v>43.39078243</v>
      </c>
      <c r="AW1731" s="331">
        <f>SQRT(($R1731-Infrastructure!J$4)^2+($S1731-Infrastructure!K$4)^2)</f>
        <v>38.95600082</v>
      </c>
      <c r="AX1731" s="331">
        <f>SQRT(($R1731-Infrastructure!J$5)^2+($S1731-Infrastructure!K$5)^2)</f>
        <v>37.44329045</v>
      </c>
      <c r="AY1731" s="331">
        <f>SQRT(($R1731-Infrastructure!J$6)^2+($S1731-Infrastructure!K$6)^2)</f>
        <v>27.79496357</v>
      </c>
      <c r="AZ1731" s="331">
        <f>SQRT(($R1731-Infrastructure!J$7)^2+($S1731-Infrastructure!K$7)^2)</f>
        <v>17.86393014</v>
      </c>
      <c r="BA1731" s="331">
        <f>SQRT(($R1731-Infrastructure!J$8)^2+($S1731-Infrastructure!K$8)^2)</f>
        <v>9.620810777</v>
      </c>
      <c r="BB1731" s="331">
        <f>SQRT(($R1731-Infrastructure!J$9)^2+($S1731-Infrastructure!K$9)^2)</f>
        <v>3.413209633</v>
      </c>
      <c r="BC1731" s="331">
        <f>SQRT(($R1731-Infrastructure!J$10)^2+($S1731-Infrastructure!K$10)^2)</f>
        <v>8.603487665</v>
      </c>
      <c r="BD1731" s="331">
        <f>SQRT(($R1731-Infrastructure!J$11)^2+($S1731-Infrastructure!K$11)^2)</f>
        <v>22.31636171</v>
      </c>
      <c r="BE1731" s="333">
        <f>SQRT(($R1731-Infrastructure!J$12)^2+($S1731-Infrastructure!K$12)^2)</f>
        <v>51.04233537</v>
      </c>
      <c r="BF1731" s="330">
        <f t="shared" si="161"/>
        <v>3.413209633</v>
      </c>
      <c r="BG1731" s="333">
        <f t="shared" si="162"/>
        <v>51.04233537</v>
      </c>
      <c r="BH1731" s="1119"/>
      <c r="BI1731" s="319" t="str">
        <f t="shared" ref="BI1731:BR1731" si="312">IF(ISNUMBER(FIND(BI$3, $CO1731)), "Y", "")</f>
        <v/>
      </c>
      <c r="BJ1731" s="319" t="str">
        <f t="shared" si="312"/>
        <v/>
      </c>
      <c r="BK1731" s="319" t="str">
        <f t="shared" si="312"/>
        <v/>
      </c>
      <c r="BL1731" s="319" t="str">
        <f t="shared" si="312"/>
        <v/>
      </c>
      <c r="BM1731" s="319" t="str">
        <f t="shared" si="312"/>
        <v>Y</v>
      </c>
      <c r="BN1731" s="319" t="str">
        <f t="shared" si="312"/>
        <v>Y</v>
      </c>
      <c r="BO1731" s="319" t="str">
        <f t="shared" si="312"/>
        <v>Y</v>
      </c>
      <c r="BP1731" s="319" t="str">
        <f t="shared" si="312"/>
        <v/>
      </c>
      <c r="BQ1731" s="319" t="str">
        <f t="shared" si="312"/>
        <v>Y</v>
      </c>
      <c r="BR1731" s="319" t="str">
        <f t="shared" si="312"/>
        <v>Y</v>
      </c>
      <c r="BS1731" s="330">
        <f t="shared" si="185"/>
        <v>3.413209633</v>
      </c>
      <c r="BT1731" s="331">
        <f t="shared" si="170"/>
        <v>51.04233537</v>
      </c>
      <c r="BU1731" s="920">
        <v>0.3773958333333333</v>
      </c>
      <c r="BV1731" s="903">
        <f t="shared" si="186"/>
        <v>0.00181712963</v>
      </c>
      <c r="BW1731" s="908">
        <v>23.2</v>
      </c>
      <c r="BX1731" s="908">
        <v>23.2</v>
      </c>
      <c r="BY1731" s="331">
        <f t="shared" si="201"/>
        <v>21.42195136</v>
      </c>
      <c r="BZ1731" s="331"/>
      <c r="CA1731" s="462" t="str">
        <f t="shared" ref="CA1731:CJ1731" si="313">IF(ISNUMBER(FIND(BI$3, $CP1731)), "Y", "")</f>
        <v/>
      </c>
      <c r="CB1731" s="319" t="str">
        <f t="shared" si="313"/>
        <v/>
      </c>
      <c r="CC1731" s="319" t="str">
        <f t="shared" si="313"/>
        <v/>
      </c>
      <c r="CD1731" s="319" t="str">
        <f t="shared" si="313"/>
        <v/>
      </c>
      <c r="CE1731" s="319" t="str">
        <f t="shared" si="313"/>
        <v>Y</v>
      </c>
      <c r="CF1731" s="319" t="str">
        <f t="shared" si="313"/>
        <v>Y</v>
      </c>
      <c r="CG1731" s="319" t="str">
        <f t="shared" si="313"/>
        <v/>
      </c>
      <c r="CH1731" s="319" t="str">
        <f t="shared" si="313"/>
        <v/>
      </c>
      <c r="CI1731" s="319" t="str">
        <f t="shared" si="313"/>
        <v>Y</v>
      </c>
      <c r="CJ1731" s="319" t="str">
        <f t="shared" si="313"/>
        <v/>
      </c>
      <c r="CK1731" s="342">
        <f t="shared" si="182"/>
        <v>9.620810777</v>
      </c>
      <c r="CL1731" s="333">
        <f t="shared" si="183"/>
        <v>22.31636171</v>
      </c>
      <c r="CM1731" s="1079" t="s">
        <v>2510</v>
      </c>
      <c r="CN1731" s="1005" t="s">
        <v>2511</v>
      </c>
      <c r="CO1731" s="1005" t="s">
        <v>2512</v>
      </c>
      <c r="CP1731" s="1005" t="s">
        <v>2513</v>
      </c>
    </row>
    <row r="1732">
      <c r="A1732" s="266"/>
      <c r="B1732" s="1113" t="s">
        <v>1537</v>
      </c>
      <c r="C1732" s="1107">
        <v>45462.0</v>
      </c>
      <c r="D1732" s="1113" t="s">
        <v>986</v>
      </c>
      <c r="E1732" s="1108">
        <v>2.0</v>
      </c>
      <c r="F1732" s="112" t="s">
        <v>2514</v>
      </c>
      <c r="G1732" s="1110">
        <v>0.4171875</v>
      </c>
      <c r="H1732" s="1110">
        <v>0.41805555555555557</v>
      </c>
      <c r="I1732" s="1110"/>
      <c r="J1732" s="1111"/>
      <c r="K1732" s="1111">
        <v>0.4508101851851852</v>
      </c>
      <c r="L1732" s="1112">
        <v>0.03263888888888889</v>
      </c>
      <c r="M1732" s="1113" t="s">
        <v>166</v>
      </c>
      <c r="N1732" s="110" t="s">
        <v>187</v>
      </c>
      <c r="O1732" s="1115" t="s">
        <v>205</v>
      </c>
      <c r="P1732" s="1115" t="s">
        <v>213</v>
      </c>
      <c r="Q1732" s="1116"/>
      <c r="R1732" s="120">
        <v>21.5</v>
      </c>
      <c r="S1732" s="1113">
        <v>4.1</v>
      </c>
      <c r="T1732" s="110">
        <v>2.3</v>
      </c>
      <c r="U1732" s="1108"/>
      <c r="V1732" s="1108"/>
      <c r="W1732" s="1108"/>
      <c r="X1732" s="1108"/>
      <c r="Y1732" s="1108"/>
      <c r="Z1732" s="1114" t="s">
        <v>370</v>
      </c>
      <c r="AA1732" s="1114"/>
      <c r="AB1732" s="1114" t="s">
        <v>380</v>
      </c>
      <c r="AC1732" s="1117">
        <v>4.0</v>
      </c>
      <c r="AD1732" s="1115"/>
      <c r="AE1732" s="1115"/>
      <c r="AF1732" s="1115"/>
      <c r="AG1732" s="1115"/>
      <c r="AH1732" s="1115"/>
      <c r="AI1732" s="1115"/>
      <c r="AJ1732" s="1117"/>
      <c r="AK1732" s="1118"/>
      <c r="AL1732" s="1115"/>
      <c r="AM1732" s="1115"/>
      <c r="AN1732" s="1115"/>
      <c r="AO1732" s="1115"/>
      <c r="AP1732" s="1115"/>
      <c r="AQ1732" s="1115"/>
      <c r="AR1732" s="1115"/>
      <c r="AS1732" s="1117"/>
      <c r="AT1732" s="1196"/>
      <c r="AU1732" s="1193"/>
      <c r="AV1732" s="330">
        <f>SQRT(($R1732-Infrastructure!J$3)^2+($S1732-Infrastructure!K$3)^2)</f>
        <v>33.01938824</v>
      </c>
      <c r="AW1732" s="331">
        <f>SQRT(($R1732-Infrastructure!J$4)^2+($S1732-Infrastructure!K$4)^2)</f>
        <v>25.74742706</v>
      </c>
      <c r="AX1732" s="331">
        <f>SQRT(($R1732-Infrastructure!J$5)^2+($S1732-Infrastructure!K$5)^2)</f>
        <v>21.82292373</v>
      </c>
      <c r="AY1732" s="331">
        <f>SQRT(($R1732-Infrastructure!J$6)^2+($S1732-Infrastructure!K$6)^2)</f>
        <v>12.01665511</v>
      </c>
      <c r="AZ1732" s="331">
        <f>SQRT(($R1732-Infrastructure!J$7)^2+($S1732-Infrastructure!K$7)^2)</f>
        <v>3.929376541</v>
      </c>
      <c r="BA1732" s="331">
        <f>SQRT(($R1732-Infrastructure!J$8)^2+($S1732-Infrastructure!K$8)^2)</f>
        <v>9.402127419</v>
      </c>
      <c r="BB1732" s="331">
        <f>SQRT(($R1732-Infrastructure!J$9)^2+($S1732-Infrastructure!K$9)^2)</f>
        <v>18.52700731</v>
      </c>
      <c r="BC1732" s="331">
        <f>SQRT(($R1732-Infrastructure!J$10)^2+($S1732-Infrastructure!K$10)^2)</f>
        <v>21.47230775</v>
      </c>
      <c r="BD1732" s="331">
        <f>SQRT(($R1732-Infrastructure!J$11)^2+($S1732-Infrastructure!K$11)^2)</f>
        <v>31.14000642</v>
      </c>
      <c r="BE1732" s="333">
        <f>SQRT(($R1732-Infrastructure!J$12)^2+($S1732-Infrastructure!K$12)^2)</f>
        <v>51.4</v>
      </c>
      <c r="BF1732" s="330">
        <f t="shared" si="161"/>
        <v>3.929376541</v>
      </c>
      <c r="BG1732" s="333">
        <f t="shared" si="162"/>
        <v>51.4</v>
      </c>
      <c r="BH1732" s="1119"/>
      <c r="BI1732" s="319" t="str">
        <f t="shared" ref="BI1732:BR1732" si="314">IF(ISNUMBER(FIND(BI$3, $CO1732)), "Y", "")</f>
        <v/>
      </c>
      <c r="BJ1732" s="319" t="str">
        <f t="shared" si="314"/>
        <v/>
      </c>
      <c r="BK1732" s="319" t="str">
        <f t="shared" si="314"/>
        <v/>
      </c>
      <c r="BL1732" s="319" t="str">
        <f t="shared" si="314"/>
        <v>Y</v>
      </c>
      <c r="BM1732" s="319" t="str">
        <f t="shared" si="314"/>
        <v>Y</v>
      </c>
      <c r="BN1732" s="319" t="str">
        <f t="shared" si="314"/>
        <v>Y</v>
      </c>
      <c r="BO1732" s="319" t="str">
        <f t="shared" si="314"/>
        <v>Y</v>
      </c>
      <c r="BP1732" s="319" t="str">
        <f t="shared" si="314"/>
        <v/>
      </c>
      <c r="BQ1732" s="319" t="str">
        <f t="shared" si="314"/>
        <v>Y</v>
      </c>
      <c r="BR1732" s="319" t="str">
        <f t="shared" si="314"/>
        <v/>
      </c>
      <c r="BS1732" s="330">
        <f t="shared" si="185"/>
        <v>3.929376541</v>
      </c>
      <c r="BT1732" s="331">
        <f t="shared" si="170"/>
        <v>31.14000642</v>
      </c>
      <c r="BU1732" s="920">
        <v>0.41996527777777776</v>
      </c>
      <c r="BV1732" s="903">
        <f t="shared" si="186"/>
        <v>0.002777777778</v>
      </c>
      <c r="BW1732" s="908">
        <v>19.3</v>
      </c>
      <c r="BX1732" s="908">
        <v>19.8</v>
      </c>
      <c r="BY1732" s="331">
        <f t="shared" si="201"/>
        <v>15.8533908</v>
      </c>
      <c r="BZ1732" s="331"/>
      <c r="CA1732" s="462" t="str">
        <f t="shared" ref="CA1732:CJ1732" si="315">IF(ISNUMBER(FIND(BI$3, $CP1732)), "Y", "")</f>
        <v/>
      </c>
      <c r="CB1732" s="319" t="str">
        <f t="shared" si="315"/>
        <v/>
      </c>
      <c r="CC1732" s="319" t="str">
        <f t="shared" si="315"/>
        <v/>
      </c>
      <c r="CD1732" s="319" t="str">
        <f t="shared" si="315"/>
        <v>Y</v>
      </c>
      <c r="CE1732" s="319" t="str">
        <f t="shared" si="315"/>
        <v>Y</v>
      </c>
      <c r="CF1732" s="319" t="str">
        <f t="shared" si="315"/>
        <v>Y</v>
      </c>
      <c r="CG1732" s="319" t="str">
        <f t="shared" si="315"/>
        <v/>
      </c>
      <c r="CH1732" s="319" t="str">
        <f t="shared" si="315"/>
        <v/>
      </c>
      <c r="CI1732" s="319" t="str">
        <f t="shared" si="315"/>
        <v>Y</v>
      </c>
      <c r="CJ1732" s="319" t="str">
        <f t="shared" si="315"/>
        <v/>
      </c>
      <c r="CK1732" s="342">
        <f t="shared" si="182"/>
        <v>3.929376541</v>
      </c>
      <c r="CL1732" s="333">
        <f t="shared" si="183"/>
        <v>31.14000642</v>
      </c>
      <c r="CM1732" s="1079" t="s">
        <v>2510</v>
      </c>
      <c r="CN1732" s="1005" t="s">
        <v>2511</v>
      </c>
      <c r="CO1732" s="1005" t="s">
        <v>2515</v>
      </c>
      <c r="CP1732" s="1005" t="s">
        <v>2516</v>
      </c>
    </row>
    <row r="1733">
      <c r="A1733" s="266"/>
      <c r="B1733" s="1113" t="s">
        <v>1537</v>
      </c>
      <c r="C1733" s="1107">
        <v>45462.0</v>
      </c>
      <c r="D1733" s="1113" t="s">
        <v>986</v>
      </c>
      <c r="E1733" s="1108">
        <v>3.0</v>
      </c>
      <c r="F1733" s="112" t="s">
        <v>2517</v>
      </c>
      <c r="G1733" s="1110">
        <v>0.4595486111111111</v>
      </c>
      <c r="H1733" s="1110">
        <v>0.46024305555555556</v>
      </c>
      <c r="I1733" s="1110"/>
      <c r="J1733" s="1111"/>
      <c r="K1733" s="1111">
        <v>0.49166666666666664</v>
      </c>
      <c r="L1733" s="1112">
        <v>0.03125</v>
      </c>
      <c r="M1733" s="1113" t="s">
        <v>166</v>
      </c>
      <c r="N1733" s="110" t="s">
        <v>188</v>
      </c>
      <c r="O1733" s="1115" t="s">
        <v>196</v>
      </c>
      <c r="P1733" s="1115" t="s">
        <v>224</v>
      </c>
      <c r="Q1733" s="1115" t="s">
        <v>842</v>
      </c>
      <c r="R1733" s="120">
        <v>21.7</v>
      </c>
      <c r="S1733" s="1113">
        <v>39.5</v>
      </c>
      <c r="T1733" s="110">
        <v>1.3</v>
      </c>
      <c r="U1733" s="1108"/>
      <c r="V1733" s="1108"/>
      <c r="W1733" s="1108"/>
      <c r="X1733" s="1108"/>
      <c r="Y1733" s="1108"/>
      <c r="Z1733" s="1114" t="s">
        <v>387</v>
      </c>
      <c r="AA1733" s="1114"/>
      <c r="AB1733" s="1114" t="s">
        <v>416</v>
      </c>
      <c r="AC1733" s="1117">
        <v>52.5</v>
      </c>
      <c r="AD1733" s="1115"/>
      <c r="AE1733" s="1115"/>
      <c r="AF1733" s="1115"/>
      <c r="AG1733" s="1115"/>
      <c r="AH1733" s="1115"/>
      <c r="AI1733" s="1115"/>
      <c r="AJ1733" s="1117"/>
      <c r="AK1733" s="1118"/>
      <c r="AL1733" s="1115"/>
      <c r="AM1733" s="1115"/>
      <c r="AN1733" s="1115"/>
      <c r="AO1733" s="1115"/>
      <c r="AP1733" s="1115"/>
      <c r="AQ1733" s="1115"/>
      <c r="AR1733" s="1115"/>
      <c r="AS1733" s="1117"/>
      <c r="AT1733" s="1196"/>
      <c r="AU1733" s="1193"/>
      <c r="AV1733" s="330">
        <f>SQRT(($R1733-Infrastructure!J$3)^2+($S1733-Infrastructure!K$3)^2)</f>
        <v>24.42048321</v>
      </c>
      <c r="AW1733" s="331">
        <f>SQRT(($R1733-Infrastructure!J$4)^2+($S1733-Infrastructure!K$4)^2)</f>
        <v>30.90129447</v>
      </c>
      <c r="AX1733" s="331">
        <f>SQRT(($R1733-Infrastructure!J$5)^2+($S1733-Infrastructure!K$5)^2)</f>
        <v>40.83331973</v>
      </c>
      <c r="AY1733" s="331">
        <f>SQRT(($R1733-Infrastructure!J$6)^2+($S1733-Infrastructure!K$6)^2)</f>
        <v>40.88031311</v>
      </c>
      <c r="AZ1733" s="331">
        <f>SQRT(($R1733-Infrastructure!J$7)^2+($S1733-Infrastructure!K$7)^2)</f>
        <v>39.21836305</v>
      </c>
      <c r="BA1733" s="331">
        <f>SQRT(($R1733-Infrastructure!J$8)^2+($S1733-Infrastructure!K$8)^2)</f>
        <v>40.08989898</v>
      </c>
      <c r="BB1733" s="331">
        <f>SQRT(($R1733-Infrastructure!J$9)^2+($S1733-Infrastructure!K$9)^2)</f>
        <v>38.96472764</v>
      </c>
      <c r="BC1733" s="331">
        <f>SQRT(($R1733-Infrastructure!J$10)^2+($S1733-Infrastructure!K$10)^2)</f>
        <v>30.58005886</v>
      </c>
      <c r="BD1733" s="331">
        <f>SQRT(($R1733-Infrastructure!J$11)^2+($S1733-Infrastructure!K$11)^2)</f>
        <v>21.27204739</v>
      </c>
      <c r="BE1733" s="333">
        <f>SQRT(($R1733-Infrastructure!J$12)^2+($S1733-Infrastructure!K$12)^2)</f>
        <v>16.00124995</v>
      </c>
      <c r="BF1733" s="330">
        <f t="shared" si="161"/>
        <v>16.00124995</v>
      </c>
      <c r="BG1733" s="333">
        <f t="shared" si="162"/>
        <v>40.88031311</v>
      </c>
      <c r="BH1733" s="1119"/>
      <c r="BI1733" s="319" t="str">
        <f t="shared" ref="BI1733:BR1733" si="316">IF(ISNUMBER(FIND(BI$3, $CO1733)), "Y", "")</f>
        <v>Y</v>
      </c>
      <c r="BJ1733" s="319" t="str">
        <f t="shared" si="316"/>
        <v/>
      </c>
      <c r="BK1733" s="319" t="str">
        <f t="shared" si="316"/>
        <v/>
      </c>
      <c r="BL1733" s="319" t="str">
        <f t="shared" si="316"/>
        <v/>
      </c>
      <c r="BM1733" s="319" t="str">
        <f t="shared" si="316"/>
        <v/>
      </c>
      <c r="BN1733" s="319" t="str">
        <f t="shared" si="316"/>
        <v/>
      </c>
      <c r="BO1733" s="319" t="str">
        <f t="shared" si="316"/>
        <v>Y</v>
      </c>
      <c r="BP1733" s="319" t="str">
        <f t="shared" si="316"/>
        <v/>
      </c>
      <c r="BQ1733" s="319" t="str">
        <f t="shared" si="316"/>
        <v>Y</v>
      </c>
      <c r="BR1733" s="319" t="str">
        <f t="shared" si="316"/>
        <v>Y</v>
      </c>
      <c r="BS1733" s="330">
        <f t="shared" si="185"/>
        <v>16.00124995</v>
      </c>
      <c r="BT1733" s="331">
        <f t="shared" si="170"/>
        <v>38.96472764</v>
      </c>
      <c r="BU1733" s="920">
        <v>0.4600925925925926</v>
      </c>
      <c r="BV1733" s="903">
        <f t="shared" si="186"/>
        <v>0.0005439814815</v>
      </c>
      <c r="BW1733" s="908">
        <v>14.3</v>
      </c>
      <c r="BX1733" s="908">
        <v>43.1</v>
      </c>
      <c r="BY1733" s="331">
        <f t="shared" si="201"/>
        <v>8.229216245</v>
      </c>
      <c r="BZ1733" s="331"/>
      <c r="CA1733" s="462" t="str">
        <f t="shared" ref="CA1733:CJ1733" si="317">IF(ISNUMBER(FIND(BI$3, $CP1733)), "Y", "")</f>
        <v>Y</v>
      </c>
      <c r="CB1733" s="319" t="str">
        <f t="shared" si="317"/>
        <v>Y</v>
      </c>
      <c r="CC1733" s="319" t="str">
        <f t="shared" si="317"/>
        <v>Y</v>
      </c>
      <c r="CD1733" s="319" t="str">
        <f t="shared" si="317"/>
        <v>Y</v>
      </c>
      <c r="CE1733" s="319" t="str">
        <f t="shared" si="317"/>
        <v>Y</v>
      </c>
      <c r="CF1733" s="319" t="str">
        <f t="shared" si="317"/>
        <v>Y</v>
      </c>
      <c r="CG1733" s="319" t="str">
        <f t="shared" si="317"/>
        <v/>
      </c>
      <c r="CH1733" s="319" t="str">
        <f t="shared" si="317"/>
        <v/>
      </c>
      <c r="CI1733" s="319" t="str">
        <f t="shared" si="317"/>
        <v>Y</v>
      </c>
      <c r="CJ1733" s="319" t="str">
        <f t="shared" si="317"/>
        <v>Y</v>
      </c>
      <c r="CK1733" s="342">
        <f t="shared" si="182"/>
        <v>16.00124995</v>
      </c>
      <c r="CL1733" s="333">
        <f t="shared" si="183"/>
        <v>40.88031311</v>
      </c>
      <c r="CM1733" s="1079" t="s">
        <v>2487</v>
      </c>
      <c r="CN1733" s="1005" t="s">
        <v>2511</v>
      </c>
      <c r="CO1733" s="1005" t="s">
        <v>2518</v>
      </c>
      <c r="CP1733" s="1005" t="s">
        <v>2519</v>
      </c>
    </row>
    <row r="1734">
      <c r="A1734" s="266"/>
      <c r="B1734" s="1113" t="s">
        <v>1537</v>
      </c>
      <c r="C1734" s="1107">
        <v>45462.0</v>
      </c>
      <c r="D1734" s="1113" t="s">
        <v>986</v>
      </c>
      <c r="E1734" s="1108">
        <v>5.0</v>
      </c>
      <c r="F1734" s="112" t="s">
        <v>2520</v>
      </c>
      <c r="G1734" s="1110">
        <v>0.5432870370370371</v>
      </c>
      <c r="H1734" s="1110">
        <v>0.54375</v>
      </c>
      <c r="I1734" s="1110"/>
      <c r="J1734" s="1111"/>
      <c r="K1734" s="1111">
        <v>0.5751157407407408</v>
      </c>
      <c r="L1734" s="1112">
        <v>0.03125</v>
      </c>
      <c r="M1734" s="1113" t="s">
        <v>166</v>
      </c>
      <c r="N1734" s="110" t="s">
        <v>188</v>
      </c>
      <c r="O1734" s="1115" t="s">
        <v>378</v>
      </c>
      <c r="P1734" s="1115" t="s">
        <v>225</v>
      </c>
      <c r="Q1734" s="1115" t="s">
        <v>842</v>
      </c>
      <c r="R1734" s="120">
        <v>22.7</v>
      </c>
      <c r="S1734" s="1113">
        <v>39.7</v>
      </c>
      <c r="T1734" s="110">
        <v>1.1</v>
      </c>
      <c r="U1734" s="1108"/>
      <c r="V1734" s="1108"/>
      <c r="W1734" s="1108"/>
      <c r="X1734" s="1108"/>
      <c r="Y1734" s="1108"/>
      <c r="Z1734" s="1114" t="s">
        <v>1140</v>
      </c>
      <c r="AA1734" s="1114"/>
      <c r="AB1734" s="1114" t="s">
        <v>407</v>
      </c>
      <c r="AC1734" s="1117">
        <v>15.75</v>
      </c>
      <c r="AD1734" s="1115"/>
      <c r="AE1734" s="1115"/>
      <c r="AF1734" s="1115"/>
      <c r="AG1734" s="1115"/>
      <c r="AH1734" s="1115"/>
      <c r="AI1734" s="1115"/>
      <c r="AJ1734" s="1117"/>
      <c r="AK1734" s="1118"/>
      <c r="AL1734" s="1115"/>
      <c r="AM1734" s="1115"/>
      <c r="AN1734" s="1115"/>
      <c r="AO1734" s="1115"/>
      <c r="AP1734" s="1115"/>
      <c r="AQ1734" s="1115"/>
      <c r="AR1734" s="1115"/>
      <c r="AS1734" s="1117"/>
      <c r="AT1734" s="1196"/>
      <c r="AU1734" s="1193"/>
      <c r="AV1734" s="330">
        <f>SQRT(($R1734-Infrastructure!J$3)^2+($S1734-Infrastructure!K$3)^2)</f>
        <v>25.40944706</v>
      </c>
      <c r="AW1734" s="331">
        <f>SQRT(($R1734-Infrastructure!J$4)^2+($S1734-Infrastructure!K$4)^2)</f>
        <v>31.75862088</v>
      </c>
      <c r="AX1734" s="331">
        <f>SQRT(($R1734-Infrastructure!J$5)^2+($S1734-Infrastructure!K$5)^2)</f>
        <v>41.54708173</v>
      </c>
      <c r="AY1734" s="331">
        <f>SQRT(($R1734-Infrastructure!J$6)^2+($S1734-Infrastructure!K$6)^2)</f>
        <v>41.36568626</v>
      </c>
      <c r="AZ1734" s="331">
        <f>SQRT(($R1734-Infrastructure!J$7)^2+($S1734-Infrastructure!K$7)^2)</f>
        <v>39.46137352</v>
      </c>
      <c r="BA1734" s="331">
        <f>SQRT(($R1734-Infrastructure!J$8)^2+($S1734-Infrastructure!K$8)^2)</f>
        <v>40.08890121</v>
      </c>
      <c r="BB1734" s="331">
        <f>SQRT(($R1734-Infrastructure!J$9)^2+($S1734-Infrastructure!K$9)^2)</f>
        <v>38.68397601</v>
      </c>
      <c r="BC1734" s="331">
        <f>SQRT(($R1734-Infrastructure!J$10)^2+($S1734-Infrastructure!K$10)^2)</f>
        <v>30.15592811</v>
      </c>
      <c r="BD1734" s="331">
        <f>SQRT(($R1734-Infrastructure!J$11)^2+($S1734-Infrastructure!K$11)^2)</f>
        <v>20.51194774</v>
      </c>
      <c r="BE1734" s="333">
        <f>SQRT(($R1734-Infrastructure!J$12)^2+($S1734-Infrastructure!K$12)^2)</f>
        <v>15.84550409</v>
      </c>
      <c r="BF1734" s="330">
        <f t="shared" si="161"/>
        <v>15.84550409</v>
      </c>
      <c r="BG1734" s="333">
        <f t="shared" si="162"/>
        <v>41.54708173</v>
      </c>
      <c r="BH1734" s="1119"/>
      <c r="BI1734" s="319" t="str">
        <f t="shared" ref="BI1734:BR1734" si="318">IF(ISNUMBER(FIND(BI$3, $CO1734)), "Y", "")</f>
        <v>Y</v>
      </c>
      <c r="BJ1734" s="319" t="str">
        <f t="shared" si="318"/>
        <v/>
      </c>
      <c r="BK1734" s="319" t="str">
        <f t="shared" si="318"/>
        <v>Y</v>
      </c>
      <c r="BL1734" s="319" t="str">
        <f t="shared" si="318"/>
        <v>Y</v>
      </c>
      <c r="BM1734" s="319" t="str">
        <f t="shared" si="318"/>
        <v>Y</v>
      </c>
      <c r="BN1734" s="319" t="str">
        <f t="shared" si="318"/>
        <v>Y</v>
      </c>
      <c r="BO1734" s="319" t="str">
        <f t="shared" si="318"/>
        <v>Y</v>
      </c>
      <c r="BP1734" s="319" t="str">
        <f t="shared" si="318"/>
        <v/>
      </c>
      <c r="BQ1734" s="319" t="str">
        <f t="shared" si="318"/>
        <v>Y</v>
      </c>
      <c r="BR1734" s="319" t="str">
        <f t="shared" si="318"/>
        <v>Y</v>
      </c>
      <c r="BS1734" s="330">
        <f t="shared" si="185"/>
        <v>15.84550409</v>
      </c>
      <c r="BT1734" s="331">
        <f t="shared" si="170"/>
        <v>41.54708173</v>
      </c>
      <c r="BU1734" s="920">
        <v>0.5438541666666666</v>
      </c>
      <c r="BV1734" s="903">
        <f t="shared" si="186"/>
        <v>0.0005671296296</v>
      </c>
      <c r="BW1734" s="908">
        <v>15.4</v>
      </c>
      <c r="BX1734" s="908">
        <v>41.2</v>
      </c>
      <c r="BY1734" s="331">
        <f t="shared" si="201"/>
        <v>7.452516354</v>
      </c>
      <c r="BZ1734" s="331"/>
      <c r="CA1734" s="462" t="str">
        <f t="shared" ref="CA1734:CJ1734" si="319">IF(ISNUMBER(FIND(BI$3, $CP1734)), "Y", "")</f>
        <v>Y</v>
      </c>
      <c r="CB1734" s="319" t="str">
        <f t="shared" si="319"/>
        <v>Y</v>
      </c>
      <c r="CC1734" s="319" t="str">
        <f t="shared" si="319"/>
        <v>Y</v>
      </c>
      <c r="CD1734" s="319" t="str">
        <f t="shared" si="319"/>
        <v>Y</v>
      </c>
      <c r="CE1734" s="319" t="str">
        <f t="shared" si="319"/>
        <v>Y</v>
      </c>
      <c r="CF1734" s="319" t="str">
        <f t="shared" si="319"/>
        <v>Y</v>
      </c>
      <c r="CG1734" s="319" t="str">
        <f t="shared" si="319"/>
        <v/>
      </c>
      <c r="CH1734" s="319" t="str">
        <f t="shared" si="319"/>
        <v/>
      </c>
      <c r="CI1734" s="319" t="str">
        <f t="shared" si="319"/>
        <v>Y</v>
      </c>
      <c r="CJ1734" s="319" t="str">
        <f t="shared" si="319"/>
        <v>Y</v>
      </c>
      <c r="CK1734" s="342">
        <f t="shared" si="182"/>
        <v>15.84550409</v>
      </c>
      <c r="CL1734" s="333">
        <f t="shared" si="183"/>
        <v>41.54708173</v>
      </c>
      <c r="CM1734" s="1079" t="s">
        <v>2487</v>
      </c>
      <c r="CN1734" s="1005" t="s">
        <v>2521</v>
      </c>
      <c r="CO1734" s="1005" t="s">
        <v>2460</v>
      </c>
      <c r="CP1734" s="1005" t="s">
        <v>2519</v>
      </c>
    </row>
    <row r="1735">
      <c r="A1735" s="266"/>
      <c r="B1735" s="1113" t="s">
        <v>1537</v>
      </c>
      <c r="C1735" s="1107">
        <v>45462.0</v>
      </c>
      <c r="D1735" s="1113" t="s">
        <v>986</v>
      </c>
      <c r="E1735" s="1108">
        <v>6.0</v>
      </c>
      <c r="F1735" s="112" t="s">
        <v>2522</v>
      </c>
      <c r="G1735" s="1110">
        <v>0.5842013888888888</v>
      </c>
      <c r="H1735" s="1110">
        <v>0.5847222222222223</v>
      </c>
      <c r="I1735" s="1110"/>
      <c r="J1735" s="1111"/>
      <c r="K1735" s="1111">
        <v>0.6184027777777777</v>
      </c>
      <c r="L1735" s="1112">
        <v>0.03333333333333333</v>
      </c>
      <c r="M1735" s="1113" t="s">
        <v>166</v>
      </c>
      <c r="N1735" s="110" t="s">
        <v>188</v>
      </c>
      <c r="O1735" s="1115" t="s">
        <v>378</v>
      </c>
      <c r="P1735" s="1115" t="s">
        <v>217</v>
      </c>
      <c r="Q1735" s="1115" t="s">
        <v>851</v>
      </c>
      <c r="R1735" s="120">
        <v>22.7</v>
      </c>
      <c r="S1735" s="1113">
        <v>39.7</v>
      </c>
      <c r="T1735" s="110">
        <v>1.8</v>
      </c>
      <c r="U1735" s="1108"/>
      <c r="V1735" s="1108"/>
      <c r="W1735" s="1108"/>
      <c r="X1735" s="1108"/>
      <c r="Y1735" s="1108"/>
      <c r="Z1735" s="1114" t="s">
        <v>1221</v>
      </c>
      <c r="AA1735" s="1114"/>
      <c r="AB1735" s="1114" t="s">
        <v>398</v>
      </c>
      <c r="AC1735" s="1117">
        <v>6.0</v>
      </c>
      <c r="AD1735" s="1115"/>
      <c r="AE1735" s="1115"/>
      <c r="AF1735" s="1115"/>
      <c r="AG1735" s="1115"/>
      <c r="AH1735" s="1115"/>
      <c r="AI1735" s="1115"/>
      <c r="AJ1735" s="1117"/>
      <c r="AK1735" s="1118"/>
      <c r="AL1735" s="1115"/>
      <c r="AM1735" s="1115"/>
      <c r="AN1735" s="1115"/>
      <c r="AO1735" s="1115"/>
      <c r="AP1735" s="1115"/>
      <c r="AQ1735" s="1115"/>
      <c r="AR1735" s="1115"/>
      <c r="AS1735" s="1117"/>
      <c r="AT1735" s="1196"/>
      <c r="AU1735" s="1193"/>
      <c r="AV1735" s="330">
        <f>SQRT(($R1735-Infrastructure!J$3)^2+($S1735-Infrastructure!K$3)^2)</f>
        <v>25.40944706</v>
      </c>
      <c r="AW1735" s="331">
        <f>SQRT(($R1735-Infrastructure!J$4)^2+($S1735-Infrastructure!K$4)^2)</f>
        <v>31.75862088</v>
      </c>
      <c r="AX1735" s="331">
        <f>SQRT(($R1735-Infrastructure!J$5)^2+($S1735-Infrastructure!K$5)^2)</f>
        <v>41.54708173</v>
      </c>
      <c r="AY1735" s="331">
        <f>SQRT(($R1735-Infrastructure!J$6)^2+($S1735-Infrastructure!K$6)^2)</f>
        <v>41.36568626</v>
      </c>
      <c r="AZ1735" s="331">
        <f>SQRT(($R1735-Infrastructure!J$7)^2+($S1735-Infrastructure!K$7)^2)</f>
        <v>39.46137352</v>
      </c>
      <c r="BA1735" s="331">
        <f>SQRT(($R1735-Infrastructure!J$8)^2+($S1735-Infrastructure!K$8)^2)</f>
        <v>40.08890121</v>
      </c>
      <c r="BB1735" s="331">
        <f>SQRT(($R1735-Infrastructure!J$9)^2+($S1735-Infrastructure!K$9)^2)</f>
        <v>38.68397601</v>
      </c>
      <c r="BC1735" s="331">
        <f>SQRT(($R1735-Infrastructure!J$10)^2+($S1735-Infrastructure!K$10)^2)</f>
        <v>30.15592811</v>
      </c>
      <c r="BD1735" s="331">
        <f>SQRT(($R1735-Infrastructure!J$11)^2+($S1735-Infrastructure!K$11)^2)</f>
        <v>20.51194774</v>
      </c>
      <c r="BE1735" s="333">
        <f>SQRT(($R1735-Infrastructure!J$12)^2+($S1735-Infrastructure!K$12)^2)</f>
        <v>15.84550409</v>
      </c>
      <c r="BF1735" s="330">
        <f t="shared" si="161"/>
        <v>15.84550409</v>
      </c>
      <c r="BG1735" s="333">
        <f t="shared" si="162"/>
        <v>41.54708173</v>
      </c>
      <c r="BH1735" s="1119"/>
      <c r="BI1735" s="319" t="str">
        <f t="shared" ref="BI1735:BR1735" si="320">IF(ISNUMBER(FIND(BI$3, $CO1735)), "Y", "")</f>
        <v>Y</v>
      </c>
      <c r="BJ1735" s="319" t="str">
        <f t="shared" si="320"/>
        <v/>
      </c>
      <c r="BK1735" s="319" t="str">
        <f t="shared" si="320"/>
        <v>Y</v>
      </c>
      <c r="BL1735" s="319" t="str">
        <f t="shared" si="320"/>
        <v>Y</v>
      </c>
      <c r="BM1735" s="319" t="str">
        <f t="shared" si="320"/>
        <v/>
      </c>
      <c r="BN1735" s="319" t="str">
        <f t="shared" si="320"/>
        <v>Y</v>
      </c>
      <c r="BO1735" s="319" t="str">
        <f t="shared" si="320"/>
        <v/>
      </c>
      <c r="BP1735" s="319" t="str">
        <f t="shared" si="320"/>
        <v/>
      </c>
      <c r="BQ1735" s="319" t="str">
        <f t="shared" si="320"/>
        <v>Y</v>
      </c>
      <c r="BR1735" s="319" t="str">
        <f t="shared" si="320"/>
        <v>Y</v>
      </c>
      <c r="BS1735" s="330">
        <f t="shared" si="185"/>
        <v>15.84550409</v>
      </c>
      <c r="BT1735" s="331">
        <f t="shared" si="170"/>
        <v>41.54708173</v>
      </c>
      <c r="BU1735" s="920">
        <v>0.5847569444444445</v>
      </c>
      <c r="BV1735" s="903">
        <f t="shared" si="186"/>
        <v>0.0005555555556</v>
      </c>
      <c r="BW1735" s="908">
        <v>14.6</v>
      </c>
      <c r="BX1735" s="908">
        <v>40.0</v>
      </c>
      <c r="BY1735" s="331">
        <f t="shared" si="201"/>
        <v>8.105553652</v>
      </c>
      <c r="BZ1735" s="331"/>
      <c r="CA1735" s="462" t="str">
        <f t="shared" ref="CA1735:CJ1735" si="321">IF(ISNUMBER(FIND(BI$3, $CP1735)), "Y", "")</f>
        <v>Y</v>
      </c>
      <c r="CB1735" s="319" t="str">
        <f t="shared" si="321"/>
        <v>Y</v>
      </c>
      <c r="CC1735" s="319" t="str">
        <f t="shared" si="321"/>
        <v>Y</v>
      </c>
      <c r="CD1735" s="319" t="str">
        <f t="shared" si="321"/>
        <v>Y</v>
      </c>
      <c r="CE1735" s="319" t="str">
        <f t="shared" si="321"/>
        <v>Y</v>
      </c>
      <c r="CF1735" s="319" t="str">
        <f t="shared" si="321"/>
        <v>Y</v>
      </c>
      <c r="CG1735" s="319" t="str">
        <f t="shared" si="321"/>
        <v/>
      </c>
      <c r="CH1735" s="319" t="str">
        <f t="shared" si="321"/>
        <v/>
      </c>
      <c r="CI1735" s="319" t="str">
        <f t="shared" si="321"/>
        <v>Y</v>
      </c>
      <c r="CJ1735" s="319" t="str">
        <f t="shared" si="321"/>
        <v>Y</v>
      </c>
      <c r="CK1735" s="342">
        <f t="shared" si="182"/>
        <v>15.84550409</v>
      </c>
      <c r="CL1735" s="333">
        <f t="shared" si="183"/>
        <v>41.54708173</v>
      </c>
      <c r="CM1735" s="1079" t="s">
        <v>2457</v>
      </c>
      <c r="CN1735" s="1005" t="s">
        <v>2521</v>
      </c>
      <c r="CO1735" s="1005" t="s">
        <v>2523</v>
      </c>
      <c r="CP1735" s="1005" t="s">
        <v>2519</v>
      </c>
    </row>
    <row r="1736">
      <c r="A1736" s="266"/>
      <c r="B1736" s="1113" t="s">
        <v>1537</v>
      </c>
      <c r="C1736" s="1107">
        <v>45462.0</v>
      </c>
      <c r="D1736" s="1113" t="s">
        <v>986</v>
      </c>
      <c r="E1736" s="1108">
        <v>7.0</v>
      </c>
      <c r="F1736" s="112" t="s">
        <v>2524</v>
      </c>
      <c r="G1736" s="1110">
        <v>0.6263888888888889</v>
      </c>
      <c r="H1736" s="1110">
        <v>0.6270833333333333</v>
      </c>
      <c r="I1736" s="1110"/>
      <c r="J1736" s="1111"/>
      <c r="K1736" s="1111">
        <v>0.6583333333333333</v>
      </c>
      <c r="L1736" s="1112">
        <v>0.03125</v>
      </c>
      <c r="M1736" s="1113" t="s">
        <v>166</v>
      </c>
      <c r="N1736" s="110" t="s">
        <v>188</v>
      </c>
      <c r="O1736" s="1115" t="s">
        <v>196</v>
      </c>
      <c r="P1736" s="1115" t="s">
        <v>224</v>
      </c>
      <c r="Q1736" s="1115" t="s">
        <v>842</v>
      </c>
      <c r="R1736" s="120">
        <v>21.7</v>
      </c>
      <c r="S1736" s="1113">
        <v>39.5</v>
      </c>
      <c r="T1736" s="110">
        <v>1.3</v>
      </c>
      <c r="U1736" s="1108"/>
      <c r="V1736" s="1108"/>
      <c r="W1736" s="1108"/>
      <c r="X1736" s="1108"/>
      <c r="Y1736" s="1108"/>
      <c r="Z1736" s="1114" t="s">
        <v>387</v>
      </c>
      <c r="AA1736" s="1114"/>
      <c r="AB1736" s="1114" t="s">
        <v>416</v>
      </c>
      <c r="AC1736" s="1117">
        <v>52.5</v>
      </c>
      <c r="AD1736" s="1115"/>
      <c r="AE1736" s="1115"/>
      <c r="AF1736" s="1115"/>
      <c r="AG1736" s="1115"/>
      <c r="AH1736" s="1115"/>
      <c r="AI1736" s="1115"/>
      <c r="AJ1736" s="1117"/>
      <c r="AK1736" s="1118"/>
      <c r="AL1736" s="1115"/>
      <c r="AM1736" s="1115"/>
      <c r="AN1736" s="1115"/>
      <c r="AO1736" s="1115"/>
      <c r="AP1736" s="1115"/>
      <c r="AQ1736" s="1115"/>
      <c r="AR1736" s="1115"/>
      <c r="AS1736" s="1117"/>
      <c r="AT1736" s="1196"/>
      <c r="AU1736" s="1193"/>
      <c r="AV1736" s="330">
        <f>SQRT(($R1736-Infrastructure!J$3)^2+($S1736-Infrastructure!K$3)^2)</f>
        <v>24.42048321</v>
      </c>
      <c r="AW1736" s="331">
        <f>SQRT(($R1736-Infrastructure!J$4)^2+($S1736-Infrastructure!K$4)^2)</f>
        <v>30.90129447</v>
      </c>
      <c r="AX1736" s="331">
        <f>SQRT(($R1736-Infrastructure!J$5)^2+($S1736-Infrastructure!K$5)^2)</f>
        <v>40.83331973</v>
      </c>
      <c r="AY1736" s="331">
        <f>SQRT(($R1736-Infrastructure!J$6)^2+($S1736-Infrastructure!K$6)^2)</f>
        <v>40.88031311</v>
      </c>
      <c r="AZ1736" s="331">
        <f>SQRT(($R1736-Infrastructure!J$7)^2+($S1736-Infrastructure!K$7)^2)</f>
        <v>39.21836305</v>
      </c>
      <c r="BA1736" s="331">
        <f>SQRT(($R1736-Infrastructure!J$8)^2+($S1736-Infrastructure!K$8)^2)</f>
        <v>40.08989898</v>
      </c>
      <c r="BB1736" s="331">
        <f>SQRT(($R1736-Infrastructure!J$9)^2+($S1736-Infrastructure!K$9)^2)</f>
        <v>38.96472764</v>
      </c>
      <c r="BC1736" s="331">
        <f>SQRT(($R1736-Infrastructure!J$10)^2+($S1736-Infrastructure!K$10)^2)</f>
        <v>30.58005886</v>
      </c>
      <c r="BD1736" s="331">
        <f>SQRT(($R1736-Infrastructure!J$11)^2+($S1736-Infrastructure!K$11)^2)</f>
        <v>21.27204739</v>
      </c>
      <c r="BE1736" s="333">
        <f>SQRT(($R1736-Infrastructure!J$12)^2+($S1736-Infrastructure!K$12)^2)</f>
        <v>16.00124995</v>
      </c>
      <c r="BF1736" s="330">
        <f t="shared" si="161"/>
        <v>16.00124995</v>
      </c>
      <c r="BG1736" s="333">
        <f t="shared" si="162"/>
        <v>40.88031311</v>
      </c>
      <c r="BH1736" s="1119"/>
      <c r="BI1736" s="319" t="str">
        <f t="shared" ref="BI1736:BR1736" si="322">IF(ISNUMBER(FIND(BI$3, $CO1736)), "Y", "")</f>
        <v>Y</v>
      </c>
      <c r="BJ1736" s="319" t="str">
        <f t="shared" si="322"/>
        <v/>
      </c>
      <c r="BK1736" s="319" t="str">
        <f t="shared" si="322"/>
        <v/>
      </c>
      <c r="BL1736" s="319" t="str">
        <f t="shared" si="322"/>
        <v/>
      </c>
      <c r="BM1736" s="319" t="str">
        <f t="shared" si="322"/>
        <v>Y</v>
      </c>
      <c r="BN1736" s="319" t="str">
        <f t="shared" si="322"/>
        <v>Y</v>
      </c>
      <c r="BO1736" s="319" t="str">
        <f t="shared" si="322"/>
        <v>Y</v>
      </c>
      <c r="BP1736" s="319" t="str">
        <f t="shared" si="322"/>
        <v/>
      </c>
      <c r="BQ1736" s="319" t="str">
        <f t="shared" si="322"/>
        <v>Y</v>
      </c>
      <c r="BR1736" s="319" t="str">
        <f t="shared" si="322"/>
        <v>Y</v>
      </c>
      <c r="BS1736" s="330">
        <f t="shared" si="185"/>
        <v>16.00124995</v>
      </c>
      <c r="BT1736" s="331">
        <f t="shared" si="170"/>
        <v>40.08989898</v>
      </c>
      <c r="BU1736" s="920">
        <v>0.6268055555555555</v>
      </c>
      <c r="BV1736" s="903">
        <f t="shared" si="186"/>
        <v>0.0004166666667</v>
      </c>
      <c r="BW1736" s="908">
        <v>12.9</v>
      </c>
      <c r="BX1736" s="908">
        <v>41.2</v>
      </c>
      <c r="BY1736" s="331">
        <f t="shared" si="201"/>
        <v>8.962700486</v>
      </c>
      <c r="BZ1736" s="331"/>
      <c r="CA1736" s="462" t="str">
        <f t="shared" ref="CA1736:CJ1736" si="323">IF(ISNUMBER(FIND(BI$3, $CP1736)), "Y", "")</f>
        <v>Y</v>
      </c>
      <c r="CB1736" s="319" t="str">
        <f t="shared" si="323"/>
        <v>Y</v>
      </c>
      <c r="CC1736" s="319" t="str">
        <f t="shared" si="323"/>
        <v>Y</v>
      </c>
      <c r="CD1736" s="319" t="str">
        <f t="shared" si="323"/>
        <v>Y</v>
      </c>
      <c r="CE1736" s="319" t="str">
        <f t="shared" si="323"/>
        <v>Y</v>
      </c>
      <c r="CF1736" s="319" t="str">
        <f t="shared" si="323"/>
        <v>Y</v>
      </c>
      <c r="CG1736" s="319" t="str">
        <f t="shared" si="323"/>
        <v/>
      </c>
      <c r="CH1736" s="319" t="str">
        <f t="shared" si="323"/>
        <v/>
      </c>
      <c r="CI1736" s="319" t="str">
        <f t="shared" si="323"/>
        <v>Y</v>
      </c>
      <c r="CJ1736" s="319" t="str">
        <f t="shared" si="323"/>
        <v>Y</v>
      </c>
      <c r="CK1736" s="342">
        <f t="shared" si="182"/>
        <v>16.00124995</v>
      </c>
      <c r="CL1736" s="333">
        <f t="shared" si="183"/>
        <v>40.88031311</v>
      </c>
      <c r="CM1736" s="1079" t="s">
        <v>2487</v>
      </c>
      <c r="CN1736" s="1005" t="s">
        <v>2521</v>
      </c>
      <c r="CO1736" s="1005" t="s">
        <v>2507</v>
      </c>
      <c r="CP1736" s="1005" t="s">
        <v>2519</v>
      </c>
    </row>
    <row r="1737">
      <c r="A1737" s="1258"/>
      <c r="B1737" s="1129" t="s">
        <v>1537</v>
      </c>
      <c r="C1737" s="1122">
        <v>45462.0</v>
      </c>
      <c r="D1737" s="1129" t="s">
        <v>986</v>
      </c>
      <c r="E1737" s="1124">
        <v>8.0</v>
      </c>
      <c r="F1737" s="108" t="s">
        <v>2525</v>
      </c>
      <c r="G1737" s="1126">
        <v>0.6682291666666667</v>
      </c>
      <c r="H1737" s="1126">
        <v>0.6690972222222222</v>
      </c>
      <c r="I1737" s="1126"/>
      <c r="J1737" s="1127"/>
      <c r="K1737" s="1127">
        <v>0.7013888888888888</v>
      </c>
      <c r="L1737" s="1128">
        <v>0.03194444444444444</v>
      </c>
      <c r="M1737" s="1129" t="s">
        <v>166</v>
      </c>
      <c r="N1737" s="100" t="s">
        <v>187</v>
      </c>
      <c r="O1737" s="1131" t="s">
        <v>204</v>
      </c>
      <c r="P1737" s="1131" t="s">
        <v>215</v>
      </c>
      <c r="Q1737" s="1132"/>
      <c r="R1737" s="137">
        <v>18.5</v>
      </c>
      <c r="S1737" s="1129">
        <v>3.3</v>
      </c>
      <c r="T1737" s="100">
        <v>1.9</v>
      </c>
      <c r="U1737" s="1124"/>
      <c r="V1737" s="1124"/>
      <c r="W1737" s="1124"/>
      <c r="X1737" s="1124"/>
      <c r="Y1737" s="1124"/>
      <c r="Z1737" s="1130" t="s">
        <v>365</v>
      </c>
      <c r="AA1737" s="1130"/>
      <c r="AB1737" s="1130" t="s">
        <v>388</v>
      </c>
      <c r="AC1737" s="1133">
        <v>8.0</v>
      </c>
      <c r="AD1737" s="1131"/>
      <c r="AE1737" s="1131"/>
      <c r="AF1737" s="1131"/>
      <c r="AG1737" s="1131"/>
      <c r="AH1737" s="1131"/>
      <c r="AI1737" s="1131"/>
      <c r="AJ1737" s="1133"/>
      <c r="AK1737" s="1134"/>
      <c r="AL1737" s="1131"/>
      <c r="AM1737" s="1131"/>
      <c r="AN1737" s="1131"/>
      <c r="AO1737" s="1131"/>
      <c r="AP1737" s="1131"/>
      <c r="AQ1737" s="1131"/>
      <c r="AR1737" s="1131"/>
      <c r="AS1737" s="1133"/>
      <c r="AT1737" s="1197"/>
      <c r="AU1737" s="1194"/>
      <c r="AV1737" s="662">
        <f>SQRT(($R1737-Infrastructure!J$3)^2+($S1737-Infrastructure!K$3)^2)</f>
        <v>31.76161205</v>
      </c>
      <c r="AW1737" s="641">
        <f>SQRT(($R1737-Infrastructure!J$4)^2+($S1737-Infrastructure!K$4)^2)</f>
        <v>23.7421566</v>
      </c>
      <c r="AX1737" s="641">
        <f>SQRT(($R1737-Infrastructure!J$5)^2+($S1737-Infrastructure!K$5)^2)</f>
        <v>18.88597363</v>
      </c>
      <c r="AY1737" s="641">
        <f>SQRT(($R1737-Infrastructure!J$6)^2+($S1737-Infrastructure!K$6)^2)</f>
        <v>8.919641248</v>
      </c>
      <c r="AZ1737" s="641">
        <f>SQRT(($R1737-Infrastructure!J$7)^2+($S1737-Infrastructure!K$7)^2)</f>
        <v>3.605551275</v>
      </c>
      <c r="BA1737" s="641">
        <f>SQRT(($R1737-Infrastructure!J$8)^2+($S1737-Infrastructure!K$8)^2)</f>
        <v>11.98165264</v>
      </c>
      <c r="BB1737" s="641">
        <f>SQRT(($R1737-Infrastructure!J$9)^2+($S1737-Infrastructure!K$9)^2)</f>
        <v>21.57521726</v>
      </c>
      <c r="BC1737" s="641">
        <f>SQRT(($R1737-Infrastructure!J$10)^2+($S1737-Infrastructure!K$10)^2)</f>
        <v>24.47733646</v>
      </c>
      <c r="BD1737" s="641">
        <f>SQRT(($R1737-Infrastructure!J$11)^2+($S1737-Infrastructure!K$11)^2)</f>
        <v>33.63599263</v>
      </c>
      <c r="BE1737" s="642">
        <f>SQRT(($R1737-Infrastructure!J$12)^2+($S1737-Infrastructure!K$12)^2)</f>
        <v>52.28613583</v>
      </c>
      <c r="BF1737" s="662">
        <f t="shared" si="161"/>
        <v>3.605551275</v>
      </c>
      <c r="BG1737" s="642">
        <f t="shared" si="162"/>
        <v>52.28613583</v>
      </c>
      <c r="BH1737" s="1135"/>
      <c r="BI1737" s="663" t="str">
        <f t="shared" ref="BI1737:BR1737" si="324">IF(ISNUMBER(FIND(BI$3, $CO1737)), "Y", "")</f>
        <v/>
      </c>
      <c r="BJ1737" s="663" t="str">
        <f t="shared" si="324"/>
        <v/>
      </c>
      <c r="BK1737" s="663" t="str">
        <f t="shared" si="324"/>
        <v>Y</v>
      </c>
      <c r="BL1737" s="663" t="str">
        <f t="shared" si="324"/>
        <v>Y</v>
      </c>
      <c r="BM1737" s="663" t="str">
        <f t="shared" si="324"/>
        <v>Y</v>
      </c>
      <c r="BN1737" s="663" t="str">
        <f t="shared" si="324"/>
        <v>Y</v>
      </c>
      <c r="BO1737" s="663" t="str">
        <f t="shared" si="324"/>
        <v>Y</v>
      </c>
      <c r="BP1737" s="663" t="str">
        <f t="shared" si="324"/>
        <v/>
      </c>
      <c r="BQ1737" s="663" t="str">
        <f t="shared" si="324"/>
        <v>Y</v>
      </c>
      <c r="BR1737" s="663" t="str">
        <f t="shared" si="324"/>
        <v>Y</v>
      </c>
      <c r="BS1737" s="662">
        <f t="shared" si="185"/>
        <v>3.605551275</v>
      </c>
      <c r="BT1737" s="641">
        <f t="shared" si="170"/>
        <v>52.28613583</v>
      </c>
      <c r="BU1737" s="937">
        <v>0.6686226851851852</v>
      </c>
      <c r="BV1737" s="930">
        <f t="shared" si="186"/>
        <v>0.0003935185185</v>
      </c>
      <c r="BW1737" s="939">
        <v>17.1</v>
      </c>
      <c r="BX1737" s="939">
        <v>11.5</v>
      </c>
      <c r="BY1737" s="641">
        <f t="shared" si="201"/>
        <v>8.318653737</v>
      </c>
      <c r="BZ1737" s="641"/>
      <c r="CA1737" s="635" t="str">
        <f t="shared" ref="CA1737:CJ1737" si="325">IF(ISNUMBER(FIND(BI$3, $CP1737)), "Y", "")</f>
        <v>Y</v>
      </c>
      <c r="CB1737" s="663" t="str">
        <f t="shared" si="325"/>
        <v>Y</v>
      </c>
      <c r="CC1737" s="663" t="str">
        <f t="shared" si="325"/>
        <v>Y</v>
      </c>
      <c r="CD1737" s="663" t="str">
        <f t="shared" si="325"/>
        <v>Y</v>
      </c>
      <c r="CE1737" s="663" t="str">
        <f t="shared" si="325"/>
        <v>Y</v>
      </c>
      <c r="CF1737" s="663" t="str">
        <f t="shared" si="325"/>
        <v>Y</v>
      </c>
      <c r="CG1737" s="663" t="str">
        <f t="shared" si="325"/>
        <v/>
      </c>
      <c r="CH1737" s="663" t="str">
        <f t="shared" si="325"/>
        <v/>
      </c>
      <c r="CI1737" s="663" t="str">
        <f t="shared" si="325"/>
        <v>Y</v>
      </c>
      <c r="CJ1737" s="663" t="str">
        <f t="shared" si="325"/>
        <v/>
      </c>
      <c r="CK1737" s="743">
        <f t="shared" si="182"/>
        <v>3.605551275</v>
      </c>
      <c r="CL1737" s="642">
        <f t="shared" si="183"/>
        <v>33.63599263</v>
      </c>
      <c r="CM1737" s="1090" t="s">
        <v>2526</v>
      </c>
      <c r="CN1737" s="1036" t="s">
        <v>2521</v>
      </c>
      <c r="CO1737" s="1036" t="s">
        <v>2527</v>
      </c>
      <c r="CP1737" s="1036" t="s">
        <v>2528</v>
      </c>
    </row>
    <row r="1738">
      <c r="A1738" s="1257" t="s">
        <v>101</v>
      </c>
      <c r="B1738" s="1113" t="s">
        <v>1537</v>
      </c>
      <c r="C1738" s="1107">
        <v>45463.0</v>
      </c>
      <c r="D1738" s="1113" t="s">
        <v>986</v>
      </c>
      <c r="E1738" s="1108">
        <v>1.0</v>
      </c>
      <c r="F1738" s="112" t="s">
        <v>2529</v>
      </c>
      <c r="G1738" s="1110">
        <v>0.375</v>
      </c>
      <c r="H1738" s="1110">
        <v>0.3753472222222222</v>
      </c>
      <c r="I1738" s="1110"/>
      <c r="J1738" s="1111"/>
      <c r="K1738" s="1111">
        <v>0.4079861111111111</v>
      </c>
      <c r="L1738" s="1112">
        <v>0.03263888888888889</v>
      </c>
      <c r="M1738" s="1113" t="s">
        <v>166</v>
      </c>
      <c r="N1738" s="110" t="s">
        <v>188</v>
      </c>
      <c r="O1738" s="1115" t="s">
        <v>378</v>
      </c>
      <c r="P1738" s="1115" t="s">
        <v>225</v>
      </c>
      <c r="Q1738" s="1115" t="s">
        <v>842</v>
      </c>
      <c r="R1738" s="120">
        <v>22.7</v>
      </c>
      <c r="S1738" s="1113">
        <v>39.7</v>
      </c>
      <c r="T1738" s="110">
        <v>1.1</v>
      </c>
      <c r="U1738" s="1108"/>
      <c r="V1738" s="1108"/>
      <c r="W1738" s="1108"/>
      <c r="X1738" s="1108"/>
      <c r="Y1738" s="1108"/>
      <c r="Z1738" s="1114" t="s">
        <v>1140</v>
      </c>
      <c r="AA1738" s="1114"/>
      <c r="AB1738" s="1114" t="s">
        <v>407</v>
      </c>
      <c r="AC1738" s="1117">
        <v>15.75</v>
      </c>
      <c r="AD1738" s="1115"/>
      <c r="AE1738" s="1115"/>
      <c r="AF1738" s="1115"/>
      <c r="AG1738" s="1115"/>
      <c r="AH1738" s="1115"/>
      <c r="AI1738" s="1115"/>
      <c r="AJ1738" s="1117"/>
      <c r="AK1738" s="1118"/>
      <c r="AL1738" s="1115"/>
      <c r="AM1738" s="1115"/>
      <c r="AN1738" s="1115"/>
      <c r="AO1738" s="1115"/>
      <c r="AP1738" s="1115"/>
      <c r="AQ1738" s="1115"/>
      <c r="AR1738" s="1115"/>
      <c r="AS1738" s="1117"/>
      <c r="AT1738" s="1196"/>
      <c r="AU1738" s="1193"/>
      <c r="AV1738" s="330">
        <f>SQRT(($R1738-Infrastructure!J$3)^2+($S1738-Infrastructure!K$3)^2)</f>
        <v>25.40944706</v>
      </c>
      <c r="AW1738" s="331">
        <f>SQRT(($R1738-Infrastructure!J$4)^2+($S1738-Infrastructure!K$4)^2)</f>
        <v>31.75862088</v>
      </c>
      <c r="AX1738" s="331">
        <f>SQRT(($R1738-Infrastructure!J$5)^2+($S1738-Infrastructure!K$5)^2)</f>
        <v>41.54708173</v>
      </c>
      <c r="AY1738" s="331">
        <f>SQRT(($R1738-Infrastructure!J$6)^2+($S1738-Infrastructure!K$6)^2)</f>
        <v>41.36568626</v>
      </c>
      <c r="AZ1738" s="331">
        <f>SQRT(($R1738-Infrastructure!J$7)^2+($S1738-Infrastructure!K$7)^2)</f>
        <v>39.46137352</v>
      </c>
      <c r="BA1738" s="331">
        <f>SQRT(($R1738-Infrastructure!J$8)^2+($S1738-Infrastructure!K$8)^2)</f>
        <v>40.08890121</v>
      </c>
      <c r="BB1738" s="331">
        <f>SQRT(($R1738-Infrastructure!J$9)^2+($S1738-Infrastructure!K$9)^2)</f>
        <v>38.68397601</v>
      </c>
      <c r="BC1738" s="331">
        <f>SQRT(($R1738-Infrastructure!J$10)^2+($S1738-Infrastructure!K$10)^2)</f>
        <v>30.15592811</v>
      </c>
      <c r="BD1738" s="331">
        <f>SQRT(($R1738-Infrastructure!J$11)^2+($S1738-Infrastructure!K$11)^2)</f>
        <v>20.51194774</v>
      </c>
      <c r="BE1738" s="333">
        <f>SQRT(($R1738-Infrastructure!J$12)^2+($S1738-Infrastructure!K$12)^2)</f>
        <v>15.84550409</v>
      </c>
      <c r="BF1738" s="330">
        <f t="shared" si="161"/>
        <v>15.84550409</v>
      </c>
      <c r="BG1738" s="333">
        <f t="shared" si="162"/>
        <v>41.54708173</v>
      </c>
      <c r="BH1738" s="1119"/>
      <c r="BI1738" s="319" t="str">
        <f t="shared" ref="BI1738:BR1738" si="326">IF(ISNUMBER(FIND(BI$3, $CO1738)), "Y", "")</f>
        <v>Y</v>
      </c>
      <c r="BJ1738" s="319" t="str">
        <f t="shared" si="326"/>
        <v/>
      </c>
      <c r="BK1738" s="319" t="str">
        <f t="shared" si="326"/>
        <v>Y</v>
      </c>
      <c r="BL1738" s="319" t="str">
        <f t="shared" si="326"/>
        <v/>
      </c>
      <c r="BM1738" s="319" t="str">
        <f t="shared" si="326"/>
        <v/>
      </c>
      <c r="BN1738" s="319" t="str">
        <f t="shared" si="326"/>
        <v/>
      </c>
      <c r="BO1738" s="319" t="str">
        <f t="shared" si="326"/>
        <v/>
      </c>
      <c r="BP1738" s="319" t="str">
        <f t="shared" si="326"/>
        <v/>
      </c>
      <c r="BQ1738" s="319" t="str">
        <f t="shared" si="326"/>
        <v>Y</v>
      </c>
      <c r="BR1738" s="319" t="str">
        <f t="shared" si="326"/>
        <v>Y</v>
      </c>
      <c r="BS1738" s="330">
        <f t="shared" si="185"/>
        <v>15.84550409</v>
      </c>
      <c r="BT1738" s="331">
        <f t="shared" si="170"/>
        <v>41.54708173</v>
      </c>
      <c r="BU1738" s="920">
        <v>0.3885648148148148</v>
      </c>
      <c r="BV1738" s="903">
        <f t="shared" si="186"/>
        <v>0.01356481481</v>
      </c>
      <c r="BW1738" s="908">
        <v>17.4</v>
      </c>
      <c r="BX1738" s="908">
        <v>31.8</v>
      </c>
      <c r="BY1738" s="331">
        <f t="shared" si="201"/>
        <v>9.513148795</v>
      </c>
      <c r="BZ1738" s="331"/>
      <c r="CA1738" s="462" t="str">
        <f t="shared" ref="CA1738:CJ1738" si="327">IF(ISNUMBER(FIND(BI$3, $CP1738)), "Y", "")</f>
        <v/>
      </c>
      <c r="CB1738" s="319" t="str">
        <f t="shared" si="327"/>
        <v/>
      </c>
      <c r="CC1738" s="319" t="str">
        <f t="shared" si="327"/>
        <v/>
      </c>
      <c r="CD1738" s="319" t="str">
        <f t="shared" si="327"/>
        <v/>
      </c>
      <c r="CE1738" s="319" t="str">
        <f t="shared" si="327"/>
        <v/>
      </c>
      <c r="CF1738" s="319" t="str">
        <f t="shared" si="327"/>
        <v/>
      </c>
      <c r="CG1738" s="319" t="str">
        <f t="shared" si="327"/>
        <v/>
      </c>
      <c r="CH1738" s="319" t="str">
        <f t="shared" si="327"/>
        <v/>
      </c>
      <c r="CI1738" s="319" t="str">
        <f t="shared" si="327"/>
        <v/>
      </c>
      <c r="CJ1738" s="319" t="str">
        <f t="shared" si="327"/>
        <v/>
      </c>
      <c r="CK1738" s="342">
        <f t="shared" si="182"/>
        <v>0</v>
      </c>
      <c r="CL1738" s="333">
        <f t="shared" si="183"/>
        <v>0</v>
      </c>
      <c r="CM1738" s="1079" t="s">
        <v>2355</v>
      </c>
      <c r="CN1738" s="1005" t="s">
        <v>2530</v>
      </c>
      <c r="CO1738" s="1005" t="s">
        <v>2531</v>
      </c>
      <c r="CP1738" s="1005"/>
    </row>
    <row r="1739">
      <c r="A1739" s="266"/>
      <c r="B1739" s="1113" t="s">
        <v>1537</v>
      </c>
      <c r="C1739" s="1107">
        <v>45463.0</v>
      </c>
      <c r="D1739" s="1113" t="s">
        <v>986</v>
      </c>
      <c r="E1739" s="1108">
        <v>2.0</v>
      </c>
      <c r="F1739" s="112" t="s">
        <v>2532</v>
      </c>
      <c r="G1739" s="1110">
        <v>0.41880787037037037</v>
      </c>
      <c r="H1739" s="1110">
        <v>0.41909722222222223</v>
      </c>
      <c r="I1739" s="1110"/>
      <c r="J1739" s="1111"/>
      <c r="K1739" s="1111">
        <v>0.45069444444444445</v>
      </c>
      <c r="L1739" s="1112">
        <v>0.03125</v>
      </c>
      <c r="M1739" s="1113" t="s">
        <v>166</v>
      </c>
      <c r="N1739" s="110" t="s">
        <v>188</v>
      </c>
      <c r="O1739" s="1115" t="s">
        <v>378</v>
      </c>
      <c r="P1739" s="1115" t="s">
        <v>217</v>
      </c>
      <c r="Q1739" s="1115" t="s">
        <v>851</v>
      </c>
      <c r="R1739" s="120">
        <v>22.7</v>
      </c>
      <c r="S1739" s="1113">
        <v>39.7</v>
      </c>
      <c r="T1739" s="110">
        <v>1.8</v>
      </c>
      <c r="U1739" s="1108"/>
      <c r="V1739" s="1108"/>
      <c r="W1739" s="1108"/>
      <c r="X1739" s="1108"/>
      <c r="Y1739" s="1108"/>
      <c r="Z1739" s="1114" t="s">
        <v>1140</v>
      </c>
      <c r="AA1739" s="1114"/>
      <c r="AB1739" s="1114" t="s">
        <v>407</v>
      </c>
      <c r="AC1739" s="1117">
        <v>15.75</v>
      </c>
      <c r="AD1739" s="1115"/>
      <c r="AE1739" s="1115"/>
      <c r="AF1739" s="1115"/>
      <c r="AG1739" s="1115"/>
      <c r="AH1739" s="1115"/>
      <c r="AI1739" s="1115"/>
      <c r="AJ1739" s="1117"/>
      <c r="AK1739" s="1118"/>
      <c r="AL1739" s="1115"/>
      <c r="AM1739" s="1115"/>
      <c r="AN1739" s="1115"/>
      <c r="AO1739" s="1115"/>
      <c r="AP1739" s="1115"/>
      <c r="AQ1739" s="1115"/>
      <c r="AR1739" s="1115"/>
      <c r="AS1739" s="1117"/>
      <c r="AT1739" s="1196"/>
      <c r="AU1739" s="1193"/>
      <c r="AV1739" s="330">
        <f>SQRT(($R1739-Infrastructure!J$3)^2+($S1739-Infrastructure!K$3)^2)</f>
        <v>25.40944706</v>
      </c>
      <c r="AW1739" s="331">
        <f>SQRT(($R1739-Infrastructure!J$4)^2+($S1739-Infrastructure!K$4)^2)</f>
        <v>31.75862088</v>
      </c>
      <c r="AX1739" s="331">
        <f>SQRT(($R1739-Infrastructure!J$5)^2+($S1739-Infrastructure!K$5)^2)</f>
        <v>41.54708173</v>
      </c>
      <c r="AY1739" s="331">
        <f>SQRT(($R1739-Infrastructure!J$6)^2+($S1739-Infrastructure!K$6)^2)</f>
        <v>41.36568626</v>
      </c>
      <c r="AZ1739" s="331">
        <f>SQRT(($R1739-Infrastructure!J$7)^2+($S1739-Infrastructure!K$7)^2)</f>
        <v>39.46137352</v>
      </c>
      <c r="BA1739" s="331">
        <f>SQRT(($R1739-Infrastructure!J$8)^2+($S1739-Infrastructure!K$8)^2)</f>
        <v>40.08890121</v>
      </c>
      <c r="BB1739" s="331">
        <f>SQRT(($R1739-Infrastructure!J$9)^2+($S1739-Infrastructure!K$9)^2)</f>
        <v>38.68397601</v>
      </c>
      <c r="BC1739" s="331">
        <f>SQRT(($R1739-Infrastructure!J$10)^2+($S1739-Infrastructure!K$10)^2)</f>
        <v>30.15592811</v>
      </c>
      <c r="BD1739" s="331">
        <f>SQRT(($R1739-Infrastructure!J$11)^2+($S1739-Infrastructure!K$11)^2)</f>
        <v>20.51194774</v>
      </c>
      <c r="BE1739" s="333">
        <f>SQRT(($R1739-Infrastructure!J$12)^2+($S1739-Infrastructure!K$12)^2)</f>
        <v>15.84550409</v>
      </c>
      <c r="BF1739" s="330">
        <f t="shared" si="161"/>
        <v>15.84550409</v>
      </c>
      <c r="BG1739" s="333">
        <f t="shared" si="162"/>
        <v>41.54708173</v>
      </c>
      <c r="BH1739" s="1119"/>
      <c r="BI1739" s="319" t="str">
        <f t="shared" ref="BI1739:BR1739" si="328">IF(ISNUMBER(FIND(BI$3, $CO1739)), "Y", "")</f>
        <v>Y</v>
      </c>
      <c r="BJ1739" s="319" t="str">
        <f t="shared" si="328"/>
        <v/>
      </c>
      <c r="BK1739" s="319" t="str">
        <f t="shared" si="328"/>
        <v>Y</v>
      </c>
      <c r="BL1739" s="319" t="str">
        <f t="shared" si="328"/>
        <v/>
      </c>
      <c r="BM1739" s="319" t="str">
        <f t="shared" si="328"/>
        <v/>
      </c>
      <c r="BN1739" s="319" t="str">
        <f t="shared" si="328"/>
        <v/>
      </c>
      <c r="BO1739" s="319" t="str">
        <f t="shared" si="328"/>
        <v>Y</v>
      </c>
      <c r="BP1739" s="319" t="str">
        <f t="shared" si="328"/>
        <v>Y</v>
      </c>
      <c r="BQ1739" s="319" t="str">
        <f t="shared" si="328"/>
        <v>Y</v>
      </c>
      <c r="BR1739" s="319" t="str">
        <f t="shared" si="328"/>
        <v>Y</v>
      </c>
      <c r="BS1739" s="330">
        <f t="shared" si="185"/>
        <v>15.84550409</v>
      </c>
      <c r="BT1739" s="331">
        <f t="shared" si="170"/>
        <v>41.54708173</v>
      </c>
      <c r="BU1739" s="920">
        <v>0.41935185185185186</v>
      </c>
      <c r="BV1739" s="903">
        <f t="shared" si="186"/>
        <v>0.0005439814815</v>
      </c>
      <c r="BW1739" s="908">
        <v>19.3</v>
      </c>
      <c r="BX1739" s="908">
        <v>34.1</v>
      </c>
      <c r="BY1739" s="331">
        <f t="shared" si="201"/>
        <v>6.551335742</v>
      </c>
      <c r="BZ1739" s="331"/>
      <c r="CA1739" s="462" t="str">
        <f t="shared" ref="CA1739:CJ1739" si="329">IF(ISNUMBER(FIND(BI$3, $CP1739)), "Y", "")</f>
        <v/>
      </c>
      <c r="CB1739" s="319" t="str">
        <f t="shared" si="329"/>
        <v>Y</v>
      </c>
      <c r="CC1739" s="319" t="str">
        <f t="shared" si="329"/>
        <v/>
      </c>
      <c r="CD1739" s="319" t="str">
        <f t="shared" si="329"/>
        <v/>
      </c>
      <c r="CE1739" s="319" t="str">
        <f t="shared" si="329"/>
        <v/>
      </c>
      <c r="CF1739" s="319" t="str">
        <f t="shared" si="329"/>
        <v/>
      </c>
      <c r="CG1739" s="319" t="str">
        <f t="shared" si="329"/>
        <v>Y</v>
      </c>
      <c r="CH1739" s="319" t="str">
        <f t="shared" si="329"/>
        <v/>
      </c>
      <c r="CI1739" s="319" t="str">
        <f t="shared" si="329"/>
        <v/>
      </c>
      <c r="CJ1739" s="319" t="str">
        <f t="shared" si="329"/>
        <v/>
      </c>
      <c r="CK1739" s="342">
        <f t="shared" si="182"/>
        <v>31.75862088</v>
      </c>
      <c r="CL1739" s="333">
        <f t="shared" si="183"/>
        <v>38.68397601</v>
      </c>
      <c r="CM1739" s="1079" t="s">
        <v>2533</v>
      </c>
      <c r="CN1739" s="1005" t="s">
        <v>2530</v>
      </c>
      <c r="CO1739" s="1005" t="s">
        <v>2534</v>
      </c>
      <c r="CP1739" s="1005">
        <v>53.56</v>
      </c>
    </row>
    <row r="1740">
      <c r="A1740" s="266"/>
      <c r="B1740" s="1113" t="s">
        <v>1537</v>
      </c>
      <c r="C1740" s="1107">
        <v>45463.0</v>
      </c>
      <c r="D1740" s="1113" t="s">
        <v>986</v>
      </c>
      <c r="E1740" s="1108">
        <v>3.0</v>
      </c>
      <c r="F1740" s="112" t="s">
        <v>2535</v>
      </c>
      <c r="G1740" s="1110">
        <v>0.45868055555555554</v>
      </c>
      <c r="H1740" s="1110">
        <v>0.459375</v>
      </c>
      <c r="I1740" s="1110"/>
      <c r="J1740" s="1111"/>
      <c r="K1740" s="1111">
        <v>0.49409722222222224</v>
      </c>
      <c r="L1740" s="1112">
        <v>0.034722222222222224</v>
      </c>
      <c r="M1740" s="1113" t="s">
        <v>166</v>
      </c>
      <c r="N1740" s="110" t="s">
        <v>188</v>
      </c>
      <c r="O1740" s="1115" t="s">
        <v>378</v>
      </c>
      <c r="P1740" s="1115" t="s">
        <v>225</v>
      </c>
      <c r="Q1740" s="1115" t="s">
        <v>842</v>
      </c>
      <c r="R1740" s="120">
        <v>22.7</v>
      </c>
      <c r="S1740" s="1113">
        <v>39.7</v>
      </c>
      <c r="T1740" s="110">
        <v>1.1</v>
      </c>
      <c r="U1740" s="1108"/>
      <c r="V1740" s="1108"/>
      <c r="W1740" s="1108"/>
      <c r="X1740" s="1108"/>
      <c r="Y1740" s="1108"/>
      <c r="Z1740" s="1114" t="s">
        <v>1140</v>
      </c>
      <c r="AA1740" s="1114"/>
      <c r="AB1740" s="1114" t="s">
        <v>407</v>
      </c>
      <c r="AC1740" s="1117">
        <v>15.75</v>
      </c>
      <c r="AD1740" s="1115"/>
      <c r="AE1740" s="1115"/>
      <c r="AF1740" s="1115"/>
      <c r="AG1740" s="1115"/>
      <c r="AH1740" s="1115"/>
      <c r="AI1740" s="1115"/>
      <c r="AJ1740" s="1117"/>
      <c r="AK1740" s="1118"/>
      <c r="AL1740" s="1115"/>
      <c r="AM1740" s="1115"/>
      <c r="AN1740" s="1115"/>
      <c r="AO1740" s="1115"/>
      <c r="AP1740" s="1115"/>
      <c r="AQ1740" s="1115"/>
      <c r="AR1740" s="1115"/>
      <c r="AS1740" s="1117"/>
      <c r="AT1740" s="1196"/>
      <c r="AU1740" s="1193"/>
      <c r="AV1740" s="330">
        <f>SQRT(($R1740-Infrastructure!J$3)^2+($S1740-Infrastructure!K$3)^2)</f>
        <v>25.40944706</v>
      </c>
      <c r="AW1740" s="331">
        <f>SQRT(($R1740-Infrastructure!J$4)^2+($S1740-Infrastructure!K$4)^2)</f>
        <v>31.75862088</v>
      </c>
      <c r="AX1740" s="331">
        <f>SQRT(($R1740-Infrastructure!J$5)^2+($S1740-Infrastructure!K$5)^2)</f>
        <v>41.54708173</v>
      </c>
      <c r="AY1740" s="331">
        <f>SQRT(($R1740-Infrastructure!J$6)^2+($S1740-Infrastructure!K$6)^2)</f>
        <v>41.36568626</v>
      </c>
      <c r="AZ1740" s="331">
        <f>SQRT(($R1740-Infrastructure!J$7)^2+($S1740-Infrastructure!K$7)^2)</f>
        <v>39.46137352</v>
      </c>
      <c r="BA1740" s="331">
        <f>SQRT(($R1740-Infrastructure!J$8)^2+($S1740-Infrastructure!K$8)^2)</f>
        <v>40.08890121</v>
      </c>
      <c r="BB1740" s="331">
        <f>SQRT(($R1740-Infrastructure!J$9)^2+($S1740-Infrastructure!K$9)^2)</f>
        <v>38.68397601</v>
      </c>
      <c r="BC1740" s="331">
        <f>SQRT(($R1740-Infrastructure!J$10)^2+($S1740-Infrastructure!K$10)^2)</f>
        <v>30.15592811</v>
      </c>
      <c r="BD1740" s="331">
        <f>SQRT(($R1740-Infrastructure!J$11)^2+($S1740-Infrastructure!K$11)^2)</f>
        <v>20.51194774</v>
      </c>
      <c r="BE1740" s="333">
        <f>SQRT(($R1740-Infrastructure!J$12)^2+($S1740-Infrastructure!K$12)^2)</f>
        <v>15.84550409</v>
      </c>
      <c r="BF1740" s="330">
        <f t="shared" si="161"/>
        <v>15.84550409</v>
      </c>
      <c r="BG1740" s="333">
        <f t="shared" si="162"/>
        <v>41.54708173</v>
      </c>
      <c r="BH1740" s="1119"/>
      <c r="BI1740" s="319" t="str">
        <f t="shared" ref="BI1740:BR1740" si="330">IF(ISNUMBER(FIND(BI$3, $CO1740)), "Y", "")</f>
        <v>Y</v>
      </c>
      <c r="BJ1740" s="319" t="str">
        <f t="shared" si="330"/>
        <v/>
      </c>
      <c r="BK1740" s="319" t="str">
        <f t="shared" si="330"/>
        <v>Y</v>
      </c>
      <c r="BL1740" s="319" t="str">
        <f t="shared" si="330"/>
        <v>Y</v>
      </c>
      <c r="BM1740" s="319" t="str">
        <f t="shared" si="330"/>
        <v/>
      </c>
      <c r="BN1740" s="319" t="str">
        <f t="shared" si="330"/>
        <v/>
      </c>
      <c r="BO1740" s="319" t="str">
        <f t="shared" si="330"/>
        <v/>
      </c>
      <c r="BP1740" s="319" t="str">
        <f t="shared" si="330"/>
        <v>Y</v>
      </c>
      <c r="BQ1740" s="319" t="str">
        <f t="shared" si="330"/>
        <v>Y</v>
      </c>
      <c r="BR1740" s="319" t="str">
        <f t="shared" si="330"/>
        <v>Y</v>
      </c>
      <c r="BS1740" s="330">
        <f t="shared" si="185"/>
        <v>15.84550409</v>
      </c>
      <c r="BT1740" s="331">
        <f t="shared" si="170"/>
        <v>41.54708173</v>
      </c>
      <c r="BU1740" s="920">
        <v>0.4592939814814815</v>
      </c>
      <c r="BV1740" s="903">
        <f t="shared" si="186"/>
        <v>0.0006134259259</v>
      </c>
      <c r="BW1740" s="908">
        <v>18.8</v>
      </c>
      <c r="BX1740" s="908">
        <v>35.1</v>
      </c>
      <c r="BY1740" s="331">
        <f t="shared" si="201"/>
        <v>6.030754513</v>
      </c>
      <c r="BZ1740" s="331"/>
      <c r="CA1740" s="462" t="str">
        <f t="shared" ref="CA1740:CJ1740" si="331">IF(ISNUMBER(FIND(BI$3, $CP1740)), "Y", "")</f>
        <v/>
      </c>
      <c r="CB1740" s="319" t="str">
        <f t="shared" si="331"/>
        <v/>
      </c>
      <c r="CC1740" s="319" t="str">
        <f t="shared" si="331"/>
        <v/>
      </c>
      <c r="CD1740" s="319" t="str">
        <f t="shared" si="331"/>
        <v/>
      </c>
      <c r="CE1740" s="319" t="str">
        <f t="shared" si="331"/>
        <v/>
      </c>
      <c r="CF1740" s="319" t="str">
        <f t="shared" si="331"/>
        <v/>
      </c>
      <c r="CG1740" s="319" t="str">
        <f t="shared" si="331"/>
        <v/>
      </c>
      <c r="CH1740" s="319" t="str">
        <f t="shared" si="331"/>
        <v/>
      </c>
      <c r="CI1740" s="319" t="str">
        <f t="shared" si="331"/>
        <v/>
      </c>
      <c r="CJ1740" s="319" t="str">
        <f t="shared" si="331"/>
        <v/>
      </c>
      <c r="CK1740" s="342">
        <f t="shared" si="182"/>
        <v>0</v>
      </c>
      <c r="CL1740" s="333">
        <f t="shared" si="183"/>
        <v>0</v>
      </c>
      <c r="CM1740" s="1079" t="s">
        <v>2355</v>
      </c>
      <c r="CN1740" s="1005" t="s">
        <v>2530</v>
      </c>
      <c r="CO1740" s="1005" t="s">
        <v>2536</v>
      </c>
      <c r="CP1740" s="1005"/>
    </row>
    <row r="1741">
      <c r="A1741" s="266"/>
      <c r="B1741" s="1113" t="s">
        <v>1537</v>
      </c>
      <c r="C1741" s="1107">
        <v>45463.0</v>
      </c>
      <c r="D1741" s="1113" t="s">
        <v>986</v>
      </c>
      <c r="E1741" s="1108">
        <v>4.0</v>
      </c>
      <c r="F1741" s="112" t="s">
        <v>2537</v>
      </c>
      <c r="G1741" s="1110">
        <v>0.5020833333333333</v>
      </c>
      <c r="H1741" s="1110">
        <v>0.5027777777777778</v>
      </c>
      <c r="I1741" s="1110"/>
      <c r="J1741" s="1111"/>
      <c r="K1741" s="1111">
        <v>0.5354166666666667</v>
      </c>
      <c r="L1741" s="1112">
        <v>0.03263888888888889</v>
      </c>
      <c r="M1741" s="1113" t="s">
        <v>166</v>
      </c>
      <c r="N1741" s="110" t="s">
        <v>188</v>
      </c>
      <c r="O1741" s="1115" t="s">
        <v>378</v>
      </c>
      <c r="P1741" s="1115" t="s">
        <v>225</v>
      </c>
      <c r="Q1741" s="1115" t="s">
        <v>842</v>
      </c>
      <c r="R1741" s="120">
        <v>22.7</v>
      </c>
      <c r="S1741" s="1113">
        <v>39.7</v>
      </c>
      <c r="T1741" s="110">
        <v>1.1</v>
      </c>
      <c r="U1741" s="1108"/>
      <c r="V1741" s="1108"/>
      <c r="W1741" s="1108"/>
      <c r="X1741" s="1108"/>
      <c r="Y1741" s="1108"/>
      <c r="Z1741" s="1114" t="s">
        <v>1140</v>
      </c>
      <c r="AA1741" s="1114"/>
      <c r="AB1741" s="1114" t="s">
        <v>407</v>
      </c>
      <c r="AC1741" s="1117">
        <v>15.75</v>
      </c>
      <c r="AD1741" s="1115"/>
      <c r="AE1741" s="1115"/>
      <c r="AF1741" s="1115"/>
      <c r="AG1741" s="1115"/>
      <c r="AH1741" s="1115"/>
      <c r="AI1741" s="1115"/>
      <c r="AJ1741" s="1117"/>
      <c r="AK1741" s="1118"/>
      <c r="AL1741" s="1115"/>
      <c r="AM1741" s="1115"/>
      <c r="AN1741" s="1115"/>
      <c r="AO1741" s="1115"/>
      <c r="AP1741" s="1115"/>
      <c r="AQ1741" s="1115"/>
      <c r="AR1741" s="1115"/>
      <c r="AS1741" s="1117"/>
      <c r="AT1741" s="1196"/>
      <c r="AU1741" s="1193"/>
      <c r="AV1741" s="330">
        <f>SQRT(($R1741-Infrastructure!J$3)^2+($S1741-Infrastructure!K$3)^2)</f>
        <v>25.40944706</v>
      </c>
      <c r="AW1741" s="331">
        <f>SQRT(($R1741-Infrastructure!J$4)^2+($S1741-Infrastructure!K$4)^2)</f>
        <v>31.75862088</v>
      </c>
      <c r="AX1741" s="331">
        <f>SQRT(($R1741-Infrastructure!J$5)^2+($S1741-Infrastructure!K$5)^2)</f>
        <v>41.54708173</v>
      </c>
      <c r="AY1741" s="331">
        <f>SQRT(($R1741-Infrastructure!J$6)^2+($S1741-Infrastructure!K$6)^2)</f>
        <v>41.36568626</v>
      </c>
      <c r="AZ1741" s="331">
        <f>SQRT(($R1741-Infrastructure!J$7)^2+($S1741-Infrastructure!K$7)^2)</f>
        <v>39.46137352</v>
      </c>
      <c r="BA1741" s="331">
        <f>SQRT(($R1741-Infrastructure!J$8)^2+($S1741-Infrastructure!K$8)^2)</f>
        <v>40.08890121</v>
      </c>
      <c r="BB1741" s="331">
        <f>SQRT(($R1741-Infrastructure!J$9)^2+($S1741-Infrastructure!K$9)^2)</f>
        <v>38.68397601</v>
      </c>
      <c r="BC1741" s="331">
        <f>SQRT(($R1741-Infrastructure!J$10)^2+($S1741-Infrastructure!K$10)^2)</f>
        <v>30.15592811</v>
      </c>
      <c r="BD1741" s="331">
        <f>SQRT(($R1741-Infrastructure!J$11)^2+($S1741-Infrastructure!K$11)^2)</f>
        <v>20.51194774</v>
      </c>
      <c r="BE1741" s="333">
        <f>SQRT(($R1741-Infrastructure!J$12)^2+($S1741-Infrastructure!K$12)^2)</f>
        <v>15.84550409</v>
      </c>
      <c r="BF1741" s="330">
        <f t="shared" si="161"/>
        <v>15.84550409</v>
      </c>
      <c r="BG1741" s="333">
        <f t="shared" si="162"/>
        <v>41.54708173</v>
      </c>
      <c r="BH1741" s="1119"/>
      <c r="BI1741" s="319" t="str">
        <f t="shared" ref="BI1741:BR1741" si="332">IF(ISNUMBER(FIND(BI$3, $CO1741)), "Y", "")</f>
        <v>Y</v>
      </c>
      <c r="BJ1741" s="319" t="str">
        <f t="shared" si="332"/>
        <v>Y</v>
      </c>
      <c r="BK1741" s="319" t="str">
        <f t="shared" si="332"/>
        <v>Y</v>
      </c>
      <c r="BL1741" s="319" t="str">
        <f t="shared" si="332"/>
        <v>Y</v>
      </c>
      <c r="BM1741" s="319" t="str">
        <f t="shared" si="332"/>
        <v>Y</v>
      </c>
      <c r="BN1741" s="319" t="str">
        <f t="shared" si="332"/>
        <v>Y</v>
      </c>
      <c r="BO1741" s="319" t="str">
        <f t="shared" si="332"/>
        <v>Y</v>
      </c>
      <c r="BP1741" s="319" t="str">
        <f t="shared" si="332"/>
        <v>Y</v>
      </c>
      <c r="BQ1741" s="319" t="str">
        <f t="shared" si="332"/>
        <v>Y</v>
      </c>
      <c r="BR1741" s="319" t="str">
        <f t="shared" si="332"/>
        <v>Y</v>
      </c>
      <c r="BS1741" s="330">
        <f t="shared" si="185"/>
        <v>15.84550409</v>
      </c>
      <c r="BT1741" s="331">
        <f t="shared" si="170"/>
        <v>41.54708173</v>
      </c>
      <c r="BU1741" s="920">
        <v>0.5026388888888889</v>
      </c>
      <c r="BV1741" s="903">
        <f t="shared" si="186"/>
        <v>0.0005555555556</v>
      </c>
      <c r="BW1741" s="908">
        <v>12.7</v>
      </c>
      <c r="BX1741" s="908">
        <v>34.5</v>
      </c>
      <c r="BY1741" s="331">
        <f t="shared" si="201"/>
        <v>11.27120224</v>
      </c>
      <c r="BZ1741" s="331"/>
      <c r="CA1741" s="462" t="str">
        <f t="shared" ref="CA1741:CJ1741" si="333">IF(ISNUMBER(FIND(BI$3, $CP1741)), "Y", "")</f>
        <v/>
      </c>
      <c r="CB1741" s="319" t="str">
        <f t="shared" si="333"/>
        <v>Y</v>
      </c>
      <c r="CC1741" s="319" t="str">
        <f t="shared" si="333"/>
        <v/>
      </c>
      <c r="CD1741" s="319" t="str">
        <f t="shared" si="333"/>
        <v/>
      </c>
      <c r="CE1741" s="319" t="str">
        <f t="shared" si="333"/>
        <v/>
      </c>
      <c r="CF1741" s="319" t="str">
        <f t="shared" si="333"/>
        <v/>
      </c>
      <c r="CG1741" s="319" t="str">
        <f t="shared" si="333"/>
        <v/>
      </c>
      <c r="CH1741" s="319" t="str">
        <f t="shared" si="333"/>
        <v/>
      </c>
      <c r="CI1741" s="319" t="str">
        <f t="shared" si="333"/>
        <v>Y</v>
      </c>
      <c r="CJ1741" s="319" t="str">
        <f t="shared" si="333"/>
        <v>Y</v>
      </c>
      <c r="CK1741" s="342">
        <f t="shared" si="182"/>
        <v>15.84550409</v>
      </c>
      <c r="CL1741" s="333">
        <f t="shared" si="183"/>
        <v>31.75862088</v>
      </c>
      <c r="CM1741" s="1079" t="s">
        <v>2538</v>
      </c>
      <c r="CN1741" s="1005" t="s">
        <v>2530</v>
      </c>
      <c r="CO1741" s="1005" t="s">
        <v>2365</v>
      </c>
      <c r="CP1741" s="1005" t="s">
        <v>2539</v>
      </c>
    </row>
    <row r="1742">
      <c r="A1742" s="266"/>
      <c r="B1742" s="1113" t="s">
        <v>1537</v>
      </c>
      <c r="C1742" s="1107">
        <v>45463.0</v>
      </c>
      <c r="D1742" s="1113" t="s">
        <v>986</v>
      </c>
      <c r="E1742" s="1108">
        <v>5.0</v>
      </c>
      <c r="F1742" s="112" t="s">
        <v>2540</v>
      </c>
      <c r="G1742" s="1110">
        <v>0.5465277777777777</v>
      </c>
      <c r="H1742" s="1110">
        <v>0.546875</v>
      </c>
      <c r="I1742" s="1110"/>
      <c r="J1742" s="1111"/>
      <c r="K1742" s="1111">
        <v>0.5785300925925926</v>
      </c>
      <c r="L1742" s="1112">
        <v>0.03125</v>
      </c>
      <c r="M1742" s="1113" t="s">
        <v>166</v>
      </c>
      <c r="N1742" s="110" t="s">
        <v>188</v>
      </c>
      <c r="O1742" s="1115" t="s">
        <v>378</v>
      </c>
      <c r="P1742" s="1115" t="s">
        <v>217</v>
      </c>
      <c r="Q1742" s="1115" t="s">
        <v>851</v>
      </c>
      <c r="R1742" s="120">
        <v>22.7</v>
      </c>
      <c r="S1742" s="1113">
        <v>39.7</v>
      </c>
      <c r="T1742" s="110">
        <v>1.8</v>
      </c>
      <c r="U1742" s="1108"/>
      <c r="V1742" s="1108"/>
      <c r="W1742" s="1108"/>
      <c r="X1742" s="1108"/>
      <c r="Y1742" s="1108"/>
      <c r="Z1742" s="1114" t="s">
        <v>1221</v>
      </c>
      <c r="AA1742" s="1114"/>
      <c r="AB1742" s="1114" t="s">
        <v>403</v>
      </c>
      <c r="AC1742" s="1117">
        <v>8.0</v>
      </c>
      <c r="AD1742" s="1115"/>
      <c r="AE1742" s="1115"/>
      <c r="AF1742" s="1115"/>
      <c r="AG1742" s="1115"/>
      <c r="AH1742" s="1115"/>
      <c r="AI1742" s="1115"/>
      <c r="AJ1742" s="1117"/>
      <c r="AK1742" s="1118"/>
      <c r="AL1742" s="1115"/>
      <c r="AM1742" s="1115"/>
      <c r="AN1742" s="1115"/>
      <c r="AO1742" s="1115"/>
      <c r="AP1742" s="1115"/>
      <c r="AQ1742" s="1115"/>
      <c r="AR1742" s="1115"/>
      <c r="AS1742" s="1117"/>
      <c r="AT1742" s="1196"/>
      <c r="AU1742" s="1193"/>
      <c r="AV1742" s="330">
        <f>SQRT(($R1742-Infrastructure!J$3)^2+($S1742-Infrastructure!K$3)^2)</f>
        <v>25.40944706</v>
      </c>
      <c r="AW1742" s="331">
        <f>SQRT(($R1742-Infrastructure!J$4)^2+($S1742-Infrastructure!K$4)^2)</f>
        <v>31.75862088</v>
      </c>
      <c r="AX1742" s="331">
        <f>SQRT(($R1742-Infrastructure!J$5)^2+($S1742-Infrastructure!K$5)^2)</f>
        <v>41.54708173</v>
      </c>
      <c r="AY1742" s="331">
        <f>SQRT(($R1742-Infrastructure!J$6)^2+($S1742-Infrastructure!K$6)^2)</f>
        <v>41.36568626</v>
      </c>
      <c r="AZ1742" s="331">
        <f>SQRT(($R1742-Infrastructure!J$7)^2+($S1742-Infrastructure!K$7)^2)</f>
        <v>39.46137352</v>
      </c>
      <c r="BA1742" s="331">
        <f>SQRT(($R1742-Infrastructure!J$8)^2+($S1742-Infrastructure!K$8)^2)</f>
        <v>40.08890121</v>
      </c>
      <c r="BB1742" s="331">
        <f>SQRT(($R1742-Infrastructure!J$9)^2+($S1742-Infrastructure!K$9)^2)</f>
        <v>38.68397601</v>
      </c>
      <c r="BC1742" s="331">
        <f>SQRT(($R1742-Infrastructure!J$10)^2+($S1742-Infrastructure!K$10)^2)</f>
        <v>30.15592811</v>
      </c>
      <c r="BD1742" s="331">
        <f>SQRT(($R1742-Infrastructure!J$11)^2+($S1742-Infrastructure!K$11)^2)</f>
        <v>20.51194774</v>
      </c>
      <c r="BE1742" s="333">
        <f>SQRT(($R1742-Infrastructure!J$12)^2+($S1742-Infrastructure!K$12)^2)</f>
        <v>15.84550409</v>
      </c>
      <c r="BF1742" s="330">
        <f t="shared" si="161"/>
        <v>15.84550409</v>
      </c>
      <c r="BG1742" s="333">
        <f t="shared" si="162"/>
        <v>41.54708173</v>
      </c>
      <c r="BH1742" s="1119"/>
      <c r="BI1742" s="319" t="str">
        <f t="shared" ref="BI1742:BR1742" si="334">IF(ISNUMBER(FIND(BI$3, $CO1742)), "Y", "")</f>
        <v/>
      </c>
      <c r="BJ1742" s="319" t="str">
        <f t="shared" si="334"/>
        <v/>
      </c>
      <c r="BK1742" s="319" t="str">
        <f t="shared" si="334"/>
        <v/>
      </c>
      <c r="BL1742" s="319" t="str">
        <f t="shared" si="334"/>
        <v>Y</v>
      </c>
      <c r="BM1742" s="319" t="str">
        <f t="shared" si="334"/>
        <v>Y</v>
      </c>
      <c r="BN1742" s="319" t="str">
        <f t="shared" si="334"/>
        <v>Y</v>
      </c>
      <c r="BO1742" s="319" t="str">
        <f t="shared" si="334"/>
        <v>Y</v>
      </c>
      <c r="BP1742" s="319" t="str">
        <f t="shared" si="334"/>
        <v>Y</v>
      </c>
      <c r="BQ1742" s="319" t="str">
        <f t="shared" si="334"/>
        <v/>
      </c>
      <c r="BR1742" s="319" t="str">
        <f t="shared" si="334"/>
        <v>Y</v>
      </c>
      <c r="BS1742" s="330">
        <f t="shared" si="185"/>
        <v>15.84550409</v>
      </c>
      <c r="BT1742" s="331">
        <f t="shared" si="170"/>
        <v>41.36568626</v>
      </c>
      <c r="BU1742" s="920">
        <v>0.5467476851851852</v>
      </c>
      <c r="BV1742" s="903">
        <f t="shared" si="186"/>
        <v>0.0002199074074</v>
      </c>
      <c r="BW1742" s="908">
        <v>15.6</v>
      </c>
      <c r="BX1742" s="908">
        <v>18.6</v>
      </c>
      <c r="BY1742" s="331">
        <f t="shared" si="201"/>
        <v>22.26252456</v>
      </c>
      <c r="BZ1742" s="331"/>
      <c r="CA1742" s="462" t="str">
        <f t="shared" ref="CA1742:CJ1742" si="335">IF(ISNUMBER(FIND(BI$3, $CP1742)), "Y", "")</f>
        <v/>
      </c>
      <c r="CB1742" s="319" t="str">
        <f t="shared" si="335"/>
        <v/>
      </c>
      <c r="CC1742" s="319" t="str">
        <f t="shared" si="335"/>
        <v/>
      </c>
      <c r="CD1742" s="319" t="str">
        <f t="shared" si="335"/>
        <v/>
      </c>
      <c r="CE1742" s="319" t="str">
        <f t="shared" si="335"/>
        <v/>
      </c>
      <c r="CF1742" s="319" t="str">
        <f t="shared" si="335"/>
        <v/>
      </c>
      <c r="CG1742" s="319" t="str">
        <f t="shared" si="335"/>
        <v/>
      </c>
      <c r="CH1742" s="319" t="str">
        <f t="shared" si="335"/>
        <v/>
      </c>
      <c r="CI1742" s="319" t="str">
        <f t="shared" si="335"/>
        <v/>
      </c>
      <c r="CJ1742" s="319" t="str">
        <f t="shared" si="335"/>
        <v/>
      </c>
      <c r="CK1742" s="342">
        <f t="shared" si="182"/>
        <v>0</v>
      </c>
      <c r="CL1742" s="333">
        <f t="shared" si="183"/>
        <v>0</v>
      </c>
      <c r="CM1742" s="1079" t="s">
        <v>2355</v>
      </c>
      <c r="CN1742" s="1005" t="s">
        <v>2541</v>
      </c>
      <c r="CO1742" s="1005" t="s">
        <v>2542</v>
      </c>
      <c r="CP1742" s="1005"/>
    </row>
    <row r="1743">
      <c r="A1743" s="266"/>
      <c r="B1743" s="1113" t="s">
        <v>1537</v>
      </c>
      <c r="C1743" s="1107">
        <v>45463.0</v>
      </c>
      <c r="D1743" s="1113" t="s">
        <v>986</v>
      </c>
      <c r="E1743" s="1108">
        <v>6.0</v>
      </c>
      <c r="F1743" s="112" t="s">
        <v>2543</v>
      </c>
      <c r="G1743" s="1110">
        <v>0.5888888888888889</v>
      </c>
      <c r="H1743" s="1110">
        <v>0.5895833333333333</v>
      </c>
      <c r="I1743" s="1110"/>
      <c r="J1743" s="1111"/>
      <c r="K1743" s="1111">
        <v>0.6222222222222222</v>
      </c>
      <c r="L1743" s="1112">
        <v>0.03263888888888889</v>
      </c>
      <c r="M1743" s="1113" t="s">
        <v>166</v>
      </c>
      <c r="N1743" s="110" t="s">
        <v>187</v>
      </c>
      <c r="O1743" s="1115" t="s">
        <v>203</v>
      </c>
      <c r="P1743" s="1115" t="s">
        <v>227</v>
      </c>
      <c r="Q1743" s="1116"/>
      <c r="R1743" s="120">
        <v>15.5</v>
      </c>
      <c r="S1743" s="1113">
        <v>3.4</v>
      </c>
      <c r="T1743" s="110">
        <v>1.4</v>
      </c>
      <c r="U1743" s="1108"/>
      <c r="V1743" s="1108"/>
      <c r="W1743" s="1108"/>
      <c r="X1743" s="1108"/>
      <c r="Y1743" s="1108"/>
      <c r="Z1743" s="1114" t="s">
        <v>357</v>
      </c>
      <c r="AA1743" s="1114"/>
      <c r="AB1743" s="1114" t="s">
        <v>384</v>
      </c>
      <c r="AC1743" s="1117">
        <v>6.0</v>
      </c>
      <c r="AD1743" s="1115"/>
      <c r="AE1743" s="1115"/>
      <c r="AF1743" s="1115"/>
      <c r="AG1743" s="1115"/>
      <c r="AH1743" s="1115"/>
      <c r="AI1743" s="1115"/>
      <c r="AJ1743" s="1117"/>
      <c r="AK1743" s="1118"/>
      <c r="AL1743" s="1115"/>
      <c r="AM1743" s="1115"/>
      <c r="AN1743" s="1115"/>
      <c r="AO1743" s="1115"/>
      <c r="AP1743" s="1115"/>
      <c r="AQ1743" s="1115"/>
      <c r="AR1743" s="1115"/>
      <c r="AS1743" s="1117"/>
      <c r="AT1743" s="1196"/>
      <c r="AU1743" s="1193"/>
      <c r="AV1743" s="330">
        <f>SQRT(($R1743-Infrastructure!J$3)^2+($S1743-Infrastructure!K$3)^2)</f>
        <v>29.99816661</v>
      </c>
      <c r="AW1743" s="331">
        <f>SQRT(($R1743-Infrastructure!J$4)^2+($S1743-Infrastructure!K$4)^2)</f>
        <v>21.37755833</v>
      </c>
      <c r="AX1743" s="331">
        <f>SQRT(($R1743-Infrastructure!J$5)^2+($S1743-Infrastructure!K$5)^2)</f>
        <v>15.89119253</v>
      </c>
      <c r="AY1743" s="331">
        <f>SQRT(($R1743-Infrastructure!J$6)^2+($S1743-Infrastructure!K$6)^2)</f>
        <v>6.22655603</v>
      </c>
      <c r="AZ1743" s="331">
        <f>SQRT(($R1743-Infrastructure!J$7)^2+($S1743-Infrastructure!K$7)^2)</f>
        <v>5.883026432</v>
      </c>
      <c r="BA1743" s="331">
        <f>SQRT(($R1743-Infrastructure!J$8)^2+($S1743-Infrastructure!K$8)^2)</f>
        <v>14.92548157</v>
      </c>
      <c r="BB1743" s="331">
        <f>SQRT(($R1743-Infrastructure!J$9)^2+($S1743-Infrastructure!K$9)^2)</f>
        <v>24.55890877</v>
      </c>
      <c r="BC1743" s="331">
        <f>SQRT(($R1743-Infrastructure!J$10)^2+($S1743-Infrastructure!K$10)^2)</f>
        <v>27.10737907</v>
      </c>
      <c r="BD1743" s="331">
        <f>SQRT(($R1743-Infrastructure!J$11)^2+($S1743-Infrastructure!K$11)^2)</f>
        <v>35.57316404</v>
      </c>
      <c r="BE1743" s="333">
        <f>SQRT(($R1743-Infrastructure!J$12)^2+($S1743-Infrastructure!K$12)^2)</f>
        <v>52.44435146</v>
      </c>
      <c r="BF1743" s="330">
        <f t="shared" si="161"/>
        <v>5.883026432</v>
      </c>
      <c r="BG1743" s="333">
        <f t="shared" si="162"/>
        <v>52.44435146</v>
      </c>
      <c r="BH1743" s="1119"/>
      <c r="BI1743" s="319" t="str">
        <f t="shared" ref="BI1743:BR1743" si="336">IF(ISNUMBER(FIND(BI$3, $CO1743)), "Y", "")</f>
        <v>Y</v>
      </c>
      <c r="BJ1743" s="319" t="str">
        <f t="shared" si="336"/>
        <v>Y</v>
      </c>
      <c r="BK1743" s="319" t="str">
        <f t="shared" si="336"/>
        <v>Y</v>
      </c>
      <c r="BL1743" s="319" t="str">
        <f t="shared" si="336"/>
        <v>Y</v>
      </c>
      <c r="BM1743" s="319" t="str">
        <f t="shared" si="336"/>
        <v>Y</v>
      </c>
      <c r="BN1743" s="319" t="str">
        <f t="shared" si="336"/>
        <v>Y</v>
      </c>
      <c r="BO1743" s="319" t="str">
        <f t="shared" si="336"/>
        <v>Y</v>
      </c>
      <c r="BP1743" s="319" t="str">
        <f t="shared" si="336"/>
        <v>Y</v>
      </c>
      <c r="BQ1743" s="319" t="str">
        <f t="shared" si="336"/>
        <v>Y</v>
      </c>
      <c r="BR1743" s="319" t="str">
        <f t="shared" si="336"/>
        <v>Y</v>
      </c>
      <c r="BS1743" s="330">
        <f t="shared" si="185"/>
        <v>5.883026432</v>
      </c>
      <c r="BT1743" s="331">
        <f t="shared" si="170"/>
        <v>52.44435146</v>
      </c>
      <c r="BU1743" s="920">
        <v>0.5894907407407407</v>
      </c>
      <c r="BV1743" s="903">
        <f t="shared" si="186"/>
        <v>0.0006018518519</v>
      </c>
      <c r="BW1743" s="908">
        <v>10.1</v>
      </c>
      <c r="BX1743" s="908">
        <v>10.7</v>
      </c>
      <c r="BY1743" s="331">
        <f t="shared" si="201"/>
        <v>9.080198236</v>
      </c>
      <c r="BZ1743" s="331"/>
      <c r="CA1743" s="462" t="str">
        <f t="shared" ref="CA1743:CJ1743" si="337">IF(ISNUMBER(FIND(BI$3, $CP1743)), "Y", "")</f>
        <v/>
      </c>
      <c r="CB1743" s="319" t="str">
        <f t="shared" si="337"/>
        <v>Y</v>
      </c>
      <c r="CC1743" s="319" t="str">
        <f t="shared" si="337"/>
        <v>Y</v>
      </c>
      <c r="CD1743" s="319" t="str">
        <f t="shared" si="337"/>
        <v>Y</v>
      </c>
      <c r="CE1743" s="319" t="str">
        <f t="shared" si="337"/>
        <v>Y</v>
      </c>
      <c r="CF1743" s="319" t="str">
        <f t="shared" si="337"/>
        <v>Y</v>
      </c>
      <c r="CG1743" s="319" t="str">
        <f t="shared" si="337"/>
        <v>Y</v>
      </c>
      <c r="CH1743" s="319" t="str">
        <f t="shared" si="337"/>
        <v>Y</v>
      </c>
      <c r="CI1743" s="319" t="str">
        <f t="shared" si="337"/>
        <v/>
      </c>
      <c r="CJ1743" s="319" t="str">
        <f t="shared" si="337"/>
        <v/>
      </c>
      <c r="CK1743" s="342">
        <f t="shared" si="182"/>
        <v>5.883026432</v>
      </c>
      <c r="CL1743" s="333">
        <f t="shared" si="183"/>
        <v>27.10737907</v>
      </c>
      <c r="CM1743" s="1079" t="s">
        <v>2544</v>
      </c>
      <c r="CN1743" s="1005" t="s">
        <v>2541</v>
      </c>
      <c r="CO1743" s="1005" t="s">
        <v>2365</v>
      </c>
      <c r="CP1743" s="1005" t="s">
        <v>2545</v>
      </c>
    </row>
    <row r="1744">
      <c r="A1744" s="266"/>
      <c r="B1744" s="1113" t="s">
        <v>1537</v>
      </c>
      <c r="C1744" s="1107">
        <v>45463.0</v>
      </c>
      <c r="D1744" s="1113" t="s">
        <v>986</v>
      </c>
      <c r="E1744" s="1108">
        <v>7.0</v>
      </c>
      <c r="F1744" s="112" t="s">
        <v>2546</v>
      </c>
      <c r="G1744" s="1110">
        <v>0.6348379629629629</v>
      </c>
      <c r="H1744" s="1110">
        <v>0.6354166666666666</v>
      </c>
      <c r="I1744" s="1110"/>
      <c r="J1744" s="1111"/>
      <c r="K1744" s="1111">
        <v>0.6875</v>
      </c>
      <c r="L1744" s="1112">
        <v>0.052083333333333336</v>
      </c>
      <c r="M1744" s="1113" t="s">
        <v>166</v>
      </c>
      <c r="N1744" s="110" t="s">
        <v>188</v>
      </c>
      <c r="O1744" s="1115" t="s">
        <v>196</v>
      </c>
      <c r="P1744" s="1115" t="s">
        <v>224</v>
      </c>
      <c r="Q1744" s="1115" t="s">
        <v>842</v>
      </c>
      <c r="R1744" s="120">
        <v>21.7</v>
      </c>
      <c r="S1744" s="1113">
        <v>39.5</v>
      </c>
      <c r="T1744" s="110">
        <v>1.3</v>
      </c>
      <c r="U1744" s="1108"/>
      <c r="V1744" s="1108"/>
      <c r="W1744" s="1108"/>
      <c r="X1744" s="1108"/>
      <c r="Y1744" s="1108"/>
      <c r="Z1744" s="1114" t="s">
        <v>387</v>
      </c>
      <c r="AA1744" s="1114"/>
      <c r="AB1744" s="1114" t="s">
        <v>416</v>
      </c>
      <c r="AC1744" s="1117">
        <v>52.5</v>
      </c>
      <c r="AD1744" s="1115"/>
      <c r="AE1744" s="1115"/>
      <c r="AF1744" s="1115"/>
      <c r="AG1744" s="1115"/>
      <c r="AH1744" s="1115"/>
      <c r="AI1744" s="1115"/>
      <c r="AJ1744" s="1117"/>
      <c r="AK1744" s="1118"/>
      <c r="AL1744" s="1115"/>
      <c r="AM1744" s="1115"/>
      <c r="AN1744" s="1115"/>
      <c r="AO1744" s="1115"/>
      <c r="AP1744" s="1115"/>
      <c r="AQ1744" s="1115"/>
      <c r="AR1744" s="1115"/>
      <c r="AS1744" s="1117"/>
      <c r="AT1744" s="1196"/>
      <c r="AU1744" s="1193"/>
      <c r="AV1744" s="330">
        <f>SQRT(($R1744-Infrastructure!J$3)^2+($S1744-Infrastructure!K$3)^2)</f>
        <v>24.42048321</v>
      </c>
      <c r="AW1744" s="331">
        <f>SQRT(($R1744-Infrastructure!J$4)^2+($S1744-Infrastructure!K$4)^2)</f>
        <v>30.90129447</v>
      </c>
      <c r="AX1744" s="331">
        <f>SQRT(($R1744-Infrastructure!J$5)^2+($S1744-Infrastructure!K$5)^2)</f>
        <v>40.83331973</v>
      </c>
      <c r="AY1744" s="331">
        <f>SQRT(($R1744-Infrastructure!J$6)^2+($S1744-Infrastructure!K$6)^2)</f>
        <v>40.88031311</v>
      </c>
      <c r="AZ1744" s="331">
        <f>SQRT(($R1744-Infrastructure!J$7)^2+($S1744-Infrastructure!K$7)^2)</f>
        <v>39.21836305</v>
      </c>
      <c r="BA1744" s="331">
        <f>SQRT(($R1744-Infrastructure!J$8)^2+($S1744-Infrastructure!K$8)^2)</f>
        <v>40.08989898</v>
      </c>
      <c r="BB1744" s="331">
        <f>SQRT(($R1744-Infrastructure!J$9)^2+($S1744-Infrastructure!K$9)^2)</f>
        <v>38.96472764</v>
      </c>
      <c r="BC1744" s="331">
        <f>SQRT(($R1744-Infrastructure!J$10)^2+($S1744-Infrastructure!K$10)^2)</f>
        <v>30.58005886</v>
      </c>
      <c r="BD1744" s="331">
        <f>SQRT(($R1744-Infrastructure!J$11)^2+($S1744-Infrastructure!K$11)^2)</f>
        <v>21.27204739</v>
      </c>
      <c r="BE1744" s="333">
        <f>SQRT(($R1744-Infrastructure!J$12)^2+($S1744-Infrastructure!K$12)^2)</f>
        <v>16.00124995</v>
      </c>
      <c r="BF1744" s="330">
        <f t="shared" si="161"/>
        <v>16.00124995</v>
      </c>
      <c r="BG1744" s="333">
        <f t="shared" si="162"/>
        <v>40.88031311</v>
      </c>
      <c r="BH1744" s="1119"/>
      <c r="BI1744" s="319" t="str">
        <f t="shared" ref="BI1744:BR1744" si="338">IF(ISNUMBER(FIND(BI$3, $CO1744)), "Y", "")</f>
        <v>Y</v>
      </c>
      <c r="BJ1744" s="319" t="str">
        <f t="shared" si="338"/>
        <v/>
      </c>
      <c r="BK1744" s="319" t="str">
        <f t="shared" si="338"/>
        <v/>
      </c>
      <c r="BL1744" s="319" t="str">
        <f t="shared" si="338"/>
        <v/>
      </c>
      <c r="BM1744" s="319" t="str">
        <f t="shared" si="338"/>
        <v/>
      </c>
      <c r="BN1744" s="319" t="str">
        <f t="shared" si="338"/>
        <v/>
      </c>
      <c r="BO1744" s="319" t="str">
        <f t="shared" si="338"/>
        <v/>
      </c>
      <c r="BP1744" s="319" t="str">
        <f t="shared" si="338"/>
        <v>Y</v>
      </c>
      <c r="BQ1744" s="319" t="str">
        <f t="shared" si="338"/>
        <v>Y</v>
      </c>
      <c r="BR1744" s="319" t="str">
        <f t="shared" si="338"/>
        <v>Y</v>
      </c>
      <c r="BS1744" s="330">
        <f t="shared" si="185"/>
        <v>16.00124995</v>
      </c>
      <c r="BT1744" s="331">
        <f t="shared" si="170"/>
        <v>30.58005886</v>
      </c>
      <c r="BU1744" s="920">
        <v>0.6359722222222223</v>
      </c>
      <c r="BV1744" s="903">
        <f t="shared" si="186"/>
        <v>0.001134259259</v>
      </c>
      <c r="BW1744" s="908">
        <v>16.2</v>
      </c>
      <c r="BX1744" s="908">
        <v>23.0</v>
      </c>
      <c r="BY1744" s="331">
        <f t="shared" si="201"/>
        <v>17.39252713</v>
      </c>
      <c r="BZ1744" s="331"/>
      <c r="CA1744" s="462" t="str">
        <f t="shared" ref="CA1744:CJ1744" si="339">IF(ISNUMBER(FIND(BI$3, $CP1744)), "Y", "")</f>
        <v/>
      </c>
      <c r="CB1744" s="319" t="str">
        <f t="shared" si="339"/>
        <v>Y</v>
      </c>
      <c r="CC1744" s="319" t="str">
        <f t="shared" si="339"/>
        <v/>
      </c>
      <c r="CD1744" s="319" t="str">
        <f t="shared" si="339"/>
        <v/>
      </c>
      <c r="CE1744" s="319" t="str">
        <f t="shared" si="339"/>
        <v/>
      </c>
      <c r="CF1744" s="319" t="str">
        <f t="shared" si="339"/>
        <v/>
      </c>
      <c r="CG1744" s="319" t="str">
        <f t="shared" si="339"/>
        <v/>
      </c>
      <c r="CH1744" s="319" t="str">
        <f t="shared" si="339"/>
        <v/>
      </c>
      <c r="CI1744" s="319" t="str">
        <f t="shared" si="339"/>
        <v>Y</v>
      </c>
      <c r="CJ1744" s="319" t="str">
        <f t="shared" si="339"/>
        <v>Y</v>
      </c>
      <c r="CK1744" s="342">
        <f t="shared" si="182"/>
        <v>16.00124995</v>
      </c>
      <c r="CL1744" s="333">
        <f t="shared" si="183"/>
        <v>30.90129447</v>
      </c>
      <c r="CM1744" s="1079" t="s">
        <v>2547</v>
      </c>
      <c r="CN1744" s="1005" t="s">
        <v>2541</v>
      </c>
      <c r="CO1744" s="1005" t="s">
        <v>2548</v>
      </c>
      <c r="CP1744" s="1005" t="s">
        <v>2539</v>
      </c>
    </row>
    <row r="1745">
      <c r="A1745" s="1258"/>
      <c r="B1745" s="1129" t="s">
        <v>1537</v>
      </c>
      <c r="C1745" s="1122">
        <v>45463.0</v>
      </c>
      <c r="D1745" s="1129" t="s">
        <v>986</v>
      </c>
      <c r="E1745" s="1124">
        <v>8.0</v>
      </c>
      <c r="F1745" s="108" t="s">
        <v>2549</v>
      </c>
      <c r="G1745" s="1126">
        <v>0.6791666666666667</v>
      </c>
      <c r="H1745" s="1126">
        <v>0.6798611111111111</v>
      </c>
      <c r="I1745" s="1126"/>
      <c r="J1745" s="1127"/>
      <c r="K1745" s="1127">
        <v>0.7121527777777777</v>
      </c>
      <c r="L1745" s="1128">
        <v>0.03194444444444444</v>
      </c>
      <c r="M1745" s="1129" t="s">
        <v>166</v>
      </c>
      <c r="N1745" s="100" t="s">
        <v>187</v>
      </c>
      <c r="O1745" s="1131" t="s">
        <v>198</v>
      </c>
      <c r="P1745" s="1131" t="s">
        <v>223</v>
      </c>
      <c r="Q1745" s="1132"/>
      <c r="R1745" s="137">
        <v>10.0</v>
      </c>
      <c r="S1745" s="1129">
        <v>11.7</v>
      </c>
      <c r="T1745" s="100">
        <v>0.5</v>
      </c>
      <c r="U1745" s="1124"/>
      <c r="V1745" s="1124"/>
      <c r="W1745" s="1124"/>
      <c r="X1745" s="1124"/>
      <c r="Y1745" s="1124"/>
      <c r="Z1745" s="1130" t="s">
        <v>343</v>
      </c>
      <c r="AA1745" s="1130"/>
      <c r="AB1745" s="1130" t="s">
        <v>392</v>
      </c>
      <c r="AC1745" s="1133">
        <v>10.0</v>
      </c>
      <c r="AD1745" s="1131"/>
      <c r="AE1745" s="1131"/>
      <c r="AF1745" s="1131"/>
      <c r="AG1745" s="1131"/>
      <c r="AH1745" s="1131"/>
      <c r="AI1745" s="1131"/>
      <c r="AJ1745" s="1133"/>
      <c r="AK1745" s="1134"/>
      <c r="AL1745" s="1131"/>
      <c r="AM1745" s="1131"/>
      <c r="AN1745" s="1131"/>
      <c r="AO1745" s="1131"/>
      <c r="AP1745" s="1131"/>
      <c r="AQ1745" s="1131"/>
      <c r="AR1745" s="1131"/>
      <c r="AS1745" s="1133"/>
      <c r="AT1745" s="1197"/>
      <c r="AU1745" s="1194"/>
      <c r="AV1745" s="662">
        <f>SQRT(($R1745-Infrastructure!J$3)^2+($S1745-Infrastructure!K$3)^2)</f>
        <v>20.04819194</v>
      </c>
      <c r="AW1745" s="641">
        <f>SQRT(($R1745-Infrastructure!J$4)^2+($S1745-Infrastructure!K$4)^2)</f>
        <v>11.9707978</v>
      </c>
      <c r="AX1745" s="641">
        <f>SQRT(($R1745-Infrastructure!J$5)^2+($S1745-Infrastructure!K$5)^2)</f>
        <v>12.23315168</v>
      </c>
      <c r="AY1745" s="641">
        <f>SQRT(($R1745-Infrastructure!J$6)^2+($S1745-Infrastructure!K$6)^2)</f>
        <v>11.40043859</v>
      </c>
      <c r="AZ1745" s="641">
        <f>SQRT(($R1745-Infrastructure!J$7)^2+($S1745-Infrastructure!K$7)^2)</f>
        <v>15.49870962</v>
      </c>
      <c r="BA1745" s="641">
        <f>SQRT(($R1745-Infrastructure!J$8)^2+($S1745-Infrastructure!K$8)^2)</f>
        <v>23.10779089</v>
      </c>
      <c r="BB1745" s="641">
        <f>SQRT(($R1745-Infrastructure!J$9)^2+($S1745-Infrastructure!K$9)^2)</f>
        <v>30.71742177</v>
      </c>
      <c r="BC1745" s="641">
        <f>SQRT(($R1745-Infrastructure!J$10)^2+($S1745-Infrastructure!K$10)^2)</f>
        <v>30.18095426</v>
      </c>
      <c r="BD1745" s="641">
        <f>SQRT(($R1745-Infrastructure!J$11)^2+($S1745-Infrastructure!K$11)^2)</f>
        <v>34.80416642</v>
      </c>
      <c r="BE1745" s="642">
        <f>SQRT(($R1745-Infrastructure!J$12)^2+($S1745-Infrastructure!K$12)^2)</f>
        <v>45.28454482</v>
      </c>
      <c r="BF1745" s="662">
        <f t="shared" si="161"/>
        <v>11.40043859</v>
      </c>
      <c r="BG1745" s="642">
        <f t="shared" si="162"/>
        <v>45.28454482</v>
      </c>
      <c r="BH1745" s="1135"/>
      <c r="BI1745" s="663" t="str">
        <f t="shared" ref="BI1745:BR1745" si="340">IF(ISNUMBER(FIND(BI$3, $CO1745)), "Y", "")</f>
        <v>Y</v>
      </c>
      <c r="BJ1745" s="663" t="str">
        <f t="shared" si="340"/>
        <v>Y</v>
      </c>
      <c r="BK1745" s="663" t="str">
        <f t="shared" si="340"/>
        <v>Y</v>
      </c>
      <c r="BL1745" s="663" t="str">
        <f t="shared" si="340"/>
        <v/>
      </c>
      <c r="BM1745" s="663" t="str">
        <f t="shared" si="340"/>
        <v/>
      </c>
      <c r="BN1745" s="663" t="str">
        <f t="shared" si="340"/>
        <v/>
      </c>
      <c r="BO1745" s="663" t="str">
        <f t="shared" si="340"/>
        <v/>
      </c>
      <c r="BP1745" s="663" t="str">
        <f t="shared" si="340"/>
        <v>Y</v>
      </c>
      <c r="BQ1745" s="663" t="str">
        <f t="shared" si="340"/>
        <v>Y</v>
      </c>
      <c r="BR1745" s="663" t="str">
        <f t="shared" si="340"/>
        <v/>
      </c>
      <c r="BS1745" s="662">
        <f t="shared" si="185"/>
        <v>11.9707978</v>
      </c>
      <c r="BT1745" s="641">
        <f t="shared" si="170"/>
        <v>34.80416642</v>
      </c>
      <c r="BU1745" s="937">
        <v>0.6947222222222222</v>
      </c>
      <c r="BV1745" s="930">
        <f t="shared" si="186"/>
        <v>0.01555555556</v>
      </c>
      <c r="BW1745" s="939">
        <v>15.6</v>
      </c>
      <c r="BX1745" s="939">
        <v>27.6</v>
      </c>
      <c r="BY1745" s="641">
        <f t="shared" si="201"/>
        <v>16.85734261</v>
      </c>
      <c r="BZ1745" s="641"/>
      <c r="CA1745" s="635" t="str">
        <f t="shared" ref="CA1745:CJ1745" si="341">IF(ISNUMBER(FIND(BI$3, $CP1745)), "Y", "")</f>
        <v/>
      </c>
      <c r="CB1745" s="663" t="str">
        <f t="shared" si="341"/>
        <v>Y</v>
      </c>
      <c r="CC1745" s="663" t="str">
        <f t="shared" si="341"/>
        <v/>
      </c>
      <c r="CD1745" s="663" t="str">
        <f t="shared" si="341"/>
        <v/>
      </c>
      <c r="CE1745" s="663" t="str">
        <f t="shared" si="341"/>
        <v/>
      </c>
      <c r="CF1745" s="663" t="str">
        <f t="shared" si="341"/>
        <v/>
      </c>
      <c r="CG1745" s="663" t="str">
        <f t="shared" si="341"/>
        <v/>
      </c>
      <c r="CH1745" s="663" t="str">
        <f t="shared" si="341"/>
        <v/>
      </c>
      <c r="CI1745" s="663" t="str">
        <f t="shared" si="341"/>
        <v/>
      </c>
      <c r="CJ1745" s="663" t="str">
        <f t="shared" si="341"/>
        <v/>
      </c>
      <c r="CK1745" s="743">
        <f t="shared" si="182"/>
        <v>11.9707978</v>
      </c>
      <c r="CL1745" s="642">
        <f t="shared" si="183"/>
        <v>11.9707978</v>
      </c>
      <c r="CM1745" s="1090" t="s">
        <v>2550</v>
      </c>
      <c r="CN1745" s="1036" t="s">
        <v>2541</v>
      </c>
      <c r="CO1745" s="1036" t="s">
        <v>2551</v>
      </c>
      <c r="CP1745" s="1036">
        <v>53.0</v>
      </c>
    </row>
    <row r="1746">
      <c r="A1746" s="1257" t="s">
        <v>102</v>
      </c>
      <c r="B1746" s="1113" t="s">
        <v>1537</v>
      </c>
      <c r="C1746" s="1107">
        <v>45464.0</v>
      </c>
      <c r="D1746" s="1113" t="s">
        <v>986</v>
      </c>
      <c r="E1746" s="1108">
        <v>1.0</v>
      </c>
      <c r="F1746" s="112" t="s">
        <v>2552</v>
      </c>
      <c r="G1746" s="1110">
        <v>0.37517361111111114</v>
      </c>
      <c r="H1746" s="1110">
        <v>0.3763888888888889</v>
      </c>
      <c r="I1746" s="1110"/>
      <c r="J1746" s="1111"/>
      <c r="K1746" s="1111">
        <v>0.4079861111111111</v>
      </c>
      <c r="L1746" s="1112">
        <v>0.03125</v>
      </c>
      <c r="M1746" s="1113" t="s">
        <v>166</v>
      </c>
      <c r="N1746" s="110" t="s">
        <v>187</v>
      </c>
      <c r="O1746" s="1115" t="s">
        <v>207</v>
      </c>
      <c r="P1746" s="1115" t="s">
        <v>226</v>
      </c>
      <c r="Q1746" s="1116"/>
      <c r="R1746" s="120">
        <v>26.0</v>
      </c>
      <c r="S1746" s="1113">
        <v>13.3</v>
      </c>
      <c r="T1746" s="110">
        <v>0.1</v>
      </c>
      <c r="U1746" s="1108"/>
      <c r="V1746" s="1108"/>
      <c r="W1746" s="1108"/>
      <c r="X1746" s="1108"/>
      <c r="Y1746" s="1108"/>
      <c r="Z1746" s="1114" t="s">
        <v>374</v>
      </c>
      <c r="AA1746" s="1114"/>
      <c r="AB1746" s="1114" t="s">
        <v>380</v>
      </c>
      <c r="AC1746" s="1117">
        <v>4.0</v>
      </c>
      <c r="AD1746" s="1115"/>
      <c r="AE1746" s="1115"/>
      <c r="AF1746" s="1115"/>
      <c r="AG1746" s="1115"/>
      <c r="AH1746" s="1115"/>
      <c r="AI1746" s="1115"/>
      <c r="AJ1746" s="1117"/>
      <c r="AK1746" s="1118"/>
      <c r="AL1746" s="1115"/>
      <c r="AM1746" s="1115"/>
      <c r="AN1746" s="1115"/>
      <c r="AO1746" s="1115"/>
      <c r="AP1746" s="1115"/>
      <c r="AQ1746" s="1115"/>
      <c r="AR1746" s="1115"/>
      <c r="AS1746" s="1117"/>
      <c r="AT1746" s="1196"/>
      <c r="AU1746" s="1193"/>
      <c r="AV1746" s="330">
        <f>SQRT(($R1746-Infrastructure!J$3)^2+($S1746-Infrastructure!K$3)^2)</f>
        <v>30.57858728</v>
      </c>
      <c r="AW1746" s="331">
        <f>SQRT(($R1746-Infrastructure!J$4)^2+($S1746-Infrastructure!K$4)^2)</f>
        <v>26.68220381</v>
      </c>
      <c r="AX1746" s="331">
        <f>SQRT(($R1746-Infrastructure!J$5)^2+($S1746-Infrastructure!K$5)^2)</f>
        <v>27.54868418</v>
      </c>
      <c r="AY1746" s="331">
        <f>SQRT(($R1746-Infrastructure!J$6)^2+($S1746-Infrastructure!K$6)^2)</f>
        <v>20.53801354</v>
      </c>
      <c r="AZ1746" s="331">
        <f>SQRT(($R1746-Infrastructure!J$7)^2+($S1746-Infrastructure!K$7)^2)</f>
        <v>14.11559421</v>
      </c>
      <c r="BA1746" s="331">
        <f>SQRT(($R1746-Infrastructure!J$8)^2+($S1746-Infrastructure!K$8)^2)</f>
        <v>13.63121418</v>
      </c>
      <c r="BB1746" s="331">
        <f>SQRT(($R1746-Infrastructure!J$9)^2+($S1746-Infrastructure!K$9)^2)</f>
        <v>16.22467257</v>
      </c>
      <c r="BC1746" s="331">
        <f>SQRT(($R1746-Infrastructure!J$10)^2+($S1746-Infrastructure!K$10)^2)</f>
        <v>14.10283659</v>
      </c>
      <c r="BD1746" s="331">
        <f>SQRT(($R1746-Infrastructure!J$11)^2+($S1746-Infrastructure!K$11)^2)</f>
        <v>21.16908123</v>
      </c>
      <c r="BE1746" s="333">
        <f>SQRT(($R1746-Infrastructure!J$12)^2+($S1746-Infrastructure!K$12)^2)</f>
        <v>42.4392507</v>
      </c>
      <c r="BF1746" s="330">
        <f t="shared" si="161"/>
        <v>13.63121418</v>
      </c>
      <c r="BG1746" s="333">
        <f t="shared" si="162"/>
        <v>42.4392507</v>
      </c>
      <c r="BH1746" s="1119"/>
      <c r="BI1746" s="319" t="str">
        <f t="shared" ref="BI1746:BR1746" si="342">IF(ISNUMBER(FIND(BI$3, $CO1746)), "Y", "")</f>
        <v/>
      </c>
      <c r="BJ1746" s="319" t="str">
        <f t="shared" si="342"/>
        <v/>
      </c>
      <c r="BK1746" s="319" t="str">
        <f t="shared" si="342"/>
        <v/>
      </c>
      <c r="BL1746" s="319" t="str">
        <f t="shared" si="342"/>
        <v>Y</v>
      </c>
      <c r="BM1746" s="319" t="str">
        <f t="shared" si="342"/>
        <v>Y</v>
      </c>
      <c r="BN1746" s="319" t="str">
        <f t="shared" si="342"/>
        <v>Y</v>
      </c>
      <c r="BO1746" s="319" t="str">
        <f t="shared" si="342"/>
        <v>Y</v>
      </c>
      <c r="BP1746" s="319" t="str">
        <f t="shared" si="342"/>
        <v/>
      </c>
      <c r="BQ1746" s="319" t="str">
        <f t="shared" si="342"/>
        <v>Y</v>
      </c>
      <c r="BR1746" s="319" t="str">
        <f t="shared" si="342"/>
        <v>Y</v>
      </c>
      <c r="BS1746" s="330">
        <f t="shared" si="185"/>
        <v>13.63121418</v>
      </c>
      <c r="BT1746" s="331">
        <f t="shared" si="170"/>
        <v>42.4392507</v>
      </c>
      <c r="BU1746" s="920">
        <v>0.3776041666666667</v>
      </c>
      <c r="BV1746" s="903">
        <f t="shared" si="186"/>
        <v>0.002430555556</v>
      </c>
      <c r="BW1746" s="908">
        <v>22.6</v>
      </c>
      <c r="BX1746" s="908">
        <v>27.5</v>
      </c>
      <c r="BY1746" s="331">
        <f t="shared" si="201"/>
        <v>14.6013698</v>
      </c>
      <c r="BZ1746" s="331"/>
      <c r="CA1746" s="462" t="str">
        <f t="shared" ref="CA1746:CJ1746" si="343">IF(ISNUMBER(FIND(BI$3, $CP1746)), "Y", "")</f>
        <v/>
      </c>
      <c r="CB1746" s="319" t="str">
        <f t="shared" si="343"/>
        <v/>
      </c>
      <c r="CC1746" s="319" t="str">
        <f t="shared" si="343"/>
        <v/>
      </c>
      <c r="CD1746" s="319" t="str">
        <f t="shared" si="343"/>
        <v/>
      </c>
      <c r="CE1746" s="319" t="str">
        <f t="shared" si="343"/>
        <v>Y</v>
      </c>
      <c r="CF1746" s="319" t="str">
        <f t="shared" si="343"/>
        <v>Y</v>
      </c>
      <c r="CG1746" s="319" t="str">
        <f t="shared" si="343"/>
        <v>Y</v>
      </c>
      <c r="CH1746" s="319" t="str">
        <f t="shared" si="343"/>
        <v/>
      </c>
      <c r="CI1746" s="319" t="str">
        <f t="shared" si="343"/>
        <v/>
      </c>
      <c r="CJ1746" s="319" t="str">
        <f t="shared" si="343"/>
        <v/>
      </c>
      <c r="CK1746" s="342">
        <f t="shared" si="182"/>
        <v>13.63121418</v>
      </c>
      <c r="CL1746" s="333">
        <f t="shared" si="183"/>
        <v>16.22467257</v>
      </c>
      <c r="CM1746" s="1079" t="s">
        <v>2553</v>
      </c>
      <c r="CN1746" s="1005" t="s">
        <v>2554</v>
      </c>
      <c r="CO1746" s="1005" t="s">
        <v>2555</v>
      </c>
      <c r="CP1746" s="1005" t="s">
        <v>2556</v>
      </c>
    </row>
    <row r="1747">
      <c r="A1747" s="266"/>
      <c r="B1747" s="1113" t="s">
        <v>1537</v>
      </c>
      <c r="C1747" s="1107">
        <v>45464.0</v>
      </c>
      <c r="D1747" s="1113" t="s">
        <v>986</v>
      </c>
      <c r="E1747" s="1108">
        <v>2.0</v>
      </c>
      <c r="F1747" s="112" t="s">
        <v>2557</v>
      </c>
      <c r="G1747" s="1110">
        <v>0.4185763888888889</v>
      </c>
      <c r="H1747" s="1110">
        <v>0.41898148148148145</v>
      </c>
      <c r="I1747" s="1110"/>
      <c r="J1747" s="1111"/>
      <c r="K1747" s="1111">
        <v>0.45069444444444445</v>
      </c>
      <c r="L1747" s="1112">
        <v>0.03125</v>
      </c>
      <c r="M1747" s="1113" t="s">
        <v>166</v>
      </c>
      <c r="N1747" s="110" t="s">
        <v>188</v>
      </c>
      <c r="O1747" s="1115" t="s">
        <v>378</v>
      </c>
      <c r="P1747" s="1115" t="s">
        <v>225</v>
      </c>
      <c r="Q1747" s="1115" t="s">
        <v>842</v>
      </c>
      <c r="R1747" s="120">
        <v>22.7</v>
      </c>
      <c r="S1747" s="1113">
        <v>39.7</v>
      </c>
      <c r="T1747" s="110">
        <v>1.1</v>
      </c>
      <c r="U1747" s="1108"/>
      <c r="V1747" s="1108"/>
      <c r="W1747" s="1108"/>
      <c r="X1747" s="1108"/>
      <c r="Y1747" s="1108"/>
      <c r="Z1747" s="1114" t="s">
        <v>1140</v>
      </c>
      <c r="AA1747" s="1114"/>
      <c r="AB1747" s="1114" t="s">
        <v>407</v>
      </c>
      <c r="AC1747" s="1117">
        <v>15.75</v>
      </c>
      <c r="AD1747" s="1115"/>
      <c r="AE1747" s="1115"/>
      <c r="AF1747" s="1115"/>
      <c r="AG1747" s="1115"/>
      <c r="AH1747" s="1115"/>
      <c r="AI1747" s="1115"/>
      <c r="AJ1747" s="1117"/>
      <c r="AK1747" s="1118"/>
      <c r="AL1747" s="1115"/>
      <c r="AM1747" s="1115"/>
      <c r="AN1747" s="1115"/>
      <c r="AO1747" s="1115"/>
      <c r="AP1747" s="1115"/>
      <c r="AQ1747" s="1115"/>
      <c r="AR1747" s="1115"/>
      <c r="AS1747" s="1117"/>
      <c r="AT1747" s="1196"/>
      <c r="AU1747" s="1193"/>
      <c r="AV1747" s="330">
        <f>SQRT(($R1747-Infrastructure!J$3)^2+($S1747-Infrastructure!K$3)^2)</f>
        <v>25.40944706</v>
      </c>
      <c r="AW1747" s="331">
        <f>SQRT(($R1747-Infrastructure!J$4)^2+($S1747-Infrastructure!K$4)^2)</f>
        <v>31.75862088</v>
      </c>
      <c r="AX1747" s="331">
        <f>SQRT(($R1747-Infrastructure!J$5)^2+($S1747-Infrastructure!K$5)^2)</f>
        <v>41.54708173</v>
      </c>
      <c r="AY1747" s="331">
        <f>SQRT(($R1747-Infrastructure!J$6)^2+($S1747-Infrastructure!K$6)^2)</f>
        <v>41.36568626</v>
      </c>
      <c r="AZ1747" s="331">
        <f>SQRT(($R1747-Infrastructure!J$7)^2+($S1747-Infrastructure!K$7)^2)</f>
        <v>39.46137352</v>
      </c>
      <c r="BA1747" s="331">
        <f>SQRT(($R1747-Infrastructure!J$8)^2+($S1747-Infrastructure!K$8)^2)</f>
        <v>40.08890121</v>
      </c>
      <c r="BB1747" s="331">
        <f>SQRT(($R1747-Infrastructure!J$9)^2+($S1747-Infrastructure!K$9)^2)</f>
        <v>38.68397601</v>
      </c>
      <c r="BC1747" s="331">
        <f>SQRT(($R1747-Infrastructure!J$10)^2+($S1747-Infrastructure!K$10)^2)</f>
        <v>30.15592811</v>
      </c>
      <c r="BD1747" s="331">
        <f>SQRT(($R1747-Infrastructure!J$11)^2+($S1747-Infrastructure!K$11)^2)</f>
        <v>20.51194774</v>
      </c>
      <c r="BE1747" s="333">
        <f>SQRT(($R1747-Infrastructure!J$12)^2+($S1747-Infrastructure!K$12)^2)</f>
        <v>15.84550409</v>
      </c>
      <c r="BF1747" s="330">
        <f t="shared" si="161"/>
        <v>15.84550409</v>
      </c>
      <c r="BG1747" s="333">
        <f t="shared" si="162"/>
        <v>41.54708173</v>
      </c>
      <c r="BH1747" s="1119"/>
      <c r="BI1747" s="319" t="str">
        <f t="shared" ref="BI1747:BR1747" si="344">IF(ISNUMBER(FIND(BI$3, $CO1747)), "Y", "")</f>
        <v>Y</v>
      </c>
      <c r="BJ1747" s="319" t="str">
        <f t="shared" si="344"/>
        <v/>
      </c>
      <c r="BK1747" s="319" t="str">
        <f t="shared" si="344"/>
        <v>Y</v>
      </c>
      <c r="BL1747" s="319" t="str">
        <f t="shared" si="344"/>
        <v/>
      </c>
      <c r="BM1747" s="319" t="str">
        <f t="shared" si="344"/>
        <v>Y</v>
      </c>
      <c r="BN1747" s="319" t="str">
        <f t="shared" si="344"/>
        <v>Y</v>
      </c>
      <c r="BO1747" s="319" t="str">
        <f t="shared" si="344"/>
        <v>Y</v>
      </c>
      <c r="BP1747" s="319" t="str">
        <f t="shared" si="344"/>
        <v/>
      </c>
      <c r="BQ1747" s="319" t="str">
        <f t="shared" si="344"/>
        <v>Y</v>
      </c>
      <c r="BR1747" s="319" t="str">
        <f t="shared" si="344"/>
        <v>Y</v>
      </c>
      <c r="BS1747" s="330">
        <f t="shared" si="185"/>
        <v>15.84550409</v>
      </c>
      <c r="BT1747" s="331">
        <f t="shared" si="170"/>
        <v>41.54708173</v>
      </c>
      <c r="BU1747" s="920">
        <v>0.4192013888888889</v>
      </c>
      <c r="BV1747" s="903">
        <f t="shared" si="186"/>
        <v>0.000625</v>
      </c>
      <c r="BW1747" s="908">
        <v>18.4</v>
      </c>
      <c r="BX1747" s="908">
        <v>40.6</v>
      </c>
      <c r="BY1747" s="331">
        <f t="shared" si="201"/>
        <v>4.393176527</v>
      </c>
      <c r="BZ1747" s="331"/>
      <c r="CA1747" s="462" t="str">
        <f t="shared" ref="CA1747:CJ1747" si="345">IF(ISNUMBER(FIND(BI$3, $CP1747)), "Y", "")</f>
        <v>Y</v>
      </c>
      <c r="CB1747" s="319" t="str">
        <f t="shared" si="345"/>
        <v>Y</v>
      </c>
      <c r="CC1747" s="319" t="str">
        <f t="shared" si="345"/>
        <v>Y</v>
      </c>
      <c r="CD1747" s="319" t="str">
        <f t="shared" si="345"/>
        <v>Y</v>
      </c>
      <c r="CE1747" s="319" t="str">
        <f t="shared" si="345"/>
        <v/>
      </c>
      <c r="CF1747" s="319" t="str">
        <f t="shared" si="345"/>
        <v/>
      </c>
      <c r="CG1747" s="319" t="str">
        <f t="shared" si="345"/>
        <v>Y</v>
      </c>
      <c r="CH1747" s="319" t="str">
        <f t="shared" si="345"/>
        <v/>
      </c>
      <c r="CI1747" s="319" t="str">
        <f t="shared" si="345"/>
        <v>Y</v>
      </c>
      <c r="CJ1747" s="319" t="str">
        <f t="shared" si="345"/>
        <v>Y</v>
      </c>
      <c r="CK1747" s="342">
        <f t="shared" si="182"/>
        <v>15.84550409</v>
      </c>
      <c r="CL1747" s="333">
        <f t="shared" si="183"/>
        <v>41.54708173</v>
      </c>
      <c r="CM1747" s="1079" t="s">
        <v>2384</v>
      </c>
      <c r="CN1747" s="1005" t="s">
        <v>2554</v>
      </c>
      <c r="CO1747" s="1005" t="s">
        <v>2558</v>
      </c>
      <c r="CP1747" s="1005" t="s">
        <v>2559</v>
      </c>
    </row>
    <row r="1748">
      <c r="A1748" s="266"/>
      <c r="B1748" s="1113" t="s">
        <v>1537</v>
      </c>
      <c r="C1748" s="1107">
        <v>45464.0</v>
      </c>
      <c r="D1748" s="1113" t="s">
        <v>986</v>
      </c>
      <c r="E1748" s="1108">
        <v>3.0</v>
      </c>
      <c r="F1748" s="112" t="s">
        <v>2560</v>
      </c>
      <c r="G1748" s="1110">
        <v>0.46111111111111114</v>
      </c>
      <c r="H1748" s="1110">
        <v>0.46145833333333336</v>
      </c>
      <c r="I1748" s="1110"/>
      <c r="J1748" s="1111"/>
      <c r="K1748" s="1111">
        <v>0.49756944444444445</v>
      </c>
      <c r="L1748" s="1112">
        <v>0.03611111111111111</v>
      </c>
      <c r="M1748" s="1113" t="s">
        <v>166</v>
      </c>
      <c r="N1748" s="110" t="s">
        <v>188</v>
      </c>
      <c r="O1748" s="1115" t="s">
        <v>378</v>
      </c>
      <c r="P1748" s="1115" t="s">
        <v>225</v>
      </c>
      <c r="Q1748" s="1115" t="s">
        <v>842</v>
      </c>
      <c r="R1748" s="120">
        <v>22.7</v>
      </c>
      <c r="S1748" s="1113">
        <v>39.7</v>
      </c>
      <c r="T1748" s="110">
        <v>1.1</v>
      </c>
      <c r="U1748" s="1108"/>
      <c r="V1748" s="1108"/>
      <c r="W1748" s="1108"/>
      <c r="X1748" s="1108"/>
      <c r="Y1748" s="1108"/>
      <c r="Z1748" s="1114" t="s">
        <v>1221</v>
      </c>
      <c r="AA1748" s="1114"/>
      <c r="AB1748" s="1114" t="s">
        <v>403</v>
      </c>
      <c r="AC1748" s="1117">
        <v>8.0</v>
      </c>
      <c r="AD1748" s="1115"/>
      <c r="AE1748" s="1115"/>
      <c r="AF1748" s="1115"/>
      <c r="AG1748" s="1115"/>
      <c r="AH1748" s="1115"/>
      <c r="AI1748" s="1115"/>
      <c r="AJ1748" s="1117"/>
      <c r="AK1748" s="1118"/>
      <c r="AL1748" s="1115"/>
      <c r="AM1748" s="1115"/>
      <c r="AN1748" s="1115"/>
      <c r="AO1748" s="1115"/>
      <c r="AP1748" s="1115"/>
      <c r="AQ1748" s="1115"/>
      <c r="AR1748" s="1115"/>
      <c r="AS1748" s="1117"/>
      <c r="AT1748" s="1196"/>
      <c r="AU1748" s="1193"/>
      <c r="AV1748" s="330">
        <f>SQRT(($R1748-Infrastructure!J$3)^2+($S1748-Infrastructure!K$3)^2)</f>
        <v>25.40944706</v>
      </c>
      <c r="AW1748" s="331">
        <f>SQRT(($R1748-Infrastructure!J$4)^2+($S1748-Infrastructure!K$4)^2)</f>
        <v>31.75862088</v>
      </c>
      <c r="AX1748" s="331">
        <f>SQRT(($R1748-Infrastructure!J$5)^2+($S1748-Infrastructure!K$5)^2)</f>
        <v>41.54708173</v>
      </c>
      <c r="AY1748" s="331">
        <f>SQRT(($R1748-Infrastructure!J$6)^2+($S1748-Infrastructure!K$6)^2)</f>
        <v>41.36568626</v>
      </c>
      <c r="AZ1748" s="331">
        <f>SQRT(($R1748-Infrastructure!J$7)^2+($S1748-Infrastructure!K$7)^2)</f>
        <v>39.46137352</v>
      </c>
      <c r="BA1748" s="331">
        <f>SQRT(($R1748-Infrastructure!J$8)^2+($S1748-Infrastructure!K$8)^2)</f>
        <v>40.08890121</v>
      </c>
      <c r="BB1748" s="331">
        <f>SQRT(($R1748-Infrastructure!J$9)^2+($S1748-Infrastructure!K$9)^2)</f>
        <v>38.68397601</v>
      </c>
      <c r="BC1748" s="331">
        <f>SQRT(($R1748-Infrastructure!J$10)^2+($S1748-Infrastructure!K$10)^2)</f>
        <v>30.15592811</v>
      </c>
      <c r="BD1748" s="331">
        <f>SQRT(($R1748-Infrastructure!J$11)^2+($S1748-Infrastructure!K$11)^2)</f>
        <v>20.51194774</v>
      </c>
      <c r="BE1748" s="333">
        <f>SQRT(($R1748-Infrastructure!J$12)^2+($S1748-Infrastructure!K$12)^2)</f>
        <v>15.84550409</v>
      </c>
      <c r="BF1748" s="330">
        <f t="shared" si="161"/>
        <v>15.84550409</v>
      </c>
      <c r="BG1748" s="333">
        <f t="shared" si="162"/>
        <v>41.54708173</v>
      </c>
      <c r="BH1748" s="1119"/>
      <c r="BI1748" s="319" t="str">
        <f t="shared" ref="BI1748:BR1748" si="346">IF(ISNUMBER(FIND(BI$3, $CO1748)), "Y", "")</f>
        <v/>
      </c>
      <c r="BJ1748" s="319" t="str">
        <f t="shared" si="346"/>
        <v/>
      </c>
      <c r="BK1748" s="319" t="str">
        <f t="shared" si="346"/>
        <v/>
      </c>
      <c r="BL1748" s="319" t="str">
        <f t="shared" si="346"/>
        <v/>
      </c>
      <c r="BM1748" s="319" t="str">
        <f t="shared" si="346"/>
        <v/>
      </c>
      <c r="BN1748" s="319" t="str">
        <f t="shared" si="346"/>
        <v/>
      </c>
      <c r="BO1748" s="319" t="str">
        <f t="shared" si="346"/>
        <v/>
      </c>
      <c r="BP1748" s="319" t="str">
        <f t="shared" si="346"/>
        <v/>
      </c>
      <c r="BQ1748" s="319" t="str">
        <f t="shared" si="346"/>
        <v/>
      </c>
      <c r="BR1748" s="319" t="str">
        <f t="shared" si="346"/>
        <v/>
      </c>
      <c r="BS1748" s="330">
        <f t="shared" si="185"/>
        <v>0</v>
      </c>
      <c r="BT1748" s="331">
        <f t="shared" si="170"/>
        <v>0</v>
      </c>
      <c r="BU1748" s="920"/>
      <c r="BV1748" s="903" t="str">
        <f t="shared" si="186"/>
        <v/>
      </c>
      <c r="BW1748" s="908"/>
      <c r="BX1748" s="908"/>
      <c r="BY1748" s="331" t="b">
        <f t="shared" si="201"/>
        <v>0</v>
      </c>
      <c r="BZ1748" s="331"/>
      <c r="CA1748" s="462" t="str">
        <f t="shared" ref="CA1748:CJ1748" si="347">IF(ISNUMBER(FIND(BI$3, $CP1748)), "Y", "")</f>
        <v>Y</v>
      </c>
      <c r="CB1748" s="319" t="str">
        <f t="shared" si="347"/>
        <v>Y</v>
      </c>
      <c r="CC1748" s="319" t="str">
        <f t="shared" si="347"/>
        <v>Y</v>
      </c>
      <c r="CD1748" s="319" t="str">
        <f t="shared" si="347"/>
        <v>Y</v>
      </c>
      <c r="CE1748" s="319" t="str">
        <f t="shared" si="347"/>
        <v>Y</v>
      </c>
      <c r="CF1748" s="319" t="str">
        <f t="shared" si="347"/>
        <v>Y</v>
      </c>
      <c r="CG1748" s="319" t="str">
        <f t="shared" si="347"/>
        <v>Y</v>
      </c>
      <c r="CH1748" s="319" t="str">
        <f t="shared" si="347"/>
        <v/>
      </c>
      <c r="CI1748" s="319" t="str">
        <f t="shared" si="347"/>
        <v>Y</v>
      </c>
      <c r="CJ1748" s="319" t="str">
        <f t="shared" si="347"/>
        <v>Y</v>
      </c>
      <c r="CK1748" s="342">
        <f t="shared" si="182"/>
        <v>15.84550409</v>
      </c>
      <c r="CL1748" s="333">
        <f t="shared" si="183"/>
        <v>41.54708173</v>
      </c>
      <c r="CM1748" s="1079" t="s">
        <v>2561</v>
      </c>
      <c r="CN1748" s="1005" t="s">
        <v>2554</v>
      </c>
      <c r="CO1748" s="1005"/>
      <c r="CP1748" s="1005" t="s">
        <v>2400</v>
      </c>
    </row>
    <row r="1749">
      <c r="A1749" s="266"/>
      <c r="B1749" s="1113" t="s">
        <v>1537</v>
      </c>
      <c r="C1749" s="1107">
        <v>45464.0</v>
      </c>
      <c r="D1749" s="1113" t="s">
        <v>986</v>
      </c>
      <c r="E1749" s="1108">
        <v>4.0</v>
      </c>
      <c r="F1749" s="112" t="s">
        <v>2562</v>
      </c>
      <c r="G1749" s="1110">
        <v>0.5069444444444444</v>
      </c>
      <c r="H1749" s="1110">
        <v>0.5076388888888889</v>
      </c>
      <c r="I1749" s="1110"/>
      <c r="J1749" s="1111"/>
      <c r="K1749" s="1111">
        <v>0.5444444444444444</v>
      </c>
      <c r="L1749" s="1112">
        <v>0.03680555555555556</v>
      </c>
      <c r="M1749" s="1113" t="s">
        <v>166</v>
      </c>
      <c r="N1749" s="110"/>
      <c r="O1749" s="1140"/>
      <c r="P1749" s="1115"/>
      <c r="Q1749" s="1116"/>
      <c r="R1749" s="120" t="e">
        <v>#N/A</v>
      </c>
      <c r="S1749" s="1113" t="e">
        <v>#N/A</v>
      </c>
      <c r="T1749" s="110" t="e">
        <v>#N/A</v>
      </c>
      <c r="U1749" s="1108"/>
      <c r="V1749" s="1108"/>
      <c r="W1749" s="1108"/>
      <c r="X1749" s="1108"/>
      <c r="Y1749" s="1108"/>
      <c r="Z1749" s="1114"/>
      <c r="AA1749" s="1114"/>
      <c r="AB1749" s="1114"/>
      <c r="AC1749" s="1117" t="e">
        <v>#N/A</v>
      </c>
      <c r="AD1749" s="1115"/>
      <c r="AE1749" s="1115"/>
      <c r="AF1749" s="1115"/>
      <c r="AG1749" s="1115"/>
      <c r="AH1749" s="1115"/>
      <c r="AI1749" s="1115"/>
      <c r="AJ1749" s="1117"/>
      <c r="AK1749" s="1118"/>
      <c r="AL1749" s="1115"/>
      <c r="AM1749" s="1115"/>
      <c r="AN1749" s="1115"/>
      <c r="AO1749" s="1115"/>
      <c r="AP1749" s="1115"/>
      <c r="AQ1749" s="1115"/>
      <c r="AR1749" s="1115"/>
      <c r="AS1749" s="1117"/>
      <c r="AT1749" s="1196"/>
      <c r="AU1749" s="1193"/>
      <c r="AV1749" s="330" t="str">
        <f>SQRT(($R1749-Infrastructure!J$3)^2+($S1749-Infrastructure!K$3)^2)</f>
        <v>#N/A</v>
      </c>
      <c r="AW1749" s="331" t="str">
        <f>SQRT(($R1749-Infrastructure!J$4)^2+($S1749-Infrastructure!K$4)^2)</f>
        <v>#N/A</v>
      </c>
      <c r="AX1749" s="331" t="str">
        <f>SQRT(($R1749-Infrastructure!J$5)^2+($S1749-Infrastructure!K$5)^2)</f>
        <v>#N/A</v>
      </c>
      <c r="AY1749" s="331" t="str">
        <f>SQRT(($R1749-Infrastructure!J$6)^2+($S1749-Infrastructure!K$6)^2)</f>
        <v>#N/A</v>
      </c>
      <c r="AZ1749" s="331" t="str">
        <f>SQRT(($R1749-Infrastructure!J$7)^2+($S1749-Infrastructure!K$7)^2)</f>
        <v>#N/A</v>
      </c>
      <c r="BA1749" s="331" t="str">
        <f>SQRT(($R1749-Infrastructure!J$8)^2+($S1749-Infrastructure!K$8)^2)</f>
        <v>#N/A</v>
      </c>
      <c r="BB1749" s="331" t="str">
        <f>SQRT(($R1749-Infrastructure!J$9)^2+($S1749-Infrastructure!K$9)^2)</f>
        <v>#N/A</v>
      </c>
      <c r="BC1749" s="331" t="str">
        <f>SQRT(($R1749-Infrastructure!J$10)^2+($S1749-Infrastructure!K$10)^2)</f>
        <v>#N/A</v>
      </c>
      <c r="BD1749" s="331" t="str">
        <f>SQRT(($R1749-Infrastructure!J$11)^2+($S1749-Infrastructure!K$11)^2)</f>
        <v>#N/A</v>
      </c>
      <c r="BE1749" s="333" t="str">
        <f>SQRT(($R1749-Infrastructure!J$12)^2+($S1749-Infrastructure!K$12)^2)</f>
        <v>#N/A</v>
      </c>
      <c r="BF1749" s="330" t="str">
        <f t="shared" si="161"/>
        <v>#N/A</v>
      </c>
      <c r="BG1749" s="333" t="str">
        <f t="shared" si="162"/>
        <v>#N/A</v>
      </c>
      <c r="BH1749" s="1119"/>
      <c r="BI1749" s="319" t="str">
        <f t="shared" ref="BI1749:BR1749" si="348">IF(ISNUMBER(FIND(BI$3, $CO1749)), "Y", "")</f>
        <v/>
      </c>
      <c r="BJ1749" s="319" t="str">
        <f t="shared" si="348"/>
        <v/>
      </c>
      <c r="BK1749" s="319" t="str">
        <f t="shared" si="348"/>
        <v/>
      </c>
      <c r="BL1749" s="319" t="str">
        <f t="shared" si="348"/>
        <v/>
      </c>
      <c r="BM1749" s="319" t="str">
        <f t="shared" si="348"/>
        <v>Y</v>
      </c>
      <c r="BN1749" s="319" t="str">
        <f t="shared" si="348"/>
        <v>Y</v>
      </c>
      <c r="BO1749" s="319" t="str">
        <f t="shared" si="348"/>
        <v>Y</v>
      </c>
      <c r="BP1749" s="319" t="str">
        <f t="shared" si="348"/>
        <v/>
      </c>
      <c r="BQ1749" s="319" t="str">
        <f t="shared" si="348"/>
        <v>Y</v>
      </c>
      <c r="BR1749" s="319" t="str">
        <f t="shared" si="348"/>
        <v/>
      </c>
      <c r="BS1749" s="330" t="str">
        <f t="shared" si="185"/>
        <v>#N/A</v>
      </c>
      <c r="BT1749" s="331" t="str">
        <f t="shared" si="170"/>
        <v>#N/A</v>
      </c>
      <c r="BU1749" s="920">
        <v>0.5140162037037037</v>
      </c>
      <c r="BV1749" s="903">
        <f t="shared" si="186"/>
        <v>0.007071759259</v>
      </c>
      <c r="BW1749" s="908">
        <v>21.3</v>
      </c>
      <c r="BX1749" s="908">
        <v>31.4</v>
      </c>
      <c r="BY1749" s="331" t="str">
        <f t="shared" si="201"/>
        <v>#N/A</v>
      </c>
      <c r="BZ1749" s="331"/>
      <c r="CA1749" s="462" t="str">
        <f t="shared" ref="CA1749:CJ1749" si="349">IF(ISNUMBER(FIND(BI$3, $CP1749)), "Y", "")</f>
        <v/>
      </c>
      <c r="CB1749" s="319" t="str">
        <f t="shared" si="349"/>
        <v/>
      </c>
      <c r="CC1749" s="319" t="str">
        <f t="shared" si="349"/>
        <v/>
      </c>
      <c r="CD1749" s="319" t="str">
        <f t="shared" si="349"/>
        <v/>
      </c>
      <c r="CE1749" s="319" t="str">
        <f t="shared" si="349"/>
        <v/>
      </c>
      <c r="CF1749" s="319" t="str">
        <f t="shared" si="349"/>
        <v/>
      </c>
      <c r="CG1749" s="319" t="str">
        <f t="shared" si="349"/>
        <v/>
      </c>
      <c r="CH1749" s="319" t="str">
        <f t="shared" si="349"/>
        <v/>
      </c>
      <c r="CI1749" s="319" t="str">
        <f t="shared" si="349"/>
        <v/>
      </c>
      <c r="CJ1749" s="319" t="str">
        <f t="shared" si="349"/>
        <v/>
      </c>
      <c r="CK1749" s="342">
        <f t="shared" si="182"/>
        <v>0</v>
      </c>
      <c r="CL1749" s="333">
        <f t="shared" si="183"/>
        <v>0</v>
      </c>
      <c r="CM1749" s="1079" t="s">
        <v>2563</v>
      </c>
      <c r="CN1749" s="1005" t="s">
        <v>2554</v>
      </c>
      <c r="CO1749" s="1005" t="s">
        <v>2564</v>
      </c>
      <c r="CP1749" s="1005"/>
    </row>
    <row r="1750">
      <c r="A1750" s="266"/>
      <c r="B1750" s="1113" t="s">
        <v>1537</v>
      </c>
      <c r="C1750" s="1107">
        <v>45464.0</v>
      </c>
      <c r="D1750" s="1113" t="s">
        <v>986</v>
      </c>
      <c r="E1750" s="1108">
        <v>5.0</v>
      </c>
      <c r="F1750" s="112" t="s">
        <v>2565</v>
      </c>
      <c r="G1750" s="1110">
        <v>0.5510416666666667</v>
      </c>
      <c r="H1750" s="1110">
        <v>0.5517361111111111</v>
      </c>
      <c r="I1750" s="1110"/>
      <c r="J1750" s="1111"/>
      <c r="K1750" s="1111">
        <v>0.5842592592592593</v>
      </c>
      <c r="L1750" s="1112">
        <v>0.03194444444444444</v>
      </c>
      <c r="M1750" s="1113" t="s">
        <v>166</v>
      </c>
      <c r="N1750" s="110" t="s">
        <v>188</v>
      </c>
      <c r="O1750" s="1115" t="s">
        <v>378</v>
      </c>
      <c r="P1750" s="1115" t="s">
        <v>217</v>
      </c>
      <c r="Q1750" s="1115" t="s">
        <v>851</v>
      </c>
      <c r="R1750" s="120">
        <v>22.7</v>
      </c>
      <c r="S1750" s="1113">
        <v>39.7</v>
      </c>
      <c r="T1750" s="110">
        <v>1.8</v>
      </c>
      <c r="U1750" s="1108"/>
      <c r="V1750" s="1108"/>
      <c r="W1750" s="1108"/>
      <c r="X1750" s="1108"/>
      <c r="Y1750" s="1108"/>
      <c r="Z1750" s="1114" t="s">
        <v>1140</v>
      </c>
      <c r="AA1750" s="1114"/>
      <c r="AB1750" s="1114" t="s">
        <v>410</v>
      </c>
      <c r="AC1750" s="1117">
        <v>22.1</v>
      </c>
      <c r="AD1750" s="1115"/>
      <c r="AE1750" s="1115"/>
      <c r="AF1750" s="1115"/>
      <c r="AG1750" s="1115"/>
      <c r="AH1750" s="1115"/>
      <c r="AI1750" s="1115"/>
      <c r="AJ1750" s="1117"/>
      <c r="AK1750" s="1118"/>
      <c r="AL1750" s="1115"/>
      <c r="AM1750" s="1115"/>
      <c r="AN1750" s="1115"/>
      <c r="AO1750" s="1115"/>
      <c r="AP1750" s="1115"/>
      <c r="AQ1750" s="1115"/>
      <c r="AR1750" s="1115"/>
      <c r="AS1750" s="1117"/>
      <c r="AT1750" s="1196"/>
      <c r="AU1750" s="1193"/>
      <c r="AV1750" s="330">
        <f>SQRT(($R1750-Infrastructure!J$3)^2+($S1750-Infrastructure!K$3)^2)</f>
        <v>25.40944706</v>
      </c>
      <c r="AW1750" s="331">
        <f>SQRT(($R1750-Infrastructure!J$4)^2+($S1750-Infrastructure!K$4)^2)</f>
        <v>31.75862088</v>
      </c>
      <c r="AX1750" s="331">
        <f>SQRT(($R1750-Infrastructure!J$5)^2+($S1750-Infrastructure!K$5)^2)</f>
        <v>41.54708173</v>
      </c>
      <c r="AY1750" s="331">
        <f>SQRT(($R1750-Infrastructure!J$6)^2+($S1750-Infrastructure!K$6)^2)</f>
        <v>41.36568626</v>
      </c>
      <c r="AZ1750" s="331">
        <f>SQRT(($R1750-Infrastructure!J$7)^2+($S1750-Infrastructure!K$7)^2)</f>
        <v>39.46137352</v>
      </c>
      <c r="BA1750" s="331">
        <f>SQRT(($R1750-Infrastructure!J$8)^2+($S1750-Infrastructure!K$8)^2)</f>
        <v>40.08890121</v>
      </c>
      <c r="BB1750" s="331">
        <f>SQRT(($R1750-Infrastructure!J$9)^2+($S1750-Infrastructure!K$9)^2)</f>
        <v>38.68397601</v>
      </c>
      <c r="BC1750" s="331">
        <f>SQRT(($R1750-Infrastructure!J$10)^2+($S1750-Infrastructure!K$10)^2)</f>
        <v>30.15592811</v>
      </c>
      <c r="BD1750" s="331">
        <f>SQRT(($R1750-Infrastructure!J$11)^2+($S1750-Infrastructure!K$11)^2)</f>
        <v>20.51194774</v>
      </c>
      <c r="BE1750" s="333">
        <f>SQRT(($R1750-Infrastructure!J$12)^2+($S1750-Infrastructure!K$12)^2)</f>
        <v>15.84550409</v>
      </c>
      <c r="BF1750" s="330">
        <f t="shared" si="161"/>
        <v>15.84550409</v>
      </c>
      <c r="BG1750" s="333">
        <f t="shared" si="162"/>
        <v>41.54708173</v>
      </c>
      <c r="BH1750" s="1119"/>
      <c r="BI1750" s="319" t="str">
        <f t="shared" ref="BI1750:BR1750" si="350">IF(ISNUMBER(FIND(BI$3, $CO1750)), "Y", "")</f>
        <v>Y</v>
      </c>
      <c r="BJ1750" s="319" t="str">
        <f t="shared" si="350"/>
        <v/>
      </c>
      <c r="BK1750" s="319" t="str">
        <f t="shared" si="350"/>
        <v>Y</v>
      </c>
      <c r="BL1750" s="319" t="str">
        <f t="shared" si="350"/>
        <v>Y</v>
      </c>
      <c r="BM1750" s="319" t="str">
        <f t="shared" si="350"/>
        <v>Y</v>
      </c>
      <c r="BN1750" s="319" t="str">
        <f t="shared" si="350"/>
        <v>Y</v>
      </c>
      <c r="BO1750" s="319" t="str">
        <f t="shared" si="350"/>
        <v>Y</v>
      </c>
      <c r="BP1750" s="319" t="str">
        <f t="shared" si="350"/>
        <v/>
      </c>
      <c r="BQ1750" s="319" t="str">
        <f t="shared" si="350"/>
        <v>Y</v>
      </c>
      <c r="BR1750" s="319" t="str">
        <f t="shared" si="350"/>
        <v/>
      </c>
      <c r="BS1750" s="330">
        <f t="shared" si="185"/>
        <v>20.51194774</v>
      </c>
      <c r="BT1750" s="331">
        <f t="shared" si="170"/>
        <v>41.54708173</v>
      </c>
      <c r="BU1750" s="920">
        <v>0.5515509259259259</v>
      </c>
      <c r="BV1750" s="903">
        <f t="shared" si="186"/>
        <v>0.0005092592593</v>
      </c>
      <c r="BW1750" s="908">
        <v>18.8</v>
      </c>
      <c r="BX1750" s="908">
        <v>37.7</v>
      </c>
      <c r="BY1750" s="331">
        <f t="shared" si="201"/>
        <v>4.3829214</v>
      </c>
      <c r="BZ1750" s="331"/>
      <c r="CA1750" s="462" t="str">
        <f t="shared" ref="CA1750:CJ1750" si="351">IF(ISNUMBER(FIND(BI$3, $CP1750)), "Y", "")</f>
        <v>Y</v>
      </c>
      <c r="CB1750" s="319" t="str">
        <f t="shared" si="351"/>
        <v>Y</v>
      </c>
      <c r="CC1750" s="319" t="str">
        <f t="shared" si="351"/>
        <v>Y</v>
      </c>
      <c r="CD1750" s="319" t="str">
        <f t="shared" si="351"/>
        <v>Y</v>
      </c>
      <c r="CE1750" s="319" t="str">
        <f t="shared" si="351"/>
        <v>Y</v>
      </c>
      <c r="CF1750" s="319" t="str">
        <f t="shared" si="351"/>
        <v>Y</v>
      </c>
      <c r="CG1750" s="319" t="str">
        <f t="shared" si="351"/>
        <v>Y</v>
      </c>
      <c r="CH1750" s="319" t="str">
        <f t="shared" si="351"/>
        <v/>
      </c>
      <c r="CI1750" s="319" t="str">
        <f t="shared" si="351"/>
        <v>Y</v>
      </c>
      <c r="CJ1750" s="319" t="str">
        <f t="shared" si="351"/>
        <v>Y</v>
      </c>
      <c r="CK1750" s="342">
        <f t="shared" si="182"/>
        <v>15.84550409</v>
      </c>
      <c r="CL1750" s="333">
        <f t="shared" si="183"/>
        <v>41.54708173</v>
      </c>
      <c r="CM1750" s="1079" t="s">
        <v>2566</v>
      </c>
      <c r="CN1750" s="1005" t="s">
        <v>2567</v>
      </c>
      <c r="CO1750" s="1005" t="s">
        <v>2568</v>
      </c>
      <c r="CP1750" s="1005" t="s">
        <v>2400</v>
      </c>
    </row>
    <row r="1751">
      <c r="A1751" s="266"/>
      <c r="B1751" s="1113" t="s">
        <v>1537</v>
      </c>
      <c r="C1751" s="1107">
        <v>45464.0</v>
      </c>
      <c r="D1751" s="1113" t="s">
        <v>986</v>
      </c>
      <c r="E1751" s="1108">
        <v>6.0</v>
      </c>
      <c r="F1751" s="112" t="s">
        <v>2569</v>
      </c>
      <c r="G1751" s="1110">
        <v>0.5916666666666667</v>
      </c>
      <c r="H1751" s="1110">
        <v>0.5927083333333333</v>
      </c>
      <c r="I1751" s="1110"/>
      <c r="J1751" s="1111"/>
      <c r="K1751" s="1111">
        <v>0.6284722222222222</v>
      </c>
      <c r="L1751" s="1112">
        <v>0.035416666666666666</v>
      </c>
      <c r="M1751" s="1113" t="s">
        <v>166</v>
      </c>
      <c r="N1751" s="110" t="s">
        <v>187</v>
      </c>
      <c r="O1751" s="1115" t="s">
        <v>203</v>
      </c>
      <c r="P1751" s="1115" t="s">
        <v>250</v>
      </c>
      <c r="Q1751" s="1116"/>
      <c r="R1751" s="120">
        <v>15.1</v>
      </c>
      <c r="S1751" s="1113">
        <v>2.4</v>
      </c>
      <c r="T1751" s="110">
        <v>1.2</v>
      </c>
      <c r="U1751" s="1108"/>
      <c r="V1751" s="1108"/>
      <c r="W1751" s="1108"/>
      <c r="X1751" s="1108"/>
      <c r="Y1751" s="1108"/>
      <c r="Z1751" s="1114" t="s">
        <v>1690</v>
      </c>
      <c r="AA1751" s="1114"/>
      <c r="AB1751" s="1114" t="s">
        <v>371</v>
      </c>
      <c r="AC1751" s="1117">
        <v>1.8</v>
      </c>
      <c r="AD1751" s="1115"/>
      <c r="AE1751" s="1115"/>
      <c r="AF1751" s="1115"/>
      <c r="AG1751" s="1115"/>
      <c r="AH1751" s="1115"/>
      <c r="AI1751" s="1115"/>
      <c r="AJ1751" s="1117"/>
      <c r="AK1751" s="1118"/>
      <c r="AL1751" s="1115"/>
      <c r="AM1751" s="1115"/>
      <c r="AN1751" s="1115"/>
      <c r="AO1751" s="1115"/>
      <c r="AP1751" s="1115"/>
      <c r="AQ1751" s="1115"/>
      <c r="AR1751" s="1115"/>
      <c r="AS1751" s="1117"/>
      <c r="AT1751" s="1196"/>
      <c r="AU1751" s="1193"/>
      <c r="AV1751" s="330">
        <f>SQRT(($R1751-Infrastructure!J$3)^2+($S1751-Infrastructure!K$3)^2)</f>
        <v>30.64979608</v>
      </c>
      <c r="AW1751" s="331">
        <f>SQRT(($R1751-Infrastructure!J$4)^2+($S1751-Infrastructure!K$4)^2)</f>
        <v>21.77888886</v>
      </c>
      <c r="AX1751" s="331">
        <f>SQRT(($R1751-Infrastructure!J$5)^2+($S1751-Infrastructure!K$5)^2)</f>
        <v>15.63489687</v>
      </c>
      <c r="AY1751" s="331">
        <f>SQRT(($R1751-Infrastructure!J$6)^2+($S1751-Infrastructure!K$6)^2)</f>
        <v>5.423098745</v>
      </c>
      <c r="AZ1751" s="331">
        <f>SQRT(($R1751-Infrastructure!J$7)^2+($S1751-Infrastructure!K$7)^2)</f>
        <v>5.793962375</v>
      </c>
      <c r="BA1751" s="331">
        <f>SQRT(($R1751-Infrastructure!J$8)^2+($S1751-Infrastructure!K$8)^2)</f>
        <v>15.14628667</v>
      </c>
      <c r="BB1751" s="331">
        <f>SQRT(($R1751-Infrastructure!J$9)^2+($S1751-Infrastructure!K$9)^2)</f>
        <v>25.04595776</v>
      </c>
      <c r="BC1751" s="331">
        <f>SQRT(($R1751-Infrastructure!J$10)^2+($S1751-Infrastructure!K$10)^2)</f>
        <v>27.90645087</v>
      </c>
      <c r="BD1751" s="331">
        <f>SQRT(($R1751-Infrastructure!J$11)^2+($S1751-Infrastructure!K$11)^2)</f>
        <v>36.5728041</v>
      </c>
      <c r="BE1751" s="333">
        <f>SQRT(($R1751-Infrastructure!J$12)^2+($S1751-Infrastructure!K$12)^2)</f>
        <v>53.48429676</v>
      </c>
      <c r="BF1751" s="330">
        <f t="shared" si="161"/>
        <v>5.423098745</v>
      </c>
      <c r="BG1751" s="333">
        <f t="shared" si="162"/>
        <v>53.48429676</v>
      </c>
      <c r="BH1751" s="1119"/>
      <c r="BI1751" s="319" t="str">
        <f t="shared" ref="BI1751:BR1751" si="352">IF(ISNUMBER(FIND(BI$3, $CO1751)), "Y", "")</f>
        <v/>
      </c>
      <c r="BJ1751" s="319" t="str">
        <f t="shared" si="352"/>
        <v/>
      </c>
      <c r="BK1751" s="319" t="str">
        <f t="shared" si="352"/>
        <v/>
      </c>
      <c r="BL1751" s="319" t="str">
        <f t="shared" si="352"/>
        <v/>
      </c>
      <c r="BM1751" s="319" t="str">
        <f t="shared" si="352"/>
        <v>Y</v>
      </c>
      <c r="BN1751" s="319" t="str">
        <f t="shared" si="352"/>
        <v>Y</v>
      </c>
      <c r="BO1751" s="319" t="str">
        <f t="shared" si="352"/>
        <v>Y</v>
      </c>
      <c r="BP1751" s="319" t="str">
        <f t="shared" si="352"/>
        <v/>
      </c>
      <c r="BQ1751" s="319" t="str">
        <f t="shared" si="352"/>
        <v/>
      </c>
      <c r="BR1751" s="319" t="str">
        <f t="shared" si="352"/>
        <v>Y</v>
      </c>
      <c r="BS1751" s="330">
        <f t="shared" si="185"/>
        <v>5.793962375</v>
      </c>
      <c r="BT1751" s="331">
        <f t="shared" si="170"/>
        <v>53.48429676</v>
      </c>
      <c r="BU1751" s="920">
        <v>0.6013194444444444</v>
      </c>
      <c r="BV1751" s="903">
        <f t="shared" si="186"/>
        <v>0.009652777778</v>
      </c>
      <c r="BW1751" s="908">
        <v>28.0</v>
      </c>
      <c r="BX1751" s="908">
        <v>34.1</v>
      </c>
      <c r="BY1751" s="331">
        <f t="shared" si="201"/>
        <v>34.2242604</v>
      </c>
      <c r="BZ1751" s="331"/>
      <c r="CA1751" s="462" t="str">
        <f t="shared" ref="CA1751:CJ1751" si="353">IF(ISNUMBER(FIND(BI$3, $CP1751)), "Y", "")</f>
        <v>Y</v>
      </c>
      <c r="CB1751" s="319" t="str">
        <f t="shared" si="353"/>
        <v>Y</v>
      </c>
      <c r="CC1751" s="319" t="str">
        <f t="shared" si="353"/>
        <v>Y</v>
      </c>
      <c r="CD1751" s="319" t="str">
        <f t="shared" si="353"/>
        <v>Y</v>
      </c>
      <c r="CE1751" s="319" t="str">
        <f t="shared" si="353"/>
        <v>Y</v>
      </c>
      <c r="CF1751" s="319" t="str">
        <f t="shared" si="353"/>
        <v>Y</v>
      </c>
      <c r="CG1751" s="319" t="str">
        <f t="shared" si="353"/>
        <v>Y</v>
      </c>
      <c r="CH1751" s="319" t="str">
        <f t="shared" si="353"/>
        <v/>
      </c>
      <c r="CI1751" s="319" t="str">
        <f t="shared" si="353"/>
        <v>Y</v>
      </c>
      <c r="CJ1751" s="319" t="str">
        <f t="shared" si="353"/>
        <v/>
      </c>
      <c r="CK1751" s="342">
        <f t="shared" si="182"/>
        <v>5.423098745</v>
      </c>
      <c r="CL1751" s="333">
        <f t="shared" si="183"/>
        <v>36.5728041</v>
      </c>
      <c r="CM1751" s="1079" t="s">
        <v>2570</v>
      </c>
      <c r="CN1751" s="1005" t="s">
        <v>2567</v>
      </c>
      <c r="CO1751" s="1005" t="s">
        <v>2571</v>
      </c>
      <c r="CP1751" s="1005" t="s">
        <v>2572</v>
      </c>
    </row>
    <row r="1752">
      <c r="A1752" s="266"/>
      <c r="B1752" s="1113" t="s">
        <v>1537</v>
      </c>
      <c r="C1752" s="1107">
        <v>45464.0</v>
      </c>
      <c r="D1752" s="1113" t="s">
        <v>986</v>
      </c>
      <c r="E1752" s="1108">
        <v>7.0</v>
      </c>
      <c r="F1752" s="112" t="s">
        <v>2573</v>
      </c>
      <c r="G1752" s="1110">
        <v>0.6356481481481482</v>
      </c>
      <c r="H1752" s="1110">
        <v>0.6364583333333333</v>
      </c>
      <c r="I1752" s="1110"/>
      <c r="J1752" s="1111"/>
      <c r="K1752" s="1111">
        <v>0.6708333333333333</v>
      </c>
      <c r="L1752" s="1112">
        <v>0.034027777777777775</v>
      </c>
      <c r="M1752" s="1113" t="s">
        <v>166</v>
      </c>
      <c r="N1752" s="110" t="s">
        <v>188</v>
      </c>
      <c r="O1752" s="1115" t="s">
        <v>378</v>
      </c>
      <c r="P1752" s="1115" t="s">
        <v>217</v>
      </c>
      <c r="Q1752" s="1115" t="s">
        <v>851</v>
      </c>
      <c r="R1752" s="120">
        <v>22.7</v>
      </c>
      <c r="S1752" s="1113">
        <v>39.7</v>
      </c>
      <c r="T1752" s="110">
        <v>1.8</v>
      </c>
      <c r="U1752" s="1108"/>
      <c r="V1752" s="1108"/>
      <c r="W1752" s="1108"/>
      <c r="X1752" s="1108"/>
      <c r="Y1752" s="1108"/>
      <c r="Z1752" s="1114" t="s">
        <v>1140</v>
      </c>
      <c r="AA1752" s="1114"/>
      <c r="AB1752" s="1114" t="s">
        <v>407</v>
      </c>
      <c r="AC1752" s="1117">
        <v>15.75</v>
      </c>
      <c r="AD1752" s="1115"/>
      <c r="AE1752" s="1115"/>
      <c r="AF1752" s="1115"/>
      <c r="AG1752" s="1115"/>
      <c r="AH1752" s="1115"/>
      <c r="AI1752" s="1115"/>
      <c r="AJ1752" s="1117"/>
      <c r="AK1752" s="1118"/>
      <c r="AL1752" s="1115"/>
      <c r="AM1752" s="1115"/>
      <c r="AN1752" s="1115"/>
      <c r="AO1752" s="1115"/>
      <c r="AP1752" s="1115"/>
      <c r="AQ1752" s="1115"/>
      <c r="AR1752" s="1115"/>
      <c r="AS1752" s="1117"/>
      <c r="AT1752" s="1196"/>
      <c r="AU1752" s="1193"/>
      <c r="AV1752" s="330">
        <f>SQRT(($R1752-Infrastructure!J$3)^2+($S1752-Infrastructure!K$3)^2)</f>
        <v>25.40944706</v>
      </c>
      <c r="AW1752" s="331">
        <f>SQRT(($R1752-Infrastructure!J$4)^2+($S1752-Infrastructure!K$4)^2)</f>
        <v>31.75862088</v>
      </c>
      <c r="AX1752" s="331">
        <f>SQRT(($R1752-Infrastructure!J$5)^2+($S1752-Infrastructure!K$5)^2)</f>
        <v>41.54708173</v>
      </c>
      <c r="AY1752" s="331">
        <f>SQRT(($R1752-Infrastructure!J$6)^2+($S1752-Infrastructure!K$6)^2)</f>
        <v>41.36568626</v>
      </c>
      <c r="AZ1752" s="331">
        <f>SQRT(($R1752-Infrastructure!J$7)^2+($S1752-Infrastructure!K$7)^2)</f>
        <v>39.46137352</v>
      </c>
      <c r="BA1752" s="331">
        <f>SQRT(($R1752-Infrastructure!J$8)^2+($S1752-Infrastructure!K$8)^2)</f>
        <v>40.08890121</v>
      </c>
      <c r="BB1752" s="331">
        <f>SQRT(($R1752-Infrastructure!J$9)^2+($S1752-Infrastructure!K$9)^2)</f>
        <v>38.68397601</v>
      </c>
      <c r="BC1752" s="331">
        <f>SQRT(($R1752-Infrastructure!J$10)^2+($S1752-Infrastructure!K$10)^2)</f>
        <v>30.15592811</v>
      </c>
      <c r="BD1752" s="331">
        <f>SQRT(($R1752-Infrastructure!J$11)^2+($S1752-Infrastructure!K$11)^2)</f>
        <v>20.51194774</v>
      </c>
      <c r="BE1752" s="333">
        <f>SQRT(($R1752-Infrastructure!J$12)^2+($S1752-Infrastructure!K$12)^2)</f>
        <v>15.84550409</v>
      </c>
      <c r="BF1752" s="330">
        <f t="shared" si="161"/>
        <v>15.84550409</v>
      </c>
      <c r="BG1752" s="333">
        <f t="shared" si="162"/>
        <v>41.54708173</v>
      </c>
      <c r="BH1752" s="1119"/>
      <c r="BI1752" s="319" t="str">
        <f t="shared" ref="BI1752:BR1752" si="354">IF(ISNUMBER(FIND(BI$3, $CO1752)), "Y", "")</f>
        <v/>
      </c>
      <c r="BJ1752" s="319" t="str">
        <f t="shared" si="354"/>
        <v/>
      </c>
      <c r="BK1752" s="319" t="str">
        <f t="shared" si="354"/>
        <v>Y</v>
      </c>
      <c r="BL1752" s="319" t="str">
        <f t="shared" si="354"/>
        <v>Y</v>
      </c>
      <c r="BM1752" s="319" t="str">
        <f t="shared" si="354"/>
        <v>Y</v>
      </c>
      <c r="BN1752" s="319" t="str">
        <f t="shared" si="354"/>
        <v>Y</v>
      </c>
      <c r="BO1752" s="319" t="str">
        <f t="shared" si="354"/>
        <v>Y</v>
      </c>
      <c r="BP1752" s="319" t="str">
        <f t="shared" si="354"/>
        <v/>
      </c>
      <c r="BQ1752" s="319" t="str">
        <f t="shared" si="354"/>
        <v>Y</v>
      </c>
      <c r="BR1752" s="319" t="str">
        <f t="shared" si="354"/>
        <v>Y</v>
      </c>
      <c r="BS1752" s="330">
        <f t="shared" si="185"/>
        <v>15.84550409</v>
      </c>
      <c r="BT1752" s="331">
        <f t="shared" si="170"/>
        <v>41.54708173</v>
      </c>
      <c r="BU1752" s="920">
        <v>0.6448726851851851</v>
      </c>
      <c r="BV1752" s="903">
        <f t="shared" si="186"/>
        <v>0.009224537037</v>
      </c>
      <c r="BW1752" s="908">
        <v>19.7</v>
      </c>
      <c r="BX1752" s="908">
        <v>32.6</v>
      </c>
      <c r="BY1752" s="331">
        <f t="shared" si="201"/>
        <v>7.707788269</v>
      </c>
      <c r="BZ1752" s="331"/>
      <c r="CA1752" s="462" t="str">
        <f t="shared" ref="CA1752:CJ1752" si="355">IF(ISNUMBER(FIND(BI$3, $CP1752)), "Y", "")</f>
        <v>Y</v>
      </c>
      <c r="CB1752" s="319" t="str">
        <f t="shared" si="355"/>
        <v>Y</v>
      </c>
      <c r="CC1752" s="319" t="str">
        <f t="shared" si="355"/>
        <v/>
      </c>
      <c r="CD1752" s="319" t="str">
        <f t="shared" si="355"/>
        <v/>
      </c>
      <c r="CE1752" s="319" t="str">
        <f t="shared" si="355"/>
        <v/>
      </c>
      <c r="CF1752" s="319" t="str">
        <f t="shared" si="355"/>
        <v/>
      </c>
      <c r="CG1752" s="319" t="str">
        <f t="shared" si="355"/>
        <v>Y</v>
      </c>
      <c r="CH1752" s="319" t="str">
        <f t="shared" si="355"/>
        <v/>
      </c>
      <c r="CI1752" s="319" t="str">
        <f t="shared" si="355"/>
        <v>Y</v>
      </c>
      <c r="CJ1752" s="319" t="str">
        <f t="shared" si="355"/>
        <v/>
      </c>
      <c r="CK1752" s="342">
        <f t="shared" si="182"/>
        <v>20.51194774</v>
      </c>
      <c r="CL1752" s="333">
        <f t="shared" si="183"/>
        <v>38.68397601</v>
      </c>
      <c r="CM1752" s="1079" t="s">
        <v>2574</v>
      </c>
      <c r="CN1752" s="1005" t="s">
        <v>2567</v>
      </c>
      <c r="CO1752" s="1005" t="s">
        <v>2527</v>
      </c>
      <c r="CP1752" s="1005" t="s">
        <v>2575</v>
      </c>
    </row>
    <row r="1753">
      <c r="A1753" s="1258"/>
      <c r="B1753" s="1129" t="s">
        <v>1537</v>
      </c>
      <c r="C1753" s="1122">
        <v>45464.0</v>
      </c>
      <c r="D1753" s="1129" t="s">
        <v>986</v>
      </c>
      <c r="E1753" s="1124">
        <v>8.0</v>
      </c>
      <c r="F1753" s="108" t="s">
        <v>2576</v>
      </c>
      <c r="G1753" s="1126">
        <v>0.6871527777777777</v>
      </c>
      <c r="H1753" s="1126">
        <v>0.6880208333333333</v>
      </c>
      <c r="I1753" s="1126"/>
      <c r="J1753" s="1127"/>
      <c r="K1753" s="1127">
        <v>0.7219907407407408</v>
      </c>
      <c r="L1753" s="1128">
        <v>0.03333333333333333</v>
      </c>
      <c r="M1753" s="1129" t="s">
        <v>166</v>
      </c>
      <c r="N1753" s="100" t="s">
        <v>188</v>
      </c>
      <c r="O1753" s="1131" t="s">
        <v>378</v>
      </c>
      <c r="P1753" s="1131" t="s">
        <v>217</v>
      </c>
      <c r="Q1753" s="1131" t="s">
        <v>851</v>
      </c>
      <c r="R1753" s="137">
        <v>22.7</v>
      </c>
      <c r="S1753" s="1129">
        <v>39.7</v>
      </c>
      <c r="T1753" s="100">
        <v>1.8</v>
      </c>
      <c r="U1753" s="1124"/>
      <c r="V1753" s="1124"/>
      <c r="W1753" s="1124"/>
      <c r="X1753" s="1124"/>
      <c r="Y1753" s="1124"/>
      <c r="Z1753" s="1130" t="s">
        <v>1221</v>
      </c>
      <c r="AA1753" s="1130"/>
      <c r="AB1753" s="1130" t="s">
        <v>398</v>
      </c>
      <c r="AC1753" s="1133">
        <v>6.0</v>
      </c>
      <c r="AD1753" s="1131"/>
      <c r="AE1753" s="1131"/>
      <c r="AF1753" s="1131"/>
      <c r="AG1753" s="1131"/>
      <c r="AH1753" s="1131"/>
      <c r="AI1753" s="1131"/>
      <c r="AJ1753" s="1133"/>
      <c r="AK1753" s="1134"/>
      <c r="AL1753" s="1131"/>
      <c r="AM1753" s="1131"/>
      <c r="AN1753" s="1131"/>
      <c r="AO1753" s="1131"/>
      <c r="AP1753" s="1131"/>
      <c r="AQ1753" s="1131"/>
      <c r="AR1753" s="1131"/>
      <c r="AS1753" s="1133"/>
      <c r="AT1753" s="1197"/>
      <c r="AU1753" s="1194"/>
      <c r="AV1753" s="662">
        <f>SQRT(($R1753-Infrastructure!J$3)^2+($S1753-Infrastructure!K$3)^2)</f>
        <v>25.40944706</v>
      </c>
      <c r="AW1753" s="641">
        <f>SQRT(($R1753-Infrastructure!J$4)^2+($S1753-Infrastructure!K$4)^2)</f>
        <v>31.75862088</v>
      </c>
      <c r="AX1753" s="641">
        <f>SQRT(($R1753-Infrastructure!J$5)^2+($S1753-Infrastructure!K$5)^2)</f>
        <v>41.54708173</v>
      </c>
      <c r="AY1753" s="641">
        <f>SQRT(($R1753-Infrastructure!J$6)^2+($S1753-Infrastructure!K$6)^2)</f>
        <v>41.36568626</v>
      </c>
      <c r="AZ1753" s="641">
        <f>SQRT(($R1753-Infrastructure!J$7)^2+($S1753-Infrastructure!K$7)^2)</f>
        <v>39.46137352</v>
      </c>
      <c r="BA1753" s="641">
        <f>SQRT(($R1753-Infrastructure!J$8)^2+($S1753-Infrastructure!K$8)^2)</f>
        <v>40.08890121</v>
      </c>
      <c r="BB1753" s="641">
        <f>SQRT(($R1753-Infrastructure!J$9)^2+($S1753-Infrastructure!K$9)^2)</f>
        <v>38.68397601</v>
      </c>
      <c r="BC1753" s="641">
        <f>SQRT(($R1753-Infrastructure!J$10)^2+($S1753-Infrastructure!K$10)^2)</f>
        <v>30.15592811</v>
      </c>
      <c r="BD1753" s="641">
        <f>SQRT(($R1753-Infrastructure!J$11)^2+($S1753-Infrastructure!K$11)^2)</f>
        <v>20.51194774</v>
      </c>
      <c r="BE1753" s="642">
        <f>SQRT(($R1753-Infrastructure!J$12)^2+($S1753-Infrastructure!K$12)^2)</f>
        <v>15.84550409</v>
      </c>
      <c r="BF1753" s="662">
        <f t="shared" si="161"/>
        <v>15.84550409</v>
      </c>
      <c r="BG1753" s="642">
        <f t="shared" si="162"/>
        <v>41.54708173</v>
      </c>
      <c r="BH1753" s="1135"/>
      <c r="BI1753" s="663" t="str">
        <f t="shared" ref="BI1753:BR1753" si="356">IF(ISNUMBER(FIND(BI$3, $CO1753)), "Y", "")</f>
        <v>Y</v>
      </c>
      <c r="BJ1753" s="663" t="str">
        <f t="shared" si="356"/>
        <v/>
      </c>
      <c r="BK1753" s="663" t="str">
        <f t="shared" si="356"/>
        <v>Y</v>
      </c>
      <c r="BL1753" s="663" t="str">
        <f t="shared" si="356"/>
        <v/>
      </c>
      <c r="BM1753" s="663" t="str">
        <f t="shared" si="356"/>
        <v/>
      </c>
      <c r="BN1753" s="663" t="str">
        <f t="shared" si="356"/>
        <v>Y</v>
      </c>
      <c r="BO1753" s="663" t="str">
        <f t="shared" si="356"/>
        <v/>
      </c>
      <c r="BP1753" s="663" t="str">
        <f t="shared" si="356"/>
        <v/>
      </c>
      <c r="BQ1753" s="663" t="str">
        <f t="shared" si="356"/>
        <v>Y</v>
      </c>
      <c r="BR1753" s="663" t="str">
        <f t="shared" si="356"/>
        <v>Y</v>
      </c>
      <c r="BS1753" s="662">
        <f t="shared" si="185"/>
        <v>15.84550409</v>
      </c>
      <c r="BT1753" s="641">
        <f t="shared" si="170"/>
        <v>41.54708173</v>
      </c>
      <c r="BU1753" s="937">
        <v>0.6913425925925926</v>
      </c>
      <c r="BV1753" s="930">
        <f t="shared" si="186"/>
        <v>0.004189814815</v>
      </c>
      <c r="BW1753" s="939">
        <v>12.5</v>
      </c>
      <c r="BX1753" s="939">
        <v>36.1</v>
      </c>
      <c r="BY1753" s="641">
        <f t="shared" si="201"/>
        <v>10.81665383</v>
      </c>
      <c r="BZ1753" s="641"/>
      <c r="CA1753" s="635" t="str">
        <f t="shared" ref="CA1753:CJ1753" si="357">IF(ISNUMBER(FIND(BI$3, $CP1753)), "Y", "")</f>
        <v>Y</v>
      </c>
      <c r="CB1753" s="663" t="str">
        <f t="shared" si="357"/>
        <v>Y</v>
      </c>
      <c r="CC1753" s="663" t="str">
        <f t="shared" si="357"/>
        <v/>
      </c>
      <c r="CD1753" s="663" t="str">
        <f t="shared" si="357"/>
        <v/>
      </c>
      <c r="CE1753" s="663" t="str">
        <f t="shared" si="357"/>
        <v/>
      </c>
      <c r="CF1753" s="663" t="str">
        <f t="shared" si="357"/>
        <v/>
      </c>
      <c r="CG1753" s="663" t="str">
        <f t="shared" si="357"/>
        <v>Y</v>
      </c>
      <c r="CH1753" s="663" t="str">
        <f t="shared" si="357"/>
        <v/>
      </c>
      <c r="CI1753" s="663" t="str">
        <f t="shared" si="357"/>
        <v>Y</v>
      </c>
      <c r="CJ1753" s="663" t="str">
        <f t="shared" si="357"/>
        <v/>
      </c>
      <c r="CK1753" s="743">
        <f t="shared" si="182"/>
        <v>20.51194774</v>
      </c>
      <c r="CL1753" s="642">
        <f t="shared" si="183"/>
        <v>38.68397601</v>
      </c>
      <c r="CM1753" s="1090" t="s">
        <v>2577</v>
      </c>
      <c r="CN1753" s="1036" t="s">
        <v>2567</v>
      </c>
      <c r="CO1753" s="1036" t="s">
        <v>2364</v>
      </c>
      <c r="CP1753" s="1036" t="s">
        <v>2575</v>
      </c>
    </row>
    <row r="1754">
      <c r="A1754" s="1257" t="s">
        <v>103</v>
      </c>
      <c r="B1754" s="1113" t="s">
        <v>2134</v>
      </c>
      <c r="C1754" s="1107">
        <v>45467.0</v>
      </c>
      <c r="D1754" s="1113" t="s">
        <v>986</v>
      </c>
      <c r="E1754" s="1108">
        <v>1.0</v>
      </c>
      <c r="F1754" s="112" t="s">
        <v>2578</v>
      </c>
      <c r="G1754" s="1110">
        <v>0.4644097222222222</v>
      </c>
      <c r="H1754" s="1110">
        <v>0.46475694444444443</v>
      </c>
      <c r="I1754" s="1110"/>
      <c r="J1754" s="1111"/>
      <c r="K1754" s="1111">
        <v>0.4965277777777778</v>
      </c>
      <c r="L1754" s="1112">
        <v>0.03125</v>
      </c>
      <c r="M1754" s="1113" t="s">
        <v>166</v>
      </c>
      <c r="N1754" s="110" t="s">
        <v>187</v>
      </c>
      <c r="O1754" s="1115" t="s">
        <v>202</v>
      </c>
      <c r="P1754" s="1115" t="s">
        <v>256</v>
      </c>
      <c r="Q1754" s="1116"/>
      <c r="R1754" s="120">
        <v>24.4</v>
      </c>
      <c r="S1754" s="1113">
        <v>7.5</v>
      </c>
      <c r="T1754" s="110">
        <v>0.6</v>
      </c>
      <c r="U1754" s="1108"/>
      <c r="V1754" s="1108"/>
      <c r="W1754" s="1108"/>
      <c r="X1754" s="1108"/>
      <c r="Y1754" s="1108"/>
      <c r="Z1754" s="1114" t="s">
        <v>335</v>
      </c>
      <c r="AA1754" s="1114"/>
      <c r="AB1754" s="1114" t="s">
        <v>333</v>
      </c>
      <c r="AC1754" s="1117">
        <v>2.0</v>
      </c>
      <c r="AD1754" s="1115"/>
      <c r="AE1754" s="1115"/>
      <c r="AF1754" s="1115"/>
      <c r="AG1754" s="1115"/>
      <c r="AH1754" s="1115"/>
      <c r="AI1754" s="1115"/>
      <c r="AJ1754" s="1117"/>
      <c r="AK1754" s="1118"/>
      <c r="AL1754" s="1115"/>
      <c r="AM1754" s="1115"/>
      <c r="AN1754" s="1115"/>
      <c r="AO1754" s="1115"/>
      <c r="AP1754" s="1115"/>
      <c r="AQ1754" s="1115"/>
      <c r="AR1754" s="1115"/>
      <c r="AS1754" s="1117"/>
      <c r="AT1754" s="1196"/>
      <c r="AU1754" s="1193"/>
      <c r="AV1754" s="330">
        <f>SQRT(($R1754-Infrastructure!J$3)^2+($S1754-Infrastructure!K$3)^2)</f>
        <v>32.68103426</v>
      </c>
      <c r="AW1754" s="331">
        <f>SQRT(($R1754-Infrastructure!J$4)^2+($S1754-Infrastructure!K$4)^2)</f>
        <v>26.76153957</v>
      </c>
      <c r="AX1754" s="331">
        <f>SQRT(($R1754-Infrastructure!J$5)^2+($S1754-Infrastructure!K$5)^2)</f>
        <v>24.81632527</v>
      </c>
      <c r="AY1754" s="331">
        <f>SQRT(($R1754-Infrastructure!J$6)^2+($S1754-Infrastructure!K$6)^2)</f>
        <v>16.01030918</v>
      </c>
      <c r="AZ1754" s="331">
        <f>SQRT(($R1754-Infrastructure!J$7)^2+($S1754-Infrastructure!K$7)^2)</f>
        <v>8.188406438</v>
      </c>
      <c r="BA1754" s="331">
        <f>SQRT(($R1754-Infrastructure!J$8)^2+($S1754-Infrastructure!K$8)^2)</f>
        <v>9.183136719</v>
      </c>
      <c r="BB1754" s="331">
        <f>SQRT(($R1754-Infrastructure!J$9)^2+($S1754-Infrastructure!K$9)^2)</f>
        <v>15.78353573</v>
      </c>
      <c r="BC1754" s="331">
        <f>SQRT(($R1754-Infrastructure!J$10)^2+($S1754-Infrastructure!K$10)^2)</f>
        <v>17.30924608</v>
      </c>
      <c r="BD1754" s="331">
        <f>SQRT(($R1754-Infrastructure!J$11)^2+($S1754-Infrastructure!K$11)^2)</f>
        <v>26.68126684</v>
      </c>
      <c r="BE1754" s="333">
        <f>SQRT(($R1754-Infrastructure!J$12)^2+($S1754-Infrastructure!K$12)^2)</f>
        <v>48.08752437</v>
      </c>
      <c r="BF1754" s="330">
        <f t="shared" si="161"/>
        <v>8.188406438</v>
      </c>
      <c r="BG1754" s="333">
        <f t="shared" si="162"/>
        <v>48.08752437</v>
      </c>
      <c r="BH1754" s="1119"/>
      <c r="BI1754" s="319" t="str">
        <f t="shared" ref="BI1754:BR1754" si="358">IF(ISNUMBER(FIND(BI$3, $CO1754)), "Y", "")</f>
        <v/>
      </c>
      <c r="BJ1754" s="319" t="str">
        <f t="shared" si="358"/>
        <v/>
      </c>
      <c r="BK1754" s="319" t="str">
        <f t="shared" si="358"/>
        <v/>
      </c>
      <c r="BL1754" s="319" t="str">
        <f t="shared" si="358"/>
        <v/>
      </c>
      <c r="BM1754" s="319" t="str">
        <f t="shared" si="358"/>
        <v/>
      </c>
      <c r="BN1754" s="319" t="str">
        <f t="shared" si="358"/>
        <v/>
      </c>
      <c r="BO1754" s="319" t="str">
        <f t="shared" si="358"/>
        <v/>
      </c>
      <c r="BP1754" s="319" t="str">
        <f t="shared" si="358"/>
        <v/>
      </c>
      <c r="BQ1754" s="319" t="str">
        <f t="shared" si="358"/>
        <v/>
      </c>
      <c r="BR1754" s="319" t="str">
        <f t="shared" si="358"/>
        <v/>
      </c>
      <c r="BS1754" s="330">
        <f t="shared" si="185"/>
        <v>0</v>
      </c>
      <c r="BT1754" s="331">
        <f t="shared" si="170"/>
        <v>0</v>
      </c>
      <c r="BU1754" s="920"/>
      <c r="BV1754" s="903" t="str">
        <f t="shared" si="186"/>
        <v/>
      </c>
      <c r="BW1754" s="908"/>
      <c r="BX1754" s="908"/>
      <c r="BY1754" s="331" t="b">
        <f t="shared" si="201"/>
        <v>0</v>
      </c>
      <c r="BZ1754" s="331"/>
      <c r="CA1754" s="462" t="str">
        <f t="shared" ref="CA1754:CJ1754" si="359">IF(ISNUMBER(FIND(BI$3, $CP1754)), "Y", "")</f>
        <v>Y</v>
      </c>
      <c r="CB1754" s="319" t="str">
        <f t="shared" si="359"/>
        <v/>
      </c>
      <c r="CC1754" s="319" t="str">
        <f t="shared" si="359"/>
        <v>Y</v>
      </c>
      <c r="CD1754" s="319" t="str">
        <f t="shared" si="359"/>
        <v>Y</v>
      </c>
      <c r="CE1754" s="319" t="str">
        <f t="shared" si="359"/>
        <v>Y</v>
      </c>
      <c r="CF1754" s="319" t="str">
        <f t="shared" si="359"/>
        <v>Y</v>
      </c>
      <c r="CG1754" s="319" t="str">
        <f t="shared" si="359"/>
        <v/>
      </c>
      <c r="CH1754" s="319" t="str">
        <f t="shared" si="359"/>
        <v/>
      </c>
      <c r="CI1754" s="319" t="str">
        <f t="shared" si="359"/>
        <v>Y</v>
      </c>
      <c r="CJ1754" s="319" t="str">
        <f t="shared" si="359"/>
        <v>Y</v>
      </c>
      <c r="CK1754" s="342">
        <f t="shared" si="182"/>
        <v>8.188406438</v>
      </c>
      <c r="CL1754" s="333">
        <f t="shared" si="183"/>
        <v>48.08752437</v>
      </c>
      <c r="CM1754" s="1079" t="s">
        <v>2579</v>
      </c>
      <c r="CN1754" s="1005" t="s">
        <v>2580</v>
      </c>
      <c r="CO1754" s="1005"/>
      <c r="CP1754" s="1005" t="s">
        <v>2490</v>
      </c>
    </row>
    <row r="1755">
      <c r="A1755" s="266"/>
      <c r="B1755" s="1113" t="s">
        <v>2134</v>
      </c>
      <c r="C1755" s="1107">
        <v>45467.0</v>
      </c>
      <c r="D1755" s="1113" t="s">
        <v>986</v>
      </c>
      <c r="E1755" s="1108">
        <v>2.0</v>
      </c>
      <c r="F1755" s="112" t="s">
        <v>2581</v>
      </c>
      <c r="G1755" s="1110">
        <v>0.5</v>
      </c>
      <c r="H1755" s="1110">
        <v>0.5006944444444444</v>
      </c>
      <c r="I1755" s="1110"/>
      <c r="J1755" s="1111"/>
      <c r="K1755" s="1111">
        <v>0.53125</v>
      </c>
      <c r="L1755" s="1112">
        <v>0.030555555555555555</v>
      </c>
      <c r="M1755" s="1113" t="s">
        <v>166</v>
      </c>
      <c r="N1755" s="110" t="s">
        <v>188</v>
      </c>
      <c r="O1755" s="1115" t="s">
        <v>196</v>
      </c>
      <c r="P1755" s="1115" t="s">
        <v>224</v>
      </c>
      <c r="Q1755" s="1115" t="s">
        <v>842</v>
      </c>
      <c r="R1755" s="120">
        <v>21.7</v>
      </c>
      <c r="S1755" s="1113">
        <v>39.5</v>
      </c>
      <c r="T1755" s="110">
        <v>1.3</v>
      </c>
      <c r="U1755" s="1108"/>
      <c r="V1755" s="1108"/>
      <c r="W1755" s="1108"/>
      <c r="X1755" s="1108"/>
      <c r="Y1755" s="1108"/>
      <c r="Z1755" s="1114" t="s">
        <v>387</v>
      </c>
      <c r="AA1755" s="1114"/>
      <c r="AB1755" s="1114" t="s">
        <v>416</v>
      </c>
      <c r="AC1755" s="1117">
        <v>52.5</v>
      </c>
      <c r="AD1755" s="1115"/>
      <c r="AE1755" s="1115"/>
      <c r="AF1755" s="1115"/>
      <c r="AG1755" s="1115"/>
      <c r="AH1755" s="1115"/>
      <c r="AI1755" s="1115"/>
      <c r="AJ1755" s="1117"/>
      <c r="AK1755" s="1118"/>
      <c r="AL1755" s="1115"/>
      <c r="AM1755" s="1115"/>
      <c r="AN1755" s="1115"/>
      <c r="AO1755" s="1115"/>
      <c r="AP1755" s="1115"/>
      <c r="AQ1755" s="1115"/>
      <c r="AR1755" s="1115"/>
      <c r="AS1755" s="1117"/>
      <c r="AT1755" s="1196"/>
      <c r="AU1755" s="1193"/>
      <c r="AV1755" s="330">
        <f>SQRT(($R1755-Infrastructure!J$3)^2+($S1755-Infrastructure!K$3)^2)</f>
        <v>24.42048321</v>
      </c>
      <c r="AW1755" s="331">
        <f>SQRT(($R1755-Infrastructure!J$4)^2+($S1755-Infrastructure!K$4)^2)</f>
        <v>30.90129447</v>
      </c>
      <c r="AX1755" s="331">
        <f>SQRT(($R1755-Infrastructure!J$5)^2+($S1755-Infrastructure!K$5)^2)</f>
        <v>40.83331973</v>
      </c>
      <c r="AY1755" s="331">
        <f>SQRT(($R1755-Infrastructure!J$6)^2+($S1755-Infrastructure!K$6)^2)</f>
        <v>40.88031311</v>
      </c>
      <c r="AZ1755" s="331">
        <f>SQRT(($R1755-Infrastructure!J$7)^2+($S1755-Infrastructure!K$7)^2)</f>
        <v>39.21836305</v>
      </c>
      <c r="BA1755" s="331">
        <f>SQRT(($R1755-Infrastructure!J$8)^2+($S1755-Infrastructure!K$8)^2)</f>
        <v>40.08989898</v>
      </c>
      <c r="BB1755" s="331">
        <f>SQRT(($R1755-Infrastructure!J$9)^2+($S1755-Infrastructure!K$9)^2)</f>
        <v>38.96472764</v>
      </c>
      <c r="BC1755" s="331">
        <f>SQRT(($R1755-Infrastructure!J$10)^2+($S1755-Infrastructure!K$10)^2)</f>
        <v>30.58005886</v>
      </c>
      <c r="BD1755" s="331">
        <f>SQRT(($R1755-Infrastructure!J$11)^2+($S1755-Infrastructure!K$11)^2)</f>
        <v>21.27204739</v>
      </c>
      <c r="BE1755" s="333">
        <f>SQRT(($R1755-Infrastructure!J$12)^2+($S1755-Infrastructure!K$12)^2)</f>
        <v>16.00124995</v>
      </c>
      <c r="BF1755" s="330">
        <f t="shared" si="161"/>
        <v>16.00124995</v>
      </c>
      <c r="BG1755" s="333">
        <f t="shared" si="162"/>
        <v>40.88031311</v>
      </c>
      <c r="BH1755" s="1119"/>
      <c r="BI1755" s="319" t="str">
        <f t="shared" ref="BI1755:BR1755" si="360">IF(ISNUMBER(FIND(BI$3, $CO1755)), "Y", "")</f>
        <v>Y</v>
      </c>
      <c r="BJ1755" s="319" t="str">
        <f t="shared" si="360"/>
        <v>Y</v>
      </c>
      <c r="BK1755" s="319" t="str">
        <f t="shared" si="360"/>
        <v>Y</v>
      </c>
      <c r="BL1755" s="319" t="str">
        <f t="shared" si="360"/>
        <v>Y</v>
      </c>
      <c r="BM1755" s="319" t="str">
        <f t="shared" si="360"/>
        <v>Y</v>
      </c>
      <c r="BN1755" s="319" t="str">
        <f t="shared" si="360"/>
        <v>Y</v>
      </c>
      <c r="BO1755" s="319" t="str">
        <f t="shared" si="360"/>
        <v>Y</v>
      </c>
      <c r="BP1755" s="319" t="str">
        <f t="shared" si="360"/>
        <v/>
      </c>
      <c r="BQ1755" s="319" t="str">
        <f t="shared" si="360"/>
        <v>Y</v>
      </c>
      <c r="BR1755" s="319" t="str">
        <f t="shared" si="360"/>
        <v>Y</v>
      </c>
      <c r="BS1755" s="330">
        <f t="shared" si="185"/>
        <v>16.00124995</v>
      </c>
      <c r="BT1755" s="331">
        <f t="shared" si="170"/>
        <v>40.88031311</v>
      </c>
      <c r="BU1755" s="920">
        <v>0.5269097222222222</v>
      </c>
      <c r="BV1755" s="903">
        <f t="shared" si="186"/>
        <v>0.02690972222</v>
      </c>
      <c r="BW1755" s="908">
        <v>11.7</v>
      </c>
      <c r="BX1755" s="908">
        <v>42.6</v>
      </c>
      <c r="BY1755" s="331">
        <f t="shared" si="201"/>
        <v>10.46947945</v>
      </c>
      <c r="BZ1755" s="331"/>
      <c r="CA1755" s="462" t="str">
        <f t="shared" ref="CA1755:CJ1755" si="361">IF(ISNUMBER(FIND(BI$3, $CP1755)), "Y", "")</f>
        <v>Y</v>
      </c>
      <c r="CB1755" s="319" t="str">
        <f t="shared" si="361"/>
        <v>Y</v>
      </c>
      <c r="CC1755" s="319" t="str">
        <f t="shared" si="361"/>
        <v>Y</v>
      </c>
      <c r="CD1755" s="319" t="str">
        <f t="shared" si="361"/>
        <v>Y</v>
      </c>
      <c r="CE1755" s="319" t="str">
        <f t="shared" si="361"/>
        <v>Y</v>
      </c>
      <c r="CF1755" s="319" t="str">
        <f t="shared" si="361"/>
        <v>Y</v>
      </c>
      <c r="CG1755" s="319" t="str">
        <f t="shared" si="361"/>
        <v>Y</v>
      </c>
      <c r="CH1755" s="319" t="str">
        <f t="shared" si="361"/>
        <v/>
      </c>
      <c r="CI1755" s="319" t="str">
        <f t="shared" si="361"/>
        <v>Y</v>
      </c>
      <c r="CJ1755" s="319" t="str">
        <f t="shared" si="361"/>
        <v>Y</v>
      </c>
      <c r="CK1755" s="342">
        <f t="shared" si="182"/>
        <v>16.00124995</v>
      </c>
      <c r="CL1755" s="333">
        <f t="shared" si="183"/>
        <v>40.88031311</v>
      </c>
      <c r="CM1755" s="1079" t="s">
        <v>2582</v>
      </c>
      <c r="CN1755" s="1005" t="s">
        <v>2580</v>
      </c>
      <c r="CO1755" s="1005" t="s">
        <v>2400</v>
      </c>
      <c r="CP1755" s="1005" t="s">
        <v>2583</v>
      </c>
    </row>
    <row r="1756">
      <c r="A1756" s="266"/>
      <c r="B1756" s="1113" t="s">
        <v>2134</v>
      </c>
      <c r="C1756" s="1107">
        <v>45467.0</v>
      </c>
      <c r="D1756" s="1113" t="s">
        <v>986</v>
      </c>
      <c r="E1756" s="1108">
        <v>3.0</v>
      </c>
      <c r="F1756" s="112" t="s">
        <v>2584</v>
      </c>
      <c r="G1756" s="1110">
        <v>0.5430555555555555</v>
      </c>
      <c r="H1756" s="1110">
        <v>0.5435185185185185</v>
      </c>
      <c r="I1756" s="1110"/>
      <c r="J1756" s="1111"/>
      <c r="K1756" s="1111">
        <v>0.5729166666666666</v>
      </c>
      <c r="L1756" s="1112">
        <v>0.029166666666666667</v>
      </c>
      <c r="M1756" s="1113" t="s">
        <v>166</v>
      </c>
      <c r="N1756" s="110" t="s">
        <v>188</v>
      </c>
      <c r="O1756" s="1115" t="s">
        <v>378</v>
      </c>
      <c r="P1756" s="1115" t="s">
        <v>225</v>
      </c>
      <c r="Q1756" s="1115" t="s">
        <v>842</v>
      </c>
      <c r="R1756" s="120">
        <v>22.7</v>
      </c>
      <c r="S1756" s="1113">
        <v>39.7</v>
      </c>
      <c r="T1756" s="110">
        <v>1.1</v>
      </c>
      <c r="U1756" s="1108"/>
      <c r="V1756" s="1108"/>
      <c r="W1756" s="1108"/>
      <c r="X1756" s="1108"/>
      <c r="Y1756" s="1108"/>
      <c r="Z1756" s="1114" t="s">
        <v>1140</v>
      </c>
      <c r="AA1756" s="1114"/>
      <c r="AB1756" s="1114" t="s">
        <v>407</v>
      </c>
      <c r="AC1756" s="1117">
        <v>15.75</v>
      </c>
      <c r="AD1756" s="1115"/>
      <c r="AE1756" s="1115"/>
      <c r="AF1756" s="1115"/>
      <c r="AG1756" s="1115"/>
      <c r="AH1756" s="1115"/>
      <c r="AI1756" s="1115"/>
      <c r="AJ1756" s="1117"/>
      <c r="AK1756" s="1118"/>
      <c r="AL1756" s="1115"/>
      <c r="AM1756" s="1115"/>
      <c r="AN1756" s="1115"/>
      <c r="AO1756" s="1115"/>
      <c r="AP1756" s="1115"/>
      <c r="AQ1756" s="1115"/>
      <c r="AR1756" s="1115"/>
      <c r="AS1756" s="1117"/>
      <c r="AT1756" s="1196"/>
      <c r="AU1756" s="1193"/>
      <c r="AV1756" s="330">
        <f>SQRT(($R1756-Infrastructure!J$3)^2+($S1756-Infrastructure!K$3)^2)</f>
        <v>25.40944706</v>
      </c>
      <c r="AW1756" s="331">
        <f>SQRT(($R1756-Infrastructure!J$4)^2+($S1756-Infrastructure!K$4)^2)</f>
        <v>31.75862088</v>
      </c>
      <c r="AX1756" s="331">
        <f>SQRT(($R1756-Infrastructure!J$5)^2+($S1756-Infrastructure!K$5)^2)</f>
        <v>41.54708173</v>
      </c>
      <c r="AY1756" s="331">
        <f>SQRT(($R1756-Infrastructure!J$6)^2+($S1756-Infrastructure!K$6)^2)</f>
        <v>41.36568626</v>
      </c>
      <c r="AZ1756" s="331">
        <f>SQRT(($R1756-Infrastructure!J$7)^2+($S1756-Infrastructure!K$7)^2)</f>
        <v>39.46137352</v>
      </c>
      <c r="BA1756" s="331">
        <f>SQRT(($R1756-Infrastructure!J$8)^2+($S1756-Infrastructure!K$8)^2)</f>
        <v>40.08890121</v>
      </c>
      <c r="BB1756" s="331">
        <f>SQRT(($R1756-Infrastructure!J$9)^2+($S1756-Infrastructure!K$9)^2)</f>
        <v>38.68397601</v>
      </c>
      <c r="BC1756" s="331">
        <f>SQRT(($R1756-Infrastructure!J$10)^2+($S1756-Infrastructure!K$10)^2)</f>
        <v>30.15592811</v>
      </c>
      <c r="BD1756" s="331">
        <f>SQRT(($R1756-Infrastructure!J$11)^2+($S1756-Infrastructure!K$11)^2)</f>
        <v>20.51194774</v>
      </c>
      <c r="BE1756" s="333">
        <f>SQRT(($R1756-Infrastructure!J$12)^2+($S1756-Infrastructure!K$12)^2)</f>
        <v>15.84550409</v>
      </c>
      <c r="BF1756" s="330">
        <f t="shared" si="161"/>
        <v>15.84550409</v>
      </c>
      <c r="BG1756" s="333">
        <f t="shared" si="162"/>
        <v>41.54708173</v>
      </c>
      <c r="BH1756" s="1119"/>
      <c r="BI1756" s="319" t="str">
        <f t="shared" ref="BI1756:BR1756" si="362">IF(ISNUMBER(FIND(BI$3, $CO1756)), "Y", "")</f>
        <v/>
      </c>
      <c r="BJ1756" s="319" t="str">
        <f t="shared" si="362"/>
        <v/>
      </c>
      <c r="BK1756" s="319" t="str">
        <f t="shared" si="362"/>
        <v/>
      </c>
      <c r="BL1756" s="319" t="str">
        <f t="shared" si="362"/>
        <v/>
      </c>
      <c r="BM1756" s="319" t="str">
        <f t="shared" si="362"/>
        <v/>
      </c>
      <c r="BN1756" s="319" t="str">
        <f t="shared" si="362"/>
        <v/>
      </c>
      <c r="BO1756" s="319" t="str">
        <f t="shared" si="362"/>
        <v/>
      </c>
      <c r="BP1756" s="319" t="str">
        <f t="shared" si="362"/>
        <v/>
      </c>
      <c r="BQ1756" s="319" t="str">
        <f t="shared" si="362"/>
        <v/>
      </c>
      <c r="BR1756" s="319" t="str">
        <f t="shared" si="362"/>
        <v/>
      </c>
      <c r="BS1756" s="330">
        <f t="shared" si="185"/>
        <v>0</v>
      </c>
      <c r="BT1756" s="331">
        <f t="shared" si="170"/>
        <v>0</v>
      </c>
      <c r="BU1756" s="920">
        <v>0.5436111111111112</v>
      </c>
      <c r="BV1756" s="903">
        <f t="shared" si="186"/>
        <v>0.0005555555556</v>
      </c>
      <c r="BW1756" s="908">
        <v>18.8</v>
      </c>
      <c r="BX1756" s="908">
        <v>44.4</v>
      </c>
      <c r="BY1756" s="331">
        <f t="shared" si="201"/>
        <v>6.107372594</v>
      </c>
      <c r="BZ1756" s="331"/>
      <c r="CA1756" s="462" t="str">
        <f t="shared" ref="CA1756:CJ1756" si="363">IF(ISNUMBER(FIND(BI$3, $CP1756)), "Y", "")</f>
        <v>Y</v>
      </c>
      <c r="CB1756" s="319" t="str">
        <f t="shared" si="363"/>
        <v>Y</v>
      </c>
      <c r="CC1756" s="319" t="str">
        <f t="shared" si="363"/>
        <v>Y</v>
      </c>
      <c r="CD1756" s="319" t="str">
        <f t="shared" si="363"/>
        <v>Y</v>
      </c>
      <c r="CE1756" s="319" t="str">
        <f t="shared" si="363"/>
        <v>Y</v>
      </c>
      <c r="CF1756" s="319" t="str">
        <f t="shared" si="363"/>
        <v>Y</v>
      </c>
      <c r="CG1756" s="319" t="str">
        <f t="shared" si="363"/>
        <v>Y</v>
      </c>
      <c r="CH1756" s="319" t="str">
        <f t="shared" si="363"/>
        <v/>
      </c>
      <c r="CI1756" s="319" t="str">
        <f t="shared" si="363"/>
        <v>Y</v>
      </c>
      <c r="CJ1756" s="319" t="str">
        <f t="shared" si="363"/>
        <v>Y</v>
      </c>
      <c r="CK1756" s="342">
        <f t="shared" si="182"/>
        <v>15.84550409</v>
      </c>
      <c r="CL1756" s="333">
        <f t="shared" si="183"/>
        <v>41.54708173</v>
      </c>
      <c r="CM1756" s="1079" t="s">
        <v>2585</v>
      </c>
      <c r="CN1756" s="1005" t="s">
        <v>2586</v>
      </c>
      <c r="CO1756" s="1005"/>
      <c r="CP1756" s="1005" t="s">
        <v>2583</v>
      </c>
    </row>
    <row r="1757">
      <c r="A1757" s="266"/>
      <c r="B1757" s="1113" t="s">
        <v>2134</v>
      </c>
      <c r="C1757" s="1107">
        <v>45467.0</v>
      </c>
      <c r="D1757" s="1113" t="s">
        <v>986</v>
      </c>
      <c r="E1757" s="1108">
        <v>4.0</v>
      </c>
      <c r="F1757" s="112" t="s">
        <v>2587</v>
      </c>
      <c r="G1757" s="1110">
        <v>0.5843171296296297</v>
      </c>
      <c r="H1757" s="1110">
        <v>0.5854166666666667</v>
      </c>
      <c r="I1757" s="1110"/>
      <c r="J1757" s="1111"/>
      <c r="K1757" s="1111">
        <v>0.6170138888888889</v>
      </c>
      <c r="L1757" s="1112">
        <v>0.03125</v>
      </c>
      <c r="M1757" s="1113" t="s">
        <v>166</v>
      </c>
      <c r="N1757" s="110" t="s">
        <v>187</v>
      </c>
      <c r="O1757" s="1115" t="s">
        <v>206</v>
      </c>
      <c r="P1757" s="1115" t="s">
        <v>218</v>
      </c>
      <c r="Q1757" s="1116"/>
      <c r="R1757" s="120">
        <v>21.5</v>
      </c>
      <c r="S1757" s="1113">
        <v>8.7</v>
      </c>
      <c r="T1757" s="110">
        <v>2.4</v>
      </c>
      <c r="U1757" s="1108"/>
      <c r="V1757" s="1108"/>
      <c r="W1757" s="1108"/>
      <c r="X1757" s="1108"/>
      <c r="Y1757" s="1108"/>
      <c r="Z1757" s="1114" t="s">
        <v>335</v>
      </c>
      <c r="AA1757" s="1114"/>
      <c r="AB1757" s="1114" t="s">
        <v>375</v>
      </c>
      <c r="AC1757" s="1117">
        <v>2.7</v>
      </c>
      <c r="AD1757" s="1115"/>
      <c r="AE1757" s="1115"/>
      <c r="AF1757" s="1115"/>
      <c r="AG1757" s="1115"/>
      <c r="AH1757" s="1115"/>
      <c r="AI1757" s="1115"/>
      <c r="AJ1757" s="1117"/>
      <c r="AK1757" s="1118"/>
      <c r="AL1757" s="1115"/>
      <c r="AM1757" s="1115"/>
      <c r="AN1757" s="1115"/>
      <c r="AO1757" s="1115"/>
      <c r="AP1757" s="1115"/>
      <c r="AQ1757" s="1115"/>
      <c r="AR1757" s="1115"/>
      <c r="AS1757" s="1117"/>
      <c r="AT1757" s="1196"/>
      <c r="AU1757" s="1193"/>
      <c r="AV1757" s="330">
        <f>SQRT(($R1757-Infrastructure!J$3)^2+($S1757-Infrastructure!K$3)^2)</f>
        <v>29.72002692</v>
      </c>
      <c r="AW1757" s="331">
        <f>SQRT(($R1757-Infrastructure!J$4)^2+($S1757-Infrastructure!K$4)^2)</f>
        <v>23.62308193</v>
      </c>
      <c r="AX1757" s="331">
        <f>SQRT(($R1757-Infrastructure!J$5)^2+($S1757-Infrastructure!K$5)^2)</f>
        <v>22.09524836</v>
      </c>
      <c r="AY1757" s="331">
        <f>SQRT(($R1757-Infrastructure!J$6)^2+($S1757-Infrastructure!K$6)^2)</f>
        <v>14.16050847</v>
      </c>
      <c r="AZ1757" s="331">
        <f>SQRT(($R1757-Infrastructure!J$7)^2+($S1757-Infrastructure!K$7)^2)</f>
        <v>8.459314393</v>
      </c>
      <c r="BA1757" s="331">
        <f>SQRT(($R1757-Infrastructure!J$8)^2+($S1757-Infrastructure!K$8)^2)</f>
        <v>12.02164714</v>
      </c>
      <c r="BB1757" s="331">
        <f>SQRT(($R1757-Infrastructure!J$9)^2+($S1757-Infrastructure!K$9)^2)</f>
        <v>18.84701568</v>
      </c>
      <c r="BC1757" s="331">
        <f>SQRT(($R1757-Infrastructure!J$10)^2+($S1757-Infrastructure!K$10)^2)</f>
        <v>19.54328529</v>
      </c>
      <c r="BD1757" s="331">
        <f>SQRT(($R1757-Infrastructure!J$11)^2+($S1757-Infrastructure!K$11)^2)</f>
        <v>27.60036232</v>
      </c>
      <c r="BE1757" s="333">
        <f>SQRT(($R1757-Infrastructure!J$12)^2+($S1757-Infrastructure!K$12)^2)</f>
        <v>46.8</v>
      </c>
      <c r="BF1757" s="330">
        <f t="shared" si="161"/>
        <v>8.459314393</v>
      </c>
      <c r="BG1757" s="333">
        <f t="shared" si="162"/>
        <v>46.8</v>
      </c>
      <c r="BH1757" s="1119"/>
      <c r="BI1757" s="319" t="str">
        <f t="shared" ref="BI1757:BR1757" si="364">IF(ISNUMBER(FIND(BI$3, $CO1757)), "Y", "")</f>
        <v/>
      </c>
      <c r="BJ1757" s="319" t="str">
        <f t="shared" si="364"/>
        <v/>
      </c>
      <c r="BK1757" s="319" t="str">
        <f t="shared" si="364"/>
        <v/>
      </c>
      <c r="BL1757" s="319" t="str">
        <f t="shared" si="364"/>
        <v/>
      </c>
      <c r="BM1757" s="319" t="str">
        <f t="shared" si="364"/>
        <v/>
      </c>
      <c r="BN1757" s="319" t="str">
        <f t="shared" si="364"/>
        <v/>
      </c>
      <c r="BO1757" s="319" t="str">
        <f t="shared" si="364"/>
        <v/>
      </c>
      <c r="BP1757" s="319" t="str">
        <f t="shared" si="364"/>
        <v/>
      </c>
      <c r="BQ1757" s="319" t="str">
        <f t="shared" si="364"/>
        <v/>
      </c>
      <c r="BR1757" s="319" t="str">
        <f t="shared" si="364"/>
        <v/>
      </c>
      <c r="BS1757" s="330">
        <f t="shared" si="185"/>
        <v>0</v>
      </c>
      <c r="BT1757" s="331">
        <f t="shared" si="170"/>
        <v>0</v>
      </c>
      <c r="BU1757" s="920"/>
      <c r="BV1757" s="903" t="str">
        <f t="shared" si="186"/>
        <v/>
      </c>
      <c r="BW1757" s="908"/>
      <c r="BX1757" s="908"/>
      <c r="BY1757" s="331" t="b">
        <f t="shared" si="201"/>
        <v>0</v>
      </c>
      <c r="BZ1757" s="331"/>
      <c r="CA1757" s="462" t="str">
        <f t="shared" ref="CA1757:CJ1757" si="365">IF(ISNUMBER(FIND(BI$3, $CP1757)), "Y", "")</f>
        <v/>
      </c>
      <c r="CB1757" s="319" t="str">
        <f t="shared" si="365"/>
        <v/>
      </c>
      <c r="CC1757" s="319" t="str">
        <f t="shared" si="365"/>
        <v/>
      </c>
      <c r="CD1757" s="319" t="str">
        <f t="shared" si="365"/>
        <v>Y</v>
      </c>
      <c r="CE1757" s="319" t="str">
        <f t="shared" si="365"/>
        <v>Y</v>
      </c>
      <c r="CF1757" s="319" t="str">
        <f t="shared" si="365"/>
        <v/>
      </c>
      <c r="CG1757" s="319" t="str">
        <f t="shared" si="365"/>
        <v/>
      </c>
      <c r="CH1757" s="319" t="str">
        <f t="shared" si="365"/>
        <v/>
      </c>
      <c r="CI1757" s="319" t="str">
        <f t="shared" si="365"/>
        <v/>
      </c>
      <c r="CJ1757" s="319" t="str">
        <f t="shared" si="365"/>
        <v>Y</v>
      </c>
      <c r="CK1757" s="342">
        <f t="shared" si="182"/>
        <v>8.459314393</v>
      </c>
      <c r="CL1757" s="333">
        <f t="shared" si="183"/>
        <v>46.8</v>
      </c>
      <c r="CM1757" s="1079" t="s">
        <v>2495</v>
      </c>
      <c r="CN1757" s="1005" t="s">
        <v>2586</v>
      </c>
      <c r="CO1757" s="1005"/>
      <c r="CP1757" s="1005" t="s">
        <v>2588</v>
      </c>
    </row>
    <row r="1758">
      <c r="A1758" s="266"/>
      <c r="B1758" s="1113" t="s">
        <v>2134</v>
      </c>
      <c r="C1758" s="1107">
        <v>45467.0</v>
      </c>
      <c r="D1758" s="1113" t="s">
        <v>986</v>
      </c>
      <c r="E1758" s="1108">
        <v>5.0</v>
      </c>
      <c r="F1758" s="112" t="s">
        <v>2589</v>
      </c>
      <c r="G1758" s="1110">
        <v>0.6258680555555556</v>
      </c>
      <c r="H1758" s="1110">
        <v>0.6263888888888889</v>
      </c>
      <c r="I1758" s="1110"/>
      <c r="J1758" s="1111"/>
      <c r="K1758" s="1111">
        <v>0.6621527777777778</v>
      </c>
      <c r="L1758" s="1112">
        <v>0.035416666666666666</v>
      </c>
      <c r="M1758" s="1113" t="s">
        <v>166</v>
      </c>
      <c r="N1758" s="110" t="s">
        <v>188</v>
      </c>
      <c r="O1758" s="1115" t="s">
        <v>378</v>
      </c>
      <c r="P1758" s="1115" t="s">
        <v>225</v>
      </c>
      <c r="Q1758" s="1115" t="s">
        <v>842</v>
      </c>
      <c r="R1758" s="120">
        <v>22.7</v>
      </c>
      <c r="S1758" s="1113">
        <v>39.7</v>
      </c>
      <c r="T1758" s="110">
        <v>1.1</v>
      </c>
      <c r="U1758" s="1108"/>
      <c r="V1758" s="1108"/>
      <c r="W1758" s="1108"/>
      <c r="X1758" s="1108"/>
      <c r="Y1758" s="1108"/>
      <c r="Z1758" s="1114" t="s">
        <v>1140</v>
      </c>
      <c r="AA1758" s="1114"/>
      <c r="AB1758" s="1114" t="s">
        <v>410</v>
      </c>
      <c r="AC1758" s="1117">
        <v>22.1</v>
      </c>
      <c r="AD1758" s="1115"/>
      <c r="AE1758" s="1115"/>
      <c r="AF1758" s="1115"/>
      <c r="AG1758" s="1115"/>
      <c r="AH1758" s="1115"/>
      <c r="AI1758" s="1115"/>
      <c r="AJ1758" s="1117"/>
      <c r="AK1758" s="1118"/>
      <c r="AL1758" s="1115"/>
      <c r="AM1758" s="1115"/>
      <c r="AN1758" s="1115"/>
      <c r="AO1758" s="1115"/>
      <c r="AP1758" s="1115"/>
      <c r="AQ1758" s="1115"/>
      <c r="AR1758" s="1115"/>
      <c r="AS1758" s="1117"/>
      <c r="AT1758" s="1196"/>
      <c r="AU1758" s="1193"/>
      <c r="AV1758" s="330">
        <f>SQRT(($R1758-Infrastructure!J$3)^2+($S1758-Infrastructure!K$3)^2)</f>
        <v>25.40944706</v>
      </c>
      <c r="AW1758" s="331">
        <f>SQRT(($R1758-Infrastructure!J$4)^2+($S1758-Infrastructure!K$4)^2)</f>
        <v>31.75862088</v>
      </c>
      <c r="AX1758" s="331">
        <f>SQRT(($R1758-Infrastructure!J$5)^2+($S1758-Infrastructure!K$5)^2)</f>
        <v>41.54708173</v>
      </c>
      <c r="AY1758" s="331">
        <f>SQRT(($R1758-Infrastructure!J$6)^2+($S1758-Infrastructure!K$6)^2)</f>
        <v>41.36568626</v>
      </c>
      <c r="AZ1758" s="331">
        <f>SQRT(($R1758-Infrastructure!J$7)^2+($S1758-Infrastructure!K$7)^2)</f>
        <v>39.46137352</v>
      </c>
      <c r="BA1758" s="331">
        <f>SQRT(($R1758-Infrastructure!J$8)^2+($S1758-Infrastructure!K$8)^2)</f>
        <v>40.08890121</v>
      </c>
      <c r="BB1758" s="331">
        <f>SQRT(($R1758-Infrastructure!J$9)^2+($S1758-Infrastructure!K$9)^2)</f>
        <v>38.68397601</v>
      </c>
      <c r="BC1758" s="331">
        <f>SQRT(($R1758-Infrastructure!J$10)^2+($S1758-Infrastructure!K$10)^2)</f>
        <v>30.15592811</v>
      </c>
      <c r="BD1758" s="331">
        <f>SQRT(($R1758-Infrastructure!J$11)^2+($S1758-Infrastructure!K$11)^2)</f>
        <v>20.51194774</v>
      </c>
      <c r="BE1758" s="333">
        <f>SQRT(($R1758-Infrastructure!J$12)^2+($S1758-Infrastructure!K$12)^2)</f>
        <v>15.84550409</v>
      </c>
      <c r="BF1758" s="330">
        <f t="shared" si="161"/>
        <v>15.84550409</v>
      </c>
      <c r="BG1758" s="333">
        <f t="shared" si="162"/>
        <v>41.54708173</v>
      </c>
      <c r="BH1758" s="1119"/>
      <c r="BI1758" s="319" t="str">
        <f t="shared" ref="BI1758:BR1758" si="366">IF(ISNUMBER(FIND(BI$3, $CO1758)), "Y", "")</f>
        <v>Y</v>
      </c>
      <c r="BJ1758" s="319" t="str">
        <f t="shared" si="366"/>
        <v/>
      </c>
      <c r="BK1758" s="319" t="str">
        <f t="shared" si="366"/>
        <v/>
      </c>
      <c r="BL1758" s="319" t="str">
        <f t="shared" si="366"/>
        <v>Y</v>
      </c>
      <c r="BM1758" s="319" t="str">
        <f t="shared" si="366"/>
        <v>Y</v>
      </c>
      <c r="BN1758" s="319" t="str">
        <f t="shared" si="366"/>
        <v>Y</v>
      </c>
      <c r="BO1758" s="319" t="str">
        <f t="shared" si="366"/>
        <v>Y</v>
      </c>
      <c r="BP1758" s="319" t="str">
        <f t="shared" si="366"/>
        <v/>
      </c>
      <c r="BQ1758" s="319" t="str">
        <f t="shared" si="366"/>
        <v>Y</v>
      </c>
      <c r="BR1758" s="319" t="str">
        <f t="shared" si="366"/>
        <v>Y</v>
      </c>
      <c r="BS1758" s="330">
        <f t="shared" si="185"/>
        <v>15.84550409</v>
      </c>
      <c r="BT1758" s="331">
        <f t="shared" si="170"/>
        <v>41.36568626</v>
      </c>
      <c r="BU1758" s="920">
        <v>0.6264004629629629</v>
      </c>
      <c r="BV1758" s="903">
        <f t="shared" si="186"/>
        <v>0.0005324074074</v>
      </c>
      <c r="BW1758" s="908">
        <v>14.3</v>
      </c>
      <c r="BX1758" s="908">
        <v>43.0</v>
      </c>
      <c r="BY1758" s="331">
        <f t="shared" si="201"/>
        <v>9.024965374</v>
      </c>
      <c r="BZ1758" s="331"/>
      <c r="CA1758" s="462" t="str">
        <f t="shared" ref="CA1758:CJ1758" si="367">IF(ISNUMBER(FIND(BI$3, $CP1758)), "Y", "")</f>
        <v>Y</v>
      </c>
      <c r="CB1758" s="319" t="str">
        <f t="shared" si="367"/>
        <v>Y</v>
      </c>
      <c r="CC1758" s="319" t="str">
        <f t="shared" si="367"/>
        <v>Y</v>
      </c>
      <c r="CD1758" s="319" t="str">
        <f t="shared" si="367"/>
        <v>Y</v>
      </c>
      <c r="CE1758" s="319" t="str">
        <f t="shared" si="367"/>
        <v>Y</v>
      </c>
      <c r="CF1758" s="319" t="str">
        <f t="shared" si="367"/>
        <v>Y</v>
      </c>
      <c r="CG1758" s="319" t="str">
        <f t="shared" si="367"/>
        <v>Y</v>
      </c>
      <c r="CH1758" s="319" t="str">
        <f t="shared" si="367"/>
        <v/>
      </c>
      <c r="CI1758" s="319" t="str">
        <f t="shared" si="367"/>
        <v>Y</v>
      </c>
      <c r="CJ1758" s="319" t="str">
        <f t="shared" si="367"/>
        <v>Y</v>
      </c>
      <c r="CK1758" s="342">
        <f t="shared" si="182"/>
        <v>15.84550409</v>
      </c>
      <c r="CL1758" s="333">
        <f t="shared" si="183"/>
        <v>41.54708173</v>
      </c>
      <c r="CM1758" s="1079" t="s">
        <v>2582</v>
      </c>
      <c r="CN1758" s="1005" t="s">
        <v>2586</v>
      </c>
      <c r="CO1758" s="1005" t="s">
        <v>2590</v>
      </c>
      <c r="CP1758" s="1005" t="s">
        <v>2583</v>
      </c>
    </row>
    <row r="1759">
      <c r="A1759" s="266"/>
      <c r="B1759" s="1113" t="s">
        <v>2134</v>
      </c>
      <c r="C1759" s="1107">
        <v>45467.0</v>
      </c>
      <c r="D1759" s="1113" t="s">
        <v>986</v>
      </c>
      <c r="E1759" s="1108">
        <v>6.0</v>
      </c>
      <c r="F1759" s="112" t="s">
        <v>2591</v>
      </c>
      <c r="G1759" s="1110">
        <v>0.6703125</v>
      </c>
      <c r="H1759" s="1110">
        <v>0.6708333333333333</v>
      </c>
      <c r="I1759" s="1110"/>
      <c r="J1759" s="1111"/>
      <c r="K1759" s="1111">
        <v>0.7020833333333333</v>
      </c>
      <c r="L1759" s="1112">
        <v>0.03125</v>
      </c>
      <c r="M1759" s="1113" t="s">
        <v>166</v>
      </c>
      <c r="N1759" s="110" t="s">
        <v>187</v>
      </c>
      <c r="O1759" s="1115" t="s">
        <v>197</v>
      </c>
      <c r="P1759" s="1115" t="s">
        <v>272</v>
      </c>
      <c r="Q1759" s="1115" t="s">
        <v>842</v>
      </c>
      <c r="R1759" s="120">
        <v>37.1</v>
      </c>
      <c r="S1759" s="1113">
        <v>6.9</v>
      </c>
      <c r="T1759" s="110">
        <v>6.5</v>
      </c>
      <c r="U1759" s="1108"/>
      <c r="V1759" s="1108"/>
      <c r="W1759" s="1108"/>
      <c r="X1759" s="1108"/>
      <c r="Y1759" s="1108"/>
      <c r="Z1759" s="1114" t="s">
        <v>379</v>
      </c>
      <c r="AA1759" s="1114"/>
      <c r="AB1759" s="1114" t="s">
        <v>392</v>
      </c>
      <c r="AC1759" s="1117">
        <v>10.0</v>
      </c>
      <c r="AD1759" s="1115"/>
      <c r="AE1759" s="1115"/>
      <c r="AF1759" s="1115"/>
      <c r="AG1759" s="1115"/>
      <c r="AH1759" s="1115"/>
      <c r="AI1759" s="1115"/>
      <c r="AJ1759" s="1117"/>
      <c r="AK1759" s="1118"/>
      <c r="AL1759" s="1115"/>
      <c r="AM1759" s="1115"/>
      <c r="AN1759" s="1115"/>
      <c r="AO1759" s="1115"/>
      <c r="AP1759" s="1115"/>
      <c r="AQ1759" s="1115"/>
      <c r="AR1759" s="1115"/>
      <c r="AS1759" s="1117"/>
      <c r="AT1759" s="1196"/>
      <c r="AU1759" s="1193"/>
      <c r="AV1759" s="330">
        <f>SQRT(($R1759-Infrastructure!J$3)^2+($S1759-Infrastructure!K$3)^2)</f>
        <v>43.39078243</v>
      </c>
      <c r="AW1759" s="331">
        <f>SQRT(($R1759-Infrastructure!J$4)^2+($S1759-Infrastructure!K$4)^2)</f>
        <v>38.95600082</v>
      </c>
      <c r="AX1759" s="331">
        <f>SQRT(($R1759-Infrastructure!J$5)^2+($S1759-Infrastructure!K$5)^2)</f>
        <v>37.44329045</v>
      </c>
      <c r="AY1759" s="331">
        <f>SQRT(($R1759-Infrastructure!J$6)^2+($S1759-Infrastructure!K$6)^2)</f>
        <v>27.79496357</v>
      </c>
      <c r="AZ1759" s="331">
        <f>SQRT(($R1759-Infrastructure!J$7)^2+($S1759-Infrastructure!K$7)^2)</f>
        <v>17.86393014</v>
      </c>
      <c r="BA1759" s="331">
        <f>SQRT(($R1759-Infrastructure!J$8)^2+($S1759-Infrastructure!K$8)^2)</f>
        <v>9.620810777</v>
      </c>
      <c r="BB1759" s="331">
        <f>SQRT(($R1759-Infrastructure!J$9)^2+($S1759-Infrastructure!K$9)^2)</f>
        <v>3.413209633</v>
      </c>
      <c r="BC1759" s="331">
        <f>SQRT(($R1759-Infrastructure!J$10)^2+($S1759-Infrastructure!K$10)^2)</f>
        <v>8.603487665</v>
      </c>
      <c r="BD1759" s="331">
        <f>SQRT(($R1759-Infrastructure!J$11)^2+($S1759-Infrastructure!K$11)^2)</f>
        <v>22.31636171</v>
      </c>
      <c r="BE1759" s="333">
        <f>SQRT(($R1759-Infrastructure!J$12)^2+($S1759-Infrastructure!K$12)^2)</f>
        <v>51.04233537</v>
      </c>
      <c r="BF1759" s="330">
        <f t="shared" si="161"/>
        <v>3.413209633</v>
      </c>
      <c r="BG1759" s="333">
        <f t="shared" si="162"/>
        <v>51.04233537</v>
      </c>
      <c r="BH1759" s="1119"/>
      <c r="BI1759" s="319" t="str">
        <f t="shared" ref="BI1759:BR1759" si="368">IF(ISNUMBER(FIND(BI$3, $CO1759)), "Y", "")</f>
        <v/>
      </c>
      <c r="BJ1759" s="319" t="str">
        <f t="shared" si="368"/>
        <v/>
      </c>
      <c r="BK1759" s="319" t="str">
        <f t="shared" si="368"/>
        <v/>
      </c>
      <c r="BL1759" s="319" t="str">
        <f t="shared" si="368"/>
        <v/>
      </c>
      <c r="BM1759" s="319" t="str">
        <f t="shared" si="368"/>
        <v>Y</v>
      </c>
      <c r="BN1759" s="319" t="str">
        <f t="shared" si="368"/>
        <v>Y</v>
      </c>
      <c r="BO1759" s="319" t="str">
        <f t="shared" si="368"/>
        <v>Y</v>
      </c>
      <c r="BP1759" s="319" t="str">
        <f t="shared" si="368"/>
        <v/>
      </c>
      <c r="BQ1759" s="319" t="str">
        <f t="shared" si="368"/>
        <v>Y</v>
      </c>
      <c r="BR1759" s="319" t="str">
        <f t="shared" si="368"/>
        <v/>
      </c>
      <c r="BS1759" s="330">
        <f t="shared" si="185"/>
        <v>3.413209633</v>
      </c>
      <c r="BT1759" s="331">
        <f t="shared" si="170"/>
        <v>22.31636171</v>
      </c>
      <c r="BU1759" s="920">
        <v>0.67125</v>
      </c>
      <c r="BV1759" s="903">
        <f t="shared" si="186"/>
        <v>0.0009375</v>
      </c>
      <c r="BW1759" s="908">
        <v>25.0</v>
      </c>
      <c r="BX1759" s="908">
        <v>22.3</v>
      </c>
      <c r="BY1759" s="331">
        <f t="shared" si="201"/>
        <v>19.5849432</v>
      </c>
      <c r="BZ1759" s="331"/>
      <c r="CA1759" s="462" t="str">
        <f t="shared" ref="CA1759:CJ1759" si="369">IF(ISNUMBER(FIND(BI$3, $CP1759)), "Y", "")</f>
        <v/>
      </c>
      <c r="CB1759" s="319" t="str">
        <f t="shared" si="369"/>
        <v/>
      </c>
      <c r="CC1759" s="319" t="str">
        <f t="shared" si="369"/>
        <v/>
      </c>
      <c r="CD1759" s="319" t="str">
        <f t="shared" si="369"/>
        <v>Y</v>
      </c>
      <c r="CE1759" s="319" t="str">
        <f t="shared" si="369"/>
        <v>Y</v>
      </c>
      <c r="CF1759" s="319" t="str">
        <f t="shared" si="369"/>
        <v>Y</v>
      </c>
      <c r="CG1759" s="319" t="str">
        <f t="shared" si="369"/>
        <v>Y</v>
      </c>
      <c r="CH1759" s="319" t="str">
        <f t="shared" si="369"/>
        <v/>
      </c>
      <c r="CI1759" s="319" t="str">
        <f t="shared" si="369"/>
        <v>Y</v>
      </c>
      <c r="CJ1759" s="319" t="str">
        <f t="shared" si="369"/>
        <v>Y</v>
      </c>
      <c r="CK1759" s="342">
        <f t="shared" si="182"/>
        <v>3.413209633</v>
      </c>
      <c r="CL1759" s="333">
        <f t="shared" si="183"/>
        <v>51.04233537</v>
      </c>
      <c r="CM1759" s="1079" t="s">
        <v>2526</v>
      </c>
      <c r="CN1759" s="1005" t="s">
        <v>2586</v>
      </c>
      <c r="CO1759" s="1005" t="s">
        <v>2564</v>
      </c>
      <c r="CP1759" s="1005" t="s">
        <v>2592</v>
      </c>
    </row>
    <row r="1760">
      <c r="A1760" s="1258"/>
      <c r="B1760" s="1129" t="s">
        <v>2134</v>
      </c>
      <c r="C1760" s="1122">
        <v>45467.0</v>
      </c>
      <c r="D1760" s="1129" t="s">
        <v>986</v>
      </c>
      <c r="E1760" s="1124">
        <v>7.0</v>
      </c>
      <c r="F1760" s="108" t="s">
        <v>2593</v>
      </c>
      <c r="G1760" s="1126">
        <v>0.7085069444444444</v>
      </c>
      <c r="H1760" s="1126">
        <v>0.7090277777777778</v>
      </c>
      <c r="I1760" s="1126"/>
      <c r="J1760" s="1127"/>
      <c r="K1760" s="1127">
        <v>0.7423611111111111</v>
      </c>
      <c r="L1760" s="1128">
        <v>0.03333333333333333</v>
      </c>
      <c r="M1760" s="1129" t="s">
        <v>166</v>
      </c>
      <c r="N1760" s="100" t="s">
        <v>188</v>
      </c>
      <c r="O1760" s="1131" t="s">
        <v>378</v>
      </c>
      <c r="P1760" s="1131" t="s">
        <v>217</v>
      </c>
      <c r="Q1760" s="1131" t="s">
        <v>851</v>
      </c>
      <c r="R1760" s="137">
        <v>22.7</v>
      </c>
      <c r="S1760" s="1129">
        <v>39.7</v>
      </c>
      <c r="T1760" s="100">
        <v>1.8</v>
      </c>
      <c r="U1760" s="1124"/>
      <c r="V1760" s="1124"/>
      <c r="W1760" s="1124"/>
      <c r="X1760" s="1124"/>
      <c r="Y1760" s="1124"/>
      <c r="Z1760" s="1130" t="s">
        <v>1140</v>
      </c>
      <c r="AA1760" s="1130"/>
      <c r="AB1760" s="1130" t="s">
        <v>407</v>
      </c>
      <c r="AC1760" s="1133">
        <v>15.75</v>
      </c>
      <c r="AD1760" s="1131"/>
      <c r="AE1760" s="1131"/>
      <c r="AF1760" s="1131"/>
      <c r="AG1760" s="1131"/>
      <c r="AH1760" s="1131"/>
      <c r="AI1760" s="1131"/>
      <c r="AJ1760" s="1133"/>
      <c r="AK1760" s="1134"/>
      <c r="AL1760" s="1131"/>
      <c r="AM1760" s="1131"/>
      <c r="AN1760" s="1131"/>
      <c r="AO1760" s="1131"/>
      <c r="AP1760" s="1131"/>
      <c r="AQ1760" s="1131"/>
      <c r="AR1760" s="1131"/>
      <c r="AS1760" s="1133"/>
      <c r="AT1760" s="1197"/>
      <c r="AU1760" s="1194"/>
      <c r="AV1760" s="662">
        <f>SQRT(($R1760-Infrastructure!J$3)^2+($S1760-Infrastructure!K$3)^2)</f>
        <v>25.40944706</v>
      </c>
      <c r="AW1760" s="641">
        <f>SQRT(($R1760-Infrastructure!J$4)^2+($S1760-Infrastructure!K$4)^2)</f>
        <v>31.75862088</v>
      </c>
      <c r="AX1760" s="641">
        <f>SQRT(($R1760-Infrastructure!J$5)^2+($S1760-Infrastructure!K$5)^2)</f>
        <v>41.54708173</v>
      </c>
      <c r="AY1760" s="641">
        <f>SQRT(($R1760-Infrastructure!J$6)^2+($S1760-Infrastructure!K$6)^2)</f>
        <v>41.36568626</v>
      </c>
      <c r="AZ1760" s="641">
        <f>SQRT(($R1760-Infrastructure!J$7)^2+($S1760-Infrastructure!K$7)^2)</f>
        <v>39.46137352</v>
      </c>
      <c r="BA1760" s="641">
        <f>SQRT(($R1760-Infrastructure!J$8)^2+($S1760-Infrastructure!K$8)^2)</f>
        <v>40.08890121</v>
      </c>
      <c r="BB1760" s="641">
        <f>SQRT(($R1760-Infrastructure!J$9)^2+($S1760-Infrastructure!K$9)^2)</f>
        <v>38.68397601</v>
      </c>
      <c r="BC1760" s="641">
        <f>SQRT(($R1760-Infrastructure!J$10)^2+($S1760-Infrastructure!K$10)^2)</f>
        <v>30.15592811</v>
      </c>
      <c r="BD1760" s="641">
        <f>SQRT(($R1760-Infrastructure!J$11)^2+($S1760-Infrastructure!K$11)^2)</f>
        <v>20.51194774</v>
      </c>
      <c r="BE1760" s="642">
        <f>SQRT(($R1760-Infrastructure!J$12)^2+($S1760-Infrastructure!K$12)^2)</f>
        <v>15.84550409</v>
      </c>
      <c r="BF1760" s="662">
        <f t="shared" si="161"/>
        <v>15.84550409</v>
      </c>
      <c r="BG1760" s="642">
        <f t="shared" si="162"/>
        <v>41.54708173</v>
      </c>
      <c r="BH1760" s="1135"/>
      <c r="BI1760" s="663" t="str">
        <f t="shared" ref="BI1760:BR1760" si="370">IF(ISNUMBER(FIND(BI$3, $CO1760)), "Y", "")</f>
        <v>Y</v>
      </c>
      <c r="BJ1760" s="663" t="str">
        <f t="shared" si="370"/>
        <v>Y</v>
      </c>
      <c r="BK1760" s="663" t="str">
        <f t="shared" si="370"/>
        <v/>
      </c>
      <c r="BL1760" s="663" t="str">
        <f t="shared" si="370"/>
        <v/>
      </c>
      <c r="BM1760" s="663" t="str">
        <f t="shared" si="370"/>
        <v>Y</v>
      </c>
      <c r="BN1760" s="663" t="str">
        <f t="shared" si="370"/>
        <v/>
      </c>
      <c r="BO1760" s="663" t="str">
        <f t="shared" si="370"/>
        <v>Y</v>
      </c>
      <c r="BP1760" s="663" t="str">
        <f t="shared" si="370"/>
        <v/>
      </c>
      <c r="BQ1760" s="663" t="str">
        <f t="shared" si="370"/>
        <v>Y</v>
      </c>
      <c r="BR1760" s="663" t="str">
        <f t="shared" si="370"/>
        <v>Y</v>
      </c>
      <c r="BS1760" s="662">
        <f t="shared" si="185"/>
        <v>15.84550409</v>
      </c>
      <c r="BT1760" s="641">
        <f t="shared" si="170"/>
        <v>39.46137352</v>
      </c>
      <c r="BU1760" s="937">
        <v>0.7095254629629629</v>
      </c>
      <c r="BV1760" s="930">
        <f t="shared" si="186"/>
        <v>0.001018518519</v>
      </c>
      <c r="BW1760" s="939">
        <v>11.3</v>
      </c>
      <c r="BX1760" s="939">
        <v>35.0</v>
      </c>
      <c r="BY1760" s="641">
        <f t="shared" si="201"/>
        <v>12.33085561</v>
      </c>
      <c r="BZ1760" s="641"/>
      <c r="CA1760" s="635" t="str">
        <f t="shared" ref="CA1760:CJ1760" si="371">IF(ISNUMBER(FIND(BI$3, $CP1760)), "Y", "")</f>
        <v>Y</v>
      </c>
      <c r="CB1760" s="663" t="str">
        <f t="shared" si="371"/>
        <v>Y</v>
      </c>
      <c r="CC1760" s="663" t="str">
        <f t="shared" si="371"/>
        <v>Y</v>
      </c>
      <c r="CD1760" s="663" t="str">
        <f t="shared" si="371"/>
        <v>Y</v>
      </c>
      <c r="CE1760" s="663" t="str">
        <f t="shared" si="371"/>
        <v>Y</v>
      </c>
      <c r="CF1760" s="663" t="str">
        <f t="shared" si="371"/>
        <v>Y</v>
      </c>
      <c r="CG1760" s="663" t="str">
        <f t="shared" si="371"/>
        <v>Y</v>
      </c>
      <c r="CH1760" s="663" t="str">
        <f t="shared" si="371"/>
        <v/>
      </c>
      <c r="CI1760" s="663" t="str">
        <f t="shared" si="371"/>
        <v>Y</v>
      </c>
      <c r="CJ1760" s="663" t="str">
        <f t="shared" si="371"/>
        <v>Y</v>
      </c>
      <c r="CK1760" s="743">
        <f t="shared" si="182"/>
        <v>15.84550409</v>
      </c>
      <c r="CL1760" s="642">
        <f t="shared" si="183"/>
        <v>41.54708173</v>
      </c>
      <c r="CM1760" s="1090" t="s">
        <v>2526</v>
      </c>
      <c r="CN1760" s="1036" t="s">
        <v>2586</v>
      </c>
      <c r="CO1760" s="1036" t="s">
        <v>2594</v>
      </c>
      <c r="CP1760" s="1036" t="s">
        <v>2583</v>
      </c>
    </row>
    <row r="1761">
      <c r="A1761" s="1257" t="s">
        <v>104</v>
      </c>
      <c r="B1761" s="1113" t="s">
        <v>2134</v>
      </c>
      <c r="C1761" s="1107">
        <v>45468.0</v>
      </c>
      <c r="D1761" s="1113" t="s">
        <v>986</v>
      </c>
      <c r="E1761" s="1108">
        <v>1.0</v>
      </c>
      <c r="F1761" s="112" t="s">
        <v>2595</v>
      </c>
      <c r="G1761" s="1110">
        <v>0.3763888888888889</v>
      </c>
      <c r="H1761" s="1110">
        <v>0.3767361111111111</v>
      </c>
      <c r="I1761" s="1110"/>
      <c r="J1761" s="1111"/>
      <c r="K1761" s="1111">
        <v>0.4083333333333333</v>
      </c>
      <c r="L1761" s="1112">
        <v>0.03125</v>
      </c>
      <c r="M1761" s="1113" t="s">
        <v>166</v>
      </c>
      <c r="N1761" s="110" t="s">
        <v>187</v>
      </c>
      <c r="O1761" s="1115" t="s">
        <v>199</v>
      </c>
      <c r="P1761" s="1115" t="s">
        <v>272</v>
      </c>
      <c r="Q1761" s="1116"/>
      <c r="R1761" s="120">
        <v>16.1</v>
      </c>
      <c r="S1761" s="1113">
        <v>9.6</v>
      </c>
      <c r="T1761" s="110">
        <v>0.0</v>
      </c>
      <c r="U1761" s="1108"/>
      <c r="V1761" s="1108"/>
      <c r="W1761" s="1108"/>
      <c r="X1761" s="1108"/>
      <c r="Y1761" s="1108"/>
      <c r="Z1761" s="1114" t="s">
        <v>335</v>
      </c>
      <c r="AA1761" s="1114"/>
      <c r="AB1761" s="1114" t="s">
        <v>380</v>
      </c>
      <c r="AC1761" s="1117">
        <v>4.0</v>
      </c>
      <c r="AD1761" s="1115"/>
      <c r="AE1761" s="1115"/>
      <c r="AF1761" s="1115"/>
      <c r="AG1761" s="1115"/>
      <c r="AH1761" s="1115"/>
      <c r="AI1761" s="1115"/>
      <c r="AJ1761" s="1117"/>
      <c r="AK1761" s="1118"/>
      <c r="AL1761" s="1115"/>
      <c r="AM1761" s="1115"/>
      <c r="AN1761" s="1115"/>
      <c r="AO1761" s="1115"/>
      <c r="AP1761" s="1115"/>
      <c r="AQ1761" s="1115"/>
      <c r="AR1761" s="1115"/>
      <c r="AS1761" s="1117"/>
      <c r="AT1761" s="1196"/>
      <c r="AU1761" s="1193"/>
      <c r="AV1761" s="330">
        <f>SQRT(($R1761-Infrastructure!J$3)^2+($S1761-Infrastructure!K$3)^2)</f>
        <v>25.32686321</v>
      </c>
      <c r="AW1761" s="331">
        <f>SQRT(($R1761-Infrastructure!J$4)^2+($S1761-Infrastructure!K$4)^2)</f>
        <v>18.33575742</v>
      </c>
      <c r="AX1761" s="331">
        <f>SQRT(($R1761-Infrastructure!J$5)^2+($S1761-Infrastructure!K$5)^2)</f>
        <v>17.00617535</v>
      </c>
      <c r="AY1761" s="331">
        <f>SQRT(($R1761-Infrastructure!J$6)^2+($S1761-Infrastructure!K$6)^2)</f>
        <v>11.06752005</v>
      </c>
      <c r="AZ1761" s="331">
        <f>SQRT(($R1761-Infrastructure!J$7)^2+($S1761-Infrastructure!K$7)^2)</f>
        <v>10.28834292</v>
      </c>
      <c r="BA1761" s="331">
        <f>SQRT(($R1761-Infrastructure!J$8)^2+($S1761-Infrastructure!K$8)^2)</f>
        <v>16.80743883</v>
      </c>
      <c r="BB1761" s="331">
        <f>SQRT(($R1761-Infrastructure!J$9)^2+($S1761-Infrastructure!K$9)^2)</f>
        <v>24.31995066</v>
      </c>
      <c r="BC1761" s="331">
        <f>SQRT(($R1761-Infrastructure!J$10)^2+($S1761-Infrastructure!K$10)^2)</f>
        <v>24.50244886</v>
      </c>
      <c r="BD1761" s="331">
        <f>SQRT(($R1761-Infrastructure!J$11)^2+($S1761-Infrastructure!K$11)^2)</f>
        <v>30.93816413</v>
      </c>
      <c r="BE1761" s="333">
        <f>SQRT(($R1761-Infrastructure!J$12)^2+($S1761-Infrastructure!K$12)^2)</f>
        <v>46.21655548</v>
      </c>
      <c r="BF1761" s="330">
        <f t="shared" si="161"/>
        <v>10.28834292</v>
      </c>
      <c r="BG1761" s="333">
        <f t="shared" si="162"/>
        <v>46.21655548</v>
      </c>
      <c r="BH1761" s="1119"/>
      <c r="BI1761" s="319" t="str">
        <f t="shared" ref="BI1761:BR1761" si="372">IF(ISNUMBER(FIND(BI$3, $CO1761)), "Y", "")</f>
        <v/>
      </c>
      <c r="BJ1761" s="319" t="str">
        <f t="shared" si="372"/>
        <v/>
      </c>
      <c r="BK1761" s="319" t="str">
        <f t="shared" si="372"/>
        <v/>
      </c>
      <c r="BL1761" s="319" t="str">
        <f t="shared" si="372"/>
        <v/>
      </c>
      <c r="BM1761" s="319" t="str">
        <f t="shared" si="372"/>
        <v/>
      </c>
      <c r="BN1761" s="319" t="str">
        <f t="shared" si="372"/>
        <v/>
      </c>
      <c r="BO1761" s="319" t="str">
        <f t="shared" si="372"/>
        <v/>
      </c>
      <c r="BP1761" s="319" t="str">
        <f t="shared" si="372"/>
        <v/>
      </c>
      <c r="BQ1761" s="319" t="str">
        <f t="shared" si="372"/>
        <v/>
      </c>
      <c r="BR1761" s="319" t="str">
        <f t="shared" si="372"/>
        <v/>
      </c>
      <c r="BS1761" s="330">
        <f t="shared" si="185"/>
        <v>0</v>
      </c>
      <c r="BT1761" s="331">
        <f t="shared" si="170"/>
        <v>0</v>
      </c>
      <c r="BU1761" s="920"/>
      <c r="BV1761" s="903" t="str">
        <f t="shared" si="186"/>
        <v/>
      </c>
      <c r="BW1761" s="908"/>
      <c r="BX1761" s="908"/>
      <c r="BY1761" s="331" t="b">
        <f t="shared" si="201"/>
        <v>0</v>
      </c>
      <c r="BZ1761" s="331"/>
      <c r="CA1761" s="462" t="str">
        <f t="shared" ref="CA1761:CJ1761" si="373">IF(ISNUMBER(FIND(BI$3, $CP1761)), "Y", "")</f>
        <v>Y</v>
      </c>
      <c r="CB1761" s="319" t="str">
        <f t="shared" si="373"/>
        <v>Y</v>
      </c>
      <c r="CC1761" s="319" t="str">
        <f t="shared" si="373"/>
        <v>Y</v>
      </c>
      <c r="CD1761" s="319" t="str">
        <f t="shared" si="373"/>
        <v>Y</v>
      </c>
      <c r="CE1761" s="319" t="str">
        <f t="shared" si="373"/>
        <v>Y</v>
      </c>
      <c r="CF1761" s="319" t="str">
        <f t="shared" si="373"/>
        <v>Y</v>
      </c>
      <c r="CG1761" s="319" t="str">
        <f t="shared" si="373"/>
        <v>Y</v>
      </c>
      <c r="CH1761" s="319" t="str">
        <f t="shared" si="373"/>
        <v/>
      </c>
      <c r="CI1761" s="319" t="str">
        <f t="shared" si="373"/>
        <v>Y</v>
      </c>
      <c r="CJ1761" s="319" t="str">
        <f t="shared" si="373"/>
        <v>Y</v>
      </c>
      <c r="CK1761" s="342">
        <f t="shared" si="182"/>
        <v>10.28834292</v>
      </c>
      <c r="CL1761" s="333">
        <f t="shared" si="183"/>
        <v>46.21655548</v>
      </c>
      <c r="CM1761" s="1079" t="s">
        <v>2579</v>
      </c>
      <c r="CN1761" s="1005" t="s">
        <v>2596</v>
      </c>
      <c r="CO1761" s="1005"/>
      <c r="CP1761" s="1005" t="s">
        <v>2400</v>
      </c>
    </row>
    <row r="1762">
      <c r="A1762" s="266"/>
      <c r="B1762" s="1113" t="s">
        <v>2134</v>
      </c>
      <c r="C1762" s="1107">
        <v>45468.0</v>
      </c>
      <c r="D1762" s="1113" t="s">
        <v>986</v>
      </c>
      <c r="E1762" s="1108">
        <v>2.0</v>
      </c>
      <c r="F1762" s="112" t="s">
        <v>2597</v>
      </c>
      <c r="G1762" s="1110">
        <v>0.41875</v>
      </c>
      <c r="H1762" s="1110">
        <v>0.41909722222222223</v>
      </c>
      <c r="I1762" s="1110"/>
      <c r="J1762" s="1111"/>
      <c r="K1762" s="1111">
        <v>0.45069444444444445</v>
      </c>
      <c r="L1762" s="1112">
        <v>0.03125</v>
      </c>
      <c r="M1762" s="1113" t="s">
        <v>166</v>
      </c>
      <c r="N1762" s="110" t="s">
        <v>187</v>
      </c>
      <c r="O1762" s="1115" t="s">
        <v>205</v>
      </c>
      <c r="P1762" s="1115" t="s">
        <v>296</v>
      </c>
      <c r="Q1762" s="1116"/>
      <c r="R1762" s="120">
        <v>20.7</v>
      </c>
      <c r="S1762" s="1113">
        <v>5.1</v>
      </c>
      <c r="T1762" s="110">
        <v>1.2</v>
      </c>
      <c r="U1762" s="1108"/>
      <c r="V1762" s="1108"/>
      <c r="W1762" s="1108"/>
      <c r="X1762" s="1108"/>
      <c r="Y1762" s="1108"/>
      <c r="Z1762" s="1114" t="s">
        <v>370</v>
      </c>
      <c r="AA1762" s="1114"/>
      <c r="AB1762" s="1114" t="s">
        <v>384</v>
      </c>
      <c r="AC1762" s="1117">
        <v>6.0</v>
      </c>
      <c r="AD1762" s="1115"/>
      <c r="AE1762" s="1115"/>
      <c r="AF1762" s="1115"/>
      <c r="AG1762" s="1115"/>
      <c r="AH1762" s="1115"/>
      <c r="AI1762" s="1115"/>
      <c r="AJ1762" s="1117"/>
      <c r="AK1762" s="1118"/>
      <c r="AL1762" s="1115"/>
      <c r="AM1762" s="1115"/>
      <c r="AN1762" s="1115"/>
      <c r="AO1762" s="1115"/>
      <c r="AP1762" s="1115"/>
      <c r="AQ1762" s="1115"/>
      <c r="AR1762" s="1115"/>
      <c r="AS1762" s="1117"/>
      <c r="AT1762" s="1196"/>
      <c r="AU1762" s="1193"/>
      <c r="AV1762" s="330">
        <f>SQRT(($R1762-Infrastructure!J$3)^2+($S1762-Infrastructure!K$3)^2)</f>
        <v>31.74019534</v>
      </c>
      <c r="AW1762" s="331">
        <f>SQRT(($R1762-Infrastructure!J$4)^2+($S1762-Infrastructure!K$4)^2)</f>
        <v>24.54159734</v>
      </c>
      <c r="AX1762" s="331">
        <f>SQRT(($R1762-Infrastructure!J$5)^2+($S1762-Infrastructure!K$5)^2)</f>
        <v>21</v>
      </c>
      <c r="AY1762" s="331">
        <f>SQRT(($R1762-Infrastructure!J$6)^2+($S1762-Infrastructure!K$6)^2)</f>
        <v>11.63615057</v>
      </c>
      <c r="AZ1762" s="331">
        <f>SQRT(($R1762-Infrastructure!J$7)^2+($S1762-Infrastructure!K$7)^2)</f>
        <v>4.80416486</v>
      </c>
      <c r="BA1762" s="331">
        <f>SQRT(($R1762-Infrastructure!J$8)^2+($S1762-Infrastructure!K$8)^2)</f>
        <v>10.55461984</v>
      </c>
      <c r="BB1762" s="331">
        <f>SQRT(($R1762-Infrastructure!J$9)^2+($S1762-Infrastructure!K$9)^2)</f>
        <v>19.3</v>
      </c>
      <c r="BC1762" s="331">
        <f>SQRT(($R1762-Infrastructure!J$10)^2+($S1762-Infrastructure!K$10)^2)</f>
        <v>21.69101196</v>
      </c>
      <c r="BD1762" s="331">
        <f>SQRT(($R1762-Infrastructure!J$11)^2+($S1762-Infrastructure!K$11)^2)</f>
        <v>30.84574525</v>
      </c>
      <c r="BE1762" s="333">
        <f>SQRT(($R1762-Infrastructure!J$12)^2+($S1762-Infrastructure!K$12)^2)</f>
        <v>50.40634881</v>
      </c>
      <c r="BF1762" s="330">
        <f t="shared" si="161"/>
        <v>4.80416486</v>
      </c>
      <c r="BG1762" s="333">
        <f t="shared" si="162"/>
        <v>50.40634881</v>
      </c>
      <c r="BH1762" s="1119"/>
      <c r="BI1762" s="319" t="str">
        <f t="shared" ref="BI1762:BR1762" si="374">IF(ISNUMBER(FIND(BI$3, $CO1762)), "Y", "")</f>
        <v/>
      </c>
      <c r="BJ1762" s="319" t="str">
        <f t="shared" si="374"/>
        <v/>
      </c>
      <c r="BK1762" s="319" t="str">
        <f t="shared" si="374"/>
        <v/>
      </c>
      <c r="BL1762" s="319" t="str">
        <f t="shared" si="374"/>
        <v/>
      </c>
      <c r="BM1762" s="319" t="str">
        <f t="shared" si="374"/>
        <v/>
      </c>
      <c r="BN1762" s="319" t="str">
        <f t="shared" si="374"/>
        <v/>
      </c>
      <c r="BO1762" s="319" t="str">
        <f t="shared" si="374"/>
        <v/>
      </c>
      <c r="BP1762" s="319" t="str">
        <f t="shared" si="374"/>
        <v/>
      </c>
      <c r="BQ1762" s="319" t="str">
        <f t="shared" si="374"/>
        <v/>
      </c>
      <c r="BR1762" s="319" t="str">
        <f t="shared" si="374"/>
        <v/>
      </c>
      <c r="BS1762" s="330">
        <f t="shared" si="185"/>
        <v>0</v>
      </c>
      <c r="BT1762" s="331">
        <f t="shared" si="170"/>
        <v>0</v>
      </c>
      <c r="BU1762" s="920"/>
      <c r="BV1762" s="903" t="str">
        <f t="shared" si="186"/>
        <v/>
      </c>
      <c r="BW1762" s="908"/>
      <c r="BX1762" s="908"/>
      <c r="BY1762" s="331" t="b">
        <f t="shared" si="201"/>
        <v>0</v>
      </c>
      <c r="BZ1762" s="331"/>
      <c r="CA1762" s="462" t="str">
        <f t="shared" ref="CA1762:CJ1762" si="375">IF(ISNUMBER(FIND(BI$3, $CP1762)), "Y", "")</f>
        <v>Y</v>
      </c>
      <c r="CB1762" s="319" t="str">
        <f t="shared" si="375"/>
        <v>Y</v>
      </c>
      <c r="CC1762" s="319" t="str">
        <f t="shared" si="375"/>
        <v>Y</v>
      </c>
      <c r="CD1762" s="319" t="str">
        <f t="shared" si="375"/>
        <v>Y</v>
      </c>
      <c r="CE1762" s="319" t="str">
        <f t="shared" si="375"/>
        <v>Y</v>
      </c>
      <c r="CF1762" s="319" t="str">
        <f t="shared" si="375"/>
        <v>Y</v>
      </c>
      <c r="CG1762" s="319" t="str">
        <f t="shared" si="375"/>
        <v>Y</v>
      </c>
      <c r="CH1762" s="319" t="str">
        <f t="shared" si="375"/>
        <v/>
      </c>
      <c r="CI1762" s="319" t="str">
        <f t="shared" si="375"/>
        <v>Y</v>
      </c>
      <c r="CJ1762" s="319" t="str">
        <f t="shared" si="375"/>
        <v>Y</v>
      </c>
      <c r="CK1762" s="342">
        <f t="shared" si="182"/>
        <v>4.80416486</v>
      </c>
      <c r="CL1762" s="333">
        <f t="shared" si="183"/>
        <v>50.40634881</v>
      </c>
      <c r="CM1762" s="1079" t="s">
        <v>2579</v>
      </c>
      <c r="CN1762" s="1005" t="s">
        <v>2596</v>
      </c>
      <c r="CO1762" s="1005"/>
      <c r="CP1762" s="1005" t="s">
        <v>2400</v>
      </c>
    </row>
    <row r="1763">
      <c r="A1763" s="266"/>
      <c r="B1763" s="1113" t="s">
        <v>2134</v>
      </c>
      <c r="C1763" s="1107">
        <v>45468.0</v>
      </c>
      <c r="D1763" s="1113" t="s">
        <v>986</v>
      </c>
      <c r="E1763" s="1108">
        <v>3.0</v>
      </c>
      <c r="F1763" s="112" t="s">
        <v>2598</v>
      </c>
      <c r="G1763" s="1110">
        <v>0.4618055555555556</v>
      </c>
      <c r="H1763" s="1110">
        <v>0.4622685185185185</v>
      </c>
      <c r="I1763" s="1110"/>
      <c r="J1763" s="1111"/>
      <c r="K1763" s="1111">
        <v>0.49375</v>
      </c>
      <c r="L1763" s="1112">
        <v>0.03125</v>
      </c>
      <c r="M1763" s="1113" t="s">
        <v>166</v>
      </c>
      <c r="N1763" s="110" t="s">
        <v>188</v>
      </c>
      <c r="O1763" s="1115" t="s">
        <v>378</v>
      </c>
      <c r="P1763" s="1115" t="s">
        <v>217</v>
      </c>
      <c r="Q1763" s="1115" t="s">
        <v>851</v>
      </c>
      <c r="R1763" s="120">
        <v>22.7</v>
      </c>
      <c r="S1763" s="1113">
        <v>39.7</v>
      </c>
      <c r="T1763" s="110">
        <v>1.8</v>
      </c>
      <c r="U1763" s="1108"/>
      <c r="V1763" s="1108"/>
      <c r="W1763" s="1108"/>
      <c r="X1763" s="1108"/>
      <c r="Y1763" s="1108"/>
      <c r="Z1763" s="1114" t="s">
        <v>1140</v>
      </c>
      <c r="AA1763" s="1114"/>
      <c r="AB1763" s="1114" t="s">
        <v>403</v>
      </c>
      <c r="AC1763" s="1117">
        <v>8.0</v>
      </c>
      <c r="AD1763" s="1115"/>
      <c r="AE1763" s="1115"/>
      <c r="AF1763" s="1115"/>
      <c r="AG1763" s="1115"/>
      <c r="AH1763" s="1115"/>
      <c r="AI1763" s="1115"/>
      <c r="AJ1763" s="1117"/>
      <c r="AK1763" s="1118"/>
      <c r="AL1763" s="1115"/>
      <c r="AM1763" s="1115"/>
      <c r="AN1763" s="1115"/>
      <c r="AO1763" s="1115"/>
      <c r="AP1763" s="1115"/>
      <c r="AQ1763" s="1115"/>
      <c r="AR1763" s="1115"/>
      <c r="AS1763" s="1117"/>
      <c r="AT1763" s="1196"/>
      <c r="AU1763" s="1193"/>
      <c r="AV1763" s="330">
        <f>SQRT(($R1763-Infrastructure!J$3)^2+($S1763-Infrastructure!K$3)^2)</f>
        <v>25.40944706</v>
      </c>
      <c r="AW1763" s="331">
        <f>SQRT(($R1763-Infrastructure!J$4)^2+($S1763-Infrastructure!K$4)^2)</f>
        <v>31.75862088</v>
      </c>
      <c r="AX1763" s="331">
        <f>SQRT(($R1763-Infrastructure!J$5)^2+($S1763-Infrastructure!K$5)^2)</f>
        <v>41.54708173</v>
      </c>
      <c r="AY1763" s="331">
        <f>SQRT(($R1763-Infrastructure!J$6)^2+($S1763-Infrastructure!K$6)^2)</f>
        <v>41.36568626</v>
      </c>
      <c r="AZ1763" s="331">
        <f>SQRT(($R1763-Infrastructure!J$7)^2+($S1763-Infrastructure!K$7)^2)</f>
        <v>39.46137352</v>
      </c>
      <c r="BA1763" s="331">
        <f>SQRT(($R1763-Infrastructure!J$8)^2+($S1763-Infrastructure!K$8)^2)</f>
        <v>40.08890121</v>
      </c>
      <c r="BB1763" s="331">
        <f>SQRT(($R1763-Infrastructure!J$9)^2+($S1763-Infrastructure!K$9)^2)</f>
        <v>38.68397601</v>
      </c>
      <c r="BC1763" s="331">
        <f>SQRT(($R1763-Infrastructure!J$10)^2+($S1763-Infrastructure!K$10)^2)</f>
        <v>30.15592811</v>
      </c>
      <c r="BD1763" s="331">
        <f>SQRT(($R1763-Infrastructure!J$11)^2+($S1763-Infrastructure!K$11)^2)</f>
        <v>20.51194774</v>
      </c>
      <c r="BE1763" s="333">
        <f>SQRT(($R1763-Infrastructure!J$12)^2+($S1763-Infrastructure!K$12)^2)</f>
        <v>15.84550409</v>
      </c>
      <c r="BF1763" s="330">
        <f t="shared" si="161"/>
        <v>15.84550409</v>
      </c>
      <c r="BG1763" s="333">
        <f t="shared" si="162"/>
        <v>41.54708173</v>
      </c>
      <c r="BH1763" s="1119"/>
      <c r="BI1763" s="319" t="str">
        <f t="shared" ref="BI1763:BR1763" si="376">IF(ISNUMBER(FIND(BI$3, $CO1763)), "Y", "")</f>
        <v>Y</v>
      </c>
      <c r="BJ1763" s="319" t="str">
        <f t="shared" si="376"/>
        <v>Y</v>
      </c>
      <c r="BK1763" s="319" t="str">
        <f t="shared" si="376"/>
        <v>Y</v>
      </c>
      <c r="BL1763" s="319" t="str">
        <f t="shared" si="376"/>
        <v>Y</v>
      </c>
      <c r="BM1763" s="319" t="str">
        <f t="shared" si="376"/>
        <v/>
      </c>
      <c r="BN1763" s="319" t="str">
        <f t="shared" si="376"/>
        <v>Y</v>
      </c>
      <c r="BO1763" s="319" t="str">
        <f t="shared" si="376"/>
        <v/>
      </c>
      <c r="BP1763" s="319" t="str">
        <f t="shared" si="376"/>
        <v/>
      </c>
      <c r="BQ1763" s="319" t="str">
        <f t="shared" si="376"/>
        <v>Y</v>
      </c>
      <c r="BR1763" s="319" t="str">
        <f t="shared" si="376"/>
        <v>Y</v>
      </c>
      <c r="BS1763" s="330">
        <f t="shared" si="185"/>
        <v>15.84550409</v>
      </c>
      <c r="BT1763" s="331">
        <f t="shared" si="170"/>
        <v>41.54708173</v>
      </c>
      <c r="BU1763" s="920">
        <v>0.4623611111111111</v>
      </c>
      <c r="BV1763" s="903">
        <f t="shared" si="186"/>
        <v>0.0005555555556</v>
      </c>
      <c r="BW1763" s="908">
        <v>15.7</v>
      </c>
      <c r="BX1763" s="908">
        <v>38.0</v>
      </c>
      <c r="BY1763" s="331">
        <f t="shared" si="201"/>
        <v>7.203471385</v>
      </c>
      <c r="BZ1763" s="331"/>
      <c r="CA1763" s="462" t="str">
        <f t="shared" ref="CA1763:CJ1763" si="377">IF(ISNUMBER(FIND(BI$3, $CP1763)), "Y", "")</f>
        <v>Y</v>
      </c>
      <c r="CB1763" s="319" t="str">
        <f t="shared" si="377"/>
        <v>Y</v>
      </c>
      <c r="CC1763" s="319" t="str">
        <f t="shared" si="377"/>
        <v>Y</v>
      </c>
      <c r="CD1763" s="319" t="str">
        <f t="shared" si="377"/>
        <v>Y</v>
      </c>
      <c r="CE1763" s="319" t="str">
        <f t="shared" si="377"/>
        <v>Y</v>
      </c>
      <c r="CF1763" s="319" t="str">
        <f t="shared" si="377"/>
        <v>Y</v>
      </c>
      <c r="CG1763" s="319" t="str">
        <f t="shared" si="377"/>
        <v>Y</v>
      </c>
      <c r="CH1763" s="319" t="str">
        <f t="shared" si="377"/>
        <v/>
      </c>
      <c r="CI1763" s="319" t="str">
        <f t="shared" si="377"/>
        <v>Y</v>
      </c>
      <c r="CJ1763" s="319" t="str">
        <f t="shared" si="377"/>
        <v>Y</v>
      </c>
      <c r="CK1763" s="342">
        <f t="shared" si="182"/>
        <v>15.84550409</v>
      </c>
      <c r="CL1763" s="333">
        <f t="shared" si="183"/>
        <v>41.54708173</v>
      </c>
      <c r="CM1763" s="1079" t="s">
        <v>2526</v>
      </c>
      <c r="CN1763" s="1005" t="s">
        <v>2596</v>
      </c>
      <c r="CO1763" s="1005" t="s">
        <v>2493</v>
      </c>
      <c r="CP1763" s="1005" t="s">
        <v>2400</v>
      </c>
    </row>
    <row r="1764">
      <c r="A1764" s="266"/>
      <c r="B1764" s="1113" t="s">
        <v>2134</v>
      </c>
      <c r="C1764" s="1107">
        <v>45468.0</v>
      </c>
      <c r="D1764" s="1113" t="s">
        <v>986</v>
      </c>
      <c r="E1764" s="1108">
        <v>4.0</v>
      </c>
      <c r="F1764" s="112" t="s">
        <v>2599</v>
      </c>
      <c r="G1764" s="1110">
        <v>0.5034722222222222</v>
      </c>
      <c r="H1764" s="1110">
        <v>0.5041666666666667</v>
      </c>
      <c r="I1764" s="1110"/>
      <c r="J1764" s="1111"/>
      <c r="K1764" s="1111">
        <v>0.5355902777777778</v>
      </c>
      <c r="L1764" s="1112">
        <v>0.03125</v>
      </c>
      <c r="M1764" s="1113" t="s">
        <v>166</v>
      </c>
      <c r="N1764" s="110" t="s">
        <v>188</v>
      </c>
      <c r="O1764" s="1115" t="s">
        <v>378</v>
      </c>
      <c r="P1764" s="1115" t="s">
        <v>225</v>
      </c>
      <c r="Q1764" s="1115" t="s">
        <v>842</v>
      </c>
      <c r="R1764" s="120">
        <v>22.7</v>
      </c>
      <c r="S1764" s="1113">
        <v>39.7</v>
      </c>
      <c r="T1764" s="110">
        <v>1.1</v>
      </c>
      <c r="U1764" s="1108"/>
      <c r="V1764" s="1108"/>
      <c r="W1764" s="1108"/>
      <c r="X1764" s="1108"/>
      <c r="Y1764" s="1108"/>
      <c r="Z1764" s="1114" t="s">
        <v>1140</v>
      </c>
      <c r="AA1764" s="1114"/>
      <c r="AB1764" s="1114" t="s">
        <v>407</v>
      </c>
      <c r="AC1764" s="1117">
        <v>15.75</v>
      </c>
      <c r="AD1764" s="1115"/>
      <c r="AE1764" s="1115"/>
      <c r="AF1764" s="1115"/>
      <c r="AG1764" s="1115"/>
      <c r="AH1764" s="1115"/>
      <c r="AI1764" s="1115"/>
      <c r="AJ1764" s="1117"/>
      <c r="AK1764" s="1118"/>
      <c r="AL1764" s="1115"/>
      <c r="AM1764" s="1115"/>
      <c r="AN1764" s="1115"/>
      <c r="AO1764" s="1115"/>
      <c r="AP1764" s="1115"/>
      <c r="AQ1764" s="1115"/>
      <c r="AR1764" s="1115"/>
      <c r="AS1764" s="1117"/>
      <c r="AT1764" s="1196"/>
      <c r="AU1764" s="1193"/>
      <c r="AV1764" s="330">
        <f>SQRT(($R1764-Infrastructure!J$3)^2+($S1764-Infrastructure!K$3)^2)</f>
        <v>25.40944706</v>
      </c>
      <c r="AW1764" s="331">
        <f>SQRT(($R1764-Infrastructure!J$4)^2+($S1764-Infrastructure!K$4)^2)</f>
        <v>31.75862088</v>
      </c>
      <c r="AX1764" s="331">
        <f>SQRT(($R1764-Infrastructure!J$5)^2+($S1764-Infrastructure!K$5)^2)</f>
        <v>41.54708173</v>
      </c>
      <c r="AY1764" s="331">
        <f>SQRT(($R1764-Infrastructure!J$6)^2+($S1764-Infrastructure!K$6)^2)</f>
        <v>41.36568626</v>
      </c>
      <c r="AZ1764" s="331">
        <f>SQRT(($R1764-Infrastructure!J$7)^2+($S1764-Infrastructure!K$7)^2)</f>
        <v>39.46137352</v>
      </c>
      <c r="BA1764" s="331">
        <f>SQRT(($R1764-Infrastructure!J$8)^2+($S1764-Infrastructure!K$8)^2)</f>
        <v>40.08890121</v>
      </c>
      <c r="BB1764" s="331">
        <f>SQRT(($R1764-Infrastructure!J$9)^2+($S1764-Infrastructure!K$9)^2)</f>
        <v>38.68397601</v>
      </c>
      <c r="BC1764" s="331">
        <f>SQRT(($R1764-Infrastructure!J$10)^2+($S1764-Infrastructure!K$10)^2)</f>
        <v>30.15592811</v>
      </c>
      <c r="BD1764" s="331">
        <f>SQRT(($R1764-Infrastructure!J$11)^2+($S1764-Infrastructure!K$11)^2)</f>
        <v>20.51194774</v>
      </c>
      <c r="BE1764" s="333">
        <f>SQRT(($R1764-Infrastructure!J$12)^2+($S1764-Infrastructure!K$12)^2)</f>
        <v>15.84550409</v>
      </c>
      <c r="BF1764" s="330">
        <f t="shared" si="161"/>
        <v>15.84550409</v>
      </c>
      <c r="BG1764" s="333">
        <f t="shared" si="162"/>
        <v>41.54708173</v>
      </c>
      <c r="BH1764" s="1119"/>
      <c r="BI1764" s="319" t="str">
        <f t="shared" ref="BI1764:BR1764" si="378">IF(ISNUMBER(FIND(BI$3, $CO1764)), "Y", "")</f>
        <v>Y</v>
      </c>
      <c r="BJ1764" s="319" t="str">
        <f t="shared" si="378"/>
        <v/>
      </c>
      <c r="BK1764" s="319" t="str">
        <f t="shared" si="378"/>
        <v>Y</v>
      </c>
      <c r="BL1764" s="319" t="str">
        <f t="shared" si="378"/>
        <v/>
      </c>
      <c r="BM1764" s="319" t="str">
        <f t="shared" si="378"/>
        <v>Y</v>
      </c>
      <c r="BN1764" s="319" t="str">
        <f t="shared" si="378"/>
        <v/>
      </c>
      <c r="BO1764" s="319" t="str">
        <f t="shared" si="378"/>
        <v>Y</v>
      </c>
      <c r="BP1764" s="319" t="str">
        <f t="shared" si="378"/>
        <v/>
      </c>
      <c r="BQ1764" s="319" t="str">
        <f t="shared" si="378"/>
        <v>Y</v>
      </c>
      <c r="BR1764" s="319" t="str">
        <f t="shared" si="378"/>
        <v>Y</v>
      </c>
      <c r="BS1764" s="330">
        <f t="shared" si="185"/>
        <v>15.84550409</v>
      </c>
      <c r="BT1764" s="331">
        <f t="shared" si="170"/>
        <v>41.54708173</v>
      </c>
      <c r="BU1764" s="920">
        <v>0.5043055555555556</v>
      </c>
      <c r="BV1764" s="903">
        <f t="shared" si="186"/>
        <v>0.0008333333333</v>
      </c>
      <c r="BW1764" s="908">
        <v>14.0</v>
      </c>
      <c r="BX1764" s="908">
        <v>40.9</v>
      </c>
      <c r="BY1764" s="331">
        <f t="shared" si="201"/>
        <v>8.782368701</v>
      </c>
      <c r="BZ1764" s="331"/>
      <c r="CA1764" s="462" t="str">
        <f t="shared" ref="CA1764:CJ1764" si="379">IF(ISNUMBER(FIND(BI$3, $CP1764)), "Y", "")</f>
        <v>Y</v>
      </c>
      <c r="CB1764" s="319" t="str">
        <f t="shared" si="379"/>
        <v>Y</v>
      </c>
      <c r="CC1764" s="319" t="str">
        <f t="shared" si="379"/>
        <v>Y</v>
      </c>
      <c r="CD1764" s="319" t="str">
        <f t="shared" si="379"/>
        <v>Y</v>
      </c>
      <c r="CE1764" s="319" t="str">
        <f t="shared" si="379"/>
        <v>Y</v>
      </c>
      <c r="CF1764" s="319" t="str">
        <f t="shared" si="379"/>
        <v>Y</v>
      </c>
      <c r="CG1764" s="319" t="str">
        <f t="shared" si="379"/>
        <v>Y</v>
      </c>
      <c r="CH1764" s="319" t="str">
        <f t="shared" si="379"/>
        <v/>
      </c>
      <c r="CI1764" s="319" t="str">
        <f t="shared" si="379"/>
        <v>Y</v>
      </c>
      <c r="CJ1764" s="319" t="str">
        <f t="shared" si="379"/>
        <v>Y</v>
      </c>
      <c r="CK1764" s="342">
        <f t="shared" si="182"/>
        <v>15.84550409</v>
      </c>
      <c r="CL1764" s="333">
        <f t="shared" si="183"/>
        <v>41.54708173</v>
      </c>
      <c r="CM1764" s="1079" t="s">
        <v>2526</v>
      </c>
      <c r="CN1764" s="1005" t="s">
        <v>2596</v>
      </c>
      <c r="CO1764" s="1005" t="s">
        <v>2600</v>
      </c>
      <c r="CP1764" s="1005" t="s">
        <v>2400</v>
      </c>
    </row>
    <row r="1765">
      <c r="A1765" s="266"/>
      <c r="B1765" s="1113" t="s">
        <v>2134</v>
      </c>
      <c r="C1765" s="1107">
        <v>45468.0</v>
      </c>
      <c r="D1765" s="1113" t="s">
        <v>986</v>
      </c>
      <c r="E1765" s="1108">
        <v>5.0</v>
      </c>
      <c r="F1765" s="112" t="s">
        <v>2601</v>
      </c>
      <c r="G1765" s="1110">
        <v>0.5659722222222222</v>
      </c>
      <c r="H1765" s="1110">
        <v>0.5666666666666667</v>
      </c>
      <c r="I1765" s="1110"/>
      <c r="J1765" s="1111"/>
      <c r="K1765" s="1111">
        <v>0.5979166666666667</v>
      </c>
      <c r="L1765" s="1112">
        <v>0.03125</v>
      </c>
      <c r="M1765" s="1113" t="s">
        <v>166</v>
      </c>
      <c r="N1765" s="110" t="s">
        <v>188</v>
      </c>
      <c r="O1765" s="1115" t="s">
        <v>378</v>
      </c>
      <c r="P1765" s="1115" t="s">
        <v>217</v>
      </c>
      <c r="Q1765" s="1115" t="s">
        <v>851</v>
      </c>
      <c r="R1765" s="120">
        <v>22.7</v>
      </c>
      <c r="S1765" s="1113">
        <v>39.7</v>
      </c>
      <c r="T1765" s="110">
        <v>1.8</v>
      </c>
      <c r="U1765" s="1108"/>
      <c r="V1765" s="1108"/>
      <c r="W1765" s="1108"/>
      <c r="X1765" s="1108"/>
      <c r="Y1765" s="1108"/>
      <c r="Z1765" s="1114" t="s">
        <v>1140</v>
      </c>
      <c r="AA1765" s="1114"/>
      <c r="AB1765" s="1114" t="s">
        <v>410</v>
      </c>
      <c r="AC1765" s="1117">
        <v>22.1</v>
      </c>
      <c r="AD1765" s="1115"/>
      <c r="AE1765" s="1115"/>
      <c r="AF1765" s="1115"/>
      <c r="AG1765" s="1115"/>
      <c r="AH1765" s="1115"/>
      <c r="AI1765" s="1115"/>
      <c r="AJ1765" s="1117"/>
      <c r="AK1765" s="1118"/>
      <c r="AL1765" s="1115"/>
      <c r="AM1765" s="1115"/>
      <c r="AN1765" s="1115"/>
      <c r="AO1765" s="1115"/>
      <c r="AP1765" s="1115"/>
      <c r="AQ1765" s="1115"/>
      <c r="AR1765" s="1115"/>
      <c r="AS1765" s="1117"/>
      <c r="AT1765" s="1196"/>
      <c r="AU1765" s="1193"/>
      <c r="AV1765" s="330">
        <f>SQRT(($R1765-Infrastructure!J$3)^2+($S1765-Infrastructure!K$3)^2)</f>
        <v>25.40944706</v>
      </c>
      <c r="AW1765" s="331">
        <f>SQRT(($R1765-Infrastructure!J$4)^2+($S1765-Infrastructure!K$4)^2)</f>
        <v>31.75862088</v>
      </c>
      <c r="AX1765" s="331">
        <f>SQRT(($R1765-Infrastructure!J$5)^2+($S1765-Infrastructure!K$5)^2)</f>
        <v>41.54708173</v>
      </c>
      <c r="AY1765" s="331">
        <f>SQRT(($R1765-Infrastructure!J$6)^2+($S1765-Infrastructure!K$6)^2)</f>
        <v>41.36568626</v>
      </c>
      <c r="AZ1765" s="331">
        <f>SQRT(($R1765-Infrastructure!J$7)^2+($S1765-Infrastructure!K$7)^2)</f>
        <v>39.46137352</v>
      </c>
      <c r="BA1765" s="331">
        <f>SQRT(($R1765-Infrastructure!J$8)^2+($S1765-Infrastructure!K$8)^2)</f>
        <v>40.08890121</v>
      </c>
      <c r="BB1765" s="331">
        <f>SQRT(($R1765-Infrastructure!J$9)^2+($S1765-Infrastructure!K$9)^2)</f>
        <v>38.68397601</v>
      </c>
      <c r="BC1765" s="331">
        <f>SQRT(($R1765-Infrastructure!J$10)^2+($S1765-Infrastructure!K$10)^2)</f>
        <v>30.15592811</v>
      </c>
      <c r="BD1765" s="331">
        <f>SQRT(($R1765-Infrastructure!J$11)^2+($S1765-Infrastructure!K$11)^2)</f>
        <v>20.51194774</v>
      </c>
      <c r="BE1765" s="333">
        <f>SQRT(($R1765-Infrastructure!J$12)^2+($S1765-Infrastructure!K$12)^2)</f>
        <v>15.84550409</v>
      </c>
      <c r="BF1765" s="330">
        <f t="shared" si="161"/>
        <v>15.84550409</v>
      </c>
      <c r="BG1765" s="333">
        <f t="shared" si="162"/>
        <v>41.54708173</v>
      </c>
      <c r="BH1765" s="1119"/>
      <c r="BI1765" s="319" t="str">
        <f t="shared" ref="BI1765:BR1765" si="380">IF(ISNUMBER(FIND(BI$3, $CO1765)), "Y", "")</f>
        <v/>
      </c>
      <c r="BJ1765" s="319" t="str">
        <f t="shared" si="380"/>
        <v/>
      </c>
      <c r="BK1765" s="319" t="str">
        <f t="shared" si="380"/>
        <v/>
      </c>
      <c r="BL1765" s="319" t="str">
        <f t="shared" si="380"/>
        <v/>
      </c>
      <c r="BM1765" s="319" t="str">
        <f t="shared" si="380"/>
        <v/>
      </c>
      <c r="BN1765" s="319" t="str">
        <f t="shared" si="380"/>
        <v/>
      </c>
      <c r="BO1765" s="319" t="str">
        <f t="shared" si="380"/>
        <v/>
      </c>
      <c r="BP1765" s="319" t="str">
        <f t="shared" si="380"/>
        <v/>
      </c>
      <c r="BQ1765" s="319" t="str">
        <f t="shared" si="380"/>
        <v/>
      </c>
      <c r="BR1765" s="319" t="str">
        <f t="shared" si="380"/>
        <v/>
      </c>
      <c r="BS1765" s="330">
        <f t="shared" si="185"/>
        <v>0</v>
      </c>
      <c r="BT1765" s="331">
        <f t="shared" si="170"/>
        <v>0</v>
      </c>
      <c r="BU1765" s="920"/>
      <c r="BV1765" s="903" t="str">
        <f t="shared" si="186"/>
        <v/>
      </c>
      <c r="BW1765" s="908"/>
      <c r="BX1765" s="908"/>
      <c r="BY1765" s="331" t="b">
        <f t="shared" si="201"/>
        <v>0</v>
      </c>
      <c r="BZ1765" s="331"/>
      <c r="CA1765" s="462" t="str">
        <f t="shared" ref="CA1765:CJ1765" si="381">IF(ISNUMBER(FIND(BI$3, $CP1765)), "Y", "")</f>
        <v/>
      </c>
      <c r="CB1765" s="319" t="str">
        <f t="shared" si="381"/>
        <v/>
      </c>
      <c r="CC1765" s="319" t="str">
        <f t="shared" si="381"/>
        <v/>
      </c>
      <c r="CD1765" s="319" t="str">
        <f t="shared" si="381"/>
        <v/>
      </c>
      <c r="CE1765" s="319" t="str">
        <f t="shared" si="381"/>
        <v/>
      </c>
      <c r="CF1765" s="319" t="str">
        <f t="shared" si="381"/>
        <v/>
      </c>
      <c r="CG1765" s="319" t="str">
        <f t="shared" si="381"/>
        <v/>
      </c>
      <c r="CH1765" s="319" t="str">
        <f t="shared" si="381"/>
        <v/>
      </c>
      <c r="CI1765" s="319" t="str">
        <f t="shared" si="381"/>
        <v/>
      </c>
      <c r="CJ1765" s="319" t="str">
        <f t="shared" si="381"/>
        <v/>
      </c>
      <c r="CK1765" s="342">
        <f t="shared" si="182"/>
        <v>0</v>
      </c>
      <c r="CL1765" s="333">
        <f t="shared" si="183"/>
        <v>0</v>
      </c>
      <c r="CM1765" s="1079" t="s">
        <v>2602</v>
      </c>
      <c r="CN1765" s="1005" t="s">
        <v>2603</v>
      </c>
      <c r="CO1765" s="1005"/>
      <c r="CP1765" s="1005"/>
    </row>
    <row r="1766">
      <c r="A1766" s="266"/>
      <c r="B1766" s="1113" t="s">
        <v>2134</v>
      </c>
      <c r="C1766" s="1107">
        <v>45468.0</v>
      </c>
      <c r="D1766" s="1113" t="s">
        <v>986</v>
      </c>
      <c r="E1766" s="1108">
        <v>6.0</v>
      </c>
      <c r="F1766" s="112" t="s">
        <v>2604</v>
      </c>
      <c r="G1766" s="1110">
        <v>0.6076388888888888</v>
      </c>
      <c r="H1766" s="1110">
        <v>0.6079861111111111</v>
      </c>
      <c r="I1766" s="1110"/>
      <c r="J1766" s="1111"/>
      <c r="K1766" s="1111">
        <v>0.6402777777777777</v>
      </c>
      <c r="L1766" s="1112">
        <v>0.03194444444444444</v>
      </c>
      <c r="M1766" s="1113" t="s">
        <v>166</v>
      </c>
      <c r="N1766" s="110" t="s">
        <v>188</v>
      </c>
      <c r="O1766" s="1115" t="s">
        <v>378</v>
      </c>
      <c r="P1766" s="1115" t="s">
        <v>225</v>
      </c>
      <c r="Q1766" s="1115" t="s">
        <v>842</v>
      </c>
      <c r="R1766" s="120">
        <v>22.7</v>
      </c>
      <c r="S1766" s="1113">
        <v>39.7</v>
      </c>
      <c r="T1766" s="110">
        <v>1.1</v>
      </c>
      <c r="U1766" s="1108"/>
      <c r="V1766" s="1108"/>
      <c r="W1766" s="1108"/>
      <c r="X1766" s="1108"/>
      <c r="Y1766" s="1108"/>
      <c r="Z1766" s="1114" t="s">
        <v>1140</v>
      </c>
      <c r="AA1766" s="1114"/>
      <c r="AB1766" s="1114" t="s">
        <v>407</v>
      </c>
      <c r="AC1766" s="1117">
        <v>15.75</v>
      </c>
      <c r="AD1766" s="1115"/>
      <c r="AE1766" s="1115"/>
      <c r="AF1766" s="1115"/>
      <c r="AG1766" s="1115"/>
      <c r="AH1766" s="1115"/>
      <c r="AI1766" s="1115"/>
      <c r="AJ1766" s="1117"/>
      <c r="AK1766" s="1118"/>
      <c r="AL1766" s="1115"/>
      <c r="AM1766" s="1115"/>
      <c r="AN1766" s="1115"/>
      <c r="AO1766" s="1115"/>
      <c r="AP1766" s="1115"/>
      <c r="AQ1766" s="1115"/>
      <c r="AR1766" s="1115"/>
      <c r="AS1766" s="1117"/>
      <c r="AT1766" s="1196"/>
      <c r="AU1766" s="1193"/>
      <c r="AV1766" s="330">
        <f>SQRT(($R1766-Infrastructure!J$3)^2+($S1766-Infrastructure!K$3)^2)</f>
        <v>25.40944706</v>
      </c>
      <c r="AW1766" s="331">
        <f>SQRT(($R1766-Infrastructure!J$4)^2+($S1766-Infrastructure!K$4)^2)</f>
        <v>31.75862088</v>
      </c>
      <c r="AX1766" s="331">
        <f>SQRT(($R1766-Infrastructure!J$5)^2+($S1766-Infrastructure!K$5)^2)</f>
        <v>41.54708173</v>
      </c>
      <c r="AY1766" s="331">
        <f>SQRT(($R1766-Infrastructure!J$6)^2+($S1766-Infrastructure!K$6)^2)</f>
        <v>41.36568626</v>
      </c>
      <c r="AZ1766" s="331">
        <f>SQRT(($R1766-Infrastructure!J$7)^2+($S1766-Infrastructure!K$7)^2)</f>
        <v>39.46137352</v>
      </c>
      <c r="BA1766" s="331">
        <f>SQRT(($R1766-Infrastructure!J$8)^2+($S1766-Infrastructure!K$8)^2)</f>
        <v>40.08890121</v>
      </c>
      <c r="BB1766" s="331">
        <f>SQRT(($R1766-Infrastructure!J$9)^2+($S1766-Infrastructure!K$9)^2)</f>
        <v>38.68397601</v>
      </c>
      <c r="BC1766" s="331">
        <f>SQRT(($R1766-Infrastructure!J$10)^2+($S1766-Infrastructure!K$10)^2)</f>
        <v>30.15592811</v>
      </c>
      <c r="BD1766" s="331">
        <f>SQRT(($R1766-Infrastructure!J$11)^2+($S1766-Infrastructure!K$11)^2)</f>
        <v>20.51194774</v>
      </c>
      <c r="BE1766" s="333">
        <f>SQRT(($R1766-Infrastructure!J$12)^2+($S1766-Infrastructure!K$12)^2)</f>
        <v>15.84550409</v>
      </c>
      <c r="BF1766" s="330">
        <f t="shared" si="161"/>
        <v>15.84550409</v>
      </c>
      <c r="BG1766" s="333">
        <f t="shared" si="162"/>
        <v>41.54708173</v>
      </c>
      <c r="BH1766" s="1119"/>
      <c r="BI1766" s="319" t="str">
        <f t="shared" ref="BI1766:BR1766" si="382">IF(ISNUMBER(FIND(BI$3, $CO1766)), "Y", "")</f>
        <v/>
      </c>
      <c r="BJ1766" s="319" t="str">
        <f t="shared" si="382"/>
        <v/>
      </c>
      <c r="BK1766" s="319" t="str">
        <f t="shared" si="382"/>
        <v/>
      </c>
      <c r="BL1766" s="319" t="str">
        <f t="shared" si="382"/>
        <v/>
      </c>
      <c r="BM1766" s="319" t="str">
        <f t="shared" si="382"/>
        <v/>
      </c>
      <c r="BN1766" s="319" t="str">
        <f t="shared" si="382"/>
        <v/>
      </c>
      <c r="BO1766" s="319" t="str">
        <f t="shared" si="382"/>
        <v/>
      </c>
      <c r="BP1766" s="319" t="str">
        <f t="shared" si="382"/>
        <v/>
      </c>
      <c r="BQ1766" s="319" t="str">
        <f t="shared" si="382"/>
        <v/>
      </c>
      <c r="BR1766" s="319" t="str">
        <f t="shared" si="382"/>
        <v/>
      </c>
      <c r="BS1766" s="330">
        <f t="shared" si="185"/>
        <v>0</v>
      </c>
      <c r="BT1766" s="331">
        <f t="shared" si="170"/>
        <v>0</v>
      </c>
      <c r="BU1766" s="920"/>
      <c r="BV1766" s="903" t="str">
        <f t="shared" si="186"/>
        <v/>
      </c>
      <c r="BW1766" s="908"/>
      <c r="BX1766" s="908"/>
      <c r="BY1766" s="331" t="b">
        <f t="shared" si="201"/>
        <v>0</v>
      </c>
      <c r="BZ1766" s="331"/>
      <c r="CA1766" s="462" t="str">
        <f t="shared" ref="CA1766:CJ1766" si="383">IF(ISNUMBER(FIND(BI$3, $CP1766)), "Y", "")</f>
        <v/>
      </c>
      <c r="CB1766" s="319" t="str">
        <f t="shared" si="383"/>
        <v/>
      </c>
      <c r="CC1766" s="319" t="str">
        <f t="shared" si="383"/>
        <v/>
      </c>
      <c r="CD1766" s="319" t="str">
        <f t="shared" si="383"/>
        <v/>
      </c>
      <c r="CE1766" s="319" t="str">
        <f t="shared" si="383"/>
        <v/>
      </c>
      <c r="CF1766" s="319" t="str">
        <f t="shared" si="383"/>
        <v/>
      </c>
      <c r="CG1766" s="319" t="str">
        <f t="shared" si="383"/>
        <v/>
      </c>
      <c r="CH1766" s="319" t="str">
        <f t="shared" si="383"/>
        <v/>
      </c>
      <c r="CI1766" s="319" t="str">
        <f t="shared" si="383"/>
        <v/>
      </c>
      <c r="CJ1766" s="319" t="str">
        <f t="shared" si="383"/>
        <v/>
      </c>
      <c r="CK1766" s="342">
        <f t="shared" si="182"/>
        <v>0</v>
      </c>
      <c r="CL1766" s="333">
        <f t="shared" si="183"/>
        <v>0</v>
      </c>
      <c r="CM1766" s="1079" t="s">
        <v>2602</v>
      </c>
      <c r="CN1766" s="1005" t="s">
        <v>2603</v>
      </c>
      <c r="CO1766" s="1005"/>
      <c r="CP1766" s="1005"/>
    </row>
    <row r="1767">
      <c r="A1767" s="266"/>
      <c r="B1767" s="1113" t="s">
        <v>2134</v>
      </c>
      <c r="C1767" s="1107">
        <v>45468.0</v>
      </c>
      <c r="D1767" s="1113" t="s">
        <v>986</v>
      </c>
      <c r="E1767" s="1108">
        <v>7.0</v>
      </c>
      <c r="F1767" s="112" t="s">
        <v>2605</v>
      </c>
      <c r="G1767" s="1110">
        <v>0.6479166666666667</v>
      </c>
      <c r="H1767" s="1110">
        <v>0.6484375</v>
      </c>
      <c r="I1767" s="1110"/>
      <c r="J1767" s="1111"/>
      <c r="K1767" s="1111">
        <v>0.6798611111111111</v>
      </c>
      <c r="L1767" s="1112">
        <v>0.03125</v>
      </c>
      <c r="M1767" s="1113" t="s">
        <v>166</v>
      </c>
      <c r="N1767" s="110" t="s">
        <v>188</v>
      </c>
      <c r="O1767" s="1115" t="s">
        <v>378</v>
      </c>
      <c r="P1767" s="1115" t="s">
        <v>225</v>
      </c>
      <c r="Q1767" s="1115" t="s">
        <v>842</v>
      </c>
      <c r="R1767" s="120">
        <v>22.7</v>
      </c>
      <c r="S1767" s="1113">
        <v>39.7</v>
      </c>
      <c r="T1767" s="110">
        <v>1.1</v>
      </c>
      <c r="U1767" s="1108"/>
      <c r="V1767" s="1108"/>
      <c r="W1767" s="1108"/>
      <c r="X1767" s="1108"/>
      <c r="Y1767" s="1108"/>
      <c r="Z1767" s="1114" t="s">
        <v>1140</v>
      </c>
      <c r="AA1767" s="1114"/>
      <c r="AB1767" s="1114" t="s">
        <v>410</v>
      </c>
      <c r="AC1767" s="1117">
        <v>22.1</v>
      </c>
      <c r="AD1767" s="1115"/>
      <c r="AE1767" s="1115"/>
      <c r="AF1767" s="1115"/>
      <c r="AG1767" s="1115"/>
      <c r="AH1767" s="1115"/>
      <c r="AI1767" s="1115"/>
      <c r="AJ1767" s="1117"/>
      <c r="AK1767" s="1118"/>
      <c r="AL1767" s="1115"/>
      <c r="AM1767" s="1115"/>
      <c r="AN1767" s="1115"/>
      <c r="AO1767" s="1115"/>
      <c r="AP1767" s="1115"/>
      <c r="AQ1767" s="1115"/>
      <c r="AR1767" s="1115"/>
      <c r="AS1767" s="1117"/>
      <c r="AT1767" s="1196"/>
      <c r="AU1767" s="1193"/>
      <c r="AV1767" s="330">
        <f>SQRT(($R1767-Infrastructure!J$3)^2+($S1767-Infrastructure!K$3)^2)</f>
        <v>25.40944706</v>
      </c>
      <c r="AW1767" s="331">
        <f>SQRT(($R1767-Infrastructure!J$4)^2+($S1767-Infrastructure!K$4)^2)</f>
        <v>31.75862088</v>
      </c>
      <c r="AX1767" s="331">
        <f>SQRT(($R1767-Infrastructure!J$5)^2+($S1767-Infrastructure!K$5)^2)</f>
        <v>41.54708173</v>
      </c>
      <c r="AY1767" s="331">
        <f>SQRT(($R1767-Infrastructure!J$6)^2+($S1767-Infrastructure!K$6)^2)</f>
        <v>41.36568626</v>
      </c>
      <c r="AZ1767" s="331">
        <f>SQRT(($R1767-Infrastructure!J$7)^2+($S1767-Infrastructure!K$7)^2)</f>
        <v>39.46137352</v>
      </c>
      <c r="BA1767" s="331">
        <f>SQRT(($R1767-Infrastructure!J$8)^2+($S1767-Infrastructure!K$8)^2)</f>
        <v>40.08890121</v>
      </c>
      <c r="BB1767" s="331">
        <f>SQRT(($R1767-Infrastructure!J$9)^2+($S1767-Infrastructure!K$9)^2)</f>
        <v>38.68397601</v>
      </c>
      <c r="BC1767" s="331">
        <f>SQRT(($R1767-Infrastructure!J$10)^2+($S1767-Infrastructure!K$10)^2)</f>
        <v>30.15592811</v>
      </c>
      <c r="BD1767" s="331">
        <f>SQRT(($R1767-Infrastructure!J$11)^2+($S1767-Infrastructure!K$11)^2)</f>
        <v>20.51194774</v>
      </c>
      <c r="BE1767" s="333">
        <f>SQRT(($R1767-Infrastructure!J$12)^2+($S1767-Infrastructure!K$12)^2)</f>
        <v>15.84550409</v>
      </c>
      <c r="BF1767" s="330">
        <f t="shared" si="161"/>
        <v>15.84550409</v>
      </c>
      <c r="BG1767" s="333">
        <f t="shared" si="162"/>
        <v>41.54708173</v>
      </c>
      <c r="BH1767" s="1119"/>
      <c r="BI1767" s="319" t="str">
        <f t="shared" ref="BI1767:BR1767" si="384">IF(ISNUMBER(FIND(BI$3, $CO1767)), "Y", "")</f>
        <v/>
      </c>
      <c r="BJ1767" s="319" t="str">
        <f t="shared" si="384"/>
        <v/>
      </c>
      <c r="BK1767" s="319" t="str">
        <f t="shared" si="384"/>
        <v/>
      </c>
      <c r="BL1767" s="319" t="str">
        <f t="shared" si="384"/>
        <v/>
      </c>
      <c r="BM1767" s="319" t="str">
        <f t="shared" si="384"/>
        <v/>
      </c>
      <c r="BN1767" s="319" t="str">
        <f t="shared" si="384"/>
        <v/>
      </c>
      <c r="BO1767" s="319" t="str">
        <f t="shared" si="384"/>
        <v/>
      </c>
      <c r="BP1767" s="319" t="str">
        <f t="shared" si="384"/>
        <v/>
      </c>
      <c r="BQ1767" s="319" t="str">
        <f t="shared" si="384"/>
        <v/>
      </c>
      <c r="BR1767" s="319" t="str">
        <f t="shared" si="384"/>
        <v/>
      </c>
      <c r="BS1767" s="330">
        <f t="shared" si="185"/>
        <v>0</v>
      </c>
      <c r="BT1767" s="331">
        <f t="shared" si="170"/>
        <v>0</v>
      </c>
      <c r="BU1767" s="920"/>
      <c r="BV1767" s="903" t="str">
        <f t="shared" si="186"/>
        <v/>
      </c>
      <c r="BW1767" s="908"/>
      <c r="BX1767" s="908"/>
      <c r="BY1767" s="331" t="b">
        <f t="shared" si="201"/>
        <v>0</v>
      </c>
      <c r="BZ1767" s="331"/>
      <c r="CA1767" s="462" t="str">
        <f t="shared" ref="CA1767:CJ1767" si="385">IF(ISNUMBER(FIND(BI$3, $CP1767)), "Y", "")</f>
        <v/>
      </c>
      <c r="CB1767" s="319" t="str">
        <f t="shared" si="385"/>
        <v/>
      </c>
      <c r="CC1767" s="319" t="str">
        <f t="shared" si="385"/>
        <v/>
      </c>
      <c r="CD1767" s="319" t="str">
        <f t="shared" si="385"/>
        <v/>
      </c>
      <c r="CE1767" s="319" t="str">
        <f t="shared" si="385"/>
        <v/>
      </c>
      <c r="CF1767" s="319" t="str">
        <f t="shared" si="385"/>
        <v/>
      </c>
      <c r="CG1767" s="319" t="str">
        <f t="shared" si="385"/>
        <v/>
      </c>
      <c r="CH1767" s="319" t="str">
        <f t="shared" si="385"/>
        <v/>
      </c>
      <c r="CI1767" s="319" t="str">
        <f t="shared" si="385"/>
        <v/>
      </c>
      <c r="CJ1767" s="319" t="str">
        <f t="shared" si="385"/>
        <v/>
      </c>
      <c r="CK1767" s="342">
        <f t="shared" si="182"/>
        <v>0</v>
      </c>
      <c r="CL1767" s="333">
        <f t="shared" si="183"/>
        <v>0</v>
      </c>
      <c r="CM1767" s="1079" t="s">
        <v>2602</v>
      </c>
      <c r="CN1767" s="1005" t="s">
        <v>2603</v>
      </c>
      <c r="CO1767" s="1005"/>
      <c r="CP1767" s="1005"/>
    </row>
    <row r="1768">
      <c r="A1768" s="1258"/>
      <c r="B1768" s="1129" t="s">
        <v>2134</v>
      </c>
      <c r="C1768" s="1122">
        <v>45468.0</v>
      </c>
      <c r="D1768" s="1129" t="s">
        <v>986</v>
      </c>
      <c r="E1768" s="1124">
        <v>8.0</v>
      </c>
      <c r="F1768" s="108" t="s">
        <v>2606</v>
      </c>
      <c r="G1768" s="1126">
        <v>0.69375</v>
      </c>
      <c r="H1768" s="1126">
        <v>0.6942708333333333</v>
      </c>
      <c r="I1768" s="1126"/>
      <c r="J1768" s="1127"/>
      <c r="K1768" s="1127">
        <v>0.7322916666666667</v>
      </c>
      <c r="L1768" s="1128">
        <v>0.0375</v>
      </c>
      <c r="M1768" s="1129" t="s">
        <v>166</v>
      </c>
      <c r="N1768" s="100" t="s">
        <v>187</v>
      </c>
      <c r="O1768" s="1131" t="s">
        <v>203</v>
      </c>
      <c r="P1768" s="1131" t="s">
        <v>250</v>
      </c>
      <c r="Q1768" s="1132"/>
      <c r="R1768" s="137">
        <v>15.1</v>
      </c>
      <c r="S1768" s="1129">
        <v>2.4</v>
      </c>
      <c r="T1768" s="100">
        <v>1.2</v>
      </c>
      <c r="U1768" s="1124"/>
      <c r="V1768" s="1124"/>
      <c r="W1768" s="1124"/>
      <c r="X1768" s="1124"/>
      <c r="Y1768" s="1124"/>
      <c r="Z1768" s="1130" t="s">
        <v>357</v>
      </c>
      <c r="AA1768" s="1130"/>
      <c r="AB1768" s="1130" t="s">
        <v>380</v>
      </c>
      <c r="AC1768" s="1133">
        <v>4.0</v>
      </c>
      <c r="AD1768" s="1131"/>
      <c r="AE1768" s="1131"/>
      <c r="AF1768" s="1131"/>
      <c r="AG1768" s="1131"/>
      <c r="AH1768" s="1131"/>
      <c r="AI1768" s="1131"/>
      <c r="AJ1768" s="1133"/>
      <c r="AK1768" s="1134"/>
      <c r="AL1768" s="1131"/>
      <c r="AM1768" s="1131"/>
      <c r="AN1768" s="1131"/>
      <c r="AO1768" s="1131"/>
      <c r="AP1768" s="1131"/>
      <c r="AQ1768" s="1131"/>
      <c r="AR1768" s="1131"/>
      <c r="AS1768" s="1133"/>
      <c r="AT1768" s="1197"/>
      <c r="AU1768" s="1194"/>
      <c r="AV1768" s="662">
        <f>SQRT(($R1768-Infrastructure!J$3)^2+($S1768-Infrastructure!K$3)^2)</f>
        <v>30.64979608</v>
      </c>
      <c r="AW1768" s="641">
        <f>SQRT(($R1768-Infrastructure!J$4)^2+($S1768-Infrastructure!K$4)^2)</f>
        <v>21.77888886</v>
      </c>
      <c r="AX1768" s="641">
        <f>SQRT(($R1768-Infrastructure!J$5)^2+($S1768-Infrastructure!K$5)^2)</f>
        <v>15.63489687</v>
      </c>
      <c r="AY1768" s="641">
        <f>SQRT(($R1768-Infrastructure!J$6)^2+($S1768-Infrastructure!K$6)^2)</f>
        <v>5.423098745</v>
      </c>
      <c r="AZ1768" s="641">
        <f>SQRT(($R1768-Infrastructure!J$7)^2+($S1768-Infrastructure!K$7)^2)</f>
        <v>5.793962375</v>
      </c>
      <c r="BA1768" s="641">
        <f>SQRT(($R1768-Infrastructure!J$8)^2+($S1768-Infrastructure!K$8)^2)</f>
        <v>15.14628667</v>
      </c>
      <c r="BB1768" s="641">
        <f>SQRT(($R1768-Infrastructure!J$9)^2+($S1768-Infrastructure!K$9)^2)</f>
        <v>25.04595776</v>
      </c>
      <c r="BC1768" s="641">
        <f>SQRT(($R1768-Infrastructure!J$10)^2+($S1768-Infrastructure!K$10)^2)</f>
        <v>27.90645087</v>
      </c>
      <c r="BD1768" s="641">
        <f>SQRT(($R1768-Infrastructure!J$11)^2+($S1768-Infrastructure!K$11)^2)</f>
        <v>36.5728041</v>
      </c>
      <c r="BE1768" s="642">
        <f>SQRT(($R1768-Infrastructure!J$12)^2+($S1768-Infrastructure!K$12)^2)</f>
        <v>53.48429676</v>
      </c>
      <c r="BF1768" s="662">
        <f t="shared" si="161"/>
        <v>5.423098745</v>
      </c>
      <c r="BG1768" s="642">
        <f t="shared" si="162"/>
        <v>53.48429676</v>
      </c>
      <c r="BH1768" s="1135"/>
      <c r="BI1768" s="663" t="str">
        <f t="shared" ref="BI1768:BR1768" si="386">IF(ISNUMBER(FIND(BI$3, $CO1768)), "Y", "")</f>
        <v/>
      </c>
      <c r="BJ1768" s="663" t="str">
        <f t="shared" si="386"/>
        <v/>
      </c>
      <c r="BK1768" s="663" t="str">
        <f t="shared" si="386"/>
        <v/>
      </c>
      <c r="BL1768" s="663" t="str">
        <f t="shared" si="386"/>
        <v/>
      </c>
      <c r="BM1768" s="663" t="str">
        <f t="shared" si="386"/>
        <v/>
      </c>
      <c r="BN1768" s="663" t="str">
        <f t="shared" si="386"/>
        <v/>
      </c>
      <c r="BO1768" s="663" t="str">
        <f t="shared" si="386"/>
        <v/>
      </c>
      <c r="BP1768" s="663" t="str">
        <f t="shared" si="386"/>
        <v/>
      </c>
      <c r="BQ1768" s="663" t="str">
        <f t="shared" si="386"/>
        <v/>
      </c>
      <c r="BR1768" s="663" t="str">
        <f t="shared" si="386"/>
        <v/>
      </c>
      <c r="BS1768" s="662">
        <f t="shared" si="185"/>
        <v>0</v>
      </c>
      <c r="BT1768" s="641">
        <f t="shared" si="170"/>
        <v>0</v>
      </c>
      <c r="BU1768" s="937"/>
      <c r="BV1768" s="930" t="str">
        <f t="shared" si="186"/>
        <v/>
      </c>
      <c r="BW1768" s="939"/>
      <c r="BX1768" s="939"/>
      <c r="BY1768" s="641" t="b">
        <f t="shared" si="201"/>
        <v>0</v>
      </c>
      <c r="BZ1768" s="641"/>
      <c r="CA1768" s="635" t="str">
        <f t="shared" ref="CA1768:CJ1768" si="387">IF(ISNUMBER(FIND(BI$3, $CP1768)), "Y", "")</f>
        <v/>
      </c>
      <c r="CB1768" s="663" t="str">
        <f t="shared" si="387"/>
        <v/>
      </c>
      <c r="CC1768" s="663" t="str">
        <f t="shared" si="387"/>
        <v/>
      </c>
      <c r="CD1768" s="663" t="str">
        <f t="shared" si="387"/>
        <v/>
      </c>
      <c r="CE1768" s="663" t="str">
        <f t="shared" si="387"/>
        <v/>
      </c>
      <c r="CF1768" s="663" t="str">
        <f t="shared" si="387"/>
        <v/>
      </c>
      <c r="CG1768" s="663" t="str">
        <f t="shared" si="387"/>
        <v/>
      </c>
      <c r="CH1768" s="663" t="str">
        <f t="shared" si="387"/>
        <v/>
      </c>
      <c r="CI1768" s="663" t="str">
        <f t="shared" si="387"/>
        <v/>
      </c>
      <c r="CJ1768" s="663" t="str">
        <f t="shared" si="387"/>
        <v/>
      </c>
      <c r="CK1768" s="743">
        <f t="shared" si="182"/>
        <v>0</v>
      </c>
      <c r="CL1768" s="642">
        <f t="shared" si="183"/>
        <v>0</v>
      </c>
      <c r="CM1768" s="1090" t="s">
        <v>2602</v>
      </c>
      <c r="CN1768" s="1036" t="s">
        <v>2603</v>
      </c>
      <c r="CO1768" s="1036"/>
      <c r="CP1768" s="1036"/>
    </row>
    <row r="1769">
      <c r="A1769" s="1257" t="s">
        <v>105</v>
      </c>
      <c r="B1769" s="1113" t="s">
        <v>2134</v>
      </c>
      <c r="C1769" s="1107">
        <v>45469.0</v>
      </c>
      <c r="D1769" s="1113" t="s">
        <v>986</v>
      </c>
      <c r="E1769" s="1108">
        <v>1.0</v>
      </c>
      <c r="F1769" s="112" t="s">
        <v>2607</v>
      </c>
      <c r="G1769" s="1110">
        <v>0.3715277777777778</v>
      </c>
      <c r="H1769" s="1110">
        <v>0.3717013888888889</v>
      </c>
      <c r="I1769" s="1110"/>
      <c r="J1769" s="1111"/>
      <c r="K1769" s="1111">
        <v>0.4048611111111111</v>
      </c>
      <c r="L1769" s="1112">
        <v>0.03263888888888889</v>
      </c>
      <c r="M1769" s="1113" t="s">
        <v>166</v>
      </c>
      <c r="N1769" s="110" t="s">
        <v>187</v>
      </c>
      <c r="O1769" s="1115" t="s">
        <v>198</v>
      </c>
      <c r="P1769" s="1115" t="s">
        <v>213</v>
      </c>
      <c r="Q1769" s="1116"/>
      <c r="R1769" s="120">
        <v>10.7</v>
      </c>
      <c r="S1769" s="1113">
        <v>10.9</v>
      </c>
      <c r="T1769" s="110">
        <v>3.0</v>
      </c>
      <c r="U1769" s="1108"/>
      <c r="V1769" s="1108"/>
      <c r="W1769" s="1108"/>
      <c r="X1769" s="1108"/>
      <c r="Y1769" s="1108"/>
      <c r="Z1769" s="1114" t="s">
        <v>343</v>
      </c>
      <c r="AA1769" s="1114"/>
      <c r="AB1769" s="1114" t="s">
        <v>380</v>
      </c>
      <c r="AC1769" s="1117">
        <v>4.0</v>
      </c>
      <c r="AD1769" s="1115"/>
      <c r="AE1769" s="1115"/>
      <c r="AF1769" s="1115"/>
      <c r="AG1769" s="1115"/>
      <c r="AH1769" s="1115"/>
      <c r="AI1769" s="1115"/>
      <c r="AJ1769" s="1117"/>
      <c r="AK1769" s="1118"/>
      <c r="AL1769" s="1115"/>
      <c r="AM1769" s="1115"/>
      <c r="AN1769" s="1115"/>
      <c r="AO1769" s="1115"/>
      <c r="AP1769" s="1115"/>
      <c r="AQ1769" s="1115"/>
      <c r="AR1769" s="1115"/>
      <c r="AS1769" s="1117"/>
      <c r="AT1769" s="1196"/>
      <c r="AU1769" s="1193"/>
      <c r="AV1769" s="330">
        <f>SQRT(($R1769-Infrastructure!J$3)^2+($S1769-Infrastructure!K$3)^2)</f>
        <v>21.09502311</v>
      </c>
      <c r="AW1769" s="331">
        <f>SQRT(($R1769-Infrastructure!J$4)^2+($S1769-Infrastructure!K$4)^2)</f>
        <v>12.98499134</v>
      </c>
      <c r="AX1769" s="331">
        <f>SQRT(($R1769-Infrastructure!J$5)^2+($S1769-Infrastructure!K$5)^2)</f>
        <v>12.43543325</v>
      </c>
      <c r="AY1769" s="331">
        <f>SQRT(($R1769-Infrastructure!J$6)^2+($S1769-Infrastructure!K$6)^2)</f>
        <v>10.61696755</v>
      </c>
      <c r="AZ1769" s="331">
        <f>SQRT(($R1769-Infrastructure!J$7)^2+($S1769-Infrastructure!K$7)^2)</f>
        <v>14.43606595</v>
      </c>
      <c r="BA1769" s="331">
        <f>SQRT(($R1769-Infrastructure!J$8)^2+($S1769-Infrastructure!K$8)^2)</f>
        <v>22.10701246</v>
      </c>
      <c r="BB1769" s="331">
        <f>SQRT(($R1769-Infrastructure!J$9)^2+($S1769-Infrastructure!K$9)^2)</f>
        <v>29.86854533</v>
      </c>
      <c r="BC1769" s="331">
        <f>SQRT(($R1769-Infrastructure!J$10)^2+($S1769-Infrastructure!K$10)^2)</f>
        <v>29.58546941</v>
      </c>
      <c r="BD1769" s="331">
        <f>SQRT(($R1769-Infrastructure!J$11)^2+($S1769-Infrastructure!K$11)^2)</f>
        <v>34.61011413</v>
      </c>
      <c r="BE1769" s="333">
        <f>SQRT(($R1769-Infrastructure!J$12)^2+($S1769-Infrastructure!K$12)^2)</f>
        <v>45.8889965</v>
      </c>
      <c r="BF1769" s="330">
        <f t="shared" si="161"/>
        <v>10.61696755</v>
      </c>
      <c r="BG1769" s="333">
        <f t="shared" si="162"/>
        <v>45.8889965</v>
      </c>
      <c r="BH1769" s="1119"/>
      <c r="BI1769" s="319" t="str">
        <f t="shared" ref="BI1769:BR1769" si="388">IF(ISNUMBER(FIND(BI$3, $CO1769)), "Y", "")</f>
        <v/>
      </c>
      <c r="BJ1769" s="319" t="str">
        <f t="shared" si="388"/>
        <v/>
      </c>
      <c r="BK1769" s="319" t="str">
        <f t="shared" si="388"/>
        <v/>
      </c>
      <c r="BL1769" s="319" t="str">
        <f t="shared" si="388"/>
        <v/>
      </c>
      <c r="BM1769" s="319" t="str">
        <f t="shared" si="388"/>
        <v/>
      </c>
      <c r="BN1769" s="319" t="str">
        <f t="shared" si="388"/>
        <v/>
      </c>
      <c r="BO1769" s="319" t="str">
        <f t="shared" si="388"/>
        <v/>
      </c>
      <c r="BP1769" s="319" t="str">
        <f t="shared" si="388"/>
        <v/>
      </c>
      <c r="BQ1769" s="319" t="str">
        <f t="shared" si="388"/>
        <v/>
      </c>
      <c r="BR1769" s="319" t="str">
        <f t="shared" si="388"/>
        <v/>
      </c>
      <c r="BS1769" s="330">
        <f t="shared" si="185"/>
        <v>0</v>
      </c>
      <c r="BT1769" s="331">
        <f t="shared" si="170"/>
        <v>0</v>
      </c>
      <c r="BU1769" s="920"/>
      <c r="BV1769" s="903" t="str">
        <f t="shared" si="186"/>
        <v/>
      </c>
      <c r="BW1769" s="908"/>
      <c r="BX1769" s="908"/>
      <c r="BY1769" s="331" t="b">
        <f t="shared" si="201"/>
        <v>0</v>
      </c>
      <c r="BZ1769" s="331"/>
      <c r="CA1769" s="462" t="str">
        <f t="shared" ref="CA1769:CJ1769" si="389">IF(ISNUMBER(FIND(BI$3, $CP1769)), "Y", "")</f>
        <v>Y</v>
      </c>
      <c r="CB1769" s="319" t="str">
        <f t="shared" si="389"/>
        <v>Y</v>
      </c>
      <c r="CC1769" s="319" t="str">
        <f t="shared" si="389"/>
        <v/>
      </c>
      <c r="CD1769" s="319" t="str">
        <f t="shared" si="389"/>
        <v/>
      </c>
      <c r="CE1769" s="319" t="str">
        <f t="shared" si="389"/>
        <v/>
      </c>
      <c r="CF1769" s="319" t="str">
        <f t="shared" si="389"/>
        <v/>
      </c>
      <c r="CG1769" s="319" t="str">
        <f t="shared" si="389"/>
        <v/>
      </c>
      <c r="CH1769" s="319" t="str">
        <f t="shared" si="389"/>
        <v/>
      </c>
      <c r="CI1769" s="319" t="str">
        <f t="shared" si="389"/>
        <v/>
      </c>
      <c r="CJ1769" s="319" t="str">
        <f t="shared" si="389"/>
        <v>Y</v>
      </c>
      <c r="CK1769" s="342">
        <f t="shared" si="182"/>
        <v>12.98499134</v>
      </c>
      <c r="CL1769" s="333">
        <f t="shared" si="183"/>
        <v>45.8889965</v>
      </c>
      <c r="CM1769" s="1079" t="s">
        <v>2608</v>
      </c>
      <c r="CN1769" s="1005" t="s">
        <v>2609</v>
      </c>
      <c r="CO1769" s="1005"/>
      <c r="CP1769" s="1005" t="s">
        <v>2387</v>
      </c>
    </row>
    <row r="1770">
      <c r="A1770" s="266"/>
      <c r="B1770" s="1113" t="s">
        <v>2134</v>
      </c>
      <c r="C1770" s="1107">
        <v>45469.0</v>
      </c>
      <c r="D1770" s="1113" t="s">
        <v>986</v>
      </c>
      <c r="E1770" s="1108">
        <v>2.0</v>
      </c>
      <c r="F1770" s="112" t="s">
        <v>2610</v>
      </c>
      <c r="G1770" s="1110">
        <v>0.4173611111111111</v>
      </c>
      <c r="H1770" s="1110">
        <v>0.41788194444444443</v>
      </c>
      <c r="I1770" s="1110"/>
      <c r="J1770" s="1111"/>
      <c r="K1770" s="1111">
        <v>0.4527777777777778</v>
      </c>
      <c r="L1770" s="1112">
        <v>0.034722222222222224</v>
      </c>
      <c r="M1770" s="1113" t="s">
        <v>166</v>
      </c>
      <c r="N1770" s="110" t="s">
        <v>187</v>
      </c>
      <c r="O1770" s="1115" t="s">
        <v>207</v>
      </c>
      <c r="P1770" s="1115" t="s">
        <v>221</v>
      </c>
      <c r="Q1770" s="1116"/>
      <c r="R1770" s="120">
        <v>26.1</v>
      </c>
      <c r="S1770" s="1113">
        <v>14.3</v>
      </c>
      <c r="T1770" s="110">
        <v>1.5</v>
      </c>
      <c r="U1770" s="1108"/>
      <c r="V1770" s="1108"/>
      <c r="W1770" s="1108"/>
      <c r="X1770" s="1108"/>
      <c r="Y1770" s="1108"/>
      <c r="Z1770" s="1114" t="s">
        <v>374</v>
      </c>
      <c r="AA1770" s="1114"/>
      <c r="AB1770" s="1114" t="s">
        <v>375</v>
      </c>
      <c r="AC1770" s="1117">
        <v>2.7</v>
      </c>
      <c r="AD1770" s="1115"/>
      <c r="AE1770" s="1115"/>
      <c r="AF1770" s="1115"/>
      <c r="AG1770" s="1115"/>
      <c r="AH1770" s="1115"/>
      <c r="AI1770" s="1115"/>
      <c r="AJ1770" s="1117"/>
      <c r="AK1770" s="1118"/>
      <c r="AL1770" s="1115"/>
      <c r="AM1770" s="1115"/>
      <c r="AN1770" s="1115"/>
      <c r="AO1770" s="1115"/>
      <c r="AP1770" s="1115"/>
      <c r="AQ1770" s="1115"/>
      <c r="AR1770" s="1115"/>
      <c r="AS1770" s="1117"/>
      <c r="AT1770" s="1196"/>
      <c r="AU1770" s="1193"/>
      <c r="AV1770" s="330">
        <f>SQRT(($R1770-Infrastructure!J$3)^2+($S1770-Infrastructure!K$3)^2)</f>
        <v>30.16819517</v>
      </c>
      <c r="AW1770" s="331">
        <f>SQRT(($R1770-Infrastructure!J$4)^2+($S1770-Infrastructure!K$4)^2)</f>
        <v>26.63099698</v>
      </c>
      <c r="AX1770" s="331">
        <f>SQRT(($R1770-Infrastructure!J$5)^2+($S1770-Infrastructure!K$5)^2)</f>
        <v>27.95711001</v>
      </c>
      <c r="AY1770" s="331">
        <f>SQRT(($R1770-Infrastructure!J$6)^2+($S1770-Infrastructure!K$6)^2)</f>
        <v>21.26029163</v>
      </c>
      <c r="AZ1770" s="331">
        <f>SQRT(($R1770-Infrastructure!J$7)^2+($S1770-Infrastructure!K$7)^2)</f>
        <v>15.07846146</v>
      </c>
      <c r="BA1770" s="331">
        <f>SQRT(($R1770-Infrastructure!J$8)^2+($S1770-Infrastructure!K$8)^2)</f>
        <v>14.56021978</v>
      </c>
      <c r="BB1770" s="331">
        <f>SQRT(($R1770-Infrastructure!J$9)^2+($S1770-Infrastructure!K$9)^2)</f>
        <v>16.66883319</v>
      </c>
      <c r="BC1770" s="331">
        <f>SQRT(($R1770-Infrastructure!J$10)^2+($S1770-Infrastructure!K$10)^2)</f>
        <v>13.91761474</v>
      </c>
      <c r="BD1770" s="331">
        <f>SQRT(($R1770-Infrastructure!J$11)^2+($S1770-Infrastructure!K$11)^2)</f>
        <v>20.36909424</v>
      </c>
      <c r="BE1770" s="333">
        <f>SQRT(($R1770-Infrastructure!J$12)^2+($S1770-Infrastructure!K$12)^2)</f>
        <v>41.45600077</v>
      </c>
      <c r="BF1770" s="330">
        <f t="shared" si="161"/>
        <v>13.91761474</v>
      </c>
      <c r="BG1770" s="333">
        <f t="shared" si="162"/>
        <v>41.45600077</v>
      </c>
      <c r="BH1770" s="1119"/>
      <c r="BI1770" s="319" t="str">
        <f t="shared" ref="BI1770:BR1770" si="390">IF(ISNUMBER(FIND(BI$3, $CO1770)), "Y", "")</f>
        <v/>
      </c>
      <c r="BJ1770" s="319" t="str">
        <f t="shared" si="390"/>
        <v/>
      </c>
      <c r="BK1770" s="319" t="str">
        <f t="shared" si="390"/>
        <v/>
      </c>
      <c r="BL1770" s="319" t="str">
        <f t="shared" si="390"/>
        <v/>
      </c>
      <c r="BM1770" s="319" t="str">
        <f t="shared" si="390"/>
        <v/>
      </c>
      <c r="BN1770" s="319" t="str">
        <f t="shared" si="390"/>
        <v/>
      </c>
      <c r="BO1770" s="319" t="str">
        <f t="shared" si="390"/>
        <v/>
      </c>
      <c r="BP1770" s="319" t="str">
        <f t="shared" si="390"/>
        <v/>
      </c>
      <c r="BQ1770" s="319" t="str">
        <f t="shared" si="390"/>
        <v/>
      </c>
      <c r="BR1770" s="319" t="str">
        <f t="shared" si="390"/>
        <v/>
      </c>
      <c r="BS1770" s="330">
        <f t="shared" si="185"/>
        <v>0</v>
      </c>
      <c r="BT1770" s="331">
        <f t="shared" si="170"/>
        <v>0</v>
      </c>
      <c r="BU1770" s="920"/>
      <c r="BV1770" s="903" t="str">
        <f t="shared" si="186"/>
        <v/>
      </c>
      <c r="BW1770" s="908"/>
      <c r="BX1770" s="908"/>
      <c r="BY1770" s="331" t="b">
        <f t="shared" si="201"/>
        <v>0</v>
      </c>
      <c r="BZ1770" s="331"/>
      <c r="CA1770" s="462" t="str">
        <f t="shared" ref="CA1770:CJ1770" si="391">IF(ISNUMBER(FIND(BI$3, $CP1770)), "Y", "")</f>
        <v>Y</v>
      </c>
      <c r="CB1770" s="319" t="str">
        <f t="shared" si="391"/>
        <v>Y</v>
      </c>
      <c r="CC1770" s="319" t="str">
        <f t="shared" si="391"/>
        <v>Y</v>
      </c>
      <c r="CD1770" s="319" t="str">
        <f t="shared" si="391"/>
        <v>Y</v>
      </c>
      <c r="CE1770" s="319" t="str">
        <f t="shared" si="391"/>
        <v>Y</v>
      </c>
      <c r="CF1770" s="319" t="str">
        <f t="shared" si="391"/>
        <v>Y</v>
      </c>
      <c r="CG1770" s="319" t="str">
        <f t="shared" si="391"/>
        <v/>
      </c>
      <c r="CH1770" s="319" t="str">
        <f t="shared" si="391"/>
        <v/>
      </c>
      <c r="CI1770" s="319" t="str">
        <f t="shared" si="391"/>
        <v/>
      </c>
      <c r="CJ1770" s="319" t="str">
        <f t="shared" si="391"/>
        <v>Y</v>
      </c>
      <c r="CK1770" s="342">
        <f t="shared" si="182"/>
        <v>14.56021978</v>
      </c>
      <c r="CL1770" s="333">
        <f t="shared" si="183"/>
        <v>41.45600077</v>
      </c>
      <c r="CM1770" s="1079" t="s">
        <v>2611</v>
      </c>
      <c r="CN1770" s="1005" t="s">
        <v>2609</v>
      </c>
      <c r="CO1770" s="1005"/>
      <c r="CP1770" s="1005" t="s">
        <v>2612</v>
      </c>
    </row>
    <row r="1771">
      <c r="A1771" s="266"/>
      <c r="B1771" s="1113" t="s">
        <v>2134</v>
      </c>
      <c r="C1771" s="1107">
        <v>45469.0</v>
      </c>
      <c r="D1771" s="1113" t="s">
        <v>986</v>
      </c>
      <c r="E1771" s="1108">
        <v>3.0</v>
      </c>
      <c r="F1771" s="112" t="s">
        <v>2613</v>
      </c>
      <c r="G1771" s="1110">
        <v>0.4583333333333333</v>
      </c>
      <c r="H1771" s="1110">
        <v>0.45868055555555554</v>
      </c>
      <c r="I1771" s="1110"/>
      <c r="J1771" s="1111"/>
      <c r="K1771" s="1111">
        <v>0.4930555555555556</v>
      </c>
      <c r="L1771" s="1112">
        <v>0.034027777777777775</v>
      </c>
      <c r="M1771" s="1113" t="s">
        <v>166</v>
      </c>
      <c r="N1771" s="110" t="s">
        <v>187</v>
      </c>
      <c r="O1771" s="1115" t="s">
        <v>197</v>
      </c>
      <c r="P1771" s="1115" t="s">
        <v>272</v>
      </c>
      <c r="Q1771" s="1115" t="s">
        <v>842</v>
      </c>
      <c r="R1771" s="120">
        <v>37.1</v>
      </c>
      <c r="S1771" s="1113">
        <v>6.9</v>
      </c>
      <c r="T1771" s="110">
        <v>6.5</v>
      </c>
      <c r="U1771" s="1108"/>
      <c r="V1771" s="1108"/>
      <c r="W1771" s="1108"/>
      <c r="X1771" s="1108"/>
      <c r="Y1771" s="1108"/>
      <c r="Z1771" s="1114" t="s">
        <v>379</v>
      </c>
      <c r="AA1771" s="1114"/>
      <c r="AB1771" s="1114" t="s">
        <v>392</v>
      </c>
      <c r="AC1771" s="1117">
        <v>10.0</v>
      </c>
      <c r="AD1771" s="1115"/>
      <c r="AE1771" s="1115"/>
      <c r="AF1771" s="1115"/>
      <c r="AG1771" s="1115"/>
      <c r="AH1771" s="1115"/>
      <c r="AI1771" s="1115"/>
      <c r="AJ1771" s="1117"/>
      <c r="AK1771" s="1118"/>
      <c r="AL1771" s="1115"/>
      <c r="AM1771" s="1115"/>
      <c r="AN1771" s="1115"/>
      <c r="AO1771" s="1115"/>
      <c r="AP1771" s="1115"/>
      <c r="AQ1771" s="1115"/>
      <c r="AR1771" s="1115"/>
      <c r="AS1771" s="1117"/>
      <c r="AT1771" s="1196"/>
      <c r="AU1771" s="1193"/>
      <c r="AV1771" s="330">
        <f>SQRT(($R1771-Infrastructure!J$3)^2+($S1771-Infrastructure!K$3)^2)</f>
        <v>43.39078243</v>
      </c>
      <c r="AW1771" s="331">
        <f>SQRT(($R1771-Infrastructure!J$4)^2+($S1771-Infrastructure!K$4)^2)</f>
        <v>38.95600082</v>
      </c>
      <c r="AX1771" s="331">
        <f>SQRT(($R1771-Infrastructure!J$5)^2+($S1771-Infrastructure!K$5)^2)</f>
        <v>37.44329045</v>
      </c>
      <c r="AY1771" s="331">
        <f>SQRT(($R1771-Infrastructure!J$6)^2+($S1771-Infrastructure!K$6)^2)</f>
        <v>27.79496357</v>
      </c>
      <c r="AZ1771" s="331">
        <f>SQRT(($R1771-Infrastructure!J$7)^2+($S1771-Infrastructure!K$7)^2)</f>
        <v>17.86393014</v>
      </c>
      <c r="BA1771" s="331">
        <f>SQRT(($R1771-Infrastructure!J$8)^2+($S1771-Infrastructure!K$8)^2)</f>
        <v>9.620810777</v>
      </c>
      <c r="BB1771" s="331">
        <f>SQRT(($R1771-Infrastructure!J$9)^2+($S1771-Infrastructure!K$9)^2)</f>
        <v>3.413209633</v>
      </c>
      <c r="BC1771" s="331">
        <f>SQRT(($R1771-Infrastructure!J$10)^2+($S1771-Infrastructure!K$10)^2)</f>
        <v>8.603487665</v>
      </c>
      <c r="BD1771" s="331">
        <f>SQRT(($R1771-Infrastructure!J$11)^2+($S1771-Infrastructure!K$11)^2)</f>
        <v>22.31636171</v>
      </c>
      <c r="BE1771" s="333">
        <f>SQRT(($R1771-Infrastructure!J$12)^2+($S1771-Infrastructure!K$12)^2)</f>
        <v>51.04233537</v>
      </c>
      <c r="BF1771" s="330">
        <f t="shared" si="161"/>
        <v>3.413209633</v>
      </c>
      <c r="BG1771" s="333">
        <f t="shared" si="162"/>
        <v>51.04233537</v>
      </c>
      <c r="BH1771" s="1119"/>
      <c r="BI1771" s="319" t="str">
        <f t="shared" ref="BI1771:BR1771" si="392">IF(ISNUMBER(FIND(BI$3, $CO1771)), "Y", "")</f>
        <v>Y</v>
      </c>
      <c r="BJ1771" s="319" t="str">
        <f t="shared" si="392"/>
        <v/>
      </c>
      <c r="BK1771" s="319" t="str">
        <f t="shared" si="392"/>
        <v/>
      </c>
      <c r="BL1771" s="319" t="str">
        <f t="shared" si="392"/>
        <v>Y</v>
      </c>
      <c r="BM1771" s="319" t="str">
        <f t="shared" si="392"/>
        <v/>
      </c>
      <c r="BN1771" s="319" t="str">
        <f t="shared" si="392"/>
        <v>Y</v>
      </c>
      <c r="BO1771" s="319" t="str">
        <f t="shared" si="392"/>
        <v>Y</v>
      </c>
      <c r="BP1771" s="319" t="str">
        <f t="shared" si="392"/>
        <v/>
      </c>
      <c r="BQ1771" s="319" t="str">
        <f t="shared" si="392"/>
        <v/>
      </c>
      <c r="BR1771" s="319" t="str">
        <f t="shared" si="392"/>
        <v>Y</v>
      </c>
      <c r="BS1771" s="330">
        <f t="shared" si="185"/>
        <v>3.413209633</v>
      </c>
      <c r="BT1771" s="331">
        <f t="shared" si="170"/>
        <v>51.04233537</v>
      </c>
      <c r="BU1771" s="920">
        <v>0.45944444444444443</v>
      </c>
      <c r="BV1771" s="903">
        <f t="shared" si="186"/>
        <v>0.001111111111</v>
      </c>
      <c r="BW1771" s="908">
        <v>8.9</v>
      </c>
      <c r="BX1771" s="908">
        <v>29.9</v>
      </c>
      <c r="BY1771" s="331">
        <f t="shared" si="201"/>
        <v>36.39010855</v>
      </c>
      <c r="BZ1771" s="331"/>
      <c r="CA1771" s="462" t="str">
        <f t="shared" ref="CA1771:CJ1771" si="393">IF(ISNUMBER(FIND(BI$3, $CP1771)), "Y", "")</f>
        <v>Y</v>
      </c>
      <c r="CB1771" s="319" t="str">
        <f t="shared" si="393"/>
        <v>Y</v>
      </c>
      <c r="CC1771" s="319" t="str">
        <f t="shared" si="393"/>
        <v>Y</v>
      </c>
      <c r="CD1771" s="319" t="str">
        <f t="shared" si="393"/>
        <v>Y</v>
      </c>
      <c r="CE1771" s="319" t="str">
        <f t="shared" si="393"/>
        <v>Y</v>
      </c>
      <c r="CF1771" s="319" t="str">
        <f t="shared" si="393"/>
        <v>Y</v>
      </c>
      <c r="CG1771" s="319" t="str">
        <f t="shared" si="393"/>
        <v>Y</v>
      </c>
      <c r="CH1771" s="319" t="str">
        <f t="shared" si="393"/>
        <v/>
      </c>
      <c r="CI1771" s="319" t="str">
        <f t="shared" si="393"/>
        <v/>
      </c>
      <c r="CJ1771" s="319" t="str">
        <f t="shared" si="393"/>
        <v>Y</v>
      </c>
      <c r="CK1771" s="342">
        <f t="shared" si="182"/>
        <v>3.413209633</v>
      </c>
      <c r="CL1771" s="333">
        <f t="shared" si="183"/>
        <v>51.04233537</v>
      </c>
      <c r="CM1771" s="1079" t="s">
        <v>2614</v>
      </c>
      <c r="CN1771" s="1005" t="s">
        <v>2609</v>
      </c>
      <c r="CO1771" s="1005" t="s">
        <v>2615</v>
      </c>
      <c r="CP1771" s="1005" t="s">
        <v>2616</v>
      </c>
    </row>
    <row r="1772">
      <c r="A1772" s="266"/>
      <c r="B1772" s="1113" t="s">
        <v>2134</v>
      </c>
      <c r="C1772" s="1107">
        <v>45469.0</v>
      </c>
      <c r="D1772" s="1113" t="s">
        <v>986</v>
      </c>
      <c r="E1772" s="1108">
        <v>4.0</v>
      </c>
      <c r="F1772" s="112" t="s">
        <v>2617</v>
      </c>
      <c r="G1772" s="1110">
        <v>0.5438657407407408</v>
      </c>
      <c r="H1772" s="1110">
        <v>0.5446180555555555</v>
      </c>
      <c r="I1772" s="1110"/>
      <c r="J1772" s="1111"/>
      <c r="K1772" s="1111">
        <v>0.5771990740740741</v>
      </c>
      <c r="L1772" s="1112">
        <v>0.03194444444444444</v>
      </c>
      <c r="M1772" s="1113" t="s">
        <v>166</v>
      </c>
      <c r="N1772" s="110" t="s">
        <v>187</v>
      </c>
      <c r="O1772" s="1115" t="s">
        <v>204</v>
      </c>
      <c r="P1772" s="1115" t="s">
        <v>214</v>
      </c>
      <c r="Q1772" s="1116"/>
      <c r="R1772" s="120">
        <v>18.8</v>
      </c>
      <c r="S1772" s="1113">
        <v>4.0</v>
      </c>
      <c r="T1772" s="110">
        <v>2.5</v>
      </c>
      <c r="U1772" s="1108"/>
      <c r="V1772" s="1108"/>
      <c r="W1772" s="1108"/>
      <c r="X1772" s="1108"/>
      <c r="Y1772" s="1108"/>
      <c r="Z1772" s="1114" t="s">
        <v>365</v>
      </c>
      <c r="AA1772" s="1114"/>
      <c r="AB1772" s="1114" t="s">
        <v>384</v>
      </c>
      <c r="AC1772" s="1117">
        <v>6.0</v>
      </c>
      <c r="AD1772" s="1115"/>
      <c r="AE1772" s="1115"/>
      <c r="AF1772" s="1115"/>
      <c r="AG1772" s="1115"/>
      <c r="AH1772" s="1115"/>
      <c r="AI1772" s="1115"/>
      <c r="AJ1772" s="1117"/>
      <c r="AK1772" s="1118"/>
      <c r="AL1772" s="1115"/>
      <c r="AM1772" s="1115"/>
      <c r="AN1772" s="1115"/>
      <c r="AO1772" s="1115"/>
      <c r="AP1772" s="1115"/>
      <c r="AQ1772" s="1115"/>
      <c r="AR1772" s="1115"/>
      <c r="AS1772" s="1117"/>
      <c r="AT1772" s="1196"/>
      <c r="AU1772" s="1193"/>
      <c r="AV1772" s="330">
        <f>SQRT(($R1772-Infrastructure!J$3)^2+($S1772-Infrastructure!K$3)^2)</f>
        <v>31.38184188</v>
      </c>
      <c r="AW1772" s="331">
        <f>SQRT(($R1772-Infrastructure!J$4)^2+($S1772-Infrastructure!K$4)^2)</f>
        <v>23.56374334</v>
      </c>
      <c r="AX1772" s="331">
        <f>SQRT(($R1772-Infrastructure!J$5)^2+($S1772-Infrastructure!K$5)^2)</f>
        <v>19.13164917</v>
      </c>
      <c r="AY1772" s="331">
        <f>SQRT(($R1772-Infrastructure!J$6)^2+($S1772-Infrastructure!K$6)^2)</f>
        <v>9.45409964</v>
      </c>
      <c r="AZ1772" s="331">
        <f>SQRT(($R1772-Infrastructure!J$7)^2+($S1772-Infrastructure!K$7)^2)</f>
        <v>4.071854614</v>
      </c>
      <c r="BA1772" s="331">
        <f>SQRT(($R1772-Infrastructure!J$8)^2+($S1772-Infrastructure!K$8)^2)</f>
        <v>11.89033221</v>
      </c>
      <c r="BB1772" s="331">
        <f>SQRT(($R1772-Infrastructure!J$9)^2+($S1772-Infrastructure!K$9)^2)</f>
        <v>21.22851855</v>
      </c>
      <c r="BC1772" s="331">
        <f>SQRT(($R1772-Infrastructure!J$10)^2+($S1772-Infrastructure!K$10)^2)</f>
        <v>23.88388578</v>
      </c>
      <c r="BD1772" s="331">
        <f>SQRT(($R1772-Infrastructure!J$11)^2+($S1772-Infrastructure!K$11)^2)</f>
        <v>32.9083576</v>
      </c>
      <c r="BE1772" s="333">
        <f>SQRT(($R1772-Infrastructure!J$12)^2+($S1772-Infrastructure!K$12)^2)</f>
        <v>51.57072813</v>
      </c>
      <c r="BF1772" s="330">
        <f t="shared" si="161"/>
        <v>4.071854614</v>
      </c>
      <c r="BG1772" s="333">
        <f t="shared" si="162"/>
        <v>51.57072813</v>
      </c>
      <c r="BH1772" s="1119"/>
      <c r="BI1772" s="319" t="str">
        <f t="shared" ref="BI1772:BR1772" si="394">IF(ISNUMBER(FIND(BI$3, $CO1772)), "Y", "")</f>
        <v/>
      </c>
      <c r="BJ1772" s="319" t="str">
        <f t="shared" si="394"/>
        <v/>
      </c>
      <c r="BK1772" s="319" t="str">
        <f t="shared" si="394"/>
        <v>Y</v>
      </c>
      <c r="BL1772" s="319" t="str">
        <f t="shared" si="394"/>
        <v>Y</v>
      </c>
      <c r="BM1772" s="319" t="str">
        <f t="shared" si="394"/>
        <v>Y</v>
      </c>
      <c r="BN1772" s="319" t="str">
        <f t="shared" si="394"/>
        <v>Y</v>
      </c>
      <c r="BO1772" s="319" t="str">
        <f t="shared" si="394"/>
        <v>Y</v>
      </c>
      <c r="BP1772" s="319" t="str">
        <f t="shared" si="394"/>
        <v/>
      </c>
      <c r="BQ1772" s="319" t="str">
        <f t="shared" si="394"/>
        <v/>
      </c>
      <c r="BR1772" s="319" t="str">
        <f t="shared" si="394"/>
        <v/>
      </c>
      <c r="BS1772" s="330">
        <f t="shared" si="185"/>
        <v>4.071854614</v>
      </c>
      <c r="BT1772" s="331">
        <f t="shared" si="170"/>
        <v>21.22851855</v>
      </c>
      <c r="BU1772" s="920">
        <v>0.5452546296296297</v>
      </c>
      <c r="BV1772" s="903">
        <f t="shared" si="186"/>
        <v>0.001388888889</v>
      </c>
      <c r="BW1772" s="908">
        <v>15.2</v>
      </c>
      <c r="BX1772" s="908">
        <v>29.4</v>
      </c>
      <c r="BY1772" s="331">
        <f t="shared" si="201"/>
        <v>25.65384961</v>
      </c>
      <c r="BZ1772" s="331"/>
      <c r="CA1772" s="462" t="str">
        <f t="shared" ref="CA1772:CJ1772" si="395">IF(ISNUMBER(FIND(BI$3, $CP1772)), "Y", "")</f>
        <v>Y</v>
      </c>
      <c r="CB1772" s="319" t="str">
        <f t="shared" si="395"/>
        <v>Y</v>
      </c>
      <c r="CC1772" s="319" t="str">
        <f t="shared" si="395"/>
        <v>Y</v>
      </c>
      <c r="CD1772" s="319" t="str">
        <f t="shared" si="395"/>
        <v>Y</v>
      </c>
      <c r="CE1772" s="319" t="str">
        <f t="shared" si="395"/>
        <v>Y</v>
      </c>
      <c r="CF1772" s="319" t="str">
        <f t="shared" si="395"/>
        <v>Y</v>
      </c>
      <c r="CG1772" s="319" t="str">
        <f t="shared" si="395"/>
        <v>Y</v>
      </c>
      <c r="CH1772" s="319" t="str">
        <f t="shared" si="395"/>
        <v/>
      </c>
      <c r="CI1772" s="319" t="str">
        <f t="shared" si="395"/>
        <v/>
      </c>
      <c r="CJ1772" s="319" t="str">
        <f t="shared" si="395"/>
        <v>Y</v>
      </c>
      <c r="CK1772" s="342">
        <f t="shared" si="182"/>
        <v>4.071854614</v>
      </c>
      <c r="CL1772" s="333">
        <f t="shared" si="183"/>
        <v>51.57072813</v>
      </c>
      <c r="CM1772" s="1079" t="s">
        <v>2418</v>
      </c>
      <c r="CN1772" s="1005" t="s">
        <v>2618</v>
      </c>
      <c r="CO1772" s="1005" t="s">
        <v>2619</v>
      </c>
      <c r="CP1772" s="1005" t="s">
        <v>2616</v>
      </c>
    </row>
    <row r="1773">
      <c r="A1773" s="266"/>
      <c r="B1773" s="1113" t="s">
        <v>2134</v>
      </c>
      <c r="C1773" s="1107">
        <v>45469.0</v>
      </c>
      <c r="D1773" s="1113" t="s">
        <v>986</v>
      </c>
      <c r="E1773" s="1108">
        <v>5.0</v>
      </c>
      <c r="F1773" s="112" t="s">
        <v>2620</v>
      </c>
      <c r="G1773" s="1110">
        <v>0.5833333333333334</v>
      </c>
      <c r="H1773" s="1110">
        <v>0.5840277777777778</v>
      </c>
      <c r="I1773" s="1110"/>
      <c r="J1773" s="1111"/>
      <c r="K1773" s="1111">
        <v>0.6196759259259259</v>
      </c>
      <c r="L1773" s="1112">
        <v>0.035416666666666666</v>
      </c>
      <c r="M1773" s="1113" t="s">
        <v>166</v>
      </c>
      <c r="N1773" s="110" t="s">
        <v>187</v>
      </c>
      <c r="O1773" s="1115" t="s">
        <v>200</v>
      </c>
      <c r="P1773" s="1115" t="s">
        <v>272</v>
      </c>
      <c r="Q1773" s="1116"/>
      <c r="R1773" s="120">
        <v>8.8</v>
      </c>
      <c r="S1773" s="1113">
        <v>7.8</v>
      </c>
      <c r="T1773" s="110">
        <v>0.63</v>
      </c>
      <c r="U1773" s="1108"/>
      <c r="V1773" s="1108"/>
      <c r="W1773" s="1108"/>
      <c r="X1773" s="1108"/>
      <c r="Y1773" s="1108"/>
      <c r="Z1773" s="1114" t="s">
        <v>1690</v>
      </c>
      <c r="AA1773" s="1114"/>
      <c r="AB1773" s="1114" t="s">
        <v>371</v>
      </c>
      <c r="AC1773" s="1117">
        <v>1.8</v>
      </c>
      <c r="AD1773" s="1115"/>
      <c r="AE1773" s="1115"/>
      <c r="AF1773" s="1115"/>
      <c r="AG1773" s="1115"/>
      <c r="AH1773" s="1115"/>
      <c r="AI1773" s="1115"/>
      <c r="AJ1773" s="1117"/>
      <c r="AK1773" s="1118"/>
      <c r="AL1773" s="1115"/>
      <c r="AM1773" s="1115"/>
      <c r="AN1773" s="1115"/>
      <c r="AO1773" s="1115"/>
      <c r="AP1773" s="1115"/>
      <c r="AQ1773" s="1115"/>
      <c r="AR1773" s="1115"/>
      <c r="AS1773" s="1117"/>
      <c r="AT1773" s="1196"/>
      <c r="AU1773" s="1193"/>
      <c r="AV1773" s="330">
        <f>SQRT(($R1773-Infrastructure!J$3)^2+($S1773-Infrastructure!K$3)^2)</f>
        <v>22.97868578</v>
      </c>
      <c r="AW1773" s="331">
        <f>SQRT(($R1773-Infrastructure!J$4)^2+($S1773-Infrastructure!K$4)^2)</f>
        <v>13.52072483</v>
      </c>
      <c r="AX1773" s="331">
        <f>SQRT(($R1773-Infrastructure!J$5)^2+($S1773-Infrastructure!K$5)^2)</f>
        <v>9.49210198</v>
      </c>
      <c r="AY1773" s="331">
        <f>SQRT(($R1773-Infrastructure!J$6)^2+($S1773-Infrastructure!K$6)^2)</f>
        <v>7.611832894</v>
      </c>
      <c r="AZ1773" s="331">
        <f>SQRT(($R1773-Infrastructure!J$7)^2+($S1773-Infrastructure!K$7)^2)</f>
        <v>13.89748179</v>
      </c>
      <c r="BA1773" s="331">
        <f>SQRT(($R1773-Infrastructure!J$8)^2+($S1773-Infrastructure!K$8)^2)</f>
        <v>22.58185112</v>
      </c>
      <c r="BB1773" s="331">
        <f>SQRT(($R1773-Infrastructure!J$9)^2+($S1773-Infrastructure!K$9)^2)</f>
        <v>31.31660901</v>
      </c>
      <c r="BC1773" s="331">
        <f>SQRT(($R1773-Infrastructure!J$10)^2+($S1773-Infrastructure!K$10)^2)</f>
        <v>32.01999375</v>
      </c>
      <c r="BD1773" s="331">
        <f>SQRT(($R1773-Infrastructure!J$11)^2+($S1773-Infrastructure!K$11)^2)</f>
        <v>37.88667312</v>
      </c>
      <c r="BE1773" s="333">
        <f>SQRT(($R1773-Infrastructure!J$12)^2+($S1773-Infrastructure!K$12)^2)</f>
        <v>49.36172606</v>
      </c>
      <c r="BF1773" s="330">
        <f t="shared" si="161"/>
        <v>7.611832894</v>
      </c>
      <c r="BG1773" s="333">
        <f t="shared" si="162"/>
        <v>49.36172606</v>
      </c>
      <c r="BH1773" s="1119"/>
      <c r="BI1773" s="319" t="str">
        <f t="shared" ref="BI1773:BR1773" si="396">IF(ISNUMBER(FIND(BI$3, $CO1773)), "Y", "")</f>
        <v/>
      </c>
      <c r="BJ1773" s="319" t="str">
        <f t="shared" si="396"/>
        <v/>
      </c>
      <c r="BK1773" s="319" t="str">
        <f t="shared" si="396"/>
        <v>Y</v>
      </c>
      <c r="BL1773" s="319" t="str">
        <f t="shared" si="396"/>
        <v>Y</v>
      </c>
      <c r="BM1773" s="319" t="str">
        <f t="shared" si="396"/>
        <v>Y</v>
      </c>
      <c r="BN1773" s="319" t="str">
        <f t="shared" si="396"/>
        <v>Y</v>
      </c>
      <c r="BO1773" s="319" t="str">
        <f t="shared" si="396"/>
        <v/>
      </c>
      <c r="BP1773" s="319" t="str">
        <f t="shared" si="396"/>
        <v/>
      </c>
      <c r="BQ1773" s="319" t="str">
        <f t="shared" si="396"/>
        <v/>
      </c>
      <c r="BR1773" s="319" t="str">
        <f t="shared" si="396"/>
        <v/>
      </c>
      <c r="BS1773" s="330">
        <f t="shared" si="185"/>
        <v>7.611832894</v>
      </c>
      <c r="BT1773" s="331">
        <f t="shared" si="170"/>
        <v>22.58185112</v>
      </c>
      <c r="BU1773" s="920">
        <v>0.5933449074074074</v>
      </c>
      <c r="BV1773" s="903">
        <f t="shared" si="186"/>
        <v>0.01001157407</v>
      </c>
      <c r="BW1773" s="908">
        <v>4.9</v>
      </c>
      <c r="BX1773" s="908">
        <v>25.0</v>
      </c>
      <c r="BY1773" s="331">
        <f t="shared" si="201"/>
        <v>17.63660965</v>
      </c>
      <c r="BZ1773" s="331"/>
      <c r="CA1773" s="462" t="str">
        <f t="shared" ref="CA1773:CJ1773" si="397">IF(ISNUMBER(FIND(BI$3, $CP1773)), "Y", "")</f>
        <v>Y</v>
      </c>
      <c r="CB1773" s="319" t="str">
        <f t="shared" si="397"/>
        <v>Y</v>
      </c>
      <c r="CC1773" s="319" t="str">
        <f t="shared" si="397"/>
        <v>Y</v>
      </c>
      <c r="CD1773" s="319" t="str">
        <f t="shared" si="397"/>
        <v>Y</v>
      </c>
      <c r="CE1773" s="319" t="str">
        <f t="shared" si="397"/>
        <v>Y</v>
      </c>
      <c r="CF1773" s="319" t="str">
        <f t="shared" si="397"/>
        <v>Y</v>
      </c>
      <c r="CG1773" s="319" t="str">
        <f t="shared" si="397"/>
        <v/>
      </c>
      <c r="CH1773" s="319" t="str">
        <f t="shared" si="397"/>
        <v/>
      </c>
      <c r="CI1773" s="319" t="str">
        <f t="shared" si="397"/>
        <v/>
      </c>
      <c r="CJ1773" s="319" t="str">
        <f t="shared" si="397"/>
        <v>Y</v>
      </c>
      <c r="CK1773" s="342">
        <f t="shared" si="182"/>
        <v>7.611832894</v>
      </c>
      <c r="CL1773" s="333">
        <f t="shared" si="183"/>
        <v>49.36172606</v>
      </c>
      <c r="CM1773" s="1079" t="s">
        <v>2495</v>
      </c>
      <c r="CN1773" s="1005" t="s">
        <v>2618</v>
      </c>
      <c r="CO1773" s="1005" t="s">
        <v>2621</v>
      </c>
      <c r="CP1773" s="1005" t="s">
        <v>2612</v>
      </c>
    </row>
    <row r="1774">
      <c r="A1774" s="266"/>
      <c r="B1774" s="1113" t="s">
        <v>2134</v>
      </c>
      <c r="C1774" s="1107">
        <v>45469.0</v>
      </c>
      <c r="D1774" s="1113" t="s">
        <v>986</v>
      </c>
      <c r="E1774" s="1108">
        <v>6.0</v>
      </c>
      <c r="F1774" s="112" t="s">
        <v>2622</v>
      </c>
      <c r="G1774" s="1110">
        <v>0.6259259259259259</v>
      </c>
      <c r="H1774" s="1110">
        <v>0.6263888888888889</v>
      </c>
      <c r="I1774" s="1110"/>
      <c r="J1774" s="1111"/>
      <c r="K1774" s="1111">
        <v>0.659375</v>
      </c>
      <c r="L1774" s="1112">
        <v>0.03263888888888889</v>
      </c>
      <c r="M1774" s="1113" t="s">
        <v>166</v>
      </c>
      <c r="N1774" s="110" t="s">
        <v>188</v>
      </c>
      <c r="O1774" s="1115" t="s">
        <v>378</v>
      </c>
      <c r="P1774" s="1115" t="s">
        <v>225</v>
      </c>
      <c r="Q1774" s="1115" t="s">
        <v>842</v>
      </c>
      <c r="R1774" s="120">
        <v>22.7</v>
      </c>
      <c r="S1774" s="1113">
        <v>39.7</v>
      </c>
      <c r="T1774" s="110">
        <v>1.1</v>
      </c>
      <c r="U1774" s="1108"/>
      <c r="V1774" s="1108"/>
      <c r="W1774" s="1108"/>
      <c r="X1774" s="1108"/>
      <c r="Y1774" s="1108"/>
      <c r="Z1774" s="1114" t="s">
        <v>1140</v>
      </c>
      <c r="AA1774" s="1114"/>
      <c r="AB1774" s="1114" t="s">
        <v>410</v>
      </c>
      <c r="AC1774" s="1117">
        <v>22.1</v>
      </c>
      <c r="AD1774" s="1115"/>
      <c r="AE1774" s="1115"/>
      <c r="AF1774" s="1115"/>
      <c r="AG1774" s="1115"/>
      <c r="AH1774" s="1115"/>
      <c r="AI1774" s="1115"/>
      <c r="AJ1774" s="1117"/>
      <c r="AK1774" s="1118"/>
      <c r="AL1774" s="1115"/>
      <c r="AM1774" s="1115"/>
      <c r="AN1774" s="1115"/>
      <c r="AO1774" s="1115"/>
      <c r="AP1774" s="1115"/>
      <c r="AQ1774" s="1115"/>
      <c r="AR1774" s="1115"/>
      <c r="AS1774" s="1117"/>
      <c r="AT1774" s="1196"/>
      <c r="AU1774" s="1193"/>
      <c r="AV1774" s="330">
        <f>SQRT(($R1774-Infrastructure!J$3)^2+($S1774-Infrastructure!K$3)^2)</f>
        <v>25.40944706</v>
      </c>
      <c r="AW1774" s="331">
        <f>SQRT(($R1774-Infrastructure!J$4)^2+($S1774-Infrastructure!K$4)^2)</f>
        <v>31.75862088</v>
      </c>
      <c r="AX1774" s="331">
        <f>SQRT(($R1774-Infrastructure!J$5)^2+($S1774-Infrastructure!K$5)^2)</f>
        <v>41.54708173</v>
      </c>
      <c r="AY1774" s="331">
        <f>SQRT(($R1774-Infrastructure!J$6)^2+($S1774-Infrastructure!K$6)^2)</f>
        <v>41.36568626</v>
      </c>
      <c r="AZ1774" s="331">
        <f>SQRT(($R1774-Infrastructure!J$7)^2+($S1774-Infrastructure!K$7)^2)</f>
        <v>39.46137352</v>
      </c>
      <c r="BA1774" s="331">
        <f>SQRT(($R1774-Infrastructure!J$8)^2+($S1774-Infrastructure!K$8)^2)</f>
        <v>40.08890121</v>
      </c>
      <c r="BB1774" s="331">
        <f>SQRT(($R1774-Infrastructure!J$9)^2+($S1774-Infrastructure!K$9)^2)</f>
        <v>38.68397601</v>
      </c>
      <c r="BC1774" s="331">
        <f>SQRT(($R1774-Infrastructure!J$10)^2+($S1774-Infrastructure!K$10)^2)</f>
        <v>30.15592811</v>
      </c>
      <c r="BD1774" s="331">
        <f>SQRT(($R1774-Infrastructure!J$11)^2+($S1774-Infrastructure!K$11)^2)</f>
        <v>20.51194774</v>
      </c>
      <c r="BE1774" s="333">
        <f>SQRT(($R1774-Infrastructure!J$12)^2+($S1774-Infrastructure!K$12)^2)</f>
        <v>15.84550409</v>
      </c>
      <c r="BF1774" s="330">
        <f t="shared" si="161"/>
        <v>15.84550409</v>
      </c>
      <c r="BG1774" s="333">
        <f t="shared" si="162"/>
        <v>41.54708173</v>
      </c>
      <c r="BH1774" s="1119"/>
      <c r="BI1774" s="319" t="str">
        <f t="shared" ref="BI1774:BR1774" si="398">IF(ISNUMBER(FIND(BI$3, $CO1774)), "Y", "")</f>
        <v/>
      </c>
      <c r="BJ1774" s="319" t="str">
        <f t="shared" si="398"/>
        <v/>
      </c>
      <c r="BK1774" s="319" t="str">
        <f t="shared" si="398"/>
        <v/>
      </c>
      <c r="BL1774" s="319" t="str">
        <f t="shared" si="398"/>
        <v>Y</v>
      </c>
      <c r="BM1774" s="319" t="str">
        <f t="shared" si="398"/>
        <v>Y</v>
      </c>
      <c r="BN1774" s="319" t="str">
        <f t="shared" si="398"/>
        <v>Y</v>
      </c>
      <c r="BO1774" s="319" t="str">
        <f t="shared" si="398"/>
        <v>Y</v>
      </c>
      <c r="BP1774" s="319" t="str">
        <f t="shared" si="398"/>
        <v/>
      </c>
      <c r="BQ1774" s="319" t="str">
        <f t="shared" si="398"/>
        <v/>
      </c>
      <c r="BR1774" s="319" t="str">
        <f t="shared" si="398"/>
        <v/>
      </c>
      <c r="BS1774" s="330">
        <f t="shared" si="185"/>
        <v>38.68397601</v>
      </c>
      <c r="BT1774" s="331">
        <f t="shared" si="170"/>
        <v>41.36568626</v>
      </c>
      <c r="BU1774" s="920">
        <v>0.6303587962962963</v>
      </c>
      <c r="BV1774" s="903">
        <f t="shared" si="186"/>
        <v>0.00443287037</v>
      </c>
      <c r="BW1774" s="908">
        <v>16.4</v>
      </c>
      <c r="BX1774" s="908">
        <v>31.6</v>
      </c>
      <c r="BY1774" s="331">
        <f t="shared" si="201"/>
        <v>10.26157883</v>
      </c>
      <c r="BZ1774" s="331"/>
      <c r="CA1774" s="462" t="str">
        <f t="shared" ref="CA1774:CJ1774" si="399">IF(ISNUMBER(FIND(BI$3, $CP1774)), "Y", "")</f>
        <v>Y</v>
      </c>
      <c r="CB1774" s="319" t="str">
        <f t="shared" si="399"/>
        <v>Y</v>
      </c>
      <c r="CC1774" s="319" t="str">
        <f t="shared" si="399"/>
        <v>Y</v>
      </c>
      <c r="CD1774" s="319" t="str">
        <f t="shared" si="399"/>
        <v>Y</v>
      </c>
      <c r="CE1774" s="319" t="str">
        <f t="shared" si="399"/>
        <v>Y</v>
      </c>
      <c r="CF1774" s="319" t="str">
        <f t="shared" si="399"/>
        <v>Y</v>
      </c>
      <c r="CG1774" s="319" t="str">
        <f t="shared" si="399"/>
        <v>Y</v>
      </c>
      <c r="CH1774" s="319" t="str">
        <f t="shared" si="399"/>
        <v/>
      </c>
      <c r="CI1774" s="319" t="str">
        <f t="shared" si="399"/>
        <v>Y</v>
      </c>
      <c r="CJ1774" s="319" t="str">
        <f t="shared" si="399"/>
        <v>Y</v>
      </c>
      <c r="CK1774" s="342">
        <f t="shared" si="182"/>
        <v>15.84550409</v>
      </c>
      <c r="CL1774" s="333">
        <f t="shared" si="183"/>
        <v>41.54708173</v>
      </c>
      <c r="CM1774" s="1079" t="s">
        <v>2623</v>
      </c>
      <c r="CN1774" s="1005" t="s">
        <v>2618</v>
      </c>
      <c r="CO1774" s="1005" t="s">
        <v>2443</v>
      </c>
      <c r="CP1774" s="1005" t="s">
        <v>2400</v>
      </c>
    </row>
    <row r="1775">
      <c r="A1775" s="1258"/>
      <c r="B1775" s="1113" t="s">
        <v>2134</v>
      </c>
      <c r="C1775" s="1107">
        <v>45469.0</v>
      </c>
      <c r="D1775" s="1113" t="s">
        <v>986</v>
      </c>
      <c r="E1775" s="1108">
        <v>7.0</v>
      </c>
      <c r="F1775" s="112" t="s">
        <v>2624</v>
      </c>
      <c r="G1775" s="1110">
        <v>0.66875</v>
      </c>
      <c r="H1775" s="1110">
        <v>0.6694444444444444</v>
      </c>
      <c r="I1775" s="1110"/>
      <c r="J1775" s="1111"/>
      <c r="K1775" s="1111">
        <v>0.7013888888888888</v>
      </c>
      <c r="L1775" s="1112">
        <v>0.03194444444444444</v>
      </c>
      <c r="M1775" s="1113" t="s">
        <v>166</v>
      </c>
      <c r="N1775" s="110" t="s">
        <v>188</v>
      </c>
      <c r="O1775" s="1115" t="s">
        <v>378</v>
      </c>
      <c r="P1775" s="1115" t="s">
        <v>217</v>
      </c>
      <c r="Q1775" s="1115" t="s">
        <v>842</v>
      </c>
      <c r="R1775" s="120">
        <v>22.7</v>
      </c>
      <c r="S1775" s="1113">
        <v>39.7</v>
      </c>
      <c r="T1775" s="110">
        <v>1.8</v>
      </c>
      <c r="U1775" s="1108"/>
      <c r="V1775" s="1108"/>
      <c r="W1775" s="1108"/>
      <c r="X1775" s="1108"/>
      <c r="Y1775" s="1108"/>
      <c r="Z1775" s="1114" t="s">
        <v>1140</v>
      </c>
      <c r="AA1775" s="1114"/>
      <c r="AB1775" s="1114" t="s">
        <v>403</v>
      </c>
      <c r="AC1775" s="1117">
        <v>8.0</v>
      </c>
      <c r="AD1775" s="1115"/>
      <c r="AE1775" s="1115"/>
      <c r="AF1775" s="1115"/>
      <c r="AG1775" s="1115"/>
      <c r="AH1775" s="1115"/>
      <c r="AI1775" s="1115"/>
      <c r="AJ1775" s="1117"/>
      <c r="AK1775" s="1118"/>
      <c r="AL1775" s="1115"/>
      <c r="AM1775" s="1115"/>
      <c r="AN1775" s="1115"/>
      <c r="AO1775" s="1115"/>
      <c r="AP1775" s="1115"/>
      <c r="AQ1775" s="1115"/>
      <c r="AR1775" s="1115"/>
      <c r="AS1775" s="1117"/>
      <c r="AT1775" s="1197"/>
      <c r="AU1775" s="1193"/>
      <c r="AV1775" s="330">
        <f>SQRT(($R1775-Infrastructure!J$3)^2+($S1775-Infrastructure!K$3)^2)</f>
        <v>25.40944706</v>
      </c>
      <c r="AW1775" s="331">
        <f>SQRT(($R1775-Infrastructure!J$4)^2+($S1775-Infrastructure!K$4)^2)</f>
        <v>31.75862088</v>
      </c>
      <c r="AX1775" s="331">
        <f>SQRT(($R1775-Infrastructure!J$5)^2+($S1775-Infrastructure!K$5)^2)</f>
        <v>41.54708173</v>
      </c>
      <c r="AY1775" s="331">
        <f>SQRT(($R1775-Infrastructure!J$6)^2+($S1775-Infrastructure!K$6)^2)</f>
        <v>41.36568626</v>
      </c>
      <c r="AZ1775" s="331">
        <f>SQRT(($R1775-Infrastructure!J$7)^2+($S1775-Infrastructure!K$7)^2)</f>
        <v>39.46137352</v>
      </c>
      <c r="BA1775" s="331">
        <f>SQRT(($R1775-Infrastructure!J$8)^2+($S1775-Infrastructure!K$8)^2)</f>
        <v>40.08890121</v>
      </c>
      <c r="BB1775" s="331">
        <f>SQRT(($R1775-Infrastructure!J$9)^2+($S1775-Infrastructure!K$9)^2)</f>
        <v>38.68397601</v>
      </c>
      <c r="BC1775" s="331">
        <f>SQRT(($R1775-Infrastructure!J$10)^2+($S1775-Infrastructure!K$10)^2)</f>
        <v>30.15592811</v>
      </c>
      <c r="BD1775" s="331">
        <f>SQRT(($R1775-Infrastructure!J$11)^2+($S1775-Infrastructure!K$11)^2)</f>
        <v>20.51194774</v>
      </c>
      <c r="BE1775" s="333">
        <f>SQRT(($R1775-Infrastructure!J$12)^2+($S1775-Infrastructure!K$12)^2)</f>
        <v>15.84550409</v>
      </c>
      <c r="BF1775" s="330">
        <f t="shared" si="161"/>
        <v>15.84550409</v>
      </c>
      <c r="BG1775" s="333">
        <f t="shared" si="162"/>
        <v>41.54708173</v>
      </c>
      <c r="BH1775" s="1119"/>
      <c r="BI1775" s="319" t="str">
        <f t="shared" ref="BI1775:BR1775" si="400">IF(ISNUMBER(FIND(BI$3, $CO1775)), "Y", "")</f>
        <v>Y</v>
      </c>
      <c r="BJ1775" s="319" t="str">
        <f t="shared" si="400"/>
        <v/>
      </c>
      <c r="BK1775" s="319" t="str">
        <f t="shared" si="400"/>
        <v>Y</v>
      </c>
      <c r="BL1775" s="319" t="str">
        <f t="shared" si="400"/>
        <v/>
      </c>
      <c r="BM1775" s="319" t="str">
        <f t="shared" si="400"/>
        <v/>
      </c>
      <c r="BN1775" s="319" t="str">
        <f t="shared" si="400"/>
        <v/>
      </c>
      <c r="BO1775" s="319" t="str">
        <f t="shared" si="400"/>
        <v/>
      </c>
      <c r="BP1775" s="319" t="str">
        <f t="shared" si="400"/>
        <v/>
      </c>
      <c r="BQ1775" s="319" t="str">
        <f t="shared" si="400"/>
        <v>Y</v>
      </c>
      <c r="BR1775" s="319" t="str">
        <f t="shared" si="400"/>
        <v>Y</v>
      </c>
      <c r="BS1775" s="330">
        <f t="shared" si="185"/>
        <v>15.84550409</v>
      </c>
      <c r="BT1775" s="331">
        <f t="shared" si="170"/>
        <v>41.54708173</v>
      </c>
      <c r="BU1775" s="920">
        <v>0.6693287037037037</v>
      </c>
      <c r="BV1775" s="930">
        <f t="shared" si="186"/>
        <v>0.0005787037037</v>
      </c>
      <c r="BW1775" s="908">
        <v>14.2</v>
      </c>
      <c r="BX1775" s="908">
        <v>38.3</v>
      </c>
      <c r="BY1775" s="331">
        <f t="shared" si="201"/>
        <v>8.614522622</v>
      </c>
      <c r="BZ1775" s="331"/>
      <c r="CA1775" s="462" t="str">
        <f t="shared" ref="CA1775:CJ1775" si="401">IF(ISNUMBER(FIND(BI$3, $CP1775)), "Y", "")</f>
        <v>Y</v>
      </c>
      <c r="CB1775" s="319" t="str">
        <f t="shared" si="401"/>
        <v>Y</v>
      </c>
      <c r="CC1775" s="319" t="str">
        <f t="shared" si="401"/>
        <v>Y</v>
      </c>
      <c r="CD1775" s="319" t="str">
        <f t="shared" si="401"/>
        <v>Y</v>
      </c>
      <c r="CE1775" s="319" t="str">
        <f t="shared" si="401"/>
        <v>Y</v>
      </c>
      <c r="CF1775" s="319" t="str">
        <f t="shared" si="401"/>
        <v>Y</v>
      </c>
      <c r="CG1775" s="319" t="str">
        <f t="shared" si="401"/>
        <v>Y</v>
      </c>
      <c r="CH1775" s="319" t="str">
        <f t="shared" si="401"/>
        <v/>
      </c>
      <c r="CI1775" s="319" t="str">
        <f t="shared" si="401"/>
        <v>Y</v>
      </c>
      <c r="CJ1775" s="319" t="str">
        <f t="shared" si="401"/>
        <v>Y</v>
      </c>
      <c r="CK1775" s="342">
        <f t="shared" si="182"/>
        <v>15.84550409</v>
      </c>
      <c r="CL1775" s="333">
        <f t="shared" si="183"/>
        <v>41.54708173</v>
      </c>
      <c r="CM1775" s="1079" t="s">
        <v>2625</v>
      </c>
      <c r="CN1775" s="1005" t="s">
        <v>2618</v>
      </c>
      <c r="CO1775" s="1005" t="s">
        <v>2531</v>
      </c>
      <c r="CP1775" s="1005" t="s">
        <v>2400</v>
      </c>
    </row>
    <row r="1776">
      <c r="A1776" s="1259" t="s">
        <v>106</v>
      </c>
      <c r="B1776" s="1099" t="s">
        <v>2134</v>
      </c>
      <c r="C1776" s="1092">
        <v>45470.0</v>
      </c>
      <c r="D1776" s="1099" t="s">
        <v>986</v>
      </c>
      <c r="E1776" s="1094">
        <v>1.0</v>
      </c>
      <c r="F1776" s="1179" t="s">
        <v>2626</v>
      </c>
      <c r="G1776" s="1096">
        <v>0.37222222222222223</v>
      </c>
      <c r="H1776" s="1096">
        <v>0.37274305555555554</v>
      </c>
      <c r="I1776" s="1096"/>
      <c r="J1776" s="1097"/>
      <c r="K1776" s="1097">
        <v>0.40555555555555556</v>
      </c>
      <c r="L1776" s="1098">
        <v>0.03263888888888889</v>
      </c>
      <c r="M1776" s="1099" t="s">
        <v>166</v>
      </c>
      <c r="N1776" s="129" t="s">
        <v>188</v>
      </c>
      <c r="O1776" s="1101" t="s">
        <v>378</v>
      </c>
      <c r="P1776" s="1101" t="s">
        <v>225</v>
      </c>
      <c r="Q1776" s="1101" t="s">
        <v>842</v>
      </c>
      <c r="R1776" s="132">
        <v>22.7</v>
      </c>
      <c r="S1776" s="1099">
        <v>39.7</v>
      </c>
      <c r="T1776" s="129">
        <v>1.1</v>
      </c>
      <c r="U1776" s="1094"/>
      <c r="V1776" s="1094"/>
      <c r="W1776" s="1094"/>
      <c r="X1776" s="1094"/>
      <c r="Y1776" s="1094"/>
      <c r="Z1776" s="1100" t="s">
        <v>1140</v>
      </c>
      <c r="AA1776" s="1100"/>
      <c r="AB1776" s="1100" t="s">
        <v>410</v>
      </c>
      <c r="AC1776" s="1102">
        <v>22.1</v>
      </c>
      <c r="AD1776" s="1115"/>
      <c r="AE1776" s="1115"/>
      <c r="AF1776" s="1115"/>
      <c r="AG1776" s="1115"/>
      <c r="AH1776" s="1115"/>
      <c r="AI1776" s="1115"/>
      <c r="AJ1776" s="1117"/>
      <c r="AK1776" s="1118"/>
      <c r="AL1776" s="1115"/>
      <c r="AM1776" s="1115"/>
      <c r="AN1776" s="1115"/>
      <c r="AO1776" s="1115"/>
      <c r="AP1776" s="1115"/>
      <c r="AQ1776" s="1115"/>
      <c r="AR1776" s="1115"/>
      <c r="AS1776" s="1117"/>
      <c r="AT1776" s="1196"/>
      <c r="AU1776" s="1195"/>
      <c r="AV1776" s="405">
        <f>SQRT(($R1776-Infrastructure!J$3)^2+($S1776-Infrastructure!K$3)^2)</f>
        <v>25.40944706</v>
      </c>
      <c r="AW1776" s="406">
        <f>SQRT(($R1776-Infrastructure!J$4)^2+($S1776-Infrastructure!K$4)^2)</f>
        <v>31.75862088</v>
      </c>
      <c r="AX1776" s="406">
        <f>SQRT(($R1776-Infrastructure!J$5)^2+($S1776-Infrastructure!K$5)^2)</f>
        <v>41.54708173</v>
      </c>
      <c r="AY1776" s="406">
        <f>SQRT(($R1776-Infrastructure!J$6)^2+($S1776-Infrastructure!K$6)^2)</f>
        <v>41.36568626</v>
      </c>
      <c r="AZ1776" s="406">
        <f>SQRT(($R1776-Infrastructure!J$7)^2+($S1776-Infrastructure!K$7)^2)</f>
        <v>39.46137352</v>
      </c>
      <c r="BA1776" s="406">
        <f>SQRT(($R1776-Infrastructure!J$8)^2+($S1776-Infrastructure!K$8)^2)</f>
        <v>40.08890121</v>
      </c>
      <c r="BB1776" s="406">
        <f>SQRT(($R1776-Infrastructure!J$9)^2+($S1776-Infrastructure!K$9)^2)</f>
        <v>38.68397601</v>
      </c>
      <c r="BC1776" s="406">
        <f>SQRT(($R1776-Infrastructure!J$10)^2+($S1776-Infrastructure!K$10)^2)</f>
        <v>30.15592811</v>
      </c>
      <c r="BD1776" s="406">
        <f>SQRT(($R1776-Infrastructure!J$11)^2+($S1776-Infrastructure!K$11)^2)</f>
        <v>20.51194774</v>
      </c>
      <c r="BE1776" s="408">
        <f>SQRT(($R1776-Infrastructure!J$12)^2+($S1776-Infrastructure!K$12)^2)</f>
        <v>15.84550409</v>
      </c>
      <c r="BF1776" s="405">
        <f t="shared" si="161"/>
        <v>15.84550409</v>
      </c>
      <c r="BG1776" s="408">
        <f t="shared" si="162"/>
        <v>41.54708173</v>
      </c>
      <c r="BH1776" s="1105"/>
      <c r="BI1776" s="393" t="str">
        <f t="shared" ref="BI1776:BR1776" si="402">IF(ISNUMBER(FIND(BI$3, $CO1776)), "Y", "")</f>
        <v>Y</v>
      </c>
      <c r="BJ1776" s="393" t="str">
        <f t="shared" si="402"/>
        <v/>
      </c>
      <c r="BK1776" s="393" t="str">
        <f t="shared" si="402"/>
        <v/>
      </c>
      <c r="BL1776" s="393" t="str">
        <f t="shared" si="402"/>
        <v>Y</v>
      </c>
      <c r="BM1776" s="393" t="str">
        <f t="shared" si="402"/>
        <v>Y</v>
      </c>
      <c r="BN1776" s="393" t="str">
        <f t="shared" si="402"/>
        <v>Y</v>
      </c>
      <c r="BO1776" s="393" t="str">
        <f t="shared" si="402"/>
        <v>Y</v>
      </c>
      <c r="BP1776" s="393" t="str">
        <f t="shared" si="402"/>
        <v/>
      </c>
      <c r="BQ1776" s="393" t="str">
        <f t="shared" si="402"/>
        <v>Y</v>
      </c>
      <c r="BR1776" s="393" t="str">
        <f t="shared" si="402"/>
        <v>Y</v>
      </c>
      <c r="BS1776" s="405">
        <f t="shared" si="185"/>
        <v>15.84550409</v>
      </c>
      <c r="BT1776" s="406">
        <f t="shared" si="170"/>
        <v>41.36568626</v>
      </c>
      <c r="BU1776" s="931">
        <v>0.3728472222222222</v>
      </c>
      <c r="BV1776" s="903">
        <f t="shared" si="186"/>
        <v>0.000625</v>
      </c>
      <c r="BW1776" s="926">
        <v>17.2</v>
      </c>
      <c r="BX1776" s="926">
        <v>41.3</v>
      </c>
      <c r="BY1776" s="406">
        <f t="shared" si="201"/>
        <v>5.728001397</v>
      </c>
      <c r="BZ1776" s="406"/>
      <c r="CA1776" s="573" t="str">
        <f t="shared" ref="CA1776:CJ1776" si="403">IF(ISNUMBER(FIND(BI$3, $CP1776)), "Y", "")</f>
        <v>Y</v>
      </c>
      <c r="CB1776" s="393" t="str">
        <f t="shared" si="403"/>
        <v>Y</v>
      </c>
      <c r="CC1776" s="393" t="str">
        <f t="shared" si="403"/>
        <v>Y</v>
      </c>
      <c r="CD1776" s="393" t="str">
        <f t="shared" si="403"/>
        <v>Y</v>
      </c>
      <c r="CE1776" s="393" t="str">
        <f t="shared" si="403"/>
        <v>Y</v>
      </c>
      <c r="CF1776" s="393" t="str">
        <f t="shared" si="403"/>
        <v>Y</v>
      </c>
      <c r="CG1776" s="393" t="str">
        <f t="shared" si="403"/>
        <v>Y</v>
      </c>
      <c r="CH1776" s="393" t="str">
        <f t="shared" si="403"/>
        <v/>
      </c>
      <c r="CI1776" s="393" t="str">
        <f t="shared" si="403"/>
        <v>Y</v>
      </c>
      <c r="CJ1776" s="393" t="str">
        <f t="shared" si="403"/>
        <v>Y</v>
      </c>
      <c r="CK1776" s="414">
        <f t="shared" si="182"/>
        <v>15.84550409</v>
      </c>
      <c r="CL1776" s="408">
        <f t="shared" si="183"/>
        <v>41.54708173</v>
      </c>
      <c r="CM1776" s="1077" t="s">
        <v>2418</v>
      </c>
      <c r="CN1776" s="1055" t="s">
        <v>2627</v>
      </c>
      <c r="CO1776" s="1055" t="s">
        <v>2590</v>
      </c>
      <c r="CP1776" s="1055" t="s">
        <v>2400</v>
      </c>
    </row>
    <row r="1777">
      <c r="A1777" s="266"/>
      <c r="B1777" s="1113" t="s">
        <v>2134</v>
      </c>
      <c r="C1777" s="1107">
        <v>45470.0</v>
      </c>
      <c r="D1777" s="1113" t="s">
        <v>986</v>
      </c>
      <c r="E1777" s="1108">
        <v>2.0</v>
      </c>
      <c r="F1777" s="112" t="s">
        <v>2628</v>
      </c>
      <c r="G1777" s="1110">
        <v>0.42291666666666666</v>
      </c>
      <c r="H1777" s="1110">
        <v>0.4232638888888889</v>
      </c>
      <c r="I1777" s="1110"/>
      <c r="J1777" s="1111"/>
      <c r="K1777" s="1111">
        <v>0.4548611111111111</v>
      </c>
      <c r="L1777" s="1112">
        <v>0.03125</v>
      </c>
      <c r="M1777" s="1113" t="s">
        <v>166</v>
      </c>
      <c r="N1777" s="110" t="s">
        <v>188</v>
      </c>
      <c r="O1777" s="1115" t="s">
        <v>378</v>
      </c>
      <c r="P1777" s="1115" t="s">
        <v>225</v>
      </c>
      <c r="Q1777" s="1115" t="s">
        <v>842</v>
      </c>
      <c r="R1777" s="120">
        <v>22.7</v>
      </c>
      <c r="S1777" s="1113">
        <v>39.7</v>
      </c>
      <c r="T1777" s="110">
        <v>1.1</v>
      </c>
      <c r="U1777" s="1108"/>
      <c r="V1777" s="1108"/>
      <c r="W1777" s="1108"/>
      <c r="X1777" s="1108"/>
      <c r="Y1777" s="1108"/>
      <c r="Z1777" s="1114" t="s">
        <v>1140</v>
      </c>
      <c r="AA1777" s="1114"/>
      <c r="AB1777" s="1114" t="s">
        <v>410</v>
      </c>
      <c r="AC1777" s="1117">
        <v>22.1</v>
      </c>
      <c r="AD1777" s="1115"/>
      <c r="AE1777" s="1115"/>
      <c r="AF1777" s="1115"/>
      <c r="AG1777" s="1115"/>
      <c r="AH1777" s="1115"/>
      <c r="AI1777" s="1115"/>
      <c r="AJ1777" s="1117"/>
      <c r="AK1777" s="1118"/>
      <c r="AL1777" s="1115"/>
      <c r="AM1777" s="1115"/>
      <c r="AN1777" s="1115"/>
      <c r="AO1777" s="1115"/>
      <c r="AP1777" s="1115"/>
      <c r="AQ1777" s="1115"/>
      <c r="AR1777" s="1115"/>
      <c r="AS1777" s="1117"/>
      <c r="AT1777" s="1196"/>
      <c r="AU1777" s="1193"/>
      <c r="AV1777" s="330">
        <f>SQRT(($R1777-Infrastructure!J$3)^2+($S1777-Infrastructure!K$3)^2)</f>
        <v>25.40944706</v>
      </c>
      <c r="AW1777" s="331">
        <f>SQRT(($R1777-Infrastructure!J$4)^2+($S1777-Infrastructure!K$4)^2)</f>
        <v>31.75862088</v>
      </c>
      <c r="AX1777" s="331">
        <f>SQRT(($R1777-Infrastructure!J$5)^2+($S1777-Infrastructure!K$5)^2)</f>
        <v>41.54708173</v>
      </c>
      <c r="AY1777" s="331">
        <f>SQRT(($R1777-Infrastructure!J$6)^2+($S1777-Infrastructure!K$6)^2)</f>
        <v>41.36568626</v>
      </c>
      <c r="AZ1777" s="331">
        <f>SQRT(($R1777-Infrastructure!J$7)^2+($S1777-Infrastructure!K$7)^2)</f>
        <v>39.46137352</v>
      </c>
      <c r="BA1777" s="331">
        <f>SQRT(($R1777-Infrastructure!J$8)^2+($S1777-Infrastructure!K$8)^2)</f>
        <v>40.08890121</v>
      </c>
      <c r="BB1777" s="331">
        <f>SQRT(($R1777-Infrastructure!J$9)^2+($S1777-Infrastructure!K$9)^2)</f>
        <v>38.68397601</v>
      </c>
      <c r="BC1777" s="331">
        <f>SQRT(($R1777-Infrastructure!J$10)^2+($S1777-Infrastructure!K$10)^2)</f>
        <v>30.15592811</v>
      </c>
      <c r="BD1777" s="331">
        <f>SQRT(($R1777-Infrastructure!J$11)^2+($S1777-Infrastructure!K$11)^2)</f>
        <v>20.51194774</v>
      </c>
      <c r="BE1777" s="333">
        <f>SQRT(($R1777-Infrastructure!J$12)^2+($S1777-Infrastructure!K$12)^2)</f>
        <v>15.84550409</v>
      </c>
      <c r="BF1777" s="330">
        <f t="shared" si="161"/>
        <v>15.84550409</v>
      </c>
      <c r="BG1777" s="333">
        <f t="shared" si="162"/>
        <v>41.54708173</v>
      </c>
      <c r="BH1777" s="1119"/>
      <c r="BI1777" s="319" t="str">
        <f t="shared" ref="BI1777:BR1777" si="404">IF(ISNUMBER(FIND(BI$3, $CO1777)), "Y", "")</f>
        <v>Y</v>
      </c>
      <c r="BJ1777" s="319" t="str">
        <f t="shared" si="404"/>
        <v/>
      </c>
      <c r="BK1777" s="319" t="str">
        <f t="shared" si="404"/>
        <v>Y</v>
      </c>
      <c r="BL1777" s="319" t="str">
        <f t="shared" si="404"/>
        <v/>
      </c>
      <c r="BM1777" s="319" t="str">
        <f t="shared" si="404"/>
        <v>Y</v>
      </c>
      <c r="BN1777" s="319" t="str">
        <f t="shared" si="404"/>
        <v>Y</v>
      </c>
      <c r="BO1777" s="319" t="str">
        <f t="shared" si="404"/>
        <v>Y</v>
      </c>
      <c r="BP1777" s="319" t="str">
        <f t="shared" si="404"/>
        <v/>
      </c>
      <c r="BQ1777" s="319" t="str">
        <f t="shared" si="404"/>
        <v>Y</v>
      </c>
      <c r="BR1777" s="319" t="str">
        <f t="shared" si="404"/>
        <v>Y</v>
      </c>
      <c r="BS1777" s="330">
        <f t="shared" si="185"/>
        <v>15.84550409</v>
      </c>
      <c r="BT1777" s="331">
        <f t="shared" si="170"/>
        <v>41.54708173</v>
      </c>
      <c r="BU1777" s="920">
        <v>0.4234953703703704</v>
      </c>
      <c r="BV1777" s="903">
        <f t="shared" si="186"/>
        <v>0.0005787037037</v>
      </c>
      <c r="BW1777" s="908">
        <v>17.3</v>
      </c>
      <c r="BX1777" s="908">
        <v>41.1</v>
      </c>
      <c r="BY1777" s="331">
        <f t="shared" si="201"/>
        <v>5.578530272</v>
      </c>
      <c r="BZ1777" s="331"/>
      <c r="CA1777" s="462" t="str">
        <f t="shared" ref="CA1777:CJ1777" si="405">IF(ISNUMBER(FIND(BI$3, $CP1777)), "Y", "")</f>
        <v>Y</v>
      </c>
      <c r="CB1777" s="319" t="str">
        <f t="shared" si="405"/>
        <v>Y</v>
      </c>
      <c r="CC1777" s="319" t="str">
        <f t="shared" si="405"/>
        <v>Y</v>
      </c>
      <c r="CD1777" s="319" t="str">
        <f t="shared" si="405"/>
        <v>Y</v>
      </c>
      <c r="CE1777" s="319" t="str">
        <f t="shared" si="405"/>
        <v>Y</v>
      </c>
      <c r="CF1777" s="319" t="str">
        <f t="shared" si="405"/>
        <v>Y</v>
      </c>
      <c r="CG1777" s="319" t="str">
        <f t="shared" si="405"/>
        <v>Y</v>
      </c>
      <c r="CH1777" s="319" t="str">
        <f t="shared" si="405"/>
        <v/>
      </c>
      <c r="CI1777" s="319" t="str">
        <f t="shared" si="405"/>
        <v>Y</v>
      </c>
      <c r="CJ1777" s="319" t="str">
        <f t="shared" si="405"/>
        <v>Y</v>
      </c>
      <c r="CK1777" s="342">
        <f t="shared" si="182"/>
        <v>15.84550409</v>
      </c>
      <c r="CL1777" s="333">
        <f t="shared" si="183"/>
        <v>41.54708173</v>
      </c>
      <c r="CM1777" s="1079" t="s">
        <v>2418</v>
      </c>
      <c r="CN1777" s="1005" t="s">
        <v>2627</v>
      </c>
      <c r="CO1777" s="1005" t="s">
        <v>2558</v>
      </c>
      <c r="CP1777" s="1005" t="s">
        <v>2400</v>
      </c>
    </row>
    <row r="1778">
      <c r="A1778" s="266"/>
      <c r="B1778" s="1113" t="s">
        <v>2134</v>
      </c>
      <c r="C1778" s="1107">
        <v>45470.0</v>
      </c>
      <c r="D1778" s="1113" t="s">
        <v>986</v>
      </c>
      <c r="E1778" s="1108">
        <v>3.0</v>
      </c>
      <c r="F1778" s="112" t="s">
        <v>2629</v>
      </c>
      <c r="G1778" s="1110">
        <v>0.4625</v>
      </c>
      <c r="H1778" s="1110">
        <v>0.46319444444444446</v>
      </c>
      <c r="I1778" s="1110"/>
      <c r="J1778" s="1111"/>
      <c r="K1778" s="1111">
        <v>0.49756944444444445</v>
      </c>
      <c r="L1778" s="1112">
        <v>0.034027777777777775</v>
      </c>
      <c r="M1778" s="1113" t="s">
        <v>166</v>
      </c>
      <c r="N1778" s="110" t="s">
        <v>187</v>
      </c>
      <c r="O1778" s="1115" t="s">
        <v>206</v>
      </c>
      <c r="P1778" s="1115" t="s">
        <v>218</v>
      </c>
      <c r="Q1778" s="1116"/>
      <c r="R1778" s="120">
        <v>21.5</v>
      </c>
      <c r="S1778" s="1113">
        <v>8.7</v>
      </c>
      <c r="T1778" s="110">
        <v>2.4</v>
      </c>
      <c r="U1778" s="1108"/>
      <c r="V1778" s="1108"/>
      <c r="W1778" s="1108"/>
      <c r="X1778" s="1108"/>
      <c r="Y1778" s="1108"/>
      <c r="Z1778" s="1114" t="s">
        <v>335</v>
      </c>
      <c r="AA1778" s="1114"/>
      <c r="AB1778" s="1114" t="s">
        <v>375</v>
      </c>
      <c r="AC1778" s="1117">
        <v>2.7</v>
      </c>
      <c r="AD1778" s="1115"/>
      <c r="AE1778" s="1115"/>
      <c r="AF1778" s="1115"/>
      <c r="AG1778" s="1115"/>
      <c r="AH1778" s="1115"/>
      <c r="AI1778" s="1115"/>
      <c r="AJ1778" s="1117"/>
      <c r="AK1778" s="1118"/>
      <c r="AL1778" s="1115"/>
      <c r="AM1778" s="1115"/>
      <c r="AN1778" s="1115"/>
      <c r="AO1778" s="1115"/>
      <c r="AP1778" s="1115"/>
      <c r="AQ1778" s="1115"/>
      <c r="AR1778" s="1115"/>
      <c r="AS1778" s="1117"/>
      <c r="AT1778" s="1196"/>
      <c r="AU1778" s="1193"/>
      <c r="AV1778" s="330">
        <f>SQRT(($R1778-Infrastructure!J$3)^2+($S1778-Infrastructure!K$3)^2)</f>
        <v>29.72002692</v>
      </c>
      <c r="AW1778" s="331">
        <f>SQRT(($R1778-Infrastructure!J$4)^2+($S1778-Infrastructure!K$4)^2)</f>
        <v>23.62308193</v>
      </c>
      <c r="AX1778" s="331">
        <f>SQRT(($R1778-Infrastructure!J$5)^2+($S1778-Infrastructure!K$5)^2)</f>
        <v>22.09524836</v>
      </c>
      <c r="AY1778" s="331">
        <f>SQRT(($R1778-Infrastructure!J$6)^2+($S1778-Infrastructure!K$6)^2)</f>
        <v>14.16050847</v>
      </c>
      <c r="AZ1778" s="331">
        <f>SQRT(($R1778-Infrastructure!J$7)^2+($S1778-Infrastructure!K$7)^2)</f>
        <v>8.459314393</v>
      </c>
      <c r="BA1778" s="331">
        <f>SQRT(($R1778-Infrastructure!J$8)^2+($S1778-Infrastructure!K$8)^2)</f>
        <v>12.02164714</v>
      </c>
      <c r="BB1778" s="331">
        <f>SQRT(($R1778-Infrastructure!J$9)^2+($S1778-Infrastructure!K$9)^2)</f>
        <v>18.84701568</v>
      </c>
      <c r="BC1778" s="331">
        <f>SQRT(($R1778-Infrastructure!J$10)^2+($S1778-Infrastructure!K$10)^2)</f>
        <v>19.54328529</v>
      </c>
      <c r="BD1778" s="331">
        <f>SQRT(($R1778-Infrastructure!J$11)^2+($S1778-Infrastructure!K$11)^2)</f>
        <v>27.60036232</v>
      </c>
      <c r="BE1778" s="333">
        <f>SQRT(($R1778-Infrastructure!J$12)^2+($S1778-Infrastructure!K$12)^2)</f>
        <v>46.8</v>
      </c>
      <c r="BF1778" s="330">
        <f t="shared" si="161"/>
        <v>8.459314393</v>
      </c>
      <c r="BG1778" s="333">
        <f t="shared" si="162"/>
        <v>46.8</v>
      </c>
      <c r="BH1778" s="1119"/>
      <c r="BI1778" s="319" t="str">
        <f t="shared" ref="BI1778:BR1778" si="406">IF(ISNUMBER(FIND(BI$3, $CO1778)), "Y", "")</f>
        <v/>
      </c>
      <c r="BJ1778" s="319" t="str">
        <f t="shared" si="406"/>
        <v/>
      </c>
      <c r="BK1778" s="319" t="str">
        <f t="shared" si="406"/>
        <v/>
      </c>
      <c r="BL1778" s="319" t="str">
        <f t="shared" si="406"/>
        <v/>
      </c>
      <c r="BM1778" s="319" t="str">
        <f t="shared" si="406"/>
        <v>Y</v>
      </c>
      <c r="BN1778" s="319" t="str">
        <f t="shared" si="406"/>
        <v>Y</v>
      </c>
      <c r="BO1778" s="319" t="str">
        <f t="shared" si="406"/>
        <v>Y</v>
      </c>
      <c r="BP1778" s="319" t="str">
        <f t="shared" si="406"/>
        <v/>
      </c>
      <c r="BQ1778" s="319" t="str">
        <f t="shared" si="406"/>
        <v>Y</v>
      </c>
      <c r="BR1778" s="319" t="str">
        <f t="shared" si="406"/>
        <v>Y</v>
      </c>
      <c r="BS1778" s="330">
        <f t="shared" si="185"/>
        <v>8.459314393</v>
      </c>
      <c r="BT1778" s="331">
        <f t="shared" si="170"/>
        <v>46.8</v>
      </c>
      <c r="BU1778" s="920">
        <v>0.4660416666666667</v>
      </c>
      <c r="BV1778" s="903">
        <f t="shared" si="186"/>
        <v>0.003541666667</v>
      </c>
      <c r="BW1778" s="908">
        <v>25.9</v>
      </c>
      <c r="BX1778" s="908">
        <v>30.3</v>
      </c>
      <c r="BY1778" s="331">
        <f t="shared" si="201"/>
        <v>22.04359317</v>
      </c>
      <c r="BZ1778" s="331"/>
      <c r="CA1778" s="462" t="str">
        <f t="shared" ref="CA1778:CJ1778" si="407">IF(ISNUMBER(FIND(BI$3, $CP1778)), "Y", "")</f>
        <v/>
      </c>
      <c r="CB1778" s="319" t="str">
        <f t="shared" si="407"/>
        <v/>
      </c>
      <c r="CC1778" s="319" t="str">
        <f t="shared" si="407"/>
        <v/>
      </c>
      <c r="CD1778" s="319" t="str">
        <f t="shared" si="407"/>
        <v>Y</v>
      </c>
      <c r="CE1778" s="319" t="str">
        <f t="shared" si="407"/>
        <v>Y</v>
      </c>
      <c r="CF1778" s="319" t="str">
        <f t="shared" si="407"/>
        <v>Y</v>
      </c>
      <c r="CG1778" s="319" t="str">
        <f t="shared" si="407"/>
        <v>Y</v>
      </c>
      <c r="CH1778" s="319" t="str">
        <f t="shared" si="407"/>
        <v/>
      </c>
      <c r="CI1778" s="319" t="str">
        <f t="shared" si="407"/>
        <v>Y</v>
      </c>
      <c r="CJ1778" s="319" t="str">
        <f t="shared" si="407"/>
        <v/>
      </c>
      <c r="CK1778" s="342">
        <f t="shared" si="182"/>
        <v>8.459314393</v>
      </c>
      <c r="CL1778" s="333">
        <f t="shared" si="183"/>
        <v>27.60036232</v>
      </c>
      <c r="CM1778" s="1079" t="s">
        <v>2630</v>
      </c>
      <c r="CN1778" s="1005" t="s">
        <v>2627</v>
      </c>
      <c r="CO1778" s="1005" t="s">
        <v>2512</v>
      </c>
      <c r="CP1778" s="1005" t="s">
        <v>2631</v>
      </c>
    </row>
    <row r="1779">
      <c r="A1779" s="266"/>
      <c r="B1779" s="1113" t="s">
        <v>2134</v>
      </c>
      <c r="C1779" s="1107">
        <v>45470.0</v>
      </c>
      <c r="D1779" s="1113" t="s">
        <v>986</v>
      </c>
      <c r="E1779" s="1108">
        <v>4.0</v>
      </c>
      <c r="F1779" s="112" t="s">
        <v>2632</v>
      </c>
      <c r="G1779" s="1110">
        <v>0.50625</v>
      </c>
      <c r="H1779" s="1110">
        <v>0.5069444444444444</v>
      </c>
      <c r="I1779" s="1110"/>
      <c r="J1779" s="1111"/>
      <c r="K1779" s="1111">
        <v>0.5381944444444444</v>
      </c>
      <c r="L1779" s="1112">
        <v>0.03125</v>
      </c>
      <c r="M1779" s="1113" t="s">
        <v>166</v>
      </c>
      <c r="N1779" s="110" t="s">
        <v>188</v>
      </c>
      <c r="O1779" s="1115" t="s">
        <v>378</v>
      </c>
      <c r="P1779" s="1115" t="s">
        <v>217</v>
      </c>
      <c r="Q1779" s="1115" t="s">
        <v>842</v>
      </c>
      <c r="R1779" s="120">
        <v>22.7</v>
      </c>
      <c r="S1779" s="1113">
        <v>39.7</v>
      </c>
      <c r="T1779" s="110">
        <v>1.8</v>
      </c>
      <c r="U1779" s="1108"/>
      <c r="V1779" s="1108"/>
      <c r="W1779" s="1108"/>
      <c r="X1779" s="1108"/>
      <c r="Y1779" s="1108"/>
      <c r="Z1779" s="1114" t="s">
        <v>1140</v>
      </c>
      <c r="AA1779" s="1114"/>
      <c r="AB1779" s="1114" t="s">
        <v>403</v>
      </c>
      <c r="AC1779" s="1117">
        <v>8.0</v>
      </c>
      <c r="AD1779" s="1115"/>
      <c r="AE1779" s="1115"/>
      <c r="AF1779" s="1115"/>
      <c r="AG1779" s="1115"/>
      <c r="AH1779" s="1115"/>
      <c r="AI1779" s="1115"/>
      <c r="AJ1779" s="1117"/>
      <c r="AK1779" s="1118"/>
      <c r="AL1779" s="1115"/>
      <c r="AM1779" s="1115"/>
      <c r="AN1779" s="1115"/>
      <c r="AO1779" s="1115"/>
      <c r="AP1779" s="1115"/>
      <c r="AQ1779" s="1115"/>
      <c r="AR1779" s="1115"/>
      <c r="AS1779" s="1117"/>
      <c r="AT1779" s="1196"/>
      <c r="AU1779" s="1193"/>
      <c r="AV1779" s="330">
        <f>SQRT(($R1779-Infrastructure!J$3)^2+($S1779-Infrastructure!K$3)^2)</f>
        <v>25.40944706</v>
      </c>
      <c r="AW1779" s="331">
        <f>SQRT(($R1779-Infrastructure!J$4)^2+($S1779-Infrastructure!K$4)^2)</f>
        <v>31.75862088</v>
      </c>
      <c r="AX1779" s="331">
        <f>SQRT(($R1779-Infrastructure!J$5)^2+($S1779-Infrastructure!K$5)^2)</f>
        <v>41.54708173</v>
      </c>
      <c r="AY1779" s="331">
        <f>SQRT(($R1779-Infrastructure!J$6)^2+($S1779-Infrastructure!K$6)^2)</f>
        <v>41.36568626</v>
      </c>
      <c r="AZ1779" s="331">
        <f>SQRT(($R1779-Infrastructure!J$7)^2+($S1779-Infrastructure!K$7)^2)</f>
        <v>39.46137352</v>
      </c>
      <c r="BA1779" s="331">
        <f>SQRT(($R1779-Infrastructure!J$8)^2+($S1779-Infrastructure!K$8)^2)</f>
        <v>40.08890121</v>
      </c>
      <c r="BB1779" s="331">
        <f>SQRT(($R1779-Infrastructure!J$9)^2+($S1779-Infrastructure!K$9)^2)</f>
        <v>38.68397601</v>
      </c>
      <c r="BC1779" s="331">
        <f>SQRT(($R1779-Infrastructure!J$10)^2+($S1779-Infrastructure!K$10)^2)</f>
        <v>30.15592811</v>
      </c>
      <c r="BD1779" s="331">
        <f>SQRT(($R1779-Infrastructure!J$11)^2+($S1779-Infrastructure!K$11)^2)</f>
        <v>20.51194774</v>
      </c>
      <c r="BE1779" s="333">
        <f>SQRT(($R1779-Infrastructure!J$12)^2+($S1779-Infrastructure!K$12)^2)</f>
        <v>15.84550409</v>
      </c>
      <c r="BF1779" s="330">
        <f t="shared" si="161"/>
        <v>15.84550409</v>
      </c>
      <c r="BG1779" s="333">
        <f t="shared" si="162"/>
        <v>41.54708173</v>
      </c>
      <c r="BH1779" s="1119"/>
      <c r="BI1779" s="319" t="str">
        <f t="shared" ref="BI1779:BR1779" si="408">IF(ISNUMBER(FIND(BI$3, $CO1779)), "Y", "")</f>
        <v>Y</v>
      </c>
      <c r="BJ1779" s="319" t="str">
        <f t="shared" si="408"/>
        <v/>
      </c>
      <c r="BK1779" s="319" t="str">
        <f t="shared" si="408"/>
        <v/>
      </c>
      <c r="BL1779" s="319" t="str">
        <f t="shared" si="408"/>
        <v>Y</v>
      </c>
      <c r="BM1779" s="319" t="str">
        <f t="shared" si="408"/>
        <v>Y</v>
      </c>
      <c r="BN1779" s="319" t="str">
        <f t="shared" si="408"/>
        <v/>
      </c>
      <c r="BO1779" s="319" t="str">
        <f t="shared" si="408"/>
        <v/>
      </c>
      <c r="BP1779" s="319" t="str">
        <f t="shared" si="408"/>
        <v/>
      </c>
      <c r="BQ1779" s="319" t="str">
        <f t="shared" si="408"/>
        <v>Y</v>
      </c>
      <c r="BR1779" s="319" t="str">
        <f t="shared" si="408"/>
        <v>Y</v>
      </c>
      <c r="BS1779" s="330">
        <f t="shared" si="185"/>
        <v>15.84550409</v>
      </c>
      <c r="BT1779" s="331">
        <f t="shared" si="170"/>
        <v>41.36568626</v>
      </c>
      <c r="BU1779" s="920">
        <v>0.507337962962963</v>
      </c>
      <c r="BV1779" s="903">
        <f t="shared" si="186"/>
        <v>0.001087962963</v>
      </c>
      <c r="BW1779" s="908">
        <v>15.1</v>
      </c>
      <c r="BX1779" s="908">
        <v>38.7</v>
      </c>
      <c r="BY1779" s="331">
        <f t="shared" si="201"/>
        <v>7.665507159</v>
      </c>
      <c r="BZ1779" s="331"/>
      <c r="CA1779" s="462" t="str">
        <f t="shared" ref="CA1779:CJ1779" si="409">IF(ISNUMBER(FIND(BI$3, $CP1779)), "Y", "")</f>
        <v>Y</v>
      </c>
      <c r="CB1779" s="319" t="str">
        <f t="shared" si="409"/>
        <v>Y</v>
      </c>
      <c r="CC1779" s="319" t="str">
        <f t="shared" si="409"/>
        <v>Y</v>
      </c>
      <c r="CD1779" s="319" t="str">
        <f t="shared" si="409"/>
        <v>Y</v>
      </c>
      <c r="CE1779" s="319" t="str">
        <f t="shared" si="409"/>
        <v>Y</v>
      </c>
      <c r="CF1779" s="319" t="str">
        <f t="shared" si="409"/>
        <v>Y</v>
      </c>
      <c r="CG1779" s="319" t="str">
        <f t="shared" si="409"/>
        <v>Y</v>
      </c>
      <c r="CH1779" s="319" t="str">
        <f t="shared" si="409"/>
        <v/>
      </c>
      <c r="CI1779" s="319" t="str">
        <f t="shared" si="409"/>
        <v>Y</v>
      </c>
      <c r="CJ1779" s="319" t="str">
        <f t="shared" si="409"/>
        <v>Y</v>
      </c>
      <c r="CK1779" s="342">
        <f t="shared" si="182"/>
        <v>15.84550409</v>
      </c>
      <c r="CL1779" s="333">
        <f t="shared" si="183"/>
        <v>41.54708173</v>
      </c>
      <c r="CM1779" s="1079" t="s">
        <v>2384</v>
      </c>
      <c r="CN1779" s="1005" t="s">
        <v>2627</v>
      </c>
      <c r="CO1779" s="1005" t="s">
        <v>2633</v>
      </c>
      <c r="CP1779" s="1005" t="s">
        <v>2400</v>
      </c>
    </row>
    <row r="1780">
      <c r="A1780" s="266"/>
      <c r="B1780" s="1113" t="s">
        <v>2134</v>
      </c>
      <c r="C1780" s="1107">
        <v>45470.0</v>
      </c>
      <c r="D1780" s="1113" t="s">
        <v>986</v>
      </c>
      <c r="E1780" s="1108">
        <v>5.0</v>
      </c>
      <c r="F1780" s="112" t="s">
        <v>2634</v>
      </c>
      <c r="G1780" s="1110">
        <v>0.5618055555555556</v>
      </c>
      <c r="H1780" s="1110">
        <v>0.5621527777777777</v>
      </c>
      <c r="I1780" s="1110"/>
      <c r="J1780" s="1111"/>
      <c r="K1780" s="1111">
        <v>0.59375</v>
      </c>
      <c r="L1780" s="1112">
        <v>0.03125</v>
      </c>
      <c r="M1780" s="1113" t="s">
        <v>166</v>
      </c>
      <c r="N1780" s="110" t="s">
        <v>188</v>
      </c>
      <c r="O1780" s="1115" t="s">
        <v>378</v>
      </c>
      <c r="P1780" s="1115" t="s">
        <v>217</v>
      </c>
      <c r="Q1780" s="1115" t="s">
        <v>851</v>
      </c>
      <c r="R1780" s="120">
        <v>22.7</v>
      </c>
      <c r="S1780" s="1113">
        <v>39.7</v>
      </c>
      <c r="T1780" s="110">
        <v>1.8</v>
      </c>
      <c r="U1780" s="1108"/>
      <c r="V1780" s="1108"/>
      <c r="W1780" s="1108"/>
      <c r="X1780" s="1108"/>
      <c r="Y1780" s="1108"/>
      <c r="Z1780" s="1114" t="s">
        <v>1140</v>
      </c>
      <c r="AA1780" s="1114"/>
      <c r="AB1780" s="1114" t="s">
        <v>407</v>
      </c>
      <c r="AC1780" s="1117">
        <v>15.75</v>
      </c>
      <c r="AD1780" s="1115"/>
      <c r="AE1780" s="1115"/>
      <c r="AF1780" s="1115"/>
      <c r="AG1780" s="1115"/>
      <c r="AH1780" s="1115"/>
      <c r="AI1780" s="1115"/>
      <c r="AJ1780" s="1117"/>
      <c r="AK1780" s="1118"/>
      <c r="AL1780" s="1115"/>
      <c r="AM1780" s="1115"/>
      <c r="AN1780" s="1115"/>
      <c r="AO1780" s="1115"/>
      <c r="AP1780" s="1115"/>
      <c r="AQ1780" s="1115"/>
      <c r="AR1780" s="1115"/>
      <c r="AS1780" s="1117"/>
      <c r="AT1780" s="1196"/>
      <c r="AU1780" s="1193"/>
      <c r="AV1780" s="330">
        <f>SQRT(($R1780-Infrastructure!J$3)^2+($S1780-Infrastructure!K$3)^2)</f>
        <v>25.40944706</v>
      </c>
      <c r="AW1780" s="331">
        <f>SQRT(($R1780-Infrastructure!J$4)^2+($S1780-Infrastructure!K$4)^2)</f>
        <v>31.75862088</v>
      </c>
      <c r="AX1780" s="331">
        <f>SQRT(($R1780-Infrastructure!J$5)^2+($S1780-Infrastructure!K$5)^2)</f>
        <v>41.54708173</v>
      </c>
      <c r="AY1780" s="331">
        <f>SQRT(($R1780-Infrastructure!J$6)^2+($S1780-Infrastructure!K$6)^2)</f>
        <v>41.36568626</v>
      </c>
      <c r="AZ1780" s="331">
        <f>SQRT(($R1780-Infrastructure!J$7)^2+($S1780-Infrastructure!K$7)^2)</f>
        <v>39.46137352</v>
      </c>
      <c r="BA1780" s="331">
        <f>SQRT(($R1780-Infrastructure!J$8)^2+($S1780-Infrastructure!K$8)^2)</f>
        <v>40.08890121</v>
      </c>
      <c r="BB1780" s="331">
        <f>SQRT(($R1780-Infrastructure!J$9)^2+($S1780-Infrastructure!K$9)^2)</f>
        <v>38.68397601</v>
      </c>
      <c r="BC1780" s="331">
        <f>SQRT(($R1780-Infrastructure!J$10)^2+($S1780-Infrastructure!K$10)^2)</f>
        <v>30.15592811</v>
      </c>
      <c r="BD1780" s="331">
        <f>SQRT(($R1780-Infrastructure!J$11)^2+($S1780-Infrastructure!K$11)^2)</f>
        <v>20.51194774</v>
      </c>
      <c r="BE1780" s="333">
        <f>SQRT(($R1780-Infrastructure!J$12)^2+($S1780-Infrastructure!K$12)^2)</f>
        <v>15.84550409</v>
      </c>
      <c r="BF1780" s="330">
        <f t="shared" si="161"/>
        <v>15.84550409</v>
      </c>
      <c r="BG1780" s="333">
        <f t="shared" si="162"/>
        <v>41.54708173</v>
      </c>
      <c r="BH1780" s="1119"/>
      <c r="BI1780" s="319" t="str">
        <f t="shared" ref="BI1780:BR1780" si="410">IF(ISNUMBER(FIND(BI$3, $CO1780)), "Y", "")</f>
        <v>Y</v>
      </c>
      <c r="BJ1780" s="319" t="str">
        <f t="shared" si="410"/>
        <v/>
      </c>
      <c r="BK1780" s="319" t="str">
        <f t="shared" si="410"/>
        <v>Y</v>
      </c>
      <c r="BL1780" s="319" t="str">
        <f t="shared" si="410"/>
        <v/>
      </c>
      <c r="BM1780" s="319" t="str">
        <f t="shared" si="410"/>
        <v>Y</v>
      </c>
      <c r="BN1780" s="319" t="str">
        <f t="shared" si="410"/>
        <v/>
      </c>
      <c r="BO1780" s="319" t="str">
        <f t="shared" si="410"/>
        <v/>
      </c>
      <c r="BP1780" s="319" t="str">
        <f t="shared" si="410"/>
        <v/>
      </c>
      <c r="BQ1780" s="319" t="str">
        <f t="shared" si="410"/>
        <v>Y</v>
      </c>
      <c r="BR1780" s="319" t="str">
        <f t="shared" si="410"/>
        <v>Y</v>
      </c>
      <c r="BS1780" s="330">
        <f t="shared" si="185"/>
        <v>15.84550409</v>
      </c>
      <c r="BT1780" s="331">
        <f t="shared" si="170"/>
        <v>41.54708173</v>
      </c>
      <c r="BU1780" s="920">
        <v>0.5743402777777777</v>
      </c>
      <c r="BV1780" s="903">
        <f t="shared" si="186"/>
        <v>0.01253472222</v>
      </c>
      <c r="BW1780" s="908">
        <v>18.5</v>
      </c>
      <c r="BX1780" s="908">
        <v>37.4</v>
      </c>
      <c r="BY1780" s="331">
        <f t="shared" si="201"/>
        <v>4.788527958</v>
      </c>
      <c r="BZ1780" s="331"/>
      <c r="CA1780" s="462" t="str">
        <f t="shared" ref="CA1780:CJ1780" si="411">IF(ISNUMBER(FIND(BI$3, $CP1780)), "Y", "")</f>
        <v>Y</v>
      </c>
      <c r="CB1780" s="319" t="str">
        <f t="shared" si="411"/>
        <v>Y</v>
      </c>
      <c r="CC1780" s="319" t="str">
        <f t="shared" si="411"/>
        <v/>
      </c>
      <c r="CD1780" s="319" t="str">
        <f t="shared" si="411"/>
        <v>Y</v>
      </c>
      <c r="CE1780" s="319" t="str">
        <f t="shared" si="411"/>
        <v>Y</v>
      </c>
      <c r="CF1780" s="319" t="str">
        <f t="shared" si="411"/>
        <v>Y</v>
      </c>
      <c r="CG1780" s="319" t="str">
        <f t="shared" si="411"/>
        <v>Y</v>
      </c>
      <c r="CH1780" s="319" t="str">
        <f t="shared" si="411"/>
        <v/>
      </c>
      <c r="CI1780" s="319" t="str">
        <f t="shared" si="411"/>
        <v>Y</v>
      </c>
      <c r="CJ1780" s="319" t="str">
        <f t="shared" si="411"/>
        <v>Y</v>
      </c>
      <c r="CK1780" s="342">
        <f t="shared" si="182"/>
        <v>15.84550409</v>
      </c>
      <c r="CL1780" s="333">
        <f t="shared" si="183"/>
        <v>41.36568626</v>
      </c>
      <c r="CM1780" s="1079" t="s">
        <v>2421</v>
      </c>
      <c r="CN1780" s="1005" t="s">
        <v>2635</v>
      </c>
      <c r="CO1780" s="1005" t="s">
        <v>2636</v>
      </c>
      <c r="CP1780" s="1005" t="s">
        <v>2637</v>
      </c>
    </row>
    <row r="1781">
      <c r="A1781" s="266"/>
      <c r="B1781" s="1113" t="s">
        <v>2134</v>
      </c>
      <c r="C1781" s="1107">
        <v>45470.0</v>
      </c>
      <c r="D1781" s="1113" t="s">
        <v>986</v>
      </c>
      <c r="E1781" s="1108">
        <v>6.0</v>
      </c>
      <c r="F1781" s="112" t="s">
        <v>2638</v>
      </c>
      <c r="G1781" s="1110">
        <v>0.6076388888888888</v>
      </c>
      <c r="H1781" s="1110">
        <v>0.6085069444444444</v>
      </c>
      <c r="I1781" s="1110"/>
      <c r="J1781" s="1111"/>
      <c r="K1781" s="1111">
        <v>0.6402777777777777</v>
      </c>
      <c r="L1781" s="1112">
        <v>0.03125</v>
      </c>
      <c r="M1781" s="1113" t="s">
        <v>166</v>
      </c>
      <c r="N1781" s="110" t="s">
        <v>188</v>
      </c>
      <c r="O1781" s="1115" t="s">
        <v>378</v>
      </c>
      <c r="P1781" s="1115" t="s">
        <v>225</v>
      </c>
      <c r="Q1781" s="1115" t="s">
        <v>842</v>
      </c>
      <c r="R1781" s="120">
        <v>22.7</v>
      </c>
      <c r="S1781" s="1113">
        <v>39.7</v>
      </c>
      <c r="T1781" s="110">
        <v>1.1</v>
      </c>
      <c r="U1781" s="1108"/>
      <c r="V1781" s="1108"/>
      <c r="W1781" s="1108"/>
      <c r="X1781" s="1108"/>
      <c r="Y1781" s="1108"/>
      <c r="Z1781" s="1114" t="s">
        <v>1140</v>
      </c>
      <c r="AA1781" s="1114"/>
      <c r="AB1781" s="1114" t="s">
        <v>410</v>
      </c>
      <c r="AC1781" s="1117">
        <v>22.1</v>
      </c>
      <c r="AD1781" s="1115"/>
      <c r="AE1781" s="1115"/>
      <c r="AF1781" s="1115"/>
      <c r="AG1781" s="1115"/>
      <c r="AH1781" s="1115"/>
      <c r="AI1781" s="1115"/>
      <c r="AJ1781" s="1117"/>
      <c r="AK1781" s="1118"/>
      <c r="AL1781" s="1115"/>
      <c r="AM1781" s="1115"/>
      <c r="AN1781" s="1115"/>
      <c r="AO1781" s="1115"/>
      <c r="AP1781" s="1115"/>
      <c r="AQ1781" s="1115"/>
      <c r="AR1781" s="1115"/>
      <c r="AS1781" s="1117"/>
      <c r="AT1781" s="1196"/>
      <c r="AU1781" s="1193"/>
      <c r="AV1781" s="330">
        <f>SQRT(($R1781-Infrastructure!J$3)^2+($S1781-Infrastructure!K$3)^2)</f>
        <v>25.40944706</v>
      </c>
      <c r="AW1781" s="331">
        <f>SQRT(($R1781-Infrastructure!J$4)^2+($S1781-Infrastructure!K$4)^2)</f>
        <v>31.75862088</v>
      </c>
      <c r="AX1781" s="331">
        <f>SQRT(($R1781-Infrastructure!J$5)^2+($S1781-Infrastructure!K$5)^2)</f>
        <v>41.54708173</v>
      </c>
      <c r="AY1781" s="331">
        <f>SQRT(($R1781-Infrastructure!J$6)^2+($S1781-Infrastructure!K$6)^2)</f>
        <v>41.36568626</v>
      </c>
      <c r="AZ1781" s="331">
        <f>SQRT(($R1781-Infrastructure!J$7)^2+($S1781-Infrastructure!K$7)^2)</f>
        <v>39.46137352</v>
      </c>
      <c r="BA1781" s="331">
        <f>SQRT(($R1781-Infrastructure!J$8)^2+($S1781-Infrastructure!K$8)^2)</f>
        <v>40.08890121</v>
      </c>
      <c r="BB1781" s="331">
        <f>SQRT(($R1781-Infrastructure!J$9)^2+($S1781-Infrastructure!K$9)^2)</f>
        <v>38.68397601</v>
      </c>
      <c r="BC1781" s="331">
        <f>SQRT(($R1781-Infrastructure!J$10)^2+($S1781-Infrastructure!K$10)^2)</f>
        <v>30.15592811</v>
      </c>
      <c r="BD1781" s="331">
        <f>SQRT(($R1781-Infrastructure!J$11)^2+($S1781-Infrastructure!K$11)^2)</f>
        <v>20.51194774</v>
      </c>
      <c r="BE1781" s="333">
        <f>SQRT(($R1781-Infrastructure!J$12)^2+($S1781-Infrastructure!K$12)^2)</f>
        <v>15.84550409</v>
      </c>
      <c r="BF1781" s="330">
        <f t="shared" si="161"/>
        <v>15.84550409</v>
      </c>
      <c r="BG1781" s="333">
        <f t="shared" si="162"/>
        <v>41.54708173</v>
      </c>
      <c r="BH1781" s="1119"/>
      <c r="BI1781" s="319" t="str">
        <f t="shared" ref="BI1781:BR1781" si="412">IF(ISNUMBER(FIND(BI$3, $CO1781)), "Y", "")</f>
        <v>Y</v>
      </c>
      <c r="BJ1781" s="319" t="str">
        <f t="shared" si="412"/>
        <v/>
      </c>
      <c r="BK1781" s="319" t="str">
        <f t="shared" si="412"/>
        <v/>
      </c>
      <c r="BL1781" s="319" t="str">
        <f t="shared" si="412"/>
        <v/>
      </c>
      <c r="BM1781" s="319" t="str">
        <f t="shared" si="412"/>
        <v>Y</v>
      </c>
      <c r="BN1781" s="319" t="str">
        <f t="shared" si="412"/>
        <v>Y</v>
      </c>
      <c r="BO1781" s="319" t="str">
        <f t="shared" si="412"/>
        <v>Y</v>
      </c>
      <c r="BP1781" s="319" t="str">
        <f t="shared" si="412"/>
        <v/>
      </c>
      <c r="BQ1781" s="319" t="str">
        <f t="shared" si="412"/>
        <v>Y</v>
      </c>
      <c r="BR1781" s="319" t="str">
        <f t="shared" si="412"/>
        <v>Y</v>
      </c>
      <c r="BS1781" s="330">
        <f t="shared" si="185"/>
        <v>15.84550409</v>
      </c>
      <c r="BT1781" s="331">
        <f t="shared" si="170"/>
        <v>40.08890121</v>
      </c>
      <c r="BU1781" s="920">
        <v>0.6085532407407407</v>
      </c>
      <c r="BV1781" s="903">
        <f t="shared" si="186"/>
        <v>0.0009143518519</v>
      </c>
      <c r="BW1781" s="908">
        <v>14.2</v>
      </c>
      <c r="BX1781" s="908">
        <v>34.9</v>
      </c>
      <c r="BY1781" s="331">
        <f t="shared" si="201"/>
        <v>9.761659695</v>
      </c>
      <c r="BZ1781" s="331"/>
      <c r="CA1781" s="462" t="str">
        <f t="shared" ref="CA1781:CJ1781" si="413">IF(ISNUMBER(FIND(BI$3, $CP1781)), "Y", "")</f>
        <v>Y</v>
      </c>
      <c r="CB1781" s="319" t="str">
        <f t="shared" si="413"/>
        <v>Y</v>
      </c>
      <c r="CC1781" s="319" t="str">
        <f t="shared" si="413"/>
        <v>Y</v>
      </c>
      <c r="CD1781" s="319" t="str">
        <f t="shared" si="413"/>
        <v>Y</v>
      </c>
      <c r="CE1781" s="319" t="str">
        <f t="shared" si="413"/>
        <v>Y</v>
      </c>
      <c r="CF1781" s="319" t="str">
        <f t="shared" si="413"/>
        <v>Y</v>
      </c>
      <c r="CG1781" s="319" t="str">
        <f t="shared" si="413"/>
        <v>Y</v>
      </c>
      <c r="CH1781" s="319" t="str">
        <f t="shared" si="413"/>
        <v/>
      </c>
      <c r="CI1781" s="319" t="str">
        <f t="shared" si="413"/>
        <v>Y</v>
      </c>
      <c r="CJ1781" s="319" t="str">
        <f t="shared" si="413"/>
        <v>Y</v>
      </c>
      <c r="CK1781" s="342">
        <f t="shared" si="182"/>
        <v>15.84550409</v>
      </c>
      <c r="CL1781" s="333">
        <f t="shared" si="183"/>
        <v>41.54708173</v>
      </c>
      <c r="CM1781" s="1079" t="s">
        <v>2384</v>
      </c>
      <c r="CN1781" s="1005" t="s">
        <v>2635</v>
      </c>
      <c r="CO1781" s="1005" t="s">
        <v>2507</v>
      </c>
      <c r="CP1781" s="1005" t="s">
        <v>2400</v>
      </c>
    </row>
    <row r="1782">
      <c r="A1782" s="266"/>
      <c r="B1782" s="1113" t="s">
        <v>2134</v>
      </c>
      <c r="C1782" s="1107">
        <v>45470.0</v>
      </c>
      <c r="D1782" s="1113" t="s">
        <v>986</v>
      </c>
      <c r="E1782" s="1108">
        <v>7.0</v>
      </c>
      <c r="F1782" s="112" t="s">
        <v>2639</v>
      </c>
      <c r="G1782" s="1110">
        <v>0.6480902777777777</v>
      </c>
      <c r="H1782" s="1110">
        <v>0.6486111111111111</v>
      </c>
      <c r="I1782" s="1110"/>
      <c r="J1782" s="1111"/>
      <c r="K1782" s="1111">
        <v>0.6800347222222223</v>
      </c>
      <c r="L1782" s="1112">
        <v>0.03125</v>
      </c>
      <c r="M1782" s="1113" t="s">
        <v>166</v>
      </c>
      <c r="N1782" s="110" t="s">
        <v>188</v>
      </c>
      <c r="O1782" s="1115" t="s">
        <v>196</v>
      </c>
      <c r="P1782" s="1115" t="s">
        <v>224</v>
      </c>
      <c r="Q1782" s="1115" t="s">
        <v>842</v>
      </c>
      <c r="R1782" s="120">
        <v>21.7</v>
      </c>
      <c r="S1782" s="1113">
        <v>39.5</v>
      </c>
      <c r="T1782" s="110">
        <v>1.3</v>
      </c>
      <c r="U1782" s="1108"/>
      <c r="V1782" s="1108"/>
      <c r="W1782" s="1108"/>
      <c r="X1782" s="1108"/>
      <c r="Y1782" s="1108"/>
      <c r="Z1782" s="1114" t="s">
        <v>387</v>
      </c>
      <c r="AA1782" s="1114"/>
      <c r="AB1782" s="1114" t="s">
        <v>413</v>
      </c>
      <c r="AC1782" s="1117">
        <v>24.3</v>
      </c>
      <c r="AD1782" s="1115"/>
      <c r="AE1782" s="1115"/>
      <c r="AF1782" s="1115"/>
      <c r="AG1782" s="1115"/>
      <c r="AH1782" s="1115"/>
      <c r="AI1782" s="1115"/>
      <c r="AJ1782" s="1117"/>
      <c r="AK1782" s="1118"/>
      <c r="AL1782" s="1115"/>
      <c r="AM1782" s="1115"/>
      <c r="AN1782" s="1115"/>
      <c r="AO1782" s="1115"/>
      <c r="AP1782" s="1115"/>
      <c r="AQ1782" s="1115"/>
      <c r="AR1782" s="1115"/>
      <c r="AS1782" s="1117"/>
      <c r="AT1782" s="1196"/>
      <c r="AU1782" s="1193"/>
      <c r="AV1782" s="330">
        <f>SQRT(($R1782-Infrastructure!J$3)^2+($S1782-Infrastructure!K$3)^2)</f>
        <v>24.42048321</v>
      </c>
      <c r="AW1782" s="331">
        <f>SQRT(($R1782-Infrastructure!J$4)^2+($S1782-Infrastructure!K$4)^2)</f>
        <v>30.90129447</v>
      </c>
      <c r="AX1782" s="331">
        <f>SQRT(($R1782-Infrastructure!J$5)^2+($S1782-Infrastructure!K$5)^2)</f>
        <v>40.83331973</v>
      </c>
      <c r="AY1782" s="331">
        <f>SQRT(($R1782-Infrastructure!J$6)^2+($S1782-Infrastructure!K$6)^2)</f>
        <v>40.88031311</v>
      </c>
      <c r="AZ1782" s="331">
        <f>SQRT(($R1782-Infrastructure!J$7)^2+($S1782-Infrastructure!K$7)^2)</f>
        <v>39.21836305</v>
      </c>
      <c r="BA1782" s="331">
        <f>SQRT(($R1782-Infrastructure!J$8)^2+($S1782-Infrastructure!K$8)^2)</f>
        <v>40.08989898</v>
      </c>
      <c r="BB1782" s="331">
        <f>SQRT(($R1782-Infrastructure!J$9)^2+($S1782-Infrastructure!K$9)^2)</f>
        <v>38.96472764</v>
      </c>
      <c r="BC1782" s="331">
        <f>SQRT(($R1782-Infrastructure!J$10)^2+($S1782-Infrastructure!K$10)^2)</f>
        <v>30.58005886</v>
      </c>
      <c r="BD1782" s="331">
        <f>SQRT(($R1782-Infrastructure!J$11)^2+($S1782-Infrastructure!K$11)^2)</f>
        <v>21.27204739</v>
      </c>
      <c r="BE1782" s="333">
        <f>SQRT(($R1782-Infrastructure!J$12)^2+($S1782-Infrastructure!K$12)^2)</f>
        <v>16.00124995</v>
      </c>
      <c r="BF1782" s="330">
        <f t="shared" si="161"/>
        <v>16.00124995</v>
      </c>
      <c r="BG1782" s="333">
        <f t="shared" si="162"/>
        <v>40.88031311</v>
      </c>
      <c r="BH1782" s="1119"/>
      <c r="BI1782" s="319" t="str">
        <f t="shared" ref="BI1782:BR1782" si="414">IF(ISNUMBER(FIND(BI$3, $CO1782)), "Y", "")</f>
        <v>Y</v>
      </c>
      <c r="BJ1782" s="319" t="str">
        <f t="shared" si="414"/>
        <v/>
      </c>
      <c r="BK1782" s="319" t="str">
        <f t="shared" si="414"/>
        <v/>
      </c>
      <c r="BL1782" s="319" t="str">
        <f t="shared" si="414"/>
        <v>Y</v>
      </c>
      <c r="BM1782" s="319" t="str">
        <f t="shared" si="414"/>
        <v>Y</v>
      </c>
      <c r="BN1782" s="319" t="str">
        <f t="shared" si="414"/>
        <v>Y</v>
      </c>
      <c r="BO1782" s="319" t="str">
        <f t="shared" si="414"/>
        <v>Y</v>
      </c>
      <c r="BP1782" s="319" t="str">
        <f t="shared" si="414"/>
        <v/>
      </c>
      <c r="BQ1782" s="319" t="str">
        <f t="shared" si="414"/>
        <v>Y</v>
      </c>
      <c r="BR1782" s="319" t="str">
        <f t="shared" si="414"/>
        <v>Y</v>
      </c>
      <c r="BS1782" s="330">
        <f t="shared" si="185"/>
        <v>16.00124995</v>
      </c>
      <c r="BT1782" s="331">
        <f t="shared" si="170"/>
        <v>40.88031311</v>
      </c>
      <c r="BU1782" s="920">
        <v>0.6486921296296296</v>
      </c>
      <c r="BV1782" s="903">
        <f t="shared" si="186"/>
        <v>0.0006018518519</v>
      </c>
      <c r="BW1782" s="908">
        <v>13.3</v>
      </c>
      <c r="BX1782" s="908">
        <v>39.0</v>
      </c>
      <c r="BY1782" s="331">
        <f t="shared" si="201"/>
        <v>8.414867795</v>
      </c>
      <c r="BZ1782" s="331"/>
      <c r="CA1782" s="462" t="str">
        <f t="shared" ref="CA1782:CJ1782" si="415">IF(ISNUMBER(FIND(BI$3, $CP1782)), "Y", "")</f>
        <v>Y</v>
      </c>
      <c r="CB1782" s="319" t="str">
        <f t="shared" si="415"/>
        <v>Y</v>
      </c>
      <c r="CC1782" s="319" t="str">
        <f t="shared" si="415"/>
        <v>Y</v>
      </c>
      <c r="CD1782" s="319" t="str">
        <f t="shared" si="415"/>
        <v>Y</v>
      </c>
      <c r="CE1782" s="319" t="str">
        <f t="shared" si="415"/>
        <v>Y</v>
      </c>
      <c r="CF1782" s="319" t="str">
        <f t="shared" si="415"/>
        <v>Y</v>
      </c>
      <c r="CG1782" s="319" t="str">
        <f t="shared" si="415"/>
        <v>Y</v>
      </c>
      <c r="CH1782" s="319" t="str">
        <f t="shared" si="415"/>
        <v/>
      </c>
      <c r="CI1782" s="319" t="str">
        <f t="shared" si="415"/>
        <v>Y</v>
      </c>
      <c r="CJ1782" s="319" t="str">
        <f t="shared" si="415"/>
        <v>Y</v>
      </c>
      <c r="CK1782" s="342">
        <f t="shared" si="182"/>
        <v>16.00124995</v>
      </c>
      <c r="CL1782" s="333">
        <f t="shared" si="183"/>
        <v>40.88031311</v>
      </c>
      <c r="CM1782" s="1079" t="s">
        <v>2384</v>
      </c>
      <c r="CN1782" s="1005" t="s">
        <v>2635</v>
      </c>
      <c r="CO1782" s="1005" t="s">
        <v>2590</v>
      </c>
      <c r="CP1782" s="1005" t="s">
        <v>2400</v>
      </c>
    </row>
    <row r="1783">
      <c r="A1783" s="1258"/>
      <c r="B1783" s="1129" t="s">
        <v>2134</v>
      </c>
      <c r="C1783" s="1122">
        <v>45470.0</v>
      </c>
      <c r="D1783" s="1129" t="s">
        <v>986</v>
      </c>
      <c r="E1783" s="1124">
        <v>8.0</v>
      </c>
      <c r="F1783" s="108" t="s">
        <v>2640</v>
      </c>
      <c r="G1783" s="1126">
        <v>0.6913194444444445</v>
      </c>
      <c r="H1783" s="1126">
        <v>0.6916666666666667</v>
      </c>
      <c r="I1783" s="1126"/>
      <c r="J1783" s="1127"/>
      <c r="K1783" s="1127">
        <v>0.7250578703703704</v>
      </c>
      <c r="L1783" s="1128">
        <v>0.03333333333333333</v>
      </c>
      <c r="M1783" s="1129" t="s">
        <v>166</v>
      </c>
      <c r="N1783" s="100" t="s">
        <v>187</v>
      </c>
      <c r="O1783" s="1131" t="s">
        <v>202</v>
      </c>
      <c r="P1783" s="1131" t="s">
        <v>256</v>
      </c>
      <c r="Q1783" s="1132"/>
      <c r="R1783" s="137">
        <v>24.4</v>
      </c>
      <c r="S1783" s="1129">
        <v>7.5</v>
      </c>
      <c r="T1783" s="100">
        <v>0.6</v>
      </c>
      <c r="U1783" s="1124"/>
      <c r="V1783" s="1124"/>
      <c r="W1783" s="1124"/>
      <c r="X1783" s="1124"/>
      <c r="Y1783" s="1124"/>
      <c r="Z1783" s="1130" t="s">
        <v>335</v>
      </c>
      <c r="AA1783" s="1130"/>
      <c r="AB1783" s="1130" t="s">
        <v>345</v>
      </c>
      <c r="AC1783" s="1133">
        <v>4.0</v>
      </c>
      <c r="AD1783" s="1131"/>
      <c r="AE1783" s="1131"/>
      <c r="AF1783" s="1131"/>
      <c r="AG1783" s="1131"/>
      <c r="AH1783" s="1131"/>
      <c r="AI1783" s="1131"/>
      <c r="AJ1783" s="1133"/>
      <c r="AK1783" s="1134"/>
      <c r="AL1783" s="1131"/>
      <c r="AM1783" s="1131"/>
      <c r="AN1783" s="1131"/>
      <c r="AO1783" s="1131"/>
      <c r="AP1783" s="1131"/>
      <c r="AQ1783" s="1131"/>
      <c r="AR1783" s="1131"/>
      <c r="AS1783" s="1133"/>
      <c r="AT1783" s="1197"/>
      <c r="AU1783" s="1194"/>
      <c r="AV1783" s="662">
        <f>SQRT(($R1783-Infrastructure!J$3)^2+($S1783-Infrastructure!K$3)^2)</f>
        <v>32.68103426</v>
      </c>
      <c r="AW1783" s="641">
        <f>SQRT(($R1783-Infrastructure!J$4)^2+($S1783-Infrastructure!K$4)^2)</f>
        <v>26.76153957</v>
      </c>
      <c r="AX1783" s="641">
        <f>SQRT(($R1783-Infrastructure!J$5)^2+($S1783-Infrastructure!K$5)^2)</f>
        <v>24.81632527</v>
      </c>
      <c r="AY1783" s="641">
        <f>SQRT(($R1783-Infrastructure!J$6)^2+($S1783-Infrastructure!K$6)^2)</f>
        <v>16.01030918</v>
      </c>
      <c r="AZ1783" s="641">
        <f>SQRT(($R1783-Infrastructure!J$7)^2+($S1783-Infrastructure!K$7)^2)</f>
        <v>8.188406438</v>
      </c>
      <c r="BA1783" s="641">
        <f>SQRT(($R1783-Infrastructure!J$8)^2+($S1783-Infrastructure!K$8)^2)</f>
        <v>9.183136719</v>
      </c>
      <c r="BB1783" s="641">
        <f>SQRT(($R1783-Infrastructure!J$9)^2+($S1783-Infrastructure!K$9)^2)</f>
        <v>15.78353573</v>
      </c>
      <c r="BC1783" s="641">
        <f>SQRT(($R1783-Infrastructure!J$10)^2+($S1783-Infrastructure!K$10)^2)</f>
        <v>17.30924608</v>
      </c>
      <c r="BD1783" s="641">
        <f>SQRT(($R1783-Infrastructure!J$11)^2+($S1783-Infrastructure!K$11)^2)</f>
        <v>26.68126684</v>
      </c>
      <c r="BE1783" s="642">
        <f>SQRT(($R1783-Infrastructure!J$12)^2+($S1783-Infrastructure!K$12)^2)</f>
        <v>48.08752437</v>
      </c>
      <c r="BF1783" s="662">
        <f t="shared" si="161"/>
        <v>8.188406438</v>
      </c>
      <c r="BG1783" s="642">
        <f t="shared" si="162"/>
        <v>48.08752437</v>
      </c>
      <c r="BH1783" s="1135"/>
      <c r="BI1783" s="663" t="str">
        <f t="shared" ref="BI1783:BR1783" si="416">IF(ISNUMBER(FIND(BI$3, $CO1783)), "Y", "")</f>
        <v/>
      </c>
      <c r="BJ1783" s="663" t="str">
        <f t="shared" si="416"/>
        <v/>
      </c>
      <c r="BK1783" s="663" t="str">
        <f t="shared" si="416"/>
        <v/>
      </c>
      <c r="BL1783" s="663" t="str">
        <f t="shared" si="416"/>
        <v/>
      </c>
      <c r="BM1783" s="663" t="str">
        <f t="shared" si="416"/>
        <v>Y</v>
      </c>
      <c r="BN1783" s="663" t="str">
        <f t="shared" si="416"/>
        <v>Y</v>
      </c>
      <c r="BO1783" s="663" t="str">
        <f t="shared" si="416"/>
        <v>Y</v>
      </c>
      <c r="BP1783" s="663" t="str">
        <f t="shared" si="416"/>
        <v/>
      </c>
      <c r="BQ1783" s="663" t="str">
        <f t="shared" si="416"/>
        <v>Y</v>
      </c>
      <c r="BR1783" s="663" t="str">
        <f t="shared" si="416"/>
        <v/>
      </c>
      <c r="BS1783" s="662">
        <f t="shared" si="185"/>
        <v>8.188406438</v>
      </c>
      <c r="BT1783" s="641">
        <f t="shared" si="170"/>
        <v>26.68126684</v>
      </c>
      <c r="BU1783" s="937">
        <v>0.695324074074074</v>
      </c>
      <c r="BV1783" s="930">
        <f t="shared" si="186"/>
        <v>0.00400462963</v>
      </c>
      <c r="BW1783" s="939">
        <v>20.0</v>
      </c>
      <c r="BX1783" s="939">
        <v>37.6</v>
      </c>
      <c r="BY1783" s="641">
        <f t="shared" si="201"/>
        <v>30.41989481</v>
      </c>
      <c r="BZ1783" s="641"/>
      <c r="CA1783" s="635" t="str">
        <f t="shared" ref="CA1783:CJ1783" si="417">IF(ISNUMBER(FIND(BI$3, $CP1783)), "Y", "")</f>
        <v/>
      </c>
      <c r="CB1783" s="663" t="str">
        <f t="shared" si="417"/>
        <v/>
      </c>
      <c r="CC1783" s="663" t="str">
        <f t="shared" si="417"/>
        <v/>
      </c>
      <c r="CD1783" s="663" t="str">
        <f t="shared" si="417"/>
        <v>Y</v>
      </c>
      <c r="CE1783" s="663" t="str">
        <f t="shared" si="417"/>
        <v>Y</v>
      </c>
      <c r="CF1783" s="663" t="str">
        <f t="shared" si="417"/>
        <v>Y</v>
      </c>
      <c r="CG1783" s="663" t="str">
        <f t="shared" si="417"/>
        <v>Y</v>
      </c>
      <c r="CH1783" s="663" t="str">
        <f t="shared" si="417"/>
        <v/>
      </c>
      <c r="CI1783" s="663" t="str">
        <f t="shared" si="417"/>
        <v>Y</v>
      </c>
      <c r="CJ1783" s="663" t="str">
        <f t="shared" si="417"/>
        <v>Y</v>
      </c>
      <c r="CK1783" s="743">
        <f t="shared" si="182"/>
        <v>8.188406438</v>
      </c>
      <c r="CL1783" s="642">
        <f t="shared" si="183"/>
        <v>48.08752437</v>
      </c>
      <c r="CM1783" s="1090" t="s">
        <v>2421</v>
      </c>
      <c r="CN1783" s="1036" t="s">
        <v>2635</v>
      </c>
      <c r="CO1783" s="1036" t="s">
        <v>2564</v>
      </c>
      <c r="CP1783" s="1036" t="s">
        <v>2555</v>
      </c>
    </row>
    <row r="1784">
      <c r="A1784" s="1257" t="s">
        <v>107</v>
      </c>
      <c r="B1784" s="1113" t="s">
        <v>2134</v>
      </c>
      <c r="C1784" s="1107">
        <v>45471.0</v>
      </c>
      <c r="D1784" s="1113" t="s">
        <v>986</v>
      </c>
      <c r="E1784" s="1108">
        <v>1.0</v>
      </c>
      <c r="F1784" s="112" t="s">
        <v>2641</v>
      </c>
      <c r="G1784" s="1110">
        <v>0.375</v>
      </c>
      <c r="H1784" s="1110">
        <v>0.3753472222222222</v>
      </c>
      <c r="I1784" s="1110"/>
      <c r="J1784" s="1111"/>
      <c r="K1784" s="1111">
        <v>0.4079861111111111</v>
      </c>
      <c r="L1784" s="1112">
        <v>0.03263888888888889</v>
      </c>
      <c r="M1784" s="1113" t="s">
        <v>166</v>
      </c>
      <c r="N1784" s="110" t="s">
        <v>187</v>
      </c>
      <c r="O1784" s="1115" t="s">
        <v>198</v>
      </c>
      <c r="P1784" s="1115" t="s">
        <v>223</v>
      </c>
      <c r="Q1784" s="1116"/>
      <c r="R1784" s="120">
        <v>10.0</v>
      </c>
      <c r="S1784" s="1113">
        <v>11.7</v>
      </c>
      <c r="T1784" s="110">
        <v>0.5</v>
      </c>
      <c r="U1784" s="1108"/>
      <c r="V1784" s="1108"/>
      <c r="W1784" s="1108"/>
      <c r="X1784" s="1108"/>
      <c r="Y1784" s="1108"/>
      <c r="Z1784" s="1114" t="s">
        <v>343</v>
      </c>
      <c r="AA1784" s="1114"/>
      <c r="AB1784" s="1114" t="s">
        <v>384</v>
      </c>
      <c r="AC1784" s="1117">
        <v>6.0</v>
      </c>
      <c r="AD1784" s="1115"/>
      <c r="AE1784" s="1115"/>
      <c r="AF1784" s="1115"/>
      <c r="AG1784" s="1115"/>
      <c r="AH1784" s="1115"/>
      <c r="AI1784" s="1115"/>
      <c r="AJ1784" s="1117"/>
      <c r="AK1784" s="1118"/>
      <c r="AL1784" s="1115"/>
      <c r="AM1784" s="1115"/>
      <c r="AN1784" s="1115"/>
      <c r="AO1784" s="1115"/>
      <c r="AP1784" s="1115"/>
      <c r="AQ1784" s="1115"/>
      <c r="AR1784" s="1115"/>
      <c r="AS1784" s="1117"/>
      <c r="AT1784" s="1196"/>
      <c r="AU1784" s="1193"/>
      <c r="AV1784" s="330">
        <f>SQRT(($R1784-Infrastructure!J$3)^2+($S1784-Infrastructure!K$3)^2)</f>
        <v>20.04819194</v>
      </c>
      <c r="AW1784" s="331">
        <f>SQRT(($R1784-Infrastructure!J$4)^2+($S1784-Infrastructure!K$4)^2)</f>
        <v>11.9707978</v>
      </c>
      <c r="AX1784" s="331">
        <f>SQRT(($R1784-Infrastructure!J$5)^2+($S1784-Infrastructure!K$5)^2)</f>
        <v>12.23315168</v>
      </c>
      <c r="AY1784" s="331">
        <f>SQRT(($R1784-Infrastructure!J$6)^2+($S1784-Infrastructure!K$6)^2)</f>
        <v>11.40043859</v>
      </c>
      <c r="AZ1784" s="331">
        <f>SQRT(($R1784-Infrastructure!J$7)^2+($S1784-Infrastructure!K$7)^2)</f>
        <v>15.49870962</v>
      </c>
      <c r="BA1784" s="331">
        <f>SQRT(($R1784-Infrastructure!J$8)^2+($S1784-Infrastructure!K$8)^2)</f>
        <v>23.10779089</v>
      </c>
      <c r="BB1784" s="331">
        <f>SQRT(($R1784-Infrastructure!J$9)^2+($S1784-Infrastructure!K$9)^2)</f>
        <v>30.71742177</v>
      </c>
      <c r="BC1784" s="331">
        <f>SQRT(($R1784-Infrastructure!J$10)^2+($S1784-Infrastructure!K$10)^2)</f>
        <v>30.18095426</v>
      </c>
      <c r="BD1784" s="331">
        <f>SQRT(($R1784-Infrastructure!J$11)^2+($S1784-Infrastructure!K$11)^2)</f>
        <v>34.80416642</v>
      </c>
      <c r="BE1784" s="333">
        <f>SQRT(($R1784-Infrastructure!J$12)^2+($S1784-Infrastructure!K$12)^2)</f>
        <v>45.28454482</v>
      </c>
      <c r="BF1784" s="330">
        <f t="shared" si="161"/>
        <v>11.40043859</v>
      </c>
      <c r="BG1784" s="333">
        <f t="shared" si="162"/>
        <v>45.28454482</v>
      </c>
      <c r="BH1784" s="1119"/>
      <c r="BI1784" s="319" t="str">
        <f t="shared" ref="BI1784:BR1784" si="418">IF(ISNUMBER(FIND(BI$3, $CO1784)), "Y", "")</f>
        <v/>
      </c>
      <c r="BJ1784" s="319" t="str">
        <f t="shared" si="418"/>
        <v/>
      </c>
      <c r="BK1784" s="319" t="str">
        <f t="shared" si="418"/>
        <v/>
      </c>
      <c r="BL1784" s="319" t="str">
        <f t="shared" si="418"/>
        <v>Y</v>
      </c>
      <c r="BM1784" s="319" t="str">
        <f t="shared" si="418"/>
        <v>Y</v>
      </c>
      <c r="BN1784" s="319" t="str">
        <f t="shared" si="418"/>
        <v>Y</v>
      </c>
      <c r="BO1784" s="319" t="str">
        <f t="shared" si="418"/>
        <v>Y</v>
      </c>
      <c r="BP1784" s="319" t="str">
        <f t="shared" si="418"/>
        <v/>
      </c>
      <c r="BQ1784" s="319" t="str">
        <f t="shared" si="418"/>
        <v>Y</v>
      </c>
      <c r="BR1784" s="319" t="str">
        <f t="shared" si="418"/>
        <v>Y</v>
      </c>
      <c r="BS1784" s="330">
        <f t="shared" si="185"/>
        <v>11.40043859</v>
      </c>
      <c r="BT1784" s="331">
        <f t="shared" si="170"/>
        <v>45.28454482</v>
      </c>
      <c r="BU1784" s="920">
        <v>0.3782175925925926</v>
      </c>
      <c r="BV1784" s="903">
        <f t="shared" si="186"/>
        <v>0.003217592593</v>
      </c>
      <c r="BW1784" s="908">
        <v>20.9</v>
      </c>
      <c r="BX1784" s="908">
        <v>26.4</v>
      </c>
      <c r="BY1784" s="331">
        <f t="shared" si="201"/>
        <v>18.30027322</v>
      </c>
      <c r="BZ1784" s="331"/>
      <c r="CA1784" s="462" t="str">
        <f t="shared" ref="CA1784:CJ1784" si="419">IF(ISNUMBER(FIND(BI$3, $CP1784)), "Y", "")</f>
        <v/>
      </c>
      <c r="CB1784" s="319" t="str">
        <f t="shared" si="419"/>
        <v/>
      </c>
      <c r="CC1784" s="319" t="str">
        <f t="shared" si="419"/>
        <v/>
      </c>
      <c r="CD1784" s="319" t="str">
        <f t="shared" si="419"/>
        <v>Y</v>
      </c>
      <c r="CE1784" s="319" t="str">
        <f t="shared" si="419"/>
        <v>Y</v>
      </c>
      <c r="CF1784" s="319" t="str">
        <f t="shared" si="419"/>
        <v>Y</v>
      </c>
      <c r="CG1784" s="319" t="str">
        <f t="shared" si="419"/>
        <v>Y</v>
      </c>
      <c r="CH1784" s="319" t="str">
        <f t="shared" si="419"/>
        <v/>
      </c>
      <c r="CI1784" s="319" t="str">
        <f t="shared" si="419"/>
        <v>Y</v>
      </c>
      <c r="CJ1784" s="319" t="str">
        <f t="shared" si="419"/>
        <v>Y</v>
      </c>
      <c r="CK1784" s="342">
        <f t="shared" si="182"/>
        <v>11.40043859</v>
      </c>
      <c r="CL1784" s="333">
        <f t="shared" si="183"/>
        <v>45.28454482</v>
      </c>
      <c r="CM1784" s="1079" t="s">
        <v>2630</v>
      </c>
      <c r="CN1784" s="1005" t="s">
        <v>2642</v>
      </c>
      <c r="CO1784" s="1005" t="s">
        <v>2555</v>
      </c>
      <c r="CP1784" s="1005" t="s">
        <v>2555</v>
      </c>
    </row>
    <row r="1785">
      <c r="A1785" s="266"/>
      <c r="B1785" s="1113" t="s">
        <v>2134</v>
      </c>
      <c r="C1785" s="1107">
        <v>45471.0</v>
      </c>
      <c r="D1785" s="1113" t="s">
        <v>986</v>
      </c>
      <c r="E1785" s="1108">
        <v>2.0</v>
      </c>
      <c r="F1785" s="112" t="s">
        <v>2643</v>
      </c>
      <c r="G1785" s="1110">
        <v>0.42407407407407405</v>
      </c>
      <c r="H1785" s="1110">
        <v>0.42430555555555555</v>
      </c>
      <c r="I1785" s="1110"/>
      <c r="J1785" s="1111"/>
      <c r="K1785" s="1111">
        <v>0.45555555555555555</v>
      </c>
      <c r="L1785" s="1112">
        <v>0.03125</v>
      </c>
      <c r="M1785" s="1113" t="s">
        <v>166</v>
      </c>
      <c r="N1785" s="110" t="s">
        <v>187</v>
      </c>
      <c r="O1785" s="1115" t="s">
        <v>203</v>
      </c>
      <c r="P1785" s="1115" t="s">
        <v>250</v>
      </c>
      <c r="Q1785" s="1116"/>
      <c r="R1785" s="120">
        <v>15.1</v>
      </c>
      <c r="S1785" s="1113">
        <v>2.4</v>
      </c>
      <c r="T1785" s="110">
        <v>1.2</v>
      </c>
      <c r="U1785" s="1108"/>
      <c r="V1785" s="1108"/>
      <c r="W1785" s="1108"/>
      <c r="X1785" s="1108"/>
      <c r="Y1785" s="1108"/>
      <c r="Z1785" s="1114" t="s">
        <v>1690</v>
      </c>
      <c r="AA1785" s="1114"/>
      <c r="AB1785" s="1114" t="s">
        <v>371</v>
      </c>
      <c r="AC1785" s="1117">
        <v>1.8</v>
      </c>
      <c r="AD1785" s="1115"/>
      <c r="AE1785" s="1115"/>
      <c r="AF1785" s="1115"/>
      <c r="AG1785" s="1115"/>
      <c r="AH1785" s="1115"/>
      <c r="AI1785" s="1115"/>
      <c r="AJ1785" s="1117"/>
      <c r="AK1785" s="1118"/>
      <c r="AL1785" s="1115"/>
      <c r="AM1785" s="1115"/>
      <c r="AN1785" s="1115"/>
      <c r="AO1785" s="1115"/>
      <c r="AP1785" s="1115"/>
      <c r="AQ1785" s="1115"/>
      <c r="AR1785" s="1115"/>
      <c r="AS1785" s="1117"/>
      <c r="AT1785" s="1196"/>
      <c r="AU1785" s="1193"/>
      <c r="AV1785" s="330">
        <f>SQRT(($R1785-Infrastructure!J$3)^2+($S1785-Infrastructure!K$3)^2)</f>
        <v>30.64979608</v>
      </c>
      <c r="AW1785" s="331">
        <f>SQRT(($R1785-Infrastructure!J$4)^2+($S1785-Infrastructure!K$4)^2)</f>
        <v>21.77888886</v>
      </c>
      <c r="AX1785" s="331">
        <f>SQRT(($R1785-Infrastructure!J$5)^2+($S1785-Infrastructure!K$5)^2)</f>
        <v>15.63489687</v>
      </c>
      <c r="AY1785" s="331">
        <f>SQRT(($R1785-Infrastructure!J$6)^2+($S1785-Infrastructure!K$6)^2)</f>
        <v>5.423098745</v>
      </c>
      <c r="AZ1785" s="331">
        <f>SQRT(($R1785-Infrastructure!J$7)^2+($S1785-Infrastructure!K$7)^2)</f>
        <v>5.793962375</v>
      </c>
      <c r="BA1785" s="331">
        <f>SQRT(($R1785-Infrastructure!J$8)^2+($S1785-Infrastructure!K$8)^2)</f>
        <v>15.14628667</v>
      </c>
      <c r="BB1785" s="331">
        <f>SQRT(($R1785-Infrastructure!J$9)^2+($S1785-Infrastructure!K$9)^2)</f>
        <v>25.04595776</v>
      </c>
      <c r="BC1785" s="331">
        <f>SQRT(($R1785-Infrastructure!J$10)^2+($S1785-Infrastructure!K$10)^2)</f>
        <v>27.90645087</v>
      </c>
      <c r="BD1785" s="331">
        <f>SQRT(($R1785-Infrastructure!J$11)^2+($S1785-Infrastructure!K$11)^2)</f>
        <v>36.5728041</v>
      </c>
      <c r="BE1785" s="333">
        <f>SQRT(($R1785-Infrastructure!J$12)^2+($S1785-Infrastructure!K$12)^2)</f>
        <v>53.48429676</v>
      </c>
      <c r="BF1785" s="330">
        <f t="shared" si="161"/>
        <v>5.423098745</v>
      </c>
      <c r="BG1785" s="333">
        <f t="shared" si="162"/>
        <v>53.48429676</v>
      </c>
      <c r="BH1785" s="1119"/>
      <c r="BI1785" s="319" t="str">
        <f t="shared" ref="BI1785:BR1785" si="420">IF(ISNUMBER(FIND(BI$3, $CO1785)), "Y", "")</f>
        <v>Y</v>
      </c>
      <c r="BJ1785" s="319" t="str">
        <f t="shared" si="420"/>
        <v>Y</v>
      </c>
      <c r="BK1785" s="319" t="str">
        <f t="shared" si="420"/>
        <v>Y</v>
      </c>
      <c r="BL1785" s="319" t="str">
        <f t="shared" si="420"/>
        <v>Y</v>
      </c>
      <c r="BM1785" s="319" t="str">
        <f t="shared" si="420"/>
        <v>Y</v>
      </c>
      <c r="BN1785" s="319" t="str">
        <f t="shared" si="420"/>
        <v>Y</v>
      </c>
      <c r="BO1785" s="319" t="str">
        <f t="shared" si="420"/>
        <v>Y</v>
      </c>
      <c r="BP1785" s="319" t="str">
        <f t="shared" si="420"/>
        <v/>
      </c>
      <c r="BQ1785" s="319" t="str">
        <f t="shared" si="420"/>
        <v>Y</v>
      </c>
      <c r="BR1785" s="319" t="str">
        <f t="shared" si="420"/>
        <v>Y</v>
      </c>
      <c r="BS1785" s="330">
        <f t="shared" si="185"/>
        <v>5.423098745</v>
      </c>
      <c r="BT1785" s="331">
        <f t="shared" si="170"/>
        <v>53.48429676</v>
      </c>
      <c r="BU1785" s="920">
        <v>0.43114583333333334</v>
      </c>
      <c r="BV1785" s="903">
        <f t="shared" si="186"/>
        <v>0.007071759259</v>
      </c>
      <c r="BW1785" s="908">
        <v>8.1</v>
      </c>
      <c r="BX1785" s="908">
        <v>38.0</v>
      </c>
      <c r="BY1785" s="331">
        <f t="shared" si="201"/>
        <v>36.28167582</v>
      </c>
      <c r="BZ1785" s="331"/>
      <c r="CA1785" s="462" t="str">
        <f t="shared" ref="CA1785:CJ1785" si="421">IF(ISNUMBER(FIND(BI$3, $CP1785)), "Y", "")</f>
        <v/>
      </c>
      <c r="CB1785" s="319" t="str">
        <f t="shared" si="421"/>
        <v/>
      </c>
      <c r="CC1785" s="319" t="str">
        <f t="shared" si="421"/>
        <v/>
      </c>
      <c r="CD1785" s="319" t="str">
        <f t="shared" si="421"/>
        <v/>
      </c>
      <c r="CE1785" s="319" t="str">
        <f t="shared" si="421"/>
        <v/>
      </c>
      <c r="CF1785" s="319" t="str">
        <f t="shared" si="421"/>
        <v/>
      </c>
      <c r="CG1785" s="319" t="str">
        <f t="shared" si="421"/>
        <v/>
      </c>
      <c r="CH1785" s="319" t="str">
        <f t="shared" si="421"/>
        <v/>
      </c>
      <c r="CI1785" s="319" t="str">
        <f t="shared" si="421"/>
        <v/>
      </c>
      <c r="CJ1785" s="319" t="str">
        <f t="shared" si="421"/>
        <v/>
      </c>
      <c r="CK1785" s="342">
        <f t="shared" si="182"/>
        <v>0</v>
      </c>
      <c r="CL1785" s="333">
        <f t="shared" si="183"/>
        <v>0</v>
      </c>
      <c r="CM1785" s="1079" t="s">
        <v>2355</v>
      </c>
      <c r="CN1785" s="1005" t="s">
        <v>2642</v>
      </c>
      <c r="CO1785" s="1005" t="s">
        <v>2400</v>
      </c>
      <c r="CP1785" s="1005"/>
    </row>
    <row r="1786">
      <c r="A1786" s="266"/>
      <c r="B1786" s="1113" t="s">
        <v>2134</v>
      </c>
      <c r="C1786" s="1107">
        <v>45471.0</v>
      </c>
      <c r="D1786" s="1113" t="s">
        <v>986</v>
      </c>
      <c r="E1786" s="1108">
        <v>3.0</v>
      </c>
      <c r="F1786" s="112" t="s">
        <v>2644</v>
      </c>
      <c r="G1786" s="1110">
        <v>0.4600694444444444</v>
      </c>
      <c r="H1786" s="1110">
        <v>0.4605902777777778</v>
      </c>
      <c r="I1786" s="1110"/>
      <c r="J1786" s="1111"/>
      <c r="K1786" s="1111">
        <v>0.4925347222222222</v>
      </c>
      <c r="L1786" s="1112">
        <v>0.03194444444444444</v>
      </c>
      <c r="M1786" s="1113" t="s">
        <v>166</v>
      </c>
      <c r="N1786" s="110" t="s">
        <v>188</v>
      </c>
      <c r="O1786" s="1115" t="s">
        <v>196</v>
      </c>
      <c r="P1786" s="1115" t="s">
        <v>224</v>
      </c>
      <c r="Q1786" s="1115" t="s">
        <v>842</v>
      </c>
      <c r="R1786" s="120">
        <v>21.7</v>
      </c>
      <c r="S1786" s="1113">
        <v>39.5</v>
      </c>
      <c r="T1786" s="110">
        <v>1.3</v>
      </c>
      <c r="U1786" s="1108"/>
      <c r="V1786" s="1108"/>
      <c r="W1786" s="1108"/>
      <c r="X1786" s="1108"/>
      <c r="Y1786" s="1108"/>
      <c r="Z1786" s="1114" t="s">
        <v>387</v>
      </c>
      <c r="AA1786" s="1114"/>
      <c r="AB1786" s="1114" t="s">
        <v>416</v>
      </c>
      <c r="AC1786" s="1117">
        <v>52.5</v>
      </c>
      <c r="AD1786" s="1115"/>
      <c r="AE1786" s="1115"/>
      <c r="AF1786" s="1115"/>
      <c r="AG1786" s="1115"/>
      <c r="AH1786" s="1115"/>
      <c r="AI1786" s="1115"/>
      <c r="AJ1786" s="1117"/>
      <c r="AK1786" s="1118"/>
      <c r="AL1786" s="1115"/>
      <c r="AM1786" s="1115"/>
      <c r="AN1786" s="1115"/>
      <c r="AO1786" s="1115"/>
      <c r="AP1786" s="1115"/>
      <c r="AQ1786" s="1115"/>
      <c r="AR1786" s="1115"/>
      <c r="AS1786" s="1117"/>
      <c r="AT1786" s="1196"/>
      <c r="AU1786" s="1193"/>
      <c r="AV1786" s="330">
        <f>SQRT(($R1786-Infrastructure!J$3)^2+($S1786-Infrastructure!K$3)^2)</f>
        <v>24.42048321</v>
      </c>
      <c r="AW1786" s="331">
        <f>SQRT(($R1786-Infrastructure!J$4)^2+($S1786-Infrastructure!K$4)^2)</f>
        <v>30.90129447</v>
      </c>
      <c r="AX1786" s="331">
        <f>SQRT(($R1786-Infrastructure!J$5)^2+($S1786-Infrastructure!K$5)^2)</f>
        <v>40.83331973</v>
      </c>
      <c r="AY1786" s="331">
        <f>SQRT(($R1786-Infrastructure!J$6)^2+($S1786-Infrastructure!K$6)^2)</f>
        <v>40.88031311</v>
      </c>
      <c r="AZ1786" s="331">
        <f>SQRT(($R1786-Infrastructure!J$7)^2+($S1786-Infrastructure!K$7)^2)</f>
        <v>39.21836305</v>
      </c>
      <c r="BA1786" s="331">
        <f>SQRT(($R1786-Infrastructure!J$8)^2+($S1786-Infrastructure!K$8)^2)</f>
        <v>40.08989898</v>
      </c>
      <c r="BB1786" s="331">
        <f>SQRT(($R1786-Infrastructure!J$9)^2+($S1786-Infrastructure!K$9)^2)</f>
        <v>38.96472764</v>
      </c>
      <c r="BC1786" s="331">
        <f>SQRT(($R1786-Infrastructure!J$10)^2+($S1786-Infrastructure!K$10)^2)</f>
        <v>30.58005886</v>
      </c>
      <c r="BD1786" s="331">
        <f>SQRT(($R1786-Infrastructure!J$11)^2+($S1786-Infrastructure!K$11)^2)</f>
        <v>21.27204739</v>
      </c>
      <c r="BE1786" s="333">
        <f>SQRT(($R1786-Infrastructure!J$12)^2+($S1786-Infrastructure!K$12)^2)</f>
        <v>16.00124995</v>
      </c>
      <c r="BF1786" s="330">
        <f t="shared" si="161"/>
        <v>16.00124995</v>
      </c>
      <c r="BG1786" s="333">
        <f t="shared" si="162"/>
        <v>40.88031311</v>
      </c>
      <c r="BH1786" s="1119"/>
      <c r="BI1786" s="319" t="str">
        <f t="shared" ref="BI1786:BR1786" si="422">IF(ISNUMBER(FIND(BI$3, $CO1786)), "Y", "")</f>
        <v>Y</v>
      </c>
      <c r="BJ1786" s="319" t="str">
        <f t="shared" si="422"/>
        <v>Y</v>
      </c>
      <c r="BK1786" s="319" t="str">
        <f t="shared" si="422"/>
        <v>Y</v>
      </c>
      <c r="BL1786" s="319" t="str">
        <f t="shared" si="422"/>
        <v>Y</v>
      </c>
      <c r="BM1786" s="319" t="str">
        <f t="shared" si="422"/>
        <v>Y</v>
      </c>
      <c r="BN1786" s="319" t="str">
        <f t="shared" si="422"/>
        <v>Y</v>
      </c>
      <c r="BO1786" s="319" t="str">
        <f t="shared" si="422"/>
        <v/>
      </c>
      <c r="BP1786" s="319" t="str">
        <f t="shared" si="422"/>
        <v/>
      </c>
      <c r="BQ1786" s="319" t="str">
        <f t="shared" si="422"/>
        <v>Y</v>
      </c>
      <c r="BR1786" s="319" t="str">
        <f t="shared" si="422"/>
        <v>Y</v>
      </c>
      <c r="BS1786" s="330">
        <f t="shared" si="185"/>
        <v>16.00124995</v>
      </c>
      <c r="BT1786" s="331">
        <f t="shared" si="170"/>
        <v>40.88031311</v>
      </c>
      <c r="BU1786" s="920">
        <v>0.460625</v>
      </c>
      <c r="BV1786" s="903">
        <f t="shared" si="186"/>
        <v>0.0005555555556</v>
      </c>
      <c r="BW1786" s="908">
        <v>16.1</v>
      </c>
      <c r="BX1786" s="908">
        <v>42.6</v>
      </c>
      <c r="BY1786" s="331">
        <f t="shared" si="201"/>
        <v>6.400781202</v>
      </c>
      <c r="BZ1786" s="331"/>
      <c r="CA1786" s="462" t="str">
        <f t="shared" ref="CA1786:CJ1786" si="423">IF(ISNUMBER(FIND(BI$3, $CP1786)), "Y", "")</f>
        <v>Y</v>
      </c>
      <c r="CB1786" s="319" t="str">
        <f t="shared" si="423"/>
        <v>Y</v>
      </c>
      <c r="CC1786" s="319" t="str">
        <f t="shared" si="423"/>
        <v>Y</v>
      </c>
      <c r="CD1786" s="319" t="str">
        <f t="shared" si="423"/>
        <v>Y</v>
      </c>
      <c r="CE1786" s="319" t="str">
        <f t="shared" si="423"/>
        <v>Y</v>
      </c>
      <c r="CF1786" s="319" t="str">
        <f t="shared" si="423"/>
        <v>Y</v>
      </c>
      <c r="CG1786" s="319" t="str">
        <f t="shared" si="423"/>
        <v>Y</v>
      </c>
      <c r="CH1786" s="319" t="str">
        <f t="shared" si="423"/>
        <v/>
      </c>
      <c r="CI1786" s="319" t="str">
        <f t="shared" si="423"/>
        <v>Y</v>
      </c>
      <c r="CJ1786" s="319" t="str">
        <f t="shared" si="423"/>
        <v>Y</v>
      </c>
      <c r="CK1786" s="342">
        <f t="shared" si="182"/>
        <v>16.00124995</v>
      </c>
      <c r="CL1786" s="333">
        <f t="shared" si="183"/>
        <v>40.88031311</v>
      </c>
      <c r="CM1786" s="1079" t="s">
        <v>2623</v>
      </c>
      <c r="CN1786" s="1005" t="s">
        <v>2642</v>
      </c>
      <c r="CO1786" s="1005" t="s">
        <v>2519</v>
      </c>
      <c r="CP1786" s="1005" t="s">
        <v>2400</v>
      </c>
    </row>
    <row r="1787">
      <c r="A1787" s="266"/>
      <c r="B1787" s="1113" t="s">
        <v>2134</v>
      </c>
      <c r="C1787" s="1107">
        <v>45471.0</v>
      </c>
      <c r="D1787" s="1113" t="s">
        <v>986</v>
      </c>
      <c r="E1787" s="1108">
        <v>4.0</v>
      </c>
      <c r="F1787" s="112" t="s">
        <v>2645</v>
      </c>
      <c r="G1787" s="1110">
        <v>0.5024305555555556</v>
      </c>
      <c r="H1787" s="1110">
        <v>0.5029513888888889</v>
      </c>
      <c r="I1787" s="1110"/>
      <c r="J1787" s="1111"/>
      <c r="K1787" s="1111">
        <v>0.5354166666666667</v>
      </c>
      <c r="L1787" s="1112">
        <v>0.03194444444444444</v>
      </c>
      <c r="M1787" s="1113" t="s">
        <v>166</v>
      </c>
      <c r="N1787" s="110" t="s">
        <v>187</v>
      </c>
      <c r="O1787" s="1115" t="s">
        <v>197</v>
      </c>
      <c r="P1787" s="1115" t="s">
        <v>272</v>
      </c>
      <c r="Q1787" s="1115" t="s">
        <v>842</v>
      </c>
      <c r="R1787" s="120">
        <v>37.1</v>
      </c>
      <c r="S1787" s="1113">
        <v>6.9</v>
      </c>
      <c r="T1787" s="110">
        <v>6.5</v>
      </c>
      <c r="U1787" s="1108"/>
      <c r="V1787" s="1108"/>
      <c r="W1787" s="1108"/>
      <c r="X1787" s="1108"/>
      <c r="Y1787" s="1108"/>
      <c r="Z1787" s="1114" t="s">
        <v>379</v>
      </c>
      <c r="AA1787" s="1114"/>
      <c r="AB1787" s="1114" t="s">
        <v>392</v>
      </c>
      <c r="AC1787" s="1117">
        <v>10.0</v>
      </c>
      <c r="AD1787" s="1115"/>
      <c r="AE1787" s="1115"/>
      <c r="AF1787" s="1115"/>
      <c r="AG1787" s="1115"/>
      <c r="AH1787" s="1115"/>
      <c r="AI1787" s="1115"/>
      <c r="AJ1787" s="1117"/>
      <c r="AK1787" s="1118"/>
      <c r="AL1787" s="1115"/>
      <c r="AM1787" s="1115"/>
      <c r="AN1787" s="1115"/>
      <c r="AO1787" s="1115"/>
      <c r="AP1787" s="1115"/>
      <c r="AQ1787" s="1115"/>
      <c r="AR1787" s="1115"/>
      <c r="AS1787" s="1117"/>
      <c r="AT1787" s="1196"/>
      <c r="AU1787" s="1193"/>
      <c r="AV1787" s="330">
        <f>SQRT(($R1787-Infrastructure!J$3)^2+($S1787-Infrastructure!K$3)^2)</f>
        <v>43.39078243</v>
      </c>
      <c r="AW1787" s="331">
        <f>SQRT(($R1787-Infrastructure!J$4)^2+($S1787-Infrastructure!K$4)^2)</f>
        <v>38.95600082</v>
      </c>
      <c r="AX1787" s="331">
        <f>SQRT(($R1787-Infrastructure!J$5)^2+($S1787-Infrastructure!K$5)^2)</f>
        <v>37.44329045</v>
      </c>
      <c r="AY1787" s="331">
        <f>SQRT(($R1787-Infrastructure!J$6)^2+($S1787-Infrastructure!K$6)^2)</f>
        <v>27.79496357</v>
      </c>
      <c r="AZ1787" s="331">
        <f>SQRT(($R1787-Infrastructure!J$7)^2+($S1787-Infrastructure!K$7)^2)</f>
        <v>17.86393014</v>
      </c>
      <c r="BA1787" s="331">
        <f>SQRT(($R1787-Infrastructure!J$8)^2+($S1787-Infrastructure!K$8)^2)</f>
        <v>9.620810777</v>
      </c>
      <c r="BB1787" s="331">
        <f>SQRT(($R1787-Infrastructure!J$9)^2+($S1787-Infrastructure!K$9)^2)</f>
        <v>3.413209633</v>
      </c>
      <c r="BC1787" s="331">
        <f>SQRT(($R1787-Infrastructure!J$10)^2+($S1787-Infrastructure!K$10)^2)</f>
        <v>8.603487665</v>
      </c>
      <c r="BD1787" s="331">
        <f>SQRT(($R1787-Infrastructure!J$11)^2+($S1787-Infrastructure!K$11)^2)</f>
        <v>22.31636171</v>
      </c>
      <c r="BE1787" s="333">
        <f>SQRT(($R1787-Infrastructure!J$12)^2+($S1787-Infrastructure!K$12)^2)</f>
        <v>51.04233537</v>
      </c>
      <c r="BF1787" s="330">
        <f t="shared" si="161"/>
        <v>3.413209633</v>
      </c>
      <c r="BG1787" s="333">
        <f t="shared" si="162"/>
        <v>51.04233537</v>
      </c>
      <c r="BH1787" s="1119"/>
      <c r="BI1787" s="319" t="str">
        <f t="shared" ref="BI1787:BR1787" si="424">IF(ISNUMBER(FIND(BI$3, $CO1787)), "Y", "")</f>
        <v/>
      </c>
      <c r="BJ1787" s="319" t="str">
        <f t="shared" si="424"/>
        <v/>
      </c>
      <c r="BK1787" s="319" t="str">
        <f t="shared" si="424"/>
        <v/>
      </c>
      <c r="BL1787" s="319" t="str">
        <f t="shared" si="424"/>
        <v/>
      </c>
      <c r="BM1787" s="319" t="str">
        <f t="shared" si="424"/>
        <v>Y</v>
      </c>
      <c r="BN1787" s="319" t="str">
        <f t="shared" si="424"/>
        <v>Y</v>
      </c>
      <c r="BO1787" s="319" t="str">
        <f t="shared" si="424"/>
        <v>Y</v>
      </c>
      <c r="BP1787" s="319" t="str">
        <f t="shared" si="424"/>
        <v/>
      </c>
      <c r="BQ1787" s="319" t="str">
        <f t="shared" si="424"/>
        <v>Y</v>
      </c>
      <c r="BR1787" s="319" t="str">
        <f t="shared" si="424"/>
        <v>Y</v>
      </c>
      <c r="BS1787" s="330">
        <f t="shared" si="185"/>
        <v>3.413209633</v>
      </c>
      <c r="BT1787" s="331">
        <f t="shared" si="170"/>
        <v>51.04233537</v>
      </c>
      <c r="BU1787" s="920">
        <v>0.5030439814814814</v>
      </c>
      <c r="BV1787" s="903">
        <f t="shared" si="186"/>
        <v>0.0006134259259</v>
      </c>
      <c r="BW1787" s="908">
        <v>24.0</v>
      </c>
      <c r="BX1787" s="908">
        <v>23.6</v>
      </c>
      <c r="BY1787" s="331">
        <f t="shared" si="201"/>
        <v>21.22498528</v>
      </c>
      <c r="BZ1787" s="331"/>
      <c r="CA1787" s="462" t="str">
        <f t="shared" ref="CA1787:CJ1787" si="425">IF(ISNUMBER(FIND(BI$3, $CP1787)), "Y", "")</f>
        <v/>
      </c>
      <c r="CB1787" s="319" t="str">
        <f t="shared" si="425"/>
        <v/>
      </c>
      <c r="CC1787" s="319" t="str">
        <f t="shared" si="425"/>
        <v/>
      </c>
      <c r="CD1787" s="319" t="str">
        <f t="shared" si="425"/>
        <v>Y</v>
      </c>
      <c r="CE1787" s="319" t="str">
        <f t="shared" si="425"/>
        <v>Y</v>
      </c>
      <c r="CF1787" s="319" t="str">
        <f t="shared" si="425"/>
        <v>Y</v>
      </c>
      <c r="CG1787" s="319" t="str">
        <f t="shared" si="425"/>
        <v>Y</v>
      </c>
      <c r="CH1787" s="319" t="str">
        <f t="shared" si="425"/>
        <v/>
      </c>
      <c r="CI1787" s="319" t="str">
        <f t="shared" si="425"/>
        <v>Y</v>
      </c>
      <c r="CJ1787" s="319" t="str">
        <f t="shared" si="425"/>
        <v>Y</v>
      </c>
      <c r="CK1787" s="342">
        <f t="shared" si="182"/>
        <v>3.413209633</v>
      </c>
      <c r="CL1787" s="333">
        <f t="shared" si="183"/>
        <v>51.04233537</v>
      </c>
      <c r="CM1787" s="1079" t="s">
        <v>2421</v>
      </c>
      <c r="CN1787" s="1005" t="s">
        <v>2642</v>
      </c>
      <c r="CO1787" s="1005" t="s">
        <v>2512</v>
      </c>
      <c r="CP1787" s="1005" t="s">
        <v>2555</v>
      </c>
    </row>
    <row r="1788">
      <c r="A1788" s="266"/>
      <c r="B1788" s="1113" t="s">
        <v>2134</v>
      </c>
      <c r="C1788" s="1107">
        <v>45471.0</v>
      </c>
      <c r="D1788" s="103"/>
      <c r="E1788" s="1137"/>
      <c r="F1788" s="112" t="s">
        <v>2646</v>
      </c>
      <c r="G1788" s="1110">
        <v>0.6158564814814815</v>
      </c>
      <c r="H1788" s="1138"/>
      <c r="I1788" s="1138"/>
      <c r="J1788" s="1139"/>
      <c r="K1788" s="1111">
        <v>0.6166666666666667</v>
      </c>
      <c r="L1788" s="1112">
        <v>8.101851851851852E-4</v>
      </c>
      <c r="M1788" s="1113" t="s">
        <v>166</v>
      </c>
      <c r="N1788" s="110"/>
      <c r="O1788" s="1140"/>
      <c r="P1788" s="1115" t="s">
        <v>292</v>
      </c>
      <c r="Q1788" s="1116"/>
      <c r="R1788" s="1141"/>
      <c r="S1788" s="1113"/>
      <c r="T1788" s="1143"/>
      <c r="U1788" s="1108"/>
      <c r="V1788" s="1108"/>
      <c r="W1788" s="1108"/>
      <c r="X1788" s="1108"/>
      <c r="Y1788" s="1108"/>
      <c r="Z1788" s="1114" t="s">
        <v>323</v>
      </c>
      <c r="AA1788" s="1114"/>
      <c r="AB1788" s="1114" t="s">
        <v>323</v>
      </c>
      <c r="AC1788" s="1117" t="s">
        <v>323</v>
      </c>
      <c r="AD1788" s="1115"/>
      <c r="AE1788" s="1115"/>
      <c r="AF1788" s="1115"/>
      <c r="AG1788" s="1115"/>
      <c r="AH1788" s="1115"/>
      <c r="AI1788" s="1115"/>
      <c r="AJ1788" s="1117"/>
      <c r="AK1788" s="1118"/>
      <c r="AL1788" s="1115"/>
      <c r="AM1788" s="1115"/>
      <c r="AN1788" s="1115"/>
      <c r="AO1788" s="1115"/>
      <c r="AP1788" s="1115"/>
      <c r="AQ1788" s="1115"/>
      <c r="AR1788" s="1115"/>
      <c r="AS1788" s="1117"/>
      <c r="AT1788" s="1196" t="str">
        <f t="shared" ref="AT1788:AT2464" si="428">IF(ISNUMBER(U1788), IF(AND(U1788&gt;0, U1788&lt;1), "0-1", IF(AND(U1788&gt;=1, U1788&lt;10), "1-10", IF(U1788&gt;=10, "10+", ""))), "")</f>
        <v/>
      </c>
      <c r="AU1788" s="1193"/>
      <c r="AV1788" s="330">
        <f>SQRT(($R1788-Infrastructure!J$3)^2+($S1788-Infrastructure!K$3)^2)</f>
        <v>28.90155705</v>
      </c>
      <c r="AW1788" s="331">
        <f>SQRT(($R1788-Infrastructure!J$4)^2+($S1788-Infrastructure!K$4)^2)</f>
        <v>17.80252791</v>
      </c>
      <c r="AX1788" s="331">
        <f>SQRT(($R1788-Infrastructure!J$5)^2+($S1788-Infrastructure!K$5)^2)</f>
        <v>5.10881591</v>
      </c>
      <c r="AY1788" s="331">
        <f>SQRT(($R1788-Infrastructure!J$6)^2+($S1788-Infrastructure!K$6)^2)</f>
        <v>10.10445446</v>
      </c>
      <c r="AZ1788" s="331">
        <f>SQRT(($R1788-Infrastructure!J$7)^2+($S1788-Infrastructure!K$7)^2)</f>
        <v>20.502195</v>
      </c>
      <c r="BA1788" s="331">
        <f>SQRT(($R1788-Infrastructure!J$8)^2+($S1788-Infrastructure!K$8)^2)</f>
        <v>30.10149498</v>
      </c>
      <c r="BB1788" s="331">
        <f>SQRT(($R1788-Infrastructure!J$9)^2+($S1788-Infrastructure!K$9)^2)</f>
        <v>40.3238143</v>
      </c>
      <c r="BC1788" s="331">
        <f>SQRT(($R1788-Infrastructure!J$10)^2+($S1788-Infrastructure!K$10)^2)</f>
        <v>42.72001873</v>
      </c>
      <c r="BD1788" s="331">
        <f>SQRT(($R1788-Infrastructure!J$11)^2+($S1788-Infrastructure!K$11)^2)</f>
        <v>49.56853841</v>
      </c>
      <c r="BE1788" s="333">
        <f>SQRT(($R1788-Infrastructure!J$12)^2+($S1788-Infrastructure!K$12)^2)</f>
        <v>59.51890456</v>
      </c>
      <c r="BF1788" s="330">
        <f t="shared" si="161"/>
        <v>5.10881591</v>
      </c>
      <c r="BG1788" s="333">
        <f t="shared" si="162"/>
        <v>59.51890456</v>
      </c>
      <c r="BH1788" s="1119"/>
      <c r="BI1788" s="319" t="str">
        <f t="shared" ref="BI1788:BR1788" si="426">IF(ISNUMBER(FIND(BI$3, $CO1788)), "Y", "")</f>
        <v>Y</v>
      </c>
      <c r="BJ1788" s="319" t="str">
        <f t="shared" si="426"/>
        <v>Y</v>
      </c>
      <c r="BK1788" s="319" t="str">
        <f t="shared" si="426"/>
        <v>Y</v>
      </c>
      <c r="BL1788" s="319" t="str">
        <f t="shared" si="426"/>
        <v>Y</v>
      </c>
      <c r="BM1788" s="319" t="str">
        <f t="shared" si="426"/>
        <v>Y</v>
      </c>
      <c r="BN1788" s="319" t="str">
        <f t="shared" si="426"/>
        <v>Y</v>
      </c>
      <c r="BO1788" s="319" t="str">
        <f t="shared" si="426"/>
        <v>Y</v>
      </c>
      <c r="BP1788" s="319" t="str">
        <f t="shared" si="426"/>
        <v/>
      </c>
      <c r="BQ1788" s="319" t="str">
        <f t="shared" si="426"/>
        <v>Y</v>
      </c>
      <c r="BR1788" s="319" t="str">
        <f t="shared" si="426"/>
        <v>Y</v>
      </c>
      <c r="BS1788" s="330">
        <f t="shared" si="185"/>
        <v>5.10881591</v>
      </c>
      <c r="BT1788" s="331">
        <f t="shared" si="170"/>
        <v>59.51890456</v>
      </c>
      <c r="BU1788" s="920">
        <v>0.6164351851851851</v>
      </c>
      <c r="BV1788" s="903">
        <f t="shared" si="186"/>
        <v>0.0005787037037</v>
      </c>
      <c r="BW1788" s="908">
        <v>13.1</v>
      </c>
      <c r="BX1788" s="908">
        <v>43.4</v>
      </c>
      <c r="BY1788" s="331">
        <f t="shared" si="201"/>
        <v>45.33398284</v>
      </c>
      <c r="BZ1788" s="331"/>
      <c r="CA1788" s="462" t="str">
        <f t="shared" ref="CA1788:CJ1788" si="427">IF(ISNUMBER(FIND(BI$3, $CP1788)), "Y", "")</f>
        <v>Y</v>
      </c>
      <c r="CB1788" s="319" t="str">
        <f t="shared" si="427"/>
        <v>Y</v>
      </c>
      <c r="CC1788" s="319" t="str">
        <f t="shared" si="427"/>
        <v>Y</v>
      </c>
      <c r="CD1788" s="319" t="str">
        <f t="shared" si="427"/>
        <v>Y</v>
      </c>
      <c r="CE1788" s="319" t="str">
        <f t="shared" si="427"/>
        <v>Y</v>
      </c>
      <c r="CF1788" s="319" t="str">
        <f t="shared" si="427"/>
        <v>Y</v>
      </c>
      <c r="CG1788" s="319" t="str">
        <f t="shared" si="427"/>
        <v>Y</v>
      </c>
      <c r="CH1788" s="319" t="str">
        <f t="shared" si="427"/>
        <v/>
      </c>
      <c r="CI1788" s="319" t="str">
        <f t="shared" si="427"/>
        <v>Y</v>
      </c>
      <c r="CJ1788" s="319" t="str">
        <f t="shared" si="427"/>
        <v>Y</v>
      </c>
      <c r="CK1788" s="342">
        <f t="shared" si="182"/>
        <v>5.10881591</v>
      </c>
      <c r="CL1788" s="333">
        <f t="shared" si="183"/>
        <v>59.51890456</v>
      </c>
      <c r="CM1788" s="1079" t="s">
        <v>2623</v>
      </c>
      <c r="CN1788" s="1005" t="s">
        <v>2647</v>
      </c>
      <c r="CO1788" s="1005" t="s">
        <v>2400</v>
      </c>
      <c r="CP1788" s="1005" t="s">
        <v>2400</v>
      </c>
    </row>
    <row r="1789">
      <c r="A1789" s="1258"/>
      <c r="B1789" s="1129" t="s">
        <v>2134</v>
      </c>
      <c r="C1789" s="1122">
        <v>45471.0</v>
      </c>
      <c r="D1789" s="1123"/>
      <c r="E1789" s="1144"/>
      <c r="F1789" s="108" t="s">
        <v>2646</v>
      </c>
      <c r="G1789" s="1126">
        <v>0.6194444444444445</v>
      </c>
      <c r="H1789" s="1145"/>
      <c r="I1789" s="1145"/>
      <c r="J1789" s="1146"/>
      <c r="K1789" s="1127">
        <v>0.6222222222222222</v>
      </c>
      <c r="L1789" s="1128">
        <v>0.002777777777777778</v>
      </c>
      <c r="M1789" s="1129" t="s">
        <v>358</v>
      </c>
      <c r="N1789" s="100"/>
      <c r="O1789" s="1161"/>
      <c r="P1789" s="1131" t="s">
        <v>294</v>
      </c>
      <c r="Q1789" s="1132"/>
      <c r="R1789" s="1148"/>
      <c r="S1789" s="1129"/>
      <c r="T1789" s="1150"/>
      <c r="U1789" s="1124"/>
      <c r="V1789" s="1124"/>
      <c r="W1789" s="1124"/>
      <c r="X1789" s="1124"/>
      <c r="Y1789" s="1124"/>
      <c r="Z1789" s="1130" t="s">
        <v>323</v>
      </c>
      <c r="AA1789" s="1130"/>
      <c r="AB1789" s="1130" t="s">
        <v>323</v>
      </c>
      <c r="AC1789" s="1133" t="s">
        <v>323</v>
      </c>
      <c r="AD1789" s="1131"/>
      <c r="AE1789" s="1131"/>
      <c r="AF1789" s="1131"/>
      <c r="AG1789" s="1131"/>
      <c r="AH1789" s="1131"/>
      <c r="AI1789" s="1131"/>
      <c r="AJ1789" s="1133"/>
      <c r="AK1789" s="1134"/>
      <c r="AL1789" s="1131"/>
      <c r="AM1789" s="1131"/>
      <c r="AN1789" s="1131"/>
      <c r="AO1789" s="1131"/>
      <c r="AP1789" s="1131"/>
      <c r="AQ1789" s="1131"/>
      <c r="AR1789" s="1131"/>
      <c r="AS1789" s="1133"/>
      <c r="AT1789" s="1197" t="str">
        <f t="shared" si="428"/>
        <v/>
      </c>
      <c r="AU1789" s="1194"/>
      <c r="AV1789" s="662">
        <f>SQRT(($R1789-Infrastructure!J$3)^2+($S1789-Infrastructure!K$3)^2)</f>
        <v>28.90155705</v>
      </c>
      <c r="AW1789" s="641">
        <f>SQRT(($R1789-Infrastructure!J$4)^2+($S1789-Infrastructure!K$4)^2)</f>
        <v>17.80252791</v>
      </c>
      <c r="AX1789" s="641">
        <f>SQRT(($R1789-Infrastructure!J$5)^2+($S1789-Infrastructure!K$5)^2)</f>
        <v>5.10881591</v>
      </c>
      <c r="AY1789" s="641">
        <f>SQRT(($R1789-Infrastructure!J$6)^2+($S1789-Infrastructure!K$6)^2)</f>
        <v>10.10445446</v>
      </c>
      <c r="AZ1789" s="641">
        <f>SQRT(($R1789-Infrastructure!J$7)^2+($S1789-Infrastructure!K$7)^2)</f>
        <v>20.502195</v>
      </c>
      <c r="BA1789" s="641">
        <f>SQRT(($R1789-Infrastructure!J$8)^2+($S1789-Infrastructure!K$8)^2)</f>
        <v>30.10149498</v>
      </c>
      <c r="BB1789" s="641">
        <f>SQRT(($R1789-Infrastructure!J$9)^2+($S1789-Infrastructure!K$9)^2)</f>
        <v>40.3238143</v>
      </c>
      <c r="BC1789" s="641">
        <f>SQRT(($R1789-Infrastructure!J$10)^2+($S1789-Infrastructure!K$10)^2)</f>
        <v>42.72001873</v>
      </c>
      <c r="BD1789" s="641">
        <f>SQRT(($R1789-Infrastructure!J$11)^2+($S1789-Infrastructure!K$11)^2)</f>
        <v>49.56853841</v>
      </c>
      <c r="BE1789" s="642">
        <f>SQRT(($R1789-Infrastructure!J$12)^2+($S1789-Infrastructure!K$12)^2)</f>
        <v>59.51890456</v>
      </c>
      <c r="BF1789" s="662">
        <f t="shared" si="161"/>
        <v>5.10881591</v>
      </c>
      <c r="BG1789" s="642">
        <f t="shared" si="162"/>
        <v>59.51890456</v>
      </c>
      <c r="BH1789" s="1135"/>
      <c r="BI1789" s="663" t="str">
        <f t="shared" ref="BI1789:BR1789" si="429">IF(ISNUMBER(FIND(BI$3, $CO1789)), "Y", "")</f>
        <v/>
      </c>
      <c r="BJ1789" s="663" t="str">
        <f t="shared" si="429"/>
        <v/>
      </c>
      <c r="BK1789" s="663" t="str">
        <f t="shared" si="429"/>
        <v/>
      </c>
      <c r="BL1789" s="663" t="str">
        <f t="shared" si="429"/>
        <v>Y</v>
      </c>
      <c r="BM1789" s="663" t="str">
        <f t="shared" si="429"/>
        <v>Y</v>
      </c>
      <c r="BN1789" s="663" t="str">
        <f t="shared" si="429"/>
        <v>Y</v>
      </c>
      <c r="BO1789" s="663" t="str">
        <f t="shared" si="429"/>
        <v/>
      </c>
      <c r="BP1789" s="663" t="str">
        <f t="shared" si="429"/>
        <v/>
      </c>
      <c r="BQ1789" s="663" t="str">
        <f t="shared" si="429"/>
        <v/>
      </c>
      <c r="BR1789" s="663" t="str">
        <f t="shared" si="429"/>
        <v>Y</v>
      </c>
      <c r="BS1789" s="662">
        <f t="shared" si="185"/>
        <v>10.10445446</v>
      </c>
      <c r="BT1789" s="641">
        <f t="shared" si="170"/>
        <v>59.51890456</v>
      </c>
      <c r="BU1789" s="937">
        <v>0.6217592592592592</v>
      </c>
      <c r="BV1789" s="930">
        <f t="shared" si="186"/>
        <v>0.002314814815</v>
      </c>
      <c r="BW1789" s="939">
        <v>8.4</v>
      </c>
      <c r="BX1789" s="939">
        <v>29.7</v>
      </c>
      <c r="BY1789" s="641">
        <f t="shared" si="201"/>
        <v>30.86502875</v>
      </c>
      <c r="BZ1789" s="641"/>
      <c r="CA1789" s="635" t="str">
        <f t="shared" ref="CA1789:CJ1789" si="430">IF(ISNUMBER(FIND(BI$3, $CP1789)), "Y", "")</f>
        <v>Y</v>
      </c>
      <c r="CB1789" s="663" t="str">
        <f t="shared" si="430"/>
        <v>Y</v>
      </c>
      <c r="CC1789" s="663" t="str">
        <f t="shared" si="430"/>
        <v>Y</v>
      </c>
      <c r="CD1789" s="663" t="str">
        <f t="shared" si="430"/>
        <v>Y</v>
      </c>
      <c r="CE1789" s="663" t="str">
        <f t="shared" si="430"/>
        <v>Y</v>
      </c>
      <c r="CF1789" s="663" t="str">
        <f t="shared" si="430"/>
        <v>Y</v>
      </c>
      <c r="CG1789" s="663" t="str">
        <f t="shared" si="430"/>
        <v>Y</v>
      </c>
      <c r="CH1789" s="663" t="str">
        <f t="shared" si="430"/>
        <v/>
      </c>
      <c r="CI1789" s="663" t="str">
        <f t="shared" si="430"/>
        <v>Y</v>
      </c>
      <c r="CJ1789" s="663" t="str">
        <f t="shared" si="430"/>
        <v>Y</v>
      </c>
      <c r="CK1789" s="743">
        <f t="shared" si="182"/>
        <v>5.10881591</v>
      </c>
      <c r="CL1789" s="642">
        <f t="shared" si="183"/>
        <v>59.51890456</v>
      </c>
      <c r="CM1789" s="1090" t="s">
        <v>2623</v>
      </c>
      <c r="CN1789" s="1036" t="s">
        <v>2647</v>
      </c>
      <c r="CO1789" s="1036" t="s">
        <v>2648</v>
      </c>
      <c r="CP1789" s="1036" t="s">
        <v>2400</v>
      </c>
    </row>
    <row r="1790">
      <c r="A1790" s="1257" t="s">
        <v>108</v>
      </c>
      <c r="B1790" s="1113" t="s">
        <v>2649</v>
      </c>
      <c r="C1790" s="1107">
        <v>45481.0</v>
      </c>
      <c r="D1790" s="1113" t="s">
        <v>986</v>
      </c>
      <c r="E1790" s="1108" t="s">
        <v>1453</v>
      </c>
      <c r="F1790" s="112" t="s">
        <v>2650</v>
      </c>
      <c r="G1790" s="1110">
        <v>0.6736111111111112</v>
      </c>
      <c r="H1790" s="1110">
        <v>0.6743055555555556</v>
      </c>
      <c r="I1790" s="1110"/>
      <c r="J1790" s="1111"/>
      <c r="K1790" s="1111">
        <v>0.7095486111111111</v>
      </c>
      <c r="L1790" s="1112">
        <v>0.035243055555555555</v>
      </c>
      <c r="M1790" s="1113" t="s">
        <v>168</v>
      </c>
      <c r="N1790" s="110" t="s">
        <v>188</v>
      </c>
      <c r="O1790" s="1115" t="s">
        <v>196</v>
      </c>
      <c r="P1790" s="1115" t="s">
        <v>224</v>
      </c>
      <c r="Q1790" s="1115" t="s">
        <v>842</v>
      </c>
      <c r="R1790" s="120">
        <v>21.7</v>
      </c>
      <c r="S1790" s="1113">
        <v>39.5</v>
      </c>
      <c r="T1790" s="110">
        <v>1.3</v>
      </c>
      <c r="U1790" s="1108">
        <v>30.64</v>
      </c>
      <c r="V1790" s="1108"/>
      <c r="W1790" s="1108"/>
      <c r="X1790" s="1108"/>
      <c r="Y1790" s="1108"/>
      <c r="Z1790" s="1114" t="s">
        <v>387</v>
      </c>
      <c r="AA1790" s="1114"/>
      <c r="AB1790" s="1114" t="s">
        <v>413</v>
      </c>
      <c r="AC1790" s="1117">
        <v>24.3</v>
      </c>
      <c r="AD1790" s="1115"/>
      <c r="AE1790" s="1115"/>
      <c r="AF1790" s="1115"/>
      <c r="AG1790" s="1115"/>
      <c r="AH1790" s="1115"/>
      <c r="AI1790" s="1115"/>
      <c r="AJ1790" s="1117"/>
      <c r="AK1790" s="1118"/>
      <c r="AL1790" s="1115"/>
      <c r="AM1790" s="1115"/>
      <c r="AN1790" s="1115"/>
      <c r="AO1790" s="1115"/>
      <c r="AP1790" s="1115"/>
      <c r="AQ1790" s="1115"/>
      <c r="AR1790" s="1115"/>
      <c r="AS1790" s="1117"/>
      <c r="AT1790" s="1196" t="str">
        <f t="shared" si="428"/>
        <v>10+</v>
      </c>
      <c r="AU1790" s="1193"/>
      <c r="AV1790" s="330">
        <f>SQRT(($R1790-Infrastructure!J$3)^2+($S1790-Infrastructure!K$3)^2)</f>
        <v>24.42048321</v>
      </c>
      <c r="AW1790" s="331">
        <f>SQRT(($R1790-Infrastructure!J$4)^2+($S1790-Infrastructure!K$4)^2)</f>
        <v>30.90129447</v>
      </c>
      <c r="AX1790" s="331">
        <f>SQRT(($R1790-Infrastructure!J$5)^2+($S1790-Infrastructure!K$5)^2)</f>
        <v>40.83331973</v>
      </c>
      <c r="AY1790" s="331">
        <f>SQRT(($R1790-Infrastructure!J$6)^2+($S1790-Infrastructure!K$6)^2)</f>
        <v>40.88031311</v>
      </c>
      <c r="AZ1790" s="331">
        <f>SQRT(($R1790-Infrastructure!J$7)^2+($S1790-Infrastructure!K$7)^2)</f>
        <v>39.21836305</v>
      </c>
      <c r="BA1790" s="331">
        <f>SQRT(($R1790-Infrastructure!J$8)^2+($S1790-Infrastructure!K$8)^2)</f>
        <v>40.08989898</v>
      </c>
      <c r="BB1790" s="331">
        <f>SQRT(($R1790-Infrastructure!J$9)^2+($S1790-Infrastructure!K$9)^2)</f>
        <v>38.96472764</v>
      </c>
      <c r="BC1790" s="331">
        <f>SQRT(($R1790-Infrastructure!J$10)^2+($S1790-Infrastructure!K$10)^2)</f>
        <v>30.58005886</v>
      </c>
      <c r="BD1790" s="331">
        <f>SQRT(($R1790-Infrastructure!J$11)^2+($S1790-Infrastructure!K$11)^2)</f>
        <v>21.27204739</v>
      </c>
      <c r="BE1790" s="333">
        <f>SQRT(($R1790-Infrastructure!J$12)^2+($S1790-Infrastructure!K$12)^2)</f>
        <v>16.00124995</v>
      </c>
      <c r="BF1790" s="330">
        <f t="shared" si="161"/>
        <v>16.00124995</v>
      </c>
      <c r="BG1790" s="333">
        <f t="shared" si="162"/>
        <v>40.88031311</v>
      </c>
      <c r="BH1790" s="1119"/>
      <c r="BI1790" s="319" t="str">
        <f t="shared" ref="BI1790:BR1790" si="431">IF(ISNUMBER(FIND(BI$3, $CO1790)), "Y", "")</f>
        <v/>
      </c>
      <c r="BJ1790" s="319" t="str">
        <f t="shared" si="431"/>
        <v/>
      </c>
      <c r="BK1790" s="319" t="str">
        <f t="shared" si="431"/>
        <v/>
      </c>
      <c r="BL1790" s="319" t="str">
        <f t="shared" si="431"/>
        <v/>
      </c>
      <c r="BM1790" s="319" t="str">
        <f t="shared" si="431"/>
        <v/>
      </c>
      <c r="BN1790" s="319" t="str">
        <f t="shared" si="431"/>
        <v/>
      </c>
      <c r="BO1790" s="319" t="str">
        <f t="shared" si="431"/>
        <v/>
      </c>
      <c r="BP1790" s="319" t="str">
        <f t="shared" si="431"/>
        <v/>
      </c>
      <c r="BQ1790" s="319" t="str">
        <f t="shared" si="431"/>
        <v/>
      </c>
      <c r="BR1790" s="319" t="str">
        <f t="shared" si="431"/>
        <v/>
      </c>
      <c r="BS1790" s="330">
        <f t="shared" si="185"/>
        <v>0</v>
      </c>
      <c r="BT1790" s="331">
        <f t="shared" si="170"/>
        <v>0</v>
      </c>
      <c r="BU1790" s="920"/>
      <c r="BV1790" s="903" t="str">
        <f t="shared" si="186"/>
        <v/>
      </c>
      <c r="BW1790" s="908"/>
      <c r="BX1790" s="908"/>
      <c r="BY1790" s="331" t="b">
        <f t="shared" si="201"/>
        <v>0</v>
      </c>
      <c r="BZ1790" s="331"/>
      <c r="CA1790" s="462" t="str">
        <f t="shared" ref="CA1790:CJ1790" si="432">IF(ISNUMBER(FIND(BI$3, $CP1790)), "Y", "")</f>
        <v>Y</v>
      </c>
      <c r="CB1790" s="319" t="str">
        <f t="shared" si="432"/>
        <v>Y</v>
      </c>
      <c r="CC1790" s="319" t="str">
        <f t="shared" si="432"/>
        <v>Y</v>
      </c>
      <c r="CD1790" s="319" t="str">
        <f t="shared" si="432"/>
        <v>Y</v>
      </c>
      <c r="CE1790" s="319" t="str">
        <f t="shared" si="432"/>
        <v/>
      </c>
      <c r="CF1790" s="319" t="str">
        <f t="shared" si="432"/>
        <v/>
      </c>
      <c r="CG1790" s="319" t="str">
        <f t="shared" si="432"/>
        <v/>
      </c>
      <c r="CH1790" s="319" t="str">
        <f t="shared" si="432"/>
        <v/>
      </c>
      <c r="CI1790" s="319" t="str">
        <f t="shared" si="432"/>
        <v/>
      </c>
      <c r="CJ1790" s="319" t="str">
        <f t="shared" si="432"/>
        <v>Y</v>
      </c>
      <c r="CK1790" s="342">
        <f t="shared" si="182"/>
        <v>16.00124995</v>
      </c>
      <c r="CL1790" s="333">
        <f t="shared" si="183"/>
        <v>40.88031311</v>
      </c>
      <c r="CM1790" s="1079" t="s">
        <v>2614</v>
      </c>
      <c r="CN1790" s="1005" t="s">
        <v>2651</v>
      </c>
      <c r="CO1790" s="1005"/>
      <c r="CP1790" s="1005" t="s">
        <v>2652</v>
      </c>
    </row>
    <row r="1791">
      <c r="A1791" s="266"/>
      <c r="B1791" s="1113" t="s">
        <v>2649</v>
      </c>
      <c r="C1791" s="1107">
        <v>45481.0</v>
      </c>
      <c r="D1791" s="1113" t="s">
        <v>986</v>
      </c>
      <c r="E1791" s="1108" t="s">
        <v>1455</v>
      </c>
      <c r="F1791" s="112" t="s">
        <v>2653</v>
      </c>
      <c r="G1791" s="1110">
        <v>0.6725694444444444</v>
      </c>
      <c r="H1791" s="1110">
        <v>0.6729166666666667</v>
      </c>
      <c r="I1791" s="1110"/>
      <c r="J1791" s="1111"/>
      <c r="K1791" s="1111">
        <v>0.7100694444444444</v>
      </c>
      <c r="L1791" s="1112">
        <v>0.03715277777777778</v>
      </c>
      <c r="M1791" s="1113" t="s">
        <v>166</v>
      </c>
      <c r="N1791" s="110" t="s">
        <v>188</v>
      </c>
      <c r="O1791" s="1115" t="s">
        <v>196</v>
      </c>
      <c r="P1791" s="1115" t="s">
        <v>224</v>
      </c>
      <c r="Q1791" s="1115" t="s">
        <v>842</v>
      </c>
      <c r="R1791" s="120">
        <v>21.7</v>
      </c>
      <c r="S1791" s="1113">
        <v>39.5</v>
      </c>
      <c r="T1791" s="110">
        <v>1.3</v>
      </c>
      <c r="U1791" s="1108">
        <v>0.056</v>
      </c>
      <c r="V1791" s="1108"/>
      <c r="W1791" s="1108"/>
      <c r="X1791" s="1108"/>
      <c r="Y1791" s="1108"/>
      <c r="Z1791" s="1114" t="s">
        <v>1690</v>
      </c>
      <c r="AA1791" s="1114"/>
      <c r="AB1791" s="1114" t="s">
        <v>371</v>
      </c>
      <c r="AC1791" s="1117">
        <v>1.8</v>
      </c>
      <c r="AD1791" s="1115"/>
      <c r="AE1791" s="1115"/>
      <c r="AF1791" s="1115"/>
      <c r="AG1791" s="1115"/>
      <c r="AH1791" s="1115"/>
      <c r="AI1791" s="1115"/>
      <c r="AJ1791" s="1117"/>
      <c r="AK1791" s="1118"/>
      <c r="AL1791" s="1115"/>
      <c r="AM1791" s="1115"/>
      <c r="AN1791" s="1115"/>
      <c r="AO1791" s="1115"/>
      <c r="AP1791" s="1115"/>
      <c r="AQ1791" s="1115"/>
      <c r="AR1791" s="1115"/>
      <c r="AS1791" s="1117"/>
      <c r="AT1791" s="1196" t="str">
        <f t="shared" si="428"/>
        <v>0-1</v>
      </c>
      <c r="AU1791" s="1193"/>
      <c r="AV1791" s="330">
        <f>SQRT(($R1791-Infrastructure!J$3)^2+($S1791-Infrastructure!K$3)^2)</f>
        <v>24.42048321</v>
      </c>
      <c r="AW1791" s="331">
        <f>SQRT(($R1791-Infrastructure!J$4)^2+($S1791-Infrastructure!K$4)^2)</f>
        <v>30.90129447</v>
      </c>
      <c r="AX1791" s="331">
        <f>SQRT(($R1791-Infrastructure!J$5)^2+($S1791-Infrastructure!K$5)^2)</f>
        <v>40.83331973</v>
      </c>
      <c r="AY1791" s="331">
        <f>SQRT(($R1791-Infrastructure!J$6)^2+($S1791-Infrastructure!K$6)^2)</f>
        <v>40.88031311</v>
      </c>
      <c r="AZ1791" s="331">
        <f>SQRT(($R1791-Infrastructure!J$7)^2+($S1791-Infrastructure!K$7)^2)</f>
        <v>39.21836305</v>
      </c>
      <c r="BA1791" s="331">
        <f>SQRT(($R1791-Infrastructure!J$8)^2+($S1791-Infrastructure!K$8)^2)</f>
        <v>40.08989898</v>
      </c>
      <c r="BB1791" s="331">
        <f>SQRT(($R1791-Infrastructure!J$9)^2+($S1791-Infrastructure!K$9)^2)</f>
        <v>38.96472764</v>
      </c>
      <c r="BC1791" s="331">
        <f>SQRT(($R1791-Infrastructure!J$10)^2+($S1791-Infrastructure!K$10)^2)</f>
        <v>30.58005886</v>
      </c>
      <c r="BD1791" s="331">
        <f>SQRT(($R1791-Infrastructure!J$11)^2+($S1791-Infrastructure!K$11)^2)</f>
        <v>21.27204739</v>
      </c>
      <c r="BE1791" s="333">
        <f>SQRT(($R1791-Infrastructure!J$12)^2+($S1791-Infrastructure!K$12)^2)</f>
        <v>16.00124995</v>
      </c>
      <c r="BF1791" s="330">
        <f t="shared" si="161"/>
        <v>16.00124995</v>
      </c>
      <c r="BG1791" s="333">
        <f t="shared" si="162"/>
        <v>40.88031311</v>
      </c>
      <c r="BH1791" s="1119"/>
      <c r="BI1791" s="319" t="str">
        <f t="shared" ref="BI1791:BR1791" si="433">IF(ISNUMBER(FIND(BI$3, $CO1791)), "Y", "")</f>
        <v/>
      </c>
      <c r="BJ1791" s="319" t="str">
        <f t="shared" si="433"/>
        <v/>
      </c>
      <c r="BK1791" s="319" t="str">
        <f t="shared" si="433"/>
        <v/>
      </c>
      <c r="BL1791" s="319" t="str">
        <f t="shared" si="433"/>
        <v/>
      </c>
      <c r="BM1791" s="319" t="str">
        <f t="shared" si="433"/>
        <v/>
      </c>
      <c r="BN1791" s="319" t="str">
        <f t="shared" si="433"/>
        <v/>
      </c>
      <c r="BO1791" s="319" t="str">
        <f t="shared" si="433"/>
        <v/>
      </c>
      <c r="BP1791" s="319" t="str">
        <f t="shared" si="433"/>
        <v/>
      </c>
      <c r="BQ1791" s="319" t="str">
        <f t="shared" si="433"/>
        <v/>
      </c>
      <c r="BR1791" s="319" t="str">
        <f t="shared" si="433"/>
        <v/>
      </c>
      <c r="BS1791" s="330">
        <f t="shared" si="185"/>
        <v>0</v>
      </c>
      <c r="BT1791" s="331">
        <f t="shared" si="170"/>
        <v>0</v>
      </c>
      <c r="BU1791" s="920"/>
      <c r="BV1791" s="903" t="str">
        <f t="shared" si="186"/>
        <v/>
      </c>
      <c r="BW1791" s="908"/>
      <c r="BX1791" s="908"/>
      <c r="BY1791" s="331" t="b">
        <f t="shared" si="201"/>
        <v>0</v>
      </c>
      <c r="BZ1791" s="331"/>
      <c r="CA1791" s="462" t="str">
        <f t="shared" ref="CA1791:CJ1791" si="434">IF(ISNUMBER(FIND(BI$3, $CP1791)), "Y", "")</f>
        <v>Y</v>
      </c>
      <c r="CB1791" s="319" t="str">
        <f t="shared" si="434"/>
        <v>Y</v>
      </c>
      <c r="CC1791" s="319" t="str">
        <f t="shared" si="434"/>
        <v>Y</v>
      </c>
      <c r="CD1791" s="319" t="str">
        <f t="shared" si="434"/>
        <v>Y</v>
      </c>
      <c r="CE1791" s="319" t="str">
        <f t="shared" si="434"/>
        <v/>
      </c>
      <c r="CF1791" s="319" t="str">
        <f t="shared" si="434"/>
        <v/>
      </c>
      <c r="CG1791" s="319" t="str">
        <f t="shared" si="434"/>
        <v/>
      </c>
      <c r="CH1791" s="319" t="str">
        <f t="shared" si="434"/>
        <v/>
      </c>
      <c r="CI1791" s="319" t="str">
        <f t="shared" si="434"/>
        <v/>
      </c>
      <c r="CJ1791" s="319" t="str">
        <f t="shared" si="434"/>
        <v>Y</v>
      </c>
      <c r="CK1791" s="342">
        <f t="shared" si="182"/>
        <v>16.00124995</v>
      </c>
      <c r="CL1791" s="333">
        <f t="shared" si="183"/>
        <v>40.88031311</v>
      </c>
      <c r="CM1791" s="1079" t="s">
        <v>2614</v>
      </c>
      <c r="CN1791" s="1005" t="s">
        <v>2651</v>
      </c>
      <c r="CO1791" s="1005"/>
      <c r="CP1791" s="1005" t="s">
        <v>2652</v>
      </c>
    </row>
    <row r="1792">
      <c r="A1792" s="266"/>
      <c r="B1792" s="1113" t="s">
        <v>2649</v>
      </c>
      <c r="C1792" s="1107">
        <v>45481.0</v>
      </c>
      <c r="D1792" s="1113" t="s">
        <v>986</v>
      </c>
      <c r="E1792" s="1108" t="s">
        <v>1550</v>
      </c>
      <c r="F1792" s="112" t="s">
        <v>2654</v>
      </c>
      <c r="G1792" s="1110">
        <v>0.7223379629629629</v>
      </c>
      <c r="H1792" s="1110">
        <v>0.7236111111111111</v>
      </c>
      <c r="I1792" s="1110"/>
      <c r="J1792" s="1111"/>
      <c r="K1792" s="1111">
        <v>0.7402777777777778</v>
      </c>
      <c r="L1792" s="1112">
        <v>0.016666666666666666</v>
      </c>
      <c r="M1792" s="1113" t="s">
        <v>168</v>
      </c>
      <c r="N1792" s="110" t="s">
        <v>188</v>
      </c>
      <c r="O1792" s="1115" t="s">
        <v>196</v>
      </c>
      <c r="P1792" s="1115" t="s">
        <v>224</v>
      </c>
      <c r="Q1792" s="1115" t="s">
        <v>842</v>
      </c>
      <c r="R1792" s="120">
        <v>21.7</v>
      </c>
      <c r="S1792" s="1113">
        <v>39.5</v>
      </c>
      <c r="T1792" s="110">
        <v>1.3</v>
      </c>
      <c r="U1792" s="1108">
        <v>85.93</v>
      </c>
      <c r="V1792" s="1108"/>
      <c r="W1792" s="1108"/>
      <c r="X1792" s="1108"/>
      <c r="Y1792" s="1108"/>
      <c r="Z1792" s="1114" t="s">
        <v>387</v>
      </c>
      <c r="AA1792" s="1114"/>
      <c r="AB1792" s="1114" t="s">
        <v>416</v>
      </c>
      <c r="AC1792" s="1117">
        <v>52.5</v>
      </c>
      <c r="AD1792" s="1115"/>
      <c r="AE1792" s="1115"/>
      <c r="AF1792" s="1115"/>
      <c r="AG1792" s="1115"/>
      <c r="AH1792" s="1115"/>
      <c r="AI1792" s="1115"/>
      <c r="AJ1792" s="1117"/>
      <c r="AK1792" s="1118"/>
      <c r="AL1792" s="1115"/>
      <c r="AM1792" s="1115"/>
      <c r="AN1792" s="1115"/>
      <c r="AO1792" s="1115"/>
      <c r="AP1792" s="1115"/>
      <c r="AQ1792" s="1115"/>
      <c r="AR1792" s="1115"/>
      <c r="AS1792" s="1117"/>
      <c r="AT1792" s="1196" t="str">
        <f t="shared" si="428"/>
        <v>10+</v>
      </c>
      <c r="AU1792" s="1193"/>
      <c r="AV1792" s="330">
        <f>SQRT(($R1792-Infrastructure!J$3)^2+($S1792-Infrastructure!K$3)^2)</f>
        <v>24.42048321</v>
      </c>
      <c r="AW1792" s="331">
        <f>SQRT(($R1792-Infrastructure!J$4)^2+($S1792-Infrastructure!K$4)^2)</f>
        <v>30.90129447</v>
      </c>
      <c r="AX1792" s="331">
        <f>SQRT(($R1792-Infrastructure!J$5)^2+($S1792-Infrastructure!K$5)^2)</f>
        <v>40.83331973</v>
      </c>
      <c r="AY1792" s="331">
        <f>SQRT(($R1792-Infrastructure!J$6)^2+($S1792-Infrastructure!K$6)^2)</f>
        <v>40.88031311</v>
      </c>
      <c r="AZ1792" s="331">
        <f>SQRT(($R1792-Infrastructure!J$7)^2+($S1792-Infrastructure!K$7)^2)</f>
        <v>39.21836305</v>
      </c>
      <c r="BA1792" s="331">
        <f>SQRT(($R1792-Infrastructure!J$8)^2+($S1792-Infrastructure!K$8)^2)</f>
        <v>40.08989898</v>
      </c>
      <c r="BB1792" s="331">
        <f>SQRT(($R1792-Infrastructure!J$9)^2+($S1792-Infrastructure!K$9)^2)</f>
        <v>38.96472764</v>
      </c>
      <c r="BC1792" s="331">
        <f>SQRT(($R1792-Infrastructure!J$10)^2+($S1792-Infrastructure!K$10)^2)</f>
        <v>30.58005886</v>
      </c>
      <c r="BD1792" s="331">
        <f>SQRT(($R1792-Infrastructure!J$11)^2+($S1792-Infrastructure!K$11)^2)</f>
        <v>21.27204739</v>
      </c>
      <c r="BE1792" s="333">
        <f>SQRT(($R1792-Infrastructure!J$12)^2+($S1792-Infrastructure!K$12)^2)</f>
        <v>16.00124995</v>
      </c>
      <c r="BF1792" s="330">
        <f t="shared" si="161"/>
        <v>16.00124995</v>
      </c>
      <c r="BG1792" s="333">
        <f t="shared" si="162"/>
        <v>40.88031311</v>
      </c>
      <c r="BH1792" s="1119"/>
      <c r="BI1792" s="319" t="str">
        <f t="shared" ref="BI1792:BR1792" si="435">IF(ISNUMBER(FIND(BI$3, $CO1792)), "Y", "")</f>
        <v/>
      </c>
      <c r="BJ1792" s="319" t="str">
        <f t="shared" si="435"/>
        <v/>
      </c>
      <c r="BK1792" s="319" t="str">
        <f t="shared" si="435"/>
        <v>Y</v>
      </c>
      <c r="BL1792" s="319" t="str">
        <f t="shared" si="435"/>
        <v>Y</v>
      </c>
      <c r="BM1792" s="319" t="str">
        <f t="shared" si="435"/>
        <v/>
      </c>
      <c r="BN1792" s="319" t="str">
        <f t="shared" si="435"/>
        <v>Y</v>
      </c>
      <c r="BO1792" s="319" t="str">
        <f t="shared" si="435"/>
        <v/>
      </c>
      <c r="BP1792" s="319" t="str">
        <f t="shared" si="435"/>
        <v/>
      </c>
      <c r="BQ1792" s="319" t="str">
        <f t="shared" si="435"/>
        <v/>
      </c>
      <c r="BR1792" s="319" t="str">
        <f t="shared" si="435"/>
        <v>Y</v>
      </c>
      <c r="BS1792" s="330">
        <f t="shared" si="185"/>
        <v>16.00124995</v>
      </c>
      <c r="BT1792" s="331">
        <f t="shared" si="170"/>
        <v>40.88031311</v>
      </c>
      <c r="BU1792" s="920">
        <v>0.7360532407407407</v>
      </c>
      <c r="BV1792" s="903">
        <f t="shared" si="186"/>
        <v>0.01371527778</v>
      </c>
      <c r="BW1792" s="908">
        <v>2.9</v>
      </c>
      <c r="BX1792" s="908">
        <v>27.7</v>
      </c>
      <c r="BY1792" s="331">
        <f t="shared" si="201"/>
        <v>22.1963961</v>
      </c>
      <c r="BZ1792" s="331"/>
      <c r="CA1792" s="462" t="str">
        <f t="shared" ref="CA1792:CJ1792" si="436">IF(ISNUMBER(FIND(BI$3, $CP1792)), "Y", "")</f>
        <v>Y</v>
      </c>
      <c r="CB1792" s="319" t="str">
        <f t="shared" si="436"/>
        <v>Y</v>
      </c>
      <c r="CC1792" s="319" t="str">
        <f t="shared" si="436"/>
        <v>Y</v>
      </c>
      <c r="CD1792" s="319" t="str">
        <f t="shared" si="436"/>
        <v>Y</v>
      </c>
      <c r="CE1792" s="319" t="str">
        <f t="shared" si="436"/>
        <v>Y</v>
      </c>
      <c r="CF1792" s="319" t="str">
        <f t="shared" si="436"/>
        <v>Y</v>
      </c>
      <c r="CG1792" s="319" t="str">
        <f t="shared" si="436"/>
        <v>Y</v>
      </c>
      <c r="CH1792" s="319" t="str">
        <f t="shared" si="436"/>
        <v/>
      </c>
      <c r="CI1792" s="319" t="str">
        <f t="shared" si="436"/>
        <v>Y</v>
      </c>
      <c r="CJ1792" s="319" t="str">
        <f t="shared" si="436"/>
        <v>Y</v>
      </c>
      <c r="CK1792" s="342">
        <f t="shared" si="182"/>
        <v>16.00124995</v>
      </c>
      <c r="CL1792" s="333">
        <f t="shared" si="183"/>
        <v>40.88031311</v>
      </c>
      <c r="CM1792" s="1079" t="s">
        <v>2384</v>
      </c>
      <c r="CN1792" s="1005" t="s">
        <v>2651</v>
      </c>
      <c r="CO1792" s="1005" t="s">
        <v>2655</v>
      </c>
      <c r="CP1792" s="1005" t="s">
        <v>2400</v>
      </c>
    </row>
    <row r="1793">
      <c r="A1793" s="1258"/>
      <c r="B1793" s="1129" t="s">
        <v>2649</v>
      </c>
      <c r="C1793" s="1122">
        <v>45481.0</v>
      </c>
      <c r="D1793" s="1129" t="s">
        <v>986</v>
      </c>
      <c r="E1793" s="1124" t="s">
        <v>1552</v>
      </c>
      <c r="F1793" s="108" t="s">
        <v>2656</v>
      </c>
      <c r="G1793" s="1126">
        <v>0.7207754629629629</v>
      </c>
      <c r="H1793" s="1126">
        <v>0.7211805555555556</v>
      </c>
      <c r="I1793" s="1126"/>
      <c r="J1793" s="1127"/>
      <c r="K1793" s="1127">
        <v>0.7404513888888888</v>
      </c>
      <c r="L1793" s="1128">
        <v>0.019270833333333334</v>
      </c>
      <c r="M1793" s="1129" t="s">
        <v>166</v>
      </c>
      <c r="N1793" s="100" t="s">
        <v>188</v>
      </c>
      <c r="O1793" s="1131" t="s">
        <v>196</v>
      </c>
      <c r="P1793" s="1131" t="s">
        <v>224</v>
      </c>
      <c r="Q1793" s="1131" t="s">
        <v>842</v>
      </c>
      <c r="R1793" s="137">
        <v>21.7</v>
      </c>
      <c r="S1793" s="1129">
        <v>39.5</v>
      </c>
      <c r="T1793" s="100">
        <v>1.3</v>
      </c>
      <c r="U1793" s="1124">
        <v>0.156</v>
      </c>
      <c r="V1793" s="1124"/>
      <c r="W1793" s="1124"/>
      <c r="X1793" s="1124"/>
      <c r="Y1793" s="1124"/>
      <c r="Z1793" s="1130" t="s">
        <v>335</v>
      </c>
      <c r="AA1793" s="1130"/>
      <c r="AB1793" s="1130" t="s">
        <v>380</v>
      </c>
      <c r="AC1793" s="1133">
        <v>4.0</v>
      </c>
      <c r="AD1793" s="1115"/>
      <c r="AE1793" s="1115"/>
      <c r="AF1793" s="1115"/>
      <c r="AG1793" s="1115"/>
      <c r="AH1793" s="1115"/>
      <c r="AI1793" s="1115"/>
      <c r="AJ1793" s="1117"/>
      <c r="AK1793" s="1118"/>
      <c r="AL1793" s="1115"/>
      <c r="AM1793" s="1115"/>
      <c r="AN1793" s="1115"/>
      <c r="AO1793" s="1115"/>
      <c r="AP1793" s="1115"/>
      <c r="AQ1793" s="1115"/>
      <c r="AR1793" s="1115"/>
      <c r="AS1793" s="1117"/>
      <c r="AT1793" s="1196" t="str">
        <f t="shared" si="428"/>
        <v>0-1</v>
      </c>
      <c r="AU1793" s="1194"/>
      <c r="AV1793" s="662">
        <f>SQRT(($R1793-Infrastructure!J$3)^2+($S1793-Infrastructure!K$3)^2)</f>
        <v>24.42048321</v>
      </c>
      <c r="AW1793" s="641">
        <f>SQRT(($R1793-Infrastructure!J$4)^2+($S1793-Infrastructure!K$4)^2)</f>
        <v>30.90129447</v>
      </c>
      <c r="AX1793" s="641">
        <f>SQRT(($R1793-Infrastructure!J$5)^2+($S1793-Infrastructure!K$5)^2)</f>
        <v>40.83331973</v>
      </c>
      <c r="AY1793" s="641">
        <f>SQRT(($R1793-Infrastructure!J$6)^2+($S1793-Infrastructure!K$6)^2)</f>
        <v>40.88031311</v>
      </c>
      <c r="AZ1793" s="641">
        <f>SQRT(($R1793-Infrastructure!J$7)^2+($S1793-Infrastructure!K$7)^2)</f>
        <v>39.21836305</v>
      </c>
      <c r="BA1793" s="641">
        <f>SQRT(($R1793-Infrastructure!J$8)^2+($S1793-Infrastructure!K$8)^2)</f>
        <v>40.08989898</v>
      </c>
      <c r="BB1793" s="641">
        <f>SQRT(($R1793-Infrastructure!J$9)^2+($S1793-Infrastructure!K$9)^2)</f>
        <v>38.96472764</v>
      </c>
      <c r="BC1793" s="641">
        <f>SQRT(($R1793-Infrastructure!J$10)^2+($S1793-Infrastructure!K$10)^2)</f>
        <v>30.58005886</v>
      </c>
      <c r="BD1793" s="641">
        <f>SQRT(($R1793-Infrastructure!J$11)^2+($S1793-Infrastructure!K$11)^2)</f>
        <v>21.27204739</v>
      </c>
      <c r="BE1793" s="642">
        <f>SQRT(($R1793-Infrastructure!J$12)^2+($S1793-Infrastructure!K$12)^2)</f>
        <v>16.00124995</v>
      </c>
      <c r="BF1793" s="662">
        <f t="shared" si="161"/>
        <v>16.00124995</v>
      </c>
      <c r="BG1793" s="642">
        <f t="shared" si="162"/>
        <v>40.88031311</v>
      </c>
      <c r="BH1793" s="1135"/>
      <c r="BI1793" s="663" t="str">
        <f t="shared" ref="BI1793:BR1793" si="437">IF(ISNUMBER(FIND(BI$3, $CO1793)), "Y", "")</f>
        <v/>
      </c>
      <c r="BJ1793" s="663" t="str">
        <f t="shared" si="437"/>
        <v/>
      </c>
      <c r="BK1793" s="663" t="str">
        <f t="shared" si="437"/>
        <v>Y</v>
      </c>
      <c r="BL1793" s="663" t="str">
        <f t="shared" si="437"/>
        <v>Y</v>
      </c>
      <c r="BM1793" s="663" t="str">
        <f t="shared" si="437"/>
        <v/>
      </c>
      <c r="BN1793" s="663" t="str">
        <f t="shared" si="437"/>
        <v>Y</v>
      </c>
      <c r="BO1793" s="663" t="str">
        <f t="shared" si="437"/>
        <v/>
      </c>
      <c r="BP1793" s="663" t="str">
        <f t="shared" si="437"/>
        <v/>
      </c>
      <c r="BQ1793" s="663" t="str">
        <f t="shared" si="437"/>
        <v/>
      </c>
      <c r="BR1793" s="663" t="str">
        <f t="shared" si="437"/>
        <v>Y</v>
      </c>
      <c r="BS1793" s="662">
        <f t="shared" si="185"/>
        <v>16.00124995</v>
      </c>
      <c r="BT1793" s="641">
        <f t="shared" si="170"/>
        <v>40.88031311</v>
      </c>
      <c r="BU1793" s="937">
        <v>0.7360532407407407</v>
      </c>
      <c r="BV1793" s="930">
        <f t="shared" si="186"/>
        <v>0.01527777778</v>
      </c>
      <c r="BW1793" s="939">
        <v>2.9</v>
      </c>
      <c r="BX1793" s="939">
        <v>27.7</v>
      </c>
      <c r="BY1793" s="641">
        <f t="shared" si="201"/>
        <v>22.1963961</v>
      </c>
      <c r="BZ1793" s="641"/>
      <c r="CA1793" s="635" t="str">
        <f t="shared" ref="CA1793:CJ1793" si="438">IF(ISNUMBER(FIND(BI$3, $CP1793)), "Y", "")</f>
        <v>Y</v>
      </c>
      <c r="CB1793" s="663" t="str">
        <f t="shared" si="438"/>
        <v>Y</v>
      </c>
      <c r="CC1793" s="663" t="str">
        <f t="shared" si="438"/>
        <v>Y</v>
      </c>
      <c r="CD1793" s="663" t="str">
        <f t="shared" si="438"/>
        <v>Y</v>
      </c>
      <c r="CE1793" s="663" t="str">
        <f t="shared" si="438"/>
        <v>Y</v>
      </c>
      <c r="CF1793" s="663" t="str">
        <f t="shared" si="438"/>
        <v>Y</v>
      </c>
      <c r="CG1793" s="663" t="str">
        <f t="shared" si="438"/>
        <v>Y</v>
      </c>
      <c r="CH1793" s="663" t="str">
        <f t="shared" si="438"/>
        <v/>
      </c>
      <c r="CI1793" s="663" t="str">
        <f t="shared" si="438"/>
        <v>Y</v>
      </c>
      <c r="CJ1793" s="663" t="str">
        <f t="shared" si="438"/>
        <v>Y</v>
      </c>
      <c r="CK1793" s="743">
        <f t="shared" si="182"/>
        <v>16.00124995</v>
      </c>
      <c r="CL1793" s="642">
        <f t="shared" si="183"/>
        <v>40.88031311</v>
      </c>
      <c r="CM1793" s="1090" t="s">
        <v>2384</v>
      </c>
      <c r="CN1793" s="1036" t="s">
        <v>2651</v>
      </c>
      <c r="CO1793" s="1036" t="s">
        <v>2655</v>
      </c>
      <c r="CP1793" s="1036" t="s">
        <v>2400</v>
      </c>
    </row>
    <row r="1794">
      <c r="A1794" s="1257" t="s">
        <v>108</v>
      </c>
      <c r="B1794" s="1113" t="s">
        <v>2649</v>
      </c>
      <c r="C1794" s="1107">
        <v>45482.0</v>
      </c>
      <c r="D1794" s="1113" t="s">
        <v>986</v>
      </c>
      <c r="E1794" s="1108" t="s">
        <v>1523</v>
      </c>
      <c r="F1794" s="112" t="s">
        <v>2657</v>
      </c>
      <c r="G1794" s="1110">
        <v>0.3890046296296296</v>
      </c>
      <c r="H1794" s="1110">
        <v>0.3894097222222222</v>
      </c>
      <c r="I1794" s="1110"/>
      <c r="J1794" s="1111"/>
      <c r="K1794" s="1111">
        <v>0.4079861111111111</v>
      </c>
      <c r="L1794" s="1112">
        <v>0.01857638888888889</v>
      </c>
      <c r="M1794" s="1113" t="s">
        <v>168</v>
      </c>
      <c r="N1794" s="110" t="s">
        <v>188</v>
      </c>
      <c r="O1794" s="1115" t="s">
        <v>196</v>
      </c>
      <c r="P1794" s="1115" t="s">
        <v>224</v>
      </c>
      <c r="Q1794" s="1115" t="s">
        <v>842</v>
      </c>
      <c r="R1794" s="120">
        <v>21.7</v>
      </c>
      <c r="S1794" s="1113">
        <v>39.5</v>
      </c>
      <c r="T1794" s="110">
        <v>1.3</v>
      </c>
      <c r="U1794" s="1108">
        <v>30.64</v>
      </c>
      <c r="V1794" s="1108"/>
      <c r="W1794" s="1108"/>
      <c r="X1794" s="1108"/>
      <c r="Y1794" s="1108"/>
      <c r="Z1794" s="1114" t="s">
        <v>387</v>
      </c>
      <c r="AA1794" s="1114"/>
      <c r="AB1794" s="1114" t="s">
        <v>413</v>
      </c>
      <c r="AC1794" s="1117">
        <v>24.3</v>
      </c>
      <c r="AD1794" s="1115"/>
      <c r="AE1794" s="1115"/>
      <c r="AF1794" s="1115"/>
      <c r="AG1794" s="1115"/>
      <c r="AH1794" s="1115"/>
      <c r="AI1794" s="1115"/>
      <c r="AJ1794" s="1117"/>
      <c r="AK1794" s="1118"/>
      <c r="AL1794" s="1115"/>
      <c r="AM1794" s="1115"/>
      <c r="AN1794" s="1115"/>
      <c r="AO1794" s="1115"/>
      <c r="AP1794" s="1115"/>
      <c r="AQ1794" s="1115"/>
      <c r="AR1794" s="1115"/>
      <c r="AS1794" s="1117"/>
      <c r="AT1794" s="1196" t="str">
        <f t="shared" si="428"/>
        <v>10+</v>
      </c>
      <c r="AU1794" s="1193"/>
      <c r="AV1794" s="330">
        <f>SQRT(($R1794-Infrastructure!J$3)^2+($S1794-Infrastructure!K$3)^2)</f>
        <v>24.42048321</v>
      </c>
      <c r="AW1794" s="331">
        <f>SQRT(($R1794-Infrastructure!J$4)^2+($S1794-Infrastructure!K$4)^2)</f>
        <v>30.90129447</v>
      </c>
      <c r="AX1794" s="331">
        <f>SQRT(($R1794-Infrastructure!J$5)^2+($S1794-Infrastructure!K$5)^2)</f>
        <v>40.83331973</v>
      </c>
      <c r="AY1794" s="331">
        <f>SQRT(($R1794-Infrastructure!J$6)^2+($S1794-Infrastructure!K$6)^2)</f>
        <v>40.88031311</v>
      </c>
      <c r="AZ1794" s="331">
        <f>SQRT(($R1794-Infrastructure!J$7)^2+($S1794-Infrastructure!K$7)^2)</f>
        <v>39.21836305</v>
      </c>
      <c r="BA1794" s="331">
        <f>SQRT(($R1794-Infrastructure!J$8)^2+($S1794-Infrastructure!K$8)^2)</f>
        <v>40.08989898</v>
      </c>
      <c r="BB1794" s="331">
        <f>SQRT(($R1794-Infrastructure!J$9)^2+($S1794-Infrastructure!K$9)^2)</f>
        <v>38.96472764</v>
      </c>
      <c r="BC1794" s="331">
        <f>SQRT(($R1794-Infrastructure!J$10)^2+($S1794-Infrastructure!K$10)^2)</f>
        <v>30.58005886</v>
      </c>
      <c r="BD1794" s="331">
        <f>SQRT(($R1794-Infrastructure!J$11)^2+($S1794-Infrastructure!K$11)^2)</f>
        <v>21.27204739</v>
      </c>
      <c r="BE1794" s="333">
        <f>SQRT(($R1794-Infrastructure!J$12)^2+($S1794-Infrastructure!K$12)^2)</f>
        <v>16.00124995</v>
      </c>
      <c r="BF1794" s="330">
        <f t="shared" si="161"/>
        <v>16.00124995</v>
      </c>
      <c r="BG1794" s="333">
        <f t="shared" si="162"/>
        <v>40.88031311</v>
      </c>
      <c r="BH1794" s="1119"/>
      <c r="BI1794" s="319" t="str">
        <f t="shared" ref="BI1794:BR1794" si="439">IF(ISNUMBER(FIND(BI$3, $CO1794)), "Y", "")</f>
        <v/>
      </c>
      <c r="BJ1794" s="319" t="str">
        <f t="shared" si="439"/>
        <v/>
      </c>
      <c r="BK1794" s="319" t="str">
        <f t="shared" si="439"/>
        <v/>
      </c>
      <c r="BL1794" s="319" t="str">
        <f t="shared" si="439"/>
        <v/>
      </c>
      <c r="BM1794" s="319" t="str">
        <f t="shared" si="439"/>
        <v/>
      </c>
      <c r="BN1794" s="319" t="str">
        <f t="shared" si="439"/>
        <v/>
      </c>
      <c r="BO1794" s="319" t="str">
        <f t="shared" si="439"/>
        <v/>
      </c>
      <c r="BP1794" s="319" t="str">
        <f t="shared" si="439"/>
        <v/>
      </c>
      <c r="BQ1794" s="319" t="str">
        <f t="shared" si="439"/>
        <v/>
      </c>
      <c r="BR1794" s="319" t="str">
        <f t="shared" si="439"/>
        <v/>
      </c>
      <c r="BS1794" s="330">
        <f t="shared" si="185"/>
        <v>0</v>
      </c>
      <c r="BT1794" s="331">
        <f t="shared" si="170"/>
        <v>0</v>
      </c>
      <c r="BU1794" s="920"/>
      <c r="BV1794" s="903" t="str">
        <f t="shared" si="186"/>
        <v/>
      </c>
      <c r="BW1794" s="908"/>
      <c r="BX1794" s="908"/>
      <c r="BY1794" s="331" t="b">
        <f t="shared" si="201"/>
        <v>0</v>
      </c>
      <c r="BZ1794" s="331"/>
      <c r="CA1794" s="462" t="str">
        <f t="shared" ref="CA1794:CJ1794" si="440">IF(ISNUMBER(FIND(BI$3, $CP1794)), "Y", "")</f>
        <v>Y</v>
      </c>
      <c r="CB1794" s="319" t="str">
        <f t="shared" si="440"/>
        <v>Y</v>
      </c>
      <c r="CC1794" s="319" t="str">
        <f t="shared" si="440"/>
        <v>Y</v>
      </c>
      <c r="CD1794" s="319" t="str">
        <f t="shared" si="440"/>
        <v>Y</v>
      </c>
      <c r="CE1794" s="319" t="str">
        <f t="shared" si="440"/>
        <v>Y</v>
      </c>
      <c r="CF1794" s="319" t="str">
        <f t="shared" si="440"/>
        <v>Y</v>
      </c>
      <c r="CG1794" s="319" t="str">
        <f t="shared" si="440"/>
        <v>Y</v>
      </c>
      <c r="CH1794" s="319" t="str">
        <f t="shared" si="440"/>
        <v/>
      </c>
      <c r="CI1794" s="319" t="str">
        <f t="shared" si="440"/>
        <v>Y</v>
      </c>
      <c r="CJ1794" s="319" t="str">
        <f t="shared" si="440"/>
        <v>Y</v>
      </c>
      <c r="CK1794" s="342">
        <f t="shared" si="182"/>
        <v>16.00124995</v>
      </c>
      <c r="CL1794" s="333">
        <f t="shared" si="183"/>
        <v>40.88031311</v>
      </c>
      <c r="CM1794" s="1079" t="s">
        <v>2418</v>
      </c>
      <c r="CN1794" s="1005" t="s">
        <v>2658</v>
      </c>
      <c r="CO1794" s="1005"/>
      <c r="CP1794" s="1005" t="s">
        <v>2400</v>
      </c>
    </row>
    <row r="1795">
      <c r="A1795" s="266"/>
      <c r="B1795" s="1113" t="s">
        <v>2649</v>
      </c>
      <c r="C1795" s="1107">
        <v>45482.0</v>
      </c>
      <c r="D1795" s="1113" t="s">
        <v>986</v>
      </c>
      <c r="E1795" s="1108" t="s">
        <v>1525</v>
      </c>
      <c r="F1795" s="112" t="s">
        <v>2659</v>
      </c>
      <c r="G1795" s="1110">
        <v>0.38842592592592595</v>
      </c>
      <c r="H1795" s="1110">
        <v>0.3888888888888889</v>
      </c>
      <c r="I1795" s="1110"/>
      <c r="J1795" s="1111"/>
      <c r="K1795" s="1111">
        <v>0.4085648148148148</v>
      </c>
      <c r="L1795" s="1112">
        <v>0.019675925925925927</v>
      </c>
      <c r="M1795" s="1113" t="s">
        <v>166</v>
      </c>
      <c r="N1795" s="110" t="s">
        <v>188</v>
      </c>
      <c r="O1795" s="1115" t="s">
        <v>196</v>
      </c>
      <c r="P1795" s="1115" t="s">
        <v>224</v>
      </c>
      <c r="Q1795" s="1115" t="s">
        <v>842</v>
      </c>
      <c r="R1795" s="120">
        <v>21.7</v>
      </c>
      <c r="S1795" s="1113">
        <v>39.5</v>
      </c>
      <c r="T1795" s="110">
        <v>1.3</v>
      </c>
      <c r="U1795" s="1108">
        <v>0.056</v>
      </c>
      <c r="V1795" s="1108"/>
      <c r="W1795" s="1108"/>
      <c r="X1795" s="1108"/>
      <c r="Y1795" s="1108"/>
      <c r="Z1795" s="1114" t="s">
        <v>1690</v>
      </c>
      <c r="AA1795" s="1114"/>
      <c r="AB1795" s="1114" t="s">
        <v>371</v>
      </c>
      <c r="AC1795" s="1117">
        <v>1.8</v>
      </c>
      <c r="AD1795" s="1115"/>
      <c r="AE1795" s="1115"/>
      <c r="AF1795" s="1115"/>
      <c r="AG1795" s="1115"/>
      <c r="AH1795" s="1115"/>
      <c r="AI1795" s="1115"/>
      <c r="AJ1795" s="1117"/>
      <c r="AK1795" s="1118"/>
      <c r="AL1795" s="1115"/>
      <c r="AM1795" s="1115"/>
      <c r="AN1795" s="1115"/>
      <c r="AO1795" s="1115"/>
      <c r="AP1795" s="1115"/>
      <c r="AQ1795" s="1115"/>
      <c r="AR1795" s="1115"/>
      <c r="AS1795" s="1117"/>
      <c r="AT1795" s="1196" t="str">
        <f t="shared" si="428"/>
        <v>0-1</v>
      </c>
      <c r="AU1795" s="1193"/>
      <c r="AV1795" s="330">
        <f>SQRT(($R1795-Infrastructure!J$3)^2+($S1795-Infrastructure!K$3)^2)</f>
        <v>24.42048321</v>
      </c>
      <c r="AW1795" s="331">
        <f>SQRT(($R1795-Infrastructure!J$4)^2+($S1795-Infrastructure!K$4)^2)</f>
        <v>30.90129447</v>
      </c>
      <c r="AX1795" s="331">
        <f>SQRT(($R1795-Infrastructure!J$5)^2+($S1795-Infrastructure!K$5)^2)</f>
        <v>40.83331973</v>
      </c>
      <c r="AY1795" s="331">
        <f>SQRT(($R1795-Infrastructure!J$6)^2+($S1795-Infrastructure!K$6)^2)</f>
        <v>40.88031311</v>
      </c>
      <c r="AZ1795" s="331">
        <f>SQRT(($R1795-Infrastructure!J$7)^2+($S1795-Infrastructure!K$7)^2)</f>
        <v>39.21836305</v>
      </c>
      <c r="BA1795" s="331">
        <f>SQRT(($R1795-Infrastructure!J$8)^2+($S1795-Infrastructure!K$8)^2)</f>
        <v>40.08989898</v>
      </c>
      <c r="BB1795" s="331">
        <f>SQRT(($R1795-Infrastructure!J$9)^2+($S1795-Infrastructure!K$9)^2)</f>
        <v>38.96472764</v>
      </c>
      <c r="BC1795" s="331">
        <f>SQRT(($R1795-Infrastructure!J$10)^2+($S1795-Infrastructure!K$10)^2)</f>
        <v>30.58005886</v>
      </c>
      <c r="BD1795" s="331">
        <f>SQRT(($R1795-Infrastructure!J$11)^2+($S1795-Infrastructure!K$11)^2)</f>
        <v>21.27204739</v>
      </c>
      <c r="BE1795" s="333">
        <f>SQRT(($R1795-Infrastructure!J$12)^2+($S1795-Infrastructure!K$12)^2)</f>
        <v>16.00124995</v>
      </c>
      <c r="BF1795" s="330">
        <f t="shared" si="161"/>
        <v>16.00124995</v>
      </c>
      <c r="BG1795" s="333">
        <f t="shared" si="162"/>
        <v>40.88031311</v>
      </c>
      <c r="BH1795" s="1119"/>
      <c r="BI1795" s="319" t="str">
        <f t="shared" ref="BI1795:BR1795" si="441">IF(ISNUMBER(FIND(BI$3, $CO1795)), "Y", "")</f>
        <v/>
      </c>
      <c r="BJ1795" s="319" t="str">
        <f t="shared" si="441"/>
        <v/>
      </c>
      <c r="BK1795" s="319" t="str">
        <f t="shared" si="441"/>
        <v/>
      </c>
      <c r="BL1795" s="319" t="str">
        <f t="shared" si="441"/>
        <v/>
      </c>
      <c r="BM1795" s="319" t="str">
        <f t="shared" si="441"/>
        <v/>
      </c>
      <c r="BN1795" s="319" t="str">
        <f t="shared" si="441"/>
        <v/>
      </c>
      <c r="BO1795" s="319" t="str">
        <f t="shared" si="441"/>
        <v/>
      </c>
      <c r="BP1795" s="319" t="str">
        <f t="shared" si="441"/>
        <v/>
      </c>
      <c r="BQ1795" s="319" t="str">
        <f t="shared" si="441"/>
        <v/>
      </c>
      <c r="BR1795" s="319" t="str">
        <f t="shared" si="441"/>
        <v/>
      </c>
      <c r="BS1795" s="330">
        <f t="shared" si="185"/>
        <v>0</v>
      </c>
      <c r="BT1795" s="331">
        <f t="shared" si="170"/>
        <v>0</v>
      </c>
      <c r="BU1795" s="920"/>
      <c r="BV1795" s="903" t="str">
        <f t="shared" si="186"/>
        <v/>
      </c>
      <c r="BW1795" s="908"/>
      <c r="BX1795" s="908"/>
      <c r="BY1795" s="331" t="b">
        <f t="shared" si="201"/>
        <v>0</v>
      </c>
      <c r="BZ1795" s="331"/>
      <c r="CA1795" s="462" t="str">
        <f t="shared" ref="CA1795:CJ1795" si="442">IF(ISNUMBER(FIND(BI$3, $CP1795)), "Y", "")</f>
        <v>Y</v>
      </c>
      <c r="CB1795" s="319" t="str">
        <f t="shared" si="442"/>
        <v>Y</v>
      </c>
      <c r="CC1795" s="319" t="str">
        <f t="shared" si="442"/>
        <v>Y</v>
      </c>
      <c r="CD1795" s="319" t="str">
        <f t="shared" si="442"/>
        <v>Y</v>
      </c>
      <c r="CE1795" s="319" t="str">
        <f t="shared" si="442"/>
        <v>Y</v>
      </c>
      <c r="CF1795" s="319" t="str">
        <f t="shared" si="442"/>
        <v>Y</v>
      </c>
      <c r="CG1795" s="319" t="str">
        <f t="shared" si="442"/>
        <v>Y</v>
      </c>
      <c r="CH1795" s="319" t="str">
        <f t="shared" si="442"/>
        <v/>
      </c>
      <c r="CI1795" s="319" t="str">
        <f t="shared" si="442"/>
        <v>Y</v>
      </c>
      <c r="CJ1795" s="319" t="str">
        <f t="shared" si="442"/>
        <v>Y</v>
      </c>
      <c r="CK1795" s="342">
        <f t="shared" si="182"/>
        <v>16.00124995</v>
      </c>
      <c r="CL1795" s="333">
        <f t="shared" si="183"/>
        <v>40.88031311</v>
      </c>
      <c r="CM1795" s="1079" t="s">
        <v>2418</v>
      </c>
      <c r="CN1795" s="1005" t="s">
        <v>2658</v>
      </c>
      <c r="CO1795" s="1005"/>
      <c r="CP1795" s="1005" t="s">
        <v>2400</v>
      </c>
    </row>
    <row r="1796">
      <c r="A1796" s="266"/>
      <c r="B1796" s="1113" t="s">
        <v>2649</v>
      </c>
      <c r="C1796" s="1107">
        <v>45482.0</v>
      </c>
      <c r="D1796" s="1113" t="s">
        <v>986</v>
      </c>
      <c r="E1796" s="1108" t="s">
        <v>1267</v>
      </c>
      <c r="F1796" s="112" t="s">
        <v>2660</v>
      </c>
      <c r="G1796" s="1110">
        <v>0.4173611111111111</v>
      </c>
      <c r="H1796" s="1110">
        <v>0.4184027777777778</v>
      </c>
      <c r="I1796" s="1110"/>
      <c r="J1796" s="1111"/>
      <c r="K1796" s="1111">
        <v>0.44166666666666665</v>
      </c>
      <c r="L1796" s="1112">
        <v>0.02326388888888889</v>
      </c>
      <c r="M1796" s="1113" t="s">
        <v>168</v>
      </c>
      <c r="N1796" s="110" t="s">
        <v>188</v>
      </c>
      <c r="O1796" s="1115" t="s">
        <v>196</v>
      </c>
      <c r="P1796" s="1115" t="s">
        <v>224</v>
      </c>
      <c r="Q1796" s="1115" t="s">
        <v>842</v>
      </c>
      <c r="R1796" s="120">
        <v>21.7</v>
      </c>
      <c r="S1796" s="1113">
        <v>39.5</v>
      </c>
      <c r="T1796" s="110">
        <v>1.3</v>
      </c>
      <c r="U1796" s="1108">
        <v>20.32</v>
      </c>
      <c r="V1796" s="1108"/>
      <c r="W1796" s="1108"/>
      <c r="X1796" s="1108"/>
      <c r="Y1796" s="1108"/>
      <c r="Z1796" s="1114" t="s">
        <v>387</v>
      </c>
      <c r="AA1796" s="1114"/>
      <c r="AB1796" s="1114" t="s">
        <v>413</v>
      </c>
      <c r="AC1796" s="1117">
        <v>24.3</v>
      </c>
      <c r="AD1796" s="1115"/>
      <c r="AE1796" s="1115"/>
      <c r="AF1796" s="1115"/>
      <c r="AG1796" s="1115"/>
      <c r="AH1796" s="1115"/>
      <c r="AI1796" s="1115"/>
      <c r="AJ1796" s="1117"/>
      <c r="AK1796" s="1118"/>
      <c r="AL1796" s="1115"/>
      <c r="AM1796" s="1115"/>
      <c r="AN1796" s="1115"/>
      <c r="AO1796" s="1115"/>
      <c r="AP1796" s="1115"/>
      <c r="AQ1796" s="1115"/>
      <c r="AR1796" s="1115"/>
      <c r="AS1796" s="1117"/>
      <c r="AT1796" s="1196" t="str">
        <f t="shared" si="428"/>
        <v>10+</v>
      </c>
      <c r="AU1796" s="1193"/>
      <c r="AV1796" s="330">
        <f>SQRT(($R1796-Infrastructure!J$3)^2+($S1796-Infrastructure!K$3)^2)</f>
        <v>24.42048321</v>
      </c>
      <c r="AW1796" s="331">
        <f>SQRT(($R1796-Infrastructure!J$4)^2+($S1796-Infrastructure!K$4)^2)</f>
        <v>30.90129447</v>
      </c>
      <c r="AX1796" s="331">
        <f>SQRT(($R1796-Infrastructure!J$5)^2+($S1796-Infrastructure!K$5)^2)</f>
        <v>40.83331973</v>
      </c>
      <c r="AY1796" s="331">
        <f>SQRT(($R1796-Infrastructure!J$6)^2+($S1796-Infrastructure!K$6)^2)</f>
        <v>40.88031311</v>
      </c>
      <c r="AZ1796" s="331">
        <f>SQRT(($R1796-Infrastructure!J$7)^2+($S1796-Infrastructure!K$7)^2)</f>
        <v>39.21836305</v>
      </c>
      <c r="BA1796" s="331">
        <f>SQRT(($R1796-Infrastructure!J$8)^2+($S1796-Infrastructure!K$8)^2)</f>
        <v>40.08989898</v>
      </c>
      <c r="BB1796" s="331">
        <f>SQRT(($R1796-Infrastructure!J$9)^2+($S1796-Infrastructure!K$9)^2)</f>
        <v>38.96472764</v>
      </c>
      <c r="BC1796" s="331">
        <f>SQRT(($R1796-Infrastructure!J$10)^2+($S1796-Infrastructure!K$10)^2)</f>
        <v>30.58005886</v>
      </c>
      <c r="BD1796" s="331">
        <f>SQRT(($R1796-Infrastructure!J$11)^2+($S1796-Infrastructure!K$11)^2)</f>
        <v>21.27204739</v>
      </c>
      <c r="BE1796" s="333">
        <f>SQRT(($R1796-Infrastructure!J$12)^2+($S1796-Infrastructure!K$12)^2)</f>
        <v>16.00124995</v>
      </c>
      <c r="BF1796" s="330">
        <f t="shared" si="161"/>
        <v>16.00124995</v>
      </c>
      <c r="BG1796" s="333">
        <f t="shared" si="162"/>
        <v>40.88031311</v>
      </c>
      <c r="BH1796" s="1119"/>
      <c r="BI1796" s="319" t="str">
        <f t="shared" ref="BI1796:BR1796" si="443">IF(ISNUMBER(FIND(BI$3, $CO1796)), "Y", "")</f>
        <v/>
      </c>
      <c r="BJ1796" s="319" t="str">
        <f t="shared" si="443"/>
        <v/>
      </c>
      <c r="BK1796" s="319" t="str">
        <f t="shared" si="443"/>
        <v/>
      </c>
      <c r="BL1796" s="319" t="str">
        <f t="shared" si="443"/>
        <v/>
      </c>
      <c r="BM1796" s="319" t="str">
        <f t="shared" si="443"/>
        <v/>
      </c>
      <c r="BN1796" s="319" t="str">
        <f t="shared" si="443"/>
        <v/>
      </c>
      <c r="BO1796" s="319" t="str">
        <f t="shared" si="443"/>
        <v/>
      </c>
      <c r="BP1796" s="319" t="str">
        <f t="shared" si="443"/>
        <v/>
      </c>
      <c r="BQ1796" s="319" t="str">
        <f t="shared" si="443"/>
        <v/>
      </c>
      <c r="BR1796" s="319" t="str">
        <f t="shared" si="443"/>
        <v/>
      </c>
      <c r="BS1796" s="330">
        <f t="shared" si="185"/>
        <v>0</v>
      </c>
      <c r="BT1796" s="331">
        <f t="shared" si="170"/>
        <v>0</v>
      </c>
      <c r="BU1796" s="920"/>
      <c r="BV1796" s="903" t="str">
        <f t="shared" si="186"/>
        <v/>
      </c>
      <c r="BW1796" s="908"/>
      <c r="BX1796" s="908"/>
      <c r="BY1796" s="331" t="b">
        <f t="shared" si="201"/>
        <v>0</v>
      </c>
      <c r="BZ1796" s="331"/>
      <c r="CA1796" s="462" t="str">
        <f t="shared" ref="CA1796:CJ1796" si="444">IF(ISNUMBER(FIND(BI$3, $CP1796)), "Y", "")</f>
        <v>Y</v>
      </c>
      <c r="CB1796" s="319" t="str">
        <f t="shared" si="444"/>
        <v>Y</v>
      </c>
      <c r="CC1796" s="319" t="str">
        <f t="shared" si="444"/>
        <v>Y</v>
      </c>
      <c r="CD1796" s="319" t="str">
        <f t="shared" si="444"/>
        <v>Y</v>
      </c>
      <c r="CE1796" s="319" t="str">
        <f t="shared" si="444"/>
        <v>Y</v>
      </c>
      <c r="CF1796" s="319" t="str">
        <f t="shared" si="444"/>
        <v>Y</v>
      </c>
      <c r="CG1796" s="319" t="str">
        <f t="shared" si="444"/>
        <v>Y</v>
      </c>
      <c r="CH1796" s="319" t="str">
        <f t="shared" si="444"/>
        <v/>
      </c>
      <c r="CI1796" s="319" t="str">
        <f t="shared" si="444"/>
        <v>Y</v>
      </c>
      <c r="CJ1796" s="319" t="str">
        <f t="shared" si="444"/>
        <v>Y</v>
      </c>
      <c r="CK1796" s="342">
        <f t="shared" si="182"/>
        <v>16.00124995</v>
      </c>
      <c r="CL1796" s="333">
        <f t="shared" si="183"/>
        <v>40.88031311</v>
      </c>
      <c r="CM1796" s="1079" t="s">
        <v>2418</v>
      </c>
      <c r="CN1796" s="1005" t="s">
        <v>2658</v>
      </c>
      <c r="CO1796" s="1005"/>
      <c r="CP1796" s="1005" t="s">
        <v>2400</v>
      </c>
    </row>
    <row r="1797">
      <c r="A1797" s="266"/>
      <c r="B1797" s="1113" t="s">
        <v>2649</v>
      </c>
      <c r="C1797" s="1107">
        <v>45482.0</v>
      </c>
      <c r="D1797" s="1113" t="s">
        <v>986</v>
      </c>
      <c r="E1797" s="1108" t="s">
        <v>1269</v>
      </c>
      <c r="F1797" s="112" t="s">
        <v>2661</v>
      </c>
      <c r="G1797" s="1110">
        <v>0.41689814814814813</v>
      </c>
      <c r="H1797" s="1110">
        <v>0.4173611111111111</v>
      </c>
      <c r="I1797" s="1110"/>
      <c r="J1797" s="1111"/>
      <c r="K1797" s="1111">
        <v>0.44189814814814815</v>
      </c>
      <c r="L1797" s="1112">
        <v>0.024537037037037038</v>
      </c>
      <c r="M1797" s="1113" t="s">
        <v>166</v>
      </c>
      <c r="N1797" s="110" t="s">
        <v>188</v>
      </c>
      <c r="O1797" s="1115" t="s">
        <v>196</v>
      </c>
      <c r="P1797" s="1115" t="s">
        <v>224</v>
      </c>
      <c r="Q1797" s="1115" t="s">
        <v>842</v>
      </c>
      <c r="R1797" s="120">
        <v>21.7</v>
      </c>
      <c r="S1797" s="1113">
        <v>39.5</v>
      </c>
      <c r="T1797" s="110">
        <v>1.3</v>
      </c>
      <c r="U1797" s="1108">
        <v>0.156</v>
      </c>
      <c r="V1797" s="1108"/>
      <c r="W1797" s="1108"/>
      <c r="X1797" s="1108"/>
      <c r="Y1797" s="1108"/>
      <c r="Z1797" s="1114" t="s">
        <v>335</v>
      </c>
      <c r="AA1797" s="1114"/>
      <c r="AB1797" s="1114" t="s">
        <v>380</v>
      </c>
      <c r="AC1797" s="1117">
        <v>4.0</v>
      </c>
      <c r="AD1797" s="1115"/>
      <c r="AE1797" s="1115"/>
      <c r="AF1797" s="1115"/>
      <c r="AG1797" s="1115"/>
      <c r="AH1797" s="1115"/>
      <c r="AI1797" s="1115"/>
      <c r="AJ1797" s="1117"/>
      <c r="AK1797" s="1118"/>
      <c r="AL1797" s="1115"/>
      <c r="AM1797" s="1115"/>
      <c r="AN1797" s="1115"/>
      <c r="AO1797" s="1115"/>
      <c r="AP1797" s="1115"/>
      <c r="AQ1797" s="1115"/>
      <c r="AR1797" s="1115"/>
      <c r="AS1797" s="1117"/>
      <c r="AT1797" s="1196" t="str">
        <f t="shared" si="428"/>
        <v>0-1</v>
      </c>
      <c r="AU1797" s="1193"/>
      <c r="AV1797" s="330">
        <f>SQRT(($R1797-Infrastructure!J$3)^2+($S1797-Infrastructure!K$3)^2)</f>
        <v>24.42048321</v>
      </c>
      <c r="AW1797" s="331">
        <f>SQRT(($R1797-Infrastructure!J$4)^2+($S1797-Infrastructure!K$4)^2)</f>
        <v>30.90129447</v>
      </c>
      <c r="AX1797" s="331">
        <f>SQRT(($R1797-Infrastructure!J$5)^2+($S1797-Infrastructure!K$5)^2)</f>
        <v>40.83331973</v>
      </c>
      <c r="AY1797" s="331">
        <f>SQRT(($R1797-Infrastructure!J$6)^2+($S1797-Infrastructure!K$6)^2)</f>
        <v>40.88031311</v>
      </c>
      <c r="AZ1797" s="331">
        <f>SQRT(($R1797-Infrastructure!J$7)^2+($S1797-Infrastructure!K$7)^2)</f>
        <v>39.21836305</v>
      </c>
      <c r="BA1797" s="331">
        <f>SQRT(($R1797-Infrastructure!J$8)^2+($S1797-Infrastructure!K$8)^2)</f>
        <v>40.08989898</v>
      </c>
      <c r="BB1797" s="331">
        <f>SQRT(($R1797-Infrastructure!J$9)^2+($S1797-Infrastructure!K$9)^2)</f>
        <v>38.96472764</v>
      </c>
      <c r="BC1797" s="331">
        <f>SQRT(($R1797-Infrastructure!J$10)^2+($S1797-Infrastructure!K$10)^2)</f>
        <v>30.58005886</v>
      </c>
      <c r="BD1797" s="331">
        <f>SQRT(($R1797-Infrastructure!J$11)^2+($S1797-Infrastructure!K$11)^2)</f>
        <v>21.27204739</v>
      </c>
      <c r="BE1797" s="333">
        <f>SQRT(($R1797-Infrastructure!J$12)^2+($S1797-Infrastructure!K$12)^2)</f>
        <v>16.00124995</v>
      </c>
      <c r="BF1797" s="330">
        <f t="shared" si="161"/>
        <v>16.00124995</v>
      </c>
      <c r="BG1797" s="333">
        <f t="shared" si="162"/>
        <v>40.88031311</v>
      </c>
      <c r="BH1797" s="1119"/>
      <c r="BI1797" s="319" t="str">
        <f t="shared" ref="BI1797:BR1797" si="445">IF(ISNUMBER(FIND(BI$3, $CO1797)), "Y", "")</f>
        <v/>
      </c>
      <c r="BJ1797" s="319" t="str">
        <f t="shared" si="445"/>
        <v/>
      </c>
      <c r="BK1797" s="319" t="str">
        <f t="shared" si="445"/>
        <v/>
      </c>
      <c r="BL1797" s="319" t="str">
        <f t="shared" si="445"/>
        <v/>
      </c>
      <c r="BM1797" s="319" t="str">
        <f t="shared" si="445"/>
        <v/>
      </c>
      <c r="BN1797" s="319" t="str">
        <f t="shared" si="445"/>
        <v/>
      </c>
      <c r="BO1797" s="319" t="str">
        <f t="shared" si="445"/>
        <v/>
      </c>
      <c r="BP1797" s="319" t="str">
        <f t="shared" si="445"/>
        <v/>
      </c>
      <c r="BQ1797" s="319" t="str">
        <f t="shared" si="445"/>
        <v/>
      </c>
      <c r="BR1797" s="319" t="str">
        <f t="shared" si="445"/>
        <v/>
      </c>
      <c r="BS1797" s="330">
        <f t="shared" si="185"/>
        <v>0</v>
      </c>
      <c r="BT1797" s="331">
        <f t="shared" si="170"/>
        <v>0</v>
      </c>
      <c r="BU1797" s="920"/>
      <c r="BV1797" s="903" t="str">
        <f t="shared" si="186"/>
        <v/>
      </c>
      <c r="BW1797" s="908"/>
      <c r="BX1797" s="908"/>
      <c r="BY1797" s="331" t="b">
        <f t="shared" si="201"/>
        <v>0</v>
      </c>
      <c r="BZ1797" s="331"/>
      <c r="CA1797" s="462" t="str">
        <f t="shared" ref="CA1797:CJ1797" si="446">IF(ISNUMBER(FIND(BI$3, $CP1797)), "Y", "")</f>
        <v>Y</v>
      </c>
      <c r="CB1797" s="319" t="str">
        <f t="shared" si="446"/>
        <v>Y</v>
      </c>
      <c r="CC1797" s="319" t="str">
        <f t="shared" si="446"/>
        <v>Y</v>
      </c>
      <c r="CD1797" s="319" t="str">
        <f t="shared" si="446"/>
        <v>Y</v>
      </c>
      <c r="CE1797" s="319" t="str">
        <f t="shared" si="446"/>
        <v>Y</v>
      </c>
      <c r="CF1797" s="319" t="str">
        <f t="shared" si="446"/>
        <v>Y</v>
      </c>
      <c r="CG1797" s="319" t="str">
        <f t="shared" si="446"/>
        <v>Y</v>
      </c>
      <c r="CH1797" s="319" t="str">
        <f t="shared" si="446"/>
        <v/>
      </c>
      <c r="CI1797" s="319" t="str">
        <f t="shared" si="446"/>
        <v>Y</v>
      </c>
      <c r="CJ1797" s="319" t="str">
        <f t="shared" si="446"/>
        <v>Y</v>
      </c>
      <c r="CK1797" s="342">
        <f t="shared" si="182"/>
        <v>16.00124995</v>
      </c>
      <c r="CL1797" s="333">
        <f t="shared" si="183"/>
        <v>40.88031311</v>
      </c>
      <c r="CM1797" s="1079" t="s">
        <v>2418</v>
      </c>
      <c r="CN1797" s="1005" t="s">
        <v>2658</v>
      </c>
      <c r="CO1797" s="1005"/>
      <c r="CP1797" s="1005" t="s">
        <v>2400</v>
      </c>
    </row>
    <row r="1798">
      <c r="A1798" s="266"/>
      <c r="B1798" s="1113" t="s">
        <v>2649</v>
      </c>
      <c r="C1798" s="1107">
        <v>45482.0</v>
      </c>
      <c r="D1798" s="1113" t="s">
        <v>986</v>
      </c>
      <c r="E1798" s="1108" t="s">
        <v>1470</v>
      </c>
      <c r="F1798" s="112" t="s">
        <v>2662</v>
      </c>
      <c r="G1798" s="1110">
        <v>0.4558449074074074</v>
      </c>
      <c r="H1798" s="1110">
        <v>0.45625</v>
      </c>
      <c r="I1798" s="1110"/>
      <c r="J1798" s="1111"/>
      <c r="K1798" s="1111">
        <v>0.4693865740740741</v>
      </c>
      <c r="L1798" s="1112">
        <v>0.013136574074074075</v>
      </c>
      <c r="M1798" s="1113" t="s">
        <v>168</v>
      </c>
      <c r="N1798" s="110" t="s">
        <v>188</v>
      </c>
      <c r="O1798" s="1115" t="s">
        <v>196</v>
      </c>
      <c r="P1798" s="1115" t="s">
        <v>224</v>
      </c>
      <c r="Q1798" s="1115" t="s">
        <v>842</v>
      </c>
      <c r="R1798" s="120">
        <v>21.7</v>
      </c>
      <c r="S1798" s="1113">
        <v>39.5</v>
      </c>
      <c r="T1798" s="110">
        <v>1.3</v>
      </c>
      <c r="U1798" s="1108">
        <v>85.93</v>
      </c>
      <c r="V1798" s="1108"/>
      <c r="W1798" s="1108"/>
      <c r="X1798" s="1108"/>
      <c r="Y1798" s="1108"/>
      <c r="Z1798" s="1114" t="s">
        <v>387</v>
      </c>
      <c r="AA1798" s="1114"/>
      <c r="AB1798" s="1114" t="s">
        <v>416</v>
      </c>
      <c r="AC1798" s="1117">
        <v>52.5</v>
      </c>
      <c r="AD1798" s="1115"/>
      <c r="AE1798" s="1115"/>
      <c r="AF1798" s="1115"/>
      <c r="AG1798" s="1115"/>
      <c r="AH1798" s="1115"/>
      <c r="AI1798" s="1115"/>
      <c r="AJ1798" s="1117"/>
      <c r="AK1798" s="1118"/>
      <c r="AL1798" s="1115"/>
      <c r="AM1798" s="1115"/>
      <c r="AN1798" s="1115"/>
      <c r="AO1798" s="1115"/>
      <c r="AP1798" s="1115"/>
      <c r="AQ1798" s="1115"/>
      <c r="AR1798" s="1115"/>
      <c r="AS1798" s="1117"/>
      <c r="AT1798" s="1196" t="str">
        <f t="shared" si="428"/>
        <v>10+</v>
      </c>
      <c r="AU1798" s="1193"/>
      <c r="AV1798" s="330">
        <f>SQRT(($R1798-Infrastructure!J$3)^2+($S1798-Infrastructure!K$3)^2)</f>
        <v>24.42048321</v>
      </c>
      <c r="AW1798" s="331">
        <f>SQRT(($R1798-Infrastructure!J$4)^2+($S1798-Infrastructure!K$4)^2)</f>
        <v>30.90129447</v>
      </c>
      <c r="AX1798" s="331">
        <f>SQRT(($R1798-Infrastructure!J$5)^2+($S1798-Infrastructure!K$5)^2)</f>
        <v>40.83331973</v>
      </c>
      <c r="AY1798" s="331">
        <f>SQRT(($R1798-Infrastructure!J$6)^2+($S1798-Infrastructure!K$6)^2)</f>
        <v>40.88031311</v>
      </c>
      <c r="AZ1798" s="331">
        <f>SQRT(($R1798-Infrastructure!J$7)^2+($S1798-Infrastructure!K$7)^2)</f>
        <v>39.21836305</v>
      </c>
      <c r="BA1798" s="331">
        <f>SQRT(($R1798-Infrastructure!J$8)^2+($S1798-Infrastructure!K$8)^2)</f>
        <v>40.08989898</v>
      </c>
      <c r="BB1798" s="331">
        <f>SQRT(($R1798-Infrastructure!J$9)^2+($S1798-Infrastructure!K$9)^2)</f>
        <v>38.96472764</v>
      </c>
      <c r="BC1798" s="331">
        <f>SQRT(($R1798-Infrastructure!J$10)^2+($S1798-Infrastructure!K$10)^2)</f>
        <v>30.58005886</v>
      </c>
      <c r="BD1798" s="331">
        <f>SQRT(($R1798-Infrastructure!J$11)^2+($S1798-Infrastructure!K$11)^2)</f>
        <v>21.27204739</v>
      </c>
      <c r="BE1798" s="333">
        <f>SQRT(($R1798-Infrastructure!J$12)^2+($S1798-Infrastructure!K$12)^2)</f>
        <v>16.00124995</v>
      </c>
      <c r="BF1798" s="330">
        <f t="shared" si="161"/>
        <v>16.00124995</v>
      </c>
      <c r="BG1798" s="333">
        <f t="shared" si="162"/>
        <v>40.88031311</v>
      </c>
      <c r="BH1798" s="1119"/>
      <c r="BI1798" s="319" t="str">
        <f t="shared" ref="BI1798:BR1798" si="447">IF(ISNUMBER(FIND(BI$3, $CO1798)), "Y", "")</f>
        <v/>
      </c>
      <c r="BJ1798" s="319" t="str">
        <f t="shared" si="447"/>
        <v/>
      </c>
      <c r="BK1798" s="319" t="str">
        <f t="shared" si="447"/>
        <v/>
      </c>
      <c r="BL1798" s="319" t="str">
        <f t="shared" si="447"/>
        <v/>
      </c>
      <c r="BM1798" s="319" t="str">
        <f t="shared" si="447"/>
        <v/>
      </c>
      <c r="BN1798" s="319" t="str">
        <f t="shared" si="447"/>
        <v/>
      </c>
      <c r="BO1798" s="319" t="str">
        <f t="shared" si="447"/>
        <v/>
      </c>
      <c r="BP1798" s="319" t="str">
        <f t="shared" si="447"/>
        <v/>
      </c>
      <c r="BQ1798" s="319" t="str">
        <f t="shared" si="447"/>
        <v/>
      </c>
      <c r="BR1798" s="319" t="str">
        <f t="shared" si="447"/>
        <v/>
      </c>
      <c r="BS1798" s="330">
        <f t="shared" si="185"/>
        <v>0</v>
      </c>
      <c r="BT1798" s="331">
        <f t="shared" si="170"/>
        <v>0</v>
      </c>
      <c r="BU1798" s="920"/>
      <c r="BV1798" s="903" t="str">
        <f t="shared" si="186"/>
        <v/>
      </c>
      <c r="BW1798" s="908"/>
      <c r="BX1798" s="908"/>
      <c r="BY1798" s="331" t="b">
        <f t="shared" si="201"/>
        <v>0</v>
      </c>
      <c r="BZ1798" s="331"/>
      <c r="CA1798" s="462" t="str">
        <f t="shared" ref="CA1798:CJ1798" si="448">IF(ISNUMBER(FIND(BI$3, $CP1798)), "Y", "")</f>
        <v>Y</v>
      </c>
      <c r="CB1798" s="319" t="str">
        <f t="shared" si="448"/>
        <v>Y</v>
      </c>
      <c r="CC1798" s="319" t="str">
        <f t="shared" si="448"/>
        <v>Y</v>
      </c>
      <c r="CD1798" s="319" t="str">
        <f t="shared" si="448"/>
        <v>Y</v>
      </c>
      <c r="CE1798" s="319" t="str">
        <f t="shared" si="448"/>
        <v>Y</v>
      </c>
      <c r="CF1798" s="319" t="str">
        <f t="shared" si="448"/>
        <v>Y</v>
      </c>
      <c r="CG1798" s="319" t="str">
        <f t="shared" si="448"/>
        <v>Y</v>
      </c>
      <c r="CH1798" s="319" t="str">
        <f t="shared" si="448"/>
        <v/>
      </c>
      <c r="CI1798" s="319" t="str">
        <f t="shared" si="448"/>
        <v>Y</v>
      </c>
      <c r="CJ1798" s="319" t="str">
        <f t="shared" si="448"/>
        <v>Y</v>
      </c>
      <c r="CK1798" s="342">
        <f t="shared" si="182"/>
        <v>16.00124995</v>
      </c>
      <c r="CL1798" s="333">
        <f t="shared" si="183"/>
        <v>40.88031311</v>
      </c>
      <c r="CM1798" s="1079" t="s">
        <v>2418</v>
      </c>
      <c r="CN1798" s="1005" t="s">
        <v>2658</v>
      </c>
      <c r="CO1798" s="1005"/>
      <c r="CP1798" s="1005" t="s">
        <v>2400</v>
      </c>
    </row>
    <row r="1799">
      <c r="A1799" s="266"/>
      <c r="B1799" s="1113" t="s">
        <v>2649</v>
      </c>
      <c r="C1799" s="1107">
        <v>45482.0</v>
      </c>
      <c r="D1799" s="1113" t="s">
        <v>986</v>
      </c>
      <c r="E1799" s="1108" t="s">
        <v>1472</v>
      </c>
      <c r="F1799" s="112" t="s">
        <v>2663</v>
      </c>
      <c r="G1799" s="1110">
        <v>0.45491898148148147</v>
      </c>
      <c r="H1799" s="1110">
        <v>0.45555555555555555</v>
      </c>
      <c r="I1799" s="1110"/>
      <c r="J1799" s="1111"/>
      <c r="K1799" s="1111">
        <v>0.4699074074074074</v>
      </c>
      <c r="L1799" s="1112">
        <v>0.014351851851851852</v>
      </c>
      <c r="M1799" s="1113" t="s">
        <v>166</v>
      </c>
      <c r="N1799" s="110" t="s">
        <v>188</v>
      </c>
      <c r="O1799" s="1115" t="s">
        <v>196</v>
      </c>
      <c r="P1799" s="1115" t="s">
        <v>224</v>
      </c>
      <c r="Q1799" s="1115" t="s">
        <v>842</v>
      </c>
      <c r="R1799" s="120">
        <v>21.7</v>
      </c>
      <c r="S1799" s="1113">
        <v>39.5</v>
      </c>
      <c r="T1799" s="110">
        <v>1.3</v>
      </c>
      <c r="U1799" s="1108">
        <v>0.156</v>
      </c>
      <c r="V1799" s="1108"/>
      <c r="W1799" s="1108"/>
      <c r="X1799" s="1108"/>
      <c r="Y1799" s="1108"/>
      <c r="Z1799" s="1114" t="s">
        <v>335</v>
      </c>
      <c r="AA1799" s="1114"/>
      <c r="AB1799" s="1114" t="s">
        <v>380</v>
      </c>
      <c r="AC1799" s="1117">
        <v>4.0</v>
      </c>
      <c r="AD1799" s="1115"/>
      <c r="AE1799" s="1115"/>
      <c r="AF1799" s="1115"/>
      <c r="AG1799" s="1115"/>
      <c r="AH1799" s="1115"/>
      <c r="AI1799" s="1115"/>
      <c r="AJ1799" s="1117"/>
      <c r="AK1799" s="1118"/>
      <c r="AL1799" s="1115"/>
      <c r="AM1799" s="1115"/>
      <c r="AN1799" s="1115"/>
      <c r="AO1799" s="1115"/>
      <c r="AP1799" s="1115"/>
      <c r="AQ1799" s="1115"/>
      <c r="AR1799" s="1115"/>
      <c r="AS1799" s="1117"/>
      <c r="AT1799" s="1196" t="str">
        <f t="shared" si="428"/>
        <v>0-1</v>
      </c>
      <c r="AU1799" s="1193"/>
      <c r="AV1799" s="330">
        <f>SQRT(($R1799-Infrastructure!J$3)^2+($S1799-Infrastructure!K$3)^2)</f>
        <v>24.42048321</v>
      </c>
      <c r="AW1799" s="331">
        <f>SQRT(($R1799-Infrastructure!J$4)^2+($S1799-Infrastructure!K$4)^2)</f>
        <v>30.90129447</v>
      </c>
      <c r="AX1799" s="331">
        <f>SQRT(($R1799-Infrastructure!J$5)^2+($S1799-Infrastructure!K$5)^2)</f>
        <v>40.83331973</v>
      </c>
      <c r="AY1799" s="331">
        <f>SQRT(($R1799-Infrastructure!J$6)^2+($S1799-Infrastructure!K$6)^2)</f>
        <v>40.88031311</v>
      </c>
      <c r="AZ1799" s="331">
        <f>SQRT(($R1799-Infrastructure!J$7)^2+($S1799-Infrastructure!K$7)^2)</f>
        <v>39.21836305</v>
      </c>
      <c r="BA1799" s="331">
        <f>SQRT(($R1799-Infrastructure!J$8)^2+($S1799-Infrastructure!K$8)^2)</f>
        <v>40.08989898</v>
      </c>
      <c r="BB1799" s="331">
        <f>SQRT(($R1799-Infrastructure!J$9)^2+($S1799-Infrastructure!K$9)^2)</f>
        <v>38.96472764</v>
      </c>
      <c r="BC1799" s="331">
        <f>SQRT(($R1799-Infrastructure!J$10)^2+($S1799-Infrastructure!K$10)^2)</f>
        <v>30.58005886</v>
      </c>
      <c r="BD1799" s="331">
        <f>SQRT(($R1799-Infrastructure!J$11)^2+($S1799-Infrastructure!K$11)^2)</f>
        <v>21.27204739</v>
      </c>
      <c r="BE1799" s="333">
        <f>SQRT(($R1799-Infrastructure!J$12)^2+($S1799-Infrastructure!K$12)^2)</f>
        <v>16.00124995</v>
      </c>
      <c r="BF1799" s="330">
        <f t="shared" si="161"/>
        <v>16.00124995</v>
      </c>
      <c r="BG1799" s="333">
        <f t="shared" si="162"/>
        <v>40.88031311</v>
      </c>
      <c r="BH1799" s="1119"/>
      <c r="BI1799" s="319" t="str">
        <f t="shared" ref="BI1799:BR1799" si="449">IF(ISNUMBER(FIND(BI$3, $CO1799)), "Y", "")</f>
        <v/>
      </c>
      <c r="BJ1799" s="319" t="str">
        <f t="shared" si="449"/>
        <v/>
      </c>
      <c r="BK1799" s="319" t="str">
        <f t="shared" si="449"/>
        <v/>
      </c>
      <c r="BL1799" s="319" t="str">
        <f t="shared" si="449"/>
        <v/>
      </c>
      <c r="BM1799" s="319" t="str">
        <f t="shared" si="449"/>
        <v/>
      </c>
      <c r="BN1799" s="319" t="str">
        <f t="shared" si="449"/>
        <v/>
      </c>
      <c r="BO1799" s="319" t="str">
        <f t="shared" si="449"/>
        <v/>
      </c>
      <c r="BP1799" s="319" t="str">
        <f t="shared" si="449"/>
        <v/>
      </c>
      <c r="BQ1799" s="319" t="str">
        <f t="shared" si="449"/>
        <v/>
      </c>
      <c r="BR1799" s="319" t="str">
        <f t="shared" si="449"/>
        <v/>
      </c>
      <c r="BS1799" s="330">
        <f t="shared" si="185"/>
        <v>0</v>
      </c>
      <c r="BT1799" s="331">
        <f t="shared" si="170"/>
        <v>0</v>
      </c>
      <c r="BU1799" s="920"/>
      <c r="BV1799" s="903" t="str">
        <f t="shared" si="186"/>
        <v/>
      </c>
      <c r="BW1799" s="908"/>
      <c r="BX1799" s="908"/>
      <c r="BY1799" s="331" t="b">
        <f t="shared" si="201"/>
        <v>0</v>
      </c>
      <c r="BZ1799" s="331"/>
      <c r="CA1799" s="462" t="str">
        <f t="shared" ref="CA1799:CJ1799" si="450">IF(ISNUMBER(FIND(BI$3, $CP1799)), "Y", "")</f>
        <v>Y</v>
      </c>
      <c r="CB1799" s="319" t="str">
        <f t="shared" si="450"/>
        <v>Y</v>
      </c>
      <c r="CC1799" s="319" t="str">
        <f t="shared" si="450"/>
        <v>Y</v>
      </c>
      <c r="CD1799" s="319" t="str">
        <f t="shared" si="450"/>
        <v>Y</v>
      </c>
      <c r="CE1799" s="319" t="str">
        <f t="shared" si="450"/>
        <v>Y</v>
      </c>
      <c r="CF1799" s="319" t="str">
        <f t="shared" si="450"/>
        <v>Y</v>
      </c>
      <c r="CG1799" s="319" t="str">
        <f t="shared" si="450"/>
        <v>Y</v>
      </c>
      <c r="CH1799" s="319" t="str">
        <f t="shared" si="450"/>
        <v/>
      </c>
      <c r="CI1799" s="319" t="str">
        <f t="shared" si="450"/>
        <v>Y</v>
      </c>
      <c r="CJ1799" s="319" t="str">
        <f t="shared" si="450"/>
        <v>Y</v>
      </c>
      <c r="CK1799" s="342">
        <f t="shared" si="182"/>
        <v>16.00124995</v>
      </c>
      <c r="CL1799" s="333">
        <f t="shared" si="183"/>
        <v>40.88031311</v>
      </c>
      <c r="CM1799" s="1079" t="s">
        <v>2418</v>
      </c>
      <c r="CN1799" s="1005" t="s">
        <v>2658</v>
      </c>
      <c r="CO1799" s="1005"/>
      <c r="CP1799" s="1005" t="s">
        <v>2400</v>
      </c>
    </row>
    <row r="1800">
      <c r="A1800" s="266"/>
      <c r="B1800" s="1113" t="s">
        <v>2649</v>
      </c>
      <c r="C1800" s="1107">
        <v>45482.0</v>
      </c>
      <c r="D1800" s="1113" t="s">
        <v>986</v>
      </c>
      <c r="E1800" s="1108" t="s">
        <v>2664</v>
      </c>
      <c r="F1800" s="112" t="s">
        <v>2665</v>
      </c>
      <c r="G1800" s="1110">
        <v>0.5553819444444444</v>
      </c>
      <c r="H1800" s="1110">
        <v>0.5559027777777777</v>
      </c>
      <c r="I1800" s="1110"/>
      <c r="J1800" s="1111"/>
      <c r="K1800" s="1111">
        <v>0.5822337962962963</v>
      </c>
      <c r="L1800" s="1112">
        <v>0.026331018518518517</v>
      </c>
      <c r="M1800" s="1113" t="s">
        <v>168</v>
      </c>
      <c r="N1800" s="110" t="s">
        <v>188</v>
      </c>
      <c r="O1800" s="1115" t="s">
        <v>196</v>
      </c>
      <c r="P1800" s="1115" t="s">
        <v>224</v>
      </c>
      <c r="Q1800" s="1115" t="s">
        <v>842</v>
      </c>
      <c r="R1800" s="120">
        <v>21.7</v>
      </c>
      <c r="S1800" s="1113">
        <v>39.5</v>
      </c>
      <c r="T1800" s="110">
        <v>1.3</v>
      </c>
      <c r="U1800" s="1108">
        <v>85.93</v>
      </c>
      <c r="V1800" s="1108"/>
      <c r="W1800" s="1108"/>
      <c r="X1800" s="1108"/>
      <c r="Y1800" s="1108"/>
      <c r="Z1800" s="1114" t="s">
        <v>387</v>
      </c>
      <c r="AA1800" s="1114"/>
      <c r="AB1800" s="1114" t="s">
        <v>416</v>
      </c>
      <c r="AC1800" s="1117">
        <v>52.5</v>
      </c>
      <c r="AD1800" s="1115"/>
      <c r="AE1800" s="1115"/>
      <c r="AF1800" s="1115"/>
      <c r="AG1800" s="1115"/>
      <c r="AH1800" s="1115"/>
      <c r="AI1800" s="1115"/>
      <c r="AJ1800" s="1117"/>
      <c r="AK1800" s="1118"/>
      <c r="AL1800" s="1115"/>
      <c r="AM1800" s="1115"/>
      <c r="AN1800" s="1115"/>
      <c r="AO1800" s="1115"/>
      <c r="AP1800" s="1115"/>
      <c r="AQ1800" s="1115"/>
      <c r="AR1800" s="1115"/>
      <c r="AS1800" s="1117"/>
      <c r="AT1800" s="1196" t="str">
        <f t="shared" si="428"/>
        <v>10+</v>
      </c>
      <c r="AU1800" s="1193"/>
      <c r="AV1800" s="330">
        <f>SQRT(($R1800-Infrastructure!J$3)^2+($S1800-Infrastructure!K$3)^2)</f>
        <v>24.42048321</v>
      </c>
      <c r="AW1800" s="331">
        <f>SQRT(($R1800-Infrastructure!J$4)^2+($S1800-Infrastructure!K$4)^2)</f>
        <v>30.90129447</v>
      </c>
      <c r="AX1800" s="331">
        <f>SQRT(($R1800-Infrastructure!J$5)^2+($S1800-Infrastructure!K$5)^2)</f>
        <v>40.83331973</v>
      </c>
      <c r="AY1800" s="331">
        <f>SQRT(($R1800-Infrastructure!J$6)^2+($S1800-Infrastructure!K$6)^2)</f>
        <v>40.88031311</v>
      </c>
      <c r="AZ1800" s="331">
        <f>SQRT(($R1800-Infrastructure!J$7)^2+($S1800-Infrastructure!K$7)^2)</f>
        <v>39.21836305</v>
      </c>
      <c r="BA1800" s="331">
        <f>SQRT(($R1800-Infrastructure!J$8)^2+($S1800-Infrastructure!K$8)^2)</f>
        <v>40.08989898</v>
      </c>
      <c r="BB1800" s="331">
        <f>SQRT(($R1800-Infrastructure!J$9)^2+($S1800-Infrastructure!K$9)^2)</f>
        <v>38.96472764</v>
      </c>
      <c r="BC1800" s="331">
        <f>SQRT(($R1800-Infrastructure!J$10)^2+($S1800-Infrastructure!K$10)^2)</f>
        <v>30.58005886</v>
      </c>
      <c r="BD1800" s="331">
        <f>SQRT(($R1800-Infrastructure!J$11)^2+($S1800-Infrastructure!K$11)^2)</f>
        <v>21.27204739</v>
      </c>
      <c r="BE1800" s="333">
        <f>SQRT(($R1800-Infrastructure!J$12)^2+($S1800-Infrastructure!K$12)^2)</f>
        <v>16.00124995</v>
      </c>
      <c r="BF1800" s="330">
        <f t="shared" si="161"/>
        <v>16.00124995</v>
      </c>
      <c r="BG1800" s="333">
        <f t="shared" si="162"/>
        <v>40.88031311</v>
      </c>
      <c r="BH1800" s="1119"/>
      <c r="BI1800" s="319" t="str">
        <f t="shared" ref="BI1800:BR1800" si="451">IF(ISNUMBER(FIND(BI$3, $CO1800)), "Y", "")</f>
        <v/>
      </c>
      <c r="BJ1800" s="319" t="str">
        <f t="shared" si="451"/>
        <v/>
      </c>
      <c r="BK1800" s="319" t="str">
        <f t="shared" si="451"/>
        <v/>
      </c>
      <c r="BL1800" s="319" t="str">
        <f t="shared" si="451"/>
        <v/>
      </c>
      <c r="BM1800" s="319" t="str">
        <f t="shared" si="451"/>
        <v/>
      </c>
      <c r="BN1800" s="319" t="str">
        <f t="shared" si="451"/>
        <v/>
      </c>
      <c r="BO1800" s="319" t="str">
        <f t="shared" si="451"/>
        <v/>
      </c>
      <c r="BP1800" s="319" t="str">
        <f t="shared" si="451"/>
        <v/>
      </c>
      <c r="BQ1800" s="319" t="str">
        <f t="shared" si="451"/>
        <v/>
      </c>
      <c r="BR1800" s="319" t="str">
        <f t="shared" si="451"/>
        <v/>
      </c>
      <c r="BS1800" s="330">
        <f t="shared" si="185"/>
        <v>0</v>
      </c>
      <c r="BT1800" s="331">
        <f t="shared" si="170"/>
        <v>0</v>
      </c>
      <c r="BU1800" s="920"/>
      <c r="BV1800" s="903" t="str">
        <f t="shared" si="186"/>
        <v/>
      </c>
      <c r="BW1800" s="908"/>
      <c r="BX1800" s="908"/>
      <c r="BY1800" s="331" t="b">
        <f t="shared" si="201"/>
        <v>0</v>
      </c>
      <c r="BZ1800" s="331"/>
      <c r="CA1800" s="462" t="str">
        <f t="shared" ref="CA1800:CJ1800" si="452">IF(ISNUMBER(FIND(BI$3, $CP1800)), "Y", "")</f>
        <v>Y</v>
      </c>
      <c r="CB1800" s="319" t="str">
        <f t="shared" si="452"/>
        <v/>
      </c>
      <c r="CC1800" s="319" t="str">
        <f t="shared" si="452"/>
        <v/>
      </c>
      <c r="CD1800" s="319" t="str">
        <f t="shared" si="452"/>
        <v/>
      </c>
      <c r="CE1800" s="319" t="str">
        <f t="shared" si="452"/>
        <v>Y</v>
      </c>
      <c r="CF1800" s="319" t="str">
        <f t="shared" si="452"/>
        <v>Y</v>
      </c>
      <c r="CG1800" s="319" t="str">
        <f t="shared" si="452"/>
        <v>Y</v>
      </c>
      <c r="CH1800" s="319" t="str">
        <f t="shared" si="452"/>
        <v/>
      </c>
      <c r="CI1800" s="319" t="str">
        <f t="shared" si="452"/>
        <v>Y</v>
      </c>
      <c r="CJ1800" s="319" t="str">
        <f t="shared" si="452"/>
        <v/>
      </c>
      <c r="CK1800" s="342">
        <f t="shared" si="182"/>
        <v>21.27204739</v>
      </c>
      <c r="CL1800" s="333">
        <f t="shared" si="183"/>
        <v>40.08989898</v>
      </c>
      <c r="CM1800" s="1079" t="s">
        <v>2666</v>
      </c>
      <c r="CN1800" s="1005" t="s">
        <v>2667</v>
      </c>
      <c r="CO1800" s="1005"/>
      <c r="CP1800" s="1005" t="s">
        <v>2668</v>
      </c>
    </row>
    <row r="1801">
      <c r="A1801" s="266"/>
      <c r="B1801" s="1113" t="s">
        <v>2649</v>
      </c>
      <c r="C1801" s="1107">
        <v>45482.0</v>
      </c>
      <c r="D1801" s="1113" t="s">
        <v>986</v>
      </c>
      <c r="E1801" s="1108" t="s">
        <v>2669</v>
      </c>
      <c r="F1801" s="112" t="s">
        <v>2670</v>
      </c>
      <c r="G1801" s="1110">
        <v>0.5552083333333333</v>
      </c>
      <c r="H1801" s="1110">
        <v>0.5557291666666667</v>
      </c>
      <c r="I1801" s="1110"/>
      <c r="J1801" s="1111"/>
      <c r="K1801" s="1111">
        <v>0.5825231481481481</v>
      </c>
      <c r="L1801" s="1112">
        <v>0.02679398148148148</v>
      </c>
      <c r="M1801" s="1113" t="s">
        <v>166</v>
      </c>
      <c r="N1801" s="110" t="s">
        <v>188</v>
      </c>
      <c r="O1801" s="1115" t="s">
        <v>196</v>
      </c>
      <c r="P1801" s="1115" t="s">
        <v>224</v>
      </c>
      <c r="Q1801" s="1115" t="s">
        <v>842</v>
      </c>
      <c r="R1801" s="120">
        <v>21.7</v>
      </c>
      <c r="S1801" s="1113">
        <v>39.5</v>
      </c>
      <c r="T1801" s="110">
        <v>1.3</v>
      </c>
      <c r="U1801" s="1108">
        <v>0.156</v>
      </c>
      <c r="V1801" s="1108"/>
      <c r="W1801" s="1108"/>
      <c r="X1801" s="1108"/>
      <c r="Y1801" s="1108"/>
      <c r="Z1801" s="1114" t="s">
        <v>335</v>
      </c>
      <c r="AA1801" s="1114"/>
      <c r="AB1801" s="1114" t="s">
        <v>380</v>
      </c>
      <c r="AC1801" s="1117">
        <v>4.0</v>
      </c>
      <c r="AD1801" s="1115"/>
      <c r="AE1801" s="1115"/>
      <c r="AF1801" s="1115"/>
      <c r="AG1801" s="1115"/>
      <c r="AH1801" s="1115"/>
      <c r="AI1801" s="1115"/>
      <c r="AJ1801" s="1117"/>
      <c r="AK1801" s="1118"/>
      <c r="AL1801" s="1115"/>
      <c r="AM1801" s="1115"/>
      <c r="AN1801" s="1115"/>
      <c r="AO1801" s="1115"/>
      <c r="AP1801" s="1115"/>
      <c r="AQ1801" s="1115"/>
      <c r="AR1801" s="1115"/>
      <c r="AS1801" s="1117"/>
      <c r="AT1801" s="1196" t="str">
        <f t="shared" si="428"/>
        <v>0-1</v>
      </c>
      <c r="AU1801" s="1193"/>
      <c r="AV1801" s="330">
        <f>SQRT(($R1801-Infrastructure!J$3)^2+($S1801-Infrastructure!K$3)^2)</f>
        <v>24.42048321</v>
      </c>
      <c r="AW1801" s="331">
        <f>SQRT(($R1801-Infrastructure!J$4)^2+($S1801-Infrastructure!K$4)^2)</f>
        <v>30.90129447</v>
      </c>
      <c r="AX1801" s="331">
        <f>SQRT(($R1801-Infrastructure!J$5)^2+($S1801-Infrastructure!K$5)^2)</f>
        <v>40.83331973</v>
      </c>
      <c r="AY1801" s="331">
        <f>SQRT(($R1801-Infrastructure!J$6)^2+($S1801-Infrastructure!K$6)^2)</f>
        <v>40.88031311</v>
      </c>
      <c r="AZ1801" s="331">
        <f>SQRT(($R1801-Infrastructure!J$7)^2+($S1801-Infrastructure!K$7)^2)</f>
        <v>39.21836305</v>
      </c>
      <c r="BA1801" s="331">
        <f>SQRT(($R1801-Infrastructure!J$8)^2+($S1801-Infrastructure!K$8)^2)</f>
        <v>40.08989898</v>
      </c>
      <c r="BB1801" s="331">
        <f>SQRT(($R1801-Infrastructure!J$9)^2+($S1801-Infrastructure!K$9)^2)</f>
        <v>38.96472764</v>
      </c>
      <c r="BC1801" s="331">
        <f>SQRT(($R1801-Infrastructure!J$10)^2+($S1801-Infrastructure!K$10)^2)</f>
        <v>30.58005886</v>
      </c>
      <c r="BD1801" s="331">
        <f>SQRT(($R1801-Infrastructure!J$11)^2+($S1801-Infrastructure!K$11)^2)</f>
        <v>21.27204739</v>
      </c>
      <c r="BE1801" s="333">
        <f>SQRT(($R1801-Infrastructure!J$12)^2+($S1801-Infrastructure!K$12)^2)</f>
        <v>16.00124995</v>
      </c>
      <c r="BF1801" s="330">
        <f t="shared" si="161"/>
        <v>16.00124995</v>
      </c>
      <c r="BG1801" s="333">
        <f t="shared" si="162"/>
        <v>40.88031311</v>
      </c>
      <c r="BH1801" s="1119"/>
      <c r="BI1801" s="319" t="str">
        <f t="shared" ref="BI1801:BR1801" si="453">IF(ISNUMBER(FIND(BI$3, $CO1801)), "Y", "")</f>
        <v/>
      </c>
      <c r="BJ1801" s="319" t="str">
        <f t="shared" si="453"/>
        <v/>
      </c>
      <c r="BK1801" s="319" t="str">
        <f t="shared" si="453"/>
        <v/>
      </c>
      <c r="BL1801" s="319" t="str">
        <f t="shared" si="453"/>
        <v/>
      </c>
      <c r="BM1801" s="319" t="str">
        <f t="shared" si="453"/>
        <v/>
      </c>
      <c r="BN1801" s="319" t="str">
        <f t="shared" si="453"/>
        <v/>
      </c>
      <c r="BO1801" s="319" t="str">
        <f t="shared" si="453"/>
        <v/>
      </c>
      <c r="BP1801" s="319" t="str">
        <f t="shared" si="453"/>
        <v/>
      </c>
      <c r="BQ1801" s="319" t="str">
        <f t="shared" si="453"/>
        <v/>
      </c>
      <c r="BR1801" s="319" t="str">
        <f t="shared" si="453"/>
        <v/>
      </c>
      <c r="BS1801" s="330">
        <f t="shared" si="185"/>
        <v>0</v>
      </c>
      <c r="BT1801" s="331">
        <f t="shared" si="170"/>
        <v>0</v>
      </c>
      <c r="BU1801" s="920"/>
      <c r="BV1801" s="903" t="str">
        <f t="shared" si="186"/>
        <v/>
      </c>
      <c r="BW1801" s="908"/>
      <c r="BX1801" s="908"/>
      <c r="BY1801" s="331" t="b">
        <f t="shared" si="201"/>
        <v>0</v>
      </c>
      <c r="BZ1801" s="331"/>
      <c r="CA1801" s="462" t="str">
        <f t="shared" ref="CA1801:CJ1801" si="454">IF(ISNUMBER(FIND(BI$3, $CP1801)), "Y", "")</f>
        <v>Y</v>
      </c>
      <c r="CB1801" s="319" t="str">
        <f t="shared" si="454"/>
        <v/>
      </c>
      <c r="CC1801" s="319" t="str">
        <f t="shared" si="454"/>
        <v/>
      </c>
      <c r="CD1801" s="319" t="str">
        <f t="shared" si="454"/>
        <v/>
      </c>
      <c r="CE1801" s="319" t="str">
        <f t="shared" si="454"/>
        <v>Y</v>
      </c>
      <c r="CF1801" s="319" t="str">
        <f t="shared" si="454"/>
        <v>Y</v>
      </c>
      <c r="CG1801" s="319" t="str">
        <f t="shared" si="454"/>
        <v>Y</v>
      </c>
      <c r="CH1801" s="319" t="str">
        <f t="shared" si="454"/>
        <v/>
      </c>
      <c r="CI1801" s="319" t="str">
        <f t="shared" si="454"/>
        <v>Y</v>
      </c>
      <c r="CJ1801" s="319" t="str">
        <f t="shared" si="454"/>
        <v/>
      </c>
      <c r="CK1801" s="342">
        <f t="shared" si="182"/>
        <v>21.27204739</v>
      </c>
      <c r="CL1801" s="333">
        <f t="shared" si="183"/>
        <v>40.08989898</v>
      </c>
      <c r="CM1801" s="1079" t="s">
        <v>2666</v>
      </c>
      <c r="CN1801" s="1005" t="s">
        <v>2667</v>
      </c>
      <c r="CO1801" s="1005"/>
      <c r="CP1801" s="1005" t="s">
        <v>2668</v>
      </c>
    </row>
    <row r="1802">
      <c r="A1802" s="266"/>
      <c r="B1802" s="1113" t="s">
        <v>2649</v>
      </c>
      <c r="C1802" s="1107">
        <v>45482.0</v>
      </c>
      <c r="D1802" s="1113" t="s">
        <v>986</v>
      </c>
      <c r="E1802" s="1108" t="s">
        <v>1488</v>
      </c>
      <c r="F1802" s="112" t="s">
        <v>2671</v>
      </c>
      <c r="G1802" s="1110">
        <v>0.6081597222222223</v>
      </c>
      <c r="H1802" s="1110">
        <v>0.6087962962962963</v>
      </c>
      <c r="I1802" s="1110"/>
      <c r="J1802" s="1111"/>
      <c r="K1802" s="1111">
        <v>0.6325231481481481</v>
      </c>
      <c r="L1802" s="1112">
        <v>0.023726851851851853</v>
      </c>
      <c r="M1802" s="1113" t="s">
        <v>168</v>
      </c>
      <c r="N1802" s="110" t="s">
        <v>188</v>
      </c>
      <c r="O1802" s="1115" t="s">
        <v>196</v>
      </c>
      <c r="P1802" s="1115" t="s">
        <v>224</v>
      </c>
      <c r="Q1802" s="1115" t="s">
        <v>842</v>
      </c>
      <c r="R1802" s="120">
        <v>21.7</v>
      </c>
      <c r="S1802" s="1113">
        <v>39.5</v>
      </c>
      <c r="T1802" s="110">
        <v>1.3</v>
      </c>
      <c r="U1802" s="1108">
        <v>71.01</v>
      </c>
      <c r="V1802" s="1108"/>
      <c r="W1802" s="1108"/>
      <c r="X1802" s="1108"/>
      <c r="Y1802" s="1108"/>
      <c r="Z1802" s="1114" t="s">
        <v>387</v>
      </c>
      <c r="AA1802" s="1114"/>
      <c r="AB1802" s="1114" t="s">
        <v>416</v>
      </c>
      <c r="AC1802" s="1117">
        <v>52.5</v>
      </c>
      <c r="AD1802" s="1115"/>
      <c r="AE1802" s="1115"/>
      <c r="AF1802" s="1115"/>
      <c r="AG1802" s="1115"/>
      <c r="AH1802" s="1115"/>
      <c r="AI1802" s="1115"/>
      <c r="AJ1802" s="1117"/>
      <c r="AK1802" s="1118"/>
      <c r="AL1802" s="1115"/>
      <c r="AM1802" s="1115"/>
      <c r="AN1802" s="1115"/>
      <c r="AO1802" s="1115"/>
      <c r="AP1802" s="1115"/>
      <c r="AQ1802" s="1115"/>
      <c r="AR1802" s="1115"/>
      <c r="AS1802" s="1117"/>
      <c r="AT1802" s="1196" t="str">
        <f t="shared" si="428"/>
        <v>10+</v>
      </c>
      <c r="AU1802" s="1193"/>
      <c r="AV1802" s="330">
        <f>SQRT(($R1802-Infrastructure!J$3)^2+($S1802-Infrastructure!K$3)^2)</f>
        <v>24.42048321</v>
      </c>
      <c r="AW1802" s="331">
        <f>SQRT(($R1802-Infrastructure!J$4)^2+($S1802-Infrastructure!K$4)^2)</f>
        <v>30.90129447</v>
      </c>
      <c r="AX1802" s="331">
        <f>SQRT(($R1802-Infrastructure!J$5)^2+($S1802-Infrastructure!K$5)^2)</f>
        <v>40.83331973</v>
      </c>
      <c r="AY1802" s="331">
        <f>SQRT(($R1802-Infrastructure!J$6)^2+($S1802-Infrastructure!K$6)^2)</f>
        <v>40.88031311</v>
      </c>
      <c r="AZ1802" s="331">
        <f>SQRT(($R1802-Infrastructure!J$7)^2+($S1802-Infrastructure!K$7)^2)</f>
        <v>39.21836305</v>
      </c>
      <c r="BA1802" s="331">
        <f>SQRT(($R1802-Infrastructure!J$8)^2+($S1802-Infrastructure!K$8)^2)</f>
        <v>40.08989898</v>
      </c>
      <c r="BB1802" s="331">
        <f>SQRT(($R1802-Infrastructure!J$9)^2+($S1802-Infrastructure!K$9)^2)</f>
        <v>38.96472764</v>
      </c>
      <c r="BC1802" s="331">
        <f>SQRT(($R1802-Infrastructure!J$10)^2+($S1802-Infrastructure!K$10)^2)</f>
        <v>30.58005886</v>
      </c>
      <c r="BD1802" s="331">
        <f>SQRT(($R1802-Infrastructure!J$11)^2+($S1802-Infrastructure!K$11)^2)</f>
        <v>21.27204739</v>
      </c>
      <c r="BE1802" s="333">
        <f>SQRT(($R1802-Infrastructure!J$12)^2+($S1802-Infrastructure!K$12)^2)</f>
        <v>16.00124995</v>
      </c>
      <c r="BF1802" s="330">
        <f t="shared" si="161"/>
        <v>16.00124995</v>
      </c>
      <c r="BG1802" s="333">
        <f t="shared" si="162"/>
        <v>40.88031311</v>
      </c>
      <c r="BH1802" s="1119"/>
      <c r="BI1802" s="319" t="str">
        <f t="shared" ref="BI1802:BR1802" si="455">IF(ISNUMBER(FIND(BI$3, $CO1802)), "Y", "")</f>
        <v/>
      </c>
      <c r="BJ1802" s="319" t="str">
        <f t="shared" si="455"/>
        <v/>
      </c>
      <c r="BK1802" s="319" t="str">
        <f t="shared" si="455"/>
        <v/>
      </c>
      <c r="BL1802" s="319" t="str">
        <f t="shared" si="455"/>
        <v/>
      </c>
      <c r="BM1802" s="319" t="str">
        <f t="shared" si="455"/>
        <v/>
      </c>
      <c r="BN1802" s="319" t="str">
        <f t="shared" si="455"/>
        <v/>
      </c>
      <c r="BO1802" s="319" t="str">
        <f t="shared" si="455"/>
        <v/>
      </c>
      <c r="BP1802" s="319" t="str">
        <f t="shared" si="455"/>
        <v/>
      </c>
      <c r="BQ1802" s="319" t="str">
        <f t="shared" si="455"/>
        <v/>
      </c>
      <c r="BR1802" s="319" t="str">
        <f t="shared" si="455"/>
        <v/>
      </c>
      <c r="BS1802" s="330">
        <f t="shared" si="185"/>
        <v>0</v>
      </c>
      <c r="BT1802" s="331">
        <f t="shared" si="170"/>
        <v>0</v>
      </c>
      <c r="BU1802" s="920"/>
      <c r="BV1802" s="903" t="str">
        <f t="shared" si="186"/>
        <v/>
      </c>
      <c r="BW1802" s="908"/>
      <c r="BX1802" s="908"/>
      <c r="BY1802" s="331" t="b">
        <f t="shared" si="201"/>
        <v>0</v>
      </c>
      <c r="BZ1802" s="331"/>
      <c r="CA1802" s="462" t="str">
        <f t="shared" ref="CA1802:CJ1802" si="456">IF(ISNUMBER(FIND(BI$3, $CP1802)), "Y", "")</f>
        <v>Y</v>
      </c>
      <c r="CB1802" s="319" t="str">
        <f t="shared" si="456"/>
        <v/>
      </c>
      <c r="CC1802" s="319" t="str">
        <f t="shared" si="456"/>
        <v/>
      </c>
      <c r="CD1802" s="319" t="str">
        <f t="shared" si="456"/>
        <v/>
      </c>
      <c r="CE1802" s="319" t="str">
        <f t="shared" si="456"/>
        <v>Y</v>
      </c>
      <c r="CF1802" s="319" t="str">
        <f t="shared" si="456"/>
        <v>Y</v>
      </c>
      <c r="CG1802" s="319" t="str">
        <f t="shared" si="456"/>
        <v>Y</v>
      </c>
      <c r="CH1802" s="319" t="str">
        <f t="shared" si="456"/>
        <v/>
      </c>
      <c r="CI1802" s="319" t="str">
        <f t="shared" si="456"/>
        <v>Y</v>
      </c>
      <c r="CJ1802" s="319" t="str">
        <f t="shared" si="456"/>
        <v/>
      </c>
      <c r="CK1802" s="342">
        <f t="shared" si="182"/>
        <v>21.27204739</v>
      </c>
      <c r="CL1802" s="333">
        <f t="shared" si="183"/>
        <v>40.08989898</v>
      </c>
      <c r="CM1802" s="1079" t="s">
        <v>2666</v>
      </c>
      <c r="CN1802" s="1005" t="s">
        <v>2667</v>
      </c>
      <c r="CO1802" s="1005"/>
      <c r="CP1802" s="1005" t="s">
        <v>2668</v>
      </c>
    </row>
    <row r="1803">
      <c r="A1803" s="266"/>
      <c r="B1803" s="1113" t="s">
        <v>2649</v>
      </c>
      <c r="C1803" s="1107">
        <v>45482.0</v>
      </c>
      <c r="D1803" s="1113" t="s">
        <v>986</v>
      </c>
      <c r="E1803" s="1108" t="s">
        <v>1490</v>
      </c>
      <c r="F1803" s="112" t="s">
        <v>2672</v>
      </c>
      <c r="G1803" s="1110">
        <v>0.6076388888888888</v>
      </c>
      <c r="H1803" s="1110">
        <v>0.6086805555555556</v>
      </c>
      <c r="I1803" s="1110"/>
      <c r="J1803" s="1111"/>
      <c r="K1803" s="1111">
        <v>0.6326388888888889</v>
      </c>
      <c r="L1803" s="1112">
        <v>0.023958333333333335</v>
      </c>
      <c r="M1803" s="1113" t="s">
        <v>166</v>
      </c>
      <c r="N1803" s="110" t="s">
        <v>188</v>
      </c>
      <c r="O1803" s="1115" t="s">
        <v>196</v>
      </c>
      <c r="P1803" s="1115" t="s">
        <v>224</v>
      </c>
      <c r="Q1803" s="1115" t="s">
        <v>842</v>
      </c>
      <c r="R1803" s="120">
        <v>21.7</v>
      </c>
      <c r="S1803" s="1113">
        <v>39.5</v>
      </c>
      <c r="T1803" s="110">
        <v>1.3</v>
      </c>
      <c r="U1803" s="1108">
        <v>0.544</v>
      </c>
      <c r="V1803" s="1108"/>
      <c r="W1803" s="1108"/>
      <c r="X1803" s="1108"/>
      <c r="Y1803" s="1108"/>
      <c r="Z1803" s="1114" t="s">
        <v>335</v>
      </c>
      <c r="AA1803" s="1114"/>
      <c r="AB1803" s="1114" t="s">
        <v>380</v>
      </c>
      <c r="AC1803" s="1117">
        <v>4.0</v>
      </c>
      <c r="AD1803" s="1115"/>
      <c r="AE1803" s="1115"/>
      <c r="AF1803" s="1115"/>
      <c r="AG1803" s="1115"/>
      <c r="AH1803" s="1115"/>
      <c r="AI1803" s="1115"/>
      <c r="AJ1803" s="1117"/>
      <c r="AK1803" s="1118"/>
      <c r="AL1803" s="1115"/>
      <c r="AM1803" s="1115"/>
      <c r="AN1803" s="1115"/>
      <c r="AO1803" s="1115"/>
      <c r="AP1803" s="1115"/>
      <c r="AQ1803" s="1115"/>
      <c r="AR1803" s="1115"/>
      <c r="AS1803" s="1117"/>
      <c r="AT1803" s="1196" t="str">
        <f t="shared" si="428"/>
        <v>0-1</v>
      </c>
      <c r="AU1803" s="1193"/>
      <c r="AV1803" s="330">
        <f>SQRT(($R1803-Infrastructure!J$3)^2+($S1803-Infrastructure!K$3)^2)</f>
        <v>24.42048321</v>
      </c>
      <c r="AW1803" s="331">
        <f>SQRT(($R1803-Infrastructure!J$4)^2+($S1803-Infrastructure!K$4)^2)</f>
        <v>30.90129447</v>
      </c>
      <c r="AX1803" s="331">
        <f>SQRT(($R1803-Infrastructure!J$5)^2+($S1803-Infrastructure!K$5)^2)</f>
        <v>40.83331973</v>
      </c>
      <c r="AY1803" s="331">
        <f>SQRT(($R1803-Infrastructure!J$6)^2+($S1803-Infrastructure!K$6)^2)</f>
        <v>40.88031311</v>
      </c>
      <c r="AZ1803" s="331">
        <f>SQRT(($R1803-Infrastructure!J$7)^2+($S1803-Infrastructure!K$7)^2)</f>
        <v>39.21836305</v>
      </c>
      <c r="BA1803" s="331">
        <f>SQRT(($R1803-Infrastructure!J$8)^2+($S1803-Infrastructure!K$8)^2)</f>
        <v>40.08989898</v>
      </c>
      <c r="BB1803" s="331">
        <f>SQRT(($R1803-Infrastructure!J$9)^2+($S1803-Infrastructure!K$9)^2)</f>
        <v>38.96472764</v>
      </c>
      <c r="BC1803" s="331">
        <f>SQRT(($R1803-Infrastructure!J$10)^2+($S1803-Infrastructure!K$10)^2)</f>
        <v>30.58005886</v>
      </c>
      <c r="BD1803" s="331">
        <f>SQRT(($R1803-Infrastructure!J$11)^2+($S1803-Infrastructure!K$11)^2)</f>
        <v>21.27204739</v>
      </c>
      <c r="BE1803" s="333">
        <f>SQRT(($R1803-Infrastructure!J$12)^2+($S1803-Infrastructure!K$12)^2)</f>
        <v>16.00124995</v>
      </c>
      <c r="BF1803" s="330">
        <f t="shared" si="161"/>
        <v>16.00124995</v>
      </c>
      <c r="BG1803" s="333">
        <f t="shared" si="162"/>
        <v>40.88031311</v>
      </c>
      <c r="BH1803" s="1119"/>
      <c r="BI1803" s="319" t="str">
        <f t="shared" ref="BI1803:BR1803" si="457">IF(ISNUMBER(FIND(BI$3, $CO1803)), "Y", "")</f>
        <v/>
      </c>
      <c r="BJ1803" s="319" t="str">
        <f t="shared" si="457"/>
        <v/>
      </c>
      <c r="BK1803" s="319" t="str">
        <f t="shared" si="457"/>
        <v/>
      </c>
      <c r="BL1803" s="319" t="str">
        <f t="shared" si="457"/>
        <v/>
      </c>
      <c r="BM1803" s="319" t="str">
        <f t="shared" si="457"/>
        <v/>
      </c>
      <c r="BN1803" s="319" t="str">
        <f t="shared" si="457"/>
        <v/>
      </c>
      <c r="BO1803" s="319" t="str">
        <f t="shared" si="457"/>
        <v/>
      </c>
      <c r="BP1803" s="319" t="str">
        <f t="shared" si="457"/>
        <v/>
      </c>
      <c r="BQ1803" s="319" t="str">
        <f t="shared" si="457"/>
        <v/>
      </c>
      <c r="BR1803" s="319" t="str">
        <f t="shared" si="457"/>
        <v/>
      </c>
      <c r="BS1803" s="330">
        <f t="shared" si="185"/>
        <v>0</v>
      </c>
      <c r="BT1803" s="331">
        <f t="shared" si="170"/>
        <v>0</v>
      </c>
      <c r="BU1803" s="920"/>
      <c r="BV1803" s="903" t="str">
        <f t="shared" si="186"/>
        <v/>
      </c>
      <c r="BW1803" s="908"/>
      <c r="BX1803" s="908"/>
      <c r="BY1803" s="331" t="b">
        <f t="shared" si="201"/>
        <v>0</v>
      </c>
      <c r="BZ1803" s="331"/>
      <c r="CA1803" s="462" t="str">
        <f t="shared" ref="CA1803:CJ1803" si="458">IF(ISNUMBER(FIND(BI$3, $CP1803)), "Y", "")</f>
        <v>Y</v>
      </c>
      <c r="CB1803" s="319" t="str">
        <f t="shared" si="458"/>
        <v/>
      </c>
      <c r="CC1803" s="319" t="str">
        <f t="shared" si="458"/>
        <v/>
      </c>
      <c r="CD1803" s="319" t="str">
        <f t="shared" si="458"/>
        <v/>
      </c>
      <c r="CE1803" s="319" t="str">
        <f t="shared" si="458"/>
        <v>Y</v>
      </c>
      <c r="CF1803" s="319" t="str">
        <f t="shared" si="458"/>
        <v>Y</v>
      </c>
      <c r="CG1803" s="319" t="str">
        <f t="shared" si="458"/>
        <v>Y</v>
      </c>
      <c r="CH1803" s="319" t="str">
        <f t="shared" si="458"/>
        <v/>
      </c>
      <c r="CI1803" s="319" t="str">
        <f t="shared" si="458"/>
        <v>Y</v>
      </c>
      <c r="CJ1803" s="319" t="str">
        <f t="shared" si="458"/>
        <v/>
      </c>
      <c r="CK1803" s="342">
        <f t="shared" si="182"/>
        <v>21.27204739</v>
      </c>
      <c r="CL1803" s="333">
        <f t="shared" si="183"/>
        <v>40.08989898</v>
      </c>
      <c r="CM1803" s="1079" t="s">
        <v>2666</v>
      </c>
      <c r="CN1803" s="1005" t="s">
        <v>2667</v>
      </c>
      <c r="CO1803" s="1005"/>
      <c r="CP1803" s="1005" t="s">
        <v>2668</v>
      </c>
    </row>
    <row r="1804">
      <c r="A1804" s="266"/>
      <c r="B1804" s="1113" t="s">
        <v>2649</v>
      </c>
      <c r="C1804" s="1107">
        <v>45482.0</v>
      </c>
      <c r="D1804" s="1113" t="s">
        <v>986</v>
      </c>
      <c r="E1804" s="1108" t="s">
        <v>1310</v>
      </c>
      <c r="F1804" s="112" t="s">
        <v>2673</v>
      </c>
      <c r="G1804" s="1110">
        <v>0.6479166666666667</v>
      </c>
      <c r="H1804" s="1110">
        <v>0.6487847222222223</v>
      </c>
      <c r="I1804" s="1110"/>
      <c r="J1804" s="1111"/>
      <c r="K1804" s="1111">
        <v>0.6638888888888889</v>
      </c>
      <c r="L1804" s="1112">
        <v>0.015104166666666667</v>
      </c>
      <c r="M1804" s="1113" t="s">
        <v>168</v>
      </c>
      <c r="N1804" s="110" t="s">
        <v>188</v>
      </c>
      <c r="O1804" s="1115" t="s">
        <v>378</v>
      </c>
      <c r="P1804" s="1115" t="s">
        <v>225</v>
      </c>
      <c r="Q1804" s="1115" t="s">
        <v>842</v>
      </c>
      <c r="R1804" s="120">
        <v>22.7</v>
      </c>
      <c r="S1804" s="1113">
        <v>39.7</v>
      </c>
      <c r="T1804" s="110">
        <v>1.1</v>
      </c>
      <c r="U1804" s="1108">
        <v>13.29</v>
      </c>
      <c r="V1804" s="1108"/>
      <c r="W1804" s="1108"/>
      <c r="X1804" s="1108"/>
      <c r="Y1804" s="1108"/>
      <c r="Z1804" s="1114" t="s">
        <v>1140</v>
      </c>
      <c r="AA1804" s="1114"/>
      <c r="AB1804" s="1114" t="s">
        <v>2330</v>
      </c>
      <c r="AC1804" s="1117">
        <v>10.0</v>
      </c>
      <c r="AD1804" s="1115"/>
      <c r="AE1804" s="1115"/>
      <c r="AF1804" s="1115"/>
      <c r="AG1804" s="1115"/>
      <c r="AH1804" s="1115"/>
      <c r="AI1804" s="1115"/>
      <c r="AJ1804" s="1117"/>
      <c r="AK1804" s="1118"/>
      <c r="AL1804" s="1115"/>
      <c r="AM1804" s="1115"/>
      <c r="AN1804" s="1115"/>
      <c r="AO1804" s="1115"/>
      <c r="AP1804" s="1115"/>
      <c r="AQ1804" s="1115"/>
      <c r="AR1804" s="1115"/>
      <c r="AS1804" s="1117"/>
      <c r="AT1804" s="1196" t="str">
        <f t="shared" si="428"/>
        <v>10+</v>
      </c>
      <c r="AU1804" s="1193"/>
      <c r="AV1804" s="330">
        <f>SQRT(($R1804-Infrastructure!J$3)^2+($S1804-Infrastructure!K$3)^2)</f>
        <v>25.40944706</v>
      </c>
      <c r="AW1804" s="331">
        <f>SQRT(($R1804-Infrastructure!J$4)^2+($S1804-Infrastructure!K$4)^2)</f>
        <v>31.75862088</v>
      </c>
      <c r="AX1804" s="331">
        <f>SQRT(($R1804-Infrastructure!J$5)^2+($S1804-Infrastructure!K$5)^2)</f>
        <v>41.54708173</v>
      </c>
      <c r="AY1804" s="331">
        <f>SQRT(($R1804-Infrastructure!J$6)^2+($S1804-Infrastructure!K$6)^2)</f>
        <v>41.36568626</v>
      </c>
      <c r="AZ1804" s="331">
        <f>SQRT(($R1804-Infrastructure!J$7)^2+($S1804-Infrastructure!K$7)^2)</f>
        <v>39.46137352</v>
      </c>
      <c r="BA1804" s="331">
        <f>SQRT(($R1804-Infrastructure!J$8)^2+($S1804-Infrastructure!K$8)^2)</f>
        <v>40.08890121</v>
      </c>
      <c r="BB1804" s="331">
        <f>SQRT(($R1804-Infrastructure!J$9)^2+($S1804-Infrastructure!K$9)^2)</f>
        <v>38.68397601</v>
      </c>
      <c r="BC1804" s="331">
        <f>SQRT(($R1804-Infrastructure!J$10)^2+($S1804-Infrastructure!K$10)^2)</f>
        <v>30.15592811</v>
      </c>
      <c r="BD1804" s="331">
        <f>SQRT(($R1804-Infrastructure!J$11)^2+($S1804-Infrastructure!K$11)^2)</f>
        <v>20.51194774</v>
      </c>
      <c r="BE1804" s="333">
        <f>SQRT(($R1804-Infrastructure!J$12)^2+($S1804-Infrastructure!K$12)^2)</f>
        <v>15.84550409</v>
      </c>
      <c r="BF1804" s="330">
        <f t="shared" si="161"/>
        <v>15.84550409</v>
      </c>
      <c r="BG1804" s="333">
        <f t="shared" si="162"/>
        <v>41.54708173</v>
      </c>
      <c r="BH1804" s="1119"/>
      <c r="BI1804" s="319" t="str">
        <f t="shared" ref="BI1804:BR1804" si="459">IF(ISNUMBER(FIND(BI$3, $CO1804)), "Y", "")</f>
        <v/>
      </c>
      <c r="BJ1804" s="319" t="str">
        <f t="shared" si="459"/>
        <v/>
      </c>
      <c r="BK1804" s="319" t="str">
        <f t="shared" si="459"/>
        <v/>
      </c>
      <c r="BL1804" s="319" t="str">
        <f t="shared" si="459"/>
        <v/>
      </c>
      <c r="BM1804" s="319" t="str">
        <f t="shared" si="459"/>
        <v/>
      </c>
      <c r="BN1804" s="319" t="str">
        <f t="shared" si="459"/>
        <v/>
      </c>
      <c r="BO1804" s="319" t="str">
        <f t="shared" si="459"/>
        <v/>
      </c>
      <c r="BP1804" s="319" t="str">
        <f t="shared" si="459"/>
        <v/>
      </c>
      <c r="BQ1804" s="319" t="str">
        <f t="shared" si="459"/>
        <v/>
      </c>
      <c r="BR1804" s="319" t="str">
        <f t="shared" si="459"/>
        <v/>
      </c>
      <c r="BS1804" s="330">
        <f t="shared" si="185"/>
        <v>0</v>
      </c>
      <c r="BT1804" s="331">
        <f t="shared" si="170"/>
        <v>0</v>
      </c>
      <c r="BU1804" s="920"/>
      <c r="BV1804" s="903" t="str">
        <f t="shared" si="186"/>
        <v/>
      </c>
      <c r="BW1804" s="908"/>
      <c r="BX1804" s="908"/>
      <c r="BY1804" s="331" t="b">
        <f t="shared" si="201"/>
        <v>0</v>
      </c>
      <c r="BZ1804" s="331"/>
      <c r="CA1804" s="462" t="str">
        <f t="shared" ref="CA1804:CJ1804" si="460">IF(ISNUMBER(FIND(BI$3, $CP1804)), "Y", "")</f>
        <v>Y</v>
      </c>
      <c r="CB1804" s="319" t="str">
        <f t="shared" si="460"/>
        <v>Y</v>
      </c>
      <c r="CC1804" s="319" t="str">
        <f t="shared" si="460"/>
        <v>Y</v>
      </c>
      <c r="CD1804" s="319" t="str">
        <f t="shared" si="460"/>
        <v>Y</v>
      </c>
      <c r="CE1804" s="319" t="str">
        <f t="shared" si="460"/>
        <v>Y</v>
      </c>
      <c r="CF1804" s="319" t="str">
        <f t="shared" si="460"/>
        <v>Y</v>
      </c>
      <c r="CG1804" s="319" t="str">
        <f t="shared" si="460"/>
        <v>Y</v>
      </c>
      <c r="CH1804" s="319" t="str">
        <f t="shared" si="460"/>
        <v/>
      </c>
      <c r="CI1804" s="319" t="str">
        <f t="shared" si="460"/>
        <v>Y</v>
      </c>
      <c r="CJ1804" s="319" t="str">
        <f t="shared" si="460"/>
        <v>Y</v>
      </c>
      <c r="CK1804" s="342">
        <f t="shared" si="182"/>
        <v>15.84550409</v>
      </c>
      <c r="CL1804" s="333">
        <f t="shared" si="183"/>
        <v>41.54708173</v>
      </c>
      <c r="CM1804" s="1079" t="s">
        <v>2674</v>
      </c>
      <c r="CN1804" s="1005" t="s">
        <v>2667</v>
      </c>
      <c r="CO1804" s="1005"/>
      <c r="CP1804" s="1005" t="s">
        <v>2400</v>
      </c>
    </row>
    <row r="1805">
      <c r="A1805" s="266"/>
      <c r="B1805" s="1113" t="s">
        <v>2649</v>
      </c>
      <c r="C1805" s="1107">
        <v>45482.0</v>
      </c>
      <c r="D1805" s="1113" t="s">
        <v>986</v>
      </c>
      <c r="E1805" s="1108" t="s">
        <v>1312</v>
      </c>
      <c r="F1805" s="112" t="s">
        <v>2675</v>
      </c>
      <c r="G1805" s="1110">
        <v>0.647800925925926</v>
      </c>
      <c r="H1805" s="1110">
        <v>0.6486111111111111</v>
      </c>
      <c r="I1805" s="1110"/>
      <c r="J1805" s="1111"/>
      <c r="K1805" s="1111">
        <v>0.6640046296296296</v>
      </c>
      <c r="L1805" s="1112">
        <v>0.015393518518518518</v>
      </c>
      <c r="M1805" s="1113" t="s">
        <v>166</v>
      </c>
      <c r="N1805" s="110" t="s">
        <v>188</v>
      </c>
      <c r="O1805" s="1115" t="s">
        <v>378</v>
      </c>
      <c r="P1805" s="1115" t="s">
        <v>225</v>
      </c>
      <c r="Q1805" s="1115" t="s">
        <v>842</v>
      </c>
      <c r="R1805" s="120">
        <v>22.7</v>
      </c>
      <c r="S1805" s="1113">
        <v>39.7</v>
      </c>
      <c r="T1805" s="110">
        <v>1.1</v>
      </c>
      <c r="U1805" s="1108">
        <v>0.544</v>
      </c>
      <c r="V1805" s="1108"/>
      <c r="W1805" s="1108"/>
      <c r="X1805" s="1108"/>
      <c r="Y1805" s="1108"/>
      <c r="Z1805" s="1114" t="s">
        <v>335</v>
      </c>
      <c r="AA1805" s="1114"/>
      <c r="AB1805" s="1114" t="s">
        <v>380</v>
      </c>
      <c r="AC1805" s="1117">
        <v>4.0</v>
      </c>
      <c r="AD1805" s="1115"/>
      <c r="AE1805" s="1115"/>
      <c r="AF1805" s="1115"/>
      <c r="AG1805" s="1115"/>
      <c r="AH1805" s="1115"/>
      <c r="AI1805" s="1115"/>
      <c r="AJ1805" s="1117"/>
      <c r="AK1805" s="1118"/>
      <c r="AL1805" s="1115"/>
      <c r="AM1805" s="1115"/>
      <c r="AN1805" s="1115"/>
      <c r="AO1805" s="1115"/>
      <c r="AP1805" s="1115"/>
      <c r="AQ1805" s="1115"/>
      <c r="AR1805" s="1115"/>
      <c r="AS1805" s="1117"/>
      <c r="AT1805" s="1196" t="str">
        <f t="shared" si="428"/>
        <v>0-1</v>
      </c>
      <c r="AU1805" s="1193"/>
      <c r="AV1805" s="330">
        <f>SQRT(($R1805-Infrastructure!J$3)^2+($S1805-Infrastructure!K$3)^2)</f>
        <v>25.40944706</v>
      </c>
      <c r="AW1805" s="331">
        <f>SQRT(($R1805-Infrastructure!J$4)^2+($S1805-Infrastructure!K$4)^2)</f>
        <v>31.75862088</v>
      </c>
      <c r="AX1805" s="331">
        <f>SQRT(($R1805-Infrastructure!J$5)^2+($S1805-Infrastructure!K$5)^2)</f>
        <v>41.54708173</v>
      </c>
      <c r="AY1805" s="331">
        <f>SQRT(($R1805-Infrastructure!J$6)^2+($S1805-Infrastructure!K$6)^2)</f>
        <v>41.36568626</v>
      </c>
      <c r="AZ1805" s="331">
        <f>SQRT(($R1805-Infrastructure!J$7)^2+($S1805-Infrastructure!K$7)^2)</f>
        <v>39.46137352</v>
      </c>
      <c r="BA1805" s="331">
        <f>SQRT(($R1805-Infrastructure!J$8)^2+($S1805-Infrastructure!K$8)^2)</f>
        <v>40.08890121</v>
      </c>
      <c r="BB1805" s="331">
        <f>SQRT(($R1805-Infrastructure!J$9)^2+($S1805-Infrastructure!K$9)^2)</f>
        <v>38.68397601</v>
      </c>
      <c r="BC1805" s="331">
        <f>SQRT(($R1805-Infrastructure!J$10)^2+($S1805-Infrastructure!K$10)^2)</f>
        <v>30.15592811</v>
      </c>
      <c r="BD1805" s="331">
        <f>SQRT(($R1805-Infrastructure!J$11)^2+($S1805-Infrastructure!K$11)^2)</f>
        <v>20.51194774</v>
      </c>
      <c r="BE1805" s="333">
        <f>SQRT(($R1805-Infrastructure!J$12)^2+($S1805-Infrastructure!K$12)^2)</f>
        <v>15.84550409</v>
      </c>
      <c r="BF1805" s="330">
        <f t="shared" si="161"/>
        <v>15.84550409</v>
      </c>
      <c r="BG1805" s="333">
        <f t="shared" si="162"/>
        <v>41.54708173</v>
      </c>
      <c r="BH1805" s="1119"/>
      <c r="BI1805" s="319" t="str">
        <f t="shared" ref="BI1805:BR1805" si="461">IF(ISNUMBER(FIND(BI$3, $CO1805)), "Y", "")</f>
        <v/>
      </c>
      <c r="BJ1805" s="319" t="str">
        <f t="shared" si="461"/>
        <v/>
      </c>
      <c r="BK1805" s="319" t="str">
        <f t="shared" si="461"/>
        <v/>
      </c>
      <c r="BL1805" s="319" t="str">
        <f t="shared" si="461"/>
        <v/>
      </c>
      <c r="BM1805" s="319" t="str">
        <f t="shared" si="461"/>
        <v/>
      </c>
      <c r="BN1805" s="319" t="str">
        <f t="shared" si="461"/>
        <v/>
      </c>
      <c r="BO1805" s="319" t="str">
        <f t="shared" si="461"/>
        <v/>
      </c>
      <c r="BP1805" s="319" t="str">
        <f t="shared" si="461"/>
        <v/>
      </c>
      <c r="BQ1805" s="319" t="str">
        <f t="shared" si="461"/>
        <v/>
      </c>
      <c r="BR1805" s="319" t="str">
        <f t="shared" si="461"/>
        <v/>
      </c>
      <c r="BS1805" s="330">
        <f t="shared" si="185"/>
        <v>0</v>
      </c>
      <c r="BT1805" s="331">
        <f t="shared" si="170"/>
        <v>0</v>
      </c>
      <c r="BU1805" s="920"/>
      <c r="BV1805" s="903" t="str">
        <f t="shared" si="186"/>
        <v/>
      </c>
      <c r="BW1805" s="908"/>
      <c r="BX1805" s="908"/>
      <c r="BY1805" s="331" t="b">
        <f t="shared" si="201"/>
        <v>0</v>
      </c>
      <c r="BZ1805" s="331"/>
      <c r="CA1805" s="462" t="str">
        <f t="shared" ref="CA1805:CJ1805" si="462">IF(ISNUMBER(FIND(BI$3, $CP1805)), "Y", "")</f>
        <v>Y</v>
      </c>
      <c r="CB1805" s="319" t="str">
        <f t="shared" si="462"/>
        <v>Y</v>
      </c>
      <c r="CC1805" s="319" t="str">
        <f t="shared" si="462"/>
        <v>Y</v>
      </c>
      <c r="CD1805" s="319" t="str">
        <f t="shared" si="462"/>
        <v>Y</v>
      </c>
      <c r="CE1805" s="319" t="str">
        <f t="shared" si="462"/>
        <v>Y</v>
      </c>
      <c r="CF1805" s="319" t="str">
        <f t="shared" si="462"/>
        <v>Y</v>
      </c>
      <c r="CG1805" s="319" t="str">
        <f t="shared" si="462"/>
        <v>Y</v>
      </c>
      <c r="CH1805" s="319" t="str">
        <f t="shared" si="462"/>
        <v/>
      </c>
      <c r="CI1805" s="319" t="str">
        <f t="shared" si="462"/>
        <v>Y</v>
      </c>
      <c r="CJ1805" s="319" t="str">
        <f t="shared" si="462"/>
        <v>Y</v>
      </c>
      <c r="CK1805" s="342">
        <f t="shared" si="182"/>
        <v>15.84550409</v>
      </c>
      <c r="CL1805" s="333">
        <f t="shared" si="183"/>
        <v>41.54708173</v>
      </c>
      <c r="CM1805" s="1079" t="s">
        <v>2674</v>
      </c>
      <c r="CN1805" s="1005" t="s">
        <v>2667</v>
      </c>
      <c r="CO1805" s="1005"/>
      <c r="CP1805" s="1005" t="s">
        <v>2400</v>
      </c>
    </row>
    <row r="1806">
      <c r="A1806" s="266"/>
      <c r="B1806" s="1113" t="s">
        <v>2649</v>
      </c>
      <c r="C1806" s="1107">
        <v>45482.0</v>
      </c>
      <c r="D1806" s="1113" t="s">
        <v>986</v>
      </c>
      <c r="E1806" s="1108" t="s">
        <v>1855</v>
      </c>
      <c r="F1806" s="112" t="s">
        <v>2676</v>
      </c>
      <c r="G1806" s="1110">
        <v>0.6739583333333333</v>
      </c>
      <c r="H1806" s="1110">
        <v>0.6760416666666667</v>
      </c>
      <c r="I1806" s="1110"/>
      <c r="J1806" s="1111"/>
      <c r="K1806" s="1111">
        <v>0.6899305555555556</v>
      </c>
      <c r="L1806" s="1112">
        <v>0.013888888888888888</v>
      </c>
      <c r="M1806" s="1113" t="s">
        <v>168</v>
      </c>
      <c r="N1806" s="110" t="s">
        <v>188</v>
      </c>
      <c r="O1806" s="1115" t="s">
        <v>196</v>
      </c>
      <c r="P1806" s="1115" t="s">
        <v>224</v>
      </c>
      <c r="Q1806" s="1115" t="s">
        <v>842</v>
      </c>
      <c r="R1806" s="120">
        <v>21.7</v>
      </c>
      <c r="S1806" s="1113">
        <v>39.5</v>
      </c>
      <c r="T1806" s="110">
        <v>1.3</v>
      </c>
      <c r="U1806" s="1108">
        <v>27.79</v>
      </c>
      <c r="V1806" s="1108"/>
      <c r="W1806" s="1108"/>
      <c r="X1806" s="1108"/>
      <c r="Y1806" s="1108"/>
      <c r="Z1806" s="1114" t="s">
        <v>387</v>
      </c>
      <c r="AA1806" s="1114"/>
      <c r="AB1806" s="1114" t="s">
        <v>413</v>
      </c>
      <c r="AC1806" s="1117">
        <v>24.3</v>
      </c>
      <c r="AD1806" s="1115"/>
      <c r="AE1806" s="1115"/>
      <c r="AF1806" s="1115"/>
      <c r="AG1806" s="1115"/>
      <c r="AH1806" s="1115"/>
      <c r="AI1806" s="1115"/>
      <c r="AJ1806" s="1117"/>
      <c r="AK1806" s="1118"/>
      <c r="AL1806" s="1115"/>
      <c r="AM1806" s="1115"/>
      <c r="AN1806" s="1115"/>
      <c r="AO1806" s="1115"/>
      <c r="AP1806" s="1115"/>
      <c r="AQ1806" s="1115"/>
      <c r="AR1806" s="1115"/>
      <c r="AS1806" s="1117"/>
      <c r="AT1806" s="1196" t="str">
        <f t="shared" si="428"/>
        <v>10+</v>
      </c>
      <c r="AU1806" s="1193"/>
      <c r="AV1806" s="330">
        <f>SQRT(($R1806-Infrastructure!J$3)^2+($S1806-Infrastructure!K$3)^2)</f>
        <v>24.42048321</v>
      </c>
      <c r="AW1806" s="331">
        <f>SQRT(($R1806-Infrastructure!J$4)^2+($S1806-Infrastructure!K$4)^2)</f>
        <v>30.90129447</v>
      </c>
      <c r="AX1806" s="331">
        <f>SQRT(($R1806-Infrastructure!J$5)^2+($S1806-Infrastructure!K$5)^2)</f>
        <v>40.83331973</v>
      </c>
      <c r="AY1806" s="331">
        <f>SQRT(($R1806-Infrastructure!J$6)^2+($S1806-Infrastructure!K$6)^2)</f>
        <v>40.88031311</v>
      </c>
      <c r="AZ1806" s="331">
        <f>SQRT(($R1806-Infrastructure!J$7)^2+($S1806-Infrastructure!K$7)^2)</f>
        <v>39.21836305</v>
      </c>
      <c r="BA1806" s="331">
        <f>SQRT(($R1806-Infrastructure!J$8)^2+($S1806-Infrastructure!K$8)^2)</f>
        <v>40.08989898</v>
      </c>
      <c r="BB1806" s="331">
        <f>SQRT(($R1806-Infrastructure!J$9)^2+($S1806-Infrastructure!K$9)^2)</f>
        <v>38.96472764</v>
      </c>
      <c r="BC1806" s="331">
        <f>SQRT(($R1806-Infrastructure!J$10)^2+($S1806-Infrastructure!K$10)^2)</f>
        <v>30.58005886</v>
      </c>
      <c r="BD1806" s="331">
        <f>SQRT(($R1806-Infrastructure!J$11)^2+($S1806-Infrastructure!K$11)^2)</f>
        <v>21.27204739</v>
      </c>
      <c r="BE1806" s="333">
        <f>SQRT(($R1806-Infrastructure!J$12)^2+($S1806-Infrastructure!K$12)^2)</f>
        <v>16.00124995</v>
      </c>
      <c r="BF1806" s="330">
        <f t="shared" si="161"/>
        <v>16.00124995</v>
      </c>
      <c r="BG1806" s="333">
        <f t="shared" si="162"/>
        <v>40.88031311</v>
      </c>
      <c r="BH1806" s="1119"/>
      <c r="BI1806" s="319" t="str">
        <f t="shared" ref="BI1806:BR1806" si="463">IF(ISNUMBER(FIND(BI$3, $CO1806)), "Y", "")</f>
        <v/>
      </c>
      <c r="BJ1806" s="319" t="str">
        <f t="shared" si="463"/>
        <v/>
      </c>
      <c r="BK1806" s="319" t="str">
        <f t="shared" si="463"/>
        <v/>
      </c>
      <c r="BL1806" s="319" t="str">
        <f t="shared" si="463"/>
        <v/>
      </c>
      <c r="BM1806" s="319" t="str">
        <f t="shared" si="463"/>
        <v/>
      </c>
      <c r="BN1806" s="319" t="str">
        <f t="shared" si="463"/>
        <v/>
      </c>
      <c r="BO1806" s="319" t="str">
        <f t="shared" si="463"/>
        <v/>
      </c>
      <c r="BP1806" s="319" t="str">
        <f t="shared" si="463"/>
        <v/>
      </c>
      <c r="BQ1806" s="319" t="str">
        <f t="shared" si="463"/>
        <v/>
      </c>
      <c r="BR1806" s="319" t="str">
        <f t="shared" si="463"/>
        <v/>
      </c>
      <c r="BS1806" s="330">
        <f t="shared" si="185"/>
        <v>0</v>
      </c>
      <c r="BT1806" s="331">
        <f t="shared" si="170"/>
        <v>0</v>
      </c>
      <c r="BU1806" s="920"/>
      <c r="BV1806" s="903" t="str">
        <f t="shared" si="186"/>
        <v/>
      </c>
      <c r="BW1806" s="908"/>
      <c r="BX1806" s="908"/>
      <c r="BY1806" s="331" t="b">
        <f t="shared" si="201"/>
        <v>0</v>
      </c>
      <c r="BZ1806" s="331"/>
      <c r="CA1806" s="462" t="str">
        <f t="shared" ref="CA1806:CJ1806" si="464">IF(ISNUMBER(FIND(BI$3, $CP1806)), "Y", "")</f>
        <v>Y</v>
      </c>
      <c r="CB1806" s="319" t="str">
        <f t="shared" si="464"/>
        <v/>
      </c>
      <c r="CC1806" s="319" t="str">
        <f t="shared" si="464"/>
        <v/>
      </c>
      <c r="CD1806" s="319" t="str">
        <f t="shared" si="464"/>
        <v/>
      </c>
      <c r="CE1806" s="319" t="str">
        <f t="shared" si="464"/>
        <v>Y</v>
      </c>
      <c r="CF1806" s="319" t="str">
        <f t="shared" si="464"/>
        <v>Y</v>
      </c>
      <c r="CG1806" s="319" t="str">
        <f t="shared" si="464"/>
        <v>Y</v>
      </c>
      <c r="CH1806" s="319" t="str">
        <f t="shared" si="464"/>
        <v/>
      </c>
      <c r="CI1806" s="319" t="str">
        <f t="shared" si="464"/>
        <v>Y</v>
      </c>
      <c r="CJ1806" s="319" t="str">
        <f t="shared" si="464"/>
        <v/>
      </c>
      <c r="CK1806" s="342">
        <f t="shared" si="182"/>
        <v>21.27204739</v>
      </c>
      <c r="CL1806" s="333">
        <f t="shared" si="183"/>
        <v>40.08989898</v>
      </c>
      <c r="CM1806" s="1079" t="s">
        <v>2677</v>
      </c>
      <c r="CN1806" s="1005" t="s">
        <v>2667</v>
      </c>
      <c r="CO1806" s="1005"/>
      <c r="CP1806" s="1005" t="s">
        <v>2668</v>
      </c>
    </row>
    <row r="1807">
      <c r="A1807" s="266"/>
      <c r="B1807" s="1113" t="s">
        <v>2649</v>
      </c>
      <c r="C1807" s="1107">
        <v>45482.0</v>
      </c>
      <c r="D1807" s="1113" t="s">
        <v>986</v>
      </c>
      <c r="E1807" s="1108" t="s">
        <v>1876</v>
      </c>
      <c r="F1807" s="112" t="s">
        <v>2678</v>
      </c>
      <c r="G1807" s="1110">
        <v>0.674074074074074</v>
      </c>
      <c r="H1807" s="1110">
        <v>0.6756944444444445</v>
      </c>
      <c r="I1807" s="1110"/>
      <c r="J1807" s="1111"/>
      <c r="K1807" s="1111">
        <v>0.6901041666666666</v>
      </c>
      <c r="L1807" s="1112">
        <v>0.014409722222222223</v>
      </c>
      <c r="M1807" s="1113" t="s">
        <v>166</v>
      </c>
      <c r="N1807" s="110" t="s">
        <v>188</v>
      </c>
      <c r="O1807" s="1115" t="s">
        <v>196</v>
      </c>
      <c r="P1807" s="1115" t="s">
        <v>224</v>
      </c>
      <c r="Q1807" s="1115" t="s">
        <v>842</v>
      </c>
      <c r="R1807" s="120">
        <v>21.7</v>
      </c>
      <c r="S1807" s="1113">
        <v>39.5</v>
      </c>
      <c r="T1807" s="110">
        <v>1.3</v>
      </c>
      <c r="U1807" s="1108">
        <v>0.544</v>
      </c>
      <c r="V1807" s="1108"/>
      <c r="W1807" s="1108"/>
      <c r="X1807" s="1108"/>
      <c r="Y1807" s="1108"/>
      <c r="Z1807" s="1114" t="s">
        <v>335</v>
      </c>
      <c r="AA1807" s="1114"/>
      <c r="AB1807" s="1114" t="s">
        <v>380</v>
      </c>
      <c r="AC1807" s="1117">
        <v>4.0</v>
      </c>
      <c r="AD1807" s="1115"/>
      <c r="AE1807" s="1115"/>
      <c r="AF1807" s="1115"/>
      <c r="AG1807" s="1115"/>
      <c r="AH1807" s="1115"/>
      <c r="AI1807" s="1115"/>
      <c r="AJ1807" s="1117"/>
      <c r="AK1807" s="1118"/>
      <c r="AL1807" s="1115"/>
      <c r="AM1807" s="1115"/>
      <c r="AN1807" s="1115"/>
      <c r="AO1807" s="1115"/>
      <c r="AP1807" s="1115"/>
      <c r="AQ1807" s="1115"/>
      <c r="AR1807" s="1115"/>
      <c r="AS1807" s="1117"/>
      <c r="AT1807" s="1196" t="str">
        <f t="shared" si="428"/>
        <v>0-1</v>
      </c>
      <c r="AU1807" s="1193"/>
      <c r="AV1807" s="330">
        <f>SQRT(($R1807-Infrastructure!J$3)^2+($S1807-Infrastructure!K$3)^2)</f>
        <v>24.42048321</v>
      </c>
      <c r="AW1807" s="331">
        <f>SQRT(($R1807-Infrastructure!J$4)^2+($S1807-Infrastructure!K$4)^2)</f>
        <v>30.90129447</v>
      </c>
      <c r="AX1807" s="331">
        <f>SQRT(($R1807-Infrastructure!J$5)^2+($S1807-Infrastructure!K$5)^2)</f>
        <v>40.83331973</v>
      </c>
      <c r="AY1807" s="331">
        <f>SQRT(($R1807-Infrastructure!J$6)^2+($S1807-Infrastructure!K$6)^2)</f>
        <v>40.88031311</v>
      </c>
      <c r="AZ1807" s="331">
        <f>SQRT(($R1807-Infrastructure!J$7)^2+($S1807-Infrastructure!K$7)^2)</f>
        <v>39.21836305</v>
      </c>
      <c r="BA1807" s="331">
        <f>SQRT(($R1807-Infrastructure!J$8)^2+($S1807-Infrastructure!K$8)^2)</f>
        <v>40.08989898</v>
      </c>
      <c r="BB1807" s="331">
        <f>SQRT(($R1807-Infrastructure!J$9)^2+($S1807-Infrastructure!K$9)^2)</f>
        <v>38.96472764</v>
      </c>
      <c r="BC1807" s="331">
        <f>SQRT(($R1807-Infrastructure!J$10)^2+($S1807-Infrastructure!K$10)^2)</f>
        <v>30.58005886</v>
      </c>
      <c r="BD1807" s="331">
        <f>SQRT(($R1807-Infrastructure!J$11)^2+($S1807-Infrastructure!K$11)^2)</f>
        <v>21.27204739</v>
      </c>
      <c r="BE1807" s="333">
        <f>SQRT(($R1807-Infrastructure!J$12)^2+($S1807-Infrastructure!K$12)^2)</f>
        <v>16.00124995</v>
      </c>
      <c r="BF1807" s="330">
        <f t="shared" si="161"/>
        <v>16.00124995</v>
      </c>
      <c r="BG1807" s="333">
        <f t="shared" si="162"/>
        <v>40.88031311</v>
      </c>
      <c r="BH1807" s="1119"/>
      <c r="BI1807" s="319" t="str">
        <f t="shared" ref="BI1807:BR1807" si="465">IF(ISNUMBER(FIND(BI$3, $CO1807)), "Y", "")</f>
        <v/>
      </c>
      <c r="BJ1807" s="319" t="str">
        <f t="shared" si="465"/>
        <v/>
      </c>
      <c r="BK1807" s="319" t="str">
        <f t="shared" si="465"/>
        <v/>
      </c>
      <c r="BL1807" s="319" t="str">
        <f t="shared" si="465"/>
        <v/>
      </c>
      <c r="BM1807" s="319" t="str">
        <f t="shared" si="465"/>
        <v/>
      </c>
      <c r="BN1807" s="319" t="str">
        <f t="shared" si="465"/>
        <v/>
      </c>
      <c r="BO1807" s="319" t="str">
        <f t="shared" si="465"/>
        <v/>
      </c>
      <c r="BP1807" s="319" t="str">
        <f t="shared" si="465"/>
        <v/>
      </c>
      <c r="BQ1807" s="319" t="str">
        <f t="shared" si="465"/>
        <v/>
      </c>
      <c r="BR1807" s="319" t="str">
        <f t="shared" si="465"/>
        <v/>
      </c>
      <c r="BS1807" s="330">
        <f t="shared" si="185"/>
        <v>0</v>
      </c>
      <c r="BT1807" s="331">
        <f t="shared" si="170"/>
        <v>0</v>
      </c>
      <c r="BU1807" s="920"/>
      <c r="BV1807" s="903" t="str">
        <f t="shared" si="186"/>
        <v/>
      </c>
      <c r="BW1807" s="908"/>
      <c r="BX1807" s="908"/>
      <c r="BY1807" s="331" t="b">
        <f t="shared" si="201"/>
        <v>0</v>
      </c>
      <c r="BZ1807" s="331"/>
      <c r="CA1807" s="462" t="str">
        <f t="shared" ref="CA1807:CJ1807" si="466">IF(ISNUMBER(FIND(BI$3, $CP1807)), "Y", "")</f>
        <v>Y</v>
      </c>
      <c r="CB1807" s="319" t="str">
        <f t="shared" si="466"/>
        <v/>
      </c>
      <c r="CC1807" s="319" t="str">
        <f t="shared" si="466"/>
        <v/>
      </c>
      <c r="CD1807" s="319" t="str">
        <f t="shared" si="466"/>
        <v/>
      </c>
      <c r="CE1807" s="319" t="str">
        <f t="shared" si="466"/>
        <v>Y</v>
      </c>
      <c r="CF1807" s="319" t="str">
        <f t="shared" si="466"/>
        <v>Y</v>
      </c>
      <c r="CG1807" s="319" t="str">
        <f t="shared" si="466"/>
        <v>Y</v>
      </c>
      <c r="CH1807" s="319" t="str">
        <f t="shared" si="466"/>
        <v/>
      </c>
      <c r="CI1807" s="319" t="str">
        <f t="shared" si="466"/>
        <v>Y</v>
      </c>
      <c r="CJ1807" s="319" t="str">
        <f t="shared" si="466"/>
        <v/>
      </c>
      <c r="CK1807" s="342">
        <f t="shared" si="182"/>
        <v>21.27204739</v>
      </c>
      <c r="CL1807" s="333">
        <f t="shared" si="183"/>
        <v>40.08989898</v>
      </c>
      <c r="CM1807" s="1079" t="s">
        <v>2677</v>
      </c>
      <c r="CN1807" s="1005" t="s">
        <v>2667</v>
      </c>
      <c r="CO1807" s="1005"/>
      <c r="CP1807" s="1005" t="s">
        <v>2668</v>
      </c>
    </row>
    <row r="1808">
      <c r="A1808" s="266"/>
      <c r="B1808" s="1113" t="s">
        <v>2649</v>
      </c>
      <c r="C1808" s="1107">
        <v>45482.0</v>
      </c>
      <c r="D1808" s="1113" t="s">
        <v>986</v>
      </c>
      <c r="E1808" s="1108" t="s">
        <v>1844</v>
      </c>
      <c r="F1808" s="112" t="s">
        <v>2679</v>
      </c>
      <c r="G1808" s="1110">
        <v>0.7004050925925925</v>
      </c>
      <c r="H1808" s="1110">
        <v>0.7008680555555555</v>
      </c>
      <c r="I1808" s="1110"/>
      <c r="J1808" s="1111"/>
      <c r="K1808" s="1111">
        <v>0.7140625</v>
      </c>
      <c r="L1808" s="1112">
        <v>0.013194444444444444</v>
      </c>
      <c r="M1808" s="1113" t="s">
        <v>168</v>
      </c>
      <c r="N1808" s="110" t="s">
        <v>187</v>
      </c>
      <c r="O1808" s="1115" t="s">
        <v>197</v>
      </c>
      <c r="P1808" s="1115" t="s">
        <v>272</v>
      </c>
      <c r="Q1808" s="1115" t="s">
        <v>842</v>
      </c>
      <c r="R1808" s="120">
        <v>37.1</v>
      </c>
      <c r="S1808" s="1113">
        <v>6.9</v>
      </c>
      <c r="T1808" s="110">
        <v>6.5</v>
      </c>
      <c r="U1808" s="1108">
        <v>7.25</v>
      </c>
      <c r="V1808" s="1108"/>
      <c r="W1808" s="1108"/>
      <c r="X1808" s="1108"/>
      <c r="Y1808" s="1108"/>
      <c r="Z1808" s="1114" t="s">
        <v>379</v>
      </c>
      <c r="AA1808" s="1114"/>
      <c r="AB1808" s="1114" t="s">
        <v>392</v>
      </c>
      <c r="AC1808" s="1117">
        <v>10.0</v>
      </c>
      <c r="AD1808" s="1115"/>
      <c r="AE1808" s="1115"/>
      <c r="AF1808" s="1115"/>
      <c r="AG1808" s="1115"/>
      <c r="AH1808" s="1115"/>
      <c r="AI1808" s="1115"/>
      <c r="AJ1808" s="1117"/>
      <c r="AK1808" s="1118"/>
      <c r="AL1808" s="1115"/>
      <c r="AM1808" s="1115"/>
      <c r="AN1808" s="1115"/>
      <c r="AO1808" s="1115"/>
      <c r="AP1808" s="1115"/>
      <c r="AQ1808" s="1115"/>
      <c r="AR1808" s="1115"/>
      <c r="AS1808" s="1117"/>
      <c r="AT1808" s="1196" t="str">
        <f t="shared" si="428"/>
        <v>1-10</v>
      </c>
      <c r="AU1808" s="1193"/>
      <c r="AV1808" s="330">
        <f>SQRT(($R1808-Infrastructure!J$3)^2+($S1808-Infrastructure!K$3)^2)</f>
        <v>43.39078243</v>
      </c>
      <c r="AW1808" s="331">
        <f>SQRT(($R1808-Infrastructure!J$4)^2+($S1808-Infrastructure!K$4)^2)</f>
        <v>38.95600082</v>
      </c>
      <c r="AX1808" s="331">
        <f>SQRT(($R1808-Infrastructure!J$5)^2+($S1808-Infrastructure!K$5)^2)</f>
        <v>37.44329045</v>
      </c>
      <c r="AY1808" s="331">
        <f>SQRT(($R1808-Infrastructure!J$6)^2+($S1808-Infrastructure!K$6)^2)</f>
        <v>27.79496357</v>
      </c>
      <c r="AZ1808" s="331">
        <f>SQRT(($R1808-Infrastructure!J$7)^2+($S1808-Infrastructure!K$7)^2)</f>
        <v>17.86393014</v>
      </c>
      <c r="BA1808" s="331">
        <f>SQRT(($R1808-Infrastructure!J$8)^2+($S1808-Infrastructure!K$8)^2)</f>
        <v>9.620810777</v>
      </c>
      <c r="BB1808" s="331">
        <f>SQRT(($R1808-Infrastructure!J$9)^2+($S1808-Infrastructure!K$9)^2)</f>
        <v>3.413209633</v>
      </c>
      <c r="BC1808" s="331">
        <f>SQRT(($R1808-Infrastructure!J$10)^2+($S1808-Infrastructure!K$10)^2)</f>
        <v>8.603487665</v>
      </c>
      <c r="BD1808" s="331">
        <f>SQRT(($R1808-Infrastructure!J$11)^2+($S1808-Infrastructure!K$11)^2)</f>
        <v>22.31636171</v>
      </c>
      <c r="BE1808" s="333">
        <f>SQRT(($R1808-Infrastructure!J$12)^2+($S1808-Infrastructure!K$12)^2)</f>
        <v>51.04233537</v>
      </c>
      <c r="BF1808" s="330">
        <f t="shared" si="161"/>
        <v>3.413209633</v>
      </c>
      <c r="BG1808" s="333">
        <f t="shared" si="162"/>
        <v>51.04233537</v>
      </c>
      <c r="BH1808" s="1119"/>
      <c r="BI1808" s="319" t="str">
        <f t="shared" ref="BI1808:BR1808" si="467">IF(ISNUMBER(FIND(BI$3, $CO1808)), "Y", "")</f>
        <v/>
      </c>
      <c r="BJ1808" s="319" t="str">
        <f t="shared" si="467"/>
        <v/>
      </c>
      <c r="BK1808" s="319" t="str">
        <f t="shared" si="467"/>
        <v/>
      </c>
      <c r="BL1808" s="319" t="str">
        <f t="shared" si="467"/>
        <v/>
      </c>
      <c r="BM1808" s="319" t="str">
        <f t="shared" si="467"/>
        <v/>
      </c>
      <c r="BN1808" s="319" t="str">
        <f t="shared" si="467"/>
        <v/>
      </c>
      <c r="BO1808" s="319" t="str">
        <f t="shared" si="467"/>
        <v/>
      </c>
      <c r="BP1808" s="319" t="str">
        <f t="shared" si="467"/>
        <v/>
      </c>
      <c r="BQ1808" s="319" t="str">
        <f t="shared" si="467"/>
        <v/>
      </c>
      <c r="BR1808" s="319" t="str">
        <f t="shared" si="467"/>
        <v/>
      </c>
      <c r="BS1808" s="330">
        <f t="shared" si="185"/>
        <v>0</v>
      </c>
      <c r="BT1808" s="331">
        <f t="shared" si="170"/>
        <v>0</v>
      </c>
      <c r="BU1808" s="920"/>
      <c r="BV1808" s="903" t="str">
        <f t="shared" si="186"/>
        <v/>
      </c>
      <c r="BW1808" s="908"/>
      <c r="BX1808" s="908"/>
      <c r="BY1808" s="331" t="b">
        <f t="shared" si="201"/>
        <v>0</v>
      </c>
      <c r="BZ1808" s="331"/>
      <c r="CA1808" s="462" t="str">
        <f t="shared" ref="CA1808:CJ1808" si="468">IF(ISNUMBER(FIND(BI$3, $CP1808)), "Y", "")</f>
        <v>Y</v>
      </c>
      <c r="CB1808" s="319" t="str">
        <f t="shared" si="468"/>
        <v/>
      </c>
      <c r="CC1808" s="319" t="str">
        <f t="shared" si="468"/>
        <v/>
      </c>
      <c r="CD1808" s="319" t="str">
        <f t="shared" si="468"/>
        <v/>
      </c>
      <c r="CE1808" s="319" t="str">
        <f t="shared" si="468"/>
        <v>Y</v>
      </c>
      <c r="CF1808" s="319" t="str">
        <f t="shared" si="468"/>
        <v>Y</v>
      </c>
      <c r="CG1808" s="319" t="str">
        <f t="shared" si="468"/>
        <v>Y</v>
      </c>
      <c r="CH1808" s="319" t="str">
        <f t="shared" si="468"/>
        <v/>
      </c>
      <c r="CI1808" s="319" t="str">
        <f t="shared" si="468"/>
        <v>Y</v>
      </c>
      <c r="CJ1808" s="319" t="str">
        <f t="shared" si="468"/>
        <v/>
      </c>
      <c r="CK1808" s="342">
        <f t="shared" si="182"/>
        <v>3.413209633</v>
      </c>
      <c r="CL1808" s="333">
        <f t="shared" si="183"/>
        <v>43.39078243</v>
      </c>
      <c r="CM1808" s="1079" t="s">
        <v>2666</v>
      </c>
      <c r="CN1808" s="1005" t="s">
        <v>2667</v>
      </c>
      <c r="CO1808" s="1005"/>
      <c r="CP1808" s="1005" t="s">
        <v>2668</v>
      </c>
    </row>
    <row r="1809">
      <c r="A1809" s="266"/>
      <c r="B1809" s="1113" t="s">
        <v>2649</v>
      </c>
      <c r="C1809" s="1107">
        <v>45482.0</v>
      </c>
      <c r="D1809" s="1113" t="s">
        <v>986</v>
      </c>
      <c r="E1809" s="1108" t="s">
        <v>1865</v>
      </c>
      <c r="F1809" s="112" t="s">
        <v>2680</v>
      </c>
      <c r="G1809" s="1110">
        <v>0.6986111111111111</v>
      </c>
      <c r="H1809" s="1110">
        <v>0.6989583333333333</v>
      </c>
      <c r="I1809" s="1110"/>
      <c r="J1809" s="1111"/>
      <c r="K1809" s="1111">
        <v>0.7147569444444445</v>
      </c>
      <c r="L1809" s="1112">
        <v>0.01579861111111111</v>
      </c>
      <c r="M1809" s="1113" t="s">
        <v>166</v>
      </c>
      <c r="N1809" s="110" t="s">
        <v>187</v>
      </c>
      <c r="O1809" s="1115" t="s">
        <v>197</v>
      </c>
      <c r="P1809" s="1115" t="s">
        <v>272</v>
      </c>
      <c r="Q1809" s="1115" t="s">
        <v>842</v>
      </c>
      <c r="R1809" s="120">
        <v>37.1</v>
      </c>
      <c r="S1809" s="1113">
        <v>6.9</v>
      </c>
      <c r="T1809" s="110">
        <v>6.5</v>
      </c>
      <c r="U1809" s="1108">
        <v>0.056</v>
      </c>
      <c r="V1809" s="1108"/>
      <c r="W1809" s="1108"/>
      <c r="X1809" s="1108"/>
      <c r="Y1809" s="1108"/>
      <c r="Z1809" s="1114" t="s">
        <v>1690</v>
      </c>
      <c r="AA1809" s="1114"/>
      <c r="AB1809" s="1114" t="s">
        <v>371</v>
      </c>
      <c r="AC1809" s="1117">
        <v>1.8</v>
      </c>
      <c r="AD1809" s="1115"/>
      <c r="AE1809" s="1115"/>
      <c r="AF1809" s="1115"/>
      <c r="AG1809" s="1115"/>
      <c r="AH1809" s="1115"/>
      <c r="AI1809" s="1115"/>
      <c r="AJ1809" s="1117"/>
      <c r="AK1809" s="1118"/>
      <c r="AL1809" s="1115"/>
      <c r="AM1809" s="1115"/>
      <c r="AN1809" s="1115"/>
      <c r="AO1809" s="1115"/>
      <c r="AP1809" s="1115"/>
      <c r="AQ1809" s="1115"/>
      <c r="AR1809" s="1115"/>
      <c r="AS1809" s="1117"/>
      <c r="AT1809" s="1196" t="str">
        <f t="shared" si="428"/>
        <v>0-1</v>
      </c>
      <c r="AU1809" s="1193"/>
      <c r="AV1809" s="330">
        <f>SQRT(($R1809-Infrastructure!J$3)^2+($S1809-Infrastructure!K$3)^2)</f>
        <v>43.39078243</v>
      </c>
      <c r="AW1809" s="331">
        <f>SQRT(($R1809-Infrastructure!J$4)^2+($S1809-Infrastructure!K$4)^2)</f>
        <v>38.95600082</v>
      </c>
      <c r="AX1809" s="331">
        <f>SQRT(($R1809-Infrastructure!J$5)^2+($S1809-Infrastructure!K$5)^2)</f>
        <v>37.44329045</v>
      </c>
      <c r="AY1809" s="331">
        <f>SQRT(($R1809-Infrastructure!J$6)^2+($S1809-Infrastructure!K$6)^2)</f>
        <v>27.79496357</v>
      </c>
      <c r="AZ1809" s="331">
        <f>SQRT(($R1809-Infrastructure!J$7)^2+($S1809-Infrastructure!K$7)^2)</f>
        <v>17.86393014</v>
      </c>
      <c r="BA1809" s="331">
        <f>SQRT(($R1809-Infrastructure!J$8)^2+($S1809-Infrastructure!K$8)^2)</f>
        <v>9.620810777</v>
      </c>
      <c r="BB1809" s="331">
        <f>SQRT(($R1809-Infrastructure!J$9)^2+($S1809-Infrastructure!K$9)^2)</f>
        <v>3.413209633</v>
      </c>
      <c r="BC1809" s="331">
        <f>SQRT(($R1809-Infrastructure!J$10)^2+($S1809-Infrastructure!K$10)^2)</f>
        <v>8.603487665</v>
      </c>
      <c r="BD1809" s="331">
        <f>SQRT(($R1809-Infrastructure!J$11)^2+($S1809-Infrastructure!K$11)^2)</f>
        <v>22.31636171</v>
      </c>
      <c r="BE1809" s="333">
        <f>SQRT(($R1809-Infrastructure!J$12)^2+($S1809-Infrastructure!K$12)^2)</f>
        <v>51.04233537</v>
      </c>
      <c r="BF1809" s="330">
        <f t="shared" si="161"/>
        <v>3.413209633</v>
      </c>
      <c r="BG1809" s="333">
        <f t="shared" si="162"/>
        <v>51.04233537</v>
      </c>
      <c r="BH1809" s="1119"/>
      <c r="BI1809" s="319" t="str">
        <f t="shared" ref="BI1809:BR1809" si="469">IF(ISNUMBER(FIND(BI$3, $CO1809)), "Y", "")</f>
        <v/>
      </c>
      <c r="BJ1809" s="319" t="str">
        <f t="shared" si="469"/>
        <v/>
      </c>
      <c r="BK1809" s="319" t="str">
        <f t="shared" si="469"/>
        <v/>
      </c>
      <c r="BL1809" s="319" t="str">
        <f t="shared" si="469"/>
        <v/>
      </c>
      <c r="BM1809" s="319" t="str">
        <f t="shared" si="469"/>
        <v/>
      </c>
      <c r="BN1809" s="319" t="str">
        <f t="shared" si="469"/>
        <v/>
      </c>
      <c r="BO1809" s="319" t="str">
        <f t="shared" si="469"/>
        <v/>
      </c>
      <c r="BP1809" s="319" t="str">
        <f t="shared" si="469"/>
        <v/>
      </c>
      <c r="BQ1809" s="319" t="str">
        <f t="shared" si="469"/>
        <v/>
      </c>
      <c r="BR1809" s="319" t="str">
        <f t="shared" si="469"/>
        <v/>
      </c>
      <c r="BS1809" s="330">
        <f t="shared" si="185"/>
        <v>0</v>
      </c>
      <c r="BT1809" s="331">
        <f t="shared" si="170"/>
        <v>0</v>
      </c>
      <c r="BU1809" s="920"/>
      <c r="BV1809" s="903" t="str">
        <f t="shared" si="186"/>
        <v/>
      </c>
      <c r="BW1809" s="908"/>
      <c r="BX1809" s="908"/>
      <c r="BY1809" s="331" t="b">
        <f t="shared" si="201"/>
        <v>0</v>
      </c>
      <c r="BZ1809" s="331"/>
      <c r="CA1809" s="462" t="str">
        <f t="shared" ref="CA1809:CJ1809" si="470">IF(ISNUMBER(FIND(BI$3, $CP1809)), "Y", "")</f>
        <v>Y</v>
      </c>
      <c r="CB1809" s="319" t="str">
        <f t="shared" si="470"/>
        <v/>
      </c>
      <c r="CC1809" s="319" t="str">
        <f t="shared" si="470"/>
        <v/>
      </c>
      <c r="CD1809" s="319" t="str">
        <f t="shared" si="470"/>
        <v/>
      </c>
      <c r="CE1809" s="319" t="str">
        <f t="shared" si="470"/>
        <v>Y</v>
      </c>
      <c r="CF1809" s="319" t="str">
        <f t="shared" si="470"/>
        <v>Y</v>
      </c>
      <c r="CG1809" s="319" t="str">
        <f t="shared" si="470"/>
        <v>Y</v>
      </c>
      <c r="CH1809" s="319" t="str">
        <f t="shared" si="470"/>
        <v/>
      </c>
      <c r="CI1809" s="319" t="str">
        <f t="shared" si="470"/>
        <v>Y</v>
      </c>
      <c r="CJ1809" s="319" t="str">
        <f t="shared" si="470"/>
        <v/>
      </c>
      <c r="CK1809" s="342">
        <f t="shared" si="182"/>
        <v>3.413209633</v>
      </c>
      <c r="CL1809" s="333">
        <f t="shared" si="183"/>
        <v>43.39078243</v>
      </c>
      <c r="CM1809" s="1079" t="s">
        <v>2666</v>
      </c>
      <c r="CN1809" s="1005" t="s">
        <v>2667</v>
      </c>
      <c r="CO1809" s="1005"/>
      <c r="CP1809" s="1005" t="s">
        <v>2668</v>
      </c>
    </row>
    <row r="1810">
      <c r="A1810" s="266"/>
      <c r="B1810" s="1113" t="s">
        <v>2649</v>
      </c>
      <c r="C1810" s="1107">
        <v>45482.0</v>
      </c>
      <c r="D1810" s="1113" t="s">
        <v>986</v>
      </c>
      <c r="E1810" s="1108" t="s">
        <v>1859</v>
      </c>
      <c r="F1810" s="112" t="s">
        <v>2681</v>
      </c>
      <c r="G1810" s="1110">
        <v>0.7211805555555556</v>
      </c>
      <c r="H1810" s="1110">
        <v>0.721875</v>
      </c>
      <c r="I1810" s="1110"/>
      <c r="J1810" s="1111"/>
      <c r="K1810" s="1111">
        <v>0.753125</v>
      </c>
      <c r="L1810" s="1112">
        <v>0.03125</v>
      </c>
      <c r="M1810" s="1113" t="s">
        <v>168</v>
      </c>
      <c r="N1810" s="110" t="s">
        <v>187</v>
      </c>
      <c r="O1810" s="1115" t="s">
        <v>197</v>
      </c>
      <c r="P1810" s="1115" t="s">
        <v>272</v>
      </c>
      <c r="Q1810" s="1115" t="s">
        <v>842</v>
      </c>
      <c r="R1810" s="120">
        <v>37.1</v>
      </c>
      <c r="S1810" s="1113">
        <v>6.9</v>
      </c>
      <c r="T1810" s="110">
        <v>6.5</v>
      </c>
      <c r="U1810" s="1108">
        <v>1.36</v>
      </c>
      <c r="V1810" s="1108"/>
      <c r="W1810" s="1108"/>
      <c r="X1810" s="1108"/>
      <c r="Y1810" s="1108"/>
      <c r="Z1810" s="1114" t="s">
        <v>379</v>
      </c>
      <c r="AA1810" s="1114"/>
      <c r="AB1810" s="1114" t="s">
        <v>388</v>
      </c>
      <c r="AC1810" s="1117">
        <v>8.0</v>
      </c>
      <c r="AD1810" s="1115"/>
      <c r="AE1810" s="1115"/>
      <c r="AF1810" s="1115"/>
      <c r="AG1810" s="1115"/>
      <c r="AH1810" s="1115"/>
      <c r="AI1810" s="1115"/>
      <c r="AJ1810" s="1117"/>
      <c r="AK1810" s="1118"/>
      <c r="AL1810" s="1115"/>
      <c r="AM1810" s="1115"/>
      <c r="AN1810" s="1115"/>
      <c r="AO1810" s="1115"/>
      <c r="AP1810" s="1115"/>
      <c r="AQ1810" s="1115"/>
      <c r="AR1810" s="1115"/>
      <c r="AS1810" s="1117"/>
      <c r="AT1810" s="1196" t="str">
        <f t="shared" si="428"/>
        <v>1-10</v>
      </c>
      <c r="AU1810" s="1193"/>
      <c r="AV1810" s="330">
        <f>SQRT(($R1810-Infrastructure!J$3)^2+($S1810-Infrastructure!K$3)^2)</f>
        <v>43.39078243</v>
      </c>
      <c r="AW1810" s="331">
        <f>SQRT(($R1810-Infrastructure!J$4)^2+($S1810-Infrastructure!K$4)^2)</f>
        <v>38.95600082</v>
      </c>
      <c r="AX1810" s="331">
        <f>SQRT(($R1810-Infrastructure!J$5)^2+($S1810-Infrastructure!K$5)^2)</f>
        <v>37.44329045</v>
      </c>
      <c r="AY1810" s="331">
        <f>SQRT(($R1810-Infrastructure!J$6)^2+($S1810-Infrastructure!K$6)^2)</f>
        <v>27.79496357</v>
      </c>
      <c r="AZ1810" s="331">
        <f>SQRT(($R1810-Infrastructure!J$7)^2+($S1810-Infrastructure!K$7)^2)</f>
        <v>17.86393014</v>
      </c>
      <c r="BA1810" s="331">
        <f>SQRT(($R1810-Infrastructure!J$8)^2+($S1810-Infrastructure!K$8)^2)</f>
        <v>9.620810777</v>
      </c>
      <c r="BB1810" s="331">
        <f>SQRT(($R1810-Infrastructure!J$9)^2+($S1810-Infrastructure!K$9)^2)</f>
        <v>3.413209633</v>
      </c>
      <c r="BC1810" s="331">
        <f>SQRT(($R1810-Infrastructure!J$10)^2+($S1810-Infrastructure!K$10)^2)</f>
        <v>8.603487665</v>
      </c>
      <c r="BD1810" s="331">
        <f>SQRT(($R1810-Infrastructure!J$11)^2+($S1810-Infrastructure!K$11)^2)</f>
        <v>22.31636171</v>
      </c>
      <c r="BE1810" s="333">
        <f>SQRT(($R1810-Infrastructure!J$12)^2+($S1810-Infrastructure!K$12)^2)</f>
        <v>51.04233537</v>
      </c>
      <c r="BF1810" s="330">
        <f t="shared" si="161"/>
        <v>3.413209633</v>
      </c>
      <c r="BG1810" s="333">
        <f t="shared" si="162"/>
        <v>51.04233537</v>
      </c>
      <c r="BH1810" s="1119"/>
      <c r="BI1810" s="319" t="str">
        <f t="shared" ref="BI1810:BR1810" si="471">IF(ISNUMBER(FIND(BI$3, $CO1810)), "Y", "")</f>
        <v/>
      </c>
      <c r="BJ1810" s="319" t="str">
        <f t="shared" si="471"/>
        <v/>
      </c>
      <c r="BK1810" s="319" t="str">
        <f t="shared" si="471"/>
        <v/>
      </c>
      <c r="BL1810" s="319" t="str">
        <f t="shared" si="471"/>
        <v/>
      </c>
      <c r="BM1810" s="319" t="str">
        <f t="shared" si="471"/>
        <v/>
      </c>
      <c r="BN1810" s="319" t="str">
        <f t="shared" si="471"/>
        <v/>
      </c>
      <c r="BO1810" s="319" t="str">
        <f t="shared" si="471"/>
        <v/>
      </c>
      <c r="BP1810" s="319" t="str">
        <f t="shared" si="471"/>
        <v/>
      </c>
      <c r="BQ1810" s="319" t="str">
        <f t="shared" si="471"/>
        <v/>
      </c>
      <c r="BR1810" s="319" t="str">
        <f t="shared" si="471"/>
        <v/>
      </c>
      <c r="BS1810" s="330">
        <f t="shared" si="185"/>
        <v>0</v>
      </c>
      <c r="BT1810" s="331">
        <f t="shared" si="170"/>
        <v>0</v>
      </c>
      <c r="BU1810" s="920"/>
      <c r="BV1810" s="903" t="str">
        <f t="shared" si="186"/>
        <v/>
      </c>
      <c r="BW1810" s="908"/>
      <c r="BX1810" s="908"/>
      <c r="BY1810" s="331" t="b">
        <f t="shared" si="201"/>
        <v>0</v>
      </c>
      <c r="BZ1810" s="331"/>
      <c r="CA1810" s="462" t="str">
        <f t="shared" ref="CA1810:CJ1810" si="472">IF(ISNUMBER(FIND(BI$3, $CP1810)), "Y", "")</f>
        <v>Y</v>
      </c>
      <c r="CB1810" s="319" t="str">
        <f t="shared" si="472"/>
        <v/>
      </c>
      <c r="CC1810" s="319" t="str">
        <f t="shared" si="472"/>
        <v/>
      </c>
      <c r="CD1810" s="319" t="str">
        <f t="shared" si="472"/>
        <v/>
      </c>
      <c r="CE1810" s="319" t="str">
        <f t="shared" si="472"/>
        <v>Y</v>
      </c>
      <c r="CF1810" s="319" t="str">
        <f t="shared" si="472"/>
        <v>Y</v>
      </c>
      <c r="CG1810" s="319" t="str">
        <f t="shared" si="472"/>
        <v>Y</v>
      </c>
      <c r="CH1810" s="319" t="str">
        <f t="shared" si="472"/>
        <v/>
      </c>
      <c r="CI1810" s="319" t="str">
        <f t="shared" si="472"/>
        <v>Y</v>
      </c>
      <c r="CJ1810" s="319" t="str">
        <f t="shared" si="472"/>
        <v/>
      </c>
      <c r="CK1810" s="342">
        <f t="shared" si="182"/>
        <v>3.413209633</v>
      </c>
      <c r="CL1810" s="333">
        <f t="shared" si="183"/>
        <v>43.39078243</v>
      </c>
      <c r="CM1810" s="1079" t="s">
        <v>2677</v>
      </c>
      <c r="CN1810" s="1005" t="s">
        <v>2667</v>
      </c>
      <c r="CO1810" s="1005"/>
      <c r="CP1810" s="1005" t="s">
        <v>2668</v>
      </c>
    </row>
    <row r="1811">
      <c r="A1811" s="1258"/>
      <c r="B1811" s="1129" t="s">
        <v>2649</v>
      </c>
      <c r="C1811" s="1122">
        <v>45482.0</v>
      </c>
      <c r="D1811" s="1129" t="s">
        <v>986</v>
      </c>
      <c r="E1811" s="1124" t="s">
        <v>1880</v>
      </c>
      <c r="F1811" s="108" t="s">
        <v>2682</v>
      </c>
      <c r="G1811" s="1126">
        <v>0.7204861111111112</v>
      </c>
      <c r="H1811" s="1126">
        <v>0.7208333333333333</v>
      </c>
      <c r="I1811" s="1126"/>
      <c r="J1811" s="1127"/>
      <c r="K1811" s="1127">
        <v>0.7540509259259259</v>
      </c>
      <c r="L1811" s="1128">
        <v>0.03321759259259259</v>
      </c>
      <c r="M1811" s="1129" t="s">
        <v>166</v>
      </c>
      <c r="N1811" s="100" t="s">
        <v>187</v>
      </c>
      <c r="O1811" s="1131" t="s">
        <v>197</v>
      </c>
      <c r="P1811" s="1131" t="s">
        <v>272</v>
      </c>
      <c r="Q1811" s="1131" t="s">
        <v>842</v>
      </c>
      <c r="R1811" s="137">
        <v>37.1</v>
      </c>
      <c r="S1811" s="1129">
        <v>6.9</v>
      </c>
      <c r="T1811" s="100">
        <v>6.5</v>
      </c>
      <c r="U1811" s="1124">
        <v>0.056</v>
      </c>
      <c r="V1811" s="1124"/>
      <c r="W1811" s="1124"/>
      <c r="X1811" s="1124"/>
      <c r="Y1811" s="1124"/>
      <c r="Z1811" s="1130" t="s">
        <v>1690</v>
      </c>
      <c r="AA1811" s="1130"/>
      <c r="AB1811" s="1130" t="s">
        <v>371</v>
      </c>
      <c r="AC1811" s="1133">
        <v>1.8</v>
      </c>
      <c r="AD1811" s="1131"/>
      <c r="AE1811" s="1131"/>
      <c r="AF1811" s="1131"/>
      <c r="AG1811" s="1131"/>
      <c r="AH1811" s="1131"/>
      <c r="AI1811" s="1131"/>
      <c r="AJ1811" s="1133"/>
      <c r="AK1811" s="1134"/>
      <c r="AL1811" s="1131"/>
      <c r="AM1811" s="1131"/>
      <c r="AN1811" s="1131"/>
      <c r="AO1811" s="1131"/>
      <c r="AP1811" s="1131"/>
      <c r="AQ1811" s="1131"/>
      <c r="AR1811" s="1131"/>
      <c r="AS1811" s="1133"/>
      <c r="AT1811" s="1197" t="str">
        <f t="shared" si="428"/>
        <v>0-1</v>
      </c>
      <c r="AU1811" s="1194"/>
      <c r="AV1811" s="662">
        <f>SQRT(($R1811-Infrastructure!J$3)^2+($S1811-Infrastructure!K$3)^2)</f>
        <v>43.39078243</v>
      </c>
      <c r="AW1811" s="641">
        <f>SQRT(($R1811-Infrastructure!J$4)^2+($S1811-Infrastructure!K$4)^2)</f>
        <v>38.95600082</v>
      </c>
      <c r="AX1811" s="641">
        <f>SQRT(($R1811-Infrastructure!J$5)^2+($S1811-Infrastructure!K$5)^2)</f>
        <v>37.44329045</v>
      </c>
      <c r="AY1811" s="641">
        <f>SQRT(($R1811-Infrastructure!J$6)^2+($S1811-Infrastructure!K$6)^2)</f>
        <v>27.79496357</v>
      </c>
      <c r="AZ1811" s="641">
        <f>SQRT(($R1811-Infrastructure!J$7)^2+($S1811-Infrastructure!K$7)^2)</f>
        <v>17.86393014</v>
      </c>
      <c r="BA1811" s="641">
        <f>SQRT(($R1811-Infrastructure!J$8)^2+($S1811-Infrastructure!K$8)^2)</f>
        <v>9.620810777</v>
      </c>
      <c r="BB1811" s="641">
        <f>SQRT(($R1811-Infrastructure!J$9)^2+($S1811-Infrastructure!K$9)^2)</f>
        <v>3.413209633</v>
      </c>
      <c r="BC1811" s="641">
        <f>SQRT(($R1811-Infrastructure!J$10)^2+($S1811-Infrastructure!K$10)^2)</f>
        <v>8.603487665</v>
      </c>
      <c r="BD1811" s="641">
        <f>SQRT(($R1811-Infrastructure!J$11)^2+($S1811-Infrastructure!K$11)^2)</f>
        <v>22.31636171</v>
      </c>
      <c r="BE1811" s="642">
        <f>SQRT(($R1811-Infrastructure!J$12)^2+($S1811-Infrastructure!K$12)^2)</f>
        <v>51.04233537</v>
      </c>
      <c r="BF1811" s="662">
        <f t="shared" si="161"/>
        <v>3.413209633</v>
      </c>
      <c r="BG1811" s="642">
        <f t="shared" si="162"/>
        <v>51.04233537</v>
      </c>
      <c r="BH1811" s="1135"/>
      <c r="BI1811" s="663" t="str">
        <f t="shared" ref="BI1811:BR1811" si="473">IF(ISNUMBER(FIND(BI$3, $CO1811)), "Y", "")</f>
        <v/>
      </c>
      <c r="BJ1811" s="663" t="str">
        <f t="shared" si="473"/>
        <v/>
      </c>
      <c r="BK1811" s="663" t="str">
        <f t="shared" si="473"/>
        <v/>
      </c>
      <c r="BL1811" s="663" t="str">
        <f t="shared" si="473"/>
        <v/>
      </c>
      <c r="BM1811" s="663" t="str">
        <f t="shared" si="473"/>
        <v/>
      </c>
      <c r="BN1811" s="663" t="str">
        <f t="shared" si="473"/>
        <v/>
      </c>
      <c r="BO1811" s="663" t="str">
        <f t="shared" si="473"/>
        <v/>
      </c>
      <c r="BP1811" s="663" t="str">
        <f t="shared" si="473"/>
        <v/>
      </c>
      <c r="BQ1811" s="663" t="str">
        <f t="shared" si="473"/>
        <v/>
      </c>
      <c r="BR1811" s="663" t="str">
        <f t="shared" si="473"/>
        <v/>
      </c>
      <c r="BS1811" s="662">
        <f t="shared" si="185"/>
        <v>0</v>
      </c>
      <c r="BT1811" s="641">
        <f t="shared" si="170"/>
        <v>0</v>
      </c>
      <c r="BU1811" s="937"/>
      <c r="BV1811" s="930" t="str">
        <f t="shared" si="186"/>
        <v/>
      </c>
      <c r="BW1811" s="939"/>
      <c r="BX1811" s="939"/>
      <c r="BY1811" s="641" t="b">
        <f t="shared" si="201"/>
        <v>0</v>
      </c>
      <c r="BZ1811" s="641"/>
      <c r="CA1811" s="635" t="str">
        <f t="shared" ref="CA1811:CJ1811" si="474">IF(ISNUMBER(FIND(BI$3, $CP1811)), "Y", "")</f>
        <v>Y</v>
      </c>
      <c r="CB1811" s="663" t="str">
        <f t="shared" si="474"/>
        <v/>
      </c>
      <c r="CC1811" s="663" t="str">
        <f t="shared" si="474"/>
        <v/>
      </c>
      <c r="CD1811" s="663" t="str">
        <f t="shared" si="474"/>
        <v/>
      </c>
      <c r="CE1811" s="663" t="str">
        <f t="shared" si="474"/>
        <v>Y</v>
      </c>
      <c r="CF1811" s="663" t="str">
        <f t="shared" si="474"/>
        <v>Y</v>
      </c>
      <c r="CG1811" s="663" t="str">
        <f t="shared" si="474"/>
        <v>Y</v>
      </c>
      <c r="CH1811" s="663" t="str">
        <f t="shared" si="474"/>
        <v/>
      </c>
      <c r="CI1811" s="663" t="str">
        <f t="shared" si="474"/>
        <v>Y</v>
      </c>
      <c r="CJ1811" s="663" t="str">
        <f t="shared" si="474"/>
        <v/>
      </c>
      <c r="CK1811" s="743">
        <f t="shared" si="182"/>
        <v>3.413209633</v>
      </c>
      <c r="CL1811" s="642">
        <f t="shared" si="183"/>
        <v>43.39078243</v>
      </c>
      <c r="CM1811" s="1090" t="s">
        <v>2677</v>
      </c>
      <c r="CN1811" s="1036" t="s">
        <v>2667</v>
      </c>
      <c r="CO1811" s="1036"/>
      <c r="CP1811" s="1036" t="s">
        <v>2668</v>
      </c>
    </row>
    <row r="1812">
      <c r="A1812" s="1257" t="s">
        <v>108</v>
      </c>
      <c r="B1812" s="1113" t="s">
        <v>2649</v>
      </c>
      <c r="C1812" s="1107">
        <v>45483.0</v>
      </c>
      <c r="D1812" s="1113" t="s">
        <v>986</v>
      </c>
      <c r="E1812" s="1108" t="s">
        <v>1356</v>
      </c>
      <c r="F1812" s="112" t="s">
        <v>2683</v>
      </c>
      <c r="G1812" s="1110">
        <v>0.40729166666666666</v>
      </c>
      <c r="H1812" s="1110">
        <v>0.40850694444444446</v>
      </c>
      <c r="I1812" s="1110"/>
      <c r="J1812" s="1111"/>
      <c r="K1812" s="1111">
        <v>0.42876157407407406</v>
      </c>
      <c r="L1812" s="1112">
        <v>0.02025462962962963</v>
      </c>
      <c r="M1812" s="1113" t="s">
        <v>168</v>
      </c>
      <c r="N1812" s="110" t="s">
        <v>187</v>
      </c>
      <c r="O1812" s="1115" t="s">
        <v>197</v>
      </c>
      <c r="P1812" s="1115" t="s">
        <v>272</v>
      </c>
      <c r="Q1812" s="1115" t="s">
        <v>842</v>
      </c>
      <c r="R1812" s="120">
        <v>37.1</v>
      </c>
      <c r="S1812" s="1113">
        <v>6.9</v>
      </c>
      <c r="T1812" s="110">
        <v>6.5</v>
      </c>
      <c r="U1812" s="1108">
        <v>2.84</v>
      </c>
      <c r="V1812" s="1108"/>
      <c r="W1812" s="1108"/>
      <c r="X1812" s="1108"/>
      <c r="Y1812" s="1108"/>
      <c r="Z1812" s="1114" t="s">
        <v>379</v>
      </c>
      <c r="AA1812" s="1114"/>
      <c r="AB1812" s="1114" t="s">
        <v>388</v>
      </c>
      <c r="AC1812" s="1117">
        <v>8.0</v>
      </c>
      <c r="AD1812" s="1115"/>
      <c r="AE1812" s="1115"/>
      <c r="AF1812" s="1115"/>
      <c r="AG1812" s="1115"/>
      <c r="AH1812" s="1115"/>
      <c r="AI1812" s="1115"/>
      <c r="AJ1812" s="1117"/>
      <c r="AK1812" s="1118"/>
      <c r="AL1812" s="1115"/>
      <c r="AM1812" s="1115"/>
      <c r="AN1812" s="1115"/>
      <c r="AO1812" s="1115"/>
      <c r="AP1812" s="1115"/>
      <c r="AQ1812" s="1115"/>
      <c r="AR1812" s="1115"/>
      <c r="AS1812" s="1117"/>
      <c r="AT1812" s="1196" t="str">
        <f t="shared" si="428"/>
        <v>1-10</v>
      </c>
      <c r="AU1812" s="1193"/>
      <c r="AV1812" s="330">
        <f>SQRT(($R1812-Infrastructure!J$3)^2+($S1812-Infrastructure!K$3)^2)</f>
        <v>43.39078243</v>
      </c>
      <c r="AW1812" s="331">
        <f>SQRT(($R1812-Infrastructure!J$4)^2+($S1812-Infrastructure!K$4)^2)</f>
        <v>38.95600082</v>
      </c>
      <c r="AX1812" s="331">
        <f>SQRT(($R1812-Infrastructure!J$5)^2+($S1812-Infrastructure!K$5)^2)</f>
        <v>37.44329045</v>
      </c>
      <c r="AY1812" s="331">
        <f>SQRT(($R1812-Infrastructure!J$6)^2+($S1812-Infrastructure!K$6)^2)</f>
        <v>27.79496357</v>
      </c>
      <c r="AZ1812" s="331">
        <f>SQRT(($R1812-Infrastructure!J$7)^2+($S1812-Infrastructure!K$7)^2)</f>
        <v>17.86393014</v>
      </c>
      <c r="BA1812" s="331">
        <f>SQRT(($R1812-Infrastructure!J$8)^2+($S1812-Infrastructure!K$8)^2)</f>
        <v>9.620810777</v>
      </c>
      <c r="BB1812" s="331">
        <f>SQRT(($R1812-Infrastructure!J$9)^2+($S1812-Infrastructure!K$9)^2)</f>
        <v>3.413209633</v>
      </c>
      <c r="BC1812" s="331">
        <f>SQRT(($R1812-Infrastructure!J$10)^2+($S1812-Infrastructure!K$10)^2)</f>
        <v>8.603487665</v>
      </c>
      <c r="BD1812" s="331">
        <f>SQRT(($R1812-Infrastructure!J$11)^2+($S1812-Infrastructure!K$11)^2)</f>
        <v>22.31636171</v>
      </c>
      <c r="BE1812" s="333">
        <f>SQRT(($R1812-Infrastructure!J$12)^2+($S1812-Infrastructure!K$12)^2)</f>
        <v>51.04233537</v>
      </c>
      <c r="BF1812" s="330">
        <f t="shared" si="161"/>
        <v>3.413209633</v>
      </c>
      <c r="BG1812" s="333">
        <f t="shared" si="162"/>
        <v>51.04233537</v>
      </c>
      <c r="BH1812" s="1119"/>
      <c r="BI1812" s="319" t="str">
        <f t="shared" ref="BI1812:BR1812" si="475">IF(ISNUMBER(FIND(BI$3, $CO1812)), "Y", "")</f>
        <v/>
      </c>
      <c r="BJ1812" s="319" t="str">
        <f t="shared" si="475"/>
        <v/>
      </c>
      <c r="BK1812" s="319" t="str">
        <f t="shared" si="475"/>
        <v/>
      </c>
      <c r="BL1812" s="319" t="str">
        <f t="shared" si="475"/>
        <v/>
      </c>
      <c r="BM1812" s="319" t="str">
        <f t="shared" si="475"/>
        <v/>
      </c>
      <c r="BN1812" s="319" t="str">
        <f t="shared" si="475"/>
        <v/>
      </c>
      <c r="BO1812" s="319" t="str">
        <f t="shared" si="475"/>
        <v/>
      </c>
      <c r="BP1812" s="319" t="str">
        <f t="shared" si="475"/>
        <v/>
      </c>
      <c r="BQ1812" s="319" t="str">
        <f t="shared" si="475"/>
        <v/>
      </c>
      <c r="BR1812" s="319" t="str">
        <f t="shared" si="475"/>
        <v/>
      </c>
      <c r="BS1812" s="330">
        <f t="shared" si="185"/>
        <v>0</v>
      </c>
      <c r="BT1812" s="331">
        <f t="shared" si="170"/>
        <v>0</v>
      </c>
      <c r="BU1812" s="920"/>
      <c r="BV1812" s="903" t="str">
        <f t="shared" si="186"/>
        <v/>
      </c>
      <c r="BW1812" s="908"/>
      <c r="BX1812" s="908"/>
      <c r="BY1812" s="331" t="b">
        <f t="shared" si="201"/>
        <v>0</v>
      </c>
      <c r="BZ1812" s="331"/>
      <c r="CA1812" s="462" t="str">
        <f t="shared" ref="CA1812:CJ1812" si="476">IF(ISNUMBER(FIND(BI$3, $CP1812)), "Y", "")</f>
        <v>Y</v>
      </c>
      <c r="CB1812" s="319" t="str">
        <f t="shared" si="476"/>
        <v/>
      </c>
      <c r="CC1812" s="319" t="str">
        <f t="shared" si="476"/>
        <v/>
      </c>
      <c r="CD1812" s="319" t="str">
        <f t="shared" si="476"/>
        <v/>
      </c>
      <c r="CE1812" s="319" t="str">
        <f t="shared" si="476"/>
        <v/>
      </c>
      <c r="CF1812" s="319" t="str">
        <f t="shared" si="476"/>
        <v>Y</v>
      </c>
      <c r="CG1812" s="319" t="str">
        <f t="shared" si="476"/>
        <v>Y</v>
      </c>
      <c r="CH1812" s="319" t="str">
        <f t="shared" si="476"/>
        <v/>
      </c>
      <c r="CI1812" s="319" t="str">
        <f t="shared" si="476"/>
        <v/>
      </c>
      <c r="CJ1812" s="319" t="str">
        <f t="shared" si="476"/>
        <v>Y</v>
      </c>
      <c r="CK1812" s="342">
        <f t="shared" si="182"/>
        <v>3.413209633</v>
      </c>
      <c r="CL1812" s="333">
        <f t="shared" si="183"/>
        <v>51.04233537</v>
      </c>
      <c r="CM1812" s="1079" t="s">
        <v>2684</v>
      </c>
      <c r="CN1812" s="1005" t="s">
        <v>2685</v>
      </c>
      <c r="CO1812" s="1005"/>
      <c r="CP1812" s="1005" t="s">
        <v>2686</v>
      </c>
    </row>
    <row r="1813">
      <c r="A1813" s="266"/>
      <c r="B1813" s="1113" t="s">
        <v>2649</v>
      </c>
      <c r="C1813" s="1107">
        <v>45483.0</v>
      </c>
      <c r="D1813" s="1113" t="s">
        <v>986</v>
      </c>
      <c r="E1813" s="1108" t="s">
        <v>1360</v>
      </c>
      <c r="F1813" s="112" t="s">
        <v>2687</v>
      </c>
      <c r="G1813" s="1110">
        <v>0.4065972222222222</v>
      </c>
      <c r="H1813" s="1110">
        <v>0.40694444444444444</v>
      </c>
      <c r="I1813" s="1110"/>
      <c r="J1813" s="1111"/>
      <c r="K1813" s="1111">
        <v>0.42951388888888886</v>
      </c>
      <c r="L1813" s="1112">
        <v>0.022569444444444444</v>
      </c>
      <c r="M1813" s="1113" t="s">
        <v>166</v>
      </c>
      <c r="N1813" s="110" t="s">
        <v>187</v>
      </c>
      <c r="O1813" s="1115" t="s">
        <v>197</v>
      </c>
      <c r="P1813" s="1115" t="s">
        <v>272</v>
      </c>
      <c r="Q1813" s="1115" t="s">
        <v>842</v>
      </c>
      <c r="R1813" s="120">
        <v>37.1</v>
      </c>
      <c r="S1813" s="1113">
        <v>6.9</v>
      </c>
      <c r="T1813" s="110">
        <v>6.5</v>
      </c>
      <c r="U1813" s="1108">
        <v>0.056</v>
      </c>
      <c r="V1813" s="1108"/>
      <c r="W1813" s="1108"/>
      <c r="X1813" s="1108"/>
      <c r="Y1813" s="1108"/>
      <c r="Z1813" s="1114" t="s">
        <v>1690</v>
      </c>
      <c r="AA1813" s="1114"/>
      <c r="AB1813" s="1114" t="s">
        <v>371</v>
      </c>
      <c r="AC1813" s="1117">
        <v>1.8</v>
      </c>
      <c r="AD1813" s="1115"/>
      <c r="AE1813" s="1115"/>
      <c r="AF1813" s="1115"/>
      <c r="AG1813" s="1115"/>
      <c r="AH1813" s="1115"/>
      <c r="AI1813" s="1115"/>
      <c r="AJ1813" s="1117"/>
      <c r="AK1813" s="1118"/>
      <c r="AL1813" s="1115"/>
      <c r="AM1813" s="1115"/>
      <c r="AN1813" s="1115"/>
      <c r="AO1813" s="1115"/>
      <c r="AP1813" s="1115"/>
      <c r="AQ1813" s="1115"/>
      <c r="AR1813" s="1115"/>
      <c r="AS1813" s="1117"/>
      <c r="AT1813" s="1196" t="str">
        <f t="shared" si="428"/>
        <v>0-1</v>
      </c>
      <c r="AU1813" s="1193"/>
      <c r="AV1813" s="330">
        <f>SQRT(($R1813-Infrastructure!J$3)^2+($S1813-Infrastructure!K$3)^2)</f>
        <v>43.39078243</v>
      </c>
      <c r="AW1813" s="331">
        <f>SQRT(($R1813-Infrastructure!J$4)^2+($S1813-Infrastructure!K$4)^2)</f>
        <v>38.95600082</v>
      </c>
      <c r="AX1813" s="331">
        <f>SQRT(($R1813-Infrastructure!J$5)^2+($S1813-Infrastructure!K$5)^2)</f>
        <v>37.44329045</v>
      </c>
      <c r="AY1813" s="331">
        <f>SQRT(($R1813-Infrastructure!J$6)^2+($S1813-Infrastructure!K$6)^2)</f>
        <v>27.79496357</v>
      </c>
      <c r="AZ1813" s="331">
        <f>SQRT(($R1813-Infrastructure!J$7)^2+($S1813-Infrastructure!K$7)^2)</f>
        <v>17.86393014</v>
      </c>
      <c r="BA1813" s="331">
        <f>SQRT(($R1813-Infrastructure!J$8)^2+($S1813-Infrastructure!K$8)^2)</f>
        <v>9.620810777</v>
      </c>
      <c r="BB1813" s="331">
        <f>SQRT(($R1813-Infrastructure!J$9)^2+($S1813-Infrastructure!K$9)^2)</f>
        <v>3.413209633</v>
      </c>
      <c r="BC1813" s="331">
        <f>SQRT(($R1813-Infrastructure!J$10)^2+($S1813-Infrastructure!K$10)^2)</f>
        <v>8.603487665</v>
      </c>
      <c r="BD1813" s="331">
        <f>SQRT(($R1813-Infrastructure!J$11)^2+($S1813-Infrastructure!K$11)^2)</f>
        <v>22.31636171</v>
      </c>
      <c r="BE1813" s="333">
        <f>SQRT(($R1813-Infrastructure!J$12)^2+($S1813-Infrastructure!K$12)^2)</f>
        <v>51.04233537</v>
      </c>
      <c r="BF1813" s="330">
        <f t="shared" si="161"/>
        <v>3.413209633</v>
      </c>
      <c r="BG1813" s="333">
        <f t="shared" si="162"/>
        <v>51.04233537</v>
      </c>
      <c r="BH1813" s="1119"/>
      <c r="BI1813" s="319" t="str">
        <f t="shared" ref="BI1813:BR1813" si="477">IF(ISNUMBER(FIND(BI$3, $CO1813)), "Y", "")</f>
        <v/>
      </c>
      <c r="BJ1813" s="319" t="str">
        <f t="shared" si="477"/>
        <v/>
      </c>
      <c r="BK1813" s="319" t="str">
        <f t="shared" si="477"/>
        <v/>
      </c>
      <c r="BL1813" s="319" t="str">
        <f t="shared" si="477"/>
        <v/>
      </c>
      <c r="BM1813" s="319" t="str">
        <f t="shared" si="477"/>
        <v/>
      </c>
      <c r="BN1813" s="319" t="str">
        <f t="shared" si="477"/>
        <v/>
      </c>
      <c r="BO1813" s="319" t="str">
        <f t="shared" si="477"/>
        <v/>
      </c>
      <c r="BP1813" s="319" t="str">
        <f t="shared" si="477"/>
        <v/>
      </c>
      <c r="BQ1813" s="319" t="str">
        <f t="shared" si="477"/>
        <v/>
      </c>
      <c r="BR1813" s="319" t="str">
        <f t="shared" si="477"/>
        <v/>
      </c>
      <c r="BS1813" s="330">
        <f t="shared" si="185"/>
        <v>0</v>
      </c>
      <c r="BT1813" s="331">
        <f t="shared" si="170"/>
        <v>0</v>
      </c>
      <c r="BU1813" s="920"/>
      <c r="BV1813" s="903" t="str">
        <f t="shared" si="186"/>
        <v/>
      </c>
      <c r="BW1813" s="908"/>
      <c r="BX1813" s="908"/>
      <c r="BY1813" s="331" t="b">
        <f t="shared" si="201"/>
        <v>0</v>
      </c>
      <c r="BZ1813" s="331"/>
      <c r="CA1813" s="462" t="str">
        <f t="shared" ref="CA1813:CJ1813" si="478">IF(ISNUMBER(FIND(BI$3, $CP1813)), "Y", "")</f>
        <v>Y</v>
      </c>
      <c r="CB1813" s="319" t="str">
        <f t="shared" si="478"/>
        <v/>
      </c>
      <c r="CC1813" s="319" t="str">
        <f t="shared" si="478"/>
        <v/>
      </c>
      <c r="CD1813" s="319" t="str">
        <f t="shared" si="478"/>
        <v/>
      </c>
      <c r="CE1813" s="319" t="str">
        <f t="shared" si="478"/>
        <v/>
      </c>
      <c r="CF1813" s="319" t="str">
        <f t="shared" si="478"/>
        <v>Y</v>
      </c>
      <c r="CG1813" s="319" t="str">
        <f t="shared" si="478"/>
        <v>Y</v>
      </c>
      <c r="CH1813" s="319" t="str">
        <f t="shared" si="478"/>
        <v/>
      </c>
      <c r="CI1813" s="319" t="str">
        <f t="shared" si="478"/>
        <v/>
      </c>
      <c r="CJ1813" s="319" t="str">
        <f t="shared" si="478"/>
        <v>Y</v>
      </c>
      <c r="CK1813" s="342">
        <f t="shared" si="182"/>
        <v>3.413209633</v>
      </c>
      <c r="CL1813" s="333">
        <f t="shared" si="183"/>
        <v>51.04233537</v>
      </c>
      <c r="CM1813" s="1079" t="s">
        <v>2684</v>
      </c>
      <c r="CN1813" s="1005" t="s">
        <v>2685</v>
      </c>
      <c r="CO1813" s="1005"/>
      <c r="CP1813" s="1005" t="s">
        <v>2686</v>
      </c>
    </row>
    <row r="1814">
      <c r="A1814" s="266"/>
      <c r="B1814" s="1113" t="s">
        <v>2649</v>
      </c>
      <c r="C1814" s="1107">
        <v>45483.0</v>
      </c>
      <c r="D1814" s="1113" t="s">
        <v>986</v>
      </c>
      <c r="E1814" s="1108" t="s">
        <v>1280</v>
      </c>
      <c r="F1814" s="112" t="s">
        <v>2688</v>
      </c>
      <c r="G1814" s="1110">
        <v>0.44230324074074073</v>
      </c>
      <c r="H1814" s="1110">
        <v>0.4427083333333333</v>
      </c>
      <c r="I1814" s="1110"/>
      <c r="J1814" s="1111"/>
      <c r="K1814" s="1111">
        <v>0.4702546296296296</v>
      </c>
      <c r="L1814" s="1112">
        <v>0.027546296296296298</v>
      </c>
      <c r="M1814" s="1113" t="s">
        <v>168</v>
      </c>
      <c r="N1814" s="110" t="s">
        <v>187</v>
      </c>
      <c r="O1814" s="1115" t="s">
        <v>197</v>
      </c>
      <c r="P1814" s="1115" t="s">
        <v>272</v>
      </c>
      <c r="Q1814" s="1115" t="s">
        <v>842</v>
      </c>
      <c r="R1814" s="120">
        <v>37.1</v>
      </c>
      <c r="S1814" s="1113">
        <v>6.9</v>
      </c>
      <c r="T1814" s="110">
        <v>6.5</v>
      </c>
      <c r="U1814" s="1108">
        <v>3.81</v>
      </c>
      <c r="V1814" s="1108"/>
      <c r="W1814" s="1108"/>
      <c r="X1814" s="1108"/>
      <c r="Y1814" s="1108"/>
      <c r="Z1814" s="1114" t="s">
        <v>379</v>
      </c>
      <c r="AA1814" s="1114"/>
      <c r="AB1814" s="1114" t="s">
        <v>392</v>
      </c>
      <c r="AC1814" s="1117">
        <v>10.0</v>
      </c>
      <c r="AD1814" s="1115"/>
      <c r="AE1814" s="1115"/>
      <c r="AF1814" s="1115"/>
      <c r="AG1814" s="1115"/>
      <c r="AH1814" s="1115"/>
      <c r="AI1814" s="1115"/>
      <c r="AJ1814" s="1117"/>
      <c r="AK1814" s="1118"/>
      <c r="AL1814" s="1115"/>
      <c r="AM1814" s="1115"/>
      <c r="AN1814" s="1115"/>
      <c r="AO1814" s="1115"/>
      <c r="AP1814" s="1115"/>
      <c r="AQ1814" s="1115"/>
      <c r="AR1814" s="1115"/>
      <c r="AS1814" s="1117"/>
      <c r="AT1814" s="1196" t="str">
        <f t="shared" si="428"/>
        <v>1-10</v>
      </c>
      <c r="AU1814" s="1193"/>
      <c r="AV1814" s="330">
        <f>SQRT(($R1814-Infrastructure!J$3)^2+($S1814-Infrastructure!K$3)^2)</f>
        <v>43.39078243</v>
      </c>
      <c r="AW1814" s="331">
        <f>SQRT(($R1814-Infrastructure!J$4)^2+($S1814-Infrastructure!K$4)^2)</f>
        <v>38.95600082</v>
      </c>
      <c r="AX1814" s="331">
        <f>SQRT(($R1814-Infrastructure!J$5)^2+($S1814-Infrastructure!K$5)^2)</f>
        <v>37.44329045</v>
      </c>
      <c r="AY1814" s="331">
        <f>SQRT(($R1814-Infrastructure!J$6)^2+($S1814-Infrastructure!K$6)^2)</f>
        <v>27.79496357</v>
      </c>
      <c r="AZ1814" s="331">
        <f>SQRT(($R1814-Infrastructure!J$7)^2+($S1814-Infrastructure!K$7)^2)</f>
        <v>17.86393014</v>
      </c>
      <c r="BA1814" s="331">
        <f>SQRT(($R1814-Infrastructure!J$8)^2+($S1814-Infrastructure!K$8)^2)</f>
        <v>9.620810777</v>
      </c>
      <c r="BB1814" s="331">
        <f>SQRT(($R1814-Infrastructure!J$9)^2+($S1814-Infrastructure!K$9)^2)</f>
        <v>3.413209633</v>
      </c>
      <c r="BC1814" s="331">
        <f>SQRT(($R1814-Infrastructure!J$10)^2+($S1814-Infrastructure!K$10)^2)</f>
        <v>8.603487665</v>
      </c>
      <c r="BD1814" s="331">
        <f>SQRT(($R1814-Infrastructure!J$11)^2+($S1814-Infrastructure!K$11)^2)</f>
        <v>22.31636171</v>
      </c>
      <c r="BE1814" s="333">
        <f>SQRT(($R1814-Infrastructure!J$12)^2+($S1814-Infrastructure!K$12)^2)</f>
        <v>51.04233537</v>
      </c>
      <c r="BF1814" s="330">
        <f t="shared" si="161"/>
        <v>3.413209633</v>
      </c>
      <c r="BG1814" s="333">
        <f t="shared" si="162"/>
        <v>51.04233537</v>
      </c>
      <c r="BH1814" s="1119"/>
      <c r="BI1814" s="319" t="str">
        <f t="shared" ref="BI1814:BR1814" si="479">IF(ISNUMBER(FIND(BI$3, $CO1814)), "Y", "")</f>
        <v/>
      </c>
      <c r="BJ1814" s="319" t="str">
        <f t="shared" si="479"/>
        <v/>
      </c>
      <c r="BK1814" s="319" t="str">
        <f t="shared" si="479"/>
        <v/>
      </c>
      <c r="BL1814" s="319" t="str">
        <f t="shared" si="479"/>
        <v/>
      </c>
      <c r="BM1814" s="319" t="str">
        <f t="shared" si="479"/>
        <v/>
      </c>
      <c r="BN1814" s="319" t="str">
        <f t="shared" si="479"/>
        <v/>
      </c>
      <c r="BO1814" s="319" t="str">
        <f t="shared" si="479"/>
        <v/>
      </c>
      <c r="BP1814" s="319" t="str">
        <f t="shared" si="479"/>
        <v/>
      </c>
      <c r="BQ1814" s="319" t="str">
        <f t="shared" si="479"/>
        <v/>
      </c>
      <c r="BR1814" s="319" t="str">
        <f t="shared" si="479"/>
        <v/>
      </c>
      <c r="BS1814" s="330">
        <f t="shared" si="185"/>
        <v>0</v>
      </c>
      <c r="BT1814" s="331">
        <f t="shared" si="170"/>
        <v>0</v>
      </c>
      <c r="BU1814" s="920"/>
      <c r="BV1814" s="903" t="str">
        <f t="shared" si="186"/>
        <v/>
      </c>
      <c r="BW1814" s="908"/>
      <c r="BX1814" s="908"/>
      <c r="BY1814" s="331" t="b">
        <f t="shared" si="201"/>
        <v>0</v>
      </c>
      <c r="BZ1814" s="331"/>
      <c r="CA1814" s="462" t="str">
        <f t="shared" ref="CA1814:CJ1814" si="480">IF(ISNUMBER(FIND(BI$3, $CP1814)), "Y", "")</f>
        <v>Y</v>
      </c>
      <c r="CB1814" s="319" t="str">
        <f t="shared" si="480"/>
        <v>Y</v>
      </c>
      <c r="CC1814" s="319" t="str">
        <f t="shared" si="480"/>
        <v>Y</v>
      </c>
      <c r="CD1814" s="319" t="str">
        <f t="shared" si="480"/>
        <v>Y</v>
      </c>
      <c r="CE1814" s="319" t="str">
        <f t="shared" si="480"/>
        <v>Y</v>
      </c>
      <c r="CF1814" s="319" t="str">
        <f t="shared" si="480"/>
        <v>Y</v>
      </c>
      <c r="CG1814" s="319" t="str">
        <f t="shared" si="480"/>
        <v>Y</v>
      </c>
      <c r="CH1814" s="319" t="str">
        <f t="shared" si="480"/>
        <v/>
      </c>
      <c r="CI1814" s="319" t="str">
        <f t="shared" si="480"/>
        <v/>
      </c>
      <c r="CJ1814" s="319" t="str">
        <f t="shared" si="480"/>
        <v/>
      </c>
      <c r="CK1814" s="342">
        <f t="shared" si="182"/>
        <v>3.413209633</v>
      </c>
      <c r="CL1814" s="333">
        <f t="shared" si="183"/>
        <v>43.39078243</v>
      </c>
      <c r="CM1814" s="1079" t="s">
        <v>2684</v>
      </c>
      <c r="CN1814" s="1005" t="s">
        <v>2685</v>
      </c>
      <c r="CO1814" s="1005"/>
      <c r="CP1814" s="1005" t="s">
        <v>2689</v>
      </c>
    </row>
    <row r="1815">
      <c r="A1815" s="266"/>
      <c r="B1815" s="1113" t="s">
        <v>2649</v>
      </c>
      <c r="C1815" s="1107">
        <v>45483.0</v>
      </c>
      <c r="D1815" s="1113" t="s">
        <v>986</v>
      </c>
      <c r="E1815" s="1108" t="s">
        <v>1282</v>
      </c>
      <c r="F1815" s="112" t="s">
        <v>2690</v>
      </c>
      <c r="G1815" s="1110">
        <v>0.44230324074074073</v>
      </c>
      <c r="H1815" s="1110">
        <v>0.4427083333333333</v>
      </c>
      <c r="I1815" s="1110"/>
      <c r="J1815" s="1111"/>
      <c r="K1815" s="1111">
        <v>0.4702546296296296</v>
      </c>
      <c r="L1815" s="1112">
        <v>0.027546296296296298</v>
      </c>
      <c r="M1815" s="1113" t="s">
        <v>166</v>
      </c>
      <c r="N1815" s="110" t="s">
        <v>187</v>
      </c>
      <c r="O1815" s="1115" t="s">
        <v>197</v>
      </c>
      <c r="P1815" s="1115" t="s">
        <v>272</v>
      </c>
      <c r="Q1815" s="1115" t="s">
        <v>842</v>
      </c>
      <c r="R1815" s="120">
        <v>37.1</v>
      </c>
      <c r="S1815" s="1113">
        <v>6.9</v>
      </c>
      <c r="T1815" s="110">
        <v>6.5</v>
      </c>
      <c r="U1815" s="1108">
        <v>0.156</v>
      </c>
      <c r="V1815" s="1108"/>
      <c r="W1815" s="1108"/>
      <c r="X1815" s="1108"/>
      <c r="Y1815" s="1108"/>
      <c r="Z1815" s="1114" t="s">
        <v>335</v>
      </c>
      <c r="AA1815" s="1114"/>
      <c r="AB1815" s="1114" t="s">
        <v>380</v>
      </c>
      <c r="AC1815" s="1117">
        <v>4.0</v>
      </c>
      <c r="AD1815" s="1115"/>
      <c r="AE1815" s="1115"/>
      <c r="AF1815" s="1115"/>
      <c r="AG1815" s="1115"/>
      <c r="AH1815" s="1115"/>
      <c r="AI1815" s="1115"/>
      <c r="AJ1815" s="1117"/>
      <c r="AK1815" s="1118"/>
      <c r="AL1815" s="1115"/>
      <c r="AM1815" s="1115"/>
      <c r="AN1815" s="1115"/>
      <c r="AO1815" s="1115"/>
      <c r="AP1815" s="1115"/>
      <c r="AQ1815" s="1115"/>
      <c r="AR1815" s="1115"/>
      <c r="AS1815" s="1117"/>
      <c r="AT1815" s="1196" t="str">
        <f t="shared" si="428"/>
        <v>0-1</v>
      </c>
      <c r="AU1815" s="1193"/>
      <c r="AV1815" s="330">
        <f>SQRT(($R1815-Infrastructure!J$3)^2+($S1815-Infrastructure!K$3)^2)</f>
        <v>43.39078243</v>
      </c>
      <c r="AW1815" s="331">
        <f>SQRT(($R1815-Infrastructure!J$4)^2+($S1815-Infrastructure!K$4)^2)</f>
        <v>38.95600082</v>
      </c>
      <c r="AX1815" s="331">
        <f>SQRT(($R1815-Infrastructure!J$5)^2+($S1815-Infrastructure!K$5)^2)</f>
        <v>37.44329045</v>
      </c>
      <c r="AY1815" s="331">
        <f>SQRT(($R1815-Infrastructure!J$6)^2+($S1815-Infrastructure!K$6)^2)</f>
        <v>27.79496357</v>
      </c>
      <c r="AZ1815" s="331">
        <f>SQRT(($R1815-Infrastructure!J$7)^2+($S1815-Infrastructure!K$7)^2)</f>
        <v>17.86393014</v>
      </c>
      <c r="BA1815" s="331">
        <f>SQRT(($R1815-Infrastructure!J$8)^2+($S1815-Infrastructure!K$8)^2)</f>
        <v>9.620810777</v>
      </c>
      <c r="BB1815" s="331">
        <f>SQRT(($R1815-Infrastructure!J$9)^2+($S1815-Infrastructure!K$9)^2)</f>
        <v>3.413209633</v>
      </c>
      <c r="BC1815" s="331">
        <f>SQRT(($R1815-Infrastructure!J$10)^2+($S1815-Infrastructure!K$10)^2)</f>
        <v>8.603487665</v>
      </c>
      <c r="BD1815" s="331">
        <f>SQRT(($R1815-Infrastructure!J$11)^2+($S1815-Infrastructure!K$11)^2)</f>
        <v>22.31636171</v>
      </c>
      <c r="BE1815" s="333">
        <f>SQRT(($R1815-Infrastructure!J$12)^2+($S1815-Infrastructure!K$12)^2)</f>
        <v>51.04233537</v>
      </c>
      <c r="BF1815" s="330">
        <f t="shared" si="161"/>
        <v>3.413209633</v>
      </c>
      <c r="BG1815" s="333">
        <f t="shared" si="162"/>
        <v>51.04233537</v>
      </c>
      <c r="BH1815" s="1119"/>
      <c r="BI1815" s="319" t="str">
        <f t="shared" ref="BI1815:BR1815" si="481">IF(ISNUMBER(FIND(BI$3, $CO1815)), "Y", "")</f>
        <v/>
      </c>
      <c r="BJ1815" s="319" t="str">
        <f t="shared" si="481"/>
        <v/>
      </c>
      <c r="BK1815" s="319" t="str">
        <f t="shared" si="481"/>
        <v/>
      </c>
      <c r="BL1815" s="319" t="str">
        <f t="shared" si="481"/>
        <v/>
      </c>
      <c r="BM1815" s="319" t="str">
        <f t="shared" si="481"/>
        <v/>
      </c>
      <c r="BN1815" s="319" t="str">
        <f t="shared" si="481"/>
        <v/>
      </c>
      <c r="BO1815" s="319" t="str">
        <f t="shared" si="481"/>
        <v/>
      </c>
      <c r="BP1815" s="319" t="str">
        <f t="shared" si="481"/>
        <v/>
      </c>
      <c r="BQ1815" s="319" t="str">
        <f t="shared" si="481"/>
        <v/>
      </c>
      <c r="BR1815" s="319" t="str">
        <f t="shared" si="481"/>
        <v/>
      </c>
      <c r="BS1815" s="330">
        <f t="shared" si="185"/>
        <v>0</v>
      </c>
      <c r="BT1815" s="331">
        <f t="shared" si="170"/>
        <v>0</v>
      </c>
      <c r="BU1815" s="920"/>
      <c r="BV1815" s="903" t="str">
        <f t="shared" si="186"/>
        <v/>
      </c>
      <c r="BW1815" s="908"/>
      <c r="BX1815" s="908"/>
      <c r="BY1815" s="331" t="b">
        <f t="shared" si="201"/>
        <v>0</v>
      </c>
      <c r="BZ1815" s="331"/>
      <c r="CA1815" s="462" t="str">
        <f t="shared" ref="CA1815:CJ1815" si="482">IF(ISNUMBER(FIND(BI$3, $CP1815)), "Y", "")</f>
        <v>Y</v>
      </c>
      <c r="CB1815" s="319" t="str">
        <f t="shared" si="482"/>
        <v>Y</v>
      </c>
      <c r="CC1815" s="319" t="str">
        <f t="shared" si="482"/>
        <v>Y</v>
      </c>
      <c r="CD1815" s="319" t="str">
        <f t="shared" si="482"/>
        <v>Y</v>
      </c>
      <c r="CE1815" s="319" t="str">
        <f t="shared" si="482"/>
        <v>Y</v>
      </c>
      <c r="CF1815" s="319" t="str">
        <f t="shared" si="482"/>
        <v>Y</v>
      </c>
      <c r="CG1815" s="319" t="str">
        <f t="shared" si="482"/>
        <v>Y</v>
      </c>
      <c r="CH1815" s="319" t="str">
        <f t="shared" si="482"/>
        <v/>
      </c>
      <c r="CI1815" s="319" t="str">
        <f t="shared" si="482"/>
        <v/>
      </c>
      <c r="CJ1815" s="319" t="str">
        <f t="shared" si="482"/>
        <v/>
      </c>
      <c r="CK1815" s="342">
        <f t="shared" si="182"/>
        <v>3.413209633</v>
      </c>
      <c r="CL1815" s="333">
        <f t="shared" si="183"/>
        <v>43.39078243</v>
      </c>
      <c r="CM1815" s="1079" t="s">
        <v>2684</v>
      </c>
      <c r="CN1815" s="1005" t="s">
        <v>2685</v>
      </c>
      <c r="CO1815" s="1005"/>
      <c r="CP1815" s="1005" t="s">
        <v>2689</v>
      </c>
    </row>
    <row r="1816">
      <c r="A1816" s="266"/>
      <c r="B1816" s="1113" t="s">
        <v>2649</v>
      </c>
      <c r="C1816" s="1107">
        <v>45483.0</v>
      </c>
      <c r="D1816" s="1113" t="s">
        <v>986</v>
      </c>
      <c r="E1816" s="1108" t="s">
        <v>1853</v>
      </c>
      <c r="F1816" s="112" t="s">
        <v>2691</v>
      </c>
      <c r="G1816" s="1110">
        <v>0.48333333333333334</v>
      </c>
      <c r="H1816" s="1110">
        <v>0.4840277777777778</v>
      </c>
      <c r="I1816" s="1110"/>
      <c r="J1816" s="1111"/>
      <c r="K1816" s="1111">
        <v>0.5092013888888889</v>
      </c>
      <c r="L1816" s="1112">
        <v>0.025173611111111112</v>
      </c>
      <c r="M1816" s="1113" t="s">
        <v>168</v>
      </c>
      <c r="N1816" s="110" t="s">
        <v>187</v>
      </c>
      <c r="O1816" s="1115" t="s">
        <v>197</v>
      </c>
      <c r="P1816" s="1115" t="s">
        <v>272</v>
      </c>
      <c r="Q1816" s="1115" t="s">
        <v>842</v>
      </c>
      <c r="R1816" s="120">
        <v>37.1</v>
      </c>
      <c r="S1816" s="1113">
        <v>6.9</v>
      </c>
      <c r="T1816" s="110">
        <v>6.5</v>
      </c>
      <c r="U1816" s="1108">
        <v>7.95</v>
      </c>
      <c r="V1816" s="1108"/>
      <c r="W1816" s="1108"/>
      <c r="X1816" s="1108"/>
      <c r="Y1816" s="1108"/>
      <c r="Z1816" s="1114" t="s">
        <v>379</v>
      </c>
      <c r="AA1816" s="1114"/>
      <c r="AB1816" s="1114" t="s">
        <v>392</v>
      </c>
      <c r="AC1816" s="1117">
        <v>10.0</v>
      </c>
      <c r="AD1816" s="1115"/>
      <c r="AE1816" s="1115"/>
      <c r="AF1816" s="1115"/>
      <c r="AG1816" s="1115"/>
      <c r="AH1816" s="1115"/>
      <c r="AI1816" s="1115"/>
      <c r="AJ1816" s="1117"/>
      <c r="AK1816" s="1118"/>
      <c r="AL1816" s="1115"/>
      <c r="AM1816" s="1115"/>
      <c r="AN1816" s="1115"/>
      <c r="AO1816" s="1115"/>
      <c r="AP1816" s="1115"/>
      <c r="AQ1816" s="1115"/>
      <c r="AR1816" s="1115"/>
      <c r="AS1816" s="1117"/>
      <c r="AT1816" s="1196" t="str">
        <f t="shared" si="428"/>
        <v>1-10</v>
      </c>
      <c r="AU1816" s="1193"/>
      <c r="AV1816" s="330">
        <f>SQRT(($R1816-Infrastructure!J$3)^2+($S1816-Infrastructure!K$3)^2)</f>
        <v>43.39078243</v>
      </c>
      <c r="AW1816" s="331">
        <f>SQRT(($R1816-Infrastructure!J$4)^2+($S1816-Infrastructure!K$4)^2)</f>
        <v>38.95600082</v>
      </c>
      <c r="AX1816" s="331">
        <f>SQRT(($R1816-Infrastructure!J$5)^2+($S1816-Infrastructure!K$5)^2)</f>
        <v>37.44329045</v>
      </c>
      <c r="AY1816" s="331">
        <f>SQRT(($R1816-Infrastructure!J$6)^2+($S1816-Infrastructure!K$6)^2)</f>
        <v>27.79496357</v>
      </c>
      <c r="AZ1816" s="331">
        <f>SQRT(($R1816-Infrastructure!J$7)^2+($S1816-Infrastructure!K$7)^2)</f>
        <v>17.86393014</v>
      </c>
      <c r="BA1816" s="331">
        <f>SQRT(($R1816-Infrastructure!J$8)^2+($S1816-Infrastructure!K$8)^2)</f>
        <v>9.620810777</v>
      </c>
      <c r="BB1816" s="331">
        <f>SQRT(($R1816-Infrastructure!J$9)^2+($S1816-Infrastructure!K$9)^2)</f>
        <v>3.413209633</v>
      </c>
      <c r="BC1816" s="331">
        <f>SQRT(($R1816-Infrastructure!J$10)^2+($S1816-Infrastructure!K$10)^2)</f>
        <v>8.603487665</v>
      </c>
      <c r="BD1816" s="331">
        <f>SQRT(($R1816-Infrastructure!J$11)^2+($S1816-Infrastructure!K$11)^2)</f>
        <v>22.31636171</v>
      </c>
      <c r="BE1816" s="333">
        <f>SQRT(($R1816-Infrastructure!J$12)^2+($S1816-Infrastructure!K$12)^2)</f>
        <v>51.04233537</v>
      </c>
      <c r="BF1816" s="330">
        <f t="shared" si="161"/>
        <v>3.413209633</v>
      </c>
      <c r="BG1816" s="333">
        <f t="shared" si="162"/>
        <v>51.04233537</v>
      </c>
      <c r="BH1816" s="1119"/>
      <c r="BI1816" s="319" t="str">
        <f t="shared" ref="BI1816:BR1816" si="483">IF(ISNUMBER(FIND(BI$3, $CO1816)), "Y", "")</f>
        <v/>
      </c>
      <c r="BJ1816" s="319" t="str">
        <f t="shared" si="483"/>
        <v/>
      </c>
      <c r="BK1816" s="319" t="str">
        <f t="shared" si="483"/>
        <v/>
      </c>
      <c r="BL1816" s="319" t="str">
        <f t="shared" si="483"/>
        <v/>
      </c>
      <c r="BM1816" s="319" t="str">
        <f t="shared" si="483"/>
        <v/>
      </c>
      <c r="BN1816" s="319" t="str">
        <f t="shared" si="483"/>
        <v/>
      </c>
      <c r="BO1816" s="319" t="str">
        <f t="shared" si="483"/>
        <v/>
      </c>
      <c r="BP1816" s="319" t="str">
        <f t="shared" si="483"/>
        <v/>
      </c>
      <c r="BQ1816" s="319" t="str">
        <f t="shared" si="483"/>
        <v/>
      </c>
      <c r="BR1816" s="319" t="str">
        <f t="shared" si="483"/>
        <v/>
      </c>
      <c r="BS1816" s="330">
        <f t="shared" si="185"/>
        <v>0</v>
      </c>
      <c r="BT1816" s="331">
        <f t="shared" si="170"/>
        <v>0</v>
      </c>
      <c r="BU1816" s="920"/>
      <c r="BV1816" s="903" t="str">
        <f t="shared" si="186"/>
        <v/>
      </c>
      <c r="BW1816" s="908"/>
      <c r="BX1816" s="908"/>
      <c r="BY1816" s="331" t="b">
        <f t="shared" si="201"/>
        <v>0</v>
      </c>
      <c r="BZ1816" s="331"/>
      <c r="CA1816" s="462" t="str">
        <f t="shared" ref="CA1816:CJ1816" si="484">IF(ISNUMBER(FIND(BI$3, $CP1816)), "Y", "")</f>
        <v>Y</v>
      </c>
      <c r="CB1816" s="319" t="str">
        <f t="shared" si="484"/>
        <v>Y</v>
      </c>
      <c r="CC1816" s="319" t="str">
        <f t="shared" si="484"/>
        <v>Y</v>
      </c>
      <c r="CD1816" s="319" t="str">
        <f t="shared" si="484"/>
        <v>Y</v>
      </c>
      <c r="CE1816" s="319" t="str">
        <f t="shared" si="484"/>
        <v>Y</v>
      </c>
      <c r="CF1816" s="319" t="str">
        <f t="shared" si="484"/>
        <v>Y</v>
      </c>
      <c r="CG1816" s="319" t="str">
        <f t="shared" si="484"/>
        <v>Y</v>
      </c>
      <c r="CH1816" s="319" t="str">
        <f t="shared" si="484"/>
        <v/>
      </c>
      <c r="CI1816" s="319" t="str">
        <f t="shared" si="484"/>
        <v/>
      </c>
      <c r="CJ1816" s="319" t="str">
        <f t="shared" si="484"/>
        <v/>
      </c>
      <c r="CK1816" s="342">
        <f t="shared" si="182"/>
        <v>3.413209633</v>
      </c>
      <c r="CL1816" s="333">
        <f t="shared" si="183"/>
        <v>43.39078243</v>
      </c>
      <c r="CM1816" s="1079" t="s">
        <v>2684</v>
      </c>
      <c r="CN1816" s="1005" t="s">
        <v>2685</v>
      </c>
      <c r="CO1816" s="1005"/>
      <c r="CP1816" s="1005" t="s">
        <v>2689</v>
      </c>
    </row>
    <row r="1817">
      <c r="A1817" s="266"/>
      <c r="B1817" s="1113" t="s">
        <v>2649</v>
      </c>
      <c r="C1817" s="1107">
        <v>45483.0</v>
      </c>
      <c r="D1817" s="1113" t="s">
        <v>986</v>
      </c>
      <c r="E1817" s="1108" t="s">
        <v>1874</v>
      </c>
      <c r="F1817" s="112" t="s">
        <v>2692</v>
      </c>
      <c r="G1817" s="1110">
        <v>0.4833912037037037</v>
      </c>
      <c r="H1817" s="1110">
        <v>0.4835069444444444</v>
      </c>
      <c r="I1817" s="1110"/>
      <c r="J1817" s="1111"/>
      <c r="K1817" s="1111">
        <v>0.5092592592592593</v>
      </c>
      <c r="L1817" s="1112">
        <v>0.025752314814814815</v>
      </c>
      <c r="M1817" s="1113" t="s">
        <v>166</v>
      </c>
      <c r="N1817" s="110" t="s">
        <v>187</v>
      </c>
      <c r="O1817" s="1115" t="s">
        <v>197</v>
      </c>
      <c r="P1817" s="1115" t="s">
        <v>272</v>
      </c>
      <c r="Q1817" s="1115" t="s">
        <v>842</v>
      </c>
      <c r="R1817" s="120">
        <v>37.1</v>
      </c>
      <c r="S1817" s="1113">
        <v>6.9</v>
      </c>
      <c r="T1817" s="110">
        <v>6.5</v>
      </c>
      <c r="U1817" s="1108">
        <v>0.156</v>
      </c>
      <c r="V1817" s="1108"/>
      <c r="W1817" s="1108"/>
      <c r="X1817" s="1108"/>
      <c r="Y1817" s="1108"/>
      <c r="Z1817" s="1114" t="s">
        <v>335</v>
      </c>
      <c r="AA1817" s="1114"/>
      <c r="AB1817" s="1114" t="s">
        <v>380</v>
      </c>
      <c r="AC1817" s="1117">
        <v>4.0</v>
      </c>
      <c r="AD1817" s="1115"/>
      <c r="AE1817" s="1115"/>
      <c r="AF1817" s="1115"/>
      <c r="AG1817" s="1115"/>
      <c r="AH1817" s="1115"/>
      <c r="AI1817" s="1115"/>
      <c r="AJ1817" s="1117"/>
      <c r="AK1817" s="1118"/>
      <c r="AL1817" s="1115"/>
      <c r="AM1817" s="1115"/>
      <c r="AN1817" s="1115"/>
      <c r="AO1817" s="1115"/>
      <c r="AP1817" s="1115"/>
      <c r="AQ1817" s="1115"/>
      <c r="AR1817" s="1115"/>
      <c r="AS1817" s="1117"/>
      <c r="AT1817" s="1196" t="str">
        <f t="shared" si="428"/>
        <v>0-1</v>
      </c>
      <c r="AU1817" s="1193"/>
      <c r="AV1817" s="330">
        <f>SQRT(($R1817-Infrastructure!J$3)^2+($S1817-Infrastructure!K$3)^2)</f>
        <v>43.39078243</v>
      </c>
      <c r="AW1817" s="331">
        <f>SQRT(($R1817-Infrastructure!J$4)^2+($S1817-Infrastructure!K$4)^2)</f>
        <v>38.95600082</v>
      </c>
      <c r="AX1817" s="331">
        <f>SQRT(($R1817-Infrastructure!J$5)^2+($S1817-Infrastructure!K$5)^2)</f>
        <v>37.44329045</v>
      </c>
      <c r="AY1817" s="331">
        <f>SQRT(($R1817-Infrastructure!J$6)^2+($S1817-Infrastructure!K$6)^2)</f>
        <v>27.79496357</v>
      </c>
      <c r="AZ1817" s="331">
        <f>SQRT(($R1817-Infrastructure!J$7)^2+($S1817-Infrastructure!K$7)^2)</f>
        <v>17.86393014</v>
      </c>
      <c r="BA1817" s="331">
        <f>SQRT(($R1817-Infrastructure!J$8)^2+($S1817-Infrastructure!K$8)^2)</f>
        <v>9.620810777</v>
      </c>
      <c r="BB1817" s="331">
        <f>SQRT(($R1817-Infrastructure!J$9)^2+($S1817-Infrastructure!K$9)^2)</f>
        <v>3.413209633</v>
      </c>
      <c r="BC1817" s="331">
        <f>SQRT(($R1817-Infrastructure!J$10)^2+($S1817-Infrastructure!K$10)^2)</f>
        <v>8.603487665</v>
      </c>
      <c r="BD1817" s="331">
        <f>SQRT(($R1817-Infrastructure!J$11)^2+($S1817-Infrastructure!K$11)^2)</f>
        <v>22.31636171</v>
      </c>
      <c r="BE1817" s="333">
        <f>SQRT(($R1817-Infrastructure!J$12)^2+($S1817-Infrastructure!K$12)^2)</f>
        <v>51.04233537</v>
      </c>
      <c r="BF1817" s="330">
        <f t="shared" si="161"/>
        <v>3.413209633</v>
      </c>
      <c r="BG1817" s="333">
        <f t="shared" si="162"/>
        <v>51.04233537</v>
      </c>
      <c r="BH1817" s="1119"/>
      <c r="BI1817" s="319" t="str">
        <f t="shared" ref="BI1817:BR1817" si="485">IF(ISNUMBER(FIND(BI$3, $CO1817)), "Y", "")</f>
        <v/>
      </c>
      <c r="BJ1817" s="319" t="str">
        <f t="shared" si="485"/>
        <v/>
      </c>
      <c r="BK1817" s="319" t="str">
        <f t="shared" si="485"/>
        <v/>
      </c>
      <c r="BL1817" s="319" t="str">
        <f t="shared" si="485"/>
        <v/>
      </c>
      <c r="BM1817" s="319" t="str">
        <f t="shared" si="485"/>
        <v/>
      </c>
      <c r="BN1817" s="319" t="str">
        <f t="shared" si="485"/>
        <v/>
      </c>
      <c r="BO1817" s="319" t="str">
        <f t="shared" si="485"/>
        <v/>
      </c>
      <c r="BP1817" s="319" t="str">
        <f t="shared" si="485"/>
        <v/>
      </c>
      <c r="BQ1817" s="319" t="str">
        <f t="shared" si="485"/>
        <v/>
      </c>
      <c r="BR1817" s="319" t="str">
        <f t="shared" si="485"/>
        <v/>
      </c>
      <c r="BS1817" s="330">
        <f t="shared" si="185"/>
        <v>0</v>
      </c>
      <c r="BT1817" s="331">
        <f t="shared" si="170"/>
        <v>0</v>
      </c>
      <c r="BU1817" s="920"/>
      <c r="BV1817" s="903" t="str">
        <f t="shared" si="186"/>
        <v/>
      </c>
      <c r="BW1817" s="908"/>
      <c r="BX1817" s="908"/>
      <c r="BY1817" s="331" t="b">
        <f t="shared" si="201"/>
        <v>0</v>
      </c>
      <c r="BZ1817" s="331"/>
      <c r="CA1817" s="462" t="str">
        <f t="shared" ref="CA1817:CJ1817" si="486">IF(ISNUMBER(FIND(BI$3, $CP1817)), "Y", "")</f>
        <v>Y</v>
      </c>
      <c r="CB1817" s="319" t="str">
        <f t="shared" si="486"/>
        <v>Y</v>
      </c>
      <c r="CC1817" s="319" t="str">
        <f t="shared" si="486"/>
        <v>Y</v>
      </c>
      <c r="CD1817" s="319" t="str">
        <f t="shared" si="486"/>
        <v>Y</v>
      </c>
      <c r="CE1817" s="319" t="str">
        <f t="shared" si="486"/>
        <v>Y</v>
      </c>
      <c r="CF1817" s="319" t="str">
        <f t="shared" si="486"/>
        <v>Y</v>
      </c>
      <c r="CG1817" s="319" t="str">
        <f t="shared" si="486"/>
        <v>Y</v>
      </c>
      <c r="CH1817" s="319" t="str">
        <f t="shared" si="486"/>
        <v/>
      </c>
      <c r="CI1817" s="319" t="str">
        <f t="shared" si="486"/>
        <v/>
      </c>
      <c r="CJ1817" s="319" t="str">
        <f t="shared" si="486"/>
        <v/>
      </c>
      <c r="CK1817" s="342">
        <f t="shared" si="182"/>
        <v>3.413209633</v>
      </c>
      <c r="CL1817" s="333">
        <f t="shared" si="183"/>
        <v>43.39078243</v>
      </c>
      <c r="CM1817" s="1079" t="s">
        <v>2684</v>
      </c>
      <c r="CN1817" s="1005" t="s">
        <v>2685</v>
      </c>
      <c r="CO1817" s="1005"/>
      <c r="CP1817" s="1005" t="s">
        <v>2689</v>
      </c>
    </row>
    <row r="1818">
      <c r="A1818" s="266"/>
      <c r="B1818" s="1113" t="s">
        <v>2649</v>
      </c>
      <c r="C1818" s="1107">
        <v>45483.0</v>
      </c>
      <c r="D1818" s="1113" t="s">
        <v>986</v>
      </c>
      <c r="E1818" s="1108" t="s">
        <v>2693</v>
      </c>
      <c r="F1818" s="112" t="s">
        <v>2694</v>
      </c>
      <c r="G1818" s="1110">
        <v>0.5739004629629629</v>
      </c>
      <c r="H1818" s="1110">
        <v>0.5746527777777778</v>
      </c>
      <c r="I1818" s="1110"/>
      <c r="J1818" s="1111"/>
      <c r="K1818" s="1111">
        <v>0.6012152777777777</v>
      </c>
      <c r="L1818" s="1112">
        <v>0.0265625</v>
      </c>
      <c r="M1818" s="1113" t="s">
        <v>166</v>
      </c>
      <c r="N1818" s="110" t="s">
        <v>188</v>
      </c>
      <c r="O1818" s="1115" t="s">
        <v>378</v>
      </c>
      <c r="P1818" s="1115" t="s">
        <v>225</v>
      </c>
      <c r="Q1818" s="1115" t="s">
        <v>842</v>
      </c>
      <c r="R1818" s="120">
        <v>22.7</v>
      </c>
      <c r="S1818" s="1113">
        <v>39.7</v>
      </c>
      <c r="T1818" s="110">
        <v>1.1</v>
      </c>
      <c r="U1818" s="1108">
        <v>0.544</v>
      </c>
      <c r="V1818" s="1108"/>
      <c r="W1818" s="1108"/>
      <c r="X1818" s="1108"/>
      <c r="Y1818" s="1108"/>
      <c r="Z1818" s="1114" t="s">
        <v>1221</v>
      </c>
      <c r="AA1818" s="1114"/>
      <c r="AB1818" s="1114" t="s">
        <v>398</v>
      </c>
      <c r="AC1818" s="1117">
        <v>6.0</v>
      </c>
      <c r="AD1818" s="1115"/>
      <c r="AE1818" s="1115"/>
      <c r="AF1818" s="1115"/>
      <c r="AG1818" s="1115"/>
      <c r="AH1818" s="1115"/>
      <c r="AI1818" s="1115"/>
      <c r="AJ1818" s="1117"/>
      <c r="AK1818" s="1118"/>
      <c r="AL1818" s="1115"/>
      <c r="AM1818" s="1115"/>
      <c r="AN1818" s="1115"/>
      <c r="AO1818" s="1115"/>
      <c r="AP1818" s="1115"/>
      <c r="AQ1818" s="1115"/>
      <c r="AR1818" s="1115"/>
      <c r="AS1818" s="1117"/>
      <c r="AT1818" s="1196" t="str">
        <f t="shared" si="428"/>
        <v>0-1</v>
      </c>
      <c r="AU1818" s="1193"/>
      <c r="AV1818" s="330">
        <f>SQRT(($R1818-Infrastructure!J$3)^2+($S1818-Infrastructure!K$3)^2)</f>
        <v>25.40944706</v>
      </c>
      <c r="AW1818" s="331">
        <f>SQRT(($R1818-Infrastructure!J$4)^2+($S1818-Infrastructure!K$4)^2)</f>
        <v>31.75862088</v>
      </c>
      <c r="AX1818" s="331">
        <f>SQRT(($R1818-Infrastructure!J$5)^2+($S1818-Infrastructure!K$5)^2)</f>
        <v>41.54708173</v>
      </c>
      <c r="AY1818" s="331">
        <f>SQRT(($R1818-Infrastructure!J$6)^2+($S1818-Infrastructure!K$6)^2)</f>
        <v>41.36568626</v>
      </c>
      <c r="AZ1818" s="331">
        <f>SQRT(($R1818-Infrastructure!J$7)^2+($S1818-Infrastructure!K$7)^2)</f>
        <v>39.46137352</v>
      </c>
      <c r="BA1818" s="331">
        <f>SQRT(($R1818-Infrastructure!J$8)^2+($S1818-Infrastructure!K$8)^2)</f>
        <v>40.08890121</v>
      </c>
      <c r="BB1818" s="331">
        <f>SQRT(($R1818-Infrastructure!J$9)^2+($S1818-Infrastructure!K$9)^2)</f>
        <v>38.68397601</v>
      </c>
      <c r="BC1818" s="331">
        <f>SQRT(($R1818-Infrastructure!J$10)^2+($S1818-Infrastructure!K$10)^2)</f>
        <v>30.15592811</v>
      </c>
      <c r="BD1818" s="331">
        <f>SQRT(($R1818-Infrastructure!J$11)^2+($S1818-Infrastructure!K$11)^2)</f>
        <v>20.51194774</v>
      </c>
      <c r="BE1818" s="333">
        <f>SQRT(($R1818-Infrastructure!J$12)^2+($S1818-Infrastructure!K$12)^2)</f>
        <v>15.84550409</v>
      </c>
      <c r="BF1818" s="330">
        <f t="shared" si="161"/>
        <v>15.84550409</v>
      </c>
      <c r="BG1818" s="333">
        <f t="shared" si="162"/>
        <v>41.54708173</v>
      </c>
      <c r="BH1818" s="1119"/>
      <c r="BI1818" s="319" t="str">
        <f t="shared" ref="BI1818:BR1818" si="487">IF(ISNUMBER(FIND(BI$3, $CO1818)), "Y", "")</f>
        <v/>
      </c>
      <c r="BJ1818" s="319" t="str">
        <f t="shared" si="487"/>
        <v/>
      </c>
      <c r="BK1818" s="319" t="str">
        <f t="shared" si="487"/>
        <v/>
      </c>
      <c r="BL1818" s="319" t="str">
        <f t="shared" si="487"/>
        <v/>
      </c>
      <c r="BM1818" s="319" t="str">
        <f t="shared" si="487"/>
        <v/>
      </c>
      <c r="BN1818" s="319" t="str">
        <f t="shared" si="487"/>
        <v/>
      </c>
      <c r="BO1818" s="319" t="str">
        <f t="shared" si="487"/>
        <v/>
      </c>
      <c r="BP1818" s="319" t="str">
        <f t="shared" si="487"/>
        <v/>
      </c>
      <c r="BQ1818" s="319" t="str">
        <f t="shared" si="487"/>
        <v/>
      </c>
      <c r="BR1818" s="319" t="str">
        <f t="shared" si="487"/>
        <v/>
      </c>
      <c r="BS1818" s="330">
        <f t="shared" si="185"/>
        <v>0</v>
      </c>
      <c r="BT1818" s="331">
        <f t="shared" si="170"/>
        <v>0</v>
      </c>
      <c r="BU1818" s="920"/>
      <c r="BV1818" s="903" t="str">
        <f t="shared" si="186"/>
        <v/>
      </c>
      <c r="BW1818" s="908"/>
      <c r="BX1818" s="908"/>
      <c r="BY1818" s="331" t="b">
        <f t="shared" si="201"/>
        <v>0</v>
      </c>
      <c r="BZ1818" s="331"/>
      <c r="CA1818" s="462" t="str">
        <f t="shared" ref="CA1818:CJ1818" si="488">IF(ISNUMBER(FIND(BI$3, $CP1818)), "Y", "")</f>
        <v>Y</v>
      </c>
      <c r="CB1818" s="319" t="str">
        <f t="shared" si="488"/>
        <v/>
      </c>
      <c r="CC1818" s="319" t="str">
        <f t="shared" si="488"/>
        <v>Y</v>
      </c>
      <c r="CD1818" s="319" t="str">
        <f t="shared" si="488"/>
        <v>Y</v>
      </c>
      <c r="CE1818" s="319" t="str">
        <f t="shared" si="488"/>
        <v>Y</v>
      </c>
      <c r="CF1818" s="319" t="str">
        <f t="shared" si="488"/>
        <v>Y</v>
      </c>
      <c r="CG1818" s="319" t="str">
        <f t="shared" si="488"/>
        <v>Y</v>
      </c>
      <c r="CH1818" s="319" t="str">
        <f t="shared" si="488"/>
        <v/>
      </c>
      <c r="CI1818" s="319" t="str">
        <f t="shared" si="488"/>
        <v/>
      </c>
      <c r="CJ1818" s="319" t="str">
        <f t="shared" si="488"/>
        <v/>
      </c>
      <c r="CK1818" s="342">
        <f t="shared" si="182"/>
        <v>25.40944706</v>
      </c>
      <c r="CL1818" s="333">
        <f t="shared" si="183"/>
        <v>41.54708173</v>
      </c>
      <c r="CM1818" s="1079" t="s">
        <v>2695</v>
      </c>
      <c r="CN1818" s="1005" t="s">
        <v>2696</v>
      </c>
      <c r="CO1818" s="1005"/>
      <c r="CP1818" s="1005" t="s">
        <v>2414</v>
      </c>
    </row>
    <row r="1819">
      <c r="A1819" s="266"/>
      <c r="B1819" s="1113" t="s">
        <v>2649</v>
      </c>
      <c r="C1819" s="1107">
        <v>45483.0</v>
      </c>
      <c r="D1819" s="1113" t="s">
        <v>986</v>
      </c>
      <c r="E1819" s="1108" t="s">
        <v>2697</v>
      </c>
      <c r="F1819" s="112" t="s">
        <v>2698</v>
      </c>
      <c r="G1819" s="1110">
        <v>0.5739583333333333</v>
      </c>
      <c r="H1819" s="1110">
        <v>0.5744791666666667</v>
      </c>
      <c r="I1819" s="1110"/>
      <c r="J1819" s="1111"/>
      <c r="K1819" s="1111">
        <v>0.6012152777777777</v>
      </c>
      <c r="L1819" s="1112">
        <v>0.02673611111111111</v>
      </c>
      <c r="M1819" s="1113" t="s">
        <v>166</v>
      </c>
      <c r="N1819" s="110" t="s">
        <v>187</v>
      </c>
      <c r="O1819" s="1115" t="s">
        <v>204</v>
      </c>
      <c r="P1819" s="1115" t="s">
        <v>215</v>
      </c>
      <c r="Q1819" s="1115" t="s">
        <v>842</v>
      </c>
      <c r="R1819" s="120">
        <v>18.5</v>
      </c>
      <c r="S1819" s="1113">
        <v>3.3</v>
      </c>
      <c r="T1819" s="110">
        <v>1.9</v>
      </c>
      <c r="U1819" s="1108">
        <v>0.544</v>
      </c>
      <c r="V1819" s="1108"/>
      <c r="W1819" s="1108"/>
      <c r="X1819" s="1108"/>
      <c r="Y1819" s="1108"/>
      <c r="Z1819" s="1114" t="s">
        <v>365</v>
      </c>
      <c r="AA1819" s="1114"/>
      <c r="AB1819" s="1114" t="s">
        <v>388</v>
      </c>
      <c r="AC1819" s="1117">
        <v>8.0</v>
      </c>
      <c r="AD1819" s="1115"/>
      <c r="AE1819" s="1115"/>
      <c r="AF1819" s="1115"/>
      <c r="AG1819" s="1115"/>
      <c r="AH1819" s="1115"/>
      <c r="AI1819" s="1115"/>
      <c r="AJ1819" s="1117"/>
      <c r="AK1819" s="1118"/>
      <c r="AL1819" s="1115"/>
      <c r="AM1819" s="1115"/>
      <c r="AN1819" s="1115"/>
      <c r="AO1819" s="1115"/>
      <c r="AP1819" s="1115"/>
      <c r="AQ1819" s="1115"/>
      <c r="AR1819" s="1115"/>
      <c r="AS1819" s="1117"/>
      <c r="AT1819" s="1196" t="str">
        <f t="shared" si="428"/>
        <v>0-1</v>
      </c>
      <c r="AU1819" s="1193"/>
      <c r="AV1819" s="330">
        <f>SQRT(($R1819-Infrastructure!J$3)^2+($S1819-Infrastructure!K$3)^2)</f>
        <v>31.76161205</v>
      </c>
      <c r="AW1819" s="331">
        <f>SQRT(($R1819-Infrastructure!J$4)^2+($S1819-Infrastructure!K$4)^2)</f>
        <v>23.7421566</v>
      </c>
      <c r="AX1819" s="331">
        <f>SQRT(($R1819-Infrastructure!J$5)^2+($S1819-Infrastructure!K$5)^2)</f>
        <v>18.88597363</v>
      </c>
      <c r="AY1819" s="331">
        <f>SQRT(($R1819-Infrastructure!J$6)^2+($S1819-Infrastructure!K$6)^2)</f>
        <v>8.919641248</v>
      </c>
      <c r="AZ1819" s="331">
        <f>SQRT(($R1819-Infrastructure!J$7)^2+($S1819-Infrastructure!K$7)^2)</f>
        <v>3.605551275</v>
      </c>
      <c r="BA1819" s="331">
        <f>SQRT(($R1819-Infrastructure!J$8)^2+($S1819-Infrastructure!K$8)^2)</f>
        <v>11.98165264</v>
      </c>
      <c r="BB1819" s="331">
        <f>SQRT(($R1819-Infrastructure!J$9)^2+($S1819-Infrastructure!K$9)^2)</f>
        <v>21.57521726</v>
      </c>
      <c r="BC1819" s="331">
        <f>SQRT(($R1819-Infrastructure!J$10)^2+($S1819-Infrastructure!K$10)^2)</f>
        <v>24.47733646</v>
      </c>
      <c r="BD1819" s="331">
        <f>SQRT(($R1819-Infrastructure!J$11)^2+($S1819-Infrastructure!K$11)^2)</f>
        <v>33.63599263</v>
      </c>
      <c r="BE1819" s="333">
        <f>SQRT(($R1819-Infrastructure!J$12)^2+($S1819-Infrastructure!K$12)^2)</f>
        <v>52.28613583</v>
      </c>
      <c r="BF1819" s="330">
        <f t="shared" si="161"/>
        <v>3.605551275</v>
      </c>
      <c r="BG1819" s="333">
        <f t="shared" si="162"/>
        <v>52.28613583</v>
      </c>
      <c r="BH1819" s="1119"/>
      <c r="BI1819" s="319" t="str">
        <f t="shared" ref="BI1819:BR1819" si="489">IF(ISNUMBER(FIND(BI$3, $CO1819)), "Y", "")</f>
        <v/>
      </c>
      <c r="BJ1819" s="319" t="str">
        <f t="shared" si="489"/>
        <v/>
      </c>
      <c r="BK1819" s="319" t="str">
        <f t="shared" si="489"/>
        <v/>
      </c>
      <c r="BL1819" s="319" t="str">
        <f t="shared" si="489"/>
        <v/>
      </c>
      <c r="BM1819" s="319" t="str">
        <f t="shared" si="489"/>
        <v/>
      </c>
      <c r="BN1819" s="319" t="str">
        <f t="shared" si="489"/>
        <v/>
      </c>
      <c r="BO1819" s="319" t="str">
        <f t="shared" si="489"/>
        <v/>
      </c>
      <c r="BP1819" s="319" t="str">
        <f t="shared" si="489"/>
        <v/>
      </c>
      <c r="BQ1819" s="319" t="str">
        <f t="shared" si="489"/>
        <v/>
      </c>
      <c r="BR1819" s="319" t="str">
        <f t="shared" si="489"/>
        <v/>
      </c>
      <c r="BS1819" s="330">
        <f t="shared" si="185"/>
        <v>0</v>
      </c>
      <c r="BT1819" s="331">
        <f t="shared" si="170"/>
        <v>0</v>
      </c>
      <c r="BU1819" s="920"/>
      <c r="BV1819" s="903" t="str">
        <f t="shared" si="186"/>
        <v/>
      </c>
      <c r="BW1819" s="908"/>
      <c r="BX1819" s="908"/>
      <c r="BY1819" s="331" t="b">
        <f t="shared" si="201"/>
        <v>0</v>
      </c>
      <c r="BZ1819" s="331"/>
      <c r="CA1819" s="462" t="str">
        <f t="shared" ref="CA1819:CJ1819" si="490">IF(ISNUMBER(FIND(BI$3, $CP1819)), "Y", "")</f>
        <v>Y</v>
      </c>
      <c r="CB1819" s="319" t="str">
        <f t="shared" si="490"/>
        <v/>
      </c>
      <c r="CC1819" s="319" t="str">
        <f t="shared" si="490"/>
        <v>Y</v>
      </c>
      <c r="CD1819" s="319" t="str">
        <f t="shared" si="490"/>
        <v>Y</v>
      </c>
      <c r="CE1819" s="319" t="str">
        <f t="shared" si="490"/>
        <v>Y</v>
      </c>
      <c r="CF1819" s="319" t="str">
        <f t="shared" si="490"/>
        <v>Y</v>
      </c>
      <c r="CG1819" s="319" t="str">
        <f t="shared" si="490"/>
        <v>Y</v>
      </c>
      <c r="CH1819" s="319" t="str">
        <f t="shared" si="490"/>
        <v/>
      </c>
      <c r="CI1819" s="319" t="str">
        <f t="shared" si="490"/>
        <v/>
      </c>
      <c r="CJ1819" s="319" t="str">
        <f t="shared" si="490"/>
        <v/>
      </c>
      <c r="CK1819" s="342">
        <f t="shared" si="182"/>
        <v>3.605551275</v>
      </c>
      <c r="CL1819" s="333">
        <f t="shared" si="183"/>
        <v>31.76161205</v>
      </c>
      <c r="CM1819" s="1079" t="s">
        <v>2695</v>
      </c>
      <c r="CN1819" s="1005" t="s">
        <v>2696</v>
      </c>
      <c r="CO1819" s="1005"/>
      <c r="CP1819" s="1005" t="s">
        <v>2414</v>
      </c>
    </row>
    <row r="1820">
      <c r="A1820" s="266"/>
      <c r="B1820" s="1113" t="s">
        <v>2649</v>
      </c>
      <c r="C1820" s="1107">
        <v>45483.0</v>
      </c>
      <c r="D1820" s="1113" t="s">
        <v>986</v>
      </c>
      <c r="E1820" s="1108">
        <v>21.0</v>
      </c>
      <c r="F1820" s="112" t="s">
        <v>2699</v>
      </c>
      <c r="G1820" s="1110">
        <v>0.6178819444444444</v>
      </c>
      <c r="H1820" s="1110">
        <v>0.6185185185185185</v>
      </c>
      <c r="I1820" s="1110"/>
      <c r="J1820" s="1111"/>
      <c r="K1820" s="1111">
        <v>0.6581597222222222</v>
      </c>
      <c r="L1820" s="1112">
        <v>0.039641203703703706</v>
      </c>
      <c r="M1820" s="1113" t="s">
        <v>166</v>
      </c>
      <c r="N1820" s="110" t="s">
        <v>188</v>
      </c>
      <c r="O1820" s="1115" t="s">
        <v>378</v>
      </c>
      <c r="P1820" s="1115" t="s">
        <v>225</v>
      </c>
      <c r="Q1820" s="1115" t="s">
        <v>842</v>
      </c>
      <c r="R1820" s="120">
        <v>22.7</v>
      </c>
      <c r="S1820" s="1113">
        <v>39.7</v>
      </c>
      <c r="T1820" s="110">
        <v>1.1</v>
      </c>
      <c r="U1820" s="1108">
        <v>6.8</v>
      </c>
      <c r="V1820" s="1108"/>
      <c r="W1820" s="1108"/>
      <c r="X1820" s="1108"/>
      <c r="Y1820" s="1108"/>
      <c r="Z1820" s="1114" t="s">
        <v>1140</v>
      </c>
      <c r="AA1820" s="1114"/>
      <c r="AB1820" s="1114" t="s">
        <v>407</v>
      </c>
      <c r="AC1820" s="1117">
        <v>15.75</v>
      </c>
      <c r="AD1820" s="1115"/>
      <c r="AE1820" s="1115"/>
      <c r="AF1820" s="1115"/>
      <c r="AG1820" s="1115"/>
      <c r="AH1820" s="1115"/>
      <c r="AI1820" s="1115"/>
      <c r="AJ1820" s="1117"/>
      <c r="AK1820" s="1118"/>
      <c r="AL1820" s="1115"/>
      <c r="AM1820" s="1115"/>
      <c r="AN1820" s="1115"/>
      <c r="AO1820" s="1115"/>
      <c r="AP1820" s="1115"/>
      <c r="AQ1820" s="1115"/>
      <c r="AR1820" s="1115"/>
      <c r="AS1820" s="1117"/>
      <c r="AT1820" s="1196" t="str">
        <f t="shared" si="428"/>
        <v>1-10</v>
      </c>
      <c r="AU1820" s="1193"/>
      <c r="AV1820" s="330">
        <f>SQRT(($R1820-Infrastructure!J$3)^2+($S1820-Infrastructure!K$3)^2)</f>
        <v>25.40944706</v>
      </c>
      <c r="AW1820" s="331">
        <f>SQRT(($R1820-Infrastructure!J$4)^2+($S1820-Infrastructure!K$4)^2)</f>
        <v>31.75862088</v>
      </c>
      <c r="AX1820" s="331">
        <f>SQRT(($R1820-Infrastructure!J$5)^2+($S1820-Infrastructure!K$5)^2)</f>
        <v>41.54708173</v>
      </c>
      <c r="AY1820" s="331">
        <f>SQRT(($R1820-Infrastructure!J$6)^2+($S1820-Infrastructure!K$6)^2)</f>
        <v>41.36568626</v>
      </c>
      <c r="AZ1820" s="331">
        <f>SQRT(($R1820-Infrastructure!J$7)^2+($S1820-Infrastructure!K$7)^2)</f>
        <v>39.46137352</v>
      </c>
      <c r="BA1820" s="331">
        <f>SQRT(($R1820-Infrastructure!J$8)^2+($S1820-Infrastructure!K$8)^2)</f>
        <v>40.08890121</v>
      </c>
      <c r="BB1820" s="331">
        <f>SQRT(($R1820-Infrastructure!J$9)^2+($S1820-Infrastructure!K$9)^2)</f>
        <v>38.68397601</v>
      </c>
      <c r="BC1820" s="331">
        <f>SQRT(($R1820-Infrastructure!J$10)^2+($S1820-Infrastructure!K$10)^2)</f>
        <v>30.15592811</v>
      </c>
      <c r="BD1820" s="331">
        <f>SQRT(($R1820-Infrastructure!J$11)^2+($S1820-Infrastructure!K$11)^2)</f>
        <v>20.51194774</v>
      </c>
      <c r="BE1820" s="333">
        <f>SQRT(($R1820-Infrastructure!J$12)^2+($S1820-Infrastructure!K$12)^2)</f>
        <v>15.84550409</v>
      </c>
      <c r="BF1820" s="330">
        <f t="shared" si="161"/>
        <v>15.84550409</v>
      </c>
      <c r="BG1820" s="333">
        <f t="shared" si="162"/>
        <v>41.54708173</v>
      </c>
      <c r="BH1820" s="1119"/>
      <c r="BI1820" s="319" t="str">
        <f t="shared" ref="BI1820:BR1820" si="491">IF(ISNUMBER(FIND(BI$3, $CO1820)), "Y", "")</f>
        <v>Y</v>
      </c>
      <c r="BJ1820" s="319" t="str">
        <f t="shared" si="491"/>
        <v>Y</v>
      </c>
      <c r="BK1820" s="319" t="str">
        <f t="shared" si="491"/>
        <v>Y</v>
      </c>
      <c r="BL1820" s="319" t="str">
        <f t="shared" si="491"/>
        <v/>
      </c>
      <c r="BM1820" s="319" t="str">
        <f t="shared" si="491"/>
        <v>Y</v>
      </c>
      <c r="BN1820" s="319" t="str">
        <f t="shared" si="491"/>
        <v>Y</v>
      </c>
      <c r="BO1820" s="319" t="str">
        <f t="shared" si="491"/>
        <v>Y</v>
      </c>
      <c r="BP1820" s="319" t="str">
        <f t="shared" si="491"/>
        <v/>
      </c>
      <c r="BQ1820" s="319" t="str">
        <f t="shared" si="491"/>
        <v>Y</v>
      </c>
      <c r="BR1820" s="319" t="str">
        <f t="shared" si="491"/>
        <v>Y</v>
      </c>
      <c r="BS1820" s="330">
        <f t="shared" si="185"/>
        <v>15.84550409</v>
      </c>
      <c r="BT1820" s="331">
        <f t="shared" si="170"/>
        <v>41.54708173</v>
      </c>
      <c r="BU1820" s="920">
        <v>0.6461342592592593</v>
      </c>
      <c r="BV1820" s="903">
        <f t="shared" si="186"/>
        <v>0.02825231481</v>
      </c>
      <c r="BW1820" s="908">
        <v>14.4</v>
      </c>
      <c r="BX1820" s="908">
        <v>42.5</v>
      </c>
      <c r="BY1820" s="331">
        <f t="shared" si="201"/>
        <v>8.759566199</v>
      </c>
      <c r="BZ1820" s="331"/>
      <c r="CA1820" s="462" t="str">
        <f t="shared" ref="CA1820:CJ1820" si="492">IF(ISNUMBER(FIND(BI$3, $CP1820)), "Y", "")</f>
        <v>Y</v>
      </c>
      <c r="CB1820" s="319" t="str">
        <f t="shared" si="492"/>
        <v>Y</v>
      </c>
      <c r="CC1820" s="319" t="str">
        <f t="shared" si="492"/>
        <v>Y</v>
      </c>
      <c r="CD1820" s="319" t="str">
        <f t="shared" si="492"/>
        <v>Y</v>
      </c>
      <c r="CE1820" s="319" t="str">
        <f t="shared" si="492"/>
        <v>Y</v>
      </c>
      <c r="CF1820" s="319" t="str">
        <f t="shared" si="492"/>
        <v>Y</v>
      </c>
      <c r="CG1820" s="319" t="str">
        <f t="shared" si="492"/>
        <v>Y</v>
      </c>
      <c r="CH1820" s="319" t="str">
        <f t="shared" si="492"/>
        <v/>
      </c>
      <c r="CI1820" s="319" t="str">
        <f t="shared" si="492"/>
        <v>Y</v>
      </c>
      <c r="CJ1820" s="319" t="str">
        <f t="shared" si="492"/>
        <v>Y</v>
      </c>
      <c r="CK1820" s="342">
        <f t="shared" si="182"/>
        <v>15.84550409</v>
      </c>
      <c r="CL1820" s="333">
        <f t="shared" si="183"/>
        <v>41.54708173</v>
      </c>
      <c r="CM1820" s="1079" t="s">
        <v>2418</v>
      </c>
      <c r="CN1820" s="1005" t="s">
        <v>2696</v>
      </c>
      <c r="CO1820" s="1005" t="s">
        <v>2700</v>
      </c>
      <c r="CP1820" s="1005" t="s">
        <v>2400</v>
      </c>
    </row>
    <row r="1821">
      <c r="A1821" s="266"/>
      <c r="B1821" s="1113" t="s">
        <v>2649</v>
      </c>
      <c r="C1821" s="1107">
        <v>45483.0</v>
      </c>
      <c r="D1821" s="1113" t="s">
        <v>986</v>
      </c>
      <c r="E1821" s="1108" t="s">
        <v>2701</v>
      </c>
      <c r="F1821" s="112" t="s">
        <v>2702</v>
      </c>
      <c r="G1821" s="1110">
        <v>0.6590277777777778</v>
      </c>
      <c r="H1821" s="1110">
        <v>0.6600694444444445</v>
      </c>
      <c r="I1821" s="1110"/>
      <c r="J1821" s="1111"/>
      <c r="K1821" s="1111">
        <v>0.6872685185185186</v>
      </c>
      <c r="L1821" s="1112">
        <v>0.027199074074074073</v>
      </c>
      <c r="M1821" s="1113" t="s">
        <v>166</v>
      </c>
      <c r="N1821" s="110" t="s">
        <v>188</v>
      </c>
      <c r="O1821" s="1115" t="s">
        <v>378</v>
      </c>
      <c r="P1821" s="1115" t="s">
        <v>225</v>
      </c>
      <c r="Q1821" s="1115" t="s">
        <v>842</v>
      </c>
      <c r="R1821" s="120">
        <v>22.7</v>
      </c>
      <c r="S1821" s="1113">
        <v>39.7</v>
      </c>
      <c r="T1821" s="110">
        <v>1.1</v>
      </c>
      <c r="U1821" s="1108">
        <v>3.4</v>
      </c>
      <c r="V1821" s="1108"/>
      <c r="W1821" s="1108"/>
      <c r="X1821" s="1108"/>
      <c r="Y1821" s="1108"/>
      <c r="Z1821" s="1114" t="s">
        <v>1140</v>
      </c>
      <c r="AA1821" s="1114"/>
      <c r="AB1821" s="1114" t="s">
        <v>407</v>
      </c>
      <c r="AC1821" s="1117">
        <v>15.75</v>
      </c>
      <c r="AD1821" s="1115"/>
      <c r="AE1821" s="1115"/>
      <c r="AF1821" s="1115"/>
      <c r="AG1821" s="1115"/>
      <c r="AH1821" s="1115"/>
      <c r="AI1821" s="1115"/>
      <c r="AJ1821" s="1117"/>
      <c r="AK1821" s="1118"/>
      <c r="AL1821" s="1115"/>
      <c r="AM1821" s="1115"/>
      <c r="AN1821" s="1115"/>
      <c r="AO1821" s="1115"/>
      <c r="AP1821" s="1115"/>
      <c r="AQ1821" s="1115"/>
      <c r="AR1821" s="1115"/>
      <c r="AS1821" s="1117"/>
      <c r="AT1821" s="1196" t="str">
        <f t="shared" si="428"/>
        <v>1-10</v>
      </c>
      <c r="AU1821" s="1193"/>
      <c r="AV1821" s="330">
        <f>SQRT(($R1821-Infrastructure!J$3)^2+($S1821-Infrastructure!K$3)^2)</f>
        <v>25.40944706</v>
      </c>
      <c r="AW1821" s="331">
        <f>SQRT(($R1821-Infrastructure!J$4)^2+($S1821-Infrastructure!K$4)^2)</f>
        <v>31.75862088</v>
      </c>
      <c r="AX1821" s="331">
        <f>SQRT(($R1821-Infrastructure!J$5)^2+($S1821-Infrastructure!K$5)^2)</f>
        <v>41.54708173</v>
      </c>
      <c r="AY1821" s="331">
        <f>SQRT(($R1821-Infrastructure!J$6)^2+($S1821-Infrastructure!K$6)^2)</f>
        <v>41.36568626</v>
      </c>
      <c r="AZ1821" s="331">
        <f>SQRT(($R1821-Infrastructure!J$7)^2+($S1821-Infrastructure!K$7)^2)</f>
        <v>39.46137352</v>
      </c>
      <c r="BA1821" s="331">
        <f>SQRT(($R1821-Infrastructure!J$8)^2+($S1821-Infrastructure!K$8)^2)</f>
        <v>40.08890121</v>
      </c>
      <c r="BB1821" s="331">
        <f>SQRT(($R1821-Infrastructure!J$9)^2+($S1821-Infrastructure!K$9)^2)</f>
        <v>38.68397601</v>
      </c>
      <c r="BC1821" s="331">
        <f>SQRT(($R1821-Infrastructure!J$10)^2+($S1821-Infrastructure!K$10)^2)</f>
        <v>30.15592811</v>
      </c>
      <c r="BD1821" s="331">
        <f>SQRT(($R1821-Infrastructure!J$11)^2+($S1821-Infrastructure!K$11)^2)</f>
        <v>20.51194774</v>
      </c>
      <c r="BE1821" s="333">
        <f>SQRT(($R1821-Infrastructure!J$12)^2+($S1821-Infrastructure!K$12)^2)</f>
        <v>15.84550409</v>
      </c>
      <c r="BF1821" s="330">
        <f t="shared" si="161"/>
        <v>15.84550409</v>
      </c>
      <c r="BG1821" s="333">
        <f t="shared" si="162"/>
        <v>41.54708173</v>
      </c>
      <c r="BH1821" s="1119"/>
      <c r="BI1821" s="319" t="str">
        <f t="shared" ref="BI1821:BR1821" si="493">IF(ISNUMBER(FIND(BI$3, $CO1821)), "Y", "")</f>
        <v/>
      </c>
      <c r="BJ1821" s="319" t="str">
        <f t="shared" si="493"/>
        <v/>
      </c>
      <c r="BK1821" s="319" t="str">
        <f t="shared" si="493"/>
        <v>Y</v>
      </c>
      <c r="BL1821" s="319" t="str">
        <f t="shared" si="493"/>
        <v>Y</v>
      </c>
      <c r="BM1821" s="319" t="str">
        <f t="shared" si="493"/>
        <v>Y</v>
      </c>
      <c r="BN1821" s="319" t="str">
        <f t="shared" si="493"/>
        <v>Y</v>
      </c>
      <c r="BO1821" s="319" t="str">
        <f t="shared" si="493"/>
        <v>Y</v>
      </c>
      <c r="BP1821" s="319" t="str">
        <f t="shared" si="493"/>
        <v/>
      </c>
      <c r="BQ1821" s="319" t="str">
        <f t="shared" si="493"/>
        <v>Y</v>
      </c>
      <c r="BR1821" s="319" t="str">
        <f t="shared" si="493"/>
        <v>Y</v>
      </c>
      <c r="BS1821" s="330">
        <f t="shared" si="185"/>
        <v>15.84550409</v>
      </c>
      <c r="BT1821" s="331">
        <f t="shared" si="170"/>
        <v>41.54708173</v>
      </c>
      <c r="BU1821" s="920">
        <v>0.6595833333333333</v>
      </c>
      <c r="BV1821" s="903">
        <f t="shared" si="186"/>
        <v>0.0005555555556</v>
      </c>
      <c r="BW1821" s="908">
        <v>13.9</v>
      </c>
      <c r="BX1821" s="908">
        <v>25.2</v>
      </c>
      <c r="BY1821" s="331">
        <f t="shared" si="201"/>
        <v>16.96142683</v>
      </c>
      <c r="BZ1821" s="331"/>
      <c r="CA1821" s="462" t="str">
        <f t="shared" ref="CA1821:CJ1821" si="494">IF(ISNUMBER(FIND(BI$3, $CP1821)), "Y", "")</f>
        <v>Y</v>
      </c>
      <c r="CB1821" s="319" t="str">
        <f t="shared" si="494"/>
        <v>Y</v>
      </c>
      <c r="CC1821" s="319" t="str">
        <f t="shared" si="494"/>
        <v>Y</v>
      </c>
      <c r="CD1821" s="319" t="str">
        <f t="shared" si="494"/>
        <v>Y</v>
      </c>
      <c r="CE1821" s="319" t="str">
        <f t="shared" si="494"/>
        <v>Y</v>
      </c>
      <c r="CF1821" s="319" t="str">
        <f t="shared" si="494"/>
        <v>Y</v>
      </c>
      <c r="CG1821" s="319" t="str">
        <f t="shared" si="494"/>
        <v>Y</v>
      </c>
      <c r="CH1821" s="319" t="str">
        <f t="shared" si="494"/>
        <v/>
      </c>
      <c r="CI1821" s="319" t="str">
        <f t="shared" si="494"/>
        <v>Y</v>
      </c>
      <c r="CJ1821" s="319" t="str">
        <f t="shared" si="494"/>
        <v>Y</v>
      </c>
      <c r="CK1821" s="342">
        <f t="shared" si="182"/>
        <v>15.84550409</v>
      </c>
      <c r="CL1821" s="333">
        <f t="shared" si="183"/>
        <v>41.54708173</v>
      </c>
      <c r="CM1821" s="1079" t="s">
        <v>2418</v>
      </c>
      <c r="CN1821" s="1005" t="s">
        <v>2696</v>
      </c>
      <c r="CO1821" s="1005" t="s">
        <v>2703</v>
      </c>
      <c r="CP1821" s="1005" t="s">
        <v>2400</v>
      </c>
    </row>
    <row r="1822">
      <c r="A1822" s="266"/>
      <c r="B1822" s="1113" t="s">
        <v>2649</v>
      </c>
      <c r="C1822" s="1107">
        <v>45483.0</v>
      </c>
      <c r="D1822" s="1113" t="s">
        <v>986</v>
      </c>
      <c r="E1822" s="1108" t="s">
        <v>2704</v>
      </c>
      <c r="F1822" s="112" t="s">
        <v>2705</v>
      </c>
      <c r="G1822" s="1110">
        <v>0.6590856481481482</v>
      </c>
      <c r="H1822" s="1110">
        <v>0.6601273148148148</v>
      </c>
      <c r="I1822" s="1110"/>
      <c r="J1822" s="1111"/>
      <c r="K1822" s="1111">
        <v>0.6871527777777777</v>
      </c>
      <c r="L1822" s="1112">
        <v>0.027025462962962963</v>
      </c>
      <c r="M1822" s="1113" t="s">
        <v>166</v>
      </c>
      <c r="N1822" s="110" t="s">
        <v>187</v>
      </c>
      <c r="O1822" s="1115" t="s">
        <v>198</v>
      </c>
      <c r="P1822" s="1115" t="s">
        <v>213</v>
      </c>
      <c r="Q1822" s="1115" t="s">
        <v>842</v>
      </c>
      <c r="R1822" s="120">
        <v>10.7</v>
      </c>
      <c r="S1822" s="1113">
        <v>10.9</v>
      </c>
      <c r="T1822" s="110">
        <v>3.0</v>
      </c>
      <c r="U1822" s="1108">
        <v>1.7</v>
      </c>
      <c r="V1822" s="1108"/>
      <c r="W1822" s="1108"/>
      <c r="X1822" s="1108"/>
      <c r="Y1822" s="1108"/>
      <c r="Z1822" s="1114" t="s">
        <v>343</v>
      </c>
      <c r="AA1822" s="1114"/>
      <c r="AB1822" s="1114" t="s">
        <v>384</v>
      </c>
      <c r="AC1822" s="1117">
        <v>6.0</v>
      </c>
      <c r="AD1822" s="1115"/>
      <c r="AE1822" s="1115"/>
      <c r="AF1822" s="1115"/>
      <c r="AG1822" s="1115"/>
      <c r="AH1822" s="1115"/>
      <c r="AI1822" s="1115"/>
      <c r="AJ1822" s="1117"/>
      <c r="AK1822" s="1118"/>
      <c r="AL1822" s="1115"/>
      <c r="AM1822" s="1115"/>
      <c r="AN1822" s="1115"/>
      <c r="AO1822" s="1115"/>
      <c r="AP1822" s="1115"/>
      <c r="AQ1822" s="1115"/>
      <c r="AR1822" s="1115"/>
      <c r="AS1822" s="1117"/>
      <c r="AT1822" s="1196" t="str">
        <f t="shared" si="428"/>
        <v>1-10</v>
      </c>
      <c r="AU1822" s="1193"/>
      <c r="AV1822" s="330">
        <f>SQRT(($R1822-Infrastructure!J$3)^2+($S1822-Infrastructure!K$3)^2)</f>
        <v>21.09502311</v>
      </c>
      <c r="AW1822" s="331">
        <f>SQRT(($R1822-Infrastructure!J$4)^2+($S1822-Infrastructure!K$4)^2)</f>
        <v>12.98499134</v>
      </c>
      <c r="AX1822" s="331">
        <f>SQRT(($R1822-Infrastructure!J$5)^2+($S1822-Infrastructure!K$5)^2)</f>
        <v>12.43543325</v>
      </c>
      <c r="AY1822" s="331">
        <f>SQRT(($R1822-Infrastructure!J$6)^2+($S1822-Infrastructure!K$6)^2)</f>
        <v>10.61696755</v>
      </c>
      <c r="AZ1822" s="331">
        <f>SQRT(($R1822-Infrastructure!J$7)^2+($S1822-Infrastructure!K$7)^2)</f>
        <v>14.43606595</v>
      </c>
      <c r="BA1822" s="331">
        <f>SQRT(($R1822-Infrastructure!J$8)^2+($S1822-Infrastructure!K$8)^2)</f>
        <v>22.10701246</v>
      </c>
      <c r="BB1822" s="331">
        <f>SQRT(($R1822-Infrastructure!J$9)^2+($S1822-Infrastructure!K$9)^2)</f>
        <v>29.86854533</v>
      </c>
      <c r="BC1822" s="331">
        <f>SQRT(($R1822-Infrastructure!J$10)^2+($S1822-Infrastructure!K$10)^2)</f>
        <v>29.58546941</v>
      </c>
      <c r="BD1822" s="331">
        <f>SQRT(($R1822-Infrastructure!J$11)^2+($S1822-Infrastructure!K$11)^2)</f>
        <v>34.61011413</v>
      </c>
      <c r="BE1822" s="333">
        <f>SQRT(($R1822-Infrastructure!J$12)^2+($S1822-Infrastructure!K$12)^2)</f>
        <v>45.8889965</v>
      </c>
      <c r="BF1822" s="330">
        <f t="shared" si="161"/>
        <v>10.61696755</v>
      </c>
      <c r="BG1822" s="333">
        <f t="shared" si="162"/>
        <v>45.8889965</v>
      </c>
      <c r="BH1822" s="1119"/>
      <c r="BI1822" s="319" t="str">
        <f t="shared" ref="BI1822:BR1822" si="495">IF(ISNUMBER(FIND(BI$3, $CO1822)), "Y", "")</f>
        <v/>
      </c>
      <c r="BJ1822" s="319" t="str">
        <f t="shared" si="495"/>
        <v/>
      </c>
      <c r="BK1822" s="319" t="str">
        <f t="shared" si="495"/>
        <v>Y</v>
      </c>
      <c r="BL1822" s="319" t="str">
        <f t="shared" si="495"/>
        <v>Y</v>
      </c>
      <c r="BM1822" s="319" t="str">
        <f t="shared" si="495"/>
        <v>Y</v>
      </c>
      <c r="BN1822" s="319" t="str">
        <f t="shared" si="495"/>
        <v>Y</v>
      </c>
      <c r="BO1822" s="319" t="str">
        <f t="shared" si="495"/>
        <v>Y</v>
      </c>
      <c r="BP1822" s="319" t="str">
        <f t="shared" si="495"/>
        <v/>
      </c>
      <c r="BQ1822" s="319" t="str">
        <f t="shared" si="495"/>
        <v>Y</v>
      </c>
      <c r="BR1822" s="319" t="str">
        <f t="shared" si="495"/>
        <v>Y</v>
      </c>
      <c r="BS1822" s="330">
        <f t="shared" si="185"/>
        <v>10.61696755</v>
      </c>
      <c r="BT1822" s="331">
        <f t="shared" si="170"/>
        <v>45.8889965</v>
      </c>
      <c r="BU1822" s="920">
        <v>0.6595833333333333</v>
      </c>
      <c r="BV1822" s="903">
        <f t="shared" si="186"/>
        <v>0.0004976851852</v>
      </c>
      <c r="BW1822" s="908">
        <v>13.9</v>
      </c>
      <c r="BX1822" s="908">
        <v>25.2</v>
      </c>
      <c r="BY1822" s="331">
        <f t="shared" si="201"/>
        <v>14.65366848</v>
      </c>
      <c r="BZ1822" s="331"/>
      <c r="CA1822" s="462" t="str">
        <f t="shared" ref="CA1822:CJ1822" si="496">IF(ISNUMBER(FIND(BI$3, $CP1822)), "Y", "")</f>
        <v>Y</v>
      </c>
      <c r="CB1822" s="319" t="str">
        <f t="shared" si="496"/>
        <v>Y</v>
      </c>
      <c r="CC1822" s="319" t="str">
        <f t="shared" si="496"/>
        <v>Y</v>
      </c>
      <c r="CD1822" s="319" t="str">
        <f t="shared" si="496"/>
        <v>Y</v>
      </c>
      <c r="CE1822" s="319" t="str">
        <f t="shared" si="496"/>
        <v>Y</v>
      </c>
      <c r="CF1822" s="319" t="str">
        <f t="shared" si="496"/>
        <v>Y</v>
      </c>
      <c r="CG1822" s="319" t="str">
        <f t="shared" si="496"/>
        <v>Y</v>
      </c>
      <c r="CH1822" s="319" t="str">
        <f t="shared" si="496"/>
        <v/>
      </c>
      <c r="CI1822" s="319" t="str">
        <f t="shared" si="496"/>
        <v>Y</v>
      </c>
      <c r="CJ1822" s="319" t="str">
        <f t="shared" si="496"/>
        <v>Y</v>
      </c>
      <c r="CK1822" s="342">
        <f t="shared" si="182"/>
        <v>10.61696755</v>
      </c>
      <c r="CL1822" s="333">
        <f t="shared" si="183"/>
        <v>45.8889965</v>
      </c>
      <c r="CM1822" s="1079" t="s">
        <v>2418</v>
      </c>
      <c r="CN1822" s="1005" t="s">
        <v>2696</v>
      </c>
      <c r="CO1822" s="1005" t="s">
        <v>2703</v>
      </c>
      <c r="CP1822" s="1005" t="s">
        <v>2400</v>
      </c>
    </row>
    <row r="1823">
      <c r="A1823" s="266"/>
      <c r="B1823" s="1113" t="s">
        <v>2649</v>
      </c>
      <c r="C1823" s="1107">
        <v>45483.0</v>
      </c>
      <c r="D1823" s="1113" t="s">
        <v>986</v>
      </c>
      <c r="E1823" s="1108" t="s">
        <v>2706</v>
      </c>
      <c r="F1823" s="112" t="s">
        <v>2707</v>
      </c>
      <c r="G1823" s="1110">
        <v>0.6591435185185185</v>
      </c>
      <c r="H1823" s="1110">
        <v>0.6602430555555555</v>
      </c>
      <c r="I1823" s="1110"/>
      <c r="J1823" s="1111"/>
      <c r="K1823" s="1111">
        <v>0.6871527777777777</v>
      </c>
      <c r="L1823" s="1112">
        <v>0.026909722222222224</v>
      </c>
      <c r="M1823" s="1113" t="s">
        <v>166</v>
      </c>
      <c r="N1823" s="110" t="s">
        <v>187</v>
      </c>
      <c r="O1823" s="1115" t="s">
        <v>206</v>
      </c>
      <c r="P1823" s="1115" t="s">
        <v>223</v>
      </c>
      <c r="Q1823" s="1115" t="s">
        <v>842</v>
      </c>
      <c r="R1823" s="120">
        <v>21.8</v>
      </c>
      <c r="S1823" s="1113">
        <v>7.4</v>
      </c>
      <c r="T1823" s="110">
        <v>0.4</v>
      </c>
      <c r="U1823" s="1108">
        <v>1.7</v>
      </c>
      <c r="V1823" s="1108"/>
      <c r="W1823" s="1108"/>
      <c r="X1823" s="1108"/>
      <c r="Y1823" s="1108"/>
      <c r="Z1823" s="1114" t="s">
        <v>347</v>
      </c>
      <c r="AA1823" s="1114"/>
      <c r="AB1823" s="1114" t="s">
        <v>384</v>
      </c>
      <c r="AC1823" s="1117">
        <v>6.0</v>
      </c>
      <c r="AD1823" s="1115"/>
      <c r="AE1823" s="1115"/>
      <c r="AF1823" s="1115"/>
      <c r="AG1823" s="1115"/>
      <c r="AH1823" s="1115"/>
      <c r="AI1823" s="1115"/>
      <c r="AJ1823" s="1117"/>
      <c r="AK1823" s="1118"/>
      <c r="AL1823" s="1115"/>
      <c r="AM1823" s="1115"/>
      <c r="AN1823" s="1115"/>
      <c r="AO1823" s="1115"/>
      <c r="AP1823" s="1115"/>
      <c r="AQ1823" s="1115"/>
      <c r="AR1823" s="1115"/>
      <c r="AS1823" s="1117"/>
      <c r="AT1823" s="1196" t="str">
        <f t="shared" si="428"/>
        <v>1-10</v>
      </c>
      <c r="AU1823" s="1193"/>
      <c r="AV1823" s="330">
        <f>SQRT(($R1823-Infrastructure!J$3)^2+($S1823-Infrastructure!K$3)^2)</f>
        <v>30.83277477</v>
      </c>
      <c r="AW1823" s="331">
        <f>SQRT(($R1823-Infrastructure!J$4)^2+($S1823-Infrastructure!K$4)^2)</f>
        <v>24.4247825</v>
      </c>
      <c r="AX1823" s="331">
        <f>SQRT(($R1823-Infrastructure!J$5)^2+($S1823-Infrastructure!K$5)^2)</f>
        <v>22.21936093</v>
      </c>
      <c r="AY1823" s="331">
        <f>SQRT(($R1823-Infrastructure!J$6)^2+($S1823-Infrastructure!K$6)^2)</f>
        <v>13.68575902</v>
      </c>
      <c r="AZ1823" s="331">
        <f>SQRT(($R1823-Infrastructure!J$7)^2+($S1823-Infrastructure!K$7)^2)</f>
        <v>7.218032973</v>
      </c>
      <c r="BA1823" s="331">
        <f>SQRT(($R1823-Infrastructure!J$8)^2+($S1823-Infrastructure!K$8)^2)</f>
        <v>10.92245394</v>
      </c>
      <c r="BB1823" s="331">
        <f>SQRT(($R1823-Infrastructure!J$9)^2+($S1823-Infrastructure!K$9)^2)</f>
        <v>18.34475402</v>
      </c>
      <c r="BC1823" s="331">
        <f>SQRT(($R1823-Infrastructure!J$10)^2+($S1823-Infrastructure!K$10)^2)</f>
        <v>19.72308292</v>
      </c>
      <c r="BD1823" s="331">
        <f>SQRT(($R1823-Infrastructure!J$11)^2+($S1823-Infrastructure!K$11)^2)</f>
        <v>28.37463656</v>
      </c>
      <c r="BE1823" s="333">
        <f>SQRT(($R1823-Infrastructure!J$12)^2+($S1823-Infrastructure!K$12)^2)</f>
        <v>48.10093554</v>
      </c>
      <c r="BF1823" s="330">
        <f t="shared" si="161"/>
        <v>7.218032973</v>
      </c>
      <c r="BG1823" s="333">
        <f t="shared" si="162"/>
        <v>48.10093554</v>
      </c>
      <c r="BH1823" s="1119"/>
      <c r="BI1823" s="319" t="str">
        <f t="shared" ref="BI1823:BR1823" si="497">IF(ISNUMBER(FIND(BI$3, $CO1823)), "Y", "")</f>
        <v/>
      </c>
      <c r="BJ1823" s="319" t="str">
        <f t="shared" si="497"/>
        <v/>
      </c>
      <c r="BK1823" s="319" t="str">
        <f t="shared" si="497"/>
        <v>Y</v>
      </c>
      <c r="BL1823" s="319" t="str">
        <f t="shared" si="497"/>
        <v>Y</v>
      </c>
      <c r="BM1823" s="319" t="str">
        <f t="shared" si="497"/>
        <v>Y</v>
      </c>
      <c r="BN1823" s="319" t="str">
        <f t="shared" si="497"/>
        <v>Y</v>
      </c>
      <c r="BO1823" s="319" t="str">
        <f t="shared" si="497"/>
        <v>Y</v>
      </c>
      <c r="BP1823" s="319" t="str">
        <f t="shared" si="497"/>
        <v/>
      </c>
      <c r="BQ1823" s="319" t="str">
        <f t="shared" si="497"/>
        <v>Y</v>
      </c>
      <c r="BR1823" s="319" t="str">
        <f t="shared" si="497"/>
        <v>Y</v>
      </c>
      <c r="BS1823" s="330">
        <f t="shared" si="185"/>
        <v>7.218032973</v>
      </c>
      <c r="BT1823" s="331">
        <f t="shared" si="170"/>
        <v>48.10093554</v>
      </c>
      <c r="BU1823" s="920">
        <v>0.6595833333333333</v>
      </c>
      <c r="BV1823" s="903">
        <f t="shared" si="186"/>
        <v>0.0004398148148</v>
      </c>
      <c r="BW1823" s="908">
        <v>13.9</v>
      </c>
      <c r="BX1823" s="908">
        <v>25.2</v>
      </c>
      <c r="BY1823" s="331">
        <f t="shared" si="201"/>
        <v>19.47434209</v>
      </c>
      <c r="BZ1823" s="331"/>
      <c r="CA1823" s="462" t="str">
        <f t="shared" ref="CA1823:CJ1823" si="498">IF(ISNUMBER(FIND(BI$3, $CP1823)), "Y", "")</f>
        <v>Y</v>
      </c>
      <c r="CB1823" s="319" t="str">
        <f t="shared" si="498"/>
        <v>Y</v>
      </c>
      <c r="CC1823" s="319" t="str">
        <f t="shared" si="498"/>
        <v>Y</v>
      </c>
      <c r="CD1823" s="319" t="str">
        <f t="shared" si="498"/>
        <v>Y</v>
      </c>
      <c r="CE1823" s="319" t="str">
        <f t="shared" si="498"/>
        <v>Y</v>
      </c>
      <c r="CF1823" s="319" t="str">
        <f t="shared" si="498"/>
        <v>Y</v>
      </c>
      <c r="CG1823" s="319" t="str">
        <f t="shared" si="498"/>
        <v>Y</v>
      </c>
      <c r="CH1823" s="319" t="str">
        <f t="shared" si="498"/>
        <v/>
      </c>
      <c r="CI1823" s="319" t="str">
        <f t="shared" si="498"/>
        <v>Y</v>
      </c>
      <c r="CJ1823" s="319" t="str">
        <f t="shared" si="498"/>
        <v>Y</v>
      </c>
      <c r="CK1823" s="342">
        <f t="shared" si="182"/>
        <v>7.218032973</v>
      </c>
      <c r="CL1823" s="333">
        <f t="shared" si="183"/>
        <v>48.10093554</v>
      </c>
      <c r="CM1823" s="1079" t="s">
        <v>2418</v>
      </c>
      <c r="CN1823" s="1005" t="s">
        <v>2696</v>
      </c>
      <c r="CO1823" s="1005" t="s">
        <v>2703</v>
      </c>
      <c r="CP1823" s="1005" t="s">
        <v>2400</v>
      </c>
    </row>
    <row r="1824">
      <c r="A1824" s="266"/>
      <c r="B1824" s="1113" t="s">
        <v>2649</v>
      </c>
      <c r="C1824" s="1107">
        <v>45483.0</v>
      </c>
      <c r="D1824" s="1113" t="s">
        <v>986</v>
      </c>
      <c r="E1824" s="1108" t="s">
        <v>2708</v>
      </c>
      <c r="F1824" s="112" t="s">
        <v>2709</v>
      </c>
      <c r="G1824" s="1110">
        <v>0.6977430555555556</v>
      </c>
      <c r="H1824" s="1110">
        <v>0.6986111111111111</v>
      </c>
      <c r="I1824" s="1110"/>
      <c r="J1824" s="1111"/>
      <c r="K1824" s="1111">
        <v>0.7355902777777777</v>
      </c>
      <c r="L1824" s="1112">
        <v>0.03697916666666667</v>
      </c>
      <c r="M1824" s="1113" t="s">
        <v>166</v>
      </c>
      <c r="N1824" s="110" t="s">
        <v>188</v>
      </c>
      <c r="O1824" s="1115" t="s">
        <v>378</v>
      </c>
      <c r="P1824" s="1115" t="s">
        <v>225</v>
      </c>
      <c r="Q1824" s="1115" t="s">
        <v>842</v>
      </c>
      <c r="R1824" s="120">
        <v>22.7</v>
      </c>
      <c r="S1824" s="1113">
        <v>39.7</v>
      </c>
      <c r="T1824" s="110">
        <v>1.1</v>
      </c>
      <c r="U1824" s="1108">
        <v>1.389</v>
      </c>
      <c r="V1824" s="1108"/>
      <c r="W1824" s="1108"/>
      <c r="X1824" s="1108"/>
      <c r="Y1824" s="1108"/>
      <c r="Z1824" s="1114" t="s">
        <v>1221</v>
      </c>
      <c r="AA1824" s="1114"/>
      <c r="AB1824" s="1114" t="s">
        <v>403</v>
      </c>
      <c r="AC1824" s="1117">
        <v>8.0</v>
      </c>
      <c r="AD1824" s="1115"/>
      <c r="AE1824" s="1115"/>
      <c r="AF1824" s="1115"/>
      <c r="AG1824" s="1115"/>
      <c r="AH1824" s="1115"/>
      <c r="AI1824" s="1115"/>
      <c r="AJ1824" s="1117"/>
      <c r="AK1824" s="1118"/>
      <c r="AL1824" s="1115"/>
      <c r="AM1824" s="1115"/>
      <c r="AN1824" s="1115"/>
      <c r="AO1824" s="1115"/>
      <c r="AP1824" s="1115"/>
      <c r="AQ1824" s="1115"/>
      <c r="AR1824" s="1115"/>
      <c r="AS1824" s="1117"/>
      <c r="AT1824" s="1196" t="str">
        <f t="shared" si="428"/>
        <v>1-10</v>
      </c>
      <c r="AU1824" s="1193"/>
      <c r="AV1824" s="330">
        <f>SQRT(($R1824-Infrastructure!J$3)^2+($S1824-Infrastructure!K$3)^2)</f>
        <v>25.40944706</v>
      </c>
      <c r="AW1824" s="331">
        <f>SQRT(($R1824-Infrastructure!J$4)^2+($S1824-Infrastructure!K$4)^2)</f>
        <v>31.75862088</v>
      </c>
      <c r="AX1824" s="331">
        <f>SQRT(($R1824-Infrastructure!J$5)^2+($S1824-Infrastructure!K$5)^2)</f>
        <v>41.54708173</v>
      </c>
      <c r="AY1824" s="331">
        <f>SQRT(($R1824-Infrastructure!J$6)^2+($S1824-Infrastructure!K$6)^2)</f>
        <v>41.36568626</v>
      </c>
      <c r="AZ1824" s="331">
        <f>SQRT(($R1824-Infrastructure!J$7)^2+($S1824-Infrastructure!K$7)^2)</f>
        <v>39.46137352</v>
      </c>
      <c r="BA1824" s="331">
        <f>SQRT(($R1824-Infrastructure!J$8)^2+($S1824-Infrastructure!K$8)^2)</f>
        <v>40.08890121</v>
      </c>
      <c r="BB1824" s="331">
        <f>SQRT(($R1824-Infrastructure!J$9)^2+($S1824-Infrastructure!K$9)^2)</f>
        <v>38.68397601</v>
      </c>
      <c r="BC1824" s="331">
        <f>SQRT(($R1824-Infrastructure!J$10)^2+($S1824-Infrastructure!K$10)^2)</f>
        <v>30.15592811</v>
      </c>
      <c r="BD1824" s="331">
        <f>SQRT(($R1824-Infrastructure!J$11)^2+($S1824-Infrastructure!K$11)^2)</f>
        <v>20.51194774</v>
      </c>
      <c r="BE1824" s="333">
        <f>SQRT(($R1824-Infrastructure!J$12)^2+($S1824-Infrastructure!K$12)^2)</f>
        <v>15.84550409</v>
      </c>
      <c r="BF1824" s="330">
        <f t="shared" si="161"/>
        <v>15.84550409</v>
      </c>
      <c r="BG1824" s="333">
        <f t="shared" si="162"/>
        <v>41.54708173</v>
      </c>
      <c r="BH1824" s="1119"/>
      <c r="BI1824" s="319" t="str">
        <f t="shared" ref="BI1824:BR1824" si="499">IF(ISNUMBER(FIND(BI$3, $CO1824)), "Y", "")</f>
        <v/>
      </c>
      <c r="BJ1824" s="319" t="str">
        <f t="shared" si="499"/>
        <v/>
      </c>
      <c r="BK1824" s="319" t="str">
        <f t="shared" si="499"/>
        <v/>
      </c>
      <c r="BL1824" s="319" t="str">
        <f t="shared" si="499"/>
        <v/>
      </c>
      <c r="BM1824" s="319" t="str">
        <f t="shared" si="499"/>
        <v/>
      </c>
      <c r="BN1824" s="319" t="str">
        <f t="shared" si="499"/>
        <v/>
      </c>
      <c r="BO1824" s="319" t="str">
        <f t="shared" si="499"/>
        <v/>
      </c>
      <c r="BP1824" s="319" t="str">
        <f t="shared" si="499"/>
        <v/>
      </c>
      <c r="BQ1824" s="319" t="str">
        <f t="shared" si="499"/>
        <v/>
      </c>
      <c r="BR1824" s="319" t="str">
        <f t="shared" si="499"/>
        <v/>
      </c>
      <c r="BS1824" s="330">
        <f t="shared" si="185"/>
        <v>0</v>
      </c>
      <c r="BT1824" s="331">
        <f t="shared" si="170"/>
        <v>0</v>
      </c>
      <c r="BU1824" s="920"/>
      <c r="BV1824" s="903" t="str">
        <f t="shared" si="186"/>
        <v/>
      </c>
      <c r="BW1824" s="908"/>
      <c r="BX1824" s="908"/>
      <c r="BY1824" s="331" t="b">
        <f t="shared" si="201"/>
        <v>0</v>
      </c>
      <c r="BZ1824" s="331"/>
      <c r="CA1824" s="462" t="str">
        <f t="shared" ref="CA1824:CJ1824" si="500">IF(ISNUMBER(FIND(BI$3, $CP1824)), "Y", "")</f>
        <v>Y</v>
      </c>
      <c r="CB1824" s="319" t="str">
        <f t="shared" si="500"/>
        <v/>
      </c>
      <c r="CC1824" s="319" t="str">
        <f t="shared" si="500"/>
        <v>Y</v>
      </c>
      <c r="CD1824" s="319" t="str">
        <f t="shared" si="500"/>
        <v>Y</v>
      </c>
      <c r="CE1824" s="319" t="str">
        <f t="shared" si="500"/>
        <v>Y</v>
      </c>
      <c r="CF1824" s="319" t="str">
        <f t="shared" si="500"/>
        <v>Y</v>
      </c>
      <c r="CG1824" s="319" t="str">
        <f t="shared" si="500"/>
        <v>Y</v>
      </c>
      <c r="CH1824" s="319" t="str">
        <f t="shared" si="500"/>
        <v/>
      </c>
      <c r="CI1824" s="319" t="str">
        <f t="shared" si="500"/>
        <v>Y</v>
      </c>
      <c r="CJ1824" s="319" t="str">
        <f t="shared" si="500"/>
        <v>Y</v>
      </c>
      <c r="CK1824" s="342">
        <f t="shared" si="182"/>
        <v>15.84550409</v>
      </c>
      <c r="CL1824" s="333">
        <f t="shared" si="183"/>
        <v>41.54708173</v>
      </c>
      <c r="CM1824" s="1079" t="s">
        <v>2418</v>
      </c>
      <c r="CN1824" s="1005" t="s">
        <v>2696</v>
      </c>
      <c r="CO1824" s="1005"/>
      <c r="CP1824" s="1005" t="s">
        <v>2460</v>
      </c>
    </row>
    <row r="1825">
      <c r="A1825" s="1258"/>
      <c r="B1825" s="1129" t="s">
        <v>2649</v>
      </c>
      <c r="C1825" s="1122">
        <v>45483.0</v>
      </c>
      <c r="D1825" s="1129" t="s">
        <v>986</v>
      </c>
      <c r="E1825" s="1124" t="s">
        <v>2710</v>
      </c>
      <c r="F1825" s="108" t="s">
        <v>2711</v>
      </c>
      <c r="G1825" s="1126">
        <v>0.6979166666666666</v>
      </c>
      <c r="H1825" s="1126">
        <v>0.6986111111111111</v>
      </c>
      <c r="I1825" s="1126"/>
      <c r="J1825" s="1127"/>
      <c r="K1825" s="1127">
        <v>0.7355902777777777</v>
      </c>
      <c r="L1825" s="1128">
        <v>0.03697916666666667</v>
      </c>
      <c r="M1825" s="1129" t="s">
        <v>166</v>
      </c>
      <c r="N1825" s="100" t="s">
        <v>187</v>
      </c>
      <c r="O1825" s="1131" t="s">
        <v>204</v>
      </c>
      <c r="P1825" s="1131" t="s">
        <v>215</v>
      </c>
      <c r="Q1825" s="1131" t="s">
        <v>842</v>
      </c>
      <c r="R1825" s="137">
        <v>18.5</v>
      </c>
      <c r="S1825" s="1129">
        <v>3.3</v>
      </c>
      <c r="T1825" s="100">
        <v>1.9</v>
      </c>
      <c r="U1825" s="1124">
        <v>1.361</v>
      </c>
      <c r="V1825" s="1124"/>
      <c r="W1825" s="1124"/>
      <c r="X1825" s="1124"/>
      <c r="Y1825" s="1124"/>
      <c r="Z1825" s="1130" t="s">
        <v>365</v>
      </c>
      <c r="AA1825" s="1130"/>
      <c r="AB1825" s="1130" t="s">
        <v>388</v>
      </c>
      <c r="AC1825" s="1133">
        <v>8.0</v>
      </c>
      <c r="AD1825" s="1131"/>
      <c r="AE1825" s="1131"/>
      <c r="AF1825" s="1131"/>
      <c r="AG1825" s="1131"/>
      <c r="AH1825" s="1131"/>
      <c r="AI1825" s="1131"/>
      <c r="AJ1825" s="1133"/>
      <c r="AK1825" s="1134"/>
      <c r="AL1825" s="1131"/>
      <c r="AM1825" s="1131"/>
      <c r="AN1825" s="1131"/>
      <c r="AO1825" s="1131"/>
      <c r="AP1825" s="1131"/>
      <c r="AQ1825" s="1131"/>
      <c r="AR1825" s="1131"/>
      <c r="AS1825" s="1133"/>
      <c r="AT1825" s="1197" t="str">
        <f t="shared" si="428"/>
        <v>1-10</v>
      </c>
      <c r="AU1825" s="1194"/>
      <c r="AV1825" s="662">
        <f>SQRT(($R1825-Infrastructure!J$3)^2+($S1825-Infrastructure!K$3)^2)</f>
        <v>31.76161205</v>
      </c>
      <c r="AW1825" s="641">
        <f>SQRT(($R1825-Infrastructure!J$4)^2+($S1825-Infrastructure!K$4)^2)</f>
        <v>23.7421566</v>
      </c>
      <c r="AX1825" s="641">
        <f>SQRT(($R1825-Infrastructure!J$5)^2+($S1825-Infrastructure!K$5)^2)</f>
        <v>18.88597363</v>
      </c>
      <c r="AY1825" s="641">
        <f>SQRT(($R1825-Infrastructure!J$6)^2+($S1825-Infrastructure!K$6)^2)</f>
        <v>8.919641248</v>
      </c>
      <c r="AZ1825" s="641">
        <f>SQRT(($R1825-Infrastructure!J$7)^2+($S1825-Infrastructure!K$7)^2)</f>
        <v>3.605551275</v>
      </c>
      <c r="BA1825" s="641">
        <f>SQRT(($R1825-Infrastructure!J$8)^2+($S1825-Infrastructure!K$8)^2)</f>
        <v>11.98165264</v>
      </c>
      <c r="BB1825" s="641">
        <f>SQRT(($R1825-Infrastructure!J$9)^2+($S1825-Infrastructure!K$9)^2)</f>
        <v>21.57521726</v>
      </c>
      <c r="BC1825" s="641">
        <f>SQRT(($R1825-Infrastructure!J$10)^2+($S1825-Infrastructure!K$10)^2)</f>
        <v>24.47733646</v>
      </c>
      <c r="BD1825" s="641">
        <f>SQRT(($R1825-Infrastructure!J$11)^2+($S1825-Infrastructure!K$11)^2)</f>
        <v>33.63599263</v>
      </c>
      <c r="BE1825" s="642">
        <f>SQRT(($R1825-Infrastructure!J$12)^2+($S1825-Infrastructure!K$12)^2)</f>
        <v>52.28613583</v>
      </c>
      <c r="BF1825" s="662">
        <f t="shared" si="161"/>
        <v>3.605551275</v>
      </c>
      <c r="BG1825" s="642">
        <f t="shared" si="162"/>
        <v>52.28613583</v>
      </c>
      <c r="BH1825" s="1135"/>
      <c r="BI1825" s="663" t="str">
        <f t="shared" ref="BI1825:BR1825" si="501">IF(ISNUMBER(FIND(BI$3, $CO1825)), "Y", "")</f>
        <v/>
      </c>
      <c r="BJ1825" s="663" t="str">
        <f t="shared" si="501"/>
        <v/>
      </c>
      <c r="BK1825" s="663" t="str">
        <f t="shared" si="501"/>
        <v/>
      </c>
      <c r="BL1825" s="663" t="str">
        <f t="shared" si="501"/>
        <v/>
      </c>
      <c r="BM1825" s="663" t="str">
        <f t="shared" si="501"/>
        <v/>
      </c>
      <c r="BN1825" s="663" t="str">
        <f t="shared" si="501"/>
        <v/>
      </c>
      <c r="BO1825" s="663" t="str">
        <f t="shared" si="501"/>
        <v/>
      </c>
      <c r="BP1825" s="663" t="str">
        <f t="shared" si="501"/>
        <v/>
      </c>
      <c r="BQ1825" s="663" t="str">
        <f t="shared" si="501"/>
        <v/>
      </c>
      <c r="BR1825" s="663" t="str">
        <f t="shared" si="501"/>
        <v/>
      </c>
      <c r="BS1825" s="662">
        <f t="shared" si="185"/>
        <v>0</v>
      </c>
      <c r="BT1825" s="641">
        <f t="shared" si="170"/>
        <v>0</v>
      </c>
      <c r="BU1825" s="937"/>
      <c r="BV1825" s="930" t="str">
        <f t="shared" si="186"/>
        <v/>
      </c>
      <c r="BW1825" s="939"/>
      <c r="BX1825" s="939"/>
      <c r="BY1825" s="641" t="b">
        <f t="shared" si="201"/>
        <v>0</v>
      </c>
      <c r="BZ1825" s="641"/>
      <c r="CA1825" s="635" t="str">
        <f t="shared" ref="CA1825:CJ1825" si="502">IF(ISNUMBER(FIND(BI$3, $CP1825)), "Y", "")</f>
        <v>Y</v>
      </c>
      <c r="CB1825" s="663" t="str">
        <f t="shared" si="502"/>
        <v/>
      </c>
      <c r="CC1825" s="663" t="str">
        <f t="shared" si="502"/>
        <v>Y</v>
      </c>
      <c r="CD1825" s="663" t="str">
        <f t="shared" si="502"/>
        <v>Y</v>
      </c>
      <c r="CE1825" s="663" t="str">
        <f t="shared" si="502"/>
        <v>Y</v>
      </c>
      <c r="CF1825" s="663" t="str">
        <f t="shared" si="502"/>
        <v>Y</v>
      </c>
      <c r="CG1825" s="663" t="str">
        <f t="shared" si="502"/>
        <v>Y</v>
      </c>
      <c r="CH1825" s="663" t="str">
        <f t="shared" si="502"/>
        <v/>
      </c>
      <c r="CI1825" s="663" t="str">
        <f t="shared" si="502"/>
        <v>Y</v>
      </c>
      <c r="CJ1825" s="663" t="str">
        <f t="shared" si="502"/>
        <v>Y</v>
      </c>
      <c r="CK1825" s="743">
        <f t="shared" si="182"/>
        <v>3.605551275</v>
      </c>
      <c r="CL1825" s="642">
        <f t="shared" si="183"/>
        <v>52.28613583</v>
      </c>
      <c r="CM1825" s="1090" t="s">
        <v>2418</v>
      </c>
      <c r="CN1825" s="1036" t="s">
        <v>2696</v>
      </c>
      <c r="CO1825" s="1036"/>
      <c r="CP1825" s="1036" t="s">
        <v>2460</v>
      </c>
    </row>
    <row r="1826">
      <c r="A1826" s="1257" t="s">
        <v>108</v>
      </c>
      <c r="B1826" s="1113" t="s">
        <v>2649</v>
      </c>
      <c r="C1826" s="1107">
        <v>45484.0</v>
      </c>
      <c r="D1826" s="1113" t="s">
        <v>986</v>
      </c>
      <c r="E1826" s="1108" t="s">
        <v>2712</v>
      </c>
      <c r="F1826" s="112" t="s">
        <v>2713</v>
      </c>
      <c r="G1826" s="1110">
        <v>0.4197916666666667</v>
      </c>
      <c r="H1826" s="1110">
        <v>0.4201388888888889</v>
      </c>
      <c r="I1826" s="1110"/>
      <c r="J1826" s="1111"/>
      <c r="K1826" s="1111">
        <v>0.46875</v>
      </c>
      <c r="L1826" s="1112">
        <v>0.04861111111111111</v>
      </c>
      <c r="M1826" s="1113" t="s">
        <v>166</v>
      </c>
      <c r="N1826" s="110" t="s">
        <v>188</v>
      </c>
      <c r="O1826" s="1115" t="s">
        <v>378</v>
      </c>
      <c r="P1826" s="1115" t="s">
        <v>225</v>
      </c>
      <c r="Q1826" s="1115" t="s">
        <v>842</v>
      </c>
      <c r="R1826" s="120">
        <v>22.7</v>
      </c>
      <c r="S1826" s="1113">
        <v>39.7</v>
      </c>
      <c r="T1826" s="110">
        <v>1.1</v>
      </c>
      <c r="U1826" s="1108">
        <v>2.244</v>
      </c>
      <c r="V1826" s="1108"/>
      <c r="W1826" s="1108"/>
      <c r="X1826" s="1108"/>
      <c r="Y1826" s="1108"/>
      <c r="Z1826" s="1114" t="s">
        <v>1140</v>
      </c>
      <c r="AA1826" s="1114"/>
      <c r="AB1826" s="1114" t="s">
        <v>407</v>
      </c>
      <c r="AC1826" s="1117">
        <v>15.75</v>
      </c>
      <c r="AD1826" s="1115"/>
      <c r="AE1826" s="1115"/>
      <c r="AF1826" s="1115"/>
      <c r="AG1826" s="1115"/>
      <c r="AH1826" s="1115"/>
      <c r="AI1826" s="1115"/>
      <c r="AJ1826" s="1117"/>
      <c r="AK1826" s="1118"/>
      <c r="AL1826" s="1115"/>
      <c r="AM1826" s="1115"/>
      <c r="AN1826" s="1115"/>
      <c r="AO1826" s="1115"/>
      <c r="AP1826" s="1115"/>
      <c r="AQ1826" s="1115"/>
      <c r="AR1826" s="1115"/>
      <c r="AS1826" s="1117"/>
      <c r="AT1826" s="1196" t="str">
        <f t="shared" si="428"/>
        <v>1-10</v>
      </c>
      <c r="AU1826" s="1193"/>
      <c r="AV1826" s="330">
        <f>SQRT(($R1826-Infrastructure!J$3)^2+($S1826-Infrastructure!K$3)^2)</f>
        <v>25.40944706</v>
      </c>
      <c r="AW1826" s="331">
        <f>SQRT(($R1826-Infrastructure!J$4)^2+($S1826-Infrastructure!K$4)^2)</f>
        <v>31.75862088</v>
      </c>
      <c r="AX1826" s="331">
        <f>SQRT(($R1826-Infrastructure!J$5)^2+($S1826-Infrastructure!K$5)^2)</f>
        <v>41.54708173</v>
      </c>
      <c r="AY1826" s="331">
        <f>SQRT(($R1826-Infrastructure!J$6)^2+($S1826-Infrastructure!K$6)^2)</f>
        <v>41.36568626</v>
      </c>
      <c r="AZ1826" s="331">
        <f>SQRT(($R1826-Infrastructure!J$7)^2+($S1826-Infrastructure!K$7)^2)</f>
        <v>39.46137352</v>
      </c>
      <c r="BA1826" s="331">
        <f>SQRT(($R1826-Infrastructure!J$8)^2+($S1826-Infrastructure!K$8)^2)</f>
        <v>40.08890121</v>
      </c>
      <c r="BB1826" s="331">
        <f>SQRT(($R1826-Infrastructure!J$9)^2+($S1826-Infrastructure!K$9)^2)</f>
        <v>38.68397601</v>
      </c>
      <c r="BC1826" s="331">
        <f>SQRT(($R1826-Infrastructure!J$10)^2+($S1826-Infrastructure!K$10)^2)</f>
        <v>30.15592811</v>
      </c>
      <c r="BD1826" s="331">
        <f>SQRT(($R1826-Infrastructure!J$11)^2+($S1826-Infrastructure!K$11)^2)</f>
        <v>20.51194774</v>
      </c>
      <c r="BE1826" s="333">
        <f>SQRT(($R1826-Infrastructure!J$12)^2+($S1826-Infrastructure!K$12)^2)</f>
        <v>15.84550409</v>
      </c>
      <c r="BF1826" s="330">
        <f t="shared" si="161"/>
        <v>15.84550409</v>
      </c>
      <c r="BG1826" s="333">
        <f t="shared" si="162"/>
        <v>41.54708173</v>
      </c>
      <c r="BH1826" s="1119"/>
      <c r="BI1826" s="319" t="str">
        <f t="shared" ref="BI1826:BR1826" si="503">IF(ISNUMBER(FIND(BI$3, $CO1826)), "Y", "")</f>
        <v>Y</v>
      </c>
      <c r="BJ1826" s="319" t="str">
        <f t="shared" si="503"/>
        <v/>
      </c>
      <c r="BK1826" s="319" t="str">
        <f t="shared" si="503"/>
        <v>Y</v>
      </c>
      <c r="BL1826" s="319" t="str">
        <f t="shared" si="503"/>
        <v>Y</v>
      </c>
      <c r="BM1826" s="319" t="str">
        <f t="shared" si="503"/>
        <v>Y</v>
      </c>
      <c r="BN1826" s="319" t="str">
        <f t="shared" si="503"/>
        <v>Y</v>
      </c>
      <c r="BO1826" s="319" t="str">
        <f t="shared" si="503"/>
        <v>Y</v>
      </c>
      <c r="BP1826" s="319" t="str">
        <f t="shared" si="503"/>
        <v/>
      </c>
      <c r="BQ1826" s="319" t="str">
        <f t="shared" si="503"/>
        <v>Y</v>
      </c>
      <c r="BR1826" s="319" t="str">
        <f t="shared" si="503"/>
        <v>Y</v>
      </c>
      <c r="BS1826" s="330">
        <f t="shared" si="185"/>
        <v>15.84550409</v>
      </c>
      <c r="BT1826" s="331">
        <f t="shared" si="170"/>
        <v>41.54708173</v>
      </c>
      <c r="BU1826" s="920">
        <v>0.4202546296296296</v>
      </c>
      <c r="BV1826" s="903">
        <f t="shared" si="186"/>
        <v>0.000462962963</v>
      </c>
      <c r="BW1826" s="908">
        <v>3.6</v>
      </c>
      <c r="BX1826" s="908">
        <v>29.4</v>
      </c>
      <c r="BY1826" s="331">
        <f t="shared" si="201"/>
        <v>21.70023041</v>
      </c>
      <c r="BZ1826" s="331"/>
      <c r="CA1826" s="462" t="str">
        <f t="shared" ref="CA1826:CJ1826" si="504">IF(ISNUMBER(FIND(BI$3, $CP1826)), "Y", "")</f>
        <v>Y</v>
      </c>
      <c r="CB1826" s="319" t="str">
        <f t="shared" si="504"/>
        <v>Y</v>
      </c>
      <c r="CC1826" s="319" t="str">
        <f t="shared" si="504"/>
        <v>Y</v>
      </c>
      <c r="CD1826" s="319" t="str">
        <f t="shared" si="504"/>
        <v>Y</v>
      </c>
      <c r="CE1826" s="319" t="str">
        <f t="shared" si="504"/>
        <v>Y</v>
      </c>
      <c r="CF1826" s="319" t="str">
        <f t="shared" si="504"/>
        <v>Y</v>
      </c>
      <c r="CG1826" s="319" t="str">
        <f t="shared" si="504"/>
        <v>Y</v>
      </c>
      <c r="CH1826" s="319" t="str">
        <f t="shared" si="504"/>
        <v/>
      </c>
      <c r="CI1826" s="319" t="str">
        <f t="shared" si="504"/>
        <v>Y</v>
      </c>
      <c r="CJ1826" s="319" t="str">
        <f t="shared" si="504"/>
        <v>Y</v>
      </c>
      <c r="CK1826" s="342">
        <f t="shared" si="182"/>
        <v>15.84550409</v>
      </c>
      <c r="CL1826" s="333">
        <f t="shared" si="183"/>
        <v>41.54708173</v>
      </c>
      <c r="CM1826" s="1079" t="s">
        <v>2467</v>
      </c>
      <c r="CN1826" s="1005" t="s">
        <v>2714</v>
      </c>
      <c r="CO1826" s="1005" t="s">
        <v>2460</v>
      </c>
      <c r="CP1826" s="1005" t="s">
        <v>2400</v>
      </c>
    </row>
    <row r="1827">
      <c r="A1827" s="266"/>
      <c r="B1827" s="1113" t="s">
        <v>2649</v>
      </c>
      <c r="C1827" s="1107">
        <v>45484.0</v>
      </c>
      <c r="D1827" s="1113" t="s">
        <v>986</v>
      </c>
      <c r="E1827" s="1108" t="s">
        <v>2715</v>
      </c>
      <c r="F1827" s="112" t="s">
        <v>2716</v>
      </c>
      <c r="G1827" s="1110">
        <v>0.41984953703703703</v>
      </c>
      <c r="H1827" s="1110">
        <v>0.4203703703703704</v>
      </c>
      <c r="I1827" s="1110"/>
      <c r="J1827" s="1111"/>
      <c r="K1827" s="1111">
        <v>0.4688657407407407</v>
      </c>
      <c r="L1827" s="1112">
        <v>0.04849537037037037</v>
      </c>
      <c r="M1827" s="1113" t="s">
        <v>166</v>
      </c>
      <c r="N1827" s="110" t="s">
        <v>187</v>
      </c>
      <c r="O1827" s="1115" t="s">
        <v>198</v>
      </c>
      <c r="P1827" s="1115" t="s">
        <v>213</v>
      </c>
      <c r="Q1827" s="1115" t="s">
        <v>842</v>
      </c>
      <c r="R1827" s="120">
        <v>10.7</v>
      </c>
      <c r="S1827" s="1113">
        <v>10.9</v>
      </c>
      <c r="T1827" s="110">
        <v>3.0</v>
      </c>
      <c r="U1827" s="1108">
        <v>1.122</v>
      </c>
      <c r="V1827" s="1108"/>
      <c r="W1827" s="1108"/>
      <c r="X1827" s="1108"/>
      <c r="Y1827" s="1108"/>
      <c r="Z1827" s="1114" t="s">
        <v>343</v>
      </c>
      <c r="AA1827" s="1114"/>
      <c r="AB1827" s="1114" t="s">
        <v>388</v>
      </c>
      <c r="AC1827" s="1117">
        <v>8.0</v>
      </c>
      <c r="AD1827" s="1115"/>
      <c r="AE1827" s="1115"/>
      <c r="AF1827" s="1115"/>
      <c r="AG1827" s="1115"/>
      <c r="AH1827" s="1115"/>
      <c r="AI1827" s="1115"/>
      <c r="AJ1827" s="1117"/>
      <c r="AK1827" s="1118"/>
      <c r="AL1827" s="1115"/>
      <c r="AM1827" s="1115"/>
      <c r="AN1827" s="1115"/>
      <c r="AO1827" s="1115"/>
      <c r="AP1827" s="1115"/>
      <c r="AQ1827" s="1115"/>
      <c r="AR1827" s="1115"/>
      <c r="AS1827" s="1117"/>
      <c r="AT1827" s="1196" t="str">
        <f t="shared" si="428"/>
        <v>1-10</v>
      </c>
      <c r="AU1827" s="1193"/>
      <c r="AV1827" s="330">
        <f>SQRT(($R1827-Infrastructure!J$3)^2+($S1827-Infrastructure!K$3)^2)</f>
        <v>21.09502311</v>
      </c>
      <c r="AW1827" s="331">
        <f>SQRT(($R1827-Infrastructure!J$4)^2+($S1827-Infrastructure!K$4)^2)</f>
        <v>12.98499134</v>
      </c>
      <c r="AX1827" s="331">
        <f>SQRT(($R1827-Infrastructure!J$5)^2+($S1827-Infrastructure!K$5)^2)</f>
        <v>12.43543325</v>
      </c>
      <c r="AY1827" s="331">
        <f>SQRT(($R1827-Infrastructure!J$6)^2+($S1827-Infrastructure!K$6)^2)</f>
        <v>10.61696755</v>
      </c>
      <c r="AZ1827" s="331">
        <f>SQRT(($R1827-Infrastructure!J$7)^2+($S1827-Infrastructure!K$7)^2)</f>
        <v>14.43606595</v>
      </c>
      <c r="BA1827" s="331">
        <f>SQRT(($R1827-Infrastructure!J$8)^2+($S1827-Infrastructure!K$8)^2)</f>
        <v>22.10701246</v>
      </c>
      <c r="BB1827" s="331">
        <f>SQRT(($R1827-Infrastructure!J$9)^2+($S1827-Infrastructure!K$9)^2)</f>
        <v>29.86854533</v>
      </c>
      <c r="BC1827" s="331">
        <f>SQRT(($R1827-Infrastructure!J$10)^2+($S1827-Infrastructure!K$10)^2)</f>
        <v>29.58546941</v>
      </c>
      <c r="BD1827" s="331">
        <f>SQRT(($R1827-Infrastructure!J$11)^2+($S1827-Infrastructure!K$11)^2)</f>
        <v>34.61011413</v>
      </c>
      <c r="BE1827" s="333">
        <f>SQRT(($R1827-Infrastructure!J$12)^2+($S1827-Infrastructure!K$12)^2)</f>
        <v>45.8889965</v>
      </c>
      <c r="BF1827" s="330">
        <f t="shared" si="161"/>
        <v>10.61696755</v>
      </c>
      <c r="BG1827" s="333">
        <f t="shared" si="162"/>
        <v>45.8889965</v>
      </c>
      <c r="BH1827" s="1119"/>
      <c r="BI1827" s="319" t="str">
        <f t="shared" ref="BI1827:BR1827" si="505">IF(ISNUMBER(FIND(BI$3, $CO1827)), "Y", "")</f>
        <v>Y</v>
      </c>
      <c r="BJ1827" s="319" t="str">
        <f t="shared" si="505"/>
        <v/>
      </c>
      <c r="BK1827" s="319" t="str">
        <f t="shared" si="505"/>
        <v>Y</v>
      </c>
      <c r="BL1827" s="319" t="str">
        <f t="shared" si="505"/>
        <v>Y</v>
      </c>
      <c r="BM1827" s="319" t="str">
        <f t="shared" si="505"/>
        <v>Y</v>
      </c>
      <c r="BN1827" s="319" t="str">
        <f t="shared" si="505"/>
        <v>Y</v>
      </c>
      <c r="BO1827" s="319" t="str">
        <f t="shared" si="505"/>
        <v>Y</v>
      </c>
      <c r="BP1827" s="319" t="str">
        <f t="shared" si="505"/>
        <v/>
      </c>
      <c r="BQ1827" s="319" t="str">
        <f t="shared" si="505"/>
        <v>Y</v>
      </c>
      <c r="BR1827" s="319" t="str">
        <f t="shared" si="505"/>
        <v>Y</v>
      </c>
      <c r="BS1827" s="330">
        <f t="shared" si="185"/>
        <v>10.61696755</v>
      </c>
      <c r="BT1827" s="331">
        <f t="shared" si="170"/>
        <v>45.8889965</v>
      </c>
      <c r="BU1827" s="920">
        <v>0.4202546296296296</v>
      </c>
      <c r="BV1827" s="903">
        <f t="shared" si="186"/>
        <v>0.0004050925926</v>
      </c>
      <c r="BW1827" s="908">
        <v>3.6</v>
      </c>
      <c r="BX1827" s="908">
        <v>29.4</v>
      </c>
      <c r="BY1827" s="331">
        <f t="shared" si="201"/>
        <v>19.81565038</v>
      </c>
      <c r="BZ1827" s="331"/>
      <c r="CA1827" s="462" t="str">
        <f t="shared" ref="CA1827:CJ1827" si="506">IF(ISNUMBER(FIND(BI$3, $CP1827)), "Y", "")</f>
        <v>Y</v>
      </c>
      <c r="CB1827" s="319" t="str">
        <f t="shared" si="506"/>
        <v>Y</v>
      </c>
      <c r="CC1827" s="319" t="str">
        <f t="shared" si="506"/>
        <v>Y</v>
      </c>
      <c r="CD1827" s="319" t="str">
        <f t="shared" si="506"/>
        <v>Y</v>
      </c>
      <c r="CE1827" s="319" t="str">
        <f t="shared" si="506"/>
        <v>Y</v>
      </c>
      <c r="CF1827" s="319" t="str">
        <f t="shared" si="506"/>
        <v>Y</v>
      </c>
      <c r="CG1827" s="319" t="str">
        <f t="shared" si="506"/>
        <v>Y</v>
      </c>
      <c r="CH1827" s="319" t="str">
        <f t="shared" si="506"/>
        <v/>
      </c>
      <c r="CI1827" s="319" t="str">
        <f t="shared" si="506"/>
        <v>Y</v>
      </c>
      <c r="CJ1827" s="319" t="str">
        <f t="shared" si="506"/>
        <v>Y</v>
      </c>
      <c r="CK1827" s="342">
        <f t="shared" si="182"/>
        <v>10.61696755</v>
      </c>
      <c r="CL1827" s="333">
        <f t="shared" si="183"/>
        <v>45.8889965</v>
      </c>
      <c r="CM1827" s="1079" t="s">
        <v>2467</v>
      </c>
      <c r="CN1827" s="1005" t="s">
        <v>2714</v>
      </c>
      <c r="CO1827" s="1005" t="s">
        <v>2460</v>
      </c>
      <c r="CP1827" s="1005" t="s">
        <v>2400</v>
      </c>
    </row>
    <row r="1828">
      <c r="A1828" s="266"/>
      <c r="B1828" s="1113" t="s">
        <v>2649</v>
      </c>
      <c r="C1828" s="1107">
        <v>45484.0</v>
      </c>
      <c r="D1828" s="1113" t="s">
        <v>986</v>
      </c>
      <c r="E1828" s="1108" t="s">
        <v>2717</v>
      </c>
      <c r="F1828" s="112" t="s">
        <v>2718</v>
      </c>
      <c r="G1828" s="1110">
        <v>0.41986111111111113</v>
      </c>
      <c r="H1828" s="1110">
        <v>0.4203703703703704</v>
      </c>
      <c r="I1828" s="1110"/>
      <c r="J1828" s="1111"/>
      <c r="K1828" s="1111">
        <v>0.46892361111111114</v>
      </c>
      <c r="L1828" s="1112">
        <v>0.048553240740740744</v>
      </c>
      <c r="M1828" s="1113" t="s">
        <v>166</v>
      </c>
      <c r="N1828" s="110" t="s">
        <v>187</v>
      </c>
      <c r="O1828" s="1115" t="s">
        <v>206</v>
      </c>
      <c r="P1828" s="1115" t="s">
        <v>223</v>
      </c>
      <c r="Q1828" s="1115" t="s">
        <v>842</v>
      </c>
      <c r="R1828" s="120">
        <v>21.8</v>
      </c>
      <c r="S1828" s="1113">
        <v>7.4</v>
      </c>
      <c r="T1828" s="110">
        <v>0.4</v>
      </c>
      <c r="U1828" s="1108">
        <v>1.122</v>
      </c>
      <c r="V1828" s="1108"/>
      <c r="W1828" s="1108"/>
      <c r="X1828" s="1108"/>
      <c r="Y1828" s="1108"/>
      <c r="Z1828" s="1114" t="s">
        <v>347</v>
      </c>
      <c r="AA1828" s="1114"/>
      <c r="AB1828" s="1114" t="s">
        <v>388</v>
      </c>
      <c r="AC1828" s="1117">
        <v>8.0</v>
      </c>
      <c r="AD1828" s="1115"/>
      <c r="AE1828" s="1115"/>
      <c r="AF1828" s="1115"/>
      <c r="AG1828" s="1115"/>
      <c r="AH1828" s="1115"/>
      <c r="AI1828" s="1115"/>
      <c r="AJ1828" s="1117"/>
      <c r="AK1828" s="1118"/>
      <c r="AL1828" s="1115"/>
      <c r="AM1828" s="1115"/>
      <c r="AN1828" s="1115"/>
      <c r="AO1828" s="1115"/>
      <c r="AP1828" s="1115"/>
      <c r="AQ1828" s="1115"/>
      <c r="AR1828" s="1115"/>
      <c r="AS1828" s="1117"/>
      <c r="AT1828" s="1196" t="str">
        <f t="shared" si="428"/>
        <v>1-10</v>
      </c>
      <c r="AU1828" s="1193"/>
      <c r="AV1828" s="330">
        <f>SQRT(($R1828-Infrastructure!J$3)^2+($S1828-Infrastructure!K$3)^2)</f>
        <v>30.83277477</v>
      </c>
      <c r="AW1828" s="331">
        <f>SQRT(($R1828-Infrastructure!J$4)^2+($S1828-Infrastructure!K$4)^2)</f>
        <v>24.4247825</v>
      </c>
      <c r="AX1828" s="331">
        <f>SQRT(($R1828-Infrastructure!J$5)^2+($S1828-Infrastructure!K$5)^2)</f>
        <v>22.21936093</v>
      </c>
      <c r="AY1828" s="331">
        <f>SQRT(($R1828-Infrastructure!J$6)^2+($S1828-Infrastructure!K$6)^2)</f>
        <v>13.68575902</v>
      </c>
      <c r="AZ1828" s="331">
        <f>SQRT(($R1828-Infrastructure!J$7)^2+($S1828-Infrastructure!K$7)^2)</f>
        <v>7.218032973</v>
      </c>
      <c r="BA1828" s="331">
        <f>SQRT(($R1828-Infrastructure!J$8)^2+($S1828-Infrastructure!K$8)^2)</f>
        <v>10.92245394</v>
      </c>
      <c r="BB1828" s="331">
        <f>SQRT(($R1828-Infrastructure!J$9)^2+($S1828-Infrastructure!K$9)^2)</f>
        <v>18.34475402</v>
      </c>
      <c r="BC1828" s="331">
        <f>SQRT(($R1828-Infrastructure!J$10)^2+($S1828-Infrastructure!K$10)^2)</f>
        <v>19.72308292</v>
      </c>
      <c r="BD1828" s="331">
        <f>SQRT(($R1828-Infrastructure!J$11)^2+($S1828-Infrastructure!K$11)^2)</f>
        <v>28.37463656</v>
      </c>
      <c r="BE1828" s="333">
        <f>SQRT(($R1828-Infrastructure!J$12)^2+($S1828-Infrastructure!K$12)^2)</f>
        <v>48.10093554</v>
      </c>
      <c r="BF1828" s="330">
        <f t="shared" si="161"/>
        <v>7.218032973</v>
      </c>
      <c r="BG1828" s="333">
        <f t="shared" si="162"/>
        <v>48.10093554</v>
      </c>
      <c r="BH1828" s="1119"/>
      <c r="BI1828" s="319" t="str">
        <f t="shared" ref="BI1828:BR1828" si="507">IF(ISNUMBER(FIND(BI$3, $CO1828)), "Y", "")</f>
        <v>Y</v>
      </c>
      <c r="BJ1828" s="319" t="str">
        <f t="shared" si="507"/>
        <v/>
      </c>
      <c r="BK1828" s="319" t="str">
        <f t="shared" si="507"/>
        <v>Y</v>
      </c>
      <c r="BL1828" s="319" t="str">
        <f t="shared" si="507"/>
        <v>Y</v>
      </c>
      <c r="BM1828" s="319" t="str">
        <f t="shared" si="507"/>
        <v>Y</v>
      </c>
      <c r="BN1828" s="319" t="str">
        <f t="shared" si="507"/>
        <v>Y</v>
      </c>
      <c r="BO1828" s="319" t="str">
        <f t="shared" si="507"/>
        <v>Y</v>
      </c>
      <c r="BP1828" s="319" t="str">
        <f t="shared" si="507"/>
        <v/>
      </c>
      <c r="BQ1828" s="319" t="str">
        <f t="shared" si="507"/>
        <v>Y</v>
      </c>
      <c r="BR1828" s="319" t="str">
        <f t="shared" si="507"/>
        <v>Y</v>
      </c>
      <c r="BS1828" s="330">
        <f t="shared" si="185"/>
        <v>7.218032973</v>
      </c>
      <c r="BT1828" s="331">
        <f t="shared" si="170"/>
        <v>48.10093554</v>
      </c>
      <c r="BU1828" s="920">
        <v>0.4202546296296296</v>
      </c>
      <c r="BV1828" s="903">
        <f t="shared" si="186"/>
        <v>0.0003935185185</v>
      </c>
      <c r="BW1828" s="908">
        <v>3.6</v>
      </c>
      <c r="BX1828" s="908">
        <v>29.4</v>
      </c>
      <c r="BY1828" s="331">
        <f t="shared" si="201"/>
        <v>28.55240795</v>
      </c>
      <c r="BZ1828" s="331"/>
      <c r="CA1828" s="462" t="str">
        <f t="shared" ref="CA1828:CJ1828" si="508">IF(ISNUMBER(FIND(BI$3, $CP1828)), "Y", "")</f>
        <v>Y</v>
      </c>
      <c r="CB1828" s="319" t="str">
        <f t="shared" si="508"/>
        <v>Y</v>
      </c>
      <c r="CC1828" s="319" t="str">
        <f t="shared" si="508"/>
        <v>Y</v>
      </c>
      <c r="CD1828" s="319" t="str">
        <f t="shared" si="508"/>
        <v>Y</v>
      </c>
      <c r="CE1828" s="319" t="str">
        <f t="shared" si="508"/>
        <v>Y</v>
      </c>
      <c r="CF1828" s="319" t="str">
        <f t="shared" si="508"/>
        <v>Y</v>
      </c>
      <c r="CG1828" s="319" t="str">
        <f t="shared" si="508"/>
        <v>Y</v>
      </c>
      <c r="CH1828" s="319" t="str">
        <f t="shared" si="508"/>
        <v/>
      </c>
      <c r="CI1828" s="319" t="str">
        <f t="shared" si="508"/>
        <v>Y</v>
      </c>
      <c r="CJ1828" s="319" t="str">
        <f t="shared" si="508"/>
        <v>Y</v>
      </c>
      <c r="CK1828" s="342">
        <f t="shared" si="182"/>
        <v>7.218032973</v>
      </c>
      <c r="CL1828" s="333">
        <f t="shared" si="183"/>
        <v>48.10093554</v>
      </c>
      <c r="CM1828" s="1079" t="s">
        <v>2467</v>
      </c>
      <c r="CN1828" s="1005" t="s">
        <v>2714</v>
      </c>
      <c r="CO1828" s="1005" t="s">
        <v>2460</v>
      </c>
      <c r="CP1828" s="1005" t="s">
        <v>2400</v>
      </c>
    </row>
    <row r="1829">
      <c r="A1829" s="266"/>
      <c r="B1829" s="1113" t="s">
        <v>2649</v>
      </c>
      <c r="C1829" s="1107">
        <v>45484.0</v>
      </c>
      <c r="D1829" s="1113" t="s">
        <v>986</v>
      </c>
      <c r="E1829" s="1108" t="s">
        <v>2719</v>
      </c>
      <c r="F1829" s="112" t="s">
        <v>2720</v>
      </c>
      <c r="G1829" s="1110">
        <v>0.4809027777777778</v>
      </c>
      <c r="H1829" s="1110">
        <v>0.4822916666666667</v>
      </c>
      <c r="I1829" s="1110"/>
      <c r="J1829" s="1111"/>
      <c r="K1829" s="1111">
        <v>0.5130208333333334</v>
      </c>
      <c r="L1829" s="1112">
        <v>0.030729166666666665</v>
      </c>
      <c r="M1829" s="1113" t="s">
        <v>166</v>
      </c>
      <c r="N1829" s="110" t="s">
        <v>188</v>
      </c>
      <c r="O1829" s="1115" t="s">
        <v>378</v>
      </c>
      <c r="P1829" s="1115" t="s">
        <v>225</v>
      </c>
      <c r="Q1829" s="1115" t="s">
        <v>842</v>
      </c>
      <c r="R1829" s="120">
        <v>22.7</v>
      </c>
      <c r="S1829" s="1113">
        <v>39.7</v>
      </c>
      <c r="T1829" s="110">
        <v>1.1</v>
      </c>
      <c r="U1829" s="1108">
        <v>0.272</v>
      </c>
      <c r="V1829" s="1108"/>
      <c r="W1829" s="1108"/>
      <c r="X1829" s="1108"/>
      <c r="Y1829" s="1108"/>
      <c r="Z1829" s="1114" t="s">
        <v>1221</v>
      </c>
      <c r="AA1829" s="1114"/>
      <c r="AB1829" s="1114" t="s">
        <v>395</v>
      </c>
      <c r="AC1829" s="1117">
        <v>4.0</v>
      </c>
      <c r="AD1829" s="1115"/>
      <c r="AE1829" s="1115"/>
      <c r="AF1829" s="1115"/>
      <c r="AG1829" s="1115"/>
      <c r="AH1829" s="1115"/>
      <c r="AI1829" s="1115"/>
      <c r="AJ1829" s="1117"/>
      <c r="AK1829" s="1118"/>
      <c r="AL1829" s="1115"/>
      <c r="AM1829" s="1115"/>
      <c r="AN1829" s="1115"/>
      <c r="AO1829" s="1115"/>
      <c r="AP1829" s="1115"/>
      <c r="AQ1829" s="1115"/>
      <c r="AR1829" s="1115"/>
      <c r="AS1829" s="1117"/>
      <c r="AT1829" s="1196" t="str">
        <f t="shared" si="428"/>
        <v>0-1</v>
      </c>
      <c r="AU1829" s="1193"/>
      <c r="AV1829" s="330">
        <f>SQRT(($R1829-Infrastructure!J$3)^2+($S1829-Infrastructure!K$3)^2)</f>
        <v>25.40944706</v>
      </c>
      <c r="AW1829" s="331">
        <f>SQRT(($R1829-Infrastructure!J$4)^2+($S1829-Infrastructure!K$4)^2)</f>
        <v>31.75862088</v>
      </c>
      <c r="AX1829" s="331">
        <f>SQRT(($R1829-Infrastructure!J$5)^2+($S1829-Infrastructure!K$5)^2)</f>
        <v>41.54708173</v>
      </c>
      <c r="AY1829" s="331">
        <f>SQRT(($R1829-Infrastructure!J$6)^2+($S1829-Infrastructure!K$6)^2)</f>
        <v>41.36568626</v>
      </c>
      <c r="AZ1829" s="331">
        <f>SQRT(($R1829-Infrastructure!J$7)^2+($S1829-Infrastructure!K$7)^2)</f>
        <v>39.46137352</v>
      </c>
      <c r="BA1829" s="331">
        <f>SQRT(($R1829-Infrastructure!J$8)^2+($S1829-Infrastructure!K$8)^2)</f>
        <v>40.08890121</v>
      </c>
      <c r="BB1829" s="331">
        <f>SQRT(($R1829-Infrastructure!J$9)^2+($S1829-Infrastructure!K$9)^2)</f>
        <v>38.68397601</v>
      </c>
      <c r="BC1829" s="331">
        <f>SQRT(($R1829-Infrastructure!J$10)^2+($S1829-Infrastructure!K$10)^2)</f>
        <v>30.15592811</v>
      </c>
      <c r="BD1829" s="331">
        <f>SQRT(($R1829-Infrastructure!J$11)^2+($S1829-Infrastructure!K$11)^2)</f>
        <v>20.51194774</v>
      </c>
      <c r="BE1829" s="333">
        <f>SQRT(($R1829-Infrastructure!J$12)^2+($S1829-Infrastructure!K$12)^2)</f>
        <v>15.84550409</v>
      </c>
      <c r="BF1829" s="330">
        <f t="shared" si="161"/>
        <v>15.84550409</v>
      </c>
      <c r="BG1829" s="333">
        <f t="shared" si="162"/>
        <v>41.54708173</v>
      </c>
      <c r="BH1829" s="1119"/>
      <c r="BI1829" s="319" t="str">
        <f t="shared" ref="BI1829:BR1829" si="509">IF(ISNUMBER(FIND(BI$3, $CO1829)), "Y", "")</f>
        <v>Y</v>
      </c>
      <c r="BJ1829" s="319" t="str">
        <f t="shared" si="509"/>
        <v/>
      </c>
      <c r="BK1829" s="319" t="str">
        <f t="shared" si="509"/>
        <v/>
      </c>
      <c r="BL1829" s="319" t="str">
        <f t="shared" si="509"/>
        <v>Y</v>
      </c>
      <c r="BM1829" s="319" t="str">
        <f t="shared" si="509"/>
        <v>Y</v>
      </c>
      <c r="BN1829" s="319" t="str">
        <f t="shared" si="509"/>
        <v>Y</v>
      </c>
      <c r="BO1829" s="319" t="str">
        <f t="shared" si="509"/>
        <v/>
      </c>
      <c r="BP1829" s="319" t="str">
        <f t="shared" si="509"/>
        <v/>
      </c>
      <c r="BQ1829" s="319" t="str">
        <f t="shared" si="509"/>
        <v/>
      </c>
      <c r="BR1829" s="319" t="str">
        <f t="shared" si="509"/>
        <v>Y</v>
      </c>
      <c r="BS1829" s="330">
        <f t="shared" si="185"/>
        <v>15.84550409</v>
      </c>
      <c r="BT1829" s="331">
        <f t="shared" si="170"/>
        <v>41.36568626</v>
      </c>
      <c r="BU1829" s="920">
        <v>0.48230324074074077</v>
      </c>
      <c r="BV1829" s="903">
        <f t="shared" si="186"/>
        <v>0.001400462963</v>
      </c>
      <c r="BW1829" s="908">
        <v>6.7</v>
      </c>
      <c r="BX1829" s="908">
        <v>29.4</v>
      </c>
      <c r="BY1829" s="331">
        <f t="shared" si="201"/>
        <v>19.02866259</v>
      </c>
      <c r="BZ1829" s="331"/>
      <c r="CA1829" s="462" t="str">
        <f t="shared" ref="CA1829:CJ1829" si="510">IF(ISNUMBER(FIND(BI$3, $CP1829)), "Y", "")</f>
        <v>Y</v>
      </c>
      <c r="CB1829" s="319" t="str">
        <f t="shared" si="510"/>
        <v>Y</v>
      </c>
      <c r="CC1829" s="319" t="str">
        <f t="shared" si="510"/>
        <v>Y</v>
      </c>
      <c r="CD1829" s="319" t="str">
        <f t="shared" si="510"/>
        <v>Y</v>
      </c>
      <c r="CE1829" s="319" t="str">
        <f t="shared" si="510"/>
        <v>Y</v>
      </c>
      <c r="CF1829" s="319" t="str">
        <f t="shared" si="510"/>
        <v>Y</v>
      </c>
      <c r="CG1829" s="319" t="str">
        <f t="shared" si="510"/>
        <v>Y</v>
      </c>
      <c r="CH1829" s="319" t="str">
        <f t="shared" si="510"/>
        <v/>
      </c>
      <c r="CI1829" s="319" t="str">
        <f t="shared" si="510"/>
        <v/>
      </c>
      <c r="CJ1829" s="319" t="str">
        <f t="shared" si="510"/>
        <v>Y</v>
      </c>
      <c r="CK1829" s="342">
        <f t="shared" si="182"/>
        <v>15.84550409</v>
      </c>
      <c r="CL1829" s="333">
        <f t="shared" si="183"/>
        <v>41.54708173</v>
      </c>
      <c r="CM1829" s="1079" t="s">
        <v>2579</v>
      </c>
      <c r="CN1829" s="1005" t="s">
        <v>2714</v>
      </c>
      <c r="CO1829" s="1005" t="s">
        <v>2721</v>
      </c>
      <c r="CP1829" s="1005" t="s">
        <v>2616</v>
      </c>
    </row>
    <row r="1830">
      <c r="A1830" s="266"/>
      <c r="B1830" s="1113" t="s">
        <v>2649</v>
      </c>
      <c r="C1830" s="1107">
        <v>45484.0</v>
      </c>
      <c r="D1830" s="1113" t="s">
        <v>986</v>
      </c>
      <c r="E1830" s="1108" t="s">
        <v>2722</v>
      </c>
      <c r="F1830" s="112" t="s">
        <v>2723</v>
      </c>
      <c r="G1830" s="1110">
        <v>0.48096064814814815</v>
      </c>
      <c r="H1830" s="1110">
        <v>0.48194444444444445</v>
      </c>
      <c r="I1830" s="1110"/>
      <c r="J1830" s="1111"/>
      <c r="K1830" s="1111">
        <v>0.5131365740740741</v>
      </c>
      <c r="L1830" s="1112">
        <v>0.03119212962962963</v>
      </c>
      <c r="M1830" s="1113" t="s">
        <v>166</v>
      </c>
      <c r="N1830" s="110" t="s">
        <v>187</v>
      </c>
      <c r="O1830" s="1115" t="s">
        <v>203</v>
      </c>
      <c r="P1830" s="1115" t="s">
        <v>250</v>
      </c>
      <c r="Q1830" s="1115" t="s">
        <v>842</v>
      </c>
      <c r="R1830" s="120">
        <v>15.1</v>
      </c>
      <c r="S1830" s="1113">
        <v>2.4</v>
      </c>
      <c r="T1830" s="110">
        <v>1.2</v>
      </c>
      <c r="U1830" s="1108">
        <v>0.272</v>
      </c>
      <c r="V1830" s="1108"/>
      <c r="W1830" s="1108"/>
      <c r="X1830" s="1108"/>
      <c r="Y1830" s="1108"/>
      <c r="Z1830" s="1114" t="s">
        <v>357</v>
      </c>
      <c r="AA1830" s="1114"/>
      <c r="AB1830" s="1114" t="s">
        <v>380</v>
      </c>
      <c r="AC1830" s="1117">
        <v>4.0</v>
      </c>
      <c r="AD1830" s="1115"/>
      <c r="AE1830" s="1115"/>
      <c r="AF1830" s="1115"/>
      <c r="AG1830" s="1115"/>
      <c r="AH1830" s="1115"/>
      <c r="AI1830" s="1115"/>
      <c r="AJ1830" s="1117"/>
      <c r="AK1830" s="1118"/>
      <c r="AL1830" s="1115"/>
      <c r="AM1830" s="1115"/>
      <c r="AN1830" s="1115"/>
      <c r="AO1830" s="1115"/>
      <c r="AP1830" s="1115"/>
      <c r="AQ1830" s="1115"/>
      <c r="AR1830" s="1115"/>
      <c r="AS1830" s="1117"/>
      <c r="AT1830" s="1196" t="str">
        <f t="shared" si="428"/>
        <v>0-1</v>
      </c>
      <c r="AU1830" s="1193"/>
      <c r="AV1830" s="330">
        <f>SQRT(($R1830-Infrastructure!J$3)^2+($S1830-Infrastructure!K$3)^2)</f>
        <v>30.64979608</v>
      </c>
      <c r="AW1830" s="331">
        <f>SQRT(($R1830-Infrastructure!J$4)^2+($S1830-Infrastructure!K$4)^2)</f>
        <v>21.77888886</v>
      </c>
      <c r="AX1830" s="331">
        <f>SQRT(($R1830-Infrastructure!J$5)^2+($S1830-Infrastructure!K$5)^2)</f>
        <v>15.63489687</v>
      </c>
      <c r="AY1830" s="331">
        <f>SQRT(($R1830-Infrastructure!J$6)^2+($S1830-Infrastructure!K$6)^2)</f>
        <v>5.423098745</v>
      </c>
      <c r="AZ1830" s="331">
        <f>SQRT(($R1830-Infrastructure!J$7)^2+($S1830-Infrastructure!K$7)^2)</f>
        <v>5.793962375</v>
      </c>
      <c r="BA1830" s="331">
        <f>SQRT(($R1830-Infrastructure!J$8)^2+($S1830-Infrastructure!K$8)^2)</f>
        <v>15.14628667</v>
      </c>
      <c r="BB1830" s="331">
        <f>SQRT(($R1830-Infrastructure!J$9)^2+($S1830-Infrastructure!K$9)^2)</f>
        <v>25.04595776</v>
      </c>
      <c r="BC1830" s="331">
        <f>SQRT(($R1830-Infrastructure!J$10)^2+($S1830-Infrastructure!K$10)^2)</f>
        <v>27.90645087</v>
      </c>
      <c r="BD1830" s="331">
        <f>SQRT(($R1830-Infrastructure!J$11)^2+($S1830-Infrastructure!K$11)^2)</f>
        <v>36.5728041</v>
      </c>
      <c r="BE1830" s="333">
        <f>SQRT(($R1830-Infrastructure!J$12)^2+($S1830-Infrastructure!K$12)^2)</f>
        <v>53.48429676</v>
      </c>
      <c r="BF1830" s="330">
        <f t="shared" si="161"/>
        <v>5.423098745</v>
      </c>
      <c r="BG1830" s="333">
        <f t="shared" si="162"/>
        <v>53.48429676</v>
      </c>
      <c r="BH1830" s="1119"/>
      <c r="BI1830" s="319" t="str">
        <f t="shared" ref="BI1830:BR1830" si="511">IF(ISNUMBER(FIND(BI$3, $CO1830)), "Y", "")</f>
        <v>Y</v>
      </c>
      <c r="BJ1830" s="319" t="str">
        <f t="shared" si="511"/>
        <v/>
      </c>
      <c r="BK1830" s="319" t="str">
        <f t="shared" si="511"/>
        <v/>
      </c>
      <c r="BL1830" s="319" t="str">
        <f t="shared" si="511"/>
        <v>Y</v>
      </c>
      <c r="BM1830" s="319" t="str">
        <f t="shared" si="511"/>
        <v>Y</v>
      </c>
      <c r="BN1830" s="319" t="str">
        <f t="shared" si="511"/>
        <v>Y</v>
      </c>
      <c r="BO1830" s="319" t="str">
        <f t="shared" si="511"/>
        <v/>
      </c>
      <c r="BP1830" s="319" t="str">
        <f t="shared" si="511"/>
        <v/>
      </c>
      <c r="BQ1830" s="319" t="str">
        <f t="shared" si="511"/>
        <v/>
      </c>
      <c r="BR1830" s="319" t="str">
        <f t="shared" si="511"/>
        <v>Y</v>
      </c>
      <c r="BS1830" s="330">
        <f t="shared" si="185"/>
        <v>5.423098745</v>
      </c>
      <c r="BT1830" s="331">
        <f t="shared" si="170"/>
        <v>53.48429676</v>
      </c>
      <c r="BU1830" s="920">
        <v>0.48230324074074077</v>
      </c>
      <c r="BV1830" s="903">
        <f t="shared" si="186"/>
        <v>0.001342592593</v>
      </c>
      <c r="BW1830" s="908">
        <v>6.7</v>
      </c>
      <c r="BX1830" s="908">
        <v>29.4</v>
      </c>
      <c r="BY1830" s="331">
        <f t="shared" si="201"/>
        <v>28.276492</v>
      </c>
      <c r="BZ1830" s="331"/>
      <c r="CA1830" s="462" t="str">
        <f t="shared" ref="CA1830:CJ1830" si="512">IF(ISNUMBER(FIND(BI$3, $CP1830)), "Y", "")</f>
        <v>Y</v>
      </c>
      <c r="CB1830" s="319" t="str">
        <f t="shared" si="512"/>
        <v>Y</v>
      </c>
      <c r="CC1830" s="319" t="str">
        <f t="shared" si="512"/>
        <v>Y</v>
      </c>
      <c r="CD1830" s="319" t="str">
        <f t="shared" si="512"/>
        <v>Y</v>
      </c>
      <c r="CE1830" s="319" t="str">
        <f t="shared" si="512"/>
        <v>Y</v>
      </c>
      <c r="CF1830" s="319" t="str">
        <f t="shared" si="512"/>
        <v>Y</v>
      </c>
      <c r="CG1830" s="319" t="str">
        <f t="shared" si="512"/>
        <v>Y</v>
      </c>
      <c r="CH1830" s="319" t="str">
        <f t="shared" si="512"/>
        <v/>
      </c>
      <c r="CI1830" s="319" t="str">
        <f t="shared" si="512"/>
        <v/>
      </c>
      <c r="CJ1830" s="319" t="str">
        <f t="shared" si="512"/>
        <v>Y</v>
      </c>
      <c r="CK1830" s="342">
        <f t="shared" si="182"/>
        <v>5.423098745</v>
      </c>
      <c r="CL1830" s="333">
        <f t="shared" si="183"/>
        <v>53.48429676</v>
      </c>
      <c r="CM1830" s="1079" t="s">
        <v>2579</v>
      </c>
      <c r="CN1830" s="1005" t="s">
        <v>2714</v>
      </c>
      <c r="CO1830" s="1005" t="s">
        <v>2721</v>
      </c>
      <c r="CP1830" s="1005" t="s">
        <v>2616</v>
      </c>
    </row>
    <row r="1831">
      <c r="A1831" s="266"/>
      <c r="B1831" s="1113" t="s">
        <v>2649</v>
      </c>
      <c r="C1831" s="1107">
        <v>45484.0</v>
      </c>
      <c r="D1831" s="1113" t="s">
        <v>986</v>
      </c>
      <c r="E1831" s="1108" t="s">
        <v>2724</v>
      </c>
      <c r="F1831" s="112" t="s">
        <v>2725</v>
      </c>
      <c r="G1831" s="1110">
        <v>0.4809953703703704</v>
      </c>
      <c r="H1831" s="1110">
        <v>0.48194444444444445</v>
      </c>
      <c r="I1831" s="1110"/>
      <c r="J1831" s="1111"/>
      <c r="K1831" s="1111">
        <v>0.5131712962962963</v>
      </c>
      <c r="L1831" s="1112">
        <v>0.031226851851851853</v>
      </c>
      <c r="M1831" s="1113" t="s">
        <v>166</v>
      </c>
      <c r="N1831" s="110" t="s">
        <v>187</v>
      </c>
      <c r="O1831" s="1115" t="s">
        <v>205</v>
      </c>
      <c r="P1831" s="1115" t="s">
        <v>213</v>
      </c>
      <c r="Q1831" s="1115" t="s">
        <v>842</v>
      </c>
      <c r="R1831" s="120">
        <v>21.5</v>
      </c>
      <c r="S1831" s="1113">
        <v>4.1</v>
      </c>
      <c r="T1831" s="110">
        <v>2.3</v>
      </c>
      <c r="U1831" s="1108">
        <v>0.272</v>
      </c>
      <c r="V1831" s="1108"/>
      <c r="W1831" s="1108"/>
      <c r="X1831" s="1108"/>
      <c r="Y1831" s="1108"/>
      <c r="Z1831" s="1114" t="s">
        <v>370</v>
      </c>
      <c r="AA1831" s="1114"/>
      <c r="AB1831" s="1114" t="s">
        <v>380</v>
      </c>
      <c r="AC1831" s="1117">
        <v>4.0</v>
      </c>
      <c r="AD1831" s="1115"/>
      <c r="AE1831" s="1115"/>
      <c r="AF1831" s="1115"/>
      <c r="AG1831" s="1115"/>
      <c r="AH1831" s="1115"/>
      <c r="AI1831" s="1115"/>
      <c r="AJ1831" s="1117"/>
      <c r="AK1831" s="1118"/>
      <c r="AL1831" s="1115"/>
      <c r="AM1831" s="1115"/>
      <c r="AN1831" s="1115"/>
      <c r="AO1831" s="1115"/>
      <c r="AP1831" s="1115"/>
      <c r="AQ1831" s="1115"/>
      <c r="AR1831" s="1115"/>
      <c r="AS1831" s="1117"/>
      <c r="AT1831" s="1196" t="str">
        <f t="shared" si="428"/>
        <v>0-1</v>
      </c>
      <c r="AU1831" s="1193"/>
      <c r="AV1831" s="330">
        <f>SQRT(($R1831-Infrastructure!J$3)^2+($S1831-Infrastructure!K$3)^2)</f>
        <v>33.01938824</v>
      </c>
      <c r="AW1831" s="331">
        <f>SQRT(($R1831-Infrastructure!J$4)^2+($S1831-Infrastructure!K$4)^2)</f>
        <v>25.74742706</v>
      </c>
      <c r="AX1831" s="331">
        <f>SQRT(($R1831-Infrastructure!J$5)^2+($S1831-Infrastructure!K$5)^2)</f>
        <v>21.82292373</v>
      </c>
      <c r="AY1831" s="331">
        <f>SQRT(($R1831-Infrastructure!J$6)^2+($S1831-Infrastructure!K$6)^2)</f>
        <v>12.01665511</v>
      </c>
      <c r="AZ1831" s="331">
        <f>SQRT(($R1831-Infrastructure!J$7)^2+($S1831-Infrastructure!K$7)^2)</f>
        <v>3.929376541</v>
      </c>
      <c r="BA1831" s="331">
        <f>SQRT(($R1831-Infrastructure!J$8)^2+($S1831-Infrastructure!K$8)^2)</f>
        <v>9.402127419</v>
      </c>
      <c r="BB1831" s="331">
        <f>SQRT(($R1831-Infrastructure!J$9)^2+($S1831-Infrastructure!K$9)^2)</f>
        <v>18.52700731</v>
      </c>
      <c r="BC1831" s="331">
        <f>SQRT(($R1831-Infrastructure!J$10)^2+($S1831-Infrastructure!K$10)^2)</f>
        <v>21.47230775</v>
      </c>
      <c r="BD1831" s="331">
        <f>SQRT(($R1831-Infrastructure!J$11)^2+($S1831-Infrastructure!K$11)^2)</f>
        <v>31.14000642</v>
      </c>
      <c r="BE1831" s="333">
        <f>SQRT(($R1831-Infrastructure!J$12)^2+($S1831-Infrastructure!K$12)^2)</f>
        <v>51.4</v>
      </c>
      <c r="BF1831" s="330">
        <f t="shared" si="161"/>
        <v>3.929376541</v>
      </c>
      <c r="BG1831" s="333">
        <f t="shared" si="162"/>
        <v>51.4</v>
      </c>
      <c r="BH1831" s="1119"/>
      <c r="BI1831" s="319" t="str">
        <f t="shared" ref="BI1831:BR1831" si="513">IF(ISNUMBER(FIND(BI$3, $CO1831)), "Y", "")</f>
        <v>Y</v>
      </c>
      <c r="BJ1831" s="319" t="str">
        <f t="shared" si="513"/>
        <v/>
      </c>
      <c r="BK1831" s="319" t="str">
        <f t="shared" si="513"/>
        <v/>
      </c>
      <c r="BL1831" s="319" t="str">
        <f t="shared" si="513"/>
        <v>Y</v>
      </c>
      <c r="BM1831" s="319" t="str">
        <f t="shared" si="513"/>
        <v>Y</v>
      </c>
      <c r="BN1831" s="319" t="str">
        <f t="shared" si="513"/>
        <v>Y</v>
      </c>
      <c r="BO1831" s="319" t="str">
        <f t="shared" si="513"/>
        <v/>
      </c>
      <c r="BP1831" s="319" t="str">
        <f t="shared" si="513"/>
        <v/>
      </c>
      <c r="BQ1831" s="319" t="str">
        <f t="shared" si="513"/>
        <v/>
      </c>
      <c r="BR1831" s="319" t="str">
        <f t="shared" si="513"/>
        <v>Y</v>
      </c>
      <c r="BS1831" s="330">
        <f t="shared" si="185"/>
        <v>3.929376541</v>
      </c>
      <c r="BT1831" s="331">
        <f t="shared" si="170"/>
        <v>51.4</v>
      </c>
      <c r="BU1831" s="920">
        <v>0.48230324074074077</v>
      </c>
      <c r="BV1831" s="903">
        <f t="shared" si="186"/>
        <v>0.00130787037</v>
      </c>
      <c r="BW1831" s="908">
        <v>6.7</v>
      </c>
      <c r="BX1831" s="908">
        <v>29.4</v>
      </c>
      <c r="BY1831" s="331">
        <f t="shared" si="201"/>
        <v>29.31091947</v>
      </c>
      <c r="BZ1831" s="331"/>
      <c r="CA1831" s="462" t="str">
        <f t="shared" ref="CA1831:CJ1831" si="514">IF(ISNUMBER(FIND(BI$3, $CP1831)), "Y", "")</f>
        <v>Y</v>
      </c>
      <c r="CB1831" s="319" t="str">
        <f t="shared" si="514"/>
        <v>Y</v>
      </c>
      <c r="CC1831" s="319" t="str">
        <f t="shared" si="514"/>
        <v>Y</v>
      </c>
      <c r="CD1831" s="319" t="str">
        <f t="shared" si="514"/>
        <v>Y</v>
      </c>
      <c r="CE1831" s="319" t="str">
        <f t="shared" si="514"/>
        <v>Y</v>
      </c>
      <c r="CF1831" s="319" t="str">
        <f t="shared" si="514"/>
        <v>Y</v>
      </c>
      <c r="CG1831" s="319" t="str">
        <f t="shared" si="514"/>
        <v>Y</v>
      </c>
      <c r="CH1831" s="319" t="str">
        <f t="shared" si="514"/>
        <v/>
      </c>
      <c r="CI1831" s="319" t="str">
        <f t="shared" si="514"/>
        <v/>
      </c>
      <c r="CJ1831" s="319" t="str">
        <f t="shared" si="514"/>
        <v>Y</v>
      </c>
      <c r="CK1831" s="342">
        <f t="shared" si="182"/>
        <v>3.929376541</v>
      </c>
      <c r="CL1831" s="333">
        <f t="shared" si="183"/>
        <v>51.4</v>
      </c>
      <c r="CM1831" s="1079" t="s">
        <v>2579</v>
      </c>
      <c r="CN1831" s="1005" t="s">
        <v>2714</v>
      </c>
      <c r="CO1831" s="1005" t="s">
        <v>2721</v>
      </c>
      <c r="CP1831" s="1005" t="s">
        <v>2616</v>
      </c>
    </row>
    <row r="1832">
      <c r="A1832" s="266"/>
      <c r="B1832" s="1113" t="s">
        <v>2649</v>
      </c>
      <c r="C1832" s="1107">
        <v>45484.0</v>
      </c>
      <c r="D1832" s="1113" t="s">
        <v>986</v>
      </c>
      <c r="E1832" s="1108" t="s">
        <v>2726</v>
      </c>
      <c r="F1832" s="112" t="s">
        <v>2727</v>
      </c>
      <c r="G1832" s="1110">
        <v>0.4810185185185185</v>
      </c>
      <c r="H1832" s="1110">
        <v>0.4826388888888889</v>
      </c>
      <c r="I1832" s="1110"/>
      <c r="J1832" s="1111"/>
      <c r="K1832" s="1111">
        <v>0.5131944444444444</v>
      </c>
      <c r="L1832" s="1112">
        <v>0.030555555555555555</v>
      </c>
      <c r="M1832" s="1113" t="s">
        <v>166</v>
      </c>
      <c r="N1832" s="110" t="s">
        <v>187</v>
      </c>
      <c r="O1832" s="1115" t="s">
        <v>207</v>
      </c>
      <c r="P1832" s="1115" t="s">
        <v>226</v>
      </c>
      <c r="Q1832" s="1115" t="s">
        <v>842</v>
      </c>
      <c r="R1832" s="120">
        <v>26.0</v>
      </c>
      <c r="S1832" s="1113">
        <v>13.3</v>
      </c>
      <c r="T1832" s="110">
        <v>0.1</v>
      </c>
      <c r="U1832" s="1108">
        <v>0.272</v>
      </c>
      <c r="V1832" s="1108"/>
      <c r="W1832" s="1108"/>
      <c r="X1832" s="1108"/>
      <c r="Y1832" s="1108"/>
      <c r="Z1832" s="1114" t="s">
        <v>374</v>
      </c>
      <c r="AA1832" s="1114"/>
      <c r="AB1832" s="1114" t="s">
        <v>380</v>
      </c>
      <c r="AC1832" s="1117">
        <v>4.0</v>
      </c>
      <c r="AD1832" s="1115"/>
      <c r="AE1832" s="1115"/>
      <c r="AF1832" s="1115"/>
      <c r="AG1832" s="1115"/>
      <c r="AH1832" s="1115"/>
      <c r="AI1832" s="1115"/>
      <c r="AJ1832" s="1117"/>
      <c r="AK1832" s="1118"/>
      <c r="AL1832" s="1115"/>
      <c r="AM1832" s="1115"/>
      <c r="AN1832" s="1115"/>
      <c r="AO1832" s="1115"/>
      <c r="AP1832" s="1115"/>
      <c r="AQ1832" s="1115"/>
      <c r="AR1832" s="1115"/>
      <c r="AS1832" s="1117"/>
      <c r="AT1832" s="1196" t="str">
        <f t="shared" si="428"/>
        <v>0-1</v>
      </c>
      <c r="AU1832" s="1193"/>
      <c r="AV1832" s="330">
        <f>SQRT(($R1832-Infrastructure!J$3)^2+($S1832-Infrastructure!K$3)^2)</f>
        <v>30.57858728</v>
      </c>
      <c r="AW1832" s="331">
        <f>SQRT(($R1832-Infrastructure!J$4)^2+($S1832-Infrastructure!K$4)^2)</f>
        <v>26.68220381</v>
      </c>
      <c r="AX1832" s="331">
        <f>SQRT(($R1832-Infrastructure!J$5)^2+($S1832-Infrastructure!K$5)^2)</f>
        <v>27.54868418</v>
      </c>
      <c r="AY1832" s="331">
        <f>SQRT(($R1832-Infrastructure!J$6)^2+($S1832-Infrastructure!K$6)^2)</f>
        <v>20.53801354</v>
      </c>
      <c r="AZ1832" s="331">
        <f>SQRT(($R1832-Infrastructure!J$7)^2+($S1832-Infrastructure!K$7)^2)</f>
        <v>14.11559421</v>
      </c>
      <c r="BA1832" s="331">
        <f>SQRT(($R1832-Infrastructure!J$8)^2+($S1832-Infrastructure!K$8)^2)</f>
        <v>13.63121418</v>
      </c>
      <c r="BB1832" s="331">
        <f>SQRT(($R1832-Infrastructure!J$9)^2+($S1832-Infrastructure!K$9)^2)</f>
        <v>16.22467257</v>
      </c>
      <c r="BC1832" s="331">
        <f>SQRT(($R1832-Infrastructure!J$10)^2+($S1832-Infrastructure!K$10)^2)</f>
        <v>14.10283659</v>
      </c>
      <c r="BD1832" s="331">
        <f>SQRT(($R1832-Infrastructure!J$11)^2+($S1832-Infrastructure!K$11)^2)</f>
        <v>21.16908123</v>
      </c>
      <c r="BE1832" s="333">
        <f>SQRT(($R1832-Infrastructure!J$12)^2+($S1832-Infrastructure!K$12)^2)</f>
        <v>42.4392507</v>
      </c>
      <c r="BF1832" s="330">
        <f t="shared" si="161"/>
        <v>13.63121418</v>
      </c>
      <c r="BG1832" s="333">
        <f t="shared" si="162"/>
        <v>42.4392507</v>
      </c>
      <c r="BH1832" s="1119"/>
      <c r="BI1832" s="319" t="str">
        <f t="shared" ref="BI1832:BR1832" si="515">IF(ISNUMBER(FIND(BI$3, $CO1832)), "Y", "")</f>
        <v>Y</v>
      </c>
      <c r="BJ1832" s="319" t="str">
        <f t="shared" si="515"/>
        <v/>
      </c>
      <c r="BK1832" s="319" t="str">
        <f t="shared" si="515"/>
        <v/>
      </c>
      <c r="BL1832" s="319" t="str">
        <f t="shared" si="515"/>
        <v>Y</v>
      </c>
      <c r="BM1832" s="319" t="str">
        <f t="shared" si="515"/>
        <v>Y</v>
      </c>
      <c r="BN1832" s="319" t="str">
        <f t="shared" si="515"/>
        <v>Y</v>
      </c>
      <c r="BO1832" s="319" t="str">
        <f t="shared" si="515"/>
        <v/>
      </c>
      <c r="BP1832" s="319" t="str">
        <f t="shared" si="515"/>
        <v/>
      </c>
      <c r="BQ1832" s="319" t="str">
        <f t="shared" si="515"/>
        <v/>
      </c>
      <c r="BR1832" s="319" t="str">
        <f t="shared" si="515"/>
        <v>Y</v>
      </c>
      <c r="BS1832" s="330">
        <f t="shared" si="185"/>
        <v>13.63121418</v>
      </c>
      <c r="BT1832" s="331">
        <f t="shared" si="170"/>
        <v>42.4392507</v>
      </c>
      <c r="BU1832" s="920">
        <v>0.48230324074074077</v>
      </c>
      <c r="BV1832" s="903">
        <f t="shared" si="186"/>
        <v>0.001284722222</v>
      </c>
      <c r="BW1832" s="908">
        <v>6.7</v>
      </c>
      <c r="BX1832" s="908">
        <v>29.4</v>
      </c>
      <c r="BY1832" s="331">
        <f t="shared" si="201"/>
        <v>25.13364279</v>
      </c>
      <c r="BZ1832" s="331"/>
      <c r="CA1832" s="462" t="str">
        <f t="shared" ref="CA1832:CJ1832" si="516">IF(ISNUMBER(FIND(BI$3, $CP1832)), "Y", "")</f>
        <v>Y</v>
      </c>
      <c r="CB1832" s="319" t="str">
        <f t="shared" si="516"/>
        <v>Y</v>
      </c>
      <c r="CC1832" s="319" t="str">
        <f t="shared" si="516"/>
        <v>Y</v>
      </c>
      <c r="CD1832" s="319" t="str">
        <f t="shared" si="516"/>
        <v>Y</v>
      </c>
      <c r="CE1832" s="319" t="str">
        <f t="shared" si="516"/>
        <v>Y</v>
      </c>
      <c r="CF1832" s="319" t="str">
        <f t="shared" si="516"/>
        <v>Y</v>
      </c>
      <c r="CG1832" s="319" t="str">
        <f t="shared" si="516"/>
        <v>Y</v>
      </c>
      <c r="CH1832" s="319" t="str">
        <f t="shared" si="516"/>
        <v/>
      </c>
      <c r="CI1832" s="319" t="str">
        <f t="shared" si="516"/>
        <v/>
      </c>
      <c r="CJ1832" s="319" t="str">
        <f t="shared" si="516"/>
        <v>Y</v>
      </c>
      <c r="CK1832" s="342">
        <f t="shared" si="182"/>
        <v>13.63121418</v>
      </c>
      <c r="CL1832" s="333">
        <f t="shared" si="183"/>
        <v>42.4392507</v>
      </c>
      <c r="CM1832" s="1079" t="s">
        <v>2579</v>
      </c>
      <c r="CN1832" s="1005" t="s">
        <v>2714</v>
      </c>
      <c r="CO1832" s="1005" t="s">
        <v>2721</v>
      </c>
      <c r="CP1832" s="1005" t="s">
        <v>2616</v>
      </c>
    </row>
    <row r="1833">
      <c r="A1833" s="266"/>
      <c r="B1833" s="1113" t="s">
        <v>2649</v>
      </c>
      <c r="C1833" s="1107">
        <v>45484.0</v>
      </c>
      <c r="D1833" s="1113" t="s">
        <v>986</v>
      </c>
      <c r="E1833" s="1108" t="s">
        <v>1327</v>
      </c>
      <c r="F1833" s="112" t="s">
        <v>2728</v>
      </c>
      <c r="G1833" s="1110">
        <v>0.5734375</v>
      </c>
      <c r="H1833" s="1110">
        <v>0.5743055555555555</v>
      </c>
      <c r="I1833" s="1110"/>
      <c r="J1833" s="1111"/>
      <c r="K1833" s="1111">
        <v>0.6059027777777778</v>
      </c>
      <c r="L1833" s="1112">
        <v>0.03159722222222222</v>
      </c>
      <c r="M1833" s="1113" t="s">
        <v>166</v>
      </c>
      <c r="N1833" s="110" t="s">
        <v>188</v>
      </c>
      <c r="O1833" s="1115" t="s">
        <v>378</v>
      </c>
      <c r="P1833" s="1115" t="s">
        <v>225</v>
      </c>
      <c r="Q1833" s="1115" t="s">
        <v>842</v>
      </c>
      <c r="R1833" s="120">
        <v>22.7</v>
      </c>
      <c r="S1833" s="1113">
        <v>39.7</v>
      </c>
      <c r="T1833" s="110">
        <v>1.1</v>
      </c>
      <c r="U1833" s="1108">
        <v>1.683</v>
      </c>
      <c r="V1833" s="1108"/>
      <c r="W1833" s="1108"/>
      <c r="X1833" s="1108"/>
      <c r="Y1833" s="1108"/>
      <c r="Z1833" s="1114" t="s">
        <v>1221</v>
      </c>
      <c r="AA1833" s="1114"/>
      <c r="AB1833" s="1114" t="s">
        <v>403</v>
      </c>
      <c r="AC1833" s="1117">
        <v>8.0</v>
      </c>
      <c r="AD1833" s="1115"/>
      <c r="AE1833" s="1115"/>
      <c r="AF1833" s="1115"/>
      <c r="AG1833" s="1115"/>
      <c r="AH1833" s="1115"/>
      <c r="AI1833" s="1115"/>
      <c r="AJ1833" s="1117"/>
      <c r="AK1833" s="1118"/>
      <c r="AL1833" s="1115"/>
      <c r="AM1833" s="1115"/>
      <c r="AN1833" s="1115"/>
      <c r="AO1833" s="1115"/>
      <c r="AP1833" s="1115"/>
      <c r="AQ1833" s="1115"/>
      <c r="AR1833" s="1115"/>
      <c r="AS1833" s="1117"/>
      <c r="AT1833" s="1196" t="str">
        <f t="shared" si="428"/>
        <v>1-10</v>
      </c>
      <c r="AU1833" s="1193"/>
      <c r="AV1833" s="330">
        <f>SQRT(($R1833-Infrastructure!J$3)^2+($S1833-Infrastructure!K$3)^2)</f>
        <v>25.40944706</v>
      </c>
      <c r="AW1833" s="331">
        <f>SQRT(($R1833-Infrastructure!J$4)^2+($S1833-Infrastructure!K$4)^2)</f>
        <v>31.75862088</v>
      </c>
      <c r="AX1833" s="331">
        <f>SQRT(($R1833-Infrastructure!J$5)^2+($S1833-Infrastructure!K$5)^2)</f>
        <v>41.54708173</v>
      </c>
      <c r="AY1833" s="331">
        <f>SQRT(($R1833-Infrastructure!J$6)^2+($S1833-Infrastructure!K$6)^2)</f>
        <v>41.36568626</v>
      </c>
      <c r="AZ1833" s="331">
        <f>SQRT(($R1833-Infrastructure!J$7)^2+($S1833-Infrastructure!K$7)^2)</f>
        <v>39.46137352</v>
      </c>
      <c r="BA1833" s="331">
        <f>SQRT(($R1833-Infrastructure!J$8)^2+($S1833-Infrastructure!K$8)^2)</f>
        <v>40.08890121</v>
      </c>
      <c r="BB1833" s="331">
        <f>SQRT(($R1833-Infrastructure!J$9)^2+($S1833-Infrastructure!K$9)^2)</f>
        <v>38.68397601</v>
      </c>
      <c r="BC1833" s="331">
        <f>SQRT(($R1833-Infrastructure!J$10)^2+($S1833-Infrastructure!K$10)^2)</f>
        <v>30.15592811</v>
      </c>
      <c r="BD1833" s="331">
        <f>SQRT(($R1833-Infrastructure!J$11)^2+($S1833-Infrastructure!K$11)^2)</f>
        <v>20.51194774</v>
      </c>
      <c r="BE1833" s="333">
        <f>SQRT(($R1833-Infrastructure!J$12)^2+($S1833-Infrastructure!K$12)^2)</f>
        <v>15.84550409</v>
      </c>
      <c r="BF1833" s="330">
        <f t="shared" si="161"/>
        <v>15.84550409</v>
      </c>
      <c r="BG1833" s="333">
        <f t="shared" si="162"/>
        <v>41.54708173</v>
      </c>
      <c r="BH1833" s="1119"/>
      <c r="BI1833" s="319" t="str">
        <f t="shared" ref="BI1833:BR1833" si="517">IF(ISNUMBER(FIND(BI$3, $CO1833)), "Y", "")</f>
        <v>Y</v>
      </c>
      <c r="BJ1833" s="319" t="str">
        <f t="shared" si="517"/>
        <v/>
      </c>
      <c r="BK1833" s="319" t="str">
        <f t="shared" si="517"/>
        <v>Y</v>
      </c>
      <c r="BL1833" s="319" t="str">
        <f t="shared" si="517"/>
        <v>Y</v>
      </c>
      <c r="BM1833" s="319" t="str">
        <f t="shared" si="517"/>
        <v>Y</v>
      </c>
      <c r="BN1833" s="319" t="str">
        <f t="shared" si="517"/>
        <v>Y</v>
      </c>
      <c r="BO1833" s="319" t="str">
        <f t="shared" si="517"/>
        <v>Y</v>
      </c>
      <c r="BP1833" s="319" t="str">
        <f t="shared" si="517"/>
        <v/>
      </c>
      <c r="BQ1833" s="319" t="str">
        <f t="shared" si="517"/>
        <v>Y</v>
      </c>
      <c r="BR1833" s="319" t="str">
        <f t="shared" si="517"/>
        <v>Y</v>
      </c>
      <c r="BS1833" s="330">
        <f t="shared" si="185"/>
        <v>15.84550409</v>
      </c>
      <c r="BT1833" s="331">
        <f t="shared" si="170"/>
        <v>41.54708173</v>
      </c>
      <c r="BU1833" s="920">
        <v>0.574212962962963</v>
      </c>
      <c r="BV1833" s="903">
        <f t="shared" si="186"/>
        <v>0.000775462963</v>
      </c>
      <c r="BW1833" s="908">
        <v>14.8</v>
      </c>
      <c r="BX1833" s="908">
        <v>27.6</v>
      </c>
      <c r="BY1833" s="331">
        <f t="shared" si="201"/>
        <v>14.45060552</v>
      </c>
      <c r="BZ1833" s="331"/>
      <c r="CA1833" s="462" t="str">
        <f t="shared" ref="CA1833:CJ1833" si="518">IF(ISNUMBER(FIND(BI$3, $CP1833)), "Y", "")</f>
        <v>Y</v>
      </c>
      <c r="CB1833" s="319" t="str">
        <f t="shared" si="518"/>
        <v>Y</v>
      </c>
      <c r="CC1833" s="319" t="str">
        <f t="shared" si="518"/>
        <v>Y</v>
      </c>
      <c r="CD1833" s="319" t="str">
        <f t="shared" si="518"/>
        <v>Y</v>
      </c>
      <c r="CE1833" s="319" t="str">
        <f t="shared" si="518"/>
        <v>Y</v>
      </c>
      <c r="CF1833" s="319" t="str">
        <f t="shared" si="518"/>
        <v>Y</v>
      </c>
      <c r="CG1833" s="319" t="str">
        <f t="shared" si="518"/>
        <v>Y</v>
      </c>
      <c r="CH1833" s="319" t="str">
        <f t="shared" si="518"/>
        <v/>
      </c>
      <c r="CI1833" s="319" t="str">
        <f t="shared" si="518"/>
        <v>Y</v>
      </c>
      <c r="CJ1833" s="319" t="str">
        <f t="shared" si="518"/>
        <v>Y</v>
      </c>
      <c r="CK1833" s="342">
        <f t="shared" si="182"/>
        <v>15.84550409</v>
      </c>
      <c r="CL1833" s="333">
        <f t="shared" si="183"/>
        <v>41.54708173</v>
      </c>
      <c r="CM1833" s="1079" t="s">
        <v>2418</v>
      </c>
      <c r="CN1833" s="1005" t="s">
        <v>2729</v>
      </c>
      <c r="CO1833" s="1005" t="s">
        <v>2460</v>
      </c>
      <c r="CP1833" s="1005" t="s">
        <v>2400</v>
      </c>
    </row>
    <row r="1834">
      <c r="A1834" s="266"/>
      <c r="B1834" s="1113" t="s">
        <v>2649</v>
      </c>
      <c r="C1834" s="1107">
        <v>45484.0</v>
      </c>
      <c r="D1834" s="1113" t="s">
        <v>986</v>
      </c>
      <c r="E1834" s="1108" t="s">
        <v>1329</v>
      </c>
      <c r="F1834" s="112" t="s">
        <v>2730</v>
      </c>
      <c r="G1834" s="1110">
        <v>0.5736111111111111</v>
      </c>
      <c r="H1834" s="1110">
        <v>0.5746527777777778</v>
      </c>
      <c r="I1834" s="1110"/>
      <c r="J1834" s="1111"/>
      <c r="K1834" s="1111">
        <v>0.6059606481481481</v>
      </c>
      <c r="L1834" s="1112">
        <v>0.03130787037037037</v>
      </c>
      <c r="M1834" s="1113" t="s">
        <v>166</v>
      </c>
      <c r="N1834" s="110" t="s">
        <v>187</v>
      </c>
      <c r="O1834" s="1115" t="s">
        <v>203</v>
      </c>
      <c r="P1834" s="1115" t="s">
        <v>250</v>
      </c>
      <c r="Q1834" s="1115" t="s">
        <v>842</v>
      </c>
      <c r="R1834" s="120">
        <v>15.1</v>
      </c>
      <c r="S1834" s="1113">
        <v>2.4</v>
      </c>
      <c r="T1834" s="110">
        <v>1.2</v>
      </c>
      <c r="U1834" s="1108">
        <v>1.122</v>
      </c>
      <c r="V1834" s="1108"/>
      <c r="W1834" s="1108"/>
      <c r="X1834" s="1108"/>
      <c r="Y1834" s="1108"/>
      <c r="Z1834" s="1114" t="s">
        <v>357</v>
      </c>
      <c r="AA1834" s="1114"/>
      <c r="AB1834" s="1114" t="s">
        <v>384</v>
      </c>
      <c r="AC1834" s="1117">
        <v>6.0</v>
      </c>
      <c r="AD1834" s="1115"/>
      <c r="AE1834" s="1115"/>
      <c r="AF1834" s="1115"/>
      <c r="AG1834" s="1115"/>
      <c r="AH1834" s="1115"/>
      <c r="AI1834" s="1115"/>
      <c r="AJ1834" s="1117"/>
      <c r="AK1834" s="1118"/>
      <c r="AL1834" s="1115"/>
      <c r="AM1834" s="1115"/>
      <c r="AN1834" s="1115"/>
      <c r="AO1834" s="1115"/>
      <c r="AP1834" s="1115"/>
      <c r="AQ1834" s="1115"/>
      <c r="AR1834" s="1115"/>
      <c r="AS1834" s="1117"/>
      <c r="AT1834" s="1196" t="str">
        <f t="shared" si="428"/>
        <v>1-10</v>
      </c>
      <c r="AU1834" s="1193"/>
      <c r="AV1834" s="330">
        <f>SQRT(($R1834-Infrastructure!J$3)^2+($S1834-Infrastructure!K$3)^2)</f>
        <v>30.64979608</v>
      </c>
      <c r="AW1834" s="331">
        <f>SQRT(($R1834-Infrastructure!J$4)^2+($S1834-Infrastructure!K$4)^2)</f>
        <v>21.77888886</v>
      </c>
      <c r="AX1834" s="331">
        <f>SQRT(($R1834-Infrastructure!J$5)^2+($S1834-Infrastructure!K$5)^2)</f>
        <v>15.63489687</v>
      </c>
      <c r="AY1834" s="331">
        <f>SQRT(($R1834-Infrastructure!J$6)^2+($S1834-Infrastructure!K$6)^2)</f>
        <v>5.423098745</v>
      </c>
      <c r="AZ1834" s="331">
        <f>SQRT(($R1834-Infrastructure!J$7)^2+($S1834-Infrastructure!K$7)^2)</f>
        <v>5.793962375</v>
      </c>
      <c r="BA1834" s="331">
        <f>SQRT(($R1834-Infrastructure!J$8)^2+($S1834-Infrastructure!K$8)^2)</f>
        <v>15.14628667</v>
      </c>
      <c r="BB1834" s="331">
        <f>SQRT(($R1834-Infrastructure!J$9)^2+($S1834-Infrastructure!K$9)^2)</f>
        <v>25.04595776</v>
      </c>
      <c r="BC1834" s="331">
        <f>SQRT(($R1834-Infrastructure!J$10)^2+($S1834-Infrastructure!K$10)^2)</f>
        <v>27.90645087</v>
      </c>
      <c r="BD1834" s="331">
        <f>SQRT(($R1834-Infrastructure!J$11)^2+($S1834-Infrastructure!K$11)^2)</f>
        <v>36.5728041</v>
      </c>
      <c r="BE1834" s="333">
        <f>SQRT(($R1834-Infrastructure!J$12)^2+($S1834-Infrastructure!K$12)^2)</f>
        <v>53.48429676</v>
      </c>
      <c r="BF1834" s="330">
        <f t="shared" si="161"/>
        <v>5.423098745</v>
      </c>
      <c r="BG1834" s="333">
        <f t="shared" si="162"/>
        <v>53.48429676</v>
      </c>
      <c r="BH1834" s="1119"/>
      <c r="BI1834" s="319" t="str">
        <f t="shared" ref="BI1834:BR1834" si="519">IF(ISNUMBER(FIND(BI$3, $CO1834)), "Y", "")</f>
        <v>Y</v>
      </c>
      <c r="BJ1834" s="319" t="str">
        <f t="shared" si="519"/>
        <v/>
      </c>
      <c r="BK1834" s="319" t="str">
        <f t="shared" si="519"/>
        <v>Y</v>
      </c>
      <c r="BL1834" s="319" t="str">
        <f t="shared" si="519"/>
        <v>Y</v>
      </c>
      <c r="BM1834" s="319" t="str">
        <f t="shared" si="519"/>
        <v>Y</v>
      </c>
      <c r="BN1834" s="319" t="str">
        <f t="shared" si="519"/>
        <v>Y</v>
      </c>
      <c r="BO1834" s="319" t="str">
        <f t="shared" si="519"/>
        <v>Y</v>
      </c>
      <c r="BP1834" s="319" t="str">
        <f t="shared" si="519"/>
        <v/>
      </c>
      <c r="BQ1834" s="319" t="str">
        <f t="shared" si="519"/>
        <v>Y</v>
      </c>
      <c r="BR1834" s="319" t="str">
        <f t="shared" si="519"/>
        <v>Y</v>
      </c>
      <c r="BS1834" s="330">
        <f t="shared" si="185"/>
        <v>5.423098745</v>
      </c>
      <c r="BT1834" s="331">
        <f t="shared" si="170"/>
        <v>53.48429676</v>
      </c>
      <c r="BU1834" s="920">
        <v>0.574212962962963</v>
      </c>
      <c r="BV1834" s="903">
        <f t="shared" si="186"/>
        <v>0.0006018518519</v>
      </c>
      <c r="BW1834" s="908">
        <v>14.8</v>
      </c>
      <c r="BX1834" s="908">
        <v>27.6</v>
      </c>
      <c r="BY1834" s="331">
        <f t="shared" si="201"/>
        <v>25.20178565</v>
      </c>
      <c r="BZ1834" s="331"/>
      <c r="CA1834" s="462" t="str">
        <f t="shared" ref="CA1834:CJ1834" si="520">IF(ISNUMBER(FIND(BI$3, $CP1834)), "Y", "")</f>
        <v>Y</v>
      </c>
      <c r="CB1834" s="319" t="str">
        <f t="shared" si="520"/>
        <v>Y</v>
      </c>
      <c r="CC1834" s="319" t="str">
        <f t="shared" si="520"/>
        <v>Y</v>
      </c>
      <c r="CD1834" s="319" t="str">
        <f t="shared" si="520"/>
        <v>Y</v>
      </c>
      <c r="CE1834" s="319" t="str">
        <f t="shared" si="520"/>
        <v>Y</v>
      </c>
      <c r="CF1834" s="319" t="str">
        <f t="shared" si="520"/>
        <v>Y</v>
      </c>
      <c r="CG1834" s="319" t="str">
        <f t="shared" si="520"/>
        <v>Y</v>
      </c>
      <c r="CH1834" s="319" t="str">
        <f t="shared" si="520"/>
        <v/>
      </c>
      <c r="CI1834" s="319" t="str">
        <f t="shared" si="520"/>
        <v>Y</v>
      </c>
      <c r="CJ1834" s="319" t="str">
        <f t="shared" si="520"/>
        <v>Y</v>
      </c>
      <c r="CK1834" s="342">
        <f t="shared" si="182"/>
        <v>5.423098745</v>
      </c>
      <c r="CL1834" s="333">
        <f t="shared" si="183"/>
        <v>53.48429676</v>
      </c>
      <c r="CM1834" s="1079" t="s">
        <v>2418</v>
      </c>
      <c r="CN1834" s="1005" t="s">
        <v>2729</v>
      </c>
      <c r="CO1834" s="1005" t="s">
        <v>2460</v>
      </c>
      <c r="CP1834" s="1005" t="s">
        <v>2400</v>
      </c>
    </row>
    <row r="1835">
      <c r="A1835" s="266"/>
      <c r="B1835" s="1113" t="s">
        <v>2649</v>
      </c>
      <c r="C1835" s="1107">
        <v>45484.0</v>
      </c>
      <c r="D1835" s="1113" t="s">
        <v>986</v>
      </c>
      <c r="E1835" s="1108" t="s">
        <v>1421</v>
      </c>
      <c r="F1835" s="112" t="s">
        <v>2731</v>
      </c>
      <c r="G1835" s="1110">
        <v>0.5736689814814815</v>
      </c>
      <c r="H1835" s="1110">
        <v>0.5746527777777778</v>
      </c>
      <c r="I1835" s="1110"/>
      <c r="J1835" s="1111"/>
      <c r="K1835" s="1111">
        <v>0.6060185185185185</v>
      </c>
      <c r="L1835" s="1112">
        <v>0.03136574074074074</v>
      </c>
      <c r="M1835" s="1113" t="s">
        <v>166</v>
      </c>
      <c r="N1835" s="110" t="s">
        <v>187</v>
      </c>
      <c r="O1835" s="1115" t="s">
        <v>205</v>
      </c>
      <c r="P1835" s="1115" t="s">
        <v>213</v>
      </c>
      <c r="Q1835" s="1115" t="s">
        <v>842</v>
      </c>
      <c r="R1835" s="120">
        <v>21.5</v>
      </c>
      <c r="S1835" s="1113">
        <v>4.1</v>
      </c>
      <c r="T1835" s="110">
        <v>2.3</v>
      </c>
      <c r="U1835" s="1108">
        <v>0.842</v>
      </c>
      <c r="V1835" s="1108"/>
      <c r="W1835" s="1108"/>
      <c r="X1835" s="1108"/>
      <c r="Y1835" s="1108"/>
      <c r="Z1835" s="1114" t="s">
        <v>370</v>
      </c>
      <c r="AA1835" s="1114"/>
      <c r="AB1835" s="1114" t="s">
        <v>384</v>
      </c>
      <c r="AC1835" s="1117">
        <v>6.0</v>
      </c>
      <c r="AD1835" s="1115"/>
      <c r="AE1835" s="1115"/>
      <c r="AF1835" s="1115"/>
      <c r="AG1835" s="1115"/>
      <c r="AH1835" s="1115"/>
      <c r="AI1835" s="1115"/>
      <c r="AJ1835" s="1117"/>
      <c r="AK1835" s="1118"/>
      <c r="AL1835" s="1115"/>
      <c r="AM1835" s="1115"/>
      <c r="AN1835" s="1115"/>
      <c r="AO1835" s="1115"/>
      <c r="AP1835" s="1115"/>
      <c r="AQ1835" s="1115"/>
      <c r="AR1835" s="1115"/>
      <c r="AS1835" s="1117"/>
      <c r="AT1835" s="1196" t="str">
        <f t="shared" si="428"/>
        <v>0-1</v>
      </c>
      <c r="AU1835" s="1193"/>
      <c r="AV1835" s="330">
        <f>SQRT(($R1835-Infrastructure!J$3)^2+($S1835-Infrastructure!K$3)^2)</f>
        <v>33.01938824</v>
      </c>
      <c r="AW1835" s="331">
        <f>SQRT(($R1835-Infrastructure!J$4)^2+($S1835-Infrastructure!K$4)^2)</f>
        <v>25.74742706</v>
      </c>
      <c r="AX1835" s="331">
        <f>SQRT(($R1835-Infrastructure!J$5)^2+($S1835-Infrastructure!K$5)^2)</f>
        <v>21.82292373</v>
      </c>
      <c r="AY1835" s="331">
        <f>SQRT(($R1835-Infrastructure!J$6)^2+($S1835-Infrastructure!K$6)^2)</f>
        <v>12.01665511</v>
      </c>
      <c r="AZ1835" s="331">
        <f>SQRT(($R1835-Infrastructure!J$7)^2+($S1835-Infrastructure!K$7)^2)</f>
        <v>3.929376541</v>
      </c>
      <c r="BA1835" s="331">
        <f>SQRT(($R1835-Infrastructure!J$8)^2+($S1835-Infrastructure!K$8)^2)</f>
        <v>9.402127419</v>
      </c>
      <c r="BB1835" s="331">
        <f>SQRT(($R1835-Infrastructure!J$9)^2+($S1835-Infrastructure!K$9)^2)</f>
        <v>18.52700731</v>
      </c>
      <c r="BC1835" s="331">
        <f>SQRT(($R1835-Infrastructure!J$10)^2+($S1835-Infrastructure!K$10)^2)</f>
        <v>21.47230775</v>
      </c>
      <c r="BD1835" s="331">
        <f>SQRT(($R1835-Infrastructure!J$11)^2+($S1835-Infrastructure!K$11)^2)</f>
        <v>31.14000642</v>
      </c>
      <c r="BE1835" s="333">
        <f>SQRT(($R1835-Infrastructure!J$12)^2+($S1835-Infrastructure!K$12)^2)</f>
        <v>51.4</v>
      </c>
      <c r="BF1835" s="330">
        <f t="shared" si="161"/>
        <v>3.929376541</v>
      </c>
      <c r="BG1835" s="333">
        <f t="shared" si="162"/>
        <v>51.4</v>
      </c>
      <c r="BH1835" s="1119"/>
      <c r="BI1835" s="319" t="str">
        <f t="shared" ref="BI1835:BR1835" si="521">IF(ISNUMBER(FIND(BI$3, $CO1835)), "Y", "")</f>
        <v>Y</v>
      </c>
      <c r="BJ1835" s="319" t="str">
        <f t="shared" si="521"/>
        <v/>
      </c>
      <c r="BK1835" s="319" t="str">
        <f t="shared" si="521"/>
        <v>Y</v>
      </c>
      <c r="BL1835" s="319" t="str">
        <f t="shared" si="521"/>
        <v>Y</v>
      </c>
      <c r="BM1835" s="319" t="str">
        <f t="shared" si="521"/>
        <v>Y</v>
      </c>
      <c r="BN1835" s="319" t="str">
        <f t="shared" si="521"/>
        <v>Y</v>
      </c>
      <c r="BO1835" s="319" t="str">
        <f t="shared" si="521"/>
        <v>Y</v>
      </c>
      <c r="BP1835" s="319" t="str">
        <f t="shared" si="521"/>
        <v/>
      </c>
      <c r="BQ1835" s="319" t="str">
        <f t="shared" si="521"/>
        <v>Y</v>
      </c>
      <c r="BR1835" s="319" t="str">
        <f t="shared" si="521"/>
        <v>Y</v>
      </c>
      <c r="BS1835" s="330">
        <f t="shared" si="185"/>
        <v>3.929376541</v>
      </c>
      <c r="BT1835" s="331">
        <f t="shared" si="170"/>
        <v>51.4</v>
      </c>
      <c r="BU1835" s="920">
        <v>0.574212962962963</v>
      </c>
      <c r="BV1835" s="903">
        <f t="shared" si="186"/>
        <v>0.0005439814815</v>
      </c>
      <c r="BW1835" s="908">
        <v>14.8</v>
      </c>
      <c r="BX1835" s="908">
        <v>27.6</v>
      </c>
      <c r="BY1835" s="331">
        <f t="shared" si="201"/>
        <v>24.43644819</v>
      </c>
      <c r="BZ1835" s="331"/>
      <c r="CA1835" s="462" t="str">
        <f t="shared" ref="CA1835:CJ1835" si="522">IF(ISNUMBER(FIND(BI$3, $CP1835)), "Y", "")</f>
        <v>Y</v>
      </c>
      <c r="CB1835" s="319" t="str">
        <f t="shared" si="522"/>
        <v>Y</v>
      </c>
      <c r="CC1835" s="319" t="str">
        <f t="shared" si="522"/>
        <v>Y</v>
      </c>
      <c r="CD1835" s="319" t="str">
        <f t="shared" si="522"/>
        <v>Y</v>
      </c>
      <c r="CE1835" s="319" t="str">
        <f t="shared" si="522"/>
        <v>Y</v>
      </c>
      <c r="CF1835" s="319" t="str">
        <f t="shared" si="522"/>
        <v>Y</v>
      </c>
      <c r="CG1835" s="319" t="str">
        <f t="shared" si="522"/>
        <v>Y</v>
      </c>
      <c r="CH1835" s="319" t="str">
        <f t="shared" si="522"/>
        <v/>
      </c>
      <c r="CI1835" s="319" t="str">
        <f t="shared" si="522"/>
        <v>Y</v>
      </c>
      <c r="CJ1835" s="319" t="str">
        <f t="shared" si="522"/>
        <v>Y</v>
      </c>
      <c r="CK1835" s="342">
        <f t="shared" si="182"/>
        <v>3.929376541</v>
      </c>
      <c r="CL1835" s="333">
        <f t="shared" si="183"/>
        <v>51.4</v>
      </c>
      <c r="CM1835" s="1079" t="s">
        <v>2418</v>
      </c>
      <c r="CN1835" s="1005" t="s">
        <v>2729</v>
      </c>
      <c r="CO1835" s="1005" t="s">
        <v>2460</v>
      </c>
      <c r="CP1835" s="1005" t="s">
        <v>2400</v>
      </c>
    </row>
    <row r="1836">
      <c r="A1836" s="266"/>
      <c r="B1836" s="1113" t="s">
        <v>2649</v>
      </c>
      <c r="C1836" s="1107">
        <v>45484.0</v>
      </c>
      <c r="D1836" s="1113" t="s">
        <v>986</v>
      </c>
      <c r="E1836" s="1108" t="s">
        <v>1423</v>
      </c>
      <c r="F1836" s="112" t="s">
        <v>2732</v>
      </c>
      <c r="G1836" s="1110">
        <v>0.5737268518518519</v>
      </c>
      <c r="H1836" s="1110">
        <v>0.5746527777777778</v>
      </c>
      <c r="I1836" s="1110"/>
      <c r="J1836" s="1111"/>
      <c r="K1836" s="1111">
        <v>0.6060763888888889</v>
      </c>
      <c r="L1836" s="1112">
        <v>0.03142361111111111</v>
      </c>
      <c r="M1836" s="1113" t="s">
        <v>166</v>
      </c>
      <c r="N1836" s="110" t="s">
        <v>187</v>
      </c>
      <c r="O1836" s="1115" t="s">
        <v>207</v>
      </c>
      <c r="P1836" s="1115" t="s">
        <v>226</v>
      </c>
      <c r="Q1836" s="1115" t="s">
        <v>842</v>
      </c>
      <c r="R1836" s="120">
        <v>26.0</v>
      </c>
      <c r="S1836" s="1113">
        <v>13.3</v>
      </c>
      <c r="T1836" s="110">
        <v>0.1</v>
      </c>
      <c r="U1836" s="1108">
        <v>0.842</v>
      </c>
      <c r="V1836" s="1108"/>
      <c r="W1836" s="1108"/>
      <c r="X1836" s="1108"/>
      <c r="Y1836" s="1108"/>
      <c r="Z1836" s="1114" t="s">
        <v>374</v>
      </c>
      <c r="AA1836" s="1114"/>
      <c r="AB1836" s="1114" t="s">
        <v>380</v>
      </c>
      <c r="AC1836" s="1117">
        <v>4.0</v>
      </c>
      <c r="AD1836" s="1115"/>
      <c r="AE1836" s="1115"/>
      <c r="AF1836" s="1115"/>
      <c r="AG1836" s="1115"/>
      <c r="AH1836" s="1115"/>
      <c r="AI1836" s="1115"/>
      <c r="AJ1836" s="1117"/>
      <c r="AK1836" s="1118"/>
      <c r="AL1836" s="1115"/>
      <c r="AM1836" s="1115"/>
      <c r="AN1836" s="1115"/>
      <c r="AO1836" s="1115"/>
      <c r="AP1836" s="1115"/>
      <c r="AQ1836" s="1115"/>
      <c r="AR1836" s="1115"/>
      <c r="AS1836" s="1117"/>
      <c r="AT1836" s="1196" t="str">
        <f t="shared" si="428"/>
        <v>0-1</v>
      </c>
      <c r="AU1836" s="1193"/>
      <c r="AV1836" s="330">
        <f>SQRT(($R1836-Infrastructure!J$3)^2+($S1836-Infrastructure!K$3)^2)</f>
        <v>30.57858728</v>
      </c>
      <c r="AW1836" s="331">
        <f>SQRT(($R1836-Infrastructure!J$4)^2+($S1836-Infrastructure!K$4)^2)</f>
        <v>26.68220381</v>
      </c>
      <c r="AX1836" s="331">
        <f>SQRT(($R1836-Infrastructure!J$5)^2+($S1836-Infrastructure!K$5)^2)</f>
        <v>27.54868418</v>
      </c>
      <c r="AY1836" s="331">
        <f>SQRT(($R1836-Infrastructure!J$6)^2+($S1836-Infrastructure!K$6)^2)</f>
        <v>20.53801354</v>
      </c>
      <c r="AZ1836" s="331">
        <f>SQRT(($R1836-Infrastructure!J$7)^2+($S1836-Infrastructure!K$7)^2)</f>
        <v>14.11559421</v>
      </c>
      <c r="BA1836" s="331">
        <f>SQRT(($R1836-Infrastructure!J$8)^2+($S1836-Infrastructure!K$8)^2)</f>
        <v>13.63121418</v>
      </c>
      <c r="BB1836" s="331">
        <f>SQRT(($R1836-Infrastructure!J$9)^2+($S1836-Infrastructure!K$9)^2)</f>
        <v>16.22467257</v>
      </c>
      <c r="BC1836" s="331">
        <f>SQRT(($R1836-Infrastructure!J$10)^2+($S1836-Infrastructure!K$10)^2)</f>
        <v>14.10283659</v>
      </c>
      <c r="BD1836" s="331">
        <f>SQRT(($R1836-Infrastructure!J$11)^2+($S1836-Infrastructure!K$11)^2)</f>
        <v>21.16908123</v>
      </c>
      <c r="BE1836" s="333">
        <f>SQRT(($R1836-Infrastructure!J$12)^2+($S1836-Infrastructure!K$12)^2)</f>
        <v>42.4392507</v>
      </c>
      <c r="BF1836" s="330">
        <f t="shared" si="161"/>
        <v>13.63121418</v>
      </c>
      <c r="BG1836" s="333">
        <f t="shared" si="162"/>
        <v>42.4392507</v>
      </c>
      <c r="BH1836" s="1119"/>
      <c r="BI1836" s="319" t="str">
        <f t="shared" ref="BI1836:BR1836" si="523">IF(ISNUMBER(FIND(BI$3, $CO1836)), "Y", "")</f>
        <v>Y</v>
      </c>
      <c r="BJ1836" s="319" t="str">
        <f t="shared" si="523"/>
        <v/>
      </c>
      <c r="BK1836" s="319" t="str">
        <f t="shared" si="523"/>
        <v>Y</v>
      </c>
      <c r="BL1836" s="319" t="str">
        <f t="shared" si="523"/>
        <v>Y</v>
      </c>
      <c r="BM1836" s="319" t="str">
        <f t="shared" si="523"/>
        <v>Y</v>
      </c>
      <c r="BN1836" s="319" t="str">
        <f t="shared" si="523"/>
        <v>Y</v>
      </c>
      <c r="BO1836" s="319" t="str">
        <f t="shared" si="523"/>
        <v>Y</v>
      </c>
      <c r="BP1836" s="319" t="str">
        <f t="shared" si="523"/>
        <v/>
      </c>
      <c r="BQ1836" s="319" t="str">
        <f t="shared" si="523"/>
        <v>Y</v>
      </c>
      <c r="BR1836" s="319" t="str">
        <f t="shared" si="523"/>
        <v>Y</v>
      </c>
      <c r="BS1836" s="330">
        <f t="shared" si="185"/>
        <v>13.63121418</v>
      </c>
      <c r="BT1836" s="331">
        <f t="shared" si="170"/>
        <v>42.4392507</v>
      </c>
      <c r="BU1836" s="920">
        <v>0.574212962962963</v>
      </c>
      <c r="BV1836" s="903">
        <f t="shared" si="186"/>
        <v>0.0004861111111</v>
      </c>
      <c r="BW1836" s="908">
        <v>14.8</v>
      </c>
      <c r="BX1836" s="908">
        <v>27.6</v>
      </c>
      <c r="BY1836" s="331">
        <f t="shared" si="201"/>
        <v>18.16397534</v>
      </c>
      <c r="BZ1836" s="331"/>
      <c r="CA1836" s="462" t="str">
        <f t="shared" ref="CA1836:CJ1836" si="524">IF(ISNUMBER(FIND(BI$3, $CP1836)), "Y", "")</f>
        <v>Y</v>
      </c>
      <c r="CB1836" s="319" t="str">
        <f t="shared" si="524"/>
        <v>Y</v>
      </c>
      <c r="CC1836" s="319" t="str">
        <f t="shared" si="524"/>
        <v>Y</v>
      </c>
      <c r="CD1836" s="319" t="str">
        <f t="shared" si="524"/>
        <v>Y</v>
      </c>
      <c r="CE1836" s="319" t="str">
        <f t="shared" si="524"/>
        <v>Y</v>
      </c>
      <c r="CF1836" s="319" t="str">
        <f t="shared" si="524"/>
        <v>Y</v>
      </c>
      <c r="CG1836" s="319" t="str">
        <f t="shared" si="524"/>
        <v>Y</v>
      </c>
      <c r="CH1836" s="319" t="str">
        <f t="shared" si="524"/>
        <v/>
      </c>
      <c r="CI1836" s="319" t="str">
        <f t="shared" si="524"/>
        <v>Y</v>
      </c>
      <c r="CJ1836" s="319" t="str">
        <f t="shared" si="524"/>
        <v>Y</v>
      </c>
      <c r="CK1836" s="342">
        <f t="shared" si="182"/>
        <v>13.63121418</v>
      </c>
      <c r="CL1836" s="333">
        <f t="shared" si="183"/>
        <v>42.4392507</v>
      </c>
      <c r="CM1836" s="1079" t="s">
        <v>2418</v>
      </c>
      <c r="CN1836" s="1005" t="s">
        <v>2729</v>
      </c>
      <c r="CO1836" s="1005" t="s">
        <v>2460</v>
      </c>
      <c r="CP1836" s="1005" t="s">
        <v>2400</v>
      </c>
    </row>
    <row r="1837">
      <c r="A1837" s="266"/>
      <c r="B1837" s="1113" t="s">
        <v>2649</v>
      </c>
      <c r="C1837" s="1107">
        <v>45484.0</v>
      </c>
      <c r="D1837" s="1113" t="s">
        <v>986</v>
      </c>
      <c r="E1837" s="1108">
        <v>23.0</v>
      </c>
      <c r="F1837" s="112" t="s">
        <v>2733</v>
      </c>
      <c r="G1837" s="1110">
        <v>0.6311342592592593</v>
      </c>
      <c r="H1837" s="1110">
        <v>0.6319444444444444</v>
      </c>
      <c r="I1837" s="1110"/>
      <c r="J1837" s="1111"/>
      <c r="K1837" s="1111">
        <v>0.646875</v>
      </c>
      <c r="L1837" s="1112">
        <v>0.014930555555555556</v>
      </c>
      <c r="M1837" s="1113" t="s">
        <v>166</v>
      </c>
      <c r="N1837" s="110" t="s">
        <v>188</v>
      </c>
      <c r="O1837" s="1115" t="s">
        <v>378</v>
      </c>
      <c r="P1837" s="1115" t="s">
        <v>225</v>
      </c>
      <c r="Q1837" s="1115" t="s">
        <v>842</v>
      </c>
      <c r="R1837" s="120">
        <v>22.7</v>
      </c>
      <c r="S1837" s="1113">
        <v>39.7</v>
      </c>
      <c r="T1837" s="110">
        <v>1.1</v>
      </c>
      <c r="U1837" s="1108">
        <v>6.8</v>
      </c>
      <c r="V1837" s="1108"/>
      <c r="W1837" s="1108"/>
      <c r="X1837" s="1108"/>
      <c r="Y1837" s="1108"/>
      <c r="Z1837" s="1114" t="s">
        <v>1140</v>
      </c>
      <c r="AA1837" s="1114"/>
      <c r="AB1837" s="1114" t="s">
        <v>407</v>
      </c>
      <c r="AC1837" s="1117">
        <v>15.75</v>
      </c>
      <c r="AD1837" s="1115"/>
      <c r="AE1837" s="1115"/>
      <c r="AF1837" s="1115"/>
      <c r="AG1837" s="1115"/>
      <c r="AH1837" s="1115"/>
      <c r="AI1837" s="1115"/>
      <c r="AJ1837" s="1117"/>
      <c r="AK1837" s="1118"/>
      <c r="AL1837" s="1115"/>
      <c r="AM1837" s="1115"/>
      <c r="AN1837" s="1115"/>
      <c r="AO1837" s="1115"/>
      <c r="AP1837" s="1115"/>
      <c r="AQ1837" s="1115"/>
      <c r="AR1837" s="1115"/>
      <c r="AS1837" s="1117"/>
      <c r="AT1837" s="1196" t="str">
        <f t="shared" si="428"/>
        <v>1-10</v>
      </c>
      <c r="AU1837" s="1193"/>
      <c r="AV1837" s="330">
        <f>SQRT(($R1837-Infrastructure!J$3)^2+($S1837-Infrastructure!K$3)^2)</f>
        <v>25.40944706</v>
      </c>
      <c r="AW1837" s="331">
        <f>SQRT(($R1837-Infrastructure!J$4)^2+($S1837-Infrastructure!K$4)^2)</f>
        <v>31.75862088</v>
      </c>
      <c r="AX1837" s="331">
        <f>SQRT(($R1837-Infrastructure!J$5)^2+($S1837-Infrastructure!K$5)^2)</f>
        <v>41.54708173</v>
      </c>
      <c r="AY1837" s="331">
        <f>SQRT(($R1837-Infrastructure!J$6)^2+($S1837-Infrastructure!K$6)^2)</f>
        <v>41.36568626</v>
      </c>
      <c r="AZ1837" s="331">
        <f>SQRT(($R1837-Infrastructure!J$7)^2+($S1837-Infrastructure!K$7)^2)</f>
        <v>39.46137352</v>
      </c>
      <c r="BA1837" s="331">
        <f>SQRT(($R1837-Infrastructure!J$8)^2+($S1837-Infrastructure!K$8)^2)</f>
        <v>40.08890121</v>
      </c>
      <c r="BB1837" s="331">
        <f>SQRT(($R1837-Infrastructure!J$9)^2+($S1837-Infrastructure!K$9)^2)</f>
        <v>38.68397601</v>
      </c>
      <c r="BC1837" s="331">
        <f>SQRT(($R1837-Infrastructure!J$10)^2+($S1837-Infrastructure!K$10)^2)</f>
        <v>30.15592811</v>
      </c>
      <c r="BD1837" s="331">
        <f>SQRT(($R1837-Infrastructure!J$11)^2+($S1837-Infrastructure!K$11)^2)</f>
        <v>20.51194774</v>
      </c>
      <c r="BE1837" s="333">
        <f>SQRT(($R1837-Infrastructure!J$12)^2+($S1837-Infrastructure!K$12)^2)</f>
        <v>15.84550409</v>
      </c>
      <c r="BF1837" s="330">
        <f t="shared" si="161"/>
        <v>15.84550409</v>
      </c>
      <c r="BG1837" s="333">
        <f t="shared" si="162"/>
        <v>41.54708173</v>
      </c>
      <c r="BH1837" s="1119"/>
      <c r="BI1837" s="319" t="str">
        <f t="shared" ref="BI1837:BR1837" si="525">IF(ISNUMBER(FIND(BI$3, $CO1837)), "Y", "")</f>
        <v>Y</v>
      </c>
      <c r="BJ1837" s="319" t="str">
        <f t="shared" si="525"/>
        <v/>
      </c>
      <c r="BK1837" s="319" t="str">
        <f t="shared" si="525"/>
        <v>Y</v>
      </c>
      <c r="BL1837" s="319" t="str">
        <f t="shared" si="525"/>
        <v/>
      </c>
      <c r="BM1837" s="319" t="str">
        <f t="shared" si="525"/>
        <v>Y</v>
      </c>
      <c r="BN1837" s="319" t="str">
        <f t="shared" si="525"/>
        <v>Y</v>
      </c>
      <c r="BO1837" s="319" t="str">
        <f t="shared" si="525"/>
        <v>Y</v>
      </c>
      <c r="BP1837" s="319" t="str">
        <f t="shared" si="525"/>
        <v/>
      </c>
      <c r="BQ1837" s="319" t="str">
        <f t="shared" si="525"/>
        <v>Y</v>
      </c>
      <c r="BR1837" s="319" t="str">
        <f t="shared" si="525"/>
        <v>Y</v>
      </c>
      <c r="BS1837" s="330">
        <f t="shared" si="185"/>
        <v>15.84550409</v>
      </c>
      <c r="BT1837" s="331">
        <f t="shared" si="170"/>
        <v>41.54708173</v>
      </c>
      <c r="BU1837" s="920">
        <v>0.6319907407407407</v>
      </c>
      <c r="BV1837" s="903">
        <f t="shared" si="186"/>
        <v>0.0008564814815</v>
      </c>
      <c r="BW1837" s="908">
        <v>14.6</v>
      </c>
      <c r="BX1837" s="908">
        <v>36.5</v>
      </c>
      <c r="BY1837" s="331">
        <f t="shared" si="201"/>
        <v>8.709190548</v>
      </c>
      <c r="BZ1837" s="331"/>
      <c r="CA1837" s="462" t="str">
        <f t="shared" ref="CA1837:CJ1837" si="526">IF(ISNUMBER(FIND(BI$3, $CP1837)), "Y", "")</f>
        <v>Y</v>
      </c>
      <c r="CB1837" s="319" t="str">
        <f t="shared" si="526"/>
        <v>Y</v>
      </c>
      <c r="CC1837" s="319" t="str">
        <f t="shared" si="526"/>
        <v>Y</v>
      </c>
      <c r="CD1837" s="319" t="str">
        <f t="shared" si="526"/>
        <v>Y</v>
      </c>
      <c r="CE1837" s="319" t="str">
        <f t="shared" si="526"/>
        <v>Y</v>
      </c>
      <c r="CF1837" s="319" t="str">
        <f t="shared" si="526"/>
        <v>Y</v>
      </c>
      <c r="CG1837" s="319" t="str">
        <f t="shared" si="526"/>
        <v>Y</v>
      </c>
      <c r="CH1837" s="319" t="str">
        <f t="shared" si="526"/>
        <v/>
      </c>
      <c r="CI1837" s="319" t="str">
        <f t="shared" si="526"/>
        <v>Y</v>
      </c>
      <c r="CJ1837" s="319" t="str">
        <f t="shared" si="526"/>
        <v>Y</v>
      </c>
      <c r="CK1837" s="342">
        <f t="shared" si="182"/>
        <v>15.84550409</v>
      </c>
      <c r="CL1837" s="333">
        <f t="shared" si="183"/>
        <v>41.54708173</v>
      </c>
      <c r="CM1837" s="1079" t="s">
        <v>2418</v>
      </c>
      <c r="CN1837" s="1005" t="s">
        <v>2729</v>
      </c>
      <c r="CO1837" s="1005" t="s">
        <v>2558</v>
      </c>
      <c r="CP1837" s="1005" t="s">
        <v>2400</v>
      </c>
    </row>
    <row r="1838">
      <c r="A1838" s="266"/>
      <c r="B1838" s="1113" t="s">
        <v>2649</v>
      </c>
      <c r="C1838" s="1107">
        <v>45484.0</v>
      </c>
      <c r="D1838" s="1113" t="s">
        <v>986</v>
      </c>
      <c r="E1838" s="1108" t="s">
        <v>2734</v>
      </c>
      <c r="F1838" s="112" t="s">
        <v>2735</v>
      </c>
      <c r="G1838" s="1110">
        <v>0.6840277777777778</v>
      </c>
      <c r="H1838" s="1110">
        <v>0.6854166666666667</v>
      </c>
      <c r="I1838" s="1110"/>
      <c r="J1838" s="1111"/>
      <c r="K1838" s="1111">
        <v>0.7130208333333333</v>
      </c>
      <c r="L1838" s="1112">
        <v>0.027604166666666666</v>
      </c>
      <c r="M1838" s="1113" t="s">
        <v>166</v>
      </c>
      <c r="N1838" s="110" t="s">
        <v>188</v>
      </c>
      <c r="O1838" s="1115" t="s">
        <v>378</v>
      </c>
      <c r="P1838" s="1115" t="s">
        <v>225</v>
      </c>
      <c r="Q1838" s="1115" t="s">
        <v>842</v>
      </c>
      <c r="R1838" s="120">
        <v>22.7</v>
      </c>
      <c r="S1838" s="1113">
        <v>39.7</v>
      </c>
      <c r="T1838" s="110">
        <v>1.1</v>
      </c>
      <c r="U1838" s="1108">
        <v>2.55</v>
      </c>
      <c r="V1838" s="1108"/>
      <c r="W1838" s="1108"/>
      <c r="X1838" s="1108"/>
      <c r="Y1838" s="1108"/>
      <c r="Z1838" s="1114" t="s">
        <v>1221</v>
      </c>
      <c r="AA1838" s="1114"/>
      <c r="AB1838" s="1114" t="s">
        <v>403</v>
      </c>
      <c r="AC1838" s="1117">
        <v>8.0</v>
      </c>
      <c r="AD1838" s="1115"/>
      <c r="AE1838" s="1115"/>
      <c r="AF1838" s="1115"/>
      <c r="AG1838" s="1115"/>
      <c r="AH1838" s="1115"/>
      <c r="AI1838" s="1115"/>
      <c r="AJ1838" s="1117"/>
      <c r="AK1838" s="1118"/>
      <c r="AL1838" s="1115"/>
      <c r="AM1838" s="1115"/>
      <c r="AN1838" s="1115"/>
      <c r="AO1838" s="1115"/>
      <c r="AP1838" s="1115"/>
      <c r="AQ1838" s="1115"/>
      <c r="AR1838" s="1115"/>
      <c r="AS1838" s="1117"/>
      <c r="AT1838" s="1196" t="str">
        <f t="shared" si="428"/>
        <v>1-10</v>
      </c>
      <c r="AU1838" s="1193"/>
      <c r="AV1838" s="330">
        <f>SQRT(($R1838-Infrastructure!J$3)^2+($S1838-Infrastructure!K$3)^2)</f>
        <v>25.40944706</v>
      </c>
      <c r="AW1838" s="331">
        <f>SQRT(($R1838-Infrastructure!J$4)^2+($S1838-Infrastructure!K$4)^2)</f>
        <v>31.75862088</v>
      </c>
      <c r="AX1838" s="331">
        <f>SQRT(($R1838-Infrastructure!J$5)^2+($S1838-Infrastructure!K$5)^2)</f>
        <v>41.54708173</v>
      </c>
      <c r="AY1838" s="331">
        <f>SQRT(($R1838-Infrastructure!J$6)^2+($S1838-Infrastructure!K$6)^2)</f>
        <v>41.36568626</v>
      </c>
      <c r="AZ1838" s="331">
        <f>SQRT(($R1838-Infrastructure!J$7)^2+($S1838-Infrastructure!K$7)^2)</f>
        <v>39.46137352</v>
      </c>
      <c r="BA1838" s="331">
        <f>SQRT(($R1838-Infrastructure!J$8)^2+($S1838-Infrastructure!K$8)^2)</f>
        <v>40.08890121</v>
      </c>
      <c r="BB1838" s="331">
        <f>SQRT(($R1838-Infrastructure!J$9)^2+($S1838-Infrastructure!K$9)^2)</f>
        <v>38.68397601</v>
      </c>
      <c r="BC1838" s="331">
        <f>SQRT(($R1838-Infrastructure!J$10)^2+($S1838-Infrastructure!K$10)^2)</f>
        <v>30.15592811</v>
      </c>
      <c r="BD1838" s="331">
        <f>SQRT(($R1838-Infrastructure!J$11)^2+($S1838-Infrastructure!K$11)^2)</f>
        <v>20.51194774</v>
      </c>
      <c r="BE1838" s="333">
        <f>SQRT(($R1838-Infrastructure!J$12)^2+($S1838-Infrastructure!K$12)^2)</f>
        <v>15.84550409</v>
      </c>
      <c r="BF1838" s="330">
        <f t="shared" si="161"/>
        <v>15.84550409</v>
      </c>
      <c r="BG1838" s="333">
        <f t="shared" si="162"/>
        <v>41.54708173</v>
      </c>
      <c r="BH1838" s="1119"/>
      <c r="BI1838" s="319" t="str">
        <f t="shared" ref="BI1838:BR1838" si="527">IF(ISNUMBER(FIND(BI$3, $CO1838)), "Y", "")</f>
        <v>Y</v>
      </c>
      <c r="BJ1838" s="319" t="str">
        <f t="shared" si="527"/>
        <v/>
      </c>
      <c r="BK1838" s="319" t="str">
        <f t="shared" si="527"/>
        <v>Y</v>
      </c>
      <c r="BL1838" s="319" t="str">
        <f t="shared" si="527"/>
        <v>Y</v>
      </c>
      <c r="BM1838" s="319" t="str">
        <f t="shared" si="527"/>
        <v>Y</v>
      </c>
      <c r="BN1838" s="319" t="str">
        <f t="shared" si="527"/>
        <v>Y</v>
      </c>
      <c r="BO1838" s="319" t="str">
        <f t="shared" si="527"/>
        <v>Y</v>
      </c>
      <c r="BP1838" s="319" t="str">
        <f t="shared" si="527"/>
        <v/>
      </c>
      <c r="BQ1838" s="319" t="str">
        <f t="shared" si="527"/>
        <v>Y</v>
      </c>
      <c r="BR1838" s="319" t="str">
        <f t="shared" si="527"/>
        <v>Y</v>
      </c>
      <c r="BS1838" s="330">
        <f t="shared" si="185"/>
        <v>15.84550409</v>
      </c>
      <c r="BT1838" s="331">
        <f t="shared" si="170"/>
        <v>41.54708173</v>
      </c>
      <c r="BU1838" s="920">
        <v>0.6848726851851852</v>
      </c>
      <c r="BV1838" s="903">
        <f t="shared" si="186"/>
        <v>0.0008449074074</v>
      </c>
      <c r="BW1838" s="908">
        <v>16.9</v>
      </c>
      <c r="BX1838" s="908">
        <v>28.4</v>
      </c>
      <c r="BY1838" s="331">
        <f t="shared" si="201"/>
        <v>12.70157471</v>
      </c>
      <c r="BZ1838" s="331"/>
      <c r="CA1838" s="462" t="str">
        <f t="shared" ref="CA1838:CJ1838" si="528">IF(ISNUMBER(FIND(BI$3, $CP1838)), "Y", "")</f>
        <v>Y</v>
      </c>
      <c r="CB1838" s="319" t="str">
        <f t="shared" si="528"/>
        <v>Y</v>
      </c>
      <c r="CC1838" s="319" t="str">
        <f t="shared" si="528"/>
        <v>Y</v>
      </c>
      <c r="CD1838" s="319" t="str">
        <f t="shared" si="528"/>
        <v>Y</v>
      </c>
      <c r="CE1838" s="319" t="str">
        <f t="shared" si="528"/>
        <v>Y</v>
      </c>
      <c r="CF1838" s="319" t="str">
        <f t="shared" si="528"/>
        <v>Y</v>
      </c>
      <c r="CG1838" s="319" t="str">
        <f t="shared" si="528"/>
        <v>Y</v>
      </c>
      <c r="CH1838" s="319" t="str">
        <f t="shared" si="528"/>
        <v/>
      </c>
      <c r="CI1838" s="319" t="str">
        <f t="shared" si="528"/>
        <v>Y</v>
      </c>
      <c r="CJ1838" s="319" t="str">
        <f t="shared" si="528"/>
        <v>Y</v>
      </c>
      <c r="CK1838" s="342">
        <f t="shared" si="182"/>
        <v>15.84550409</v>
      </c>
      <c r="CL1838" s="333">
        <f t="shared" si="183"/>
        <v>41.54708173</v>
      </c>
      <c r="CM1838" s="1079" t="s">
        <v>2623</v>
      </c>
      <c r="CN1838" s="1005" t="s">
        <v>2729</v>
      </c>
      <c r="CO1838" s="1005" t="s">
        <v>2460</v>
      </c>
      <c r="CP1838" s="1005" t="s">
        <v>2400</v>
      </c>
    </row>
    <row r="1839">
      <c r="A1839" s="266"/>
      <c r="B1839" s="1113" t="s">
        <v>2649</v>
      </c>
      <c r="C1839" s="1107">
        <v>45484.0</v>
      </c>
      <c r="D1839" s="1113" t="s">
        <v>986</v>
      </c>
      <c r="E1839" s="1108" t="s">
        <v>2736</v>
      </c>
      <c r="F1839" s="112" t="s">
        <v>2737</v>
      </c>
      <c r="G1839" s="1110">
        <v>0.6842013888888889</v>
      </c>
      <c r="H1839" s="1110">
        <v>0.6861111111111111</v>
      </c>
      <c r="I1839" s="1110"/>
      <c r="J1839" s="1111"/>
      <c r="K1839" s="1111">
        <v>0.713136574074074</v>
      </c>
      <c r="L1839" s="1112">
        <v>0.027025462962962963</v>
      </c>
      <c r="M1839" s="1113" t="s">
        <v>166</v>
      </c>
      <c r="N1839" s="110" t="s">
        <v>187</v>
      </c>
      <c r="O1839" s="1115" t="s">
        <v>203</v>
      </c>
      <c r="P1839" s="1115" t="s">
        <v>250</v>
      </c>
      <c r="Q1839" s="1115" t="s">
        <v>842</v>
      </c>
      <c r="R1839" s="120">
        <v>15.1</v>
      </c>
      <c r="S1839" s="1113">
        <v>2.4</v>
      </c>
      <c r="T1839" s="110">
        <v>1.2</v>
      </c>
      <c r="U1839" s="1108">
        <v>1.417</v>
      </c>
      <c r="V1839" s="1108"/>
      <c r="W1839" s="1108"/>
      <c r="X1839" s="1108"/>
      <c r="Y1839" s="1108"/>
      <c r="Z1839" s="1114" t="s">
        <v>357</v>
      </c>
      <c r="AA1839" s="1114"/>
      <c r="AB1839" s="1114" t="s">
        <v>384</v>
      </c>
      <c r="AC1839" s="1117">
        <v>6.0</v>
      </c>
      <c r="AD1839" s="1115"/>
      <c r="AE1839" s="1115"/>
      <c r="AF1839" s="1115"/>
      <c r="AG1839" s="1115"/>
      <c r="AH1839" s="1115"/>
      <c r="AI1839" s="1115"/>
      <c r="AJ1839" s="1117"/>
      <c r="AK1839" s="1118"/>
      <c r="AL1839" s="1115"/>
      <c r="AM1839" s="1115"/>
      <c r="AN1839" s="1115"/>
      <c r="AO1839" s="1115"/>
      <c r="AP1839" s="1115"/>
      <c r="AQ1839" s="1115"/>
      <c r="AR1839" s="1115"/>
      <c r="AS1839" s="1117"/>
      <c r="AT1839" s="1196" t="str">
        <f t="shared" si="428"/>
        <v>1-10</v>
      </c>
      <c r="AU1839" s="1193"/>
      <c r="AV1839" s="330">
        <f>SQRT(($R1839-Infrastructure!J$3)^2+($S1839-Infrastructure!K$3)^2)</f>
        <v>30.64979608</v>
      </c>
      <c r="AW1839" s="331">
        <f>SQRT(($R1839-Infrastructure!J$4)^2+($S1839-Infrastructure!K$4)^2)</f>
        <v>21.77888886</v>
      </c>
      <c r="AX1839" s="331">
        <f>SQRT(($R1839-Infrastructure!J$5)^2+($S1839-Infrastructure!K$5)^2)</f>
        <v>15.63489687</v>
      </c>
      <c r="AY1839" s="331">
        <f>SQRT(($R1839-Infrastructure!J$6)^2+($S1839-Infrastructure!K$6)^2)</f>
        <v>5.423098745</v>
      </c>
      <c r="AZ1839" s="331">
        <f>SQRT(($R1839-Infrastructure!J$7)^2+($S1839-Infrastructure!K$7)^2)</f>
        <v>5.793962375</v>
      </c>
      <c r="BA1839" s="331">
        <f>SQRT(($R1839-Infrastructure!J$8)^2+($S1839-Infrastructure!K$8)^2)</f>
        <v>15.14628667</v>
      </c>
      <c r="BB1839" s="331">
        <f>SQRT(($R1839-Infrastructure!J$9)^2+($S1839-Infrastructure!K$9)^2)</f>
        <v>25.04595776</v>
      </c>
      <c r="BC1839" s="331">
        <f>SQRT(($R1839-Infrastructure!J$10)^2+($S1839-Infrastructure!K$10)^2)</f>
        <v>27.90645087</v>
      </c>
      <c r="BD1839" s="331">
        <f>SQRT(($R1839-Infrastructure!J$11)^2+($S1839-Infrastructure!K$11)^2)</f>
        <v>36.5728041</v>
      </c>
      <c r="BE1839" s="333">
        <f>SQRT(($R1839-Infrastructure!J$12)^2+($S1839-Infrastructure!K$12)^2)</f>
        <v>53.48429676</v>
      </c>
      <c r="BF1839" s="330">
        <f t="shared" si="161"/>
        <v>5.423098745</v>
      </c>
      <c r="BG1839" s="333">
        <f t="shared" si="162"/>
        <v>53.48429676</v>
      </c>
      <c r="BH1839" s="1119"/>
      <c r="BI1839" s="319" t="str">
        <f t="shared" ref="BI1839:BR1839" si="529">IF(ISNUMBER(FIND(BI$3, $CO1839)), "Y", "")</f>
        <v>Y</v>
      </c>
      <c r="BJ1839" s="319" t="str">
        <f t="shared" si="529"/>
        <v/>
      </c>
      <c r="BK1839" s="319" t="str">
        <f t="shared" si="529"/>
        <v>Y</v>
      </c>
      <c r="BL1839" s="319" t="str">
        <f t="shared" si="529"/>
        <v>Y</v>
      </c>
      <c r="BM1839" s="319" t="str">
        <f t="shared" si="529"/>
        <v>Y</v>
      </c>
      <c r="BN1839" s="319" t="str">
        <f t="shared" si="529"/>
        <v>Y</v>
      </c>
      <c r="BO1839" s="319" t="str">
        <f t="shared" si="529"/>
        <v>Y</v>
      </c>
      <c r="BP1839" s="319" t="str">
        <f t="shared" si="529"/>
        <v/>
      </c>
      <c r="BQ1839" s="319" t="str">
        <f t="shared" si="529"/>
        <v>Y</v>
      </c>
      <c r="BR1839" s="319" t="str">
        <f t="shared" si="529"/>
        <v>Y</v>
      </c>
      <c r="BS1839" s="330">
        <f t="shared" si="185"/>
        <v>5.423098745</v>
      </c>
      <c r="BT1839" s="331">
        <f t="shared" si="170"/>
        <v>53.48429676</v>
      </c>
      <c r="BU1839" s="920">
        <v>0.6848726851851852</v>
      </c>
      <c r="BV1839" s="903">
        <f t="shared" si="186"/>
        <v>0.0006712962963</v>
      </c>
      <c r="BW1839" s="908">
        <v>16.9</v>
      </c>
      <c r="BX1839" s="908">
        <v>28.4</v>
      </c>
      <c r="BY1839" s="331">
        <f t="shared" si="201"/>
        <v>26.06223321</v>
      </c>
      <c r="BZ1839" s="331"/>
      <c r="CA1839" s="462" t="str">
        <f t="shared" ref="CA1839:CJ1839" si="530">IF(ISNUMBER(FIND(BI$3, $CP1839)), "Y", "")</f>
        <v>Y</v>
      </c>
      <c r="CB1839" s="319" t="str">
        <f t="shared" si="530"/>
        <v>Y</v>
      </c>
      <c r="CC1839" s="319" t="str">
        <f t="shared" si="530"/>
        <v>Y</v>
      </c>
      <c r="CD1839" s="319" t="str">
        <f t="shared" si="530"/>
        <v>Y</v>
      </c>
      <c r="CE1839" s="319" t="str">
        <f t="shared" si="530"/>
        <v>Y</v>
      </c>
      <c r="CF1839" s="319" t="str">
        <f t="shared" si="530"/>
        <v>Y</v>
      </c>
      <c r="CG1839" s="319" t="str">
        <f t="shared" si="530"/>
        <v>Y</v>
      </c>
      <c r="CH1839" s="319" t="str">
        <f t="shared" si="530"/>
        <v/>
      </c>
      <c r="CI1839" s="319" t="str">
        <f t="shared" si="530"/>
        <v>Y</v>
      </c>
      <c r="CJ1839" s="319" t="str">
        <f t="shared" si="530"/>
        <v>Y</v>
      </c>
      <c r="CK1839" s="342">
        <f t="shared" si="182"/>
        <v>5.423098745</v>
      </c>
      <c r="CL1839" s="333">
        <f t="shared" si="183"/>
        <v>53.48429676</v>
      </c>
      <c r="CM1839" s="1079" t="s">
        <v>2623</v>
      </c>
      <c r="CN1839" s="1005" t="s">
        <v>2729</v>
      </c>
      <c r="CO1839" s="1005" t="s">
        <v>2460</v>
      </c>
      <c r="CP1839" s="1005" t="s">
        <v>2400</v>
      </c>
    </row>
    <row r="1840">
      <c r="A1840" s="266"/>
      <c r="B1840" s="1113" t="s">
        <v>2649</v>
      </c>
      <c r="C1840" s="1107">
        <v>45484.0</v>
      </c>
      <c r="D1840" s="1113" t="s">
        <v>986</v>
      </c>
      <c r="E1840" s="1108" t="s">
        <v>2738</v>
      </c>
      <c r="F1840" s="112" t="s">
        <v>2739</v>
      </c>
      <c r="G1840" s="1110">
        <v>0.6842592592592592</v>
      </c>
      <c r="H1840" s="1110">
        <v>0.6861111111111111</v>
      </c>
      <c r="I1840" s="1110"/>
      <c r="J1840" s="1111"/>
      <c r="K1840" s="1111">
        <v>0.713136574074074</v>
      </c>
      <c r="L1840" s="1112">
        <v>0.027025462962962963</v>
      </c>
      <c r="M1840" s="1113" t="s">
        <v>166</v>
      </c>
      <c r="N1840" s="110" t="s">
        <v>187</v>
      </c>
      <c r="O1840" s="1115" t="s">
        <v>205</v>
      </c>
      <c r="P1840" s="1115" t="s">
        <v>213</v>
      </c>
      <c r="Q1840" s="1115" t="s">
        <v>842</v>
      </c>
      <c r="R1840" s="120">
        <v>21.5</v>
      </c>
      <c r="S1840" s="1113">
        <v>4.1</v>
      </c>
      <c r="T1840" s="110">
        <v>2.3</v>
      </c>
      <c r="U1840" s="1108">
        <v>1.417</v>
      </c>
      <c r="V1840" s="1108"/>
      <c r="W1840" s="1108"/>
      <c r="X1840" s="1108"/>
      <c r="Y1840" s="1108"/>
      <c r="Z1840" s="1114" t="s">
        <v>370</v>
      </c>
      <c r="AA1840" s="1114"/>
      <c r="AB1840" s="1114" t="s">
        <v>384</v>
      </c>
      <c r="AC1840" s="1117">
        <v>6.0</v>
      </c>
      <c r="AD1840" s="1115"/>
      <c r="AE1840" s="1115"/>
      <c r="AF1840" s="1115"/>
      <c r="AG1840" s="1115"/>
      <c r="AH1840" s="1115"/>
      <c r="AI1840" s="1115"/>
      <c r="AJ1840" s="1117"/>
      <c r="AK1840" s="1118"/>
      <c r="AL1840" s="1115"/>
      <c r="AM1840" s="1115"/>
      <c r="AN1840" s="1115"/>
      <c r="AO1840" s="1115"/>
      <c r="AP1840" s="1115"/>
      <c r="AQ1840" s="1115"/>
      <c r="AR1840" s="1115"/>
      <c r="AS1840" s="1117"/>
      <c r="AT1840" s="1196" t="str">
        <f t="shared" si="428"/>
        <v>1-10</v>
      </c>
      <c r="AU1840" s="1193"/>
      <c r="AV1840" s="330">
        <f>SQRT(($R1840-Infrastructure!J$3)^2+($S1840-Infrastructure!K$3)^2)</f>
        <v>33.01938824</v>
      </c>
      <c r="AW1840" s="331">
        <f>SQRT(($R1840-Infrastructure!J$4)^2+($S1840-Infrastructure!K$4)^2)</f>
        <v>25.74742706</v>
      </c>
      <c r="AX1840" s="331">
        <f>SQRT(($R1840-Infrastructure!J$5)^2+($S1840-Infrastructure!K$5)^2)</f>
        <v>21.82292373</v>
      </c>
      <c r="AY1840" s="331">
        <f>SQRT(($R1840-Infrastructure!J$6)^2+($S1840-Infrastructure!K$6)^2)</f>
        <v>12.01665511</v>
      </c>
      <c r="AZ1840" s="331">
        <f>SQRT(($R1840-Infrastructure!J$7)^2+($S1840-Infrastructure!K$7)^2)</f>
        <v>3.929376541</v>
      </c>
      <c r="BA1840" s="331">
        <f>SQRT(($R1840-Infrastructure!J$8)^2+($S1840-Infrastructure!K$8)^2)</f>
        <v>9.402127419</v>
      </c>
      <c r="BB1840" s="331">
        <f>SQRT(($R1840-Infrastructure!J$9)^2+($S1840-Infrastructure!K$9)^2)</f>
        <v>18.52700731</v>
      </c>
      <c r="BC1840" s="331">
        <f>SQRT(($R1840-Infrastructure!J$10)^2+($S1840-Infrastructure!K$10)^2)</f>
        <v>21.47230775</v>
      </c>
      <c r="BD1840" s="331">
        <f>SQRT(($R1840-Infrastructure!J$11)^2+($S1840-Infrastructure!K$11)^2)</f>
        <v>31.14000642</v>
      </c>
      <c r="BE1840" s="333">
        <f>SQRT(($R1840-Infrastructure!J$12)^2+($S1840-Infrastructure!K$12)^2)</f>
        <v>51.4</v>
      </c>
      <c r="BF1840" s="330">
        <f t="shared" si="161"/>
        <v>3.929376541</v>
      </c>
      <c r="BG1840" s="333">
        <f t="shared" si="162"/>
        <v>51.4</v>
      </c>
      <c r="BH1840" s="1119"/>
      <c r="BI1840" s="319" t="str">
        <f t="shared" ref="BI1840:BR1840" si="531">IF(ISNUMBER(FIND(BI$3, $CO1840)), "Y", "")</f>
        <v>Y</v>
      </c>
      <c r="BJ1840" s="319" t="str">
        <f t="shared" si="531"/>
        <v/>
      </c>
      <c r="BK1840" s="319" t="str">
        <f t="shared" si="531"/>
        <v>Y</v>
      </c>
      <c r="BL1840" s="319" t="str">
        <f t="shared" si="531"/>
        <v>Y</v>
      </c>
      <c r="BM1840" s="319" t="str">
        <f t="shared" si="531"/>
        <v>Y</v>
      </c>
      <c r="BN1840" s="319" t="str">
        <f t="shared" si="531"/>
        <v>Y</v>
      </c>
      <c r="BO1840" s="319" t="str">
        <f t="shared" si="531"/>
        <v>Y</v>
      </c>
      <c r="BP1840" s="319" t="str">
        <f t="shared" si="531"/>
        <v/>
      </c>
      <c r="BQ1840" s="319" t="str">
        <f t="shared" si="531"/>
        <v>Y</v>
      </c>
      <c r="BR1840" s="319" t="str">
        <f t="shared" si="531"/>
        <v>Y</v>
      </c>
      <c r="BS1840" s="330">
        <f t="shared" si="185"/>
        <v>3.929376541</v>
      </c>
      <c r="BT1840" s="331">
        <f t="shared" si="170"/>
        <v>51.4</v>
      </c>
      <c r="BU1840" s="920">
        <v>0.6848726851851852</v>
      </c>
      <c r="BV1840" s="903">
        <f t="shared" si="186"/>
        <v>0.0006134259259</v>
      </c>
      <c r="BW1840" s="908">
        <v>16.9</v>
      </c>
      <c r="BX1840" s="908">
        <v>28.4</v>
      </c>
      <c r="BY1840" s="331">
        <f t="shared" si="201"/>
        <v>24.73155879</v>
      </c>
      <c r="BZ1840" s="331"/>
      <c r="CA1840" s="462" t="str">
        <f t="shared" ref="CA1840:CJ1840" si="532">IF(ISNUMBER(FIND(BI$3, $CP1840)), "Y", "")</f>
        <v>Y</v>
      </c>
      <c r="CB1840" s="319" t="str">
        <f t="shared" si="532"/>
        <v>Y</v>
      </c>
      <c r="CC1840" s="319" t="str">
        <f t="shared" si="532"/>
        <v>Y</v>
      </c>
      <c r="CD1840" s="319" t="str">
        <f t="shared" si="532"/>
        <v>Y</v>
      </c>
      <c r="CE1840" s="319" t="str">
        <f t="shared" si="532"/>
        <v>Y</v>
      </c>
      <c r="CF1840" s="319" t="str">
        <f t="shared" si="532"/>
        <v>Y</v>
      </c>
      <c r="CG1840" s="319" t="str">
        <f t="shared" si="532"/>
        <v>Y</v>
      </c>
      <c r="CH1840" s="319" t="str">
        <f t="shared" si="532"/>
        <v/>
      </c>
      <c r="CI1840" s="319" t="str">
        <f t="shared" si="532"/>
        <v>Y</v>
      </c>
      <c r="CJ1840" s="319" t="str">
        <f t="shared" si="532"/>
        <v>Y</v>
      </c>
      <c r="CK1840" s="342">
        <f t="shared" si="182"/>
        <v>3.929376541</v>
      </c>
      <c r="CL1840" s="333">
        <f t="shared" si="183"/>
        <v>51.4</v>
      </c>
      <c r="CM1840" s="1079" t="s">
        <v>2623</v>
      </c>
      <c r="CN1840" s="1005" t="s">
        <v>2729</v>
      </c>
      <c r="CO1840" s="1005" t="s">
        <v>2460</v>
      </c>
      <c r="CP1840" s="1005" t="s">
        <v>2400</v>
      </c>
    </row>
    <row r="1841">
      <c r="A1841" s="266"/>
      <c r="B1841" s="1113" t="s">
        <v>2649</v>
      </c>
      <c r="C1841" s="1107">
        <v>45484.0</v>
      </c>
      <c r="D1841" s="1113" t="s">
        <v>986</v>
      </c>
      <c r="E1841" s="1108" t="s">
        <v>2740</v>
      </c>
      <c r="F1841" s="112" t="s">
        <v>2741</v>
      </c>
      <c r="G1841" s="1110">
        <v>0.6843171296296297</v>
      </c>
      <c r="H1841" s="1110">
        <v>0.6861111111111111</v>
      </c>
      <c r="I1841" s="1110"/>
      <c r="J1841" s="1111"/>
      <c r="K1841" s="1111">
        <v>0.7130787037037037</v>
      </c>
      <c r="L1841" s="1112">
        <v>0.02696759259259259</v>
      </c>
      <c r="M1841" s="1113" t="s">
        <v>166</v>
      </c>
      <c r="N1841" s="110" t="s">
        <v>187</v>
      </c>
      <c r="O1841" s="1115" t="s">
        <v>207</v>
      </c>
      <c r="P1841" s="1115" t="s">
        <v>226</v>
      </c>
      <c r="Q1841" s="1115" t="s">
        <v>842</v>
      </c>
      <c r="R1841" s="120">
        <v>26.0</v>
      </c>
      <c r="S1841" s="1113">
        <v>13.3</v>
      </c>
      <c r="T1841" s="110">
        <v>0.1</v>
      </c>
      <c r="U1841" s="1108">
        <v>1.417</v>
      </c>
      <c r="V1841" s="1108"/>
      <c r="W1841" s="1108"/>
      <c r="X1841" s="1108"/>
      <c r="Y1841" s="1108"/>
      <c r="Z1841" s="1114" t="s">
        <v>374</v>
      </c>
      <c r="AA1841" s="1114"/>
      <c r="AB1841" s="1114" t="s">
        <v>380</v>
      </c>
      <c r="AC1841" s="1117">
        <v>4.0</v>
      </c>
      <c r="AD1841" s="1115"/>
      <c r="AE1841" s="1115"/>
      <c r="AF1841" s="1115"/>
      <c r="AG1841" s="1115"/>
      <c r="AH1841" s="1115"/>
      <c r="AI1841" s="1115"/>
      <c r="AJ1841" s="1117"/>
      <c r="AK1841" s="1118"/>
      <c r="AL1841" s="1115"/>
      <c r="AM1841" s="1115"/>
      <c r="AN1841" s="1115"/>
      <c r="AO1841" s="1115"/>
      <c r="AP1841" s="1115"/>
      <c r="AQ1841" s="1115"/>
      <c r="AR1841" s="1115"/>
      <c r="AS1841" s="1117"/>
      <c r="AT1841" s="1196" t="str">
        <f t="shared" si="428"/>
        <v>1-10</v>
      </c>
      <c r="AU1841" s="1193"/>
      <c r="AV1841" s="330">
        <f>SQRT(($R1841-Infrastructure!J$3)^2+($S1841-Infrastructure!K$3)^2)</f>
        <v>30.57858728</v>
      </c>
      <c r="AW1841" s="331">
        <f>SQRT(($R1841-Infrastructure!J$4)^2+($S1841-Infrastructure!K$4)^2)</f>
        <v>26.68220381</v>
      </c>
      <c r="AX1841" s="331">
        <f>SQRT(($R1841-Infrastructure!J$5)^2+($S1841-Infrastructure!K$5)^2)</f>
        <v>27.54868418</v>
      </c>
      <c r="AY1841" s="331">
        <f>SQRT(($R1841-Infrastructure!J$6)^2+($S1841-Infrastructure!K$6)^2)</f>
        <v>20.53801354</v>
      </c>
      <c r="AZ1841" s="331">
        <f>SQRT(($R1841-Infrastructure!J$7)^2+($S1841-Infrastructure!K$7)^2)</f>
        <v>14.11559421</v>
      </c>
      <c r="BA1841" s="331">
        <f>SQRT(($R1841-Infrastructure!J$8)^2+($S1841-Infrastructure!K$8)^2)</f>
        <v>13.63121418</v>
      </c>
      <c r="BB1841" s="331">
        <f>SQRT(($R1841-Infrastructure!J$9)^2+($S1841-Infrastructure!K$9)^2)</f>
        <v>16.22467257</v>
      </c>
      <c r="BC1841" s="331">
        <f>SQRT(($R1841-Infrastructure!J$10)^2+($S1841-Infrastructure!K$10)^2)</f>
        <v>14.10283659</v>
      </c>
      <c r="BD1841" s="331">
        <f>SQRT(($R1841-Infrastructure!J$11)^2+($S1841-Infrastructure!K$11)^2)</f>
        <v>21.16908123</v>
      </c>
      <c r="BE1841" s="333">
        <f>SQRT(($R1841-Infrastructure!J$12)^2+($S1841-Infrastructure!K$12)^2)</f>
        <v>42.4392507</v>
      </c>
      <c r="BF1841" s="330">
        <f t="shared" si="161"/>
        <v>13.63121418</v>
      </c>
      <c r="BG1841" s="333">
        <f t="shared" si="162"/>
        <v>42.4392507</v>
      </c>
      <c r="BH1841" s="1119"/>
      <c r="BI1841" s="319" t="str">
        <f t="shared" ref="BI1841:BR1841" si="533">IF(ISNUMBER(FIND(BI$3, $CO1841)), "Y", "")</f>
        <v>Y</v>
      </c>
      <c r="BJ1841" s="319" t="str">
        <f t="shared" si="533"/>
        <v/>
      </c>
      <c r="BK1841" s="319" t="str">
        <f t="shared" si="533"/>
        <v>Y</v>
      </c>
      <c r="BL1841" s="319" t="str">
        <f t="shared" si="533"/>
        <v>Y</v>
      </c>
      <c r="BM1841" s="319" t="str">
        <f t="shared" si="533"/>
        <v>Y</v>
      </c>
      <c r="BN1841" s="319" t="str">
        <f t="shared" si="533"/>
        <v>Y</v>
      </c>
      <c r="BO1841" s="319" t="str">
        <f t="shared" si="533"/>
        <v>Y</v>
      </c>
      <c r="BP1841" s="319" t="str">
        <f t="shared" si="533"/>
        <v/>
      </c>
      <c r="BQ1841" s="319" t="str">
        <f t="shared" si="533"/>
        <v>Y</v>
      </c>
      <c r="BR1841" s="319" t="str">
        <f t="shared" si="533"/>
        <v>Y</v>
      </c>
      <c r="BS1841" s="330">
        <f t="shared" si="185"/>
        <v>13.63121418</v>
      </c>
      <c r="BT1841" s="331">
        <f t="shared" si="170"/>
        <v>42.4392507</v>
      </c>
      <c r="BU1841" s="920">
        <v>0.6848726851851852</v>
      </c>
      <c r="BV1841" s="903">
        <f t="shared" si="186"/>
        <v>0.0005555555556</v>
      </c>
      <c r="BW1841" s="908">
        <v>16.9</v>
      </c>
      <c r="BX1841" s="908">
        <v>28.4</v>
      </c>
      <c r="BY1841" s="331">
        <f t="shared" si="201"/>
        <v>17.63008792</v>
      </c>
      <c r="BZ1841" s="331"/>
      <c r="CA1841" s="462" t="str">
        <f t="shared" ref="CA1841:CJ1841" si="534">IF(ISNUMBER(FIND(BI$3, $CP1841)), "Y", "")</f>
        <v>Y</v>
      </c>
      <c r="CB1841" s="319" t="str">
        <f t="shared" si="534"/>
        <v>Y</v>
      </c>
      <c r="CC1841" s="319" t="str">
        <f t="shared" si="534"/>
        <v>Y</v>
      </c>
      <c r="CD1841" s="319" t="str">
        <f t="shared" si="534"/>
        <v>Y</v>
      </c>
      <c r="CE1841" s="319" t="str">
        <f t="shared" si="534"/>
        <v>Y</v>
      </c>
      <c r="CF1841" s="319" t="str">
        <f t="shared" si="534"/>
        <v>Y</v>
      </c>
      <c r="CG1841" s="319" t="str">
        <f t="shared" si="534"/>
        <v>Y</v>
      </c>
      <c r="CH1841" s="319" t="str">
        <f t="shared" si="534"/>
        <v/>
      </c>
      <c r="CI1841" s="319" t="str">
        <f t="shared" si="534"/>
        <v>Y</v>
      </c>
      <c r="CJ1841" s="319" t="str">
        <f t="shared" si="534"/>
        <v>Y</v>
      </c>
      <c r="CK1841" s="342">
        <f t="shared" si="182"/>
        <v>13.63121418</v>
      </c>
      <c r="CL1841" s="333">
        <f t="shared" si="183"/>
        <v>42.4392507</v>
      </c>
      <c r="CM1841" s="1079" t="s">
        <v>2623</v>
      </c>
      <c r="CN1841" s="1005" t="s">
        <v>2729</v>
      </c>
      <c r="CO1841" s="1005" t="s">
        <v>2460</v>
      </c>
      <c r="CP1841" s="1005" t="s">
        <v>2400</v>
      </c>
    </row>
    <row r="1842">
      <c r="A1842" s="266"/>
      <c r="B1842" s="1113" t="s">
        <v>2649</v>
      </c>
      <c r="C1842" s="1107">
        <v>45484.0</v>
      </c>
      <c r="D1842" s="1113" t="s">
        <v>986</v>
      </c>
      <c r="E1842" s="1108" t="s">
        <v>2742</v>
      </c>
      <c r="F1842" s="112" t="s">
        <v>2743</v>
      </c>
      <c r="G1842" s="1110">
        <v>0.7166666666666667</v>
      </c>
      <c r="H1842" s="1110">
        <v>0.7173611111111111</v>
      </c>
      <c r="I1842" s="1110"/>
      <c r="J1842" s="1111"/>
      <c r="K1842" s="1111">
        <v>0.7395833333333334</v>
      </c>
      <c r="L1842" s="1112">
        <v>0.022222222222222223</v>
      </c>
      <c r="M1842" s="1113" t="s">
        <v>166</v>
      </c>
      <c r="N1842" s="110" t="s">
        <v>188</v>
      </c>
      <c r="O1842" s="1115" t="s">
        <v>378</v>
      </c>
      <c r="P1842" s="1115" t="s">
        <v>225</v>
      </c>
      <c r="Q1842" s="1115" t="s">
        <v>842</v>
      </c>
      <c r="R1842" s="120">
        <v>22.7</v>
      </c>
      <c r="S1842" s="1113">
        <v>39.7</v>
      </c>
      <c r="T1842" s="110">
        <v>1.1</v>
      </c>
      <c r="U1842" s="1108">
        <v>1.089</v>
      </c>
      <c r="V1842" s="1108"/>
      <c r="W1842" s="1108"/>
      <c r="X1842" s="1108"/>
      <c r="Y1842" s="1108"/>
      <c r="Z1842" s="1114" t="s">
        <v>1221</v>
      </c>
      <c r="AA1842" s="1114"/>
      <c r="AB1842" s="1114" t="s">
        <v>403</v>
      </c>
      <c r="AC1842" s="1117">
        <v>8.0</v>
      </c>
      <c r="AD1842" s="1115"/>
      <c r="AE1842" s="1115"/>
      <c r="AF1842" s="1115"/>
      <c r="AG1842" s="1115"/>
      <c r="AH1842" s="1115"/>
      <c r="AI1842" s="1115"/>
      <c r="AJ1842" s="1117"/>
      <c r="AK1842" s="1118"/>
      <c r="AL1842" s="1115"/>
      <c r="AM1842" s="1115"/>
      <c r="AN1842" s="1115"/>
      <c r="AO1842" s="1115"/>
      <c r="AP1842" s="1115"/>
      <c r="AQ1842" s="1115"/>
      <c r="AR1842" s="1115"/>
      <c r="AS1842" s="1117"/>
      <c r="AT1842" s="1196" t="str">
        <f t="shared" si="428"/>
        <v>1-10</v>
      </c>
      <c r="AU1842" s="1193"/>
      <c r="AV1842" s="330">
        <f>SQRT(($R1842-Infrastructure!J$3)^2+($S1842-Infrastructure!K$3)^2)</f>
        <v>25.40944706</v>
      </c>
      <c r="AW1842" s="331">
        <f>SQRT(($R1842-Infrastructure!J$4)^2+($S1842-Infrastructure!K$4)^2)</f>
        <v>31.75862088</v>
      </c>
      <c r="AX1842" s="331">
        <f>SQRT(($R1842-Infrastructure!J$5)^2+($S1842-Infrastructure!K$5)^2)</f>
        <v>41.54708173</v>
      </c>
      <c r="AY1842" s="331">
        <f>SQRT(($R1842-Infrastructure!J$6)^2+($S1842-Infrastructure!K$6)^2)</f>
        <v>41.36568626</v>
      </c>
      <c r="AZ1842" s="331">
        <f>SQRT(($R1842-Infrastructure!J$7)^2+($S1842-Infrastructure!K$7)^2)</f>
        <v>39.46137352</v>
      </c>
      <c r="BA1842" s="331">
        <f>SQRT(($R1842-Infrastructure!J$8)^2+($S1842-Infrastructure!K$8)^2)</f>
        <v>40.08890121</v>
      </c>
      <c r="BB1842" s="331">
        <f>SQRT(($R1842-Infrastructure!J$9)^2+($S1842-Infrastructure!K$9)^2)</f>
        <v>38.68397601</v>
      </c>
      <c r="BC1842" s="331">
        <f>SQRT(($R1842-Infrastructure!J$10)^2+($S1842-Infrastructure!K$10)^2)</f>
        <v>30.15592811</v>
      </c>
      <c r="BD1842" s="331">
        <f>SQRT(($R1842-Infrastructure!J$11)^2+($S1842-Infrastructure!K$11)^2)</f>
        <v>20.51194774</v>
      </c>
      <c r="BE1842" s="333">
        <f>SQRT(($R1842-Infrastructure!J$12)^2+($S1842-Infrastructure!K$12)^2)</f>
        <v>15.84550409</v>
      </c>
      <c r="BF1842" s="330">
        <f t="shared" si="161"/>
        <v>15.84550409</v>
      </c>
      <c r="BG1842" s="333">
        <f t="shared" si="162"/>
        <v>41.54708173</v>
      </c>
      <c r="BH1842" s="1119"/>
      <c r="BI1842" s="319" t="str">
        <f t="shared" ref="BI1842:BR1842" si="535">IF(ISNUMBER(FIND(BI$3, $CO1842)), "Y", "")</f>
        <v/>
      </c>
      <c r="BJ1842" s="319" t="str">
        <f t="shared" si="535"/>
        <v/>
      </c>
      <c r="BK1842" s="319" t="str">
        <f t="shared" si="535"/>
        <v>Y</v>
      </c>
      <c r="BL1842" s="319" t="str">
        <f t="shared" si="535"/>
        <v>Y</v>
      </c>
      <c r="BM1842" s="319" t="str">
        <f t="shared" si="535"/>
        <v>Y</v>
      </c>
      <c r="BN1842" s="319" t="str">
        <f t="shared" si="535"/>
        <v>Y</v>
      </c>
      <c r="BO1842" s="319" t="str">
        <f t="shared" si="535"/>
        <v>Y</v>
      </c>
      <c r="BP1842" s="319" t="str">
        <f t="shared" si="535"/>
        <v/>
      </c>
      <c r="BQ1842" s="319" t="str">
        <f t="shared" si="535"/>
        <v/>
      </c>
      <c r="BR1842" s="319" t="str">
        <f t="shared" si="535"/>
        <v/>
      </c>
      <c r="BS1842" s="330">
        <f t="shared" si="185"/>
        <v>38.68397601</v>
      </c>
      <c r="BT1842" s="331">
        <f t="shared" si="170"/>
        <v>41.54708173</v>
      </c>
      <c r="BU1842" s="920">
        <v>0.7175578703703703</v>
      </c>
      <c r="BV1842" s="903">
        <f t="shared" si="186"/>
        <v>0.0008912037037</v>
      </c>
      <c r="BW1842" s="908">
        <v>16.9</v>
      </c>
      <c r="BX1842" s="908">
        <v>31.0</v>
      </c>
      <c r="BY1842" s="331">
        <f t="shared" si="201"/>
        <v>10.4560987</v>
      </c>
      <c r="BZ1842" s="331"/>
      <c r="CA1842" s="462" t="str">
        <f t="shared" ref="CA1842:CJ1842" si="536">IF(ISNUMBER(FIND(BI$3, $CP1842)), "Y", "")</f>
        <v/>
      </c>
      <c r="CB1842" s="319" t="str">
        <f t="shared" si="536"/>
        <v/>
      </c>
      <c r="CC1842" s="319" t="str">
        <f t="shared" si="536"/>
        <v/>
      </c>
      <c r="CD1842" s="319" t="str">
        <f t="shared" si="536"/>
        <v/>
      </c>
      <c r="CE1842" s="319" t="str">
        <f t="shared" si="536"/>
        <v>Y</v>
      </c>
      <c r="CF1842" s="319" t="str">
        <f t="shared" si="536"/>
        <v>Y</v>
      </c>
      <c r="CG1842" s="319" t="str">
        <f t="shared" si="536"/>
        <v>Y</v>
      </c>
      <c r="CH1842" s="319" t="str">
        <f t="shared" si="536"/>
        <v/>
      </c>
      <c r="CI1842" s="319" t="str">
        <f t="shared" si="536"/>
        <v>Y</v>
      </c>
      <c r="CJ1842" s="319" t="str">
        <f t="shared" si="536"/>
        <v/>
      </c>
      <c r="CK1842" s="342">
        <f t="shared" si="182"/>
        <v>20.51194774</v>
      </c>
      <c r="CL1842" s="333">
        <f t="shared" si="183"/>
        <v>40.08890121</v>
      </c>
      <c r="CM1842" s="1079" t="s">
        <v>2585</v>
      </c>
      <c r="CN1842" s="1005" t="s">
        <v>2729</v>
      </c>
      <c r="CO1842" s="1005" t="s">
        <v>2619</v>
      </c>
      <c r="CP1842" s="1005" t="s">
        <v>2564</v>
      </c>
    </row>
    <row r="1843">
      <c r="A1843" s="266"/>
      <c r="B1843" s="1113" t="s">
        <v>2649</v>
      </c>
      <c r="C1843" s="1107">
        <v>45484.0</v>
      </c>
      <c r="D1843" s="1113" t="s">
        <v>986</v>
      </c>
      <c r="E1843" s="1108" t="s">
        <v>2744</v>
      </c>
      <c r="F1843" s="112" t="s">
        <v>2745</v>
      </c>
      <c r="G1843" s="1110">
        <v>0.7167245370370371</v>
      </c>
      <c r="H1843" s="1110">
        <v>0.7175347222222223</v>
      </c>
      <c r="I1843" s="1110"/>
      <c r="J1843" s="1111"/>
      <c r="K1843" s="1111">
        <v>0.7398148148148148</v>
      </c>
      <c r="L1843" s="1112">
        <v>0.02228009259259259</v>
      </c>
      <c r="M1843" s="1113" t="s">
        <v>166</v>
      </c>
      <c r="N1843" s="110" t="s">
        <v>187</v>
      </c>
      <c r="O1843" s="1115" t="s">
        <v>203</v>
      </c>
      <c r="P1843" s="1115" t="s">
        <v>250</v>
      </c>
      <c r="Q1843" s="1115" t="s">
        <v>842</v>
      </c>
      <c r="R1843" s="120">
        <v>15.1</v>
      </c>
      <c r="S1843" s="1113">
        <v>2.4</v>
      </c>
      <c r="T1843" s="110">
        <v>1.2</v>
      </c>
      <c r="U1843" s="1108">
        <v>0.544</v>
      </c>
      <c r="V1843" s="1108"/>
      <c r="W1843" s="1108"/>
      <c r="X1843" s="1108"/>
      <c r="Y1843" s="1108"/>
      <c r="Z1843" s="1114" t="s">
        <v>357</v>
      </c>
      <c r="AA1843" s="1114"/>
      <c r="AB1843" s="1114" t="s">
        <v>380</v>
      </c>
      <c r="AC1843" s="1117">
        <v>4.0</v>
      </c>
      <c r="AD1843" s="1115"/>
      <c r="AE1843" s="1115"/>
      <c r="AF1843" s="1115"/>
      <c r="AG1843" s="1115"/>
      <c r="AH1843" s="1115"/>
      <c r="AI1843" s="1115"/>
      <c r="AJ1843" s="1117"/>
      <c r="AK1843" s="1118"/>
      <c r="AL1843" s="1115"/>
      <c r="AM1843" s="1115"/>
      <c r="AN1843" s="1115"/>
      <c r="AO1843" s="1115"/>
      <c r="AP1843" s="1115"/>
      <c r="AQ1843" s="1115"/>
      <c r="AR1843" s="1115"/>
      <c r="AS1843" s="1117"/>
      <c r="AT1843" s="1196" t="str">
        <f t="shared" si="428"/>
        <v>0-1</v>
      </c>
      <c r="AU1843" s="1193"/>
      <c r="AV1843" s="330">
        <f>SQRT(($R1843-Infrastructure!J$3)^2+($S1843-Infrastructure!K$3)^2)</f>
        <v>30.64979608</v>
      </c>
      <c r="AW1843" s="331">
        <f>SQRT(($R1843-Infrastructure!J$4)^2+($S1843-Infrastructure!K$4)^2)</f>
        <v>21.77888886</v>
      </c>
      <c r="AX1843" s="331">
        <f>SQRT(($R1843-Infrastructure!J$5)^2+($S1843-Infrastructure!K$5)^2)</f>
        <v>15.63489687</v>
      </c>
      <c r="AY1843" s="331">
        <f>SQRT(($R1843-Infrastructure!J$6)^2+($S1843-Infrastructure!K$6)^2)</f>
        <v>5.423098745</v>
      </c>
      <c r="AZ1843" s="331">
        <f>SQRT(($R1843-Infrastructure!J$7)^2+($S1843-Infrastructure!K$7)^2)</f>
        <v>5.793962375</v>
      </c>
      <c r="BA1843" s="331">
        <f>SQRT(($R1843-Infrastructure!J$8)^2+($S1843-Infrastructure!K$8)^2)</f>
        <v>15.14628667</v>
      </c>
      <c r="BB1843" s="331">
        <f>SQRT(($R1843-Infrastructure!J$9)^2+($S1843-Infrastructure!K$9)^2)</f>
        <v>25.04595776</v>
      </c>
      <c r="BC1843" s="331">
        <f>SQRT(($R1843-Infrastructure!J$10)^2+($S1843-Infrastructure!K$10)^2)</f>
        <v>27.90645087</v>
      </c>
      <c r="BD1843" s="331">
        <f>SQRT(($R1843-Infrastructure!J$11)^2+($S1843-Infrastructure!K$11)^2)</f>
        <v>36.5728041</v>
      </c>
      <c r="BE1843" s="333">
        <f>SQRT(($R1843-Infrastructure!J$12)^2+($S1843-Infrastructure!K$12)^2)</f>
        <v>53.48429676</v>
      </c>
      <c r="BF1843" s="330">
        <f t="shared" si="161"/>
        <v>5.423098745</v>
      </c>
      <c r="BG1843" s="333">
        <f t="shared" si="162"/>
        <v>53.48429676</v>
      </c>
      <c r="BH1843" s="1119"/>
      <c r="BI1843" s="319" t="str">
        <f t="shared" ref="BI1843:BR1843" si="537">IF(ISNUMBER(FIND(BI$3, $CO1843)), "Y", "")</f>
        <v/>
      </c>
      <c r="BJ1843" s="319" t="str">
        <f t="shared" si="537"/>
        <v/>
      </c>
      <c r="BK1843" s="319" t="str">
        <f t="shared" si="537"/>
        <v>Y</v>
      </c>
      <c r="BL1843" s="319" t="str">
        <f t="shared" si="537"/>
        <v>Y</v>
      </c>
      <c r="BM1843" s="319" t="str">
        <f t="shared" si="537"/>
        <v>Y</v>
      </c>
      <c r="BN1843" s="319" t="str">
        <f t="shared" si="537"/>
        <v>Y</v>
      </c>
      <c r="BO1843" s="319" t="str">
        <f t="shared" si="537"/>
        <v>Y</v>
      </c>
      <c r="BP1843" s="319" t="str">
        <f t="shared" si="537"/>
        <v/>
      </c>
      <c r="BQ1843" s="319" t="str">
        <f t="shared" si="537"/>
        <v/>
      </c>
      <c r="BR1843" s="319" t="str">
        <f t="shared" si="537"/>
        <v/>
      </c>
      <c r="BS1843" s="330">
        <f t="shared" si="185"/>
        <v>5.423098745</v>
      </c>
      <c r="BT1843" s="331">
        <f t="shared" si="170"/>
        <v>25.04595776</v>
      </c>
      <c r="BU1843" s="920">
        <v>0.7175578703703703</v>
      </c>
      <c r="BV1843" s="903">
        <f t="shared" si="186"/>
        <v>0.0008333333333</v>
      </c>
      <c r="BW1843" s="908">
        <v>16.9</v>
      </c>
      <c r="BX1843" s="908">
        <v>31.0</v>
      </c>
      <c r="BY1843" s="331">
        <f t="shared" si="201"/>
        <v>28.65658738</v>
      </c>
      <c r="BZ1843" s="331"/>
      <c r="CA1843" s="462" t="str">
        <f t="shared" ref="CA1843:CJ1843" si="538">IF(ISNUMBER(FIND(BI$3, $CP1843)), "Y", "")</f>
        <v/>
      </c>
      <c r="CB1843" s="319" t="str">
        <f t="shared" si="538"/>
        <v/>
      </c>
      <c r="CC1843" s="319" t="str">
        <f t="shared" si="538"/>
        <v/>
      </c>
      <c r="CD1843" s="319" t="str">
        <f t="shared" si="538"/>
        <v/>
      </c>
      <c r="CE1843" s="319" t="str">
        <f t="shared" si="538"/>
        <v>Y</v>
      </c>
      <c r="CF1843" s="319" t="str">
        <f t="shared" si="538"/>
        <v>Y</v>
      </c>
      <c r="CG1843" s="319" t="str">
        <f t="shared" si="538"/>
        <v>Y</v>
      </c>
      <c r="CH1843" s="319" t="str">
        <f t="shared" si="538"/>
        <v/>
      </c>
      <c r="CI1843" s="319" t="str">
        <f t="shared" si="538"/>
        <v>Y</v>
      </c>
      <c r="CJ1843" s="319" t="str">
        <f t="shared" si="538"/>
        <v/>
      </c>
      <c r="CK1843" s="342">
        <f t="shared" si="182"/>
        <v>5.793962375</v>
      </c>
      <c r="CL1843" s="333">
        <f t="shared" si="183"/>
        <v>36.5728041</v>
      </c>
      <c r="CM1843" s="1079" t="s">
        <v>2585</v>
      </c>
      <c r="CN1843" s="1005" t="s">
        <v>2729</v>
      </c>
      <c r="CO1843" s="1005" t="s">
        <v>2619</v>
      </c>
      <c r="CP1843" s="1005" t="s">
        <v>2564</v>
      </c>
    </row>
    <row r="1844">
      <c r="A1844" s="266"/>
      <c r="B1844" s="1113" t="s">
        <v>2649</v>
      </c>
      <c r="C1844" s="1107">
        <v>45484.0</v>
      </c>
      <c r="D1844" s="1113" t="s">
        <v>986</v>
      </c>
      <c r="E1844" s="1108" t="s">
        <v>2746</v>
      </c>
      <c r="F1844" s="112" t="s">
        <v>2747</v>
      </c>
      <c r="G1844" s="1110">
        <v>0.7167592592592592</v>
      </c>
      <c r="H1844" s="1110">
        <v>0.7175347222222223</v>
      </c>
      <c r="I1844" s="1110"/>
      <c r="J1844" s="1111"/>
      <c r="K1844" s="1111">
        <v>0.7398148148148148</v>
      </c>
      <c r="L1844" s="1112">
        <v>0.02228009259259259</v>
      </c>
      <c r="M1844" s="1113" t="s">
        <v>166</v>
      </c>
      <c r="N1844" s="110" t="s">
        <v>187</v>
      </c>
      <c r="O1844" s="1115" t="s">
        <v>205</v>
      </c>
      <c r="P1844" s="1115" t="s">
        <v>213</v>
      </c>
      <c r="Q1844" s="1115" t="s">
        <v>842</v>
      </c>
      <c r="R1844" s="120">
        <v>21.5</v>
      </c>
      <c r="S1844" s="1113">
        <v>4.1</v>
      </c>
      <c r="T1844" s="110">
        <v>2.3</v>
      </c>
      <c r="U1844" s="1108">
        <v>0.544</v>
      </c>
      <c r="V1844" s="1108"/>
      <c r="W1844" s="1108"/>
      <c r="X1844" s="1108"/>
      <c r="Y1844" s="1108"/>
      <c r="Z1844" s="1114" t="s">
        <v>370</v>
      </c>
      <c r="AA1844" s="1114"/>
      <c r="AB1844" s="1114" t="s">
        <v>380</v>
      </c>
      <c r="AC1844" s="1117">
        <v>4.0</v>
      </c>
      <c r="AD1844" s="1115"/>
      <c r="AE1844" s="1115"/>
      <c r="AF1844" s="1115"/>
      <c r="AG1844" s="1115"/>
      <c r="AH1844" s="1115"/>
      <c r="AI1844" s="1115"/>
      <c r="AJ1844" s="1117"/>
      <c r="AK1844" s="1118"/>
      <c r="AL1844" s="1115"/>
      <c r="AM1844" s="1115"/>
      <c r="AN1844" s="1115"/>
      <c r="AO1844" s="1115"/>
      <c r="AP1844" s="1115"/>
      <c r="AQ1844" s="1115"/>
      <c r="AR1844" s="1115"/>
      <c r="AS1844" s="1117"/>
      <c r="AT1844" s="1196" t="str">
        <f t="shared" si="428"/>
        <v>0-1</v>
      </c>
      <c r="AU1844" s="1193"/>
      <c r="AV1844" s="330">
        <f>SQRT(($R1844-Infrastructure!J$3)^2+($S1844-Infrastructure!K$3)^2)</f>
        <v>33.01938824</v>
      </c>
      <c r="AW1844" s="331">
        <f>SQRT(($R1844-Infrastructure!J$4)^2+($S1844-Infrastructure!K$4)^2)</f>
        <v>25.74742706</v>
      </c>
      <c r="AX1844" s="331">
        <f>SQRT(($R1844-Infrastructure!J$5)^2+($S1844-Infrastructure!K$5)^2)</f>
        <v>21.82292373</v>
      </c>
      <c r="AY1844" s="331">
        <f>SQRT(($R1844-Infrastructure!J$6)^2+($S1844-Infrastructure!K$6)^2)</f>
        <v>12.01665511</v>
      </c>
      <c r="AZ1844" s="331">
        <f>SQRT(($R1844-Infrastructure!J$7)^2+($S1844-Infrastructure!K$7)^2)</f>
        <v>3.929376541</v>
      </c>
      <c r="BA1844" s="331">
        <f>SQRT(($R1844-Infrastructure!J$8)^2+($S1844-Infrastructure!K$8)^2)</f>
        <v>9.402127419</v>
      </c>
      <c r="BB1844" s="331">
        <f>SQRT(($R1844-Infrastructure!J$9)^2+($S1844-Infrastructure!K$9)^2)</f>
        <v>18.52700731</v>
      </c>
      <c r="BC1844" s="331">
        <f>SQRT(($R1844-Infrastructure!J$10)^2+($S1844-Infrastructure!K$10)^2)</f>
        <v>21.47230775</v>
      </c>
      <c r="BD1844" s="331">
        <f>SQRT(($R1844-Infrastructure!J$11)^2+($S1844-Infrastructure!K$11)^2)</f>
        <v>31.14000642</v>
      </c>
      <c r="BE1844" s="333">
        <f>SQRT(($R1844-Infrastructure!J$12)^2+($S1844-Infrastructure!K$12)^2)</f>
        <v>51.4</v>
      </c>
      <c r="BF1844" s="330">
        <f t="shared" si="161"/>
        <v>3.929376541</v>
      </c>
      <c r="BG1844" s="333">
        <f t="shared" si="162"/>
        <v>51.4</v>
      </c>
      <c r="BH1844" s="1119"/>
      <c r="BI1844" s="319" t="str">
        <f t="shared" ref="BI1844:BR1844" si="539">IF(ISNUMBER(FIND(BI$3, $CO1844)), "Y", "")</f>
        <v/>
      </c>
      <c r="BJ1844" s="319" t="str">
        <f t="shared" si="539"/>
        <v/>
      </c>
      <c r="BK1844" s="319" t="str">
        <f t="shared" si="539"/>
        <v>Y</v>
      </c>
      <c r="BL1844" s="319" t="str">
        <f t="shared" si="539"/>
        <v>Y</v>
      </c>
      <c r="BM1844" s="319" t="str">
        <f t="shared" si="539"/>
        <v>Y</v>
      </c>
      <c r="BN1844" s="319" t="str">
        <f t="shared" si="539"/>
        <v>Y</v>
      </c>
      <c r="BO1844" s="319" t="str">
        <f t="shared" si="539"/>
        <v>Y</v>
      </c>
      <c r="BP1844" s="319" t="str">
        <f t="shared" si="539"/>
        <v/>
      </c>
      <c r="BQ1844" s="319" t="str">
        <f t="shared" si="539"/>
        <v/>
      </c>
      <c r="BR1844" s="319" t="str">
        <f t="shared" si="539"/>
        <v/>
      </c>
      <c r="BS1844" s="330">
        <f t="shared" si="185"/>
        <v>3.929376541</v>
      </c>
      <c r="BT1844" s="331">
        <f t="shared" si="170"/>
        <v>21.82292373</v>
      </c>
      <c r="BU1844" s="920">
        <v>0.7175578703703703</v>
      </c>
      <c r="BV1844" s="903">
        <f t="shared" si="186"/>
        <v>0.0007986111111</v>
      </c>
      <c r="BW1844" s="908">
        <v>16.9</v>
      </c>
      <c r="BX1844" s="908">
        <v>31.0</v>
      </c>
      <c r="BY1844" s="331">
        <f t="shared" si="201"/>
        <v>27.29047453</v>
      </c>
      <c r="BZ1844" s="331"/>
      <c r="CA1844" s="462" t="str">
        <f t="shared" ref="CA1844:CJ1844" si="540">IF(ISNUMBER(FIND(BI$3, $CP1844)), "Y", "")</f>
        <v/>
      </c>
      <c r="CB1844" s="319" t="str">
        <f t="shared" si="540"/>
        <v/>
      </c>
      <c r="CC1844" s="319" t="str">
        <f t="shared" si="540"/>
        <v/>
      </c>
      <c r="CD1844" s="319" t="str">
        <f t="shared" si="540"/>
        <v/>
      </c>
      <c r="CE1844" s="319" t="str">
        <f t="shared" si="540"/>
        <v>Y</v>
      </c>
      <c r="CF1844" s="319" t="str">
        <f t="shared" si="540"/>
        <v>Y</v>
      </c>
      <c r="CG1844" s="319" t="str">
        <f t="shared" si="540"/>
        <v>Y</v>
      </c>
      <c r="CH1844" s="319" t="str">
        <f t="shared" si="540"/>
        <v/>
      </c>
      <c r="CI1844" s="319" t="str">
        <f t="shared" si="540"/>
        <v>Y</v>
      </c>
      <c r="CJ1844" s="319" t="str">
        <f t="shared" si="540"/>
        <v/>
      </c>
      <c r="CK1844" s="342">
        <f t="shared" si="182"/>
        <v>3.929376541</v>
      </c>
      <c r="CL1844" s="333">
        <f t="shared" si="183"/>
        <v>31.14000642</v>
      </c>
      <c r="CM1844" s="1079" t="s">
        <v>2585</v>
      </c>
      <c r="CN1844" s="1005" t="s">
        <v>2729</v>
      </c>
      <c r="CO1844" s="1005" t="s">
        <v>2619</v>
      </c>
      <c r="CP1844" s="1005" t="s">
        <v>2564</v>
      </c>
    </row>
    <row r="1845">
      <c r="A1845" s="1258"/>
      <c r="B1845" s="1129" t="s">
        <v>2649</v>
      </c>
      <c r="C1845" s="1122">
        <v>45484.0</v>
      </c>
      <c r="D1845" s="1129" t="s">
        <v>986</v>
      </c>
      <c r="E1845" s="1124" t="s">
        <v>2748</v>
      </c>
      <c r="F1845" s="108" t="s">
        <v>2749</v>
      </c>
      <c r="G1845" s="1126">
        <v>0.7167824074074074</v>
      </c>
      <c r="H1845" s="1126">
        <v>0.7175347222222223</v>
      </c>
      <c r="I1845" s="1126"/>
      <c r="J1845" s="1127"/>
      <c r="K1845" s="1127">
        <v>0.7397569444444444</v>
      </c>
      <c r="L1845" s="1128">
        <v>0.022222222222222223</v>
      </c>
      <c r="M1845" s="1129" t="s">
        <v>166</v>
      </c>
      <c r="N1845" s="100" t="s">
        <v>187</v>
      </c>
      <c r="O1845" s="1131" t="s">
        <v>207</v>
      </c>
      <c r="P1845" s="1131" t="s">
        <v>226</v>
      </c>
      <c r="Q1845" s="1131" t="s">
        <v>842</v>
      </c>
      <c r="R1845" s="137">
        <v>26.0</v>
      </c>
      <c r="S1845" s="1129">
        <v>13.3</v>
      </c>
      <c r="T1845" s="100">
        <v>0.1</v>
      </c>
      <c r="U1845" s="1124">
        <v>0.544</v>
      </c>
      <c r="V1845" s="1124"/>
      <c r="W1845" s="1124"/>
      <c r="X1845" s="1124"/>
      <c r="Y1845" s="1124"/>
      <c r="Z1845" s="1130" t="s">
        <v>374</v>
      </c>
      <c r="AA1845" s="1130"/>
      <c r="AB1845" s="1130" t="s">
        <v>380</v>
      </c>
      <c r="AC1845" s="1133">
        <v>4.0</v>
      </c>
      <c r="AD1845" s="1131"/>
      <c r="AE1845" s="1131"/>
      <c r="AF1845" s="1131"/>
      <c r="AG1845" s="1131"/>
      <c r="AH1845" s="1131"/>
      <c r="AI1845" s="1131"/>
      <c r="AJ1845" s="1133"/>
      <c r="AK1845" s="1134"/>
      <c r="AL1845" s="1131"/>
      <c r="AM1845" s="1131"/>
      <c r="AN1845" s="1131"/>
      <c r="AO1845" s="1131"/>
      <c r="AP1845" s="1131"/>
      <c r="AQ1845" s="1131"/>
      <c r="AR1845" s="1131"/>
      <c r="AS1845" s="1133"/>
      <c r="AT1845" s="1197" t="str">
        <f t="shared" si="428"/>
        <v>0-1</v>
      </c>
      <c r="AU1845" s="1194"/>
      <c r="AV1845" s="662">
        <f>SQRT(($R1845-Infrastructure!J$3)^2+($S1845-Infrastructure!K$3)^2)</f>
        <v>30.57858728</v>
      </c>
      <c r="AW1845" s="641">
        <f>SQRT(($R1845-Infrastructure!J$4)^2+($S1845-Infrastructure!K$4)^2)</f>
        <v>26.68220381</v>
      </c>
      <c r="AX1845" s="641">
        <f>SQRT(($R1845-Infrastructure!J$5)^2+($S1845-Infrastructure!K$5)^2)</f>
        <v>27.54868418</v>
      </c>
      <c r="AY1845" s="641">
        <f>SQRT(($R1845-Infrastructure!J$6)^2+($S1845-Infrastructure!K$6)^2)</f>
        <v>20.53801354</v>
      </c>
      <c r="AZ1845" s="641">
        <f>SQRT(($R1845-Infrastructure!J$7)^2+($S1845-Infrastructure!K$7)^2)</f>
        <v>14.11559421</v>
      </c>
      <c r="BA1845" s="641">
        <f>SQRT(($R1845-Infrastructure!J$8)^2+($S1845-Infrastructure!K$8)^2)</f>
        <v>13.63121418</v>
      </c>
      <c r="BB1845" s="641">
        <f>SQRT(($R1845-Infrastructure!J$9)^2+($S1845-Infrastructure!K$9)^2)</f>
        <v>16.22467257</v>
      </c>
      <c r="BC1845" s="641">
        <f>SQRT(($R1845-Infrastructure!J$10)^2+($S1845-Infrastructure!K$10)^2)</f>
        <v>14.10283659</v>
      </c>
      <c r="BD1845" s="641">
        <f>SQRT(($R1845-Infrastructure!J$11)^2+($S1845-Infrastructure!K$11)^2)</f>
        <v>21.16908123</v>
      </c>
      <c r="BE1845" s="642">
        <f>SQRT(($R1845-Infrastructure!J$12)^2+($S1845-Infrastructure!K$12)^2)</f>
        <v>42.4392507</v>
      </c>
      <c r="BF1845" s="662">
        <f t="shared" si="161"/>
        <v>13.63121418</v>
      </c>
      <c r="BG1845" s="642">
        <f t="shared" si="162"/>
        <v>42.4392507</v>
      </c>
      <c r="BH1845" s="1135"/>
      <c r="BI1845" s="663" t="str">
        <f t="shared" ref="BI1845:BR1845" si="541">IF(ISNUMBER(FIND(BI$3, $CO1845)), "Y", "")</f>
        <v/>
      </c>
      <c r="BJ1845" s="663" t="str">
        <f t="shared" si="541"/>
        <v/>
      </c>
      <c r="BK1845" s="663" t="str">
        <f t="shared" si="541"/>
        <v>Y</v>
      </c>
      <c r="BL1845" s="663" t="str">
        <f t="shared" si="541"/>
        <v>Y</v>
      </c>
      <c r="BM1845" s="663" t="str">
        <f t="shared" si="541"/>
        <v>Y</v>
      </c>
      <c r="BN1845" s="663" t="str">
        <f t="shared" si="541"/>
        <v>Y</v>
      </c>
      <c r="BO1845" s="663" t="str">
        <f t="shared" si="541"/>
        <v>Y</v>
      </c>
      <c r="BP1845" s="663" t="str">
        <f t="shared" si="541"/>
        <v/>
      </c>
      <c r="BQ1845" s="663" t="str">
        <f t="shared" si="541"/>
        <v/>
      </c>
      <c r="BR1845" s="663" t="str">
        <f t="shared" si="541"/>
        <v/>
      </c>
      <c r="BS1845" s="662">
        <f t="shared" si="185"/>
        <v>13.63121418</v>
      </c>
      <c r="BT1845" s="641">
        <f t="shared" si="170"/>
        <v>27.54868418</v>
      </c>
      <c r="BU1845" s="937">
        <v>0.7175578703703703</v>
      </c>
      <c r="BV1845" s="930">
        <f t="shared" si="186"/>
        <v>0.000775462963</v>
      </c>
      <c r="BW1845" s="939">
        <v>16.9</v>
      </c>
      <c r="BX1845" s="939">
        <v>31.0</v>
      </c>
      <c r="BY1845" s="641">
        <f t="shared" si="201"/>
        <v>19.90226118</v>
      </c>
      <c r="BZ1845" s="641"/>
      <c r="CA1845" s="635" t="str">
        <f t="shared" ref="CA1845:CJ1845" si="542">IF(ISNUMBER(FIND(BI$3, $CP1845)), "Y", "")</f>
        <v/>
      </c>
      <c r="CB1845" s="663" t="str">
        <f t="shared" si="542"/>
        <v/>
      </c>
      <c r="CC1845" s="663" t="str">
        <f t="shared" si="542"/>
        <v/>
      </c>
      <c r="CD1845" s="663" t="str">
        <f t="shared" si="542"/>
        <v/>
      </c>
      <c r="CE1845" s="663" t="str">
        <f t="shared" si="542"/>
        <v>Y</v>
      </c>
      <c r="CF1845" s="663" t="str">
        <f t="shared" si="542"/>
        <v>Y</v>
      </c>
      <c r="CG1845" s="663" t="str">
        <f t="shared" si="542"/>
        <v>Y</v>
      </c>
      <c r="CH1845" s="663" t="str">
        <f t="shared" si="542"/>
        <v/>
      </c>
      <c r="CI1845" s="663" t="str">
        <f t="shared" si="542"/>
        <v>Y</v>
      </c>
      <c r="CJ1845" s="663" t="str">
        <f t="shared" si="542"/>
        <v/>
      </c>
      <c r="CK1845" s="743">
        <f t="shared" si="182"/>
        <v>13.63121418</v>
      </c>
      <c r="CL1845" s="642">
        <f t="shared" si="183"/>
        <v>21.16908123</v>
      </c>
      <c r="CM1845" s="1090" t="s">
        <v>2585</v>
      </c>
      <c r="CN1845" s="1036" t="s">
        <v>2729</v>
      </c>
      <c r="CO1845" s="1036" t="s">
        <v>2619</v>
      </c>
      <c r="CP1845" s="1036" t="s">
        <v>2564</v>
      </c>
    </row>
    <row r="1846">
      <c r="A1846" s="1257" t="s">
        <v>108</v>
      </c>
      <c r="B1846" s="1113" t="s">
        <v>2649</v>
      </c>
      <c r="C1846" s="1107">
        <v>45485.0</v>
      </c>
      <c r="D1846" s="1113" t="s">
        <v>986</v>
      </c>
      <c r="E1846" s="1108" t="s">
        <v>2750</v>
      </c>
      <c r="F1846" s="112" t="s">
        <v>2751</v>
      </c>
      <c r="G1846" s="1110">
        <v>0.3923611111111111</v>
      </c>
      <c r="H1846" s="1110">
        <v>0.3951388888888889</v>
      </c>
      <c r="I1846" s="1110"/>
      <c r="J1846" s="1111"/>
      <c r="K1846" s="1111">
        <v>0.41585648148148147</v>
      </c>
      <c r="L1846" s="1112">
        <v>0.020717592592592593</v>
      </c>
      <c r="M1846" s="1113" t="s">
        <v>166</v>
      </c>
      <c r="N1846" s="110" t="s">
        <v>188</v>
      </c>
      <c r="O1846" s="1115" t="s">
        <v>378</v>
      </c>
      <c r="P1846" s="1115" t="s">
        <v>225</v>
      </c>
      <c r="Q1846" s="1115" t="s">
        <v>842</v>
      </c>
      <c r="R1846" s="120">
        <v>22.7</v>
      </c>
      <c r="S1846" s="1113">
        <v>39.7</v>
      </c>
      <c r="T1846" s="110">
        <v>1.1</v>
      </c>
      <c r="U1846" s="1108">
        <v>2.244</v>
      </c>
      <c r="V1846" s="1108"/>
      <c r="W1846" s="1108"/>
      <c r="X1846" s="1108"/>
      <c r="Y1846" s="1108"/>
      <c r="Z1846" s="1114" t="s">
        <v>1140</v>
      </c>
      <c r="AA1846" s="1114"/>
      <c r="AB1846" s="1114" t="s">
        <v>407</v>
      </c>
      <c r="AC1846" s="1117">
        <v>15.75</v>
      </c>
      <c r="AD1846" s="1115"/>
      <c r="AE1846" s="1115"/>
      <c r="AF1846" s="1115"/>
      <c r="AG1846" s="1115"/>
      <c r="AH1846" s="1115"/>
      <c r="AI1846" s="1115"/>
      <c r="AJ1846" s="1117"/>
      <c r="AK1846" s="1118"/>
      <c r="AL1846" s="1115"/>
      <c r="AM1846" s="1115"/>
      <c r="AN1846" s="1115"/>
      <c r="AO1846" s="1115"/>
      <c r="AP1846" s="1115"/>
      <c r="AQ1846" s="1115"/>
      <c r="AR1846" s="1115"/>
      <c r="AS1846" s="1117"/>
      <c r="AT1846" s="1196" t="str">
        <f t="shared" si="428"/>
        <v>1-10</v>
      </c>
      <c r="AU1846" s="1193"/>
      <c r="AV1846" s="330">
        <f>SQRT(($R1846-Infrastructure!J$3)^2+($S1846-Infrastructure!K$3)^2)</f>
        <v>25.40944706</v>
      </c>
      <c r="AW1846" s="331">
        <f>SQRT(($R1846-Infrastructure!J$4)^2+($S1846-Infrastructure!K$4)^2)</f>
        <v>31.75862088</v>
      </c>
      <c r="AX1846" s="331">
        <f>SQRT(($R1846-Infrastructure!J$5)^2+($S1846-Infrastructure!K$5)^2)</f>
        <v>41.54708173</v>
      </c>
      <c r="AY1846" s="331">
        <f>SQRT(($R1846-Infrastructure!J$6)^2+($S1846-Infrastructure!K$6)^2)</f>
        <v>41.36568626</v>
      </c>
      <c r="AZ1846" s="331">
        <f>SQRT(($R1846-Infrastructure!J$7)^2+($S1846-Infrastructure!K$7)^2)</f>
        <v>39.46137352</v>
      </c>
      <c r="BA1846" s="331">
        <f>SQRT(($R1846-Infrastructure!J$8)^2+($S1846-Infrastructure!K$8)^2)</f>
        <v>40.08890121</v>
      </c>
      <c r="BB1846" s="331">
        <f>SQRT(($R1846-Infrastructure!J$9)^2+($S1846-Infrastructure!K$9)^2)</f>
        <v>38.68397601</v>
      </c>
      <c r="BC1846" s="331">
        <f>SQRT(($R1846-Infrastructure!J$10)^2+($S1846-Infrastructure!K$10)^2)</f>
        <v>30.15592811</v>
      </c>
      <c r="BD1846" s="331">
        <f>SQRT(($R1846-Infrastructure!J$11)^2+($S1846-Infrastructure!K$11)^2)</f>
        <v>20.51194774</v>
      </c>
      <c r="BE1846" s="333">
        <f>SQRT(($R1846-Infrastructure!J$12)^2+($S1846-Infrastructure!K$12)^2)</f>
        <v>15.84550409</v>
      </c>
      <c r="BF1846" s="330">
        <f t="shared" si="161"/>
        <v>15.84550409</v>
      </c>
      <c r="BG1846" s="333">
        <f t="shared" si="162"/>
        <v>41.54708173</v>
      </c>
      <c r="BH1846" s="1119"/>
      <c r="BI1846" s="319" t="str">
        <f t="shared" ref="BI1846:BR1846" si="543">IF(ISNUMBER(FIND(BI$3, $CO1846)), "Y", "")</f>
        <v/>
      </c>
      <c r="BJ1846" s="319" t="str">
        <f t="shared" si="543"/>
        <v/>
      </c>
      <c r="BK1846" s="319" t="str">
        <f t="shared" si="543"/>
        <v>Y</v>
      </c>
      <c r="BL1846" s="319" t="str">
        <f t="shared" si="543"/>
        <v>Y</v>
      </c>
      <c r="BM1846" s="319" t="str">
        <f t="shared" si="543"/>
        <v>Y</v>
      </c>
      <c r="BN1846" s="319" t="str">
        <f t="shared" si="543"/>
        <v>Y</v>
      </c>
      <c r="BO1846" s="319" t="str">
        <f t="shared" si="543"/>
        <v>Y</v>
      </c>
      <c r="BP1846" s="319" t="str">
        <f t="shared" si="543"/>
        <v/>
      </c>
      <c r="BQ1846" s="319" t="str">
        <f t="shared" si="543"/>
        <v/>
      </c>
      <c r="BR1846" s="319" t="str">
        <f t="shared" si="543"/>
        <v/>
      </c>
      <c r="BS1846" s="330">
        <f t="shared" si="185"/>
        <v>38.68397601</v>
      </c>
      <c r="BT1846" s="331">
        <f t="shared" si="170"/>
        <v>41.54708173</v>
      </c>
      <c r="BU1846" s="920">
        <v>0.3935416666666667</v>
      </c>
      <c r="BV1846" s="903">
        <f t="shared" si="186"/>
        <v>0.001180555556</v>
      </c>
      <c r="BW1846" s="908">
        <v>16.9</v>
      </c>
      <c r="BX1846" s="908">
        <v>10.0</v>
      </c>
      <c r="BY1846" s="331">
        <f t="shared" si="201"/>
        <v>30.26103105</v>
      </c>
      <c r="BZ1846" s="331"/>
      <c r="CA1846" s="462" t="str">
        <f t="shared" ref="CA1846:CJ1846" si="544">IF(ISNUMBER(FIND(BI$3, $CP1846)), "Y", "")</f>
        <v>Y</v>
      </c>
      <c r="CB1846" s="319" t="str">
        <f t="shared" si="544"/>
        <v>Y</v>
      </c>
      <c r="CC1846" s="319" t="str">
        <f t="shared" si="544"/>
        <v>Y</v>
      </c>
      <c r="CD1846" s="319" t="str">
        <f t="shared" si="544"/>
        <v>Y</v>
      </c>
      <c r="CE1846" s="319" t="str">
        <f t="shared" si="544"/>
        <v>Y</v>
      </c>
      <c r="CF1846" s="319" t="str">
        <f t="shared" si="544"/>
        <v>Y</v>
      </c>
      <c r="CG1846" s="319" t="str">
        <f t="shared" si="544"/>
        <v>Y</v>
      </c>
      <c r="CH1846" s="319" t="str">
        <f t="shared" si="544"/>
        <v/>
      </c>
      <c r="CI1846" s="319" t="str">
        <f t="shared" si="544"/>
        <v>Y</v>
      </c>
      <c r="CJ1846" s="319" t="str">
        <f t="shared" si="544"/>
        <v>Y</v>
      </c>
      <c r="CK1846" s="342">
        <f t="shared" si="182"/>
        <v>15.84550409</v>
      </c>
      <c r="CL1846" s="333">
        <f t="shared" si="183"/>
        <v>41.54708173</v>
      </c>
      <c r="CM1846" s="1079" t="s">
        <v>2449</v>
      </c>
      <c r="CN1846" s="1005" t="s">
        <v>2752</v>
      </c>
      <c r="CO1846" s="1005" t="s">
        <v>2619</v>
      </c>
      <c r="CP1846" s="1005" t="s">
        <v>2400</v>
      </c>
    </row>
    <row r="1847">
      <c r="A1847" s="266"/>
      <c r="B1847" s="1113" t="s">
        <v>2649</v>
      </c>
      <c r="C1847" s="1107">
        <v>45485.0</v>
      </c>
      <c r="D1847" s="1113" t="s">
        <v>986</v>
      </c>
      <c r="E1847" s="1108" t="s">
        <v>2753</v>
      </c>
      <c r="F1847" s="112" t="s">
        <v>2754</v>
      </c>
      <c r="G1847" s="1110">
        <v>0.39282407407407405</v>
      </c>
      <c r="H1847" s="1110">
        <v>0.3951388888888889</v>
      </c>
      <c r="I1847" s="1110"/>
      <c r="J1847" s="1111"/>
      <c r="K1847" s="1111">
        <v>0.4157986111111111</v>
      </c>
      <c r="L1847" s="1112">
        <v>0.02065972222222222</v>
      </c>
      <c r="M1847" s="1113" t="s">
        <v>166</v>
      </c>
      <c r="N1847" s="110" t="s">
        <v>187</v>
      </c>
      <c r="O1847" s="1115" t="s">
        <v>204</v>
      </c>
      <c r="P1847" s="1115" t="s">
        <v>215</v>
      </c>
      <c r="Q1847" s="1115" t="s">
        <v>842</v>
      </c>
      <c r="R1847" s="120">
        <v>18.5</v>
      </c>
      <c r="S1847" s="1113">
        <v>3.3</v>
      </c>
      <c r="T1847" s="110">
        <v>1.9</v>
      </c>
      <c r="U1847" s="1108">
        <v>2.244</v>
      </c>
      <c r="V1847" s="1108"/>
      <c r="W1847" s="1108"/>
      <c r="X1847" s="1108"/>
      <c r="Y1847" s="1108"/>
      <c r="Z1847" s="1114" t="s">
        <v>365</v>
      </c>
      <c r="AA1847" s="1114"/>
      <c r="AB1847" s="1114" t="s">
        <v>388</v>
      </c>
      <c r="AC1847" s="1117">
        <v>8.0</v>
      </c>
      <c r="AD1847" s="1115"/>
      <c r="AE1847" s="1115"/>
      <c r="AF1847" s="1115"/>
      <c r="AG1847" s="1115"/>
      <c r="AH1847" s="1115"/>
      <c r="AI1847" s="1115"/>
      <c r="AJ1847" s="1117"/>
      <c r="AK1847" s="1118"/>
      <c r="AL1847" s="1115"/>
      <c r="AM1847" s="1115"/>
      <c r="AN1847" s="1115"/>
      <c r="AO1847" s="1115"/>
      <c r="AP1847" s="1115"/>
      <c r="AQ1847" s="1115"/>
      <c r="AR1847" s="1115"/>
      <c r="AS1847" s="1117"/>
      <c r="AT1847" s="1196" t="str">
        <f t="shared" si="428"/>
        <v>1-10</v>
      </c>
      <c r="AU1847" s="1193"/>
      <c r="AV1847" s="330">
        <f>SQRT(($R1847-Infrastructure!J$3)^2+($S1847-Infrastructure!K$3)^2)</f>
        <v>31.76161205</v>
      </c>
      <c r="AW1847" s="331">
        <f>SQRT(($R1847-Infrastructure!J$4)^2+($S1847-Infrastructure!K$4)^2)</f>
        <v>23.7421566</v>
      </c>
      <c r="AX1847" s="331">
        <f>SQRT(($R1847-Infrastructure!J$5)^2+($S1847-Infrastructure!K$5)^2)</f>
        <v>18.88597363</v>
      </c>
      <c r="AY1847" s="331">
        <f>SQRT(($R1847-Infrastructure!J$6)^2+($S1847-Infrastructure!K$6)^2)</f>
        <v>8.919641248</v>
      </c>
      <c r="AZ1847" s="331">
        <f>SQRT(($R1847-Infrastructure!J$7)^2+($S1847-Infrastructure!K$7)^2)</f>
        <v>3.605551275</v>
      </c>
      <c r="BA1847" s="331">
        <f>SQRT(($R1847-Infrastructure!J$8)^2+($S1847-Infrastructure!K$8)^2)</f>
        <v>11.98165264</v>
      </c>
      <c r="BB1847" s="331">
        <f>SQRT(($R1847-Infrastructure!J$9)^2+($S1847-Infrastructure!K$9)^2)</f>
        <v>21.57521726</v>
      </c>
      <c r="BC1847" s="331">
        <f>SQRT(($R1847-Infrastructure!J$10)^2+($S1847-Infrastructure!K$10)^2)</f>
        <v>24.47733646</v>
      </c>
      <c r="BD1847" s="331">
        <f>SQRT(($R1847-Infrastructure!J$11)^2+($S1847-Infrastructure!K$11)^2)</f>
        <v>33.63599263</v>
      </c>
      <c r="BE1847" s="333">
        <f>SQRT(($R1847-Infrastructure!J$12)^2+($S1847-Infrastructure!K$12)^2)</f>
        <v>52.28613583</v>
      </c>
      <c r="BF1847" s="330">
        <f t="shared" si="161"/>
        <v>3.605551275</v>
      </c>
      <c r="BG1847" s="333">
        <f t="shared" si="162"/>
        <v>52.28613583</v>
      </c>
      <c r="BH1847" s="1119"/>
      <c r="BI1847" s="319" t="str">
        <f t="shared" ref="BI1847:BR1847" si="545">IF(ISNUMBER(FIND(BI$3, $CO1847)), "Y", "")</f>
        <v/>
      </c>
      <c r="BJ1847" s="319" t="str">
        <f t="shared" si="545"/>
        <v/>
      </c>
      <c r="BK1847" s="319" t="str">
        <f t="shared" si="545"/>
        <v>Y</v>
      </c>
      <c r="BL1847" s="319" t="str">
        <f t="shared" si="545"/>
        <v>Y</v>
      </c>
      <c r="BM1847" s="319" t="str">
        <f t="shared" si="545"/>
        <v>Y</v>
      </c>
      <c r="BN1847" s="319" t="str">
        <f t="shared" si="545"/>
        <v>Y</v>
      </c>
      <c r="BO1847" s="319" t="str">
        <f t="shared" si="545"/>
        <v>Y</v>
      </c>
      <c r="BP1847" s="319" t="str">
        <f t="shared" si="545"/>
        <v/>
      </c>
      <c r="BQ1847" s="319" t="str">
        <f t="shared" si="545"/>
        <v/>
      </c>
      <c r="BR1847" s="319" t="str">
        <f t="shared" si="545"/>
        <v/>
      </c>
      <c r="BS1847" s="330">
        <f t="shared" si="185"/>
        <v>3.605551275</v>
      </c>
      <c r="BT1847" s="331">
        <f t="shared" si="170"/>
        <v>21.57521726</v>
      </c>
      <c r="BU1847" s="920">
        <v>0.3935416666666667</v>
      </c>
      <c r="BV1847" s="903">
        <f t="shared" si="186"/>
        <v>0.0007175925926</v>
      </c>
      <c r="BW1847" s="908">
        <v>16.9</v>
      </c>
      <c r="BX1847" s="908">
        <v>10.0</v>
      </c>
      <c r="BY1847" s="331">
        <f t="shared" si="201"/>
        <v>6.88839604</v>
      </c>
      <c r="BZ1847" s="331"/>
      <c r="CA1847" s="462" t="str">
        <f t="shared" ref="CA1847:CJ1847" si="546">IF(ISNUMBER(FIND(BI$3, $CP1847)), "Y", "")</f>
        <v>Y</v>
      </c>
      <c r="CB1847" s="319" t="str">
        <f t="shared" si="546"/>
        <v>Y</v>
      </c>
      <c r="CC1847" s="319" t="str">
        <f t="shared" si="546"/>
        <v>Y</v>
      </c>
      <c r="CD1847" s="319" t="str">
        <f t="shared" si="546"/>
        <v>Y</v>
      </c>
      <c r="CE1847" s="319" t="str">
        <f t="shared" si="546"/>
        <v>Y</v>
      </c>
      <c r="CF1847" s="319" t="str">
        <f t="shared" si="546"/>
        <v>Y</v>
      </c>
      <c r="CG1847" s="319" t="str">
        <f t="shared" si="546"/>
        <v>Y</v>
      </c>
      <c r="CH1847" s="319" t="str">
        <f t="shared" si="546"/>
        <v/>
      </c>
      <c r="CI1847" s="319" t="str">
        <f t="shared" si="546"/>
        <v>Y</v>
      </c>
      <c r="CJ1847" s="319" t="str">
        <f t="shared" si="546"/>
        <v>Y</v>
      </c>
      <c r="CK1847" s="342">
        <f t="shared" si="182"/>
        <v>3.605551275</v>
      </c>
      <c r="CL1847" s="333">
        <f t="shared" si="183"/>
        <v>52.28613583</v>
      </c>
      <c r="CM1847" s="1079" t="s">
        <v>2449</v>
      </c>
      <c r="CN1847" s="1005" t="s">
        <v>2752</v>
      </c>
      <c r="CO1847" s="1005" t="s">
        <v>2619</v>
      </c>
      <c r="CP1847" s="1005" t="s">
        <v>2400</v>
      </c>
    </row>
    <row r="1848">
      <c r="A1848" s="266"/>
      <c r="B1848" s="1113" t="s">
        <v>2649</v>
      </c>
      <c r="C1848" s="1107">
        <v>45485.0</v>
      </c>
      <c r="D1848" s="1113" t="s">
        <v>986</v>
      </c>
      <c r="E1848" s="1108" t="s">
        <v>1230</v>
      </c>
      <c r="F1848" s="112" t="s">
        <v>2755</v>
      </c>
      <c r="G1848" s="1110">
        <v>0.4239583333333333</v>
      </c>
      <c r="H1848" s="1110">
        <v>0.42465277777777777</v>
      </c>
      <c r="I1848" s="1110"/>
      <c r="J1848" s="1111"/>
      <c r="K1848" s="1111">
        <v>0.4473958333333333</v>
      </c>
      <c r="L1848" s="1112">
        <v>0.022743055555555555</v>
      </c>
      <c r="M1848" s="1113" t="s">
        <v>166</v>
      </c>
      <c r="N1848" s="110" t="s">
        <v>188</v>
      </c>
      <c r="O1848" s="1115" t="s">
        <v>378</v>
      </c>
      <c r="P1848" s="1115" t="s">
        <v>225</v>
      </c>
      <c r="Q1848" s="1115" t="s">
        <v>842</v>
      </c>
      <c r="R1848" s="120">
        <v>22.7</v>
      </c>
      <c r="S1848" s="1113">
        <v>39.7</v>
      </c>
      <c r="T1848" s="110">
        <v>1.1</v>
      </c>
      <c r="U1848" s="1108">
        <v>1.361</v>
      </c>
      <c r="V1848" s="1108"/>
      <c r="W1848" s="1108"/>
      <c r="X1848" s="1108"/>
      <c r="Y1848" s="1108"/>
      <c r="Z1848" s="1114" t="s">
        <v>1221</v>
      </c>
      <c r="AA1848" s="1114"/>
      <c r="AB1848" s="1114" t="s">
        <v>403</v>
      </c>
      <c r="AC1848" s="1117">
        <v>8.0</v>
      </c>
      <c r="AD1848" s="1115"/>
      <c r="AE1848" s="1115"/>
      <c r="AF1848" s="1115"/>
      <c r="AG1848" s="1115"/>
      <c r="AH1848" s="1115"/>
      <c r="AI1848" s="1115"/>
      <c r="AJ1848" s="1117"/>
      <c r="AK1848" s="1118"/>
      <c r="AL1848" s="1115"/>
      <c r="AM1848" s="1115"/>
      <c r="AN1848" s="1115"/>
      <c r="AO1848" s="1115"/>
      <c r="AP1848" s="1115"/>
      <c r="AQ1848" s="1115"/>
      <c r="AR1848" s="1115"/>
      <c r="AS1848" s="1117"/>
      <c r="AT1848" s="1196" t="str">
        <f t="shared" si="428"/>
        <v>1-10</v>
      </c>
      <c r="AU1848" s="1193"/>
      <c r="AV1848" s="330">
        <f>SQRT(($R1848-Infrastructure!J$3)^2+($S1848-Infrastructure!K$3)^2)</f>
        <v>25.40944706</v>
      </c>
      <c r="AW1848" s="331">
        <f>SQRT(($R1848-Infrastructure!J$4)^2+($S1848-Infrastructure!K$4)^2)</f>
        <v>31.75862088</v>
      </c>
      <c r="AX1848" s="331">
        <f>SQRT(($R1848-Infrastructure!J$5)^2+($S1848-Infrastructure!K$5)^2)</f>
        <v>41.54708173</v>
      </c>
      <c r="AY1848" s="331">
        <f>SQRT(($R1848-Infrastructure!J$6)^2+($S1848-Infrastructure!K$6)^2)</f>
        <v>41.36568626</v>
      </c>
      <c r="AZ1848" s="331">
        <f>SQRT(($R1848-Infrastructure!J$7)^2+($S1848-Infrastructure!K$7)^2)</f>
        <v>39.46137352</v>
      </c>
      <c r="BA1848" s="331">
        <f>SQRT(($R1848-Infrastructure!J$8)^2+($S1848-Infrastructure!K$8)^2)</f>
        <v>40.08890121</v>
      </c>
      <c r="BB1848" s="331">
        <f>SQRT(($R1848-Infrastructure!J$9)^2+($S1848-Infrastructure!K$9)^2)</f>
        <v>38.68397601</v>
      </c>
      <c r="BC1848" s="331">
        <f>SQRT(($R1848-Infrastructure!J$10)^2+($S1848-Infrastructure!K$10)^2)</f>
        <v>30.15592811</v>
      </c>
      <c r="BD1848" s="331">
        <f>SQRT(($R1848-Infrastructure!J$11)^2+($S1848-Infrastructure!K$11)^2)</f>
        <v>20.51194774</v>
      </c>
      <c r="BE1848" s="333">
        <f>SQRT(($R1848-Infrastructure!J$12)^2+($S1848-Infrastructure!K$12)^2)</f>
        <v>15.84550409</v>
      </c>
      <c r="BF1848" s="330">
        <f t="shared" si="161"/>
        <v>15.84550409</v>
      </c>
      <c r="BG1848" s="333">
        <f t="shared" si="162"/>
        <v>41.54708173</v>
      </c>
      <c r="BH1848" s="1119"/>
      <c r="BI1848" s="319" t="str">
        <f t="shared" ref="BI1848:BR1848" si="547">IF(ISNUMBER(FIND(BI$3, $CO1848)), "Y", "")</f>
        <v/>
      </c>
      <c r="BJ1848" s="319" t="str">
        <f t="shared" si="547"/>
        <v/>
      </c>
      <c r="BK1848" s="319" t="str">
        <f t="shared" si="547"/>
        <v/>
      </c>
      <c r="BL1848" s="319" t="str">
        <f t="shared" si="547"/>
        <v/>
      </c>
      <c r="BM1848" s="319" t="str">
        <f t="shared" si="547"/>
        <v/>
      </c>
      <c r="BN1848" s="319" t="str">
        <f t="shared" si="547"/>
        <v/>
      </c>
      <c r="BO1848" s="319" t="str">
        <f t="shared" si="547"/>
        <v/>
      </c>
      <c r="BP1848" s="319" t="str">
        <f t="shared" si="547"/>
        <v/>
      </c>
      <c r="BQ1848" s="319" t="str">
        <f t="shared" si="547"/>
        <v/>
      </c>
      <c r="BR1848" s="319" t="str">
        <f t="shared" si="547"/>
        <v/>
      </c>
      <c r="BS1848" s="330">
        <f t="shared" si="185"/>
        <v>0</v>
      </c>
      <c r="BT1848" s="331">
        <f t="shared" si="170"/>
        <v>0</v>
      </c>
      <c r="BU1848" s="920"/>
      <c r="BV1848" s="903" t="str">
        <f t="shared" si="186"/>
        <v/>
      </c>
      <c r="BW1848" s="908"/>
      <c r="BX1848" s="908"/>
      <c r="BY1848" s="331" t="b">
        <f t="shared" si="201"/>
        <v>0</v>
      </c>
      <c r="BZ1848" s="331"/>
      <c r="CA1848" s="462" t="str">
        <f t="shared" ref="CA1848:CJ1848" si="548">IF(ISNUMBER(FIND(BI$3, $CP1848)), "Y", "")</f>
        <v/>
      </c>
      <c r="CB1848" s="319" t="str">
        <f t="shared" si="548"/>
        <v/>
      </c>
      <c r="CC1848" s="319" t="str">
        <f t="shared" si="548"/>
        <v/>
      </c>
      <c r="CD1848" s="319" t="str">
        <f t="shared" si="548"/>
        <v/>
      </c>
      <c r="CE1848" s="319" t="str">
        <f t="shared" si="548"/>
        <v/>
      </c>
      <c r="CF1848" s="319" t="str">
        <f t="shared" si="548"/>
        <v>Y</v>
      </c>
      <c r="CG1848" s="319" t="str">
        <f t="shared" si="548"/>
        <v>Y</v>
      </c>
      <c r="CH1848" s="319" t="str">
        <f t="shared" si="548"/>
        <v/>
      </c>
      <c r="CI1848" s="319" t="str">
        <f t="shared" si="548"/>
        <v>Y</v>
      </c>
      <c r="CJ1848" s="319" t="str">
        <f t="shared" si="548"/>
        <v/>
      </c>
      <c r="CK1848" s="342">
        <f t="shared" si="182"/>
        <v>20.51194774</v>
      </c>
      <c r="CL1848" s="333">
        <f t="shared" si="183"/>
        <v>40.08890121</v>
      </c>
      <c r="CM1848" s="1079" t="s">
        <v>2677</v>
      </c>
      <c r="CN1848" s="1005" t="s">
        <v>2752</v>
      </c>
      <c r="CO1848" s="1005"/>
      <c r="CP1848" s="1005" t="s">
        <v>2756</v>
      </c>
    </row>
    <row r="1849">
      <c r="A1849" s="266"/>
      <c r="B1849" s="1113" t="s">
        <v>2649</v>
      </c>
      <c r="C1849" s="1107">
        <v>45485.0</v>
      </c>
      <c r="D1849" s="1113" t="s">
        <v>986</v>
      </c>
      <c r="E1849" s="1108" t="s">
        <v>1231</v>
      </c>
      <c r="F1849" s="112" t="s">
        <v>2757</v>
      </c>
      <c r="G1849" s="1110">
        <v>0.42407407407407405</v>
      </c>
      <c r="H1849" s="1110">
        <v>0.42465277777777777</v>
      </c>
      <c r="I1849" s="1110"/>
      <c r="J1849" s="1111"/>
      <c r="K1849" s="1111">
        <v>0.4474537037037037</v>
      </c>
      <c r="L1849" s="1112">
        <v>0.022800925925925926</v>
      </c>
      <c r="M1849" s="1113" t="s">
        <v>166</v>
      </c>
      <c r="N1849" s="110" t="s">
        <v>187</v>
      </c>
      <c r="O1849" s="1115" t="s">
        <v>198</v>
      </c>
      <c r="P1849" s="1115" t="s">
        <v>213</v>
      </c>
      <c r="Q1849" s="1115" t="s">
        <v>842</v>
      </c>
      <c r="R1849" s="120">
        <v>10.7</v>
      </c>
      <c r="S1849" s="1113">
        <v>10.9</v>
      </c>
      <c r="T1849" s="110">
        <v>3.0</v>
      </c>
      <c r="U1849" s="1108">
        <v>0.681</v>
      </c>
      <c r="V1849" s="1108"/>
      <c r="W1849" s="1108"/>
      <c r="X1849" s="1108"/>
      <c r="Y1849" s="1108"/>
      <c r="Z1849" s="1114" t="s">
        <v>343</v>
      </c>
      <c r="AA1849" s="1114"/>
      <c r="AB1849" s="1114" t="s">
        <v>384</v>
      </c>
      <c r="AC1849" s="1117">
        <v>6.0</v>
      </c>
      <c r="AD1849" s="1115"/>
      <c r="AE1849" s="1115"/>
      <c r="AF1849" s="1115"/>
      <c r="AG1849" s="1115"/>
      <c r="AH1849" s="1115"/>
      <c r="AI1849" s="1115"/>
      <c r="AJ1849" s="1117"/>
      <c r="AK1849" s="1118"/>
      <c r="AL1849" s="1115"/>
      <c r="AM1849" s="1115"/>
      <c r="AN1849" s="1115"/>
      <c r="AO1849" s="1115"/>
      <c r="AP1849" s="1115"/>
      <c r="AQ1849" s="1115"/>
      <c r="AR1849" s="1115"/>
      <c r="AS1849" s="1117"/>
      <c r="AT1849" s="1196" t="str">
        <f t="shared" si="428"/>
        <v>0-1</v>
      </c>
      <c r="AU1849" s="1193"/>
      <c r="AV1849" s="330">
        <f>SQRT(($R1849-Infrastructure!J$3)^2+($S1849-Infrastructure!K$3)^2)</f>
        <v>21.09502311</v>
      </c>
      <c r="AW1849" s="331">
        <f>SQRT(($R1849-Infrastructure!J$4)^2+($S1849-Infrastructure!K$4)^2)</f>
        <v>12.98499134</v>
      </c>
      <c r="AX1849" s="331">
        <f>SQRT(($R1849-Infrastructure!J$5)^2+($S1849-Infrastructure!K$5)^2)</f>
        <v>12.43543325</v>
      </c>
      <c r="AY1849" s="331">
        <f>SQRT(($R1849-Infrastructure!J$6)^2+($S1849-Infrastructure!K$6)^2)</f>
        <v>10.61696755</v>
      </c>
      <c r="AZ1849" s="331">
        <f>SQRT(($R1849-Infrastructure!J$7)^2+($S1849-Infrastructure!K$7)^2)</f>
        <v>14.43606595</v>
      </c>
      <c r="BA1849" s="331">
        <f>SQRT(($R1849-Infrastructure!J$8)^2+($S1849-Infrastructure!K$8)^2)</f>
        <v>22.10701246</v>
      </c>
      <c r="BB1849" s="331">
        <f>SQRT(($R1849-Infrastructure!J$9)^2+($S1849-Infrastructure!K$9)^2)</f>
        <v>29.86854533</v>
      </c>
      <c r="BC1849" s="331">
        <f>SQRT(($R1849-Infrastructure!J$10)^2+($S1849-Infrastructure!K$10)^2)</f>
        <v>29.58546941</v>
      </c>
      <c r="BD1849" s="331">
        <f>SQRT(($R1849-Infrastructure!J$11)^2+($S1849-Infrastructure!K$11)^2)</f>
        <v>34.61011413</v>
      </c>
      <c r="BE1849" s="333">
        <f>SQRT(($R1849-Infrastructure!J$12)^2+($S1849-Infrastructure!K$12)^2)</f>
        <v>45.8889965</v>
      </c>
      <c r="BF1849" s="330">
        <f t="shared" si="161"/>
        <v>10.61696755</v>
      </c>
      <c r="BG1849" s="333">
        <f t="shared" si="162"/>
        <v>45.8889965</v>
      </c>
      <c r="BH1849" s="1119"/>
      <c r="BI1849" s="319" t="str">
        <f t="shared" ref="BI1849:BR1849" si="549">IF(ISNUMBER(FIND(BI$3, $CO1849)), "Y", "")</f>
        <v/>
      </c>
      <c r="BJ1849" s="319" t="str">
        <f t="shared" si="549"/>
        <v/>
      </c>
      <c r="BK1849" s="319" t="str">
        <f t="shared" si="549"/>
        <v/>
      </c>
      <c r="BL1849" s="319" t="str">
        <f t="shared" si="549"/>
        <v/>
      </c>
      <c r="BM1849" s="319" t="str">
        <f t="shared" si="549"/>
        <v/>
      </c>
      <c r="BN1849" s="319" t="str">
        <f t="shared" si="549"/>
        <v/>
      </c>
      <c r="BO1849" s="319" t="str">
        <f t="shared" si="549"/>
        <v/>
      </c>
      <c r="BP1849" s="319" t="str">
        <f t="shared" si="549"/>
        <v/>
      </c>
      <c r="BQ1849" s="319" t="str">
        <f t="shared" si="549"/>
        <v/>
      </c>
      <c r="BR1849" s="319" t="str">
        <f t="shared" si="549"/>
        <v/>
      </c>
      <c r="BS1849" s="330">
        <f t="shared" si="185"/>
        <v>0</v>
      </c>
      <c r="BT1849" s="331">
        <f t="shared" si="170"/>
        <v>0</v>
      </c>
      <c r="BU1849" s="920"/>
      <c r="BV1849" s="903" t="str">
        <f t="shared" si="186"/>
        <v/>
      </c>
      <c r="BW1849" s="908"/>
      <c r="BX1849" s="908"/>
      <c r="BY1849" s="331" t="b">
        <f t="shared" si="201"/>
        <v>0</v>
      </c>
      <c r="BZ1849" s="331"/>
      <c r="CA1849" s="462" t="str">
        <f t="shared" ref="CA1849:CJ1849" si="550">IF(ISNUMBER(FIND(BI$3, $CP1849)), "Y", "")</f>
        <v/>
      </c>
      <c r="CB1849" s="319" t="str">
        <f t="shared" si="550"/>
        <v/>
      </c>
      <c r="CC1849" s="319" t="str">
        <f t="shared" si="550"/>
        <v/>
      </c>
      <c r="CD1849" s="319" t="str">
        <f t="shared" si="550"/>
        <v/>
      </c>
      <c r="CE1849" s="319" t="str">
        <f t="shared" si="550"/>
        <v/>
      </c>
      <c r="CF1849" s="319" t="str">
        <f t="shared" si="550"/>
        <v>Y</v>
      </c>
      <c r="CG1849" s="319" t="str">
        <f t="shared" si="550"/>
        <v>Y</v>
      </c>
      <c r="CH1849" s="319" t="str">
        <f t="shared" si="550"/>
        <v/>
      </c>
      <c r="CI1849" s="319" t="str">
        <f t="shared" si="550"/>
        <v>Y</v>
      </c>
      <c r="CJ1849" s="319" t="str">
        <f t="shared" si="550"/>
        <v/>
      </c>
      <c r="CK1849" s="342">
        <f t="shared" si="182"/>
        <v>22.10701246</v>
      </c>
      <c r="CL1849" s="333">
        <f t="shared" si="183"/>
        <v>34.61011413</v>
      </c>
      <c r="CM1849" s="1079" t="s">
        <v>2677</v>
      </c>
      <c r="CN1849" s="1005" t="s">
        <v>2752</v>
      </c>
      <c r="CO1849" s="1005"/>
      <c r="CP1849" s="1005" t="s">
        <v>2756</v>
      </c>
    </row>
    <row r="1850">
      <c r="A1850" s="266"/>
      <c r="B1850" s="1113" t="s">
        <v>2649</v>
      </c>
      <c r="C1850" s="1107">
        <v>45485.0</v>
      </c>
      <c r="D1850" s="1113" t="s">
        <v>986</v>
      </c>
      <c r="E1850" s="1108" t="s">
        <v>1232</v>
      </c>
      <c r="F1850" s="112" t="s">
        <v>2758</v>
      </c>
      <c r="G1850" s="1110">
        <v>0.42413194444444446</v>
      </c>
      <c r="H1850" s="1110">
        <v>0.42476851851851855</v>
      </c>
      <c r="I1850" s="1110"/>
      <c r="J1850" s="1111"/>
      <c r="K1850" s="1111">
        <v>0.44751157407407405</v>
      </c>
      <c r="L1850" s="1112">
        <v>0.022743055555555555</v>
      </c>
      <c r="M1850" s="1113" t="s">
        <v>166</v>
      </c>
      <c r="N1850" s="110" t="s">
        <v>187</v>
      </c>
      <c r="O1850" s="1115" t="s">
        <v>206</v>
      </c>
      <c r="P1850" s="1115" t="s">
        <v>223</v>
      </c>
      <c r="Q1850" s="1115" t="s">
        <v>842</v>
      </c>
      <c r="R1850" s="120">
        <v>21.8</v>
      </c>
      <c r="S1850" s="1113">
        <v>7.4</v>
      </c>
      <c r="T1850" s="110">
        <v>0.4</v>
      </c>
      <c r="U1850" s="1108">
        <v>0.681</v>
      </c>
      <c r="V1850" s="1108"/>
      <c r="W1850" s="1108"/>
      <c r="X1850" s="1108"/>
      <c r="Y1850" s="1108"/>
      <c r="Z1850" s="1114" t="s">
        <v>347</v>
      </c>
      <c r="AA1850" s="1114"/>
      <c r="AB1850" s="1114" t="s">
        <v>384</v>
      </c>
      <c r="AC1850" s="1117">
        <v>6.0</v>
      </c>
      <c r="AD1850" s="1115"/>
      <c r="AE1850" s="1115"/>
      <c r="AF1850" s="1115"/>
      <c r="AG1850" s="1115"/>
      <c r="AH1850" s="1115"/>
      <c r="AI1850" s="1115"/>
      <c r="AJ1850" s="1117"/>
      <c r="AK1850" s="1118"/>
      <c r="AL1850" s="1115"/>
      <c r="AM1850" s="1115"/>
      <c r="AN1850" s="1115"/>
      <c r="AO1850" s="1115"/>
      <c r="AP1850" s="1115"/>
      <c r="AQ1850" s="1115"/>
      <c r="AR1850" s="1115"/>
      <c r="AS1850" s="1117"/>
      <c r="AT1850" s="1196" t="str">
        <f t="shared" si="428"/>
        <v>0-1</v>
      </c>
      <c r="AU1850" s="1193"/>
      <c r="AV1850" s="330">
        <f>SQRT(($R1850-Infrastructure!J$3)^2+($S1850-Infrastructure!K$3)^2)</f>
        <v>30.83277477</v>
      </c>
      <c r="AW1850" s="331">
        <f>SQRT(($R1850-Infrastructure!J$4)^2+($S1850-Infrastructure!K$4)^2)</f>
        <v>24.4247825</v>
      </c>
      <c r="AX1850" s="331">
        <f>SQRT(($R1850-Infrastructure!J$5)^2+($S1850-Infrastructure!K$5)^2)</f>
        <v>22.21936093</v>
      </c>
      <c r="AY1850" s="331">
        <f>SQRT(($R1850-Infrastructure!J$6)^2+($S1850-Infrastructure!K$6)^2)</f>
        <v>13.68575902</v>
      </c>
      <c r="AZ1850" s="331">
        <f>SQRT(($R1850-Infrastructure!J$7)^2+($S1850-Infrastructure!K$7)^2)</f>
        <v>7.218032973</v>
      </c>
      <c r="BA1850" s="331">
        <f>SQRT(($R1850-Infrastructure!J$8)^2+($S1850-Infrastructure!K$8)^2)</f>
        <v>10.92245394</v>
      </c>
      <c r="BB1850" s="331">
        <f>SQRT(($R1850-Infrastructure!J$9)^2+($S1850-Infrastructure!K$9)^2)</f>
        <v>18.34475402</v>
      </c>
      <c r="BC1850" s="331">
        <f>SQRT(($R1850-Infrastructure!J$10)^2+($S1850-Infrastructure!K$10)^2)</f>
        <v>19.72308292</v>
      </c>
      <c r="BD1850" s="331">
        <f>SQRT(($R1850-Infrastructure!J$11)^2+($S1850-Infrastructure!K$11)^2)</f>
        <v>28.37463656</v>
      </c>
      <c r="BE1850" s="333">
        <f>SQRT(($R1850-Infrastructure!J$12)^2+($S1850-Infrastructure!K$12)^2)</f>
        <v>48.10093554</v>
      </c>
      <c r="BF1850" s="330">
        <f t="shared" si="161"/>
        <v>7.218032973</v>
      </c>
      <c r="BG1850" s="333">
        <f t="shared" si="162"/>
        <v>48.10093554</v>
      </c>
      <c r="BH1850" s="1119"/>
      <c r="BI1850" s="319" t="str">
        <f t="shared" ref="BI1850:BR1850" si="551">IF(ISNUMBER(FIND(BI$3, $CO1850)), "Y", "")</f>
        <v/>
      </c>
      <c r="BJ1850" s="319" t="str">
        <f t="shared" si="551"/>
        <v/>
      </c>
      <c r="BK1850" s="319" t="str">
        <f t="shared" si="551"/>
        <v/>
      </c>
      <c r="BL1850" s="319" t="str">
        <f t="shared" si="551"/>
        <v/>
      </c>
      <c r="BM1850" s="319" t="str">
        <f t="shared" si="551"/>
        <v/>
      </c>
      <c r="BN1850" s="319" t="str">
        <f t="shared" si="551"/>
        <v/>
      </c>
      <c r="BO1850" s="319" t="str">
        <f t="shared" si="551"/>
        <v/>
      </c>
      <c r="BP1850" s="319" t="str">
        <f t="shared" si="551"/>
        <v/>
      </c>
      <c r="BQ1850" s="319" t="str">
        <f t="shared" si="551"/>
        <v/>
      </c>
      <c r="BR1850" s="319" t="str">
        <f t="shared" si="551"/>
        <v/>
      </c>
      <c r="BS1850" s="330">
        <f t="shared" si="185"/>
        <v>0</v>
      </c>
      <c r="BT1850" s="331">
        <f t="shared" si="170"/>
        <v>0</v>
      </c>
      <c r="BU1850" s="920"/>
      <c r="BV1850" s="903" t="str">
        <f t="shared" si="186"/>
        <v/>
      </c>
      <c r="BW1850" s="908"/>
      <c r="BX1850" s="908"/>
      <c r="BY1850" s="331" t="b">
        <f t="shared" si="201"/>
        <v>0</v>
      </c>
      <c r="BZ1850" s="331"/>
      <c r="CA1850" s="462" t="str">
        <f t="shared" ref="CA1850:CJ1850" si="552">IF(ISNUMBER(FIND(BI$3, $CP1850)), "Y", "")</f>
        <v/>
      </c>
      <c r="CB1850" s="319" t="str">
        <f t="shared" si="552"/>
        <v/>
      </c>
      <c r="CC1850" s="319" t="str">
        <f t="shared" si="552"/>
        <v/>
      </c>
      <c r="CD1850" s="319" t="str">
        <f t="shared" si="552"/>
        <v/>
      </c>
      <c r="CE1850" s="319" t="str">
        <f t="shared" si="552"/>
        <v/>
      </c>
      <c r="CF1850" s="319" t="str">
        <f t="shared" si="552"/>
        <v>Y</v>
      </c>
      <c r="CG1850" s="319" t="str">
        <f t="shared" si="552"/>
        <v>Y</v>
      </c>
      <c r="CH1850" s="319" t="str">
        <f t="shared" si="552"/>
        <v/>
      </c>
      <c r="CI1850" s="319" t="str">
        <f t="shared" si="552"/>
        <v>Y</v>
      </c>
      <c r="CJ1850" s="319" t="str">
        <f t="shared" si="552"/>
        <v/>
      </c>
      <c r="CK1850" s="342">
        <f t="shared" si="182"/>
        <v>10.92245394</v>
      </c>
      <c r="CL1850" s="333">
        <f t="shared" si="183"/>
        <v>28.37463656</v>
      </c>
      <c r="CM1850" s="1079" t="s">
        <v>2677</v>
      </c>
      <c r="CN1850" s="1005" t="s">
        <v>2752</v>
      </c>
      <c r="CO1850" s="1005"/>
      <c r="CP1850" s="1005" t="s">
        <v>2756</v>
      </c>
    </row>
    <row r="1851">
      <c r="A1851" s="266"/>
      <c r="B1851" s="1113" t="s">
        <v>2649</v>
      </c>
      <c r="C1851" s="1107">
        <v>45485.0</v>
      </c>
      <c r="D1851" s="1113" t="s">
        <v>986</v>
      </c>
      <c r="E1851" s="1108" t="s">
        <v>1599</v>
      </c>
      <c r="F1851" s="112" t="s">
        <v>2759</v>
      </c>
      <c r="G1851" s="1110">
        <v>0.45787037037037037</v>
      </c>
      <c r="H1851" s="1110">
        <v>0.45902777777777776</v>
      </c>
      <c r="I1851" s="1110"/>
      <c r="J1851" s="1111"/>
      <c r="K1851" s="1111">
        <v>0.4701388888888889</v>
      </c>
      <c r="L1851" s="1112">
        <v>0.011111111111111112</v>
      </c>
      <c r="M1851" s="1113" t="s">
        <v>166</v>
      </c>
      <c r="N1851" s="110" t="s">
        <v>188</v>
      </c>
      <c r="O1851" s="1115" t="s">
        <v>378</v>
      </c>
      <c r="P1851" s="1115" t="s">
        <v>225</v>
      </c>
      <c r="Q1851" s="1115" t="s">
        <v>842</v>
      </c>
      <c r="R1851" s="120">
        <v>22.7</v>
      </c>
      <c r="S1851" s="1113">
        <v>39.7</v>
      </c>
      <c r="T1851" s="110">
        <v>1.1</v>
      </c>
      <c r="U1851" s="1108">
        <v>4.022</v>
      </c>
      <c r="V1851" s="1108"/>
      <c r="W1851" s="1108"/>
      <c r="X1851" s="1108"/>
      <c r="Y1851" s="1108"/>
      <c r="Z1851" s="1114" t="s">
        <v>1140</v>
      </c>
      <c r="AA1851" s="1114"/>
      <c r="AB1851" s="1114" t="s">
        <v>407</v>
      </c>
      <c r="AC1851" s="1117">
        <v>15.75</v>
      </c>
      <c r="AD1851" s="1115"/>
      <c r="AE1851" s="1115"/>
      <c r="AF1851" s="1115"/>
      <c r="AG1851" s="1115"/>
      <c r="AH1851" s="1115"/>
      <c r="AI1851" s="1115"/>
      <c r="AJ1851" s="1117"/>
      <c r="AK1851" s="1118"/>
      <c r="AL1851" s="1115"/>
      <c r="AM1851" s="1115"/>
      <c r="AN1851" s="1115"/>
      <c r="AO1851" s="1115"/>
      <c r="AP1851" s="1115"/>
      <c r="AQ1851" s="1115"/>
      <c r="AR1851" s="1115"/>
      <c r="AS1851" s="1117"/>
      <c r="AT1851" s="1196" t="str">
        <f t="shared" si="428"/>
        <v>1-10</v>
      </c>
      <c r="AU1851" s="1193"/>
      <c r="AV1851" s="330">
        <f>SQRT(($R1851-Infrastructure!J$3)^2+($S1851-Infrastructure!K$3)^2)</f>
        <v>25.40944706</v>
      </c>
      <c r="AW1851" s="331">
        <f>SQRT(($R1851-Infrastructure!J$4)^2+($S1851-Infrastructure!K$4)^2)</f>
        <v>31.75862088</v>
      </c>
      <c r="AX1851" s="331">
        <f>SQRT(($R1851-Infrastructure!J$5)^2+($S1851-Infrastructure!K$5)^2)</f>
        <v>41.54708173</v>
      </c>
      <c r="AY1851" s="331">
        <f>SQRT(($R1851-Infrastructure!J$6)^2+($S1851-Infrastructure!K$6)^2)</f>
        <v>41.36568626</v>
      </c>
      <c r="AZ1851" s="331">
        <f>SQRT(($R1851-Infrastructure!J$7)^2+($S1851-Infrastructure!K$7)^2)</f>
        <v>39.46137352</v>
      </c>
      <c r="BA1851" s="331">
        <f>SQRT(($R1851-Infrastructure!J$8)^2+($S1851-Infrastructure!K$8)^2)</f>
        <v>40.08890121</v>
      </c>
      <c r="BB1851" s="331">
        <f>SQRT(($R1851-Infrastructure!J$9)^2+($S1851-Infrastructure!K$9)^2)</f>
        <v>38.68397601</v>
      </c>
      <c r="BC1851" s="331">
        <f>SQRT(($R1851-Infrastructure!J$10)^2+($S1851-Infrastructure!K$10)^2)</f>
        <v>30.15592811</v>
      </c>
      <c r="BD1851" s="331">
        <f>SQRT(($R1851-Infrastructure!J$11)^2+($S1851-Infrastructure!K$11)^2)</f>
        <v>20.51194774</v>
      </c>
      <c r="BE1851" s="333">
        <f>SQRT(($R1851-Infrastructure!J$12)^2+($S1851-Infrastructure!K$12)^2)</f>
        <v>15.84550409</v>
      </c>
      <c r="BF1851" s="330">
        <f t="shared" si="161"/>
        <v>15.84550409</v>
      </c>
      <c r="BG1851" s="333">
        <f t="shared" si="162"/>
        <v>41.54708173</v>
      </c>
      <c r="BH1851" s="1119"/>
      <c r="BI1851" s="319" t="str">
        <f t="shared" ref="BI1851:BR1851" si="553">IF(ISNUMBER(FIND(BI$3, $CO1851)), "Y", "")</f>
        <v/>
      </c>
      <c r="BJ1851" s="319" t="str">
        <f t="shared" si="553"/>
        <v/>
      </c>
      <c r="BK1851" s="319" t="str">
        <f t="shared" si="553"/>
        <v>Y</v>
      </c>
      <c r="BL1851" s="319" t="str">
        <f t="shared" si="553"/>
        <v>Y</v>
      </c>
      <c r="BM1851" s="319" t="str">
        <f t="shared" si="553"/>
        <v>Y</v>
      </c>
      <c r="BN1851" s="319" t="str">
        <f t="shared" si="553"/>
        <v>Y</v>
      </c>
      <c r="BO1851" s="319" t="str">
        <f t="shared" si="553"/>
        <v>Y</v>
      </c>
      <c r="BP1851" s="319" t="str">
        <f t="shared" si="553"/>
        <v/>
      </c>
      <c r="BQ1851" s="319" t="str">
        <f t="shared" si="553"/>
        <v>Y</v>
      </c>
      <c r="BR1851" s="319" t="str">
        <f t="shared" si="553"/>
        <v>Y</v>
      </c>
      <c r="BS1851" s="330">
        <f t="shared" si="185"/>
        <v>15.84550409</v>
      </c>
      <c r="BT1851" s="331">
        <f t="shared" si="170"/>
        <v>41.54708173</v>
      </c>
      <c r="BU1851" s="920">
        <v>0.4584722222222222</v>
      </c>
      <c r="BV1851" s="903">
        <f t="shared" si="186"/>
        <v>0.0006018518519</v>
      </c>
      <c r="BW1851" s="908">
        <v>16.8</v>
      </c>
      <c r="BX1851" s="908">
        <v>9.3</v>
      </c>
      <c r="BY1851" s="331">
        <f t="shared" si="201"/>
        <v>30.96724076</v>
      </c>
      <c r="BZ1851" s="331"/>
      <c r="CA1851" s="462" t="str">
        <f t="shared" ref="CA1851:CJ1851" si="554">IF(ISNUMBER(FIND(BI$3, $CP1851)), "Y", "")</f>
        <v>Y</v>
      </c>
      <c r="CB1851" s="319" t="str">
        <f t="shared" si="554"/>
        <v>Y</v>
      </c>
      <c r="CC1851" s="319" t="str">
        <f t="shared" si="554"/>
        <v>Y</v>
      </c>
      <c r="CD1851" s="319" t="str">
        <f t="shared" si="554"/>
        <v>Y</v>
      </c>
      <c r="CE1851" s="319" t="str">
        <f t="shared" si="554"/>
        <v>Y</v>
      </c>
      <c r="CF1851" s="319" t="str">
        <f t="shared" si="554"/>
        <v>Y</v>
      </c>
      <c r="CG1851" s="319" t="str">
        <f t="shared" si="554"/>
        <v>Y</v>
      </c>
      <c r="CH1851" s="319" t="str">
        <f t="shared" si="554"/>
        <v/>
      </c>
      <c r="CI1851" s="319" t="str">
        <f t="shared" si="554"/>
        <v>Y</v>
      </c>
      <c r="CJ1851" s="319" t="str">
        <f t="shared" si="554"/>
        <v>Y</v>
      </c>
      <c r="CK1851" s="342">
        <f t="shared" si="182"/>
        <v>15.84550409</v>
      </c>
      <c r="CL1851" s="333">
        <f t="shared" si="183"/>
        <v>41.54708173</v>
      </c>
      <c r="CM1851" s="1079" t="s">
        <v>2449</v>
      </c>
      <c r="CN1851" s="1005" t="s">
        <v>2752</v>
      </c>
      <c r="CO1851" s="1005" t="s">
        <v>2527</v>
      </c>
      <c r="CP1851" s="1005" t="s">
        <v>2400</v>
      </c>
    </row>
    <row r="1852">
      <c r="A1852" s="266"/>
      <c r="B1852" s="1113" t="s">
        <v>2649</v>
      </c>
      <c r="C1852" s="1107">
        <v>45485.0</v>
      </c>
      <c r="D1852" s="1113" t="s">
        <v>986</v>
      </c>
      <c r="E1852" s="1108" t="s">
        <v>1601</v>
      </c>
      <c r="F1852" s="112" t="s">
        <v>2760</v>
      </c>
      <c r="G1852" s="1110">
        <v>0.45792824074074073</v>
      </c>
      <c r="H1852" s="1110">
        <v>0.45902777777777776</v>
      </c>
      <c r="I1852" s="1110"/>
      <c r="J1852" s="1111"/>
      <c r="K1852" s="1111">
        <v>0.4701388888888889</v>
      </c>
      <c r="L1852" s="1112">
        <v>0.011111111111111112</v>
      </c>
      <c r="M1852" s="1113" t="s">
        <v>166</v>
      </c>
      <c r="N1852" s="110" t="s">
        <v>187</v>
      </c>
      <c r="O1852" s="1115" t="s">
        <v>204</v>
      </c>
      <c r="P1852" s="1115" t="s">
        <v>215</v>
      </c>
      <c r="Q1852" s="1115" t="s">
        <v>842</v>
      </c>
      <c r="R1852" s="120">
        <v>18.5</v>
      </c>
      <c r="S1852" s="1113">
        <v>3.3</v>
      </c>
      <c r="T1852" s="110">
        <v>1.9</v>
      </c>
      <c r="U1852" s="1108">
        <v>2.778</v>
      </c>
      <c r="V1852" s="1108"/>
      <c r="W1852" s="1108"/>
      <c r="X1852" s="1108"/>
      <c r="Y1852" s="1108"/>
      <c r="Z1852" s="1114" t="s">
        <v>365</v>
      </c>
      <c r="AA1852" s="1114"/>
      <c r="AB1852" s="1114" t="s">
        <v>388</v>
      </c>
      <c r="AC1852" s="1117">
        <v>8.0</v>
      </c>
      <c r="AD1852" s="1115"/>
      <c r="AE1852" s="1115"/>
      <c r="AF1852" s="1115"/>
      <c r="AG1852" s="1115"/>
      <c r="AH1852" s="1115"/>
      <c r="AI1852" s="1115"/>
      <c r="AJ1852" s="1117"/>
      <c r="AK1852" s="1118"/>
      <c r="AL1852" s="1115"/>
      <c r="AM1852" s="1115"/>
      <c r="AN1852" s="1115"/>
      <c r="AO1852" s="1115"/>
      <c r="AP1852" s="1115"/>
      <c r="AQ1852" s="1115"/>
      <c r="AR1852" s="1115"/>
      <c r="AS1852" s="1117"/>
      <c r="AT1852" s="1196" t="str">
        <f t="shared" si="428"/>
        <v>1-10</v>
      </c>
      <c r="AU1852" s="1193"/>
      <c r="AV1852" s="330">
        <f>SQRT(($R1852-Infrastructure!J$3)^2+($S1852-Infrastructure!K$3)^2)</f>
        <v>31.76161205</v>
      </c>
      <c r="AW1852" s="331">
        <f>SQRT(($R1852-Infrastructure!J$4)^2+($S1852-Infrastructure!K$4)^2)</f>
        <v>23.7421566</v>
      </c>
      <c r="AX1852" s="331">
        <f>SQRT(($R1852-Infrastructure!J$5)^2+($S1852-Infrastructure!K$5)^2)</f>
        <v>18.88597363</v>
      </c>
      <c r="AY1852" s="331">
        <f>SQRT(($R1852-Infrastructure!J$6)^2+($S1852-Infrastructure!K$6)^2)</f>
        <v>8.919641248</v>
      </c>
      <c r="AZ1852" s="331">
        <f>SQRT(($R1852-Infrastructure!J$7)^2+($S1852-Infrastructure!K$7)^2)</f>
        <v>3.605551275</v>
      </c>
      <c r="BA1852" s="331">
        <f>SQRT(($R1852-Infrastructure!J$8)^2+($S1852-Infrastructure!K$8)^2)</f>
        <v>11.98165264</v>
      </c>
      <c r="BB1852" s="331">
        <f>SQRT(($R1852-Infrastructure!J$9)^2+($S1852-Infrastructure!K$9)^2)</f>
        <v>21.57521726</v>
      </c>
      <c r="BC1852" s="331">
        <f>SQRT(($R1852-Infrastructure!J$10)^2+($S1852-Infrastructure!K$10)^2)</f>
        <v>24.47733646</v>
      </c>
      <c r="BD1852" s="331">
        <f>SQRT(($R1852-Infrastructure!J$11)^2+($S1852-Infrastructure!K$11)^2)</f>
        <v>33.63599263</v>
      </c>
      <c r="BE1852" s="333">
        <f>SQRT(($R1852-Infrastructure!J$12)^2+($S1852-Infrastructure!K$12)^2)</f>
        <v>52.28613583</v>
      </c>
      <c r="BF1852" s="330">
        <f t="shared" si="161"/>
        <v>3.605551275</v>
      </c>
      <c r="BG1852" s="333">
        <f t="shared" si="162"/>
        <v>52.28613583</v>
      </c>
      <c r="BH1852" s="1119"/>
      <c r="BI1852" s="319" t="str">
        <f t="shared" ref="BI1852:BR1852" si="555">IF(ISNUMBER(FIND(BI$3, $CO1852)), "Y", "")</f>
        <v/>
      </c>
      <c r="BJ1852" s="319" t="str">
        <f t="shared" si="555"/>
        <v/>
      </c>
      <c r="BK1852" s="319" t="str">
        <f t="shared" si="555"/>
        <v>Y</v>
      </c>
      <c r="BL1852" s="319" t="str">
        <f t="shared" si="555"/>
        <v>Y</v>
      </c>
      <c r="BM1852" s="319" t="str">
        <f t="shared" si="555"/>
        <v>Y</v>
      </c>
      <c r="BN1852" s="319" t="str">
        <f t="shared" si="555"/>
        <v>Y</v>
      </c>
      <c r="BO1852" s="319" t="str">
        <f t="shared" si="555"/>
        <v>Y</v>
      </c>
      <c r="BP1852" s="319" t="str">
        <f t="shared" si="555"/>
        <v/>
      </c>
      <c r="BQ1852" s="319" t="str">
        <f t="shared" si="555"/>
        <v>Y</v>
      </c>
      <c r="BR1852" s="319" t="str">
        <f t="shared" si="555"/>
        <v>Y</v>
      </c>
      <c r="BS1852" s="330">
        <f t="shared" si="185"/>
        <v>3.605551275</v>
      </c>
      <c r="BT1852" s="331">
        <f t="shared" si="170"/>
        <v>52.28613583</v>
      </c>
      <c r="BU1852" s="920">
        <v>0.4584722222222222</v>
      </c>
      <c r="BV1852" s="903">
        <f t="shared" si="186"/>
        <v>0.0005439814815</v>
      </c>
      <c r="BW1852" s="908">
        <v>16.8</v>
      </c>
      <c r="BX1852" s="908">
        <v>9.3</v>
      </c>
      <c r="BY1852" s="331">
        <f t="shared" si="201"/>
        <v>6.236184731</v>
      </c>
      <c r="BZ1852" s="331"/>
      <c r="CA1852" s="462" t="str">
        <f t="shared" ref="CA1852:CJ1852" si="556">IF(ISNUMBER(FIND(BI$3, $CP1852)), "Y", "")</f>
        <v>Y</v>
      </c>
      <c r="CB1852" s="319" t="str">
        <f t="shared" si="556"/>
        <v>Y</v>
      </c>
      <c r="CC1852" s="319" t="str">
        <f t="shared" si="556"/>
        <v>Y</v>
      </c>
      <c r="CD1852" s="319" t="str">
        <f t="shared" si="556"/>
        <v>Y</v>
      </c>
      <c r="CE1852" s="319" t="str">
        <f t="shared" si="556"/>
        <v>Y</v>
      </c>
      <c r="CF1852" s="319" t="str">
        <f t="shared" si="556"/>
        <v>Y</v>
      </c>
      <c r="CG1852" s="319" t="str">
        <f t="shared" si="556"/>
        <v>Y</v>
      </c>
      <c r="CH1852" s="319" t="str">
        <f t="shared" si="556"/>
        <v/>
      </c>
      <c r="CI1852" s="319" t="str">
        <f t="shared" si="556"/>
        <v>Y</v>
      </c>
      <c r="CJ1852" s="319" t="str">
        <f t="shared" si="556"/>
        <v>Y</v>
      </c>
      <c r="CK1852" s="342">
        <f t="shared" si="182"/>
        <v>3.605551275</v>
      </c>
      <c r="CL1852" s="333">
        <f t="shared" si="183"/>
        <v>52.28613583</v>
      </c>
      <c r="CM1852" s="1079" t="s">
        <v>2449</v>
      </c>
      <c r="CN1852" s="1005" t="s">
        <v>2752</v>
      </c>
      <c r="CO1852" s="1005" t="s">
        <v>2527</v>
      </c>
      <c r="CP1852" s="1005" t="s">
        <v>2400</v>
      </c>
    </row>
    <row r="1853">
      <c r="A1853" s="266"/>
      <c r="B1853" s="1113" t="s">
        <v>2649</v>
      </c>
      <c r="C1853" s="1107">
        <v>45485.0</v>
      </c>
      <c r="D1853" s="1113" t="s">
        <v>986</v>
      </c>
      <c r="E1853" s="1108" t="s">
        <v>2761</v>
      </c>
      <c r="F1853" s="112" t="s">
        <v>2762</v>
      </c>
      <c r="G1853" s="1110">
        <v>0.5090856481481482</v>
      </c>
      <c r="H1853" s="1110">
        <v>0.5097222222222222</v>
      </c>
      <c r="I1853" s="1110"/>
      <c r="J1853" s="1111"/>
      <c r="K1853" s="1111">
        <v>0.5243055555555556</v>
      </c>
      <c r="L1853" s="1112">
        <v>0.014583333333333334</v>
      </c>
      <c r="M1853" s="1113" t="s">
        <v>166</v>
      </c>
      <c r="N1853" s="110" t="s">
        <v>188</v>
      </c>
      <c r="O1853" s="1115" t="s">
        <v>378</v>
      </c>
      <c r="P1853" s="1115" t="s">
        <v>225</v>
      </c>
      <c r="Q1853" s="1115" t="s">
        <v>842</v>
      </c>
      <c r="R1853" s="120">
        <v>22.7</v>
      </c>
      <c r="S1853" s="1113">
        <v>39.7</v>
      </c>
      <c r="T1853" s="110">
        <v>1.1</v>
      </c>
      <c r="U1853" s="1108">
        <v>4.022</v>
      </c>
      <c r="V1853" s="1108"/>
      <c r="W1853" s="1108"/>
      <c r="X1853" s="1108"/>
      <c r="Y1853" s="1108"/>
      <c r="Z1853" s="1114" t="s">
        <v>1140</v>
      </c>
      <c r="AA1853" s="1114"/>
      <c r="AB1853" s="1114" t="s">
        <v>407</v>
      </c>
      <c r="AC1853" s="1117">
        <v>15.75</v>
      </c>
      <c r="AD1853" s="1115"/>
      <c r="AE1853" s="1115"/>
      <c r="AF1853" s="1115"/>
      <c r="AG1853" s="1115"/>
      <c r="AH1853" s="1115"/>
      <c r="AI1853" s="1115"/>
      <c r="AJ1853" s="1117"/>
      <c r="AK1853" s="1118"/>
      <c r="AL1853" s="1115"/>
      <c r="AM1853" s="1115"/>
      <c r="AN1853" s="1115"/>
      <c r="AO1853" s="1115"/>
      <c r="AP1853" s="1115"/>
      <c r="AQ1853" s="1115"/>
      <c r="AR1853" s="1115"/>
      <c r="AS1853" s="1117"/>
      <c r="AT1853" s="1196" t="str">
        <f t="shared" si="428"/>
        <v>1-10</v>
      </c>
      <c r="AU1853" s="1193"/>
      <c r="AV1853" s="330">
        <f>SQRT(($R1853-Infrastructure!J$3)^2+($S1853-Infrastructure!K$3)^2)</f>
        <v>25.40944706</v>
      </c>
      <c r="AW1853" s="331">
        <f>SQRT(($R1853-Infrastructure!J$4)^2+($S1853-Infrastructure!K$4)^2)</f>
        <v>31.75862088</v>
      </c>
      <c r="AX1853" s="331">
        <f>SQRT(($R1853-Infrastructure!J$5)^2+($S1853-Infrastructure!K$5)^2)</f>
        <v>41.54708173</v>
      </c>
      <c r="AY1853" s="331">
        <f>SQRT(($R1853-Infrastructure!J$6)^2+($S1853-Infrastructure!K$6)^2)</f>
        <v>41.36568626</v>
      </c>
      <c r="AZ1853" s="331">
        <f>SQRT(($R1853-Infrastructure!J$7)^2+($S1853-Infrastructure!K$7)^2)</f>
        <v>39.46137352</v>
      </c>
      <c r="BA1853" s="331">
        <f>SQRT(($R1853-Infrastructure!J$8)^2+($S1853-Infrastructure!K$8)^2)</f>
        <v>40.08890121</v>
      </c>
      <c r="BB1853" s="331">
        <f>SQRT(($R1853-Infrastructure!J$9)^2+($S1853-Infrastructure!K$9)^2)</f>
        <v>38.68397601</v>
      </c>
      <c r="BC1853" s="331">
        <f>SQRT(($R1853-Infrastructure!J$10)^2+($S1853-Infrastructure!K$10)^2)</f>
        <v>30.15592811</v>
      </c>
      <c r="BD1853" s="331">
        <f>SQRT(($R1853-Infrastructure!J$11)^2+($S1853-Infrastructure!K$11)^2)</f>
        <v>20.51194774</v>
      </c>
      <c r="BE1853" s="333">
        <f>SQRT(($R1853-Infrastructure!J$12)^2+($S1853-Infrastructure!K$12)^2)</f>
        <v>15.84550409</v>
      </c>
      <c r="BF1853" s="330">
        <f t="shared" si="161"/>
        <v>15.84550409</v>
      </c>
      <c r="BG1853" s="333">
        <f t="shared" si="162"/>
        <v>41.54708173</v>
      </c>
      <c r="BH1853" s="1119"/>
      <c r="BI1853" s="319" t="str">
        <f t="shared" ref="BI1853:BR1853" si="557">IF(ISNUMBER(FIND(BI$3, $CO1853)), "Y", "")</f>
        <v/>
      </c>
      <c r="BJ1853" s="319" t="str">
        <f t="shared" si="557"/>
        <v/>
      </c>
      <c r="BK1853" s="319" t="str">
        <f t="shared" si="557"/>
        <v>Y</v>
      </c>
      <c r="BL1853" s="319" t="str">
        <f t="shared" si="557"/>
        <v>Y</v>
      </c>
      <c r="BM1853" s="319" t="str">
        <f t="shared" si="557"/>
        <v>Y</v>
      </c>
      <c r="BN1853" s="319" t="str">
        <f t="shared" si="557"/>
        <v>Y</v>
      </c>
      <c r="BO1853" s="319" t="str">
        <f t="shared" si="557"/>
        <v>Y</v>
      </c>
      <c r="BP1853" s="319" t="str">
        <f t="shared" si="557"/>
        <v/>
      </c>
      <c r="BQ1853" s="319" t="str">
        <f t="shared" si="557"/>
        <v>Y</v>
      </c>
      <c r="BR1853" s="319" t="str">
        <f t="shared" si="557"/>
        <v>Y</v>
      </c>
      <c r="BS1853" s="330">
        <f t="shared" si="185"/>
        <v>15.84550409</v>
      </c>
      <c r="BT1853" s="331">
        <f t="shared" si="170"/>
        <v>41.54708173</v>
      </c>
      <c r="BU1853" s="920">
        <v>0.5096990740740741</v>
      </c>
      <c r="BV1853" s="903">
        <f t="shared" si="186"/>
        <v>0.0006134259259</v>
      </c>
      <c r="BW1853" s="908">
        <v>17.6</v>
      </c>
      <c r="BX1853" s="908">
        <v>14.4</v>
      </c>
      <c r="BY1853" s="331">
        <f t="shared" si="201"/>
        <v>25.80891319</v>
      </c>
      <c r="BZ1853" s="331"/>
      <c r="CA1853" s="462" t="str">
        <f t="shared" ref="CA1853:CJ1853" si="558">IF(ISNUMBER(FIND(BI$3, $CP1853)), "Y", "")</f>
        <v>Y</v>
      </c>
      <c r="CB1853" s="319" t="str">
        <f t="shared" si="558"/>
        <v>Y</v>
      </c>
      <c r="CC1853" s="319" t="str">
        <f t="shared" si="558"/>
        <v>Y</v>
      </c>
      <c r="CD1853" s="319" t="str">
        <f t="shared" si="558"/>
        <v>Y</v>
      </c>
      <c r="CE1853" s="319" t="str">
        <f t="shared" si="558"/>
        <v>Y</v>
      </c>
      <c r="CF1853" s="319" t="str">
        <f t="shared" si="558"/>
        <v>Y</v>
      </c>
      <c r="CG1853" s="319" t="str">
        <f t="shared" si="558"/>
        <v>Y</v>
      </c>
      <c r="CH1853" s="319" t="str">
        <f t="shared" si="558"/>
        <v/>
      </c>
      <c r="CI1853" s="319" t="str">
        <f t="shared" si="558"/>
        <v>Y</v>
      </c>
      <c r="CJ1853" s="319" t="str">
        <f t="shared" si="558"/>
        <v>Y</v>
      </c>
      <c r="CK1853" s="342">
        <f t="shared" si="182"/>
        <v>15.84550409</v>
      </c>
      <c r="CL1853" s="333">
        <f t="shared" si="183"/>
        <v>41.54708173</v>
      </c>
      <c r="CM1853" s="1079" t="s">
        <v>2449</v>
      </c>
      <c r="CN1853" s="1005" t="s">
        <v>2763</v>
      </c>
      <c r="CO1853" s="1005" t="s">
        <v>2527</v>
      </c>
      <c r="CP1853" s="1005" t="s">
        <v>2400</v>
      </c>
    </row>
    <row r="1854">
      <c r="A1854" s="266"/>
      <c r="B1854" s="1113" t="s">
        <v>2649</v>
      </c>
      <c r="C1854" s="1107">
        <v>45485.0</v>
      </c>
      <c r="D1854" s="1113" t="s">
        <v>986</v>
      </c>
      <c r="E1854" s="1108" t="s">
        <v>2764</v>
      </c>
      <c r="F1854" s="112" t="s">
        <v>2765</v>
      </c>
      <c r="G1854" s="1110">
        <v>0.5091435185185185</v>
      </c>
      <c r="H1854" s="1110">
        <v>0.5100694444444445</v>
      </c>
      <c r="I1854" s="1110"/>
      <c r="J1854" s="1111"/>
      <c r="K1854" s="1111">
        <v>0.5243055555555556</v>
      </c>
      <c r="L1854" s="1112">
        <v>0.01423611111111111</v>
      </c>
      <c r="M1854" s="1113" t="s">
        <v>166</v>
      </c>
      <c r="N1854" s="110" t="s">
        <v>187</v>
      </c>
      <c r="O1854" s="1115" t="s">
        <v>204</v>
      </c>
      <c r="P1854" s="1115" t="s">
        <v>215</v>
      </c>
      <c r="Q1854" s="1115" t="s">
        <v>842</v>
      </c>
      <c r="R1854" s="120">
        <v>18.5</v>
      </c>
      <c r="S1854" s="1113">
        <v>3.3</v>
      </c>
      <c r="T1854" s="110">
        <v>1.9</v>
      </c>
      <c r="U1854" s="1108">
        <v>2.778</v>
      </c>
      <c r="V1854" s="1108"/>
      <c r="W1854" s="1108"/>
      <c r="X1854" s="1108"/>
      <c r="Y1854" s="1108"/>
      <c r="Z1854" s="1114" t="s">
        <v>365</v>
      </c>
      <c r="AA1854" s="1114"/>
      <c r="AB1854" s="1114" t="s">
        <v>388</v>
      </c>
      <c r="AC1854" s="1117">
        <v>8.0</v>
      </c>
      <c r="AD1854" s="1115"/>
      <c r="AE1854" s="1115"/>
      <c r="AF1854" s="1115"/>
      <c r="AG1854" s="1115"/>
      <c r="AH1854" s="1115"/>
      <c r="AI1854" s="1115"/>
      <c r="AJ1854" s="1117"/>
      <c r="AK1854" s="1118"/>
      <c r="AL1854" s="1115"/>
      <c r="AM1854" s="1115"/>
      <c r="AN1854" s="1115"/>
      <c r="AO1854" s="1115"/>
      <c r="AP1854" s="1115"/>
      <c r="AQ1854" s="1115"/>
      <c r="AR1854" s="1115"/>
      <c r="AS1854" s="1117"/>
      <c r="AT1854" s="1196" t="str">
        <f t="shared" si="428"/>
        <v>1-10</v>
      </c>
      <c r="AU1854" s="1193"/>
      <c r="AV1854" s="330">
        <f>SQRT(($R1854-Infrastructure!J$3)^2+($S1854-Infrastructure!K$3)^2)</f>
        <v>31.76161205</v>
      </c>
      <c r="AW1854" s="331">
        <f>SQRT(($R1854-Infrastructure!J$4)^2+($S1854-Infrastructure!K$4)^2)</f>
        <v>23.7421566</v>
      </c>
      <c r="AX1854" s="331">
        <f>SQRT(($R1854-Infrastructure!J$5)^2+($S1854-Infrastructure!K$5)^2)</f>
        <v>18.88597363</v>
      </c>
      <c r="AY1854" s="331">
        <f>SQRT(($R1854-Infrastructure!J$6)^2+($S1854-Infrastructure!K$6)^2)</f>
        <v>8.919641248</v>
      </c>
      <c r="AZ1854" s="331">
        <f>SQRT(($R1854-Infrastructure!J$7)^2+($S1854-Infrastructure!K$7)^2)</f>
        <v>3.605551275</v>
      </c>
      <c r="BA1854" s="331">
        <f>SQRT(($R1854-Infrastructure!J$8)^2+($S1854-Infrastructure!K$8)^2)</f>
        <v>11.98165264</v>
      </c>
      <c r="BB1854" s="331">
        <f>SQRT(($R1854-Infrastructure!J$9)^2+($S1854-Infrastructure!K$9)^2)</f>
        <v>21.57521726</v>
      </c>
      <c r="BC1854" s="331">
        <f>SQRT(($R1854-Infrastructure!J$10)^2+($S1854-Infrastructure!K$10)^2)</f>
        <v>24.47733646</v>
      </c>
      <c r="BD1854" s="331">
        <f>SQRT(($R1854-Infrastructure!J$11)^2+($S1854-Infrastructure!K$11)^2)</f>
        <v>33.63599263</v>
      </c>
      <c r="BE1854" s="333">
        <f>SQRT(($R1854-Infrastructure!J$12)^2+($S1854-Infrastructure!K$12)^2)</f>
        <v>52.28613583</v>
      </c>
      <c r="BF1854" s="330">
        <f t="shared" si="161"/>
        <v>3.605551275</v>
      </c>
      <c r="BG1854" s="333">
        <f t="shared" si="162"/>
        <v>52.28613583</v>
      </c>
      <c r="BH1854" s="1119"/>
      <c r="BI1854" s="319" t="str">
        <f t="shared" ref="BI1854:BR1854" si="559">IF(ISNUMBER(FIND(BI$3, $CO1854)), "Y", "")</f>
        <v/>
      </c>
      <c r="BJ1854" s="319" t="str">
        <f t="shared" si="559"/>
        <v/>
      </c>
      <c r="BK1854" s="319" t="str">
        <f t="shared" si="559"/>
        <v>Y</v>
      </c>
      <c r="BL1854" s="319" t="str">
        <f t="shared" si="559"/>
        <v>Y</v>
      </c>
      <c r="BM1854" s="319" t="str">
        <f t="shared" si="559"/>
        <v>Y</v>
      </c>
      <c r="BN1854" s="319" t="str">
        <f t="shared" si="559"/>
        <v>Y</v>
      </c>
      <c r="BO1854" s="319" t="str">
        <f t="shared" si="559"/>
        <v>Y</v>
      </c>
      <c r="BP1854" s="319" t="str">
        <f t="shared" si="559"/>
        <v/>
      </c>
      <c r="BQ1854" s="319" t="str">
        <f t="shared" si="559"/>
        <v>Y</v>
      </c>
      <c r="BR1854" s="319" t="str">
        <f t="shared" si="559"/>
        <v>Y</v>
      </c>
      <c r="BS1854" s="330">
        <f t="shared" si="185"/>
        <v>3.605551275</v>
      </c>
      <c r="BT1854" s="331">
        <f t="shared" si="170"/>
        <v>52.28613583</v>
      </c>
      <c r="BU1854" s="920">
        <v>0.5096990740740741</v>
      </c>
      <c r="BV1854" s="903">
        <f t="shared" si="186"/>
        <v>0.0005555555556</v>
      </c>
      <c r="BW1854" s="908">
        <v>17.6</v>
      </c>
      <c r="BX1854" s="908">
        <v>14.4</v>
      </c>
      <c r="BY1854" s="331">
        <f t="shared" si="201"/>
        <v>11.13642672</v>
      </c>
      <c r="BZ1854" s="331"/>
      <c r="CA1854" s="462" t="str">
        <f t="shared" ref="CA1854:CJ1854" si="560">IF(ISNUMBER(FIND(BI$3, $CP1854)), "Y", "")</f>
        <v>Y</v>
      </c>
      <c r="CB1854" s="319" t="str">
        <f t="shared" si="560"/>
        <v>Y</v>
      </c>
      <c r="CC1854" s="319" t="str">
        <f t="shared" si="560"/>
        <v>Y</v>
      </c>
      <c r="CD1854" s="319" t="str">
        <f t="shared" si="560"/>
        <v>Y</v>
      </c>
      <c r="CE1854" s="319" t="str">
        <f t="shared" si="560"/>
        <v>Y</v>
      </c>
      <c r="CF1854" s="319" t="str">
        <f t="shared" si="560"/>
        <v>Y</v>
      </c>
      <c r="CG1854" s="319" t="str">
        <f t="shared" si="560"/>
        <v>Y</v>
      </c>
      <c r="CH1854" s="319" t="str">
        <f t="shared" si="560"/>
        <v/>
      </c>
      <c r="CI1854" s="319" t="str">
        <f t="shared" si="560"/>
        <v>Y</v>
      </c>
      <c r="CJ1854" s="319" t="str">
        <f t="shared" si="560"/>
        <v>Y</v>
      </c>
      <c r="CK1854" s="342">
        <f t="shared" si="182"/>
        <v>3.605551275</v>
      </c>
      <c r="CL1854" s="333">
        <f t="shared" si="183"/>
        <v>52.28613583</v>
      </c>
      <c r="CM1854" s="1079" t="s">
        <v>2449</v>
      </c>
      <c r="CN1854" s="1005" t="s">
        <v>2763</v>
      </c>
      <c r="CO1854" s="1005" t="s">
        <v>2527</v>
      </c>
      <c r="CP1854" s="1005" t="s">
        <v>2400</v>
      </c>
    </row>
    <row r="1855">
      <c r="A1855" s="266"/>
      <c r="B1855" s="1113" t="s">
        <v>2649</v>
      </c>
      <c r="C1855" s="1107">
        <v>45485.0</v>
      </c>
      <c r="D1855" s="1113" t="s">
        <v>986</v>
      </c>
      <c r="E1855" s="1108" t="s">
        <v>2766</v>
      </c>
      <c r="F1855" s="112" t="s">
        <v>2767</v>
      </c>
      <c r="G1855" s="1110">
        <v>0.6097800925925926</v>
      </c>
      <c r="H1855" s="1110">
        <v>0.6107638888888889</v>
      </c>
      <c r="I1855" s="1110"/>
      <c r="J1855" s="1111"/>
      <c r="K1855" s="1111">
        <v>0.6326388888888889</v>
      </c>
      <c r="L1855" s="1112">
        <v>0.021875</v>
      </c>
      <c r="M1855" s="1113" t="s">
        <v>166</v>
      </c>
      <c r="N1855" s="110" t="s">
        <v>188</v>
      </c>
      <c r="O1855" s="1115" t="s">
        <v>378</v>
      </c>
      <c r="P1855" s="1115" t="s">
        <v>225</v>
      </c>
      <c r="Q1855" s="1115" t="s">
        <v>842</v>
      </c>
      <c r="R1855" s="120">
        <v>22.7</v>
      </c>
      <c r="S1855" s="1113">
        <v>39.7</v>
      </c>
      <c r="T1855" s="110">
        <v>1.1</v>
      </c>
      <c r="U1855" s="1108">
        <v>0.544</v>
      </c>
      <c r="V1855" s="1108"/>
      <c r="W1855" s="1108"/>
      <c r="X1855" s="1108"/>
      <c r="Y1855" s="1108"/>
      <c r="Z1855" s="1114" t="s">
        <v>1221</v>
      </c>
      <c r="AA1855" s="1114"/>
      <c r="AB1855" s="1114" t="s">
        <v>398</v>
      </c>
      <c r="AC1855" s="1117">
        <v>6.0</v>
      </c>
      <c r="AD1855" s="1115"/>
      <c r="AE1855" s="1115"/>
      <c r="AF1855" s="1115"/>
      <c r="AG1855" s="1115"/>
      <c r="AH1855" s="1115"/>
      <c r="AI1855" s="1115"/>
      <c r="AJ1855" s="1117"/>
      <c r="AK1855" s="1118"/>
      <c r="AL1855" s="1115"/>
      <c r="AM1855" s="1115"/>
      <c r="AN1855" s="1115"/>
      <c r="AO1855" s="1115"/>
      <c r="AP1855" s="1115"/>
      <c r="AQ1855" s="1115"/>
      <c r="AR1855" s="1115"/>
      <c r="AS1855" s="1117"/>
      <c r="AT1855" s="1196" t="str">
        <f t="shared" si="428"/>
        <v>0-1</v>
      </c>
      <c r="AU1855" s="1193"/>
      <c r="AV1855" s="330">
        <f>SQRT(($R1855-Infrastructure!J$3)^2+($S1855-Infrastructure!K$3)^2)</f>
        <v>25.40944706</v>
      </c>
      <c r="AW1855" s="331">
        <f>SQRT(($R1855-Infrastructure!J$4)^2+($S1855-Infrastructure!K$4)^2)</f>
        <v>31.75862088</v>
      </c>
      <c r="AX1855" s="331">
        <f>SQRT(($R1855-Infrastructure!J$5)^2+($S1855-Infrastructure!K$5)^2)</f>
        <v>41.54708173</v>
      </c>
      <c r="AY1855" s="331">
        <f>SQRT(($R1855-Infrastructure!J$6)^2+($S1855-Infrastructure!K$6)^2)</f>
        <v>41.36568626</v>
      </c>
      <c r="AZ1855" s="331">
        <f>SQRT(($R1855-Infrastructure!J$7)^2+($S1855-Infrastructure!K$7)^2)</f>
        <v>39.46137352</v>
      </c>
      <c r="BA1855" s="331">
        <f>SQRT(($R1855-Infrastructure!J$8)^2+($S1855-Infrastructure!K$8)^2)</f>
        <v>40.08890121</v>
      </c>
      <c r="BB1855" s="331">
        <f>SQRT(($R1855-Infrastructure!J$9)^2+($S1855-Infrastructure!K$9)^2)</f>
        <v>38.68397601</v>
      </c>
      <c r="BC1855" s="331">
        <f>SQRT(($R1855-Infrastructure!J$10)^2+($S1855-Infrastructure!K$10)^2)</f>
        <v>30.15592811</v>
      </c>
      <c r="BD1855" s="331">
        <f>SQRT(($R1855-Infrastructure!J$11)^2+($S1855-Infrastructure!K$11)^2)</f>
        <v>20.51194774</v>
      </c>
      <c r="BE1855" s="333">
        <f>SQRT(($R1855-Infrastructure!J$12)^2+($S1855-Infrastructure!K$12)^2)</f>
        <v>15.84550409</v>
      </c>
      <c r="BF1855" s="330">
        <f t="shared" si="161"/>
        <v>15.84550409</v>
      </c>
      <c r="BG1855" s="333">
        <f t="shared" si="162"/>
        <v>41.54708173</v>
      </c>
      <c r="BH1855" s="1119"/>
      <c r="BI1855" s="319" t="str">
        <f t="shared" ref="BI1855:BR1855" si="561">IF(ISNUMBER(FIND(BI$3, $CO1855)), "Y", "")</f>
        <v/>
      </c>
      <c r="BJ1855" s="319" t="str">
        <f t="shared" si="561"/>
        <v/>
      </c>
      <c r="BK1855" s="319" t="str">
        <f t="shared" si="561"/>
        <v/>
      </c>
      <c r="BL1855" s="319" t="str">
        <f t="shared" si="561"/>
        <v/>
      </c>
      <c r="BM1855" s="319" t="str">
        <f t="shared" si="561"/>
        <v/>
      </c>
      <c r="BN1855" s="319" t="str">
        <f t="shared" si="561"/>
        <v/>
      </c>
      <c r="BO1855" s="319" t="str">
        <f t="shared" si="561"/>
        <v/>
      </c>
      <c r="BP1855" s="319" t="str">
        <f t="shared" si="561"/>
        <v/>
      </c>
      <c r="BQ1855" s="319" t="str">
        <f t="shared" si="561"/>
        <v/>
      </c>
      <c r="BR1855" s="319" t="str">
        <f t="shared" si="561"/>
        <v/>
      </c>
      <c r="BS1855" s="330">
        <f t="shared" si="185"/>
        <v>0</v>
      </c>
      <c r="BT1855" s="331">
        <f t="shared" si="170"/>
        <v>0</v>
      </c>
      <c r="BU1855" s="920"/>
      <c r="BV1855" s="903" t="str">
        <f t="shared" si="186"/>
        <v/>
      </c>
      <c r="BW1855" s="908"/>
      <c r="BX1855" s="908"/>
      <c r="BY1855" s="331" t="b">
        <f t="shared" si="201"/>
        <v>0</v>
      </c>
      <c r="BZ1855" s="331"/>
      <c r="CA1855" s="462" t="str">
        <f t="shared" ref="CA1855:CJ1855" si="562">IF(ISNUMBER(FIND(BI$3, $CP1855)), "Y", "")</f>
        <v/>
      </c>
      <c r="CB1855" s="319" t="str">
        <f t="shared" si="562"/>
        <v/>
      </c>
      <c r="CC1855" s="319" t="str">
        <f t="shared" si="562"/>
        <v>Y</v>
      </c>
      <c r="CD1855" s="319" t="str">
        <f t="shared" si="562"/>
        <v/>
      </c>
      <c r="CE1855" s="319" t="str">
        <f t="shared" si="562"/>
        <v/>
      </c>
      <c r="CF1855" s="319" t="str">
        <f t="shared" si="562"/>
        <v/>
      </c>
      <c r="CG1855" s="319" t="str">
        <f t="shared" si="562"/>
        <v>Y</v>
      </c>
      <c r="CH1855" s="319" t="str">
        <f t="shared" si="562"/>
        <v/>
      </c>
      <c r="CI1855" s="319" t="str">
        <f t="shared" si="562"/>
        <v>Y</v>
      </c>
      <c r="CJ1855" s="319" t="str">
        <f t="shared" si="562"/>
        <v>Y</v>
      </c>
      <c r="CK1855" s="342">
        <f t="shared" si="182"/>
        <v>15.84550409</v>
      </c>
      <c r="CL1855" s="333">
        <f t="shared" si="183"/>
        <v>41.54708173</v>
      </c>
      <c r="CM1855" s="1079" t="s">
        <v>2677</v>
      </c>
      <c r="CN1855" s="1005" t="s">
        <v>2763</v>
      </c>
      <c r="CO1855" s="1005"/>
      <c r="CP1855" s="1005" t="s">
        <v>2768</v>
      </c>
    </row>
    <row r="1856">
      <c r="A1856" s="266"/>
      <c r="B1856" s="1113" t="s">
        <v>2649</v>
      </c>
      <c r="C1856" s="1107">
        <v>45485.0</v>
      </c>
      <c r="D1856" s="1113" t="s">
        <v>986</v>
      </c>
      <c r="E1856" s="1108" t="s">
        <v>2769</v>
      </c>
      <c r="F1856" s="112" t="s">
        <v>2770</v>
      </c>
      <c r="G1856" s="1110">
        <v>0.6098958333333333</v>
      </c>
      <c r="H1856" s="1110">
        <v>0.6104166666666667</v>
      </c>
      <c r="I1856" s="1110"/>
      <c r="J1856" s="1111"/>
      <c r="K1856" s="1111">
        <v>0.6326388888888889</v>
      </c>
      <c r="L1856" s="1112">
        <v>0.022222222222222223</v>
      </c>
      <c r="M1856" s="1113" t="s">
        <v>166</v>
      </c>
      <c r="N1856" s="110" t="s">
        <v>187</v>
      </c>
      <c r="O1856" s="1115" t="s">
        <v>198</v>
      </c>
      <c r="P1856" s="1115" t="s">
        <v>213</v>
      </c>
      <c r="Q1856" s="1115" t="s">
        <v>842</v>
      </c>
      <c r="R1856" s="120">
        <v>10.7</v>
      </c>
      <c r="S1856" s="1113">
        <v>10.9</v>
      </c>
      <c r="T1856" s="110">
        <v>3.0</v>
      </c>
      <c r="U1856" s="1108">
        <v>0.272</v>
      </c>
      <c r="V1856" s="1108"/>
      <c r="W1856" s="1108"/>
      <c r="X1856" s="1108"/>
      <c r="Y1856" s="1108"/>
      <c r="Z1856" s="1114" t="s">
        <v>343</v>
      </c>
      <c r="AA1856" s="1114"/>
      <c r="AB1856" s="1114" t="s">
        <v>380</v>
      </c>
      <c r="AC1856" s="1117">
        <v>4.0</v>
      </c>
      <c r="AD1856" s="1115"/>
      <c r="AE1856" s="1115"/>
      <c r="AF1856" s="1115"/>
      <c r="AG1856" s="1115"/>
      <c r="AH1856" s="1115"/>
      <c r="AI1856" s="1115"/>
      <c r="AJ1856" s="1117"/>
      <c r="AK1856" s="1118"/>
      <c r="AL1856" s="1115"/>
      <c r="AM1856" s="1115"/>
      <c r="AN1856" s="1115"/>
      <c r="AO1856" s="1115"/>
      <c r="AP1856" s="1115"/>
      <c r="AQ1856" s="1115"/>
      <c r="AR1856" s="1115"/>
      <c r="AS1856" s="1117"/>
      <c r="AT1856" s="1196" t="str">
        <f t="shared" si="428"/>
        <v>0-1</v>
      </c>
      <c r="AU1856" s="1193"/>
      <c r="AV1856" s="330">
        <f>SQRT(($R1856-Infrastructure!J$3)^2+($S1856-Infrastructure!K$3)^2)</f>
        <v>21.09502311</v>
      </c>
      <c r="AW1856" s="331">
        <f>SQRT(($R1856-Infrastructure!J$4)^2+($S1856-Infrastructure!K$4)^2)</f>
        <v>12.98499134</v>
      </c>
      <c r="AX1856" s="331">
        <f>SQRT(($R1856-Infrastructure!J$5)^2+($S1856-Infrastructure!K$5)^2)</f>
        <v>12.43543325</v>
      </c>
      <c r="AY1856" s="331">
        <f>SQRT(($R1856-Infrastructure!J$6)^2+($S1856-Infrastructure!K$6)^2)</f>
        <v>10.61696755</v>
      </c>
      <c r="AZ1856" s="331">
        <f>SQRT(($R1856-Infrastructure!J$7)^2+($S1856-Infrastructure!K$7)^2)</f>
        <v>14.43606595</v>
      </c>
      <c r="BA1856" s="331">
        <f>SQRT(($R1856-Infrastructure!J$8)^2+($S1856-Infrastructure!K$8)^2)</f>
        <v>22.10701246</v>
      </c>
      <c r="BB1856" s="331">
        <f>SQRT(($R1856-Infrastructure!J$9)^2+($S1856-Infrastructure!K$9)^2)</f>
        <v>29.86854533</v>
      </c>
      <c r="BC1856" s="331">
        <f>SQRT(($R1856-Infrastructure!J$10)^2+($S1856-Infrastructure!K$10)^2)</f>
        <v>29.58546941</v>
      </c>
      <c r="BD1856" s="331">
        <f>SQRT(($R1856-Infrastructure!J$11)^2+($S1856-Infrastructure!K$11)^2)</f>
        <v>34.61011413</v>
      </c>
      <c r="BE1856" s="333">
        <f>SQRT(($R1856-Infrastructure!J$12)^2+($S1856-Infrastructure!K$12)^2)</f>
        <v>45.8889965</v>
      </c>
      <c r="BF1856" s="330">
        <f t="shared" si="161"/>
        <v>10.61696755</v>
      </c>
      <c r="BG1856" s="333">
        <f t="shared" si="162"/>
        <v>45.8889965</v>
      </c>
      <c r="BH1856" s="1119"/>
      <c r="BI1856" s="319" t="str">
        <f t="shared" ref="BI1856:BR1856" si="563">IF(ISNUMBER(FIND(BI$3, $CO1856)), "Y", "")</f>
        <v/>
      </c>
      <c r="BJ1856" s="319" t="str">
        <f t="shared" si="563"/>
        <v/>
      </c>
      <c r="BK1856" s="319" t="str">
        <f t="shared" si="563"/>
        <v/>
      </c>
      <c r="BL1856" s="319" t="str">
        <f t="shared" si="563"/>
        <v/>
      </c>
      <c r="BM1856" s="319" t="str">
        <f t="shared" si="563"/>
        <v/>
      </c>
      <c r="BN1856" s="319" t="str">
        <f t="shared" si="563"/>
        <v/>
      </c>
      <c r="BO1856" s="319" t="str">
        <f t="shared" si="563"/>
        <v/>
      </c>
      <c r="BP1856" s="319" t="str">
        <f t="shared" si="563"/>
        <v/>
      </c>
      <c r="BQ1856" s="319" t="str">
        <f t="shared" si="563"/>
        <v/>
      </c>
      <c r="BR1856" s="319" t="str">
        <f t="shared" si="563"/>
        <v/>
      </c>
      <c r="BS1856" s="330">
        <f t="shared" si="185"/>
        <v>0</v>
      </c>
      <c r="BT1856" s="331">
        <f t="shared" si="170"/>
        <v>0</v>
      </c>
      <c r="BU1856" s="920"/>
      <c r="BV1856" s="903" t="str">
        <f t="shared" si="186"/>
        <v/>
      </c>
      <c r="BW1856" s="908"/>
      <c r="BX1856" s="908"/>
      <c r="BY1856" s="331" t="b">
        <f t="shared" si="201"/>
        <v>0</v>
      </c>
      <c r="BZ1856" s="331"/>
      <c r="CA1856" s="462" t="str">
        <f t="shared" ref="CA1856:CJ1856" si="564">IF(ISNUMBER(FIND(BI$3, $CP1856)), "Y", "")</f>
        <v/>
      </c>
      <c r="CB1856" s="319" t="str">
        <f t="shared" si="564"/>
        <v/>
      </c>
      <c r="CC1856" s="319" t="str">
        <f t="shared" si="564"/>
        <v>Y</v>
      </c>
      <c r="CD1856" s="319" t="str">
        <f t="shared" si="564"/>
        <v/>
      </c>
      <c r="CE1856" s="319" t="str">
        <f t="shared" si="564"/>
        <v/>
      </c>
      <c r="CF1856" s="319" t="str">
        <f t="shared" si="564"/>
        <v/>
      </c>
      <c r="CG1856" s="319" t="str">
        <f t="shared" si="564"/>
        <v>Y</v>
      </c>
      <c r="CH1856" s="319" t="str">
        <f t="shared" si="564"/>
        <v/>
      </c>
      <c r="CI1856" s="319" t="str">
        <f t="shared" si="564"/>
        <v>Y</v>
      </c>
      <c r="CJ1856" s="319" t="str">
        <f t="shared" si="564"/>
        <v>Y</v>
      </c>
      <c r="CK1856" s="342">
        <f t="shared" si="182"/>
        <v>12.43543325</v>
      </c>
      <c r="CL1856" s="333">
        <f t="shared" si="183"/>
        <v>45.8889965</v>
      </c>
      <c r="CM1856" s="1079" t="s">
        <v>2677</v>
      </c>
      <c r="CN1856" s="1005" t="s">
        <v>2763</v>
      </c>
      <c r="CO1856" s="1005"/>
      <c r="CP1856" s="1005" t="s">
        <v>2768</v>
      </c>
    </row>
    <row r="1857">
      <c r="A1857" s="266"/>
      <c r="B1857" s="1113" t="s">
        <v>2649</v>
      </c>
      <c r="C1857" s="1107">
        <v>45485.0</v>
      </c>
      <c r="D1857" s="1113" t="s">
        <v>986</v>
      </c>
      <c r="E1857" s="1108" t="s">
        <v>2771</v>
      </c>
      <c r="F1857" s="112" t="s">
        <v>2772</v>
      </c>
      <c r="G1857" s="1110">
        <v>0.6098958333333333</v>
      </c>
      <c r="H1857" s="1110">
        <v>0.6104166666666667</v>
      </c>
      <c r="I1857" s="1110"/>
      <c r="J1857" s="1111"/>
      <c r="K1857" s="1111">
        <v>0.6326388888888889</v>
      </c>
      <c r="L1857" s="1112">
        <v>0.022222222222222223</v>
      </c>
      <c r="M1857" s="1113" t="s">
        <v>166</v>
      </c>
      <c r="N1857" s="110" t="s">
        <v>187</v>
      </c>
      <c r="O1857" s="1115" t="s">
        <v>206</v>
      </c>
      <c r="P1857" s="1115" t="s">
        <v>223</v>
      </c>
      <c r="Q1857" s="1115" t="s">
        <v>842</v>
      </c>
      <c r="R1857" s="120">
        <v>21.8</v>
      </c>
      <c r="S1857" s="1113">
        <v>7.4</v>
      </c>
      <c r="T1857" s="110">
        <v>0.4</v>
      </c>
      <c r="U1857" s="1108">
        <v>0.272</v>
      </c>
      <c r="V1857" s="1108"/>
      <c r="W1857" s="1108"/>
      <c r="X1857" s="1108"/>
      <c r="Y1857" s="1108"/>
      <c r="Z1857" s="1114" t="s">
        <v>347</v>
      </c>
      <c r="AA1857" s="1114"/>
      <c r="AB1857" s="1114" t="s">
        <v>380</v>
      </c>
      <c r="AC1857" s="1117">
        <v>4.0</v>
      </c>
      <c r="AD1857" s="1115"/>
      <c r="AE1857" s="1115"/>
      <c r="AF1857" s="1115"/>
      <c r="AG1857" s="1115"/>
      <c r="AH1857" s="1115"/>
      <c r="AI1857" s="1115"/>
      <c r="AJ1857" s="1117"/>
      <c r="AK1857" s="1118"/>
      <c r="AL1857" s="1115"/>
      <c r="AM1857" s="1115"/>
      <c r="AN1857" s="1115"/>
      <c r="AO1857" s="1115"/>
      <c r="AP1857" s="1115"/>
      <c r="AQ1857" s="1115"/>
      <c r="AR1857" s="1115"/>
      <c r="AS1857" s="1117"/>
      <c r="AT1857" s="1196" t="str">
        <f t="shared" si="428"/>
        <v>0-1</v>
      </c>
      <c r="AU1857" s="1193"/>
      <c r="AV1857" s="330">
        <f>SQRT(($R1857-Infrastructure!J$3)^2+($S1857-Infrastructure!K$3)^2)</f>
        <v>30.83277477</v>
      </c>
      <c r="AW1857" s="331">
        <f>SQRT(($R1857-Infrastructure!J$4)^2+($S1857-Infrastructure!K$4)^2)</f>
        <v>24.4247825</v>
      </c>
      <c r="AX1857" s="331">
        <f>SQRT(($R1857-Infrastructure!J$5)^2+($S1857-Infrastructure!K$5)^2)</f>
        <v>22.21936093</v>
      </c>
      <c r="AY1857" s="331">
        <f>SQRT(($R1857-Infrastructure!J$6)^2+($S1857-Infrastructure!K$6)^2)</f>
        <v>13.68575902</v>
      </c>
      <c r="AZ1857" s="331">
        <f>SQRT(($R1857-Infrastructure!J$7)^2+($S1857-Infrastructure!K$7)^2)</f>
        <v>7.218032973</v>
      </c>
      <c r="BA1857" s="331">
        <f>SQRT(($R1857-Infrastructure!J$8)^2+($S1857-Infrastructure!K$8)^2)</f>
        <v>10.92245394</v>
      </c>
      <c r="BB1857" s="331">
        <f>SQRT(($R1857-Infrastructure!J$9)^2+($S1857-Infrastructure!K$9)^2)</f>
        <v>18.34475402</v>
      </c>
      <c r="BC1857" s="331">
        <f>SQRT(($R1857-Infrastructure!J$10)^2+($S1857-Infrastructure!K$10)^2)</f>
        <v>19.72308292</v>
      </c>
      <c r="BD1857" s="331">
        <f>SQRT(($R1857-Infrastructure!J$11)^2+($S1857-Infrastructure!K$11)^2)</f>
        <v>28.37463656</v>
      </c>
      <c r="BE1857" s="333">
        <f>SQRT(($R1857-Infrastructure!J$12)^2+($S1857-Infrastructure!K$12)^2)</f>
        <v>48.10093554</v>
      </c>
      <c r="BF1857" s="330">
        <f t="shared" si="161"/>
        <v>7.218032973</v>
      </c>
      <c r="BG1857" s="333">
        <f t="shared" si="162"/>
        <v>48.10093554</v>
      </c>
      <c r="BH1857" s="1119"/>
      <c r="BI1857" s="319" t="str">
        <f t="shared" ref="BI1857:BR1857" si="565">IF(ISNUMBER(FIND(BI$3, $CO1857)), "Y", "")</f>
        <v/>
      </c>
      <c r="BJ1857" s="319" t="str">
        <f t="shared" si="565"/>
        <v/>
      </c>
      <c r="BK1857" s="319" t="str">
        <f t="shared" si="565"/>
        <v/>
      </c>
      <c r="BL1857" s="319" t="str">
        <f t="shared" si="565"/>
        <v/>
      </c>
      <c r="BM1857" s="319" t="str">
        <f t="shared" si="565"/>
        <v/>
      </c>
      <c r="BN1857" s="319" t="str">
        <f t="shared" si="565"/>
        <v/>
      </c>
      <c r="BO1857" s="319" t="str">
        <f t="shared" si="565"/>
        <v/>
      </c>
      <c r="BP1857" s="319" t="str">
        <f t="shared" si="565"/>
        <v/>
      </c>
      <c r="BQ1857" s="319" t="str">
        <f t="shared" si="565"/>
        <v/>
      </c>
      <c r="BR1857" s="319" t="str">
        <f t="shared" si="565"/>
        <v/>
      </c>
      <c r="BS1857" s="330">
        <f t="shared" si="185"/>
        <v>0</v>
      </c>
      <c r="BT1857" s="331">
        <f t="shared" si="170"/>
        <v>0</v>
      </c>
      <c r="BU1857" s="920"/>
      <c r="BV1857" s="903" t="str">
        <f t="shared" si="186"/>
        <v/>
      </c>
      <c r="BW1857" s="908"/>
      <c r="BX1857" s="908"/>
      <c r="BY1857" s="331" t="b">
        <f t="shared" si="201"/>
        <v>0</v>
      </c>
      <c r="BZ1857" s="331"/>
      <c r="CA1857" s="462" t="str">
        <f t="shared" ref="CA1857:CJ1857" si="566">IF(ISNUMBER(FIND(BI$3, $CP1857)), "Y", "")</f>
        <v/>
      </c>
      <c r="CB1857" s="319" t="str">
        <f t="shared" si="566"/>
        <v/>
      </c>
      <c r="CC1857" s="319" t="str">
        <f t="shared" si="566"/>
        <v>Y</v>
      </c>
      <c r="CD1857" s="319" t="str">
        <f t="shared" si="566"/>
        <v/>
      </c>
      <c r="CE1857" s="319" t="str">
        <f t="shared" si="566"/>
        <v/>
      </c>
      <c r="CF1857" s="319" t="str">
        <f t="shared" si="566"/>
        <v/>
      </c>
      <c r="CG1857" s="319" t="str">
        <f t="shared" si="566"/>
        <v>Y</v>
      </c>
      <c r="CH1857" s="319" t="str">
        <f t="shared" si="566"/>
        <v/>
      </c>
      <c r="CI1857" s="319" t="str">
        <f t="shared" si="566"/>
        <v>Y</v>
      </c>
      <c r="CJ1857" s="319" t="str">
        <f t="shared" si="566"/>
        <v>Y</v>
      </c>
      <c r="CK1857" s="342">
        <f t="shared" si="182"/>
        <v>18.34475402</v>
      </c>
      <c r="CL1857" s="333">
        <f t="shared" si="183"/>
        <v>48.10093554</v>
      </c>
      <c r="CM1857" s="1079" t="s">
        <v>2677</v>
      </c>
      <c r="CN1857" s="1005" t="s">
        <v>2763</v>
      </c>
      <c r="CO1857" s="1005"/>
      <c r="CP1857" s="1005" t="s">
        <v>2768</v>
      </c>
    </row>
    <row r="1858">
      <c r="A1858" s="266"/>
      <c r="B1858" s="1113" t="s">
        <v>2649</v>
      </c>
      <c r="C1858" s="1107">
        <v>45485.0</v>
      </c>
      <c r="D1858" s="1113" t="s">
        <v>986</v>
      </c>
      <c r="E1858" s="1108">
        <v>22.0</v>
      </c>
      <c r="F1858" s="112" t="s">
        <v>2773</v>
      </c>
      <c r="G1858" s="1110">
        <v>0.6354166666666666</v>
      </c>
      <c r="H1858" s="1110">
        <v>0.6361111111111111</v>
      </c>
      <c r="I1858" s="1110"/>
      <c r="J1858" s="1111"/>
      <c r="K1858" s="1111">
        <v>0.6579861111111112</v>
      </c>
      <c r="L1858" s="1112">
        <v>0.021875</v>
      </c>
      <c r="M1858" s="1113" t="s">
        <v>166</v>
      </c>
      <c r="N1858" s="110" t="s">
        <v>188</v>
      </c>
      <c r="O1858" s="1115" t="s">
        <v>378</v>
      </c>
      <c r="P1858" s="1115" t="s">
        <v>225</v>
      </c>
      <c r="Q1858" s="1115" t="s">
        <v>842</v>
      </c>
      <c r="R1858" s="120">
        <v>22.7</v>
      </c>
      <c r="S1858" s="1113">
        <v>39.7</v>
      </c>
      <c r="T1858" s="110">
        <v>1.1</v>
      </c>
      <c r="U1858" s="1108">
        <v>6.8</v>
      </c>
      <c r="V1858" s="1108"/>
      <c r="W1858" s="1108"/>
      <c r="X1858" s="1108"/>
      <c r="Y1858" s="1108"/>
      <c r="Z1858" s="1114" t="s">
        <v>1140</v>
      </c>
      <c r="AA1858" s="1114"/>
      <c r="AB1858" s="1114" t="s">
        <v>407</v>
      </c>
      <c r="AC1858" s="1117">
        <v>15.75</v>
      </c>
      <c r="AD1858" s="1115"/>
      <c r="AE1858" s="1115"/>
      <c r="AF1858" s="1115"/>
      <c r="AG1858" s="1115"/>
      <c r="AH1858" s="1115"/>
      <c r="AI1858" s="1115"/>
      <c r="AJ1858" s="1117"/>
      <c r="AK1858" s="1118"/>
      <c r="AL1858" s="1115"/>
      <c r="AM1858" s="1115"/>
      <c r="AN1858" s="1115"/>
      <c r="AO1858" s="1115"/>
      <c r="AP1858" s="1115"/>
      <c r="AQ1858" s="1115"/>
      <c r="AR1858" s="1115"/>
      <c r="AS1858" s="1117"/>
      <c r="AT1858" s="1196" t="str">
        <f t="shared" si="428"/>
        <v>1-10</v>
      </c>
      <c r="AU1858" s="1193"/>
      <c r="AV1858" s="330">
        <f>SQRT(($R1858-Infrastructure!J$3)^2+($S1858-Infrastructure!K$3)^2)</f>
        <v>25.40944706</v>
      </c>
      <c r="AW1858" s="331">
        <f>SQRT(($R1858-Infrastructure!J$4)^2+($S1858-Infrastructure!K$4)^2)</f>
        <v>31.75862088</v>
      </c>
      <c r="AX1858" s="331">
        <f>SQRT(($R1858-Infrastructure!J$5)^2+($S1858-Infrastructure!K$5)^2)</f>
        <v>41.54708173</v>
      </c>
      <c r="AY1858" s="331">
        <f>SQRT(($R1858-Infrastructure!J$6)^2+($S1858-Infrastructure!K$6)^2)</f>
        <v>41.36568626</v>
      </c>
      <c r="AZ1858" s="331">
        <f>SQRT(($R1858-Infrastructure!J$7)^2+($S1858-Infrastructure!K$7)^2)</f>
        <v>39.46137352</v>
      </c>
      <c r="BA1858" s="331">
        <f>SQRT(($R1858-Infrastructure!J$8)^2+($S1858-Infrastructure!K$8)^2)</f>
        <v>40.08890121</v>
      </c>
      <c r="BB1858" s="331">
        <f>SQRT(($R1858-Infrastructure!J$9)^2+($S1858-Infrastructure!K$9)^2)</f>
        <v>38.68397601</v>
      </c>
      <c r="BC1858" s="331">
        <f>SQRT(($R1858-Infrastructure!J$10)^2+($S1858-Infrastructure!K$10)^2)</f>
        <v>30.15592811</v>
      </c>
      <c r="BD1858" s="331">
        <f>SQRT(($R1858-Infrastructure!J$11)^2+($S1858-Infrastructure!K$11)^2)</f>
        <v>20.51194774</v>
      </c>
      <c r="BE1858" s="333">
        <f>SQRT(($R1858-Infrastructure!J$12)^2+($S1858-Infrastructure!K$12)^2)</f>
        <v>15.84550409</v>
      </c>
      <c r="BF1858" s="330">
        <f t="shared" si="161"/>
        <v>15.84550409</v>
      </c>
      <c r="BG1858" s="333">
        <f t="shared" si="162"/>
        <v>41.54708173</v>
      </c>
      <c r="BH1858" s="1119"/>
      <c r="BI1858" s="319" t="str">
        <f t="shared" ref="BI1858:BR1858" si="567">IF(ISNUMBER(FIND(BI$3, $CO1858)), "Y", "")</f>
        <v/>
      </c>
      <c r="BJ1858" s="319" t="str">
        <f t="shared" si="567"/>
        <v/>
      </c>
      <c r="BK1858" s="319" t="str">
        <f t="shared" si="567"/>
        <v/>
      </c>
      <c r="BL1858" s="319" t="str">
        <f t="shared" si="567"/>
        <v>Y</v>
      </c>
      <c r="BM1858" s="319" t="str">
        <f t="shared" si="567"/>
        <v/>
      </c>
      <c r="BN1858" s="319" t="str">
        <f t="shared" si="567"/>
        <v/>
      </c>
      <c r="BO1858" s="319" t="str">
        <f t="shared" si="567"/>
        <v>Y</v>
      </c>
      <c r="BP1858" s="319" t="str">
        <f t="shared" si="567"/>
        <v/>
      </c>
      <c r="BQ1858" s="319" t="str">
        <f t="shared" si="567"/>
        <v>Y</v>
      </c>
      <c r="BR1858" s="319" t="str">
        <f t="shared" si="567"/>
        <v>Y</v>
      </c>
      <c r="BS1858" s="330">
        <f t="shared" si="185"/>
        <v>15.84550409</v>
      </c>
      <c r="BT1858" s="331">
        <f t="shared" si="170"/>
        <v>41.36568626</v>
      </c>
      <c r="BU1858" s="920">
        <v>0.6368402777777777</v>
      </c>
      <c r="BV1858" s="903">
        <f t="shared" si="186"/>
        <v>0.001423611111</v>
      </c>
      <c r="BW1858" s="908">
        <v>12.4</v>
      </c>
      <c r="BX1858" s="908">
        <v>34.7</v>
      </c>
      <c r="BY1858" s="331">
        <f t="shared" si="201"/>
        <v>11.44945414</v>
      </c>
      <c r="BZ1858" s="331"/>
      <c r="CA1858" s="462" t="str">
        <f t="shared" ref="CA1858:CJ1858" si="568">IF(ISNUMBER(FIND(BI$3, $CP1858)), "Y", "")</f>
        <v>Y</v>
      </c>
      <c r="CB1858" s="319" t="str">
        <f t="shared" si="568"/>
        <v>Y</v>
      </c>
      <c r="CC1858" s="319" t="str">
        <f t="shared" si="568"/>
        <v>Y</v>
      </c>
      <c r="CD1858" s="319" t="str">
        <f t="shared" si="568"/>
        <v>Y</v>
      </c>
      <c r="CE1858" s="319" t="str">
        <f t="shared" si="568"/>
        <v/>
      </c>
      <c r="CF1858" s="319" t="str">
        <f t="shared" si="568"/>
        <v>Y</v>
      </c>
      <c r="CG1858" s="319" t="str">
        <f t="shared" si="568"/>
        <v>Y</v>
      </c>
      <c r="CH1858" s="319" t="str">
        <f t="shared" si="568"/>
        <v/>
      </c>
      <c r="CI1858" s="319" t="str">
        <f t="shared" si="568"/>
        <v>Y</v>
      </c>
      <c r="CJ1858" s="319" t="str">
        <f t="shared" si="568"/>
        <v>Y</v>
      </c>
      <c r="CK1858" s="342">
        <f t="shared" si="182"/>
        <v>15.84550409</v>
      </c>
      <c r="CL1858" s="333">
        <f t="shared" si="183"/>
        <v>41.54708173</v>
      </c>
      <c r="CM1858" s="1079" t="s">
        <v>2418</v>
      </c>
      <c r="CN1858" s="1005" t="s">
        <v>2763</v>
      </c>
      <c r="CO1858" s="1005" t="s">
        <v>2774</v>
      </c>
      <c r="CP1858" s="1005" t="s">
        <v>2775</v>
      </c>
    </row>
    <row r="1859">
      <c r="A1859" s="266"/>
      <c r="B1859" s="1113" t="s">
        <v>2649</v>
      </c>
      <c r="C1859" s="1107">
        <v>45485.0</v>
      </c>
      <c r="D1859" s="103"/>
      <c r="E1859" s="1137"/>
      <c r="F1859" s="112" t="s">
        <v>2776</v>
      </c>
      <c r="G1859" s="1110">
        <v>0.6660879629629629</v>
      </c>
      <c r="H1859" s="1138"/>
      <c r="I1859" s="1138"/>
      <c r="J1859" s="1139"/>
      <c r="K1859" s="1111">
        <v>0.6677083333333333</v>
      </c>
      <c r="L1859" s="1112">
        <v>0.0016203703703703703</v>
      </c>
      <c r="M1859" s="1113" t="s">
        <v>166</v>
      </c>
      <c r="N1859" s="110" t="s">
        <v>188</v>
      </c>
      <c r="O1859" s="1140"/>
      <c r="P1859" s="1115" t="s">
        <v>292</v>
      </c>
      <c r="Q1859" s="1116"/>
      <c r="R1859" s="1141"/>
      <c r="S1859" s="1113"/>
      <c r="T1859" s="1143"/>
      <c r="U1859" s="1108" t="s">
        <v>323</v>
      </c>
      <c r="V1859" s="1108"/>
      <c r="W1859" s="1108"/>
      <c r="X1859" s="1108"/>
      <c r="Y1859" s="1108"/>
      <c r="Z1859" s="1114" t="s">
        <v>323</v>
      </c>
      <c r="AA1859" s="1114"/>
      <c r="AB1859" s="1114" t="s">
        <v>323</v>
      </c>
      <c r="AC1859" s="1117" t="s">
        <v>323</v>
      </c>
      <c r="AD1859" s="1115"/>
      <c r="AE1859" s="1115"/>
      <c r="AF1859" s="1115"/>
      <c r="AG1859" s="1115"/>
      <c r="AH1859" s="1115"/>
      <c r="AI1859" s="1115"/>
      <c r="AJ1859" s="1117"/>
      <c r="AK1859" s="1118"/>
      <c r="AL1859" s="1115"/>
      <c r="AM1859" s="1115"/>
      <c r="AN1859" s="1115"/>
      <c r="AO1859" s="1115"/>
      <c r="AP1859" s="1115"/>
      <c r="AQ1859" s="1115"/>
      <c r="AR1859" s="1115"/>
      <c r="AS1859" s="1117"/>
      <c r="AT1859" s="1196" t="str">
        <f t="shared" si="428"/>
        <v/>
      </c>
      <c r="AU1859" s="1193"/>
      <c r="AV1859" s="330">
        <f>SQRT(($R1859-Infrastructure!J$3)^2+($S1859-Infrastructure!K$3)^2)</f>
        <v>28.90155705</v>
      </c>
      <c r="AW1859" s="331">
        <f>SQRT(($R1859-Infrastructure!J$4)^2+($S1859-Infrastructure!K$4)^2)</f>
        <v>17.80252791</v>
      </c>
      <c r="AX1859" s="331">
        <f>SQRT(($R1859-Infrastructure!J$5)^2+($S1859-Infrastructure!K$5)^2)</f>
        <v>5.10881591</v>
      </c>
      <c r="AY1859" s="331">
        <f>SQRT(($R1859-Infrastructure!J$6)^2+($S1859-Infrastructure!K$6)^2)</f>
        <v>10.10445446</v>
      </c>
      <c r="AZ1859" s="331">
        <f>SQRT(($R1859-Infrastructure!J$7)^2+($S1859-Infrastructure!K$7)^2)</f>
        <v>20.502195</v>
      </c>
      <c r="BA1859" s="331">
        <f>SQRT(($R1859-Infrastructure!J$8)^2+($S1859-Infrastructure!K$8)^2)</f>
        <v>30.10149498</v>
      </c>
      <c r="BB1859" s="331">
        <f>SQRT(($R1859-Infrastructure!J$9)^2+($S1859-Infrastructure!K$9)^2)</f>
        <v>40.3238143</v>
      </c>
      <c r="BC1859" s="331">
        <f>SQRT(($R1859-Infrastructure!J$10)^2+($S1859-Infrastructure!K$10)^2)</f>
        <v>42.72001873</v>
      </c>
      <c r="BD1859" s="331">
        <f>SQRT(($R1859-Infrastructure!J$11)^2+($S1859-Infrastructure!K$11)^2)</f>
        <v>49.56853841</v>
      </c>
      <c r="BE1859" s="333">
        <f>SQRT(($R1859-Infrastructure!J$12)^2+($S1859-Infrastructure!K$12)^2)</f>
        <v>59.51890456</v>
      </c>
      <c r="BF1859" s="330">
        <f t="shared" si="161"/>
        <v>5.10881591</v>
      </c>
      <c r="BG1859" s="333">
        <f t="shared" si="162"/>
        <v>59.51890456</v>
      </c>
      <c r="BH1859" s="1119"/>
      <c r="BI1859" s="319" t="str">
        <f t="shared" ref="BI1859:BR1859" si="569">IF(ISNUMBER(FIND(BI$3, $CO1859)), "Y", "")</f>
        <v>Y</v>
      </c>
      <c r="BJ1859" s="319" t="str">
        <f t="shared" si="569"/>
        <v/>
      </c>
      <c r="BK1859" s="319" t="str">
        <f t="shared" si="569"/>
        <v>Y</v>
      </c>
      <c r="BL1859" s="319" t="str">
        <f t="shared" si="569"/>
        <v>Y</v>
      </c>
      <c r="BM1859" s="319" t="str">
        <f t="shared" si="569"/>
        <v>Y</v>
      </c>
      <c r="BN1859" s="319" t="str">
        <f t="shared" si="569"/>
        <v>Y</v>
      </c>
      <c r="BO1859" s="319" t="str">
        <f t="shared" si="569"/>
        <v>Y</v>
      </c>
      <c r="BP1859" s="319" t="str">
        <f t="shared" si="569"/>
        <v/>
      </c>
      <c r="BQ1859" s="319" t="str">
        <f t="shared" si="569"/>
        <v>Y</v>
      </c>
      <c r="BR1859" s="319" t="str">
        <f t="shared" si="569"/>
        <v>Y</v>
      </c>
      <c r="BS1859" s="330">
        <f t="shared" si="185"/>
        <v>5.10881591</v>
      </c>
      <c r="BT1859" s="331">
        <f t="shared" si="170"/>
        <v>59.51890456</v>
      </c>
      <c r="BU1859" s="920">
        <v>0.666712962962963</v>
      </c>
      <c r="BV1859" s="903">
        <f t="shared" si="186"/>
        <v>0.000625</v>
      </c>
      <c r="BW1859" s="908">
        <v>14.8</v>
      </c>
      <c r="BX1859" s="908">
        <v>43.4</v>
      </c>
      <c r="BY1859" s="331">
        <f t="shared" si="201"/>
        <v>45.8541165</v>
      </c>
      <c r="BZ1859" s="331"/>
      <c r="CA1859" s="462" t="str">
        <f t="shared" ref="CA1859:CJ1859" si="570">IF(ISNUMBER(FIND(BI$3, $CP1859)), "Y", "")</f>
        <v>Y</v>
      </c>
      <c r="CB1859" s="319" t="str">
        <f t="shared" si="570"/>
        <v>Y</v>
      </c>
      <c r="CC1859" s="319" t="str">
        <f t="shared" si="570"/>
        <v>Y</v>
      </c>
      <c r="CD1859" s="319" t="str">
        <f t="shared" si="570"/>
        <v/>
      </c>
      <c r="CE1859" s="319" t="str">
        <f t="shared" si="570"/>
        <v/>
      </c>
      <c r="CF1859" s="319" t="str">
        <f t="shared" si="570"/>
        <v>Y</v>
      </c>
      <c r="CG1859" s="319" t="str">
        <f t="shared" si="570"/>
        <v>Y</v>
      </c>
      <c r="CH1859" s="319" t="str">
        <f t="shared" si="570"/>
        <v/>
      </c>
      <c r="CI1859" s="319" t="str">
        <f t="shared" si="570"/>
        <v>Y</v>
      </c>
      <c r="CJ1859" s="319" t="str">
        <f t="shared" si="570"/>
        <v>Y</v>
      </c>
      <c r="CK1859" s="342">
        <f t="shared" si="182"/>
        <v>5.10881591</v>
      </c>
      <c r="CL1859" s="333">
        <f t="shared" si="183"/>
        <v>59.51890456</v>
      </c>
      <c r="CM1859" s="1079" t="s">
        <v>2674</v>
      </c>
      <c r="CN1859" s="1005" t="s">
        <v>2763</v>
      </c>
      <c r="CO1859" s="1005" t="s">
        <v>2777</v>
      </c>
      <c r="CP1859" s="1005" t="s">
        <v>2778</v>
      </c>
    </row>
    <row r="1860">
      <c r="A1860" s="1258"/>
      <c r="B1860" s="1129" t="s">
        <v>2649</v>
      </c>
      <c r="C1860" s="1122">
        <v>45485.0</v>
      </c>
      <c r="D1860" s="1123"/>
      <c r="E1860" s="1144"/>
      <c r="F1860" s="108" t="s">
        <v>2776</v>
      </c>
      <c r="G1860" s="1126">
        <v>0.6826388888888889</v>
      </c>
      <c r="H1860" s="1145"/>
      <c r="I1860" s="1145"/>
      <c r="J1860" s="1146"/>
      <c r="K1860" s="1127">
        <v>0.684375</v>
      </c>
      <c r="L1860" s="1128">
        <v>0.001736111111111111</v>
      </c>
      <c r="M1860" s="1129" t="s">
        <v>358</v>
      </c>
      <c r="N1860" s="100" t="s">
        <v>188</v>
      </c>
      <c r="O1860" s="1161"/>
      <c r="P1860" s="1131" t="s">
        <v>294</v>
      </c>
      <c r="Q1860" s="1132"/>
      <c r="R1860" s="1148"/>
      <c r="S1860" s="1129"/>
      <c r="T1860" s="1150"/>
      <c r="U1860" s="1124" t="s">
        <v>323</v>
      </c>
      <c r="V1860" s="1124"/>
      <c r="W1860" s="1124"/>
      <c r="X1860" s="1124"/>
      <c r="Y1860" s="1124"/>
      <c r="Z1860" s="1130" t="s">
        <v>323</v>
      </c>
      <c r="AA1860" s="1130"/>
      <c r="AB1860" s="1130" t="s">
        <v>323</v>
      </c>
      <c r="AC1860" s="1133" t="s">
        <v>323</v>
      </c>
      <c r="AD1860" s="1131"/>
      <c r="AE1860" s="1131"/>
      <c r="AF1860" s="1131"/>
      <c r="AG1860" s="1131"/>
      <c r="AH1860" s="1131"/>
      <c r="AI1860" s="1131"/>
      <c r="AJ1860" s="1133"/>
      <c r="AK1860" s="1134"/>
      <c r="AL1860" s="1131"/>
      <c r="AM1860" s="1131"/>
      <c r="AN1860" s="1131"/>
      <c r="AO1860" s="1131"/>
      <c r="AP1860" s="1131"/>
      <c r="AQ1860" s="1131"/>
      <c r="AR1860" s="1131"/>
      <c r="AS1860" s="1133"/>
      <c r="AT1860" s="1197" t="str">
        <f t="shared" si="428"/>
        <v/>
      </c>
      <c r="AU1860" s="1194"/>
      <c r="AV1860" s="662">
        <f>SQRT(($R1860-Infrastructure!J$3)^2+($S1860-Infrastructure!K$3)^2)</f>
        <v>28.90155705</v>
      </c>
      <c r="AW1860" s="641">
        <f>SQRT(($R1860-Infrastructure!J$4)^2+($S1860-Infrastructure!K$4)^2)</f>
        <v>17.80252791</v>
      </c>
      <c r="AX1860" s="641">
        <f>SQRT(($R1860-Infrastructure!J$5)^2+($S1860-Infrastructure!K$5)^2)</f>
        <v>5.10881591</v>
      </c>
      <c r="AY1860" s="641">
        <f>SQRT(($R1860-Infrastructure!J$6)^2+($S1860-Infrastructure!K$6)^2)</f>
        <v>10.10445446</v>
      </c>
      <c r="AZ1860" s="641">
        <f>SQRT(($R1860-Infrastructure!J$7)^2+($S1860-Infrastructure!K$7)^2)</f>
        <v>20.502195</v>
      </c>
      <c r="BA1860" s="641">
        <f>SQRT(($R1860-Infrastructure!J$8)^2+($S1860-Infrastructure!K$8)^2)</f>
        <v>30.10149498</v>
      </c>
      <c r="BB1860" s="641">
        <f>SQRT(($R1860-Infrastructure!J$9)^2+($S1860-Infrastructure!K$9)^2)</f>
        <v>40.3238143</v>
      </c>
      <c r="BC1860" s="641">
        <f>SQRT(($R1860-Infrastructure!J$10)^2+($S1860-Infrastructure!K$10)^2)</f>
        <v>42.72001873</v>
      </c>
      <c r="BD1860" s="641">
        <f>SQRT(($R1860-Infrastructure!J$11)^2+($S1860-Infrastructure!K$11)^2)</f>
        <v>49.56853841</v>
      </c>
      <c r="BE1860" s="642">
        <f>SQRT(($R1860-Infrastructure!J$12)^2+($S1860-Infrastructure!K$12)^2)</f>
        <v>59.51890456</v>
      </c>
      <c r="BF1860" s="662">
        <f t="shared" si="161"/>
        <v>5.10881591</v>
      </c>
      <c r="BG1860" s="642">
        <f t="shared" si="162"/>
        <v>59.51890456</v>
      </c>
      <c r="BH1860" s="1135"/>
      <c r="BI1860" s="663" t="str">
        <f t="shared" ref="BI1860:BR1860" si="571">IF(ISNUMBER(FIND(BI$3, $CO1860)), "Y", "")</f>
        <v/>
      </c>
      <c r="BJ1860" s="663" t="str">
        <f t="shared" si="571"/>
        <v/>
      </c>
      <c r="BK1860" s="663" t="str">
        <f t="shared" si="571"/>
        <v/>
      </c>
      <c r="BL1860" s="663" t="str">
        <f t="shared" si="571"/>
        <v/>
      </c>
      <c r="BM1860" s="663" t="str">
        <f t="shared" si="571"/>
        <v/>
      </c>
      <c r="BN1860" s="663" t="str">
        <f t="shared" si="571"/>
        <v/>
      </c>
      <c r="BO1860" s="663" t="str">
        <f t="shared" si="571"/>
        <v/>
      </c>
      <c r="BP1860" s="663" t="str">
        <f t="shared" si="571"/>
        <v/>
      </c>
      <c r="BQ1860" s="663" t="str">
        <f t="shared" si="571"/>
        <v/>
      </c>
      <c r="BR1860" s="663" t="str">
        <f t="shared" si="571"/>
        <v/>
      </c>
      <c r="BS1860" s="662">
        <f t="shared" si="185"/>
        <v>0</v>
      </c>
      <c r="BT1860" s="641">
        <f t="shared" si="170"/>
        <v>0</v>
      </c>
      <c r="BU1860" s="937"/>
      <c r="BV1860" s="930" t="str">
        <f t="shared" si="186"/>
        <v/>
      </c>
      <c r="BW1860" s="939"/>
      <c r="BX1860" s="939"/>
      <c r="BY1860" s="641" t="b">
        <f t="shared" si="201"/>
        <v>0</v>
      </c>
      <c r="BZ1860" s="641"/>
      <c r="CA1860" s="635" t="str">
        <f t="shared" ref="CA1860:CJ1860" si="572">IF(ISNUMBER(FIND(BI$3, $CP1860)), "Y", "")</f>
        <v>Y</v>
      </c>
      <c r="CB1860" s="663" t="str">
        <f t="shared" si="572"/>
        <v>Y</v>
      </c>
      <c r="CC1860" s="663" t="str">
        <f t="shared" si="572"/>
        <v/>
      </c>
      <c r="CD1860" s="663" t="str">
        <f t="shared" si="572"/>
        <v/>
      </c>
      <c r="CE1860" s="663" t="str">
        <f t="shared" si="572"/>
        <v/>
      </c>
      <c r="CF1860" s="663" t="str">
        <f t="shared" si="572"/>
        <v/>
      </c>
      <c r="CG1860" s="663" t="str">
        <f t="shared" si="572"/>
        <v/>
      </c>
      <c r="CH1860" s="663" t="str">
        <f t="shared" si="572"/>
        <v/>
      </c>
      <c r="CI1860" s="663" t="str">
        <f t="shared" si="572"/>
        <v/>
      </c>
      <c r="CJ1860" s="663" t="str">
        <f t="shared" si="572"/>
        <v>Y</v>
      </c>
      <c r="CK1860" s="743">
        <f t="shared" si="182"/>
        <v>17.80252791</v>
      </c>
      <c r="CL1860" s="642">
        <f t="shared" si="183"/>
        <v>59.51890456</v>
      </c>
      <c r="CM1860" s="1090" t="s">
        <v>2779</v>
      </c>
      <c r="CN1860" s="1036" t="s">
        <v>2763</v>
      </c>
      <c r="CO1860" s="1036"/>
      <c r="CP1860" s="1036" t="s">
        <v>2387</v>
      </c>
    </row>
    <row r="1861">
      <c r="A1861" s="1257" t="s">
        <v>109</v>
      </c>
      <c r="B1861" s="1113" t="s">
        <v>1649</v>
      </c>
      <c r="C1861" s="1107">
        <v>45489.0</v>
      </c>
      <c r="D1861" s="103"/>
      <c r="E1861" s="1108">
        <v>1.0</v>
      </c>
      <c r="F1861" s="112" t="s">
        <v>2780</v>
      </c>
      <c r="G1861" s="1110">
        <v>0.4458912037037037</v>
      </c>
      <c r="H1861" s="1110">
        <v>0.4479166666666667</v>
      </c>
      <c r="I1861" s="1110"/>
      <c r="J1861" s="1111"/>
      <c r="K1861" s="1111">
        <v>0.44930555555555557</v>
      </c>
      <c r="L1861" s="1112">
        <v>0.001388888888888889</v>
      </c>
      <c r="M1861" s="1113" t="s">
        <v>358</v>
      </c>
      <c r="N1861" s="110" t="s">
        <v>187</v>
      </c>
      <c r="O1861" s="1115" t="s">
        <v>197</v>
      </c>
      <c r="P1861" s="1115" t="s">
        <v>272</v>
      </c>
      <c r="Q1861" s="1116"/>
      <c r="R1861" s="120">
        <v>37.1</v>
      </c>
      <c r="S1861" s="1113">
        <v>6.9</v>
      </c>
      <c r="T1861" s="110">
        <v>6.5</v>
      </c>
      <c r="U1861" s="1108">
        <v>7.0</v>
      </c>
      <c r="V1861" s="1108"/>
      <c r="W1861" s="1108"/>
      <c r="X1861" s="1108"/>
      <c r="Y1861" s="1108"/>
      <c r="Z1861" s="1114" t="s">
        <v>1140</v>
      </c>
      <c r="AA1861" s="1114"/>
      <c r="AB1861" s="1114" t="s">
        <v>380</v>
      </c>
      <c r="AC1861" s="1117">
        <v>4.0</v>
      </c>
      <c r="AD1861" s="1115"/>
      <c r="AE1861" s="1115"/>
      <c r="AF1861" s="1115"/>
      <c r="AG1861" s="1115"/>
      <c r="AH1861" s="1115"/>
      <c r="AI1861" s="1115"/>
      <c r="AJ1861" s="1117"/>
      <c r="AK1861" s="1118"/>
      <c r="AL1861" s="1115"/>
      <c r="AM1861" s="1115"/>
      <c r="AN1861" s="1115"/>
      <c r="AO1861" s="1115"/>
      <c r="AP1861" s="1115"/>
      <c r="AQ1861" s="1115"/>
      <c r="AR1861" s="1115"/>
      <c r="AS1861" s="1117"/>
      <c r="AT1861" s="1196" t="str">
        <f t="shared" si="428"/>
        <v>1-10</v>
      </c>
      <c r="AU1861" s="1193"/>
      <c r="AV1861" s="330">
        <f>SQRT(($R1861-Infrastructure!J$3)^2+($S1861-Infrastructure!K$3)^2)</f>
        <v>43.39078243</v>
      </c>
      <c r="AW1861" s="331">
        <f>SQRT(($R1861-Infrastructure!J$4)^2+($S1861-Infrastructure!K$4)^2)</f>
        <v>38.95600082</v>
      </c>
      <c r="AX1861" s="331">
        <f>SQRT(($R1861-Infrastructure!J$5)^2+($S1861-Infrastructure!K$5)^2)</f>
        <v>37.44329045</v>
      </c>
      <c r="AY1861" s="331">
        <f>SQRT(($R1861-Infrastructure!J$6)^2+($S1861-Infrastructure!K$6)^2)</f>
        <v>27.79496357</v>
      </c>
      <c r="AZ1861" s="331">
        <f>SQRT(($R1861-Infrastructure!J$7)^2+($S1861-Infrastructure!K$7)^2)</f>
        <v>17.86393014</v>
      </c>
      <c r="BA1861" s="331">
        <f>SQRT(($R1861-Infrastructure!J$8)^2+($S1861-Infrastructure!K$8)^2)</f>
        <v>9.620810777</v>
      </c>
      <c r="BB1861" s="331">
        <f>SQRT(($R1861-Infrastructure!J$9)^2+($S1861-Infrastructure!K$9)^2)</f>
        <v>3.413209633</v>
      </c>
      <c r="BC1861" s="331">
        <f>SQRT(($R1861-Infrastructure!J$10)^2+($S1861-Infrastructure!K$10)^2)</f>
        <v>8.603487665</v>
      </c>
      <c r="BD1861" s="331">
        <f>SQRT(($R1861-Infrastructure!J$11)^2+($S1861-Infrastructure!K$11)^2)</f>
        <v>22.31636171</v>
      </c>
      <c r="BE1861" s="333">
        <f>SQRT(($R1861-Infrastructure!J$12)^2+($S1861-Infrastructure!K$12)^2)</f>
        <v>51.04233537</v>
      </c>
      <c r="BF1861" s="330">
        <f t="shared" si="161"/>
        <v>3.413209633</v>
      </c>
      <c r="BG1861" s="333">
        <f t="shared" si="162"/>
        <v>51.04233537</v>
      </c>
      <c r="BH1861" s="1119"/>
      <c r="BI1861" s="319" t="str">
        <f t="shared" ref="BI1861:BR1861" si="573">IF(ISNUMBER(FIND(BI$3, $CO1861)), "Y", "")</f>
        <v/>
      </c>
      <c r="BJ1861" s="319" t="str">
        <f t="shared" si="573"/>
        <v/>
      </c>
      <c r="BK1861" s="319" t="str">
        <f t="shared" si="573"/>
        <v>Y</v>
      </c>
      <c r="BL1861" s="319" t="str">
        <f t="shared" si="573"/>
        <v>Y</v>
      </c>
      <c r="BM1861" s="319" t="str">
        <f t="shared" si="573"/>
        <v>Y</v>
      </c>
      <c r="BN1861" s="319" t="str">
        <f t="shared" si="573"/>
        <v>Y</v>
      </c>
      <c r="BO1861" s="319" t="str">
        <f t="shared" si="573"/>
        <v>Y</v>
      </c>
      <c r="BP1861" s="319" t="str">
        <f t="shared" si="573"/>
        <v/>
      </c>
      <c r="BQ1861" s="319" t="str">
        <f t="shared" si="573"/>
        <v>Y</v>
      </c>
      <c r="BR1861" s="319" t="str">
        <f t="shared" si="573"/>
        <v>Y</v>
      </c>
      <c r="BS1861" s="330">
        <f t="shared" si="185"/>
        <v>3.413209633</v>
      </c>
      <c r="BT1861" s="331">
        <f t="shared" si="170"/>
        <v>51.04233537</v>
      </c>
      <c r="BU1861" s="920">
        <v>0.446412037037037</v>
      </c>
      <c r="BV1861" s="903">
        <f t="shared" si="186"/>
        <v>0.0005208333333</v>
      </c>
      <c r="BW1861" s="908">
        <v>23.3</v>
      </c>
      <c r="BX1861" s="908">
        <v>19.2</v>
      </c>
      <c r="BY1861" s="331">
        <f t="shared" si="201"/>
        <v>18.4859406</v>
      </c>
      <c r="BZ1861" s="331"/>
      <c r="CA1861" s="462" t="str">
        <f t="shared" ref="CA1861:CJ1861" si="574">IF(ISNUMBER(FIND(BI$3, $CP1861)), "Y", "")</f>
        <v>Y</v>
      </c>
      <c r="CB1861" s="319" t="str">
        <f t="shared" si="574"/>
        <v>Y</v>
      </c>
      <c r="CC1861" s="319" t="str">
        <f t="shared" si="574"/>
        <v>Y</v>
      </c>
      <c r="CD1861" s="319" t="str">
        <f t="shared" si="574"/>
        <v>Y</v>
      </c>
      <c r="CE1861" s="319" t="str">
        <f t="shared" si="574"/>
        <v>Y</v>
      </c>
      <c r="CF1861" s="319" t="str">
        <f t="shared" si="574"/>
        <v>Y</v>
      </c>
      <c r="CG1861" s="319" t="str">
        <f t="shared" si="574"/>
        <v>Y</v>
      </c>
      <c r="CH1861" s="319" t="str">
        <f t="shared" si="574"/>
        <v/>
      </c>
      <c r="CI1861" s="319" t="str">
        <f t="shared" si="574"/>
        <v>Y</v>
      </c>
      <c r="CJ1861" s="319" t="str">
        <f t="shared" si="574"/>
        <v>Y</v>
      </c>
      <c r="CK1861" s="342">
        <f t="shared" si="182"/>
        <v>3.413209633</v>
      </c>
      <c r="CL1861" s="333">
        <f t="shared" si="183"/>
        <v>51.04233537</v>
      </c>
      <c r="CM1861" s="1079" t="s">
        <v>2430</v>
      </c>
      <c r="CN1861" s="1005" t="s">
        <v>2781</v>
      </c>
      <c r="CO1861" s="1005" t="s">
        <v>2527</v>
      </c>
      <c r="CP1861" s="1005" t="s">
        <v>2400</v>
      </c>
    </row>
    <row r="1862">
      <c r="A1862" s="266"/>
      <c r="B1862" s="1113" t="s">
        <v>1649</v>
      </c>
      <c r="C1862" s="1107">
        <v>45489.0</v>
      </c>
      <c r="D1862" s="103"/>
      <c r="E1862" s="1108">
        <v>2.0</v>
      </c>
      <c r="F1862" s="112" t="s">
        <v>2782</v>
      </c>
      <c r="G1862" s="1110">
        <v>0.4527777777777778</v>
      </c>
      <c r="H1862" s="1110">
        <v>0.453125</v>
      </c>
      <c r="I1862" s="1110"/>
      <c r="J1862" s="1111"/>
      <c r="K1862" s="1111">
        <v>0.45457175925925924</v>
      </c>
      <c r="L1862" s="1112">
        <v>0.0014467592592592592</v>
      </c>
      <c r="M1862" s="1113" t="s">
        <v>358</v>
      </c>
      <c r="N1862" s="110" t="s">
        <v>187</v>
      </c>
      <c r="O1862" s="1115" t="s">
        <v>197</v>
      </c>
      <c r="P1862" s="1115" t="s">
        <v>272</v>
      </c>
      <c r="Q1862" s="1116"/>
      <c r="R1862" s="120">
        <v>37.1</v>
      </c>
      <c r="S1862" s="1113">
        <v>6.9</v>
      </c>
      <c r="T1862" s="110">
        <v>6.5</v>
      </c>
      <c r="U1862" s="1108">
        <v>5.0</v>
      </c>
      <c r="V1862" s="1108"/>
      <c r="W1862" s="1108"/>
      <c r="X1862" s="1108"/>
      <c r="Y1862" s="1108"/>
      <c r="Z1862" s="1114" t="s">
        <v>379</v>
      </c>
      <c r="AA1862" s="1114"/>
      <c r="AB1862" s="1114" t="s">
        <v>380</v>
      </c>
      <c r="AC1862" s="1117">
        <v>4.0</v>
      </c>
      <c r="AD1862" s="1115"/>
      <c r="AE1862" s="1115"/>
      <c r="AF1862" s="1115"/>
      <c r="AG1862" s="1115"/>
      <c r="AH1862" s="1115"/>
      <c r="AI1862" s="1115"/>
      <c r="AJ1862" s="1117"/>
      <c r="AK1862" s="1118"/>
      <c r="AL1862" s="1115"/>
      <c r="AM1862" s="1115"/>
      <c r="AN1862" s="1115"/>
      <c r="AO1862" s="1115"/>
      <c r="AP1862" s="1115"/>
      <c r="AQ1862" s="1115"/>
      <c r="AR1862" s="1115"/>
      <c r="AS1862" s="1117"/>
      <c r="AT1862" s="1196" t="str">
        <f t="shared" si="428"/>
        <v>1-10</v>
      </c>
      <c r="AU1862" s="1193"/>
      <c r="AV1862" s="330">
        <f>SQRT(($R1862-Infrastructure!J$3)^2+($S1862-Infrastructure!K$3)^2)</f>
        <v>43.39078243</v>
      </c>
      <c r="AW1862" s="331">
        <f>SQRT(($R1862-Infrastructure!J$4)^2+($S1862-Infrastructure!K$4)^2)</f>
        <v>38.95600082</v>
      </c>
      <c r="AX1862" s="331">
        <f>SQRT(($R1862-Infrastructure!J$5)^2+($S1862-Infrastructure!K$5)^2)</f>
        <v>37.44329045</v>
      </c>
      <c r="AY1862" s="331">
        <f>SQRT(($R1862-Infrastructure!J$6)^2+($S1862-Infrastructure!K$6)^2)</f>
        <v>27.79496357</v>
      </c>
      <c r="AZ1862" s="331">
        <f>SQRT(($R1862-Infrastructure!J$7)^2+($S1862-Infrastructure!K$7)^2)</f>
        <v>17.86393014</v>
      </c>
      <c r="BA1862" s="331">
        <f>SQRT(($R1862-Infrastructure!J$8)^2+($S1862-Infrastructure!K$8)^2)</f>
        <v>9.620810777</v>
      </c>
      <c r="BB1862" s="331">
        <f>SQRT(($R1862-Infrastructure!J$9)^2+($S1862-Infrastructure!K$9)^2)</f>
        <v>3.413209633</v>
      </c>
      <c r="BC1862" s="331">
        <f>SQRT(($R1862-Infrastructure!J$10)^2+($S1862-Infrastructure!K$10)^2)</f>
        <v>8.603487665</v>
      </c>
      <c r="BD1862" s="331">
        <f>SQRT(($R1862-Infrastructure!J$11)^2+($S1862-Infrastructure!K$11)^2)</f>
        <v>22.31636171</v>
      </c>
      <c r="BE1862" s="333">
        <f>SQRT(($R1862-Infrastructure!J$12)^2+($S1862-Infrastructure!K$12)^2)</f>
        <v>51.04233537</v>
      </c>
      <c r="BF1862" s="330">
        <f t="shared" si="161"/>
        <v>3.413209633</v>
      </c>
      <c r="BG1862" s="333">
        <f t="shared" si="162"/>
        <v>51.04233537</v>
      </c>
      <c r="BH1862" s="1119"/>
      <c r="BI1862" s="319" t="str">
        <f t="shared" ref="BI1862:BR1862" si="575">IF(ISNUMBER(FIND(BI$3, $CO1862)), "Y", "")</f>
        <v/>
      </c>
      <c r="BJ1862" s="319" t="str">
        <f t="shared" si="575"/>
        <v/>
      </c>
      <c r="BK1862" s="319" t="str">
        <f t="shared" si="575"/>
        <v>Y</v>
      </c>
      <c r="BL1862" s="319" t="str">
        <f t="shared" si="575"/>
        <v/>
      </c>
      <c r="BM1862" s="319" t="str">
        <f t="shared" si="575"/>
        <v>Y</v>
      </c>
      <c r="BN1862" s="319" t="str">
        <f t="shared" si="575"/>
        <v>Y</v>
      </c>
      <c r="BO1862" s="319" t="str">
        <f t="shared" si="575"/>
        <v>Y</v>
      </c>
      <c r="BP1862" s="319" t="str">
        <f t="shared" si="575"/>
        <v/>
      </c>
      <c r="BQ1862" s="319" t="str">
        <f t="shared" si="575"/>
        <v>Y</v>
      </c>
      <c r="BR1862" s="319" t="str">
        <f t="shared" si="575"/>
        <v/>
      </c>
      <c r="BS1862" s="330">
        <f t="shared" si="185"/>
        <v>3.413209633</v>
      </c>
      <c r="BT1862" s="331">
        <f t="shared" si="170"/>
        <v>37.44329045</v>
      </c>
      <c r="BU1862" s="920">
        <v>0.4533449074074074</v>
      </c>
      <c r="BV1862" s="903">
        <f t="shared" si="186"/>
        <v>0.0005671296296</v>
      </c>
      <c r="BW1862" s="908">
        <v>22.6</v>
      </c>
      <c r="BX1862" s="908">
        <v>20.5</v>
      </c>
      <c r="BY1862" s="331">
        <f t="shared" si="201"/>
        <v>19.87988934</v>
      </c>
      <c r="BZ1862" s="331"/>
      <c r="CA1862" s="462" t="str">
        <f t="shared" ref="CA1862:CJ1862" si="576">IF(ISNUMBER(FIND(BI$3, $CP1862)), "Y", "")</f>
        <v/>
      </c>
      <c r="CB1862" s="319" t="str">
        <f t="shared" si="576"/>
        <v>Y</v>
      </c>
      <c r="CC1862" s="319" t="str">
        <f t="shared" si="576"/>
        <v>Y</v>
      </c>
      <c r="CD1862" s="319" t="str">
        <f t="shared" si="576"/>
        <v>Y</v>
      </c>
      <c r="CE1862" s="319" t="str">
        <f t="shared" si="576"/>
        <v>Y</v>
      </c>
      <c r="CF1862" s="319" t="str">
        <f t="shared" si="576"/>
        <v>Y</v>
      </c>
      <c r="CG1862" s="319" t="str">
        <f t="shared" si="576"/>
        <v>Y</v>
      </c>
      <c r="CH1862" s="319" t="str">
        <f t="shared" si="576"/>
        <v/>
      </c>
      <c r="CI1862" s="319" t="str">
        <f t="shared" si="576"/>
        <v>Y</v>
      </c>
      <c r="CJ1862" s="319" t="str">
        <f t="shared" si="576"/>
        <v>Y</v>
      </c>
      <c r="CK1862" s="342">
        <f t="shared" si="182"/>
        <v>3.413209633</v>
      </c>
      <c r="CL1862" s="333">
        <f t="shared" si="183"/>
        <v>51.04233537</v>
      </c>
      <c r="CM1862" s="1079" t="s">
        <v>2410</v>
      </c>
      <c r="CN1862" s="1005" t="s">
        <v>2781</v>
      </c>
      <c r="CO1862" s="1005" t="s">
        <v>2783</v>
      </c>
      <c r="CP1862" s="1005" t="s">
        <v>2784</v>
      </c>
    </row>
    <row r="1863">
      <c r="A1863" s="266"/>
      <c r="B1863" s="1113" t="s">
        <v>1649</v>
      </c>
      <c r="C1863" s="1107">
        <v>45489.0</v>
      </c>
      <c r="D1863" s="103"/>
      <c r="E1863" s="1108">
        <v>3.0</v>
      </c>
      <c r="F1863" s="112" t="s">
        <v>2785</v>
      </c>
      <c r="G1863" s="1110">
        <v>0.46493055555555557</v>
      </c>
      <c r="H1863" s="1110">
        <v>0.465625</v>
      </c>
      <c r="I1863" s="1110"/>
      <c r="J1863" s="1111"/>
      <c r="K1863" s="1111">
        <v>0.46707175925925926</v>
      </c>
      <c r="L1863" s="1112">
        <v>0.0014467592592592592</v>
      </c>
      <c r="M1863" s="1113" t="s">
        <v>358</v>
      </c>
      <c r="N1863" s="110" t="s">
        <v>187</v>
      </c>
      <c r="O1863" s="1115" t="s">
        <v>203</v>
      </c>
      <c r="P1863" s="1115" t="s">
        <v>250</v>
      </c>
      <c r="Q1863" s="1116"/>
      <c r="R1863" s="120">
        <v>15.1</v>
      </c>
      <c r="S1863" s="1113">
        <v>2.4</v>
      </c>
      <c r="T1863" s="110">
        <v>1.2</v>
      </c>
      <c r="U1863" s="1108">
        <v>6.0</v>
      </c>
      <c r="V1863" s="1108"/>
      <c r="W1863" s="1108"/>
      <c r="X1863" s="1108"/>
      <c r="Y1863" s="1108"/>
      <c r="Z1863" s="1114" t="s">
        <v>357</v>
      </c>
      <c r="AA1863" s="1114"/>
      <c r="AB1863" s="1114" t="s">
        <v>380</v>
      </c>
      <c r="AC1863" s="1117">
        <v>4.0</v>
      </c>
      <c r="AD1863" s="1115"/>
      <c r="AE1863" s="1115"/>
      <c r="AF1863" s="1115"/>
      <c r="AG1863" s="1115"/>
      <c r="AH1863" s="1115"/>
      <c r="AI1863" s="1115"/>
      <c r="AJ1863" s="1117"/>
      <c r="AK1863" s="1118"/>
      <c r="AL1863" s="1115"/>
      <c r="AM1863" s="1115"/>
      <c r="AN1863" s="1115"/>
      <c r="AO1863" s="1115"/>
      <c r="AP1863" s="1115"/>
      <c r="AQ1863" s="1115"/>
      <c r="AR1863" s="1115"/>
      <c r="AS1863" s="1117"/>
      <c r="AT1863" s="1196" t="str">
        <f t="shared" si="428"/>
        <v>1-10</v>
      </c>
      <c r="AU1863" s="1193"/>
      <c r="AV1863" s="330">
        <f>SQRT(($R1863-Infrastructure!J$3)^2+($S1863-Infrastructure!K$3)^2)</f>
        <v>30.64979608</v>
      </c>
      <c r="AW1863" s="331">
        <f>SQRT(($R1863-Infrastructure!J$4)^2+($S1863-Infrastructure!K$4)^2)</f>
        <v>21.77888886</v>
      </c>
      <c r="AX1863" s="331">
        <f>SQRT(($R1863-Infrastructure!J$5)^2+($S1863-Infrastructure!K$5)^2)</f>
        <v>15.63489687</v>
      </c>
      <c r="AY1863" s="331">
        <f>SQRT(($R1863-Infrastructure!J$6)^2+($S1863-Infrastructure!K$6)^2)</f>
        <v>5.423098745</v>
      </c>
      <c r="AZ1863" s="331">
        <f>SQRT(($R1863-Infrastructure!J$7)^2+($S1863-Infrastructure!K$7)^2)</f>
        <v>5.793962375</v>
      </c>
      <c r="BA1863" s="331">
        <f>SQRT(($R1863-Infrastructure!J$8)^2+($S1863-Infrastructure!K$8)^2)</f>
        <v>15.14628667</v>
      </c>
      <c r="BB1863" s="331">
        <f>SQRT(($R1863-Infrastructure!J$9)^2+($S1863-Infrastructure!K$9)^2)</f>
        <v>25.04595776</v>
      </c>
      <c r="BC1863" s="331">
        <f>SQRT(($R1863-Infrastructure!J$10)^2+($S1863-Infrastructure!K$10)^2)</f>
        <v>27.90645087</v>
      </c>
      <c r="BD1863" s="331">
        <f>SQRT(($R1863-Infrastructure!J$11)^2+($S1863-Infrastructure!K$11)^2)</f>
        <v>36.5728041</v>
      </c>
      <c r="BE1863" s="333">
        <f>SQRT(($R1863-Infrastructure!J$12)^2+($S1863-Infrastructure!K$12)^2)</f>
        <v>53.48429676</v>
      </c>
      <c r="BF1863" s="330">
        <f t="shared" si="161"/>
        <v>5.423098745</v>
      </c>
      <c r="BG1863" s="333">
        <f t="shared" si="162"/>
        <v>53.48429676</v>
      </c>
      <c r="BH1863" s="1119"/>
      <c r="BI1863" s="319" t="str">
        <f t="shared" ref="BI1863:BR1863" si="577">IF(ISNUMBER(FIND(BI$3, $CO1863)), "Y", "")</f>
        <v/>
      </c>
      <c r="BJ1863" s="319" t="str">
        <f t="shared" si="577"/>
        <v/>
      </c>
      <c r="BK1863" s="319" t="str">
        <f t="shared" si="577"/>
        <v>Y</v>
      </c>
      <c r="BL1863" s="319" t="str">
        <f t="shared" si="577"/>
        <v>Y</v>
      </c>
      <c r="BM1863" s="319" t="str">
        <f t="shared" si="577"/>
        <v>Y</v>
      </c>
      <c r="BN1863" s="319" t="str">
        <f t="shared" si="577"/>
        <v>Y</v>
      </c>
      <c r="BO1863" s="319" t="str">
        <f t="shared" si="577"/>
        <v>Y</v>
      </c>
      <c r="BP1863" s="319" t="str">
        <f t="shared" si="577"/>
        <v/>
      </c>
      <c r="BQ1863" s="319" t="str">
        <f t="shared" si="577"/>
        <v>Y</v>
      </c>
      <c r="BR1863" s="319" t="str">
        <f t="shared" si="577"/>
        <v/>
      </c>
      <c r="BS1863" s="330">
        <f t="shared" si="185"/>
        <v>5.423098745</v>
      </c>
      <c r="BT1863" s="331">
        <f t="shared" si="170"/>
        <v>36.5728041</v>
      </c>
      <c r="BU1863" s="920">
        <v>0.46550925925925923</v>
      </c>
      <c r="BV1863" s="903">
        <f t="shared" si="186"/>
        <v>0.0005787037037</v>
      </c>
      <c r="BW1863" s="908">
        <v>13.5</v>
      </c>
      <c r="BX1863" s="908">
        <v>11.0</v>
      </c>
      <c r="BY1863" s="331">
        <f t="shared" si="201"/>
        <v>8.747571091</v>
      </c>
      <c r="BZ1863" s="331"/>
      <c r="CA1863" s="462" t="str">
        <f t="shared" ref="CA1863:CJ1863" si="578">IF(ISNUMBER(FIND(BI$3, $CP1863)), "Y", "")</f>
        <v>Y</v>
      </c>
      <c r="CB1863" s="319" t="str">
        <f t="shared" si="578"/>
        <v>Y</v>
      </c>
      <c r="CC1863" s="319" t="str">
        <f t="shared" si="578"/>
        <v>Y</v>
      </c>
      <c r="CD1863" s="319" t="str">
        <f t="shared" si="578"/>
        <v>Y</v>
      </c>
      <c r="CE1863" s="319" t="str">
        <f t="shared" si="578"/>
        <v>Y</v>
      </c>
      <c r="CF1863" s="319" t="str">
        <f t="shared" si="578"/>
        <v>Y</v>
      </c>
      <c r="CG1863" s="319" t="str">
        <f t="shared" si="578"/>
        <v>Y</v>
      </c>
      <c r="CH1863" s="319" t="str">
        <f t="shared" si="578"/>
        <v/>
      </c>
      <c r="CI1863" s="319" t="str">
        <f t="shared" si="578"/>
        <v>Y</v>
      </c>
      <c r="CJ1863" s="319" t="str">
        <f t="shared" si="578"/>
        <v>Y</v>
      </c>
      <c r="CK1863" s="342">
        <f t="shared" si="182"/>
        <v>5.423098745</v>
      </c>
      <c r="CL1863" s="333">
        <f t="shared" si="183"/>
        <v>53.48429676</v>
      </c>
      <c r="CM1863" s="1079" t="s">
        <v>2786</v>
      </c>
      <c r="CN1863" s="1005" t="s">
        <v>2781</v>
      </c>
      <c r="CO1863" s="1005" t="s">
        <v>2416</v>
      </c>
      <c r="CP1863" s="1005" t="s">
        <v>2400</v>
      </c>
    </row>
    <row r="1864">
      <c r="A1864" s="266"/>
      <c r="B1864" s="1113" t="s">
        <v>1649</v>
      </c>
      <c r="C1864" s="1107">
        <v>45489.0</v>
      </c>
      <c r="D1864" s="103"/>
      <c r="E1864" s="1108">
        <v>4.0</v>
      </c>
      <c r="F1864" s="112" t="s">
        <v>2787</v>
      </c>
      <c r="G1864" s="1110">
        <v>0.4678819444444444</v>
      </c>
      <c r="H1864" s="1110">
        <v>0.46822916666666664</v>
      </c>
      <c r="I1864" s="1110"/>
      <c r="J1864" s="1111"/>
      <c r="K1864" s="1111">
        <v>0.4696180555555556</v>
      </c>
      <c r="L1864" s="1112">
        <v>0.001388888888888889</v>
      </c>
      <c r="M1864" s="1113" t="s">
        <v>358</v>
      </c>
      <c r="N1864" s="110" t="s">
        <v>187</v>
      </c>
      <c r="O1864" s="1115" t="s">
        <v>203</v>
      </c>
      <c r="P1864" s="1115" t="s">
        <v>250</v>
      </c>
      <c r="Q1864" s="1116"/>
      <c r="R1864" s="120">
        <v>15.1</v>
      </c>
      <c r="S1864" s="1113">
        <v>2.4</v>
      </c>
      <c r="T1864" s="110">
        <v>1.2</v>
      </c>
      <c r="U1864" s="1108">
        <v>4.0</v>
      </c>
      <c r="V1864" s="1108"/>
      <c r="W1864" s="1108"/>
      <c r="X1864" s="1108"/>
      <c r="Y1864" s="1108"/>
      <c r="Z1864" s="1114" t="s">
        <v>357</v>
      </c>
      <c r="AA1864" s="1114"/>
      <c r="AB1864" s="1114" t="s">
        <v>380</v>
      </c>
      <c r="AC1864" s="1117">
        <v>4.0</v>
      </c>
      <c r="AD1864" s="1115"/>
      <c r="AE1864" s="1115"/>
      <c r="AF1864" s="1115"/>
      <c r="AG1864" s="1115"/>
      <c r="AH1864" s="1115"/>
      <c r="AI1864" s="1115"/>
      <c r="AJ1864" s="1117"/>
      <c r="AK1864" s="1118"/>
      <c r="AL1864" s="1115"/>
      <c r="AM1864" s="1115"/>
      <c r="AN1864" s="1115"/>
      <c r="AO1864" s="1115"/>
      <c r="AP1864" s="1115"/>
      <c r="AQ1864" s="1115"/>
      <c r="AR1864" s="1115"/>
      <c r="AS1864" s="1117"/>
      <c r="AT1864" s="1196" t="str">
        <f t="shared" si="428"/>
        <v>1-10</v>
      </c>
      <c r="AU1864" s="1193"/>
      <c r="AV1864" s="330">
        <f>SQRT(($R1864-Infrastructure!J$3)^2+($S1864-Infrastructure!K$3)^2)</f>
        <v>30.64979608</v>
      </c>
      <c r="AW1864" s="331">
        <f>SQRT(($R1864-Infrastructure!J$4)^2+($S1864-Infrastructure!K$4)^2)</f>
        <v>21.77888886</v>
      </c>
      <c r="AX1864" s="331">
        <f>SQRT(($R1864-Infrastructure!J$5)^2+($S1864-Infrastructure!K$5)^2)</f>
        <v>15.63489687</v>
      </c>
      <c r="AY1864" s="331">
        <f>SQRT(($R1864-Infrastructure!J$6)^2+($S1864-Infrastructure!K$6)^2)</f>
        <v>5.423098745</v>
      </c>
      <c r="AZ1864" s="331">
        <f>SQRT(($R1864-Infrastructure!J$7)^2+($S1864-Infrastructure!K$7)^2)</f>
        <v>5.793962375</v>
      </c>
      <c r="BA1864" s="331">
        <f>SQRT(($R1864-Infrastructure!J$8)^2+($S1864-Infrastructure!K$8)^2)</f>
        <v>15.14628667</v>
      </c>
      <c r="BB1864" s="331">
        <f>SQRT(($R1864-Infrastructure!J$9)^2+($S1864-Infrastructure!K$9)^2)</f>
        <v>25.04595776</v>
      </c>
      <c r="BC1864" s="331">
        <f>SQRT(($R1864-Infrastructure!J$10)^2+($S1864-Infrastructure!K$10)^2)</f>
        <v>27.90645087</v>
      </c>
      <c r="BD1864" s="331">
        <f>SQRT(($R1864-Infrastructure!J$11)^2+($S1864-Infrastructure!K$11)^2)</f>
        <v>36.5728041</v>
      </c>
      <c r="BE1864" s="333">
        <f>SQRT(($R1864-Infrastructure!J$12)^2+($S1864-Infrastructure!K$12)^2)</f>
        <v>53.48429676</v>
      </c>
      <c r="BF1864" s="330">
        <f t="shared" si="161"/>
        <v>5.423098745</v>
      </c>
      <c r="BG1864" s="333">
        <f t="shared" si="162"/>
        <v>53.48429676</v>
      </c>
      <c r="BH1864" s="1119"/>
      <c r="BI1864" s="319" t="str">
        <f t="shared" ref="BI1864:BR1864" si="579">IF(ISNUMBER(FIND(BI$3, $CO1864)), "Y", "")</f>
        <v>Y</v>
      </c>
      <c r="BJ1864" s="319" t="str">
        <f t="shared" si="579"/>
        <v/>
      </c>
      <c r="BK1864" s="319" t="str">
        <f t="shared" si="579"/>
        <v>Y</v>
      </c>
      <c r="BL1864" s="319" t="str">
        <f t="shared" si="579"/>
        <v>Y</v>
      </c>
      <c r="BM1864" s="319" t="str">
        <f t="shared" si="579"/>
        <v>Y</v>
      </c>
      <c r="BN1864" s="319" t="str">
        <f t="shared" si="579"/>
        <v>Y</v>
      </c>
      <c r="BO1864" s="319" t="str">
        <f t="shared" si="579"/>
        <v>Y</v>
      </c>
      <c r="BP1864" s="319" t="str">
        <f t="shared" si="579"/>
        <v/>
      </c>
      <c r="BQ1864" s="319" t="str">
        <f t="shared" si="579"/>
        <v>Y</v>
      </c>
      <c r="BR1864" s="319" t="str">
        <f t="shared" si="579"/>
        <v/>
      </c>
      <c r="BS1864" s="330">
        <f t="shared" si="185"/>
        <v>5.423098745</v>
      </c>
      <c r="BT1864" s="331">
        <f t="shared" si="170"/>
        <v>36.5728041</v>
      </c>
      <c r="BU1864" s="920">
        <v>0.4684837962962963</v>
      </c>
      <c r="BV1864" s="903">
        <f t="shared" si="186"/>
        <v>0.0006018518519</v>
      </c>
      <c r="BW1864" s="908">
        <v>13.7</v>
      </c>
      <c r="BX1864" s="908">
        <v>6.9</v>
      </c>
      <c r="BY1864" s="331">
        <f t="shared" si="201"/>
        <v>4.712748667</v>
      </c>
      <c r="BZ1864" s="331"/>
      <c r="CA1864" s="462" t="str">
        <f t="shared" ref="CA1864:CJ1864" si="580">IF(ISNUMBER(FIND(BI$3, $CP1864)), "Y", "")</f>
        <v>Y</v>
      </c>
      <c r="CB1864" s="319" t="str">
        <f t="shared" si="580"/>
        <v>Y</v>
      </c>
      <c r="CC1864" s="319" t="str">
        <f t="shared" si="580"/>
        <v>Y</v>
      </c>
      <c r="CD1864" s="319" t="str">
        <f t="shared" si="580"/>
        <v>Y</v>
      </c>
      <c r="CE1864" s="319" t="str">
        <f t="shared" si="580"/>
        <v>Y</v>
      </c>
      <c r="CF1864" s="319" t="str">
        <f t="shared" si="580"/>
        <v>Y</v>
      </c>
      <c r="CG1864" s="319" t="str">
        <f t="shared" si="580"/>
        <v>Y</v>
      </c>
      <c r="CH1864" s="319" t="str">
        <f t="shared" si="580"/>
        <v/>
      </c>
      <c r="CI1864" s="319" t="str">
        <f t="shared" si="580"/>
        <v>Y</v>
      </c>
      <c r="CJ1864" s="319" t="str">
        <f t="shared" si="580"/>
        <v>Y</v>
      </c>
      <c r="CK1864" s="342">
        <f t="shared" si="182"/>
        <v>5.423098745</v>
      </c>
      <c r="CL1864" s="333">
        <f t="shared" si="183"/>
        <v>53.48429676</v>
      </c>
      <c r="CM1864" s="1079" t="s">
        <v>2406</v>
      </c>
      <c r="CN1864" s="1005" t="s">
        <v>2781</v>
      </c>
      <c r="CO1864" s="1005" t="s">
        <v>2568</v>
      </c>
      <c r="CP1864" s="1005" t="s">
        <v>2400</v>
      </c>
    </row>
    <row r="1865">
      <c r="A1865" s="266"/>
      <c r="B1865" s="1113" t="s">
        <v>1649</v>
      </c>
      <c r="C1865" s="1107">
        <v>45489.0</v>
      </c>
      <c r="D1865" s="103"/>
      <c r="E1865" s="1108">
        <v>5.0</v>
      </c>
      <c r="F1865" s="112" t="s">
        <v>2788</v>
      </c>
      <c r="G1865" s="1110">
        <v>0.4703125</v>
      </c>
      <c r="H1865" s="1110">
        <v>0.47100694444444446</v>
      </c>
      <c r="I1865" s="1110"/>
      <c r="J1865" s="1111"/>
      <c r="K1865" s="1111">
        <v>0.4724537037037037</v>
      </c>
      <c r="L1865" s="1112">
        <v>0.0014467592592592592</v>
      </c>
      <c r="M1865" s="1113" t="s">
        <v>358</v>
      </c>
      <c r="N1865" s="110" t="s">
        <v>187</v>
      </c>
      <c r="O1865" s="1115" t="s">
        <v>204</v>
      </c>
      <c r="P1865" s="1115" t="s">
        <v>256</v>
      </c>
      <c r="Q1865" s="1116"/>
      <c r="R1865" s="120">
        <v>18.7</v>
      </c>
      <c r="S1865" s="1113">
        <v>4.1</v>
      </c>
      <c r="T1865" s="110">
        <v>1.2</v>
      </c>
      <c r="U1865" s="1108">
        <v>4.0</v>
      </c>
      <c r="V1865" s="1108"/>
      <c r="W1865" s="1108"/>
      <c r="X1865" s="1108"/>
      <c r="Y1865" s="1108"/>
      <c r="Z1865" s="1114" t="s">
        <v>365</v>
      </c>
      <c r="AA1865" s="1114"/>
      <c r="AB1865" s="1114" t="s">
        <v>333</v>
      </c>
      <c r="AC1865" s="1117">
        <v>2.0</v>
      </c>
      <c r="AD1865" s="1115"/>
      <c r="AE1865" s="1115"/>
      <c r="AF1865" s="1115"/>
      <c r="AG1865" s="1115"/>
      <c r="AH1865" s="1115"/>
      <c r="AI1865" s="1115"/>
      <c r="AJ1865" s="1117"/>
      <c r="AK1865" s="1118"/>
      <c r="AL1865" s="1115"/>
      <c r="AM1865" s="1115"/>
      <c r="AN1865" s="1115"/>
      <c r="AO1865" s="1115"/>
      <c r="AP1865" s="1115"/>
      <c r="AQ1865" s="1115"/>
      <c r="AR1865" s="1115"/>
      <c r="AS1865" s="1117"/>
      <c r="AT1865" s="1196" t="str">
        <f t="shared" si="428"/>
        <v>1-10</v>
      </c>
      <c r="AU1865" s="1193"/>
      <c r="AV1865" s="330">
        <f>SQRT(($R1865-Infrastructure!J$3)^2+($S1865-Infrastructure!K$3)^2)</f>
        <v>31.24163888</v>
      </c>
      <c r="AW1865" s="331">
        <f>SQRT(($R1865-Infrastructure!J$4)^2+($S1865-Infrastructure!K$4)^2)</f>
        <v>23.42413285</v>
      </c>
      <c r="AX1865" s="331">
        <f>SQRT(($R1865-Infrastructure!J$5)^2+($S1865-Infrastructure!K$5)^2)</f>
        <v>19.02629759</v>
      </c>
      <c r="AY1865" s="331">
        <f>SQRT(($R1865-Infrastructure!J$6)^2+($S1865-Infrastructure!K$6)^2)</f>
        <v>9.402127419</v>
      </c>
      <c r="AZ1865" s="331">
        <f>SQRT(($R1865-Infrastructure!J$7)^2+($S1865-Infrastructure!K$7)^2)</f>
        <v>4.204759208</v>
      </c>
      <c r="BA1865" s="331">
        <f>SQRT(($R1865-Infrastructure!J$8)^2+($S1865-Infrastructure!K$8)^2)</f>
        <v>12.01665511</v>
      </c>
      <c r="BB1865" s="331">
        <f>SQRT(($R1865-Infrastructure!J$9)^2+($S1865-Infrastructure!K$9)^2)</f>
        <v>21.32346126</v>
      </c>
      <c r="BC1865" s="331">
        <f>SQRT(($R1865-Infrastructure!J$10)^2+($S1865-Infrastructure!K$10)^2)</f>
        <v>23.92697223</v>
      </c>
      <c r="BD1865" s="331">
        <f>SQRT(($R1865-Infrastructure!J$11)^2+($S1865-Infrastructure!K$11)^2)</f>
        <v>32.89772029</v>
      </c>
      <c r="BE1865" s="333">
        <f>SQRT(($R1865-Infrastructure!J$12)^2+($S1865-Infrastructure!K$12)^2)</f>
        <v>51.4762081</v>
      </c>
      <c r="BF1865" s="330">
        <f t="shared" si="161"/>
        <v>4.204759208</v>
      </c>
      <c r="BG1865" s="333">
        <f t="shared" si="162"/>
        <v>51.4762081</v>
      </c>
      <c r="BH1865" s="1119"/>
      <c r="BI1865" s="319" t="str">
        <f t="shared" ref="BI1865:BR1865" si="581">IF(ISNUMBER(FIND(BI$3, $CO1865)), "Y", "")</f>
        <v>Y</v>
      </c>
      <c r="BJ1865" s="319" t="str">
        <f t="shared" si="581"/>
        <v>Y</v>
      </c>
      <c r="BK1865" s="319" t="str">
        <f t="shared" si="581"/>
        <v>Y</v>
      </c>
      <c r="BL1865" s="319" t="str">
        <f t="shared" si="581"/>
        <v>Y</v>
      </c>
      <c r="BM1865" s="319" t="str">
        <f t="shared" si="581"/>
        <v>Y</v>
      </c>
      <c r="BN1865" s="319" t="str">
        <f t="shared" si="581"/>
        <v>Y</v>
      </c>
      <c r="BO1865" s="319" t="str">
        <f t="shared" si="581"/>
        <v>Y</v>
      </c>
      <c r="BP1865" s="319" t="str">
        <f t="shared" si="581"/>
        <v/>
      </c>
      <c r="BQ1865" s="319" t="str">
        <f t="shared" si="581"/>
        <v>Y</v>
      </c>
      <c r="BR1865" s="319" t="str">
        <f t="shared" si="581"/>
        <v>Y</v>
      </c>
      <c r="BS1865" s="330">
        <f t="shared" si="185"/>
        <v>4.204759208</v>
      </c>
      <c r="BT1865" s="331">
        <f t="shared" si="170"/>
        <v>51.4762081</v>
      </c>
      <c r="BU1865" s="920">
        <v>0.4708912037037037</v>
      </c>
      <c r="BV1865" s="903">
        <f t="shared" si="186"/>
        <v>0.0005787037037</v>
      </c>
      <c r="BW1865" s="908">
        <v>16.5</v>
      </c>
      <c r="BX1865" s="908">
        <v>10.9</v>
      </c>
      <c r="BY1865" s="331">
        <f t="shared" si="201"/>
        <v>7.147027354</v>
      </c>
      <c r="BZ1865" s="331"/>
      <c r="CA1865" s="462" t="str">
        <f t="shared" ref="CA1865:CJ1865" si="582">IF(ISNUMBER(FIND(BI$3, $CP1865)), "Y", "")</f>
        <v>Y</v>
      </c>
      <c r="CB1865" s="319" t="str">
        <f t="shared" si="582"/>
        <v>Y</v>
      </c>
      <c r="CC1865" s="319" t="str">
        <f t="shared" si="582"/>
        <v>Y</v>
      </c>
      <c r="CD1865" s="319" t="str">
        <f t="shared" si="582"/>
        <v>Y</v>
      </c>
      <c r="CE1865" s="319" t="str">
        <f t="shared" si="582"/>
        <v>Y</v>
      </c>
      <c r="CF1865" s="319" t="str">
        <f t="shared" si="582"/>
        <v>Y</v>
      </c>
      <c r="CG1865" s="319" t="str">
        <f t="shared" si="582"/>
        <v>Y</v>
      </c>
      <c r="CH1865" s="319" t="str">
        <f t="shared" si="582"/>
        <v/>
      </c>
      <c r="CI1865" s="319" t="str">
        <f t="shared" si="582"/>
        <v>Y</v>
      </c>
      <c r="CJ1865" s="319" t="str">
        <f t="shared" si="582"/>
        <v>Y</v>
      </c>
      <c r="CK1865" s="342">
        <f t="shared" si="182"/>
        <v>4.204759208</v>
      </c>
      <c r="CL1865" s="333">
        <f t="shared" si="183"/>
        <v>51.4762081</v>
      </c>
      <c r="CM1865" s="1079" t="s">
        <v>2430</v>
      </c>
      <c r="CN1865" s="1005" t="s">
        <v>2781</v>
      </c>
      <c r="CO1865" s="1005" t="s">
        <v>2400</v>
      </c>
      <c r="CP1865" s="1005" t="s">
        <v>2400</v>
      </c>
    </row>
    <row r="1866">
      <c r="A1866" s="266"/>
      <c r="B1866" s="1113" t="s">
        <v>1649</v>
      </c>
      <c r="C1866" s="1107">
        <v>45489.0</v>
      </c>
      <c r="D1866" s="103"/>
      <c r="E1866" s="1108">
        <v>6.0</v>
      </c>
      <c r="F1866" s="112" t="s">
        <v>2789</v>
      </c>
      <c r="G1866" s="1110">
        <v>0.4732638888888889</v>
      </c>
      <c r="H1866" s="1110">
        <v>0.4736111111111111</v>
      </c>
      <c r="I1866" s="1110"/>
      <c r="J1866" s="1111"/>
      <c r="K1866" s="1111">
        <v>0.475</v>
      </c>
      <c r="L1866" s="1112">
        <v>0.001388888888888889</v>
      </c>
      <c r="M1866" s="1113" t="s">
        <v>358</v>
      </c>
      <c r="N1866" s="110" t="s">
        <v>187</v>
      </c>
      <c r="O1866" s="1115" t="s">
        <v>204</v>
      </c>
      <c r="P1866" s="1115" t="s">
        <v>256</v>
      </c>
      <c r="Q1866" s="1116"/>
      <c r="R1866" s="120">
        <v>18.7</v>
      </c>
      <c r="S1866" s="1113">
        <v>4.1</v>
      </c>
      <c r="T1866" s="110">
        <v>1.2</v>
      </c>
      <c r="U1866" s="1108">
        <v>2.0</v>
      </c>
      <c r="V1866" s="1108"/>
      <c r="W1866" s="1108"/>
      <c r="X1866" s="1108"/>
      <c r="Y1866" s="1108"/>
      <c r="Z1866" s="1114" t="s">
        <v>365</v>
      </c>
      <c r="AA1866" s="1114"/>
      <c r="AB1866" s="1114" t="s">
        <v>333</v>
      </c>
      <c r="AC1866" s="1117">
        <v>2.0</v>
      </c>
      <c r="AD1866" s="1115"/>
      <c r="AE1866" s="1115"/>
      <c r="AF1866" s="1115"/>
      <c r="AG1866" s="1115"/>
      <c r="AH1866" s="1115"/>
      <c r="AI1866" s="1115"/>
      <c r="AJ1866" s="1117"/>
      <c r="AK1866" s="1118"/>
      <c r="AL1866" s="1115"/>
      <c r="AM1866" s="1115"/>
      <c r="AN1866" s="1115"/>
      <c r="AO1866" s="1115"/>
      <c r="AP1866" s="1115"/>
      <c r="AQ1866" s="1115"/>
      <c r="AR1866" s="1115"/>
      <c r="AS1866" s="1117"/>
      <c r="AT1866" s="1196" t="str">
        <f t="shared" si="428"/>
        <v>1-10</v>
      </c>
      <c r="AU1866" s="1193"/>
      <c r="AV1866" s="330">
        <f>SQRT(($R1866-Infrastructure!J$3)^2+($S1866-Infrastructure!K$3)^2)</f>
        <v>31.24163888</v>
      </c>
      <c r="AW1866" s="331">
        <f>SQRT(($R1866-Infrastructure!J$4)^2+($S1866-Infrastructure!K$4)^2)</f>
        <v>23.42413285</v>
      </c>
      <c r="AX1866" s="331">
        <f>SQRT(($R1866-Infrastructure!J$5)^2+($S1866-Infrastructure!K$5)^2)</f>
        <v>19.02629759</v>
      </c>
      <c r="AY1866" s="331">
        <f>SQRT(($R1866-Infrastructure!J$6)^2+($S1866-Infrastructure!K$6)^2)</f>
        <v>9.402127419</v>
      </c>
      <c r="AZ1866" s="331">
        <f>SQRT(($R1866-Infrastructure!J$7)^2+($S1866-Infrastructure!K$7)^2)</f>
        <v>4.204759208</v>
      </c>
      <c r="BA1866" s="331">
        <f>SQRT(($R1866-Infrastructure!J$8)^2+($S1866-Infrastructure!K$8)^2)</f>
        <v>12.01665511</v>
      </c>
      <c r="BB1866" s="331">
        <f>SQRT(($R1866-Infrastructure!J$9)^2+($S1866-Infrastructure!K$9)^2)</f>
        <v>21.32346126</v>
      </c>
      <c r="BC1866" s="331">
        <f>SQRT(($R1866-Infrastructure!J$10)^2+($S1866-Infrastructure!K$10)^2)</f>
        <v>23.92697223</v>
      </c>
      <c r="BD1866" s="331">
        <f>SQRT(($R1866-Infrastructure!J$11)^2+($S1866-Infrastructure!K$11)^2)</f>
        <v>32.89772029</v>
      </c>
      <c r="BE1866" s="333">
        <f>SQRT(($R1866-Infrastructure!J$12)^2+($S1866-Infrastructure!K$12)^2)</f>
        <v>51.4762081</v>
      </c>
      <c r="BF1866" s="330">
        <f t="shared" si="161"/>
        <v>4.204759208</v>
      </c>
      <c r="BG1866" s="333">
        <f t="shared" si="162"/>
        <v>51.4762081</v>
      </c>
      <c r="BH1866" s="1119"/>
      <c r="BI1866" s="319" t="str">
        <f t="shared" ref="BI1866:BR1866" si="583">IF(ISNUMBER(FIND(BI$3, $CO1866)), "Y", "")</f>
        <v>Y</v>
      </c>
      <c r="BJ1866" s="319" t="str">
        <f t="shared" si="583"/>
        <v>Y</v>
      </c>
      <c r="BK1866" s="319" t="str">
        <f t="shared" si="583"/>
        <v>Y</v>
      </c>
      <c r="BL1866" s="319" t="str">
        <f t="shared" si="583"/>
        <v>Y</v>
      </c>
      <c r="BM1866" s="319" t="str">
        <f t="shared" si="583"/>
        <v>Y</v>
      </c>
      <c r="BN1866" s="319" t="str">
        <f t="shared" si="583"/>
        <v>Y</v>
      </c>
      <c r="BO1866" s="319" t="str">
        <f t="shared" si="583"/>
        <v>Y</v>
      </c>
      <c r="BP1866" s="319" t="str">
        <f t="shared" si="583"/>
        <v/>
      </c>
      <c r="BQ1866" s="319" t="str">
        <f t="shared" si="583"/>
        <v>Y</v>
      </c>
      <c r="BR1866" s="319" t="str">
        <f t="shared" si="583"/>
        <v>Y</v>
      </c>
      <c r="BS1866" s="330">
        <f t="shared" si="185"/>
        <v>4.204759208</v>
      </c>
      <c r="BT1866" s="331">
        <f t="shared" si="170"/>
        <v>51.4762081</v>
      </c>
      <c r="BU1866" s="920">
        <v>0.4738657407407407</v>
      </c>
      <c r="BV1866" s="903">
        <f t="shared" si="186"/>
        <v>0.0006018518519</v>
      </c>
      <c r="BW1866" s="908">
        <v>18.3</v>
      </c>
      <c r="BX1866" s="908">
        <v>5.0</v>
      </c>
      <c r="BY1866" s="331">
        <f t="shared" si="201"/>
        <v>0.9848857802</v>
      </c>
      <c r="BZ1866" s="331"/>
      <c r="CA1866" s="462" t="str">
        <f t="shared" ref="CA1866:CJ1866" si="584">IF(ISNUMBER(FIND(BI$3, $CP1866)), "Y", "")</f>
        <v>Y</v>
      </c>
      <c r="CB1866" s="319" t="str">
        <f t="shared" si="584"/>
        <v>Y</v>
      </c>
      <c r="CC1866" s="319" t="str">
        <f t="shared" si="584"/>
        <v>Y</v>
      </c>
      <c r="CD1866" s="319" t="str">
        <f t="shared" si="584"/>
        <v>Y</v>
      </c>
      <c r="CE1866" s="319" t="str">
        <f t="shared" si="584"/>
        <v>Y</v>
      </c>
      <c r="CF1866" s="319" t="str">
        <f t="shared" si="584"/>
        <v>Y</v>
      </c>
      <c r="CG1866" s="319" t="str">
        <f t="shared" si="584"/>
        <v>Y</v>
      </c>
      <c r="CH1866" s="319" t="str">
        <f t="shared" si="584"/>
        <v/>
      </c>
      <c r="CI1866" s="319" t="str">
        <f t="shared" si="584"/>
        <v>Y</v>
      </c>
      <c r="CJ1866" s="319" t="str">
        <f t="shared" si="584"/>
        <v>Y</v>
      </c>
      <c r="CK1866" s="342">
        <f t="shared" si="182"/>
        <v>4.204759208</v>
      </c>
      <c r="CL1866" s="333">
        <f t="shared" si="183"/>
        <v>51.4762081</v>
      </c>
      <c r="CM1866" s="1079" t="s">
        <v>2790</v>
      </c>
      <c r="CN1866" s="1005" t="s">
        <v>2781</v>
      </c>
      <c r="CO1866" s="1005" t="s">
        <v>2400</v>
      </c>
      <c r="CP1866" s="1005" t="s">
        <v>2400</v>
      </c>
    </row>
    <row r="1867">
      <c r="A1867" s="266"/>
      <c r="B1867" s="1113" t="s">
        <v>1649</v>
      </c>
      <c r="C1867" s="1107">
        <v>45489.0</v>
      </c>
      <c r="D1867" s="103"/>
      <c r="E1867" s="1108">
        <v>7.0</v>
      </c>
      <c r="F1867" s="112" t="s">
        <v>2791</v>
      </c>
      <c r="G1867" s="1110">
        <v>0.4756944444444444</v>
      </c>
      <c r="H1867" s="1110">
        <v>0.47604166666666664</v>
      </c>
      <c r="I1867" s="1110"/>
      <c r="J1867" s="1111"/>
      <c r="K1867" s="1111">
        <v>0.47748842592592594</v>
      </c>
      <c r="L1867" s="1112">
        <v>0.0014467592592592592</v>
      </c>
      <c r="M1867" s="1113" t="s">
        <v>358</v>
      </c>
      <c r="N1867" s="110" t="s">
        <v>187</v>
      </c>
      <c r="O1867" s="1115" t="s">
        <v>202</v>
      </c>
      <c r="P1867" s="1115" t="s">
        <v>256</v>
      </c>
      <c r="Q1867" s="1116"/>
      <c r="R1867" s="120">
        <v>24.4</v>
      </c>
      <c r="S1867" s="1113">
        <v>7.5</v>
      </c>
      <c r="T1867" s="110">
        <v>0.6</v>
      </c>
      <c r="U1867" s="1108">
        <v>5.0</v>
      </c>
      <c r="V1867" s="1108"/>
      <c r="W1867" s="1108"/>
      <c r="X1867" s="1108"/>
      <c r="Y1867" s="1108"/>
      <c r="Z1867" s="1114" t="s">
        <v>339</v>
      </c>
      <c r="AA1867" s="1114"/>
      <c r="AB1867" s="1114" t="s">
        <v>341</v>
      </c>
      <c r="AC1867" s="1117">
        <v>3.0</v>
      </c>
      <c r="AD1867" s="1115"/>
      <c r="AE1867" s="1115"/>
      <c r="AF1867" s="1115"/>
      <c r="AG1867" s="1115"/>
      <c r="AH1867" s="1115"/>
      <c r="AI1867" s="1115"/>
      <c r="AJ1867" s="1117"/>
      <c r="AK1867" s="1118"/>
      <c r="AL1867" s="1115"/>
      <c r="AM1867" s="1115"/>
      <c r="AN1867" s="1115"/>
      <c r="AO1867" s="1115"/>
      <c r="AP1867" s="1115"/>
      <c r="AQ1867" s="1115"/>
      <c r="AR1867" s="1115"/>
      <c r="AS1867" s="1117"/>
      <c r="AT1867" s="1196" t="str">
        <f t="shared" si="428"/>
        <v>1-10</v>
      </c>
      <c r="AU1867" s="1193"/>
      <c r="AV1867" s="330">
        <f>SQRT(($R1867-Infrastructure!J$3)^2+($S1867-Infrastructure!K$3)^2)</f>
        <v>32.68103426</v>
      </c>
      <c r="AW1867" s="331">
        <f>SQRT(($R1867-Infrastructure!J$4)^2+($S1867-Infrastructure!K$4)^2)</f>
        <v>26.76153957</v>
      </c>
      <c r="AX1867" s="331">
        <f>SQRT(($R1867-Infrastructure!J$5)^2+($S1867-Infrastructure!K$5)^2)</f>
        <v>24.81632527</v>
      </c>
      <c r="AY1867" s="331">
        <f>SQRT(($R1867-Infrastructure!J$6)^2+($S1867-Infrastructure!K$6)^2)</f>
        <v>16.01030918</v>
      </c>
      <c r="AZ1867" s="331">
        <f>SQRT(($R1867-Infrastructure!J$7)^2+($S1867-Infrastructure!K$7)^2)</f>
        <v>8.188406438</v>
      </c>
      <c r="BA1867" s="331">
        <f>SQRT(($R1867-Infrastructure!J$8)^2+($S1867-Infrastructure!K$8)^2)</f>
        <v>9.183136719</v>
      </c>
      <c r="BB1867" s="331">
        <f>SQRT(($R1867-Infrastructure!J$9)^2+($S1867-Infrastructure!K$9)^2)</f>
        <v>15.78353573</v>
      </c>
      <c r="BC1867" s="331">
        <f>SQRT(($R1867-Infrastructure!J$10)^2+($S1867-Infrastructure!K$10)^2)</f>
        <v>17.30924608</v>
      </c>
      <c r="BD1867" s="331">
        <f>SQRT(($R1867-Infrastructure!J$11)^2+($S1867-Infrastructure!K$11)^2)</f>
        <v>26.68126684</v>
      </c>
      <c r="BE1867" s="333">
        <f>SQRT(($R1867-Infrastructure!J$12)^2+($S1867-Infrastructure!K$12)^2)</f>
        <v>48.08752437</v>
      </c>
      <c r="BF1867" s="330">
        <f t="shared" si="161"/>
        <v>8.188406438</v>
      </c>
      <c r="BG1867" s="333">
        <f t="shared" si="162"/>
        <v>48.08752437</v>
      </c>
      <c r="BH1867" s="1119"/>
      <c r="BI1867" s="319" t="str">
        <f t="shared" ref="BI1867:BR1867" si="585">IF(ISNUMBER(FIND(BI$3, $CO1867)), "Y", "")</f>
        <v>Y</v>
      </c>
      <c r="BJ1867" s="319" t="str">
        <f t="shared" si="585"/>
        <v>Y</v>
      </c>
      <c r="BK1867" s="319" t="str">
        <f t="shared" si="585"/>
        <v>Y</v>
      </c>
      <c r="BL1867" s="319" t="str">
        <f t="shared" si="585"/>
        <v>Y</v>
      </c>
      <c r="BM1867" s="319" t="str">
        <f t="shared" si="585"/>
        <v>Y</v>
      </c>
      <c r="BN1867" s="319" t="str">
        <f t="shared" si="585"/>
        <v>Y</v>
      </c>
      <c r="BO1867" s="319" t="str">
        <f t="shared" si="585"/>
        <v>Y</v>
      </c>
      <c r="BP1867" s="319" t="str">
        <f t="shared" si="585"/>
        <v/>
      </c>
      <c r="BQ1867" s="319" t="str">
        <f t="shared" si="585"/>
        <v>Y</v>
      </c>
      <c r="BR1867" s="319" t="str">
        <f t="shared" si="585"/>
        <v>Y</v>
      </c>
      <c r="BS1867" s="330">
        <f t="shared" si="185"/>
        <v>8.188406438</v>
      </c>
      <c r="BT1867" s="331">
        <f t="shared" si="170"/>
        <v>48.08752437</v>
      </c>
      <c r="BU1867" s="920">
        <v>0.47628472222222223</v>
      </c>
      <c r="BV1867" s="903">
        <f t="shared" si="186"/>
        <v>0.0005902777778</v>
      </c>
      <c r="BW1867" s="908">
        <v>18.6</v>
      </c>
      <c r="BX1867" s="908">
        <v>22.2</v>
      </c>
      <c r="BY1867" s="331">
        <f t="shared" si="201"/>
        <v>15.80284784</v>
      </c>
      <c r="BZ1867" s="331"/>
      <c r="CA1867" s="462" t="str">
        <f t="shared" ref="CA1867:CJ1867" si="586">IF(ISNUMBER(FIND(BI$3, $CP1867)), "Y", "")</f>
        <v>Y</v>
      </c>
      <c r="CB1867" s="319" t="str">
        <f t="shared" si="586"/>
        <v>Y</v>
      </c>
      <c r="CC1867" s="319" t="str">
        <f t="shared" si="586"/>
        <v>Y</v>
      </c>
      <c r="CD1867" s="319" t="str">
        <f t="shared" si="586"/>
        <v>Y</v>
      </c>
      <c r="CE1867" s="319" t="str">
        <f t="shared" si="586"/>
        <v>Y</v>
      </c>
      <c r="CF1867" s="319" t="str">
        <f t="shared" si="586"/>
        <v>Y</v>
      </c>
      <c r="CG1867" s="319" t="str">
        <f t="shared" si="586"/>
        <v>Y</v>
      </c>
      <c r="CH1867" s="319" t="str">
        <f t="shared" si="586"/>
        <v/>
      </c>
      <c r="CI1867" s="319" t="str">
        <f t="shared" si="586"/>
        <v>Y</v>
      </c>
      <c r="CJ1867" s="319" t="str">
        <f t="shared" si="586"/>
        <v>Y</v>
      </c>
      <c r="CK1867" s="342">
        <f t="shared" si="182"/>
        <v>8.188406438</v>
      </c>
      <c r="CL1867" s="333">
        <f t="shared" si="183"/>
        <v>48.08752437</v>
      </c>
      <c r="CM1867" s="1079" t="s">
        <v>2430</v>
      </c>
      <c r="CN1867" s="1005" t="s">
        <v>2781</v>
      </c>
      <c r="CO1867" s="1005" t="s">
        <v>2400</v>
      </c>
      <c r="CP1867" s="1005" t="s">
        <v>2400</v>
      </c>
    </row>
    <row r="1868">
      <c r="A1868" s="266"/>
      <c r="B1868" s="1113" t="s">
        <v>1649</v>
      </c>
      <c r="C1868" s="1107">
        <v>45489.0</v>
      </c>
      <c r="D1868" s="103"/>
      <c r="E1868" s="1108">
        <v>8.0</v>
      </c>
      <c r="F1868" s="112" t="s">
        <v>2792</v>
      </c>
      <c r="G1868" s="1110">
        <v>0.47824074074074074</v>
      </c>
      <c r="H1868" s="1110">
        <v>0.4787037037037037</v>
      </c>
      <c r="I1868" s="1110"/>
      <c r="J1868" s="1111"/>
      <c r="K1868" s="1111">
        <v>0.480150462962963</v>
      </c>
      <c r="L1868" s="1112">
        <v>0.0014467592592592592</v>
      </c>
      <c r="M1868" s="1113" t="s">
        <v>358</v>
      </c>
      <c r="N1868" s="110" t="s">
        <v>187</v>
      </c>
      <c r="O1868" s="1115" t="s">
        <v>202</v>
      </c>
      <c r="P1868" s="1115" t="s">
        <v>256</v>
      </c>
      <c r="Q1868" s="1116"/>
      <c r="R1868" s="120">
        <v>24.4</v>
      </c>
      <c r="S1868" s="1113">
        <v>7.5</v>
      </c>
      <c r="T1868" s="110">
        <v>0.6</v>
      </c>
      <c r="U1868" s="1108">
        <v>3.0</v>
      </c>
      <c r="V1868" s="1108"/>
      <c r="W1868" s="1108"/>
      <c r="X1868" s="1108"/>
      <c r="Y1868" s="1108"/>
      <c r="Z1868" s="1114" t="s">
        <v>339</v>
      </c>
      <c r="AA1868" s="1114"/>
      <c r="AB1868" s="1114" t="s">
        <v>341</v>
      </c>
      <c r="AC1868" s="1117">
        <v>3.0</v>
      </c>
      <c r="AD1868" s="1115"/>
      <c r="AE1868" s="1115"/>
      <c r="AF1868" s="1115"/>
      <c r="AG1868" s="1115"/>
      <c r="AH1868" s="1115"/>
      <c r="AI1868" s="1115"/>
      <c r="AJ1868" s="1117"/>
      <c r="AK1868" s="1118"/>
      <c r="AL1868" s="1115"/>
      <c r="AM1868" s="1115"/>
      <c r="AN1868" s="1115"/>
      <c r="AO1868" s="1115"/>
      <c r="AP1868" s="1115"/>
      <c r="AQ1868" s="1115"/>
      <c r="AR1868" s="1115"/>
      <c r="AS1868" s="1117"/>
      <c r="AT1868" s="1196" t="str">
        <f t="shared" si="428"/>
        <v>1-10</v>
      </c>
      <c r="AU1868" s="1193"/>
      <c r="AV1868" s="330">
        <f>SQRT(($R1868-Infrastructure!J$3)^2+($S1868-Infrastructure!K$3)^2)</f>
        <v>32.68103426</v>
      </c>
      <c r="AW1868" s="331">
        <f>SQRT(($R1868-Infrastructure!J$4)^2+($S1868-Infrastructure!K$4)^2)</f>
        <v>26.76153957</v>
      </c>
      <c r="AX1868" s="331">
        <f>SQRT(($R1868-Infrastructure!J$5)^2+($S1868-Infrastructure!K$5)^2)</f>
        <v>24.81632527</v>
      </c>
      <c r="AY1868" s="331">
        <f>SQRT(($R1868-Infrastructure!J$6)^2+($S1868-Infrastructure!K$6)^2)</f>
        <v>16.01030918</v>
      </c>
      <c r="AZ1868" s="331">
        <f>SQRT(($R1868-Infrastructure!J$7)^2+($S1868-Infrastructure!K$7)^2)</f>
        <v>8.188406438</v>
      </c>
      <c r="BA1868" s="331">
        <f>SQRT(($R1868-Infrastructure!J$8)^2+($S1868-Infrastructure!K$8)^2)</f>
        <v>9.183136719</v>
      </c>
      <c r="BB1868" s="331">
        <f>SQRT(($R1868-Infrastructure!J$9)^2+($S1868-Infrastructure!K$9)^2)</f>
        <v>15.78353573</v>
      </c>
      <c r="BC1868" s="331">
        <f>SQRT(($R1868-Infrastructure!J$10)^2+($S1868-Infrastructure!K$10)^2)</f>
        <v>17.30924608</v>
      </c>
      <c r="BD1868" s="331">
        <f>SQRT(($R1868-Infrastructure!J$11)^2+($S1868-Infrastructure!K$11)^2)</f>
        <v>26.68126684</v>
      </c>
      <c r="BE1868" s="333">
        <f>SQRT(($R1868-Infrastructure!J$12)^2+($S1868-Infrastructure!K$12)^2)</f>
        <v>48.08752437</v>
      </c>
      <c r="BF1868" s="330">
        <f t="shared" si="161"/>
        <v>8.188406438</v>
      </c>
      <c r="BG1868" s="333">
        <f t="shared" si="162"/>
        <v>48.08752437</v>
      </c>
      <c r="BH1868" s="1119"/>
      <c r="BI1868" s="319" t="str">
        <f t="shared" ref="BI1868:BR1868" si="587">IF(ISNUMBER(FIND(BI$3, $CO1868)), "Y", "")</f>
        <v>Y</v>
      </c>
      <c r="BJ1868" s="319" t="str">
        <f t="shared" si="587"/>
        <v>Y</v>
      </c>
      <c r="BK1868" s="319" t="str">
        <f t="shared" si="587"/>
        <v>Y</v>
      </c>
      <c r="BL1868" s="319" t="str">
        <f t="shared" si="587"/>
        <v>Y</v>
      </c>
      <c r="BM1868" s="319" t="str">
        <f t="shared" si="587"/>
        <v>Y</v>
      </c>
      <c r="BN1868" s="319" t="str">
        <f t="shared" si="587"/>
        <v>Y</v>
      </c>
      <c r="BO1868" s="319" t="str">
        <f t="shared" si="587"/>
        <v>Y</v>
      </c>
      <c r="BP1868" s="319" t="str">
        <f t="shared" si="587"/>
        <v/>
      </c>
      <c r="BQ1868" s="319" t="str">
        <f t="shared" si="587"/>
        <v>Y</v>
      </c>
      <c r="BR1868" s="319" t="str">
        <f t="shared" si="587"/>
        <v>Y</v>
      </c>
      <c r="BS1868" s="330">
        <f t="shared" si="185"/>
        <v>8.188406438</v>
      </c>
      <c r="BT1868" s="331">
        <f t="shared" si="170"/>
        <v>48.08752437</v>
      </c>
      <c r="BU1868" s="920">
        <v>0.47881944444444446</v>
      </c>
      <c r="BV1868" s="903">
        <f t="shared" si="186"/>
        <v>0.0005787037037</v>
      </c>
      <c r="BW1868" s="908">
        <v>18.9</v>
      </c>
      <c r="BX1868" s="908">
        <v>20.6</v>
      </c>
      <c r="BY1868" s="331">
        <f t="shared" si="201"/>
        <v>14.20774437</v>
      </c>
      <c r="BZ1868" s="331"/>
      <c r="CA1868" s="462" t="str">
        <f t="shared" ref="CA1868:CJ1868" si="588">IF(ISNUMBER(FIND(BI$3, $CP1868)), "Y", "")</f>
        <v>Y</v>
      </c>
      <c r="CB1868" s="319" t="str">
        <f t="shared" si="588"/>
        <v>Y</v>
      </c>
      <c r="CC1868" s="319" t="str">
        <f t="shared" si="588"/>
        <v>Y</v>
      </c>
      <c r="CD1868" s="319" t="str">
        <f t="shared" si="588"/>
        <v>Y</v>
      </c>
      <c r="CE1868" s="319" t="str">
        <f t="shared" si="588"/>
        <v>Y</v>
      </c>
      <c r="CF1868" s="319" t="str">
        <f t="shared" si="588"/>
        <v>Y</v>
      </c>
      <c r="CG1868" s="319" t="str">
        <f t="shared" si="588"/>
        <v>Y</v>
      </c>
      <c r="CH1868" s="319" t="str">
        <f t="shared" si="588"/>
        <v/>
      </c>
      <c r="CI1868" s="319" t="str">
        <f t="shared" si="588"/>
        <v>Y</v>
      </c>
      <c r="CJ1868" s="319" t="str">
        <f t="shared" si="588"/>
        <v>Y</v>
      </c>
      <c r="CK1868" s="342">
        <f t="shared" si="182"/>
        <v>8.188406438</v>
      </c>
      <c r="CL1868" s="333">
        <f t="shared" si="183"/>
        <v>48.08752437</v>
      </c>
      <c r="CM1868" s="1079" t="s">
        <v>2430</v>
      </c>
      <c r="CN1868" s="1005" t="s">
        <v>2781</v>
      </c>
      <c r="CO1868" s="1005" t="s">
        <v>2400</v>
      </c>
      <c r="CP1868" s="1005" t="s">
        <v>2400</v>
      </c>
    </row>
    <row r="1869">
      <c r="A1869" s="266"/>
      <c r="B1869" s="1113" t="s">
        <v>1649</v>
      </c>
      <c r="C1869" s="1107">
        <v>45489.0</v>
      </c>
      <c r="D1869" s="103"/>
      <c r="E1869" s="1108">
        <v>9.0</v>
      </c>
      <c r="F1869" s="112" t="s">
        <v>2793</v>
      </c>
      <c r="G1869" s="1110">
        <v>0.48211805555555554</v>
      </c>
      <c r="H1869" s="1110">
        <v>0.48246527777777776</v>
      </c>
      <c r="I1869" s="1110"/>
      <c r="J1869" s="1111"/>
      <c r="K1869" s="1111">
        <v>0.48385416666666664</v>
      </c>
      <c r="L1869" s="1112">
        <v>0.001388888888888889</v>
      </c>
      <c r="M1869" s="1113" t="s">
        <v>358</v>
      </c>
      <c r="N1869" s="110" t="s">
        <v>187</v>
      </c>
      <c r="O1869" s="1115" t="s">
        <v>202</v>
      </c>
      <c r="P1869" s="1115" t="s">
        <v>256</v>
      </c>
      <c r="Q1869" s="1116"/>
      <c r="R1869" s="120">
        <v>24.4</v>
      </c>
      <c r="S1869" s="1113">
        <v>7.5</v>
      </c>
      <c r="T1869" s="110">
        <v>0.6</v>
      </c>
      <c r="U1869" s="1108">
        <v>1.0</v>
      </c>
      <c r="V1869" s="1108"/>
      <c r="W1869" s="1108"/>
      <c r="X1869" s="1108"/>
      <c r="Y1869" s="1108"/>
      <c r="Z1869" s="1114" t="s">
        <v>339</v>
      </c>
      <c r="AA1869" s="1114"/>
      <c r="AB1869" s="1114" t="s">
        <v>326</v>
      </c>
      <c r="AC1869" s="1117">
        <v>1.0</v>
      </c>
      <c r="AD1869" s="1115"/>
      <c r="AE1869" s="1115"/>
      <c r="AF1869" s="1115"/>
      <c r="AG1869" s="1115"/>
      <c r="AH1869" s="1115"/>
      <c r="AI1869" s="1115"/>
      <c r="AJ1869" s="1117"/>
      <c r="AK1869" s="1118"/>
      <c r="AL1869" s="1115"/>
      <c r="AM1869" s="1115"/>
      <c r="AN1869" s="1115"/>
      <c r="AO1869" s="1115"/>
      <c r="AP1869" s="1115"/>
      <c r="AQ1869" s="1115"/>
      <c r="AR1869" s="1115"/>
      <c r="AS1869" s="1117"/>
      <c r="AT1869" s="1196" t="str">
        <f t="shared" si="428"/>
        <v>1-10</v>
      </c>
      <c r="AU1869" s="1193"/>
      <c r="AV1869" s="330">
        <f>SQRT(($R1869-Infrastructure!J$3)^2+($S1869-Infrastructure!K$3)^2)</f>
        <v>32.68103426</v>
      </c>
      <c r="AW1869" s="331">
        <f>SQRT(($R1869-Infrastructure!J$4)^2+($S1869-Infrastructure!K$4)^2)</f>
        <v>26.76153957</v>
      </c>
      <c r="AX1869" s="331">
        <f>SQRT(($R1869-Infrastructure!J$5)^2+($S1869-Infrastructure!K$5)^2)</f>
        <v>24.81632527</v>
      </c>
      <c r="AY1869" s="331">
        <f>SQRT(($R1869-Infrastructure!J$6)^2+($S1869-Infrastructure!K$6)^2)</f>
        <v>16.01030918</v>
      </c>
      <c r="AZ1869" s="331">
        <f>SQRT(($R1869-Infrastructure!J$7)^2+($S1869-Infrastructure!K$7)^2)</f>
        <v>8.188406438</v>
      </c>
      <c r="BA1869" s="331">
        <f>SQRT(($R1869-Infrastructure!J$8)^2+($S1869-Infrastructure!K$8)^2)</f>
        <v>9.183136719</v>
      </c>
      <c r="BB1869" s="331">
        <f>SQRT(($R1869-Infrastructure!J$9)^2+($S1869-Infrastructure!K$9)^2)</f>
        <v>15.78353573</v>
      </c>
      <c r="BC1869" s="331">
        <f>SQRT(($R1869-Infrastructure!J$10)^2+($S1869-Infrastructure!K$10)^2)</f>
        <v>17.30924608</v>
      </c>
      <c r="BD1869" s="331">
        <f>SQRT(($R1869-Infrastructure!J$11)^2+($S1869-Infrastructure!K$11)^2)</f>
        <v>26.68126684</v>
      </c>
      <c r="BE1869" s="333">
        <f>SQRT(($R1869-Infrastructure!J$12)^2+($S1869-Infrastructure!K$12)^2)</f>
        <v>48.08752437</v>
      </c>
      <c r="BF1869" s="330">
        <f t="shared" si="161"/>
        <v>8.188406438</v>
      </c>
      <c r="BG1869" s="333">
        <f t="shared" si="162"/>
        <v>48.08752437</v>
      </c>
      <c r="BH1869" s="1119"/>
      <c r="BI1869" s="319" t="str">
        <f t="shared" ref="BI1869:BR1869" si="589">IF(ISNUMBER(FIND(BI$3, $CO1869)), "Y", "")</f>
        <v>Y</v>
      </c>
      <c r="BJ1869" s="319" t="str">
        <f t="shared" si="589"/>
        <v>Y</v>
      </c>
      <c r="BK1869" s="319" t="str">
        <f t="shared" si="589"/>
        <v>Y</v>
      </c>
      <c r="BL1869" s="319" t="str">
        <f t="shared" si="589"/>
        <v>Y</v>
      </c>
      <c r="BM1869" s="319" t="str">
        <f t="shared" si="589"/>
        <v>Y</v>
      </c>
      <c r="BN1869" s="319" t="str">
        <f t="shared" si="589"/>
        <v>Y</v>
      </c>
      <c r="BO1869" s="319" t="str">
        <f t="shared" si="589"/>
        <v>Y</v>
      </c>
      <c r="BP1869" s="319" t="str">
        <f t="shared" si="589"/>
        <v/>
      </c>
      <c r="BQ1869" s="319" t="str">
        <f t="shared" si="589"/>
        <v>Y</v>
      </c>
      <c r="BR1869" s="319" t="str">
        <f t="shared" si="589"/>
        <v/>
      </c>
      <c r="BS1869" s="330">
        <f t="shared" si="185"/>
        <v>8.188406438</v>
      </c>
      <c r="BT1869" s="331">
        <f t="shared" si="170"/>
        <v>32.68103426</v>
      </c>
      <c r="BU1869" s="920">
        <v>0.48270833333333335</v>
      </c>
      <c r="BV1869" s="903">
        <f t="shared" si="186"/>
        <v>0.0005902777778</v>
      </c>
      <c r="BW1869" s="908">
        <v>18.0</v>
      </c>
      <c r="BX1869" s="908">
        <v>21.4</v>
      </c>
      <c r="BY1869" s="331">
        <f t="shared" si="201"/>
        <v>15.30261416</v>
      </c>
      <c r="BZ1869" s="331"/>
      <c r="CA1869" s="462" t="str">
        <f t="shared" ref="CA1869:CJ1869" si="590">IF(ISNUMBER(FIND(BI$3, $CP1869)), "Y", "")</f>
        <v>Y</v>
      </c>
      <c r="CB1869" s="319" t="str">
        <f t="shared" si="590"/>
        <v>Y</v>
      </c>
      <c r="CC1869" s="319" t="str">
        <f t="shared" si="590"/>
        <v>Y</v>
      </c>
      <c r="CD1869" s="319" t="str">
        <f t="shared" si="590"/>
        <v>Y</v>
      </c>
      <c r="CE1869" s="319" t="str">
        <f t="shared" si="590"/>
        <v>Y</v>
      </c>
      <c r="CF1869" s="319" t="str">
        <f t="shared" si="590"/>
        <v>Y</v>
      </c>
      <c r="CG1869" s="319" t="str">
        <f t="shared" si="590"/>
        <v>Y</v>
      </c>
      <c r="CH1869" s="319" t="str">
        <f t="shared" si="590"/>
        <v/>
      </c>
      <c r="CI1869" s="319" t="str">
        <f t="shared" si="590"/>
        <v>Y</v>
      </c>
      <c r="CJ1869" s="319" t="str">
        <f t="shared" si="590"/>
        <v>Y</v>
      </c>
      <c r="CK1869" s="342">
        <f t="shared" si="182"/>
        <v>8.188406438</v>
      </c>
      <c r="CL1869" s="333">
        <f t="shared" si="183"/>
        <v>48.08752437</v>
      </c>
      <c r="CM1869" s="1079" t="s">
        <v>2794</v>
      </c>
      <c r="CN1869" s="1005" t="s">
        <v>2781</v>
      </c>
      <c r="CO1869" s="1005" t="s">
        <v>2572</v>
      </c>
      <c r="CP1869" s="1005" t="s">
        <v>2400</v>
      </c>
    </row>
    <row r="1870">
      <c r="A1870" s="266"/>
      <c r="B1870" s="1113" t="s">
        <v>1649</v>
      </c>
      <c r="C1870" s="1107">
        <v>45489.0</v>
      </c>
      <c r="D1870" s="103"/>
      <c r="E1870" s="1108">
        <v>10.0</v>
      </c>
      <c r="F1870" s="112" t="s">
        <v>2795</v>
      </c>
      <c r="G1870" s="1110">
        <v>0.48454861111111114</v>
      </c>
      <c r="H1870" s="1110">
        <v>0.48489583333333336</v>
      </c>
      <c r="I1870" s="1110"/>
      <c r="J1870" s="1111"/>
      <c r="K1870" s="1111">
        <v>0.4863425925925926</v>
      </c>
      <c r="L1870" s="1112">
        <v>0.0014467592592592592</v>
      </c>
      <c r="M1870" s="1113" t="s">
        <v>358</v>
      </c>
      <c r="N1870" s="110" t="s">
        <v>187</v>
      </c>
      <c r="O1870" s="1115" t="s">
        <v>202</v>
      </c>
      <c r="P1870" s="1115" t="s">
        <v>256</v>
      </c>
      <c r="Q1870" s="1116"/>
      <c r="R1870" s="120">
        <v>24.4</v>
      </c>
      <c r="S1870" s="1113">
        <v>7.5</v>
      </c>
      <c r="T1870" s="110">
        <v>0.6</v>
      </c>
      <c r="U1870" s="1108">
        <v>0.5</v>
      </c>
      <c r="V1870" s="1108"/>
      <c r="W1870" s="1108"/>
      <c r="X1870" s="1108"/>
      <c r="Y1870" s="1108"/>
      <c r="Z1870" s="1114" t="s">
        <v>339</v>
      </c>
      <c r="AA1870" s="1114"/>
      <c r="AB1870" s="1114" t="s">
        <v>326</v>
      </c>
      <c r="AC1870" s="1117">
        <v>1.0</v>
      </c>
      <c r="AD1870" s="1115"/>
      <c r="AE1870" s="1115"/>
      <c r="AF1870" s="1115"/>
      <c r="AG1870" s="1115"/>
      <c r="AH1870" s="1115"/>
      <c r="AI1870" s="1115"/>
      <c r="AJ1870" s="1117"/>
      <c r="AK1870" s="1118"/>
      <c r="AL1870" s="1115"/>
      <c r="AM1870" s="1115"/>
      <c r="AN1870" s="1115"/>
      <c r="AO1870" s="1115"/>
      <c r="AP1870" s="1115"/>
      <c r="AQ1870" s="1115"/>
      <c r="AR1870" s="1115"/>
      <c r="AS1870" s="1117"/>
      <c r="AT1870" s="1196" t="str">
        <f t="shared" si="428"/>
        <v>0-1</v>
      </c>
      <c r="AU1870" s="1193"/>
      <c r="AV1870" s="330">
        <f>SQRT(($R1870-Infrastructure!J$3)^2+($S1870-Infrastructure!K$3)^2)</f>
        <v>32.68103426</v>
      </c>
      <c r="AW1870" s="331">
        <f>SQRT(($R1870-Infrastructure!J$4)^2+($S1870-Infrastructure!K$4)^2)</f>
        <v>26.76153957</v>
      </c>
      <c r="AX1870" s="331">
        <f>SQRT(($R1870-Infrastructure!J$5)^2+($S1870-Infrastructure!K$5)^2)</f>
        <v>24.81632527</v>
      </c>
      <c r="AY1870" s="331">
        <f>SQRT(($R1870-Infrastructure!J$6)^2+($S1870-Infrastructure!K$6)^2)</f>
        <v>16.01030918</v>
      </c>
      <c r="AZ1870" s="331">
        <f>SQRT(($R1870-Infrastructure!J$7)^2+($S1870-Infrastructure!K$7)^2)</f>
        <v>8.188406438</v>
      </c>
      <c r="BA1870" s="331">
        <f>SQRT(($R1870-Infrastructure!J$8)^2+($S1870-Infrastructure!K$8)^2)</f>
        <v>9.183136719</v>
      </c>
      <c r="BB1870" s="331">
        <f>SQRT(($R1870-Infrastructure!J$9)^2+($S1870-Infrastructure!K$9)^2)</f>
        <v>15.78353573</v>
      </c>
      <c r="BC1870" s="331">
        <f>SQRT(($R1870-Infrastructure!J$10)^2+($S1870-Infrastructure!K$10)^2)</f>
        <v>17.30924608</v>
      </c>
      <c r="BD1870" s="331">
        <f>SQRT(($R1870-Infrastructure!J$11)^2+($S1870-Infrastructure!K$11)^2)</f>
        <v>26.68126684</v>
      </c>
      <c r="BE1870" s="333">
        <f>SQRT(($R1870-Infrastructure!J$12)^2+($S1870-Infrastructure!K$12)^2)</f>
        <v>48.08752437</v>
      </c>
      <c r="BF1870" s="330">
        <f t="shared" si="161"/>
        <v>8.188406438</v>
      </c>
      <c r="BG1870" s="333">
        <f t="shared" si="162"/>
        <v>48.08752437</v>
      </c>
      <c r="BH1870" s="1119"/>
      <c r="BI1870" s="319" t="str">
        <f t="shared" ref="BI1870:BR1870" si="591">IF(ISNUMBER(FIND(BI$3, $CO1870)), "Y", "")</f>
        <v/>
      </c>
      <c r="BJ1870" s="319" t="str">
        <f t="shared" si="591"/>
        <v/>
      </c>
      <c r="BK1870" s="319" t="str">
        <f t="shared" si="591"/>
        <v>Y</v>
      </c>
      <c r="BL1870" s="319" t="str">
        <f t="shared" si="591"/>
        <v/>
      </c>
      <c r="BM1870" s="319" t="str">
        <f t="shared" si="591"/>
        <v>Y</v>
      </c>
      <c r="BN1870" s="319" t="str">
        <f t="shared" si="591"/>
        <v>Y</v>
      </c>
      <c r="BO1870" s="319" t="str">
        <f t="shared" si="591"/>
        <v>Y</v>
      </c>
      <c r="BP1870" s="319" t="str">
        <f t="shared" si="591"/>
        <v/>
      </c>
      <c r="BQ1870" s="319" t="str">
        <f t="shared" si="591"/>
        <v>Y</v>
      </c>
      <c r="BR1870" s="319" t="str">
        <f t="shared" si="591"/>
        <v/>
      </c>
      <c r="BS1870" s="330">
        <f t="shared" si="185"/>
        <v>8.188406438</v>
      </c>
      <c r="BT1870" s="331">
        <f t="shared" si="170"/>
        <v>26.68126684</v>
      </c>
      <c r="BU1870" s="920">
        <v>0.4851736111111111</v>
      </c>
      <c r="BV1870" s="903">
        <f t="shared" si="186"/>
        <v>0.000625</v>
      </c>
      <c r="BW1870" s="908">
        <v>18.5</v>
      </c>
      <c r="BX1870" s="908">
        <v>22.2</v>
      </c>
      <c r="BY1870" s="331">
        <f t="shared" si="201"/>
        <v>15.83982323</v>
      </c>
      <c r="BZ1870" s="331"/>
      <c r="CA1870" s="462" t="str">
        <f t="shared" ref="CA1870:CJ1870" si="592">IF(ISNUMBER(FIND(BI$3, $CP1870)), "Y", "")</f>
        <v>Y</v>
      </c>
      <c r="CB1870" s="319" t="str">
        <f t="shared" si="592"/>
        <v/>
      </c>
      <c r="CC1870" s="319" t="str">
        <f t="shared" si="592"/>
        <v>Y</v>
      </c>
      <c r="CD1870" s="319" t="str">
        <f t="shared" si="592"/>
        <v>Y</v>
      </c>
      <c r="CE1870" s="319" t="str">
        <f t="shared" si="592"/>
        <v>Y</v>
      </c>
      <c r="CF1870" s="319" t="str">
        <f t="shared" si="592"/>
        <v>Y</v>
      </c>
      <c r="CG1870" s="319" t="str">
        <f t="shared" si="592"/>
        <v>Y</v>
      </c>
      <c r="CH1870" s="319" t="str">
        <f t="shared" si="592"/>
        <v/>
      </c>
      <c r="CI1870" s="319" t="str">
        <f t="shared" si="592"/>
        <v>Y</v>
      </c>
      <c r="CJ1870" s="319" t="str">
        <f t="shared" si="592"/>
        <v>Y</v>
      </c>
      <c r="CK1870" s="342">
        <f t="shared" si="182"/>
        <v>8.188406438</v>
      </c>
      <c r="CL1870" s="333">
        <f t="shared" si="183"/>
        <v>48.08752437</v>
      </c>
      <c r="CM1870" s="1079" t="s">
        <v>2623</v>
      </c>
      <c r="CN1870" s="1005" t="s">
        <v>2781</v>
      </c>
      <c r="CO1870" s="1005" t="s">
        <v>2783</v>
      </c>
      <c r="CP1870" s="1005" t="s">
        <v>2460</v>
      </c>
    </row>
    <row r="1871">
      <c r="A1871" s="266"/>
      <c r="B1871" s="1113" t="s">
        <v>1649</v>
      </c>
      <c r="C1871" s="1107">
        <v>45489.0</v>
      </c>
      <c r="D1871" s="103"/>
      <c r="E1871" s="1108">
        <v>11.0</v>
      </c>
      <c r="F1871" s="112" t="s">
        <v>2796</v>
      </c>
      <c r="G1871" s="1110">
        <v>0.4887152777777778</v>
      </c>
      <c r="H1871" s="1110">
        <v>0.48912037037037037</v>
      </c>
      <c r="I1871" s="1110"/>
      <c r="J1871" s="1111"/>
      <c r="K1871" s="1111">
        <v>0.490625</v>
      </c>
      <c r="L1871" s="1112">
        <v>0.0015046296296296296</v>
      </c>
      <c r="M1871" s="1113" t="s">
        <v>358</v>
      </c>
      <c r="N1871" s="110" t="s">
        <v>187</v>
      </c>
      <c r="O1871" s="1115" t="s">
        <v>206</v>
      </c>
      <c r="P1871" s="1115" t="s">
        <v>218</v>
      </c>
      <c r="Q1871" s="1116"/>
      <c r="R1871" s="120">
        <v>21.5</v>
      </c>
      <c r="S1871" s="1113">
        <v>8.7</v>
      </c>
      <c r="T1871" s="110">
        <v>2.4</v>
      </c>
      <c r="U1871" s="1108">
        <v>8.0</v>
      </c>
      <c r="V1871" s="1108"/>
      <c r="W1871" s="1108"/>
      <c r="X1871" s="1108"/>
      <c r="Y1871" s="1108"/>
      <c r="Z1871" s="1114" t="s">
        <v>347</v>
      </c>
      <c r="AA1871" s="1114"/>
      <c r="AB1871" s="1114" t="s">
        <v>384</v>
      </c>
      <c r="AC1871" s="1117">
        <v>6.0</v>
      </c>
      <c r="AD1871" s="1115"/>
      <c r="AE1871" s="1115"/>
      <c r="AF1871" s="1115"/>
      <c r="AG1871" s="1115"/>
      <c r="AH1871" s="1115"/>
      <c r="AI1871" s="1115"/>
      <c r="AJ1871" s="1117"/>
      <c r="AK1871" s="1118"/>
      <c r="AL1871" s="1115"/>
      <c r="AM1871" s="1115"/>
      <c r="AN1871" s="1115"/>
      <c r="AO1871" s="1115"/>
      <c r="AP1871" s="1115"/>
      <c r="AQ1871" s="1115"/>
      <c r="AR1871" s="1115"/>
      <c r="AS1871" s="1117"/>
      <c r="AT1871" s="1196" t="str">
        <f t="shared" si="428"/>
        <v>1-10</v>
      </c>
      <c r="AU1871" s="1193"/>
      <c r="AV1871" s="330">
        <f>SQRT(($R1871-Infrastructure!J$3)^2+($S1871-Infrastructure!K$3)^2)</f>
        <v>29.72002692</v>
      </c>
      <c r="AW1871" s="331">
        <f>SQRT(($R1871-Infrastructure!J$4)^2+($S1871-Infrastructure!K$4)^2)</f>
        <v>23.62308193</v>
      </c>
      <c r="AX1871" s="331">
        <f>SQRT(($R1871-Infrastructure!J$5)^2+($S1871-Infrastructure!K$5)^2)</f>
        <v>22.09524836</v>
      </c>
      <c r="AY1871" s="331">
        <f>SQRT(($R1871-Infrastructure!J$6)^2+($S1871-Infrastructure!K$6)^2)</f>
        <v>14.16050847</v>
      </c>
      <c r="AZ1871" s="331">
        <f>SQRT(($R1871-Infrastructure!J$7)^2+($S1871-Infrastructure!K$7)^2)</f>
        <v>8.459314393</v>
      </c>
      <c r="BA1871" s="331">
        <f>SQRT(($R1871-Infrastructure!J$8)^2+($S1871-Infrastructure!K$8)^2)</f>
        <v>12.02164714</v>
      </c>
      <c r="BB1871" s="331">
        <f>SQRT(($R1871-Infrastructure!J$9)^2+($S1871-Infrastructure!K$9)^2)</f>
        <v>18.84701568</v>
      </c>
      <c r="BC1871" s="331">
        <f>SQRT(($R1871-Infrastructure!J$10)^2+($S1871-Infrastructure!K$10)^2)</f>
        <v>19.54328529</v>
      </c>
      <c r="BD1871" s="331">
        <f>SQRT(($R1871-Infrastructure!J$11)^2+($S1871-Infrastructure!K$11)^2)</f>
        <v>27.60036232</v>
      </c>
      <c r="BE1871" s="333">
        <f>SQRT(($R1871-Infrastructure!J$12)^2+($S1871-Infrastructure!K$12)^2)</f>
        <v>46.8</v>
      </c>
      <c r="BF1871" s="330">
        <f t="shared" si="161"/>
        <v>8.459314393</v>
      </c>
      <c r="BG1871" s="333">
        <f t="shared" si="162"/>
        <v>46.8</v>
      </c>
      <c r="BH1871" s="1119"/>
      <c r="BI1871" s="319" t="str">
        <f t="shared" ref="BI1871:BR1871" si="593">IF(ISNUMBER(FIND(BI$3, $CO1871)), "Y", "")</f>
        <v>Y</v>
      </c>
      <c r="BJ1871" s="319" t="str">
        <f t="shared" si="593"/>
        <v>Y</v>
      </c>
      <c r="BK1871" s="319" t="str">
        <f t="shared" si="593"/>
        <v>Y</v>
      </c>
      <c r="BL1871" s="319" t="str">
        <f t="shared" si="593"/>
        <v>Y</v>
      </c>
      <c r="BM1871" s="319" t="str">
        <f t="shared" si="593"/>
        <v>Y</v>
      </c>
      <c r="BN1871" s="319" t="str">
        <f t="shared" si="593"/>
        <v>Y</v>
      </c>
      <c r="BO1871" s="319" t="str">
        <f t="shared" si="593"/>
        <v>Y</v>
      </c>
      <c r="BP1871" s="319" t="str">
        <f t="shared" si="593"/>
        <v/>
      </c>
      <c r="BQ1871" s="319" t="str">
        <f t="shared" si="593"/>
        <v>Y</v>
      </c>
      <c r="BR1871" s="319" t="str">
        <f t="shared" si="593"/>
        <v>Y</v>
      </c>
      <c r="BS1871" s="330">
        <f t="shared" si="185"/>
        <v>8.459314393</v>
      </c>
      <c r="BT1871" s="331">
        <f t="shared" si="170"/>
        <v>46.8</v>
      </c>
      <c r="BU1871" s="920">
        <v>0.4893287037037037</v>
      </c>
      <c r="BV1871" s="903">
        <f t="shared" si="186"/>
        <v>0.0006134259259</v>
      </c>
      <c r="BW1871" s="908">
        <v>6.4</v>
      </c>
      <c r="BX1871" s="908">
        <v>23.5</v>
      </c>
      <c r="BY1871" s="331">
        <f t="shared" si="201"/>
        <v>21.14355694</v>
      </c>
      <c r="BZ1871" s="331"/>
      <c r="CA1871" s="462" t="str">
        <f t="shared" ref="CA1871:CJ1871" si="594">IF(ISNUMBER(FIND(BI$3, $CP1871)), "Y", "")</f>
        <v>Y</v>
      </c>
      <c r="CB1871" s="319" t="str">
        <f t="shared" si="594"/>
        <v>Y</v>
      </c>
      <c r="CC1871" s="319" t="str">
        <f t="shared" si="594"/>
        <v>Y</v>
      </c>
      <c r="CD1871" s="319" t="str">
        <f t="shared" si="594"/>
        <v>Y</v>
      </c>
      <c r="CE1871" s="319" t="str">
        <f t="shared" si="594"/>
        <v>Y</v>
      </c>
      <c r="CF1871" s="319" t="str">
        <f t="shared" si="594"/>
        <v>Y</v>
      </c>
      <c r="CG1871" s="319" t="str">
        <f t="shared" si="594"/>
        <v>Y</v>
      </c>
      <c r="CH1871" s="319" t="str">
        <f t="shared" si="594"/>
        <v/>
      </c>
      <c r="CI1871" s="319" t="str">
        <f t="shared" si="594"/>
        <v>Y</v>
      </c>
      <c r="CJ1871" s="319" t="str">
        <f t="shared" si="594"/>
        <v>Y</v>
      </c>
      <c r="CK1871" s="342">
        <f t="shared" si="182"/>
        <v>8.459314393</v>
      </c>
      <c r="CL1871" s="333">
        <f t="shared" si="183"/>
        <v>46.8</v>
      </c>
      <c r="CM1871" s="1079" t="s">
        <v>2794</v>
      </c>
      <c r="CN1871" s="1005" t="s">
        <v>2781</v>
      </c>
      <c r="CO1871" s="1005" t="s">
        <v>2400</v>
      </c>
      <c r="CP1871" s="1005" t="s">
        <v>2400</v>
      </c>
    </row>
    <row r="1872">
      <c r="A1872" s="266"/>
      <c r="B1872" s="1113" t="s">
        <v>1649</v>
      </c>
      <c r="C1872" s="1107">
        <v>45489.0</v>
      </c>
      <c r="D1872" s="103"/>
      <c r="E1872" s="1108">
        <v>12.0</v>
      </c>
      <c r="F1872" s="112" t="s">
        <v>2797</v>
      </c>
      <c r="G1872" s="1110">
        <v>0.49137731481481484</v>
      </c>
      <c r="H1872" s="1110">
        <v>0.49166666666666664</v>
      </c>
      <c r="I1872" s="1110"/>
      <c r="J1872" s="1111"/>
      <c r="K1872" s="1111">
        <v>0.4930555555555556</v>
      </c>
      <c r="L1872" s="1112">
        <v>0.001388888888888889</v>
      </c>
      <c r="M1872" s="1113" t="s">
        <v>358</v>
      </c>
      <c r="N1872" s="110" t="s">
        <v>187</v>
      </c>
      <c r="O1872" s="1115" t="s">
        <v>206</v>
      </c>
      <c r="P1872" s="1115" t="s">
        <v>218</v>
      </c>
      <c r="Q1872" s="1116"/>
      <c r="R1872" s="120">
        <v>21.5</v>
      </c>
      <c r="S1872" s="1113">
        <v>8.7</v>
      </c>
      <c r="T1872" s="110">
        <v>2.4</v>
      </c>
      <c r="U1872" s="1108">
        <v>5.0</v>
      </c>
      <c r="V1872" s="1108"/>
      <c r="W1872" s="1108"/>
      <c r="X1872" s="1108"/>
      <c r="Y1872" s="1108"/>
      <c r="Z1872" s="1114" t="s">
        <v>347</v>
      </c>
      <c r="AA1872" s="1114"/>
      <c r="AB1872" s="1114" t="s">
        <v>384</v>
      </c>
      <c r="AC1872" s="1117">
        <v>6.0</v>
      </c>
      <c r="AD1872" s="1115"/>
      <c r="AE1872" s="1115"/>
      <c r="AF1872" s="1115"/>
      <c r="AG1872" s="1115"/>
      <c r="AH1872" s="1115"/>
      <c r="AI1872" s="1115"/>
      <c r="AJ1872" s="1117"/>
      <c r="AK1872" s="1118"/>
      <c r="AL1872" s="1115"/>
      <c r="AM1872" s="1115"/>
      <c r="AN1872" s="1115"/>
      <c r="AO1872" s="1115"/>
      <c r="AP1872" s="1115"/>
      <c r="AQ1872" s="1115"/>
      <c r="AR1872" s="1115"/>
      <c r="AS1872" s="1117"/>
      <c r="AT1872" s="1196" t="str">
        <f t="shared" si="428"/>
        <v>1-10</v>
      </c>
      <c r="AU1872" s="1193"/>
      <c r="AV1872" s="330">
        <f>SQRT(($R1872-Infrastructure!J$3)^2+($S1872-Infrastructure!K$3)^2)</f>
        <v>29.72002692</v>
      </c>
      <c r="AW1872" s="331">
        <f>SQRT(($R1872-Infrastructure!J$4)^2+($S1872-Infrastructure!K$4)^2)</f>
        <v>23.62308193</v>
      </c>
      <c r="AX1872" s="331">
        <f>SQRT(($R1872-Infrastructure!J$5)^2+($S1872-Infrastructure!K$5)^2)</f>
        <v>22.09524836</v>
      </c>
      <c r="AY1872" s="331">
        <f>SQRT(($R1872-Infrastructure!J$6)^2+($S1872-Infrastructure!K$6)^2)</f>
        <v>14.16050847</v>
      </c>
      <c r="AZ1872" s="331">
        <f>SQRT(($R1872-Infrastructure!J$7)^2+($S1872-Infrastructure!K$7)^2)</f>
        <v>8.459314393</v>
      </c>
      <c r="BA1872" s="331">
        <f>SQRT(($R1872-Infrastructure!J$8)^2+($S1872-Infrastructure!K$8)^2)</f>
        <v>12.02164714</v>
      </c>
      <c r="BB1872" s="331">
        <f>SQRT(($R1872-Infrastructure!J$9)^2+($S1872-Infrastructure!K$9)^2)</f>
        <v>18.84701568</v>
      </c>
      <c r="BC1872" s="331">
        <f>SQRT(($R1872-Infrastructure!J$10)^2+($S1872-Infrastructure!K$10)^2)</f>
        <v>19.54328529</v>
      </c>
      <c r="BD1872" s="331">
        <f>SQRT(($R1872-Infrastructure!J$11)^2+($S1872-Infrastructure!K$11)^2)</f>
        <v>27.60036232</v>
      </c>
      <c r="BE1872" s="333">
        <f>SQRT(($R1872-Infrastructure!J$12)^2+($S1872-Infrastructure!K$12)^2)</f>
        <v>46.8</v>
      </c>
      <c r="BF1872" s="330">
        <f t="shared" si="161"/>
        <v>8.459314393</v>
      </c>
      <c r="BG1872" s="333">
        <f t="shared" si="162"/>
        <v>46.8</v>
      </c>
      <c r="BH1872" s="1119"/>
      <c r="BI1872" s="319" t="str">
        <f t="shared" ref="BI1872:BR1872" si="595">IF(ISNUMBER(FIND(BI$3, $CO1872)), "Y", "")</f>
        <v/>
      </c>
      <c r="BJ1872" s="319" t="str">
        <f t="shared" si="595"/>
        <v/>
      </c>
      <c r="BK1872" s="319" t="str">
        <f t="shared" si="595"/>
        <v>Y</v>
      </c>
      <c r="BL1872" s="319" t="str">
        <f t="shared" si="595"/>
        <v>Y</v>
      </c>
      <c r="BM1872" s="319" t="str">
        <f t="shared" si="595"/>
        <v>Y</v>
      </c>
      <c r="BN1872" s="319" t="str">
        <f t="shared" si="595"/>
        <v>Y</v>
      </c>
      <c r="BO1872" s="319" t="str">
        <f t="shared" si="595"/>
        <v>Y</v>
      </c>
      <c r="BP1872" s="319" t="str">
        <f t="shared" si="595"/>
        <v/>
      </c>
      <c r="BQ1872" s="319" t="str">
        <f t="shared" si="595"/>
        <v/>
      </c>
      <c r="BR1872" s="319" t="str">
        <f t="shared" si="595"/>
        <v/>
      </c>
      <c r="BS1872" s="330">
        <f t="shared" si="185"/>
        <v>8.459314393</v>
      </c>
      <c r="BT1872" s="331">
        <f t="shared" si="170"/>
        <v>22.09524836</v>
      </c>
      <c r="BU1872" s="920">
        <v>0.4921064814814815</v>
      </c>
      <c r="BV1872" s="903">
        <f t="shared" si="186"/>
        <v>0.0007291666667</v>
      </c>
      <c r="BW1872" s="908">
        <v>5.7</v>
      </c>
      <c r="BX1872" s="908">
        <v>25.0</v>
      </c>
      <c r="BY1872" s="331">
        <f t="shared" si="201"/>
        <v>22.70088104</v>
      </c>
      <c r="BZ1872" s="331"/>
      <c r="CA1872" s="462" t="str">
        <f t="shared" ref="CA1872:CJ1872" si="596">IF(ISNUMBER(FIND(BI$3, $CP1872)), "Y", "")</f>
        <v>Y</v>
      </c>
      <c r="CB1872" s="319" t="str">
        <f t="shared" si="596"/>
        <v>Y</v>
      </c>
      <c r="CC1872" s="319" t="str">
        <f t="shared" si="596"/>
        <v>Y</v>
      </c>
      <c r="CD1872" s="319" t="str">
        <f t="shared" si="596"/>
        <v>Y</v>
      </c>
      <c r="CE1872" s="319" t="str">
        <f t="shared" si="596"/>
        <v>Y</v>
      </c>
      <c r="CF1872" s="319" t="str">
        <f t="shared" si="596"/>
        <v>Y</v>
      </c>
      <c r="CG1872" s="319" t="str">
        <f t="shared" si="596"/>
        <v>Y</v>
      </c>
      <c r="CH1872" s="319" t="str">
        <f t="shared" si="596"/>
        <v/>
      </c>
      <c r="CI1872" s="319" t="str">
        <f t="shared" si="596"/>
        <v>Y</v>
      </c>
      <c r="CJ1872" s="319" t="str">
        <f t="shared" si="596"/>
        <v>Y</v>
      </c>
      <c r="CK1872" s="342">
        <f t="shared" si="182"/>
        <v>8.459314393</v>
      </c>
      <c r="CL1872" s="333">
        <f t="shared" si="183"/>
        <v>46.8</v>
      </c>
      <c r="CM1872" s="1079" t="s">
        <v>2798</v>
      </c>
      <c r="CN1872" s="1005" t="s">
        <v>2781</v>
      </c>
      <c r="CO1872" s="1005" t="s">
        <v>2619</v>
      </c>
      <c r="CP1872" s="1005" t="s">
        <v>2400</v>
      </c>
    </row>
    <row r="1873">
      <c r="A1873" s="266"/>
      <c r="B1873" s="1113" t="s">
        <v>1649</v>
      </c>
      <c r="C1873" s="1107">
        <v>45489.0</v>
      </c>
      <c r="D1873" s="103"/>
      <c r="E1873" s="1108">
        <v>13.0</v>
      </c>
      <c r="F1873" s="112" t="s">
        <v>2799</v>
      </c>
      <c r="G1873" s="1110">
        <v>0.49375</v>
      </c>
      <c r="H1873" s="1110">
        <v>0.49525462962962963</v>
      </c>
      <c r="I1873" s="1110"/>
      <c r="J1873" s="1111"/>
      <c r="K1873" s="1111">
        <v>0.4967013888888889</v>
      </c>
      <c r="L1873" s="1112">
        <v>0.0014467592592592592</v>
      </c>
      <c r="M1873" s="1113" t="s">
        <v>358</v>
      </c>
      <c r="N1873" s="110" t="s">
        <v>187</v>
      </c>
      <c r="O1873" s="1115" t="s">
        <v>199</v>
      </c>
      <c r="P1873" s="1115" t="s">
        <v>272</v>
      </c>
      <c r="Q1873" s="1116"/>
      <c r="R1873" s="120">
        <v>16.1</v>
      </c>
      <c r="S1873" s="1113">
        <v>9.6</v>
      </c>
      <c r="T1873" s="110">
        <v>0.0</v>
      </c>
      <c r="U1873" s="1108">
        <v>6.0</v>
      </c>
      <c r="V1873" s="1108"/>
      <c r="W1873" s="1108"/>
      <c r="X1873" s="1108"/>
      <c r="Y1873" s="1108"/>
      <c r="Z1873" s="1114" t="s">
        <v>351</v>
      </c>
      <c r="AA1873" s="1114"/>
      <c r="AB1873" s="1114" t="s">
        <v>380</v>
      </c>
      <c r="AC1873" s="1117">
        <v>4.0</v>
      </c>
      <c r="AD1873" s="1115"/>
      <c r="AE1873" s="1115"/>
      <c r="AF1873" s="1115"/>
      <c r="AG1873" s="1115"/>
      <c r="AH1873" s="1115"/>
      <c r="AI1873" s="1115"/>
      <c r="AJ1873" s="1117"/>
      <c r="AK1873" s="1118"/>
      <c r="AL1873" s="1115"/>
      <c r="AM1873" s="1115"/>
      <c r="AN1873" s="1115"/>
      <c r="AO1873" s="1115"/>
      <c r="AP1873" s="1115"/>
      <c r="AQ1873" s="1115"/>
      <c r="AR1873" s="1115"/>
      <c r="AS1873" s="1117"/>
      <c r="AT1873" s="1196" t="str">
        <f t="shared" si="428"/>
        <v>1-10</v>
      </c>
      <c r="AU1873" s="1193"/>
      <c r="AV1873" s="330">
        <f>SQRT(($R1873-Infrastructure!J$3)^2+($S1873-Infrastructure!K$3)^2)</f>
        <v>25.32686321</v>
      </c>
      <c r="AW1873" s="331">
        <f>SQRT(($R1873-Infrastructure!J$4)^2+($S1873-Infrastructure!K$4)^2)</f>
        <v>18.33575742</v>
      </c>
      <c r="AX1873" s="331">
        <f>SQRT(($R1873-Infrastructure!J$5)^2+($S1873-Infrastructure!K$5)^2)</f>
        <v>17.00617535</v>
      </c>
      <c r="AY1873" s="331">
        <f>SQRT(($R1873-Infrastructure!J$6)^2+($S1873-Infrastructure!K$6)^2)</f>
        <v>11.06752005</v>
      </c>
      <c r="AZ1873" s="331">
        <f>SQRT(($R1873-Infrastructure!J$7)^2+($S1873-Infrastructure!K$7)^2)</f>
        <v>10.28834292</v>
      </c>
      <c r="BA1873" s="331">
        <f>SQRT(($R1873-Infrastructure!J$8)^2+($S1873-Infrastructure!K$8)^2)</f>
        <v>16.80743883</v>
      </c>
      <c r="BB1873" s="331">
        <f>SQRT(($R1873-Infrastructure!J$9)^2+($S1873-Infrastructure!K$9)^2)</f>
        <v>24.31995066</v>
      </c>
      <c r="BC1873" s="331">
        <f>SQRT(($R1873-Infrastructure!J$10)^2+($S1873-Infrastructure!K$10)^2)</f>
        <v>24.50244886</v>
      </c>
      <c r="BD1873" s="331">
        <f>SQRT(($R1873-Infrastructure!J$11)^2+($S1873-Infrastructure!K$11)^2)</f>
        <v>30.93816413</v>
      </c>
      <c r="BE1873" s="333">
        <f>SQRT(($R1873-Infrastructure!J$12)^2+($S1873-Infrastructure!K$12)^2)</f>
        <v>46.21655548</v>
      </c>
      <c r="BF1873" s="330">
        <f t="shared" si="161"/>
        <v>10.28834292</v>
      </c>
      <c r="BG1873" s="333">
        <f t="shared" si="162"/>
        <v>46.21655548</v>
      </c>
      <c r="BH1873" s="1119"/>
      <c r="BI1873" s="319" t="str">
        <f t="shared" ref="BI1873:BR1873" si="597">IF(ISNUMBER(FIND(BI$3, $CO1873)), "Y", "")</f>
        <v/>
      </c>
      <c r="BJ1873" s="319" t="str">
        <f t="shared" si="597"/>
        <v/>
      </c>
      <c r="BK1873" s="319" t="str">
        <f t="shared" si="597"/>
        <v>Y</v>
      </c>
      <c r="BL1873" s="319" t="str">
        <f t="shared" si="597"/>
        <v>Y</v>
      </c>
      <c r="BM1873" s="319" t="str">
        <f t="shared" si="597"/>
        <v>Y</v>
      </c>
      <c r="BN1873" s="319" t="str">
        <f t="shared" si="597"/>
        <v>Y</v>
      </c>
      <c r="BO1873" s="319" t="str">
        <f t="shared" si="597"/>
        <v/>
      </c>
      <c r="BP1873" s="319" t="str">
        <f t="shared" si="597"/>
        <v/>
      </c>
      <c r="BQ1873" s="319" t="str">
        <f t="shared" si="597"/>
        <v/>
      </c>
      <c r="BR1873" s="319" t="str">
        <f t="shared" si="597"/>
        <v/>
      </c>
      <c r="BS1873" s="330">
        <f t="shared" si="185"/>
        <v>10.28834292</v>
      </c>
      <c r="BT1873" s="331">
        <f t="shared" si="170"/>
        <v>17.00617535</v>
      </c>
      <c r="BU1873" s="920">
        <v>0.49439814814814814</v>
      </c>
      <c r="BV1873" s="903">
        <f t="shared" si="186"/>
        <v>0.0006481481481</v>
      </c>
      <c r="BW1873" s="908">
        <v>14.7</v>
      </c>
      <c r="BX1873" s="908">
        <v>31.8</v>
      </c>
      <c r="BY1873" s="331">
        <f t="shared" si="201"/>
        <v>22.24410034</v>
      </c>
      <c r="BZ1873" s="331"/>
      <c r="CA1873" s="462" t="str">
        <f t="shared" ref="CA1873:CJ1873" si="598">IF(ISNUMBER(FIND(BI$3, $CP1873)), "Y", "")</f>
        <v>Y</v>
      </c>
      <c r="CB1873" s="319" t="str">
        <f t="shared" si="598"/>
        <v>Y</v>
      </c>
      <c r="CC1873" s="319" t="str">
        <f t="shared" si="598"/>
        <v>Y</v>
      </c>
      <c r="CD1873" s="319" t="str">
        <f t="shared" si="598"/>
        <v>Y</v>
      </c>
      <c r="CE1873" s="319" t="str">
        <f t="shared" si="598"/>
        <v>Y</v>
      </c>
      <c r="CF1873" s="319" t="str">
        <f t="shared" si="598"/>
        <v>Y</v>
      </c>
      <c r="CG1873" s="319" t="str">
        <f t="shared" si="598"/>
        <v>Y</v>
      </c>
      <c r="CH1873" s="319" t="str">
        <f t="shared" si="598"/>
        <v/>
      </c>
      <c r="CI1873" s="319" t="str">
        <f t="shared" si="598"/>
        <v>Y</v>
      </c>
      <c r="CJ1873" s="319" t="str">
        <f t="shared" si="598"/>
        <v/>
      </c>
      <c r="CK1873" s="342">
        <f t="shared" si="182"/>
        <v>10.28834292</v>
      </c>
      <c r="CL1873" s="333">
        <f t="shared" si="183"/>
        <v>30.93816413</v>
      </c>
      <c r="CM1873" s="1079" t="s">
        <v>2798</v>
      </c>
      <c r="CN1873" s="1005" t="s">
        <v>2781</v>
      </c>
      <c r="CO1873" s="1005" t="s">
        <v>2621</v>
      </c>
      <c r="CP1873" s="1005" t="s">
        <v>2572</v>
      </c>
    </row>
    <row r="1874">
      <c r="A1874" s="266"/>
      <c r="B1874" s="1113" t="s">
        <v>1649</v>
      </c>
      <c r="C1874" s="1107">
        <v>45489.0</v>
      </c>
      <c r="D1874" s="103"/>
      <c r="E1874" s="1108">
        <v>14.0</v>
      </c>
      <c r="F1874" s="112" t="s">
        <v>2800</v>
      </c>
      <c r="G1874" s="1110">
        <v>0.49774305555555554</v>
      </c>
      <c r="H1874" s="1110">
        <v>0.4991319444444444</v>
      </c>
      <c r="I1874" s="1110"/>
      <c r="J1874" s="1111"/>
      <c r="K1874" s="1111">
        <v>0.5005208333333333</v>
      </c>
      <c r="L1874" s="1112">
        <v>0.001388888888888889</v>
      </c>
      <c r="M1874" s="1113" t="s">
        <v>358</v>
      </c>
      <c r="N1874" s="110" t="s">
        <v>187</v>
      </c>
      <c r="O1874" s="1115" t="s">
        <v>199</v>
      </c>
      <c r="P1874" s="1115" t="s">
        <v>272</v>
      </c>
      <c r="Q1874" s="1116"/>
      <c r="R1874" s="120">
        <v>16.1</v>
      </c>
      <c r="S1874" s="1113">
        <v>9.6</v>
      </c>
      <c r="T1874" s="110">
        <v>0.0</v>
      </c>
      <c r="U1874" s="1108">
        <v>4.0</v>
      </c>
      <c r="V1874" s="1108"/>
      <c r="W1874" s="1108"/>
      <c r="X1874" s="1108"/>
      <c r="Y1874" s="1108"/>
      <c r="Z1874" s="1114" t="s">
        <v>351</v>
      </c>
      <c r="AA1874" s="1114"/>
      <c r="AB1874" s="1114" t="s">
        <v>380</v>
      </c>
      <c r="AC1874" s="1117">
        <v>4.0</v>
      </c>
      <c r="AD1874" s="1115"/>
      <c r="AE1874" s="1115"/>
      <c r="AF1874" s="1115"/>
      <c r="AG1874" s="1115"/>
      <c r="AH1874" s="1115"/>
      <c r="AI1874" s="1115"/>
      <c r="AJ1874" s="1117"/>
      <c r="AK1874" s="1118"/>
      <c r="AL1874" s="1115"/>
      <c r="AM1874" s="1115"/>
      <c r="AN1874" s="1115"/>
      <c r="AO1874" s="1115"/>
      <c r="AP1874" s="1115"/>
      <c r="AQ1874" s="1115"/>
      <c r="AR1874" s="1115"/>
      <c r="AS1874" s="1117"/>
      <c r="AT1874" s="1196" t="str">
        <f t="shared" si="428"/>
        <v>1-10</v>
      </c>
      <c r="AU1874" s="1193"/>
      <c r="AV1874" s="330">
        <f>SQRT(($R1874-Infrastructure!J$3)^2+($S1874-Infrastructure!K$3)^2)</f>
        <v>25.32686321</v>
      </c>
      <c r="AW1874" s="331">
        <f>SQRT(($R1874-Infrastructure!J$4)^2+($S1874-Infrastructure!K$4)^2)</f>
        <v>18.33575742</v>
      </c>
      <c r="AX1874" s="331">
        <f>SQRT(($R1874-Infrastructure!J$5)^2+($S1874-Infrastructure!K$5)^2)</f>
        <v>17.00617535</v>
      </c>
      <c r="AY1874" s="331">
        <f>SQRT(($R1874-Infrastructure!J$6)^2+($S1874-Infrastructure!K$6)^2)</f>
        <v>11.06752005</v>
      </c>
      <c r="AZ1874" s="331">
        <f>SQRT(($R1874-Infrastructure!J$7)^2+($S1874-Infrastructure!K$7)^2)</f>
        <v>10.28834292</v>
      </c>
      <c r="BA1874" s="331">
        <f>SQRT(($R1874-Infrastructure!J$8)^2+($S1874-Infrastructure!K$8)^2)</f>
        <v>16.80743883</v>
      </c>
      <c r="BB1874" s="331">
        <f>SQRT(($R1874-Infrastructure!J$9)^2+($S1874-Infrastructure!K$9)^2)</f>
        <v>24.31995066</v>
      </c>
      <c r="BC1874" s="331">
        <f>SQRT(($R1874-Infrastructure!J$10)^2+($S1874-Infrastructure!K$10)^2)</f>
        <v>24.50244886</v>
      </c>
      <c r="BD1874" s="331">
        <f>SQRT(($R1874-Infrastructure!J$11)^2+($S1874-Infrastructure!K$11)^2)</f>
        <v>30.93816413</v>
      </c>
      <c r="BE1874" s="333">
        <f>SQRT(($R1874-Infrastructure!J$12)^2+($S1874-Infrastructure!K$12)^2)</f>
        <v>46.21655548</v>
      </c>
      <c r="BF1874" s="330">
        <f t="shared" si="161"/>
        <v>10.28834292</v>
      </c>
      <c r="BG1874" s="333">
        <f t="shared" si="162"/>
        <v>46.21655548</v>
      </c>
      <c r="BH1874" s="1119"/>
      <c r="BI1874" s="319" t="str">
        <f t="shared" ref="BI1874:BR1874" si="599">IF(ISNUMBER(FIND(BI$3, $CO1874)), "Y", "")</f>
        <v/>
      </c>
      <c r="BJ1874" s="319" t="str">
        <f t="shared" si="599"/>
        <v/>
      </c>
      <c r="BK1874" s="319" t="str">
        <f t="shared" si="599"/>
        <v/>
      </c>
      <c r="BL1874" s="319" t="str">
        <f t="shared" si="599"/>
        <v/>
      </c>
      <c r="BM1874" s="319" t="str">
        <f t="shared" si="599"/>
        <v/>
      </c>
      <c r="BN1874" s="319" t="str">
        <f t="shared" si="599"/>
        <v/>
      </c>
      <c r="BO1874" s="319" t="str">
        <f t="shared" si="599"/>
        <v/>
      </c>
      <c r="BP1874" s="319" t="str">
        <f t="shared" si="599"/>
        <v/>
      </c>
      <c r="BQ1874" s="319" t="str">
        <f t="shared" si="599"/>
        <v/>
      </c>
      <c r="BR1874" s="319" t="str">
        <f t="shared" si="599"/>
        <v/>
      </c>
      <c r="BS1874" s="330">
        <f t="shared" si="185"/>
        <v>0</v>
      </c>
      <c r="BT1874" s="331">
        <f t="shared" si="170"/>
        <v>0</v>
      </c>
      <c r="BU1874" s="920"/>
      <c r="BV1874" s="903" t="str">
        <f t="shared" si="186"/>
        <v/>
      </c>
      <c r="BW1874" s="908"/>
      <c r="BX1874" s="908"/>
      <c r="BY1874" s="331" t="b">
        <f t="shared" si="201"/>
        <v>0</v>
      </c>
      <c r="BZ1874" s="331"/>
      <c r="CA1874" s="462" t="str">
        <f t="shared" ref="CA1874:CJ1874" si="600">IF(ISNUMBER(FIND(BI$3, $CP1874)), "Y", "")</f>
        <v/>
      </c>
      <c r="CB1874" s="319" t="str">
        <f t="shared" si="600"/>
        <v>Y</v>
      </c>
      <c r="CC1874" s="319" t="str">
        <f t="shared" si="600"/>
        <v/>
      </c>
      <c r="CD1874" s="319" t="str">
        <f t="shared" si="600"/>
        <v>Y</v>
      </c>
      <c r="CE1874" s="319" t="str">
        <f t="shared" si="600"/>
        <v>Y</v>
      </c>
      <c r="CF1874" s="319" t="str">
        <f t="shared" si="600"/>
        <v>Y</v>
      </c>
      <c r="CG1874" s="319" t="str">
        <f t="shared" si="600"/>
        <v>Y</v>
      </c>
      <c r="CH1874" s="319" t="str">
        <f t="shared" si="600"/>
        <v/>
      </c>
      <c r="CI1874" s="319" t="str">
        <f t="shared" si="600"/>
        <v/>
      </c>
      <c r="CJ1874" s="319" t="str">
        <f t="shared" si="600"/>
        <v/>
      </c>
      <c r="CK1874" s="342">
        <f t="shared" si="182"/>
        <v>10.28834292</v>
      </c>
      <c r="CL1874" s="333">
        <f t="shared" si="183"/>
        <v>24.31995066</v>
      </c>
      <c r="CM1874" s="1079" t="s">
        <v>2418</v>
      </c>
      <c r="CN1874" s="1005" t="s">
        <v>2781</v>
      </c>
      <c r="CO1874" s="1005"/>
      <c r="CP1874" s="1005" t="s">
        <v>2801</v>
      </c>
    </row>
    <row r="1875">
      <c r="A1875" s="266"/>
      <c r="B1875" s="1113" t="s">
        <v>1649</v>
      </c>
      <c r="C1875" s="1107">
        <v>45489.0</v>
      </c>
      <c r="D1875" s="103"/>
      <c r="E1875" s="1108">
        <v>15.0</v>
      </c>
      <c r="F1875" s="112" t="s">
        <v>2802</v>
      </c>
      <c r="G1875" s="1110">
        <v>0.5019097222222222</v>
      </c>
      <c r="H1875" s="1110">
        <v>0.5027777777777778</v>
      </c>
      <c r="I1875" s="1110"/>
      <c r="J1875" s="1111"/>
      <c r="K1875" s="1111">
        <v>0.5041666666666667</v>
      </c>
      <c r="L1875" s="1112">
        <v>0.001388888888888889</v>
      </c>
      <c r="M1875" s="1113" t="s">
        <v>358</v>
      </c>
      <c r="N1875" s="110" t="s">
        <v>187</v>
      </c>
      <c r="O1875" s="1115" t="s">
        <v>207</v>
      </c>
      <c r="P1875" s="1115" t="s">
        <v>221</v>
      </c>
      <c r="Q1875" s="1116"/>
      <c r="R1875" s="120">
        <v>26.1</v>
      </c>
      <c r="S1875" s="1113">
        <v>14.3</v>
      </c>
      <c r="T1875" s="110">
        <v>1.5</v>
      </c>
      <c r="U1875" s="1108">
        <v>4.0</v>
      </c>
      <c r="V1875" s="1108"/>
      <c r="W1875" s="1108"/>
      <c r="X1875" s="1108"/>
      <c r="Y1875" s="1108"/>
      <c r="Z1875" s="1114" t="s">
        <v>374</v>
      </c>
      <c r="AA1875" s="1114"/>
      <c r="AB1875" s="1114" t="s">
        <v>375</v>
      </c>
      <c r="AC1875" s="1117">
        <v>2.7</v>
      </c>
      <c r="AD1875" s="1115"/>
      <c r="AE1875" s="1115"/>
      <c r="AF1875" s="1115"/>
      <c r="AG1875" s="1115"/>
      <c r="AH1875" s="1115"/>
      <c r="AI1875" s="1115"/>
      <c r="AJ1875" s="1117"/>
      <c r="AK1875" s="1118"/>
      <c r="AL1875" s="1115"/>
      <c r="AM1875" s="1115"/>
      <c r="AN1875" s="1115"/>
      <c r="AO1875" s="1115"/>
      <c r="AP1875" s="1115"/>
      <c r="AQ1875" s="1115"/>
      <c r="AR1875" s="1115"/>
      <c r="AS1875" s="1117"/>
      <c r="AT1875" s="1196" t="str">
        <f t="shared" si="428"/>
        <v>1-10</v>
      </c>
      <c r="AU1875" s="1193"/>
      <c r="AV1875" s="330">
        <f>SQRT(($R1875-Infrastructure!J$3)^2+($S1875-Infrastructure!K$3)^2)</f>
        <v>30.16819517</v>
      </c>
      <c r="AW1875" s="331">
        <f>SQRT(($R1875-Infrastructure!J$4)^2+($S1875-Infrastructure!K$4)^2)</f>
        <v>26.63099698</v>
      </c>
      <c r="AX1875" s="331">
        <f>SQRT(($R1875-Infrastructure!J$5)^2+($S1875-Infrastructure!K$5)^2)</f>
        <v>27.95711001</v>
      </c>
      <c r="AY1875" s="331">
        <f>SQRT(($R1875-Infrastructure!J$6)^2+($S1875-Infrastructure!K$6)^2)</f>
        <v>21.26029163</v>
      </c>
      <c r="AZ1875" s="331">
        <f>SQRT(($R1875-Infrastructure!J$7)^2+($S1875-Infrastructure!K$7)^2)</f>
        <v>15.07846146</v>
      </c>
      <c r="BA1875" s="331">
        <f>SQRT(($R1875-Infrastructure!J$8)^2+($S1875-Infrastructure!K$8)^2)</f>
        <v>14.56021978</v>
      </c>
      <c r="BB1875" s="331">
        <f>SQRT(($R1875-Infrastructure!J$9)^2+($S1875-Infrastructure!K$9)^2)</f>
        <v>16.66883319</v>
      </c>
      <c r="BC1875" s="331">
        <f>SQRT(($R1875-Infrastructure!J$10)^2+($S1875-Infrastructure!K$10)^2)</f>
        <v>13.91761474</v>
      </c>
      <c r="BD1875" s="331">
        <f>SQRT(($R1875-Infrastructure!J$11)^2+($S1875-Infrastructure!K$11)^2)</f>
        <v>20.36909424</v>
      </c>
      <c r="BE1875" s="333">
        <f>SQRT(($R1875-Infrastructure!J$12)^2+($S1875-Infrastructure!K$12)^2)</f>
        <v>41.45600077</v>
      </c>
      <c r="BF1875" s="330">
        <f t="shared" si="161"/>
        <v>13.91761474</v>
      </c>
      <c r="BG1875" s="333">
        <f t="shared" si="162"/>
        <v>41.45600077</v>
      </c>
      <c r="BH1875" s="1119"/>
      <c r="BI1875" s="319" t="str">
        <f t="shared" ref="BI1875:BR1875" si="601">IF(ISNUMBER(FIND(BI$3, $CO1875)), "Y", "")</f>
        <v>Y</v>
      </c>
      <c r="BJ1875" s="319" t="str">
        <f t="shared" si="601"/>
        <v>Y</v>
      </c>
      <c r="BK1875" s="319" t="str">
        <f t="shared" si="601"/>
        <v>Y</v>
      </c>
      <c r="BL1875" s="319" t="str">
        <f t="shared" si="601"/>
        <v>Y</v>
      </c>
      <c r="BM1875" s="319" t="str">
        <f t="shared" si="601"/>
        <v>Y</v>
      </c>
      <c r="BN1875" s="319" t="str">
        <f t="shared" si="601"/>
        <v>Y</v>
      </c>
      <c r="BO1875" s="319" t="str">
        <f t="shared" si="601"/>
        <v>Y</v>
      </c>
      <c r="BP1875" s="319" t="str">
        <f t="shared" si="601"/>
        <v/>
      </c>
      <c r="BQ1875" s="319" t="str">
        <f t="shared" si="601"/>
        <v>Y</v>
      </c>
      <c r="BR1875" s="319" t="str">
        <f t="shared" si="601"/>
        <v/>
      </c>
      <c r="BS1875" s="330">
        <f t="shared" si="185"/>
        <v>14.56021978</v>
      </c>
      <c r="BT1875" s="331">
        <f t="shared" si="170"/>
        <v>30.16819517</v>
      </c>
      <c r="BU1875" s="920">
        <v>0.5024884259259259</v>
      </c>
      <c r="BV1875" s="903">
        <f t="shared" si="186"/>
        <v>0.0005787037037</v>
      </c>
      <c r="BW1875" s="908">
        <v>15.2</v>
      </c>
      <c r="BX1875" s="908">
        <v>29.7</v>
      </c>
      <c r="BY1875" s="331">
        <f t="shared" si="201"/>
        <v>18.86716725</v>
      </c>
      <c r="BZ1875" s="331"/>
      <c r="CA1875" s="462" t="str">
        <f t="shared" ref="CA1875:CJ1875" si="602">IF(ISNUMBER(FIND(BI$3, $CP1875)), "Y", "")</f>
        <v>Y</v>
      </c>
      <c r="CB1875" s="319" t="str">
        <f t="shared" si="602"/>
        <v>Y</v>
      </c>
      <c r="CC1875" s="319" t="str">
        <f t="shared" si="602"/>
        <v>Y</v>
      </c>
      <c r="CD1875" s="319" t="str">
        <f t="shared" si="602"/>
        <v>Y</v>
      </c>
      <c r="CE1875" s="319" t="str">
        <f t="shared" si="602"/>
        <v>Y</v>
      </c>
      <c r="CF1875" s="319" t="str">
        <f t="shared" si="602"/>
        <v>Y</v>
      </c>
      <c r="CG1875" s="319" t="str">
        <f t="shared" si="602"/>
        <v>Y</v>
      </c>
      <c r="CH1875" s="319" t="str">
        <f t="shared" si="602"/>
        <v/>
      </c>
      <c r="CI1875" s="319" t="str">
        <f t="shared" si="602"/>
        <v>Y</v>
      </c>
      <c r="CJ1875" s="319" t="str">
        <f t="shared" si="602"/>
        <v>Y</v>
      </c>
      <c r="CK1875" s="342">
        <f t="shared" si="182"/>
        <v>14.56021978</v>
      </c>
      <c r="CL1875" s="333">
        <f t="shared" si="183"/>
        <v>41.45600077</v>
      </c>
      <c r="CM1875" s="1079" t="s">
        <v>2794</v>
      </c>
      <c r="CN1875" s="1005" t="s">
        <v>2781</v>
      </c>
      <c r="CO1875" s="1005" t="s">
        <v>2572</v>
      </c>
      <c r="CP1875" s="1005" t="s">
        <v>2400</v>
      </c>
    </row>
    <row r="1876">
      <c r="A1876" s="266"/>
      <c r="B1876" s="1113" t="s">
        <v>1649</v>
      </c>
      <c r="C1876" s="1107">
        <v>45489.0</v>
      </c>
      <c r="D1876" s="103"/>
      <c r="E1876" s="1108">
        <v>16.0</v>
      </c>
      <c r="F1876" s="112" t="s">
        <v>2803</v>
      </c>
      <c r="G1876" s="1110">
        <v>0.5049189814814815</v>
      </c>
      <c r="H1876" s="1138"/>
      <c r="I1876" s="1138"/>
      <c r="J1876" s="1139"/>
      <c r="K1876" s="1111">
        <v>0.5050347222222222</v>
      </c>
      <c r="L1876" s="1112">
        <v>1.1574074074074075E-4</v>
      </c>
      <c r="M1876" s="1113" t="s">
        <v>358</v>
      </c>
      <c r="N1876" s="110" t="s">
        <v>187</v>
      </c>
      <c r="O1876" s="1115" t="s">
        <v>207</v>
      </c>
      <c r="P1876" s="1115" t="s">
        <v>221</v>
      </c>
      <c r="Q1876" s="1116"/>
      <c r="R1876" s="120">
        <v>26.1</v>
      </c>
      <c r="S1876" s="1113">
        <v>14.3</v>
      </c>
      <c r="T1876" s="110">
        <v>1.5</v>
      </c>
      <c r="U1876" s="1108"/>
      <c r="V1876" s="1108"/>
      <c r="W1876" s="1108"/>
      <c r="X1876" s="1108"/>
      <c r="Y1876" s="1108"/>
      <c r="Z1876" s="1114" t="s">
        <v>374</v>
      </c>
      <c r="AA1876" s="1114"/>
      <c r="AB1876" s="1114" t="s">
        <v>375</v>
      </c>
      <c r="AC1876" s="1117">
        <v>2.7</v>
      </c>
      <c r="AD1876" s="1115"/>
      <c r="AE1876" s="1115"/>
      <c r="AF1876" s="1115"/>
      <c r="AG1876" s="1115"/>
      <c r="AH1876" s="1115"/>
      <c r="AI1876" s="1115"/>
      <c r="AJ1876" s="1117"/>
      <c r="AK1876" s="1118"/>
      <c r="AL1876" s="1115"/>
      <c r="AM1876" s="1115"/>
      <c r="AN1876" s="1115"/>
      <c r="AO1876" s="1115"/>
      <c r="AP1876" s="1115"/>
      <c r="AQ1876" s="1115"/>
      <c r="AR1876" s="1115"/>
      <c r="AS1876" s="1117"/>
      <c r="AT1876" s="1196" t="str">
        <f t="shared" si="428"/>
        <v/>
      </c>
      <c r="AU1876" s="1193"/>
      <c r="AV1876" s="330">
        <f>SQRT(($R1876-Infrastructure!J$3)^2+($S1876-Infrastructure!K$3)^2)</f>
        <v>30.16819517</v>
      </c>
      <c r="AW1876" s="331">
        <f>SQRT(($R1876-Infrastructure!J$4)^2+($S1876-Infrastructure!K$4)^2)</f>
        <v>26.63099698</v>
      </c>
      <c r="AX1876" s="331">
        <f>SQRT(($R1876-Infrastructure!J$5)^2+($S1876-Infrastructure!K$5)^2)</f>
        <v>27.95711001</v>
      </c>
      <c r="AY1876" s="331">
        <f>SQRT(($R1876-Infrastructure!J$6)^2+($S1876-Infrastructure!K$6)^2)</f>
        <v>21.26029163</v>
      </c>
      <c r="AZ1876" s="331">
        <f>SQRT(($R1876-Infrastructure!J$7)^2+($S1876-Infrastructure!K$7)^2)</f>
        <v>15.07846146</v>
      </c>
      <c r="BA1876" s="331">
        <f>SQRT(($R1876-Infrastructure!J$8)^2+($S1876-Infrastructure!K$8)^2)</f>
        <v>14.56021978</v>
      </c>
      <c r="BB1876" s="331">
        <f>SQRT(($R1876-Infrastructure!J$9)^2+($S1876-Infrastructure!K$9)^2)</f>
        <v>16.66883319</v>
      </c>
      <c r="BC1876" s="331">
        <f>SQRT(($R1876-Infrastructure!J$10)^2+($S1876-Infrastructure!K$10)^2)</f>
        <v>13.91761474</v>
      </c>
      <c r="BD1876" s="331">
        <f>SQRT(($R1876-Infrastructure!J$11)^2+($S1876-Infrastructure!K$11)^2)</f>
        <v>20.36909424</v>
      </c>
      <c r="BE1876" s="333">
        <f>SQRT(($R1876-Infrastructure!J$12)^2+($S1876-Infrastructure!K$12)^2)</f>
        <v>41.45600077</v>
      </c>
      <c r="BF1876" s="330">
        <f t="shared" si="161"/>
        <v>13.91761474</v>
      </c>
      <c r="BG1876" s="333">
        <f t="shared" si="162"/>
        <v>41.45600077</v>
      </c>
      <c r="BH1876" s="1119"/>
      <c r="BI1876" s="319" t="str">
        <f t="shared" ref="BI1876:BR1876" si="603">IF(ISNUMBER(FIND(BI$3, $CO1876)), "Y", "")</f>
        <v/>
      </c>
      <c r="BJ1876" s="319" t="str">
        <f t="shared" si="603"/>
        <v/>
      </c>
      <c r="BK1876" s="319" t="str">
        <f t="shared" si="603"/>
        <v/>
      </c>
      <c r="BL1876" s="319" t="str">
        <f t="shared" si="603"/>
        <v/>
      </c>
      <c r="BM1876" s="319" t="str">
        <f t="shared" si="603"/>
        <v/>
      </c>
      <c r="BN1876" s="319" t="str">
        <f t="shared" si="603"/>
        <v/>
      </c>
      <c r="BO1876" s="319" t="str">
        <f t="shared" si="603"/>
        <v/>
      </c>
      <c r="BP1876" s="319" t="str">
        <f t="shared" si="603"/>
        <v/>
      </c>
      <c r="BQ1876" s="319" t="str">
        <f t="shared" si="603"/>
        <v/>
      </c>
      <c r="BR1876" s="319" t="str">
        <f t="shared" si="603"/>
        <v/>
      </c>
      <c r="BS1876" s="330">
        <f t="shared" si="185"/>
        <v>0</v>
      </c>
      <c r="BT1876" s="331">
        <f t="shared" si="170"/>
        <v>0</v>
      </c>
      <c r="BU1876" s="920"/>
      <c r="BV1876" s="903" t="str">
        <f t="shared" si="186"/>
        <v/>
      </c>
      <c r="BW1876" s="908"/>
      <c r="BX1876" s="908"/>
      <c r="BY1876" s="331" t="b">
        <f t="shared" si="201"/>
        <v>0</v>
      </c>
      <c r="BZ1876" s="331"/>
      <c r="CA1876" s="462" t="str">
        <f t="shared" ref="CA1876:CJ1876" si="604">IF(ISNUMBER(FIND(BI$3, $CP1876)), "Y", "")</f>
        <v/>
      </c>
      <c r="CB1876" s="319" t="str">
        <f t="shared" si="604"/>
        <v/>
      </c>
      <c r="CC1876" s="319" t="str">
        <f t="shared" si="604"/>
        <v/>
      </c>
      <c r="CD1876" s="319" t="str">
        <f t="shared" si="604"/>
        <v/>
      </c>
      <c r="CE1876" s="319" t="str">
        <f t="shared" si="604"/>
        <v/>
      </c>
      <c r="CF1876" s="319" t="str">
        <f t="shared" si="604"/>
        <v/>
      </c>
      <c r="CG1876" s="319" t="str">
        <f t="shared" si="604"/>
        <v>Y</v>
      </c>
      <c r="CH1876" s="319" t="str">
        <f t="shared" si="604"/>
        <v/>
      </c>
      <c r="CI1876" s="319" t="str">
        <f t="shared" si="604"/>
        <v/>
      </c>
      <c r="CJ1876" s="319" t="str">
        <f t="shared" si="604"/>
        <v/>
      </c>
      <c r="CK1876" s="342">
        <f t="shared" si="182"/>
        <v>16.66883319</v>
      </c>
      <c r="CL1876" s="333">
        <f t="shared" si="183"/>
        <v>16.66883319</v>
      </c>
      <c r="CM1876" s="1079" t="s">
        <v>2582</v>
      </c>
      <c r="CN1876" s="1005" t="s">
        <v>2781</v>
      </c>
      <c r="CO1876" s="1005"/>
      <c r="CP1876" s="1005">
        <v>56.0</v>
      </c>
    </row>
    <row r="1877">
      <c r="A1877" s="266"/>
      <c r="B1877" s="1113" t="s">
        <v>1649</v>
      </c>
      <c r="C1877" s="1107">
        <v>45489.0</v>
      </c>
      <c r="D1877" s="103"/>
      <c r="E1877" s="1108" t="s">
        <v>2804</v>
      </c>
      <c r="F1877" s="112" t="s">
        <v>2805</v>
      </c>
      <c r="G1877" s="1110">
        <v>0.5111111111111111</v>
      </c>
      <c r="H1877" s="1110">
        <v>0.5123263888888889</v>
      </c>
      <c r="I1877" s="1110"/>
      <c r="J1877" s="1111"/>
      <c r="K1877" s="1111">
        <v>0.5137152777777778</v>
      </c>
      <c r="L1877" s="1112">
        <v>0.001388888888888889</v>
      </c>
      <c r="M1877" s="1113" t="s">
        <v>358</v>
      </c>
      <c r="N1877" s="110" t="s">
        <v>187</v>
      </c>
      <c r="O1877" s="1115" t="s">
        <v>207</v>
      </c>
      <c r="P1877" s="1115" t="s">
        <v>221</v>
      </c>
      <c r="Q1877" s="1116"/>
      <c r="R1877" s="120">
        <v>26.1</v>
      </c>
      <c r="S1877" s="1113">
        <v>14.3</v>
      </c>
      <c r="T1877" s="110">
        <v>1.5</v>
      </c>
      <c r="U1877" s="1108">
        <v>2.0</v>
      </c>
      <c r="V1877" s="1108"/>
      <c r="W1877" s="1108"/>
      <c r="X1877" s="1108"/>
      <c r="Y1877" s="1108"/>
      <c r="Z1877" s="1114" t="s">
        <v>374</v>
      </c>
      <c r="AA1877" s="1114"/>
      <c r="AB1877" s="1114" t="s">
        <v>375</v>
      </c>
      <c r="AC1877" s="1117">
        <v>2.7</v>
      </c>
      <c r="AD1877" s="1115"/>
      <c r="AE1877" s="1115"/>
      <c r="AF1877" s="1115"/>
      <c r="AG1877" s="1115"/>
      <c r="AH1877" s="1115"/>
      <c r="AI1877" s="1115"/>
      <c r="AJ1877" s="1117"/>
      <c r="AK1877" s="1118"/>
      <c r="AL1877" s="1115"/>
      <c r="AM1877" s="1115"/>
      <c r="AN1877" s="1115"/>
      <c r="AO1877" s="1115"/>
      <c r="AP1877" s="1115"/>
      <c r="AQ1877" s="1115"/>
      <c r="AR1877" s="1115"/>
      <c r="AS1877" s="1117"/>
      <c r="AT1877" s="1196" t="str">
        <f t="shared" si="428"/>
        <v>1-10</v>
      </c>
      <c r="AU1877" s="1193"/>
      <c r="AV1877" s="330">
        <f>SQRT(($R1877-Infrastructure!J$3)^2+($S1877-Infrastructure!K$3)^2)</f>
        <v>30.16819517</v>
      </c>
      <c r="AW1877" s="331">
        <f>SQRT(($R1877-Infrastructure!J$4)^2+($S1877-Infrastructure!K$4)^2)</f>
        <v>26.63099698</v>
      </c>
      <c r="AX1877" s="331">
        <f>SQRT(($R1877-Infrastructure!J$5)^2+($S1877-Infrastructure!K$5)^2)</f>
        <v>27.95711001</v>
      </c>
      <c r="AY1877" s="331">
        <f>SQRT(($R1877-Infrastructure!J$6)^2+($S1877-Infrastructure!K$6)^2)</f>
        <v>21.26029163</v>
      </c>
      <c r="AZ1877" s="331">
        <f>SQRT(($R1877-Infrastructure!J$7)^2+($S1877-Infrastructure!K$7)^2)</f>
        <v>15.07846146</v>
      </c>
      <c r="BA1877" s="331">
        <f>SQRT(($R1877-Infrastructure!J$8)^2+($S1877-Infrastructure!K$8)^2)</f>
        <v>14.56021978</v>
      </c>
      <c r="BB1877" s="331">
        <f>SQRT(($R1877-Infrastructure!J$9)^2+($S1877-Infrastructure!K$9)^2)</f>
        <v>16.66883319</v>
      </c>
      <c r="BC1877" s="331">
        <f>SQRT(($R1877-Infrastructure!J$10)^2+($S1877-Infrastructure!K$10)^2)</f>
        <v>13.91761474</v>
      </c>
      <c r="BD1877" s="331">
        <f>SQRT(($R1877-Infrastructure!J$11)^2+($S1877-Infrastructure!K$11)^2)</f>
        <v>20.36909424</v>
      </c>
      <c r="BE1877" s="333">
        <f>SQRT(($R1877-Infrastructure!J$12)^2+($S1877-Infrastructure!K$12)^2)</f>
        <v>41.45600077</v>
      </c>
      <c r="BF1877" s="330">
        <f t="shared" si="161"/>
        <v>13.91761474</v>
      </c>
      <c r="BG1877" s="333">
        <f t="shared" si="162"/>
        <v>41.45600077</v>
      </c>
      <c r="BH1877" s="1119"/>
      <c r="BI1877" s="319" t="str">
        <f t="shared" ref="BI1877:BR1877" si="605">IF(ISNUMBER(FIND(BI$3, $CO1877)), "Y", "")</f>
        <v>Y</v>
      </c>
      <c r="BJ1877" s="319" t="str">
        <f t="shared" si="605"/>
        <v>Y</v>
      </c>
      <c r="BK1877" s="319" t="str">
        <f t="shared" si="605"/>
        <v>Y</v>
      </c>
      <c r="BL1877" s="319" t="str">
        <f t="shared" si="605"/>
        <v>Y</v>
      </c>
      <c r="BM1877" s="319" t="str">
        <f t="shared" si="605"/>
        <v>Y</v>
      </c>
      <c r="BN1877" s="319" t="str">
        <f t="shared" si="605"/>
        <v>Y</v>
      </c>
      <c r="BO1877" s="319" t="str">
        <f t="shared" si="605"/>
        <v>Y</v>
      </c>
      <c r="BP1877" s="319" t="str">
        <f t="shared" si="605"/>
        <v/>
      </c>
      <c r="BQ1877" s="319" t="str">
        <f t="shared" si="605"/>
        <v>Y</v>
      </c>
      <c r="BR1877" s="319" t="str">
        <f t="shared" si="605"/>
        <v>Y</v>
      </c>
      <c r="BS1877" s="330">
        <f t="shared" si="185"/>
        <v>14.56021978</v>
      </c>
      <c r="BT1877" s="331">
        <f t="shared" si="170"/>
        <v>41.45600077</v>
      </c>
      <c r="BU1877" s="920">
        <v>0.511712962962963</v>
      </c>
      <c r="BV1877" s="903">
        <f t="shared" si="186"/>
        <v>0.0006018518519</v>
      </c>
      <c r="BW1877" s="908">
        <v>14.8</v>
      </c>
      <c r="BX1877" s="908">
        <v>39.4</v>
      </c>
      <c r="BY1877" s="331">
        <f t="shared" si="201"/>
        <v>27.52635101</v>
      </c>
      <c r="BZ1877" s="331"/>
      <c r="CA1877" s="462" t="str">
        <f t="shared" ref="CA1877:CJ1877" si="606">IF(ISNUMBER(FIND(BI$3, $CP1877)), "Y", "")</f>
        <v>Y</v>
      </c>
      <c r="CB1877" s="319" t="str">
        <f t="shared" si="606"/>
        <v>Y</v>
      </c>
      <c r="CC1877" s="319" t="str">
        <f t="shared" si="606"/>
        <v>Y</v>
      </c>
      <c r="CD1877" s="319" t="str">
        <f t="shared" si="606"/>
        <v>Y</v>
      </c>
      <c r="CE1877" s="319" t="str">
        <f t="shared" si="606"/>
        <v>Y</v>
      </c>
      <c r="CF1877" s="319" t="str">
        <f t="shared" si="606"/>
        <v>Y</v>
      </c>
      <c r="CG1877" s="319" t="str">
        <f t="shared" si="606"/>
        <v>Y</v>
      </c>
      <c r="CH1877" s="319" t="str">
        <f t="shared" si="606"/>
        <v/>
      </c>
      <c r="CI1877" s="319" t="str">
        <f t="shared" si="606"/>
        <v>Y</v>
      </c>
      <c r="CJ1877" s="319" t="str">
        <f t="shared" si="606"/>
        <v>Y</v>
      </c>
      <c r="CK1877" s="342">
        <f t="shared" si="182"/>
        <v>14.56021978</v>
      </c>
      <c r="CL1877" s="333">
        <f t="shared" si="183"/>
        <v>41.45600077</v>
      </c>
      <c r="CM1877" s="1079" t="s">
        <v>2430</v>
      </c>
      <c r="CN1877" s="1005" t="s">
        <v>2781</v>
      </c>
      <c r="CO1877" s="1005" t="s">
        <v>2400</v>
      </c>
      <c r="CP1877" s="1005" t="s">
        <v>2400</v>
      </c>
    </row>
    <row r="1878">
      <c r="A1878" s="266"/>
      <c r="B1878" s="1113" t="s">
        <v>1649</v>
      </c>
      <c r="C1878" s="1107">
        <v>45489.0</v>
      </c>
      <c r="D1878" s="103"/>
      <c r="E1878" s="1108">
        <v>17.0</v>
      </c>
      <c r="F1878" s="112" t="s">
        <v>2806</v>
      </c>
      <c r="G1878" s="1110">
        <v>0.517824074074074</v>
      </c>
      <c r="H1878" s="1110">
        <v>0.5182291666666666</v>
      </c>
      <c r="I1878" s="1110"/>
      <c r="J1878" s="1111"/>
      <c r="K1878" s="1111">
        <v>0.5196180555555555</v>
      </c>
      <c r="L1878" s="1112">
        <v>0.001388888888888889</v>
      </c>
      <c r="M1878" s="1113" t="s">
        <v>358</v>
      </c>
      <c r="N1878" s="110" t="s">
        <v>187</v>
      </c>
      <c r="O1878" s="1115" t="s">
        <v>2807</v>
      </c>
      <c r="P1878" s="1115" t="s">
        <v>256</v>
      </c>
      <c r="Q1878" s="1116"/>
      <c r="R1878" s="120">
        <v>2.5</v>
      </c>
      <c r="S1878" s="1113">
        <v>5.0</v>
      </c>
      <c r="T1878" s="110">
        <v>0.6</v>
      </c>
      <c r="U1878" s="1108">
        <v>3.0</v>
      </c>
      <c r="V1878" s="1108"/>
      <c r="W1878" s="1108"/>
      <c r="X1878" s="1108"/>
      <c r="Y1878" s="1108"/>
      <c r="Z1878" s="1114" t="s">
        <v>339</v>
      </c>
      <c r="AA1878" s="1114"/>
      <c r="AB1878" s="1114" t="s">
        <v>337</v>
      </c>
      <c r="AC1878" s="1117">
        <v>2.5</v>
      </c>
      <c r="AD1878" s="1115"/>
      <c r="AE1878" s="1115"/>
      <c r="AF1878" s="1115"/>
      <c r="AG1878" s="1115"/>
      <c r="AH1878" s="1115"/>
      <c r="AI1878" s="1115"/>
      <c r="AJ1878" s="1117"/>
      <c r="AK1878" s="1118"/>
      <c r="AL1878" s="1115"/>
      <c r="AM1878" s="1115"/>
      <c r="AN1878" s="1115"/>
      <c r="AO1878" s="1115"/>
      <c r="AP1878" s="1115"/>
      <c r="AQ1878" s="1115"/>
      <c r="AR1878" s="1115"/>
      <c r="AS1878" s="1117"/>
      <c r="AT1878" s="1196" t="str">
        <f t="shared" si="428"/>
        <v>1-10</v>
      </c>
      <c r="AU1878" s="1193"/>
      <c r="AV1878" s="330">
        <f>SQRT(($R1878-Infrastructure!J$3)^2+($S1878-Infrastructure!K$3)^2)</f>
        <v>24.06345777</v>
      </c>
      <c r="AW1878" s="331">
        <f>SQRT(($R1878-Infrastructure!J$4)^2+($S1878-Infrastructure!K$4)^2)</f>
        <v>13.10267148</v>
      </c>
      <c r="AX1878" s="331">
        <f>SQRT(($R1878-Infrastructure!J$5)^2+($S1878-Infrastructure!K$5)^2)</f>
        <v>2.801785145</v>
      </c>
      <c r="AY1878" s="331">
        <f>SQRT(($R1878-Infrastructure!J$6)^2+($S1878-Infrastructure!K$6)^2)</f>
        <v>8.935882721</v>
      </c>
      <c r="AZ1878" s="331">
        <f>SQRT(($R1878-Infrastructure!J$7)^2+($S1878-Infrastructure!K$7)^2)</f>
        <v>18.6034943</v>
      </c>
      <c r="BA1878" s="331">
        <f>SQRT(($R1878-Infrastructure!J$8)^2+($S1878-Infrastructure!K$8)^2)</f>
        <v>27.9973213</v>
      </c>
      <c r="BB1878" s="331">
        <f>SQRT(($R1878-Infrastructure!J$9)^2+($S1878-Infrastructure!K$9)^2)</f>
        <v>37.50013333</v>
      </c>
      <c r="BC1878" s="331">
        <f>SQRT(($R1878-Infrastructure!J$10)^2+($S1878-Infrastructure!K$10)^2)</f>
        <v>38.81043674</v>
      </c>
      <c r="BD1878" s="331">
        <f>SQRT(($R1878-Infrastructure!J$11)^2+($S1878-Infrastructure!K$11)^2)</f>
        <v>44.69105056</v>
      </c>
      <c r="BE1878" s="333">
        <f>SQRT(($R1878-Infrastructure!J$12)^2+($S1878-Infrastructure!K$12)^2)</f>
        <v>53.95600059</v>
      </c>
      <c r="BF1878" s="330">
        <f t="shared" si="161"/>
        <v>2.801785145</v>
      </c>
      <c r="BG1878" s="333">
        <f t="shared" si="162"/>
        <v>53.95600059</v>
      </c>
      <c r="BH1878" s="1119"/>
      <c r="BI1878" s="319" t="str">
        <f t="shared" ref="BI1878:BR1878" si="607">IF(ISNUMBER(FIND(BI$3, $CO1878)), "Y", "")</f>
        <v>Y</v>
      </c>
      <c r="BJ1878" s="319" t="str">
        <f t="shared" si="607"/>
        <v>Y</v>
      </c>
      <c r="BK1878" s="319" t="str">
        <f t="shared" si="607"/>
        <v>Y</v>
      </c>
      <c r="BL1878" s="319" t="str">
        <f t="shared" si="607"/>
        <v>Y</v>
      </c>
      <c r="BM1878" s="319" t="str">
        <f t="shared" si="607"/>
        <v>Y</v>
      </c>
      <c r="BN1878" s="319" t="str">
        <f t="shared" si="607"/>
        <v/>
      </c>
      <c r="BO1878" s="319" t="str">
        <f t="shared" si="607"/>
        <v>Y</v>
      </c>
      <c r="BP1878" s="319" t="str">
        <f t="shared" si="607"/>
        <v/>
      </c>
      <c r="BQ1878" s="319" t="str">
        <f t="shared" si="607"/>
        <v>Y</v>
      </c>
      <c r="BR1878" s="319" t="str">
        <f t="shared" si="607"/>
        <v/>
      </c>
      <c r="BS1878" s="330">
        <f t="shared" si="185"/>
        <v>2.801785145</v>
      </c>
      <c r="BT1878" s="331">
        <f t="shared" si="170"/>
        <v>44.69105056</v>
      </c>
      <c r="BU1878" s="920">
        <v>0.5183333333333333</v>
      </c>
      <c r="BV1878" s="903">
        <f t="shared" si="186"/>
        <v>0.0005092592593</v>
      </c>
      <c r="BW1878" s="908">
        <v>7.6</v>
      </c>
      <c r="BX1878" s="908">
        <v>15.6</v>
      </c>
      <c r="BY1878" s="331">
        <f t="shared" si="201"/>
        <v>11.76307783</v>
      </c>
      <c r="BZ1878" s="331"/>
      <c r="CA1878" s="462" t="str">
        <f t="shared" ref="CA1878:CJ1878" si="608">IF(ISNUMBER(FIND(BI$3, $CP1878)), "Y", "")</f>
        <v>Y</v>
      </c>
      <c r="CB1878" s="319" t="str">
        <f t="shared" si="608"/>
        <v>Y</v>
      </c>
      <c r="CC1878" s="319" t="str">
        <f t="shared" si="608"/>
        <v>Y</v>
      </c>
      <c r="CD1878" s="319" t="str">
        <f t="shared" si="608"/>
        <v>Y</v>
      </c>
      <c r="CE1878" s="319" t="str">
        <f t="shared" si="608"/>
        <v>Y</v>
      </c>
      <c r="CF1878" s="319" t="str">
        <f t="shared" si="608"/>
        <v>Y</v>
      </c>
      <c r="CG1878" s="319" t="str">
        <f t="shared" si="608"/>
        <v>Y</v>
      </c>
      <c r="CH1878" s="319" t="str">
        <f t="shared" si="608"/>
        <v/>
      </c>
      <c r="CI1878" s="319" t="str">
        <f t="shared" si="608"/>
        <v>Y</v>
      </c>
      <c r="CJ1878" s="319" t="str">
        <f t="shared" si="608"/>
        <v>Y</v>
      </c>
      <c r="CK1878" s="342">
        <f t="shared" si="182"/>
        <v>2.801785145</v>
      </c>
      <c r="CL1878" s="333">
        <f t="shared" si="183"/>
        <v>53.95600059</v>
      </c>
      <c r="CM1878" s="1079" t="s">
        <v>2430</v>
      </c>
      <c r="CN1878" s="1005" t="s">
        <v>2781</v>
      </c>
      <c r="CO1878" s="1005" t="s">
        <v>2808</v>
      </c>
      <c r="CP1878" s="1005" t="s">
        <v>2400</v>
      </c>
    </row>
    <row r="1879">
      <c r="A1879" s="266"/>
      <c r="B1879" s="1113" t="s">
        <v>1649</v>
      </c>
      <c r="C1879" s="1107">
        <v>45489.0</v>
      </c>
      <c r="D1879" s="103"/>
      <c r="E1879" s="1108">
        <v>18.0</v>
      </c>
      <c r="F1879" s="112" t="s">
        <v>2809</v>
      </c>
      <c r="G1879" s="1110">
        <v>0.5210648148148148</v>
      </c>
      <c r="H1879" s="1110">
        <v>0.5213541666666667</v>
      </c>
      <c r="I1879" s="1110"/>
      <c r="J1879" s="1111"/>
      <c r="K1879" s="1111">
        <v>0.5227430555555556</v>
      </c>
      <c r="L1879" s="1112">
        <v>0.001388888888888889</v>
      </c>
      <c r="M1879" s="1113" t="s">
        <v>358</v>
      </c>
      <c r="N1879" s="110" t="s">
        <v>187</v>
      </c>
      <c r="O1879" s="1115" t="s">
        <v>2807</v>
      </c>
      <c r="P1879" s="1115" t="s">
        <v>256</v>
      </c>
      <c r="Q1879" s="1116"/>
      <c r="R1879" s="120">
        <v>5.0</v>
      </c>
      <c r="S1879" s="1113">
        <v>5.0</v>
      </c>
      <c r="T1879" s="110">
        <v>0.6</v>
      </c>
      <c r="U1879" s="1108">
        <v>3.0</v>
      </c>
      <c r="V1879" s="1108"/>
      <c r="W1879" s="1108"/>
      <c r="X1879" s="1108"/>
      <c r="Y1879" s="1108"/>
      <c r="Z1879" s="1114" t="s">
        <v>339</v>
      </c>
      <c r="AA1879" s="1114"/>
      <c r="AB1879" s="1114" t="s">
        <v>337</v>
      </c>
      <c r="AC1879" s="1117">
        <v>2.5</v>
      </c>
      <c r="AD1879" s="1115"/>
      <c r="AE1879" s="1115"/>
      <c r="AF1879" s="1115"/>
      <c r="AG1879" s="1115"/>
      <c r="AH1879" s="1115"/>
      <c r="AI1879" s="1115"/>
      <c r="AJ1879" s="1117"/>
      <c r="AK1879" s="1118"/>
      <c r="AL1879" s="1115"/>
      <c r="AM1879" s="1115"/>
      <c r="AN1879" s="1115"/>
      <c r="AO1879" s="1115"/>
      <c r="AP1879" s="1115"/>
      <c r="AQ1879" s="1115"/>
      <c r="AR1879" s="1115"/>
      <c r="AS1879" s="1117"/>
      <c r="AT1879" s="1196" t="str">
        <f t="shared" si="428"/>
        <v>1-10</v>
      </c>
      <c r="AU1879" s="1193"/>
      <c r="AV1879" s="330">
        <f>SQRT(($R1879-Infrastructure!J$3)^2+($S1879-Infrastructure!K$3)^2)</f>
        <v>24.48060457</v>
      </c>
      <c r="AW1879" s="331">
        <f>SQRT(($R1879-Infrastructure!J$4)^2+($S1879-Infrastructure!K$4)^2)</f>
        <v>13.85388032</v>
      </c>
      <c r="AX1879" s="331">
        <f>SQRT(($R1879-Infrastructure!J$5)^2+($S1879-Infrastructure!K$5)^2)</f>
        <v>5.300943312</v>
      </c>
      <c r="AY1879" s="331">
        <f>SQRT(($R1879-Infrastructure!J$6)^2+($S1879-Infrastructure!K$6)^2)</f>
        <v>6.935416354</v>
      </c>
      <c r="AZ1879" s="331">
        <f>SQRT(($R1879-Infrastructure!J$7)^2+($S1879-Infrastructure!K$7)^2)</f>
        <v>16.19691329</v>
      </c>
      <c r="BA1879" s="331">
        <f>SQRT(($R1879-Infrastructure!J$8)^2+($S1879-Infrastructure!K$8)^2)</f>
        <v>25.53624875</v>
      </c>
      <c r="BB1879" s="331">
        <f>SQRT(($R1879-Infrastructure!J$9)^2+($S1879-Infrastructure!K$9)^2)</f>
        <v>35.00014286</v>
      </c>
      <c r="BC1879" s="331">
        <f>SQRT(($R1879-Infrastructure!J$10)^2+($S1879-Infrastructure!K$10)^2)</f>
        <v>36.40054945</v>
      </c>
      <c r="BD1879" s="331">
        <f>SQRT(($R1879-Infrastructure!J$11)^2+($S1879-Infrastructure!K$11)^2)</f>
        <v>42.60328626</v>
      </c>
      <c r="BE1879" s="333">
        <f>SQRT(($R1879-Infrastructure!J$12)^2+($S1879-Infrastructure!K$12)^2)</f>
        <v>53.12720584</v>
      </c>
      <c r="BF1879" s="330">
        <f t="shared" si="161"/>
        <v>5.300943312</v>
      </c>
      <c r="BG1879" s="333">
        <f t="shared" si="162"/>
        <v>53.12720584</v>
      </c>
      <c r="BH1879" s="1119"/>
      <c r="BI1879" s="319" t="str">
        <f t="shared" ref="BI1879:BR1879" si="609">IF(ISNUMBER(FIND(BI$3, $CO1879)), "Y", "")</f>
        <v>Y</v>
      </c>
      <c r="BJ1879" s="319" t="str">
        <f t="shared" si="609"/>
        <v/>
      </c>
      <c r="BK1879" s="319" t="str">
        <f t="shared" si="609"/>
        <v>Y</v>
      </c>
      <c r="BL1879" s="319" t="str">
        <f t="shared" si="609"/>
        <v>Y</v>
      </c>
      <c r="BM1879" s="319" t="str">
        <f t="shared" si="609"/>
        <v>Y</v>
      </c>
      <c r="BN1879" s="319" t="str">
        <f t="shared" si="609"/>
        <v>Y</v>
      </c>
      <c r="BO1879" s="319" t="str">
        <f t="shared" si="609"/>
        <v>Y</v>
      </c>
      <c r="BP1879" s="319" t="str">
        <f t="shared" si="609"/>
        <v/>
      </c>
      <c r="BQ1879" s="319" t="str">
        <f t="shared" si="609"/>
        <v>Y</v>
      </c>
      <c r="BR1879" s="319" t="str">
        <f t="shared" si="609"/>
        <v>Y</v>
      </c>
      <c r="BS1879" s="330">
        <f t="shared" si="185"/>
        <v>5.300943312</v>
      </c>
      <c r="BT1879" s="331">
        <f t="shared" si="170"/>
        <v>53.12720584</v>
      </c>
      <c r="BU1879" s="920">
        <v>0.5216666666666666</v>
      </c>
      <c r="BV1879" s="903">
        <f t="shared" si="186"/>
        <v>0.0006018518519</v>
      </c>
      <c r="BW1879" s="908">
        <v>8.4</v>
      </c>
      <c r="BX1879" s="908">
        <v>14.5</v>
      </c>
      <c r="BY1879" s="331">
        <f t="shared" si="201"/>
        <v>10.09009415</v>
      </c>
      <c r="BZ1879" s="331"/>
      <c r="CA1879" s="462" t="str">
        <f t="shared" ref="CA1879:CJ1879" si="610">IF(ISNUMBER(FIND(BI$3, $CP1879)), "Y", "")</f>
        <v>Y</v>
      </c>
      <c r="CB1879" s="319" t="str">
        <f t="shared" si="610"/>
        <v>Y</v>
      </c>
      <c r="CC1879" s="319" t="str">
        <f t="shared" si="610"/>
        <v>Y</v>
      </c>
      <c r="CD1879" s="319" t="str">
        <f t="shared" si="610"/>
        <v>Y</v>
      </c>
      <c r="CE1879" s="319" t="str">
        <f t="shared" si="610"/>
        <v>Y</v>
      </c>
      <c r="CF1879" s="319" t="str">
        <f t="shared" si="610"/>
        <v>Y</v>
      </c>
      <c r="CG1879" s="319" t="str">
        <f t="shared" si="610"/>
        <v>Y</v>
      </c>
      <c r="CH1879" s="319" t="str">
        <f t="shared" si="610"/>
        <v/>
      </c>
      <c r="CI1879" s="319" t="str">
        <f t="shared" si="610"/>
        <v>Y</v>
      </c>
      <c r="CJ1879" s="319" t="str">
        <f t="shared" si="610"/>
        <v>Y</v>
      </c>
      <c r="CK1879" s="342">
        <f t="shared" si="182"/>
        <v>5.300943312</v>
      </c>
      <c r="CL1879" s="333">
        <f t="shared" si="183"/>
        <v>53.12720584</v>
      </c>
      <c r="CM1879" s="1079" t="s">
        <v>2430</v>
      </c>
      <c r="CN1879" s="1005" t="s">
        <v>2781</v>
      </c>
      <c r="CO1879" s="1005" t="s">
        <v>2460</v>
      </c>
      <c r="CP1879" s="1005" t="s">
        <v>2400</v>
      </c>
    </row>
    <row r="1880">
      <c r="A1880" s="266"/>
      <c r="B1880" s="1113" t="s">
        <v>1649</v>
      </c>
      <c r="C1880" s="1107">
        <v>45489.0</v>
      </c>
      <c r="D1880" s="103"/>
      <c r="E1880" s="1108">
        <v>19.0</v>
      </c>
      <c r="F1880" s="112" t="s">
        <v>2810</v>
      </c>
      <c r="G1880" s="1110">
        <v>0.5238425925925926</v>
      </c>
      <c r="H1880" s="1110">
        <v>0.5241319444444444</v>
      </c>
      <c r="I1880" s="1110"/>
      <c r="J1880" s="1111"/>
      <c r="K1880" s="1111">
        <v>0.5256944444444445</v>
      </c>
      <c r="L1880" s="1112">
        <v>0.0015625</v>
      </c>
      <c r="M1880" s="1113" t="s">
        <v>358</v>
      </c>
      <c r="N1880" s="110" t="s">
        <v>187</v>
      </c>
      <c r="O1880" s="1115" t="s">
        <v>2807</v>
      </c>
      <c r="P1880" s="1115" t="s">
        <v>256</v>
      </c>
      <c r="Q1880" s="1116"/>
      <c r="R1880" s="120">
        <v>7.5</v>
      </c>
      <c r="S1880" s="1113">
        <v>5.0</v>
      </c>
      <c r="T1880" s="110">
        <v>0.6</v>
      </c>
      <c r="U1880" s="1108">
        <v>3.0</v>
      </c>
      <c r="V1880" s="1108"/>
      <c r="W1880" s="1108"/>
      <c r="X1880" s="1108"/>
      <c r="Y1880" s="1108"/>
      <c r="Z1880" s="1114" t="s">
        <v>339</v>
      </c>
      <c r="AA1880" s="1114"/>
      <c r="AB1880" s="1114" t="s">
        <v>337</v>
      </c>
      <c r="AC1880" s="1117">
        <v>2.5</v>
      </c>
      <c r="AD1880" s="1115"/>
      <c r="AE1880" s="1115"/>
      <c r="AF1880" s="1115"/>
      <c r="AG1880" s="1115"/>
      <c r="AH1880" s="1115"/>
      <c r="AI1880" s="1115"/>
      <c r="AJ1880" s="1117"/>
      <c r="AK1880" s="1118"/>
      <c r="AL1880" s="1115"/>
      <c r="AM1880" s="1115"/>
      <c r="AN1880" s="1115"/>
      <c r="AO1880" s="1115"/>
      <c r="AP1880" s="1115"/>
      <c r="AQ1880" s="1115"/>
      <c r="AR1880" s="1115"/>
      <c r="AS1880" s="1117"/>
      <c r="AT1880" s="1196" t="str">
        <f t="shared" si="428"/>
        <v>1-10</v>
      </c>
      <c r="AU1880" s="1193"/>
      <c r="AV1880" s="330">
        <f>SQRT(($R1880-Infrastructure!J$3)^2+($S1880-Infrastructure!K$3)^2)</f>
        <v>25.14060461</v>
      </c>
      <c r="AW1880" s="331">
        <f>SQRT(($R1880-Infrastructure!J$4)^2+($S1880-Infrastructure!K$4)^2)</f>
        <v>14.98932954</v>
      </c>
      <c r="AX1880" s="331">
        <f>SQRT(($R1880-Infrastructure!J$5)^2+($S1880-Infrastructure!K$5)^2)</f>
        <v>7.800640999</v>
      </c>
      <c r="AY1880" s="331">
        <f>SQRT(($R1880-Infrastructure!J$6)^2+($S1880-Infrastructure!K$6)^2)</f>
        <v>5.371219601</v>
      </c>
      <c r="AZ1880" s="331">
        <f>SQRT(($R1880-Infrastructure!J$7)^2+($S1880-Infrastructure!K$7)^2)</f>
        <v>13.82353066</v>
      </c>
      <c r="BA1880" s="331">
        <f>SQRT(($R1880-Infrastructure!J$8)^2+($S1880-Infrastructure!K$8)^2)</f>
        <v>23.08354392</v>
      </c>
      <c r="BB1880" s="331">
        <f>SQRT(($R1880-Infrastructure!J$9)^2+($S1880-Infrastructure!K$9)^2)</f>
        <v>32.50015385</v>
      </c>
      <c r="BC1880" s="331">
        <f>SQRT(($R1880-Infrastructure!J$10)^2+($S1880-Infrastructure!K$10)^2)</f>
        <v>34.00367627</v>
      </c>
      <c r="BD1880" s="331">
        <f>SQRT(($R1880-Infrastructure!J$11)^2+($S1880-Infrastructure!K$11)^2)</f>
        <v>40.5621745</v>
      </c>
      <c r="BE1880" s="333">
        <f>SQRT(($R1880-Infrastructure!J$12)^2+($S1880-Infrastructure!K$12)^2)</f>
        <v>52.40467536</v>
      </c>
      <c r="BF1880" s="330">
        <f t="shared" si="161"/>
        <v>5.371219601</v>
      </c>
      <c r="BG1880" s="333">
        <f t="shared" si="162"/>
        <v>52.40467536</v>
      </c>
      <c r="BH1880" s="1119"/>
      <c r="BI1880" s="319" t="str">
        <f t="shared" ref="BI1880:BR1880" si="611">IF(ISNUMBER(FIND(BI$3, $CO1880)), "Y", "")</f>
        <v>Y</v>
      </c>
      <c r="BJ1880" s="319" t="str">
        <f t="shared" si="611"/>
        <v>Y</v>
      </c>
      <c r="BK1880" s="319" t="str">
        <f t="shared" si="611"/>
        <v>Y</v>
      </c>
      <c r="BL1880" s="319" t="str">
        <f t="shared" si="611"/>
        <v>Y</v>
      </c>
      <c r="BM1880" s="319" t="str">
        <f t="shared" si="611"/>
        <v>Y</v>
      </c>
      <c r="BN1880" s="319" t="str">
        <f t="shared" si="611"/>
        <v>Y</v>
      </c>
      <c r="BO1880" s="319" t="str">
        <f t="shared" si="611"/>
        <v>Y</v>
      </c>
      <c r="BP1880" s="319" t="str">
        <f t="shared" si="611"/>
        <v/>
      </c>
      <c r="BQ1880" s="319" t="str">
        <f t="shared" si="611"/>
        <v>Y</v>
      </c>
      <c r="BR1880" s="319" t="str">
        <f t="shared" si="611"/>
        <v>Y</v>
      </c>
      <c r="BS1880" s="330">
        <f t="shared" si="185"/>
        <v>5.371219601</v>
      </c>
      <c r="BT1880" s="331">
        <f t="shared" si="170"/>
        <v>52.40467536</v>
      </c>
      <c r="BU1880" s="920">
        <v>0.5244444444444445</v>
      </c>
      <c r="BV1880" s="903">
        <f t="shared" si="186"/>
        <v>0.0006018518519</v>
      </c>
      <c r="BW1880" s="908">
        <v>8.1</v>
      </c>
      <c r="BX1880" s="908">
        <v>13.0</v>
      </c>
      <c r="BY1880" s="331">
        <f t="shared" si="201"/>
        <v>8.022468448</v>
      </c>
      <c r="BZ1880" s="331"/>
      <c r="CA1880" s="462" t="str">
        <f t="shared" ref="CA1880:CJ1880" si="612">IF(ISNUMBER(FIND(BI$3, $CP1880)), "Y", "")</f>
        <v>Y</v>
      </c>
      <c r="CB1880" s="319" t="str">
        <f t="shared" si="612"/>
        <v>Y</v>
      </c>
      <c r="CC1880" s="319" t="str">
        <f t="shared" si="612"/>
        <v>Y</v>
      </c>
      <c r="CD1880" s="319" t="str">
        <f t="shared" si="612"/>
        <v>Y</v>
      </c>
      <c r="CE1880" s="319" t="str">
        <f t="shared" si="612"/>
        <v>Y</v>
      </c>
      <c r="CF1880" s="319" t="str">
        <f t="shared" si="612"/>
        <v>Y</v>
      </c>
      <c r="CG1880" s="319" t="str">
        <f t="shared" si="612"/>
        <v>Y</v>
      </c>
      <c r="CH1880" s="319" t="str">
        <f t="shared" si="612"/>
        <v/>
      </c>
      <c r="CI1880" s="319" t="str">
        <f t="shared" si="612"/>
        <v>Y</v>
      </c>
      <c r="CJ1880" s="319" t="str">
        <f t="shared" si="612"/>
        <v>Y</v>
      </c>
      <c r="CK1880" s="342">
        <f t="shared" si="182"/>
        <v>5.371219601</v>
      </c>
      <c r="CL1880" s="333">
        <f t="shared" si="183"/>
        <v>52.40467536</v>
      </c>
      <c r="CM1880" s="1079" t="s">
        <v>2430</v>
      </c>
      <c r="CN1880" s="1005" t="s">
        <v>2781</v>
      </c>
      <c r="CO1880" s="1005" t="s">
        <v>2400</v>
      </c>
      <c r="CP1880" s="1005" t="s">
        <v>2400</v>
      </c>
    </row>
    <row r="1881">
      <c r="A1881" s="266"/>
      <c r="B1881" s="1113" t="s">
        <v>1649</v>
      </c>
      <c r="C1881" s="1107">
        <v>45489.0</v>
      </c>
      <c r="D1881" s="103"/>
      <c r="E1881" s="1108">
        <v>20.0</v>
      </c>
      <c r="F1881" s="112" t="s">
        <v>2811</v>
      </c>
      <c r="G1881" s="1110">
        <v>0.5266203703703703</v>
      </c>
      <c r="H1881" s="1110">
        <v>0.5269097222222222</v>
      </c>
      <c r="I1881" s="1110"/>
      <c r="J1881" s="1111"/>
      <c r="K1881" s="1111">
        <v>0.5282986111111111</v>
      </c>
      <c r="L1881" s="1112">
        <v>0.001388888888888889</v>
      </c>
      <c r="M1881" s="1113" t="s">
        <v>358</v>
      </c>
      <c r="N1881" s="110" t="s">
        <v>187</v>
      </c>
      <c r="O1881" s="1115" t="s">
        <v>2807</v>
      </c>
      <c r="P1881" s="1115" t="s">
        <v>256</v>
      </c>
      <c r="Q1881" s="1116"/>
      <c r="R1881" s="120">
        <v>10.0</v>
      </c>
      <c r="S1881" s="1113">
        <v>5.0</v>
      </c>
      <c r="T1881" s="110">
        <v>0.6</v>
      </c>
      <c r="U1881" s="1108">
        <v>3.0</v>
      </c>
      <c r="V1881" s="1108"/>
      <c r="W1881" s="1108"/>
      <c r="X1881" s="1108"/>
      <c r="Y1881" s="1108"/>
      <c r="Z1881" s="1114" t="s">
        <v>339</v>
      </c>
      <c r="AA1881" s="1114"/>
      <c r="AB1881" s="1114" t="s">
        <v>337</v>
      </c>
      <c r="AC1881" s="1117">
        <v>2.5</v>
      </c>
      <c r="AD1881" s="1115"/>
      <c r="AE1881" s="1115"/>
      <c r="AF1881" s="1115"/>
      <c r="AG1881" s="1115"/>
      <c r="AH1881" s="1115"/>
      <c r="AI1881" s="1115"/>
      <c r="AJ1881" s="1117"/>
      <c r="AK1881" s="1118"/>
      <c r="AL1881" s="1115"/>
      <c r="AM1881" s="1115"/>
      <c r="AN1881" s="1115"/>
      <c r="AO1881" s="1115"/>
      <c r="AP1881" s="1115"/>
      <c r="AQ1881" s="1115"/>
      <c r="AR1881" s="1115"/>
      <c r="AS1881" s="1117"/>
      <c r="AT1881" s="1196" t="str">
        <f t="shared" si="428"/>
        <v>1-10</v>
      </c>
      <c r="AU1881" s="1193"/>
      <c r="AV1881" s="330">
        <f>SQRT(($R1881-Infrastructure!J$3)^2+($S1881-Infrastructure!K$3)^2)</f>
        <v>26.02498799</v>
      </c>
      <c r="AW1881" s="331">
        <f>SQRT(($R1881-Infrastructure!J$4)^2+($S1881-Infrastructure!K$4)^2)</f>
        <v>16.42954655</v>
      </c>
      <c r="AX1881" s="331">
        <f>SQRT(($R1881-Infrastructure!J$5)^2+($S1881-Infrastructure!K$5)^2)</f>
        <v>10.30048543</v>
      </c>
      <c r="AY1881" s="331">
        <f>SQRT(($R1881-Infrastructure!J$6)^2+($S1881-Infrastructure!K$6)^2)</f>
        <v>4.701063709</v>
      </c>
      <c r="AZ1881" s="331">
        <f>SQRT(($R1881-Infrastructure!J$7)^2+($S1881-Infrastructure!K$7)^2)</f>
        <v>11.50391238</v>
      </c>
      <c r="BA1881" s="331">
        <f>SQRT(($R1881-Infrastructure!J$8)^2+($S1881-Infrastructure!K$8)^2)</f>
        <v>20.64218981</v>
      </c>
      <c r="BB1881" s="331">
        <f>SQRT(($R1881-Infrastructure!J$9)^2+($S1881-Infrastructure!K$9)^2)</f>
        <v>30.00016667</v>
      </c>
      <c r="BC1881" s="331">
        <f>SQRT(($R1881-Infrastructure!J$10)^2+($S1881-Infrastructure!K$10)^2)</f>
        <v>31.6227766</v>
      </c>
      <c r="BD1881" s="331">
        <f>SQRT(($R1881-Infrastructure!J$11)^2+($S1881-Infrastructure!K$11)^2)</f>
        <v>38.57512152</v>
      </c>
      <c r="BE1881" s="333">
        <f>SQRT(($R1881-Infrastructure!J$12)^2+($S1881-Infrastructure!K$12)^2)</f>
        <v>51.79285665</v>
      </c>
      <c r="BF1881" s="330">
        <f t="shared" si="161"/>
        <v>4.701063709</v>
      </c>
      <c r="BG1881" s="333">
        <f t="shared" si="162"/>
        <v>51.79285665</v>
      </c>
      <c r="BH1881" s="1119"/>
      <c r="BI1881" s="319" t="str">
        <f t="shared" ref="BI1881:BR1881" si="613">IF(ISNUMBER(FIND(BI$3, $CO1881)), "Y", "")</f>
        <v>Y</v>
      </c>
      <c r="BJ1881" s="319" t="str">
        <f t="shared" si="613"/>
        <v>Y</v>
      </c>
      <c r="BK1881" s="319" t="str">
        <f t="shared" si="613"/>
        <v>Y</v>
      </c>
      <c r="BL1881" s="319" t="str">
        <f t="shared" si="613"/>
        <v>Y</v>
      </c>
      <c r="BM1881" s="319" t="str">
        <f t="shared" si="613"/>
        <v>Y</v>
      </c>
      <c r="BN1881" s="319" t="str">
        <f t="shared" si="613"/>
        <v>Y</v>
      </c>
      <c r="BO1881" s="319" t="str">
        <f t="shared" si="613"/>
        <v>Y</v>
      </c>
      <c r="BP1881" s="319" t="str">
        <f t="shared" si="613"/>
        <v/>
      </c>
      <c r="BQ1881" s="319" t="str">
        <f t="shared" si="613"/>
        <v>Y</v>
      </c>
      <c r="BR1881" s="319" t="str">
        <f t="shared" si="613"/>
        <v>Y</v>
      </c>
      <c r="BS1881" s="330">
        <f t="shared" si="185"/>
        <v>4.701063709</v>
      </c>
      <c r="BT1881" s="331">
        <f t="shared" si="170"/>
        <v>51.79285665</v>
      </c>
      <c r="BU1881" s="920">
        <v>0.5272222222222223</v>
      </c>
      <c r="BV1881" s="903">
        <f t="shared" si="186"/>
        <v>0.0006018518519</v>
      </c>
      <c r="BW1881" s="908">
        <v>8.9</v>
      </c>
      <c r="BX1881" s="908">
        <v>13.5</v>
      </c>
      <c r="BY1881" s="331">
        <f t="shared" si="201"/>
        <v>8.570880935</v>
      </c>
      <c r="BZ1881" s="331"/>
      <c r="CA1881" s="462" t="str">
        <f t="shared" ref="CA1881:CJ1881" si="614">IF(ISNUMBER(FIND(BI$3, $CP1881)), "Y", "")</f>
        <v>Y</v>
      </c>
      <c r="CB1881" s="319" t="str">
        <f t="shared" si="614"/>
        <v>Y</v>
      </c>
      <c r="CC1881" s="319" t="str">
        <f t="shared" si="614"/>
        <v>Y</v>
      </c>
      <c r="CD1881" s="319" t="str">
        <f t="shared" si="614"/>
        <v>Y</v>
      </c>
      <c r="CE1881" s="319" t="str">
        <f t="shared" si="614"/>
        <v>Y</v>
      </c>
      <c r="CF1881" s="319" t="str">
        <f t="shared" si="614"/>
        <v>Y</v>
      </c>
      <c r="CG1881" s="319" t="str">
        <f t="shared" si="614"/>
        <v>Y</v>
      </c>
      <c r="CH1881" s="319" t="str">
        <f t="shared" si="614"/>
        <v/>
      </c>
      <c r="CI1881" s="319" t="str">
        <f t="shared" si="614"/>
        <v>Y</v>
      </c>
      <c r="CJ1881" s="319" t="str">
        <f t="shared" si="614"/>
        <v>Y</v>
      </c>
      <c r="CK1881" s="342">
        <f t="shared" si="182"/>
        <v>4.701063709</v>
      </c>
      <c r="CL1881" s="333">
        <f t="shared" si="183"/>
        <v>51.79285665</v>
      </c>
      <c r="CM1881" s="1079" t="s">
        <v>2430</v>
      </c>
      <c r="CN1881" s="1005" t="s">
        <v>2781</v>
      </c>
      <c r="CO1881" s="1005" t="s">
        <v>2400</v>
      </c>
      <c r="CP1881" s="1005" t="s">
        <v>2400</v>
      </c>
    </row>
    <row r="1882">
      <c r="A1882" s="266"/>
      <c r="B1882" s="1113" t="s">
        <v>1649</v>
      </c>
      <c r="C1882" s="1107">
        <v>45489.0</v>
      </c>
      <c r="D1882" s="103"/>
      <c r="E1882" s="1108">
        <v>21.0</v>
      </c>
      <c r="F1882" s="112" t="s">
        <v>2812</v>
      </c>
      <c r="G1882" s="1110">
        <v>0.5289930555555555</v>
      </c>
      <c r="H1882" s="1110">
        <v>0.5291666666666667</v>
      </c>
      <c r="I1882" s="1110"/>
      <c r="J1882" s="1111"/>
      <c r="K1882" s="1111">
        <v>0.5305555555555556</v>
      </c>
      <c r="L1882" s="1112">
        <v>0.001388888888888889</v>
      </c>
      <c r="M1882" s="1113" t="s">
        <v>358</v>
      </c>
      <c r="N1882" s="110" t="s">
        <v>187</v>
      </c>
      <c r="O1882" s="1115" t="s">
        <v>2807</v>
      </c>
      <c r="P1882" s="1115" t="s">
        <v>256</v>
      </c>
      <c r="Q1882" s="1116"/>
      <c r="R1882" s="120">
        <v>12.5</v>
      </c>
      <c r="S1882" s="1113">
        <v>5.0</v>
      </c>
      <c r="T1882" s="110">
        <v>0.6</v>
      </c>
      <c r="U1882" s="1108">
        <v>3.0</v>
      </c>
      <c r="V1882" s="1108"/>
      <c r="W1882" s="1108"/>
      <c r="X1882" s="1108"/>
      <c r="Y1882" s="1108"/>
      <c r="Z1882" s="1114" t="s">
        <v>339</v>
      </c>
      <c r="AA1882" s="1114"/>
      <c r="AB1882" s="1114" t="s">
        <v>337</v>
      </c>
      <c r="AC1882" s="1117">
        <v>2.5</v>
      </c>
      <c r="AD1882" s="1115"/>
      <c r="AE1882" s="1115"/>
      <c r="AF1882" s="1115"/>
      <c r="AG1882" s="1115"/>
      <c r="AH1882" s="1115"/>
      <c r="AI1882" s="1115"/>
      <c r="AJ1882" s="1117"/>
      <c r="AK1882" s="1118"/>
      <c r="AL1882" s="1115"/>
      <c r="AM1882" s="1115"/>
      <c r="AN1882" s="1115"/>
      <c r="AO1882" s="1115"/>
      <c r="AP1882" s="1115"/>
      <c r="AQ1882" s="1115"/>
      <c r="AR1882" s="1115"/>
      <c r="AS1882" s="1117"/>
      <c r="AT1882" s="1196" t="str">
        <f t="shared" si="428"/>
        <v>1-10</v>
      </c>
      <c r="AU1882" s="1193"/>
      <c r="AV1882" s="330">
        <f>SQRT(($R1882-Infrastructure!J$3)^2+($S1882-Infrastructure!K$3)^2)</f>
        <v>27.11180555</v>
      </c>
      <c r="AW1882" s="331">
        <f>SQRT(($R1882-Infrastructure!J$4)^2+($S1882-Infrastructure!K$4)^2)</f>
        <v>18.1019336</v>
      </c>
      <c r="AX1882" s="331">
        <f>SQRT(($R1882-Infrastructure!J$5)^2+($S1882-Infrastructure!K$5)^2)</f>
        <v>12.80039062</v>
      </c>
      <c r="AY1882" s="331">
        <f>SQRT(($R1882-Infrastructure!J$6)^2+($S1882-Infrastructure!K$6)^2)</f>
        <v>5.277309921</v>
      </c>
      <c r="AZ1882" s="331">
        <f>SQRT(($R1882-Infrastructure!J$7)^2+($S1882-Infrastructure!K$7)^2)</f>
        <v>9.278469701</v>
      </c>
      <c r="BA1882" s="331">
        <f>SQRT(($R1882-Infrastructure!J$8)^2+($S1882-Infrastructure!K$8)^2)</f>
        <v>18.21675053</v>
      </c>
      <c r="BB1882" s="331">
        <f>SQRT(($R1882-Infrastructure!J$9)^2+($S1882-Infrastructure!K$9)^2)</f>
        <v>27.50018182</v>
      </c>
      <c r="BC1882" s="331">
        <f>SQRT(($R1882-Infrastructure!J$10)^2+($S1882-Infrastructure!K$10)^2)</f>
        <v>29.26174978</v>
      </c>
      <c r="BD1882" s="331">
        <f>SQRT(($R1882-Infrastructure!J$11)^2+($S1882-Infrastructure!K$11)^2)</f>
        <v>36.65092086</v>
      </c>
      <c r="BE1882" s="333">
        <f>SQRT(($R1882-Infrastructure!J$12)^2+($S1882-Infrastructure!K$12)^2)</f>
        <v>51.29571132</v>
      </c>
      <c r="BF1882" s="330">
        <f t="shared" si="161"/>
        <v>5.277309921</v>
      </c>
      <c r="BG1882" s="333">
        <f t="shared" si="162"/>
        <v>51.29571132</v>
      </c>
      <c r="BH1882" s="1119"/>
      <c r="BI1882" s="319" t="str">
        <f t="shared" ref="BI1882:BR1882" si="615">IF(ISNUMBER(FIND(BI$3, $CO1882)), "Y", "")</f>
        <v>Y</v>
      </c>
      <c r="BJ1882" s="319" t="str">
        <f t="shared" si="615"/>
        <v>Y</v>
      </c>
      <c r="BK1882" s="319" t="str">
        <f t="shared" si="615"/>
        <v>Y</v>
      </c>
      <c r="BL1882" s="319" t="str">
        <f t="shared" si="615"/>
        <v>Y</v>
      </c>
      <c r="BM1882" s="319" t="str">
        <f t="shared" si="615"/>
        <v>Y</v>
      </c>
      <c r="BN1882" s="319" t="str">
        <f t="shared" si="615"/>
        <v>Y</v>
      </c>
      <c r="BO1882" s="319" t="str">
        <f t="shared" si="615"/>
        <v>Y</v>
      </c>
      <c r="BP1882" s="319" t="str">
        <f t="shared" si="615"/>
        <v/>
      </c>
      <c r="BQ1882" s="319" t="str">
        <f t="shared" si="615"/>
        <v>Y</v>
      </c>
      <c r="BR1882" s="319" t="str">
        <f t="shared" si="615"/>
        <v>Y</v>
      </c>
      <c r="BS1882" s="330">
        <f t="shared" si="185"/>
        <v>5.277309921</v>
      </c>
      <c r="BT1882" s="331">
        <f t="shared" si="170"/>
        <v>51.29571132</v>
      </c>
      <c r="BU1882" s="920">
        <v>0.5295717592592593</v>
      </c>
      <c r="BV1882" s="903">
        <f t="shared" si="186"/>
        <v>0.0005787037037</v>
      </c>
      <c r="BW1882" s="908">
        <v>12.3</v>
      </c>
      <c r="BX1882" s="908">
        <v>15.8</v>
      </c>
      <c r="BY1882" s="331">
        <f t="shared" si="201"/>
        <v>10.80185169</v>
      </c>
      <c r="BZ1882" s="331"/>
      <c r="CA1882" s="462" t="str">
        <f t="shared" ref="CA1882:CJ1882" si="616">IF(ISNUMBER(FIND(BI$3, $CP1882)), "Y", "")</f>
        <v>Y</v>
      </c>
      <c r="CB1882" s="319" t="str">
        <f t="shared" si="616"/>
        <v>Y</v>
      </c>
      <c r="CC1882" s="319" t="str">
        <f t="shared" si="616"/>
        <v>Y</v>
      </c>
      <c r="CD1882" s="319" t="str">
        <f t="shared" si="616"/>
        <v>Y</v>
      </c>
      <c r="CE1882" s="319" t="str">
        <f t="shared" si="616"/>
        <v>Y</v>
      </c>
      <c r="CF1882" s="319" t="str">
        <f t="shared" si="616"/>
        <v>Y</v>
      </c>
      <c r="CG1882" s="319" t="str">
        <f t="shared" si="616"/>
        <v>Y</v>
      </c>
      <c r="CH1882" s="319" t="str">
        <f t="shared" si="616"/>
        <v/>
      </c>
      <c r="CI1882" s="319" t="str">
        <f t="shared" si="616"/>
        <v>Y</v>
      </c>
      <c r="CJ1882" s="319" t="str">
        <f t="shared" si="616"/>
        <v>Y</v>
      </c>
      <c r="CK1882" s="342">
        <f t="shared" si="182"/>
        <v>5.277309921</v>
      </c>
      <c r="CL1882" s="333">
        <f t="shared" si="183"/>
        <v>51.29571132</v>
      </c>
      <c r="CM1882" s="1079" t="s">
        <v>2430</v>
      </c>
      <c r="CN1882" s="1005" t="s">
        <v>2781</v>
      </c>
      <c r="CO1882" s="1005" t="s">
        <v>2400</v>
      </c>
      <c r="CP1882" s="1005" t="s">
        <v>2400</v>
      </c>
    </row>
    <row r="1883">
      <c r="A1883" s="266"/>
      <c r="B1883" s="1113" t="s">
        <v>1649</v>
      </c>
      <c r="C1883" s="1107">
        <v>45489.0</v>
      </c>
      <c r="D1883" s="103"/>
      <c r="E1883" s="1108">
        <v>22.0</v>
      </c>
      <c r="F1883" s="112" t="s">
        <v>2813</v>
      </c>
      <c r="G1883" s="1110">
        <v>0.53125</v>
      </c>
      <c r="H1883" s="1110">
        <v>0.5321180555555556</v>
      </c>
      <c r="I1883" s="1110"/>
      <c r="J1883" s="1111"/>
      <c r="K1883" s="1111">
        <v>0.5336805555555556</v>
      </c>
      <c r="L1883" s="1112">
        <v>0.0015625</v>
      </c>
      <c r="M1883" s="1113" t="s">
        <v>358</v>
      </c>
      <c r="N1883" s="110" t="s">
        <v>188</v>
      </c>
      <c r="O1883" s="1115" t="s">
        <v>378</v>
      </c>
      <c r="P1883" s="1115" t="s">
        <v>225</v>
      </c>
      <c r="Q1883" s="1116"/>
      <c r="R1883" s="120">
        <v>22.7</v>
      </c>
      <c r="S1883" s="1113">
        <v>39.7</v>
      </c>
      <c r="T1883" s="110">
        <v>1.1</v>
      </c>
      <c r="U1883" s="1108">
        <v>15.0</v>
      </c>
      <c r="V1883" s="1108"/>
      <c r="W1883" s="1108"/>
      <c r="X1883" s="1108"/>
      <c r="Y1883" s="1108"/>
      <c r="Z1883" s="1114" t="s">
        <v>1140</v>
      </c>
      <c r="AA1883" s="1114"/>
      <c r="AB1883" s="1114" t="s">
        <v>349</v>
      </c>
      <c r="AC1883" s="1117">
        <v>5.0</v>
      </c>
      <c r="AD1883" s="1115"/>
      <c r="AE1883" s="1115"/>
      <c r="AF1883" s="1115"/>
      <c r="AG1883" s="1115"/>
      <c r="AH1883" s="1115"/>
      <c r="AI1883" s="1115"/>
      <c r="AJ1883" s="1117"/>
      <c r="AK1883" s="1118"/>
      <c r="AL1883" s="1115"/>
      <c r="AM1883" s="1115"/>
      <c r="AN1883" s="1115"/>
      <c r="AO1883" s="1115"/>
      <c r="AP1883" s="1115"/>
      <c r="AQ1883" s="1115"/>
      <c r="AR1883" s="1115"/>
      <c r="AS1883" s="1117"/>
      <c r="AT1883" s="1196" t="str">
        <f t="shared" si="428"/>
        <v>10+</v>
      </c>
      <c r="AU1883" s="1193"/>
      <c r="AV1883" s="330">
        <f>SQRT(($R1883-Infrastructure!J$3)^2+($S1883-Infrastructure!K$3)^2)</f>
        <v>25.40944706</v>
      </c>
      <c r="AW1883" s="331">
        <f>SQRT(($R1883-Infrastructure!J$4)^2+($S1883-Infrastructure!K$4)^2)</f>
        <v>31.75862088</v>
      </c>
      <c r="AX1883" s="331">
        <f>SQRT(($R1883-Infrastructure!J$5)^2+($S1883-Infrastructure!K$5)^2)</f>
        <v>41.54708173</v>
      </c>
      <c r="AY1883" s="331">
        <f>SQRT(($R1883-Infrastructure!J$6)^2+($S1883-Infrastructure!K$6)^2)</f>
        <v>41.36568626</v>
      </c>
      <c r="AZ1883" s="331">
        <f>SQRT(($R1883-Infrastructure!J$7)^2+($S1883-Infrastructure!K$7)^2)</f>
        <v>39.46137352</v>
      </c>
      <c r="BA1883" s="331">
        <f>SQRT(($R1883-Infrastructure!J$8)^2+($S1883-Infrastructure!K$8)^2)</f>
        <v>40.08890121</v>
      </c>
      <c r="BB1883" s="331">
        <f>SQRT(($R1883-Infrastructure!J$9)^2+($S1883-Infrastructure!K$9)^2)</f>
        <v>38.68397601</v>
      </c>
      <c r="BC1883" s="331">
        <f>SQRT(($R1883-Infrastructure!J$10)^2+($S1883-Infrastructure!K$10)^2)</f>
        <v>30.15592811</v>
      </c>
      <c r="BD1883" s="331">
        <f>SQRT(($R1883-Infrastructure!J$11)^2+($S1883-Infrastructure!K$11)^2)</f>
        <v>20.51194774</v>
      </c>
      <c r="BE1883" s="333">
        <f>SQRT(($R1883-Infrastructure!J$12)^2+($S1883-Infrastructure!K$12)^2)</f>
        <v>15.84550409</v>
      </c>
      <c r="BF1883" s="330">
        <f t="shared" si="161"/>
        <v>15.84550409</v>
      </c>
      <c r="BG1883" s="333">
        <f t="shared" si="162"/>
        <v>41.54708173</v>
      </c>
      <c r="BH1883" s="1119"/>
      <c r="BI1883" s="319" t="str">
        <f t="shared" ref="BI1883:BR1883" si="617">IF(ISNUMBER(FIND(BI$3, $CO1883)), "Y", "")</f>
        <v>Y</v>
      </c>
      <c r="BJ1883" s="319" t="str">
        <f t="shared" si="617"/>
        <v>Y</v>
      </c>
      <c r="BK1883" s="319" t="str">
        <f t="shared" si="617"/>
        <v/>
      </c>
      <c r="BL1883" s="319" t="str">
        <f t="shared" si="617"/>
        <v/>
      </c>
      <c r="BM1883" s="319" t="str">
        <f t="shared" si="617"/>
        <v/>
      </c>
      <c r="BN1883" s="319" t="str">
        <f t="shared" si="617"/>
        <v/>
      </c>
      <c r="BO1883" s="319" t="str">
        <f t="shared" si="617"/>
        <v/>
      </c>
      <c r="BP1883" s="319" t="str">
        <f t="shared" si="617"/>
        <v/>
      </c>
      <c r="BQ1883" s="319" t="str">
        <f t="shared" si="617"/>
        <v>Y</v>
      </c>
      <c r="BR1883" s="319" t="str">
        <f t="shared" si="617"/>
        <v>Y</v>
      </c>
      <c r="BS1883" s="330">
        <f t="shared" si="185"/>
        <v>15.84550409</v>
      </c>
      <c r="BT1883" s="331">
        <f t="shared" si="170"/>
        <v>31.75862088</v>
      </c>
      <c r="BU1883" s="920">
        <v>0.531863425925926</v>
      </c>
      <c r="BV1883" s="903">
        <f t="shared" si="186"/>
        <v>0.0006134259259</v>
      </c>
      <c r="BW1883" s="908">
        <v>15.4</v>
      </c>
      <c r="BX1883" s="908">
        <v>38.4</v>
      </c>
      <c r="BY1883" s="331">
        <f t="shared" si="201"/>
        <v>7.414849965</v>
      </c>
      <c r="BZ1883" s="331"/>
      <c r="CA1883" s="462" t="str">
        <f t="shared" ref="CA1883:CJ1883" si="618">IF(ISNUMBER(FIND(BI$3, $CP1883)), "Y", "")</f>
        <v>Y</v>
      </c>
      <c r="CB1883" s="319" t="str">
        <f t="shared" si="618"/>
        <v>Y</v>
      </c>
      <c r="CC1883" s="319" t="str">
        <f t="shared" si="618"/>
        <v>Y</v>
      </c>
      <c r="CD1883" s="319" t="str">
        <f t="shared" si="618"/>
        <v>Y</v>
      </c>
      <c r="CE1883" s="319" t="str">
        <f t="shared" si="618"/>
        <v>Y</v>
      </c>
      <c r="CF1883" s="319" t="str">
        <f t="shared" si="618"/>
        <v>Y</v>
      </c>
      <c r="CG1883" s="319" t="str">
        <f t="shared" si="618"/>
        <v>Y</v>
      </c>
      <c r="CH1883" s="319" t="str">
        <f t="shared" si="618"/>
        <v/>
      </c>
      <c r="CI1883" s="319" t="str">
        <f t="shared" si="618"/>
        <v>Y</v>
      </c>
      <c r="CJ1883" s="319" t="str">
        <f t="shared" si="618"/>
        <v>Y</v>
      </c>
      <c r="CK1883" s="342">
        <f t="shared" si="182"/>
        <v>15.84550409</v>
      </c>
      <c r="CL1883" s="333">
        <f t="shared" si="183"/>
        <v>41.54708173</v>
      </c>
      <c r="CM1883" s="1079" t="s">
        <v>2432</v>
      </c>
      <c r="CN1883" s="1005" t="s">
        <v>2781</v>
      </c>
      <c r="CO1883" s="1005" t="s">
        <v>2505</v>
      </c>
      <c r="CP1883" s="1005" t="s">
        <v>2400</v>
      </c>
    </row>
    <row r="1884">
      <c r="A1884" s="266"/>
      <c r="B1884" s="1113" t="s">
        <v>1649</v>
      </c>
      <c r="C1884" s="1107">
        <v>45489.0</v>
      </c>
      <c r="D1884" s="103"/>
      <c r="E1884" s="1108">
        <v>23.0</v>
      </c>
      <c r="F1884" s="112" t="s">
        <v>2814</v>
      </c>
      <c r="G1884" s="1110">
        <v>0.534375</v>
      </c>
      <c r="H1884" s="1110">
        <v>0.5347222222222222</v>
      </c>
      <c r="I1884" s="1110"/>
      <c r="J1884" s="1111"/>
      <c r="K1884" s="1111">
        <v>0.5361111111111111</v>
      </c>
      <c r="L1884" s="1112">
        <v>0.001388888888888889</v>
      </c>
      <c r="M1884" s="1113" t="s">
        <v>358</v>
      </c>
      <c r="N1884" s="110" t="s">
        <v>188</v>
      </c>
      <c r="O1884" s="1115" t="s">
        <v>378</v>
      </c>
      <c r="P1884" s="1115" t="s">
        <v>225</v>
      </c>
      <c r="Q1884" s="1116"/>
      <c r="R1884" s="120">
        <v>22.7</v>
      </c>
      <c r="S1884" s="1113">
        <v>39.7</v>
      </c>
      <c r="T1884" s="110">
        <v>1.1</v>
      </c>
      <c r="U1884" s="1108">
        <v>10.0</v>
      </c>
      <c r="V1884" s="1108"/>
      <c r="W1884" s="1108"/>
      <c r="X1884" s="1108"/>
      <c r="Y1884" s="1108"/>
      <c r="Z1884" s="1114" t="s">
        <v>1140</v>
      </c>
      <c r="AA1884" s="1114"/>
      <c r="AB1884" s="1114" t="s">
        <v>349</v>
      </c>
      <c r="AC1884" s="1117">
        <v>5.0</v>
      </c>
      <c r="AD1884" s="1115"/>
      <c r="AE1884" s="1115"/>
      <c r="AF1884" s="1115"/>
      <c r="AG1884" s="1115"/>
      <c r="AH1884" s="1115"/>
      <c r="AI1884" s="1115"/>
      <c r="AJ1884" s="1117"/>
      <c r="AK1884" s="1118"/>
      <c r="AL1884" s="1115"/>
      <c r="AM1884" s="1115"/>
      <c r="AN1884" s="1115"/>
      <c r="AO1884" s="1115"/>
      <c r="AP1884" s="1115"/>
      <c r="AQ1884" s="1115"/>
      <c r="AR1884" s="1115"/>
      <c r="AS1884" s="1117"/>
      <c r="AT1884" s="1196" t="str">
        <f t="shared" si="428"/>
        <v>10+</v>
      </c>
      <c r="AU1884" s="1193"/>
      <c r="AV1884" s="330">
        <f>SQRT(($R1884-Infrastructure!J$3)^2+($S1884-Infrastructure!K$3)^2)</f>
        <v>25.40944706</v>
      </c>
      <c r="AW1884" s="331">
        <f>SQRT(($R1884-Infrastructure!J$4)^2+($S1884-Infrastructure!K$4)^2)</f>
        <v>31.75862088</v>
      </c>
      <c r="AX1884" s="331">
        <f>SQRT(($R1884-Infrastructure!J$5)^2+($S1884-Infrastructure!K$5)^2)</f>
        <v>41.54708173</v>
      </c>
      <c r="AY1884" s="331">
        <f>SQRT(($R1884-Infrastructure!J$6)^2+($S1884-Infrastructure!K$6)^2)</f>
        <v>41.36568626</v>
      </c>
      <c r="AZ1884" s="331">
        <f>SQRT(($R1884-Infrastructure!J$7)^2+($S1884-Infrastructure!K$7)^2)</f>
        <v>39.46137352</v>
      </c>
      <c r="BA1884" s="331">
        <f>SQRT(($R1884-Infrastructure!J$8)^2+($S1884-Infrastructure!K$8)^2)</f>
        <v>40.08890121</v>
      </c>
      <c r="BB1884" s="331">
        <f>SQRT(($R1884-Infrastructure!J$9)^2+($S1884-Infrastructure!K$9)^2)</f>
        <v>38.68397601</v>
      </c>
      <c r="BC1884" s="331">
        <f>SQRT(($R1884-Infrastructure!J$10)^2+($S1884-Infrastructure!K$10)^2)</f>
        <v>30.15592811</v>
      </c>
      <c r="BD1884" s="331">
        <f>SQRT(($R1884-Infrastructure!J$11)^2+($S1884-Infrastructure!K$11)^2)</f>
        <v>20.51194774</v>
      </c>
      <c r="BE1884" s="333">
        <f>SQRT(($R1884-Infrastructure!J$12)^2+($S1884-Infrastructure!K$12)^2)</f>
        <v>15.84550409</v>
      </c>
      <c r="BF1884" s="330">
        <f t="shared" si="161"/>
        <v>15.84550409</v>
      </c>
      <c r="BG1884" s="333">
        <f t="shared" si="162"/>
        <v>41.54708173</v>
      </c>
      <c r="BH1884" s="1119"/>
      <c r="BI1884" s="319" t="str">
        <f t="shared" ref="BI1884:BR1884" si="619">IF(ISNUMBER(FIND(BI$3, $CO1884)), "Y", "")</f>
        <v>Y</v>
      </c>
      <c r="BJ1884" s="319" t="str">
        <f t="shared" si="619"/>
        <v>Y</v>
      </c>
      <c r="BK1884" s="319" t="str">
        <f t="shared" si="619"/>
        <v/>
      </c>
      <c r="BL1884" s="319" t="str">
        <f t="shared" si="619"/>
        <v>Y</v>
      </c>
      <c r="BM1884" s="319" t="str">
        <f t="shared" si="619"/>
        <v>Y</v>
      </c>
      <c r="BN1884" s="319" t="str">
        <f t="shared" si="619"/>
        <v>Y</v>
      </c>
      <c r="BO1884" s="319" t="str">
        <f t="shared" si="619"/>
        <v>Y</v>
      </c>
      <c r="BP1884" s="319" t="str">
        <f t="shared" si="619"/>
        <v/>
      </c>
      <c r="BQ1884" s="319" t="str">
        <f t="shared" si="619"/>
        <v>Y</v>
      </c>
      <c r="BR1884" s="319" t="str">
        <f t="shared" si="619"/>
        <v>Y</v>
      </c>
      <c r="BS1884" s="330">
        <f t="shared" si="185"/>
        <v>15.84550409</v>
      </c>
      <c r="BT1884" s="331">
        <f t="shared" si="170"/>
        <v>41.36568626</v>
      </c>
      <c r="BU1884" s="920">
        <v>0.5349537037037037</v>
      </c>
      <c r="BV1884" s="903">
        <f t="shared" si="186"/>
        <v>0.0005787037037</v>
      </c>
      <c r="BW1884" s="908">
        <v>17.2</v>
      </c>
      <c r="BX1884" s="908">
        <v>46.4</v>
      </c>
      <c r="BY1884" s="331">
        <f t="shared" si="201"/>
        <v>8.668333173</v>
      </c>
      <c r="BZ1884" s="331"/>
      <c r="CA1884" s="462" t="str">
        <f t="shared" ref="CA1884:CJ1884" si="620">IF(ISNUMBER(FIND(BI$3, $CP1884)), "Y", "")</f>
        <v>Y</v>
      </c>
      <c r="CB1884" s="319" t="str">
        <f t="shared" si="620"/>
        <v>Y</v>
      </c>
      <c r="CC1884" s="319" t="str">
        <f t="shared" si="620"/>
        <v>Y</v>
      </c>
      <c r="CD1884" s="319" t="str">
        <f t="shared" si="620"/>
        <v>Y</v>
      </c>
      <c r="CE1884" s="319" t="str">
        <f t="shared" si="620"/>
        <v>Y</v>
      </c>
      <c r="CF1884" s="319" t="str">
        <f t="shared" si="620"/>
        <v>Y</v>
      </c>
      <c r="CG1884" s="319" t="str">
        <f t="shared" si="620"/>
        <v>Y</v>
      </c>
      <c r="CH1884" s="319" t="str">
        <f t="shared" si="620"/>
        <v/>
      </c>
      <c r="CI1884" s="319" t="str">
        <f t="shared" si="620"/>
        <v>Y</v>
      </c>
      <c r="CJ1884" s="319" t="str">
        <f t="shared" si="620"/>
        <v>Y</v>
      </c>
      <c r="CK1884" s="342">
        <f t="shared" si="182"/>
        <v>15.84550409</v>
      </c>
      <c r="CL1884" s="333">
        <f t="shared" si="183"/>
        <v>41.54708173</v>
      </c>
      <c r="CM1884" s="1079" t="s">
        <v>2794</v>
      </c>
      <c r="CN1884" s="1005" t="s">
        <v>2781</v>
      </c>
      <c r="CO1884" s="1005" t="s">
        <v>2637</v>
      </c>
      <c r="CP1884" s="1005" t="s">
        <v>2400</v>
      </c>
    </row>
    <row r="1885">
      <c r="A1885" s="266"/>
      <c r="B1885" s="1113" t="s">
        <v>1649</v>
      </c>
      <c r="C1885" s="1107">
        <v>45489.0</v>
      </c>
      <c r="D1885" s="103"/>
      <c r="E1885" s="1108">
        <v>24.0</v>
      </c>
      <c r="F1885" s="112" t="s">
        <v>2815</v>
      </c>
      <c r="G1885" s="1110">
        <v>0.5368055555555555</v>
      </c>
      <c r="H1885" s="1110">
        <v>0.5369791666666667</v>
      </c>
      <c r="I1885" s="1110"/>
      <c r="J1885" s="1111"/>
      <c r="K1885" s="1111">
        <v>0.5385416666666667</v>
      </c>
      <c r="L1885" s="1112">
        <v>0.0015625</v>
      </c>
      <c r="M1885" s="1113" t="s">
        <v>358</v>
      </c>
      <c r="N1885" s="110" t="s">
        <v>188</v>
      </c>
      <c r="O1885" s="1115" t="s">
        <v>378</v>
      </c>
      <c r="P1885" s="1115" t="s">
        <v>225</v>
      </c>
      <c r="Q1885" s="1116"/>
      <c r="R1885" s="120">
        <v>22.7</v>
      </c>
      <c r="S1885" s="1113">
        <v>39.7</v>
      </c>
      <c r="T1885" s="110">
        <v>1.1</v>
      </c>
      <c r="U1885" s="1108">
        <v>5.0</v>
      </c>
      <c r="V1885" s="1108"/>
      <c r="W1885" s="1108"/>
      <c r="X1885" s="1108"/>
      <c r="Y1885" s="1108"/>
      <c r="Z1885" s="1114" t="s">
        <v>1140</v>
      </c>
      <c r="AA1885" s="1114"/>
      <c r="AB1885" s="1114" t="s">
        <v>349</v>
      </c>
      <c r="AC1885" s="1117">
        <v>5.0</v>
      </c>
      <c r="AD1885" s="1115"/>
      <c r="AE1885" s="1115"/>
      <c r="AF1885" s="1115"/>
      <c r="AG1885" s="1115"/>
      <c r="AH1885" s="1115"/>
      <c r="AI1885" s="1115"/>
      <c r="AJ1885" s="1117"/>
      <c r="AK1885" s="1118"/>
      <c r="AL1885" s="1115"/>
      <c r="AM1885" s="1115"/>
      <c r="AN1885" s="1115"/>
      <c r="AO1885" s="1115"/>
      <c r="AP1885" s="1115"/>
      <c r="AQ1885" s="1115"/>
      <c r="AR1885" s="1115"/>
      <c r="AS1885" s="1117"/>
      <c r="AT1885" s="1196" t="str">
        <f t="shared" si="428"/>
        <v>1-10</v>
      </c>
      <c r="AU1885" s="1193"/>
      <c r="AV1885" s="330">
        <f>SQRT(($R1885-Infrastructure!J$3)^2+($S1885-Infrastructure!K$3)^2)</f>
        <v>25.40944706</v>
      </c>
      <c r="AW1885" s="331">
        <f>SQRT(($R1885-Infrastructure!J$4)^2+($S1885-Infrastructure!K$4)^2)</f>
        <v>31.75862088</v>
      </c>
      <c r="AX1885" s="331">
        <f>SQRT(($R1885-Infrastructure!J$5)^2+($S1885-Infrastructure!K$5)^2)</f>
        <v>41.54708173</v>
      </c>
      <c r="AY1885" s="331">
        <f>SQRT(($R1885-Infrastructure!J$6)^2+($S1885-Infrastructure!K$6)^2)</f>
        <v>41.36568626</v>
      </c>
      <c r="AZ1885" s="331">
        <f>SQRT(($R1885-Infrastructure!J$7)^2+($S1885-Infrastructure!K$7)^2)</f>
        <v>39.46137352</v>
      </c>
      <c r="BA1885" s="331">
        <f>SQRT(($R1885-Infrastructure!J$8)^2+($S1885-Infrastructure!K$8)^2)</f>
        <v>40.08890121</v>
      </c>
      <c r="BB1885" s="331">
        <f>SQRT(($R1885-Infrastructure!J$9)^2+($S1885-Infrastructure!K$9)^2)</f>
        <v>38.68397601</v>
      </c>
      <c r="BC1885" s="331">
        <f>SQRT(($R1885-Infrastructure!J$10)^2+($S1885-Infrastructure!K$10)^2)</f>
        <v>30.15592811</v>
      </c>
      <c r="BD1885" s="331">
        <f>SQRT(($R1885-Infrastructure!J$11)^2+($S1885-Infrastructure!K$11)^2)</f>
        <v>20.51194774</v>
      </c>
      <c r="BE1885" s="333">
        <f>SQRT(($R1885-Infrastructure!J$12)^2+($S1885-Infrastructure!K$12)^2)</f>
        <v>15.84550409</v>
      </c>
      <c r="BF1885" s="330">
        <f t="shared" si="161"/>
        <v>15.84550409</v>
      </c>
      <c r="BG1885" s="333">
        <f t="shared" si="162"/>
        <v>41.54708173</v>
      </c>
      <c r="BH1885" s="1119"/>
      <c r="BI1885" s="319" t="str">
        <f t="shared" ref="BI1885:BR1885" si="621">IF(ISNUMBER(FIND(BI$3, $CO1885)), "Y", "")</f>
        <v>Y</v>
      </c>
      <c r="BJ1885" s="319" t="str">
        <f t="shared" si="621"/>
        <v>Y</v>
      </c>
      <c r="BK1885" s="319" t="str">
        <f t="shared" si="621"/>
        <v/>
      </c>
      <c r="BL1885" s="319" t="str">
        <f t="shared" si="621"/>
        <v/>
      </c>
      <c r="BM1885" s="319" t="str">
        <f t="shared" si="621"/>
        <v/>
      </c>
      <c r="BN1885" s="319" t="str">
        <f t="shared" si="621"/>
        <v/>
      </c>
      <c r="BO1885" s="319" t="str">
        <f t="shared" si="621"/>
        <v/>
      </c>
      <c r="BP1885" s="319" t="str">
        <f t="shared" si="621"/>
        <v/>
      </c>
      <c r="BQ1885" s="319" t="str">
        <f t="shared" si="621"/>
        <v>Y</v>
      </c>
      <c r="BR1885" s="319" t="str">
        <f t="shared" si="621"/>
        <v>Y</v>
      </c>
      <c r="BS1885" s="330">
        <f t="shared" si="185"/>
        <v>15.84550409</v>
      </c>
      <c r="BT1885" s="331">
        <f t="shared" si="170"/>
        <v>31.75862088</v>
      </c>
      <c r="BU1885" s="920">
        <v>0.5374189814814815</v>
      </c>
      <c r="BV1885" s="903">
        <f t="shared" si="186"/>
        <v>0.0006134259259</v>
      </c>
      <c r="BW1885" s="908">
        <v>13.7</v>
      </c>
      <c r="BX1885" s="908">
        <v>39.6</v>
      </c>
      <c r="BY1885" s="331">
        <f t="shared" si="201"/>
        <v>9.000555538</v>
      </c>
      <c r="BZ1885" s="331"/>
      <c r="CA1885" s="462" t="str">
        <f t="shared" ref="CA1885:CJ1885" si="622">IF(ISNUMBER(FIND(BI$3, $CP1885)), "Y", "")</f>
        <v>Y</v>
      </c>
      <c r="CB1885" s="319" t="str">
        <f t="shared" si="622"/>
        <v>Y</v>
      </c>
      <c r="CC1885" s="319" t="str">
        <f t="shared" si="622"/>
        <v>Y</v>
      </c>
      <c r="CD1885" s="319" t="str">
        <f t="shared" si="622"/>
        <v>Y</v>
      </c>
      <c r="CE1885" s="319" t="str">
        <f t="shared" si="622"/>
        <v>Y</v>
      </c>
      <c r="CF1885" s="319" t="str">
        <f t="shared" si="622"/>
        <v>Y</v>
      </c>
      <c r="CG1885" s="319" t="str">
        <f t="shared" si="622"/>
        <v>Y</v>
      </c>
      <c r="CH1885" s="319" t="str">
        <f t="shared" si="622"/>
        <v/>
      </c>
      <c r="CI1885" s="319" t="str">
        <f t="shared" si="622"/>
        <v>Y</v>
      </c>
      <c r="CJ1885" s="319" t="str">
        <f t="shared" si="622"/>
        <v>Y</v>
      </c>
      <c r="CK1885" s="342">
        <f t="shared" si="182"/>
        <v>15.84550409</v>
      </c>
      <c r="CL1885" s="333">
        <f t="shared" si="183"/>
        <v>41.54708173</v>
      </c>
      <c r="CM1885" s="1079" t="s">
        <v>2623</v>
      </c>
      <c r="CN1885" s="1005" t="s">
        <v>2781</v>
      </c>
      <c r="CO1885" s="1005" t="s">
        <v>2505</v>
      </c>
      <c r="CP1885" s="1005" t="s">
        <v>2400</v>
      </c>
    </row>
    <row r="1886">
      <c r="A1886" s="1258"/>
      <c r="B1886" s="1129" t="s">
        <v>1649</v>
      </c>
      <c r="C1886" s="1122">
        <v>45489.0</v>
      </c>
      <c r="D1886" s="1123"/>
      <c r="E1886" s="1144"/>
      <c r="F1886" s="108" t="s">
        <v>2816</v>
      </c>
      <c r="G1886" s="1126">
        <v>0.5951388888888889</v>
      </c>
      <c r="H1886" s="1145"/>
      <c r="I1886" s="1145"/>
      <c r="J1886" s="1146"/>
      <c r="K1886" s="1127">
        <v>0.5982638888888889</v>
      </c>
      <c r="L1886" s="1128">
        <v>0.003125</v>
      </c>
      <c r="M1886" s="1129" t="s">
        <v>358</v>
      </c>
      <c r="N1886" s="100" t="s">
        <v>188</v>
      </c>
      <c r="O1886" s="1161"/>
      <c r="P1886" s="1131" t="s">
        <v>294</v>
      </c>
      <c r="Q1886" s="1132"/>
      <c r="R1886" s="1148"/>
      <c r="S1886" s="1129"/>
      <c r="T1886" s="1150"/>
      <c r="U1886" s="1124" t="s">
        <v>323</v>
      </c>
      <c r="V1886" s="1124"/>
      <c r="W1886" s="1124"/>
      <c r="X1886" s="1124"/>
      <c r="Y1886" s="1124"/>
      <c r="Z1886" s="1130" t="s">
        <v>323</v>
      </c>
      <c r="AA1886" s="1130"/>
      <c r="AB1886" s="1130" t="s">
        <v>323</v>
      </c>
      <c r="AC1886" s="1133" t="s">
        <v>323</v>
      </c>
      <c r="AD1886" s="1131"/>
      <c r="AE1886" s="1131"/>
      <c r="AF1886" s="1131"/>
      <c r="AG1886" s="1131"/>
      <c r="AH1886" s="1131"/>
      <c r="AI1886" s="1131"/>
      <c r="AJ1886" s="1133"/>
      <c r="AK1886" s="1134"/>
      <c r="AL1886" s="1131"/>
      <c r="AM1886" s="1131"/>
      <c r="AN1886" s="1131"/>
      <c r="AO1886" s="1131"/>
      <c r="AP1886" s="1131"/>
      <c r="AQ1886" s="1131"/>
      <c r="AR1886" s="1131"/>
      <c r="AS1886" s="1133"/>
      <c r="AT1886" s="1197" t="str">
        <f t="shared" si="428"/>
        <v/>
      </c>
      <c r="AU1886" s="1194"/>
      <c r="AV1886" s="662">
        <f>SQRT(($R1886-Infrastructure!J$3)^2+($S1886-Infrastructure!K$3)^2)</f>
        <v>28.90155705</v>
      </c>
      <c r="AW1886" s="641">
        <f>SQRT(($R1886-Infrastructure!J$4)^2+($S1886-Infrastructure!K$4)^2)</f>
        <v>17.80252791</v>
      </c>
      <c r="AX1886" s="641">
        <f>SQRT(($R1886-Infrastructure!J$5)^2+($S1886-Infrastructure!K$5)^2)</f>
        <v>5.10881591</v>
      </c>
      <c r="AY1886" s="641">
        <f>SQRT(($R1886-Infrastructure!J$6)^2+($S1886-Infrastructure!K$6)^2)</f>
        <v>10.10445446</v>
      </c>
      <c r="AZ1886" s="641">
        <f>SQRT(($R1886-Infrastructure!J$7)^2+($S1886-Infrastructure!K$7)^2)</f>
        <v>20.502195</v>
      </c>
      <c r="BA1886" s="641">
        <f>SQRT(($R1886-Infrastructure!J$8)^2+($S1886-Infrastructure!K$8)^2)</f>
        <v>30.10149498</v>
      </c>
      <c r="BB1886" s="641">
        <f>SQRT(($R1886-Infrastructure!J$9)^2+($S1886-Infrastructure!K$9)^2)</f>
        <v>40.3238143</v>
      </c>
      <c r="BC1886" s="641">
        <f>SQRT(($R1886-Infrastructure!J$10)^2+($S1886-Infrastructure!K$10)^2)</f>
        <v>42.72001873</v>
      </c>
      <c r="BD1886" s="641">
        <f>SQRT(($R1886-Infrastructure!J$11)^2+($S1886-Infrastructure!K$11)^2)</f>
        <v>49.56853841</v>
      </c>
      <c r="BE1886" s="642">
        <f>SQRT(($R1886-Infrastructure!J$12)^2+($S1886-Infrastructure!K$12)^2)</f>
        <v>59.51890456</v>
      </c>
      <c r="BF1886" s="662">
        <f t="shared" si="161"/>
        <v>5.10881591</v>
      </c>
      <c r="BG1886" s="642">
        <f t="shared" si="162"/>
        <v>59.51890456</v>
      </c>
      <c r="BH1886" s="1135"/>
      <c r="BI1886" s="663" t="str">
        <f t="shared" ref="BI1886:BR1886" si="623">IF(ISNUMBER(FIND(BI$3, $CO1886)), "Y", "")</f>
        <v>Y</v>
      </c>
      <c r="BJ1886" s="663" t="str">
        <f t="shared" si="623"/>
        <v/>
      </c>
      <c r="BK1886" s="663" t="str">
        <f t="shared" si="623"/>
        <v/>
      </c>
      <c r="BL1886" s="663" t="str">
        <f t="shared" si="623"/>
        <v/>
      </c>
      <c r="BM1886" s="663" t="str">
        <f t="shared" si="623"/>
        <v>Y</v>
      </c>
      <c r="BN1886" s="663" t="str">
        <f t="shared" si="623"/>
        <v>Y</v>
      </c>
      <c r="BO1886" s="663" t="str">
        <f t="shared" si="623"/>
        <v/>
      </c>
      <c r="BP1886" s="663" t="str">
        <f t="shared" si="623"/>
        <v/>
      </c>
      <c r="BQ1886" s="663" t="str">
        <f t="shared" si="623"/>
        <v>Y</v>
      </c>
      <c r="BR1886" s="663" t="str">
        <f t="shared" si="623"/>
        <v>Y</v>
      </c>
      <c r="BS1886" s="662">
        <f t="shared" si="185"/>
        <v>20.502195</v>
      </c>
      <c r="BT1886" s="641">
        <f t="shared" si="170"/>
        <v>59.51890456</v>
      </c>
      <c r="BU1886" s="937">
        <v>0.5951851851851852</v>
      </c>
      <c r="BV1886" s="930">
        <f t="shared" si="186"/>
        <v>0.0000462962963</v>
      </c>
      <c r="BW1886" s="1260">
        <v>11.6</v>
      </c>
      <c r="BX1886" s="939">
        <v>38.0</v>
      </c>
      <c r="BY1886" s="641">
        <f t="shared" si="201"/>
        <v>39.73109613</v>
      </c>
      <c r="BZ1886" s="641"/>
      <c r="CA1886" s="635" t="str">
        <f t="shared" ref="CA1886:CJ1886" si="624">IF(ISNUMBER(FIND(BI$3, $CP1886)), "Y", "")</f>
        <v>Y</v>
      </c>
      <c r="CB1886" s="663" t="str">
        <f t="shared" si="624"/>
        <v>Y</v>
      </c>
      <c r="CC1886" s="663" t="str">
        <f t="shared" si="624"/>
        <v>Y</v>
      </c>
      <c r="CD1886" s="663" t="str">
        <f t="shared" si="624"/>
        <v>Y</v>
      </c>
      <c r="CE1886" s="663" t="str">
        <f t="shared" si="624"/>
        <v>Y</v>
      </c>
      <c r="CF1886" s="663" t="str">
        <f t="shared" si="624"/>
        <v>Y</v>
      </c>
      <c r="CG1886" s="663" t="str">
        <f t="shared" si="624"/>
        <v>Y</v>
      </c>
      <c r="CH1886" s="663" t="str">
        <f t="shared" si="624"/>
        <v/>
      </c>
      <c r="CI1886" s="663" t="str">
        <f t="shared" si="624"/>
        <v>Y</v>
      </c>
      <c r="CJ1886" s="663" t="str">
        <f t="shared" si="624"/>
        <v>Y</v>
      </c>
      <c r="CK1886" s="743">
        <f t="shared" si="182"/>
        <v>5.10881591</v>
      </c>
      <c r="CL1886" s="642">
        <f t="shared" si="183"/>
        <v>59.51890456</v>
      </c>
      <c r="CM1886" s="1090" t="s">
        <v>2623</v>
      </c>
      <c r="CN1886" s="1036" t="s">
        <v>2781</v>
      </c>
      <c r="CO1886" s="1036" t="s">
        <v>2500</v>
      </c>
      <c r="CP1886" s="1036" t="s">
        <v>2400</v>
      </c>
    </row>
    <row r="1887">
      <c r="A1887" s="1257" t="s">
        <v>109</v>
      </c>
      <c r="B1887" s="1113" t="s">
        <v>1649</v>
      </c>
      <c r="C1887" s="1107">
        <v>45490.0</v>
      </c>
      <c r="D1887" s="103"/>
      <c r="E1887" s="1108">
        <v>25.0</v>
      </c>
      <c r="F1887" s="112" t="s">
        <v>2817</v>
      </c>
      <c r="G1887" s="1110">
        <v>0.4232638888888889</v>
      </c>
      <c r="H1887" s="1110">
        <v>0.42390046296296297</v>
      </c>
      <c r="I1887" s="1110"/>
      <c r="J1887" s="1111"/>
      <c r="K1887" s="1111">
        <v>0.4253472222222222</v>
      </c>
      <c r="L1887" s="1112">
        <v>0.0014467592592592592</v>
      </c>
      <c r="M1887" s="1113" t="s">
        <v>174</v>
      </c>
      <c r="N1887" s="110" t="s">
        <v>187</v>
      </c>
      <c r="O1887" s="1115" t="s">
        <v>199</v>
      </c>
      <c r="P1887" s="1115" t="s">
        <v>279</v>
      </c>
      <c r="Q1887" s="1116"/>
      <c r="R1887" s="120">
        <v>16.4</v>
      </c>
      <c r="S1887" s="1113">
        <v>10.4</v>
      </c>
      <c r="T1887" s="110">
        <v>0.4</v>
      </c>
      <c r="U1887" s="1108">
        <v>1.0</v>
      </c>
      <c r="V1887" s="1108"/>
      <c r="W1887" s="1108"/>
      <c r="X1887" s="1108"/>
      <c r="Y1887" s="1108"/>
      <c r="Z1887" s="1114" t="s">
        <v>351</v>
      </c>
      <c r="AA1887" s="1114"/>
      <c r="AB1887" s="1114" t="s">
        <v>279</v>
      </c>
      <c r="AC1887" s="1117">
        <v>10.0</v>
      </c>
      <c r="AD1887" s="1115"/>
      <c r="AE1887" s="1115"/>
      <c r="AF1887" s="1115"/>
      <c r="AG1887" s="1115"/>
      <c r="AH1887" s="1115"/>
      <c r="AI1887" s="1115"/>
      <c r="AJ1887" s="1117"/>
      <c r="AK1887" s="1118"/>
      <c r="AL1887" s="1115"/>
      <c r="AM1887" s="1115"/>
      <c r="AN1887" s="1115"/>
      <c r="AO1887" s="1115"/>
      <c r="AP1887" s="1115"/>
      <c r="AQ1887" s="1115"/>
      <c r="AR1887" s="1115"/>
      <c r="AS1887" s="1117"/>
      <c r="AT1887" s="1196" t="str">
        <f t="shared" si="428"/>
        <v>1-10</v>
      </c>
      <c r="AU1887" s="1193"/>
      <c r="AV1887" s="330">
        <f>SQRT(($R1887-Infrastructure!J$3)^2+($S1887-Infrastructure!K$3)^2)</f>
        <v>24.92268043</v>
      </c>
      <c r="AW1887" s="331">
        <f>SQRT(($R1887-Infrastructure!J$4)^2+($S1887-Infrastructure!K$4)^2)</f>
        <v>18.2660888</v>
      </c>
      <c r="AX1887" s="331">
        <f>SQRT(($R1887-Infrastructure!J$5)^2+($S1887-Infrastructure!K$5)^2)</f>
        <v>17.52084473</v>
      </c>
      <c r="AY1887" s="331">
        <f>SQRT(($R1887-Infrastructure!J$6)^2+($S1887-Infrastructure!K$6)^2)</f>
        <v>11.90378091</v>
      </c>
      <c r="AZ1887" s="331">
        <f>SQRT(($R1887-Infrastructure!J$7)^2+($S1887-Infrastructure!K$7)^2)</f>
        <v>10.90045871</v>
      </c>
      <c r="BA1887" s="331">
        <f>SQRT(($R1887-Infrastructure!J$8)^2+($S1887-Infrastructure!K$8)^2)</f>
        <v>17.02057578</v>
      </c>
      <c r="BB1887" s="331">
        <f>SQRT(($R1887-Infrastructure!J$9)^2+($S1887-Infrastructure!K$9)^2)</f>
        <v>24.18780685</v>
      </c>
      <c r="BC1887" s="331">
        <f>SQRT(($R1887-Infrastructure!J$10)^2+($S1887-Infrastructure!K$10)^2)</f>
        <v>24.0441261</v>
      </c>
      <c r="BD1887" s="331">
        <f>SQRT(($R1887-Infrastructure!J$11)^2+($S1887-Infrastructure!K$11)^2)</f>
        <v>30.20595968</v>
      </c>
      <c r="BE1887" s="333">
        <f>SQRT(($R1887-Infrastructure!J$12)^2+($S1887-Infrastructure!K$12)^2)</f>
        <v>45.3874432</v>
      </c>
      <c r="BF1887" s="330">
        <f t="shared" si="161"/>
        <v>10.90045871</v>
      </c>
      <c r="BG1887" s="333">
        <f t="shared" si="162"/>
        <v>45.3874432</v>
      </c>
      <c r="BH1887" s="1119"/>
      <c r="BI1887" s="319" t="str">
        <f t="shared" ref="BI1887:BR1887" si="625">IF(ISNUMBER(FIND(BI$3, $CO1887)), "Y", "")</f>
        <v>Y</v>
      </c>
      <c r="BJ1887" s="319" t="str">
        <f t="shared" si="625"/>
        <v>Y</v>
      </c>
      <c r="BK1887" s="319" t="str">
        <f t="shared" si="625"/>
        <v>Y</v>
      </c>
      <c r="BL1887" s="319" t="str">
        <f t="shared" si="625"/>
        <v>Y</v>
      </c>
      <c r="BM1887" s="319" t="str">
        <f t="shared" si="625"/>
        <v>Y</v>
      </c>
      <c r="BN1887" s="319" t="str">
        <f t="shared" si="625"/>
        <v>Y</v>
      </c>
      <c r="BO1887" s="319" t="str">
        <f t="shared" si="625"/>
        <v>Y</v>
      </c>
      <c r="BP1887" s="319" t="str">
        <f t="shared" si="625"/>
        <v/>
      </c>
      <c r="BQ1887" s="319" t="str">
        <f t="shared" si="625"/>
        <v>Y</v>
      </c>
      <c r="BR1887" s="319" t="str">
        <f t="shared" si="625"/>
        <v>Y</v>
      </c>
      <c r="BS1887" s="330">
        <f t="shared" si="185"/>
        <v>10.90045871</v>
      </c>
      <c r="BT1887" s="331">
        <f t="shared" si="170"/>
        <v>45.3874432</v>
      </c>
      <c r="BU1887" s="920">
        <v>0.42381944444444447</v>
      </c>
      <c r="BV1887" s="903">
        <f t="shared" si="186"/>
        <v>0.0005555555556</v>
      </c>
      <c r="BW1887" s="908">
        <v>15.1</v>
      </c>
      <c r="BX1887" s="908">
        <v>21.2</v>
      </c>
      <c r="BY1887" s="331">
        <f t="shared" si="201"/>
        <v>10.87795937</v>
      </c>
      <c r="BZ1887" s="331"/>
      <c r="CA1887" s="462" t="str">
        <f t="shared" ref="CA1887:CJ1887" si="626">IF(ISNUMBER(FIND(BI$3, $CP1887)), "Y", "")</f>
        <v>Y</v>
      </c>
      <c r="CB1887" s="319" t="str">
        <f t="shared" si="626"/>
        <v>Y</v>
      </c>
      <c r="CC1887" s="319" t="str">
        <f t="shared" si="626"/>
        <v>Y</v>
      </c>
      <c r="CD1887" s="319" t="str">
        <f t="shared" si="626"/>
        <v>Y</v>
      </c>
      <c r="CE1887" s="319" t="str">
        <f t="shared" si="626"/>
        <v>Y</v>
      </c>
      <c r="CF1887" s="319" t="str">
        <f t="shared" si="626"/>
        <v>Y</v>
      </c>
      <c r="CG1887" s="319" t="str">
        <f t="shared" si="626"/>
        <v>Y</v>
      </c>
      <c r="CH1887" s="319" t="str">
        <f t="shared" si="626"/>
        <v/>
      </c>
      <c r="CI1887" s="319" t="str">
        <f t="shared" si="626"/>
        <v>Y</v>
      </c>
      <c r="CJ1887" s="319" t="str">
        <f t="shared" si="626"/>
        <v>Y</v>
      </c>
      <c r="CK1887" s="342">
        <f t="shared" si="182"/>
        <v>10.90045871</v>
      </c>
      <c r="CL1887" s="333">
        <f t="shared" si="183"/>
        <v>45.3874432</v>
      </c>
      <c r="CM1887" s="1079" t="s">
        <v>2430</v>
      </c>
      <c r="CN1887" s="1005" t="s">
        <v>2818</v>
      </c>
      <c r="CO1887" s="1005" t="s">
        <v>2400</v>
      </c>
      <c r="CP1887" s="1005" t="s">
        <v>2400</v>
      </c>
    </row>
    <row r="1888">
      <c r="A1888" s="266"/>
      <c r="B1888" s="1113" t="s">
        <v>1649</v>
      </c>
      <c r="C1888" s="1107">
        <v>45490.0</v>
      </c>
      <c r="D1888" s="103"/>
      <c r="E1888" s="1108">
        <v>26.0</v>
      </c>
      <c r="F1888" s="112" t="s">
        <v>2819</v>
      </c>
      <c r="G1888" s="1110">
        <v>0.42615740740740743</v>
      </c>
      <c r="H1888" s="1110">
        <v>0.4263888888888889</v>
      </c>
      <c r="I1888" s="1110"/>
      <c r="J1888" s="1111"/>
      <c r="K1888" s="1111">
        <v>0.4278356481481482</v>
      </c>
      <c r="L1888" s="1112">
        <v>0.0014467592592592592</v>
      </c>
      <c r="M1888" s="1113" t="s">
        <v>174</v>
      </c>
      <c r="N1888" s="110" t="s">
        <v>187</v>
      </c>
      <c r="O1888" s="1115" t="s">
        <v>199</v>
      </c>
      <c r="P1888" s="1115" t="s">
        <v>279</v>
      </c>
      <c r="Q1888" s="1116"/>
      <c r="R1888" s="120">
        <v>16.4</v>
      </c>
      <c r="S1888" s="1113">
        <v>10.4</v>
      </c>
      <c r="T1888" s="110">
        <v>0.4</v>
      </c>
      <c r="U1888" s="1108">
        <v>0.5</v>
      </c>
      <c r="V1888" s="1108"/>
      <c r="W1888" s="1108"/>
      <c r="X1888" s="1108"/>
      <c r="Y1888" s="1108"/>
      <c r="Z1888" s="1114" t="s">
        <v>351</v>
      </c>
      <c r="AA1888" s="1114"/>
      <c r="AB1888" s="1114" t="s">
        <v>279</v>
      </c>
      <c r="AC1888" s="1117">
        <v>10.0</v>
      </c>
      <c r="AD1888" s="1115"/>
      <c r="AE1888" s="1115"/>
      <c r="AF1888" s="1115"/>
      <c r="AG1888" s="1115"/>
      <c r="AH1888" s="1115"/>
      <c r="AI1888" s="1115"/>
      <c r="AJ1888" s="1117"/>
      <c r="AK1888" s="1118"/>
      <c r="AL1888" s="1115"/>
      <c r="AM1888" s="1115"/>
      <c r="AN1888" s="1115"/>
      <c r="AO1888" s="1115"/>
      <c r="AP1888" s="1115"/>
      <c r="AQ1888" s="1115"/>
      <c r="AR1888" s="1115"/>
      <c r="AS1888" s="1117"/>
      <c r="AT1888" s="1196" t="str">
        <f t="shared" si="428"/>
        <v>0-1</v>
      </c>
      <c r="AU1888" s="1193"/>
      <c r="AV1888" s="330">
        <f>SQRT(($R1888-Infrastructure!J$3)^2+($S1888-Infrastructure!K$3)^2)</f>
        <v>24.92268043</v>
      </c>
      <c r="AW1888" s="331">
        <f>SQRT(($R1888-Infrastructure!J$4)^2+($S1888-Infrastructure!K$4)^2)</f>
        <v>18.2660888</v>
      </c>
      <c r="AX1888" s="331">
        <f>SQRT(($R1888-Infrastructure!J$5)^2+($S1888-Infrastructure!K$5)^2)</f>
        <v>17.52084473</v>
      </c>
      <c r="AY1888" s="331">
        <f>SQRT(($R1888-Infrastructure!J$6)^2+($S1888-Infrastructure!K$6)^2)</f>
        <v>11.90378091</v>
      </c>
      <c r="AZ1888" s="331">
        <f>SQRT(($R1888-Infrastructure!J$7)^2+($S1888-Infrastructure!K$7)^2)</f>
        <v>10.90045871</v>
      </c>
      <c r="BA1888" s="331">
        <f>SQRT(($R1888-Infrastructure!J$8)^2+($S1888-Infrastructure!K$8)^2)</f>
        <v>17.02057578</v>
      </c>
      <c r="BB1888" s="331">
        <f>SQRT(($R1888-Infrastructure!J$9)^2+($S1888-Infrastructure!K$9)^2)</f>
        <v>24.18780685</v>
      </c>
      <c r="BC1888" s="331">
        <f>SQRT(($R1888-Infrastructure!J$10)^2+($S1888-Infrastructure!K$10)^2)</f>
        <v>24.0441261</v>
      </c>
      <c r="BD1888" s="331">
        <f>SQRT(($R1888-Infrastructure!J$11)^2+($S1888-Infrastructure!K$11)^2)</f>
        <v>30.20595968</v>
      </c>
      <c r="BE1888" s="333">
        <f>SQRT(($R1888-Infrastructure!J$12)^2+($S1888-Infrastructure!K$12)^2)</f>
        <v>45.3874432</v>
      </c>
      <c r="BF1888" s="330">
        <f t="shared" si="161"/>
        <v>10.90045871</v>
      </c>
      <c r="BG1888" s="333">
        <f t="shared" si="162"/>
        <v>45.3874432</v>
      </c>
      <c r="BH1888" s="1119"/>
      <c r="BI1888" s="319" t="str">
        <f t="shared" ref="BI1888:BR1888" si="627">IF(ISNUMBER(FIND(BI$3, $CO1888)), "Y", "")</f>
        <v>Y</v>
      </c>
      <c r="BJ1888" s="319" t="str">
        <f t="shared" si="627"/>
        <v/>
      </c>
      <c r="BK1888" s="319" t="str">
        <f t="shared" si="627"/>
        <v>Y</v>
      </c>
      <c r="BL1888" s="319" t="str">
        <f t="shared" si="627"/>
        <v>Y</v>
      </c>
      <c r="BM1888" s="319" t="str">
        <f t="shared" si="627"/>
        <v>Y</v>
      </c>
      <c r="BN1888" s="319" t="str">
        <f t="shared" si="627"/>
        <v>Y</v>
      </c>
      <c r="BO1888" s="319" t="str">
        <f t="shared" si="627"/>
        <v>Y</v>
      </c>
      <c r="BP1888" s="319" t="str">
        <f t="shared" si="627"/>
        <v/>
      </c>
      <c r="BQ1888" s="319" t="str">
        <f t="shared" si="627"/>
        <v>Y</v>
      </c>
      <c r="BR1888" s="319" t="str">
        <f t="shared" si="627"/>
        <v>Y</v>
      </c>
      <c r="BS1888" s="330">
        <f t="shared" si="185"/>
        <v>10.90045871</v>
      </c>
      <c r="BT1888" s="331">
        <f t="shared" si="170"/>
        <v>45.3874432</v>
      </c>
      <c r="BU1888" s="920">
        <v>0.42672453703703705</v>
      </c>
      <c r="BV1888" s="903">
        <f t="shared" si="186"/>
        <v>0.0005671296296</v>
      </c>
      <c r="BW1888" s="908">
        <v>12.5</v>
      </c>
      <c r="BX1888" s="908">
        <v>21.8</v>
      </c>
      <c r="BY1888" s="331">
        <f t="shared" si="201"/>
        <v>12.04865138</v>
      </c>
      <c r="BZ1888" s="331"/>
      <c r="CA1888" s="462" t="str">
        <f t="shared" ref="CA1888:CJ1888" si="628">IF(ISNUMBER(FIND(BI$3, $CP1888)), "Y", "")</f>
        <v>Y</v>
      </c>
      <c r="CB1888" s="319" t="str">
        <f t="shared" si="628"/>
        <v>Y</v>
      </c>
      <c r="CC1888" s="319" t="str">
        <f t="shared" si="628"/>
        <v>Y</v>
      </c>
      <c r="CD1888" s="319" t="str">
        <f t="shared" si="628"/>
        <v>Y</v>
      </c>
      <c r="CE1888" s="319" t="str">
        <f t="shared" si="628"/>
        <v>Y</v>
      </c>
      <c r="CF1888" s="319" t="str">
        <f t="shared" si="628"/>
        <v>Y</v>
      </c>
      <c r="CG1888" s="319" t="str">
        <f t="shared" si="628"/>
        <v>Y</v>
      </c>
      <c r="CH1888" s="319" t="str">
        <f t="shared" si="628"/>
        <v/>
      </c>
      <c r="CI1888" s="319" t="str">
        <f t="shared" si="628"/>
        <v>Y</v>
      </c>
      <c r="CJ1888" s="319" t="str">
        <f t="shared" si="628"/>
        <v>Y</v>
      </c>
      <c r="CK1888" s="342">
        <f t="shared" si="182"/>
        <v>10.90045871</v>
      </c>
      <c r="CL1888" s="333">
        <f t="shared" si="183"/>
        <v>45.3874432</v>
      </c>
      <c r="CM1888" s="1079" t="s">
        <v>2820</v>
      </c>
      <c r="CN1888" s="1005" t="s">
        <v>2818</v>
      </c>
      <c r="CO1888" s="1005" t="s">
        <v>2460</v>
      </c>
      <c r="CP1888" s="1005" t="s">
        <v>2400</v>
      </c>
    </row>
    <row r="1889">
      <c r="A1889" s="266"/>
      <c r="B1889" s="1113" t="s">
        <v>1649</v>
      </c>
      <c r="C1889" s="1107">
        <v>45490.0</v>
      </c>
      <c r="D1889" s="103"/>
      <c r="E1889" s="1108">
        <v>27.0</v>
      </c>
      <c r="F1889" s="112" t="s">
        <v>2821</v>
      </c>
      <c r="G1889" s="1110">
        <v>0.42864583333333334</v>
      </c>
      <c r="H1889" s="1110">
        <v>0.4288194444444444</v>
      </c>
      <c r="I1889" s="1110"/>
      <c r="J1889" s="1111"/>
      <c r="K1889" s="1111">
        <v>0.4302662037037037</v>
      </c>
      <c r="L1889" s="1112">
        <v>0.0014467592592592592</v>
      </c>
      <c r="M1889" s="1113" t="s">
        <v>174</v>
      </c>
      <c r="N1889" s="110" t="s">
        <v>187</v>
      </c>
      <c r="O1889" s="1115" t="s">
        <v>199</v>
      </c>
      <c r="P1889" s="1115" t="s">
        <v>279</v>
      </c>
      <c r="Q1889" s="1116"/>
      <c r="R1889" s="120">
        <v>16.4</v>
      </c>
      <c r="S1889" s="1113">
        <v>10.4</v>
      </c>
      <c r="T1889" s="110">
        <v>0.4</v>
      </c>
      <c r="U1889" s="1108">
        <v>0.25</v>
      </c>
      <c r="V1889" s="1108"/>
      <c r="W1889" s="1108"/>
      <c r="X1889" s="1108"/>
      <c r="Y1889" s="1108"/>
      <c r="Z1889" s="1114" t="s">
        <v>351</v>
      </c>
      <c r="AA1889" s="1114"/>
      <c r="AB1889" s="1114" t="s">
        <v>279</v>
      </c>
      <c r="AC1889" s="1117">
        <v>10.0</v>
      </c>
      <c r="AD1889" s="1115"/>
      <c r="AE1889" s="1115"/>
      <c r="AF1889" s="1115"/>
      <c r="AG1889" s="1115"/>
      <c r="AH1889" s="1115"/>
      <c r="AI1889" s="1115"/>
      <c r="AJ1889" s="1117"/>
      <c r="AK1889" s="1118"/>
      <c r="AL1889" s="1115"/>
      <c r="AM1889" s="1115"/>
      <c r="AN1889" s="1115"/>
      <c r="AO1889" s="1115"/>
      <c r="AP1889" s="1115"/>
      <c r="AQ1889" s="1115"/>
      <c r="AR1889" s="1115"/>
      <c r="AS1889" s="1117"/>
      <c r="AT1889" s="1196" t="str">
        <f t="shared" si="428"/>
        <v>0-1</v>
      </c>
      <c r="AU1889" s="1193"/>
      <c r="AV1889" s="330">
        <f>SQRT(($R1889-Infrastructure!J$3)^2+($S1889-Infrastructure!K$3)^2)</f>
        <v>24.92268043</v>
      </c>
      <c r="AW1889" s="331">
        <f>SQRT(($R1889-Infrastructure!J$4)^2+($S1889-Infrastructure!K$4)^2)</f>
        <v>18.2660888</v>
      </c>
      <c r="AX1889" s="331">
        <f>SQRT(($R1889-Infrastructure!J$5)^2+($S1889-Infrastructure!K$5)^2)</f>
        <v>17.52084473</v>
      </c>
      <c r="AY1889" s="331">
        <f>SQRT(($R1889-Infrastructure!J$6)^2+($S1889-Infrastructure!K$6)^2)</f>
        <v>11.90378091</v>
      </c>
      <c r="AZ1889" s="331">
        <f>SQRT(($R1889-Infrastructure!J$7)^2+($S1889-Infrastructure!K$7)^2)</f>
        <v>10.90045871</v>
      </c>
      <c r="BA1889" s="331">
        <f>SQRT(($R1889-Infrastructure!J$8)^2+($S1889-Infrastructure!K$8)^2)</f>
        <v>17.02057578</v>
      </c>
      <c r="BB1889" s="331">
        <f>SQRT(($R1889-Infrastructure!J$9)^2+($S1889-Infrastructure!K$9)^2)</f>
        <v>24.18780685</v>
      </c>
      <c r="BC1889" s="331">
        <f>SQRT(($R1889-Infrastructure!J$10)^2+($S1889-Infrastructure!K$10)^2)</f>
        <v>24.0441261</v>
      </c>
      <c r="BD1889" s="331">
        <f>SQRT(($R1889-Infrastructure!J$11)^2+($S1889-Infrastructure!K$11)^2)</f>
        <v>30.20595968</v>
      </c>
      <c r="BE1889" s="333">
        <f>SQRT(($R1889-Infrastructure!J$12)^2+($S1889-Infrastructure!K$12)^2)</f>
        <v>45.3874432</v>
      </c>
      <c r="BF1889" s="330">
        <f t="shared" si="161"/>
        <v>10.90045871</v>
      </c>
      <c r="BG1889" s="333">
        <f t="shared" si="162"/>
        <v>45.3874432</v>
      </c>
      <c r="BH1889" s="1119"/>
      <c r="BI1889" s="319" t="str">
        <f t="shared" ref="BI1889:BR1889" si="629">IF(ISNUMBER(FIND(BI$3, $CO1889)), "Y", "")</f>
        <v/>
      </c>
      <c r="BJ1889" s="319" t="str">
        <f t="shared" si="629"/>
        <v>Y</v>
      </c>
      <c r="BK1889" s="319" t="str">
        <f t="shared" si="629"/>
        <v>Y</v>
      </c>
      <c r="BL1889" s="319" t="str">
        <f t="shared" si="629"/>
        <v>Y</v>
      </c>
      <c r="BM1889" s="319" t="str">
        <f t="shared" si="629"/>
        <v>Y</v>
      </c>
      <c r="BN1889" s="319" t="str">
        <f t="shared" si="629"/>
        <v>Y</v>
      </c>
      <c r="BO1889" s="319" t="str">
        <f t="shared" si="629"/>
        <v>Y</v>
      </c>
      <c r="BP1889" s="319" t="str">
        <f t="shared" si="629"/>
        <v/>
      </c>
      <c r="BQ1889" s="319" t="str">
        <f t="shared" si="629"/>
        <v>Y</v>
      </c>
      <c r="BR1889" s="319" t="str">
        <f t="shared" si="629"/>
        <v>Y</v>
      </c>
      <c r="BS1889" s="330">
        <f t="shared" si="185"/>
        <v>10.90045871</v>
      </c>
      <c r="BT1889" s="331">
        <f t="shared" si="170"/>
        <v>45.3874432</v>
      </c>
      <c r="BU1889" s="920">
        <v>0.4292592592592593</v>
      </c>
      <c r="BV1889" s="903">
        <f t="shared" si="186"/>
        <v>0.0006134259259</v>
      </c>
      <c r="BW1889" s="908">
        <v>13.4</v>
      </c>
      <c r="BX1889" s="908">
        <v>19.4</v>
      </c>
      <c r="BY1889" s="331">
        <f t="shared" si="201"/>
        <v>9.486832981</v>
      </c>
      <c r="BZ1889" s="331"/>
      <c r="CA1889" s="462" t="str">
        <f t="shared" ref="CA1889:CJ1889" si="630">IF(ISNUMBER(FIND(BI$3, $CP1889)), "Y", "")</f>
        <v>Y</v>
      </c>
      <c r="CB1889" s="319" t="str">
        <f t="shared" si="630"/>
        <v>Y</v>
      </c>
      <c r="CC1889" s="319" t="str">
        <f t="shared" si="630"/>
        <v>Y</v>
      </c>
      <c r="CD1889" s="319" t="str">
        <f t="shared" si="630"/>
        <v>Y</v>
      </c>
      <c r="CE1889" s="319" t="str">
        <f t="shared" si="630"/>
        <v>Y</v>
      </c>
      <c r="CF1889" s="319" t="str">
        <f t="shared" si="630"/>
        <v>Y</v>
      </c>
      <c r="CG1889" s="319" t="str">
        <f t="shared" si="630"/>
        <v>Y</v>
      </c>
      <c r="CH1889" s="319" t="str">
        <f t="shared" si="630"/>
        <v/>
      </c>
      <c r="CI1889" s="319" t="str">
        <f t="shared" si="630"/>
        <v>Y</v>
      </c>
      <c r="CJ1889" s="319" t="str">
        <f t="shared" si="630"/>
        <v>Y</v>
      </c>
      <c r="CK1889" s="342">
        <f t="shared" si="182"/>
        <v>10.90045871</v>
      </c>
      <c r="CL1889" s="333">
        <f t="shared" si="183"/>
        <v>45.3874432</v>
      </c>
      <c r="CM1889" s="1079" t="s">
        <v>2822</v>
      </c>
      <c r="CN1889" s="1005" t="s">
        <v>2818</v>
      </c>
      <c r="CO1889" s="1005" t="s">
        <v>2784</v>
      </c>
      <c r="CP1889" s="1005" t="s">
        <v>2400</v>
      </c>
    </row>
    <row r="1890">
      <c r="A1890" s="266"/>
      <c r="B1890" s="1113" t="s">
        <v>1649</v>
      </c>
      <c r="C1890" s="1107">
        <v>45490.0</v>
      </c>
      <c r="D1890" s="103"/>
      <c r="E1890" s="1108">
        <v>28.0</v>
      </c>
      <c r="F1890" s="112" t="s">
        <v>2823</v>
      </c>
      <c r="G1890" s="1110">
        <v>0.4326388888888889</v>
      </c>
      <c r="H1890" s="1110">
        <v>0.4328125</v>
      </c>
      <c r="I1890" s="1110"/>
      <c r="J1890" s="1111"/>
      <c r="K1890" s="1111">
        <v>0.4378472222222222</v>
      </c>
      <c r="L1890" s="1112">
        <v>0.0050347222222222225</v>
      </c>
      <c r="M1890" s="1113" t="s">
        <v>174</v>
      </c>
      <c r="N1890" s="110" t="s">
        <v>187</v>
      </c>
      <c r="O1890" s="1115" t="s">
        <v>199</v>
      </c>
      <c r="P1890" s="1115" t="s">
        <v>279</v>
      </c>
      <c r="Q1890" s="1116"/>
      <c r="R1890" s="120">
        <v>16.4</v>
      </c>
      <c r="S1890" s="1113">
        <v>10.4</v>
      </c>
      <c r="T1890" s="110">
        <v>0.4</v>
      </c>
      <c r="U1890" s="1108">
        <v>0.1</v>
      </c>
      <c r="V1890" s="1108"/>
      <c r="W1890" s="1108"/>
      <c r="X1890" s="1108"/>
      <c r="Y1890" s="1108"/>
      <c r="Z1890" s="1114" t="s">
        <v>351</v>
      </c>
      <c r="AA1890" s="1114"/>
      <c r="AB1890" s="1114" t="s">
        <v>279</v>
      </c>
      <c r="AC1890" s="1117">
        <v>10.0</v>
      </c>
      <c r="AD1890" s="1115"/>
      <c r="AE1890" s="1115"/>
      <c r="AF1890" s="1115"/>
      <c r="AG1890" s="1115"/>
      <c r="AH1890" s="1115"/>
      <c r="AI1890" s="1115"/>
      <c r="AJ1890" s="1117"/>
      <c r="AK1890" s="1118"/>
      <c r="AL1890" s="1115"/>
      <c r="AM1890" s="1115"/>
      <c r="AN1890" s="1115"/>
      <c r="AO1890" s="1115"/>
      <c r="AP1890" s="1115"/>
      <c r="AQ1890" s="1115"/>
      <c r="AR1890" s="1115"/>
      <c r="AS1890" s="1117"/>
      <c r="AT1890" s="1196" t="str">
        <f t="shared" si="428"/>
        <v>0-1</v>
      </c>
      <c r="AU1890" s="1193"/>
      <c r="AV1890" s="330">
        <f>SQRT(($R1890-Infrastructure!J$3)^2+($S1890-Infrastructure!K$3)^2)</f>
        <v>24.92268043</v>
      </c>
      <c r="AW1890" s="331">
        <f>SQRT(($R1890-Infrastructure!J$4)^2+($S1890-Infrastructure!K$4)^2)</f>
        <v>18.2660888</v>
      </c>
      <c r="AX1890" s="331">
        <f>SQRT(($R1890-Infrastructure!J$5)^2+($S1890-Infrastructure!K$5)^2)</f>
        <v>17.52084473</v>
      </c>
      <c r="AY1890" s="331">
        <f>SQRT(($R1890-Infrastructure!J$6)^2+($S1890-Infrastructure!K$6)^2)</f>
        <v>11.90378091</v>
      </c>
      <c r="AZ1890" s="331">
        <f>SQRT(($R1890-Infrastructure!J$7)^2+($S1890-Infrastructure!K$7)^2)</f>
        <v>10.90045871</v>
      </c>
      <c r="BA1890" s="331">
        <f>SQRT(($R1890-Infrastructure!J$8)^2+($S1890-Infrastructure!K$8)^2)</f>
        <v>17.02057578</v>
      </c>
      <c r="BB1890" s="331">
        <f>SQRT(($R1890-Infrastructure!J$9)^2+($S1890-Infrastructure!K$9)^2)</f>
        <v>24.18780685</v>
      </c>
      <c r="BC1890" s="331">
        <f>SQRT(($R1890-Infrastructure!J$10)^2+($S1890-Infrastructure!K$10)^2)</f>
        <v>24.0441261</v>
      </c>
      <c r="BD1890" s="331">
        <f>SQRT(($R1890-Infrastructure!J$11)^2+($S1890-Infrastructure!K$11)^2)</f>
        <v>30.20595968</v>
      </c>
      <c r="BE1890" s="333">
        <f>SQRT(($R1890-Infrastructure!J$12)^2+($S1890-Infrastructure!K$12)^2)</f>
        <v>45.3874432</v>
      </c>
      <c r="BF1890" s="330">
        <f t="shared" si="161"/>
        <v>10.90045871</v>
      </c>
      <c r="BG1890" s="333">
        <f t="shared" si="162"/>
        <v>45.3874432</v>
      </c>
      <c r="BH1890" s="1119"/>
      <c r="BI1890" s="319" t="str">
        <f t="shared" ref="BI1890:BR1890" si="631">IF(ISNUMBER(FIND(BI$3, $CO1890)), "Y", "")</f>
        <v/>
      </c>
      <c r="BJ1890" s="319" t="str">
        <f t="shared" si="631"/>
        <v/>
      </c>
      <c r="BK1890" s="319" t="str">
        <f t="shared" si="631"/>
        <v>Y</v>
      </c>
      <c r="BL1890" s="319" t="str">
        <f t="shared" si="631"/>
        <v>Y</v>
      </c>
      <c r="BM1890" s="319" t="str">
        <f t="shared" si="631"/>
        <v>Y</v>
      </c>
      <c r="BN1890" s="319" t="str">
        <f t="shared" si="631"/>
        <v>Y</v>
      </c>
      <c r="BO1890" s="319" t="str">
        <f t="shared" si="631"/>
        <v>Y</v>
      </c>
      <c r="BP1890" s="319" t="str">
        <f t="shared" si="631"/>
        <v/>
      </c>
      <c r="BQ1890" s="319" t="str">
        <f t="shared" si="631"/>
        <v/>
      </c>
      <c r="BR1890" s="319" t="str">
        <f t="shared" si="631"/>
        <v/>
      </c>
      <c r="BS1890" s="330">
        <f t="shared" si="185"/>
        <v>10.90045871</v>
      </c>
      <c r="BT1890" s="331">
        <f t="shared" si="170"/>
        <v>24.18780685</v>
      </c>
      <c r="BU1890" s="920">
        <v>0.43421296296296297</v>
      </c>
      <c r="BV1890" s="903">
        <f t="shared" si="186"/>
        <v>0.001574074074</v>
      </c>
      <c r="BW1890" s="908">
        <v>13.6</v>
      </c>
      <c r="BX1890" s="908">
        <v>17.7</v>
      </c>
      <c r="BY1890" s="331">
        <f t="shared" si="201"/>
        <v>7.818567644</v>
      </c>
      <c r="BZ1890" s="331"/>
      <c r="CA1890" s="462" t="str">
        <f t="shared" ref="CA1890:CJ1890" si="632">IF(ISNUMBER(FIND(BI$3, $CP1890)), "Y", "")</f>
        <v/>
      </c>
      <c r="CB1890" s="319" t="str">
        <f t="shared" si="632"/>
        <v/>
      </c>
      <c r="CC1890" s="319" t="str">
        <f t="shared" si="632"/>
        <v>Y</v>
      </c>
      <c r="CD1890" s="319" t="str">
        <f t="shared" si="632"/>
        <v>Y</v>
      </c>
      <c r="CE1890" s="319" t="str">
        <f t="shared" si="632"/>
        <v>Y</v>
      </c>
      <c r="CF1890" s="319" t="str">
        <f t="shared" si="632"/>
        <v>Y</v>
      </c>
      <c r="CG1890" s="319" t="str">
        <f t="shared" si="632"/>
        <v>Y</v>
      </c>
      <c r="CH1890" s="319" t="str">
        <f t="shared" si="632"/>
        <v/>
      </c>
      <c r="CI1890" s="319" t="str">
        <f t="shared" si="632"/>
        <v/>
      </c>
      <c r="CJ1890" s="319" t="str">
        <f t="shared" si="632"/>
        <v/>
      </c>
      <c r="CK1890" s="342">
        <f t="shared" si="182"/>
        <v>10.90045871</v>
      </c>
      <c r="CL1890" s="333">
        <f t="shared" si="183"/>
        <v>24.18780685</v>
      </c>
      <c r="CM1890" s="1079" t="s">
        <v>2625</v>
      </c>
      <c r="CN1890" s="1005" t="s">
        <v>2818</v>
      </c>
      <c r="CO1890" s="1005" t="s">
        <v>2619</v>
      </c>
      <c r="CP1890" s="1005" t="s">
        <v>2619</v>
      </c>
    </row>
    <row r="1891">
      <c r="A1891" s="266"/>
      <c r="B1891" s="1113" t="s">
        <v>1649</v>
      </c>
      <c r="C1891" s="1107">
        <v>45490.0</v>
      </c>
      <c r="D1891" s="103"/>
      <c r="E1891" s="1108">
        <v>29.0</v>
      </c>
      <c r="F1891" s="112" t="s">
        <v>2824</v>
      </c>
      <c r="G1891" s="1110">
        <v>0.4444444444444444</v>
      </c>
      <c r="H1891" s="1110">
        <v>0.44461805555555556</v>
      </c>
      <c r="I1891" s="1110"/>
      <c r="J1891" s="1111"/>
      <c r="K1891" s="1111">
        <v>0.44722222222222224</v>
      </c>
      <c r="L1891" s="1112">
        <v>0.0026041666666666665</v>
      </c>
      <c r="M1891" s="1113" t="s">
        <v>174</v>
      </c>
      <c r="N1891" s="110" t="s">
        <v>187</v>
      </c>
      <c r="O1891" s="1115" t="s">
        <v>204</v>
      </c>
      <c r="P1891" s="1115" t="s">
        <v>262</v>
      </c>
      <c r="Q1891" s="1116"/>
      <c r="R1891" s="120">
        <v>17.9</v>
      </c>
      <c r="S1891" s="1113">
        <v>3.6</v>
      </c>
      <c r="T1891" s="110">
        <v>2.6</v>
      </c>
      <c r="U1891" s="1108">
        <v>0.3</v>
      </c>
      <c r="V1891" s="1108"/>
      <c r="W1891" s="1108"/>
      <c r="X1891" s="1108"/>
      <c r="Y1891" s="1108"/>
      <c r="Z1891" s="1114" t="s">
        <v>365</v>
      </c>
      <c r="AA1891" s="1114"/>
      <c r="AB1891" s="1114" t="s">
        <v>403</v>
      </c>
      <c r="AC1891" s="1117">
        <v>8.0</v>
      </c>
      <c r="AD1891" s="1115"/>
      <c r="AE1891" s="1115"/>
      <c r="AF1891" s="1115"/>
      <c r="AG1891" s="1115"/>
      <c r="AH1891" s="1115"/>
      <c r="AI1891" s="1115"/>
      <c r="AJ1891" s="1117"/>
      <c r="AK1891" s="1118"/>
      <c r="AL1891" s="1115"/>
      <c r="AM1891" s="1115"/>
      <c r="AN1891" s="1115"/>
      <c r="AO1891" s="1115"/>
      <c r="AP1891" s="1115"/>
      <c r="AQ1891" s="1115"/>
      <c r="AR1891" s="1115"/>
      <c r="AS1891" s="1117"/>
      <c r="AT1891" s="1196" t="str">
        <f t="shared" si="428"/>
        <v>0-1</v>
      </c>
      <c r="AU1891" s="1193"/>
      <c r="AV1891" s="330">
        <f>SQRT(($R1891-Infrastructure!J$3)^2+($S1891-Infrastructure!K$3)^2)</f>
        <v>31.16616755</v>
      </c>
      <c r="AW1891" s="331">
        <f>SQRT(($R1891-Infrastructure!J$4)^2+($S1891-Infrastructure!K$4)^2)</f>
        <v>23.08419373</v>
      </c>
      <c r="AX1891" s="331">
        <f>SQRT(($R1891-Infrastructure!J$5)^2+($S1891-Infrastructure!K$5)^2)</f>
        <v>18.26170857</v>
      </c>
      <c r="AY1891" s="331">
        <f>SQRT(($R1891-Infrastructure!J$6)^2+($S1891-Infrastructure!K$6)^2)</f>
        <v>8.469356528</v>
      </c>
      <c r="AZ1891" s="331">
        <f>SQRT(($R1891-Infrastructure!J$7)^2+($S1891-Infrastructure!K$7)^2)</f>
        <v>4.201190308</v>
      </c>
      <c r="BA1891" s="331">
        <f>SQRT(($R1891-Infrastructure!J$8)^2+($S1891-Infrastructure!K$8)^2)</f>
        <v>12.63843345</v>
      </c>
      <c r="BB1891" s="331">
        <f>SQRT(($R1891-Infrastructure!J$9)^2+($S1891-Infrastructure!K$9)^2)</f>
        <v>22.15084648</v>
      </c>
      <c r="BC1891" s="331">
        <f>SQRT(($R1891-Infrastructure!J$10)^2+($S1891-Infrastructure!K$10)^2)</f>
        <v>24.86704647</v>
      </c>
      <c r="BD1891" s="331">
        <f>SQRT(($R1891-Infrastructure!J$11)^2+($S1891-Infrastructure!K$11)^2)</f>
        <v>33.80014793</v>
      </c>
      <c r="BE1891" s="333">
        <f>SQRT(($R1891-Infrastructure!J$12)^2+($S1891-Infrastructure!K$12)^2)</f>
        <v>52.02470567</v>
      </c>
      <c r="BF1891" s="330">
        <f t="shared" si="161"/>
        <v>4.201190308</v>
      </c>
      <c r="BG1891" s="333">
        <f t="shared" si="162"/>
        <v>52.02470567</v>
      </c>
      <c r="BH1891" s="1119"/>
      <c r="BI1891" s="319" t="str">
        <f t="shared" ref="BI1891:BR1891" si="633">IF(ISNUMBER(FIND(BI$3, $CO1891)), "Y", "")</f>
        <v/>
      </c>
      <c r="BJ1891" s="319" t="str">
        <f t="shared" si="633"/>
        <v/>
      </c>
      <c r="BK1891" s="319" t="str">
        <f t="shared" si="633"/>
        <v>Y</v>
      </c>
      <c r="BL1891" s="319" t="str">
        <f t="shared" si="633"/>
        <v>Y</v>
      </c>
      <c r="BM1891" s="319" t="str">
        <f t="shared" si="633"/>
        <v>Y</v>
      </c>
      <c r="BN1891" s="319" t="str">
        <f t="shared" si="633"/>
        <v>Y</v>
      </c>
      <c r="BO1891" s="319" t="str">
        <f t="shared" si="633"/>
        <v>Y</v>
      </c>
      <c r="BP1891" s="319" t="str">
        <f t="shared" si="633"/>
        <v/>
      </c>
      <c r="BQ1891" s="319" t="str">
        <f t="shared" si="633"/>
        <v/>
      </c>
      <c r="BR1891" s="319" t="str">
        <f t="shared" si="633"/>
        <v/>
      </c>
      <c r="BS1891" s="330">
        <f t="shared" si="185"/>
        <v>4.201190308</v>
      </c>
      <c r="BT1891" s="331">
        <f t="shared" si="170"/>
        <v>22.15084648</v>
      </c>
      <c r="BU1891" s="920">
        <v>0.4462615740740741</v>
      </c>
      <c r="BV1891" s="903">
        <f t="shared" si="186"/>
        <v>0.00181712963</v>
      </c>
      <c r="BW1891" s="908">
        <v>11.9</v>
      </c>
      <c r="BX1891" s="908">
        <v>24.2</v>
      </c>
      <c r="BY1891" s="331">
        <f t="shared" si="201"/>
        <v>21.45600149</v>
      </c>
      <c r="BZ1891" s="331"/>
      <c r="CA1891" s="462" t="str">
        <f t="shared" ref="CA1891:CJ1891" si="634">IF(ISNUMBER(FIND(BI$3, $CP1891)), "Y", "")</f>
        <v/>
      </c>
      <c r="CB1891" s="319" t="str">
        <f t="shared" si="634"/>
        <v/>
      </c>
      <c r="CC1891" s="319" t="str">
        <f t="shared" si="634"/>
        <v>Y</v>
      </c>
      <c r="CD1891" s="319" t="str">
        <f t="shared" si="634"/>
        <v>Y</v>
      </c>
      <c r="CE1891" s="319" t="str">
        <f t="shared" si="634"/>
        <v>Y</v>
      </c>
      <c r="CF1891" s="319" t="str">
        <f t="shared" si="634"/>
        <v>Y</v>
      </c>
      <c r="CG1891" s="319" t="str">
        <f t="shared" si="634"/>
        <v>Y</v>
      </c>
      <c r="CH1891" s="319" t="str">
        <f t="shared" si="634"/>
        <v/>
      </c>
      <c r="CI1891" s="319" t="str">
        <f t="shared" si="634"/>
        <v/>
      </c>
      <c r="CJ1891" s="319" t="str">
        <f t="shared" si="634"/>
        <v/>
      </c>
      <c r="CK1891" s="342">
        <f t="shared" si="182"/>
        <v>4.201190308</v>
      </c>
      <c r="CL1891" s="333">
        <f t="shared" si="183"/>
        <v>22.15084648</v>
      </c>
      <c r="CM1891" s="1079" t="s">
        <v>2614</v>
      </c>
      <c r="CN1891" s="1005" t="s">
        <v>2818</v>
      </c>
      <c r="CO1891" s="1005" t="s">
        <v>2619</v>
      </c>
      <c r="CP1891" s="1005" t="s">
        <v>2619</v>
      </c>
    </row>
    <row r="1892">
      <c r="A1892" s="266"/>
      <c r="B1892" s="1113" t="s">
        <v>1649</v>
      </c>
      <c r="C1892" s="1107">
        <v>45490.0</v>
      </c>
      <c r="D1892" s="103"/>
      <c r="E1892" s="1108">
        <v>30.0</v>
      </c>
      <c r="F1892" s="112" t="s">
        <v>2825</v>
      </c>
      <c r="G1892" s="1110">
        <v>0.44809027777777777</v>
      </c>
      <c r="H1892" s="1110">
        <v>0.4482638888888889</v>
      </c>
      <c r="I1892" s="1110"/>
      <c r="J1892" s="1111"/>
      <c r="K1892" s="1111">
        <v>0.45046296296296295</v>
      </c>
      <c r="L1892" s="1112">
        <v>0.002199074074074074</v>
      </c>
      <c r="M1892" s="1113" t="s">
        <v>174</v>
      </c>
      <c r="N1892" s="110" t="s">
        <v>187</v>
      </c>
      <c r="O1892" s="1115" t="s">
        <v>204</v>
      </c>
      <c r="P1892" s="1115" t="s">
        <v>262</v>
      </c>
      <c r="Q1892" s="1116"/>
      <c r="R1892" s="120">
        <v>17.9</v>
      </c>
      <c r="S1892" s="1113">
        <v>3.6</v>
      </c>
      <c r="T1892" s="110">
        <v>2.6</v>
      </c>
      <c r="U1892" s="1108">
        <v>0.5</v>
      </c>
      <c r="V1892" s="1108"/>
      <c r="W1892" s="1108"/>
      <c r="X1892" s="1108"/>
      <c r="Y1892" s="1108"/>
      <c r="Z1892" s="1114" t="s">
        <v>365</v>
      </c>
      <c r="AA1892" s="1114"/>
      <c r="AB1892" s="1114" t="s">
        <v>403</v>
      </c>
      <c r="AC1892" s="1117">
        <v>8.0</v>
      </c>
      <c r="AD1892" s="1115"/>
      <c r="AE1892" s="1115"/>
      <c r="AF1892" s="1115"/>
      <c r="AG1892" s="1115"/>
      <c r="AH1892" s="1115"/>
      <c r="AI1892" s="1115"/>
      <c r="AJ1892" s="1117"/>
      <c r="AK1892" s="1118"/>
      <c r="AL1892" s="1115"/>
      <c r="AM1892" s="1115"/>
      <c r="AN1892" s="1115"/>
      <c r="AO1892" s="1115"/>
      <c r="AP1892" s="1115"/>
      <c r="AQ1892" s="1115"/>
      <c r="AR1892" s="1115"/>
      <c r="AS1892" s="1117"/>
      <c r="AT1892" s="1196" t="str">
        <f t="shared" si="428"/>
        <v>0-1</v>
      </c>
      <c r="AU1892" s="1193"/>
      <c r="AV1892" s="330">
        <f>SQRT(($R1892-Infrastructure!J$3)^2+($S1892-Infrastructure!K$3)^2)</f>
        <v>31.16616755</v>
      </c>
      <c r="AW1892" s="331">
        <f>SQRT(($R1892-Infrastructure!J$4)^2+($S1892-Infrastructure!K$4)^2)</f>
        <v>23.08419373</v>
      </c>
      <c r="AX1892" s="331">
        <f>SQRT(($R1892-Infrastructure!J$5)^2+($S1892-Infrastructure!K$5)^2)</f>
        <v>18.26170857</v>
      </c>
      <c r="AY1892" s="331">
        <f>SQRT(($R1892-Infrastructure!J$6)^2+($S1892-Infrastructure!K$6)^2)</f>
        <v>8.469356528</v>
      </c>
      <c r="AZ1892" s="331">
        <f>SQRT(($R1892-Infrastructure!J$7)^2+($S1892-Infrastructure!K$7)^2)</f>
        <v>4.201190308</v>
      </c>
      <c r="BA1892" s="331">
        <f>SQRT(($R1892-Infrastructure!J$8)^2+($S1892-Infrastructure!K$8)^2)</f>
        <v>12.63843345</v>
      </c>
      <c r="BB1892" s="331">
        <f>SQRT(($R1892-Infrastructure!J$9)^2+($S1892-Infrastructure!K$9)^2)</f>
        <v>22.15084648</v>
      </c>
      <c r="BC1892" s="331">
        <f>SQRT(($R1892-Infrastructure!J$10)^2+($S1892-Infrastructure!K$10)^2)</f>
        <v>24.86704647</v>
      </c>
      <c r="BD1892" s="331">
        <f>SQRT(($R1892-Infrastructure!J$11)^2+($S1892-Infrastructure!K$11)^2)</f>
        <v>33.80014793</v>
      </c>
      <c r="BE1892" s="333">
        <f>SQRT(($R1892-Infrastructure!J$12)^2+($S1892-Infrastructure!K$12)^2)</f>
        <v>52.02470567</v>
      </c>
      <c r="BF1892" s="330">
        <f t="shared" si="161"/>
        <v>4.201190308</v>
      </c>
      <c r="BG1892" s="333">
        <f t="shared" si="162"/>
        <v>52.02470567</v>
      </c>
      <c r="BH1892" s="1119"/>
      <c r="BI1892" s="319" t="str">
        <f t="shared" ref="BI1892:BR1892" si="635">IF(ISNUMBER(FIND(BI$3, $CO1892)), "Y", "")</f>
        <v/>
      </c>
      <c r="BJ1892" s="319" t="str">
        <f t="shared" si="635"/>
        <v/>
      </c>
      <c r="BK1892" s="319" t="str">
        <f t="shared" si="635"/>
        <v>Y</v>
      </c>
      <c r="BL1892" s="319" t="str">
        <f t="shared" si="635"/>
        <v>Y</v>
      </c>
      <c r="BM1892" s="319" t="str">
        <f t="shared" si="635"/>
        <v>Y</v>
      </c>
      <c r="BN1892" s="319" t="str">
        <f t="shared" si="635"/>
        <v>Y</v>
      </c>
      <c r="BO1892" s="319" t="str">
        <f t="shared" si="635"/>
        <v>Y</v>
      </c>
      <c r="BP1892" s="319" t="str">
        <f t="shared" si="635"/>
        <v/>
      </c>
      <c r="BQ1892" s="319" t="str">
        <f t="shared" si="635"/>
        <v/>
      </c>
      <c r="BR1892" s="319" t="str">
        <f t="shared" si="635"/>
        <v/>
      </c>
      <c r="BS1892" s="330">
        <f t="shared" si="185"/>
        <v>4.201190308</v>
      </c>
      <c r="BT1892" s="331">
        <f t="shared" si="170"/>
        <v>22.15084648</v>
      </c>
      <c r="BU1892" s="920">
        <v>0.4486805555555556</v>
      </c>
      <c r="BV1892" s="903">
        <f t="shared" si="186"/>
        <v>0.0005902777778</v>
      </c>
      <c r="BW1892" s="908">
        <v>11.1</v>
      </c>
      <c r="BX1892" s="908">
        <v>21.9</v>
      </c>
      <c r="BY1892" s="331">
        <f t="shared" si="201"/>
        <v>19.52255106</v>
      </c>
      <c r="BZ1892" s="331"/>
      <c r="CA1892" s="462" t="str">
        <f t="shared" ref="CA1892:CJ1892" si="636">IF(ISNUMBER(FIND(BI$3, $CP1892)), "Y", "")</f>
        <v>Y</v>
      </c>
      <c r="CB1892" s="319" t="str">
        <f t="shared" si="636"/>
        <v/>
      </c>
      <c r="CC1892" s="319" t="str">
        <f t="shared" si="636"/>
        <v>Y</v>
      </c>
      <c r="CD1892" s="319" t="str">
        <f t="shared" si="636"/>
        <v>Y</v>
      </c>
      <c r="CE1892" s="319" t="str">
        <f t="shared" si="636"/>
        <v>Y</v>
      </c>
      <c r="CF1892" s="319" t="str">
        <f t="shared" si="636"/>
        <v>Y</v>
      </c>
      <c r="CG1892" s="319" t="str">
        <f t="shared" si="636"/>
        <v>Y</v>
      </c>
      <c r="CH1892" s="319" t="str">
        <f t="shared" si="636"/>
        <v/>
      </c>
      <c r="CI1892" s="319" t="str">
        <f t="shared" si="636"/>
        <v>Y</v>
      </c>
      <c r="CJ1892" s="319" t="str">
        <f t="shared" si="636"/>
        <v>Y</v>
      </c>
      <c r="CK1892" s="342">
        <f t="shared" si="182"/>
        <v>4.201190308</v>
      </c>
      <c r="CL1892" s="333">
        <f t="shared" si="183"/>
        <v>52.02470567</v>
      </c>
      <c r="CM1892" s="1079" t="s">
        <v>2625</v>
      </c>
      <c r="CN1892" s="1005" t="s">
        <v>2818</v>
      </c>
      <c r="CO1892" s="1005" t="s">
        <v>2619</v>
      </c>
      <c r="CP1892" s="1005" t="s">
        <v>2460</v>
      </c>
    </row>
    <row r="1893">
      <c r="A1893" s="266"/>
      <c r="B1893" s="1113" t="s">
        <v>1649</v>
      </c>
      <c r="C1893" s="1107">
        <v>45490.0</v>
      </c>
      <c r="D1893" s="103"/>
      <c r="E1893" s="1108">
        <v>31.0</v>
      </c>
      <c r="F1893" s="112" t="s">
        <v>2826</v>
      </c>
      <c r="G1893" s="1110">
        <v>0.4513888888888889</v>
      </c>
      <c r="H1893" s="1110">
        <v>0.45185185185185184</v>
      </c>
      <c r="I1893" s="1110"/>
      <c r="J1893" s="1111"/>
      <c r="K1893" s="1111">
        <v>0.45358796296296294</v>
      </c>
      <c r="L1893" s="1112">
        <v>0.001736111111111111</v>
      </c>
      <c r="M1893" s="1113" t="s">
        <v>174</v>
      </c>
      <c r="N1893" s="110" t="s">
        <v>187</v>
      </c>
      <c r="O1893" s="1115" t="s">
        <v>204</v>
      </c>
      <c r="P1893" s="1115" t="s">
        <v>262</v>
      </c>
      <c r="Q1893" s="1116"/>
      <c r="R1893" s="120">
        <v>17.9</v>
      </c>
      <c r="S1893" s="1113">
        <v>3.6</v>
      </c>
      <c r="T1893" s="110">
        <v>2.6</v>
      </c>
      <c r="U1893" s="1108">
        <v>0.75</v>
      </c>
      <c r="V1893" s="1108"/>
      <c r="W1893" s="1108"/>
      <c r="X1893" s="1108"/>
      <c r="Y1893" s="1108"/>
      <c r="Z1893" s="1114" t="s">
        <v>365</v>
      </c>
      <c r="AA1893" s="1114"/>
      <c r="AB1893" s="1114" t="s">
        <v>403</v>
      </c>
      <c r="AC1893" s="1117">
        <v>8.0</v>
      </c>
      <c r="AD1893" s="1115"/>
      <c r="AE1893" s="1115"/>
      <c r="AF1893" s="1115"/>
      <c r="AG1893" s="1115"/>
      <c r="AH1893" s="1115"/>
      <c r="AI1893" s="1115"/>
      <c r="AJ1893" s="1117"/>
      <c r="AK1893" s="1118"/>
      <c r="AL1893" s="1115"/>
      <c r="AM1893" s="1115"/>
      <c r="AN1893" s="1115"/>
      <c r="AO1893" s="1115"/>
      <c r="AP1893" s="1115"/>
      <c r="AQ1893" s="1115"/>
      <c r="AR1893" s="1115"/>
      <c r="AS1893" s="1117"/>
      <c r="AT1893" s="1196" t="str">
        <f t="shared" si="428"/>
        <v>0-1</v>
      </c>
      <c r="AU1893" s="1193"/>
      <c r="AV1893" s="330">
        <f>SQRT(($R1893-Infrastructure!J$3)^2+($S1893-Infrastructure!K$3)^2)</f>
        <v>31.16616755</v>
      </c>
      <c r="AW1893" s="331">
        <f>SQRT(($R1893-Infrastructure!J$4)^2+($S1893-Infrastructure!K$4)^2)</f>
        <v>23.08419373</v>
      </c>
      <c r="AX1893" s="331">
        <f>SQRT(($R1893-Infrastructure!J$5)^2+($S1893-Infrastructure!K$5)^2)</f>
        <v>18.26170857</v>
      </c>
      <c r="AY1893" s="331">
        <f>SQRT(($R1893-Infrastructure!J$6)^2+($S1893-Infrastructure!K$6)^2)</f>
        <v>8.469356528</v>
      </c>
      <c r="AZ1893" s="331">
        <f>SQRT(($R1893-Infrastructure!J$7)^2+($S1893-Infrastructure!K$7)^2)</f>
        <v>4.201190308</v>
      </c>
      <c r="BA1893" s="331">
        <f>SQRT(($R1893-Infrastructure!J$8)^2+($S1893-Infrastructure!K$8)^2)</f>
        <v>12.63843345</v>
      </c>
      <c r="BB1893" s="331">
        <f>SQRT(($R1893-Infrastructure!J$9)^2+($S1893-Infrastructure!K$9)^2)</f>
        <v>22.15084648</v>
      </c>
      <c r="BC1893" s="331">
        <f>SQRT(($R1893-Infrastructure!J$10)^2+($S1893-Infrastructure!K$10)^2)</f>
        <v>24.86704647</v>
      </c>
      <c r="BD1893" s="331">
        <f>SQRT(($R1893-Infrastructure!J$11)^2+($S1893-Infrastructure!K$11)^2)</f>
        <v>33.80014793</v>
      </c>
      <c r="BE1893" s="333">
        <f>SQRT(($R1893-Infrastructure!J$12)^2+($S1893-Infrastructure!K$12)^2)</f>
        <v>52.02470567</v>
      </c>
      <c r="BF1893" s="330">
        <f t="shared" si="161"/>
        <v>4.201190308</v>
      </c>
      <c r="BG1893" s="333">
        <f t="shared" si="162"/>
        <v>52.02470567</v>
      </c>
      <c r="BH1893" s="1119"/>
      <c r="BI1893" s="319" t="str">
        <f t="shared" ref="BI1893:BR1893" si="637">IF(ISNUMBER(FIND(BI$3, $CO1893)), "Y", "")</f>
        <v>Y</v>
      </c>
      <c r="BJ1893" s="319" t="str">
        <f t="shared" si="637"/>
        <v/>
      </c>
      <c r="BK1893" s="319" t="str">
        <f t="shared" si="637"/>
        <v>Y</v>
      </c>
      <c r="BL1893" s="319" t="str">
        <f t="shared" si="637"/>
        <v/>
      </c>
      <c r="BM1893" s="319" t="str">
        <f t="shared" si="637"/>
        <v>Y</v>
      </c>
      <c r="BN1893" s="319" t="str">
        <f t="shared" si="637"/>
        <v>Y</v>
      </c>
      <c r="BO1893" s="319" t="str">
        <f t="shared" si="637"/>
        <v>Y</v>
      </c>
      <c r="BP1893" s="319" t="str">
        <f t="shared" si="637"/>
        <v/>
      </c>
      <c r="BQ1893" s="319" t="str">
        <f t="shared" si="637"/>
        <v/>
      </c>
      <c r="BR1893" s="319" t="str">
        <f t="shared" si="637"/>
        <v>Y</v>
      </c>
      <c r="BS1893" s="330">
        <f t="shared" si="185"/>
        <v>4.201190308</v>
      </c>
      <c r="BT1893" s="331">
        <f t="shared" si="170"/>
        <v>52.02470567</v>
      </c>
      <c r="BU1893" s="920">
        <v>0.4519444444444444</v>
      </c>
      <c r="BV1893" s="903">
        <f t="shared" si="186"/>
        <v>0.0005555555556</v>
      </c>
      <c r="BW1893" s="908">
        <v>9.0</v>
      </c>
      <c r="BX1893" s="908">
        <v>23.2</v>
      </c>
      <c r="BY1893" s="331">
        <f t="shared" si="201"/>
        <v>21.52603075</v>
      </c>
      <c r="BZ1893" s="331"/>
      <c r="CA1893" s="462" t="str">
        <f t="shared" ref="CA1893:CJ1893" si="638">IF(ISNUMBER(FIND(BI$3, $CP1893)), "Y", "")</f>
        <v>Y</v>
      </c>
      <c r="CB1893" s="319" t="str">
        <f t="shared" si="638"/>
        <v>Y</v>
      </c>
      <c r="CC1893" s="319" t="str">
        <f t="shared" si="638"/>
        <v>Y</v>
      </c>
      <c r="CD1893" s="319" t="str">
        <f t="shared" si="638"/>
        <v>Y</v>
      </c>
      <c r="CE1893" s="319" t="str">
        <f t="shared" si="638"/>
        <v>Y</v>
      </c>
      <c r="CF1893" s="319" t="str">
        <f t="shared" si="638"/>
        <v>Y</v>
      </c>
      <c r="CG1893" s="319" t="str">
        <f t="shared" si="638"/>
        <v>Y</v>
      </c>
      <c r="CH1893" s="319" t="str">
        <f t="shared" si="638"/>
        <v/>
      </c>
      <c r="CI1893" s="319" t="str">
        <f t="shared" si="638"/>
        <v/>
      </c>
      <c r="CJ1893" s="319" t="str">
        <f t="shared" si="638"/>
        <v>Y</v>
      </c>
      <c r="CK1893" s="342">
        <f t="shared" si="182"/>
        <v>4.201190308</v>
      </c>
      <c r="CL1893" s="333">
        <f t="shared" si="183"/>
        <v>52.02470567</v>
      </c>
      <c r="CM1893" s="1079" t="s">
        <v>2582</v>
      </c>
      <c r="CN1893" s="1005" t="s">
        <v>2818</v>
      </c>
      <c r="CO1893" s="1005" t="s">
        <v>2827</v>
      </c>
      <c r="CP1893" s="1005" t="s">
        <v>2616</v>
      </c>
    </row>
    <row r="1894">
      <c r="A1894" s="266"/>
      <c r="B1894" s="1113" t="s">
        <v>1649</v>
      </c>
      <c r="C1894" s="1107">
        <v>45490.0</v>
      </c>
      <c r="D1894" s="103"/>
      <c r="E1894" s="1108">
        <v>32.0</v>
      </c>
      <c r="F1894" s="112" t="s">
        <v>2828</v>
      </c>
      <c r="G1894" s="1110">
        <v>0.4545138888888889</v>
      </c>
      <c r="H1894" s="1110">
        <v>0.4550925925925926</v>
      </c>
      <c r="I1894" s="1110"/>
      <c r="J1894" s="1111"/>
      <c r="K1894" s="1111">
        <v>0.45815972222222223</v>
      </c>
      <c r="L1894" s="1112">
        <v>0.0030671296296296297</v>
      </c>
      <c r="M1894" s="1113" t="s">
        <v>174</v>
      </c>
      <c r="N1894" s="110" t="s">
        <v>187</v>
      </c>
      <c r="O1894" s="1115" t="s">
        <v>204</v>
      </c>
      <c r="P1894" s="1115" t="s">
        <v>262</v>
      </c>
      <c r="Q1894" s="1116"/>
      <c r="R1894" s="120">
        <v>17.9</v>
      </c>
      <c r="S1894" s="1113">
        <v>3.6</v>
      </c>
      <c r="T1894" s="110">
        <v>2.6</v>
      </c>
      <c r="U1894" s="1108">
        <v>0.1</v>
      </c>
      <c r="V1894" s="1108"/>
      <c r="W1894" s="1108"/>
      <c r="X1894" s="1108"/>
      <c r="Y1894" s="1108"/>
      <c r="Z1894" s="1114" t="s">
        <v>365</v>
      </c>
      <c r="AA1894" s="1114"/>
      <c r="AB1894" s="1114" t="s">
        <v>403</v>
      </c>
      <c r="AC1894" s="1117">
        <v>8.0</v>
      </c>
      <c r="AD1894" s="1115"/>
      <c r="AE1894" s="1115"/>
      <c r="AF1894" s="1115"/>
      <c r="AG1894" s="1115"/>
      <c r="AH1894" s="1115"/>
      <c r="AI1894" s="1115"/>
      <c r="AJ1894" s="1117"/>
      <c r="AK1894" s="1118"/>
      <c r="AL1894" s="1115"/>
      <c r="AM1894" s="1115"/>
      <c r="AN1894" s="1115"/>
      <c r="AO1894" s="1115"/>
      <c r="AP1894" s="1115"/>
      <c r="AQ1894" s="1115"/>
      <c r="AR1894" s="1115"/>
      <c r="AS1894" s="1117"/>
      <c r="AT1894" s="1196" t="str">
        <f t="shared" si="428"/>
        <v>0-1</v>
      </c>
      <c r="AU1894" s="1193"/>
      <c r="AV1894" s="330">
        <f>SQRT(($R1894-Infrastructure!J$3)^2+($S1894-Infrastructure!K$3)^2)</f>
        <v>31.16616755</v>
      </c>
      <c r="AW1894" s="331">
        <f>SQRT(($R1894-Infrastructure!J$4)^2+($S1894-Infrastructure!K$4)^2)</f>
        <v>23.08419373</v>
      </c>
      <c r="AX1894" s="331">
        <f>SQRT(($R1894-Infrastructure!J$5)^2+($S1894-Infrastructure!K$5)^2)</f>
        <v>18.26170857</v>
      </c>
      <c r="AY1894" s="331">
        <f>SQRT(($R1894-Infrastructure!J$6)^2+($S1894-Infrastructure!K$6)^2)</f>
        <v>8.469356528</v>
      </c>
      <c r="AZ1894" s="331">
        <f>SQRT(($R1894-Infrastructure!J$7)^2+($S1894-Infrastructure!K$7)^2)</f>
        <v>4.201190308</v>
      </c>
      <c r="BA1894" s="331">
        <f>SQRT(($R1894-Infrastructure!J$8)^2+($S1894-Infrastructure!K$8)^2)</f>
        <v>12.63843345</v>
      </c>
      <c r="BB1894" s="331">
        <f>SQRT(($R1894-Infrastructure!J$9)^2+($S1894-Infrastructure!K$9)^2)</f>
        <v>22.15084648</v>
      </c>
      <c r="BC1894" s="331">
        <f>SQRT(($R1894-Infrastructure!J$10)^2+($S1894-Infrastructure!K$10)^2)</f>
        <v>24.86704647</v>
      </c>
      <c r="BD1894" s="331">
        <f>SQRT(($R1894-Infrastructure!J$11)^2+($S1894-Infrastructure!K$11)^2)</f>
        <v>33.80014793</v>
      </c>
      <c r="BE1894" s="333">
        <f>SQRT(($R1894-Infrastructure!J$12)^2+($S1894-Infrastructure!K$12)^2)</f>
        <v>52.02470567</v>
      </c>
      <c r="BF1894" s="330">
        <f t="shared" si="161"/>
        <v>4.201190308</v>
      </c>
      <c r="BG1894" s="333">
        <f t="shared" si="162"/>
        <v>52.02470567</v>
      </c>
      <c r="BH1894" s="1119"/>
      <c r="BI1894" s="319" t="str">
        <f t="shared" ref="BI1894:BR1894" si="639">IF(ISNUMBER(FIND(BI$3, $CO1894)), "Y", "")</f>
        <v/>
      </c>
      <c r="BJ1894" s="319" t="str">
        <f t="shared" si="639"/>
        <v/>
      </c>
      <c r="BK1894" s="319" t="str">
        <f t="shared" si="639"/>
        <v/>
      </c>
      <c r="BL1894" s="319" t="str">
        <f t="shared" si="639"/>
        <v/>
      </c>
      <c r="BM1894" s="319" t="str">
        <f t="shared" si="639"/>
        <v/>
      </c>
      <c r="BN1894" s="319" t="str">
        <f t="shared" si="639"/>
        <v/>
      </c>
      <c r="BO1894" s="319" t="str">
        <f t="shared" si="639"/>
        <v/>
      </c>
      <c r="BP1894" s="319" t="str">
        <f t="shared" si="639"/>
        <v/>
      </c>
      <c r="BQ1894" s="319" t="str">
        <f t="shared" si="639"/>
        <v/>
      </c>
      <c r="BR1894" s="319" t="str">
        <f t="shared" si="639"/>
        <v/>
      </c>
      <c r="BS1894" s="330">
        <f t="shared" si="185"/>
        <v>0</v>
      </c>
      <c r="BT1894" s="331">
        <f t="shared" si="170"/>
        <v>0</v>
      </c>
      <c r="BU1894" s="920"/>
      <c r="BV1894" s="903" t="str">
        <f t="shared" si="186"/>
        <v/>
      </c>
      <c r="BW1894" s="908"/>
      <c r="BX1894" s="908"/>
      <c r="BY1894" s="331" t="b">
        <f t="shared" si="201"/>
        <v>0</v>
      </c>
      <c r="BZ1894" s="331"/>
      <c r="CA1894" s="462" t="str">
        <f t="shared" ref="CA1894:CJ1894" si="640">IF(ISNUMBER(FIND(BI$3, $CP1894)), "Y", "")</f>
        <v/>
      </c>
      <c r="CB1894" s="319" t="str">
        <f t="shared" si="640"/>
        <v/>
      </c>
      <c r="CC1894" s="319" t="str">
        <f t="shared" si="640"/>
        <v/>
      </c>
      <c r="CD1894" s="319" t="str">
        <f t="shared" si="640"/>
        <v/>
      </c>
      <c r="CE1894" s="319" t="str">
        <f t="shared" si="640"/>
        <v/>
      </c>
      <c r="CF1894" s="319" t="str">
        <f t="shared" si="640"/>
        <v/>
      </c>
      <c r="CG1894" s="319" t="str">
        <f t="shared" si="640"/>
        <v/>
      </c>
      <c r="CH1894" s="319" t="str">
        <f t="shared" si="640"/>
        <v/>
      </c>
      <c r="CI1894" s="319" t="str">
        <f t="shared" si="640"/>
        <v/>
      </c>
      <c r="CJ1894" s="319" t="str">
        <f t="shared" si="640"/>
        <v/>
      </c>
      <c r="CK1894" s="342">
        <f t="shared" si="182"/>
        <v>0</v>
      </c>
      <c r="CL1894" s="333">
        <f t="shared" si="183"/>
        <v>0</v>
      </c>
      <c r="CM1894" s="1079"/>
      <c r="CN1894" s="1005" t="s">
        <v>2818</v>
      </c>
      <c r="CO1894" s="1005"/>
      <c r="CP1894" s="1005"/>
    </row>
    <row r="1895">
      <c r="A1895" s="266"/>
      <c r="B1895" s="1113" t="s">
        <v>1649</v>
      </c>
      <c r="C1895" s="1107">
        <v>45490.0</v>
      </c>
      <c r="D1895" s="103"/>
      <c r="E1895" s="1108">
        <v>33.0</v>
      </c>
      <c r="F1895" s="112" t="s">
        <v>2829</v>
      </c>
      <c r="G1895" s="1110">
        <v>0.4789351851851852</v>
      </c>
      <c r="H1895" s="1110">
        <v>0.4795138888888889</v>
      </c>
      <c r="I1895" s="1110"/>
      <c r="J1895" s="1111"/>
      <c r="K1895" s="1111">
        <v>0.4810185185185185</v>
      </c>
      <c r="L1895" s="1112">
        <v>0.0015046296296296296</v>
      </c>
      <c r="M1895" s="1113" t="s">
        <v>168</v>
      </c>
      <c r="N1895" s="110" t="s">
        <v>187</v>
      </c>
      <c r="O1895" s="1115" t="s">
        <v>204</v>
      </c>
      <c r="P1895" s="1115" t="s">
        <v>256</v>
      </c>
      <c r="Q1895" s="1116"/>
      <c r="R1895" s="120">
        <v>18.7</v>
      </c>
      <c r="S1895" s="1113">
        <v>4.1</v>
      </c>
      <c r="T1895" s="110">
        <v>1.2</v>
      </c>
      <c r="U1895" s="1108">
        <v>9.0</v>
      </c>
      <c r="V1895" s="1108"/>
      <c r="W1895" s="1108"/>
      <c r="X1895" s="1108"/>
      <c r="Y1895" s="1108"/>
      <c r="Z1895" s="1114" t="s">
        <v>365</v>
      </c>
      <c r="AA1895" s="1114"/>
      <c r="AB1895" s="1114" t="s">
        <v>341</v>
      </c>
      <c r="AC1895" s="1117">
        <v>3.0</v>
      </c>
      <c r="AD1895" s="1115"/>
      <c r="AE1895" s="1115"/>
      <c r="AF1895" s="1115"/>
      <c r="AG1895" s="1115"/>
      <c r="AH1895" s="1115"/>
      <c r="AI1895" s="1115"/>
      <c r="AJ1895" s="1117"/>
      <c r="AK1895" s="1118"/>
      <c r="AL1895" s="1115"/>
      <c r="AM1895" s="1115"/>
      <c r="AN1895" s="1115"/>
      <c r="AO1895" s="1115"/>
      <c r="AP1895" s="1115"/>
      <c r="AQ1895" s="1115"/>
      <c r="AR1895" s="1115"/>
      <c r="AS1895" s="1117"/>
      <c r="AT1895" s="1196" t="str">
        <f t="shared" si="428"/>
        <v>1-10</v>
      </c>
      <c r="AU1895" s="1193"/>
      <c r="AV1895" s="330">
        <f>SQRT(($R1895-Infrastructure!J$3)^2+($S1895-Infrastructure!K$3)^2)</f>
        <v>31.24163888</v>
      </c>
      <c r="AW1895" s="331">
        <f>SQRT(($R1895-Infrastructure!J$4)^2+($S1895-Infrastructure!K$4)^2)</f>
        <v>23.42413285</v>
      </c>
      <c r="AX1895" s="331">
        <f>SQRT(($R1895-Infrastructure!J$5)^2+($S1895-Infrastructure!K$5)^2)</f>
        <v>19.02629759</v>
      </c>
      <c r="AY1895" s="331">
        <f>SQRT(($R1895-Infrastructure!J$6)^2+($S1895-Infrastructure!K$6)^2)</f>
        <v>9.402127419</v>
      </c>
      <c r="AZ1895" s="331">
        <f>SQRT(($R1895-Infrastructure!J$7)^2+($S1895-Infrastructure!K$7)^2)</f>
        <v>4.204759208</v>
      </c>
      <c r="BA1895" s="331">
        <f>SQRT(($R1895-Infrastructure!J$8)^2+($S1895-Infrastructure!K$8)^2)</f>
        <v>12.01665511</v>
      </c>
      <c r="BB1895" s="331">
        <f>SQRT(($R1895-Infrastructure!J$9)^2+($S1895-Infrastructure!K$9)^2)</f>
        <v>21.32346126</v>
      </c>
      <c r="BC1895" s="331">
        <f>SQRT(($R1895-Infrastructure!J$10)^2+($S1895-Infrastructure!K$10)^2)</f>
        <v>23.92697223</v>
      </c>
      <c r="BD1895" s="331">
        <f>SQRT(($R1895-Infrastructure!J$11)^2+($S1895-Infrastructure!K$11)^2)</f>
        <v>32.89772029</v>
      </c>
      <c r="BE1895" s="333">
        <f>SQRT(($R1895-Infrastructure!J$12)^2+($S1895-Infrastructure!K$12)^2)</f>
        <v>51.4762081</v>
      </c>
      <c r="BF1895" s="330">
        <f t="shared" si="161"/>
        <v>4.204759208</v>
      </c>
      <c r="BG1895" s="333">
        <f t="shared" si="162"/>
        <v>51.4762081</v>
      </c>
      <c r="BH1895" s="1119"/>
      <c r="BI1895" s="319" t="str">
        <f t="shared" ref="BI1895:BR1895" si="641">IF(ISNUMBER(FIND(BI$3, $CO1895)), "Y", "")</f>
        <v>Y</v>
      </c>
      <c r="BJ1895" s="319" t="str">
        <f t="shared" si="641"/>
        <v>Y</v>
      </c>
      <c r="BK1895" s="319" t="str">
        <f t="shared" si="641"/>
        <v>Y</v>
      </c>
      <c r="BL1895" s="319" t="str">
        <f t="shared" si="641"/>
        <v>Y</v>
      </c>
      <c r="BM1895" s="319" t="str">
        <f t="shared" si="641"/>
        <v>Y</v>
      </c>
      <c r="BN1895" s="319" t="str">
        <f t="shared" si="641"/>
        <v>Y</v>
      </c>
      <c r="BO1895" s="319" t="str">
        <f t="shared" si="641"/>
        <v>Y</v>
      </c>
      <c r="BP1895" s="319" t="str">
        <f t="shared" si="641"/>
        <v/>
      </c>
      <c r="BQ1895" s="319" t="str">
        <f t="shared" si="641"/>
        <v>Y</v>
      </c>
      <c r="BR1895" s="319" t="str">
        <f t="shared" si="641"/>
        <v/>
      </c>
      <c r="BS1895" s="330">
        <f t="shared" si="185"/>
        <v>4.204759208</v>
      </c>
      <c r="BT1895" s="331">
        <f t="shared" si="170"/>
        <v>32.89772029</v>
      </c>
      <c r="BU1895" s="920">
        <v>0.4794675925925926</v>
      </c>
      <c r="BV1895" s="903">
        <f t="shared" si="186"/>
        <v>0.0005324074074</v>
      </c>
      <c r="BW1895" s="908">
        <v>19.7</v>
      </c>
      <c r="BX1895" s="908">
        <v>10.5</v>
      </c>
      <c r="BY1895" s="331">
        <f t="shared" si="201"/>
        <v>6.477653896</v>
      </c>
      <c r="BZ1895" s="331"/>
      <c r="CA1895" s="462" t="str">
        <f t="shared" ref="CA1895:CJ1895" si="642">IF(ISNUMBER(FIND(BI$3, $CP1895)), "Y", "")</f>
        <v>Y</v>
      </c>
      <c r="CB1895" s="319" t="str">
        <f t="shared" si="642"/>
        <v>Y</v>
      </c>
      <c r="CC1895" s="319" t="str">
        <f t="shared" si="642"/>
        <v>Y</v>
      </c>
      <c r="CD1895" s="319" t="str">
        <f t="shared" si="642"/>
        <v>Y</v>
      </c>
      <c r="CE1895" s="319" t="str">
        <f t="shared" si="642"/>
        <v>Y</v>
      </c>
      <c r="CF1895" s="319" t="str">
        <f t="shared" si="642"/>
        <v>Y</v>
      </c>
      <c r="CG1895" s="319" t="str">
        <f t="shared" si="642"/>
        <v>Y</v>
      </c>
      <c r="CH1895" s="319" t="str">
        <f t="shared" si="642"/>
        <v/>
      </c>
      <c r="CI1895" s="319" t="str">
        <f t="shared" si="642"/>
        <v>Y</v>
      </c>
      <c r="CJ1895" s="319" t="str">
        <f t="shared" si="642"/>
        <v>Y</v>
      </c>
      <c r="CK1895" s="342">
        <f t="shared" si="182"/>
        <v>4.204759208</v>
      </c>
      <c r="CL1895" s="333">
        <f t="shared" si="183"/>
        <v>51.4762081</v>
      </c>
      <c r="CM1895" s="1079" t="s">
        <v>2830</v>
      </c>
      <c r="CN1895" s="1005" t="s">
        <v>2818</v>
      </c>
      <c r="CO1895" s="1005" t="s">
        <v>2572</v>
      </c>
      <c r="CP1895" s="1005" t="s">
        <v>2400</v>
      </c>
    </row>
    <row r="1896">
      <c r="A1896" s="266"/>
      <c r="B1896" s="1113" t="s">
        <v>1649</v>
      </c>
      <c r="C1896" s="1107">
        <v>45490.0</v>
      </c>
      <c r="D1896" s="103"/>
      <c r="E1896" s="1108">
        <v>34.0</v>
      </c>
      <c r="F1896" s="112" t="s">
        <v>2831</v>
      </c>
      <c r="G1896" s="1110">
        <v>0.48194444444444445</v>
      </c>
      <c r="H1896" s="1110">
        <v>0.48246527777777776</v>
      </c>
      <c r="I1896" s="1110"/>
      <c r="J1896" s="1111"/>
      <c r="K1896" s="1111">
        <v>0.4840277777777778</v>
      </c>
      <c r="L1896" s="1112">
        <v>0.0015625</v>
      </c>
      <c r="M1896" s="1113" t="s">
        <v>168</v>
      </c>
      <c r="N1896" s="110" t="s">
        <v>187</v>
      </c>
      <c r="O1896" s="1115" t="s">
        <v>204</v>
      </c>
      <c r="P1896" s="1115" t="s">
        <v>256</v>
      </c>
      <c r="Q1896" s="1116"/>
      <c r="R1896" s="120">
        <v>18.7</v>
      </c>
      <c r="S1896" s="1113">
        <v>4.1</v>
      </c>
      <c r="T1896" s="110">
        <v>1.2</v>
      </c>
      <c r="U1896" s="1108">
        <v>6.0</v>
      </c>
      <c r="V1896" s="1108"/>
      <c r="W1896" s="1108"/>
      <c r="X1896" s="1108"/>
      <c r="Y1896" s="1108"/>
      <c r="Z1896" s="1114" t="s">
        <v>365</v>
      </c>
      <c r="AA1896" s="1114"/>
      <c r="AB1896" s="1114" t="s">
        <v>341</v>
      </c>
      <c r="AC1896" s="1117">
        <v>3.0</v>
      </c>
      <c r="AD1896" s="1115"/>
      <c r="AE1896" s="1115"/>
      <c r="AF1896" s="1115"/>
      <c r="AG1896" s="1115"/>
      <c r="AH1896" s="1115"/>
      <c r="AI1896" s="1115"/>
      <c r="AJ1896" s="1117"/>
      <c r="AK1896" s="1118"/>
      <c r="AL1896" s="1115"/>
      <c r="AM1896" s="1115"/>
      <c r="AN1896" s="1115"/>
      <c r="AO1896" s="1115"/>
      <c r="AP1896" s="1115"/>
      <c r="AQ1896" s="1115"/>
      <c r="AR1896" s="1115"/>
      <c r="AS1896" s="1117"/>
      <c r="AT1896" s="1196" t="str">
        <f t="shared" si="428"/>
        <v>1-10</v>
      </c>
      <c r="AU1896" s="1193"/>
      <c r="AV1896" s="330">
        <f>SQRT(($R1896-Infrastructure!J$3)^2+($S1896-Infrastructure!K$3)^2)</f>
        <v>31.24163888</v>
      </c>
      <c r="AW1896" s="331">
        <f>SQRT(($R1896-Infrastructure!J$4)^2+($S1896-Infrastructure!K$4)^2)</f>
        <v>23.42413285</v>
      </c>
      <c r="AX1896" s="331">
        <f>SQRT(($R1896-Infrastructure!J$5)^2+($S1896-Infrastructure!K$5)^2)</f>
        <v>19.02629759</v>
      </c>
      <c r="AY1896" s="331">
        <f>SQRT(($R1896-Infrastructure!J$6)^2+($S1896-Infrastructure!K$6)^2)</f>
        <v>9.402127419</v>
      </c>
      <c r="AZ1896" s="331">
        <f>SQRT(($R1896-Infrastructure!J$7)^2+($S1896-Infrastructure!K$7)^2)</f>
        <v>4.204759208</v>
      </c>
      <c r="BA1896" s="331">
        <f>SQRT(($R1896-Infrastructure!J$8)^2+($S1896-Infrastructure!K$8)^2)</f>
        <v>12.01665511</v>
      </c>
      <c r="BB1896" s="331">
        <f>SQRT(($R1896-Infrastructure!J$9)^2+($S1896-Infrastructure!K$9)^2)</f>
        <v>21.32346126</v>
      </c>
      <c r="BC1896" s="331">
        <f>SQRT(($R1896-Infrastructure!J$10)^2+($S1896-Infrastructure!K$10)^2)</f>
        <v>23.92697223</v>
      </c>
      <c r="BD1896" s="331">
        <f>SQRT(($R1896-Infrastructure!J$11)^2+($S1896-Infrastructure!K$11)^2)</f>
        <v>32.89772029</v>
      </c>
      <c r="BE1896" s="333">
        <f>SQRT(($R1896-Infrastructure!J$12)^2+($S1896-Infrastructure!K$12)^2)</f>
        <v>51.4762081</v>
      </c>
      <c r="BF1896" s="330">
        <f t="shared" si="161"/>
        <v>4.204759208</v>
      </c>
      <c r="BG1896" s="333">
        <f t="shared" si="162"/>
        <v>51.4762081</v>
      </c>
      <c r="BH1896" s="1119"/>
      <c r="BI1896" s="319" t="str">
        <f t="shared" ref="BI1896:BR1896" si="643">IF(ISNUMBER(FIND(BI$3, $CO1896)), "Y", "")</f>
        <v>Y</v>
      </c>
      <c r="BJ1896" s="319" t="str">
        <f t="shared" si="643"/>
        <v>Y</v>
      </c>
      <c r="BK1896" s="319" t="str">
        <f t="shared" si="643"/>
        <v>Y</v>
      </c>
      <c r="BL1896" s="319" t="str">
        <f t="shared" si="643"/>
        <v>Y</v>
      </c>
      <c r="BM1896" s="319" t="str">
        <f t="shared" si="643"/>
        <v>Y</v>
      </c>
      <c r="BN1896" s="319" t="str">
        <f t="shared" si="643"/>
        <v>Y</v>
      </c>
      <c r="BO1896" s="319" t="str">
        <f t="shared" si="643"/>
        <v>Y</v>
      </c>
      <c r="BP1896" s="319" t="str">
        <f t="shared" si="643"/>
        <v/>
      </c>
      <c r="BQ1896" s="319" t="str">
        <f t="shared" si="643"/>
        <v>Y</v>
      </c>
      <c r="BR1896" s="319" t="str">
        <f t="shared" si="643"/>
        <v>Y</v>
      </c>
      <c r="BS1896" s="330">
        <f t="shared" si="185"/>
        <v>4.204759208</v>
      </c>
      <c r="BT1896" s="331">
        <f t="shared" si="170"/>
        <v>51.4762081</v>
      </c>
      <c r="BU1896" s="920">
        <v>0.4825</v>
      </c>
      <c r="BV1896" s="903">
        <f t="shared" si="186"/>
        <v>0.0005555555556</v>
      </c>
      <c r="BW1896" s="908">
        <v>17.1</v>
      </c>
      <c r="BX1896" s="908">
        <v>13.1</v>
      </c>
      <c r="BY1896" s="331">
        <f t="shared" si="201"/>
        <v>9.141115906</v>
      </c>
      <c r="BZ1896" s="331"/>
      <c r="CA1896" s="462" t="str">
        <f t="shared" ref="CA1896:CJ1896" si="644">IF(ISNUMBER(FIND(BI$3, $CP1896)), "Y", "")</f>
        <v>Y</v>
      </c>
      <c r="CB1896" s="319" t="str">
        <f t="shared" si="644"/>
        <v>Y</v>
      </c>
      <c r="CC1896" s="319" t="str">
        <f t="shared" si="644"/>
        <v>Y</v>
      </c>
      <c r="CD1896" s="319" t="str">
        <f t="shared" si="644"/>
        <v>Y</v>
      </c>
      <c r="CE1896" s="319" t="str">
        <f t="shared" si="644"/>
        <v>Y</v>
      </c>
      <c r="CF1896" s="319" t="str">
        <f t="shared" si="644"/>
        <v>Y</v>
      </c>
      <c r="CG1896" s="319" t="str">
        <f t="shared" si="644"/>
        <v>Y</v>
      </c>
      <c r="CH1896" s="319" t="str">
        <f t="shared" si="644"/>
        <v/>
      </c>
      <c r="CI1896" s="319" t="str">
        <f t="shared" si="644"/>
        <v>Y</v>
      </c>
      <c r="CJ1896" s="319" t="str">
        <f t="shared" si="644"/>
        <v>Y</v>
      </c>
      <c r="CK1896" s="342">
        <f t="shared" si="182"/>
        <v>4.204759208</v>
      </c>
      <c r="CL1896" s="333">
        <f t="shared" si="183"/>
        <v>51.4762081</v>
      </c>
      <c r="CM1896" s="1079" t="s">
        <v>2832</v>
      </c>
      <c r="CN1896" s="1005" t="s">
        <v>2818</v>
      </c>
      <c r="CO1896" s="1005" t="s">
        <v>2400</v>
      </c>
      <c r="CP1896" s="1005" t="s">
        <v>2400</v>
      </c>
    </row>
    <row r="1897">
      <c r="A1897" s="266"/>
      <c r="B1897" s="1113" t="s">
        <v>1649</v>
      </c>
      <c r="C1897" s="1107">
        <v>45490.0</v>
      </c>
      <c r="D1897" s="103"/>
      <c r="E1897" s="1108">
        <v>35.0</v>
      </c>
      <c r="F1897" s="112" t="s">
        <v>2833</v>
      </c>
      <c r="G1897" s="1110">
        <v>0.48483796296296294</v>
      </c>
      <c r="H1897" s="1110">
        <v>0.48506944444444444</v>
      </c>
      <c r="I1897" s="1110"/>
      <c r="J1897" s="1111"/>
      <c r="K1897" s="1111">
        <v>0.48657407407407405</v>
      </c>
      <c r="L1897" s="1112">
        <v>0.0015046296296296296</v>
      </c>
      <c r="M1897" s="1113" t="s">
        <v>168</v>
      </c>
      <c r="N1897" s="110" t="s">
        <v>187</v>
      </c>
      <c r="O1897" s="1115" t="s">
        <v>204</v>
      </c>
      <c r="P1897" s="1115" t="s">
        <v>256</v>
      </c>
      <c r="Q1897" s="1116"/>
      <c r="R1897" s="120">
        <v>18.7</v>
      </c>
      <c r="S1897" s="1113">
        <v>4.1</v>
      </c>
      <c r="T1897" s="110">
        <v>1.2</v>
      </c>
      <c r="U1897" s="1108">
        <v>3.0</v>
      </c>
      <c r="V1897" s="1108"/>
      <c r="W1897" s="1108"/>
      <c r="X1897" s="1108"/>
      <c r="Y1897" s="1108"/>
      <c r="Z1897" s="1114" t="s">
        <v>365</v>
      </c>
      <c r="AA1897" s="1114"/>
      <c r="AB1897" s="1114" t="s">
        <v>341</v>
      </c>
      <c r="AC1897" s="1117">
        <v>3.0</v>
      </c>
      <c r="AD1897" s="1115"/>
      <c r="AE1897" s="1115"/>
      <c r="AF1897" s="1115"/>
      <c r="AG1897" s="1115"/>
      <c r="AH1897" s="1115"/>
      <c r="AI1897" s="1115"/>
      <c r="AJ1897" s="1117"/>
      <c r="AK1897" s="1118"/>
      <c r="AL1897" s="1115"/>
      <c r="AM1897" s="1115"/>
      <c r="AN1897" s="1115"/>
      <c r="AO1897" s="1115"/>
      <c r="AP1897" s="1115"/>
      <c r="AQ1897" s="1115"/>
      <c r="AR1897" s="1115"/>
      <c r="AS1897" s="1117"/>
      <c r="AT1897" s="1196" t="str">
        <f t="shared" si="428"/>
        <v>1-10</v>
      </c>
      <c r="AU1897" s="1193"/>
      <c r="AV1897" s="330">
        <f>SQRT(($R1897-Infrastructure!J$3)^2+($S1897-Infrastructure!K$3)^2)</f>
        <v>31.24163888</v>
      </c>
      <c r="AW1897" s="331">
        <f>SQRT(($R1897-Infrastructure!J$4)^2+($S1897-Infrastructure!K$4)^2)</f>
        <v>23.42413285</v>
      </c>
      <c r="AX1897" s="331">
        <f>SQRT(($R1897-Infrastructure!J$5)^2+($S1897-Infrastructure!K$5)^2)</f>
        <v>19.02629759</v>
      </c>
      <c r="AY1897" s="331">
        <f>SQRT(($R1897-Infrastructure!J$6)^2+($S1897-Infrastructure!K$6)^2)</f>
        <v>9.402127419</v>
      </c>
      <c r="AZ1897" s="331">
        <f>SQRT(($R1897-Infrastructure!J$7)^2+($S1897-Infrastructure!K$7)^2)</f>
        <v>4.204759208</v>
      </c>
      <c r="BA1897" s="331">
        <f>SQRT(($R1897-Infrastructure!J$8)^2+($S1897-Infrastructure!K$8)^2)</f>
        <v>12.01665511</v>
      </c>
      <c r="BB1897" s="331">
        <f>SQRT(($R1897-Infrastructure!J$9)^2+($S1897-Infrastructure!K$9)^2)</f>
        <v>21.32346126</v>
      </c>
      <c r="BC1897" s="331">
        <f>SQRT(($R1897-Infrastructure!J$10)^2+($S1897-Infrastructure!K$10)^2)</f>
        <v>23.92697223</v>
      </c>
      <c r="BD1897" s="331">
        <f>SQRT(($R1897-Infrastructure!J$11)^2+($S1897-Infrastructure!K$11)^2)</f>
        <v>32.89772029</v>
      </c>
      <c r="BE1897" s="333">
        <f>SQRT(($R1897-Infrastructure!J$12)^2+($S1897-Infrastructure!K$12)^2)</f>
        <v>51.4762081</v>
      </c>
      <c r="BF1897" s="330">
        <f t="shared" si="161"/>
        <v>4.204759208</v>
      </c>
      <c r="BG1897" s="333">
        <f t="shared" si="162"/>
        <v>51.4762081</v>
      </c>
      <c r="BH1897" s="1119"/>
      <c r="BI1897" s="319" t="str">
        <f t="shared" ref="BI1897:BR1897" si="645">IF(ISNUMBER(FIND(BI$3, $CO1897)), "Y", "")</f>
        <v>Y</v>
      </c>
      <c r="BJ1897" s="319" t="str">
        <f t="shared" si="645"/>
        <v/>
      </c>
      <c r="BK1897" s="319" t="str">
        <f t="shared" si="645"/>
        <v>Y</v>
      </c>
      <c r="BL1897" s="319" t="str">
        <f t="shared" si="645"/>
        <v>Y</v>
      </c>
      <c r="BM1897" s="319" t="str">
        <f t="shared" si="645"/>
        <v>Y</v>
      </c>
      <c r="BN1897" s="319" t="str">
        <f t="shared" si="645"/>
        <v>Y</v>
      </c>
      <c r="BO1897" s="319" t="str">
        <f t="shared" si="645"/>
        <v>Y</v>
      </c>
      <c r="BP1897" s="319" t="str">
        <f t="shared" si="645"/>
        <v/>
      </c>
      <c r="BQ1897" s="319" t="str">
        <f t="shared" si="645"/>
        <v/>
      </c>
      <c r="BR1897" s="319" t="str">
        <f t="shared" si="645"/>
        <v/>
      </c>
      <c r="BS1897" s="330">
        <f t="shared" si="185"/>
        <v>4.204759208</v>
      </c>
      <c r="BT1897" s="331">
        <f t="shared" si="170"/>
        <v>31.24163888</v>
      </c>
      <c r="BU1897" s="920">
        <v>0.48540509259259257</v>
      </c>
      <c r="BV1897" s="903">
        <f t="shared" si="186"/>
        <v>0.0005671296296</v>
      </c>
      <c r="BW1897" s="908">
        <v>16.8</v>
      </c>
      <c r="BX1897" s="908">
        <v>14.6</v>
      </c>
      <c r="BY1897" s="331">
        <f t="shared" si="201"/>
        <v>10.67052014</v>
      </c>
      <c r="BZ1897" s="331"/>
      <c r="CA1897" s="462" t="str">
        <f t="shared" ref="CA1897:CJ1897" si="646">IF(ISNUMBER(FIND(BI$3, $CP1897)), "Y", "")</f>
        <v>Y</v>
      </c>
      <c r="CB1897" s="319" t="str">
        <f t="shared" si="646"/>
        <v/>
      </c>
      <c r="CC1897" s="319" t="str">
        <f t="shared" si="646"/>
        <v>Y</v>
      </c>
      <c r="CD1897" s="319" t="str">
        <f t="shared" si="646"/>
        <v>Y</v>
      </c>
      <c r="CE1897" s="319" t="str">
        <f t="shared" si="646"/>
        <v>Y</v>
      </c>
      <c r="CF1897" s="319" t="str">
        <f t="shared" si="646"/>
        <v>Y</v>
      </c>
      <c r="CG1897" s="319" t="str">
        <f t="shared" si="646"/>
        <v>Y</v>
      </c>
      <c r="CH1897" s="319" t="str">
        <f t="shared" si="646"/>
        <v/>
      </c>
      <c r="CI1897" s="319" t="str">
        <f t="shared" si="646"/>
        <v>Y</v>
      </c>
      <c r="CJ1897" s="319" t="str">
        <f t="shared" si="646"/>
        <v/>
      </c>
      <c r="CK1897" s="342">
        <f t="shared" si="182"/>
        <v>4.204759208</v>
      </c>
      <c r="CL1897" s="333">
        <f t="shared" si="183"/>
        <v>32.89772029</v>
      </c>
      <c r="CM1897" s="1079" t="s">
        <v>2834</v>
      </c>
      <c r="CN1897" s="1005" t="s">
        <v>2818</v>
      </c>
      <c r="CO1897" s="1005" t="s">
        <v>2414</v>
      </c>
      <c r="CP1897" s="1005" t="s">
        <v>2568</v>
      </c>
    </row>
    <row r="1898">
      <c r="A1898" s="266"/>
      <c r="B1898" s="1113" t="s">
        <v>1649</v>
      </c>
      <c r="C1898" s="1107">
        <v>45490.0</v>
      </c>
      <c r="D1898" s="103"/>
      <c r="E1898" s="1108">
        <v>36.0</v>
      </c>
      <c r="F1898" s="112" t="s">
        <v>2835</v>
      </c>
      <c r="G1898" s="1110">
        <v>0.4873263888888889</v>
      </c>
      <c r="H1898" s="1110">
        <v>0.48819444444444443</v>
      </c>
      <c r="I1898" s="1110"/>
      <c r="J1898" s="1111"/>
      <c r="K1898" s="1111">
        <v>0.4895833333333333</v>
      </c>
      <c r="L1898" s="1112">
        <v>0.001388888888888889</v>
      </c>
      <c r="M1898" s="1113" t="s">
        <v>168</v>
      </c>
      <c r="N1898" s="110" t="s">
        <v>187</v>
      </c>
      <c r="O1898" s="1115" t="s">
        <v>204</v>
      </c>
      <c r="P1898" s="1115" t="s">
        <v>256</v>
      </c>
      <c r="Q1898" s="1116"/>
      <c r="R1898" s="120">
        <v>18.7</v>
      </c>
      <c r="S1898" s="1113">
        <v>4.1</v>
      </c>
      <c r="T1898" s="110">
        <v>1.2</v>
      </c>
      <c r="U1898" s="1108">
        <v>1.0</v>
      </c>
      <c r="V1898" s="1108"/>
      <c r="W1898" s="1108"/>
      <c r="X1898" s="1108"/>
      <c r="Y1898" s="1108"/>
      <c r="Z1898" s="1114" t="s">
        <v>365</v>
      </c>
      <c r="AA1898" s="1114"/>
      <c r="AB1898" s="1114" t="s">
        <v>341</v>
      </c>
      <c r="AC1898" s="1117">
        <v>3.0</v>
      </c>
      <c r="AD1898" s="1115"/>
      <c r="AE1898" s="1115"/>
      <c r="AF1898" s="1115"/>
      <c r="AG1898" s="1115"/>
      <c r="AH1898" s="1115"/>
      <c r="AI1898" s="1115"/>
      <c r="AJ1898" s="1117"/>
      <c r="AK1898" s="1118"/>
      <c r="AL1898" s="1115"/>
      <c r="AM1898" s="1115"/>
      <c r="AN1898" s="1115"/>
      <c r="AO1898" s="1115"/>
      <c r="AP1898" s="1115"/>
      <c r="AQ1898" s="1115"/>
      <c r="AR1898" s="1115"/>
      <c r="AS1898" s="1117"/>
      <c r="AT1898" s="1196" t="str">
        <f t="shared" si="428"/>
        <v>1-10</v>
      </c>
      <c r="AU1898" s="1193"/>
      <c r="AV1898" s="330">
        <f>SQRT(($R1898-Infrastructure!J$3)^2+($S1898-Infrastructure!K$3)^2)</f>
        <v>31.24163888</v>
      </c>
      <c r="AW1898" s="331">
        <f>SQRT(($R1898-Infrastructure!J$4)^2+($S1898-Infrastructure!K$4)^2)</f>
        <v>23.42413285</v>
      </c>
      <c r="AX1898" s="331">
        <f>SQRT(($R1898-Infrastructure!J$5)^2+($S1898-Infrastructure!K$5)^2)</f>
        <v>19.02629759</v>
      </c>
      <c r="AY1898" s="331">
        <f>SQRT(($R1898-Infrastructure!J$6)^2+($S1898-Infrastructure!K$6)^2)</f>
        <v>9.402127419</v>
      </c>
      <c r="AZ1898" s="331">
        <f>SQRT(($R1898-Infrastructure!J$7)^2+($S1898-Infrastructure!K$7)^2)</f>
        <v>4.204759208</v>
      </c>
      <c r="BA1898" s="331">
        <f>SQRT(($R1898-Infrastructure!J$8)^2+($S1898-Infrastructure!K$8)^2)</f>
        <v>12.01665511</v>
      </c>
      <c r="BB1898" s="331">
        <f>SQRT(($R1898-Infrastructure!J$9)^2+($S1898-Infrastructure!K$9)^2)</f>
        <v>21.32346126</v>
      </c>
      <c r="BC1898" s="331">
        <f>SQRT(($R1898-Infrastructure!J$10)^2+($S1898-Infrastructure!K$10)^2)</f>
        <v>23.92697223</v>
      </c>
      <c r="BD1898" s="331">
        <f>SQRT(($R1898-Infrastructure!J$11)^2+($S1898-Infrastructure!K$11)^2)</f>
        <v>32.89772029</v>
      </c>
      <c r="BE1898" s="333">
        <f>SQRT(($R1898-Infrastructure!J$12)^2+($S1898-Infrastructure!K$12)^2)</f>
        <v>51.4762081</v>
      </c>
      <c r="BF1898" s="330">
        <f t="shared" si="161"/>
        <v>4.204759208</v>
      </c>
      <c r="BG1898" s="333">
        <f t="shared" si="162"/>
        <v>51.4762081</v>
      </c>
      <c r="BH1898" s="1119"/>
      <c r="BI1898" s="319" t="str">
        <f t="shared" ref="BI1898:BR1898" si="647">IF(ISNUMBER(FIND(BI$3, $CO1898)), "Y", "")</f>
        <v/>
      </c>
      <c r="BJ1898" s="319" t="str">
        <f t="shared" si="647"/>
        <v/>
      </c>
      <c r="BK1898" s="319" t="str">
        <f t="shared" si="647"/>
        <v/>
      </c>
      <c r="BL1898" s="319" t="str">
        <f t="shared" si="647"/>
        <v/>
      </c>
      <c r="BM1898" s="319" t="str">
        <f t="shared" si="647"/>
        <v/>
      </c>
      <c r="BN1898" s="319" t="str">
        <f t="shared" si="647"/>
        <v/>
      </c>
      <c r="BO1898" s="319" t="str">
        <f t="shared" si="647"/>
        <v/>
      </c>
      <c r="BP1898" s="319" t="str">
        <f t="shared" si="647"/>
        <v/>
      </c>
      <c r="BQ1898" s="319" t="str">
        <f t="shared" si="647"/>
        <v/>
      </c>
      <c r="BR1898" s="319" t="str">
        <f t="shared" si="647"/>
        <v/>
      </c>
      <c r="BS1898" s="330">
        <f t="shared" si="185"/>
        <v>0</v>
      </c>
      <c r="BT1898" s="331">
        <f t="shared" si="170"/>
        <v>0</v>
      </c>
      <c r="BU1898" s="920"/>
      <c r="BV1898" s="903" t="str">
        <f t="shared" si="186"/>
        <v/>
      </c>
      <c r="BW1898" s="908"/>
      <c r="BX1898" s="908"/>
      <c r="BY1898" s="331" t="b">
        <f t="shared" si="201"/>
        <v>0</v>
      </c>
      <c r="BZ1898" s="331"/>
      <c r="CA1898" s="462" t="str">
        <f t="shared" ref="CA1898:CJ1898" si="648">IF(ISNUMBER(FIND(BI$3, $CP1898)), "Y", "")</f>
        <v/>
      </c>
      <c r="CB1898" s="319" t="str">
        <f t="shared" si="648"/>
        <v/>
      </c>
      <c r="CC1898" s="319" t="str">
        <f t="shared" si="648"/>
        <v/>
      </c>
      <c r="CD1898" s="319" t="str">
        <f t="shared" si="648"/>
        <v/>
      </c>
      <c r="CE1898" s="319" t="str">
        <f t="shared" si="648"/>
        <v>Y</v>
      </c>
      <c r="CF1898" s="319" t="str">
        <f t="shared" si="648"/>
        <v/>
      </c>
      <c r="CG1898" s="319" t="str">
        <f t="shared" si="648"/>
        <v/>
      </c>
      <c r="CH1898" s="319" t="str">
        <f t="shared" si="648"/>
        <v/>
      </c>
      <c r="CI1898" s="319" t="str">
        <f t="shared" si="648"/>
        <v/>
      </c>
      <c r="CJ1898" s="319" t="str">
        <f t="shared" si="648"/>
        <v/>
      </c>
      <c r="CK1898" s="342">
        <f t="shared" si="182"/>
        <v>4.204759208</v>
      </c>
      <c r="CL1898" s="333">
        <f t="shared" si="183"/>
        <v>4.204759208</v>
      </c>
      <c r="CM1898" s="1079" t="s">
        <v>2625</v>
      </c>
      <c r="CN1898" s="1005" t="s">
        <v>2818</v>
      </c>
      <c r="CO1898" s="1005"/>
      <c r="CP1898" s="1005">
        <v>40.0</v>
      </c>
    </row>
    <row r="1899">
      <c r="A1899" s="266"/>
      <c r="B1899" s="1113" t="s">
        <v>1649</v>
      </c>
      <c r="C1899" s="1107">
        <v>45490.0</v>
      </c>
      <c r="D1899" s="103"/>
      <c r="E1899" s="1108">
        <v>37.0</v>
      </c>
      <c r="F1899" s="112" t="s">
        <v>2836</v>
      </c>
      <c r="G1899" s="1110">
        <v>0.49166666666666664</v>
      </c>
      <c r="H1899" s="1110">
        <v>0.4920717592592593</v>
      </c>
      <c r="I1899" s="1110"/>
      <c r="J1899" s="1111"/>
      <c r="K1899" s="1111">
        <v>0.4935185185185185</v>
      </c>
      <c r="L1899" s="1112">
        <v>0.0014467592592592592</v>
      </c>
      <c r="M1899" s="1113" t="s">
        <v>168</v>
      </c>
      <c r="N1899" s="110" t="s">
        <v>187</v>
      </c>
      <c r="O1899" s="1115" t="s">
        <v>204</v>
      </c>
      <c r="P1899" s="1115" t="s">
        <v>256</v>
      </c>
      <c r="Q1899" s="1116"/>
      <c r="R1899" s="120">
        <v>18.7</v>
      </c>
      <c r="S1899" s="1113">
        <v>4.1</v>
      </c>
      <c r="T1899" s="110">
        <v>1.2</v>
      </c>
      <c r="U1899" s="1108">
        <v>2.0</v>
      </c>
      <c r="V1899" s="1108"/>
      <c r="W1899" s="1108"/>
      <c r="X1899" s="1108"/>
      <c r="Y1899" s="1108"/>
      <c r="Z1899" s="1114" t="s">
        <v>365</v>
      </c>
      <c r="AA1899" s="1114"/>
      <c r="AB1899" s="1114" t="s">
        <v>341</v>
      </c>
      <c r="AC1899" s="1117">
        <v>3.0</v>
      </c>
      <c r="AD1899" s="1115"/>
      <c r="AE1899" s="1115"/>
      <c r="AF1899" s="1115"/>
      <c r="AG1899" s="1115"/>
      <c r="AH1899" s="1115"/>
      <c r="AI1899" s="1115"/>
      <c r="AJ1899" s="1117"/>
      <c r="AK1899" s="1118"/>
      <c r="AL1899" s="1115"/>
      <c r="AM1899" s="1115"/>
      <c r="AN1899" s="1115"/>
      <c r="AO1899" s="1115"/>
      <c r="AP1899" s="1115"/>
      <c r="AQ1899" s="1115"/>
      <c r="AR1899" s="1115"/>
      <c r="AS1899" s="1117"/>
      <c r="AT1899" s="1196" t="str">
        <f t="shared" si="428"/>
        <v>1-10</v>
      </c>
      <c r="AU1899" s="1193"/>
      <c r="AV1899" s="330">
        <f>SQRT(($R1899-Infrastructure!J$3)^2+($S1899-Infrastructure!K$3)^2)</f>
        <v>31.24163888</v>
      </c>
      <c r="AW1899" s="331">
        <f>SQRT(($R1899-Infrastructure!J$4)^2+($S1899-Infrastructure!K$4)^2)</f>
        <v>23.42413285</v>
      </c>
      <c r="AX1899" s="331">
        <f>SQRT(($R1899-Infrastructure!J$5)^2+($S1899-Infrastructure!K$5)^2)</f>
        <v>19.02629759</v>
      </c>
      <c r="AY1899" s="331">
        <f>SQRT(($R1899-Infrastructure!J$6)^2+($S1899-Infrastructure!K$6)^2)</f>
        <v>9.402127419</v>
      </c>
      <c r="AZ1899" s="331">
        <f>SQRT(($R1899-Infrastructure!J$7)^2+($S1899-Infrastructure!K$7)^2)</f>
        <v>4.204759208</v>
      </c>
      <c r="BA1899" s="331">
        <f>SQRT(($R1899-Infrastructure!J$8)^2+($S1899-Infrastructure!K$8)^2)</f>
        <v>12.01665511</v>
      </c>
      <c r="BB1899" s="331">
        <f>SQRT(($R1899-Infrastructure!J$9)^2+($S1899-Infrastructure!K$9)^2)</f>
        <v>21.32346126</v>
      </c>
      <c r="BC1899" s="331">
        <f>SQRT(($R1899-Infrastructure!J$10)^2+($S1899-Infrastructure!K$10)^2)</f>
        <v>23.92697223</v>
      </c>
      <c r="BD1899" s="331">
        <f>SQRT(($R1899-Infrastructure!J$11)^2+($S1899-Infrastructure!K$11)^2)</f>
        <v>32.89772029</v>
      </c>
      <c r="BE1899" s="333">
        <f>SQRT(($R1899-Infrastructure!J$12)^2+($S1899-Infrastructure!K$12)^2)</f>
        <v>51.4762081</v>
      </c>
      <c r="BF1899" s="330">
        <f t="shared" si="161"/>
        <v>4.204759208</v>
      </c>
      <c r="BG1899" s="333">
        <f t="shared" si="162"/>
        <v>51.4762081</v>
      </c>
      <c r="BH1899" s="1119"/>
      <c r="BI1899" s="319" t="str">
        <f t="shared" ref="BI1899:BR1899" si="649">IF(ISNUMBER(FIND(BI$3, $CO1899)), "Y", "")</f>
        <v/>
      </c>
      <c r="BJ1899" s="319" t="str">
        <f t="shared" si="649"/>
        <v/>
      </c>
      <c r="BK1899" s="319" t="str">
        <f t="shared" si="649"/>
        <v>Y</v>
      </c>
      <c r="BL1899" s="319" t="str">
        <f t="shared" si="649"/>
        <v>Y</v>
      </c>
      <c r="BM1899" s="319" t="str">
        <f t="shared" si="649"/>
        <v>Y</v>
      </c>
      <c r="BN1899" s="319" t="str">
        <f t="shared" si="649"/>
        <v>Y</v>
      </c>
      <c r="BO1899" s="319" t="str">
        <f t="shared" si="649"/>
        <v/>
      </c>
      <c r="BP1899" s="319" t="str">
        <f t="shared" si="649"/>
        <v/>
      </c>
      <c r="BQ1899" s="319" t="str">
        <f t="shared" si="649"/>
        <v/>
      </c>
      <c r="BR1899" s="319" t="str">
        <f t="shared" si="649"/>
        <v/>
      </c>
      <c r="BS1899" s="330">
        <f t="shared" si="185"/>
        <v>4.204759208</v>
      </c>
      <c r="BT1899" s="331">
        <f t="shared" si="170"/>
        <v>19.02629759</v>
      </c>
      <c r="BU1899" s="920">
        <v>0.4922916666666667</v>
      </c>
      <c r="BV1899" s="903">
        <f t="shared" si="186"/>
        <v>0.000625</v>
      </c>
      <c r="BW1899" s="908">
        <v>17.4</v>
      </c>
      <c r="BX1899" s="908">
        <v>18.2</v>
      </c>
      <c r="BY1899" s="331">
        <f t="shared" si="201"/>
        <v>14.15980226</v>
      </c>
      <c r="BZ1899" s="331"/>
      <c r="CA1899" s="462" t="str">
        <f t="shared" ref="CA1899:CJ1899" si="650">IF(ISNUMBER(FIND(BI$3, $CP1899)), "Y", "")</f>
        <v/>
      </c>
      <c r="CB1899" s="319" t="str">
        <f t="shared" si="650"/>
        <v/>
      </c>
      <c r="CC1899" s="319" t="str">
        <f t="shared" si="650"/>
        <v>Y</v>
      </c>
      <c r="CD1899" s="319" t="str">
        <f t="shared" si="650"/>
        <v>Y</v>
      </c>
      <c r="CE1899" s="319" t="str">
        <f t="shared" si="650"/>
        <v>Y</v>
      </c>
      <c r="CF1899" s="319" t="str">
        <f t="shared" si="650"/>
        <v>Y</v>
      </c>
      <c r="CG1899" s="319" t="str">
        <f t="shared" si="650"/>
        <v>Y</v>
      </c>
      <c r="CH1899" s="319" t="str">
        <f t="shared" si="650"/>
        <v/>
      </c>
      <c r="CI1899" s="319" t="str">
        <f t="shared" si="650"/>
        <v/>
      </c>
      <c r="CJ1899" s="319" t="str">
        <f t="shared" si="650"/>
        <v/>
      </c>
      <c r="CK1899" s="342">
        <f t="shared" si="182"/>
        <v>4.204759208</v>
      </c>
      <c r="CL1899" s="333">
        <f t="shared" si="183"/>
        <v>21.32346126</v>
      </c>
      <c r="CM1899" s="1079" t="s">
        <v>2837</v>
      </c>
      <c r="CN1899" s="1005" t="s">
        <v>2818</v>
      </c>
      <c r="CO1899" s="1005" t="s">
        <v>2621</v>
      </c>
      <c r="CP1899" s="1005" t="s">
        <v>2619</v>
      </c>
    </row>
    <row r="1900">
      <c r="A1900" s="266"/>
      <c r="B1900" s="1113" t="s">
        <v>1649</v>
      </c>
      <c r="C1900" s="1107">
        <v>45490.0</v>
      </c>
      <c r="D1900" s="103"/>
      <c r="E1900" s="1108">
        <v>38.0</v>
      </c>
      <c r="F1900" s="112" t="s">
        <v>2838</v>
      </c>
      <c r="G1900" s="1110">
        <v>0.4958912037037037</v>
      </c>
      <c r="H1900" s="1110">
        <v>0.49635416666666665</v>
      </c>
      <c r="I1900" s="1110"/>
      <c r="J1900" s="1111"/>
      <c r="K1900" s="1111">
        <v>0.49872685185185184</v>
      </c>
      <c r="L1900" s="1112">
        <v>0.002372685185185185</v>
      </c>
      <c r="M1900" s="1113" t="s">
        <v>168</v>
      </c>
      <c r="N1900" s="110" t="s">
        <v>187</v>
      </c>
      <c r="O1900" s="1115" t="s">
        <v>199</v>
      </c>
      <c r="P1900" s="1115" t="s">
        <v>279</v>
      </c>
      <c r="Q1900" s="1116"/>
      <c r="R1900" s="120">
        <v>16.4</v>
      </c>
      <c r="S1900" s="1113">
        <v>10.4</v>
      </c>
      <c r="T1900" s="110">
        <v>0.4</v>
      </c>
      <c r="U1900" s="1108">
        <v>1.0</v>
      </c>
      <c r="V1900" s="1108"/>
      <c r="W1900" s="1108"/>
      <c r="X1900" s="1108"/>
      <c r="Y1900" s="1108"/>
      <c r="Z1900" s="1114" t="s">
        <v>365</v>
      </c>
      <c r="AA1900" s="1114"/>
      <c r="AB1900" s="1114" t="s">
        <v>279</v>
      </c>
      <c r="AC1900" s="1117">
        <v>10.0</v>
      </c>
      <c r="AD1900" s="1115"/>
      <c r="AE1900" s="1115"/>
      <c r="AF1900" s="1115"/>
      <c r="AG1900" s="1115"/>
      <c r="AH1900" s="1115"/>
      <c r="AI1900" s="1115"/>
      <c r="AJ1900" s="1117"/>
      <c r="AK1900" s="1118"/>
      <c r="AL1900" s="1115"/>
      <c r="AM1900" s="1115"/>
      <c r="AN1900" s="1115"/>
      <c r="AO1900" s="1115"/>
      <c r="AP1900" s="1115"/>
      <c r="AQ1900" s="1115"/>
      <c r="AR1900" s="1115"/>
      <c r="AS1900" s="1117"/>
      <c r="AT1900" s="1196" t="str">
        <f t="shared" si="428"/>
        <v>1-10</v>
      </c>
      <c r="AU1900" s="1193"/>
      <c r="AV1900" s="330">
        <f>SQRT(($R1900-Infrastructure!J$3)^2+($S1900-Infrastructure!K$3)^2)</f>
        <v>24.92268043</v>
      </c>
      <c r="AW1900" s="331">
        <f>SQRT(($R1900-Infrastructure!J$4)^2+($S1900-Infrastructure!K$4)^2)</f>
        <v>18.2660888</v>
      </c>
      <c r="AX1900" s="331">
        <f>SQRT(($R1900-Infrastructure!J$5)^2+($S1900-Infrastructure!K$5)^2)</f>
        <v>17.52084473</v>
      </c>
      <c r="AY1900" s="331">
        <f>SQRT(($R1900-Infrastructure!J$6)^2+($S1900-Infrastructure!K$6)^2)</f>
        <v>11.90378091</v>
      </c>
      <c r="AZ1900" s="331">
        <f>SQRT(($R1900-Infrastructure!J$7)^2+($S1900-Infrastructure!K$7)^2)</f>
        <v>10.90045871</v>
      </c>
      <c r="BA1900" s="331">
        <f>SQRT(($R1900-Infrastructure!J$8)^2+($S1900-Infrastructure!K$8)^2)</f>
        <v>17.02057578</v>
      </c>
      <c r="BB1900" s="331">
        <f>SQRT(($R1900-Infrastructure!J$9)^2+($S1900-Infrastructure!K$9)^2)</f>
        <v>24.18780685</v>
      </c>
      <c r="BC1900" s="331">
        <f>SQRT(($R1900-Infrastructure!J$10)^2+($S1900-Infrastructure!K$10)^2)</f>
        <v>24.0441261</v>
      </c>
      <c r="BD1900" s="331">
        <f>SQRT(($R1900-Infrastructure!J$11)^2+($S1900-Infrastructure!K$11)^2)</f>
        <v>30.20595968</v>
      </c>
      <c r="BE1900" s="333">
        <f>SQRT(($R1900-Infrastructure!J$12)^2+($S1900-Infrastructure!K$12)^2)</f>
        <v>45.3874432</v>
      </c>
      <c r="BF1900" s="330">
        <f t="shared" si="161"/>
        <v>10.90045871</v>
      </c>
      <c r="BG1900" s="333">
        <f t="shared" si="162"/>
        <v>45.3874432</v>
      </c>
      <c r="BH1900" s="1119"/>
      <c r="BI1900" s="319" t="str">
        <f t="shared" ref="BI1900:BR1900" si="651">IF(ISNUMBER(FIND(BI$3, $CO1900)), "Y", "")</f>
        <v/>
      </c>
      <c r="BJ1900" s="319" t="str">
        <f t="shared" si="651"/>
        <v/>
      </c>
      <c r="BK1900" s="319" t="str">
        <f t="shared" si="651"/>
        <v>Y</v>
      </c>
      <c r="BL1900" s="319" t="str">
        <f t="shared" si="651"/>
        <v>Y</v>
      </c>
      <c r="BM1900" s="319" t="str">
        <f t="shared" si="651"/>
        <v>Y</v>
      </c>
      <c r="BN1900" s="319" t="str">
        <f t="shared" si="651"/>
        <v>Y</v>
      </c>
      <c r="BO1900" s="319" t="str">
        <f t="shared" si="651"/>
        <v/>
      </c>
      <c r="BP1900" s="319" t="str">
        <f t="shared" si="651"/>
        <v/>
      </c>
      <c r="BQ1900" s="319" t="str">
        <f t="shared" si="651"/>
        <v/>
      </c>
      <c r="BR1900" s="319" t="str">
        <f t="shared" si="651"/>
        <v/>
      </c>
      <c r="BS1900" s="330">
        <f t="shared" si="185"/>
        <v>10.90045871</v>
      </c>
      <c r="BT1900" s="331">
        <f t="shared" si="170"/>
        <v>17.52084473</v>
      </c>
      <c r="BU1900" s="920">
        <v>0.4970601851851852</v>
      </c>
      <c r="BV1900" s="903">
        <f t="shared" si="186"/>
        <v>0.001168981481</v>
      </c>
      <c r="BW1900" s="908">
        <v>13.8</v>
      </c>
      <c r="BX1900" s="908">
        <v>29.9</v>
      </c>
      <c r="BY1900" s="331">
        <f t="shared" si="201"/>
        <v>19.67256974</v>
      </c>
      <c r="BZ1900" s="331"/>
      <c r="CA1900" s="462" t="str">
        <f t="shared" ref="CA1900:CJ1900" si="652">IF(ISNUMBER(FIND(BI$3, $CP1900)), "Y", "")</f>
        <v/>
      </c>
      <c r="CB1900" s="319" t="str">
        <f t="shared" si="652"/>
        <v/>
      </c>
      <c r="CC1900" s="319" t="str">
        <f t="shared" si="652"/>
        <v>Y</v>
      </c>
      <c r="CD1900" s="319" t="str">
        <f t="shared" si="652"/>
        <v>Y</v>
      </c>
      <c r="CE1900" s="319" t="str">
        <f t="shared" si="652"/>
        <v>Y</v>
      </c>
      <c r="CF1900" s="319" t="str">
        <f t="shared" si="652"/>
        <v>Y</v>
      </c>
      <c r="CG1900" s="319" t="str">
        <f t="shared" si="652"/>
        <v>Y</v>
      </c>
      <c r="CH1900" s="319" t="str">
        <f t="shared" si="652"/>
        <v/>
      </c>
      <c r="CI1900" s="319" t="str">
        <f t="shared" si="652"/>
        <v/>
      </c>
      <c r="CJ1900" s="319" t="str">
        <f t="shared" si="652"/>
        <v/>
      </c>
      <c r="CK1900" s="342">
        <f t="shared" si="182"/>
        <v>10.90045871</v>
      </c>
      <c r="CL1900" s="333">
        <f t="shared" si="183"/>
        <v>24.18780685</v>
      </c>
      <c r="CM1900" s="1079" t="s">
        <v>2674</v>
      </c>
      <c r="CN1900" s="1005" t="s">
        <v>2818</v>
      </c>
      <c r="CO1900" s="1005" t="s">
        <v>2621</v>
      </c>
      <c r="CP1900" s="1005" t="s">
        <v>2619</v>
      </c>
    </row>
    <row r="1901">
      <c r="A1901" s="266"/>
      <c r="B1901" s="1113" t="s">
        <v>1649</v>
      </c>
      <c r="C1901" s="1107">
        <v>45490.0</v>
      </c>
      <c r="D1901" s="103"/>
      <c r="E1901" s="1108">
        <v>39.0</v>
      </c>
      <c r="F1901" s="112" t="s">
        <v>2839</v>
      </c>
      <c r="G1901" s="1110">
        <v>0.49947916666666664</v>
      </c>
      <c r="H1901" s="1110">
        <v>0.49982638888888886</v>
      </c>
      <c r="I1901" s="1110"/>
      <c r="J1901" s="1111"/>
      <c r="K1901" s="1111">
        <v>0.5012731481481482</v>
      </c>
      <c r="L1901" s="1112">
        <v>0.0014467592592592592</v>
      </c>
      <c r="M1901" s="1113" t="s">
        <v>168</v>
      </c>
      <c r="N1901" s="110" t="s">
        <v>187</v>
      </c>
      <c r="O1901" s="1115" t="s">
        <v>199</v>
      </c>
      <c r="P1901" s="1115" t="s">
        <v>279</v>
      </c>
      <c r="Q1901" s="1116"/>
      <c r="R1901" s="120">
        <v>16.4</v>
      </c>
      <c r="S1901" s="1113">
        <v>10.4</v>
      </c>
      <c r="T1901" s="110">
        <v>0.4</v>
      </c>
      <c r="U1901" s="1108">
        <v>2.0</v>
      </c>
      <c r="V1901" s="1108"/>
      <c r="W1901" s="1108"/>
      <c r="X1901" s="1108"/>
      <c r="Y1901" s="1108"/>
      <c r="Z1901" s="1114" t="s">
        <v>365</v>
      </c>
      <c r="AA1901" s="1114"/>
      <c r="AB1901" s="1114" t="s">
        <v>279</v>
      </c>
      <c r="AC1901" s="1117">
        <v>10.0</v>
      </c>
      <c r="AD1901" s="1115"/>
      <c r="AE1901" s="1115"/>
      <c r="AF1901" s="1115"/>
      <c r="AG1901" s="1115"/>
      <c r="AH1901" s="1115"/>
      <c r="AI1901" s="1115"/>
      <c r="AJ1901" s="1117"/>
      <c r="AK1901" s="1118"/>
      <c r="AL1901" s="1115"/>
      <c r="AM1901" s="1115"/>
      <c r="AN1901" s="1115"/>
      <c r="AO1901" s="1115"/>
      <c r="AP1901" s="1115"/>
      <c r="AQ1901" s="1115"/>
      <c r="AR1901" s="1115"/>
      <c r="AS1901" s="1117"/>
      <c r="AT1901" s="1196" t="str">
        <f t="shared" si="428"/>
        <v>1-10</v>
      </c>
      <c r="AU1901" s="1193"/>
      <c r="AV1901" s="330">
        <f>SQRT(($R1901-Infrastructure!J$3)^2+($S1901-Infrastructure!K$3)^2)</f>
        <v>24.92268043</v>
      </c>
      <c r="AW1901" s="331">
        <f>SQRT(($R1901-Infrastructure!J$4)^2+($S1901-Infrastructure!K$4)^2)</f>
        <v>18.2660888</v>
      </c>
      <c r="AX1901" s="331">
        <f>SQRT(($R1901-Infrastructure!J$5)^2+($S1901-Infrastructure!K$5)^2)</f>
        <v>17.52084473</v>
      </c>
      <c r="AY1901" s="331">
        <f>SQRT(($R1901-Infrastructure!J$6)^2+($S1901-Infrastructure!K$6)^2)</f>
        <v>11.90378091</v>
      </c>
      <c r="AZ1901" s="331">
        <f>SQRT(($R1901-Infrastructure!J$7)^2+($S1901-Infrastructure!K$7)^2)</f>
        <v>10.90045871</v>
      </c>
      <c r="BA1901" s="331">
        <f>SQRT(($R1901-Infrastructure!J$8)^2+($S1901-Infrastructure!K$8)^2)</f>
        <v>17.02057578</v>
      </c>
      <c r="BB1901" s="331">
        <f>SQRT(($R1901-Infrastructure!J$9)^2+($S1901-Infrastructure!K$9)^2)</f>
        <v>24.18780685</v>
      </c>
      <c r="BC1901" s="331">
        <f>SQRT(($R1901-Infrastructure!J$10)^2+($S1901-Infrastructure!K$10)^2)</f>
        <v>24.0441261</v>
      </c>
      <c r="BD1901" s="331">
        <f>SQRT(($R1901-Infrastructure!J$11)^2+($S1901-Infrastructure!K$11)^2)</f>
        <v>30.20595968</v>
      </c>
      <c r="BE1901" s="333">
        <f>SQRT(($R1901-Infrastructure!J$12)^2+($S1901-Infrastructure!K$12)^2)</f>
        <v>45.3874432</v>
      </c>
      <c r="BF1901" s="330">
        <f t="shared" si="161"/>
        <v>10.90045871</v>
      </c>
      <c r="BG1901" s="333">
        <f t="shared" si="162"/>
        <v>45.3874432</v>
      </c>
      <c r="BH1901" s="1119"/>
      <c r="BI1901" s="319" t="str">
        <f t="shared" ref="BI1901:BR1901" si="653">IF(ISNUMBER(FIND(BI$3, $CO1901)), "Y", "")</f>
        <v/>
      </c>
      <c r="BJ1901" s="319" t="str">
        <f t="shared" si="653"/>
        <v/>
      </c>
      <c r="BK1901" s="319" t="str">
        <f t="shared" si="653"/>
        <v>Y</v>
      </c>
      <c r="BL1901" s="319" t="str">
        <f t="shared" si="653"/>
        <v>Y</v>
      </c>
      <c r="BM1901" s="319" t="str">
        <f t="shared" si="653"/>
        <v>Y</v>
      </c>
      <c r="BN1901" s="319" t="str">
        <f t="shared" si="653"/>
        <v>Y</v>
      </c>
      <c r="BO1901" s="319" t="str">
        <f t="shared" si="653"/>
        <v>Y</v>
      </c>
      <c r="BP1901" s="319" t="str">
        <f t="shared" si="653"/>
        <v/>
      </c>
      <c r="BQ1901" s="319" t="str">
        <f t="shared" si="653"/>
        <v>Y</v>
      </c>
      <c r="BR1901" s="319" t="str">
        <f t="shared" si="653"/>
        <v/>
      </c>
      <c r="BS1901" s="330">
        <f t="shared" si="185"/>
        <v>10.90045871</v>
      </c>
      <c r="BT1901" s="331">
        <f t="shared" si="170"/>
        <v>30.20595968</v>
      </c>
      <c r="BU1901" s="920">
        <v>0.500150462962963</v>
      </c>
      <c r="BV1901" s="903">
        <f t="shared" si="186"/>
        <v>0.0006712962963</v>
      </c>
      <c r="BW1901" s="908">
        <v>15.6</v>
      </c>
      <c r="BX1901" s="908">
        <v>23.4</v>
      </c>
      <c r="BY1901" s="331">
        <f t="shared" si="201"/>
        <v>13.02459212</v>
      </c>
      <c r="BZ1901" s="331"/>
      <c r="CA1901" s="462" t="str">
        <f t="shared" ref="CA1901:CJ1901" si="654">IF(ISNUMBER(FIND(BI$3, $CP1901)), "Y", "")</f>
        <v/>
      </c>
      <c r="CB1901" s="319" t="str">
        <f t="shared" si="654"/>
        <v/>
      </c>
      <c r="CC1901" s="319" t="str">
        <f t="shared" si="654"/>
        <v>Y</v>
      </c>
      <c r="CD1901" s="319" t="str">
        <f t="shared" si="654"/>
        <v>Y</v>
      </c>
      <c r="CE1901" s="319" t="str">
        <f t="shared" si="654"/>
        <v>Y</v>
      </c>
      <c r="CF1901" s="319" t="str">
        <f t="shared" si="654"/>
        <v>Y</v>
      </c>
      <c r="CG1901" s="319" t="str">
        <f t="shared" si="654"/>
        <v>Y</v>
      </c>
      <c r="CH1901" s="319" t="str">
        <f t="shared" si="654"/>
        <v/>
      </c>
      <c r="CI1901" s="319" t="str">
        <f t="shared" si="654"/>
        <v/>
      </c>
      <c r="CJ1901" s="319" t="str">
        <f t="shared" si="654"/>
        <v/>
      </c>
      <c r="CK1901" s="342">
        <f t="shared" si="182"/>
        <v>10.90045871</v>
      </c>
      <c r="CL1901" s="333">
        <f t="shared" si="183"/>
        <v>24.18780685</v>
      </c>
      <c r="CM1901" s="1079" t="s">
        <v>2840</v>
      </c>
      <c r="CN1901" s="1005" t="s">
        <v>2818</v>
      </c>
      <c r="CO1901" s="1005" t="s">
        <v>2416</v>
      </c>
      <c r="CP1901" s="1005" t="s">
        <v>2619</v>
      </c>
    </row>
    <row r="1902">
      <c r="A1902" s="266"/>
      <c r="B1902" s="1113" t="s">
        <v>1649</v>
      </c>
      <c r="C1902" s="1107">
        <v>45490.0</v>
      </c>
      <c r="D1902" s="103"/>
      <c r="E1902" s="1108">
        <v>40.0</v>
      </c>
      <c r="F1902" s="112" t="s">
        <v>2841</v>
      </c>
      <c r="G1902" s="1110">
        <v>0.5020833333333333</v>
      </c>
      <c r="H1902" s="1110">
        <v>0.5024884259259259</v>
      </c>
      <c r="I1902" s="1110"/>
      <c r="J1902" s="1111"/>
      <c r="K1902" s="1111">
        <v>0.5041087962962963</v>
      </c>
      <c r="L1902" s="1112">
        <v>0.0016203703703703703</v>
      </c>
      <c r="M1902" s="1113" t="s">
        <v>168</v>
      </c>
      <c r="N1902" s="110" t="s">
        <v>187</v>
      </c>
      <c r="O1902" s="1115" t="s">
        <v>199</v>
      </c>
      <c r="P1902" s="1115" t="s">
        <v>279</v>
      </c>
      <c r="Q1902" s="1116"/>
      <c r="R1902" s="120">
        <v>16.4</v>
      </c>
      <c r="S1902" s="1113">
        <v>10.4</v>
      </c>
      <c r="T1902" s="110">
        <v>0.4</v>
      </c>
      <c r="U1902" s="1108">
        <v>3.0</v>
      </c>
      <c r="V1902" s="1108"/>
      <c r="W1902" s="1108"/>
      <c r="X1902" s="1108"/>
      <c r="Y1902" s="1108"/>
      <c r="Z1902" s="1114" t="s">
        <v>365</v>
      </c>
      <c r="AA1902" s="1114"/>
      <c r="AB1902" s="1114" t="s">
        <v>279</v>
      </c>
      <c r="AC1902" s="1117">
        <v>10.0</v>
      </c>
      <c r="AD1902" s="1115"/>
      <c r="AE1902" s="1115"/>
      <c r="AF1902" s="1115"/>
      <c r="AG1902" s="1115"/>
      <c r="AH1902" s="1115"/>
      <c r="AI1902" s="1115"/>
      <c r="AJ1902" s="1117"/>
      <c r="AK1902" s="1118"/>
      <c r="AL1902" s="1115"/>
      <c r="AM1902" s="1115"/>
      <c r="AN1902" s="1115"/>
      <c r="AO1902" s="1115"/>
      <c r="AP1902" s="1115"/>
      <c r="AQ1902" s="1115"/>
      <c r="AR1902" s="1115"/>
      <c r="AS1902" s="1117"/>
      <c r="AT1902" s="1196" t="str">
        <f t="shared" si="428"/>
        <v>1-10</v>
      </c>
      <c r="AU1902" s="1193"/>
      <c r="AV1902" s="330">
        <f>SQRT(($R1902-Infrastructure!J$3)^2+($S1902-Infrastructure!K$3)^2)</f>
        <v>24.92268043</v>
      </c>
      <c r="AW1902" s="331">
        <f>SQRT(($R1902-Infrastructure!J$4)^2+($S1902-Infrastructure!K$4)^2)</f>
        <v>18.2660888</v>
      </c>
      <c r="AX1902" s="331">
        <f>SQRT(($R1902-Infrastructure!J$5)^2+($S1902-Infrastructure!K$5)^2)</f>
        <v>17.52084473</v>
      </c>
      <c r="AY1902" s="331">
        <f>SQRT(($R1902-Infrastructure!J$6)^2+($S1902-Infrastructure!K$6)^2)</f>
        <v>11.90378091</v>
      </c>
      <c r="AZ1902" s="331">
        <f>SQRT(($R1902-Infrastructure!J$7)^2+($S1902-Infrastructure!K$7)^2)</f>
        <v>10.90045871</v>
      </c>
      <c r="BA1902" s="331">
        <f>SQRT(($R1902-Infrastructure!J$8)^2+($S1902-Infrastructure!K$8)^2)</f>
        <v>17.02057578</v>
      </c>
      <c r="BB1902" s="331">
        <f>SQRT(($R1902-Infrastructure!J$9)^2+($S1902-Infrastructure!K$9)^2)</f>
        <v>24.18780685</v>
      </c>
      <c r="BC1902" s="331">
        <f>SQRT(($R1902-Infrastructure!J$10)^2+($S1902-Infrastructure!K$10)^2)</f>
        <v>24.0441261</v>
      </c>
      <c r="BD1902" s="331">
        <f>SQRT(($R1902-Infrastructure!J$11)^2+($S1902-Infrastructure!K$11)^2)</f>
        <v>30.20595968</v>
      </c>
      <c r="BE1902" s="333">
        <f>SQRT(($R1902-Infrastructure!J$12)^2+($S1902-Infrastructure!K$12)^2)</f>
        <v>45.3874432</v>
      </c>
      <c r="BF1902" s="330">
        <f t="shared" si="161"/>
        <v>10.90045871</v>
      </c>
      <c r="BG1902" s="333">
        <f t="shared" si="162"/>
        <v>45.3874432</v>
      </c>
      <c r="BH1902" s="1119"/>
      <c r="BI1902" s="319" t="str">
        <f t="shared" ref="BI1902:BR1902" si="655">IF(ISNUMBER(FIND(BI$3, $CO1902)), "Y", "")</f>
        <v/>
      </c>
      <c r="BJ1902" s="319" t="str">
        <f t="shared" si="655"/>
        <v/>
      </c>
      <c r="BK1902" s="319" t="str">
        <f t="shared" si="655"/>
        <v>Y</v>
      </c>
      <c r="BL1902" s="319" t="str">
        <f t="shared" si="655"/>
        <v>Y</v>
      </c>
      <c r="BM1902" s="319" t="str">
        <f t="shared" si="655"/>
        <v>Y</v>
      </c>
      <c r="BN1902" s="319" t="str">
        <f t="shared" si="655"/>
        <v>Y</v>
      </c>
      <c r="BO1902" s="319" t="str">
        <f t="shared" si="655"/>
        <v>Y</v>
      </c>
      <c r="BP1902" s="319" t="str">
        <f t="shared" si="655"/>
        <v/>
      </c>
      <c r="BQ1902" s="319" t="str">
        <f t="shared" si="655"/>
        <v>Y</v>
      </c>
      <c r="BR1902" s="319" t="str">
        <f t="shared" si="655"/>
        <v>Y</v>
      </c>
      <c r="BS1902" s="330">
        <f t="shared" si="185"/>
        <v>10.90045871</v>
      </c>
      <c r="BT1902" s="331">
        <f t="shared" si="170"/>
        <v>45.3874432</v>
      </c>
      <c r="BU1902" s="920">
        <v>0.5026851851851852</v>
      </c>
      <c r="BV1902" s="903">
        <f t="shared" si="186"/>
        <v>0.0006018518519</v>
      </c>
      <c r="BW1902" s="908">
        <v>14.6</v>
      </c>
      <c r="BX1902" s="908">
        <v>21.1</v>
      </c>
      <c r="BY1902" s="331">
        <f t="shared" si="201"/>
        <v>10.85034562</v>
      </c>
      <c r="BZ1902" s="331"/>
      <c r="CA1902" s="462" t="str">
        <f t="shared" ref="CA1902:CJ1902" si="656">IF(ISNUMBER(FIND(BI$3, $CP1902)), "Y", "")</f>
        <v>Y</v>
      </c>
      <c r="CB1902" s="319" t="str">
        <f t="shared" si="656"/>
        <v>Y</v>
      </c>
      <c r="CC1902" s="319" t="str">
        <f t="shared" si="656"/>
        <v>Y</v>
      </c>
      <c r="CD1902" s="319" t="str">
        <f t="shared" si="656"/>
        <v>Y</v>
      </c>
      <c r="CE1902" s="319" t="str">
        <f t="shared" si="656"/>
        <v>Y</v>
      </c>
      <c r="CF1902" s="319" t="str">
        <f t="shared" si="656"/>
        <v>Y</v>
      </c>
      <c r="CG1902" s="319" t="str">
        <f t="shared" si="656"/>
        <v>Y</v>
      </c>
      <c r="CH1902" s="319" t="str">
        <f t="shared" si="656"/>
        <v/>
      </c>
      <c r="CI1902" s="319" t="str">
        <f t="shared" si="656"/>
        <v/>
      </c>
      <c r="CJ1902" s="319" t="str">
        <f t="shared" si="656"/>
        <v>Y</v>
      </c>
      <c r="CK1902" s="342">
        <f t="shared" si="182"/>
        <v>10.90045871</v>
      </c>
      <c r="CL1902" s="333">
        <f t="shared" si="183"/>
        <v>45.3874432</v>
      </c>
      <c r="CM1902" s="1079" t="s">
        <v>2820</v>
      </c>
      <c r="CN1902" s="1005" t="s">
        <v>2818</v>
      </c>
      <c r="CO1902" s="1005" t="s">
        <v>2527</v>
      </c>
      <c r="CP1902" s="1005" t="s">
        <v>2616</v>
      </c>
    </row>
    <row r="1903">
      <c r="A1903" s="266"/>
      <c r="B1903" s="1113" t="s">
        <v>1649</v>
      </c>
      <c r="C1903" s="1107">
        <v>45490.0</v>
      </c>
      <c r="D1903" s="103"/>
      <c r="E1903" s="1108">
        <v>41.0</v>
      </c>
      <c r="F1903" s="112" t="s">
        <v>2842</v>
      </c>
      <c r="G1903" s="1110">
        <v>0.5048611111111111</v>
      </c>
      <c r="H1903" s="1110">
        <v>0.5056712962962963</v>
      </c>
      <c r="I1903" s="1110"/>
      <c r="J1903" s="1111"/>
      <c r="K1903" s="1111">
        <v>0.5072916666666667</v>
      </c>
      <c r="L1903" s="1112">
        <v>0.0016203703703703703</v>
      </c>
      <c r="M1903" s="1113" t="s">
        <v>168</v>
      </c>
      <c r="N1903" s="110" t="s">
        <v>187</v>
      </c>
      <c r="O1903" s="1115" t="s">
        <v>199</v>
      </c>
      <c r="P1903" s="1115" t="s">
        <v>279</v>
      </c>
      <c r="Q1903" s="1116"/>
      <c r="R1903" s="120">
        <v>16.4</v>
      </c>
      <c r="S1903" s="1113">
        <v>10.4</v>
      </c>
      <c r="T1903" s="110">
        <v>0.4</v>
      </c>
      <c r="U1903" s="1108">
        <v>4.0</v>
      </c>
      <c r="V1903" s="1108"/>
      <c r="W1903" s="1108"/>
      <c r="X1903" s="1108"/>
      <c r="Y1903" s="1108"/>
      <c r="Z1903" s="1114" t="s">
        <v>365</v>
      </c>
      <c r="AA1903" s="1114"/>
      <c r="AB1903" s="1114" t="s">
        <v>279</v>
      </c>
      <c r="AC1903" s="1117">
        <v>10.0</v>
      </c>
      <c r="AD1903" s="1115"/>
      <c r="AE1903" s="1115"/>
      <c r="AF1903" s="1115"/>
      <c r="AG1903" s="1115"/>
      <c r="AH1903" s="1115"/>
      <c r="AI1903" s="1115"/>
      <c r="AJ1903" s="1117"/>
      <c r="AK1903" s="1118"/>
      <c r="AL1903" s="1115"/>
      <c r="AM1903" s="1115"/>
      <c r="AN1903" s="1115"/>
      <c r="AO1903" s="1115"/>
      <c r="AP1903" s="1115"/>
      <c r="AQ1903" s="1115"/>
      <c r="AR1903" s="1115"/>
      <c r="AS1903" s="1117"/>
      <c r="AT1903" s="1196" t="str">
        <f t="shared" si="428"/>
        <v>1-10</v>
      </c>
      <c r="AU1903" s="1193"/>
      <c r="AV1903" s="330">
        <f>SQRT(($R1903-Infrastructure!J$3)^2+($S1903-Infrastructure!K$3)^2)</f>
        <v>24.92268043</v>
      </c>
      <c r="AW1903" s="331">
        <f>SQRT(($R1903-Infrastructure!J$4)^2+($S1903-Infrastructure!K$4)^2)</f>
        <v>18.2660888</v>
      </c>
      <c r="AX1903" s="331">
        <f>SQRT(($R1903-Infrastructure!J$5)^2+($S1903-Infrastructure!K$5)^2)</f>
        <v>17.52084473</v>
      </c>
      <c r="AY1903" s="331">
        <f>SQRT(($R1903-Infrastructure!J$6)^2+($S1903-Infrastructure!K$6)^2)</f>
        <v>11.90378091</v>
      </c>
      <c r="AZ1903" s="331">
        <f>SQRT(($R1903-Infrastructure!J$7)^2+($S1903-Infrastructure!K$7)^2)</f>
        <v>10.90045871</v>
      </c>
      <c r="BA1903" s="331">
        <f>SQRT(($R1903-Infrastructure!J$8)^2+($S1903-Infrastructure!K$8)^2)</f>
        <v>17.02057578</v>
      </c>
      <c r="BB1903" s="331">
        <f>SQRT(($R1903-Infrastructure!J$9)^2+($S1903-Infrastructure!K$9)^2)</f>
        <v>24.18780685</v>
      </c>
      <c r="BC1903" s="331">
        <f>SQRT(($R1903-Infrastructure!J$10)^2+($S1903-Infrastructure!K$10)^2)</f>
        <v>24.0441261</v>
      </c>
      <c r="BD1903" s="331">
        <f>SQRT(($R1903-Infrastructure!J$11)^2+($S1903-Infrastructure!K$11)^2)</f>
        <v>30.20595968</v>
      </c>
      <c r="BE1903" s="333">
        <f>SQRT(($R1903-Infrastructure!J$12)^2+($S1903-Infrastructure!K$12)^2)</f>
        <v>45.3874432</v>
      </c>
      <c r="BF1903" s="330">
        <f t="shared" si="161"/>
        <v>10.90045871</v>
      </c>
      <c r="BG1903" s="333">
        <f t="shared" si="162"/>
        <v>45.3874432</v>
      </c>
      <c r="BH1903" s="1119"/>
      <c r="BI1903" s="319" t="str">
        <f t="shared" ref="BI1903:BR1903" si="657">IF(ISNUMBER(FIND(BI$3, $CO1903)), "Y", "")</f>
        <v/>
      </c>
      <c r="BJ1903" s="319" t="str">
        <f t="shared" si="657"/>
        <v/>
      </c>
      <c r="BK1903" s="319" t="str">
        <f t="shared" si="657"/>
        <v>Y</v>
      </c>
      <c r="BL1903" s="319" t="str">
        <f t="shared" si="657"/>
        <v>Y</v>
      </c>
      <c r="BM1903" s="319" t="str">
        <f t="shared" si="657"/>
        <v>Y</v>
      </c>
      <c r="BN1903" s="319" t="str">
        <f t="shared" si="657"/>
        <v>Y</v>
      </c>
      <c r="BO1903" s="319" t="str">
        <f t="shared" si="657"/>
        <v>Y</v>
      </c>
      <c r="BP1903" s="319" t="str">
        <f t="shared" si="657"/>
        <v/>
      </c>
      <c r="BQ1903" s="319" t="str">
        <f t="shared" si="657"/>
        <v>Y</v>
      </c>
      <c r="BR1903" s="319" t="str">
        <f t="shared" si="657"/>
        <v>Y</v>
      </c>
      <c r="BS1903" s="330">
        <f t="shared" si="185"/>
        <v>10.90045871</v>
      </c>
      <c r="BT1903" s="331">
        <f t="shared" si="170"/>
        <v>45.3874432</v>
      </c>
      <c r="BU1903" s="920">
        <v>0.505474537037037</v>
      </c>
      <c r="BV1903" s="903">
        <f t="shared" si="186"/>
        <v>0.0006134259259</v>
      </c>
      <c r="BW1903" s="908">
        <v>15.0</v>
      </c>
      <c r="BX1903" s="908">
        <v>18.0</v>
      </c>
      <c r="BY1903" s="331">
        <f t="shared" si="201"/>
        <v>7.727871635</v>
      </c>
      <c r="BZ1903" s="331"/>
      <c r="CA1903" s="462" t="str">
        <f t="shared" ref="CA1903:CJ1903" si="658">IF(ISNUMBER(FIND(BI$3, $CP1903)), "Y", "")</f>
        <v>Y</v>
      </c>
      <c r="CB1903" s="319" t="str">
        <f t="shared" si="658"/>
        <v>Y</v>
      </c>
      <c r="CC1903" s="319" t="str">
        <f t="shared" si="658"/>
        <v>Y</v>
      </c>
      <c r="CD1903" s="319" t="str">
        <f t="shared" si="658"/>
        <v>Y</v>
      </c>
      <c r="CE1903" s="319" t="str">
        <f t="shared" si="658"/>
        <v>Y</v>
      </c>
      <c r="CF1903" s="319" t="str">
        <f t="shared" si="658"/>
        <v>Y</v>
      </c>
      <c r="CG1903" s="319" t="str">
        <f t="shared" si="658"/>
        <v>Y</v>
      </c>
      <c r="CH1903" s="319" t="str">
        <f t="shared" si="658"/>
        <v/>
      </c>
      <c r="CI1903" s="319" t="str">
        <f t="shared" si="658"/>
        <v/>
      </c>
      <c r="CJ1903" s="319" t="str">
        <f t="shared" si="658"/>
        <v>Y</v>
      </c>
      <c r="CK1903" s="342">
        <f t="shared" si="182"/>
        <v>10.90045871</v>
      </c>
      <c r="CL1903" s="333">
        <f t="shared" si="183"/>
        <v>45.3874432</v>
      </c>
      <c r="CM1903" s="1079" t="s">
        <v>2432</v>
      </c>
      <c r="CN1903" s="1005" t="s">
        <v>2818</v>
      </c>
      <c r="CO1903" s="1005" t="s">
        <v>2527</v>
      </c>
      <c r="CP1903" s="1005" t="s">
        <v>2616</v>
      </c>
    </row>
    <row r="1904">
      <c r="A1904" s="266"/>
      <c r="B1904" s="1113" t="s">
        <v>1649</v>
      </c>
      <c r="C1904" s="1107">
        <v>45490.0</v>
      </c>
      <c r="D1904" s="103"/>
      <c r="E1904" s="1108">
        <v>42.0</v>
      </c>
      <c r="F1904" s="112" t="s">
        <v>2843</v>
      </c>
      <c r="G1904" s="1110">
        <v>0.5081597222222223</v>
      </c>
      <c r="H1904" s="1110">
        <v>0.5083333333333333</v>
      </c>
      <c r="I1904" s="1110"/>
      <c r="J1904" s="1111"/>
      <c r="K1904" s="1111">
        <v>0.5098379629629629</v>
      </c>
      <c r="L1904" s="1112">
        <v>0.0015046296296296296</v>
      </c>
      <c r="M1904" s="1113" t="s">
        <v>168</v>
      </c>
      <c r="N1904" s="110" t="s">
        <v>187</v>
      </c>
      <c r="O1904" s="1115" t="s">
        <v>199</v>
      </c>
      <c r="P1904" s="1115" t="s">
        <v>279</v>
      </c>
      <c r="Q1904" s="1116"/>
      <c r="R1904" s="120">
        <v>16.4</v>
      </c>
      <c r="S1904" s="1113">
        <v>10.4</v>
      </c>
      <c r="T1904" s="110">
        <v>0.4</v>
      </c>
      <c r="U1904" s="1108">
        <v>6.0</v>
      </c>
      <c r="V1904" s="1108"/>
      <c r="W1904" s="1108"/>
      <c r="X1904" s="1108"/>
      <c r="Y1904" s="1108"/>
      <c r="Z1904" s="1114" t="s">
        <v>365</v>
      </c>
      <c r="AA1904" s="1114"/>
      <c r="AB1904" s="1114" t="s">
        <v>279</v>
      </c>
      <c r="AC1904" s="1117">
        <v>10.0</v>
      </c>
      <c r="AD1904" s="1115"/>
      <c r="AE1904" s="1115"/>
      <c r="AF1904" s="1115"/>
      <c r="AG1904" s="1115"/>
      <c r="AH1904" s="1115"/>
      <c r="AI1904" s="1115"/>
      <c r="AJ1904" s="1117"/>
      <c r="AK1904" s="1118"/>
      <c r="AL1904" s="1115"/>
      <c r="AM1904" s="1115"/>
      <c r="AN1904" s="1115"/>
      <c r="AO1904" s="1115"/>
      <c r="AP1904" s="1115"/>
      <c r="AQ1904" s="1115"/>
      <c r="AR1904" s="1115"/>
      <c r="AS1904" s="1117"/>
      <c r="AT1904" s="1196" t="str">
        <f t="shared" si="428"/>
        <v>1-10</v>
      </c>
      <c r="AU1904" s="1193"/>
      <c r="AV1904" s="330">
        <f>SQRT(($R1904-Infrastructure!J$3)^2+($S1904-Infrastructure!K$3)^2)</f>
        <v>24.92268043</v>
      </c>
      <c r="AW1904" s="331">
        <f>SQRT(($R1904-Infrastructure!J$4)^2+($S1904-Infrastructure!K$4)^2)</f>
        <v>18.2660888</v>
      </c>
      <c r="AX1904" s="331">
        <f>SQRT(($R1904-Infrastructure!J$5)^2+($S1904-Infrastructure!K$5)^2)</f>
        <v>17.52084473</v>
      </c>
      <c r="AY1904" s="331">
        <f>SQRT(($R1904-Infrastructure!J$6)^2+($S1904-Infrastructure!K$6)^2)</f>
        <v>11.90378091</v>
      </c>
      <c r="AZ1904" s="331">
        <f>SQRT(($R1904-Infrastructure!J$7)^2+($S1904-Infrastructure!K$7)^2)</f>
        <v>10.90045871</v>
      </c>
      <c r="BA1904" s="331">
        <f>SQRT(($R1904-Infrastructure!J$8)^2+($S1904-Infrastructure!K$8)^2)</f>
        <v>17.02057578</v>
      </c>
      <c r="BB1904" s="331">
        <f>SQRT(($R1904-Infrastructure!J$9)^2+($S1904-Infrastructure!K$9)^2)</f>
        <v>24.18780685</v>
      </c>
      <c r="BC1904" s="331">
        <f>SQRT(($R1904-Infrastructure!J$10)^2+($S1904-Infrastructure!K$10)^2)</f>
        <v>24.0441261</v>
      </c>
      <c r="BD1904" s="331">
        <f>SQRT(($R1904-Infrastructure!J$11)^2+($S1904-Infrastructure!K$11)^2)</f>
        <v>30.20595968</v>
      </c>
      <c r="BE1904" s="333">
        <f>SQRT(($R1904-Infrastructure!J$12)^2+($S1904-Infrastructure!K$12)^2)</f>
        <v>45.3874432</v>
      </c>
      <c r="BF1904" s="330">
        <f t="shared" si="161"/>
        <v>10.90045871</v>
      </c>
      <c r="BG1904" s="333">
        <f t="shared" si="162"/>
        <v>45.3874432</v>
      </c>
      <c r="BH1904" s="1119"/>
      <c r="BI1904" s="319" t="str">
        <f t="shared" ref="BI1904:BR1904" si="659">IF(ISNUMBER(FIND(BI$3, $CO1904)), "Y", "")</f>
        <v>Y</v>
      </c>
      <c r="BJ1904" s="319" t="str">
        <f t="shared" si="659"/>
        <v/>
      </c>
      <c r="BK1904" s="319" t="str">
        <f t="shared" si="659"/>
        <v>Y</v>
      </c>
      <c r="BL1904" s="319" t="str">
        <f t="shared" si="659"/>
        <v>Y</v>
      </c>
      <c r="BM1904" s="319" t="str">
        <f t="shared" si="659"/>
        <v>Y</v>
      </c>
      <c r="BN1904" s="319" t="str">
        <f t="shared" si="659"/>
        <v>Y</v>
      </c>
      <c r="BO1904" s="319" t="str">
        <f t="shared" si="659"/>
        <v>Y</v>
      </c>
      <c r="BP1904" s="319" t="str">
        <f t="shared" si="659"/>
        <v/>
      </c>
      <c r="BQ1904" s="319" t="str">
        <f t="shared" si="659"/>
        <v>Y</v>
      </c>
      <c r="BR1904" s="319" t="str">
        <f t="shared" si="659"/>
        <v>Y</v>
      </c>
      <c r="BS1904" s="330">
        <f t="shared" si="185"/>
        <v>10.90045871</v>
      </c>
      <c r="BT1904" s="331">
        <f t="shared" si="170"/>
        <v>45.3874432</v>
      </c>
      <c r="BU1904" s="920">
        <v>0.50875</v>
      </c>
      <c r="BV1904" s="903">
        <f t="shared" si="186"/>
        <v>0.0005902777778</v>
      </c>
      <c r="BW1904" s="908">
        <v>13.5</v>
      </c>
      <c r="BX1904" s="908">
        <v>16.4</v>
      </c>
      <c r="BY1904" s="331">
        <f t="shared" si="201"/>
        <v>6.664082833</v>
      </c>
      <c r="BZ1904" s="331"/>
      <c r="CA1904" s="462" t="str">
        <f t="shared" ref="CA1904:CJ1904" si="660">IF(ISNUMBER(FIND(BI$3, $CP1904)), "Y", "")</f>
        <v>Y</v>
      </c>
      <c r="CB1904" s="319" t="str">
        <f t="shared" si="660"/>
        <v>Y</v>
      </c>
      <c r="CC1904" s="319" t="str">
        <f t="shared" si="660"/>
        <v>Y</v>
      </c>
      <c r="CD1904" s="319" t="str">
        <f t="shared" si="660"/>
        <v>Y</v>
      </c>
      <c r="CE1904" s="319" t="str">
        <f t="shared" si="660"/>
        <v>Y</v>
      </c>
      <c r="CF1904" s="319" t="str">
        <f t="shared" si="660"/>
        <v>Y</v>
      </c>
      <c r="CG1904" s="319" t="str">
        <f t="shared" si="660"/>
        <v>Y</v>
      </c>
      <c r="CH1904" s="319" t="str">
        <f t="shared" si="660"/>
        <v/>
      </c>
      <c r="CI1904" s="319" t="str">
        <f t="shared" si="660"/>
        <v>Y</v>
      </c>
      <c r="CJ1904" s="319" t="str">
        <f t="shared" si="660"/>
        <v>Y</v>
      </c>
      <c r="CK1904" s="342">
        <f t="shared" si="182"/>
        <v>10.90045871</v>
      </c>
      <c r="CL1904" s="333">
        <f t="shared" si="183"/>
        <v>45.3874432</v>
      </c>
      <c r="CM1904" s="1079" t="s">
        <v>2430</v>
      </c>
      <c r="CN1904" s="1005" t="s">
        <v>2818</v>
      </c>
      <c r="CO1904" s="1005" t="s">
        <v>2460</v>
      </c>
      <c r="CP1904" s="1005" t="s">
        <v>2400</v>
      </c>
    </row>
    <row r="1905">
      <c r="A1905" s="266"/>
      <c r="B1905" s="1113" t="s">
        <v>1649</v>
      </c>
      <c r="C1905" s="1107">
        <v>45490.0</v>
      </c>
      <c r="D1905" s="103"/>
      <c r="E1905" s="1108">
        <v>43.0</v>
      </c>
      <c r="F1905" s="112" t="s">
        <v>2844</v>
      </c>
      <c r="G1905" s="1110">
        <v>0.5107638888888889</v>
      </c>
      <c r="H1905" s="1110">
        <v>0.5114583333333333</v>
      </c>
      <c r="I1905" s="1110"/>
      <c r="J1905" s="1111"/>
      <c r="K1905" s="1111">
        <v>0.5131944444444444</v>
      </c>
      <c r="L1905" s="1112">
        <v>0.001736111111111111</v>
      </c>
      <c r="M1905" s="1113" t="s">
        <v>168</v>
      </c>
      <c r="N1905" s="110" t="s">
        <v>187</v>
      </c>
      <c r="O1905" s="1115" t="s">
        <v>199</v>
      </c>
      <c r="P1905" s="1115" t="s">
        <v>279</v>
      </c>
      <c r="Q1905" s="1116"/>
      <c r="R1905" s="120">
        <v>16.4</v>
      </c>
      <c r="S1905" s="1113">
        <v>10.4</v>
      </c>
      <c r="T1905" s="110">
        <v>0.4</v>
      </c>
      <c r="U1905" s="1108">
        <v>9.0</v>
      </c>
      <c r="V1905" s="1108"/>
      <c r="W1905" s="1108"/>
      <c r="X1905" s="1108"/>
      <c r="Y1905" s="1108"/>
      <c r="Z1905" s="1114" t="s">
        <v>365</v>
      </c>
      <c r="AA1905" s="1114"/>
      <c r="AB1905" s="1114" t="s">
        <v>279</v>
      </c>
      <c r="AC1905" s="1117">
        <v>10.0</v>
      </c>
      <c r="AD1905" s="1115"/>
      <c r="AE1905" s="1115"/>
      <c r="AF1905" s="1115"/>
      <c r="AG1905" s="1115"/>
      <c r="AH1905" s="1115"/>
      <c r="AI1905" s="1115"/>
      <c r="AJ1905" s="1117"/>
      <c r="AK1905" s="1118"/>
      <c r="AL1905" s="1115"/>
      <c r="AM1905" s="1115"/>
      <c r="AN1905" s="1115"/>
      <c r="AO1905" s="1115"/>
      <c r="AP1905" s="1115"/>
      <c r="AQ1905" s="1115"/>
      <c r="AR1905" s="1115"/>
      <c r="AS1905" s="1117"/>
      <c r="AT1905" s="1196" t="str">
        <f t="shared" si="428"/>
        <v>1-10</v>
      </c>
      <c r="AU1905" s="1193"/>
      <c r="AV1905" s="330">
        <f>SQRT(($R1905-Infrastructure!J$3)^2+($S1905-Infrastructure!K$3)^2)</f>
        <v>24.92268043</v>
      </c>
      <c r="AW1905" s="331">
        <f>SQRT(($R1905-Infrastructure!J$4)^2+($S1905-Infrastructure!K$4)^2)</f>
        <v>18.2660888</v>
      </c>
      <c r="AX1905" s="331">
        <f>SQRT(($R1905-Infrastructure!J$5)^2+($S1905-Infrastructure!K$5)^2)</f>
        <v>17.52084473</v>
      </c>
      <c r="AY1905" s="331">
        <f>SQRT(($R1905-Infrastructure!J$6)^2+($S1905-Infrastructure!K$6)^2)</f>
        <v>11.90378091</v>
      </c>
      <c r="AZ1905" s="331">
        <f>SQRT(($R1905-Infrastructure!J$7)^2+($S1905-Infrastructure!K$7)^2)</f>
        <v>10.90045871</v>
      </c>
      <c r="BA1905" s="331">
        <f>SQRT(($R1905-Infrastructure!J$8)^2+($S1905-Infrastructure!K$8)^2)</f>
        <v>17.02057578</v>
      </c>
      <c r="BB1905" s="331">
        <f>SQRT(($R1905-Infrastructure!J$9)^2+($S1905-Infrastructure!K$9)^2)</f>
        <v>24.18780685</v>
      </c>
      <c r="BC1905" s="331">
        <f>SQRT(($R1905-Infrastructure!J$10)^2+($S1905-Infrastructure!K$10)^2)</f>
        <v>24.0441261</v>
      </c>
      <c r="BD1905" s="331">
        <f>SQRT(($R1905-Infrastructure!J$11)^2+($S1905-Infrastructure!K$11)^2)</f>
        <v>30.20595968</v>
      </c>
      <c r="BE1905" s="333">
        <f>SQRT(($R1905-Infrastructure!J$12)^2+($S1905-Infrastructure!K$12)^2)</f>
        <v>45.3874432</v>
      </c>
      <c r="BF1905" s="330">
        <f t="shared" si="161"/>
        <v>10.90045871</v>
      </c>
      <c r="BG1905" s="333">
        <f t="shared" si="162"/>
        <v>45.3874432</v>
      </c>
      <c r="BH1905" s="1119"/>
      <c r="BI1905" s="319" t="str">
        <f t="shared" ref="BI1905:BR1905" si="661">IF(ISNUMBER(FIND(BI$3, $CO1905)), "Y", "")</f>
        <v>Y</v>
      </c>
      <c r="BJ1905" s="319" t="str">
        <f t="shared" si="661"/>
        <v>Y</v>
      </c>
      <c r="BK1905" s="319" t="str">
        <f t="shared" si="661"/>
        <v>Y</v>
      </c>
      <c r="BL1905" s="319" t="str">
        <f t="shared" si="661"/>
        <v>Y</v>
      </c>
      <c r="BM1905" s="319" t="str">
        <f t="shared" si="661"/>
        <v>Y</v>
      </c>
      <c r="BN1905" s="319" t="str">
        <f t="shared" si="661"/>
        <v>Y</v>
      </c>
      <c r="BO1905" s="319" t="str">
        <f t="shared" si="661"/>
        <v>Y</v>
      </c>
      <c r="BP1905" s="319" t="str">
        <f t="shared" si="661"/>
        <v/>
      </c>
      <c r="BQ1905" s="319" t="str">
        <f t="shared" si="661"/>
        <v>Y</v>
      </c>
      <c r="BR1905" s="319" t="str">
        <f t="shared" si="661"/>
        <v>Y</v>
      </c>
      <c r="BS1905" s="330">
        <f t="shared" si="185"/>
        <v>10.90045871</v>
      </c>
      <c r="BT1905" s="331">
        <f t="shared" si="170"/>
        <v>45.3874432</v>
      </c>
      <c r="BU1905" s="920">
        <v>0.5113541666666667</v>
      </c>
      <c r="BV1905" s="903">
        <f t="shared" si="186"/>
        <v>0.0005902777778</v>
      </c>
      <c r="BW1905" s="908">
        <v>14.3</v>
      </c>
      <c r="BX1905" s="908">
        <v>14.8</v>
      </c>
      <c r="BY1905" s="331">
        <f t="shared" si="201"/>
        <v>4.875448697</v>
      </c>
      <c r="BZ1905" s="331"/>
      <c r="CA1905" s="462" t="str">
        <f t="shared" ref="CA1905:CJ1905" si="662">IF(ISNUMBER(FIND(BI$3, $CP1905)), "Y", "")</f>
        <v>Y</v>
      </c>
      <c r="CB1905" s="319" t="str">
        <f t="shared" si="662"/>
        <v>Y</v>
      </c>
      <c r="CC1905" s="319" t="str">
        <f t="shared" si="662"/>
        <v>Y</v>
      </c>
      <c r="CD1905" s="319" t="str">
        <f t="shared" si="662"/>
        <v>Y</v>
      </c>
      <c r="CE1905" s="319" t="str">
        <f t="shared" si="662"/>
        <v>Y</v>
      </c>
      <c r="CF1905" s="319" t="str">
        <f t="shared" si="662"/>
        <v>Y</v>
      </c>
      <c r="CG1905" s="319" t="str">
        <f t="shared" si="662"/>
        <v>Y</v>
      </c>
      <c r="CH1905" s="319" t="str">
        <f t="shared" si="662"/>
        <v/>
      </c>
      <c r="CI1905" s="319" t="str">
        <f t="shared" si="662"/>
        <v>Y</v>
      </c>
      <c r="CJ1905" s="319" t="str">
        <f t="shared" si="662"/>
        <v>Y</v>
      </c>
      <c r="CK1905" s="342">
        <f t="shared" si="182"/>
        <v>10.90045871</v>
      </c>
      <c r="CL1905" s="333">
        <f t="shared" si="183"/>
        <v>45.3874432</v>
      </c>
      <c r="CM1905" s="1079" t="s">
        <v>2427</v>
      </c>
      <c r="CN1905" s="1005" t="s">
        <v>2818</v>
      </c>
      <c r="CO1905" s="1005" t="s">
        <v>2400</v>
      </c>
      <c r="CP1905" s="1005" t="s">
        <v>2400</v>
      </c>
    </row>
    <row r="1906">
      <c r="A1906" s="266"/>
      <c r="B1906" s="1113" t="s">
        <v>1649</v>
      </c>
      <c r="C1906" s="1107">
        <v>45490.0</v>
      </c>
      <c r="D1906" s="103"/>
      <c r="E1906" s="1137"/>
      <c r="F1906" s="112" t="s">
        <v>2845</v>
      </c>
      <c r="G1906" s="1110">
        <v>0.5173611111111112</v>
      </c>
      <c r="H1906" s="1138"/>
      <c r="I1906" s="1138"/>
      <c r="J1906" s="1139"/>
      <c r="K1906" s="1111">
        <v>0.5184027777777778</v>
      </c>
      <c r="L1906" s="1112">
        <v>0.0010416666666666667</v>
      </c>
      <c r="M1906" s="1113" t="s">
        <v>168</v>
      </c>
      <c r="N1906" s="110" t="s">
        <v>188</v>
      </c>
      <c r="O1906" s="1140"/>
      <c r="P1906" s="1115" t="s">
        <v>293</v>
      </c>
      <c r="Q1906" s="1116"/>
      <c r="R1906" s="1141"/>
      <c r="S1906" s="1113"/>
      <c r="T1906" s="1143"/>
      <c r="U1906" s="1108" t="s">
        <v>323</v>
      </c>
      <c r="V1906" s="1108"/>
      <c r="W1906" s="1108"/>
      <c r="X1906" s="1108"/>
      <c r="Y1906" s="1108"/>
      <c r="Z1906" s="1114" t="s">
        <v>323</v>
      </c>
      <c r="AA1906" s="1114"/>
      <c r="AB1906" s="1114" t="s">
        <v>323</v>
      </c>
      <c r="AC1906" s="1117" t="s">
        <v>323</v>
      </c>
      <c r="AD1906" s="1115"/>
      <c r="AE1906" s="1115"/>
      <c r="AF1906" s="1115"/>
      <c r="AG1906" s="1115"/>
      <c r="AH1906" s="1115"/>
      <c r="AI1906" s="1115"/>
      <c r="AJ1906" s="1117"/>
      <c r="AK1906" s="1118"/>
      <c r="AL1906" s="1115"/>
      <c r="AM1906" s="1115"/>
      <c r="AN1906" s="1115"/>
      <c r="AO1906" s="1115"/>
      <c r="AP1906" s="1115"/>
      <c r="AQ1906" s="1115"/>
      <c r="AR1906" s="1115"/>
      <c r="AS1906" s="1117"/>
      <c r="AT1906" s="1196" t="str">
        <f t="shared" si="428"/>
        <v/>
      </c>
      <c r="AU1906" s="1193"/>
      <c r="AV1906" s="330">
        <f>SQRT(($R1906-Infrastructure!J$3)^2+($S1906-Infrastructure!K$3)^2)</f>
        <v>28.90155705</v>
      </c>
      <c r="AW1906" s="331">
        <f>SQRT(($R1906-Infrastructure!J$4)^2+($S1906-Infrastructure!K$4)^2)</f>
        <v>17.80252791</v>
      </c>
      <c r="AX1906" s="331">
        <f>SQRT(($R1906-Infrastructure!J$5)^2+($S1906-Infrastructure!K$5)^2)</f>
        <v>5.10881591</v>
      </c>
      <c r="AY1906" s="331">
        <f>SQRT(($R1906-Infrastructure!J$6)^2+($S1906-Infrastructure!K$6)^2)</f>
        <v>10.10445446</v>
      </c>
      <c r="AZ1906" s="331">
        <f>SQRT(($R1906-Infrastructure!J$7)^2+($S1906-Infrastructure!K$7)^2)</f>
        <v>20.502195</v>
      </c>
      <c r="BA1906" s="331">
        <f>SQRT(($R1906-Infrastructure!J$8)^2+($S1906-Infrastructure!K$8)^2)</f>
        <v>30.10149498</v>
      </c>
      <c r="BB1906" s="331">
        <f>SQRT(($R1906-Infrastructure!J$9)^2+($S1906-Infrastructure!K$9)^2)</f>
        <v>40.3238143</v>
      </c>
      <c r="BC1906" s="331">
        <f>SQRT(($R1906-Infrastructure!J$10)^2+($S1906-Infrastructure!K$10)^2)</f>
        <v>42.72001873</v>
      </c>
      <c r="BD1906" s="331">
        <f>SQRT(($R1906-Infrastructure!J$11)^2+($S1906-Infrastructure!K$11)^2)</f>
        <v>49.56853841</v>
      </c>
      <c r="BE1906" s="333">
        <f>SQRT(($R1906-Infrastructure!J$12)^2+($S1906-Infrastructure!K$12)^2)</f>
        <v>59.51890456</v>
      </c>
      <c r="BF1906" s="330">
        <f t="shared" si="161"/>
        <v>5.10881591</v>
      </c>
      <c r="BG1906" s="333">
        <f t="shared" si="162"/>
        <v>59.51890456</v>
      </c>
      <c r="BH1906" s="1119"/>
      <c r="BI1906" s="319" t="str">
        <f t="shared" ref="BI1906:BR1906" si="663">IF(ISNUMBER(FIND(BI$3, $CO1906)), "Y", "")</f>
        <v/>
      </c>
      <c r="BJ1906" s="319" t="str">
        <f t="shared" si="663"/>
        <v/>
      </c>
      <c r="BK1906" s="319" t="str">
        <f t="shared" si="663"/>
        <v/>
      </c>
      <c r="BL1906" s="319" t="str">
        <f t="shared" si="663"/>
        <v/>
      </c>
      <c r="BM1906" s="319" t="str">
        <f t="shared" si="663"/>
        <v/>
      </c>
      <c r="BN1906" s="319" t="str">
        <f t="shared" si="663"/>
        <v/>
      </c>
      <c r="BO1906" s="319" t="str">
        <f t="shared" si="663"/>
        <v/>
      </c>
      <c r="BP1906" s="319" t="str">
        <f t="shared" si="663"/>
        <v/>
      </c>
      <c r="BQ1906" s="319" t="str">
        <f t="shared" si="663"/>
        <v/>
      </c>
      <c r="BR1906" s="319" t="str">
        <f t="shared" si="663"/>
        <v/>
      </c>
      <c r="BS1906" s="330">
        <f t="shared" si="185"/>
        <v>0</v>
      </c>
      <c r="BT1906" s="331">
        <f t="shared" si="170"/>
        <v>0</v>
      </c>
      <c r="BU1906" s="920"/>
      <c r="BV1906" s="903" t="str">
        <f t="shared" si="186"/>
        <v/>
      </c>
      <c r="BW1906" s="908"/>
      <c r="BX1906" s="908"/>
      <c r="BY1906" s="331" t="b">
        <f t="shared" si="201"/>
        <v>0</v>
      </c>
      <c r="BZ1906" s="331"/>
      <c r="CA1906" s="462" t="str">
        <f t="shared" ref="CA1906:CJ1906" si="664">IF(ISNUMBER(FIND(BI$3, $CP1906)), "Y", "")</f>
        <v>Y</v>
      </c>
      <c r="CB1906" s="319" t="str">
        <f t="shared" si="664"/>
        <v>Y</v>
      </c>
      <c r="CC1906" s="319" t="str">
        <f t="shared" si="664"/>
        <v>Y</v>
      </c>
      <c r="CD1906" s="319" t="str">
        <f t="shared" si="664"/>
        <v>Y</v>
      </c>
      <c r="CE1906" s="319" t="str">
        <f t="shared" si="664"/>
        <v/>
      </c>
      <c r="CF1906" s="319" t="str">
        <f t="shared" si="664"/>
        <v/>
      </c>
      <c r="CG1906" s="319" t="str">
        <f t="shared" si="664"/>
        <v/>
      </c>
      <c r="CH1906" s="319" t="str">
        <f t="shared" si="664"/>
        <v/>
      </c>
      <c r="CI1906" s="319" t="str">
        <f t="shared" si="664"/>
        <v>Y</v>
      </c>
      <c r="CJ1906" s="319" t="str">
        <f t="shared" si="664"/>
        <v>Y</v>
      </c>
      <c r="CK1906" s="342">
        <f t="shared" si="182"/>
        <v>5.10881591</v>
      </c>
      <c r="CL1906" s="333">
        <f t="shared" si="183"/>
        <v>59.51890456</v>
      </c>
      <c r="CM1906" s="1079" t="s">
        <v>2846</v>
      </c>
      <c r="CN1906" s="1005" t="s">
        <v>2818</v>
      </c>
      <c r="CO1906" s="1005"/>
      <c r="CP1906" s="1005" t="s">
        <v>2847</v>
      </c>
    </row>
    <row r="1907">
      <c r="A1907" s="266"/>
      <c r="B1907" s="1113" t="s">
        <v>1649</v>
      </c>
      <c r="C1907" s="1107">
        <v>45490.0</v>
      </c>
      <c r="D1907" s="103"/>
      <c r="E1907" s="1108">
        <v>44.0</v>
      </c>
      <c r="F1907" s="112" t="s">
        <v>2848</v>
      </c>
      <c r="G1907" s="1110">
        <v>0.6131944444444445</v>
      </c>
      <c r="H1907" s="1110">
        <v>0.6149305555555555</v>
      </c>
      <c r="I1907" s="1110"/>
      <c r="J1907" s="1111"/>
      <c r="K1907" s="1111">
        <v>0.6163194444444444</v>
      </c>
      <c r="L1907" s="1112">
        <v>0.001388888888888889</v>
      </c>
      <c r="M1907" s="1113" t="s">
        <v>166</v>
      </c>
      <c r="N1907" s="110" t="s">
        <v>187</v>
      </c>
      <c r="O1907" s="1115" t="s">
        <v>197</v>
      </c>
      <c r="P1907" s="1115" t="s">
        <v>272</v>
      </c>
      <c r="Q1907" s="1116"/>
      <c r="R1907" s="120">
        <v>37.1</v>
      </c>
      <c r="S1907" s="1113">
        <v>6.9</v>
      </c>
      <c r="T1907" s="110">
        <v>6.5</v>
      </c>
      <c r="U1907" s="1108">
        <v>7.0</v>
      </c>
      <c r="V1907" s="1108"/>
      <c r="W1907" s="1108"/>
      <c r="X1907" s="1108"/>
      <c r="Y1907" s="1108"/>
      <c r="Z1907" s="1114" t="s">
        <v>1140</v>
      </c>
      <c r="AA1907" s="1114"/>
      <c r="AB1907" s="1114" t="s">
        <v>380</v>
      </c>
      <c r="AC1907" s="1117">
        <v>4.0</v>
      </c>
      <c r="AD1907" s="1115"/>
      <c r="AE1907" s="1115"/>
      <c r="AF1907" s="1115"/>
      <c r="AG1907" s="1115"/>
      <c r="AH1907" s="1115"/>
      <c r="AI1907" s="1115"/>
      <c r="AJ1907" s="1117"/>
      <c r="AK1907" s="1118"/>
      <c r="AL1907" s="1115"/>
      <c r="AM1907" s="1115"/>
      <c r="AN1907" s="1115"/>
      <c r="AO1907" s="1115"/>
      <c r="AP1907" s="1115"/>
      <c r="AQ1907" s="1115"/>
      <c r="AR1907" s="1115"/>
      <c r="AS1907" s="1117"/>
      <c r="AT1907" s="1196" t="str">
        <f t="shared" si="428"/>
        <v>1-10</v>
      </c>
      <c r="AU1907" s="1193"/>
      <c r="AV1907" s="330">
        <f>SQRT(($R1907-Infrastructure!J$3)^2+($S1907-Infrastructure!K$3)^2)</f>
        <v>43.39078243</v>
      </c>
      <c r="AW1907" s="331">
        <f>SQRT(($R1907-Infrastructure!J$4)^2+($S1907-Infrastructure!K$4)^2)</f>
        <v>38.95600082</v>
      </c>
      <c r="AX1907" s="331">
        <f>SQRT(($R1907-Infrastructure!J$5)^2+($S1907-Infrastructure!K$5)^2)</f>
        <v>37.44329045</v>
      </c>
      <c r="AY1907" s="331">
        <f>SQRT(($R1907-Infrastructure!J$6)^2+($S1907-Infrastructure!K$6)^2)</f>
        <v>27.79496357</v>
      </c>
      <c r="AZ1907" s="331">
        <f>SQRT(($R1907-Infrastructure!J$7)^2+($S1907-Infrastructure!K$7)^2)</f>
        <v>17.86393014</v>
      </c>
      <c r="BA1907" s="331">
        <f>SQRT(($R1907-Infrastructure!J$8)^2+($S1907-Infrastructure!K$8)^2)</f>
        <v>9.620810777</v>
      </c>
      <c r="BB1907" s="331">
        <f>SQRT(($R1907-Infrastructure!J$9)^2+($S1907-Infrastructure!K$9)^2)</f>
        <v>3.413209633</v>
      </c>
      <c r="BC1907" s="331">
        <f>SQRT(($R1907-Infrastructure!J$10)^2+($S1907-Infrastructure!K$10)^2)</f>
        <v>8.603487665</v>
      </c>
      <c r="BD1907" s="331">
        <f>SQRT(($R1907-Infrastructure!J$11)^2+($S1907-Infrastructure!K$11)^2)</f>
        <v>22.31636171</v>
      </c>
      <c r="BE1907" s="333">
        <f>SQRT(($R1907-Infrastructure!J$12)^2+($S1907-Infrastructure!K$12)^2)</f>
        <v>51.04233537</v>
      </c>
      <c r="BF1907" s="330">
        <f t="shared" si="161"/>
        <v>3.413209633</v>
      </c>
      <c r="BG1907" s="333">
        <f t="shared" si="162"/>
        <v>51.04233537</v>
      </c>
      <c r="BH1907" s="1119"/>
      <c r="BI1907" s="319" t="str">
        <f t="shared" ref="BI1907:BR1907" si="665">IF(ISNUMBER(FIND(BI$3, $CO1907)), "Y", "")</f>
        <v>Y</v>
      </c>
      <c r="BJ1907" s="319" t="str">
        <f t="shared" si="665"/>
        <v/>
      </c>
      <c r="BK1907" s="319" t="str">
        <f t="shared" si="665"/>
        <v>Y</v>
      </c>
      <c r="BL1907" s="319" t="str">
        <f t="shared" si="665"/>
        <v>Y</v>
      </c>
      <c r="BM1907" s="319" t="str">
        <f t="shared" si="665"/>
        <v>Y</v>
      </c>
      <c r="BN1907" s="319" t="str">
        <f t="shared" si="665"/>
        <v>Y</v>
      </c>
      <c r="BO1907" s="319" t="str">
        <f t="shared" si="665"/>
        <v>Y</v>
      </c>
      <c r="BP1907" s="319" t="str">
        <f t="shared" si="665"/>
        <v/>
      </c>
      <c r="BQ1907" s="319" t="str">
        <f t="shared" si="665"/>
        <v>Y</v>
      </c>
      <c r="BR1907" s="319" t="str">
        <f t="shared" si="665"/>
        <v/>
      </c>
      <c r="BS1907" s="330">
        <f t="shared" si="185"/>
        <v>3.413209633</v>
      </c>
      <c r="BT1907" s="331">
        <f t="shared" si="170"/>
        <v>43.39078243</v>
      </c>
      <c r="BU1907" s="920">
        <v>0.6138310185185185</v>
      </c>
      <c r="BV1907" s="903">
        <f t="shared" si="186"/>
        <v>0.0006365740741</v>
      </c>
      <c r="BW1907" s="908">
        <v>21.3</v>
      </c>
      <c r="BX1907" s="908">
        <v>18.5</v>
      </c>
      <c r="BY1907" s="331">
        <f t="shared" si="201"/>
        <v>19.60102038</v>
      </c>
      <c r="BZ1907" s="331"/>
      <c r="CA1907" s="462" t="str">
        <f t="shared" ref="CA1907:CJ1907" si="666">IF(ISNUMBER(FIND(BI$3, $CP1907)), "Y", "")</f>
        <v>Y</v>
      </c>
      <c r="CB1907" s="319" t="str">
        <f t="shared" si="666"/>
        <v>Y</v>
      </c>
      <c r="CC1907" s="319" t="str">
        <f t="shared" si="666"/>
        <v>Y</v>
      </c>
      <c r="CD1907" s="319" t="str">
        <f t="shared" si="666"/>
        <v>Y</v>
      </c>
      <c r="CE1907" s="319" t="str">
        <f t="shared" si="666"/>
        <v>Y</v>
      </c>
      <c r="CF1907" s="319" t="str">
        <f t="shared" si="666"/>
        <v>Y</v>
      </c>
      <c r="CG1907" s="319" t="str">
        <f t="shared" si="666"/>
        <v>Y</v>
      </c>
      <c r="CH1907" s="319" t="str">
        <f t="shared" si="666"/>
        <v/>
      </c>
      <c r="CI1907" s="319" t="str">
        <f t="shared" si="666"/>
        <v>Y</v>
      </c>
      <c r="CJ1907" s="319" t="str">
        <f t="shared" si="666"/>
        <v>Y</v>
      </c>
      <c r="CK1907" s="342">
        <f t="shared" si="182"/>
        <v>3.413209633</v>
      </c>
      <c r="CL1907" s="333">
        <f t="shared" si="183"/>
        <v>51.04233537</v>
      </c>
      <c r="CM1907" s="1079" t="s">
        <v>2430</v>
      </c>
      <c r="CN1907" s="1005" t="s">
        <v>2849</v>
      </c>
      <c r="CO1907" s="1005" t="s">
        <v>2568</v>
      </c>
      <c r="CP1907" s="1005" t="s">
        <v>2400</v>
      </c>
    </row>
    <row r="1908">
      <c r="A1908" s="266"/>
      <c r="B1908" s="1113" t="s">
        <v>1649</v>
      </c>
      <c r="C1908" s="1107">
        <v>45490.0</v>
      </c>
      <c r="D1908" s="103"/>
      <c r="E1908" s="1108">
        <v>45.0</v>
      </c>
      <c r="F1908" s="112" t="s">
        <v>2850</v>
      </c>
      <c r="G1908" s="1110">
        <v>0.6256944444444444</v>
      </c>
      <c r="H1908" s="1110">
        <v>0.6260416666666667</v>
      </c>
      <c r="I1908" s="1110"/>
      <c r="J1908" s="1111"/>
      <c r="K1908" s="1111">
        <v>0.6274305555555556</v>
      </c>
      <c r="L1908" s="1112">
        <v>0.001388888888888889</v>
      </c>
      <c r="M1908" s="1113" t="s">
        <v>166</v>
      </c>
      <c r="N1908" s="110" t="s">
        <v>187</v>
      </c>
      <c r="O1908" s="1115" t="s">
        <v>197</v>
      </c>
      <c r="P1908" s="1115" t="s">
        <v>272</v>
      </c>
      <c r="Q1908" s="1116"/>
      <c r="R1908" s="120">
        <v>37.1</v>
      </c>
      <c r="S1908" s="1113">
        <v>6.9</v>
      </c>
      <c r="T1908" s="110">
        <v>6.5</v>
      </c>
      <c r="U1908" s="1108">
        <v>5.0</v>
      </c>
      <c r="V1908" s="1108"/>
      <c r="W1908" s="1108"/>
      <c r="X1908" s="1108"/>
      <c r="Y1908" s="1108"/>
      <c r="Z1908" s="1114" t="s">
        <v>379</v>
      </c>
      <c r="AA1908" s="1114"/>
      <c r="AB1908" s="1114" t="s">
        <v>380</v>
      </c>
      <c r="AC1908" s="1117">
        <v>4.0</v>
      </c>
      <c r="AD1908" s="1115"/>
      <c r="AE1908" s="1115"/>
      <c r="AF1908" s="1115"/>
      <c r="AG1908" s="1115"/>
      <c r="AH1908" s="1115"/>
      <c r="AI1908" s="1115"/>
      <c r="AJ1908" s="1117"/>
      <c r="AK1908" s="1118"/>
      <c r="AL1908" s="1115"/>
      <c r="AM1908" s="1115"/>
      <c r="AN1908" s="1115"/>
      <c r="AO1908" s="1115"/>
      <c r="AP1908" s="1115"/>
      <c r="AQ1908" s="1115"/>
      <c r="AR1908" s="1115"/>
      <c r="AS1908" s="1117"/>
      <c r="AT1908" s="1196" t="str">
        <f t="shared" si="428"/>
        <v>1-10</v>
      </c>
      <c r="AU1908" s="1193"/>
      <c r="AV1908" s="330">
        <f>SQRT(($R1908-Infrastructure!J$3)^2+($S1908-Infrastructure!K$3)^2)</f>
        <v>43.39078243</v>
      </c>
      <c r="AW1908" s="331">
        <f>SQRT(($R1908-Infrastructure!J$4)^2+($S1908-Infrastructure!K$4)^2)</f>
        <v>38.95600082</v>
      </c>
      <c r="AX1908" s="331">
        <f>SQRT(($R1908-Infrastructure!J$5)^2+($S1908-Infrastructure!K$5)^2)</f>
        <v>37.44329045</v>
      </c>
      <c r="AY1908" s="331">
        <f>SQRT(($R1908-Infrastructure!J$6)^2+($S1908-Infrastructure!K$6)^2)</f>
        <v>27.79496357</v>
      </c>
      <c r="AZ1908" s="331">
        <f>SQRT(($R1908-Infrastructure!J$7)^2+($S1908-Infrastructure!K$7)^2)</f>
        <v>17.86393014</v>
      </c>
      <c r="BA1908" s="331">
        <f>SQRT(($R1908-Infrastructure!J$8)^2+($S1908-Infrastructure!K$8)^2)</f>
        <v>9.620810777</v>
      </c>
      <c r="BB1908" s="331">
        <f>SQRT(($R1908-Infrastructure!J$9)^2+($S1908-Infrastructure!K$9)^2)</f>
        <v>3.413209633</v>
      </c>
      <c r="BC1908" s="331">
        <f>SQRT(($R1908-Infrastructure!J$10)^2+($S1908-Infrastructure!K$10)^2)</f>
        <v>8.603487665</v>
      </c>
      <c r="BD1908" s="331">
        <f>SQRT(($R1908-Infrastructure!J$11)^2+($S1908-Infrastructure!K$11)^2)</f>
        <v>22.31636171</v>
      </c>
      <c r="BE1908" s="333">
        <f>SQRT(($R1908-Infrastructure!J$12)^2+($S1908-Infrastructure!K$12)^2)</f>
        <v>51.04233537</v>
      </c>
      <c r="BF1908" s="330">
        <f t="shared" si="161"/>
        <v>3.413209633</v>
      </c>
      <c r="BG1908" s="333">
        <f t="shared" si="162"/>
        <v>51.04233537</v>
      </c>
      <c r="BH1908" s="1119"/>
      <c r="BI1908" s="319" t="str">
        <f t="shared" ref="BI1908:BR1908" si="667">IF(ISNUMBER(FIND(BI$3, $CO1908)), "Y", "")</f>
        <v>Y</v>
      </c>
      <c r="BJ1908" s="319" t="str">
        <f t="shared" si="667"/>
        <v/>
      </c>
      <c r="BK1908" s="319" t="str">
        <f t="shared" si="667"/>
        <v>Y</v>
      </c>
      <c r="BL1908" s="319" t="str">
        <f t="shared" si="667"/>
        <v>Y</v>
      </c>
      <c r="BM1908" s="319" t="str">
        <f t="shared" si="667"/>
        <v>Y</v>
      </c>
      <c r="BN1908" s="319" t="str">
        <f t="shared" si="667"/>
        <v>Y</v>
      </c>
      <c r="BO1908" s="319" t="str">
        <f t="shared" si="667"/>
        <v>Y</v>
      </c>
      <c r="BP1908" s="319" t="str">
        <f t="shared" si="667"/>
        <v/>
      </c>
      <c r="BQ1908" s="319" t="str">
        <f t="shared" si="667"/>
        <v>Y</v>
      </c>
      <c r="BR1908" s="319" t="str">
        <f t="shared" si="667"/>
        <v/>
      </c>
      <c r="BS1908" s="330">
        <f t="shared" si="185"/>
        <v>3.413209633</v>
      </c>
      <c r="BT1908" s="331">
        <f t="shared" si="170"/>
        <v>43.39078243</v>
      </c>
      <c r="BU1908" s="920">
        <v>0.6266435185185185</v>
      </c>
      <c r="BV1908" s="903">
        <f t="shared" si="186"/>
        <v>0.0009490740741</v>
      </c>
      <c r="BW1908" s="908">
        <v>21.1</v>
      </c>
      <c r="BX1908" s="908">
        <v>18.0</v>
      </c>
      <c r="BY1908" s="331">
        <f t="shared" si="201"/>
        <v>19.47331507</v>
      </c>
      <c r="BZ1908" s="331"/>
      <c r="CA1908" s="462" t="str">
        <f t="shared" ref="CA1908:CJ1908" si="668">IF(ISNUMBER(FIND(BI$3, $CP1908)), "Y", "")</f>
        <v>Y</v>
      </c>
      <c r="CB1908" s="319" t="str">
        <f t="shared" si="668"/>
        <v>Y</v>
      </c>
      <c r="CC1908" s="319" t="str">
        <f t="shared" si="668"/>
        <v>Y</v>
      </c>
      <c r="CD1908" s="319" t="str">
        <f t="shared" si="668"/>
        <v>Y</v>
      </c>
      <c r="CE1908" s="319" t="str">
        <f t="shared" si="668"/>
        <v>Y</v>
      </c>
      <c r="CF1908" s="319" t="str">
        <f t="shared" si="668"/>
        <v>Y</v>
      </c>
      <c r="CG1908" s="319" t="str">
        <f t="shared" si="668"/>
        <v>Y</v>
      </c>
      <c r="CH1908" s="319" t="str">
        <f t="shared" si="668"/>
        <v/>
      </c>
      <c r="CI1908" s="319" t="str">
        <f t="shared" si="668"/>
        <v>Y</v>
      </c>
      <c r="CJ1908" s="319" t="str">
        <f t="shared" si="668"/>
        <v>Y</v>
      </c>
      <c r="CK1908" s="342">
        <f t="shared" si="182"/>
        <v>3.413209633</v>
      </c>
      <c r="CL1908" s="333">
        <f t="shared" si="183"/>
        <v>51.04233537</v>
      </c>
      <c r="CM1908" s="1079" t="s">
        <v>2794</v>
      </c>
      <c r="CN1908" s="1005" t="s">
        <v>2849</v>
      </c>
      <c r="CO1908" s="1005" t="s">
        <v>2568</v>
      </c>
      <c r="CP1908" s="1005" t="s">
        <v>2400</v>
      </c>
    </row>
    <row r="1909">
      <c r="A1909" s="266"/>
      <c r="B1909" s="1113" t="s">
        <v>1649</v>
      </c>
      <c r="C1909" s="1107">
        <v>45490.0</v>
      </c>
      <c r="D1909" s="103"/>
      <c r="E1909" s="1108">
        <v>46.0</v>
      </c>
      <c r="F1909" s="112" t="s">
        <v>2851</v>
      </c>
      <c r="G1909" s="1110">
        <v>0.6333333333333333</v>
      </c>
      <c r="H1909" s="1110">
        <v>0.6340277777777777</v>
      </c>
      <c r="I1909" s="1110"/>
      <c r="J1909" s="1111"/>
      <c r="K1909" s="1111">
        <v>0.635474537037037</v>
      </c>
      <c r="L1909" s="1112">
        <v>0.0014467592592592592</v>
      </c>
      <c r="M1909" s="1113" t="s">
        <v>166</v>
      </c>
      <c r="N1909" s="110" t="s">
        <v>187</v>
      </c>
      <c r="O1909" s="1115" t="s">
        <v>203</v>
      </c>
      <c r="P1909" s="1115" t="s">
        <v>250</v>
      </c>
      <c r="Q1909" s="1116"/>
      <c r="R1909" s="120">
        <v>15.1</v>
      </c>
      <c r="S1909" s="1113">
        <v>2.4</v>
      </c>
      <c r="T1909" s="110">
        <v>1.2</v>
      </c>
      <c r="U1909" s="1108">
        <v>6.0</v>
      </c>
      <c r="V1909" s="1108"/>
      <c r="W1909" s="1108"/>
      <c r="X1909" s="1108"/>
      <c r="Y1909" s="1108"/>
      <c r="Z1909" s="1114" t="s">
        <v>357</v>
      </c>
      <c r="AA1909" s="1114"/>
      <c r="AB1909" s="1114" t="s">
        <v>380</v>
      </c>
      <c r="AC1909" s="1117">
        <v>4.0</v>
      </c>
      <c r="AD1909" s="1115"/>
      <c r="AE1909" s="1115"/>
      <c r="AF1909" s="1115"/>
      <c r="AG1909" s="1115"/>
      <c r="AH1909" s="1115"/>
      <c r="AI1909" s="1115"/>
      <c r="AJ1909" s="1117"/>
      <c r="AK1909" s="1118"/>
      <c r="AL1909" s="1115"/>
      <c r="AM1909" s="1115"/>
      <c r="AN1909" s="1115"/>
      <c r="AO1909" s="1115"/>
      <c r="AP1909" s="1115"/>
      <c r="AQ1909" s="1115"/>
      <c r="AR1909" s="1115"/>
      <c r="AS1909" s="1117"/>
      <c r="AT1909" s="1196" t="str">
        <f t="shared" si="428"/>
        <v>1-10</v>
      </c>
      <c r="AU1909" s="1193"/>
      <c r="AV1909" s="330">
        <f>SQRT(($R1909-Infrastructure!J$3)^2+($S1909-Infrastructure!K$3)^2)</f>
        <v>30.64979608</v>
      </c>
      <c r="AW1909" s="331">
        <f>SQRT(($R1909-Infrastructure!J$4)^2+($S1909-Infrastructure!K$4)^2)</f>
        <v>21.77888886</v>
      </c>
      <c r="AX1909" s="331">
        <f>SQRT(($R1909-Infrastructure!J$5)^2+($S1909-Infrastructure!K$5)^2)</f>
        <v>15.63489687</v>
      </c>
      <c r="AY1909" s="331">
        <f>SQRT(($R1909-Infrastructure!J$6)^2+($S1909-Infrastructure!K$6)^2)</f>
        <v>5.423098745</v>
      </c>
      <c r="AZ1909" s="331">
        <f>SQRT(($R1909-Infrastructure!J$7)^2+($S1909-Infrastructure!K$7)^2)</f>
        <v>5.793962375</v>
      </c>
      <c r="BA1909" s="331">
        <f>SQRT(($R1909-Infrastructure!J$8)^2+($S1909-Infrastructure!K$8)^2)</f>
        <v>15.14628667</v>
      </c>
      <c r="BB1909" s="331">
        <f>SQRT(($R1909-Infrastructure!J$9)^2+($S1909-Infrastructure!K$9)^2)</f>
        <v>25.04595776</v>
      </c>
      <c r="BC1909" s="331">
        <f>SQRT(($R1909-Infrastructure!J$10)^2+($S1909-Infrastructure!K$10)^2)</f>
        <v>27.90645087</v>
      </c>
      <c r="BD1909" s="331">
        <f>SQRT(($R1909-Infrastructure!J$11)^2+($S1909-Infrastructure!K$11)^2)</f>
        <v>36.5728041</v>
      </c>
      <c r="BE1909" s="333">
        <f>SQRT(($R1909-Infrastructure!J$12)^2+($S1909-Infrastructure!K$12)^2)</f>
        <v>53.48429676</v>
      </c>
      <c r="BF1909" s="330">
        <f t="shared" si="161"/>
        <v>5.423098745</v>
      </c>
      <c r="BG1909" s="333">
        <f t="shared" si="162"/>
        <v>53.48429676</v>
      </c>
      <c r="BH1909" s="1119"/>
      <c r="BI1909" s="319" t="str">
        <f t="shared" ref="BI1909:BR1909" si="669">IF(ISNUMBER(FIND(BI$3, $CO1909)), "Y", "")</f>
        <v>Y</v>
      </c>
      <c r="BJ1909" s="319" t="str">
        <f t="shared" si="669"/>
        <v>Y</v>
      </c>
      <c r="BK1909" s="319" t="str">
        <f t="shared" si="669"/>
        <v>Y</v>
      </c>
      <c r="BL1909" s="319" t="str">
        <f t="shared" si="669"/>
        <v>Y</v>
      </c>
      <c r="BM1909" s="319" t="str">
        <f t="shared" si="669"/>
        <v>Y</v>
      </c>
      <c r="BN1909" s="319" t="str">
        <f t="shared" si="669"/>
        <v>Y</v>
      </c>
      <c r="BO1909" s="319" t="str">
        <f t="shared" si="669"/>
        <v>Y</v>
      </c>
      <c r="BP1909" s="319" t="str">
        <f t="shared" si="669"/>
        <v/>
      </c>
      <c r="BQ1909" s="319" t="str">
        <f t="shared" si="669"/>
        <v>Y</v>
      </c>
      <c r="BR1909" s="319" t="str">
        <f t="shared" si="669"/>
        <v>Y</v>
      </c>
      <c r="BS1909" s="330">
        <f t="shared" si="185"/>
        <v>5.423098745</v>
      </c>
      <c r="BT1909" s="331">
        <f t="shared" si="170"/>
        <v>53.48429676</v>
      </c>
      <c r="BU1909" s="920">
        <v>0.6338888888888888</v>
      </c>
      <c r="BV1909" s="903">
        <f t="shared" si="186"/>
        <v>0.0005555555556</v>
      </c>
      <c r="BW1909" s="908">
        <v>13.7</v>
      </c>
      <c r="BX1909" s="908">
        <v>10.3</v>
      </c>
      <c r="BY1909" s="331">
        <f t="shared" si="201"/>
        <v>8.023091673</v>
      </c>
      <c r="BZ1909" s="331"/>
      <c r="CA1909" s="462" t="str">
        <f t="shared" ref="CA1909:CJ1909" si="670">IF(ISNUMBER(FIND(BI$3, $CP1909)), "Y", "")</f>
        <v>Y</v>
      </c>
      <c r="CB1909" s="319" t="str">
        <f t="shared" si="670"/>
        <v>Y</v>
      </c>
      <c r="CC1909" s="319" t="str">
        <f t="shared" si="670"/>
        <v>Y</v>
      </c>
      <c r="CD1909" s="319" t="str">
        <f t="shared" si="670"/>
        <v>Y</v>
      </c>
      <c r="CE1909" s="319" t="str">
        <f t="shared" si="670"/>
        <v>Y</v>
      </c>
      <c r="CF1909" s="319" t="str">
        <f t="shared" si="670"/>
        <v>Y</v>
      </c>
      <c r="CG1909" s="319" t="str">
        <f t="shared" si="670"/>
        <v>Y</v>
      </c>
      <c r="CH1909" s="319" t="str">
        <f t="shared" si="670"/>
        <v/>
      </c>
      <c r="CI1909" s="319" t="str">
        <f t="shared" si="670"/>
        <v>Y</v>
      </c>
      <c r="CJ1909" s="319" t="str">
        <f t="shared" si="670"/>
        <v>Y</v>
      </c>
      <c r="CK1909" s="342">
        <f t="shared" si="182"/>
        <v>5.423098745</v>
      </c>
      <c r="CL1909" s="333">
        <f t="shared" si="183"/>
        <v>53.48429676</v>
      </c>
      <c r="CM1909" s="1079" t="s">
        <v>2852</v>
      </c>
      <c r="CN1909" s="1005" t="s">
        <v>2849</v>
      </c>
      <c r="CO1909" s="1005" t="s">
        <v>2400</v>
      </c>
      <c r="CP1909" s="1005" t="s">
        <v>2400</v>
      </c>
    </row>
    <row r="1910">
      <c r="A1910" s="266"/>
      <c r="B1910" s="1113" t="s">
        <v>1649</v>
      </c>
      <c r="C1910" s="1107">
        <v>45490.0</v>
      </c>
      <c r="D1910" s="103"/>
      <c r="E1910" s="1108">
        <v>47.0</v>
      </c>
      <c r="F1910" s="112" t="s">
        <v>2853</v>
      </c>
      <c r="G1910" s="1110">
        <v>0.6362847222222222</v>
      </c>
      <c r="H1910" s="1110">
        <v>0.6364583333333333</v>
      </c>
      <c r="I1910" s="1110"/>
      <c r="J1910" s="1111"/>
      <c r="K1910" s="1111">
        <v>0.6378472222222222</v>
      </c>
      <c r="L1910" s="1112">
        <v>0.001388888888888889</v>
      </c>
      <c r="M1910" s="1113" t="s">
        <v>166</v>
      </c>
      <c r="N1910" s="110" t="s">
        <v>187</v>
      </c>
      <c r="O1910" s="1115" t="s">
        <v>203</v>
      </c>
      <c r="P1910" s="1115" t="s">
        <v>250</v>
      </c>
      <c r="Q1910" s="1116"/>
      <c r="R1910" s="120">
        <v>15.1</v>
      </c>
      <c r="S1910" s="1113">
        <v>2.4</v>
      </c>
      <c r="T1910" s="110">
        <v>1.2</v>
      </c>
      <c r="U1910" s="1108">
        <v>4.0</v>
      </c>
      <c r="V1910" s="1108"/>
      <c r="W1910" s="1108"/>
      <c r="X1910" s="1108"/>
      <c r="Y1910" s="1108"/>
      <c r="Z1910" s="1114" t="s">
        <v>357</v>
      </c>
      <c r="AA1910" s="1114"/>
      <c r="AB1910" s="1114" t="s">
        <v>380</v>
      </c>
      <c r="AC1910" s="1117">
        <v>4.0</v>
      </c>
      <c r="AD1910" s="1115"/>
      <c r="AE1910" s="1115"/>
      <c r="AF1910" s="1115"/>
      <c r="AG1910" s="1115"/>
      <c r="AH1910" s="1115"/>
      <c r="AI1910" s="1115"/>
      <c r="AJ1910" s="1117"/>
      <c r="AK1910" s="1118"/>
      <c r="AL1910" s="1115"/>
      <c r="AM1910" s="1115"/>
      <c r="AN1910" s="1115"/>
      <c r="AO1910" s="1115"/>
      <c r="AP1910" s="1115"/>
      <c r="AQ1910" s="1115"/>
      <c r="AR1910" s="1115"/>
      <c r="AS1910" s="1117"/>
      <c r="AT1910" s="1196" t="str">
        <f t="shared" si="428"/>
        <v>1-10</v>
      </c>
      <c r="AU1910" s="1193"/>
      <c r="AV1910" s="330">
        <f>SQRT(($R1910-Infrastructure!J$3)^2+($S1910-Infrastructure!K$3)^2)</f>
        <v>30.64979608</v>
      </c>
      <c r="AW1910" s="331">
        <f>SQRT(($R1910-Infrastructure!J$4)^2+($S1910-Infrastructure!K$4)^2)</f>
        <v>21.77888886</v>
      </c>
      <c r="AX1910" s="331">
        <f>SQRT(($R1910-Infrastructure!J$5)^2+($S1910-Infrastructure!K$5)^2)</f>
        <v>15.63489687</v>
      </c>
      <c r="AY1910" s="331">
        <f>SQRT(($R1910-Infrastructure!J$6)^2+($S1910-Infrastructure!K$6)^2)</f>
        <v>5.423098745</v>
      </c>
      <c r="AZ1910" s="331">
        <f>SQRT(($R1910-Infrastructure!J$7)^2+($S1910-Infrastructure!K$7)^2)</f>
        <v>5.793962375</v>
      </c>
      <c r="BA1910" s="331">
        <f>SQRT(($R1910-Infrastructure!J$8)^2+($S1910-Infrastructure!K$8)^2)</f>
        <v>15.14628667</v>
      </c>
      <c r="BB1910" s="331">
        <f>SQRT(($R1910-Infrastructure!J$9)^2+($S1910-Infrastructure!K$9)^2)</f>
        <v>25.04595776</v>
      </c>
      <c r="BC1910" s="331">
        <f>SQRT(($R1910-Infrastructure!J$10)^2+($S1910-Infrastructure!K$10)^2)</f>
        <v>27.90645087</v>
      </c>
      <c r="BD1910" s="331">
        <f>SQRT(($R1910-Infrastructure!J$11)^2+($S1910-Infrastructure!K$11)^2)</f>
        <v>36.5728041</v>
      </c>
      <c r="BE1910" s="333">
        <f>SQRT(($R1910-Infrastructure!J$12)^2+($S1910-Infrastructure!K$12)^2)</f>
        <v>53.48429676</v>
      </c>
      <c r="BF1910" s="330">
        <f t="shared" si="161"/>
        <v>5.423098745</v>
      </c>
      <c r="BG1910" s="333">
        <f t="shared" si="162"/>
        <v>53.48429676</v>
      </c>
      <c r="BH1910" s="1119"/>
      <c r="BI1910" s="319" t="str">
        <f t="shared" ref="BI1910:BR1910" si="671">IF(ISNUMBER(FIND(BI$3, $CO1910)), "Y", "")</f>
        <v>Y</v>
      </c>
      <c r="BJ1910" s="319" t="str">
        <f t="shared" si="671"/>
        <v>Y</v>
      </c>
      <c r="BK1910" s="319" t="str">
        <f t="shared" si="671"/>
        <v>Y</v>
      </c>
      <c r="BL1910" s="319" t="str">
        <f t="shared" si="671"/>
        <v>Y</v>
      </c>
      <c r="BM1910" s="319" t="str">
        <f t="shared" si="671"/>
        <v>Y</v>
      </c>
      <c r="BN1910" s="319" t="str">
        <f t="shared" si="671"/>
        <v>Y</v>
      </c>
      <c r="BO1910" s="319" t="str">
        <f t="shared" si="671"/>
        <v>Y</v>
      </c>
      <c r="BP1910" s="319" t="str">
        <f t="shared" si="671"/>
        <v/>
      </c>
      <c r="BQ1910" s="319" t="str">
        <f t="shared" si="671"/>
        <v>Y</v>
      </c>
      <c r="BR1910" s="319" t="str">
        <f t="shared" si="671"/>
        <v>Y</v>
      </c>
      <c r="BS1910" s="330">
        <f t="shared" si="185"/>
        <v>5.423098745</v>
      </c>
      <c r="BT1910" s="331">
        <f t="shared" si="170"/>
        <v>53.48429676</v>
      </c>
      <c r="BU1910" s="920">
        <v>0.6368634259259259</v>
      </c>
      <c r="BV1910" s="903">
        <f t="shared" si="186"/>
        <v>0.0005787037037</v>
      </c>
      <c r="BW1910" s="908">
        <v>13.1</v>
      </c>
      <c r="BX1910" s="908">
        <v>5.5</v>
      </c>
      <c r="BY1910" s="331">
        <f t="shared" si="201"/>
        <v>3.689173349</v>
      </c>
      <c r="BZ1910" s="331"/>
      <c r="CA1910" s="462" t="str">
        <f t="shared" ref="CA1910:CJ1910" si="672">IF(ISNUMBER(FIND(BI$3, $CP1910)), "Y", "")</f>
        <v>Y</v>
      </c>
      <c r="CB1910" s="319" t="str">
        <f t="shared" si="672"/>
        <v>Y</v>
      </c>
      <c r="CC1910" s="319" t="str">
        <f t="shared" si="672"/>
        <v>Y</v>
      </c>
      <c r="CD1910" s="319" t="str">
        <f t="shared" si="672"/>
        <v>Y</v>
      </c>
      <c r="CE1910" s="319" t="str">
        <f t="shared" si="672"/>
        <v>Y</v>
      </c>
      <c r="CF1910" s="319" t="str">
        <f t="shared" si="672"/>
        <v>Y</v>
      </c>
      <c r="CG1910" s="319" t="str">
        <f t="shared" si="672"/>
        <v>Y</v>
      </c>
      <c r="CH1910" s="319" t="str">
        <f t="shared" si="672"/>
        <v/>
      </c>
      <c r="CI1910" s="319" t="str">
        <f t="shared" si="672"/>
        <v>Y</v>
      </c>
      <c r="CJ1910" s="319" t="str">
        <f t="shared" si="672"/>
        <v>Y</v>
      </c>
      <c r="CK1910" s="342">
        <f t="shared" si="182"/>
        <v>5.423098745</v>
      </c>
      <c r="CL1910" s="333">
        <f t="shared" si="183"/>
        <v>53.48429676</v>
      </c>
      <c r="CM1910" s="1079" t="s">
        <v>2790</v>
      </c>
      <c r="CN1910" s="1005" t="s">
        <v>2849</v>
      </c>
      <c r="CO1910" s="1005" t="s">
        <v>2400</v>
      </c>
      <c r="CP1910" s="1005" t="s">
        <v>2400</v>
      </c>
    </row>
    <row r="1911">
      <c r="A1911" s="266"/>
      <c r="B1911" s="1113" t="s">
        <v>1649</v>
      </c>
      <c r="C1911" s="1107">
        <v>45490.0</v>
      </c>
      <c r="D1911" s="103"/>
      <c r="E1911" s="1108">
        <v>48.0</v>
      </c>
      <c r="F1911" s="112" t="s">
        <v>2854</v>
      </c>
      <c r="G1911" s="1110">
        <v>0.6387152777777778</v>
      </c>
      <c r="H1911" s="1110">
        <v>0.6390046296296297</v>
      </c>
      <c r="I1911" s="1110"/>
      <c r="J1911" s="1111"/>
      <c r="K1911" s="1111">
        <v>0.6404513888888889</v>
      </c>
      <c r="L1911" s="1112">
        <v>0.0014467592592592592</v>
      </c>
      <c r="M1911" s="1113" t="s">
        <v>166</v>
      </c>
      <c r="N1911" s="110" t="s">
        <v>187</v>
      </c>
      <c r="O1911" s="1115" t="s">
        <v>204</v>
      </c>
      <c r="P1911" s="1115" t="s">
        <v>256</v>
      </c>
      <c r="Q1911" s="1116"/>
      <c r="R1911" s="120">
        <v>18.7</v>
      </c>
      <c r="S1911" s="1113">
        <v>4.1</v>
      </c>
      <c r="T1911" s="110">
        <v>1.2</v>
      </c>
      <c r="U1911" s="1108">
        <v>4.0</v>
      </c>
      <c r="V1911" s="1108"/>
      <c r="W1911" s="1108"/>
      <c r="X1911" s="1108"/>
      <c r="Y1911" s="1108"/>
      <c r="Z1911" s="1114" t="s">
        <v>365</v>
      </c>
      <c r="AA1911" s="1114"/>
      <c r="AB1911" s="1114" t="s">
        <v>333</v>
      </c>
      <c r="AC1911" s="1117">
        <v>2.0</v>
      </c>
      <c r="AD1911" s="1115"/>
      <c r="AE1911" s="1115"/>
      <c r="AF1911" s="1115"/>
      <c r="AG1911" s="1115"/>
      <c r="AH1911" s="1115"/>
      <c r="AI1911" s="1115"/>
      <c r="AJ1911" s="1117"/>
      <c r="AK1911" s="1118"/>
      <c r="AL1911" s="1115"/>
      <c r="AM1911" s="1115"/>
      <c r="AN1911" s="1115"/>
      <c r="AO1911" s="1115"/>
      <c r="AP1911" s="1115"/>
      <c r="AQ1911" s="1115"/>
      <c r="AR1911" s="1115"/>
      <c r="AS1911" s="1117"/>
      <c r="AT1911" s="1196" t="str">
        <f t="shared" si="428"/>
        <v>1-10</v>
      </c>
      <c r="AU1911" s="1193"/>
      <c r="AV1911" s="330">
        <f>SQRT(($R1911-Infrastructure!J$3)^2+($S1911-Infrastructure!K$3)^2)</f>
        <v>31.24163888</v>
      </c>
      <c r="AW1911" s="331">
        <f>SQRT(($R1911-Infrastructure!J$4)^2+($S1911-Infrastructure!K$4)^2)</f>
        <v>23.42413285</v>
      </c>
      <c r="AX1911" s="331">
        <f>SQRT(($R1911-Infrastructure!J$5)^2+($S1911-Infrastructure!K$5)^2)</f>
        <v>19.02629759</v>
      </c>
      <c r="AY1911" s="331">
        <f>SQRT(($R1911-Infrastructure!J$6)^2+($S1911-Infrastructure!K$6)^2)</f>
        <v>9.402127419</v>
      </c>
      <c r="AZ1911" s="331">
        <f>SQRT(($R1911-Infrastructure!J$7)^2+($S1911-Infrastructure!K$7)^2)</f>
        <v>4.204759208</v>
      </c>
      <c r="BA1911" s="331">
        <f>SQRT(($R1911-Infrastructure!J$8)^2+($S1911-Infrastructure!K$8)^2)</f>
        <v>12.01665511</v>
      </c>
      <c r="BB1911" s="331">
        <f>SQRT(($R1911-Infrastructure!J$9)^2+($S1911-Infrastructure!K$9)^2)</f>
        <v>21.32346126</v>
      </c>
      <c r="BC1911" s="331">
        <f>SQRT(($R1911-Infrastructure!J$10)^2+($S1911-Infrastructure!K$10)^2)</f>
        <v>23.92697223</v>
      </c>
      <c r="BD1911" s="331">
        <f>SQRT(($R1911-Infrastructure!J$11)^2+($S1911-Infrastructure!K$11)^2)</f>
        <v>32.89772029</v>
      </c>
      <c r="BE1911" s="333">
        <f>SQRT(($R1911-Infrastructure!J$12)^2+($S1911-Infrastructure!K$12)^2)</f>
        <v>51.4762081</v>
      </c>
      <c r="BF1911" s="330">
        <f t="shared" si="161"/>
        <v>4.204759208</v>
      </c>
      <c r="BG1911" s="333">
        <f t="shared" si="162"/>
        <v>51.4762081</v>
      </c>
      <c r="BH1911" s="1119"/>
      <c r="BI1911" s="319" t="str">
        <f t="shared" ref="BI1911:BR1911" si="673">IF(ISNUMBER(FIND(BI$3, $CO1911)), "Y", "")</f>
        <v>Y</v>
      </c>
      <c r="BJ1911" s="319" t="str">
        <f t="shared" si="673"/>
        <v>Y</v>
      </c>
      <c r="BK1911" s="319" t="str">
        <f t="shared" si="673"/>
        <v>Y</v>
      </c>
      <c r="BL1911" s="319" t="str">
        <f t="shared" si="673"/>
        <v>Y</v>
      </c>
      <c r="BM1911" s="319" t="str">
        <f t="shared" si="673"/>
        <v>Y</v>
      </c>
      <c r="BN1911" s="319" t="str">
        <f t="shared" si="673"/>
        <v>Y</v>
      </c>
      <c r="BO1911" s="319" t="str">
        <f t="shared" si="673"/>
        <v>Y</v>
      </c>
      <c r="BP1911" s="319" t="str">
        <f t="shared" si="673"/>
        <v/>
      </c>
      <c r="BQ1911" s="319" t="str">
        <f t="shared" si="673"/>
        <v>Y</v>
      </c>
      <c r="BR1911" s="319" t="str">
        <f t="shared" si="673"/>
        <v>Y</v>
      </c>
      <c r="BS1911" s="330">
        <f t="shared" si="185"/>
        <v>4.204759208</v>
      </c>
      <c r="BT1911" s="331">
        <f t="shared" si="170"/>
        <v>51.4762081</v>
      </c>
      <c r="BU1911" s="920">
        <v>0.6392708333333333</v>
      </c>
      <c r="BV1911" s="903">
        <f t="shared" si="186"/>
        <v>0.0005555555556</v>
      </c>
      <c r="BW1911" s="908">
        <v>17.1</v>
      </c>
      <c r="BX1911" s="908">
        <v>12.3</v>
      </c>
      <c r="BY1911" s="331">
        <f t="shared" si="201"/>
        <v>8.35463943</v>
      </c>
      <c r="BZ1911" s="331"/>
      <c r="CA1911" s="462" t="str">
        <f t="shared" ref="CA1911:CJ1911" si="674">IF(ISNUMBER(FIND(BI$3, $CP1911)), "Y", "")</f>
        <v>Y</v>
      </c>
      <c r="CB1911" s="319" t="str">
        <f t="shared" si="674"/>
        <v>Y</v>
      </c>
      <c r="CC1911" s="319" t="str">
        <f t="shared" si="674"/>
        <v>Y</v>
      </c>
      <c r="CD1911" s="319" t="str">
        <f t="shared" si="674"/>
        <v>Y</v>
      </c>
      <c r="CE1911" s="319" t="str">
        <f t="shared" si="674"/>
        <v>Y</v>
      </c>
      <c r="CF1911" s="319" t="str">
        <f t="shared" si="674"/>
        <v>Y</v>
      </c>
      <c r="CG1911" s="319" t="str">
        <f t="shared" si="674"/>
        <v>Y</v>
      </c>
      <c r="CH1911" s="319" t="str">
        <f t="shared" si="674"/>
        <v/>
      </c>
      <c r="CI1911" s="319" t="str">
        <f t="shared" si="674"/>
        <v>Y</v>
      </c>
      <c r="CJ1911" s="319" t="str">
        <f t="shared" si="674"/>
        <v>Y</v>
      </c>
      <c r="CK1911" s="342">
        <f t="shared" si="182"/>
        <v>4.204759208</v>
      </c>
      <c r="CL1911" s="333">
        <f t="shared" si="183"/>
        <v>51.4762081</v>
      </c>
      <c r="CM1911" s="1079" t="s">
        <v>2855</v>
      </c>
      <c r="CN1911" s="1005" t="s">
        <v>2849</v>
      </c>
      <c r="CO1911" s="1005" t="s">
        <v>2400</v>
      </c>
      <c r="CP1911" s="1005" t="s">
        <v>2400</v>
      </c>
    </row>
    <row r="1912">
      <c r="A1912" s="266"/>
      <c r="B1912" s="1113" t="s">
        <v>1649</v>
      </c>
      <c r="C1912" s="1107">
        <v>45490.0</v>
      </c>
      <c r="D1912" s="103"/>
      <c r="E1912" s="1108">
        <v>49.0</v>
      </c>
      <c r="F1912" s="112" t="s">
        <v>2856</v>
      </c>
      <c r="G1912" s="1110">
        <v>0.6413194444444444</v>
      </c>
      <c r="H1912" s="1110">
        <v>0.6415509259259259</v>
      </c>
      <c r="I1912" s="1110"/>
      <c r="J1912" s="1111"/>
      <c r="K1912" s="1111">
        <v>0.6432291666666666</v>
      </c>
      <c r="L1912" s="1112">
        <v>0.0016782407407407408</v>
      </c>
      <c r="M1912" s="1113" t="s">
        <v>166</v>
      </c>
      <c r="N1912" s="110" t="s">
        <v>187</v>
      </c>
      <c r="O1912" s="1115" t="s">
        <v>204</v>
      </c>
      <c r="P1912" s="1115" t="s">
        <v>256</v>
      </c>
      <c r="Q1912" s="1116"/>
      <c r="R1912" s="120">
        <v>18.7</v>
      </c>
      <c r="S1912" s="1113">
        <v>4.1</v>
      </c>
      <c r="T1912" s="110">
        <v>1.2</v>
      </c>
      <c r="U1912" s="1108">
        <v>2.0</v>
      </c>
      <c r="V1912" s="1108"/>
      <c r="W1912" s="1108"/>
      <c r="X1912" s="1108"/>
      <c r="Y1912" s="1108"/>
      <c r="Z1912" s="1114" t="s">
        <v>365</v>
      </c>
      <c r="AA1912" s="1114"/>
      <c r="AB1912" s="1114" t="s">
        <v>333</v>
      </c>
      <c r="AC1912" s="1117">
        <v>2.0</v>
      </c>
      <c r="AD1912" s="1115"/>
      <c r="AE1912" s="1115"/>
      <c r="AF1912" s="1115"/>
      <c r="AG1912" s="1115"/>
      <c r="AH1912" s="1115"/>
      <c r="AI1912" s="1115"/>
      <c r="AJ1912" s="1117"/>
      <c r="AK1912" s="1118"/>
      <c r="AL1912" s="1115"/>
      <c r="AM1912" s="1115"/>
      <c r="AN1912" s="1115"/>
      <c r="AO1912" s="1115"/>
      <c r="AP1912" s="1115"/>
      <c r="AQ1912" s="1115"/>
      <c r="AR1912" s="1115"/>
      <c r="AS1912" s="1117"/>
      <c r="AT1912" s="1196" t="str">
        <f t="shared" si="428"/>
        <v>1-10</v>
      </c>
      <c r="AU1912" s="1193"/>
      <c r="AV1912" s="330">
        <f>SQRT(($R1912-Infrastructure!J$3)^2+($S1912-Infrastructure!K$3)^2)</f>
        <v>31.24163888</v>
      </c>
      <c r="AW1912" s="331">
        <f>SQRT(($R1912-Infrastructure!J$4)^2+($S1912-Infrastructure!K$4)^2)</f>
        <v>23.42413285</v>
      </c>
      <c r="AX1912" s="331">
        <f>SQRT(($R1912-Infrastructure!J$5)^2+($S1912-Infrastructure!K$5)^2)</f>
        <v>19.02629759</v>
      </c>
      <c r="AY1912" s="331">
        <f>SQRT(($R1912-Infrastructure!J$6)^2+($S1912-Infrastructure!K$6)^2)</f>
        <v>9.402127419</v>
      </c>
      <c r="AZ1912" s="331">
        <f>SQRT(($R1912-Infrastructure!J$7)^2+($S1912-Infrastructure!K$7)^2)</f>
        <v>4.204759208</v>
      </c>
      <c r="BA1912" s="331">
        <f>SQRT(($R1912-Infrastructure!J$8)^2+($S1912-Infrastructure!K$8)^2)</f>
        <v>12.01665511</v>
      </c>
      <c r="BB1912" s="331">
        <f>SQRT(($R1912-Infrastructure!J$9)^2+($S1912-Infrastructure!K$9)^2)</f>
        <v>21.32346126</v>
      </c>
      <c r="BC1912" s="331">
        <f>SQRT(($R1912-Infrastructure!J$10)^2+($S1912-Infrastructure!K$10)^2)</f>
        <v>23.92697223</v>
      </c>
      <c r="BD1912" s="331">
        <f>SQRT(($R1912-Infrastructure!J$11)^2+($S1912-Infrastructure!K$11)^2)</f>
        <v>32.89772029</v>
      </c>
      <c r="BE1912" s="333">
        <f>SQRT(($R1912-Infrastructure!J$12)^2+($S1912-Infrastructure!K$12)^2)</f>
        <v>51.4762081</v>
      </c>
      <c r="BF1912" s="330">
        <f t="shared" si="161"/>
        <v>4.204759208</v>
      </c>
      <c r="BG1912" s="333">
        <f t="shared" si="162"/>
        <v>51.4762081</v>
      </c>
      <c r="BH1912" s="1119"/>
      <c r="BI1912" s="319" t="str">
        <f t="shared" ref="BI1912:BR1912" si="675">IF(ISNUMBER(FIND(BI$3, $CO1912)), "Y", "")</f>
        <v>Y</v>
      </c>
      <c r="BJ1912" s="319" t="str">
        <f t="shared" si="675"/>
        <v>Y</v>
      </c>
      <c r="BK1912" s="319" t="str">
        <f t="shared" si="675"/>
        <v>Y</v>
      </c>
      <c r="BL1912" s="319" t="str">
        <f t="shared" si="675"/>
        <v>Y</v>
      </c>
      <c r="BM1912" s="319" t="str">
        <f t="shared" si="675"/>
        <v>Y</v>
      </c>
      <c r="BN1912" s="319" t="str">
        <f t="shared" si="675"/>
        <v>Y</v>
      </c>
      <c r="BO1912" s="319" t="str">
        <f t="shared" si="675"/>
        <v>Y</v>
      </c>
      <c r="BP1912" s="319" t="str">
        <f t="shared" si="675"/>
        <v/>
      </c>
      <c r="BQ1912" s="319" t="str">
        <f t="shared" si="675"/>
        <v>Y</v>
      </c>
      <c r="BR1912" s="319" t="str">
        <f t="shared" si="675"/>
        <v>Y</v>
      </c>
      <c r="BS1912" s="330">
        <f t="shared" si="185"/>
        <v>4.204759208</v>
      </c>
      <c r="BT1912" s="331">
        <f t="shared" si="170"/>
        <v>51.4762081</v>
      </c>
      <c r="BU1912" s="920">
        <v>0.641875</v>
      </c>
      <c r="BV1912" s="903">
        <f t="shared" si="186"/>
        <v>0.0005555555556</v>
      </c>
      <c r="BW1912" s="908">
        <v>17.3</v>
      </c>
      <c r="BX1912" s="908">
        <v>12.1</v>
      </c>
      <c r="BY1912" s="331">
        <f t="shared" si="201"/>
        <v>8.121576202</v>
      </c>
      <c r="BZ1912" s="331"/>
      <c r="CA1912" s="462" t="str">
        <f t="shared" ref="CA1912:CJ1912" si="676">IF(ISNUMBER(FIND(BI$3, $CP1912)), "Y", "")</f>
        <v>Y</v>
      </c>
      <c r="CB1912" s="319" t="str">
        <f t="shared" si="676"/>
        <v>Y</v>
      </c>
      <c r="CC1912" s="319" t="str">
        <f t="shared" si="676"/>
        <v>Y</v>
      </c>
      <c r="CD1912" s="319" t="str">
        <f t="shared" si="676"/>
        <v>Y</v>
      </c>
      <c r="CE1912" s="319" t="str">
        <f t="shared" si="676"/>
        <v>Y</v>
      </c>
      <c r="CF1912" s="319" t="str">
        <f t="shared" si="676"/>
        <v>Y</v>
      </c>
      <c r="CG1912" s="319" t="str">
        <f t="shared" si="676"/>
        <v>Y</v>
      </c>
      <c r="CH1912" s="319" t="str">
        <f t="shared" si="676"/>
        <v/>
      </c>
      <c r="CI1912" s="319" t="str">
        <f t="shared" si="676"/>
        <v>Y</v>
      </c>
      <c r="CJ1912" s="319" t="str">
        <f t="shared" si="676"/>
        <v>Y</v>
      </c>
      <c r="CK1912" s="342">
        <f t="shared" si="182"/>
        <v>4.204759208</v>
      </c>
      <c r="CL1912" s="333">
        <f t="shared" si="183"/>
        <v>51.4762081</v>
      </c>
      <c r="CM1912" s="1079" t="s">
        <v>2830</v>
      </c>
      <c r="CN1912" s="1005" t="s">
        <v>2849</v>
      </c>
      <c r="CO1912" s="1005" t="s">
        <v>2400</v>
      </c>
      <c r="CP1912" s="1005" t="s">
        <v>2400</v>
      </c>
    </row>
    <row r="1913">
      <c r="A1913" s="266"/>
      <c r="B1913" s="1113" t="s">
        <v>1649</v>
      </c>
      <c r="C1913" s="1107">
        <v>45490.0</v>
      </c>
      <c r="D1913" s="103"/>
      <c r="E1913" s="1108">
        <v>50.0</v>
      </c>
      <c r="F1913" s="112" t="s">
        <v>2857</v>
      </c>
      <c r="G1913" s="1110">
        <v>0.6479166666666667</v>
      </c>
      <c r="H1913" s="1110">
        <v>0.6482638888888889</v>
      </c>
      <c r="I1913" s="1110"/>
      <c r="J1913" s="1111"/>
      <c r="K1913" s="1111">
        <v>0.6496527777777777</v>
      </c>
      <c r="L1913" s="1112">
        <v>0.001388888888888889</v>
      </c>
      <c r="M1913" s="1113" t="s">
        <v>166</v>
      </c>
      <c r="N1913" s="110" t="s">
        <v>187</v>
      </c>
      <c r="O1913" s="1115" t="s">
        <v>202</v>
      </c>
      <c r="P1913" s="1115" t="s">
        <v>256</v>
      </c>
      <c r="Q1913" s="1116"/>
      <c r="R1913" s="120">
        <v>24.4</v>
      </c>
      <c r="S1913" s="1113">
        <v>7.5</v>
      </c>
      <c r="T1913" s="110">
        <v>0.6</v>
      </c>
      <c r="U1913" s="1108">
        <v>5.0</v>
      </c>
      <c r="V1913" s="1108"/>
      <c r="W1913" s="1108"/>
      <c r="X1913" s="1108"/>
      <c r="Y1913" s="1108"/>
      <c r="Z1913" s="1114" t="s">
        <v>339</v>
      </c>
      <c r="AA1913" s="1114"/>
      <c r="AB1913" s="1114" t="s">
        <v>341</v>
      </c>
      <c r="AC1913" s="1117">
        <v>3.0</v>
      </c>
      <c r="AD1913" s="1115"/>
      <c r="AE1913" s="1115"/>
      <c r="AF1913" s="1115"/>
      <c r="AG1913" s="1115"/>
      <c r="AH1913" s="1115"/>
      <c r="AI1913" s="1115"/>
      <c r="AJ1913" s="1117"/>
      <c r="AK1913" s="1118"/>
      <c r="AL1913" s="1115"/>
      <c r="AM1913" s="1115"/>
      <c r="AN1913" s="1115"/>
      <c r="AO1913" s="1115"/>
      <c r="AP1913" s="1115"/>
      <c r="AQ1913" s="1115"/>
      <c r="AR1913" s="1115"/>
      <c r="AS1913" s="1117"/>
      <c r="AT1913" s="1196" t="str">
        <f t="shared" si="428"/>
        <v>1-10</v>
      </c>
      <c r="AU1913" s="1193"/>
      <c r="AV1913" s="330">
        <f>SQRT(($R1913-Infrastructure!J$3)^2+($S1913-Infrastructure!K$3)^2)</f>
        <v>32.68103426</v>
      </c>
      <c r="AW1913" s="331">
        <f>SQRT(($R1913-Infrastructure!J$4)^2+($S1913-Infrastructure!K$4)^2)</f>
        <v>26.76153957</v>
      </c>
      <c r="AX1913" s="331">
        <f>SQRT(($R1913-Infrastructure!J$5)^2+($S1913-Infrastructure!K$5)^2)</f>
        <v>24.81632527</v>
      </c>
      <c r="AY1913" s="331">
        <f>SQRT(($R1913-Infrastructure!J$6)^2+($S1913-Infrastructure!K$6)^2)</f>
        <v>16.01030918</v>
      </c>
      <c r="AZ1913" s="331">
        <f>SQRT(($R1913-Infrastructure!J$7)^2+($S1913-Infrastructure!K$7)^2)</f>
        <v>8.188406438</v>
      </c>
      <c r="BA1913" s="331">
        <f>SQRT(($R1913-Infrastructure!J$8)^2+($S1913-Infrastructure!K$8)^2)</f>
        <v>9.183136719</v>
      </c>
      <c r="BB1913" s="331">
        <f>SQRT(($R1913-Infrastructure!J$9)^2+($S1913-Infrastructure!K$9)^2)</f>
        <v>15.78353573</v>
      </c>
      <c r="BC1913" s="331">
        <f>SQRT(($R1913-Infrastructure!J$10)^2+($S1913-Infrastructure!K$10)^2)</f>
        <v>17.30924608</v>
      </c>
      <c r="BD1913" s="331">
        <f>SQRT(($R1913-Infrastructure!J$11)^2+($S1913-Infrastructure!K$11)^2)</f>
        <v>26.68126684</v>
      </c>
      <c r="BE1913" s="333">
        <f>SQRT(($R1913-Infrastructure!J$12)^2+($S1913-Infrastructure!K$12)^2)</f>
        <v>48.08752437</v>
      </c>
      <c r="BF1913" s="330">
        <f t="shared" si="161"/>
        <v>8.188406438</v>
      </c>
      <c r="BG1913" s="333">
        <f t="shared" si="162"/>
        <v>48.08752437</v>
      </c>
      <c r="BH1913" s="1119"/>
      <c r="BI1913" s="319" t="str">
        <f t="shared" ref="BI1913:BR1913" si="677">IF(ISNUMBER(FIND(BI$3, $CO1913)), "Y", "")</f>
        <v>Y</v>
      </c>
      <c r="BJ1913" s="319" t="str">
        <f t="shared" si="677"/>
        <v>Y</v>
      </c>
      <c r="BK1913" s="319" t="str">
        <f t="shared" si="677"/>
        <v>Y</v>
      </c>
      <c r="BL1913" s="319" t="str">
        <f t="shared" si="677"/>
        <v>Y</v>
      </c>
      <c r="BM1913" s="319" t="str">
        <f t="shared" si="677"/>
        <v>Y</v>
      </c>
      <c r="BN1913" s="319" t="str">
        <f t="shared" si="677"/>
        <v>Y</v>
      </c>
      <c r="BO1913" s="319" t="str">
        <f t="shared" si="677"/>
        <v>Y</v>
      </c>
      <c r="BP1913" s="319" t="str">
        <f t="shared" si="677"/>
        <v/>
      </c>
      <c r="BQ1913" s="319" t="str">
        <f t="shared" si="677"/>
        <v/>
      </c>
      <c r="BR1913" s="319" t="str">
        <f t="shared" si="677"/>
        <v/>
      </c>
      <c r="BS1913" s="330">
        <f t="shared" si="185"/>
        <v>8.188406438</v>
      </c>
      <c r="BT1913" s="331">
        <f t="shared" si="170"/>
        <v>32.68103426</v>
      </c>
      <c r="BU1913" s="920">
        <v>0.6485648148148148</v>
      </c>
      <c r="BV1913" s="903">
        <f t="shared" si="186"/>
        <v>0.0006481481481</v>
      </c>
      <c r="BW1913" s="908">
        <v>18.0</v>
      </c>
      <c r="BX1913" s="908">
        <v>18.9</v>
      </c>
      <c r="BY1913" s="331">
        <f t="shared" si="201"/>
        <v>13.0736376</v>
      </c>
      <c r="BZ1913" s="331"/>
      <c r="CA1913" s="462" t="str">
        <f t="shared" ref="CA1913:CJ1913" si="678">IF(ISNUMBER(FIND(BI$3, $CP1913)), "Y", "")</f>
        <v>Y</v>
      </c>
      <c r="CB1913" s="319" t="str">
        <f t="shared" si="678"/>
        <v>Y</v>
      </c>
      <c r="CC1913" s="319" t="str">
        <f t="shared" si="678"/>
        <v/>
      </c>
      <c r="CD1913" s="319" t="str">
        <f t="shared" si="678"/>
        <v>Y</v>
      </c>
      <c r="CE1913" s="319" t="str">
        <f t="shared" si="678"/>
        <v>Y</v>
      </c>
      <c r="CF1913" s="319" t="str">
        <f t="shared" si="678"/>
        <v>Y</v>
      </c>
      <c r="CG1913" s="319" t="str">
        <f t="shared" si="678"/>
        <v>Y</v>
      </c>
      <c r="CH1913" s="319" t="str">
        <f t="shared" si="678"/>
        <v/>
      </c>
      <c r="CI1913" s="319" t="str">
        <f t="shared" si="678"/>
        <v>Y</v>
      </c>
      <c r="CJ1913" s="319" t="str">
        <f t="shared" si="678"/>
        <v>Y</v>
      </c>
      <c r="CK1913" s="342">
        <f t="shared" si="182"/>
        <v>8.188406438</v>
      </c>
      <c r="CL1913" s="333">
        <f t="shared" si="183"/>
        <v>48.08752437</v>
      </c>
      <c r="CM1913" s="1079" t="s">
        <v>2830</v>
      </c>
      <c r="CN1913" s="1005" t="s">
        <v>2849</v>
      </c>
      <c r="CO1913" s="1005" t="s">
        <v>2689</v>
      </c>
      <c r="CP1913" s="1005" t="s">
        <v>2637</v>
      </c>
    </row>
    <row r="1914">
      <c r="A1914" s="266"/>
      <c r="B1914" s="1113" t="s">
        <v>1649</v>
      </c>
      <c r="C1914" s="1107">
        <v>45490.0</v>
      </c>
      <c r="D1914" s="103"/>
      <c r="E1914" s="1108">
        <v>51.0</v>
      </c>
      <c r="F1914" s="112" t="s">
        <v>2858</v>
      </c>
      <c r="G1914" s="1110">
        <v>0.6505208333333333</v>
      </c>
      <c r="H1914" s="1110">
        <v>0.6506944444444445</v>
      </c>
      <c r="I1914" s="1110"/>
      <c r="J1914" s="1111"/>
      <c r="K1914" s="1111">
        <v>0.6520833333333333</v>
      </c>
      <c r="L1914" s="1112">
        <v>0.001388888888888889</v>
      </c>
      <c r="M1914" s="1113" t="s">
        <v>166</v>
      </c>
      <c r="N1914" s="110" t="s">
        <v>187</v>
      </c>
      <c r="O1914" s="1115" t="s">
        <v>202</v>
      </c>
      <c r="P1914" s="1115" t="s">
        <v>256</v>
      </c>
      <c r="Q1914" s="1116"/>
      <c r="R1914" s="120">
        <v>24.4</v>
      </c>
      <c r="S1914" s="1113">
        <v>7.5</v>
      </c>
      <c r="T1914" s="110">
        <v>0.6</v>
      </c>
      <c r="U1914" s="1108">
        <v>3.0</v>
      </c>
      <c r="V1914" s="1108"/>
      <c r="W1914" s="1108"/>
      <c r="X1914" s="1108"/>
      <c r="Y1914" s="1108"/>
      <c r="Z1914" s="1114" t="s">
        <v>339</v>
      </c>
      <c r="AA1914" s="1114"/>
      <c r="AB1914" s="1114" t="s">
        <v>341</v>
      </c>
      <c r="AC1914" s="1117">
        <v>3.0</v>
      </c>
      <c r="AD1914" s="1115"/>
      <c r="AE1914" s="1115"/>
      <c r="AF1914" s="1115"/>
      <c r="AG1914" s="1115"/>
      <c r="AH1914" s="1115"/>
      <c r="AI1914" s="1115"/>
      <c r="AJ1914" s="1117"/>
      <c r="AK1914" s="1118"/>
      <c r="AL1914" s="1115"/>
      <c r="AM1914" s="1115"/>
      <c r="AN1914" s="1115"/>
      <c r="AO1914" s="1115"/>
      <c r="AP1914" s="1115"/>
      <c r="AQ1914" s="1115"/>
      <c r="AR1914" s="1115"/>
      <c r="AS1914" s="1117"/>
      <c r="AT1914" s="1196" t="str">
        <f t="shared" si="428"/>
        <v>1-10</v>
      </c>
      <c r="AU1914" s="1193"/>
      <c r="AV1914" s="330">
        <f>SQRT(($R1914-Infrastructure!J$3)^2+($S1914-Infrastructure!K$3)^2)</f>
        <v>32.68103426</v>
      </c>
      <c r="AW1914" s="331">
        <f>SQRT(($R1914-Infrastructure!J$4)^2+($S1914-Infrastructure!K$4)^2)</f>
        <v>26.76153957</v>
      </c>
      <c r="AX1914" s="331">
        <f>SQRT(($R1914-Infrastructure!J$5)^2+($S1914-Infrastructure!K$5)^2)</f>
        <v>24.81632527</v>
      </c>
      <c r="AY1914" s="331">
        <f>SQRT(($R1914-Infrastructure!J$6)^2+($S1914-Infrastructure!K$6)^2)</f>
        <v>16.01030918</v>
      </c>
      <c r="AZ1914" s="331">
        <f>SQRT(($R1914-Infrastructure!J$7)^2+($S1914-Infrastructure!K$7)^2)</f>
        <v>8.188406438</v>
      </c>
      <c r="BA1914" s="331">
        <f>SQRT(($R1914-Infrastructure!J$8)^2+($S1914-Infrastructure!K$8)^2)</f>
        <v>9.183136719</v>
      </c>
      <c r="BB1914" s="331">
        <f>SQRT(($R1914-Infrastructure!J$9)^2+($S1914-Infrastructure!K$9)^2)</f>
        <v>15.78353573</v>
      </c>
      <c r="BC1914" s="331">
        <f>SQRT(($R1914-Infrastructure!J$10)^2+($S1914-Infrastructure!K$10)^2)</f>
        <v>17.30924608</v>
      </c>
      <c r="BD1914" s="331">
        <f>SQRT(($R1914-Infrastructure!J$11)^2+($S1914-Infrastructure!K$11)^2)</f>
        <v>26.68126684</v>
      </c>
      <c r="BE1914" s="333">
        <f>SQRT(($R1914-Infrastructure!J$12)^2+($S1914-Infrastructure!K$12)^2)</f>
        <v>48.08752437</v>
      </c>
      <c r="BF1914" s="330">
        <f t="shared" si="161"/>
        <v>8.188406438</v>
      </c>
      <c r="BG1914" s="333">
        <f t="shared" si="162"/>
        <v>48.08752437</v>
      </c>
      <c r="BH1914" s="1119"/>
      <c r="BI1914" s="319" t="str">
        <f t="shared" ref="BI1914:BR1914" si="679">IF(ISNUMBER(FIND(BI$3, $CO1914)), "Y", "")</f>
        <v>Y</v>
      </c>
      <c r="BJ1914" s="319" t="str">
        <f t="shared" si="679"/>
        <v>Y</v>
      </c>
      <c r="BK1914" s="319" t="str">
        <f t="shared" si="679"/>
        <v>Y</v>
      </c>
      <c r="BL1914" s="319" t="str">
        <f t="shared" si="679"/>
        <v/>
      </c>
      <c r="BM1914" s="319" t="str">
        <f t="shared" si="679"/>
        <v>Y</v>
      </c>
      <c r="BN1914" s="319" t="str">
        <f t="shared" si="679"/>
        <v>Y</v>
      </c>
      <c r="BO1914" s="319" t="str">
        <f t="shared" si="679"/>
        <v>Y</v>
      </c>
      <c r="BP1914" s="319" t="str">
        <f t="shared" si="679"/>
        <v/>
      </c>
      <c r="BQ1914" s="319" t="str">
        <f t="shared" si="679"/>
        <v/>
      </c>
      <c r="BR1914" s="319" t="str">
        <f t="shared" si="679"/>
        <v>Y</v>
      </c>
      <c r="BS1914" s="330">
        <f t="shared" si="185"/>
        <v>8.188406438</v>
      </c>
      <c r="BT1914" s="331">
        <f t="shared" si="170"/>
        <v>48.08752437</v>
      </c>
      <c r="BU1914" s="920">
        <v>0.651099537037037</v>
      </c>
      <c r="BV1914" s="903">
        <f t="shared" si="186"/>
        <v>0.0005787037037</v>
      </c>
      <c r="BW1914" s="908">
        <v>21.6</v>
      </c>
      <c r="BX1914" s="908">
        <v>20.9</v>
      </c>
      <c r="BY1914" s="331">
        <f t="shared" si="201"/>
        <v>13.68941197</v>
      </c>
      <c r="BZ1914" s="331"/>
      <c r="CA1914" s="462" t="str">
        <f t="shared" ref="CA1914:CJ1914" si="680">IF(ISNUMBER(FIND(BI$3, $CP1914)), "Y", "")</f>
        <v>Y</v>
      </c>
      <c r="CB1914" s="319" t="str">
        <f t="shared" si="680"/>
        <v>Y</v>
      </c>
      <c r="CC1914" s="319" t="str">
        <f t="shared" si="680"/>
        <v>Y</v>
      </c>
      <c r="CD1914" s="319" t="str">
        <f t="shared" si="680"/>
        <v>Y</v>
      </c>
      <c r="CE1914" s="319" t="str">
        <f t="shared" si="680"/>
        <v>Y</v>
      </c>
      <c r="CF1914" s="319" t="str">
        <f t="shared" si="680"/>
        <v>Y</v>
      </c>
      <c r="CG1914" s="319" t="str">
        <f t="shared" si="680"/>
        <v>Y</v>
      </c>
      <c r="CH1914" s="319" t="str">
        <f t="shared" si="680"/>
        <v/>
      </c>
      <c r="CI1914" s="319" t="str">
        <f t="shared" si="680"/>
        <v>Y</v>
      </c>
      <c r="CJ1914" s="319" t="str">
        <f t="shared" si="680"/>
        <v>Y</v>
      </c>
      <c r="CK1914" s="342">
        <f t="shared" si="182"/>
        <v>8.188406438</v>
      </c>
      <c r="CL1914" s="333">
        <f t="shared" si="183"/>
        <v>48.08752437</v>
      </c>
      <c r="CM1914" s="1079" t="s">
        <v>2790</v>
      </c>
      <c r="CN1914" s="1005" t="s">
        <v>2849</v>
      </c>
      <c r="CO1914" s="1005" t="s">
        <v>2859</v>
      </c>
      <c r="CP1914" s="1005" t="s">
        <v>2400</v>
      </c>
    </row>
    <row r="1915">
      <c r="A1915" s="266"/>
      <c r="B1915" s="1113" t="s">
        <v>1649</v>
      </c>
      <c r="C1915" s="1107">
        <v>45490.0</v>
      </c>
      <c r="D1915" s="103"/>
      <c r="E1915" s="1108">
        <v>52.0</v>
      </c>
      <c r="F1915" s="112" t="s">
        <v>2860</v>
      </c>
      <c r="G1915" s="1110">
        <v>0.6553819444444444</v>
      </c>
      <c r="H1915" s="1110">
        <v>0.6555555555555556</v>
      </c>
      <c r="I1915" s="1110"/>
      <c r="J1915" s="1111"/>
      <c r="K1915" s="1111">
        <v>0.6569444444444444</v>
      </c>
      <c r="L1915" s="1112">
        <v>0.001388888888888889</v>
      </c>
      <c r="M1915" s="1113" t="s">
        <v>166</v>
      </c>
      <c r="N1915" s="110" t="s">
        <v>187</v>
      </c>
      <c r="O1915" s="1115" t="s">
        <v>202</v>
      </c>
      <c r="P1915" s="1115" t="s">
        <v>256</v>
      </c>
      <c r="Q1915" s="1116"/>
      <c r="R1915" s="120">
        <v>24.4</v>
      </c>
      <c r="S1915" s="1113">
        <v>7.5</v>
      </c>
      <c r="T1915" s="110">
        <v>0.6</v>
      </c>
      <c r="U1915" s="1108">
        <v>1.0</v>
      </c>
      <c r="V1915" s="1108"/>
      <c r="W1915" s="1108"/>
      <c r="X1915" s="1108"/>
      <c r="Y1915" s="1108"/>
      <c r="Z1915" s="1114" t="s">
        <v>339</v>
      </c>
      <c r="AA1915" s="1114"/>
      <c r="AB1915" s="1114" t="s">
        <v>326</v>
      </c>
      <c r="AC1915" s="1117">
        <v>1.0</v>
      </c>
      <c r="AD1915" s="1115"/>
      <c r="AE1915" s="1115"/>
      <c r="AF1915" s="1115"/>
      <c r="AG1915" s="1115"/>
      <c r="AH1915" s="1115"/>
      <c r="AI1915" s="1115"/>
      <c r="AJ1915" s="1117"/>
      <c r="AK1915" s="1118"/>
      <c r="AL1915" s="1115"/>
      <c r="AM1915" s="1115"/>
      <c r="AN1915" s="1115"/>
      <c r="AO1915" s="1115"/>
      <c r="AP1915" s="1115"/>
      <c r="AQ1915" s="1115"/>
      <c r="AR1915" s="1115"/>
      <c r="AS1915" s="1117"/>
      <c r="AT1915" s="1196" t="str">
        <f t="shared" si="428"/>
        <v>1-10</v>
      </c>
      <c r="AU1915" s="1193"/>
      <c r="AV1915" s="330">
        <f>SQRT(($R1915-Infrastructure!J$3)^2+($S1915-Infrastructure!K$3)^2)</f>
        <v>32.68103426</v>
      </c>
      <c r="AW1915" s="331">
        <f>SQRT(($R1915-Infrastructure!J$4)^2+($S1915-Infrastructure!K$4)^2)</f>
        <v>26.76153957</v>
      </c>
      <c r="AX1915" s="331">
        <f>SQRT(($R1915-Infrastructure!J$5)^2+($S1915-Infrastructure!K$5)^2)</f>
        <v>24.81632527</v>
      </c>
      <c r="AY1915" s="331">
        <f>SQRT(($R1915-Infrastructure!J$6)^2+($S1915-Infrastructure!K$6)^2)</f>
        <v>16.01030918</v>
      </c>
      <c r="AZ1915" s="331">
        <f>SQRT(($R1915-Infrastructure!J$7)^2+($S1915-Infrastructure!K$7)^2)</f>
        <v>8.188406438</v>
      </c>
      <c r="BA1915" s="331">
        <f>SQRT(($R1915-Infrastructure!J$8)^2+($S1915-Infrastructure!K$8)^2)</f>
        <v>9.183136719</v>
      </c>
      <c r="BB1915" s="331">
        <f>SQRT(($R1915-Infrastructure!J$9)^2+($S1915-Infrastructure!K$9)^2)</f>
        <v>15.78353573</v>
      </c>
      <c r="BC1915" s="331">
        <f>SQRT(($R1915-Infrastructure!J$10)^2+($S1915-Infrastructure!K$10)^2)</f>
        <v>17.30924608</v>
      </c>
      <c r="BD1915" s="331">
        <f>SQRT(($R1915-Infrastructure!J$11)^2+($S1915-Infrastructure!K$11)^2)</f>
        <v>26.68126684</v>
      </c>
      <c r="BE1915" s="333">
        <f>SQRT(($R1915-Infrastructure!J$12)^2+($S1915-Infrastructure!K$12)^2)</f>
        <v>48.08752437</v>
      </c>
      <c r="BF1915" s="330">
        <f t="shared" si="161"/>
        <v>8.188406438</v>
      </c>
      <c r="BG1915" s="333">
        <f t="shared" si="162"/>
        <v>48.08752437</v>
      </c>
      <c r="BH1915" s="1119"/>
      <c r="BI1915" s="319" t="str">
        <f t="shared" ref="BI1915:BR1915" si="681">IF(ISNUMBER(FIND(BI$3, $CO1915)), "Y", "")</f>
        <v>Y</v>
      </c>
      <c r="BJ1915" s="319" t="str">
        <f t="shared" si="681"/>
        <v>Y</v>
      </c>
      <c r="BK1915" s="319" t="str">
        <f t="shared" si="681"/>
        <v>Y</v>
      </c>
      <c r="BL1915" s="319" t="str">
        <f t="shared" si="681"/>
        <v>Y</v>
      </c>
      <c r="BM1915" s="319" t="str">
        <f t="shared" si="681"/>
        <v>Y</v>
      </c>
      <c r="BN1915" s="319" t="str">
        <f t="shared" si="681"/>
        <v>Y</v>
      </c>
      <c r="BO1915" s="319" t="str">
        <f t="shared" si="681"/>
        <v>Y</v>
      </c>
      <c r="BP1915" s="319" t="str">
        <f t="shared" si="681"/>
        <v/>
      </c>
      <c r="BQ1915" s="319" t="str">
        <f t="shared" si="681"/>
        <v>Y</v>
      </c>
      <c r="BR1915" s="319" t="str">
        <f t="shared" si="681"/>
        <v/>
      </c>
      <c r="BS1915" s="330">
        <f t="shared" si="185"/>
        <v>8.188406438</v>
      </c>
      <c r="BT1915" s="331">
        <f t="shared" si="170"/>
        <v>32.68103426</v>
      </c>
      <c r="BU1915" s="920">
        <v>0.6560416666666666</v>
      </c>
      <c r="BV1915" s="903">
        <f t="shared" si="186"/>
        <v>0.0006597222222</v>
      </c>
      <c r="BW1915" s="908">
        <v>17.4</v>
      </c>
      <c r="BX1915" s="908">
        <v>16.9</v>
      </c>
      <c r="BY1915" s="331">
        <f t="shared" si="201"/>
        <v>11.72006826</v>
      </c>
      <c r="BZ1915" s="331"/>
      <c r="CA1915" s="462" t="str">
        <f t="shared" ref="CA1915:CJ1915" si="682">IF(ISNUMBER(FIND(BI$3, $CP1915)), "Y", "")</f>
        <v>Y</v>
      </c>
      <c r="CB1915" s="319" t="str">
        <f t="shared" si="682"/>
        <v>Y</v>
      </c>
      <c r="CC1915" s="319" t="str">
        <f t="shared" si="682"/>
        <v>Y</v>
      </c>
      <c r="CD1915" s="319" t="str">
        <f t="shared" si="682"/>
        <v>Y</v>
      </c>
      <c r="CE1915" s="319" t="str">
        <f t="shared" si="682"/>
        <v>Y</v>
      </c>
      <c r="CF1915" s="319" t="str">
        <f t="shared" si="682"/>
        <v>Y</v>
      </c>
      <c r="CG1915" s="319" t="str">
        <f t="shared" si="682"/>
        <v>Y</v>
      </c>
      <c r="CH1915" s="319" t="str">
        <f t="shared" si="682"/>
        <v/>
      </c>
      <c r="CI1915" s="319" t="str">
        <f t="shared" si="682"/>
        <v>Y</v>
      </c>
      <c r="CJ1915" s="319" t="str">
        <f t="shared" si="682"/>
        <v>Y</v>
      </c>
      <c r="CK1915" s="342">
        <f t="shared" si="182"/>
        <v>8.188406438</v>
      </c>
      <c r="CL1915" s="333">
        <f t="shared" si="183"/>
        <v>48.08752437</v>
      </c>
      <c r="CM1915" s="1079" t="s">
        <v>2861</v>
      </c>
      <c r="CN1915" s="1005" t="s">
        <v>2849</v>
      </c>
      <c r="CO1915" s="1005" t="s">
        <v>2572</v>
      </c>
      <c r="CP1915" s="1005" t="s">
        <v>2400</v>
      </c>
    </row>
    <row r="1916">
      <c r="A1916" s="266"/>
      <c r="B1916" s="1113" t="s">
        <v>1649</v>
      </c>
      <c r="C1916" s="1107">
        <v>45490.0</v>
      </c>
      <c r="D1916" s="103"/>
      <c r="E1916" s="1108">
        <v>53.0</v>
      </c>
      <c r="F1916" s="112" t="s">
        <v>2862</v>
      </c>
      <c r="G1916" s="1110">
        <v>0.6577546296296296</v>
      </c>
      <c r="H1916" s="1110">
        <v>0.6581597222222222</v>
      </c>
      <c r="I1916" s="1110"/>
      <c r="J1916" s="1111"/>
      <c r="K1916" s="1111">
        <v>0.6595486111111111</v>
      </c>
      <c r="L1916" s="1112">
        <v>0.001388888888888889</v>
      </c>
      <c r="M1916" s="1113" t="s">
        <v>166</v>
      </c>
      <c r="N1916" s="110" t="s">
        <v>187</v>
      </c>
      <c r="O1916" s="1115" t="s">
        <v>202</v>
      </c>
      <c r="P1916" s="1115" t="s">
        <v>256</v>
      </c>
      <c r="Q1916" s="1116"/>
      <c r="R1916" s="120">
        <v>24.4</v>
      </c>
      <c r="S1916" s="1113">
        <v>7.5</v>
      </c>
      <c r="T1916" s="110">
        <v>0.6</v>
      </c>
      <c r="U1916" s="1108">
        <v>0.5</v>
      </c>
      <c r="V1916" s="1108"/>
      <c r="W1916" s="1108"/>
      <c r="X1916" s="1108"/>
      <c r="Y1916" s="1108"/>
      <c r="Z1916" s="1114" t="s">
        <v>339</v>
      </c>
      <c r="AA1916" s="1114"/>
      <c r="AB1916" s="1114" t="s">
        <v>326</v>
      </c>
      <c r="AC1916" s="1117">
        <v>1.0</v>
      </c>
      <c r="AD1916" s="1115"/>
      <c r="AE1916" s="1115"/>
      <c r="AF1916" s="1115"/>
      <c r="AG1916" s="1115"/>
      <c r="AH1916" s="1115"/>
      <c r="AI1916" s="1115"/>
      <c r="AJ1916" s="1117"/>
      <c r="AK1916" s="1118"/>
      <c r="AL1916" s="1115"/>
      <c r="AM1916" s="1115"/>
      <c r="AN1916" s="1115"/>
      <c r="AO1916" s="1115"/>
      <c r="AP1916" s="1115"/>
      <c r="AQ1916" s="1115"/>
      <c r="AR1916" s="1115"/>
      <c r="AS1916" s="1117"/>
      <c r="AT1916" s="1196" t="str">
        <f t="shared" si="428"/>
        <v>0-1</v>
      </c>
      <c r="AU1916" s="1193"/>
      <c r="AV1916" s="330">
        <f>SQRT(($R1916-Infrastructure!J$3)^2+($S1916-Infrastructure!K$3)^2)</f>
        <v>32.68103426</v>
      </c>
      <c r="AW1916" s="331">
        <f>SQRT(($R1916-Infrastructure!J$4)^2+($S1916-Infrastructure!K$4)^2)</f>
        <v>26.76153957</v>
      </c>
      <c r="AX1916" s="331">
        <f>SQRT(($R1916-Infrastructure!J$5)^2+($S1916-Infrastructure!K$5)^2)</f>
        <v>24.81632527</v>
      </c>
      <c r="AY1916" s="331">
        <f>SQRT(($R1916-Infrastructure!J$6)^2+($S1916-Infrastructure!K$6)^2)</f>
        <v>16.01030918</v>
      </c>
      <c r="AZ1916" s="331">
        <f>SQRT(($R1916-Infrastructure!J$7)^2+($S1916-Infrastructure!K$7)^2)</f>
        <v>8.188406438</v>
      </c>
      <c r="BA1916" s="331">
        <f>SQRT(($R1916-Infrastructure!J$8)^2+($S1916-Infrastructure!K$8)^2)</f>
        <v>9.183136719</v>
      </c>
      <c r="BB1916" s="331">
        <f>SQRT(($R1916-Infrastructure!J$9)^2+($S1916-Infrastructure!K$9)^2)</f>
        <v>15.78353573</v>
      </c>
      <c r="BC1916" s="331">
        <f>SQRT(($R1916-Infrastructure!J$10)^2+($S1916-Infrastructure!K$10)^2)</f>
        <v>17.30924608</v>
      </c>
      <c r="BD1916" s="331">
        <f>SQRT(($R1916-Infrastructure!J$11)^2+($S1916-Infrastructure!K$11)^2)</f>
        <v>26.68126684</v>
      </c>
      <c r="BE1916" s="333">
        <f>SQRT(($R1916-Infrastructure!J$12)^2+($S1916-Infrastructure!K$12)^2)</f>
        <v>48.08752437</v>
      </c>
      <c r="BF1916" s="330">
        <f t="shared" si="161"/>
        <v>8.188406438</v>
      </c>
      <c r="BG1916" s="333">
        <f t="shared" si="162"/>
        <v>48.08752437</v>
      </c>
      <c r="BH1916" s="1119"/>
      <c r="BI1916" s="319" t="str">
        <f t="shared" ref="BI1916:BR1916" si="683">IF(ISNUMBER(FIND(BI$3, $CO1916)), "Y", "")</f>
        <v>Y</v>
      </c>
      <c r="BJ1916" s="319" t="str">
        <f t="shared" si="683"/>
        <v/>
      </c>
      <c r="BK1916" s="319" t="str">
        <f t="shared" si="683"/>
        <v>Y</v>
      </c>
      <c r="BL1916" s="319" t="str">
        <f t="shared" si="683"/>
        <v/>
      </c>
      <c r="BM1916" s="319" t="str">
        <f t="shared" si="683"/>
        <v>Y</v>
      </c>
      <c r="BN1916" s="319" t="str">
        <f t="shared" si="683"/>
        <v>Y</v>
      </c>
      <c r="BO1916" s="319" t="str">
        <f t="shared" si="683"/>
        <v>Y</v>
      </c>
      <c r="BP1916" s="319" t="str">
        <f t="shared" si="683"/>
        <v/>
      </c>
      <c r="BQ1916" s="319" t="str">
        <f t="shared" si="683"/>
        <v>Y</v>
      </c>
      <c r="BR1916" s="319" t="str">
        <f t="shared" si="683"/>
        <v/>
      </c>
      <c r="BS1916" s="330">
        <f t="shared" si="185"/>
        <v>8.188406438</v>
      </c>
      <c r="BT1916" s="331">
        <f t="shared" si="170"/>
        <v>32.68103426</v>
      </c>
      <c r="BU1916" s="920">
        <v>0.6583912037037037</v>
      </c>
      <c r="BV1916" s="903">
        <f t="shared" si="186"/>
        <v>0.0006365740741</v>
      </c>
      <c r="BW1916" s="908">
        <v>18.9</v>
      </c>
      <c r="BX1916" s="908">
        <v>18.7</v>
      </c>
      <c r="BY1916" s="331">
        <f t="shared" si="201"/>
        <v>12.47757989</v>
      </c>
      <c r="BZ1916" s="331"/>
      <c r="CA1916" s="462" t="str">
        <f t="shared" ref="CA1916:CJ1916" si="684">IF(ISNUMBER(FIND(BI$3, $CP1916)), "Y", "")</f>
        <v>Y</v>
      </c>
      <c r="CB1916" s="319" t="str">
        <f t="shared" si="684"/>
        <v>Y</v>
      </c>
      <c r="CC1916" s="319" t="str">
        <f t="shared" si="684"/>
        <v>Y</v>
      </c>
      <c r="CD1916" s="319" t="str">
        <f t="shared" si="684"/>
        <v>Y</v>
      </c>
      <c r="CE1916" s="319" t="str">
        <f t="shared" si="684"/>
        <v>Y</v>
      </c>
      <c r="CF1916" s="319" t="str">
        <f t="shared" si="684"/>
        <v>Y</v>
      </c>
      <c r="CG1916" s="319" t="str">
        <f t="shared" si="684"/>
        <v>Y</v>
      </c>
      <c r="CH1916" s="319" t="str">
        <f t="shared" si="684"/>
        <v/>
      </c>
      <c r="CI1916" s="319" t="str">
        <f t="shared" si="684"/>
        <v>Y</v>
      </c>
      <c r="CJ1916" s="319" t="str">
        <f t="shared" si="684"/>
        <v>Y</v>
      </c>
      <c r="CK1916" s="342">
        <f t="shared" si="182"/>
        <v>8.188406438</v>
      </c>
      <c r="CL1916" s="333">
        <f t="shared" si="183"/>
        <v>48.08752437</v>
      </c>
      <c r="CM1916" s="1079" t="s">
        <v>2863</v>
      </c>
      <c r="CN1916" s="1005" t="s">
        <v>2849</v>
      </c>
      <c r="CO1916" s="1005" t="s">
        <v>2864</v>
      </c>
      <c r="CP1916" s="1005" t="s">
        <v>2400</v>
      </c>
    </row>
    <row r="1917">
      <c r="A1917" s="266"/>
      <c r="B1917" s="1113" t="s">
        <v>1649</v>
      </c>
      <c r="C1917" s="1107">
        <v>45490.0</v>
      </c>
      <c r="D1917" s="103"/>
      <c r="E1917" s="1108">
        <v>54.0</v>
      </c>
      <c r="F1917" s="112" t="s">
        <v>2865</v>
      </c>
      <c r="G1917" s="1110">
        <v>0.674537037037037</v>
      </c>
      <c r="H1917" s="1110">
        <v>0.675</v>
      </c>
      <c r="I1917" s="1110"/>
      <c r="J1917" s="1111"/>
      <c r="K1917" s="1111">
        <v>0.6763888888888889</v>
      </c>
      <c r="L1917" s="1112">
        <v>0.001388888888888889</v>
      </c>
      <c r="M1917" s="1113" t="s">
        <v>166</v>
      </c>
      <c r="N1917" s="110" t="s">
        <v>187</v>
      </c>
      <c r="O1917" s="1115" t="s">
        <v>206</v>
      </c>
      <c r="P1917" s="1115" t="s">
        <v>218</v>
      </c>
      <c r="Q1917" s="1116"/>
      <c r="R1917" s="120">
        <v>21.5</v>
      </c>
      <c r="S1917" s="1113">
        <v>8.7</v>
      </c>
      <c r="T1917" s="110">
        <v>2.4</v>
      </c>
      <c r="U1917" s="1108">
        <v>6.5</v>
      </c>
      <c r="V1917" s="1108"/>
      <c r="W1917" s="1108"/>
      <c r="X1917" s="1108"/>
      <c r="Y1917" s="1108"/>
      <c r="Z1917" s="1114" t="s">
        <v>347</v>
      </c>
      <c r="AA1917" s="1114"/>
      <c r="AB1917" s="1114" t="s">
        <v>384</v>
      </c>
      <c r="AC1917" s="1117">
        <v>6.0</v>
      </c>
      <c r="AD1917" s="1115"/>
      <c r="AE1917" s="1115"/>
      <c r="AF1917" s="1115"/>
      <c r="AG1917" s="1115"/>
      <c r="AH1917" s="1115"/>
      <c r="AI1917" s="1115"/>
      <c r="AJ1917" s="1117"/>
      <c r="AK1917" s="1118"/>
      <c r="AL1917" s="1115"/>
      <c r="AM1917" s="1115"/>
      <c r="AN1917" s="1115"/>
      <c r="AO1917" s="1115"/>
      <c r="AP1917" s="1115"/>
      <c r="AQ1917" s="1115"/>
      <c r="AR1917" s="1115"/>
      <c r="AS1917" s="1117"/>
      <c r="AT1917" s="1196" t="str">
        <f t="shared" si="428"/>
        <v>1-10</v>
      </c>
      <c r="AU1917" s="1193"/>
      <c r="AV1917" s="330">
        <f>SQRT(($R1917-Infrastructure!J$3)^2+($S1917-Infrastructure!K$3)^2)</f>
        <v>29.72002692</v>
      </c>
      <c r="AW1917" s="331">
        <f>SQRT(($R1917-Infrastructure!J$4)^2+($S1917-Infrastructure!K$4)^2)</f>
        <v>23.62308193</v>
      </c>
      <c r="AX1917" s="331">
        <f>SQRT(($R1917-Infrastructure!J$5)^2+($S1917-Infrastructure!K$5)^2)</f>
        <v>22.09524836</v>
      </c>
      <c r="AY1917" s="331">
        <f>SQRT(($R1917-Infrastructure!J$6)^2+($S1917-Infrastructure!K$6)^2)</f>
        <v>14.16050847</v>
      </c>
      <c r="AZ1917" s="331">
        <f>SQRT(($R1917-Infrastructure!J$7)^2+($S1917-Infrastructure!K$7)^2)</f>
        <v>8.459314393</v>
      </c>
      <c r="BA1917" s="331">
        <f>SQRT(($R1917-Infrastructure!J$8)^2+($S1917-Infrastructure!K$8)^2)</f>
        <v>12.02164714</v>
      </c>
      <c r="BB1917" s="331">
        <f>SQRT(($R1917-Infrastructure!J$9)^2+($S1917-Infrastructure!K$9)^2)</f>
        <v>18.84701568</v>
      </c>
      <c r="BC1917" s="331">
        <f>SQRT(($R1917-Infrastructure!J$10)^2+($S1917-Infrastructure!K$10)^2)</f>
        <v>19.54328529</v>
      </c>
      <c r="BD1917" s="331">
        <f>SQRT(($R1917-Infrastructure!J$11)^2+($S1917-Infrastructure!K$11)^2)</f>
        <v>27.60036232</v>
      </c>
      <c r="BE1917" s="333">
        <f>SQRT(($R1917-Infrastructure!J$12)^2+($S1917-Infrastructure!K$12)^2)</f>
        <v>46.8</v>
      </c>
      <c r="BF1917" s="330">
        <f t="shared" si="161"/>
        <v>8.459314393</v>
      </c>
      <c r="BG1917" s="333">
        <f t="shared" si="162"/>
        <v>46.8</v>
      </c>
      <c r="BH1917" s="1119"/>
      <c r="BI1917" s="319" t="str">
        <f t="shared" ref="BI1917:BR1917" si="685">IF(ISNUMBER(FIND(BI$3, $CO1917)), "Y", "")</f>
        <v>Y</v>
      </c>
      <c r="BJ1917" s="319" t="str">
        <f t="shared" si="685"/>
        <v>Y</v>
      </c>
      <c r="BK1917" s="319" t="str">
        <f t="shared" si="685"/>
        <v>Y</v>
      </c>
      <c r="BL1917" s="319" t="str">
        <f t="shared" si="685"/>
        <v/>
      </c>
      <c r="BM1917" s="319" t="str">
        <f t="shared" si="685"/>
        <v>Y</v>
      </c>
      <c r="BN1917" s="319" t="str">
        <f t="shared" si="685"/>
        <v>Y</v>
      </c>
      <c r="BO1917" s="319" t="str">
        <f t="shared" si="685"/>
        <v>Y</v>
      </c>
      <c r="BP1917" s="319" t="str">
        <f t="shared" si="685"/>
        <v/>
      </c>
      <c r="BQ1917" s="319" t="str">
        <f t="shared" si="685"/>
        <v>Y</v>
      </c>
      <c r="BR1917" s="319" t="str">
        <f t="shared" si="685"/>
        <v>Y</v>
      </c>
      <c r="BS1917" s="330">
        <f t="shared" si="185"/>
        <v>8.459314393</v>
      </c>
      <c r="BT1917" s="331">
        <f t="shared" si="170"/>
        <v>46.8</v>
      </c>
      <c r="BU1917" s="920">
        <v>0.6751388888888888</v>
      </c>
      <c r="BV1917" s="903">
        <f t="shared" si="186"/>
        <v>0.0006018518519</v>
      </c>
      <c r="BW1917" s="908">
        <v>3.1</v>
      </c>
      <c r="BX1917" s="908">
        <v>26.2</v>
      </c>
      <c r="BY1917" s="331">
        <f t="shared" si="201"/>
        <v>25.3931093</v>
      </c>
      <c r="BZ1917" s="331"/>
      <c r="CA1917" s="462" t="str">
        <f t="shared" ref="CA1917:CJ1917" si="686">IF(ISNUMBER(FIND(BI$3, $CP1917)), "Y", "")</f>
        <v>Y</v>
      </c>
      <c r="CB1917" s="319" t="str">
        <f t="shared" si="686"/>
        <v>Y</v>
      </c>
      <c r="CC1917" s="319" t="str">
        <f t="shared" si="686"/>
        <v>Y</v>
      </c>
      <c r="CD1917" s="319" t="str">
        <f t="shared" si="686"/>
        <v>Y</v>
      </c>
      <c r="CE1917" s="319" t="str">
        <f t="shared" si="686"/>
        <v>Y</v>
      </c>
      <c r="CF1917" s="319" t="str">
        <f t="shared" si="686"/>
        <v>Y</v>
      </c>
      <c r="CG1917" s="319" t="str">
        <f t="shared" si="686"/>
        <v>Y</v>
      </c>
      <c r="CH1917" s="319" t="str">
        <f t="shared" si="686"/>
        <v/>
      </c>
      <c r="CI1917" s="319" t="str">
        <f t="shared" si="686"/>
        <v>Y</v>
      </c>
      <c r="CJ1917" s="319" t="str">
        <f t="shared" si="686"/>
        <v>Y</v>
      </c>
      <c r="CK1917" s="342">
        <f t="shared" si="182"/>
        <v>8.459314393</v>
      </c>
      <c r="CL1917" s="333">
        <f t="shared" si="183"/>
        <v>46.8</v>
      </c>
      <c r="CM1917" s="1079" t="s">
        <v>2866</v>
      </c>
      <c r="CN1917" s="1005" t="s">
        <v>2849</v>
      </c>
      <c r="CO1917" s="1005" t="s">
        <v>2700</v>
      </c>
      <c r="CP1917" s="1005" t="s">
        <v>2400</v>
      </c>
    </row>
    <row r="1918">
      <c r="A1918" s="266"/>
      <c r="B1918" s="1113" t="s">
        <v>1649</v>
      </c>
      <c r="C1918" s="1107">
        <v>45490.0</v>
      </c>
      <c r="D1918" s="103"/>
      <c r="E1918" s="1108">
        <v>55.0</v>
      </c>
      <c r="F1918" s="112" t="s">
        <v>2867</v>
      </c>
      <c r="G1918" s="1110">
        <v>0.6772569444444444</v>
      </c>
      <c r="H1918" s="1110">
        <v>0.6774305555555555</v>
      </c>
      <c r="I1918" s="1110"/>
      <c r="J1918" s="1111"/>
      <c r="K1918" s="1111">
        <v>0.6788194444444444</v>
      </c>
      <c r="L1918" s="1112">
        <v>0.001388888888888889</v>
      </c>
      <c r="M1918" s="1113" t="s">
        <v>166</v>
      </c>
      <c r="N1918" s="110" t="s">
        <v>187</v>
      </c>
      <c r="O1918" s="1115" t="s">
        <v>206</v>
      </c>
      <c r="P1918" s="1115" t="s">
        <v>218</v>
      </c>
      <c r="Q1918" s="1116"/>
      <c r="R1918" s="120">
        <v>21.5</v>
      </c>
      <c r="S1918" s="1113">
        <v>8.7</v>
      </c>
      <c r="T1918" s="110">
        <v>2.4</v>
      </c>
      <c r="U1918" s="1108">
        <v>5.0</v>
      </c>
      <c r="V1918" s="1108"/>
      <c r="W1918" s="1108"/>
      <c r="X1918" s="1108"/>
      <c r="Y1918" s="1108"/>
      <c r="Z1918" s="1114" t="s">
        <v>347</v>
      </c>
      <c r="AA1918" s="1114"/>
      <c r="AB1918" s="1114" t="s">
        <v>384</v>
      </c>
      <c r="AC1918" s="1117">
        <v>6.0</v>
      </c>
      <c r="AD1918" s="1115"/>
      <c r="AE1918" s="1115"/>
      <c r="AF1918" s="1115"/>
      <c r="AG1918" s="1115"/>
      <c r="AH1918" s="1115"/>
      <c r="AI1918" s="1115"/>
      <c r="AJ1918" s="1117"/>
      <c r="AK1918" s="1118"/>
      <c r="AL1918" s="1115"/>
      <c r="AM1918" s="1115"/>
      <c r="AN1918" s="1115"/>
      <c r="AO1918" s="1115"/>
      <c r="AP1918" s="1115"/>
      <c r="AQ1918" s="1115"/>
      <c r="AR1918" s="1115"/>
      <c r="AS1918" s="1117"/>
      <c r="AT1918" s="1196" t="str">
        <f t="shared" si="428"/>
        <v>1-10</v>
      </c>
      <c r="AU1918" s="1193"/>
      <c r="AV1918" s="330">
        <f>SQRT(($R1918-Infrastructure!J$3)^2+($S1918-Infrastructure!K$3)^2)</f>
        <v>29.72002692</v>
      </c>
      <c r="AW1918" s="331">
        <f>SQRT(($R1918-Infrastructure!J$4)^2+($S1918-Infrastructure!K$4)^2)</f>
        <v>23.62308193</v>
      </c>
      <c r="AX1918" s="331">
        <f>SQRT(($R1918-Infrastructure!J$5)^2+($S1918-Infrastructure!K$5)^2)</f>
        <v>22.09524836</v>
      </c>
      <c r="AY1918" s="331">
        <f>SQRT(($R1918-Infrastructure!J$6)^2+($S1918-Infrastructure!K$6)^2)</f>
        <v>14.16050847</v>
      </c>
      <c r="AZ1918" s="331">
        <f>SQRT(($R1918-Infrastructure!J$7)^2+($S1918-Infrastructure!K$7)^2)</f>
        <v>8.459314393</v>
      </c>
      <c r="BA1918" s="331">
        <f>SQRT(($R1918-Infrastructure!J$8)^2+($S1918-Infrastructure!K$8)^2)</f>
        <v>12.02164714</v>
      </c>
      <c r="BB1918" s="331">
        <f>SQRT(($R1918-Infrastructure!J$9)^2+($S1918-Infrastructure!K$9)^2)</f>
        <v>18.84701568</v>
      </c>
      <c r="BC1918" s="331">
        <f>SQRT(($R1918-Infrastructure!J$10)^2+($S1918-Infrastructure!K$10)^2)</f>
        <v>19.54328529</v>
      </c>
      <c r="BD1918" s="331">
        <f>SQRT(($R1918-Infrastructure!J$11)^2+($S1918-Infrastructure!K$11)^2)</f>
        <v>27.60036232</v>
      </c>
      <c r="BE1918" s="333">
        <f>SQRT(($R1918-Infrastructure!J$12)^2+($S1918-Infrastructure!K$12)^2)</f>
        <v>46.8</v>
      </c>
      <c r="BF1918" s="330">
        <f t="shared" si="161"/>
        <v>8.459314393</v>
      </c>
      <c r="BG1918" s="333">
        <f t="shared" si="162"/>
        <v>46.8</v>
      </c>
      <c r="BH1918" s="1119"/>
      <c r="BI1918" s="319" t="str">
        <f t="shared" ref="BI1918:BR1918" si="687">IF(ISNUMBER(FIND(BI$3, $CO1918)), "Y", "")</f>
        <v>Y</v>
      </c>
      <c r="BJ1918" s="319" t="str">
        <f t="shared" si="687"/>
        <v>Y</v>
      </c>
      <c r="BK1918" s="319" t="str">
        <f t="shared" si="687"/>
        <v>Y</v>
      </c>
      <c r="BL1918" s="319" t="str">
        <f t="shared" si="687"/>
        <v/>
      </c>
      <c r="BM1918" s="319" t="str">
        <f t="shared" si="687"/>
        <v>Y</v>
      </c>
      <c r="BN1918" s="319" t="str">
        <f t="shared" si="687"/>
        <v>Y</v>
      </c>
      <c r="BO1918" s="319" t="str">
        <f t="shared" si="687"/>
        <v>Y</v>
      </c>
      <c r="BP1918" s="319" t="str">
        <f t="shared" si="687"/>
        <v/>
      </c>
      <c r="BQ1918" s="319" t="str">
        <f t="shared" si="687"/>
        <v>Y</v>
      </c>
      <c r="BR1918" s="319" t="str">
        <f t="shared" si="687"/>
        <v>Y</v>
      </c>
      <c r="BS1918" s="330">
        <f t="shared" si="185"/>
        <v>8.459314393</v>
      </c>
      <c r="BT1918" s="331">
        <f t="shared" si="170"/>
        <v>46.8</v>
      </c>
      <c r="BU1918" s="920">
        <v>0.6779166666666666</v>
      </c>
      <c r="BV1918" s="903">
        <f t="shared" si="186"/>
        <v>0.0006597222222</v>
      </c>
      <c r="BW1918" s="908">
        <v>4.3</v>
      </c>
      <c r="BX1918" s="908">
        <v>25.1</v>
      </c>
      <c r="BY1918" s="331">
        <f t="shared" si="201"/>
        <v>23.76552124</v>
      </c>
      <c r="BZ1918" s="331"/>
      <c r="CA1918" s="462" t="str">
        <f t="shared" ref="CA1918:CJ1918" si="688">IF(ISNUMBER(FIND(BI$3, $CP1918)), "Y", "")</f>
        <v>Y</v>
      </c>
      <c r="CB1918" s="319" t="str">
        <f t="shared" si="688"/>
        <v>Y</v>
      </c>
      <c r="CC1918" s="319" t="str">
        <f t="shared" si="688"/>
        <v>Y</v>
      </c>
      <c r="CD1918" s="319" t="str">
        <f t="shared" si="688"/>
        <v>Y</v>
      </c>
      <c r="CE1918" s="319" t="str">
        <f t="shared" si="688"/>
        <v>Y</v>
      </c>
      <c r="CF1918" s="319" t="str">
        <f t="shared" si="688"/>
        <v>Y</v>
      </c>
      <c r="CG1918" s="319" t="str">
        <f t="shared" si="688"/>
        <v>Y</v>
      </c>
      <c r="CH1918" s="319" t="str">
        <f t="shared" si="688"/>
        <v/>
      </c>
      <c r="CI1918" s="319" t="str">
        <f t="shared" si="688"/>
        <v>Y</v>
      </c>
      <c r="CJ1918" s="319" t="str">
        <f t="shared" si="688"/>
        <v>Y</v>
      </c>
      <c r="CK1918" s="342">
        <f t="shared" si="182"/>
        <v>8.459314393</v>
      </c>
      <c r="CL1918" s="333">
        <f t="shared" si="183"/>
        <v>46.8</v>
      </c>
      <c r="CM1918" s="1079" t="s">
        <v>2868</v>
      </c>
      <c r="CN1918" s="1005" t="s">
        <v>2849</v>
      </c>
      <c r="CO1918" s="1005" t="s">
        <v>2700</v>
      </c>
      <c r="CP1918" s="1005" t="s">
        <v>2400</v>
      </c>
    </row>
    <row r="1919">
      <c r="A1919" s="266"/>
      <c r="B1919" s="1113" t="s">
        <v>1649</v>
      </c>
      <c r="C1919" s="1107">
        <v>45490.0</v>
      </c>
      <c r="D1919" s="103"/>
      <c r="E1919" s="1108">
        <v>56.0</v>
      </c>
      <c r="F1919" s="112" t="s">
        <v>2869</v>
      </c>
      <c r="G1919" s="1110">
        <v>0.6821180555555556</v>
      </c>
      <c r="H1919" s="1110">
        <v>0.6828125</v>
      </c>
      <c r="I1919" s="1110"/>
      <c r="J1919" s="1111"/>
      <c r="K1919" s="1111">
        <v>0.6843171296296297</v>
      </c>
      <c r="L1919" s="1112">
        <v>0.0015046296296296296</v>
      </c>
      <c r="M1919" s="1113" t="s">
        <v>166</v>
      </c>
      <c r="N1919" s="110" t="s">
        <v>187</v>
      </c>
      <c r="O1919" s="1115" t="s">
        <v>199</v>
      </c>
      <c r="P1919" s="1115" t="s">
        <v>272</v>
      </c>
      <c r="Q1919" s="1116"/>
      <c r="R1919" s="120">
        <v>16.1</v>
      </c>
      <c r="S1919" s="1113">
        <v>9.6</v>
      </c>
      <c r="T1919" s="110">
        <v>0.0</v>
      </c>
      <c r="U1919" s="1108">
        <v>6.0</v>
      </c>
      <c r="V1919" s="1108"/>
      <c r="W1919" s="1108"/>
      <c r="X1919" s="1108"/>
      <c r="Y1919" s="1108"/>
      <c r="Z1919" s="1114" t="s">
        <v>351</v>
      </c>
      <c r="AA1919" s="1114"/>
      <c r="AB1919" s="1114" t="s">
        <v>380</v>
      </c>
      <c r="AC1919" s="1117">
        <v>4.0</v>
      </c>
      <c r="AD1919" s="1115"/>
      <c r="AE1919" s="1115"/>
      <c r="AF1919" s="1115"/>
      <c r="AG1919" s="1115"/>
      <c r="AH1919" s="1115"/>
      <c r="AI1919" s="1115"/>
      <c r="AJ1919" s="1117"/>
      <c r="AK1919" s="1118"/>
      <c r="AL1919" s="1115"/>
      <c r="AM1919" s="1115"/>
      <c r="AN1919" s="1115"/>
      <c r="AO1919" s="1115"/>
      <c r="AP1919" s="1115"/>
      <c r="AQ1919" s="1115"/>
      <c r="AR1919" s="1115"/>
      <c r="AS1919" s="1117"/>
      <c r="AT1919" s="1196" t="str">
        <f t="shared" si="428"/>
        <v>1-10</v>
      </c>
      <c r="AU1919" s="1193"/>
      <c r="AV1919" s="330">
        <f>SQRT(($R1919-Infrastructure!J$3)^2+($S1919-Infrastructure!K$3)^2)</f>
        <v>25.32686321</v>
      </c>
      <c r="AW1919" s="331">
        <f>SQRT(($R1919-Infrastructure!J$4)^2+($S1919-Infrastructure!K$4)^2)</f>
        <v>18.33575742</v>
      </c>
      <c r="AX1919" s="331">
        <f>SQRT(($R1919-Infrastructure!J$5)^2+($S1919-Infrastructure!K$5)^2)</f>
        <v>17.00617535</v>
      </c>
      <c r="AY1919" s="331">
        <f>SQRT(($R1919-Infrastructure!J$6)^2+($S1919-Infrastructure!K$6)^2)</f>
        <v>11.06752005</v>
      </c>
      <c r="AZ1919" s="331">
        <f>SQRT(($R1919-Infrastructure!J$7)^2+($S1919-Infrastructure!K$7)^2)</f>
        <v>10.28834292</v>
      </c>
      <c r="BA1919" s="331">
        <f>SQRT(($R1919-Infrastructure!J$8)^2+($S1919-Infrastructure!K$8)^2)</f>
        <v>16.80743883</v>
      </c>
      <c r="BB1919" s="331">
        <f>SQRT(($R1919-Infrastructure!J$9)^2+($S1919-Infrastructure!K$9)^2)</f>
        <v>24.31995066</v>
      </c>
      <c r="BC1919" s="331">
        <f>SQRT(($R1919-Infrastructure!J$10)^2+($S1919-Infrastructure!K$10)^2)</f>
        <v>24.50244886</v>
      </c>
      <c r="BD1919" s="331">
        <f>SQRT(($R1919-Infrastructure!J$11)^2+($S1919-Infrastructure!K$11)^2)</f>
        <v>30.93816413</v>
      </c>
      <c r="BE1919" s="333">
        <f>SQRT(($R1919-Infrastructure!J$12)^2+($S1919-Infrastructure!K$12)^2)</f>
        <v>46.21655548</v>
      </c>
      <c r="BF1919" s="330">
        <f t="shared" si="161"/>
        <v>10.28834292</v>
      </c>
      <c r="BG1919" s="333">
        <f t="shared" si="162"/>
        <v>46.21655548</v>
      </c>
      <c r="BH1919" s="1119"/>
      <c r="BI1919" s="319" t="str">
        <f t="shared" ref="BI1919:BR1919" si="689">IF(ISNUMBER(FIND(BI$3, $CO1919)), "Y", "")</f>
        <v>Y</v>
      </c>
      <c r="BJ1919" s="319" t="str">
        <f t="shared" si="689"/>
        <v/>
      </c>
      <c r="BK1919" s="319" t="str">
        <f t="shared" si="689"/>
        <v>Y</v>
      </c>
      <c r="BL1919" s="319" t="str">
        <f t="shared" si="689"/>
        <v>Y</v>
      </c>
      <c r="BM1919" s="319" t="str">
        <f t="shared" si="689"/>
        <v>Y</v>
      </c>
      <c r="BN1919" s="319" t="str">
        <f t="shared" si="689"/>
        <v>Y</v>
      </c>
      <c r="BO1919" s="319" t="str">
        <f t="shared" si="689"/>
        <v>Y</v>
      </c>
      <c r="BP1919" s="319" t="str">
        <f t="shared" si="689"/>
        <v/>
      </c>
      <c r="BQ1919" s="319" t="str">
        <f t="shared" si="689"/>
        <v>Y</v>
      </c>
      <c r="BR1919" s="319" t="str">
        <f t="shared" si="689"/>
        <v/>
      </c>
      <c r="BS1919" s="330">
        <f t="shared" si="185"/>
        <v>10.28834292</v>
      </c>
      <c r="BT1919" s="331">
        <f t="shared" si="170"/>
        <v>30.93816413</v>
      </c>
      <c r="BU1919" s="920">
        <v>0.6827430555555556</v>
      </c>
      <c r="BV1919" s="903">
        <f t="shared" si="186"/>
        <v>0.000625</v>
      </c>
      <c r="BW1919" s="908">
        <v>12.8</v>
      </c>
      <c r="BX1919" s="908">
        <v>19.0</v>
      </c>
      <c r="BY1919" s="331">
        <f t="shared" si="201"/>
        <v>9.962429423</v>
      </c>
      <c r="BZ1919" s="331"/>
      <c r="CA1919" s="462" t="str">
        <f t="shared" ref="CA1919:CJ1919" si="690">IF(ISNUMBER(FIND(BI$3, $CP1919)), "Y", "")</f>
        <v>Y</v>
      </c>
      <c r="CB1919" s="319" t="str">
        <f t="shared" si="690"/>
        <v>Y</v>
      </c>
      <c r="CC1919" s="319" t="str">
        <f t="shared" si="690"/>
        <v>Y</v>
      </c>
      <c r="CD1919" s="319" t="str">
        <f t="shared" si="690"/>
        <v>Y</v>
      </c>
      <c r="CE1919" s="319" t="str">
        <f t="shared" si="690"/>
        <v>Y</v>
      </c>
      <c r="CF1919" s="319" t="str">
        <f t="shared" si="690"/>
        <v>Y</v>
      </c>
      <c r="CG1919" s="319" t="str">
        <f t="shared" si="690"/>
        <v>Y</v>
      </c>
      <c r="CH1919" s="319" t="str">
        <f t="shared" si="690"/>
        <v/>
      </c>
      <c r="CI1919" s="319" t="str">
        <f t="shared" si="690"/>
        <v>Y</v>
      </c>
      <c r="CJ1919" s="319" t="str">
        <f t="shared" si="690"/>
        <v/>
      </c>
      <c r="CK1919" s="342">
        <f t="shared" si="182"/>
        <v>10.28834292</v>
      </c>
      <c r="CL1919" s="333">
        <f t="shared" si="183"/>
        <v>30.93816413</v>
      </c>
      <c r="CM1919" s="1079" t="s">
        <v>2870</v>
      </c>
      <c r="CN1919" s="1005" t="s">
        <v>2849</v>
      </c>
      <c r="CO1919" s="1005" t="s">
        <v>2568</v>
      </c>
      <c r="CP1919" s="1005" t="s">
        <v>2572</v>
      </c>
    </row>
    <row r="1920">
      <c r="A1920" s="266"/>
      <c r="B1920" s="1113" t="s">
        <v>1649</v>
      </c>
      <c r="C1920" s="1107">
        <v>45490.0</v>
      </c>
      <c r="D1920" s="103"/>
      <c r="E1920" s="1108">
        <v>57.0</v>
      </c>
      <c r="F1920" s="112" t="s">
        <v>2871</v>
      </c>
      <c r="G1920" s="1110">
        <v>0.6853587962962963</v>
      </c>
      <c r="H1920" s="1110">
        <v>0.6859375</v>
      </c>
      <c r="I1920" s="1110"/>
      <c r="J1920" s="1111"/>
      <c r="K1920" s="1111">
        <v>0.6873263888888889</v>
      </c>
      <c r="L1920" s="1112">
        <v>0.001388888888888889</v>
      </c>
      <c r="M1920" s="1113" t="s">
        <v>166</v>
      </c>
      <c r="N1920" s="110" t="s">
        <v>187</v>
      </c>
      <c r="O1920" s="1115" t="s">
        <v>199</v>
      </c>
      <c r="P1920" s="1115" t="s">
        <v>272</v>
      </c>
      <c r="Q1920" s="1116"/>
      <c r="R1920" s="120">
        <v>16.1</v>
      </c>
      <c r="S1920" s="1113">
        <v>9.6</v>
      </c>
      <c r="T1920" s="110">
        <v>0.0</v>
      </c>
      <c r="U1920" s="1108">
        <v>4.0</v>
      </c>
      <c r="V1920" s="1108"/>
      <c r="W1920" s="1108"/>
      <c r="X1920" s="1108"/>
      <c r="Y1920" s="1108"/>
      <c r="Z1920" s="1114" t="s">
        <v>351</v>
      </c>
      <c r="AA1920" s="1114"/>
      <c r="AB1920" s="1114" t="s">
        <v>380</v>
      </c>
      <c r="AC1920" s="1117">
        <v>4.0</v>
      </c>
      <c r="AD1920" s="1115"/>
      <c r="AE1920" s="1115"/>
      <c r="AF1920" s="1115"/>
      <c r="AG1920" s="1115"/>
      <c r="AH1920" s="1115"/>
      <c r="AI1920" s="1115"/>
      <c r="AJ1920" s="1117"/>
      <c r="AK1920" s="1118"/>
      <c r="AL1920" s="1115"/>
      <c r="AM1920" s="1115"/>
      <c r="AN1920" s="1115"/>
      <c r="AO1920" s="1115"/>
      <c r="AP1920" s="1115"/>
      <c r="AQ1920" s="1115"/>
      <c r="AR1920" s="1115"/>
      <c r="AS1920" s="1117"/>
      <c r="AT1920" s="1196" t="str">
        <f t="shared" si="428"/>
        <v>1-10</v>
      </c>
      <c r="AU1920" s="1193"/>
      <c r="AV1920" s="330">
        <f>SQRT(($R1920-Infrastructure!J$3)^2+($S1920-Infrastructure!K$3)^2)</f>
        <v>25.32686321</v>
      </c>
      <c r="AW1920" s="331">
        <f>SQRT(($R1920-Infrastructure!J$4)^2+($S1920-Infrastructure!K$4)^2)</f>
        <v>18.33575742</v>
      </c>
      <c r="AX1920" s="331">
        <f>SQRT(($R1920-Infrastructure!J$5)^2+($S1920-Infrastructure!K$5)^2)</f>
        <v>17.00617535</v>
      </c>
      <c r="AY1920" s="331">
        <f>SQRT(($R1920-Infrastructure!J$6)^2+($S1920-Infrastructure!K$6)^2)</f>
        <v>11.06752005</v>
      </c>
      <c r="AZ1920" s="331">
        <f>SQRT(($R1920-Infrastructure!J$7)^2+($S1920-Infrastructure!K$7)^2)</f>
        <v>10.28834292</v>
      </c>
      <c r="BA1920" s="331">
        <f>SQRT(($R1920-Infrastructure!J$8)^2+($S1920-Infrastructure!K$8)^2)</f>
        <v>16.80743883</v>
      </c>
      <c r="BB1920" s="331">
        <f>SQRT(($R1920-Infrastructure!J$9)^2+($S1920-Infrastructure!K$9)^2)</f>
        <v>24.31995066</v>
      </c>
      <c r="BC1920" s="331">
        <f>SQRT(($R1920-Infrastructure!J$10)^2+($S1920-Infrastructure!K$10)^2)</f>
        <v>24.50244886</v>
      </c>
      <c r="BD1920" s="331">
        <f>SQRT(($R1920-Infrastructure!J$11)^2+($S1920-Infrastructure!K$11)^2)</f>
        <v>30.93816413</v>
      </c>
      <c r="BE1920" s="333">
        <f>SQRT(($R1920-Infrastructure!J$12)^2+($S1920-Infrastructure!K$12)^2)</f>
        <v>46.21655548</v>
      </c>
      <c r="BF1920" s="330">
        <f t="shared" si="161"/>
        <v>10.28834292</v>
      </c>
      <c r="BG1920" s="333">
        <f t="shared" si="162"/>
        <v>46.21655548</v>
      </c>
      <c r="BH1920" s="1119"/>
      <c r="BI1920" s="319" t="str">
        <f t="shared" ref="BI1920:BR1920" si="691">IF(ISNUMBER(FIND(BI$3, $CO1920)), "Y", "")</f>
        <v/>
      </c>
      <c r="BJ1920" s="319" t="str">
        <f t="shared" si="691"/>
        <v/>
      </c>
      <c r="BK1920" s="319" t="str">
        <f t="shared" si="691"/>
        <v>Y</v>
      </c>
      <c r="BL1920" s="319" t="str">
        <f t="shared" si="691"/>
        <v>Y</v>
      </c>
      <c r="BM1920" s="319" t="str">
        <f t="shared" si="691"/>
        <v>Y</v>
      </c>
      <c r="BN1920" s="319" t="str">
        <f t="shared" si="691"/>
        <v>Y</v>
      </c>
      <c r="BO1920" s="319" t="str">
        <f t="shared" si="691"/>
        <v>Y</v>
      </c>
      <c r="BP1920" s="319" t="str">
        <f t="shared" si="691"/>
        <v/>
      </c>
      <c r="BQ1920" s="319" t="str">
        <f t="shared" si="691"/>
        <v/>
      </c>
      <c r="BR1920" s="319" t="str">
        <f t="shared" si="691"/>
        <v/>
      </c>
      <c r="BS1920" s="330">
        <f t="shared" si="185"/>
        <v>10.28834292</v>
      </c>
      <c r="BT1920" s="331">
        <f t="shared" si="170"/>
        <v>24.31995066</v>
      </c>
      <c r="BU1920" s="920">
        <v>0.6859490740740741</v>
      </c>
      <c r="BV1920" s="903">
        <f t="shared" si="186"/>
        <v>0.0005902777778</v>
      </c>
      <c r="BW1920" s="908">
        <v>14.3</v>
      </c>
      <c r="BX1920" s="908">
        <v>23.4</v>
      </c>
      <c r="BY1920" s="331">
        <f t="shared" si="201"/>
        <v>13.91689621</v>
      </c>
      <c r="BZ1920" s="331"/>
      <c r="CA1920" s="462" t="str">
        <f t="shared" ref="CA1920:CJ1920" si="692">IF(ISNUMBER(FIND(BI$3, $CP1920)), "Y", "")</f>
        <v>Y</v>
      </c>
      <c r="CB1920" s="319" t="str">
        <f t="shared" si="692"/>
        <v>Y</v>
      </c>
      <c r="CC1920" s="319" t="str">
        <f t="shared" si="692"/>
        <v>Y</v>
      </c>
      <c r="CD1920" s="319" t="str">
        <f t="shared" si="692"/>
        <v>Y</v>
      </c>
      <c r="CE1920" s="319" t="str">
        <f t="shared" si="692"/>
        <v>Y</v>
      </c>
      <c r="CF1920" s="319" t="str">
        <f t="shared" si="692"/>
        <v>Y</v>
      </c>
      <c r="CG1920" s="319" t="str">
        <f t="shared" si="692"/>
        <v>Y</v>
      </c>
      <c r="CH1920" s="319" t="str">
        <f t="shared" si="692"/>
        <v/>
      </c>
      <c r="CI1920" s="319" t="str">
        <f t="shared" si="692"/>
        <v/>
      </c>
      <c r="CJ1920" s="319" t="str">
        <f t="shared" si="692"/>
        <v/>
      </c>
      <c r="CK1920" s="342">
        <f t="shared" si="182"/>
        <v>10.28834292</v>
      </c>
      <c r="CL1920" s="333">
        <f t="shared" si="183"/>
        <v>25.32686321</v>
      </c>
      <c r="CM1920" s="1079" t="s">
        <v>2872</v>
      </c>
      <c r="CN1920" s="1005" t="s">
        <v>2849</v>
      </c>
      <c r="CO1920" s="1005" t="s">
        <v>2619</v>
      </c>
      <c r="CP1920" s="1005" t="s">
        <v>2689</v>
      </c>
    </row>
    <row r="1921">
      <c r="A1921" s="266"/>
      <c r="B1921" s="1113" t="s">
        <v>1649</v>
      </c>
      <c r="C1921" s="1107">
        <v>45490.0</v>
      </c>
      <c r="D1921" s="103"/>
      <c r="E1921" s="1108">
        <v>58.0</v>
      </c>
      <c r="F1921" s="112" t="s">
        <v>2873</v>
      </c>
      <c r="G1921" s="1110">
        <v>0.6899305555555556</v>
      </c>
      <c r="H1921" s="1110">
        <v>0.6909722222222222</v>
      </c>
      <c r="I1921" s="1110"/>
      <c r="J1921" s="1111"/>
      <c r="K1921" s="1111">
        <v>0.6925925925925925</v>
      </c>
      <c r="L1921" s="1112">
        <v>0.0016203703703703703</v>
      </c>
      <c r="M1921" s="1113" t="s">
        <v>166</v>
      </c>
      <c r="N1921" s="110" t="s">
        <v>187</v>
      </c>
      <c r="O1921" s="1115" t="s">
        <v>207</v>
      </c>
      <c r="P1921" s="1115" t="s">
        <v>221</v>
      </c>
      <c r="Q1921" s="1116"/>
      <c r="R1921" s="120">
        <v>26.1</v>
      </c>
      <c r="S1921" s="1113">
        <v>14.3</v>
      </c>
      <c r="T1921" s="110">
        <v>1.5</v>
      </c>
      <c r="U1921" s="1108">
        <v>4.0</v>
      </c>
      <c r="V1921" s="1108"/>
      <c r="W1921" s="1108"/>
      <c r="X1921" s="1108"/>
      <c r="Y1921" s="1108"/>
      <c r="Z1921" s="1114" t="s">
        <v>374</v>
      </c>
      <c r="AA1921" s="1114"/>
      <c r="AB1921" s="1114" t="s">
        <v>375</v>
      </c>
      <c r="AC1921" s="1117">
        <v>2.7</v>
      </c>
      <c r="AD1921" s="1115"/>
      <c r="AE1921" s="1115"/>
      <c r="AF1921" s="1115"/>
      <c r="AG1921" s="1115"/>
      <c r="AH1921" s="1115"/>
      <c r="AI1921" s="1115"/>
      <c r="AJ1921" s="1117"/>
      <c r="AK1921" s="1118"/>
      <c r="AL1921" s="1115"/>
      <c r="AM1921" s="1115"/>
      <c r="AN1921" s="1115"/>
      <c r="AO1921" s="1115"/>
      <c r="AP1921" s="1115"/>
      <c r="AQ1921" s="1115"/>
      <c r="AR1921" s="1115"/>
      <c r="AS1921" s="1117"/>
      <c r="AT1921" s="1196" t="str">
        <f t="shared" si="428"/>
        <v>1-10</v>
      </c>
      <c r="AU1921" s="1193"/>
      <c r="AV1921" s="330">
        <f>SQRT(($R1921-Infrastructure!J$3)^2+($S1921-Infrastructure!K$3)^2)</f>
        <v>30.16819517</v>
      </c>
      <c r="AW1921" s="331">
        <f>SQRT(($R1921-Infrastructure!J$4)^2+($S1921-Infrastructure!K$4)^2)</f>
        <v>26.63099698</v>
      </c>
      <c r="AX1921" s="331">
        <f>SQRT(($R1921-Infrastructure!J$5)^2+($S1921-Infrastructure!K$5)^2)</f>
        <v>27.95711001</v>
      </c>
      <c r="AY1921" s="331">
        <f>SQRT(($R1921-Infrastructure!J$6)^2+($S1921-Infrastructure!K$6)^2)</f>
        <v>21.26029163</v>
      </c>
      <c r="AZ1921" s="331">
        <f>SQRT(($R1921-Infrastructure!J$7)^2+($S1921-Infrastructure!K$7)^2)</f>
        <v>15.07846146</v>
      </c>
      <c r="BA1921" s="331">
        <f>SQRT(($R1921-Infrastructure!J$8)^2+($S1921-Infrastructure!K$8)^2)</f>
        <v>14.56021978</v>
      </c>
      <c r="BB1921" s="331">
        <f>SQRT(($R1921-Infrastructure!J$9)^2+($S1921-Infrastructure!K$9)^2)</f>
        <v>16.66883319</v>
      </c>
      <c r="BC1921" s="331">
        <f>SQRT(($R1921-Infrastructure!J$10)^2+($S1921-Infrastructure!K$10)^2)</f>
        <v>13.91761474</v>
      </c>
      <c r="BD1921" s="331">
        <f>SQRT(($R1921-Infrastructure!J$11)^2+($S1921-Infrastructure!K$11)^2)</f>
        <v>20.36909424</v>
      </c>
      <c r="BE1921" s="333">
        <f>SQRT(($R1921-Infrastructure!J$12)^2+($S1921-Infrastructure!K$12)^2)</f>
        <v>41.45600077</v>
      </c>
      <c r="BF1921" s="330">
        <f t="shared" si="161"/>
        <v>13.91761474</v>
      </c>
      <c r="BG1921" s="333">
        <f t="shared" si="162"/>
        <v>41.45600077</v>
      </c>
      <c r="BH1921" s="1119"/>
      <c r="BI1921" s="319" t="str">
        <f t="shared" ref="BI1921:BR1921" si="693">IF(ISNUMBER(FIND(BI$3, $CO1921)), "Y", "")</f>
        <v>Y</v>
      </c>
      <c r="BJ1921" s="319" t="str">
        <f t="shared" si="693"/>
        <v>Y</v>
      </c>
      <c r="BK1921" s="319" t="str">
        <f t="shared" si="693"/>
        <v>Y</v>
      </c>
      <c r="BL1921" s="319" t="str">
        <f t="shared" si="693"/>
        <v>Y</v>
      </c>
      <c r="BM1921" s="319" t="str">
        <f t="shared" si="693"/>
        <v>Y</v>
      </c>
      <c r="BN1921" s="319" t="str">
        <f t="shared" si="693"/>
        <v>Y</v>
      </c>
      <c r="BO1921" s="319" t="str">
        <f t="shared" si="693"/>
        <v>Y</v>
      </c>
      <c r="BP1921" s="319" t="str">
        <f t="shared" si="693"/>
        <v/>
      </c>
      <c r="BQ1921" s="319" t="str">
        <f t="shared" si="693"/>
        <v>Y</v>
      </c>
      <c r="BR1921" s="319" t="str">
        <f t="shared" si="693"/>
        <v/>
      </c>
      <c r="BS1921" s="330">
        <f t="shared" si="185"/>
        <v>14.56021978</v>
      </c>
      <c r="BT1921" s="331">
        <f t="shared" si="170"/>
        <v>30.16819517</v>
      </c>
      <c r="BU1921" s="920">
        <v>0.6905787037037037</v>
      </c>
      <c r="BV1921" s="903">
        <f t="shared" si="186"/>
        <v>0.0006481481481</v>
      </c>
      <c r="BW1921" s="908">
        <v>17.1</v>
      </c>
      <c r="BX1921" s="908">
        <v>28.2</v>
      </c>
      <c r="BY1921" s="331">
        <f t="shared" si="201"/>
        <v>16.55928742</v>
      </c>
      <c r="BZ1921" s="331"/>
      <c r="CA1921" s="462" t="str">
        <f t="shared" ref="CA1921:CJ1921" si="694">IF(ISNUMBER(FIND(BI$3, $CP1921)), "Y", "")</f>
        <v>Y</v>
      </c>
      <c r="CB1921" s="319" t="str">
        <f t="shared" si="694"/>
        <v>Y</v>
      </c>
      <c r="CC1921" s="319" t="str">
        <f t="shared" si="694"/>
        <v>Y</v>
      </c>
      <c r="CD1921" s="319" t="str">
        <f t="shared" si="694"/>
        <v>Y</v>
      </c>
      <c r="CE1921" s="319" t="str">
        <f t="shared" si="694"/>
        <v>Y</v>
      </c>
      <c r="CF1921" s="319" t="str">
        <f t="shared" si="694"/>
        <v>Y</v>
      </c>
      <c r="CG1921" s="319" t="str">
        <f t="shared" si="694"/>
        <v>Y</v>
      </c>
      <c r="CH1921" s="319" t="str">
        <f t="shared" si="694"/>
        <v/>
      </c>
      <c r="CI1921" s="319" t="str">
        <f t="shared" si="694"/>
        <v>Y</v>
      </c>
      <c r="CJ1921" s="319" t="str">
        <f t="shared" si="694"/>
        <v>Y</v>
      </c>
      <c r="CK1921" s="342">
        <f t="shared" si="182"/>
        <v>14.56021978</v>
      </c>
      <c r="CL1921" s="333">
        <f t="shared" si="183"/>
        <v>41.45600077</v>
      </c>
      <c r="CM1921" s="1079" t="s">
        <v>2872</v>
      </c>
      <c r="CN1921" s="1005" t="s">
        <v>2849</v>
      </c>
      <c r="CO1921" s="1005" t="s">
        <v>2572</v>
      </c>
      <c r="CP1921" s="1005" t="s">
        <v>2400</v>
      </c>
    </row>
    <row r="1922">
      <c r="A1922" s="266"/>
      <c r="B1922" s="1113" t="s">
        <v>1649</v>
      </c>
      <c r="C1922" s="1107">
        <v>45490.0</v>
      </c>
      <c r="D1922" s="103"/>
      <c r="E1922" s="1108">
        <v>59.0</v>
      </c>
      <c r="F1922" s="112" t="s">
        <v>2874</v>
      </c>
      <c r="G1922" s="1110">
        <v>0.6934027777777778</v>
      </c>
      <c r="H1922" s="1110">
        <v>0.6938657407407407</v>
      </c>
      <c r="I1922" s="1110"/>
      <c r="J1922" s="1111"/>
      <c r="K1922" s="1111">
        <v>0.6953125</v>
      </c>
      <c r="L1922" s="1112">
        <v>0.0014467592592592592</v>
      </c>
      <c r="M1922" s="1113" t="s">
        <v>166</v>
      </c>
      <c r="N1922" s="110" t="s">
        <v>187</v>
      </c>
      <c r="O1922" s="1115" t="s">
        <v>207</v>
      </c>
      <c r="P1922" s="1115" t="s">
        <v>221</v>
      </c>
      <c r="Q1922" s="1116"/>
      <c r="R1922" s="120">
        <v>26.1</v>
      </c>
      <c r="S1922" s="1113">
        <v>14.3</v>
      </c>
      <c r="T1922" s="110">
        <v>1.5</v>
      </c>
      <c r="U1922" s="1108">
        <v>2.0</v>
      </c>
      <c r="V1922" s="1108"/>
      <c r="W1922" s="1108"/>
      <c r="X1922" s="1108"/>
      <c r="Y1922" s="1108"/>
      <c r="Z1922" s="1114" t="s">
        <v>374</v>
      </c>
      <c r="AA1922" s="1114"/>
      <c r="AB1922" s="1114" t="s">
        <v>375</v>
      </c>
      <c r="AC1922" s="1117">
        <v>2.7</v>
      </c>
      <c r="AD1922" s="1115"/>
      <c r="AE1922" s="1115"/>
      <c r="AF1922" s="1115"/>
      <c r="AG1922" s="1115"/>
      <c r="AH1922" s="1115"/>
      <c r="AI1922" s="1115"/>
      <c r="AJ1922" s="1117"/>
      <c r="AK1922" s="1118"/>
      <c r="AL1922" s="1115"/>
      <c r="AM1922" s="1115"/>
      <c r="AN1922" s="1115"/>
      <c r="AO1922" s="1115"/>
      <c r="AP1922" s="1115"/>
      <c r="AQ1922" s="1115"/>
      <c r="AR1922" s="1115"/>
      <c r="AS1922" s="1117"/>
      <c r="AT1922" s="1196" t="str">
        <f t="shared" si="428"/>
        <v>1-10</v>
      </c>
      <c r="AU1922" s="1193"/>
      <c r="AV1922" s="330">
        <f>SQRT(($R1922-Infrastructure!J$3)^2+($S1922-Infrastructure!K$3)^2)</f>
        <v>30.16819517</v>
      </c>
      <c r="AW1922" s="331">
        <f>SQRT(($R1922-Infrastructure!J$4)^2+($S1922-Infrastructure!K$4)^2)</f>
        <v>26.63099698</v>
      </c>
      <c r="AX1922" s="331">
        <f>SQRT(($R1922-Infrastructure!J$5)^2+($S1922-Infrastructure!K$5)^2)</f>
        <v>27.95711001</v>
      </c>
      <c r="AY1922" s="331">
        <f>SQRT(($R1922-Infrastructure!J$6)^2+($S1922-Infrastructure!K$6)^2)</f>
        <v>21.26029163</v>
      </c>
      <c r="AZ1922" s="331">
        <f>SQRT(($R1922-Infrastructure!J$7)^2+($S1922-Infrastructure!K$7)^2)</f>
        <v>15.07846146</v>
      </c>
      <c r="BA1922" s="331">
        <f>SQRT(($R1922-Infrastructure!J$8)^2+($S1922-Infrastructure!K$8)^2)</f>
        <v>14.56021978</v>
      </c>
      <c r="BB1922" s="331">
        <f>SQRT(($R1922-Infrastructure!J$9)^2+($S1922-Infrastructure!K$9)^2)</f>
        <v>16.66883319</v>
      </c>
      <c r="BC1922" s="331">
        <f>SQRT(($R1922-Infrastructure!J$10)^2+($S1922-Infrastructure!K$10)^2)</f>
        <v>13.91761474</v>
      </c>
      <c r="BD1922" s="331">
        <f>SQRT(($R1922-Infrastructure!J$11)^2+($S1922-Infrastructure!K$11)^2)</f>
        <v>20.36909424</v>
      </c>
      <c r="BE1922" s="333">
        <f>SQRT(($R1922-Infrastructure!J$12)^2+($S1922-Infrastructure!K$12)^2)</f>
        <v>41.45600077</v>
      </c>
      <c r="BF1922" s="330">
        <f t="shared" si="161"/>
        <v>13.91761474</v>
      </c>
      <c r="BG1922" s="333">
        <f t="shared" si="162"/>
        <v>41.45600077</v>
      </c>
      <c r="BH1922" s="1119"/>
      <c r="BI1922" s="319" t="str">
        <f t="shared" ref="BI1922:BR1922" si="695">IF(ISNUMBER(FIND(BI$3, $CO1922)), "Y", "")</f>
        <v>Y</v>
      </c>
      <c r="BJ1922" s="319" t="str">
        <f t="shared" si="695"/>
        <v>Y</v>
      </c>
      <c r="BK1922" s="319" t="str">
        <f t="shared" si="695"/>
        <v>Y</v>
      </c>
      <c r="BL1922" s="319" t="str">
        <f t="shared" si="695"/>
        <v>Y</v>
      </c>
      <c r="BM1922" s="319" t="str">
        <f t="shared" si="695"/>
        <v>Y</v>
      </c>
      <c r="BN1922" s="319" t="str">
        <f t="shared" si="695"/>
        <v>Y</v>
      </c>
      <c r="BO1922" s="319" t="str">
        <f t="shared" si="695"/>
        <v>Y</v>
      </c>
      <c r="BP1922" s="319" t="str">
        <f t="shared" si="695"/>
        <v/>
      </c>
      <c r="BQ1922" s="319" t="str">
        <f t="shared" si="695"/>
        <v>Y</v>
      </c>
      <c r="BR1922" s="319" t="str">
        <f t="shared" si="695"/>
        <v/>
      </c>
      <c r="BS1922" s="330">
        <f t="shared" si="185"/>
        <v>14.56021978</v>
      </c>
      <c r="BT1922" s="331">
        <f t="shared" si="170"/>
        <v>30.16819517</v>
      </c>
      <c r="BU1922" s="920">
        <v>0.6939814814814815</v>
      </c>
      <c r="BV1922" s="903">
        <f t="shared" si="186"/>
        <v>0.0005787037037</v>
      </c>
      <c r="BW1922" s="908">
        <v>16.4</v>
      </c>
      <c r="BX1922" s="908">
        <v>29.4</v>
      </c>
      <c r="BY1922" s="331">
        <f t="shared" si="201"/>
        <v>17.94714462</v>
      </c>
      <c r="BZ1922" s="331"/>
      <c r="CA1922" s="462" t="str">
        <f t="shared" ref="CA1922:CJ1922" si="696">IF(ISNUMBER(FIND(BI$3, $CP1922)), "Y", "")</f>
        <v>Y</v>
      </c>
      <c r="CB1922" s="319" t="str">
        <f t="shared" si="696"/>
        <v>Y</v>
      </c>
      <c r="CC1922" s="319" t="str">
        <f t="shared" si="696"/>
        <v>Y</v>
      </c>
      <c r="CD1922" s="319" t="str">
        <f t="shared" si="696"/>
        <v>Y</v>
      </c>
      <c r="CE1922" s="319" t="str">
        <f t="shared" si="696"/>
        <v>Y</v>
      </c>
      <c r="CF1922" s="319" t="str">
        <f t="shared" si="696"/>
        <v>Y</v>
      </c>
      <c r="CG1922" s="319" t="str">
        <f t="shared" si="696"/>
        <v>Y</v>
      </c>
      <c r="CH1922" s="319" t="str">
        <f t="shared" si="696"/>
        <v/>
      </c>
      <c r="CI1922" s="319" t="str">
        <f t="shared" si="696"/>
        <v>Y</v>
      </c>
      <c r="CJ1922" s="319" t="str">
        <f t="shared" si="696"/>
        <v>Y</v>
      </c>
      <c r="CK1922" s="342">
        <f t="shared" si="182"/>
        <v>14.56021978</v>
      </c>
      <c r="CL1922" s="333">
        <f t="shared" si="183"/>
        <v>41.45600077</v>
      </c>
      <c r="CM1922" s="1079" t="s">
        <v>2794</v>
      </c>
      <c r="CN1922" s="1005" t="s">
        <v>2849</v>
      </c>
      <c r="CO1922" s="1005" t="s">
        <v>2572</v>
      </c>
      <c r="CP1922" s="1005" t="s">
        <v>2400</v>
      </c>
    </row>
    <row r="1923">
      <c r="A1923" s="266"/>
      <c r="B1923" s="1113" t="s">
        <v>1649</v>
      </c>
      <c r="C1923" s="1107">
        <v>45490.0</v>
      </c>
      <c r="D1923" s="103"/>
      <c r="E1923" s="1108">
        <v>60.0</v>
      </c>
      <c r="F1923" s="112" t="s">
        <v>2875</v>
      </c>
      <c r="G1923" s="1110">
        <v>0.6980902777777778</v>
      </c>
      <c r="H1923" s="1110">
        <v>0.6984375</v>
      </c>
      <c r="I1923" s="1110"/>
      <c r="J1923" s="1111"/>
      <c r="K1923" s="1111">
        <v>0.7</v>
      </c>
      <c r="L1923" s="1112">
        <v>0.0015625</v>
      </c>
      <c r="M1923" s="1113" t="s">
        <v>166</v>
      </c>
      <c r="N1923" s="110" t="s">
        <v>187</v>
      </c>
      <c r="O1923" s="1115" t="s">
        <v>2807</v>
      </c>
      <c r="P1923" s="1115" t="s">
        <v>256</v>
      </c>
      <c r="Q1923" s="1116"/>
      <c r="R1923" s="120">
        <v>2.5</v>
      </c>
      <c r="S1923" s="1113">
        <v>5.0</v>
      </c>
      <c r="T1923" s="110">
        <v>0.6</v>
      </c>
      <c r="U1923" s="1108">
        <v>3.0</v>
      </c>
      <c r="V1923" s="1108"/>
      <c r="W1923" s="1108"/>
      <c r="X1923" s="1108"/>
      <c r="Y1923" s="1108"/>
      <c r="Z1923" s="1114" t="s">
        <v>339</v>
      </c>
      <c r="AA1923" s="1114"/>
      <c r="AB1923" s="1114" t="s">
        <v>337</v>
      </c>
      <c r="AC1923" s="1117">
        <v>2.5</v>
      </c>
      <c r="AD1923" s="1115"/>
      <c r="AE1923" s="1115"/>
      <c r="AF1923" s="1115"/>
      <c r="AG1923" s="1115"/>
      <c r="AH1923" s="1115"/>
      <c r="AI1923" s="1115"/>
      <c r="AJ1923" s="1117"/>
      <c r="AK1923" s="1118"/>
      <c r="AL1923" s="1115"/>
      <c r="AM1923" s="1115"/>
      <c r="AN1923" s="1115"/>
      <c r="AO1923" s="1115"/>
      <c r="AP1923" s="1115"/>
      <c r="AQ1923" s="1115"/>
      <c r="AR1923" s="1115"/>
      <c r="AS1923" s="1117"/>
      <c r="AT1923" s="1196" t="str">
        <f t="shared" si="428"/>
        <v>1-10</v>
      </c>
      <c r="AU1923" s="1193"/>
      <c r="AV1923" s="330">
        <f>SQRT(($R1923-Infrastructure!J$3)^2+($S1923-Infrastructure!K$3)^2)</f>
        <v>24.06345777</v>
      </c>
      <c r="AW1923" s="331">
        <f>SQRT(($R1923-Infrastructure!J$4)^2+($S1923-Infrastructure!K$4)^2)</f>
        <v>13.10267148</v>
      </c>
      <c r="AX1923" s="331">
        <f>SQRT(($R1923-Infrastructure!J$5)^2+($S1923-Infrastructure!K$5)^2)</f>
        <v>2.801785145</v>
      </c>
      <c r="AY1923" s="331">
        <f>SQRT(($R1923-Infrastructure!J$6)^2+($S1923-Infrastructure!K$6)^2)</f>
        <v>8.935882721</v>
      </c>
      <c r="AZ1923" s="331">
        <f>SQRT(($R1923-Infrastructure!J$7)^2+($S1923-Infrastructure!K$7)^2)</f>
        <v>18.6034943</v>
      </c>
      <c r="BA1923" s="331">
        <f>SQRT(($R1923-Infrastructure!J$8)^2+($S1923-Infrastructure!K$8)^2)</f>
        <v>27.9973213</v>
      </c>
      <c r="BB1923" s="331">
        <f>SQRT(($R1923-Infrastructure!J$9)^2+($S1923-Infrastructure!K$9)^2)</f>
        <v>37.50013333</v>
      </c>
      <c r="BC1923" s="331">
        <f>SQRT(($R1923-Infrastructure!J$10)^2+($S1923-Infrastructure!K$10)^2)</f>
        <v>38.81043674</v>
      </c>
      <c r="BD1923" s="331">
        <f>SQRT(($R1923-Infrastructure!J$11)^2+($S1923-Infrastructure!K$11)^2)</f>
        <v>44.69105056</v>
      </c>
      <c r="BE1923" s="333">
        <f>SQRT(($R1923-Infrastructure!J$12)^2+($S1923-Infrastructure!K$12)^2)</f>
        <v>53.95600059</v>
      </c>
      <c r="BF1923" s="330">
        <f t="shared" si="161"/>
        <v>2.801785145</v>
      </c>
      <c r="BG1923" s="333">
        <f t="shared" si="162"/>
        <v>53.95600059</v>
      </c>
      <c r="BH1923" s="1119"/>
      <c r="BI1923" s="319" t="str">
        <f t="shared" ref="BI1923:BR1923" si="697">IF(ISNUMBER(FIND(BI$3, $CO1923)), "Y", "")</f>
        <v>Y</v>
      </c>
      <c r="BJ1923" s="319" t="str">
        <f t="shared" si="697"/>
        <v>Y</v>
      </c>
      <c r="BK1923" s="319" t="str">
        <f t="shared" si="697"/>
        <v>Y</v>
      </c>
      <c r="BL1923" s="319" t="str">
        <f t="shared" si="697"/>
        <v>Y</v>
      </c>
      <c r="BM1923" s="319" t="str">
        <f t="shared" si="697"/>
        <v/>
      </c>
      <c r="BN1923" s="319" t="str">
        <f t="shared" si="697"/>
        <v>Y</v>
      </c>
      <c r="BO1923" s="319" t="str">
        <f t="shared" si="697"/>
        <v/>
      </c>
      <c r="BP1923" s="319" t="str">
        <f t="shared" si="697"/>
        <v/>
      </c>
      <c r="BQ1923" s="319" t="str">
        <f t="shared" si="697"/>
        <v>Y</v>
      </c>
      <c r="BR1923" s="319" t="str">
        <f t="shared" si="697"/>
        <v/>
      </c>
      <c r="BS1923" s="330">
        <f t="shared" si="185"/>
        <v>2.801785145</v>
      </c>
      <c r="BT1923" s="331">
        <f t="shared" si="170"/>
        <v>44.69105056</v>
      </c>
      <c r="BU1923" s="920">
        <v>0.6987384259259259</v>
      </c>
      <c r="BV1923" s="903">
        <f t="shared" si="186"/>
        <v>0.0006481481481</v>
      </c>
      <c r="BW1923" s="908">
        <v>6.4</v>
      </c>
      <c r="BX1923" s="908">
        <v>13.0</v>
      </c>
      <c r="BY1923" s="331">
        <f t="shared" si="201"/>
        <v>8.9</v>
      </c>
      <c r="BZ1923" s="331"/>
      <c r="CA1923" s="462" t="str">
        <f t="shared" ref="CA1923:CJ1923" si="698">IF(ISNUMBER(FIND(BI$3, $CP1923)), "Y", "")</f>
        <v>Y</v>
      </c>
      <c r="CB1923" s="319" t="str">
        <f t="shared" si="698"/>
        <v>Y</v>
      </c>
      <c r="CC1923" s="319" t="str">
        <f t="shared" si="698"/>
        <v>Y</v>
      </c>
      <c r="CD1923" s="319" t="str">
        <f t="shared" si="698"/>
        <v>Y</v>
      </c>
      <c r="CE1923" s="319" t="str">
        <f t="shared" si="698"/>
        <v>Y</v>
      </c>
      <c r="CF1923" s="319" t="str">
        <f t="shared" si="698"/>
        <v>Y</v>
      </c>
      <c r="CG1923" s="319" t="str">
        <f t="shared" si="698"/>
        <v>Y</v>
      </c>
      <c r="CH1923" s="319" t="str">
        <f t="shared" si="698"/>
        <v/>
      </c>
      <c r="CI1923" s="319" t="str">
        <f t="shared" si="698"/>
        <v>Y</v>
      </c>
      <c r="CJ1923" s="319" t="str">
        <f t="shared" si="698"/>
        <v>Y</v>
      </c>
      <c r="CK1923" s="342">
        <f t="shared" si="182"/>
        <v>2.801785145</v>
      </c>
      <c r="CL1923" s="333">
        <f t="shared" si="183"/>
        <v>53.95600059</v>
      </c>
      <c r="CM1923" s="1079" t="s">
        <v>2794</v>
      </c>
      <c r="CN1923" s="1005" t="s">
        <v>2849</v>
      </c>
      <c r="CO1923" s="1005" t="s">
        <v>2876</v>
      </c>
      <c r="CP1923" s="1005" t="s">
        <v>2400</v>
      </c>
    </row>
    <row r="1924">
      <c r="A1924" s="266"/>
      <c r="B1924" s="1113" t="s">
        <v>1649</v>
      </c>
      <c r="C1924" s="1107">
        <v>45490.0</v>
      </c>
      <c r="D1924" s="103"/>
      <c r="E1924" s="1108">
        <v>61.0</v>
      </c>
      <c r="F1924" s="112" t="s">
        <v>2877</v>
      </c>
      <c r="G1924" s="1110">
        <v>0.7013888888888888</v>
      </c>
      <c r="H1924" s="1110">
        <v>0.7017361111111111</v>
      </c>
      <c r="I1924" s="1110"/>
      <c r="J1924" s="1111"/>
      <c r="K1924" s="1111">
        <v>0.703125</v>
      </c>
      <c r="L1924" s="1112">
        <v>0.001388888888888889</v>
      </c>
      <c r="M1924" s="1113" t="s">
        <v>166</v>
      </c>
      <c r="N1924" s="110" t="s">
        <v>187</v>
      </c>
      <c r="O1924" s="1115" t="s">
        <v>2807</v>
      </c>
      <c r="P1924" s="1115" t="s">
        <v>256</v>
      </c>
      <c r="Q1924" s="1116"/>
      <c r="R1924" s="120">
        <v>5.0</v>
      </c>
      <c r="S1924" s="1113">
        <v>5.0</v>
      </c>
      <c r="T1924" s="110">
        <v>0.6</v>
      </c>
      <c r="U1924" s="1108">
        <v>3.0</v>
      </c>
      <c r="V1924" s="1108"/>
      <c r="W1924" s="1108"/>
      <c r="X1924" s="1108"/>
      <c r="Y1924" s="1108"/>
      <c r="Z1924" s="1114" t="s">
        <v>339</v>
      </c>
      <c r="AA1924" s="1114"/>
      <c r="AB1924" s="1114" t="s">
        <v>337</v>
      </c>
      <c r="AC1924" s="1117">
        <v>2.5</v>
      </c>
      <c r="AD1924" s="1115"/>
      <c r="AE1924" s="1115"/>
      <c r="AF1924" s="1115"/>
      <c r="AG1924" s="1115"/>
      <c r="AH1924" s="1115"/>
      <c r="AI1924" s="1115"/>
      <c r="AJ1924" s="1117"/>
      <c r="AK1924" s="1118"/>
      <c r="AL1924" s="1115"/>
      <c r="AM1924" s="1115"/>
      <c r="AN1924" s="1115"/>
      <c r="AO1924" s="1115"/>
      <c r="AP1924" s="1115"/>
      <c r="AQ1924" s="1115"/>
      <c r="AR1924" s="1115"/>
      <c r="AS1924" s="1117"/>
      <c r="AT1924" s="1196" t="str">
        <f t="shared" si="428"/>
        <v>1-10</v>
      </c>
      <c r="AU1924" s="1193"/>
      <c r="AV1924" s="330">
        <f>SQRT(($R1924-Infrastructure!J$3)^2+($S1924-Infrastructure!K$3)^2)</f>
        <v>24.48060457</v>
      </c>
      <c r="AW1924" s="331">
        <f>SQRT(($R1924-Infrastructure!J$4)^2+($S1924-Infrastructure!K$4)^2)</f>
        <v>13.85388032</v>
      </c>
      <c r="AX1924" s="331">
        <f>SQRT(($R1924-Infrastructure!J$5)^2+($S1924-Infrastructure!K$5)^2)</f>
        <v>5.300943312</v>
      </c>
      <c r="AY1924" s="331">
        <f>SQRT(($R1924-Infrastructure!J$6)^2+($S1924-Infrastructure!K$6)^2)</f>
        <v>6.935416354</v>
      </c>
      <c r="AZ1924" s="331">
        <f>SQRT(($R1924-Infrastructure!J$7)^2+($S1924-Infrastructure!K$7)^2)</f>
        <v>16.19691329</v>
      </c>
      <c r="BA1924" s="331">
        <f>SQRT(($R1924-Infrastructure!J$8)^2+($S1924-Infrastructure!K$8)^2)</f>
        <v>25.53624875</v>
      </c>
      <c r="BB1924" s="331">
        <f>SQRT(($R1924-Infrastructure!J$9)^2+($S1924-Infrastructure!K$9)^2)</f>
        <v>35.00014286</v>
      </c>
      <c r="BC1924" s="331">
        <f>SQRT(($R1924-Infrastructure!J$10)^2+($S1924-Infrastructure!K$10)^2)</f>
        <v>36.40054945</v>
      </c>
      <c r="BD1924" s="331">
        <f>SQRT(($R1924-Infrastructure!J$11)^2+($S1924-Infrastructure!K$11)^2)</f>
        <v>42.60328626</v>
      </c>
      <c r="BE1924" s="333">
        <f>SQRT(($R1924-Infrastructure!J$12)^2+($S1924-Infrastructure!K$12)^2)</f>
        <v>53.12720584</v>
      </c>
      <c r="BF1924" s="330">
        <f t="shared" si="161"/>
        <v>5.300943312</v>
      </c>
      <c r="BG1924" s="333">
        <f t="shared" si="162"/>
        <v>53.12720584</v>
      </c>
      <c r="BH1924" s="1119"/>
      <c r="BI1924" s="319" t="str">
        <f t="shared" ref="BI1924:BR1924" si="699">IF(ISNUMBER(FIND(BI$3, $CO1924)), "Y", "")</f>
        <v>Y</v>
      </c>
      <c r="BJ1924" s="319" t="str">
        <f t="shared" si="699"/>
        <v>Y</v>
      </c>
      <c r="BK1924" s="319" t="str">
        <f t="shared" si="699"/>
        <v>Y</v>
      </c>
      <c r="BL1924" s="319" t="str">
        <f t="shared" si="699"/>
        <v>Y</v>
      </c>
      <c r="BM1924" s="319" t="str">
        <f t="shared" si="699"/>
        <v>Y</v>
      </c>
      <c r="BN1924" s="319" t="str">
        <f t="shared" si="699"/>
        <v/>
      </c>
      <c r="BO1924" s="319" t="str">
        <f t="shared" si="699"/>
        <v/>
      </c>
      <c r="BP1924" s="319" t="str">
        <f t="shared" si="699"/>
        <v/>
      </c>
      <c r="BQ1924" s="319" t="str">
        <f t="shared" si="699"/>
        <v>Y</v>
      </c>
      <c r="BR1924" s="319" t="str">
        <f t="shared" si="699"/>
        <v>Y</v>
      </c>
      <c r="BS1924" s="330">
        <f t="shared" si="185"/>
        <v>5.300943312</v>
      </c>
      <c r="BT1924" s="331">
        <f t="shared" si="170"/>
        <v>53.12720584</v>
      </c>
      <c r="BU1924" s="920">
        <v>0.7019560185185185</v>
      </c>
      <c r="BV1924" s="903">
        <f t="shared" si="186"/>
        <v>0.0005671296296</v>
      </c>
      <c r="BW1924" s="908">
        <v>10.9</v>
      </c>
      <c r="BX1924" s="908">
        <v>15.0</v>
      </c>
      <c r="BY1924" s="331">
        <f t="shared" si="201"/>
        <v>11.61077086</v>
      </c>
      <c r="BZ1924" s="331"/>
      <c r="CA1924" s="462" t="str">
        <f t="shared" ref="CA1924:CJ1924" si="700">IF(ISNUMBER(FIND(BI$3, $CP1924)), "Y", "")</f>
        <v>Y</v>
      </c>
      <c r="CB1924" s="319" t="str">
        <f t="shared" si="700"/>
        <v>Y</v>
      </c>
      <c r="CC1924" s="319" t="str">
        <f t="shared" si="700"/>
        <v>Y</v>
      </c>
      <c r="CD1924" s="319" t="str">
        <f t="shared" si="700"/>
        <v>Y</v>
      </c>
      <c r="CE1924" s="319" t="str">
        <f t="shared" si="700"/>
        <v>Y</v>
      </c>
      <c r="CF1924" s="319" t="str">
        <f t="shared" si="700"/>
        <v>Y</v>
      </c>
      <c r="CG1924" s="319" t="str">
        <f t="shared" si="700"/>
        <v>Y</v>
      </c>
      <c r="CH1924" s="319" t="str">
        <f t="shared" si="700"/>
        <v/>
      </c>
      <c r="CI1924" s="319" t="str">
        <f t="shared" si="700"/>
        <v>Y</v>
      </c>
      <c r="CJ1924" s="319" t="str">
        <f t="shared" si="700"/>
        <v>Y</v>
      </c>
      <c r="CK1924" s="342">
        <f t="shared" si="182"/>
        <v>5.300943312</v>
      </c>
      <c r="CL1924" s="333">
        <f t="shared" si="183"/>
        <v>53.12720584</v>
      </c>
      <c r="CM1924" s="1079" t="s">
        <v>2794</v>
      </c>
      <c r="CN1924" s="1005" t="s">
        <v>2849</v>
      </c>
      <c r="CO1924" s="1005" t="s">
        <v>2878</v>
      </c>
      <c r="CP1924" s="1005" t="s">
        <v>2400</v>
      </c>
    </row>
    <row r="1925">
      <c r="A1925" s="266"/>
      <c r="B1925" s="1113" t="s">
        <v>1649</v>
      </c>
      <c r="C1925" s="1107">
        <v>45490.0</v>
      </c>
      <c r="D1925" s="103"/>
      <c r="E1925" s="1108">
        <v>62.0</v>
      </c>
      <c r="F1925" s="112" t="s">
        <v>2879</v>
      </c>
      <c r="G1925" s="1110">
        <v>0.7059027777777778</v>
      </c>
      <c r="H1925" s="1110">
        <v>0.70625</v>
      </c>
      <c r="I1925" s="1110"/>
      <c r="J1925" s="1111"/>
      <c r="K1925" s="1111">
        <v>0.7079861111111111</v>
      </c>
      <c r="L1925" s="1112">
        <v>0.001736111111111111</v>
      </c>
      <c r="M1925" s="1113" t="s">
        <v>166</v>
      </c>
      <c r="N1925" s="110" t="s">
        <v>187</v>
      </c>
      <c r="O1925" s="1115" t="s">
        <v>2807</v>
      </c>
      <c r="P1925" s="1115" t="s">
        <v>256</v>
      </c>
      <c r="Q1925" s="1116"/>
      <c r="R1925" s="120">
        <v>7.5</v>
      </c>
      <c r="S1925" s="1113">
        <v>5.0</v>
      </c>
      <c r="T1925" s="110">
        <v>0.6</v>
      </c>
      <c r="U1925" s="1108">
        <v>3.0</v>
      </c>
      <c r="V1925" s="1108"/>
      <c r="W1925" s="1108"/>
      <c r="X1925" s="1108"/>
      <c r="Y1925" s="1108"/>
      <c r="Z1925" s="1114" t="s">
        <v>339</v>
      </c>
      <c r="AA1925" s="1114"/>
      <c r="AB1925" s="1114" t="s">
        <v>337</v>
      </c>
      <c r="AC1925" s="1117">
        <v>2.5</v>
      </c>
      <c r="AD1925" s="1115"/>
      <c r="AE1925" s="1115"/>
      <c r="AF1925" s="1115"/>
      <c r="AG1925" s="1115"/>
      <c r="AH1925" s="1115"/>
      <c r="AI1925" s="1115"/>
      <c r="AJ1925" s="1117"/>
      <c r="AK1925" s="1118"/>
      <c r="AL1925" s="1115"/>
      <c r="AM1925" s="1115"/>
      <c r="AN1925" s="1115"/>
      <c r="AO1925" s="1115"/>
      <c r="AP1925" s="1115"/>
      <c r="AQ1925" s="1115"/>
      <c r="AR1925" s="1115"/>
      <c r="AS1925" s="1117"/>
      <c r="AT1925" s="1196" t="str">
        <f t="shared" si="428"/>
        <v>1-10</v>
      </c>
      <c r="AU1925" s="1193"/>
      <c r="AV1925" s="330">
        <f>SQRT(($R1925-Infrastructure!J$3)^2+($S1925-Infrastructure!K$3)^2)</f>
        <v>25.14060461</v>
      </c>
      <c r="AW1925" s="331">
        <f>SQRT(($R1925-Infrastructure!J$4)^2+($S1925-Infrastructure!K$4)^2)</f>
        <v>14.98932954</v>
      </c>
      <c r="AX1925" s="331">
        <f>SQRT(($R1925-Infrastructure!J$5)^2+($S1925-Infrastructure!K$5)^2)</f>
        <v>7.800640999</v>
      </c>
      <c r="AY1925" s="331">
        <f>SQRT(($R1925-Infrastructure!J$6)^2+($S1925-Infrastructure!K$6)^2)</f>
        <v>5.371219601</v>
      </c>
      <c r="AZ1925" s="331">
        <f>SQRT(($R1925-Infrastructure!J$7)^2+($S1925-Infrastructure!K$7)^2)</f>
        <v>13.82353066</v>
      </c>
      <c r="BA1925" s="331">
        <f>SQRT(($R1925-Infrastructure!J$8)^2+($S1925-Infrastructure!K$8)^2)</f>
        <v>23.08354392</v>
      </c>
      <c r="BB1925" s="331">
        <f>SQRT(($R1925-Infrastructure!J$9)^2+($S1925-Infrastructure!K$9)^2)</f>
        <v>32.50015385</v>
      </c>
      <c r="BC1925" s="331">
        <f>SQRT(($R1925-Infrastructure!J$10)^2+($S1925-Infrastructure!K$10)^2)</f>
        <v>34.00367627</v>
      </c>
      <c r="BD1925" s="331">
        <f>SQRT(($R1925-Infrastructure!J$11)^2+($S1925-Infrastructure!K$11)^2)</f>
        <v>40.5621745</v>
      </c>
      <c r="BE1925" s="333">
        <f>SQRT(($R1925-Infrastructure!J$12)^2+($S1925-Infrastructure!K$12)^2)</f>
        <v>52.40467536</v>
      </c>
      <c r="BF1925" s="330">
        <f t="shared" si="161"/>
        <v>5.371219601</v>
      </c>
      <c r="BG1925" s="333">
        <f t="shared" si="162"/>
        <v>52.40467536</v>
      </c>
      <c r="BH1925" s="1119"/>
      <c r="BI1925" s="319" t="str">
        <f t="shared" ref="BI1925:BR1925" si="701">IF(ISNUMBER(FIND(BI$3, $CO1925)), "Y", "")</f>
        <v>Y</v>
      </c>
      <c r="BJ1925" s="319" t="str">
        <f t="shared" si="701"/>
        <v/>
      </c>
      <c r="BK1925" s="319" t="str">
        <f t="shared" si="701"/>
        <v>Y</v>
      </c>
      <c r="BL1925" s="319" t="str">
        <f t="shared" si="701"/>
        <v>Y</v>
      </c>
      <c r="BM1925" s="319" t="str">
        <f t="shared" si="701"/>
        <v>Y</v>
      </c>
      <c r="BN1925" s="319" t="str">
        <f t="shared" si="701"/>
        <v/>
      </c>
      <c r="BO1925" s="319" t="str">
        <f t="shared" si="701"/>
        <v/>
      </c>
      <c r="BP1925" s="319" t="str">
        <f t="shared" si="701"/>
        <v/>
      </c>
      <c r="BQ1925" s="319" t="str">
        <f t="shared" si="701"/>
        <v>Y</v>
      </c>
      <c r="BR1925" s="319" t="str">
        <f t="shared" si="701"/>
        <v>Y</v>
      </c>
      <c r="BS1925" s="330">
        <f t="shared" si="185"/>
        <v>5.371219601</v>
      </c>
      <c r="BT1925" s="331">
        <f t="shared" si="170"/>
        <v>52.40467536</v>
      </c>
      <c r="BU1925" s="920">
        <v>0.7064699074074074</v>
      </c>
      <c r="BV1925" s="903">
        <f t="shared" si="186"/>
        <v>0.0005671296296</v>
      </c>
      <c r="BW1925" s="908">
        <v>10.0</v>
      </c>
      <c r="BX1925" s="908">
        <v>13.8</v>
      </c>
      <c r="BY1925" s="331">
        <f t="shared" si="201"/>
        <v>9.148223871</v>
      </c>
      <c r="BZ1925" s="331"/>
      <c r="CA1925" s="462" t="str">
        <f t="shared" ref="CA1925:CJ1925" si="702">IF(ISNUMBER(FIND(BI$3, $CP1925)), "Y", "")</f>
        <v>Y</v>
      </c>
      <c r="CB1925" s="319" t="str">
        <f t="shared" si="702"/>
        <v>Y</v>
      </c>
      <c r="CC1925" s="319" t="str">
        <f t="shared" si="702"/>
        <v>Y</v>
      </c>
      <c r="CD1925" s="319" t="str">
        <f t="shared" si="702"/>
        <v>Y</v>
      </c>
      <c r="CE1925" s="319" t="str">
        <f t="shared" si="702"/>
        <v>Y</v>
      </c>
      <c r="CF1925" s="319" t="str">
        <f t="shared" si="702"/>
        <v>Y</v>
      </c>
      <c r="CG1925" s="319" t="str">
        <f t="shared" si="702"/>
        <v>Y</v>
      </c>
      <c r="CH1925" s="319" t="str">
        <f t="shared" si="702"/>
        <v/>
      </c>
      <c r="CI1925" s="319" t="str">
        <f t="shared" si="702"/>
        <v>Y</v>
      </c>
      <c r="CJ1925" s="319" t="str">
        <f t="shared" si="702"/>
        <v>Y</v>
      </c>
      <c r="CK1925" s="342">
        <f t="shared" si="182"/>
        <v>5.371219601</v>
      </c>
      <c r="CL1925" s="333">
        <f t="shared" si="183"/>
        <v>52.40467536</v>
      </c>
      <c r="CM1925" s="1079" t="s">
        <v>2794</v>
      </c>
      <c r="CN1925" s="1005" t="s">
        <v>2849</v>
      </c>
      <c r="CO1925" s="1005" t="s">
        <v>2880</v>
      </c>
      <c r="CP1925" s="1005" t="s">
        <v>2400</v>
      </c>
    </row>
    <row r="1926">
      <c r="A1926" s="266"/>
      <c r="B1926" s="1113" t="s">
        <v>1649</v>
      </c>
      <c r="C1926" s="1107">
        <v>45490.0</v>
      </c>
      <c r="D1926" s="103"/>
      <c r="E1926" s="1108">
        <v>63.0</v>
      </c>
      <c r="F1926" s="112" t="s">
        <v>2881</v>
      </c>
      <c r="G1926" s="1110">
        <v>0.709375</v>
      </c>
      <c r="H1926" s="1110">
        <v>0.7097222222222223</v>
      </c>
      <c r="I1926" s="1110"/>
      <c r="J1926" s="1111"/>
      <c r="K1926" s="1111">
        <v>0.7111111111111111</v>
      </c>
      <c r="L1926" s="1112">
        <v>0.001388888888888889</v>
      </c>
      <c r="M1926" s="1113" t="s">
        <v>166</v>
      </c>
      <c r="N1926" s="110" t="s">
        <v>187</v>
      </c>
      <c r="O1926" s="1115" t="s">
        <v>2807</v>
      </c>
      <c r="P1926" s="1115" t="s">
        <v>256</v>
      </c>
      <c r="Q1926" s="1116"/>
      <c r="R1926" s="120">
        <v>10.0</v>
      </c>
      <c r="S1926" s="1113">
        <v>5.0</v>
      </c>
      <c r="T1926" s="110">
        <v>0.6</v>
      </c>
      <c r="U1926" s="1108">
        <v>3.0</v>
      </c>
      <c r="V1926" s="1108"/>
      <c r="W1926" s="1108"/>
      <c r="X1926" s="1108"/>
      <c r="Y1926" s="1108"/>
      <c r="Z1926" s="1114" t="s">
        <v>339</v>
      </c>
      <c r="AA1926" s="1114"/>
      <c r="AB1926" s="1114" t="s">
        <v>337</v>
      </c>
      <c r="AC1926" s="1117">
        <v>2.5</v>
      </c>
      <c r="AD1926" s="1115"/>
      <c r="AE1926" s="1115"/>
      <c r="AF1926" s="1115"/>
      <c r="AG1926" s="1115"/>
      <c r="AH1926" s="1115"/>
      <c r="AI1926" s="1115"/>
      <c r="AJ1926" s="1117"/>
      <c r="AK1926" s="1118"/>
      <c r="AL1926" s="1115"/>
      <c r="AM1926" s="1115"/>
      <c r="AN1926" s="1115"/>
      <c r="AO1926" s="1115"/>
      <c r="AP1926" s="1115"/>
      <c r="AQ1926" s="1115"/>
      <c r="AR1926" s="1115"/>
      <c r="AS1926" s="1117"/>
      <c r="AT1926" s="1196" t="str">
        <f t="shared" si="428"/>
        <v>1-10</v>
      </c>
      <c r="AU1926" s="1193"/>
      <c r="AV1926" s="330">
        <f>SQRT(($R1926-Infrastructure!J$3)^2+($S1926-Infrastructure!K$3)^2)</f>
        <v>26.02498799</v>
      </c>
      <c r="AW1926" s="331">
        <f>SQRT(($R1926-Infrastructure!J$4)^2+($S1926-Infrastructure!K$4)^2)</f>
        <v>16.42954655</v>
      </c>
      <c r="AX1926" s="331">
        <f>SQRT(($R1926-Infrastructure!J$5)^2+($S1926-Infrastructure!K$5)^2)</f>
        <v>10.30048543</v>
      </c>
      <c r="AY1926" s="331">
        <f>SQRT(($R1926-Infrastructure!J$6)^2+($S1926-Infrastructure!K$6)^2)</f>
        <v>4.701063709</v>
      </c>
      <c r="AZ1926" s="331">
        <f>SQRT(($R1926-Infrastructure!J$7)^2+($S1926-Infrastructure!K$7)^2)</f>
        <v>11.50391238</v>
      </c>
      <c r="BA1926" s="331">
        <f>SQRT(($R1926-Infrastructure!J$8)^2+($S1926-Infrastructure!K$8)^2)</f>
        <v>20.64218981</v>
      </c>
      <c r="BB1926" s="331">
        <f>SQRT(($R1926-Infrastructure!J$9)^2+($S1926-Infrastructure!K$9)^2)</f>
        <v>30.00016667</v>
      </c>
      <c r="BC1926" s="331">
        <f>SQRT(($R1926-Infrastructure!J$10)^2+($S1926-Infrastructure!K$10)^2)</f>
        <v>31.6227766</v>
      </c>
      <c r="BD1926" s="331">
        <f>SQRT(($R1926-Infrastructure!J$11)^2+($S1926-Infrastructure!K$11)^2)</f>
        <v>38.57512152</v>
      </c>
      <c r="BE1926" s="333">
        <f>SQRT(($R1926-Infrastructure!J$12)^2+($S1926-Infrastructure!K$12)^2)</f>
        <v>51.79285665</v>
      </c>
      <c r="BF1926" s="330">
        <f t="shared" si="161"/>
        <v>4.701063709</v>
      </c>
      <c r="BG1926" s="333">
        <f t="shared" si="162"/>
        <v>51.79285665</v>
      </c>
      <c r="BH1926" s="1119"/>
      <c r="BI1926" s="319" t="str">
        <f t="shared" ref="BI1926:BR1926" si="703">IF(ISNUMBER(FIND(BI$3, $CO1926)), "Y", "")</f>
        <v>Y</v>
      </c>
      <c r="BJ1926" s="319" t="str">
        <f t="shared" si="703"/>
        <v>Y</v>
      </c>
      <c r="BK1926" s="319" t="str">
        <f t="shared" si="703"/>
        <v>Y</v>
      </c>
      <c r="BL1926" s="319" t="str">
        <f t="shared" si="703"/>
        <v>Y</v>
      </c>
      <c r="BM1926" s="319" t="str">
        <f t="shared" si="703"/>
        <v>Y</v>
      </c>
      <c r="BN1926" s="319" t="str">
        <f t="shared" si="703"/>
        <v>Y</v>
      </c>
      <c r="BO1926" s="319" t="str">
        <f t="shared" si="703"/>
        <v/>
      </c>
      <c r="BP1926" s="319" t="str">
        <f t="shared" si="703"/>
        <v/>
      </c>
      <c r="BQ1926" s="319" t="str">
        <f t="shared" si="703"/>
        <v/>
      </c>
      <c r="BR1926" s="319" t="str">
        <f t="shared" si="703"/>
        <v>Y</v>
      </c>
      <c r="BS1926" s="330">
        <f t="shared" si="185"/>
        <v>4.701063709</v>
      </c>
      <c r="BT1926" s="331">
        <f t="shared" si="170"/>
        <v>51.79285665</v>
      </c>
      <c r="BU1926" s="920">
        <v>0.7099884259259259</v>
      </c>
      <c r="BV1926" s="903">
        <f t="shared" si="186"/>
        <v>0.0006134259259</v>
      </c>
      <c r="BW1926" s="908">
        <v>11.0</v>
      </c>
      <c r="BX1926" s="908">
        <v>10.9</v>
      </c>
      <c r="BY1926" s="331">
        <f t="shared" si="201"/>
        <v>5.98414572</v>
      </c>
      <c r="BZ1926" s="331"/>
      <c r="CA1926" s="462" t="str">
        <f t="shared" ref="CA1926:CJ1926" si="704">IF(ISNUMBER(FIND(BI$3, $CP1926)), "Y", "")</f>
        <v>Y</v>
      </c>
      <c r="CB1926" s="319" t="str">
        <f t="shared" si="704"/>
        <v>Y</v>
      </c>
      <c r="CC1926" s="319" t="str">
        <f t="shared" si="704"/>
        <v>Y</v>
      </c>
      <c r="CD1926" s="319" t="str">
        <f t="shared" si="704"/>
        <v>Y</v>
      </c>
      <c r="CE1926" s="319" t="str">
        <f t="shared" si="704"/>
        <v>Y</v>
      </c>
      <c r="CF1926" s="319" t="str">
        <f t="shared" si="704"/>
        <v>Y</v>
      </c>
      <c r="CG1926" s="319" t="str">
        <f t="shared" si="704"/>
        <v>Y</v>
      </c>
      <c r="CH1926" s="319" t="str">
        <f t="shared" si="704"/>
        <v/>
      </c>
      <c r="CI1926" s="319" t="str">
        <f t="shared" si="704"/>
        <v>Y</v>
      </c>
      <c r="CJ1926" s="319" t="str">
        <f t="shared" si="704"/>
        <v>Y</v>
      </c>
      <c r="CK1926" s="342">
        <f t="shared" si="182"/>
        <v>4.701063709</v>
      </c>
      <c r="CL1926" s="333">
        <f t="shared" si="183"/>
        <v>51.79285665</v>
      </c>
      <c r="CM1926" s="1079" t="s">
        <v>2794</v>
      </c>
      <c r="CN1926" s="1005" t="s">
        <v>2849</v>
      </c>
      <c r="CO1926" s="1005" t="s">
        <v>2612</v>
      </c>
      <c r="CP1926" s="1005" t="s">
        <v>2400</v>
      </c>
    </row>
    <row r="1927">
      <c r="A1927" s="266"/>
      <c r="B1927" s="1113" t="s">
        <v>1649</v>
      </c>
      <c r="C1927" s="1107">
        <v>45490.0</v>
      </c>
      <c r="D1927" s="103"/>
      <c r="E1927" s="1108">
        <v>64.0</v>
      </c>
      <c r="F1927" s="112" t="s">
        <v>2882</v>
      </c>
      <c r="G1927" s="1110">
        <v>0.7121527777777777</v>
      </c>
      <c r="H1927" s="1110">
        <v>0.7125</v>
      </c>
      <c r="I1927" s="1110"/>
      <c r="J1927" s="1111"/>
      <c r="K1927" s="1111">
        <v>0.7138888888888889</v>
      </c>
      <c r="L1927" s="1112">
        <v>0.001388888888888889</v>
      </c>
      <c r="M1927" s="1113" t="s">
        <v>166</v>
      </c>
      <c r="N1927" s="110" t="s">
        <v>187</v>
      </c>
      <c r="O1927" s="1115" t="s">
        <v>2807</v>
      </c>
      <c r="P1927" s="1115" t="s">
        <v>256</v>
      </c>
      <c r="Q1927" s="1116"/>
      <c r="R1927" s="120">
        <v>12.5</v>
      </c>
      <c r="S1927" s="1113">
        <v>5.0</v>
      </c>
      <c r="T1927" s="110">
        <v>0.6</v>
      </c>
      <c r="U1927" s="1108">
        <v>3.0</v>
      </c>
      <c r="V1927" s="1108"/>
      <c r="W1927" s="1108"/>
      <c r="X1927" s="1108"/>
      <c r="Y1927" s="1108"/>
      <c r="Z1927" s="1114" t="s">
        <v>339</v>
      </c>
      <c r="AA1927" s="1114"/>
      <c r="AB1927" s="1114" t="s">
        <v>337</v>
      </c>
      <c r="AC1927" s="1117">
        <v>2.5</v>
      </c>
      <c r="AD1927" s="1115"/>
      <c r="AE1927" s="1115"/>
      <c r="AF1927" s="1115"/>
      <c r="AG1927" s="1115"/>
      <c r="AH1927" s="1115"/>
      <c r="AI1927" s="1115"/>
      <c r="AJ1927" s="1117"/>
      <c r="AK1927" s="1118"/>
      <c r="AL1927" s="1115"/>
      <c r="AM1927" s="1115"/>
      <c r="AN1927" s="1115"/>
      <c r="AO1927" s="1115"/>
      <c r="AP1927" s="1115"/>
      <c r="AQ1927" s="1115"/>
      <c r="AR1927" s="1115"/>
      <c r="AS1927" s="1117"/>
      <c r="AT1927" s="1196" t="str">
        <f t="shared" si="428"/>
        <v>1-10</v>
      </c>
      <c r="AU1927" s="1193"/>
      <c r="AV1927" s="330">
        <f>SQRT(($R1927-Infrastructure!J$3)^2+($S1927-Infrastructure!K$3)^2)</f>
        <v>27.11180555</v>
      </c>
      <c r="AW1927" s="331">
        <f>SQRT(($R1927-Infrastructure!J$4)^2+($S1927-Infrastructure!K$4)^2)</f>
        <v>18.1019336</v>
      </c>
      <c r="AX1927" s="331">
        <f>SQRT(($R1927-Infrastructure!J$5)^2+($S1927-Infrastructure!K$5)^2)</f>
        <v>12.80039062</v>
      </c>
      <c r="AY1927" s="331">
        <f>SQRT(($R1927-Infrastructure!J$6)^2+($S1927-Infrastructure!K$6)^2)</f>
        <v>5.277309921</v>
      </c>
      <c r="AZ1927" s="331">
        <f>SQRT(($R1927-Infrastructure!J$7)^2+($S1927-Infrastructure!K$7)^2)</f>
        <v>9.278469701</v>
      </c>
      <c r="BA1927" s="331">
        <f>SQRT(($R1927-Infrastructure!J$8)^2+($S1927-Infrastructure!K$8)^2)</f>
        <v>18.21675053</v>
      </c>
      <c r="BB1927" s="331">
        <f>SQRT(($R1927-Infrastructure!J$9)^2+($S1927-Infrastructure!K$9)^2)</f>
        <v>27.50018182</v>
      </c>
      <c r="BC1927" s="331">
        <f>SQRT(($R1927-Infrastructure!J$10)^2+($S1927-Infrastructure!K$10)^2)</f>
        <v>29.26174978</v>
      </c>
      <c r="BD1927" s="331">
        <f>SQRT(($R1927-Infrastructure!J$11)^2+($S1927-Infrastructure!K$11)^2)</f>
        <v>36.65092086</v>
      </c>
      <c r="BE1927" s="333">
        <f>SQRT(($R1927-Infrastructure!J$12)^2+($S1927-Infrastructure!K$12)^2)</f>
        <v>51.29571132</v>
      </c>
      <c r="BF1927" s="330">
        <f t="shared" si="161"/>
        <v>5.277309921</v>
      </c>
      <c r="BG1927" s="333">
        <f t="shared" si="162"/>
        <v>51.29571132</v>
      </c>
      <c r="BH1927" s="1119"/>
      <c r="BI1927" s="319" t="str">
        <f t="shared" ref="BI1927:BR1927" si="705">IF(ISNUMBER(FIND(BI$3, $CO1927)), "Y", "")</f>
        <v>Y</v>
      </c>
      <c r="BJ1927" s="319" t="str">
        <f t="shared" si="705"/>
        <v>Y</v>
      </c>
      <c r="BK1927" s="319" t="str">
        <f t="shared" si="705"/>
        <v>Y</v>
      </c>
      <c r="BL1927" s="319" t="str">
        <f t="shared" si="705"/>
        <v>Y</v>
      </c>
      <c r="BM1927" s="319" t="str">
        <f t="shared" si="705"/>
        <v>Y</v>
      </c>
      <c r="BN1927" s="319" t="str">
        <f t="shared" si="705"/>
        <v>Y</v>
      </c>
      <c r="BO1927" s="319" t="str">
        <f t="shared" si="705"/>
        <v>Y</v>
      </c>
      <c r="BP1927" s="319" t="str">
        <f t="shared" si="705"/>
        <v/>
      </c>
      <c r="BQ1927" s="319" t="str">
        <f t="shared" si="705"/>
        <v/>
      </c>
      <c r="BR1927" s="319" t="str">
        <f t="shared" si="705"/>
        <v>Y</v>
      </c>
      <c r="BS1927" s="330">
        <f t="shared" si="185"/>
        <v>5.277309921</v>
      </c>
      <c r="BT1927" s="331">
        <f t="shared" si="170"/>
        <v>51.29571132</v>
      </c>
      <c r="BU1927" s="920">
        <v>0.7127083333333334</v>
      </c>
      <c r="BV1927" s="903">
        <f t="shared" si="186"/>
        <v>0.0005555555556</v>
      </c>
      <c r="BW1927" s="908">
        <v>14.1</v>
      </c>
      <c r="BX1927" s="908">
        <v>15.6</v>
      </c>
      <c r="BY1927" s="331">
        <f t="shared" si="201"/>
        <v>10.72007463</v>
      </c>
      <c r="BZ1927" s="331"/>
      <c r="CA1927" s="462" t="str">
        <f t="shared" ref="CA1927:CJ1927" si="706">IF(ISNUMBER(FIND(BI$3, $CP1927)), "Y", "")</f>
        <v>Y</v>
      </c>
      <c r="CB1927" s="319" t="str">
        <f t="shared" si="706"/>
        <v>Y</v>
      </c>
      <c r="CC1927" s="319" t="str">
        <f t="shared" si="706"/>
        <v>Y</v>
      </c>
      <c r="CD1927" s="319" t="str">
        <f t="shared" si="706"/>
        <v>Y</v>
      </c>
      <c r="CE1927" s="319" t="str">
        <f t="shared" si="706"/>
        <v>Y</v>
      </c>
      <c r="CF1927" s="319" t="str">
        <f t="shared" si="706"/>
        <v>Y</v>
      </c>
      <c r="CG1927" s="319" t="str">
        <f t="shared" si="706"/>
        <v>Y</v>
      </c>
      <c r="CH1927" s="319" t="str">
        <f t="shared" si="706"/>
        <v/>
      </c>
      <c r="CI1927" s="319" t="str">
        <f t="shared" si="706"/>
        <v>Y</v>
      </c>
      <c r="CJ1927" s="319" t="str">
        <f t="shared" si="706"/>
        <v>Y</v>
      </c>
      <c r="CK1927" s="342">
        <f t="shared" si="182"/>
        <v>5.277309921</v>
      </c>
      <c r="CL1927" s="333">
        <f t="shared" si="183"/>
        <v>51.29571132</v>
      </c>
      <c r="CM1927" s="1079" t="s">
        <v>2430</v>
      </c>
      <c r="CN1927" s="1005" t="s">
        <v>2849</v>
      </c>
      <c r="CO1927" s="1005" t="s">
        <v>2616</v>
      </c>
      <c r="CP1927" s="1005" t="s">
        <v>2400</v>
      </c>
    </row>
    <row r="1928">
      <c r="A1928" s="266"/>
      <c r="B1928" s="1113" t="s">
        <v>1649</v>
      </c>
      <c r="C1928" s="1107">
        <v>45490.0</v>
      </c>
      <c r="D1928" s="103"/>
      <c r="E1928" s="1108">
        <v>65.0</v>
      </c>
      <c r="F1928" s="112" t="s">
        <v>2883</v>
      </c>
      <c r="G1928" s="1110">
        <v>0.7189236111111111</v>
      </c>
      <c r="H1928" s="1110">
        <v>0.7203125</v>
      </c>
      <c r="I1928" s="1110"/>
      <c r="J1928" s="1111"/>
      <c r="K1928" s="1111">
        <v>0.7217013888888889</v>
      </c>
      <c r="L1928" s="1112">
        <v>0.001388888888888889</v>
      </c>
      <c r="M1928" s="1113" t="s">
        <v>166</v>
      </c>
      <c r="N1928" s="110" t="s">
        <v>188</v>
      </c>
      <c r="O1928" s="1115" t="s">
        <v>378</v>
      </c>
      <c r="P1928" s="1115" t="s">
        <v>225</v>
      </c>
      <c r="Q1928" s="1116"/>
      <c r="R1928" s="120">
        <v>22.7</v>
      </c>
      <c r="S1928" s="1113">
        <v>39.7</v>
      </c>
      <c r="T1928" s="110">
        <v>1.1</v>
      </c>
      <c r="U1928" s="1108">
        <v>15.0</v>
      </c>
      <c r="V1928" s="1108"/>
      <c r="W1928" s="1108"/>
      <c r="X1928" s="1108"/>
      <c r="Y1928" s="1108"/>
      <c r="Z1928" s="1114" t="s">
        <v>1140</v>
      </c>
      <c r="AA1928" s="1114"/>
      <c r="AB1928" s="1114" t="s">
        <v>349</v>
      </c>
      <c r="AC1928" s="1117">
        <v>5.0</v>
      </c>
      <c r="AD1928" s="1115"/>
      <c r="AE1928" s="1115"/>
      <c r="AF1928" s="1115"/>
      <c r="AG1928" s="1115"/>
      <c r="AH1928" s="1115"/>
      <c r="AI1928" s="1115"/>
      <c r="AJ1928" s="1117"/>
      <c r="AK1928" s="1118"/>
      <c r="AL1928" s="1115"/>
      <c r="AM1928" s="1115"/>
      <c r="AN1928" s="1115"/>
      <c r="AO1928" s="1115"/>
      <c r="AP1928" s="1115"/>
      <c r="AQ1928" s="1115"/>
      <c r="AR1928" s="1115"/>
      <c r="AS1928" s="1117"/>
      <c r="AT1928" s="1196" t="str">
        <f t="shared" si="428"/>
        <v>10+</v>
      </c>
      <c r="AU1928" s="1193"/>
      <c r="AV1928" s="330">
        <f>SQRT(($R1928-Infrastructure!J$3)^2+($S1928-Infrastructure!K$3)^2)</f>
        <v>25.40944706</v>
      </c>
      <c r="AW1928" s="331">
        <f>SQRT(($R1928-Infrastructure!J$4)^2+($S1928-Infrastructure!K$4)^2)</f>
        <v>31.75862088</v>
      </c>
      <c r="AX1928" s="331">
        <f>SQRT(($R1928-Infrastructure!J$5)^2+($S1928-Infrastructure!K$5)^2)</f>
        <v>41.54708173</v>
      </c>
      <c r="AY1928" s="331">
        <f>SQRT(($R1928-Infrastructure!J$6)^2+($S1928-Infrastructure!K$6)^2)</f>
        <v>41.36568626</v>
      </c>
      <c r="AZ1928" s="331">
        <f>SQRT(($R1928-Infrastructure!J$7)^2+($S1928-Infrastructure!K$7)^2)</f>
        <v>39.46137352</v>
      </c>
      <c r="BA1928" s="331">
        <f>SQRT(($R1928-Infrastructure!J$8)^2+($S1928-Infrastructure!K$8)^2)</f>
        <v>40.08890121</v>
      </c>
      <c r="BB1928" s="331">
        <f>SQRT(($R1928-Infrastructure!J$9)^2+($S1928-Infrastructure!K$9)^2)</f>
        <v>38.68397601</v>
      </c>
      <c r="BC1928" s="331">
        <f>SQRT(($R1928-Infrastructure!J$10)^2+($S1928-Infrastructure!K$10)^2)</f>
        <v>30.15592811</v>
      </c>
      <c r="BD1928" s="331">
        <f>SQRT(($R1928-Infrastructure!J$11)^2+($S1928-Infrastructure!K$11)^2)</f>
        <v>20.51194774</v>
      </c>
      <c r="BE1928" s="333">
        <f>SQRT(($R1928-Infrastructure!J$12)^2+($S1928-Infrastructure!K$12)^2)</f>
        <v>15.84550409</v>
      </c>
      <c r="BF1928" s="330">
        <f t="shared" si="161"/>
        <v>15.84550409</v>
      </c>
      <c r="BG1928" s="333">
        <f t="shared" si="162"/>
        <v>41.54708173</v>
      </c>
      <c r="BH1928" s="1119"/>
      <c r="BI1928" s="319" t="str">
        <f t="shared" ref="BI1928:BR1928" si="707">IF(ISNUMBER(FIND(BI$3, $CO1928)), "Y", "")</f>
        <v>Y</v>
      </c>
      <c r="BJ1928" s="319" t="str">
        <f t="shared" si="707"/>
        <v>Y</v>
      </c>
      <c r="BK1928" s="319" t="str">
        <f t="shared" si="707"/>
        <v/>
      </c>
      <c r="BL1928" s="319" t="str">
        <f t="shared" si="707"/>
        <v/>
      </c>
      <c r="BM1928" s="319" t="str">
        <f t="shared" si="707"/>
        <v>Y</v>
      </c>
      <c r="BN1928" s="319" t="str">
        <f t="shared" si="707"/>
        <v>Y</v>
      </c>
      <c r="BO1928" s="319" t="str">
        <f t="shared" si="707"/>
        <v/>
      </c>
      <c r="BP1928" s="319" t="str">
        <f t="shared" si="707"/>
        <v/>
      </c>
      <c r="BQ1928" s="319" t="str">
        <f t="shared" si="707"/>
        <v>Y</v>
      </c>
      <c r="BR1928" s="319" t="str">
        <f t="shared" si="707"/>
        <v>Y</v>
      </c>
      <c r="BS1928" s="330">
        <f t="shared" si="185"/>
        <v>15.84550409</v>
      </c>
      <c r="BT1928" s="331">
        <f t="shared" si="170"/>
        <v>40.08890121</v>
      </c>
      <c r="BU1928" s="920">
        <v>0.7195717592592593</v>
      </c>
      <c r="BV1928" s="903">
        <f t="shared" si="186"/>
        <v>0.0006481481481</v>
      </c>
      <c r="BW1928" s="908">
        <v>13.8</v>
      </c>
      <c r="BX1928" s="908">
        <v>41.8</v>
      </c>
      <c r="BY1928" s="331">
        <f t="shared" si="201"/>
        <v>9.144397192</v>
      </c>
      <c r="BZ1928" s="331"/>
      <c r="CA1928" s="462" t="str">
        <f t="shared" ref="CA1928:CJ1928" si="708">IF(ISNUMBER(FIND(BI$3, $CP1928)), "Y", "")</f>
        <v>Y</v>
      </c>
      <c r="CB1928" s="319" t="str">
        <f t="shared" si="708"/>
        <v>Y</v>
      </c>
      <c r="CC1928" s="319" t="str">
        <f t="shared" si="708"/>
        <v>Y</v>
      </c>
      <c r="CD1928" s="319" t="str">
        <f t="shared" si="708"/>
        <v>Y</v>
      </c>
      <c r="CE1928" s="319" t="str">
        <f t="shared" si="708"/>
        <v>Y</v>
      </c>
      <c r="CF1928" s="319" t="str">
        <f t="shared" si="708"/>
        <v>Y</v>
      </c>
      <c r="CG1928" s="319" t="str">
        <f t="shared" si="708"/>
        <v>Y</v>
      </c>
      <c r="CH1928" s="319" t="str">
        <f t="shared" si="708"/>
        <v/>
      </c>
      <c r="CI1928" s="319" t="str">
        <f t="shared" si="708"/>
        <v>Y</v>
      </c>
      <c r="CJ1928" s="319" t="str">
        <f t="shared" si="708"/>
        <v>Y</v>
      </c>
      <c r="CK1928" s="342">
        <f t="shared" si="182"/>
        <v>15.84550409</v>
      </c>
      <c r="CL1928" s="333">
        <f t="shared" si="183"/>
        <v>41.54708173</v>
      </c>
      <c r="CM1928" s="1079" t="s">
        <v>2430</v>
      </c>
      <c r="CN1928" s="1005" t="s">
        <v>2849</v>
      </c>
      <c r="CO1928" s="1005" t="s">
        <v>2884</v>
      </c>
      <c r="CP1928" s="1005" t="s">
        <v>2400</v>
      </c>
    </row>
    <row r="1929">
      <c r="A1929" s="266"/>
      <c r="B1929" s="1113" t="s">
        <v>1649</v>
      </c>
      <c r="C1929" s="1107">
        <v>45490.0</v>
      </c>
      <c r="D1929" s="103"/>
      <c r="E1929" s="1108">
        <v>66.0</v>
      </c>
      <c r="F1929" s="112" t="s">
        <v>2885</v>
      </c>
      <c r="G1929" s="1110">
        <v>0.7225694444444445</v>
      </c>
      <c r="H1929" s="1110">
        <v>0.7231481481481481</v>
      </c>
      <c r="I1929" s="1110"/>
      <c r="J1929" s="1111"/>
      <c r="K1929" s="1111">
        <v>0.7246527777777778</v>
      </c>
      <c r="L1929" s="1112">
        <v>0.0015046296296296296</v>
      </c>
      <c r="M1929" s="1113" t="s">
        <v>166</v>
      </c>
      <c r="N1929" s="110" t="s">
        <v>188</v>
      </c>
      <c r="O1929" s="1115" t="s">
        <v>378</v>
      </c>
      <c r="P1929" s="1115" t="s">
        <v>225</v>
      </c>
      <c r="Q1929" s="1116"/>
      <c r="R1929" s="120">
        <v>22.7</v>
      </c>
      <c r="S1929" s="1113">
        <v>39.7</v>
      </c>
      <c r="T1929" s="110">
        <v>1.1</v>
      </c>
      <c r="U1929" s="1108">
        <v>10.0</v>
      </c>
      <c r="V1929" s="1108"/>
      <c r="W1929" s="1108"/>
      <c r="X1929" s="1108"/>
      <c r="Y1929" s="1108"/>
      <c r="Z1929" s="1114" t="s">
        <v>1140</v>
      </c>
      <c r="AA1929" s="1114"/>
      <c r="AB1929" s="1114" t="s">
        <v>349</v>
      </c>
      <c r="AC1929" s="1117">
        <v>5.0</v>
      </c>
      <c r="AD1929" s="1115"/>
      <c r="AE1929" s="1115"/>
      <c r="AF1929" s="1115"/>
      <c r="AG1929" s="1115"/>
      <c r="AH1929" s="1115"/>
      <c r="AI1929" s="1115"/>
      <c r="AJ1929" s="1117"/>
      <c r="AK1929" s="1118"/>
      <c r="AL1929" s="1115"/>
      <c r="AM1929" s="1115"/>
      <c r="AN1929" s="1115"/>
      <c r="AO1929" s="1115"/>
      <c r="AP1929" s="1115"/>
      <c r="AQ1929" s="1115"/>
      <c r="AR1929" s="1115"/>
      <c r="AS1929" s="1117"/>
      <c r="AT1929" s="1196" t="str">
        <f t="shared" si="428"/>
        <v>10+</v>
      </c>
      <c r="AU1929" s="1193"/>
      <c r="AV1929" s="330">
        <f>SQRT(($R1929-Infrastructure!J$3)^2+($S1929-Infrastructure!K$3)^2)</f>
        <v>25.40944706</v>
      </c>
      <c r="AW1929" s="331">
        <f>SQRT(($R1929-Infrastructure!J$4)^2+($S1929-Infrastructure!K$4)^2)</f>
        <v>31.75862088</v>
      </c>
      <c r="AX1929" s="331">
        <f>SQRT(($R1929-Infrastructure!J$5)^2+($S1929-Infrastructure!K$5)^2)</f>
        <v>41.54708173</v>
      </c>
      <c r="AY1929" s="331">
        <f>SQRT(($R1929-Infrastructure!J$6)^2+($S1929-Infrastructure!K$6)^2)</f>
        <v>41.36568626</v>
      </c>
      <c r="AZ1929" s="331">
        <f>SQRT(($R1929-Infrastructure!J$7)^2+($S1929-Infrastructure!K$7)^2)</f>
        <v>39.46137352</v>
      </c>
      <c r="BA1929" s="331">
        <f>SQRT(($R1929-Infrastructure!J$8)^2+($S1929-Infrastructure!K$8)^2)</f>
        <v>40.08890121</v>
      </c>
      <c r="BB1929" s="331">
        <f>SQRT(($R1929-Infrastructure!J$9)^2+($S1929-Infrastructure!K$9)^2)</f>
        <v>38.68397601</v>
      </c>
      <c r="BC1929" s="331">
        <f>SQRT(($R1929-Infrastructure!J$10)^2+($S1929-Infrastructure!K$10)^2)</f>
        <v>30.15592811</v>
      </c>
      <c r="BD1929" s="331">
        <f>SQRT(($R1929-Infrastructure!J$11)^2+($S1929-Infrastructure!K$11)^2)</f>
        <v>20.51194774</v>
      </c>
      <c r="BE1929" s="333">
        <f>SQRT(($R1929-Infrastructure!J$12)^2+($S1929-Infrastructure!K$12)^2)</f>
        <v>15.84550409</v>
      </c>
      <c r="BF1929" s="330">
        <f t="shared" si="161"/>
        <v>15.84550409</v>
      </c>
      <c r="BG1929" s="333">
        <f t="shared" si="162"/>
        <v>41.54708173</v>
      </c>
      <c r="BH1929" s="1119"/>
      <c r="BI1929" s="319" t="str">
        <f t="shared" ref="BI1929:BR1929" si="709">IF(ISNUMBER(FIND(BI$3, $CO1929)), "Y", "")</f>
        <v>Y</v>
      </c>
      <c r="BJ1929" s="319" t="str">
        <f t="shared" si="709"/>
        <v/>
      </c>
      <c r="BK1929" s="319" t="str">
        <f t="shared" si="709"/>
        <v/>
      </c>
      <c r="BL1929" s="319" t="str">
        <f t="shared" si="709"/>
        <v/>
      </c>
      <c r="BM1929" s="319" t="str">
        <f t="shared" si="709"/>
        <v>Y</v>
      </c>
      <c r="BN1929" s="319" t="str">
        <f t="shared" si="709"/>
        <v>Y</v>
      </c>
      <c r="BO1929" s="319" t="str">
        <f t="shared" si="709"/>
        <v>Y</v>
      </c>
      <c r="BP1929" s="319" t="str">
        <f t="shared" si="709"/>
        <v/>
      </c>
      <c r="BQ1929" s="319" t="str">
        <f t="shared" si="709"/>
        <v>Y</v>
      </c>
      <c r="BR1929" s="319" t="str">
        <f t="shared" si="709"/>
        <v>Y</v>
      </c>
      <c r="BS1929" s="330">
        <f t="shared" si="185"/>
        <v>15.84550409</v>
      </c>
      <c r="BT1929" s="331">
        <f t="shared" si="170"/>
        <v>40.08890121</v>
      </c>
      <c r="BU1929" s="920">
        <v>0.7231597222222222</v>
      </c>
      <c r="BV1929" s="903">
        <f t="shared" si="186"/>
        <v>0.0005902777778</v>
      </c>
      <c r="BW1929" s="908">
        <v>19.7</v>
      </c>
      <c r="BX1929" s="908">
        <v>39.8</v>
      </c>
      <c r="BY1929" s="331">
        <f t="shared" si="201"/>
        <v>3.001666204</v>
      </c>
      <c r="BZ1929" s="331"/>
      <c r="CA1929" s="462" t="str">
        <f t="shared" ref="CA1929:CJ1929" si="710">IF(ISNUMBER(FIND(BI$3, $CP1929)), "Y", "")</f>
        <v>Y</v>
      </c>
      <c r="CB1929" s="319" t="str">
        <f t="shared" si="710"/>
        <v>Y</v>
      </c>
      <c r="CC1929" s="319" t="str">
        <f t="shared" si="710"/>
        <v>Y</v>
      </c>
      <c r="CD1929" s="319" t="str">
        <f t="shared" si="710"/>
        <v>Y</v>
      </c>
      <c r="CE1929" s="319" t="str">
        <f t="shared" si="710"/>
        <v>Y</v>
      </c>
      <c r="CF1929" s="319" t="str">
        <f t="shared" si="710"/>
        <v>Y</v>
      </c>
      <c r="CG1929" s="319" t="str">
        <f t="shared" si="710"/>
        <v>Y</v>
      </c>
      <c r="CH1929" s="319" t="str">
        <f t="shared" si="710"/>
        <v/>
      </c>
      <c r="CI1929" s="319" t="str">
        <f t="shared" si="710"/>
        <v>Y</v>
      </c>
      <c r="CJ1929" s="319" t="str">
        <f t="shared" si="710"/>
        <v>Y</v>
      </c>
      <c r="CK1929" s="342">
        <f t="shared" si="182"/>
        <v>15.84550409</v>
      </c>
      <c r="CL1929" s="333">
        <f t="shared" si="183"/>
        <v>41.54708173</v>
      </c>
      <c r="CM1929" s="1079" t="s">
        <v>2794</v>
      </c>
      <c r="CN1929" s="1005" t="s">
        <v>2849</v>
      </c>
      <c r="CO1929" s="1005" t="s">
        <v>2507</v>
      </c>
      <c r="CP1929" s="1005" t="s">
        <v>2400</v>
      </c>
    </row>
    <row r="1930">
      <c r="A1930" s="266"/>
      <c r="B1930" s="1113" t="s">
        <v>1649</v>
      </c>
      <c r="C1930" s="1107">
        <v>45490.0</v>
      </c>
      <c r="D1930" s="103"/>
      <c r="E1930" s="1108">
        <v>67.0</v>
      </c>
      <c r="F1930" s="112" t="s">
        <v>2886</v>
      </c>
      <c r="G1930" s="1110">
        <v>0.7253472222222223</v>
      </c>
      <c r="H1930" s="1110">
        <v>0.7263888888888889</v>
      </c>
      <c r="I1930" s="1110"/>
      <c r="J1930" s="1111"/>
      <c r="K1930" s="1111">
        <v>0.7291666666666666</v>
      </c>
      <c r="L1930" s="1112">
        <v>0.002777777777777778</v>
      </c>
      <c r="M1930" s="1113" t="s">
        <v>166</v>
      </c>
      <c r="N1930" s="110" t="s">
        <v>188</v>
      </c>
      <c r="O1930" s="1115" t="s">
        <v>378</v>
      </c>
      <c r="P1930" s="1115" t="s">
        <v>225</v>
      </c>
      <c r="Q1930" s="1116"/>
      <c r="R1930" s="120">
        <v>22.7</v>
      </c>
      <c r="S1930" s="1113">
        <v>39.7</v>
      </c>
      <c r="T1930" s="110">
        <v>1.1</v>
      </c>
      <c r="U1930" s="1108">
        <v>5.0</v>
      </c>
      <c r="V1930" s="1108"/>
      <c r="W1930" s="1108"/>
      <c r="X1930" s="1108"/>
      <c r="Y1930" s="1108"/>
      <c r="Z1930" s="1114" t="s">
        <v>1140</v>
      </c>
      <c r="AA1930" s="1114"/>
      <c r="AB1930" s="1114" t="s">
        <v>349</v>
      </c>
      <c r="AC1930" s="1117">
        <v>5.0</v>
      </c>
      <c r="AD1930" s="1115"/>
      <c r="AE1930" s="1115"/>
      <c r="AF1930" s="1115"/>
      <c r="AG1930" s="1115"/>
      <c r="AH1930" s="1115"/>
      <c r="AI1930" s="1115"/>
      <c r="AJ1930" s="1117"/>
      <c r="AK1930" s="1118"/>
      <c r="AL1930" s="1115"/>
      <c r="AM1930" s="1115"/>
      <c r="AN1930" s="1115"/>
      <c r="AO1930" s="1115"/>
      <c r="AP1930" s="1115"/>
      <c r="AQ1930" s="1115"/>
      <c r="AR1930" s="1115"/>
      <c r="AS1930" s="1117"/>
      <c r="AT1930" s="1196" t="str">
        <f t="shared" si="428"/>
        <v>1-10</v>
      </c>
      <c r="AU1930" s="1193"/>
      <c r="AV1930" s="330">
        <f>SQRT(($R1930-Infrastructure!J$3)^2+($S1930-Infrastructure!K$3)^2)</f>
        <v>25.40944706</v>
      </c>
      <c r="AW1930" s="331">
        <f>SQRT(($R1930-Infrastructure!J$4)^2+($S1930-Infrastructure!K$4)^2)</f>
        <v>31.75862088</v>
      </c>
      <c r="AX1930" s="331">
        <f>SQRT(($R1930-Infrastructure!J$5)^2+($S1930-Infrastructure!K$5)^2)</f>
        <v>41.54708173</v>
      </c>
      <c r="AY1930" s="331">
        <f>SQRT(($R1930-Infrastructure!J$6)^2+($S1930-Infrastructure!K$6)^2)</f>
        <v>41.36568626</v>
      </c>
      <c r="AZ1930" s="331">
        <f>SQRT(($R1930-Infrastructure!J$7)^2+($S1930-Infrastructure!K$7)^2)</f>
        <v>39.46137352</v>
      </c>
      <c r="BA1930" s="331">
        <f>SQRT(($R1930-Infrastructure!J$8)^2+($S1930-Infrastructure!K$8)^2)</f>
        <v>40.08890121</v>
      </c>
      <c r="BB1930" s="331">
        <f>SQRT(($R1930-Infrastructure!J$9)^2+($S1930-Infrastructure!K$9)^2)</f>
        <v>38.68397601</v>
      </c>
      <c r="BC1930" s="331">
        <f>SQRT(($R1930-Infrastructure!J$10)^2+($S1930-Infrastructure!K$10)^2)</f>
        <v>30.15592811</v>
      </c>
      <c r="BD1930" s="331">
        <f>SQRT(($R1930-Infrastructure!J$11)^2+($S1930-Infrastructure!K$11)^2)</f>
        <v>20.51194774</v>
      </c>
      <c r="BE1930" s="333">
        <f>SQRT(($R1930-Infrastructure!J$12)^2+($S1930-Infrastructure!K$12)^2)</f>
        <v>15.84550409</v>
      </c>
      <c r="BF1930" s="330">
        <f t="shared" si="161"/>
        <v>15.84550409</v>
      </c>
      <c r="BG1930" s="333">
        <f t="shared" si="162"/>
        <v>41.54708173</v>
      </c>
      <c r="BH1930" s="1119"/>
      <c r="BI1930" s="319" t="str">
        <f t="shared" ref="BI1930:BR1930" si="711">IF(ISNUMBER(FIND(BI$3, $CO1930)), "Y", "")</f>
        <v>Y</v>
      </c>
      <c r="BJ1930" s="319" t="str">
        <f t="shared" si="711"/>
        <v/>
      </c>
      <c r="BK1930" s="319" t="str">
        <f t="shared" si="711"/>
        <v/>
      </c>
      <c r="BL1930" s="319" t="str">
        <f t="shared" si="711"/>
        <v/>
      </c>
      <c r="BM1930" s="319" t="str">
        <f t="shared" si="711"/>
        <v>Y</v>
      </c>
      <c r="BN1930" s="319" t="str">
        <f t="shared" si="711"/>
        <v>Y</v>
      </c>
      <c r="BO1930" s="319" t="str">
        <f t="shared" si="711"/>
        <v/>
      </c>
      <c r="BP1930" s="319" t="str">
        <f t="shared" si="711"/>
        <v/>
      </c>
      <c r="BQ1930" s="319" t="str">
        <f t="shared" si="711"/>
        <v>Y</v>
      </c>
      <c r="BR1930" s="319" t="str">
        <f t="shared" si="711"/>
        <v>Y</v>
      </c>
      <c r="BS1930" s="330">
        <f t="shared" si="185"/>
        <v>15.84550409</v>
      </c>
      <c r="BT1930" s="331">
        <f t="shared" si="170"/>
        <v>40.08890121</v>
      </c>
      <c r="BU1930" s="920">
        <v>0.7260069444444445</v>
      </c>
      <c r="BV1930" s="903">
        <f t="shared" si="186"/>
        <v>0.0006597222222</v>
      </c>
      <c r="BW1930" s="908">
        <v>15.1</v>
      </c>
      <c r="BX1930" s="908">
        <v>42.6</v>
      </c>
      <c r="BY1930" s="331">
        <f t="shared" si="201"/>
        <v>8.134494453</v>
      </c>
      <c r="BZ1930" s="331"/>
      <c r="CA1930" s="462" t="str">
        <f t="shared" ref="CA1930:CJ1930" si="712">IF(ISNUMBER(FIND(BI$3, $CP1930)), "Y", "")</f>
        <v>Y</v>
      </c>
      <c r="CB1930" s="319" t="str">
        <f t="shared" si="712"/>
        <v>Y</v>
      </c>
      <c r="CC1930" s="319" t="str">
        <f t="shared" si="712"/>
        <v>Y</v>
      </c>
      <c r="CD1930" s="319" t="str">
        <f t="shared" si="712"/>
        <v>Y</v>
      </c>
      <c r="CE1930" s="319" t="str">
        <f t="shared" si="712"/>
        <v>Y</v>
      </c>
      <c r="CF1930" s="319" t="str">
        <f t="shared" si="712"/>
        <v>Y</v>
      </c>
      <c r="CG1930" s="319" t="str">
        <f t="shared" si="712"/>
        <v>Y</v>
      </c>
      <c r="CH1930" s="319" t="str">
        <f t="shared" si="712"/>
        <v/>
      </c>
      <c r="CI1930" s="319" t="str">
        <f t="shared" si="712"/>
        <v>Y</v>
      </c>
      <c r="CJ1930" s="319" t="str">
        <f t="shared" si="712"/>
        <v>Y</v>
      </c>
      <c r="CK1930" s="342">
        <f t="shared" si="182"/>
        <v>15.84550409</v>
      </c>
      <c r="CL1930" s="333">
        <f t="shared" si="183"/>
        <v>41.54708173</v>
      </c>
      <c r="CM1930" s="1079" t="s">
        <v>2582</v>
      </c>
      <c r="CN1930" s="1005" t="s">
        <v>2849</v>
      </c>
      <c r="CO1930" s="1005" t="s">
        <v>2500</v>
      </c>
      <c r="CP1930" s="1005" t="s">
        <v>2400</v>
      </c>
    </row>
    <row r="1931">
      <c r="A1931" s="266"/>
      <c r="B1931" s="1113" t="s">
        <v>1649</v>
      </c>
      <c r="C1931" s="1107">
        <v>45490.0</v>
      </c>
      <c r="D1931" s="103"/>
      <c r="E1931" s="1137"/>
      <c r="F1931" s="112" t="s">
        <v>2845</v>
      </c>
      <c r="G1931" s="1110">
        <v>0.7314236111111111</v>
      </c>
      <c r="H1931" s="1138"/>
      <c r="I1931" s="1138"/>
      <c r="J1931" s="1139"/>
      <c r="K1931" s="1111">
        <v>0.7326388888888888</v>
      </c>
      <c r="L1931" s="1112">
        <v>0.0012152777777777778</v>
      </c>
      <c r="M1931" s="1113" t="s">
        <v>166</v>
      </c>
      <c r="N1931" s="110" t="s">
        <v>188</v>
      </c>
      <c r="O1931" s="1140"/>
      <c r="P1931" s="1115" t="s">
        <v>292</v>
      </c>
      <c r="Q1931" s="1116"/>
      <c r="R1931" s="1141"/>
      <c r="S1931" s="1113"/>
      <c r="T1931" s="1143"/>
      <c r="U1931" s="1108" t="s">
        <v>323</v>
      </c>
      <c r="V1931" s="1108"/>
      <c r="W1931" s="1108"/>
      <c r="X1931" s="1108"/>
      <c r="Y1931" s="1108"/>
      <c r="Z1931" s="1114" t="s">
        <v>323</v>
      </c>
      <c r="AA1931" s="1114"/>
      <c r="AB1931" s="1114" t="s">
        <v>323</v>
      </c>
      <c r="AC1931" s="1117" t="s">
        <v>323</v>
      </c>
      <c r="AD1931" s="1115"/>
      <c r="AE1931" s="1115"/>
      <c r="AF1931" s="1115"/>
      <c r="AG1931" s="1115"/>
      <c r="AH1931" s="1115"/>
      <c r="AI1931" s="1115"/>
      <c r="AJ1931" s="1117"/>
      <c r="AK1931" s="1118"/>
      <c r="AL1931" s="1115"/>
      <c r="AM1931" s="1115"/>
      <c r="AN1931" s="1115"/>
      <c r="AO1931" s="1115"/>
      <c r="AP1931" s="1115"/>
      <c r="AQ1931" s="1115"/>
      <c r="AR1931" s="1115"/>
      <c r="AS1931" s="1117"/>
      <c r="AT1931" s="1196" t="str">
        <f t="shared" si="428"/>
        <v/>
      </c>
      <c r="AU1931" s="1193"/>
      <c r="AV1931" s="330">
        <f>SQRT(($R1931-Infrastructure!J$3)^2+($S1931-Infrastructure!K$3)^2)</f>
        <v>28.90155705</v>
      </c>
      <c r="AW1931" s="331">
        <f>SQRT(($R1931-Infrastructure!J$4)^2+($S1931-Infrastructure!K$4)^2)</f>
        <v>17.80252791</v>
      </c>
      <c r="AX1931" s="331">
        <f>SQRT(($R1931-Infrastructure!J$5)^2+($S1931-Infrastructure!K$5)^2)</f>
        <v>5.10881591</v>
      </c>
      <c r="AY1931" s="331">
        <f>SQRT(($R1931-Infrastructure!J$6)^2+($S1931-Infrastructure!K$6)^2)</f>
        <v>10.10445446</v>
      </c>
      <c r="AZ1931" s="331">
        <f>SQRT(($R1931-Infrastructure!J$7)^2+($S1931-Infrastructure!K$7)^2)</f>
        <v>20.502195</v>
      </c>
      <c r="BA1931" s="331">
        <f>SQRT(($R1931-Infrastructure!J$8)^2+($S1931-Infrastructure!K$8)^2)</f>
        <v>30.10149498</v>
      </c>
      <c r="BB1931" s="331">
        <f>SQRT(($R1931-Infrastructure!J$9)^2+($S1931-Infrastructure!K$9)^2)</f>
        <v>40.3238143</v>
      </c>
      <c r="BC1931" s="331">
        <f>SQRT(($R1931-Infrastructure!J$10)^2+($S1931-Infrastructure!K$10)^2)</f>
        <v>42.72001873</v>
      </c>
      <c r="BD1931" s="331">
        <f>SQRT(($R1931-Infrastructure!J$11)^2+($S1931-Infrastructure!K$11)^2)</f>
        <v>49.56853841</v>
      </c>
      <c r="BE1931" s="333">
        <f>SQRT(($R1931-Infrastructure!J$12)^2+($S1931-Infrastructure!K$12)^2)</f>
        <v>59.51890456</v>
      </c>
      <c r="BF1931" s="330">
        <f t="shared" si="161"/>
        <v>5.10881591</v>
      </c>
      <c r="BG1931" s="333">
        <f t="shared" si="162"/>
        <v>59.51890456</v>
      </c>
      <c r="BH1931" s="1119"/>
      <c r="BI1931" s="319" t="str">
        <f t="shared" ref="BI1931:BR1931" si="713">IF(ISNUMBER(FIND(BI$3, $CO1931)), "Y", "")</f>
        <v>Y</v>
      </c>
      <c r="BJ1931" s="319" t="str">
        <f t="shared" si="713"/>
        <v/>
      </c>
      <c r="BK1931" s="319" t="str">
        <f t="shared" si="713"/>
        <v/>
      </c>
      <c r="BL1931" s="319" t="str">
        <f t="shared" si="713"/>
        <v/>
      </c>
      <c r="BM1931" s="319" t="str">
        <f t="shared" si="713"/>
        <v>Y</v>
      </c>
      <c r="BN1931" s="319" t="str">
        <f t="shared" si="713"/>
        <v>Y</v>
      </c>
      <c r="BO1931" s="319" t="str">
        <f t="shared" si="713"/>
        <v>Y</v>
      </c>
      <c r="BP1931" s="319" t="str">
        <f t="shared" si="713"/>
        <v/>
      </c>
      <c r="BQ1931" s="319" t="str">
        <f t="shared" si="713"/>
        <v>Y</v>
      </c>
      <c r="BR1931" s="319" t="str">
        <f t="shared" si="713"/>
        <v>Y</v>
      </c>
      <c r="BS1931" s="330">
        <f t="shared" si="185"/>
        <v>20.502195</v>
      </c>
      <c r="BT1931" s="331">
        <f t="shared" si="170"/>
        <v>59.51890456</v>
      </c>
      <c r="BU1931" s="920">
        <v>0.7324305555555556</v>
      </c>
      <c r="BV1931" s="903">
        <f t="shared" si="186"/>
        <v>0.001006944444</v>
      </c>
      <c r="BW1931" s="908">
        <v>11.1</v>
      </c>
      <c r="BX1931" s="908">
        <v>40.0</v>
      </c>
      <c r="BY1931" s="331">
        <f t="shared" si="201"/>
        <v>41.51156465</v>
      </c>
      <c r="BZ1931" s="331"/>
      <c r="CA1931" s="462" t="str">
        <f t="shared" ref="CA1931:CJ1931" si="714">IF(ISNUMBER(FIND(BI$3, $CP1931)), "Y", "")</f>
        <v>Y</v>
      </c>
      <c r="CB1931" s="319" t="str">
        <f t="shared" si="714"/>
        <v>Y</v>
      </c>
      <c r="CC1931" s="319" t="str">
        <f t="shared" si="714"/>
        <v>Y</v>
      </c>
      <c r="CD1931" s="319" t="str">
        <f t="shared" si="714"/>
        <v>Y</v>
      </c>
      <c r="CE1931" s="319" t="str">
        <f t="shared" si="714"/>
        <v>Y</v>
      </c>
      <c r="CF1931" s="319" t="str">
        <f t="shared" si="714"/>
        <v>Y</v>
      </c>
      <c r="CG1931" s="319" t="str">
        <f t="shared" si="714"/>
        <v>Y</v>
      </c>
      <c r="CH1931" s="319" t="str">
        <f t="shared" si="714"/>
        <v/>
      </c>
      <c r="CI1931" s="319" t="str">
        <f t="shared" si="714"/>
        <v>Y</v>
      </c>
      <c r="CJ1931" s="319" t="str">
        <f t="shared" si="714"/>
        <v>Y</v>
      </c>
      <c r="CK1931" s="342">
        <f t="shared" si="182"/>
        <v>5.10881591</v>
      </c>
      <c r="CL1931" s="333">
        <f t="shared" si="183"/>
        <v>59.51890456</v>
      </c>
      <c r="CM1931" s="1079" t="s">
        <v>2418</v>
      </c>
      <c r="CN1931" s="1005" t="s">
        <v>2849</v>
      </c>
      <c r="CO1931" s="1005" t="s">
        <v>2507</v>
      </c>
      <c r="CP1931" s="1005" t="s">
        <v>2400</v>
      </c>
    </row>
    <row r="1932">
      <c r="A1932" s="1258"/>
      <c r="B1932" s="1129" t="s">
        <v>1649</v>
      </c>
      <c r="C1932" s="1122">
        <v>45490.0</v>
      </c>
      <c r="D1932" s="1123"/>
      <c r="E1932" s="1144"/>
      <c r="F1932" s="108" t="s">
        <v>2845</v>
      </c>
      <c r="G1932" s="1126">
        <v>0.7222222222222222</v>
      </c>
      <c r="H1932" s="1145"/>
      <c r="I1932" s="1145"/>
      <c r="J1932" s="1146"/>
      <c r="K1932" s="1127">
        <v>0.7246527777777778</v>
      </c>
      <c r="L1932" s="1128">
        <v>0.0024305555555555556</v>
      </c>
      <c r="M1932" s="1129" t="s">
        <v>358</v>
      </c>
      <c r="N1932" s="100" t="s">
        <v>188</v>
      </c>
      <c r="O1932" s="1161"/>
      <c r="P1932" s="1131" t="s">
        <v>294</v>
      </c>
      <c r="Q1932" s="1132"/>
      <c r="R1932" s="1148"/>
      <c r="S1932" s="1129"/>
      <c r="T1932" s="1150"/>
      <c r="U1932" s="1124" t="s">
        <v>323</v>
      </c>
      <c r="V1932" s="1124"/>
      <c r="W1932" s="1124"/>
      <c r="X1932" s="1124"/>
      <c r="Y1932" s="1124"/>
      <c r="Z1932" s="1130" t="s">
        <v>323</v>
      </c>
      <c r="AA1932" s="1130"/>
      <c r="AB1932" s="1130" t="s">
        <v>323</v>
      </c>
      <c r="AC1932" s="1133" t="s">
        <v>323</v>
      </c>
      <c r="AD1932" s="1131"/>
      <c r="AE1932" s="1131"/>
      <c r="AF1932" s="1131"/>
      <c r="AG1932" s="1131"/>
      <c r="AH1932" s="1131"/>
      <c r="AI1932" s="1131"/>
      <c r="AJ1932" s="1133"/>
      <c r="AK1932" s="1134"/>
      <c r="AL1932" s="1131"/>
      <c r="AM1932" s="1131"/>
      <c r="AN1932" s="1131"/>
      <c r="AO1932" s="1131"/>
      <c r="AP1932" s="1131"/>
      <c r="AQ1932" s="1131"/>
      <c r="AR1932" s="1131"/>
      <c r="AS1932" s="1133"/>
      <c r="AT1932" s="1197" t="str">
        <f t="shared" si="428"/>
        <v/>
      </c>
      <c r="AU1932" s="1194"/>
      <c r="AV1932" s="662">
        <f>SQRT(($R1932-Infrastructure!J$3)^2+($S1932-Infrastructure!K$3)^2)</f>
        <v>28.90155705</v>
      </c>
      <c r="AW1932" s="641">
        <f>SQRT(($R1932-Infrastructure!J$4)^2+($S1932-Infrastructure!K$4)^2)</f>
        <v>17.80252791</v>
      </c>
      <c r="AX1932" s="641">
        <f>SQRT(($R1932-Infrastructure!J$5)^2+($S1932-Infrastructure!K$5)^2)</f>
        <v>5.10881591</v>
      </c>
      <c r="AY1932" s="641">
        <f>SQRT(($R1932-Infrastructure!J$6)^2+($S1932-Infrastructure!K$6)^2)</f>
        <v>10.10445446</v>
      </c>
      <c r="AZ1932" s="641">
        <f>SQRT(($R1932-Infrastructure!J$7)^2+($S1932-Infrastructure!K$7)^2)</f>
        <v>20.502195</v>
      </c>
      <c r="BA1932" s="641">
        <f>SQRT(($R1932-Infrastructure!J$8)^2+($S1932-Infrastructure!K$8)^2)</f>
        <v>30.10149498</v>
      </c>
      <c r="BB1932" s="641">
        <f>SQRT(($R1932-Infrastructure!J$9)^2+($S1932-Infrastructure!K$9)^2)</f>
        <v>40.3238143</v>
      </c>
      <c r="BC1932" s="641">
        <f>SQRT(($R1932-Infrastructure!J$10)^2+($S1932-Infrastructure!K$10)^2)</f>
        <v>42.72001873</v>
      </c>
      <c r="BD1932" s="641">
        <f>SQRT(($R1932-Infrastructure!J$11)^2+($S1932-Infrastructure!K$11)^2)</f>
        <v>49.56853841</v>
      </c>
      <c r="BE1932" s="642">
        <f>SQRT(($R1932-Infrastructure!J$12)^2+($S1932-Infrastructure!K$12)^2)</f>
        <v>59.51890456</v>
      </c>
      <c r="BF1932" s="662">
        <f t="shared" si="161"/>
        <v>5.10881591</v>
      </c>
      <c r="BG1932" s="642">
        <f t="shared" si="162"/>
        <v>59.51890456</v>
      </c>
      <c r="BH1932" s="1135"/>
      <c r="BI1932" s="663" t="str">
        <f t="shared" ref="BI1932:BR1932" si="715">IF(ISNUMBER(FIND(BI$3, $CO1932)), "Y", "")</f>
        <v>Y</v>
      </c>
      <c r="BJ1932" s="663" t="str">
        <f t="shared" si="715"/>
        <v/>
      </c>
      <c r="BK1932" s="663" t="str">
        <f t="shared" si="715"/>
        <v/>
      </c>
      <c r="BL1932" s="663" t="str">
        <f t="shared" si="715"/>
        <v/>
      </c>
      <c r="BM1932" s="663" t="str">
        <f t="shared" si="715"/>
        <v>Y</v>
      </c>
      <c r="BN1932" s="663" t="str">
        <f t="shared" si="715"/>
        <v>Y</v>
      </c>
      <c r="BO1932" s="663" t="str">
        <f t="shared" si="715"/>
        <v/>
      </c>
      <c r="BP1932" s="663" t="str">
        <f t="shared" si="715"/>
        <v/>
      </c>
      <c r="BQ1932" s="663" t="str">
        <f t="shared" si="715"/>
        <v>Y</v>
      </c>
      <c r="BR1932" s="663" t="str">
        <f t="shared" si="715"/>
        <v>Y</v>
      </c>
      <c r="BS1932" s="662">
        <f t="shared" si="185"/>
        <v>20.502195</v>
      </c>
      <c r="BT1932" s="641">
        <f t="shared" si="170"/>
        <v>59.51890456</v>
      </c>
      <c r="BU1932" s="937">
        <v>0.7231597222222222</v>
      </c>
      <c r="BV1932" s="930">
        <f t="shared" si="186"/>
        <v>0.0009375</v>
      </c>
      <c r="BW1932" s="939">
        <v>19.7</v>
      </c>
      <c r="BX1932" s="939">
        <v>39.8</v>
      </c>
      <c r="BY1932" s="641">
        <f t="shared" si="201"/>
        <v>44.40867032</v>
      </c>
      <c r="BZ1932" s="641"/>
      <c r="CA1932" s="635" t="str">
        <f t="shared" ref="CA1932:CJ1932" si="716">IF(ISNUMBER(FIND(BI$3, $CP1932)), "Y", "")</f>
        <v>Y</v>
      </c>
      <c r="CB1932" s="663" t="str">
        <f t="shared" si="716"/>
        <v>Y</v>
      </c>
      <c r="CC1932" s="663" t="str">
        <f t="shared" si="716"/>
        <v>Y</v>
      </c>
      <c r="CD1932" s="663" t="str">
        <f t="shared" si="716"/>
        <v>Y</v>
      </c>
      <c r="CE1932" s="663" t="str">
        <f t="shared" si="716"/>
        <v>Y</v>
      </c>
      <c r="CF1932" s="663" t="str">
        <f t="shared" si="716"/>
        <v>Y</v>
      </c>
      <c r="CG1932" s="663" t="str">
        <f t="shared" si="716"/>
        <v>Y</v>
      </c>
      <c r="CH1932" s="663" t="str">
        <f t="shared" si="716"/>
        <v/>
      </c>
      <c r="CI1932" s="663" t="str">
        <f t="shared" si="716"/>
        <v>Y</v>
      </c>
      <c r="CJ1932" s="663" t="str">
        <f t="shared" si="716"/>
        <v>Y</v>
      </c>
      <c r="CK1932" s="743">
        <f t="shared" si="182"/>
        <v>5.10881591</v>
      </c>
      <c r="CL1932" s="642">
        <f t="shared" si="183"/>
        <v>59.51890456</v>
      </c>
      <c r="CM1932" s="1090" t="s">
        <v>2794</v>
      </c>
      <c r="CN1932" s="1036" t="s">
        <v>2849</v>
      </c>
      <c r="CO1932" s="1036" t="s">
        <v>2500</v>
      </c>
      <c r="CP1932" s="1036" t="s">
        <v>2400</v>
      </c>
    </row>
    <row r="1933">
      <c r="A1933" s="1257" t="s">
        <v>110</v>
      </c>
      <c r="B1933" s="1113" t="s">
        <v>1652</v>
      </c>
      <c r="C1933" s="1107">
        <v>45495.0</v>
      </c>
      <c r="D1933" s="103"/>
      <c r="E1933" s="1108">
        <v>1.0</v>
      </c>
      <c r="F1933" s="112" t="s">
        <v>2887</v>
      </c>
      <c r="G1933" s="1110">
        <v>0.6464699074074074</v>
      </c>
      <c r="H1933" s="1110">
        <v>0.6479166666666667</v>
      </c>
      <c r="I1933" s="1110"/>
      <c r="J1933" s="1111"/>
      <c r="K1933" s="1111">
        <v>0.6616319444444444</v>
      </c>
      <c r="L1933" s="1112">
        <v>0.013715277777777778</v>
      </c>
      <c r="M1933" s="1113" t="s">
        <v>166</v>
      </c>
      <c r="N1933" s="110" t="s">
        <v>188</v>
      </c>
      <c r="O1933" s="1115" t="s">
        <v>196</v>
      </c>
      <c r="P1933" s="1115" t="s">
        <v>224</v>
      </c>
      <c r="Q1933" s="1116"/>
      <c r="R1933" s="120">
        <v>21.7</v>
      </c>
      <c r="S1933" s="1113">
        <v>39.5</v>
      </c>
      <c r="T1933" s="110">
        <v>1.3</v>
      </c>
      <c r="U1933" s="1261">
        <v>55.55555556</v>
      </c>
      <c r="V1933" s="1261"/>
      <c r="W1933" s="1261"/>
      <c r="X1933" s="1261"/>
      <c r="Y1933" s="1261"/>
      <c r="Z1933" s="1114" t="s">
        <v>387</v>
      </c>
      <c r="AA1933" s="1114"/>
      <c r="AB1933" s="1114" t="s">
        <v>416</v>
      </c>
      <c r="AC1933" s="1117">
        <v>52.5</v>
      </c>
      <c r="AD1933" s="1115"/>
      <c r="AE1933" s="1115"/>
      <c r="AF1933" s="1115"/>
      <c r="AG1933" s="1115"/>
      <c r="AH1933" s="1115"/>
      <c r="AI1933" s="1115"/>
      <c r="AJ1933" s="1117"/>
      <c r="AK1933" s="1118"/>
      <c r="AL1933" s="1115"/>
      <c r="AM1933" s="1115"/>
      <c r="AN1933" s="1115"/>
      <c r="AO1933" s="1115"/>
      <c r="AP1933" s="1115"/>
      <c r="AQ1933" s="1115"/>
      <c r="AR1933" s="1115"/>
      <c r="AS1933" s="1117"/>
      <c r="AT1933" s="1196" t="str">
        <f t="shared" si="428"/>
        <v>10+</v>
      </c>
      <c r="AU1933" s="1193"/>
      <c r="AV1933" s="330">
        <f>SQRT(($R1933-Infrastructure!J$3)^2+($S1933-Infrastructure!K$3)^2)</f>
        <v>24.42048321</v>
      </c>
      <c r="AW1933" s="331">
        <f>SQRT(($R1933-Infrastructure!J$4)^2+($S1933-Infrastructure!K$4)^2)</f>
        <v>30.90129447</v>
      </c>
      <c r="AX1933" s="331">
        <f>SQRT(($R1933-Infrastructure!J$5)^2+($S1933-Infrastructure!K$5)^2)</f>
        <v>40.83331973</v>
      </c>
      <c r="AY1933" s="331">
        <f>SQRT(($R1933-Infrastructure!J$6)^2+($S1933-Infrastructure!K$6)^2)</f>
        <v>40.88031311</v>
      </c>
      <c r="AZ1933" s="331">
        <f>SQRT(($R1933-Infrastructure!J$7)^2+($S1933-Infrastructure!K$7)^2)</f>
        <v>39.21836305</v>
      </c>
      <c r="BA1933" s="331">
        <f>SQRT(($R1933-Infrastructure!J$8)^2+($S1933-Infrastructure!K$8)^2)</f>
        <v>40.08989898</v>
      </c>
      <c r="BB1933" s="331">
        <f>SQRT(($R1933-Infrastructure!J$9)^2+($S1933-Infrastructure!K$9)^2)</f>
        <v>38.96472764</v>
      </c>
      <c r="BC1933" s="331">
        <f>SQRT(($R1933-Infrastructure!J$10)^2+($S1933-Infrastructure!K$10)^2)</f>
        <v>30.58005886</v>
      </c>
      <c r="BD1933" s="331">
        <f>SQRT(($R1933-Infrastructure!J$11)^2+($S1933-Infrastructure!K$11)^2)</f>
        <v>21.27204739</v>
      </c>
      <c r="BE1933" s="333">
        <f>SQRT(($R1933-Infrastructure!J$12)^2+($S1933-Infrastructure!K$12)^2)</f>
        <v>16.00124995</v>
      </c>
      <c r="BF1933" s="330">
        <f t="shared" si="161"/>
        <v>16.00124995</v>
      </c>
      <c r="BG1933" s="333">
        <f t="shared" si="162"/>
        <v>40.88031311</v>
      </c>
      <c r="BH1933" s="1119"/>
      <c r="BI1933" s="319" t="str">
        <f t="shared" ref="BI1933:BR1933" si="717">IF(ISNUMBER(FIND(BI$3, $CO1933)), "Y", "")</f>
        <v>Y</v>
      </c>
      <c r="BJ1933" s="319" t="str">
        <f t="shared" si="717"/>
        <v/>
      </c>
      <c r="BK1933" s="319" t="str">
        <f t="shared" si="717"/>
        <v/>
      </c>
      <c r="BL1933" s="319" t="str">
        <f t="shared" si="717"/>
        <v/>
      </c>
      <c r="BM1933" s="319" t="str">
        <f t="shared" si="717"/>
        <v>Y</v>
      </c>
      <c r="BN1933" s="319" t="str">
        <f t="shared" si="717"/>
        <v>Y</v>
      </c>
      <c r="BO1933" s="319" t="str">
        <f t="shared" si="717"/>
        <v>Y</v>
      </c>
      <c r="BP1933" s="319" t="str">
        <f t="shared" si="717"/>
        <v/>
      </c>
      <c r="BQ1933" s="319" t="str">
        <f t="shared" si="717"/>
        <v>Y</v>
      </c>
      <c r="BR1933" s="319" t="str">
        <f t="shared" si="717"/>
        <v>Y</v>
      </c>
      <c r="BS1933" s="330">
        <f t="shared" si="185"/>
        <v>16.00124995</v>
      </c>
      <c r="BT1933" s="331">
        <f t="shared" si="170"/>
        <v>40.08989898</v>
      </c>
      <c r="BU1933" s="920">
        <v>0.6470486111111111</v>
      </c>
      <c r="BV1933" s="903">
        <f t="shared" si="186"/>
        <v>0.0005787037037</v>
      </c>
      <c r="BW1933" s="908">
        <v>14.2</v>
      </c>
      <c r="BX1933" s="908">
        <v>42.5</v>
      </c>
      <c r="BY1933" s="331">
        <f t="shared" si="201"/>
        <v>8.077747211</v>
      </c>
      <c r="BZ1933" s="331"/>
      <c r="CA1933" s="462" t="str">
        <f t="shared" ref="CA1933:CJ1933" si="718">IF(ISNUMBER(FIND(BI$3, $CP1933)), "Y", "")</f>
        <v/>
      </c>
      <c r="CB1933" s="319" t="str">
        <f t="shared" si="718"/>
        <v/>
      </c>
      <c r="CC1933" s="319" t="str">
        <f t="shared" si="718"/>
        <v/>
      </c>
      <c r="CD1933" s="319" t="str">
        <f t="shared" si="718"/>
        <v/>
      </c>
      <c r="CE1933" s="319" t="str">
        <f t="shared" si="718"/>
        <v/>
      </c>
      <c r="CF1933" s="319" t="str">
        <f t="shared" si="718"/>
        <v/>
      </c>
      <c r="CG1933" s="319" t="str">
        <f t="shared" si="718"/>
        <v/>
      </c>
      <c r="CH1933" s="319" t="str">
        <f t="shared" si="718"/>
        <v/>
      </c>
      <c r="CI1933" s="319" t="str">
        <f t="shared" si="718"/>
        <v/>
      </c>
      <c r="CJ1933" s="319" t="str">
        <f t="shared" si="718"/>
        <v/>
      </c>
      <c r="CK1933" s="342">
        <f t="shared" si="182"/>
        <v>0</v>
      </c>
      <c r="CL1933" s="333">
        <f t="shared" si="183"/>
        <v>0</v>
      </c>
      <c r="CM1933" s="1262" t="s">
        <v>2888</v>
      </c>
      <c r="CN1933" s="1005" t="s">
        <v>2889</v>
      </c>
      <c r="CO1933" s="1005" t="s">
        <v>2507</v>
      </c>
      <c r="CP1933" s="1005"/>
    </row>
    <row r="1934">
      <c r="A1934" s="1258"/>
      <c r="B1934" s="1129" t="s">
        <v>1652</v>
      </c>
      <c r="C1934" s="1122">
        <v>45495.0</v>
      </c>
      <c r="D1934" s="1123"/>
      <c r="E1934" s="1124">
        <v>2.0</v>
      </c>
      <c r="F1934" s="108" t="s">
        <v>2890</v>
      </c>
      <c r="G1934" s="1126">
        <v>0.687037037037037</v>
      </c>
      <c r="H1934" s="1126">
        <v>0.6873263888888889</v>
      </c>
      <c r="I1934" s="1126"/>
      <c r="J1934" s="1127"/>
      <c r="K1934" s="1127">
        <v>0.7012731481481481</v>
      </c>
      <c r="L1934" s="1128">
        <v>0.01394675925925926</v>
      </c>
      <c r="M1934" s="1129" t="s">
        <v>166</v>
      </c>
      <c r="N1934" s="100" t="s">
        <v>188</v>
      </c>
      <c r="O1934" s="1131" t="s">
        <v>378</v>
      </c>
      <c r="P1934" s="1131" t="s">
        <v>225</v>
      </c>
      <c r="Q1934" s="1132"/>
      <c r="R1934" s="137">
        <v>22.7</v>
      </c>
      <c r="S1934" s="1129">
        <v>39.7</v>
      </c>
      <c r="T1934" s="100">
        <v>1.1</v>
      </c>
      <c r="U1934" s="1263">
        <v>13.88888889</v>
      </c>
      <c r="V1934" s="1263"/>
      <c r="W1934" s="1263"/>
      <c r="X1934" s="1263"/>
      <c r="Y1934" s="1263"/>
      <c r="Z1934" s="1130" t="s">
        <v>1140</v>
      </c>
      <c r="AA1934" s="1130"/>
      <c r="AB1934" s="1130" t="s">
        <v>410</v>
      </c>
      <c r="AC1934" s="1133">
        <v>22.1</v>
      </c>
      <c r="AD1934" s="1131"/>
      <c r="AE1934" s="1131"/>
      <c r="AF1934" s="1131"/>
      <c r="AG1934" s="1131"/>
      <c r="AH1934" s="1131"/>
      <c r="AI1934" s="1131"/>
      <c r="AJ1934" s="1133"/>
      <c r="AK1934" s="1134"/>
      <c r="AL1934" s="1131"/>
      <c r="AM1934" s="1131"/>
      <c r="AN1934" s="1131"/>
      <c r="AO1934" s="1131"/>
      <c r="AP1934" s="1131"/>
      <c r="AQ1934" s="1131"/>
      <c r="AR1934" s="1131"/>
      <c r="AS1934" s="1133"/>
      <c r="AT1934" s="1197" t="str">
        <f t="shared" si="428"/>
        <v>10+</v>
      </c>
      <c r="AU1934" s="1194"/>
      <c r="AV1934" s="662">
        <f>SQRT(($R1934-Infrastructure!J$3)^2+($S1934-Infrastructure!K$3)^2)</f>
        <v>25.40944706</v>
      </c>
      <c r="AW1934" s="641">
        <f>SQRT(($R1934-Infrastructure!J$4)^2+($S1934-Infrastructure!K$4)^2)</f>
        <v>31.75862088</v>
      </c>
      <c r="AX1934" s="641">
        <f>SQRT(($R1934-Infrastructure!J$5)^2+($S1934-Infrastructure!K$5)^2)</f>
        <v>41.54708173</v>
      </c>
      <c r="AY1934" s="641">
        <f>SQRT(($R1934-Infrastructure!J$6)^2+($S1934-Infrastructure!K$6)^2)</f>
        <v>41.36568626</v>
      </c>
      <c r="AZ1934" s="641">
        <f>SQRT(($R1934-Infrastructure!J$7)^2+($S1934-Infrastructure!K$7)^2)</f>
        <v>39.46137352</v>
      </c>
      <c r="BA1934" s="641">
        <f>SQRT(($R1934-Infrastructure!J$8)^2+($S1934-Infrastructure!K$8)^2)</f>
        <v>40.08890121</v>
      </c>
      <c r="BB1934" s="641">
        <f>SQRT(($R1934-Infrastructure!J$9)^2+($S1934-Infrastructure!K$9)^2)</f>
        <v>38.68397601</v>
      </c>
      <c r="BC1934" s="641">
        <f>SQRT(($R1934-Infrastructure!J$10)^2+($S1934-Infrastructure!K$10)^2)</f>
        <v>30.15592811</v>
      </c>
      <c r="BD1934" s="641">
        <f>SQRT(($R1934-Infrastructure!J$11)^2+($S1934-Infrastructure!K$11)^2)</f>
        <v>20.51194774</v>
      </c>
      <c r="BE1934" s="642">
        <f>SQRT(($R1934-Infrastructure!J$12)^2+($S1934-Infrastructure!K$12)^2)</f>
        <v>15.84550409</v>
      </c>
      <c r="BF1934" s="662">
        <f t="shared" si="161"/>
        <v>15.84550409</v>
      </c>
      <c r="BG1934" s="642">
        <f t="shared" si="162"/>
        <v>41.54708173</v>
      </c>
      <c r="BH1934" s="1135"/>
      <c r="BI1934" s="663" t="str">
        <f t="shared" ref="BI1934:BR1934" si="719">IF(ISNUMBER(FIND(BI$3, $CO1934)), "Y", "")</f>
        <v>Y</v>
      </c>
      <c r="BJ1934" s="663" t="str">
        <f t="shared" si="719"/>
        <v>Y</v>
      </c>
      <c r="BK1934" s="663" t="str">
        <f t="shared" si="719"/>
        <v/>
      </c>
      <c r="BL1934" s="663" t="str">
        <f t="shared" si="719"/>
        <v/>
      </c>
      <c r="BM1934" s="663" t="str">
        <f t="shared" si="719"/>
        <v>Y</v>
      </c>
      <c r="BN1934" s="663" t="str">
        <f t="shared" si="719"/>
        <v>Y</v>
      </c>
      <c r="BO1934" s="663" t="str">
        <f t="shared" si="719"/>
        <v>Y</v>
      </c>
      <c r="BP1934" s="663" t="str">
        <f t="shared" si="719"/>
        <v/>
      </c>
      <c r="BQ1934" s="663" t="str">
        <f t="shared" si="719"/>
        <v>Y</v>
      </c>
      <c r="BR1934" s="663" t="str">
        <f t="shared" si="719"/>
        <v>Y</v>
      </c>
      <c r="BS1934" s="662">
        <f t="shared" si="185"/>
        <v>15.84550409</v>
      </c>
      <c r="BT1934" s="641">
        <f t="shared" si="170"/>
        <v>40.08890121</v>
      </c>
      <c r="BU1934" s="937">
        <v>0.6876273148148148</v>
      </c>
      <c r="BV1934" s="930">
        <f t="shared" si="186"/>
        <v>0.0005902777778</v>
      </c>
      <c r="BW1934" s="939">
        <v>13.6</v>
      </c>
      <c r="BX1934" s="939">
        <v>43.3</v>
      </c>
      <c r="BY1934" s="641">
        <f t="shared" si="201"/>
        <v>9.786214794</v>
      </c>
      <c r="BZ1934" s="641"/>
      <c r="CA1934" s="635" t="str">
        <f t="shared" ref="CA1934:CJ1934" si="720">IF(ISNUMBER(FIND(BI$3, $CP1934)), "Y", "")</f>
        <v/>
      </c>
      <c r="CB1934" s="663" t="str">
        <f t="shared" si="720"/>
        <v/>
      </c>
      <c r="CC1934" s="663" t="str">
        <f t="shared" si="720"/>
        <v/>
      </c>
      <c r="CD1934" s="663" t="str">
        <f t="shared" si="720"/>
        <v/>
      </c>
      <c r="CE1934" s="663" t="str">
        <f t="shared" si="720"/>
        <v/>
      </c>
      <c r="CF1934" s="663" t="str">
        <f t="shared" si="720"/>
        <v/>
      </c>
      <c r="CG1934" s="663" t="str">
        <f t="shared" si="720"/>
        <v/>
      </c>
      <c r="CH1934" s="663" t="str">
        <f t="shared" si="720"/>
        <v/>
      </c>
      <c r="CI1934" s="663" t="str">
        <f t="shared" si="720"/>
        <v/>
      </c>
      <c r="CJ1934" s="663" t="str">
        <f t="shared" si="720"/>
        <v/>
      </c>
      <c r="CK1934" s="743">
        <f t="shared" si="182"/>
        <v>0</v>
      </c>
      <c r="CL1934" s="642">
        <f t="shared" si="183"/>
        <v>0</v>
      </c>
      <c r="CM1934" s="1090"/>
      <c r="CN1934" s="1036" t="s">
        <v>2889</v>
      </c>
      <c r="CO1934" s="1036" t="s">
        <v>2891</v>
      </c>
      <c r="CP1934" s="1036"/>
    </row>
    <row r="1935">
      <c r="A1935" s="1257" t="s">
        <v>110</v>
      </c>
      <c r="B1935" s="1113" t="s">
        <v>1652</v>
      </c>
      <c r="C1935" s="1107">
        <v>45496.0</v>
      </c>
      <c r="D1935" s="103"/>
      <c r="E1935" s="1108">
        <v>3.0</v>
      </c>
      <c r="F1935" s="112" t="s">
        <v>2892</v>
      </c>
      <c r="G1935" s="1110">
        <v>0.540162037037037</v>
      </c>
      <c r="H1935" s="1110">
        <v>0.5402777777777777</v>
      </c>
      <c r="I1935" s="1110"/>
      <c r="J1935" s="1111"/>
      <c r="K1935" s="1111">
        <v>0.5545717592592593</v>
      </c>
      <c r="L1935" s="1112">
        <v>0.014293981481481482</v>
      </c>
      <c r="M1935" s="1113" t="s">
        <v>166</v>
      </c>
      <c r="N1935" s="110" t="s">
        <v>188</v>
      </c>
      <c r="O1935" s="1115" t="s">
        <v>378</v>
      </c>
      <c r="P1935" s="1115" t="s">
        <v>225</v>
      </c>
      <c r="Q1935" s="1116"/>
      <c r="R1935" s="120">
        <v>22.7</v>
      </c>
      <c r="S1935" s="1113">
        <v>39.7</v>
      </c>
      <c r="T1935" s="110">
        <v>1.1</v>
      </c>
      <c r="U1935" s="1108">
        <v>1.39</v>
      </c>
      <c r="V1935" s="1108"/>
      <c r="W1935" s="1108"/>
      <c r="X1935" s="1108"/>
      <c r="Y1935" s="1108"/>
      <c r="Z1935" s="1114"/>
      <c r="AA1935" s="1114"/>
      <c r="AB1935" s="1114"/>
      <c r="AC1935" s="1117"/>
      <c r="AD1935" s="1115"/>
      <c r="AE1935" s="1115"/>
      <c r="AF1935" s="1115"/>
      <c r="AG1935" s="1115"/>
      <c r="AH1935" s="1115"/>
      <c r="AI1935" s="1115"/>
      <c r="AJ1935" s="1117"/>
      <c r="AK1935" s="1118"/>
      <c r="AL1935" s="1115"/>
      <c r="AM1935" s="1115"/>
      <c r="AN1935" s="1115"/>
      <c r="AO1935" s="1115"/>
      <c r="AP1935" s="1115"/>
      <c r="AQ1935" s="1115"/>
      <c r="AR1935" s="1115"/>
      <c r="AS1935" s="1117"/>
      <c r="AT1935" s="1196" t="str">
        <f t="shared" si="428"/>
        <v>1-10</v>
      </c>
      <c r="AU1935" s="1193"/>
      <c r="AV1935" s="330">
        <f>SQRT(($R1935-Infrastructure!J$3)^2+($S1935-Infrastructure!K$3)^2)</f>
        <v>25.40944706</v>
      </c>
      <c r="AW1935" s="331">
        <f>SQRT(($R1935-Infrastructure!J$4)^2+($S1935-Infrastructure!K$4)^2)</f>
        <v>31.75862088</v>
      </c>
      <c r="AX1935" s="331">
        <f>SQRT(($R1935-Infrastructure!J$5)^2+($S1935-Infrastructure!K$5)^2)</f>
        <v>41.54708173</v>
      </c>
      <c r="AY1935" s="331">
        <f>SQRT(($R1935-Infrastructure!J$6)^2+($S1935-Infrastructure!K$6)^2)</f>
        <v>41.36568626</v>
      </c>
      <c r="AZ1935" s="331">
        <f>SQRT(($R1935-Infrastructure!J$7)^2+($S1935-Infrastructure!K$7)^2)</f>
        <v>39.46137352</v>
      </c>
      <c r="BA1935" s="331">
        <f>SQRT(($R1935-Infrastructure!J$8)^2+($S1935-Infrastructure!K$8)^2)</f>
        <v>40.08890121</v>
      </c>
      <c r="BB1935" s="331">
        <f>SQRT(($R1935-Infrastructure!J$9)^2+($S1935-Infrastructure!K$9)^2)</f>
        <v>38.68397601</v>
      </c>
      <c r="BC1935" s="331">
        <f>SQRT(($R1935-Infrastructure!J$10)^2+($S1935-Infrastructure!K$10)^2)</f>
        <v>30.15592811</v>
      </c>
      <c r="BD1935" s="331">
        <f>SQRT(($R1935-Infrastructure!J$11)^2+($S1935-Infrastructure!K$11)^2)</f>
        <v>20.51194774</v>
      </c>
      <c r="BE1935" s="333">
        <f>SQRT(($R1935-Infrastructure!J$12)^2+($S1935-Infrastructure!K$12)^2)</f>
        <v>15.84550409</v>
      </c>
      <c r="BF1935" s="330">
        <f t="shared" si="161"/>
        <v>15.84550409</v>
      </c>
      <c r="BG1935" s="333">
        <f t="shared" si="162"/>
        <v>41.54708173</v>
      </c>
      <c r="BH1935" s="1119"/>
      <c r="BI1935" s="319" t="str">
        <f t="shared" ref="BI1935:BR1935" si="721">IF(ISNUMBER(FIND(BI$3, $CO1935)), "Y", "")</f>
        <v/>
      </c>
      <c r="BJ1935" s="319" t="str">
        <f t="shared" si="721"/>
        <v/>
      </c>
      <c r="BK1935" s="319" t="str">
        <f t="shared" si="721"/>
        <v/>
      </c>
      <c r="BL1935" s="319" t="str">
        <f t="shared" si="721"/>
        <v/>
      </c>
      <c r="BM1935" s="319" t="str">
        <f t="shared" si="721"/>
        <v/>
      </c>
      <c r="BN1935" s="319" t="str">
        <f t="shared" si="721"/>
        <v/>
      </c>
      <c r="BO1935" s="319" t="str">
        <f t="shared" si="721"/>
        <v/>
      </c>
      <c r="BP1935" s="319" t="str">
        <f t="shared" si="721"/>
        <v/>
      </c>
      <c r="BQ1935" s="319" t="str">
        <f t="shared" si="721"/>
        <v/>
      </c>
      <c r="BR1935" s="319" t="str">
        <f t="shared" si="721"/>
        <v/>
      </c>
      <c r="BS1935" s="330">
        <f t="shared" si="185"/>
        <v>0</v>
      </c>
      <c r="BT1935" s="331">
        <f t="shared" si="170"/>
        <v>0</v>
      </c>
      <c r="BU1935" s="920"/>
      <c r="BV1935" s="903" t="str">
        <f t="shared" si="186"/>
        <v/>
      </c>
      <c r="BW1935" s="908"/>
      <c r="BX1935" s="908"/>
      <c r="BY1935" s="331" t="b">
        <f t="shared" si="201"/>
        <v>0</v>
      </c>
      <c r="BZ1935" s="331"/>
      <c r="CA1935" s="462" t="str">
        <f t="shared" ref="CA1935:CJ1935" si="722">IF(ISNUMBER(FIND(BI$3, $CP1935)), "Y", "")</f>
        <v/>
      </c>
      <c r="CB1935" s="319" t="str">
        <f t="shared" si="722"/>
        <v/>
      </c>
      <c r="CC1935" s="319" t="str">
        <f t="shared" si="722"/>
        <v/>
      </c>
      <c r="CD1935" s="319" t="str">
        <f t="shared" si="722"/>
        <v/>
      </c>
      <c r="CE1935" s="319" t="str">
        <f t="shared" si="722"/>
        <v/>
      </c>
      <c r="CF1935" s="319" t="str">
        <f t="shared" si="722"/>
        <v/>
      </c>
      <c r="CG1935" s="319" t="str">
        <f t="shared" si="722"/>
        <v/>
      </c>
      <c r="CH1935" s="319" t="str">
        <f t="shared" si="722"/>
        <v/>
      </c>
      <c r="CI1935" s="319" t="str">
        <f t="shared" si="722"/>
        <v/>
      </c>
      <c r="CJ1935" s="319" t="str">
        <f t="shared" si="722"/>
        <v/>
      </c>
      <c r="CK1935" s="342">
        <f t="shared" si="182"/>
        <v>0</v>
      </c>
      <c r="CL1935" s="333">
        <f t="shared" si="183"/>
        <v>0</v>
      </c>
      <c r="CM1935" s="1079"/>
      <c r="CN1935" s="1005" t="s">
        <v>2893</v>
      </c>
      <c r="CO1935" s="1005"/>
      <c r="CP1935" s="1005"/>
    </row>
    <row r="1936">
      <c r="A1936" s="266"/>
      <c r="B1936" s="1113" t="s">
        <v>1652</v>
      </c>
      <c r="C1936" s="1107">
        <v>45496.0</v>
      </c>
      <c r="D1936" s="1113" t="s">
        <v>986</v>
      </c>
      <c r="E1936" s="1108">
        <v>4.0</v>
      </c>
      <c r="F1936" s="112" t="s">
        <v>2894</v>
      </c>
      <c r="G1936" s="1110">
        <v>0.5681712962962963</v>
      </c>
      <c r="H1936" s="1110">
        <v>0.5684027777777778</v>
      </c>
      <c r="I1936" s="1110"/>
      <c r="J1936" s="1111"/>
      <c r="K1936" s="1111">
        <v>0.5829861111111111</v>
      </c>
      <c r="L1936" s="1112">
        <v>0.014583333333333334</v>
      </c>
      <c r="M1936" s="1113" t="s">
        <v>166</v>
      </c>
      <c r="N1936" s="110" t="s">
        <v>188</v>
      </c>
      <c r="O1936" s="1115" t="s">
        <v>378</v>
      </c>
      <c r="P1936" s="1115" t="s">
        <v>225</v>
      </c>
      <c r="Q1936" s="1116"/>
      <c r="R1936" s="120">
        <v>22.7</v>
      </c>
      <c r="S1936" s="1113">
        <v>39.7</v>
      </c>
      <c r="T1936" s="110">
        <v>1.1</v>
      </c>
      <c r="U1936" s="1108">
        <v>5.56</v>
      </c>
      <c r="V1936" s="1108"/>
      <c r="W1936" s="1108"/>
      <c r="X1936" s="1108"/>
      <c r="Y1936" s="1108"/>
      <c r="Z1936" s="1114" t="s">
        <v>1140</v>
      </c>
      <c r="AA1936" s="1114"/>
      <c r="AB1936" s="1114" t="s">
        <v>410</v>
      </c>
      <c r="AC1936" s="1117">
        <v>22.1</v>
      </c>
      <c r="AD1936" s="1115"/>
      <c r="AE1936" s="1115"/>
      <c r="AF1936" s="1115"/>
      <c r="AG1936" s="1115"/>
      <c r="AH1936" s="1115"/>
      <c r="AI1936" s="1115"/>
      <c r="AJ1936" s="1117"/>
      <c r="AK1936" s="1118"/>
      <c r="AL1936" s="1115"/>
      <c r="AM1936" s="1115"/>
      <c r="AN1936" s="1115"/>
      <c r="AO1936" s="1115"/>
      <c r="AP1936" s="1115"/>
      <c r="AQ1936" s="1115"/>
      <c r="AR1936" s="1115"/>
      <c r="AS1936" s="1117"/>
      <c r="AT1936" s="1196" t="str">
        <f t="shared" si="428"/>
        <v>1-10</v>
      </c>
      <c r="AU1936" s="1193"/>
      <c r="AV1936" s="330">
        <f>SQRT(($R1936-Infrastructure!J$3)^2+($S1936-Infrastructure!K$3)^2)</f>
        <v>25.40944706</v>
      </c>
      <c r="AW1936" s="331">
        <f>SQRT(($R1936-Infrastructure!J$4)^2+($S1936-Infrastructure!K$4)^2)</f>
        <v>31.75862088</v>
      </c>
      <c r="AX1936" s="331">
        <f>SQRT(($R1936-Infrastructure!J$5)^2+($S1936-Infrastructure!K$5)^2)</f>
        <v>41.54708173</v>
      </c>
      <c r="AY1936" s="331">
        <f>SQRT(($R1936-Infrastructure!J$6)^2+($S1936-Infrastructure!K$6)^2)</f>
        <v>41.36568626</v>
      </c>
      <c r="AZ1936" s="331">
        <f>SQRT(($R1936-Infrastructure!J$7)^2+($S1936-Infrastructure!K$7)^2)</f>
        <v>39.46137352</v>
      </c>
      <c r="BA1936" s="331">
        <f>SQRT(($R1936-Infrastructure!J$8)^2+($S1936-Infrastructure!K$8)^2)</f>
        <v>40.08890121</v>
      </c>
      <c r="BB1936" s="331">
        <f>SQRT(($R1936-Infrastructure!J$9)^2+($S1936-Infrastructure!K$9)^2)</f>
        <v>38.68397601</v>
      </c>
      <c r="BC1936" s="331">
        <f>SQRT(($R1936-Infrastructure!J$10)^2+($S1936-Infrastructure!K$10)^2)</f>
        <v>30.15592811</v>
      </c>
      <c r="BD1936" s="331">
        <f>SQRT(($R1936-Infrastructure!J$11)^2+($S1936-Infrastructure!K$11)^2)</f>
        <v>20.51194774</v>
      </c>
      <c r="BE1936" s="333">
        <f>SQRT(($R1936-Infrastructure!J$12)^2+($S1936-Infrastructure!K$12)^2)</f>
        <v>15.84550409</v>
      </c>
      <c r="BF1936" s="330">
        <f t="shared" si="161"/>
        <v>15.84550409</v>
      </c>
      <c r="BG1936" s="333">
        <f t="shared" si="162"/>
        <v>41.54708173</v>
      </c>
      <c r="BH1936" s="1119"/>
      <c r="BI1936" s="319" t="str">
        <f t="shared" ref="BI1936:BR1936" si="723">IF(ISNUMBER(FIND(BI$3, $CO1936)), "Y", "")</f>
        <v>Y</v>
      </c>
      <c r="BJ1936" s="319" t="str">
        <f t="shared" si="723"/>
        <v/>
      </c>
      <c r="BK1936" s="319" t="str">
        <f t="shared" si="723"/>
        <v/>
      </c>
      <c r="BL1936" s="319" t="str">
        <f t="shared" si="723"/>
        <v>Y</v>
      </c>
      <c r="BM1936" s="319" t="str">
        <f t="shared" si="723"/>
        <v/>
      </c>
      <c r="BN1936" s="319" t="str">
        <f t="shared" si="723"/>
        <v/>
      </c>
      <c r="BO1936" s="319" t="str">
        <f t="shared" si="723"/>
        <v/>
      </c>
      <c r="BP1936" s="319" t="str">
        <f t="shared" si="723"/>
        <v/>
      </c>
      <c r="BQ1936" s="319" t="str">
        <f t="shared" si="723"/>
        <v>Y</v>
      </c>
      <c r="BR1936" s="319" t="str">
        <f t="shared" si="723"/>
        <v>Y</v>
      </c>
      <c r="BS1936" s="330">
        <f t="shared" si="185"/>
        <v>15.84550409</v>
      </c>
      <c r="BT1936" s="331">
        <f t="shared" si="170"/>
        <v>41.36568626</v>
      </c>
      <c r="BU1936" s="920">
        <v>0.5745601851851851</v>
      </c>
      <c r="BV1936" s="903">
        <f t="shared" si="186"/>
        <v>0.006388888889</v>
      </c>
      <c r="BW1936" s="908">
        <v>14.0</v>
      </c>
      <c r="BX1936" s="908">
        <v>36.6</v>
      </c>
      <c r="BY1936" s="331">
        <f t="shared" si="201"/>
        <v>9.235799911</v>
      </c>
      <c r="BZ1936" s="331"/>
      <c r="CA1936" s="462" t="str">
        <f t="shared" ref="CA1936:CJ1936" si="724">IF(ISNUMBER(FIND(BI$3, $CP1936)), "Y", "")</f>
        <v/>
      </c>
      <c r="CB1936" s="319" t="str">
        <f t="shared" si="724"/>
        <v/>
      </c>
      <c r="CC1936" s="319" t="str">
        <f t="shared" si="724"/>
        <v/>
      </c>
      <c r="CD1936" s="319" t="str">
        <f t="shared" si="724"/>
        <v/>
      </c>
      <c r="CE1936" s="319" t="str">
        <f t="shared" si="724"/>
        <v/>
      </c>
      <c r="CF1936" s="319" t="str">
        <f t="shared" si="724"/>
        <v/>
      </c>
      <c r="CG1936" s="319" t="str">
        <f t="shared" si="724"/>
        <v/>
      </c>
      <c r="CH1936" s="319" t="str">
        <f t="shared" si="724"/>
        <v/>
      </c>
      <c r="CI1936" s="319" t="str">
        <f t="shared" si="724"/>
        <v/>
      </c>
      <c r="CJ1936" s="319" t="str">
        <f t="shared" si="724"/>
        <v/>
      </c>
      <c r="CK1936" s="342">
        <f t="shared" si="182"/>
        <v>0</v>
      </c>
      <c r="CL1936" s="333">
        <f t="shared" si="183"/>
        <v>0</v>
      </c>
      <c r="CM1936" s="1079"/>
      <c r="CN1936" s="1005" t="s">
        <v>2893</v>
      </c>
      <c r="CO1936" s="1005" t="s">
        <v>2895</v>
      </c>
      <c r="CP1936" s="1005"/>
    </row>
    <row r="1937">
      <c r="A1937" s="266"/>
      <c r="B1937" s="1113" t="s">
        <v>1652</v>
      </c>
      <c r="C1937" s="1107">
        <v>45496.0</v>
      </c>
      <c r="D1937" s="103"/>
      <c r="E1937" s="1137"/>
      <c r="F1937" s="112" t="s">
        <v>2896</v>
      </c>
      <c r="G1937" s="1110">
        <v>0.6024305555555556</v>
      </c>
      <c r="H1937" s="1138"/>
      <c r="I1937" s="1138"/>
      <c r="J1937" s="1139"/>
      <c r="K1937" s="1111">
        <v>0.6055555555555555</v>
      </c>
      <c r="L1937" s="1112">
        <v>0.003125</v>
      </c>
      <c r="M1937" s="1113" t="s">
        <v>166</v>
      </c>
      <c r="N1937" s="110" t="s">
        <v>188</v>
      </c>
      <c r="O1937" s="1140"/>
      <c r="P1937" s="1115" t="s">
        <v>292</v>
      </c>
      <c r="Q1937" s="1116"/>
      <c r="R1937" s="1141"/>
      <c r="S1937" s="1113"/>
      <c r="T1937" s="1143"/>
      <c r="U1937" s="1108" t="s">
        <v>323</v>
      </c>
      <c r="V1937" s="1108"/>
      <c r="W1937" s="1108"/>
      <c r="X1937" s="1108"/>
      <c r="Y1937" s="1108"/>
      <c r="Z1937" s="1114" t="s">
        <v>1140</v>
      </c>
      <c r="AA1937" s="1114"/>
      <c r="AB1937" s="1114" t="s">
        <v>410</v>
      </c>
      <c r="AC1937" s="1117">
        <v>22.1</v>
      </c>
      <c r="AD1937" s="1115"/>
      <c r="AE1937" s="1115"/>
      <c r="AF1937" s="1115"/>
      <c r="AG1937" s="1115"/>
      <c r="AH1937" s="1115"/>
      <c r="AI1937" s="1115"/>
      <c r="AJ1937" s="1117"/>
      <c r="AK1937" s="1118"/>
      <c r="AL1937" s="1115"/>
      <c r="AM1937" s="1115"/>
      <c r="AN1937" s="1115"/>
      <c r="AO1937" s="1115"/>
      <c r="AP1937" s="1115"/>
      <c r="AQ1937" s="1115"/>
      <c r="AR1937" s="1115"/>
      <c r="AS1937" s="1117"/>
      <c r="AT1937" s="1196" t="str">
        <f t="shared" si="428"/>
        <v/>
      </c>
      <c r="AU1937" s="1193"/>
      <c r="AV1937" s="330">
        <f>SQRT(($R1937-Infrastructure!J$3)^2+($S1937-Infrastructure!K$3)^2)</f>
        <v>28.90155705</v>
      </c>
      <c r="AW1937" s="331">
        <f>SQRT(($R1937-Infrastructure!J$4)^2+($S1937-Infrastructure!K$4)^2)</f>
        <v>17.80252791</v>
      </c>
      <c r="AX1937" s="331">
        <f>SQRT(($R1937-Infrastructure!J$5)^2+($S1937-Infrastructure!K$5)^2)</f>
        <v>5.10881591</v>
      </c>
      <c r="AY1937" s="331">
        <f>SQRT(($R1937-Infrastructure!J$6)^2+($S1937-Infrastructure!K$6)^2)</f>
        <v>10.10445446</v>
      </c>
      <c r="AZ1937" s="331">
        <f>SQRT(($R1937-Infrastructure!J$7)^2+($S1937-Infrastructure!K$7)^2)</f>
        <v>20.502195</v>
      </c>
      <c r="BA1937" s="331">
        <f>SQRT(($R1937-Infrastructure!J$8)^2+($S1937-Infrastructure!K$8)^2)</f>
        <v>30.10149498</v>
      </c>
      <c r="BB1937" s="331">
        <f>SQRT(($R1937-Infrastructure!J$9)^2+($S1937-Infrastructure!K$9)^2)</f>
        <v>40.3238143</v>
      </c>
      <c r="BC1937" s="331">
        <f>SQRT(($R1937-Infrastructure!J$10)^2+($S1937-Infrastructure!K$10)^2)</f>
        <v>42.72001873</v>
      </c>
      <c r="BD1937" s="331">
        <f>SQRT(($R1937-Infrastructure!J$11)^2+($S1937-Infrastructure!K$11)^2)</f>
        <v>49.56853841</v>
      </c>
      <c r="BE1937" s="333">
        <f>SQRT(($R1937-Infrastructure!J$12)^2+($S1937-Infrastructure!K$12)^2)</f>
        <v>59.51890456</v>
      </c>
      <c r="BF1937" s="330">
        <f t="shared" si="161"/>
        <v>5.10881591</v>
      </c>
      <c r="BG1937" s="333">
        <f t="shared" si="162"/>
        <v>59.51890456</v>
      </c>
      <c r="BH1937" s="1119"/>
      <c r="BI1937" s="319" t="str">
        <f t="shared" ref="BI1937:BR1937" si="725">IF(ISNUMBER(FIND(BI$3, $CO1937)), "Y", "")</f>
        <v>Y</v>
      </c>
      <c r="BJ1937" s="319" t="str">
        <f t="shared" si="725"/>
        <v>Y</v>
      </c>
      <c r="BK1937" s="319" t="str">
        <f t="shared" si="725"/>
        <v>Y</v>
      </c>
      <c r="BL1937" s="319" t="str">
        <f t="shared" si="725"/>
        <v>Y</v>
      </c>
      <c r="BM1937" s="319" t="str">
        <f t="shared" si="725"/>
        <v>Y</v>
      </c>
      <c r="BN1937" s="319" t="str">
        <f t="shared" si="725"/>
        <v>Y</v>
      </c>
      <c r="BO1937" s="319" t="str">
        <f t="shared" si="725"/>
        <v/>
      </c>
      <c r="BP1937" s="319" t="str">
        <f t="shared" si="725"/>
        <v/>
      </c>
      <c r="BQ1937" s="319" t="str">
        <f t="shared" si="725"/>
        <v>Y</v>
      </c>
      <c r="BR1937" s="319" t="str">
        <f t="shared" si="725"/>
        <v>Y</v>
      </c>
      <c r="BS1937" s="330">
        <f t="shared" si="185"/>
        <v>5.10881591</v>
      </c>
      <c r="BT1937" s="331">
        <f t="shared" si="170"/>
        <v>59.51890456</v>
      </c>
      <c r="BU1937" s="920">
        <v>0.6031712962962963</v>
      </c>
      <c r="BV1937" s="903">
        <f t="shared" si="186"/>
        <v>0.0007407407407</v>
      </c>
      <c r="BW1937" s="908">
        <v>18.2</v>
      </c>
      <c r="BX1937" s="908">
        <v>46.9</v>
      </c>
      <c r="BY1937" s="331">
        <f t="shared" si="201"/>
        <v>50.3075541</v>
      </c>
      <c r="BZ1937" s="331"/>
      <c r="CA1937" s="462" t="str">
        <f t="shared" ref="CA1937:CJ1937" si="726">IF(ISNUMBER(FIND(BI$3, $CP1937)), "Y", "")</f>
        <v/>
      </c>
      <c r="CB1937" s="319" t="str">
        <f t="shared" si="726"/>
        <v/>
      </c>
      <c r="CC1937" s="319" t="str">
        <f t="shared" si="726"/>
        <v/>
      </c>
      <c r="CD1937" s="319" t="str">
        <f t="shared" si="726"/>
        <v/>
      </c>
      <c r="CE1937" s="319" t="str">
        <f t="shared" si="726"/>
        <v/>
      </c>
      <c r="CF1937" s="319" t="str">
        <f t="shared" si="726"/>
        <v/>
      </c>
      <c r="CG1937" s="319" t="str">
        <f t="shared" si="726"/>
        <v/>
      </c>
      <c r="CH1937" s="319" t="str">
        <f t="shared" si="726"/>
        <v/>
      </c>
      <c r="CI1937" s="319" t="str">
        <f t="shared" si="726"/>
        <v/>
      </c>
      <c r="CJ1937" s="319" t="str">
        <f t="shared" si="726"/>
        <v/>
      </c>
      <c r="CK1937" s="342">
        <f t="shared" si="182"/>
        <v>0</v>
      </c>
      <c r="CL1937" s="333">
        <f t="shared" si="183"/>
        <v>0</v>
      </c>
      <c r="CM1937" s="1079"/>
      <c r="CN1937" s="1005" t="s">
        <v>2893</v>
      </c>
      <c r="CO1937" s="1005" t="s">
        <v>2519</v>
      </c>
      <c r="CP1937" s="1005"/>
    </row>
    <row r="1938">
      <c r="A1938" s="1258"/>
      <c r="B1938" s="1129"/>
      <c r="C1938" s="1122"/>
      <c r="D1938" s="1123"/>
      <c r="E1938" s="1144"/>
      <c r="F1938" s="108" t="s">
        <v>2896</v>
      </c>
      <c r="G1938" s="1126">
        <v>0.6210069444444445</v>
      </c>
      <c r="H1938" s="1145"/>
      <c r="I1938" s="1145"/>
      <c r="J1938" s="1146"/>
      <c r="K1938" s="1127">
        <v>0.6222222222222222</v>
      </c>
      <c r="L1938" s="1128">
        <v>0.0012152777777777778</v>
      </c>
      <c r="M1938" s="1129" t="s">
        <v>358</v>
      </c>
      <c r="N1938" s="100" t="s">
        <v>188</v>
      </c>
      <c r="O1938" s="1161"/>
      <c r="P1938" s="1131" t="s">
        <v>294</v>
      </c>
      <c r="Q1938" s="1132"/>
      <c r="R1938" s="1148"/>
      <c r="S1938" s="1129"/>
      <c r="T1938" s="1150"/>
      <c r="U1938" s="1124" t="s">
        <v>323</v>
      </c>
      <c r="V1938" s="1124"/>
      <c r="W1938" s="1124"/>
      <c r="X1938" s="1124"/>
      <c r="Y1938" s="1124"/>
      <c r="Z1938" s="1130" t="s">
        <v>323</v>
      </c>
      <c r="AA1938" s="1130"/>
      <c r="AB1938" s="1130" t="s">
        <v>323</v>
      </c>
      <c r="AC1938" s="1133" t="s">
        <v>323</v>
      </c>
      <c r="AD1938" s="1131"/>
      <c r="AE1938" s="1131"/>
      <c r="AF1938" s="1131"/>
      <c r="AG1938" s="1131"/>
      <c r="AH1938" s="1131"/>
      <c r="AI1938" s="1131"/>
      <c r="AJ1938" s="1133"/>
      <c r="AK1938" s="1134"/>
      <c r="AL1938" s="1131"/>
      <c r="AM1938" s="1131"/>
      <c r="AN1938" s="1131"/>
      <c r="AO1938" s="1131"/>
      <c r="AP1938" s="1131"/>
      <c r="AQ1938" s="1131"/>
      <c r="AR1938" s="1131"/>
      <c r="AS1938" s="1133"/>
      <c r="AT1938" s="1197" t="str">
        <f t="shared" si="428"/>
        <v/>
      </c>
      <c r="AU1938" s="1194"/>
      <c r="AV1938" s="662">
        <f>SQRT(($R1938-Infrastructure!J$3)^2+($S1938-Infrastructure!K$3)^2)</f>
        <v>28.90155705</v>
      </c>
      <c r="AW1938" s="641">
        <f>SQRT(($R1938-Infrastructure!J$4)^2+($S1938-Infrastructure!K$4)^2)</f>
        <v>17.80252791</v>
      </c>
      <c r="AX1938" s="641">
        <f>SQRT(($R1938-Infrastructure!J$5)^2+($S1938-Infrastructure!K$5)^2)</f>
        <v>5.10881591</v>
      </c>
      <c r="AY1938" s="641">
        <f>SQRT(($R1938-Infrastructure!J$6)^2+($S1938-Infrastructure!K$6)^2)</f>
        <v>10.10445446</v>
      </c>
      <c r="AZ1938" s="641">
        <f>SQRT(($R1938-Infrastructure!J$7)^2+($S1938-Infrastructure!K$7)^2)</f>
        <v>20.502195</v>
      </c>
      <c r="BA1938" s="641">
        <f>SQRT(($R1938-Infrastructure!J$8)^2+($S1938-Infrastructure!K$8)^2)</f>
        <v>30.10149498</v>
      </c>
      <c r="BB1938" s="641">
        <f>SQRT(($R1938-Infrastructure!J$9)^2+($S1938-Infrastructure!K$9)^2)</f>
        <v>40.3238143</v>
      </c>
      <c r="BC1938" s="641">
        <f>SQRT(($R1938-Infrastructure!J$10)^2+($S1938-Infrastructure!K$10)^2)</f>
        <v>42.72001873</v>
      </c>
      <c r="BD1938" s="641">
        <f>SQRT(($R1938-Infrastructure!J$11)^2+($S1938-Infrastructure!K$11)^2)</f>
        <v>49.56853841</v>
      </c>
      <c r="BE1938" s="642">
        <f>SQRT(($R1938-Infrastructure!J$12)^2+($S1938-Infrastructure!K$12)^2)</f>
        <v>59.51890456</v>
      </c>
      <c r="BF1938" s="662">
        <f t="shared" si="161"/>
        <v>5.10881591</v>
      </c>
      <c r="BG1938" s="642">
        <f t="shared" si="162"/>
        <v>59.51890456</v>
      </c>
      <c r="BH1938" s="1135"/>
      <c r="BI1938" s="663" t="str">
        <f t="shared" ref="BI1938:BR1938" si="727">IF(ISNUMBER(FIND(BI$3, $CO1938)), "Y", "")</f>
        <v/>
      </c>
      <c r="BJ1938" s="663" t="str">
        <f t="shared" si="727"/>
        <v/>
      </c>
      <c r="BK1938" s="663" t="str">
        <f t="shared" si="727"/>
        <v/>
      </c>
      <c r="BL1938" s="663" t="str">
        <f t="shared" si="727"/>
        <v/>
      </c>
      <c r="BM1938" s="663" t="str">
        <f t="shared" si="727"/>
        <v/>
      </c>
      <c r="BN1938" s="663" t="str">
        <f t="shared" si="727"/>
        <v/>
      </c>
      <c r="BO1938" s="663" t="str">
        <f t="shared" si="727"/>
        <v/>
      </c>
      <c r="BP1938" s="663" t="str">
        <f t="shared" si="727"/>
        <v/>
      </c>
      <c r="BQ1938" s="663" t="str">
        <f t="shared" si="727"/>
        <v/>
      </c>
      <c r="BR1938" s="663" t="str">
        <f t="shared" si="727"/>
        <v/>
      </c>
      <c r="BS1938" s="662">
        <f t="shared" si="185"/>
        <v>0</v>
      </c>
      <c r="BT1938" s="641">
        <f t="shared" si="170"/>
        <v>0</v>
      </c>
      <c r="BU1938" s="937"/>
      <c r="BV1938" s="930" t="str">
        <f t="shared" si="186"/>
        <v/>
      </c>
      <c r="BW1938" s="939"/>
      <c r="BX1938" s="939"/>
      <c r="BY1938" s="641" t="b">
        <f t="shared" si="201"/>
        <v>0</v>
      </c>
      <c r="BZ1938" s="641"/>
      <c r="CA1938" s="635" t="str">
        <f t="shared" ref="CA1938:CJ1938" si="728">IF(ISNUMBER(FIND(BI$3, $CP1938)), "Y", "")</f>
        <v/>
      </c>
      <c r="CB1938" s="663" t="str">
        <f t="shared" si="728"/>
        <v/>
      </c>
      <c r="CC1938" s="663" t="str">
        <f t="shared" si="728"/>
        <v/>
      </c>
      <c r="CD1938" s="663" t="str">
        <f t="shared" si="728"/>
        <v/>
      </c>
      <c r="CE1938" s="663" t="str">
        <f t="shared" si="728"/>
        <v/>
      </c>
      <c r="CF1938" s="663" t="str">
        <f t="shared" si="728"/>
        <v/>
      </c>
      <c r="CG1938" s="663" t="str">
        <f t="shared" si="728"/>
        <v/>
      </c>
      <c r="CH1938" s="663" t="str">
        <f t="shared" si="728"/>
        <v/>
      </c>
      <c r="CI1938" s="663" t="str">
        <f t="shared" si="728"/>
        <v/>
      </c>
      <c r="CJ1938" s="663" t="str">
        <f t="shared" si="728"/>
        <v/>
      </c>
      <c r="CK1938" s="743">
        <f t="shared" si="182"/>
        <v>0</v>
      </c>
      <c r="CL1938" s="642">
        <f t="shared" si="183"/>
        <v>0</v>
      </c>
      <c r="CM1938" s="1090"/>
      <c r="CN1938" s="1036" t="s">
        <v>2893</v>
      </c>
      <c r="CO1938" s="1036"/>
      <c r="CP1938" s="1036"/>
    </row>
    <row r="1939">
      <c r="A1939" s="1257" t="s">
        <v>111</v>
      </c>
      <c r="B1939" s="1113" t="s">
        <v>1680</v>
      </c>
      <c r="C1939" s="1107">
        <v>45538.0</v>
      </c>
      <c r="D1939" s="103"/>
      <c r="E1939" s="1108">
        <v>1.0</v>
      </c>
      <c r="F1939" s="112" t="s">
        <v>2897</v>
      </c>
      <c r="G1939" s="1110">
        <v>0.6340277777777777</v>
      </c>
      <c r="H1939" s="1110">
        <v>0.6342013888888889</v>
      </c>
      <c r="I1939" s="1110"/>
      <c r="J1939" s="1111"/>
      <c r="K1939" s="1111">
        <v>0.6539930555555555</v>
      </c>
      <c r="L1939" s="1112">
        <v>0.019791666666666666</v>
      </c>
      <c r="M1939" s="1113" t="s">
        <v>358</v>
      </c>
      <c r="N1939" s="110" t="s">
        <v>187</v>
      </c>
      <c r="O1939" s="1115" t="s">
        <v>2807</v>
      </c>
      <c r="P1939" s="1115" t="s">
        <v>256</v>
      </c>
      <c r="Q1939" s="1116"/>
      <c r="R1939" s="120">
        <v>9.8</v>
      </c>
      <c r="S1939" s="1113">
        <v>6.4</v>
      </c>
      <c r="T1939" s="110">
        <v>0.6</v>
      </c>
      <c r="U1939" s="1108">
        <v>0.35</v>
      </c>
      <c r="V1939" s="1108"/>
      <c r="W1939" s="1108"/>
      <c r="X1939" s="1108"/>
      <c r="Y1939" s="1108"/>
      <c r="Z1939" s="1114" t="s">
        <v>339</v>
      </c>
      <c r="AA1939" s="1114"/>
      <c r="AB1939" s="1114" t="s">
        <v>349</v>
      </c>
      <c r="AC1939" s="1117">
        <v>5.0</v>
      </c>
      <c r="AD1939" s="1115"/>
      <c r="AE1939" s="1115"/>
      <c r="AF1939" s="1115"/>
      <c r="AG1939" s="1115"/>
      <c r="AH1939" s="1115"/>
      <c r="AI1939" s="1115"/>
      <c r="AJ1939" s="1117"/>
      <c r="AK1939" s="1118"/>
      <c r="AL1939" s="1115"/>
      <c r="AM1939" s="1115"/>
      <c r="AN1939" s="1115"/>
      <c r="AO1939" s="1115"/>
      <c r="AP1939" s="1115"/>
      <c r="AQ1939" s="1115"/>
      <c r="AR1939" s="1115"/>
      <c r="AS1939" s="1117"/>
      <c r="AT1939" s="1196" t="str">
        <f t="shared" si="428"/>
        <v>0-1</v>
      </c>
      <c r="AU1939" s="1193"/>
      <c r="AV1939" s="330">
        <f>SQRT(($R1939-Infrastructure!J$3)^2+($S1939-Infrastructure!K$3)^2)</f>
        <v>24.66292764</v>
      </c>
      <c r="AW1939" s="331">
        <f>SQRT(($R1939-Infrastructure!J$4)^2+($S1939-Infrastructure!K$4)^2)</f>
        <v>15.23056138</v>
      </c>
      <c r="AX1939" s="331">
        <f>SQRT(($R1939-Infrastructure!J$5)^2+($S1939-Infrastructure!K$5)^2)</f>
        <v>10.18331969</v>
      </c>
      <c r="AY1939" s="331">
        <f>SQRT(($R1939-Infrastructure!J$6)^2+($S1939-Infrastructure!K$6)^2)</f>
        <v>6.107372594</v>
      </c>
      <c r="AZ1939" s="331">
        <f>SQRT(($R1939-Infrastructure!J$7)^2+($S1939-Infrastructure!K$7)^2)</f>
        <v>12.31665539</v>
      </c>
      <c r="BA1939" s="331">
        <f>SQRT(($R1939-Infrastructure!J$8)^2+($S1939-Infrastructure!K$8)^2)</f>
        <v>21.19669786</v>
      </c>
      <c r="BB1939" s="331">
        <f>SQRT(($R1939-Infrastructure!J$9)^2+($S1939-Infrastructure!K$9)^2)</f>
        <v>30.22796718</v>
      </c>
      <c r="BC1939" s="331">
        <f>SQRT(($R1939-Infrastructure!J$10)^2+($S1939-Infrastructure!K$10)^2)</f>
        <v>31.40063694</v>
      </c>
      <c r="BD1939" s="331">
        <f>SQRT(($R1939-Infrastructure!J$11)^2+($S1939-Infrastructure!K$11)^2)</f>
        <v>37.88033791</v>
      </c>
      <c r="BE1939" s="333">
        <f>SQRT(($R1939-Infrastructure!J$12)^2+($S1939-Infrastructure!K$12)^2)</f>
        <v>50.47474616</v>
      </c>
      <c r="BF1939" s="330">
        <f t="shared" si="161"/>
        <v>6.107372594</v>
      </c>
      <c r="BG1939" s="333">
        <f t="shared" si="162"/>
        <v>50.47474616</v>
      </c>
      <c r="BH1939" s="1119"/>
      <c r="BI1939" s="319" t="str">
        <f t="shared" ref="BI1939:BR1939" si="729">IF(ISNUMBER(FIND(BI$3, $CO1939)), "Y", "")</f>
        <v/>
      </c>
      <c r="BJ1939" s="319" t="str">
        <f t="shared" si="729"/>
        <v/>
      </c>
      <c r="BK1939" s="319" t="str">
        <f t="shared" si="729"/>
        <v/>
      </c>
      <c r="BL1939" s="319" t="str">
        <f t="shared" si="729"/>
        <v/>
      </c>
      <c r="BM1939" s="319" t="str">
        <f t="shared" si="729"/>
        <v/>
      </c>
      <c r="BN1939" s="319" t="str">
        <f t="shared" si="729"/>
        <v/>
      </c>
      <c r="BO1939" s="319" t="str">
        <f t="shared" si="729"/>
        <v/>
      </c>
      <c r="BP1939" s="319" t="str">
        <f t="shared" si="729"/>
        <v/>
      </c>
      <c r="BQ1939" s="319" t="str">
        <f t="shared" si="729"/>
        <v/>
      </c>
      <c r="BR1939" s="319" t="str">
        <f t="shared" si="729"/>
        <v/>
      </c>
      <c r="BS1939" s="330">
        <f t="shared" si="185"/>
        <v>0</v>
      </c>
      <c r="BT1939" s="331">
        <f t="shared" si="170"/>
        <v>0</v>
      </c>
      <c r="BU1939" s="920"/>
      <c r="BV1939" s="903" t="str">
        <f t="shared" si="186"/>
        <v/>
      </c>
      <c r="BW1939" s="908"/>
      <c r="BX1939" s="908"/>
      <c r="BY1939" s="331" t="b">
        <f t="shared" si="201"/>
        <v>0</v>
      </c>
      <c r="BZ1939" s="331"/>
      <c r="CA1939" s="462" t="str">
        <f t="shared" ref="CA1939:CJ1939" si="730">IF(ISNUMBER(FIND(BI$3, $CP1939)), "Y", "")</f>
        <v/>
      </c>
      <c r="CB1939" s="319" t="str">
        <f t="shared" si="730"/>
        <v/>
      </c>
      <c r="CC1939" s="319" t="str">
        <f t="shared" si="730"/>
        <v/>
      </c>
      <c r="CD1939" s="319" t="str">
        <f t="shared" si="730"/>
        <v/>
      </c>
      <c r="CE1939" s="319" t="str">
        <f t="shared" si="730"/>
        <v/>
      </c>
      <c r="CF1939" s="319" t="str">
        <f t="shared" si="730"/>
        <v/>
      </c>
      <c r="CG1939" s="319" t="str">
        <f t="shared" si="730"/>
        <v/>
      </c>
      <c r="CH1939" s="319" t="str">
        <f t="shared" si="730"/>
        <v/>
      </c>
      <c r="CI1939" s="319" t="str">
        <f t="shared" si="730"/>
        <v/>
      </c>
      <c r="CJ1939" s="319" t="str">
        <f t="shared" si="730"/>
        <v/>
      </c>
      <c r="CK1939" s="342">
        <f t="shared" si="182"/>
        <v>0</v>
      </c>
      <c r="CL1939" s="333">
        <f t="shared" si="183"/>
        <v>0</v>
      </c>
      <c r="CM1939" s="1079"/>
      <c r="CN1939" s="1005" t="s">
        <v>2898</v>
      </c>
      <c r="CO1939" s="1005"/>
      <c r="CP1939" s="1005"/>
    </row>
    <row r="1940">
      <c r="A1940" s="266"/>
      <c r="B1940" s="1113" t="s">
        <v>1680</v>
      </c>
      <c r="C1940" s="1107">
        <v>45538.0</v>
      </c>
      <c r="D1940" s="103"/>
      <c r="E1940" s="1108">
        <v>2.0</v>
      </c>
      <c r="F1940" s="112" t="s">
        <v>2899</v>
      </c>
      <c r="G1940" s="1110">
        <v>0.6539930555555555</v>
      </c>
      <c r="H1940" s="1110">
        <v>0.6548611111111111</v>
      </c>
      <c r="I1940" s="1110"/>
      <c r="J1940" s="1111"/>
      <c r="K1940" s="1111">
        <v>0.6577546296296296</v>
      </c>
      <c r="L1940" s="1112">
        <v>0.0028935185185185184</v>
      </c>
      <c r="M1940" s="1113" t="s">
        <v>358</v>
      </c>
      <c r="N1940" s="110" t="s">
        <v>187</v>
      </c>
      <c r="O1940" s="1115" t="s">
        <v>2807</v>
      </c>
      <c r="P1940" s="1115" t="s">
        <v>256</v>
      </c>
      <c r="Q1940" s="1116"/>
      <c r="R1940" s="120">
        <v>9.8</v>
      </c>
      <c r="S1940" s="1113">
        <v>6.4</v>
      </c>
      <c r="T1940" s="110">
        <v>0.6</v>
      </c>
      <c r="U1940" s="1108">
        <v>0.25</v>
      </c>
      <c r="V1940" s="1108"/>
      <c r="W1940" s="1108"/>
      <c r="X1940" s="1108"/>
      <c r="Y1940" s="1108"/>
      <c r="Z1940" s="1114" t="s">
        <v>339</v>
      </c>
      <c r="AA1940" s="1114"/>
      <c r="AB1940" s="1114" t="s">
        <v>349</v>
      </c>
      <c r="AC1940" s="1117">
        <v>5.0</v>
      </c>
      <c r="AD1940" s="1115"/>
      <c r="AE1940" s="1115"/>
      <c r="AF1940" s="1115"/>
      <c r="AG1940" s="1115"/>
      <c r="AH1940" s="1115"/>
      <c r="AI1940" s="1115"/>
      <c r="AJ1940" s="1117"/>
      <c r="AK1940" s="1118"/>
      <c r="AL1940" s="1115"/>
      <c r="AM1940" s="1115"/>
      <c r="AN1940" s="1115"/>
      <c r="AO1940" s="1115"/>
      <c r="AP1940" s="1115"/>
      <c r="AQ1940" s="1115"/>
      <c r="AR1940" s="1115"/>
      <c r="AS1940" s="1117"/>
      <c r="AT1940" s="1196" t="str">
        <f t="shared" si="428"/>
        <v>0-1</v>
      </c>
      <c r="AU1940" s="1193"/>
      <c r="AV1940" s="330">
        <f>SQRT(($R1940-Infrastructure!J$3)^2+($S1940-Infrastructure!K$3)^2)</f>
        <v>24.66292764</v>
      </c>
      <c r="AW1940" s="331">
        <f>SQRT(($R1940-Infrastructure!J$4)^2+($S1940-Infrastructure!K$4)^2)</f>
        <v>15.23056138</v>
      </c>
      <c r="AX1940" s="331">
        <f>SQRT(($R1940-Infrastructure!J$5)^2+($S1940-Infrastructure!K$5)^2)</f>
        <v>10.18331969</v>
      </c>
      <c r="AY1940" s="331">
        <f>SQRT(($R1940-Infrastructure!J$6)^2+($S1940-Infrastructure!K$6)^2)</f>
        <v>6.107372594</v>
      </c>
      <c r="AZ1940" s="331">
        <f>SQRT(($R1940-Infrastructure!J$7)^2+($S1940-Infrastructure!K$7)^2)</f>
        <v>12.31665539</v>
      </c>
      <c r="BA1940" s="331">
        <f>SQRT(($R1940-Infrastructure!J$8)^2+($S1940-Infrastructure!K$8)^2)</f>
        <v>21.19669786</v>
      </c>
      <c r="BB1940" s="331">
        <f>SQRT(($R1940-Infrastructure!J$9)^2+($S1940-Infrastructure!K$9)^2)</f>
        <v>30.22796718</v>
      </c>
      <c r="BC1940" s="331">
        <f>SQRT(($R1940-Infrastructure!J$10)^2+($S1940-Infrastructure!K$10)^2)</f>
        <v>31.40063694</v>
      </c>
      <c r="BD1940" s="331">
        <f>SQRT(($R1940-Infrastructure!J$11)^2+($S1940-Infrastructure!K$11)^2)</f>
        <v>37.88033791</v>
      </c>
      <c r="BE1940" s="333">
        <f>SQRT(($R1940-Infrastructure!J$12)^2+($S1940-Infrastructure!K$12)^2)</f>
        <v>50.47474616</v>
      </c>
      <c r="BF1940" s="330">
        <f t="shared" si="161"/>
        <v>6.107372594</v>
      </c>
      <c r="BG1940" s="333">
        <f t="shared" si="162"/>
        <v>50.47474616</v>
      </c>
      <c r="BH1940" s="1119"/>
      <c r="BI1940" s="319" t="str">
        <f t="shared" ref="BI1940:BR1940" si="731">IF(ISNUMBER(FIND(BI$3, $CO1940)), "Y", "")</f>
        <v/>
      </c>
      <c r="BJ1940" s="319" t="str">
        <f t="shared" si="731"/>
        <v/>
      </c>
      <c r="BK1940" s="319" t="str">
        <f t="shared" si="731"/>
        <v/>
      </c>
      <c r="BL1940" s="319" t="str">
        <f t="shared" si="731"/>
        <v/>
      </c>
      <c r="BM1940" s="319" t="str">
        <f t="shared" si="731"/>
        <v/>
      </c>
      <c r="BN1940" s="319" t="str">
        <f t="shared" si="731"/>
        <v/>
      </c>
      <c r="BO1940" s="319" t="str">
        <f t="shared" si="731"/>
        <v/>
      </c>
      <c r="BP1940" s="319" t="str">
        <f t="shared" si="731"/>
        <v/>
      </c>
      <c r="BQ1940" s="319" t="str">
        <f t="shared" si="731"/>
        <v/>
      </c>
      <c r="BR1940" s="319" t="str">
        <f t="shared" si="731"/>
        <v/>
      </c>
      <c r="BS1940" s="330">
        <f t="shared" si="185"/>
        <v>0</v>
      </c>
      <c r="BT1940" s="331">
        <f t="shared" si="170"/>
        <v>0</v>
      </c>
      <c r="BU1940" s="920"/>
      <c r="BV1940" s="903" t="str">
        <f t="shared" si="186"/>
        <v/>
      </c>
      <c r="BW1940" s="908"/>
      <c r="BX1940" s="908"/>
      <c r="BY1940" s="331" t="b">
        <f t="shared" si="201"/>
        <v>0</v>
      </c>
      <c r="BZ1940" s="331"/>
      <c r="CA1940" s="462" t="str">
        <f t="shared" ref="CA1940:CJ1940" si="732">IF(ISNUMBER(FIND(BI$3, $CP1940)), "Y", "")</f>
        <v/>
      </c>
      <c r="CB1940" s="319" t="str">
        <f t="shared" si="732"/>
        <v/>
      </c>
      <c r="CC1940" s="319" t="str">
        <f t="shared" si="732"/>
        <v/>
      </c>
      <c r="CD1940" s="319" t="str">
        <f t="shared" si="732"/>
        <v/>
      </c>
      <c r="CE1940" s="319" t="str">
        <f t="shared" si="732"/>
        <v/>
      </c>
      <c r="CF1940" s="319" t="str">
        <f t="shared" si="732"/>
        <v/>
      </c>
      <c r="CG1940" s="319" t="str">
        <f t="shared" si="732"/>
        <v/>
      </c>
      <c r="CH1940" s="319" t="str">
        <f t="shared" si="732"/>
        <v/>
      </c>
      <c r="CI1940" s="319" t="str">
        <f t="shared" si="732"/>
        <v/>
      </c>
      <c r="CJ1940" s="319" t="str">
        <f t="shared" si="732"/>
        <v/>
      </c>
      <c r="CK1940" s="342">
        <f t="shared" si="182"/>
        <v>0</v>
      </c>
      <c r="CL1940" s="333">
        <f t="shared" si="183"/>
        <v>0</v>
      </c>
      <c r="CM1940" s="1079"/>
      <c r="CN1940" s="1005" t="s">
        <v>2898</v>
      </c>
      <c r="CO1940" s="1005"/>
      <c r="CP1940" s="1005"/>
    </row>
    <row r="1941">
      <c r="A1941" s="1258"/>
      <c r="B1941" s="1129" t="s">
        <v>1680</v>
      </c>
      <c r="C1941" s="1122">
        <v>45538.0</v>
      </c>
      <c r="D1941" s="1123"/>
      <c r="E1941" s="1124">
        <v>3.0</v>
      </c>
      <c r="F1941" s="108" t="s">
        <v>2900</v>
      </c>
      <c r="G1941" s="1126">
        <v>0.659375</v>
      </c>
      <c r="H1941" s="1126">
        <v>0.6597222222222222</v>
      </c>
      <c r="I1941" s="1126"/>
      <c r="J1941" s="1127"/>
      <c r="K1941" s="1127">
        <v>0.6748263888888889</v>
      </c>
      <c r="L1941" s="1128">
        <v>0.015104166666666667</v>
      </c>
      <c r="M1941" s="1129" t="s">
        <v>358</v>
      </c>
      <c r="N1941" s="100" t="s">
        <v>187</v>
      </c>
      <c r="O1941" s="1131" t="s">
        <v>2354</v>
      </c>
      <c r="P1941" s="1131" t="s">
        <v>256</v>
      </c>
      <c r="Q1941" s="1132"/>
      <c r="R1941" s="137">
        <v>9.8</v>
      </c>
      <c r="S1941" s="1129">
        <v>6.4</v>
      </c>
      <c r="T1941" s="100">
        <v>0.6</v>
      </c>
      <c r="U1941" s="1124">
        <v>0.1</v>
      </c>
      <c r="V1941" s="1124"/>
      <c r="W1941" s="1124"/>
      <c r="X1941" s="1124"/>
      <c r="Y1941" s="1124"/>
      <c r="Z1941" s="1130" t="s">
        <v>335</v>
      </c>
      <c r="AA1941" s="1130"/>
      <c r="AB1941" s="1130" t="s">
        <v>337</v>
      </c>
      <c r="AC1941" s="1133">
        <v>2.5</v>
      </c>
      <c r="AD1941" s="1131"/>
      <c r="AE1941" s="1131"/>
      <c r="AF1941" s="1131"/>
      <c r="AG1941" s="1131"/>
      <c r="AH1941" s="1131"/>
      <c r="AI1941" s="1131"/>
      <c r="AJ1941" s="1133"/>
      <c r="AK1941" s="1134"/>
      <c r="AL1941" s="1131"/>
      <c r="AM1941" s="1131"/>
      <c r="AN1941" s="1131"/>
      <c r="AO1941" s="1131"/>
      <c r="AP1941" s="1131"/>
      <c r="AQ1941" s="1131"/>
      <c r="AR1941" s="1131"/>
      <c r="AS1941" s="1133"/>
      <c r="AT1941" s="1197" t="str">
        <f t="shared" si="428"/>
        <v>0-1</v>
      </c>
      <c r="AU1941" s="1194"/>
      <c r="AV1941" s="662">
        <f>SQRT(($R1941-Infrastructure!J$3)^2+($S1941-Infrastructure!K$3)^2)</f>
        <v>24.66292764</v>
      </c>
      <c r="AW1941" s="641">
        <f>SQRT(($R1941-Infrastructure!J$4)^2+($S1941-Infrastructure!K$4)^2)</f>
        <v>15.23056138</v>
      </c>
      <c r="AX1941" s="641">
        <f>SQRT(($R1941-Infrastructure!J$5)^2+($S1941-Infrastructure!K$5)^2)</f>
        <v>10.18331969</v>
      </c>
      <c r="AY1941" s="641">
        <f>SQRT(($R1941-Infrastructure!J$6)^2+($S1941-Infrastructure!K$6)^2)</f>
        <v>6.107372594</v>
      </c>
      <c r="AZ1941" s="641">
        <f>SQRT(($R1941-Infrastructure!J$7)^2+($S1941-Infrastructure!K$7)^2)</f>
        <v>12.31665539</v>
      </c>
      <c r="BA1941" s="641">
        <f>SQRT(($R1941-Infrastructure!J$8)^2+($S1941-Infrastructure!K$8)^2)</f>
        <v>21.19669786</v>
      </c>
      <c r="BB1941" s="641">
        <f>SQRT(($R1941-Infrastructure!J$9)^2+($S1941-Infrastructure!K$9)^2)</f>
        <v>30.22796718</v>
      </c>
      <c r="BC1941" s="641">
        <f>SQRT(($R1941-Infrastructure!J$10)^2+($S1941-Infrastructure!K$10)^2)</f>
        <v>31.40063694</v>
      </c>
      <c r="BD1941" s="641">
        <f>SQRT(($R1941-Infrastructure!J$11)^2+($S1941-Infrastructure!K$11)^2)</f>
        <v>37.88033791</v>
      </c>
      <c r="BE1941" s="642">
        <f>SQRT(($R1941-Infrastructure!J$12)^2+($S1941-Infrastructure!K$12)^2)</f>
        <v>50.47474616</v>
      </c>
      <c r="BF1941" s="662">
        <f t="shared" si="161"/>
        <v>6.107372594</v>
      </c>
      <c r="BG1941" s="642">
        <f t="shared" si="162"/>
        <v>50.47474616</v>
      </c>
      <c r="BH1941" s="1135"/>
      <c r="BI1941" s="663" t="str">
        <f t="shared" ref="BI1941:BR1941" si="733">IF(ISNUMBER(FIND(BI$3, $CO1941)), "Y", "")</f>
        <v/>
      </c>
      <c r="BJ1941" s="663" t="str">
        <f t="shared" si="733"/>
        <v/>
      </c>
      <c r="BK1941" s="663" t="str">
        <f t="shared" si="733"/>
        <v>Y</v>
      </c>
      <c r="BL1941" s="663" t="str">
        <f t="shared" si="733"/>
        <v/>
      </c>
      <c r="BM1941" s="663" t="str">
        <f t="shared" si="733"/>
        <v/>
      </c>
      <c r="BN1941" s="663" t="str">
        <f t="shared" si="733"/>
        <v>Y</v>
      </c>
      <c r="BO1941" s="663" t="str">
        <f t="shared" si="733"/>
        <v/>
      </c>
      <c r="BP1941" s="663" t="str">
        <f t="shared" si="733"/>
        <v/>
      </c>
      <c r="BQ1941" s="663" t="str">
        <f t="shared" si="733"/>
        <v>Y</v>
      </c>
      <c r="BR1941" s="663" t="str">
        <f t="shared" si="733"/>
        <v>Y</v>
      </c>
      <c r="BS1941" s="662">
        <f t="shared" si="185"/>
        <v>10.18331969</v>
      </c>
      <c r="BT1941" s="641">
        <f t="shared" si="170"/>
        <v>50.47474616</v>
      </c>
      <c r="BU1941" s="937"/>
      <c r="BV1941" s="930" t="str">
        <f t="shared" si="186"/>
        <v/>
      </c>
      <c r="BW1941" s="939">
        <v>21.9</v>
      </c>
      <c r="BX1941" s="939">
        <v>49.9</v>
      </c>
      <c r="BY1941" s="641">
        <f t="shared" si="201"/>
        <v>45.15152268</v>
      </c>
      <c r="BZ1941" s="641"/>
      <c r="CA1941" s="635" t="str">
        <f t="shared" ref="CA1941:CJ1941" si="734">IF(ISNUMBER(FIND(BI$3, $CP1941)), "Y", "")</f>
        <v/>
      </c>
      <c r="CB1941" s="663" t="str">
        <f t="shared" si="734"/>
        <v/>
      </c>
      <c r="CC1941" s="663" t="str">
        <f t="shared" si="734"/>
        <v/>
      </c>
      <c r="CD1941" s="663" t="str">
        <f t="shared" si="734"/>
        <v/>
      </c>
      <c r="CE1941" s="663" t="str">
        <f t="shared" si="734"/>
        <v/>
      </c>
      <c r="CF1941" s="663" t="str">
        <f t="shared" si="734"/>
        <v/>
      </c>
      <c r="CG1941" s="663" t="str">
        <f t="shared" si="734"/>
        <v/>
      </c>
      <c r="CH1941" s="663" t="str">
        <f t="shared" si="734"/>
        <v/>
      </c>
      <c r="CI1941" s="663" t="str">
        <f t="shared" si="734"/>
        <v/>
      </c>
      <c r="CJ1941" s="663" t="str">
        <f t="shared" si="734"/>
        <v/>
      </c>
      <c r="CK1941" s="743">
        <f t="shared" si="182"/>
        <v>0</v>
      </c>
      <c r="CL1941" s="642">
        <f t="shared" si="183"/>
        <v>0</v>
      </c>
      <c r="CM1941" s="1090"/>
      <c r="CN1941" s="1036" t="s">
        <v>2898</v>
      </c>
      <c r="CO1941" s="1036" t="s">
        <v>2901</v>
      </c>
      <c r="CP1941" s="1036"/>
    </row>
    <row r="1942">
      <c r="A1942" s="1257" t="s">
        <v>112</v>
      </c>
      <c r="B1942" s="1113" t="s">
        <v>2902</v>
      </c>
      <c r="C1942" s="1107">
        <v>45544.0</v>
      </c>
      <c r="D1942" s="1113" t="s">
        <v>986</v>
      </c>
      <c r="E1942" s="1108">
        <v>1.0</v>
      </c>
      <c r="F1942" s="112" t="s">
        <v>2903</v>
      </c>
      <c r="G1942" s="1110">
        <v>0.4600694444444444</v>
      </c>
      <c r="H1942" s="1110">
        <v>0.4612847222222222</v>
      </c>
      <c r="I1942" s="1110"/>
      <c r="J1942" s="1111"/>
      <c r="K1942" s="1111">
        <v>0.4931712962962963</v>
      </c>
      <c r="L1942" s="1112">
        <v>0.03125</v>
      </c>
      <c r="M1942" s="1113" t="s">
        <v>166</v>
      </c>
      <c r="N1942" s="110" t="s">
        <v>188</v>
      </c>
      <c r="O1942" s="1115" t="s">
        <v>378</v>
      </c>
      <c r="P1942" s="1115" t="s">
        <v>225</v>
      </c>
      <c r="Q1942" s="1115" t="s">
        <v>842</v>
      </c>
      <c r="R1942" s="120">
        <v>22.7</v>
      </c>
      <c r="S1942" s="1113">
        <v>39.7</v>
      </c>
      <c r="T1942" s="110">
        <v>1.1</v>
      </c>
      <c r="U1942" s="1108"/>
      <c r="V1942" s="1108"/>
      <c r="W1942" s="1108"/>
      <c r="X1942" s="1108"/>
      <c r="Y1942" s="1108"/>
      <c r="Z1942" s="1114" t="s">
        <v>1140</v>
      </c>
      <c r="AA1942" s="1114"/>
      <c r="AB1942" s="1114" t="s">
        <v>410</v>
      </c>
      <c r="AC1942" s="1117">
        <v>22.1</v>
      </c>
      <c r="AD1942" s="1115"/>
      <c r="AE1942" s="1115"/>
      <c r="AF1942" s="1115"/>
      <c r="AG1942" s="1115"/>
      <c r="AH1942" s="1115"/>
      <c r="AI1942" s="1115"/>
      <c r="AJ1942" s="1117"/>
      <c r="AK1942" s="1118"/>
      <c r="AL1942" s="1115"/>
      <c r="AM1942" s="1115"/>
      <c r="AN1942" s="1115"/>
      <c r="AO1942" s="1115"/>
      <c r="AP1942" s="1115"/>
      <c r="AQ1942" s="1115"/>
      <c r="AR1942" s="1115"/>
      <c r="AS1942" s="1117"/>
      <c r="AT1942" s="1196" t="str">
        <f t="shared" si="428"/>
        <v/>
      </c>
      <c r="AU1942" s="1193"/>
      <c r="AV1942" s="330">
        <f>SQRT(($R1942-Infrastructure!J$3)^2+($S1942-Infrastructure!K$3)^2)</f>
        <v>25.40944706</v>
      </c>
      <c r="AW1942" s="331">
        <f>SQRT(($R1942-Infrastructure!J$4)^2+($S1942-Infrastructure!K$4)^2)</f>
        <v>31.75862088</v>
      </c>
      <c r="AX1942" s="331">
        <f>SQRT(($R1942-Infrastructure!J$5)^2+($S1942-Infrastructure!K$5)^2)</f>
        <v>41.54708173</v>
      </c>
      <c r="AY1942" s="331">
        <f>SQRT(($R1942-Infrastructure!J$6)^2+($S1942-Infrastructure!K$6)^2)</f>
        <v>41.36568626</v>
      </c>
      <c r="AZ1942" s="331">
        <f>SQRT(($R1942-Infrastructure!J$7)^2+($S1942-Infrastructure!K$7)^2)</f>
        <v>39.46137352</v>
      </c>
      <c r="BA1942" s="331">
        <f>SQRT(($R1942-Infrastructure!J$8)^2+($S1942-Infrastructure!K$8)^2)</f>
        <v>40.08890121</v>
      </c>
      <c r="BB1942" s="331">
        <f>SQRT(($R1942-Infrastructure!J$9)^2+($S1942-Infrastructure!K$9)^2)</f>
        <v>38.68397601</v>
      </c>
      <c r="BC1942" s="331">
        <f>SQRT(($R1942-Infrastructure!J$10)^2+($S1942-Infrastructure!K$10)^2)</f>
        <v>30.15592811</v>
      </c>
      <c r="BD1942" s="331">
        <f>SQRT(($R1942-Infrastructure!J$11)^2+($S1942-Infrastructure!K$11)^2)</f>
        <v>20.51194774</v>
      </c>
      <c r="BE1942" s="333">
        <f>SQRT(($R1942-Infrastructure!J$12)^2+($S1942-Infrastructure!K$12)^2)</f>
        <v>15.84550409</v>
      </c>
      <c r="BF1942" s="330">
        <f t="shared" si="161"/>
        <v>15.84550409</v>
      </c>
      <c r="BG1942" s="333">
        <f t="shared" si="162"/>
        <v>41.54708173</v>
      </c>
      <c r="BH1942" s="1119"/>
      <c r="BI1942" s="319" t="str">
        <f t="shared" ref="BI1942:BR1942" si="735">IF(ISNUMBER(FIND(BI$3, $CO1942)), "Y", "")</f>
        <v>Y</v>
      </c>
      <c r="BJ1942" s="319" t="str">
        <f t="shared" si="735"/>
        <v>Y</v>
      </c>
      <c r="BK1942" s="319" t="str">
        <f t="shared" si="735"/>
        <v>Y</v>
      </c>
      <c r="BL1942" s="319" t="str">
        <f t="shared" si="735"/>
        <v>Y</v>
      </c>
      <c r="BM1942" s="319" t="str">
        <f t="shared" si="735"/>
        <v>Y</v>
      </c>
      <c r="BN1942" s="319" t="str">
        <f t="shared" si="735"/>
        <v>Y</v>
      </c>
      <c r="BO1942" s="319" t="str">
        <f t="shared" si="735"/>
        <v>Y</v>
      </c>
      <c r="BP1942" s="319" t="str">
        <f t="shared" si="735"/>
        <v/>
      </c>
      <c r="BQ1942" s="319" t="str">
        <f t="shared" si="735"/>
        <v>Y</v>
      </c>
      <c r="BR1942" s="319" t="str">
        <f t="shared" si="735"/>
        <v>Y</v>
      </c>
      <c r="BS1942" s="330">
        <f t="shared" si="185"/>
        <v>15.84550409</v>
      </c>
      <c r="BT1942" s="331">
        <f t="shared" si="170"/>
        <v>41.54708173</v>
      </c>
      <c r="BU1942" s="920">
        <v>0.48256944444444444</v>
      </c>
      <c r="BV1942" s="903">
        <f t="shared" si="186"/>
        <v>0.0225</v>
      </c>
      <c r="BW1942" s="908">
        <v>11.6</v>
      </c>
      <c r="BX1942" s="908">
        <v>38.3</v>
      </c>
      <c r="BY1942" s="331">
        <f t="shared" si="201"/>
        <v>11.18793994</v>
      </c>
      <c r="BZ1942" s="331"/>
      <c r="CA1942" s="462" t="str">
        <f t="shared" ref="CA1942:CJ1942" si="736">IF(ISNUMBER(FIND(BI$3, $CP1942)), "Y", "")</f>
        <v/>
      </c>
      <c r="CB1942" s="319" t="str">
        <f t="shared" si="736"/>
        <v/>
      </c>
      <c r="CC1942" s="319" t="str">
        <f t="shared" si="736"/>
        <v/>
      </c>
      <c r="CD1942" s="319" t="str">
        <f t="shared" si="736"/>
        <v/>
      </c>
      <c r="CE1942" s="319" t="str">
        <f t="shared" si="736"/>
        <v/>
      </c>
      <c r="CF1942" s="319" t="str">
        <f t="shared" si="736"/>
        <v/>
      </c>
      <c r="CG1942" s="319" t="str">
        <f t="shared" si="736"/>
        <v/>
      </c>
      <c r="CH1942" s="319" t="str">
        <f t="shared" si="736"/>
        <v/>
      </c>
      <c r="CI1942" s="319" t="str">
        <f t="shared" si="736"/>
        <v/>
      </c>
      <c r="CJ1942" s="319" t="str">
        <f t="shared" si="736"/>
        <v/>
      </c>
      <c r="CK1942" s="342">
        <f t="shared" si="182"/>
        <v>0</v>
      </c>
      <c r="CL1942" s="333">
        <f t="shared" si="183"/>
        <v>0</v>
      </c>
      <c r="CM1942" s="1079"/>
      <c r="CN1942" s="1005" t="s">
        <v>2904</v>
      </c>
      <c r="CO1942" s="1005" t="s">
        <v>2400</v>
      </c>
      <c r="CP1942" s="1005"/>
    </row>
    <row r="1943">
      <c r="A1943" s="266"/>
      <c r="B1943" s="1113" t="s">
        <v>2902</v>
      </c>
      <c r="C1943" s="1107">
        <v>45544.0</v>
      </c>
      <c r="D1943" s="1113" t="s">
        <v>986</v>
      </c>
      <c r="E1943" s="1108">
        <v>2.0</v>
      </c>
      <c r="F1943" s="112" t="s">
        <v>2905</v>
      </c>
      <c r="G1943" s="1110">
        <v>0.5034722222222222</v>
      </c>
      <c r="H1943" s="1110">
        <v>0.5048611111111111</v>
      </c>
      <c r="I1943" s="1110"/>
      <c r="J1943" s="1111"/>
      <c r="K1943" s="1111">
        <v>0.5364583333333334</v>
      </c>
      <c r="L1943" s="1112">
        <v>0.03125</v>
      </c>
      <c r="M1943" s="1113" t="s">
        <v>166</v>
      </c>
      <c r="N1943" s="110" t="s">
        <v>188</v>
      </c>
      <c r="O1943" s="1115" t="s">
        <v>378</v>
      </c>
      <c r="P1943" s="1115" t="s">
        <v>217</v>
      </c>
      <c r="Q1943" s="1115" t="s">
        <v>851</v>
      </c>
      <c r="R1943" s="120">
        <v>22.7</v>
      </c>
      <c r="S1943" s="1113">
        <v>39.7</v>
      </c>
      <c r="T1943" s="110">
        <v>1.8</v>
      </c>
      <c r="U1943" s="1108"/>
      <c r="V1943" s="1108"/>
      <c r="W1943" s="1108"/>
      <c r="X1943" s="1108"/>
      <c r="Y1943" s="1108"/>
      <c r="Z1943" s="1114" t="s">
        <v>1140</v>
      </c>
      <c r="AA1943" s="1114"/>
      <c r="AB1943" s="1114" t="s">
        <v>407</v>
      </c>
      <c r="AC1943" s="1117">
        <v>15.75</v>
      </c>
      <c r="AD1943" s="1115"/>
      <c r="AE1943" s="1115"/>
      <c r="AF1943" s="1115"/>
      <c r="AG1943" s="1115"/>
      <c r="AH1943" s="1115"/>
      <c r="AI1943" s="1115"/>
      <c r="AJ1943" s="1117"/>
      <c r="AK1943" s="1118"/>
      <c r="AL1943" s="1115"/>
      <c r="AM1943" s="1115"/>
      <c r="AN1943" s="1115"/>
      <c r="AO1943" s="1115"/>
      <c r="AP1943" s="1115"/>
      <c r="AQ1943" s="1115"/>
      <c r="AR1943" s="1115"/>
      <c r="AS1943" s="1117"/>
      <c r="AT1943" s="1196" t="str">
        <f t="shared" si="428"/>
        <v/>
      </c>
      <c r="AU1943" s="1193"/>
      <c r="AV1943" s="330">
        <f>SQRT(($R1943-Infrastructure!J$3)^2+($S1943-Infrastructure!K$3)^2)</f>
        <v>25.40944706</v>
      </c>
      <c r="AW1943" s="331">
        <f>SQRT(($R1943-Infrastructure!J$4)^2+($S1943-Infrastructure!K$4)^2)</f>
        <v>31.75862088</v>
      </c>
      <c r="AX1943" s="331">
        <f>SQRT(($R1943-Infrastructure!J$5)^2+($S1943-Infrastructure!K$5)^2)</f>
        <v>41.54708173</v>
      </c>
      <c r="AY1943" s="331">
        <f>SQRT(($R1943-Infrastructure!J$6)^2+($S1943-Infrastructure!K$6)^2)</f>
        <v>41.36568626</v>
      </c>
      <c r="AZ1943" s="331">
        <f>SQRT(($R1943-Infrastructure!J$7)^2+($S1943-Infrastructure!K$7)^2)</f>
        <v>39.46137352</v>
      </c>
      <c r="BA1943" s="331">
        <f>SQRT(($R1943-Infrastructure!J$8)^2+($S1943-Infrastructure!K$8)^2)</f>
        <v>40.08890121</v>
      </c>
      <c r="BB1943" s="331">
        <f>SQRT(($R1943-Infrastructure!J$9)^2+($S1943-Infrastructure!K$9)^2)</f>
        <v>38.68397601</v>
      </c>
      <c r="BC1943" s="331">
        <f>SQRT(($R1943-Infrastructure!J$10)^2+($S1943-Infrastructure!K$10)^2)</f>
        <v>30.15592811</v>
      </c>
      <c r="BD1943" s="331">
        <f>SQRT(($R1943-Infrastructure!J$11)^2+($S1943-Infrastructure!K$11)^2)</f>
        <v>20.51194774</v>
      </c>
      <c r="BE1943" s="333">
        <f>SQRT(($R1943-Infrastructure!J$12)^2+($S1943-Infrastructure!K$12)^2)</f>
        <v>15.84550409</v>
      </c>
      <c r="BF1943" s="330">
        <f t="shared" si="161"/>
        <v>15.84550409</v>
      </c>
      <c r="BG1943" s="333">
        <f t="shared" si="162"/>
        <v>41.54708173</v>
      </c>
      <c r="BH1943" s="1119"/>
      <c r="BI1943" s="319" t="str">
        <f t="shared" ref="BI1943:BR1943" si="737">IF(ISNUMBER(FIND(BI$3, $CO1943)), "Y", "")</f>
        <v>Y</v>
      </c>
      <c r="BJ1943" s="319" t="str">
        <f t="shared" si="737"/>
        <v>Y</v>
      </c>
      <c r="BK1943" s="319" t="str">
        <f t="shared" si="737"/>
        <v>Y</v>
      </c>
      <c r="BL1943" s="319" t="str">
        <f t="shared" si="737"/>
        <v>Y</v>
      </c>
      <c r="BM1943" s="319" t="str">
        <f t="shared" si="737"/>
        <v/>
      </c>
      <c r="BN1943" s="319" t="str">
        <f t="shared" si="737"/>
        <v/>
      </c>
      <c r="BO1943" s="319" t="str">
        <f t="shared" si="737"/>
        <v/>
      </c>
      <c r="BP1943" s="319" t="str">
        <f t="shared" si="737"/>
        <v>Y</v>
      </c>
      <c r="BQ1943" s="319" t="str">
        <f t="shared" si="737"/>
        <v>Y</v>
      </c>
      <c r="BR1943" s="319" t="str">
        <f t="shared" si="737"/>
        <v>Y</v>
      </c>
      <c r="BS1943" s="330">
        <f t="shared" si="185"/>
        <v>15.84550409</v>
      </c>
      <c r="BT1943" s="331">
        <f t="shared" si="170"/>
        <v>41.54708173</v>
      </c>
      <c r="BU1943" s="920">
        <v>0.5044328703703703</v>
      </c>
      <c r="BV1943" s="903">
        <f t="shared" si="186"/>
        <v>0.0009606481481</v>
      </c>
      <c r="BW1943" s="908">
        <v>13.9</v>
      </c>
      <c r="BX1943" s="908">
        <v>34.3</v>
      </c>
      <c r="BY1943" s="331">
        <f t="shared" si="201"/>
        <v>10.3247276</v>
      </c>
      <c r="BZ1943" s="331"/>
      <c r="CA1943" s="462" t="str">
        <f t="shared" ref="CA1943:CJ1943" si="738">IF(ISNUMBER(FIND(BI$3, $CP1943)), "Y", "")</f>
        <v/>
      </c>
      <c r="CB1943" s="319" t="str">
        <f t="shared" si="738"/>
        <v/>
      </c>
      <c r="CC1943" s="319" t="str">
        <f t="shared" si="738"/>
        <v/>
      </c>
      <c r="CD1943" s="319" t="str">
        <f t="shared" si="738"/>
        <v/>
      </c>
      <c r="CE1943" s="319" t="str">
        <f t="shared" si="738"/>
        <v/>
      </c>
      <c r="CF1943" s="319" t="str">
        <f t="shared" si="738"/>
        <v/>
      </c>
      <c r="CG1943" s="319" t="str">
        <f t="shared" si="738"/>
        <v/>
      </c>
      <c r="CH1943" s="319" t="str">
        <f t="shared" si="738"/>
        <v/>
      </c>
      <c r="CI1943" s="319" t="str">
        <f t="shared" si="738"/>
        <v/>
      </c>
      <c r="CJ1943" s="319" t="str">
        <f t="shared" si="738"/>
        <v/>
      </c>
      <c r="CK1943" s="342">
        <f t="shared" si="182"/>
        <v>0</v>
      </c>
      <c r="CL1943" s="333">
        <f t="shared" si="183"/>
        <v>0</v>
      </c>
      <c r="CM1943" s="1079"/>
      <c r="CN1943" s="1005" t="s">
        <v>2904</v>
      </c>
      <c r="CO1943" s="1005" t="s">
        <v>2906</v>
      </c>
      <c r="CP1943" s="1005"/>
    </row>
    <row r="1944">
      <c r="A1944" s="266"/>
      <c r="B1944" s="1113" t="s">
        <v>2902</v>
      </c>
      <c r="C1944" s="1107">
        <v>45544.0</v>
      </c>
      <c r="D1944" s="1113" t="s">
        <v>986</v>
      </c>
      <c r="E1944" s="1108">
        <v>3.0</v>
      </c>
      <c r="F1944" s="112" t="s">
        <v>2907</v>
      </c>
      <c r="G1944" s="1110">
        <v>0.5582754629629629</v>
      </c>
      <c r="H1944" s="1110">
        <v>0.5588541666666667</v>
      </c>
      <c r="I1944" s="1110"/>
      <c r="J1944" s="1111"/>
      <c r="K1944" s="1111">
        <v>0.5944444444444444</v>
      </c>
      <c r="L1944" s="1112">
        <v>0.035416666666666666</v>
      </c>
      <c r="M1944" s="1113" t="s">
        <v>166</v>
      </c>
      <c r="N1944" s="110" t="s">
        <v>187</v>
      </c>
      <c r="O1944" s="1115" t="s">
        <v>206</v>
      </c>
      <c r="P1944" s="1115" t="s">
        <v>213</v>
      </c>
      <c r="Q1944" s="1116"/>
      <c r="R1944" s="120">
        <v>21.7</v>
      </c>
      <c r="S1944" s="1113">
        <v>11.1</v>
      </c>
      <c r="T1944" s="110">
        <v>2.4</v>
      </c>
      <c r="U1944" s="1108"/>
      <c r="V1944" s="1108"/>
      <c r="W1944" s="1108"/>
      <c r="X1944" s="1108"/>
      <c r="Y1944" s="1108"/>
      <c r="Z1944" s="1114" t="s">
        <v>347</v>
      </c>
      <c r="AA1944" s="1114"/>
      <c r="AB1944" s="1114" t="s">
        <v>388</v>
      </c>
      <c r="AC1944" s="1117">
        <v>8.0</v>
      </c>
      <c r="AD1944" s="1115"/>
      <c r="AE1944" s="1115"/>
      <c r="AF1944" s="1115"/>
      <c r="AG1944" s="1115"/>
      <c r="AH1944" s="1115"/>
      <c r="AI1944" s="1115"/>
      <c r="AJ1944" s="1117"/>
      <c r="AK1944" s="1118"/>
      <c r="AL1944" s="1115"/>
      <c r="AM1944" s="1115"/>
      <c r="AN1944" s="1115"/>
      <c r="AO1944" s="1115"/>
      <c r="AP1944" s="1115"/>
      <c r="AQ1944" s="1115"/>
      <c r="AR1944" s="1115"/>
      <c r="AS1944" s="1117"/>
      <c r="AT1944" s="1196" t="str">
        <f t="shared" si="428"/>
        <v/>
      </c>
      <c r="AU1944" s="1193"/>
      <c r="AV1944" s="330">
        <f>SQRT(($R1944-Infrastructure!J$3)^2+($S1944-Infrastructure!K$3)^2)</f>
        <v>28.29911659</v>
      </c>
      <c r="AW1944" s="331">
        <f>SQRT(($R1944-Infrastructure!J$4)^2+($S1944-Infrastructure!K$4)^2)</f>
        <v>22.99760857</v>
      </c>
      <c r="AX1944" s="331">
        <f>SQRT(($R1944-Infrastructure!J$5)^2+($S1944-Infrastructure!K$5)^2)</f>
        <v>22.8035085</v>
      </c>
      <c r="AY1944" s="331">
        <f>SQRT(($R1944-Infrastructure!J$6)^2+($S1944-Infrastructure!K$6)^2)</f>
        <v>15.8492902</v>
      </c>
      <c r="AZ1944" s="331">
        <f>SQRT(($R1944-Infrastructure!J$7)^2+($S1944-Infrastructure!K$7)^2)</f>
        <v>10.86646217</v>
      </c>
      <c r="BA1944" s="331">
        <f>SQRT(($R1944-Infrastructure!J$8)^2+($S1944-Infrastructure!K$8)^2)</f>
        <v>13.6821051</v>
      </c>
      <c r="BB1944" s="331">
        <f>SQRT(($R1944-Infrastructure!J$9)^2+($S1944-Infrastructure!K$9)^2)</f>
        <v>19.25850461</v>
      </c>
      <c r="BC1944" s="331">
        <f>SQRT(($R1944-Infrastructure!J$10)^2+($S1944-Infrastructure!K$10)^2)</f>
        <v>18.71095936</v>
      </c>
      <c r="BD1944" s="331">
        <f>SQRT(($R1944-Infrastructure!J$11)^2+($S1944-Infrastructure!K$11)^2)</f>
        <v>25.74218328</v>
      </c>
      <c r="BE1944" s="333">
        <f>SQRT(($R1944-Infrastructure!J$12)^2+($S1944-Infrastructure!K$12)^2)</f>
        <v>44.40045045</v>
      </c>
      <c r="BF1944" s="330">
        <f t="shared" si="161"/>
        <v>10.86646217</v>
      </c>
      <c r="BG1944" s="333">
        <f t="shared" si="162"/>
        <v>44.40045045</v>
      </c>
      <c r="BH1944" s="1119"/>
      <c r="BI1944" s="319" t="str">
        <f t="shared" ref="BI1944:BR1944" si="739">IF(ISNUMBER(FIND(BI$3, $CO1944)), "Y", "")</f>
        <v/>
      </c>
      <c r="BJ1944" s="319" t="str">
        <f t="shared" si="739"/>
        <v/>
      </c>
      <c r="BK1944" s="319" t="str">
        <f t="shared" si="739"/>
        <v/>
      </c>
      <c r="BL1944" s="319" t="str">
        <f t="shared" si="739"/>
        <v/>
      </c>
      <c r="BM1944" s="319" t="str">
        <f t="shared" si="739"/>
        <v/>
      </c>
      <c r="BN1944" s="319" t="str">
        <f t="shared" si="739"/>
        <v/>
      </c>
      <c r="BO1944" s="319" t="str">
        <f t="shared" si="739"/>
        <v/>
      </c>
      <c r="BP1944" s="319" t="str">
        <f t="shared" si="739"/>
        <v/>
      </c>
      <c r="BQ1944" s="319" t="str">
        <f t="shared" si="739"/>
        <v/>
      </c>
      <c r="BR1944" s="319" t="str">
        <f t="shared" si="739"/>
        <v/>
      </c>
      <c r="BS1944" s="330">
        <f t="shared" si="185"/>
        <v>0</v>
      </c>
      <c r="BT1944" s="331">
        <f t="shared" si="170"/>
        <v>0</v>
      </c>
      <c r="BU1944" s="920"/>
      <c r="BV1944" s="903" t="str">
        <f t="shared" si="186"/>
        <v/>
      </c>
      <c r="BW1944" s="908"/>
      <c r="BX1944" s="908"/>
      <c r="BY1944" s="331" t="b">
        <f t="shared" si="201"/>
        <v>0</v>
      </c>
      <c r="BZ1944" s="331"/>
      <c r="CA1944" s="462" t="str">
        <f t="shared" ref="CA1944:CJ1944" si="740">IF(ISNUMBER(FIND(BI$3, $CP1944)), "Y", "")</f>
        <v/>
      </c>
      <c r="CB1944" s="319" t="str">
        <f t="shared" si="740"/>
        <v/>
      </c>
      <c r="CC1944" s="319" t="str">
        <f t="shared" si="740"/>
        <v/>
      </c>
      <c r="CD1944" s="319" t="str">
        <f t="shared" si="740"/>
        <v/>
      </c>
      <c r="CE1944" s="319" t="str">
        <f t="shared" si="740"/>
        <v/>
      </c>
      <c r="CF1944" s="319" t="str">
        <f t="shared" si="740"/>
        <v/>
      </c>
      <c r="CG1944" s="319" t="str">
        <f t="shared" si="740"/>
        <v/>
      </c>
      <c r="CH1944" s="319" t="str">
        <f t="shared" si="740"/>
        <v/>
      </c>
      <c r="CI1944" s="319" t="str">
        <f t="shared" si="740"/>
        <v/>
      </c>
      <c r="CJ1944" s="319" t="str">
        <f t="shared" si="740"/>
        <v/>
      </c>
      <c r="CK1944" s="342">
        <f t="shared" si="182"/>
        <v>0</v>
      </c>
      <c r="CL1944" s="333">
        <f t="shared" si="183"/>
        <v>0</v>
      </c>
      <c r="CM1944" s="1079"/>
      <c r="CN1944" s="1005" t="s">
        <v>2908</v>
      </c>
      <c r="CO1944" s="1005"/>
      <c r="CP1944" s="1005"/>
    </row>
    <row r="1945">
      <c r="A1945" s="266"/>
      <c r="B1945" s="1113" t="s">
        <v>2902</v>
      </c>
      <c r="C1945" s="1107">
        <v>45544.0</v>
      </c>
      <c r="D1945" s="1113" t="s">
        <v>986</v>
      </c>
      <c r="E1945" s="1108">
        <v>5.0</v>
      </c>
      <c r="F1945" s="112" t="s">
        <v>2909</v>
      </c>
      <c r="G1945" s="1110">
        <v>0.6425347222222222</v>
      </c>
      <c r="H1945" s="1110">
        <v>0.6428819444444445</v>
      </c>
      <c r="I1945" s="1110"/>
      <c r="J1945" s="1111"/>
      <c r="K1945" s="1111">
        <v>0.6775462962962963</v>
      </c>
      <c r="L1945" s="1112">
        <v>0.034027777777777775</v>
      </c>
      <c r="M1945" s="1113" t="s">
        <v>166</v>
      </c>
      <c r="N1945" s="110" t="s">
        <v>187</v>
      </c>
      <c r="O1945" s="1115" t="s">
        <v>203</v>
      </c>
      <c r="P1945" s="1115" t="s">
        <v>227</v>
      </c>
      <c r="Q1945" s="1116"/>
      <c r="R1945" s="120">
        <v>15.5</v>
      </c>
      <c r="S1945" s="1113">
        <v>3.4</v>
      </c>
      <c r="T1945" s="110">
        <v>1.4</v>
      </c>
      <c r="U1945" s="1108"/>
      <c r="V1945" s="1108"/>
      <c r="W1945" s="1108"/>
      <c r="X1945" s="1108"/>
      <c r="Y1945" s="1108"/>
      <c r="Z1945" s="1114" t="s">
        <v>1690</v>
      </c>
      <c r="AA1945" s="1114"/>
      <c r="AB1945" s="1114" t="s">
        <v>371</v>
      </c>
      <c r="AC1945" s="1117">
        <v>1.8</v>
      </c>
      <c r="AD1945" s="1115"/>
      <c r="AE1945" s="1115"/>
      <c r="AF1945" s="1115"/>
      <c r="AG1945" s="1115"/>
      <c r="AH1945" s="1115"/>
      <c r="AI1945" s="1115"/>
      <c r="AJ1945" s="1117"/>
      <c r="AK1945" s="1118"/>
      <c r="AL1945" s="1115"/>
      <c r="AM1945" s="1115"/>
      <c r="AN1945" s="1115"/>
      <c r="AO1945" s="1115"/>
      <c r="AP1945" s="1115"/>
      <c r="AQ1945" s="1115"/>
      <c r="AR1945" s="1115"/>
      <c r="AS1945" s="1117"/>
      <c r="AT1945" s="1196" t="str">
        <f t="shared" si="428"/>
        <v/>
      </c>
      <c r="AU1945" s="1193"/>
      <c r="AV1945" s="330">
        <f>SQRT(($R1945-Infrastructure!J$3)^2+($S1945-Infrastructure!K$3)^2)</f>
        <v>29.99816661</v>
      </c>
      <c r="AW1945" s="331">
        <f>SQRT(($R1945-Infrastructure!J$4)^2+($S1945-Infrastructure!K$4)^2)</f>
        <v>21.37755833</v>
      </c>
      <c r="AX1945" s="331">
        <f>SQRT(($R1945-Infrastructure!J$5)^2+($S1945-Infrastructure!K$5)^2)</f>
        <v>15.89119253</v>
      </c>
      <c r="AY1945" s="331">
        <f>SQRT(($R1945-Infrastructure!J$6)^2+($S1945-Infrastructure!K$6)^2)</f>
        <v>6.22655603</v>
      </c>
      <c r="AZ1945" s="331">
        <f>SQRT(($R1945-Infrastructure!J$7)^2+($S1945-Infrastructure!K$7)^2)</f>
        <v>5.883026432</v>
      </c>
      <c r="BA1945" s="331">
        <f>SQRT(($R1945-Infrastructure!J$8)^2+($S1945-Infrastructure!K$8)^2)</f>
        <v>14.92548157</v>
      </c>
      <c r="BB1945" s="331">
        <f>SQRT(($R1945-Infrastructure!J$9)^2+($S1945-Infrastructure!K$9)^2)</f>
        <v>24.55890877</v>
      </c>
      <c r="BC1945" s="331">
        <f>SQRT(($R1945-Infrastructure!J$10)^2+($S1945-Infrastructure!K$10)^2)</f>
        <v>27.10737907</v>
      </c>
      <c r="BD1945" s="331">
        <f>SQRT(($R1945-Infrastructure!J$11)^2+($S1945-Infrastructure!K$11)^2)</f>
        <v>35.57316404</v>
      </c>
      <c r="BE1945" s="333">
        <f>SQRT(($R1945-Infrastructure!J$12)^2+($S1945-Infrastructure!K$12)^2)</f>
        <v>52.44435146</v>
      </c>
      <c r="BF1945" s="330">
        <f t="shared" si="161"/>
        <v>5.883026432</v>
      </c>
      <c r="BG1945" s="333">
        <f t="shared" si="162"/>
        <v>52.44435146</v>
      </c>
      <c r="BH1945" s="1119"/>
      <c r="BI1945" s="319" t="str">
        <f t="shared" ref="BI1945:BR1945" si="741">IF(ISNUMBER(FIND(BI$3, $CO1945)), "Y", "")</f>
        <v/>
      </c>
      <c r="BJ1945" s="319" t="str">
        <f t="shared" si="741"/>
        <v/>
      </c>
      <c r="BK1945" s="319" t="str">
        <f t="shared" si="741"/>
        <v/>
      </c>
      <c r="BL1945" s="319" t="str">
        <f t="shared" si="741"/>
        <v/>
      </c>
      <c r="BM1945" s="319" t="str">
        <f t="shared" si="741"/>
        <v/>
      </c>
      <c r="BN1945" s="319" t="str">
        <f t="shared" si="741"/>
        <v/>
      </c>
      <c r="BO1945" s="319" t="str">
        <f t="shared" si="741"/>
        <v/>
      </c>
      <c r="BP1945" s="319" t="str">
        <f t="shared" si="741"/>
        <v/>
      </c>
      <c r="BQ1945" s="319" t="str">
        <f t="shared" si="741"/>
        <v/>
      </c>
      <c r="BR1945" s="319" t="str">
        <f t="shared" si="741"/>
        <v/>
      </c>
      <c r="BS1945" s="330">
        <f t="shared" si="185"/>
        <v>0</v>
      </c>
      <c r="BT1945" s="331">
        <f t="shared" si="170"/>
        <v>0</v>
      </c>
      <c r="BU1945" s="920"/>
      <c r="BV1945" s="903" t="str">
        <f t="shared" si="186"/>
        <v/>
      </c>
      <c r="BW1945" s="908"/>
      <c r="BX1945" s="908"/>
      <c r="BY1945" s="331" t="b">
        <f t="shared" si="201"/>
        <v>0</v>
      </c>
      <c r="BZ1945" s="331"/>
      <c r="CA1945" s="462" t="str">
        <f t="shared" ref="CA1945:CJ1945" si="742">IF(ISNUMBER(FIND(BI$3, $CP1945)), "Y", "")</f>
        <v/>
      </c>
      <c r="CB1945" s="319" t="str">
        <f t="shared" si="742"/>
        <v/>
      </c>
      <c r="CC1945" s="319" t="str">
        <f t="shared" si="742"/>
        <v/>
      </c>
      <c r="CD1945" s="319" t="str">
        <f t="shared" si="742"/>
        <v/>
      </c>
      <c r="CE1945" s="319" t="str">
        <f t="shared" si="742"/>
        <v/>
      </c>
      <c r="CF1945" s="319" t="str">
        <f t="shared" si="742"/>
        <v/>
      </c>
      <c r="CG1945" s="319" t="str">
        <f t="shared" si="742"/>
        <v/>
      </c>
      <c r="CH1945" s="319" t="str">
        <f t="shared" si="742"/>
        <v/>
      </c>
      <c r="CI1945" s="319" t="str">
        <f t="shared" si="742"/>
        <v/>
      </c>
      <c r="CJ1945" s="319" t="str">
        <f t="shared" si="742"/>
        <v/>
      </c>
      <c r="CK1945" s="342">
        <f t="shared" si="182"/>
        <v>0</v>
      </c>
      <c r="CL1945" s="333">
        <f t="shared" si="183"/>
        <v>0</v>
      </c>
      <c r="CM1945" s="1079"/>
      <c r="CN1945" s="1005" t="s">
        <v>2908</v>
      </c>
      <c r="CO1945" s="1005"/>
      <c r="CP1945" s="1005"/>
    </row>
    <row r="1946">
      <c r="A1946" s="1258"/>
      <c r="B1946" s="1129" t="s">
        <v>2902</v>
      </c>
      <c r="C1946" s="1122">
        <v>45544.0</v>
      </c>
      <c r="D1946" s="1129" t="s">
        <v>986</v>
      </c>
      <c r="E1946" s="1124">
        <v>6.0</v>
      </c>
      <c r="F1946" s="108" t="s">
        <v>2910</v>
      </c>
      <c r="G1946" s="1126">
        <v>0.6958333333333333</v>
      </c>
      <c r="H1946" s="1126">
        <v>0.6965277777777777</v>
      </c>
      <c r="I1946" s="1126"/>
      <c r="J1946" s="1127"/>
      <c r="K1946" s="1127">
        <v>0.7336805555555556</v>
      </c>
      <c r="L1946" s="1128">
        <v>0.03680555555555556</v>
      </c>
      <c r="M1946" s="1129" t="s">
        <v>166</v>
      </c>
      <c r="N1946" s="100" t="s">
        <v>187</v>
      </c>
      <c r="O1946" s="1131" t="s">
        <v>207</v>
      </c>
      <c r="P1946" s="1131" t="s">
        <v>219</v>
      </c>
      <c r="Q1946" s="1132"/>
      <c r="R1946" s="137">
        <v>26.3</v>
      </c>
      <c r="S1946" s="1129">
        <v>12.4</v>
      </c>
      <c r="T1946" s="100">
        <v>1.6</v>
      </c>
      <c r="U1946" s="1124"/>
      <c r="V1946" s="1124"/>
      <c r="W1946" s="1124"/>
      <c r="X1946" s="1124"/>
      <c r="Y1946" s="1124"/>
      <c r="Z1946" s="1130" t="s">
        <v>374</v>
      </c>
      <c r="AA1946" s="1130"/>
      <c r="AB1946" s="1130" t="s">
        <v>388</v>
      </c>
      <c r="AC1946" s="1133">
        <v>8.0</v>
      </c>
      <c r="AD1946" s="1131"/>
      <c r="AE1946" s="1131"/>
      <c r="AF1946" s="1131"/>
      <c r="AG1946" s="1131"/>
      <c r="AH1946" s="1131"/>
      <c r="AI1946" s="1131"/>
      <c r="AJ1946" s="1133"/>
      <c r="AK1946" s="1134"/>
      <c r="AL1946" s="1131"/>
      <c r="AM1946" s="1131"/>
      <c r="AN1946" s="1131"/>
      <c r="AO1946" s="1131"/>
      <c r="AP1946" s="1131"/>
      <c r="AQ1946" s="1131"/>
      <c r="AR1946" s="1131"/>
      <c r="AS1946" s="1133"/>
      <c r="AT1946" s="1197" t="str">
        <f t="shared" si="428"/>
        <v/>
      </c>
      <c r="AU1946" s="1194"/>
      <c r="AV1946" s="662">
        <f>SQRT(($R1946-Infrastructure!J$3)^2+($S1946-Infrastructure!K$3)^2)</f>
        <v>31.30191687</v>
      </c>
      <c r="AW1946" s="641">
        <f>SQRT(($R1946-Infrastructure!J$4)^2+($S1946-Infrastructure!K$4)^2)</f>
        <v>27.14258646</v>
      </c>
      <c r="AX1946" s="641">
        <f>SQRT(($R1946-Infrastructure!J$5)^2+($S1946-Infrastructure!K$5)^2)</f>
        <v>27.58350957</v>
      </c>
      <c r="AY1946" s="641">
        <f>SQRT(($R1946-Infrastructure!J$6)^2+($S1946-Infrastructure!K$6)^2)</f>
        <v>20.22003956</v>
      </c>
      <c r="AZ1946" s="641">
        <f>SQRT(($R1946-Infrastructure!J$7)^2+($S1946-Infrastructure!K$7)^2)</f>
        <v>13.41827113</v>
      </c>
      <c r="BA1946" s="641">
        <f>SQRT(($R1946-Infrastructure!J$8)^2+($S1946-Infrastructure!K$8)^2)</f>
        <v>12.68266534</v>
      </c>
      <c r="BB1946" s="641">
        <f>SQRT(($R1946-Infrastructure!J$9)^2+($S1946-Infrastructure!K$9)^2)</f>
        <v>15.52353053</v>
      </c>
      <c r="BC1946" s="641">
        <f>SQRT(($R1946-Infrastructure!J$10)^2+($S1946-Infrastructure!K$10)^2)</f>
        <v>13.94453298</v>
      </c>
      <c r="BD1946" s="641">
        <f>SQRT(($R1946-Infrastructure!J$11)^2+($S1946-Infrastructure!K$11)^2)</f>
        <v>21.65109697</v>
      </c>
      <c r="BE1946" s="642">
        <f>SQRT(($R1946-Infrastructure!J$12)^2+($S1946-Infrastructure!K$12)^2)</f>
        <v>43.3664617</v>
      </c>
      <c r="BF1946" s="662">
        <f t="shared" si="161"/>
        <v>12.68266534</v>
      </c>
      <c r="BG1946" s="642">
        <f t="shared" si="162"/>
        <v>43.3664617</v>
      </c>
      <c r="BH1946" s="1135"/>
      <c r="BI1946" s="663" t="str">
        <f t="shared" ref="BI1946:BR1946" si="743">IF(ISNUMBER(FIND(BI$3, $CO1946)), "Y", "")</f>
        <v>Y</v>
      </c>
      <c r="BJ1946" s="663" t="str">
        <f t="shared" si="743"/>
        <v/>
      </c>
      <c r="BK1946" s="663" t="str">
        <f t="shared" si="743"/>
        <v>Y</v>
      </c>
      <c r="BL1946" s="663" t="str">
        <f t="shared" si="743"/>
        <v>Y</v>
      </c>
      <c r="BM1946" s="663" t="str">
        <f t="shared" si="743"/>
        <v>Y</v>
      </c>
      <c r="BN1946" s="663" t="str">
        <f t="shared" si="743"/>
        <v>Y</v>
      </c>
      <c r="BO1946" s="663" t="str">
        <f t="shared" si="743"/>
        <v>Y</v>
      </c>
      <c r="BP1946" s="663" t="str">
        <f t="shared" si="743"/>
        <v/>
      </c>
      <c r="BQ1946" s="663" t="str">
        <f t="shared" si="743"/>
        <v>Y</v>
      </c>
      <c r="BR1946" s="663" t="str">
        <f t="shared" si="743"/>
        <v/>
      </c>
      <c r="BS1946" s="662">
        <f t="shared" si="185"/>
        <v>12.68266534</v>
      </c>
      <c r="BT1946" s="641">
        <f t="shared" si="170"/>
        <v>31.30191687</v>
      </c>
      <c r="BU1946" s="937">
        <v>0.6963541666666667</v>
      </c>
      <c r="BV1946" s="930">
        <f t="shared" si="186"/>
        <v>0.0005208333333</v>
      </c>
      <c r="BW1946" s="939">
        <v>19.3</v>
      </c>
      <c r="BX1946" s="939">
        <v>17.2</v>
      </c>
      <c r="BY1946" s="641">
        <f t="shared" si="201"/>
        <v>8.48763807</v>
      </c>
      <c r="BZ1946" s="641"/>
      <c r="CA1946" s="635" t="str">
        <f t="shared" ref="CA1946:CJ1946" si="744">IF(ISNUMBER(FIND(BI$3, $CP1946)), "Y", "")</f>
        <v/>
      </c>
      <c r="CB1946" s="663" t="str">
        <f t="shared" si="744"/>
        <v/>
      </c>
      <c r="CC1946" s="663" t="str">
        <f t="shared" si="744"/>
        <v/>
      </c>
      <c r="CD1946" s="663" t="str">
        <f t="shared" si="744"/>
        <v/>
      </c>
      <c r="CE1946" s="663" t="str">
        <f t="shared" si="744"/>
        <v/>
      </c>
      <c r="CF1946" s="663" t="str">
        <f t="shared" si="744"/>
        <v/>
      </c>
      <c r="CG1946" s="663" t="str">
        <f t="shared" si="744"/>
        <v/>
      </c>
      <c r="CH1946" s="663" t="str">
        <f t="shared" si="744"/>
        <v/>
      </c>
      <c r="CI1946" s="663" t="str">
        <f t="shared" si="744"/>
        <v/>
      </c>
      <c r="CJ1946" s="663" t="str">
        <f t="shared" si="744"/>
        <v/>
      </c>
      <c r="CK1946" s="743">
        <f t="shared" si="182"/>
        <v>0</v>
      </c>
      <c r="CL1946" s="642">
        <f t="shared" si="183"/>
        <v>0</v>
      </c>
      <c r="CM1946" s="1090"/>
      <c r="CN1946" s="1036" t="s">
        <v>2908</v>
      </c>
      <c r="CO1946" s="1036" t="s">
        <v>2568</v>
      </c>
      <c r="CP1946" s="1036"/>
    </row>
    <row r="1947">
      <c r="A1947" s="1257" t="s">
        <v>113</v>
      </c>
      <c r="B1947" s="1113" t="s">
        <v>2902</v>
      </c>
      <c r="C1947" s="1107">
        <v>45545.0</v>
      </c>
      <c r="D1947" s="1113" t="s">
        <v>986</v>
      </c>
      <c r="E1947" s="1108">
        <v>1.0</v>
      </c>
      <c r="F1947" s="112" t="s">
        <v>2911</v>
      </c>
      <c r="G1947" s="1110">
        <v>0.3645833333333333</v>
      </c>
      <c r="H1947" s="1110">
        <v>0.36493055555555554</v>
      </c>
      <c r="I1947" s="1110"/>
      <c r="J1947" s="1111"/>
      <c r="K1947" s="1111">
        <v>0.39652777777777776</v>
      </c>
      <c r="L1947" s="1112">
        <v>0.03125</v>
      </c>
      <c r="M1947" s="1113" t="s">
        <v>166</v>
      </c>
      <c r="N1947" s="110" t="s">
        <v>187</v>
      </c>
      <c r="O1947" s="1115" t="s">
        <v>202</v>
      </c>
      <c r="P1947" s="1115" t="s">
        <v>256</v>
      </c>
      <c r="Q1947" s="1116"/>
      <c r="R1947" s="120">
        <v>24.4</v>
      </c>
      <c r="S1947" s="1113">
        <v>7.5</v>
      </c>
      <c r="T1947" s="110">
        <v>0.6</v>
      </c>
      <c r="U1947" s="1108"/>
      <c r="V1947" s="1108"/>
      <c r="W1947" s="1108"/>
      <c r="X1947" s="1108"/>
      <c r="Y1947" s="1108"/>
      <c r="Z1947" s="1114" t="s">
        <v>335</v>
      </c>
      <c r="AA1947" s="1114"/>
      <c r="AB1947" s="1114" t="s">
        <v>345</v>
      </c>
      <c r="AC1947" s="1117">
        <v>4.0</v>
      </c>
      <c r="AD1947" s="1115"/>
      <c r="AE1947" s="1115"/>
      <c r="AF1947" s="1115"/>
      <c r="AG1947" s="1115"/>
      <c r="AH1947" s="1115"/>
      <c r="AI1947" s="1115"/>
      <c r="AJ1947" s="1117"/>
      <c r="AK1947" s="1118"/>
      <c r="AL1947" s="1115"/>
      <c r="AM1947" s="1115"/>
      <c r="AN1947" s="1115"/>
      <c r="AO1947" s="1115"/>
      <c r="AP1947" s="1115"/>
      <c r="AQ1947" s="1115"/>
      <c r="AR1947" s="1115"/>
      <c r="AS1947" s="1117"/>
      <c r="AT1947" s="1196" t="str">
        <f t="shared" si="428"/>
        <v/>
      </c>
      <c r="AU1947" s="1193"/>
      <c r="AV1947" s="330">
        <f>SQRT(($R1947-Infrastructure!J$3)^2+($S1947-Infrastructure!K$3)^2)</f>
        <v>32.68103426</v>
      </c>
      <c r="AW1947" s="331">
        <f>SQRT(($R1947-Infrastructure!J$4)^2+($S1947-Infrastructure!K$4)^2)</f>
        <v>26.76153957</v>
      </c>
      <c r="AX1947" s="331">
        <f>SQRT(($R1947-Infrastructure!J$5)^2+($S1947-Infrastructure!K$5)^2)</f>
        <v>24.81632527</v>
      </c>
      <c r="AY1947" s="331">
        <f>SQRT(($R1947-Infrastructure!J$6)^2+($S1947-Infrastructure!K$6)^2)</f>
        <v>16.01030918</v>
      </c>
      <c r="AZ1947" s="331">
        <f>SQRT(($R1947-Infrastructure!J$7)^2+($S1947-Infrastructure!K$7)^2)</f>
        <v>8.188406438</v>
      </c>
      <c r="BA1947" s="331">
        <f>SQRT(($R1947-Infrastructure!J$8)^2+($S1947-Infrastructure!K$8)^2)</f>
        <v>9.183136719</v>
      </c>
      <c r="BB1947" s="331">
        <f>SQRT(($R1947-Infrastructure!J$9)^2+($S1947-Infrastructure!K$9)^2)</f>
        <v>15.78353573</v>
      </c>
      <c r="BC1947" s="331">
        <f>SQRT(($R1947-Infrastructure!J$10)^2+($S1947-Infrastructure!K$10)^2)</f>
        <v>17.30924608</v>
      </c>
      <c r="BD1947" s="331">
        <f>SQRT(($R1947-Infrastructure!J$11)^2+($S1947-Infrastructure!K$11)^2)</f>
        <v>26.68126684</v>
      </c>
      <c r="BE1947" s="333">
        <f>SQRT(($R1947-Infrastructure!J$12)^2+($S1947-Infrastructure!K$12)^2)</f>
        <v>48.08752437</v>
      </c>
      <c r="BF1947" s="330">
        <f t="shared" si="161"/>
        <v>8.188406438</v>
      </c>
      <c r="BG1947" s="333">
        <f t="shared" si="162"/>
        <v>48.08752437</v>
      </c>
      <c r="BH1947" s="1119"/>
      <c r="BI1947" s="319" t="str">
        <f t="shared" ref="BI1947:BR1947" si="745">IF(ISNUMBER(FIND(BI$3, $CO1947)), "Y", "")</f>
        <v/>
      </c>
      <c r="BJ1947" s="319" t="str">
        <f t="shared" si="745"/>
        <v/>
      </c>
      <c r="BK1947" s="319" t="str">
        <f t="shared" si="745"/>
        <v/>
      </c>
      <c r="BL1947" s="319" t="str">
        <f t="shared" si="745"/>
        <v/>
      </c>
      <c r="BM1947" s="319" t="str">
        <f t="shared" si="745"/>
        <v/>
      </c>
      <c r="BN1947" s="319" t="str">
        <f t="shared" si="745"/>
        <v/>
      </c>
      <c r="BO1947" s="319" t="str">
        <f t="shared" si="745"/>
        <v/>
      </c>
      <c r="BP1947" s="319" t="str">
        <f t="shared" si="745"/>
        <v/>
      </c>
      <c r="BQ1947" s="319" t="str">
        <f t="shared" si="745"/>
        <v/>
      </c>
      <c r="BR1947" s="319" t="str">
        <f t="shared" si="745"/>
        <v/>
      </c>
      <c r="BS1947" s="330">
        <f t="shared" si="185"/>
        <v>0</v>
      </c>
      <c r="BT1947" s="331">
        <f t="shared" si="170"/>
        <v>0</v>
      </c>
      <c r="BU1947" s="920"/>
      <c r="BV1947" s="903" t="str">
        <f t="shared" si="186"/>
        <v/>
      </c>
      <c r="BW1947" s="908"/>
      <c r="BX1947" s="908"/>
      <c r="BY1947" s="331" t="b">
        <f t="shared" si="201"/>
        <v>0</v>
      </c>
      <c r="BZ1947" s="331"/>
      <c r="CA1947" s="462" t="str">
        <f t="shared" ref="CA1947:CJ1947" si="746">IF(ISNUMBER(FIND(BI$3, $CP1947)), "Y", "")</f>
        <v/>
      </c>
      <c r="CB1947" s="319" t="str">
        <f t="shared" si="746"/>
        <v/>
      </c>
      <c r="CC1947" s="319" t="str">
        <f t="shared" si="746"/>
        <v/>
      </c>
      <c r="CD1947" s="319" t="str">
        <f t="shared" si="746"/>
        <v/>
      </c>
      <c r="CE1947" s="319" t="str">
        <f t="shared" si="746"/>
        <v/>
      </c>
      <c r="CF1947" s="319" t="str">
        <f t="shared" si="746"/>
        <v/>
      </c>
      <c r="CG1947" s="319" t="str">
        <f t="shared" si="746"/>
        <v/>
      </c>
      <c r="CH1947" s="319" t="str">
        <f t="shared" si="746"/>
        <v/>
      </c>
      <c r="CI1947" s="319" t="str">
        <f t="shared" si="746"/>
        <v/>
      </c>
      <c r="CJ1947" s="319" t="str">
        <f t="shared" si="746"/>
        <v/>
      </c>
      <c r="CK1947" s="342">
        <f t="shared" si="182"/>
        <v>0</v>
      </c>
      <c r="CL1947" s="333">
        <f t="shared" si="183"/>
        <v>0</v>
      </c>
      <c r="CM1947" s="1079"/>
      <c r="CN1947" s="1005" t="s">
        <v>2912</v>
      </c>
      <c r="CO1947" s="1005"/>
      <c r="CP1947" s="1005"/>
    </row>
    <row r="1948">
      <c r="A1948" s="266"/>
      <c r="B1948" s="1113" t="s">
        <v>2902</v>
      </c>
      <c r="C1948" s="1107">
        <v>45545.0</v>
      </c>
      <c r="D1948" s="1113" t="s">
        <v>986</v>
      </c>
      <c r="E1948" s="1108">
        <v>2.0</v>
      </c>
      <c r="F1948" s="112" t="s">
        <v>2913</v>
      </c>
      <c r="G1948" s="1110">
        <v>0.40642361111111114</v>
      </c>
      <c r="H1948" s="1110">
        <v>0.40694444444444444</v>
      </c>
      <c r="I1948" s="1110"/>
      <c r="J1948" s="1111"/>
      <c r="K1948" s="1111">
        <v>0.43819444444444444</v>
      </c>
      <c r="L1948" s="1112">
        <v>0.03125</v>
      </c>
      <c r="M1948" s="1113" t="s">
        <v>166</v>
      </c>
      <c r="N1948" s="110" t="s">
        <v>187</v>
      </c>
      <c r="O1948" s="1115" t="s">
        <v>205</v>
      </c>
      <c r="P1948" s="1115" t="s">
        <v>213</v>
      </c>
      <c r="Q1948" s="1116"/>
      <c r="R1948" s="120">
        <v>21.5</v>
      </c>
      <c r="S1948" s="1113">
        <v>4.1</v>
      </c>
      <c r="T1948" s="110">
        <v>2.3</v>
      </c>
      <c r="U1948" s="1108"/>
      <c r="V1948" s="1108"/>
      <c r="W1948" s="1108"/>
      <c r="X1948" s="1108"/>
      <c r="Y1948" s="1108"/>
      <c r="Z1948" s="1114" t="s">
        <v>370</v>
      </c>
      <c r="AA1948" s="1114"/>
      <c r="AB1948" s="1114" t="s">
        <v>384</v>
      </c>
      <c r="AC1948" s="1117">
        <v>6.0</v>
      </c>
      <c r="AD1948" s="1115"/>
      <c r="AE1948" s="1115"/>
      <c r="AF1948" s="1115"/>
      <c r="AG1948" s="1115"/>
      <c r="AH1948" s="1115"/>
      <c r="AI1948" s="1115"/>
      <c r="AJ1948" s="1117"/>
      <c r="AK1948" s="1118"/>
      <c r="AL1948" s="1115"/>
      <c r="AM1948" s="1115"/>
      <c r="AN1948" s="1115"/>
      <c r="AO1948" s="1115"/>
      <c r="AP1948" s="1115"/>
      <c r="AQ1948" s="1115"/>
      <c r="AR1948" s="1115"/>
      <c r="AS1948" s="1117"/>
      <c r="AT1948" s="1196" t="str">
        <f t="shared" si="428"/>
        <v/>
      </c>
      <c r="AU1948" s="1193"/>
      <c r="AV1948" s="330">
        <f>SQRT(($R1948-Infrastructure!J$3)^2+($S1948-Infrastructure!K$3)^2)</f>
        <v>33.01938824</v>
      </c>
      <c r="AW1948" s="331">
        <f>SQRT(($R1948-Infrastructure!J$4)^2+($S1948-Infrastructure!K$4)^2)</f>
        <v>25.74742706</v>
      </c>
      <c r="AX1948" s="331">
        <f>SQRT(($R1948-Infrastructure!J$5)^2+($S1948-Infrastructure!K$5)^2)</f>
        <v>21.82292373</v>
      </c>
      <c r="AY1948" s="331">
        <f>SQRT(($R1948-Infrastructure!J$6)^2+($S1948-Infrastructure!K$6)^2)</f>
        <v>12.01665511</v>
      </c>
      <c r="AZ1948" s="331">
        <f>SQRT(($R1948-Infrastructure!J$7)^2+($S1948-Infrastructure!K$7)^2)</f>
        <v>3.929376541</v>
      </c>
      <c r="BA1948" s="331">
        <f>SQRT(($R1948-Infrastructure!J$8)^2+($S1948-Infrastructure!K$8)^2)</f>
        <v>9.402127419</v>
      </c>
      <c r="BB1948" s="331">
        <f>SQRT(($R1948-Infrastructure!J$9)^2+($S1948-Infrastructure!K$9)^2)</f>
        <v>18.52700731</v>
      </c>
      <c r="BC1948" s="331">
        <f>SQRT(($R1948-Infrastructure!J$10)^2+($S1948-Infrastructure!K$10)^2)</f>
        <v>21.47230775</v>
      </c>
      <c r="BD1948" s="331">
        <f>SQRT(($R1948-Infrastructure!J$11)^2+($S1948-Infrastructure!K$11)^2)</f>
        <v>31.14000642</v>
      </c>
      <c r="BE1948" s="333">
        <f>SQRT(($R1948-Infrastructure!J$12)^2+($S1948-Infrastructure!K$12)^2)</f>
        <v>51.4</v>
      </c>
      <c r="BF1948" s="330">
        <f t="shared" si="161"/>
        <v>3.929376541</v>
      </c>
      <c r="BG1948" s="333">
        <f t="shared" si="162"/>
        <v>51.4</v>
      </c>
      <c r="BH1948" s="1119"/>
      <c r="BI1948" s="319" t="str">
        <f t="shared" ref="BI1948:BR1948" si="747">IF(ISNUMBER(FIND(BI$3, $CO1948)), "Y", "")</f>
        <v>Y</v>
      </c>
      <c r="BJ1948" s="319" t="str">
        <f t="shared" si="747"/>
        <v>Y</v>
      </c>
      <c r="BK1948" s="319" t="str">
        <f t="shared" si="747"/>
        <v>Y</v>
      </c>
      <c r="BL1948" s="319" t="str">
        <f t="shared" si="747"/>
        <v>Y</v>
      </c>
      <c r="BM1948" s="319" t="str">
        <f t="shared" si="747"/>
        <v>Y</v>
      </c>
      <c r="BN1948" s="319" t="str">
        <f t="shared" si="747"/>
        <v>Y</v>
      </c>
      <c r="BO1948" s="319" t="str">
        <f t="shared" si="747"/>
        <v>Y</v>
      </c>
      <c r="BP1948" s="319" t="str">
        <f t="shared" si="747"/>
        <v/>
      </c>
      <c r="BQ1948" s="319" t="str">
        <f t="shared" si="747"/>
        <v>Y</v>
      </c>
      <c r="BR1948" s="319" t="str">
        <f t="shared" si="747"/>
        <v>Y</v>
      </c>
      <c r="BS1948" s="330">
        <f t="shared" si="185"/>
        <v>3.929376541</v>
      </c>
      <c r="BT1948" s="331">
        <f t="shared" si="170"/>
        <v>51.4</v>
      </c>
      <c r="BU1948" s="920">
        <v>0.4403125</v>
      </c>
      <c r="BV1948" s="903">
        <f t="shared" si="186"/>
        <v>0.03388888889</v>
      </c>
      <c r="BW1948" s="908">
        <v>5.1</v>
      </c>
      <c r="BX1948" s="908">
        <v>34.2</v>
      </c>
      <c r="BY1948" s="331">
        <f t="shared" si="201"/>
        <v>34.2778354</v>
      </c>
      <c r="BZ1948" s="331"/>
      <c r="CA1948" s="462" t="str">
        <f t="shared" ref="CA1948:CJ1948" si="748">IF(ISNUMBER(FIND(BI$3, $CP1948)), "Y", "")</f>
        <v/>
      </c>
      <c r="CB1948" s="319" t="str">
        <f t="shared" si="748"/>
        <v/>
      </c>
      <c r="CC1948" s="319" t="str">
        <f t="shared" si="748"/>
        <v/>
      </c>
      <c r="CD1948" s="319" t="str">
        <f t="shared" si="748"/>
        <v/>
      </c>
      <c r="CE1948" s="319" t="str">
        <f t="shared" si="748"/>
        <v/>
      </c>
      <c r="CF1948" s="319" t="str">
        <f t="shared" si="748"/>
        <v/>
      </c>
      <c r="CG1948" s="319" t="str">
        <f t="shared" si="748"/>
        <v/>
      </c>
      <c r="CH1948" s="319" t="str">
        <f t="shared" si="748"/>
        <v/>
      </c>
      <c r="CI1948" s="319" t="str">
        <f t="shared" si="748"/>
        <v/>
      </c>
      <c r="CJ1948" s="319" t="str">
        <f t="shared" si="748"/>
        <v/>
      </c>
      <c r="CK1948" s="342">
        <f t="shared" si="182"/>
        <v>0</v>
      </c>
      <c r="CL1948" s="333">
        <f t="shared" si="183"/>
        <v>0</v>
      </c>
      <c r="CM1948" s="1079"/>
      <c r="CN1948" s="1005" t="s">
        <v>2912</v>
      </c>
      <c r="CO1948" s="1005" t="s">
        <v>2400</v>
      </c>
      <c r="CP1948" s="1005"/>
    </row>
    <row r="1949">
      <c r="A1949" s="266"/>
      <c r="B1949" s="1113" t="s">
        <v>2902</v>
      </c>
      <c r="C1949" s="1107">
        <v>45545.0</v>
      </c>
      <c r="D1949" s="1113" t="s">
        <v>986</v>
      </c>
      <c r="E1949" s="1108">
        <v>3.0</v>
      </c>
      <c r="F1949" s="112" t="s">
        <v>2914</v>
      </c>
      <c r="G1949" s="1110">
        <v>0.4444444444444444</v>
      </c>
      <c r="H1949" s="1110">
        <v>0.44513888888888886</v>
      </c>
      <c r="I1949" s="1110"/>
      <c r="J1949" s="1111"/>
      <c r="K1949" s="1111">
        <v>0.47638888888888886</v>
      </c>
      <c r="L1949" s="1112">
        <v>0.03125</v>
      </c>
      <c r="M1949" s="1113" t="s">
        <v>166</v>
      </c>
      <c r="N1949" s="110" t="s">
        <v>188</v>
      </c>
      <c r="O1949" s="1115" t="s">
        <v>196</v>
      </c>
      <c r="P1949" s="1115" t="s">
        <v>224</v>
      </c>
      <c r="Q1949" s="1115" t="s">
        <v>842</v>
      </c>
      <c r="R1949" s="120">
        <v>21.7</v>
      </c>
      <c r="S1949" s="1113">
        <v>39.5</v>
      </c>
      <c r="T1949" s="110">
        <v>1.3</v>
      </c>
      <c r="U1949" s="1108"/>
      <c r="V1949" s="1108"/>
      <c r="W1949" s="1108"/>
      <c r="X1949" s="1108"/>
      <c r="Y1949" s="1108"/>
      <c r="Z1949" s="1114" t="s">
        <v>387</v>
      </c>
      <c r="AA1949" s="1114"/>
      <c r="AB1949" s="1114" t="s">
        <v>416</v>
      </c>
      <c r="AC1949" s="1117">
        <v>52.5</v>
      </c>
      <c r="AD1949" s="1115"/>
      <c r="AE1949" s="1115"/>
      <c r="AF1949" s="1115"/>
      <c r="AG1949" s="1115"/>
      <c r="AH1949" s="1115"/>
      <c r="AI1949" s="1115"/>
      <c r="AJ1949" s="1117"/>
      <c r="AK1949" s="1118"/>
      <c r="AL1949" s="1115"/>
      <c r="AM1949" s="1115"/>
      <c r="AN1949" s="1115"/>
      <c r="AO1949" s="1115"/>
      <c r="AP1949" s="1115"/>
      <c r="AQ1949" s="1115"/>
      <c r="AR1949" s="1115"/>
      <c r="AS1949" s="1117"/>
      <c r="AT1949" s="1196" t="str">
        <f t="shared" si="428"/>
        <v/>
      </c>
      <c r="AU1949" s="1193"/>
      <c r="AV1949" s="330">
        <f>SQRT(($R1949-Infrastructure!J$3)^2+($S1949-Infrastructure!K$3)^2)</f>
        <v>24.42048321</v>
      </c>
      <c r="AW1949" s="331">
        <f>SQRT(($R1949-Infrastructure!J$4)^2+($S1949-Infrastructure!K$4)^2)</f>
        <v>30.90129447</v>
      </c>
      <c r="AX1949" s="331">
        <f>SQRT(($R1949-Infrastructure!J$5)^2+($S1949-Infrastructure!K$5)^2)</f>
        <v>40.83331973</v>
      </c>
      <c r="AY1949" s="331">
        <f>SQRT(($R1949-Infrastructure!J$6)^2+($S1949-Infrastructure!K$6)^2)</f>
        <v>40.88031311</v>
      </c>
      <c r="AZ1949" s="331">
        <f>SQRT(($R1949-Infrastructure!J$7)^2+($S1949-Infrastructure!K$7)^2)</f>
        <v>39.21836305</v>
      </c>
      <c r="BA1949" s="331">
        <f>SQRT(($R1949-Infrastructure!J$8)^2+($S1949-Infrastructure!K$8)^2)</f>
        <v>40.08989898</v>
      </c>
      <c r="BB1949" s="331">
        <f>SQRT(($R1949-Infrastructure!J$9)^2+($S1949-Infrastructure!K$9)^2)</f>
        <v>38.96472764</v>
      </c>
      <c r="BC1949" s="331">
        <f>SQRT(($R1949-Infrastructure!J$10)^2+($S1949-Infrastructure!K$10)^2)</f>
        <v>30.58005886</v>
      </c>
      <c r="BD1949" s="331">
        <f>SQRT(($R1949-Infrastructure!J$11)^2+($S1949-Infrastructure!K$11)^2)</f>
        <v>21.27204739</v>
      </c>
      <c r="BE1949" s="333">
        <f>SQRT(($R1949-Infrastructure!J$12)^2+($S1949-Infrastructure!K$12)^2)</f>
        <v>16.00124995</v>
      </c>
      <c r="BF1949" s="330">
        <f t="shared" si="161"/>
        <v>16.00124995</v>
      </c>
      <c r="BG1949" s="333">
        <f t="shared" si="162"/>
        <v>40.88031311</v>
      </c>
      <c r="BH1949" s="1119"/>
      <c r="BI1949" s="319" t="str">
        <f t="shared" ref="BI1949:BR1949" si="749">IF(ISNUMBER(FIND(BI$3, $CO1949)), "Y", "")</f>
        <v>Y</v>
      </c>
      <c r="BJ1949" s="319" t="str">
        <f t="shared" si="749"/>
        <v/>
      </c>
      <c r="BK1949" s="319" t="str">
        <f t="shared" si="749"/>
        <v/>
      </c>
      <c r="BL1949" s="319" t="str">
        <f t="shared" si="749"/>
        <v>Y</v>
      </c>
      <c r="BM1949" s="319" t="str">
        <f t="shared" si="749"/>
        <v>Y</v>
      </c>
      <c r="BN1949" s="319" t="str">
        <f t="shared" si="749"/>
        <v>Y</v>
      </c>
      <c r="BO1949" s="319" t="str">
        <f t="shared" si="749"/>
        <v/>
      </c>
      <c r="BP1949" s="319" t="str">
        <f t="shared" si="749"/>
        <v/>
      </c>
      <c r="BQ1949" s="319" t="str">
        <f t="shared" si="749"/>
        <v>Y</v>
      </c>
      <c r="BR1949" s="319" t="str">
        <f t="shared" si="749"/>
        <v>Y</v>
      </c>
      <c r="BS1949" s="330">
        <f t="shared" si="185"/>
        <v>16.00124995</v>
      </c>
      <c r="BT1949" s="331">
        <f t="shared" si="170"/>
        <v>40.88031311</v>
      </c>
      <c r="BU1949" s="920">
        <v>0.44506944444444446</v>
      </c>
      <c r="BV1949" s="903">
        <f t="shared" si="186"/>
        <v>0.000625</v>
      </c>
      <c r="BW1949" s="908">
        <v>12.2</v>
      </c>
      <c r="BX1949" s="908">
        <v>38.4</v>
      </c>
      <c r="BY1949" s="331">
        <f t="shared" si="201"/>
        <v>9.563472173</v>
      </c>
      <c r="BZ1949" s="331"/>
      <c r="CA1949" s="462" t="str">
        <f t="shared" ref="CA1949:CJ1949" si="750">IF(ISNUMBER(FIND(BI$3, $CP1949)), "Y", "")</f>
        <v/>
      </c>
      <c r="CB1949" s="319" t="str">
        <f t="shared" si="750"/>
        <v/>
      </c>
      <c r="CC1949" s="319" t="str">
        <f t="shared" si="750"/>
        <v/>
      </c>
      <c r="CD1949" s="319" t="str">
        <f t="shared" si="750"/>
        <v/>
      </c>
      <c r="CE1949" s="319" t="str">
        <f t="shared" si="750"/>
        <v/>
      </c>
      <c r="CF1949" s="319" t="str">
        <f t="shared" si="750"/>
        <v/>
      </c>
      <c r="CG1949" s="319" t="str">
        <f t="shared" si="750"/>
        <v/>
      </c>
      <c r="CH1949" s="319" t="str">
        <f t="shared" si="750"/>
        <v/>
      </c>
      <c r="CI1949" s="319" t="str">
        <f t="shared" si="750"/>
        <v/>
      </c>
      <c r="CJ1949" s="319" t="str">
        <f t="shared" si="750"/>
        <v/>
      </c>
      <c r="CK1949" s="342">
        <f t="shared" si="182"/>
        <v>0</v>
      </c>
      <c r="CL1949" s="333">
        <f t="shared" si="183"/>
        <v>0</v>
      </c>
      <c r="CM1949" s="1079"/>
      <c r="CN1949" s="1005" t="s">
        <v>2912</v>
      </c>
      <c r="CO1949" s="1005" t="s">
        <v>2915</v>
      </c>
      <c r="CP1949" s="1005"/>
    </row>
    <row r="1950">
      <c r="A1950" s="266"/>
      <c r="B1950" s="1113" t="s">
        <v>2902</v>
      </c>
      <c r="C1950" s="1107">
        <v>45545.0</v>
      </c>
      <c r="D1950" s="1113" t="s">
        <v>986</v>
      </c>
      <c r="E1950" s="1108">
        <v>4.0</v>
      </c>
      <c r="F1950" s="112" t="s">
        <v>2916</v>
      </c>
      <c r="G1950" s="1110"/>
      <c r="H1950" s="1138"/>
      <c r="I1950" s="1138"/>
      <c r="J1950" s="1139"/>
      <c r="K1950" s="1111"/>
      <c r="L1950" s="1112">
        <v>0.0</v>
      </c>
      <c r="M1950" s="1113" t="s">
        <v>166</v>
      </c>
      <c r="N1950" s="110" t="s">
        <v>188</v>
      </c>
      <c r="O1950" s="1115" t="s">
        <v>196</v>
      </c>
      <c r="P1950" s="1115" t="s">
        <v>224</v>
      </c>
      <c r="Q1950" s="1115" t="s">
        <v>842</v>
      </c>
      <c r="R1950" s="120">
        <v>21.7</v>
      </c>
      <c r="S1950" s="1113">
        <v>39.5</v>
      </c>
      <c r="T1950" s="110">
        <v>1.3</v>
      </c>
      <c r="U1950" s="1108"/>
      <c r="V1950" s="1108"/>
      <c r="W1950" s="1108"/>
      <c r="X1950" s="1108"/>
      <c r="Y1950" s="1108"/>
      <c r="Z1950" s="1114" t="s">
        <v>387</v>
      </c>
      <c r="AA1950" s="1114"/>
      <c r="AB1950" s="1114" t="s">
        <v>419</v>
      </c>
      <c r="AC1950" s="1117">
        <v>77.9</v>
      </c>
      <c r="AD1950" s="1115"/>
      <c r="AE1950" s="1115"/>
      <c r="AF1950" s="1115"/>
      <c r="AG1950" s="1115"/>
      <c r="AH1950" s="1115"/>
      <c r="AI1950" s="1115"/>
      <c r="AJ1950" s="1117"/>
      <c r="AK1950" s="1118"/>
      <c r="AL1950" s="1115"/>
      <c r="AM1950" s="1115"/>
      <c r="AN1950" s="1115"/>
      <c r="AO1950" s="1115"/>
      <c r="AP1950" s="1115"/>
      <c r="AQ1950" s="1115"/>
      <c r="AR1950" s="1115"/>
      <c r="AS1950" s="1117"/>
      <c r="AT1950" s="1196" t="str">
        <f t="shared" si="428"/>
        <v/>
      </c>
      <c r="AU1950" s="1193"/>
      <c r="AV1950" s="330">
        <f>SQRT(($R1950-Infrastructure!J$3)^2+($S1950-Infrastructure!K$3)^2)</f>
        <v>24.42048321</v>
      </c>
      <c r="AW1950" s="331">
        <f>SQRT(($R1950-Infrastructure!J$4)^2+($S1950-Infrastructure!K$4)^2)</f>
        <v>30.90129447</v>
      </c>
      <c r="AX1950" s="331">
        <f>SQRT(($R1950-Infrastructure!J$5)^2+($S1950-Infrastructure!K$5)^2)</f>
        <v>40.83331973</v>
      </c>
      <c r="AY1950" s="331">
        <f>SQRT(($R1950-Infrastructure!J$6)^2+($S1950-Infrastructure!K$6)^2)</f>
        <v>40.88031311</v>
      </c>
      <c r="AZ1950" s="331">
        <f>SQRT(($R1950-Infrastructure!J$7)^2+($S1950-Infrastructure!K$7)^2)</f>
        <v>39.21836305</v>
      </c>
      <c r="BA1950" s="331">
        <f>SQRT(($R1950-Infrastructure!J$8)^2+($S1950-Infrastructure!K$8)^2)</f>
        <v>40.08989898</v>
      </c>
      <c r="BB1950" s="331">
        <f>SQRT(($R1950-Infrastructure!J$9)^2+($S1950-Infrastructure!K$9)^2)</f>
        <v>38.96472764</v>
      </c>
      <c r="BC1950" s="331">
        <f>SQRT(($R1950-Infrastructure!J$10)^2+($S1950-Infrastructure!K$10)^2)</f>
        <v>30.58005886</v>
      </c>
      <c r="BD1950" s="331">
        <f>SQRT(($R1950-Infrastructure!J$11)^2+($S1950-Infrastructure!K$11)^2)</f>
        <v>21.27204739</v>
      </c>
      <c r="BE1950" s="333">
        <f>SQRT(($R1950-Infrastructure!J$12)^2+($S1950-Infrastructure!K$12)^2)</f>
        <v>16.00124995</v>
      </c>
      <c r="BF1950" s="330">
        <f t="shared" si="161"/>
        <v>16.00124995</v>
      </c>
      <c r="BG1950" s="333">
        <f t="shared" si="162"/>
        <v>40.88031311</v>
      </c>
      <c r="BH1950" s="1119"/>
      <c r="BI1950" s="319" t="str">
        <f t="shared" ref="BI1950:BR1950" si="751">IF(ISNUMBER(FIND(BI$3, $CO1950)), "Y", "")</f>
        <v/>
      </c>
      <c r="BJ1950" s="319" t="str">
        <f t="shared" si="751"/>
        <v/>
      </c>
      <c r="BK1950" s="319" t="str">
        <f t="shared" si="751"/>
        <v/>
      </c>
      <c r="BL1950" s="319" t="str">
        <f t="shared" si="751"/>
        <v/>
      </c>
      <c r="BM1950" s="319" t="str">
        <f t="shared" si="751"/>
        <v/>
      </c>
      <c r="BN1950" s="319" t="str">
        <f t="shared" si="751"/>
        <v/>
      </c>
      <c r="BO1950" s="319" t="str">
        <f t="shared" si="751"/>
        <v/>
      </c>
      <c r="BP1950" s="319" t="str">
        <f t="shared" si="751"/>
        <v/>
      </c>
      <c r="BQ1950" s="319" t="str">
        <f t="shared" si="751"/>
        <v/>
      </c>
      <c r="BR1950" s="319" t="str">
        <f t="shared" si="751"/>
        <v/>
      </c>
      <c r="BS1950" s="330">
        <f t="shared" si="185"/>
        <v>0</v>
      </c>
      <c r="BT1950" s="331">
        <f t="shared" si="170"/>
        <v>0</v>
      </c>
      <c r="BU1950" s="920"/>
      <c r="BV1950" s="903" t="str">
        <f t="shared" si="186"/>
        <v/>
      </c>
      <c r="BW1950" s="908"/>
      <c r="BX1950" s="908"/>
      <c r="BY1950" s="331" t="b">
        <f t="shared" si="201"/>
        <v>0</v>
      </c>
      <c r="BZ1950" s="331"/>
      <c r="CA1950" s="462" t="str">
        <f t="shared" ref="CA1950:CJ1950" si="752">IF(ISNUMBER(FIND(BI$3, $CP1950)), "Y", "")</f>
        <v/>
      </c>
      <c r="CB1950" s="319" t="str">
        <f t="shared" si="752"/>
        <v/>
      </c>
      <c r="CC1950" s="319" t="str">
        <f t="shared" si="752"/>
        <v/>
      </c>
      <c r="CD1950" s="319" t="str">
        <f t="shared" si="752"/>
        <v/>
      </c>
      <c r="CE1950" s="319" t="str">
        <f t="shared" si="752"/>
        <v/>
      </c>
      <c r="CF1950" s="319" t="str">
        <f t="shared" si="752"/>
        <v/>
      </c>
      <c r="CG1950" s="319" t="str">
        <f t="shared" si="752"/>
        <v/>
      </c>
      <c r="CH1950" s="319" t="str">
        <f t="shared" si="752"/>
        <v/>
      </c>
      <c r="CI1950" s="319" t="str">
        <f t="shared" si="752"/>
        <v/>
      </c>
      <c r="CJ1950" s="319" t="str">
        <f t="shared" si="752"/>
        <v/>
      </c>
      <c r="CK1950" s="342">
        <f t="shared" si="182"/>
        <v>0</v>
      </c>
      <c r="CL1950" s="333">
        <f t="shared" si="183"/>
        <v>0</v>
      </c>
      <c r="CM1950" s="1079"/>
      <c r="CN1950" s="1005" t="s">
        <v>2912</v>
      </c>
      <c r="CO1950" s="1005"/>
      <c r="CP1950" s="1005"/>
    </row>
    <row r="1951">
      <c r="A1951" s="266"/>
      <c r="B1951" s="1113" t="s">
        <v>2902</v>
      </c>
      <c r="C1951" s="1107">
        <v>45545.0</v>
      </c>
      <c r="D1951" s="1113" t="s">
        <v>986</v>
      </c>
      <c r="E1951" s="1108" t="s">
        <v>1217</v>
      </c>
      <c r="F1951" s="112" t="s">
        <v>2917</v>
      </c>
      <c r="G1951" s="1110">
        <v>0.4895833333333333</v>
      </c>
      <c r="H1951" s="1110">
        <v>0.48993055555555554</v>
      </c>
      <c r="I1951" s="1110"/>
      <c r="J1951" s="1111"/>
      <c r="K1951" s="1111">
        <v>0.5215277777777778</v>
      </c>
      <c r="L1951" s="1112">
        <v>0.03125</v>
      </c>
      <c r="M1951" s="1113" t="s">
        <v>166</v>
      </c>
      <c r="N1951" s="110" t="s">
        <v>188</v>
      </c>
      <c r="O1951" s="1115" t="s">
        <v>378</v>
      </c>
      <c r="P1951" s="1115" t="s">
        <v>225</v>
      </c>
      <c r="Q1951" s="1115" t="s">
        <v>842</v>
      </c>
      <c r="R1951" s="120">
        <v>22.7</v>
      </c>
      <c r="S1951" s="1113">
        <v>39.7</v>
      </c>
      <c r="T1951" s="110">
        <v>1.1</v>
      </c>
      <c r="U1951" s="1108"/>
      <c r="V1951" s="1108"/>
      <c r="W1951" s="1108"/>
      <c r="X1951" s="1108"/>
      <c r="Y1951" s="1108"/>
      <c r="Z1951" s="1114" t="s">
        <v>1140</v>
      </c>
      <c r="AA1951" s="1114"/>
      <c r="AB1951" s="1114" t="s">
        <v>407</v>
      </c>
      <c r="AC1951" s="1117">
        <v>15.75</v>
      </c>
      <c r="AD1951" s="1115"/>
      <c r="AE1951" s="1115"/>
      <c r="AF1951" s="1115"/>
      <c r="AG1951" s="1115"/>
      <c r="AH1951" s="1115"/>
      <c r="AI1951" s="1115"/>
      <c r="AJ1951" s="1117"/>
      <c r="AK1951" s="1118"/>
      <c r="AL1951" s="1115"/>
      <c r="AM1951" s="1115"/>
      <c r="AN1951" s="1115"/>
      <c r="AO1951" s="1115"/>
      <c r="AP1951" s="1115"/>
      <c r="AQ1951" s="1115"/>
      <c r="AR1951" s="1115"/>
      <c r="AS1951" s="1117"/>
      <c r="AT1951" s="1196" t="str">
        <f t="shared" si="428"/>
        <v/>
      </c>
      <c r="AU1951" s="1193"/>
      <c r="AV1951" s="330">
        <f>SQRT(($R1951-Infrastructure!J$3)^2+($S1951-Infrastructure!K$3)^2)</f>
        <v>25.40944706</v>
      </c>
      <c r="AW1951" s="331">
        <f>SQRT(($R1951-Infrastructure!J$4)^2+($S1951-Infrastructure!K$4)^2)</f>
        <v>31.75862088</v>
      </c>
      <c r="AX1951" s="331">
        <f>SQRT(($R1951-Infrastructure!J$5)^2+($S1951-Infrastructure!K$5)^2)</f>
        <v>41.54708173</v>
      </c>
      <c r="AY1951" s="331">
        <f>SQRT(($R1951-Infrastructure!J$6)^2+($S1951-Infrastructure!K$6)^2)</f>
        <v>41.36568626</v>
      </c>
      <c r="AZ1951" s="331">
        <f>SQRT(($R1951-Infrastructure!J$7)^2+($S1951-Infrastructure!K$7)^2)</f>
        <v>39.46137352</v>
      </c>
      <c r="BA1951" s="331">
        <f>SQRT(($R1951-Infrastructure!J$8)^2+($S1951-Infrastructure!K$8)^2)</f>
        <v>40.08890121</v>
      </c>
      <c r="BB1951" s="331">
        <f>SQRT(($R1951-Infrastructure!J$9)^2+($S1951-Infrastructure!K$9)^2)</f>
        <v>38.68397601</v>
      </c>
      <c r="BC1951" s="331">
        <f>SQRT(($R1951-Infrastructure!J$10)^2+($S1951-Infrastructure!K$10)^2)</f>
        <v>30.15592811</v>
      </c>
      <c r="BD1951" s="331">
        <f>SQRT(($R1951-Infrastructure!J$11)^2+($S1951-Infrastructure!K$11)^2)</f>
        <v>20.51194774</v>
      </c>
      <c r="BE1951" s="333">
        <f>SQRT(($R1951-Infrastructure!J$12)^2+($S1951-Infrastructure!K$12)^2)</f>
        <v>15.84550409</v>
      </c>
      <c r="BF1951" s="330">
        <f t="shared" si="161"/>
        <v>15.84550409</v>
      </c>
      <c r="BG1951" s="333">
        <f t="shared" si="162"/>
        <v>41.54708173</v>
      </c>
      <c r="BH1951" s="1119"/>
      <c r="BI1951" s="319" t="str">
        <f t="shared" ref="BI1951:BR1951" si="753">IF(ISNUMBER(FIND(BI$3, $CO1951)), "Y", "")</f>
        <v>Y</v>
      </c>
      <c r="BJ1951" s="319" t="str">
        <f t="shared" si="753"/>
        <v/>
      </c>
      <c r="BK1951" s="319" t="str">
        <f t="shared" si="753"/>
        <v/>
      </c>
      <c r="BL1951" s="319" t="str">
        <f t="shared" si="753"/>
        <v>Y</v>
      </c>
      <c r="BM1951" s="319" t="str">
        <f t="shared" si="753"/>
        <v>Y</v>
      </c>
      <c r="BN1951" s="319" t="str">
        <f t="shared" si="753"/>
        <v>Y</v>
      </c>
      <c r="BO1951" s="319" t="str">
        <f t="shared" si="753"/>
        <v>Y</v>
      </c>
      <c r="BP1951" s="319" t="str">
        <f t="shared" si="753"/>
        <v/>
      </c>
      <c r="BQ1951" s="319" t="str">
        <f t="shared" si="753"/>
        <v>Y</v>
      </c>
      <c r="BR1951" s="319" t="str">
        <f t="shared" si="753"/>
        <v>Y</v>
      </c>
      <c r="BS1951" s="330">
        <f t="shared" si="185"/>
        <v>15.84550409</v>
      </c>
      <c r="BT1951" s="331">
        <f t="shared" si="170"/>
        <v>41.36568626</v>
      </c>
      <c r="BU1951" s="920">
        <v>0.4902314814814815</v>
      </c>
      <c r="BV1951" s="903">
        <f t="shared" si="186"/>
        <v>0.0006481481481</v>
      </c>
      <c r="BW1951" s="908">
        <v>16.8</v>
      </c>
      <c r="BX1951" s="908">
        <v>41.1</v>
      </c>
      <c r="BY1951" s="331">
        <f t="shared" si="201"/>
        <v>6.063827174</v>
      </c>
      <c r="BZ1951" s="331"/>
      <c r="CA1951" s="462" t="str">
        <f t="shared" ref="CA1951:CJ1951" si="754">IF(ISNUMBER(FIND(BI$3, $CP1951)), "Y", "")</f>
        <v/>
      </c>
      <c r="CB1951" s="319" t="str">
        <f t="shared" si="754"/>
        <v/>
      </c>
      <c r="CC1951" s="319" t="str">
        <f t="shared" si="754"/>
        <v/>
      </c>
      <c r="CD1951" s="319" t="str">
        <f t="shared" si="754"/>
        <v/>
      </c>
      <c r="CE1951" s="319" t="str">
        <f t="shared" si="754"/>
        <v/>
      </c>
      <c r="CF1951" s="319" t="str">
        <f t="shared" si="754"/>
        <v/>
      </c>
      <c r="CG1951" s="319" t="str">
        <f t="shared" si="754"/>
        <v/>
      </c>
      <c r="CH1951" s="319" t="str">
        <f t="shared" si="754"/>
        <v/>
      </c>
      <c r="CI1951" s="319" t="str">
        <f t="shared" si="754"/>
        <v/>
      </c>
      <c r="CJ1951" s="319" t="str">
        <f t="shared" si="754"/>
        <v/>
      </c>
      <c r="CK1951" s="342">
        <f t="shared" si="182"/>
        <v>0</v>
      </c>
      <c r="CL1951" s="333">
        <f t="shared" si="183"/>
        <v>0</v>
      </c>
      <c r="CM1951" s="1079"/>
      <c r="CN1951" s="1005" t="s">
        <v>2912</v>
      </c>
      <c r="CO1951" s="1005" t="s">
        <v>2590</v>
      </c>
      <c r="CP1951" s="1005"/>
    </row>
    <row r="1952">
      <c r="A1952" s="266"/>
      <c r="B1952" s="1113" t="s">
        <v>2902</v>
      </c>
      <c r="C1952" s="1107">
        <v>45545.0</v>
      </c>
      <c r="D1952" s="1113" t="s">
        <v>986</v>
      </c>
      <c r="E1952" s="1108">
        <v>5.0</v>
      </c>
      <c r="F1952" s="112" t="s">
        <v>2918</v>
      </c>
      <c r="G1952" s="1110">
        <v>0.5305555555555556</v>
      </c>
      <c r="H1952" s="1110">
        <v>0.53125</v>
      </c>
      <c r="I1952" s="1110"/>
      <c r="J1952" s="1111"/>
      <c r="K1952" s="1111">
        <v>0.5670138888888889</v>
      </c>
      <c r="L1952" s="1112">
        <v>0.035416666666666666</v>
      </c>
      <c r="M1952" s="1113" t="s">
        <v>166</v>
      </c>
      <c r="N1952" s="110" t="s">
        <v>187</v>
      </c>
      <c r="O1952" s="1115" t="s">
        <v>204</v>
      </c>
      <c r="P1952" s="1115" t="s">
        <v>262</v>
      </c>
      <c r="Q1952" s="1116"/>
      <c r="R1952" s="120">
        <v>17.9</v>
      </c>
      <c r="S1952" s="1113">
        <v>3.6</v>
      </c>
      <c r="T1952" s="110">
        <v>2.6</v>
      </c>
      <c r="U1952" s="1108"/>
      <c r="V1952" s="1108"/>
      <c r="W1952" s="1108"/>
      <c r="X1952" s="1108"/>
      <c r="Y1952" s="1108"/>
      <c r="Z1952" s="1114" t="s">
        <v>365</v>
      </c>
      <c r="AA1952" s="1114"/>
      <c r="AB1952" s="1114" t="s">
        <v>388</v>
      </c>
      <c r="AC1952" s="1117">
        <v>8.0</v>
      </c>
      <c r="AD1952" s="1115"/>
      <c r="AE1952" s="1115"/>
      <c r="AF1952" s="1115"/>
      <c r="AG1952" s="1115"/>
      <c r="AH1952" s="1115"/>
      <c r="AI1952" s="1115"/>
      <c r="AJ1952" s="1117"/>
      <c r="AK1952" s="1118"/>
      <c r="AL1952" s="1115"/>
      <c r="AM1952" s="1115"/>
      <c r="AN1952" s="1115"/>
      <c r="AO1952" s="1115"/>
      <c r="AP1952" s="1115"/>
      <c r="AQ1952" s="1115"/>
      <c r="AR1952" s="1115"/>
      <c r="AS1952" s="1117"/>
      <c r="AT1952" s="1196" t="str">
        <f t="shared" si="428"/>
        <v/>
      </c>
      <c r="AU1952" s="1193"/>
      <c r="AV1952" s="330">
        <f>SQRT(($R1952-Infrastructure!J$3)^2+($S1952-Infrastructure!K$3)^2)</f>
        <v>31.16616755</v>
      </c>
      <c r="AW1952" s="331">
        <f>SQRT(($R1952-Infrastructure!J$4)^2+($S1952-Infrastructure!K$4)^2)</f>
        <v>23.08419373</v>
      </c>
      <c r="AX1952" s="331">
        <f>SQRT(($R1952-Infrastructure!J$5)^2+($S1952-Infrastructure!K$5)^2)</f>
        <v>18.26170857</v>
      </c>
      <c r="AY1952" s="331">
        <f>SQRT(($R1952-Infrastructure!J$6)^2+($S1952-Infrastructure!K$6)^2)</f>
        <v>8.469356528</v>
      </c>
      <c r="AZ1952" s="331">
        <f>SQRT(($R1952-Infrastructure!J$7)^2+($S1952-Infrastructure!K$7)^2)</f>
        <v>4.201190308</v>
      </c>
      <c r="BA1952" s="331">
        <f>SQRT(($R1952-Infrastructure!J$8)^2+($S1952-Infrastructure!K$8)^2)</f>
        <v>12.63843345</v>
      </c>
      <c r="BB1952" s="331">
        <f>SQRT(($R1952-Infrastructure!J$9)^2+($S1952-Infrastructure!K$9)^2)</f>
        <v>22.15084648</v>
      </c>
      <c r="BC1952" s="331">
        <f>SQRT(($R1952-Infrastructure!J$10)^2+($S1952-Infrastructure!K$10)^2)</f>
        <v>24.86704647</v>
      </c>
      <c r="BD1952" s="331">
        <f>SQRT(($R1952-Infrastructure!J$11)^2+($S1952-Infrastructure!K$11)^2)</f>
        <v>33.80014793</v>
      </c>
      <c r="BE1952" s="333">
        <f>SQRT(($R1952-Infrastructure!J$12)^2+($S1952-Infrastructure!K$12)^2)</f>
        <v>52.02470567</v>
      </c>
      <c r="BF1952" s="330">
        <f t="shared" si="161"/>
        <v>4.201190308</v>
      </c>
      <c r="BG1952" s="333">
        <f t="shared" si="162"/>
        <v>52.02470567</v>
      </c>
      <c r="BH1952" s="1119"/>
      <c r="BI1952" s="319" t="str">
        <f t="shared" ref="BI1952:BR1952" si="755">IF(ISNUMBER(FIND(BI$3, $CO1952)), "Y", "")</f>
        <v/>
      </c>
      <c r="BJ1952" s="319" t="str">
        <f t="shared" si="755"/>
        <v/>
      </c>
      <c r="BK1952" s="319" t="str">
        <f t="shared" si="755"/>
        <v>Y</v>
      </c>
      <c r="BL1952" s="319" t="str">
        <f t="shared" si="755"/>
        <v>Y</v>
      </c>
      <c r="BM1952" s="319" t="str">
        <f t="shared" si="755"/>
        <v>Y</v>
      </c>
      <c r="BN1952" s="319" t="str">
        <f t="shared" si="755"/>
        <v>Y</v>
      </c>
      <c r="BO1952" s="319" t="str">
        <f t="shared" si="755"/>
        <v>Y</v>
      </c>
      <c r="BP1952" s="319" t="str">
        <f t="shared" si="755"/>
        <v/>
      </c>
      <c r="BQ1952" s="319" t="str">
        <f t="shared" si="755"/>
        <v/>
      </c>
      <c r="BR1952" s="319" t="str">
        <f t="shared" si="755"/>
        <v/>
      </c>
      <c r="BS1952" s="330">
        <f t="shared" si="185"/>
        <v>4.201190308</v>
      </c>
      <c r="BT1952" s="331">
        <f t="shared" si="170"/>
        <v>22.15084648</v>
      </c>
      <c r="BU1952" s="920">
        <v>0.5311689814814815</v>
      </c>
      <c r="BV1952" s="903">
        <f t="shared" si="186"/>
        <v>0.0006134259259</v>
      </c>
      <c r="BW1952" s="908">
        <v>16.9</v>
      </c>
      <c r="BX1952" s="908">
        <v>32.5</v>
      </c>
      <c r="BY1952" s="331">
        <f t="shared" si="201"/>
        <v>28.91729586</v>
      </c>
      <c r="BZ1952" s="331"/>
      <c r="CA1952" s="462" t="str">
        <f t="shared" ref="CA1952:CJ1952" si="756">IF(ISNUMBER(FIND(BI$3, $CP1952)), "Y", "")</f>
        <v/>
      </c>
      <c r="CB1952" s="319" t="str">
        <f t="shared" si="756"/>
        <v/>
      </c>
      <c r="CC1952" s="319" t="str">
        <f t="shared" si="756"/>
        <v/>
      </c>
      <c r="CD1952" s="319" t="str">
        <f t="shared" si="756"/>
        <v/>
      </c>
      <c r="CE1952" s="319" t="str">
        <f t="shared" si="756"/>
        <v/>
      </c>
      <c r="CF1952" s="319" t="str">
        <f t="shared" si="756"/>
        <v/>
      </c>
      <c r="CG1952" s="319" t="str">
        <f t="shared" si="756"/>
        <v/>
      </c>
      <c r="CH1952" s="319" t="str">
        <f t="shared" si="756"/>
        <v/>
      </c>
      <c r="CI1952" s="319" t="str">
        <f t="shared" si="756"/>
        <v/>
      </c>
      <c r="CJ1952" s="319" t="str">
        <f t="shared" si="756"/>
        <v/>
      </c>
      <c r="CK1952" s="342">
        <f t="shared" si="182"/>
        <v>0</v>
      </c>
      <c r="CL1952" s="333">
        <f t="shared" si="183"/>
        <v>0</v>
      </c>
      <c r="CM1952" s="1079"/>
      <c r="CN1952" s="1005" t="s">
        <v>2919</v>
      </c>
      <c r="CO1952" s="1005" t="s">
        <v>2619</v>
      </c>
      <c r="CP1952" s="1005"/>
    </row>
    <row r="1953">
      <c r="A1953" s="266"/>
      <c r="B1953" s="1113" t="s">
        <v>2902</v>
      </c>
      <c r="C1953" s="1107">
        <v>45545.0</v>
      </c>
      <c r="D1953" s="1113" t="s">
        <v>986</v>
      </c>
      <c r="E1953" s="1108">
        <v>6.0</v>
      </c>
      <c r="F1953" s="112" t="s">
        <v>2920</v>
      </c>
      <c r="G1953" s="1110">
        <v>0.5723958333333333</v>
      </c>
      <c r="H1953" s="1110">
        <v>0.5729166666666666</v>
      </c>
      <c r="I1953" s="1110"/>
      <c r="J1953" s="1111"/>
      <c r="K1953" s="1111">
        <v>0.6041666666666666</v>
      </c>
      <c r="L1953" s="1112">
        <v>0.03125</v>
      </c>
      <c r="M1953" s="1113" t="s">
        <v>166</v>
      </c>
      <c r="N1953" s="110" t="s">
        <v>187</v>
      </c>
      <c r="O1953" s="1115" t="s">
        <v>206</v>
      </c>
      <c r="P1953" s="1115" t="s">
        <v>218</v>
      </c>
      <c r="Q1953" s="1116"/>
      <c r="R1953" s="120">
        <v>21.5</v>
      </c>
      <c r="S1953" s="1113">
        <v>8.7</v>
      </c>
      <c r="T1953" s="110">
        <v>2.4</v>
      </c>
      <c r="U1953" s="1108"/>
      <c r="V1953" s="1108"/>
      <c r="W1953" s="1108"/>
      <c r="X1953" s="1108"/>
      <c r="Y1953" s="1108"/>
      <c r="Z1953" s="1114" t="s">
        <v>347</v>
      </c>
      <c r="AA1953" s="1114"/>
      <c r="AB1953" s="1114" t="s">
        <v>384</v>
      </c>
      <c r="AC1953" s="1117">
        <v>6.0</v>
      </c>
      <c r="AD1953" s="1115"/>
      <c r="AE1953" s="1115"/>
      <c r="AF1953" s="1115"/>
      <c r="AG1953" s="1115"/>
      <c r="AH1953" s="1115"/>
      <c r="AI1953" s="1115"/>
      <c r="AJ1953" s="1117"/>
      <c r="AK1953" s="1118"/>
      <c r="AL1953" s="1115"/>
      <c r="AM1953" s="1115"/>
      <c r="AN1953" s="1115"/>
      <c r="AO1953" s="1115"/>
      <c r="AP1953" s="1115"/>
      <c r="AQ1953" s="1115"/>
      <c r="AR1953" s="1115"/>
      <c r="AS1953" s="1117"/>
      <c r="AT1953" s="1196" t="str">
        <f t="shared" si="428"/>
        <v/>
      </c>
      <c r="AU1953" s="1193"/>
      <c r="AV1953" s="330">
        <f>SQRT(($R1953-Infrastructure!J$3)^2+($S1953-Infrastructure!K$3)^2)</f>
        <v>29.72002692</v>
      </c>
      <c r="AW1953" s="331">
        <f>SQRT(($R1953-Infrastructure!J$4)^2+($S1953-Infrastructure!K$4)^2)</f>
        <v>23.62308193</v>
      </c>
      <c r="AX1953" s="331">
        <f>SQRT(($R1953-Infrastructure!J$5)^2+($S1953-Infrastructure!K$5)^2)</f>
        <v>22.09524836</v>
      </c>
      <c r="AY1953" s="331">
        <f>SQRT(($R1953-Infrastructure!J$6)^2+($S1953-Infrastructure!K$6)^2)</f>
        <v>14.16050847</v>
      </c>
      <c r="AZ1953" s="331">
        <f>SQRT(($R1953-Infrastructure!J$7)^2+($S1953-Infrastructure!K$7)^2)</f>
        <v>8.459314393</v>
      </c>
      <c r="BA1953" s="331">
        <f>SQRT(($R1953-Infrastructure!J$8)^2+($S1953-Infrastructure!K$8)^2)</f>
        <v>12.02164714</v>
      </c>
      <c r="BB1953" s="331">
        <f>SQRT(($R1953-Infrastructure!J$9)^2+($S1953-Infrastructure!K$9)^2)</f>
        <v>18.84701568</v>
      </c>
      <c r="BC1953" s="331">
        <f>SQRT(($R1953-Infrastructure!J$10)^2+($S1953-Infrastructure!K$10)^2)</f>
        <v>19.54328529</v>
      </c>
      <c r="BD1953" s="331">
        <f>SQRT(($R1953-Infrastructure!J$11)^2+($S1953-Infrastructure!K$11)^2)</f>
        <v>27.60036232</v>
      </c>
      <c r="BE1953" s="333">
        <f>SQRT(($R1953-Infrastructure!J$12)^2+($S1953-Infrastructure!K$12)^2)</f>
        <v>46.8</v>
      </c>
      <c r="BF1953" s="330">
        <f t="shared" si="161"/>
        <v>8.459314393</v>
      </c>
      <c r="BG1953" s="333">
        <f t="shared" si="162"/>
        <v>46.8</v>
      </c>
      <c r="BH1953" s="1119"/>
      <c r="BI1953" s="319" t="str">
        <f t="shared" ref="BI1953:BR1953" si="757">IF(ISNUMBER(FIND(BI$3, $CO1953)), "Y", "")</f>
        <v/>
      </c>
      <c r="BJ1953" s="319" t="str">
        <f t="shared" si="757"/>
        <v/>
      </c>
      <c r="BK1953" s="319" t="str">
        <f t="shared" si="757"/>
        <v/>
      </c>
      <c r="BL1953" s="319" t="str">
        <f t="shared" si="757"/>
        <v/>
      </c>
      <c r="BM1953" s="319" t="str">
        <f t="shared" si="757"/>
        <v/>
      </c>
      <c r="BN1953" s="319" t="str">
        <f t="shared" si="757"/>
        <v/>
      </c>
      <c r="BO1953" s="319" t="str">
        <f t="shared" si="757"/>
        <v/>
      </c>
      <c r="BP1953" s="319" t="str">
        <f t="shared" si="757"/>
        <v/>
      </c>
      <c r="BQ1953" s="319" t="str">
        <f t="shared" si="757"/>
        <v/>
      </c>
      <c r="BR1953" s="319" t="str">
        <f t="shared" si="757"/>
        <v/>
      </c>
      <c r="BS1953" s="330">
        <f t="shared" si="185"/>
        <v>0</v>
      </c>
      <c r="BT1953" s="331">
        <f t="shared" si="170"/>
        <v>0</v>
      </c>
      <c r="BU1953" s="920"/>
      <c r="BV1953" s="903" t="str">
        <f t="shared" si="186"/>
        <v/>
      </c>
      <c r="BW1953" s="908"/>
      <c r="BX1953" s="908"/>
      <c r="BY1953" s="331" t="b">
        <f t="shared" si="201"/>
        <v>0</v>
      </c>
      <c r="BZ1953" s="331"/>
      <c r="CA1953" s="462" t="str">
        <f t="shared" ref="CA1953:CJ1953" si="758">IF(ISNUMBER(FIND(BI$3, $CP1953)), "Y", "")</f>
        <v/>
      </c>
      <c r="CB1953" s="319" t="str">
        <f t="shared" si="758"/>
        <v/>
      </c>
      <c r="CC1953" s="319" t="str">
        <f t="shared" si="758"/>
        <v/>
      </c>
      <c r="CD1953" s="319" t="str">
        <f t="shared" si="758"/>
        <v/>
      </c>
      <c r="CE1953" s="319" t="str">
        <f t="shared" si="758"/>
        <v/>
      </c>
      <c r="CF1953" s="319" t="str">
        <f t="shared" si="758"/>
        <v/>
      </c>
      <c r="CG1953" s="319" t="str">
        <f t="shared" si="758"/>
        <v/>
      </c>
      <c r="CH1953" s="319" t="str">
        <f t="shared" si="758"/>
        <v/>
      </c>
      <c r="CI1953" s="319" t="str">
        <f t="shared" si="758"/>
        <v/>
      </c>
      <c r="CJ1953" s="319" t="str">
        <f t="shared" si="758"/>
        <v/>
      </c>
      <c r="CK1953" s="342">
        <f t="shared" si="182"/>
        <v>0</v>
      </c>
      <c r="CL1953" s="333">
        <f t="shared" si="183"/>
        <v>0</v>
      </c>
      <c r="CM1953" s="1079"/>
      <c r="CN1953" s="1005" t="s">
        <v>2919</v>
      </c>
      <c r="CO1953" s="1005"/>
      <c r="CP1953" s="1005"/>
    </row>
    <row r="1954">
      <c r="A1954" s="266"/>
      <c r="B1954" s="1113" t="s">
        <v>2902</v>
      </c>
      <c r="C1954" s="1107">
        <v>45545.0</v>
      </c>
      <c r="D1954" s="1113" t="s">
        <v>986</v>
      </c>
      <c r="E1954" s="1108">
        <v>7.0</v>
      </c>
      <c r="F1954" s="112" t="s">
        <v>2921</v>
      </c>
      <c r="G1954" s="1110">
        <v>0.6138888888888889</v>
      </c>
      <c r="H1954" s="1110">
        <v>0.6145833333333334</v>
      </c>
      <c r="I1954" s="1110"/>
      <c r="J1954" s="1111"/>
      <c r="K1954" s="1111">
        <v>0.6458333333333334</v>
      </c>
      <c r="L1954" s="1112">
        <v>0.03125</v>
      </c>
      <c r="M1954" s="1113" t="s">
        <v>166</v>
      </c>
      <c r="N1954" s="110" t="s">
        <v>188</v>
      </c>
      <c r="O1954" s="1115" t="s">
        <v>378</v>
      </c>
      <c r="P1954" s="1115" t="s">
        <v>217</v>
      </c>
      <c r="Q1954" s="1115" t="s">
        <v>851</v>
      </c>
      <c r="R1954" s="120">
        <v>22.7</v>
      </c>
      <c r="S1954" s="1113">
        <v>39.7</v>
      </c>
      <c r="T1954" s="110">
        <v>1.8</v>
      </c>
      <c r="U1954" s="1108"/>
      <c r="V1954" s="1108"/>
      <c r="W1954" s="1108"/>
      <c r="X1954" s="1108"/>
      <c r="Y1954" s="1108"/>
      <c r="Z1954" s="1114" t="s">
        <v>1140</v>
      </c>
      <c r="AA1954" s="1114"/>
      <c r="AB1954" s="1114" t="s">
        <v>407</v>
      </c>
      <c r="AC1954" s="1117">
        <v>15.75</v>
      </c>
      <c r="AD1954" s="1115"/>
      <c r="AE1954" s="1115"/>
      <c r="AF1954" s="1115"/>
      <c r="AG1954" s="1115"/>
      <c r="AH1954" s="1115"/>
      <c r="AI1954" s="1115"/>
      <c r="AJ1954" s="1117"/>
      <c r="AK1954" s="1118"/>
      <c r="AL1954" s="1115"/>
      <c r="AM1954" s="1115"/>
      <c r="AN1954" s="1115"/>
      <c r="AO1954" s="1115"/>
      <c r="AP1954" s="1115"/>
      <c r="AQ1954" s="1115"/>
      <c r="AR1954" s="1115"/>
      <c r="AS1954" s="1117"/>
      <c r="AT1954" s="1196" t="str">
        <f t="shared" si="428"/>
        <v/>
      </c>
      <c r="AU1954" s="1193"/>
      <c r="AV1954" s="330">
        <f>SQRT(($R1954-Infrastructure!J$3)^2+($S1954-Infrastructure!K$3)^2)</f>
        <v>25.40944706</v>
      </c>
      <c r="AW1954" s="331">
        <f>SQRT(($R1954-Infrastructure!J$4)^2+($S1954-Infrastructure!K$4)^2)</f>
        <v>31.75862088</v>
      </c>
      <c r="AX1954" s="331">
        <f>SQRT(($R1954-Infrastructure!J$5)^2+($S1954-Infrastructure!K$5)^2)</f>
        <v>41.54708173</v>
      </c>
      <c r="AY1954" s="331">
        <f>SQRT(($R1954-Infrastructure!J$6)^2+($S1954-Infrastructure!K$6)^2)</f>
        <v>41.36568626</v>
      </c>
      <c r="AZ1954" s="331">
        <f>SQRT(($R1954-Infrastructure!J$7)^2+($S1954-Infrastructure!K$7)^2)</f>
        <v>39.46137352</v>
      </c>
      <c r="BA1954" s="331">
        <f>SQRT(($R1954-Infrastructure!J$8)^2+($S1954-Infrastructure!K$8)^2)</f>
        <v>40.08890121</v>
      </c>
      <c r="BB1954" s="331">
        <f>SQRT(($R1954-Infrastructure!J$9)^2+($S1954-Infrastructure!K$9)^2)</f>
        <v>38.68397601</v>
      </c>
      <c r="BC1954" s="331">
        <f>SQRT(($R1954-Infrastructure!J$10)^2+($S1954-Infrastructure!K$10)^2)</f>
        <v>30.15592811</v>
      </c>
      <c r="BD1954" s="331">
        <f>SQRT(($R1954-Infrastructure!J$11)^2+($S1954-Infrastructure!K$11)^2)</f>
        <v>20.51194774</v>
      </c>
      <c r="BE1954" s="333">
        <f>SQRT(($R1954-Infrastructure!J$12)^2+($S1954-Infrastructure!K$12)^2)</f>
        <v>15.84550409</v>
      </c>
      <c r="BF1954" s="330">
        <f t="shared" si="161"/>
        <v>15.84550409</v>
      </c>
      <c r="BG1954" s="333">
        <f t="shared" si="162"/>
        <v>41.54708173</v>
      </c>
      <c r="BH1954" s="1119"/>
      <c r="BI1954" s="319" t="str">
        <f t="shared" ref="BI1954:BR1954" si="759">IF(ISNUMBER(FIND(BI$3, $CO1954)), "Y", "")</f>
        <v>Y</v>
      </c>
      <c r="BJ1954" s="319" t="str">
        <f t="shared" si="759"/>
        <v>Y</v>
      </c>
      <c r="BK1954" s="319" t="str">
        <f t="shared" si="759"/>
        <v>Y</v>
      </c>
      <c r="BL1954" s="319" t="str">
        <f t="shared" si="759"/>
        <v>Y</v>
      </c>
      <c r="BM1954" s="319" t="str">
        <f t="shared" si="759"/>
        <v>Y</v>
      </c>
      <c r="BN1954" s="319" t="str">
        <f t="shared" si="759"/>
        <v/>
      </c>
      <c r="BO1954" s="319" t="str">
        <f t="shared" si="759"/>
        <v>Y</v>
      </c>
      <c r="BP1954" s="319" t="str">
        <f t="shared" si="759"/>
        <v/>
      </c>
      <c r="BQ1954" s="319" t="str">
        <f t="shared" si="759"/>
        <v>Y</v>
      </c>
      <c r="BR1954" s="319" t="str">
        <f t="shared" si="759"/>
        <v>Y</v>
      </c>
      <c r="BS1954" s="330">
        <f t="shared" si="185"/>
        <v>15.84550409</v>
      </c>
      <c r="BT1954" s="331">
        <f t="shared" si="170"/>
        <v>41.54708173</v>
      </c>
      <c r="BU1954" s="920">
        <v>0.614537037037037</v>
      </c>
      <c r="BV1954" s="903">
        <f t="shared" si="186"/>
        <v>0.0006481481481</v>
      </c>
      <c r="BW1954" s="908">
        <v>13.0</v>
      </c>
      <c r="BX1954" s="908">
        <v>35.2</v>
      </c>
      <c r="BY1954" s="331">
        <f t="shared" si="201"/>
        <v>10.69298836</v>
      </c>
      <c r="BZ1954" s="331"/>
      <c r="CA1954" s="462" t="str">
        <f t="shared" ref="CA1954:CJ1954" si="760">IF(ISNUMBER(FIND(BI$3, $CP1954)), "Y", "")</f>
        <v/>
      </c>
      <c r="CB1954" s="319" t="str">
        <f t="shared" si="760"/>
        <v/>
      </c>
      <c r="CC1954" s="319" t="str">
        <f t="shared" si="760"/>
        <v/>
      </c>
      <c r="CD1954" s="319" t="str">
        <f t="shared" si="760"/>
        <v/>
      </c>
      <c r="CE1954" s="319" t="str">
        <f t="shared" si="760"/>
        <v/>
      </c>
      <c r="CF1954" s="319" t="str">
        <f t="shared" si="760"/>
        <v/>
      </c>
      <c r="CG1954" s="319" t="str">
        <f t="shared" si="760"/>
        <v/>
      </c>
      <c r="CH1954" s="319" t="str">
        <f t="shared" si="760"/>
        <v/>
      </c>
      <c r="CI1954" s="319" t="str">
        <f t="shared" si="760"/>
        <v/>
      </c>
      <c r="CJ1954" s="319" t="str">
        <f t="shared" si="760"/>
        <v/>
      </c>
      <c r="CK1954" s="342">
        <f t="shared" si="182"/>
        <v>0</v>
      </c>
      <c r="CL1954" s="333">
        <f t="shared" si="183"/>
        <v>0</v>
      </c>
      <c r="CM1954" s="1079"/>
      <c r="CN1954" s="1005" t="s">
        <v>2919</v>
      </c>
      <c r="CO1954" s="1005" t="s">
        <v>2922</v>
      </c>
      <c r="CP1954" s="1005"/>
    </row>
    <row r="1955">
      <c r="A1955" s="266"/>
      <c r="B1955" s="1113" t="s">
        <v>2902</v>
      </c>
      <c r="C1955" s="1107">
        <v>45545.0</v>
      </c>
      <c r="D1955" s="1113" t="s">
        <v>986</v>
      </c>
      <c r="E1955" s="1108">
        <v>8.0</v>
      </c>
      <c r="F1955" s="112" t="s">
        <v>2923</v>
      </c>
      <c r="G1955" s="1110">
        <v>0.6555555555555556</v>
      </c>
      <c r="H1955" s="1110">
        <v>0.65625</v>
      </c>
      <c r="I1955" s="1110"/>
      <c r="J1955" s="1111"/>
      <c r="K1955" s="1111">
        <v>0.6875</v>
      </c>
      <c r="L1955" s="1112">
        <v>0.03125</v>
      </c>
      <c r="M1955" s="1113" t="s">
        <v>166</v>
      </c>
      <c r="N1955" s="110" t="s">
        <v>187</v>
      </c>
      <c r="O1955" s="1115" t="s">
        <v>199</v>
      </c>
      <c r="P1955" s="1115" t="s">
        <v>272</v>
      </c>
      <c r="Q1955" s="1116"/>
      <c r="R1955" s="120">
        <v>16.1</v>
      </c>
      <c r="S1955" s="1113">
        <v>9.6</v>
      </c>
      <c r="T1955" s="110">
        <v>0.01</v>
      </c>
      <c r="U1955" s="1108"/>
      <c r="V1955" s="1108"/>
      <c r="W1955" s="1108"/>
      <c r="X1955" s="1108"/>
      <c r="Y1955" s="1108"/>
      <c r="Z1955" s="1114" t="s">
        <v>351</v>
      </c>
      <c r="AA1955" s="1114"/>
      <c r="AB1955" s="1114" t="s">
        <v>388</v>
      </c>
      <c r="AC1955" s="1117">
        <v>8.0</v>
      </c>
      <c r="AD1955" s="1115"/>
      <c r="AE1955" s="1115"/>
      <c r="AF1955" s="1115"/>
      <c r="AG1955" s="1115"/>
      <c r="AH1955" s="1115"/>
      <c r="AI1955" s="1115"/>
      <c r="AJ1955" s="1117"/>
      <c r="AK1955" s="1118"/>
      <c r="AL1955" s="1115"/>
      <c r="AM1955" s="1115"/>
      <c r="AN1955" s="1115"/>
      <c r="AO1955" s="1115"/>
      <c r="AP1955" s="1115"/>
      <c r="AQ1955" s="1115"/>
      <c r="AR1955" s="1115"/>
      <c r="AS1955" s="1117"/>
      <c r="AT1955" s="1196" t="str">
        <f t="shared" si="428"/>
        <v/>
      </c>
      <c r="AU1955" s="1193"/>
      <c r="AV1955" s="330">
        <f>SQRT(($R1955-Infrastructure!J$3)^2+($S1955-Infrastructure!K$3)^2)</f>
        <v>25.32686321</v>
      </c>
      <c r="AW1955" s="331">
        <f>SQRT(($R1955-Infrastructure!J$4)^2+($S1955-Infrastructure!K$4)^2)</f>
        <v>18.33575742</v>
      </c>
      <c r="AX1955" s="331">
        <f>SQRT(($R1955-Infrastructure!J$5)^2+($S1955-Infrastructure!K$5)^2)</f>
        <v>17.00617535</v>
      </c>
      <c r="AY1955" s="331">
        <f>SQRT(($R1955-Infrastructure!J$6)^2+($S1955-Infrastructure!K$6)^2)</f>
        <v>11.06752005</v>
      </c>
      <c r="AZ1955" s="331">
        <f>SQRT(($R1955-Infrastructure!J$7)^2+($S1955-Infrastructure!K$7)^2)</f>
        <v>10.28834292</v>
      </c>
      <c r="BA1955" s="331">
        <f>SQRT(($R1955-Infrastructure!J$8)^2+($S1955-Infrastructure!K$8)^2)</f>
        <v>16.80743883</v>
      </c>
      <c r="BB1955" s="331">
        <f>SQRT(($R1955-Infrastructure!J$9)^2+($S1955-Infrastructure!K$9)^2)</f>
        <v>24.31995066</v>
      </c>
      <c r="BC1955" s="331">
        <f>SQRT(($R1955-Infrastructure!J$10)^2+($S1955-Infrastructure!K$10)^2)</f>
        <v>24.50244886</v>
      </c>
      <c r="BD1955" s="331">
        <f>SQRT(($R1955-Infrastructure!J$11)^2+($S1955-Infrastructure!K$11)^2)</f>
        <v>30.93816413</v>
      </c>
      <c r="BE1955" s="333">
        <f>SQRT(($R1955-Infrastructure!J$12)^2+($S1955-Infrastructure!K$12)^2)</f>
        <v>46.21655548</v>
      </c>
      <c r="BF1955" s="330">
        <f t="shared" si="161"/>
        <v>10.28834292</v>
      </c>
      <c r="BG1955" s="333">
        <f t="shared" si="162"/>
        <v>46.21655548</v>
      </c>
      <c r="BH1955" s="1119"/>
      <c r="BI1955" s="319" t="str">
        <f t="shared" ref="BI1955:BR1955" si="761">IF(ISNUMBER(FIND(BI$3, $CO1955)), "Y", "")</f>
        <v/>
      </c>
      <c r="BJ1955" s="319" t="str">
        <f t="shared" si="761"/>
        <v/>
      </c>
      <c r="BK1955" s="319" t="str">
        <f t="shared" si="761"/>
        <v/>
      </c>
      <c r="BL1955" s="319" t="str">
        <f t="shared" si="761"/>
        <v/>
      </c>
      <c r="BM1955" s="319" t="str">
        <f t="shared" si="761"/>
        <v/>
      </c>
      <c r="BN1955" s="319" t="str">
        <f t="shared" si="761"/>
        <v/>
      </c>
      <c r="BO1955" s="319" t="str">
        <f t="shared" si="761"/>
        <v/>
      </c>
      <c r="BP1955" s="319" t="str">
        <f t="shared" si="761"/>
        <v/>
      </c>
      <c r="BQ1955" s="319" t="str">
        <f t="shared" si="761"/>
        <v/>
      </c>
      <c r="BR1955" s="319" t="str">
        <f t="shared" si="761"/>
        <v/>
      </c>
      <c r="BS1955" s="330">
        <f t="shared" si="185"/>
        <v>0</v>
      </c>
      <c r="BT1955" s="331">
        <f t="shared" si="170"/>
        <v>0</v>
      </c>
      <c r="BU1955" s="920"/>
      <c r="BV1955" s="903" t="str">
        <f t="shared" si="186"/>
        <v/>
      </c>
      <c r="BW1955" s="908"/>
      <c r="BX1955" s="908"/>
      <c r="BY1955" s="331" t="b">
        <f t="shared" si="201"/>
        <v>0</v>
      </c>
      <c r="BZ1955" s="331"/>
      <c r="CA1955" s="462" t="str">
        <f t="shared" ref="CA1955:CJ1955" si="762">IF(ISNUMBER(FIND(BI$3, $CP1955)), "Y", "")</f>
        <v/>
      </c>
      <c r="CB1955" s="319" t="str">
        <f t="shared" si="762"/>
        <v/>
      </c>
      <c r="CC1955" s="319" t="str">
        <f t="shared" si="762"/>
        <v/>
      </c>
      <c r="CD1955" s="319" t="str">
        <f t="shared" si="762"/>
        <v/>
      </c>
      <c r="CE1955" s="319" t="str">
        <f t="shared" si="762"/>
        <v/>
      </c>
      <c r="CF1955" s="319" t="str">
        <f t="shared" si="762"/>
        <v/>
      </c>
      <c r="CG1955" s="319" t="str">
        <f t="shared" si="762"/>
        <v/>
      </c>
      <c r="CH1955" s="319" t="str">
        <f t="shared" si="762"/>
        <v/>
      </c>
      <c r="CI1955" s="319" t="str">
        <f t="shared" si="762"/>
        <v/>
      </c>
      <c r="CJ1955" s="319" t="str">
        <f t="shared" si="762"/>
        <v/>
      </c>
      <c r="CK1955" s="342">
        <f t="shared" si="182"/>
        <v>0</v>
      </c>
      <c r="CL1955" s="333">
        <f t="shared" si="183"/>
        <v>0</v>
      </c>
      <c r="CM1955" s="1079"/>
      <c r="CN1955" s="1005" t="s">
        <v>2919</v>
      </c>
      <c r="CO1955" s="1005"/>
      <c r="CP1955" s="1005"/>
    </row>
    <row r="1956">
      <c r="A1956" s="1258"/>
      <c r="B1956" s="1129" t="s">
        <v>2902</v>
      </c>
      <c r="C1956" s="1122">
        <v>45545.0</v>
      </c>
      <c r="D1956" s="1129" t="s">
        <v>986</v>
      </c>
      <c r="E1956" s="1124">
        <v>9.0</v>
      </c>
      <c r="F1956" s="108" t="s">
        <v>2924</v>
      </c>
      <c r="G1956" s="1126">
        <v>0.6986111111111111</v>
      </c>
      <c r="H1956" s="1126">
        <v>0.7010416666666667</v>
      </c>
      <c r="I1956" s="1126"/>
      <c r="J1956" s="1127"/>
      <c r="K1956" s="1127">
        <v>0.7333333333333333</v>
      </c>
      <c r="L1956" s="1128">
        <v>0.03194444444444444</v>
      </c>
      <c r="M1956" s="1129" t="s">
        <v>166</v>
      </c>
      <c r="N1956" s="100" t="s">
        <v>187</v>
      </c>
      <c r="O1956" s="1131" t="s">
        <v>204</v>
      </c>
      <c r="P1956" s="1131" t="s">
        <v>260</v>
      </c>
      <c r="Q1956" s="1132"/>
      <c r="R1956" s="137">
        <v>18.6</v>
      </c>
      <c r="S1956" s="1129">
        <v>4.4</v>
      </c>
      <c r="T1956" s="100">
        <v>2.5</v>
      </c>
      <c r="U1956" s="1124"/>
      <c r="V1956" s="1124"/>
      <c r="W1956" s="1124"/>
      <c r="X1956" s="1124"/>
      <c r="Y1956" s="1124"/>
      <c r="Z1956" s="1130" t="s">
        <v>335</v>
      </c>
      <c r="AA1956" s="1130"/>
      <c r="AB1956" s="1130" t="s">
        <v>380</v>
      </c>
      <c r="AC1956" s="1133">
        <v>4.0</v>
      </c>
      <c r="AD1956" s="1131"/>
      <c r="AE1956" s="1131"/>
      <c r="AF1956" s="1131"/>
      <c r="AG1956" s="1131"/>
      <c r="AH1956" s="1131"/>
      <c r="AI1956" s="1131"/>
      <c r="AJ1956" s="1133"/>
      <c r="AK1956" s="1134"/>
      <c r="AL1956" s="1131"/>
      <c r="AM1956" s="1131"/>
      <c r="AN1956" s="1131"/>
      <c r="AO1956" s="1131"/>
      <c r="AP1956" s="1131"/>
      <c r="AQ1956" s="1131"/>
      <c r="AR1956" s="1131"/>
      <c r="AS1956" s="1133"/>
      <c r="AT1956" s="1197" t="str">
        <f t="shared" si="428"/>
        <v/>
      </c>
      <c r="AU1956" s="1194"/>
      <c r="AV1956" s="662">
        <f>SQRT(($R1956-Infrastructure!J$3)^2+($S1956-Infrastructure!K$3)^2)</f>
        <v>30.94285055</v>
      </c>
      <c r="AW1956" s="641">
        <f>SQRT(($R1956-Infrastructure!J$4)^2+($S1956-Infrastructure!K$4)^2)</f>
        <v>23.1682973</v>
      </c>
      <c r="AX1956" s="641">
        <f>SQRT(($R1956-Infrastructure!J$5)^2+($S1956-Infrastructure!K$5)^2)</f>
        <v>18.91295852</v>
      </c>
      <c r="AY1956" s="641">
        <f>SQRT(($R1956-Infrastructure!J$6)^2+($S1956-Infrastructure!K$6)^2)</f>
        <v>9.43716059</v>
      </c>
      <c r="AZ1956" s="641">
        <f>SQRT(($R1956-Infrastructure!J$7)^2+($S1956-Infrastructure!K$7)^2)</f>
        <v>4.518849411</v>
      </c>
      <c r="BA1956" s="641">
        <f>SQRT(($R1956-Infrastructure!J$8)^2+($S1956-Infrastructure!K$8)^2)</f>
        <v>12.20901306</v>
      </c>
      <c r="BB1956" s="641">
        <f>SQRT(($R1956-Infrastructure!J$9)^2+($S1956-Infrastructure!K$9)^2)</f>
        <v>21.41144554</v>
      </c>
      <c r="BC1956" s="641">
        <f>SQRT(($R1956-Infrastructure!J$10)^2+($S1956-Infrastructure!K$10)^2)</f>
        <v>23.88137349</v>
      </c>
      <c r="BD1956" s="641">
        <f>SQRT(($R1956-Infrastructure!J$11)^2+($S1956-Infrastructure!K$11)^2)</f>
        <v>32.73713488</v>
      </c>
      <c r="BE1956" s="642">
        <f>SQRT(($R1956-Infrastructure!J$12)^2+($S1956-Infrastructure!K$12)^2)</f>
        <v>51.18222348</v>
      </c>
      <c r="BF1956" s="662">
        <f t="shared" si="161"/>
        <v>4.518849411</v>
      </c>
      <c r="BG1956" s="642">
        <f t="shared" si="162"/>
        <v>51.18222348</v>
      </c>
      <c r="BH1956" s="1135"/>
      <c r="BI1956" s="663" t="str">
        <f t="shared" ref="BI1956:BR1956" si="763">IF(ISNUMBER(FIND(BI$3, $CO1956)), "Y", "")</f>
        <v/>
      </c>
      <c r="BJ1956" s="663" t="str">
        <f t="shared" si="763"/>
        <v/>
      </c>
      <c r="BK1956" s="663" t="str">
        <f t="shared" si="763"/>
        <v>Y</v>
      </c>
      <c r="BL1956" s="663" t="str">
        <f t="shared" si="763"/>
        <v>Y</v>
      </c>
      <c r="BM1956" s="663" t="str">
        <f t="shared" si="763"/>
        <v>Y</v>
      </c>
      <c r="BN1956" s="663" t="str">
        <f t="shared" si="763"/>
        <v>Y</v>
      </c>
      <c r="BO1956" s="663" t="str">
        <f t="shared" si="763"/>
        <v/>
      </c>
      <c r="BP1956" s="663" t="str">
        <f t="shared" si="763"/>
        <v/>
      </c>
      <c r="BQ1956" s="663" t="str">
        <f t="shared" si="763"/>
        <v/>
      </c>
      <c r="BR1956" s="663" t="str">
        <f t="shared" si="763"/>
        <v/>
      </c>
      <c r="BS1956" s="662">
        <f t="shared" si="185"/>
        <v>4.518849411</v>
      </c>
      <c r="BT1956" s="641">
        <f t="shared" si="170"/>
        <v>18.91295852</v>
      </c>
      <c r="BU1956" s="937">
        <v>0.7092939814814815</v>
      </c>
      <c r="BV1956" s="930">
        <f t="shared" si="186"/>
        <v>0.01068287037</v>
      </c>
      <c r="BW1956" s="939">
        <v>17.0</v>
      </c>
      <c r="BX1956" s="939">
        <v>15.1</v>
      </c>
      <c r="BY1956" s="641">
        <f t="shared" si="201"/>
        <v>10.81896483</v>
      </c>
      <c r="BZ1956" s="641"/>
      <c r="CA1956" s="635" t="str">
        <f t="shared" ref="CA1956:CJ1956" si="764">IF(ISNUMBER(FIND(BI$3, $CP1956)), "Y", "")</f>
        <v/>
      </c>
      <c r="CB1956" s="663" t="str">
        <f t="shared" si="764"/>
        <v/>
      </c>
      <c r="CC1956" s="663" t="str">
        <f t="shared" si="764"/>
        <v/>
      </c>
      <c r="CD1956" s="663" t="str">
        <f t="shared" si="764"/>
        <v/>
      </c>
      <c r="CE1956" s="663" t="str">
        <f t="shared" si="764"/>
        <v/>
      </c>
      <c r="CF1956" s="663" t="str">
        <f t="shared" si="764"/>
        <v/>
      </c>
      <c r="CG1956" s="663" t="str">
        <f t="shared" si="764"/>
        <v/>
      </c>
      <c r="CH1956" s="663" t="str">
        <f t="shared" si="764"/>
        <v/>
      </c>
      <c r="CI1956" s="663" t="str">
        <f t="shared" si="764"/>
        <v/>
      </c>
      <c r="CJ1956" s="663" t="str">
        <f t="shared" si="764"/>
        <v/>
      </c>
      <c r="CK1956" s="743">
        <f t="shared" si="182"/>
        <v>0</v>
      </c>
      <c r="CL1956" s="642">
        <f t="shared" si="183"/>
        <v>0</v>
      </c>
      <c r="CM1956" s="1090"/>
      <c r="CN1956" s="1036" t="s">
        <v>2919</v>
      </c>
      <c r="CO1956" s="1036" t="s">
        <v>2621</v>
      </c>
      <c r="CP1956" s="1036"/>
    </row>
    <row r="1957">
      <c r="A1957" s="1257" t="s">
        <v>114</v>
      </c>
      <c r="B1957" s="1113" t="s">
        <v>2902</v>
      </c>
      <c r="C1957" s="1107">
        <v>45546.0</v>
      </c>
      <c r="D1957" s="1113" t="s">
        <v>986</v>
      </c>
      <c r="E1957" s="1108">
        <v>1.0</v>
      </c>
      <c r="F1957" s="112" t="s">
        <v>2925</v>
      </c>
      <c r="G1957" s="1110">
        <v>0.3578125</v>
      </c>
      <c r="H1957" s="1110">
        <v>0.35833333333333334</v>
      </c>
      <c r="I1957" s="1110"/>
      <c r="J1957" s="1111"/>
      <c r="K1957" s="1111">
        <v>0.3902777777777778</v>
      </c>
      <c r="L1957" s="1112">
        <v>0.03194444444444444</v>
      </c>
      <c r="M1957" s="1113" t="s">
        <v>166</v>
      </c>
      <c r="N1957" s="110" t="s">
        <v>188</v>
      </c>
      <c r="O1957" s="1115" t="s">
        <v>378</v>
      </c>
      <c r="P1957" s="1115" t="s">
        <v>225</v>
      </c>
      <c r="Q1957" s="1115" t="s">
        <v>842</v>
      </c>
      <c r="R1957" s="120">
        <v>22.7</v>
      </c>
      <c r="S1957" s="1113">
        <v>39.7</v>
      </c>
      <c r="T1957" s="110">
        <v>1.1</v>
      </c>
      <c r="U1957" s="1108"/>
      <c r="V1957" s="1108"/>
      <c r="W1957" s="1108"/>
      <c r="X1957" s="1108"/>
      <c r="Y1957" s="1108"/>
      <c r="Z1957" s="1114" t="s">
        <v>1140</v>
      </c>
      <c r="AA1957" s="1114"/>
      <c r="AB1957" s="1114" t="s">
        <v>410</v>
      </c>
      <c r="AC1957" s="1117">
        <v>22.1</v>
      </c>
      <c r="AD1957" s="1115"/>
      <c r="AE1957" s="1115"/>
      <c r="AF1957" s="1115"/>
      <c r="AG1957" s="1115"/>
      <c r="AH1957" s="1115"/>
      <c r="AI1957" s="1115"/>
      <c r="AJ1957" s="1117"/>
      <c r="AK1957" s="1118"/>
      <c r="AL1957" s="1115"/>
      <c r="AM1957" s="1115"/>
      <c r="AN1957" s="1115"/>
      <c r="AO1957" s="1115"/>
      <c r="AP1957" s="1115"/>
      <c r="AQ1957" s="1115"/>
      <c r="AR1957" s="1115"/>
      <c r="AS1957" s="1117"/>
      <c r="AT1957" s="1196" t="str">
        <f t="shared" si="428"/>
        <v/>
      </c>
      <c r="AU1957" s="1193"/>
      <c r="AV1957" s="330">
        <f>SQRT(($R1957-Infrastructure!J$3)^2+($S1957-Infrastructure!K$3)^2)</f>
        <v>25.40944706</v>
      </c>
      <c r="AW1957" s="331">
        <f>SQRT(($R1957-Infrastructure!J$4)^2+($S1957-Infrastructure!K$4)^2)</f>
        <v>31.75862088</v>
      </c>
      <c r="AX1957" s="331">
        <f>SQRT(($R1957-Infrastructure!J$5)^2+($S1957-Infrastructure!K$5)^2)</f>
        <v>41.54708173</v>
      </c>
      <c r="AY1957" s="331">
        <f>SQRT(($R1957-Infrastructure!J$6)^2+($S1957-Infrastructure!K$6)^2)</f>
        <v>41.36568626</v>
      </c>
      <c r="AZ1957" s="331">
        <f>SQRT(($R1957-Infrastructure!J$7)^2+($S1957-Infrastructure!K$7)^2)</f>
        <v>39.46137352</v>
      </c>
      <c r="BA1957" s="331">
        <f>SQRT(($R1957-Infrastructure!J$8)^2+($S1957-Infrastructure!K$8)^2)</f>
        <v>40.08890121</v>
      </c>
      <c r="BB1957" s="331">
        <f>SQRT(($R1957-Infrastructure!J$9)^2+($S1957-Infrastructure!K$9)^2)</f>
        <v>38.68397601</v>
      </c>
      <c r="BC1957" s="331">
        <f>SQRT(($R1957-Infrastructure!J$10)^2+($S1957-Infrastructure!K$10)^2)</f>
        <v>30.15592811</v>
      </c>
      <c r="BD1957" s="331">
        <f>SQRT(($R1957-Infrastructure!J$11)^2+($S1957-Infrastructure!K$11)^2)</f>
        <v>20.51194774</v>
      </c>
      <c r="BE1957" s="333">
        <f>SQRT(($R1957-Infrastructure!J$12)^2+($S1957-Infrastructure!K$12)^2)</f>
        <v>15.84550409</v>
      </c>
      <c r="BF1957" s="330">
        <f t="shared" si="161"/>
        <v>15.84550409</v>
      </c>
      <c r="BG1957" s="333">
        <f t="shared" si="162"/>
        <v>41.54708173</v>
      </c>
      <c r="BH1957" s="1119"/>
      <c r="BI1957" s="319" t="str">
        <f t="shared" ref="BI1957:BR1957" si="765">IF(ISNUMBER(FIND(BI$3, $CO1957)), "Y", "")</f>
        <v>Y</v>
      </c>
      <c r="BJ1957" s="319" t="str">
        <f t="shared" si="765"/>
        <v>Y</v>
      </c>
      <c r="BK1957" s="319" t="str">
        <f t="shared" si="765"/>
        <v>Y</v>
      </c>
      <c r="BL1957" s="319" t="str">
        <f t="shared" si="765"/>
        <v>Y</v>
      </c>
      <c r="BM1957" s="319" t="str">
        <f t="shared" si="765"/>
        <v>Y</v>
      </c>
      <c r="BN1957" s="319" t="str">
        <f t="shared" si="765"/>
        <v>Y</v>
      </c>
      <c r="BO1957" s="319" t="str">
        <f t="shared" si="765"/>
        <v>Y</v>
      </c>
      <c r="BP1957" s="319" t="str">
        <f t="shared" si="765"/>
        <v/>
      </c>
      <c r="BQ1957" s="319" t="str">
        <f t="shared" si="765"/>
        <v>Y</v>
      </c>
      <c r="BR1957" s="319" t="str">
        <f t="shared" si="765"/>
        <v>Y</v>
      </c>
      <c r="BS1957" s="330">
        <f t="shared" si="185"/>
        <v>15.84550409</v>
      </c>
      <c r="BT1957" s="331">
        <f t="shared" si="170"/>
        <v>41.54708173</v>
      </c>
      <c r="BU1957" s="920">
        <v>0.35834490740740743</v>
      </c>
      <c r="BV1957" s="903">
        <f t="shared" si="186"/>
        <v>0.0005324074074</v>
      </c>
      <c r="BW1957" s="908">
        <v>13.5</v>
      </c>
      <c r="BX1957" s="908">
        <v>40.0</v>
      </c>
      <c r="BY1957" s="331">
        <f t="shared" si="201"/>
        <v>9.204890005</v>
      </c>
      <c r="BZ1957" s="331"/>
      <c r="CA1957" s="462" t="str">
        <f t="shared" ref="CA1957:CJ1957" si="766">IF(ISNUMBER(FIND(BI$3, $CP1957)), "Y", "")</f>
        <v/>
      </c>
      <c r="CB1957" s="319" t="str">
        <f t="shared" si="766"/>
        <v/>
      </c>
      <c r="CC1957" s="319" t="str">
        <f t="shared" si="766"/>
        <v/>
      </c>
      <c r="CD1957" s="319" t="str">
        <f t="shared" si="766"/>
        <v/>
      </c>
      <c r="CE1957" s="319" t="str">
        <f t="shared" si="766"/>
        <v/>
      </c>
      <c r="CF1957" s="319" t="str">
        <f t="shared" si="766"/>
        <v/>
      </c>
      <c r="CG1957" s="319" t="str">
        <f t="shared" si="766"/>
        <v/>
      </c>
      <c r="CH1957" s="319" t="str">
        <f t="shared" si="766"/>
        <v/>
      </c>
      <c r="CI1957" s="319" t="str">
        <f t="shared" si="766"/>
        <v/>
      </c>
      <c r="CJ1957" s="319" t="str">
        <f t="shared" si="766"/>
        <v/>
      </c>
      <c r="CK1957" s="342">
        <f t="shared" si="182"/>
        <v>0</v>
      </c>
      <c r="CL1957" s="333">
        <f t="shared" si="183"/>
        <v>0</v>
      </c>
      <c r="CM1957" s="1079"/>
      <c r="CN1957" s="1005" t="s">
        <v>2926</v>
      </c>
      <c r="CO1957" s="1005" t="s">
        <v>2400</v>
      </c>
      <c r="CP1957" s="1005"/>
    </row>
    <row r="1958">
      <c r="A1958" s="266"/>
      <c r="B1958" s="1113" t="s">
        <v>2902</v>
      </c>
      <c r="C1958" s="1107">
        <v>45546.0</v>
      </c>
      <c r="D1958" s="1113" t="s">
        <v>986</v>
      </c>
      <c r="E1958" s="1108">
        <v>2.0</v>
      </c>
      <c r="F1958" s="112" t="s">
        <v>2927</v>
      </c>
      <c r="G1958" s="1110">
        <v>0.39861111111111114</v>
      </c>
      <c r="H1958" s="1110">
        <v>0.3993055555555556</v>
      </c>
      <c r="I1958" s="1110"/>
      <c r="J1958" s="1111"/>
      <c r="K1958" s="1111">
        <v>0.4309027777777778</v>
      </c>
      <c r="L1958" s="1112">
        <v>0.03125</v>
      </c>
      <c r="M1958" s="1113" t="s">
        <v>166</v>
      </c>
      <c r="N1958" s="110" t="s">
        <v>188</v>
      </c>
      <c r="O1958" s="1115" t="s">
        <v>378</v>
      </c>
      <c r="P1958" s="1115" t="s">
        <v>217</v>
      </c>
      <c r="Q1958" s="1115" t="s">
        <v>851</v>
      </c>
      <c r="R1958" s="120">
        <v>22.7</v>
      </c>
      <c r="S1958" s="1113">
        <v>39.7</v>
      </c>
      <c r="T1958" s="110">
        <v>1.8</v>
      </c>
      <c r="U1958" s="1108"/>
      <c r="V1958" s="1108"/>
      <c r="W1958" s="1108"/>
      <c r="X1958" s="1108"/>
      <c r="Y1958" s="1108"/>
      <c r="Z1958" s="1114" t="s">
        <v>1140</v>
      </c>
      <c r="AA1958" s="1114"/>
      <c r="AB1958" s="1114" t="s">
        <v>407</v>
      </c>
      <c r="AC1958" s="1117">
        <v>15.75</v>
      </c>
      <c r="AD1958" s="1115"/>
      <c r="AE1958" s="1115"/>
      <c r="AF1958" s="1115"/>
      <c r="AG1958" s="1115"/>
      <c r="AH1958" s="1115"/>
      <c r="AI1958" s="1115"/>
      <c r="AJ1958" s="1117"/>
      <c r="AK1958" s="1118"/>
      <c r="AL1958" s="1115"/>
      <c r="AM1958" s="1115"/>
      <c r="AN1958" s="1115"/>
      <c r="AO1958" s="1115"/>
      <c r="AP1958" s="1115"/>
      <c r="AQ1958" s="1115"/>
      <c r="AR1958" s="1115"/>
      <c r="AS1958" s="1117"/>
      <c r="AT1958" s="1196" t="str">
        <f t="shared" si="428"/>
        <v/>
      </c>
      <c r="AU1958" s="1193"/>
      <c r="AV1958" s="330">
        <f>SQRT(($R1958-Infrastructure!J$3)^2+($S1958-Infrastructure!K$3)^2)</f>
        <v>25.40944706</v>
      </c>
      <c r="AW1958" s="331">
        <f>SQRT(($R1958-Infrastructure!J$4)^2+($S1958-Infrastructure!K$4)^2)</f>
        <v>31.75862088</v>
      </c>
      <c r="AX1958" s="331">
        <f>SQRT(($R1958-Infrastructure!J$5)^2+($S1958-Infrastructure!K$5)^2)</f>
        <v>41.54708173</v>
      </c>
      <c r="AY1958" s="331">
        <f>SQRT(($R1958-Infrastructure!J$6)^2+($S1958-Infrastructure!K$6)^2)</f>
        <v>41.36568626</v>
      </c>
      <c r="AZ1958" s="331">
        <f>SQRT(($R1958-Infrastructure!J$7)^2+($S1958-Infrastructure!K$7)^2)</f>
        <v>39.46137352</v>
      </c>
      <c r="BA1958" s="331">
        <f>SQRT(($R1958-Infrastructure!J$8)^2+($S1958-Infrastructure!K$8)^2)</f>
        <v>40.08890121</v>
      </c>
      <c r="BB1958" s="331">
        <f>SQRT(($R1958-Infrastructure!J$9)^2+($S1958-Infrastructure!K$9)^2)</f>
        <v>38.68397601</v>
      </c>
      <c r="BC1958" s="331">
        <f>SQRT(($R1958-Infrastructure!J$10)^2+($S1958-Infrastructure!K$10)^2)</f>
        <v>30.15592811</v>
      </c>
      <c r="BD1958" s="331">
        <f>SQRT(($R1958-Infrastructure!J$11)^2+($S1958-Infrastructure!K$11)^2)</f>
        <v>20.51194774</v>
      </c>
      <c r="BE1958" s="333">
        <f>SQRT(($R1958-Infrastructure!J$12)^2+($S1958-Infrastructure!K$12)^2)</f>
        <v>15.84550409</v>
      </c>
      <c r="BF1958" s="330">
        <f t="shared" si="161"/>
        <v>15.84550409</v>
      </c>
      <c r="BG1958" s="333">
        <f t="shared" si="162"/>
        <v>41.54708173</v>
      </c>
      <c r="BH1958" s="1119"/>
      <c r="BI1958" s="319" t="str">
        <f t="shared" ref="BI1958:BR1958" si="767">IF(ISNUMBER(FIND(BI$3, $CO1958)), "Y", "")</f>
        <v>Y</v>
      </c>
      <c r="BJ1958" s="319" t="str">
        <f t="shared" si="767"/>
        <v>Y</v>
      </c>
      <c r="BK1958" s="319" t="str">
        <f t="shared" si="767"/>
        <v>Y</v>
      </c>
      <c r="BL1958" s="319" t="str">
        <f t="shared" si="767"/>
        <v>Y</v>
      </c>
      <c r="BM1958" s="319" t="str">
        <f t="shared" si="767"/>
        <v>Y</v>
      </c>
      <c r="BN1958" s="319" t="str">
        <f t="shared" si="767"/>
        <v>Y</v>
      </c>
      <c r="BO1958" s="319" t="str">
        <f t="shared" si="767"/>
        <v>Y</v>
      </c>
      <c r="BP1958" s="319" t="str">
        <f t="shared" si="767"/>
        <v/>
      </c>
      <c r="BQ1958" s="319" t="str">
        <f t="shared" si="767"/>
        <v>Y</v>
      </c>
      <c r="BR1958" s="319" t="str">
        <f t="shared" si="767"/>
        <v>Y</v>
      </c>
      <c r="BS1958" s="330">
        <f t="shared" si="185"/>
        <v>15.84550409</v>
      </c>
      <c r="BT1958" s="331">
        <f t="shared" si="170"/>
        <v>41.54708173</v>
      </c>
      <c r="BU1958" s="920">
        <v>0.3991898148148148</v>
      </c>
      <c r="BV1958" s="903">
        <f t="shared" si="186"/>
        <v>0.0005787037037</v>
      </c>
      <c r="BW1958" s="908">
        <v>11.4</v>
      </c>
      <c r="BX1958" s="908">
        <v>32.3</v>
      </c>
      <c r="BY1958" s="331">
        <f t="shared" si="201"/>
        <v>13.50740538</v>
      </c>
      <c r="BZ1958" s="331"/>
      <c r="CA1958" s="462" t="str">
        <f t="shared" ref="CA1958:CJ1958" si="768">IF(ISNUMBER(FIND(BI$3, $CP1958)), "Y", "")</f>
        <v/>
      </c>
      <c r="CB1958" s="319" t="str">
        <f t="shared" si="768"/>
        <v/>
      </c>
      <c r="CC1958" s="319" t="str">
        <f t="shared" si="768"/>
        <v/>
      </c>
      <c r="CD1958" s="319" t="str">
        <f t="shared" si="768"/>
        <v/>
      </c>
      <c r="CE1958" s="319" t="str">
        <f t="shared" si="768"/>
        <v/>
      </c>
      <c r="CF1958" s="319" t="str">
        <f t="shared" si="768"/>
        <v/>
      </c>
      <c r="CG1958" s="319" t="str">
        <f t="shared" si="768"/>
        <v/>
      </c>
      <c r="CH1958" s="319" t="str">
        <f t="shared" si="768"/>
        <v/>
      </c>
      <c r="CI1958" s="319" t="str">
        <f t="shared" si="768"/>
        <v/>
      </c>
      <c r="CJ1958" s="319" t="str">
        <f t="shared" si="768"/>
        <v/>
      </c>
      <c r="CK1958" s="342">
        <f t="shared" si="182"/>
        <v>0</v>
      </c>
      <c r="CL1958" s="333">
        <f t="shared" si="183"/>
        <v>0</v>
      </c>
      <c r="CM1958" s="1079"/>
      <c r="CN1958" s="1005" t="s">
        <v>2926</v>
      </c>
      <c r="CO1958" s="1005" t="s">
        <v>2400</v>
      </c>
      <c r="CP1958" s="1005"/>
    </row>
    <row r="1959">
      <c r="A1959" s="266"/>
      <c r="B1959" s="1113" t="s">
        <v>2902</v>
      </c>
      <c r="C1959" s="1107">
        <v>45546.0</v>
      </c>
      <c r="D1959" s="1113" t="s">
        <v>986</v>
      </c>
      <c r="E1959" s="1108">
        <v>3.0</v>
      </c>
      <c r="F1959" s="112" t="s">
        <v>2928</v>
      </c>
      <c r="G1959" s="1110">
        <v>0.4429398148148148</v>
      </c>
      <c r="H1959" s="1110">
        <v>0.44340277777777776</v>
      </c>
      <c r="I1959" s="1110"/>
      <c r="J1959" s="1111"/>
      <c r="K1959" s="1111">
        <v>0.4756944444444444</v>
      </c>
      <c r="L1959" s="1112">
        <v>0.03194444444444444</v>
      </c>
      <c r="M1959" s="1113" t="s">
        <v>166</v>
      </c>
      <c r="N1959" s="110" t="s">
        <v>187</v>
      </c>
      <c r="O1959" s="1115" t="s">
        <v>203</v>
      </c>
      <c r="P1959" s="1115" t="s">
        <v>250</v>
      </c>
      <c r="Q1959" s="1116"/>
      <c r="R1959" s="120">
        <v>15.1</v>
      </c>
      <c r="S1959" s="1113">
        <v>2.4</v>
      </c>
      <c r="T1959" s="110">
        <v>1.2</v>
      </c>
      <c r="U1959" s="1108"/>
      <c r="V1959" s="1108"/>
      <c r="W1959" s="1108"/>
      <c r="X1959" s="1108"/>
      <c r="Y1959" s="1108"/>
      <c r="Z1959" s="1114" t="s">
        <v>335</v>
      </c>
      <c r="AA1959" s="1114"/>
      <c r="AB1959" s="1114" t="s">
        <v>380</v>
      </c>
      <c r="AC1959" s="1117">
        <v>4.0</v>
      </c>
      <c r="AD1959" s="1115"/>
      <c r="AE1959" s="1115"/>
      <c r="AF1959" s="1115"/>
      <c r="AG1959" s="1115"/>
      <c r="AH1959" s="1115"/>
      <c r="AI1959" s="1115"/>
      <c r="AJ1959" s="1117"/>
      <c r="AK1959" s="1118"/>
      <c r="AL1959" s="1115"/>
      <c r="AM1959" s="1115"/>
      <c r="AN1959" s="1115"/>
      <c r="AO1959" s="1115"/>
      <c r="AP1959" s="1115"/>
      <c r="AQ1959" s="1115"/>
      <c r="AR1959" s="1115"/>
      <c r="AS1959" s="1117"/>
      <c r="AT1959" s="1196" t="str">
        <f t="shared" si="428"/>
        <v/>
      </c>
      <c r="AU1959" s="1193"/>
      <c r="AV1959" s="330">
        <f>SQRT(($R1959-Infrastructure!J$3)^2+($S1959-Infrastructure!K$3)^2)</f>
        <v>30.64979608</v>
      </c>
      <c r="AW1959" s="331">
        <f>SQRT(($R1959-Infrastructure!J$4)^2+($S1959-Infrastructure!K$4)^2)</f>
        <v>21.77888886</v>
      </c>
      <c r="AX1959" s="331">
        <f>SQRT(($R1959-Infrastructure!J$5)^2+($S1959-Infrastructure!K$5)^2)</f>
        <v>15.63489687</v>
      </c>
      <c r="AY1959" s="331">
        <f>SQRT(($R1959-Infrastructure!J$6)^2+($S1959-Infrastructure!K$6)^2)</f>
        <v>5.423098745</v>
      </c>
      <c r="AZ1959" s="331">
        <f>SQRT(($R1959-Infrastructure!J$7)^2+($S1959-Infrastructure!K$7)^2)</f>
        <v>5.793962375</v>
      </c>
      <c r="BA1959" s="331">
        <f>SQRT(($R1959-Infrastructure!J$8)^2+($S1959-Infrastructure!K$8)^2)</f>
        <v>15.14628667</v>
      </c>
      <c r="BB1959" s="331">
        <f>SQRT(($R1959-Infrastructure!J$9)^2+($S1959-Infrastructure!K$9)^2)</f>
        <v>25.04595776</v>
      </c>
      <c r="BC1959" s="331">
        <f>SQRT(($R1959-Infrastructure!J$10)^2+($S1959-Infrastructure!K$10)^2)</f>
        <v>27.90645087</v>
      </c>
      <c r="BD1959" s="331">
        <f>SQRT(($R1959-Infrastructure!J$11)^2+($S1959-Infrastructure!K$11)^2)</f>
        <v>36.5728041</v>
      </c>
      <c r="BE1959" s="333">
        <f>SQRT(($R1959-Infrastructure!J$12)^2+($S1959-Infrastructure!K$12)^2)</f>
        <v>53.48429676</v>
      </c>
      <c r="BF1959" s="330">
        <f t="shared" si="161"/>
        <v>5.423098745</v>
      </c>
      <c r="BG1959" s="333">
        <f t="shared" si="162"/>
        <v>53.48429676</v>
      </c>
      <c r="BH1959" s="1119"/>
      <c r="BI1959" s="319" t="str">
        <f t="shared" ref="BI1959:BR1959" si="769">IF(ISNUMBER(FIND(BI$3, $CO1959)), "Y", "")</f>
        <v/>
      </c>
      <c r="BJ1959" s="319" t="str">
        <f t="shared" si="769"/>
        <v/>
      </c>
      <c r="BK1959" s="319" t="str">
        <f t="shared" si="769"/>
        <v/>
      </c>
      <c r="BL1959" s="319" t="str">
        <f t="shared" si="769"/>
        <v/>
      </c>
      <c r="BM1959" s="319" t="str">
        <f t="shared" si="769"/>
        <v/>
      </c>
      <c r="BN1959" s="319" t="str">
        <f t="shared" si="769"/>
        <v/>
      </c>
      <c r="BO1959" s="319" t="str">
        <f t="shared" si="769"/>
        <v/>
      </c>
      <c r="BP1959" s="319" t="str">
        <f t="shared" si="769"/>
        <v/>
      </c>
      <c r="BQ1959" s="319" t="str">
        <f t="shared" si="769"/>
        <v/>
      </c>
      <c r="BR1959" s="319" t="str">
        <f t="shared" si="769"/>
        <v/>
      </c>
      <c r="BS1959" s="330">
        <f t="shared" si="185"/>
        <v>0</v>
      </c>
      <c r="BT1959" s="331">
        <f t="shared" si="170"/>
        <v>0</v>
      </c>
      <c r="BU1959" s="920"/>
      <c r="BV1959" s="903" t="str">
        <f t="shared" si="186"/>
        <v/>
      </c>
      <c r="BW1959" s="908"/>
      <c r="BX1959" s="908"/>
      <c r="BY1959" s="331" t="b">
        <f t="shared" si="201"/>
        <v>0</v>
      </c>
      <c r="BZ1959" s="331"/>
      <c r="CA1959" s="462" t="str">
        <f t="shared" ref="CA1959:CJ1959" si="770">IF(ISNUMBER(FIND(BI$3, $CP1959)), "Y", "")</f>
        <v/>
      </c>
      <c r="CB1959" s="319" t="str">
        <f t="shared" si="770"/>
        <v/>
      </c>
      <c r="CC1959" s="319" t="str">
        <f t="shared" si="770"/>
        <v/>
      </c>
      <c r="CD1959" s="319" t="str">
        <f t="shared" si="770"/>
        <v/>
      </c>
      <c r="CE1959" s="319" t="str">
        <f t="shared" si="770"/>
        <v/>
      </c>
      <c r="CF1959" s="319" t="str">
        <f t="shared" si="770"/>
        <v/>
      </c>
      <c r="CG1959" s="319" t="str">
        <f t="shared" si="770"/>
        <v/>
      </c>
      <c r="CH1959" s="319" t="str">
        <f t="shared" si="770"/>
        <v/>
      </c>
      <c r="CI1959" s="319" t="str">
        <f t="shared" si="770"/>
        <v/>
      </c>
      <c r="CJ1959" s="319" t="str">
        <f t="shared" si="770"/>
        <v/>
      </c>
      <c r="CK1959" s="342">
        <f t="shared" si="182"/>
        <v>0</v>
      </c>
      <c r="CL1959" s="333">
        <f t="shared" si="183"/>
        <v>0</v>
      </c>
      <c r="CM1959" s="1079"/>
      <c r="CN1959" s="1005" t="s">
        <v>2926</v>
      </c>
      <c r="CO1959" s="1005"/>
      <c r="CP1959" s="1005"/>
    </row>
    <row r="1960">
      <c r="A1960" s="266"/>
      <c r="B1960" s="1113" t="s">
        <v>2902</v>
      </c>
      <c r="C1960" s="1107">
        <v>45546.0</v>
      </c>
      <c r="D1960" s="1113" t="s">
        <v>986</v>
      </c>
      <c r="E1960" s="1108">
        <v>4.0</v>
      </c>
      <c r="F1960" s="112" t="s">
        <v>2929</v>
      </c>
      <c r="G1960" s="1110">
        <v>0.48194444444444445</v>
      </c>
      <c r="H1960" s="1110">
        <v>0.4829861111111111</v>
      </c>
      <c r="I1960" s="1110"/>
      <c r="J1960" s="1111"/>
      <c r="K1960" s="1111">
        <v>0.5152777777777777</v>
      </c>
      <c r="L1960" s="1112">
        <v>0.03194444444444444</v>
      </c>
      <c r="M1960" s="1113" t="s">
        <v>166</v>
      </c>
      <c r="N1960" s="110" t="s">
        <v>187</v>
      </c>
      <c r="O1960" s="1115" t="s">
        <v>197</v>
      </c>
      <c r="P1960" s="1115" t="s">
        <v>272</v>
      </c>
      <c r="Q1960" s="1115" t="s">
        <v>842</v>
      </c>
      <c r="R1960" s="120">
        <v>37.1</v>
      </c>
      <c r="S1960" s="1113">
        <v>6.9</v>
      </c>
      <c r="T1960" s="110">
        <v>6.5</v>
      </c>
      <c r="U1960" s="1108"/>
      <c r="V1960" s="1108"/>
      <c r="W1960" s="1108"/>
      <c r="X1960" s="1108"/>
      <c r="Y1960" s="1108"/>
      <c r="Z1960" s="1114" t="s">
        <v>379</v>
      </c>
      <c r="AA1960" s="1114"/>
      <c r="AB1960" s="1114" t="s">
        <v>392</v>
      </c>
      <c r="AC1960" s="1117">
        <v>10.0</v>
      </c>
      <c r="AD1960" s="1115"/>
      <c r="AE1960" s="1115"/>
      <c r="AF1960" s="1115"/>
      <c r="AG1960" s="1115"/>
      <c r="AH1960" s="1115"/>
      <c r="AI1960" s="1115"/>
      <c r="AJ1960" s="1117"/>
      <c r="AK1960" s="1118"/>
      <c r="AL1960" s="1115"/>
      <c r="AM1960" s="1115"/>
      <c r="AN1960" s="1115"/>
      <c r="AO1960" s="1115"/>
      <c r="AP1960" s="1115"/>
      <c r="AQ1960" s="1115"/>
      <c r="AR1960" s="1115"/>
      <c r="AS1960" s="1117"/>
      <c r="AT1960" s="1196" t="str">
        <f t="shared" si="428"/>
        <v/>
      </c>
      <c r="AU1960" s="1193"/>
      <c r="AV1960" s="330">
        <f>SQRT(($R1960-Infrastructure!J$3)^2+($S1960-Infrastructure!K$3)^2)</f>
        <v>43.39078243</v>
      </c>
      <c r="AW1960" s="331">
        <f>SQRT(($R1960-Infrastructure!J$4)^2+($S1960-Infrastructure!K$4)^2)</f>
        <v>38.95600082</v>
      </c>
      <c r="AX1960" s="331">
        <f>SQRT(($R1960-Infrastructure!J$5)^2+($S1960-Infrastructure!K$5)^2)</f>
        <v>37.44329045</v>
      </c>
      <c r="AY1960" s="331">
        <f>SQRT(($R1960-Infrastructure!J$6)^2+($S1960-Infrastructure!K$6)^2)</f>
        <v>27.79496357</v>
      </c>
      <c r="AZ1960" s="331">
        <f>SQRT(($R1960-Infrastructure!J$7)^2+($S1960-Infrastructure!K$7)^2)</f>
        <v>17.86393014</v>
      </c>
      <c r="BA1960" s="331">
        <f>SQRT(($R1960-Infrastructure!J$8)^2+($S1960-Infrastructure!K$8)^2)</f>
        <v>9.620810777</v>
      </c>
      <c r="BB1960" s="331">
        <f>SQRT(($R1960-Infrastructure!J$9)^2+($S1960-Infrastructure!K$9)^2)</f>
        <v>3.413209633</v>
      </c>
      <c r="BC1960" s="331">
        <f>SQRT(($R1960-Infrastructure!J$10)^2+($S1960-Infrastructure!K$10)^2)</f>
        <v>8.603487665</v>
      </c>
      <c r="BD1960" s="331">
        <f>SQRT(($R1960-Infrastructure!J$11)^2+($S1960-Infrastructure!K$11)^2)</f>
        <v>22.31636171</v>
      </c>
      <c r="BE1960" s="333">
        <f>SQRT(($R1960-Infrastructure!J$12)^2+($S1960-Infrastructure!K$12)^2)</f>
        <v>51.04233537</v>
      </c>
      <c r="BF1960" s="330">
        <f t="shared" si="161"/>
        <v>3.413209633</v>
      </c>
      <c r="BG1960" s="333">
        <f t="shared" si="162"/>
        <v>51.04233537</v>
      </c>
      <c r="BH1960" s="1119"/>
      <c r="BI1960" s="319" t="str">
        <f t="shared" ref="BI1960:BR1960" si="771">IF(ISNUMBER(FIND(BI$3, $CO1960)), "Y", "")</f>
        <v/>
      </c>
      <c r="BJ1960" s="319" t="str">
        <f t="shared" si="771"/>
        <v/>
      </c>
      <c r="BK1960" s="319" t="str">
        <f t="shared" si="771"/>
        <v/>
      </c>
      <c r="BL1960" s="319" t="str">
        <f t="shared" si="771"/>
        <v/>
      </c>
      <c r="BM1960" s="319" t="str">
        <f t="shared" si="771"/>
        <v>Y</v>
      </c>
      <c r="BN1960" s="319" t="str">
        <f t="shared" si="771"/>
        <v>Y</v>
      </c>
      <c r="BO1960" s="319" t="str">
        <f t="shared" si="771"/>
        <v>Y</v>
      </c>
      <c r="BP1960" s="319" t="str">
        <f t="shared" si="771"/>
        <v/>
      </c>
      <c r="BQ1960" s="319" t="str">
        <f t="shared" si="771"/>
        <v/>
      </c>
      <c r="BR1960" s="319" t="str">
        <f t="shared" si="771"/>
        <v>Y</v>
      </c>
      <c r="BS1960" s="330">
        <f t="shared" si="185"/>
        <v>3.413209633</v>
      </c>
      <c r="BT1960" s="331">
        <f t="shared" si="170"/>
        <v>51.04233537</v>
      </c>
      <c r="BU1960" s="920">
        <v>0.4837962962962963</v>
      </c>
      <c r="BV1960" s="903">
        <f t="shared" si="186"/>
        <v>0.001851851852</v>
      </c>
      <c r="BW1960" s="908">
        <v>27.4</v>
      </c>
      <c r="BX1960" s="908">
        <v>17.7</v>
      </c>
      <c r="BY1960" s="331">
        <f t="shared" si="201"/>
        <v>14.51654229</v>
      </c>
      <c r="BZ1960" s="331"/>
      <c r="CA1960" s="462" t="str">
        <f t="shared" ref="CA1960:CJ1960" si="772">IF(ISNUMBER(FIND(BI$3, $CP1960)), "Y", "")</f>
        <v/>
      </c>
      <c r="CB1960" s="319" t="str">
        <f t="shared" si="772"/>
        <v/>
      </c>
      <c r="CC1960" s="319" t="str">
        <f t="shared" si="772"/>
        <v/>
      </c>
      <c r="CD1960" s="319" t="str">
        <f t="shared" si="772"/>
        <v/>
      </c>
      <c r="CE1960" s="319" t="str">
        <f t="shared" si="772"/>
        <v/>
      </c>
      <c r="CF1960" s="319" t="str">
        <f t="shared" si="772"/>
        <v/>
      </c>
      <c r="CG1960" s="319" t="str">
        <f t="shared" si="772"/>
        <v/>
      </c>
      <c r="CH1960" s="319" t="str">
        <f t="shared" si="772"/>
        <v/>
      </c>
      <c r="CI1960" s="319" t="str">
        <f t="shared" si="772"/>
        <v/>
      </c>
      <c r="CJ1960" s="319" t="str">
        <f t="shared" si="772"/>
        <v/>
      </c>
      <c r="CK1960" s="342">
        <f t="shared" si="182"/>
        <v>0</v>
      </c>
      <c r="CL1960" s="333">
        <f t="shared" si="183"/>
        <v>0</v>
      </c>
      <c r="CM1960" s="1079"/>
      <c r="CN1960" s="1005" t="s">
        <v>2926</v>
      </c>
      <c r="CO1960" s="1005" t="s">
        <v>2571</v>
      </c>
      <c r="CP1960" s="1005"/>
    </row>
    <row r="1961">
      <c r="A1961" s="266"/>
      <c r="B1961" s="1113" t="s">
        <v>2902</v>
      </c>
      <c r="C1961" s="1107">
        <v>45546.0</v>
      </c>
      <c r="D1961" s="1113" t="s">
        <v>986</v>
      </c>
      <c r="E1961" s="1108">
        <v>5.0</v>
      </c>
      <c r="F1961" s="112" t="s">
        <v>2930</v>
      </c>
      <c r="G1961" s="1110">
        <v>0.5256944444444445</v>
      </c>
      <c r="H1961" s="1110">
        <v>0.5260416666666666</v>
      </c>
      <c r="I1961" s="1110"/>
      <c r="J1961" s="1111"/>
      <c r="K1961" s="1111">
        <v>0.5590277777777778</v>
      </c>
      <c r="L1961" s="1112">
        <v>0.03263888888888889</v>
      </c>
      <c r="M1961" s="1113" t="s">
        <v>166</v>
      </c>
      <c r="N1961" s="110" t="s">
        <v>187</v>
      </c>
      <c r="O1961" s="1115" t="s">
        <v>205</v>
      </c>
      <c r="P1961" s="1115" t="s">
        <v>213</v>
      </c>
      <c r="Q1961" s="1116"/>
      <c r="R1961" s="120">
        <v>21.5</v>
      </c>
      <c r="S1961" s="1113">
        <v>4.1</v>
      </c>
      <c r="T1961" s="110">
        <v>2.3</v>
      </c>
      <c r="U1961" s="1108"/>
      <c r="V1961" s="1108"/>
      <c r="W1961" s="1108"/>
      <c r="X1961" s="1108"/>
      <c r="Y1961" s="1108"/>
      <c r="Z1961" s="1114" t="s">
        <v>1690</v>
      </c>
      <c r="AA1961" s="1114"/>
      <c r="AB1961" s="1114" t="s">
        <v>371</v>
      </c>
      <c r="AC1961" s="1117">
        <v>1.8</v>
      </c>
      <c r="AD1961" s="1115"/>
      <c r="AE1961" s="1115"/>
      <c r="AF1961" s="1115"/>
      <c r="AG1961" s="1115"/>
      <c r="AH1961" s="1115"/>
      <c r="AI1961" s="1115"/>
      <c r="AJ1961" s="1117"/>
      <c r="AK1961" s="1118"/>
      <c r="AL1961" s="1115"/>
      <c r="AM1961" s="1115"/>
      <c r="AN1961" s="1115"/>
      <c r="AO1961" s="1115"/>
      <c r="AP1961" s="1115"/>
      <c r="AQ1961" s="1115"/>
      <c r="AR1961" s="1115"/>
      <c r="AS1961" s="1117"/>
      <c r="AT1961" s="1196" t="str">
        <f t="shared" si="428"/>
        <v/>
      </c>
      <c r="AU1961" s="1193"/>
      <c r="AV1961" s="330">
        <f>SQRT(($R1961-Infrastructure!J$3)^2+($S1961-Infrastructure!K$3)^2)</f>
        <v>33.01938824</v>
      </c>
      <c r="AW1961" s="331">
        <f>SQRT(($R1961-Infrastructure!J$4)^2+($S1961-Infrastructure!K$4)^2)</f>
        <v>25.74742706</v>
      </c>
      <c r="AX1961" s="331">
        <f>SQRT(($R1961-Infrastructure!J$5)^2+($S1961-Infrastructure!K$5)^2)</f>
        <v>21.82292373</v>
      </c>
      <c r="AY1961" s="331">
        <f>SQRT(($R1961-Infrastructure!J$6)^2+($S1961-Infrastructure!K$6)^2)</f>
        <v>12.01665511</v>
      </c>
      <c r="AZ1961" s="331">
        <f>SQRT(($R1961-Infrastructure!J$7)^2+($S1961-Infrastructure!K$7)^2)</f>
        <v>3.929376541</v>
      </c>
      <c r="BA1961" s="331">
        <f>SQRT(($R1961-Infrastructure!J$8)^2+($S1961-Infrastructure!K$8)^2)</f>
        <v>9.402127419</v>
      </c>
      <c r="BB1961" s="331">
        <f>SQRT(($R1961-Infrastructure!J$9)^2+($S1961-Infrastructure!K$9)^2)</f>
        <v>18.52700731</v>
      </c>
      <c r="BC1961" s="331">
        <f>SQRT(($R1961-Infrastructure!J$10)^2+($S1961-Infrastructure!K$10)^2)</f>
        <v>21.47230775</v>
      </c>
      <c r="BD1961" s="331">
        <f>SQRT(($R1961-Infrastructure!J$11)^2+($S1961-Infrastructure!K$11)^2)</f>
        <v>31.14000642</v>
      </c>
      <c r="BE1961" s="333">
        <f>SQRT(($R1961-Infrastructure!J$12)^2+($S1961-Infrastructure!K$12)^2)</f>
        <v>51.4</v>
      </c>
      <c r="BF1961" s="330">
        <f t="shared" si="161"/>
        <v>3.929376541</v>
      </c>
      <c r="BG1961" s="333">
        <f t="shared" si="162"/>
        <v>51.4</v>
      </c>
      <c r="BH1961" s="1119"/>
      <c r="BI1961" s="319" t="str">
        <f t="shared" ref="BI1961:BR1961" si="773">IF(ISNUMBER(FIND(BI$3, $CO1961)), "Y", "")</f>
        <v/>
      </c>
      <c r="BJ1961" s="319" t="str">
        <f t="shared" si="773"/>
        <v/>
      </c>
      <c r="BK1961" s="319" t="str">
        <f t="shared" si="773"/>
        <v/>
      </c>
      <c r="BL1961" s="319" t="str">
        <f t="shared" si="773"/>
        <v/>
      </c>
      <c r="BM1961" s="319" t="str">
        <f t="shared" si="773"/>
        <v/>
      </c>
      <c r="BN1961" s="319" t="str">
        <f t="shared" si="773"/>
        <v/>
      </c>
      <c r="BO1961" s="319" t="str">
        <f t="shared" si="773"/>
        <v/>
      </c>
      <c r="BP1961" s="319" t="str">
        <f t="shared" si="773"/>
        <v/>
      </c>
      <c r="BQ1961" s="319" t="str">
        <f t="shared" si="773"/>
        <v/>
      </c>
      <c r="BR1961" s="319" t="str">
        <f t="shared" si="773"/>
        <v/>
      </c>
      <c r="BS1961" s="330">
        <f t="shared" si="185"/>
        <v>0</v>
      </c>
      <c r="BT1961" s="331">
        <f t="shared" si="170"/>
        <v>0</v>
      </c>
      <c r="BU1961" s="920"/>
      <c r="BV1961" s="903" t="str">
        <f t="shared" si="186"/>
        <v/>
      </c>
      <c r="BW1961" s="908"/>
      <c r="BX1961" s="908"/>
      <c r="BY1961" s="331" t="b">
        <f t="shared" si="201"/>
        <v>0</v>
      </c>
      <c r="BZ1961" s="331"/>
      <c r="CA1961" s="462" t="str">
        <f t="shared" ref="CA1961:CJ1961" si="774">IF(ISNUMBER(FIND(BI$3, $CP1961)), "Y", "")</f>
        <v/>
      </c>
      <c r="CB1961" s="319" t="str">
        <f t="shared" si="774"/>
        <v/>
      </c>
      <c r="CC1961" s="319" t="str">
        <f t="shared" si="774"/>
        <v/>
      </c>
      <c r="CD1961" s="319" t="str">
        <f t="shared" si="774"/>
        <v/>
      </c>
      <c r="CE1961" s="319" t="str">
        <f t="shared" si="774"/>
        <v/>
      </c>
      <c r="CF1961" s="319" t="str">
        <f t="shared" si="774"/>
        <v/>
      </c>
      <c r="CG1961" s="319" t="str">
        <f t="shared" si="774"/>
        <v/>
      </c>
      <c r="CH1961" s="319" t="str">
        <f t="shared" si="774"/>
        <v/>
      </c>
      <c r="CI1961" s="319" t="str">
        <f t="shared" si="774"/>
        <v/>
      </c>
      <c r="CJ1961" s="319" t="str">
        <f t="shared" si="774"/>
        <v/>
      </c>
      <c r="CK1961" s="342">
        <f t="shared" si="182"/>
        <v>0</v>
      </c>
      <c r="CL1961" s="333">
        <f t="shared" si="183"/>
        <v>0</v>
      </c>
      <c r="CM1961" s="1079"/>
      <c r="CN1961" s="1005" t="s">
        <v>2931</v>
      </c>
      <c r="CO1961" s="1005"/>
      <c r="CP1961" s="1005"/>
    </row>
    <row r="1962">
      <c r="A1962" s="266"/>
      <c r="B1962" s="1113" t="s">
        <v>2902</v>
      </c>
      <c r="C1962" s="1107">
        <v>45546.0</v>
      </c>
      <c r="D1962" s="1113" t="s">
        <v>986</v>
      </c>
      <c r="E1962" s="1108">
        <v>6.0</v>
      </c>
      <c r="F1962" s="112" t="s">
        <v>2932</v>
      </c>
      <c r="G1962" s="1110">
        <v>0.5654513888888889</v>
      </c>
      <c r="H1962" s="1110">
        <v>0.5657986111111111</v>
      </c>
      <c r="I1962" s="1110"/>
      <c r="J1962" s="1111"/>
      <c r="K1962" s="1111">
        <v>0.5986111111111111</v>
      </c>
      <c r="L1962" s="1112">
        <v>0.03263888888888889</v>
      </c>
      <c r="M1962" s="1113" t="s">
        <v>166</v>
      </c>
      <c r="N1962" s="110" t="s">
        <v>187</v>
      </c>
      <c r="O1962" s="1115" t="s">
        <v>202</v>
      </c>
      <c r="P1962" s="1115" t="s">
        <v>256</v>
      </c>
      <c r="Q1962" s="1116"/>
      <c r="R1962" s="120">
        <v>24.4</v>
      </c>
      <c r="S1962" s="1113">
        <v>7.5</v>
      </c>
      <c r="T1962" s="110">
        <v>0.6</v>
      </c>
      <c r="U1962" s="1108"/>
      <c r="V1962" s="1108"/>
      <c r="W1962" s="1108"/>
      <c r="X1962" s="1108"/>
      <c r="Y1962" s="1108"/>
      <c r="Z1962" s="1114" t="s">
        <v>335</v>
      </c>
      <c r="AA1962" s="1114"/>
      <c r="AB1962" s="1114" t="s">
        <v>341</v>
      </c>
      <c r="AC1962" s="1117">
        <v>3.0</v>
      </c>
      <c r="AD1962" s="1115"/>
      <c r="AE1962" s="1115"/>
      <c r="AF1962" s="1115"/>
      <c r="AG1962" s="1115"/>
      <c r="AH1962" s="1115"/>
      <c r="AI1962" s="1115"/>
      <c r="AJ1962" s="1117"/>
      <c r="AK1962" s="1118"/>
      <c r="AL1962" s="1115"/>
      <c r="AM1962" s="1115"/>
      <c r="AN1962" s="1115"/>
      <c r="AO1962" s="1115"/>
      <c r="AP1962" s="1115"/>
      <c r="AQ1962" s="1115"/>
      <c r="AR1962" s="1115"/>
      <c r="AS1962" s="1117"/>
      <c r="AT1962" s="1196" t="str">
        <f t="shared" si="428"/>
        <v/>
      </c>
      <c r="AU1962" s="1193"/>
      <c r="AV1962" s="330">
        <f>SQRT(($R1962-Infrastructure!J$3)^2+($S1962-Infrastructure!K$3)^2)</f>
        <v>32.68103426</v>
      </c>
      <c r="AW1962" s="331">
        <f>SQRT(($R1962-Infrastructure!J$4)^2+($S1962-Infrastructure!K$4)^2)</f>
        <v>26.76153957</v>
      </c>
      <c r="AX1962" s="331">
        <f>SQRT(($R1962-Infrastructure!J$5)^2+($S1962-Infrastructure!K$5)^2)</f>
        <v>24.81632527</v>
      </c>
      <c r="AY1962" s="331">
        <f>SQRT(($R1962-Infrastructure!J$6)^2+($S1962-Infrastructure!K$6)^2)</f>
        <v>16.01030918</v>
      </c>
      <c r="AZ1962" s="331">
        <f>SQRT(($R1962-Infrastructure!J$7)^2+($S1962-Infrastructure!K$7)^2)</f>
        <v>8.188406438</v>
      </c>
      <c r="BA1962" s="331">
        <f>SQRT(($R1962-Infrastructure!J$8)^2+($S1962-Infrastructure!K$8)^2)</f>
        <v>9.183136719</v>
      </c>
      <c r="BB1962" s="331">
        <f>SQRT(($R1962-Infrastructure!J$9)^2+($S1962-Infrastructure!K$9)^2)</f>
        <v>15.78353573</v>
      </c>
      <c r="BC1962" s="331">
        <f>SQRT(($R1962-Infrastructure!J$10)^2+($S1962-Infrastructure!K$10)^2)</f>
        <v>17.30924608</v>
      </c>
      <c r="BD1962" s="331">
        <f>SQRT(($R1962-Infrastructure!J$11)^2+($S1962-Infrastructure!K$11)^2)</f>
        <v>26.68126684</v>
      </c>
      <c r="BE1962" s="333">
        <f>SQRT(($R1962-Infrastructure!J$12)^2+($S1962-Infrastructure!K$12)^2)</f>
        <v>48.08752437</v>
      </c>
      <c r="BF1962" s="330">
        <f t="shared" si="161"/>
        <v>8.188406438</v>
      </c>
      <c r="BG1962" s="333">
        <f t="shared" si="162"/>
        <v>48.08752437</v>
      </c>
      <c r="BH1962" s="1119"/>
      <c r="BI1962" s="319" t="str">
        <f t="shared" ref="BI1962:BR1962" si="775">IF(ISNUMBER(FIND(BI$3, $CO1962)), "Y", "")</f>
        <v/>
      </c>
      <c r="BJ1962" s="319" t="str">
        <f t="shared" si="775"/>
        <v/>
      </c>
      <c r="BK1962" s="319" t="str">
        <f t="shared" si="775"/>
        <v/>
      </c>
      <c r="BL1962" s="319" t="str">
        <f t="shared" si="775"/>
        <v/>
      </c>
      <c r="BM1962" s="319" t="str">
        <f t="shared" si="775"/>
        <v/>
      </c>
      <c r="BN1962" s="319" t="str">
        <f t="shared" si="775"/>
        <v/>
      </c>
      <c r="BO1962" s="319" t="str">
        <f t="shared" si="775"/>
        <v/>
      </c>
      <c r="BP1962" s="319" t="str">
        <f t="shared" si="775"/>
        <v/>
      </c>
      <c r="BQ1962" s="319" t="str">
        <f t="shared" si="775"/>
        <v/>
      </c>
      <c r="BR1962" s="319" t="str">
        <f t="shared" si="775"/>
        <v/>
      </c>
      <c r="BS1962" s="330">
        <f t="shared" si="185"/>
        <v>0</v>
      </c>
      <c r="BT1962" s="331">
        <f t="shared" si="170"/>
        <v>0</v>
      </c>
      <c r="BU1962" s="920"/>
      <c r="BV1962" s="903" t="str">
        <f t="shared" si="186"/>
        <v/>
      </c>
      <c r="BW1962" s="908"/>
      <c r="BX1962" s="908"/>
      <c r="BY1962" s="331" t="b">
        <f t="shared" si="201"/>
        <v>0</v>
      </c>
      <c r="BZ1962" s="331"/>
      <c r="CA1962" s="462" t="str">
        <f t="shared" ref="CA1962:CJ1962" si="776">IF(ISNUMBER(FIND(BI$3, $CP1962)), "Y", "")</f>
        <v/>
      </c>
      <c r="CB1962" s="319" t="str">
        <f t="shared" si="776"/>
        <v/>
      </c>
      <c r="CC1962" s="319" t="str">
        <f t="shared" si="776"/>
        <v/>
      </c>
      <c r="CD1962" s="319" t="str">
        <f t="shared" si="776"/>
        <v/>
      </c>
      <c r="CE1962" s="319" t="str">
        <f t="shared" si="776"/>
        <v/>
      </c>
      <c r="CF1962" s="319" t="str">
        <f t="shared" si="776"/>
        <v/>
      </c>
      <c r="CG1962" s="319" t="str">
        <f t="shared" si="776"/>
        <v/>
      </c>
      <c r="CH1962" s="319" t="str">
        <f t="shared" si="776"/>
        <v/>
      </c>
      <c r="CI1962" s="319" t="str">
        <f t="shared" si="776"/>
        <v/>
      </c>
      <c r="CJ1962" s="319" t="str">
        <f t="shared" si="776"/>
        <v/>
      </c>
      <c r="CK1962" s="342">
        <f t="shared" si="182"/>
        <v>0</v>
      </c>
      <c r="CL1962" s="333">
        <f t="shared" si="183"/>
        <v>0</v>
      </c>
      <c r="CM1962" s="1079"/>
      <c r="CN1962" s="1005" t="s">
        <v>2931</v>
      </c>
      <c r="CO1962" s="1005"/>
      <c r="CP1962" s="1005"/>
    </row>
    <row r="1963">
      <c r="A1963" s="266"/>
      <c r="B1963" s="1113" t="s">
        <v>2902</v>
      </c>
      <c r="C1963" s="1107">
        <v>45546.0</v>
      </c>
      <c r="D1963" s="1113" t="s">
        <v>986</v>
      </c>
      <c r="E1963" s="1108">
        <v>7.0</v>
      </c>
      <c r="F1963" s="112" t="s">
        <v>2933</v>
      </c>
      <c r="G1963" s="1110">
        <v>0.6071180555555555</v>
      </c>
      <c r="H1963" s="1110">
        <v>0.6076388888888888</v>
      </c>
      <c r="I1963" s="1110"/>
      <c r="J1963" s="1111"/>
      <c r="K1963" s="1111">
        <v>0.6390625</v>
      </c>
      <c r="L1963" s="1112">
        <v>0.03125</v>
      </c>
      <c r="M1963" s="1113" t="s">
        <v>166</v>
      </c>
      <c r="N1963" s="110" t="s">
        <v>187</v>
      </c>
      <c r="O1963" s="1115" t="s">
        <v>198</v>
      </c>
      <c r="P1963" s="1115" t="s">
        <v>223</v>
      </c>
      <c r="Q1963" s="1116"/>
      <c r="R1963" s="120">
        <v>10.0</v>
      </c>
      <c r="S1963" s="1113">
        <v>11.7</v>
      </c>
      <c r="T1963" s="110">
        <v>0.5</v>
      </c>
      <c r="U1963" s="1108"/>
      <c r="V1963" s="1108"/>
      <c r="W1963" s="1108"/>
      <c r="X1963" s="1108"/>
      <c r="Y1963" s="1108"/>
      <c r="Z1963" s="1114" t="s">
        <v>335</v>
      </c>
      <c r="AA1963" s="1114"/>
      <c r="AB1963" s="1114" t="s">
        <v>380</v>
      </c>
      <c r="AC1963" s="1117">
        <v>4.0</v>
      </c>
      <c r="AD1963" s="1115"/>
      <c r="AE1963" s="1115"/>
      <c r="AF1963" s="1115"/>
      <c r="AG1963" s="1115"/>
      <c r="AH1963" s="1115"/>
      <c r="AI1963" s="1115"/>
      <c r="AJ1963" s="1117"/>
      <c r="AK1963" s="1118"/>
      <c r="AL1963" s="1115"/>
      <c r="AM1963" s="1115"/>
      <c r="AN1963" s="1115"/>
      <c r="AO1963" s="1115"/>
      <c r="AP1963" s="1115"/>
      <c r="AQ1963" s="1115"/>
      <c r="AR1963" s="1115"/>
      <c r="AS1963" s="1117"/>
      <c r="AT1963" s="1196" t="str">
        <f t="shared" si="428"/>
        <v/>
      </c>
      <c r="AU1963" s="1193"/>
      <c r="AV1963" s="330">
        <f>SQRT(($R1963-Infrastructure!J$3)^2+($S1963-Infrastructure!K$3)^2)</f>
        <v>20.04819194</v>
      </c>
      <c r="AW1963" s="331">
        <f>SQRT(($R1963-Infrastructure!J$4)^2+($S1963-Infrastructure!K$4)^2)</f>
        <v>11.9707978</v>
      </c>
      <c r="AX1963" s="331">
        <f>SQRT(($R1963-Infrastructure!J$5)^2+($S1963-Infrastructure!K$5)^2)</f>
        <v>12.23315168</v>
      </c>
      <c r="AY1963" s="331">
        <f>SQRT(($R1963-Infrastructure!J$6)^2+($S1963-Infrastructure!K$6)^2)</f>
        <v>11.40043859</v>
      </c>
      <c r="AZ1963" s="331">
        <f>SQRT(($R1963-Infrastructure!J$7)^2+($S1963-Infrastructure!K$7)^2)</f>
        <v>15.49870962</v>
      </c>
      <c r="BA1963" s="331">
        <f>SQRT(($R1963-Infrastructure!J$8)^2+($S1963-Infrastructure!K$8)^2)</f>
        <v>23.10779089</v>
      </c>
      <c r="BB1963" s="331">
        <f>SQRT(($R1963-Infrastructure!J$9)^2+($S1963-Infrastructure!K$9)^2)</f>
        <v>30.71742177</v>
      </c>
      <c r="BC1963" s="331">
        <f>SQRT(($R1963-Infrastructure!J$10)^2+($S1963-Infrastructure!K$10)^2)</f>
        <v>30.18095426</v>
      </c>
      <c r="BD1963" s="331">
        <f>SQRT(($R1963-Infrastructure!J$11)^2+($S1963-Infrastructure!K$11)^2)</f>
        <v>34.80416642</v>
      </c>
      <c r="BE1963" s="333">
        <f>SQRT(($R1963-Infrastructure!J$12)^2+($S1963-Infrastructure!K$12)^2)</f>
        <v>45.28454482</v>
      </c>
      <c r="BF1963" s="330">
        <f t="shared" si="161"/>
        <v>11.40043859</v>
      </c>
      <c r="BG1963" s="333">
        <f t="shared" si="162"/>
        <v>45.28454482</v>
      </c>
      <c r="BH1963" s="1119"/>
      <c r="BI1963" s="319" t="str">
        <f t="shared" ref="BI1963:BR1963" si="777">IF(ISNUMBER(FIND(BI$3, $CO1963)), "Y", "")</f>
        <v/>
      </c>
      <c r="BJ1963" s="319" t="str">
        <f t="shared" si="777"/>
        <v/>
      </c>
      <c r="BK1963" s="319" t="str">
        <f t="shared" si="777"/>
        <v/>
      </c>
      <c r="BL1963" s="319" t="str">
        <f t="shared" si="777"/>
        <v/>
      </c>
      <c r="BM1963" s="319" t="str">
        <f t="shared" si="777"/>
        <v/>
      </c>
      <c r="BN1963" s="319" t="str">
        <f t="shared" si="777"/>
        <v/>
      </c>
      <c r="BO1963" s="319" t="str">
        <f t="shared" si="777"/>
        <v/>
      </c>
      <c r="BP1963" s="319" t="str">
        <f t="shared" si="777"/>
        <v/>
      </c>
      <c r="BQ1963" s="319" t="str">
        <f t="shared" si="777"/>
        <v/>
      </c>
      <c r="BR1963" s="319" t="str">
        <f t="shared" si="777"/>
        <v/>
      </c>
      <c r="BS1963" s="330">
        <f t="shared" si="185"/>
        <v>0</v>
      </c>
      <c r="BT1963" s="331">
        <f t="shared" si="170"/>
        <v>0</v>
      </c>
      <c r="BU1963" s="920"/>
      <c r="BV1963" s="903" t="str">
        <f t="shared" si="186"/>
        <v/>
      </c>
      <c r="BW1963" s="908"/>
      <c r="BX1963" s="908"/>
      <c r="BY1963" s="331" t="b">
        <f t="shared" si="201"/>
        <v>0</v>
      </c>
      <c r="BZ1963" s="331"/>
      <c r="CA1963" s="462" t="str">
        <f t="shared" ref="CA1963:CJ1963" si="778">IF(ISNUMBER(FIND(BI$3, $CP1963)), "Y", "")</f>
        <v/>
      </c>
      <c r="CB1963" s="319" t="str">
        <f t="shared" si="778"/>
        <v/>
      </c>
      <c r="CC1963" s="319" t="str">
        <f t="shared" si="778"/>
        <v/>
      </c>
      <c r="CD1963" s="319" t="str">
        <f t="shared" si="778"/>
        <v/>
      </c>
      <c r="CE1963" s="319" t="str">
        <f t="shared" si="778"/>
        <v/>
      </c>
      <c r="CF1963" s="319" t="str">
        <f t="shared" si="778"/>
        <v/>
      </c>
      <c r="CG1963" s="319" t="str">
        <f t="shared" si="778"/>
        <v/>
      </c>
      <c r="CH1963" s="319" t="str">
        <f t="shared" si="778"/>
        <v/>
      </c>
      <c r="CI1963" s="319" t="str">
        <f t="shared" si="778"/>
        <v/>
      </c>
      <c r="CJ1963" s="319" t="str">
        <f t="shared" si="778"/>
        <v/>
      </c>
      <c r="CK1963" s="342">
        <f t="shared" si="182"/>
        <v>0</v>
      </c>
      <c r="CL1963" s="333">
        <f t="shared" si="183"/>
        <v>0</v>
      </c>
      <c r="CM1963" s="1079"/>
      <c r="CN1963" s="1005" t="s">
        <v>2931</v>
      </c>
      <c r="CO1963" s="1005"/>
      <c r="CP1963" s="1005"/>
    </row>
    <row r="1964">
      <c r="A1964" s="266"/>
      <c r="B1964" s="1113" t="s">
        <v>2902</v>
      </c>
      <c r="C1964" s="1107">
        <v>45546.0</v>
      </c>
      <c r="D1964" s="1113" t="s">
        <v>986</v>
      </c>
      <c r="E1964" s="1108">
        <v>8.0</v>
      </c>
      <c r="F1964" s="112" t="s">
        <v>2934</v>
      </c>
      <c r="G1964" s="1110">
        <v>0.6486111111111111</v>
      </c>
      <c r="H1964" s="1110">
        <v>0.6506944444444445</v>
      </c>
      <c r="I1964" s="1110"/>
      <c r="J1964" s="1111"/>
      <c r="K1964" s="1111">
        <v>0.6819444444444445</v>
      </c>
      <c r="L1964" s="1112">
        <v>0.03125</v>
      </c>
      <c r="M1964" s="1113" t="s">
        <v>166</v>
      </c>
      <c r="N1964" s="110" t="s">
        <v>188</v>
      </c>
      <c r="O1964" s="1115" t="s">
        <v>378</v>
      </c>
      <c r="P1964" s="1115" t="s">
        <v>225</v>
      </c>
      <c r="Q1964" s="1115" t="s">
        <v>842</v>
      </c>
      <c r="R1964" s="120">
        <v>22.7</v>
      </c>
      <c r="S1964" s="1113">
        <v>39.7</v>
      </c>
      <c r="T1964" s="110">
        <v>1.1</v>
      </c>
      <c r="U1964" s="1108"/>
      <c r="V1964" s="1108"/>
      <c r="W1964" s="1108"/>
      <c r="X1964" s="1108"/>
      <c r="Y1964" s="1108"/>
      <c r="Z1964" s="1114" t="s">
        <v>1140</v>
      </c>
      <c r="AA1964" s="1114"/>
      <c r="AB1964" s="1114" t="s">
        <v>410</v>
      </c>
      <c r="AC1964" s="1117">
        <v>22.1</v>
      </c>
      <c r="AD1964" s="1115"/>
      <c r="AE1964" s="1115"/>
      <c r="AF1964" s="1115"/>
      <c r="AG1964" s="1115"/>
      <c r="AH1964" s="1115"/>
      <c r="AI1964" s="1115"/>
      <c r="AJ1964" s="1117"/>
      <c r="AK1964" s="1118"/>
      <c r="AL1964" s="1115"/>
      <c r="AM1964" s="1115"/>
      <c r="AN1964" s="1115"/>
      <c r="AO1964" s="1115"/>
      <c r="AP1964" s="1115"/>
      <c r="AQ1964" s="1115"/>
      <c r="AR1964" s="1115"/>
      <c r="AS1964" s="1117"/>
      <c r="AT1964" s="1196" t="str">
        <f t="shared" si="428"/>
        <v/>
      </c>
      <c r="AU1964" s="1193"/>
      <c r="AV1964" s="330">
        <f>SQRT(($R1964-Infrastructure!J$3)^2+($S1964-Infrastructure!K$3)^2)</f>
        <v>25.40944706</v>
      </c>
      <c r="AW1964" s="331">
        <f>SQRT(($R1964-Infrastructure!J$4)^2+($S1964-Infrastructure!K$4)^2)</f>
        <v>31.75862088</v>
      </c>
      <c r="AX1964" s="331">
        <f>SQRT(($R1964-Infrastructure!J$5)^2+($S1964-Infrastructure!K$5)^2)</f>
        <v>41.54708173</v>
      </c>
      <c r="AY1964" s="331">
        <f>SQRT(($R1964-Infrastructure!J$6)^2+($S1964-Infrastructure!K$6)^2)</f>
        <v>41.36568626</v>
      </c>
      <c r="AZ1964" s="331">
        <f>SQRT(($R1964-Infrastructure!J$7)^2+($S1964-Infrastructure!K$7)^2)</f>
        <v>39.46137352</v>
      </c>
      <c r="BA1964" s="331">
        <f>SQRT(($R1964-Infrastructure!J$8)^2+($S1964-Infrastructure!K$8)^2)</f>
        <v>40.08890121</v>
      </c>
      <c r="BB1964" s="331">
        <f>SQRT(($R1964-Infrastructure!J$9)^2+($S1964-Infrastructure!K$9)^2)</f>
        <v>38.68397601</v>
      </c>
      <c r="BC1964" s="331">
        <f>SQRT(($R1964-Infrastructure!J$10)^2+($S1964-Infrastructure!K$10)^2)</f>
        <v>30.15592811</v>
      </c>
      <c r="BD1964" s="331">
        <f>SQRT(($R1964-Infrastructure!J$11)^2+($S1964-Infrastructure!K$11)^2)</f>
        <v>20.51194774</v>
      </c>
      <c r="BE1964" s="333">
        <f>SQRT(($R1964-Infrastructure!J$12)^2+($S1964-Infrastructure!K$12)^2)</f>
        <v>15.84550409</v>
      </c>
      <c r="BF1964" s="330">
        <f t="shared" si="161"/>
        <v>15.84550409</v>
      </c>
      <c r="BG1964" s="333">
        <f t="shared" si="162"/>
        <v>41.54708173</v>
      </c>
      <c r="BH1964" s="1119"/>
      <c r="BI1964" s="319" t="str">
        <f t="shared" ref="BI1964:BR1964" si="779">IF(ISNUMBER(FIND(BI$3, $CO1964)), "Y", "")</f>
        <v>Y</v>
      </c>
      <c r="BJ1964" s="319" t="str">
        <f t="shared" si="779"/>
        <v/>
      </c>
      <c r="BK1964" s="319" t="str">
        <f t="shared" si="779"/>
        <v>Y</v>
      </c>
      <c r="BL1964" s="319" t="str">
        <f t="shared" si="779"/>
        <v/>
      </c>
      <c r="BM1964" s="319" t="str">
        <f t="shared" si="779"/>
        <v>Y</v>
      </c>
      <c r="BN1964" s="319" t="str">
        <f t="shared" si="779"/>
        <v>Y</v>
      </c>
      <c r="BO1964" s="319" t="str">
        <f t="shared" si="779"/>
        <v>Y</v>
      </c>
      <c r="BP1964" s="319" t="str">
        <f t="shared" si="779"/>
        <v/>
      </c>
      <c r="BQ1964" s="319" t="str">
        <f t="shared" si="779"/>
        <v>Y</v>
      </c>
      <c r="BR1964" s="319" t="str">
        <f t="shared" si="779"/>
        <v>Y</v>
      </c>
      <c r="BS1964" s="330">
        <f t="shared" si="185"/>
        <v>15.84550409</v>
      </c>
      <c r="BT1964" s="331">
        <f t="shared" si="170"/>
        <v>41.54708173</v>
      </c>
      <c r="BU1964" s="920">
        <v>0.6491898148148149</v>
      </c>
      <c r="BV1964" s="903">
        <f t="shared" si="186"/>
        <v>0.0005787037037</v>
      </c>
      <c r="BW1964" s="908">
        <v>13.3</v>
      </c>
      <c r="BX1964" s="908">
        <v>36.1</v>
      </c>
      <c r="BY1964" s="331">
        <f t="shared" si="201"/>
        <v>10.06578363</v>
      </c>
      <c r="BZ1964" s="331"/>
      <c r="CA1964" s="462" t="str">
        <f t="shared" ref="CA1964:CJ1964" si="780">IF(ISNUMBER(FIND(BI$3, $CP1964)), "Y", "")</f>
        <v/>
      </c>
      <c r="CB1964" s="319" t="str">
        <f t="shared" si="780"/>
        <v/>
      </c>
      <c r="CC1964" s="319" t="str">
        <f t="shared" si="780"/>
        <v/>
      </c>
      <c r="CD1964" s="319" t="str">
        <f t="shared" si="780"/>
        <v/>
      </c>
      <c r="CE1964" s="319" t="str">
        <f t="shared" si="780"/>
        <v/>
      </c>
      <c r="CF1964" s="319" t="str">
        <f t="shared" si="780"/>
        <v/>
      </c>
      <c r="CG1964" s="319" t="str">
        <f t="shared" si="780"/>
        <v/>
      </c>
      <c r="CH1964" s="319" t="str">
        <f t="shared" si="780"/>
        <v/>
      </c>
      <c r="CI1964" s="319" t="str">
        <f t="shared" si="780"/>
        <v/>
      </c>
      <c r="CJ1964" s="319" t="str">
        <f t="shared" si="780"/>
        <v/>
      </c>
      <c r="CK1964" s="342">
        <f t="shared" si="182"/>
        <v>0</v>
      </c>
      <c r="CL1964" s="333">
        <f t="shared" si="183"/>
        <v>0</v>
      </c>
      <c r="CM1964" s="1079"/>
      <c r="CN1964" s="1005" t="s">
        <v>2931</v>
      </c>
      <c r="CO1964" s="1005" t="s">
        <v>2558</v>
      </c>
      <c r="CP1964" s="1005"/>
    </row>
    <row r="1965">
      <c r="A1965" s="1258"/>
      <c r="B1965" s="1129" t="s">
        <v>2902</v>
      </c>
      <c r="C1965" s="1122">
        <v>45546.0</v>
      </c>
      <c r="D1965" s="1129" t="s">
        <v>986</v>
      </c>
      <c r="E1965" s="1124">
        <v>9.0</v>
      </c>
      <c r="F1965" s="108" t="s">
        <v>2935</v>
      </c>
      <c r="G1965" s="1126">
        <v>0.6902777777777778</v>
      </c>
      <c r="H1965" s="1126">
        <v>0.6914930555555555</v>
      </c>
      <c r="I1965" s="1126"/>
      <c r="J1965" s="1127"/>
      <c r="K1965" s="1127">
        <v>0.7243055555555555</v>
      </c>
      <c r="L1965" s="1128">
        <v>0.03263888888888889</v>
      </c>
      <c r="M1965" s="1129" t="s">
        <v>166</v>
      </c>
      <c r="N1965" s="100" t="s">
        <v>188</v>
      </c>
      <c r="O1965" s="1131" t="s">
        <v>378</v>
      </c>
      <c r="P1965" s="1131" t="s">
        <v>225</v>
      </c>
      <c r="Q1965" s="1131" t="s">
        <v>842</v>
      </c>
      <c r="R1965" s="137">
        <v>22.7</v>
      </c>
      <c r="S1965" s="1129">
        <v>39.7</v>
      </c>
      <c r="T1965" s="100">
        <v>1.1</v>
      </c>
      <c r="U1965" s="1124"/>
      <c r="V1965" s="1124"/>
      <c r="W1965" s="1124"/>
      <c r="X1965" s="1124"/>
      <c r="Y1965" s="1124"/>
      <c r="Z1965" s="1130" t="s">
        <v>1140</v>
      </c>
      <c r="AA1965" s="1130"/>
      <c r="AB1965" s="1130" t="s">
        <v>410</v>
      </c>
      <c r="AC1965" s="1133">
        <v>22.1</v>
      </c>
      <c r="AD1965" s="1131"/>
      <c r="AE1965" s="1131"/>
      <c r="AF1965" s="1131"/>
      <c r="AG1965" s="1131"/>
      <c r="AH1965" s="1131"/>
      <c r="AI1965" s="1131"/>
      <c r="AJ1965" s="1133"/>
      <c r="AK1965" s="1134"/>
      <c r="AL1965" s="1131"/>
      <c r="AM1965" s="1131"/>
      <c r="AN1965" s="1131"/>
      <c r="AO1965" s="1131"/>
      <c r="AP1965" s="1131"/>
      <c r="AQ1965" s="1131"/>
      <c r="AR1965" s="1131"/>
      <c r="AS1965" s="1133"/>
      <c r="AT1965" s="1197" t="str">
        <f t="shared" si="428"/>
        <v/>
      </c>
      <c r="AU1965" s="1194"/>
      <c r="AV1965" s="662">
        <f>SQRT(($R1965-Infrastructure!J$3)^2+($S1965-Infrastructure!K$3)^2)</f>
        <v>25.40944706</v>
      </c>
      <c r="AW1965" s="641">
        <f>SQRT(($R1965-Infrastructure!J$4)^2+($S1965-Infrastructure!K$4)^2)</f>
        <v>31.75862088</v>
      </c>
      <c r="AX1965" s="641">
        <f>SQRT(($R1965-Infrastructure!J$5)^2+($S1965-Infrastructure!K$5)^2)</f>
        <v>41.54708173</v>
      </c>
      <c r="AY1965" s="641">
        <f>SQRT(($R1965-Infrastructure!J$6)^2+($S1965-Infrastructure!K$6)^2)</f>
        <v>41.36568626</v>
      </c>
      <c r="AZ1965" s="641">
        <f>SQRT(($R1965-Infrastructure!J$7)^2+($S1965-Infrastructure!K$7)^2)</f>
        <v>39.46137352</v>
      </c>
      <c r="BA1965" s="641">
        <f>SQRT(($R1965-Infrastructure!J$8)^2+($S1965-Infrastructure!K$8)^2)</f>
        <v>40.08890121</v>
      </c>
      <c r="BB1965" s="641">
        <f>SQRT(($R1965-Infrastructure!J$9)^2+($S1965-Infrastructure!K$9)^2)</f>
        <v>38.68397601</v>
      </c>
      <c r="BC1965" s="641">
        <f>SQRT(($R1965-Infrastructure!J$10)^2+($S1965-Infrastructure!K$10)^2)</f>
        <v>30.15592811</v>
      </c>
      <c r="BD1965" s="641">
        <f>SQRT(($R1965-Infrastructure!J$11)^2+($S1965-Infrastructure!K$11)^2)</f>
        <v>20.51194774</v>
      </c>
      <c r="BE1965" s="642">
        <f>SQRT(($R1965-Infrastructure!J$12)^2+($S1965-Infrastructure!K$12)^2)</f>
        <v>15.84550409</v>
      </c>
      <c r="BF1965" s="662">
        <f t="shared" si="161"/>
        <v>15.84550409</v>
      </c>
      <c r="BG1965" s="642">
        <f t="shared" si="162"/>
        <v>41.54708173</v>
      </c>
      <c r="BH1965" s="1135"/>
      <c r="BI1965" s="663" t="str">
        <f t="shared" ref="BI1965:BR1965" si="781">IF(ISNUMBER(FIND(BI$3, $CO1965)), "Y", "")</f>
        <v>Y</v>
      </c>
      <c r="BJ1965" s="663" t="str">
        <f t="shared" si="781"/>
        <v/>
      </c>
      <c r="BK1965" s="663" t="str">
        <f t="shared" si="781"/>
        <v>Y</v>
      </c>
      <c r="BL1965" s="663" t="str">
        <f t="shared" si="781"/>
        <v/>
      </c>
      <c r="BM1965" s="663" t="str">
        <f t="shared" si="781"/>
        <v>Y</v>
      </c>
      <c r="BN1965" s="663" t="str">
        <f t="shared" si="781"/>
        <v>Y</v>
      </c>
      <c r="BO1965" s="663" t="str">
        <f t="shared" si="781"/>
        <v>Y</v>
      </c>
      <c r="BP1965" s="663" t="str">
        <f t="shared" si="781"/>
        <v/>
      </c>
      <c r="BQ1965" s="663" t="str">
        <f t="shared" si="781"/>
        <v>Y</v>
      </c>
      <c r="BR1965" s="663" t="str">
        <f t="shared" si="781"/>
        <v>Y</v>
      </c>
      <c r="BS1965" s="662">
        <f t="shared" si="185"/>
        <v>15.84550409</v>
      </c>
      <c r="BT1965" s="641">
        <f t="shared" si="170"/>
        <v>41.54708173</v>
      </c>
      <c r="BU1965" s="937">
        <v>0.6908680555555555</v>
      </c>
      <c r="BV1965" s="930">
        <f t="shared" si="186"/>
        <v>0.0005902777778</v>
      </c>
      <c r="BW1965" s="939">
        <v>15.1</v>
      </c>
      <c r="BX1965" s="939">
        <v>41.5</v>
      </c>
      <c r="BY1965" s="641">
        <f t="shared" si="201"/>
        <v>7.810249676</v>
      </c>
      <c r="BZ1965" s="641"/>
      <c r="CA1965" s="635" t="str">
        <f t="shared" ref="CA1965:CJ1965" si="782">IF(ISNUMBER(FIND(BI$3, $CP1965)), "Y", "")</f>
        <v/>
      </c>
      <c r="CB1965" s="663" t="str">
        <f t="shared" si="782"/>
        <v/>
      </c>
      <c r="CC1965" s="663" t="str">
        <f t="shared" si="782"/>
        <v/>
      </c>
      <c r="CD1965" s="663" t="str">
        <f t="shared" si="782"/>
        <v/>
      </c>
      <c r="CE1965" s="663" t="str">
        <f t="shared" si="782"/>
        <v/>
      </c>
      <c r="CF1965" s="663" t="str">
        <f t="shared" si="782"/>
        <v/>
      </c>
      <c r="CG1965" s="663" t="str">
        <f t="shared" si="782"/>
        <v/>
      </c>
      <c r="CH1965" s="663" t="str">
        <f t="shared" si="782"/>
        <v/>
      </c>
      <c r="CI1965" s="663" t="str">
        <f t="shared" si="782"/>
        <v/>
      </c>
      <c r="CJ1965" s="663" t="str">
        <f t="shared" si="782"/>
        <v/>
      </c>
      <c r="CK1965" s="743">
        <f t="shared" si="182"/>
        <v>0</v>
      </c>
      <c r="CL1965" s="642">
        <f t="shared" si="183"/>
        <v>0</v>
      </c>
      <c r="CM1965" s="1090"/>
      <c r="CN1965" s="1036" t="s">
        <v>2931</v>
      </c>
      <c r="CO1965" s="1036" t="s">
        <v>2558</v>
      </c>
      <c r="CP1965" s="1036"/>
    </row>
    <row r="1966">
      <c r="A1966" s="1257" t="s">
        <v>115</v>
      </c>
      <c r="B1966" s="1113" t="s">
        <v>2902</v>
      </c>
      <c r="C1966" s="1107">
        <v>45547.0</v>
      </c>
      <c r="D1966" s="1113" t="s">
        <v>986</v>
      </c>
      <c r="E1966" s="1108">
        <v>1.0</v>
      </c>
      <c r="F1966" s="112" t="s">
        <v>2936</v>
      </c>
      <c r="G1966" s="1110">
        <v>0.3862847222222222</v>
      </c>
      <c r="H1966" s="1110">
        <v>0.38680555555555557</v>
      </c>
      <c r="I1966" s="1110"/>
      <c r="J1966" s="1111"/>
      <c r="K1966" s="1111">
        <v>0.41805555555555557</v>
      </c>
      <c r="L1966" s="1112">
        <v>0.03125</v>
      </c>
      <c r="M1966" s="1113" t="s">
        <v>166</v>
      </c>
      <c r="N1966" s="110" t="s">
        <v>187</v>
      </c>
      <c r="O1966" s="1115" t="s">
        <v>204</v>
      </c>
      <c r="P1966" s="1115" t="s">
        <v>215</v>
      </c>
      <c r="Q1966" s="1116"/>
      <c r="R1966" s="120">
        <v>18.5</v>
      </c>
      <c r="S1966" s="1113">
        <v>3.3</v>
      </c>
      <c r="T1966" s="110">
        <v>1.9</v>
      </c>
      <c r="U1966" s="1108"/>
      <c r="V1966" s="1108"/>
      <c r="W1966" s="1108"/>
      <c r="X1966" s="1108"/>
      <c r="Y1966" s="1108"/>
      <c r="Z1966" s="1114" t="s">
        <v>365</v>
      </c>
      <c r="AA1966" s="1114"/>
      <c r="AB1966" s="1114" t="s">
        <v>388</v>
      </c>
      <c r="AC1966" s="1117">
        <v>8.0</v>
      </c>
      <c r="AD1966" s="1115"/>
      <c r="AE1966" s="1115"/>
      <c r="AF1966" s="1115"/>
      <c r="AG1966" s="1115"/>
      <c r="AH1966" s="1115"/>
      <c r="AI1966" s="1115"/>
      <c r="AJ1966" s="1117"/>
      <c r="AK1966" s="1118"/>
      <c r="AL1966" s="1115"/>
      <c r="AM1966" s="1115"/>
      <c r="AN1966" s="1115"/>
      <c r="AO1966" s="1115"/>
      <c r="AP1966" s="1115"/>
      <c r="AQ1966" s="1115"/>
      <c r="AR1966" s="1115"/>
      <c r="AS1966" s="1117"/>
      <c r="AT1966" s="1196" t="str">
        <f t="shared" si="428"/>
        <v/>
      </c>
      <c r="AU1966" s="1193"/>
      <c r="AV1966" s="330">
        <f>SQRT(($R1966-Infrastructure!J$3)^2+($S1966-Infrastructure!K$3)^2)</f>
        <v>31.76161205</v>
      </c>
      <c r="AW1966" s="331">
        <f>SQRT(($R1966-Infrastructure!J$4)^2+($S1966-Infrastructure!K$4)^2)</f>
        <v>23.7421566</v>
      </c>
      <c r="AX1966" s="331">
        <f>SQRT(($R1966-Infrastructure!J$5)^2+($S1966-Infrastructure!K$5)^2)</f>
        <v>18.88597363</v>
      </c>
      <c r="AY1966" s="331">
        <f>SQRT(($R1966-Infrastructure!J$6)^2+($S1966-Infrastructure!K$6)^2)</f>
        <v>8.919641248</v>
      </c>
      <c r="AZ1966" s="331">
        <f>SQRT(($R1966-Infrastructure!J$7)^2+($S1966-Infrastructure!K$7)^2)</f>
        <v>3.605551275</v>
      </c>
      <c r="BA1966" s="331">
        <f>SQRT(($R1966-Infrastructure!J$8)^2+($S1966-Infrastructure!K$8)^2)</f>
        <v>11.98165264</v>
      </c>
      <c r="BB1966" s="331">
        <f>SQRT(($R1966-Infrastructure!J$9)^2+($S1966-Infrastructure!K$9)^2)</f>
        <v>21.57521726</v>
      </c>
      <c r="BC1966" s="331">
        <f>SQRT(($R1966-Infrastructure!J$10)^2+($S1966-Infrastructure!K$10)^2)</f>
        <v>24.47733646</v>
      </c>
      <c r="BD1966" s="331">
        <f>SQRT(($R1966-Infrastructure!J$11)^2+($S1966-Infrastructure!K$11)^2)</f>
        <v>33.63599263</v>
      </c>
      <c r="BE1966" s="333">
        <f>SQRT(($R1966-Infrastructure!J$12)^2+($S1966-Infrastructure!K$12)^2)</f>
        <v>52.28613583</v>
      </c>
      <c r="BF1966" s="330">
        <f t="shared" si="161"/>
        <v>3.605551275</v>
      </c>
      <c r="BG1966" s="333">
        <f t="shared" si="162"/>
        <v>52.28613583</v>
      </c>
      <c r="BH1966" s="1119"/>
      <c r="BI1966" s="319" t="str">
        <f t="shared" ref="BI1966:BR1966" si="783">IF(ISNUMBER(FIND(BI$3, $CO1966)), "Y", "")</f>
        <v>Y</v>
      </c>
      <c r="BJ1966" s="319" t="str">
        <f t="shared" si="783"/>
        <v>Y</v>
      </c>
      <c r="BK1966" s="319" t="str">
        <f t="shared" si="783"/>
        <v>Y</v>
      </c>
      <c r="BL1966" s="319" t="str">
        <f t="shared" si="783"/>
        <v>Y</v>
      </c>
      <c r="BM1966" s="319" t="str">
        <f t="shared" si="783"/>
        <v>Y</v>
      </c>
      <c r="BN1966" s="319" t="str">
        <f t="shared" si="783"/>
        <v>Y</v>
      </c>
      <c r="BO1966" s="319" t="str">
        <f t="shared" si="783"/>
        <v>Y</v>
      </c>
      <c r="BP1966" s="319" t="str">
        <f t="shared" si="783"/>
        <v/>
      </c>
      <c r="BQ1966" s="319" t="str">
        <f t="shared" si="783"/>
        <v>Y</v>
      </c>
      <c r="BR1966" s="319" t="str">
        <f t="shared" si="783"/>
        <v>Y</v>
      </c>
      <c r="BS1966" s="330">
        <f t="shared" si="185"/>
        <v>3.605551275</v>
      </c>
      <c r="BT1966" s="331">
        <f t="shared" si="170"/>
        <v>52.28613583</v>
      </c>
      <c r="BU1966" s="920">
        <v>0.38631944444444444</v>
      </c>
      <c r="BV1966" s="903">
        <f t="shared" si="186"/>
        <v>0.00003472222222</v>
      </c>
      <c r="BW1966" s="908">
        <v>7.3</v>
      </c>
      <c r="BX1966" s="908">
        <v>35.5</v>
      </c>
      <c r="BY1966" s="331">
        <f t="shared" si="201"/>
        <v>34.09222785</v>
      </c>
      <c r="BZ1966" s="331"/>
      <c r="CA1966" s="462" t="str">
        <f t="shared" ref="CA1966:CJ1966" si="784">IF(ISNUMBER(FIND(BI$3, $CP1966)), "Y", "")</f>
        <v/>
      </c>
      <c r="CB1966" s="319" t="str">
        <f t="shared" si="784"/>
        <v/>
      </c>
      <c r="CC1966" s="319" t="str">
        <f t="shared" si="784"/>
        <v/>
      </c>
      <c r="CD1966" s="319" t="str">
        <f t="shared" si="784"/>
        <v/>
      </c>
      <c r="CE1966" s="319" t="str">
        <f t="shared" si="784"/>
        <v/>
      </c>
      <c r="CF1966" s="319" t="str">
        <f t="shared" si="784"/>
        <v/>
      </c>
      <c r="CG1966" s="319" t="str">
        <f t="shared" si="784"/>
        <v/>
      </c>
      <c r="CH1966" s="319" t="str">
        <f t="shared" si="784"/>
        <v/>
      </c>
      <c r="CI1966" s="319" t="str">
        <f t="shared" si="784"/>
        <v/>
      </c>
      <c r="CJ1966" s="319" t="str">
        <f t="shared" si="784"/>
        <v/>
      </c>
      <c r="CK1966" s="342">
        <f t="shared" si="182"/>
        <v>0</v>
      </c>
      <c r="CL1966" s="333">
        <f t="shared" si="183"/>
        <v>0</v>
      </c>
      <c r="CM1966" s="1079"/>
      <c r="CN1966" s="1005" t="s">
        <v>2937</v>
      </c>
      <c r="CO1966" s="1005" t="s">
        <v>2400</v>
      </c>
      <c r="CP1966" s="1005"/>
    </row>
    <row r="1967">
      <c r="A1967" s="266"/>
      <c r="B1967" s="1113" t="s">
        <v>2902</v>
      </c>
      <c r="C1967" s="1107">
        <v>45547.0</v>
      </c>
      <c r="D1967" s="1113" t="s">
        <v>986</v>
      </c>
      <c r="E1967" s="1108">
        <v>2.0</v>
      </c>
      <c r="F1967" s="112" t="s">
        <v>2938</v>
      </c>
      <c r="G1967" s="1110">
        <v>0.42083333333333334</v>
      </c>
      <c r="H1967" s="1110">
        <v>0.42135416666666664</v>
      </c>
      <c r="I1967" s="1110"/>
      <c r="J1967" s="1111"/>
      <c r="K1967" s="1111">
        <v>0.45416666666666666</v>
      </c>
      <c r="L1967" s="1112">
        <v>0.03263888888888889</v>
      </c>
      <c r="M1967" s="1113" t="s">
        <v>166</v>
      </c>
      <c r="N1967" s="110" t="s">
        <v>187</v>
      </c>
      <c r="O1967" s="1115" t="s">
        <v>207</v>
      </c>
      <c r="P1967" s="1115" t="s">
        <v>219</v>
      </c>
      <c r="Q1967" s="1116"/>
      <c r="R1967" s="120">
        <v>26.3</v>
      </c>
      <c r="S1967" s="1113">
        <v>12.4</v>
      </c>
      <c r="T1967" s="110">
        <v>1.6</v>
      </c>
      <c r="U1967" s="1108"/>
      <c r="V1967" s="1108"/>
      <c r="W1967" s="1108"/>
      <c r="X1967" s="1108"/>
      <c r="Y1967" s="1108"/>
      <c r="Z1967" s="1114" t="s">
        <v>374</v>
      </c>
      <c r="AA1967" s="1114"/>
      <c r="AB1967" s="1114" t="s">
        <v>388</v>
      </c>
      <c r="AC1967" s="1117">
        <v>8.0</v>
      </c>
      <c r="AD1967" s="1115"/>
      <c r="AE1967" s="1115"/>
      <c r="AF1967" s="1115"/>
      <c r="AG1967" s="1115"/>
      <c r="AH1967" s="1115"/>
      <c r="AI1967" s="1115"/>
      <c r="AJ1967" s="1117"/>
      <c r="AK1967" s="1118"/>
      <c r="AL1967" s="1115"/>
      <c r="AM1967" s="1115"/>
      <c r="AN1967" s="1115"/>
      <c r="AO1967" s="1115"/>
      <c r="AP1967" s="1115"/>
      <c r="AQ1967" s="1115"/>
      <c r="AR1967" s="1115"/>
      <c r="AS1967" s="1117"/>
      <c r="AT1967" s="1196" t="str">
        <f t="shared" si="428"/>
        <v/>
      </c>
      <c r="AU1967" s="1193"/>
      <c r="AV1967" s="330">
        <f>SQRT(($R1967-Infrastructure!J$3)^2+($S1967-Infrastructure!K$3)^2)</f>
        <v>31.30191687</v>
      </c>
      <c r="AW1967" s="331">
        <f>SQRT(($R1967-Infrastructure!J$4)^2+($S1967-Infrastructure!K$4)^2)</f>
        <v>27.14258646</v>
      </c>
      <c r="AX1967" s="331">
        <f>SQRT(($R1967-Infrastructure!J$5)^2+($S1967-Infrastructure!K$5)^2)</f>
        <v>27.58350957</v>
      </c>
      <c r="AY1967" s="331">
        <f>SQRT(($R1967-Infrastructure!J$6)^2+($S1967-Infrastructure!K$6)^2)</f>
        <v>20.22003956</v>
      </c>
      <c r="AZ1967" s="331">
        <f>SQRT(($R1967-Infrastructure!J$7)^2+($S1967-Infrastructure!K$7)^2)</f>
        <v>13.41827113</v>
      </c>
      <c r="BA1967" s="331">
        <f>SQRT(($R1967-Infrastructure!J$8)^2+($S1967-Infrastructure!K$8)^2)</f>
        <v>12.68266534</v>
      </c>
      <c r="BB1967" s="331">
        <f>SQRT(($R1967-Infrastructure!J$9)^2+($S1967-Infrastructure!K$9)^2)</f>
        <v>15.52353053</v>
      </c>
      <c r="BC1967" s="331">
        <f>SQRT(($R1967-Infrastructure!J$10)^2+($S1967-Infrastructure!K$10)^2)</f>
        <v>13.94453298</v>
      </c>
      <c r="BD1967" s="331">
        <f>SQRT(($R1967-Infrastructure!J$11)^2+($S1967-Infrastructure!K$11)^2)</f>
        <v>21.65109697</v>
      </c>
      <c r="BE1967" s="333">
        <f>SQRT(($R1967-Infrastructure!J$12)^2+($S1967-Infrastructure!K$12)^2)</f>
        <v>43.3664617</v>
      </c>
      <c r="BF1967" s="330">
        <f t="shared" si="161"/>
        <v>12.68266534</v>
      </c>
      <c r="BG1967" s="333">
        <f t="shared" si="162"/>
        <v>43.3664617</v>
      </c>
      <c r="BH1967" s="1119"/>
      <c r="BI1967" s="319" t="str">
        <f t="shared" ref="BI1967:BR1967" si="785">IF(ISNUMBER(FIND(BI$3, $CO1967)), "Y", "")</f>
        <v>Y</v>
      </c>
      <c r="BJ1967" s="319" t="str">
        <f t="shared" si="785"/>
        <v>Y</v>
      </c>
      <c r="BK1967" s="319" t="str">
        <f t="shared" si="785"/>
        <v>Y</v>
      </c>
      <c r="BL1967" s="319" t="str">
        <f t="shared" si="785"/>
        <v>Y</v>
      </c>
      <c r="BM1967" s="319" t="str">
        <f t="shared" si="785"/>
        <v>Y</v>
      </c>
      <c r="BN1967" s="319" t="str">
        <f t="shared" si="785"/>
        <v>Y</v>
      </c>
      <c r="BO1967" s="319" t="str">
        <f t="shared" si="785"/>
        <v>Y</v>
      </c>
      <c r="BP1967" s="319" t="str">
        <f t="shared" si="785"/>
        <v/>
      </c>
      <c r="BQ1967" s="319" t="str">
        <f t="shared" si="785"/>
        <v>Y</v>
      </c>
      <c r="BR1967" s="319" t="str">
        <f t="shared" si="785"/>
        <v>Y</v>
      </c>
      <c r="BS1967" s="330">
        <f t="shared" si="185"/>
        <v>12.68266534</v>
      </c>
      <c r="BT1967" s="331">
        <f t="shared" si="170"/>
        <v>43.3664617</v>
      </c>
      <c r="BU1967" s="920">
        <v>0.4214699074074074</v>
      </c>
      <c r="BV1967" s="903">
        <f t="shared" si="186"/>
        <v>0.0006365740741</v>
      </c>
      <c r="BW1967" s="908">
        <v>16.6</v>
      </c>
      <c r="BX1967" s="908">
        <v>18.4</v>
      </c>
      <c r="BY1967" s="331">
        <f t="shared" si="201"/>
        <v>11.40570033</v>
      </c>
      <c r="BZ1967" s="331"/>
      <c r="CA1967" s="462" t="str">
        <f t="shared" ref="CA1967:CJ1967" si="786">IF(ISNUMBER(FIND(BI$3, $CP1967)), "Y", "")</f>
        <v/>
      </c>
      <c r="CB1967" s="319" t="str">
        <f t="shared" si="786"/>
        <v/>
      </c>
      <c r="CC1967" s="319" t="str">
        <f t="shared" si="786"/>
        <v/>
      </c>
      <c r="CD1967" s="319" t="str">
        <f t="shared" si="786"/>
        <v/>
      </c>
      <c r="CE1967" s="319" t="str">
        <f t="shared" si="786"/>
        <v/>
      </c>
      <c r="CF1967" s="319" t="str">
        <f t="shared" si="786"/>
        <v/>
      </c>
      <c r="CG1967" s="319" t="str">
        <f t="shared" si="786"/>
        <v/>
      </c>
      <c r="CH1967" s="319" t="str">
        <f t="shared" si="786"/>
        <v/>
      </c>
      <c r="CI1967" s="319" t="str">
        <f t="shared" si="786"/>
        <v/>
      </c>
      <c r="CJ1967" s="319" t="str">
        <f t="shared" si="786"/>
        <v/>
      </c>
      <c r="CK1967" s="342">
        <f t="shared" si="182"/>
        <v>0</v>
      </c>
      <c r="CL1967" s="333">
        <f t="shared" si="183"/>
        <v>0</v>
      </c>
      <c r="CM1967" s="1079"/>
      <c r="CN1967" s="1005" t="s">
        <v>2937</v>
      </c>
      <c r="CO1967" s="1005" t="s">
        <v>2400</v>
      </c>
      <c r="CP1967" s="1005"/>
    </row>
    <row r="1968">
      <c r="A1968" s="266"/>
      <c r="B1968" s="1113" t="s">
        <v>2902</v>
      </c>
      <c r="C1968" s="1107">
        <v>45547.0</v>
      </c>
      <c r="D1968" s="1113" t="s">
        <v>986</v>
      </c>
      <c r="E1968" s="1108">
        <v>3.0</v>
      </c>
      <c r="F1968" s="112" t="s">
        <v>2939</v>
      </c>
      <c r="G1968" s="1110">
        <v>0.4635416666666667</v>
      </c>
      <c r="H1968" s="1110">
        <v>0.4638888888888889</v>
      </c>
      <c r="I1968" s="1110"/>
      <c r="J1968" s="1111"/>
      <c r="K1968" s="1111">
        <v>0.4965277777777778</v>
      </c>
      <c r="L1968" s="1112">
        <v>0.03263888888888889</v>
      </c>
      <c r="M1968" s="1113" t="s">
        <v>166</v>
      </c>
      <c r="N1968" s="110" t="s">
        <v>187</v>
      </c>
      <c r="O1968" s="1115" t="s">
        <v>206</v>
      </c>
      <c r="P1968" s="1115" t="s">
        <v>296</v>
      </c>
      <c r="Q1968" s="1116"/>
      <c r="R1968" s="120">
        <v>22.0</v>
      </c>
      <c r="S1968" s="1113">
        <v>11.4</v>
      </c>
      <c r="T1968" s="110">
        <v>0.6</v>
      </c>
      <c r="U1968" s="1108"/>
      <c r="V1968" s="1108"/>
      <c r="W1968" s="1108"/>
      <c r="X1968" s="1108"/>
      <c r="Y1968" s="1108"/>
      <c r="Z1968" s="1114" t="s">
        <v>347</v>
      </c>
      <c r="AA1968" s="1114"/>
      <c r="AB1968" s="1114" t="s">
        <v>388</v>
      </c>
      <c r="AC1968" s="1117">
        <v>8.0</v>
      </c>
      <c r="AD1968" s="1115"/>
      <c r="AE1968" s="1115"/>
      <c r="AF1968" s="1115"/>
      <c r="AG1968" s="1115"/>
      <c r="AH1968" s="1115"/>
      <c r="AI1968" s="1115"/>
      <c r="AJ1968" s="1117"/>
      <c r="AK1968" s="1118"/>
      <c r="AL1968" s="1115"/>
      <c r="AM1968" s="1115"/>
      <c r="AN1968" s="1115"/>
      <c r="AO1968" s="1115"/>
      <c r="AP1968" s="1115"/>
      <c r="AQ1968" s="1115"/>
      <c r="AR1968" s="1115"/>
      <c r="AS1968" s="1117"/>
      <c r="AT1968" s="1196" t="str">
        <f t="shared" si="428"/>
        <v/>
      </c>
      <c r="AU1968" s="1193"/>
      <c r="AV1968" s="330">
        <f>SQRT(($R1968-Infrastructure!J$3)^2+($S1968-Infrastructure!K$3)^2)</f>
        <v>28.34678112</v>
      </c>
      <c r="AW1968" s="331">
        <f>SQRT(($R1968-Infrastructure!J$4)^2+($S1968-Infrastructure!K$4)^2)</f>
        <v>23.20021552</v>
      </c>
      <c r="AX1968" s="331">
        <f>SQRT(($R1968-Infrastructure!J$5)^2+($S1968-Infrastructure!K$5)^2)</f>
        <v>23.17282892</v>
      </c>
      <c r="AY1968" s="331">
        <f>SQRT(($R1968-Infrastructure!J$6)^2+($S1968-Infrastructure!K$6)^2)</f>
        <v>16.273291</v>
      </c>
      <c r="AZ1968" s="331">
        <f>SQRT(($R1968-Infrastructure!J$7)^2+($S1968-Infrastructure!K$7)^2)</f>
        <v>11.20089282</v>
      </c>
      <c r="BA1968" s="331">
        <f>SQRT(($R1968-Infrastructure!J$8)^2+($S1968-Infrastructure!K$8)^2)</f>
        <v>13.74117899</v>
      </c>
      <c r="BB1968" s="331">
        <f>SQRT(($R1968-Infrastructure!J$9)^2+($S1968-Infrastructure!K$9)^2)</f>
        <v>19.07065809</v>
      </c>
      <c r="BC1968" s="331">
        <f>SQRT(($R1968-Infrastructure!J$10)^2+($S1968-Infrastructure!K$10)^2)</f>
        <v>18.35647025</v>
      </c>
      <c r="BD1968" s="331">
        <f>SQRT(($R1968-Infrastructure!J$11)^2+($S1968-Infrastructure!K$11)^2)</f>
        <v>25.3179778</v>
      </c>
      <c r="BE1968" s="333">
        <f>SQRT(($R1968-Infrastructure!J$12)^2+($S1968-Infrastructure!K$12)^2)</f>
        <v>44.10283438</v>
      </c>
      <c r="BF1968" s="330">
        <f t="shared" si="161"/>
        <v>11.20089282</v>
      </c>
      <c r="BG1968" s="333">
        <f t="shared" si="162"/>
        <v>44.10283438</v>
      </c>
      <c r="BH1968" s="1119"/>
      <c r="BI1968" s="319" t="str">
        <f t="shared" ref="BI1968:BR1968" si="787">IF(ISNUMBER(FIND(BI$3, $CO1968)), "Y", "")</f>
        <v/>
      </c>
      <c r="BJ1968" s="319" t="str">
        <f t="shared" si="787"/>
        <v/>
      </c>
      <c r="BK1968" s="319" t="str">
        <f t="shared" si="787"/>
        <v/>
      </c>
      <c r="BL1968" s="319" t="str">
        <f t="shared" si="787"/>
        <v/>
      </c>
      <c r="BM1968" s="319" t="str">
        <f t="shared" si="787"/>
        <v/>
      </c>
      <c r="BN1968" s="319" t="str">
        <f t="shared" si="787"/>
        <v/>
      </c>
      <c r="BO1968" s="319" t="str">
        <f t="shared" si="787"/>
        <v/>
      </c>
      <c r="BP1968" s="319" t="str">
        <f t="shared" si="787"/>
        <v/>
      </c>
      <c r="BQ1968" s="319" t="str">
        <f t="shared" si="787"/>
        <v/>
      </c>
      <c r="BR1968" s="319" t="str">
        <f t="shared" si="787"/>
        <v/>
      </c>
      <c r="BS1968" s="330">
        <f t="shared" si="185"/>
        <v>0</v>
      </c>
      <c r="BT1968" s="331">
        <f t="shared" si="170"/>
        <v>0</v>
      </c>
      <c r="BU1968" s="920"/>
      <c r="BV1968" s="903" t="str">
        <f t="shared" si="186"/>
        <v/>
      </c>
      <c r="BW1968" s="908"/>
      <c r="BX1968" s="908"/>
      <c r="BY1968" s="331" t="b">
        <f t="shared" si="201"/>
        <v>0</v>
      </c>
      <c r="BZ1968" s="331"/>
      <c r="CA1968" s="462" t="str">
        <f t="shared" ref="CA1968:CJ1968" si="788">IF(ISNUMBER(FIND(BI$3, $CP1968)), "Y", "")</f>
        <v/>
      </c>
      <c r="CB1968" s="319" t="str">
        <f t="shared" si="788"/>
        <v/>
      </c>
      <c r="CC1968" s="319" t="str">
        <f t="shared" si="788"/>
        <v/>
      </c>
      <c r="CD1968" s="319" t="str">
        <f t="shared" si="788"/>
        <v/>
      </c>
      <c r="CE1968" s="319" t="str">
        <f t="shared" si="788"/>
        <v/>
      </c>
      <c r="CF1968" s="319" t="str">
        <f t="shared" si="788"/>
        <v/>
      </c>
      <c r="CG1968" s="319" t="str">
        <f t="shared" si="788"/>
        <v/>
      </c>
      <c r="CH1968" s="319" t="str">
        <f t="shared" si="788"/>
        <v/>
      </c>
      <c r="CI1968" s="319" t="str">
        <f t="shared" si="788"/>
        <v/>
      </c>
      <c r="CJ1968" s="319" t="str">
        <f t="shared" si="788"/>
        <v/>
      </c>
      <c r="CK1968" s="342">
        <f t="shared" si="182"/>
        <v>0</v>
      </c>
      <c r="CL1968" s="333">
        <f t="shared" si="183"/>
        <v>0</v>
      </c>
      <c r="CM1968" s="1079"/>
      <c r="CN1968" s="1005" t="s">
        <v>2937</v>
      </c>
      <c r="CO1968" s="1005"/>
      <c r="CP1968" s="1005"/>
    </row>
    <row r="1969">
      <c r="A1969" s="266"/>
      <c r="B1969" s="1113" t="s">
        <v>2902</v>
      </c>
      <c r="C1969" s="1107">
        <v>45547.0</v>
      </c>
      <c r="D1969" s="1113" t="s">
        <v>986</v>
      </c>
      <c r="E1969" s="1108">
        <v>4.0</v>
      </c>
      <c r="F1969" s="112" t="s">
        <v>2940</v>
      </c>
      <c r="G1969" s="1110"/>
      <c r="H1969" s="1138"/>
      <c r="I1969" s="1138"/>
      <c r="J1969" s="1139"/>
      <c r="K1969" s="1111"/>
      <c r="L1969" s="1112">
        <v>0.0</v>
      </c>
      <c r="M1969" s="1113" t="s">
        <v>166</v>
      </c>
      <c r="N1969" s="110" t="s">
        <v>188</v>
      </c>
      <c r="O1969" s="1115" t="s">
        <v>196</v>
      </c>
      <c r="P1969" s="1115" t="s">
        <v>224</v>
      </c>
      <c r="Q1969" s="1115" t="s">
        <v>842</v>
      </c>
      <c r="R1969" s="120">
        <v>21.7</v>
      </c>
      <c r="S1969" s="1113">
        <v>39.5</v>
      </c>
      <c r="T1969" s="110">
        <v>1.3</v>
      </c>
      <c r="U1969" s="1108"/>
      <c r="V1969" s="1108"/>
      <c r="W1969" s="1108"/>
      <c r="X1969" s="1108"/>
      <c r="Y1969" s="1108"/>
      <c r="Z1969" s="1114" t="s">
        <v>387</v>
      </c>
      <c r="AA1969" s="1114"/>
      <c r="AB1969" s="1114" t="s">
        <v>416</v>
      </c>
      <c r="AC1969" s="1117">
        <v>52.5</v>
      </c>
      <c r="AD1969" s="1115"/>
      <c r="AE1969" s="1115"/>
      <c r="AF1969" s="1115"/>
      <c r="AG1969" s="1115"/>
      <c r="AH1969" s="1115"/>
      <c r="AI1969" s="1115"/>
      <c r="AJ1969" s="1117"/>
      <c r="AK1969" s="1118"/>
      <c r="AL1969" s="1115"/>
      <c r="AM1969" s="1115"/>
      <c r="AN1969" s="1115"/>
      <c r="AO1969" s="1115"/>
      <c r="AP1969" s="1115"/>
      <c r="AQ1969" s="1115"/>
      <c r="AR1969" s="1115"/>
      <c r="AS1969" s="1117"/>
      <c r="AT1969" s="1196" t="str">
        <f t="shared" si="428"/>
        <v/>
      </c>
      <c r="AU1969" s="1193"/>
      <c r="AV1969" s="330">
        <f>SQRT(($R1969-Infrastructure!J$3)^2+($S1969-Infrastructure!K$3)^2)</f>
        <v>24.42048321</v>
      </c>
      <c r="AW1969" s="331">
        <f>SQRT(($R1969-Infrastructure!J$4)^2+($S1969-Infrastructure!K$4)^2)</f>
        <v>30.90129447</v>
      </c>
      <c r="AX1969" s="331">
        <f>SQRT(($R1969-Infrastructure!J$5)^2+($S1969-Infrastructure!K$5)^2)</f>
        <v>40.83331973</v>
      </c>
      <c r="AY1969" s="331">
        <f>SQRT(($R1969-Infrastructure!J$6)^2+($S1969-Infrastructure!K$6)^2)</f>
        <v>40.88031311</v>
      </c>
      <c r="AZ1969" s="331">
        <f>SQRT(($R1969-Infrastructure!J$7)^2+($S1969-Infrastructure!K$7)^2)</f>
        <v>39.21836305</v>
      </c>
      <c r="BA1969" s="331">
        <f>SQRT(($R1969-Infrastructure!J$8)^2+($S1969-Infrastructure!K$8)^2)</f>
        <v>40.08989898</v>
      </c>
      <c r="BB1969" s="331">
        <f>SQRT(($R1969-Infrastructure!J$9)^2+($S1969-Infrastructure!K$9)^2)</f>
        <v>38.96472764</v>
      </c>
      <c r="BC1969" s="331">
        <f>SQRT(($R1969-Infrastructure!J$10)^2+($S1969-Infrastructure!K$10)^2)</f>
        <v>30.58005886</v>
      </c>
      <c r="BD1969" s="331">
        <f>SQRT(($R1969-Infrastructure!J$11)^2+($S1969-Infrastructure!K$11)^2)</f>
        <v>21.27204739</v>
      </c>
      <c r="BE1969" s="333">
        <f>SQRT(($R1969-Infrastructure!J$12)^2+($S1969-Infrastructure!K$12)^2)</f>
        <v>16.00124995</v>
      </c>
      <c r="BF1969" s="330">
        <f t="shared" si="161"/>
        <v>16.00124995</v>
      </c>
      <c r="BG1969" s="333">
        <f t="shared" si="162"/>
        <v>40.88031311</v>
      </c>
      <c r="BH1969" s="1119"/>
      <c r="BI1969" s="319" t="str">
        <f t="shared" ref="BI1969:BR1969" si="789">IF(ISNUMBER(FIND(BI$3, $CO1969)), "Y", "")</f>
        <v/>
      </c>
      <c r="BJ1969" s="319" t="str">
        <f t="shared" si="789"/>
        <v/>
      </c>
      <c r="BK1969" s="319" t="str">
        <f t="shared" si="789"/>
        <v/>
      </c>
      <c r="BL1969" s="319" t="str">
        <f t="shared" si="789"/>
        <v/>
      </c>
      <c r="BM1969" s="319" t="str">
        <f t="shared" si="789"/>
        <v/>
      </c>
      <c r="BN1969" s="319" t="str">
        <f t="shared" si="789"/>
        <v/>
      </c>
      <c r="BO1969" s="319" t="str">
        <f t="shared" si="789"/>
        <v/>
      </c>
      <c r="BP1969" s="319" t="str">
        <f t="shared" si="789"/>
        <v/>
      </c>
      <c r="BQ1969" s="319" t="str">
        <f t="shared" si="789"/>
        <v/>
      </c>
      <c r="BR1969" s="319" t="str">
        <f t="shared" si="789"/>
        <v/>
      </c>
      <c r="BS1969" s="330">
        <f t="shared" si="185"/>
        <v>0</v>
      </c>
      <c r="BT1969" s="331">
        <f t="shared" si="170"/>
        <v>0</v>
      </c>
      <c r="BU1969" s="920"/>
      <c r="BV1969" s="903" t="str">
        <f t="shared" si="186"/>
        <v/>
      </c>
      <c r="BW1969" s="908"/>
      <c r="BX1969" s="908"/>
      <c r="BY1969" s="331" t="b">
        <f t="shared" si="201"/>
        <v>0</v>
      </c>
      <c r="BZ1969" s="331"/>
      <c r="CA1969" s="462" t="str">
        <f t="shared" ref="CA1969:CJ1969" si="790">IF(ISNUMBER(FIND(BI$3, $CP1969)), "Y", "")</f>
        <v/>
      </c>
      <c r="CB1969" s="319" t="str">
        <f t="shared" si="790"/>
        <v/>
      </c>
      <c r="CC1969" s="319" t="str">
        <f t="shared" si="790"/>
        <v/>
      </c>
      <c r="CD1969" s="319" t="str">
        <f t="shared" si="790"/>
        <v/>
      </c>
      <c r="CE1969" s="319" t="str">
        <f t="shared" si="790"/>
        <v/>
      </c>
      <c r="CF1969" s="319" t="str">
        <f t="shared" si="790"/>
        <v/>
      </c>
      <c r="CG1969" s="319" t="str">
        <f t="shared" si="790"/>
        <v/>
      </c>
      <c r="CH1969" s="319" t="str">
        <f t="shared" si="790"/>
        <v/>
      </c>
      <c r="CI1969" s="319" t="str">
        <f t="shared" si="790"/>
        <v/>
      </c>
      <c r="CJ1969" s="319" t="str">
        <f t="shared" si="790"/>
        <v/>
      </c>
      <c r="CK1969" s="342">
        <f t="shared" si="182"/>
        <v>0</v>
      </c>
      <c r="CL1969" s="333">
        <f t="shared" si="183"/>
        <v>0</v>
      </c>
      <c r="CM1969" s="1079"/>
      <c r="CN1969" s="1005" t="s">
        <v>2937</v>
      </c>
      <c r="CO1969" s="1005"/>
      <c r="CP1969" s="1005"/>
    </row>
    <row r="1970">
      <c r="A1970" s="266"/>
      <c r="B1970" s="1113" t="s">
        <v>2902</v>
      </c>
      <c r="C1970" s="1107">
        <v>45547.0</v>
      </c>
      <c r="D1970" s="1113" t="s">
        <v>986</v>
      </c>
      <c r="E1970" s="1108" t="s">
        <v>1217</v>
      </c>
      <c r="F1970" s="112" t="s">
        <v>2941</v>
      </c>
      <c r="G1970" s="1110">
        <v>0.5</v>
      </c>
      <c r="H1970" s="1110">
        <v>0.5006944444444444</v>
      </c>
      <c r="I1970" s="1110"/>
      <c r="J1970" s="1111"/>
      <c r="K1970" s="1111">
        <v>0.5321180555555556</v>
      </c>
      <c r="L1970" s="1112">
        <v>0.03125</v>
      </c>
      <c r="M1970" s="1113" t="s">
        <v>166</v>
      </c>
      <c r="N1970" s="110" t="s">
        <v>188</v>
      </c>
      <c r="O1970" s="1115" t="s">
        <v>378</v>
      </c>
      <c r="P1970" s="1115" t="s">
        <v>225</v>
      </c>
      <c r="Q1970" s="1115" t="s">
        <v>842</v>
      </c>
      <c r="R1970" s="120">
        <v>22.7</v>
      </c>
      <c r="S1970" s="1113">
        <v>39.7</v>
      </c>
      <c r="T1970" s="110">
        <v>1.1</v>
      </c>
      <c r="U1970" s="1108"/>
      <c r="V1970" s="1108"/>
      <c r="W1970" s="1108"/>
      <c r="X1970" s="1108"/>
      <c r="Y1970" s="1108"/>
      <c r="Z1970" s="1114" t="s">
        <v>1140</v>
      </c>
      <c r="AA1970" s="1114"/>
      <c r="AB1970" s="1114" t="s">
        <v>410</v>
      </c>
      <c r="AC1970" s="1117">
        <v>22.1</v>
      </c>
      <c r="AD1970" s="1115"/>
      <c r="AE1970" s="1115"/>
      <c r="AF1970" s="1115"/>
      <c r="AG1970" s="1115"/>
      <c r="AH1970" s="1115"/>
      <c r="AI1970" s="1115"/>
      <c r="AJ1970" s="1117"/>
      <c r="AK1970" s="1118"/>
      <c r="AL1970" s="1115"/>
      <c r="AM1970" s="1115"/>
      <c r="AN1970" s="1115"/>
      <c r="AO1970" s="1115"/>
      <c r="AP1970" s="1115"/>
      <c r="AQ1970" s="1115"/>
      <c r="AR1970" s="1115"/>
      <c r="AS1970" s="1117"/>
      <c r="AT1970" s="1196" t="str">
        <f t="shared" si="428"/>
        <v/>
      </c>
      <c r="AU1970" s="1193"/>
      <c r="AV1970" s="330">
        <f>SQRT(($R1970-Infrastructure!J$3)^2+($S1970-Infrastructure!K$3)^2)</f>
        <v>25.40944706</v>
      </c>
      <c r="AW1970" s="331">
        <f>SQRT(($R1970-Infrastructure!J$4)^2+($S1970-Infrastructure!K$4)^2)</f>
        <v>31.75862088</v>
      </c>
      <c r="AX1970" s="331">
        <f>SQRT(($R1970-Infrastructure!J$5)^2+($S1970-Infrastructure!K$5)^2)</f>
        <v>41.54708173</v>
      </c>
      <c r="AY1970" s="331">
        <f>SQRT(($R1970-Infrastructure!J$6)^2+($S1970-Infrastructure!K$6)^2)</f>
        <v>41.36568626</v>
      </c>
      <c r="AZ1970" s="331">
        <f>SQRT(($R1970-Infrastructure!J$7)^2+($S1970-Infrastructure!K$7)^2)</f>
        <v>39.46137352</v>
      </c>
      <c r="BA1970" s="331">
        <f>SQRT(($R1970-Infrastructure!J$8)^2+($S1970-Infrastructure!K$8)^2)</f>
        <v>40.08890121</v>
      </c>
      <c r="BB1970" s="331">
        <f>SQRT(($R1970-Infrastructure!J$9)^2+($S1970-Infrastructure!K$9)^2)</f>
        <v>38.68397601</v>
      </c>
      <c r="BC1970" s="331">
        <f>SQRT(($R1970-Infrastructure!J$10)^2+($S1970-Infrastructure!K$10)^2)</f>
        <v>30.15592811</v>
      </c>
      <c r="BD1970" s="331">
        <f>SQRT(($R1970-Infrastructure!J$11)^2+($S1970-Infrastructure!K$11)^2)</f>
        <v>20.51194774</v>
      </c>
      <c r="BE1970" s="333">
        <f>SQRT(($R1970-Infrastructure!J$12)^2+($S1970-Infrastructure!K$12)^2)</f>
        <v>15.84550409</v>
      </c>
      <c r="BF1970" s="330">
        <f t="shared" si="161"/>
        <v>15.84550409</v>
      </c>
      <c r="BG1970" s="333">
        <f t="shared" si="162"/>
        <v>41.54708173</v>
      </c>
      <c r="BH1970" s="1119"/>
      <c r="BI1970" s="319" t="str">
        <f t="shared" ref="BI1970:BR1970" si="791">IF(ISNUMBER(FIND(BI$3, $CO1970)), "Y", "")</f>
        <v>Y</v>
      </c>
      <c r="BJ1970" s="319" t="str">
        <f t="shared" si="791"/>
        <v>Y</v>
      </c>
      <c r="BK1970" s="319" t="str">
        <f t="shared" si="791"/>
        <v>Y</v>
      </c>
      <c r="BL1970" s="319" t="str">
        <f t="shared" si="791"/>
        <v>Y</v>
      </c>
      <c r="BM1970" s="319" t="str">
        <f t="shared" si="791"/>
        <v>Y</v>
      </c>
      <c r="BN1970" s="319" t="str">
        <f t="shared" si="791"/>
        <v>Y</v>
      </c>
      <c r="BO1970" s="319" t="str">
        <f t="shared" si="791"/>
        <v>Y</v>
      </c>
      <c r="BP1970" s="319" t="str">
        <f t="shared" si="791"/>
        <v/>
      </c>
      <c r="BQ1970" s="319" t="str">
        <f t="shared" si="791"/>
        <v>Y</v>
      </c>
      <c r="BR1970" s="319" t="str">
        <f t="shared" si="791"/>
        <v>Y</v>
      </c>
      <c r="BS1970" s="330">
        <f t="shared" si="185"/>
        <v>15.84550409</v>
      </c>
      <c r="BT1970" s="331">
        <f t="shared" si="170"/>
        <v>41.54708173</v>
      </c>
      <c r="BU1970" s="920">
        <v>0.5005787037037037</v>
      </c>
      <c r="BV1970" s="903">
        <f t="shared" si="186"/>
        <v>0.0005787037037</v>
      </c>
      <c r="BW1970" s="908">
        <v>15.5</v>
      </c>
      <c r="BX1970" s="908">
        <v>41.8</v>
      </c>
      <c r="BY1970" s="331">
        <f t="shared" si="201"/>
        <v>7.5</v>
      </c>
      <c r="BZ1970" s="331"/>
      <c r="CA1970" s="462" t="str">
        <f t="shared" ref="CA1970:CJ1970" si="792">IF(ISNUMBER(FIND(BI$3, $CP1970)), "Y", "")</f>
        <v/>
      </c>
      <c r="CB1970" s="319" t="str">
        <f t="shared" si="792"/>
        <v/>
      </c>
      <c r="CC1970" s="319" t="str">
        <f t="shared" si="792"/>
        <v/>
      </c>
      <c r="CD1970" s="319" t="str">
        <f t="shared" si="792"/>
        <v/>
      </c>
      <c r="CE1970" s="319" t="str">
        <f t="shared" si="792"/>
        <v/>
      </c>
      <c r="CF1970" s="319" t="str">
        <f t="shared" si="792"/>
        <v/>
      </c>
      <c r="CG1970" s="319" t="str">
        <f t="shared" si="792"/>
        <v/>
      </c>
      <c r="CH1970" s="319" t="str">
        <f t="shared" si="792"/>
        <v/>
      </c>
      <c r="CI1970" s="319" t="str">
        <f t="shared" si="792"/>
        <v/>
      </c>
      <c r="CJ1970" s="319" t="str">
        <f t="shared" si="792"/>
        <v/>
      </c>
      <c r="CK1970" s="342">
        <f t="shared" si="182"/>
        <v>0</v>
      </c>
      <c r="CL1970" s="333">
        <f t="shared" si="183"/>
        <v>0</v>
      </c>
      <c r="CM1970" s="1079"/>
      <c r="CN1970" s="1005" t="s">
        <v>2931</v>
      </c>
      <c r="CO1970" s="1005" t="s">
        <v>2400</v>
      </c>
      <c r="CP1970" s="1005"/>
    </row>
    <row r="1971">
      <c r="A1971" s="266"/>
      <c r="B1971" s="1113" t="s">
        <v>2902</v>
      </c>
      <c r="C1971" s="1107">
        <v>45547.0</v>
      </c>
      <c r="D1971" s="1113" t="s">
        <v>986</v>
      </c>
      <c r="E1971" s="1108">
        <v>5.0</v>
      </c>
      <c r="F1971" s="112" t="s">
        <v>2942</v>
      </c>
      <c r="G1971" s="1110">
        <v>0.5611111111111111</v>
      </c>
      <c r="H1971" s="1110">
        <v>0.5618055555555556</v>
      </c>
      <c r="I1971" s="1110"/>
      <c r="J1971" s="1111"/>
      <c r="K1971" s="1111">
        <v>0.59375</v>
      </c>
      <c r="L1971" s="1112">
        <v>0.03194444444444444</v>
      </c>
      <c r="M1971" s="1113" t="s">
        <v>166</v>
      </c>
      <c r="N1971" s="110" t="s">
        <v>188</v>
      </c>
      <c r="O1971" s="1115" t="s">
        <v>378</v>
      </c>
      <c r="P1971" s="1115" t="s">
        <v>217</v>
      </c>
      <c r="Q1971" s="1115" t="s">
        <v>851</v>
      </c>
      <c r="R1971" s="120">
        <v>22.7</v>
      </c>
      <c r="S1971" s="1113">
        <v>39.7</v>
      </c>
      <c r="T1971" s="110">
        <v>1.8</v>
      </c>
      <c r="U1971" s="1108"/>
      <c r="V1971" s="1108"/>
      <c r="W1971" s="1108"/>
      <c r="X1971" s="1108"/>
      <c r="Y1971" s="1108"/>
      <c r="Z1971" s="1114" t="s">
        <v>1140</v>
      </c>
      <c r="AA1971" s="1114"/>
      <c r="AB1971" s="1114" t="s">
        <v>410</v>
      </c>
      <c r="AC1971" s="1117">
        <v>22.1</v>
      </c>
      <c r="AD1971" s="1115"/>
      <c r="AE1971" s="1115"/>
      <c r="AF1971" s="1115"/>
      <c r="AG1971" s="1115"/>
      <c r="AH1971" s="1115"/>
      <c r="AI1971" s="1115"/>
      <c r="AJ1971" s="1117"/>
      <c r="AK1971" s="1118"/>
      <c r="AL1971" s="1115"/>
      <c r="AM1971" s="1115"/>
      <c r="AN1971" s="1115"/>
      <c r="AO1971" s="1115"/>
      <c r="AP1971" s="1115"/>
      <c r="AQ1971" s="1115"/>
      <c r="AR1971" s="1115"/>
      <c r="AS1971" s="1117"/>
      <c r="AT1971" s="1196" t="str">
        <f t="shared" si="428"/>
        <v/>
      </c>
      <c r="AU1971" s="1193"/>
      <c r="AV1971" s="330">
        <f>SQRT(($R1971-Infrastructure!J$3)^2+($S1971-Infrastructure!K$3)^2)</f>
        <v>25.40944706</v>
      </c>
      <c r="AW1971" s="331">
        <f>SQRT(($R1971-Infrastructure!J$4)^2+($S1971-Infrastructure!K$4)^2)</f>
        <v>31.75862088</v>
      </c>
      <c r="AX1971" s="331">
        <f>SQRT(($R1971-Infrastructure!J$5)^2+($S1971-Infrastructure!K$5)^2)</f>
        <v>41.54708173</v>
      </c>
      <c r="AY1971" s="331">
        <f>SQRT(($R1971-Infrastructure!J$6)^2+($S1971-Infrastructure!K$6)^2)</f>
        <v>41.36568626</v>
      </c>
      <c r="AZ1971" s="331">
        <f>SQRT(($R1971-Infrastructure!J$7)^2+($S1971-Infrastructure!K$7)^2)</f>
        <v>39.46137352</v>
      </c>
      <c r="BA1971" s="331">
        <f>SQRT(($R1971-Infrastructure!J$8)^2+($S1971-Infrastructure!K$8)^2)</f>
        <v>40.08890121</v>
      </c>
      <c r="BB1971" s="331">
        <f>SQRT(($R1971-Infrastructure!J$9)^2+($S1971-Infrastructure!K$9)^2)</f>
        <v>38.68397601</v>
      </c>
      <c r="BC1971" s="331">
        <f>SQRT(($R1971-Infrastructure!J$10)^2+($S1971-Infrastructure!K$10)^2)</f>
        <v>30.15592811</v>
      </c>
      <c r="BD1971" s="331">
        <f>SQRT(($R1971-Infrastructure!J$11)^2+($S1971-Infrastructure!K$11)^2)</f>
        <v>20.51194774</v>
      </c>
      <c r="BE1971" s="333">
        <f>SQRT(($R1971-Infrastructure!J$12)^2+($S1971-Infrastructure!K$12)^2)</f>
        <v>15.84550409</v>
      </c>
      <c r="BF1971" s="330">
        <f t="shared" si="161"/>
        <v>15.84550409</v>
      </c>
      <c r="BG1971" s="333">
        <f t="shared" si="162"/>
        <v>41.54708173</v>
      </c>
      <c r="BH1971" s="1119"/>
      <c r="BI1971" s="319" t="str">
        <f t="shared" ref="BI1971:BR1971" si="793">IF(ISNUMBER(FIND(BI$3, $CO1971)), "Y", "")</f>
        <v>Y</v>
      </c>
      <c r="BJ1971" s="319" t="str">
        <f t="shared" si="793"/>
        <v>Y</v>
      </c>
      <c r="BK1971" s="319" t="str">
        <f t="shared" si="793"/>
        <v>Y</v>
      </c>
      <c r="BL1971" s="319" t="str">
        <f t="shared" si="793"/>
        <v>Y</v>
      </c>
      <c r="BM1971" s="319" t="str">
        <f t="shared" si="793"/>
        <v>Y</v>
      </c>
      <c r="BN1971" s="319" t="str">
        <f t="shared" si="793"/>
        <v/>
      </c>
      <c r="BO1971" s="319" t="str">
        <f t="shared" si="793"/>
        <v/>
      </c>
      <c r="BP1971" s="319" t="str">
        <f t="shared" si="793"/>
        <v/>
      </c>
      <c r="BQ1971" s="319" t="str">
        <f t="shared" si="793"/>
        <v>Y</v>
      </c>
      <c r="BR1971" s="319" t="str">
        <f t="shared" si="793"/>
        <v>Y</v>
      </c>
      <c r="BS1971" s="330">
        <f t="shared" si="185"/>
        <v>15.84550409</v>
      </c>
      <c r="BT1971" s="331">
        <f t="shared" si="170"/>
        <v>41.54708173</v>
      </c>
      <c r="BU1971" s="920">
        <v>0.5616782407407407</v>
      </c>
      <c r="BV1971" s="903">
        <f t="shared" si="186"/>
        <v>0.0005671296296</v>
      </c>
      <c r="BW1971" s="908">
        <v>12.1</v>
      </c>
      <c r="BX1971" s="908">
        <v>34.1</v>
      </c>
      <c r="BY1971" s="331">
        <f t="shared" si="201"/>
        <v>11.98832766</v>
      </c>
      <c r="BZ1971" s="331"/>
      <c r="CA1971" s="462" t="str">
        <f t="shared" ref="CA1971:CJ1971" si="794">IF(ISNUMBER(FIND(BI$3, $CP1971)), "Y", "")</f>
        <v/>
      </c>
      <c r="CB1971" s="319" t="str">
        <f t="shared" si="794"/>
        <v/>
      </c>
      <c r="CC1971" s="319" t="str">
        <f t="shared" si="794"/>
        <v/>
      </c>
      <c r="CD1971" s="319" t="str">
        <f t="shared" si="794"/>
        <v/>
      </c>
      <c r="CE1971" s="319" t="str">
        <f t="shared" si="794"/>
        <v/>
      </c>
      <c r="CF1971" s="319" t="str">
        <f t="shared" si="794"/>
        <v/>
      </c>
      <c r="CG1971" s="319" t="str">
        <f t="shared" si="794"/>
        <v/>
      </c>
      <c r="CH1971" s="319" t="str">
        <f t="shared" si="794"/>
        <v/>
      </c>
      <c r="CI1971" s="319" t="str">
        <f t="shared" si="794"/>
        <v/>
      </c>
      <c r="CJ1971" s="319" t="str">
        <f t="shared" si="794"/>
        <v/>
      </c>
      <c r="CK1971" s="342">
        <f t="shared" si="182"/>
        <v>0</v>
      </c>
      <c r="CL1971" s="333">
        <f t="shared" si="183"/>
        <v>0</v>
      </c>
      <c r="CM1971" s="1079"/>
      <c r="CN1971" s="1005" t="s">
        <v>2931</v>
      </c>
      <c r="CO1971" s="1005" t="s">
        <v>2878</v>
      </c>
      <c r="CP1971" s="1005"/>
    </row>
    <row r="1972">
      <c r="A1972" s="266"/>
      <c r="B1972" s="1113" t="s">
        <v>2902</v>
      </c>
      <c r="C1972" s="1107">
        <v>45547.0</v>
      </c>
      <c r="D1972" s="1113" t="s">
        <v>986</v>
      </c>
      <c r="E1972" s="1108">
        <v>6.0</v>
      </c>
      <c r="F1972" s="112" t="s">
        <v>2943</v>
      </c>
      <c r="G1972" s="1110">
        <v>0.6048611111111111</v>
      </c>
      <c r="H1972" s="1110">
        <v>0.6055555555555555</v>
      </c>
      <c r="I1972" s="1110"/>
      <c r="J1972" s="1111"/>
      <c r="K1972" s="1111">
        <v>0.6368055555555555</v>
      </c>
      <c r="L1972" s="1112">
        <v>0.03125</v>
      </c>
      <c r="M1972" s="1113" t="s">
        <v>166</v>
      </c>
      <c r="N1972" s="110" t="s">
        <v>187</v>
      </c>
      <c r="O1972" s="1115" t="s">
        <v>207</v>
      </c>
      <c r="P1972" s="1115" t="s">
        <v>221</v>
      </c>
      <c r="Q1972" s="1116"/>
      <c r="R1972" s="120">
        <v>26.1</v>
      </c>
      <c r="S1972" s="1113">
        <v>14.3</v>
      </c>
      <c r="T1972" s="110">
        <v>1.5</v>
      </c>
      <c r="U1972" s="1108"/>
      <c r="V1972" s="1108"/>
      <c r="W1972" s="1108"/>
      <c r="X1972" s="1108"/>
      <c r="Y1972" s="1108"/>
      <c r="Z1972" s="1114" t="s">
        <v>374</v>
      </c>
      <c r="AA1972" s="1114"/>
      <c r="AB1972" s="1114" t="s">
        <v>380</v>
      </c>
      <c r="AC1972" s="1117">
        <v>4.0</v>
      </c>
      <c r="AD1972" s="1115"/>
      <c r="AE1972" s="1115"/>
      <c r="AF1972" s="1115"/>
      <c r="AG1972" s="1115"/>
      <c r="AH1972" s="1115"/>
      <c r="AI1972" s="1115"/>
      <c r="AJ1972" s="1117"/>
      <c r="AK1972" s="1118"/>
      <c r="AL1972" s="1115"/>
      <c r="AM1972" s="1115"/>
      <c r="AN1972" s="1115"/>
      <c r="AO1972" s="1115"/>
      <c r="AP1972" s="1115"/>
      <c r="AQ1972" s="1115"/>
      <c r="AR1972" s="1115"/>
      <c r="AS1972" s="1117"/>
      <c r="AT1972" s="1196" t="str">
        <f t="shared" si="428"/>
        <v/>
      </c>
      <c r="AU1972" s="1193"/>
      <c r="AV1972" s="330">
        <f>SQRT(($R1972-Infrastructure!J$3)^2+($S1972-Infrastructure!K$3)^2)</f>
        <v>30.16819517</v>
      </c>
      <c r="AW1972" s="331">
        <f>SQRT(($R1972-Infrastructure!J$4)^2+($S1972-Infrastructure!K$4)^2)</f>
        <v>26.63099698</v>
      </c>
      <c r="AX1972" s="331">
        <f>SQRT(($R1972-Infrastructure!J$5)^2+($S1972-Infrastructure!K$5)^2)</f>
        <v>27.95711001</v>
      </c>
      <c r="AY1972" s="331">
        <f>SQRT(($R1972-Infrastructure!J$6)^2+($S1972-Infrastructure!K$6)^2)</f>
        <v>21.26029163</v>
      </c>
      <c r="AZ1972" s="331">
        <f>SQRT(($R1972-Infrastructure!J$7)^2+($S1972-Infrastructure!K$7)^2)</f>
        <v>15.07846146</v>
      </c>
      <c r="BA1972" s="331">
        <f>SQRT(($R1972-Infrastructure!J$8)^2+($S1972-Infrastructure!K$8)^2)</f>
        <v>14.56021978</v>
      </c>
      <c r="BB1972" s="331">
        <f>SQRT(($R1972-Infrastructure!J$9)^2+($S1972-Infrastructure!K$9)^2)</f>
        <v>16.66883319</v>
      </c>
      <c r="BC1972" s="331">
        <f>SQRT(($R1972-Infrastructure!J$10)^2+($S1972-Infrastructure!K$10)^2)</f>
        <v>13.91761474</v>
      </c>
      <c r="BD1972" s="331">
        <f>SQRT(($R1972-Infrastructure!J$11)^2+($S1972-Infrastructure!K$11)^2)</f>
        <v>20.36909424</v>
      </c>
      <c r="BE1972" s="333">
        <f>SQRT(($R1972-Infrastructure!J$12)^2+($S1972-Infrastructure!K$12)^2)</f>
        <v>41.45600077</v>
      </c>
      <c r="BF1972" s="330">
        <f t="shared" si="161"/>
        <v>13.91761474</v>
      </c>
      <c r="BG1972" s="333">
        <f t="shared" si="162"/>
        <v>41.45600077</v>
      </c>
      <c r="BH1972" s="1119"/>
      <c r="BI1972" s="319" t="str">
        <f t="shared" ref="BI1972:BR1972" si="795">IF(ISNUMBER(FIND(BI$3, $CO1972)), "Y", "")</f>
        <v/>
      </c>
      <c r="BJ1972" s="319" t="str">
        <f t="shared" si="795"/>
        <v/>
      </c>
      <c r="BK1972" s="319" t="str">
        <f t="shared" si="795"/>
        <v/>
      </c>
      <c r="BL1972" s="319" t="str">
        <f t="shared" si="795"/>
        <v/>
      </c>
      <c r="BM1972" s="319" t="str">
        <f t="shared" si="795"/>
        <v/>
      </c>
      <c r="BN1972" s="319" t="str">
        <f t="shared" si="795"/>
        <v/>
      </c>
      <c r="BO1972" s="319" t="str">
        <f t="shared" si="795"/>
        <v/>
      </c>
      <c r="BP1972" s="319" t="str">
        <f t="shared" si="795"/>
        <v/>
      </c>
      <c r="BQ1972" s="319" t="str">
        <f t="shared" si="795"/>
        <v/>
      </c>
      <c r="BR1972" s="319" t="str">
        <f t="shared" si="795"/>
        <v/>
      </c>
      <c r="BS1972" s="330">
        <f t="shared" si="185"/>
        <v>0</v>
      </c>
      <c r="BT1972" s="331">
        <f t="shared" si="170"/>
        <v>0</v>
      </c>
      <c r="BU1972" s="920"/>
      <c r="BV1972" s="903" t="str">
        <f t="shared" si="186"/>
        <v/>
      </c>
      <c r="BW1972" s="908"/>
      <c r="BX1972" s="908"/>
      <c r="BY1972" s="331" t="b">
        <f t="shared" si="201"/>
        <v>0</v>
      </c>
      <c r="BZ1972" s="331"/>
      <c r="CA1972" s="462" t="str">
        <f t="shared" ref="CA1972:CJ1972" si="796">IF(ISNUMBER(FIND(BI$3, $CP1972)), "Y", "")</f>
        <v/>
      </c>
      <c r="CB1972" s="319" t="str">
        <f t="shared" si="796"/>
        <v/>
      </c>
      <c r="CC1972" s="319" t="str">
        <f t="shared" si="796"/>
        <v/>
      </c>
      <c r="CD1972" s="319" t="str">
        <f t="shared" si="796"/>
        <v/>
      </c>
      <c r="CE1972" s="319" t="str">
        <f t="shared" si="796"/>
        <v/>
      </c>
      <c r="CF1972" s="319" t="str">
        <f t="shared" si="796"/>
        <v/>
      </c>
      <c r="CG1972" s="319" t="str">
        <f t="shared" si="796"/>
        <v/>
      </c>
      <c r="CH1972" s="319" t="str">
        <f t="shared" si="796"/>
        <v/>
      </c>
      <c r="CI1972" s="319" t="str">
        <f t="shared" si="796"/>
        <v/>
      </c>
      <c r="CJ1972" s="319" t="str">
        <f t="shared" si="796"/>
        <v/>
      </c>
      <c r="CK1972" s="342">
        <f t="shared" si="182"/>
        <v>0</v>
      </c>
      <c r="CL1972" s="333">
        <f t="shared" si="183"/>
        <v>0</v>
      </c>
      <c r="CM1972" s="1079"/>
      <c r="CN1972" s="1005" t="s">
        <v>2931</v>
      </c>
      <c r="CO1972" s="1005"/>
      <c r="CP1972" s="1005"/>
    </row>
    <row r="1973">
      <c r="A1973" s="266"/>
      <c r="B1973" s="1113" t="s">
        <v>2902</v>
      </c>
      <c r="C1973" s="1107">
        <v>45547.0</v>
      </c>
      <c r="D1973" s="1113" t="s">
        <v>986</v>
      </c>
      <c r="E1973" s="1108">
        <v>7.0</v>
      </c>
      <c r="F1973" s="112" t="s">
        <v>2944</v>
      </c>
      <c r="G1973" s="1110">
        <v>0.6444444444444445</v>
      </c>
      <c r="H1973" s="1110">
        <v>0.6454861111111111</v>
      </c>
      <c r="I1973" s="1110"/>
      <c r="J1973" s="1111"/>
      <c r="K1973" s="1111">
        <v>0.6770833333333334</v>
      </c>
      <c r="L1973" s="1112">
        <v>0.03125</v>
      </c>
      <c r="M1973" s="1113" t="s">
        <v>166</v>
      </c>
      <c r="N1973" s="110" t="s">
        <v>188</v>
      </c>
      <c r="O1973" s="1115" t="s">
        <v>196</v>
      </c>
      <c r="P1973" s="1115" t="s">
        <v>224</v>
      </c>
      <c r="Q1973" s="1115" t="s">
        <v>842</v>
      </c>
      <c r="R1973" s="120">
        <v>21.7</v>
      </c>
      <c r="S1973" s="1113">
        <v>39.5</v>
      </c>
      <c r="T1973" s="110">
        <v>1.3</v>
      </c>
      <c r="U1973" s="1108"/>
      <c r="V1973" s="1108"/>
      <c r="W1973" s="1108"/>
      <c r="X1973" s="1108"/>
      <c r="Y1973" s="1108"/>
      <c r="Z1973" s="1114" t="s">
        <v>387</v>
      </c>
      <c r="AA1973" s="1114"/>
      <c r="AB1973" s="1114" t="s">
        <v>416</v>
      </c>
      <c r="AC1973" s="1117">
        <v>52.5</v>
      </c>
      <c r="AD1973" s="1115"/>
      <c r="AE1973" s="1115"/>
      <c r="AF1973" s="1115"/>
      <c r="AG1973" s="1115"/>
      <c r="AH1973" s="1115"/>
      <c r="AI1973" s="1115"/>
      <c r="AJ1973" s="1117"/>
      <c r="AK1973" s="1118"/>
      <c r="AL1973" s="1115"/>
      <c r="AM1973" s="1115"/>
      <c r="AN1973" s="1115"/>
      <c r="AO1973" s="1115"/>
      <c r="AP1973" s="1115"/>
      <c r="AQ1973" s="1115"/>
      <c r="AR1973" s="1115"/>
      <c r="AS1973" s="1117"/>
      <c r="AT1973" s="1196" t="str">
        <f t="shared" si="428"/>
        <v/>
      </c>
      <c r="AU1973" s="1193"/>
      <c r="AV1973" s="330">
        <f>SQRT(($R1973-Infrastructure!J$3)^2+($S1973-Infrastructure!K$3)^2)</f>
        <v>24.42048321</v>
      </c>
      <c r="AW1973" s="331">
        <f>SQRT(($R1973-Infrastructure!J$4)^2+($S1973-Infrastructure!K$4)^2)</f>
        <v>30.90129447</v>
      </c>
      <c r="AX1973" s="331">
        <f>SQRT(($R1973-Infrastructure!J$5)^2+($S1973-Infrastructure!K$5)^2)</f>
        <v>40.83331973</v>
      </c>
      <c r="AY1973" s="331">
        <f>SQRT(($R1973-Infrastructure!J$6)^2+($S1973-Infrastructure!K$6)^2)</f>
        <v>40.88031311</v>
      </c>
      <c r="AZ1973" s="331">
        <f>SQRT(($R1973-Infrastructure!J$7)^2+($S1973-Infrastructure!K$7)^2)</f>
        <v>39.21836305</v>
      </c>
      <c r="BA1973" s="331">
        <f>SQRT(($R1973-Infrastructure!J$8)^2+($S1973-Infrastructure!K$8)^2)</f>
        <v>40.08989898</v>
      </c>
      <c r="BB1973" s="331">
        <f>SQRT(($R1973-Infrastructure!J$9)^2+($S1973-Infrastructure!K$9)^2)</f>
        <v>38.96472764</v>
      </c>
      <c r="BC1973" s="331">
        <f>SQRT(($R1973-Infrastructure!J$10)^2+($S1973-Infrastructure!K$10)^2)</f>
        <v>30.58005886</v>
      </c>
      <c r="BD1973" s="331">
        <f>SQRT(($R1973-Infrastructure!J$11)^2+($S1973-Infrastructure!K$11)^2)</f>
        <v>21.27204739</v>
      </c>
      <c r="BE1973" s="333">
        <f>SQRT(($R1973-Infrastructure!J$12)^2+($S1973-Infrastructure!K$12)^2)</f>
        <v>16.00124995</v>
      </c>
      <c r="BF1973" s="330">
        <f t="shared" si="161"/>
        <v>16.00124995</v>
      </c>
      <c r="BG1973" s="333">
        <f t="shared" si="162"/>
        <v>40.88031311</v>
      </c>
      <c r="BH1973" s="1119"/>
      <c r="BI1973" s="319" t="str">
        <f t="shared" ref="BI1973:BR1973" si="797">IF(ISNUMBER(FIND(BI$3, $CO1973)), "Y", "")</f>
        <v>Y</v>
      </c>
      <c r="BJ1973" s="319" t="str">
        <f t="shared" si="797"/>
        <v>Y</v>
      </c>
      <c r="BK1973" s="319" t="str">
        <f t="shared" si="797"/>
        <v>Y</v>
      </c>
      <c r="BL1973" s="319" t="str">
        <f t="shared" si="797"/>
        <v>Y</v>
      </c>
      <c r="BM1973" s="319" t="str">
        <f t="shared" si="797"/>
        <v/>
      </c>
      <c r="BN1973" s="319" t="str">
        <f t="shared" si="797"/>
        <v/>
      </c>
      <c r="BO1973" s="319" t="str">
        <f t="shared" si="797"/>
        <v>Y</v>
      </c>
      <c r="BP1973" s="319" t="str">
        <f t="shared" si="797"/>
        <v/>
      </c>
      <c r="BQ1973" s="319" t="str">
        <f t="shared" si="797"/>
        <v>Y</v>
      </c>
      <c r="BR1973" s="319" t="str">
        <f t="shared" si="797"/>
        <v>Y</v>
      </c>
      <c r="BS1973" s="330">
        <f t="shared" si="185"/>
        <v>16.00124995</v>
      </c>
      <c r="BT1973" s="331">
        <f t="shared" si="170"/>
        <v>40.88031311</v>
      </c>
      <c r="BU1973" s="920">
        <v>0.6450925925925926</v>
      </c>
      <c r="BV1973" s="903">
        <f t="shared" si="186"/>
        <v>0.0006481481481</v>
      </c>
      <c r="BW1973" s="908">
        <v>12.3</v>
      </c>
      <c r="BX1973" s="908">
        <v>40.5</v>
      </c>
      <c r="BY1973" s="331">
        <f t="shared" si="201"/>
        <v>9.453041838</v>
      </c>
      <c r="BZ1973" s="331"/>
      <c r="CA1973" s="462" t="str">
        <f t="shared" ref="CA1973:CJ1973" si="798">IF(ISNUMBER(FIND(BI$3, $CP1973)), "Y", "")</f>
        <v/>
      </c>
      <c r="CB1973" s="319" t="str">
        <f t="shared" si="798"/>
        <v/>
      </c>
      <c r="CC1973" s="319" t="str">
        <f t="shared" si="798"/>
        <v/>
      </c>
      <c r="CD1973" s="319" t="str">
        <f t="shared" si="798"/>
        <v/>
      </c>
      <c r="CE1973" s="319" t="str">
        <f t="shared" si="798"/>
        <v/>
      </c>
      <c r="CF1973" s="319" t="str">
        <f t="shared" si="798"/>
        <v/>
      </c>
      <c r="CG1973" s="319" t="str">
        <f t="shared" si="798"/>
        <v/>
      </c>
      <c r="CH1973" s="319" t="str">
        <f t="shared" si="798"/>
        <v/>
      </c>
      <c r="CI1973" s="319" t="str">
        <f t="shared" si="798"/>
        <v/>
      </c>
      <c r="CJ1973" s="319" t="str">
        <f t="shared" si="798"/>
        <v/>
      </c>
      <c r="CK1973" s="342">
        <f t="shared" si="182"/>
        <v>0</v>
      </c>
      <c r="CL1973" s="333">
        <f t="shared" si="183"/>
        <v>0</v>
      </c>
      <c r="CM1973" s="1079"/>
      <c r="CN1973" s="1005" t="s">
        <v>2931</v>
      </c>
      <c r="CO1973" s="1005" t="s">
        <v>2559</v>
      </c>
      <c r="CP1973" s="1005"/>
    </row>
    <row r="1974">
      <c r="A1974" s="1258"/>
      <c r="B1974" s="1129" t="s">
        <v>2902</v>
      </c>
      <c r="C1974" s="1122">
        <v>45547.0</v>
      </c>
      <c r="D1974" s="1129" t="s">
        <v>986</v>
      </c>
      <c r="E1974" s="1124">
        <v>8.0</v>
      </c>
      <c r="F1974" s="108" t="s">
        <v>2945</v>
      </c>
      <c r="G1974" s="1126">
        <v>0.6880208333333333</v>
      </c>
      <c r="H1974" s="1126">
        <v>0.6885416666666667</v>
      </c>
      <c r="I1974" s="1126"/>
      <c r="J1974" s="1127"/>
      <c r="K1974" s="1127">
        <v>0.7204861111111112</v>
      </c>
      <c r="L1974" s="1128">
        <v>0.03194444444444444</v>
      </c>
      <c r="M1974" s="1129" t="s">
        <v>166</v>
      </c>
      <c r="N1974" s="100" t="s">
        <v>188</v>
      </c>
      <c r="O1974" s="1131" t="s">
        <v>378</v>
      </c>
      <c r="P1974" s="1131" t="s">
        <v>217</v>
      </c>
      <c r="Q1974" s="1131" t="s">
        <v>851</v>
      </c>
      <c r="R1974" s="137">
        <v>22.7</v>
      </c>
      <c r="S1974" s="1129">
        <v>39.7</v>
      </c>
      <c r="T1974" s="100">
        <v>1.8</v>
      </c>
      <c r="U1974" s="1124"/>
      <c r="V1974" s="1124"/>
      <c r="W1974" s="1124"/>
      <c r="X1974" s="1124"/>
      <c r="Y1974" s="1124"/>
      <c r="Z1974" s="1130" t="s">
        <v>1140</v>
      </c>
      <c r="AA1974" s="1130"/>
      <c r="AB1974" s="1130" t="s">
        <v>410</v>
      </c>
      <c r="AC1974" s="1133">
        <v>22.1</v>
      </c>
      <c r="AD1974" s="1131"/>
      <c r="AE1974" s="1131"/>
      <c r="AF1974" s="1131"/>
      <c r="AG1974" s="1131"/>
      <c r="AH1974" s="1131"/>
      <c r="AI1974" s="1131"/>
      <c r="AJ1974" s="1133"/>
      <c r="AK1974" s="1134"/>
      <c r="AL1974" s="1131"/>
      <c r="AM1974" s="1131"/>
      <c r="AN1974" s="1131"/>
      <c r="AO1974" s="1131"/>
      <c r="AP1974" s="1131"/>
      <c r="AQ1974" s="1131"/>
      <c r="AR1974" s="1131"/>
      <c r="AS1974" s="1133"/>
      <c r="AT1974" s="1197" t="str">
        <f t="shared" si="428"/>
        <v/>
      </c>
      <c r="AU1974" s="1194"/>
      <c r="AV1974" s="662">
        <f>SQRT(($R1974-Infrastructure!J$3)^2+($S1974-Infrastructure!K$3)^2)</f>
        <v>25.40944706</v>
      </c>
      <c r="AW1974" s="641">
        <f>SQRT(($R1974-Infrastructure!J$4)^2+($S1974-Infrastructure!K$4)^2)</f>
        <v>31.75862088</v>
      </c>
      <c r="AX1974" s="641">
        <f>SQRT(($R1974-Infrastructure!J$5)^2+($S1974-Infrastructure!K$5)^2)</f>
        <v>41.54708173</v>
      </c>
      <c r="AY1974" s="641">
        <f>SQRT(($R1974-Infrastructure!J$6)^2+($S1974-Infrastructure!K$6)^2)</f>
        <v>41.36568626</v>
      </c>
      <c r="AZ1974" s="641">
        <f>SQRT(($R1974-Infrastructure!J$7)^2+($S1974-Infrastructure!K$7)^2)</f>
        <v>39.46137352</v>
      </c>
      <c r="BA1974" s="641">
        <f>SQRT(($R1974-Infrastructure!J$8)^2+($S1974-Infrastructure!K$8)^2)</f>
        <v>40.08890121</v>
      </c>
      <c r="BB1974" s="641">
        <f>SQRT(($R1974-Infrastructure!J$9)^2+($S1974-Infrastructure!K$9)^2)</f>
        <v>38.68397601</v>
      </c>
      <c r="BC1974" s="641">
        <f>SQRT(($R1974-Infrastructure!J$10)^2+($S1974-Infrastructure!K$10)^2)</f>
        <v>30.15592811</v>
      </c>
      <c r="BD1974" s="641">
        <f>SQRT(($R1974-Infrastructure!J$11)^2+($S1974-Infrastructure!K$11)^2)</f>
        <v>20.51194774</v>
      </c>
      <c r="BE1974" s="642">
        <f>SQRT(($R1974-Infrastructure!J$12)^2+($S1974-Infrastructure!K$12)^2)</f>
        <v>15.84550409</v>
      </c>
      <c r="BF1974" s="662">
        <f t="shared" si="161"/>
        <v>15.84550409</v>
      </c>
      <c r="BG1974" s="642">
        <f t="shared" si="162"/>
        <v>41.54708173</v>
      </c>
      <c r="BH1974" s="1135"/>
      <c r="BI1974" s="663" t="str">
        <f t="shared" ref="BI1974:BR1974" si="799">IF(ISNUMBER(FIND(BI$3, $CO1974)), "Y", "")</f>
        <v>Y</v>
      </c>
      <c r="BJ1974" s="663" t="str">
        <f t="shared" si="799"/>
        <v/>
      </c>
      <c r="BK1974" s="663" t="str">
        <f t="shared" si="799"/>
        <v/>
      </c>
      <c r="BL1974" s="663" t="str">
        <f t="shared" si="799"/>
        <v>Y</v>
      </c>
      <c r="BM1974" s="663" t="str">
        <f t="shared" si="799"/>
        <v>Y</v>
      </c>
      <c r="BN1974" s="663" t="str">
        <f t="shared" si="799"/>
        <v/>
      </c>
      <c r="BO1974" s="663" t="str">
        <f t="shared" si="799"/>
        <v/>
      </c>
      <c r="BP1974" s="663" t="str">
        <f t="shared" si="799"/>
        <v/>
      </c>
      <c r="BQ1974" s="663" t="str">
        <f t="shared" si="799"/>
        <v>Y</v>
      </c>
      <c r="BR1974" s="663" t="str">
        <f t="shared" si="799"/>
        <v>Y</v>
      </c>
      <c r="BS1974" s="662">
        <f t="shared" si="185"/>
        <v>15.84550409</v>
      </c>
      <c r="BT1974" s="641">
        <f t="shared" si="170"/>
        <v>41.36568626</v>
      </c>
      <c r="BU1974" s="937">
        <v>0.6886805555555555</v>
      </c>
      <c r="BV1974" s="930">
        <f t="shared" si="186"/>
        <v>0.0006597222222</v>
      </c>
      <c r="BW1974" s="939">
        <v>16.5</v>
      </c>
      <c r="BX1974" s="939">
        <v>35.8</v>
      </c>
      <c r="BY1974" s="641">
        <f t="shared" si="201"/>
        <v>7.324616031</v>
      </c>
      <c r="BZ1974" s="641"/>
      <c r="CA1974" s="635" t="str">
        <f t="shared" ref="CA1974:CJ1974" si="800">IF(ISNUMBER(FIND(BI$3, $CP1974)), "Y", "")</f>
        <v/>
      </c>
      <c r="CB1974" s="663" t="str">
        <f t="shared" si="800"/>
        <v/>
      </c>
      <c r="CC1974" s="663" t="str">
        <f t="shared" si="800"/>
        <v/>
      </c>
      <c r="CD1974" s="663" t="str">
        <f t="shared" si="800"/>
        <v/>
      </c>
      <c r="CE1974" s="663" t="str">
        <f t="shared" si="800"/>
        <v/>
      </c>
      <c r="CF1974" s="663" t="str">
        <f t="shared" si="800"/>
        <v/>
      </c>
      <c r="CG1974" s="663" t="str">
        <f t="shared" si="800"/>
        <v/>
      </c>
      <c r="CH1974" s="663" t="str">
        <f t="shared" si="800"/>
        <v/>
      </c>
      <c r="CI1974" s="663" t="str">
        <f t="shared" si="800"/>
        <v/>
      </c>
      <c r="CJ1974" s="663" t="str">
        <f t="shared" si="800"/>
        <v/>
      </c>
      <c r="CK1974" s="743">
        <f t="shared" si="182"/>
        <v>0</v>
      </c>
      <c r="CL1974" s="642">
        <f t="shared" si="183"/>
        <v>0</v>
      </c>
      <c r="CM1974" s="1090"/>
      <c r="CN1974" s="1036" t="s">
        <v>2931</v>
      </c>
      <c r="CO1974" s="1036" t="s">
        <v>2633</v>
      </c>
      <c r="CP1974" s="1036"/>
    </row>
    <row r="1975">
      <c r="A1975" s="1257" t="s">
        <v>116</v>
      </c>
      <c r="B1975" s="1113" t="s">
        <v>2902</v>
      </c>
      <c r="C1975" s="1107">
        <v>45548.0</v>
      </c>
      <c r="D1975" s="1113" t="s">
        <v>986</v>
      </c>
      <c r="E1975" s="1108">
        <v>2.0</v>
      </c>
      <c r="F1975" s="112" t="s">
        <v>2946</v>
      </c>
      <c r="G1975" s="1110">
        <v>0.40902777777777777</v>
      </c>
      <c r="H1975" s="1110">
        <v>0.409375</v>
      </c>
      <c r="I1975" s="1110"/>
      <c r="J1975" s="1111"/>
      <c r="K1975" s="1111">
        <v>0.4409722222222222</v>
      </c>
      <c r="L1975" s="1112">
        <v>0.03125</v>
      </c>
      <c r="M1975" s="1113" t="s">
        <v>166</v>
      </c>
      <c r="N1975" s="110" t="s">
        <v>187</v>
      </c>
      <c r="O1975" s="1115" t="s">
        <v>203</v>
      </c>
      <c r="P1975" s="1115" t="s">
        <v>227</v>
      </c>
      <c r="Q1975" s="1116"/>
      <c r="R1975" s="120">
        <v>15.5</v>
      </c>
      <c r="S1975" s="1113">
        <v>3.4</v>
      </c>
      <c r="T1975" s="110">
        <v>1.4</v>
      </c>
      <c r="U1975" s="1108"/>
      <c r="V1975" s="1108"/>
      <c r="W1975" s="1108"/>
      <c r="X1975" s="1108"/>
      <c r="Y1975" s="1108"/>
      <c r="Z1975" s="1114" t="s">
        <v>357</v>
      </c>
      <c r="AA1975" s="1114"/>
      <c r="AB1975" s="1114" t="s">
        <v>384</v>
      </c>
      <c r="AC1975" s="1117">
        <v>6.0</v>
      </c>
      <c r="AD1975" s="1115"/>
      <c r="AE1975" s="1115"/>
      <c r="AF1975" s="1115"/>
      <c r="AG1975" s="1115"/>
      <c r="AH1975" s="1115"/>
      <c r="AI1975" s="1115"/>
      <c r="AJ1975" s="1117"/>
      <c r="AK1975" s="1118"/>
      <c r="AL1975" s="1115"/>
      <c r="AM1975" s="1115"/>
      <c r="AN1975" s="1115"/>
      <c r="AO1975" s="1115"/>
      <c r="AP1975" s="1115"/>
      <c r="AQ1975" s="1115"/>
      <c r="AR1975" s="1115"/>
      <c r="AS1975" s="1117"/>
      <c r="AT1975" s="1196" t="str">
        <f t="shared" si="428"/>
        <v/>
      </c>
      <c r="AU1975" s="1193"/>
      <c r="AV1975" s="330">
        <f>SQRT(($R1975-Infrastructure!J$3)^2+($S1975-Infrastructure!K$3)^2)</f>
        <v>29.99816661</v>
      </c>
      <c r="AW1975" s="331">
        <f>SQRT(($R1975-Infrastructure!J$4)^2+($S1975-Infrastructure!K$4)^2)</f>
        <v>21.37755833</v>
      </c>
      <c r="AX1975" s="331">
        <f>SQRT(($R1975-Infrastructure!J$5)^2+($S1975-Infrastructure!K$5)^2)</f>
        <v>15.89119253</v>
      </c>
      <c r="AY1975" s="331">
        <f>SQRT(($R1975-Infrastructure!J$6)^2+($S1975-Infrastructure!K$6)^2)</f>
        <v>6.22655603</v>
      </c>
      <c r="AZ1975" s="331">
        <f>SQRT(($R1975-Infrastructure!J$7)^2+($S1975-Infrastructure!K$7)^2)</f>
        <v>5.883026432</v>
      </c>
      <c r="BA1975" s="331">
        <f>SQRT(($R1975-Infrastructure!J$8)^2+($S1975-Infrastructure!K$8)^2)</f>
        <v>14.92548157</v>
      </c>
      <c r="BB1975" s="331">
        <f>SQRT(($R1975-Infrastructure!J$9)^2+($S1975-Infrastructure!K$9)^2)</f>
        <v>24.55890877</v>
      </c>
      <c r="BC1975" s="331">
        <f>SQRT(($R1975-Infrastructure!J$10)^2+($S1975-Infrastructure!K$10)^2)</f>
        <v>27.10737907</v>
      </c>
      <c r="BD1975" s="331">
        <f>SQRT(($R1975-Infrastructure!J$11)^2+($S1975-Infrastructure!K$11)^2)</f>
        <v>35.57316404</v>
      </c>
      <c r="BE1975" s="333">
        <f>SQRT(($R1975-Infrastructure!J$12)^2+($S1975-Infrastructure!K$12)^2)</f>
        <v>52.44435146</v>
      </c>
      <c r="BF1975" s="330">
        <f t="shared" si="161"/>
        <v>5.883026432</v>
      </c>
      <c r="BG1975" s="333">
        <f t="shared" si="162"/>
        <v>52.44435146</v>
      </c>
      <c r="BH1975" s="1119"/>
      <c r="BI1975" s="319" t="str">
        <f t="shared" ref="BI1975:BR1975" si="801">IF(ISNUMBER(FIND(BI$3, $CO1975)), "Y", "")</f>
        <v/>
      </c>
      <c r="BJ1975" s="319" t="str">
        <f t="shared" si="801"/>
        <v/>
      </c>
      <c r="BK1975" s="319" t="str">
        <f t="shared" si="801"/>
        <v>Y</v>
      </c>
      <c r="BL1975" s="319" t="str">
        <f t="shared" si="801"/>
        <v>Y</v>
      </c>
      <c r="BM1975" s="319" t="str">
        <f t="shared" si="801"/>
        <v>Y</v>
      </c>
      <c r="BN1975" s="319" t="str">
        <f t="shared" si="801"/>
        <v>Y</v>
      </c>
      <c r="BO1975" s="319" t="str">
        <f t="shared" si="801"/>
        <v/>
      </c>
      <c r="BP1975" s="319" t="str">
        <f t="shared" si="801"/>
        <v/>
      </c>
      <c r="BQ1975" s="319" t="str">
        <f t="shared" si="801"/>
        <v/>
      </c>
      <c r="BR1975" s="319" t="str">
        <f t="shared" si="801"/>
        <v/>
      </c>
      <c r="BS1975" s="330">
        <f t="shared" si="185"/>
        <v>5.883026432</v>
      </c>
      <c r="BT1975" s="331">
        <f t="shared" si="170"/>
        <v>15.89119253</v>
      </c>
      <c r="BU1975" s="920">
        <v>0.41011574074074075</v>
      </c>
      <c r="BV1975" s="903">
        <f t="shared" si="186"/>
        <v>0.001087962963</v>
      </c>
      <c r="BW1975" s="908">
        <v>14.4</v>
      </c>
      <c r="BX1975" s="908">
        <v>21.5</v>
      </c>
      <c r="BY1975" s="331">
        <f t="shared" si="201"/>
        <v>18.13339461</v>
      </c>
      <c r="BZ1975" s="331"/>
      <c r="CA1975" s="462" t="str">
        <f t="shared" ref="CA1975:CJ1975" si="802">IF(ISNUMBER(FIND(BI$3, $CP1975)), "Y", "")</f>
        <v/>
      </c>
      <c r="CB1975" s="319" t="str">
        <f t="shared" si="802"/>
        <v/>
      </c>
      <c r="CC1975" s="319" t="str">
        <f t="shared" si="802"/>
        <v/>
      </c>
      <c r="CD1975" s="319" t="str">
        <f t="shared" si="802"/>
        <v/>
      </c>
      <c r="CE1975" s="319" t="str">
        <f t="shared" si="802"/>
        <v/>
      </c>
      <c r="CF1975" s="319" t="str">
        <f t="shared" si="802"/>
        <v/>
      </c>
      <c r="CG1975" s="319" t="str">
        <f t="shared" si="802"/>
        <v/>
      </c>
      <c r="CH1975" s="319" t="str">
        <f t="shared" si="802"/>
        <v/>
      </c>
      <c r="CI1975" s="319" t="str">
        <f t="shared" si="802"/>
        <v/>
      </c>
      <c r="CJ1975" s="319" t="str">
        <f t="shared" si="802"/>
        <v/>
      </c>
      <c r="CK1975" s="342">
        <f t="shared" si="182"/>
        <v>0</v>
      </c>
      <c r="CL1975" s="333">
        <f t="shared" si="183"/>
        <v>0</v>
      </c>
      <c r="CM1975" s="1079"/>
      <c r="CN1975" s="1005" t="s">
        <v>2947</v>
      </c>
      <c r="CO1975" s="1005" t="s">
        <v>2621</v>
      </c>
      <c r="CP1975" s="1005"/>
    </row>
    <row r="1976">
      <c r="A1976" s="266"/>
      <c r="B1976" s="1113" t="s">
        <v>2902</v>
      </c>
      <c r="C1976" s="1107">
        <v>45548.0</v>
      </c>
      <c r="D1976" s="1113" t="s">
        <v>986</v>
      </c>
      <c r="E1976" s="1108">
        <v>3.0</v>
      </c>
      <c r="F1976" s="112" t="s">
        <v>2948</v>
      </c>
      <c r="G1976" s="1110">
        <v>0.4479166666666667</v>
      </c>
      <c r="H1976" s="1110">
        <v>0.4482638888888889</v>
      </c>
      <c r="I1976" s="1110"/>
      <c r="J1976" s="1111"/>
      <c r="K1976" s="1111">
        <v>0.4799189814814815</v>
      </c>
      <c r="L1976" s="1112">
        <v>0.03125</v>
      </c>
      <c r="M1976" s="1113" t="s">
        <v>166</v>
      </c>
      <c r="N1976" s="110" t="s">
        <v>187</v>
      </c>
      <c r="O1976" s="1115" t="s">
        <v>199</v>
      </c>
      <c r="P1976" s="1115" t="s">
        <v>272</v>
      </c>
      <c r="Q1976" s="1116"/>
      <c r="R1976" s="120">
        <v>16.1</v>
      </c>
      <c r="S1976" s="1113">
        <v>9.6</v>
      </c>
      <c r="T1976" s="110">
        <v>0.0</v>
      </c>
      <c r="U1976" s="1108"/>
      <c r="V1976" s="1108"/>
      <c r="W1976" s="1108"/>
      <c r="X1976" s="1108"/>
      <c r="Y1976" s="1108"/>
      <c r="Z1976" s="1114" t="s">
        <v>351</v>
      </c>
      <c r="AA1976" s="1114"/>
      <c r="AB1976" s="1114" t="s">
        <v>384</v>
      </c>
      <c r="AC1976" s="1117">
        <v>6.0</v>
      </c>
      <c r="AD1976" s="1115"/>
      <c r="AE1976" s="1115"/>
      <c r="AF1976" s="1115"/>
      <c r="AG1976" s="1115"/>
      <c r="AH1976" s="1115"/>
      <c r="AI1976" s="1115"/>
      <c r="AJ1976" s="1117"/>
      <c r="AK1976" s="1118"/>
      <c r="AL1976" s="1115"/>
      <c r="AM1976" s="1115"/>
      <c r="AN1976" s="1115"/>
      <c r="AO1976" s="1115"/>
      <c r="AP1976" s="1115"/>
      <c r="AQ1976" s="1115"/>
      <c r="AR1976" s="1115"/>
      <c r="AS1976" s="1117"/>
      <c r="AT1976" s="1196" t="str">
        <f t="shared" si="428"/>
        <v/>
      </c>
      <c r="AU1976" s="1193"/>
      <c r="AV1976" s="330">
        <f>SQRT(($R1976-Infrastructure!J$3)^2+($S1976-Infrastructure!K$3)^2)</f>
        <v>25.32686321</v>
      </c>
      <c r="AW1976" s="331">
        <f>SQRT(($R1976-Infrastructure!J$4)^2+($S1976-Infrastructure!K$4)^2)</f>
        <v>18.33575742</v>
      </c>
      <c r="AX1976" s="331">
        <f>SQRT(($R1976-Infrastructure!J$5)^2+($S1976-Infrastructure!K$5)^2)</f>
        <v>17.00617535</v>
      </c>
      <c r="AY1976" s="331">
        <f>SQRT(($R1976-Infrastructure!J$6)^2+($S1976-Infrastructure!K$6)^2)</f>
        <v>11.06752005</v>
      </c>
      <c r="AZ1976" s="331">
        <f>SQRT(($R1976-Infrastructure!J$7)^2+($S1976-Infrastructure!K$7)^2)</f>
        <v>10.28834292</v>
      </c>
      <c r="BA1976" s="331">
        <f>SQRT(($R1976-Infrastructure!J$8)^2+($S1976-Infrastructure!K$8)^2)</f>
        <v>16.80743883</v>
      </c>
      <c r="BB1976" s="331">
        <f>SQRT(($R1976-Infrastructure!J$9)^2+($S1976-Infrastructure!K$9)^2)</f>
        <v>24.31995066</v>
      </c>
      <c r="BC1976" s="331">
        <f>SQRT(($R1976-Infrastructure!J$10)^2+($S1976-Infrastructure!K$10)^2)</f>
        <v>24.50244886</v>
      </c>
      <c r="BD1976" s="331">
        <f>SQRT(($R1976-Infrastructure!J$11)^2+($S1976-Infrastructure!K$11)^2)</f>
        <v>30.93816413</v>
      </c>
      <c r="BE1976" s="333">
        <f>SQRT(($R1976-Infrastructure!J$12)^2+($S1976-Infrastructure!K$12)^2)</f>
        <v>46.21655548</v>
      </c>
      <c r="BF1976" s="330">
        <f t="shared" si="161"/>
        <v>10.28834292</v>
      </c>
      <c r="BG1976" s="333">
        <f t="shared" si="162"/>
        <v>46.21655548</v>
      </c>
      <c r="BH1976" s="1119"/>
      <c r="BI1976" s="319" t="str">
        <f t="shared" ref="BI1976:BR1976" si="803">IF(ISNUMBER(FIND(BI$3, $CO1976)), "Y", "")</f>
        <v/>
      </c>
      <c r="BJ1976" s="319" t="str">
        <f t="shared" si="803"/>
        <v/>
      </c>
      <c r="BK1976" s="319" t="str">
        <f t="shared" si="803"/>
        <v/>
      </c>
      <c r="BL1976" s="319" t="str">
        <f t="shared" si="803"/>
        <v/>
      </c>
      <c r="BM1976" s="319" t="str">
        <f t="shared" si="803"/>
        <v/>
      </c>
      <c r="BN1976" s="319" t="str">
        <f t="shared" si="803"/>
        <v/>
      </c>
      <c r="BO1976" s="319" t="str">
        <f t="shared" si="803"/>
        <v/>
      </c>
      <c r="BP1976" s="319" t="str">
        <f t="shared" si="803"/>
        <v/>
      </c>
      <c r="BQ1976" s="319" t="str">
        <f t="shared" si="803"/>
        <v/>
      </c>
      <c r="BR1976" s="319" t="str">
        <f t="shared" si="803"/>
        <v/>
      </c>
      <c r="BS1976" s="330">
        <f t="shared" si="185"/>
        <v>0</v>
      </c>
      <c r="BT1976" s="331">
        <f t="shared" si="170"/>
        <v>0</v>
      </c>
      <c r="BU1976" s="920"/>
      <c r="BV1976" s="903" t="str">
        <f t="shared" si="186"/>
        <v/>
      </c>
      <c r="BW1976" s="908"/>
      <c r="BX1976" s="908"/>
      <c r="BY1976" s="331" t="b">
        <f t="shared" si="201"/>
        <v>0</v>
      </c>
      <c r="BZ1976" s="331"/>
      <c r="CA1976" s="462" t="str">
        <f t="shared" ref="CA1976:CJ1976" si="804">IF(ISNUMBER(FIND(BI$3, $CP1976)), "Y", "")</f>
        <v/>
      </c>
      <c r="CB1976" s="319" t="str">
        <f t="shared" si="804"/>
        <v/>
      </c>
      <c r="CC1976" s="319" t="str">
        <f t="shared" si="804"/>
        <v/>
      </c>
      <c r="CD1976" s="319" t="str">
        <f t="shared" si="804"/>
        <v/>
      </c>
      <c r="CE1976" s="319" t="str">
        <f t="shared" si="804"/>
        <v/>
      </c>
      <c r="CF1976" s="319" t="str">
        <f t="shared" si="804"/>
        <v/>
      </c>
      <c r="CG1976" s="319" t="str">
        <f t="shared" si="804"/>
        <v/>
      </c>
      <c r="CH1976" s="319" t="str">
        <f t="shared" si="804"/>
        <v/>
      </c>
      <c r="CI1976" s="319" t="str">
        <f t="shared" si="804"/>
        <v/>
      </c>
      <c r="CJ1976" s="319" t="str">
        <f t="shared" si="804"/>
        <v/>
      </c>
      <c r="CK1976" s="342">
        <f t="shared" si="182"/>
        <v>0</v>
      </c>
      <c r="CL1976" s="333">
        <f t="shared" si="183"/>
        <v>0</v>
      </c>
      <c r="CM1976" s="1079"/>
      <c r="CN1976" s="1005" t="s">
        <v>2947</v>
      </c>
      <c r="CO1976" s="1005"/>
      <c r="CP1976" s="1005"/>
    </row>
    <row r="1977">
      <c r="A1977" s="266"/>
      <c r="B1977" s="1113" t="s">
        <v>2902</v>
      </c>
      <c r="C1977" s="1107">
        <v>45548.0</v>
      </c>
      <c r="D1977" s="1113" t="s">
        <v>986</v>
      </c>
      <c r="E1977" s="1108">
        <v>4.0</v>
      </c>
      <c r="F1977" s="112" t="s">
        <v>2949</v>
      </c>
      <c r="G1977" s="1110">
        <v>0.4895833333333333</v>
      </c>
      <c r="H1977" s="1110">
        <v>0.4913194444444444</v>
      </c>
      <c r="I1977" s="1110"/>
      <c r="J1977" s="1111"/>
      <c r="K1977" s="1111">
        <v>0.5229166666666667</v>
      </c>
      <c r="L1977" s="1112">
        <v>0.03125</v>
      </c>
      <c r="M1977" s="1113" t="s">
        <v>166</v>
      </c>
      <c r="N1977" s="110" t="s">
        <v>188</v>
      </c>
      <c r="O1977" s="1115" t="s">
        <v>196</v>
      </c>
      <c r="P1977" s="1115" t="s">
        <v>224</v>
      </c>
      <c r="Q1977" s="1115" t="s">
        <v>842</v>
      </c>
      <c r="R1977" s="120">
        <v>21.7</v>
      </c>
      <c r="S1977" s="1113">
        <v>39.5</v>
      </c>
      <c r="T1977" s="110">
        <v>1.3</v>
      </c>
      <c r="U1977" s="1108"/>
      <c r="V1977" s="1108"/>
      <c r="W1977" s="1108"/>
      <c r="X1977" s="1108"/>
      <c r="Y1977" s="1108"/>
      <c r="Z1977" s="1114" t="s">
        <v>387</v>
      </c>
      <c r="AA1977" s="1114"/>
      <c r="AB1977" s="1114" t="s">
        <v>419</v>
      </c>
      <c r="AC1977" s="1117">
        <v>77.9</v>
      </c>
      <c r="AD1977" s="1115"/>
      <c r="AE1977" s="1115"/>
      <c r="AF1977" s="1115"/>
      <c r="AG1977" s="1115"/>
      <c r="AH1977" s="1115"/>
      <c r="AI1977" s="1115"/>
      <c r="AJ1977" s="1117"/>
      <c r="AK1977" s="1118"/>
      <c r="AL1977" s="1115"/>
      <c r="AM1977" s="1115"/>
      <c r="AN1977" s="1115"/>
      <c r="AO1977" s="1115"/>
      <c r="AP1977" s="1115"/>
      <c r="AQ1977" s="1115"/>
      <c r="AR1977" s="1115"/>
      <c r="AS1977" s="1117"/>
      <c r="AT1977" s="1196" t="str">
        <f t="shared" si="428"/>
        <v/>
      </c>
      <c r="AU1977" s="1193"/>
      <c r="AV1977" s="330">
        <f>SQRT(($R1977-Infrastructure!J$3)^2+($S1977-Infrastructure!K$3)^2)</f>
        <v>24.42048321</v>
      </c>
      <c r="AW1977" s="331">
        <f>SQRT(($R1977-Infrastructure!J$4)^2+($S1977-Infrastructure!K$4)^2)</f>
        <v>30.90129447</v>
      </c>
      <c r="AX1977" s="331">
        <f>SQRT(($R1977-Infrastructure!J$5)^2+($S1977-Infrastructure!K$5)^2)</f>
        <v>40.83331973</v>
      </c>
      <c r="AY1977" s="331">
        <f>SQRT(($R1977-Infrastructure!J$6)^2+($S1977-Infrastructure!K$6)^2)</f>
        <v>40.88031311</v>
      </c>
      <c r="AZ1977" s="331">
        <f>SQRT(($R1977-Infrastructure!J$7)^2+($S1977-Infrastructure!K$7)^2)</f>
        <v>39.21836305</v>
      </c>
      <c r="BA1977" s="331">
        <f>SQRT(($R1977-Infrastructure!J$8)^2+($S1977-Infrastructure!K$8)^2)</f>
        <v>40.08989898</v>
      </c>
      <c r="BB1977" s="331">
        <f>SQRT(($R1977-Infrastructure!J$9)^2+($S1977-Infrastructure!K$9)^2)</f>
        <v>38.96472764</v>
      </c>
      <c r="BC1977" s="331">
        <f>SQRT(($R1977-Infrastructure!J$10)^2+($S1977-Infrastructure!K$10)^2)</f>
        <v>30.58005886</v>
      </c>
      <c r="BD1977" s="331">
        <f>SQRT(($R1977-Infrastructure!J$11)^2+($S1977-Infrastructure!K$11)^2)</f>
        <v>21.27204739</v>
      </c>
      <c r="BE1977" s="333">
        <f>SQRT(($R1977-Infrastructure!J$12)^2+($S1977-Infrastructure!K$12)^2)</f>
        <v>16.00124995</v>
      </c>
      <c r="BF1977" s="330">
        <f t="shared" si="161"/>
        <v>16.00124995</v>
      </c>
      <c r="BG1977" s="333">
        <f t="shared" si="162"/>
        <v>40.88031311</v>
      </c>
      <c r="BH1977" s="1119"/>
      <c r="BI1977" s="319" t="str">
        <f t="shared" ref="BI1977:BR1977" si="805">IF(ISNUMBER(FIND(BI$3, $CO1977)), "Y", "")</f>
        <v>Y</v>
      </c>
      <c r="BJ1977" s="319" t="str">
        <f t="shared" si="805"/>
        <v>Y</v>
      </c>
      <c r="BK1977" s="319" t="str">
        <f t="shared" si="805"/>
        <v>Y</v>
      </c>
      <c r="BL1977" s="319" t="str">
        <f t="shared" si="805"/>
        <v>Y</v>
      </c>
      <c r="BM1977" s="319" t="str">
        <f t="shared" si="805"/>
        <v>Y</v>
      </c>
      <c r="BN1977" s="319" t="str">
        <f t="shared" si="805"/>
        <v>Y</v>
      </c>
      <c r="BO1977" s="319" t="str">
        <f t="shared" si="805"/>
        <v>Y</v>
      </c>
      <c r="BP1977" s="319" t="str">
        <f t="shared" si="805"/>
        <v/>
      </c>
      <c r="BQ1977" s="319" t="str">
        <f t="shared" si="805"/>
        <v>Y</v>
      </c>
      <c r="BR1977" s="319" t="str">
        <f t="shared" si="805"/>
        <v>Y</v>
      </c>
      <c r="BS1977" s="330">
        <f t="shared" si="185"/>
        <v>16.00124995</v>
      </c>
      <c r="BT1977" s="331">
        <f t="shared" si="170"/>
        <v>40.88031311</v>
      </c>
      <c r="BU1977" s="920">
        <v>0.49019675925925926</v>
      </c>
      <c r="BV1977" s="903">
        <f t="shared" si="186"/>
        <v>0.0006134259259</v>
      </c>
      <c r="BW1977" s="908">
        <v>12.6</v>
      </c>
      <c r="BX1977" s="908">
        <v>39.3</v>
      </c>
      <c r="BY1977" s="331">
        <f t="shared" si="201"/>
        <v>9.102197537</v>
      </c>
      <c r="BZ1977" s="331"/>
      <c r="CA1977" s="462" t="str">
        <f t="shared" ref="CA1977:CJ1977" si="806">IF(ISNUMBER(FIND(BI$3, $CP1977)), "Y", "")</f>
        <v/>
      </c>
      <c r="CB1977" s="319" t="str">
        <f t="shared" si="806"/>
        <v/>
      </c>
      <c r="CC1977" s="319" t="str">
        <f t="shared" si="806"/>
        <v/>
      </c>
      <c r="CD1977" s="319" t="str">
        <f t="shared" si="806"/>
        <v/>
      </c>
      <c r="CE1977" s="319" t="str">
        <f t="shared" si="806"/>
        <v/>
      </c>
      <c r="CF1977" s="319" t="str">
        <f t="shared" si="806"/>
        <v/>
      </c>
      <c r="CG1977" s="319" t="str">
        <f t="shared" si="806"/>
        <v/>
      </c>
      <c r="CH1977" s="319" t="str">
        <f t="shared" si="806"/>
        <v/>
      </c>
      <c r="CI1977" s="319" t="str">
        <f t="shared" si="806"/>
        <v/>
      </c>
      <c r="CJ1977" s="319" t="str">
        <f t="shared" si="806"/>
        <v/>
      </c>
      <c r="CK1977" s="342">
        <f t="shared" si="182"/>
        <v>0</v>
      </c>
      <c r="CL1977" s="333">
        <f t="shared" si="183"/>
        <v>0</v>
      </c>
      <c r="CM1977" s="1079"/>
      <c r="CN1977" s="1005" t="s">
        <v>2947</v>
      </c>
      <c r="CO1977" s="1005" t="s">
        <v>2400</v>
      </c>
      <c r="CP1977" s="1005"/>
    </row>
    <row r="1978">
      <c r="A1978" s="266"/>
      <c r="B1978" s="1113" t="s">
        <v>2902</v>
      </c>
      <c r="C1978" s="1107">
        <v>45548.0</v>
      </c>
      <c r="D1978" s="1113" t="s">
        <v>986</v>
      </c>
      <c r="E1978" s="1108" t="s">
        <v>1217</v>
      </c>
      <c r="F1978" s="112" t="s">
        <v>2950</v>
      </c>
      <c r="G1978" s="1110"/>
      <c r="H1978" s="1138"/>
      <c r="I1978" s="1138"/>
      <c r="J1978" s="1139"/>
      <c r="K1978" s="1111"/>
      <c r="L1978" s="1112">
        <v>0.0</v>
      </c>
      <c r="M1978" s="1113" t="s">
        <v>166</v>
      </c>
      <c r="N1978" s="110" t="s">
        <v>188</v>
      </c>
      <c r="O1978" s="1115" t="s">
        <v>378</v>
      </c>
      <c r="P1978" s="1115" t="s">
        <v>225</v>
      </c>
      <c r="Q1978" s="1115" t="s">
        <v>842</v>
      </c>
      <c r="R1978" s="120">
        <v>22.7</v>
      </c>
      <c r="S1978" s="1113">
        <v>39.7</v>
      </c>
      <c r="T1978" s="110">
        <v>1.1</v>
      </c>
      <c r="U1978" s="1108"/>
      <c r="V1978" s="1108"/>
      <c r="W1978" s="1108"/>
      <c r="X1978" s="1108"/>
      <c r="Y1978" s="1108"/>
      <c r="Z1978" s="1114" t="s">
        <v>1140</v>
      </c>
      <c r="AA1978" s="1114"/>
      <c r="AB1978" s="1114" t="s">
        <v>407</v>
      </c>
      <c r="AC1978" s="1117">
        <v>15.75</v>
      </c>
      <c r="AD1978" s="1115"/>
      <c r="AE1978" s="1115"/>
      <c r="AF1978" s="1115"/>
      <c r="AG1978" s="1115"/>
      <c r="AH1978" s="1115"/>
      <c r="AI1978" s="1115"/>
      <c r="AJ1978" s="1117"/>
      <c r="AK1978" s="1118"/>
      <c r="AL1978" s="1115"/>
      <c r="AM1978" s="1115"/>
      <c r="AN1978" s="1115"/>
      <c r="AO1978" s="1115"/>
      <c r="AP1978" s="1115"/>
      <c r="AQ1978" s="1115"/>
      <c r="AR1978" s="1115"/>
      <c r="AS1978" s="1117"/>
      <c r="AT1978" s="1196" t="str">
        <f t="shared" si="428"/>
        <v/>
      </c>
      <c r="AU1978" s="1193"/>
      <c r="AV1978" s="330">
        <f>SQRT(($R1978-Infrastructure!J$3)^2+($S1978-Infrastructure!K$3)^2)</f>
        <v>25.40944706</v>
      </c>
      <c r="AW1978" s="331">
        <f>SQRT(($R1978-Infrastructure!J$4)^2+($S1978-Infrastructure!K$4)^2)</f>
        <v>31.75862088</v>
      </c>
      <c r="AX1978" s="331">
        <f>SQRT(($R1978-Infrastructure!J$5)^2+($S1978-Infrastructure!K$5)^2)</f>
        <v>41.54708173</v>
      </c>
      <c r="AY1978" s="331">
        <f>SQRT(($R1978-Infrastructure!J$6)^2+($S1978-Infrastructure!K$6)^2)</f>
        <v>41.36568626</v>
      </c>
      <c r="AZ1978" s="331">
        <f>SQRT(($R1978-Infrastructure!J$7)^2+($S1978-Infrastructure!K$7)^2)</f>
        <v>39.46137352</v>
      </c>
      <c r="BA1978" s="331">
        <f>SQRT(($R1978-Infrastructure!J$8)^2+($S1978-Infrastructure!K$8)^2)</f>
        <v>40.08890121</v>
      </c>
      <c r="BB1978" s="331">
        <f>SQRT(($R1978-Infrastructure!J$9)^2+($S1978-Infrastructure!K$9)^2)</f>
        <v>38.68397601</v>
      </c>
      <c r="BC1978" s="331">
        <f>SQRT(($R1978-Infrastructure!J$10)^2+($S1978-Infrastructure!K$10)^2)</f>
        <v>30.15592811</v>
      </c>
      <c r="BD1978" s="331">
        <f>SQRT(($R1978-Infrastructure!J$11)^2+($S1978-Infrastructure!K$11)^2)</f>
        <v>20.51194774</v>
      </c>
      <c r="BE1978" s="333">
        <f>SQRT(($R1978-Infrastructure!J$12)^2+($S1978-Infrastructure!K$12)^2)</f>
        <v>15.84550409</v>
      </c>
      <c r="BF1978" s="330">
        <f t="shared" si="161"/>
        <v>15.84550409</v>
      </c>
      <c r="BG1978" s="333">
        <f t="shared" si="162"/>
        <v>41.54708173</v>
      </c>
      <c r="BH1978" s="1119"/>
      <c r="BI1978" s="319" t="str">
        <f t="shared" ref="BI1978:BR1978" si="807">IF(ISNUMBER(FIND(BI$3, $CO1978)), "Y", "")</f>
        <v/>
      </c>
      <c r="BJ1978" s="319" t="str">
        <f t="shared" si="807"/>
        <v/>
      </c>
      <c r="BK1978" s="319" t="str">
        <f t="shared" si="807"/>
        <v/>
      </c>
      <c r="BL1978" s="319" t="str">
        <f t="shared" si="807"/>
        <v/>
      </c>
      <c r="BM1978" s="319" t="str">
        <f t="shared" si="807"/>
        <v/>
      </c>
      <c r="BN1978" s="319" t="str">
        <f t="shared" si="807"/>
        <v/>
      </c>
      <c r="BO1978" s="319" t="str">
        <f t="shared" si="807"/>
        <v/>
      </c>
      <c r="BP1978" s="319" t="str">
        <f t="shared" si="807"/>
        <v/>
      </c>
      <c r="BQ1978" s="319" t="str">
        <f t="shared" si="807"/>
        <v/>
      </c>
      <c r="BR1978" s="319" t="str">
        <f t="shared" si="807"/>
        <v/>
      </c>
      <c r="BS1978" s="330">
        <f t="shared" si="185"/>
        <v>0</v>
      </c>
      <c r="BT1978" s="331">
        <f t="shared" si="170"/>
        <v>0</v>
      </c>
      <c r="BU1978" s="920"/>
      <c r="BV1978" s="903" t="str">
        <f t="shared" si="186"/>
        <v/>
      </c>
      <c r="BW1978" s="908"/>
      <c r="BX1978" s="908"/>
      <c r="BY1978" s="331" t="b">
        <f t="shared" si="201"/>
        <v>0</v>
      </c>
      <c r="BZ1978" s="331"/>
      <c r="CA1978" s="462" t="str">
        <f t="shared" ref="CA1978:CJ1978" si="808">IF(ISNUMBER(FIND(BI$3, $CP1978)), "Y", "")</f>
        <v/>
      </c>
      <c r="CB1978" s="319" t="str">
        <f t="shared" si="808"/>
        <v/>
      </c>
      <c r="CC1978" s="319" t="str">
        <f t="shared" si="808"/>
        <v/>
      </c>
      <c r="CD1978" s="319" t="str">
        <f t="shared" si="808"/>
        <v/>
      </c>
      <c r="CE1978" s="319" t="str">
        <f t="shared" si="808"/>
        <v/>
      </c>
      <c r="CF1978" s="319" t="str">
        <f t="shared" si="808"/>
        <v/>
      </c>
      <c r="CG1978" s="319" t="str">
        <f t="shared" si="808"/>
        <v/>
      </c>
      <c r="CH1978" s="319" t="str">
        <f t="shared" si="808"/>
        <v/>
      </c>
      <c r="CI1978" s="319" t="str">
        <f t="shared" si="808"/>
        <v/>
      </c>
      <c r="CJ1978" s="319" t="str">
        <f t="shared" si="808"/>
        <v/>
      </c>
      <c r="CK1978" s="342">
        <f t="shared" si="182"/>
        <v>0</v>
      </c>
      <c r="CL1978" s="333">
        <f t="shared" si="183"/>
        <v>0</v>
      </c>
      <c r="CM1978" s="1079"/>
      <c r="CN1978" s="1005" t="s">
        <v>2947</v>
      </c>
      <c r="CO1978" s="1005"/>
      <c r="CP1978" s="1005"/>
    </row>
    <row r="1979">
      <c r="A1979" s="266"/>
      <c r="B1979" s="1113" t="s">
        <v>2902</v>
      </c>
      <c r="C1979" s="1107">
        <v>45548.0</v>
      </c>
      <c r="D1979" s="1113" t="s">
        <v>986</v>
      </c>
      <c r="E1979" s="1108">
        <v>5.0</v>
      </c>
      <c r="F1979" s="112" t="s">
        <v>2951</v>
      </c>
      <c r="G1979" s="1110">
        <v>0.53125</v>
      </c>
      <c r="H1979" s="1110">
        <v>0.5319444444444444</v>
      </c>
      <c r="I1979" s="1110"/>
      <c r="J1979" s="1111"/>
      <c r="K1979" s="1111">
        <v>0.5652777777777778</v>
      </c>
      <c r="L1979" s="1112">
        <v>0.03333333333333333</v>
      </c>
      <c r="M1979" s="1113" t="s">
        <v>166</v>
      </c>
      <c r="N1979" s="110" t="s">
        <v>187</v>
      </c>
      <c r="O1979" s="1115" t="s">
        <v>197</v>
      </c>
      <c r="P1979" s="1115" t="s">
        <v>272</v>
      </c>
      <c r="Q1979" s="1115" t="s">
        <v>842</v>
      </c>
      <c r="R1979" s="120">
        <v>37.1</v>
      </c>
      <c r="S1979" s="1113">
        <v>6.9</v>
      </c>
      <c r="T1979" s="110">
        <v>6.5</v>
      </c>
      <c r="U1979" s="1108"/>
      <c r="V1979" s="1108"/>
      <c r="W1979" s="1108"/>
      <c r="X1979" s="1108"/>
      <c r="Y1979" s="1108"/>
      <c r="Z1979" s="1114" t="s">
        <v>379</v>
      </c>
      <c r="AA1979" s="1114"/>
      <c r="AB1979" s="1114" t="s">
        <v>392</v>
      </c>
      <c r="AC1979" s="1117">
        <v>10.0</v>
      </c>
      <c r="AD1979" s="1115"/>
      <c r="AE1979" s="1115"/>
      <c r="AF1979" s="1115"/>
      <c r="AG1979" s="1115"/>
      <c r="AH1979" s="1115"/>
      <c r="AI1979" s="1115"/>
      <c r="AJ1979" s="1117"/>
      <c r="AK1979" s="1118"/>
      <c r="AL1979" s="1115"/>
      <c r="AM1979" s="1115"/>
      <c r="AN1979" s="1115"/>
      <c r="AO1979" s="1115"/>
      <c r="AP1979" s="1115"/>
      <c r="AQ1979" s="1115"/>
      <c r="AR1979" s="1115"/>
      <c r="AS1979" s="1117"/>
      <c r="AT1979" s="1196" t="str">
        <f t="shared" si="428"/>
        <v/>
      </c>
      <c r="AU1979" s="1193"/>
      <c r="AV1979" s="330">
        <f>SQRT(($R1979-Infrastructure!J$3)^2+($S1979-Infrastructure!K$3)^2)</f>
        <v>43.39078243</v>
      </c>
      <c r="AW1979" s="331">
        <f>SQRT(($R1979-Infrastructure!J$4)^2+($S1979-Infrastructure!K$4)^2)</f>
        <v>38.95600082</v>
      </c>
      <c r="AX1979" s="331">
        <f>SQRT(($R1979-Infrastructure!J$5)^2+($S1979-Infrastructure!K$5)^2)</f>
        <v>37.44329045</v>
      </c>
      <c r="AY1979" s="331">
        <f>SQRT(($R1979-Infrastructure!J$6)^2+($S1979-Infrastructure!K$6)^2)</f>
        <v>27.79496357</v>
      </c>
      <c r="AZ1979" s="331">
        <f>SQRT(($R1979-Infrastructure!J$7)^2+($S1979-Infrastructure!K$7)^2)</f>
        <v>17.86393014</v>
      </c>
      <c r="BA1979" s="331">
        <f>SQRT(($R1979-Infrastructure!J$8)^2+($S1979-Infrastructure!K$8)^2)</f>
        <v>9.620810777</v>
      </c>
      <c r="BB1979" s="331">
        <f>SQRT(($R1979-Infrastructure!J$9)^2+($S1979-Infrastructure!K$9)^2)</f>
        <v>3.413209633</v>
      </c>
      <c r="BC1979" s="331">
        <f>SQRT(($R1979-Infrastructure!J$10)^2+($S1979-Infrastructure!K$10)^2)</f>
        <v>8.603487665</v>
      </c>
      <c r="BD1979" s="331">
        <f>SQRT(($R1979-Infrastructure!J$11)^2+($S1979-Infrastructure!K$11)^2)</f>
        <v>22.31636171</v>
      </c>
      <c r="BE1979" s="333">
        <f>SQRT(($R1979-Infrastructure!J$12)^2+($S1979-Infrastructure!K$12)^2)</f>
        <v>51.04233537</v>
      </c>
      <c r="BF1979" s="330">
        <f t="shared" si="161"/>
        <v>3.413209633</v>
      </c>
      <c r="BG1979" s="333">
        <f t="shared" si="162"/>
        <v>51.04233537</v>
      </c>
      <c r="BH1979" s="1119"/>
      <c r="BI1979" s="319" t="str">
        <f t="shared" ref="BI1979:BR1979" si="809">IF(ISNUMBER(FIND(BI$3, $CO1979)), "Y", "")</f>
        <v/>
      </c>
      <c r="BJ1979" s="319" t="str">
        <f t="shared" si="809"/>
        <v/>
      </c>
      <c r="BK1979" s="319" t="str">
        <f t="shared" si="809"/>
        <v/>
      </c>
      <c r="BL1979" s="319" t="str">
        <f t="shared" si="809"/>
        <v/>
      </c>
      <c r="BM1979" s="319" t="str">
        <f t="shared" si="809"/>
        <v>Y</v>
      </c>
      <c r="BN1979" s="319" t="str">
        <f t="shared" si="809"/>
        <v>Y</v>
      </c>
      <c r="BO1979" s="319" t="str">
        <f t="shared" si="809"/>
        <v>Y</v>
      </c>
      <c r="BP1979" s="319" t="str">
        <f t="shared" si="809"/>
        <v/>
      </c>
      <c r="BQ1979" s="319" t="str">
        <f t="shared" si="809"/>
        <v/>
      </c>
      <c r="BR1979" s="319" t="str">
        <f t="shared" si="809"/>
        <v>Y</v>
      </c>
      <c r="BS1979" s="330">
        <f t="shared" si="185"/>
        <v>3.413209633</v>
      </c>
      <c r="BT1979" s="331">
        <f t="shared" si="170"/>
        <v>51.04233537</v>
      </c>
      <c r="BU1979" s="920">
        <v>0.5355208333333333</v>
      </c>
      <c r="BV1979" s="903">
        <f t="shared" si="186"/>
        <v>0.004270833333</v>
      </c>
      <c r="BW1979" s="908">
        <v>28.9</v>
      </c>
      <c r="BX1979" s="908">
        <v>17.7</v>
      </c>
      <c r="BY1979" s="331">
        <f t="shared" si="201"/>
        <v>13.56023599</v>
      </c>
      <c r="BZ1979" s="331"/>
      <c r="CA1979" s="462" t="str">
        <f t="shared" ref="CA1979:CJ1979" si="810">IF(ISNUMBER(FIND(BI$3, $CP1979)), "Y", "")</f>
        <v/>
      </c>
      <c r="CB1979" s="319" t="str">
        <f t="shared" si="810"/>
        <v/>
      </c>
      <c r="CC1979" s="319" t="str">
        <f t="shared" si="810"/>
        <v/>
      </c>
      <c r="CD1979" s="319" t="str">
        <f t="shared" si="810"/>
        <v/>
      </c>
      <c r="CE1979" s="319" t="str">
        <f t="shared" si="810"/>
        <v/>
      </c>
      <c r="CF1979" s="319" t="str">
        <f t="shared" si="810"/>
        <v/>
      </c>
      <c r="CG1979" s="319" t="str">
        <f t="shared" si="810"/>
        <v/>
      </c>
      <c r="CH1979" s="319" t="str">
        <f t="shared" si="810"/>
        <v/>
      </c>
      <c r="CI1979" s="319" t="str">
        <f t="shared" si="810"/>
        <v/>
      </c>
      <c r="CJ1979" s="319" t="str">
        <f t="shared" si="810"/>
        <v/>
      </c>
      <c r="CK1979" s="342">
        <f t="shared" si="182"/>
        <v>0</v>
      </c>
      <c r="CL1979" s="333">
        <f t="shared" si="183"/>
        <v>0</v>
      </c>
      <c r="CM1979" s="1079"/>
      <c r="CN1979" s="1005" t="s">
        <v>2952</v>
      </c>
      <c r="CO1979" s="1005" t="s">
        <v>2571</v>
      </c>
      <c r="CP1979" s="1005"/>
    </row>
    <row r="1980">
      <c r="A1980" s="266"/>
      <c r="B1980" s="1113" t="s">
        <v>2902</v>
      </c>
      <c r="C1980" s="1107">
        <v>45548.0</v>
      </c>
      <c r="D1980" s="1113" t="s">
        <v>986</v>
      </c>
      <c r="E1980" s="1108">
        <v>6.0</v>
      </c>
      <c r="F1980" s="112" t="s">
        <v>2953</v>
      </c>
      <c r="G1980" s="1110"/>
      <c r="H1980" s="1138"/>
      <c r="I1980" s="1138"/>
      <c r="J1980" s="1139"/>
      <c r="K1980" s="1111"/>
      <c r="L1980" s="1112">
        <v>0.0</v>
      </c>
      <c r="M1980" s="1113" t="s">
        <v>166</v>
      </c>
      <c r="N1980" s="110" t="s">
        <v>188</v>
      </c>
      <c r="O1980" s="1115" t="s">
        <v>378</v>
      </c>
      <c r="P1980" s="1115" t="s">
        <v>225</v>
      </c>
      <c r="Q1980" s="1115" t="s">
        <v>842</v>
      </c>
      <c r="R1980" s="120">
        <v>22.7</v>
      </c>
      <c r="S1980" s="1113">
        <v>39.7</v>
      </c>
      <c r="T1980" s="110">
        <v>1.1</v>
      </c>
      <c r="U1980" s="1108"/>
      <c r="V1980" s="1108"/>
      <c r="W1980" s="1108"/>
      <c r="X1980" s="1108"/>
      <c r="Y1980" s="1108"/>
      <c r="Z1980" s="1114" t="s">
        <v>1140</v>
      </c>
      <c r="AA1980" s="1114"/>
      <c r="AB1980" s="1114" t="s">
        <v>410</v>
      </c>
      <c r="AC1980" s="1117">
        <v>22.1</v>
      </c>
      <c r="AD1980" s="1115"/>
      <c r="AE1980" s="1115"/>
      <c r="AF1980" s="1115"/>
      <c r="AG1980" s="1115"/>
      <c r="AH1980" s="1115"/>
      <c r="AI1980" s="1115"/>
      <c r="AJ1980" s="1117"/>
      <c r="AK1980" s="1118"/>
      <c r="AL1980" s="1115"/>
      <c r="AM1980" s="1115"/>
      <c r="AN1980" s="1115"/>
      <c r="AO1980" s="1115"/>
      <c r="AP1980" s="1115"/>
      <c r="AQ1980" s="1115"/>
      <c r="AR1980" s="1115"/>
      <c r="AS1980" s="1117"/>
      <c r="AT1980" s="1196" t="str">
        <f t="shared" si="428"/>
        <v/>
      </c>
      <c r="AU1980" s="1193"/>
      <c r="AV1980" s="330">
        <f>SQRT(($R1980-Infrastructure!J$3)^2+($S1980-Infrastructure!K$3)^2)</f>
        <v>25.40944706</v>
      </c>
      <c r="AW1980" s="331">
        <f>SQRT(($R1980-Infrastructure!J$4)^2+($S1980-Infrastructure!K$4)^2)</f>
        <v>31.75862088</v>
      </c>
      <c r="AX1980" s="331">
        <f>SQRT(($R1980-Infrastructure!J$5)^2+($S1980-Infrastructure!K$5)^2)</f>
        <v>41.54708173</v>
      </c>
      <c r="AY1980" s="331">
        <f>SQRT(($R1980-Infrastructure!J$6)^2+($S1980-Infrastructure!K$6)^2)</f>
        <v>41.36568626</v>
      </c>
      <c r="AZ1980" s="331">
        <f>SQRT(($R1980-Infrastructure!J$7)^2+($S1980-Infrastructure!K$7)^2)</f>
        <v>39.46137352</v>
      </c>
      <c r="BA1980" s="331">
        <f>SQRT(($R1980-Infrastructure!J$8)^2+($S1980-Infrastructure!K$8)^2)</f>
        <v>40.08890121</v>
      </c>
      <c r="BB1980" s="331">
        <f>SQRT(($R1980-Infrastructure!J$9)^2+($S1980-Infrastructure!K$9)^2)</f>
        <v>38.68397601</v>
      </c>
      <c r="BC1980" s="331">
        <f>SQRT(($R1980-Infrastructure!J$10)^2+($S1980-Infrastructure!K$10)^2)</f>
        <v>30.15592811</v>
      </c>
      <c r="BD1980" s="331">
        <f>SQRT(($R1980-Infrastructure!J$11)^2+($S1980-Infrastructure!K$11)^2)</f>
        <v>20.51194774</v>
      </c>
      <c r="BE1980" s="333">
        <f>SQRT(($R1980-Infrastructure!J$12)^2+($S1980-Infrastructure!K$12)^2)</f>
        <v>15.84550409</v>
      </c>
      <c r="BF1980" s="330">
        <f t="shared" si="161"/>
        <v>15.84550409</v>
      </c>
      <c r="BG1980" s="333">
        <f t="shared" si="162"/>
        <v>41.54708173</v>
      </c>
      <c r="BH1980" s="1119"/>
      <c r="BI1980" s="319" t="str">
        <f t="shared" ref="BI1980:BR1980" si="811">IF(ISNUMBER(FIND(BI$3, $CO1980)), "Y", "")</f>
        <v/>
      </c>
      <c r="BJ1980" s="319" t="str">
        <f t="shared" si="811"/>
        <v/>
      </c>
      <c r="BK1980" s="319" t="str">
        <f t="shared" si="811"/>
        <v/>
      </c>
      <c r="BL1980" s="319" t="str">
        <f t="shared" si="811"/>
        <v/>
      </c>
      <c r="BM1980" s="319" t="str">
        <f t="shared" si="811"/>
        <v/>
      </c>
      <c r="BN1980" s="319" t="str">
        <f t="shared" si="811"/>
        <v/>
      </c>
      <c r="BO1980" s="319" t="str">
        <f t="shared" si="811"/>
        <v/>
      </c>
      <c r="BP1980" s="319" t="str">
        <f t="shared" si="811"/>
        <v/>
      </c>
      <c r="BQ1980" s="319" t="str">
        <f t="shared" si="811"/>
        <v/>
      </c>
      <c r="BR1980" s="319" t="str">
        <f t="shared" si="811"/>
        <v/>
      </c>
      <c r="BS1980" s="330">
        <f t="shared" si="185"/>
        <v>0</v>
      </c>
      <c r="BT1980" s="331">
        <f t="shared" si="170"/>
        <v>0</v>
      </c>
      <c r="BU1980" s="920"/>
      <c r="BV1980" s="903" t="str">
        <f t="shared" si="186"/>
        <v/>
      </c>
      <c r="BW1980" s="908"/>
      <c r="BX1980" s="908"/>
      <c r="BY1980" s="331" t="b">
        <f t="shared" si="201"/>
        <v>0</v>
      </c>
      <c r="BZ1980" s="331"/>
      <c r="CA1980" s="462" t="str">
        <f t="shared" ref="CA1980:CJ1980" si="812">IF(ISNUMBER(FIND(BI$3, $CP1980)), "Y", "")</f>
        <v/>
      </c>
      <c r="CB1980" s="319" t="str">
        <f t="shared" si="812"/>
        <v/>
      </c>
      <c r="CC1980" s="319" t="str">
        <f t="shared" si="812"/>
        <v/>
      </c>
      <c r="CD1980" s="319" t="str">
        <f t="shared" si="812"/>
        <v/>
      </c>
      <c r="CE1980" s="319" t="str">
        <f t="shared" si="812"/>
        <v/>
      </c>
      <c r="CF1980" s="319" t="str">
        <f t="shared" si="812"/>
        <v/>
      </c>
      <c r="CG1980" s="319" t="str">
        <f t="shared" si="812"/>
        <v/>
      </c>
      <c r="CH1980" s="319" t="str">
        <f t="shared" si="812"/>
        <v/>
      </c>
      <c r="CI1980" s="319" t="str">
        <f t="shared" si="812"/>
        <v/>
      </c>
      <c r="CJ1980" s="319" t="str">
        <f t="shared" si="812"/>
        <v/>
      </c>
      <c r="CK1980" s="342">
        <f t="shared" si="182"/>
        <v>0</v>
      </c>
      <c r="CL1980" s="333">
        <f t="shared" si="183"/>
        <v>0</v>
      </c>
      <c r="CM1980" s="1079"/>
      <c r="CN1980" s="1005" t="s">
        <v>2952</v>
      </c>
      <c r="CO1980" s="1005"/>
      <c r="CP1980" s="1005"/>
    </row>
    <row r="1981">
      <c r="A1981" s="266"/>
      <c r="B1981" s="1113" t="s">
        <v>2902</v>
      </c>
      <c r="C1981" s="1107">
        <v>45548.0</v>
      </c>
      <c r="D1981" s="1113" t="s">
        <v>986</v>
      </c>
      <c r="E1981" s="1108">
        <v>7.0</v>
      </c>
      <c r="F1981" s="112" t="s">
        <v>2954</v>
      </c>
      <c r="G1981" s="1110"/>
      <c r="H1981" s="1138"/>
      <c r="I1981" s="1138"/>
      <c r="J1981" s="1139"/>
      <c r="K1981" s="1111"/>
      <c r="L1981" s="1112">
        <v>0.0</v>
      </c>
      <c r="M1981" s="1113" t="s">
        <v>166</v>
      </c>
      <c r="N1981" s="110" t="s">
        <v>188</v>
      </c>
      <c r="O1981" s="1115" t="s">
        <v>378</v>
      </c>
      <c r="P1981" s="1115" t="s">
        <v>225</v>
      </c>
      <c r="Q1981" s="1115" t="s">
        <v>842</v>
      </c>
      <c r="R1981" s="120">
        <v>22.7</v>
      </c>
      <c r="S1981" s="1113">
        <v>39.7</v>
      </c>
      <c r="T1981" s="110">
        <v>1.1</v>
      </c>
      <c r="U1981" s="1108"/>
      <c r="V1981" s="1108"/>
      <c r="W1981" s="1108"/>
      <c r="X1981" s="1108"/>
      <c r="Y1981" s="1108"/>
      <c r="Z1981" s="1114" t="s">
        <v>1140</v>
      </c>
      <c r="AA1981" s="1114"/>
      <c r="AB1981" s="1114" t="s">
        <v>410</v>
      </c>
      <c r="AC1981" s="1117">
        <v>22.1</v>
      </c>
      <c r="AD1981" s="1115"/>
      <c r="AE1981" s="1115"/>
      <c r="AF1981" s="1115"/>
      <c r="AG1981" s="1115"/>
      <c r="AH1981" s="1115"/>
      <c r="AI1981" s="1115"/>
      <c r="AJ1981" s="1117"/>
      <c r="AK1981" s="1118"/>
      <c r="AL1981" s="1115"/>
      <c r="AM1981" s="1115"/>
      <c r="AN1981" s="1115"/>
      <c r="AO1981" s="1115"/>
      <c r="AP1981" s="1115"/>
      <c r="AQ1981" s="1115"/>
      <c r="AR1981" s="1115"/>
      <c r="AS1981" s="1117"/>
      <c r="AT1981" s="1196" t="str">
        <f t="shared" si="428"/>
        <v/>
      </c>
      <c r="AU1981" s="1193"/>
      <c r="AV1981" s="330">
        <f>SQRT(($R1981-Infrastructure!J$3)^2+($S1981-Infrastructure!K$3)^2)</f>
        <v>25.40944706</v>
      </c>
      <c r="AW1981" s="331">
        <f>SQRT(($R1981-Infrastructure!J$4)^2+($S1981-Infrastructure!K$4)^2)</f>
        <v>31.75862088</v>
      </c>
      <c r="AX1981" s="331">
        <f>SQRT(($R1981-Infrastructure!J$5)^2+($S1981-Infrastructure!K$5)^2)</f>
        <v>41.54708173</v>
      </c>
      <c r="AY1981" s="331">
        <f>SQRT(($R1981-Infrastructure!J$6)^2+($S1981-Infrastructure!K$6)^2)</f>
        <v>41.36568626</v>
      </c>
      <c r="AZ1981" s="331">
        <f>SQRT(($R1981-Infrastructure!J$7)^2+($S1981-Infrastructure!K$7)^2)</f>
        <v>39.46137352</v>
      </c>
      <c r="BA1981" s="331">
        <f>SQRT(($R1981-Infrastructure!J$8)^2+($S1981-Infrastructure!K$8)^2)</f>
        <v>40.08890121</v>
      </c>
      <c r="BB1981" s="331">
        <f>SQRT(($R1981-Infrastructure!J$9)^2+($S1981-Infrastructure!K$9)^2)</f>
        <v>38.68397601</v>
      </c>
      <c r="BC1981" s="331">
        <f>SQRT(($R1981-Infrastructure!J$10)^2+($S1981-Infrastructure!K$10)^2)</f>
        <v>30.15592811</v>
      </c>
      <c r="BD1981" s="331">
        <f>SQRT(($R1981-Infrastructure!J$11)^2+($S1981-Infrastructure!K$11)^2)</f>
        <v>20.51194774</v>
      </c>
      <c r="BE1981" s="333">
        <f>SQRT(($R1981-Infrastructure!J$12)^2+($S1981-Infrastructure!K$12)^2)</f>
        <v>15.84550409</v>
      </c>
      <c r="BF1981" s="330">
        <f t="shared" si="161"/>
        <v>15.84550409</v>
      </c>
      <c r="BG1981" s="333">
        <f t="shared" si="162"/>
        <v>41.54708173</v>
      </c>
      <c r="BH1981" s="1119"/>
      <c r="BI1981" s="319" t="str">
        <f t="shared" ref="BI1981:BR1981" si="813">IF(ISNUMBER(FIND(BI$3, $CO1981)), "Y", "")</f>
        <v/>
      </c>
      <c r="BJ1981" s="319" t="str">
        <f t="shared" si="813"/>
        <v/>
      </c>
      <c r="BK1981" s="319" t="str">
        <f t="shared" si="813"/>
        <v/>
      </c>
      <c r="BL1981" s="319" t="str">
        <f t="shared" si="813"/>
        <v/>
      </c>
      <c r="BM1981" s="319" t="str">
        <f t="shared" si="813"/>
        <v/>
      </c>
      <c r="BN1981" s="319" t="str">
        <f t="shared" si="813"/>
        <v/>
      </c>
      <c r="BO1981" s="319" t="str">
        <f t="shared" si="813"/>
        <v/>
      </c>
      <c r="BP1981" s="319" t="str">
        <f t="shared" si="813"/>
        <v/>
      </c>
      <c r="BQ1981" s="319" t="str">
        <f t="shared" si="813"/>
        <v/>
      </c>
      <c r="BR1981" s="319" t="str">
        <f t="shared" si="813"/>
        <v/>
      </c>
      <c r="BS1981" s="330">
        <f t="shared" si="185"/>
        <v>0</v>
      </c>
      <c r="BT1981" s="331">
        <f t="shared" si="170"/>
        <v>0</v>
      </c>
      <c r="BU1981" s="920"/>
      <c r="BV1981" s="903" t="str">
        <f t="shared" si="186"/>
        <v/>
      </c>
      <c r="BW1981" s="908"/>
      <c r="BX1981" s="908"/>
      <c r="BY1981" s="331" t="b">
        <f t="shared" si="201"/>
        <v>0</v>
      </c>
      <c r="BZ1981" s="331"/>
      <c r="CA1981" s="462" t="str">
        <f t="shared" ref="CA1981:CJ1981" si="814">IF(ISNUMBER(FIND(BI$3, $CP1981)), "Y", "")</f>
        <v/>
      </c>
      <c r="CB1981" s="319" t="str">
        <f t="shared" si="814"/>
        <v/>
      </c>
      <c r="CC1981" s="319" t="str">
        <f t="shared" si="814"/>
        <v/>
      </c>
      <c r="CD1981" s="319" t="str">
        <f t="shared" si="814"/>
        <v/>
      </c>
      <c r="CE1981" s="319" t="str">
        <f t="shared" si="814"/>
        <v/>
      </c>
      <c r="CF1981" s="319" t="str">
        <f t="shared" si="814"/>
        <v/>
      </c>
      <c r="CG1981" s="319" t="str">
        <f t="shared" si="814"/>
        <v/>
      </c>
      <c r="CH1981" s="319" t="str">
        <f t="shared" si="814"/>
        <v/>
      </c>
      <c r="CI1981" s="319" t="str">
        <f t="shared" si="814"/>
        <v/>
      </c>
      <c r="CJ1981" s="319" t="str">
        <f t="shared" si="814"/>
        <v/>
      </c>
      <c r="CK1981" s="342">
        <f t="shared" si="182"/>
        <v>0</v>
      </c>
      <c r="CL1981" s="333">
        <f t="shared" si="183"/>
        <v>0</v>
      </c>
      <c r="CM1981" s="1079"/>
      <c r="CN1981" s="1005" t="s">
        <v>2952</v>
      </c>
      <c r="CO1981" s="1005"/>
      <c r="CP1981" s="1005"/>
    </row>
    <row r="1982">
      <c r="A1982" s="1258"/>
      <c r="B1982" s="1129" t="s">
        <v>2902</v>
      </c>
      <c r="C1982" s="1122">
        <v>45548.0</v>
      </c>
      <c r="D1982" s="1129" t="s">
        <v>986</v>
      </c>
      <c r="E1982" s="1124">
        <v>8.0</v>
      </c>
      <c r="F1982" s="108" t="s">
        <v>2955</v>
      </c>
      <c r="G1982" s="1126"/>
      <c r="H1982" s="1145"/>
      <c r="I1982" s="1145"/>
      <c r="J1982" s="1146"/>
      <c r="K1982" s="1127"/>
      <c r="L1982" s="1128">
        <v>0.0</v>
      </c>
      <c r="M1982" s="1129" t="s">
        <v>166</v>
      </c>
      <c r="N1982" s="100" t="s">
        <v>187</v>
      </c>
      <c r="O1982" s="1131" t="s">
        <v>198</v>
      </c>
      <c r="P1982" s="1131" t="s">
        <v>218</v>
      </c>
      <c r="Q1982" s="1132"/>
      <c r="R1982" s="137">
        <v>10.3</v>
      </c>
      <c r="S1982" s="1129">
        <v>8.1</v>
      </c>
      <c r="T1982" s="100">
        <v>3.0</v>
      </c>
      <c r="U1982" s="1124"/>
      <c r="V1982" s="1124"/>
      <c r="W1982" s="1124"/>
      <c r="X1982" s="1124"/>
      <c r="Y1982" s="1124"/>
      <c r="Z1982" s="1130" t="s">
        <v>1690</v>
      </c>
      <c r="AA1982" s="1130"/>
      <c r="AB1982" s="1130" t="s">
        <v>375</v>
      </c>
      <c r="AC1982" s="1133">
        <v>2.7</v>
      </c>
      <c r="AD1982" s="1131"/>
      <c r="AE1982" s="1131"/>
      <c r="AF1982" s="1131"/>
      <c r="AG1982" s="1131"/>
      <c r="AH1982" s="1131"/>
      <c r="AI1982" s="1131"/>
      <c r="AJ1982" s="1133"/>
      <c r="AK1982" s="1134"/>
      <c r="AL1982" s="1131"/>
      <c r="AM1982" s="1131"/>
      <c r="AN1982" s="1131"/>
      <c r="AO1982" s="1131"/>
      <c r="AP1982" s="1131"/>
      <c r="AQ1982" s="1131"/>
      <c r="AR1982" s="1131"/>
      <c r="AS1982" s="1133"/>
      <c r="AT1982" s="1197" t="str">
        <f t="shared" si="428"/>
        <v/>
      </c>
      <c r="AU1982" s="1194"/>
      <c r="AV1982" s="662">
        <f>SQRT(($R1982-Infrastructure!J$3)^2+($S1982-Infrastructure!K$3)^2)</f>
        <v>23.34523506</v>
      </c>
      <c r="AW1982" s="641">
        <f>SQRT(($R1982-Infrastructure!J$4)^2+($S1982-Infrastructure!K$4)^2)</f>
        <v>14.36836804</v>
      </c>
      <c r="AX1982" s="641">
        <f>SQRT(($R1982-Infrastructure!J$5)^2+($S1982-Infrastructure!K$5)^2)</f>
        <v>11.01635148</v>
      </c>
      <c r="AY1982" s="641">
        <f>SQRT(($R1982-Infrastructure!J$6)^2+($S1982-Infrastructure!K$6)^2)</f>
        <v>7.802563681</v>
      </c>
      <c r="AZ1982" s="641">
        <f>SQRT(($R1982-Infrastructure!J$7)^2+($S1982-Infrastructure!K$7)^2)</f>
        <v>12.84056074</v>
      </c>
      <c r="BA1982" s="641">
        <f>SQRT(($R1982-Infrastructure!J$8)^2+($S1982-Infrastructure!K$8)^2)</f>
        <v>21.28097742</v>
      </c>
      <c r="BB1982" s="641">
        <f>SQRT(($R1982-Infrastructure!J$9)^2+($S1982-Infrastructure!K$9)^2)</f>
        <v>29.85113063</v>
      </c>
      <c r="BC1982" s="641">
        <f>SQRT(($R1982-Infrastructure!J$10)^2+($S1982-Infrastructure!K$10)^2)</f>
        <v>30.49098227</v>
      </c>
      <c r="BD1982" s="641">
        <f>SQRT(($R1982-Infrastructure!J$11)^2+($S1982-Infrastructure!K$11)^2)</f>
        <v>36.4804057</v>
      </c>
      <c r="BE1982" s="642">
        <f>SQRT(($R1982-Infrastructure!J$12)^2+($S1982-Infrastructure!K$12)^2)</f>
        <v>48.70523586</v>
      </c>
      <c r="BF1982" s="662">
        <f t="shared" si="161"/>
        <v>7.802563681</v>
      </c>
      <c r="BG1982" s="642">
        <f t="shared" si="162"/>
        <v>48.70523586</v>
      </c>
      <c r="BH1982" s="1135"/>
      <c r="BI1982" s="663" t="str">
        <f t="shared" ref="BI1982:BR1982" si="815">IF(ISNUMBER(FIND(BI$3, $CO1982)), "Y", "")</f>
        <v/>
      </c>
      <c r="BJ1982" s="663" t="str">
        <f t="shared" si="815"/>
        <v/>
      </c>
      <c r="BK1982" s="663" t="str">
        <f t="shared" si="815"/>
        <v/>
      </c>
      <c r="BL1982" s="663" t="str">
        <f t="shared" si="815"/>
        <v/>
      </c>
      <c r="BM1982" s="663" t="str">
        <f t="shared" si="815"/>
        <v/>
      </c>
      <c r="BN1982" s="663" t="str">
        <f t="shared" si="815"/>
        <v/>
      </c>
      <c r="BO1982" s="663" t="str">
        <f t="shared" si="815"/>
        <v/>
      </c>
      <c r="BP1982" s="663" t="str">
        <f t="shared" si="815"/>
        <v/>
      </c>
      <c r="BQ1982" s="663" t="str">
        <f t="shared" si="815"/>
        <v/>
      </c>
      <c r="BR1982" s="663" t="str">
        <f t="shared" si="815"/>
        <v/>
      </c>
      <c r="BS1982" s="662">
        <f t="shared" si="185"/>
        <v>0</v>
      </c>
      <c r="BT1982" s="641">
        <f t="shared" si="170"/>
        <v>0</v>
      </c>
      <c r="BU1982" s="937"/>
      <c r="BV1982" s="930" t="str">
        <f t="shared" si="186"/>
        <v/>
      </c>
      <c r="BW1982" s="939"/>
      <c r="BX1982" s="939"/>
      <c r="BY1982" s="641" t="b">
        <f t="shared" si="201"/>
        <v>0</v>
      </c>
      <c r="BZ1982" s="641"/>
      <c r="CA1982" s="635" t="str">
        <f t="shared" ref="CA1982:CJ1982" si="816">IF(ISNUMBER(FIND(BI$3, $CP1982)), "Y", "")</f>
        <v/>
      </c>
      <c r="CB1982" s="663" t="str">
        <f t="shared" si="816"/>
        <v/>
      </c>
      <c r="CC1982" s="663" t="str">
        <f t="shared" si="816"/>
        <v/>
      </c>
      <c r="CD1982" s="663" t="str">
        <f t="shared" si="816"/>
        <v/>
      </c>
      <c r="CE1982" s="663" t="str">
        <f t="shared" si="816"/>
        <v/>
      </c>
      <c r="CF1982" s="663" t="str">
        <f t="shared" si="816"/>
        <v/>
      </c>
      <c r="CG1982" s="663" t="str">
        <f t="shared" si="816"/>
        <v/>
      </c>
      <c r="CH1982" s="663" t="str">
        <f t="shared" si="816"/>
        <v/>
      </c>
      <c r="CI1982" s="663" t="str">
        <f t="shared" si="816"/>
        <v/>
      </c>
      <c r="CJ1982" s="663" t="str">
        <f t="shared" si="816"/>
        <v/>
      </c>
      <c r="CK1982" s="743">
        <f t="shared" si="182"/>
        <v>0</v>
      </c>
      <c r="CL1982" s="642">
        <f t="shared" si="183"/>
        <v>0</v>
      </c>
      <c r="CM1982" s="1090"/>
      <c r="CN1982" s="1036" t="s">
        <v>2952</v>
      </c>
      <c r="CO1982" s="1036"/>
      <c r="CP1982" s="1036"/>
    </row>
    <row r="1983">
      <c r="A1983" s="1257" t="s">
        <v>117</v>
      </c>
      <c r="B1983" s="1113" t="s">
        <v>1711</v>
      </c>
      <c r="C1983" s="1107">
        <v>45551.0</v>
      </c>
      <c r="D1983" s="1113" t="s">
        <v>986</v>
      </c>
      <c r="E1983" s="1108">
        <v>1.0</v>
      </c>
      <c r="F1983" s="112" t="s">
        <v>2956</v>
      </c>
      <c r="G1983" s="1110">
        <v>0.4583333333333333</v>
      </c>
      <c r="H1983" s="1110">
        <v>0.45902777777777776</v>
      </c>
      <c r="I1983" s="1110"/>
      <c r="J1983" s="1111"/>
      <c r="K1983" s="1111">
        <v>0.49039351851851853</v>
      </c>
      <c r="L1983" s="1112">
        <v>0.03125</v>
      </c>
      <c r="M1983" s="1113" t="s">
        <v>166</v>
      </c>
      <c r="N1983" s="110" t="s">
        <v>187</v>
      </c>
      <c r="O1983" s="1115" t="s">
        <v>202</v>
      </c>
      <c r="P1983" s="1115" t="s">
        <v>256</v>
      </c>
      <c r="Q1983" s="1116"/>
      <c r="R1983" s="120">
        <v>24.4</v>
      </c>
      <c r="S1983" s="1113">
        <v>7.5</v>
      </c>
      <c r="T1983" s="110">
        <v>0.6</v>
      </c>
      <c r="U1983" s="1108"/>
      <c r="V1983" s="1108"/>
      <c r="W1983" s="1108"/>
      <c r="X1983" s="1108"/>
      <c r="Y1983" s="1108"/>
      <c r="Z1983" s="1114" t="s">
        <v>335</v>
      </c>
      <c r="AA1983" s="1114"/>
      <c r="AB1983" s="1114" t="s">
        <v>341</v>
      </c>
      <c r="AC1983" s="1117">
        <v>3.0</v>
      </c>
      <c r="AD1983" s="1115"/>
      <c r="AE1983" s="1115"/>
      <c r="AF1983" s="1115"/>
      <c r="AG1983" s="1115"/>
      <c r="AH1983" s="1115"/>
      <c r="AI1983" s="1115"/>
      <c r="AJ1983" s="1117"/>
      <c r="AK1983" s="1118"/>
      <c r="AL1983" s="1115"/>
      <c r="AM1983" s="1115"/>
      <c r="AN1983" s="1115"/>
      <c r="AO1983" s="1115"/>
      <c r="AP1983" s="1115"/>
      <c r="AQ1983" s="1115"/>
      <c r="AR1983" s="1115"/>
      <c r="AS1983" s="1117"/>
      <c r="AT1983" s="1196" t="str">
        <f t="shared" si="428"/>
        <v/>
      </c>
      <c r="AU1983" s="1193"/>
      <c r="AV1983" s="330">
        <f>SQRT(($R1983-Infrastructure!J$3)^2+($S1983-Infrastructure!K$3)^2)</f>
        <v>32.68103426</v>
      </c>
      <c r="AW1983" s="331">
        <f>SQRT(($R1983-Infrastructure!J$4)^2+($S1983-Infrastructure!K$4)^2)</f>
        <v>26.76153957</v>
      </c>
      <c r="AX1983" s="331">
        <f>SQRT(($R1983-Infrastructure!J$5)^2+($S1983-Infrastructure!K$5)^2)</f>
        <v>24.81632527</v>
      </c>
      <c r="AY1983" s="331">
        <f>SQRT(($R1983-Infrastructure!J$6)^2+($S1983-Infrastructure!K$6)^2)</f>
        <v>16.01030918</v>
      </c>
      <c r="AZ1983" s="331">
        <f>SQRT(($R1983-Infrastructure!J$7)^2+($S1983-Infrastructure!K$7)^2)</f>
        <v>8.188406438</v>
      </c>
      <c r="BA1983" s="331">
        <f>SQRT(($R1983-Infrastructure!J$8)^2+($S1983-Infrastructure!K$8)^2)</f>
        <v>9.183136719</v>
      </c>
      <c r="BB1983" s="331">
        <f>SQRT(($R1983-Infrastructure!J$9)^2+($S1983-Infrastructure!K$9)^2)</f>
        <v>15.78353573</v>
      </c>
      <c r="BC1983" s="331">
        <f>SQRT(($R1983-Infrastructure!J$10)^2+($S1983-Infrastructure!K$10)^2)</f>
        <v>17.30924608</v>
      </c>
      <c r="BD1983" s="331">
        <f>SQRT(($R1983-Infrastructure!J$11)^2+($S1983-Infrastructure!K$11)^2)</f>
        <v>26.68126684</v>
      </c>
      <c r="BE1983" s="333">
        <f>SQRT(($R1983-Infrastructure!J$12)^2+($S1983-Infrastructure!K$12)^2)</f>
        <v>48.08752437</v>
      </c>
      <c r="BF1983" s="330">
        <f t="shared" si="161"/>
        <v>8.188406438</v>
      </c>
      <c r="BG1983" s="333">
        <f t="shared" si="162"/>
        <v>48.08752437</v>
      </c>
      <c r="BH1983" s="1119"/>
      <c r="BI1983" s="319" t="str">
        <f t="shared" ref="BI1983:BR1983" si="817">IF(ISNUMBER(FIND(BI$3, $CO1983)), "Y", "")</f>
        <v/>
      </c>
      <c r="BJ1983" s="319" t="str">
        <f t="shared" si="817"/>
        <v/>
      </c>
      <c r="BK1983" s="319" t="str">
        <f t="shared" si="817"/>
        <v/>
      </c>
      <c r="BL1983" s="319" t="str">
        <f t="shared" si="817"/>
        <v/>
      </c>
      <c r="BM1983" s="319" t="str">
        <f t="shared" si="817"/>
        <v/>
      </c>
      <c r="BN1983" s="319" t="str">
        <f t="shared" si="817"/>
        <v/>
      </c>
      <c r="BO1983" s="319" t="str">
        <f t="shared" si="817"/>
        <v/>
      </c>
      <c r="BP1983" s="319" t="str">
        <f t="shared" si="817"/>
        <v/>
      </c>
      <c r="BQ1983" s="319" t="str">
        <f t="shared" si="817"/>
        <v/>
      </c>
      <c r="BR1983" s="319" t="str">
        <f t="shared" si="817"/>
        <v/>
      </c>
      <c r="BS1983" s="330">
        <f t="shared" si="185"/>
        <v>0</v>
      </c>
      <c r="BT1983" s="331">
        <f t="shared" si="170"/>
        <v>0</v>
      </c>
      <c r="BU1983" s="920"/>
      <c r="BV1983" s="903" t="str">
        <f t="shared" si="186"/>
        <v/>
      </c>
      <c r="BW1983" s="908"/>
      <c r="BX1983" s="908"/>
      <c r="BY1983" s="331" t="b">
        <f t="shared" si="201"/>
        <v>0</v>
      </c>
      <c r="BZ1983" s="331"/>
      <c r="CA1983" s="462" t="str">
        <f t="shared" ref="CA1983:CJ1983" si="818">IF(ISNUMBER(FIND(BI$3, $CP1983)), "Y", "")</f>
        <v/>
      </c>
      <c r="CB1983" s="319" t="str">
        <f t="shared" si="818"/>
        <v/>
      </c>
      <c r="CC1983" s="319" t="str">
        <f t="shared" si="818"/>
        <v/>
      </c>
      <c r="CD1983" s="319" t="str">
        <f t="shared" si="818"/>
        <v/>
      </c>
      <c r="CE1983" s="319" t="str">
        <f t="shared" si="818"/>
        <v/>
      </c>
      <c r="CF1983" s="319" t="str">
        <f t="shared" si="818"/>
        <v/>
      </c>
      <c r="CG1983" s="319" t="str">
        <f t="shared" si="818"/>
        <v/>
      </c>
      <c r="CH1983" s="319" t="str">
        <f t="shared" si="818"/>
        <v/>
      </c>
      <c r="CI1983" s="319" t="str">
        <f t="shared" si="818"/>
        <v/>
      </c>
      <c r="CJ1983" s="319" t="str">
        <f t="shared" si="818"/>
        <v/>
      </c>
      <c r="CK1983" s="342">
        <f t="shared" si="182"/>
        <v>0</v>
      </c>
      <c r="CL1983" s="333">
        <f t="shared" si="183"/>
        <v>0</v>
      </c>
      <c r="CM1983" s="1079"/>
      <c r="CN1983" s="1005" t="s">
        <v>2957</v>
      </c>
      <c r="CO1983" s="1005"/>
      <c r="CP1983" s="1005"/>
    </row>
    <row r="1984">
      <c r="A1984" s="266"/>
      <c r="B1984" s="1113" t="s">
        <v>1711</v>
      </c>
      <c r="C1984" s="1107">
        <v>45551.0</v>
      </c>
      <c r="D1984" s="1113" t="s">
        <v>986</v>
      </c>
      <c r="E1984" s="1108">
        <v>2.0</v>
      </c>
      <c r="F1984" s="112" t="s">
        <v>2958</v>
      </c>
      <c r="G1984" s="1110">
        <v>0.49930555555555556</v>
      </c>
      <c r="H1984" s="1110">
        <v>0.5010416666666667</v>
      </c>
      <c r="I1984" s="1110"/>
      <c r="J1984" s="1111"/>
      <c r="K1984" s="1111">
        <v>0.5326388888888889</v>
      </c>
      <c r="L1984" s="1112">
        <v>0.03125</v>
      </c>
      <c r="M1984" s="1113" t="s">
        <v>166</v>
      </c>
      <c r="N1984" s="110" t="s">
        <v>188</v>
      </c>
      <c r="O1984" s="1115" t="s">
        <v>378</v>
      </c>
      <c r="P1984" s="1115" t="s">
        <v>225</v>
      </c>
      <c r="Q1984" s="1115" t="s">
        <v>842</v>
      </c>
      <c r="R1984" s="120">
        <v>22.7</v>
      </c>
      <c r="S1984" s="1113">
        <v>39.7</v>
      </c>
      <c r="T1984" s="110">
        <v>1.1</v>
      </c>
      <c r="U1984" s="1108"/>
      <c r="V1984" s="1108"/>
      <c r="W1984" s="1108"/>
      <c r="X1984" s="1108"/>
      <c r="Y1984" s="1108"/>
      <c r="Z1984" s="1114" t="s">
        <v>1140</v>
      </c>
      <c r="AA1984" s="1114"/>
      <c r="AB1984" s="1114" t="s">
        <v>410</v>
      </c>
      <c r="AC1984" s="1117">
        <v>22.1</v>
      </c>
      <c r="AD1984" s="1115"/>
      <c r="AE1984" s="1115"/>
      <c r="AF1984" s="1115"/>
      <c r="AG1984" s="1115"/>
      <c r="AH1984" s="1115"/>
      <c r="AI1984" s="1115"/>
      <c r="AJ1984" s="1117"/>
      <c r="AK1984" s="1118"/>
      <c r="AL1984" s="1115"/>
      <c r="AM1984" s="1115"/>
      <c r="AN1984" s="1115"/>
      <c r="AO1984" s="1115"/>
      <c r="AP1984" s="1115"/>
      <c r="AQ1984" s="1115"/>
      <c r="AR1984" s="1115"/>
      <c r="AS1984" s="1117"/>
      <c r="AT1984" s="1196" t="str">
        <f t="shared" si="428"/>
        <v/>
      </c>
      <c r="AU1984" s="1193"/>
      <c r="AV1984" s="330">
        <f>SQRT(($R1984-Infrastructure!J$3)^2+($S1984-Infrastructure!K$3)^2)</f>
        <v>25.40944706</v>
      </c>
      <c r="AW1984" s="331">
        <f>SQRT(($R1984-Infrastructure!J$4)^2+($S1984-Infrastructure!K$4)^2)</f>
        <v>31.75862088</v>
      </c>
      <c r="AX1984" s="331">
        <f>SQRT(($R1984-Infrastructure!J$5)^2+($S1984-Infrastructure!K$5)^2)</f>
        <v>41.54708173</v>
      </c>
      <c r="AY1984" s="331">
        <f>SQRT(($R1984-Infrastructure!J$6)^2+($S1984-Infrastructure!K$6)^2)</f>
        <v>41.36568626</v>
      </c>
      <c r="AZ1984" s="331">
        <f>SQRT(($R1984-Infrastructure!J$7)^2+($S1984-Infrastructure!K$7)^2)</f>
        <v>39.46137352</v>
      </c>
      <c r="BA1984" s="331">
        <f>SQRT(($R1984-Infrastructure!J$8)^2+($S1984-Infrastructure!K$8)^2)</f>
        <v>40.08890121</v>
      </c>
      <c r="BB1984" s="331">
        <f>SQRT(($R1984-Infrastructure!J$9)^2+($S1984-Infrastructure!K$9)^2)</f>
        <v>38.68397601</v>
      </c>
      <c r="BC1984" s="331">
        <f>SQRT(($R1984-Infrastructure!J$10)^2+($S1984-Infrastructure!K$10)^2)</f>
        <v>30.15592811</v>
      </c>
      <c r="BD1984" s="331">
        <f>SQRT(($R1984-Infrastructure!J$11)^2+($S1984-Infrastructure!K$11)^2)</f>
        <v>20.51194774</v>
      </c>
      <c r="BE1984" s="333">
        <f>SQRT(($R1984-Infrastructure!J$12)^2+($S1984-Infrastructure!K$12)^2)</f>
        <v>15.84550409</v>
      </c>
      <c r="BF1984" s="330">
        <f t="shared" si="161"/>
        <v>15.84550409</v>
      </c>
      <c r="BG1984" s="333">
        <f t="shared" si="162"/>
        <v>41.54708173</v>
      </c>
      <c r="BH1984" s="1119"/>
      <c r="BI1984" s="319" t="str">
        <f t="shared" ref="BI1984:BR1984" si="819">IF(ISNUMBER(FIND(BI$3, $CO1984)), "Y", "")</f>
        <v>Y</v>
      </c>
      <c r="BJ1984" s="319" t="str">
        <f t="shared" si="819"/>
        <v>Y</v>
      </c>
      <c r="BK1984" s="319" t="str">
        <f t="shared" si="819"/>
        <v>Y</v>
      </c>
      <c r="BL1984" s="319" t="str">
        <f t="shared" si="819"/>
        <v/>
      </c>
      <c r="BM1984" s="319" t="str">
        <f t="shared" si="819"/>
        <v>Y</v>
      </c>
      <c r="BN1984" s="319" t="str">
        <f t="shared" si="819"/>
        <v>Y</v>
      </c>
      <c r="BO1984" s="319" t="str">
        <f t="shared" si="819"/>
        <v/>
      </c>
      <c r="BP1984" s="319" t="str">
        <f t="shared" si="819"/>
        <v/>
      </c>
      <c r="BQ1984" s="319" t="str">
        <f t="shared" si="819"/>
        <v>Y</v>
      </c>
      <c r="BR1984" s="319" t="str">
        <f t="shared" si="819"/>
        <v>Y</v>
      </c>
      <c r="BS1984" s="330">
        <f t="shared" si="185"/>
        <v>15.84550409</v>
      </c>
      <c r="BT1984" s="331">
        <f t="shared" si="170"/>
        <v>41.54708173</v>
      </c>
      <c r="BU1984" s="920">
        <v>0.49993055555555554</v>
      </c>
      <c r="BV1984" s="903">
        <f t="shared" si="186"/>
        <v>0.000625</v>
      </c>
      <c r="BW1984" s="908">
        <v>15.4</v>
      </c>
      <c r="BX1984" s="908">
        <v>45.6</v>
      </c>
      <c r="BY1984" s="331">
        <f t="shared" si="201"/>
        <v>9.386160024</v>
      </c>
      <c r="BZ1984" s="331"/>
      <c r="CA1984" s="462" t="str">
        <f t="shared" ref="CA1984:CJ1984" si="820">IF(ISNUMBER(FIND(BI$3, $CP1984)), "Y", "")</f>
        <v/>
      </c>
      <c r="CB1984" s="319" t="str">
        <f t="shared" si="820"/>
        <v/>
      </c>
      <c r="CC1984" s="319" t="str">
        <f t="shared" si="820"/>
        <v/>
      </c>
      <c r="CD1984" s="319" t="str">
        <f t="shared" si="820"/>
        <v/>
      </c>
      <c r="CE1984" s="319" t="str">
        <f t="shared" si="820"/>
        <v/>
      </c>
      <c r="CF1984" s="319" t="str">
        <f t="shared" si="820"/>
        <v/>
      </c>
      <c r="CG1984" s="319" t="str">
        <f t="shared" si="820"/>
        <v/>
      </c>
      <c r="CH1984" s="319" t="str">
        <f t="shared" si="820"/>
        <v/>
      </c>
      <c r="CI1984" s="319" t="str">
        <f t="shared" si="820"/>
        <v/>
      </c>
      <c r="CJ1984" s="319" t="str">
        <f t="shared" si="820"/>
        <v/>
      </c>
      <c r="CK1984" s="342">
        <f t="shared" si="182"/>
        <v>0</v>
      </c>
      <c r="CL1984" s="333">
        <f t="shared" si="183"/>
        <v>0</v>
      </c>
      <c r="CM1984" s="1079"/>
      <c r="CN1984" s="1005" t="s">
        <v>2957</v>
      </c>
      <c r="CO1984" s="1005" t="s">
        <v>2959</v>
      </c>
      <c r="CP1984" s="1005"/>
    </row>
    <row r="1985">
      <c r="A1985" s="266"/>
      <c r="B1985" s="1113" t="s">
        <v>1711</v>
      </c>
      <c r="C1985" s="1107">
        <v>45551.0</v>
      </c>
      <c r="D1985" s="1113" t="s">
        <v>986</v>
      </c>
      <c r="E1985" s="1108">
        <v>3.0</v>
      </c>
      <c r="F1985" s="112" t="s">
        <v>2960</v>
      </c>
      <c r="G1985" s="1110">
        <v>0.5409722222222222</v>
      </c>
      <c r="H1985" s="1110">
        <v>0.5416666666666666</v>
      </c>
      <c r="I1985" s="1110"/>
      <c r="J1985" s="1111"/>
      <c r="K1985" s="1111">
        <v>0.5729166666666666</v>
      </c>
      <c r="L1985" s="1112">
        <v>0.03125</v>
      </c>
      <c r="M1985" s="1113" t="s">
        <v>166</v>
      </c>
      <c r="N1985" s="110" t="s">
        <v>187</v>
      </c>
      <c r="O1985" s="1115" t="s">
        <v>206</v>
      </c>
      <c r="P1985" s="1115" t="s">
        <v>213</v>
      </c>
      <c r="Q1985" s="1116"/>
      <c r="R1985" s="120">
        <v>21.7</v>
      </c>
      <c r="S1985" s="1113">
        <v>11.1</v>
      </c>
      <c r="T1985" s="110">
        <v>2.4</v>
      </c>
      <c r="U1985" s="1108"/>
      <c r="V1985" s="1108"/>
      <c r="W1985" s="1108"/>
      <c r="X1985" s="1108"/>
      <c r="Y1985" s="1108"/>
      <c r="Z1985" s="1114" t="s">
        <v>347</v>
      </c>
      <c r="AA1985" s="1114"/>
      <c r="AB1985" s="1114" t="s">
        <v>392</v>
      </c>
      <c r="AC1985" s="1117">
        <v>10.0</v>
      </c>
      <c r="AD1985" s="1115"/>
      <c r="AE1985" s="1115"/>
      <c r="AF1985" s="1115"/>
      <c r="AG1985" s="1115"/>
      <c r="AH1985" s="1115"/>
      <c r="AI1985" s="1115"/>
      <c r="AJ1985" s="1117"/>
      <c r="AK1985" s="1118"/>
      <c r="AL1985" s="1115"/>
      <c r="AM1985" s="1115"/>
      <c r="AN1985" s="1115"/>
      <c r="AO1985" s="1115"/>
      <c r="AP1985" s="1115"/>
      <c r="AQ1985" s="1115"/>
      <c r="AR1985" s="1115"/>
      <c r="AS1985" s="1117"/>
      <c r="AT1985" s="1196" t="str">
        <f t="shared" si="428"/>
        <v/>
      </c>
      <c r="AU1985" s="1193"/>
      <c r="AV1985" s="330">
        <f>SQRT(($R1985-Infrastructure!J$3)^2+($S1985-Infrastructure!K$3)^2)</f>
        <v>28.29911659</v>
      </c>
      <c r="AW1985" s="331">
        <f>SQRT(($R1985-Infrastructure!J$4)^2+($S1985-Infrastructure!K$4)^2)</f>
        <v>22.99760857</v>
      </c>
      <c r="AX1985" s="331">
        <f>SQRT(($R1985-Infrastructure!J$5)^2+($S1985-Infrastructure!K$5)^2)</f>
        <v>22.8035085</v>
      </c>
      <c r="AY1985" s="331">
        <f>SQRT(($R1985-Infrastructure!J$6)^2+($S1985-Infrastructure!K$6)^2)</f>
        <v>15.8492902</v>
      </c>
      <c r="AZ1985" s="331">
        <f>SQRT(($R1985-Infrastructure!J$7)^2+($S1985-Infrastructure!K$7)^2)</f>
        <v>10.86646217</v>
      </c>
      <c r="BA1985" s="331">
        <f>SQRT(($R1985-Infrastructure!J$8)^2+($S1985-Infrastructure!K$8)^2)</f>
        <v>13.6821051</v>
      </c>
      <c r="BB1985" s="331">
        <f>SQRT(($R1985-Infrastructure!J$9)^2+($S1985-Infrastructure!K$9)^2)</f>
        <v>19.25850461</v>
      </c>
      <c r="BC1985" s="331">
        <f>SQRT(($R1985-Infrastructure!J$10)^2+($S1985-Infrastructure!K$10)^2)</f>
        <v>18.71095936</v>
      </c>
      <c r="BD1985" s="331">
        <f>SQRT(($R1985-Infrastructure!J$11)^2+($S1985-Infrastructure!K$11)^2)</f>
        <v>25.74218328</v>
      </c>
      <c r="BE1985" s="333">
        <f>SQRT(($R1985-Infrastructure!J$12)^2+($S1985-Infrastructure!K$12)^2)</f>
        <v>44.40045045</v>
      </c>
      <c r="BF1985" s="330">
        <f t="shared" si="161"/>
        <v>10.86646217</v>
      </c>
      <c r="BG1985" s="333">
        <f t="shared" si="162"/>
        <v>44.40045045</v>
      </c>
      <c r="BH1985" s="1119"/>
      <c r="BI1985" s="319" t="str">
        <f t="shared" ref="BI1985:BR1985" si="821">IF(ISNUMBER(FIND(BI$3, $CO1985)), "Y", "")</f>
        <v/>
      </c>
      <c r="BJ1985" s="319" t="str">
        <f t="shared" si="821"/>
        <v/>
      </c>
      <c r="BK1985" s="319" t="str">
        <f t="shared" si="821"/>
        <v/>
      </c>
      <c r="BL1985" s="319" t="str">
        <f t="shared" si="821"/>
        <v/>
      </c>
      <c r="BM1985" s="319" t="str">
        <f t="shared" si="821"/>
        <v/>
      </c>
      <c r="BN1985" s="319" t="str">
        <f t="shared" si="821"/>
        <v/>
      </c>
      <c r="BO1985" s="319" t="str">
        <f t="shared" si="821"/>
        <v/>
      </c>
      <c r="BP1985" s="319" t="str">
        <f t="shared" si="821"/>
        <v/>
      </c>
      <c r="BQ1985" s="319" t="str">
        <f t="shared" si="821"/>
        <v/>
      </c>
      <c r="BR1985" s="319" t="str">
        <f t="shared" si="821"/>
        <v/>
      </c>
      <c r="BS1985" s="330">
        <f t="shared" si="185"/>
        <v>0</v>
      </c>
      <c r="BT1985" s="331">
        <f t="shared" si="170"/>
        <v>0</v>
      </c>
      <c r="BU1985" s="920"/>
      <c r="BV1985" s="903" t="str">
        <f t="shared" si="186"/>
        <v/>
      </c>
      <c r="BW1985" s="908"/>
      <c r="BX1985" s="908"/>
      <c r="BY1985" s="331" t="b">
        <f t="shared" si="201"/>
        <v>0</v>
      </c>
      <c r="BZ1985" s="331"/>
      <c r="CA1985" s="462" t="str">
        <f t="shared" ref="CA1985:CJ1985" si="822">IF(ISNUMBER(FIND(BI$3, $CP1985)), "Y", "")</f>
        <v/>
      </c>
      <c r="CB1985" s="319" t="str">
        <f t="shared" si="822"/>
        <v/>
      </c>
      <c r="CC1985" s="319" t="str">
        <f t="shared" si="822"/>
        <v/>
      </c>
      <c r="CD1985" s="319" t="str">
        <f t="shared" si="822"/>
        <v/>
      </c>
      <c r="CE1985" s="319" t="str">
        <f t="shared" si="822"/>
        <v/>
      </c>
      <c r="CF1985" s="319" t="str">
        <f t="shared" si="822"/>
        <v/>
      </c>
      <c r="CG1985" s="319" t="str">
        <f t="shared" si="822"/>
        <v/>
      </c>
      <c r="CH1985" s="319" t="str">
        <f t="shared" si="822"/>
        <v/>
      </c>
      <c r="CI1985" s="319" t="str">
        <f t="shared" si="822"/>
        <v/>
      </c>
      <c r="CJ1985" s="319" t="str">
        <f t="shared" si="822"/>
        <v/>
      </c>
      <c r="CK1985" s="342">
        <f t="shared" si="182"/>
        <v>0</v>
      </c>
      <c r="CL1985" s="333">
        <f t="shared" si="183"/>
        <v>0</v>
      </c>
      <c r="CM1985" s="1079"/>
      <c r="CN1985" s="1005" t="s">
        <v>2961</v>
      </c>
      <c r="CO1985" s="1005"/>
      <c r="CP1985" s="1005"/>
    </row>
    <row r="1986">
      <c r="A1986" s="266"/>
      <c r="B1986" s="1113" t="s">
        <v>1711</v>
      </c>
      <c r="C1986" s="1107">
        <v>45551.0</v>
      </c>
      <c r="D1986" s="1113" t="s">
        <v>986</v>
      </c>
      <c r="E1986" s="1108">
        <v>4.0</v>
      </c>
      <c r="F1986" s="112" t="s">
        <v>2962</v>
      </c>
      <c r="G1986" s="1110">
        <v>0.5829861111111111</v>
      </c>
      <c r="H1986" s="1110">
        <v>0.5836805555555555</v>
      </c>
      <c r="I1986" s="1110"/>
      <c r="J1986" s="1111"/>
      <c r="K1986" s="1111">
        <v>0.6152777777777778</v>
      </c>
      <c r="L1986" s="1112">
        <v>0.03125</v>
      </c>
      <c r="M1986" s="1113" t="s">
        <v>166</v>
      </c>
      <c r="N1986" s="110" t="s">
        <v>188</v>
      </c>
      <c r="O1986" s="1115" t="s">
        <v>378</v>
      </c>
      <c r="P1986" s="1115" t="s">
        <v>217</v>
      </c>
      <c r="Q1986" s="1115" t="s">
        <v>851</v>
      </c>
      <c r="R1986" s="120">
        <v>22.7</v>
      </c>
      <c r="S1986" s="1113">
        <v>39.7</v>
      </c>
      <c r="T1986" s="110">
        <v>1.8</v>
      </c>
      <c r="U1986" s="1108"/>
      <c r="V1986" s="1108"/>
      <c r="W1986" s="1108"/>
      <c r="X1986" s="1108"/>
      <c r="Y1986" s="1108"/>
      <c r="Z1986" s="1114" t="s">
        <v>1140</v>
      </c>
      <c r="AA1986" s="1114"/>
      <c r="AB1986" s="1114" t="s">
        <v>407</v>
      </c>
      <c r="AC1986" s="1117">
        <v>15.75</v>
      </c>
      <c r="AD1986" s="1115"/>
      <c r="AE1986" s="1115"/>
      <c r="AF1986" s="1115"/>
      <c r="AG1986" s="1115"/>
      <c r="AH1986" s="1115"/>
      <c r="AI1986" s="1115"/>
      <c r="AJ1986" s="1117"/>
      <c r="AK1986" s="1118"/>
      <c r="AL1986" s="1115"/>
      <c r="AM1986" s="1115"/>
      <c r="AN1986" s="1115"/>
      <c r="AO1986" s="1115"/>
      <c r="AP1986" s="1115"/>
      <c r="AQ1986" s="1115"/>
      <c r="AR1986" s="1115"/>
      <c r="AS1986" s="1117"/>
      <c r="AT1986" s="1196" t="str">
        <f t="shared" si="428"/>
        <v/>
      </c>
      <c r="AU1986" s="1193"/>
      <c r="AV1986" s="330">
        <f>SQRT(($R1986-Infrastructure!J$3)^2+($S1986-Infrastructure!K$3)^2)</f>
        <v>25.40944706</v>
      </c>
      <c r="AW1986" s="331">
        <f>SQRT(($R1986-Infrastructure!J$4)^2+($S1986-Infrastructure!K$4)^2)</f>
        <v>31.75862088</v>
      </c>
      <c r="AX1986" s="331">
        <f>SQRT(($R1986-Infrastructure!J$5)^2+($S1986-Infrastructure!K$5)^2)</f>
        <v>41.54708173</v>
      </c>
      <c r="AY1986" s="331">
        <f>SQRT(($R1986-Infrastructure!J$6)^2+($S1986-Infrastructure!K$6)^2)</f>
        <v>41.36568626</v>
      </c>
      <c r="AZ1986" s="331">
        <f>SQRT(($R1986-Infrastructure!J$7)^2+($S1986-Infrastructure!K$7)^2)</f>
        <v>39.46137352</v>
      </c>
      <c r="BA1986" s="331">
        <f>SQRT(($R1986-Infrastructure!J$8)^2+($S1986-Infrastructure!K$8)^2)</f>
        <v>40.08890121</v>
      </c>
      <c r="BB1986" s="331">
        <f>SQRT(($R1986-Infrastructure!J$9)^2+($S1986-Infrastructure!K$9)^2)</f>
        <v>38.68397601</v>
      </c>
      <c r="BC1986" s="331">
        <f>SQRT(($R1986-Infrastructure!J$10)^2+($S1986-Infrastructure!K$10)^2)</f>
        <v>30.15592811</v>
      </c>
      <c r="BD1986" s="331">
        <f>SQRT(($R1986-Infrastructure!J$11)^2+($S1986-Infrastructure!K$11)^2)</f>
        <v>20.51194774</v>
      </c>
      <c r="BE1986" s="333">
        <f>SQRT(($R1986-Infrastructure!J$12)^2+($S1986-Infrastructure!K$12)^2)</f>
        <v>15.84550409</v>
      </c>
      <c r="BF1986" s="330">
        <f t="shared" si="161"/>
        <v>15.84550409</v>
      </c>
      <c r="BG1986" s="333">
        <f t="shared" si="162"/>
        <v>41.54708173</v>
      </c>
      <c r="BH1986" s="1119"/>
      <c r="BI1986" s="319" t="str">
        <f t="shared" ref="BI1986:BR1986" si="823">IF(ISNUMBER(FIND(BI$3, $CO1986)), "Y", "")</f>
        <v>Y</v>
      </c>
      <c r="BJ1986" s="319" t="str">
        <f t="shared" si="823"/>
        <v>Y</v>
      </c>
      <c r="BK1986" s="319" t="str">
        <f t="shared" si="823"/>
        <v>Y</v>
      </c>
      <c r="BL1986" s="319" t="str">
        <f t="shared" si="823"/>
        <v/>
      </c>
      <c r="BM1986" s="319" t="str">
        <f t="shared" si="823"/>
        <v>Y</v>
      </c>
      <c r="BN1986" s="319" t="str">
        <f t="shared" si="823"/>
        <v/>
      </c>
      <c r="BO1986" s="319" t="str">
        <f t="shared" si="823"/>
        <v>Y</v>
      </c>
      <c r="BP1986" s="319" t="str">
        <f t="shared" si="823"/>
        <v/>
      </c>
      <c r="BQ1986" s="319" t="str">
        <f t="shared" si="823"/>
        <v>Y</v>
      </c>
      <c r="BR1986" s="319" t="str">
        <f t="shared" si="823"/>
        <v>Y</v>
      </c>
      <c r="BS1986" s="330">
        <f t="shared" si="185"/>
        <v>15.84550409</v>
      </c>
      <c r="BT1986" s="331">
        <f t="shared" si="170"/>
        <v>41.54708173</v>
      </c>
      <c r="BU1986" s="920">
        <v>0.5836342592592593</v>
      </c>
      <c r="BV1986" s="903">
        <f t="shared" si="186"/>
        <v>0.0006481481481</v>
      </c>
      <c r="BW1986" s="908">
        <v>10.2</v>
      </c>
      <c r="BX1986" s="908">
        <v>32.0</v>
      </c>
      <c r="BY1986" s="331">
        <f t="shared" si="201"/>
        <v>14.6812806</v>
      </c>
      <c r="BZ1986" s="331"/>
      <c r="CA1986" s="462" t="str">
        <f t="shared" ref="CA1986:CJ1986" si="824">IF(ISNUMBER(FIND(BI$3, $CP1986)), "Y", "")</f>
        <v/>
      </c>
      <c r="CB1986" s="319" t="str">
        <f t="shared" si="824"/>
        <v/>
      </c>
      <c r="CC1986" s="319" t="str">
        <f t="shared" si="824"/>
        <v/>
      </c>
      <c r="CD1986" s="319" t="str">
        <f t="shared" si="824"/>
        <v/>
      </c>
      <c r="CE1986" s="319" t="str">
        <f t="shared" si="824"/>
        <v/>
      </c>
      <c r="CF1986" s="319" t="str">
        <f t="shared" si="824"/>
        <v/>
      </c>
      <c r="CG1986" s="319" t="str">
        <f t="shared" si="824"/>
        <v/>
      </c>
      <c r="CH1986" s="319" t="str">
        <f t="shared" si="824"/>
        <v/>
      </c>
      <c r="CI1986" s="319" t="str">
        <f t="shared" si="824"/>
        <v/>
      </c>
      <c r="CJ1986" s="319" t="str">
        <f t="shared" si="824"/>
        <v/>
      </c>
      <c r="CK1986" s="342">
        <f t="shared" si="182"/>
        <v>0</v>
      </c>
      <c r="CL1986" s="333">
        <f t="shared" si="183"/>
        <v>0</v>
      </c>
      <c r="CM1986" s="1079"/>
      <c r="CN1986" s="1005" t="s">
        <v>2961</v>
      </c>
      <c r="CO1986" s="1005" t="s">
        <v>2963</v>
      </c>
      <c r="CP1986" s="1005"/>
    </row>
    <row r="1987">
      <c r="A1987" s="266"/>
      <c r="B1987" s="1113" t="s">
        <v>1711</v>
      </c>
      <c r="C1987" s="1107">
        <v>45551.0</v>
      </c>
      <c r="D1987" s="1113" t="s">
        <v>986</v>
      </c>
      <c r="E1987" s="1108">
        <v>5.0</v>
      </c>
      <c r="F1987" s="112" t="s">
        <v>2964</v>
      </c>
      <c r="G1987" s="1110">
        <v>0.6243055555555556</v>
      </c>
      <c r="H1987" s="1110">
        <v>0.625</v>
      </c>
      <c r="I1987" s="1110"/>
      <c r="J1987" s="1111"/>
      <c r="K1987" s="1111">
        <v>0.65625</v>
      </c>
      <c r="L1987" s="1112">
        <v>0.03125</v>
      </c>
      <c r="M1987" s="1113" t="s">
        <v>166</v>
      </c>
      <c r="N1987" s="110" t="s">
        <v>188</v>
      </c>
      <c r="O1987" s="1115" t="s">
        <v>378</v>
      </c>
      <c r="P1987" s="1115" t="s">
        <v>225</v>
      </c>
      <c r="Q1987" s="1115" t="s">
        <v>842</v>
      </c>
      <c r="R1987" s="120">
        <v>22.7</v>
      </c>
      <c r="S1987" s="1113">
        <v>39.7</v>
      </c>
      <c r="T1987" s="110">
        <v>1.1</v>
      </c>
      <c r="U1987" s="1108"/>
      <c r="V1987" s="1108"/>
      <c r="W1987" s="1108"/>
      <c r="X1987" s="1108"/>
      <c r="Y1987" s="1108"/>
      <c r="Z1987" s="1114" t="s">
        <v>1140</v>
      </c>
      <c r="AA1987" s="1114"/>
      <c r="AB1987" s="1114" t="s">
        <v>407</v>
      </c>
      <c r="AC1987" s="1117">
        <v>15.75</v>
      </c>
      <c r="AD1987" s="1115"/>
      <c r="AE1987" s="1115"/>
      <c r="AF1987" s="1115"/>
      <c r="AG1987" s="1115"/>
      <c r="AH1987" s="1115"/>
      <c r="AI1987" s="1115"/>
      <c r="AJ1987" s="1117"/>
      <c r="AK1987" s="1118"/>
      <c r="AL1987" s="1115"/>
      <c r="AM1987" s="1115"/>
      <c r="AN1987" s="1115"/>
      <c r="AO1987" s="1115"/>
      <c r="AP1987" s="1115"/>
      <c r="AQ1987" s="1115"/>
      <c r="AR1987" s="1115"/>
      <c r="AS1987" s="1117"/>
      <c r="AT1987" s="1196" t="str">
        <f t="shared" si="428"/>
        <v/>
      </c>
      <c r="AU1987" s="1193"/>
      <c r="AV1987" s="330">
        <f>SQRT(($R1987-Infrastructure!J$3)^2+($S1987-Infrastructure!K$3)^2)</f>
        <v>25.40944706</v>
      </c>
      <c r="AW1987" s="331">
        <f>SQRT(($R1987-Infrastructure!J$4)^2+($S1987-Infrastructure!K$4)^2)</f>
        <v>31.75862088</v>
      </c>
      <c r="AX1987" s="331">
        <f>SQRT(($R1987-Infrastructure!J$5)^2+($S1987-Infrastructure!K$5)^2)</f>
        <v>41.54708173</v>
      </c>
      <c r="AY1987" s="331">
        <f>SQRT(($R1987-Infrastructure!J$6)^2+($S1987-Infrastructure!K$6)^2)</f>
        <v>41.36568626</v>
      </c>
      <c r="AZ1987" s="331">
        <f>SQRT(($R1987-Infrastructure!J$7)^2+($S1987-Infrastructure!K$7)^2)</f>
        <v>39.46137352</v>
      </c>
      <c r="BA1987" s="331">
        <f>SQRT(($R1987-Infrastructure!J$8)^2+($S1987-Infrastructure!K$8)^2)</f>
        <v>40.08890121</v>
      </c>
      <c r="BB1987" s="331">
        <f>SQRT(($R1987-Infrastructure!J$9)^2+($S1987-Infrastructure!K$9)^2)</f>
        <v>38.68397601</v>
      </c>
      <c r="BC1987" s="331">
        <f>SQRT(($R1987-Infrastructure!J$10)^2+($S1987-Infrastructure!K$10)^2)</f>
        <v>30.15592811</v>
      </c>
      <c r="BD1987" s="331">
        <f>SQRT(($R1987-Infrastructure!J$11)^2+($S1987-Infrastructure!K$11)^2)</f>
        <v>20.51194774</v>
      </c>
      <c r="BE1987" s="333">
        <f>SQRT(($R1987-Infrastructure!J$12)^2+($S1987-Infrastructure!K$12)^2)</f>
        <v>15.84550409</v>
      </c>
      <c r="BF1987" s="330">
        <f t="shared" si="161"/>
        <v>15.84550409</v>
      </c>
      <c r="BG1987" s="333">
        <f t="shared" si="162"/>
        <v>41.54708173</v>
      </c>
      <c r="BH1987" s="1119"/>
      <c r="BI1987" s="319" t="str">
        <f t="shared" ref="BI1987:BR1987" si="825">IF(ISNUMBER(FIND(BI$3, $CO1987)), "Y", "")</f>
        <v>Y</v>
      </c>
      <c r="BJ1987" s="319" t="str">
        <f t="shared" si="825"/>
        <v/>
      </c>
      <c r="BK1987" s="319" t="str">
        <f t="shared" si="825"/>
        <v>Y</v>
      </c>
      <c r="BL1987" s="319" t="str">
        <f t="shared" si="825"/>
        <v/>
      </c>
      <c r="BM1987" s="319" t="str">
        <f t="shared" si="825"/>
        <v>Y</v>
      </c>
      <c r="BN1987" s="319" t="str">
        <f t="shared" si="825"/>
        <v>Y</v>
      </c>
      <c r="BO1987" s="319" t="str">
        <f t="shared" si="825"/>
        <v/>
      </c>
      <c r="BP1987" s="319" t="str">
        <f t="shared" si="825"/>
        <v/>
      </c>
      <c r="BQ1987" s="319" t="str">
        <f t="shared" si="825"/>
        <v/>
      </c>
      <c r="BR1987" s="319" t="str">
        <f t="shared" si="825"/>
        <v>Y</v>
      </c>
      <c r="BS1987" s="330">
        <f t="shared" si="185"/>
        <v>15.84550409</v>
      </c>
      <c r="BT1987" s="331">
        <f t="shared" si="170"/>
        <v>41.54708173</v>
      </c>
      <c r="BU1987" s="920">
        <v>0.6255555555555555</v>
      </c>
      <c r="BV1987" s="903">
        <f t="shared" si="186"/>
        <v>0.00125</v>
      </c>
      <c r="BW1987" s="908">
        <v>12.0</v>
      </c>
      <c r="BX1987" s="908">
        <v>30.9</v>
      </c>
      <c r="BY1987" s="331">
        <f t="shared" si="201"/>
        <v>13.85388032</v>
      </c>
      <c r="BZ1987" s="331"/>
      <c r="CA1987" s="462" t="str">
        <f t="shared" ref="CA1987:CJ1987" si="826">IF(ISNUMBER(FIND(BI$3, $CP1987)), "Y", "")</f>
        <v/>
      </c>
      <c r="CB1987" s="319" t="str">
        <f t="shared" si="826"/>
        <v/>
      </c>
      <c r="CC1987" s="319" t="str">
        <f t="shared" si="826"/>
        <v/>
      </c>
      <c r="CD1987" s="319" t="str">
        <f t="shared" si="826"/>
        <v/>
      </c>
      <c r="CE1987" s="319" t="str">
        <f t="shared" si="826"/>
        <v/>
      </c>
      <c r="CF1987" s="319" t="str">
        <f t="shared" si="826"/>
        <v/>
      </c>
      <c r="CG1987" s="319" t="str">
        <f t="shared" si="826"/>
        <v/>
      </c>
      <c r="CH1987" s="319" t="str">
        <f t="shared" si="826"/>
        <v/>
      </c>
      <c r="CI1987" s="319" t="str">
        <f t="shared" si="826"/>
        <v/>
      </c>
      <c r="CJ1987" s="319" t="str">
        <f t="shared" si="826"/>
        <v/>
      </c>
      <c r="CK1987" s="342">
        <f t="shared" si="182"/>
        <v>0</v>
      </c>
      <c r="CL1987" s="333">
        <f t="shared" si="183"/>
        <v>0</v>
      </c>
      <c r="CM1987" s="1079"/>
      <c r="CN1987" s="1005" t="s">
        <v>2961</v>
      </c>
      <c r="CO1987" s="1005" t="s">
        <v>2965</v>
      </c>
      <c r="CP1987" s="1005"/>
    </row>
    <row r="1988">
      <c r="A1988" s="1258"/>
      <c r="B1988" s="1129" t="s">
        <v>1711</v>
      </c>
      <c r="C1988" s="1122">
        <v>45551.0</v>
      </c>
      <c r="D1988" s="1129" t="s">
        <v>986</v>
      </c>
      <c r="E1988" s="1124">
        <v>6.0</v>
      </c>
      <c r="F1988" s="108" t="s">
        <v>2966</v>
      </c>
      <c r="G1988" s="1126">
        <v>0.6659722222222222</v>
      </c>
      <c r="H1988" s="1126">
        <v>0.6666666666666666</v>
      </c>
      <c r="I1988" s="1126"/>
      <c r="J1988" s="1127"/>
      <c r="K1988" s="1127">
        <v>0.6979166666666666</v>
      </c>
      <c r="L1988" s="1128">
        <v>0.03125</v>
      </c>
      <c r="M1988" s="1129" t="s">
        <v>166</v>
      </c>
      <c r="N1988" s="100" t="s">
        <v>187</v>
      </c>
      <c r="O1988" s="1131" t="s">
        <v>207</v>
      </c>
      <c r="P1988" s="1131" t="s">
        <v>219</v>
      </c>
      <c r="Q1988" s="1132"/>
      <c r="R1988" s="137">
        <v>26.3</v>
      </c>
      <c r="S1988" s="1129">
        <v>12.4</v>
      </c>
      <c r="T1988" s="100">
        <v>1.6</v>
      </c>
      <c r="U1988" s="1124"/>
      <c r="V1988" s="1124"/>
      <c r="W1988" s="1124"/>
      <c r="X1988" s="1124"/>
      <c r="Y1988" s="1124"/>
      <c r="Z1988" s="1130" t="s">
        <v>374</v>
      </c>
      <c r="AA1988" s="1130"/>
      <c r="AB1988" s="1130" t="s">
        <v>388</v>
      </c>
      <c r="AC1988" s="1133">
        <v>8.0</v>
      </c>
      <c r="AD1988" s="1131"/>
      <c r="AE1988" s="1131"/>
      <c r="AF1988" s="1131"/>
      <c r="AG1988" s="1131"/>
      <c r="AH1988" s="1131"/>
      <c r="AI1988" s="1131"/>
      <c r="AJ1988" s="1133"/>
      <c r="AK1988" s="1134"/>
      <c r="AL1988" s="1131"/>
      <c r="AM1988" s="1131"/>
      <c r="AN1988" s="1131"/>
      <c r="AO1988" s="1131"/>
      <c r="AP1988" s="1131"/>
      <c r="AQ1988" s="1131"/>
      <c r="AR1988" s="1131"/>
      <c r="AS1988" s="1133"/>
      <c r="AT1988" s="1197" t="str">
        <f t="shared" si="428"/>
        <v/>
      </c>
      <c r="AU1988" s="1194"/>
      <c r="AV1988" s="662">
        <f>SQRT(($R1988-Infrastructure!J$3)^2+($S1988-Infrastructure!K$3)^2)</f>
        <v>31.30191687</v>
      </c>
      <c r="AW1988" s="641">
        <f>SQRT(($R1988-Infrastructure!J$4)^2+($S1988-Infrastructure!K$4)^2)</f>
        <v>27.14258646</v>
      </c>
      <c r="AX1988" s="641">
        <f>SQRT(($R1988-Infrastructure!J$5)^2+($S1988-Infrastructure!K$5)^2)</f>
        <v>27.58350957</v>
      </c>
      <c r="AY1988" s="641">
        <f>SQRT(($R1988-Infrastructure!J$6)^2+($S1988-Infrastructure!K$6)^2)</f>
        <v>20.22003956</v>
      </c>
      <c r="AZ1988" s="641">
        <f>SQRT(($R1988-Infrastructure!J$7)^2+($S1988-Infrastructure!K$7)^2)</f>
        <v>13.41827113</v>
      </c>
      <c r="BA1988" s="641">
        <f>SQRT(($R1988-Infrastructure!J$8)^2+($S1988-Infrastructure!K$8)^2)</f>
        <v>12.68266534</v>
      </c>
      <c r="BB1988" s="641">
        <f>SQRT(($R1988-Infrastructure!J$9)^2+($S1988-Infrastructure!K$9)^2)</f>
        <v>15.52353053</v>
      </c>
      <c r="BC1988" s="641">
        <f>SQRT(($R1988-Infrastructure!J$10)^2+($S1988-Infrastructure!K$10)^2)</f>
        <v>13.94453298</v>
      </c>
      <c r="BD1988" s="641">
        <f>SQRT(($R1988-Infrastructure!J$11)^2+($S1988-Infrastructure!K$11)^2)</f>
        <v>21.65109697</v>
      </c>
      <c r="BE1988" s="642">
        <f>SQRT(($R1988-Infrastructure!J$12)^2+($S1988-Infrastructure!K$12)^2)</f>
        <v>43.3664617</v>
      </c>
      <c r="BF1988" s="662">
        <f t="shared" si="161"/>
        <v>12.68266534</v>
      </c>
      <c r="BG1988" s="642">
        <f t="shared" si="162"/>
        <v>43.3664617</v>
      </c>
      <c r="BH1988" s="1135"/>
      <c r="BI1988" s="663" t="str">
        <f t="shared" ref="BI1988:BR1988" si="827">IF(ISNUMBER(FIND(BI$3, $CO1988)), "Y", "")</f>
        <v/>
      </c>
      <c r="BJ1988" s="663" t="str">
        <f t="shared" si="827"/>
        <v/>
      </c>
      <c r="BK1988" s="663" t="str">
        <f t="shared" si="827"/>
        <v/>
      </c>
      <c r="BL1988" s="663" t="str">
        <f t="shared" si="827"/>
        <v/>
      </c>
      <c r="BM1988" s="663" t="str">
        <f t="shared" si="827"/>
        <v/>
      </c>
      <c r="BN1988" s="663" t="str">
        <f t="shared" si="827"/>
        <v/>
      </c>
      <c r="BO1988" s="663" t="str">
        <f t="shared" si="827"/>
        <v/>
      </c>
      <c r="BP1988" s="663" t="str">
        <f t="shared" si="827"/>
        <v/>
      </c>
      <c r="BQ1988" s="663" t="str">
        <f t="shared" si="827"/>
        <v/>
      </c>
      <c r="BR1988" s="663" t="str">
        <f t="shared" si="827"/>
        <v/>
      </c>
      <c r="BS1988" s="662">
        <f t="shared" si="185"/>
        <v>0</v>
      </c>
      <c r="BT1988" s="641">
        <f t="shared" si="170"/>
        <v>0</v>
      </c>
      <c r="BU1988" s="937"/>
      <c r="BV1988" s="930" t="str">
        <f t="shared" si="186"/>
        <v/>
      </c>
      <c r="BW1988" s="939"/>
      <c r="BX1988" s="939"/>
      <c r="BY1988" s="641" t="b">
        <f t="shared" si="201"/>
        <v>0</v>
      </c>
      <c r="BZ1988" s="641"/>
      <c r="CA1988" s="635" t="str">
        <f t="shared" ref="CA1988:CJ1988" si="828">IF(ISNUMBER(FIND(BI$3, $CP1988)), "Y", "")</f>
        <v/>
      </c>
      <c r="CB1988" s="663" t="str">
        <f t="shared" si="828"/>
        <v/>
      </c>
      <c r="CC1988" s="663" t="str">
        <f t="shared" si="828"/>
        <v/>
      </c>
      <c r="CD1988" s="663" t="str">
        <f t="shared" si="828"/>
        <v/>
      </c>
      <c r="CE1988" s="663" t="str">
        <f t="shared" si="828"/>
        <v/>
      </c>
      <c r="CF1988" s="663" t="str">
        <f t="shared" si="828"/>
        <v/>
      </c>
      <c r="CG1988" s="663" t="str">
        <f t="shared" si="828"/>
        <v/>
      </c>
      <c r="CH1988" s="663" t="str">
        <f t="shared" si="828"/>
        <v/>
      </c>
      <c r="CI1988" s="663" t="str">
        <f t="shared" si="828"/>
        <v/>
      </c>
      <c r="CJ1988" s="663" t="str">
        <f t="shared" si="828"/>
        <v/>
      </c>
      <c r="CK1988" s="743">
        <f t="shared" si="182"/>
        <v>0</v>
      </c>
      <c r="CL1988" s="642">
        <f t="shared" si="183"/>
        <v>0</v>
      </c>
      <c r="CM1988" s="1090"/>
      <c r="CN1988" s="1036" t="s">
        <v>2961</v>
      </c>
      <c r="CO1988" s="1036"/>
      <c r="CP1988" s="1036"/>
    </row>
    <row r="1989">
      <c r="A1989" s="1257" t="s">
        <v>118</v>
      </c>
      <c r="B1989" s="1113" t="s">
        <v>1711</v>
      </c>
      <c r="C1989" s="1107">
        <v>45552.0</v>
      </c>
      <c r="D1989" s="1113" t="s">
        <v>986</v>
      </c>
      <c r="E1989" s="1108">
        <v>1.0</v>
      </c>
      <c r="F1989" s="112" t="s">
        <v>2967</v>
      </c>
      <c r="G1989" s="1110">
        <v>0.3753472222222222</v>
      </c>
      <c r="H1989" s="1110">
        <v>0.37569444444444444</v>
      </c>
      <c r="I1989" s="1110"/>
      <c r="J1989" s="1111"/>
      <c r="K1989" s="1111">
        <v>0.40694444444444444</v>
      </c>
      <c r="L1989" s="1112">
        <v>0.03125</v>
      </c>
      <c r="M1989" s="1113" t="s">
        <v>166</v>
      </c>
      <c r="N1989" s="110" t="s">
        <v>187</v>
      </c>
      <c r="O1989" s="1115" t="s">
        <v>205</v>
      </c>
      <c r="P1989" s="1115" t="s">
        <v>213</v>
      </c>
      <c r="Q1989" s="1116"/>
      <c r="R1989" s="120">
        <v>21.5</v>
      </c>
      <c r="S1989" s="1113">
        <v>4.1</v>
      </c>
      <c r="T1989" s="110">
        <v>2.3</v>
      </c>
      <c r="U1989" s="1108"/>
      <c r="V1989" s="1108"/>
      <c r="W1989" s="1108"/>
      <c r="X1989" s="1108"/>
      <c r="Y1989" s="1108"/>
      <c r="Z1989" s="1114" t="s">
        <v>335</v>
      </c>
      <c r="AA1989" s="1114"/>
      <c r="AB1989" s="1114" t="s">
        <v>380</v>
      </c>
      <c r="AC1989" s="1117">
        <v>4.0</v>
      </c>
      <c r="AD1989" s="1115"/>
      <c r="AE1989" s="1115"/>
      <c r="AF1989" s="1115"/>
      <c r="AG1989" s="1115"/>
      <c r="AH1989" s="1115"/>
      <c r="AI1989" s="1115"/>
      <c r="AJ1989" s="1117"/>
      <c r="AK1989" s="1118"/>
      <c r="AL1989" s="1115"/>
      <c r="AM1989" s="1115"/>
      <c r="AN1989" s="1115"/>
      <c r="AO1989" s="1115"/>
      <c r="AP1989" s="1115"/>
      <c r="AQ1989" s="1115"/>
      <c r="AR1989" s="1115"/>
      <c r="AS1989" s="1117"/>
      <c r="AT1989" s="1196" t="str">
        <f t="shared" si="428"/>
        <v/>
      </c>
      <c r="AU1989" s="1193"/>
      <c r="AV1989" s="330">
        <f>SQRT(($R1989-Infrastructure!J$3)^2+($S1989-Infrastructure!K$3)^2)</f>
        <v>33.01938824</v>
      </c>
      <c r="AW1989" s="331">
        <f>SQRT(($R1989-Infrastructure!J$4)^2+($S1989-Infrastructure!K$4)^2)</f>
        <v>25.74742706</v>
      </c>
      <c r="AX1989" s="331">
        <f>SQRT(($R1989-Infrastructure!J$5)^2+($S1989-Infrastructure!K$5)^2)</f>
        <v>21.82292373</v>
      </c>
      <c r="AY1989" s="331">
        <f>SQRT(($R1989-Infrastructure!J$6)^2+($S1989-Infrastructure!K$6)^2)</f>
        <v>12.01665511</v>
      </c>
      <c r="AZ1989" s="331">
        <f>SQRT(($R1989-Infrastructure!J$7)^2+($S1989-Infrastructure!K$7)^2)</f>
        <v>3.929376541</v>
      </c>
      <c r="BA1989" s="331">
        <f>SQRT(($R1989-Infrastructure!J$8)^2+($S1989-Infrastructure!K$8)^2)</f>
        <v>9.402127419</v>
      </c>
      <c r="BB1989" s="331">
        <f>SQRT(($R1989-Infrastructure!J$9)^2+($S1989-Infrastructure!K$9)^2)</f>
        <v>18.52700731</v>
      </c>
      <c r="BC1989" s="331">
        <f>SQRT(($R1989-Infrastructure!J$10)^2+($S1989-Infrastructure!K$10)^2)</f>
        <v>21.47230775</v>
      </c>
      <c r="BD1989" s="331">
        <f>SQRT(($R1989-Infrastructure!J$11)^2+($S1989-Infrastructure!K$11)^2)</f>
        <v>31.14000642</v>
      </c>
      <c r="BE1989" s="333">
        <f>SQRT(($R1989-Infrastructure!J$12)^2+($S1989-Infrastructure!K$12)^2)</f>
        <v>51.4</v>
      </c>
      <c r="BF1989" s="330">
        <f t="shared" si="161"/>
        <v>3.929376541</v>
      </c>
      <c r="BG1989" s="333">
        <f t="shared" si="162"/>
        <v>51.4</v>
      </c>
      <c r="BH1989" s="1119"/>
      <c r="BI1989" s="319" t="str">
        <f t="shared" ref="BI1989:BR1989" si="829">IF(ISNUMBER(FIND(BI$3, $CO1989)), "Y", "")</f>
        <v/>
      </c>
      <c r="BJ1989" s="319" t="str">
        <f t="shared" si="829"/>
        <v/>
      </c>
      <c r="BK1989" s="319" t="str">
        <f t="shared" si="829"/>
        <v/>
      </c>
      <c r="BL1989" s="319" t="str">
        <f t="shared" si="829"/>
        <v/>
      </c>
      <c r="BM1989" s="319" t="str">
        <f t="shared" si="829"/>
        <v/>
      </c>
      <c r="BN1989" s="319" t="str">
        <f t="shared" si="829"/>
        <v/>
      </c>
      <c r="BO1989" s="319" t="str">
        <f t="shared" si="829"/>
        <v/>
      </c>
      <c r="BP1989" s="319" t="str">
        <f t="shared" si="829"/>
        <v/>
      </c>
      <c r="BQ1989" s="319" t="str">
        <f t="shared" si="829"/>
        <v/>
      </c>
      <c r="BR1989" s="319" t="str">
        <f t="shared" si="829"/>
        <v/>
      </c>
      <c r="BS1989" s="330">
        <f t="shared" si="185"/>
        <v>0</v>
      </c>
      <c r="BT1989" s="331">
        <f t="shared" si="170"/>
        <v>0</v>
      </c>
      <c r="BU1989" s="920"/>
      <c r="BV1989" s="903" t="str">
        <f t="shared" si="186"/>
        <v/>
      </c>
      <c r="BW1989" s="908"/>
      <c r="BX1989" s="908"/>
      <c r="BY1989" s="331" t="b">
        <f t="shared" si="201"/>
        <v>0</v>
      </c>
      <c r="BZ1989" s="331"/>
      <c r="CA1989" s="462" t="str">
        <f t="shared" ref="CA1989:CJ1989" si="830">IF(ISNUMBER(FIND(BI$3, $CP1989)), "Y", "")</f>
        <v/>
      </c>
      <c r="CB1989" s="319" t="str">
        <f t="shared" si="830"/>
        <v/>
      </c>
      <c r="CC1989" s="319" t="str">
        <f t="shared" si="830"/>
        <v/>
      </c>
      <c r="CD1989" s="319" t="str">
        <f t="shared" si="830"/>
        <v/>
      </c>
      <c r="CE1989" s="319" t="str">
        <f t="shared" si="830"/>
        <v/>
      </c>
      <c r="CF1989" s="319" t="str">
        <f t="shared" si="830"/>
        <v/>
      </c>
      <c r="CG1989" s="319" t="str">
        <f t="shared" si="830"/>
        <v/>
      </c>
      <c r="CH1989" s="319" t="str">
        <f t="shared" si="830"/>
        <v/>
      </c>
      <c r="CI1989" s="319" t="str">
        <f t="shared" si="830"/>
        <v/>
      </c>
      <c r="CJ1989" s="319" t="str">
        <f t="shared" si="830"/>
        <v/>
      </c>
      <c r="CK1989" s="342">
        <f t="shared" si="182"/>
        <v>0</v>
      </c>
      <c r="CL1989" s="333">
        <f t="shared" si="183"/>
        <v>0</v>
      </c>
      <c r="CM1989" s="1079"/>
      <c r="CN1989" s="1005" t="s">
        <v>2968</v>
      </c>
      <c r="CO1989" s="1005"/>
      <c r="CP1989" s="1005"/>
    </row>
    <row r="1990">
      <c r="A1990" s="266"/>
      <c r="B1990" s="1113" t="s">
        <v>1711</v>
      </c>
      <c r="C1990" s="1107">
        <v>45552.0</v>
      </c>
      <c r="D1990" s="1113" t="s">
        <v>986</v>
      </c>
      <c r="E1990" s="1108">
        <v>2.0</v>
      </c>
      <c r="F1990" s="112" t="s">
        <v>2969</v>
      </c>
      <c r="G1990" s="1110">
        <v>0.41597222222222224</v>
      </c>
      <c r="H1990" s="1110">
        <v>0.4170138888888889</v>
      </c>
      <c r="I1990" s="1110"/>
      <c r="J1990" s="1111"/>
      <c r="K1990" s="1111">
        <v>0.4486111111111111</v>
      </c>
      <c r="L1990" s="1112">
        <v>0.03125</v>
      </c>
      <c r="M1990" s="1113" t="s">
        <v>166</v>
      </c>
      <c r="N1990" s="110" t="s">
        <v>187</v>
      </c>
      <c r="O1990" s="1115" t="s">
        <v>198</v>
      </c>
      <c r="P1990" s="1115" t="s">
        <v>218</v>
      </c>
      <c r="Q1990" s="1116"/>
      <c r="R1990" s="120">
        <v>10.3</v>
      </c>
      <c r="S1990" s="1113">
        <v>8.1</v>
      </c>
      <c r="T1990" s="110">
        <v>3.0</v>
      </c>
      <c r="U1990" s="1108"/>
      <c r="V1990" s="1108"/>
      <c r="W1990" s="1108"/>
      <c r="X1990" s="1108"/>
      <c r="Y1990" s="1108"/>
      <c r="Z1990" s="1114" t="s">
        <v>343</v>
      </c>
      <c r="AA1990" s="1114"/>
      <c r="AB1990" s="1114" t="s">
        <v>392</v>
      </c>
      <c r="AC1990" s="1117">
        <v>10.0</v>
      </c>
      <c r="AD1990" s="1115"/>
      <c r="AE1990" s="1115"/>
      <c r="AF1990" s="1115"/>
      <c r="AG1990" s="1115"/>
      <c r="AH1990" s="1115"/>
      <c r="AI1990" s="1115"/>
      <c r="AJ1990" s="1117"/>
      <c r="AK1990" s="1118"/>
      <c r="AL1990" s="1115"/>
      <c r="AM1990" s="1115"/>
      <c r="AN1990" s="1115"/>
      <c r="AO1990" s="1115"/>
      <c r="AP1990" s="1115"/>
      <c r="AQ1990" s="1115"/>
      <c r="AR1990" s="1115"/>
      <c r="AS1990" s="1117"/>
      <c r="AT1990" s="1196" t="str">
        <f t="shared" si="428"/>
        <v/>
      </c>
      <c r="AU1990" s="1193"/>
      <c r="AV1990" s="330">
        <f>SQRT(($R1990-Infrastructure!J$3)^2+($S1990-Infrastructure!K$3)^2)</f>
        <v>23.34523506</v>
      </c>
      <c r="AW1990" s="331">
        <f>SQRT(($R1990-Infrastructure!J$4)^2+($S1990-Infrastructure!K$4)^2)</f>
        <v>14.36836804</v>
      </c>
      <c r="AX1990" s="331">
        <f>SQRT(($R1990-Infrastructure!J$5)^2+($S1990-Infrastructure!K$5)^2)</f>
        <v>11.01635148</v>
      </c>
      <c r="AY1990" s="331">
        <f>SQRT(($R1990-Infrastructure!J$6)^2+($S1990-Infrastructure!K$6)^2)</f>
        <v>7.802563681</v>
      </c>
      <c r="AZ1990" s="331">
        <f>SQRT(($R1990-Infrastructure!J$7)^2+($S1990-Infrastructure!K$7)^2)</f>
        <v>12.84056074</v>
      </c>
      <c r="BA1990" s="331">
        <f>SQRT(($R1990-Infrastructure!J$8)^2+($S1990-Infrastructure!K$8)^2)</f>
        <v>21.28097742</v>
      </c>
      <c r="BB1990" s="331">
        <f>SQRT(($R1990-Infrastructure!J$9)^2+($S1990-Infrastructure!K$9)^2)</f>
        <v>29.85113063</v>
      </c>
      <c r="BC1990" s="331">
        <f>SQRT(($R1990-Infrastructure!J$10)^2+($S1990-Infrastructure!K$10)^2)</f>
        <v>30.49098227</v>
      </c>
      <c r="BD1990" s="331">
        <f>SQRT(($R1990-Infrastructure!J$11)^2+($S1990-Infrastructure!K$11)^2)</f>
        <v>36.4804057</v>
      </c>
      <c r="BE1990" s="333">
        <f>SQRT(($R1990-Infrastructure!J$12)^2+($S1990-Infrastructure!K$12)^2)</f>
        <v>48.70523586</v>
      </c>
      <c r="BF1990" s="330">
        <f t="shared" si="161"/>
        <v>7.802563681</v>
      </c>
      <c r="BG1990" s="333">
        <f t="shared" si="162"/>
        <v>48.70523586</v>
      </c>
      <c r="BH1990" s="1119"/>
      <c r="BI1990" s="319" t="str">
        <f t="shared" ref="BI1990:BR1990" si="831">IF(ISNUMBER(FIND(BI$3, $CO1990)), "Y", "")</f>
        <v/>
      </c>
      <c r="BJ1990" s="319" t="str">
        <f t="shared" si="831"/>
        <v/>
      </c>
      <c r="BK1990" s="319" t="str">
        <f t="shared" si="831"/>
        <v/>
      </c>
      <c r="BL1990" s="319" t="str">
        <f t="shared" si="831"/>
        <v/>
      </c>
      <c r="BM1990" s="319" t="str">
        <f t="shared" si="831"/>
        <v/>
      </c>
      <c r="BN1990" s="319" t="str">
        <f t="shared" si="831"/>
        <v/>
      </c>
      <c r="BO1990" s="319" t="str">
        <f t="shared" si="831"/>
        <v/>
      </c>
      <c r="BP1990" s="319" t="str">
        <f t="shared" si="831"/>
        <v/>
      </c>
      <c r="BQ1990" s="319" t="str">
        <f t="shared" si="831"/>
        <v/>
      </c>
      <c r="BR1990" s="319" t="str">
        <f t="shared" si="831"/>
        <v/>
      </c>
      <c r="BS1990" s="330">
        <f t="shared" si="185"/>
        <v>0</v>
      </c>
      <c r="BT1990" s="331">
        <f t="shared" si="170"/>
        <v>0</v>
      </c>
      <c r="BU1990" s="920"/>
      <c r="BV1990" s="903" t="str">
        <f t="shared" si="186"/>
        <v/>
      </c>
      <c r="BW1990" s="908"/>
      <c r="BX1990" s="908"/>
      <c r="BY1990" s="331" t="b">
        <f t="shared" si="201"/>
        <v>0</v>
      </c>
      <c r="BZ1990" s="331"/>
      <c r="CA1990" s="462" t="str">
        <f t="shared" ref="CA1990:CJ1990" si="832">IF(ISNUMBER(FIND(BI$3, $CP1990)), "Y", "")</f>
        <v/>
      </c>
      <c r="CB1990" s="319" t="str">
        <f t="shared" si="832"/>
        <v/>
      </c>
      <c r="CC1990" s="319" t="str">
        <f t="shared" si="832"/>
        <v/>
      </c>
      <c r="CD1990" s="319" t="str">
        <f t="shared" si="832"/>
        <v/>
      </c>
      <c r="CE1990" s="319" t="str">
        <f t="shared" si="832"/>
        <v/>
      </c>
      <c r="CF1990" s="319" t="str">
        <f t="shared" si="832"/>
        <v/>
      </c>
      <c r="CG1990" s="319" t="str">
        <f t="shared" si="832"/>
        <v/>
      </c>
      <c r="CH1990" s="319" t="str">
        <f t="shared" si="832"/>
        <v/>
      </c>
      <c r="CI1990" s="319" t="str">
        <f t="shared" si="832"/>
        <v/>
      </c>
      <c r="CJ1990" s="319" t="str">
        <f t="shared" si="832"/>
        <v/>
      </c>
      <c r="CK1990" s="342">
        <f t="shared" si="182"/>
        <v>0</v>
      </c>
      <c r="CL1990" s="333">
        <f t="shared" si="183"/>
        <v>0</v>
      </c>
      <c r="CM1990" s="1079"/>
      <c r="CN1990" s="1005" t="s">
        <v>2968</v>
      </c>
      <c r="CO1990" s="1005"/>
      <c r="CP1990" s="1005"/>
    </row>
    <row r="1991">
      <c r="A1991" s="266"/>
      <c r="B1991" s="1113" t="s">
        <v>1711</v>
      </c>
      <c r="C1991" s="1107">
        <v>45552.0</v>
      </c>
      <c r="D1991" s="1113" t="s">
        <v>986</v>
      </c>
      <c r="E1991" s="1108">
        <v>3.0</v>
      </c>
      <c r="F1991" s="112" t="s">
        <v>2970</v>
      </c>
      <c r="G1991" s="1110">
        <v>0.4576388888888889</v>
      </c>
      <c r="H1991" s="1110">
        <v>0.45850694444444445</v>
      </c>
      <c r="I1991" s="1110"/>
      <c r="J1991" s="1111"/>
      <c r="K1991" s="1111">
        <v>0.4930555555555556</v>
      </c>
      <c r="L1991" s="1112">
        <v>0.034027777777777775</v>
      </c>
      <c r="M1991" s="1113" t="s">
        <v>166</v>
      </c>
      <c r="N1991" s="110" t="s">
        <v>188</v>
      </c>
      <c r="O1991" s="1115" t="s">
        <v>196</v>
      </c>
      <c r="P1991" s="1115" t="s">
        <v>224</v>
      </c>
      <c r="Q1991" s="1115" t="s">
        <v>842</v>
      </c>
      <c r="R1991" s="120">
        <v>21.7</v>
      </c>
      <c r="S1991" s="1113">
        <v>39.5</v>
      </c>
      <c r="T1991" s="110">
        <v>1.3</v>
      </c>
      <c r="U1991" s="1108"/>
      <c r="V1991" s="1108"/>
      <c r="W1991" s="1108"/>
      <c r="X1991" s="1108"/>
      <c r="Y1991" s="1108"/>
      <c r="Z1991" s="1114" t="s">
        <v>387</v>
      </c>
      <c r="AA1991" s="1114"/>
      <c r="AB1991" s="1114" t="s">
        <v>416</v>
      </c>
      <c r="AC1991" s="1117">
        <v>52.5</v>
      </c>
      <c r="AD1991" s="1115"/>
      <c r="AE1991" s="1115"/>
      <c r="AF1991" s="1115"/>
      <c r="AG1991" s="1115"/>
      <c r="AH1991" s="1115"/>
      <c r="AI1991" s="1115"/>
      <c r="AJ1991" s="1117"/>
      <c r="AK1991" s="1118"/>
      <c r="AL1991" s="1115"/>
      <c r="AM1991" s="1115"/>
      <c r="AN1991" s="1115"/>
      <c r="AO1991" s="1115"/>
      <c r="AP1991" s="1115"/>
      <c r="AQ1991" s="1115"/>
      <c r="AR1991" s="1115"/>
      <c r="AS1991" s="1117"/>
      <c r="AT1991" s="1196" t="str">
        <f t="shared" si="428"/>
        <v/>
      </c>
      <c r="AU1991" s="1193"/>
      <c r="AV1991" s="330">
        <f>SQRT(($R1991-Infrastructure!J$3)^2+($S1991-Infrastructure!K$3)^2)</f>
        <v>24.42048321</v>
      </c>
      <c r="AW1991" s="331">
        <f>SQRT(($R1991-Infrastructure!J$4)^2+($S1991-Infrastructure!K$4)^2)</f>
        <v>30.90129447</v>
      </c>
      <c r="AX1991" s="331">
        <f>SQRT(($R1991-Infrastructure!J$5)^2+($S1991-Infrastructure!K$5)^2)</f>
        <v>40.83331973</v>
      </c>
      <c r="AY1991" s="331">
        <f>SQRT(($R1991-Infrastructure!J$6)^2+($S1991-Infrastructure!K$6)^2)</f>
        <v>40.88031311</v>
      </c>
      <c r="AZ1991" s="331">
        <f>SQRT(($R1991-Infrastructure!J$7)^2+($S1991-Infrastructure!K$7)^2)</f>
        <v>39.21836305</v>
      </c>
      <c r="BA1991" s="331">
        <f>SQRT(($R1991-Infrastructure!J$8)^2+($S1991-Infrastructure!K$8)^2)</f>
        <v>40.08989898</v>
      </c>
      <c r="BB1991" s="331">
        <f>SQRT(($R1991-Infrastructure!J$9)^2+($S1991-Infrastructure!K$9)^2)</f>
        <v>38.96472764</v>
      </c>
      <c r="BC1991" s="331">
        <f>SQRT(($R1991-Infrastructure!J$10)^2+($S1991-Infrastructure!K$10)^2)</f>
        <v>30.58005886</v>
      </c>
      <c r="BD1991" s="331">
        <f>SQRT(($R1991-Infrastructure!J$11)^2+($S1991-Infrastructure!K$11)^2)</f>
        <v>21.27204739</v>
      </c>
      <c r="BE1991" s="333">
        <f>SQRT(($R1991-Infrastructure!J$12)^2+($S1991-Infrastructure!K$12)^2)</f>
        <v>16.00124995</v>
      </c>
      <c r="BF1991" s="330">
        <f t="shared" si="161"/>
        <v>16.00124995</v>
      </c>
      <c r="BG1991" s="333">
        <f t="shared" si="162"/>
        <v>40.88031311</v>
      </c>
      <c r="BH1991" s="1119"/>
      <c r="BI1991" s="319" t="str">
        <f t="shared" ref="BI1991:BR1991" si="833">IF(ISNUMBER(FIND(BI$3, $CO1991)), "Y", "")</f>
        <v>Y</v>
      </c>
      <c r="BJ1991" s="319" t="str">
        <f t="shared" si="833"/>
        <v/>
      </c>
      <c r="BK1991" s="319" t="str">
        <f t="shared" si="833"/>
        <v>Y</v>
      </c>
      <c r="BL1991" s="319" t="str">
        <f t="shared" si="833"/>
        <v>Y</v>
      </c>
      <c r="BM1991" s="319" t="str">
        <f t="shared" si="833"/>
        <v>Y</v>
      </c>
      <c r="BN1991" s="319" t="str">
        <f t="shared" si="833"/>
        <v>Y</v>
      </c>
      <c r="BO1991" s="319" t="str">
        <f t="shared" si="833"/>
        <v>Y</v>
      </c>
      <c r="BP1991" s="319" t="str">
        <f t="shared" si="833"/>
        <v/>
      </c>
      <c r="BQ1991" s="319" t="str">
        <f t="shared" si="833"/>
        <v>Y</v>
      </c>
      <c r="BR1991" s="319" t="str">
        <f t="shared" si="833"/>
        <v>Y</v>
      </c>
      <c r="BS1991" s="330">
        <f t="shared" si="185"/>
        <v>16.00124995</v>
      </c>
      <c r="BT1991" s="331">
        <f t="shared" si="170"/>
        <v>40.88031311</v>
      </c>
      <c r="BU1991" s="920">
        <v>0.45828703703703705</v>
      </c>
      <c r="BV1991" s="903">
        <f t="shared" si="186"/>
        <v>0.0006481481481</v>
      </c>
      <c r="BW1991" s="908">
        <v>12.6</v>
      </c>
      <c r="BX1991" s="908">
        <v>39.4</v>
      </c>
      <c r="BY1991" s="331">
        <f t="shared" si="201"/>
        <v>9.100549434</v>
      </c>
      <c r="BZ1991" s="331"/>
      <c r="CA1991" s="462" t="str">
        <f t="shared" ref="CA1991:CJ1991" si="834">IF(ISNUMBER(FIND(BI$3, $CP1991)), "Y", "")</f>
        <v/>
      </c>
      <c r="CB1991" s="319" t="str">
        <f t="shared" si="834"/>
        <v/>
      </c>
      <c r="CC1991" s="319" t="str">
        <f t="shared" si="834"/>
        <v/>
      </c>
      <c r="CD1991" s="319" t="str">
        <f t="shared" si="834"/>
        <v/>
      </c>
      <c r="CE1991" s="319" t="str">
        <f t="shared" si="834"/>
        <v/>
      </c>
      <c r="CF1991" s="319" t="str">
        <f t="shared" si="834"/>
        <v/>
      </c>
      <c r="CG1991" s="319" t="str">
        <f t="shared" si="834"/>
        <v/>
      </c>
      <c r="CH1991" s="319" t="str">
        <f t="shared" si="834"/>
        <v/>
      </c>
      <c r="CI1991" s="319" t="str">
        <f t="shared" si="834"/>
        <v/>
      </c>
      <c r="CJ1991" s="319" t="str">
        <f t="shared" si="834"/>
        <v/>
      </c>
      <c r="CK1991" s="342">
        <f t="shared" si="182"/>
        <v>0</v>
      </c>
      <c r="CL1991" s="333">
        <f t="shared" si="183"/>
        <v>0</v>
      </c>
      <c r="CM1991" s="1079"/>
      <c r="CN1991" s="1005" t="s">
        <v>2968</v>
      </c>
      <c r="CO1991" s="1005" t="s">
        <v>2460</v>
      </c>
      <c r="CP1991" s="1005"/>
    </row>
    <row r="1992">
      <c r="A1992" s="266"/>
      <c r="B1992" s="1113" t="s">
        <v>1711</v>
      </c>
      <c r="C1992" s="1107">
        <v>45552.0</v>
      </c>
      <c r="D1992" s="1113" t="s">
        <v>986</v>
      </c>
      <c r="E1992" s="1108">
        <v>4.0</v>
      </c>
      <c r="F1992" s="112" t="s">
        <v>2971</v>
      </c>
      <c r="G1992" s="1110">
        <v>0.4996527777777778</v>
      </c>
      <c r="H1992" s="1110">
        <v>0.5</v>
      </c>
      <c r="I1992" s="1110"/>
      <c r="J1992" s="1111"/>
      <c r="K1992" s="1111">
        <v>0.534375</v>
      </c>
      <c r="L1992" s="1112">
        <v>0.034027777777777775</v>
      </c>
      <c r="M1992" s="1113" t="s">
        <v>166</v>
      </c>
      <c r="N1992" s="110" t="s">
        <v>187</v>
      </c>
      <c r="O1992" s="1115" t="s">
        <v>199</v>
      </c>
      <c r="P1992" s="1115" t="s">
        <v>272</v>
      </c>
      <c r="Q1992" s="1116"/>
      <c r="R1992" s="120">
        <v>16.1</v>
      </c>
      <c r="S1992" s="1113">
        <v>9.6</v>
      </c>
      <c r="T1992" s="110">
        <v>0.01</v>
      </c>
      <c r="U1992" s="1108"/>
      <c r="V1992" s="1108"/>
      <c r="W1992" s="1108"/>
      <c r="X1992" s="1108"/>
      <c r="Y1992" s="1108"/>
      <c r="Z1992" s="1114" t="s">
        <v>351</v>
      </c>
      <c r="AA1992" s="1114"/>
      <c r="AB1992" s="1114" t="s">
        <v>388</v>
      </c>
      <c r="AC1992" s="1117">
        <v>8.0</v>
      </c>
      <c r="AD1992" s="1115"/>
      <c r="AE1992" s="1115"/>
      <c r="AF1992" s="1115"/>
      <c r="AG1992" s="1115"/>
      <c r="AH1992" s="1115"/>
      <c r="AI1992" s="1115"/>
      <c r="AJ1992" s="1117"/>
      <c r="AK1992" s="1118"/>
      <c r="AL1992" s="1115"/>
      <c r="AM1992" s="1115"/>
      <c r="AN1992" s="1115"/>
      <c r="AO1992" s="1115"/>
      <c r="AP1992" s="1115"/>
      <c r="AQ1992" s="1115"/>
      <c r="AR1992" s="1115"/>
      <c r="AS1992" s="1117"/>
      <c r="AT1992" s="1196" t="str">
        <f t="shared" si="428"/>
        <v/>
      </c>
      <c r="AU1992" s="1193"/>
      <c r="AV1992" s="330">
        <f>SQRT(($R1992-Infrastructure!J$3)^2+($S1992-Infrastructure!K$3)^2)</f>
        <v>25.32686321</v>
      </c>
      <c r="AW1992" s="331">
        <f>SQRT(($R1992-Infrastructure!J$4)^2+($S1992-Infrastructure!K$4)^2)</f>
        <v>18.33575742</v>
      </c>
      <c r="AX1992" s="331">
        <f>SQRT(($R1992-Infrastructure!J$5)^2+($S1992-Infrastructure!K$5)^2)</f>
        <v>17.00617535</v>
      </c>
      <c r="AY1992" s="331">
        <f>SQRT(($R1992-Infrastructure!J$6)^2+($S1992-Infrastructure!K$6)^2)</f>
        <v>11.06752005</v>
      </c>
      <c r="AZ1992" s="331">
        <f>SQRT(($R1992-Infrastructure!J$7)^2+($S1992-Infrastructure!K$7)^2)</f>
        <v>10.28834292</v>
      </c>
      <c r="BA1992" s="331">
        <f>SQRT(($R1992-Infrastructure!J$8)^2+($S1992-Infrastructure!K$8)^2)</f>
        <v>16.80743883</v>
      </c>
      <c r="BB1992" s="331">
        <f>SQRT(($R1992-Infrastructure!J$9)^2+($S1992-Infrastructure!K$9)^2)</f>
        <v>24.31995066</v>
      </c>
      <c r="BC1992" s="331">
        <f>SQRT(($R1992-Infrastructure!J$10)^2+($S1992-Infrastructure!K$10)^2)</f>
        <v>24.50244886</v>
      </c>
      <c r="BD1992" s="331">
        <f>SQRT(($R1992-Infrastructure!J$11)^2+($S1992-Infrastructure!K$11)^2)</f>
        <v>30.93816413</v>
      </c>
      <c r="BE1992" s="333">
        <f>SQRT(($R1992-Infrastructure!J$12)^2+($S1992-Infrastructure!K$12)^2)</f>
        <v>46.21655548</v>
      </c>
      <c r="BF1992" s="330">
        <f t="shared" si="161"/>
        <v>10.28834292</v>
      </c>
      <c r="BG1992" s="333">
        <f t="shared" si="162"/>
        <v>46.21655548</v>
      </c>
      <c r="BH1992" s="1119"/>
      <c r="BI1992" s="319" t="str">
        <f t="shared" ref="BI1992:BR1992" si="835">IF(ISNUMBER(FIND(BI$3, $CO1992)), "Y", "")</f>
        <v/>
      </c>
      <c r="BJ1992" s="319" t="str">
        <f t="shared" si="835"/>
        <v/>
      </c>
      <c r="BK1992" s="319" t="str">
        <f t="shared" si="835"/>
        <v/>
      </c>
      <c r="BL1992" s="319" t="str">
        <f t="shared" si="835"/>
        <v/>
      </c>
      <c r="BM1992" s="319" t="str">
        <f t="shared" si="835"/>
        <v/>
      </c>
      <c r="BN1992" s="319" t="str">
        <f t="shared" si="835"/>
        <v/>
      </c>
      <c r="BO1992" s="319" t="str">
        <f t="shared" si="835"/>
        <v/>
      </c>
      <c r="BP1992" s="319" t="str">
        <f t="shared" si="835"/>
        <v/>
      </c>
      <c r="BQ1992" s="319" t="str">
        <f t="shared" si="835"/>
        <v/>
      </c>
      <c r="BR1992" s="319" t="str">
        <f t="shared" si="835"/>
        <v/>
      </c>
      <c r="BS1992" s="330">
        <f t="shared" si="185"/>
        <v>0</v>
      </c>
      <c r="BT1992" s="331">
        <f t="shared" si="170"/>
        <v>0</v>
      </c>
      <c r="BU1992" s="920"/>
      <c r="BV1992" s="903" t="str">
        <f t="shared" si="186"/>
        <v/>
      </c>
      <c r="BW1992" s="908"/>
      <c r="BX1992" s="908"/>
      <c r="BY1992" s="331" t="b">
        <f t="shared" si="201"/>
        <v>0</v>
      </c>
      <c r="BZ1992" s="331"/>
      <c r="CA1992" s="462" t="str">
        <f t="shared" ref="CA1992:CJ1992" si="836">IF(ISNUMBER(FIND(BI$3, $CP1992)), "Y", "")</f>
        <v/>
      </c>
      <c r="CB1992" s="319" t="str">
        <f t="shared" si="836"/>
        <v/>
      </c>
      <c r="CC1992" s="319" t="str">
        <f t="shared" si="836"/>
        <v/>
      </c>
      <c r="CD1992" s="319" t="str">
        <f t="shared" si="836"/>
        <v/>
      </c>
      <c r="CE1992" s="319" t="str">
        <f t="shared" si="836"/>
        <v/>
      </c>
      <c r="CF1992" s="319" t="str">
        <f t="shared" si="836"/>
        <v/>
      </c>
      <c r="CG1992" s="319" t="str">
        <f t="shared" si="836"/>
        <v/>
      </c>
      <c r="CH1992" s="319" t="str">
        <f t="shared" si="836"/>
        <v/>
      </c>
      <c r="CI1992" s="319" t="str">
        <f t="shared" si="836"/>
        <v/>
      </c>
      <c r="CJ1992" s="319" t="str">
        <f t="shared" si="836"/>
        <v/>
      </c>
      <c r="CK1992" s="342">
        <f t="shared" si="182"/>
        <v>0</v>
      </c>
      <c r="CL1992" s="333">
        <f t="shared" si="183"/>
        <v>0</v>
      </c>
      <c r="CM1992" s="1079"/>
      <c r="CN1992" s="1005" t="s">
        <v>2968</v>
      </c>
      <c r="CO1992" s="1005"/>
      <c r="CP1992" s="1005"/>
    </row>
    <row r="1993">
      <c r="A1993" s="266"/>
      <c r="B1993" s="1113" t="s">
        <v>1711</v>
      </c>
      <c r="C1993" s="1107">
        <v>45552.0</v>
      </c>
      <c r="D1993" s="1113" t="s">
        <v>986</v>
      </c>
      <c r="E1993" s="1108">
        <v>6.0</v>
      </c>
      <c r="F1993" s="112" t="s">
        <v>2972</v>
      </c>
      <c r="G1993" s="1110">
        <v>0.5822916666666667</v>
      </c>
      <c r="H1993" s="1110">
        <v>0.5833333333333334</v>
      </c>
      <c r="I1993" s="1110"/>
      <c r="J1993" s="1111"/>
      <c r="K1993" s="1111">
        <v>0.6145833333333334</v>
      </c>
      <c r="L1993" s="1112">
        <v>0.03125</v>
      </c>
      <c r="M1993" s="1113" t="s">
        <v>166</v>
      </c>
      <c r="N1993" s="110" t="s">
        <v>188</v>
      </c>
      <c r="O1993" s="1115" t="s">
        <v>378</v>
      </c>
      <c r="P1993" s="1115" t="s">
        <v>225</v>
      </c>
      <c r="Q1993" s="1115" t="s">
        <v>842</v>
      </c>
      <c r="R1993" s="120">
        <v>22.7</v>
      </c>
      <c r="S1993" s="1113">
        <v>39.7</v>
      </c>
      <c r="T1993" s="110">
        <v>1.1</v>
      </c>
      <c r="U1993" s="1108"/>
      <c r="V1993" s="1108"/>
      <c r="W1993" s="1108"/>
      <c r="X1993" s="1108"/>
      <c r="Y1993" s="1108"/>
      <c r="Z1993" s="1114" t="s">
        <v>1140</v>
      </c>
      <c r="AA1993" s="1114"/>
      <c r="AB1993" s="1114" t="s">
        <v>410</v>
      </c>
      <c r="AC1993" s="1117">
        <v>22.1</v>
      </c>
      <c r="AD1993" s="1115"/>
      <c r="AE1993" s="1115"/>
      <c r="AF1993" s="1115"/>
      <c r="AG1993" s="1115"/>
      <c r="AH1993" s="1115"/>
      <c r="AI1993" s="1115"/>
      <c r="AJ1993" s="1117"/>
      <c r="AK1993" s="1118"/>
      <c r="AL1993" s="1115"/>
      <c r="AM1993" s="1115"/>
      <c r="AN1993" s="1115"/>
      <c r="AO1993" s="1115"/>
      <c r="AP1993" s="1115"/>
      <c r="AQ1993" s="1115"/>
      <c r="AR1993" s="1115"/>
      <c r="AS1993" s="1117"/>
      <c r="AT1993" s="1196" t="str">
        <f t="shared" si="428"/>
        <v/>
      </c>
      <c r="AU1993" s="1193"/>
      <c r="AV1993" s="330">
        <f>SQRT(($R1993-Infrastructure!J$3)^2+($S1993-Infrastructure!K$3)^2)</f>
        <v>25.40944706</v>
      </c>
      <c r="AW1993" s="331">
        <f>SQRT(($R1993-Infrastructure!J$4)^2+($S1993-Infrastructure!K$4)^2)</f>
        <v>31.75862088</v>
      </c>
      <c r="AX1993" s="331">
        <f>SQRT(($R1993-Infrastructure!J$5)^2+($S1993-Infrastructure!K$5)^2)</f>
        <v>41.54708173</v>
      </c>
      <c r="AY1993" s="331">
        <f>SQRT(($R1993-Infrastructure!J$6)^2+($S1993-Infrastructure!K$6)^2)</f>
        <v>41.36568626</v>
      </c>
      <c r="AZ1993" s="331">
        <f>SQRT(($R1993-Infrastructure!J$7)^2+($S1993-Infrastructure!K$7)^2)</f>
        <v>39.46137352</v>
      </c>
      <c r="BA1993" s="331">
        <f>SQRT(($R1993-Infrastructure!J$8)^2+($S1993-Infrastructure!K$8)^2)</f>
        <v>40.08890121</v>
      </c>
      <c r="BB1993" s="331">
        <f>SQRT(($R1993-Infrastructure!J$9)^2+($S1993-Infrastructure!K$9)^2)</f>
        <v>38.68397601</v>
      </c>
      <c r="BC1993" s="331">
        <f>SQRT(($R1993-Infrastructure!J$10)^2+($S1993-Infrastructure!K$10)^2)</f>
        <v>30.15592811</v>
      </c>
      <c r="BD1993" s="331">
        <f>SQRT(($R1993-Infrastructure!J$11)^2+($S1993-Infrastructure!K$11)^2)</f>
        <v>20.51194774</v>
      </c>
      <c r="BE1993" s="333">
        <f>SQRT(($R1993-Infrastructure!J$12)^2+($S1993-Infrastructure!K$12)^2)</f>
        <v>15.84550409</v>
      </c>
      <c r="BF1993" s="330">
        <f t="shared" si="161"/>
        <v>15.84550409</v>
      </c>
      <c r="BG1993" s="333">
        <f t="shared" si="162"/>
        <v>41.54708173</v>
      </c>
      <c r="BH1993" s="1119"/>
      <c r="BI1993" s="319" t="str">
        <f t="shared" ref="BI1993:BR1993" si="837">IF(ISNUMBER(FIND(BI$3, $CO1993)), "Y", "")</f>
        <v>Y</v>
      </c>
      <c r="BJ1993" s="319" t="str">
        <f t="shared" si="837"/>
        <v>Y</v>
      </c>
      <c r="BK1993" s="319" t="str">
        <f t="shared" si="837"/>
        <v>Y</v>
      </c>
      <c r="BL1993" s="319" t="str">
        <f t="shared" si="837"/>
        <v>Y</v>
      </c>
      <c r="BM1993" s="319" t="str">
        <f t="shared" si="837"/>
        <v>Y</v>
      </c>
      <c r="BN1993" s="319" t="str">
        <f t="shared" si="837"/>
        <v>Y</v>
      </c>
      <c r="BO1993" s="319" t="str">
        <f t="shared" si="837"/>
        <v>Y</v>
      </c>
      <c r="BP1993" s="319" t="str">
        <f t="shared" si="837"/>
        <v/>
      </c>
      <c r="BQ1993" s="319" t="str">
        <f t="shared" si="837"/>
        <v>Y</v>
      </c>
      <c r="BR1993" s="319" t="str">
        <f t="shared" si="837"/>
        <v>Y</v>
      </c>
      <c r="BS1993" s="330">
        <f t="shared" si="185"/>
        <v>15.84550409</v>
      </c>
      <c r="BT1993" s="331">
        <f t="shared" si="170"/>
        <v>41.54708173</v>
      </c>
      <c r="BU1993" s="920">
        <v>0.5828240740740741</v>
      </c>
      <c r="BV1993" s="903">
        <f t="shared" si="186"/>
        <v>0.0005324074074</v>
      </c>
      <c r="BW1993" s="908">
        <v>14.6</v>
      </c>
      <c r="BX1993" s="908">
        <v>37.7</v>
      </c>
      <c r="BY1993" s="331">
        <f t="shared" si="201"/>
        <v>8.343260753</v>
      </c>
      <c r="BZ1993" s="331"/>
      <c r="CA1993" s="462" t="str">
        <f t="shared" ref="CA1993:CJ1993" si="838">IF(ISNUMBER(FIND(BI$3, $CP1993)), "Y", "")</f>
        <v/>
      </c>
      <c r="CB1993" s="319" t="str">
        <f t="shared" si="838"/>
        <v/>
      </c>
      <c r="CC1993" s="319" t="str">
        <f t="shared" si="838"/>
        <v/>
      </c>
      <c r="CD1993" s="319" t="str">
        <f t="shared" si="838"/>
        <v/>
      </c>
      <c r="CE1993" s="319" t="str">
        <f t="shared" si="838"/>
        <v/>
      </c>
      <c r="CF1993" s="319" t="str">
        <f t="shared" si="838"/>
        <v/>
      </c>
      <c r="CG1993" s="319" t="str">
        <f t="shared" si="838"/>
        <v/>
      </c>
      <c r="CH1993" s="319" t="str">
        <f t="shared" si="838"/>
        <v/>
      </c>
      <c r="CI1993" s="319" t="str">
        <f t="shared" si="838"/>
        <v/>
      </c>
      <c r="CJ1993" s="319" t="str">
        <f t="shared" si="838"/>
        <v/>
      </c>
      <c r="CK1993" s="342">
        <f t="shared" si="182"/>
        <v>0</v>
      </c>
      <c r="CL1993" s="333">
        <f t="shared" si="183"/>
        <v>0</v>
      </c>
      <c r="CM1993" s="1079"/>
      <c r="CN1993" s="1005" t="s">
        <v>2973</v>
      </c>
      <c r="CO1993" s="1005" t="s">
        <v>2400</v>
      </c>
      <c r="CP1993" s="1005"/>
    </row>
    <row r="1994">
      <c r="A1994" s="266"/>
      <c r="B1994" s="1113" t="s">
        <v>1711</v>
      </c>
      <c r="C1994" s="1107">
        <v>45552.0</v>
      </c>
      <c r="D1994" s="1113" t="s">
        <v>986</v>
      </c>
      <c r="E1994" s="1108">
        <v>7.0</v>
      </c>
      <c r="F1994" s="112" t="s">
        <v>2974</v>
      </c>
      <c r="G1994" s="1110">
        <v>0.6236111111111111</v>
      </c>
      <c r="H1994" s="1110">
        <v>0.6237847222222223</v>
      </c>
      <c r="I1994" s="1110"/>
      <c r="J1994" s="1111"/>
      <c r="K1994" s="1111">
        <v>0.6555555555555556</v>
      </c>
      <c r="L1994" s="1112">
        <v>0.03125</v>
      </c>
      <c r="M1994" s="1113" t="s">
        <v>166</v>
      </c>
      <c r="N1994" s="110" t="s">
        <v>187</v>
      </c>
      <c r="O1994" s="1115" t="s">
        <v>203</v>
      </c>
      <c r="P1994" s="1115" t="s">
        <v>227</v>
      </c>
      <c r="Q1994" s="1116"/>
      <c r="R1994" s="120">
        <v>15.5</v>
      </c>
      <c r="S1994" s="1113">
        <v>3.4</v>
      </c>
      <c r="T1994" s="110">
        <v>1.4</v>
      </c>
      <c r="U1994" s="1108"/>
      <c r="V1994" s="1108"/>
      <c r="W1994" s="1108"/>
      <c r="X1994" s="1108"/>
      <c r="Y1994" s="1108"/>
      <c r="Z1994" s="1114" t="s">
        <v>1690</v>
      </c>
      <c r="AA1994" s="1114"/>
      <c r="AB1994" s="1114" t="s">
        <v>371</v>
      </c>
      <c r="AC1994" s="1117">
        <v>1.8</v>
      </c>
      <c r="AD1994" s="1115"/>
      <c r="AE1994" s="1115"/>
      <c r="AF1994" s="1115"/>
      <c r="AG1994" s="1115"/>
      <c r="AH1994" s="1115"/>
      <c r="AI1994" s="1115"/>
      <c r="AJ1994" s="1117"/>
      <c r="AK1994" s="1118"/>
      <c r="AL1994" s="1115"/>
      <c r="AM1994" s="1115"/>
      <c r="AN1994" s="1115"/>
      <c r="AO1994" s="1115"/>
      <c r="AP1994" s="1115"/>
      <c r="AQ1994" s="1115"/>
      <c r="AR1994" s="1115"/>
      <c r="AS1994" s="1117"/>
      <c r="AT1994" s="1196" t="str">
        <f t="shared" si="428"/>
        <v/>
      </c>
      <c r="AU1994" s="1193"/>
      <c r="AV1994" s="330">
        <f>SQRT(($R1994-Infrastructure!J$3)^2+($S1994-Infrastructure!K$3)^2)</f>
        <v>29.99816661</v>
      </c>
      <c r="AW1994" s="331">
        <f>SQRT(($R1994-Infrastructure!J$4)^2+($S1994-Infrastructure!K$4)^2)</f>
        <v>21.37755833</v>
      </c>
      <c r="AX1994" s="331">
        <f>SQRT(($R1994-Infrastructure!J$5)^2+($S1994-Infrastructure!K$5)^2)</f>
        <v>15.89119253</v>
      </c>
      <c r="AY1994" s="331">
        <f>SQRT(($R1994-Infrastructure!J$6)^2+($S1994-Infrastructure!K$6)^2)</f>
        <v>6.22655603</v>
      </c>
      <c r="AZ1994" s="331">
        <f>SQRT(($R1994-Infrastructure!J$7)^2+($S1994-Infrastructure!K$7)^2)</f>
        <v>5.883026432</v>
      </c>
      <c r="BA1994" s="331">
        <f>SQRT(($R1994-Infrastructure!J$8)^2+($S1994-Infrastructure!K$8)^2)</f>
        <v>14.92548157</v>
      </c>
      <c r="BB1994" s="331">
        <f>SQRT(($R1994-Infrastructure!J$9)^2+($S1994-Infrastructure!K$9)^2)</f>
        <v>24.55890877</v>
      </c>
      <c r="BC1994" s="331">
        <f>SQRT(($R1994-Infrastructure!J$10)^2+($S1994-Infrastructure!K$10)^2)</f>
        <v>27.10737907</v>
      </c>
      <c r="BD1994" s="331">
        <f>SQRT(($R1994-Infrastructure!J$11)^2+($S1994-Infrastructure!K$11)^2)</f>
        <v>35.57316404</v>
      </c>
      <c r="BE1994" s="333">
        <f>SQRT(($R1994-Infrastructure!J$12)^2+($S1994-Infrastructure!K$12)^2)</f>
        <v>52.44435146</v>
      </c>
      <c r="BF1994" s="330">
        <f t="shared" si="161"/>
        <v>5.883026432</v>
      </c>
      <c r="BG1994" s="333">
        <f t="shared" si="162"/>
        <v>52.44435146</v>
      </c>
      <c r="BH1994" s="1119"/>
      <c r="BI1994" s="319" t="str">
        <f t="shared" ref="BI1994:BR1994" si="839">IF(ISNUMBER(FIND(BI$3, $CO1994)), "Y", "")</f>
        <v/>
      </c>
      <c r="BJ1994" s="319" t="str">
        <f t="shared" si="839"/>
        <v/>
      </c>
      <c r="BK1994" s="319" t="str">
        <f t="shared" si="839"/>
        <v/>
      </c>
      <c r="BL1994" s="319" t="str">
        <f t="shared" si="839"/>
        <v/>
      </c>
      <c r="BM1994" s="319" t="str">
        <f t="shared" si="839"/>
        <v/>
      </c>
      <c r="BN1994" s="319" t="str">
        <f t="shared" si="839"/>
        <v/>
      </c>
      <c r="BO1994" s="319" t="str">
        <f t="shared" si="839"/>
        <v/>
      </c>
      <c r="BP1994" s="319" t="str">
        <f t="shared" si="839"/>
        <v/>
      </c>
      <c r="BQ1994" s="319" t="str">
        <f t="shared" si="839"/>
        <v/>
      </c>
      <c r="BR1994" s="319" t="str">
        <f t="shared" si="839"/>
        <v/>
      </c>
      <c r="BS1994" s="330">
        <f t="shared" si="185"/>
        <v>0</v>
      </c>
      <c r="BT1994" s="331">
        <f t="shared" si="170"/>
        <v>0</v>
      </c>
      <c r="BU1994" s="920"/>
      <c r="BV1994" s="903" t="str">
        <f t="shared" si="186"/>
        <v/>
      </c>
      <c r="BW1994" s="908"/>
      <c r="BX1994" s="908"/>
      <c r="BY1994" s="331" t="b">
        <f t="shared" si="201"/>
        <v>0</v>
      </c>
      <c r="BZ1994" s="331"/>
      <c r="CA1994" s="462" t="str">
        <f t="shared" ref="CA1994:CJ1994" si="840">IF(ISNUMBER(FIND(BI$3, $CP1994)), "Y", "")</f>
        <v/>
      </c>
      <c r="CB1994" s="319" t="str">
        <f t="shared" si="840"/>
        <v/>
      </c>
      <c r="CC1994" s="319" t="str">
        <f t="shared" si="840"/>
        <v/>
      </c>
      <c r="CD1994" s="319" t="str">
        <f t="shared" si="840"/>
        <v/>
      </c>
      <c r="CE1994" s="319" t="str">
        <f t="shared" si="840"/>
        <v/>
      </c>
      <c r="CF1994" s="319" t="str">
        <f t="shared" si="840"/>
        <v/>
      </c>
      <c r="CG1994" s="319" t="str">
        <f t="shared" si="840"/>
        <v/>
      </c>
      <c r="CH1994" s="319" t="str">
        <f t="shared" si="840"/>
        <v/>
      </c>
      <c r="CI1994" s="319" t="str">
        <f t="shared" si="840"/>
        <v/>
      </c>
      <c r="CJ1994" s="319" t="str">
        <f t="shared" si="840"/>
        <v/>
      </c>
      <c r="CK1994" s="342">
        <f t="shared" si="182"/>
        <v>0</v>
      </c>
      <c r="CL1994" s="333">
        <f t="shared" si="183"/>
        <v>0</v>
      </c>
      <c r="CM1994" s="1079" t="s">
        <v>2975</v>
      </c>
      <c r="CN1994" s="1005" t="s">
        <v>2973</v>
      </c>
      <c r="CO1994" s="1005"/>
      <c r="CP1994" s="1005"/>
    </row>
    <row r="1995">
      <c r="A1995" s="266"/>
      <c r="B1995" s="1113" t="s">
        <v>1711</v>
      </c>
      <c r="C1995" s="1107">
        <v>45552.0</v>
      </c>
      <c r="D1995" s="1113" t="s">
        <v>986</v>
      </c>
      <c r="E1995" s="1108">
        <v>8.0</v>
      </c>
      <c r="F1995" s="112" t="s">
        <v>2976</v>
      </c>
      <c r="G1995" s="1110"/>
      <c r="H1995" s="1138"/>
      <c r="I1995" s="1138"/>
      <c r="J1995" s="1139"/>
      <c r="K1995" s="1111"/>
      <c r="L1995" s="1112">
        <v>0.0</v>
      </c>
      <c r="M1995" s="1113" t="s">
        <v>166</v>
      </c>
      <c r="N1995" s="110" t="s">
        <v>188</v>
      </c>
      <c r="O1995" s="1115" t="s">
        <v>196</v>
      </c>
      <c r="P1995" s="1115" t="s">
        <v>224</v>
      </c>
      <c r="Q1995" s="1115" t="s">
        <v>842</v>
      </c>
      <c r="R1995" s="120">
        <v>21.7</v>
      </c>
      <c r="S1995" s="1113">
        <v>39.5</v>
      </c>
      <c r="T1995" s="110">
        <v>1.3</v>
      </c>
      <c r="U1995" s="1108"/>
      <c r="V1995" s="1108"/>
      <c r="W1995" s="1108"/>
      <c r="X1995" s="1108"/>
      <c r="Y1995" s="1108"/>
      <c r="Z1995" s="1114" t="s">
        <v>387</v>
      </c>
      <c r="AA1995" s="1114"/>
      <c r="AB1995" s="1114" t="s">
        <v>419</v>
      </c>
      <c r="AC1995" s="1117">
        <v>77.9</v>
      </c>
      <c r="AD1995" s="1115"/>
      <c r="AE1995" s="1115"/>
      <c r="AF1995" s="1115"/>
      <c r="AG1995" s="1115"/>
      <c r="AH1995" s="1115"/>
      <c r="AI1995" s="1115"/>
      <c r="AJ1995" s="1117"/>
      <c r="AK1995" s="1118"/>
      <c r="AL1995" s="1115"/>
      <c r="AM1995" s="1115"/>
      <c r="AN1995" s="1115"/>
      <c r="AO1995" s="1115"/>
      <c r="AP1995" s="1115"/>
      <c r="AQ1995" s="1115"/>
      <c r="AR1995" s="1115"/>
      <c r="AS1995" s="1117"/>
      <c r="AT1995" s="1196" t="str">
        <f t="shared" si="428"/>
        <v/>
      </c>
      <c r="AU1995" s="1193"/>
      <c r="AV1995" s="330">
        <f>SQRT(($R1995-Infrastructure!J$3)^2+($S1995-Infrastructure!K$3)^2)</f>
        <v>24.42048321</v>
      </c>
      <c r="AW1995" s="331">
        <f>SQRT(($R1995-Infrastructure!J$4)^2+($S1995-Infrastructure!K$4)^2)</f>
        <v>30.90129447</v>
      </c>
      <c r="AX1995" s="331">
        <f>SQRT(($R1995-Infrastructure!J$5)^2+($S1995-Infrastructure!K$5)^2)</f>
        <v>40.83331973</v>
      </c>
      <c r="AY1995" s="331">
        <f>SQRT(($R1995-Infrastructure!J$6)^2+($S1995-Infrastructure!K$6)^2)</f>
        <v>40.88031311</v>
      </c>
      <c r="AZ1995" s="331">
        <f>SQRT(($R1995-Infrastructure!J$7)^2+($S1995-Infrastructure!K$7)^2)</f>
        <v>39.21836305</v>
      </c>
      <c r="BA1995" s="331">
        <f>SQRT(($R1995-Infrastructure!J$8)^2+($S1995-Infrastructure!K$8)^2)</f>
        <v>40.08989898</v>
      </c>
      <c r="BB1995" s="331">
        <f>SQRT(($R1995-Infrastructure!J$9)^2+($S1995-Infrastructure!K$9)^2)</f>
        <v>38.96472764</v>
      </c>
      <c r="BC1995" s="331">
        <f>SQRT(($R1995-Infrastructure!J$10)^2+($S1995-Infrastructure!K$10)^2)</f>
        <v>30.58005886</v>
      </c>
      <c r="BD1995" s="331">
        <f>SQRT(($R1995-Infrastructure!J$11)^2+($S1995-Infrastructure!K$11)^2)</f>
        <v>21.27204739</v>
      </c>
      <c r="BE1995" s="333">
        <f>SQRT(($R1995-Infrastructure!J$12)^2+($S1995-Infrastructure!K$12)^2)</f>
        <v>16.00124995</v>
      </c>
      <c r="BF1995" s="330">
        <f t="shared" si="161"/>
        <v>16.00124995</v>
      </c>
      <c r="BG1995" s="333">
        <f t="shared" si="162"/>
        <v>40.88031311</v>
      </c>
      <c r="BH1995" s="1119"/>
      <c r="BI1995" s="319" t="str">
        <f t="shared" ref="BI1995:BR1995" si="841">IF(ISNUMBER(FIND(BI$3, $CO1995)), "Y", "")</f>
        <v/>
      </c>
      <c r="BJ1995" s="319" t="str">
        <f t="shared" si="841"/>
        <v/>
      </c>
      <c r="BK1995" s="319" t="str">
        <f t="shared" si="841"/>
        <v/>
      </c>
      <c r="BL1995" s="319" t="str">
        <f t="shared" si="841"/>
        <v/>
      </c>
      <c r="BM1995" s="319" t="str">
        <f t="shared" si="841"/>
        <v/>
      </c>
      <c r="BN1995" s="319" t="str">
        <f t="shared" si="841"/>
        <v/>
      </c>
      <c r="BO1995" s="319" t="str">
        <f t="shared" si="841"/>
        <v/>
      </c>
      <c r="BP1995" s="319" t="str">
        <f t="shared" si="841"/>
        <v/>
      </c>
      <c r="BQ1995" s="319" t="str">
        <f t="shared" si="841"/>
        <v/>
      </c>
      <c r="BR1995" s="319" t="str">
        <f t="shared" si="841"/>
        <v/>
      </c>
      <c r="BS1995" s="330">
        <f t="shared" si="185"/>
        <v>0</v>
      </c>
      <c r="BT1995" s="331">
        <f t="shared" si="170"/>
        <v>0</v>
      </c>
      <c r="BU1995" s="920"/>
      <c r="BV1995" s="903" t="str">
        <f t="shared" si="186"/>
        <v/>
      </c>
      <c r="BW1995" s="908"/>
      <c r="BX1995" s="908"/>
      <c r="BY1995" s="331" t="b">
        <f t="shared" si="201"/>
        <v>0</v>
      </c>
      <c r="BZ1995" s="331"/>
      <c r="CA1995" s="462" t="str">
        <f t="shared" ref="CA1995:CJ1995" si="842">IF(ISNUMBER(FIND(BI$3, $CP1995)), "Y", "")</f>
        <v/>
      </c>
      <c r="CB1995" s="319" t="str">
        <f t="shared" si="842"/>
        <v/>
      </c>
      <c r="CC1995" s="319" t="str">
        <f t="shared" si="842"/>
        <v/>
      </c>
      <c r="CD1995" s="319" t="str">
        <f t="shared" si="842"/>
        <v/>
      </c>
      <c r="CE1995" s="319" t="str">
        <f t="shared" si="842"/>
        <v/>
      </c>
      <c r="CF1995" s="319" t="str">
        <f t="shared" si="842"/>
        <v/>
      </c>
      <c r="CG1995" s="319" t="str">
        <f t="shared" si="842"/>
        <v/>
      </c>
      <c r="CH1995" s="319" t="str">
        <f t="shared" si="842"/>
        <v/>
      </c>
      <c r="CI1995" s="319" t="str">
        <f t="shared" si="842"/>
        <v/>
      </c>
      <c r="CJ1995" s="319" t="str">
        <f t="shared" si="842"/>
        <v/>
      </c>
      <c r="CK1995" s="342">
        <f t="shared" si="182"/>
        <v>0</v>
      </c>
      <c r="CL1995" s="333">
        <f t="shared" si="183"/>
        <v>0</v>
      </c>
      <c r="CM1995" s="1079" t="s">
        <v>2977</v>
      </c>
      <c r="CN1995" s="1005" t="s">
        <v>2973</v>
      </c>
      <c r="CO1995" s="1005"/>
      <c r="CP1995" s="1005"/>
    </row>
    <row r="1996">
      <c r="A1996" s="266"/>
      <c r="B1996" s="1113" t="s">
        <v>1711</v>
      </c>
      <c r="C1996" s="1107">
        <v>45552.0</v>
      </c>
      <c r="D1996" s="1113" t="s">
        <v>986</v>
      </c>
      <c r="E1996" s="1108" t="s">
        <v>2978</v>
      </c>
      <c r="F1996" s="112" t="s">
        <v>2979</v>
      </c>
      <c r="G1996" s="1110">
        <v>0.6576388888888889</v>
      </c>
      <c r="H1996" s="1110">
        <v>0.6652777777777777</v>
      </c>
      <c r="I1996" s="1110"/>
      <c r="J1996" s="1111"/>
      <c r="K1996" s="1111">
        <v>0.6972222222222222</v>
      </c>
      <c r="L1996" s="1112">
        <v>0.03194444444444444</v>
      </c>
      <c r="M1996" s="1113" t="s">
        <v>166</v>
      </c>
      <c r="N1996" s="110" t="s">
        <v>188</v>
      </c>
      <c r="O1996" s="1115" t="s">
        <v>378</v>
      </c>
      <c r="P1996" s="1115" t="s">
        <v>225</v>
      </c>
      <c r="Q1996" s="1115" t="s">
        <v>842</v>
      </c>
      <c r="R1996" s="120">
        <v>22.7</v>
      </c>
      <c r="S1996" s="1113">
        <v>39.7</v>
      </c>
      <c r="T1996" s="110">
        <v>1.1</v>
      </c>
      <c r="U1996" s="1108"/>
      <c r="V1996" s="1108"/>
      <c r="W1996" s="1108"/>
      <c r="X1996" s="1108"/>
      <c r="Y1996" s="1108"/>
      <c r="Z1996" s="1114" t="s">
        <v>1140</v>
      </c>
      <c r="AA1996" s="1114"/>
      <c r="AB1996" s="1114" t="s">
        <v>410</v>
      </c>
      <c r="AC1996" s="1117">
        <v>22.1</v>
      </c>
      <c r="AD1996" s="1115"/>
      <c r="AE1996" s="1115"/>
      <c r="AF1996" s="1115"/>
      <c r="AG1996" s="1115"/>
      <c r="AH1996" s="1115"/>
      <c r="AI1996" s="1115"/>
      <c r="AJ1996" s="1117"/>
      <c r="AK1996" s="1118"/>
      <c r="AL1996" s="1115"/>
      <c r="AM1996" s="1115"/>
      <c r="AN1996" s="1115"/>
      <c r="AO1996" s="1115"/>
      <c r="AP1996" s="1115"/>
      <c r="AQ1996" s="1115"/>
      <c r="AR1996" s="1115"/>
      <c r="AS1996" s="1117"/>
      <c r="AT1996" s="1196" t="str">
        <f t="shared" si="428"/>
        <v/>
      </c>
      <c r="AU1996" s="1193"/>
      <c r="AV1996" s="330">
        <f>SQRT(($R1996-Infrastructure!J$3)^2+($S1996-Infrastructure!K$3)^2)</f>
        <v>25.40944706</v>
      </c>
      <c r="AW1996" s="331">
        <f>SQRT(($R1996-Infrastructure!J$4)^2+($S1996-Infrastructure!K$4)^2)</f>
        <v>31.75862088</v>
      </c>
      <c r="AX1996" s="331">
        <f>SQRT(($R1996-Infrastructure!J$5)^2+($S1996-Infrastructure!K$5)^2)</f>
        <v>41.54708173</v>
      </c>
      <c r="AY1996" s="331">
        <f>SQRT(($R1996-Infrastructure!J$6)^2+($S1996-Infrastructure!K$6)^2)</f>
        <v>41.36568626</v>
      </c>
      <c r="AZ1996" s="331">
        <f>SQRT(($R1996-Infrastructure!J$7)^2+($S1996-Infrastructure!K$7)^2)</f>
        <v>39.46137352</v>
      </c>
      <c r="BA1996" s="331">
        <f>SQRT(($R1996-Infrastructure!J$8)^2+($S1996-Infrastructure!K$8)^2)</f>
        <v>40.08890121</v>
      </c>
      <c r="BB1996" s="331">
        <f>SQRT(($R1996-Infrastructure!J$9)^2+($S1996-Infrastructure!K$9)^2)</f>
        <v>38.68397601</v>
      </c>
      <c r="BC1996" s="331">
        <f>SQRT(($R1996-Infrastructure!J$10)^2+($S1996-Infrastructure!K$10)^2)</f>
        <v>30.15592811</v>
      </c>
      <c r="BD1996" s="331">
        <f>SQRT(($R1996-Infrastructure!J$11)^2+($S1996-Infrastructure!K$11)^2)</f>
        <v>20.51194774</v>
      </c>
      <c r="BE1996" s="333">
        <f>SQRT(($R1996-Infrastructure!J$12)^2+($S1996-Infrastructure!K$12)^2)</f>
        <v>15.84550409</v>
      </c>
      <c r="BF1996" s="330">
        <f t="shared" si="161"/>
        <v>15.84550409</v>
      </c>
      <c r="BG1996" s="333">
        <f t="shared" si="162"/>
        <v>41.54708173</v>
      </c>
      <c r="BH1996" s="1119"/>
      <c r="BI1996" s="319" t="str">
        <f t="shared" ref="BI1996:BR1996" si="843">IF(ISNUMBER(FIND(BI$3, $CO1996)), "Y", "")</f>
        <v>Y</v>
      </c>
      <c r="BJ1996" s="319" t="str">
        <f t="shared" si="843"/>
        <v>Y</v>
      </c>
      <c r="BK1996" s="319" t="str">
        <f t="shared" si="843"/>
        <v>Y</v>
      </c>
      <c r="BL1996" s="319" t="str">
        <f t="shared" si="843"/>
        <v>Y</v>
      </c>
      <c r="BM1996" s="319" t="str">
        <f t="shared" si="843"/>
        <v>Y</v>
      </c>
      <c r="BN1996" s="319" t="str">
        <f t="shared" si="843"/>
        <v>Y</v>
      </c>
      <c r="BO1996" s="319" t="str">
        <f t="shared" si="843"/>
        <v>Y</v>
      </c>
      <c r="BP1996" s="319" t="str">
        <f t="shared" si="843"/>
        <v/>
      </c>
      <c r="BQ1996" s="319" t="str">
        <f t="shared" si="843"/>
        <v>Y</v>
      </c>
      <c r="BR1996" s="319" t="str">
        <f t="shared" si="843"/>
        <v>Y</v>
      </c>
      <c r="BS1996" s="330">
        <f t="shared" si="185"/>
        <v>15.84550409</v>
      </c>
      <c r="BT1996" s="331">
        <f t="shared" si="170"/>
        <v>41.54708173</v>
      </c>
      <c r="BU1996" s="920">
        <v>0.665162037037037</v>
      </c>
      <c r="BV1996" s="903">
        <f t="shared" si="186"/>
        <v>0.007523148148</v>
      </c>
      <c r="BW1996" s="908">
        <v>16.2</v>
      </c>
      <c r="BX1996" s="908">
        <v>38.1</v>
      </c>
      <c r="BY1996" s="331">
        <f t="shared" si="201"/>
        <v>6.694027188</v>
      </c>
      <c r="BZ1996" s="331"/>
      <c r="CA1996" s="462" t="str">
        <f t="shared" ref="CA1996:CJ1996" si="844">IF(ISNUMBER(FIND(BI$3, $CP1996)), "Y", "")</f>
        <v/>
      </c>
      <c r="CB1996" s="319" t="str">
        <f t="shared" si="844"/>
        <v/>
      </c>
      <c r="CC1996" s="319" t="str">
        <f t="shared" si="844"/>
        <v/>
      </c>
      <c r="CD1996" s="319" t="str">
        <f t="shared" si="844"/>
        <v/>
      </c>
      <c r="CE1996" s="319" t="str">
        <f t="shared" si="844"/>
        <v/>
      </c>
      <c r="CF1996" s="319" t="str">
        <f t="shared" si="844"/>
        <v/>
      </c>
      <c r="CG1996" s="319" t="str">
        <f t="shared" si="844"/>
        <v/>
      </c>
      <c r="CH1996" s="319" t="str">
        <f t="shared" si="844"/>
        <v/>
      </c>
      <c r="CI1996" s="319" t="str">
        <f t="shared" si="844"/>
        <v/>
      </c>
      <c r="CJ1996" s="319" t="str">
        <f t="shared" si="844"/>
        <v/>
      </c>
      <c r="CK1996" s="342">
        <f t="shared" si="182"/>
        <v>0</v>
      </c>
      <c r="CL1996" s="333">
        <f t="shared" si="183"/>
        <v>0</v>
      </c>
      <c r="CM1996" s="1079" t="s">
        <v>2980</v>
      </c>
      <c r="CN1996" s="1005" t="s">
        <v>2973</v>
      </c>
      <c r="CO1996" s="1005" t="s">
        <v>2400</v>
      </c>
      <c r="CP1996" s="1005"/>
    </row>
    <row r="1997" ht="18.0" customHeight="1">
      <c r="A1997" s="1258"/>
      <c r="B1997" s="1129" t="s">
        <v>1711</v>
      </c>
      <c r="C1997" s="1122">
        <v>45552.0</v>
      </c>
      <c r="D1997" s="1129" t="s">
        <v>986</v>
      </c>
      <c r="E1997" s="1124">
        <v>9.0</v>
      </c>
      <c r="F1997" s="108" t="s">
        <v>2981</v>
      </c>
      <c r="G1997" s="1126">
        <v>0.7041666666666667</v>
      </c>
      <c r="H1997" s="1126">
        <v>0.7065972222222222</v>
      </c>
      <c r="I1997" s="1126"/>
      <c r="J1997" s="1127"/>
      <c r="K1997" s="1127">
        <v>0.7118055555555556</v>
      </c>
      <c r="L1997" s="1128">
        <v>0.004861111111111111</v>
      </c>
      <c r="M1997" s="1129" t="s">
        <v>166</v>
      </c>
      <c r="N1997" s="100" t="s">
        <v>187</v>
      </c>
      <c r="O1997" s="1131" t="s">
        <v>206</v>
      </c>
      <c r="P1997" s="1131" t="s">
        <v>223</v>
      </c>
      <c r="Q1997" s="1132"/>
      <c r="R1997" s="137">
        <v>21.8</v>
      </c>
      <c r="S1997" s="1129">
        <v>7.4</v>
      </c>
      <c r="T1997" s="100">
        <v>0.4</v>
      </c>
      <c r="U1997" s="1124"/>
      <c r="V1997" s="1124"/>
      <c r="W1997" s="1124"/>
      <c r="X1997" s="1124"/>
      <c r="Y1997" s="1124"/>
      <c r="Z1997" s="1130" t="s">
        <v>1690</v>
      </c>
      <c r="AA1997" s="1130"/>
      <c r="AB1997" s="1130" t="s">
        <v>375</v>
      </c>
      <c r="AC1997" s="1133">
        <v>2.7</v>
      </c>
      <c r="AD1997" s="1131"/>
      <c r="AE1997" s="1131"/>
      <c r="AF1997" s="1131"/>
      <c r="AG1997" s="1131"/>
      <c r="AH1997" s="1131"/>
      <c r="AI1997" s="1131"/>
      <c r="AJ1997" s="1133"/>
      <c r="AK1997" s="1134"/>
      <c r="AL1997" s="1131"/>
      <c r="AM1997" s="1131"/>
      <c r="AN1997" s="1131"/>
      <c r="AO1997" s="1131"/>
      <c r="AP1997" s="1131"/>
      <c r="AQ1997" s="1131"/>
      <c r="AR1997" s="1131"/>
      <c r="AS1997" s="1133"/>
      <c r="AT1997" s="1197" t="str">
        <f t="shared" si="428"/>
        <v/>
      </c>
      <c r="AU1997" s="1194"/>
      <c r="AV1997" s="662">
        <f>SQRT(($R1997-Infrastructure!J$3)^2+($S1997-Infrastructure!K$3)^2)</f>
        <v>30.83277477</v>
      </c>
      <c r="AW1997" s="641">
        <f>SQRT(($R1997-Infrastructure!J$4)^2+($S1997-Infrastructure!K$4)^2)</f>
        <v>24.4247825</v>
      </c>
      <c r="AX1997" s="641">
        <f>SQRT(($R1997-Infrastructure!J$5)^2+($S1997-Infrastructure!K$5)^2)</f>
        <v>22.21936093</v>
      </c>
      <c r="AY1997" s="641">
        <f>SQRT(($R1997-Infrastructure!J$6)^2+($S1997-Infrastructure!K$6)^2)</f>
        <v>13.68575902</v>
      </c>
      <c r="AZ1997" s="641">
        <f>SQRT(($R1997-Infrastructure!J$7)^2+($S1997-Infrastructure!K$7)^2)</f>
        <v>7.218032973</v>
      </c>
      <c r="BA1997" s="641">
        <f>SQRT(($R1997-Infrastructure!J$8)^2+($S1997-Infrastructure!K$8)^2)</f>
        <v>10.92245394</v>
      </c>
      <c r="BB1997" s="641">
        <f>SQRT(($R1997-Infrastructure!J$9)^2+($S1997-Infrastructure!K$9)^2)</f>
        <v>18.34475402</v>
      </c>
      <c r="BC1997" s="641">
        <f>SQRT(($R1997-Infrastructure!J$10)^2+($S1997-Infrastructure!K$10)^2)</f>
        <v>19.72308292</v>
      </c>
      <c r="BD1997" s="641">
        <f>SQRT(($R1997-Infrastructure!J$11)^2+($S1997-Infrastructure!K$11)^2)</f>
        <v>28.37463656</v>
      </c>
      <c r="BE1997" s="642">
        <f>SQRT(($R1997-Infrastructure!J$12)^2+($S1997-Infrastructure!K$12)^2)</f>
        <v>48.10093554</v>
      </c>
      <c r="BF1997" s="662">
        <f t="shared" si="161"/>
        <v>7.218032973</v>
      </c>
      <c r="BG1997" s="642">
        <f t="shared" si="162"/>
        <v>48.10093554</v>
      </c>
      <c r="BH1997" s="1135"/>
      <c r="BI1997" s="663" t="str">
        <f t="shared" ref="BI1997:BR1997" si="845">IF(ISNUMBER(FIND(BI$3, $CO1997)), "Y", "")</f>
        <v/>
      </c>
      <c r="BJ1997" s="663" t="str">
        <f t="shared" si="845"/>
        <v/>
      </c>
      <c r="BK1997" s="663" t="str">
        <f t="shared" si="845"/>
        <v/>
      </c>
      <c r="BL1997" s="663" t="str">
        <f t="shared" si="845"/>
        <v/>
      </c>
      <c r="BM1997" s="663" t="str">
        <f t="shared" si="845"/>
        <v/>
      </c>
      <c r="BN1997" s="663" t="str">
        <f t="shared" si="845"/>
        <v/>
      </c>
      <c r="BO1997" s="663" t="str">
        <f t="shared" si="845"/>
        <v/>
      </c>
      <c r="BP1997" s="663" t="str">
        <f t="shared" si="845"/>
        <v/>
      </c>
      <c r="BQ1997" s="663" t="str">
        <f t="shared" si="845"/>
        <v/>
      </c>
      <c r="BR1997" s="663" t="str">
        <f t="shared" si="845"/>
        <v/>
      </c>
      <c r="BS1997" s="662">
        <f t="shared" si="185"/>
        <v>0</v>
      </c>
      <c r="BT1997" s="641">
        <f t="shared" si="170"/>
        <v>0</v>
      </c>
      <c r="BU1997" s="937"/>
      <c r="BV1997" s="930" t="str">
        <f t="shared" si="186"/>
        <v/>
      </c>
      <c r="BW1997" s="939"/>
      <c r="BX1997" s="939"/>
      <c r="BY1997" s="641" t="b">
        <f t="shared" si="201"/>
        <v>0</v>
      </c>
      <c r="BZ1997" s="641"/>
      <c r="CA1997" s="635" t="str">
        <f t="shared" ref="CA1997:CJ1997" si="846">IF(ISNUMBER(FIND(BI$3, $CP1997)), "Y", "")</f>
        <v/>
      </c>
      <c r="CB1997" s="663" t="str">
        <f t="shared" si="846"/>
        <v/>
      </c>
      <c r="CC1997" s="663" t="str">
        <f t="shared" si="846"/>
        <v/>
      </c>
      <c r="CD1997" s="663" t="str">
        <f t="shared" si="846"/>
        <v/>
      </c>
      <c r="CE1997" s="663" t="str">
        <f t="shared" si="846"/>
        <v/>
      </c>
      <c r="CF1997" s="663" t="str">
        <f t="shared" si="846"/>
        <v/>
      </c>
      <c r="CG1997" s="663" t="str">
        <f t="shared" si="846"/>
        <v/>
      </c>
      <c r="CH1997" s="663" t="str">
        <f t="shared" si="846"/>
        <v/>
      </c>
      <c r="CI1997" s="663" t="str">
        <f t="shared" si="846"/>
        <v/>
      </c>
      <c r="CJ1997" s="663" t="str">
        <f t="shared" si="846"/>
        <v/>
      </c>
      <c r="CK1997" s="743">
        <f t="shared" si="182"/>
        <v>0</v>
      </c>
      <c r="CL1997" s="642">
        <f t="shared" si="183"/>
        <v>0</v>
      </c>
      <c r="CM1997" s="1090" t="s">
        <v>2982</v>
      </c>
      <c r="CN1997" s="1036" t="s">
        <v>2973</v>
      </c>
      <c r="CO1997" s="1036"/>
      <c r="CP1997" s="1036"/>
    </row>
    <row r="1998">
      <c r="A1998" s="1257" t="s">
        <v>119</v>
      </c>
      <c r="B1998" s="1113" t="s">
        <v>1711</v>
      </c>
      <c r="C1998" s="1107">
        <v>45553.0</v>
      </c>
      <c r="D1998" s="1113" t="s">
        <v>986</v>
      </c>
      <c r="E1998" s="1108">
        <v>1.0</v>
      </c>
      <c r="F1998" s="112" t="s">
        <v>2983</v>
      </c>
      <c r="G1998" s="1110">
        <v>0.36909722222222224</v>
      </c>
      <c r="H1998" s="1110">
        <v>0.36944444444444446</v>
      </c>
      <c r="I1998" s="1110"/>
      <c r="J1998" s="1111"/>
      <c r="K1998" s="1111">
        <v>0.40069444444444446</v>
      </c>
      <c r="L1998" s="1112">
        <v>0.03125</v>
      </c>
      <c r="M1998" s="1113" t="s">
        <v>166</v>
      </c>
      <c r="N1998" s="110" t="s">
        <v>187</v>
      </c>
      <c r="O1998" s="1115" t="s">
        <v>202</v>
      </c>
      <c r="P1998" s="1115" t="s">
        <v>256</v>
      </c>
      <c r="Q1998" s="1116"/>
      <c r="R1998" s="120">
        <v>24.4</v>
      </c>
      <c r="S1998" s="1113">
        <v>7.5</v>
      </c>
      <c r="T1998" s="110">
        <v>0.6</v>
      </c>
      <c r="U1998" s="1108"/>
      <c r="V1998" s="1108"/>
      <c r="W1998" s="1108"/>
      <c r="X1998" s="1108"/>
      <c r="Y1998" s="1108"/>
      <c r="Z1998" s="1114" t="s">
        <v>335</v>
      </c>
      <c r="AA1998" s="1114"/>
      <c r="AB1998" s="1114" t="s">
        <v>337</v>
      </c>
      <c r="AC1998" s="1117">
        <v>2.5</v>
      </c>
      <c r="AD1998" s="1115"/>
      <c r="AE1998" s="1115"/>
      <c r="AF1998" s="1115"/>
      <c r="AG1998" s="1115"/>
      <c r="AH1998" s="1115"/>
      <c r="AI1998" s="1115"/>
      <c r="AJ1998" s="1117"/>
      <c r="AK1998" s="1118"/>
      <c r="AL1998" s="1115"/>
      <c r="AM1998" s="1115"/>
      <c r="AN1998" s="1115"/>
      <c r="AO1998" s="1115"/>
      <c r="AP1998" s="1115"/>
      <c r="AQ1998" s="1115"/>
      <c r="AR1998" s="1115"/>
      <c r="AS1998" s="1117"/>
      <c r="AT1998" s="1196" t="str">
        <f t="shared" si="428"/>
        <v/>
      </c>
      <c r="AU1998" s="1193"/>
      <c r="AV1998" s="330">
        <f>SQRT(($R1998-Infrastructure!J$3)^2+($S1998-Infrastructure!K$3)^2)</f>
        <v>32.68103426</v>
      </c>
      <c r="AW1998" s="331">
        <f>SQRT(($R1998-Infrastructure!J$4)^2+($S1998-Infrastructure!K$4)^2)</f>
        <v>26.76153957</v>
      </c>
      <c r="AX1998" s="331">
        <f>SQRT(($R1998-Infrastructure!J$5)^2+($S1998-Infrastructure!K$5)^2)</f>
        <v>24.81632527</v>
      </c>
      <c r="AY1998" s="331">
        <f>SQRT(($R1998-Infrastructure!J$6)^2+($S1998-Infrastructure!K$6)^2)</f>
        <v>16.01030918</v>
      </c>
      <c r="AZ1998" s="331">
        <f>SQRT(($R1998-Infrastructure!J$7)^2+($S1998-Infrastructure!K$7)^2)</f>
        <v>8.188406438</v>
      </c>
      <c r="BA1998" s="331">
        <f>SQRT(($R1998-Infrastructure!J$8)^2+($S1998-Infrastructure!K$8)^2)</f>
        <v>9.183136719</v>
      </c>
      <c r="BB1998" s="331">
        <f>SQRT(($R1998-Infrastructure!J$9)^2+($S1998-Infrastructure!K$9)^2)</f>
        <v>15.78353573</v>
      </c>
      <c r="BC1998" s="331">
        <f>SQRT(($R1998-Infrastructure!J$10)^2+($S1998-Infrastructure!K$10)^2)</f>
        <v>17.30924608</v>
      </c>
      <c r="BD1998" s="331">
        <f>SQRT(($R1998-Infrastructure!J$11)^2+($S1998-Infrastructure!K$11)^2)</f>
        <v>26.68126684</v>
      </c>
      <c r="BE1998" s="333">
        <f>SQRT(($R1998-Infrastructure!J$12)^2+($S1998-Infrastructure!K$12)^2)</f>
        <v>48.08752437</v>
      </c>
      <c r="BF1998" s="330">
        <f t="shared" si="161"/>
        <v>8.188406438</v>
      </c>
      <c r="BG1998" s="333">
        <f t="shared" si="162"/>
        <v>48.08752437</v>
      </c>
      <c r="BH1998" s="1119"/>
      <c r="BI1998" s="319" t="str">
        <f t="shared" ref="BI1998:BR1998" si="847">IF(ISNUMBER(FIND(BI$3, $CO1998)), "Y", "")</f>
        <v/>
      </c>
      <c r="BJ1998" s="319" t="str">
        <f t="shared" si="847"/>
        <v/>
      </c>
      <c r="BK1998" s="319" t="str">
        <f t="shared" si="847"/>
        <v/>
      </c>
      <c r="BL1998" s="319" t="str">
        <f t="shared" si="847"/>
        <v/>
      </c>
      <c r="BM1998" s="319" t="str">
        <f t="shared" si="847"/>
        <v/>
      </c>
      <c r="BN1998" s="319" t="str">
        <f t="shared" si="847"/>
        <v/>
      </c>
      <c r="BO1998" s="319" t="str">
        <f t="shared" si="847"/>
        <v/>
      </c>
      <c r="BP1998" s="319" t="str">
        <f t="shared" si="847"/>
        <v/>
      </c>
      <c r="BQ1998" s="319" t="str">
        <f t="shared" si="847"/>
        <v/>
      </c>
      <c r="BR1998" s="319" t="str">
        <f t="shared" si="847"/>
        <v/>
      </c>
      <c r="BS1998" s="330">
        <f t="shared" si="185"/>
        <v>0</v>
      </c>
      <c r="BT1998" s="331">
        <f t="shared" si="170"/>
        <v>0</v>
      </c>
      <c r="BU1998" s="920"/>
      <c r="BV1998" s="903" t="str">
        <f t="shared" si="186"/>
        <v/>
      </c>
      <c r="BW1998" s="908"/>
      <c r="BX1998" s="908"/>
      <c r="BY1998" s="331" t="b">
        <f t="shared" si="201"/>
        <v>0</v>
      </c>
      <c r="BZ1998" s="331"/>
      <c r="CA1998" s="462" t="str">
        <f t="shared" ref="CA1998:CJ1998" si="848">IF(ISNUMBER(FIND(BI$3, $CP1998)), "Y", "")</f>
        <v/>
      </c>
      <c r="CB1998" s="319" t="str">
        <f t="shared" si="848"/>
        <v/>
      </c>
      <c r="CC1998" s="319" t="str">
        <f t="shared" si="848"/>
        <v/>
      </c>
      <c r="CD1998" s="319" t="str">
        <f t="shared" si="848"/>
        <v/>
      </c>
      <c r="CE1998" s="319" t="str">
        <f t="shared" si="848"/>
        <v/>
      </c>
      <c r="CF1998" s="319" t="str">
        <f t="shared" si="848"/>
        <v/>
      </c>
      <c r="CG1998" s="319" t="str">
        <f t="shared" si="848"/>
        <v/>
      </c>
      <c r="CH1998" s="319" t="str">
        <f t="shared" si="848"/>
        <v/>
      </c>
      <c r="CI1998" s="319" t="str">
        <f t="shared" si="848"/>
        <v/>
      </c>
      <c r="CJ1998" s="319" t="str">
        <f t="shared" si="848"/>
        <v/>
      </c>
      <c r="CK1998" s="342">
        <f t="shared" si="182"/>
        <v>0</v>
      </c>
      <c r="CL1998" s="333">
        <f t="shared" si="183"/>
        <v>0</v>
      </c>
      <c r="CM1998" s="1079" t="s">
        <v>2602</v>
      </c>
      <c r="CN1998" s="1005" t="s">
        <v>2984</v>
      </c>
      <c r="CO1998" s="1005"/>
      <c r="CP1998" s="1005"/>
    </row>
    <row r="1999">
      <c r="A1999" s="266"/>
      <c r="B1999" s="1113" t="s">
        <v>1711</v>
      </c>
      <c r="C1999" s="1107">
        <v>45553.0</v>
      </c>
      <c r="D1999" s="1113" t="s">
        <v>986</v>
      </c>
      <c r="E1999" s="1108">
        <v>2.0</v>
      </c>
      <c r="F1999" s="112" t="s">
        <v>2985</v>
      </c>
      <c r="G1999" s="1110">
        <v>0.4059027777777778</v>
      </c>
      <c r="H1999" s="1110">
        <v>0.4065972222222222</v>
      </c>
      <c r="I1999" s="1110"/>
      <c r="J1999" s="1111"/>
      <c r="K1999" s="1111">
        <v>0.43819444444444444</v>
      </c>
      <c r="L1999" s="1112">
        <v>0.03125</v>
      </c>
      <c r="M1999" s="1113" t="s">
        <v>166</v>
      </c>
      <c r="N1999" s="110" t="s">
        <v>188</v>
      </c>
      <c r="O1999" s="1115" t="s">
        <v>378</v>
      </c>
      <c r="P1999" s="1115" t="s">
        <v>217</v>
      </c>
      <c r="Q1999" s="1115" t="s">
        <v>851</v>
      </c>
      <c r="R1999" s="120">
        <v>22.7</v>
      </c>
      <c r="S1999" s="1113">
        <v>39.7</v>
      </c>
      <c r="T1999" s="110">
        <v>1.8</v>
      </c>
      <c r="U1999" s="1108"/>
      <c r="V1999" s="1108"/>
      <c r="W1999" s="1108"/>
      <c r="X1999" s="1108"/>
      <c r="Y1999" s="1108"/>
      <c r="Z1999" s="1114" t="s">
        <v>1140</v>
      </c>
      <c r="AA1999" s="1114"/>
      <c r="AB1999" s="1114" t="s">
        <v>410</v>
      </c>
      <c r="AC1999" s="1117">
        <v>22.1</v>
      </c>
      <c r="AD1999" s="1115"/>
      <c r="AE1999" s="1115"/>
      <c r="AF1999" s="1115"/>
      <c r="AG1999" s="1115"/>
      <c r="AH1999" s="1115"/>
      <c r="AI1999" s="1115"/>
      <c r="AJ1999" s="1117"/>
      <c r="AK1999" s="1118"/>
      <c r="AL1999" s="1115"/>
      <c r="AM1999" s="1115"/>
      <c r="AN1999" s="1115"/>
      <c r="AO1999" s="1115"/>
      <c r="AP1999" s="1115"/>
      <c r="AQ1999" s="1115"/>
      <c r="AR1999" s="1115"/>
      <c r="AS1999" s="1117"/>
      <c r="AT1999" s="1196" t="str">
        <f t="shared" si="428"/>
        <v/>
      </c>
      <c r="AU1999" s="1193"/>
      <c r="AV1999" s="330">
        <f>SQRT(($R1999-Infrastructure!J$3)^2+($S1999-Infrastructure!K$3)^2)</f>
        <v>25.40944706</v>
      </c>
      <c r="AW1999" s="331">
        <f>SQRT(($R1999-Infrastructure!J$4)^2+($S1999-Infrastructure!K$4)^2)</f>
        <v>31.75862088</v>
      </c>
      <c r="AX1999" s="331">
        <f>SQRT(($R1999-Infrastructure!J$5)^2+($S1999-Infrastructure!K$5)^2)</f>
        <v>41.54708173</v>
      </c>
      <c r="AY1999" s="331">
        <f>SQRT(($R1999-Infrastructure!J$6)^2+($S1999-Infrastructure!K$6)^2)</f>
        <v>41.36568626</v>
      </c>
      <c r="AZ1999" s="331">
        <f>SQRT(($R1999-Infrastructure!J$7)^2+($S1999-Infrastructure!K$7)^2)</f>
        <v>39.46137352</v>
      </c>
      <c r="BA1999" s="331">
        <f>SQRT(($R1999-Infrastructure!J$8)^2+($S1999-Infrastructure!K$8)^2)</f>
        <v>40.08890121</v>
      </c>
      <c r="BB1999" s="331">
        <f>SQRT(($R1999-Infrastructure!J$9)^2+($S1999-Infrastructure!K$9)^2)</f>
        <v>38.68397601</v>
      </c>
      <c r="BC1999" s="331">
        <f>SQRT(($R1999-Infrastructure!J$10)^2+($S1999-Infrastructure!K$10)^2)</f>
        <v>30.15592811</v>
      </c>
      <c r="BD1999" s="331">
        <f>SQRT(($R1999-Infrastructure!J$11)^2+($S1999-Infrastructure!K$11)^2)</f>
        <v>20.51194774</v>
      </c>
      <c r="BE1999" s="333">
        <f>SQRT(($R1999-Infrastructure!J$12)^2+($S1999-Infrastructure!K$12)^2)</f>
        <v>15.84550409</v>
      </c>
      <c r="BF1999" s="330">
        <f t="shared" si="161"/>
        <v>15.84550409</v>
      </c>
      <c r="BG1999" s="333">
        <f t="shared" si="162"/>
        <v>41.54708173</v>
      </c>
      <c r="BH1999" s="1119"/>
      <c r="BI1999" s="319" t="str">
        <f t="shared" ref="BI1999:BR1999" si="849">IF(ISNUMBER(FIND(BI$3, $CO1999)), "Y", "")</f>
        <v/>
      </c>
      <c r="BJ1999" s="319" t="str">
        <f t="shared" si="849"/>
        <v/>
      </c>
      <c r="BK1999" s="319" t="str">
        <f t="shared" si="849"/>
        <v/>
      </c>
      <c r="BL1999" s="319" t="str">
        <f t="shared" si="849"/>
        <v/>
      </c>
      <c r="BM1999" s="319" t="str">
        <f t="shared" si="849"/>
        <v/>
      </c>
      <c r="BN1999" s="319" t="str">
        <f t="shared" si="849"/>
        <v/>
      </c>
      <c r="BO1999" s="319" t="str">
        <f t="shared" si="849"/>
        <v/>
      </c>
      <c r="BP1999" s="319" t="str">
        <f t="shared" si="849"/>
        <v/>
      </c>
      <c r="BQ1999" s="319" t="str">
        <f t="shared" si="849"/>
        <v/>
      </c>
      <c r="BR1999" s="319" t="str">
        <f t="shared" si="849"/>
        <v/>
      </c>
      <c r="BS1999" s="330">
        <f t="shared" si="185"/>
        <v>0</v>
      </c>
      <c r="BT1999" s="331">
        <f t="shared" si="170"/>
        <v>0</v>
      </c>
      <c r="BU1999" s="920"/>
      <c r="BV1999" s="903" t="str">
        <f t="shared" si="186"/>
        <v/>
      </c>
      <c r="BW1999" s="908"/>
      <c r="BX1999" s="908"/>
      <c r="BY1999" s="331" t="b">
        <f t="shared" si="201"/>
        <v>0</v>
      </c>
      <c r="BZ1999" s="331"/>
      <c r="CA1999" s="462" t="str">
        <f t="shared" ref="CA1999:CJ1999" si="850">IF(ISNUMBER(FIND(BI$3, $CP1999)), "Y", "")</f>
        <v/>
      </c>
      <c r="CB1999" s="319" t="str">
        <f t="shared" si="850"/>
        <v/>
      </c>
      <c r="CC1999" s="319" t="str">
        <f t="shared" si="850"/>
        <v/>
      </c>
      <c r="CD1999" s="319" t="str">
        <f t="shared" si="850"/>
        <v/>
      </c>
      <c r="CE1999" s="319" t="str">
        <f t="shared" si="850"/>
        <v/>
      </c>
      <c r="CF1999" s="319" t="str">
        <f t="shared" si="850"/>
        <v/>
      </c>
      <c r="CG1999" s="319" t="str">
        <f t="shared" si="850"/>
        <v/>
      </c>
      <c r="CH1999" s="319" t="str">
        <f t="shared" si="850"/>
        <v/>
      </c>
      <c r="CI1999" s="319" t="str">
        <f t="shared" si="850"/>
        <v/>
      </c>
      <c r="CJ1999" s="319" t="str">
        <f t="shared" si="850"/>
        <v/>
      </c>
      <c r="CK1999" s="342">
        <f t="shared" si="182"/>
        <v>0</v>
      </c>
      <c r="CL1999" s="333">
        <f t="shared" si="183"/>
        <v>0</v>
      </c>
      <c r="CM1999" s="1079" t="s">
        <v>2602</v>
      </c>
      <c r="CN1999" s="1005" t="s">
        <v>2984</v>
      </c>
      <c r="CO1999" s="1005"/>
      <c r="CP1999" s="1005"/>
    </row>
    <row r="2000">
      <c r="A2000" s="266"/>
      <c r="B2000" s="1113" t="s">
        <v>1711</v>
      </c>
      <c r="C2000" s="1107">
        <v>45553.0</v>
      </c>
      <c r="D2000" s="1113" t="s">
        <v>986</v>
      </c>
      <c r="E2000" s="1108">
        <v>3.0</v>
      </c>
      <c r="F2000" s="112" t="s">
        <v>2986</v>
      </c>
      <c r="G2000" s="1110">
        <v>0.4479166666666667</v>
      </c>
      <c r="H2000" s="1110">
        <v>0.4484375</v>
      </c>
      <c r="I2000" s="1110"/>
      <c r="J2000" s="1111"/>
      <c r="K2000" s="1111">
        <v>0.4800347222222222</v>
      </c>
      <c r="L2000" s="1112">
        <v>0.03125</v>
      </c>
      <c r="M2000" s="1113" t="s">
        <v>166</v>
      </c>
      <c r="N2000" s="110" t="s">
        <v>187</v>
      </c>
      <c r="O2000" s="1115" t="s">
        <v>204</v>
      </c>
      <c r="P2000" s="1115" t="s">
        <v>260</v>
      </c>
      <c r="Q2000" s="1116"/>
      <c r="R2000" s="120">
        <v>18.6</v>
      </c>
      <c r="S2000" s="1113">
        <v>4.4</v>
      </c>
      <c r="T2000" s="110">
        <v>2.5</v>
      </c>
      <c r="U2000" s="1108"/>
      <c r="V2000" s="1108"/>
      <c r="W2000" s="1108"/>
      <c r="X2000" s="1108"/>
      <c r="Y2000" s="1108"/>
      <c r="Z2000" s="1114" t="s">
        <v>365</v>
      </c>
      <c r="AA2000" s="1114"/>
      <c r="AB2000" s="1114" t="s">
        <v>380</v>
      </c>
      <c r="AC2000" s="1117">
        <v>4.0</v>
      </c>
      <c r="AD2000" s="1115"/>
      <c r="AE2000" s="1115"/>
      <c r="AF2000" s="1115"/>
      <c r="AG2000" s="1115"/>
      <c r="AH2000" s="1115"/>
      <c r="AI2000" s="1115"/>
      <c r="AJ2000" s="1117"/>
      <c r="AK2000" s="1118"/>
      <c r="AL2000" s="1115"/>
      <c r="AM2000" s="1115"/>
      <c r="AN2000" s="1115"/>
      <c r="AO2000" s="1115"/>
      <c r="AP2000" s="1115"/>
      <c r="AQ2000" s="1115"/>
      <c r="AR2000" s="1115"/>
      <c r="AS2000" s="1117"/>
      <c r="AT2000" s="1196" t="str">
        <f t="shared" si="428"/>
        <v/>
      </c>
      <c r="AU2000" s="1193"/>
      <c r="AV2000" s="330">
        <f>SQRT(($R2000-Infrastructure!J$3)^2+($S2000-Infrastructure!K$3)^2)</f>
        <v>30.94285055</v>
      </c>
      <c r="AW2000" s="331">
        <f>SQRT(($R2000-Infrastructure!J$4)^2+($S2000-Infrastructure!K$4)^2)</f>
        <v>23.1682973</v>
      </c>
      <c r="AX2000" s="331">
        <f>SQRT(($R2000-Infrastructure!J$5)^2+($S2000-Infrastructure!K$5)^2)</f>
        <v>18.91295852</v>
      </c>
      <c r="AY2000" s="331">
        <f>SQRT(($R2000-Infrastructure!J$6)^2+($S2000-Infrastructure!K$6)^2)</f>
        <v>9.43716059</v>
      </c>
      <c r="AZ2000" s="331">
        <f>SQRT(($R2000-Infrastructure!J$7)^2+($S2000-Infrastructure!K$7)^2)</f>
        <v>4.518849411</v>
      </c>
      <c r="BA2000" s="331">
        <f>SQRT(($R2000-Infrastructure!J$8)^2+($S2000-Infrastructure!K$8)^2)</f>
        <v>12.20901306</v>
      </c>
      <c r="BB2000" s="331">
        <f>SQRT(($R2000-Infrastructure!J$9)^2+($S2000-Infrastructure!K$9)^2)</f>
        <v>21.41144554</v>
      </c>
      <c r="BC2000" s="331">
        <f>SQRT(($R2000-Infrastructure!J$10)^2+($S2000-Infrastructure!K$10)^2)</f>
        <v>23.88137349</v>
      </c>
      <c r="BD2000" s="331">
        <f>SQRT(($R2000-Infrastructure!J$11)^2+($S2000-Infrastructure!K$11)^2)</f>
        <v>32.73713488</v>
      </c>
      <c r="BE2000" s="333">
        <f>SQRT(($R2000-Infrastructure!J$12)^2+($S2000-Infrastructure!K$12)^2)</f>
        <v>51.18222348</v>
      </c>
      <c r="BF2000" s="330">
        <f t="shared" si="161"/>
        <v>4.518849411</v>
      </c>
      <c r="BG2000" s="333">
        <f t="shared" si="162"/>
        <v>51.18222348</v>
      </c>
      <c r="BH2000" s="1119"/>
      <c r="BI2000" s="319" t="str">
        <f t="shared" ref="BI2000:BR2000" si="851">IF(ISNUMBER(FIND(BI$3, $CO2000)), "Y", "")</f>
        <v/>
      </c>
      <c r="BJ2000" s="319" t="str">
        <f t="shared" si="851"/>
        <v/>
      </c>
      <c r="BK2000" s="319" t="str">
        <f t="shared" si="851"/>
        <v/>
      </c>
      <c r="BL2000" s="319" t="str">
        <f t="shared" si="851"/>
        <v/>
      </c>
      <c r="BM2000" s="319" t="str">
        <f t="shared" si="851"/>
        <v/>
      </c>
      <c r="BN2000" s="319" t="str">
        <f t="shared" si="851"/>
        <v/>
      </c>
      <c r="BO2000" s="319" t="str">
        <f t="shared" si="851"/>
        <v/>
      </c>
      <c r="BP2000" s="319" t="str">
        <f t="shared" si="851"/>
        <v/>
      </c>
      <c r="BQ2000" s="319" t="str">
        <f t="shared" si="851"/>
        <v/>
      </c>
      <c r="BR2000" s="319" t="str">
        <f t="shared" si="851"/>
        <v/>
      </c>
      <c r="BS2000" s="330">
        <f t="shared" si="185"/>
        <v>0</v>
      </c>
      <c r="BT2000" s="331">
        <f t="shared" si="170"/>
        <v>0</v>
      </c>
      <c r="BU2000" s="920"/>
      <c r="BV2000" s="903" t="str">
        <f t="shared" si="186"/>
        <v/>
      </c>
      <c r="BW2000" s="908"/>
      <c r="BX2000" s="908"/>
      <c r="BY2000" s="331" t="b">
        <f t="shared" si="201"/>
        <v>0</v>
      </c>
      <c r="BZ2000" s="331"/>
      <c r="CA2000" s="462" t="str">
        <f t="shared" ref="CA2000:CJ2000" si="852">IF(ISNUMBER(FIND(BI$3, $CP2000)), "Y", "")</f>
        <v/>
      </c>
      <c r="CB2000" s="319" t="str">
        <f t="shared" si="852"/>
        <v/>
      </c>
      <c r="CC2000" s="319" t="str">
        <f t="shared" si="852"/>
        <v/>
      </c>
      <c r="CD2000" s="319" t="str">
        <f t="shared" si="852"/>
        <v/>
      </c>
      <c r="CE2000" s="319" t="str">
        <f t="shared" si="852"/>
        <v/>
      </c>
      <c r="CF2000" s="319" t="str">
        <f t="shared" si="852"/>
        <v/>
      </c>
      <c r="CG2000" s="319" t="str">
        <f t="shared" si="852"/>
        <v/>
      </c>
      <c r="CH2000" s="319" t="str">
        <f t="shared" si="852"/>
        <v/>
      </c>
      <c r="CI2000" s="319" t="str">
        <f t="shared" si="852"/>
        <v/>
      </c>
      <c r="CJ2000" s="319" t="str">
        <f t="shared" si="852"/>
        <v/>
      </c>
      <c r="CK2000" s="342">
        <f t="shared" si="182"/>
        <v>0</v>
      </c>
      <c r="CL2000" s="333">
        <f t="shared" si="183"/>
        <v>0</v>
      </c>
      <c r="CM2000" s="1079" t="s">
        <v>2602</v>
      </c>
      <c r="CN2000" s="1005" t="s">
        <v>2984</v>
      </c>
      <c r="CO2000" s="1005"/>
      <c r="CP2000" s="1005"/>
    </row>
    <row r="2001">
      <c r="A2001" s="266"/>
      <c r="B2001" s="1113" t="s">
        <v>1711</v>
      </c>
      <c r="C2001" s="1107">
        <v>45553.0</v>
      </c>
      <c r="D2001" s="1113" t="s">
        <v>986</v>
      </c>
      <c r="E2001" s="1108">
        <v>4.0</v>
      </c>
      <c r="F2001" s="112" t="s">
        <v>2987</v>
      </c>
      <c r="G2001" s="1110">
        <v>0.4888888888888889</v>
      </c>
      <c r="H2001" s="1110">
        <v>0.4895833333333333</v>
      </c>
      <c r="I2001" s="1110"/>
      <c r="J2001" s="1111"/>
      <c r="K2001" s="1111">
        <v>0.5229166666666667</v>
      </c>
      <c r="L2001" s="1112">
        <v>0.03333333333333333</v>
      </c>
      <c r="M2001" s="1113" t="s">
        <v>166</v>
      </c>
      <c r="N2001" s="110" t="s">
        <v>188</v>
      </c>
      <c r="O2001" s="1115" t="s">
        <v>378</v>
      </c>
      <c r="P2001" s="1115" t="s">
        <v>217</v>
      </c>
      <c r="Q2001" s="1115" t="s">
        <v>851</v>
      </c>
      <c r="R2001" s="120">
        <v>22.7</v>
      </c>
      <c r="S2001" s="1113">
        <v>39.7</v>
      </c>
      <c r="T2001" s="110">
        <v>1.8</v>
      </c>
      <c r="U2001" s="1108"/>
      <c r="V2001" s="1108"/>
      <c r="W2001" s="1108"/>
      <c r="X2001" s="1108"/>
      <c r="Y2001" s="1108"/>
      <c r="Z2001" s="1114" t="s">
        <v>1140</v>
      </c>
      <c r="AA2001" s="1114"/>
      <c r="AB2001" s="1114" t="s">
        <v>410</v>
      </c>
      <c r="AC2001" s="1117">
        <v>22.1</v>
      </c>
      <c r="AD2001" s="1115"/>
      <c r="AE2001" s="1115"/>
      <c r="AF2001" s="1115"/>
      <c r="AG2001" s="1115"/>
      <c r="AH2001" s="1115"/>
      <c r="AI2001" s="1115"/>
      <c r="AJ2001" s="1117"/>
      <c r="AK2001" s="1118"/>
      <c r="AL2001" s="1115"/>
      <c r="AM2001" s="1115"/>
      <c r="AN2001" s="1115"/>
      <c r="AO2001" s="1115"/>
      <c r="AP2001" s="1115"/>
      <c r="AQ2001" s="1115"/>
      <c r="AR2001" s="1115"/>
      <c r="AS2001" s="1117"/>
      <c r="AT2001" s="1196" t="str">
        <f t="shared" si="428"/>
        <v/>
      </c>
      <c r="AU2001" s="1193"/>
      <c r="AV2001" s="330">
        <f>SQRT(($R2001-Infrastructure!J$3)^2+($S2001-Infrastructure!K$3)^2)</f>
        <v>25.40944706</v>
      </c>
      <c r="AW2001" s="331">
        <f>SQRT(($R2001-Infrastructure!J$4)^2+($S2001-Infrastructure!K$4)^2)</f>
        <v>31.75862088</v>
      </c>
      <c r="AX2001" s="331">
        <f>SQRT(($R2001-Infrastructure!J$5)^2+($S2001-Infrastructure!K$5)^2)</f>
        <v>41.54708173</v>
      </c>
      <c r="AY2001" s="331">
        <f>SQRT(($R2001-Infrastructure!J$6)^2+($S2001-Infrastructure!K$6)^2)</f>
        <v>41.36568626</v>
      </c>
      <c r="AZ2001" s="331">
        <f>SQRT(($R2001-Infrastructure!J$7)^2+($S2001-Infrastructure!K$7)^2)</f>
        <v>39.46137352</v>
      </c>
      <c r="BA2001" s="331">
        <f>SQRT(($R2001-Infrastructure!J$8)^2+($S2001-Infrastructure!K$8)^2)</f>
        <v>40.08890121</v>
      </c>
      <c r="BB2001" s="331">
        <f>SQRT(($R2001-Infrastructure!J$9)^2+($S2001-Infrastructure!K$9)^2)</f>
        <v>38.68397601</v>
      </c>
      <c r="BC2001" s="331">
        <f>SQRT(($R2001-Infrastructure!J$10)^2+($S2001-Infrastructure!K$10)^2)</f>
        <v>30.15592811</v>
      </c>
      <c r="BD2001" s="331">
        <f>SQRT(($R2001-Infrastructure!J$11)^2+($S2001-Infrastructure!K$11)^2)</f>
        <v>20.51194774</v>
      </c>
      <c r="BE2001" s="333">
        <f>SQRT(($R2001-Infrastructure!J$12)^2+($S2001-Infrastructure!K$12)^2)</f>
        <v>15.84550409</v>
      </c>
      <c r="BF2001" s="330">
        <f t="shared" si="161"/>
        <v>15.84550409</v>
      </c>
      <c r="BG2001" s="333">
        <f t="shared" si="162"/>
        <v>41.54708173</v>
      </c>
      <c r="BH2001" s="1119"/>
      <c r="BI2001" s="319" t="str">
        <f t="shared" ref="BI2001:BR2001" si="853">IF(ISNUMBER(FIND(BI$3, $CO2001)), "Y", "")</f>
        <v/>
      </c>
      <c r="BJ2001" s="319" t="str">
        <f t="shared" si="853"/>
        <v/>
      </c>
      <c r="BK2001" s="319" t="str">
        <f t="shared" si="853"/>
        <v/>
      </c>
      <c r="BL2001" s="319" t="str">
        <f t="shared" si="853"/>
        <v/>
      </c>
      <c r="BM2001" s="319" t="str">
        <f t="shared" si="853"/>
        <v/>
      </c>
      <c r="BN2001" s="319" t="str">
        <f t="shared" si="853"/>
        <v/>
      </c>
      <c r="BO2001" s="319" t="str">
        <f t="shared" si="853"/>
        <v/>
      </c>
      <c r="BP2001" s="319" t="str">
        <f t="shared" si="853"/>
        <v/>
      </c>
      <c r="BQ2001" s="319" t="str">
        <f t="shared" si="853"/>
        <v/>
      </c>
      <c r="BR2001" s="319" t="str">
        <f t="shared" si="853"/>
        <v/>
      </c>
      <c r="BS2001" s="330">
        <f t="shared" si="185"/>
        <v>0</v>
      </c>
      <c r="BT2001" s="331">
        <f t="shared" si="170"/>
        <v>0</v>
      </c>
      <c r="BU2001" s="920"/>
      <c r="BV2001" s="903" t="str">
        <f t="shared" si="186"/>
        <v/>
      </c>
      <c r="BW2001" s="908"/>
      <c r="BX2001" s="908"/>
      <c r="BY2001" s="331" t="b">
        <f t="shared" si="201"/>
        <v>0</v>
      </c>
      <c r="BZ2001" s="331"/>
      <c r="CA2001" s="462" t="str">
        <f t="shared" ref="CA2001:CJ2001" si="854">IF(ISNUMBER(FIND(BI$3, $CP2001)), "Y", "")</f>
        <v/>
      </c>
      <c r="CB2001" s="319" t="str">
        <f t="shared" si="854"/>
        <v/>
      </c>
      <c r="CC2001" s="319" t="str">
        <f t="shared" si="854"/>
        <v/>
      </c>
      <c r="CD2001" s="319" t="str">
        <f t="shared" si="854"/>
        <v/>
      </c>
      <c r="CE2001" s="319" t="str">
        <f t="shared" si="854"/>
        <v/>
      </c>
      <c r="CF2001" s="319" t="str">
        <f t="shared" si="854"/>
        <v/>
      </c>
      <c r="CG2001" s="319" t="str">
        <f t="shared" si="854"/>
        <v/>
      </c>
      <c r="CH2001" s="319" t="str">
        <f t="shared" si="854"/>
        <v/>
      </c>
      <c r="CI2001" s="319" t="str">
        <f t="shared" si="854"/>
        <v/>
      </c>
      <c r="CJ2001" s="319" t="str">
        <f t="shared" si="854"/>
        <v/>
      </c>
      <c r="CK2001" s="342">
        <f t="shared" si="182"/>
        <v>0</v>
      </c>
      <c r="CL2001" s="333">
        <f t="shared" si="183"/>
        <v>0</v>
      </c>
      <c r="CM2001" s="1079" t="s">
        <v>2602</v>
      </c>
      <c r="CN2001" s="1005" t="s">
        <v>2984</v>
      </c>
      <c r="CO2001" s="1005"/>
      <c r="CP2001" s="1005"/>
    </row>
    <row r="2002">
      <c r="A2002" s="266"/>
      <c r="B2002" s="1113" t="s">
        <v>1711</v>
      </c>
      <c r="C2002" s="1107">
        <v>45553.0</v>
      </c>
      <c r="D2002" s="1113" t="s">
        <v>986</v>
      </c>
      <c r="E2002" s="1108">
        <v>5.0</v>
      </c>
      <c r="F2002" s="112" t="s">
        <v>2988</v>
      </c>
      <c r="G2002" s="1110">
        <v>0.53125</v>
      </c>
      <c r="H2002" s="1110">
        <v>0.5315972222222223</v>
      </c>
      <c r="I2002" s="1110"/>
      <c r="J2002" s="1111"/>
      <c r="K2002" s="1111">
        <v>0.559375</v>
      </c>
      <c r="L2002" s="1112">
        <v>0.027777777777777776</v>
      </c>
      <c r="M2002" s="1113" t="s">
        <v>166</v>
      </c>
      <c r="N2002" s="110" t="s">
        <v>187</v>
      </c>
      <c r="O2002" s="1115" t="s">
        <v>206</v>
      </c>
      <c r="P2002" s="1115" t="s">
        <v>223</v>
      </c>
      <c r="Q2002" s="1116"/>
      <c r="R2002" s="120">
        <v>21.8</v>
      </c>
      <c r="S2002" s="1113">
        <v>7.4</v>
      </c>
      <c r="T2002" s="110">
        <v>0.4</v>
      </c>
      <c r="U2002" s="1108"/>
      <c r="V2002" s="1108"/>
      <c r="W2002" s="1108"/>
      <c r="X2002" s="1108"/>
      <c r="Y2002" s="1108"/>
      <c r="Z2002" s="1114" t="s">
        <v>1690</v>
      </c>
      <c r="AA2002" s="1114"/>
      <c r="AB2002" s="1114" t="s">
        <v>375</v>
      </c>
      <c r="AC2002" s="1117">
        <v>2.7</v>
      </c>
      <c r="AD2002" s="1115"/>
      <c r="AE2002" s="1115"/>
      <c r="AF2002" s="1115"/>
      <c r="AG2002" s="1115"/>
      <c r="AH2002" s="1115"/>
      <c r="AI2002" s="1115"/>
      <c r="AJ2002" s="1117"/>
      <c r="AK2002" s="1118"/>
      <c r="AL2002" s="1115"/>
      <c r="AM2002" s="1115"/>
      <c r="AN2002" s="1115"/>
      <c r="AO2002" s="1115"/>
      <c r="AP2002" s="1115"/>
      <c r="AQ2002" s="1115"/>
      <c r="AR2002" s="1115"/>
      <c r="AS2002" s="1117"/>
      <c r="AT2002" s="1196" t="str">
        <f t="shared" si="428"/>
        <v/>
      </c>
      <c r="AU2002" s="1193"/>
      <c r="AV2002" s="330">
        <f>SQRT(($R2002-Infrastructure!J$3)^2+($S2002-Infrastructure!K$3)^2)</f>
        <v>30.83277477</v>
      </c>
      <c r="AW2002" s="331">
        <f>SQRT(($R2002-Infrastructure!J$4)^2+($S2002-Infrastructure!K$4)^2)</f>
        <v>24.4247825</v>
      </c>
      <c r="AX2002" s="331">
        <f>SQRT(($R2002-Infrastructure!J$5)^2+($S2002-Infrastructure!K$5)^2)</f>
        <v>22.21936093</v>
      </c>
      <c r="AY2002" s="331">
        <f>SQRT(($R2002-Infrastructure!J$6)^2+($S2002-Infrastructure!K$6)^2)</f>
        <v>13.68575902</v>
      </c>
      <c r="AZ2002" s="331">
        <f>SQRT(($R2002-Infrastructure!J$7)^2+($S2002-Infrastructure!K$7)^2)</f>
        <v>7.218032973</v>
      </c>
      <c r="BA2002" s="331">
        <f>SQRT(($R2002-Infrastructure!J$8)^2+($S2002-Infrastructure!K$8)^2)</f>
        <v>10.92245394</v>
      </c>
      <c r="BB2002" s="331">
        <f>SQRT(($R2002-Infrastructure!J$9)^2+($S2002-Infrastructure!K$9)^2)</f>
        <v>18.34475402</v>
      </c>
      <c r="BC2002" s="331">
        <f>SQRT(($R2002-Infrastructure!J$10)^2+($S2002-Infrastructure!K$10)^2)</f>
        <v>19.72308292</v>
      </c>
      <c r="BD2002" s="331">
        <f>SQRT(($R2002-Infrastructure!J$11)^2+($S2002-Infrastructure!K$11)^2)</f>
        <v>28.37463656</v>
      </c>
      <c r="BE2002" s="333">
        <f>SQRT(($R2002-Infrastructure!J$12)^2+($S2002-Infrastructure!K$12)^2)</f>
        <v>48.10093554</v>
      </c>
      <c r="BF2002" s="330">
        <f t="shared" si="161"/>
        <v>7.218032973</v>
      </c>
      <c r="BG2002" s="333">
        <f t="shared" si="162"/>
        <v>48.10093554</v>
      </c>
      <c r="BH2002" s="1119"/>
      <c r="BI2002" s="319" t="str">
        <f t="shared" ref="BI2002:BR2002" si="855">IF(ISNUMBER(FIND(BI$3, $CO2002)), "Y", "")</f>
        <v/>
      </c>
      <c r="BJ2002" s="319" t="str">
        <f t="shared" si="855"/>
        <v/>
      </c>
      <c r="BK2002" s="319" t="str">
        <f t="shared" si="855"/>
        <v/>
      </c>
      <c r="BL2002" s="319" t="str">
        <f t="shared" si="855"/>
        <v/>
      </c>
      <c r="BM2002" s="319" t="str">
        <f t="shared" si="855"/>
        <v/>
      </c>
      <c r="BN2002" s="319" t="str">
        <f t="shared" si="855"/>
        <v/>
      </c>
      <c r="BO2002" s="319" t="str">
        <f t="shared" si="855"/>
        <v/>
      </c>
      <c r="BP2002" s="319" t="str">
        <f t="shared" si="855"/>
        <v/>
      </c>
      <c r="BQ2002" s="319" t="str">
        <f t="shared" si="855"/>
        <v/>
      </c>
      <c r="BR2002" s="319" t="str">
        <f t="shared" si="855"/>
        <v/>
      </c>
      <c r="BS2002" s="330">
        <f t="shared" si="185"/>
        <v>0</v>
      </c>
      <c r="BT2002" s="331">
        <f t="shared" si="170"/>
        <v>0</v>
      </c>
      <c r="BU2002" s="920"/>
      <c r="BV2002" s="903" t="str">
        <f t="shared" si="186"/>
        <v/>
      </c>
      <c r="BW2002" s="908"/>
      <c r="BX2002" s="908"/>
      <c r="BY2002" s="331" t="b">
        <f t="shared" si="201"/>
        <v>0</v>
      </c>
      <c r="BZ2002" s="331"/>
      <c r="CA2002" s="462" t="str">
        <f t="shared" ref="CA2002:CJ2002" si="856">IF(ISNUMBER(FIND(BI$3, $CP2002)), "Y", "")</f>
        <v/>
      </c>
      <c r="CB2002" s="319" t="str">
        <f t="shared" si="856"/>
        <v/>
      </c>
      <c r="CC2002" s="319" t="str">
        <f t="shared" si="856"/>
        <v/>
      </c>
      <c r="CD2002" s="319" t="str">
        <f t="shared" si="856"/>
        <v/>
      </c>
      <c r="CE2002" s="319" t="str">
        <f t="shared" si="856"/>
        <v/>
      </c>
      <c r="CF2002" s="319" t="str">
        <f t="shared" si="856"/>
        <v/>
      </c>
      <c r="CG2002" s="319" t="str">
        <f t="shared" si="856"/>
        <v/>
      </c>
      <c r="CH2002" s="319" t="str">
        <f t="shared" si="856"/>
        <v/>
      </c>
      <c r="CI2002" s="319" t="str">
        <f t="shared" si="856"/>
        <v/>
      </c>
      <c r="CJ2002" s="319" t="str">
        <f t="shared" si="856"/>
        <v/>
      </c>
      <c r="CK2002" s="342">
        <f t="shared" si="182"/>
        <v>0</v>
      </c>
      <c r="CL2002" s="333">
        <f t="shared" si="183"/>
        <v>0</v>
      </c>
      <c r="CM2002" s="1079" t="s">
        <v>2602</v>
      </c>
      <c r="CN2002" s="1005" t="s">
        <v>2989</v>
      </c>
      <c r="CO2002" s="1005"/>
      <c r="CP2002" s="1005"/>
    </row>
    <row r="2003">
      <c r="A2003" s="266"/>
      <c r="B2003" s="1113" t="s">
        <v>1711</v>
      </c>
      <c r="C2003" s="1107">
        <v>45553.0</v>
      </c>
      <c r="D2003" s="1113" t="s">
        <v>986</v>
      </c>
      <c r="E2003" s="1108">
        <v>6.0</v>
      </c>
      <c r="F2003" s="112" t="s">
        <v>2990</v>
      </c>
      <c r="G2003" s="1110">
        <v>0.5625</v>
      </c>
      <c r="H2003" s="1110">
        <v>0.5631944444444444</v>
      </c>
      <c r="I2003" s="1110"/>
      <c r="J2003" s="1111"/>
      <c r="K2003" s="1111">
        <v>0.5944444444444444</v>
      </c>
      <c r="L2003" s="1112">
        <v>0.03125</v>
      </c>
      <c r="M2003" s="1113" t="s">
        <v>166</v>
      </c>
      <c r="N2003" s="110" t="s">
        <v>187</v>
      </c>
      <c r="O2003" s="1115" t="s">
        <v>197</v>
      </c>
      <c r="P2003" s="1115" t="s">
        <v>272</v>
      </c>
      <c r="Q2003" s="1115" t="s">
        <v>842</v>
      </c>
      <c r="R2003" s="120">
        <v>37.1</v>
      </c>
      <c r="S2003" s="1113">
        <v>6.9</v>
      </c>
      <c r="T2003" s="110">
        <v>6.5</v>
      </c>
      <c r="U2003" s="1108"/>
      <c r="V2003" s="1108"/>
      <c r="W2003" s="1108"/>
      <c r="X2003" s="1108"/>
      <c r="Y2003" s="1108"/>
      <c r="Z2003" s="1114" t="s">
        <v>379</v>
      </c>
      <c r="AA2003" s="1114"/>
      <c r="AB2003" s="1114" t="s">
        <v>392</v>
      </c>
      <c r="AC2003" s="1117">
        <v>10.0</v>
      </c>
      <c r="AD2003" s="1115"/>
      <c r="AE2003" s="1115"/>
      <c r="AF2003" s="1115"/>
      <c r="AG2003" s="1115"/>
      <c r="AH2003" s="1115"/>
      <c r="AI2003" s="1115"/>
      <c r="AJ2003" s="1117"/>
      <c r="AK2003" s="1118"/>
      <c r="AL2003" s="1115"/>
      <c r="AM2003" s="1115"/>
      <c r="AN2003" s="1115"/>
      <c r="AO2003" s="1115"/>
      <c r="AP2003" s="1115"/>
      <c r="AQ2003" s="1115"/>
      <c r="AR2003" s="1115"/>
      <c r="AS2003" s="1117"/>
      <c r="AT2003" s="1196" t="str">
        <f t="shared" si="428"/>
        <v/>
      </c>
      <c r="AU2003" s="1193"/>
      <c r="AV2003" s="330">
        <f>SQRT(($R2003-Infrastructure!J$3)^2+($S2003-Infrastructure!K$3)^2)</f>
        <v>43.39078243</v>
      </c>
      <c r="AW2003" s="331">
        <f>SQRT(($R2003-Infrastructure!J$4)^2+($S2003-Infrastructure!K$4)^2)</f>
        <v>38.95600082</v>
      </c>
      <c r="AX2003" s="331">
        <f>SQRT(($R2003-Infrastructure!J$5)^2+($S2003-Infrastructure!K$5)^2)</f>
        <v>37.44329045</v>
      </c>
      <c r="AY2003" s="331">
        <f>SQRT(($R2003-Infrastructure!J$6)^2+($S2003-Infrastructure!K$6)^2)</f>
        <v>27.79496357</v>
      </c>
      <c r="AZ2003" s="331">
        <f>SQRT(($R2003-Infrastructure!J$7)^2+($S2003-Infrastructure!K$7)^2)</f>
        <v>17.86393014</v>
      </c>
      <c r="BA2003" s="331">
        <f>SQRT(($R2003-Infrastructure!J$8)^2+($S2003-Infrastructure!K$8)^2)</f>
        <v>9.620810777</v>
      </c>
      <c r="BB2003" s="331">
        <f>SQRT(($R2003-Infrastructure!J$9)^2+($S2003-Infrastructure!K$9)^2)</f>
        <v>3.413209633</v>
      </c>
      <c r="BC2003" s="331">
        <f>SQRT(($R2003-Infrastructure!J$10)^2+($S2003-Infrastructure!K$10)^2)</f>
        <v>8.603487665</v>
      </c>
      <c r="BD2003" s="331">
        <f>SQRT(($R2003-Infrastructure!J$11)^2+($S2003-Infrastructure!K$11)^2)</f>
        <v>22.31636171</v>
      </c>
      <c r="BE2003" s="333">
        <f>SQRT(($R2003-Infrastructure!J$12)^2+($S2003-Infrastructure!K$12)^2)</f>
        <v>51.04233537</v>
      </c>
      <c r="BF2003" s="330">
        <f t="shared" si="161"/>
        <v>3.413209633</v>
      </c>
      <c r="BG2003" s="333">
        <f t="shared" si="162"/>
        <v>51.04233537</v>
      </c>
      <c r="BH2003" s="1119"/>
      <c r="BI2003" s="319" t="str">
        <f t="shared" ref="BI2003:BR2003" si="857">IF(ISNUMBER(FIND(BI$3, $CO2003)), "Y", "")</f>
        <v/>
      </c>
      <c r="BJ2003" s="319" t="str">
        <f t="shared" si="857"/>
        <v/>
      </c>
      <c r="BK2003" s="319" t="str">
        <f t="shared" si="857"/>
        <v/>
      </c>
      <c r="BL2003" s="319" t="str">
        <f t="shared" si="857"/>
        <v/>
      </c>
      <c r="BM2003" s="319" t="str">
        <f t="shared" si="857"/>
        <v/>
      </c>
      <c r="BN2003" s="319" t="str">
        <f t="shared" si="857"/>
        <v/>
      </c>
      <c r="BO2003" s="319" t="str">
        <f t="shared" si="857"/>
        <v/>
      </c>
      <c r="BP2003" s="319" t="str">
        <f t="shared" si="857"/>
        <v/>
      </c>
      <c r="BQ2003" s="319" t="str">
        <f t="shared" si="857"/>
        <v/>
      </c>
      <c r="BR2003" s="319" t="str">
        <f t="shared" si="857"/>
        <v/>
      </c>
      <c r="BS2003" s="330">
        <f t="shared" si="185"/>
        <v>0</v>
      </c>
      <c r="BT2003" s="331">
        <f t="shared" si="170"/>
        <v>0</v>
      </c>
      <c r="BU2003" s="920"/>
      <c r="BV2003" s="903" t="str">
        <f t="shared" si="186"/>
        <v/>
      </c>
      <c r="BW2003" s="908"/>
      <c r="BX2003" s="908"/>
      <c r="BY2003" s="331" t="b">
        <f t="shared" si="201"/>
        <v>0</v>
      </c>
      <c r="BZ2003" s="331"/>
      <c r="CA2003" s="462" t="str">
        <f t="shared" ref="CA2003:CJ2003" si="858">IF(ISNUMBER(FIND(BI$3, $CP2003)), "Y", "")</f>
        <v/>
      </c>
      <c r="CB2003" s="319" t="str">
        <f t="shared" si="858"/>
        <v/>
      </c>
      <c r="CC2003" s="319" t="str">
        <f t="shared" si="858"/>
        <v/>
      </c>
      <c r="CD2003" s="319" t="str">
        <f t="shared" si="858"/>
        <v/>
      </c>
      <c r="CE2003" s="319" t="str">
        <f t="shared" si="858"/>
        <v/>
      </c>
      <c r="CF2003" s="319" t="str">
        <f t="shared" si="858"/>
        <v/>
      </c>
      <c r="CG2003" s="319" t="str">
        <f t="shared" si="858"/>
        <v/>
      </c>
      <c r="CH2003" s="319" t="str">
        <f t="shared" si="858"/>
        <v/>
      </c>
      <c r="CI2003" s="319" t="str">
        <f t="shared" si="858"/>
        <v/>
      </c>
      <c r="CJ2003" s="319" t="str">
        <f t="shared" si="858"/>
        <v/>
      </c>
      <c r="CK2003" s="342">
        <f t="shared" si="182"/>
        <v>0</v>
      </c>
      <c r="CL2003" s="333">
        <f t="shared" si="183"/>
        <v>0</v>
      </c>
      <c r="CM2003" s="1079" t="s">
        <v>2602</v>
      </c>
      <c r="CN2003" s="1005" t="s">
        <v>2989</v>
      </c>
      <c r="CO2003" s="1005"/>
      <c r="CP2003" s="1005"/>
    </row>
    <row r="2004">
      <c r="A2004" s="266"/>
      <c r="B2004" s="1113" t="s">
        <v>1711</v>
      </c>
      <c r="C2004" s="1107">
        <v>45553.0</v>
      </c>
      <c r="D2004" s="1113" t="s">
        <v>986</v>
      </c>
      <c r="E2004" s="1108">
        <v>7.0</v>
      </c>
      <c r="F2004" s="112" t="s">
        <v>2991</v>
      </c>
      <c r="G2004" s="1110">
        <v>0.6034722222222222</v>
      </c>
      <c r="H2004" s="1110">
        <v>0.6038194444444445</v>
      </c>
      <c r="I2004" s="1110"/>
      <c r="J2004" s="1111"/>
      <c r="K2004" s="1111">
        <v>0.6359375</v>
      </c>
      <c r="L2004" s="1112">
        <v>0.03194444444444444</v>
      </c>
      <c r="M2004" s="1113" t="s">
        <v>166</v>
      </c>
      <c r="N2004" s="110" t="s">
        <v>187</v>
      </c>
      <c r="O2004" s="1115" t="s">
        <v>198</v>
      </c>
      <c r="P2004" s="1115" t="s">
        <v>223</v>
      </c>
      <c r="Q2004" s="1116"/>
      <c r="R2004" s="120">
        <v>10.0</v>
      </c>
      <c r="S2004" s="1113">
        <v>11.7</v>
      </c>
      <c r="T2004" s="110">
        <v>0.5</v>
      </c>
      <c r="U2004" s="1108"/>
      <c r="V2004" s="1108"/>
      <c r="W2004" s="1108"/>
      <c r="X2004" s="1108"/>
      <c r="Y2004" s="1108"/>
      <c r="Z2004" s="1114" t="s">
        <v>1690</v>
      </c>
      <c r="AA2004" s="1114"/>
      <c r="AB2004" s="1114" t="s">
        <v>371</v>
      </c>
      <c r="AC2004" s="1117">
        <v>1.8</v>
      </c>
      <c r="AD2004" s="1115"/>
      <c r="AE2004" s="1115"/>
      <c r="AF2004" s="1115"/>
      <c r="AG2004" s="1115"/>
      <c r="AH2004" s="1115"/>
      <c r="AI2004" s="1115"/>
      <c r="AJ2004" s="1117"/>
      <c r="AK2004" s="1118"/>
      <c r="AL2004" s="1115"/>
      <c r="AM2004" s="1115"/>
      <c r="AN2004" s="1115"/>
      <c r="AO2004" s="1115"/>
      <c r="AP2004" s="1115"/>
      <c r="AQ2004" s="1115"/>
      <c r="AR2004" s="1115"/>
      <c r="AS2004" s="1117"/>
      <c r="AT2004" s="1196" t="str">
        <f t="shared" si="428"/>
        <v/>
      </c>
      <c r="AU2004" s="1193"/>
      <c r="AV2004" s="330">
        <f>SQRT(($R2004-Infrastructure!J$3)^2+($S2004-Infrastructure!K$3)^2)</f>
        <v>20.04819194</v>
      </c>
      <c r="AW2004" s="331">
        <f>SQRT(($R2004-Infrastructure!J$4)^2+($S2004-Infrastructure!K$4)^2)</f>
        <v>11.9707978</v>
      </c>
      <c r="AX2004" s="331">
        <f>SQRT(($R2004-Infrastructure!J$5)^2+($S2004-Infrastructure!K$5)^2)</f>
        <v>12.23315168</v>
      </c>
      <c r="AY2004" s="331">
        <f>SQRT(($R2004-Infrastructure!J$6)^2+($S2004-Infrastructure!K$6)^2)</f>
        <v>11.40043859</v>
      </c>
      <c r="AZ2004" s="331">
        <f>SQRT(($R2004-Infrastructure!J$7)^2+($S2004-Infrastructure!K$7)^2)</f>
        <v>15.49870962</v>
      </c>
      <c r="BA2004" s="331">
        <f>SQRT(($R2004-Infrastructure!J$8)^2+($S2004-Infrastructure!K$8)^2)</f>
        <v>23.10779089</v>
      </c>
      <c r="BB2004" s="331">
        <f>SQRT(($R2004-Infrastructure!J$9)^2+($S2004-Infrastructure!K$9)^2)</f>
        <v>30.71742177</v>
      </c>
      <c r="BC2004" s="331">
        <f>SQRT(($R2004-Infrastructure!J$10)^2+($S2004-Infrastructure!K$10)^2)</f>
        <v>30.18095426</v>
      </c>
      <c r="BD2004" s="331">
        <f>SQRT(($R2004-Infrastructure!J$11)^2+($S2004-Infrastructure!K$11)^2)</f>
        <v>34.80416642</v>
      </c>
      <c r="BE2004" s="333">
        <f>SQRT(($R2004-Infrastructure!J$12)^2+($S2004-Infrastructure!K$12)^2)</f>
        <v>45.28454482</v>
      </c>
      <c r="BF2004" s="330">
        <f t="shared" si="161"/>
        <v>11.40043859</v>
      </c>
      <c r="BG2004" s="333">
        <f t="shared" si="162"/>
        <v>45.28454482</v>
      </c>
      <c r="BH2004" s="1119"/>
      <c r="BI2004" s="319" t="str">
        <f t="shared" ref="BI2004:BR2004" si="859">IF(ISNUMBER(FIND(BI$3, $CO2004)), "Y", "")</f>
        <v/>
      </c>
      <c r="BJ2004" s="319" t="str">
        <f t="shared" si="859"/>
        <v/>
      </c>
      <c r="BK2004" s="319" t="str">
        <f t="shared" si="859"/>
        <v/>
      </c>
      <c r="BL2004" s="319" t="str">
        <f t="shared" si="859"/>
        <v/>
      </c>
      <c r="BM2004" s="319" t="str">
        <f t="shared" si="859"/>
        <v/>
      </c>
      <c r="BN2004" s="319" t="str">
        <f t="shared" si="859"/>
        <v/>
      </c>
      <c r="BO2004" s="319" t="str">
        <f t="shared" si="859"/>
        <v/>
      </c>
      <c r="BP2004" s="319" t="str">
        <f t="shared" si="859"/>
        <v/>
      </c>
      <c r="BQ2004" s="319" t="str">
        <f t="shared" si="859"/>
        <v/>
      </c>
      <c r="BR2004" s="319" t="str">
        <f t="shared" si="859"/>
        <v/>
      </c>
      <c r="BS2004" s="330">
        <f t="shared" si="185"/>
        <v>0</v>
      </c>
      <c r="BT2004" s="331">
        <f t="shared" si="170"/>
        <v>0</v>
      </c>
      <c r="BU2004" s="920"/>
      <c r="BV2004" s="903" t="str">
        <f t="shared" si="186"/>
        <v/>
      </c>
      <c r="BW2004" s="908"/>
      <c r="BX2004" s="908"/>
      <c r="BY2004" s="331" t="b">
        <f t="shared" si="201"/>
        <v>0</v>
      </c>
      <c r="BZ2004" s="331"/>
      <c r="CA2004" s="462" t="str">
        <f t="shared" ref="CA2004:CJ2004" si="860">IF(ISNUMBER(FIND(BI$3, $CP2004)), "Y", "")</f>
        <v/>
      </c>
      <c r="CB2004" s="319" t="str">
        <f t="shared" si="860"/>
        <v/>
      </c>
      <c r="CC2004" s="319" t="str">
        <f t="shared" si="860"/>
        <v/>
      </c>
      <c r="CD2004" s="319" t="str">
        <f t="shared" si="860"/>
        <v/>
      </c>
      <c r="CE2004" s="319" t="str">
        <f t="shared" si="860"/>
        <v/>
      </c>
      <c r="CF2004" s="319" t="str">
        <f t="shared" si="860"/>
        <v/>
      </c>
      <c r="CG2004" s="319" t="str">
        <f t="shared" si="860"/>
        <v/>
      </c>
      <c r="CH2004" s="319" t="str">
        <f t="shared" si="860"/>
        <v/>
      </c>
      <c r="CI2004" s="319" t="str">
        <f t="shared" si="860"/>
        <v/>
      </c>
      <c r="CJ2004" s="319" t="str">
        <f t="shared" si="860"/>
        <v/>
      </c>
      <c r="CK2004" s="342">
        <f t="shared" si="182"/>
        <v>0</v>
      </c>
      <c r="CL2004" s="333">
        <f t="shared" si="183"/>
        <v>0</v>
      </c>
      <c r="CM2004" s="1079" t="s">
        <v>2602</v>
      </c>
      <c r="CN2004" s="1005" t="s">
        <v>2989</v>
      </c>
      <c r="CO2004" s="1005"/>
      <c r="CP2004" s="1005"/>
    </row>
    <row r="2005">
      <c r="A2005" s="266"/>
      <c r="B2005" s="1113" t="s">
        <v>1711</v>
      </c>
      <c r="C2005" s="1107">
        <v>45553.0</v>
      </c>
      <c r="D2005" s="1113" t="s">
        <v>986</v>
      </c>
      <c r="E2005" s="1108">
        <v>8.0</v>
      </c>
      <c r="F2005" s="112" t="s">
        <v>2992</v>
      </c>
      <c r="G2005" s="1110">
        <v>0.6458333333333334</v>
      </c>
      <c r="H2005" s="1110">
        <v>0.646875</v>
      </c>
      <c r="I2005" s="1110"/>
      <c r="J2005" s="1111"/>
      <c r="K2005" s="1111">
        <v>0.6784722222222223</v>
      </c>
      <c r="L2005" s="1112">
        <v>0.03125</v>
      </c>
      <c r="M2005" s="1113" t="s">
        <v>166</v>
      </c>
      <c r="N2005" s="110" t="s">
        <v>188</v>
      </c>
      <c r="O2005" s="1115" t="s">
        <v>196</v>
      </c>
      <c r="P2005" s="1115" t="s">
        <v>224</v>
      </c>
      <c r="Q2005" s="1115" t="s">
        <v>842</v>
      </c>
      <c r="R2005" s="120">
        <v>21.7</v>
      </c>
      <c r="S2005" s="1113">
        <v>39.5</v>
      </c>
      <c r="T2005" s="110">
        <v>1.3</v>
      </c>
      <c r="U2005" s="1108"/>
      <c r="V2005" s="1108"/>
      <c r="W2005" s="1108"/>
      <c r="X2005" s="1108"/>
      <c r="Y2005" s="1108"/>
      <c r="Z2005" s="1114" t="s">
        <v>387</v>
      </c>
      <c r="AA2005" s="1114"/>
      <c r="AB2005" s="1114" t="s">
        <v>419</v>
      </c>
      <c r="AC2005" s="1117">
        <v>77.9</v>
      </c>
      <c r="AD2005" s="1115"/>
      <c r="AE2005" s="1115"/>
      <c r="AF2005" s="1115"/>
      <c r="AG2005" s="1115"/>
      <c r="AH2005" s="1115"/>
      <c r="AI2005" s="1115"/>
      <c r="AJ2005" s="1117"/>
      <c r="AK2005" s="1118"/>
      <c r="AL2005" s="1115"/>
      <c r="AM2005" s="1115"/>
      <c r="AN2005" s="1115"/>
      <c r="AO2005" s="1115"/>
      <c r="AP2005" s="1115"/>
      <c r="AQ2005" s="1115"/>
      <c r="AR2005" s="1115"/>
      <c r="AS2005" s="1117"/>
      <c r="AT2005" s="1196" t="str">
        <f t="shared" si="428"/>
        <v/>
      </c>
      <c r="AU2005" s="1193"/>
      <c r="AV2005" s="330">
        <f>SQRT(($R2005-Infrastructure!J$3)^2+($S2005-Infrastructure!K$3)^2)</f>
        <v>24.42048321</v>
      </c>
      <c r="AW2005" s="331">
        <f>SQRT(($R2005-Infrastructure!J$4)^2+($S2005-Infrastructure!K$4)^2)</f>
        <v>30.90129447</v>
      </c>
      <c r="AX2005" s="331">
        <f>SQRT(($R2005-Infrastructure!J$5)^2+($S2005-Infrastructure!K$5)^2)</f>
        <v>40.83331973</v>
      </c>
      <c r="AY2005" s="331">
        <f>SQRT(($R2005-Infrastructure!J$6)^2+($S2005-Infrastructure!K$6)^2)</f>
        <v>40.88031311</v>
      </c>
      <c r="AZ2005" s="331">
        <f>SQRT(($R2005-Infrastructure!J$7)^2+($S2005-Infrastructure!K$7)^2)</f>
        <v>39.21836305</v>
      </c>
      <c r="BA2005" s="331">
        <f>SQRT(($R2005-Infrastructure!J$8)^2+($S2005-Infrastructure!K$8)^2)</f>
        <v>40.08989898</v>
      </c>
      <c r="BB2005" s="331">
        <f>SQRT(($R2005-Infrastructure!J$9)^2+($S2005-Infrastructure!K$9)^2)</f>
        <v>38.96472764</v>
      </c>
      <c r="BC2005" s="331">
        <f>SQRT(($R2005-Infrastructure!J$10)^2+($S2005-Infrastructure!K$10)^2)</f>
        <v>30.58005886</v>
      </c>
      <c r="BD2005" s="331">
        <f>SQRT(($R2005-Infrastructure!J$11)^2+($S2005-Infrastructure!K$11)^2)</f>
        <v>21.27204739</v>
      </c>
      <c r="BE2005" s="333">
        <f>SQRT(($R2005-Infrastructure!J$12)^2+($S2005-Infrastructure!K$12)^2)</f>
        <v>16.00124995</v>
      </c>
      <c r="BF2005" s="330">
        <f t="shared" si="161"/>
        <v>16.00124995</v>
      </c>
      <c r="BG2005" s="333">
        <f t="shared" si="162"/>
        <v>40.88031311</v>
      </c>
      <c r="BH2005" s="1119"/>
      <c r="BI2005" s="319" t="str">
        <f t="shared" ref="BI2005:BR2005" si="861">IF(ISNUMBER(FIND(BI$3, $CO2005)), "Y", "")</f>
        <v/>
      </c>
      <c r="BJ2005" s="319" t="str">
        <f t="shared" si="861"/>
        <v/>
      </c>
      <c r="BK2005" s="319" t="str">
        <f t="shared" si="861"/>
        <v/>
      </c>
      <c r="BL2005" s="319" t="str">
        <f t="shared" si="861"/>
        <v/>
      </c>
      <c r="BM2005" s="319" t="str">
        <f t="shared" si="861"/>
        <v/>
      </c>
      <c r="BN2005" s="319" t="str">
        <f t="shared" si="861"/>
        <v/>
      </c>
      <c r="BO2005" s="319" t="str">
        <f t="shared" si="861"/>
        <v/>
      </c>
      <c r="BP2005" s="319" t="str">
        <f t="shared" si="861"/>
        <v/>
      </c>
      <c r="BQ2005" s="319" t="str">
        <f t="shared" si="861"/>
        <v/>
      </c>
      <c r="BR2005" s="319" t="str">
        <f t="shared" si="861"/>
        <v/>
      </c>
      <c r="BS2005" s="330">
        <f t="shared" si="185"/>
        <v>0</v>
      </c>
      <c r="BT2005" s="331">
        <f t="shared" si="170"/>
        <v>0</v>
      </c>
      <c r="BU2005" s="920"/>
      <c r="BV2005" s="903" t="str">
        <f t="shared" si="186"/>
        <v/>
      </c>
      <c r="BW2005" s="908"/>
      <c r="BX2005" s="908"/>
      <c r="BY2005" s="331" t="b">
        <f t="shared" si="201"/>
        <v>0</v>
      </c>
      <c r="BZ2005" s="331"/>
      <c r="CA2005" s="462" t="str">
        <f t="shared" ref="CA2005:CJ2005" si="862">IF(ISNUMBER(FIND(BI$3, $CP2005)), "Y", "")</f>
        <v/>
      </c>
      <c r="CB2005" s="319" t="str">
        <f t="shared" si="862"/>
        <v/>
      </c>
      <c r="CC2005" s="319" t="str">
        <f t="shared" si="862"/>
        <v/>
      </c>
      <c r="CD2005" s="319" t="str">
        <f t="shared" si="862"/>
        <v/>
      </c>
      <c r="CE2005" s="319" t="str">
        <f t="shared" si="862"/>
        <v/>
      </c>
      <c r="CF2005" s="319" t="str">
        <f t="shared" si="862"/>
        <v/>
      </c>
      <c r="CG2005" s="319" t="str">
        <f t="shared" si="862"/>
        <v/>
      </c>
      <c r="CH2005" s="319" t="str">
        <f t="shared" si="862"/>
        <v/>
      </c>
      <c r="CI2005" s="319" t="str">
        <f t="shared" si="862"/>
        <v/>
      </c>
      <c r="CJ2005" s="319" t="str">
        <f t="shared" si="862"/>
        <v/>
      </c>
      <c r="CK2005" s="342">
        <f t="shared" si="182"/>
        <v>0</v>
      </c>
      <c r="CL2005" s="333">
        <f t="shared" si="183"/>
        <v>0</v>
      </c>
      <c r="CM2005" s="1079" t="s">
        <v>2602</v>
      </c>
      <c r="CN2005" s="1005" t="s">
        <v>2989</v>
      </c>
      <c r="CO2005" s="1005"/>
      <c r="CP2005" s="1005"/>
    </row>
    <row r="2006">
      <c r="A2006" s="1258"/>
      <c r="B2006" s="1129" t="s">
        <v>1711</v>
      </c>
      <c r="C2006" s="1122">
        <v>45553.0</v>
      </c>
      <c r="D2006" s="1129" t="s">
        <v>986</v>
      </c>
      <c r="E2006" s="1124">
        <v>9.0</v>
      </c>
      <c r="F2006" s="108" t="s">
        <v>2993</v>
      </c>
      <c r="G2006" s="1126">
        <v>0.6884259259259259</v>
      </c>
      <c r="H2006" s="1126">
        <v>0.6895833333333333</v>
      </c>
      <c r="I2006" s="1126"/>
      <c r="J2006" s="1127"/>
      <c r="K2006" s="1127">
        <v>0.7220486111111111</v>
      </c>
      <c r="L2006" s="1128">
        <v>0.03194444444444444</v>
      </c>
      <c r="M2006" s="1129" t="s">
        <v>166</v>
      </c>
      <c r="N2006" s="100" t="s">
        <v>187</v>
      </c>
      <c r="O2006" s="1131" t="s">
        <v>203</v>
      </c>
      <c r="P2006" s="1131" t="s">
        <v>250</v>
      </c>
      <c r="Q2006" s="1131"/>
      <c r="R2006" s="137">
        <v>15.1</v>
      </c>
      <c r="S2006" s="1129">
        <v>2.4</v>
      </c>
      <c r="T2006" s="100">
        <v>1.2</v>
      </c>
      <c r="U2006" s="1124"/>
      <c r="V2006" s="1124"/>
      <c r="W2006" s="1124"/>
      <c r="X2006" s="1124"/>
      <c r="Y2006" s="1124"/>
      <c r="Z2006" s="1130" t="s">
        <v>357</v>
      </c>
      <c r="AA2006" s="1130"/>
      <c r="AB2006" s="1130" t="s">
        <v>380</v>
      </c>
      <c r="AC2006" s="1133">
        <v>4.0</v>
      </c>
      <c r="AD2006" s="1131"/>
      <c r="AE2006" s="1131"/>
      <c r="AF2006" s="1131"/>
      <c r="AG2006" s="1131"/>
      <c r="AH2006" s="1131"/>
      <c r="AI2006" s="1131"/>
      <c r="AJ2006" s="1133"/>
      <c r="AK2006" s="1134"/>
      <c r="AL2006" s="1131"/>
      <c r="AM2006" s="1131"/>
      <c r="AN2006" s="1131"/>
      <c r="AO2006" s="1131"/>
      <c r="AP2006" s="1131"/>
      <c r="AQ2006" s="1131"/>
      <c r="AR2006" s="1131"/>
      <c r="AS2006" s="1133"/>
      <c r="AT2006" s="1197" t="str">
        <f t="shared" si="428"/>
        <v/>
      </c>
      <c r="AU2006" s="1194"/>
      <c r="AV2006" s="662">
        <f>SQRT(($R2006-Infrastructure!J$3)^2+($S2006-Infrastructure!K$3)^2)</f>
        <v>30.64979608</v>
      </c>
      <c r="AW2006" s="641">
        <f>SQRT(($R2006-Infrastructure!J$4)^2+($S2006-Infrastructure!K$4)^2)</f>
        <v>21.77888886</v>
      </c>
      <c r="AX2006" s="641">
        <f>SQRT(($R2006-Infrastructure!J$5)^2+($S2006-Infrastructure!K$5)^2)</f>
        <v>15.63489687</v>
      </c>
      <c r="AY2006" s="641">
        <f>SQRT(($R2006-Infrastructure!J$6)^2+($S2006-Infrastructure!K$6)^2)</f>
        <v>5.423098745</v>
      </c>
      <c r="AZ2006" s="641">
        <f>SQRT(($R2006-Infrastructure!J$7)^2+($S2006-Infrastructure!K$7)^2)</f>
        <v>5.793962375</v>
      </c>
      <c r="BA2006" s="641">
        <f>SQRT(($R2006-Infrastructure!J$8)^2+($S2006-Infrastructure!K$8)^2)</f>
        <v>15.14628667</v>
      </c>
      <c r="BB2006" s="641">
        <f>SQRT(($R2006-Infrastructure!J$9)^2+($S2006-Infrastructure!K$9)^2)</f>
        <v>25.04595776</v>
      </c>
      <c r="BC2006" s="641">
        <f>SQRT(($R2006-Infrastructure!J$10)^2+($S2006-Infrastructure!K$10)^2)</f>
        <v>27.90645087</v>
      </c>
      <c r="BD2006" s="641">
        <f>SQRT(($R2006-Infrastructure!J$11)^2+($S2006-Infrastructure!K$11)^2)</f>
        <v>36.5728041</v>
      </c>
      <c r="BE2006" s="642">
        <f>SQRT(($R2006-Infrastructure!J$12)^2+($S2006-Infrastructure!K$12)^2)</f>
        <v>53.48429676</v>
      </c>
      <c r="BF2006" s="662">
        <f t="shared" si="161"/>
        <v>5.423098745</v>
      </c>
      <c r="BG2006" s="642">
        <f t="shared" si="162"/>
        <v>53.48429676</v>
      </c>
      <c r="BH2006" s="1135"/>
      <c r="BI2006" s="663" t="str">
        <f t="shared" ref="BI2006:BR2006" si="863">IF(ISNUMBER(FIND(BI$3, $CO2006)), "Y", "")</f>
        <v/>
      </c>
      <c r="BJ2006" s="663" t="str">
        <f t="shared" si="863"/>
        <v/>
      </c>
      <c r="BK2006" s="663" t="str">
        <f t="shared" si="863"/>
        <v/>
      </c>
      <c r="BL2006" s="663" t="str">
        <f t="shared" si="863"/>
        <v/>
      </c>
      <c r="BM2006" s="663" t="str">
        <f t="shared" si="863"/>
        <v/>
      </c>
      <c r="BN2006" s="663" t="str">
        <f t="shared" si="863"/>
        <v/>
      </c>
      <c r="BO2006" s="663" t="str">
        <f t="shared" si="863"/>
        <v/>
      </c>
      <c r="BP2006" s="663" t="str">
        <f t="shared" si="863"/>
        <v/>
      </c>
      <c r="BQ2006" s="663" t="str">
        <f t="shared" si="863"/>
        <v/>
      </c>
      <c r="BR2006" s="663" t="str">
        <f t="shared" si="863"/>
        <v/>
      </c>
      <c r="BS2006" s="662">
        <f t="shared" si="185"/>
        <v>0</v>
      </c>
      <c r="BT2006" s="641">
        <f t="shared" si="170"/>
        <v>0</v>
      </c>
      <c r="BU2006" s="937"/>
      <c r="BV2006" s="930" t="str">
        <f t="shared" si="186"/>
        <v/>
      </c>
      <c r="BW2006" s="939"/>
      <c r="BX2006" s="939"/>
      <c r="BY2006" s="641" t="b">
        <f t="shared" si="201"/>
        <v>0</v>
      </c>
      <c r="BZ2006" s="641"/>
      <c r="CA2006" s="635" t="str">
        <f t="shared" ref="CA2006:CJ2006" si="864">IF(ISNUMBER(FIND(BI$3, $CP2006)), "Y", "")</f>
        <v/>
      </c>
      <c r="CB2006" s="663" t="str">
        <f t="shared" si="864"/>
        <v/>
      </c>
      <c r="CC2006" s="663" t="str">
        <f t="shared" si="864"/>
        <v/>
      </c>
      <c r="CD2006" s="663" t="str">
        <f t="shared" si="864"/>
        <v/>
      </c>
      <c r="CE2006" s="663" t="str">
        <f t="shared" si="864"/>
        <v/>
      </c>
      <c r="CF2006" s="663" t="str">
        <f t="shared" si="864"/>
        <v/>
      </c>
      <c r="CG2006" s="663" t="str">
        <f t="shared" si="864"/>
        <v/>
      </c>
      <c r="CH2006" s="663" t="str">
        <f t="shared" si="864"/>
        <v/>
      </c>
      <c r="CI2006" s="663" t="str">
        <f t="shared" si="864"/>
        <v/>
      </c>
      <c r="CJ2006" s="663" t="str">
        <f t="shared" si="864"/>
        <v/>
      </c>
      <c r="CK2006" s="743">
        <f t="shared" si="182"/>
        <v>0</v>
      </c>
      <c r="CL2006" s="642">
        <f t="shared" si="183"/>
        <v>0</v>
      </c>
      <c r="CM2006" s="1090" t="s">
        <v>2602</v>
      </c>
      <c r="CN2006" s="1036" t="s">
        <v>2989</v>
      </c>
      <c r="CO2006" s="1036"/>
      <c r="CP2006" s="1036"/>
    </row>
    <row r="2007">
      <c r="A2007" s="1257" t="s">
        <v>120</v>
      </c>
      <c r="B2007" s="1113" t="s">
        <v>1711</v>
      </c>
      <c r="C2007" s="1107">
        <v>45554.0</v>
      </c>
      <c r="D2007" s="1113" t="s">
        <v>986</v>
      </c>
      <c r="E2007" s="1108">
        <v>1.0</v>
      </c>
      <c r="F2007" s="112" t="s">
        <v>2994</v>
      </c>
      <c r="G2007" s="1110">
        <v>0.3645833333333333</v>
      </c>
      <c r="H2007" s="1110">
        <v>0.36527777777777776</v>
      </c>
      <c r="I2007" s="1110"/>
      <c r="J2007" s="1111"/>
      <c r="K2007" s="1111">
        <v>0.3975694444444444</v>
      </c>
      <c r="L2007" s="1112">
        <v>0.03194444444444444</v>
      </c>
      <c r="M2007" s="1113" t="s">
        <v>166</v>
      </c>
      <c r="N2007" s="110" t="s">
        <v>188</v>
      </c>
      <c r="O2007" s="1115" t="s">
        <v>378</v>
      </c>
      <c r="P2007" s="1115" t="s">
        <v>217</v>
      </c>
      <c r="Q2007" s="1115" t="s">
        <v>851</v>
      </c>
      <c r="R2007" s="120">
        <v>22.7</v>
      </c>
      <c r="S2007" s="1113">
        <v>39.7</v>
      </c>
      <c r="T2007" s="110">
        <v>1.8</v>
      </c>
      <c r="U2007" s="1108"/>
      <c r="V2007" s="1108"/>
      <c r="W2007" s="1108"/>
      <c r="X2007" s="1108"/>
      <c r="Y2007" s="1108"/>
      <c r="Z2007" s="1114" t="s">
        <v>1140</v>
      </c>
      <c r="AA2007" s="1114"/>
      <c r="AB2007" s="1114" t="s">
        <v>410</v>
      </c>
      <c r="AC2007" s="1264">
        <v>22.1</v>
      </c>
      <c r="AD2007" s="1114"/>
      <c r="AE2007" s="1114"/>
      <c r="AF2007" s="1114"/>
      <c r="AG2007" s="1114"/>
      <c r="AH2007" s="1114"/>
      <c r="AI2007" s="1114"/>
      <c r="AJ2007" s="1264"/>
      <c r="AK2007" s="1265"/>
      <c r="AL2007" s="1114"/>
      <c r="AM2007" s="1114"/>
      <c r="AN2007" s="1114"/>
      <c r="AO2007" s="1114"/>
      <c r="AP2007" s="1114"/>
      <c r="AQ2007" s="1114"/>
      <c r="AR2007" s="1114"/>
      <c r="AS2007" s="1264"/>
      <c r="AT2007" s="1196" t="str">
        <f t="shared" si="428"/>
        <v/>
      </c>
      <c r="AU2007" s="1193"/>
      <c r="AV2007" s="330">
        <f>SQRT(($R2007-Infrastructure!J$3)^2+($S2007-Infrastructure!K$3)^2)</f>
        <v>25.40944706</v>
      </c>
      <c r="AW2007" s="331">
        <f>SQRT(($R2007-Infrastructure!J$4)^2+($S2007-Infrastructure!K$4)^2)</f>
        <v>31.75862088</v>
      </c>
      <c r="AX2007" s="331">
        <f>SQRT(($R2007-Infrastructure!J$5)^2+($S2007-Infrastructure!K$5)^2)</f>
        <v>41.54708173</v>
      </c>
      <c r="AY2007" s="331">
        <f>SQRT(($R2007-Infrastructure!J$6)^2+($S2007-Infrastructure!K$6)^2)</f>
        <v>41.36568626</v>
      </c>
      <c r="AZ2007" s="331">
        <f>SQRT(($R2007-Infrastructure!J$7)^2+($S2007-Infrastructure!K$7)^2)</f>
        <v>39.46137352</v>
      </c>
      <c r="BA2007" s="331">
        <f>SQRT(($R2007-Infrastructure!J$8)^2+($S2007-Infrastructure!K$8)^2)</f>
        <v>40.08890121</v>
      </c>
      <c r="BB2007" s="331">
        <f>SQRT(($R2007-Infrastructure!J$9)^2+($S2007-Infrastructure!K$9)^2)</f>
        <v>38.68397601</v>
      </c>
      <c r="BC2007" s="331">
        <f>SQRT(($R2007-Infrastructure!J$10)^2+($S2007-Infrastructure!K$10)^2)</f>
        <v>30.15592811</v>
      </c>
      <c r="BD2007" s="331">
        <f>SQRT(($R2007-Infrastructure!J$11)^2+($S2007-Infrastructure!K$11)^2)</f>
        <v>20.51194774</v>
      </c>
      <c r="BE2007" s="333">
        <f>SQRT(($R2007-Infrastructure!J$12)^2+($S2007-Infrastructure!K$12)^2)</f>
        <v>15.84550409</v>
      </c>
      <c r="BF2007" s="330">
        <f t="shared" si="161"/>
        <v>15.84550409</v>
      </c>
      <c r="BG2007" s="333">
        <f t="shared" si="162"/>
        <v>41.54708173</v>
      </c>
      <c r="BH2007" s="1119"/>
      <c r="BI2007" s="319" t="str">
        <f t="shared" ref="BI2007:BR2007" si="865">IF(ISNUMBER(FIND(BI$3, $CO2007)), "Y", "")</f>
        <v/>
      </c>
      <c r="BJ2007" s="319" t="str">
        <f t="shared" si="865"/>
        <v/>
      </c>
      <c r="BK2007" s="319" t="str">
        <f t="shared" si="865"/>
        <v/>
      </c>
      <c r="BL2007" s="319" t="str">
        <f t="shared" si="865"/>
        <v/>
      </c>
      <c r="BM2007" s="319" t="str">
        <f t="shared" si="865"/>
        <v/>
      </c>
      <c r="BN2007" s="319" t="str">
        <f t="shared" si="865"/>
        <v/>
      </c>
      <c r="BO2007" s="319" t="str">
        <f t="shared" si="865"/>
        <v/>
      </c>
      <c r="BP2007" s="319" t="str">
        <f t="shared" si="865"/>
        <v/>
      </c>
      <c r="BQ2007" s="319" t="str">
        <f t="shared" si="865"/>
        <v/>
      </c>
      <c r="BR2007" s="319" t="str">
        <f t="shared" si="865"/>
        <v/>
      </c>
      <c r="BS2007" s="330">
        <f t="shared" si="185"/>
        <v>0</v>
      </c>
      <c r="BT2007" s="331">
        <f t="shared" si="170"/>
        <v>0</v>
      </c>
      <c r="BU2007" s="920"/>
      <c r="BV2007" s="903" t="str">
        <f t="shared" si="186"/>
        <v/>
      </c>
      <c r="BW2007" s="908"/>
      <c r="BX2007" s="908"/>
      <c r="BY2007" s="331" t="b">
        <f t="shared" si="201"/>
        <v>0</v>
      </c>
      <c r="BZ2007" s="331"/>
      <c r="CA2007" s="462" t="str">
        <f t="shared" ref="CA2007:CJ2007" si="866">IF(ISNUMBER(FIND(BI$3, $CP2007)), "Y", "")</f>
        <v/>
      </c>
      <c r="CB2007" s="319" t="str">
        <f t="shared" si="866"/>
        <v/>
      </c>
      <c r="CC2007" s="319" t="str">
        <f t="shared" si="866"/>
        <v/>
      </c>
      <c r="CD2007" s="319" t="str">
        <f t="shared" si="866"/>
        <v/>
      </c>
      <c r="CE2007" s="319" t="str">
        <f t="shared" si="866"/>
        <v/>
      </c>
      <c r="CF2007" s="319" t="str">
        <f t="shared" si="866"/>
        <v/>
      </c>
      <c r="CG2007" s="319" t="str">
        <f t="shared" si="866"/>
        <v/>
      </c>
      <c r="CH2007" s="319" t="str">
        <f t="shared" si="866"/>
        <v/>
      </c>
      <c r="CI2007" s="319" t="str">
        <f t="shared" si="866"/>
        <v/>
      </c>
      <c r="CJ2007" s="319" t="str">
        <f t="shared" si="866"/>
        <v/>
      </c>
      <c r="CK2007" s="342">
        <f t="shared" si="182"/>
        <v>0</v>
      </c>
      <c r="CL2007" s="333">
        <f t="shared" si="183"/>
        <v>0</v>
      </c>
      <c r="CM2007" s="1079" t="s">
        <v>2602</v>
      </c>
      <c r="CN2007" s="1005" t="s">
        <v>2995</v>
      </c>
      <c r="CO2007" s="1005"/>
      <c r="CP2007" s="1005"/>
    </row>
    <row r="2008">
      <c r="A2008" s="266"/>
      <c r="B2008" s="1113" t="s">
        <v>1711</v>
      </c>
      <c r="C2008" s="1107">
        <v>45554.0</v>
      </c>
      <c r="D2008" s="1113" t="s">
        <v>986</v>
      </c>
      <c r="E2008" s="1108">
        <v>2.0</v>
      </c>
      <c r="F2008" s="112" t="s">
        <v>2996</v>
      </c>
      <c r="G2008" s="1110">
        <v>0.40625</v>
      </c>
      <c r="H2008" s="1110">
        <v>0.4065972222222222</v>
      </c>
      <c r="I2008" s="1110"/>
      <c r="J2008" s="1111"/>
      <c r="K2008" s="1111">
        <v>0.43819444444444444</v>
      </c>
      <c r="L2008" s="1112">
        <v>0.03125</v>
      </c>
      <c r="M2008" s="1113" t="s">
        <v>166</v>
      </c>
      <c r="N2008" s="110" t="s">
        <v>187</v>
      </c>
      <c r="O2008" s="1115" t="s">
        <v>206</v>
      </c>
      <c r="P2008" s="1115" t="s">
        <v>218</v>
      </c>
      <c r="Q2008" s="1116"/>
      <c r="R2008" s="120">
        <v>21.5</v>
      </c>
      <c r="S2008" s="1113">
        <v>8.7</v>
      </c>
      <c r="T2008" s="110">
        <v>2.4</v>
      </c>
      <c r="U2008" s="1108"/>
      <c r="V2008" s="1108"/>
      <c r="W2008" s="1108"/>
      <c r="X2008" s="1108"/>
      <c r="Y2008" s="1108"/>
      <c r="Z2008" s="1114" t="s">
        <v>347</v>
      </c>
      <c r="AA2008" s="1114"/>
      <c r="AB2008" s="1114" t="s">
        <v>384</v>
      </c>
      <c r="AC2008" s="1117">
        <v>6.0</v>
      </c>
      <c r="AD2008" s="1115"/>
      <c r="AE2008" s="1115"/>
      <c r="AF2008" s="1115"/>
      <c r="AG2008" s="1115"/>
      <c r="AH2008" s="1115"/>
      <c r="AI2008" s="1115"/>
      <c r="AJ2008" s="1117"/>
      <c r="AK2008" s="1118"/>
      <c r="AL2008" s="1115"/>
      <c r="AM2008" s="1115"/>
      <c r="AN2008" s="1115"/>
      <c r="AO2008" s="1115"/>
      <c r="AP2008" s="1115"/>
      <c r="AQ2008" s="1115"/>
      <c r="AR2008" s="1115"/>
      <c r="AS2008" s="1117"/>
      <c r="AT2008" s="1196" t="str">
        <f t="shared" si="428"/>
        <v/>
      </c>
      <c r="AU2008" s="1193"/>
      <c r="AV2008" s="330">
        <f>SQRT(($R2008-Infrastructure!J$3)^2+($S2008-Infrastructure!K$3)^2)</f>
        <v>29.72002692</v>
      </c>
      <c r="AW2008" s="331">
        <f>SQRT(($R2008-Infrastructure!J$4)^2+($S2008-Infrastructure!K$4)^2)</f>
        <v>23.62308193</v>
      </c>
      <c r="AX2008" s="331">
        <f>SQRT(($R2008-Infrastructure!J$5)^2+($S2008-Infrastructure!K$5)^2)</f>
        <v>22.09524836</v>
      </c>
      <c r="AY2008" s="331">
        <f>SQRT(($R2008-Infrastructure!J$6)^2+($S2008-Infrastructure!K$6)^2)</f>
        <v>14.16050847</v>
      </c>
      <c r="AZ2008" s="331">
        <f>SQRT(($R2008-Infrastructure!J$7)^2+($S2008-Infrastructure!K$7)^2)</f>
        <v>8.459314393</v>
      </c>
      <c r="BA2008" s="331">
        <f>SQRT(($R2008-Infrastructure!J$8)^2+($S2008-Infrastructure!K$8)^2)</f>
        <v>12.02164714</v>
      </c>
      <c r="BB2008" s="331">
        <f>SQRT(($R2008-Infrastructure!J$9)^2+($S2008-Infrastructure!K$9)^2)</f>
        <v>18.84701568</v>
      </c>
      <c r="BC2008" s="331">
        <f>SQRT(($R2008-Infrastructure!J$10)^2+($S2008-Infrastructure!K$10)^2)</f>
        <v>19.54328529</v>
      </c>
      <c r="BD2008" s="331">
        <f>SQRT(($R2008-Infrastructure!J$11)^2+($S2008-Infrastructure!K$11)^2)</f>
        <v>27.60036232</v>
      </c>
      <c r="BE2008" s="333">
        <f>SQRT(($R2008-Infrastructure!J$12)^2+($S2008-Infrastructure!K$12)^2)</f>
        <v>46.8</v>
      </c>
      <c r="BF2008" s="330">
        <f t="shared" si="161"/>
        <v>8.459314393</v>
      </c>
      <c r="BG2008" s="333">
        <f t="shared" si="162"/>
        <v>46.8</v>
      </c>
      <c r="BH2008" s="1119"/>
      <c r="BI2008" s="319" t="str">
        <f t="shared" ref="BI2008:BR2008" si="867">IF(ISNUMBER(FIND(BI$3, $CO2008)), "Y", "")</f>
        <v/>
      </c>
      <c r="BJ2008" s="319" t="str">
        <f t="shared" si="867"/>
        <v/>
      </c>
      <c r="BK2008" s="319" t="str">
        <f t="shared" si="867"/>
        <v/>
      </c>
      <c r="BL2008" s="319" t="str">
        <f t="shared" si="867"/>
        <v/>
      </c>
      <c r="BM2008" s="319" t="str">
        <f t="shared" si="867"/>
        <v/>
      </c>
      <c r="BN2008" s="319" t="str">
        <f t="shared" si="867"/>
        <v/>
      </c>
      <c r="BO2008" s="319" t="str">
        <f t="shared" si="867"/>
        <v/>
      </c>
      <c r="BP2008" s="319" t="str">
        <f t="shared" si="867"/>
        <v/>
      </c>
      <c r="BQ2008" s="319" t="str">
        <f t="shared" si="867"/>
        <v/>
      </c>
      <c r="BR2008" s="319" t="str">
        <f t="shared" si="867"/>
        <v/>
      </c>
      <c r="BS2008" s="330">
        <f t="shared" si="185"/>
        <v>0</v>
      </c>
      <c r="BT2008" s="331">
        <f t="shared" si="170"/>
        <v>0</v>
      </c>
      <c r="BU2008" s="920"/>
      <c r="BV2008" s="903" t="str">
        <f t="shared" si="186"/>
        <v/>
      </c>
      <c r="BW2008" s="908"/>
      <c r="BX2008" s="908"/>
      <c r="BY2008" s="331" t="b">
        <f t="shared" si="201"/>
        <v>0</v>
      </c>
      <c r="BZ2008" s="331"/>
      <c r="CA2008" s="462" t="str">
        <f t="shared" ref="CA2008:CJ2008" si="868">IF(ISNUMBER(FIND(BI$3, $CP2008)), "Y", "")</f>
        <v/>
      </c>
      <c r="CB2008" s="319" t="str">
        <f t="shared" si="868"/>
        <v/>
      </c>
      <c r="CC2008" s="319" t="str">
        <f t="shared" si="868"/>
        <v/>
      </c>
      <c r="CD2008" s="319" t="str">
        <f t="shared" si="868"/>
        <v/>
      </c>
      <c r="CE2008" s="319" t="str">
        <f t="shared" si="868"/>
        <v/>
      </c>
      <c r="CF2008" s="319" t="str">
        <f t="shared" si="868"/>
        <v/>
      </c>
      <c r="CG2008" s="319" t="str">
        <f t="shared" si="868"/>
        <v/>
      </c>
      <c r="CH2008" s="319" t="str">
        <f t="shared" si="868"/>
        <v/>
      </c>
      <c r="CI2008" s="319" t="str">
        <f t="shared" si="868"/>
        <v/>
      </c>
      <c r="CJ2008" s="319" t="str">
        <f t="shared" si="868"/>
        <v/>
      </c>
      <c r="CK2008" s="342">
        <f t="shared" si="182"/>
        <v>0</v>
      </c>
      <c r="CL2008" s="333">
        <f t="shared" si="183"/>
        <v>0</v>
      </c>
      <c r="CM2008" s="1079" t="s">
        <v>2602</v>
      </c>
      <c r="CN2008" s="1005" t="s">
        <v>2995</v>
      </c>
      <c r="CO2008" s="1005"/>
      <c r="CP2008" s="1005"/>
    </row>
    <row r="2009">
      <c r="A2009" s="266"/>
      <c r="B2009" s="1113" t="s">
        <v>1711</v>
      </c>
      <c r="C2009" s="1107">
        <v>45554.0</v>
      </c>
      <c r="D2009" s="1113" t="s">
        <v>986</v>
      </c>
      <c r="E2009" s="1108">
        <v>3.0</v>
      </c>
      <c r="F2009" s="112" t="s">
        <v>2997</v>
      </c>
      <c r="G2009" s="1110">
        <v>0.44722222222222224</v>
      </c>
      <c r="H2009" s="1110">
        <v>0.4479166666666667</v>
      </c>
      <c r="I2009" s="1110"/>
      <c r="J2009" s="1111"/>
      <c r="K2009" s="1111">
        <v>0.48055555555555557</v>
      </c>
      <c r="L2009" s="1112">
        <v>0.03263888888888889</v>
      </c>
      <c r="M2009" s="1113" t="s">
        <v>166</v>
      </c>
      <c r="N2009" s="110" t="s">
        <v>187</v>
      </c>
      <c r="O2009" s="1115" t="s">
        <v>199</v>
      </c>
      <c r="P2009" s="1115" t="s">
        <v>272</v>
      </c>
      <c r="Q2009" s="1116"/>
      <c r="R2009" s="120">
        <v>16.1</v>
      </c>
      <c r="S2009" s="1113">
        <v>9.6</v>
      </c>
      <c r="T2009" s="110">
        <v>0.0</v>
      </c>
      <c r="U2009" s="1108"/>
      <c r="V2009" s="1108"/>
      <c r="W2009" s="1108"/>
      <c r="X2009" s="1108"/>
      <c r="Y2009" s="1108"/>
      <c r="Z2009" s="1114" t="s">
        <v>351</v>
      </c>
      <c r="AA2009" s="1114"/>
      <c r="AB2009" s="1114" t="s">
        <v>384</v>
      </c>
      <c r="AC2009" s="1117">
        <v>6.0</v>
      </c>
      <c r="AD2009" s="1115"/>
      <c r="AE2009" s="1115"/>
      <c r="AF2009" s="1115"/>
      <c r="AG2009" s="1115"/>
      <c r="AH2009" s="1115"/>
      <c r="AI2009" s="1115"/>
      <c r="AJ2009" s="1117"/>
      <c r="AK2009" s="1118"/>
      <c r="AL2009" s="1115"/>
      <c r="AM2009" s="1115"/>
      <c r="AN2009" s="1115"/>
      <c r="AO2009" s="1115"/>
      <c r="AP2009" s="1115"/>
      <c r="AQ2009" s="1115"/>
      <c r="AR2009" s="1115"/>
      <c r="AS2009" s="1117"/>
      <c r="AT2009" s="1196" t="str">
        <f t="shared" si="428"/>
        <v/>
      </c>
      <c r="AU2009" s="1193"/>
      <c r="AV2009" s="330">
        <f>SQRT(($R2009-Infrastructure!J$3)^2+($S2009-Infrastructure!K$3)^2)</f>
        <v>25.32686321</v>
      </c>
      <c r="AW2009" s="331">
        <f>SQRT(($R2009-Infrastructure!J$4)^2+($S2009-Infrastructure!K$4)^2)</f>
        <v>18.33575742</v>
      </c>
      <c r="AX2009" s="331">
        <f>SQRT(($R2009-Infrastructure!J$5)^2+($S2009-Infrastructure!K$5)^2)</f>
        <v>17.00617535</v>
      </c>
      <c r="AY2009" s="331">
        <f>SQRT(($R2009-Infrastructure!J$6)^2+($S2009-Infrastructure!K$6)^2)</f>
        <v>11.06752005</v>
      </c>
      <c r="AZ2009" s="331">
        <f>SQRT(($R2009-Infrastructure!J$7)^2+($S2009-Infrastructure!K$7)^2)</f>
        <v>10.28834292</v>
      </c>
      <c r="BA2009" s="331">
        <f>SQRT(($R2009-Infrastructure!J$8)^2+($S2009-Infrastructure!K$8)^2)</f>
        <v>16.80743883</v>
      </c>
      <c r="BB2009" s="331">
        <f>SQRT(($R2009-Infrastructure!J$9)^2+($S2009-Infrastructure!K$9)^2)</f>
        <v>24.31995066</v>
      </c>
      <c r="BC2009" s="331">
        <f>SQRT(($R2009-Infrastructure!J$10)^2+($S2009-Infrastructure!K$10)^2)</f>
        <v>24.50244886</v>
      </c>
      <c r="BD2009" s="331">
        <f>SQRT(($R2009-Infrastructure!J$11)^2+($S2009-Infrastructure!K$11)^2)</f>
        <v>30.93816413</v>
      </c>
      <c r="BE2009" s="333">
        <f>SQRT(($R2009-Infrastructure!J$12)^2+($S2009-Infrastructure!K$12)^2)</f>
        <v>46.21655548</v>
      </c>
      <c r="BF2009" s="330">
        <f t="shared" si="161"/>
        <v>10.28834292</v>
      </c>
      <c r="BG2009" s="333">
        <f t="shared" si="162"/>
        <v>46.21655548</v>
      </c>
      <c r="BH2009" s="1119"/>
      <c r="BI2009" s="319" t="str">
        <f t="shared" ref="BI2009:BR2009" si="869">IF(ISNUMBER(FIND(BI$3, $CO2009)), "Y", "")</f>
        <v/>
      </c>
      <c r="BJ2009" s="319" t="str">
        <f t="shared" si="869"/>
        <v/>
      </c>
      <c r="BK2009" s="319" t="str">
        <f t="shared" si="869"/>
        <v/>
      </c>
      <c r="BL2009" s="319" t="str">
        <f t="shared" si="869"/>
        <v/>
      </c>
      <c r="BM2009" s="319" t="str">
        <f t="shared" si="869"/>
        <v/>
      </c>
      <c r="BN2009" s="319" t="str">
        <f t="shared" si="869"/>
        <v/>
      </c>
      <c r="BO2009" s="319" t="str">
        <f t="shared" si="869"/>
        <v/>
      </c>
      <c r="BP2009" s="319" t="str">
        <f t="shared" si="869"/>
        <v/>
      </c>
      <c r="BQ2009" s="319" t="str">
        <f t="shared" si="869"/>
        <v/>
      </c>
      <c r="BR2009" s="319" t="str">
        <f t="shared" si="869"/>
        <v/>
      </c>
      <c r="BS2009" s="330">
        <f t="shared" si="185"/>
        <v>0</v>
      </c>
      <c r="BT2009" s="331">
        <f t="shared" si="170"/>
        <v>0</v>
      </c>
      <c r="BU2009" s="920"/>
      <c r="BV2009" s="903" t="str">
        <f t="shared" si="186"/>
        <v/>
      </c>
      <c r="BW2009" s="908"/>
      <c r="BX2009" s="908"/>
      <c r="BY2009" s="331" t="b">
        <f t="shared" si="201"/>
        <v>0</v>
      </c>
      <c r="BZ2009" s="331"/>
      <c r="CA2009" s="462" t="str">
        <f t="shared" ref="CA2009:CJ2009" si="870">IF(ISNUMBER(FIND(BI$3, $CP2009)), "Y", "")</f>
        <v/>
      </c>
      <c r="CB2009" s="319" t="str">
        <f t="shared" si="870"/>
        <v/>
      </c>
      <c r="CC2009" s="319" t="str">
        <f t="shared" si="870"/>
        <v/>
      </c>
      <c r="CD2009" s="319" t="str">
        <f t="shared" si="870"/>
        <v/>
      </c>
      <c r="CE2009" s="319" t="str">
        <f t="shared" si="870"/>
        <v/>
      </c>
      <c r="CF2009" s="319" t="str">
        <f t="shared" si="870"/>
        <v/>
      </c>
      <c r="CG2009" s="319" t="str">
        <f t="shared" si="870"/>
        <v/>
      </c>
      <c r="CH2009" s="319" t="str">
        <f t="shared" si="870"/>
        <v/>
      </c>
      <c r="CI2009" s="319" t="str">
        <f t="shared" si="870"/>
        <v/>
      </c>
      <c r="CJ2009" s="319" t="str">
        <f t="shared" si="870"/>
        <v/>
      </c>
      <c r="CK2009" s="342">
        <f t="shared" si="182"/>
        <v>0</v>
      </c>
      <c r="CL2009" s="333">
        <f t="shared" si="183"/>
        <v>0</v>
      </c>
      <c r="CM2009" s="1079" t="s">
        <v>2602</v>
      </c>
      <c r="CN2009" s="1005" t="s">
        <v>2995</v>
      </c>
      <c r="CO2009" s="1005"/>
      <c r="CP2009" s="1005"/>
    </row>
    <row r="2010">
      <c r="A2010" s="266"/>
      <c r="B2010" s="1113" t="s">
        <v>1711</v>
      </c>
      <c r="C2010" s="1107">
        <v>45554.0</v>
      </c>
      <c r="D2010" s="1113" t="s">
        <v>986</v>
      </c>
      <c r="E2010" s="1108">
        <v>4.0</v>
      </c>
      <c r="F2010" s="112" t="s">
        <v>2998</v>
      </c>
      <c r="G2010" s="1110">
        <v>0.4888888888888889</v>
      </c>
      <c r="H2010" s="1110">
        <v>0.4896990740740741</v>
      </c>
      <c r="I2010" s="1110"/>
      <c r="J2010" s="1111"/>
      <c r="K2010" s="1111">
        <v>0.521875</v>
      </c>
      <c r="L2010" s="1112">
        <v>0.03194444444444444</v>
      </c>
      <c r="M2010" s="1113" t="s">
        <v>166</v>
      </c>
      <c r="N2010" s="110" t="s">
        <v>187</v>
      </c>
      <c r="O2010" s="1115" t="s">
        <v>206</v>
      </c>
      <c r="P2010" s="1115" t="s">
        <v>296</v>
      </c>
      <c r="Q2010" s="1116"/>
      <c r="R2010" s="120">
        <v>22.0</v>
      </c>
      <c r="S2010" s="1113">
        <v>11.4</v>
      </c>
      <c r="T2010" s="110">
        <v>0.6</v>
      </c>
      <c r="U2010" s="1108"/>
      <c r="V2010" s="1108"/>
      <c r="W2010" s="1108"/>
      <c r="X2010" s="1108"/>
      <c r="Y2010" s="1108"/>
      <c r="Z2010" s="1114" t="s">
        <v>347</v>
      </c>
      <c r="AA2010" s="1114"/>
      <c r="AB2010" s="1114" t="s">
        <v>388</v>
      </c>
      <c r="AC2010" s="1117">
        <v>8.0</v>
      </c>
      <c r="AD2010" s="1115"/>
      <c r="AE2010" s="1115"/>
      <c r="AF2010" s="1115"/>
      <c r="AG2010" s="1115"/>
      <c r="AH2010" s="1115"/>
      <c r="AI2010" s="1115"/>
      <c r="AJ2010" s="1117"/>
      <c r="AK2010" s="1118"/>
      <c r="AL2010" s="1115"/>
      <c r="AM2010" s="1115"/>
      <c r="AN2010" s="1115"/>
      <c r="AO2010" s="1115"/>
      <c r="AP2010" s="1115"/>
      <c r="AQ2010" s="1115"/>
      <c r="AR2010" s="1115"/>
      <c r="AS2010" s="1117"/>
      <c r="AT2010" s="1196" t="str">
        <f t="shared" si="428"/>
        <v/>
      </c>
      <c r="AU2010" s="1193"/>
      <c r="AV2010" s="330">
        <f>SQRT(($R2010-Infrastructure!J$3)^2+($S2010-Infrastructure!K$3)^2)</f>
        <v>28.34678112</v>
      </c>
      <c r="AW2010" s="331">
        <f>SQRT(($R2010-Infrastructure!J$4)^2+($S2010-Infrastructure!K$4)^2)</f>
        <v>23.20021552</v>
      </c>
      <c r="AX2010" s="331">
        <f>SQRT(($R2010-Infrastructure!J$5)^2+($S2010-Infrastructure!K$5)^2)</f>
        <v>23.17282892</v>
      </c>
      <c r="AY2010" s="331">
        <f>SQRT(($R2010-Infrastructure!J$6)^2+($S2010-Infrastructure!K$6)^2)</f>
        <v>16.273291</v>
      </c>
      <c r="AZ2010" s="331">
        <f>SQRT(($R2010-Infrastructure!J$7)^2+($S2010-Infrastructure!K$7)^2)</f>
        <v>11.20089282</v>
      </c>
      <c r="BA2010" s="331">
        <f>SQRT(($R2010-Infrastructure!J$8)^2+($S2010-Infrastructure!K$8)^2)</f>
        <v>13.74117899</v>
      </c>
      <c r="BB2010" s="331">
        <f>SQRT(($R2010-Infrastructure!J$9)^2+($S2010-Infrastructure!K$9)^2)</f>
        <v>19.07065809</v>
      </c>
      <c r="BC2010" s="331">
        <f>SQRT(($R2010-Infrastructure!J$10)^2+($S2010-Infrastructure!K$10)^2)</f>
        <v>18.35647025</v>
      </c>
      <c r="BD2010" s="331">
        <f>SQRT(($R2010-Infrastructure!J$11)^2+($S2010-Infrastructure!K$11)^2)</f>
        <v>25.3179778</v>
      </c>
      <c r="BE2010" s="333">
        <f>SQRT(($R2010-Infrastructure!J$12)^2+($S2010-Infrastructure!K$12)^2)</f>
        <v>44.10283438</v>
      </c>
      <c r="BF2010" s="330">
        <f t="shared" si="161"/>
        <v>11.20089282</v>
      </c>
      <c r="BG2010" s="333">
        <f t="shared" si="162"/>
        <v>44.10283438</v>
      </c>
      <c r="BH2010" s="1119"/>
      <c r="BI2010" s="319" t="str">
        <f t="shared" ref="BI2010:BR2010" si="871">IF(ISNUMBER(FIND(BI$3, $CO2010)), "Y", "")</f>
        <v/>
      </c>
      <c r="BJ2010" s="319" t="str">
        <f t="shared" si="871"/>
        <v/>
      </c>
      <c r="BK2010" s="319" t="str">
        <f t="shared" si="871"/>
        <v/>
      </c>
      <c r="BL2010" s="319" t="str">
        <f t="shared" si="871"/>
        <v/>
      </c>
      <c r="BM2010" s="319" t="str">
        <f t="shared" si="871"/>
        <v/>
      </c>
      <c r="BN2010" s="319" t="str">
        <f t="shared" si="871"/>
        <v/>
      </c>
      <c r="BO2010" s="319" t="str">
        <f t="shared" si="871"/>
        <v/>
      </c>
      <c r="BP2010" s="319" t="str">
        <f t="shared" si="871"/>
        <v/>
      </c>
      <c r="BQ2010" s="319" t="str">
        <f t="shared" si="871"/>
        <v/>
      </c>
      <c r="BR2010" s="319" t="str">
        <f t="shared" si="871"/>
        <v/>
      </c>
      <c r="BS2010" s="330">
        <f t="shared" si="185"/>
        <v>0</v>
      </c>
      <c r="BT2010" s="331">
        <f t="shared" si="170"/>
        <v>0</v>
      </c>
      <c r="BU2010" s="920"/>
      <c r="BV2010" s="903" t="str">
        <f t="shared" si="186"/>
        <v/>
      </c>
      <c r="BW2010" s="908"/>
      <c r="BX2010" s="908"/>
      <c r="BY2010" s="331" t="b">
        <f t="shared" si="201"/>
        <v>0</v>
      </c>
      <c r="BZ2010" s="331"/>
      <c r="CA2010" s="462" t="str">
        <f t="shared" ref="CA2010:CJ2010" si="872">IF(ISNUMBER(FIND(BI$3, $CP2010)), "Y", "")</f>
        <v/>
      </c>
      <c r="CB2010" s="319" t="str">
        <f t="shared" si="872"/>
        <v/>
      </c>
      <c r="CC2010" s="319" t="str">
        <f t="shared" si="872"/>
        <v/>
      </c>
      <c r="CD2010" s="319" t="str">
        <f t="shared" si="872"/>
        <v/>
      </c>
      <c r="CE2010" s="319" t="str">
        <f t="shared" si="872"/>
        <v/>
      </c>
      <c r="CF2010" s="319" t="str">
        <f t="shared" si="872"/>
        <v/>
      </c>
      <c r="CG2010" s="319" t="str">
        <f t="shared" si="872"/>
        <v/>
      </c>
      <c r="CH2010" s="319" t="str">
        <f t="shared" si="872"/>
        <v/>
      </c>
      <c r="CI2010" s="319" t="str">
        <f t="shared" si="872"/>
        <v/>
      </c>
      <c r="CJ2010" s="319" t="str">
        <f t="shared" si="872"/>
        <v/>
      </c>
      <c r="CK2010" s="342">
        <f t="shared" si="182"/>
        <v>0</v>
      </c>
      <c r="CL2010" s="333">
        <f t="shared" si="183"/>
        <v>0</v>
      </c>
      <c r="CM2010" s="1079" t="s">
        <v>2602</v>
      </c>
      <c r="CN2010" s="1005" t="s">
        <v>2995</v>
      </c>
      <c r="CO2010" s="1005"/>
      <c r="CP2010" s="1005"/>
    </row>
    <row r="2011">
      <c r="A2011" s="266"/>
      <c r="B2011" s="1113" t="s">
        <v>1711</v>
      </c>
      <c r="C2011" s="1107">
        <v>45554.0</v>
      </c>
      <c r="D2011" s="1113" t="s">
        <v>986</v>
      </c>
      <c r="E2011" s="1108">
        <v>5.0</v>
      </c>
      <c r="F2011" s="112" t="s">
        <v>2999</v>
      </c>
      <c r="G2011" s="1110">
        <v>0.5305555555555556</v>
      </c>
      <c r="H2011" s="1110">
        <v>0.53125</v>
      </c>
      <c r="I2011" s="1110"/>
      <c r="J2011" s="1111"/>
      <c r="K2011" s="1111">
        <v>0.5642361111111112</v>
      </c>
      <c r="L2011" s="1112">
        <v>0.03263888888888889</v>
      </c>
      <c r="M2011" s="1113" t="s">
        <v>166</v>
      </c>
      <c r="N2011" s="110" t="s">
        <v>188</v>
      </c>
      <c r="O2011" s="1115" t="s">
        <v>378</v>
      </c>
      <c r="P2011" s="1115" t="s">
        <v>217</v>
      </c>
      <c r="Q2011" s="1115" t="s">
        <v>851</v>
      </c>
      <c r="R2011" s="120">
        <v>22.7</v>
      </c>
      <c r="S2011" s="1113">
        <v>39.7</v>
      </c>
      <c r="T2011" s="110">
        <v>1.8</v>
      </c>
      <c r="U2011" s="1108"/>
      <c r="V2011" s="1108"/>
      <c r="W2011" s="1108"/>
      <c r="X2011" s="1108"/>
      <c r="Y2011" s="1108"/>
      <c r="Z2011" s="1114" t="s">
        <v>1140</v>
      </c>
      <c r="AA2011" s="1114"/>
      <c r="AB2011" s="1114" t="s">
        <v>410</v>
      </c>
      <c r="AC2011" s="1117">
        <v>22.1</v>
      </c>
      <c r="AD2011" s="1115"/>
      <c r="AE2011" s="1115"/>
      <c r="AF2011" s="1115"/>
      <c r="AG2011" s="1115"/>
      <c r="AH2011" s="1115"/>
      <c r="AI2011" s="1115"/>
      <c r="AJ2011" s="1117"/>
      <c r="AK2011" s="1118"/>
      <c r="AL2011" s="1115"/>
      <c r="AM2011" s="1115"/>
      <c r="AN2011" s="1115"/>
      <c r="AO2011" s="1115"/>
      <c r="AP2011" s="1115"/>
      <c r="AQ2011" s="1115"/>
      <c r="AR2011" s="1115"/>
      <c r="AS2011" s="1117"/>
      <c r="AT2011" s="1196" t="str">
        <f t="shared" si="428"/>
        <v/>
      </c>
      <c r="AU2011" s="1193"/>
      <c r="AV2011" s="330">
        <f>SQRT(($R2011-Infrastructure!J$3)^2+($S2011-Infrastructure!K$3)^2)</f>
        <v>25.40944706</v>
      </c>
      <c r="AW2011" s="331">
        <f>SQRT(($R2011-Infrastructure!J$4)^2+($S2011-Infrastructure!K$4)^2)</f>
        <v>31.75862088</v>
      </c>
      <c r="AX2011" s="331">
        <f>SQRT(($R2011-Infrastructure!J$5)^2+($S2011-Infrastructure!K$5)^2)</f>
        <v>41.54708173</v>
      </c>
      <c r="AY2011" s="331">
        <f>SQRT(($R2011-Infrastructure!J$6)^2+($S2011-Infrastructure!K$6)^2)</f>
        <v>41.36568626</v>
      </c>
      <c r="AZ2011" s="331">
        <f>SQRT(($R2011-Infrastructure!J$7)^2+($S2011-Infrastructure!K$7)^2)</f>
        <v>39.46137352</v>
      </c>
      <c r="BA2011" s="331">
        <f>SQRT(($R2011-Infrastructure!J$8)^2+($S2011-Infrastructure!K$8)^2)</f>
        <v>40.08890121</v>
      </c>
      <c r="BB2011" s="331">
        <f>SQRT(($R2011-Infrastructure!J$9)^2+($S2011-Infrastructure!K$9)^2)</f>
        <v>38.68397601</v>
      </c>
      <c r="BC2011" s="331">
        <f>SQRT(($R2011-Infrastructure!J$10)^2+($S2011-Infrastructure!K$10)^2)</f>
        <v>30.15592811</v>
      </c>
      <c r="BD2011" s="331">
        <f>SQRT(($R2011-Infrastructure!J$11)^2+($S2011-Infrastructure!K$11)^2)</f>
        <v>20.51194774</v>
      </c>
      <c r="BE2011" s="333">
        <f>SQRT(($R2011-Infrastructure!J$12)^2+($S2011-Infrastructure!K$12)^2)</f>
        <v>15.84550409</v>
      </c>
      <c r="BF2011" s="330">
        <f t="shared" si="161"/>
        <v>15.84550409</v>
      </c>
      <c r="BG2011" s="333">
        <f t="shared" si="162"/>
        <v>41.54708173</v>
      </c>
      <c r="BH2011" s="1119"/>
      <c r="BI2011" s="319" t="str">
        <f t="shared" ref="BI2011:BR2011" si="873">IF(ISNUMBER(FIND(BI$3, $CO2011)), "Y", "")</f>
        <v/>
      </c>
      <c r="BJ2011" s="319" t="str">
        <f t="shared" si="873"/>
        <v/>
      </c>
      <c r="BK2011" s="319" t="str">
        <f t="shared" si="873"/>
        <v/>
      </c>
      <c r="BL2011" s="319" t="str">
        <f t="shared" si="873"/>
        <v/>
      </c>
      <c r="BM2011" s="319" t="str">
        <f t="shared" si="873"/>
        <v/>
      </c>
      <c r="BN2011" s="319" t="str">
        <f t="shared" si="873"/>
        <v/>
      </c>
      <c r="BO2011" s="319" t="str">
        <f t="shared" si="873"/>
        <v/>
      </c>
      <c r="BP2011" s="319" t="str">
        <f t="shared" si="873"/>
        <v/>
      </c>
      <c r="BQ2011" s="319" t="str">
        <f t="shared" si="873"/>
        <v/>
      </c>
      <c r="BR2011" s="319" t="str">
        <f t="shared" si="873"/>
        <v/>
      </c>
      <c r="BS2011" s="330">
        <f t="shared" si="185"/>
        <v>0</v>
      </c>
      <c r="BT2011" s="331">
        <f t="shared" si="170"/>
        <v>0</v>
      </c>
      <c r="BU2011" s="920"/>
      <c r="BV2011" s="903" t="str">
        <f t="shared" si="186"/>
        <v/>
      </c>
      <c r="BW2011" s="908"/>
      <c r="BX2011" s="908"/>
      <c r="BY2011" s="331" t="b">
        <f t="shared" si="201"/>
        <v>0</v>
      </c>
      <c r="BZ2011" s="331"/>
      <c r="CA2011" s="462" t="str">
        <f t="shared" ref="CA2011:CJ2011" si="874">IF(ISNUMBER(FIND(BI$3, $CP2011)), "Y", "")</f>
        <v/>
      </c>
      <c r="CB2011" s="319" t="str">
        <f t="shared" si="874"/>
        <v/>
      </c>
      <c r="CC2011" s="319" t="str">
        <f t="shared" si="874"/>
        <v/>
      </c>
      <c r="CD2011" s="319" t="str">
        <f t="shared" si="874"/>
        <v/>
      </c>
      <c r="CE2011" s="319" t="str">
        <f t="shared" si="874"/>
        <v/>
      </c>
      <c r="CF2011" s="319" t="str">
        <f t="shared" si="874"/>
        <v/>
      </c>
      <c r="CG2011" s="319" t="str">
        <f t="shared" si="874"/>
        <v/>
      </c>
      <c r="CH2011" s="319" t="str">
        <f t="shared" si="874"/>
        <v/>
      </c>
      <c r="CI2011" s="319" t="str">
        <f t="shared" si="874"/>
        <v/>
      </c>
      <c r="CJ2011" s="319" t="str">
        <f t="shared" si="874"/>
        <v/>
      </c>
      <c r="CK2011" s="342">
        <f t="shared" si="182"/>
        <v>0</v>
      </c>
      <c r="CL2011" s="333">
        <f t="shared" si="183"/>
        <v>0</v>
      </c>
      <c r="CM2011" s="1079" t="s">
        <v>2602</v>
      </c>
      <c r="CN2011" s="1005" t="s">
        <v>3000</v>
      </c>
      <c r="CO2011" s="1005"/>
      <c r="CP2011" s="1005"/>
    </row>
    <row r="2012">
      <c r="A2012" s="266"/>
      <c r="B2012" s="1113" t="s">
        <v>1711</v>
      </c>
      <c r="C2012" s="1107">
        <v>45554.0</v>
      </c>
      <c r="D2012" s="1113" t="s">
        <v>986</v>
      </c>
      <c r="E2012" s="1108">
        <v>6.0</v>
      </c>
      <c r="F2012" s="112" t="s">
        <v>3001</v>
      </c>
      <c r="G2012" s="1110">
        <v>0.5736111111111111</v>
      </c>
      <c r="H2012" s="1110">
        <v>0.5743055555555555</v>
      </c>
      <c r="I2012" s="1110"/>
      <c r="J2012" s="1111"/>
      <c r="K2012" s="1111">
        <v>0.6069444444444444</v>
      </c>
      <c r="L2012" s="1112">
        <v>0.03263888888888889</v>
      </c>
      <c r="M2012" s="1113" t="s">
        <v>166</v>
      </c>
      <c r="N2012" s="110" t="s">
        <v>187</v>
      </c>
      <c r="O2012" s="1115" t="s">
        <v>207</v>
      </c>
      <c r="P2012" s="1115" t="s">
        <v>221</v>
      </c>
      <c r="Q2012" s="1116"/>
      <c r="R2012" s="120">
        <v>26.1</v>
      </c>
      <c r="S2012" s="1113">
        <v>14.3</v>
      </c>
      <c r="T2012" s="110">
        <v>1.5</v>
      </c>
      <c r="U2012" s="1108"/>
      <c r="V2012" s="1108"/>
      <c r="W2012" s="1108"/>
      <c r="X2012" s="1108"/>
      <c r="Y2012" s="1108"/>
      <c r="Z2012" s="1114" t="s">
        <v>374</v>
      </c>
      <c r="AA2012" s="1114"/>
      <c r="AB2012" s="1114" t="s">
        <v>380</v>
      </c>
      <c r="AC2012" s="1117">
        <v>4.0</v>
      </c>
      <c r="AD2012" s="1115"/>
      <c r="AE2012" s="1115"/>
      <c r="AF2012" s="1115"/>
      <c r="AG2012" s="1115"/>
      <c r="AH2012" s="1115"/>
      <c r="AI2012" s="1115"/>
      <c r="AJ2012" s="1117"/>
      <c r="AK2012" s="1118"/>
      <c r="AL2012" s="1115"/>
      <c r="AM2012" s="1115"/>
      <c r="AN2012" s="1115"/>
      <c r="AO2012" s="1115"/>
      <c r="AP2012" s="1115"/>
      <c r="AQ2012" s="1115"/>
      <c r="AR2012" s="1115"/>
      <c r="AS2012" s="1117"/>
      <c r="AT2012" s="1196" t="str">
        <f t="shared" si="428"/>
        <v/>
      </c>
      <c r="AU2012" s="1193"/>
      <c r="AV2012" s="330">
        <f>SQRT(($R2012-Infrastructure!J$3)^2+($S2012-Infrastructure!K$3)^2)</f>
        <v>30.16819517</v>
      </c>
      <c r="AW2012" s="331">
        <f>SQRT(($R2012-Infrastructure!J$4)^2+($S2012-Infrastructure!K$4)^2)</f>
        <v>26.63099698</v>
      </c>
      <c r="AX2012" s="331">
        <f>SQRT(($R2012-Infrastructure!J$5)^2+($S2012-Infrastructure!K$5)^2)</f>
        <v>27.95711001</v>
      </c>
      <c r="AY2012" s="331">
        <f>SQRT(($R2012-Infrastructure!J$6)^2+($S2012-Infrastructure!K$6)^2)</f>
        <v>21.26029163</v>
      </c>
      <c r="AZ2012" s="331">
        <f>SQRT(($R2012-Infrastructure!J$7)^2+($S2012-Infrastructure!K$7)^2)</f>
        <v>15.07846146</v>
      </c>
      <c r="BA2012" s="331">
        <f>SQRT(($R2012-Infrastructure!J$8)^2+($S2012-Infrastructure!K$8)^2)</f>
        <v>14.56021978</v>
      </c>
      <c r="BB2012" s="331">
        <f>SQRT(($R2012-Infrastructure!J$9)^2+($S2012-Infrastructure!K$9)^2)</f>
        <v>16.66883319</v>
      </c>
      <c r="BC2012" s="331">
        <f>SQRT(($R2012-Infrastructure!J$10)^2+($S2012-Infrastructure!K$10)^2)</f>
        <v>13.91761474</v>
      </c>
      <c r="BD2012" s="331">
        <f>SQRT(($R2012-Infrastructure!J$11)^2+($S2012-Infrastructure!K$11)^2)</f>
        <v>20.36909424</v>
      </c>
      <c r="BE2012" s="333">
        <f>SQRT(($R2012-Infrastructure!J$12)^2+($S2012-Infrastructure!K$12)^2)</f>
        <v>41.45600077</v>
      </c>
      <c r="BF2012" s="330">
        <f t="shared" si="161"/>
        <v>13.91761474</v>
      </c>
      <c r="BG2012" s="333">
        <f t="shared" si="162"/>
        <v>41.45600077</v>
      </c>
      <c r="BH2012" s="1119"/>
      <c r="BI2012" s="319" t="str">
        <f t="shared" ref="BI2012:BR2012" si="875">IF(ISNUMBER(FIND(BI$3, $CO2012)), "Y", "")</f>
        <v/>
      </c>
      <c r="BJ2012" s="319" t="str">
        <f t="shared" si="875"/>
        <v/>
      </c>
      <c r="BK2012" s="319" t="str">
        <f t="shared" si="875"/>
        <v/>
      </c>
      <c r="BL2012" s="319" t="str">
        <f t="shared" si="875"/>
        <v/>
      </c>
      <c r="BM2012" s="319" t="str">
        <f t="shared" si="875"/>
        <v/>
      </c>
      <c r="BN2012" s="319" t="str">
        <f t="shared" si="875"/>
        <v/>
      </c>
      <c r="BO2012" s="319" t="str">
        <f t="shared" si="875"/>
        <v/>
      </c>
      <c r="BP2012" s="319" t="str">
        <f t="shared" si="875"/>
        <v/>
      </c>
      <c r="BQ2012" s="319" t="str">
        <f t="shared" si="875"/>
        <v/>
      </c>
      <c r="BR2012" s="319" t="str">
        <f t="shared" si="875"/>
        <v/>
      </c>
      <c r="BS2012" s="330">
        <f t="shared" si="185"/>
        <v>0</v>
      </c>
      <c r="BT2012" s="331">
        <f t="shared" si="170"/>
        <v>0</v>
      </c>
      <c r="BU2012" s="920"/>
      <c r="BV2012" s="903" t="str">
        <f t="shared" si="186"/>
        <v/>
      </c>
      <c r="BW2012" s="908"/>
      <c r="BX2012" s="908"/>
      <c r="BY2012" s="331" t="b">
        <f t="shared" si="201"/>
        <v>0</v>
      </c>
      <c r="BZ2012" s="331"/>
      <c r="CA2012" s="462" t="str">
        <f t="shared" ref="CA2012:CJ2012" si="876">IF(ISNUMBER(FIND(BI$3, $CP2012)), "Y", "")</f>
        <v/>
      </c>
      <c r="CB2012" s="319" t="str">
        <f t="shared" si="876"/>
        <v/>
      </c>
      <c r="CC2012" s="319" t="str">
        <f t="shared" si="876"/>
        <v/>
      </c>
      <c r="CD2012" s="319" t="str">
        <f t="shared" si="876"/>
        <v/>
      </c>
      <c r="CE2012" s="319" t="str">
        <f t="shared" si="876"/>
        <v/>
      </c>
      <c r="CF2012" s="319" t="str">
        <f t="shared" si="876"/>
        <v/>
      </c>
      <c r="CG2012" s="319" t="str">
        <f t="shared" si="876"/>
        <v/>
      </c>
      <c r="CH2012" s="319" t="str">
        <f t="shared" si="876"/>
        <v/>
      </c>
      <c r="CI2012" s="319" t="str">
        <f t="shared" si="876"/>
        <v/>
      </c>
      <c r="CJ2012" s="319" t="str">
        <f t="shared" si="876"/>
        <v/>
      </c>
      <c r="CK2012" s="342">
        <f t="shared" si="182"/>
        <v>0</v>
      </c>
      <c r="CL2012" s="333">
        <f t="shared" si="183"/>
        <v>0</v>
      </c>
      <c r="CM2012" s="1079" t="s">
        <v>2602</v>
      </c>
      <c r="CN2012" s="1005" t="s">
        <v>3000</v>
      </c>
      <c r="CO2012" s="1005"/>
      <c r="CP2012" s="1005"/>
    </row>
    <row r="2013">
      <c r="A2013" s="266"/>
      <c r="B2013" s="1113" t="s">
        <v>1711</v>
      </c>
      <c r="C2013" s="1107">
        <v>45554.0</v>
      </c>
      <c r="D2013" s="1113" t="s">
        <v>986</v>
      </c>
      <c r="E2013" s="1108">
        <v>7.0</v>
      </c>
      <c r="F2013" s="112" t="s">
        <v>3002</v>
      </c>
      <c r="G2013" s="1110">
        <v>0.6138888888888889</v>
      </c>
      <c r="H2013" s="1110">
        <v>0.6152777777777778</v>
      </c>
      <c r="I2013" s="1110"/>
      <c r="J2013" s="1111"/>
      <c r="K2013" s="1111">
        <v>0.6465277777777778</v>
      </c>
      <c r="L2013" s="1112">
        <v>0.03125</v>
      </c>
      <c r="M2013" s="1113" t="s">
        <v>166</v>
      </c>
      <c r="N2013" s="110" t="s">
        <v>188</v>
      </c>
      <c r="O2013" s="1115" t="s">
        <v>196</v>
      </c>
      <c r="P2013" s="1115" t="s">
        <v>224</v>
      </c>
      <c r="Q2013" s="1115" t="s">
        <v>842</v>
      </c>
      <c r="R2013" s="120">
        <v>21.7</v>
      </c>
      <c r="S2013" s="1113">
        <v>39.5</v>
      </c>
      <c r="T2013" s="110">
        <v>1.3</v>
      </c>
      <c r="U2013" s="1108"/>
      <c r="V2013" s="1108"/>
      <c r="W2013" s="1108"/>
      <c r="X2013" s="1108"/>
      <c r="Y2013" s="1108"/>
      <c r="Z2013" s="1114" t="s">
        <v>387</v>
      </c>
      <c r="AA2013" s="1114"/>
      <c r="AB2013" s="1114" t="s">
        <v>416</v>
      </c>
      <c r="AC2013" s="1117">
        <v>52.5</v>
      </c>
      <c r="AD2013" s="1115"/>
      <c r="AE2013" s="1115"/>
      <c r="AF2013" s="1115"/>
      <c r="AG2013" s="1115"/>
      <c r="AH2013" s="1115"/>
      <c r="AI2013" s="1115"/>
      <c r="AJ2013" s="1117"/>
      <c r="AK2013" s="1118"/>
      <c r="AL2013" s="1115"/>
      <c r="AM2013" s="1115"/>
      <c r="AN2013" s="1115"/>
      <c r="AO2013" s="1115"/>
      <c r="AP2013" s="1115"/>
      <c r="AQ2013" s="1115"/>
      <c r="AR2013" s="1115"/>
      <c r="AS2013" s="1117"/>
      <c r="AT2013" s="1196" t="str">
        <f t="shared" si="428"/>
        <v/>
      </c>
      <c r="AU2013" s="1193"/>
      <c r="AV2013" s="330">
        <f>SQRT(($R2013-Infrastructure!J$3)^2+($S2013-Infrastructure!K$3)^2)</f>
        <v>24.42048321</v>
      </c>
      <c r="AW2013" s="331">
        <f>SQRT(($R2013-Infrastructure!J$4)^2+($S2013-Infrastructure!K$4)^2)</f>
        <v>30.90129447</v>
      </c>
      <c r="AX2013" s="331">
        <f>SQRT(($R2013-Infrastructure!J$5)^2+($S2013-Infrastructure!K$5)^2)</f>
        <v>40.83331973</v>
      </c>
      <c r="AY2013" s="331">
        <f>SQRT(($R2013-Infrastructure!J$6)^2+($S2013-Infrastructure!K$6)^2)</f>
        <v>40.88031311</v>
      </c>
      <c r="AZ2013" s="331">
        <f>SQRT(($R2013-Infrastructure!J$7)^2+($S2013-Infrastructure!K$7)^2)</f>
        <v>39.21836305</v>
      </c>
      <c r="BA2013" s="331">
        <f>SQRT(($R2013-Infrastructure!J$8)^2+($S2013-Infrastructure!K$8)^2)</f>
        <v>40.08989898</v>
      </c>
      <c r="BB2013" s="331">
        <f>SQRT(($R2013-Infrastructure!J$9)^2+($S2013-Infrastructure!K$9)^2)</f>
        <v>38.96472764</v>
      </c>
      <c r="BC2013" s="331">
        <f>SQRT(($R2013-Infrastructure!J$10)^2+($S2013-Infrastructure!K$10)^2)</f>
        <v>30.58005886</v>
      </c>
      <c r="BD2013" s="331">
        <f>SQRT(($R2013-Infrastructure!J$11)^2+($S2013-Infrastructure!K$11)^2)</f>
        <v>21.27204739</v>
      </c>
      <c r="BE2013" s="333">
        <f>SQRT(($R2013-Infrastructure!J$12)^2+($S2013-Infrastructure!K$12)^2)</f>
        <v>16.00124995</v>
      </c>
      <c r="BF2013" s="330">
        <f t="shared" si="161"/>
        <v>16.00124995</v>
      </c>
      <c r="BG2013" s="333">
        <f t="shared" si="162"/>
        <v>40.88031311</v>
      </c>
      <c r="BH2013" s="1119"/>
      <c r="BI2013" s="319" t="str">
        <f t="shared" ref="BI2013:BR2013" si="877">IF(ISNUMBER(FIND(BI$3, $CO2013)), "Y", "")</f>
        <v>Y</v>
      </c>
      <c r="BJ2013" s="319" t="str">
        <f t="shared" si="877"/>
        <v/>
      </c>
      <c r="BK2013" s="319" t="str">
        <f t="shared" si="877"/>
        <v/>
      </c>
      <c r="BL2013" s="319" t="str">
        <f t="shared" si="877"/>
        <v>Y</v>
      </c>
      <c r="BM2013" s="319" t="str">
        <f t="shared" si="877"/>
        <v>Y</v>
      </c>
      <c r="BN2013" s="319" t="str">
        <f t="shared" si="877"/>
        <v>Y</v>
      </c>
      <c r="BO2013" s="319" t="str">
        <f t="shared" si="877"/>
        <v/>
      </c>
      <c r="BP2013" s="319" t="str">
        <f t="shared" si="877"/>
        <v/>
      </c>
      <c r="BQ2013" s="319" t="str">
        <f t="shared" si="877"/>
        <v>Y</v>
      </c>
      <c r="BR2013" s="319" t="str">
        <f t="shared" si="877"/>
        <v>Y</v>
      </c>
      <c r="BS2013" s="330">
        <f t="shared" si="185"/>
        <v>16.00124995</v>
      </c>
      <c r="BT2013" s="331">
        <f t="shared" si="170"/>
        <v>40.88031311</v>
      </c>
      <c r="BU2013" s="920">
        <v>0.6308796296296296</v>
      </c>
      <c r="BV2013" s="903">
        <f t="shared" si="186"/>
        <v>0.01699074074</v>
      </c>
      <c r="BW2013" s="908">
        <v>11.2</v>
      </c>
      <c r="BX2013" s="908">
        <v>35.7</v>
      </c>
      <c r="BY2013" s="331">
        <f t="shared" si="201"/>
        <v>11.16646766</v>
      </c>
      <c r="BZ2013" s="331"/>
      <c r="CA2013" s="462" t="str">
        <f t="shared" ref="CA2013:CJ2013" si="878">IF(ISNUMBER(FIND(BI$3, $CP2013)), "Y", "")</f>
        <v/>
      </c>
      <c r="CB2013" s="319" t="str">
        <f t="shared" si="878"/>
        <v/>
      </c>
      <c r="CC2013" s="319" t="str">
        <f t="shared" si="878"/>
        <v/>
      </c>
      <c r="CD2013" s="319" t="str">
        <f t="shared" si="878"/>
        <v/>
      </c>
      <c r="CE2013" s="319" t="str">
        <f t="shared" si="878"/>
        <v/>
      </c>
      <c r="CF2013" s="319" t="str">
        <f t="shared" si="878"/>
        <v/>
      </c>
      <c r="CG2013" s="319" t="str">
        <f t="shared" si="878"/>
        <v/>
      </c>
      <c r="CH2013" s="319" t="str">
        <f t="shared" si="878"/>
        <v/>
      </c>
      <c r="CI2013" s="319" t="str">
        <f t="shared" si="878"/>
        <v/>
      </c>
      <c r="CJ2013" s="319" t="str">
        <f t="shared" si="878"/>
        <v/>
      </c>
      <c r="CK2013" s="342">
        <f t="shared" si="182"/>
        <v>0</v>
      </c>
      <c r="CL2013" s="333">
        <f t="shared" si="183"/>
        <v>0</v>
      </c>
      <c r="CM2013" s="1079" t="s">
        <v>2602</v>
      </c>
      <c r="CN2013" s="1005" t="s">
        <v>3000</v>
      </c>
      <c r="CO2013" s="1005" t="s">
        <v>2915</v>
      </c>
      <c r="CP2013" s="1005"/>
    </row>
    <row r="2014">
      <c r="A2014" s="266"/>
      <c r="B2014" s="1113" t="s">
        <v>1711</v>
      </c>
      <c r="C2014" s="1107">
        <v>45554.0</v>
      </c>
      <c r="D2014" s="1113" t="s">
        <v>986</v>
      </c>
      <c r="E2014" s="1108">
        <v>8.0</v>
      </c>
      <c r="F2014" s="112" t="s">
        <v>3003</v>
      </c>
      <c r="G2014" s="1110">
        <v>0.6559027777777777</v>
      </c>
      <c r="H2014" s="1110">
        <v>0.6572916666666667</v>
      </c>
      <c r="I2014" s="1110"/>
      <c r="J2014" s="1111"/>
      <c r="K2014" s="1111">
        <v>0.6902777777777778</v>
      </c>
      <c r="L2014" s="1112">
        <v>0.03263888888888889</v>
      </c>
      <c r="M2014" s="1113" t="s">
        <v>166</v>
      </c>
      <c r="N2014" s="110" t="s">
        <v>187</v>
      </c>
      <c r="O2014" s="1115" t="s">
        <v>197</v>
      </c>
      <c r="P2014" s="1115" t="s">
        <v>272</v>
      </c>
      <c r="Q2014" s="1115" t="s">
        <v>842</v>
      </c>
      <c r="R2014" s="120">
        <v>37.1</v>
      </c>
      <c r="S2014" s="1113">
        <v>6.9</v>
      </c>
      <c r="T2014" s="110">
        <v>6.5</v>
      </c>
      <c r="U2014" s="1108"/>
      <c r="V2014" s="1108"/>
      <c r="W2014" s="1108"/>
      <c r="X2014" s="1108"/>
      <c r="Y2014" s="1108"/>
      <c r="Z2014" s="1114" t="s">
        <v>379</v>
      </c>
      <c r="AA2014" s="1114"/>
      <c r="AB2014" s="1114" t="s">
        <v>392</v>
      </c>
      <c r="AC2014" s="1117">
        <v>10.0</v>
      </c>
      <c r="AD2014" s="1115"/>
      <c r="AE2014" s="1115"/>
      <c r="AF2014" s="1115"/>
      <c r="AG2014" s="1115"/>
      <c r="AH2014" s="1115"/>
      <c r="AI2014" s="1115"/>
      <c r="AJ2014" s="1117"/>
      <c r="AK2014" s="1118"/>
      <c r="AL2014" s="1115"/>
      <c r="AM2014" s="1115"/>
      <c r="AN2014" s="1115"/>
      <c r="AO2014" s="1115"/>
      <c r="AP2014" s="1115"/>
      <c r="AQ2014" s="1115"/>
      <c r="AR2014" s="1115"/>
      <c r="AS2014" s="1117"/>
      <c r="AT2014" s="1196" t="str">
        <f t="shared" si="428"/>
        <v/>
      </c>
      <c r="AU2014" s="1193"/>
      <c r="AV2014" s="330">
        <f>SQRT(($R2014-Infrastructure!J$3)^2+($S2014-Infrastructure!K$3)^2)</f>
        <v>43.39078243</v>
      </c>
      <c r="AW2014" s="331">
        <f>SQRT(($R2014-Infrastructure!J$4)^2+($S2014-Infrastructure!K$4)^2)</f>
        <v>38.95600082</v>
      </c>
      <c r="AX2014" s="331">
        <f>SQRT(($R2014-Infrastructure!J$5)^2+($S2014-Infrastructure!K$5)^2)</f>
        <v>37.44329045</v>
      </c>
      <c r="AY2014" s="331">
        <f>SQRT(($R2014-Infrastructure!J$6)^2+($S2014-Infrastructure!K$6)^2)</f>
        <v>27.79496357</v>
      </c>
      <c r="AZ2014" s="331">
        <f>SQRT(($R2014-Infrastructure!J$7)^2+($S2014-Infrastructure!K$7)^2)</f>
        <v>17.86393014</v>
      </c>
      <c r="BA2014" s="331">
        <f>SQRT(($R2014-Infrastructure!J$8)^2+($S2014-Infrastructure!K$8)^2)</f>
        <v>9.620810777</v>
      </c>
      <c r="BB2014" s="331">
        <f>SQRT(($R2014-Infrastructure!J$9)^2+($S2014-Infrastructure!K$9)^2)</f>
        <v>3.413209633</v>
      </c>
      <c r="BC2014" s="331">
        <f>SQRT(($R2014-Infrastructure!J$10)^2+($S2014-Infrastructure!K$10)^2)</f>
        <v>8.603487665</v>
      </c>
      <c r="BD2014" s="331">
        <f>SQRT(($R2014-Infrastructure!J$11)^2+($S2014-Infrastructure!K$11)^2)</f>
        <v>22.31636171</v>
      </c>
      <c r="BE2014" s="333">
        <f>SQRT(($R2014-Infrastructure!J$12)^2+($S2014-Infrastructure!K$12)^2)</f>
        <v>51.04233537</v>
      </c>
      <c r="BF2014" s="330">
        <f t="shared" si="161"/>
        <v>3.413209633</v>
      </c>
      <c r="BG2014" s="333">
        <f t="shared" si="162"/>
        <v>51.04233537</v>
      </c>
      <c r="BH2014" s="1119"/>
      <c r="BI2014" s="319" t="str">
        <f t="shared" ref="BI2014:BR2014" si="879">IF(ISNUMBER(FIND(BI$3, $CO2014)), "Y", "")</f>
        <v/>
      </c>
      <c r="BJ2014" s="319" t="str">
        <f t="shared" si="879"/>
        <v/>
      </c>
      <c r="BK2014" s="319" t="str">
        <f t="shared" si="879"/>
        <v/>
      </c>
      <c r="BL2014" s="319" t="str">
        <f t="shared" si="879"/>
        <v/>
      </c>
      <c r="BM2014" s="319" t="str">
        <f t="shared" si="879"/>
        <v/>
      </c>
      <c r="BN2014" s="319" t="str">
        <f t="shared" si="879"/>
        <v/>
      </c>
      <c r="BO2014" s="319" t="str">
        <f t="shared" si="879"/>
        <v/>
      </c>
      <c r="BP2014" s="319" t="str">
        <f t="shared" si="879"/>
        <v/>
      </c>
      <c r="BQ2014" s="319" t="str">
        <f t="shared" si="879"/>
        <v/>
      </c>
      <c r="BR2014" s="319" t="str">
        <f t="shared" si="879"/>
        <v/>
      </c>
      <c r="BS2014" s="330">
        <f t="shared" si="185"/>
        <v>0</v>
      </c>
      <c r="BT2014" s="331">
        <f t="shared" si="170"/>
        <v>0</v>
      </c>
      <c r="BU2014" s="920"/>
      <c r="BV2014" s="903" t="str">
        <f t="shared" si="186"/>
        <v/>
      </c>
      <c r="BW2014" s="908"/>
      <c r="BX2014" s="908"/>
      <c r="BY2014" s="331" t="b">
        <f t="shared" si="201"/>
        <v>0</v>
      </c>
      <c r="BZ2014" s="331"/>
      <c r="CA2014" s="462" t="str">
        <f t="shared" ref="CA2014:CJ2014" si="880">IF(ISNUMBER(FIND(BI$3, $CP2014)), "Y", "")</f>
        <v/>
      </c>
      <c r="CB2014" s="319" t="str">
        <f t="shared" si="880"/>
        <v/>
      </c>
      <c r="CC2014" s="319" t="str">
        <f t="shared" si="880"/>
        <v/>
      </c>
      <c r="CD2014" s="319" t="str">
        <f t="shared" si="880"/>
        <v/>
      </c>
      <c r="CE2014" s="319" t="str">
        <f t="shared" si="880"/>
        <v/>
      </c>
      <c r="CF2014" s="319" t="str">
        <f t="shared" si="880"/>
        <v/>
      </c>
      <c r="CG2014" s="319" t="str">
        <f t="shared" si="880"/>
        <v/>
      </c>
      <c r="CH2014" s="319" t="str">
        <f t="shared" si="880"/>
        <v/>
      </c>
      <c r="CI2014" s="319" t="str">
        <f t="shared" si="880"/>
        <v/>
      </c>
      <c r="CJ2014" s="319" t="str">
        <f t="shared" si="880"/>
        <v/>
      </c>
      <c r="CK2014" s="342">
        <f t="shared" si="182"/>
        <v>0</v>
      </c>
      <c r="CL2014" s="333">
        <f t="shared" si="183"/>
        <v>0</v>
      </c>
      <c r="CM2014" s="1079" t="s">
        <v>2980</v>
      </c>
      <c r="CN2014" s="1005" t="s">
        <v>3000</v>
      </c>
      <c r="CO2014" s="1005"/>
      <c r="CP2014" s="1005"/>
    </row>
    <row r="2015">
      <c r="A2015" s="1258"/>
      <c r="B2015" s="1129" t="s">
        <v>1711</v>
      </c>
      <c r="C2015" s="1122">
        <v>45554.0</v>
      </c>
      <c r="D2015" s="1129" t="s">
        <v>986</v>
      </c>
      <c r="E2015" s="1124">
        <v>9.0</v>
      </c>
      <c r="F2015" s="108" t="s">
        <v>3004</v>
      </c>
      <c r="G2015" s="1126">
        <v>0.6973379629629629</v>
      </c>
      <c r="H2015" s="1126">
        <v>0.6979166666666666</v>
      </c>
      <c r="I2015" s="1126"/>
      <c r="J2015" s="1127"/>
      <c r="K2015" s="1127">
        <v>0.7333333333333333</v>
      </c>
      <c r="L2015" s="1128">
        <v>0.035416666666666666</v>
      </c>
      <c r="M2015" s="1129" t="s">
        <v>166</v>
      </c>
      <c r="N2015" s="100" t="s">
        <v>188</v>
      </c>
      <c r="O2015" s="1131" t="s">
        <v>378</v>
      </c>
      <c r="P2015" s="1131" t="s">
        <v>217</v>
      </c>
      <c r="Q2015" s="1131" t="s">
        <v>851</v>
      </c>
      <c r="R2015" s="137">
        <v>22.7</v>
      </c>
      <c r="S2015" s="1129">
        <v>39.7</v>
      </c>
      <c r="T2015" s="100">
        <v>1.8</v>
      </c>
      <c r="U2015" s="1124"/>
      <c r="V2015" s="1124"/>
      <c r="W2015" s="1124"/>
      <c r="X2015" s="1124"/>
      <c r="Y2015" s="1124"/>
      <c r="Z2015" s="1130" t="s">
        <v>1140</v>
      </c>
      <c r="AA2015" s="1130"/>
      <c r="AB2015" s="1130" t="s">
        <v>410</v>
      </c>
      <c r="AC2015" s="1133">
        <v>22.1</v>
      </c>
      <c r="AD2015" s="1131"/>
      <c r="AE2015" s="1131"/>
      <c r="AF2015" s="1131"/>
      <c r="AG2015" s="1131"/>
      <c r="AH2015" s="1131"/>
      <c r="AI2015" s="1131"/>
      <c r="AJ2015" s="1133"/>
      <c r="AK2015" s="1134"/>
      <c r="AL2015" s="1131"/>
      <c r="AM2015" s="1131"/>
      <c r="AN2015" s="1131"/>
      <c r="AO2015" s="1131"/>
      <c r="AP2015" s="1131"/>
      <c r="AQ2015" s="1131"/>
      <c r="AR2015" s="1131"/>
      <c r="AS2015" s="1133"/>
      <c r="AT2015" s="1197" t="str">
        <f t="shared" si="428"/>
        <v/>
      </c>
      <c r="AU2015" s="1194"/>
      <c r="AV2015" s="662">
        <f>SQRT(($R2015-Infrastructure!J$3)^2+($S2015-Infrastructure!K$3)^2)</f>
        <v>25.40944706</v>
      </c>
      <c r="AW2015" s="641">
        <f>SQRT(($R2015-Infrastructure!J$4)^2+($S2015-Infrastructure!K$4)^2)</f>
        <v>31.75862088</v>
      </c>
      <c r="AX2015" s="641">
        <f>SQRT(($R2015-Infrastructure!J$5)^2+($S2015-Infrastructure!K$5)^2)</f>
        <v>41.54708173</v>
      </c>
      <c r="AY2015" s="641">
        <f>SQRT(($R2015-Infrastructure!J$6)^2+($S2015-Infrastructure!K$6)^2)</f>
        <v>41.36568626</v>
      </c>
      <c r="AZ2015" s="641">
        <f>SQRT(($R2015-Infrastructure!J$7)^2+($S2015-Infrastructure!K$7)^2)</f>
        <v>39.46137352</v>
      </c>
      <c r="BA2015" s="641">
        <f>SQRT(($R2015-Infrastructure!J$8)^2+($S2015-Infrastructure!K$8)^2)</f>
        <v>40.08890121</v>
      </c>
      <c r="BB2015" s="641">
        <f>SQRT(($R2015-Infrastructure!J$9)^2+($S2015-Infrastructure!K$9)^2)</f>
        <v>38.68397601</v>
      </c>
      <c r="BC2015" s="641">
        <f>SQRT(($R2015-Infrastructure!J$10)^2+($S2015-Infrastructure!K$10)^2)</f>
        <v>30.15592811</v>
      </c>
      <c r="BD2015" s="641">
        <f>SQRT(($R2015-Infrastructure!J$11)^2+($S2015-Infrastructure!K$11)^2)</f>
        <v>20.51194774</v>
      </c>
      <c r="BE2015" s="642">
        <f>SQRT(($R2015-Infrastructure!J$12)^2+($S2015-Infrastructure!K$12)^2)</f>
        <v>15.84550409</v>
      </c>
      <c r="BF2015" s="662">
        <f t="shared" si="161"/>
        <v>15.84550409</v>
      </c>
      <c r="BG2015" s="642">
        <f t="shared" si="162"/>
        <v>41.54708173</v>
      </c>
      <c r="BH2015" s="1135"/>
      <c r="BI2015" s="663" t="str">
        <f t="shared" ref="BI2015:BR2015" si="881">IF(ISNUMBER(FIND(BI$3, $CO2015)), "Y", "")</f>
        <v>Y</v>
      </c>
      <c r="BJ2015" s="663" t="str">
        <f t="shared" si="881"/>
        <v/>
      </c>
      <c r="BK2015" s="663" t="str">
        <f t="shared" si="881"/>
        <v>Y</v>
      </c>
      <c r="BL2015" s="663" t="str">
        <f t="shared" si="881"/>
        <v>Y</v>
      </c>
      <c r="BM2015" s="663" t="str">
        <f t="shared" si="881"/>
        <v>Y</v>
      </c>
      <c r="BN2015" s="663" t="str">
        <f t="shared" si="881"/>
        <v>Y</v>
      </c>
      <c r="BO2015" s="663" t="str">
        <f t="shared" si="881"/>
        <v/>
      </c>
      <c r="BP2015" s="663" t="str">
        <f t="shared" si="881"/>
        <v/>
      </c>
      <c r="BQ2015" s="663" t="str">
        <f t="shared" si="881"/>
        <v>Y</v>
      </c>
      <c r="BR2015" s="663" t="str">
        <f t="shared" si="881"/>
        <v>Y</v>
      </c>
      <c r="BS2015" s="662">
        <f t="shared" si="185"/>
        <v>15.84550409</v>
      </c>
      <c r="BT2015" s="641">
        <f t="shared" si="170"/>
        <v>41.54708173</v>
      </c>
      <c r="BU2015" s="937">
        <v>0.7101504629629629</v>
      </c>
      <c r="BV2015" s="930">
        <f t="shared" si="186"/>
        <v>0.0128125</v>
      </c>
      <c r="BW2015" s="939">
        <v>16.5</v>
      </c>
      <c r="BX2015" s="939">
        <v>40.8</v>
      </c>
      <c r="BY2015" s="641">
        <f t="shared" si="201"/>
        <v>6.296824597</v>
      </c>
      <c r="BZ2015" s="641"/>
      <c r="CA2015" s="635" t="str">
        <f t="shared" ref="CA2015:CJ2015" si="882">IF(ISNUMBER(FIND(BI$3, $CP2015)), "Y", "")</f>
        <v/>
      </c>
      <c r="CB2015" s="663" t="str">
        <f t="shared" si="882"/>
        <v/>
      </c>
      <c r="CC2015" s="663" t="str">
        <f t="shared" si="882"/>
        <v/>
      </c>
      <c r="CD2015" s="663" t="str">
        <f t="shared" si="882"/>
        <v/>
      </c>
      <c r="CE2015" s="663" t="str">
        <f t="shared" si="882"/>
        <v/>
      </c>
      <c r="CF2015" s="663" t="str">
        <f t="shared" si="882"/>
        <v/>
      </c>
      <c r="CG2015" s="663" t="str">
        <f t="shared" si="882"/>
        <v/>
      </c>
      <c r="CH2015" s="663" t="str">
        <f t="shared" si="882"/>
        <v/>
      </c>
      <c r="CI2015" s="663" t="str">
        <f t="shared" si="882"/>
        <v/>
      </c>
      <c r="CJ2015" s="663" t="str">
        <f t="shared" si="882"/>
        <v/>
      </c>
      <c r="CK2015" s="743">
        <f t="shared" si="182"/>
        <v>0</v>
      </c>
      <c r="CL2015" s="642">
        <f t="shared" si="183"/>
        <v>0</v>
      </c>
      <c r="CM2015" s="11"/>
      <c r="CN2015" s="1036" t="s">
        <v>2989</v>
      </c>
      <c r="CO2015" s="1036" t="s">
        <v>2490</v>
      </c>
      <c r="CP2015" s="1036"/>
    </row>
    <row r="2016">
      <c r="A2016" s="1257"/>
      <c r="B2016" s="1113" t="s">
        <v>1711</v>
      </c>
      <c r="C2016" s="1107">
        <v>45555.0</v>
      </c>
      <c r="D2016" s="103"/>
      <c r="E2016" s="1137"/>
      <c r="F2016" s="112" t="s">
        <v>3005</v>
      </c>
      <c r="G2016" s="1110">
        <v>0.6965277777777777</v>
      </c>
      <c r="H2016" s="1138"/>
      <c r="I2016" s="1138"/>
      <c r="J2016" s="1139"/>
      <c r="K2016" s="1111">
        <v>0.6982638888888889</v>
      </c>
      <c r="L2016" s="1112">
        <v>0.001736111111111111</v>
      </c>
      <c r="M2016" s="1113" t="s">
        <v>166</v>
      </c>
      <c r="N2016" s="110"/>
      <c r="O2016" s="1140"/>
      <c r="P2016" s="1115" t="s">
        <v>292</v>
      </c>
      <c r="Q2016" s="1116"/>
      <c r="R2016" s="1141"/>
      <c r="S2016" s="1113"/>
      <c r="T2016" s="1143"/>
      <c r="U2016" s="1108"/>
      <c r="V2016" s="1108"/>
      <c r="W2016" s="1108"/>
      <c r="X2016" s="1108"/>
      <c r="Y2016" s="1108"/>
      <c r="Z2016" s="1114" t="s">
        <v>323</v>
      </c>
      <c r="AA2016" s="1114"/>
      <c r="AB2016" s="1114" t="s">
        <v>323</v>
      </c>
      <c r="AC2016" s="1117" t="s">
        <v>323</v>
      </c>
      <c r="AD2016" s="1115"/>
      <c r="AE2016" s="1115"/>
      <c r="AF2016" s="1115"/>
      <c r="AG2016" s="1115"/>
      <c r="AH2016" s="1115"/>
      <c r="AI2016" s="1115"/>
      <c r="AJ2016" s="1117"/>
      <c r="AK2016" s="1118"/>
      <c r="AL2016" s="1115"/>
      <c r="AM2016" s="1115"/>
      <c r="AN2016" s="1115"/>
      <c r="AO2016" s="1115"/>
      <c r="AP2016" s="1115"/>
      <c r="AQ2016" s="1115"/>
      <c r="AR2016" s="1115"/>
      <c r="AS2016" s="1117"/>
      <c r="AT2016" s="1196" t="str">
        <f t="shared" si="428"/>
        <v/>
      </c>
      <c r="AU2016" s="1193"/>
      <c r="AV2016" s="330">
        <f>SQRT(($R2016-Infrastructure!J$3)^2+($S2016-Infrastructure!K$3)^2)</f>
        <v>28.90155705</v>
      </c>
      <c r="AW2016" s="331">
        <f>SQRT(($R2016-Infrastructure!J$4)^2+($S2016-Infrastructure!K$4)^2)</f>
        <v>17.80252791</v>
      </c>
      <c r="AX2016" s="331">
        <f>SQRT(($R2016-Infrastructure!J$5)^2+($S2016-Infrastructure!K$5)^2)</f>
        <v>5.10881591</v>
      </c>
      <c r="AY2016" s="331">
        <f>SQRT(($R2016-Infrastructure!J$6)^2+($S2016-Infrastructure!K$6)^2)</f>
        <v>10.10445446</v>
      </c>
      <c r="AZ2016" s="331">
        <f>SQRT(($R2016-Infrastructure!J$7)^2+($S2016-Infrastructure!K$7)^2)</f>
        <v>20.502195</v>
      </c>
      <c r="BA2016" s="331">
        <f>SQRT(($R2016-Infrastructure!J$8)^2+($S2016-Infrastructure!K$8)^2)</f>
        <v>30.10149498</v>
      </c>
      <c r="BB2016" s="331">
        <f>SQRT(($R2016-Infrastructure!J$9)^2+($S2016-Infrastructure!K$9)^2)</f>
        <v>40.3238143</v>
      </c>
      <c r="BC2016" s="331">
        <f>SQRT(($R2016-Infrastructure!J$10)^2+($S2016-Infrastructure!K$10)^2)</f>
        <v>42.72001873</v>
      </c>
      <c r="BD2016" s="331">
        <f>SQRT(($R2016-Infrastructure!J$11)^2+($S2016-Infrastructure!K$11)^2)</f>
        <v>49.56853841</v>
      </c>
      <c r="BE2016" s="333">
        <f>SQRT(($R2016-Infrastructure!J$12)^2+($S2016-Infrastructure!K$12)^2)</f>
        <v>59.51890456</v>
      </c>
      <c r="BF2016" s="330">
        <f t="shared" si="161"/>
        <v>5.10881591</v>
      </c>
      <c r="BG2016" s="333">
        <f t="shared" si="162"/>
        <v>59.51890456</v>
      </c>
      <c r="BH2016" s="1119"/>
      <c r="BI2016" s="319" t="str">
        <f t="shared" ref="BI2016:BR2016" si="883">IF(ISNUMBER(FIND(BI$3, $CO2016)), "Y", "")</f>
        <v>Y</v>
      </c>
      <c r="BJ2016" s="319" t="str">
        <f t="shared" si="883"/>
        <v/>
      </c>
      <c r="BK2016" s="319" t="str">
        <f t="shared" si="883"/>
        <v>Y</v>
      </c>
      <c r="BL2016" s="319" t="str">
        <f t="shared" si="883"/>
        <v>Y</v>
      </c>
      <c r="BM2016" s="319" t="str">
        <f t="shared" si="883"/>
        <v>Y</v>
      </c>
      <c r="BN2016" s="319" t="str">
        <f t="shared" si="883"/>
        <v>Y</v>
      </c>
      <c r="BO2016" s="319" t="str">
        <f t="shared" si="883"/>
        <v>Y</v>
      </c>
      <c r="BP2016" s="319" t="str">
        <f t="shared" si="883"/>
        <v/>
      </c>
      <c r="BQ2016" s="319" t="str">
        <f t="shared" si="883"/>
        <v>Y</v>
      </c>
      <c r="BR2016" s="319" t="str">
        <f t="shared" si="883"/>
        <v>Y</v>
      </c>
      <c r="BS2016" s="330">
        <f t="shared" si="185"/>
        <v>5.10881591</v>
      </c>
      <c r="BT2016" s="331">
        <f t="shared" si="170"/>
        <v>59.51890456</v>
      </c>
      <c r="BU2016" s="920">
        <v>0.6971990740740741</v>
      </c>
      <c r="BV2016" s="903">
        <f t="shared" si="186"/>
        <v>0.0006712962963</v>
      </c>
      <c r="BW2016" s="908">
        <v>14.1</v>
      </c>
      <c r="BX2016" s="908">
        <v>42.9</v>
      </c>
      <c r="BY2016" s="331">
        <f t="shared" si="201"/>
        <v>45.15772359</v>
      </c>
      <c r="BZ2016" s="331"/>
      <c r="CA2016" s="462" t="str">
        <f t="shared" ref="CA2016:CJ2016" si="884">IF(ISNUMBER(FIND(BI$3, $CP2016)), "Y", "")</f>
        <v/>
      </c>
      <c r="CB2016" s="319" t="str">
        <f t="shared" si="884"/>
        <v/>
      </c>
      <c r="CC2016" s="319" t="str">
        <f t="shared" si="884"/>
        <v/>
      </c>
      <c r="CD2016" s="319" t="str">
        <f t="shared" si="884"/>
        <v/>
      </c>
      <c r="CE2016" s="319" t="str">
        <f t="shared" si="884"/>
        <v/>
      </c>
      <c r="CF2016" s="319" t="str">
        <f t="shared" si="884"/>
        <v/>
      </c>
      <c r="CG2016" s="319" t="str">
        <f t="shared" si="884"/>
        <v/>
      </c>
      <c r="CH2016" s="319" t="str">
        <f t="shared" si="884"/>
        <v/>
      </c>
      <c r="CI2016" s="319" t="str">
        <f t="shared" si="884"/>
        <v/>
      </c>
      <c r="CJ2016" s="319" t="str">
        <f t="shared" si="884"/>
        <v/>
      </c>
      <c r="CK2016" s="342">
        <f t="shared" si="182"/>
        <v>0</v>
      </c>
      <c r="CL2016" s="333">
        <f t="shared" si="183"/>
        <v>0</v>
      </c>
      <c r="CM2016" s="1079"/>
      <c r="CN2016" s="1005"/>
      <c r="CO2016" s="1005" t="s">
        <v>2460</v>
      </c>
      <c r="CP2016" s="1005"/>
    </row>
    <row r="2017">
      <c r="A2017" s="1258"/>
      <c r="B2017" s="1129" t="s">
        <v>1711</v>
      </c>
      <c r="C2017" s="1122">
        <v>45555.0</v>
      </c>
      <c r="D2017" s="1123"/>
      <c r="E2017" s="1144"/>
      <c r="F2017" s="108" t="s">
        <v>3005</v>
      </c>
      <c r="G2017" s="1126">
        <v>0.7013888888888888</v>
      </c>
      <c r="H2017" s="1145"/>
      <c r="I2017" s="1145"/>
      <c r="J2017" s="1146"/>
      <c r="K2017" s="1127">
        <v>0.7065972222222222</v>
      </c>
      <c r="L2017" s="1128">
        <v>0.005208333333333333</v>
      </c>
      <c r="M2017" s="1129" t="s">
        <v>358</v>
      </c>
      <c r="N2017" s="100"/>
      <c r="O2017" s="1161"/>
      <c r="P2017" s="1131" t="s">
        <v>294</v>
      </c>
      <c r="Q2017" s="1132"/>
      <c r="R2017" s="1148"/>
      <c r="S2017" s="1129"/>
      <c r="T2017" s="1150"/>
      <c r="U2017" s="1124"/>
      <c r="V2017" s="1124"/>
      <c r="W2017" s="1124"/>
      <c r="X2017" s="1124"/>
      <c r="Y2017" s="1124"/>
      <c r="Z2017" s="1130" t="s">
        <v>323</v>
      </c>
      <c r="AA2017" s="1130"/>
      <c r="AB2017" s="1130" t="s">
        <v>323</v>
      </c>
      <c r="AC2017" s="1133" t="s">
        <v>323</v>
      </c>
      <c r="AD2017" s="1131"/>
      <c r="AE2017" s="1131"/>
      <c r="AF2017" s="1131"/>
      <c r="AG2017" s="1131"/>
      <c r="AH2017" s="1131"/>
      <c r="AI2017" s="1131"/>
      <c r="AJ2017" s="1133"/>
      <c r="AK2017" s="1134"/>
      <c r="AL2017" s="1131"/>
      <c r="AM2017" s="1131"/>
      <c r="AN2017" s="1131"/>
      <c r="AO2017" s="1131"/>
      <c r="AP2017" s="1131"/>
      <c r="AQ2017" s="1131"/>
      <c r="AR2017" s="1131"/>
      <c r="AS2017" s="1133"/>
      <c r="AT2017" s="1197" t="str">
        <f t="shared" si="428"/>
        <v/>
      </c>
      <c r="AU2017" s="1194"/>
      <c r="AV2017" s="662">
        <f>SQRT(($R2017-Infrastructure!J$3)^2+($S2017-Infrastructure!K$3)^2)</f>
        <v>28.90155705</v>
      </c>
      <c r="AW2017" s="641">
        <f>SQRT(($R2017-Infrastructure!J$4)^2+($S2017-Infrastructure!K$4)^2)</f>
        <v>17.80252791</v>
      </c>
      <c r="AX2017" s="641">
        <f>SQRT(($R2017-Infrastructure!J$5)^2+($S2017-Infrastructure!K$5)^2)</f>
        <v>5.10881591</v>
      </c>
      <c r="AY2017" s="641">
        <f>SQRT(($R2017-Infrastructure!J$6)^2+($S2017-Infrastructure!K$6)^2)</f>
        <v>10.10445446</v>
      </c>
      <c r="AZ2017" s="641">
        <f>SQRT(($R2017-Infrastructure!J$7)^2+($S2017-Infrastructure!K$7)^2)</f>
        <v>20.502195</v>
      </c>
      <c r="BA2017" s="641">
        <f>SQRT(($R2017-Infrastructure!J$8)^2+($S2017-Infrastructure!K$8)^2)</f>
        <v>30.10149498</v>
      </c>
      <c r="BB2017" s="641">
        <f>SQRT(($R2017-Infrastructure!J$9)^2+($S2017-Infrastructure!K$9)^2)</f>
        <v>40.3238143</v>
      </c>
      <c r="BC2017" s="641">
        <f>SQRT(($R2017-Infrastructure!J$10)^2+($S2017-Infrastructure!K$10)^2)</f>
        <v>42.72001873</v>
      </c>
      <c r="BD2017" s="641">
        <f>SQRT(($R2017-Infrastructure!J$11)^2+($S2017-Infrastructure!K$11)^2)</f>
        <v>49.56853841</v>
      </c>
      <c r="BE2017" s="642">
        <f>SQRT(($R2017-Infrastructure!J$12)^2+($S2017-Infrastructure!K$12)^2)</f>
        <v>59.51890456</v>
      </c>
      <c r="BF2017" s="662">
        <f t="shared" si="161"/>
        <v>5.10881591</v>
      </c>
      <c r="BG2017" s="642">
        <f t="shared" si="162"/>
        <v>59.51890456</v>
      </c>
      <c r="BH2017" s="1135"/>
      <c r="BI2017" s="663" t="str">
        <f t="shared" ref="BI2017:BR2017" si="885">IF(ISNUMBER(FIND(BI$3, $CO2017)), "Y", "")</f>
        <v/>
      </c>
      <c r="BJ2017" s="663" t="str">
        <f t="shared" si="885"/>
        <v/>
      </c>
      <c r="BK2017" s="663" t="str">
        <f t="shared" si="885"/>
        <v/>
      </c>
      <c r="BL2017" s="663" t="str">
        <f t="shared" si="885"/>
        <v/>
      </c>
      <c r="BM2017" s="663" t="str">
        <f t="shared" si="885"/>
        <v/>
      </c>
      <c r="BN2017" s="663" t="str">
        <f t="shared" si="885"/>
        <v/>
      </c>
      <c r="BO2017" s="663" t="str">
        <f t="shared" si="885"/>
        <v/>
      </c>
      <c r="BP2017" s="663" t="str">
        <f t="shared" si="885"/>
        <v/>
      </c>
      <c r="BQ2017" s="663" t="str">
        <f t="shared" si="885"/>
        <v/>
      </c>
      <c r="BR2017" s="663" t="str">
        <f t="shared" si="885"/>
        <v/>
      </c>
      <c r="BS2017" s="662">
        <f t="shared" si="185"/>
        <v>0</v>
      </c>
      <c r="BT2017" s="641">
        <f t="shared" si="170"/>
        <v>0</v>
      </c>
      <c r="BU2017" s="937"/>
      <c r="BV2017" s="930" t="str">
        <f t="shared" si="186"/>
        <v/>
      </c>
      <c r="BW2017" s="939"/>
      <c r="BX2017" s="939"/>
      <c r="BY2017" s="641" t="b">
        <f t="shared" si="201"/>
        <v>0</v>
      </c>
      <c r="BZ2017" s="641"/>
      <c r="CA2017" s="635" t="str">
        <f t="shared" ref="CA2017:CJ2017" si="886">IF(ISNUMBER(FIND(BI$3, $CP2017)), "Y", "")</f>
        <v/>
      </c>
      <c r="CB2017" s="663" t="str">
        <f t="shared" si="886"/>
        <v/>
      </c>
      <c r="CC2017" s="663" t="str">
        <f t="shared" si="886"/>
        <v/>
      </c>
      <c r="CD2017" s="663" t="str">
        <f t="shared" si="886"/>
        <v/>
      </c>
      <c r="CE2017" s="663" t="str">
        <f t="shared" si="886"/>
        <v/>
      </c>
      <c r="CF2017" s="663" t="str">
        <f t="shared" si="886"/>
        <v/>
      </c>
      <c r="CG2017" s="663" t="str">
        <f t="shared" si="886"/>
        <v/>
      </c>
      <c r="CH2017" s="663" t="str">
        <f t="shared" si="886"/>
        <v/>
      </c>
      <c r="CI2017" s="663" t="str">
        <f t="shared" si="886"/>
        <v/>
      </c>
      <c r="CJ2017" s="663" t="str">
        <f t="shared" si="886"/>
        <v/>
      </c>
      <c r="CK2017" s="743">
        <f t="shared" si="182"/>
        <v>0</v>
      </c>
      <c r="CL2017" s="642">
        <f t="shared" si="183"/>
        <v>0</v>
      </c>
      <c r="CM2017" s="1090"/>
      <c r="CN2017" s="1036"/>
      <c r="CO2017" s="1036"/>
      <c r="CP2017" s="1036"/>
    </row>
    <row r="2018">
      <c r="A2018" s="1257" t="s">
        <v>121</v>
      </c>
      <c r="B2018" s="1113" t="s">
        <v>3006</v>
      </c>
      <c r="C2018" s="1107">
        <v>45566.0</v>
      </c>
      <c r="D2018" s="103"/>
      <c r="E2018" s="1108" t="s">
        <v>1453</v>
      </c>
      <c r="F2018" s="112" t="s">
        <v>3007</v>
      </c>
      <c r="G2018" s="1110">
        <v>0.5670138888888889</v>
      </c>
      <c r="H2018" s="1110">
        <v>0.5673611111111111</v>
      </c>
      <c r="I2018" s="1110"/>
      <c r="J2018" s="1111"/>
      <c r="K2018" s="1111">
        <v>0.5833333333333334</v>
      </c>
      <c r="L2018" s="1112">
        <v>0.01597222222222222</v>
      </c>
      <c r="M2018" s="1113" t="s">
        <v>166</v>
      </c>
      <c r="N2018" s="110" t="s">
        <v>187</v>
      </c>
      <c r="O2018" s="1115" t="s">
        <v>200</v>
      </c>
      <c r="P2018" s="1115"/>
      <c r="Q2018" s="1116"/>
      <c r="R2018" s="120">
        <v>7.2</v>
      </c>
      <c r="S2018" s="1113">
        <v>10.8</v>
      </c>
      <c r="T2018" s="110">
        <v>0.64</v>
      </c>
      <c r="U2018" s="1108">
        <v>0.01</v>
      </c>
      <c r="V2018" s="1108"/>
      <c r="W2018" s="1108"/>
      <c r="X2018" s="1108"/>
      <c r="Y2018" s="1108"/>
      <c r="Z2018" s="1114" t="s">
        <v>1690</v>
      </c>
      <c r="AA2018" s="1114"/>
      <c r="AB2018" s="1114" t="s">
        <v>371</v>
      </c>
      <c r="AC2018" s="1117">
        <v>1.8</v>
      </c>
      <c r="AD2018" s="1115"/>
      <c r="AE2018" s="1115"/>
      <c r="AF2018" s="1115"/>
      <c r="AG2018" s="1115"/>
      <c r="AH2018" s="1115"/>
      <c r="AI2018" s="1115"/>
      <c r="AJ2018" s="1117"/>
      <c r="AK2018" s="1118"/>
      <c r="AL2018" s="1115"/>
      <c r="AM2018" s="1115"/>
      <c r="AN2018" s="1115"/>
      <c r="AO2018" s="1115"/>
      <c r="AP2018" s="1115"/>
      <c r="AQ2018" s="1115"/>
      <c r="AR2018" s="1115"/>
      <c r="AS2018" s="1117"/>
      <c r="AT2018" s="1196" t="str">
        <f t="shared" si="428"/>
        <v>0-1</v>
      </c>
      <c r="AU2018" s="1193"/>
      <c r="AV2018" s="330">
        <f>SQRT(($R2018-Infrastructure!J$3)^2+($S2018-Infrastructure!K$3)^2)</f>
        <v>19.59234544</v>
      </c>
      <c r="AW2018" s="331">
        <f>SQRT(($R2018-Infrastructure!J$4)^2+($S2018-Infrastructure!K$4)^2)</f>
        <v>10.25914226</v>
      </c>
      <c r="AX2018" s="331">
        <f>SQRT(($R2018-Infrastructure!J$5)^2+($S2018-Infrastructure!K$5)^2)</f>
        <v>9.420191081</v>
      </c>
      <c r="AY2018" s="331">
        <f>SQRT(($R2018-Infrastructure!J$6)^2+($S2018-Infrastructure!K$6)^2)</f>
        <v>10.89311709</v>
      </c>
      <c r="AZ2018" s="331">
        <f>SQRT(($R2018-Infrastructure!J$7)^2+($S2018-Infrastructure!K$7)^2)</f>
        <v>16.94520581</v>
      </c>
      <c r="BA2018" s="331">
        <f>SQRT(($R2018-Infrastructure!J$8)^2+($S2018-Infrastructure!K$8)^2)</f>
        <v>25.19245919</v>
      </c>
      <c r="BB2018" s="331">
        <f>SQRT(($R2018-Infrastructure!J$9)^2+($S2018-Infrastructure!K$9)^2)</f>
        <v>33.29159053</v>
      </c>
      <c r="BC2018" s="331">
        <f>SQRT(($R2018-Infrastructure!J$10)^2+($S2018-Infrastructure!K$10)^2)</f>
        <v>33.06780912</v>
      </c>
      <c r="BD2018" s="331">
        <f>SQRT(($R2018-Infrastructure!J$11)^2+($S2018-Infrastructure!K$11)^2)</f>
        <v>37.6860717</v>
      </c>
      <c r="BE2018" s="333">
        <f>SQRT(($R2018-Infrastructure!J$12)^2+($S2018-Infrastructure!K$12)^2)</f>
        <v>46.93165243</v>
      </c>
      <c r="BF2018" s="330">
        <f t="shared" si="161"/>
        <v>9.420191081</v>
      </c>
      <c r="BG2018" s="333">
        <f t="shared" si="162"/>
        <v>46.93165243</v>
      </c>
      <c r="BH2018" s="1119"/>
      <c r="BI2018" s="319" t="str">
        <f t="shared" ref="BI2018:BR2018" si="887">IF(ISNUMBER(FIND(BI$3, $CO2018)), "Y", "")</f>
        <v/>
      </c>
      <c r="BJ2018" s="319" t="str">
        <f t="shared" si="887"/>
        <v/>
      </c>
      <c r="BK2018" s="319" t="str">
        <f t="shared" si="887"/>
        <v/>
      </c>
      <c r="BL2018" s="319" t="str">
        <f t="shared" si="887"/>
        <v/>
      </c>
      <c r="BM2018" s="319" t="str">
        <f t="shared" si="887"/>
        <v>Y</v>
      </c>
      <c r="BN2018" s="319" t="str">
        <f t="shared" si="887"/>
        <v>Y</v>
      </c>
      <c r="BO2018" s="319" t="str">
        <f t="shared" si="887"/>
        <v>Y</v>
      </c>
      <c r="BP2018" s="319" t="str">
        <f t="shared" si="887"/>
        <v/>
      </c>
      <c r="BQ2018" s="319" t="str">
        <f t="shared" si="887"/>
        <v>Y</v>
      </c>
      <c r="BR2018" s="319" t="str">
        <f t="shared" si="887"/>
        <v/>
      </c>
      <c r="BS2018" s="330">
        <f t="shared" si="185"/>
        <v>16.94520581</v>
      </c>
      <c r="BT2018" s="331">
        <f t="shared" si="170"/>
        <v>37.6860717</v>
      </c>
      <c r="BU2018" s="920">
        <v>0.5733217592592592</v>
      </c>
      <c r="BV2018" s="903">
        <f t="shared" si="186"/>
        <v>0.00630787037</v>
      </c>
      <c r="BW2018" s="908">
        <v>25.4</v>
      </c>
      <c r="BX2018" s="908">
        <v>22.3</v>
      </c>
      <c r="BY2018" s="331">
        <f t="shared" si="201"/>
        <v>21.5288179</v>
      </c>
      <c r="BZ2018" s="331"/>
      <c r="CA2018" s="462" t="str">
        <f t="shared" ref="CA2018:CJ2018" si="888">IF(ISNUMBER(FIND(BI$3, $CP2018)), "Y", "")</f>
        <v/>
      </c>
      <c r="CB2018" s="319" t="str">
        <f t="shared" si="888"/>
        <v/>
      </c>
      <c r="CC2018" s="319" t="str">
        <f t="shared" si="888"/>
        <v/>
      </c>
      <c r="CD2018" s="319" t="str">
        <f t="shared" si="888"/>
        <v/>
      </c>
      <c r="CE2018" s="319" t="str">
        <f t="shared" si="888"/>
        <v/>
      </c>
      <c r="CF2018" s="319" t="str">
        <f t="shared" si="888"/>
        <v/>
      </c>
      <c r="CG2018" s="319" t="str">
        <f t="shared" si="888"/>
        <v/>
      </c>
      <c r="CH2018" s="319" t="str">
        <f t="shared" si="888"/>
        <v/>
      </c>
      <c r="CI2018" s="319" t="str">
        <f t="shared" si="888"/>
        <v/>
      </c>
      <c r="CJ2018" s="319" t="str">
        <f t="shared" si="888"/>
        <v/>
      </c>
      <c r="CK2018" s="342">
        <f t="shared" si="182"/>
        <v>0</v>
      </c>
      <c r="CL2018" s="333">
        <f t="shared" si="183"/>
        <v>0</v>
      </c>
      <c r="CM2018" s="1079" t="s">
        <v>3008</v>
      </c>
      <c r="CN2018" s="1005" t="s">
        <v>3009</v>
      </c>
      <c r="CO2018" s="1005" t="s">
        <v>2564</v>
      </c>
      <c r="CP2018" s="1005"/>
    </row>
    <row r="2019">
      <c r="A2019" s="266"/>
      <c r="B2019" s="1113" t="s">
        <v>3006</v>
      </c>
      <c r="C2019" s="1107">
        <v>45566.0</v>
      </c>
      <c r="D2019" s="103"/>
      <c r="E2019" s="1108" t="s">
        <v>1455</v>
      </c>
      <c r="F2019" s="112" t="s">
        <v>3010</v>
      </c>
      <c r="G2019" s="1110">
        <v>0.5833333333333334</v>
      </c>
      <c r="H2019" s="1110">
        <v>0.5840277777777778</v>
      </c>
      <c r="I2019" s="1110"/>
      <c r="J2019" s="1111"/>
      <c r="K2019" s="1111">
        <v>0.6116319444444445</v>
      </c>
      <c r="L2019" s="1112">
        <v>0.027604166666666666</v>
      </c>
      <c r="M2019" s="1113" t="s">
        <v>166</v>
      </c>
      <c r="N2019" s="110" t="s">
        <v>187</v>
      </c>
      <c r="O2019" s="1115" t="s">
        <v>3011</v>
      </c>
      <c r="P2019" s="1115" t="s">
        <v>291</v>
      </c>
      <c r="Q2019" s="1116"/>
      <c r="R2019" s="120">
        <v>41.5</v>
      </c>
      <c r="S2019" s="1113">
        <v>19.7</v>
      </c>
      <c r="T2019" s="110">
        <v>2.92</v>
      </c>
      <c r="U2019" s="1108">
        <v>0.01</v>
      </c>
      <c r="V2019" s="1108"/>
      <c r="W2019" s="1108"/>
      <c r="X2019" s="1108"/>
      <c r="Y2019" s="1108"/>
      <c r="Z2019" s="1114" t="s">
        <v>1690</v>
      </c>
      <c r="AA2019" s="1114"/>
      <c r="AB2019" s="1114" t="s">
        <v>371</v>
      </c>
      <c r="AC2019" s="1117">
        <v>1.8</v>
      </c>
      <c r="AD2019" s="1115"/>
      <c r="AE2019" s="1115"/>
      <c r="AF2019" s="1115"/>
      <c r="AG2019" s="1115"/>
      <c r="AH2019" s="1115"/>
      <c r="AI2019" s="1115"/>
      <c r="AJ2019" s="1117"/>
      <c r="AK2019" s="1118"/>
      <c r="AL2019" s="1115"/>
      <c r="AM2019" s="1115"/>
      <c r="AN2019" s="1115"/>
      <c r="AO2019" s="1115"/>
      <c r="AP2019" s="1115"/>
      <c r="AQ2019" s="1115"/>
      <c r="AR2019" s="1115"/>
      <c r="AS2019" s="1117"/>
      <c r="AT2019" s="1196" t="str">
        <f t="shared" si="428"/>
        <v>0-1</v>
      </c>
      <c r="AU2019" s="1193"/>
      <c r="AV2019" s="330">
        <f>SQRT(($R2019-Infrastructure!J$3)^2+($S2019-Infrastructure!K$3)^2)</f>
        <v>42.80046729</v>
      </c>
      <c r="AW2019" s="331">
        <f>SQRT(($R2019-Infrastructure!J$4)^2+($S2019-Infrastructure!K$4)^2)</f>
        <v>41.84315954</v>
      </c>
      <c r="AX2019" s="331">
        <f>SQRT(($R2019-Infrastructure!J$5)^2+($S2019-Infrastructure!K$5)^2)</f>
        <v>44.27640455</v>
      </c>
      <c r="AY2019" s="331">
        <f>SQRT(($R2019-Infrastructure!J$6)^2+($S2019-Infrastructure!K$6)^2)</f>
        <v>36.90961934</v>
      </c>
      <c r="AZ2019" s="331">
        <f>SQRT(($R2019-Infrastructure!J$7)^2+($S2019-Infrastructure!K$7)^2)</f>
        <v>28.58950857</v>
      </c>
      <c r="BA2019" s="331">
        <f>SQRT(($R2019-Infrastructure!J$8)^2+($S2019-Infrastructure!K$8)^2)</f>
        <v>22.5015555</v>
      </c>
      <c r="BB2019" s="331">
        <f>SQRT(($R2019-Infrastructure!J$9)^2+($S2019-Infrastructure!K$9)^2)</f>
        <v>14.67685252</v>
      </c>
      <c r="BC2019" s="331">
        <f>SQRT(($R2019-Infrastructure!J$10)^2+($S2019-Infrastructure!K$10)^2)</f>
        <v>4.933558553</v>
      </c>
      <c r="BD2019" s="331">
        <f>SQRT(($R2019-Infrastructure!J$11)^2+($S2019-Infrastructure!K$11)^2)</f>
        <v>9.390420651</v>
      </c>
      <c r="BE2019" s="333">
        <f>SQRT(($R2019-Infrastructure!J$12)^2+($S2019-Infrastructure!K$12)^2)</f>
        <v>41.00780414</v>
      </c>
      <c r="BF2019" s="330">
        <f t="shared" si="161"/>
        <v>4.933558553</v>
      </c>
      <c r="BG2019" s="333">
        <f t="shared" si="162"/>
        <v>44.27640455</v>
      </c>
      <c r="BH2019" s="1119"/>
      <c r="BI2019" s="319" t="str">
        <f t="shared" ref="BI2019:BR2019" si="889">IF(ISNUMBER(FIND(BI$3, $CO2019)), "Y", "")</f>
        <v/>
      </c>
      <c r="BJ2019" s="319" t="str">
        <f t="shared" si="889"/>
        <v/>
      </c>
      <c r="BK2019" s="319" t="str">
        <f t="shared" si="889"/>
        <v>Y</v>
      </c>
      <c r="BL2019" s="319" t="str">
        <f t="shared" si="889"/>
        <v>Y</v>
      </c>
      <c r="BM2019" s="319" t="str">
        <f t="shared" si="889"/>
        <v>Y</v>
      </c>
      <c r="BN2019" s="319" t="str">
        <f t="shared" si="889"/>
        <v>Y</v>
      </c>
      <c r="BO2019" s="319" t="str">
        <f t="shared" si="889"/>
        <v>Y</v>
      </c>
      <c r="BP2019" s="319" t="str">
        <f t="shared" si="889"/>
        <v/>
      </c>
      <c r="BQ2019" s="319" t="str">
        <f t="shared" si="889"/>
        <v>Y</v>
      </c>
      <c r="BR2019" s="319" t="str">
        <f t="shared" si="889"/>
        <v/>
      </c>
      <c r="BS2019" s="330">
        <f t="shared" si="185"/>
        <v>9.390420651</v>
      </c>
      <c r="BT2019" s="331">
        <f t="shared" si="170"/>
        <v>44.27640455</v>
      </c>
      <c r="BU2019" s="920">
        <v>0.590462962962963</v>
      </c>
      <c r="BV2019" s="903">
        <f t="shared" si="186"/>
        <v>0.00712962963</v>
      </c>
      <c r="BW2019" s="908">
        <v>24.5</v>
      </c>
      <c r="BX2019" s="908">
        <v>24.8</v>
      </c>
      <c r="BY2019" s="331">
        <f t="shared" si="201"/>
        <v>17.74852107</v>
      </c>
      <c r="BZ2019" s="331"/>
      <c r="CA2019" s="462" t="str">
        <f t="shared" ref="CA2019:CJ2019" si="890">IF(ISNUMBER(FIND(BI$3, $CP2019)), "Y", "")</f>
        <v/>
      </c>
      <c r="CB2019" s="319" t="str">
        <f t="shared" si="890"/>
        <v/>
      </c>
      <c r="CC2019" s="319" t="str">
        <f t="shared" si="890"/>
        <v/>
      </c>
      <c r="CD2019" s="319" t="str">
        <f t="shared" si="890"/>
        <v/>
      </c>
      <c r="CE2019" s="319" t="str">
        <f t="shared" si="890"/>
        <v/>
      </c>
      <c r="CF2019" s="319" t="str">
        <f t="shared" si="890"/>
        <v/>
      </c>
      <c r="CG2019" s="319" t="str">
        <f t="shared" si="890"/>
        <v/>
      </c>
      <c r="CH2019" s="319" t="str">
        <f t="shared" si="890"/>
        <v/>
      </c>
      <c r="CI2019" s="319" t="str">
        <f t="shared" si="890"/>
        <v/>
      </c>
      <c r="CJ2019" s="319" t="str">
        <f t="shared" si="890"/>
        <v/>
      </c>
      <c r="CK2019" s="342">
        <f t="shared" si="182"/>
        <v>0</v>
      </c>
      <c r="CL2019" s="333">
        <f t="shared" si="183"/>
        <v>0</v>
      </c>
      <c r="CM2019" s="1079" t="s">
        <v>3008</v>
      </c>
      <c r="CN2019" s="1005" t="s">
        <v>3009</v>
      </c>
      <c r="CO2019" s="1005" t="s">
        <v>2416</v>
      </c>
      <c r="CP2019" s="1005"/>
    </row>
    <row r="2020">
      <c r="A2020" s="266"/>
      <c r="B2020" s="1113" t="s">
        <v>3006</v>
      </c>
      <c r="C2020" s="1107">
        <v>45566.0</v>
      </c>
      <c r="D2020" s="103"/>
      <c r="E2020" s="1108">
        <v>2.0</v>
      </c>
      <c r="F2020" s="112" t="s">
        <v>3012</v>
      </c>
      <c r="G2020" s="1110">
        <v>0.6146990740740741</v>
      </c>
      <c r="H2020" s="1110">
        <v>0.6149305555555555</v>
      </c>
      <c r="I2020" s="1110"/>
      <c r="J2020" s="1111"/>
      <c r="K2020" s="1111">
        <v>0.6857638888888888</v>
      </c>
      <c r="L2020" s="1112">
        <v>0.07083333333333333</v>
      </c>
      <c r="M2020" s="1113" t="s">
        <v>166</v>
      </c>
      <c r="N2020" s="110" t="s">
        <v>187</v>
      </c>
      <c r="O2020" s="1115" t="s">
        <v>3011</v>
      </c>
      <c r="P2020" s="1115" t="s">
        <v>291</v>
      </c>
      <c r="Q2020" s="1116"/>
      <c r="R2020" s="120">
        <v>41.5</v>
      </c>
      <c r="S2020" s="1113">
        <v>19.7</v>
      </c>
      <c r="T2020" s="110">
        <v>2.9</v>
      </c>
      <c r="U2020" s="1108">
        <v>0.05</v>
      </c>
      <c r="V2020" s="1108"/>
      <c r="W2020" s="1108"/>
      <c r="X2020" s="1108"/>
      <c r="Y2020" s="1108"/>
      <c r="Z2020" s="1114" t="s">
        <v>1690</v>
      </c>
      <c r="AA2020" s="1114"/>
      <c r="AB2020" s="1114" t="s">
        <v>371</v>
      </c>
      <c r="AC2020" s="1117">
        <v>1.8</v>
      </c>
      <c r="AD2020" s="1115"/>
      <c r="AE2020" s="1115"/>
      <c r="AF2020" s="1115"/>
      <c r="AG2020" s="1115"/>
      <c r="AH2020" s="1115"/>
      <c r="AI2020" s="1115"/>
      <c r="AJ2020" s="1117"/>
      <c r="AK2020" s="1118"/>
      <c r="AL2020" s="1115"/>
      <c r="AM2020" s="1115"/>
      <c r="AN2020" s="1115"/>
      <c r="AO2020" s="1115"/>
      <c r="AP2020" s="1115"/>
      <c r="AQ2020" s="1115"/>
      <c r="AR2020" s="1115"/>
      <c r="AS2020" s="1117"/>
      <c r="AT2020" s="1196" t="str">
        <f t="shared" si="428"/>
        <v>0-1</v>
      </c>
      <c r="AU2020" s="1193"/>
      <c r="AV2020" s="330">
        <f>SQRT(($R2020-Infrastructure!J$3)^2+($S2020-Infrastructure!K$3)^2)</f>
        <v>42.80046729</v>
      </c>
      <c r="AW2020" s="331">
        <f>SQRT(($R2020-Infrastructure!J$4)^2+($S2020-Infrastructure!K$4)^2)</f>
        <v>41.84315954</v>
      </c>
      <c r="AX2020" s="331">
        <f>SQRT(($R2020-Infrastructure!J$5)^2+($S2020-Infrastructure!K$5)^2)</f>
        <v>44.27640455</v>
      </c>
      <c r="AY2020" s="331">
        <f>SQRT(($R2020-Infrastructure!J$6)^2+($S2020-Infrastructure!K$6)^2)</f>
        <v>36.90961934</v>
      </c>
      <c r="AZ2020" s="331">
        <f>SQRT(($R2020-Infrastructure!J$7)^2+($S2020-Infrastructure!K$7)^2)</f>
        <v>28.58950857</v>
      </c>
      <c r="BA2020" s="331">
        <f>SQRT(($R2020-Infrastructure!J$8)^2+($S2020-Infrastructure!K$8)^2)</f>
        <v>22.5015555</v>
      </c>
      <c r="BB2020" s="331">
        <f>SQRT(($R2020-Infrastructure!J$9)^2+($S2020-Infrastructure!K$9)^2)</f>
        <v>14.67685252</v>
      </c>
      <c r="BC2020" s="331">
        <f>SQRT(($R2020-Infrastructure!J$10)^2+($S2020-Infrastructure!K$10)^2)</f>
        <v>4.933558553</v>
      </c>
      <c r="BD2020" s="331">
        <f>SQRT(($R2020-Infrastructure!J$11)^2+($S2020-Infrastructure!K$11)^2)</f>
        <v>9.390420651</v>
      </c>
      <c r="BE2020" s="333">
        <f>SQRT(($R2020-Infrastructure!J$12)^2+($S2020-Infrastructure!K$12)^2)</f>
        <v>41.00780414</v>
      </c>
      <c r="BF2020" s="330">
        <f t="shared" si="161"/>
        <v>4.933558553</v>
      </c>
      <c r="BG2020" s="333">
        <f t="shared" si="162"/>
        <v>44.27640455</v>
      </c>
      <c r="BH2020" s="1119"/>
      <c r="BI2020" s="319" t="str">
        <f t="shared" ref="BI2020:BR2020" si="891">IF(ISNUMBER(FIND(BI$3, $CO2020)), "Y", "")</f>
        <v/>
      </c>
      <c r="BJ2020" s="319" t="str">
        <f t="shared" si="891"/>
        <v/>
      </c>
      <c r="BK2020" s="319" t="str">
        <f t="shared" si="891"/>
        <v/>
      </c>
      <c r="BL2020" s="319" t="str">
        <f t="shared" si="891"/>
        <v>Y</v>
      </c>
      <c r="BM2020" s="319" t="str">
        <f t="shared" si="891"/>
        <v>Y</v>
      </c>
      <c r="BN2020" s="319" t="str">
        <f t="shared" si="891"/>
        <v>Y</v>
      </c>
      <c r="BO2020" s="319" t="str">
        <f t="shared" si="891"/>
        <v>Y</v>
      </c>
      <c r="BP2020" s="319" t="str">
        <f t="shared" si="891"/>
        <v/>
      </c>
      <c r="BQ2020" s="319" t="str">
        <f t="shared" si="891"/>
        <v>Y</v>
      </c>
      <c r="BR2020" s="319" t="str">
        <f t="shared" si="891"/>
        <v>Y</v>
      </c>
      <c r="BS2020" s="330">
        <f t="shared" si="185"/>
        <v>9.390420651</v>
      </c>
      <c r="BT2020" s="331">
        <f t="shared" si="170"/>
        <v>41.00780414</v>
      </c>
      <c r="BU2020" s="920">
        <v>0.6162847222222222</v>
      </c>
      <c r="BV2020" s="903">
        <f t="shared" si="186"/>
        <v>0.001585648148</v>
      </c>
      <c r="BW2020" s="908">
        <v>27.1</v>
      </c>
      <c r="BX2020" s="908">
        <v>25.0</v>
      </c>
      <c r="BY2020" s="331">
        <f t="shared" si="201"/>
        <v>15.34438008</v>
      </c>
      <c r="BZ2020" s="331"/>
      <c r="CA2020" s="462" t="str">
        <f t="shared" ref="CA2020:CJ2020" si="892">IF(ISNUMBER(FIND(BI$3, $CP2020)), "Y", "")</f>
        <v/>
      </c>
      <c r="CB2020" s="319" t="str">
        <f t="shared" si="892"/>
        <v/>
      </c>
      <c r="CC2020" s="319" t="str">
        <f t="shared" si="892"/>
        <v/>
      </c>
      <c r="CD2020" s="319" t="str">
        <f t="shared" si="892"/>
        <v/>
      </c>
      <c r="CE2020" s="319" t="str">
        <f t="shared" si="892"/>
        <v/>
      </c>
      <c r="CF2020" s="319" t="str">
        <f t="shared" si="892"/>
        <v/>
      </c>
      <c r="CG2020" s="319" t="str">
        <f t="shared" si="892"/>
        <v/>
      </c>
      <c r="CH2020" s="319" t="str">
        <f t="shared" si="892"/>
        <v/>
      </c>
      <c r="CI2020" s="319" t="str">
        <f t="shared" si="892"/>
        <v/>
      </c>
      <c r="CJ2020" s="319" t="str">
        <f t="shared" si="892"/>
        <v/>
      </c>
      <c r="CK2020" s="342">
        <f t="shared" si="182"/>
        <v>0</v>
      </c>
      <c r="CL2020" s="333">
        <f t="shared" si="183"/>
        <v>0</v>
      </c>
      <c r="CM2020" s="1079" t="s">
        <v>3013</v>
      </c>
      <c r="CN2020" s="1005" t="s">
        <v>3009</v>
      </c>
      <c r="CO2020" s="1005" t="s">
        <v>2555</v>
      </c>
      <c r="CP2020" s="1005"/>
    </row>
    <row r="2021">
      <c r="A2021" s="1258"/>
      <c r="B2021" s="1129" t="s">
        <v>3006</v>
      </c>
      <c r="C2021" s="1122">
        <v>45566.0</v>
      </c>
      <c r="D2021" s="1123"/>
      <c r="E2021" s="1124">
        <v>3.0</v>
      </c>
      <c r="F2021" s="108" t="s">
        <v>3014</v>
      </c>
      <c r="G2021" s="1126">
        <v>0.6899305555555556</v>
      </c>
      <c r="H2021" s="1126">
        <v>0.6902777777777778</v>
      </c>
      <c r="I2021" s="1126"/>
      <c r="J2021" s="1127"/>
      <c r="K2021" s="1127">
        <v>0.7287037037037037</v>
      </c>
      <c r="L2021" s="1128">
        <v>0.038425925925925926</v>
      </c>
      <c r="M2021" s="1129" t="s">
        <v>166</v>
      </c>
      <c r="N2021" s="100" t="s">
        <v>187</v>
      </c>
      <c r="O2021" s="1131" t="s">
        <v>3011</v>
      </c>
      <c r="P2021" s="1131" t="s">
        <v>291</v>
      </c>
      <c r="Q2021" s="1132"/>
      <c r="R2021" s="137">
        <v>41.5</v>
      </c>
      <c r="S2021" s="1129">
        <v>19.7</v>
      </c>
      <c r="T2021" s="100">
        <v>2.9</v>
      </c>
      <c r="U2021" s="1124">
        <v>0.125</v>
      </c>
      <c r="V2021" s="1124"/>
      <c r="W2021" s="1124"/>
      <c r="X2021" s="1124"/>
      <c r="Y2021" s="1124"/>
      <c r="Z2021" s="1130" t="s">
        <v>1690</v>
      </c>
      <c r="AA2021" s="1130"/>
      <c r="AB2021" s="1130" t="s">
        <v>371</v>
      </c>
      <c r="AC2021" s="1133">
        <v>1.8</v>
      </c>
      <c r="AD2021" s="1131"/>
      <c r="AE2021" s="1131"/>
      <c r="AF2021" s="1131"/>
      <c r="AG2021" s="1131"/>
      <c r="AH2021" s="1131"/>
      <c r="AI2021" s="1131"/>
      <c r="AJ2021" s="1133"/>
      <c r="AK2021" s="1134"/>
      <c r="AL2021" s="1131"/>
      <c r="AM2021" s="1131"/>
      <c r="AN2021" s="1131"/>
      <c r="AO2021" s="1131"/>
      <c r="AP2021" s="1131"/>
      <c r="AQ2021" s="1131"/>
      <c r="AR2021" s="1131"/>
      <c r="AS2021" s="1133"/>
      <c r="AT2021" s="1197" t="str">
        <f t="shared" si="428"/>
        <v>0-1</v>
      </c>
      <c r="AU2021" s="1194"/>
      <c r="AV2021" s="662">
        <f>SQRT(($R2021-Infrastructure!J$3)^2+($S2021-Infrastructure!K$3)^2)</f>
        <v>42.80046729</v>
      </c>
      <c r="AW2021" s="641">
        <f>SQRT(($R2021-Infrastructure!J$4)^2+($S2021-Infrastructure!K$4)^2)</f>
        <v>41.84315954</v>
      </c>
      <c r="AX2021" s="641">
        <f>SQRT(($R2021-Infrastructure!J$5)^2+($S2021-Infrastructure!K$5)^2)</f>
        <v>44.27640455</v>
      </c>
      <c r="AY2021" s="641">
        <f>SQRT(($R2021-Infrastructure!J$6)^2+($S2021-Infrastructure!K$6)^2)</f>
        <v>36.90961934</v>
      </c>
      <c r="AZ2021" s="641">
        <f>SQRT(($R2021-Infrastructure!J$7)^2+($S2021-Infrastructure!K$7)^2)</f>
        <v>28.58950857</v>
      </c>
      <c r="BA2021" s="641">
        <f>SQRT(($R2021-Infrastructure!J$8)^2+($S2021-Infrastructure!K$8)^2)</f>
        <v>22.5015555</v>
      </c>
      <c r="BB2021" s="641">
        <f>SQRT(($R2021-Infrastructure!J$9)^2+($S2021-Infrastructure!K$9)^2)</f>
        <v>14.67685252</v>
      </c>
      <c r="BC2021" s="641">
        <f>SQRT(($R2021-Infrastructure!J$10)^2+($S2021-Infrastructure!K$10)^2)</f>
        <v>4.933558553</v>
      </c>
      <c r="BD2021" s="641">
        <f>SQRT(($R2021-Infrastructure!J$11)^2+($S2021-Infrastructure!K$11)^2)</f>
        <v>9.390420651</v>
      </c>
      <c r="BE2021" s="642">
        <f>SQRT(($R2021-Infrastructure!J$12)^2+($S2021-Infrastructure!K$12)^2)</f>
        <v>41.00780414</v>
      </c>
      <c r="BF2021" s="662">
        <f t="shared" si="161"/>
        <v>4.933558553</v>
      </c>
      <c r="BG2021" s="642">
        <f t="shared" si="162"/>
        <v>44.27640455</v>
      </c>
      <c r="BH2021" s="1135"/>
      <c r="BI2021" s="663" t="str">
        <f t="shared" ref="BI2021:BR2021" si="893">IF(ISNUMBER(FIND(BI$3, $CO2021)), "Y", "")</f>
        <v/>
      </c>
      <c r="BJ2021" s="663" t="str">
        <f t="shared" si="893"/>
        <v/>
      </c>
      <c r="BK2021" s="663" t="str">
        <f t="shared" si="893"/>
        <v>Y</v>
      </c>
      <c r="BL2021" s="663" t="str">
        <f t="shared" si="893"/>
        <v/>
      </c>
      <c r="BM2021" s="663" t="str">
        <f t="shared" si="893"/>
        <v>Y</v>
      </c>
      <c r="BN2021" s="663" t="str">
        <f t="shared" si="893"/>
        <v>Y</v>
      </c>
      <c r="BO2021" s="663" t="str">
        <f t="shared" si="893"/>
        <v>Y</v>
      </c>
      <c r="BP2021" s="663" t="str">
        <f t="shared" si="893"/>
        <v/>
      </c>
      <c r="BQ2021" s="663" t="str">
        <f t="shared" si="893"/>
        <v>Y</v>
      </c>
      <c r="BR2021" s="663" t="str">
        <f t="shared" si="893"/>
        <v/>
      </c>
      <c r="BS2021" s="662">
        <f t="shared" si="185"/>
        <v>9.390420651</v>
      </c>
      <c r="BT2021" s="641">
        <f t="shared" si="170"/>
        <v>44.27640455</v>
      </c>
      <c r="BU2021" s="937">
        <v>0.6917708333333333</v>
      </c>
      <c r="BV2021" s="930">
        <f t="shared" si="186"/>
        <v>0.001840277778</v>
      </c>
      <c r="BW2021" s="939">
        <v>26.1</v>
      </c>
      <c r="BX2021" s="939">
        <v>30.0</v>
      </c>
      <c r="BY2021" s="641">
        <f t="shared" si="201"/>
        <v>18.52700731</v>
      </c>
      <c r="BZ2021" s="641"/>
      <c r="CA2021" s="635" t="str">
        <f t="shared" ref="CA2021:CJ2021" si="894">IF(ISNUMBER(FIND(BI$3, $CP2021)), "Y", "")</f>
        <v/>
      </c>
      <c r="CB2021" s="663" t="str">
        <f t="shared" si="894"/>
        <v/>
      </c>
      <c r="CC2021" s="663" t="str">
        <f t="shared" si="894"/>
        <v/>
      </c>
      <c r="CD2021" s="663" t="str">
        <f t="shared" si="894"/>
        <v/>
      </c>
      <c r="CE2021" s="663" t="str">
        <f t="shared" si="894"/>
        <v/>
      </c>
      <c r="CF2021" s="663" t="str">
        <f t="shared" si="894"/>
        <v/>
      </c>
      <c r="CG2021" s="663" t="str">
        <f t="shared" si="894"/>
        <v/>
      </c>
      <c r="CH2021" s="663" t="str">
        <f t="shared" si="894"/>
        <v/>
      </c>
      <c r="CI2021" s="663" t="str">
        <f t="shared" si="894"/>
        <v/>
      </c>
      <c r="CJ2021" s="663" t="str">
        <f t="shared" si="894"/>
        <v/>
      </c>
      <c r="CK2021" s="743">
        <f t="shared" si="182"/>
        <v>0</v>
      </c>
      <c r="CL2021" s="642">
        <f t="shared" si="183"/>
        <v>0</v>
      </c>
      <c r="CM2021" s="1090" t="s">
        <v>3015</v>
      </c>
      <c r="CN2021" s="1036" t="s">
        <v>3009</v>
      </c>
      <c r="CO2021" s="1036" t="s">
        <v>2783</v>
      </c>
      <c r="CP2021" s="1036"/>
    </row>
    <row r="2022">
      <c r="A2022" s="1257" t="s">
        <v>122</v>
      </c>
      <c r="B2022" s="1113" t="s">
        <v>3006</v>
      </c>
      <c r="C2022" s="1107">
        <v>45567.0</v>
      </c>
      <c r="D2022" s="103"/>
      <c r="E2022" s="1108">
        <v>4.0</v>
      </c>
      <c r="F2022" s="112" t="s">
        <v>3016</v>
      </c>
      <c r="G2022" s="1110">
        <v>0.6569444444444444</v>
      </c>
      <c r="H2022" s="1110">
        <v>0.6576388888888889</v>
      </c>
      <c r="I2022" s="1110"/>
      <c r="J2022" s="1111"/>
      <c r="K2022" s="1111">
        <v>0.6770833333333334</v>
      </c>
      <c r="L2022" s="1112">
        <v>0.019444444444444445</v>
      </c>
      <c r="M2022" s="1113" t="s">
        <v>166</v>
      </c>
      <c r="N2022" s="110" t="s">
        <v>187</v>
      </c>
      <c r="O2022" s="1115" t="s">
        <v>207</v>
      </c>
      <c r="P2022" s="1115" t="s">
        <v>221</v>
      </c>
      <c r="Q2022" s="1116"/>
      <c r="R2022" s="120">
        <v>26.1</v>
      </c>
      <c r="S2022" s="1113">
        <v>14.3</v>
      </c>
      <c r="T2022" s="110">
        <v>1.5</v>
      </c>
      <c r="U2022" s="1108">
        <v>0.25</v>
      </c>
      <c r="V2022" s="1108"/>
      <c r="W2022" s="1108"/>
      <c r="X2022" s="1108"/>
      <c r="Y2022" s="1108"/>
      <c r="Z2022" s="1114" t="s">
        <v>374</v>
      </c>
      <c r="AA2022" s="1114"/>
      <c r="AB2022" s="1114" t="s">
        <v>375</v>
      </c>
      <c r="AC2022" s="1117">
        <v>2.7</v>
      </c>
      <c r="AD2022" s="1115"/>
      <c r="AE2022" s="1115"/>
      <c r="AF2022" s="1115"/>
      <c r="AG2022" s="1115"/>
      <c r="AH2022" s="1115"/>
      <c r="AI2022" s="1115"/>
      <c r="AJ2022" s="1117"/>
      <c r="AK2022" s="1118"/>
      <c r="AL2022" s="1115"/>
      <c r="AM2022" s="1115"/>
      <c r="AN2022" s="1115"/>
      <c r="AO2022" s="1115"/>
      <c r="AP2022" s="1115"/>
      <c r="AQ2022" s="1115"/>
      <c r="AR2022" s="1115"/>
      <c r="AS2022" s="1117"/>
      <c r="AT2022" s="1196" t="str">
        <f t="shared" si="428"/>
        <v>0-1</v>
      </c>
      <c r="AU2022" s="1193"/>
      <c r="AV2022" s="330">
        <f>SQRT(($R2022-Infrastructure!J$3)^2+($S2022-Infrastructure!K$3)^2)</f>
        <v>30.16819517</v>
      </c>
      <c r="AW2022" s="331">
        <f>SQRT(($R2022-Infrastructure!J$4)^2+($S2022-Infrastructure!K$4)^2)</f>
        <v>26.63099698</v>
      </c>
      <c r="AX2022" s="331">
        <f>SQRT(($R2022-Infrastructure!J$5)^2+($S2022-Infrastructure!K$5)^2)</f>
        <v>27.95711001</v>
      </c>
      <c r="AY2022" s="331">
        <f>SQRT(($R2022-Infrastructure!J$6)^2+($S2022-Infrastructure!K$6)^2)</f>
        <v>21.26029163</v>
      </c>
      <c r="AZ2022" s="331">
        <f>SQRT(($R2022-Infrastructure!J$7)^2+($S2022-Infrastructure!K$7)^2)</f>
        <v>15.07846146</v>
      </c>
      <c r="BA2022" s="331">
        <f>SQRT(($R2022-Infrastructure!J$8)^2+($S2022-Infrastructure!K$8)^2)</f>
        <v>14.56021978</v>
      </c>
      <c r="BB2022" s="331">
        <f>SQRT(($R2022-Infrastructure!J$9)^2+($S2022-Infrastructure!K$9)^2)</f>
        <v>16.66883319</v>
      </c>
      <c r="BC2022" s="331">
        <f>SQRT(($R2022-Infrastructure!J$10)^2+($S2022-Infrastructure!K$10)^2)</f>
        <v>13.91761474</v>
      </c>
      <c r="BD2022" s="331">
        <f>SQRT(($R2022-Infrastructure!J$11)^2+($S2022-Infrastructure!K$11)^2)</f>
        <v>20.36909424</v>
      </c>
      <c r="BE2022" s="333">
        <f>SQRT(($R2022-Infrastructure!J$12)^2+($S2022-Infrastructure!K$12)^2)</f>
        <v>41.45600077</v>
      </c>
      <c r="BF2022" s="330">
        <f t="shared" si="161"/>
        <v>13.91761474</v>
      </c>
      <c r="BG2022" s="333">
        <f t="shared" si="162"/>
        <v>41.45600077</v>
      </c>
      <c r="BH2022" s="1119"/>
      <c r="BI2022" s="319" t="str">
        <f t="shared" ref="BI2022:BR2022" si="895">IF(ISNUMBER(FIND(BI$3, $CO2022)), "Y", "")</f>
        <v/>
      </c>
      <c r="BJ2022" s="319" t="str">
        <f t="shared" si="895"/>
        <v/>
      </c>
      <c r="BK2022" s="319" t="str">
        <f t="shared" si="895"/>
        <v/>
      </c>
      <c r="BL2022" s="319" t="str">
        <f t="shared" si="895"/>
        <v/>
      </c>
      <c r="BM2022" s="319" t="str">
        <f t="shared" si="895"/>
        <v/>
      </c>
      <c r="BN2022" s="319" t="str">
        <f t="shared" si="895"/>
        <v/>
      </c>
      <c r="BO2022" s="319" t="str">
        <f t="shared" si="895"/>
        <v/>
      </c>
      <c r="BP2022" s="319" t="str">
        <f t="shared" si="895"/>
        <v/>
      </c>
      <c r="BQ2022" s="319" t="str">
        <f t="shared" si="895"/>
        <v/>
      </c>
      <c r="BR2022" s="319" t="str">
        <f t="shared" si="895"/>
        <v/>
      </c>
      <c r="BS2022" s="330">
        <f t="shared" si="185"/>
        <v>0</v>
      </c>
      <c r="BT2022" s="331">
        <f t="shared" si="170"/>
        <v>0</v>
      </c>
      <c r="BU2022" s="920"/>
      <c r="BV2022" s="903" t="str">
        <f t="shared" si="186"/>
        <v/>
      </c>
      <c r="BW2022" s="908"/>
      <c r="BX2022" s="908"/>
      <c r="BY2022" s="331" t="b">
        <f t="shared" si="201"/>
        <v>0</v>
      </c>
      <c r="BZ2022" s="331"/>
      <c r="CA2022" s="462" t="str">
        <f t="shared" ref="CA2022:CJ2022" si="896">IF(ISNUMBER(FIND(BI$3, $CP2022)), "Y", "")</f>
        <v/>
      </c>
      <c r="CB2022" s="319" t="str">
        <f t="shared" si="896"/>
        <v/>
      </c>
      <c r="CC2022" s="319" t="str">
        <f t="shared" si="896"/>
        <v/>
      </c>
      <c r="CD2022" s="319" t="str">
        <f t="shared" si="896"/>
        <v/>
      </c>
      <c r="CE2022" s="319" t="str">
        <f t="shared" si="896"/>
        <v/>
      </c>
      <c r="CF2022" s="319" t="str">
        <f t="shared" si="896"/>
        <v/>
      </c>
      <c r="CG2022" s="319" t="str">
        <f t="shared" si="896"/>
        <v/>
      </c>
      <c r="CH2022" s="319" t="str">
        <f t="shared" si="896"/>
        <v/>
      </c>
      <c r="CI2022" s="319" t="str">
        <f t="shared" si="896"/>
        <v/>
      </c>
      <c r="CJ2022" s="319" t="str">
        <f t="shared" si="896"/>
        <v/>
      </c>
      <c r="CK2022" s="342">
        <f t="shared" si="182"/>
        <v>0</v>
      </c>
      <c r="CL2022" s="333">
        <f t="shared" si="183"/>
        <v>0</v>
      </c>
      <c r="CM2022" s="1079"/>
      <c r="CN2022" s="1005" t="s">
        <v>3017</v>
      </c>
      <c r="CO2022" s="1005"/>
      <c r="CP2022" s="1005"/>
    </row>
    <row r="2023">
      <c r="A2023" s="266"/>
      <c r="B2023" s="1113" t="s">
        <v>3006</v>
      </c>
      <c r="C2023" s="1107">
        <v>45567.0</v>
      </c>
      <c r="D2023" s="103"/>
      <c r="E2023" s="1108">
        <v>5.0</v>
      </c>
      <c r="F2023" s="112" t="s">
        <v>3018</v>
      </c>
      <c r="G2023" s="1110">
        <v>0.6770833333333334</v>
      </c>
      <c r="H2023" s="1110">
        <v>0.6784722222222223</v>
      </c>
      <c r="I2023" s="1110"/>
      <c r="J2023" s="1111"/>
      <c r="K2023" s="1111">
        <v>0.6861111111111111</v>
      </c>
      <c r="L2023" s="1112">
        <v>0.007638888888888889</v>
      </c>
      <c r="M2023" s="1113" t="s">
        <v>166</v>
      </c>
      <c r="N2023" s="110" t="s">
        <v>187</v>
      </c>
      <c r="O2023" s="1115" t="s">
        <v>207</v>
      </c>
      <c r="P2023" s="1115" t="s">
        <v>221</v>
      </c>
      <c r="Q2023" s="1116"/>
      <c r="R2023" s="120">
        <v>26.1</v>
      </c>
      <c r="S2023" s="1113">
        <v>14.3</v>
      </c>
      <c r="T2023" s="110">
        <v>1.5</v>
      </c>
      <c r="U2023" s="1108">
        <v>0.5</v>
      </c>
      <c r="V2023" s="1108"/>
      <c r="W2023" s="1108"/>
      <c r="X2023" s="1108"/>
      <c r="Y2023" s="1108"/>
      <c r="Z2023" s="1114" t="s">
        <v>374</v>
      </c>
      <c r="AA2023" s="1114"/>
      <c r="AB2023" s="1114" t="s">
        <v>375</v>
      </c>
      <c r="AC2023" s="1117">
        <v>2.7</v>
      </c>
      <c r="AD2023" s="1115"/>
      <c r="AE2023" s="1115"/>
      <c r="AF2023" s="1115"/>
      <c r="AG2023" s="1115"/>
      <c r="AH2023" s="1115"/>
      <c r="AI2023" s="1115"/>
      <c r="AJ2023" s="1117"/>
      <c r="AK2023" s="1118"/>
      <c r="AL2023" s="1115"/>
      <c r="AM2023" s="1115"/>
      <c r="AN2023" s="1115"/>
      <c r="AO2023" s="1115"/>
      <c r="AP2023" s="1115"/>
      <c r="AQ2023" s="1115"/>
      <c r="AR2023" s="1115"/>
      <c r="AS2023" s="1117"/>
      <c r="AT2023" s="1196" t="str">
        <f t="shared" si="428"/>
        <v>0-1</v>
      </c>
      <c r="AU2023" s="1193"/>
      <c r="AV2023" s="330">
        <f>SQRT(($R2023-Infrastructure!J$3)^2+($S2023-Infrastructure!K$3)^2)</f>
        <v>30.16819517</v>
      </c>
      <c r="AW2023" s="331">
        <f>SQRT(($R2023-Infrastructure!J$4)^2+($S2023-Infrastructure!K$4)^2)</f>
        <v>26.63099698</v>
      </c>
      <c r="AX2023" s="331">
        <f>SQRT(($R2023-Infrastructure!J$5)^2+($S2023-Infrastructure!K$5)^2)</f>
        <v>27.95711001</v>
      </c>
      <c r="AY2023" s="331">
        <f>SQRT(($R2023-Infrastructure!J$6)^2+($S2023-Infrastructure!K$6)^2)</f>
        <v>21.26029163</v>
      </c>
      <c r="AZ2023" s="331">
        <f>SQRT(($R2023-Infrastructure!J$7)^2+($S2023-Infrastructure!K$7)^2)</f>
        <v>15.07846146</v>
      </c>
      <c r="BA2023" s="331">
        <f>SQRT(($R2023-Infrastructure!J$8)^2+($S2023-Infrastructure!K$8)^2)</f>
        <v>14.56021978</v>
      </c>
      <c r="BB2023" s="331">
        <f>SQRT(($R2023-Infrastructure!J$9)^2+($S2023-Infrastructure!K$9)^2)</f>
        <v>16.66883319</v>
      </c>
      <c r="BC2023" s="331">
        <f>SQRT(($R2023-Infrastructure!J$10)^2+($S2023-Infrastructure!K$10)^2)</f>
        <v>13.91761474</v>
      </c>
      <c r="BD2023" s="331">
        <f>SQRT(($R2023-Infrastructure!J$11)^2+($S2023-Infrastructure!K$11)^2)</f>
        <v>20.36909424</v>
      </c>
      <c r="BE2023" s="333">
        <f>SQRT(($R2023-Infrastructure!J$12)^2+($S2023-Infrastructure!K$12)^2)</f>
        <v>41.45600077</v>
      </c>
      <c r="BF2023" s="330">
        <f t="shared" si="161"/>
        <v>13.91761474</v>
      </c>
      <c r="BG2023" s="333">
        <f t="shared" si="162"/>
        <v>41.45600077</v>
      </c>
      <c r="BH2023" s="1119"/>
      <c r="BI2023" s="319" t="str">
        <f t="shared" ref="BI2023:BR2023" si="897">IF(ISNUMBER(FIND(BI$3, $CO2023)), "Y", "")</f>
        <v/>
      </c>
      <c r="BJ2023" s="319" t="str">
        <f t="shared" si="897"/>
        <v/>
      </c>
      <c r="BK2023" s="319" t="str">
        <f t="shared" si="897"/>
        <v/>
      </c>
      <c r="BL2023" s="319" t="str">
        <f t="shared" si="897"/>
        <v/>
      </c>
      <c r="BM2023" s="319" t="str">
        <f t="shared" si="897"/>
        <v/>
      </c>
      <c r="BN2023" s="319" t="str">
        <f t="shared" si="897"/>
        <v/>
      </c>
      <c r="BO2023" s="319" t="str">
        <f t="shared" si="897"/>
        <v/>
      </c>
      <c r="BP2023" s="319" t="str">
        <f t="shared" si="897"/>
        <v/>
      </c>
      <c r="BQ2023" s="319" t="str">
        <f t="shared" si="897"/>
        <v/>
      </c>
      <c r="BR2023" s="319" t="str">
        <f t="shared" si="897"/>
        <v/>
      </c>
      <c r="BS2023" s="330">
        <f t="shared" si="185"/>
        <v>0</v>
      </c>
      <c r="BT2023" s="331">
        <f t="shared" si="170"/>
        <v>0</v>
      </c>
      <c r="BU2023" s="920"/>
      <c r="BV2023" s="903" t="str">
        <f t="shared" si="186"/>
        <v/>
      </c>
      <c r="BW2023" s="908"/>
      <c r="BX2023" s="908"/>
      <c r="BY2023" s="331" t="b">
        <f t="shared" si="201"/>
        <v>0</v>
      </c>
      <c r="BZ2023" s="331"/>
      <c r="CA2023" s="462" t="str">
        <f t="shared" ref="CA2023:CJ2023" si="898">IF(ISNUMBER(FIND(BI$3, $CP2023)), "Y", "")</f>
        <v/>
      </c>
      <c r="CB2023" s="319" t="str">
        <f t="shared" si="898"/>
        <v/>
      </c>
      <c r="CC2023" s="319" t="str">
        <f t="shared" si="898"/>
        <v/>
      </c>
      <c r="CD2023" s="319" t="str">
        <f t="shared" si="898"/>
        <v/>
      </c>
      <c r="CE2023" s="319" t="str">
        <f t="shared" si="898"/>
        <v/>
      </c>
      <c r="CF2023" s="319" t="str">
        <f t="shared" si="898"/>
        <v/>
      </c>
      <c r="CG2023" s="319" t="str">
        <f t="shared" si="898"/>
        <v/>
      </c>
      <c r="CH2023" s="319" t="str">
        <f t="shared" si="898"/>
        <v/>
      </c>
      <c r="CI2023" s="319" t="str">
        <f t="shared" si="898"/>
        <v/>
      </c>
      <c r="CJ2023" s="319" t="str">
        <f t="shared" si="898"/>
        <v/>
      </c>
      <c r="CK2023" s="342">
        <f t="shared" si="182"/>
        <v>0</v>
      </c>
      <c r="CL2023" s="333">
        <f t="shared" si="183"/>
        <v>0</v>
      </c>
      <c r="CM2023" s="1079"/>
      <c r="CN2023" s="1005" t="s">
        <v>3017</v>
      </c>
      <c r="CO2023" s="1005"/>
      <c r="CP2023" s="1005"/>
    </row>
    <row r="2024">
      <c r="A2024" s="266"/>
      <c r="B2024" s="1113" t="s">
        <v>3006</v>
      </c>
      <c r="C2024" s="1107">
        <v>45567.0</v>
      </c>
      <c r="D2024" s="103"/>
      <c r="E2024" s="1108">
        <v>6.0</v>
      </c>
      <c r="F2024" s="112" t="s">
        <v>3019</v>
      </c>
      <c r="G2024" s="1110">
        <v>0.690162037037037</v>
      </c>
      <c r="H2024" s="1110">
        <v>0.690625</v>
      </c>
      <c r="I2024" s="1110"/>
      <c r="J2024" s="1111"/>
      <c r="K2024" s="1111">
        <v>0.6973379629629629</v>
      </c>
      <c r="L2024" s="1112">
        <v>0.006712962962962963</v>
      </c>
      <c r="M2024" s="1113" t="s">
        <v>166</v>
      </c>
      <c r="N2024" s="110" t="s">
        <v>187</v>
      </c>
      <c r="O2024" s="1115" t="s">
        <v>204</v>
      </c>
      <c r="P2024" s="1115" t="s">
        <v>271</v>
      </c>
      <c r="Q2024" s="1116"/>
      <c r="R2024" s="120">
        <v>18.3</v>
      </c>
      <c r="S2024" s="1113">
        <v>4.2</v>
      </c>
      <c r="T2024" s="110">
        <v>1.34</v>
      </c>
      <c r="U2024" s="1108">
        <v>0.1</v>
      </c>
      <c r="V2024" s="1108"/>
      <c r="W2024" s="1108"/>
      <c r="X2024" s="1108"/>
      <c r="Y2024" s="1108"/>
      <c r="Z2024" s="1114" t="s">
        <v>335</v>
      </c>
      <c r="AA2024" s="1114"/>
      <c r="AB2024" s="1114" t="s">
        <v>392</v>
      </c>
      <c r="AC2024" s="1117">
        <v>10.0</v>
      </c>
      <c r="AD2024" s="1115"/>
      <c r="AE2024" s="1115"/>
      <c r="AF2024" s="1115"/>
      <c r="AG2024" s="1115"/>
      <c r="AH2024" s="1115"/>
      <c r="AI2024" s="1115"/>
      <c r="AJ2024" s="1117"/>
      <c r="AK2024" s="1118"/>
      <c r="AL2024" s="1115"/>
      <c r="AM2024" s="1115"/>
      <c r="AN2024" s="1115"/>
      <c r="AO2024" s="1115"/>
      <c r="AP2024" s="1115"/>
      <c r="AQ2024" s="1115"/>
      <c r="AR2024" s="1115"/>
      <c r="AS2024" s="1117"/>
      <c r="AT2024" s="1196" t="str">
        <f t="shared" si="428"/>
        <v>0-1</v>
      </c>
      <c r="AU2024" s="1193"/>
      <c r="AV2024" s="330">
        <f>SQRT(($R2024-Infrastructure!J$3)^2+($S2024-Infrastructure!K$3)^2)</f>
        <v>30.92005821</v>
      </c>
      <c r="AW2024" s="331">
        <f>SQRT(($R2024-Infrastructure!J$4)^2+($S2024-Infrastructure!K$4)^2)</f>
        <v>23.04170133</v>
      </c>
      <c r="AX2024" s="331">
        <f>SQRT(($R2024-Infrastructure!J$5)^2+($S2024-Infrastructure!K$5)^2)</f>
        <v>18.62176146</v>
      </c>
      <c r="AY2024" s="331">
        <f>SQRT(($R2024-Infrastructure!J$6)^2+($S2024-Infrastructure!K$6)^2)</f>
        <v>9.080198236</v>
      </c>
      <c r="AZ2024" s="331">
        <f>SQRT(($R2024-Infrastructure!J$7)^2+($S2024-Infrastructure!K$7)^2)</f>
        <v>4.477722635</v>
      </c>
      <c r="BA2024" s="331">
        <f>SQRT(($R2024-Infrastructure!J$8)^2+($S2024-Infrastructure!K$8)^2)</f>
        <v>12.42779144</v>
      </c>
      <c r="BB2024" s="331">
        <f>SQRT(($R2024-Infrastructure!J$9)^2+($S2024-Infrastructure!K$9)^2)</f>
        <v>21.71865558</v>
      </c>
      <c r="BC2024" s="331">
        <f>SQRT(($R2024-Infrastructure!J$10)^2+($S2024-Infrastructure!K$10)^2)</f>
        <v>24.23901813</v>
      </c>
      <c r="BD2024" s="331">
        <f>SQRT(($R2024-Infrastructure!J$11)^2+($S2024-Infrastructure!K$11)^2)</f>
        <v>33.08549531</v>
      </c>
      <c r="BE2024" s="333">
        <f>SQRT(($R2024-Infrastructure!J$12)^2+($S2024-Infrastructure!K$12)^2)</f>
        <v>51.39970817</v>
      </c>
      <c r="BF2024" s="330">
        <f t="shared" si="161"/>
        <v>4.477722635</v>
      </c>
      <c r="BG2024" s="333">
        <f t="shared" si="162"/>
        <v>51.39970817</v>
      </c>
      <c r="BH2024" s="1119"/>
      <c r="BI2024" s="319" t="str">
        <f t="shared" ref="BI2024:BR2024" si="899">IF(ISNUMBER(FIND(BI$3, $CO2024)), "Y", "")</f>
        <v/>
      </c>
      <c r="BJ2024" s="319" t="str">
        <f t="shared" si="899"/>
        <v/>
      </c>
      <c r="BK2024" s="319" t="str">
        <f t="shared" si="899"/>
        <v/>
      </c>
      <c r="BL2024" s="319" t="str">
        <f t="shared" si="899"/>
        <v/>
      </c>
      <c r="BM2024" s="319" t="str">
        <f t="shared" si="899"/>
        <v/>
      </c>
      <c r="BN2024" s="319" t="str">
        <f t="shared" si="899"/>
        <v/>
      </c>
      <c r="BO2024" s="319" t="str">
        <f t="shared" si="899"/>
        <v/>
      </c>
      <c r="BP2024" s="319" t="str">
        <f t="shared" si="899"/>
        <v/>
      </c>
      <c r="BQ2024" s="319" t="str">
        <f t="shared" si="899"/>
        <v/>
      </c>
      <c r="BR2024" s="319" t="str">
        <f t="shared" si="899"/>
        <v/>
      </c>
      <c r="BS2024" s="330">
        <f t="shared" si="185"/>
        <v>0</v>
      </c>
      <c r="BT2024" s="331">
        <f t="shared" si="170"/>
        <v>0</v>
      </c>
      <c r="BU2024" s="920"/>
      <c r="BV2024" s="903" t="str">
        <f t="shared" si="186"/>
        <v/>
      </c>
      <c r="BW2024" s="908"/>
      <c r="BX2024" s="908"/>
      <c r="BY2024" s="331" t="b">
        <f t="shared" si="201"/>
        <v>0</v>
      </c>
      <c r="BZ2024" s="331"/>
      <c r="CA2024" s="462" t="str">
        <f t="shared" ref="CA2024:CJ2024" si="900">IF(ISNUMBER(FIND(BI$3, $CP2024)), "Y", "")</f>
        <v/>
      </c>
      <c r="CB2024" s="319" t="str">
        <f t="shared" si="900"/>
        <v/>
      </c>
      <c r="CC2024" s="319" t="str">
        <f t="shared" si="900"/>
        <v/>
      </c>
      <c r="CD2024" s="319" t="str">
        <f t="shared" si="900"/>
        <v/>
      </c>
      <c r="CE2024" s="319" t="str">
        <f t="shared" si="900"/>
        <v/>
      </c>
      <c r="CF2024" s="319" t="str">
        <f t="shared" si="900"/>
        <v/>
      </c>
      <c r="CG2024" s="319" t="str">
        <f t="shared" si="900"/>
        <v/>
      </c>
      <c r="CH2024" s="319" t="str">
        <f t="shared" si="900"/>
        <v/>
      </c>
      <c r="CI2024" s="319" t="str">
        <f t="shared" si="900"/>
        <v/>
      </c>
      <c r="CJ2024" s="319" t="str">
        <f t="shared" si="900"/>
        <v/>
      </c>
      <c r="CK2024" s="342">
        <f t="shared" si="182"/>
        <v>0</v>
      </c>
      <c r="CL2024" s="333">
        <f t="shared" si="183"/>
        <v>0</v>
      </c>
      <c r="CM2024" s="1079"/>
      <c r="CN2024" s="1005" t="s">
        <v>3017</v>
      </c>
      <c r="CO2024" s="1005"/>
      <c r="CP2024" s="1005"/>
    </row>
    <row r="2025">
      <c r="A2025" s="1258"/>
      <c r="B2025" s="1129" t="s">
        <v>3006</v>
      </c>
      <c r="C2025" s="1122">
        <v>45567.0</v>
      </c>
      <c r="D2025" s="1123"/>
      <c r="E2025" s="1124">
        <v>7.0</v>
      </c>
      <c r="F2025" s="108" t="s">
        <v>3020</v>
      </c>
      <c r="G2025" s="1126">
        <v>0.6973379629629629</v>
      </c>
      <c r="H2025" s="1126">
        <v>0.6994212962962963</v>
      </c>
      <c r="I2025" s="1126"/>
      <c r="J2025" s="1127"/>
      <c r="K2025" s="1127">
        <v>0.7074074074074074</v>
      </c>
      <c r="L2025" s="1128">
        <v>0.00798611111111111</v>
      </c>
      <c r="M2025" s="1129" t="s">
        <v>166</v>
      </c>
      <c r="N2025" s="100" t="s">
        <v>187</v>
      </c>
      <c r="O2025" s="1131" t="s">
        <v>204</v>
      </c>
      <c r="P2025" s="1131" t="s">
        <v>271</v>
      </c>
      <c r="Q2025" s="1132"/>
      <c r="R2025" s="137">
        <v>18.3</v>
      </c>
      <c r="S2025" s="1129">
        <v>4.2</v>
      </c>
      <c r="T2025" s="100">
        <v>1.34</v>
      </c>
      <c r="U2025" s="1124">
        <v>0.06</v>
      </c>
      <c r="V2025" s="1124"/>
      <c r="W2025" s="1124"/>
      <c r="X2025" s="1124"/>
      <c r="Y2025" s="1124"/>
      <c r="Z2025" s="1130" t="s">
        <v>335</v>
      </c>
      <c r="AA2025" s="1130"/>
      <c r="AB2025" s="1130" t="s">
        <v>392</v>
      </c>
      <c r="AC2025" s="1133">
        <v>10.0</v>
      </c>
      <c r="AD2025" s="1115"/>
      <c r="AE2025" s="1115"/>
      <c r="AF2025" s="1115"/>
      <c r="AG2025" s="1115"/>
      <c r="AH2025" s="1115"/>
      <c r="AI2025" s="1115"/>
      <c r="AJ2025" s="1117"/>
      <c r="AK2025" s="1118"/>
      <c r="AL2025" s="1115"/>
      <c r="AM2025" s="1115"/>
      <c r="AN2025" s="1115"/>
      <c r="AO2025" s="1115"/>
      <c r="AP2025" s="1115"/>
      <c r="AQ2025" s="1115"/>
      <c r="AR2025" s="1115"/>
      <c r="AS2025" s="1117"/>
      <c r="AT2025" s="1196" t="str">
        <f t="shared" si="428"/>
        <v>0-1</v>
      </c>
      <c r="AU2025" s="1194"/>
      <c r="AV2025" s="662">
        <f>SQRT(($R2025-Infrastructure!J$3)^2+($S2025-Infrastructure!K$3)^2)</f>
        <v>30.92005821</v>
      </c>
      <c r="AW2025" s="641">
        <f>SQRT(($R2025-Infrastructure!J$4)^2+($S2025-Infrastructure!K$4)^2)</f>
        <v>23.04170133</v>
      </c>
      <c r="AX2025" s="641">
        <f>SQRT(($R2025-Infrastructure!J$5)^2+($S2025-Infrastructure!K$5)^2)</f>
        <v>18.62176146</v>
      </c>
      <c r="AY2025" s="641">
        <f>SQRT(($R2025-Infrastructure!J$6)^2+($S2025-Infrastructure!K$6)^2)</f>
        <v>9.080198236</v>
      </c>
      <c r="AZ2025" s="641">
        <f>SQRT(($R2025-Infrastructure!J$7)^2+($S2025-Infrastructure!K$7)^2)</f>
        <v>4.477722635</v>
      </c>
      <c r="BA2025" s="641">
        <f>SQRT(($R2025-Infrastructure!J$8)^2+($S2025-Infrastructure!K$8)^2)</f>
        <v>12.42779144</v>
      </c>
      <c r="BB2025" s="641">
        <f>SQRT(($R2025-Infrastructure!J$9)^2+($S2025-Infrastructure!K$9)^2)</f>
        <v>21.71865558</v>
      </c>
      <c r="BC2025" s="641">
        <f>SQRT(($R2025-Infrastructure!J$10)^2+($S2025-Infrastructure!K$10)^2)</f>
        <v>24.23901813</v>
      </c>
      <c r="BD2025" s="641">
        <f>SQRT(($R2025-Infrastructure!J$11)^2+($S2025-Infrastructure!K$11)^2)</f>
        <v>33.08549531</v>
      </c>
      <c r="BE2025" s="642">
        <f>SQRT(($R2025-Infrastructure!J$12)^2+($S2025-Infrastructure!K$12)^2)</f>
        <v>51.39970817</v>
      </c>
      <c r="BF2025" s="662">
        <f t="shared" si="161"/>
        <v>4.477722635</v>
      </c>
      <c r="BG2025" s="642">
        <f t="shared" si="162"/>
        <v>51.39970817</v>
      </c>
      <c r="BH2025" s="1135"/>
      <c r="BI2025" s="663" t="str">
        <f t="shared" ref="BI2025:BR2025" si="901">IF(ISNUMBER(FIND(BI$3, $CO2025)), "Y", "")</f>
        <v/>
      </c>
      <c r="BJ2025" s="663" t="str">
        <f t="shared" si="901"/>
        <v/>
      </c>
      <c r="BK2025" s="663" t="str">
        <f t="shared" si="901"/>
        <v/>
      </c>
      <c r="BL2025" s="663" t="str">
        <f t="shared" si="901"/>
        <v/>
      </c>
      <c r="BM2025" s="663" t="str">
        <f t="shared" si="901"/>
        <v/>
      </c>
      <c r="BN2025" s="663" t="str">
        <f t="shared" si="901"/>
        <v/>
      </c>
      <c r="BO2025" s="663" t="str">
        <f t="shared" si="901"/>
        <v/>
      </c>
      <c r="BP2025" s="663" t="str">
        <f t="shared" si="901"/>
        <v/>
      </c>
      <c r="BQ2025" s="663" t="str">
        <f t="shared" si="901"/>
        <v/>
      </c>
      <c r="BR2025" s="663" t="str">
        <f t="shared" si="901"/>
        <v/>
      </c>
      <c r="BS2025" s="662">
        <f t="shared" si="185"/>
        <v>0</v>
      </c>
      <c r="BT2025" s="641">
        <f t="shared" si="170"/>
        <v>0</v>
      </c>
      <c r="BU2025" s="937"/>
      <c r="BV2025" s="930" t="str">
        <f t="shared" si="186"/>
        <v/>
      </c>
      <c r="BW2025" s="939"/>
      <c r="BX2025" s="939"/>
      <c r="BY2025" s="641" t="b">
        <f t="shared" si="201"/>
        <v>0</v>
      </c>
      <c r="BZ2025" s="641"/>
      <c r="CA2025" s="635" t="str">
        <f t="shared" ref="CA2025:CJ2025" si="902">IF(ISNUMBER(FIND(BI$3, $CP2025)), "Y", "")</f>
        <v/>
      </c>
      <c r="CB2025" s="663" t="str">
        <f t="shared" si="902"/>
        <v/>
      </c>
      <c r="CC2025" s="663" t="str">
        <f t="shared" si="902"/>
        <v/>
      </c>
      <c r="CD2025" s="663" t="str">
        <f t="shared" si="902"/>
        <v/>
      </c>
      <c r="CE2025" s="663" t="str">
        <f t="shared" si="902"/>
        <v/>
      </c>
      <c r="CF2025" s="663" t="str">
        <f t="shared" si="902"/>
        <v/>
      </c>
      <c r="CG2025" s="663" t="str">
        <f t="shared" si="902"/>
        <v/>
      </c>
      <c r="CH2025" s="663" t="str">
        <f t="shared" si="902"/>
        <v/>
      </c>
      <c r="CI2025" s="663" t="str">
        <f t="shared" si="902"/>
        <v/>
      </c>
      <c r="CJ2025" s="663" t="str">
        <f t="shared" si="902"/>
        <v/>
      </c>
      <c r="CK2025" s="743">
        <f t="shared" si="182"/>
        <v>0</v>
      </c>
      <c r="CL2025" s="642">
        <f t="shared" si="183"/>
        <v>0</v>
      </c>
      <c r="CM2025" s="1090"/>
      <c r="CN2025" s="1036" t="s">
        <v>3017</v>
      </c>
      <c r="CO2025" s="1036"/>
      <c r="CP2025" s="1036"/>
    </row>
    <row r="2026">
      <c r="A2026" s="1257" t="s">
        <v>123</v>
      </c>
      <c r="B2026" s="1113" t="s">
        <v>3006</v>
      </c>
      <c r="C2026" s="1107">
        <v>45568.0</v>
      </c>
      <c r="D2026" s="103"/>
      <c r="E2026" s="1108">
        <v>8.0</v>
      </c>
      <c r="F2026" s="112" t="s">
        <v>3021</v>
      </c>
      <c r="G2026" s="1110">
        <v>0.3729166666666667</v>
      </c>
      <c r="H2026" s="1110">
        <v>0.3736111111111111</v>
      </c>
      <c r="I2026" s="1110"/>
      <c r="J2026" s="1111"/>
      <c r="K2026" s="1111">
        <v>0.41770833333333335</v>
      </c>
      <c r="L2026" s="1112">
        <v>0.044097222222222225</v>
      </c>
      <c r="M2026" s="1113" t="s">
        <v>166</v>
      </c>
      <c r="N2026" s="110" t="s">
        <v>187</v>
      </c>
      <c r="O2026" s="1115" t="s">
        <v>197</v>
      </c>
      <c r="P2026" s="1115" t="s">
        <v>272</v>
      </c>
      <c r="Q2026" s="1116"/>
      <c r="R2026" s="120">
        <v>37.1</v>
      </c>
      <c r="S2026" s="1113">
        <v>6.9</v>
      </c>
      <c r="T2026" s="110">
        <v>6.5</v>
      </c>
      <c r="U2026" s="1108">
        <v>0.6</v>
      </c>
      <c r="V2026" s="1108"/>
      <c r="W2026" s="1108"/>
      <c r="X2026" s="1108"/>
      <c r="Y2026" s="1108"/>
      <c r="Z2026" s="1114" t="s">
        <v>379</v>
      </c>
      <c r="AA2026" s="1114"/>
      <c r="AB2026" s="1114" t="s">
        <v>392</v>
      </c>
      <c r="AC2026" s="1117">
        <v>10.0</v>
      </c>
      <c r="AD2026" s="1115"/>
      <c r="AE2026" s="1115"/>
      <c r="AF2026" s="1115"/>
      <c r="AG2026" s="1115"/>
      <c r="AH2026" s="1115"/>
      <c r="AI2026" s="1115"/>
      <c r="AJ2026" s="1117"/>
      <c r="AK2026" s="1118"/>
      <c r="AL2026" s="1115"/>
      <c r="AM2026" s="1115"/>
      <c r="AN2026" s="1115"/>
      <c r="AO2026" s="1115"/>
      <c r="AP2026" s="1115"/>
      <c r="AQ2026" s="1115"/>
      <c r="AR2026" s="1115"/>
      <c r="AS2026" s="1117"/>
      <c r="AT2026" s="1196" t="str">
        <f t="shared" si="428"/>
        <v>0-1</v>
      </c>
      <c r="AU2026" s="1193"/>
      <c r="AV2026" s="330">
        <f>SQRT(($R2026-Infrastructure!J$3)^2+($S2026-Infrastructure!K$3)^2)</f>
        <v>43.39078243</v>
      </c>
      <c r="AW2026" s="331">
        <f>SQRT(($R2026-Infrastructure!J$4)^2+($S2026-Infrastructure!K$4)^2)</f>
        <v>38.95600082</v>
      </c>
      <c r="AX2026" s="331">
        <f>SQRT(($R2026-Infrastructure!J$5)^2+($S2026-Infrastructure!K$5)^2)</f>
        <v>37.44329045</v>
      </c>
      <c r="AY2026" s="331">
        <f>SQRT(($R2026-Infrastructure!J$6)^2+($S2026-Infrastructure!K$6)^2)</f>
        <v>27.79496357</v>
      </c>
      <c r="AZ2026" s="331">
        <f>SQRT(($R2026-Infrastructure!J$7)^2+($S2026-Infrastructure!K$7)^2)</f>
        <v>17.86393014</v>
      </c>
      <c r="BA2026" s="331">
        <f>SQRT(($R2026-Infrastructure!J$8)^2+($S2026-Infrastructure!K$8)^2)</f>
        <v>9.620810777</v>
      </c>
      <c r="BB2026" s="331">
        <f>SQRT(($R2026-Infrastructure!J$9)^2+($S2026-Infrastructure!K$9)^2)</f>
        <v>3.413209633</v>
      </c>
      <c r="BC2026" s="331">
        <f>SQRT(($R2026-Infrastructure!J$10)^2+($S2026-Infrastructure!K$10)^2)</f>
        <v>8.603487665</v>
      </c>
      <c r="BD2026" s="331">
        <f>SQRT(($R2026-Infrastructure!J$11)^2+($S2026-Infrastructure!K$11)^2)</f>
        <v>22.31636171</v>
      </c>
      <c r="BE2026" s="333">
        <f>SQRT(($R2026-Infrastructure!J$12)^2+($S2026-Infrastructure!K$12)^2)</f>
        <v>51.04233537</v>
      </c>
      <c r="BF2026" s="330">
        <f t="shared" si="161"/>
        <v>3.413209633</v>
      </c>
      <c r="BG2026" s="333">
        <f t="shared" si="162"/>
        <v>51.04233537</v>
      </c>
      <c r="BH2026" s="1119"/>
      <c r="BI2026" s="319" t="str">
        <f t="shared" ref="BI2026:BR2026" si="903">IF(ISNUMBER(FIND(BI$3, $CO2026)), "Y", "")</f>
        <v/>
      </c>
      <c r="BJ2026" s="319" t="str">
        <f t="shared" si="903"/>
        <v/>
      </c>
      <c r="BK2026" s="319" t="str">
        <f t="shared" si="903"/>
        <v>Y</v>
      </c>
      <c r="BL2026" s="319" t="str">
        <f t="shared" si="903"/>
        <v>Y</v>
      </c>
      <c r="BM2026" s="319" t="str">
        <f t="shared" si="903"/>
        <v>Y</v>
      </c>
      <c r="BN2026" s="319" t="str">
        <f t="shared" si="903"/>
        <v>Y</v>
      </c>
      <c r="BO2026" s="319" t="str">
        <f t="shared" si="903"/>
        <v>Y</v>
      </c>
      <c r="BP2026" s="319" t="str">
        <f t="shared" si="903"/>
        <v/>
      </c>
      <c r="BQ2026" s="319" t="str">
        <f t="shared" si="903"/>
        <v/>
      </c>
      <c r="BR2026" s="319" t="str">
        <f t="shared" si="903"/>
        <v/>
      </c>
      <c r="BS2026" s="330">
        <f t="shared" si="185"/>
        <v>3.413209633</v>
      </c>
      <c r="BT2026" s="331">
        <f t="shared" si="170"/>
        <v>37.44329045</v>
      </c>
      <c r="BU2026" s="920">
        <v>0.38177083333333334</v>
      </c>
      <c r="BV2026" s="903">
        <f t="shared" si="186"/>
        <v>0.008854166667</v>
      </c>
      <c r="BW2026" s="908">
        <v>17.9</v>
      </c>
      <c r="BX2026" s="908">
        <v>18.5</v>
      </c>
      <c r="BY2026" s="331">
        <f t="shared" si="201"/>
        <v>22.43211983</v>
      </c>
      <c r="BZ2026" s="331"/>
      <c r="CA2026" s="462" t="str">
        <f t="shared" ref="CA2026:CJ2026" si="904">IF(ISNUMBER(FIND(BI$3, $CP2026)), "Y", "")</f>
        <v/>
      </c>
      <c r="CB2026" s="319" t="str">
        <f t="shared" si="904"/>
        <v/>
      </c>
      <c r="CC2026" s="319" t="str">
        <f t="shared" si="904"/>
        <v/>
      </c>
      <c r="CD2026" s="319" t="str">
        <f t="shared" si="904"/>
        <v/>
      </c>
      <c r="CE2026" s="319" t="str">
        <f t="shared" si="904"/>
        <v/>
      </c>
      <c r="CF2026" s="319" t="str">
        <f t="shared" si="904"/>
        <v/>
      </c>
      <c r="CG2026" s="319" t="str">
        <f t="shared" si="904"/>
        <v/>
      </c>
      <c r="CH2026" s="319" t="str">
        <f t="shared" si="904"/>
        <v/>
      </c>
      <c r="CI2026" s="319" t="str">
        <f t="shared" si="904"/>
        <v/>
      </c>
      <c r="CJ2026" s="319" t="str">
        <f t="shared" si="904"/>
        <v/>
      </c>
      <c r="CK2026" s="342">
        <f t="shared" si="182"/>
        <v>0</v>
      </c>
      <c r="CL2026" s="333">
        <f t="shared" si="183"/>
        <v>0</v>
      </c>
      <c r="CM2026" s="1079"/>
      <c r="CN2026" s="1005" t="s">
        <v>3022</v>
      </c>
      <c r="CO2026" s="1005" t="s">
        <v>3023</v>
      </c>
      <c r="CP2026" s="1005"/>
    </row>
    <row r="2027">
      <c r="A2027" s="266"/>
      <c r="B2027" s="1113" t="s">
        <v>3006</v>
      </c>
      <c r="C2027" s="1107">
        <v>45568.0</v>
      </c>
      <c r="D2027" s="103"/>
      <c r="E2027" s="1108">
        <v>9.0</v>
      </c>
      <c r="F2027" s="112" t="s">
        <v>3024</v>
      </c>
      <c r="G2027" s="1110">
        <v>0.4449652777777778</v>
      </c>
      <c r="H2027" s="1110">
        <v>0.44548611111111114</v>
      </c>
      <c r="I2027" s="1110"/>
      <c r="J2027" s="1111"/>
      <c r="K2027" s="1111">
        <v>0.44947916666666665</v>
      </c>
      <c r="L2027" s="1112">
        <v>0.003993055555555555</v>
      </c>
      <c r="M2027" s="1113" t="s">
        <v>166</v>
      </c>
      <c r="N2027" s="110" t="s">
        <v>187</v>
      </c>
      <c r="O2027" s="1115" t="s">
        <v>204</v>
      </c>
      <c r="P2027" s="1115" t="s">
        <v>271</v>
      </c>
      <c r="Q2027" s="1116"/>
      <c r="R2027" s="120">
        <v>18.3</v>
      </c>
      <c r="S2027" s="1113">
        <v>4.2</v>
      </c>
      <c r="T2027" s="110">
        <v>1.34</v>
      </c>
      <c r="U2027" s="1108">
        <v>0.0075</v>
      </c>
      <c r="V2027" s="1108"/>
      <c r="W2027" s="1108"/>
      <c r="X2027" s="1108"/>
      <c r="Y2027" s="1108"/>
      <c r="Z2027" s="1114" t="s">
        <v>1690</v>
      </c>
      <c r="AA2027" s="1114"/>
      <c r="AB2027" s="1114" t="s">
        <v>371</v>
      </c>
      <c r="AC2027" s="1117">
        <v>1.8</v>
      </c>
      <c r="AD2027" s="1115"/>
      <c r="AE2027" s="1115"/>
      <c r="AF2027" s="1115"/>
      <c r="AG2027" s="1115"/>
      <c r="AH2027" s="1115"/>
      <c r="AI2027" s="1115"/>
      <c r="AJ2027" s="1117"/>
      <c r="AK2027" s="1118"/>
      <c r="AL2027" s="1115"/>
      <c r="AM2027" s="1115"/>
      <c r="AN2027" s="1115"/>
      <c r="AO2027" s="1115"/>
      <c r="AP2027" s="1115"/>
      <c r="AQ2027" s="1115"/>
      <c r="AR2027" s="1115"/>
      <c r="AS2027" s="1117"/>
      <c r="AT2027" s="1196" t="str">
        <f t="shared" si="428"/>
        <v>0-1</v>
      </c>
      <c r="AU2027" s="1193"/>
      <c r="AV2027" s="330">
        <f>SQRT(($R2027-Infrastructure!J$3)^2+($S2027-Infrastructure!K$3)^2)</f>
        <v>30.92005821</v>
      </c>
      <c r="AW2027" s="331">
        <f>SQRT(($R2027-Infrastructure!J$4)^2+($S2027-Infrastructure!K$4)^2)</f>
        <v>23.04170133</v>
      </c>
      <c r="AX2027" s="331">
        <f>SQRT(($R2027-Infrastructure!J$5)^2+($S2027-Infrastructure!K$5)^2)</f>
        <v>18.62176146</v>
      </c>
      <c r="AY2027" s="331">
        <f>SQRT(($R2027-Infrastructure!J$6)^2+($S2027-Infrastructure!K$6)^2)</f>
        <v>9.080198236</v>
      </c>
      <c r="AZ2027" s="331">
        <f>SQRT(($R2027-Infrastructure!J$7)^2+($S2027-Infrastructure!K$7)^2)</f>
        <v>4.477722635</v>
      </c>
      <c r="BA2027" s="331">
        <f>SQRT(($R2027-Infrastructure!J$8)^2+($S2027-Infrastructure!K$8)^2)</f>
        <v>12.42779144</v>
      </c>
      <c r="BB2027" s="331">
        <f>SQRT(($R2027-Infrastructure!J$9)^2+($S2027-Infrastructure!K$9)^2)</f>
        <v>21.71865558</v>
      </c>
      <c r="BC2027" s="331">
        <f>SQRT(($R2027-Infrastructure!J$10)^2+($S2027-Infrastructure!K$10)^2)</f>
        <v>24.23901813</v>
      </c>
      <c r="BD2027" s="331">
        <f>SQRT(($R2027-Infrastructure!J$11)^2+($S2027-Infrastructure!K$11)^2)</f>
        <v>33.08549531</v>
      </c>
      <c r="BE2027" s="333">
        <f>SQRT(($R2027-Infrastructure!J$12)^2+($S2027-Infrastructure!K$12)^2)</f>
        <v>51.39970817</v>
      </c>
      <c r="BF2027" s="330">
        <f t="shared" si="161"/>
        <v>4.477722635</v>
      </c>
      <c r="BG2027" s="333">
        <f t="shared" si="162"/>
        <v>51.39970817</v>
      </c>
      <c r="BH2027" s="1119"/>
      <c r="BI2027" s="319" t="str">
        <f t="shared" ref="BI2027:BR2027" si="905">IF(ISNUMBER(FIND(BI$3, $CO2027)), "Y", "")</f>
        <v/>
      </c>
      <c r="BJ2027" s="319" t="str">
        <f t="shared" si="905"/>
        <v/>
      </c>
      <c r="BK2027" s="319" t="str">
        <f t="shared" si="905"/>
        <v/>
      </c>
      <c r="BL2027" s="319" t="str">
        <f t="shared" si="905"/>
        <v/>
      </c>
      <c r="BM2027" s="319" t="str">
        <f t="shared" si="905"/>
        <v/>
      </c>
      <c r="BN2027" s="319" t="str">
        <f t="shared" si="905"/>
        <v/>
      </c>
      <c r="BO2027" s="319" t="str">
        <f t="shared" si="905"/>
        <v/>
      </c>
      <c r="BP2027" s="319" t="str">
        <f t="shared" si="905"/>
        <v/>
      </c>
      <c r="BQ2027" s="319" t="str">
        <f t="shared" si="905"/>
        <v/>
      </c>
      <c r="BR2027" s="319" t="str">
        <f t="shared" si="905"/>
        <v/>
      </c>
      <c r="BS2027" s="330">
        <f t="shared" si="185"/>
        <v>0</v>
      </c>
      <c r="BT2027" s="331">
        <f t="shared" si="170"/>
        <v>0</v>
      </c>
      <c r="BU2027" s="920"/>
      <c r="BV2027" s="903" t="str">
        <f t="shared" si="186"/>
        <v/>
      </c>
      <c r="BW2027" s="908"/>
      <c r="BX2027" s="908"/>
      <c r="BY2027" s="331" t="b">
        <f t="shared" si="201"/>
        <v>0</v>
      </c>
      <c r="BZ2027" s="331"/>
      <c r="CA2027" s="462" t="str">
        <f t="shared" ref="CA2027:CJ2027" si="906">IF(ISNUMBER(FIND(BI$3, $CP2027)), "Y", "")</f>
        <v/>
      </c>
      <c r="CB2027" s="319" t="str">
        <f t="shared" si="906"/>
        <v/>
      </c>
      <c r="CC2027" s="319" t="str">
        <f t="shared" si="906"/>
        <v/>
      </c>
      <c r="CD2027" s="319" t="str">
        <f t="shared" si="906"/>
        <v/>
      </c>
      <c r="CE2027" s="319" t="str">
        <f t="shared" si="906"/>
        <v/>
      </c>
      <c r="CF2027" s="319" t="str">
        <f t="shared" si="906"/>
        <v/>
      </c>
      <c r="CG2027" s="319" t="str">
        <f t="shared" si="906"/>
        <v/>
      </c>
      <c r="CH2027" s="319" t="str">
        <f t="shared" si="906"/>
        <v/>
      </c>
      <c r="CI2027" s="319" t="str">
        <f t="shared" si="906"/>
        <v/>
      </c>
      <c r="CJ2027" s="319" t="str">
        <f t="shared" si="906"/>
        <v/>
      </c>
      <c r="CK2027" s="342">
        <f t="shared" si="182"/>
        <v>0</v>
      </c>
      <c r="CL2027" s="333">
        <f t="shared" si="183"/>
        <v>0</v>
      </c>
      <c r="CM2027" s="1079" t="s">
        <v>3008</v>
      </c>
      <c r="CN2027" s="1005" t="s">
        <v>3022</v>
      </c>
      <c r="CO2027" s="1005"/>
      <c r="CP2027" s="1005"/>
    </row>
    <row r="2028">
      <c r="A2028" s="266"/>
      <c r="B2028" s="1113" t="s">
        <v>3006</v>
      </c>
      <c r="C2028" s="1107">
        <v>45568.0</v>
      </c>
      <c r="D2028" s="103"/>
      <c r="E2028" s="1108">
        <v>10.0</v>
      </c>
      <c r="F2028" s="112" t="s">
        <v>3025</v>
      </c>
      <c r="G2028" s="1110">
        <v>0.4504050925925926</v>
      </c>
      <c r="H2028" s="1110">
        <v>0.45069444444444445</v>
      </c>
      <c r="I2028" s="1110"/>
      <c r="J2028" s="1111"/>
      <c r="K2028" s="1111">
        <v>0.45231481481481484</v>
      </c>
      <c r="L2028" s="1112">
        <v>0.0016203703703703703</v>
      </c>
      <c r="M2028" s="1113" t="s">
        <v>166</v>
      </c>
      <c r="N2028" s="110" t="s">
        <v>187</v>
      </c>
      <c r="O2028" s="1115" t="s">
        <v>204</v>
      </c>
      <c r="P2028" s="1115" t="s">
        <v>271</v>
      </c>
      <c r="Q2028" s="1116"/>
      <c r="R2028" s="120">
        <v>18.3</v>
      </c>
      <c r="S2028" s="1113">
        <v>4.2</v>
      </c>
      <c r="T2028" s="110">
        <v>1.34</v>
      </c>
      <c r="U2028" s="1108">
        <v>0.005</v>
      </c>
      <c r="V2028" s="1108"/>
      <c r="W2028" s="1108"/>
      <c r="X2028" s="1108"/>
      <c r="Y2028" s="1108"/>
      <c r="Z2028" s="1114" t="s">
        <v>1690</v>
      </c>
      <c r="AA2028" s="1114"/>
      <c r="AB2028" s="1114" t="s">
        <v>371</v>
      </c>
      <c r="AC2028" s="1117">
        <v>1.8</v>
      </c>
      <c r="AD2028" s="1115"/>
      <c r="AE2028" s="1115"/>
      <c r="AF2028" s="1115"/>
      <c r="AG2028" s="1115"/>
      <c r="AH2028" s="1115"/>
      <c r="AI2028" s="1115"/>
      <c r="AJ2028" s="1117"/>
      <c r="AK2028" s="1118"/>
      <c r="AL2028" s="1115"/>
      <c r="AM2028" s="1115"/>
      <c r="AN2028" s="1115"/>
      <c r="AO2028" s="1115"/>
      <c r="AP2028" s="1115"/>
      <c r="AQ2028" s="1115"/>
      <c r="AR2028" s="1115"/>
      <c r="AS2028" s="1117"/>
      <c r="AT2028" s="1196" t="str">
        <f t="shared" si="428"/>
        <v>0-1</v>
      </c>
      <c r="AU2028" s="1193"/>
      <c r="AV2028" s="330">
        <f>SQRT(($R2028-Infrastructure!J$3)^2+($S2028-Infrastructure!K$3)^2)</f>
        <v>30.92005821</v>
      </c>
      <c r="AW2028" s="331">
        <f>SQRT(($R2028-Infrastructure!J$4)^2+($S2028-Infrastructure!K$4)^2)</f>
        <v>23.04170133</v>
      </c>
      <c r="AX2028" s="331">
        <f>SQRT(($R2028-Infrastructure!J$5)^2+($S2028-Infrastructure!K$5)^2)</f>
        <v>18.62176146</v>
      </c>
      <c r="AY2028" s="331">
        <f>SQRT(($R2028-Infrastructure!J$6)^2+($S2028-Infrastructure!K$6)^2)</f>
        <v>9.080198236</v>
      </c>
      <c r="AZ2028" s="331">
        <f>SQRT(($R2028-Infrastructure!J$7)^2+($S2028-Infrastructure!K$7)^2)</f>
        <v>4.477722635</v>
      </c>
      <c r="BA2028" s="331">
        <f>SQRT(($R2028-Infrastructure!J$8)^2+($S2028-Infrastructure!K$8)^2)</f>
        <v>12.42779144</v>
      </c>
      <c r="BB2028" s="331">
        <f>SQRT(($R2028-Infrastructure!J$9)^2+($S2028-Infrastructure!K$9)^2)</f>
        <v>21.71865558</v>
      </c>
      <c r="BC2028" s="331">
        <f>SQRT(($R2028-Infrastructure!J$10)^2+($S2028-Infrastructure!K$10)^2)</f>
        <v>24.23901813</v>
      </c>
      <c r="BD2028" s="331">
        <f>SQRT(($R2028-Infrastructure!J$11)^2+($S2028-Infrastructure!K$11)^2)</f>
        <v>33.08549531</v>
      </c>
      <c r="BE2028" s="333">
        <f>SQRT(($R2028-Infrastructure!J$12)^2+($S2028-Infrastructure!K$12)^2)</f>
        <v>51.39970817</v>
      </c>
      <c r="BF2028" s="330">
        <f t="shared" si="161"/>
        <v>4.477722635</v>
      </c>
      <c r="BG2028" s="333">
        <f t="shared" si="162"/>
        <v>51.39970817</v>
      </c>
      <c r="BH2028" s="1119"/>
      <c r="BI2028" s="319" t="str">
        <f t="shared" ref="BI2028:BR2028" si="907">IF(ISNUMBER(FIND(BI$3, $CO2028)), "Y", "")</f>
        <v/>
      </c>
      <c r="BJ2028" s="319" t="str">
        <f t="shared" si="907"/>
        <v/>
      </c>
      <c r="BK2028" s="319" t="str">
        <f t="shared" si="907"/>
        <v/>
      </c>
      <c r="BL2028" s="319" t="str">
        <f t="shared" si="907"/>
        <v/>
      </c>
      <c r="BM2028" s="319" t="str">
        <f t="shared" si="907"/>
        <v/>
      </c>
      <c r="BN2028" s="319" t="str">
        <f t="shared" si="907"/>
        <v/>
      </c>
      <c r="BO2028" s="319" t="str">
        <f t="shared" si="907"/>
        <v/>
      </c>
      <c r="BP2028" s="319" t="str">
        <f t="shared" si="907"/>
        <v/>
      </c>
      <c r="BQ2028" s="319" t="str">
        <f t="shared" si="907"/>
        <v/>
      </c>
      <c r="BR2028" s="319" t="str">
        <f t="shared" si="907"/>
        <v/>
      </c>
      <c r="BS2028" s="330">
        <f t="shared" si="185"/>
        <v>0</v>
      </c>
      <c r="BT2028" s="331">
        <f t="shared" si="170"/>
        <v>0</v>
      </c>
      <c r="BU2028" s="920"/>
      <c r="BV2028" s="903" t="str">
        <f t="shared" si="186"/>
        <v/>
      </c>
      <c r="BW2028" s="908"/>
      <c r="BX2028" s="908"/>
      <c r="BY2028" s="331" t="b">
        <f t="shared" si="201"/>
        <v>0</v>
      </c>
      <c r="BZ2028" s="331"/>
      <c r="CA2028" s="462" t="str">
        <f t="shared" ref="CA2028:CJ2028" si="908">IF(ISNUMBER(FIND(BI$3, $CP2028)), "Y", "")</f>
        <v/>
      </c>
      <c r="CB2028" s="319" t="str">
        <f t="shared" si="908"/>
        <v/>
      </c>
      <c r="CC2028" s="319" t="str">
        <f t="shared" si="908"/>
        <v/>
      </c>
      <c r="CD2028" s="319" t="str">
        <f t="shared" si="908"/>
        <v/>
      </c>
      <c r="CE2028" s="319" t="str">
        <f t="shared" si="908"/>
        <v/>
      </c>
      <c r="CF2028" s="319" t="str">
        <f t="shared" si="908"/>
        <v/>
      </c>
      <c r="CG2028" s="319" t="str">
        <f t="shared" si="908"/>
        <v/>
      </c>
      <c r="CH2028" s="319" t="str">
        <f t="shared" si="908"/>
        <v/>
      </c>
      <c r="CI2028" s="319" t="str">
        <f t="shared" si="908"/>
        <v/>
      </c>
      <c r="CJ2028" s="319" t="str">
        <f t="shared" si="908"/>
        <v/>
      </c>
      <c r="CK2028" s="342">
        <f t="shared" si="182"/>
        <v>0</v>
      </c>
      <c r="CL2028" s="333">
        <f t="shared" si="183"/>
        <v>0</v>
      </c>
      <c r="CM2028" s="1079" t="s">
        <v>3026</v>
      </c>
      <c r="CN2028" s="1005" t="s">
        <v>3022</v>
      </c>
      <c r="CO2028" s="1005"/>
      <c r="CP2028" s="1005"/>
    </row>
    <row r="2029">
      <c r="A2029" s="266"/>
      <c r="B2029" s="1113" t="s">
        <v>3006</v>
      </c>
      <c r="C2029" s="1107">
        <v>45568.0</v>
      </c>
      <c r="D2029" s="103"/>
      <c r="E2029" s="1108">
        <v>11.0</v>
      </c>
      <c r="F2029" s="112" t="s">
        <v>3027</v>
      </c>
      <c r="G2029" s="1110">
        <v>0.45295138888888886</v>
      </c>
      <c r="H2029" s="1110">
        <v>0.453125</v>
      </c>
      <c r="I2029" s="1110"/>
      <c r="J2029" s="1111"/>
      <c r="K2029" s="1111">
        <v>0.45694444444444443</v>
      </c>
      <c r="L2029" s="1112">
        <v>0.0038194444444444443</v>
      </c>
      <c r="M2029" s="1113" t="s">
        <v>166</v>
      </c>
      <c r="N2029" s="110" t="s">
        <v>187</v>
      </c>
      <c r="O2029" s="1115" t="s">
        <v>204</v>
      </c>
      <c r="P2029" s="1115" t="s">
        <v>271</v>
      </c>
      <c r="Q2029" s="1116"/>
      <c r="R2029" s="120">
        <v>18.3</v>
      </c>
      <c r="S2029" s="1113">
        <v>4.2</v>
      </c>
      <c r="T2029" s="110">
        <v>1.34</v>
      </c>
      <c r="U2029" s="1108">
        <v>0.001</v>
      </c>
      <c r="V2029" s="1108"/>
      <c r="W2029" s="1108"/>
      <c r="X2029" s="1108"/>
      <c r="Y2029" s="1108"/>
      <c r="Z2029" s="1114" t="s">
        <v>1690</v>
      </c>
      <c r="AA2029" s="1114"/>
      <c r="AB2029" s="1114" t="s">
        <v>371</v>
      </c>
      <c r="AC2029" s="1117">
        <v>1.8</v>
      </c>
      <c r="AD2029" s="1115"/>
      <c r="AE2029" s="1115"/>
      <c r="AF2029" s="1115"/>
      <c r="AG2029" s="1115"/>
      <c r="AH2029" s="1115"/>
      <c r="AI2029" s="1115"/>
      <c r="AJ2029" s="1117"/>
      <c r="AK2029" s="1118"/>
      <c r="AL2029" s="1115"/>
      <c r="AM2029" s="1115"/>
      <c r="AN2029" s="1115"/>
      <c r="AO2029" s="1115"/>
      <c r="AP2029" s="1115"/>
      <c r="AQ2029" s="1115"/>
      <c r="AR2029" s="1115"/>
      <c r="AS2029" s="1117"/>
      <c r="AT2029" s="1196" t="str">
        <f t="shared" si="428"/>
        <v>0-1</v>
      </c>
      <c r="AU2029" s="1193"/>
      <c r="AV2029" s="330">
        <f>SQRT(($R2029-Infrastructure!J$3)^2+($S2029-Infrastructure!K$3)^2)</f>
        <v>30.92005821</v>
      </c>
      <c r="AW2029" s="331">
        <f>SQRT(($R2029-Infrastructure!J$4)^2+($S2029-Infrastructure!K$4)^2)</f>
        <v>23.04170133</v>
      </c>
      <c r="AX2029" s="331">
        <f>SQRT(($R2029-Infrastructure!J$5)^2+($S2029-Infrastructure!K$5)^2)</f>
        <v>18.62176146</v>
      </c>
      <c r="AY2029" s="331">
        <f>SQRT(($R2029-Infrastructure!J$6)^2+($S2029-Infrastructure!K$6)^2)</f>
        <v>9.080198236</v>
      </c>
      <c r="AZ2029" s="331">
        <f>SQRT(($R2029-Infrastructure!J$7)^2+($S2029-Infrastructure!K$7)^2)</f>
        <v>4.477722635</v>
      </c>
      <c r="BA2029" s="331">
        <f>SQRT(($R2029-Infrastructure!J$8)^2+($S2029-Infrastructure!K$8)^2)</f>
        <v>12.42779144</v>
      </c>
      <c r="BB2029" s="331">
        <f>SQRT(($R2029-Infrastructure!J$9)^2+($S2029-Infrastructure!K$9)^2)</f>
        <v>21.71865558</v>
      </c>
      <c r="BC2029" s="331">
        <f>SQRT(($R2029-Infrastructure!J$10)^2+($S2029-Infrastructure!K$10)^2)</f>
        <v>24.23901813</v>
      </c>
      <c r="BD2029" s="331">
        <f>SQRT(($R2029-Infrastructure!J$11)^2+($S2029-Infrastructure!K$11)^2)</f>
        <v>33.08549531</v>
      </c>
      <c r="BE2029" s="333">
        <f>SQRT(($R2029-Infrastructure!J$12)^2+($S2029-Infrastructure!K$12)^2)</f>
        <v>51.39970817</v>
      </c>
      <c r="BF2029" s="330">
        <f t="shared" si="161"/>
        <v>4.477722635</v>
      </c>
      <c r="BG2029" s="333">
        <f t="shared" si="162"/>
        <v>51.39970817</v>
      </c>
      <c r="BH2029" s="1119"/>
      <c r="BI2029" s="319" t="str">
        <f t="shared" ref="BI2029:BR2029" si="909">IF(ISNUMBER(FIND(BI$3, $CO2029)), "Y", "")</f>
        <v/>
      </c>
      <c r="BJ2029" s="319" t="str">
        <f t="shared" si="909"/>
        <v/>
      </c>
      <c r="BK2029" s="319" t="str">
        <f t="shared" si="909"/>
        <v/>
      </c>
      <c r="BL2029" s="319" t="str">
        <f t="shared" si="909"/>
        <v/>
      </c>
      <c r="BM2029" s="319" t="str">
        <f t="shared" si="909"/>
        <v/>
      </c>
      <c r="BN2029" s="319" t="str">
        <f t="shared" si="909"/>
        <v/>
      </c>
      <c r="BO2029" s="319" t="str">
        <f t="shared" si="909"/>
        <v/>
      </c>
      <c r="BP2029" s="319" t="str">
        <f t="shared" si="909"/>
        <v/>
      </c>
      <c r="BQ2029" s="319" t="str">
        <f t="shared" si="909"/>
        <v/>
      </c>
      <c r="BR2029" s="319" t="str">
        <f t="shared" si="909"/>
        <v/>
      </c>
      <c r="BS2029" s="330">
        <f t="shared" si="185"/>
        <v>0</v>
      </c>
      <c r="BT2029" s="331">
        <f t="shared" si="170"/>
        <v>0</v>
      </c>
      <c r="BU2029" s="920"/>
      <c r="BV2029" s="903" t="str">
        <f t="shared" si="186"/>
        <v/>
      </c>
      <c r="BW2029" s="908"/>
      <c r="BX2029" s="908"/>
      <c r="BY2029" s="331" t="b">
        <f t="shared" si="201"/>
        <v>0</v>
      </c>
      <c r="BZ2029" s="331"/>
      <c r="CA2029" s="462" t="str">
        <f t="shared" ref="CA2029:CJ2029" si="910">IF(ISNUMBER(FIND(BI$3, $CP2029)), "Y", "")</f>
        <v/>
      </c>
      <c r="CB2029" s="319" t="str">
        <f t="shared" si="910"/>
        <v/>
      </c>
      <c r="CC2029" s="319" t="str">
        <f t="shared" si="910"/>
        <v/>
      </c>
      <c r="CD2029" s="319" t="str">
        <f t="shared" si="910"/>
        <v/>
      </c>
      <c r="CE2029" s="319" t="str">
        <f t="shared" si="910"/>
        <v/>
      </c>
      <c r="CF2029" s="319" t="str">
        <f t="shared" si="910"/>
        <v/>
      </c>
      <c r="CG2029" s="319" t="str">
        <f t="shared" si="910"/>
        <v/>
      </c>
      <c r="CH2029" s="319" t="str">
        <f t="shared" si="910"/>
        <v/>
      </c>
      <c r="CI2029" s="319" t="str">
        <f t="shared" si="910"/>
        <v/>
      </c>
      <c r="CJ2029" s="319" t="str">
        <f t="shared" si="910"/>
        <v/>
      </c>
      <c r="CK2029" s="342">
        <f t="shared" si="182"/>
        <v>0</v>
      </c>
      <c r="CL2029" s="333">
        <f t="shared" si="183"/>
        <v>0</v>
      </c>
      <c r="CM2029" s="1079" t="s">
        <v>3028</v>
      </c>
      <c r="CN2029" s="1005" t="s">
        <v>3022</v>
      </c>
      <c r="CO2029" s="1005"/>
      <c r="CP2029" s="1005"/>
    </row>
    <row r="2030">
      <c r="A2030" s="266"/>
      <c r="B2030" s="1113" t="s">
        <v>3006</v>
      </c>
      <c r="C2030" s="1107">
        <v>45568.0</v>
      </c>
      <c r="D2030" s="103"/>
      <c r="E2030" s="1108">
        <v>12.0</v>
      </c>
      <c r="F2030" s="112" t="s">
        <v>3029</v>
      </c>
      <c r="G2030" s="1110">
        <v>0.4595486111111111</v>
      </c>
      <c r="H2030" s="1110">
        <v>0.4597222222222222</v>
      </c>
      <c r="I2030" s="1110"/>
      <c r="J2030" s="1111"/>
      <c r="K2030" s="1111">
        <v>0.465625</v>
      </c>
      <c r="L2030" s="1112">
        <v>0.005902777777777778</v>
      </c>
      <c r="M2030" s="1113" t="s">
        <v>166</v>
      </c>
      <c r="N2030" s="110" t="s">
        <v>187</v>
      </c>
      <c r="O2030" s="1115" t="s">
        <v>204</v>
      </c>
      <c r="P2030" s="1115" t="s">
        <v>271</v>
      </c>
      <c r="Q2030" s="1116"/>
      <c r="R2030" s="120">
        <v>18.3</v>
      </c>
      <c r="S2030" s="1113">
        <v>4.2</v>
      </c>
      <c r="T2030" s="110">
        <v>1.34</v>
      </c>
      <c r="U2030" s="1108">
        <v>7.5E-4</v>
      </c>
      <c r="V2030" s="1108"/>
      <c r="W2030" s="1108"/>
      <c r="X2030" s="1108"/>
      <c r="Y2030" s="1108"/>
      <c r="Z2030" s="1114" t="s">
        <v>1690</v>
      </c>
      <c r="AA2030" s="1114"/>
      <c r="AB2030" s="1114" t="s">
        <v>371</v>
      </c>
      <c r="AC2030" s="1117">
        <v>1.8</v>
      </c>
      <c r="AD2030" s="1115"/>
      <c r="AE2030" s="1115"/>
      <c r="AF2030" s="1115"/>
      <c r="AG2030" s="1115"/>
      <c r="AH2030" s="1115"/>
      <c r="AI2030" s="1115"/>
      <c r="AJ2030" s="1117"/>
      <c r="AK2030" s="1118"/>
      <c r="AL2030" s="1115"/>
      <c r="AM2030" s="1115"/>
      <c r="AN2030" s="1115"/>
      <c r="AO2030" s="1115"/>
      <c r="AP2030" s="1115"/>
      <c r="AQ2030" s="1115"/>
      <c r="AR2030" s="1115"/>
      <c r="AS2030" s="1117"/>
      <c r="AT2030" s="1196" t="str">
        <f t="shared" si="428"/>
        <v>0-1</v>
      </c>
      <c r="AU2030" s="1193"/>
      <c r="AV2030" s="330">
        <f>SQRT(($R2030-Infrastructure!J$3)^2+($S2030-Infrastructure!K$3)^2)</f>
        <v>30.92005821</v>
      </c>
      <c r="AW2030" s="331">
        <f>SQRT(($R2030-Infrastructure!J$4)^2+($S2030-Infrastructure!K$4)^2)</f>
        <v>23.04170133</v>
      </c>
      <c r="AX2030" s="331">
        <f>SQRT(($R2030-Infrastructure!J$5)^2+($S2030-Infrastructure!K$5)^2)</f>
        <v>18.62176146</v>
      </c>
      <c r="AY2030" s="331">
        <f>SQRT(($R2030-Infrastructure!J$6)^2+($S2030-Infrastructure!K$6)^2)</f>
        <v>9.080198236</v>
      </c>
      <c r="AZ2030" s="331">
        <f>SQRT(($R2030-Infrastructure!J$7)^2+($S2030-Infrastructure!K$7)^2)</f>
        <v>4.477722635</v>
      </c>
      <c r="BA2030" s="331">
        <f>SQRT(($R2030-Infrastructure!J$8)^2+($S2030-Infrastructure!K$8)^2)</f>
        <v>12.42779144</v>
      </c>
      <c r="BB2030" s="331">
        <f>SQRT(($R2030-Infrastructure!J$9)^2+($S2030-Infrastructure!K$9)^2)</f>
        <v>21.71865558</v>
      </c>
      <c r="BC2030" s="331">
        <f>SQRT(($R2030-Infrastructure!J$10)^2+($S2030-Infrastructure!K$10)^2)</f>
        <v>24.23901813</v>
      </c>
      <c r="BD2030" s="331">
        <f>SQRT(($R2030-Infrastructure!J$11)^2+($S2030-Infrastructure!K$11)^2)</f>
        <v>33.08549531</v>
      </c>
      <c r="BE2030" s="333">
        <f>SQRT(($R2030-Infrastructure!J$12)^2+($S2030-Infrastructure!K$12)^2)</f>
        <v>51.39970817</v>
      </c>
      <c r="BF2030" s="330">
        <f t="shared" si="161"/>
        <v>4.477722635</v>
      </c>
      <c r="BG2030" s="333">
        <f t="shared" si="162"/>
        <v>51.39970817</v>
      </c>
      <c r="BH2030" s="1119"/>
      <c r="BI2030" s="319" t="str">
        <f t="shared" ref="BI2030:BR2030" si="911">IF(ISNUMBER(FIND(BI$3, $CO2030)), "Y", "")</f>
        <v/>
      </c>
      <c r="BJ2030" s="319" t="str">
        <f t="shared" si="911"/>
        <v/>
      </c>
      <c r="BK2030" s="319" t="str">
        <f t="shared" si="911"/>
        <v/>
      </c>
      <c r="BL2030" s="319" t="str">
        <f t="shared" si="911"/>
        <v/>
      </c>
      <c r="BM2030" s="319" t="str">
        <f t="shared" si="911"/>
        <v/>
      </c>
      <c r="BN2030" s="319" t="str">
        <f t="shared" si="911"/>
        <v/>
      </c>
      <c r="BO2030" s="319" t="str">
        <f t="shared" si="911"/>
        <v/>
      </c>
      <c r="BP2030" s="319" t="str">
        <f t="shared" si="911"/>
        <v/>
      </c>
      <c r="BQ2030" s="319" t="str">
        <f t="shared" si="911"/>
        <v/>
      </c>
      <c r="BR2030" s="319" t="str">
        <f t="shared" si="911"/>
        <v/>
      </c>
      <c r="BS2030" s="330">
        <f t="shared" si="185"/>
        <v>0</v>
      </c>
      <c r="BT2030" s="331">
        <f t="shared" si="170"/>
        <v>0</v>
      </c>
      <c r="BU2030" s="920"/>
      <c r="BV2030" s="903" t="str">
        <f t="shared" si="186"/>
        <v/>
      </c>
      <c r="BW2030" s="908"/>
      <c r="BX2030" s="908"/>
      <c r="BY2030" s="331" t="b">
        <f t="shared" si="201"/>
        <v>0</v>
      </c>
      <c r="BZ2030" s="331"/>
      <c r="CA2030" s="462" t="str">
        <f t="shared" ref="CA2030:CJ2030" si="912">IF(ISNUMBER(FIND(BI$3, $CP2030)), "Y", "")</f>
        <v/>
      </c>
      <c r="CB2030" s="319" t="str">
        <f t="shared" si="912"/>
        <v/>
      </c>
      <c r="CC2030" s="319" t="str">
        <f t="shared" si="912"/>
        <v/>
      </c>
      <c r="CD2030" s="319" t="str">
        <f t="shared" si="912"/>
        <v/>
      </c>
      <c r="CE2030" s="319" t="str">
        <f t="shared" si="912"/>
        <v/>
      </c>
      <c r="CF2030" s="319" t="str">
        <f t="shared" si="912"/>
        <v/>
      </c>
      <c r="CG2030" s="319" t="str">
        <f t="shared" si="912"/>
        <v/>
      </c>
      <c r="CH2030" s="319" t="str">
        <f t="shared" si="912"/>
        <v/>
      </c>
      <c r="CI2030" s="319" t="str">
        <f t="shared" si="912"/>
        <v/>
      </c>
      <c r="CJ2030" s="319" t="str">
        <f t="shared" si="912"/>
        <v/>
      </c>
      <c r="CK2030" s="342">
        <f t="shared" si="182"/>
        <v>0</v>
      </c>
      <c r="CL2030" s="333">
        <f t="shared" si="183"/>
        <v>0</v>
      </c>
      <c r="CM2030" s="1079" t="s">
        <v>3028</v>
      </c>
      <c r="CN2030" s="1005" t="s">
        <v>3022</v>
      </c>
      <c r="CO2030" s="1005"/>
      <c r="CP2030" s="1005"/>
    </row>
    <row r="2031">
      <c r="A2031" s="266"/>
      <c r="B2031" s="1113" t="s">
        <v>3006</v>
      </c>
      <c r="C2031" s="1107">
        <v>45568.0</v>
      </c>
      <c r="D2031" s="103"/>
      <c r="E2031" s="1108">
        <v>13.0</v>
      </c>
      <c r="F2031" s="112" t="s">
        <v>3030</v>
      </c>
      <c r="G2031" s="1110">
        <v>0.46608796296296295</v>
      </c>
      <c r="H2031" s="1110">
        <v>0.46631944444444445</v>
      </c>
      <c r="I2031" s="1110"/>
      <c r="J2031" s="1111"/>
      <c r="K2031" s="1111">
        <v>0.47019675925925924</v>
      </c>
      <c r="L2031" s="1112">
        <v>0.0038773148148148148</v>
      </c>
      <c r="M2031" s="1113" t="s">
        <v>166</v>
      </c>
      <c r="N2031" s="110" t="s">
        <v>187</v>
      </c>
      <c r="O2031" s="1115" t="s">
        <v>204</v>
      </c>
      <c r="P2031" s="1115" t="s">
        <v>271</v>
      </c>
      <c r="Q2031" s="1116"/>
      <c r="R2031" s="120">
        <v>18.3</v>
      </c>
      <c r="S2031" s="1113">
        <v>4.2</v>
      </c>
      <c r="T2031" s="110">
        <v>1.24</v>
      </c>
      <c r="U2031" s="1108">
        <v>5.0E-4</v>
      </c>
      <c r="V2031" s="1108"/>
      <c r="W2031" s="1108"/>
      <c r="X2031" s="1108"/>
      <c r="Y2031" s="1108"/>
      <c r="Z2031" s="1114" t="s">
        <v>1690</v>
      </c>
      <c r="AA2031" s="1114"/>
      <c r="AB2031" s="1114" t="s">
        <v>371</v>
      </c>
      <c r="AC2031" s="1117">
        <v>1.8</v>
      </c>
      <c r="AD2031" s="1115"/>
      <c r="AE2031" s="1115"/>
      <c r="AF2031" s="1115"/>
      <c r="AG2031" s="1115"/>
      <c r="AH2031" s="1115"/>
      <c r="AI2031" s="1115"/>
      <c r="AJ2031" s="1117"/>
      <c r="AK2031" s="1118"/>
      <c r="AL2031" s="1115"/>
      <c r="AM2031" s="1115"/>
      <c r="AN2031" s="1115"/>
      <c r="AO2031" s="1115"/>
      <c r="AP2031" s="1115"/>
      <c r="AQ2031" s="1115"/>
      <c r="AR2031" s="1115"/>
      <c r="AS2031" s="1117"/>
      <c r="AT2031" s="1196" t="str">
        <f t="shared" si="428"/>
        <v>0-1</v>
      </c>
      <c r="AU2031" s="1193"/>
      <c r="AV2031" s="330">
        <f>SQRT(($R2031-Infrastructure!J$3)^2+($S2031-Infrastructure!K$3)^2)</f>
        <v>30.92005821</v>
      </c>
      <c r="AW2031" s="331">
        <f>SQRT(($R2031-Infrastructure!J$4)^2+($S2031-Infrastructure!K$4)^2)</f>
        <v>23.04170133</v>
      </c>
      <c r="AX2031" s="331">
        <f>SQRT(($R2031-Infrastructure!J$5)^2+($S2031-Infrastructure!K$5)^2)</f>
        <v>18.62176146</v>
      </c>
      <c r="AY2031" s="331">
        <f>SQRT(($R2031-Infrastructure!J$6)^2+($S2031-Infrastructure!K$6)^2)</f>
        <v>9.080198236</v>
      </c>
      <c r="AZ2031" s="331">
        <f>SQRT(($R2031-Infrastructure!J$7)^2+($S2031-Infrastructure!K$7)^2)</f>
        <v>4.477722635</v>
      </c>
      <c r="BA2031" s="331">
        <f>SQRT(($R2031-Infrastructure!J$8)^2+($S2031-Infrastructure!K$8)^2)</f>
        <v>12.42779144</v>
      </c>
      <c r="BB2031" s="331">
        <f>SQRT(($R2031-Infrastructure!J$9)^2+($S2031-Infrastructure!K$9)^2)</f>
        <v>21.71865558</v>
      </c>
      <c r="BC2031" s="331">
        <f>SQRT(($R2031-Infrastructure!J$10)^2+($S2031-Infrastructure!K$10)^2)</f>
        <v>24.23901813</v>
      </c>
      <c r="BD2031" s="331">
        <f>SQRT(($R2031-Infrastructure!J$11)^2+($S2031-Infrastructure!K$11)^2)</f>
        <v>33.08549531</v>
      </c>
      <c r="BE2031" s="333">
        <f>SQRT(($R2031-Infrastructure!J$12)^2+($S2031-Infrastructure!K$12)^2)</f>
        <v>51.39970817</v>
      </c>
      <c r="BF2031" s="330">
        <f t="shared" si="161"/>
        <v>4.477722635</v>
      </c>
      <c r="BG2031" s="333">
        <f t="shared" si="162"/>
        <v>51.39970817</v>
      </c>
      <c r="BH2031" s="1119"/>
      <c r="BI2031" s="319" t="str">
        <f t="shared" ref="BI2031:BR2031" si="913">IF(ISNUMBER(FIND(BI$3, $CO2031)), "Y", "")</f>
        <v/>
      </c>
      <c r="BJ2031" s="319" t="str">
        <f t="shared" si="913"/>
        <v/>
      </c>
      <c r="BK2031" s="319" t="str">
        <f t="shared" si="913"/>
        <v/>
      </c>
      <c r="BL2031" s="319" t="str">
        <f t="shared" si="913"/>
        <v/>
      </c>
      <c r="BM2031" s="319" t="str">
        <f t="shared" si="913"/>
        <v/>
      </c>
      <c r="BN2031" s="319" t="str">
        <f t="shared" si="913"/>
        <v/>
      </c>
      <c r="BO2031" s="319" t="str">
        <f t="shared" si="913"/>
        <v/>
      </c>
      <c r="BP2031" s="319" t="str">
        <f t="shared" si="913"/>
        <v/>
      </c>
      <c r="BQ2031" s="319" t="str">
        <f t="shared" si="913"/>
        <v/>
      </c>
      <c r="BR2031" s="319" t="str">
        <f t="shared" si="913"/>
        <v/>
      </c>
      <c r="BS2031" s="330">
        <f t="shared" si="185"/>
        <v>0</v>
      </c>
      <c r="BT2031" s="331">
        <f t="shared" si="170"/>
        <v>0</v>
      </c>
      <c r="BU2031" s="920"/>
      <c r="BV2031" s="903" t="str">
        <f t="shared" si="186"/>
        <v/>
      </c>
      <c r="BW2031" s="908"/>
      <c r="BX2031" s="908"/>
      <c r="BY2031" s="331" t="b">
        <f t="shared" si="201"/>
        <v>0</v>
      </c>
      <c r="BZ2031" s="331"/>
      <c r="CA2031" s="462" t="str">
        <f t="shared" ref="CA2031:CJ2031" si="914">IF(ISNUMBER(FIND(BI$3, $CP2031)), "Y", "")</f>
        <v/>
      </c>
      <c r="CB2031" s="319" t="str">
        <f t="shared" si="914"/>
        <v/>
      </c>
      <c r="CC2031" s="319" t="str">
        <f t="shared" si="914"/>
        <v/>
      </c>
      <c r="CD2031" s="319" t="str">
        <f t="shared" si="914"/>
        <v/>
      </c>
      <c r="CE2031" s="319" t="str">
        <f t="shared" si="914"/>
        <v/>
      </c>
      <c r="CF2031" s="319" t="str">
        <f t="shared" si="914"/>
        <v/>
      </c>
      <c r="CG2031" s="319" t="str">
        <f t="shared" si="914"/>
        <v/>
      </c>
      <c r="CH2031" s="319" t="str">
        <f t="shared" si="914"/>
        <v/>
      </c>
      <c r="CI2031" s="319" t="str">
        <f t="shared" si="914"/>
        <v/>
      </c>
      <c r="CJ2031" s="319" t="str">
        <f t="shared" si="914"/>
        <v/>
      </c>
      <c r="CK2031" s="342">
        <f t="shared" si="182"/>
        <v>0</v>
      </c>
      <c r="CL2031" s="333">
        <f t="shared" si="183"/>
        <v>0</v>
      </c>
      <c r="CM2031" s="1079" t="s">
        <v>3031</v>
      </c>
      <c r="CN2031" s="1005" t="s">
        <v>3022</v>
      </c>
      <c r="CO2031" s="1005"/>
      <c r="CP2031" s="1005"/>
    </row>
    <row r="2032">
      <c r="A2032" s="266"/>
      <c r="B2032" s="1113" t="s">
        <v>3006</v>
      </c>
      <c r="C2032" s="1107">
        <v>45568.0</v>
      </c>
      <c r="D2032" s="103"/>
      <c r="E2032" s="1108">
        <v>14.0</v>
      </c>
      <c r="F2032" s="112" t="s">
        <v>3032</v>
      </c>
      <c r="G2032" s="1110">
        <v>0.4707175925925926</v>
      </c>
      <c r="H2032" s="1110">
        <v>0.47118055555555555</v>
      </c>
      <c r="I2032" s="1110"/>
      <c r="J2032" s="1111"/>
      <c r="K2032" s="1111">
        <v>0.47465277777777776</v>
      </c>
      <c r="L2032" s="1112">
        <v>0.003472222222222222</v>
      </c>
      <c r="M2032" s="1113" t="s">
        <v>166</v>
      </c>
      <c r="N2032" s="110" t="s">
        <v>187</v>
      </c>
      <c r="O2032" s="1115" t="s">
        <v>204</v>
      </c>
      <c r="P2032" s="1115" t="s">
        <v>271</v>
      </c>
      <c r="Q2032" s="1116"/>
      <c r="R2032" s="120">
        <v>18.3</v>
      </c>
      <c r="S2032" s="1113">
        <v>4.2</v>
      </c>
      <c r="T2032" s="110">
        <v>1.24</v>
      </c>
      <c r="U2032" s="1108">
        <v>1.0E-4</v>
      </c>
      <c r="V2032" s="1108"/>
      <c r="W2032" s="1108"/>
      <c r="X2032" s="1108"/>
      <c r="Y2032" s="1108"/>
      <c r="Z2032" s="1114" t="s">
        <v>1690</v>
      </c>
      <c r="AA2032" s="1114"/>
      <c r="AB2032" s="1114" t="s">
        <v>371</v>
      </c>
      <c r="AC2032" s="1117">
        <v>1.8</v>
      </c>
      <c r="AD2032" s="1115"/>
      <c r="AE2032" s="1115"/>
      <c r="AF2032" s="1115"/>
      <c r="AG2032" s="1115"/>
      <c r="AH2032" s="1115"/>
      <c r="AI2032" s="1115"/>
      <c r="AJ2032" s="1117"/>
      <c r="AK2032" s="1118"/>
      <c r="AL2032" s="1115"/>
      <c r="AM2032" s="1115"/>
      <c r="AN2032" s="1115"/>
      <c r="AO2032" s="1115"/>
      <c r="AP2032" s="1115"/>
      <c r="AQ2032" s="1115"/>
      <c r="AR2032" s="1115"/>
      <c r="AS2032" s="1117"/>
      <c r="AT2032" s="1196" t="str">
        <f t="shared" si="428"/>
        <v>0-1</v>
      </c>
      <c r="AU2032" s="1193"/>
      <c r="AV2032" s="330">
        <f>SQRT(($R2032-Infrastructure!J$3)^2+($S2032-Infrastructure!K$3)^2)</f>
        <v>30.92005821</v>
      </c>
      <c r="AW2032" s="331">
        <f>SQRT(($R2032-Infrastructure!J$4)^2+($S2032-Infrastructure!K$4)^2)</f>
        <v>23.04170133</v>
      </c>
      <c r="AX2032" s="331">
        <f>SQRT(($R2032-Infrastructure!J$5)^2+($S2032-Infrastructure!K$5)^2)</f>
        <v>18.62176146</v>
      </c>
      <c r="AY2032" s="331">
        <f>SQRT(($R2032-Infrastructure!J$6)^2+($S2032-Infrastructure!K$6)^2)</f>
        <v>9.080198236</v>
      </c>
      <c r="AZ2032" s="331">
        <f>SQRT(($R2032-Infrastructure!J$7)^2+($S2032-Infrastructure!K$7)^2)</f>
        <v>4.477722635</v>
      </c>
      <c r="BA2032" s="331">
        <f>SQRT(($R2032-Infrastructure!J$8)^2+($S2032-Infrastructure!K$8)^2)</f>
        <v>12.42779144</v>
      </c>
      <c r="BB2032" s="331">
        <f>SQRT(($R2032-Infrastructure!J$9)^2+($S2032-Infrastructure!K$9)^2)</f>
        <v>21.71865558</v>
      </c>
      <c r="BC2032" s="331">
        <f>SQRT(($R2032-Infrastructure!J$10)^2+($S2032-Infrastructure!K$10)^2)</f>
        <v>24.23901813</v>
      </c>
      <c r="BD2032" s="331">
        <f>SQRT(($R2032-Infrastructure!J$11)^2+($S2032-Infrastructure!K$11)^2)</f>
        <v>33.08549531</v>
      </c>
      <c r="BE2032" s="333">
        <f>SQRT(($R2032-Infrastructure!J$12)^2+($S2032-Infrastructure!K$12)^2)</f>
        <v>51.39970817</v>
      </c>
      <c r="BF2032" s="330">
        <f t="shared" si="161"/>
        <v>4.477722635</v>
      </c>
      <c r="BG2032" s="333">
        <f t="shared" si="162"/>
        <v>51.39970817</v>
      </c>
      <c r="BH2032" s="1119"/>
      <c r="BI2032" s="319" t="str">
        <f t="shared" ref="BI2032:BR2032" si="915">IF(ISNUMBER(FIND(BI$3, $CO2032)), "Y", "")</f>
        <v/>
      </c>
      <c r="BJ2032" s="319" t="str">
        <f t="shared" si="915"/>
        <v/>
      </c>
      <c r="BK2032" s="319" t="str">
        <f t="shared" si="915"/>
        <v/>
      </c>
      <c r="BL2032" s="319" t="str">
        <f t="shared" si="915"/>
        <v/>
      </c>
      <c r="BM2032" s="319" t="str">
        <f t="shared" si="915"/>
        <v/>
      </c>
      <c r="BN2032" s="319" t="str">
        <f t="shared" si="915"/>
        <v/>
      </c>
      <c r="BO2032" s="319" t="str">
        <f t="shared" si="915"/>
        <v/>
      </c>
      <c r="BP2032" s="319" t="str">
        <f t="shared" si="915"/>
        <v/>
      </c>
      <c r="BQ2032" s="319" t="str">
        <f t="shared" si="915"/>
        <v/>
      </c>
      <c r="BR2032" s="319" t="str">
        <f t="shared" si="915"/>
        <v/>
      </c>
      <c r="BS2032" s="330">
        <f t="shared" si="185"/>
        <v>0</v>
      </c>
      <c r="BT2032" s="331">
        <f t="shared" si="170"/>
        <v>0</v>
      </c>
      <c r="BU2032" s="920"/>
      <c r="BV2032" s="903" t="str">
        <f t="shared" si="186"/>
        <v/>
      </c>
      <c r="BW2032" s="908"/>
      <c r="BX2032" s="908"/>
      <c r="BY2032" s="331" t="b">
        <f t="shared" si="201"/>
        <v>0</v>
      </c>
      <c r="BZ2032" s="331"/>
      <c r="CA2032" s="462" t="str">
        <f t="shared" ref="CA2032:CJ2032" si="916">IF(ISNUMBER(FIND(BI$3, $CP2032)), "Y", "")</f>
        <v/>
      </c>
      <c r="CB2032" s="319" t="str">
        <f t="shared" si="916"/>
        <v/>
      </c>
      <c r="CC2032" s="319" t="str">
        <f t="shared" si="916"/>
        <v/>
      </c>
      <c r="CD2032" s="319" t="str">
        <f t="shared" si="916"/>
        <v/>
      </c>
      <c r="CE2032" s="319" t="str">
        <f t="shared" si="916"/>
        <v/>
      </c>
      <c r="CF2032" s="319" t="str">
        <f t="shared" si="916"/>
        <v/>
      </c>
      <c r="CG2032" s="319" t="str">
        <f t="shared" si="916"/>
        <v/>
      </c>
      <c r="CH2032" s="319" t="str">
        <f t="shared" si="916"/>
        <v/>
      </c>
      <c r="CI2032" s="319" t="str">
        <f t="shared" si="916"/>
        <v/>
      </c>
      <c r="CJ2032" s="319" t="str">
        <f t="shared" si="916"/>
        <v/>
      </c>
      <c r="CK2032" s="342">
        <f t="shared" si="182"/>
        <v>0</v>
      </c>
      <c r="CL2032" s="333">
        <f t="shared" si="183"/>
        <v>0</v>
      </c>
      <c r="CM2032" s="1079" t="s">
        <v>3031</v>
      </c>
      <c r="CN2032" s="1005" t="s">
        <v>3022</v>
      </c>
      <c r="CO2032" s="1005"/>
      <c r="CP2032" s="1005"/>
    </row>
    <row r="2033">
      <c r="A2033" s="266"/>
      <c r="B2033" s="1113" t="s">
        <v>3006</v>
      </c>
      <c r="C2033" s="1107">
        <v>45568.0</v>
      </c>
      <c r="D2033" s="103"/>
      <c r="E2033" s="1108">
        <v>15.0</v>
      </c>
      <c r="F2033" s="112" t="s">
        <v>3033</v>
      </c>
      <c r="G2033" s="1110">
        <v>0.5372685185185185</v>
      </c>
      <c r="H2033" s="1110">
        <v>0.5376736111111111</v>
      </c>
      <c r="I2033" s="1110"/>
      <c r="J2033" s="1111"/>
      <c r="K2033" s="1111">
        <v>0.5777777777777777</v>
      </c>
      <c r="L2033" s="1112">
        <v>0.04010416666666667</v>
      </c>
      <c r="M2033" s="1113" t="s">
        <v>166</v>
      </c>
      <c r="N2033" s="110" t="s">
        <v>187</v>
      </c>
      <c r="O2033" s="1115" t="s">
        <v>197</v>
      </c>
      <c r="P2033" s="1115" t="s">
        <v>272</v>
      </c>
      <c r="Q2033" s="1116"/>
      <c r="R2033" s="120">
        <v>37.1</v>
      </c>
      <c r="S2033" s="1113">
        <v>6.9</v>
      </c>
      <c r="T2033" s="110">
        <v>6.5</v>
      </c>
      <c r="U2033" s="1108">
        <v>1.2</v>
      </c>
      <c r="V2033" s="1108"/>
      <c r="W2033" s="1108"/>
      <c r="X2033" s="1108"/>
      <c r="Y2033" s="1108"/>
      <c r="Z2033" s="1114" t="s">
        <v>379</v>
      </c>
      <c r="AA2033" s="1114"/>
      <c r="AB2033" s="1114" t="s">
        <v>392</v>
      </c>
      <c r="AC2033" s="1117">
        <v>10.0</v>
      </c>
      <c r="AD2033" s="1115"/>
      <c r="AE2033" s="1115"/>
      <c r="AF2033" s="1115"/>
      <c r="AG2033" s="1115"/>
      <c r="AH2033" s="1115"/>
      <c r="AI2033" s="1115"/>
      <c r="AJ2033" s="1117"/>
      <c r="AK2033" s="1118"/>
      <c r="AL2033" s="1115"/>
      <c r="AM2033" s="1115"/>
      <c r="AN2033" s="1115"/>
      <c r="AO2033" s="1115"/>
      <c r="AP2033" s="1115"/>
      <c r="AQ2033" s="1115"/>
      <c r="AR2033" s="1115"/>
      <c r="AS2033" s="1117"/>
      <c r="AT2033" s="1196" t="str">
        <f t="shared" si="428"/>
        <v>1-10</v>
      </c>
      <c r="AU2033" s="1193"/>
      <c r="AV2033" s="330">
        <f>SQRT(($R2033-Infrastructure!J$3)^2+($S2033-Infrastructure!K$3)^2)</f>
        <v>43.39078243</v>
      </c>
      <c r="AW2033" s="331">
        <f>SQRT(($R2033-Infrastructure!J$4)^2+($S2033-Infrastructure!K$4)^2)</f>
        <v>38.95600082</v>
      </c>
      <c r="AX2033" s="331">
        <f>SQRT(($R2033-Infrastructure!J$5)^2+($S2033-Infrastructure!K$5)^2)</f>
        <v>37.44329045</v>
      </c>
      <c r="AY2033" s="331">
        <f>SQRT(($R2033-Infrastructure!J$6)^2+($S2033-Infrastructure!K$6)^2)</f>
        <v>27.79496357</v>
      </c>
      <c r="AZ2033" s="331">
        <f>SQRT(($R2033-Infrastructure!J$7)^2+($S2033-Infrastructure!K$7)^2)</f>
        <v>17.86393014</v>
      </c>
      <c r="BA2033" s="331">
        <f>SQRT(($R2033-Infrastructure!J$8)^2+($S2033-Infrastructure!K$8)^2)</f>
        <v>9.620810777</v>
      </c>
      <c r="BB2033" s="331">
        <f>SQRT(($R2033-Infrastructure!J$9)^2+($S2033-Infrastructure!K$9)^2)</f>
        <v>3.413209633</v>
      </c>
      <c r="BC2033" s="331">
        <f>SQRT(($R2033-Infrastructure!J$10)^2+($S2033-Infrastructure!K$10)^2)</f>
        <v>8.603487665</v>
      </c>
      <c r="BD2033" s="331">
        <f>SQRT(($R2033-Infrastructure!J$11)^2+($S2033-Infrastructure!K$11)^2)</f>
        <v>22.31636171</v>
      </c>
      <c r="BE2033" s="333">
        <f>SQRT(($R2033-Infrastructure!J$12)^2+($S2033-Infrastructure!K$12)^2)</f>
        <v>51.04233537</v>
      </c>
      <c r="BF2033" s="330">
        <f t="shared" si="161"/>
        <v>3.413209633</v>
      </c>
      <c r="BG2033" s="333">
        <f t="shared" si="162"/>
        <v>51.04233537</v>
      </c>
      <c r="BH2033" s="1119"/>
      <c r="BI2033" s="319" t="str">
        <f t="shared" ref="BI2033:BR2033" si="917">IF(ISNUMBER(FIND(BI$3, $CO2033)), "Y", "")</f>
        <v/>
      </c>
      <c r="BJ2033" s="319" t="str">
        <f t="shared" si="917"/>
        <v/>
      </c>
      <c r="BK2033" s="319" t="str">
        <f t="shared" si="917"/>
        <v>Y</v>
      </c>
      <c r="BL2033" s="319" t="str">
        <f t="shared" si="917"/>
        <v/>
      </c>
      <c r="BM2033" s="319" t="str">
        <f t="shared" si="917"/>
        <v>Y</v>
      </c>
      <c r="BN2033" s="319" t="str">
        <f t="shared" si="917"/>
        <v>Y</v>
      </c>
      <c r="BO2033" s="319" t="str">
        <f t="shared" si="917"/>
        <v>Y</v>
      </c>
      <c r="BP2033" s="319" t="str">
        <f t="shared" si="917"/>
        <v/>
      </c>
      <c r="BQ2033" s="319" t="str">
        <f t="shared" si="917"/>
        <v/>
      </c>
      <c r="BR2033" s="319" t="str">
        <f t="shared" si="917"/>
        <v>Y</v>
      </c>
      <c r="BS2033" s="330">
        <f t="shared" si="185"/>
        <v>3.413209633</v>
      </c>
      <c r="BT2033" s="331">
        <f t="shared" si="170"/>
        <v>51.04233537</v>
      </c>
      <c r="BU2033" s="920">
        <v>0.5448958333333334</v>
      </c>
      <c r="BV2033" s="903">
        <f t="shared" si="186"/>
        <v>0.007627314815</v>
      </c>
      <c r="BW2033" s="908">
        <v>22.4</v>
      </c>
      <c r="BX2033" s="908">
        <v>29.9</v>
      </c>
      <c r="BY2033" s="331">
        <f t="shared" si="201"/>
        <v>27.29633675</v>
      </c>
      <c r="BZ2033" s="331"/>
      <c r="CA2033" s="462" t="str">
        <f t="shared" ref="CA2033:CJ2033" si="918">IF(ISNUMBER(FIND(BI$3, $CP2033)), "Y", "")</f>
        <v/>
      </c>
      <c r="CB2033" s="319" t="str">
        <f t="shared" si="918"/>
        <v/>
      </c>
      <c r="CC2033" s="319" t="str">
        <f t="shared" si="918"/>
        <v/>
      </c>
      <c r="CD2033" s="319" t="str">
        <f t="shared" si="918"/>
        <v/>
      </c>
      <c r="CE2033" s="319" t="str">
        <f t="shared" si="918"/>
        <v/>
      </c>
      <c r="CF2033" s="319" t="str">
        <f t="shared" si="918"/>
        <v/>
      </c>
      <c r="CG2033" s="319" t="str">
        <f t="shared" si="918"/>
        <v/>
      </c>
      <c r="CH2033" s="319" t="str">
        <f t="shared" si="918"/>
        <v/>
      </c>
      <c r="CI2033" s="319" t="str">
        <f t="shared" si="918"/>
        <v/>
      </c>
      <c r="CJ2033" s="319" t="str">
        <f t="shared" si="918"/>
        <v/>
      </c>
      <c r="CK2033" s="342">
        <f t="shared" si="182"/>
        <v>0</v>
      </c>
      <c r="CL2033" s="333">
        <f t="shared" si="183"/>
        <v>0</v>
      </c>
      <c r="CM2033" s="1079"/>
      <c r="CN2033" s="1005" t="s">
        <v>3034</v>
      </c>
      <c r="CO2033" s="1005" t="s">
        <v>3035</v>
      </c>
      <c r="CP2033" s="1005"/>
    </row>
    <row r="2034">
      <c r="A2034" s="266"/>
      <c r="B2034" s="1113" t="s">
        <v>3006</v>
      </c>
      <c r="C2034" s="1107">
        <v>45568.0</v>
      </c>
      <c r="D2034" s="103"/>
      <c r="E2034" s="1108">
        <v>16.0</v>
      </c>
      <c r="F2034" s="112" t="s">
        <v>3036</v>
      </c>
      <c r="G2034" s="1110">
        <v>0.5795717592592593</v>
      </c>
      <c r="H2034" s="1110">
        <v>0.5798611111111112</v>
      </c>
      <c r="I2034" s="1110"/>
      <c r="J2034" s="1111"/>
      <c r="K2034" s="1111">
        <v>0.6657986111111112</v>
      </c>
      <c r="L2034" s="1112">
        <v>0.0859375</v>
      </c>
      <c r="M2034" s="1113" t="s">
        <v>166</v>
      </c>
      <c r="N2034" s="110" t="s">
        <v>187</v>
      </c>
      <c r="O2034" s="1115" t="s">
        <v>197</v>
      </c>
      <c r="P2034" s="1115" t="s">
        <v>272</v>
      </c>
      <c r="Q2034" s="1116"/>
      <c r="R2034" s="120">
        <v>37.1</v>
      </c>
      <c r="S2034" s="1113">
        <v>6.9</v>
      </c>
      <c r="T2034" s="110">
        <v>6.5</v>
      </c>
      <c r="U2034" s="1108">
        <v>2.4</v>
      </c>
      <c r="V2034" s="1108"/>
      <c r="W2034" s="1108"/>
      <c r="X2034" s="1108"/>
      <c r="Y2034" s="1108"/>
      <c r="Z2034" s="1114" t="s">
        <v>379</v>
      </c>
      <c r="AA2034" s="1114"/>
      <c r="AB2034" s="1114" t="s">
        <v>392</v>
      </c>
      <c r="AC2034" s="1117">
        <v>10.0</v>
      </c>
      <c r="AD2034" s="1115"/>
      <c r="AE2034" s="1115"/>
      <c r="AF2034" s="1115"/>
      <c r="AG2034" s="1115"/>
      <c r="AH2034" s="1115"/>
      <c r="AI2034" s="1115"/>
      <c r="AJ2034" s="1117"/>
      <c r="AK2034" s="1118"/>
      <c r="AL2034" s="1115"/>
      <c r="AM2034" s="1115"/>
      <c r="AN2034" s="1115"/>
      <c r="AO2034" s="1115"/>
      <c r="AP2034" s="1115"/>
      <c r="AQ2034" s="1115"/>
      <c r="AR2034" s="1115"/>
      <c r="AS2034" s="1117"/>
      <c r="AT2034" s="1196" t="str">
        <f t="shared" si="428"/>
        <v>1-10</v>
      </c>
      <c r="AU2034" s="1193"/>
      <c r="AV2034" s="330">
        <f>SQRT(($R2034-Infrastructure!J$3)^2+($S2034-Infrastructure!K$3)^2)</f>
        <v>43.39078243</v>
      </c>
      <c r="AW2034" s="331">
        <f>SQRT(($R2034-Infrastructure!J$4)^2+($S2034-Infrastructure!K$4)^2)</f>
        <v>38.95600082</v>
      </c>
      <c r="AX2034" s="331">
        <f>SQRT(($R2034-Infrastructure!J$5)^2+($S2034-Infrastructure!K$5)^2)</f>
        <v>37.44329045</v>
      </c>
      <c r="AY2034" s="331">
        <f>SQRT(($R2034-Infrastructure!J$6)^2+($S2034-Infrastructure!K$6)^2)</f>
        <v>27.79496357</v>
      </c>
      <c r="AZ2034" s="331">
        <f>SQRT(($R2034-Infrastructure!J$7)^2+($S2034-Infrastructure!K$7)^2)</f>
        <v>17.86393014</v>
      </c>
      <c r="BA2034" s="331">
        <f>SQRT(($R2034-Infrastructure!J$8)^2+($S2034-Infrastructure!K$8)^2)</f>
        <v>9.620810777</v>
      </c>
      <c r="BB2034" s="331">
        <f>SQRT(($R2034-Infrastructure!J$9)^2+($S2034-Infrastructure!K$9)^2)</f>
        <v>3.413209633</v>
      </c>
      <c r="BC2034" s="331">
        <f>SQRT(($R2034-Infrastructure!J$10)^2+($S2034-Infrastructure!K$10)^2)</f>
        <v>8.603487665</v>
      </c>
      <c r="BD2034" s="331">
        <f>SQRT(($R2034-Infrastructure!J$11)^2+($S2034-Infrastructure!K$11)^2)</f>
        <v>22.31636171</v>
      </c>
      <c r="BE2034" s="333">
        <f>SQRT(($R2034-Infrastructure!J$12)^2+($S2034-Infrastructure!K$12)^2)</f>
        <v>51.04233537</v>
      </c>
      <c r="BF2034" s="330">
        <f t="shared" si="161"/>
        <v>3.413209633</v>
      </c>
      <c r="BG2034" s="333">
        <f t="shared" si="162"/>
        <v>51.04233537</v>
      </c>
      <c r="BH2034" s="1119"/>
      <c r="BI2034" s="319" t="str">
        <f t="shared" ref="BI2034:BR2034" si="919">IF(ISNUMBER(FIND(BI$3, $CO2034)), "Y", "")</f>
        <v/>
      </c>
      <c r="BJ2034" s="319" t="str">
        <f t="shared" si="919"/>
        <v/>
      </c>
      <c r="BK2034" s="319" t="str">
        <f t="shared" si="919"/>
        <v>Y</v>
      </c>
      <c r="BL2034" s="319" t="str">
        <f t="shared" si="919"/>
        <v/>
      </c>
      <c r="BM2034" s="319" t="str">
        <f t="shared" si="919"/>
        <v/>
      </c>
      <c r="BN2034" s="319" t="str">
        <f t="shared" si="919"/>
        <v/>
      </c>
      <c r="BO2034" s="319" t="str">
        <f t="shared" si="919"/>
        <v>Y</v>
      </c>
      <c r="BP2034" s="319" t="str">
        <f t="shared" si="919"/>
        <v/>
      </c>
      <c r="BQ2034" s="319" t="str">
        <f t="shared" si="919"/>
        <v>Y</v>
      </c>
      <c r="BR2034" s="319" t="str">
        <f t="shared" si="919"/>
        <v>Y</v>
      </c>
      <c r="BS2034" s="330">
        <f t="shared" si="185"/>
        <v>3.413209633</v>
      </c>
      <c r="BT2034" s="331">
        <f t="shared" si="170"/>
        <v>51.04233537</v>
      </c>
      <c r="BU2034" s="920">
        <v>0.5812268518518519</v>
      </c>
      <c r="BV2034" s="903">
        <f t="shared" si="186"/>
        <v>0.001655092593</v>
      </c>
      <c r="BW2034" s="908">
        <v>27.3</v>
      </c>
      <c r="BX2034" s="908">
        <v>19.9</v>
      </c>
      <c r="BY2034" s="331">
        <f t="shared" si="201"/>
        <v>16.28004914</v>
      </c>
      <c r="BZ2034" s="331"/>
      <c r="CA2034" s="462" t="str">
        <f t="shared" ref="CA2034:CJ2034" si="920">IF(ISNUMBER(FIND(BI$3, $CP2034)), "Y", "")</f>
        <v/>
      </c>
      <c r="CB2034" s="319" t="str">
        <f t="shared" si="920"/>
        <v/>
      </c>
      <c r="CC2034" s="319" t="str">
        <f t="shared" si="920"/>
        <v/>
      </c>
      <c r="CD2034" s="319" t="str">
        <f t="shared" si="920"/>
        <v/>
      </c>
      <c r="CE2034" s="319" t="str">
        <f t="shared" si="920"/>
        <v/>
      </c>
      <c r="CF2034" s="319" t="str">
        <f t="shared" si="920"/>
        <v/>
      </c>
      <c r="CG2034" s="319" t="str">
        <f t="shared" si="920"/>
        <v/>
      </c>
      <c r="CH2034" s="319" t="str">
        <f t="shared" si="920"/>
        <v/>
      </c>
      <c r="CI2034" s="319" t="str">
        <f t="shared" si="920"/>
        <v/>
      </c>
      <c r="CJ2034" s="319" t="str">
        <f t="shared" si="920"/>
        <v/>
      </c>
      <c r="CK2034" s="342">
        <f t="shared" si="182"/>
        <v>0</v>
      </c>
      <c r="CL2034" s="333">
        <f t="shared" si="183"/>
        <v>0</v>
      </c>
      <c r="CM2034" s="1079"/>
      <c r="CN2034" s="1005" t="s">
        <v>3034</v>
      </c>
      <c r="CO2034" s="1005" t="s">
        <v>2768</v>
      </c>
      <c r="CP2034" s="1005"/>
    </row>
    <row r="2035">
      <c r="A2035" s="266"/>
      <c r="B2035" s="1113" t="s">
        <v>3006</v>
      </c>
      <c r="C2035" s="1107">
        <v>45568.0</v>
      </c>
      <c r="D2035" s="103"/>
      <c r="E2035" s="1108">
        <v>17.0</v>
      </c>
      <c r="F2035" s="112" t="s">
        <v>3037</v>
      </c>
      <c r="G2035" s="1110">
        <v>0.6664351851851852</v>
      </c>
      <c r="H2035" s="1110">
        <v>0.6680555555555555</v>
      </c>
      <c r="I2035" s="1110"/>
      <c r="J2035" s="1111"/>
      <c r="K2035" s="1111">
        <v>0.6942708333333333</v>
      </c>
      <c r="L2035" s="1112">
        <v>0.02621527777777778</v>
      </c>
      <c r="M2035" s="1113" t="s">
        <v>166</v>
      </c>
      <c r="N2035" s="110" t="s">
        <v>187</v>
      </c>
      <c r="O2035" s="1115" t="s">
        <v>197</v>
      </c>
      <c r="P2035" s="1115" t="s">
        <v>272</v>
      </c>
      <c r="Q2035" s="1116"/>
      <c r="R2035" s="120">
        <v>37.1</v>
      </c>
      <c r="S2035" s="1113">
        <v>6.9</v>
      </c>
      <c r="T2035" s="110">
        <v>6.5</v>
      </c>
      <c r="U2035" s="1108">
        <v>0.6</v>
      </c>
      <c r="V2035" s="1108"/>
      <c r="W2035" s="1108"/>
      <c r="X2035" s="1108"/>
      <c r="Y2035" s="1108"/>
      <c r="Z2035" s="1114" t="s">
        <v>379</v>
      </c>
      <c r="AA2035" s="1114"/>
      <c r="AB2035" s="1114" t="s">
        <v>392</v>
      </c>
      <c r="AC2035" s="1117">
        <v>10.0</v>
      </c>
      <c r="AD2035" s="1115"/>
      <c r="AE2035" s="1115"/>
      <c r="AF2035" s="1115"/>
      <c r="AG2035" s="1115"/>
      <c r="AH2035" s="1115"/>
      <c r="AI2035" s="1115"/>
      <c r="AJ2035" s="1117"/>
      <c r="AK2035" s="1118"/>
      <c r="AL2035" s="1115"/>
      <c r="AM2035" s="1115"/>
      <c r="AN2035" s="1115"/>
      <c r="AO2035" s="1115"/>
      <c r="AP2035" s="1115"/>
      <c r="AQ2035" s="1115"/>
      <c r="AR2035" s="1115"/>
      <c r="AS2035" s="1117"/>
      <c r="AT2035" s="1196" t="str">
        <f t="shared" si="428"/>
        <v>0-1</v>
      </c>
      <c r="AU2035" s="1193"/>
      <c r="AV2035" s="330">
        <f>SQRT(($R2035-Infrastructure!J$3)^2+($S2035-Infrastructure!K$3)^2)</f>
        <v>43.39078243</v>
      </c>
      <c r="AW2035" s="331">
        <f>SQRT(($R2035-Infrastructure!J$4)^2+($S2035-Infrastructure!K$4)^2)</f>
        <v>38.95600082</v>
      </c>
      <c r="AX2035" s="331">
        <f>SQRT(($R2035-Infrastructure!J$5)^2+($S2035-Infrastructure!K$5)^2)</f>
        <v>37.44329045</v>
      </c>
      <c r="AY2035" s="331">
        <f>SQRT(($R2035-Infrastructure!J$6)^2+($S2035-Infrastructure!K$6)^2)</f>
        <v>27.79496357</v>
      </c>
      <c r="AZ2035" s="331">
        <f>SQRT(($R2035-Infrastructure!J$7)^2+($S2035-Infrastructure!K$7)^2)</f>
        <v>17.86393014</v>
      </c>
      <c r="BA2035" s="331">
        <f>SQRT(($R2035-Infrastructure!J$8)^2+($S2035-Infrastructure!K$8)^2)</f>
        <v>9.620810777</v>
      </c>
      <c r="BB2035" s="331">
        <f>SQRT(($R2035-Infrastructure!J$9)^2+($S2035-Infrastructure!K$9)^2)</f>
        <v>3.413209633</v>
      </c>
      <c r="BC2035" s="331">
        <f>SQRT(($R2035-Infrastructure!J$10)^2+($S2035-Infrastructure!K$10)^2)</f>
        <v>8.603487665</v>
      </c>
      <c r="BD2035" s="331">
        <f>SQRT(($R2035-Infrastructure!J$11)^2+($S2035-Infrastructure!K$11)^2)</f>
        <v>22.31636171</v>
      </c>
      <c r="BE2035" s="333">
        <f>SQRT(($R2035-Infrastructure!J$12)^2+($S2035-Infrastructure!K$12)^2)</f>
        <v>51.04233537</v>
      </c>
      <c r="BF2035" s="330">
        <f t="shared" si="161"/>
        <v>3.413209633</v>
      </c>
      <c r="BG2035" s="333">
        <f t="shared" si="162"/>
        <v>51.04233537</v>
      </c>
      <c r="BH2035" s="1119"/>
      <c r="BI2035" s="319" t="str">
        <f t="shared" ref="BI2035:BR2035" si="921">IF(ISNUMBER(FIND(BI$3, $CO2035)), "Y", "")</f>
        <v/>
      </c>
      <c r="BJ2035" s="319" t="str">
        <f t="shared" si="921"/>
        <v/>
      </c>
      <c r="BK2035" s="319" t="str">
        <f t="shared" si="921"/>
        <v>Y</v>
      </c>
      <c r="BL2035" s="319" t="str">
        <f t="shared" si="921"/>
        <v/>
      </c>
      <c r="BM2035" s="319" t="str">
        <f t="shared" si="921"/>
        <v>Y</v>
      </c>
      <c r="BN2035" s="319" t="str">
        <f t="shared" si="921"/>
        <v>Y</v>
      </c>
      <c r="BO2035" s="319" t="str">
        <f t="shared" si="921"/>
        <v>Y</v>
      </c>
      <c r="BP2035" s="319" t="str">
        <f t="shared" si="921"/>
        <v/>
      </c>
      <c r="BQ2035" s="319" t="str">
        <f t="shared" si="921"/>
        <v/>
      </c>
      <c r="BR2035" s="319" t="str">
        <f t="shared" si="921"/>
        <v/>
      </c>
      <c r="BS2035" s="330">
        <f t="shared" si="185"/>
        <v>3.413209633</v>
      </c>
      <c r="BT2035" s="331">
        <f t="shared" si="170"/>
        <v>37.44329045</v>
      </c>
      <c r="BU2035" s="920">
        <v>0.6676967592592593</v>
      </c>
      <c r="BV2035" s="903">
        <f t="shared" si="186"/>
        <v>0.001261574074</v>
      </c>
      <c r="BW2035" s="908">
        <v>21.4</v>
      </c>
      <c r="BX2035" s="908">
        <v>26.5</v>
      </c>
      <c r="BY2035" s="331">
        <f t="shared" si="201"/>
        <v>25.11274577</v>
      </c>
      <c r="BZ2035" s="331"/>
      <c r="CA2035" s="462" t="str">
        <f t="shared" ref="CA2035:CJ2035" si="922">IF(ISNUMBER(FIND(BI$3, $CP2035)), "Y", "")</f>
        <v/>
      </c>
      <c r="CB2035" s="319" t="str">
        <f t="shared" si="922"/>
        <v/>
      </c>
      <c r="CC2035" s="319" t="str">
        <f t="shared" si="922"/>
        <v/>
      </c>
      <c r="CD2035" s="319" t="str">
        <f t="shared" si="922"/>
        <v/>
      </c>
      <c r="CE2035" s="319" t="str">
        <f t="shared" si="922"/>
        <v/>
      </c>
      <c r="CF2035" s="319" t="str">
        <f t="shared" si="922"/>
        <v/>
      </c>
      <c r="CG2035" s="319" t="str">
        <f t="shared" si="922"/>
        <v/>
      </c>
      <c r="CH2035" s="319" t="str">
        <f t="shared" si="922"/>
        <v/>
      </c>
      <c r="CI2035" s="319" t="str">
        <f t="shared" si="922"/>
        <v/>
      </c>
      <c r="CJ2035" s="319" t="str">
        <f t="shared" si="922"/>
        <v/>
      </c>
      <c r="CK2035" s="342">
        <f t="shared" si="182"/>
        <v>0</v>
      </c>
      <c r="CL2035" s="333">
        <f t="shared" si="183"/>
        <v>0</v>
      </c>
      <c r="CM2035" s="1079"/>
      <c r="CN2035" s="1005" t="s">
        <v>3034</v>
      </c>
      <c r="CO2035" s="1005" t="s">
        <v>3038</v>
      </c>
      <c r="CP2035" s="1005"/>
    </row>
    <row r="2036">
      <c r="A2036" s="266"/>
      <c r="B2036" s="1113" t="s">
        <v>3006</v>
      </c>
      <c r="C2036" s="1107">
        <v>45568.0</v>
      </c>
      <c r="D2036" s="103"/>
      <c r="E2036" s="1137"/>
      <c r="F2036" s="112" t="s">
        <v>3039</v>
      </c>
      <c r="G2036" s="1110">
        <v>0.7006944444444444</v>
      </c>
      <c r="H2036" s="1138"/>
      <c r="I2036" s="1138"/>
      <c r="J2036" s="1139"/>
      <c r="K2036" s="1111">
        <v>0.7020833333333333</v>
      </c>
      <c r="L2036" s="1112">
        <v>0.001388888888888889</v>
      </c>
      <c r="M2036" s="1113" t="s">
        <v>166</v>
      </c>
      <c r="N2036" s="110" t="s">
        <v>188</v>
      </c>
      <c r="O2036" s="1140"/>
      <c r="P2036" s="1115" t="s">
        <v>292</v>
      </c>
      <c r="Q2036" s="1116"/>
      <c r="R2036" s="1141"/>
      <c r="S2036" s="1113"/>
      <c r="T2036" s="1143"/>
      <c r="U2036" s="1108" t="s">
        <v>323</v>
      </c>
      <c r="V2036" s="1108"/>
      <c r="W2036" s="1108"/>
      <c r="X2036" s="1108"/>
      <c r="Y2036" s="1108"/>
      <c r="Z2036" s="1114" t="s">
        <v>323</v>
      </c>
      <c r="AA2036" s="1114"/>
      <c r="AB2036" s="1114" t="s">
        <v>323</v>
      </c>
      <c r="AC2036" s="1117" t="s">
        <v>323</v>
      </c>
      <c r="AD2036" s="1115"/>
      <c r="AE2036" s="1115"/>
      <c r="AF2036" s="1115"/>
      <c r="AG2036" s="1115"/>
      <c r="AH2036" s="1115"/>
      <c r="AI2036" s="1115"/>
      <c r="AJ2036" s="1117"/>
      <c r="AK2036" s="1118"/>
      <c r="AL2036" s="1115"/>
      <c r="AM2036" s="1115"/>
      <c r="AN2036" s="1115"/>
      <c r="AO2036" s="1115"/>
      <c r="AP2036" s="1115"/>
      <c r="AQ2036" s="1115"/>
      <c r="AR2036" s="1115"/>
      <c r="AS2036" s="1117"/>
      <c r="AT2036" s="1196" t="str">
        <f t="shared" si="428"/>
        <v/>
      </c>
      <c r="AU2036" s="1193"/>
      <c r="AV2036" s="330">
        <f>SQRT(($R2036-Infrastructure!J$3)^2+($S2036-Infrastructure!K$3)^2)</f>
        <v>28.90155705</v>
      </c>
      <c r="AW2036" s="331">
        <f>SQRT(($R2036-Infrastructure!J$4)^2+($S2036-Infrastructure!K$4)^2)</f>
        <v>17.80252791</v>
      </c>
      <c r="AX2036" s="331">
        <f>SQRT(($R2036-Infrastructure!J$5)^2+($S2036-Infrastructure!K$5)^2)</f>
        <v>5.10881591</v>
      </c>
      <c r="AY2036" s="331">
        <f>SQRT(($R2036-Infrastructure!J$6)^2+($S2036-Infrastructure!K$6)^2)</f>
        <v>10.10445446</v>
      </c>
      <c r="AZ2036" s="331">
        <f>SQRT(($R2036-Infrastructure!J$7)^2+($S2036-Infrastructure!K$7)^2)</f>
        <v>20.502195</v>
      </c>
      <c r="BA2036" s="331">
        <f>SQRT(($R2036-Infrastructure!J$8)^2+($S2036-Infrastructure!K$8)^2)</f>
        <v>30.10149498</v>
      </c>
      <c r="BB2036" s="331">
        <f>SQRT(($R2036-Infrastructure!J$9)^2+($S2036-Infrastructure!K$9)^2)</f>
        <v>40.3238143</v>
      </c>
      <c r="BC2036" s="331">
        <f>SQRT(($R2036-Infrastructure!J$10)^2+($S2036-Infrastructure!K$10)^2)</f>
        <v>42.72001873</v>
      </c>
      <c r="BD2036" s="331">
        <f>SQRT(($R2036-Infrastructure!J$11)^2+($S2036-Infrastructure!K$11)^2)</f>
        <v>49.56853841</v>
      </c>
      <c r="BE2036" s="333">
        <f>SQRT(($R2036-Infrastructure!J$12)^2+($S2036-Infrastructure!K$12)^2)</f>
        <v>59.51890456</v>
      </c>
      <c r="BF2036" s="330">
        <f t="shared" si="161"/>
        <v>5.10881591</v>
      </c>
      <c r="BG2036" s="333">
        <f t="shared" si="162"/>
        <v>59.51890456</v>
      </c>
      <c r="BH2036" s="1119"/>
      <c r="BI2036" s="319" t="str">
        <f t="shared" ref="BI2036:BR2036" si="923">IF(ISNUMBER(FIND(BI$3, $CO2036)), "Y", "")</f>
        <v>Y</v>
      </c>
      <c r="BJ2036" s="319" t="str">
        <f t="shared" si="923"/>
        <v/>
      </c>
      <c r="BK2036" s="319" t="str">
        <f t="shared" si="923"/>
        <v>Y</v>
      </c>
      <c r="BL2036" s="319" t="str">
        <f t="shared" si="923"/>
        <v>Y</v>
      </c>
      <c r="BM2036" s="319" t="str">
        <f t="shared" si="923"/>
        <v/>
      </c>
      <c r="BN2036" s="319" t="str">
        <f t="shared" si="923"/>
        <v/>
      </c>
      <c r="BO2036" s="319" t="str">
        <f t="shared" si="923"/>
        <v>Y</v>
      </c>
      <c r="BP2036" s="319" t="str">
        <f t="shared" si="923"/>
        <v/>
      </c>
      <c r="BQ2036" s="319" t="str">
        <f t="shared" si="923"/>
        <v>Y</v>
      </c>
      <c r="BR2036" s="319" t="str">
        <f t="shared" si="923"/>
        <v>Y</v>
      </c>
      <c r="BS2036" s="330">
        <f t="shared" si="185"/>
        <v>5.10881591</v>
      </c>
      <c r="BT2036" s="331">
        <f t="shared" si="170"/>
        <v>59.51890456</v>
      </c>
      <c r="BU2036" s="920">
        <v>0.7013541666666666</v>
      </c>
      <c r="BV2036" s="903">
        <f t="shared" si="186"/>
        <v>0.0006597222222</v>
      </c>
      <c r="BW2036" s="908">
        <v>13.3</v>
      </c>
      <c r="BX2036" s="908">
        <v>40.7</v>
      </c>
      <c r="BY2036" s="331">
        <f t="shared" si="201"/>
        <v>42.81798687</v>
      </c>
      <c r="BZ2036" s="331"/>
      <c r="CA2036" s="462" t="str">
        <f t="shared" ref="CA2036:CJ2036" si="924">IF(ISNUMBER(FIND(BI$3, $CP2036)), "Y", "")</f>
        <v/>
      </c>
      <c r="CB2036" s="319" t="str">
        <f t="shared" si="924"/>
        <v/>
      </c>
      <c r="CC2036" s="319" t="str">
        <f t="shared" si="924"/>
        <v/>
      </c>
      <c r="CD2036" s="319" t="str">
        <f t="shared" si="924"/>
        <v/>
      </c>
      <c r="CE2036" s="319" t="str">
        <f t="shared" si="924"/>
        <v/>
      </c>
      <c r="CF2036" s="319" t="str">
        <f t="shared" si="924"/>
        <v/>
      </c>
      <c r="CG2036" s="319" t="str">
        <f t="shared" si="924"/>
        <v/>
      </c>
      <c r="CH2036" s="319" t="str">
        <f t="shared" si="924"/>
        <v/>
      </c>
      <c r="CI2036" s="319" t="str">
        <f t="shared" si="924"/>
        <v/>
      </c>
      <c r="CJ2036" s="319" t="str">
        <f t="shared" si="924"/>
        <v/>
      </c>
      <c r="CK2036" s="342">
        <f t="shared" si="182"/>
        <v>0</v>
      </c>
      <c r="CL2036" s="333">
        <f t="shared" si="183"/>
        <v>0</v>
      </c>
      <c r="CM2036" s="1079"/>
      <c r="CN2036" s="1005" t="s">
        <v>3034</v>
      </c>
      <c r="CO2036" s="1005" t="s">
        <v>3040</v>
      </c>
      <c r="CP2036" s="1005"/>
    </row>
    <row r="2037">
      <c r="A2037" s="1258"/>
      <c r="B2037" s="1129" t="s">
        <v>3006</v>
      </c>
      <c r="C2037" s="1122">
        <v>45568.0</v>
      </c>
      <c r="D2037" s="1123"/>
      <c r="E2037" s="1144"/>
      <c r="F2037" s="108" t="s">
        <v>3039</v>
      </c>
      <c r="G2037" s="1126">
        <v>0.7076388888888889</v>
      </c>
      <c r="H2037" s="1145"/>
      <c r="I2037" s="1145"/>
      <c r="J2037" s="1146"/>
      <c r="K2037" s="1127">
        <v>0.7104166666666667</v>
      </c>
      <c r="L2037" s="1128">
        <v>0.002777777777777778</v>
      </c>
      <c r="M2037" s="1129" t="s">
        <v>358</v>
      </c>
      <c r="N2037" s="100" t="s">
        <v>188</v>
      </c>
      <c r="O2037" s="1161"/>
      <c r="P2037" s="1131" t="s">
        <v>294</v>
      </c>
      <c r="Q2037" s="1132"/>
      <c r="R2037" s="1148"/>
      <c r="S2037" s="1129"/>
      <c r="T2037" s="1150"/>
      <c r="U2037" s="1124" t="s">
        <v>323</v>
      </c>
      <c r="V2037" s="1124"/>
      <c r="W2037" s="1124"/>
      <c r="X2037" s="1124"/>
      <c r="Y2037" s="1124"/>
      <c r="Z2037" s="1130" t="s">
        <v>323</v>
      </c>
      <c r="AA2037" s="1130"/>
      <c r="AB2037" s="1130" t="s">
        <v>323</v>
      </c>
      <c r="AC2037" s="1133" t="s">
        <v>323</v>
      </c>
      <c r="AD2037" s="1131"/>
      <c r="AE2037" s="1131"/>
      <c r="AF2037" s="1131"/>
      <c r="AG2037" s="1131"/>
      <c r="AH2037" s="1131"/>
      <c r="AI2037" s="1131"/>
      <c r="AJ2037" s="1133"/>
      <c r="AK2037" s="1134"/>
      <c r="AL2037" s="1131"/>
      <c r="AM2037" s="1131"/>
      <c r="AN2037" s="1131"/>
      <c r="AO2037" s="1131"/>
      <c r="AP2037" s="1131"/>
      <c r="AQ2037" s="1131"/>
      <c r="AR2037" s="1131"/>
      <c r="AS2037" s="1133"/>
      <c r="AT2037" s="1197" t="str">
        <f t="shared" si="428"/>
        <v/>
      </c>
      <c r="AU2037" s="1194"/>
      <c r="AV2037" s="662">
        <f>SQRT(($R2037-Infrastructure!J$3)^2+($S2037-Infrastructure!K$3)^2)</f>
        <v>28.90155705</v>
      </c>
      <c r="AW2037" s="641">
        <f>SQRT(($R2037-Infrastructure!J$4)^2+($S2037-Infrastructure!K$4)^2)</f>
        <v>17.80252791</v>
      </c>
      <c r="AX2037" s="641">
        <f>SQRT(($R2037-Infrastructure!J$5)^2+($S2037-Infrastructure!K$5)^2)</f>
        <v>5.10881591</v>
      </c>
      <c r="AY2037" s="641">
        <f>SQRT(($R2037-Infrastructure!J$6)^2+($S2037-Infrastructure!K$6)^2)</f>
        <v>10.10445446</v>
      </c>
      <c r="AZ2037" s="641">
        <f>SQRT(($R2037-Infrastructure!J$7)^2+($S2037-Infrastructure!K$7)^2)</f>
        <v>20.502195</v>
      </c>
      <c r="BA2037" s="641">
        <f>SQRT(($R2037-Infrastructure!J$8)^2+($S2037-Infrastructure!K$8)^2)</f>
        <v>30.10149498</v>
      </c>
      <c r="BB2037" s="641">
        <f>SQRT(($R2037-Infrastructure!J$9)^2+($S2037-Infrastructure!K$9)^2)</f>
        <v>40.3238143</v>
      </c>
      <c r="BC2037" s="641">
        <f>SQRT(($R2037-Infrastructure!J$10)^2+($S2037-Infrastructure!K$10)^2)</f>
        <v>42.72001873</v>
      </c>
      <c r="BD2037" s="641">
        <f>SQRT(($R2037-Infrastructure!J$11)^2+($S2037-Infrastructure!K$11)^2)</f>
        <v>49.56853841</v>
      </c>
      <c r="BE2037" s="642">
        <f>SQRT(($R2037-Infrastructure!J$12)^2+($S2037-Infrastructure!K$12)^2)</f>
        <v>59.51890456</v>
      </c>
      <c r="BF2037" s="662">
        <f t="shared" si="161"/>
        <v>5.10881591</v>
      </c>
      <c r="BG2037" s="642">
        <f t="shared" si="162"/>
        <v>59.51890456</v>
      </c>
      <c r="BH2037" s="1135"/>
      <c r="BI2037" s="663" t="str">
        <f t="shared" ref="BI2037:BR2037" si="925">IF(ISNUMBER(FIND(BI$3, $CO2037)), "Y", "")</f>
        <v/>
      </c>
      <c r="BJ2037" s="663" t="str">
        <f t="shared" si="925"/>
        <v/>
      </c>
      <c r="BK2037" s="663" t="str">
        <f t="shared" si="925"/>
        <v/>
      </c>
      <c r="BL2037" s="663" t="str">
        <f t="shared" si="925"/>
        <v/>
      </c>
      <c r="BM2037" s="663" t="str">
        <f t="shared" si="925"/>
        <v/>
      </c>
      <c r="BN2037" s="663" t="str">
        <f t="shared" si="925"/>
        <v/>
      </c>
      <c r="BO2037" s="663" t="str">
        <f t="shared" si="925"/>
        <v/>
      </c>
      <c r="BP2037" s="663" t="str">
        <f t="shared" si="925"/>
        <v/>
      </c>
      <c r="BQ2037" s="663" t="str">
        <f t="shared" si="925"/>
        <v/>
      </c>
      <c r="BR2037" s="663" t="str">
        <f t="shared" si="925"/>
        <v/>
      </c>
      <c r="BS2037" s="662">
        <f t="shared" si="185"/>
        <v>0</v>
      </c>
      <c r="BT2037" s="641">
        <f t="shared" si="170"/>
        <v>0</v>
      </c>
      <c r="BU2037" s="937"/>
      <c r="BV2037" s="930" t="str">
        <f t="shared" si="186"/>
        <v/>
      </c>
      <c r="BW2037" s="939"/>
      <c r="BX2037" s="939"/>
      <c r="BY2037" s="641" t="b">
        <f t="shared" si="201"/>
        <v>0</v>
      </c>
      <c r="BZ2037" s="641"/>
      <c r="CA2037" s="635" t="str">
        <f t="shared" ref="CA2037:CJ2037" si="926">IF(ISNUMBER(FIND(BI$3, $CP2037)), "Y", "")</f>
        <v/>
      </c>
      <c r="CB2037" s="663" t="str">
        <f t="shared" si="926"/>
        <v/>
      </c>
      <c r="CC2037" s="663" t="str">
        <f t="shared" si="926"/>
        <v/>
      </c>
      <c r="CD2037" s="663" t="str">
        <f t="shared" si="926"/>
        <v/>
      </c>
      <c r="CE2037" s="663" t="str">
        <f t="shared" si="926"/>
        <v/>
      </c>
      <c r="CF2037" s="663" t="str">
        <f t="shared" si="926"/>
        <v/>
      </c>
      <c r="CG2037" s="663" t="str">
        <f t="shared" si="926"/>
        <v/>
      </c>
      <c r="CH2037" s="663" t="str">
        <f t="shared" si="926"/>
        <v/>
      </c>
      <c r="CI2037" s="663" t="str">
        <f t="shared" si="926"/>
        <v/>
      </c>
      <c r="CJ2037" s="663" t="str">
        <f t="shared" si="926"/>
        <v/>
      </c>
      <c r="CK2037" s="743">
        <f t="shared" si="182"/>
        <v>0</v>
      </c>
      <c r="CL2037" s="642">
        <f t="shared" si="183"/>
        <v>0</v>
      </c>
      <c r="CM2037" s="1090"/>
      <c r="CN2037" s="1036" t="s">
        <v>3034</v>
      </c>
      <c r="CO2037" s="1036"/>
      <c r="CP2037" s="1036"/>
    </row>
    <row r="2038">
      <c r="A2038" s="1257" t="s">
        <v>124</v>
      </c>
      <c r="B2038" s="1113" t="s">
        <v>1750</v>
      </c>
      <c r="C2038" s="1107">
        <v>45573.0</v>
      </c>
      <c r="D2038" s="103"/>
      <c r="E2038" s="1108">
        <v>1.0</v>
      </c>
      <c r="F2038" s="112" t="s">
        <v>3041</v>
      </c>
      <c r="G2038" s="1110">
        <v>0.5956597222222222</v>
      </c>
      <c r="H2038" s="1110">
        <v>0.5961805555555556</v>
      </c>
      <c r="I2038" s="1110"/>
      <c r="J2038" s="1111"/>
      <c r="K2038" s="1111">
        <v>0.5972800925925926</v>
      </c>
      <c r="L2038" s="1112">
        <v>0.001099537037037037</v>
      </c>
      <c r="M2038" s="1113" t="s">
        <v>166</v>
      </c>
      <c r="N2038" s="110" t="s">
        <v>187</v>
      </c>
      <c r="O2038" s="1115" t="s">
        <v>202</v>
      </c>
      <c r="P2038" s="1115" t="s">
        <v>256</v>
      </c>
      <c r="Q2038" s="1116"/>
      <c r="R2038" s="120">
        <v>24.4</v>
      </c>
      <c r="S2038" s="1113">
        <v>7.5</v>
      </c>
      <c r="T2038" s="110">
        <v>0.6</v>
      </c>
      <c r="U2038" s="1108">
        <v>5.0</v>
      </c>
      <c r="V2038" s="1108"/>
      <c r="W2038" s="1108"/>
      <c r="X2038" s="1108"/>
      <c r="Y2038" s="1108"/>
      <c r="Z2038" s="1114" t="s">
        <v>339</v>
      </c>
      <c r="AA2038" s="1114"/>
      <c r="AB2038" s="1114" t="s">
        <v>341</v>
      </c>
      <c r="AC2038" s="1117">
        <v>3.0</v>
      </c>
      <c r="AD2038" s="1115"/>
      <c r="AE2038" s="1115"/>
      <c r="AF2038" s="1115"/>
      <c r="AG2038" s="1115"/>
      <c r="AH2038" s="1115"/>
      <c r="AI2038" s="1115"/>
      <c r="AJ2038" s="1117"/>
      <c r="AK2038" s="1118"/>
      <c r="AL2038" s="1115"/>
      <c r="AM2038" s="1115"/>
      <c r="AN2038" s="1115"/>
      <c r="AO2038" s="1115"/>
      <c r="AP2038" s="1115"/>
      <c r="AQ2038" s="1115"/>
      <c r="AR2038" s="1115"/>
      <c r="AS2038" s="1117"/>
      <c r="AT2038" s="1196" t="str">
        <f t="shared" si="428"/>
        <v>1-10</v>
      </c>
      <c r="AU2038" s="1193"/>
      <c r="AV2038" s="330">
        <f>SQRT(($R2038-Infrastructure!J$3)^2+($S2038-Infrastructure!K$3)^2)</f>
        <v>32.68103426</v>
      </c>
      <c r="AW2038" s="331">
        <f>SQRT(($R2038-Infrastructure!J$4)^2+($S2038-Infrastructure!K$4)^2)</f>
        <v>26.76153957</v>
      </c>
      <c r="AX2038" s="331">
        <f>SQRT(($R2038-Infrastructure!J$5)^2+($S2038-Infrastructure!K$5)^2)</f>
        <v>24.81632527</v>
      </c>
      <c r="AY2038" s="331">
        <f>SQRT(($R2038-Infrastructure!J$6)^2+($S2038-Infrastructure!K$6)^2)</f>
        <v>16.01030918</v>
      </c>
      <c r="AZ2038" s="331">
        <f>SQRT(($R2038-Infrastructure!J$7)^2+($S2038-Infrastructure!K$7)^2)</f>
        <v>8.188406438</v>
      </c>
      <c r="BA2038" s="331">
        <f>SQRT(($R2038-Infrastructure!J$8)^2+($S2038-Infrastructure!K$8)^2)</f>
        <v>9.183136719</v>
      </c>
      <c r="BB2038" s="331">
        <f>SQRT(($R2038-Infrastructure!J$9)^2+($S2038-Infrastructure!K$9)^2)</f>
        <v>15.78353573</v>
      </c>
      <c r="BC2038" s="331">
        <f>SQRT(($R2038-Infrastructure!J$10)^2+($S2038-Infrastructure!K$10)^2)</f>
        <v>17.30924608</v>
      </c>
      <c r="BD2038" s="331">
        <f>SQRT(($R2038-Infrastructure!J$11)^2+($S2038-Infrastructure!K$11)^2)</f>
        <v>26.68126684</v>
      </c>
      <c r="BE2038" s="333">
        <f>SQRT(($R2038-Infrastructure!J$12)^2+($S2038-Infrastructure!K$12)^2)</f>
        <v>48.08752437</v>
      </c>
      <c r="BF2038" s="330">
        <f t="shared" si="161"/>
        <v>8.188406438</v>
      </c>
      <c r="BG2038" s="333">
        <f t="shared" si="162"/>
        <v>48.08752437</v>
      </c>
      <c r="BH2038" s="1119"/>
      <c r="BI2038" s="319" t="str">
        <f t="shared" ref="BI2038:BR2038" si="927">IF(ISNUMBER(FIND(BI$3, $CO2038)), "Y", "")</f>
        <v/>
      </c>
      <c r="BJ2038" s="319" t="str">
        <f t="shared" si="927"/>
        <v/>
      </c>
      <c r="BK2038" s="319" t="str">
        <f t="shared" si="927"/>
        <v/>
      </c>
      <c r="BL2038" s="319" t="str">
        <f t="shared" si="927"/>
        <v/>
      </c>
      <c r="BM2038" s="319" t="str">
        <f t="shared" si="927"/>
        <v/>
      </c>
      <c r="BN2038" s="319" t="str">
        <f t="shared" si="927"/>
        <v/>
      </c>
      <c r="BO2038" s="319" t="str">
        <f t="shared" si="927"/>
        <v/>
      </c>
      <c r="BP2038" s="319" t="str">
        <f t="shared" si="927"/>
        <v/>
      </c>
      <c r="BQ2038" s="319" t="str">
        <f t="shared" si="927"/>
        <v/>
      </c>
      <c r="BR2038" s="319" t="str">
        <f t="shared" si="927"/>
        <v/>
      </c>
      <c r="BS2038" s="330">
        <f t="shared" si="185"/>
        <v>0</v>
      </c>
      <c r="BT2038" s="331">
        <f t="shared" si="170"/>
        <v>0</v>
      </c>
      <c r="BU2038" s="920"/>
      <c r="BV2038" s="903" t="str">
        <f t="shared" si="186"/>
        <v/>
      </c>
      <c r="BW2038" s="908"/>
      <c r="BX2038" s="908"/>
      <c r="BY2038" s="331" t="b">
        <f t="shared" si="201"/>
        <v>0</v>
      </c>
      <c r="BZ2038" s="331"/>
      <c r="CA2038" s="462" t="str">
        <f t="shared" ref="CA2038:CJ2038" si="928">IF(ISNUMBER(FIND(BI$3, $CP2038)), "Y", "")</f>
        <v/>
      </c>
      <c r="CB2038" s="319" t="str">
        <f t="shared" si="928"/>
        <v/>
      </c>
      <c r="CC2038" s="319" t="str">
        <f t="shared" si="928"/>
        <v/>
      </c>
      <c r="CD2038" s="319" t="str">
        <f t="shared" si="928"/>
        <v/>
      </c>
      <c r="CE2038" s="319" t="str">
        <f t="shared" si="928"/>
        <v/>
      </c>
      <c r="CF2038" s="319" t="str">
        <f t="shared" si="928"/>
        <v/>
      </c>
      <c r="CG2038" s="319" t="str">
        <f t="shared" si="928"/>
        <v/>
      </c>
      <c r="CH2038" s="319" t="str">
        <f t="shared" si="928"/>
        <v/>
      </c>
      <c r="CI2038" s="319" t="str">
        <f t="shared" si="928"/>
        <v/>
      </c>
      <c r="CJ2038" s="319" t="str">
        <f t="shared" si="928"/>
        <v/>
      </c>
      <c r="CK2038" s="342">
        <f t="shared" si="182"/>
        <v>0</v>
      </c>
      <c r="CL2038" s="333">
        <f t="shared" si="183"/>
        <v>0</v>
      </c>
      <c r="CM2038" s="1079" t="s">
        <v>2602</v>
      </c>
      <c r="CN2038" s="1005" t="s">
        <v>3042</v>
      </c>
      <c r="CO2038" s="1005"/>
      <c r="CP2038" s="1005"/>
    </row>
    <row r="2039">
      <c r="A2039" s="266"/>
      <c r="B2039" s="1113" t="s">
        <v>1750</v>
      </c>
      <c r="C2039" s="1107">
        <v>45573.0</v>
      </c>
      <c r="D2039" s="103"/>
      <c r="E2039" s="1108">
        <v>2.0</v>
      </c>
      <c r="F2039" s="112" t="s">
        <v>3043</v>
      </c>
      <c r="G2039" s="1110">
        <v>0.5979166666666667</v>
      </c>
      <c r="H2039" s="1110">
        <v>0.5982638888888889</v>
      </c>
      <c r="I2039" s="1110"/>
      <c r="J2039" s="1111"/>
      <c r="K2039" s="1111">
        <v>0.6002893518518518</v>
      </c>
      <c r="L2039" s="1112">
        <v>0.002025462962962963</v>
      </c>
      <c r="M2039" s="1113" t="s">
        <v>166</v>
      </c>
      <c r="N2039" s="110" t="s">
        <v>187</v>
      </c>
      <c r="O2039" s="1115" t="s">
        <v>202</v>
      </c>
      <c r="P2039" s="1115" t="s">
        <v>256</v>
      </c>
      <c r="Q2039" s="1116"/>
      <c r="R2039" s="120">
        <v>18.3</v>
      </c>
      <c r="S2039" s="1113">
        <v>4.2</v>
      </c>
      <c r="T2039" s="110">
        <v>1.34</v>
      </c>
      <c r="U2039" s="1108">
        <v>3.0</v>
      </c>
      <c r="V2039" s="1108"/>
      <c r="W2039" s="1108"/>
      <c r="X2039" s="1108"/>
      <c r="Y2039" s="1108"/>
      <c r="Z2039" s="1114" t="s">
        <v>339</v>
      </c>
      <c r="AA2039" s="1114"/>
      <c r="AB2039" s="1114" t="s">
        <v>341</v>
      </c>
      <c r="AC2039" s="1117">
        <v>3.0</v>
      </c>
      <c r="AD2039" s="1115"/>
      <c r="AE2039" s="1115"/>
      <c r="AF2039" s="1115"/>
      <c r="AG2039" s="1115"/>
      <c r="AH2039" s="1115"/>
      <c r="AI2039" s="1115"/>
      <c r="AJ2039" s="1117"/>
      <c r="AK2039" s="1118"/>
      <c r="AL2039" s="1115"/>
      <c r="AM2039" s="1115"/>
      <c r="AN2039" s="1115"/>
      <c r="AO2039" s="1115"/>
      <c r="AP2039" s="1115"/>
      <c r="AQ2039" s="1115"/>
      <c r="AR2039" s="1115"/>
      <c r="AS2039" s="1117"/>
      <c r="AT2039" s="1196" t="str">
        <f t="shared" si="428"/>
        <v>1-10</v>
      </c>
      <c r="AU2039" s="1193"/>
      <c r="AV2039" s="330">
        <f>SQRT(($R2039-Infrastructure!J$3)^2+($S2039-Infrastructure!K$3)^2)</f>
        <v>30.92005821</v>
      </c>
      <c r="AW2039" s="331">
        <f>SQRT(($R2039-Infrastructure!J$4)^2+($S2039-Infrastructure!K$4)^2)</f>
        <v>23.04170133</v>
      </c>
      <c r="AX2039" s="331">
        <f>SQRT(($R2039-Infrastructure!J$5)^2+($S2039-Infrastructure!K$5)^2)</f>
        <v>18.62176146</v>
      </c>
      <c r="AY2039" s="331">
        <f>SQRT(($R2039-Infrastructure!J$6)^2+($S2039-Infrastructure!K$6)^2)</f>
        <v>9.080198236</v>
      </c>
      <c r="AZ2039" s="331">
        <f>SQRT(($R2039-Infrastructure!J$7)^2+($S2039-Infrastructure!K$7)^2)</f>
        <v>4.477722635</v>
      </c>
      <c r="BA2039" s="331">
        <f>SQRT(($R2039-Infrastructure!J$8)^2+($S2039-Infrastructure!K$8)^2)</f>
        <v>12.42779144</v>
      </c>
      <c r="BB2039" s="331">
        <f>SQRT(($R2039-Infrastructure!J$9)^2+($S2039-Infrastructure!K$9)^2)</f>
        <v>21.71865558</v>
      </c>
      <c r="BC2039" s="331">
        <f>SQRT(($R2039-Infrastructure!J$10)^2+($S2039-Infrastructure!K$10)^2)</f>
        <v>24.23901813</v>
      </c>
      <c r="BD2039" s="331">
        <f>SQRT(($R2039-Infrastructure!J$11)^2+($S2039-Infrastructure!K$11)^2)</f>
        <v>33.08549531</v>
      </c>
      <c r="BE2039" s="333">
        <f>SQRT(($R2039-Infrastructure!J$12)^2+($S2039-Infrastructure!K$12)^2)</f>
        <v>51.39970817</v>
      </c>
      <c r="BF2039" s="330">
        <f t="shared" si="161"/>
        <v>4.477722635</v>
      </c>
      <c r="BG2039" s="333">
        <f t="shared" si="162"/>
        <v>51.39970817</v>
      </c>
      <c r="BH2039" s="1119"/>
      <c r="BI2039" s="319" t="str">
        <f t="shared" ref="BI2039:BR2039" si="929">IF(ISNUMBER(FIND(BI$3, $CO2039)), "Y", "")</f>
        <v/>
      </c>
      <c r="BJ2039" s="319" t="str">
        <f t="shared" si="929"/>
        <v/>
      </c>
      <c r="BK2039" s="319" t="str">
        <f t="shared" si="929"/>
        <v/>
      </c>
      <c r="BL2039" s="319" t="str">
        <f t="shared" si="929"/>
        <v/>
      </c>
      <c r="BM2039" s="319" t="str">
        <f t="shared" si="929"/>
        <v/>
      </c>
      <c r="BN2039" s="319" t="str">
        <f t="shared" si="929"/>
        <v/>
      </c>
      <c r="BO2039" s="319" t="str">
        <f t="shared" si="929"/>
        <v/>
      </c>
      <c r="BP2039" s="319" t="str">
        <f t="shared" si="929"/>
        <v/>
      </c>
      <c r="BQ2039" s="319" t="str">
        <f t="shared" si="929"/>
        <v/>
      </c>
      <c r="BR2039" s="319" t="str">
        <f t="shared" si="929"/>
        <v/>
      </c>
      <c r="BS2039" s="330">
        <f t="shared" si="185"/>
        <v>0</v>
      </c>
      <c r="BT2039" s="331">
        <f t="shared" si="170"/>
        <v>0</v>
      </c>
      <c r="BU2039" s="920"/>
      <c r="BV2039" s="903" t="str">
        <f t="shared" si="186"/>
        <v/>
      </c>
      <c r="BW2039" s="908"/>
      <c r="BX2039" s="908"/>
      <c r="BY2039" s="331" t="b">
        <f t="shared" si="201"/>
        <v>0</v>
      </c>
      <c r="BZ2039" s="331"/>
      <c r="CA2039" s="462" t="str">
        <f t="shared" ref="CA2039:CJ2039" si="930">IF(ISNUMBER(FIND(BI$3, $CP2039)), "Y", "")</f>
        <v/>
      </c>
      <c r="CB2039" s="319" t="str">
        <f t="shared" si="930"/>
        <v/>
      </c>
      <c r="CC2039" s="319" t="str">
        <f t="shared" si="930"/>
        <v/>
      </c>
      <c r="CD2039" s="319" t="str">
        <f t="shared" si="930"/>
        <v/>
      </c>
      <c r="CE2039" s="319" t="str">
        <f t="shared" si="930"/>
        <v/>
      </c>
      <c r="CF2039" s="319" t="str">
        <f t="shared" si="930"/>
        <v/>
      </c>
      <c r="CG2039" s="319" t="str">
        <f t="shared" si="930"/>
        <v/>
      </c>
      <c r="CH2039" s="319" t="str">
        <f t="shared" si="930"/>
        <v/>
      </c>
      <c r="CI2039" s="319" t="str">
        <f t="shared" si="930"/>
        <v/>
      </c>
      <c r="CJ2039" s="319" t="str">
        <f t="shared" si="930"/>
        <v/>
      </c>
      <c r="CK2039" s="342">
        <f t="shared" si="182"/>
        <v>0</v>
      </c>
      <c r="CL2039" s="333">
        <f t="shared" si="183"/>
        <v>0</v>
      </c>
      <c r="CM2039" s="1079" t="s">
        <v>2602</v>
      </c>
      <c r="CN2039" s="1005" t="s">
        <v>3042</v>
      </c>
      <c r="CO2039" s="1005"/>
      <c r="CP2039" s="1005"/>
    </row>
    <row r="2040">
      <c r="A2040" s="266"/>
      <c r="B2040" s="1113" t="s">
        <v>1750</v>
      </c>
      <c r="C2040" s="1107">
        <v>45573.0</v>
      </c>
      <c r="D2040" s="103"/>
      <c r="E2040" s="1108">
        <v>3.0</v>
      </c>
      <c r="F2040" s="112" t="s">
        <v>3044</v>
      </c>
      <c r="G2040" s="1110">
        <v>0.6008101851851851</v>
      </c>
      <c r="H2040" s="1110">
        <v>0.6013888888888889</v>
      </c>
      <c r="I2040" s="1110"/>
      <c r="J2040" s="1111"/>
      <c r="K2040" s="1111">
        <v>0.6024305555555556</v>
      </c>
      <c r="L2040" s="1112">
        <v>0.0010416666666666667</v>
      </c>
      <c r="M2040" s="1113" t="s">
        <v>166</v>
      </c>
      <c r="N2040" s="110" t="s">
        <v>187</v>
      </c>
      <c r="O2040" s="1115" t="s">
        <v>202</v>
      </c>
      <c r="P2040" s="1115" t="s">
        <v>256</v>
      </c>
      <c r="Q2040" s="1116"/>
      <c r="R2040" s="120">
        <v>18.3</v>
      </c>
      <c r="S2040" s="1113">
        <v>4.2</v>
      </c>
      <c r="T2040" s="110">
        <v>1.34</v>
      </c>
      <c r="U2040" s="1108">
        <v>1.0</v>
      </c>
      <c r="V2040" s="1108"/>
      <c r="W2040" s="1108"/>
      <c r="X2040" s="1108"/>
      <c r="Y2040" s="1108"/>
      <c r="Z2040" s="1114" t="s">
        <v>339</v>
      </c>
      <c r="AA2040" s="1114"/>
      <c r="AB2040" s="1114" t="s">
        <v>341</v>
      </c>
      <c r="AC2040" s="1117">
        <v>3.0</v>
      </c>
      <c r="AD2040" s="1115"/>
      <c r="AE2040" s="1115"/>
      <c r="AF2040" s="1115"/>
      <c r="AG2040" s="1115"/>
      <c r="AH2040" s="1115"/>
      <c r="AI2040" s="1115"/>
      <c r="AJ2040" s="1117"/>
      <c r="AK2040" s="1118"/>
      <c r="AL2040" s="1115"/>
      <c r="AM2040" s="1115"/>
      <c r="AN2040" s="1115"/>
      <c r="AO2040" s="1115"/>
      <c r="AP2040" s="1115"/>
      <c r="AQ2040" s="1115"/>
      <c r="AR2040" s="1115"/>
      <c r="AS2040" s="1117"/>
      <c r="AT2040" s="1196" t="str">
        <f t="shared" si="428"/>
        <v>1-10</v>
      </c>
      <c r="AU2040" s="1193"/>
      <c r="AV2040" s="330">
        <f>SQRT(($R2040-Infrastructure!J$3)^2+($S2040-Infrastructure!K$3)^2)</f>
        <v>30.92005821</v>
      </c>
      <c r="AW2040" s="331">
        <f>SQRT(($R2040-Infrastructure!J$4)^2+($S2040-Infrastructure!K$4)^2)</f>
        <v>23.04170133</v>
      </c>
      <c r="AX2040" s="331">
        <f>SQRT(($R2040-Infrastructure!J$5)^2+($S2040-Infrastructure!K$5)^2)</f>
        <v>18.62176146</v>
      </c>
      <c r="AY2040" s="331">
        <f>SQRT(($R2040-Infrastructure!J$6)^2+($S2040-Infrastructure!K$6)^2)</f>
        <v>9.080198236</v>
      </c>
      <c r="AZ2040" s="331">
        <f>SQRT(($R2040-Infrastructure!J$7)^2+($S2040-Infrastructure!K$7)^2)</f>
        <v>4.477722635</v>
      </c>
      <c r="BA2040" s="331">
        <f>SQRT(($R2040-Infrastructure!J$8)^2+($S2040-Infrastructure!K$8)^2)</f>
        <v>12.42779144</v>
      </c>
      <c r="BB2040" s="331">
        <f>SQRT(($R2040-Infrastructure!J$9)^2+($S2040-Infrastructure!K$9)^2)</f>
        <v>21.71865558</v>
      </c>
      <c r="BC2040" s="331">
        <f>SQRT(($R2040-Infrastructure!J$10)^2+($S2040-Infrastructure!K$10)^2)</f>
        <v>24.23901813</v>
      </c>
      <c r="BD2040" s="331">
        <f>SQRT(($R2040-Infrastructure!J$11)^2+($S2040-Infrastructure!K$11)^2)</f>
        <v>33.08549531</v>
      </c>
      <c r="BE2040" s="333">
        <f>SQRT(($R2040-Infrastructure!J$12)^2+($S2040-Infrastructure!K$12)^2)</f>
        <v>51.39970817</v>
      </c>
      <c r="BF2040" s="330">
        <f t="shared" si="161"/>
        <v>4.477722635</v>
      </c>
      <c r="BG2040" s="333">
        <f t="shared" si="162"/>
        <v>51.39970817</v>
      </c>
      <c r="BH2040" s="1119"/>
      <c r="BI2040" s="319" t="str">
        <f t="shared" ref="BI2040:BR2040" si="931">IF(ISNUMBER(FIND(BI$3, $CO2040)), "Y", "")</f>
        <v/>
      </c>
      <c r="BJ2040" s="319" t="str">
        <f t="shared" si="931"/>
        <v/>
      </c>
      <c r="BK2040" s="319" t="str">
        <f t="shared" si="931"/>
        <v/>
      </c>
      <c r="BL2040" s="319" t="str">
        <f t="shared" si="931"/>
        <v/>
      </c>
      <c r="BM2040" s="319" t="str">
        <f t="shared" si="931"/>
        <v/>
      </c>
      <c r="BN2040" s="319" t="str">
        <f t="shared" si="931"/>
        <v/>
      </c>
      <c r="BO2040" s="319" t="str">
        <f t="shared" si="931"/>
        <v/>
      </c>
      <c r="BP2040" s="319" t="str">
        <f t="shared" si="931"/>
        <v/>
      </c>
      <c r="BQ2040" s="319" t="str">
        <f t="shared" si="931"/>
        <v/>
      </c>
      <c r="BR2040" s="319" t="str">
        <f t="shared" si="931"/>
        <v/>
      </c>
      <c r="BS2040" s="330">
        <f t="shared" si="185"/>
        <v>0</v>
      </c>
      <c r="BT2040" s="331">
        <f t="shared" si="170"/>
        <v>0</v>
      </c>
      <c r="BU2040" s="920"/>
      <c r="BV2040" s="903" t="str">
        <f t="shared" si="186"/>
        <v/>
      </c>
      <c r="BW2040" s="908"/>
      <c r="BX2040" s="908"/>
      <c r="BY2040" s="331" t="b">
        <f t="shared" si="201"/>
        <v>0</v>
      </c>
      <c r="BZ2040" s="331"/>
      <c r="CA2040" s="462" t="str">
        <f t="shared" ref="CA2040:CJ2040" si="932">IF(ISNUMBER(FIND(BI$3, $CP2040)), "Y", "")</f>
        <v/>
      </c>
      <c r="CB2040" s="319" t="str">
        <f t="shared" si="932"/>
        <v/>
      </c>
      <c r="CC2040" s="319" t="str">
        <f t="shared" si="932"/>
        <v/>
      </c>
      <c r="CD2040" s="319" t="str">
        <f t="shared" si="932"/>
        <v/>
      </c>
      <c r="CE2040" s="319" t="str">
        <f t="shared" si="932"/>
        <v/>
      </c>
      <c r="CF2040" s="319" t="str">
        <f t="shared" si="932"/>
        <v/>
      </c>
      <c r="CG2040" s="319" t="str">
        <f t="shared" si="932"/>
        <v/>
      </c>
      <c r="CH2040" s="319" t="str">
        <f t="shared" si="932"/>
        <v/>
      </c>
      <c r="CI2040" s="319" t="str">
        <f t="shared" si="932"/>
        <v/>
      </c>
      <c r="CJ2040" s="319" t="str">
        <f t="shared" si="932"/>
        <v/>
      </c>
      <c r="CK2040" s="342">
        <f t="shared" si="182"/>
        <v>0</v>
      </c>
      <c r="CL2040" s="333">
        <f t="shared" si="183"/>
        <v>0</v>
      </c>
      <c r="CM2040" s="1079" t="s">
        <v>2602</v>
      </c>
      <c r="CN2040" s="1005" t="s">
        <v>3042</v>
      </c>
      <c r="CO2040" s="1005"/>
      <c r="CP2040" s="1005"/>
    </row>
    <row r="2041">
      <c r="A2041" s="266"/>
      <c r="B2041" s="1113" t="s">
        <v>1750</v>
      </c>
      <c r="C2041" s="1107">
        <v>45573.0</v>
      </c>
      <c r="D2041" s="103"/>
      <c r="E2041" s="1108">
        <v>4.0</v>
      </c>
      <c r="F2041" s="112" t="s">
        <v>3045</v>
      </c>
      <c r="G2041" s="1110">
        <v>0.6029513888888889</v>
      </c>
      <c r="H2041" s="1110">
        <v>0.6034722222222222</v>
      </c>
      <c r="I2041" s="1110"/>
      <c r="J2041" s="1111"/>
      <c r="K2041" s="1111">
        <v>0.6045138888888889</v>
      </c>
      <c r="L2041" s="1112">
        <v>0.0010416666666666667</v>
      </c>
      <c r="M2041" s="1113" t="s">
        <v>166</v>
      </c>
      <c r="N2041" s="110" t="s">
        <v>187</v>
      </c>
      <c r="O2041" s="1115" t="s">
        <v>202</v>
      </c>
      <c r="P2041" s="1115" t="s">
        <v>256</v>
      </c>
      <c r="Q2041" s="1116"/>
      <c r="R2041" s="120">
        <v>18.3</v>
      </c>
      <c r="S2041" s="1113">
        <v>4.2</v>
      </c>
      <c r="T2041" s="110">
        <v>1.34</v>
      </c>
      <c r="U2041" s="1108">
        <v>0.5</v>
      </c>
      <c r="V2041" s="1108"/>
      <c r="W2041" s="1108"/>
      <c r="X2041" s="1108"/>
      <c r="Y2041" s="1108"/>
      <c r="Z2041" s="1114" t="s">
        <v>339</v>
      </c>
      <c r="AA2041" s="1114"/>
      <c r="AB2041" s="1114" t="s">
        <v>341</v>
      </c>
      <c r="AC2041" s="1117">
        <v>3.0</v>
      </c>
      <c r="AD2041" s="1115"/>
      <c r="AE2041" s="1115"/>
      <c r="AF2041" s="1115"/>
      <c r="AG2041" s="1115"/>
      <c r="AH2041" s="1115"/>
      <c r="AI2041" s="1115"/>
      <c r="AJ2041" s="1117"/>
      <c r="AK2041" s="1118"/>
      <c r="AL2041" s="1115"/>
      <c r="AM2041" s="1115"/>
      <c r="AN2041" s="1115"/>
      <c r="AO2041" s="1115"/>
      <c r="AP2041" s="1115"/>
      <c r="AQ2041" s="1115"/>
      <c r="AR2041" s="1115"/>
      <c r="AS2041" s="1117"/>
      <c r="AT2041" s="1196" t="str">
        <f t="shared" si="428"/>
        <v>0-1</v>
      </c>
      <c r="AU2041" s="1193"/>
      <c r="AV2041" s="330">
        <f>SQRT(($R2041-Infrastructure!J$3)^2+($S2041-Infrastructure!K$3)^2)</f>
        <v>30.92005821</v>
      </c>
      <c r="AW2041" s="331">
        <f>SQRT(($R2041-Infrastructure!J$4)^2+($S2041-Infrastructure!K$4)^2)</f>
        <v>23.04170133</v>
      </c>
      <c r="AX2041" s="331">
        <f>SQRT(($R2041-Infrastructure!J$5)^2+($S2041-Infrastructure!K$5)^2)</f>
        <v>18.62176146</v>
      </c>
      <c r="AY2041" s="331">
        <f>SQRT(($R2041-Infrastructure!J$6)^2+($S2041-Infrastructure!K$6)^2)</f>
        <v>9.080198236</v>
      </c>
      <c r="AZ2041" s="331">
        <f>SQRT(($R2041-Infrastructure!J$7)^2+($S2041-Infrastructure!K$7)^2)</f>
        <v>4.477722635</v>
      </c>
      <c r="BA2041" s="331">
        <f>SQRT(($R2041-Infrastructure!J$8)^2+($S2041-Infrastructure!K$8)^2)</f>
        <v>12.42779144</v>
      </c>
      <c r="BB2041" s="331">
        <f>SQRT(($R2041-Infrastructure!J$9)^2+($S2041-Infrastructure!K$9)^2)</f>
        <v>21.71865558</v>
      </c>
      <c r="BC2041" s="331">
        <f>SQRT(($R2041-Infrastructure!J$10)^2+($S2041-Infrastructure!K$10)^2)</f>
        <v>24.23901813</v>
      </c>
      <c r="BD2041" s="331">
        <f>SQRT(($R2041-Infrastructure!J$11)^2+($S2041-Infrastructure!K$11)^2)</f>
        <v>33.08549531</v>
      </c>
      <c r="BE2041" s="333">
        <f>SQRT(($R2041-Infrastructure!J$12)^2+($S2041-Infrastructure!K$12)^2)</f>
        <v>51.39970817</v>
      </c>
      <c r="BF2041" s="330">
        <f t="shared" si="161"/>
        <v>4.477722635</v>
      </c>
      <c r="BG2041" s="333">
        <f t="shared" si="162"/>
        <v>51.39970817</v>
      </c>
      <c r="BH2041" s="1119"/>
      <c r="BI2041" s="319" t="str">
        <f t="shared" ref="BI2041:BR2041" si="933">IF(ISNUMBER(FIND(BI$3, $CO2041)), "Y", "")</f>
        <v/>
      </c>
      <c r="BJ2041" s="319" t="str">
        <f t="shared" si="933"/>
        <v/>
      </c>
      <c r="BK2041" s="319" t="str">
        <f t="shared" si="933"/>
        <v/>
      </c>
      <c r="BL2041" s="319" t="str">
        <f t="shared" si="933"/>
        <v/>
      </c>
      <c r="BM2041" s="319" t="str">
        <f t="shared" si="933"/>
        <v/>
      </c>
      <c r="BN2041" s="319" t="str">
        <f t="shared" si="933"/>
        <v/>
      </c>
      <c r="BO2041" s="319" t="str">
        <f t="shared" si="933"/>
        <v/>
      </c>
      <c r="BP2041" s="319" t="str">
        <f t="shared" si="933"/>
        <v/>
      </c>
      <c r="BQ2041" s="319" t="str">
        <f t="shared" si="933"/>
        <v/>
      </c>
      <c r="BR2041" s="319" t="str">
        <f t="shared" si="933"/>
        <v/>
      </c>
      <c r="BS2041" s="330">
        <f t="shared" si="185"/>
        <v>0</v>
      </c>
      <c r="BT2041" s="331">
        <f t="shared" si="170"/>
        <v>0</v>
      </c>
      <c r="BU2041" s="920"/>
      <c r="BV2041" s="903" t="str">
        <f t="shared" si="186"/>
        <v/>
      </c>
      <c r="BW2041" s="908"/>
      <c r="BX2041" s="908"/>
      <c r="BY2041" s="331" t="b">
        <f t="shared" si="201"/>
        <v>0</v>
      </c>
      <c r="BZ2041" s="331"/>
      <c r="CA2041" s="462" t="str">
        <f t="shared" ref="CA2041:CJ2041" si="934">IF(ISNUMBER(FIND(BI$3, $CP2041)), "Y", "")</f>
        <v/>
      </c>
      <c r="CB2041" s="319" t="str">
        <f t="shared" si="934"/>
        <v/>
      </c>
      <c r="CC2041" s="319" t="str">
        <f t="shared" si="934"/>
        <v/>
      </c>
      <c r="CD2041" s="319" t="str">
        <f t="shared" si="934"/>
        <v/>
      </c>
      <c r="CE2041" s="319" t="str">
        <f t="shared" si="934"/>
        <v/>
      </c>
      <c r="CF2041" s="319" t="str">
        <f t="shared" si="934"/>
        <v/>
      </c>
      <c r="CG2041" s="319" t="str">
        <f t="shared" si="934"/>
        <v/>
      </c>
      <c r="CH2041" s="319" t="str">
        <f t="shared" si="934"/>
        <v/>
      </c>
      <c r="CI2041" s="319" t="str">
        <f t="shared" si="934"/>
        <v/>
      </c>
      <c r="CJ2041" s="319" t="str">
        <f t="shared" si="934"/>
        <v/>
      </c>
      <c r="CK2041" s="342">
        <f t="shared" si="182"/>
        <v>0</v>
      </c>
      <c r="CL2041" s="333">
        <f t="shared" si="183"/>
        <v>0</v>
      </c>
      <c r="CM2041" s="1079" t="s">
        <v>2602</v>
      </c>
      <c r="CN2041" s="1005" t="s">
        <v>3042</v>
      </c>
      <c r="CO2041" s="1005"/>
      <c r="CP2041" s="1005"/>
    </row>
    <row r="2042">
      <c r="A2042" s="266"/>
      <c r="B2042" s="1113" t="s">
        <v>1750</v>
      </c>
      <c r="C2042" s="1107">
        <v>45573.0</v>
      </c>
      <c r="D2042" s="103"/>
      <c r="E2042" s="1108">
        <v>5.0</v>
      </c>
      <c r="F2042" s="112" t="s">
        <v>3046</v>
      </c>
      <c r="G2042" s="1110">
        <v>0.6107638888888889</v>
      </c>
      <c r="H2042" s="1110">
        <v>0.6112847222222222</v>
      </c>
      <c r="I2042" s="1110"/>
      <c r="J2042" s="1111"/>
      <c r="K2042" s="1111">
        <v>0.6125</v>
      </c>
      <c r="L2042" s="1112">
        <v>0.0012152777777777778</v>
      </c>
      <c r="M2042" s="1113" t="s">
        <v>166</v>
      </c>
      <c r="N2042" s="110" t="s">
        <v>187</v>
      </c>
      <c r="O2042" s="1115" t="s">
        <v>207</v>
      </c>
      <c r="P2042" s="1115" t="s">
        <v>219</v>
      </c>
      <c r="Q2042" s="1116"/>
      <c r="R2042" s="120">
        <v>18.3</v>
      </c>
      <c r="S2042" s="1113">
        <v>4.2</v>
      </c>
      <c r="T2042" s="110">
        <v>1.34</v>
      </c>
      <c r="U2042" s="1108">
        <v>4.0</v>
      </c>
      <c r="V2042" s="1108"/>
      <c r="W2042" s="1108"/>
      <c r="X2042" s="1108"/>
      <c r="Y2042" s="1108"/>
      <c r="Z2042" s="1114" t="s">
        <v>374</v>
      </c>
      <c r="AA2042" s="1114"/>
      <c r="AB2042" s="1114" t="s">
        <v>388</v>
      </c>
      <c r="AC2042" s="1117">
        <v>8.0</v>
      </c>
      <c r="AD2042" s="1115"/>
      <c r="AE2042" s="1115"/>
      <c r="AF2042" s="1115"/>
      <c r="AG2042" s="1115"/>
      <c r="AH2042" s="1115"/>
      <c r="AI2042" s="1115"/>
      <c r="AJ2042" s="1117"/>
      <c r="AK2042" s="1118"/>
      <c r="AL2042" s="1115"/>
      <c r="AM2042" s="1115"/>
      <c r="AN2042" s="1115"/>
      <c r="AO2042" s="1115"/>
      <c r="AP2042" s="1115"/>
      <c r="AQ2042" s="1115"/>
      <c r="AR2042" s="1115"/>
      <c r="AS2042" s="1117"/>
      <c r="AT2042" s="1196" t="str">
        <f t="shared" si="428"/>
        <v>1-10</v>
      </c>
      <c r="AU2042" s="1193"/>
      <c r="AV2042" s="330">
        <f>SQRT(($R2042-Infrastructure!J$3)^2+($S2042-Infrastructure!K$3)^2)</f>
        <v>30.92005821</v>
      </c>
      <c r="AW2042" s="331">
        <f>SQRT(($R2042-Infrastructure!J$4)^2+($S2042-Infrastructure!K$4)^2)</f>
        <v>23.04170133</v>
      </c>
      <c r="AX2042" s="331">
        <f>SQRT(($R2042-Infrastructure!J$5)^2+($S2042-Infrastructure!K$5)^2)</f>
        <v>18.62176146</v>
      </c>
      <c r="AY2042" s="331">
        <f>SQRT(($R2042-Infrastructure!J$6)^2+($S2042-Infrastructure!K$6)^2)</f>
        <v>9.080198236</v>
      </c>
      <c r="AZ2042" s="331">
        <f>SQRT(($R2042-Infrastructure!J$7)^2+($S2042-Infrastructure!K$7)^2)</f>
        <v>4.477722635</v>
      </c>
      <c r="BA2042" s="331">
        <f>SQRT(($R2042-Infrastructure!J$8)^2+($S2042-Infrastructure!K$8)^2)</f>
        <v>12.42779144</v>
      </c>
      <c r="BB2042" s="331">
        <f>SQRT(($R2042-Infrastructure!J$9)^2+($S2042-Infrastructure!K$9)^2)</f>
        <v>21.71865558</v>
      </c>
      <c r="BC2042" s="331">
        <f>SQRT(($R2042-Infrastructure!J$10)^2+($S2042-Infrastructure!K$10)^2)</f>
        <v>24.23901813</v>
      </c>
      <c r="BD2042" s="331">
        <f>SQRT(($R2042-Infrastructure!J$11)^2+($S2042-Infrastructure!K$11)^2)</f>
        <v>33.08549531</v>
      </c>
      <c r="BE2042" s="333">
        <f>SQRT(($R2042-Infrastructure!J$12)^2+($S2042-Infrastructure!K$12)^2)</f>
        <v>51.39970817</v>
      </c>
      <c r="BF2042" s="330">
        <f t="shared" si="161"/>
        <v>4.477722635</v>
      </c>
      <c r="BG2042" s="333">
        <f t="shared" si="162"/>
        <v>51.39970817</v>
      </c>
      <c r="BH2042" s="1119"/>
      <c r="BI2042" s="319" t="str">
        <f t="shared" ref="BI2042:BR2042" si="935">IF(ISNUMBER(FIND(BI$3, $CO2042)), "Y", "")</f>
        <v/>
      </c>
      <c r="BJ2042" s="319" t="str">
        <f t="shared" si="935"/>
        <v/>
      </c>
      <c r="BK2042" s="319" t="str">
        <f t="shared" si="935"/>
        <v/>
      </c>
      <c r="BL2042" s="319" t="str">
        <f t="shared" si="935"/>
        <v/>
      </c>
      <c r="BM2042" s="319" t="str">
        <f t="shared" si="935"/>
        <v/>
      </c>
      <c r="BN2042" s="319" t="str">
        <f t="shared" si="935"/>
        <v/>
      </c>
      <c r="BO2042" s="319" t="str">
        <f t="shared" si="935"/>
        <v/>
      </c>
      <c r="BP2042" s="319" t="str">
        <f t="shared" si="935"/>
        <v/>
      </c>
      <c r="BQ2042" s="319" t="str">
        <f t="shared" si="935"/>
        <v/>
      </c>
      <c r="BR2042" s="319" t="str">
        <f t="shared" si="935"/>
        <v/>
      </c>
      <c r="BS2042" s="330">
        <f t="shared" si="185"/>
        <v>0</v>
      </c>
      <c r="BT2042" s="331">
        <f t="shared" si="170"/>
        <v>0</v>
      </c>
      <c r="BU2042" s="920"/>
      <c r="BV2042" s="903" t="str">
        <f t="shared" si="186"/>
        <v/>
      </c>
      <c r="BW2042" s="908"/>
      <c r="BX2042" s="908"/>
      <c r="BY2042" s="331" t="b">
        <f t="shared" si="201"/>
        <v>0</v>
      </c>
      <c r="BZ2042" s="331"/>
      <c r="CA2042" s="462" t="str">
        <f t="shared" ref="CA2042:CJ2042" si="936">IF(ISNUMBER(FIND(BI$3, $CP2042)), "Y", "")</f>
        <v/>
      </c>
      <c r="CB2042" s="319" t="str">
        <f t="shared" si="936"/>
        <v/>
      </c>
      <c r="CC2042" s="319" t="str">
        <f t="shared" si="936"/>
        <v/>
      </c>
      <c r="CD2042" s="319" t="str">
        <f t="shared" si="936"/>
        <v/>
      </c>
      <c r="CE2042" s="319" t="str">
        <f t="shared" si="936"/>
        <v/>
      </c>
      <c r="CF2042" s="319" t="str">
        <f t="shared" si="936"/>
        <v/>
      </c>
      <c r="CG2042" s="319" t="str">
        <f t="shared" si="936"/>
        <v/>
      </c>
      <c r="CH2042" s="319" t="str">
        <f t="shared" si="936"/>
        <v/>
      </c>
      <c r="CI2042" s="319" t="str">
        <f t="shared" si="936"/>
        <v/>
      </c>
      <c r="CJ2042" s="319" t="str">
        <f t="shared" si="936"/>
        <v/>
      </c>
      <c r="CK2042" s="342">
        <f t="shared" si="182"/>
        <v>0</v>
      </c>
      <c r="CL2042" s="333">
        <f t="shared" si="183"/>
        <v>0</v>
      </c>
      <c r="CM2042" s="1079" t="s">
        <v>2602</v>
      </c>
      <c r="CN2042" s="1005" t="s">
        <v>3042</v>
      </c>
      <c r="CO2042" s="1005"/>
      <c r="CP2042" s="1005"/>
    </row>
    <row r="2043">
      <c r="A2043" s="266"/>
      <c r="B2043" s="1113" t="s">
        <v>1750</v>
      </c>
      <c r="C2043" s="1107">
        <v>45573.0</v>
      </c>
      <c r="D2043" s="103"/>
      <c r="E2043" s="1108">
        <v>6.0</v>
      </c>
      <c r="F2043" s="112" t="s">
        <v>3047</v>
      </c>
      <c r="G2043" s="1110">
        <v>0.6134259259259259</v>
      </c>
      <c r="H2043" s="1110">
        <v>0.6137152777777778</v>
      </c>
      <c r="I2043" s="1110"/>
      <c r="J2043" s="1111"/>
      <c r="K2043" s="1111">
        <v>0.615625</v>
      </c>
      <c r="L2043" s="1112">
        <v>0.0019097222222222222</v>
      </c>
      <c r="M2043" s="1113" t="s">
        <v>166</v>
      </c>
      <c r="N2043" s="110" t="s">
        <v>187</v>
      </c>
      <c r="O2043" s="1115" t="s">
        <v>207</v>
      </c>
      <c r="P2043" s="1115" t="s">
        <v>219</v>
      </c>
      <c r="Q2043" s="1116"/>
      <c r="R2043" s="120">
        <v>18.3</v>
      </c>
      <c r="S2043" s="1113">
        <v>4.2</v>
      </c>
      <c r="T2043" s="110">
        <v>1.24</v>
      </c>
      <c r="U2043" s="1108">
        <v>2.0</v>
      </c>
      <c r="V2043" s="1108"/>
      <c r="W2043" s="1108"/>
      <c r="X2043" s="1108"/>
      <c r="Y2043" s="1108"/>
      <c r="Z2043" s="1114" t="s">
        <v>374</v>
      </c>
      <c r="AA2043" s="1114"/>
      <c r="AB2043" s="1114" t="s">
        <v>388</v>
      </c>
      <c r="AC2043" s="1117">
        <v>8.0</v>
      </c>
      <c r="AD2043" s="1115"/>
      <c r="AE2043" s="1115"/>
      <c r="AF2043" s="1115"/>
      <c r="AG2043" s="1115"/>
      <c r="AH2043" s="1115"/>
      <c r="AI2043" s="1115"/>
      <c r="AJ2043" s="1117"/>
      <c r="AK2043" s="1118"/>
      <c r="AL2043" s="1115"/>
      <c r="AM2043" s="1115"/>
      <c r="AN2043" s="1115"/>
      <c r="AO2043" s="1115"/>
      <c r="AP2043" s="1115"/>
      <c r="AQ2043" s="1115"/>
      <c r="AR2043" s="1115"/>
      <c r="AS2043" s="1117"/>
      <c r="AT2043" s="1196" t="str">
        <f t="shared" si="428"/>
        <v>1-10</v>
      </c>
      <c r="AU2043" s="1193"/>
      <c r="AV2043" s="330">
        <f>SQRT(($R2043-Infrastructure!J$3)^2+($S2043-Infrastructure!K$3)^2)</f>
        <v>30.92005821</v>
      </c>
      <c r="AW2043" s="331">
        <f>SQRT(($R2043-Infrastructure!J$4)^2+($S2043-Infrastructure!K$4)^2)</f>
        <v>23.04170133</v>
      </c>
      <c r="AX2043" s="331">
        <f>SQRT(($R2043-Infrastructure!J$5)^2+($S2043-Infrastructure!K$5)^2)</f>
        <v>18.62176146</v>
      </c>
      <c r="AY2043" s="331">
        <f>SQRT(($R2043-Infrastructure!J$6)^2+($S2043-Infrastructure!K$6)^2)</f>
        <v>9.080198236</v>
      </c>
      <c r="AZ2043" s="331">
        <f>SQRT(($R2043-Infrastructure!J$7)^2+($S2043-Infrastructure!K$7)^2)</f>
        <v>4.477722635</v>
      </c>
      <c r="BA2043" s="331">
        <f>SQRT(($R2043-Infrastructure!J$8)^2+($S2043-Infrastructure!K$8)^2)</f>
        <v>12.42779144</v>
      </c>
      <c r="BB2043" s="331">
        <f>SQRT(($R2043-Infrastructure!J$9)^2+($S2043-Infrastructure!K$9)^2)</f>
        <v>21.71865558</v>
      </c>
      <c r="BC2043" s="331">
        <f>SQRT(($R2043-Infrastructure!J$10)^2+($S2043-Infrastructure!K$10)^2)</f>
        <v>24.23901813</v>
      </c>
      <c r="BD2043" s="331">
        <f>SQRT(($R2043-Infrastructure!J$11)^2+($S2043-Infrastructure!K$11)^2)</f>
        <v>33.08549531</v>
      </c>
      <c r="BE2043" s="333">
        <f>SQRT(($R2043-Infrastructure!J$12)^2+($S2043-Infrastructure!K$12)^2)</f>
        <v>51.39970817</v>
      </c>
      <c r="BF2043" s="330">
        <f t="shared" si="161"/>
        <v>4.477722635</v>
      </c>
      <c r="BG2043" s="333">
        <f t="shared" si="162"/>
        <v>51.39970817</v>
      </c>
      <c r="BH2043" s="1119"/>
      <c r="BI2043" s="319" t="str">
        <f t="shared" ref="BI2043:BR2043" si="937">IF(ISNUMBER(FIND(BI$3, $CO2043)), "Y", "")</f>
        <v/>
      </c>
      <c r="BJ2043" s="319" t="str">
        <f t="shared" si="937"/>
        <v/>
      </c>
      <c r="BK2043" s="319" t="str">
        <f t="shared" si="937"/>
        <v/>
      </c>
      <c r="BL2043" s="319" t="str">
        <f t="shared" si="937"/>
        <v/>
      </c>
      <c r="BM2043" s="319" t="str">
        <f t="shared" si="937"/>
        <v/>
      </c>
      <c r="BN2043" s="319" t="str">
        <f t="shared" si="937"/>
        <v/>
      </c>
      <c r="BO2043" s="319" t="str">
        <f t="shared" si="937"/>
        <v/>
      </c>
      <c r="BP2043" s="319" t="str">
        <f t="shared" si="937"/>
        <v/>
      </c>
      <c r="BQ2043" s="319" t="str">
        <f t="shared" si="937"/>
        <v/>
      </c>
      <c r="BR2043" s="319" t="str">
        <f t="shared" si="937"/>
        <v/>
      </c>
      <c r="BS2043" s="330">
        <f t="shared" si="185"/>
        <v>0</v>
      </c>
      <c r="BT2043" s="331">
        <f t="shared" si="170"/>
        <v>0</v>
      </c>
      <c r="BU2043" s="920"/>
      <c r="BV2043" s="903" t="str">
        <f t="shared" si="186"/>
        <v/>
      </c>
      <c r="BW2043" s="908"/>
      <c r="BX2043" s="908"/>
      <c r="BY2043" s="331" t="b">
        <f t="shared" si="201"/>
        <v>0</v>
      </c>
      <c r="BZ2043" s="331"/>
      <c r="CA2043" s="462" t="str">
        <f t="shared" ref="CA2043:CJ2043" si="938">IF(ISNUMBER(FIND(BI$3, $CP2043)), "Y", "")</f>
        <v/>
      </c>
      <c r="CB2043" s="319" t="str">
        <f t="shared" si="938"/>
        <v/>
      </c>
      <c r="CC2043" s="319" t="str">
        <f t="shared" si="938"/>
        <v/>
      </c>
      <c r="CD2043" s="319" t="str">
        <f t="shared" si="938"/>
        <v/>
      </c>
      <c r="CE2043" s="319" t="str">
        <f t="shared" si="938"/>
        <v/>
      </c>
      <c r="CF2043" s="319" t="str">
        <f t="shared" si="938"/>
        <v/>
      </c>
      <c r="CG2043" s="319" t="str">
        <f t="shared" si="938"/>
        <v/>
      </c>
      <c r="CH2043" s="319" t="str">
        <f t="shared" si="938"/>
        <v/>
      </c>
      <c r="CI2043" s="319" t="str">
        <f t="shared" si="938"/>
        <v/>
      </c>
      <c r="CJ2043" s="319" t="str">
        <f t="shared" si="938"/>
        <v/>
      </c>
      <c r="CK2043" s="342">
        <f t="shared" si="182"/>
        <v>0</v>
      </c>
      <c r="CL2043" s="333">
        <f t="shared" si="183"/>
        <v>0</v>
      </c>
      <c r="CM2043" s="1079" t="s">
        <v>2602</v>
      </c>
      <c r="CN2043" s="1005" t="s">
        <v>3042</v>
      </c>
      <c r="CO2043" s="1005"/>
      <c r="CP2043" s="1005"/>
    </row>
    <row r="2044">
      <c r="A2044" s="266"/>
      <c r="B2044" s="1113" t="s">
        <v>1750</v>
      </c>
      <c r="C2044" s="1107">
        <v>45573.0</v>
      </c>
      <c r="D2044" s="103"/>
      <c r="E2044" s="1108">
        <v>7.0</v>
      </c>
      <c r="F2044" s="112" t="s">
        <v>3048</v>
      </c>
      <c r="G2044" s="1110">
        <v>0.6159837962962963</v>
      </c>
      <c r="H2044" s="1110">
        <v>0.6162037037037037</v>
      </c>
      <c r="I2044" s="1110"/>
      <c r="J2044" s="1111"/>
      <c r="K2044" s="1111">
        <v>0.6173611111111111</v>
      </c>
      <c r="L2044" s="1112">
        <v>0.0011574074074074073</v>
      </c>
      <c r="M2044" s="1113" t="s">
        <v>166</v>
      </c>
      <c r="N2044" s="110" t="s">
        <v>187</v>
      </c>
      <c r="O2044" s="1115" t="s">
        <v>207</v>
      </c>
      <c r="P2044" s="1115" t="s">
        <v>219</v>
      </c>
      <c r="Q2044" s="1116"/>
      <c r="R2044" s="120">
        <v>18.3</v>
      </c>
      <c r="S2044" s="1113">
        <v>4.2</v>
      </c>
      <c r="T2044" s="110">
        <v>1.24</v>
      </c>
      <c r="U2044" s="1108">
        <v>0.5</v>
      </c>
      <c r="V2044" s="1108"/>
      <c r="W2044" s="1108"/>
      <c r="X2044" s="1108"/>
      <c r="Y2044" s="1108"/>
      <c r="Z2044" s="1114" t="s">
        <v>374</v>
      </c>
      <c r="AA2044" s="1114"/>
      <c r="AB2044" s="1114" t="s">
        <v>388</v>
      </c>
      <c r="AC2044" s="1117">
        <v>8.0</v>
      </c>
      <c r="AD2044" s="1115"/>
      <c r="AE2044" s="1115"/>
      <c r="AF2044" s="1115"/>
      <c r="AG2044" s="1115"/>
      <c r="AH2044" s="1115"/>
      <c r="AI2044" s="1115"/>
      <c r="AJ2044" s="1117"/>
      <c r="AK2044" s="1118"/>
      <c r="AL2044" s="1115"/>
      <c r="AM2044" s="1115"/>
      <c r="AN2044" s="1115"/>
      <c r="AO2044" s="1115"/>
      <c r="AP2044" s="1115"/>
      <c r="AQ2044" s="1115"/>
      <c r="AR2044" s="1115"/>
      <c r="AS2044" s="1117"/>
      <c r="AT2044" s="1196" t="str">
        <f t="shared" si="428"/>
        <v>0-1</v>
      </c>
      <c r="AU2044" s="1193"/>
      <c r="AV2044" s="330">
        <f>SQRT(($R2044-Infrastructure!J$3)^2+($S2044-Infrastructure!K$3)^2)</f>
        <v>30.92005821</v>
      </c>
      <c r="AW2044" s="331">
        <f>SQRT(($R2044-Infrastructure!J$4)^2+($S2044-Infrastructure!K$4)^2)</f>
        <v>23.04170133</v>
      </c>
      <c r="AX2044" s="331">
        <f>SQRT(($R2044-Infrastructure!J$5)^2+($S2044-Infrastructure!K$5)^2)</f>
        <v>18.62176146</v>
      </c>
      <c r="AY2044" s="331">
        <f>SQRT(($R2044-Infrastructure!J$6)^2+($S2044-Infrastructure!K$6)^2)</f>
        <v>9.080198236</v>
      </c>
      <c r="AZ2044" s="331">
        <f>SQRT(($R2044-Infrastructure!J$7)^2+($S2044-Infrastructure!K$7)^2)</f>
        <v>4.477722635</v>
      </c>
      <c r="BA2044" s="331">
        <f>SQRT(($R2044-Infrastructure!J$8)^2+($S2044-Infrastructure!K$8)^2)</f>
        <v>12.42779144</v>
      </c>
      <c r="BB2044" s="331">
        <f>SQRT(($R2044-Infrastructure!J$9)^2+($S2044-Infrastructure!K$9)^2)</f>
        <v>21.71865558</v>
      </c>
      <c r="BC2044" s="331">
        <f>SQRT(($R2044-Infrastructure!J$10)^2+($S2044-Infrastructure!K$10)^2)</f>
        <v>24.23901813</v>
      </c>
      <c r="BD2044" s="331">
        <f>SQRT(($R2044-Infrastructure!J$11)^2+($S2044-Infrastructure!K$11)^2)</f>
        <v>33.08549531</v>
      </c>
      <c r="BE2044" s="333">
        <f>SQRT(($R2044-Infrastructure!J$12)^2+($S2044-Infrastructure!K$12)^2)</f>
        <v>51.39970817</v>
      </c>
      <c r="BF2044" s="330">
        <f t="shared" si="161"/>
        <v>4.477722635</v>
      </c>
      <c r="BG2044" s="333">
        <f t="shared" si="162"/>
        <v>51.39970817</v>
      </c>
      <c r="BH2044" s="1119"/>
      <c r="BI2044" s="319" t="str">
        <f t="shared" ref="BI2044:BR2044" si="939">IF(ISNUMBER(FIND(BI$3, $CO2044)), "Y", "")</f>
        <v/>
      </c>
      <c r="BJ2044" s="319" t="str">
        <f t="shared" si="939"/>
        <v/>
      </c>
      <c r="BK2044" s="319" t="str">
        <f t="shared" si="939"/>
        <v/>
      </c>
      <c r="BL2044" s="319" t="str">
        <f t="shared" si="939"/>
        <v/>
      </c>
      <c r="BM2044" s="319" t="str">
        <f t="shared" si="939"/>
        <v/>
      </c>
      <c r="BN2044" s="319" t="str">
        <f t="shared" si="939"/>
        <v/>
      </c>
      <c r="BO2044" s="319" t="str">
        <f t="shared" si="939"/>
        <v/>
      </c>
      <c r="BP2044" s="319" t="str">
        <f t="shared" si="939"/>
        <v/>
      </c>
      <c r="BQ2044" s="319" t="str">
        <f t="shared" si="939"/>
        <v/>
      </c>
      <c r="BR2044" s="319" t="str">
        <f t="shared" si="939"/>
        <v/>
      </c>
      <c r="BS2044" s="330">
        <f t="shared" si="185"/>
        <v>0</v>
      </c>
      <c r="BT2044" s="331">
        <f t="shared" si="170"/>
        <v>0</v>
      </c>
      <c r="BU2044" s="920"/>
      <c r="BV2044" s="903" t="str">
        <f t="shared" si="186"/>
        <v/>
      </c>
      <c r="BW2044" s="908"/>
      <c r="BX2044" s="908"/>
      <c r="BY2044" s="331" t="b">
        <f t="shared" si="201"/>
        <v>0</v>
      </c>
      <c r="BZ2044" s="331"/>
      <c r="CA2044" s="462" t="str">
        <f t="shared" ref="CA2044:CJ2044" si="940">IF(ISNUMBER(FIND(BI$3, $CP2044)), "Y", "")</f>
        <v/>
      </c>
      <c r="CB2044" s="319" t="str">
        <f t="shared" si="940"/>
        <v/>
      </c>
      <c r="CC2044" s="319" t="str">
        <f t="shared" si="940"/>
        <v/>
      </c>
      <c r="CD2044" s="319" t="str">
        <f t="shared" si="940"/>
        <v/>
      </c>
      <c r="CE2044" s="319" t="str">
        <f t="shared" si="940"/>
        <v/>
      </c>
      <c r="CF2044" s="319" t="str">
        <f t="shared" si="940"/>
        <v/>
      </c>
      <c r="CG2044" s="319" t="str">
        <f t="shared" si="940"/>
        <v/>
      </c>
      <c r="CH2044" s="319" t="str">
        <f t="shared" si="940"/>
        <v/>
      </c>
      <c r="CI2044" s="319" t="str">
        <f t="shared" si="940"/>
        <v/>
      </c>
      <c r="CJ2044" s="319" t="str">
        <f t="shared" si="940"/>
        <v/>
      </c>
      <c r="CK2044" s="342">
        <f t="shared" si="182"/>
        <v>0</v>
      </c>
      <c r="CL2044" s="333">
        <f t="shared" si="183"/>
        <v>0</v>
      </c>
      <c r="CM2044" s="1079" t="s">
        <v>2602</v>
      </c>
      <c r="CN2044" s="1005" t="s">
        <v>3042</v>
      </c>
      <c r="CO2044" s="1005"/>
      <c r="CP2044" s="1005"/>
    </row>
    <row r="2045">
      <c r="A2045" s="266"/>
      <c r="B2045" s="1113" t="s">
        <v>1750</v>
      </c>
      <c r="C2045" s="1107">
        <v>45573.0</v>
      </c>
      <c r="D2045" s="103"/>
      <c r="E2045" s="1108">
        <v>8.0</v>
      </c>
      <c r="F2045" s="112" t="s">
        <v>3049</v>
      </c>
      <c r="G2045" s="1110">
        <v>0.621875</v>
      </c>
      <c r="H2045" s="1110">
        <v>0.6222800925925925</v>
      </c>
      <c r="I2045" s="1110"/>
      <c r="J2045" s="1111"/>
      <c r="K2045" s="1111">
        <v>0.6223958333333334</v>
      </c>
      <c r="L2045" s="1112">
        <v>1.1574074074074075E-4</v>
      </c>
      <c r="M2045" s="1113" t="s">
        <v>166</v>
      </c>
      <c r="N2045" s="110" t="s">
        <v>187</v>
      </c>
      <c r="O2045" s="1115" t="s">
        <v>204</v>
      </c>
      <c r="P2045" s="1115" t="s">
        <v>256</v>
      </c>
      <c r="Q2045" s="1116"/>
      <c r="R2045" s="120">
        <v>18.3</v>
      </c>
      <c r="S2045" s="1113">
        <v>4.2</v>
      </c>
      <c r="T2045" s="110">
        <v>1.34</v>
      </c>
      <c r="U2045" s="1108">
        <v>4.0</v>
      </c>
      <c r="V2045" s="1108"/>
      <c r="W2045" s="1108"/>
      <c r="X2045" s="1108"/>
      <c r="Y2045" s="1108"/>
      <c r="Z2045" s="1114" t="s">
        <v>365</v>
      </c>
      <c r="AA2045" s="1114"/>
      <c r="AB2045" s="1114" t="s">
        <v>333</v>
      </c>
      <c r="AC2045" s="1117">
        <v>2.0</v>
      </c>
      <c r="AD2045" s="1115"/>
      <c r="AE2045" s="1115"/>
      <c r="AF2045" s="1115"/>
      <c r="AG2045" s="1115"/>
      <c r="AH2045" s="1115"/>
      <c r="AI2045" s="1115"/>
      <c r="AJ2045" s="1117"/>
      <c r="AK2045" s="1118"/>
      <c r="AL2045" s="1115"/>
      <c r="AM2045" s="1115"/>
      <c r="AN2045" s="1115"/>
      <c r="AO2045" s="1115"/>
      <c r="AP2045" s="1115"/>
      <c r="AQ2045" s="1115"/>
      <c r="AR2045" s="1115"/>
      <c r="AS2045" s="1117"/>
      <c r="AT2045" s="1196" t="str">
        <f t="shared" si="428"/>
        <v>1-10</v>
      </c>
      <c r="AU2045" s="1193"/>
      <c r="AV2045" s="330">
        <f>SQRT(($R2045-Infrastructure!J$3)^2+($S2045-Infrastructure!K$3)^2)</f>
        <v>30.92005821</v>
      </c>
      <c r="AW2045" s="331">
        <f>SQRT(($R2045-Infrastructure!J$4)^2+($S2045-Infrastructure!K$4)^2)</f>
        <v>23.04170133</v>
      </c>
      <c r="AX2045" s="331">
        <f>SQRT(($R2045-Infrastructure!J$5)^2+($S2045-Infrastructure!K$5)^2)</f>
        <v>18.62176146</v>
      </c>
      <c r="AY2045" s="331">
        <f>SQRT(($R2045-Infrastructure!J$6)^2+($S2045-Infrastructure!K$6)^2)</f>
        <v>9.080198236</v>
      </c>
      <c r="AZ2045" s="331">
        <f>SQRT(($R2045-Infrastructure!J$7)^2+($S2045-Infrastructure!K$7)^2)</f>
        <v>4.477722635</v>
      </c>
      <c r="BA2045" s="331">
        <f>SQRT(($R2045-Infrastructure!J$8)^2+($S2045-Infrastructure!K$8)^2)</f>
        <v>12.42779144</v>
      </c>
      <c r="BB2045" s="331">
        <f>SQRT(($R2045-Infrastructure!J$9)^2+($S2045-Infrastructure!K$9)^2)</f>
        <v>21.71865558</v>
      </c>
      <c r="BC2045" s="331">
        <f>SQRT(($R2045-Infrastructure!J$10)^2+($S2045-Infrastructure!K$10)^2)</f>
        <v>24.23901813</v>
      </c>
      <c r="BD2045" s="331">
        <f>SQRT(($R2045-Infrastructure!J$11)^2+($S2045-Infrastructure!K$11)^2)</f>
        <v>33.08549531</v>
      </c>
      <c r="BE2045" s="333">
        <f>SQRT(($R2045-Infrastructure!J$12)^2+($S2045-Infrastructure!K$12)^2)</f>
        <v>51.39970817</v>
      </c>
      <c r="BF2045" s="330">
        <f t="shared" si="161"/>
        <v>4.477722635</v>
      </c>
      <c r="BG2045" s="333">
        <f t="shared" si="162"/>
        <v>51.39970817</v>
      </c>
      <c r="BH2045" s="1119"/>
      <c r="BI2045" s="319" t="str">
        <f t="shared" ref="BI2045:BR2045" si="941">IF(ISNUMBER(FIND(BI$3, $CO2045)), "Y", "")</f>
        <v/>
      </c>
      <c r="BJ2045" s="319" t="str">
        <f t="shared" si="941"/>
        <v/>
      </c>
      <c r="BK2045" s="319" t="str">
        <f t="shared" si="941"/>
        <v/>
      </c>
      <c r="BL2045" s="319" t="str">
        <f t="shared" si="941"/>
        <v/>
      </c>
      <c r="BM2045" s="319" t="str">
        <f t="shared" si="941"/>
        <v/>
      </c>
      <c r="BN2045" s="319" t="str">
        <f t="shared" si="941"/>
        <v/>
      </c>
      <c r="BO2045" s="319" t="str">
        <f t="shared" si="941"/>
        <v/>
      </c>
      <c r="BP2045" s="319" t="str">
        <f t="shared" si="941"/>
        <v/>
      </c>
      <c r="BQ2045" s="319" t="str">
        <f t="shared" si="941"/>
        <v/>
      </c>
      <c r="BR2045" s="319" t="str">
        <f t="shared" si="941"/>
        <v/>
      </c>
      <c r="BS2045" s="330">
        <f t="shared" si="185"/>
        <v>0</v>
      </c>
      <c r="BT2045" s="331">
        <f t="shared" si="170"/>
        <v>0</v>
      </c>
      <c r="BU2045" s="920"/>
      <c r="BV2045" s="903" t="str">
        <f t="shared" si="186"/>
        <v/>
      </c>
      <c r="BW2045" s="908"/>
      <c r="BX2045" s="908"/>
      <c r="BY2045" s="331" t="b">
        <f t="shared" si="201"/>
        <v>0</v>
      </c>
      <c r="BZ2045" s="331"/>
      <c r="CA2045" s="462" t="str">
        <f t="shared" ref="CA2045:CJ2045" si="942">IF(ISNUMBER(FIND(BI$3, $CP2045)), "Y", "")</f>
        <v/>
      </c>
      <c r="CB2045" s="319" t="str">
        <f t="shared" si="942"/>
        <v/>
      </c>
      <c r="CC2045" s="319" t="str">
        <f t="shared" si="942"/>
        <v/>
      </c>
      <c r="CD2045" s="319" t="str">
        <f t="shared" si="942"/>
        <v/>
      </c>
      <c r="CE2045" s="319" t="str">
        <f t="shared" si="942"/>
        <v/>
      </c>
      <c r="CF2045" s="319" t="str">
        <f t="shared" si="942"/>
        <v/>
      </c>
      <c r="CG2045" s="319" t="str">
        <f t="shared" si="942"/>
        <v/>
      </c>
      <c r="CH2045" s="319" t="str">
        <f t="shared" si="942"/>
        <v/>
      </c>
      <c r="CI2045" s="319" t="str">
        <f t="shared" si="942"/>
        <v/>
      </c>
      <c r="CJ2045" s="319" t="str">
        <f t="shared" si="942"/>
        <v/>
      </c>
      <c r="CK2045" s="342">
        <f t="shared" si="182"/>
        <v>0</v>
      </c>
      <c r="CL2045" s="333">
        <f t="shared" si="183"/>
        <v>0</v>
      </c>
      <c r="CM2045" s="1079" t="s">
        <v>2602</v>
      </c>
      <c r="CN2045" s="1005" t="s">
        <v>3042</v>
      </c>
      <c r="CO2045" s="1005"/>
      <c r="CP2045" s="1005"/>
    </row>
    <row r="2046">
      <c r="A2046" s="266"/>
      <c r="B2046" s="1113" t="s">
        <v>1750</v>
      </c>
      <c r="C2046" s="1107">
        <v>45573.0</v>
      </c>
      <c r="D2046" s="103"/>
      <c r="E2046" s="1108">
        <v>9.0</v>
      </c>
      <c r="F2046" s="112" t="s">
        <v>3050</v>
      </c>
      <c r="G2046" s="1110">
        <v>0.6230902777777778</v>
      </c>
      <c r="H2046" s="1110">
        <v>0.6232638888888888</v>
      </c>
      <c r="I2046" s="1110"/>
      <c r="J2046" s="1111"/>
      <c r="K2046" s="1111">
        <v>0.6238425925925926</v>
      </c>
      <c r="L2046" s="1112">
        <v>5.787037037037037E-4</v>
      </c>
      <c r="M2046" s="1113" t="s">
        <v>166</v>
      </c>
      <c r="N2046" s="110" t="s">
        <v>187</v>
      </c>
      <c r="O2046" s="1115" t="s">
        <v>204</v>
      </c>
      <c r="P2046" s="1115" t="s">
        <v>256</v>
      </c>
      <c r="Q2046" s="1116"/>
      <c r="R2046" s="120">
        <v>18.3</v>
      </c>
      <c r="S2046" s="1113">
        <v>4.2</v>
      </c>
      <c r="T2046" s="110">
        <v>1.34</v>
      </c>
      <c r="U2046" s="1108">
        <v>2.0</v>
      </c>
      <c r="V2046" s="1108"/>
      <c r="W2046" s="1108"/>
      <c r="X2046" s="1108"/>
      <c r="Y2046" s="1108"/>
      <c r="Z2046" s="1114" t="s">
        <v>365</v>
      </c>
      <c r="AA2046" s="1114"/>
      <c r="AB2046" s="1114" t="s">
        <v>333</v>
      </c>
      <c r="AC2046" s="1117">
        <v>2.0</v>
      </c>
      <c r="AD2046" s="1115"/>
      <c r="AE2046" s="1115"/>
      <c r="AF2046" s="1115"/>
      <c r="AG2046" s="1115"/>
      <c r="AH2046" s="1115"/>
      <c r="AI2046" s="1115"/>
      <c r="AJ2046" s="1117"/>
      <c r="AK2046" s="1118"/>
      <c r="AL2046" s="1115"/>
      <c r="AM2046" s="1115"/>
      <c r="AN2046" s="1115"/>
      <c r="AO2046" s="1115"/>
      <c r="AP2046" s="1115"/>
      <c r="AQ2046" s="1115"/>
      <c r="AR2046" s="1115"/>
      <c r="AS2046" s="1117"/>
      <c r="AT2046" s="1196" t="str">
        <f t="shared" si="428"/>
        <v>1-10</v>
      </c>
      <c r="AU2046" s="1193"/>
      <c r="AV2046" s="330">
        <f>SQRT(($R2046-Infrastructure!J$3)^2+($S2046-Infrastructure!K$3)^2)</f>
        <v>30.92005821</v>
      </c>
      <c r="AW2046" s="331">
        <f>SQRT(($R2046-Infrastructure!J$4)^2+($S2046-Infrastructure!K$4)^2)</f>
        <v>23.04170133</v>
      </c>
      <c r="AX2046" s="331">
        <f>SQRT(($R2046-Infrastructure!J$5)^2+($S2046-Infrastructure!K$5)^2)</f>
        <v>18.62176146</v>
      </c>
      <c r="AY2046" s="331">
        <f>SQRT(($R2046-Infrastructure!J$6)^2+($S2046-Infrastructure!K$6)^2)</f>
        <v>9.080198236</v>
      </c>
      <c r="AZ2046" s="331">
        <f>SQRT(($R2046-Infrastructure!J$7)^2+($S2046-Infrastructure!K$7)^2)</f>
        <v>4.477722635</v>
      </c>
      <c r="BA2046" s="331">
        <f>SQRT(($R2046-Infrastructure!J$8)^2+($S2046-Infrastructure!K$8)^2)</f>
        <v>12.42779144</v>
      </c>
      <c r="BB2046" s="331">
        <f>SQRT(($R2046-Infrastructure!J$9)^2+($S2046-Infrastructure!K$9)^2)</f>
        <v>21.71865558</v>
      </c>
      <c r="BC2046" s="331">
        <f>SQRT(($R2046-Infrastructure!J$10)^2+($S2046-Infrastructure!K$10)^2)</f>
        <v>24.23901813</v>
      </c>
      <c r="BD2046" s="331">
        <f>SQRT(($R2046-Infrastructure!J$11)^2+($S2046-Infrastructure!K$11)^2)</f>
        <v>33.08549531</v>
      </c>
      <c r="BE2046" s="333">
        <f>SQRT(($R2046-Infrastructure!J$12)^2+($S2046-Infrastructure!K$12)^2)</f>
        <v>51.39970817</v>
      </c>
      <c r="BF2046" s="330">
        <f t="shared" si="161"/>
        <v>4.477722635</v>
      </c>
      <c r="BG2046" s="333">
        <f t="shared" si="162"/>
        <v>51.39970817</v>
      </c>
      <c r="BH2046" s="1119"/>
      <c r="BI2046" s="319" t="str">
        <f t="shared" ref="BI2046:BR2046" si="943">IF(ISNUMBER(FIND(BI$3, $CO2046)), "Y", "")</f>
        <v/>
      </c>
      <c r="BJ2046" s="319" t="str">
        <f t="shared" si="943"/>
        <v/>
      </c>
      <c r="BK2046" s="319" t="str">
        <f t="shared" si="943"/>
        <v/>
      </c>
      <c r="BL2046" s="319" t="str">
        <f t="shared" si="943"/>
        <v/>
      </c>
      <c r="BM2046" s="319" t="str">
        <f t="shared" si="943"/>
        <v/>
      </c>
      <c r="BN2046" s="319" t="str">
        <f t="shared" si="943"/>
        <v/>
      </c>
      <c r="BO2046" s="319" t="str">
        <f t="shared" si="943"/>
        <v/>
      </c>
      <c r="BP2046" s="319" t="str">
        <f t="shared" si="943"/>
        <v/>
      </c>
      <c r="BQ2046" s="319" t="str">
        <f t="shared" si="943"/>
        <v/>
      </c>
      <c r="BR2046" s="319" t="str">
        <f t="shared" si="943"/>
        <v/>
      </c>
      <c r="BS2046" s="330">
        <f t="shared" si="185"/>
        <v>0</v>
      </c>
      <c r="BT2046" s="331">
        <f t="shared" si="170"/>
        <v>0</v>
      </c>
      <c r="BU2046" s="920"/>
      <c r="BV2046" s="903" t="str">
        <f t="shared" si="186"/>
        <v/>
      </c>
      <c r="BW2046" s="908"/>
      <c r="BX2046" s="908"/>
      <c r="BY2046" s="331" t="b">
        <f t="shared" si="201"/>
        <v>0</v>
      </c>
      <c r="BZ2046" s="331"/>
      <c r="CA2046" s="462" t="str">
        <f t="shared" ref="CA2046:CJ2046" si="944">IF(ISNUMBER(FIND(BI$3, $CP2046)), "Y", "")</f>
        <v/>
      </c>
      <c r="CB2046" s="319" t="str">
        <f t="shared" si="944"/>
        <v/>
      </c>
      <c r="CC2046" s="319" t="str">
        <f t="shared" si="944"/>
        <v/>
      </c>
      <c r="CD2046" s="319" t="str">
        <f t="shared" si="944"/>
        <v/>
      </c>
      <c r="CE2046" s="319" t="str">
        <f t="shared" si="944"/>
        <v/>
      </c>
      <c r="CF2046" s="319" t="str">
        <f t="shared" si="944"/>
        <v/>
      </c>
      <c r="CG2046" s="319" t="str">
        <f t="shared" si="944"/>
        <v/>
      </c>
      <c r="CH2046" s="319" t="str">
        <f t="shared" si="944"/>
        <v/>
      </c>
      <c r="CI2046" s="319" t="str">
        <f t="shared" si="944"/>
        <v/>
      </c>
      <c r="CJ2046" s="319" t="str">
        <f t="shared" si="944"/>
        <v/>
      </c>
      <c r="CK2046" s="342">
        <f t="shared" si="182"/>
        <v>0</v>
      </c>
      <c r="CL2046" s="333">
        <f t="shared" si="183"/>
        <v>0</v>
      </c>
      <c r="CM2046" s="1079" t="s">
        <v>2602</v>
      </c>
      <c r="CN2046" s="1005" t="s">
        <v>3042</v>
      </c>
      <c r="CO2046" s="1005"/>
      <c r="CP2046" s="1005"/>
    </row>
    <row r="2047">
      <c r="A2047" s="266"/>
      <c r="B2047" s="1113" t="s">
        <v>1750</v>
      </c>
      <c r="C2047" s="1107">
        <v>45573.0</v>
      </c>
      <c r="D2047" s="103"/>
      <c r="E2047" s="1108">
        <v>10.0</v>
      </c>
      <c r="F2047" s="112" t="s">
        <v>3051</v>
      </c>
      <c r="G2047" s="1110">
        <v>0.6246527777777777</v>
      </c>
      <c r="H2047" s="1110">
        <v>0.625</v>
      </c>
      <c r="I2047" s="1110"/>
      <c r="J2047" s="1111"/>
      <c r="K2047" s="1111">
        <v>0.6275462962962963</v>
      </c>
      <c r="L2047" s="1112">
        <v>0.0025462962962962965</v>
      </c>
      <c r="M2047" s="1113" t="s">
        <v>166</v>
      </c>
      <c r="N2047" s="110" t="s">
        <v>187</v>
      </c>
      <c r="O2047" s="1115" t="s">
        <v>204</v>
      </c>
      <c r="P2047" s="1115" t="s">
        <v>256</v>
      </c>
      <c r="Q2047" s="1116"/>
      <c r="R2047" s="120">
        <v>18.3</v>
      </c>
      <c r="S2047" s="1113">
        <v>4.2</v>
      </c>
      <c r="T2047" s="110">
        <v>1.24</v>
      </c>
      <c r="U2047" s="1108">
        <v>0.5</v>
      </c>
      <c r="V2047" s="1108"/>
      <c r="W2047" s="1108"/>
      <c r="X2047" s="1108"/>
      <c r="Y2047" s="1108"/>
      <c r="Z2047" s="1114" t="s">
        <v>365</v>
      </c>
      <c r="AA2047" s="1114"/>
      <c r="AB2047" s="1114" t="s">
        <v>333</v>
      </c>
      <c r="AC2047" s="1117">
        <v>2.0</v>
      </c>
      <c r="AD2047" s="1115"/>
      <c r="AE2047" s="1115"/>
      <c r="AF2047" s="1115"/>
      <c r="AG2047" s="1115"/>
      <c r="AH2047" s="1115"/>
      <c r="AI2047" s="1115"/>
      <c r="AJ2047" s="1117"/>
      <c r="AK2047" s="1118"/>
      <c r="AL2047" s="1115"/>
      <c r="AM2047" s="1115"/>
      <c r="AN2047" s="1115"/>
      <c r="AO2047" s="1115"/>
      <c r="AP2047" s="1115"/>
      <c r="AQ2047" s="1115"/>
      <c r="AR2047" s="1115"/>
      <c r="AS2047" s="1117"/>
      <c r="AT2047" s="1196" t="str">
        <f t="shared" si="428"/>
        <v>0-1</v>
      </c>
      <c r="AU2047" s="1193"/>
      <c r="AV2047" s="330">
        <f>SQRT(($R2047-Infrastructure!J$3)^2+($S2047-Infrastructure!K$3)^2)</f>
        <v>30.92005821</v>
      </c>
      <c r="AW2047" s="331">
        <f>SQRT(($R2047-Infrastructure!J$4)^2+($S2047-Infrastructure!K$4)^2)</f>
        <v>23.04170133</v>
      </c>
      <c r="AX2047" s="331">
        <f>SQRT(($R2047-Infrastructure!J$5)^2+($S2047-Infrastructure!K$5)^2)</f>
        <v>18.62176146</v>
      </c>
      <c r="AY2047" s="331">
        <f>SQRT(($R2047-Infrastructure!J$6)^2+($S2047-Infrastructure!K$6)^2)</f>
        <v>9.080198236</v>
      </c>
      <c r="AZ2047" s="331">
        <f>SQRT(($R2047-Infrastructure!J$7)^2+($S2047-Infrastructure!K$7)^2)</f>
        <v>4.477722635</v>
      </c>
      <c r="BA2047" s="331">
        <f>SQRT(($R2047-Infrastructure!J$8)^2+($S2047-Infrastructure!K$8)^2)</f>
        <v>12.42779144</v>
      </c>
      <c r="BB2047" s="331">
        <f>SQRT(($R2047-Infrastructure!J$9)^2+($S2047-Infrastructure!K$9)^2)</f>
        <v>21.71865558</v>
      </c>
      <c r="BC2047" s="331">
        <f>SQRT(($R2047-Infrastructure!J$10)^2+($S2047-Infrastructure!K$10)^2)</f>
        <v>24.23901813</v>
      </c>
      <c r="BD2047" s="331">
        <f>SQRT(($R2047-Infrastructure!J$11)^2+($S2047-Infrastructure!K$11)^2)</f>
        <v>33.08549531</v>
      </c>
      <c r="BE2047" s="333">
        <f>SQRT(($R2047-Infrastructure!J$12)^2+($S2047-Infrastructure!K$12)^2)</f>
        <v>51.39970817</v>
      </c>
      <c r="BF2047" s="330">
        <f t="shared" si="161"/>
        <v>4.477722635</v>
      </c>
      <c r="BG2047" s="333">
        <f t="shared" si="162"/>
        <v>51.39970817</v>
      </c>
      <c r="BH2047" s="1119"/>
      <c r="BI2047" s="319" t="str">
        <f t="shared" ref="BI2047:BR2047" si="945">IF(ISNUMBER(FIND(BI$3, $CO2047)), "Y", "")</f>
        <v/>
      </c>
      <c r="BJ2047" s="319" t="str">
        <f t="shared" si="945"/>
        <v/>
      </c>
      <c r="BK2047" s="319" t="str">
        <f t="shared" si="945"/>
        <v/>
      </c>
      <c r="BL2047" s="319" t="str">
        <f t="shared" si="945"/>
        <v/>
      </c>
      <c r="BM2047" s="319" t="str">
        <f t="shared" si="945"/>
        <v/>
      </c>
      <c r="BN2047" s="319" t="str">
        <f t="shared" si="945"/>
        <v/>
      </c>
      <c r="BO2047" s="319" t="str">
        <f t="shared" si="945"/>
        <v/>
      </c>
      <c r="BP2047" s="319" t="str">
        <f t="shared" si="945"/>
        <v/>
      </c>
      <c r="BQ2047" s="319" t="str">
        <f t="shared" si="945"/>
        <v/>
      </c>
      <c r="BR2047" s="319" t="str">
        <f t="shared" si="945"/>
        <v/>
      </c>
      <c r="BS2047" s="330">
        <f t="shared" si="185"/>
        <v>0</v>
      </c>
      <c r="BT2047" s="331">
        <f t="shared" si="170"/>
        <v>0</v>
      </c>
      <c r="BU2047" s="920"/>
      <c r="BV2047" s="903" t="str">
        <f t="shared" si="186"/>
        <v/>
      </c>
      <c r="BW2047" s="908"/>
      <c r="BX2047" s="908"/>
      <c r="BY2047" s="331" t="b">
        <f t="shared" si="201"/>
        <v>0</v>
      </c>
      <c r="BZ2047" s="331"/>
      <c r="CA2047" s="462" t="str">
        <f t="shared" ref="CA2047:CJ2047" si="946">IF(ISNUMBER(FIND(BI$3, $CP2047)), "Y", "")</f>
        <v/>
      </c>
      <c r="CB2047" s="319" t="str">
        <f t="shared" si="946"/>
        <v/>
      </c>
      <c r="CC2047" s="319" t="str">
        <f t="shared" si="946"/>
        <v/>
      </c>
      <c r="CD2047" s="319" t="str">
        <f t="shared" si="946"/>
        <v/>
      </c>
      <c r="CE2047" s="319" t="str">
        <f t="shared" si="946"/>
        <v/>
      </c>
      <c r="CF2047" s="319" t="str">
        <f t="shared" si="946"/>
        <v/>
      </c>
      <c r="CG2047" s="319" t="str">
        <f t="shared" si="946"/>
        <v/>
      </c>
      <c r="CH2047" s="319" t="str">
        <f t="shared" si="946"/>
        <v/>
      </c>
      <c r="CI2047" s="319" t="str">
        <f t="shared" si="946"/>
        <v/>
      </c>
      <c r="CJ2047" s="319" t="str">
        <f t="shared" si="946"/>
        <v/>
      </c>
      <c r="CK2047" s="342">
        <f t="shared" si="182"/>
        <v>0</v>
      </c>
      <c r="CL2047" s="333">
        <f t="shared" si="183"/>
        <v>0</v>
      </c>
      <c r="CM2047" s="1079" t="s">
        <v>2602</v>
      </c>
      <c r="CN2047" s="1005" t="s">
        <v>3042</v>
      </c>
      <c r="CO2047" s="1005"/>
      <c r="CP2047" s="1005"/>
    </row>
    <row r="2048">
      <c r="A2048" s="1258"/>
      <c r="B2048" s="1129" t="s">
        <v>1750</v>
      </c>
      <c r="C2048" s="1122">
        <v>45573.0</v>
      </c>
      <c r="D2048" s="1123"/>
      <c r="E2048" s="1144"/>
      <c r="F2048" s="108" t="s">
        <v>3052</v>
      </c>
      <c r="G2048" s="1126">
        <v>0.6467013888888888</v>
      </c>
      <c r="H2048" s="1145"/>
      <c r="I2048" s="1145"/>
      <c r="J2048" s="1146"/>
      <c r="K2048" s="1127">
        <v>0.6486111111111111</v>
      </c>
      <c r="L2048" s="1128">
        <v>0.0019097222222222222</v>
      </c>
      <c r="M2048" s="1129" t="s">
        <v>166</v>
      </c>
      <c r="N2048" s="100" t="s">
        <v>188</v>
      </c>
      <c r="O2048" s="1161"/>
      <c r="P2048" s="1131" t="s">
        <v>292</v>
      </c>
      <c r="Q2048" s="1132"/>
      <c r="R2048" s="1148"/>
      <c r="S2048" s="1129"/>
      <c r="T2048" s="1150"/>
      <c r="U2048" s="1124" t="s">
        <v>323</v>
      </c>
      <c r="V2048" s="1124"/>
      <c r="W2048" s="1124"/>
      <c r="X2048" s="1124"/>
      <c r="Y2048" s="1124"/>
      <c r="Z2048" s="1130" t="s">
        <v>323</v>
      </c>
      <c r="AA2048" s="1130"/>
      <c r="AB2048" s="1130" t="s">
        <v>323</v>
      </c>
      <c r="AC2048" s="1133" t="s">
        <v>323</v>
      </c>
      <c r="AD2048" s="1131"/>
      <c r="AE2048" s="1131"/>
      <c r="AF2048" s="1131"/>
      <c r="AG2048" s="1131"/>
      <c r="AH2048" s="1131"/>
      <c r="AI2048" s="1131"/>
      <c r="AJ2048" s="1133"/>
      <c r="AK2048" s="1134"/>
      <c r="AL2048" s="1131"/>
      <c r="AM2048" s="1131"/>
      <c r="AN2048" s="1131"/>
      <c r="AO2048" s="1131"/>
      <c r="AP2048" s="1131"/>
      <c r="AQ2048" s="1131"/>
      <c r="AR2048" s="1131"/>
      <c r="AS2048" s="1133"/>
      <c r="AT2048" s="1197" t="str">
        <f t="shared" si="428"/>
        <v/>
      </c>
      <c r="AU2048" s="1194"/>
      <c r="AV2048" s="662">
        <f>SQRT(($R2048-Infrastructure!J$3)^2+($S2048-Infrastructure!K$3)^2)</f>
        <v>28.90155705</v>
      </c>
      <c r="AW2048" s="641">
        <f>SQRT(($R2048-Infrastructure!J$4)^2+($S2048-Infrastructure!K$4)^2)</f>
        <v>17.80252791</v>
      </c>
      <c r="AX2048" s="641">
        <f>SQRT(($R2048-Infrastructure!J$5)^2+($S2048-Infrastructure!K$5)^2)</f>
        <v>5.10881591</v>
      </c>
      <c r="AY2048" s="641">
        <f>SQRT(($R2048-Infrastructure!J$6)^2+($S2048-Infrastructure!K$6)^2)</f>
        <v>10.10445446</v>
      </c>
      <c r="AZ2048" s="641">
        <f>SQRT(($R2048-Infrastructure!J$7)^2+($S2048-Infrastructure!K$7)^2)</f>
        <v>20.502195</v>
      </c>
      <c r="BA2048" s="641">
        <f>SQRT(($R2048-Infrastructure!J$8)^2+($S2048-Infrastructure!K$8)^2)</f>
        <v>30.10149498</v>
      </c>
      <c r="BB2048" s="641">
        <f>SQRT(($R2048-Infrastructure!J$9)^2+($S2048-Infrastructure!K$9)^2)</f>
        <v>40.3238143</v>
      </c>
      <c r="BC2048" s="641">
        <f>SQRT(($R2048-Infrastructure!J$10)^2+($S2048-Infrastructure!K$10)^2)</f>
        <v>42.72001873</v>
      </c>
      <c r="BD2048" s="641">
        <f>SQRT(($R2048-Infrastructure!J$11)^2+($S2048-Infrastructure!K$11)^2)</f>
        <v>49.56853841</v>
      </c>
      <c r="BE2048" s="642">
        <f>SQRT(($R2048-Infrastructure!J$12)^2+($S2048-Infrastructure!K$12)^2)</f>
        <v>59.51890456</v>
      </c>
      <c r="BF2048" s="662">
        <f t="shared" si="161"/>
        <v>5.10881591</v>
      </c>
      <c r="BG2048" s="642">
        <f t="shared" si="162"/>
        <v>59.51890456</v>
      </c>
      <c r="BH2048" s="1135"/>
      <c r="BI2048" s="663" t="str">
        <f t="shared" ref="BI2048:BR2048" si="947">IF(ISNUMBER(FIND(BI$3, $CO2048)), "Y", "")</f>
        <v/>
      </c>
      <c r="BJ2048" s="663" t="str">
        <f t="shared" si="947"/>
        <v/>
      </c>
      <c r="BK2048" s="663" t="str">
        <f t="shared" si="947"/>
        <v/>
      </c>
      <c r="BL2048" s="663" t="str">
        <f t="shared" si="947"/>
        <v/>
      </c>
      <c r="BM2048" s="663" t="str">
        <f t="shared" si="947"/>
        <v/>
      </c>
      <c r="BN2048" s="663" t="str">
        <f t="shared" si="947"/>
        <v/>
      </c>
      <c r="BO2048" s="663" t="str">
        <f t="shared" si="947"/>
        <v/>
      </c>
      <c r="BP2048" s="663" t="str">
        <f t="shared" si="947"/>
        <v/>
      </c>
      <c r="BQ2048" s="663" t="str">
        <f t="shared" si="947"/>
        <v/>
      </c>
      <c r="BR2048" s="663" t="str">
        <f t="shared" si="947"/>
        <v/>
      </c>
      <c r="BS2048" s="662">
        <f t="shared" si="185"/>
        <v>0</v>
      </c>
      <c r="BT2048" s="641">
        <f t="shared" si="170"/>
        <v>0</v>
      </c>
      <c r="BU2048" s="937"/>
      <c r="BV2048" s="930" t="str">
        <f t="shared" si="186"/>
        <v/>
      </c>
      <c r="BW2048" s="939"/>
      <c r="BX2048" s="939"/>
      <c r="BY2048" s="641" t="b">
        <f t="shared" si="201"/>
        <v>0</v>
      </c>
      <c r="BZ2048" s="641"/>
      <c r="CA2048" s="635" t="str">
        <f t="shared" ref="CA2048:CJ2048" si="948">IF(ISNUMBER(FIND(BI$3, $CP2048)), "Y", "")</f>
        <v/>
      </c>
      <c r="CB2048" s="663" t="str">
        <f t="shared" si="948"/>
        <v/>
      </c>
      <c r="CC2048" s="663" t="str">
        <f t="shared" si="948"/>
        <v/>
      </c>
      <c r="CD2048" s="663" t="str">
        <f t="shared" si="948"/>
        <v/>
      </c>
      <c r="CE2048" s="663" t="str">
        <f t="shared" si="948"/>
        <v/>
      </c>
      <c r="CF2048" s="663" t="str">
        <f t="shared" si="948"/>
        <v/>
      </c>
      <c r="CG2048" s="663" t="str">
        <f t="shared" si="948"/>
        <v/>
      </c>
      <c r="CH2048" s="663" t="str">
        <f t="shared" si="948"/>
        <v/>
      </c>
      <c r="CI2048" s="663" t="str">
        <f t="shared" si="948"/>
        <v/>
      </c>
      <c r="CJ2048" s="663" t="str">
        <f t="shared" si="948"/>
        <v/>
      </c>
      <c r="CK2048" s="743">
        <f t="shared" si="182"/>
        <v>0</v>
      </c>
      <c r="CL2048" s="642">
        <f t="shared" si="183"/>
        <v>0</v>
      </c>
      <c r="CM2048" s="1090" t="s">
        <v>2602</v>
      </c>
      <c r="CN2048" s="1036" t="s">
        <v>3042</v>
      </c>
      <c r="CO2048" s="1036"/>
      <c r="CP2048" s="1036"/>
    </row>
    <row r="2049">
      <c r="A2049" s="1257" t="s">
        <v>125</v>
      </c>
      <c r="B2049" s="1113" t="s">
        <v>3053</v>
      </c>
      <c r="C2049" s="1107">
        <v>45586.0</v>
      </c>
      <c r="D2049" s="1113" t="s">
        <v>986</v>
      </c>
      <c r="E2049" s="1108">
        <v>1.0</v>
      </c>
      <c r="F2049" s="112" t="s">
        <v>3054</v>
      </c>
      <c r="G2049" s="1110">
        <v>0.3784722222222222</v>
      </c>
      <c r="H2049" s="1110">
        <v>0.37881944444444443</v>
      </c>
      <c r="I2049" s="1110"/>
      <c r="J2049" s="1111"/>
      <c r="K2049" s="1111">
        <v>0.40694444444444444</v>
      </c>
      <c r="L2049" s="1112">
        <v>0.028125</v>
      </c>
      <c r="M2049" s="1113" t="s">
        <v>166</v>
      </c>
      <c r="N2049" s="110" t="s">
        <v>187</v>
      </c>
      <c r="O2049" s="1115" t="s">
        <v>198</v>
      </c>
      <c r="P2049" s="1115" t="s">
        <v>218</v>
      </c>
      <c r="Q2049" s="1116"/>
      <c r="R2049" s="120">
        <v>10.3</v>
      </c>
      <c r="S2049" s="1113">
        <v>8.1</v>
      </c>
      <c r="T2049" s="110">
        <v>3.0</v>
      </c>
      <c r="U2049" s="1108">
        <v>0.3</v>
      </c>
      <c r="V2049" s="1108"/>
      <c r="W2049" s="1108"/>
      <c r="X2049" s="1108"/>
      <c r="Y2049" s="1108"/>
      <c r="Z2049" s="1114" t="s">
        <v>343</v>
      </c>
      <c r="AA2049" s="1114"/>
      <c r="AB2049" s="1114" t="s">
        <v>380</v>
      </c>
      <c r="AC2049" s="1117">
        <v>4.0</v>
      </c>
      <c r="AD2049" s="1115"/>
      <c r="AE2049" s="1115"/>
      <c r="AF2049" s="1115"/>
      <c r="AG2049" s="1115"/>
      <c r="AH2049" s="1115"/>
      <c r="AI2049" s="1115"/>
      <c r="AJ2049" s="1117"/>
      <c r="AK2049" s="1118"/>
      <c r="AL2049" s="1115"/>
      <c r="AM2049" s="1115"/>
      <c r="AN2049" s="1115"/>
      <c r="AO2049" s="1115"/>
      <c r="AP2049" s="1115"/>
      <c r="AQ2049" s="1115"/>
      <c r="AR2049" s="1115"/>
      <c r="AS2049" s="1117"/>
      <c r="AT2049" s="1196" t="str">
        <f t="shared" si="428"/>
        <v>0-1</v>
      </c>
      <c r="AU2049" s="1193"/>
      <c r="AV2049" s="330">
        <f>SQRT(($R2049-Infrastructure!J$3)^2+($S2049-Infrastructure!K$3)^2)</f>
        <v>23.34523506</v>
      </c>
      <c r="AW2049" s="331">
        <f>SQRT(($R2049-Infrastructure!J$4)^2+($S2049-Infrastructure!K$4)^2)</f>
        <v>14.36836804</v>
      </c>
      <c r="AX2049" s="331">
        <f>SQRT(($R2049-Infrastructure!J$5)^2+($S2049-Infrastructure!K$5)^2)</f>
        <v>11.01635148</v>
      </c>
      <c r="AY2049" s="331">
        <f>SQRT(($R2049-Infrastructure!J$6)^2+($S2049-Infrastructure!K$6)^2)</f>
        <v>7.802563681</v>
      </c>
      <c r="AZ2049" s="331">
        <f>SQRT(($R2049-Infrastructure!J$7)^2+($S2049-Infrastructure!K$7)^2)</f>
        <v>12.84056074</v>
      </c>
      <c r="BA2049" s="331">
        <f>SQRT(($R2049-Infrastructure!J$8)^2+($S2049-Infrastructure!K$8)^2)</f>
        <v>21.28097742</v>
      </c>
      <c r="BB2049" s="331">
        <f>SQRT(($R2049-Infrastructure!J$9)^2+($S2049-Infrastructure!K$9)^2)</f>
        <v>29.85113063</v>
      </c>
      <c r="BC2049" s="331">
        <f>SQRT(($R2049-Infrastructure!J$10)^2+($S2049-Infrastructure!K$10)^2)</f>
        <v>30.49098227</v>
      </c>
      <c r="BD2049" s="331">
        <f>SQRT(($R2049-Infrastructure!J$11)^2+($S2049-Infrastructure!K$11)^2)</f>
        <v>36.4804057</v>
      </c>
      <c r="BE2049" s="333">
        <f>SQRT(($R2049-Infrastructure!J$12)^2+($S2049-Infrastructure!K$12)^2)</f>
        <v>48.70523586</v>
      </c>
      <c r="BF2049" s="330">
        <f t="shared" si="161"/>
        <v>7.802563681</v>
      </c>
      <c r="BG2049" s="333">
        <f t="shared" si="162"/>
        <v>48.70523586</v>
      </c>
      <c r="BH2049" s="1119"/>
      <c r="BI2049" s="319" t="str">
        <f t="shared" ref="BI2049:BR2049" si="949">IF(ISNUMBER(FIND(BI$3, $CO2049)), "Y", "")</f>
        <v/>
      </c>
      <c r="BJ2049" s="319" t="str">
        <f t="shared" si="949"/>
        <v/>
      </c>
      <c r="BK2049" s="319" t="str">
        <f t="shared" si="949"/>
        <v/>
      </c>
      <c r="BL2049" s="319" t="str">
        <f t="shared" si="949"/>
        <v/>
      </c>
      <c r="BM2049" s="319" t="str">
        <f t="shared" si="949"/>
        <v/>
      </c>
      <c r="BN2049" s="319" t="str">
        <f t="shared" si="949"/>
        <v/>
      </c>
      <c r="BO2049" s="319" t="str">
        <f t="shared" si="949"/>
        <v/>
      </c>
      <c r="BP2049" s="319" t="str">
        <f t="shared" si="949"/>
        <v/>
      </c>
      <c r="BQ2049" s="319" t="str">
        <f t="shared" si="949"/>
        <v/>
      </c>
      <c r="BR2049" s="319" t="str">
        <f t="shared" si="949"/>
        <v/>
      </c>
      <c r="BS2049" s="330">
        <f t="shared" si="185"/>
        <v>0</v>
      </c>
      <c r="BT2049" s="331">
        <f t="shared" si="170"/>
        <v>0</v>
      </c>
      <c r="BU2049" s="920"/>
      <c r="BV2049" s="903" t="str">
        <f t="shared" si="186"/>
        <v/>
      </c>
      <c r="BW2049" s="908"/>
      <c r="BX2049" s="908"/>
      <c r="BY2049" s="331" t="b">
        <f t="shared" si="201"/>
        <v>0</v>
      </c>
      <c r="BZ2049" s="331"/>
      <c r="CA2049" s="462" t="str">
        <f t="shared" ref="CA2049:CJ2049" si="950">IF(ISNUMBER(FIND(BI$3, $CP2049)), "Y", "")</f>
        <v/>
      </c>
      <c r="CB2049" s="319" t="str">
        <f t="shared" si="950"/>
        <v/>
      </c>
      <c r="CC2049" s="319" t="str">
        <f t="shared" si="950"/>
        <v/>
      </c>
      <c r="CD2049" s="319" t="str">
        <f t="shared" si="950"/>
        <v/>
      </c>
      <c r="CE2049" s="319" t="str">
        <f t="shared" si="950"/>
        <v/>
      </c>
      <c r="CF2049" s="319" t="str">
        <f t="shared" si="950"/>
        <v/>
      </c>
      <c r="CG2049" s="319" t="str">
        <f t="shared" si="950"/>
        <v/>
      </c>
      <c r="CH2049" s="319" t="str">
        <f t="shared" si="950"/>
        <v/>
      </c>
      <c r="CI2049" s="319" t="str">
        <f t="shared" si="950"/>
        <v/>
      </c>
      <c r="CJ2049" s="319" t="str">
        <f t="shared" si="950"/>
        <v/>
      </c>
      <c r="CK2049" s="342">
        <f t="shared" si="182"/>
        <v>0</v>
      </c>
      <c r="CL2049" s="333">
        <f t="shared" si="183"/>
        <v>0</v>
      </c>
      <c r="CM2049" s="1079" t="s">
        <v>2602</v>
      </c>
      <c r="CN2049" s="1005" t="s">
        <v>3055</v>
      </c>
      <c r="CO2049" s="1005"/>
      <c r="CP2049" s="1005"/>
    </row>
    <row r="2050">
      <c r="A2050" s="266"/>
      <c r="B2050" s="1113" t="s">
        <v>3053</v>
      </c>
      <c r="C2050" s="1107">
        <v>45586.0</v>
      </c>
      <c r="D2050" s="1113" t="s">
        <v>986</v>
      </c>
      <c r="E2050" s="1108">
        <v>2.0</v>
      </c>
      <c r="F2050" s="112" t="s">
        <v>3056</v>
      </c>
      <c r="G2050" s="1110">
        <v>0.42256944444444444</v>
      </c>
      <c r="H2050" s="1110">
        <v>0.4232638888888889</v>
      </c>
      <c r="I2050" s="1110"/>
      <c r="J2050" s="1111"/>
      <c r="K2050" s="1111">
        <v>0.4517361111111111</v>
      </c>
      <c r="L2050" s="1112">
        <v>0.02847222222222222</v>
      </c>
      <c r="M2050" s="1113" t="s">
        <v>166</v>
      </c>
      <c r="N2050" s="110" t="s">
        <v>187</v>
      </c>
      <c r="O2050" s="1115" t="s">
        <v>207</v>
      </c>
      <c r="P2050" s="1115" t="s">
        <v>219</v>
      </c>
      <c r="Q2050" s="1116"/>
      <c r="R2050" s="120">
        <v>26.3</v>
      </c>
      <c r="S2050" s="1113">
        <v>12.4</v>
      </c>
      <c r="T2050" s="110">
        <v>1.6</v>
      </c>
      <c r="U2050" s="1108">
        <v>1.2</v>
      </c>
      <c r="V2050" s="1108"/>
      <c r="W2050" s="1108"/>
      <c r="X2050" s="1108"/>
      <c r="Y2050" s="1108"/>
      <c r="Z2050" s="1114" t="s">
        <v>374</v>
      </c>
      <c r="AA2050" s="1114"/>
      <c r="AB2050" s="1114" t="s">
        <v>388</v>
      </c>
      <c r="AC2050" s="1117">
        <v>8.0</v>
      </c>
      <c r="AD2050" s="1115"/>
      <c r="AE2050" s="1115"/>
      <c r="AF2050" s="1115"/>
      <c r="AG2050" s="1115"/>
      <c r="AH2050" s="1115"/>
      <c r="AI2050" s="1115"/>
      <c r="AJ2050" s="1117"/>
      <c r="AK2050" s="1118"/>
      <c r="AL2050" s="1115"/>
      <c r="AM2050" s="1115"/>
      <c r="AN2050" s="1115"/>
      <c r="AO2050" s="1115"/>
      <c r="AP2050" s="1115"/>
      <c r="AQ2050" s="1115"/>
      <c r="AR2050" s="1115"/>
      <c r="AS2050" s="1117"/>
      <c r="AT2050" s="1196" t="str">
        <f t="shared" si="428"/>
        <v>1-10</v>
      </c>
      <c r="AU2050" s="1193"/>
      <c r="AV2050" s="330">
        <f>SQRT(($R2050-Infrastructure!J$3)^2+($S2050-Infrastructure!K$3)^2)</f>
        <v>31.30191687</v>
      </c>
      <c r="AW2050" s="331">
        <f>SQRT(($R2050-Infrastructure!J$4)^2+($S2050-Infrastructure!K$4)^2)</f>
        <v>27.14258646</v>
      </c>
      <c r="AX2050" s="331">
        <f>SQRT(($R2050-Infrastructure!J$5)^2+($S2050-Infrastructure!K$5)^2)</f>
        <v>27.58350957</v>
      </c>
      <c r="AY2050" s="331">
        <f>SQRT(($R2050-Infrastructure!J$6)^2+($S2050-Infrastructure!K$6)^2)</f>
        <v>20.22003956</v>
      </c>
      <c r="AZ2050" s="331">
        <f>SQRT(($R2050-Infrastructure!J$7)^2+($S2050-Infrastructure!K$7)^2)</f>
        <v>13.41827113</v>
      </c>
      <c r="BA2050" s="331">
        <f>SQRT(($R2050-Infrastructure!J$8)^2+($S2050-Infrastructure!K$8)^2)</f>
        <v>12.68266534</v>
      </c>
      <c r="BB2050" s="331">
        <f>SQRT(($R2050-Infrastructure!J$9)^2+($S2050-Infrastructure!K$9)^2)</f>
        <v>15.52353053</v>
      </c>
      <c r="BC2050" s="331">
        <f>SQRT(($R2050-Infrastructure!J$10)^2+($S2050-Infrastructure!K$10)^2)</f>
        <v>13.94453298</v>
      </c>
      <c r="BD2050" s="331">
        <f>SQRT(($R2050-Infrastructure!J$11)^2+($S2050-Infrastructure!K$11)^2)</f>
        <v>21.65109697</v>
      </c>
      <c r="BE2050" s="333">
        <f>SQRT(($R2050-Infrastructure!J$12)^2+($S2050-Infrastructure!K$12)^2)</f>
        <v>43.3664617</v>
      </c>
      <c r="BF2050" s="330">
        <f t="shared" si="161"/>
        <v>12.68266534</v>
      </c>
      <c r="BG2050" s="333">
        <f t="shared" si="162"/>
        <v>43.3664617</v>
      </c>
      <c r="BH2050" s="1119"/>
      <c r="BI2050" s="319" t="str">
        <f t="shared" ref="BI2050:BR2050" si="951">IF(ISNUMBER(FIND(BI$3, $CO2050)), "Y", "")</f>
        <v/>
      </c>
      <c r="BJ2050" s="319" t="str">
        <f t="shared" si="951"/>
        <v/>
      </c>
      <c r="BK2050" s="319" t="str">
        <f t="shared" si="951"/>
        <v/>
      </c>
      <c r="BL2050" s="319" t="str">
        <f t="shared" si="951"/>
        <v/>
      </c>
      <c r="BM2050" s="319" t="str">
        <f t="shared" si="951"/>
        <v/>
      </c>
      <c r="BN2050" s="319" t="str">
        <f t="shared" si="951"/>
        <v/>
      </c>
      <c r="BO2050" s="319" t="str">
        <f t="shared" si="951"/>
        <v/>
      </c>
      <c r="BP2050" s="319" t="str">
        <f t="shared" si="951"/>
        <v/>
      </c>
      <c r="BQ2050" s="319" t="str">
        <f t="shared" si="951"/>
        <v/>
      </c>
      <c r="BR2050" s="319" t="str">
        <f t="shared" si="951"/>
        <v/>
      </c>
      <c r="BS2050" s="330">
        <f t="shared" si="185"/>
        <v>0</v>
      </c>
      <c r="BT2050" s="331">
        <f t="shared" si="170"/>
        <v>0</v>
      </c>
      <c r="BU2050" s="920"/>
      <c r="BV2050" s="903" t="str">
        <f t="shared" si="186"/>
        <v/>
      </c>
      <c r="BW2050" s="908"/>
      <c r="BX2050" s="908"/>
      <c r="BY2050" s="331" t="b">
        <f t="shared" si="201"/>
        <v>0</v>
      </c>
      <c r="BZ2050" s="331"/>
      <c r="CA2050" s="462" t="str">
        <f t="shared" ref="CA2050:CJ2050" si="952">IF(ISNUMBER(FIND(BI$3, $CP2050)), "Y", "")</f>
        <v/>
      </c>
      <c r="CB2050" s="319" t="str">
        <f t="shared" si="952"/>
        <v/>
      </c>
      <c r="CC2050" s="319" t="str">
        <f t="shared" si="952"/>
        <v/>
      </c>
      <c r="CD2050" s="319" t="str">
        <f t="shared" si="952"/>
        <v/>
      </c>
      <c r="CE2050" s="319" t="str">
        <f t="shared" si="952"/>
        <v/>
      </c>
      <c r="CF2050" s="319" t="str">
        <f t="shared" si="952"/>
        <v/>
      </c>
      <c r="CG2050" s="319" t="str">
        <f t="shared" si="952"/>
        <v/>
      </c>
      <c r="CH2050" s="319" t="str">
        <f t="shared" si="952"/>
        <v/>
      </c>
      <c r="CI2050" s="319" t="str">
        <f t="shared" si="952"/>
        <v/>
      </c>
      <c r="CJ2050" s="319" t="str">
        <f t="shared" si="952"/>
        <v/>
      </c>
      <c r="CK2050" s="342">
        <f t="shared" si="182"/>
        <v>0</v>
      </c>
      <c r="CL2050" s="333">
        <f t="shared" si="183"/>
        <v>0</v>
      </c>
      <c r="CM2050" s="1079" t="s">
        <v>2602</v>
      </c>
      <c r="CN2050" s="1005" t="s">
        <v>3055</v>
      </c>
      <c r="CO2050" s="1005"/>
      <c r="CP2050" s="1005"/>
    </row>
    <row r="2051" ht="16.5" customHeight="1">
      <c r="A2051" s="266"/>
      <c r="B2051" s="1113" t="s">
        <v>3053</v>
      </c>
      <c r="C2051" s="1107">
        <v>45586.0</v>
      </c>
      <c r="D2051" s="1113" t="s">
        <v>986</v>
      </c>
      <c r="E2051" s="1108">
        <v>3.0</v>
      </c>
      <c r="F2051" s="112" t="s">
        <v>3057</v>
      </c>
      <c r="G2051" s="1110">
        <v>0.4668981481481482</v>
      </c>
      <c r="H2051" s="1110">
        <v>0.46805555555555556</v>
      </c>
      <c r="I2051" s="1110"/>
      <c r="J2051" s="1111"/>
      <c r="K2051" s="1111">
        <v>0.5003472222222223</v>
      </c>
      <c r="L2051" s="1112">
        <v>0.03229166666666667</v>
      </c>
      <c r="M2051" s="1113" t="s">
        <v>166</v>
      </c>
      <c r="N2051" s="110" t="s">
        <v>187</v>
      </c>
      <c r="O2051" s="1115" t="s">
        <v>206</v>
      </c>
      <c r="P2051" s="1115" t="s">
        <v>223</v>
      </c>
      <c r="Q2051" s="1116"/>
      <c r="R2051" s="120">
        <v>21.8</v>
      </c>
      <c r="S2051" s="1113">
        <v>7.4</v>
      </c>
      <c r="T2051" s="110">
        <v>0.4</v>
      </c>
      <c r="U2051" s="1108">
        <v>3.1</v>
      </c>
      <c r="V2051" s="1108"/>
      <c r="W2051" s="1108"/>
      <c r="X2051" s="1108"/>
      <c r="Y2051" s="1108"/>
      <c r="Z2051" s="1114" t="s">
        <v>347</v>
      </c>
      <c r="AA2051" s="1114"/>
      <c r="AB2051" s="1114" t="s">
        <v>388</v>
      </c>
      <c r="AC2051" s="1117">
        <v>8.0</v>
      </c>
      <c r="AD2051" s="1115"/>
      <c r="AE2051" s="1115"/>
      <c r="AF2051" s="1115"/>
      <c r="AG2051" s="1115"/>
      <c r="AH2051" s="1115"/>
      <c r="AI2051" s="1115"/>
      <c r="AJ2051" s="1117"/>
      <c r="AK2051" s="1118"/>
      <c r="AL2051" s="1115"/>
      <c r="AM2051" s="1115"/>
      <c r="AN2051" s="1115"/>
      <c r="AO2051" s="1115"/>
      <c r="AP2051" s="1115"/>
      <c r="AQ2051" s="1115"/>
      <c r="AR2051" s="1115"/>
      <c r="AS2051" s="1117"/>
      <c r="AT2051" s="1196" t="str">
        <f t="shared" si="428"/>
        <v>1-10</v>
      </c>
      <c r="AU2051" s="1193"/>
      <c r="AV2051" s="330">
        <f>SQRT(($R2051-Infrastructure!J$3)^2+($S2051-Infrastructure!K$3)^2)</f>
        <v>30.83277477</v>
      </c>
      <c r="AW2051" s="331">
        <f>SQRT(($R2051-Infrastructure!J$4)^2+($S2051-Infrastructure!K$4)^2)</f>
        <v>24.4247825</v>
      </c>
      <c r="AX2051" s="331">
        <f>SQRT(($R2051-Infrastructure!J$5)^2+($S2051-Infrastructure!K$5)^2)</f>
        <v>22.21936093</v>
      </c>
      <c r="AY2051" s="331">
        <f>SQRT(($R2051-Infrastructure!J$6)^2+($S2051-Infrastructure!K$6)^2)</f>
        <v>13.68575902</v>
      </c>
      <c r="AZ2051" s="331">
        <f>SQRT(($R2051-Infrastructure!J$7)^2+($S2051-Infrastructure!K$7)^2)</f>
        <v>7.218032973</v>
      </c>
      <c r="BA2051" s="331">
        <f>SQRT(($R2051-Infrastructure!J$8)^2+($S2051-Infrastructure!K$8)^2)</f>
        <v>10.92245394</v>
      </c>
      <c r="BB2051" s="331">
        <f>SQRT(($R2051-Infrastructure!J$9)^2+($S2051-Infrastructure!K$9)^2)</f>
        <v>18.34475402</v>
      </c>
      <c r="BC2051" s="331">
        <f>SQRT(($R2051-Infrastructure!J$10)^2+($S2051-Infrastructure!K$10)^2)</f>
        <v>19.72308292</v>
      </c>
      <c r="BD2051" s="331">
        <f>SQRT(($R2051-Infrastructure!J$11)^2+($S2051-Infrastructure!K$11)^2)</f>
        <v>28.37463656</v>
      </c>
      <c r="BE2051" s="333">
        <f>SQRT(($R2051-Infrastructure!J$12)^2+($S2051-Infrastructure!K$12)^2)</f>
        <v>48.10093554</v>
      </c>
      <c r="BF2051" s="330">
        <f t="shared" si="161"/>
        <v>7.218032973</v>
      </c>
      <c r="BG2051" s="333">
        <f t="shared" si="162"/>
        <v>48.10093554</v>
      </c>
      <c r="BH2051" s="1119"/>
      <c r="BI2051" s="319" t="str">
        <f t="shared" ref="BI2051:BR2051" si="953">IF(ISNUMBER(FIND(BI$3, $CO2051)), "Y", "")</f>
        <v/>
      </c>
      <c r="BJ2051" s="319" t="str">
        <f t="shared" si="953"/>
        <v/>
      </c>
      <c r="BK2051" s="319" t="str">
        <f t="shared" si="953"/>
        <v/>
      </c>
      <c r="BL2051" s="319" t="str">
        <f t="shared" si="953"/>
        <v/>
      </c>
      <c r="BM2051" s="319" t="str">
        <f t="shared" si="953"/>
        <v/>
      </c>
      <c r="BN2051" s="319" t="str">
        <f t="shared" si="953"/>
        <v/>
      </c>
      <c r="BO2051" s="319" t="str">
        <f t="shared" si="953"/>
        <v/>
      </c>
      <c r="BP2051" s="319" t="str">
        <f t="shared" si="953"/>
        <v/>
      </c>
      <c r="BQ2051" s="319" t="str">
        <f t="shared" si="953"/>
        <v/>
      </c>
      <c r="BR2051" s="319" t="str">
        <f t="shared" si="953"/>
        <v/>
      </c>
      <c r="BS2051" s="330">
        <f t="shared" si="185"/>
        <v>0</v>
      </c>
      <c r="BT2051" s="331">
        <f t="shared" si="170"/>
        <v>0</v>
      </c>
      <c r="BU2051" s="920"/>
      <c r="BV2051" s="903" t="str">
        <f t="shared" si="186"/>
        <v/>
      </c>
      <c r="BW2051" s="908"/>
      <c r="BX2051" s="908"/>
      <c r="BY2051" s="331" t="b">
        <f t="shared" si="201"/>
        <v>0</v>
      </c>
      <c r="BZ2051" s="331"/>
      <c r="CA2051" s="462" t="str">
        <f t="shared" ref="CA2051:CJ2051" si="954">IF(ISNUMBER(FIND(BI$3, $CP2051)), "Y", "")</f>
        <v/>
      </c>
      <c r="CB2051" s="319" t="str">
        <f t="shared" si="954"/>
        <v/>
      </c>
      <c r="CC2051" s="319" t="str">
        <f t="shared" si="954"/>
        <v/>
      </c>
      <c r="CD2051" s="319" t="str">
        <f t="shared" si="954"/>
        <v/>
      </c>
      <c r="CE2051" s="319" t="str">
        <f t="shared" si="954"/>
        <v/>
      </c>
      <c r="CF2051" s="319" t="str">
        <f t="shared" si="954"/>
        <v/>
      </c>
      <c r="CG2051" s="319" t="str">
        <f t="shared" si="954"/>
        <v/>
      </c>
      <c r="CH2051" s="319" t="str">
        <f t="shared" si="954"/>
        <v/>
      </c>
      <c r="CI2051" s="319" t="str">
        <f t="shared" si="954"/>
        <v/>
      </c>
      <c r="CJ2051" s="319" t="str">
        <f t="shared" si="954"/>
        <v/>
      </c>
      <c r="CK2051" s="342">
        <f t="shared" si="182"/>
        <v>0</v>
      </c>
      <c r="CL2051" s="333">
        <f t="shared" si="183"/>
        <v>0</v>
      </c>
      <c r="CM2051" s="1079" t="s">
        <v>2602</v>
      </c>
      <c r="CN2051" s="1005" t="s">
        <v>3055</v>
      </c>
      <c r="CO2051" s="1005"/>
      <c r="CP2051" s="1005"/>
    </row>
    <row r="2052">
      <c r="A2052" s="266"/>
      <c r="B2052" s="1113" t="s">
        <v>3053</v>
      </c>
      <c r="C2052" s="1107">
        <v>45586.0</v>
      </c>
      <c r="D2052" s="1113" t="s">
        <v>986</v>
      </c>
      <c r="E2052" s="1108">
        <v>4.0</v>
      </c>
      <c r="F2052" s="112" t="s">
        <v>3058</v>
      </c>
      <c r="G2052" s="1110">
        <v>0.5435185185185185</v>
      </c>
      <c r="H2052" s="1110">
        <v>0.5440972222222222</v>
      </c>
      <c r="I2052" s="1110"/>
      <c r="J2052" s="1111"/>
      <c r="K2052" s="1111">
        <v>0.5875</v>
      </c>
      <c r="L2052" s="1112">
        <v>0.043402777777777776</v>
      </c>
      <c r="M2052" s="1113" t="s">
        <v>166</v>
      </c>
      <c r="N2052" s="110" t="s">
        <v>187</v>
      </c>
      <c r="O2052" s="1115" t="s">
        <v>204</v>
      </c>
      <c r="P2052" s="1115" t="s">
        <v>262</v>
      </c>
      <c r="Q2052" s="1116"/>
      <c r="R2052" s="120">
        <v>17.9</v>
      </c>
      <c r="S2052" s="1113">
        <v>3.6</v>
      </c>
      <c r="T2052" s="110">
        <v>2.57</v>
      </c>
      <c r="U2052" s="1108">
        <v>0.4</v>
      </c>
      <c r="V2052" s="1108"/>
      <c r="W2052" s="1108"/>
      <c r="X2052" s="1108"/>
      <c r="Y2052" s="1108"/>
      <c r="Z2052" s="1114" t="s">
        <v>365</v>
      </c>
      <c r="AA2052" s="1114"/>
      <c r="AB2052" s="1114" t="s">
        <v>388</v>
      </c>
      <c r="AC2052" s="1117">
        <v>8.0</v>
      </c>
      <c r="AD2052" s="1115"/>
      <c r="AE2052" s="1115"/>
      <c r="AF2052" s="1115"/>
      <c r="AG2052" s="1115"/>
      <c r="AH2052" s="1115"/>
      <c r="AI2052" s="1115"/>
      <c r="AJ2052" s="1117"/>
      <c r="AK2052" s="1118"/>
      <c r="AL2052" s="1115"/>
      <c r="AM2052" s="1115"/>
      <c r="AN2052" s="1115"/>
      <c r="AO2052" s="1115"/>
      <c r="AP2052" s="1115"/>
      <c r="AQ2052" s="1115"/>
      <c r="AR2052" s="1115"/>
      <c r="AS2052" s="1117"/>
      <c r="AT2052" s="1196" t="str">
        <f t="shared" si="428"/>
        <v>0-1</v>
      </c>
      <c r="AU2052" s="1193"/>
      <c r="AV2052" s="330">
        <f>SQRT(($R2052-Infrastructure!J$3)^2+($S2052-Infrastructure!K$3)^2)</f>
        <v>31.16616755</v>
      </c>
      <c r="AW2052" s="331">
        <f>SQRT(($R2052-Infrastructure!J$4)^2+($S2052-Infrastructure!K$4)^2)</f>
        <v>23.08419373</v>
      </c>
      <c r="AX2052" s="331">
        <f>SQRT(($R2052-Infrastructure!J$5)^2+($S2052-Infrastructure!K$5)^2)</f>
        <v>18.26170857</v>
      </c>
      <c r="AY2052" s="331">
        <f>SQRT(($R2052-Infrastructure!J$6)^2+($S2052-Infrastructure!K$6)^2)</f>
        <v>8.469356528</v>
      </c>
      <c r="AZ2052" s="331">
        <f>SQRT(($R2052-Infrastructure!J$7)^2+($S2052-Infrastructure!K$7)^2)</f>
        <v>4.201190308</v>
      </c>
      <c r="BA2052" s="331">
        <f>SQRT(($R2052-Infrastructure!J$8)^2+($S2052-Infrastructure!K$8)^2)</f>
        <v>12.63843345</v>
      </c>
      <c r="BB2052" s="331">
        <f>SQRT(($R2052-Infrastructure!J$9)^2+($S2052-Infrastructure!K$9)^2)</f>
        <v>22.15084648</v>
      </c>
      <c r="BC2052" s="331">
        <f>SQRT(($R2052-Infrastructure!J$10)^2+($S2052-Infrastructure!K$10)^2)</f>
        <v>24.86704647</v>
      </c>
      <c r="BD2052" s="331">
        <f>SQRT(($R2052-Infrastructure!J$11)^2+($S2052-Infrastructure!K$11)^2)</f>
        <v>33.80014793</v>
      </c>
      <c r="BE2052" s="333">
        <f>SQRT(($R2052-Infrastructure!J$12)^2+($S2052-Infrastructure!K$12)^2)</f>
        <v>52.02470567</v>
      </c>
      <c r="BF2052" s="330">
        <f t="shared" si="161"/>
        <v>4.201190308</v>
      </c>
      <c r="BG2052" s="333">
        <f t="shared" si="162"/>
        <v>52.02470567</v>
      </c>
      <c r="BH2052" s="1119"/>
      <c r="BI2052" s="319" t="str">
        <f t="shared" ref="BI2052:BR2052" si="955">IF(ISNUMBER(FIND(BI$3, $CO2052)), "Y", "")</f>
        <v/>
      </c>
      <c r="BJ2052" s="319" t="str">
        <f t="shared" si="955"/>
        <v/>
      </c>
      <c r="BK2052" s="319" t="str">
        <f t="shared" si="955"/>
        <v/>
      </c>
      <c r="BL2052" s="319" t="str">
        <f t="shared" si="955"/>
        <v/>
      </c>
      <c r="BM2052" s="319" t="str">
        <f t="shared" si="955"/>
        <v/>
      </c>
      <c r="BN2052" s="319" t="str">
        <f t="shared" si="955"/>
        <v/>
      </c>
      <c r="BO2052" s="319" t="str">
        <f t="shared" si="955"/>
        <v/>
      </c>
      <c r="BP2052" s="319" t="str">
        <f t="shared" si="955"/>
        <v/>
      </c>
      <c r="BQ2052" s="319" t="str">
        <f t="shared" si="955"/>
        <v/>
      </c>
      <c r="BR2052" s="319" t="str">
        <f t="shared" si="955"/>
        <v/>
      </c>
      <c r="BS2052" s="330">
        <f t="shared" si="185"/>
        <v>0</v>
      </c>
      <c r="BT2052" s="331">
        <f t="shared" si="170"/>
        <v>0</v>
      </c>
      <c r="BU2052" s="920"/>
      <c r="BV2052" s="903" t="str">
        <f t="shared" si="186"/>
        <v/>
      </c>
      <c r="BW2052" s="908"/>
      <c r="BX2052" s="908"/>
      <c r="BY2052" s="331" t="b">
        <f t="shared" si="201"/>
        <v>0</v>
      </c>
      <c r="BZ2052" s="331"/>
      <c r="CA2052" s="462" t="str">
        <f t="shared" ref="CA2052:CJ2052" si="956">IF(ISNUMBER(FIND(BI$3, $CP2052)), "Y", "")</f>
        <v/>
      </c>
      <c r="CB2052" s="319" t="str">
        <f t="shared" si="956"/>
        <v/>
      </c>
      <c r="CC2052" s="319" t="str">
        <f t="shared" si="956"/>
        <v/>
      </c>
      <c r="CD2052" s="319" t="str">
        <f t="shared" si="956"/>
        <v/>
      </c>
      <c r="CE2052" s="319" t="str">
        <f t="shared" si="956"/>
        <v/>
      </c>
      <c r="CF2052" s="319" t="str">
        <f t="shared" si="956"/>
        <v/>
      </c>
      <c r="CG2052" s="319" t="str">
        <f t="shared" si="956"/>
        <v/>
      </c>
      <c r="CH2052" s="319" t="str">
        <f t="shared" si="956"/>
        <v/>
      </c>
      <c r="CI2052" s="319" t="str">
        <f t="shared" si="956"/>
        <v/>
      </c>
      <c r="CJ2052" s="319" t="str">
        <f t="shared" si="956"/>
        <v/>
      </c>
      <c r="CK2052" s="342">
        <f t="shared" si="182"/>
        <v>0</v>
      </c>
      <c r="CL2052" s="333">
        <f t="shared" si="183"/>
        <v>0</v>
      </c>
      <c r="CM2052" s="1079" t="s">
        <v>2602</v>
      </c>
      <c r="CN2052" s="1005" t="s">
        <v>3059</v>
      </c>
      <c r="CO2052" s="1005"/>
      <c r="CP2052" s="1005"/>
    </row>
    <row r="2053">
      <c r="A2053" s="1258"/>
      <c r="B2053" s="1129" t="s">
        <v>3053</v>
      </c>
      <c r="C2053" s="1122">
        <v>45586.0</v>
      </c>
      <c r="D2053" s="1129" t="s">
        <v>986</v>
      </c>
      <c r="E2053" s="1124">
        <v>5.0</v>
      </c>
      <c r="F2053" s="108" t="s">
        <v>3060</v>
      </c>
      <c r="G2053" s="1126">
        <v>0.6097222222222223</v>
      </c>
      <c r="H2053" s="1126">
        <v>0.6111111111111112</v>
      </c>
      <c r="I2053" s="1126"/>
      <c r="J2053" s="1127"/>
      <c r="K2053" s="1127">
        <v>0.6506944444444445</v>
      </c>
      <c r="L2053" s="1128">
        <v>0.03958333333333333</v>
      </c>
      <c r="M2053" s="1129" t="s">
        <v>166</v>
      </c>
      <c r="N2053" s="100" t="s">
        <v>187</v>
      </c>
      <c r="O2053" s="1131" t="s">
        <v>203</v>
      </c>
      <c r="P2053" s="1131" t="s">
        <v>227</v>
      </c>
      <c r="Q2053" s="1132"/>
      <c r="R2053" s="137">
        <v>15.5</v>
      </c>
      <c r="S2053" s="1129">
        <v>3.4</v>
      </c>
      <c r="T2053" s="100">
        <v>1.35</v>
      </c>
      <c r="U2053" s="1124">
        <v>5.5</v>
      </c>
      <c r="V2053" s="1124"/>
      <c r="W2053" s="1124"/>
      <c r="X2053" s="1124"/>
      <c r="Y2053" s="1124"/>
      <c r="Z2053" s="1130" t="s">
        <v>357</v>
      </c>
      <c r="AA2053" s="1130"/>
      <c r="AB2053" s="1130" t="s">
        <v>384</v>
      </c>
      <c r="AC2053" s="1133">
        <v>6.0</v>
      </c>
      <c r="AD2053" s="1131"/>
      <c r="AE2053" s="1131"/>
      <c r="AF2053" s="1131"/>
      <c r="AG2053" s="1131"/>
      <c r="AH2053" s="1131"/>
      <c r="AI2053" s="1131"/>
      <c r="AJ2053" s="1133"/>
      <c r="AK2053" s="1134"/>
      <c r="AL2053" s="1131"/>
      <c r="AM2053" s="1131"/>
      <c r="AN2053" s="1131"/>
      <c r="AO2053" s="1131"/>
      <c r="AP2053" s="1131"/>
      <c r="AQ2053" s="1131"/>
      <c r="AR2053" s="1131"/>
      <c r="AS2053" s="1133"/>
      <c r="AT2053" s="1197" t="str">
        <f t="shared" si="428"/>
        <v>1-10</v>
      </c>
      <c r="AU2053" s="1194"/>
      <c r="AV2053" s="662">
        <f>SQRT(($R2053-Infrastructure!J$3)^2+($S2053-Infrastructure!K$3)^2)</f>
        <v>29.99816661</v>
      </c>
      <c r="AW2053" s="641">
        <f>SQRT(($R2053-Infrastructure!J$4)^2+($S2053-Infrastructure!K$4)^2)</f>
        <v>21.37755833</v>
      </c>
      <c r="AX2053" s="641">
        <f>SQRT(($R2053-Infrastructure!J$5)^2+($S2053-Infrastructure!K$5)^2)</f>
        <v>15.89119253</v>
      </c>
      <c r="AY2053" s="641">
        <f>SQRT(($R2053-Infrastructure!J$6)^2+($S2053-Infrastructure!K$6)^2)</f>
        <v>6.22655603</v>
      </c>
      <c r="AZ2053" s="641">
        <f>SQRT(($R2053-Infrastructure!J$7)^2+($S2053-Infrastructure!K$7)^2)</f>
        <v>5.883026432</v>
      </c>
      <c r="BA2053" s="641">
        <f>SQRT(($R2053-Infrastructure!J$8)^2+($S2053-Infrastructure!K$8)^2)</f>
        <v>14.92548157</v>
      </c>
      <c r="BB2053" s="641">
        <f>SQRT(($R2053-Infrastructure!J$9)^2+($S2053-Infrastructure!K$9)^2)</f>
        <v>24.55890877</v>
      </c>
      <c r="BC2053" s="641">
        <f>SQRT(($R2053-Infrastructure!J$10)^2+($S2053-Infrastructure!K$10)^2)</f>
        <v>27.10737907</v>
      </c>
      <c r="BD2053" s="641">
        <f>SQRT(($R2053-Infrastructure!J$11)^2+($S2053-Infrastructure!K$11)^2)</f>
        <v>35.57316404</v>
      </c>
      <c r="BE2053" s="642">
        <f>SQRT(($R2053-Infrastructure!J$12)^2+($S2053-Infrastructure!K$12)^2)</f>
        <v>52.44435146</v>
      </c>
      <c r="BF2053" s="662">
        <f t="shared" si="161"/>
        <v>5.883026432</v>
      </c>
      <c r="BG2053" s="642">
        <f t="shared" si="162"/>
        <v>52.44435146</v>
      </c>
      <c r="BH2053" s="1135"/>
      <c r="BI2053" s="663" t="str">
        <f t="shared" ref="BI2053:BR2053" si="957">IF(ISNUMBER(FIND(BI$3, $CO2053)), "Y", "")</f>
        <v/>
      </c>
      <c r="BJ2053" s="663" t="str">
        <f t="shared" si="957"/>
        <v/>
      </c>
      <c r="BK2053" s="663" t="str">
        <f t="shared" si="957"/>
        <v/>
      </c>
      <c r="BL2053" s="663" t="str">
        <f t="shared" si="957"/>
        <v/>
      </c>
      <c r="BM2053" s="663" t="str">
        <f t="shared" si="957"/>
        <v/>
      </c>
      <c r="BN2053" s="663" t="str">
        <f t="shared" si="957"/>
        <v/>
      </c>
      <c r="BO2053" s="663" t="str">
        <f t="shared" si="957"/>
        <v/>
      </c>
      <c r="BP2053" s="663" t="str">
        <f t="shared" si="957"/>
        <v/>
      </c>
      <c r="BQ2053" s="663" t="str">
        <f t="shared" si="957"/>
        <v/>
      </c>
      <c r="BR2053" s="663" t="str">
        <f t="shared" si="957"/>
        <v/>
      </c>
      <c r="BS2053" s="662">
        <f t="shared" si="185"/>
        <v>0</v>
      </c>
      <c r="BT2053" s="641">
        <f t="shared" si="170"/>
        <v>0</v>
      </c>
      <c r="BU2053" s="937"/>
      <c r="BV2053" s="930" t="str">
        <f t="shared" si="186"/>
        <v/>
      </c>
      <c r="BW2053" s="939"/>
      <c r="BX2053" s="939"/>
      <c r="BY2053" s="641" t="b">
        <f t="shared" si="201"/>
        <v>0</v>
      </c>
      <c r="BZ2053" s="641"/>
      <c r="CA2053" s="635" t="str">
        <f t="shared" ref="CA2053:CJ2053" si="958">IF(ISNUMBER(FIND(BI$3, $CP2053)), "Y", "")</f>
        <v/>
      </c>
      <c r="CB2053" s="663" t="str">
        <f t="shared" si="958"/>
        <v/>
      </c>
      <c r="CC2053" s="663" t="str">
        <f t="shared" si="958"/>
        <v/>
      </c>
      <c r="CD2053" s="663" t="str">
        <f t="shared" si="958"/>
        <v/>
      </c>
      <c r="CE2053" s="663" t="str">
        <f t="shared" si="958"/>
        <v/>
      </c>
      <c r="CF2053" s="663" t="str">
        <f t="shared" si="958"/>
        <v/>
      </c>
      <c r="CG2053" s="663" t="str">
        <f t="shared" si="958"/>
        <v/>
      </c>
      <c r="CH2053" s="663" t="str">
        <f t="shared" si="958"/>
        <v/>
      </c>
      <c r="CI2053" s="663" t="str">
        <f t="shared" si="958"/>
        <v/>
      </c>
      <c r="CJ2053" s="663" t="str">
        <f t="shared" si="958"/>
        <v/>
      </c>
      <c r="CK2053" s="743">
        <f t="shared" si="182"/>
        <v>0</v>
      </c>
      <c r="CL2053" s="642">
        <f t="shared" si="183"/>
        <v>0</v>
      </c>
      <c r="CM2053" s="1090" t="s">
        <v>2602</v>
      </c>
      <c r="CN2053" s="1036" t="s">
        <v>3059</v>
      </c>
      <c r="CO2053" s="1036"/>
      <c r="CP2053" s="1036"/>
    </row>
    <row r="2054">
      <c r="A2054" s="1257" t="s">
        <v>126</v>
      </c>
      <c r="B2054" s="1113" t="s">
        <v>3053</v>
      </c>
      <c r="C2054" s="1107">
        <v>45588.0</v>
      </c>
      <c r="D2054" s="1113" t="s">
        <v>986</v>
      </c>
      <c r="E2054" s="1108">
        <v>6.0</v>
      </c>
      <c r="F2054" s="112" t="s">
        <v>3061</v>
      </c>
      <c r="G2054" s="1110">
        <v>0.39652777777777776</v>
      </c>
      <c r="H2054" s="1110">
        <v>0.3972222222222222</v>
      </c>
      <c r="I2054" s="1110"/>
      <c r="J2054" s="1111"/>
      <c r="K2054" s="1111">
        <v>0.42604166666666665</v>
      </c>
      <c r="L2054" s="1112">
        <v>0.028819444444444446</v>
      </c>
      <c r="M2054" s="1113" t="s">
        <v>166</v>
      </c>
      <c r="N2054" s="110" t="s">
        <v>187</v>
      </c>
      <c r="O2054" s="1115" t="s">
        <v>199</v>
      </c>
      <c r="P2054" s="1115" t="s">
        <v>272</v>
      </c>
      <c r="Q2054" s="1116"/>
      <c r="R2054" s="120">
        <v>16.1</v>
      </c>
      <c r="S2054" s="1113">
        <v>9.6</v>
      </c>
      <c r="T2054" s="110">
        <v>0.0</v>
      </c>
      <c r="U2054" s="1108">
        <v>0.55</v>
      </c>
      <c r="V2054" s="1108"/>
      <c r="W2054" s="1108"/>
      <c r="X2054" s="1108"/>
      <c r="Y2054" s="1108"/>
      <c r="Z2054" s="1114" t="s">
        <v>351</v>
      </c>
      <c r="AA2054" s="1114"/>
      <c r="AB2054" s="1114" t="s">
        <v>384</v>
      </c>
      <c r="AC2054" s="1117">
        <v>6.0</v>
      </c>
      <c r="AD2054" s="1115"/>
      <c r="AE2054" s="1115"/>
      <c r="AF2054" s="1115"/>
      <c r="AG2054" s="1115"/>
      <c r="AH2054" s="1115"/>
      <c r="AI2054" s="1115"/>
      <c r="AJ2054" s="1117"/>
      <c r="AK2054" s="1118"/>
      <c r="AL2054" s="1115"/>
      <c r="AM2054" s="1115"/>
      <c r="AN2054" s="1115"/>
      <c r="AO2054" s="1115"/>
      <c r="AP2054" s="1115"/>
      <c r="AQ2054" s="1115"/>
      <c r="AR2054" s="1115"/>
      <c r="AS2054" s="1117"/>
      <c r="AT2054" s="1196" t="str">
        <f t="shared" si="428"/>
        <v>0-1</v>
      </c>
      <c r="AU2054" s="1193"/>
      <c r="AV2054" s="330">
        <f>SQRT(($R2054-Infrastructure!J$3)^2+($S2054-Infrastructure!K$3)^2)</f>
        <v>25.32686321</v>
      </c>
      <c r="AW2054" s="331">
        <f>SQRT(($R2054-Infrastructure!J$4)^2+($S2054-Infrastructure!K$4)^2)</f>
        <v>18.33575742</v>
      </c>
      <c r="AX2054" s="331">
        <f>SQRT(($R2054-Infrastructure!J$5)^2+($S2054-Infrastructure!K$5)^2)</f>
        <v>17.00617535</v>
      </c>
      <c r="AY2054" s="331">
        <f>SQRT(($R2054-Infrastructure!J$6)^2+($S2054-Infrastructure!K$6)^2)</f>
        <v>11.06752005</v>
      </c>
      <c r="AZ2054" s="331">
        <f>SQRT(($R2054-Infrastructure!J$7)^2+($S2054-Infrastructure!K$7)^2)</f>
        <v>10.28834292</v>
      </c>
      <c r="BA2054" s="331">
        <f>SQRT(($R2054-Infrastructure!J$8)^2+($S2054-Infrastructure!K$8)^2)</f>
        <v>16.80743883</v>
      </c>
      <c r="BB2054" s="331">
        <f>SQRT(($R2054-Infrastructure!J$9)^2+($S2054-Infrastructure!K$9)^2)</f>
        <v>24.31995066</v>
      </c>
      <c r="BC2054" s="331">
        <f>SQRT(($R2054-Infrastructure!J$10)^2+($S2054-Infrastructure!K$10)^2)</f>
        <v>24.50244886</v>
      </c>
      <c r="BD2054" s="331">
        <f>SQRT(($R2054-Infrastructure!J$11)^2+($S2054-Infrastructure!K$11)^2)</f>
        <v>30.93816413</v>
      </c>
      <c r="BE2054" s="333">
        <f>SQRT(($R2054-Infrastructure!J$12)^2+($S2054-Infrastructure!K$12)^2)</f>
        <v>46.21655548</v>
      </c>
      <c r="BF2054" s="330">
        <f t="shared" si="161"/>
        <v>10.28834292</v>
      </c>
      <c r="BG2054" s="333">
        <f t="shared" si="162"/>
        <v>46.21655548</v>
      </c>
      <c r="BH2054" s="1119"/>
      <c r="BI2054" s="319" t="str">
        <f t="shared" ref="BI2054:BR2054" si="959">IF(ISNUMBER(FIND(BI$3, $CO2054)), "Y", "")</f>
        <v/>
      </c>
      <c r="BJ2054" s="319" t="str">
        <f t="shared" si="959"/>
        <v/>
      </c>
      <c r="BK2054" s="319" t="str">
        <f t="shared" si="959"/>
        <v/>
      </c>
      <c r="BL2054" s="319" t="str">
        <f t="shared" si="959"/>
        <v/>
      </c>
      <c r="BM2054" s="319" t="str">
        <f t="shared" si="959"/>
        <v/>
      </c>
      <c r="BN2054" s="319" t="str">
        <f t="shared" si="959"/>
        <v/>
      </c>
      <c r="BO2054" s="319" t="str">
        <f t="shared" si="959"/>
        <v/>
      </c>
      <c r="BP2054" s="319" t="str">
        <f t="shared" si="959"/>
        <v/>
      </c>
      <c r="BQ2054" s="319" t="str">
        <f t="shared" si="959"/>
        <v/>
      </c>
      <c r="BR2054" s="319" t="str">
        <f t="shared" si="959"/>
        <v/>
      </c>
      <c r="BS2054" s="330">
        <f t="shared" si="185"/>
        <v>0</v>
      </c>
      <c r="BT2054" s="331">
        <f t="shared" si="170"/>
        <v>0</v>
      </c>
      <c r="BU2054" s="920"/>
      <c r="BV2054" s="903" t="str">
        <f t="shared" si="186"/>
        <v/>
      </c>
      <c r="BW2054" s="908"/>
      <c r="BX2054" s="908"/>
      <c r="BY2054" s="331" t="b">
        <f t="shared" si="201"/>
        <v>0</v>
      </c>
      <c r="BZ2054" s="331"/>
      <c r="CA2054" s="462" t="str">
        <f t="shared" ref="CA2054:CJ2054" si="960">IF(ISNUMBER(FIND(BI$3, $CP2054)), "Y", "")</f>
        <v/>
      </c>
      <c r="CB2054" s="319" t="str">
        <f t="shared" si="960"/>
        <v/>
      </c>
      <c r="CC2054" s="319" t="str">
        <f t="shared" si="960"/>
        <v/>
      </c>
      <c r="CD2054" s="319" t="str">
        <f t="shared" si="960"/>
        <v/>
      </c>
      <c r="CE2054" s="319" t="str">
        <f t="shared" si="960"/>
        <v/>
      </c>
      <c r="CF2054" s="319" t="str">
        <f t="shared" si="960"/>
        <v/>
      </c>
      <c r="CG2054" s="319" t="str">
        <f t="shared" si="960"/>
        <v/>
      </c>
      <c r="CH2054" s="319" t="str">
        <f t="shared" si="960"/>
        <v/>
      </c>
      <c r="CI2054" s="319" t="str">
        <f t="shared" si="960"/>
        <v/>
      </c>
      <c r="CJ2054" s="319" t="str">
        <f t="shared" si="960"/>
        <v/>
      </c>
      <c r="CK2054" s="342">
        <f t="shared" si="182"/>
        <v>0</v>
      </c>
      <c r="CL2054" s="333">
        <f t="shared" si="183"/>
        <v>0</v>
      </c>
      <c r="CM2054" s="1079" t="s">
        <v>2602</v>
      </c>
      <c r="CN2054" s="1005" t="s">
        <v>3062</v>
      </c>
      <c r="CO2054" s="1005"/>
      <c r="CP2054" s="1005"/>
    </row>
    <row r="2055">
      <c r="A2055" s="266"/>
      <c r="B2055" s="1113" t="s">
        <v>3053</v>
      </c>
      <c r="C2055" s="1107">
        <v>45588.0</v>
      </c>
      <c r="D2055" s="1113" t="s">
        <v>986</v>
      </c>
      <c r="E2055" s="1108">
        <v>7.0</v>
      </c>
      <c r="F2055" s="112" t="s">
        <v>3063</v>
      </c>
      <c r="G2055" s="1110">
        <v>0.44131944444444443</v>
      </c>
      <c r="H2055" s="1110">
        <v>0.44166666666666665</v>
      </c>
      <c r="I2055" s="1110"/>
      <c r="J2055" s="1111"/>
      <c r="K2055" s="1111">
        <v>0.47604166666666664</v>
      </c>
      <c r="L2055" s="1112">
        <v>0.034375</v>
      </c>
      <c r="M2055" s="1113" t="s">
        <v>166</v>
      </c>
      <c r="N2055" s="110" t="s">
        <v>187</v>
      </c>
      <c r="O2055" s="1115" t="s">
        <v>206</v>
      </c>
      <c r="P2055" s="1115" t="s">
        <v>296</v>
      </c>
      <c r="Q2055" s="1116"/>
      <c r="R2055" s="120">
        <v>22.0</v>
      </c>
      <c r="S2055" s="1113">
        <v>11.4</v>
      </c>
      <c r="T2055" s="110">
        <v>0.6</v>
      </c>
      <c r="U2055" s="1108">
        <v>0.25</v>
      </c>
      <c r="V2055" s="1108"/>
      <c r="W2055" s="1108"/>
      <c r="X2055" s="1108"/>
      <c r="Y2055" s="1108"/>
      <c r="Z2055" s="1114" t="s">
        <v>347</v>
      </c>
      <c r="AA2055" s="1114"/>
      <c r="AB2055" s="1114" t="s">
        <v>380</v>
      </c>
      <c r="AC2055" s="1117">
        <v>4.0</v>
      </c>
      <c r="AD2055" s="1115"/>
      <c r="AE2055" s="1115"/>
      <c r="AF2055" s="1115"/>
      <c r="AG2055" s="1115"/>
      <c r="AH2055" s="1115"/>
      <c r="AI2055" s="1115"/>
      <c r="AJ2055" s="1117"/>
      <c r="AK2055" s="1118"/>
      <c r="AL2055" s="1115"/>
      <c r="AM2055" s="1115"/>
      <c r="AN2055" s="1115"/>
      <c r="AO2055" s="1115"/>
      <c r="AP2055" s="1115"/>
      <c r="AQ2055" s="1115"/>
      <c r="AR2055" s="1115"/>
      <c r="AS2055" s="1117"/>
      <c r="AT2055" s="1196" t="str">
        <f t="shared" si="428"/>
        <v>0-1</v>
      </c>
      <c r="AU2055" s="1193"/>
      <c r="AV2055" s="330">
        <f>SQRT(($R2055-Infrastructure!J$3)^2+($S2055-Infrastructure!K$3)^2)</f>
        <v>28.34678112</v>
      </c>
      <c r="AW2055" s="331">
        <f>SQRT(($R2055-Infrastructure!J$4)^2+($S2055-Infrastructure!K$4)^2)</f>
        <v>23.20021552</v>
      </c>
      <c r="AX2055" s="331">
        <f>SQRT(($R2055-Infrastructure!J$5)^2+($S2055-Infrastructure!K$5)^2)</f>
        <v>23.17282892</v>
      </c>
      <c r="AY2055" s="331">
        <f>SQRT(($R2055-Infrastructure!J$6)^2+($S2055-Infrastructure!K$6)^2)</f>
        <v>16.273291</v>
      </c>
      <c r="AZ2055" s="331">
        <f>SQRT(($R2055-Infrastructure!J$7)^2+($S2055-Infrastructure!K$7)^2)</f>
        <v>11.20089282</v>
      </c>
      <c r="BA2055" s="331">
        <f>SQRT(($R2055-Infrastructure!J$8)^2+($S2055-Infrastructure!K$8)^2)</f>
        <v>13.74117899</v>
      </c>
      <c r="BB2055" s="331">
        <f>SQRT(($R2055-Infrastructure!J$9)^2+($S2055-Infrastructure!K$9)^2)</f>
        <v>19.07065809</v>
      </c>
      <c r="BC2055" s="331">
        <f>SQRT(($R2055-Infrastructure!J$10)^2+($S2055-Infrastructure!K$10)^2)</f>
        <v>18.35647025</v>
      </c>
      <c r="BD2055" s="331">
        <f>SQRT(($R2055-Infrastructure!J$11)^2+($S2055-Infrastructure!K$11)^2)</f>
        <v>25.3179778</v>
      </c>
      <c r="BE2055" s="333">
        <f>SQRT(($R2055-Infrastructure!J$12)^2+($S2055-Infrastructure!K$12)^2)</f>
        <v>44.10283438</v>
      </c>
      <c r="BF2055" s="330">
        <f t="shared" si="161"/>
        <v>11.20089282</v>
      </c>
      <c r="BG2055" s="333">
        <f t="shared" si="162"/>
        <v>44.10283438</v>
      </c>
      <c r="BH2055" s="1119"/>
      <c r="BI2055" s="319" t="str">
        <f t="shared" ref="BI2055:BR2055" si="961">IF(ISNUMBER(FIND(BI$3, $CO2055)), "Y", "")</f>
        <v/>
      </c>
      <c r="BJ2055" s="319" t="str">
        <f t="shared" si="961"/>
        <v/>
      </c>
      <c r="BK2055" s="319" t="str">
        <f t="shared" si="961"/>
        <v/>
      </c>
      <c r="BL2055" s="319" t="str">
        <f t="shared" si="961"/>
        <v/>
      </c>
      <c r="BM2055" s="319" t="str">
        <f t="shared" si="961"/>
        <v/>
      </c>
      <c r="BN2055" s="319" t="str">
        <f t="shared" si="961"/>
        <v/>
      </c>
      <c r="BO2055" s="319" t="str">
        <f t="shared" si="961"/>
        <v/>
      </c>
      <c r="BP2055" s="319" t="str">
        <f t="shared" si="961"/>
        <v/>
      </c>
      <c r="BQ2055" s="319" t="str">
        <f t="shared" si="961"/>
        <v/>
      </c>
      <c r="BR2055" s="319" t="str">
        <f t="shared" si="961"/>
        <v/>
      </c>
      <c r="BS2055" s="330">
        <f t="shared" si="185"/>
        <v>0</v>
      </c>
      <c r="BT2055" s="331">
        <f t="shared" si="170"/>
        <v>0</v>
      </c>
      <c r="BU2055" s="920"/>
      <c r="BV2055" s="903" t="str">
        <f t="shared" si="186"/>
        <v/>
      </c>
      <c r="BW2055" s="908"/>
      <c r="BX2055" s="908"/>
      <c r="BY2055" s="331" t="b">
        <f t="shared" si="201"/>
        <v>0</v>
      </c>
      <c r="BZ2055" s="331"/>
      <c r="CA2055" s="462" t="str">
        <f t="shared" ref="CA2055:CJ2055" si="962">IF(ISNUMBER(FIND(BI$3, $CP2055)), "Y", "")</f>
        <v/>
      </c>
      <c r="CB2055" s="319" t="str">
        <f t="shared" si="962"/>
        <v/>
      </c>
      <c r="CC2055" s="319" t="str">
        <f t="shared" si="962"/>
        <v/>
      </c>
      <c r="CD2055" s="319" t="str">
        <f t="shared" si="962"/>
        <v/>
      </c>
      <c r="CE2055" s="319" t="str">
        <f t="shared" si="962"/>
        <v/>
      </c>
      <c r="CF2055" s="319" t="str">
        <f t="shared" si="962"/>
        <v/>
      </c>
      <c r="CG2055" s="319" t="str">
        <f t="shared" si="962"/>
        <v/>
      </c>
      <c r="CH2055" s="319" t="str">
        <f t="shared" si="962"/>
        <v/>
      </c>
      <c r="CI2055" s="319" t="str">
        <f t="shared" si="962"/>
        <v/>
      </c>
      <c r="CJ2055" s="319" t="str">
        <f t="shared" si="962"/>
        <v/>
      </c>
      <c r="CK2055" s="342">
        <f t="shared" si="182"/>
        <v>0</v>
      </c>
      <c r="CL2055" s="333">
        <f t="shared" si="183"/>
        <v>0</v>
      </c>
      <c r="CM2055" s="1079" t="s">
        <v>2602</v>
      </c>
      <c r="CN2055" s="1005" t="s">
        <v>3062</v>
      </c>
      <c r="CO2055" s="1005"/>
      <c r="CP2055" s="1005"/>
    </row>
    <row r="2056">
      <c r="A2056" s="266"/>
      <c r="B2056" s="1113" t="s">
        <v>3053</v>
      </c>
      <c r="C2056" s="1107">
        <v>45588.0</v>
      </c>
      <c r="D2056" s="1113" t="s">
        <v>986</v>
      </c>
      <c r="E2056" s="1108" t="s">
        <v>1267</v>
      </c>
      <c r="F2056" s="112" t="s">
        <v>3064</v>
      </c>
      <c r="G2056" s="1110">
        <v>0.6057291666666667</v>
      </c>
      <c r="H2056" s="1110">
        <v>0.6064236111111111</v>
      </c>
      <c r="I2056" s="1110"/>
      <c r="J2056" s="1111"/>
      <c r="K2056" s="1111">
        <v>0.6513888888888889</v>
      </c>
      <c r="L2056" s="1112">
        <v>0.04496527777777778</v>
      </c>
      <c r="M2056" s="1113" t="s">
        <v>166</v>
      </c>
      <c r="N2056" s="110" t="s">
        <v>187</v>
      </c>
      <c r="O2056" s="1115" t="s">
        <v>3065</v>
      </c>
      <c r="P2056" s="1115" t="s">
        <v>272</v>
      </c>
      <c r="Q2056" s="1116"/>
      <c r="R2056" s="120">
        <v>6.5</v>
      </c>
      <c r="S2056" s="1113">
        <v>6.9</v>
      </c>
      <c r="T2056" s="110">
        <v>1.0</v>
      </c>
      <c r="U2056" s="1108">
        <v>0.3</v>
      </c>
      <c r="V2056" s="1108"/>
      <c r="W2056" s="1108"/>
      <c r="X2056" s="1108"/>
      <c r="Y2056" s="1108"/>
      <c r="Z2056" s="1114" t="s">
        <v>343</v>
      </c>
      <c r="AA2056" s="1114"/>
      <c r="AB2056" s="1114" t="s">
        <v>392</v>
      </c>
      <c r="AC2056" s="1117">
        <v>10.0</v>
      </c>
      <c r="AD2056" s="1115"/>
      <c r="AE2056" s="1115"/>
      <c r="AF2056" s="1115"/>
      <c r="AG2056" s="1115"/>
      <c r="AH2056" s="1115"/>
      <c r="AI2056" s="1115"/>
      <c r="AJ2056" s="1117"/>
      <c r="AK2056" s="1118"/>
      <c r="AL2056" s="1115"/>
      <c r="AM2056" s="1115"/>
      <c r="AN2056" s="1115"/>
      <c r="AO2056" s="1115"/>
      <c r="AP2056" s="1115"/>
      <c r="AQ2056" s="1115"/>
      <c r="AR2056" s="1115"/>
      <c r="AS2056" s="1117"/>
      <c r="AT2056" s="1196" t="str">
        <f t="shared" si="428"/>
        <v>0-1</v>
      </c>
      <c r="AU2056" s="1193"/>
      <c r="AV2056" s="330">
        <f>SQRT(($R2056-Infrastructure!J$3)^2+($S2056-Infrastructure!K$3)^2)</f>
        <v>23.02694074</v>
      </c>
      <c r="AW2056" s="331">
        <f>SQRT(($R2056-Infrastructure!J$4)^2+($S2056-Infrastructure!K$4)^2)</f>
        <v>12.84717868</v>
      </c>
      <c r="AX2056" s="331">
        <f>SQRT(($R2056-Infrastructure!J$5)^2+($S2056-Infrastructure!K$5)^2)</f>
        <v>7.034202158</v>
      </c>
      <c r="AY2056" s="331">
        <f>SQRT(($R2056-Infrastructure!J$6)^2+($S2056-Infrastructure!K$6)^2)</f>
        <v>7.517978452</v>
      </c>
      <c r="AZ2056" s="331">
        <f>SQRT(($R2056-Infrastructure!J$7)^2+($S2056-Infrastructure!K$7)^2)</f>
        <v>15.47772593</v>
      </c>
      <c r="BA2056" s="331">
        <f>SQRT(($R2056-Infrastructure!J$8)^2+($S2056-Infrastructure!K$8)^2)</f>
        <v>24.50550958</v>
      </c>
      <c r="BB2056" s="331">
        <f>SQRT(($R2056-Infrastructure!J$9)^2+($S2056-Infrastructure!K$9)^2)</f>
        <v>33.54832336</v>
      </c>
      <c r="BC2056" s="331">
        <f>SQRT(($R2056-Infrastructure!J$10)^2+($S2056-Infrastructure!K$10)^2)</f>
        <v>34.46534491</v>
      </c>
      <c r="BD2056" s="331">
        <f>SQRT(($R2056-Infrastructure!J$11)^2+($S2056-Infrastructure!K$11)^2)</f>
        <v>40.30012407</v>
      </c>
      <c r="BE2056" s="333">
        <f>SQRT(($R2056-Infrastructure!J$12)^2+($S2056-Infrastructure!K$12)^2)</f>
        <v>50.86216669</v>
      </c>
      <c r="BF2056" s="330">
        <f t="shared" si="161"/>
        <v>7.034202158</v>
      </c>
      <c r="BG2056" s="333">
        <f t="shared" si="162"/>
        <v>50.86216669</v>
      </c>
      <c r="BH2056" s="1119"/>
      <c r="BI2056" s="319" t="str">
        <f t="shared" ref="BI2056:BR2056" si="963">IF(ISNUMBER(FIND(BI$3, $CO2056)), "Y", "")</f>
        <v/>
      </c>
      <c r="BJ2056" s="319" t="str">
        <f t="shared" si="963"/>
        <v/>
      </c>
      <c r="BK2056" s="319" t="str">
        <f t="shared" si="963"/>
        <v/>
      </c>
      <c r="BL2056" s="319" t="str">
        <f t="shared" si="963"/>
        <v/>
      </c>
      <c r="BM2056" s="319" t="str">
        <f t="shared" si="963"/>
        <v/>
      </c>
      <c r="BN2056" s="319" t="str">
        <f t="shared" si="963"/>
        <v/>
      </c>
      <c r="BO2056" s="319" t="str">
        <f t="shared" si="963"/>
        <v/>
      </c>
      <c r="BP2056" s="319" t="str">
        <f t="shared" si="963"/>
        <v/>
      </c>
      <c r="BQ2056" s="319" t="str">
        <f t="shared" si="963"/>
        <v/>
      </c>
      <c r="BR2056" s="319" t="str">
        <f t="shared" si="963"/>
        <v/>
      </c>
      <c r="BS2056" s="330">
        <f t="shared" si="185"/>
        <v>0</v>
      </c>
      <c r="BT2056" s="331">
        <f t="shared" si="170"/>
        <v>0</v>
      </c>
      <c r="BU2056" s="920"/>
      <c r="BV2056" s="903" t="str">
        <f t="shared" si="186"/>
        <v/>
      </c>
      <c r="BW2056" s="908"/>
      <c r="BX2056" s="908"/>
      <c r="BY2056" s="331" t="b">
        <f t="shared" si="201"/>
        <v>0</v>
      </c>
      <c r="BZ2056" s="331"/>
      <c r="CA2056" s="462" t="str">
        <f t="shared" ref="CA2056:CJ2056" si="964">IF(ISNUMBER(FIND(BI$3, $CP2056)), "Y", "")</f>
        <v/>
      </c>
      <c r="CB2056" s="319" t="str">
        <f t="shared" si="964"/>
        <v/>
      </c>
      <c r="CC2056" s="319" t="str">
        <f t="shared" si="964"/>
        <v/>
      </c>
      <c r="CD2056" s="319" t="str">
        <f t="shared" si="964"/>
        <v/>
      </c>
      <c r="CE2056" s="319" t="str">
        <f t="shared" si="964"/>
        <v/>
      </c>
      <c r="CF2056" s="319" t="str">
        <f t="shared" si="964"/>
        <v/>
      </c>
      <c r="CG2056" s="319" t="str">
        <f t="shared" si="964"/>
        <v/>
      </c>
      <c r="CH2056" s="319" t="str">
        <f t="shared" si="964"/>
        <v/>
      </c>
      <c r="CI2056" s="319" t="str">
        <f t="shared" si="964"/>
        <v/>
      </c>
      <c r="CJ2056" s="319" t="str">
        <f t="shared" si="964"/>
        <v/>
      </c>
      <c r="CK2056" s="342">
        <f t="shared" si="182"/>
        <v>0</v>
      </c>
      <c r="CL2056" s="333">
        <f t="shared" si="183"/>
        <v>0</v>
      </c>
      <c r="CM2056" s="1079" t="s">
        <v>2602</v>
      </c>
      <c r="CN2056" s="1005" t="s">
        <v>3066</v>
      </c>
      <c r="CO2056" s="1005"/>
      <c r="CP2056" s="1005"/>
    </row>
    <row r="2057">
      <c r="A2057" s="266"/>
      <c r="B2057" s="1113" t="s">
        <v>3053</v>
      </c>
      <c r="C2057" s="1107">
        <v>45588.0</v>
      </c>
      <c r="D2057" s="1113" t="s">
        <v>986</v>
      </c>
      <c r="E2057" s="1108" t="s">
        <v>1269</v>
      </c>
      <c r="F2057" s="112" t="s">
        <v>3067</v>
      </c>
      <c r="G2057" s="1110">
        <v>0.6057870370370371</v>
      </c>
      <c r="H2057" s="1110">
        <v>0.60625</v>
      </c>
      <c r="I2057" s="1110"/>
      <c r="J2057" s="1111"/>
      <c r="K2057" s="1111">
        <v>0.6513888888888889</v>
      </c>
      <c r="L2057" s="1112">
        <v>0.04513888888888889</v>
      </c>
      <c r="M2057" s="1113" t="s">
        <v>166</v>
      </c>
      <c r="N2057" s="110" t="s">
        <v>187</v>
      </c>
      <c r="O2057" s="1115" t="s">
        <v>207</v>
      </c>
      <c r="P2057" s="1115" t="s">
        <v>221</v>
      </c>
      <c r="Q2057" s="1116"/>
      <c r="R2057" s="120">
        <v>26.1</v>
      </c>
      <c r="S2057" s="1113">
        <v>14.3</v>
      </c>
      <c r="T2057" s="110">
        <v>1.47</v>
      </c>
      <c r="U2057" s="1108">
        <v>0.2</v>
      </c>
      <c r="V2057" s="1108"/>
      <c r="W2057" s="1108"/>
      <c r="X2057" s="1108"/>
      <c r="Y2057" s="1108"/>
      <c r="Z2057" s="1114" t="s">
        <v>335</v>
      </c>
      <c r="AA2057" s="1114"/>
      <c r="AB2057" s="1114" t="s">
        <v>375</v>
      </c>
      <c r="AC2057" s="1117">
        <v>2.7</v>
      </c>
      <c r="AD2057" s="1115"/>
      <c r="AE2057" s="1115"/>
      <c r="AF2057" s="1115"/>
      <c r="AG2057" s="1115"/>
      <c r="AH2057" s="1115"/>
      <c r="AI2057" s="1115"/>
      <c r="AJ2057" s="1117"/>
      <c r="AK2057" s="1118"/>
      <c r="AL2057" s="1115"/>
      <c r="AM2057" s="1115"/>
      <c r="AN2057" s="1115"/>
      <c r="AO2057" s="1115"/>
      <c r="AP2057" s="1115"/>
      <c r="AQ2057" s="1115"/>
      <c r="AR2057" s="1115"/>
      <c r="AS2057" s="1117"/>
      <c r="AT2057" s="1196" t="str">
        <f t="shared" si="428"/>
        <v>0-1</v>
      </c>
      <c r="AU2057" s="1193"/>
      <c r="AV2057" s="330">
        <f>SQRT(($R2057-Infrastructure!J$3)^2+($S2057-Infrastructure!K$3)^2)</f>
        <v>30.16819517</v>
      </c>
      <c r="AW2057" s="331">
        <f>SQRT(($R2057-Infrastructure!J$4)^2+($S2057-Infrastructure!K$4)^2)</f>
        <v>26.63099698</v>
      </c>
      <c r="AX2057" s="331">
        <f>SQRT(($R2057-Infrastructure!J$5)^2+($S2057-Infrastructure!K$5)^2)</f>
        <v>27.95711001</v>
      </c>
      <c r="AY2057" s="331">
        <f>SQRT(($R2057-Infrastructure!J$6)^2+($S2057-Infrastructure!K$6)^2)</f>
        <v>21.26029163</v>
      </c>
      <c r="AZ2057" s="331">
        <f>SQRT(($R2057-Infrastructure!J$7)^2+($S2057-Infrastructure!K$7)^2)</f>
        <v>15.07846146</v>
      </c>
      <c r="BA2057" s="331">
        <f>SQRT(($R2057-Infrastructure!J$8)^2+($S2057-Infrastructure!K$8)^2)</f>
        <v>14.56021978</v>
      </c>
      <c r="BB2057" s="331">
        <f>SQRT(($R2057-Infrastructure!J$9)^2+($S2057-Infrastructure!K$9)^2)</f>
        <v>16.66883319</v>
      </c>
      <c r="BC2057" s="331">
        <f>SQRT(($R2057-Infrastructure!J$10)^2+($S2057-Infrastructure!K$10)^2)</f>
        <v>13.91761474</v>
      </c>
      <c r="BD2057" s="331">
        <f>SQRT(($R2057-Infrastructure!J$11)^2+($S2057-Infrastructure!K$11)^2)</f>
        <v>20.36909424</v>
      </c>
      <c r="BE2057" s="333">
        <f>SQRT(($R2057-Infrastructure!J$12)^2+($S2057-Infrastructure!K$12)^2)</f>
        <v>41.45600077</v>
      </c>
      <c r="BF2057" s="330">
        <f t="shared" si="161"/>
        <v>13.91761474</v>
      </c>
      <c r="BG2057" s="333">
        <f t="shared" si="162"/>
        <v>41.45600077</v>
      </c>
      <c r="BH2057" s="1119"/>
      <c r="BI2057" s="319" t="str">
        <f t="shared" ref="BI2057:BR2057" si="965">IF(ISNUMBER(FIND(BI$3, $CO2057)), "Y", "")</f>
        <v/>
      </c>
      <c r="BJ2057" s="319" t="str">
        <f t="shared" si="965"/>
        <v/>
      </c>
      <c r="BK2057" s="319" t="str">
        <f t="shared" si="965"/>
        <v/>
      </c>
      <c r="BL2057" s="319" t="str">
        <f t="shared" si="965"/>
        <v/>
      </c>
      <c r="BM2057" s="319" t="str">
        <f t="shared" si="965"/>
        <v/>
      </c>
      <c r="BN2057" s="319" t="str">
        <f t="shared" si="965"/>
        <v/>
      </c>
      <c r="BO2057" s="319" t="str">
        <f t="shared" si="965"/>
        <v/>
      </c>
      <c r="BP2057" s="319" t="str">
        <f t="shared" si="965"/>
        <v/>
      </c>
      <c r="BQ2057" s="319" t="str">
        <f t="shared" si="965"/>
        <v/>
      </c>
      <c r="BR2057" s="319" t="str">
        <f t="shared" si="965"/>
        <v/>
      </c>
      <c r="BS2057" s="330">
        <f t="shared" si="185"/>
        <v>0</v>
      </c>
      <c r="BT2057" s="331">
        <f t="shared" si="170"/>
        <v>0</v>
      </c>
      <c r="BU2057" s="920"/>
      <c r="BV2057" s="903" t="str">
        <f t="shared" si="186"/>
        <v/>
      </c>
      <c r="BW2057" s="908"/>
      <c r="BX2057" s="908"/>
      <c r="BY2057" s="331" t="b">
        <f t="shared" si="201"/>
        <v>0</v>
      </c>
      <c r="BZ2057" s="331"/>
      <c r="CA2057" s="462" t="str">
        <f t="shared" ref="CA2057:CJ2057" si="966">IF(ISNUMBER(FIND(BI$3, $CP2057)), "Y", "")</f>
        <v/>
      </c>
      <c r="CB2057" s="319" t="str">
        <f t="shared" si="966"/>
        <v/>
      </c>
      <c r="CC2057" s="319" t="str">
        <f t="shared" si="966"/>
        <v/>
      </c>
      <c r="CD2057" s="319" t="str">
        <f t="shared" si="966"/>
        <v/>
      </c>
      <c r="CE2057" s="319" t="str">
        <f t="shared" si="966"/>
        <v/>
      </c>
      <c r="CF2057" s="319" t="str">
        <f t="shared" si="966"/>
        <v/>
      </c>
      <c r="CG2057" s="319" t="str">
        <f t="shared" si="966"/>
        <v/>
      </c>
      <c r="CH2057" s="319" t="str">
        <f t="shared" si="966"/>
        <v/>
      </c>
      <c r="CI2057" s="319" t="str">
        <f t="shared" si="966"/>
        <v/>
      </c>
      <c r="CJ2057" s="319" t="str">
        <f t="shared" si="966"/>
        <v/>
      </c>
      <c r="CK2057" s="342">
        <f t="shared" si="182"/>
        <v>0</v>
      </c>
      <c r="CL2057" s="333">
        <f t="shared" si="183"/>
        <v>0</v>
      </c>
      <c r="CM2057" s="1079" t="s">
        <v>2602</v>
      </c>
      <c r="CN2057" s="1005" t="s">
        <v>3066</v>
      </c>
      <c r="CO2057" s="1005"/>
      <c r="CP2057" s="1005"/>
    </row>
    <row r="2058">
      <c r="A2058" s="266"/>
      <c r="B2058" s="1113" t="s">
        <v>3053</v>
      </c>
      <c r="C2058" s="1107">
        <v>45588.0</v>
      </c>
      <c r="D2058" s="1113" t="s">
        <v>986</v>
      </c>
      <c r="E2058" s="1108">
        <v>9.0</v>
      </c>
      <c r="F2058" s="112" t="s">
        <v>3068</v>
      </c>
      <c r="G2058" s="1110">
        <v>0.6729166666666667</v>
      </c>
      <c r="H2058" s="1110">
        <v>0.6732638888888889</v>
      </c>
      <c r="I2058" s="1110"/>
      <c r="J2058" s="1111"/>
      <c r="K2058" s="1111">
        <v>0.7013888888888888</v>
      </c>
      <c r="L2058" s="1112">
        <v>0.028125</v>
      </c>
      <c r="M2058" s="1113" t="s">
        <v>166</v>
      </c>
      <c r="N2058" s="110" t="s">
        <v>187</v>
      </c>
      <c r="O2058" s="1115" t="s">
        <v>198</v>
      </c>
      <c r="P2058" s="1115" t="s">
        <v>223</v>
      </c>
      <c r="Q2058" s="1116"/>
      <c r="R2058" s="120">
        <v>10.0</v>
      </c>
      <c r="S2058" s="1113">
        <v>11.7</v>
      </c>
      <c r="T2058" s="110">
        <v>0.5</v>
      </c>
      <c r="U2058" s="1108">
        <v>0.4</v>
      </c>
      <c r="V2058" s="1108"/>
      <c r="W2058" s="1108"/>
      <c r="X2058" s="1108"/>
      <c r="Y2058" s="1108"/>
      <c r="Z2058" s="1114" t="s">
        <v>343</v>
      </c>
      <c r="AA2058" s="1114"/>
      <c r="AB2058" s="1114" t="s">
        <v>380</v>
      </c>
      <c r="AC2058" s="1117">
        <v>4.0</v>
      </c>
      <c r="AD2058" s="1115"/>
      <c r="AE2058" s="1115"/>
      <c r="AF2058" s="1115"/>
      <c r="AG2058" s="1115"/>
      <c r="AH2058" s="1115"/>
      <c r="AI2058" s="1115"/>
      <c r="AJ2058" s="1117"/>
      <c r="AK2058" s="1118"/>
      <c r="AL2058" s="1115"/>
      <c r="AM2058" s="1115"/>
      <c r="AN2058" s="1115"/>
      <c r="AO2058" s="1115"/>
      <c r="AP2058" s="1115"/>
      <c r="AQ2058" s="1115"/>
      <c r="AR2058" s="1115"/>
      <c r="AS2058" s="1117"/>
      <c r="AT2058" s="1196" t="str">
        <f t="shared" si="428"/>
        <v>0-1</v>
      </c>
      <c r="AU2058" s="1193"/>
      <c r="AV2058" s="330">
        <f>SQRT(($R2058-Infrastructure!J$3)^2+($S2058-Infrastructure!K$3)^2)</f>
        <v>20.04819194</v>
      </c>
      <c r="AW2058" s="331">
        <f>SQRT(($R2058-Infrastructure!J$4)^2+($S2058-Infrastructure!K$4)^2)</f>
        <v>11.9707978</v>
      </c>
      <c r="AX2058" s="331">
        <f>SQRT(($R2058-Infrastructure!J$5)^2+($S2058-Infrastructure!K$5)^2)</f>
        <v>12.23315168</v>
      </c>
      <c r="AY2058" s="331">
        <f>SQRT(($R2058-Infrastructure!J$6)^2+($S2058-Infrastructure!K$6)^2)</f>
        <v>11.40043859</v>
      </c>
      <c r="AZ2058" s="331">
        <f>SQRT(($R2058-Infrastructure!J$7)^2+($S2058-Infrastructure!K$7)^2)</f>
        <v>15.49870962</v>
      </c>
      <c r="BA2058" s="331">
        <f>SQRT(($R2058-Infrastructure!J$8)^2+($S2058-Infrastructure!K$8)^2)</f>
        <v>23.10779089</v>
      </c>
      <c r="BB2058" s="331">
        <f>SQRT(($R2058-Infrastructure!J$9)^2+($S2058-Infrastructure!K$9)^2)</f>
        <v>30.71742177</v>
      </c>
      <c r="BC2058" s="331">
        <f>SQRT(($R2058-Infrastructure!J$10)^2+($S2058-Infrastructure!K$10)^2)</f>
        <v>30.18095426</v>
      </c>
      <c r="BD2058" s="331">
        <f>SQRT(($R2058-Infrastructure!J$11)^2+($S2058-Infrastructure!K$11)^2)</f>
        <v>34.80416642</v>
      </c>
      <c r="BE2058" s="333">
        <f>SQRT(($R2058-Infrastructure!J$12)^2+($S2058-Infrastructure!K$12)^2)</f>
        <v>45.28454482</v>
      </c>
      <c r="BF2058" s="330">
        <f t="shared" si="161"/>
        <v>11.40043859</v>
      </c>
      <c r="BG2058" s="333">
        <f t="shared" si="162"/>
        <v>45.28454482</v>
      </c>
      <c r="BH2058" s="1119"/>
      <c r="BI2058" s="319" t="str">
        <f t="shared" ref="BI2058:BR2058" si="967">IF(ISNUMBER(FIND(BI$3, $CO2058)), "Y", "")</f>
        <v/>
      </c>
      <c r="BJ2058" s="319" t="str">
        <f t="shared" si="967"/>
        <v/>
      </c>
      <c r="BK2058" s="319" t="str">
        <f t="shared" si="967"/>
        <v/>
      </c>
      <c r="BL2058" s="319" t="str">
        <f t="shared" si="967"/>
        <v/>
      </c>
      <c r="BM2058" s="319" t="str">
        <f t="shared" si="967"/>
        <v/>
      </c>
      <c r="BN2058" s="319" t="str">
        <f t="shared" si="967"/>
        <v/>
      </c>
      <c r="BO2058" s="319" t="str">
        <f t="shared" si="967"/>
        <v/>
      </c>
      <c r="BP2058" s="319" t="str">
        <f t="shared" si="967"/>
        <v/>
      </c>
      <c r="BQ2058" s="319" t="str">
        <f t="shared" si="967"/>
        <v/>
      </c>
      <c r="BR2058" s="319" t="str">
        <f t="shared" si="967"/>
        <v/>
      </c>
      <c r="BS2058" s="330">
        <f t="shared" si="185"/>
        <v>0</v>
      </c>
      <c r="BT2058" s="331">
        <f t="shared" si="170"/>
        <v>0</v>
      </c>
      <c r="BU2058" s="920"/>
      <c r="BV2058" s="903" t="str">
        <f t="shared" si="186"/>
        <v/>
      </c>
      <c r="BW2058" s="908"/>
      <c r="BX2058" s="908"/>
      <c r="BY2058" s="331" t="b">
        <f t="shared" si="201"/>
        <v>0</v>
      </c>
      <c r="BZ2058" s="331"/>
      <c r="CA2058" s="462" t="str">
        <f t="shared" ref="CA2058:CJ2058" si="968">IF(ISNUMBER(FIND(BI$3, $CP2058)), "Y", "")</f>
        <v/>
      </c>
      <c r="CB2058" s="319" t="str">
        <f t="shared" si="968"/>
        <v/>
      </c>
      <c r="CC2058" s="319" t="str">
        <f t="shared" si="968"/>
        <v/>
      </c>
      <c r="CD2058" s="319" t="str">
        <f t="shared" si="968"/>
        <v/>
      </c>
      <c r="CE2058" s="319" t="str">
        <f t="shared" si="968"/>
        <v/>
      </c>
      <c r="CF2058" s="319" t="str">
        <f t="shared" si="968"/>
        <v/>
      </c>
      <c r="CG2058" s="319" t="str">
        <f t="shared" si="968"/>
        <v/>
      </c>
      <c r="CH2058" s="319" t="str">
        <f t="shared" si="968"/>
        <v/>
      </c>
      <c r="CI2058" s="319" t="str">
        <f t="shared" si="968"/>
        <v/>
      </c>
      <c r="CJ2058" s="319" t="str">
        <f t="shared" si="968"/>
        <v/>
      </c>
      <c r="CK2058" s="342">
        <f t="shared" si="182"/>
        <v>0</v>
      </c>
      <c r="CL2058" s="333">
        <f t="shared" si="183"/>
        <v>0</v>
      </c>
      <c r="CM2058" s="1079" t="s">
        <v>2602</v>
      </c>
      <c r="CN2058" s="1005" t="s">
        <v>3066</v>
      </c>
      <c r="CO2058" s="1005"/>
      <c r="CP2058" s="1005"/>
    </row>
    <row r="2059">
      <c r="A2059" s="266"/>
      <c r="B2059" s="1113" t="s">
        <v>3053</v>
      </c>
      <c r="C2059" s="1107">
        <v>45588.0</v>
      </c>
      <c r="D2059" s="1113" t="s">
        <v>986</v>
      </c>
      <c r="E2059" s="1108" t="s">
        <v>1494</v>
      </c>
      <c r="F2059" s="112" t="s">
        <v>3069</v>
      </c>
      <c r="G2059" s="1110">
        <v>0.71875</v>
      </c>
      <c r="H2059" s="1110">
        <v>0.7190972222222223</v>
      </c>
      <c r="I2059" s="1110"/>
      <c r="J2059" s="1111"/>
      <c r="K2059" s="1111">
        <v>0.7500578703703704</v>
      </c>
      <c r="L2059" s="1112">
        <v>0.030960648148148147</v>
      </c>
      <c r="M2059" s="1113" t="s">
        <v>166</v>
      </c>
      <c r="N2059" s="110" t="s">
        <v>188</v>
      </c>
      <c r="O2059" s="1115" t="s">
        <v>378</v>
      </c>
      <c r="P2059" s="1115" t="s">
        <v>225</v>
      </c>
      <c r="Q2059" s="1116"/>
      <c r="R2059" s="120">
        <v>22.7</v>
      </c>
      <c r="S2059" s="1113">
        <v>39.7</v>
      </c>
      <c r="T2059" s="110">
        <v>1.09</v>
      </c>
      <c r="U2059" s="1108">
        <v>4.0</v>
      </c>
      <c r="V2059" s="1108"/>
      <c r="W2059" s="1108"/>
      <c r="X2059" s="1108"/>
      <c r="Y2059" s="1108"/>
      <c r="Z2059" s="1114" t="s">
        <v>1140</v>
      </c>
      <c r="AA2059" s="1114"/>
      <c r="AB2059" s="1114" t="s">
        <v>407</v>
      </c>
      <c r="AC2059" s="1117">
        <v>15.75</v>
      </c>
      <c r="AD2059" s="1115"/>
      <c r="AE2059" s="1115"/>
      <c r="AF2059" s="1115"/>
      <c r="AG2059" s="1115"/>
      <c r="AH2059" s="1115"/>
      <c r="AI2059" s="1115"/>
      <c r="AJ2059" s="1117"/>
      <c r="AK2059" s="1118"/>
      <c r="AL2059" s="1115"/>
      <c r="AM2059" s="1115"/>
      <c r="AN2059" s="1115"/>
      <c r="AO2059" s="1115"/>
      <c r="AP2059" s="1115"/>
      <c r="AQ2059" s="1115"/>
      <c r="AR2059" s="1115"/>
      <c r="AS2059" s="1117"/>
      <c r="AT2059" s="1196" t="str">
        <f t="shared" si="428"/>
        <v>1-10</v>
      </c>
      <c r="AU2059" s="1193"/>
      <c r="AV2059" s="330">
        <f>SQRT(($R2059-Infrastructure!J$3)^2+($S2059-Infrastructure!K$3)^2)</f>
        <v>25.40944706</v>
      </c>
      <c r="AW2059" s="331">
        <f>SQRT(($R2059-Infrastructure!J$4)^2+($S2059-Infrastructure!K$4)^2)</f>
        <v>31.75862088</v>
      </c>
      <c r="AX2059" s="331">
        <f>SQRT(($R2059-Infrastructure!J$5)^2+($S2059-Infrastructure!K$5)^2)</f>
        <v>41.54708173</v>
      </c>
      <c r="AY2059" s="331">
        <f>SQRT(($R2059-Infrastructure!J$6)^2+($S2059-Infrastructure!K$6)^2)</f>
        <v>41.36568626</v>
      </c>
      <c r="AZ2059" s="331">
        <f>SQRT(($R2059-Infrastructure!J$7)^2+($S2059-Infrastructure!K$7)^2)</f>
        <v>39.46137352</v>
      </c>
      <c r="BA2059" s="331">
        <f>SQRT(($R2059-Infrastructure!J$8)^2+($S2059-Infrastructure!K$8)^2)</f>
        <v>40.08890121</v>
      </c>
      <c r="BB2059" s="331">
        <f>SQRT(($R2059-Infrastructure!J$9)^2+($S2059-Infrastructure!K$9)^2)</f>
        <v>38.68397601</v>
      </c>
      <c r="BC2059" s="331">
        <f>SQRT(($R2059-Infrastructure!J$10)^2+($S2059-Infrastructure!K$10)^2)</f>
        <v>30.15592811</v>
      </c>
      <c r="BD2059" s="331">
        <f>SQRT(($R2059-Infrastructure!J$11)^2+($S2059-Infrastructure!K$11)^2)</f>
        <v>20.51194774</v>
      </c>
      <c r="BE2059" s="333">
        <f>SQRT(($R2059-Infrastructure!J$12)^2+($S2059-Infrastructure!K$12)^2)</f>
        <v>15.84550409</v>
      </c>
      <c r="BF2059" s="330">
        <f t="shared" si="161"/>
        <v>15.84550409</v>
      </c>
      <c r="BG2059" s="333">
        <f t="shared" si="162"/>
        <v>41.54708173</v>
      </c>
      <c r="BH2059" s="1119"/>
      <c r="BI2059" s="319" t="str">
        <f t="shared" ref="BI2059:BR2059" si="969">IF(ISNUMBER(FIND(BI$3, $CO2059)), "Y", "")</f>
        <v/>
      </c>
      <c r="BJ2059" s="319" t="str">
        <f t="shared" si="969"/>
        <v/>
      </c>
      <c r="BK2059" s="319" t="str">
        <f t="shared" si="969"/>
        <v/>
      </c>
      <c r="BL2059" s="319" t="str">
        <f t="shared" si="969"/>
        <v/>
      </c>
      <c r="BM2059" s="319" t="str">
        <f t="shared" si="969"/>
        <v/>
      </c>
      <c r="BN2059" s="319" t="str">
        <f t="shared" si="969"/>
        <v/>
      </c>
      <c r="BO2059" s="319" t="str">
        <f t="shared" si="969"/>
        <v/>
      </c>
      <c r="BP2059" s="319" t="str">
        <f t="shared" si="969"/>
        <v/>
      </c>
      <c r="BQ2059" s="319" t="str">
        <f t="shared" si="969"/>
        <v/>
      </c>
      <c r="BR2059" s="319" t="str">
        <f t="shared" si="969"/>
        <v/>
      </c>
      <c r="BS2059" s="330">
        <f t="shared" si="185"/>
        <v>0</v>
      </c>
      <c r="BT2059" s="331">
        <f t="shared" si="170"/>
        <v>0</v>
      </c>
      <c r="BU2059" s="920"/>
      <c r="BV2059" s="903" t="str">
        <f t="shared" si="186"/>
        <v/>
      </c>
      <c r="BW2059" s="908"/>
      <c r="BX2059" s="908"/>
      <c r="BY2059" s="331" t="b">
        <f t="shared" si="201"/>
        <v>0</v>
      </c>
      <c r="BZ2059" s="331"/>
      <c r="CA2059" s="462" t="str">
        <f t="shared" ref="CA2059:CJ2059" si="970">IF(ISNUMBER(FIND(BI$3, $CP2059)), "Y", "")</f>
        <v/>
      </c>
      <c r="CB2059" s="319" t="str">
        <f t="shared" si="970"/>
        <v/>
      </c>
      <c r="CC2059" s="319" t="str">
        <f t="shared" si="970"/>
        <v/>
      </c>
      <c r="CD2059" s="319" t="str">
        <f t="shared" si="970"/>
        <v/>
      </c>
      <c r="CE2059" s="319" t="str">
        <f t="shared" si="970"/>
        <v/>
      </c>
      <c r="CF2059" s="319" t="str">
        <f t="shared" si="970"/>
        <v/>
      </c>
      <c r="CG2059" s="319" t="str">
        <f t="shared" si="970"/>
        <v/>
      </c>
      <c r="CH2059" s="319" t="str">
        <f t="shared" si="970"/>
        <v/>
      </c>
      <c r="CI2059" s="319" t="str">
        <f t="shared" si="970"/>
        <v/>
      </c>
      <c r="CJ2059" s="319" t="str">
        <f t="shared" si="970"/>
        <v/>
      </c>
      <c r="CK2059" s="342">
        <f t="shared" si="182"/>
        <v>0</v>
      </c>
      <c r="CL2059" s="333">
        <f t="shared" si="183"/>
        <v>0</v>
      </c>
      <c r="CM2059" s="1079" t="s">
        <v>2602</v>
      </c>
      <c r="CN2059" s="1005" t="s">
        <v>3066</v>
      </c>
      <c r="CO2059" s="1005"/>
      <c r="CP2059" s="1005"/>
    </row>
    <row r="2060">
      <c r="A2060" s="1258"/>
      <c r="B2060" s="1129" t="s">
        <v>3053</v>
      </c>
      <c r="C2060" s="1122">
        <v>45588.0</v>
      </c>
      <c r="D2060" s="1129" t="s">
        <v>986</v>
      </c>
      <c r="E2060" s="1124" t="s">
        <v>1496</v>
      </c>
      <c r="F2060" s="108" t="s">
        <v>3070</v>
      </c>
      <c r="G2060" s="1126">
        <v>0.71875</v>
      </c>
      <c r="H2060" s="1126">
        <v>0.7197916666666667</v>
      </c>
      <c r="I2060" s="1126"/>
      <c r="J2060" s="1127"/>
      <c r="K2060" s="1127">
        <v>0.75</v>
      </c>
      <c r="L2060" s="1128">
        <v>0.030208333333333334</v>
      </c>
      <c r="M2060" s="1129" t="s">
        <v>166</v>
      </c>
      <c r="N2060" s="100" t="s">
        <v>187</v>
      </c>
      <c r="O2060" s="1131" t="s">
        <v>203</v>
      </c>
      <c r="P2060" s="1131" t="s">
        <v>279</v>
      </c>
      <c r="Q2060" s="1132"/>
      <c r="R2060" s="137">
        <v>14.6</v>
      </c>
      <c r="S2060" s="1129">
        <v>3.5</v>
      </c>
      <c r="T2060" s="100">
        <v>0.16</v>
      </c>
      <c r="U2060" s="1124">
        <v>2.2</v>
      </c>
      <c r="V2060" s="1124"/>
      <c r="W2060" s="1124"/>
      <c r="X2060" s="1124"/>
      <c r="Y2060" s="1124"/>
      <c r="Z2060" s="1130" t="s">
        <v>357</v>
      </c>
      <c r="AA2060" s="1130"/>
      <c r="AB2060" s="1130" t="s">
        <v>279</v>
      </c>
      <c r="AC2060" s="1133">
        <v>10.0</v>
      </c>
      <c r="AD2060" s="1131"/>
      <c r="AE2060" s="1131"/>
      <c r="AF2060" s="1131"/>
      <c r="AG2060" s="1131"/>
      <c r="AH2060" s="1131"/>
      <c r="AI2060" s="1131"/>
      <c r="AJ2060" s="1133"/>
      <c r="AK2060" s="1134"/>
      <c r="AL2060" s="1131"/>
      <c r="AM2060" s="1131"/>
      <c r="AN2060" s="1131"/>
      <c r="AO2060" s="1131"/>
      <c r="AP2060" s="1131"/>
      <c r="AQ2060" s="1131"/>
      <c r="AR2060" s="1131"/>
      <c r="AS2060" s="1133"/>
      <c r="AT2060" s="1197" t="str">
        <f t="shared" si="428"/>
        <v>1-10</v>
      </c>
      <c r="AU2060" s="1194"/>
      <c r="AV2060" s="662">
        <f>SQRT(($R2060-Infrastructure!J$3)^2+($S2060-Infrastructure!K$3)^2)</f>
        <v>29.44775034</v>
      </c>
      <c r="AW2060" s="641">
        <f>SQRT(($R2060-Infrastructure!J$4)^2+($S2060-Infrastructure!K$4)^2)</f>
        <v>20.65187643</v>
      </c>
      <c r="AX2060" s="641">
        <f>SQRT(($R2060-Infrastructure!J$5)^2+($S2060-Infrastructure!K$5)^2)</f>
        <v>14.98565981</v>
      </c>
      <c r="AY2060" s="641">
        <f>SQRT(($R2060-Infrastructure!J$6)^2+($S2060-Infrastructure!K$6)^2)</f>
        <v>5.521775077</v>
      </c>
      <c r="AZ2060" s="641">
        <f>SQRT(($R2060-Infrastructure!J$7)^2+($S2060-Infrastructure!K$7)^2)</f>
        <v>6.711929678</v>
      </c>
      <c r="BA2060" s="641">
        <f>SQRT(($R2060-Infrastructure!J$8)^2+($S2060-Infrastructure!K$8)^2)</f>
        <v>15.82687588</v>
      </c>
      <c r="BB2060" s="641">
        <f>SQRT(($R2060-Infrastructure!J$9)^2+($S2060-Infrastructure!K$9)^2)</f>
        <v>25.45034381</v>
      </c>
      <c r="BC2060" s="641">
        <f>SQRT(($R2060-Infrastructure!J$10)^2+($S2060-Infrastructure!K$10)^2)</f>
        <v>27.88207309</v>
      </c>
      <c r="BD2060" s="641">
        <f>SQRT(($R2060-Infrastructure!J$11)^2+($S2060-Infrastructure!K$11)^2)</f>
        <v>36.13322571</v>
      </c>
      <c r="BE2060" s="642">
        <f>SQRT(($R2060-Infrastructure!J$12)^2+($S2060-Infrastructure!K$12)^2)</f>
        <v>52.45579091</v>
      </c>
      <c r="BF2060" s="662">
        <f t="shared" si="161"/>
        <v>5.521775077</v>
      </c>
      <c r="BG2060" s="642">
        <f t="shared" si="162"/>
        <v>52.45579091</v>
      </c>
      <c r="BH2060" s="1135"/>
      <c r="BI2060" s="663" t="str">
        <f t="shared" ref="BI2060:BR2060" si="971">IF(ISNUMBER(FIND(BI$3, $CO2060)), "Y", "")</f>
        <v/>
      </c>
      <c r="BJ2060" s="663" t="str">
        <f t="shared" si="971"/>
        <v/>
      </c>
      <c r="BK2060" s="663" t="str">
        <f t="shared" si="971"/>
        <v/>
      </c>
      <c r="BL2060" s="663" t="str">
        <f t="shared" si="971"/>
        <v/>
      </c>
      <c r="BM2060" s="663" t="str">
        <f t="shared" si="971"/>
        <v/>
      </c>
      <c r="BN2060" s="663" t="str">
        <f t="shared" si="971"/>
        <v/>
      </c>
      <c r="BO2060" s="663" t="str">
        <f t="shared" si="971"/>
        <v/>
      </c>
      <c r="BP2060" s="663" t="str">
        <f t="shared" si="971"/>
        <v/>
      </c>
      <c r="BQ2060" s="663" t="str">
        <f t="shared" si="971"/>
        <v/>
      </c>
      <c r="BR2060" s="663" t="str">
        <f t="shared" si="971"/>
        <v/>
      </c>
      <c r="BS2060" s="662">
        <f t="shared" si="185"/>
        <v>0</v>
      </c>
      <c r="BT2060" s="641">
        <f t="shared" si="170"/>
        <v>0</v>
      </c>
      <c r="BU2060" s="937"/>
      <c r="BV2060" s="930" t="str">
        <f t="shared" si="186"/>
        <v/>
      </c>
      <c r="BW2060" s="939"/>
      <c r="BX2060" s="939"/>
      <c r="BY2060" s="641" t="b">
        <f t="shared" si="201"/>
        <v>0</v>
      </c>
      <c r="BZ2060" s="641"/>
      <c r="CA2060" s="635" t="str">
        <f t="shared" ref="CA2060:CJ2060" si="972">IF(ISNUMBER(FIND(BI$3, $CP2060)), "Y", "")</f>
        <v/>
      </c>
      <c r="CB2060" s="663" t="str">
        <f t="shared" si="972"/>
        <v/>
      </c>
      <c r="CC2060" s="663" t="str">
        <f t="shared" si="972"/>
        <v/>
      </c>
      <c r="CD2060" s="663" t="str">
        <f t="shared" si="972"/>
        <v/>
      </c>
      <c r="CE2060" s="663" t="str">
        <f t="shared" si="972"/>
        <v/>
      </c>
      <c r="CF2060" s="663" t="str">
        <f t="shared" si="972"/>
        <v/>
      </c>
      <c r="CG2060" s="663" t="str">
        <f t="shared" si="972"/>
        <v/>
      </c>
      <c r="CH2060" s="663" t="str">
        <f t="shared" si="972"/>
        <v/>
      </c>
      <c r="CI2060" s="663" t="str">
        <f t="shared" si="972"/>
        <v/>
      </c>
      <c r="CJ2060" s="663" t="str">
        <f t="shared" si="972"/>
        <v/>
      </c>
      <c r="CK2060" s="743">
        <f t="shared" si="182"/>
        <v>0</v>
      </c>
      <c r="CL2060" s="642">
        <f t="shared" si="183"/>
        <v>0</v>
      </c>
      <c r="CM2060" s="1090" t="s">
        <v>2602</v>
      </c>
      <c r="CN2060" s="1036" t="s">
        <v>3066</v>
      </c>
      <c r="CO2060" s="1036"/>
      <c r="CP2060" s="1036"/>
    </row>
    <row r="2061">
      <c r="A2061" s="1257" t="s">
        <v>127</v>
      </c>
      <c r="B2061" s="1113" t="s">
        <v>3053</v>
      </c>
      <c r="C2061" s="1107">
        <v>45589.0</v>
      </c>
      <c r="D2061" s="1113" t="s">
        <v>986</v>
      </c>
      <c r="E2061" s="1108">
        <v>11.0</v>
      </c>
      <c r="F2061" s="112" t="s">
        <v>3071</v>
      </c>
      <c r="G2061" s="1110">
        <v>0.43975694444444446</v>
      </c>
      <c r="H2061" s="1110">
        <v>0.44131944444444443</v>
      </c>
      <c r="I2061" s="1110"/>
      <c r="J2061" s="1111"/>
      <c r="K2061" s="1111">
        <v>0.4704861111111111</v>
      </c>
      <c r="L2061" s="1112">
        <v>0.029166666666666667</v>
      </c>
      <c r="M2061" s="1113" t="s">
        <v>168</v>
      </c>
      <c r="N2061" s="110" t="s">
        <v>187</v>
      </c>
      <c r="O2061" s="1115" t="s">
        <v>198</v>
      </c>
      <c r="P2061" s="1115" t="s">
        <v>223</v>
      </c>
      <c r="Q2061" s="1116"/>
      <c r="R2061" s="120">
        <v>10.0</v>
      </c>
      <c r="S2061" s="1113">
        <v>11.7</v>
      </c>
      <c r="T2061" s="110">
        <v>0.5</v>
      </c>
      <c r="U2061" s="1108">
        <v>1.0</v>
      </c>
      <c r="V2061" s="1108"/>
      <c r="W2061" s="1108"/>
      <c r="X2061" s="1108"/>
      <c r="Y2061" s="1108"/>
      <c r="Z2061" s="1114" t="s">
        <v>343</v>
      </c>
      <c r="AA2061" s="1114"/>
      <c r="AB2061" s="1114" t="s">
        <v>384</v>
      </c>
      <c r="AC2061" s="1117">
        <v>6.0</v>
      </c>
      <c r="AD2061" s="1115"/>
      <c r="AE2061" s="1115"/>
      <c r="AF2061" s="1115"/>
      <c r="AG2061" s="1115"/>
      <c r="AH2061" s="1115"/>
      <c r="AI2061" s="1115"/>
      <c r="AJ2061" s="1117"/>
      <c r="AK2061" s="1118"/>
      <c r="AL2061" s="1115"/>
      <c r="AM2061" s="1115"/>
      <c r="AN2061" s="1115"/>
      <c r="AO2061" s="1115"/>
      <c r="AP2061" s="1115"/>
      <c r="AQ2061" s="1115"/>
      <c r="AR2061" s="1115"/>
      <c r="AS2061" s="1117"/>
      <c r="AT2061" s="1196" t="str">
        <f t="shared" si="428"/>
        <v>1-10</v>
      </c>
      <c r="AU2061" s="1193"/>
      <c r="AV2061" s="330">
        <f>SQRT(($R2061-Infrastructure!J$3)^2+($S2061-Infrastructure!K$3)^2)</f>
        <v>20.04819194</v>
      </c>
      <c r="AW2061" s="331">
        <f>SQRT(($R2061-Infrastructure!J$4)^2+($S2061-Infrastructure!K$4)^2)</f>
        <v>11.9707978</v>
      </c>
      <c r="AX2061" s="331">
        <f>SQRT(($R2061-Infrastructure!J$5)^2+($S2061-Infrastructure!K$5)^2)</f>
        <v>12.23315168</v>
      </c>
      <c r="AY2061" s="331">
        <f>SQRT(($R2061-Infrastructure!J$6)^2+($S2061-Infrastructure!K$6)^2)</f>
        <v>11.40043859</v>
      </c>
      <c r="AZ2061" s="331">
        <f>SQRT(($R2061-Infrastructure!J$7)^2+($S2061-Infrastructure!K$7)^2)</f>
        <v>15.49870962</v>
      </c>
      <c r="BA2061" s="331">
        <f>SQRT(($R2061-Infrastructure!J$8)^2+($S2061-Infrastructure!K$8)^2)</f>
        <v>23.10779089</v>
      </c>
      <c r="BB2061" s="331">
        <f>SQRT(($R2061-Infrastructure!J$9)^2+($S2061-Infrastructure!K$9)^2)</f>
        <v>30.71742177</v>
      </c>
      <c r="BC2061" s="331">
        <f>SQRT(($R2061-Infrastructure!J$10)^2+($S2061-Infrastructure!K$10)^2)</f>
        <v>30.18095426</v>
      </c>
      <c r="BD2061" s="331">
        <f>SQRT(($R2061-Infrastructure!J$11)^2+($S2061-Infrastructure!K$11)^2)</f>
        <v>34.80416642</v>
      </c>
      <c r="BE2061" s="333">
        <f>SQRT(($R2061-Infrastructure!J$12)^2+($S2061-Infrastructure!K$12)^2)</f>
        <v>45.28454482</v>
      </c>
      <c r="BF2061" s="330">
        <f t="shared" si="161"/>
        <v>11.40043859</v>
      </c>
      <c r="BG2061" s="333">
        <f t="shared" si="162"/>
        <v>45.28454482</v>
      </c>
      <c r="BH2061" s="1119"/>
      <c r="BI2061" s="319" t="str">
        <f t="shared" ref="BI2061:BR2061" si="973">IF(ISNUMBER(FIND(BI$3, $CO2061)), "Y", "")</f>
        <v/>
      </c>
      <c r="BJ2061" s="319" t="str">
        <f t="shared" si="973"/>
        <v/>
      </c>
      <c r="BK2061" s="319" t="str">
        <f t="shared" si="973"/>
        <v/>
      </c>
      <c r="BL2061" s="319" t="str">
        <f t="shared" si="973"/>
        <v/>
      </c>
      <c r="BM2061" s="319" t="str">
        <f t="shared" si="973"/>
        <v/>
      </c>
      <c r="BN2061" s="319" t="str">
        <f t="shared" si="973"/>
        <v/>
      </c>
      <c r="BO2061" s="319" t="str">
        <f t="shared" si="973"/>
        <v/>
      </c>
      <c r="BP2061" s="319" t="str">
        <f t="shared" si="973"/>
        <v/>
      </c>
      <c r="BQ2061" s="319" t="str">
        <f t="shared" si="973"/>
        <v/>
      </c>
      <c r="BR2061" s="319" t="str">
        <f t="shared" si="973"/>
        <v/>
      </c>
      <c r="BS2061" s="330">
        <f t="shared" si="185"/>
        <v>0</v>
      </c>
      <c r="BT2061" s="331">
        <f t="shared" si="170"/>
        <v>0</v>
      </c>
      <c r="BU2061" s="920"/>
      <c r="BV2061" s="903" t="str">
        <f t="shared" si="186"/>
        <v/>
      </c>
      <c r="BW2061" s="908"/>
      <c r="BX2061" s="908"/>
      <c r="BY2061" s="331" t="b">
        <f t="shared" si="201"/>
        <v>0</v>
      </c>
      <c r="BZ2061" s="331"/>
      <c r="CA2061" s="462" t="str">
        <f t="shared" ref="CA2061:CJ2061" si="974">IF(ISNUMBER(FIND(BI$3, $CP2061)), "Y", "")</f>
        <v/>
      </c>
      <c r="CB2061" s="319" t="str">
        <f t="shared" si="974"/>
        <v/>
      </c>
      <c r="CC2061" s="319" t="str">
        <f t="shared" si="974"/>
        <v/>
      </c>
      <c r="CD2061" s="319" t="str">
        <f t="shared" si="974"/>
        <v/>
      </c>
      <c r="CE2061" s="319" t="str">
        <f t="shared" si="974"/>
        <v/>
      </c>
      <c r="CF2061" s="319" t="str">
        <f t="shared" si="974"/>
        <v/>
      </c>
      <c r="CG2061" s="319" t="str">
        <f t="shared" si="974"/>
        <v/>
      </c>
      <c r="CH2061" s="319" t="str">
        <f t="shared" si="974"/>
        <v/>
      </c>
      <c r="CI2061" s="319" t="str">
        <f t="shared" si="974"/>
        <v/>
      </c>
      <c r="CJ2061" s="319" t="str">
        <f t="shared" si="974"/>
        <v/>
      </c>
      <c r="CK2061" s="342">
        <f t="shared" si="182"/>
        <v>0</v>
      </c>
      <c r="CL2061" s="333">
        <f t="shared" si="183"/>
        <v>0</v>
      </c>
      <c r="CM2061" s="1079" t="s">
        <v>2602</v>
      </c>
      <c r="CN2061" s="1005" t="s">
        <v>3072</v>
      </c>
      <c r="CO2061" s="1005"/>
      <c r="CP2061" s="1005"/>
    </row>
    <row r="2062">
      <c r="A2062" s="266"/>
      <c r="B2062" s="1113" t="s">
        <v>3053</v>
      </c>
      <c r="C2062" s="1107">
        <v>45589.0</v>
      </c>
      <c r="D2062" s="1113" t="s">
        <v>986</v>
      </c>
      <c r="E2062" s="1108" t="s">
        <v>1228</v>
      </c>
      <c r="F2062" s="112" t="s">
        <v>3073</v>
      </c>
      <c r="G2062" s="1110">
        <v>0.5451388888888888</v>
      </c>
      <c r="H2062" s="1110">
        <v>0.5454861111111111</v>
      </c>
      <c r="I2062" s="1110"/>
      <c r="J2062" s="1111"/>
      <c r="K2062" s="1111">
        <v>0.575</v>
      </c>
      <c r="L2062" s="1112">
        <v>0.029513888888888888</v>
      </c>
      <c r="M2062" s="1113" t="s">
        <v>166</v>
      </c>
      <c r="N2062" s="110" t="s">
        <v>187</v>
      </c>
      <c r="O2062" s="1115" t="s">
        <v>3065</v>
      </c>
      <c r="P2062" s="1115" t="s">
        <v>272</v>
      </c>
      <c r="Q2062" s="1116"/>
      <c r="R2062" s="120">
        <v>22.9</v>
      </c>
      <c r="S2062" s="1113">
        <v>9.2</v>
      </c>
      <c r="T2062" s="110">
        <v>1.0</v>
      </c>
      <c r="U2062" s="1108">
        <v>1.2</v>
      </c>
      <c r="V2062" s="1108"/>
      <c r="W2062" s="1108"/>
      <c r="X2062" s="1108"/>
      <c r="Y2062" s="1108"/>
      <c r="Z2062" s="1114" t="s">
        <v>347</v>
      </c>
      <c r="AA2062" s="1114"/>
      <c r="AB2062" s="1114" t="s">
        <v>392</v>
      </c>
      <c r="AC2062" s="1117">
        <v>10.0</v>
      </c>
      <c r="AD2062" s="1115"/>
      <c r="AE2062" s="1115"/>
      <c r="AF2062" s="1115"/>
      <c r="AG2062" s="1115"/>
      <c r="AH2062" s="1115"/>
      <c r="AI2062" s="1115"/>
      <c r="AJ2062" s="1117"/>
      <c r="AK2062" s="1118"/>
      <c r="AL2062" s="1115"/>
      <c r="AM2062" s="1115"/>
      <c r="AN2062" s="1115"/>
      <c r="AO2062" s="1115"/>
      <c r="AP2062" s="1115"/>
      <c r="AQ2062" s="1115"/>
      <c r="AR2062" s="1115"/>
      <c r="AS2062" s="1117"/>
      <c r="AT2062" s="1196" t="str">
        <f t="shared" si="428"/>
        <v>1-10</v>
      </c>
      <c r="AU2062" s="1193"/>
      <c r="AV2062" s="330">
        <f>SQRT(($R2062-Infrastructure!J$3)^2+($S2062-Infrastructure!K$3)^2)</f>
        <v>30.43566986</v>
      </c>
      <c r="AW2062" s="331">
        <f>SQRT(($R2062-Infrastructure!J$4)^2+($S2062-Infrastructure!K$4)^2)</f>
        <v>24.74267568</v>
      </c>
      <c r="AX2062" s="331">
        <f>SQRT(($R2062-Infrastructure!J$5)^2+($S2062-Infrastructure!K$5)^2)</f>
        <v>23.55949915</v>
      </c>
      <c r="AY2062" s="331">
        <f>SQRT(($R2062-Infrastructure!J$6)^2+($S2062-Infrastructure!K$6)^2)</f>
        <v>15.59006094</v>
      </c>
      <c r="AZ2062" s="331">
        <f>SQRT(($R2062-Infrastructure!J$7)^2+($S2062-Infrastructure!K$7)^2)</f>
        <v>9.217917335</v>
      </c>
      <c r="BA2062" s="331">
        <f>SQRT(($R2062-Infrastructure!J$8)^2+($S2062-Infrastructure!K$8)^2)</f>
        <v>11.44770719</v>
      </c>
      <c r="BB2062" s="331">
        <f>SQRT(($R2062-Infrastructure!J$9)^2+($S2062-Infrastructure!K$9)^2)</f>
        <v>17.5846524</v>
      </c>
      <c r="BC2062" s="331">
        <f>SQRT(($R2062-Infrastructure!J$10)^2+($S2062-Infrastructure!K$10)^2)</f>
        <v>18.05685465</v>
      </c>
      <c r="BD2062" s="331">
        <f>SQRT(($R2062-Infrastructure!J$11)^2+($S2062-Infrastructure!K$11)^2)</f>
        <v>26.293155</v>
      </c>
      <c r="BE2062" s="333">
        <f>SQRT(($R2062-Infrastructure!J$12)^2+($S2062-Infrastructure!K$12)^2)</f>
        <v>46.32116147</v>
      </c>
      <c r="BF2062" s="330">
        <f t="shared" si="161"/>
        <v>9.217917335</v>
      </c>
      <c r="BG2062" s="333">
        <f t="shared" si="162"/>
        <v>46.32116147</v>
      </c>
      <c r="BH2062" s="1119"/>
      <c r="BI2062" s="319" t="str">
        <f t="shared" ref="BI2062:BR2062" si="975">IF(ISNUMBER(FIND(BI$3, $CO2062)), "Y", "")</f>
        <v/>
      </c>
      <c r="BJ2062" s="319" t="str">
        <f t="shared" si="975"/>
        <v/>
      </c>
      <c r="BK2062" s="319" t="str">
        <f t="shared" si="975"/>
        <v/>
      </c>
      <c r="BL2062" s="319" t="str">
        <f t="shared" si="975"/>
        <v/>
      </c>
      <c r="BM2062" s="319" t="str">
        <f t="shared" si="975"/>
        <v/>
      </c>
      <c r="BN2062" s="319" t="str">
        <f t="shared" si="975"/>
        <v/>
      </c>
      <c r="BO2062" s="319" t="str">
        <f t="shared" si="975"/>
        <v/>
      </c>
      <c r="BP2062" s="319" t="str">
        <f t="shared" si="975"/>
        <v/>
      </c>
      <c r="BQ2062" s="319" t="str">
        <f t="shared" si="975"/>
        <v/>
      </c>
      <c r="BR2062" s="319" t="str">
        <f t="shared" si="975"/>
        <v/>
      </c>
      <c r="BS2062" s="330">
        <f t="shared" si="185"/>
        <v>0</v>
      </c>
      <c r="BT2062" s="331">
        <f t="shared" si="170"/>
        <v>0</v>
      </c>
      <c r="BU2062" s="920"/>
      <c r="BV2062" s="903" t="str">
        <f t="shared" si="186"/>
        <v/>
      </c>
      <c r="BW2062" s="908"/>
      <c r="BX2062" s="908"/>
      <c r="BY2062" s="331" t="b">
        <f t="shared" si="201"/>
        <v>0</v>
      </c>
      <c r="BZ2062" s="331"/>
      <c r="CA2062" s="462" t="str">
        <f t="shared" ref="CA2062:CJ2062" si="976">IF(ISNUMBER(FIND(BI$3, $CP2062)), "Y", "")</f>
        <v/>
      </c>
      <c r="CB2062" s="319" t="str">
        <f t="shared" si="976"/>
        <v/>
      </c>
      <c r="CC2062" s="319" t="str">
        <f t="shared" si="976"/>
        <v/>
      </c>
      <c r="CD2062" s="319" t="str">
        <f t="shared" si="976"/>
        <v/>
      </c>
      <c r="CE2062" s="319" t="str">
        <f t="shared" si="976"/>
        <v/>
      </c>
      <c r="CF2062" s="319" t="str">
        <f t="shared" si="976"/>
        <v/>
      </c>
      <c r="CG2062" s="319" t="str">
        <f t="shared" si="976"/>
        <v/>
      </c>
      <c r="CH2062" s="319" t="str">
        <f t="shared" si="976"/>
        <v/>
      </c>
      <c r="CI2062" s="319" t="str">
        <f t="shared" si="976"/>
        <v/>
      </c>
      <c r="CJ2062" s="319" t="str">
        <f t="shared" si="976"/>
        <v/>
      </c>
      <c r="CK2062" s="342">
        <f t="shared" si="182"/>
        <v>0</v>
      </c>
      <c r="CL2062" s="333">
        <f t="shared" si="183"/>
        <v>0</v>
      </c>
      <c r="CM2062" s="1079" t="s">
        <v>2602</v>
      </c>
      <c r="CN2062" s="1005" t="s">
        <v>3074</v>
      </c>
      <c r="CO2062" s="1005"/>
      <c r="CP2062" s="1005"/>
    </row>
    <row r="2063">
      <c r="A2063" s="266"/>
      <c r="B2063" s="1113" t="s">
        <v>3053</v>
      </c>
      <c r="C2063" s="1107">
        <v>45589.0</v>
      </c>
      <c r="D2063" s="1113" t="s">
        <v>986</v>
      </c>
      <c r="E2063" s="1108" t="s">
        <v>1229</v>
      </c>
      <c r="F2063" s="112" t="s">
        <v>3075</v>
      </c>
      <c r="G2063" s="1110">
        <v>0.5442708333333334</v>
      </c>
      <c r="H2063" s="1110">
        <v>0.5461805555555556</v>
      </c>
      <c r="I2063" s="1110"/>
      <c r="J2063" s="1111"/>
      <c r="K2063" s="1111">
        <v>0.5750578703703704</v>
      </c>
      <c r="L2063" s="1112">
        <v>0.028877314814814814</v>
      </c>
      <c r="M2063" s="1113" t="s">
        <v>173</v>
      </c>
      <c r="N2063" s="110" t="s">
        <v>187</v>
      </c>
      <c r="O2063" s="1115" t="s">
        <v>202</v>
      </c>
      <c r="P2063" s="1115" t="s">
        <v>272</v>
      </c>
      <c r="Q2063" s="1116"/>
      <c r="R2063" s="120">
        <v>24.4</v>
      </c>
      <c r="S2063" s="1113">
        <v>7.5</v>
      </c>
      <c r="T2063" s="110">
        <v>0.57</v>
      </c>
      <c r="U2063" s="1108">
        <v>0.5</v>
      </c>
      <c r="V2063" s="1108"/>
      <c r="W2063" s="1108"/>
      <c r="X2063" s="1108"/>
      <c r="Y2063" s="1108"/>
      <c r="Z2063" s="1114" t="s">
        <v>339</v>
      </c>
      <c r="AA2063" s="1114"/>
      <c r="AB2063" s="1114" t="s">
        <v>392</v>
      </c>
      <c r="AC2063" s="1117">
        <v>10.0</v>
      </c>
      <c r="AD2063" s="1115"/>
      <c r="AE2063" s="1115"/>
      <c r="AF2063" s="1115"/>
      <c r="AG2063" s="1115"/>
      <c r="AH2063" s="1115"/>
      <c r="AI2063" s="1115"/>
      <c r="AJ2063" s="1117"/>
      <c r="AK2063" s="1118"/>
      <c r="AL2063" s="1115"/>
      <c r="AM2063" s="1115"/>
      <c r="AN2063" s="1115"/>
      <c r="AO2063" s="1115"/>
      <c r="AP2063" s="1115"/>
      <c r="AQ2063" s="1115"/>
      <c r="AR2063" s="1115"/>
      <c r="AS2063" s="1117"/>
      <c r="AT2063" s="1196" t="str">
        <f t="shared" si="428"/>
        <v>0-1</v>
      </c>
      <c r="AU2063" s="1193"/>
      <c r="AV2063" s="330">
        <f>SQRT(($R2063-Infrastructure!J$3)^2+($S2063-Infrastructure!K$3)^2)</f>
        <v>32.68103426</v>
      </c>
      <c r="AW2063" s="331">
        <f>SQRT(($R2063-Infrastructure!J$4)^2+($S2063-Infrastructure!K$4)^2)</f>
        <v>26.76153957</v>
      </c>
      <c r="AX2063" s="331">
        <f>SQRT(($R2063-Infrastructure!J$5)^2+($S2063-Infrastructure!K$5)^2)</f>
        <v>24.81632527</v>
      </c>
      <c r="AY2063" s="331">
        <f>SQRT(($R2063-Infrastructure!J$6)^2+($S2063-Infrastructure!K$6)^2)</f>
        <v>16.01030918</v>
      </c>
      <c r="AZ2063" s="331">
        <f>SQRT(($R2063-Infrastructure!J$7)^2+($S2063-Infrastructure!K$7)^2)</f>
        <v>8.188406438</v>
      </c>
      <c r="BA2063" s="331">
        <f>SQRT(($R2063-Infrastructure!J$8)^2+($S2063-Infrastructure!K$8)^2)</f>
        <v>9.183136719</v>
      </c>
      <c r="BB2063" s="331">
        <f>SQRT(($R2063-Infrastructure!J$9)^2+($S2063-Infrastructure!K$9)^2)</f>
        <v>15.78353573</v>
      </c>
      <c r="BC2063" s="331">
        <f>SQRT(($R2063-Infrastructure!J$10)^2+($S2063-Infrastructure!K$10)^2)</f>
        <v>17.30924608</v>
      </c>
      <c r="BD2063" s="331">
        <f>SQRT(($R2063-Infrastructure!J$11)^2+($S2063-Infrastructure!K$11)^2)</f>
        <v>26.68126684</v>
      </c>
      <c r="BE2063" s="333">
        <f>SQRT(($R2063-Infrastructure!J$12)^2+($S2063-Infrastructure!K$12)^2)</f>
        <v>48.08752437</v>
      </c>
      <c r="BF2063" s="330">
        <f t="shared" si="161"/>
        <v>8.188406438</v>
      </c>
      <c r="BG2063" s="333">
        <f t="shared" si="162"/>
        <v>48.08752437</v>
      </c>
      <c r="BH2063" s="1119"/>
      <c r="BI2063" s="319" t="str">
        <f t="shared" ref="BI2063:BR2063" si="977">IF(ISNUMBER(FIND(BI$3, $CO2063)), "Y", "")</f>
        <v/>
      </c>
      <c r="BJ2063" s="319" t="str">
        <f t="shared" si="977"/>
        <v/>
      </c>
      <c r="BK2063" s="319" t="str">
        <f t="shared" si="977"/>
        <v/>
      </c>
      <c r="BL2063" s="319" t="str">
        <f t="shared" si="977"/>
        <v/>
      </c>
      <c r="BM2063" s="319" t="str">
        <f t="shared" si="977"/>
        <v/>
      </c>
      <c r="BN2063" s="319" t="str">
        <f t="shared" si="977"/>
        <v/>
      </c>
      <c r="BO2063" s="319" t="str">
        <f t="shared" si="977"/>
        <v/>
      </c>
      <c r="BP2063" s="319" t="str">
        <f t="shared" si="977"/>
        <v/>
      </c>
      <c r="BQ2063" s="319" t="str">
        <f t="shared" si="977"/>
        <v/>
      </c>
      <c r="BR2063" s="319" t="str">
        <f t="shared" si="977"/>
        <v/>
      </c>
      <c r="BS2063" s="330">
        <f t="shared" si="185"/>
        <v>0</v>
      </c>
      <c r="BT2063" s="331">
        <f t="shared" si="170"/>
        <v>0</v>
      </c>
      <c r="BU2063" s="920"/>
      <c r="BV2063" s="903" t="str">
        <f t="shared" si="186"/>
        <v/>
      </c>
      <c r="BW2063" s="908"/>
      <c r="BX2063" s="908"/>
      <c r="BY2063" s="331" t="b">
        <f t="shared" si="201"/>
        <v>0</v>
      </c>
      <c r="BZ2063" s="331"/>
      <c r="CA2063" s="462" t="str">
        <f t="shared" ref="CA2063:CJ2063" si="978">IF(ISNUMBER(FIND(BI$3, $CP2063)), "Y", "")</f>
        <v/>
      </c>
      <c r="CB2063" s="319" t="str">
        <f t="shared" si="978"/>
        <v/>
      </c>
      <c r="CC2063" s="319" t="str">
        <f t="shared" si="978"/>
        <v/>
      </c>
      <c r="CD2063" s="319" t="str">
        <f t="shared" si="978"/>
        <v/>
      </c>
      <c r="CE2063" s="319" t="str">
        <f t="shared" si="978"/>
        <v/>
      </c>
      <c r="CF2063" s="319" t="str">
        <f t="shared" si="978"/>
        <v/>
      </c>
      <c r="CG2063" s="319" t="str">
        <f t="shared" si="978"/>
        <v/>
      </c>
      <c r="CH2063" s="319" t="str">
        <f t="shared" si="978"/>
        <v/>
      </c>
      <c r="CI2063" s="319" t="str">
        <f t="shared" si="978"/>
        <v/>
      </c>
      <c r="CJ2063" s="319" t="str">
        <f t="shared" si="978"/>
        <v/>
      </c>
      <c r="CK2063" s="342">
        <f t="shared" si="182"/>
        <v>0</v>
      </c>
      <c r="CL2063" s="333">
        <f t="shared" si="183"/>
        <v>0</v>
      </c>
      <c r="CM2063" s="1079" t="s">
        <v>2602</v>
      </c>
      <c r="CN2063" s="1005" t="s">
        <v>3074</v>
      </c>
      <c r="CO2063" s="1005"/>
      <c r="CP2063" s="1005"/>
    </row>
    <row r="2064">
      <c r="A2064" s="266"/>
      <c r="B2064" s="1113" t="s">
        <v>3053</v>
      </c>
      <c r="C2064" s="1107">
        <v>45589.0</v>
      </c>
      <c r="D2064" s="1113" t="s">
        <v>986</v>
      </c>
      <c r="E2064" s="1108">
        <v>13.0</v>
      </c>
      <c r="F2064" s="112" t="s">
        <v>3076</v>
      </c>
      <c r="G2064" s="1110">
        <v>0.5890625</v>
      </c>
      <c r="H2064" s="1110">
        <v>0.5895833333333333</v>
      </c>
      <c r="I2064" s="1110"/>
      <c r="J2064" s="1111"/>
      <c r="K2064" s="1111">
        <v>0.6180555555555556</v>
      </c>
      <c r="L2064" s="1112">
        <v>0.02847222222222222</v>
      </c>
      <c r="M2064" s="1113" t="s">
        <v>166</v>
      </c>
      <c r="N2064" s="110" t="s">
        <v>187</v>
      </c>
      <c r="O2064" s="1115" t="s">
        <v>206</v>
      </c>
      <c r="P2064" s="1115" t="s">
        <v>218</v>
      </c>
      <c r="Q2064" s="1116"/>
      <c r="R2064" s="120">
        <v>21.5</v>
      </c>
      <c r="S2064" s="1113">
        <v>8.7</v>
      </c>
      <c r="T2064" s="110">
        <v>2.35</v>
      </c>
      <c r="U2064" s="1108">
        <v>0.1</v>
      </c>
      <c r="V2064" s="1108"/>
      <c r="W2064" s="1108"/>
      <c r="X2064" s="1108"/>
      <c r="Y2064" s="1108"/>
      <c r="Z2064" s="1114" t="s">
        <v>335</v>
      </c>
      <c r="AA2064" s="1114"/>
      <c r="AB2064" s="1114" t="s">
        <v>375</v>
      </c>
      <c r="AC2064" s="1117">
        <v>2.7</v>
      </c>
      <c r="AD2064" s="1115"/>
      <c r="AE2064" s="1115"/>
      <c r="AF2064" s="1115"/>
      <c r="AG2064" s="1115"/>
      <c r="AH2064" s="1115"/>
      <c r="AI2064" s="1115"/>
      <c r="AJ2064" s="1117"/>
      <c r="AK2064" s="1118"/>
      <c r="AL2064" s="1115"/>
      <c r="AM2064" s="1115"/>
      <c r="AN2064" s="1115"/>
      <c r="AO2064" s="1115"/>
      <c r="AP2064" s="1115"/>
      <c r="AQ2064" s="1115"/>
      <c r="AR2064" s="1115"/>
      <c r="AS2064" s="1117"/>
      <c r="AT2064" s="1196" t="str">
        <f t="shared" si="428"/>
        <v>0-1</v>
      </c>
      <c r="AU2064" s="1193"/>
      <c r="AV2064" s="330">
        <f>SQRT(($R2064-Infrastructure!J$3)^2+($S2064-Infrastructure!K$3)^2)</f>
        <v>29.72002692</v>
      </c>
      <c r="AW2064" s="331">
        <f>SQRT(($R2064-Infrastructure!J$4)^2+($S2064-Infrastructure!K$4)^2)</f>
        <v>23.62308193</v>
      </c>
      <c r="AX2064" s="331">
        <f>SQRT(($R2064-Infrastructure!J$5)^2+($S2064-Infrastructure!K$5)^2)</f>
        <v>22.09524836</v>
      </c>
      <c r="AY2064" s="331">
        <f>SQRT(($R2064-Infrastructure!J$6)^2+($S2064-Infrastructure!K$6)^2)</f>
        <v>14.16050847</v>
      </c>
      <c r="AZ2064" s="331">
        <f>SQRT(($R2064-Infrastructure!J$7)^2+($S2064-Infrastructure!K$7)^2)</f>
        <v>8.459314393</v>
      </c>
      <c r="BA2064" s="331">
        <f>SQRT(($R2064-Infrastructure!J$8)^2+($S2064-Infrastructure!K$8)^2)</f>
        <v>12.02164714</v>
      </c>
      <c r="BB2064" s="331">
        <f>SQRT(($R2064-Infrastructure!J$9)^2+($S2064-Infrastructure!K$9)^2)</f>
        <v>18.84701568</v>
      </c>
      <c r="BC2064" s="331">
        <f>SQRT(($R2064-Infrastructure!J$10)^2+($S2064-Infrastructure!K$10)^2)</f>
        <v>19.54328529</v>
      </c>
      <c r="BD2064" s="331">
        <f>SQRT(($R2064-Infrastructure!J$11)^2+($S2064-Infrastructure!K$11)^2)</f>
        <v>27.60036232</v>
      </c>
      <c r="BE2064" s="333">
        <f>SQRT(($R2064-Infrastructure!J$12)^2+($S2064-Infrastructure!K$12)^2)</f>
        <v>46.8</v>
      </c>
      <c r="BF2064" s="330">
        <f t="shared" si="161"/>
        <v>8.459314393</v>
      </c>
      <c r="BG2064" s="333">
        <f t="shared" si="162"/>
        <v>46.8</v>
      </c>
      <c r="BH2064" s="1119"/>
      <c r="BI2064" s="319" t="str">
        <f t="shared" ref="BI2064:BR2064" si="979">IF(ISNUMBER(FIND(BI$3, $CO2064)), "Y", "")</f>
        <v/>
      </c>
      <c r="BJ2064" s="319" t="str">
        <f t="shared" si="979"/>
        <v/>
      </c>
      <c r="BK2064" s="319" t="str">
        <f t="shared" si="979"/>
        <v/>
      </c>
      <c r="BL2064" s="319" t="str">
        <f t="shared" si="979"/>
        <v/>
      </c>
      <c r="BM2064" s="319" t="str">
        <f t="shared" si="979"/>
        <v/>
      </c>
      <c r="BN2064" s="319" t="str">
        <f t="shared" si="979"/>
        <v/>
      </c>
      <c r="BO2064" s="319" t="str">
        <f t="shared" si="979"/>
        <v/>
      </c>
      <c r="BP2064" s="319" t="str">
        <f t="shared" si="979"/>
        <v/>
      </c>
      <c r="BQ2064" s="319" t="str">
        <f t="shared" si="979"/>
        <v/>
      </c>
      <c r="BR2064" s="319" t="str">
        <f t="shared" si="979"/>
        <v/>
      </c>
      <c r="BS2064" s="330">
        <f t="shared" si="185"/>
        <v>0</v>
      </c>
      <c r="BT2064" s="331">
        <f t="shared" si="170"/>
        <v>0</v>
      </c>
      <c r="BU2064" s="920"/>
      <c r="BV2064" s="903" t="str">
        <f t="shared" si="186"/>
        <v/>
      </c>
      <c r="BW2064" s="908"/>
      <c r="BX2064" s="908"/>
      <c r="BY2064" s="331" t="b">
        <f t="shared" si="201"/>
        <v>0</v>
      </c>
      <c r="BZ2064" s="331"/>
      <c r="CA2064" s="462" t="str">
        <f t="shared" ref="CA2064:CJ2064" si="980">IF(ISNUMBER(FIND(BI$3, $CP2064)), "Y", "")</f>
        <v/>
      </c>
      <c r="CB2064" s="319" t="str">
        <f t="shared" si="980"/>
        <v/>
      </c>
      <c r="CC2064" s="319" t="str">
        <f t="shared" si="980"/>
        <v/>
      </c>
      <c r="CD2064" s="319" t="str">
        <f t="shared" si="980"/>
        <v/>
      </c>
      <c r="CE2064" s="319" t="str">
        <f t="shared" si="980"/>
        <v/>
      </c>
      <c r="CF2064" s="319" t="str">
        <f t="shared" si="980"/>
        <v/>
      </c>
      <c r="CG2064" s="319" t="str">
        <f t="shared" si="980"/>
        <v/>
      </c>
      <c r="CH2064" s="319" t="str">
        <f t="shared" si="980"/>
        <v/>
      </c>
      <c r="CI2064" s="319" t="str">
        <f t="shared" si="980"/>
        <v/>
      </c>
      <c r="CJ2064" s="319" t="str">
        <f t="shared" si="980"/>
        <v/>
      </c>
      <c r="CK2064" s="342">
        <f t="shared" si="182"/>
        <v>0</v>
      </c>
      <c r="CL2064" s="333">
        <f t="shared" si="183"/>
        <v>0</v>
      </c>
      <c r="CM2064" s="1079" t="s">
        <v>2602</v>
      </c>
      <c r="CN2064" s="1005" t="s">
        <v>3074</v>
      </c>
      <c r="CO2064" s="1005"/>
      <c r="CP2064" s="1005"/>
    </row>
    <row r="2065">
      <c r="A2065" s="266"/>
      <c r="B2065" s="1113" t="s">
        <v>3053</v>
      </c>
      <c r="C2065" s="1107">
        <v>45589.0</v>
      </c>
      <c r="D2065" s="1113" t="s">
        <v>986</v>
      </c>
      <c r="E2065" s="1108" t="s">
        <v>1855</v>
      </c>
      <c r="F2065" s="112" t="s">
        <v>3077</v>
      </c>
      <c r="G2065" s="1110">
        <v>0.6320601851851851</v>
      </c>
      <c r="H2065" s="1110">
        <v>0.6326388888888889</v>
      </c>
      <c r="I2065" s="1110"/>
      <c r="J2065" s="1111"/>
      <c r="K2065" s="1111">
        <v>0.6666666666666666</v>
      </c>
      <c r="L2065" s="1112">
        <v>0.034027777777777775</v>
      </c>
      <c r="M2065" s="1113" t="s">
        <v>166</v>
      </c>
      <c r="N2065" s="110" t="s">
        <v>187</v>
      </c>
      <c r="O2065" s="1115" t="s">
        <v>198</v>
      </c>
      <c r="P2065" s="1115" t="s">
        <v>223</v>
      </c>
      <c r="Q2065" s="1116"/>
      <c r="R2065" s="120">
        <v>10.0</v>
      </c>
      <c r="S2065" s="1113">
        <v>11.7</v>
      </c>
      <c r="T2065" s="110">
        <v>0.5</v>
      </c>
      <c r="U2065" s="1108">
        <v>0.45</v>
      </c>
      <c r="V2065" s="1108"/>
      <c r="W2065" s="1108"/>
      <c r="X2065" s="1108"/>
      <c r="Y2065" s="1108"/>
      <c r="Z2065" s="1114" t="s">
        <v>343</v>
      </c>
      <c r="AA2065" s="1114"/>
      <c r="AB2065" s="1114" t="s">
        <v>380</v>
      </c>
      <c r="AC2065" s="1117">
        <v>4.0</v>
      </c>
      <c r="AD2065" s="1115"/>
      <c r="AE2065" s="1115"/>
      <c r="AF2065" s="1115"/>
      <c r="AG2065" s="1115"/>
      <c r="AH2065" s="1115"/>
      <c r="AI2065" s="1115"/>
      <c r="AJ2065" s="1117"/>
      <c r="AK2065" s="1118"/>
      <c r="AL2065" s="1115"/>
      <c r="AM2065" s="1115"/>
      <c r="AN2065" s="1115"/>
      <c r="AO2065" s="1115"/>
      <c r="AP2065" s="1115"/>
      <c r="AQ2065" s="1115"/>
      <c r="AR2065" s="1115"/>
      <c r="AS2065" s="1117"/>
      <c r="AT2065" s="1196" t="str">
        <f t="shared" si="428"/>
        <v>0-1</v>
      </c>
      <c r="AU2065" s="1193"/>
      <c r="AV2065" s="330">
        <f>SQRT(($R2065-Infrastructure!J$3)^2+($S2065-Infrastructure!K$3)^2)</f>
        <v>20.04819194</v>
      </c>
      <c r="AW2065" s="331">
        <f>SQRT(($R2065-Infrastructure!J$4)^2+($S2065-Infrastructure!K$4)^2)</f>
        <v>11.9707978</v>
      </c>
      <c r="AX2065" s="331">
        <f>SQRT(($R2065-Infrastructure!J$5)^2+($S2065-Infrastructure!K$5)^2)</f>
        <v>12.23315168</v>
      </c>
      <c r="AY2065" s="331">
        <f>SQRT(($R2065-Infrastructure!J$6)^2+($S2065-Infrastructure!K$6)^2)</f>
        <v>11.40043859</v>
      </c>
      <c r="AZ2065" s="331">
        <f>SQRT(($R2065-Infrastructure!J$7)^2+($S2065-Infrastructure!K$7)^2)</f>
        <v>15.49870962</v>
      </c>
      <c r="BA2065" s="331">
        <f>SQRT(($R2065-Infrastructure!J$8)^2+($S2065-Infrastructure!K$8)^2)</f>
        <v>23.10779089</v>
      </c>
      <c r="BB2065" s="331">
        <f>SQRT(($R2065-Infrastructure!J$9)^2+($S2065-Infrastructure!K$9)^2)</f>
        <v>30.71742177</v>
      </c>
      <c r="BC2065" s="331">
        <f>SQRT(($R2065-Infrastructure!J$10)^2+($S2065-Infrastructure!K$10)^2)</f>
        <v>30.18095426</v>
      </c>
      <c r="BD2065" s="331">
        <f>SQRT(($R2065-Infrastructure!J$11)^2+($S2065-Infrastructure!K$11)^2)</f>
        <v>34.80416642</v>
      </c>
      <c r="BE2065" s="333">
        <f>SQRT(($R2065-Infrastructure!J$12)^2+($S2065-Infrastructure!K$12)^2)</f>
        <v>45.28454482</v>
      </c>
      <c r="BF2065" s="330">
        <f t="shared" si="161"/>
        <v>11.40043859</v>
      </c>
      <c r="BG2065" s="333">
        <f t="shared" si="162"/>
        <v>45.28454482</v>
      </c>
      <c r="BH2065" s="1119"/>
      <c r="BI2065" s="319" t="str">
        <f t="shared" ref="BI2065:BR2065" si="981">IF(ISNUMBER(FIND(BI$3, $CO2065)), "Y", "")</f>
        <v/>
      </c>
      <c r="BJ2065" s="319" t="str">
        <f t="shared" si="981"/>
        <v/>
      </c>
      <c r="BK2065" s="319" t="str">
        <f t="shared" si="981"/>
        <v/>
      </c>
      <c r="BL2065" s="319" t="str">
        <f t="shared" si="981"/>
        <v/>
      </c>
      <c r="BM2065" s="319" t="str">
        <f t="shared" si="981"/>
        <v/>
      </c>
      <c r="BN2065" s="319" t="str">
        <f t="shared" si="981"/>
        <v/>
      </c>
      <c r="BO2065" s="319" t="str">
        <f t="shared" si="981"/>
        <v/>
      </c>
      <c r="BP2065" s="319" t="str">
        <f t="shared" si="981"/>
        <v/>
      </c>
      <c r="BQ2065" s="319" t="str">
        <f t="shared" si="981"/>
        <v/>
      </c>
      <c r="BR2065" s="319" t="str">
        <f t="shared" si="981"/>
        <v/>
      </c>
      <c r="BS2065" s="330">
        <f t="shared" si="185"/>
        <v>0</v>
      </c>
      <c r="BT2065" s="331">
        <f t="shared" si="170"/>
        <v>0</v>
      </c>
      <c r="BU2065" s="920"/>
      <c r="BV2065" s="903" t="str">
        <f t="shared" si="186"/>
        <v/>
      </c>
      <c r="BW2065" s="908"/>
      <c r="BX2065" s="908"/>
      <c r="BY2065" s="331" t="b">
        <f t="shared" si="201"/>
        <v>0</v>
      </c>
      <c r="BZ2065" s="331"/>
      <c r="CA2065" s="462" t="str">
        <f t="shared" ref="CA2065:CJ2065" si="982">IF(ISNUMBER(FIND(BI$3, $CP2065)), "Y", "")</f>
        <v/>
      </c>
      <c r="CB2065" s="319" t="str">
        <f t="shared" si="982"/>
        <v/>
      </c>
      <c r="CC2065" s="319" t="str">
        <f t="shared" si="982"/>
        <v/>
      </c>
      <c r="CD2065" s="319" t="str">
        <f t="shared" si="982"/>
        <v/>
      </c>
      <c r="CE2065" s="319" t="str">
        <f t="shared" si="982"/>
        <v/>
      </c>
      <c r="CF2065" s="319" t="str">
        <f t="shared" si="982"/>
        <v/>
      </c>
      <c r="CG2065" s="319" t="str">
        <f t="shared" si="982"/>
        <v/>
      </c>
      <c r="CH2065" s="319" t="str">
        <f t="shared" si="982"/>
        <v/>
      </c>
      <c r="CI2065" s="319" t="str">
        <f t="shared" si="982"/>
        <v/>
      </c>
      <c r="CJ2065" s="319" t="str">
        <f t="shared" si="982"/>
        <v/>
      </c>
      <c r="CK2065" s="342">
        <f t="shared" si="182"/>
        <v>0</v>
      </c>
      <c r="CL2065" s="333">
        <f t="shared" si="183"/>
        <v>0</v>
      </c>
      <c r="CM2065" s="1079" t="s">
        <v>2602</v>
      </c>
      <c r="CN2065" s="1005" t="s">
        <v>3074</v>
      </c>
      <c r="CO2065" s="1005"/>
      <c r="CP2065" s="1005"/>
    </row>
    <row r="2066">
      <c r="A2066" s="1258"/>
      <c r="B2066" s="1129" t="s">
        <v>3053</v>
      </c>
      <c r="C2066" s="1122">
        <v>45589.0</v>
      </c>
      <c r="D2066" s="1129" t="s">
        <v>986</v>
      </c>
      <c r="E2066" s="1124" t="s">
        <v>1876</v>
      </c>
      <c r="F2066" s="108" t="s">
        <v>3078</v>
      </c>
      <c r="G2066" s="1126">
        <v>0.6319444444444444</v>
      </c>
      <c r="H2066" s="1126">
        <v>0.6333333333333333</v>
      </c>
      <c r="I2066" s="1126"/>
      <c r="J2066" s="1127"/>
      <c r="K2066" s="1127">
        <v>0.666724537037037</v>
      </c>
      <c r="L2066" s="1128">
        <v>0.0333912037037037</v>
      </c>
      <c r="M2066" s="1129" t="s">
        <v>168</v>
      </c>
      <c r="N2066" s="100" t="s">
        <v>187</v>
      </c>
      <c r="O2066" s="1131" t="s">
        <v>204</v>
      </c>
      <c r="P2066" s="1131" t="s">
        <v>247</v>
      </c>
      <c r="Q2066" s="1132"/>
      <c r="R2066" s="137">
        <v>18.3</v>
      </c>
      <c r="S2066" s="1129">
        <v>3.9</v>
      </c>
      <c r="T2066" s="100">
        <v>1.82</v>
      </c>
      <c r="U2066" s="1124">
        <v>0.63</v>
      </c>
      <c r="V2066" s="1124"/>
      <c r="W2066" s="1124"/>
      <c r="X2066" s="1124"/>
      <c r="Y2066" s="1124"/>
      <c r="Z2066" s="1130" t="s">
        <v>365</v>
      </c>
      <c r="AA2066" s="1130"/>
      <c r="AB2066" s="1130" t="s">
        <v>392</v>
      </c>
      <c r="AC2066" s="1133">
        <v>10.0</v>
      </c>
      <c r="AD2066" s="1131"/>
      <c r="AE2066" s="1131"/>
      <c r="AF2066" s="1131"/>
      <c r="AG2066" s="1131"/>
      <c r="AH2066" s="1131"/>
      <c r="AI2066" s="1131"/>
      <c r="AJ2066" s="1133"/>
      <c r="AK2066" s="1134"/>
      <c r="AL2066" s="1131"/>
      <c r="AM2066" s="1131"/>
      <c r="AN2066" s="1131"/>
      <c r="AO2066" s="1131"/>
      <c r="AP2066" s="1131"/>
      <c r="AQ2066" s="1131"/>
      <c r="AR2066" s="1131"/>
      <c r="AS2066" s="1133"/>
      <c r="AT2066" s="1197" t="str">
        <f t="shared" si="428"/>
        <v>0-1</v>
      </c>
      <c r="AU2066" s="1194"/>
      <c r="AV2066" s="662">
        <f>SQRT(($R2066-Infrastructure!J$3)^2+($S2066-Infrastructure!K$3)^2)</f>
        <v>31.16023106</v>
      </c>
      <c r="AW2066" s="641">
        <f>SQRT(($R2066-Infrastructure!J$4)^2+($S2066-Infrastructure!K$4)^2)</f>
        <v>23.22003445</v>
      </c>
      <c r="AX2066" s="641">
        <f>SQRT(($R2066-Infrastructure!J$5)^2+($S2066-Infrastructure!K$5)^2)</f>
        <v>18.63866948</v>
      </c>
      <c r="AY2066" s="641">
        <f>SQRT(($R2066-Infrastructure!J$6)^2+($S2066-Infrastructure!K$6)^2)</f>
        <v>8.955445271</v>
      </c>
      <c r="AZ2066" s="641">
        <f>SQRT(($R2066-Infrastructure!J$7)^2+($S2066-Infrastructure!K$7)^2)</f>
        <v>4.219004622</v>
      </c>
      <c r="BA2066" s="641">
        <f>SQRT(($R2066-Infrastructure!J$8)^2+($S2066-Infrastructure!K$8)^2)</f>
        <v>12.33693641</v>
      </c>
      <c r="BB2066" s="641">
        <f>SQRT(($R2066-Infrastructure!J$9)^2+($S2066-Infrastructure!K$9)^2)</f>
        <v>21.7331544</v>
      </c>
      <c r="BC2066" s="641">
        <f>SQRT(($R2066-Infrastructure!J$10)^2+($S2066-Infrastructure!K$10)^2)</f>
        <v>24.37416665</v>
      </c>
      <c r="BD2066" s="641">
        <f>SQRT(($R2066-Infrastructure!J$11)^2+($S2066-Infrastructure!K$11)^2)</f>
        <v>33.31095916</v>
      </c>
      <c r="BE2066" s="642">
        <f>SQRT(($R2066-Infrastructure!J$12)^2+($S2066-Infrastructure!K$12)^2)</f>
        <v>51.69912959</v>
      </c>
      <c r="BF2066" s="662">
        <f t="shared" si="161"/>
        <v>4.219004622</v>
      </c>
      <c r="BG2066" s="642">
        <f t="shared" si="162"/>
        <v>51.69912959</v>
      </c>
      <c r="BH2066" s="1135"/>
      <c r="BI2066" s="663" t="str">
        <f t="shared" ref="BI2066:BR2066" si="983">IF(ISNUMBER(FIND(BI$3, $CO2066)), "Y", "")</f>
        <v/>
      </c>
      <c r="BJ2066" s="663" t="str">
        <f t="shared" si="983"/>
        <v/>
      </c>
      <c r="BK2066" s="663" t="str">
        <f t="shared" si="983"/>
        <v/>
      </c>
      <c r="BL2066" s="663" t="str">
        <f t="shared" si="983"/>
        <v/>
      </c>
      <c r="BM2066" s="663" t="str">
        <f t="shared" si="983"/>
        <v/>
      </c>
      <c r="BN2066" s="663" t="str">
        <f t="shared" si="983"/>
        <v/>
      </c>
      <c r="BO2066" s="663" t="str">
        <f t="shared" si="983"/>
        <v/>
      </c>
      <c r="BP2066" s="663" t="str">
        <f t="shared" si="983"/>
        <v/>
      </c>
      <c r="BQ2066" s="663" t="str">
        <f t="shared" si="983"/>
        <v/>
      </c>
      <c r="BR2066" s="663" t="str">
        <f t="shared" si="983"/>
        <v/>
      </c>
      <c r="BS2066" s="662">
        <f t="shared" si="185"/>
        <v>0</v>
      </c>
      <c r="BT2066" s="641">
        <f t="shared" si="170"/>
        <v>0</v>
      </c>
      <c r="BU2066" s="937"/>
      <c r="BV2066" s="930" t="str">
        <f t="shared" si="186"/>
        <v/>
      </c>
      <c r="BW2066" s="939"/>
      <c r="BX2066" s="939"/>
      <c r="BY2066" s="641" t="b">
        <f t="shared" si="201"/>
        <v>0</v>
      </c>
      <c r="BZ2066" s="641"/>
      <c r="CA2066" s="635" t="str">
        <f t="shared" ref="CA2066:CJ2066" si="984">IF(ISNUMBER(FIND(BI$3, $CP2066)), "Y", "")</f>
        <v/>
      </c>
      <c r="CB2066" s="663" t="str">
        <f t="shared" si="984"/>
        <v/>
      </c>
      <c r="CC2066" s="663" t="str">
        <f t="shared" si="984"/>
        <v/>
      </c>
      <c r="CD2066" s="663" t="str">
        <f t="shared" si="984"/>
        <v/>
      </c>
      <c r="CE2066" s="663" t="str">
        <f t="shared" si="984"/>
        <v/>
      </c>
      <c r="CF2066" s="663" t="str">
        <f t="shared" si="984"/>
        <v/>
      </c>
      <c r="CG2066" s="663" t="str">
        <f t="shared" si="984"/>
        <v/>
      </c>
      <c r="CH2066" s="663" t="str">
        <f t="shared" si="984"/>
        <v/>
      </c>
      <c r="CI2066" s="663" t="str">
        <f t="shared" si="984"/>
        <v/>
      </c>
      <c r="CJ2066" s="663" t="str">
        <f t="shared" si="984"/>
        <v/>
      </c>
      <c r="CK2066" s="743">
        <f t="shared" si="182"/>
        <v>0</v>
      </c>
      <c r="CL2066" s="642">
        <f t="shared" si="183"/>
        <v>0</v>
      </c>
      <c r="CM2066" s="1079" t="s">
        <v>2602</v>
      </c>
      <c r="CN2066" s="1036" t="s">
        <v>3074</v>
      </c>
      <c r="CO2066" s="1036"/>
      <c r="CP2066" s="1036"/>
    </row>
    <row r="2067">
      <c r="A2067" s="1257" t="s">
        <v>128</v>
      </c>
      <c r="B2067" s="1113" t="s">
        <v>3053</v>
      </c>
      <c r="C2067" s="1107">
        <v>45590.0</v>
      </c>
      <c r="D2067" s="1113" t="s">
        <v>986</v>
      </c>
      <c r="E2067" s="1108">
        <v>15.0</v>
      </c>
      <c r="F2067" s="112" t="s">
        <v>3079</v>
      </c>
      <c r="G2067" s="1110">
        <v>0.3746527777777778</v>
      </c>
      <c r="H2067" s="1110">
        <v>0.3753472222222222</v>
      </c>
      <c r="I2067" s="1110"/>
      <c r="J2067" s="1111"/>
      <c r="K2067" s="1111">
        <v>0.4027777777777778</v>
      </c>
      <c r="L2067" s="1112">
        <v>0.027430555555555555</v>
      </c>
      <c r="M2067" s="1113" t="s">
        <v>166</v>
      </c>
      <c r="N2067" s="110" t="s">
        <v>188</v>
      </c>
      <c r="O2067" s="1115" t="s">
        <v>378</v>
      </c>
      <c r="P2067" s="1115" t="s">
        <v>225</v>
      </c>
      <c r="Q2067" s="1116"/>
      <c r="R2067" s="120">
        <v>22.7</v>
      </c>
      <c r="S2067" s="1113">
        <v>39.7</v>
      </c>
      <c r="T2067" s="110">
        <v>1.1</v>
      </c>
      <c r="U2067" s="1108">
        <v>8.0</v>
      </c>
      <c r="V2067" s="1108"/>
      <c r="W2067" s="1108"/>
      <c r="X2067" s="1108"/>
      <c r="Y2067" s="1108"/>
      <c r="Z2067" s="1114" t="s">
        <v>1140</v>
      </c>
      <c r="AA2067" s="1114"/>
      <c r="AB2067" s="1114" t="s">
        <v>410</v>
      </c>
      <c r="AC2067" s="1117">
        <v>22.1</v>
      </c>
      <c r="AD2067" s="1115"/>
      <c r="AE2067" s="1115"/>
      <c r="AF2067" s="1115"/>
      <c r="AG2067" s="1115"/>
      <c r="AH2067" s="1115"/>
      <c r="AI2067" s="1115"/>
      <c r="AJ2067" s="1117"/>
      <c r="AK2067" s="1118"/>
      <c r="AL2067" s="1115"/>
      <c r="AM2067" s="1115"/>
      <c r="AN2067" s="1115"/>
      <c r="AO2067" s="1115"/>
      <c r="AP2067" s="1115"/>
      <c r="AQ2067" s="1115"/>
      <c r="AR2067" s="1115"/>
      <c r="AS2067" s="1117"/>
      <c r="AT2067" s="1196" t="str">
        <f t="shared" si="428"/>
        <v>1-10</v>
      </c>
      <c r="AU2067" s="1193"/>
      <c r="AV2067" s="330">
        <f>SQRT(($R2067-Infrastructure!J$3)^2+($S2067-Infrastructure!K$3)^2)</f>
        <v>25.40944706</v>
      </c>
      <c r="AW2067" s="331">
        <f>SQRT(($R2067-Infrastructure!J$4)^2+($S2067-Infrastructure!K$4)^2)</f>
        <v>31.75862088</v>
      </c>
      <c r="AX2067" s="331">
        <f>SQRT(($R2067-Infrastructure!J$5)^2+($S2067-Infrastructure!K$5)^2)</f>
        <v>41.54708173</v>
      </c>
      <c r="AY2067" s="331">
        <f>SQRT(($R2067-Infrastructure!J$6)^2+($S2067-Infrastructure!K$6)^2)</f>
        <v>41.36568626</v>
      </c>
      <c r="AZ2067" s="331">
        <f>SQRT(($R2067-Infrastructure!J$7)^2+($S2067-Infrastructure!K$7)^2)</f>
        <v>39.46137352</v>
      </c>
      <c r="BA2067" s="331">
        <f>SQRT(($R2067-Infrastructure!J$8)^2+($S2067-Infrastructure!K$8)^2)</f>
        <v>40.08890121</v>
      </c>
      <c r="BB2067" s="331">
        <f>SQRT(($R2067-Infrastructure!J$9)^2+($S2067-Infrastructure!K$9)^2)</f>
        <v>38.68397601</v>
      </c>
      <c r="BC2067" s="331">
        <f>SQRT(($R2067-Infrastructure!J$10)^2+($S2067-Infrastructure!K$10)^2)</f>
        <v>30.15592811</v>
      </c>
      <c r="BD2067" s="331">
        <f>SQRT(($R2067-Infrastructure!J$11)^2+($S2067-Infrastructure!K$11)^2)</f>
        <v>20.51194774</v>
      </c>
      <c r="BE2067" s="333">
        <f>SQRT(($R2067-Infrastructure!J$12)^2+($S2067-Infrastructure!K$12)^2)</f>
        <v>15.84550409</v>
      </c>
      <c r="BF2067" s="330">
        <f t="shared" si="161"/>
        <v>15.84550409</v>
      </c>
      <c r="BG2067" s="333">
        <f t="shared" si="162"/>
        <v>41.54708173</v>
      </c>
      <c r="BH2067" s="1119"/>
      <c r="BI2067" s="319" t="str">
        <f t="shared" ref="BI2067:BR2067" si="985">IF(ISNUMBER(FIND(BI$3, $CO2067)), "Y", "")</f>
        <v>Y</v>
      </c>
      <c r="BJ2067" s="319" t="str">
        <f t="shared" si="985"/>
        <v/>
      </c>
      <c r="BK2067" s="319" t="str">
        <f t="shared" si="985"/>
        <v>Y</v>
      </c>
      <c r="BL2067" s="319" t="str">
        <f t="shared" si="985"/>
        <v>Y</v>
      </c>
      <c r="BM2067" s="319" t="str">
        <f t="shared" si="985"/>
        <v>Y</v>
      </c>
      <c r="BN2067" s="319" t="str">
        <f t="shared" si="985"/>
        <v>Y</v>
      </c>
      <c r="BO2067" s="319" t="str">
        <f t="shared" si="985"/>
        <v>Y</v>
      </c>
      <c r="BP2067" s="319" t="str">
        <f t="shared" si="985"/>
        <v/>
      </c>
      <c r="BQ2067" s="319" t="str">
        <f t="shared" si="985"/>
        <v>Y</v>
      </c>
      <c r="BR2067" s="319" t="str">
        <f t="shared" si="985"/>
        <v>Y</v>
      </c>
      <c r="BS2067" s="330">
        <f t="shared" si="185"/>
        <v>15.84550409</v>
      </c>
      <c r="BT2067" s="331">
        <f t="shared" si="170"/>
        <v>41.54708173</v>
      </c>
      <c r="BU2067" s="920">
        <v>0.3775</v>
      </c>
      <c r="BV2067" s="903">
        <f t="shared" si="186"/>
        <v>0.002847222222</v>
      </c>
      <c r="BW2067" s="908">
        <v>15.5</v>
      </c>
      <c r="BX2067" s="908">
        <v>37.1</v>
      </c>
      <c r="BY2067" s="331">
        <f t="shared" si="201"/>
        <v>7.655063684</v>
      </c>
      <c r="BZ2067" s="331"/>
      <c r="CA2067" s="462" t="str">
        <f t="shared" ref="CA2067:CJ2067" si="986">IF(ISNUMBER(FIND(BI$3, $CP2067)), "Y", "")</f>
        <v/>
      </c>
      <c r="CB2067" s="319" t="str">
        <f t="shared" si="986"/>
        <v/>
      </c>
      <c r="CC2067" s="319" t="str">
        <f t="shared" si="986"/>
        <v/>
      </c>
      <c r="CD2067" s="319" t="str">
        <f t="shared" si="986"/>
        <v/>
      </c>
      <c r="CE2067" s="319" t="str">
        <f t="shared" si="986"/>
        <v/>
      </c>
      <c r="CF2067" s="319" t="str">
        <f t="shared" si="986"/>
        <v/>
      </c>
      <c r="CG2067" s="319" t="str">
        <f t="shared" si="986"/>
        <v/>
      </c>
      <c r="CH2067" s="319" t="str">
        <f t="shared" si="986"/>
        <v/>
      </c>
      <c r="CI2067" s="319" t="str">
        <f t="shared" si="986"/>
        <v/>
      </c>
      <c r="CJ2067" s="319" t="str">
        <f t="shared" si="986"/>
        <v/>
      </c>
      <c r="CK2067" s="342">
        <f t="shared" si="182"/>
        <v>0</v>
      </c>
      <c r="CL2067" s="333">
        <f t="shared" si="183"/>
        <v>0</v>
      </c>
      <c r="CM2067" s="1079"/>
      <c r="CN2067" s="1005" t="s">
        <v>3080</v>
      </c>
      <c r="CO2067" s="1005" t="s">
        <v>2460</v>
      </c>
      <c r="CP2067" s="1005"/>
    </row>
    <row r="2068">
      <c r="A2068" s="266"/>
      <c r="B2068" s="1113" t="s">
        <v>3053</v>
      </c>
      <c r="C2068" s="1107">
        <v>45590.0</v>
      </c>
      <c r="D2068" s="1113" t="s">
        <v>986</v>
      </c>
      <c r="E2068" s="1108" t="s">
        <v>1859</v>
      </c>
      <c r="F2068" s="112" t="s">
        <v>3081</v>
      </c>
      <c r="G2068" s="1110">
        <v>0.4212962962962963</v>
      </c>
      <c r="H2068" s="1110">
        <v>0.42170138888888886</v>
      </c>
      <c r="I2068" s="1110"/>
      <c r="J2068" s="1111"/>
      <c r="K2068" s="1111">
        <v>0.4638888888888889</v>
      </c>
      <c r="L2068" s="1112">
        <v>0.0421875</v>
      </c>
      <c r="M2068" s="1113" t="s">
        <v>166</v>
      </c>
      <c r="N2068" s="110" t="s">
        <v>187</v>
      </c>
      <c r="O2068" s="1115" t="s">
        <v>204</v>
      </c>
      <c r="P2068" s="1115" t="s">
        <v>260</v>
      </c>
      <c r="Q2068" s="1116"/>
      <c r="R2068" s="120">
        <v>18.6</v>
      </c>
      <c r="S2068" s="1113">
        <v>4.4</v>
      </c>
      <c r="T2068" s="110">
        <v>2.5</v>
      </c>
      <c r="U2068" s="1108">
        <v>0.4</v>
      </c>
      <c r="V2068" s="1108"/>
      <c r="W2068" s="1108"/>
      <c r="X2068" s="1108"/>
      <c r="Y2068" s="1108"/>
      <c r="Z2068" s="1114" t="s">
        <v>365</v>
      </c>
      <c r="AA2068" s="1114"/>
      <c r="AB2068" s="1114" t="s">
        <v>380</v>
      </c>
      <c r="AC2068" s="1117">
        <v>4.0</v>
      </c>
      <c r="AD2068" s="1115"/>
      <c r="AE2068" s="1115"/>
      <c r="AF2068" s="1115"/>
      <c r="AG2068" s="1115"/>
      <c r="AH2068" s="1115"/>
      <c r="AI2068" s="1115"/>
      <c r="AJ2068" s="1117"/>
      <c r="AK2068" s="1118"/>
      <c r="AL2068" s="1115"/>
      <c r="AM2068" s="1115"/>
      <c r="AN2068" s="1115"/>
      <c r="AO2068" s="1115"/>
      <c r="AP2068" s="1115"/>
      <c r="AQ2068" s="1115"/>
      <c r="AR2068" s="1115"/>
      <c r="AS2068" s="1117"/>
      <c r="AT2068" s="1196" t="str">
        <f t="shared" si="428"/>
        <v>0-1</v>
      </c>
      <c r="AU2068" s="1193"/>
      <c r="AV2068" s="330">
        <f>SQRT(($R2068-Infrastructure!J$3)^2+($S2068-Infrastructure!K$3)^2)</f>
        <v>30.94285055</v>
      </c>
      <c r="AW2068" s="331">
        <f>SQRT(($R2068-Infrastructure!J$4)^2+($S2068-Infrastructure!K$4)^2)</f>
        <v>23.1682973</v>
      </c>
      <c r="AX2068" s="331">
        <f>SQRT(($R2068-Infrastructure!J$5)^2+($S2068-Infrastructure!K$5)^2)</f>
        <v>18.91295852</v>
      </c>
      <c r="AY2068" s="331">
        <f>SQRT(($R2068-Infrastructure!J$6)^2+($S2068-Infrastructure!K$6)^2)</f>
        <v>9.43716059</v>
      </c>
      <c r="AZ2068" s="331">
        <f>SQRT(($R2068-Infrastructure!J$7)^2+($S2068-Infrastructure!K$7)^2)</f>
        <v>4.518849411</v>
      </c>
      <c r="BA2068" s="331">
        <f>SQRT(($R2068-Infrastructure!J$8)^2+($S2068-Infrastructure!K$8)^2)</f>
        <v>12.20901306</v>
      </c>
      <c r="BB2068" s="331">
        <f>SQRT(($R2068-Infrastructure!J$9)^2+($S2068-Infrastructure!K$9)^2)</f>
        <v>21.41144554</v>
      </c>
      <c r="BC2068" s="331">
        <f>SQRT(($R2068-Infrastructure!J$10)^2+($S2068-Infrastructure!K$10)^2)</f>
        <v>23.88137349</v>
      </c>
      <c r="BD2068" s="331">
        <f>SQRT(($R2068-Infrastructure!J$11)^2+($S2068-Infrastructure!K$11)^2)</f>
        <v>32.73713488</v>
      </c>
      <c r="BE2068" s="333">
        <f>SQRT(($R2068-Infrastructure!J$12)^2+($S2068-Infrastructure!K$12)^2)</f>
        <v>51.18222348</v>
      </c>
      <c r="BF2068" s="330">
        <f t="shared" si="161"/>
        <v>4.518849411</v>
      </c>
      <c r="BG2068" s="333">
        <f t="shared" si="162"/>
        <v>51.18222348</v>
      </c>
      <c r="BH2068" s="1119"/>
      <c r="BI2068" s="319" t="str">
        <f t="shared" ref="BI2068:BR2068" si="987">IF(ISNUMBER(FIND(BI$3, $CO2068)), "Y", "")</f>
        <v/>
      </c>
      <c r="BJ2068" s="319" t="str">
        <f t="shared" si="987"/>
        <v/>
      </c>
      <c r="BK2068" s="319" t="str">
        <f t="shared" si="987"/>
        <v/>
      </c>
      <c r="BL2068" s="319" t="str">
        <f t="shared" si="987"/>
        <v/>
      </c>
      <c r="BM2068" s="319" t="str">
        <f t="shared" si="987"/>
        <v/>
      </c>
      <c r="BN2068" s="319" t="str">
        <f t="shared" si="987"/>
        <v/>
      </c>
      <c r="BO2068" s="319" t="str">
        <f t="shared" si="987"/>
        <v/>
      </c>
      <c r="BP2068" s="319" t="str">
        <f t="shared" si="987"/>
        <v/>
      </c>
      <c r="BQ2068" s="319" t="str">
        <f t="shared" si="987"/>
        <v/>
      </c>
      <c r="BR2068" s="319" t="str">
        <f t="shared" si="987"/>
        <v/>
      </c>
      <c r="BS2068" s="330">
        <f t="shared" si="185"/>
        <v>0</v>
      </c>
      <c r="BT2068" s="331">
        <f t="shared" si="170"/>
        <v>0</v>
      </c>
      <c r="BU2068" s="920">
        <v>0.421875</v>
      </c>
      <c r="BV2068" s="903">
        <f t="shared" si="186"/>
        <v>0.0005787037037</v>
      </c>
      <c r="BW2068" s="908">
        <v>16.7</v>
      </c>
      <c r="BX2068" s="908">
        <v>24.6</v>
      </c>
      <c r="BY2068" s="331">
        <f t="shared" si="201"/>
        <v>20.28915967</v>
      </c>
      <c r="BZ2068" s="331"/>
      <c r="CA2068" s="462" t="str">
        <f t="shared" ref="CA2068:CJ2068" si="988">IF(ISNUMBER(FIND(BI$3, $CP2068)), "Y", "")</f>
        <v/>
      </c>
      <c r="CB2068" s="319" t="str">
        <f t="shared" si="988"/>
        <v/>
      </c>
      <c r="CC2068" s="319" t="str">
        <f t="shared" si="988"/>
        <v/>
      </c>
      <c r="CD2068" s="319" t="str">
        <f t="shared" si="988"/>
        <v/>
      </c>
      <c r="CE2068" s="319" t="str">
        <f t="shared" si="988"/>
        <v/>
      </c>
      <c r="CF2068" s="319" t="str">
        <f t="shared" si="988"/>
        <v/>
      </c>
      <c r="CG2068" s="319" t="str">
        <f t="shared" si="988"/>
        <v/>
      </c>
      <c r="CH2068" s="319" t="str">
        <f t="shared" si="988"/>
        <v/>
      </c>
      <c r="CI2068" s="319" t="str">
        <f t="shared" si="988"/>
        <v/>
      </c>
      <c r="CJ2068" s="319" t="str">
        <f t="shared" si="988"/>
        <v/>
      </c>
      <c r="CK2068" s="342">
        <f t="shared" si="182"/>
        <v>0</v>
      </c>
      <c r="CL2068" s="333">
        <f t="shared" si="183"/>
        <v>0</v>
      </c>
      <c r="CM2068" s="1079"/>
      <c r="CN2068" s="1005" t="s">
        <v>3080</v>
      </c>
      <c r="CO2068" s="1005"/>
      <c r="CP2068" s="1005"/>
    </row>
    <row r="2069">
      <c r="A2069" s="266"/>
      <c r="B2069" s="1113" t="s">
        <v>3053</v>
      </c>
      <c r="C2069" s="1107">
        <v>45590.0</v>
      </c>
      <c r="D2069" s="1113" t="s">
        <v>986</v>
      </c>
      <c r="E2069" s="1108" t="s">
        <v>1880</v>
      </c>
      <c r="F2069" s="112" t="s">
        <v>3082</v>
      </c>
      <c r="G2069" s="1110">
        <v>0.4354166666666667</v>
      </c>
      <c r="H2069" s="1110">
        <v>0.43559027777777776</v>
      </c>
      <c r="I2069" s="1110"/>
      <c r="J2069" s="1111"/>
      <c r="K2069" s="1111">
        <v>0.46394675925925927</v>
      </c>
      <c r="L2069" s="1112">
        <v>0.028356481481481483</v>
      </c>
      <c r="M2069" s="1113" t="s">
        <v>166</v>
      </c>
      <c r="N2069" s="110" t="s">
        <v>187</v>
      </c>
      <c r="O2069" s="1115" t="s">
        <v>203</v>
      </c>
      <c r="P2069" s="1115" t="s">
        <v>279</v>
      </c>
      <c r="Q2069" s="1116"/>
      <c r="R2069" s="120">
        <v>14.6</v>
      </c>
      <c r="S2069" s="1113">
        <v>3.5</v>
      </c>
      <c r="T2069" s="110">
        <v>0.2</v>
      </c>
      <c r="U2069" s="1108">
        <v>0.25</v>
      </c>
      <c r="V2069" s="1108"/>
      <c r="W2069" s="1108"/>
      <c r="X2069" s="1108"/>
      <c r="Y2069" s="1108"/>
      <c r="Z2069" s="1114" t="s">
        <v>357</v>
      </c>
      <c r="AA2069" s="1114"/>
      <c r="AB2069" s="1114" t="s">
        <v>279</v>
      </c>
      <c r="AC2069" s="1117">
        <v>10.0</v>
      </c>
      <c r="AD2069" s="1115"/>
      <c r="AE2069" s="1115"/>
      <c r="AF2069" s="1115"/>
      <c r="AG2069" s="1115"/>
      <c r="AH2069" s="1115"/>
      <c r="AI2069" s="1115"/>
      <c r="AJ2069" s="1117"/>
      <c r="AK2069" s="1118"/>
      <c r="AL2069" s="1115"/>
      <c r="AM2069" s="1115"/>
      <c r="AN2069" s="1115"/>
      <c r="AO2069" s="1115"/>
      <c r="AP2069" s="1115"/>
      <c r="AQ2069" s="1115"/>
      <c r="AR2069" s="1115"/>
      <c r="AS2069" s="1117"/>
      <c r="AT2069" s="1196" t="str">
        <f t="shared" si="428"/>
        <v>0-1</v>
      </c>
      <c r="AU2069" s="1193"/>
      <c r="AV2069" s="330">
        <f>SQRT(($R2069-Infrastructure!J$3)^2+($S2069-Infrastructure!K$3)^2)</f>
        <v>29.44775034</v>
      </c>
      <c r="AW2069" s="331">
        <f>SQRT(($R2069-Infrastructure!J$4)^2+($S2069-Infrastructure!K$4)^2)</f>
        <v>20.65187643</v>
      </c>
      <c r="AX2069" s="331">
        <f>SQRT(($R2069-Infrastructure!J$5)^2+($S2069-Infrastructure!K$5)^2)</f>
        <v>14.98565981</v>
      </c>
      <c r="AY2069" s="331">
        <f>SQRT(($R2069-Infrastructure!J$6)^2+($S2069-Infrastructure!K$6)^2)</f>
        <v>5.521775077</v>
      </c>
      <c r="AZ2069" s="331">
        <f>SQRT(($R2069-Infrastructure!J$7)^2+($S2069-Infrastructure!K$7)^2)</f>
        <v>6.711929678</v>
      </c>
      <c r="BA2069" s="331">
        <f>SQRT(($R2069-Infrastructure!J$8)^2+($S2069-Infrastructure!K$8)^2)</f>
        <v>15.82687588</v>
      </c>
      <c r="BB2069" s="331">
        <f>SQRT(($R2069-Infrastructure!J$9)^2+($S2069-Infrastructure!K$9)^2)</f>
        <v>25.45034381</v>
      </c>
      <c r="BC2069" s="331">
        <f>SQRT(($R2069-Infrastructure!J$10)^2+($S2069-Infrastructure!K$10)^2)</f>
        <v>27.88207309</v>
      </c>
      <c r="BD2069" s="331">
        <f>SQRT(($R2069-Infrastructure!J$11)^2+($S2069-Infrastructure!K$11)^2)</f>
        <v>36.13322571</v>
      </c>
      <c r="BE2069" s="333">
        <f>SQRT(($R2069-Infrastructure!J$12)^2+($S2069-Infrastructure!K$12)^2)</f>
        <v>52.45579091</v>
      </c>
      <c r="BF2069" s="330">
        <f t="shared" si="161"/>
        <v>5.521775077</v>
      </c>
      <c r="BG2069" s="333">
        <f t="shared" si="162"/>
        <v>52.45579091</v>
      </c>
      <c r="BH2069" s="1119"/>
      <c r="BI2069" s="319" t="str">
        <f t="shared" ref="BI2069:BR2069" si="989">IF(ISNUMBER(FIND(BI$3, $CO2069)), "Y", "")</f>
        <v/>
      </c>
      <c r="BJ2069" s="319" t="str">
        <f t="shared" si="989"/>
        <v/>
      </c>
      <c r="BK2069" s="319" t="str">
        <f t="shared" si="989"/>
        <v>Y</v>
      </c>
      <c r="BL2069" s="319" t="str">
        <f t="shared" si="989"/>
        <v>Y</v>
      </c>
      <c r="BM2069" s="319" t="str">
        <f t="shared" si="989"/>
        <v>Y</v>
      </c>
      <c r="BN2069" s="319" t="str">
        <f t="shared" si="989"/>
        <v>Y</v>
      </c>
      <c r="BO2069" s="319" t="str">
        <f t="shared" si="989"/>
        <v>Y</v>
      </c>
      <c r="BP2069" s="319" t="str">
        <f t="shared" si="989"/>
        <v/>
      </c>
      <c r="BQ2069" s="319" t="str">
        <f t="shared" si="989"/>
        <v/>
      </c>
      <c r="BR2069" s="319" t="str">
        <f t="shared" si="989"/>
        <v/>
      </c>
      <c r="BS2069" s="330">
        <f t="shared" si="185"/>
        <v>5.521775077</v>
      </c>
      <c r="BT2069" s="331">
        <f t="shared" si="170"/>
        <v>25.45034381</v>
      </c>
      <c r="BU2069" s="920">
        <v>0.4354513888888889</v>
      </c>
      <c r="BV2069" s="903">
        <f t="shared" si="186"/>
        <v>0.00003472222222</v>
      </c>
      <c r="BW2069" s="908">
        <v>16.2</v>
      </c>
      <c r="BX2069" s="908">
        <v>11.6</v>
      </c>
      <c r="BY2069" s="331">
        <f t="shared" si="201"/>
        <v>8.256512581</v>
      </c>
      <c r="BZ2069" s="331"/>
      <c r="CA2069" s="462" t="str">
        <f t="shared" ref="CA2069:CJ2069" si="990">IF(ISNUMBER(FIND(BI$3, $CP2069)), "Y", "")</f>
        <v/>
      </c>
      <c r="CB2069" s="319" t="str">
        <f t="shared" si="990"/>
        <v/>
      </c>
      <c r="CC2069" s="319" t="str">
        <f t="shared" si="990"/>
        <v/>
      </c>
      <c r="CD2069" s="319" t="str">
        <f t="shared" si="990"/>
        <v/>
      </c>
      <c r="CE2069" s="319" t="str">
        <f t="shared" si="990"/>
        <v/>
      </c>
      <c r="CF2069" s="319" t="str">
        <f t="shared" si="990"/>
        <v/>
      </c>
      <c r="CG2069" s="319" t="str">
        <f t="shared" si="990"/>
        <v/>
      </c>
      <c r="CH2069" s="319" t="str">
        <f t="shared" si="990"/>
        <v/>
      </c>
      <c r="CI2069" s="319" t="str">
        <f t="shared" si="990"/>
        <v/>
      </c>
      <c r="CJ2069" s="319" t="str">
        <f t="shared" si="990"/>
        <v/>
      </c>
      <c r="CK2069" s="342">
        <f t="shared" si="182"/>
        <v>0</v>
      </c>
      <c r="CL2069" s="333">
        <f t="shared" si="183"/>
        <v>0</v>
      </c>
      <c r="CM2069" s="1079"/>
      <c r="CN2069" s="1005" t="s">
        <v>3080</v>
      </c>
      <c r="CO2069" s="1005" t="s">
        <v>2619</v>
      </c>
      <c r="CP2069" s="1005"/>
    </row>
    <row r="2070">
      <c r="A2070" s="266"/>
      <c r="B2070" s="1113" t="s">
        <v>3053</v>
      </c>
      <c r="C2070" s="1107">
        <v>45590.0</v>
      </c>
      <c r="D2070" s="1113" t="s">
        <v>986</v>
      </c>
      <c r="E2070" s="1108">
        <v>17.0</v>
      </c>
      <c r="F2070" s="112" t="s">
        <v>3083</v>
      </c>
      <c r="G2070" s="1110">
        <v>0.48703703703703705</v>
      </c>
      <c r="H2070" s="1110">
        <v>0.4877314814814815</v>
      </c>
      <c r="I2070" s="1110"/>
      <c r="J2070" s="1111"/>
      <c r="K2070" s="1111">
        <v>0.517824074074074</v>
      </c>
      <c r="L2070" s="1112">
        <v>0.03009259259259259</v>
      </c>
      <c r="M2070" s="1113" t="s">
        <v>166</v>
      </c>
      <c r="N2070" s="110" t="s">
        <v>188</v>
      </c>
      <c r="O2070" s="1115" t="s">
        <v>378</v>
      </c>
      <c r="P2070" s="1115" t="s">
        <v>217</v>
      </c>
      <c r="Q2070" s="1116"/>
      <c r="R2070" s="120">
        <v>22.7</v>
      </c>
      <c r="S2070" s="1113">
        <v>39.7</v>
      </c>
      <c r="T2070" s="110">
        <v>1.82</v>
      </c>
      <c r="U2070" s="1108">
        <v>3.2</v>
      </c>
      <c r="V2070" s="1108"/>
      <c r="W2070" s="1108"/>
      <c r="X2070" s="1108"/>
      <c r="Y2070" s="1108"/>
      <c r="Z2070" s="1114" t="s">
        <v>1140</v>
      </c>
      <c r="AA2070" s="1114"/>
      <c r="AB2070" s="1114" t="s">
        <v>407</v>
      </c>
      <c r="AC2070" s="1117">
        <v>15.75</v>
      </c>
      <c r="AD2070" s="1115"/>
      <c r="AE2070" s="1115"/>
      <c r="AF2070" s="1115"/>
      <c r="AG2070" s="1115"/>
      <c r="AH2070" s="1115"/>
      <c r="AI2070" s="1115"/>
      <c r="AJ2070" s="1117"/>
      <c r="AK2070" s="1118"/>
      <c r="AL2070" s="1115"/>
      <c r="AM2070" s="1115"/>
      <c r="AN2070" s="1115"/>
      <c r="AO2070" s="1115"/>
      <c r="AP2070" s="1115"/>
      <c r="AQ2070" s="1115"/>
      <c r="AR2070" s="1115"/>
      <c r="AS2070" s="1117"/>
      <c r="AT2070" s="1196" t="str">
        <f t="shared" si="428"/>
        <v>1-10</v>
      </c>
      <c r="AU2070" s="1193"/>
      <c r="AV2070" s="330">
        <f>SQRT(($R2070-Infrastructure!J$3)^2+($S2070-Infrastructure!K$3)^2)</f>
        <v>25.40944706</v>
      </c>
      <c r="AW2070" s="331">
        <f>SQRT(($R2070-Infrastructure!J$4)^2+($S2070-Infrastructure!K$4)^2)</f>
        <v>31.75862088</v>
      </c>
      <c r="AX2070" s="331">
        <f>SQRT(($R2070-Infrastructure!J$5)^2+($S2070-Infrastructure!K$5)^2)</f>
        <v>41.54708173</v>
      </c>
      <c r="AY2070" s="331">
        <f>SQRT(($R2070-Infrastructure!J$6)^2+($S2070-Infrastructure!K$6)^2)</f>
        <v>41.36568626</v>
      </c>
      <c r="AZ2070" s="331">
        <f>SQRT(($R2070-Infrastructure!J$7)^2+($S2070-Infrastructure!K$7)^2)</f>
        <v>39.46137352</v>
      </c>
      <c r="BA2070" s="331">
        <f>SQRT(($R2070-Infrastructure!J$8)^2+($S2070-Infrastructure!K$8)^2)</f>
        <v>40.08890121</v>
      </c>
      <c r="BB2070" s="331">
        <f>SQRT(($R2070-Infrastructure!J$9)^2+($S2070-Infrastructure!K$9)^2)</f>
        <v>38.68397601</v>
      </c>
      <c r="BC2070" s="331">
        <f>SQRT(($R2070-Infrastructure!J$10)^2+($S2070-Infrastructure!K$10)^2)</f>
        <v>30.15592811</v>
      </c>
      <c r="BD2070" s="331">
        <f>SQRT(($R2070-Infrastructure!J$11)^2+($S2070-Infrastructure!K$11)^2)</f>
        <v>20.51194774</v>
      </c>
      <c r="BE2070" s="333">
        <f>SQRT(($R2070-Infrastructure!J$12)^2+($S2070-Infrastructure!K$12)^2)</f>
        <v>15.84550409</v>
      </c>
      <c r="BF2070" s="330">
        <f t="shared" si="161"/>
        <v>15.84550409</v>
      </c>
      <c r="BG2070" s="333">
        <f t="shared" si="162"/>
        <v>41.54708173</v>
      </c>
      <c r="BH2070" s="1119"/>
      <c r="BI2070" s="319" t="str">
        <f t="shared" ref="BI2070:BR2070" si="991">IF(ISNUMBER(FIND(BI$3, $CO2070)), "Y", "")</f>
        <v>Y</v>
      </c>
      <c r="BJ2070" s="319" t="str">
        <f t="shared" si="991"/>
        <v/>
      </c>
      <c r="BK2070" s="319" t="str">
        <f t="shared" si="991"/>
        <v>Y</v>
      </c>
      <c r="BL2070" s="319" t="str">
        <f t="shared" si="991"/>
        <v/>
      </c>
      <c r="BM2070" s="319" t="str">
        <f t="shared" si="991"/>
        <v/>
      </c>
      <c r="BN2070" s="319" t="str">
        <f t="shared" si="991"/>
        <v/>
      </c>
      <c r="BO2070" s="319" t="str">
        <f t="shared" si="991"/>
        <v/>
      </c>
      <c r="BP2070" s="319" t="str">
        <f t="shared" si="991"/>
        <v/>
      </c>
      <c r="BQ2070" s="319" t="str">
        <f t="shared" si="991"/>
        <v>Y</v>
      </c>
      <c r="BR2070" s="319" t="str">
        <f t="shared" si="991"/>
        <v>Y</v>
      </c>
      <c r="BS2070" s="330">
        <f t="shared" si="185"/>
        <v>15.84550409</v>
      </c>
      <c r="BT2070" s="331">
        <f t="shared" si="170"/>
        <v>41.54708173</v>
      </c>
      <c r="BU2070" s="920">
        <v>0.4940509259259259</v>
      </c>
      <c r="BV2070" s="903">
        <f t="shared" si="186"/>
        <v>0.007013888889</v>
      </c>
      <c r="BW2070" s="908">
        <v>16.7</v>
      </c>
      <c r="BX2070" s="908">
        <v>38.6</v>
      </c>
      <c r="BY2070" s="331">
        <f t="shared" si="201"/>
        <v>6.1</v>
      </c>
      <c r="BZ2070" s="331"/>
      <c r="CA2070" s="462" t="str">
        <f t="shared" ref="CA2070:CJ2070" si="992">IF(ISNUMBER(FIND(BI$3, $CP2070)), "Y", "")</f>
        <v/>
      </c>
      <c r="CB2070" s="319" t="str">
        <f t="shared" si="992"/>
        <v/>
      </c>
      <c r="CC2070" s="319" t="str">
        <f t="shared" si="992"/>
        <v/>
      </c>
      <c r="CD2070" s="319" t="str">
        <f t="shared" si="992"/>
        <v/>
      </c>
      <c r="CE2070" s="319" t="str">
        <f t="shared" si="992"/>
        <v/>
      </c>
      <c r="CF2070" s="319" t="str">
        <f t="shared" si="992"/>
        <v/>
      </c>
      <c r="CG2070" s="319" t="str">
        <f t="shared" si="992"/>
        <v/>
      </c>
      <c r="CH2070" s="319" t="str">
        <f t="shared" si="992"/>
        <v/>
      </c>
      <c r="CI2070" s="319" t="str">
        <f t="shared" si="992"/>
        <v/>
      </c>
      <c r="CJ2070" s="319" t="str">
        <f t="shared" si="992"/>
        <v/>
      </c>
      <c r="CK2070" s="342">
        <f t="shared" si="182"/>
        <v>0</v>
      </c>
      <c r="CL2070" s="333">
        <f t="shared" si="183"/>
        <v>0</v>
      </c>
      <c r="CM2070" s="1079"/>
      <c r="CN2070" s="1005" t="s">
        <v>3080</v>
      </c>
      <c r="CO2070" s="1005" t="s">
        <v>2531</v>
      </c>
      <c r="CP2070" s="1005"/>
    </row>
    <row r="2071">
      <c r="A2071" s="266"/>
      <c r="B2071" s="1113" t="s">
        <v>3053</v>
      </c>
      <c r="C2071" s="1107">
        <v>45590.0</v>
      </c>
      <c r="D2071" s="1113" t="s">
        <v>986</v>
      </c>
      <c r="E2071" s="1108">
        <v>18.0</v>
      </c>
      <c r="F2071" s="112" t="s">
        <v>3084</v>
      </c>
      <c r="G2071" s="1110">
        <v>0.5760416666666667</v>
      </c>
      <c r="H2071" s="1110">
        <v>0.5764467592592593</v>
      </c>
      <c r="I2071" s="1110"/>
      <c r="J2071" s="1111"/>
      <c r="K2071" s="1111">
        <v>0.6048611111111111</v>
      </c>
      <c r="L2071" s="1112">
        <v>0.02841435185185185</v>
      </c>
      <c r="M2071" s="1113" t="s">
        <v>166</v>
      </c>
      <c r="N2071" s="110" t="s">
        <v>187</v>
      </c>
      <c r="O2071" s="1115" t="s">
        <v>202</v>
      </c>
      <c r="P2071" s="1115" t="s">
        <v>272</v>
      </c>
      <c r="Q2071" s="1116"/>
      <c r="R2071" s="120">
        <v>24.4</v>
      </c>
      <c r="S2071" s="1113">
        <v>7.5</v>
      </c>
      <c r="T2071" s="110">
        <v>0.57</v>
      </c>
      <c r="U2071" s="1108">
        <v>0.45</v>
      </c>
      <c r="V2071" s="1108"/>
      <c r="W2071" s="1108"/>
      <c r="X2071" s="1108"/>
      <c r="Y2071" s="1108"/>
      <c r="Z2071" s="1114" t="s">
        <v>339</v>
      </c>
      <c r="AA2071" s="1114"/>
      <c r="AB2071" s="1114" t="s">
        <v>392</v>
      </c>
      <c r="AC2071" s="1117">
        <v>10.0</v>
      </c>
      <c r="AD2071" s="1115"/>
      <c r="AE2071" s="1115"/>
      <c r="AF2071" s="1115"/>
      <c r="AG2071" s="1115"/>
      <c r="AH2071" s="1115"/>
      <c r="AI2071" s="1115"/>
      <c r="AJ2071" s="1117"/>
      <c r="AK2071" s="1118"/>
      <c r="AL2071" s="1115"/>
      <c r="AM2071" s="1115"/>
      <c r="AN2071" s="1115"/>
      <c r="AO2071" s="1115"/>
      <c r="AP2071" s="1115"/>
      <c r="AQ2071" s="1115"/>
      <c r="AR2071" s="1115"/>
      <c r="AS2071" s="1117"/>
      <c r="AT2071" s="1196" t="str">
        <f t="shared" si="428"/>
        <v>0-1</v>
      </c>
      <c r="AU2071" s="1193"/>
      <c r="AV2071" s="330">
        <f>SQRT(($R2071-Infrastructure!J$3)^2+($S2071-Infrastructure!K$3)^2)</f>
        <v>32.68103426</v>
      </c>
      <c r="AW2071" s="331">
        <f>SQRT(($R2071-Infrastructure!J$4)^2+($S2071-Infrastructure!K$4)^2)</f>
        <v>26.76153957</v>
      </c>
      <c r="AX2071" s="331">
        <f>SQRT(($R2071-Infrastructure!J$5)^2+($S2071-Infrastructure!K$5)^2)</f>
        <v>24.81632527</v>
      </c>
      <c r="AY2071" s="331">
        <f>SQRT(($R2071-Infrastructure!J$6)^2+($S2071-Infrastructure!K$6)^2)</f>
        <v>16.01030918</v>
      </c>
      <c r="AZ2071" s="331">
        <f>SQRT(($R2071-Infrastructure!J$7)^2+($S2071-Infrastructure!K$7)^2)</f>
        <v>8.188406438</v>
      </c>
      <c r="BA2071" s="331">
        <f>SQRT(($R2071-Infrastructure!J$8)^2+($S2071-Infrastructure!K$8)^2)</f>
        <v>9.183136719</v>
      </c>
      <c r="BB2071" s="331">
        <f>SQRT(($R2071-Infrastructure!J$9)^2+($S2071-Infrastructure!K$9)^2)</f>
        <v>15.78353573</v>
      </c>
      <c r="BC2071" s="331">
        <f>SQRT(($R2071-Infrastructure!J$10)^2+($S2071-Infrastructure!K$10)^2)</f>
        <v>17.30924608</v>
      </c>
      <c r="BD2071" s="331">
        <f>SQRT(($R2071-Infrastructure!J$11)^2+($S2071-Infrastructure!K$11)^2)</f>
        <v>26.68126684</v>
      </c>
      <c r="BE2071" s="333">
        <f>SQRT(($R2071-Infrastructure!J$12)^2+($S2071-Infrastructure!K$12)^2)</f>
        <v>48.08752437</v>
      </c>
      <c r="BF2071" s="330">
        <f t="shared" si="161"/>
        <v>8.188406438</v>
      </c>
      <c r="BG2071" s="333">
        <f t="shared" si="162"/>
        <v>48.08752437</v>
      </c>
      <c r="BH2071" s="1119"/>
      <c r="BI2071" s="319" t="str">
        <f t="shared" ref="BI2071:BR2071" si="993">IF(ISNUMBER(FIND(BI$3, $CO2071)), "Y", "")</f>
        <v/>
      </c>
      <c r="BJ2071" s="319" t="str">
        <f t="shared" si="993"/>
        <v/>
      </c>
      <c r="BK2071" s="319" t="str">
        <f t="shared" si="993"/>
        <v/>
      </c>
      <c r="BL2071" s="319" t="str">
        <f t="shared" si="993"/>
        <v/>
      </c>
      <c r="BM2071" s="319" t="str">
        <f t="shared" si="993"/>
        <v/>
      </c>
      <c r="BN2071" s="319" t="str">
        <f t="shared" si="993"/>
        <v/>
      </c>
      <c r="BO2071" s="319" t="str">
        <f t="shared" si="993"/>
        <v/>
      </c>
      <c r="BP2071" s="319" t="str">
        <f t="shared" si="993"/>
        <v/>
      </c>
      <c r="BQ2071" s="319" t="str">
        <f t="shared" si="993"/>
        <v/>
      </c>
      <c r="BR2071" s="319" t="str">
        <f t="shared" si="993"/>
        <v/>
      </c>
      <c r="BS2071" s="330">
        <f t="shared" si="185"/>
        <v>0</v>
      </c>
      <c r="BT2071" s="331">
        <f t="shared" si="170"/>
        <v>0</v>
      </c>
      <c r="BU2071" s="920"/>
      <c r="BV2071" s="903" t="str">
        <f t="shared" si="186"/>
        <v/>
      </c>
      <c r="BW2071" s="908"/>
      <c r="BX2071" s="908"/>
      <c r="BY2071" s="331" t="b">
        <f t="shared" si="201"/>
        <v>0</v>
      </c>
      <c r="BZ2071" s="331"/>
      <c r="CA2071" s="462" t="str">
        <f t="shared" ref="CA2071:CJ2071" si="994">IF(ISNUMBER(FIND(BI$3, $CP2071)), "Y", "")</f>
        <v/>
      </c>
      <c r="CB2071" s="319" t="str">
        <f t="shared" si="994"/>
        <v/>
      </c>
      <c r="CC2071" s="319" t="str">
        <f t="shared" si="994"/>
        <v/>
      </c>
      <c r="CD2071" s="319" t="str">
        <f t="shared" si="994"/>
        <v/>
      </c>
      <c r="CE2071" s="319" t="str">
        <f t="shared" si="994"/>
        <v/>
      </c>
      <c r="CF2071" s="319" t="str">
        <f t="shared" si="994"/>
        <v/>
      </c>
      <c r="CG2071" s="319" t="str">
        <f t="shared" si="994"/>
        <v/>
      </c>
      <c r="CH2071" s="319" t="str">
        <f t="shared" si="994"/>
        <v/>
      </c>
      <c r="CI2071" s="319" t="str">
        <f t="shared" si="994"/>
        <v/>
      </c>
      <c r="CJ2071" s="319" t="str">
        <f t="shared" si="994"/>
        <v/>
      </c>
      <c r="CK2071" s="342">
        <f t="shared" si="182"/>
        <v>0</v>
      </c>
      <c r="CL2071" s="333">
        <f t="shared" si="183"/>
        <v>0</v>
      </c>
      <c r="CM2071" s="1079"/>
      <c r="CN2071" s="1005" t="s">
        <v>3085</v>
      </c>
      <c r="CO2071" s="1005"/>
      <c r="CP2071" s="1005"/>
    </row>
    <row r="2072">
      <c r="A2072" s="266"/>
      <c r="B2072" s="1113" t="s">
        <v>3053</v>
      </c>
      <c r="C2072" s="1107">
        <v>45590.0</v>
      </c>
      <c r="D2072" s="1113" t="s">
        <v>986</v>
      </c>
      <c r="E2072" s="1108">
        <v>19.0</v>
      </c>
      <c r="F2072" s="112" t="s">
        <v>3086</v>
      </c>
      <c r="G2072" s="1110">
        <v>0.6243055555555556</v>
      </c>
      <c r="H2072" s="1110">
        <v>0.6246527777777777</v>
      </c>
      <c r="I2072" s="1110"/>
      <c r="J2072" s="1111"/>
      <c r="K2072" s="1111">
        <v>0.6527777777777778</v>
      </c>
      <c r="L2072" s="1112">
        <v>0.028125</v>
      </c>
      <c r="M2072" s="1113" t="s">
        <v>166</v>
      </c>
      <c r="N2072" s="110" t="s">
        <v>187</v>
      </c>
      <c r="O2072" s="1115" t="s">
        <v>2807</v>
      </c>
      <c r="P2072" s="1115" t="s">
        <v>279</v>
      </c>
      <c r="Q2072" s="1116"/>
      <c r="R2072" s="120">
        <v>6.5</v>
      </c>
      <c r="S2072" s="1113">
        <v>6.9</v>
      </c>
      <c r="T2072" s="110">
        <v>0.55</v>
      </c>
      <c r="U2072" s="1108">
        <v>0.3</v>
      </c>
      <c r="V2072" s="1108"/>
      <c r="W2072" s="1108"/>
      <c r="X2072" s="1108"/>
      <c r="Y2072" s="1108"/>
      <c r="Z2072" s="1114" t="s">
        <v>339</v>
      </c>
      <c r="AA2072" s="1114"/>
      <c r="AB2072" s="1114" t="s">
        <v>279</v>
      </c>
      <c r="AC2072" s="1117">
        <v>10.0</v>
      </c>
      <c r="AD2072" s="1115"/>
      <c r="AE2072" s="1115"/>
      <c r="AF2072" s="1115"/>
      <c r="AG2072" s="1115"/>
      <c r="AH2072" s="1115"/>
      <c r="AI2072" s="1115"/>
      <c r="AJ2072" s="1117"/>
      <c r="AK2072" s="1118"/>
      <c r="AL2072" s="1115"/>
      <c r="AM2072" s="1115"/>
      <c r="AN2072" s="1115"/>
      <c r="AO2072" s="1115"/>
      <c r="AP2072" s="1115"/>
      <c r="AQ2072" s="1115"/>
      <c r="AR2072" s="1115"/>
      <c r="AS2072" s="1117"/>
      <c r="AT2072" s="1196" t="str">
        <f t="shared" si="428"/>
        <v>0-1</v>
      </c>
      <c r="AU2072" s="1193"/>
      <c r="AV2072" s="330">
        <f>SQRT(($R2072-Infrastructure!J$3)^2+($S2072-Infrastructure!K$3)^2)</f>
        <v>23.02694074</v>
      </c>
      <c r="AW2072" s="331">
        <f>SQRT(($R2072-Infrastructure!J$4)^2+($S2072-Infrastructure!K$4)^2)</f>
        <v>12.84717868</v>
      </c>
      <c r="AX2072" s="331">
        <f>SQRT(($R2072-Infrastructure!J$5)^2+($S2072-Infrastructure!K$5)^2)</f>
        <v>7.034202158</v>
      </c>
      <c r="AY2072" s="331">
        <f>SQRT(($R2072-Infrastructure!J$6)^2+($S2072-Infrastructure!K$6)^2)</f>
        <v>7.517978452</v>
      </c>
      <c r="AZ2072" s="331">
        <f>SQRT(($R2072-Infrastructure!J$7)^2+($S2072-Infrastructure!K$7)^2)</f>
        <v>15.47772593</v>
      </c>
      <c r="BA2072" s="331">
        <f>SQRT(($R2072-Infrastructure!J$8)^2+($S2072-Infrastructure!K$8)^2)</f>
        <v>24.50550958</v>
      </c>
      <c r="BB2072" s="331">
        <f>SQRT(($R2072-Infrastructure!J$9)^2+($S2072-Infrastructure!K$9)^2)</f>
        <v>33.54832336</v>
      </c>
      <c r="BC2072" s="331">
        <f>SQRT(($R2072-Infrastructure!J$10)^2+($S2072-Infrastructure!K$10)^2)</f>
        <v>34.46534491</v>
      </c>
      <c r="BD2072" s="331">
        <f>SQRT(($R2072-Infrastructure!J$11)^2+($S2072-Infrastructure!K$11)^2)</f>
        <v>40.30012407</v>
      </c>
      <c r="BE2072" s="333">
        <f>SQRT(($R2072-Infrastructure!J$12)^2+($S2072-Infrastructure!K$12)^2)</f>
        <v>50.86216669</v>
      </c>
      <c r="BF2072" s="330">
        <f t="shared" si="161"/>
        <v>7.034202158</v>
      </c>
      <c r="BG2072" s="333">
        <f t="shared" si="162"/>
        <v>50.86216669</v>
      </c>
      <c r="BH2072" s="1119"/>
      <c r="BI2072" s="319" t="str">
        <f t="shared" ref="BI2072:BR2072" si="995">IF(ISNUMBER(FIND(BI$3, $CO2072)), "Y", "")</f>
        <v/>
      </c>
      <c r="BJ2072" s="319" t="str">
        <f t="shared" si="995"/>
        <v/>
      </c>
      <c r="BK2072" s="319" t="str">
        <f t="shared" si="995"/>
        <v/>
      </c>
      <c r="BL2072" s="319" t="str">
        <f t="shared" si="995"/>
        <v/>
      </c>
      <c r="BM2072" s="319" t="str">
        <f t="shared" si="995"/>
        <v/>
      </c>
      <c r="BN2072" s="319" t="str">
        <f t="shared" si="995"/>
        <v/>
      </c>
      <c r="BO2072" s="319" t="str">
        <f t="shared" si="995"/>
        <v/>
      </c>
      <c r="BP2072" s="319" t="str">
        <f t="shared" si="995"/>
        <v/>
      </c>
      <c r="BQ2072" s="319" t="str">
        <f t="shared" si="995"/>
        <v/>
      </c>
      <c r="BR2072" s="319" t="str">
        <f t="shared" si="995"/>
        <v/>
      </c>
      <c r="BS2072" s="330">
        <f t="shared" si="185"/>
        <v>0</v>
      </c>
      <c r="BT2072" s="331">
        <f t="shared" si="170"/>
        <v>0</v>
      </c>
      <c r="BU2072" s="920"/>
      <c r="BV2072" s="903" t="str">
        <f t="shared" si="186"/>
        <v/>
      </c>
      <c r="BW2072" s="908"/>
      <c r="BX2072" s="908"/>
      <c r="BY2072" s="331" t="b">
        <f t="shared" si="201"/>
        <v>0</v>
      </c>
      <c r="BZ2072" s="331"/>
      <c r="CA2072" s="462" t="str">
        <f t="shared" ref="CA2072:CJ2072" si="996">IF(ISNUMBER(FIND(BI$3, $CP2072)), "Y", "")</f>
        <v/>
      </c>
      <c r="CB2072" s="319" t="str">
        <f t="shared" si="996"/>
        <v/>
      </c>
      <c r="CC2072" s="319" t="str">
        <f t="shared" si="996"/>
        <v/>
      </c>
      <c r="CD2072" s="319" t="str">
        <f t="shared" si="996"/>
        <v/>
      </c>
      <c r="CE2072" s="319" t="str">
        <f t="shared" si="996"/>
        <v/>
      </c>
      <c r="CF2072" s="319" t="str">
        <f t="shared" si="996"/>
        <v/>
      </c>
      <c r="CG2072" s="319" t="str">
        <f t="shared" si="996"/>
        <v/>
      </c>
      <c r="CH2072" s="319" t="str">
        <f t="shared" si="996"/>
        <v/>
      </c>
      <c r="CI2072" s="319" t="str">
        <f t="shared" si="996"/>
        <v/>
      </c>
      <c r="CJ2072" s="319" t="str">
        <f t="shared" si="996"/>
        <v/>
      </c>
      <c r="CK2072" s="342">
        <f t="shared" si="182"/>
        <v>0</v>
      </c>
      <c r="CL2072" s="333">
        <f t="shared" si="183"/>
        <v>0</v>
      </c>
      <c r="CM2072" s="1079"/>
      <c r="CN2072" s="1005" t="s">
        <v>3085</v>
      </c>
      <c r="CO2072" s="1005"/>
      <c r="CP2072" s="1005"/>
    </row>
    <row r="2073">
      <c r="A2073" s="266"/>
      <c r="B2073" s="1113" t="s">
        <v>3053</v>
      </c>
      <c r="C2073" s="1107">
        <v>45590.0</v>
      </c>
      <c r="D2073" s="103"/>
      <c r="E2073" s="1137"/>
      <c r="F2073" s="112" t="s">
        <v>3087</v>
      </c>
      <c r="G2073" s="1110">
        <v>0.6552083333333333</v>
      </c>
      <c r="H2073" s="1138"/>
      <c r="I2073" s="1138"/>
      <c r="J2073" s="1139"/>
      <c r="K2073" s="1111">
        <v>0.6576388888888889</v>
      </c>
      <c r="L2073" s="1112">
        <v>0.0024305555555555556</v>
      </c>
      <c r="M2073" s="1113" t="s">
        <v>166</v>
      </c>
      <c r="N2073" s="110" t="s">
        <v>188</v>
      </c>
      <c r="O2073" s="1140"/>
      <c r="P2073" s="1115" t="s">
        <v>292</v>
      </c>
      <c r="Q2073" s="1116"/>
      <c r="R2073" s="1141"/>
      <c r="S2073" s="1113"/>
      <c r="T2073" s="1143"/>
      <c r="U2073" s="1108" t="s">
        <v>323</v>
      </c>
      <c r="V2073" s="1108"/>
      <c r="W2073" s="1108"/>
      <c r="X2073" s="1108"/>
      <c r="Y2073" s="1108"/>
      <c r="Z2073" s="1114" t="s">
        <v>323</v>
      </c>
      <c r="AA2073" s="1114"/>
      <c r="AB2073" s="1114" t="s">
        <v>323</v>
      </c>
      <c r="AC2073" s="1117" t="s">
        <v>323</v>
      </c>
      <c r="AD2073" s="1115"/>
      <c r="AE2073" s="1115"/>
      <c r="AF2073" s="1115"/>
      <c r="AG2073" s="1115"/>
      <c r="AH2073" s="1115"/>
      <c r="AI2073" s="1115"/>
      <c r="AJ2073" s="1117"/>
      <c r="AK2073" s="1118"/>
      <c r="AL2073" s="1115"/>
      <c r="AM2073" s="1115"/>
      <c r="AN2073" s="1115"/>
      <c r="AO2073" s="1115"/>
      <c r="AP2073" s="1115"/>
      <c r="AQ2073" s="1115"/>
      <c r="AR2073" s="1115"/>
      <c r="AS2073" s="1117"/>
      <c r="AT2073" s="1196" t="str">
        <f t="shared" si="428"/>
        <v/>
      </c>
      <c r="AU2073" s="1193"/>
      <c r="AV2073" s="330">
        <f>SQRT(($R2073-Infrastructure!J$3)^2+($S2073-Infrastructure!K$3)^2)</f>
        <v>28.90155705</v>
      </c>
      <c r="AW2073" s="331">
        <f>SQRT(($R2073-Infrastructure!J$4)^2+($S2073-Infrastructure!K$4)^2)</f>
        <v>17.80252791</v>
      </c>
      <c r="AX2073" s="331">
        <f>SQRT(($R2073-Infrastructure!J$5)^2+($S2073-Infrastructure!K$5)^2)</f>
        <v>5.10881591</v>
      </c>
      <c r="AY2073" s="331">
        <f>SQRT(($R2073-Infrastructure!J$6)^2+($S2073-Infrastructure!K$6)^2)</f>
        <v>10.10445446</v>
      </c>
      <c r="AZ2073" s="331">
        <f>SQRT(($R2073-Infrastructure!J$7)^2+($S2073-Infrastructure!K$7)^2)</f>
        <v>20.502195</v>
      </c>
      <c r="BA2073" s="331">
        <f>SQRT(($R2073-Infrastructure!J$8)^2+($S2073-Infrastructure!K$8)^2)</f>
        <v>30.10149498</v>
      </c>
      <c r="BB2073" s="331">
        <f>SQRT(($R2073-Infrastructure!J$9)^2+($S2073-Infrastructure!K$9)^2)</f>
        <v>40.3238143</v>
      </c>
      <c r="BC2073" s="331">
        <f>SQRT(($R2073-Infrastructure!J$10)^2+($S2073-Infrastructure!K$10)^2)</f>
        <v>42.72001873</v>
      </c>
      <c r="BD2073" s="331">
        <f>SQRT(($R2073-Infrastructure!J$11)^2+($S2073-Infrastructure!K$11)^2)</f>
        <v>49.56853841</v>
      </c>
      <c r="BE2073" s="333">
        <f>SQRT(($R2073-Infrastructure!J$12)^2+($S2073-Infrastructure!K$12)^2)</f>
        <v>59.51890456</v>
      </c>
      <c r="BF2073" s="330">
        <f t="shared" si="161"/>
        <v>5.10881591</v>
      </c>
      <c r="BG2073" s="333">
        <f t="shared" si="162"/>
        <v>59.51890456</v>
      </c>
      <c r="BH2073" s="1119"/>
      <c r="BI2073" s="319" t="str">
        <f t="shared" ref="BI2073:BR2073" si="997">IF(ISNUMBER(FIND(BI$3, $CO2073)), "Y", "")</f>
        <v/>
      </c>
      <c r="BJ2073" s="319" t="str">
        <f t="shared" si="997"/>
        <v/>
      </c>
      <c r="BK2073" s="319" t="str">
        <f t="shared" si="997"/>
        <v/>
      </c>
      <c r="BL2073" s="319" t="str">
        <f t="shared" si="997"/>
        <v/>
      </c>
      <c r="BM2073" s="319" t="str">
        <f t="shared" si="997"/>
        <v/>
      </c>
      <c r="BN2073" s="319" t="str">
        <f t="shared" si="997"/>
        <v/>
      </c>
      <c r="BO2073" s="319" t="str">
        <f t="shared" si="997"/>
        <v/>
      </c>
      <c r="BP2073" s="319" t="str">
        <f t="shared" si="997"/>
        <v/>
      </c>
      <c r="BQ2073" s="319" t="str">
        <f t="shared" si="997"/>
        <v/>
      </c>
      <c r="BR2073" s="319" t="str">
        <f t="shared" si="997"/>
        <v/>
      </c>
      <c r="BS2073" s="330">
        <f t="shared" si="185"/>
        <v>0</v>
      </c>
      <c r="BT2073" s="331">
        <f t="shared" si="170"/>
        <v>0</v>
      </c>
      <c r="BU2073" s="920"/>
      <c r="BV2073" s="903" t="str">
        <f t="shared" si="186"/>
        <v/>
      </c>
      <c r="BW2073" s="908"/>
      <c r="BX2073" s="908"/>
      <c r="BY2073" s="331" t="b">
        <f t="shared" si="201"/>
        <v>0</v>
      </c>
      <c r="BZ2073" s="331"/>
      <c r="CA2073" s="462" t="str">
        <f t="shared" ref="CA2073:CJ2073" si="998">IF(ISNUMBER(FIND(BI$3, $CP2073)), "Y", "")</f>
        <v/>
      </c>
      <c r="CB2073" s="319" t="str">
        <f t="shared" si="998"/>
        <v/>
      </c>
      <c r="CC2073" s="319" t="str">
        <f t="shared" si="998"/>
        <v/>
      </c>
      <c r="CD2073" s="319" t="str">
        <f t="shared" si="998"/>
        <v/>
      </c>
      <c r="CE2073" s="319" t="str">
        <f t="shared" si="998"/>
        <v/>
      </c>
      <c r="CF2073" s="319" t="str">
        <f t="shared" si="998"/>
        <v/>
      </c>
      <c r="CG2073" s="319" t="str">
        <f t="shared" si="998"/>
        <v/>
      </c>
      <c r="CH2073" s="319" t="str">
        <f t="shared" si="998"/>
        <v/>
      </c>
      <c r="CI2073" s="319" t="str">
        <f t="shared" si="998"/>
        <v/>
      </c>
      <c r="CJ2073" s="319" t="str">
        <f t="shared" si="998"/>
        <v/>
      </c>
      <c r="CK2073" s="342">
        <f t="shared" si="182"/>
        <v>0</v>
      </c>
      <c r="CL2073" s="333">
        <f t="shared" si="183"/>
        <v>0</v>
      </c>
      <c r="CM2073" s="1079"/>
      <c r="CN2073" s="1005" t="s">
        <v>3085</v>
      </c>
      <c r="CO2073" s="1005"/>
      <c r="CP2073" s="1005"/>
    </row>
    <row r="2074">
      <c r="A2074" s="1258"/>
      <c r="B2074" s="1129" t="s">
        <v>3053</v>
      </c>
      <c r="C2074" s="1122">
        <v>45590.0</v>
      </c>
      <c r="D2074" s="1123"/>
      <c r="E2074" s="1144"/>
      <c r="F2074" s="108" t="s">
        <v>3087</v>
      </c>
      <c r="G2074" s="1126">
        <v>0.6618055555555555</v>
      </c>
      <c r="H2074" s="1145"/>
      <c r="I2074" s="1145"/>
      <c r="J2074" s="1146"/>
      <c r="K2074" s="1127">
        <v>0.6648148148148149</v>
      </c>
      <c r="L2074" s="1128">
        <v>0.0030092592592592593</v>
      </c>
      <c r="M2074" s="1129" t="s">
        <v>358</v>
      </c>
      <c r="N2074" s="100" t="s">
        <v>188</v>
      </c>
      <c r="O2074" s="1161"/>
      <c r="P2074" s="1131" t="s">
        <v>294</v>
      </c>
      <c r="Q2074" s="1132"/>
      <c r="R2074" s="1148"/>
      <c r="S2074" s="1129"/>
      <c r="T2074" s="1150"/>
      <c r="U2074" s="1124" t="s">
        <v>323</v>
      </c>
      <c r="V2074" s="1124"/>
      <c r="W2074" s="1124"/>
      <c r="X2074" s="1124"/>
      <c r="Y2074" s="1124"/>
      <c r="Z2074" s="1130" t="s">
        <v>323</v>
      </c>
      <c r="AA2074" s="1130"/>
      <c r="AB2074" s="1130" t="s">
        <v>323</v>
      </c>
      <c r="AC2074" s="1133" t="s">
        <v>323</v>
      </c>
      <c r="AD2074" s="1131"/>
      <c r="AE2074" s="1131"/>
      <c r="AF2074" s="1131"/>
      <c r="AG2074" s="1131"/>
      <c r="AH2074" s="1131"/>
      <c r="AI2074" s="1131"/>
      <c r="AJ2074" s="1133"/>
      <c r="AK2074" s="1134"/>
      <c r="AL2074" s="1131"/>
      <c r="AM2074" s="1131"/>
      <c r="AN2074" s="1131"/>
      <c r="AO2074" s="1131"/>
      <c r="AP2074" s="1131"/>
      <c r="AQ2074" s="1131"/>
      <c r="AR2074" s="1131"/>
      <c r="AS2074" s="1133"/>
      <c r="AT2074" s="1197" t="str">
        <f t="shared" si="428"/>
        <v/>
      </c>
      <c r="AU2074" s="1194"/>
      <c r="AV2074" s="662">
        <f>SQRT(($R2074-Infrastructure!J$3)^2+($S2074-Infrastructure!K$3)^2)</f>
        <v>28.90155705</v>
      </c>
      <c r="AW2074" s="641">
        <f>SQRT(($R2074-Infrastructure!J$4)^2+($S2074-Infrastructure!K$4)^2)</f>
        <v>17.80252791</v>
      </c>
      <c r="AX2074" s="641">
        <f>SQRT(($R2074-Infrastructure!J$5)^2+($S2074-Infrastructure!K$5)^2)</f>
        <v>5.10881591</v>
      </c>
      <c r="AY2074" s="641">
        <f>SQRT(($R2074-Infrastructure!J$6)^2+($S2074-Infrastructure!K$6)^2)</f>
        <v>10.10445446</v>
      </c>
      <c r="AZ2074" s="641">
        <f>SQRT(($R2074-Infrastructure!J$7)^2+($S2074-Infrastructure!K$7)^2)</f>
        <v>20.502195</v>
      </c>
      <c r="BA2074" s="641">
        <f>SQRT(($R2074-Infrastructure!J$8)^2+($S2074-Infrastructure!K$8)^2)</f>
        <v>30.10149498</v>
      </c>
      <c r="BB2074" s="641">
        <f>SQRT(($R2074-Infrastructure!J$9)^2+($S2074-Infrastructure!K$9)^2)</f>
        <v>40.3238143</v>
      </c>
      <c r="BC2074" s="641">
        <f>SQRT(($R2074-Infrastructure!J$10)^2+($S2074-Infrastructure!K$10)^2)</f>
        <v>42.72001873</v>
      </c>
      <c r="BD2074" s="641">
        <f>SQRT(($R2074-Infrastructure!J$11)^2+($S2074-Infrastructure!K$11)^2)</f>
        <v>49.56853841</v>
      </c>
      <c r="BE2074" s="642">
        <f>SQRT(($R2074-Infrastructure!J$12)^2+($S2074-Infrastructure!K$12)^2)</f>
        <v>59.51890456</v>
      </c>
      <c r="BF2074" s="662">
        <f t="shared" si="161"/>
        <v>5.10881591</v>
      </c>
      <c r="BG2074" s="642">
        <f t="shared" si="162"/>
        <v>59.51890456</v>
      </c>
      <c r="BH2074" s="1135"/>
      <c r="BI2074" s="663" t="str">
        <f t="shared" ref="BI2074:BR2074" si="999">IF(ISNUMBER(FIND(BI$3, $CO2074)), "Y", "")</f>
        <v/>
      </c>
      <c r="BJ2074" s="663" t="str">
        <f t="shared" si="999"/>
        <v/>
      </c>
      <c r="BK2074" s="663" t="str">
        <f t="shared" si="999"/>
        <v/>
      </c>
      <c r="BL2074" s="663" t="str">
        <f t="shared" si="999"/>
        <v/>
      </c>
      <c r="BM2074" s="663" t="str">
        <f t="shared" si="999"/>
        <v/>
      </c>
      <c r="BN2074" s="663" t="str">
        <f t="shared" si="999"/>
        <v/>
      </c>
      <c r="BO2074" s="663" t="str">
        <f t="shared" si="999"/>
        <v/>
      </c>
      <c r="BP2074" s="663" t="str">
        <f t="shared" si="999"/>
        <v/>
      </c>
      <c r="BQ2074" s="663" t="str">
        <f t="shared" si="999"/>
        <v/>
      </c>
      <c r="BR2074" s="663" t="str">
        <f t="shared" si="999"/>
        <v/>
      </c>
      <c r="BS2074" s="662">
        <f t="shared" si="185"/>
        <v>0</v>
      </c>
      <c r="BT2074" s="641">
        <f t="shared" si="170"/>
        <v>0</v>
      </c>
      <c r="BU2074" s="937"/>
      <c r="BV2074" s="930" t="str">
        <f t="shared" si="186"/>
        <v/>
      </c>
      <c r="BW2074" s="939"/>
      <c r="BX2074" s="939"/>
      <c r="BY2074" s="641" t="b">
        <f t="shared" si="201"/>
        <v>0</v>
      </c>
      <c r="BZ2074" s="641"/>
      <c r="CA2074" s="635" t="str">
        <f t="shared" ref="CA2074:CJ2074" si="1000">IF(ISNUMBER(FIND(BI$3, $CP2074)), "Y", "")</f>
        <v/>
      </c>
      <c r="CB2074" s="663" t="str">
        <f t="shared" si="1000"/>
        <v/>
      </c>
      <c r="CC2074" s="663" t="str">
        <f t="shared" si="1000"/>
        <v/>
      </c>
      <c r="CD2074" s="663" t="str">
        <f t="shared" si="1000"/>
        <v/>
      </c>
      <c r="CE2074" s="663" t="str">
        <f t="shared" si="1000"/>
        <v/>
      </c>
      <c r="CF2074" s="663" t="str">
        <f t="shared" si="1000"/>
        <v/>
      </c>
      <c r="CG2074" s="663" t="str">
        <f t="shared" si="1000"/>
        <v/>
      </c>
      <c r="CH2074" s="663" t="str">
        <f t="shared" si="1000"/>
        <v/>
      </c>
      <c r="CI2074" s="663" t="str">
        <f t="shared" si="1000"/>
        <v/>
      </c>
      <c r="CJ2074" s="663" t="str">
        <f t="shared" si="1000"/>
        <v/>
      </c>
      <c r="CK2074" s="743">
        <f t="shared" si="182"/>
        <v>0</v>
      </c>
      <c r="CL2074" s="642">
        <f t="shared" si="183"/>
        <v>0</v>
      </c>
      <c r="CM2074" s="1090"/>
      <c r="CN2074" s="1036" t="s">
        <v>3085</v>
      </c>
      <c r="CO2074" s="1036"/>
      <c r="CP2074" s="1036"/>
    </row>
    <row r="2075">
      <c r="A2075" s="1257" t="s">
        <v>129</v>
      </c>
      <c r="B2075" s="1113" t="s">
        <v>1761</v>
      </c>
      <c r="C2075" s="1107">
        <v>45593.0</v>
      </c>
      <c r="D2075" s="1113" t="s">
        <v>986</v>
      </c>
      <c r="E2075" s="1108">
        <v>20.0</v>
      </c>
      <c r="F2075" s="112" t="s">
        <v>3088</v>
      </c>
      <c r="G2075" s="1110">
        <v>0.5621527777777777</v>
      </c>
      <c r="H2075" s="1110">
        <v>0.5625</v>
      </c>
      <c r="I2075" s="1110"/>
      <c r="J2075" s="1111"/>
      <c r="K2075" s="1111">
        <v>0.5921875</v>
      </c>
      <c r="L2075" s="1112">
        <v>0.0296875</v>
      </c>
      <c r="M2075" s="1113" t="s">
        <v>166</v>
      </c>
      <c r="N2075" s="110" t="s">
        <v>187</v>
      </c>
      <c r="O2075" s="1115" t="s">
        <v>2354</v>
      </c>
      <c r="P2075" s="1115" t="s">
        <v>272</v>
      </c>
      <c r="Q2075" s="1116"/>
      <c r="R2075" s="120">
        <v>9.1</v>
      </c>
      <c r="S2075" s="1113">
        <v>11.5</v>
      </c>
      <c r="T2075" s="110">
        <v>0.64</v>
      </c>
      <c r="U2075" s="1108">
        <v>0.08</v>
      </c>
      <c r="V2075" s="1108"/>
      <c r="W2075" s="1108"/>
      <c r="X2075" s="1108"/>
      <c r="Y2075" s="1108"/>
      <c r="Z2075" s="1114" t="s">
        <v>335</v>
      </c>
      <c r="AA2075" s="1114"/>
      <c r="AB2075" s="1114" t="s">
        <v>380</v>
      </c>
      <c r="AC2075" s="1117">
        <v>4.0</v>
      </c>
      <c r="AD2075" s="1115"/>
      <c r="AE2075" s="1115"/>
      <c r="AF2075" s="1115"/>
      <c r="AG2075" s="1115"/>
      <c r="AH2075" s="1115"/>
      <c r="AI2075" s="1115"/>
      <c r="AJ2075" s="1117"/>
      <c r="AK2075" s="1118"/>
      <c r="AL2075" s="1115"/>
      <c r="AM2075" s="1115"/>
      <c r="AN2075" s="1115"/>
      <c r="AO2075" s="1115"/>
      <c r="AP2075" s="1115"/>
      <c r="AQ2075" s="1115"/>
      <c r="AR2075" s="1115"/>
      <c r="AS2075" s="1117"/>
      <c r="AT2075" s="1196" t="str">
        <f t="shared" si="428"/>
        <v>0-1</v>
      </c>
      <c r="AU2075" s="1193"/>
      <c r="AV2075" s="330">
        <f>SQRT(($R2075-Infrastructure!J$3)^2+($S2075-Infrastructure!K$3)^2)</f>
        <v>19.77675403</v>
      </c>
      <c r="AW2075" s="331">
        <f>SQRT(($R2075-Infrastructure!J$4)^2+($S2075-Infrastructure!K$4)^2)</f>
        <v>11.31591799</v>
      </c>
      <c r="AX2075" s="331">
        <f>SQRT(($R2075-Infrastructure!J$5)^2+($S2075-Infrastructure!K$5)^2)</f>
        <v>11.37189518</v>
      </c>
      <c r="AY2075" s="331">
        <f>SQRT(($R2075-Infrastructure!J$6)^2+($S2075-Infrastructure!K$6)^2)</f>
        <v>11.24455424</v>
      </c>
      <c r="AZ2075" s="331">
        <f>SQRT(($R2075-Infrastructure!J$7)^2+($S2075-Infrastructure!K$7)^2)</f>
        <v>15.981239</v>
      </c>
      <c r="BA2075" s="331">
        <f>SQRT(($R2075-Infrastructure!J$8)^2+($S2075-Infrastructure!K$8)^2)</f>
        <v>23.8</v>
      </c>
      <c r="BB2075" s="331">
        <f>SQRT(($R2075-Infrastructure!J$9)^2+($S2075-Infrastructure!K$9)^2)</f>
        <v>31.55582355</v>
      </c>
      <c r="BC2075" s="331">
        <f>SQRT(($R2075-Infrastructure!J$10)^2+($S2075-Infrastructure!K$10)^2)</f>
        <v>31.09758833</v>
      </c>
      <c r="BD2075" s="331">
        <f>SQRT(($R2075-Infrastructure!J$11)^2+($S2075-Infrastructure!K$11)^2)</f>
        <v>35.68557131</v>
      </c>
      <c r="BE2075" s="333">
        <f>SQRT(($R2075-Infrastructure!J$12)^2+($S2075-Infrastructure!K$12)^2)</f>
        <v>45.71389286</v>
      </c>
      <c r="BF2075" s="330">
        <f t="shared" si="161"/>
        <v>11.24455424</v>
      </c>
      <c r="BG2075" s="333">
        <f t="shared" si="162"/>
        <v>45.71389286</v>
      </c>
      <c r="BH2075" s="1119"/>
      <c r="BI2075" s="319" t="str">
        <f t="shared" ref="BI2075:BR2075" si="1001">IF(ISNUMBER(FIND(BI$3, $CO2075)), "Y", "")</f>
        <v/>
      </c>
      <c r="BJ2075" s="319" t="str">
        <f t="shared" si="1001"/>
        <v/>
      </c>
      <c r="BK2075" s="319" t="str">
        <f t="shared" si="1001"/>
        <v/>
      </c>
      <c r="BL2075" s="319" t="str">
        <f t="shared" si="1001"/>
        <v/>
      </c>
      <c r="BM2075" s="319" t="str">
        <f t="shared" si="1001"/>
        <v/>
      </c>
      <c r="BN2075" s="319" t="str">
        <f t="shared" si="1001"/>
        <v/>
      </c>
      <c r="BO2075" s="319" t="str">
        <f t="shared" si="1001"/>
        <v/>
      </c>
      <c r="BP2075" s="319" t="str">
        <f t="shared" si="1001"/>
        <v/>
      </c>
      <c r="BQ2075" s="319" t="str">
        <f t="shared" si="1001"/>
        <v/>
      </c>
      <c r="BR2075" s="319" t="str">
        <f t="shared" si="1001"/>
        <v/>
      </c>
      <c r="BS2075" s="330">
        <f t="shared" si="185"/>
        <v>0</v>
      </c>
      <c r="BT2075" s="331">
        <f t="shared" si="170"/>
        <v>0</v>
      </c>
      <c r="BU2075" s="920"/>
      <c r="BV2075" s="903" t="str">
        <f t="shared" si="186"/>
        <v/>
      </c>
      <c r="BW2075" s="908"/>
      <c r="BX2075" s="908"/>
      <c r="BY2075" s="331" t="b">
        <f t="shared" si="201"/>
        <v>0</v>
      </c>
      <c r="BZ2075" s="331"/>
      <c r="CA2075" s="462" t="str">
        <f t="shared" ref="CA2075:CJ2075" si="1002">IF(ISNUMBER(FIND(BI$3, $CP2075)), "Y", "")</f>
        <v/>
      </c>
      <c r="CB2075" s="319" t="str">
        <f t="shared" si="1002"/>
        <v/>
      </c>
      <c r="CC2075" s="319" t="str">
        <f t="shared" si="1002"/>
        <v/>
      </c>
      <c r="CD2075" s="319" t="str">
        <f t="shared" si="1002"/>
        <v/>
      </c>
      <c r="CE2075" s="319" t="str">
        <f t="shared" si="1002"/>
        <v/>
      </c>
      <c r="CF2075" s="319" t="str">
        <f t="shared" si="1002"/>
        <v/>
      </c>
      <c r="CG2075" s="319" t="str">
        <f t="shared" si="1002"/>
        <v/>
      </c>
      <c r="CH2075" s="319" t="str">
        <f t="shared" si="1002"/>
        <v/>
      </c>
      <c r="CI2075" s="319" t="str">
        <f t="shared" si="1002"/>
        <v/>
      </c>
      <c r="CJ2075" s="319" t="str">
        <f t="shared" si="1002"/>
        <v/>
      </c>
      <c r="CK2075" s="342">
        <f t="shared" si="182"/>
        <v>0</v>
      </c>
      <c r="CL2075" s="333">
        <f t="shared" si="183"/>
        <v>0</v>
      </c>
      <c r="CM2075" s="1079"/>
      <c r="CN2075" s="1005" t="s">
        <v>3089</v>
      </c>
      <c r="CO2075" s="1005"/>
      <c r="CP2075" s="1005"/>
    </row>
    <row r="2076">
      <c r="A2076" s="266"/>
      <c r="B2076" s="1113" t="s">
        <v>1761</v>
      </c>
      <c r="C2076" s="1107">
        <v>45593.0</v>
      </c>
      <c r="D2076" s="1113" t="s">
        <v>986</v>
      </c>
      <c r="E2076" s="1108">
        <v>21.0</v>
      </c>
      <c r="F2076" s="112" t="s">
        <v>3090</v>
      </c>
      <c r="G2076" s="1110">
        <v>0.6152777777777778</v>
      </c>
      <c r="H2076" s="1110">
        <v>0.615625</v>
      </c>
      <c r="I2076" s="1110"/>
      <c r="J2076" s="1111"/>
      <c r="K2076" s="1111">
        <v>0.6451388888888889</v>
      </c>
      <c r="L2076" s="1112">
        <v>0.029513888888888888</v>
      </c>
      <c r="M2076" s="1113" t="s">
        <v>166</v>
      </c>
      <c r="N2076" s="110" t="s">
        <v>187</v>
      </c>
      <c r="O2076" s="1115" t="s">
        <v>197</v>
      </c>
      <c r="P2076" s="1115" t="s">
        <v>272</v>
      </c>
      <c r="Q2076" s="1116"/>
      <c r="R2076" s="120">
        <v>37.1</v>
      </c>
      <c r="S2076" s="1113">
        <v>6.9</v>
      </c>
      <c r="T2076" s="110">
        <v>6.5</v>
      </c>
      <c r="U2076" s="1108">
        <v>1.1</v>
      </c>
      <c r="V2076" s="1108"/>
      <c r="W2076" s="1108"/>
      <c r="X2076" s="1108"/>
      <c r="Y2076" s="1108"/>
      <c r="Z2076" s="1114" t="s">
        <v>379</v>
      </c>
      <c r="AA2076" s="1114"/>
      <c r="AB2076" s="1114" t="s">
        <v>388</v>
      </c>
      <c r="AC2076" s="1117">
        <v>8.0</v>
      </c>
      <c r="AD2076" s="1115"/>
      <c r="AE2076" s="1115"/>
      <c r="AF2076" s="1115"/>
      <c r="AG2076" s="1115"/>
      <c r="AH2076" s="1115"/>
      <c r="AI2076" s="1115"/>
      <c r="AJ2076" s="1117"/>
      <c r="AK2076" s="1118"/>
      <c r="AL2076" s="1115"/>
      <c r="AM2076" s="1115"/>
      <c r="AN2076" s="1115"/>
      <c r="AO2076" s="1115"/>
      <c r="AP2076" s="1115"/>
      <c r="AQ2076" s="1115"/>
      <c r="AR2076" s="1115"/>
      <c r="AS2076" s="1117"/>
      <c r="AT2076" s="1196" t="str">
        <f t="shared" si="428"/>
        <v>1-10</v>
      </c>
      <c r="AU2076" s="1193"/>
      <c r="AV2076" s="330">
        <f>SQRT(($R2076-Infrastructure!J$3)^2+($S2076-Infrastructure!K$3)^2)</f>
        <v>43.39078243</v>
      </c>
      <c r="AW2076" s="331">
        <f>SQRT(($R2076-Infrastructure!J$4)^2+($S2076-Infrastructure!K$4)^2)</f>
        <v>38.95600082</v>
      </c>
      <c r="AX2076" s="331">
        <f>SQRT(($R2076-Infrastructure!J$5)^2+($S2076-Infrastructure!K$5)^2)</f>
        <v>37.44329045</v>
      </c>
      <c r="AY2076" s="331">
        <f>SQRT(($R2076-Infrastructure!J$6)^2+($S2076-Infrastructure!K$6)^2)</f>
        <v>27.79496357</v>
      </c>
      <c r="AZ2076" s="331">
        <f>SQRT(($R2076-Infrastructure!J$7)^2+($S2076-Infrastructure!K$7)^2)</f>
        <v>17.86393014</v>
      </c>
      <c r="BA2076" s="331">
        <f>SQRT(($R2076-Infrastructure!J$8)^2+($S2076-Infrastructure!K$8)^2)</f>
        <v>9.620810777</v>
      </c>
      <c r="BB2076" s="331">
        <f>SQRT(($R2076-Infrastructure!J$9)^2+($S2076-Infrastructure!K$9)^2)</f>
        <v>3.413209633</v>
      </c>
      <c r="BC2076" s="331">
        <f>SQRT(($R2076-Infrastructure!J$10)^2+($S2076-Infrastructure!K$10)^2)</f>
        <v>8.603487665</v>
      </c>
      <c r="BD2076" s="331">
        <f>SQRT(($R2076-Infrastructure!J$11)^2+($S2076-Infrastructure!K$11)^2)</f>
        <v>22.31636171</v>
      </c>
      <c r="BE2076" s="333">
        <f>SQRT(($R2076-Infrastructure!J$12)^2+($S2076-Infrastructure!K$12)^2)</f>
        <v>51.04233537</v>
      </c>
      <c r="BF2076" s="330">
        <f t="shared" si="161"/>
        <v>3.413209633</v>
      </c>
      <c r="BG2076" s="333">
        <f t="shared" si="162"/>
        <v>51.04233537</v>
      </c>
      <c r="BH2076" s="1119"/>
      <c r="BI2076" s="319" t="str">
        <f t="shared" ref="BI2076:BR2076" si="1003">IF(ISNUMBER(FIND(BI$3, $CO2076)), "Y", "")</f>
        <v/>
      </c>
      <c r="BJ2076" s="319" t="str">
        <f t="shared" si="1003"/>
        <v/>
      </c>
      <c r="BK2076" s="319" t="str">
        <f t="shared" si="1003"/>
        <v/>
      </c>
      <c r="BL2076" s="319" t="str">
        <f t="shared" si="1003"/>
        <v/>
      </c>
      <c r="BM2076" s="319" t="str">
        <f t="shared" si="1003"/>
        <v/>
      </c>
      <c r="BN2076" s="319" t="str">
        <f t="shared" si="1003"/>
        <v/>
      </c>
      <c r="BO2076" s="319" t="str">
        <f t="shared" si="1003"/>
        <v/>
      </c>
      <c r="BP2076" s="319" t="str">
        <f t="shared" si="1003"/>
        <v/>
      </c>
      <c r="BQ2076" s="319" t="str">
        <f t="shared" si="1003"/>
        <v/>
      </c>
      <c r="BR2076" s="319" t="str">
        <f t="shared" si="1003"/>
        <v/>
      </c>
      <c r="BS2076" s="330">
        <f t="shared" si="185"/>
        <v>0</v>
      </c>
      <c r="BT2076" s="331">
        <f t="shared" si="170"/>
        <v>0</v>
      </c>
      <c r="BU2076" s="920"/>
      <c r="BV2076" s="903" t="str">
        <f t="shared" si="186"/>
        <v/>
      </c>
      <c r="BW2076" s="908"/>
      <c r="BX2076" s="908"/>
      <c r="BY2076" s="331" t="b">
        <f t="shared" si="201"/>
        <v>0</v>
      </c>
      <c r="BZ2076" s="331"/>
      <c r="CA2076" s="462" t="str">
        <f t="shared" ref="CA2076:CJ2076" si="1004">IF(ISNUMBER(FIND(BI$3, $CP2076)), "Y", "")</f>
        <v/>
      </c>
      <c r="CB2076" s="319" t="str">
        <f t="shared" si="1004"/>
        <v/>
      </c>
      <c r="CC2076" s="319" t="str">
        <f t="shared" si="1004"/>
        <v/>
      </c>
      <c r="CD2076" s="319" t="str">
        <f t="shared" si="1004"/>
        <v/>
      </c>
      <c r="CE2076" s="319" t="str">
        <f t="shared" si="1004"/>
        <v/>
      </c>
      <c r="CF2076" s="319" t="str">
        <f t="shared" si="1004"/>
        <v/>
      </c>
      <c r="CG2076" s="319" t="str">
        <f t="shared" si="1004"/>
        <v/>
      </c>
      <c r="CH2076" s="319" t="str">
        <f t="shared" si="1004"/>
        <v/>
      </c>
      <c r="CI2076" s="319" t="str">
        <f t="shared" si="1004"/>
        <v/>
      </c>
      <c r="CJ2076" s="319" t="str">
        <f t="shared" si="1004"/>
        <v/>
      </c>
      <c r="CK2076" s="342">
        <f t="shared" si="182"/>
        <v>0</v>
      </c>
      <c r="CL2076" s="333">
        <f t="shared" si="183"/>
        <v>0</v>
      </c>
      <c r="CM2076" s="1079"/>
      <c r="CN2076" s="1005" t="s">
        <v>3089</v>
      </c>
      <c r="CO2076" s="1005"/>
      <c r="CP2076" s="1005"/>
    </row>
    <row r="2077">
      <c r="A2077" s="266"/>
      <c r="B2077" s="1113" t="s">
        <v>1761</v>
      </c>
      <c r="C2077" s="1107">
        <v>45593.0</v>
      </c>
      <c r="D2077" s="1113" t="s">
        <v>986</v>
      </c>
      <c r="E2077" s="1108" t="s">
        <v>3091</v>
      </c>
      <c r="F2077" s="112" t="s">
        <v>3092</v>
      </c>
      <c r="G2077" s="1110">
        <v>0.6663194444444445</v>
      </c>
      <c r="H2077" s="1110">
        <v>0.6677083333333333</v>
      </c>
      <c r="I2077" s="1110"/>
      <c r="J2077" s="1111"/>
      <c r="K2077" s="1111">
        <v>0.6965856481481482</v>
      </c>
      <c r="L2077" s="1112">
        <v>0.028877314814814814</v>
      </c>
      <c r="M2077" s="1113" t="s">
        <v>172</v>
      </c>
      <c r="N2077" s="110" t="s">
        <v>187</v>
      </c>
      <c r="O2077" s="1115" t="s">
        <v>204</v>
      </c>
      <c r="P2077" s="1115" t="s">
        <v>260</v>
      </c>
      <c r="Q2077" s="1116"/>
      <c r="R2077" s="120">
        <v>18.6</v>
      </c>
      <c r="S2077" s="1113">
        <v>4.4</v>
      </c>
      <c r="T2077" s="110">
        <v>2.5</v>
      </c>
      <c r="U2077" s="1108">
        <v>0.2</v>
      </c>
      <c r="V2077" s="1108"/>
      <c r="W2077" s="1108"/>
      <c r="X2077" s="1108"/>
      <c r="Y2077" s="1108"/>
      <c r="Z2077" s="1114" t="s">
        <v>365</v>
      </c>
      <c r="AA2077" s="1114"/>
      <c r="AB2077" s="1114" t="s">
        <v>380</v>
      </c>
      <c r="AC2077" s="1117">
        <v>4.0</v>
      </c>
      <c r="AD2077" s="1115"/>
      <c r="AE2077" s="1115"/>
      <c r="AF2077" s="1115"/>
      <c r="AG2077" s="1115"/>
      <c r="AH2077" s="1115"/>
      <c r="AI2077" s="1115"/>
      <c r="AJ2077" s="1117"/>
      <c r="AK2077" s="1118"/>
      <c r="AL2077" s="1115"/>
      <c r="AM2077" s="1115"/>
      <c r="AN2077" s="1115"/>
      <c r="AO2077" s="1115"/>
      <c r="AP2077" s="1115"/>
      <c r="AQ2077" s="1115"/>
      <c r="AR2077" s="1115"/>
      <c r="AS2077" s="1117"/>
      <c r="AT2077" s="1196" t="str">
        <f t="shared" si="428"/>
        <v>0-1</v>
      </c>
      <c r="AU2077" s="1193"/>
      <c r="AV2077" s="330">
        <f>SQRT(($R2077-Infrastructure!J$3)^2+($S2077-Infrastructure!K$3)^2)</f>
        <v>30.94285055</v>
      </c>
      <c r="AW2077" s="331">
        <f>SQRT(($R2077-Infrastructure!J$4)^2+($S2077-Infrastructure!K$4)^2)</f>
        <v>23.1682973</v>
      </c>
      <c r="AX2077" s="331">
        <f>SQRT(($R2077-Infrastructure!J$5)^2+($S2077-Infrastructure!K$5)^2)</f>
        <v>18.91295852</v>
      </c>
      <c r="AY2077" s="331">
        <f>SQRT(($R2077-Infrastructure!J$6)^2+($S2077-Infrastructure!K$6)^2)</f>
        <v>9.43716059</v>
      </c>
      <c r="AZ2077" s="331">
        <f>SQRT(($R2077-Infrastructure!J$7)^2+($S2077-Infrastructure!K$7)^2)</f>
        <v>4.518849411</v>
      </c>
      <c r="BA2077" s="331">
        <f>SQRT(($R2077-Infrastructure!J$8)^2+($S2077-Infrastructure!K$8)^2)</f>
        <v>12.20901306</v>
      </c>
      <c r="BB2077" s="331">
        <f>SQRT(($R2077-Infrastructure!J$9)^2+($S2077-Infrastructure!K$9)^2)</f>
        <v>21.41144554</v>
      </c>
      <c r="BC2077" s="331">
        <f>SQRT(($R2077-Infrastructure!J$10)^2+($S2077-Infrastructure!K$10)^2)</f>
        <v>23.88137349</v>
      </c>
      <c r="BD2077" s="331">
        <f>SQRT(($R2077-Infrastructure!J$11)^2+($S2077-Infrastructure!K$11)^2)</f>
        <v>32.73713488</v>
      </c>
      <c r="BE2077" s="333">
        <f>SQRT(($R2077-Infrastructure!J$12)^2+($S2077-Infrastructure!K$12)^2)</f>
        <v>51.18222348</v>
      </c>
      <c r="BF2077" s="330">
        <f t="shared" si="161"/>
        <v>4.518849411</v>
      </c>
      <c r="BG2077" s="333">
        <f t="shared" si="162"/>
        <v>51.18222348</v>
      </c>
      <c r="BH2077" s="1119"/>
      <c r="BI2077" s="319" t="str">
        <f t="shared" ref="BI2077:BR2077" si="1005">IF(ISNUMBER(FIND(BI$3, $CO2077)), "Y", "")</f>
        <v/>
      </c>
      <c r="BJ2077" s="319" t="str">
        <f t="shared" si="1005"/>
        <v/>
      </c>
      <c r="BK2077" s="319" t="str">
        <f t="shared" si="1005"/>
        <v/>
      </c>
      <c r="BL2077" s="319" t="str">
        <f t="shared" si="1005"/>
        <v/>
      </c>
      <c r="BM2077" s="319" t="str">
        <f t="shared" si="1005"/>
        <v/>
      </c>
      <c r="BN2077" s="319" t="str">
        <f t="shared" si="1005"/>
        <v/>
      </c>
      <c r="BO2077" s="319" t="str">
        <f t="shared" si="1005"/>
        <v/>
      </c>
      <c r="BP2077" s="319" t="str">
        <f t="shared" si="1005"/>
        <v/>
      </c>
      <c r="BQ2077" s="319" t="str">
        <f t="shared" si="1005"/>
        <v/>
      </c>
      <c r="BR2077" s="319" t="str">
        <f t="shared" si="1005"/>
        <v/>
      </c>
      <c r="BS2077" s="330">
        <f t="shared" si="185"/>
        <v>0</v>
      </c>
      <c r="BT2077" s="331">
        <f t="shared" si="170"/>
        <v>0</v>
      </c>
      <c r="BU2077" s="920"/>
      <c r="BV2077" s="903" t="str">
        <f t="shared" si="186"/>
        <v/>
      </c>
      <c r="BW2077" s="908"/>
      <c r="BX2077" s="908"/>
      <c r="BY2077" s="331" t="b">
        <f t="shared" si="201"/>
        <v>0</v>
      </c>
      <c r="BZ2077" s="331"/>
      <c r="CA2077" s="462" t="str">
        <f t="shared" ref="CA2077:CJ2077" si="1006">IF(ISNUMBER(FIND(BI$3, $CP2077)), "Y", "")</f>
        <v/>
      </c>
      <c r="CB2077" s="319" t="str">
        <f t="shared" si="1006"/>
        <v/>
      </c>
      <c r="CC2077" s="319" t="str">
        <f t="shared" si="1006"/>
        <v/>
      </c>
      <c r="CD2077" s="319" t="str">
        <f t="shared" si="1006"/>
        <v/>
      </c>
      <c r="CE2077" s="319" t="str">
        <f t="shared" si="1006"/>
        <v/>
      </c>
      <c r="CF2077" s="319" t="str">
        <f t="shared" si="1006"/>
        <v/>
      </c>
      <c r="CG2077" s="319" t="str">
        <f t="shared" si="1006"/>
        <v/>
      </c>
      <c r="CH2077" s="319" t="str">
        <f t="shared" si="1006"/>
        <v/>
      </c>
      <c r="CI2077" s="319" t="str">
        <f t="shared" si="1006"/>
        <v/>
      </c>
      <c r="CJ2077" s="319" t="str">
        <f t="shared" si="1006"/>
        <v/>
      </c>
      <c r="CK2077" s="342">
        <f t="shared" si="182"/>
        <v>0</v>
      </c>
      <c r="CL2077" s="333">
        <f t="shared" si="183"/>
        <v>0</v>
      </c>
      <c r="CM2077" s="1079"/>
      <c r="CN2077" s="1005" t="s">
        <v>3089</v>
      </c>
      <c r="CO2077" s="1005"/>
      <c r="CP2077" s="1005"/>
    </row>
    <row r="2078">
      <c r="A2078" s="266"/>
      <c r="B2078" s="1113" t="s">
        <v>1761</v>
      </c>
      <c r="C2078" s="1107">
        <v>45593.0</v>
      </c>
      <c r="D2078" s="1113" t="s">
        <v>986</v>
      </c>
      <c r="E2078" s="1108" t="s">
        <v>3093</v>
      </c>
      <c r="F2078" s="112" t="s">
        <v>3094</v>
      </c>
      <c r="G2078" s="1110">
        <v>0.6668402777777778</v>
      </c>
      <c r="H2078" s="1110">
        <v>0.6671875</v>
      </c>
      <c r="I2078" s="1110"/>
      <c r="J2078" s="1111"/>
      <c r="K2078" s="1111">
        <v>0.6966435185185185</v>
      </c>
      <c r="L2078" s="1112">
        <v>0.029456018518518517</v>
      </c>
      <c r="M2078" s="1113" t="s">
        <v>166</v>
      </c>
      <c r="N2078" s="110" t="s">
        <v>187</v>
      </c>
      <c r="O2078" s="1115" t="s">
        <v>2354</v>
      </c>
      <c r="P2078" s="1115" t="s">
        <v>279</v>
      </c>
      <c r="Q2078" s="1116"/>
      <c r="R2078" s="120">
        <v>5.0</v>
      </c>
      <c r="S2078" s="1113">
        <v>10.4</v>
      </c>
      <c r="T2078" s="110">
        <v>0.64</v>
      </c>
      <c r="U2078" s="1108">
        <v>0.15</v>
      </c>
      <c r="V2078" s="1108"/>
      <c r="W2078" s="1108"/>
      <c r="X2078" s="1108"/>
      <c r="Y2078" s="1108"/>
      <c r="Z2078" s="1114" t="s">
        <v>335</v>
      </c>
      <c r="AA2078" s="1114"/>
      <c r="AB2078" s="1114" t="s">
        <v>279</v>
      </c>
      <c r="AC2078" s="1117">
        <v>10.0</v>
      </c>
      <c r="AD2078" s="1115"/>
      <c r="AE2078" s="1115"/>
      <c r="AF2078" s="1115"/>
      <c r="AG2078" s="1115"/>
      <c r="AH2078" s="1115"/>
      <c r="AI2078" s="1115"/>
      <c r="AJ2078" s="1117"/>
      <c r="AK2078" s="1118"/>
      <c r="AL2078" s="1115"/>
      <c r="AM2078" s="1115"/>
      <c r="AN2078" s="1115"/>
      <c r="AO2078" s="1115"/>
      <c r="AP2078" s="1115"/>
      <c r="AQ2078" s="1115"/>
      <c r="AR2078" s="1115"/>
      <c r="AS2078" s="1117"/>
      <c r="AT2078" s="1196" t="str">
        <f t="shared" si="428"/>
        <v>0-1</v>
      </c>
      <c r="AU2078" s="1193"/>
      <c r="AV2078" s="330">
        <f>SQRT(($R2078-Infrastructure!J$3)^2+($S2078-Infrastructure!K$3)^2)</f>
        <v>19.24421991</v>
      </c>
      <c r="AW2078" s="331">
        <f>SQRT(($R2078-Infrastructure!J$4)^2+($S2078-Infrastructure!K$4)^2)</f>
        <v>9.102197537</v>
      </c>
      <c r="AX2078" s="331">
        <f>SQRT(($R2078-Infrastructure!J$5)^2+($S2078-Infrastructure!K$5)^2)</f>
        <v>7.495331881</v>
      </c>
      <c r="AY2078" s="331">
        <f>SQRT(($R2078-Infrastructure!J$6)^2+($S2078-Infrastructure!K$6)^2)</f>
        <v>11.31459235</v>
      </c>
      <c r="AZ2078" s="331">
        <f>SQRT(($R2078-Infrastructure!J$7)^2+($S2078-Infrastructure!K$7)^2)</f>
        <v>18.50027027</v>
      </c>
      <c r="BA2078" s="331">
        <f>SQRT(($R2078-Infrastructure!J$8)^2+($S2078-Infrastructure!K$8)^2)</f>
        <v>27.05586813</v>
      </c>
      <c r="BB2078" s="331">
        <f>SQRT(($R2078-Infrastructure!J$9)^2+($S2078-Infrastructure!K$9)^2)</f>
        <v>35.39901129</v>
      </c>
      <c r="BC2078" s="331">
        <f>SQRT(($R2078-Infrastructure!J$10)^2+($S2078-Infrastructure!K$10)^2)</f>
        <v>35.30099149</v>
      </c>
      <c r="BD2078" s="331">
        <f>SQRT(($R2078-Infrastructure!J$11)^2+($S2078-Infrastructure!K$11)^2)</f>
        <v>39.81205847</v>
      </c>
      <c r="BE2078" s="333">
        <f>SQRT(($R2078-Infrastructure!J$12)^2+($S2078-Infrastructure!K$12)^2)</f>
        <v>48.0235359</v>
      </c>
      <c r="BF2078" s="330">
        <f t="shared" si="161"/>
        <v>7.495331881</v>
      </c>
      <c r="BG2078" s="333">
        <f t="shared" si="162"/>
        <v>48.0235359</v>
      </c>
      <c r="BH2078" s="1119"/>
      <c r="BI2078" s="319" t="str">
        <f t="shared" ref="BI2078:BR2078" si="1007">IF(ISNUMBER(FIND(BI$3, $CO2078)), "Y", "")</f>
        <v/>
      </c>
      <c r="BJ2078" s="319" t="str">
        <f t="shared" si="1007"/>
        <v/>
      </c>
      <c r="BK2078" s="319" t="str">
        <f t="shared" si="1007"/>
        <v/>
      </c>
      <c r="BL2078" s="319" t="str">
        <f t="shared" si="1007"/>
        <v/>
      </c>
      <c r="BM2078" s="319" t="str">
        <f t="shared" si="1007"/>
        <v/>
      </c>
      <c r="BN2078" s="319" t="str">
        <f t="shared" si="1007"/>
        <v/>
      </c>
      <c r="BO2078" s="319" t="str">
        <f t="shared" si="1007"/>
        <v/>
      </c>
      <c r="BP2078" s="319" t="str">
        <f t="shared" si="1007"/>
        <v/>
      </c>
      <c r="BQ2078" s="319" t="str">
        <f t="shared" si="1007"/>
        <v/>
      </c>
      <c r="BR2078" s="319" t="str">
        <f t="shared" si="1007"/>
        <v/>
      </c>
      <c r="BS2078" s="330">
        <f t="shared" si="185"/>
        <v>0</v>
      </c>
      <c r="BT2078" s="331">
        <f t="shared" si="170"/>
        <v>0</v>
      </c>
      <c r="BU2078" s="920"/>
      <c r="BV2078" s="903" t="str">
        <f t="shared" si="186"/>
        <v/>
      </c>
      <c r="BW2078" s="908"/>
      <c r="BX2078" s="908"/>
      <c r="BY2078" s="331" t="b">
        <f t="shared" si="201"/>
        <v>0</v>
      </c>
      <c r="BZ2078" s="331"/>
      <c r="CA2078" s="462" t="str">
        <f t="shared" ref="CA2078:CJ2078" si="1008">IF(ISNUMBER(FIND(BI$3, $CP2078)), "Y", "")</f>
        <v/>
      </c>
      <c r="CB2078" s="319" t="str">
        <f t="shared" si="1008"/>
        <v/>
      </c>
      <c r="CC2078" s="319" t="str">
        <f t="shared" si="1008"/>
        <v/>
      </c>
      <c r="CD2078" s="319" t="str">
        <f t="shared" si="1008"/>
        <v/>
      </c>
      <c r="CE2078" s="319" t="str">
        <f t="shared" si="1008"/>
        <v/>
      </c>
      <c r="CF2078" s="319" t="str">
        <f t="shared" si="1008"/>
        <v/>
      </c>
      <c r="CG2078" s="319" t="str">
        <f t="shared" si="1008"/>
        <v/>
      </c>
      <c r="CH2078" s="319" t="str">
        <f t="shared" si="1008"/>
        <v/>
      </c>
      <c r="CI2078" s="319" t="str">
        <f t="shared" si="1008"/>
        <v/>
      </c>
      <c r="CJ2078" s="319" t="str">
        <f t="shared" si="1008"/>
        <v/>
      </c>
      <c r="CK2078" s="342">
        <f t="shared" si="182"/>
        <v>0</v>
      </c>
      <c r="CL2078" s="333">
        <f t="shared" si="183"/>
        <v>0</v>
      </c>
      <c r="CM2078" s="1079"/>
      <c r="CN2078" s="1005" t="s">
        <v>3089</v>
      </c>
      <c r="CO2078" s="1005"/>
      <c r="CP2078" s="1005"/>
    </row>
    <row r="2079">
      <c r="A2079" s="266"/>
      <c r="B2079" s="1113" t="s">
        <v>1761</v>
      </c>
      <c r="C2079" s="1107">
        <v>45593.0</v>
      </c>
      <c r="D2079" s="1113" t="s">
        <v>986</v>
      </c>
      <c r="E2079" s="1108">
        <v>23.0</v>
      </c>
      <c r="F2079" s="112" t="s">
        <v>3095</v>
      </c>
      <c r="G2079" s="1110">
        <v>0.7182291666666667</v>
      </c>
      <c r="H2079" s="1110">
        <v>0.7184027777777777</v>
      </c>
      <c r="I2079" s="1110"/>
      <c r="J2079" s="1111"/>
      <c r="K2079" s="1111">
        <v>0.7506944444444444</v>
      </c>
      <c r="L2079" s="1112">
        <v>0.03229166666666667</v>
      </c>
      <c r="M2079" s="1113" t="s">
        <v>166</v>
      </c>
      <c r="N2079" s="110" t="s">
        <v>187</v>
      </c>
      <c r="O2079" s="1115" t="s">
        <v>203</v>
      </c>
      <c r="P2079" s="1115" t="s">
        <v>250</v>
      </c>
      <c r="Q2079" s="1116"/>
      <c r="R2079" s="120">
        <v>15.1</v>
      </c>
      <c r="S2079" s="1113">
        <v>2.4</v>
      </c>
      <c r="T2079" s="110">
        <v>1.2</v>
      </c>
      <c r="U2079" s="1108">
        <v>0.15</v>
      </c>
      <c r="V2079" s="1108"/>
      <c r="W2079" s="1108"/>
      <c r="X2079" s="1108"/>
      <c r="Y2079" s="1108"/>
      <c r="Z2079" s="1114" t="s">
        <v>335</v>
      </c>
      <c r="AA2079" s="1114"/>
      <c r="AB2079" s="1114" t="s">
        <v>375</v>
      </c>
      <c r="AC2079" s="1117">
        <v>2.7</v>
      </c>
      <c r="AD2079" s="1115"/>
      <c r="AE2079" s="1115"/>
      <c r="AF2079" s="1115"/>
      <c r="AG2079" s="1115"/>
      <c r="AH2079" s="1115"/>
      <c r="AI2079" s="1115"/>
      <c r="AJ2079" s="1117"/>
      <c r="AK2079" s="1118"/>
      <c r="AL2079" s="1115"/>
      <c r="AM2079" s="1115"/>
      <c r="AN2079" s="1115"/>
      <c r="AO2079" s="1115"/>
      <c r="AP2079" s="1115"/>
      <c r="AQ2079" s="1115"/>
      <c r="AR2079" s="1115"/>
      <c r="AS2079" s="1117"/>
      <c r="AT2079" s="1196" t="str">
        <f t="shared" si="428"/>
        <v>0-1</v>
      </c>
      <c r="AU2079" s="1193"/>
      <c r="AV2079" s="330">
        <f>SQRT(($R2079-Infrastructure!J$3)^2+($S2079-Infrastructure!K$3)^2)</f>
        <v>30.64979608</v>
      </c>
      <c r="AW2079" s="331">
        <f>SQRT(($R2079-Infrastructure!J$4)^2+($S2079-Infrastructure!K$4)^2)</f>
        <v>21.77888886</v>
      </c>
      <c r="AX2079" s="331">
        <f>SQRT(($R2079-Infrastructure!J$5)^2+($S2079-Infrastructure!K$5)^2)</f>
        <v>15.63489687</v>
      </c>
      <c r="AY2079" s="331">
        <f>SQRT(($R2079-Infrastructure!J$6)^2+($S2079-Infrastructure!K$6)^2)</f>
        <v>5.423098745</v>
      </c>
      <c r="AZ2079" s="331">
        <f>SQRT(($R2079-Infrastructure!J$7)^2+($S2079-Infrastructure!K$7)^2)</f>
        <v>5.793962375</v>
      </c>
      <c r="BA2079" s="331">
        <f>SQRT(($R2079-Infrastructure!J$8)^2+($S2079-Infrastructure!K$8)^2)</f>
        <v>15.14628667</v>
      </c>
      <c r="BB2079" s="331">
        <f>SQRT(($R2079-Infrastructure!J$9)^2+($S2079-Infrastructure!K$9)^2)</f>
        <v>25.04595776</v>
      </c>
      <c r="BC2079" s="331">
        <f>SQRT(($R2079-Infrastructure!J$10)^2+($S2079-Infrastructure!K$10)^2)</f>
        <v>27.90645087</v>
      </c>
      <c r="BD2079" s="331">
        <f>SQRT(($R2079-Infrastructure!J$11)^2+($S2079-Infrastructure!K$11)^2)</f>
        <v>36.5728041</v>
      </c>
      <c r="BE2079" s="333">
        <f>SQRT(($R2079-Infrastructure!J$12)^2+($S2079-Infrastructure!K$12)^2)</f>
        <v>53.48429676</v>
      </c>
      <c r="BF2079" s="330">
        <f t="shared" si="161"/>
        <v>5.423098745</v>
      </c>
      <c r="BG2079" s="333">
        <f t="shared" si="162"/>
        <v>53.48429676</v>
      </c>
      <c r="BH2079" s="1119"/>
      <c r="BI2079" s="319" t="str">
        <f t="shared" ref="BI2079:BR2079" si="1009">IF(ISNUMBER(FIND(BI$3, $CO2079)), "Y", "")</f>
        <v/>
      </c>
      <c r="BJ2079" s="319" t="str">
        <f t="shared" si="1009"/>
        <v/>
      </c>
      <c r="BK2079" s="319" t="str">
        <f t="shared" si="1009"/>
        <v/>
      </c>
      <c r="BL2079" s="319" t="str">
        <f t="shared" si="1009"/>
        <v/>
      </c>
      <c r="BM2079" s="319" t="str">
        <f t="shared" si="1009"/>
        <v/>
      </c>
      <c r="BN2079" s="319" t="str">
        <f t="shared" si="1009"/>
        <v/>
      </c>
      <c r="BO2079" s="319" t="str">
        <f t="shared" si="1009"/>
        <v/>
      </c>
      <c r="BP2079" s="319" t="str">
        <f t="shared" si="1009"/>
        <v/>
      </c>
      <c r="BQ2079" s="319" t="str">
        <f t="shared" si="1009"/>
        <v/>
      </c>
      <c r="BR2079" s="319" t="str">
        <f t="shared" si="1009"/>
        <v/>
      </c>
      <c r="BS2079" s="330">
        <f t="shared" si="185"/>
        <v>0</v>
      </c>
      <c r="BT2079" s="331">
        <f t="shared" si="170"/>
        <v>0</v>
      </c>
      <c r="BU2079" s="920"/>
      <c r="BV2079" s="903" t="str">
        <f t="shared" si="186"/>
        <v/>
      </c>
      <c r="BW2079" s="908"/>
      <c r="BX2079" s="908"/>
      <c r="BY2079" s="331" t="b">
        <f t="shared" si="201"/>
        <v>0</v>
      </c>
      <c r="BZ2079" s="331"/>
      <c r="CA2079" s="462" t="str">
        <f t="shared" ref="CA2079:CJ2079" si="1010">IF(ISNUMBER(FIND(BI$3, $CP2079)), "Y", "")</f>
        <v/>
      </c>
      <c r="CB2079" s="319" t="str">
        <f t="shared" si="1010"/>
        <v/>
      </c>
      <c r="CC2079" s="319" t="str">
        <f t="shared" si="1010"/>
        <v/>
      </c>
      <c r="CD2079" s="319" t="str">
        <f t="shared" si="1010"/>
        <v/>
      </c>
      <c r="CE2079" s="319" t="str">
        <f t="shared" si="1010"/>
        <v/>
      </c>
      <c r="CF2079" s="319" t="str">
        <f t="shared" si="1010"/>
        <v/>
      </c>
      <c r="CG2079" s="319" t="str">
        <f t="shared" si="1010"/>
        <v/>
      </c>
      <c r="CH2079" s="319" t="str">
        <f t="shared" si="1010"/>
        <v/>
      </c>
      <c r="CI2079" s="319" t="str">
        <f t="shared" si="1010"/>
        <v/>
      </c>
      <c r="CJ2079" s="319" t="str">
        <f t="shared" si="1010"/>
        <v/>
      </c>
      <c r="CK2079" s="342">
        <f t="shared" si="182"/>
        <v>0</v>
      </c>
      <c r="CL2079" s="333">
        <f t="shared" si="183"/>
        <v>0</v>
      </c>
      <c r="CM2079" s="1079"/>
      <c r="CN2079" s="1005" t="s">
        <v>3089</v>
      </c>
      <c r="CO2079" s="1005"/>
      <c r="CP2079" s="1005"/>
    </row>
    <row r="2080">
      <c r="A2080" s="1258"/>
      <c r="B2080" s="1129"/>
      <c r="C2080" s="1122"/>
      <c r="D2080" s="1129" t="s">
        <v>986</v>
      </c>
      <c r="E2080" s="1124">
        <v>24.0</v>
      </c>
      <c r="F2080" s="108"/>
      <c r="G2080" s="1126">
        <v>0.5833333333333334</v>
      </c>
      <c r="H2080" s="1145"/>
      <c r="I2080" s="1145"/>
      <c r="J2080" s="1146"/>
      <c r="K2080" s="1127">
        <v>0.6111111111111112</v>
      </c>
      <c r="L2080" s="1128">
        <v>0.027777777777777776</v>
      </c>
      <c r="M2080" s="1129" t="s">
        <v>173</v>
      </c>
      <c r="N2080" s="100" t="s">
        <v>187</v>
      </c>
      <c r="O2080" s="1131" t="s">
        <v>2807</v>
      </c>
      <c r="P2080" s="1131" t="s">
        <v>279</v>
      </c>
      <c r="Q2080" s="1132"/>
      <c r="R2080" s="137">
        <v>5.0</v>
      </c>
      <c r="S2080" s="1129">
        <v>10.4</v>
      </c>
      <c r="T2080" s="100">
        <v>0.55</v>
      </c>
      <c r="U2080" s="1124">
        <v>0.25</v>
      </c>
      <c r="V2080" s="1124"/>
      <c r="W2080" s="1124"/>
      <c r="X2080" s="1124"/>
      <c r="Y2080" s="1124"/>
      <c r="Z2080" s="1130" t="s">
        <v>339</v>
      </c>
      <c r="AA2080" s="1130"/>
      <c r="AB2080" s="1130" t="s">
        <v>279</v>
      </c>
      <c r="AC2080" s="1133">
        <v>10.0</v>
      </c>
      <c r="AD2080" s="1131"/>
      <c r="AE2080" s="1131"/>
      <c r="AF2080" s="1131"/>
      <c r="AG2080" s="1131"/>
      <c r="AH2080" s="1131"/>
      <c r="AI2080" s="1131"/>
      <c r="AJ2080" s="1133"/>
      <c r="AK2080" s="1134"/>
      <c r="AL2080" s="1131"/>
      <c r="AM2080" s="1131"/>
      <c r="AN2080" s="1131"/>
      <c r="AO2080" s="1131"/>
      <c r="AP2080" s="1131"/>
      <c r="AQ2080" s="1131"/>
      <c r="AR2080" s="1131"/>
      <c r="AS2080" s="1133"/>
      <c r="AT2080" s="1197" t="str">
        <f t="shared" si="428"/>
        <v>0-1</v>
      </c>
      <c r="AU2080" s="1194"/>
      <c r="AV2080" s="662">
        <f>SQRT(($R2080-Infrastructure!J$3)^2+($S2080-Infrastructure!K$3)^2)</f>
        <v>19.24421991</v>
      </c>
      <c r="AW2080" s="641">
        <f>SQRT(($R2080-Infrastructure!J$4)^2+($S2080-Infrastructure!K$4)^2)</f>
        <v>9.102197537</v>
      </c>
      <c r="AX2080" s="641">
        <f>SQRT(($R2080-Infrastructure!J$5)^2+($S2080-Infrastructure!K$5)^2)</f>
        <v>7.495331881</v>
      </c>
      <c r="AY2080" s="641">
        <f>SQRT(($R2080-Infrastructure!J$6)^2+($S2080-Infrastructure!K$6)^2)</f>
        <v>11.31459235</v>
      </c>
      <c r="AZ2080" s="641">
        <f>SQRT(($R2080-Infrastructure!J$7)^2+($S2080-Infrastructure!K$7)^2)</f>
        <v>18.50027027</v>
      </c>
      <c r="BA2080" s="641">
        <f>SQRT(($R2080-Infrastructure!J$8)^2+($S2080-Infrastructure!K$8)^2)</f>
        <v>27.05586813</v>
      </c>
      <c r="BB2080" s="641">
        <f>SQRT(($R2080-Infrastructure!J$9)^2+($S2080-Infrastructure!K$9)^2)</f>
        <v>35.39901129</v>
      </c>
      <c r="BC2080" s="641">
        <f>SQRT(($R2080-Infrastructure!J$10)^2+($S2080-Infrastructure!K$10)^2)</f>
        <v>35.30099149</v>
      </c>
      <c r="BD2080" s="641">
        <f>SQRT(($R2080-Infrastructure!J$11)^2+($S2080-Infrastructure!K$11)^2)</f>
        <v>39.81205847</v>
      </c>
      <c r="BE2080" s="642">
        <f>SQRT(($R2080-Infrastructure!J$12)^2+($S2080-Infrastructure!K$12)^2)</f>
        <v>48.0235359</v>
      </c>
      <c r="BF2080" s="662">
        <f t="shared" si="161"/>
        <v>7.495331881</v>
      </c>
      <c r="BG2080" s="642">
        <f t="shared" si="162"/>
        <v>48.0235359</v>
      </c>
      <c r="BH2080" s="1135"/>
      <c r="BI2080" s="663" t="str">
        <f t="shared" ref="BI2080:BR2080" si="1011">IF(ISNUMBER(FIND(BI$3, $CO2080)), "Y", "")</f>
        <v/>
      </c>
      <c r="BJ2080" s="663" t="str">
        <f t="shared" si="1011"/>
        <v/>
      </c>
      <c r="BK2080" s="663" t="str">
        <f t="shared" si="1011"/>
        <v/>
      </c>
      <c r="BL2080" s="663" t="str">
        <f t="shared" si="1011"/>
        <v/>
      </c>
      <c r="BM2080" s="663" t="str">
        <f t="shared" si="1011"/>
        <v/>
      </c>
      <c r="BN2080" s="663" t="str">
        <f t="shared" si="1011"/>
        <v/>
      </c>
      <c r="BO2080" s="663" t="str">
        <f t="shared" si="1011"/>
        <v/>
      </c>
      <c r="BP2080" s="663" t="str">
        <f t="shared" si="1011"/>
        <v/>
      </c>
      <c r="BQ2080" s="663" t="str">
        <f t="shared" si="1011"/>
        <v/>
      </c>
      <c r="BR2080" s="663" t="str">
        <f t="shared" si="1011"/>
        <v/>
      </c>
      <c r="BS2080" s="662">
        <f t="shared" si="185"/>
        <v>0</v>
      </c>
      <c r="BT2080" s="641">
        <f t="shared" si="170"/>
        <v>0</v>
      </c>
      <c r="BU2080" s="937"/>
      <c r="BV2080" s="930" t="str">
        <f t="shared" si="186"/>
        <v/>
      </c>
      <c r="BW2080" s="939"/>
      <c r="BX2080" s="939"/>
      <c r="BY2080" s="641" t="b">
        <f t="shared" si="201"/>
        <v>0</v>
      </c>
      <c r="BZ2080" s="641"/>
      <c r="CA2080" s="635" t="str">
        <f t="shared" ref="CA2080:CJ2080" si="1012">IF(ISNUMBER(FIND(BI$3, $CP2080)), "Y", "")</f>
        <v/>
      </c>
      <c r="CB2080" s="663" t="str">
        <f t="shared" si="1012"/>
        <v/>
      </c>
      <c r="CC2080" s="663" t="str">
        <f t="shared" si="1012"/>
        <v/>
      </c>
      <c r="CD2080" s="663" t="str">
        <f t="shared" si="1012"/>
        <v/>
      </c>
      <c r="CE2080" s="663" t="str">
        <f t="shared" si="1012"/>
        <v/>
      </c>
      <c r="CF2080" s="663" t="str">
        <f t="shared" si="1012"/>
        <v/>
      </c>
      <c r="CG2080" s="663" t="str">
        <f t="shared" si="1012"/>
        <v/>
      </c>
      <c r="CH2080" s="663" t="str">
        <f t="shared" si="1012"/>
        <v/>
      </c>
      <c r="CI2080" s="663" t="str">
        <f t="shared" si="1012"/>
        <v/>
      </c>
      <c r="CJ2080" s="663" t="str">
        <f t="shared" si="1012"/>
        <v/>
      </c>
      <c r="CK2080" s="743">
        <f t="shared" si="182"/>
        <v>0</v>
      </c>
      <c r="CL2080" s="642">
        <f t="shared" si="183"/>
        <v>0</v>
      </c>
      <c r="CM2080" s="1090"/>
      <c r="CN2080" s="1036" t="s">
        <v>3089</v>
      </c>
      <c r="CO2080" s="1036"/>
      <c r="CP2080" s="1036"/>
    </row>
    <row r="2081">
      <c r="A2081" s="1257" t="s">
        <v>130</v>
      </c>
      <c r="B2081" s="1113" t="s">
        <v>1761</v>
      </c>
      <c r="C2081" s="1107">
        <v>45594.0</v>
      </c>
      <c r="D2081" s="1113" t="s">
        <v>986</v>
      </c>
      <c r="E2081" s="1108">
        <v>26.0</v>
      </c>
      <c r="F2081" s="112" t="s">
        <v>3096</v>
      </c>
      <c r="G2081" s="1110">
        <v>0.3888888888888889</v>
      </c>
      <c r="H2081" s="1110">
        <v>0.3892361111111111</v>
      </c>
      <c r="I2081" s="1110"/>
      <c r="J2081" s="1111"/>
      <c r="K2081" s="1111">
        <v>0.66875</v>
      </c>
      <c r="L2081" s="1112">
        <v>0.2795138888888889</v>
      </c>
      <c r="M2081" s="1113" t="s">
        <v>166</v>
      </c>
      <c r="N2081" s="110" t="s">
        <v>187</v>
      </c>
      <c r="O2081" s="1115" t="s">
        <v>3065</v>
      </c>
      <c r="P2081" s="1115" t="s">
        <v>272</v>
      </c>
      <c r="Q2081" s="1116"/>
      <c r="R2081" s="120">
        <v>15.0</v>
      </c>
      <c r="S2081" s="1113">
        <v>8.2</v>
      </c>
      <c r="T2081" s="110">
        <v>1.0</v>
      </c>
      <c r="U2081" s="1108">
        <v>0.8</v>
      </c>
      <c r="V2081" s="1108"/>
      <c r="W2081" s="1108"/>
      <c r="X2081" s="1108"/>
      <c r="Y2081" s="1108"/>
      <c r="Z2081" s="1114" t="s">
        <v>343</v>
      </c>
      <c r="AA2081" s="1114"/>
      <c r="AB2081" s="1114" t="s">
        <v>392</v>
      </c>
      <c r="AC2081" s="1117">
        <v>10.0</v>
      </c>
      <c r="AD2081" s="1115"/>
      <c r="AE2081" s="1115"/>
      <c r="AF2081" s="1115"/>
      <c r="AG2081" s="1115"/>
      <c r="AH2081" s="1115"/>
      <c r="AI2081" s="1115"/>
      <c r="AJ2081" s="1117"/>
      <c r="AK2081" s="1118"/>
      <c r="AL2081" s="1115"/>
      <c r="AM2081" s="1115"/>
      <c r="AN2081" s="1115"/>
      <c r="AO2081" s="1115"/>
      <c r="AP2081" s="1115"/>
      <c r="AQ2081" s="1115"/>
      <c r="AR2081" s="1115"/>
      <c r="AS2081" s="1117"/>
      <c r="AT2081" s="1196" t="str">
        <f t="shared" si="428"/>
        <v>0-1</v>
      </c>
      <c r="AU2081" s="1193"/>
      <c r="AV2081" s="330">
        <f>SQRT(($R2081-Infrastructure!J$3)^2+($S2081-Infrastructure!K$3)^2)</f>
        <v>25.74062936</v>
      </c>
      <c r="AW2081" s="331">
        <f>SQRT(($R2081-Infrastructure!J$4)^2+($S2081-Infrastructure!K$4)^2)</f>
        <v>18.06239187</v>
      </c>
      <c r="AX2081" s="331">
        <f>SQRT(($R2081-Infrastructure!J$5)^2+($S2081-Infrastructure!K$5)^2)</f>
        <v>15.61089363</v>
      </c>
      <c r="AY2081" s="331">
        <f>SQRT(($R2081-Infrastructure!J$6)^2+($S2081-Infrastructure!K$6)^2)</f>
        <v>9.296235797</v>
      </c>
      <c r="AZ2081" s="331">
        <f>SQRT(($R2081-Infrastructure!J$7)^2+($S2081-Infrastructure!K$7)^2)</f>
        <v>9.626006441</v>
      </c>
      <c r="BA2081" s="331">
        <f>SQRT(($R2081-Infrastructure!J$8)^2+($S2081-Infrastructure!K$8)^2)</f>
        <v>17.04171353</v>
      </c>
      <c r="BB2081" s="331">
        <f>SQRT(($R2081-Infrastructure!J$9)^2+($S2081-Infrastructure!K$9)^2)</f>
        <v>25.19146681</v>
      </c>
      <c r="BC2081" s="331">
        <f>SQRT(($R2081-Infrastructure!J$10)^2+($S2081-Infrastructure!K$10)^2)</f>
        <v>25.90829983</v>
      </c>
      <c r="BD2081" s="331">
        <f>SQRT(($R2081-Infrastructure!J$11)^2+($S2081-Infrastructure!K$11)^2)</f>
        <v>32.67537299</v>
      </c>
      <c r="BE2081" s="333">
        <f>SQRT(($R2081-Infrastructure!J$12)^2+($S2081-Infrastructure!K$12)^2)</f>
        <v>47.74452848</v>
      </c>
      <c r="BF2081" s="330">
        <f t="shared" si="161"/>
        <v>9.296235797</v>
      </c>
      <c r="BG2081" s="333">
        <f t="shared" si="162"/>
        <v>47.74452848</v>
      </c>
      <c r="BH2081" s="1119"/>
      <c r="BI2081" s="319" t="str">
        <f t="shared" ref="BI2081:BR2081" si="1013">IF(ISNUMBER(FIND(BI$3, $CO2081)), "Y", "")</f>
        <v/>
      </c>
      <c r="BJ2081" s="319" t="str">
        <f t="shared" si="1013"/>
        <v/>
      </c>
      <c r="BK2081" s="319" t="str">
        <f t="shared" si="1013"/>
        <v/>
      </c>
      <c r="BL2081" s="319" t="str">
        <f t="shared" si="1013"/>
        <v/>
      </c>
      <c r="BM2081" s="319" t="str">
        <f t="shared" si="1013"/>
        <v/>
      </c>
      <c r="BN2081" s="319" t="str">
        <f t="shared" si="1013"/>
        <v/>
      </c>
      <c r="BO2081" s="319" t="str">
        <f t="shared" si="1013"/>
        <v/>
      </c>
      <c r="BP2081" s="319" t="str">
        <f t="shared" si="1013"/>
        <v/>
      </c>
      <c r="BQ2081" s="319" t="str">
        <f t="shared" si="1013"/>
        <v/>
      </c>
      <c r="BR2081" s="319" t="str">
        <f t="shared" si="1013"/>
        <v/>
      </c>
      <c r="BS2081" s="330">
        <f t="shared" si="185"/>
        <v>0</v>
      </c>
      <c r="BT2081" s="331">
        <f t="shared" si="170"/>
        <v>0</v>
      </c>
      <c r="BU2081" s="920"/>
      <c r="BV2081" s="903" t="str">
        <f t="shared" si="186"/>
        <v/>
      </c>
      <c r="BW2081" s="908"/>
      <c r="BX2081" s="908"/>
      <c r="BY2081" s="331" t="b">
        <f t="shared" si="201"/>
        <v>0</v>
      </c>
      <c r="BZ2081" s="331"/>
      <c r="CA2081" s="462" t="str">
        <f t="shared" ref="CA2081:CJ2081" si="1014">IF(ISNUMBER(FIND(BI$3, $CP2081)), "Y", "")</f>
        <v/>
      </c>
      <c r="CB2081" s="319" t="str">
        <f t="shared" si="1014"/>
        <v/>
      </c>
      <c r="CC2081" s="319" t="str">
        <f t="shared" si="1014"/>
        <v/>
      </c>
      <c r="CD2081" s="319" t="str">
        <f t="shared" si="1014"/>
        <v/>
      </c>
      <c r="CE2081" s="319" t="str">
        <f t="shared" si="1014"/>
        <v/>
      </c>
      <c r="CF2081" s="319" t="str">
        <f t="shared" si="1014"/>
        <v/>
      </c>
      <c r="CG2081" s="319" t="str">
        <f t="shared" si="1014"/>
        <v/>
      </c>
      <c r="CH2081" s="319" t="str">
        <f t="shared" si="1014"/>
        <v/>
      </c>
      <c r="CI2081" s="319" t="str">
        <f t="shared" si="1014"/>
        <v/>
      </c>
      <c r="CJ2081" s="319" t="str">
        <f t="shared" si="1014"/>
        <v/>
      </c>
      <c r="CK2081" s="342">
        <f t="shared" si="182"/>
        <v>0</v>
      </c>
      <c r="CL2081" s="333">
        <f t="shared" si="183"/>
        <v>0</v>
      </c>
      <c r="CM2081" s="1079"/>
      <c r="CN2081" s="1005" t="s">
        <v>3097</v>
      </c>
      <c r="CO2081" s="1005"/>
      <c r="CP2081" s="1005"/>
    </row>
    <row r="2082">
      <c r="A2082" s="266"/>
      <c r="B2082" s="1113" t="s">
        <v>1761</v>
      </c>
      <c r="C2082" s="1107">
        <v>45594.0</v>
      </c>
      <c r="D2082" s="1113" t="s">
        <v>986</v>
      </c>
      <c r="E2082" s="1108">
        <v>27.0</v>
      </c>
      <c r="F2082" s="112" t="s">
        <v>3098</v>
      </c>
      <c r="G2082" s="1110">
        <v>0.38958333333333334</v>
      </c>
      <c r="H2082" s="1110">
        <v>0.3902777777777778</v>
      </c>
      <c r="I2082" s="1110"/>
      <c r="J2082" s="1111"/>
      <c r="K2082" s="1111">
        <v>0.4201388888888889</v>
      </c>
      <c r="L2082" s="1112">
        <v>0.029861111111111113</v>
      </c>
      <c r="M2082" s="1113" t="s">
        <v>166</v>
      </c>
      <c r="N2082" s="110" t="s">
        <v>187</v>
      </c>
      <c r="O2082" s="1115" t="s">
        <v>202</v>
      </c>
      <c r="P2082" s="1115" t="s">
        <v>256</v>
      </c>
      <c r="Q2082" s="1116"/>
      <c r="R2082" s="120">
        <v>24.4</v>
      </c>
      <c r="S2082" s="1113">
        <v>7.5</v>
      </c>
      <c r="T2082" s="110">
        <v>0.6</v>
      </c>
      <c r="U2082" s="1108">
        <v>0.7</v>
      </c>
      <c r="V2082" s="1108"/>
      <c r="W2082" s="1108"/>
      <c r="X2082" s="1108"/>
      <c r="Y2082" s="1108"/>
      <c r="Z2082" s="1114" t="s">
        <v>339</v>
      </c>
      <c r="AA2082" s="1114"/>
      <c r="AB2082" s="1114" t="s">
        <v>349</v>
      </c>
      <c r="AC2082" s="1117">
        <v>5.0</v>
      </c>
      <c r="AD2082" s="1115"/>
      <c r="AE2082" s="1115"/>
      <c r="AF2082" s="1115"/>
      <c r="AG2082" s="1115"/>
      <c r="AH2082" s="1115"/>
      <c r="AI2082" s="1115"/>
      <c r="AJ2082" s="1117"/>
      <c r="AK2082" s="1118"/>
      <c r="AL2082" s="1115"/>
      <c r="AM2082" s="1115"/>
      <c r="AN2082" s="1115"/>
      <c r="AO2082" s="1115"/>
      <c r="AP2082" s="1115"/>
      <c r="AQ2082" s="1115"/>
      <c r="AR2082" s="1115"/>
      <c r="AS2082" s="1117"/>
      <c r="AT2082" s="1196" t="str">
        <f t="shared" si="428"/>
        <v>0-1</v>
      </c>
      <c r="AU2082" s="1193"/>
      <c r="AV2082" s="330">
        <f>SQRT(($R2082-Infrastructure!J$3)^2+($S2082-Infrastructure!K$3)^2)</f>
        <v>32.68103426</v>
      </c>
      <c r="AW2082" s="331">
        <f>SQRT(($R2082-Infrastructure!J$4)^2+($S2082-Infrastructure!K$4)^2)</f>
        <v>26.76153957</v>
      </c>
      <c r="AX2082" s="331">
        <f>SQRT(($R2082-Infrastructure!J$5)^2+($S2082-Infrastructure!K$5)^2)</f>
        <v>24.81632527</v>
      </c>
      <c r="AY2082" s="331">
        <f>SQRT(($R2082-Infrastructure!J$6)^2+($S2082-Infrastructure!K$6)^2)</f>
        <v>16.01030918</v>
      </c>
      <c r="AZ2082" s="331">
        <f>SQRT(($R2082-Infrastructure!J$7)^2+($S2082-Infrastructure!K$7)^2)</f>
        <v>8.188406438</v>
      </c>
      <c r="BA2082" s="331">
        <f>SQRT(($R2082-Infrastructure!J$8)^2+($S2082-Infrastructure!K$8)^2)</f>
        <v>9.183136719</v>
      </c>
      <c r="BB2082" s="331">
        <f>SQRT(($R2082-Infrastructure!J$9)^2+($S2082-Infrastructure!K$9)^2)</f>
        <v>15.78353573</v>
      </c>
      <c r="BC2082" s="331">
        <f>SQRT(($R2082-Infrastructure!J$10)^2+($S2082-Infrastructure!K$10)^2)</f>
        <v>17.30924608</v>
      </c>
      <c r="BD2082" s="331">
        <f>SQRT(($R2082-Infrastructure!J$11)^2+($S2082-Infrastructure!K$11)^2)</f>
        <v>26.68126684</v>
      </c>
      <c r="BE2082" s="333">
        <f>SQRT(($R2082-Infrastructure!J$12)^2+($S2082-Infrastructure!K$12)^2)</f>
        <v>48.08752437</v>
      </c>
      <c r="BF2082" s="330">
        <f t="shared" si="161"/>
        <v>8.188406438</v>
      </c>
      <c r="BG2082" s="333">
        <f t="shared" si="162"/>
        <v>48.08752437</v>
      </c>
      <c r="BH2082" s="1119"/>
      <c r="BI2082" s="319" t="str">
        <f t="shared" ref="BI2082:BR2082" si="1015">IF(ISNUMBER(FIND(BI$3, $CO2082)), "Y", "")</f>
        <v/>
      </c>
      <c r="BJ2082" s="319" t="str">
        <f t="shared" si="1015"/>
        <v/>
      </c>
      <c r="BK2082" s="319" t="str">
        <f t="shared" si="1015"/>
        <v/>
      </c>
      <c r="BL2082" s="319" t="str">
        <f t="shared" si="1015"/>
        <v/>
      </c>
      <c r="BM2082" s="319" t="str">
        <f t="shared" si="1015"/>
        <v/>
      </c>
      <c r="BN2082" s="319" t="str">
        <f t="shared" si="1015"/>
        <v/>
      </c>
      <c r="BO2082" s="319" t="str">
        <f t="shared" si="1015"/>
        <v/>
      </c>
      <c r="BP2082" s="319" t="str">
        <f t="shared" si="1015"/>
        <v/>
      </c>
      <c r="BQ2082" s="319" t="str">
        <f t="shared" si="1015"/>
        <v/>
      </c>
      <c r="BR2082" s="319" t="str">
        <f t="shared" si="1015"/>
        <v/>
      </c>
      <c r="BS2082" s="330">
        <f t="shared" si="185"/>
        <v>0</v>
      </c>
      <c r="BT2082" s="331">
        <f t="shared" si="170"/>
        <v>0</v>
      </c>
      <c r="BU2082" s="920"/>
      <c r="BV2082" s="903" t="str">
        <f t="shared" si="186"/>
        <v/>
      </c>
      <c r="BW2082" s="908"/>
      <c r="BX2082" s="908"/>
      <c r="BY2082" s="331" t="b">
        <f t="shared" si="201"/>
        <v>0</v>
      </c>
      <c r="BZ2082" s="331"/>
      <c r="CA2082" s="462" t="str">
        <f t="shared" ref="CA2082:CJ2082" si="1016">IF(ISNUMBER(FIND(BI$3, $CP2082)), "Y", "")</f>
        <v/>
      </c>
      <c r="CB2082" s="319" t="str">
        <f t="shared" si="1016"/>
        <v/>
      </c>
      <c r="CC2082" s="319" t="str">
        <f t="shared" si="1016"/>
        <v/>
      </c>
      <c r="CD2082" s="319" t="str">
        <f t="shared" si="1016"/>
        <v/>
      </c>
      <c r="CE2082" s="319" t="str">
        <f t="shared" si="1016"/>
        <v/>
      </c>
      <c r="CF2082" s="319" t="str">
        <f t="shared" si="1016"/>
        <v/>
      </c>
      <c r="CG2082" s="319" t="str">
        <f t="shared" si="1016"/>
        <v/>
      </c>
      <c r="CH2082" s="319" t="str">
        <f t="shared" si="1016"/>
        <v/>
      </c>
      <c r="CI2082" s="319" t="str">
        <f t="shared" si="1016"/>
        <v/>
      </c>
      <c r="CJ2082" s="319" t="str">
        <f t="shared" si="1016"/>
        <v/>
      </c>
      <c r="CK2082" s="342">
        <f t="shared" si="182"/>
        <v>0</v>
      </c>
      <c r="CL2082" s="333">
        <f t="shared" si="183"/>
        <v>0</v>
      </c>
      <c r="CM2082" s="1079"/>
      <c r="CN2082" s="1005" t="s">
        <v>3097</v>
      </c>
      <c r="CO2082" s="1005"/>
      <c r="CP2082" s="1005"/>
    </row>
    <row r="2083">
      <c r="A2083" s="266"/>
      <c r="B2083" s="1113" t="s">
        <v>1761</v>
      </c>
      <c r="C2083" s="1107">
        <v>45594.0</v>
      </c>
      <c r="D2083" s="1113" t="s">
        <v>986</v>
      </c>
      <c r="E2083" s="1108" t="s">
        <v>2766</v>
      </c>
      <c r="F2083" s="112" t="s">
        <v>3099</v>
      </c>
      <c r="G2083" s="1110">
        <v>0.4701388888888889</v>
      </c>
      <c r="H2083" s="1110">
        <v>0.47118055555555555</v>
      </c>
      <c r="I2083" s="1110"/>
      <c r="J2083" s="1111"/>
      <c r="K2083" s="1111">
        <v>0.5019097222222222</v>
      </c>
      <c r="L2083" s="1112">
        <v>0.030729166666666665</v>
      </c>
      <c r="M2083" s="1113" t="s">
        <v>166</v>
      </c>
      <c r="N2083" s="110" t="s">
        <v>187</v>
      </c>
      <c r="O2083" s="1115" t="s">
        <v>199</v>
      </c>
      <c r="P2083" s="1115" t="s">
        <v>272</v>
      </c>
      <c r="Q2083" s="1116"/>
      <c r="R2083" s="120">
        <v>16.1</v>
      </c>
      <c r="S2083" s="1113">
        <v>9.6</v>
      </c>
      <c r="T2083" s="110">
        <v>0.01</v>
      </c>
      <c r="U2083" s="1108">
        <v>1.25</v>
      </c>
      <c r="V2083" s="1108"/>
      <c r="W2083" s="1108"/>
      <c r="X2083" s="1108"/>
      <c r="Y2083" s="1108"/>
      <c r="Z2083" s="1114" t="s">
        <v>351</v>
      </c>
      <c r="AA2083" s="1114"/>
      <c r="AB2083" s="1114" t="s">
        <v>384</v>
      </c>
      <c r="AC2083" s="1117">
        <v>6.0</v>
      </c>
      <c r="AD2083" s="1115"/>
      <c r="AE2083" s="1115"/>
      <c r="AF2083" s="1115"/>
      <c r="AG2083" s="1115"/>
      <c r="AH2083" s="1115"/>
      <c r="AI2083" s="1115"/>
      <c r="AJ2083" s="1117"/>
      <c r="AK2083" s="1118"/>
      <c r="AL2083" s="1115"/>
      <c r="AM2083" s="1115"/>
      <c r="AN2083" s="1115"/>
      <c r="AO2083" s="1115"/>
      <c r="AP2083" s="1115"/>
      <c r="AQ2083" s="1115"/>
      <c r="AR2083" s="1115"/>
      <c r="AS2083" s="1117"/>
      <c r="AT2083" s="1196" t="str">
        <f t="shared" si="428"/>
        <v>1-10</v>
      </c>
      <c r="AU2083" s="1193"/>
      <c r="AV2083" s="330">
        <f>SQRT(($R2083-Infrastructure!J$3)^2+($S2083-Infrastructure!K$3)^2)</f>
        <v>25.32686321</v>
      </c>
      <c r="AW2083" s="331">
        <f>SQRT(($R2083-Infrastructure!J$4)^2+($S2083-Infrastructure!K$4)^2)</f>
        <v>18.33575742</v>
      </c>
      <c r="AX2083" s="331">
        <f>SQRT(($R2083-Infrastructure!J$5)^2+($S2083-Infrastructure!K$5)^2)</f>
        <v>17.00617535</v>
      </c>
      <c r="AY2083" s="331">
        <f>SQRT(($R2083-Infrastructure!J$6)^2+($S2083-Infrastructure!K$6)^2)</f>
        <v>11.06752005</v>
      </c>
      <c r="AZ2083" s="331">
        <f>SQRT(($R2083-Infrastructure!J$7)^2+($S2083-Infrastructure!K$7)^2)</f>
        <v>10.28834292</v>
      </c>
      <c r="BA2083" s="331">
        <f>SQRT(($R2083-Infrastructure!J$8)^2+($S2083-Infrastructure!K$8)^2)</f>
        <v>16.80743883</v>
      </c>
      <c r="BB2083" s="331">
        <f>SQRT(($R2083-Infrastructure!J$9)^2+($S2083-Infrastructure!K$9)^2)</f>
        <v>24.31995066</v>
      </c>
      <c r="BC2083" s="331">
        <f>SQRT(($R2083-Infrastructure!J$10)^2+($S2083-Infrastructure!K$10)^2)</f>
        <v>24.50244886</v>
      </c>
      <c r="BD2083" s="331">
        <f>SQRT(($R2083-Infrastructure!J$11)^2+($S2083-Infrastructure!K$11)^2)</f>
        <v>30.93816413</v>
      </c>
      <c r="BE2083" s="333">
        <f>SQRT(($R2083-Infrastructure!J$12)^2+($S2083-Infrastructure!K$12)^2)</f>
        <v>46.21655548</v>
      </c>
      <c r="BF2083" s="330">
        <f t="shared" si="161"/>
        <v>10.28834292</v>
      </c>
      <c r="BG2083" s="333">
        <f t="shared" si="162"/>
        <v>46.21655548</v>
      </c>
      <c r="BH2083" s="1119"/>
      <c r="BI2083" s="319" t="str">
        <f t="shared" ref="BI2083:BR2083" si="1017">IF(ISNUMBER(FIND(BI$3, $CO2083)), "Y", "")</f>
        <v/>
      </c>
      <c r="BJ2083" s="319" t="str">
        <f t="shared" si="1017"/>
        <v/>
      </c>
      <c r="BK2083" s="319" t="str">
        <f t="shared" si="1017"/>
        <v/>
      </c>
      <c r="BL2083" s="319" t="str">
        <f t="shared" si="1017"/>
        <v/>
      </c>
      <c r="BM2083" s="319" t="str">
        <f t="shared" si="1017"/>
        <v/>
      </c>
      <c r="BN2083" s="319" t="str">
        <f t="shared" si="1017"/>
        <v/>
      </c>
      <c r="BO2083" s="319" t="str">
        <f t="shared" si="1017"/>
        <v/>
      </c>
      <c r="BP2083" s="319" t="str">
        <f t="shared" si="1017"/>
        <v/>
      </c>
      <c r="BQ2083" s="319" t="str">
        <f t="shared" si="1017"/>
        <v/>
      </c>
      <c r="BR2083" s="319" t="str">
        <f t="shared" si="1017"/>
        <v/>
      </c>
      <c r="BS2083" s="330">
        <f t="shared" si="185"/>
        <v>0</v>
      </c>
      <c r="BT2083" s="331">
        <f t="shared" si="170"/>
        <v>0</v>
      </c>
      <c r="BU2083" s="920"/>
      <c r="BV2083" s="903" t="str">
        <f t="shared" si="186"/>
        <v/>
      </c>
      <c r="BW2083" s="908"/>
      <c r="BX2083" s="908"/>
      <c r="BY2083" s="331" t="b">
        <f t="shared" si="201"/>
        <v>0</v>
      </c>
      <c r="BZ2083" s="331"/>
      <c r="CA2083" s="462" t="str">
        <f t="shared" ref="CA2083:CJ2083" si="1018">IF(ISNUMBER(FIND(BI$3, $CP2083)), "Y", "")</f>
        <v/>
      </c>
      <c r="CB2083" s="319" t="str">
        <f t="shared" si="1018"/>
        <v/>
      </c>
      <c r="CC2083" s="319" t="str">
        <f t="shared" si="1018"/>
        <v/>
      </c>
      <c r="CD2083" s="319" t="str">
        <f t="shared" si="1018"/>
        <v/>
      </c>
      <c r="CE2083" s="319" t="str">
        <f t="shared" si="1018"/>
        <v/>
      </c>
      <c r="CF2083" s="319" t="str">
        <f t="shared" si="1018"/>
        <v/>
      </c>
      <c r="CG2083" s="319" t="str">
        <f t="shared" si="1018"/>
        <v/>
      </c>
      <c r="CH2083" s="319" t="str">
        <f t="shared" si="1018"/>
        <v/>
      </c>
      <c r="CI2083" s="319" t="str">
        <f t="shared" si="1018"/>
        <v/>
      </c>
      <c r="CJ2083" s="319" t="str">
        <f t="shared" si="1018"/>
        <v/>
      </c>
      <c r="CK2083" s="342">
        <f t="shared" si="182"/>
        <v>0</v>
      </c>
      <c r="CL2083" s="333">
        <f t="shared" si="183"/>
        <v>0</v>
      </c>
      <c r="CM2083" s="1079"/>
      <c r="CN2083" s="1005" t="s">
        <v>3097</v>
      </c>
      <c r="CO2083" s="1005"/>
      <c r="CP2083" s="1005"/>
    </row>
    <row r="2084">
      <c r="A2084" s="266"/>
      <c r="B2084" s="1113" t="s">
        <v>1761</v>
      </c>
      <c r="C2084" s="1107">
        <v>45594.0</v>
      </c>
      <c r="D2084" s="1113" t="s">
        <v>986</v>
      </c>
      <c r="E2084" s="1108" t="s">
        <v>2769</v>
      </c>
      <c r="F2084" s="112" t="s">
        <v>3100</v>
      </c>
      <c r="G2084" s="1110">
        <v>0.4704861111111111</v>
      </c>
      <c r="H2084" s="1110">
        <v>0.4708333333333333</v>
      </c>
      <c r="I2084" s="1110"/>
      <c r="J2084" s="1111"/>
      <c r="K2084" s="1111">
        <v>0.5022569444444445</v>
      </c>
      <c r="L2084" s="1112">
        <v>0.03142361111111111</v>
      </c>
      <c r="M2084" s="1113" t="s">
        <v>166</v>
      </c>
      <c r="N2084" s="110" t="s">
        <v>187</v>
      </c>
      <c r="O2084" s="1115" t="s">
        <v>204</v>
      </c>
      <c r="P2084" s="1115" t="s">
        <v>262</v>
      </c>
      <c r="Q2084" s="1116"/>
      <c r="R2084" s="120">
        <v>17.9</v>
      </c>
      <c r="S2084" s="1113">
        <v>3.6</v>
      </c>
      <c r="T2084" s="110">
        <v>2.57</v>
      </c>
      <c r="U2084" s="1108">
        <v>1.1</v>
      </c>
      <c r="V2084" s="1108"/>
      <c r="W2084" s="1108"/>
      <c r="X2084" s="1108"/>
      <c r="Y2084" s="1108"/>
      <c r="Z2084" s="1114" t="s">
        <v>365</v>
      </c>
      <c r="AA2084" s="1114"/>
      <c r="AB2084" s="1114" t="s">
        <v>388</v>
      </c>
      <c r="AC2084" s="1117">
        <v>8.0</v>
      </c>
      <c r="AD2084" s="1115"/>
      <c r="AE2084" s="1115"/>
      <c r="AF2084" s="1115"/>
      <c r="AG2084" s="1115"/>
      <c r="AH2084" s="1115"/>
      <c r="AI2084" s="1115"/>
      <c r="AJ2084" s="1117"/>
      <c r="AK2084" s="1118"/>
      <c r="AL2084" s="1115"/>
      <c r="AM2084" s="1115"/>
      <c r="AN2084" s="1115"/>
      <c r="AO2084" s="1115"/>
      <c r="AP2084" s="1115"/>
      <c r="AQ2084" s="1115"/>
      <c r="AR2084" s="1115"/>
      <c r="AS2084" s="1117"/>
      <c r="AT2084" s="1196" t="str">
        <f t="shared" si="428"/>
        <v>1-10</v>
      </c>
      <c r="AU2084" s="1193"/>
      <c r="AV2084" s="330">
        <f>SQRT(($R2084-Infrastructure!J$3)^2+($S2084-Infrastructure!K$3)^2)</f>
        <v>31.16616755</v>
      </c>
      <c r="AW2084" s="331">
        <f>SQRT(($R2084-Infrastructure!J$4)^2+($S2084-Infrastructure!K$4)^2)</f>
        <v>23.08419373</v>
      </c>
      <c r="AX2084" s="331">
        <f>SQRT(($R2084-Infrastructure!J$5)^2+($S2084-Infrastructure!K$5)^2)</f>
        <v>18.26170857</v>
      </c>
      <c r="AY2084" s="331">
        <f>SQRT(($R2084-Infrastructure!J$6)^2+($S2084-Infrastructure!K$6)^2)</f>
        <v>8.469356528</v>
      </c>
      <c r="AZ2084" s="331">
        <f>SQRT(($R2084-Infrastructure!J$7)^2+($S2084-Infrastructure!K$7)^2)</f>
        <v>4.201190308</v>
      </c>
      <c r="BA2084" s="331">
        <f>SQRT(($R2084-Infrastructure!J$8)^2+($S2084-Infrastructure!K$8)^2)</f>
        <v>12.63843345</v>
      </c>
      <c r="BB2084" s="331">
        <f>SQRT(($R2084-Infrastructure!J$9)^2+($S2084-Infrastructure!K$9)^2)</f>
        <v>22.15084648</v>
      </c>
      <c r="BC2084" s="331">
        <f>SQRT(($R2084-Infrastructure!J$10)^2+($S2084-Infrastructure!K$10)^2)</f>
        <v>24.86704647</v>
      </c>
      <c r="BD2084" s="331">
        <f>SQRT(($R2084-Infrastructure!J$11)^2+($S2084-Infrastructure!K$11)^2)</f>
        <v>33.80014793</v>
      </c>
      <c r="BE2084" s="333">
        <f>SQRT(($R2084-Infrastructure!J$12)^2+($S2084-Infrastructure!K$12)^2)</f>
        <v>52.02470567</v>
      </c>
      <c r="BF2084" s="330">
        <f t="shared" si="161"/>
        <v>4.201190308</v>
      </c>
      <c r="BG2084" s="333">
        <f t="shared" si="162"/>
        <v>52.02470567</v>
      </c>
      <c r="BH2084" s="1119"/>
      <c r="BI2084" s="319" t="str">
        <f t="shared" ref="BI2084:BR2084" si="1019">IF(ISNUMBER(FIND(BI$3, $CO2084)), "Y", "")</f>
        <v/>
      </c>
      <c r="BJ2084" s="319" t="str">
        <f t="shared" si="1019"/>
        <v/>
      </c>
      <c r="BK2084" s="319" t="str">
        <f t="shared" si="1019"/>
        <v/>
      </c>
      <c r="BL2084" s="319" t="str">
        <f t="shared" si="1019"/>
        <v/>
      </c>
      <c r="BM2084" s="319" t="str">
        <f t="shared" si="1019"/>
        <v/>
      </c>
      <c r="BN2084" s="319" t="str">
        <f t="shared" si="1019"/>
        <v/>
      </c>
      <c r="BO2084" s="319" t="str">
        <f t="shared" si="1019"/>
        <v/>
      </c>
      <c r="BP2084" s="319" t="str">
        <f t="shared" si="1019"/>
        <v/>
      </c>
      <c r="BQ2084" s="319" t="str">
        <f t="shared" si="1019"/>
        <v/>
      </c>
      <c r="BR2084" s="319" t="str">
        <f t="shared" si="1019"/>
        <v/>
      </c>
      <c r="BS2084" s="330">
        <f t="shared" si="185"/>
        <v>0</v>
      </c>
      <c r="BT2084" s="331">
        <f t="shared" si="170"/>
        <v>0</v>
      </c>
      <c r="BU2084" s="920"/>
      <c r="BV2084" s="903" t="str">
        <f t="shared" si="186"/>
        <v/>
      </c>
      <c r="BW2084" s="908"/>
      <c r="BX2084" s="908"/>
      <c r="BY2084" s="331" t="b">
        <f t="shared" si="201"/>
        <v>0</v>
      </c>
      <c r="BZ2084" s="331"/>
      <c r="CA2084" s="462" t="str">
        <f t="shared" ref="CA2084:CJ2084" si="1020">IF(ISNUMBER(FIND(BI$3, $CP2084)), "Y", "")</f>
        <v/>
      </c>
      <c r="CB2084" s="319" t="str">
        <f t="shared" si="1020"/>
        <v/>
      </c>
      <c r="CC2084" s="319" t="str">
        <f t="shared" si="1020"/>
        <v/>
      </c>
      <c r="CD2084" s="319" t="str">
        <f t="shared" si="1020"/>
        <v/>
      </c>
      <c r="CE2084" s="319" t="str">
        <f t="shared" si="1020"/>
        <v/>
      </c>
      <c r="CF2084" s="319" t="str">
        <f t="shared" si="1020"/>
        <v/>
      </c>
      <c r="CG2084" s="319" t="str">
        <f t="shared" si="1020"/>
        <v/>
      </c>
      <c r="CH2084" s="319" t="str">
        <f t="shared" si="1020"/>
        <v/>
      </c>
      <c r="CI2084" s="319" t="str">
        <f t="shared" si="1020"/>
        <v/>
      </c>
      <c r="CJ2084" s="319" t="str">
        <f t="shared" si="1020"/>
        <v/>
      </c>
      <c r="CK2084" s="342">
        <f t="shared" si="182"/>
        <v>0</v>
      </c>
      <c r="CL2084" s="333">
        <f t="shared" si="183"/>
        <v>0</v>
      </c>
      <c r="CM2084" s="1079"/>
      <c r="CN2084" s="1005" t="s">
        <v>3097</v>
      </c>
      <c r="CO2084" s="1005"/>
      <c r="CP2084" s="1005"/>
    </row>
    <row r="2085">
      <c r="A2085" s="266"/>
      <c r="B2085" s="1113" t="s">
        <v>1761</v>
      </c>
      <c r="C2085" s="1107">
        <v>45594.0</v>
      </c>
      <c r="D2085" s="1113" t="s">
        <v>986</v>
      </c>
      <c r="E2085" s="1108">
        <v>29.0</v>
      </c>
      <c r="F2085" s="112" t="s">
        <v>3101</v>
      </c>
      <c r="G2085" s="1110">
        <v>0.5451388888888888</v>
      </c>
      <c r="H2085" s="1110">
        <v>0.5458333333333333</v>
      </c>
      <c r="I2085" s="1110"/>
      <c r="J2085" s="1111"/>
      <c r="K2085" s="1111">
        <v>0.5736111111111111</v>
      </c>
      <c r="L2085" s="1112">
        <v>0.027777777777777776</v>
      </c>
      <c r="M2085" s="1113" t="s">
        <v>166</v>
      </c>
      <c r="N2085" s="110" t="s">
        <v>187</v>
      </c>
      <c r="O2085" s="1115" t="s">
        <v>197</v>
      </c>
      <c r="P2085" s="1115" t="s">
        <v>272</v>
      </c>
      <c r="Q2085" s="1116"/>
      <c r="R2085" s="120">
        <v>37.1</v>
      </c>
      <c r="S2085" s="1113">
        <v>6.9</v>
      </c>
      <c r="T2085" s="110">
        <v>6.5</v>
      </c>
      <c r="U2085" s="1108">
        <v>0.55</v>
      </c>
      <c r="V2085" s="1108"/>
      <c r="W2085" s="1108"/>
      <c r="X2085" s="1108"/>
      <c r="Y2085" s="1108"/>
      <c r="Z2085" s="1114" t="s">
        <v>379</v>
      </c>
      <c r="AA2085" s="1114"/>
      <c r="AB2085" s="1114" t="s">
        <v>384</v>
      </c>
      <c r="AC2085" s="1117">
        <v>6.0</v>
      </c>
      <c r="AD2085" s="1115"/>
      <c r="AE2085" s="1115"/>
      <c r="AF2085" s="1115"/>
      <c r="AG2085" s="1115"/>
      <c r="AH2085" s="1115"/>
      <c r="AI2085" s="1115"/>
      <c r="AJ2085" s="1117"/>
      <c r="AK2085" s="1118"/>
      <c r="AL2085" s="1115"/>
      <c r="AM2085" s="1115"/>
      <c r="AN2085" s="1115"/>
      <c r="AO2085" s="1115"/>
      <c r="AP2085" s="1115"/>
      <c r="AQ2085" s="1115"/>
      <c r="AR2085" s="1115"/>
      <c r="AS2085" s="1117"/>
      <c r="AT2085" s="1196" t="str">
        <f t="shared" si="428"/>
        <v>0-1</v>
      </c>
      <c r="AU2085" s="1193"/>
      <c r="AV2085" s="330">
        <f>SQRT(($R2085-Infrastructure!J$3)^2+($S2085-Infrastructure!K$3)^2)</f>
        <v>43.39078243</v>
      </c>
      <c r="AW2085" s="331">
        <f>SQRT(($R2085-Infrastructure!J$4)^2+($S2085-Infrastructure!K$4)^2)</f>
        <v>38.95600082</v>
      </c>
      <c r="AX2085" s="331">
        <f>SQRT(($R2085-Infrastructure!J$5)^2+($S2085-Infrastructure!K$5)^2)</f>
        <v>37.44329045</v>
      </c>
      <c r="AY2085" s="331">
        <f>SQRT(($R2085-Infrastructure!J$6)^2+($S2085-Infrastructure!K$6)^2)</f>
        <v>27.79496357</v>
      </c>
      <c r="AZ2085" s="331">
        <f>SQRT(($R2085-Infrastructure!J$7)^2+($S2085-Infrastructure!K$7)^2)</f>
        <v>17.86393014</v>
      </c>
      <c r="BA2085" s="331">
        <f>SQRT(($R2085-Infrastructure!J$8)^2+($S2085-Infrastructure!K$8)^2)</f>
        <v>9.620810777</v>
      </c>
      <c r="BB2085" s="331">
        <f>SQRT(($R2085-Infrastructure!J$9)^2+($S2085-Infrastructure!K$9)^2)</f>
        <v>3.413209633</v>
      </c>
      <c r="BC2085" s="331">
        <f>SQRT(($R2085-Infrastructure!J$10)^2+($S2085-Infrastructure!K$10)^2)</f>
        <v>8.603487665</v>
      </c>
      <c r="BD2085" s="331">
        <f>SQRT(($R2085-Infrastructure!J$11)^2+($S2085-Infrastructure!K$11)^2)</f>
        <v>22.31636171</v>
      </c>
      <c r="BE2085" s="333">
        <f>SQRT(($R2085-Infrastructure!J$12)^2+($S2085-Infrastructure!K$12)^2)</f>
        <v>51.04233537</v>
      </c>
      <c r="BF2085" s="330">
        <f t="shared" si="161"/>
        <v>3.413209633</v>
      </c>
      <c r="BG2085" s="333">
        <f t="shared" si="162"/>
        <v>51.04233537</v>
      </c>
      <c r="BH2085" s="1119"/>
      <c r="BI2085" s="319" t="str">
        <f t="shared" ref="BI2085:BR2085" si="1021">IF(ISNUMBER(FIND(BI$3, $CO2085)), "Y", "")</f>
        <v/>
      </c>
      <c r="BJ2085" s="319" t="str">
        <f t="shared" si="1021"/>
        <v/>
      </c>
      <c r="BK2085" s="319" t="str">
        <f t="shared" si="1021"/>
        <v/>
      </c>
      <c r="BL2085" s="319" t="str">
        <f t="shared" si="1021"/>
        <v/>
      </c>
      <c r="BM2085" s="319" t="str">
        <f t="shared" si="1021"/>
        <v/>
      </c>
      <c r="BN2085" s="319" t="str">
        <f t="shared" si="1021"/>
        <v/>
      </c>
      <c r="BO2085" s="319" t="str">
        <f t="shared" si="1021"/>
        <v/>
      </c>
      <c r="BP2085" s="319" t="str">
        <f t="shared" si="1021"/>
        <v/>
      </c>
      <c r="BQ2085" s="319" t="str">
        <f t="shared" si="1021"/>
        <v/>
      </c>
      <c r="BR2085" s="319" t="str">
        <f t="shared" si="1021"/>
        <v/>
      </c>
      <c r="BS2085" s="330">
        <f t="shared" si="185"/>
        <v>0</v>
      </c>
      <c r="BT2085" s="331">
        <f t="shared" si="170"/>
        <v>0</v>
      </c>
      <c r="BU2085" s="920"/>
      <c r="BV2085" s="903" t="str">
        <f t="shared" si="186"/>
        <v/>
      </c>
      <c r="BW2085" s="908"/>
      <c r="BX2085" s="908"/>
      <c r="BY2085" s="331" t="b">
        <f t="shared" si="201"/>
        <v>0</v>
      </c>
      <c r="BZ2085" s="331"/>
      <c r="CA2085" s="462" t="str">
        <f t="shared" ref="CA2085:CJ2085" si="1022">IF(ISNUMBER(FIND(BI$3, $CP2085)), "Y", "")</f>
        <v/>
      </c>
      <c r="CB2085" s="319" t="str">
        <f t="shared" si="1022"/>
        <v/>
      </c>
      <c r="CC2085" s="319" t="str">
        <f t="shared" si="1022"/>
        <v/>
      </c>
      <c r="CD2085" s="319" t="str">
        <f t="shared" si="1022"/>
        <v/>
      </c>
      <c r="CE2085" s="319" t="str">
        <f t="shared" si="1022"/>
        <v/>
      </c>
      <c r="CF2085" s="319" t="str">
        <f t="shared" si="1022"/>
        <v/>
      </c>
      <c r="CG2085" s="319" t="str">
        <f t="shared" si="1022"/>
        <v/>
      </c>
      <c r="CH2085" s="319" t="str">
        <f t="shared" si="1022"/>
        <v/>
      </c>
      <c r="CI2085" s="319" t="str">
        <f t="shared" si="1022"/>
        <v/>
      </c>
      <c r="CJ2085" s="319" t="str">
        <f t="shared" si="1022"/>
        <v/>
      </c>
      <c r="CK2085" s="342">
        <f t="shared" si="182"/>
        <v>0</v>
      </c>
      <c r="CL2085" s="333">
        <f t="shared" si="183"/>
        <v>0</v>
      </c>
      <c r="CM2085" s="1079"/>
      <c r="CN2085" s="1005" t="s">
        <v>3102</v>
      </c>
      <c r="CO2085" s="1005"/>
      <c r="CP2085" s="1005"/>
    </row>
    <row r="2086">
      <c r="A2086" s="266"/>
      <c r="B2086" s="1113" t="s">
        <v>1761</v>
      </c>
      <c r="C2086" s="1107">
        <v>45594.0</v>
      </c>
      <c r="D2086" s="1113" t="s">
        <v>986</v>
      </c>
      <c r="E2086" s="1108">
        <v>30.0</v>
      </c>
      <c r="F2086" s="112" t="s">
        <v>3103</v>
      </c>
      <c r="G2086" s="1110">
        <v>0.625</v>
      </c>
      <c r="H2086" s="1110">
        <v>0.6263888888888889</v>
      </c>
      <c r="I2086" s="1110"/>
      <c r="J2086" s="1111"/>
      <c r="K2086" s="1111">
        <v>0.6680555555555555</v>
      </c>
      <c r="L2086" s="1112">
        <v>0.041666666666666664</v>
      </c>
      <c r="M2086" s="1113" t="s">
        <v>166</v>
      </c>
      <c r="N2086" s="110" t="s">
        <v>187</v>
      </c>
      <c r="O2086" s="1115" t="s">
        <v>204</v>
      </c>
      <c r="P2086" s="1115" t="s">
        <v>262</v>
      </c>
      <c r="Q2086" s="1116"/>
      <c r="R2086" s="120">
        <v>17.9</v>
      </c>
      <c r="S2086" s="1113">
        <v>3.6</v>
      </c>
      <c r="T2086" s="110">
        <v>2.57</v>
      </c>
      <c r="U2086" s="1108">
        <v>3.8</v>
      </c>
      <c r="V2086" s="1108"/>
      <c r="W2086" s="1108"/>
      <c r="X2086" s="1108"/>
      <c r="Y2086" s="1108"/>
      <c r="Z2086" s="1114" t="s">
        <v>365</v>
      </c>
      <c r="AA2086" s="1114"/>
      <c r="AB2086" s="1114" t="s">
        <v>388</v>
      </c>
      <c r="AC2086" s="1117">
        <v>8.0</v>
      </c>
      <c r="AD2086" s="1115"/>
      <c r="AE2086" s="1115"/>
      <c r="AF2086" s="1115"/>
      <c r="AG2086" s="1115"/>
      <c r="AH2086" s="1115"/>
      <c r="AI2086" s="1115"/>
      <c r="AJ2086" s="1117"/>
      <c r="AK2086" s="1118"/>
      <c r="AL2086" s="1115"/>
      <c r="AM2086" s="1115"/>
      <c r="AN2086" s="1115"/>
      <c r="AO2086" s="1115"/>
      <c r="AP2086" s="1115"/>
      <c r="AQ2086" s="1115"/>
      <c r="AR2086" s="1115"/>
      <c r="AS2086" s="1117"/>
      <c r="AT2086" s="1196" t="str">
        <f t="shared" si="428"/>
        <v>1-10</v>
      </c>
      <c r="AU2086" s="1193"/>
      <c r="AV2086" s="330">
        <f>SQRT(($R2086-Infrastructure!J$3)^2+($S2086-Infrastructure!K$3)^2)</f>
        <v>31.16616755</v>
      </c>
      <c r="AW2086" s="331">
        <f>SQRT(($R2086-Infrastructure!J$4)^2+($S2086-Infrastructure!K$4)^2)</f>
        <v>23.08419373</v>
      </c>
      <c r="AX2086" s="331">
        <f>SQRT(($R2086-Infrastructure!J$5)^2+($S2086-Infrastructure!K$5)^2)</f>
        <v>18.26170857</v>
      </c>
      <c r="AY2086" s="331">
        <f>SQRT(($R2086-Infrastructure!J$6)^2+($S2086-Infrastructure!K$6)^2)</f>
        <v>8.469356528</v>
      </c>
      <c r="AZ2086" s="331">
        <f>SQRT(($R2086-Infrastructure!J$7)^2+($S2086-Infrastructure!K$7)^2)</f>
        <v>4.201190308</v>
      </c>
      <c r="BA2086" s="331">
        <f>SQRT(($R2086-Infrastructure!J$8)^2+($S2086-Infrastructure!K$8)^2)</f>
        <v>12.63843345</v>
      </c>
      <c r="BB2086" s="331">
        <f>SQRT(($R2086-Infrastructure!J$9)^2+($S2086-Infrastructure!K$9)^2)</f>
        <v>22.15084648</v>
      </c>
      <c r="BC2086" s="331">
        <f>SQRT(($R2086-Infrastructure!J$10)^2+($S2086-Infrastructure!K$10)^2)</f>
        <v>24.86704647</v>
      </c>
      <c r="BD2086" s="331">
        <f>SQRT(($R2086-Infrastructure!J$11)^2+($S2086-Infrastructure!K$11)^2)</f>
        <v>33.80014793</v>
      </c>
      <c r="BE2086" s="333">
        <f>SQRT(($R2086-Infrastructure!J$12)^2+($S2086-Infrastructure!K$12)^2)</f>
        <v>52.02470567</v>
      </c>
      <c r="BF2086" s="330">
        <f t="shared" si="161"/>
        <v>4.201190308</v>
      </c>
      <c r="BG2086" s="333">
        <f t="shared" si="162"/>
        <v>52.02470567</v>
      </c>
      <c r="BH2086" s="1119"/>
      <c r="BI2086" s="319" t="str">
        <f t="shared" ref="BI2086:BR2086" si="1023">IF(ISNUMBER(FIND(BI$3, $CO2086)), "Y", "")</f>
        <v/>
      </c>
      <c r="BJ2086" s="319" t="str">
        <f t="shared" si="1023"/>
        <v/>
      </c>
      <c r="BK2086" s="319" t="str">
        <f t="shared" si="1023"/>
        <v>Y</v>
      </c>
      <c r="BL2086" s="319" t="str">
        <f t="shared" si="1023"/>
        <v>Y</v>
      </c>
      <c r="BM2086" s="319" t="str">
        <f t="shared" si="1023"/>
        <v>Y</v>
      </c>
      <c r="BN2086" s="319" t="str">
        <f t="shared" si="1023"/>
        <v>Y</v>
      </c>
      <c r="BO2086" s="319" t="str">
        <f t="shared" si="1023"/>
        <v>Y</v>
      </c>
      <c r="BP2086" s="319" t="str">
        <f t="shared" si="1023"/>
        <v/>
      </c>
      <c r="BQ2086" s="319" t="str">
        <f t="shared" si="1023"/>
        <v/>
      </c>
      <c r="BR2086" s="319" t="str">
        <f t="shared" si="1023"/>
        <v/>
      </c>
      <c r="BS2086" s="330">
        <f t="shared" si="185"/>
        <v>4.201190308</v>
      </c>
      <c r="BT2086" s="331">
        <f t="shared" si="170"/>
        <v>22.15084648</v>
      </c>
      <c r="BU2086" s="920">
        <v>0.6264004629629629</v>
      </c>
      <c r="BV2086" s="903">
        <f t="shared" si="186"/>
        <v>0.001400462963</v>
      </c>
      <c r="BW2086" s="908">
        <v>13.8</v>
      </c>
      <c r="BX2086" s="908">
        <v>16.6</v>
      </c>
      <c r="BY2086" s="331">
        <f t="shared" si="201"/>
        <v>13.63121418</v>
      </c>
      <c r="BZ2086" s="331"/>
      <c r="CA2086" s="462" t="str">
        <f t="shared" ref="CA2086:CJ2086" si="1024">IF(ISNUMBER(FIND(BI$3, $CP2086)), "Y", "")</f>
        <v/>
      </c>
      <c r="CB2086" s="319" t="str">
        <f t="shared" si="1024"/>
        <v/>
      </c>
      <c r="CC2086" s="319" t="str">
        <f t="shared" si="1024"/>
        <v/>
      </c>
      <c r="CD2086" s="319" t="str">
        <f t="shared" si="1024"/>
        <v/>
      </c>
      <c r="CE2086" s="319" t="str">
        <f t="shared" si="1024"/>
        <v/>
      </c>
      <c r="CF2086" s="319" t="str">
        <f t="shared" si="1024"/>
        <v/>
      </c>
      <c r="CG2086" s="319" t="str">
        <f t="shared" si="1024"/>
        <v/>
      </c>
      <c r="CH2086" s="319" t="str">
        <f t="shared" si="1024"/>
        <v/>
      </c>
      <c r="CI2086" s="319" t="str">
        <f t="shared" si="1024"/>
        <v/>
      </c>
      <c r="CJ2086" s="319" t="str">
        <f t="shared" si="1024"/>
        <v/>
      </c>
      <c r="CK2086" s="342">
        <f t="shared" si="182"/>
        <v>0</v>
      </c>
      <c r="CL2086" s="333">
        <f t="shared" si="183"/>
        <v>0</v>
      </c>
      <c r="CM2086" s="1079"/>
      <c r="CN2086" s="1005" t="s">
        <v>3102</v>
      </c>
      <c r="CO2086" s="1005" t="s">
        <v>2619</v>
      </c>
      <c r="CP2086" s="1005"/>
    </row>
    <row r="2087">
      <c r="A2087" s="266"/>
      <c r="B2087" s="1113" t="s">
        <v>1761</v>
      </c>
      <c r="C2087" s="1107">
        <v>45594.0</v>
      </c>
      <c r="D2087" s="103"/>
      <c r="E2087" s="1137"/>
      <c r="F2087" s="112" t="s">
        <v>3104</v>
      </c>
      <c r="G2087" s="1110">
        <v>0.6711805555555556</v>
      </c>
      <c r="H2087" s="1138"/>
      <c r="I2087" s="1138"/>
      <c r="J2087" s="1139"/>
      <c r="K2087" s="1111">
        <v>0.6725694444444444</v>
      </c>
      <c r="L2087" s="1112">
        <v>0.001388888888888889</v>
      </c>
      <c r="M2087" s="1113" t="s">
        <v>166</v>
      </c>
      <c r="N2087" s="110" t="s">
        <v>188</v>
      </c>
      <c r="O2087" s="1140"/>
      <c r="P2087" s="1115" t="s">
        <v>292</v>
      </c>
      <c r="Q2087" s="1116"/>
      <c r="R2087" s="1141"/>
      <c r="S2087" s="1113"/>
      <c r="T2087" s="1143"/>
      <c r="U2087" s="1108" t="s">
        <v>323</v>
      </c>
      <c r="V2087" s="1108"/>
      <c r="W2087" s="1108"/>
      <c r="X2087" s="1108"/>
      <c r="Y2087" s="1108"/>
      <c r="Z2087" s="1114" t="s">
        <v>323</v>
      </c>
      <c r="AA2087" s="1114"/>
      <c r="AB2087" s="1114" t="s">
        <v>323</v>
      </c>
      <c r="AC2087" s="1117" t="s">
        <v>323</v>
      </c>
      <c r="AD2087" s="1115"/>
      <c r="AE2087" s="1115"/>
      <c r="AF2087" s="1115"/>
      <c r="AG2087" s="1115"/>
      <c r="AH2087" s="1115"/>
      <c r="AI2087" s="1115"/>
      <c r="AJ2087" s="1117"/>
      <c r="AK2087" s="1118"/>
      <c r="AL2087" s="1115"/>
      <c r="AM2087" s="1115"/>
      <c r="AN2087" s="1115"/>
      <c r="AO2087" s="1115"/>
      <c r="AP2087" s="1115"/>
      <c r="AQ2087" s="1115"/>
      <c r="AR2087" s="1115"/>
      <c r="AS2087" s="1117"/>
      <c r="AT2087" s="1196" t="str">
        <f t="shared" si="428"/>
        <v/>
      </c>
      <c r="AU2087" s="1193"/>
      <c r="AV2087" s="330">
        <f>SQRT(($R2087-Infrastructure!J$3)^2+($S2087-Infrastructure!K$3)^2)</f>
        <v>28.90155705</v>
      </c>
      <c r="AW2087" s="331">
        <f>SQRT(($R2087-Infrastructure!J$4)^2+($S2087-Infrastructure!K$4)^2)</f>
        <v>17.80252791</v>
      </c>
      <c r="AX2087" s="331">
        <f>SQRT(($R2087-Infrastructure!J$5)^2+($S2087-Infrastructure!K$5)^2)</f>
        <v>5.10881591</v>
      </c>
      <c r="AY2087" s="331">
        <f>SQRT(($R2087-Infrastructure!J$6)^2+($S2087-Infrastructure!K$6)^2)</f>
        <v>10.10445446</v>
      </c>
      <c r="AZ2087" s="331">
        <f>SQRT(($R2087-Infrastructure!J$7)^2+($S2087-Infrastructure!K$7)^2)</f>
        <v>20.502195</v>
      </c>
      <c r="BA2087" s="331">
        <f>SQRT(($R2087-Infrastructure!J$8)^2+($S2087-Infrastructure!K$8)^2)</f>
        <v>30.10149498</v>
      </c>
      <c r="BB2087" s="331">
        <f>SQRT(($R2087-Infrastructure!J$9)^2+($S2087-Infrastructure!K$9)^2)</f>
        <v>40.3238143</v>
      </c>
      <c r="BC2087" s="331">
        <f>SQRT(($R2087-Infrastructure!J$10)^2+($S2087-Infrastructure!K$10)^2)</f>
        <v>42.72001873</v>
      </c>
      <c r="BD2087" s="331">
        <f>SQRT(($R2087-Infrastructure!J$11)^2+($S2087-Infrastructure!K$11)^2)</f>
        <v>49.56853841</v>
      </c>
      <c r="BE2087" s="333">
        <f>SQRT(($R2087-Infrastructure!J$12)^2+($S2087-Infrastructure!K$12)^2)</f>
        <v>59.51890456</v>
      </c>
      <c r="BF2087" s="330">
        <f t="shared" si="161"/>
        <v>5.10881591</v>
      </c>
      <c r="BG2087" s="333">
        <f t="shared" si="162"/>
        <v>59.51890456</v>
      </c>
      <c r="BH2087" s="1119"/>
      <c r="BI2087" s="319" t="str">
        <f t="shared" ref="BI2087:BR2087" si="1025">IF(ISNUMBER(FIND(BI$3, $CO2087)), "Y", "")</f>
        <v>Y</v>
      </c>
      <c r="BJ2087" s="319" t="str">
        <f t="shared" si="1025"/>
        <v/>
      </c>
      <c r="BK2087" s="319" t="str">
        <f t="shared" si="1025"/>
        <v>Y</v>
      </c>
      <c r="BL2087" s="319" t="str">
        <f t="shared" si="1025"/>
        <v>Y</v>
      </c>
      <c r="BM2087" s="319" t="str">
        <f t="shared" si="1025"/>
        <v>Y</v>
      </c>
      <c r="BN2087" s="319" t="str">
        <f t="shared" si="1025"/>
        <v>Y</v>
      </c>
      <c r="BO2087" s="319" t="str">
        <f t="shared" si="1025"/>
        <v>Y</v>
      </c>
      <c r="BP2087" s="319" t="str">
        <f t="shared" si="1025"/>
        <v/>
      </c>
      <c r="BQ2087" s="319" t="str">
        <f t="shared" si="1025"/>
        <v>Y</v>
      </c>
      <c r="BR2087" s="319" t="str">
        <f t="shared" si="1025"/>
        <v>Y</v>
      </c>
      <c r="BS2087" s="330">
        <f t="shared" si="185"/>
        <v>5.10881591</v>
      </c>
      <c r="BT2087" s="331">
        <f t="shared" si="170"/>
        <v>59.51890456</v>
      </c>
      <c r="BU2087" s="920">
        <v>0.6723842592592593</v>
      </c>
      <c r="BV2087" s="903">
        <f t="shared" si="186"/>
        <v>0.001203703704</v>
      </c>
      <c r="BW2087" s="908">
        <v>16.0</v>
      </c>
      <c r="BX2087" s="908">
        <v>42.8</v>
      </c>
      <c r="BY2087" s="331">
        <f t="shared" si="201"/>
        <v>45.69288785</v>
      </c>
      <c r="BZ2087" s="331"/>
      <c r="CA2087" s="462" t="str">
        <f t="shared" ref="CA2087:CJ2087" si="1026">IF(ISNUMBER(FIND(BI$3, $CP2087)), "Y", "")</f>
        <v/>
      </c>
      <c r="CB2087" s="319" t="str">
        <f t="shared" si="1026"/>
        <v/>
      </c>
      <c r="CC2087" s="319" t="str">
        <f t="shared" si="1026"/>
        <v/>
      </c>
      <c r="CD2087" s="319" t="str">
        <f t="shared" si="1026"/>
        <v/>
      </c>
      <c r="CE2087" s="319" t="str">
        <f t="shared" si="1026"/>
        <v/>
      </c>
      <c r="CF2087" s="319" t="str">
        <f t="shared" si="1026"/>
        <v/>
      </c>
      <c r="CG2087" s="319" t="str">
        <f t="shared" si="1026"/>
        <v/>
      </c>
      <c r="CH2087" s="319" t="str">
        <f t="shared" si="1026"/>
        <v/>
      </c>
      <c r="CI2087" s="319" t="str">
        <f t="shared" si="1026"/>
        <v/>
      </c>
      <c r="CJ2087" s="319" t="str">
        <f t="shared" si="1026"/>
        <v/>
      </c>
      <c r="CK2087" s="342">
        <f t="shared" si="182"/>
        <v>0</v>
      </c>
      <c r="CL2087" s="333">
        <f t="shared" si="183"/>
        <v>0</v>
      </c>
      <c r="CM2087" s="1079"/>
      <c r="CN2087" s="1005" t="s">
        <v>3102</v>
      </c>
      <c r="CO2087" s="1005" t="s">
        <v>3105</v>
      </c>
      <c r="CP2087" s="1005"/>
    </row>
    <row r="2088">
      <c r="A2088" s="1258"/>
      <c r="B2088" s="1129" t="s">
        <v>1761</v>
      </c>
      <c r="C2088" s="1122">
        <v>45594.0</v>
      </c>
      <c r="D2088" s="1123"/>
      <c r="E2088" s="1144"/>
      <c r="F2088" s="108" t="s">
        <v>3104</v>
      </c>
      <c r="G2088" s="1126">
        <v>0.675</v>
      </c>
      <c r="H2088" s="1145"/>
      <c r="I2088" s="1145"/>
      <c r="J2088" s="1146"/>
      <c r="K2088" s="1127">
        <v>0.6762152777777778</v>
      </c>
      <c r="L2088" s="1128">
        <v>0.0012152777777777778</v>
      </c>
      <c r="M2088" s="1129" t="s">
        <v>166</v>
      </c>
      <c r="N2088" s="100" t="s">
        <v>188</v>
      </c>
      <c r="O2088" s="1161"/>
      <c r="P2088" s="1131" t="s">
        <v>292</v>
      </c>
      <c r="Q2088" s="1132"/>
      <c r="R2088" s="1148"/>
      <c r="S2088" s="1129"/>
      <c r="T2088" s="1150"/>
      <c r="U2088" s="1124" t="s">
        <v>323</v>
      </c>
      <c r="V2088" s="1124"/>
      <c r="W2088" s="1124"/>
      <c r="X2088" s="1124"/>
      <c r="Y2088" s="1124"/>
      <c r="Z2088" s="1130" t="s">
        <v>323</v>
      </c>
      <c r="AA2088" s="1130"/>
      <c r="AB2088" s="1130" t="s">
        <v>323</v>
      </c>
      <c r="AC2088" s="1133" t="s">
        <v>323</v>
      </c>
      <c r="AD2088" s="1131"/>
      <c r="AE2088" s="1131"/>
      <c r="AF2088" s="1131"/>
      <c r="AG2088" s="1131"/>
      <c r="AH2088" s="1131"/>
      <c r="AI2088" s="1131"/>
      <c r="AJ2088" s="1133"/>
      <c r="AK2088" s="1134"/>
      <c r="AL2088" s="1131"/>
      <c r="AM2088" s="1131"/>
      <c r="AN2088" s="1131"/>
      <c r="AO2088" s="1131"/>
      <c r="AP2088" s="1131"/>
      <c r="AQ2088" s="1131"/>
      <c r="AR2088" s="1131"/>
      <c r="AS2088" s="1133"/>
      <c r="AT2088" s="1197" t="str">
        <f t="shared" si="428"/>
        <v/>
      </c>
      <c r="AU2088" s="1194"/>
      <c r="AV2088" s="662">
        <f>SQRT(($R2088-Infrastructure!J$3)^2+($S2088-Infrastructure!K$3)^2)</f>
        <v>28.90155705</v>
      </c>
      <c r="AW2088" s="641">
        <f>SQRT(($R2088-Infrastructure!J$4)^2+($S2088-Infrastructure!K$4)^2)</f>
        <v>17.80252791</v>
      </c>
      <c r="AX2088" s="641">
        <f>SQRT(($R2088-Infrastructure!J$5)^2+($S2088-Infrastructure!K$5)^2)</f>
        <v>5.10881591</v>
      </c>
      <c r="AY2088" s="641">
        <f>SQRT(($R2088-Infrastructure!J$6)^2+($S2088-Infrastructure!K$6)^2)</f>
        <v>10.10445446</v>
      </c>
      <c r="AZ2088" s="641">
        <f>SQRT(($R2088-Infrastructure!J$7)^2+($S2088-Infrastructure!K$7)^2)</f>
        <v>20.502195</v>
      </c>
      <c r="BA2088" s="641">
        <f>SQRT(($R2088-Infrastructure!J$8)^2+($S2088-Infrastructure!K$8)^2)</f>
        <v>30.10149498</v>
      </c>
      <c r="BB2088" s="641">
        <f>SQRT(($R2088-Infrastructure!J$9)^2+($S2088-Infrastructure!K$9)^2)</f>
        <v>40.3238143</v>
      </c>
      <c r="BC2088" s="641">
        <f>SQRT(($R2088-Infrastructure!J$10)^2+($S2088-Infrastructure!K$10)^2)</f>
        <v>42.72001873</v>
      </c>
      <c r="BD2088" s="641">
        <f>SQRT(($R2088-Infrastructure!J$11)^2+($S2088-Infrastructure!K$11)^2)</f>
        <v>49.56853841</v>
      </c>
      <c r="BE2088" s="642">
        <f>SQRT(($R2088-Infrastructure!J$12)^2+($S2088-Infrastructure!K$12)^2)</f>
        <v>59.51890456</v>
      </c>
      <c r="BF2088" s="662">
        <f t="shared" si="161"/>
        <v>5.10881591</v>
      </c>
      <c r="BG2088" s="642">
        <f t="shared" si="162"/>
        <v>59.51890456</v>
      </c>
      <c r="BH2088" s="1135"/>
      <c r="BI2088" s="663" t="str">
        <f t="shared" ref="BI2088:BR2088" si="1027">IF(ISNUMBER(FIND(BI$3, $CO2088)), "Y", "")</f>
        <v>Y</v>
      </c>
      <c r="BJ2088" s="663" t="str">
        <f t="shared" si="1027"/>
        <v/>
      </c>
      <c r="BK2088" s="663" t="str">
        <f t="shared" si="1027"/>
        <v>Y</v>
      </c>
      <c r="BL2088" s="663" t="str">
        <f t="shared" si="1027"/>
        <v>Y</v>
      </c>
      <c r="BM2088" s="663" t="str">
        <f t="shared" si="1027"/>
        <v>Y</v>
      </c>
      <c r="BN2088" s="663" t="str">
        <f t="shared" si="1027"/>
        <v>Y</v>
      </c>
      <c r="BO2088" s="663" t="str">
        <f t="shared" si="1027"/>
        <v>Y</v>
      </c>
      <c r="BP2088" s="663" t="str">
        <f t="shared" si="1027"/>
        <v/>
      </c>
      <c r="BQ2088" s="663" t="str">
        <f t="shared" si="1027"/>
        <v>Y</v>
      </c>
      <c r="BR2088" s="663" t="str">
        <f t="shared" si="1027"/>
        <v>Y</v>
      </c>
      <c r="BS2088" s="662">
        <f t="shared" si="185"/>
        <v>5.10881591</v>
      </c>
      <c r="BT2088" s="641">
        <f t="shared" si="170"/>
        <v>59.51890456</v>
      </c>
      <c r="BU2088" s="937">
        <v>0.6756365740740741</v>
      </c>
      <c r="BV2088" s="930">
        <f t="shared" si="186"/>
        <v>0.0006365740741</v>
      </c>
      <c r="BW2088" s="939">
        <v>13.3</v>
      </c>
      <c r="BX2088" s="939">
        <v>40.4</v>
      </c>
      <c r="BY2088" s="641">
        <f t="shared" si="201"/>
        <v>42.53292842</v>
      </c>
      <c r="BZ2088" s="641"/>
      <c r="CA2088" s="635" t="str">
        <f t="shared" ref="CA2088:CJ2088" si="1028">IF(ISNUMBER(FIND(BI$3, $CP2088)), "Y", "")</f>
        <v/>
      </c>
      <c r="CB2088" s="663" t="str">
        <f t="shared" si="1028"/>
        <v/>
      </c>
      <c r="CC2088" s="663" t="str">
        <f t="shared" si="1028"/>
        <v/>
      </c>
      <c r="CD2088" s="663" t="str">
        <f t="shared" si="1028"/>
        <v/>
      </c>
      <c r="CE2088" s="663" t="str">
        <f t="shared" si="1028"/>
        <v/>
      </c>
      <c r="CF2088" s="663" t="str">
        <f t="shared" si="1028"/>
        <v/>
      </c>
      <c r="CG2088" s="663" t="str">
        <f t="shared" si="1028"/>
        <v/>
      </c>
      <c r="CH2088" s="663" t="str">
        <f t="shared" si="1028"/>
        <v/>
      </c>
      <c r="CI2088" s="663" t="str">
        <f t="shared" si="1028"/>
        <v/>
      </c>
      <c r="CJ2088" s="663" t="str">
        <f t="shared" si="1028"/>
        <v/>
      </c>
      <c r="CK2088" s="743">
        <f t="shared" si="182"/>
        <v>0</v>
      </c>
      <c r="CL2088" s="642">
        <f t="shared" si="183"/>
        <v>0</v>
      </c>
      <c r="CM2088" s="1090"/>
      <c r="CN2088" s="1036" t="s">
        <v>3102</v>
      </c>
      <c r="CO2088" s="1036" t="s">
        <v>3105</v>
      </c>
      <c r="CP2088" s="1036"/>
    </row>
    <row r="2089">
      <c r="A2089" s="1257" t="s">
        <v>131</v>
      </c>
      <c r="B2089" s="1113" t="s">
        <v>1761</v>
      </c>
      <c r="C2089" s="1107">
        <v>45596.0</v>
      </c>
      <c r="D2089" s="1113" t="s">
        <v>986</v>
      </c>
      <c r="E2089" s="1108">
        <v>31.0</v>
      </c>
      <c r="F2089" s="112" t="s">
        <v>3106</v>
      </c>
      <c r="G2089" s="1110">
        <v>0.365625</v>
      </c>
      <c r="H2089" s="1110">
        <v>0.36666666666666664</v>
      </c>
      <c r="I2089" s="1110"/>
      <c r="J2089" s="1111"/>
      <c r="K2089" s="1111">
        <v>0.3958333333333333</v>
      </c>
      <c r="L2089" s="1112">
        <v>0.029166666666666667</v>
      </c>
      <c r="M2089" s="1113" t="s">
        <v>166</v>
      </c>
      <c r="N2089" s="110" t="s">
        <v>187</v>
      </c>
      <c r="O2089" s="1115" t="s">
        <v>198</v>
      </c>
      <c r="P2089" s="1115" t="s">
        <v>223</v>
      </c>
      <c r="Q2089" s="1116"/>
      <c r="R2089" s="120">
        <v>10.0</v>
      </c>
      <c r="S2089" s="1113">
        <v>11.7</v>
      </c>
      <c r="T2089" s="110">
        <v>0.5</v>
      </c>
      <c r="U2089" s="1108">
        <v>0.33</v>
      </c>
      <c r="V2089" s="1108"/>
      <c r="W2089" s="1108"/>
      <c r="X2089" s="1108"/>
      <c r="Y2089" s="1108"/>
      <c r="Z2089" s="1114"/>
      <c r="AA2089" s="1114"/>
      <c r="AB2089" s="1114"/>
      <c r="AC2089" s="1117"/>
      <c r="AD2089" s="1115"/>
      <c r="AE2089" s="1115"/>
      <c r="AF2089" s="1115"/>
      <c r="AG2089" s="1115"/>
      <c r="AH2089" s="1115"/>
      <c r="AI2089" s="1115"/>
      <c r="AJ2089" s="1117"/>
      <c r="AK2089" s="1118"/>
      <c r="AL2089" s="1115"/>
      <c r="AM2089" s="1115"/>
      <c r="AN2089" s="1115"/>
      <c r="AO2089" s="1115"/>
      <c r="AP2089" s="1115"/>
      <c r="AQ2089" s="1115"/>
      <c r="AR2089" s="1115"/>
      <c r="AS2089" s="1117"/>
      <c r="AT2089" s="1196" t="str">
        <f t="shared" si="428"/>
        <v>0-1</v>
      </c>
      <c r="AU2089" s="1193"/>
      <c r="AV2089" s="330">
        <f>SQRT(($R2089-Infrastructure!J$3)^2+($S2089-Infrastructure!K$3)^2)</f>
        <v>20.04819194</v>
      </c>
      <c r="AW2089" s="331">
        <f>SQRT(($R2089-Infrastructure!J$4)^2+($S2089-Infrastructure!K$4)^2)</f>
        <v>11.9707978</v>
      </c>
      <c r="AX2089" s="331">
        <f>SQRT(($R2089-Infrastructure!J$5)^2+($S2089-Infrastructure!K$5)^2)</f>
        <v>12.23315168</v>
      </c>
      <c r="AY2089" s="331">
        <f>SQRT(($R2089-Infrastructure!J$6)^2+($S2089-Infrastructure!K$6)^2)</f>
        <v>11.40043859</v>
      </c>
      <c r="AZ2089" s="331">
        <f>SQRT(($R2089-Infrastructure!J$7)^2+($S2089-Infrastructure!K$7)^2)</f>
        <v>15.49870962</v>
      </c>
      <c r="BA2089" s="331">
        <f>SQRT(($R2089-Infrastructure!J$8)^2+($S2089-Infrastructure!K$8)^2)</f>
        <v>23.10779089</v>
      </c>
      <c r="BB2089" s="331">
        <f>SQRT(($R2089-Infrastructure!J$9)^2+($S2089-Infrastructure!K$9)^2)</f>
        <v>30.71742177</v>
      </c>
      <c r="BC2089" s="331">
        <f>SQRT(($R2089-Infrastructure!J$10)^2+($S2089-Infrastructure!K$10)^2)</f>
        <v>30.18095426</v>
      </c>
      <c r="BD2089" s="331">
        <f>SQRT(($R2089-Infrastructure!J$11)^2+($S2089-Infrastructure!K$11)^2)</f>
        <v>34.80416642</v>
      </c>
      <c r="BE2089" s="333">
        <f>SQRT(($R2089-Infrastructure!J$12)^2+($S2089-Infrastructure!K$12)^2)</f>
        <v>45.28454482</v>
      </c>
      <c r="BF2089" s="330">
        <f t="shared" si="161"/>
        <v>11.40043859</v>
      </c>
      <c r="BG2089" s="333">
        <f t="shared" si="162"/>
        <v>45.28454482</v>
      </c>
      <c r="BH2089" s="1119"/>
      <c r="BI2089" s="319" t="str">
        <f t="shared" ref="BI2089:BR2089" si="1029">IF(ISNUMBER(FIND(BI$3, $CO2089)), "Y", "")</f>
        <v/>
      </c>
      <c r="BJ2089" s="319" t="str">
        <f t="shared" si="1029"/>
        <v/>
      </c>
      <c r="BK2089" s="319" t="str">
        <f t="shared" si="1029"/>
        <v/>
      </c>
      <c r="BL2089" s="319" t="str">
        <f t="shared" si="1029"/>
        <v/>
      </c>
      <c r="BM2089" s="319" t="str">
        <f t="shared" si="1029"/>
        <v/>
      </c>
      <c r="BN2089" s="319" t="str">
        <f t="shared" si="1029"/>
        <v/>
      </c>
      <c r="BO2089" s="319" t="str">
        <f t="shared" si="1029"/>
        <v/>
      </c>
      <c r="BP2089" s="319" t="str">
        <f t="shared" si="1029"/>
        <v/>
      </c>
      <c r="BQ2089" s="319" t="str">
        <f t="shared" si="1029"/>
        <v/>
      </c>
      <c r="BR2089" s="319" t="str">
        <f t="shared" si="1029"/>
        <v/>
      </c>
      <c r="BS2089" s="330">
        <f t="shared" si="185"/>
        <v>0</v>
      </c>
      <c r="BT2089" s="331">
        <f t="shared" si="170"/>
        <v>0</v>
      </c>
      <c r="BU2089" s="920"/>
      <c r="BV2089" s="903" t="str">
        <f t="shared" si="186"/>
        <v/>
      </c>
      <c r="BW2089" s="908"/>
      <c r="BX2089" s="908"/>
      <c r="BY2089" s="331" t="b">
        <f t="shared" si="201"/>
        <v>0</v>
      </c>
      <c r="BZ2089" s="331"/>
      <c r="CA2089" s="462" t="str">
        <f t="shared" ref="CA2089:CJ2089" si="1030">IF(ISNUMBER(FIND(BI$3, $CP2089)), "Y", "")</f>
        <v/>
      </c>
      <c r="CB2089" s="319" t="str">
        <f t="shared" si="1030"/>
        <v/>
      </c>
      <c r="CC2089" s="319" t="str">
        <f t="shared" si="1030"/>
        <v/>
      </c>
      <c r="CD2089" s="319" t="str">
        <f t="shared" si="1030"/>
        <v/>
      </c>
      <c r="CE2089" s="319" t="str">
        <f t="shared" si="1030"/>
        <v/>
      </c>
      <c r="CF2089" s="319" t="str">
        <f t="shared" si="1030"/>
        <v/>
      </c>
      <c r="CG2089" s="319" t="str">
        <f t="shared" si="1030"/>
        <v/>
      </c>
      <c r="CH2089" s="319" t="str">
        <f t="shared" si="1030"/>
        <v/>
      </c>
      <c r="CI2089" s="319" t="str">
        <f t="shared" si="1030"/>
        <v/>
      </c>
      <c r="CJ2089" s="319" t="str">
        <f t="shared" si="1030"/>
        <v/>
      </c>
      <c r="CK2089" s="342">
        <f t="shared" si="182"/>
        <v>0</v>
      </c>
      <c r="CL2089" s="333">
        <f t="shared" si="183"/>
        <v>0</v>
      </c>
      <c r="CM2089" s="1079"/>
      <c r="CN2089" s="1005" t="s">
        <v>3107</v>
      </c>
      <c r="CO2089" s="1005"/>
      <c r="CP2089" s="1005"/>
    </row>
    <row r="2090">
      <c r="A2090" s="266"/>
      <c r="B2090" s="1113" t="s">
        <v>1761</v>
      </c>
      <c r="C2090" s="1107">
        <v>45596.0</v>
      </c>
      <c r="D2090" s="1113" t="s">
        <v>986</v>
      </c>
      <c r="E2090" s="1108">
        <v>32.0</v>
      </c>
      <c r="F2090" s="112" t="s">
        <v>3108</v>
      </c>
      <c r="G2090" s="1110">
        <v>0.44548611111111114</v>
      </c>
      <c r="H2090" s="1110">
        <v>0.4461805555555556</v>
      </c>
      <c r="I2090" s="1110"/>
      <c r="J2090" s="1111"/>
      <c r="K2090" s="1111">
        <v>0.47638888888888886</v>
      </c>
      <c r="L2090" s="1112">
        <v>0.030208333333333334</v>
      </c>
      <c r="M2090" s="1113" t="s">
        <v>166</v>
      </c>
      <c r="N2090" s="110" t="s">
        <v>187</v>
      </c>
      <c r="O2090" s="1115" t="s">
        <v>202</v>
      </c>
      <c r="P2090" s="1115" t="s">
        <v>256</v>
      </c>
      <c r="Q2090" s="1116"/>
      <c r="R2090" s="120">
        <v>24.4</v>
      </c>
      <c r="S2090" s="1113">
        <v>7.5</v>
      </c>
      <c r="T2090" s="110">
        <v>0.57</v>
      </c>
      <c r="U2090" s="1108">
        <v>0.87</v>
      </c>
      <c r="V2090" s="1108"/>
      <c r="W2090" s="1108"/>
      <c r="X2090" s="1108"/>
      <c r="Y2090" s="1108"/>
      <c r="Z2090" s="1114"/>
      <c r="AA2090" s="1114"/>
      <c r="AB2090" s="1114"/>
      <c r="AC2090" s="1117"/>
      <c r="AD2090" s="1115"/>
      <c r="AE2090" s="1115"/>
      <c r="AF2090" s="1115"/>
      <c r="AG2090" s="1115"/>
      <c r="AH2090" s="1115"/>
      <c r="AI2090" s="1115"/>
      <c r="AJ2090" s="1117"/>
      <c r="AK2090" s="1118"/>
      <c r="AL2090" s="1115"/>
      <c r="AM2090" s="1115"/>
      <c r="AN2090" s="1115"/>
      <c r="AO2090" s="1115"/>
      <c r="AP2090" s="1115"/>
      <c r="AQ2090" s="1115"/>
      <c r="AR2090" s="1115"/>
      <c r="AS2090" s="1117"/>
      <c r="AT2090" s="1196" t="str">
        <f t="shared" si="428"/>
        <v>0-1</v>
      </c>
      <c r="AU2090" s="1193"/>
      <c r="AV2090" s="330">
        <f>SQRT(($R2090-Infrastructure!J$3)^2+($S2090-Infrastructure!K$3)^2)</f>
        <v>32.68103426</v>
      </c>
      <c r="AW2090" s="331">
        <f>SQRT(($R2090-Infrastructure!J$4)^2+($S2090-Infrastructure!K$4)^2)</f>
        <v>26.76153957</v>
      </c>
      <c r="AX2090" s="331">
        <f>SQRT(($R2090-Infrastructure!J$5)^2+($S2090-Infrastructure!K$5)^2)</f>
        <v>24.81632527</v>
      </c>
      <c r="AY2090" s="331">
        <f>SQRT(($R2090-Infrastructure!J$6)^2+($S2090-Infrastructure!K$6)^2)</f>
        <v>16.01030918</v>
      </c>
      <c r="AZ2090" s="331">
        <f>SQRT(($R2090-Infrastructure!J$7)^2+($S2090-Infrastructure!K$7)^2)</f>
        <v>8.188406438</v>
      </c>
      <c r="BA2090" s="331">
        <f>SQRT(($R2090-Infrastructure!J$8)^2+($S2090-Infrastructure!K$8)^2)</f>
        <v>9.183136719</v>
      </c>
      <c r="BB2090" s="331">
        <f>SQRT(($R2090-Infrastructure!J$9)^2+($S2090-Infrastructure!K$9)^2)</f>
        <v>15.78353573</v>
      </c>
      <c r="BC2090" s="331">
        <f>SQRT(($R2090-Infrastructure!J$10)^2+($S2090-Infrastructure!K$10)^2)</f>
        <v>17.30924608</v>
      </c>
      <c r="BD2090" s="331">
        <f>SQRT(($R2090-Infrastructure!J$11)^2+($S2090-Infrastructure!K$11)^2)</f>
        <v>26.68126684</v>
      </c>
      <c r="BE2090" s="333">
        <f>SQRT(($R2090-Infrastructure!J$12)^2+($S2090-Infrastructure!K$12)^2)</f>
        <v>48.08752437</v>
      </c>
      <c r="BF2090" s="330">
        <f t="shared" si="161"/>
        <v>8.188406438</v>
      </c>
      <c r="BG2090" s="333">
        <f t="shared" si="162"/>
        <v>48.08752437</v>
      </c>
      <c r="BH2090" s="1119"/>
      <c r="BI2090" s="319" t="str">
        <f t="shared" ref="BI2090:BR2090" si="1031">IF(ISNUMBER(FIND(BI$3, $CO2090)), "Y", "")</f>
        <v/>
      </c>
      <c r="BJ2090" s="319" t="str">
        <f t="shared" si="1031"/>
        <v/>
      </c>
      <c r="BK2090" s="319" t="str">
        <f t="shared" si="1031"/>
        <v/>
      </c>
      <c r="BL2090" s="319" t="str">
        <f t="shared" si="1031"/>
        <v/>
      </c>
      <c r="BM2090" s="319" t="str">
        <f t="shared" si="1031"/>
        <v/>
      </c>
      <c r="BN2090" s="319" t="str">
        <f t="shared" si="1031"/>
        <v/>
      </c>
      <c r="BO2090" s="319" t="str">
        <f t="shared" si="1031"/>
        <v/>
      </c>
      <c r="BP2090" s="319" t="str">
        <f t="shared" si="1031"/>
        <v/>
      </c>
      <c r="BQ2090" s="319" t="str">
        <f t="shared" si="1031"/>
        <v/>
      </c>
      <c r="BR2090" s="319" t="str">
        <f t="shared" si="1031"/>
        <v/>
      </c>
      <c r="BS2090" s="330">
        <f t="shared" si="185"/>
        <v>0</v>
      </c>
      <c r="BT2090" s="331">
        <f t="shared" si="170"/>
        <v>0</v>
      </c>
      <c r="BU2090" s="920"/>
      <c r="BV2090" s="903" t="str">
        <f t="shared" si="186"/>
        <v/>
      </c>
      <c r="BW2090" s="908"/>
      <c r="BX2090" s="908"/>
      <c r="BY2090" s="331" t="b">
        <f t="shared" si="201"/>
        <v>0</v>
      </c>
      <c r="BZ2090" s="331"/>
      <c r="CA2090" s="462" t="str">
        <f t="shared" ref="CA2090:CJ2090" si="1032">IF(ISNUMBER(FIND(BI$3, $CP2090)), "Y", "")</f>
        <v/>
      </c>
      <c r="CB2090" s="319" t="str">
        <f t="shared" si="1032"/>
        <v/>
      </c>
      <c r="CC2090" s="319" t="str">
        <f t="shared" si="1032"/>
        <v/>
      </c>
      <c r="CD2090" s="319" t="str">
        <f t="shared" si="1032"/>
        <v/>
      </c>
      <c r="CE2090" s="319" t="str">
        <f t="shared" si="1032"/>
        <v/>
      </c>
      <c r="CF2090" s="319" t="str">
        <f t="shared" si="1032"/>
        <v/>
      </c>
      <c r="CG2090" s="319" t="str">
        <f t="shared" si="1032"/>
        <v/>
      </c>
      <c r="CH2090" s="319" t="str">
        <f t="shared" si="1032"/>
        <v/>
      </c>
      <c r="CI2090" s="319" t="str">
        <f t="shared" si="1032"/>
        <v/>
      </c>
      <c r="CJ2090" s="319" t="str">
        <f t="shared" si="1032"/>
        <v/>
      </c>
      <c r="CK2090" s="342">
        <f t="shared" si="182"/>
        <v>0</v>
      </c>
      <c r="CL2090" s="333">
        <f t="shared" si="183"/>
        <v>0</v>
      </c>
      <c r="CM2090" s="1079"/>
      <c r="CN2090" s="1005" t="s">
        <v>3107</v>
      </c>
      <c r="CO2090" s="1005"/>
      <c r="CP2090" s="1005"/>
    </row>
    <row r="2091">
      <c r="A2091" s="266"/>
      <c r="B2091" s="1113" t="s">
        <v>1761</v>
      </c>
      <c r="C2091" s="1107">
        <v>45596.0</v>
      </c>
      <c r="D2091" s="1113" t="s">
        <v>986</v>
      </c>
      <c r="E2091" s="1108">
        <v>33.0</v>
      </c>
      <c r="F2091" s="112" t="s">
        <v>3109</v>
      </c>
      <c r="G2091" s="1110">
        <v>0.5423611111111111</v>
      </c>
      <c r="H2091" s="1110">
        <v>0.5430555555555555</v>
      </c>
      <c r="I2091" s="1110"/>
      <c r="J2091" s="1111"/>
      <c r="K2091" s="1111">
        <v>0.5715277777777777</v>
      </c>
      <c r="L2091" s="1112">
        <v>0.02847222222222222</v>
      </c>
      <c r="M2091" s="1113" t="s">
        <v>166</v>
      </c>
      <c r="N2091" s="110" t="s">
        <v>187</v>
      </c>
      <c r="O2091" s="1115" t="s">
        <v>202</v>
      </c>
      <c r="P2091" s="1115" t="s">
        <v>272</v>
      </c>
      <c r="Q2091" s="1116"/>
      <c r="R2091" s="120">
        <v>24.4</v>
      </c>
      <c r="S2091" s="1113">
        <v>7.5</v>
      </c>
      <c r="T2091" s="110">
        <v>0.6</v>
      </c>
      <c r="U2091" s="1108">
        <v>2.25</v>
      </c>
      <c r="V2091" s="1108"/>
      <c r="W2091" s="1108"/>
      <c r="X2091" s="1108"/>
      <c r="Y2091" s="1108"/>
      <c r="Z2091" s="1114"/>
      <c r="AA2091" s="1114"/>
      <c r="AB2091" s="1114"/>
      <c r="AC2091" s="1117"/>
      <c r="AD2091" s="1115"/>
      <c r="AE2091" s="1115"/>
      <c r="AF2091" s="1115"/>
      <c r="AG2091" s="1115"/>
      <c r="AH2091" s="1115"/>
      <c r="AI2091" s="1115"/>
      <c r="AJ2091" s="1117"/>
      <c r="AK2091" s="1118"/>
      <c r="AL2091" s="1115"/>
      <c r="AM2091" s="1115"/>
      <c r="AN2091" s="1115"/>
      <c r="AO2091" s="1115"/>
      <c r="AP2091" s="1115"/>
      <c r="AQ2091" s="1115"/>
      <c r="AR2091" s="1115"/>
      <c r="AS2091" s="1117"/>
      <c r="AT2091" s="1196" t="str">
        <f t="shared" si="428"/>
        <v>1-10</v>
      </c>
      <c r="AU2091" s="1193"/>
      <c r="AV2091" s="330">
        <f>SQRT(($R2091-Infrastructure!J$3)^2+($S2091-Infrastructure!K$3)^2)</f>
        <v>32.68103426</v>
      </c>
      <c r="AW2091" s="331">
        <f>SQRT(($R2091-Infrastructure!J$4)^2+($S2091-Infrastructure!K$4)^2)</f>
        <v>26.76153957</v>
      </c>
      <c r="AX2091" s="331">
        <f>SQRT(($R2091-Infrastructure!J$5)^2+($S2091-Infrastructure!K$5)^2)</f>
        <v>24.81632527</v>
      </c>
      <c r="AY2091" s="331">
        <f>SQRT(($R2091-Infrastructure!J$6)^2+($S2091-Infrastructure!K$6)^2)</f>
        <v>16.01030918</v>
      </c>
      <c r="AZ2091" s="331">
        <f>SQRT(($R2091-Infrastructure!J$7)^2+($S2091-Infrastructure!K$7)^2)</f>
        <v>8.188406438</v>
      </c>
      <c r="BA2091" s="331">
        <f>SQRT(($R2091-Infrastructure!J$8)^2+($S2091-Infrastructure!K$8)^2)</f>
        <v>9.183136719</v>
      </c>
      <c r="BB2091" s="331">
        <f>SQRT(($R2091-Infrastructure!J$9)^2+($S2091-Infrastructure!K$9)^2)</f>
        <v>15.78353573</v>
      </c>
      <c r="BC2091" s="331">
        <f>SQRT(($R2091-Infrastructure!J$10)^2+($S2091-Infrastructure!K$10)^2)</f>
        <v>17.30924608</v>
      </c>
      <c r="BD2091" s="331">
        <f>SQRT(($R2091-Infrastructure!J$11)^2+($S2091-Infrastructure!K$11)^2)</f>
        <v>26.68126684</v>
      </c>
      <c r="BE2091" s="333">
        <f>SQRT(($R2091-Infrastructure!J$12)^2+($S2091-Infrastructure!K$12)^2)</f>
        <v>48.08752437</v>
      </c>
      <c r="BF2091" s="330">
        <f t="shared" si="161"/>
        <v>8.188406438</v>
      </c>
      <c r="BG2091" s="333">
        <f t="shared" si="162"/>
        <v>48.08752437</v>
      </c>
      <c r="BH2091" s="1119"/>
      <c r="BI2091" s="319" t="str">
        <f t="shared" ref="BI2091:BR2091" si="1033">IF(ISNUMBER(FIND(BI$3, $CO2091)), "Y", "")</f>
        <v/>
      </c>
      <c r="BJ2091" s="319" t="str">
        <f t="shared" si="1033"/>
        <v/>
      </c>
      <c r="BK2091" s="319" t="str">
        <f t="shared" si="1033"/>
        <v>Y</v>
      </c>
      <c r="BL2091" s="319" t="str">
        <f t="shared" si="1033"/>
        <v>Y</v>
      </c>
      <c r="BM2091" s="319" t="str">
        <f t="shared" si="1033"/>
        <v>Y</v>
      </c>
      <c r="BN2091" s="319" t="str">
        <f t="shared" si="1033"/>
        <v>Y</v>
      </c>
      <c r="BO2091" s="319" t="str">
        <f t="shared" si="1033"/>
        <v>Y</v>
      </c>
      <c r="BP2091" s="319" t="str">
        <f t="shared" si="1033"/>
        <v/>
      </c>
      <c r="BQ2091" s="319" t="str">
        <f t="shared" si="1033"/>
        <v>Y</v>
      </c>
      <c r="BR2091" s="319" t="str">
        <f t="shared" si="1033"/>
        <v/>
      </c>
      <c r="BS2091" s="330">
        <f t="shared" si="185"/>
        <v>8.188406438</v>
      </c>
      <c r="BT2091" s="331">
        <f t="shared" si="170"/>
        <v>26.68126684</v>
      </c>
      <c r="BU2091" s="920">
        <v>0.542974537037037</v>
      </c>
      <c r="BV2091" s="903">
        <f t="shared" si="186"/>
        <v>0.0006134259259</v>
      </c>
      <c r="BW2091" s="908">
        <v>20.6</v>
      </c>
      <c r="BX2091" s="908">
        <v>17.2</v>
      </c>
      <c r="BY2091" s="331">
        <f t="shared" si="201"/>
        <v>10.41777327</v>
      </c>
      <c r="BZ2091" s="331"/>
      <c r="CA2091" s="462" t="str">
        <f t="shared" ref="CA2091:CJ2091" si="1034">IF(ISNUMBER(FIND(BI$3, $CP2091)), "Y", "")</f>
        <v/>
      </c>
      <c r="CB2091" s="319" t="str">
        <f t="shared" si="1034"/>
        <v/>
      </c>
      <c r="CC2091" s="319" t="str">
        <f t="shared" si="1034"/>
        <v/>
      </c>
      <c r="CD2091" s="319" t="str">
        <f t="shared" si="1034"/>
        <v/>
      </c>
      <c r="CE2091" s="319" t="str">
        <f t="shared" si="1034"/>
        <v/>
      </c>
      <c r="CF2091" s="319" t="str">
        <f t="shared" si="1034"/>
        <v/>
      </c>
      <c r="CG2091" s="319" t="str">
        <f t="shared" si="1034"/>
        <v/>
      </c>
      <c r="CH2091" s="319" t="str">
        <f t="shared" si="1034"/>
        <v/>
      </c>
      <c r="CI2091" s="319" t="str">
        <f t="shared" si="1034"/>
        <v/>
      </c>
      <c r="CJ2091" s="319" t="str">
        <f t="shared" si="1034"/>
        <v/>
      </c>
      <c r="CK2091" s="342">
        <f t="shared" si="182"/>
        <v>0</v>
      </c>
      <c r="CL2091" s="333">
        <f t="shared" si="183"/>
        <v>0</v>
      </c>
      <c r="CM2091" s="1079"/>
      <c r="CN2091" s="1005" t="s">
        <v>3110</v>
      </c>
      <c r="CO2091" s="1005" t="s">
        <v>2416</v>
      </c>
      <c r="CP2091" s="1005"/>
    </row>
    <row r="2092">
      <c r="A2092" s="266"/>
      <c r="B2092" s="1113" t="s">
        <v>1761</v>
      </c>
      <c r="C2092" s="1107">
        <v>45596.0</v>
      </c>
      <c r="D2092" s="1113" t="s">
        <v>986</v>
      </c>
      <c r="E2092" s="1108">
        <v>34.0</v>
      </c>
      <c r="F2092" s="112" t="s">
        <v>3111</v>
      </c>
      <c r="G2092" s="1110">
        <v>0.6294560185185185</v>
      </c>
      <c r="H2092" s="1110">
        <v>0.6296875</v>
      </c>
      <c r="I2092" s="1110"/>
      <c r="J2092" s="1111"/>
      <c r="K2092" s="1111">
        <v>0.6611111111111111</v>
      </c>
      <c r="L2092" s="1112">
        <v>0.03142361111111111</v>
      </c>
      <c r="M2092" s="1113" t="s">
        <v>166</v>
      </c>
      <c r="N2092" s="110" t="s">
        <v>187</v>
      </c>
      <c r="O2092" s="1115" t="s">
        <v>3065</v>
      </c>
      <c r="P2092" s="1115" t="s">
        <v>272</v>
      </c>
      <c r="Q2092" s="1116"/>
      <c r="R2092" s="120">
        <v>20.3</v>
      </c>
      <c r="S2092" s="1113">
        <v>7.8</v>
      </c>
      <c r="T2092" s="110">
        <v>1.65</v>
      </c>
      <c r="U2092" s="1108">
        <v>3.12</v>
      </c>
      <c r="V2092" s="1108"/>
      <c r="W2092" s="1108"/>
      <c r="X2092" s="1108"/>
      <c r="Y2092" s="1108"/>
      <c r="Z2092" s="1114"/>
      <c r="AA2092" s="1114"/>
      <c r="AB2092" s="1114"/>
      <c r="AC2092" s="1117"/>
      <c r="AD2092" s="1115"/>
      <c r="AE2092" s="1115"/>
      <c r="AF2092" s="1115"/>
      <c r="AG2092" s="1115"/>
      <c r="AH2092" s="1115"/>
      <c r="AI2092" s="1115"/>
      <c r="AJ2092" s="1117"/>
      <c r="AK2092" s="1118"/>
      <c r="AL2092" s="1115"/>
      <c r="AM2092" s="1115"/>
      <c r="AN2092" s="1115"/>
      <c r="AO2092" s="1115"/>
      <c r="AP2092" s="1115"/>
      <c r="AQ2092" s="1115"/>
      <c r="AR2092" s="1115"/>
      <c r="AS2092" s="1117"/>
      <c r="AT2092" s="1196" t="str">
        <f t="shared" si="428"/>
        <v>1-10</v>
      </c>
      <c r="AU2092" s="1193"/>
      <c r="AV2092" s="330">
        <f>SQRT(($R2092-Infrastructure!J$3)^2+($S2092-Infrastructure!K$3)^2)</f>
        <v>29.48847232</v>
      </c>
      <c r="AW2092" s="331">
        <f>SQRT(($R2092-Infrastructure!J$4)^2+($S2092-Infrastructure!K$4)^2)</f>
        <v>22.89890827</v>
      </c>
      <c r="AX2092" s="331">
        <f>SQRT(($R2092-Infrastructure!J$5)^2+($S2092-Infrastructure!K$5)^2)</f>
        <v>20.77618829</v>
      </c>
      <c r="AY2092" s="331">
        <f>SQRT(($R2092-Infrastructure!J$6)^2+($S2092-Infrastructure!K$6)^2)</f>
        <v>12.66056871</v>
      </c>
      <c r="AZ2092" s="331">
        <f>SQRT(($R2092-Infrastructure!J$7)^2+($S2092-Infrastructure!K$7)^2)</f>
        <v>7.502666193</v>
      </c>
      <c r="BA2092" s="331">
        <f>SQRT(($R2092-Infrastructure!J$8)^2+($S2092-Infrastructure!K$8)^2)</f>
        <v>12.34058345</v>
      </c>
      <c r="BB2092" s="331">
        <f>SQRT(($R2092-Infrastructure!J$9)^2+($S2092-Infrastructure!K$9)^2)</f>
        <v>19.88416455</v>
      </c>
      <c r="BC2092" s="331">
        <f>SQRT(($R2092-Infrastructure!J$10)^2+($S2092-Infrastructure!K$10)^2)</f>
        <v>20.97450834</v>
      </c>
      <c r="BD2092" s="331">
        <f>SQRT(($R2092-Infrastructure!J$11)^2+($S2092-Infrastructure!K$11)^2)</f>
        <v>29.07662291</v>
      </c>
      <c r="BE2092" s="333">
        <f>SQRT(($R2092-Infrastructure!J$12)^2+($S2092-Infrastructure!K$12)^2)</f>
        <v>47.71509195</v>
      </c>
      <c r="BF2092" s="330">
        <f t="shared" si="161"/>
        <v>7.502666193</v>
      </c>
      <c r="BG2092" s="333">
        <f t="shared" si="162"/>
        <v>47.71509195</v>
      </c>
      <c r="BH2092" s="1119"/>
      <c r="BI2092" s="319" t="str">
        <f t="shared" ref="BI2092:BR2092" si="1035">IF(ISNUMBER(FIND(BI$3, $CO2092)), "Y", "")</f>
        <v/>
      </c>
      <c r="BJ2092" s="319" t="str">
        <f t="shared" si="1035"/>
        <v/>
      </c>
      <c r="BK2092" s="319" t="str">
        <f t="shared" si="1035"/>
        <v>Y</v>
      </c>
      <c r="BL2092" s="319" t="str">
        <f t="shared" si="1035"/>
        <v>Y</v>
      </c>
      <c r="BM2092" s="319" t="str">
        <f t="shared" si="1035"/>
        <v>Y</v>
      </c>
      <c r="BN2092" s="319" t="str">
        <f t="shared" si="1035"/>
        <v>Y</v>
      </c>
      <c r="BO2092" s="319" t="str">
        <f t="shared" si="1035"/>
        <v>Y</v>
      </c>
      <c r="BP2092" s="319" t="str">
        <f t="shared" si="1035"/>
        <v/>
      </c>
      <c r="BQ2092" s="319" t="str">
        <f t="shared" si="1035"/>
        <v/>
      </c>
      <c r="BR2092" s="319" t="str">
        <f t="shared" si="1035"/>
        <v/>
      </c>
      <c r="BS2092" s="330">
        <f t="shared" si="185"/>
        <v>7.502666193</v>
      </c>
      <c r="BT2092" s="331">
        <f t="shared" si="170"/>
        <v>20.77618829</v>
      </c>
      <c r="BU2092" s="920">
        <v>0.6300462962962963</v>
      </c>
      <c r="BV2092" s="903">
        <f t="shared" si="186"/>
        <v>0.0005902777778</v>
      </c>
      <c r="BW2092" s="908">
        <v>20.5</v>
      </c>
      <c r="BX2092" s="908">
        <v>16.2</v>
      </c>
      <c r="BY2092" s="331">
        <f t="shared" si="201"/>
        <v>8.402380615</v>
      </c>
      <c r="BZ2092" s="331"/>
      <c r="CA2092" s="462" t="str">
        <f t="shared" ref="CA2092:CJ2092" si="1036">IF(ISNUMBER(FIND(BI$3, $CP2092)), "Y", "")</f>
        <v/>
      </c>
      <c r="CB2092" s="319" t="str">
        <f t="shared" si="1036"/>
        <v/>
      </c>
      <c r="CC2092" s="319" t="str">
        <f t="shared" si="1036"/>
        <v/>
      </c>
      <c r="CD2092" s="319" t="str">
        <f t="shared" si="1036"/>
        <v/>
      </c>
      <c r="CE2092" s="319" t="str">
        <f t="shared" si="1036"/>
        <v/>
      </c>
      <c r="CF2092" s="319" t="str">
        <f t="shared" si="1036"/>
        <v/>
      </c>
      <c r="CG2092" s="319" t="str">
        <f t="shared" si="1036"/>
        <v/>
      </c>
      <c r="CH2092" s="319" t="str">
        <f t="shared" si="1036"/>
        <v/>
      </c>
      <c r="CI2092" s="319" t="str">
        <f t="shared" si="1036"/>
        <v/>
      </c>
      <c r="CJ2092" s="319" t="str">
        <f t="shared" si="1036"/>
        <v/>
      </c>
      <c r="CK2092" s="342">
        <f t="shared" si="182"/>
        <v>0</v>
      </c>
      <c r="CL2092" s="333">
        <f t="shared" si="183"/>
        <v>0</v>
      </c>
      <c r="CM2092" s="1079"/>
      <c r="CN2092" s="1005" t="s">
        <v>3110</v>
      </c>
      <c r="CO2092" s="1005" t="s">
        <v>2619</v>
      </c>
      <c r="CP2092" s="1005"/>
    </row>
    <row r="2093">
      <c r="A2093" s="266"/>
      <c r="B2093" s="1113" t="s">
        <v>1761</v>
      </c>
      <c r="C2093" s="1107">
        <v>45596.0</v>
      </c>
      <c r="D2093" s="103"/>
      <c r="E2093" s="1137"/>
      <c r="F2093" s="112" t="s">
        <v>3112</v>
      </c>
      <c r="G2093" s="1110">
        <v>0.690625</v>
      </c>
      <c r="H2093" s="1138"/>
      <c r="I2093" s="1138"/>
      <c r="J2093" s="1139"/>
      <c r="K2093" s="1111">
        <v>0.6925347222222222</v>
      </c>
      <c r="L2093" s="1112">
        <v>0.0019097222222222222</v>
      </c>
      <c r="M2093" s="1113" t="s">
        <v>166</v>
      </c>
      <c r="N2093" s="110" t="s">
        <v>188</v>
      </c>
      <c r="O2093" s="1140"/>
      <c r="P2093" s="1115" t="s">
        <v>292</v>
      </c>
      <c r="Q2093" s="1116"/>
      <c r="R2093" s="1141"/>
      <c r="S2093" s="1113"/>
      <c r="T2093" s="1143"/>
      <c r="U2093" s="1108" t="s">
        <v>323</v>
      </c>
      <c r="V2093" s="1108"/>
      <c r="W2093" s="1108"/>
      <c r="X2093" s="1108"/>
      <c r="Y2093" s="1108"/>
      <c r="Z2093" s="1114"/>
      <c r="AA2093" s="1114"/>
      <c r="AB2093" s="1114"/>
      <c r="AC2093" s="1117"/>
      <c r="AD2093" s="1115"/>
      <c r="AE2093" s="1115"/>
      <c r="AF2093" s="1115"/>
      <c r="AG2093" s="1115"/>
      <c r="AH2093" s="1115"/>
      <c r="AI2093" s="1115"/>
      <c r="AJ2093" s="1117"/>
      <c r="AK2093" s="1118"/>
      <c r="AL2093" s="1115"/>
      <c r="AM2093" s="1115"/>
      <c r="AN2093" s="1115"/>
      <c r="AO2093" s="1115"/>
      <c r="AP2093" s="1115"/>
      <c r="AQ2093" s="1115"/>
      <c r="AR2093" s="1115"/>
      <c r="AS2093" s="1117"/>
      <c r="AT2093" s="1196" t="str">
        <f t="shared" si="428"/>
        <v/>
      </c>
      <c r="AU2093" s="1193"/>
      <c r="AV2093" s="330">
        <f>SQRT(($R2093-Infrastructure!J$3)^2+($S2093-Infrastructure!K$3)^2)</f>
        <v>28.90155705</v>
      </c>
      <c r="AW2093" s="331">
        <f>SQRT(($R2093-Infrastructure!J$4)^2+($S2093-Infrastructure!K$4)^2)</f>
        <v>17.80252791</v>
      </c>
      <c r="AX2093" s="331">
        <f>SQRT(($R2093-Infrastructure!J$5)^2+($S2093-Infrastructure!K$5)^2)</f>
        <v>5.10881591</v>
      </c>
      <c r="AY2093" s="331">
        <f>SQRT(($R2093-Infrastructure!J$6)^2+($S2093-Infrastructure!K$6)^2)</f>
        <v>10.10445446</v>
      </c>
      <c r="AZ2093" s="331">
        <f>SQRT(($R2093-Infrastructure!J$7)^2+($S2093-Infrastructure!K$7)^2)</f>
        <v>20.502195</v>
      </c>
      <c r="BA2093" s="331">
        <f>SQRT(($R2093-Infrastructure!J$8)^2+($S2093-Infrastructure!K$8)^2)</f>
        <v>30.10149498</v>
      </c>
      <c r="BB2093" s="331">
        <f>SQRT(($R2093-Infrastructure!J$9)^2+($S2093-Infrastructure!K$9)^2)</f>
        <v>40.3238143</v>
      </c>
      <c r="BC2093" s="331">
        <f>SQRT(($R2093-Infrastructure!J$10)^2+($S2093-Infrastructure!K$10)^2)</f>
        <v>42.72001873</v>
      </c>
      <c r="BD2093" s="331">
        <f>SQRT(($R2093-Infrastructure!J$11)^2+($S2093-Infrastructure!K$11)^2)</f>
        <v>49.56853841</v>
      </c>
      <c r="BE2093" s="333">
        <f>SQRT(($R2093-Infrastructure!J$12)^2+($S2093-Infrastructure!K$12)^2)</f>
        <v>59.51890456</v>
      </c>
      <c r="BF2093" s="330">
        <f t="shared" si="161"/>
        <v>5.10881591</v>
      </c>
      <c r="BG2093" s="333">
        <f t="shared" si="162"/>
        <v>59.51890456</v>
      </c>
      <c r="BH2093" s="1119"/>
      <c r="BI2093" s="319" t="str">
        <f t="shared" ref="BI2093:BR2093" si="1037">IF(ISNUMBER(FIND(BI$3, $CO2093)), "Y", "")</f>
        <v/>
      </c>
      <c r="BJ2093" s="319" t="str">
        <f t="shared" si="1037"/>
        <v/>
      </c>
      <c r="BK2093" s="319" t="str">
        <f t="shared" si="1037"/>
        <v/>
      </c>
      <c r="BL2093" s="319" t="str">
        <f t="shared" si="1037"/>
        <v/>
      </c>
      <c r="BM2093" s="319" t="str">
        <f t="shared" si="1037"/>
        <v/>
      </c>
      <c r="BN2093" s="319" t="str">
        <f t="shared" si="1037"/>
        <v/>
      </c>
      <c r="BO2093" s="319" t="str">
        <f t="shared" si="1037"/>
        <v/>
      </c>
      <c r="BP2093" s="319" t="str">
        <f t="shared" si="1037"/>
        <v/>
      </c>
      <c r="BQ2093" s="319" t="str">
        <f t="shared" si="1037"/>
        <v/>
      </c>
      <c r="BR2093" s="319" t="str">
        <f t="shared" si="1037"/>
        <v/>
      </c>
      <c r="BS2093" s="330">
        <f t="shared" si="185"/>
        <v>0</v>
      </c>
      <c r="BT2093" s="331">
        <f t="shared" si="170"/>
        <v>0</v>
      </c>
      <c r="BU2093" s="920"/>
      <c r="BV2093" s="903" t="str">
        <f t="shared" si="186"/>
        <v/>
      </c>
      <c r="BW2093" s="908"/>
      <c r="BX2093" s="908"/>
      <c r="BY2093" s="331" t="b">
        <f t="shared" si="201"/>
        <v>0</v>
      </c>
      <c r="BZ2093" s="331"/>
      <c r="CA2093" s="462" t="str">
        <f t="shared" ref="CA2093:CJ2093" si="1038">IF(ISNUMBER(FIND(BI$3, $CP2093)), "Y", "")</f>
        <v/>
      </c>
      <c r="CB2093" s="319" t="str">
        <f t="shared" si="1038"/>
        <v/>
      </c>
      <c r="CC2093" s="319" t="str">
        <f t="shared" si="1038"/>
        <v/>
      </c>
      <c r="CD2093" s="319" t="str">
        <f t="shared" si="1038"/>
        <v/>
      </c>
      <c r="CE2093" s="319" t="str">
        <f t="shared" si="1038"/>
        <v/>
      </c>
      <c r="CF2093" s="319" t="str">
        <f t="shared" si="1038"/>
        <v/>
      </c>
      <c r="CG2093" s="319" t="str">
        <f t="shared" si="1038"/>
        <v/>
      </c>
      <c r="CH2093" s="319" t="str">
        <f t="shared" si="1038"/>
        <v/>
      </c>
      <c r="CI2093" s="319" t="str">
        <f t="shared" si="1038"/>
        <v/>
      </c>
      <c r="CJ2093" s="319" t="str">
        <f t="shared" si="1038"/>
        <v/>
      </c>
      <c r="CK2093" s="342">
        <f t="shared" si="182"/>
        <v>0</v>
      </c>
      <c r="CL2093" s="333">
        <f t="shared" si="183"/>
        <v>0</v>
      </c>
      <c r="CM2093" s="1079"/>
      <c r="CN2093" s="1005" t="s">
        <v>3110</v>
      </c>
      <c r="CO2093" s="1005"/>
      <c r="CP2093" s="1005"/>
    </row>
    <row r="2094">
      <c r="A2094" s="1258"/>
      <c r="B2094" s="1129" t="s">
        <v>1761</v>
      </c>
      <c r="C2094" s="1122">
        <v>45596.0</v>
      </c>
      <c r="D2094" s="1123"/>
      <c r="E2094" s="1144"/>
      <c r="F2094" s="108" t="s">
        <v>3112</v>
      </c>
      <c r="G2094" s="1126">
        <v>0.6972222222222222</v>
      </c>
      <c r="H2094" s="1145"/>
      <c r="I2094" s="1145"/>
      <c r="J2094" s="1146"/>
      <c r="K2094" s="1127">
        <v>0.6984375</v>
      </c>
      <c r="L2094" s="1128">
        <v>0.0012152777777777778</v>
      </c>
      <c r="M2094" s="1129" t="s">
        <v>358</v>
      </c>
      <c r="N2094" s="100" t="s">
        <v>188</v>
      </c>
      <c r="O2094" s="1161"/>
      <c r="P2094" s="1131" t="s">
        <v>294</v>
      </c>
      <c r="Q2094" s="1132"/>
      <c r="R2094" s="1148"/>
      <c r="S2094" s="1129"/>
      <c r="T2094" s="1150"/>
      <c r="U2094" s="1124" t="s">
        <v>323</v>
      </c>
      <c r="V2094" s="1124"/>
      <c r="W2094" s="1124"/>
      <c r="X2094" s="1124"/>
      <c r="Y2094" s="1124"/>
      <c r="Z2094" s="1130"/>
      <c r="AA2094" s="1130"/>
      <c r="AB2094" s="1130"/>
      <c r="AC2094" s="1133"/>
      <c r="AD2094" s="1131"/>
      <c r="AE2094" s="1131"/>
      <c r="AF2094" s="1131"/>
      <c r="AG2094" s="1131"/>
      <c r="AH2094" s="1131"/>
      <c r="AI2094" s="1131"/>
      <c r="AJ2094" s="1133"/>
      <c r="AK2094" s="1134"/>
      <c r="AL2094" s="1131"/>
      <c r="AM2094" s="1131"/>
      <c r="AN2094" s="1131"/>
      <c r="AO2094" s="1131"/>
      <c r="AP2094" s="1131"/>
      <c r="AQ2094" s="1131"/>
      <c r="AR2094" s="1131"/>
      <c r="AS2094" s="1133"/>
      <c r="AT2094" s="1197" t="str">
        <f t="shared" si="428"/>
        <v/>
      </c>
      <c r="AU2094" s="1194"/>
      <c r="AV2094" s="662">
        <f>SQRT(($R2094-Infrastructure!J$3)^2+($S2094-Infrastructure!K$3)^2)</f>
        <v>28.90155705</v>
      </c>
      <c r="AW2094" s="641">
        <f>SQRT(($R2094-Infrastructure!J$4)^2+($S2094-Infrastructure!K$4)^2)</f>
        <v>17.80252791</v>
      </c>
      <c r="AX2094" s="641">
        <f>SQRT(($R2094-Infrastructure!J$5)^2+($S2094-Infrastructure!K$5)^2)</f>
        <v>5.10881591</v>
      </c>
      <c r="AY2094" s="641">
        <f>SQRT(($R2094-Infrastructure!J$6)^2+($S2094-Infrastructure!K$6)^2)</f>
        <v>10.10445446</v>
      </c>
      <c r="AZ2094" s="641">
        <f>SQRT(($R2094-Infrastructure!J$7)^2+($S2094-Infrastructure!K$7)^2)</f>
        <v>20.502195</v>
      </c>
      <c r="BA2094" s="641">
        <f>SQRT(($R2094-Infrastructure!J$8)^2+($S2094-Infrastructure!K$8)^2)</f>
        <v>30.10149498</v>
      </c>
      <c r="BB2094" s="641">
        <f>SQRT(($R2094-Infrastructure!J$9)^2+($S2094-Infrastructure!K$9)^2)</f>
        <v>40.3238143</v>
      </c>
      <c r="BC2094" s="641">
        <f>SQRT(($R2094-Infrastructure!J$10)^2+($S2094-Infrastructure!K$10)^2)</f>
        <v>42.72001873</v>
      </c>
      <c r="BD2094" s="641">
        <f>SQRT(($R2094-Infrastructure!J$11)^2+($S2094-Infrastructure!K$11)^2)</f>
        <v>49.56853841</v>
      </c>
      <c r="BE2094" s="642">
        <f>SQRT(($R2094-Infrastructure!J$12)^2+($S2094-Infrastructure!K$12)^2)</f>
        <v>59.51890456</v>
      </c>
      <c r="BF2094" s="662">
        <f t="shared" si="161"/>
        <v>5.10881591</v>
      </c>
      <c r="BG2094" s="642">
        <f t="shared" si="162"/>
        <v>59.51890456</v>
      </c>
      <c r="BH2094" s="1135"/>
      <c r="BI2094" s="663" t="str">
        <f t="shared" ref="BI2094:BR2094" si="1039">IF(ISNUMBER(FIND(BI$3, $CO2094)), "Y", "")</f>
        <v/>
      </c>
      <c r="BJ2094" s="663" t="str">
        <f t="shared" si="1039"/>
        <v/>
      </c>
      <c r="BK2094" s="663" t="str">
        <f t="shared" si="1039"/>
        <v/>
      </c>
      <c r="BL2094" s="663" t="str">
        <f t="shared" si="1039"/>
        <v/>
      </c>
      <c r="BM2094" s="663" t="str">
        <f t="shared" si="1039"/>
        <v/>
      </c>
      <c r="BN2094" s="663" t="str">
        <f t="shared" si="1039"/>
        <v/>
      </c>
      <c r="BO2094" s="663" t="str">
        <f t="shared" si="1039"/>
        <v/>
      </c>
      <c r="BP2094" s="663" t="str">
        <f t="shared" si="1039"/>
        <v/>
      </c>
      <c r="BQ2094" s="663" t="str">
        <f t="shared" si="1039"/>
        <v/>
      </c>
      <c r="BR2094" s="663" t="str">
        <f t="shared" si="1039"/>
        <v/>
      </c>
      <c r="BS2094" s="662">
        <f t="shared" si="185"/>
        <v>0</v>
      </c>
      <c r="BT2094" s="641">
        <f t="shared" si="170"/>
        <v>0</v>
      </c>
      <c r="BU2094" s="937"/>
      <c r="BV2094" s="930" t="str">
        <f t="shared" si="186"/>
        <v/>
      </c>
      <c r="BW2094" s="939"/>
      <c r="BX2094" s="939"/>
      <c r="BY2094" s="641" t="b">
        <f t="shared" si="201"/>
        <v>0</v>
      </c>
      <c r="BZ2094" s="641"/>
      <c r="CA2094" s="635" t="str">
        <f t="shared" ref="CA2094:CJ2094" si="1040">IF(ISNUMBER(FIND(BI$3, $CP2094)), "Y", "")</f>
        <v/>
      </c>
      <c r="CB2094" s="663" t="str">
        <f t="shared" si="1040"/>
        <v/>
      </c>
      <c r="CC2094" s="663" t="str">
        <f t="shared" si="1040"/>
        <v/>
      </c>
      <c r="CD2094" s="663" t="str">
        <f t="shared" si="1040"/>
        <v/>
      </c>
      <c r="CE2094" s="663" t="str">
        <f t="shared" si="1040"/>
        <v/>
      </c>
      <c r="CF2094" s="663" t="str">
        <f t="shared" si="1040"/>
        <v/>
      </c>
      <c r="CG2094" s="663" t="str">
        <f t="shared" si="1040"/>
        <v/>
      </c>
      <c r="CH2094" s="663" t="str">
        <f t="shared" si="1040"/>
        <v/>
      </c>
      <c r="CI2094" s="663" t="str">
        <f t="shared" si="1040"/>
        <v/>
      </c>
      <c r="CJ2094" s="663" t="str">
        <f t="shared" si="1040"/>
        <v/>
      </c>
      <c r="CK2094" s="743">
        <f t="shared" si="182"/>
        <v>0</v>
      </c>
      <c r="CL2094" s="642">
        <f t="shared" si="183"/>
        <v>0</v>
      </c>
      <c r="CM2094" s="1090"/>
      <c r="CN2094" s="1036" t="s">
        <v>3110</v>
      </c>
      <c r="CO2094" s="1036"/>
      <c r="CP2094" s="1036"/>
    </row>
    <row r="2095">
      <c r="A2095" s="1257" t="s">
        <v>132</v>
      </c>
      <c r="B2095" s="1113" t="s">
        <v>2240</v>
      </c>
      <c r="C2095" s="1107">
        <v>45600.0</v>
      </c>
      <c r="D2095" s="1113" t="s">
        <v>986</v>
      </c>
      <c r="E2095" s="1108">
        <v>35.0</v>
      </c>
      <c r="F2095" s="112" t="s">
        <v>3113</v>
      </c>
      <c r="G2095" s="1110">
        <v>0.3736111111111111</v>
      </c>
      <c r="H2095" s="1110">
        <v>0.37430555555555556</v>
      </c>
      <c r="I2095" s="1110"/>
      <c r="J2095" s="1111"/>
      <c r="K2095" s="1111">
        <v>0.4027777777777778</v>
      </c>
      <c r="L2095" s="1112">
        <v>0.02847222222222222</v>
      </c>
      <c r="M2095" s="1113" t="s">
        <v>166</v>
      </c>
      <c r="N2095" s="110" t="s">
        <v>187</v>
      </c>
      <c r="O2095" s="1115" t="s">
        <v>199</v>
      </c>
      <c r="P2095" s="1115" t="s">
        <v>272</v>
      </c>
      <c r="Q2095" s="1116"/>
      <c r="R2095" s="120">
        <v>16.1</v>
      </c>
      <c r="S2095" s="1113">
        <v>9.6</v>
      </c>
      <c r="T2095" s="110">
        <v>0.0</v>
      </c>
      <c r="U2095" s="1108">
        <v>0.27</v>
      </c>
      <c r="V2095" s="1108"/>
      <c r="W2095" s="1108"/>
      <c r="X2095" s="1108"/>
      <c r="Y2095" s="1108"/>
      <c r="Z2095" s="1114" t="s">
        <v>351</v>
      </c>
      <c r="AA2095" s="1114"/>
      <c r="AB2095" s="1114" t="s">
        <v>380</v>
      </c>
      <c r="AC2095" s="1117">
        <v>4.0</v>
      </c>
      <c r="AD2095" s="1115"/>
      <c r="AE2095" s="1115"/>
      <c r="AF2095" s="1115"/>
      <c r="AG2095" s="1115"/>
      <c r="AH2095" s="1115"/>
      <c r="AI2095" s="1115"/>
      <c r="AJ2095" s="1117"/>
      <c r="AK2095" s="1118"/>
      <c r="AL2095" s="1115"/>
      <c r="AM2095" s="1115"/>
      <c r="AN2095" s="1115"/>
      <c r="AO2095" s="1115"/>
      <c r="AP2095" s="1115"/>
      <c r="AQ2095" s="1115"/>
      <c r="AR2095" s="1115"/>
      <c r="AS2095" s="1117"/>
      <c r="AT2095" s="1196" t="str">
        <f t="shared" si="428"/>
        <v>0-1</v>
      </c>
      <c r="AU2095" s="1193"/>
      <c r="AV2095" s="330">
        <f>SQRT(($R2095-Infrastructure!J$3)^2+($S2095-Infrastructure!K$3)^2)</f>
        <v>25.32686321</v>
      </c>
      <c r="AW2095" s="331">
        <f>SQRT(($R2095-Infrastructure!J$4)^2+($S2095-Infrastructure!K$4)^2)</f>
        <v>18.33575742</v>
      </c>
      <c r="AX2095" s="331">
        <f>SQRT(($R2095-Infrastructure!J$5)^2+($S2095-Infrastructure!K$5)^2)</f>
        <v>17.00617535</v>
      </c>
      <c r="AY2095" s="331">
        <f>SQRT(($R2095-Infrastructure!J$6)^2+($S2095-Infrastructure!K$6)^2)</f>
        <v>11.06752005</v>
      </c>
      <c r="AZ2095" s="331">
        <f>SQRT(($R2095-Infrastructure!J$7)^2+($S2095-Infrastructure!K$7)^2)</f>
        <v>10.28834292</v>
      </c>
      <c r="BA2095" s="331">
        <f>SQRT(($R2095-Infrastructure!J$8)^2+($S2095-Infrastructure!K$8)^2)</f>
        <v>16.80743883</v>
      </c>
      <c r="BB2095" s="331">
        <f>SQRT(($R2095-Infrastructure!J$9)^2+($S2095-Infrastructure!K$9)^2)</f>
        <v>24.31995066</v>
      </c>
      <c r="BC2095" s="331">
        <f>SQRT(($R2095-Infrastructure!J$10)^2+($S2095-Infrastructure!K$10)^2)</f>
        <v>24.50244886</v>
      </c>
      <c r="BD2095" s="331">
        <f>SQRT(($R2095-Infrastructure!J$11)^2+($S2095-Infrastructure!K$11)^2)</f>
        <v>30.93816413</v>
      </c>
      <c r="BE2095" s="333">
        <f>SQRT(($R2095-Infrastructure!J$12)^2+($S2095-Infrastructure!K$12)^2)</f>
        <v>46.21655548</v>
      </c>
      <c r="BF2095" s="330">
        <f t="shared" si="161"/>
        <v>10.28834292</v>
      </c>
      <c r="BG2095" s="333">
        <f t="shared" si="162"/>
        <v>46.21655548</v>
      </c>
      <c r="BH2095" s="1119"/>
      <c r="BI2095" s="319" t="str">
        <f t="shared" ref="BI2095:BR2095" si="1041">IF(ISNUMBER(FIND(BI$3, $CO2095)), "Y", "")</f>
        <v/>
      </c>
      <c r="BJ2095" s="319" t="str">
        <f t="shared" si="1041"/>
        <v/>
      </c>
      <c r="BK2095" s="319" t="str">
        <f t="shared" si="1041"/>
        <v/>
      </c>
      <c r="BL2095" s="319" t="str">
        <f t="shared" si="1041"/>
        <v/>
      </c>
      <c r="BM2095" s="319" t="str">
        <f t="shared" si="1041"/>
        <v/>
      </c>
      <c r="BN2095" s="319" t="str">
        <f t="shared" si="1041"/>
        <v/>
      </c>
      <c r="BO2095" s="319" t="str">
        <f t="shared" si="1041"/>
        <v/>
      </c>
      <c r="BP2095" s="319" t="str">
        <f t="shared" si="1041"/>
        <v/>
      </c>
      <c r="BQ2095" s="319" t="str">
        <f t="shared" si="1041"/>
        <v/>
      </c>
      <c r="BR2095" s="319" t="str">
        <f t="shared" si="1041"/>
        <v/>
      </c>
      <c r="BS2095" s="330">
        <f t="shared" si="185"/>
        <v>0</v>
      </c>
      <c r="BT2095" s="331">
        <f t="shared" si="170"/>
        <v>0</v>
      </c>
      <c r="BU2095" s="920"/>
      <c r="BV2095" s="903" t="str">
        <f t="shared" si="186"/>
        <v/>
      </c>
      <c r="BW2095" s="908"/>
      <c r="BX2095" s="908"/>
      <c r="BY2095" s="331" t="b">
        <f t="shared" si="201"/>
        <v>0</v>
      </c>
      <c r="BZ2095" s="331"/>
      <c r="CA2095" s="462" t="str">
        <f t="shared" ref="CA2095:CJ2095" si="1042">IF(ISNUMBER(FIND(BI$3, $CP2095)), "Y", "")</f>
        <v/>
      </c>
      <c r="CB2095" s="319" t="str">
        <f t="shared" si="1042"/>
        <v/>
      </c>
      <c r="CC2095" s="319" t="str">
        <f t="shared" si="1042"/>
        <v/>
      </c>
      <c r="CD2095" s="319" t="str">
        <f t="shared" si="1042"/>
        <v/>
      </c>
      <c r="CE2095" s="319" t="str">
        <f t="shared" si="1042"/>
        <v/>
      </c>
      <c r="CF2095" s="319" t="str">
        <f t="shared" si="1042"/>
        <v/>
      </c>
      <c r="CG2095" s="319" t="str">
        <f t="shared" si="1042"/>
        <v/>
      </c>
      <c r="CH2095" s="319" t="str">
        <f t="shared" si="1042"/>
        <v/>
      </c>
      <c r="CI2095" s="319" t="str">
        <f t="shared" si="1042"/>
        <v/>
      </c>
      <c r="CJ2095" s="319" t="str">
        <f t="shared" si="1042"/>
        <v/>
      </c>
      <c r="CK2095" s="342">
        <f t="shared" si="182"/>
        <v>0</v>
      </c>
      <c r="CL2095" s="333">
        <f t="shared" si="183"/>
        <v>0</v>
      </c>
      <c r="CM2095" s="1079"/>
      <c r="CN2095" s="1005" t="s">
        <v>3114</v>
      </c>
      <c r="CO2095" s="1005"/>
      <c r="CP2095" s="1005"/>
    </row>
    <row r="2096">
      <c r="A2096" s="266"/>
      <c r="B2096" s="1113"/>
      <c r="C2096" s="1107"/>
      <c r="D2096" s="103"/>
      <c r="E2096" s="1137"/>
      <c r="F2096" s="112"/>
      <c r="G2096" s="1110"/>
      <c r="H2096" s="1138"/>
      <c r="I2096" s="1138"/>
      <c r="J2096" s="1139"/>
      <c r="K2096" s="1111"/>
      <c r="L2096" s="1112">
        <v>0.0</v>
      </c>
      <c r="M2096" s="1113" t="s">
        <v>166</v>
      </c>
      <c r="N2096" s="110" t="s">
        <v>187</v>
      </c>
      <c r="O2096" s="1115" t="s">
        <v>203</v>
      </c>
      <c r="P2096" s="1115" t="s">
        <v>250</v>
      </c>
      <c r="Q2096" s="1116"/>
      <c r="R2096" s="120">
        <v>15.1</v>
      </c>
      <c r="S2096" s="1113">
        <v>2.4</v>
      </c>
      <c r="T2096" s="110">
        <v>1.2</v>
      </c>
      <c r="U2096" s="1108">
        <v>0.4</v>
      </c>
      <c r="V2096" s="1108"/>
      <c r="W2096" s="1108"/>
      <c r="X2096" s="1108"/>
      <c r="Y2096" s="1108"/>
      <c r="Z2096" s="1114" t="s">
        <v>357</v>
      </c>
      <c r="AA2096" s="1114"/>
      <c r="AB2096" s="1114" t="s">
        <v>380</v>
      </c>
      <c r="AC2096" s="1117">
        <v>4.0</v>
      </c>
      <c r="AD2096" s="1115"/>
      <c r="AE2096" s="1115"/>
      <c r="AF2096" s="1115"/>
      <c r="AG2096" s="1115"/>
      <c r="AH2096" s="1115"/>
      <c r="AI2096" s="1115"/>
      <c r="AJ2096" s="1117"/>
      <c r="AK2096" s="1118"/>
      <c r="AL2096" s="1115"/>
      <c r="AM2096" s="1115"/>
      <c r="AN2096" s="1115"/>
      <c r="AO2096" s="1115"/>
      <c r="AP2096" s="1115"/>
      <c r="AQ2096" s="1115"/>
      <c r="AR2096" s="1115"/>
      <c r="AS2096" s="1117"/>
      <c r="AT2096" s="1196" t="str">
        <f t="shared" si="428"/>
        <v>0-1</v>
      </c>
      <c r="AU2096" s="1193"/>
      <c r="AV2096" s="330">
        <f>SQRT(($R2096-Infrastructure!J$3)^2+($S2096-Infrastructure!K$3)^2)</f>
        <v>30.64979608</v>
      </c>
      <c r="AW2096" s="331">
        <f>SQRT(($R2096-Infrastructure!J$4)^2+($S2096-Infrastructure!K$4)^2)</f>
        <v>21.77888886</v>
      </c>
      <c r="AX2096" s="331">
        <f>SQRT(($R2096-Infrastructure!J$5)^2+($S2096-Infrastructure!K$5)^2)</f>
        <v>15.63489687</v>
      </c>
      <c r="AY2096" s="331">
        <f>SQRT(($R2096-Infrastructure!J$6)^2+($S2096-Infrastructure!K$6)^2)</f>
        <v>5.423098745</v>
      </c>
      <c r="AZ2096" s="331">
        <f>SQRT(($R2096-Infrastructure!J$7)^2+($S2096-Infrastructure!K$7)^2)</f>
        <v>5.793962375</v>
      </c>
      <c r="BA2096" s="331">
        <f>SQRT(($R2096-Infrastructure!J$8)^2+($S2096-Infrastructure!K$8)^2)</f>
        <v>15.14628667</v>
      </c>
      <c r="BB2096" s="331">
        <f>SQRT(($R2096-Infrastructure!J$9)^2+($S2096-Infrastructure!K$9)^2)</f>
        <v>25.04595776</v>
      </c>
      <c r="BC2096" s="331">
        <f>SQRT(($R2096-Infrastructure!J$10)^2+($S2096-Infrastructure!K$10)^2)</f>
        <v>27.90645087</v>
      </c>
      <c r="BD2096" s="331">
        <f>SQRT(($R2096-Infrastructure!J$11)^2+($S2096-Infrastructure!K$11)^2)</f>
        <v>36.5728041</v>
      </c>
      <c r="BE2096" s="333">
        <f>SQRT(($R2096-Infrastructure!J$12)^2+($S2096-Infrastructure!K$12)^2)</f>
        <v>53.48429676</v>
      </c>
      <c r="BF2096" s="330">
        <f t="shared" si="161"/>
        <v>5.423098745</v>
      </c>
      <c r="BG2096" s="333">
        <f t="shared" si="162"/>
        <v>53.48429676</v>
      </c>
      <c r="BH2096" s="1119"/>
      <c r="BI2096" s="319" t="str">
        <f t="shared" ref="BI2096:BR2096" si="1043">IF(ISNUMBER(FIND(BI$3, $CO2096)), "Y", "")</f>
        <v/>
      </c>
      <c r="BJ2096" s="319" t="str">
        <f t="shared" si="1043"/>
        <v/>
      </c>
      <c r="BK2096" s="319" t="str">
        <f t="shared" si="1043"/>
        <v/>
      </c>
      <c r="BL2096" s="319" t="str">
        <f t="shared" si="1043"/>
        <v/>
      </c>
      <c r="BM2096" s="319" t="str">
        <f t="shared" si="1043"/>
        <v/>
      </c>
      <c r="BN2096" s="319" t="str">
        <f t="shared" si="1043"/>
        <v/>
      </c>
      <c r="BO2096" s="319" t="str">
        <f t="shared" si="1043"/>
        <v/>
      </c>
      <c r="BP2096" s="319" t="str">
        <f t="shared" si="1043"/>
        <v/>
      </c>
      <c r="BQ2096" s="319" t="str">
        <f t="shared" si="1043"/>
        <v/>
      </c>
      <c r="BR2096" s="319" t="str">
        <f t="shared" si="1043"/>
        <v/>
      </c>
      <c r="BS2096" s="330">
        <f t="shared" si="185"/>
        <v>0</v>
      </c>
      <c r="BT2096" s="331">
        <f t="shared" si="170"/>
        <v>0</v>
      </c>
      <c r="BU2096" s="920"/>
      <c r="BV2096" s="903" t="str">
        <f t="shared" si="186"/>
        <v/>
      </c>
      <c r="BW2096" s="908"/>
      <c r="BX2096" s="908"/>
      <c r="BY2096" s="331" t="b">
        <f t="shared" si="201"/>
        <v>0</v>
      </c>
      <c r="BZ2096" s="331"/>
      <c r="CA2096" s="462" t="str">
        <f t="shared" ref="CA2096:CJ2096" si="1044">IF(ISNUMBER(FIND(BI$3, $CP2096)), "Y", "")</f>
        <v/>
      </c>
      <c r="CB2096" s="319" t="str">
        <f t="shared" si="1044"/>
        <v/>
      </c>
      <c r="CC2096" s="319" t="str">
        <f t="shared" si="1044"/>
        <v/>
      </c>
      <c r="CD2096" s="319" t="str">
        <f t="shared" si="1044"/>
        <v/>
      </c>
      <c r="CE2096" s="319" t="str">
        <f t="shared" si="1044"/>
        <v/>
      </c>
      <c r="CF2096" s="319" t="str">
        <f t="shared" si="1044"/>
        <v/>
      </c>
      <c r="CG2096" s="319" t="str">
        <f t="shared" si="1044"/>
        <v/>
      </c>
      <c r="CH2096" s="319" t="str">
        <f t="shared" si="1044"/>
        <v/>
      </c>
      <c r="CI2096" s="319" t="str">
        <f t="shared" si="1044"/>
        <v/>
      </c>
      <c r="CJ2096" s="319" t="str">
        <f t="shared" si="1044"/>
        <v/>
      </c>
      <c r="CK2096" s="342">
        <f t="shared" si="182"/>
        <v>0</v>
      </c>
      <c r="CL2096" s="333">
        <f t="shared" si="183"/>
        <v>0</v>
      </c>
      <c r="CM2096" s="1079"/>
      <c r="CN2096" s="1005" t="s">
        <v>3114</v>
      </c>
      <c r="CO2096" s="1005"/>
      <c r="CP2096" s="1005"/>
    </row>
    <row r="2097">
      <c r="A2097" s="266"/>
      <c r="B2097" s="1113"/>
      <c r="C2097" s="1107"/>
      <c r="D2097" s="103"/>
      <c r="E2097" s="1137"/>
      <c r="F2097" s="112"/>
      <c r="G2097" s="1110"/>
      <c r="H2097" s="1138"/>
      <c r="I2097" s="1138"/>
      <c r="J2097" s="1139"/>
      <c r="K2097" s="1111"/>
      <c r="L2097" s="1112">
        <v>0.0</v>
      </c>
      <c r="M2097" s="1113" t="s">
        <v>166</v>
      </c>
      <c r="N2097" s="110" t="s">
        <v>187</v>
      </c>
      <c r="O2097" s="1115" t="s">
        <v>199</v>
      </c>
      <c r="P2097" s="1115" t="s">
        <v>272</v>
      </c>
      <c r="Q2097" s="1116"/>
      <c r="R2097" s="120">
        <v>16.1</v>
      </c>
      <c r="S2097" s="1113">
        <v>9.6</v>
      </c>
      <c r="T2097" s="110">
        <v>0.0</v>
      </c>
      <c r="U2097" s="1108">
        <v>0.05</v>
      </c>
      <c r="V2097" s="1108"/>
      <c r="W2097" s="1108"/>
      <c r="X2097" s="1108"/>
      <c r="Y2097" s="1108"/>
      <c r="Z2097" s="1114" t="s">
        <v>1690</v>
      </c>
      <c r="AA2097" s="1114"/>
      <c r="AB2097" s="1114" t="s">
        <v>371</v>
      </c>
      <c r="AC2097" s="1117">
        <v>1.8</v>
      </c>
      <c r="AD2097" s="1115"/>
      <c r="AE2097" s="1115"/>
      <c r="AF2097" s="1115"/>
      <c r="AG2097" s="1115"/>
      <c r="AH2097" s="1115"/>
      <c r="AI2097" s="1115"/>
      <c r="AJ2097" s="1117"/>
      <c r="AK2097" s="1118"/>
      <c r="AL2097" s="1115"/>
      <c r="AM2097" s="1115"/>
      <c r="AN2097" s="1115"/>
      <c r="AO2097" s="1115"/>
      <c r="AP2097" s="1115"/>
      <c r="AQ2097" s="1115"/>
      <c r="AR2097" s="1115"/>
      <c r="AS2097" s="1117"/>
      <c r="AT2097" s="1196" t="str">
        <f t="shared" si="428"/>
        <v>0-1</v>
      </c>
      <c r="AU2097" s="1193"/>
      <c r="AV2097" s="330">
        <f>SQRT(($R2097-Infrastructure!J$3)^2+($S2097-Infrastructure!K$3)^2)</f>
        <v>25.32686321</v>
      </c>
      <c r="AW2097" s="331">
        <f>SQRT(($R2097-Infrastructure!J$4)^2+($S2097-Infrastructure!K$4)^2)</f>
        <v>18.33575742</v>
      </c>
      <c r="AX2097" s="331">
        <f>SQRT(($R2097-Infrastructure!J$5)^2+($S2097-Infrastructure!K$5)^2)</f>
        <v>17.00617535</v>
      </c>
      <c r="AY2097" s="331">
        <f>SQRT(($R2097-Infrastructure!J$6)^2+($S2097-Infrastructure!K$6)^2)</f>
        <v>11.06752005</v>
      </c>
      <c r="AZ2097" s="331">
        <f>SQRT(($R2097-Infrastructure!J$7)^2+($S2097-Infrastructure!K$7)^2)</f>
        <v>10.28834292</v>
      </c>
      <c r="BA2097" s="331">
        <f>SQRT(($R2097-Infrastructure!J$8)^2+($S2097-Infrastructure!K$8)^2)</f>
        <v>16.80743883</v>
      </c>
      <c r="BB2097" s="331">
        <f>SQRT(($R2097-Infrastructure!J$9)^2+($S2097-Infrastructure!K$9)^2)</f>
        <v>24.31995066</v>
      </c>
      <c r="BC2097" s="331">
        <f>SQRT(($R2097-Infrastructure!J$10)^2+($S2097-Infrastructure!K$10)^2)</f>
        <v>24.50244886</v>
      </c>
      <c r="BD2097" s="331">
        <f>SQRT(($R2097-Infrastructure!J$11)^2+($S2097-Infrastructure!K$11)^2)</f>
        <v>30.93816413</v>
      </c>
      <c r="BE2097" s="333">
        <f>SQRT(($R2097-Infrastructure!J$12)^2+($S2097-Infrastructure!K$12)^2)</f>
        <v>46.21655548</v>
      </c>
      <c r="BF2097" s="330">
        <f t="shared" si="161"/>
        <v>10.28834292</v>
      </c>
      <c r="BG2097" s="333">
        <f t="shared" si="162"/>
        <v>46.21655548</v>
      </c>
      <c r="BH2097" s="1119"/>
      <c r="BI2097" s="319" t="str">
        <f t="shared" ref="BI2097:BR2097" si="1045">IF(ISNUMBER(FIND(BI$3, $CO2097)), "Y", "")</f>
        <v/>
      </c>
      <c r="BJ2097" s="319" t="str">
        <f t="shared" si="1045"/>
        <v/>
      </c>
      <c r="BK2097" s="319" t="str">
        <f t="shared" si="1045"/>
        <v/>
      </c>
      <c r="BL2097" s="319" t="str">
        <f t="shared" si="1045"/>
        <v/>
      </c>
      <c r="BM2097" s="319" t="str">
        <f t="shared" si="1045"/>
        <v/>
      </c>
      <c r="BN2097" s="319" t="str">
        <f t="shared" si="1045"/>
        <v/>
      </c>
      <c r="BO2097" s="319" t="str">
        <f t="shared" si="1045"/>
        <v/>
      </c>
      <c r="BP2097" s="319" t="str">
        <f t="shared" si="1045"/>
        <v/>
      </c>
      <c r="BQ2097" s="319" t="str">
        <f t="shared" si="1045"/>
        <v/>
      </c>
      <c r="BR2097" s="319" t="str">
        <f t="shared" si="1045"/>
        <v/>
      </c>
      <c r="BS2097" s="330">
        <f t="shared" si="185"/>
        <v>0</v>
      </c>
      <c r="BT2097" s="331">
        <f t="shared" si="170"/>
        <v>0</v>
      </c>
      <c r="BU2097" s="920"/>
      <c r="BV2097" s="903" t="str">
        <f t="shared" si="186"/>
        <v/>
      </c>
      <c r="BW2097" s="908"/>
      <c r="BX2097" s="908"/>
      <c r="BY2097" s="331" t="b">
        <f t="shared" si="201"/>
        <v>0</v>
      </c>
      <c r="BZ2097" s="331"/>
      <c r="CA2097" s="462" t="str">
        <f t="shared" ref="CA2097:CJ2097" si="1046">IF(ISNUMBER(FIND(BI$3, $CP2097)), "Y", "")</f>
        <v/>
      </c>
      <c r="CB2097" s="319" t="str">
        <f t="shared" si="1046"/>
        <v/>
      </c>
      <c r="CC2097" s="319" t="str">
        <f t="shared" si="1046"/>
        <v/>
      </c>
      <c r="CD2097" s="319" t="str">
        <f t="shared" si="1046"/>
        <v/>
      </c>
      <c r="CE2097" s="319" t="str">
        <f t="shared" si="1046"/>
        <v/>
      </c>
      <c r="CF2097" s="319" t="str">
        <f t="shared" si="1046"/>
        <v/>
      </c>
      <c r="CG2097" s="319" t="str">
        <f t="shared" si="1046"/>
        <v/>
      </c>
      <c r="CH2097" s="319" t="str">
        <f t="shared" si="1046"/>
        <v/>
      </c>
      <c r="CI2097" s="319" t="str">
        <f t="shared" si="1046"/>
        <v/>
      </c>
      <c r="CJ2097" s="319" t="str">
        <f t="shared" si="1046"/>
        <v/>
      </c>
      <c r="CK2097" s="342">
        <f t="shared" si="182"/>
        <v>0</v>
      </c>
      <c r="CL2097" s="333">
        <f t="shared" si="183"/>
        <v>0</v>
      </c>
      <c r="CM2097" s="1079"/>
      <c r="CN2097" s="1005" t="s">
        <v>3114</v>
      </c>
      <c r="CO2097" s="1005"/>
      <c r="CP2097" s="1005"/>
    </row>
    <row r="2098">
      <c r="A2098" s="266"/>
      <c r="B2098" s="1113" t="s">
        <v>2240</v>
      </c>
      <c r="C2098" s="1107">
        <v>45602.0</v>
      </c>
      <c r="D2098" s="1113" t="s">
        <v>986</v>
      </c>
      <c r="E2098" s="1108">
        <v>38.0</v>
      </c>
      <c r="F2098" s="112" t="s">
        <v>3115</v>
      </c>
      <c r="G2098" s="1110">
        <v>0.5455439814814815</v>
      </c>
      <c r="H2098" s="1110">
        <v>0.5460069444444444</v>
      </c>
      <c r="I2098" s="1110"/>
      <c r="J2098" s="1111"/>
      <c r="K2098" s="1111">
        <v>0.5763888888888888</v>
      </c>
      <c r="L2098" s="1112">
        <v>0.030381944444444444</v>
      </c>
      <c r="M2098" s="1113" t="s">
        <v>166</v>
      </c>
      <c r="N2098" s="110" t="s">
        <v>187</v>
      </c>
      <c r="O2098" s="1115" t="s">
        <v>205</v>
      </c>
      <c r="P2098" s="1115" t="s">
        <v>296</v>
      </c>
      <c r="Q2098" s="1116"/>
      <c r="R2098" s="120">
        <v>20.7</v>
      </c>
      <c r="S2098" s="1113">
        <v>5.1</v>
      </c>
      <c r="T2098" s="110">
        <v>1.2</v>
      </c>
      <c r="U2098" s="1108">
        <v>1.3</v>
      </c>
      <c r="V2098" s="1108"/>
      <c r="W2098" s="1108"/>
      <c r="X2098" s="1108"/>
      <c r="Y2098" s="1108"/>
      <c r="Z2098" s="1114" t="s">
        <v>370</v>
      </c>
      <c r="AA2098" s="1114"/>
      <c r="AB2098" s="1114" t="s">
        <v>384</v>
      </c>
      <c r="AC2098" s="1117">
        <v>6.0</v>
      </c>
      <c r="AD2098" s="1115"/>
      <c r="AE2098" s="1115"/>
      <c r="AF2098" s="1115"/>
      <c r="AG2098" s="1115"/>
      <c r="AH2098" s="1115"/>
      <c r="AI2098" s="1115"/>
      <c r="AJ2098" s="1117"/>
      <c r="AK2098" s="1118"/>
      <c r="AL2098" s="1115"/>
      <c r="AM2098" s="1115"/>
      <c r="AN2098" s="1115"/>
      <c r="AO2098" s="1115"/>
      <c r="AP2098" s="1115"/>
      <c r="AQ2098" s="1115"/>
      <c r="AR2098" s="1115"/>
      <c r="AS2098" s="1117"/>
      <c r="AT2098" s="1196" t="str">
        <f t="shared" si="428"/>
        <v>1-10</v>
      </c>
      <c r="AU2098" s="1193"/>
      <c r="AV2098" s="330">
        <f>SQRT(($R2098-Infrastructure!J$3)^2+($S2098-Infrastructure!K$3)^2)</f>
        <v>31.74019534</v>
      </c>
      <c r="AW2098" s="331">
        <f>SQRT(($R2098-Infrastructure!J$4)^2+($S2098-Infrastructure!K$4)^2)</f>
        <v>24.54159734</v>
      </c>
      <c r="AX2098" s="331">
        <f>SQRT(($R2098-Infrastructure!J$5)^2+($S2098-Infrastructure!K$5)^2)</f>
        <v>21</v>
      </c>
      <c r="AY2098" s="331">
        <f>SQRT(($R2098-Infrastructure!J$6)^2+($S2098-Infrastructure!K$6)^2)</f>
        <v>11.63615057</v>
      </c>
      <c r="AZ2098" s="331">
        <f>SQRT(($R2098-Infrastructure!J$7)^2+($S2098-Infrastructure!K$7)^2)</f>
        <v>4.80416486</v>
      </c>
      <c r="BA2098" s="331">
        <f>SQRT(($R2098-Infrastructure!J$8)^2+($S2098-Infrastructure!K$8)^2)</f>
        <v>10.55461984</v>
      </c>
      <c r="BB2098" s="331">
        <f>SQRT(($R2098-Infrastructure!J$9)^2+($S2098-Infrastructure!K$9)^2)</f>
        <v>19.3</v>
      </c>
      <c r="BC2098" s="331">
        <f>SQRT(($R2098-Infrastructure!J$10)^2+($S2098-Infrastructure!K$10)^2)</f>
        <v>21.69101196</v>
      </c>
      <c r="BD2098" s="331">
        <f>SQRT(($R2098-Infrastructure!J$11)^2+($S2098-Infrastructure!K$11)^2)</f>
        <v>30.84574525</v>
      </c>
      <c r="BE2098" s="333">
        <f>SQRT(($R2098-Infrastructure!J$12)^2+($S2098-Infrastructure!K$12)^2)</f>
        <v>50.40634881</v>
      </c>
      <c r="BF2098" s="330">
        <f t="shared" si="161"/>
        <v>4.80416486</v>
      </c>
      <c r="BG2098" s="333">
        <f t="shared" si="162"/>
        <v>50.40634881</v>
      </c>
      <c r="BH2098" s="1119"/>
      <c r="BI2098" s="319" t="str">
        <f t="shared" ref="BI2098:BR2098" si="1047">IF(ISNUMBER(FIND(BI$3, $CO2098)), "Y", "")</f>
        <v/>
      </c>
      <c r="BJ2098" s="319" t="str">
        <f t="shared" si="1047"/>
        <v/>
      </c>
      <c r="BK2098" s="319" t="str">
        <f t="shared" si="1047"/>
        <v/>
      </c>
      <c r="BL2098" s="319" t="str">
        <f t="shared" si="1047"/>
        <v/>
      </c>
      <c r="BM2098" s="319" t="str">
        <f t="shared" si="1047"/>
        <v/>
      </c>
      <c r="BN2098" s="319" t="str">
        <f t="shared" si="1047"/>
        <v/>
      </c>
      <c r="BO2098" s="319" t="str">
        <f t="shared" si="1047"/>
        <v/>
      </c>
      <c r="BP2098" s="319" t="str">
        <f t="shared" si="1047"/>
        <v/>
      </c>
      <c r="BQ2098" s="319" t="str">
        <f t="shared" si="1047"/>
        <v/>
      </c>
      <c r="BR2098" s="319" t="str">
        <f t="shared" si="1047"/>
        <v/>
      </c>
      <c r="BS2098" s="330">
        <f t="shared" si="185"/>
        <v>0</v>
      </c>
      <c r="BT2098" s="331">
        <f t="shared" si="170"/>
        <v>0</v>
      </c>
      <c r="BU2098" s="920"/>
      <c r="BV2098" s="903" t="str">
        <f t="shared" si="186"/>
        <v/>
      </c>
      <c r="BW2098" s="908"/>
      <c r="BX2098" s="908"/>
      <c r="BY2098" s="331" t="b">
        <f t="shared" si="201"/>
        <v>0</v>
      </c>
      <c r="BZ2098" s="331"/>
      <c r="CA2098" s="462" t="str">
        <f t="shared" ref="CA2098:CJ2098" si="1048">IF(ISNUMBER(FIND(BI$3, $CP2098)), "Y", "")</f>
        <v/>
      </c>
      <c r="CB2098" s="319" t="str">
        <f t="shared" si="1048"/>
        <v/>
      </c>
      <c r="CC2098" s="319" t="str">
        <f t="shared" si="1048"/>
        <v/>
      </c>
      <c r="CD2098" s="319" t="str">
        <f t="shared" si="1048"/>
        <v/>
      </c>
      <c r="CE2098" s="319" t="str">
        <f t="shared" si="1048"/>
        <v/>
      </c>
      <c r="CF2098" s="319" t="str">
        <f t="shared" si="1048"/>
        <v/>
      </c>
      <c r="CG2098" s="319" t="str">
        <f t="shared" si="1048"/>
        <v/>
      </c>
      <c r="CH2098" s="319" t="str">
        <f t="shared" si="1048"/>
        <v/>
      </c>
      <c r="CI2098" s="319" t="str">
        <f t="shared" si="1048"/>
        <v/>
      </c>
      <c r="CJ2098" s="319" t="str">
        <f t="shared" si="1048"/>
        <v/>
      </c>
      <c r="CK2098" s="342">
        <f t="shared" si="182"/>
        <v>0</v>
      </c>
      <c r="CL2098" s="333">
        <f t="shared" si="183"/>
        <v>0</v>
      </c>
      <c r="CM2098" s="1079"/>
      <c r="CN2098" s="1005" t="s">
        <v>3116</v>
      </c>
      <c r="CO2098" s="1005"/>
      <c r="CP2098" s="1005"/>
    </row>
    <row r="2099">
      <c r="A2099" s="266"/>
      <c r="B2099" s="1113" t="s">
        <v>2240</v>
      </c>
      <c r="C2099" s="1107">
        <v>45602.0</v>
      </c>
      <c r="D2099" s="1113" t="s">
        <v>986</v>
      </c>
      <c r="E2099" s="1108">
        <v>39.0</v>
      </c>
      <c r="F2099" s="112" t="s">
        <v>3117</v>
      </c>
      <c r="G2099" s="1110">
        <v>0.6180555555555556</v>
      </c>
      <c r="H2099" s="1110">
        <v>0.61875</v>
      </c>
      <c r="I2099" s="1110"/>
      <c r="J2099" s="1111"/>
      <c r="K2099" s="1111">
        <v>0.6472222222222223</v>
      </c>
      <c r="L2099" s="1112">
        <v>0.02847222222222222</v>
      </c>
      <c r="M2099" s="1113" t="s">
        <v>166</v>
      </c>
      <c r="N2099" s="110" t="s">
        <v>187</v>
      </c>
      <c r="O2099" s="1115" t="s">
        <v>206</v>
      </c>
      <c r="P2099" s="1115" t="s">
        <v>218</v>
      </c>
      <c r="Q2099" s="1116"/>
      <c r="R2099" s="120">
        <v>21.5</v>
      </c>
      <c r="S2099" s="1113">
        <v>8.7</v>
      </c>
      <c r="T2099" s="110">
        <v>2.4</v>
      </c>
      <c r="U2099" s="1108">
        <v>1.5</v>
      </c>
      <c r="V2099" s="1108"/>
      <c r="W2099" s="1108"/>
      <c r="X2099" s="1108"/>
      <c r="Y2099" s="1108"/>
      <c r="Z2099" s="1114" t="s">
        <v>347</v>
      </c>
      <c r="AA2099" s="1114"/>
      <c r="AB2099" s="1114" t="s">
        <v>388</v>
      </c>
      <c r="AC2099" s="1117">
        <v>8.0</v>
      </c>
      <c r="AD2099" s="1115"/>
      <c r="AE2099" s="1115"/>
      <c r="AF2099" s="1115"/>
      <c r="AG2099" s="1115"/>
      <c r="AH2099" s="1115"/>
      <c r="AI2099" s="1115"/>
      <c r="AJ2099" s="1117"/>
      <c r="AK2099" s="1118"/>
      <c r="AL2099" s="1115"/>
      <c r="AM2099" s="1115"/>
      <c r="AN2099" s="1115"/>
      <c r="AO2099" s="1115"/>
      <c r="AP2099" s="1115"/>
      <c r="AQ2099" s="1115"/>
      <c r="AR2099" s="1115"/>
      <c r="AS2099" s="1117"/>
      <c r="AT2099" s="1196" t="str">
        <f t="shared" si="428"/>
        <v>1-10</v>
      </c>
      <c r="AU2099" s="1193"/>
      <c r="AV2099" s="330">
        <f>SQRT(($R2099-Infrastructure!J$3)^2+($S2099-Infrastructure!K$3)^2)</f>
        <v>29.72002692</v>
      </c>
      <c r="AW2099" s="331">
        <f>SQRT(($R2099-Infrastructure!J$4)^2+($S2099-Infrastructure!K$4)^2)</f>
        <v>23.62308193</v>
      </c>
      <c r="AX2099" s="331">
        <f>SQRT(($R2099-Infrastructure!J$5)^2+($S2099-Infrastructure!K$5)^2)</f>
        <v>22.09524836</v>
      </c>
      <c r="AY2099" s="331">
        <f>SQRT(($R2099-Infrastructure!J$6)^2+($S2099-Infrastructure!K$6)^2)</f>
        <v>14.16050847</v>
      </c>
      <c r="AZ2099" s="331">
        <f>SQRT(($R2099-Infrastructure!J$7)^2+($S2099-Infrastructure!K$7)^2)</f>
        <v>8.459314393</v>
      </c>
      <c r="BA2099" s="331">
        <f>SQRT(($R2099-Infrastructure!J$8)^2+($S2099-Infrastructure!K$8)^2)</f>
        <v>12.02164714</v>
      </c>
      <c r="BB2099" s="331">
        <f>SQRT(($R2099-Infrastructure!J$9)^2+($S2099-Infrastructure!K$9)^2)</f>
        <v>18.84701568</v>
      </c>
      <c r="BC2099" s="331">
        <f>SQRT(($R2099-Infrastructure!J$10)^2+($S2099-Infrastructure!K$10)^2)</f>
        <v>19.54328529</v>
      </c>
      <c r="BD2099" s="331">
        <f>SQRT(($R2099-Infrastructure!J$11)^2+($S2099-Infrastructure!K$11)^2)</f>
        <v>27.60036232</v>
      </c>
      <c r="BE2099" s="333">
        <f>SQRT(($R2099-Infrastructure!J$12)^2+($S2099-Infrastructure!K$12)^2)</f>
        <v>46.8</v>
      </c>
      <c r="BF2099" s="330">
        <f t="shared" si="161"/>
        <v>8.459314393</v>
      </c>
      <c r="BG2099" s="333">
        <f t="shared" si="162"/>
        <v>46.8</v>
      </c>
      <c r="BH2099" s="1119"/>
      <c r="BI2099" s="319" t="str">
        <f t="shared" ref="BI2099:BR2099" si="1049">IF(ISNUMBER(FIND(BI$3, $CO2099)), "Y", "")</f>
        <v/>
      </c>
      <c r="BJ2099" s="319" t="str">
        <f t="shared" si="1049"/>
        <v/>
      </c>
      <c r="BK2099" s="319" t="str">
        <f t="shared" si="1049"/>
        <v/>
      </c>
      <c r="BL2099" s="319" t="str">
        <f t="shared" si="1049"/>
        <v/>
      </c>
      <c r="BM2099" s="319" t="str">
        <f t="shared" si="1049"/>
        <v/>
      </c>
      <c r="BN2099" s="319" t="str">
        <f t="shared" si="1049"/>
        <v/>
      </c>
      <c r="BO2099" s="319" t="str">
        <f t="shared" si="1049"/>
        <v/>
      </c>
      <c r="BP2099" s="319" t="str">
        <f t="shared" si="1049"/>
        <v/>
      </c>
      <c r="BQ2099" s="319" t="str">
        <f t="shared" si="1049"/>
        <v/>
      </c>
      <c r="BR2099" s="319" t="str">
        <f t="shared" si="1049"/>
        <v/>
      </c>
      <c r="BS2099" s="330">
        <f t="shared" si="185"/>
        <v>0</v>
      </c>
      <c r="BT2099" s="331">
        <f t="shared" si="170"/>
        <v>0</v>
      </c>
      <c r="BU2099" s="920"/>
      <c r="BV2099" s="903" t="str">
        <f t="shared" si="186"/>
        <v/>
      </c>
      <c r="BW2099" s="908"/>
      <c r="BX2099" s="908"/>
      <c r="BY2099" s="331" t="b">
        <f t="shared" si="201"/>
        <v>0</v>
      </c>
      <c r="BZ2099" s="331"/>
      <c r="CA2099" s="462" t="str">
        <f t="shared" ref="CA2099:CJ2099" si="1050">IF(ISNUMBER(FIND(BI$3, $CP2099)), "Y", "")</f>
        <v/>
      </c>
      <c r="CB2099" s="319" t="str">
        <f t="shared" si="1050"/>
        <v/>
      </c>
      <c r="CC2099" s="319" t="str">
        <f t="shared" si="1050"/>
        <v/>
      </c>
      <c r="CD2099" s="319" t="str">
        <f t="shared" si="1050"/>
        <v/>
      </c>
      <c r="CE2099" s="319" t="str">
        <f t="shared" si="1050"/>
        <v/>
      </c>
      <c r="CF2099" s="319" t="str">
        <f t="shared" si="1050"/>
        <v/>
      </c>
      <c r="CG2099" s="319" t="str">
        <f t="shared" si="1050"/>
        <v/>
      </c>
      <c r="CH2099" s="319" t="str">
        <f t="shared" si="1050"/>
        <v/>
      </c>
      <c r="CI2099" s="319" t="str">
        <f t="shared" si="1050"/>
        <v/>
      </c>
      <c r="CJ2099" s="319" t="str">
        <f t="shared" si="1050"/>
        <v/>
      </c>
      <c r="CK2099" s="342">
        <f t="shared" si="182"/>
        <v>0</v>
      </c>
      <c r="CL2099" s="333">
        <f t="shared" si="183"/>
        <v>0</v>
      </c>
      <c r="CM2099" s="1079"/>
      <c r="CN2099" s="1005" t="s">
        <v>3116</v>
      </c>
      <c r="CO2099" s="1005"/>
      <c r="CP2099" s="1005"/>
    </row>
    <row r="2100">
      <c r="A2100" s="266"/>
      <c r="B2100" s="1113" t="s">
        <v>2240</v>
      </c>
      <c r="C2100" s="1107">
        <v>45602.0</v>
      </c>
      <c r="D2100" s="1113" t="s">
        <v>986</v>
      </c>
      <c r="E2100" s="1108">
        <v>40.0</v>
      </c>
      <c r="F2100" s="112" t="s">
        <v>3118</v>
      </c>
      <c r="G2100" s="1110">
        <v>0.6888888888888889</v>
      </c>
      <c r="H2100" s="1110">
        <v>0.6895833333333333</v>
      </c>
      <c r="I2100" s="1110"/>
      <c r="J2100" s="1111"/>
      <c r="K2100" s="1111">
        <v>0.7215277777777778</v>
      </c>
      <c r="L2100" s="1112">
        <v>0.03194444444444444</v>
      </c>
      <c r="M2100" s="1113" t="s">
        <v>166</v>
      </c>
      <c r="N2100" s="110" t="s">
        <v>188</v>
      </c>
      <c r="O2100" s="1115" t="s">
        <v>378</v>
      </c>
      <c r="P2100" s="1115" t="s">
        <v>225</v>
      </c>
      <c r="Q2100" s="1116"/>
      <c r="R2100" s="120">
        <v>22.7</v>
      </c>
      <c r="S2100" s="1113">
        <v>39.7</v>
      </c>
      <c r="T2100" s="110">
        <v>1.09</v>
      </c>
      <c r="U2100" s="1108">
        <v>6.5</v>
      </c>
      <c r="V2100" s="1108"/>
      <c r="W2100" s="1108"/>
      <c r="X2100" s="1108"/>
      <c r="Y2100" s="1108"/>
      <c r="Z2100" s="1114" t="s">
        <v>1140</v>
      </c>
      <c r="AA2100" s="1114"/>
      <c r="AB2100" s="1114" t="s">
        <v>410</v>
      </c>
      <c r="AC2100" s="1117">
        <v>22.1</v>
      </c>
      <c r="AD2100" s="1115"/>
      <c r="AE2100" s="1115"/>
      <c r="AF2100" s="1115"/>
      <c r="AG2100" s="1115"/>
      <c r="AH2100" s="1115"/>
      <c r="AI2100" s="1115"/>
      <c r="AJ2100" s="1117"/>
      <c r="AK2100" s="1118"/>
      <c r="AL2100" s="1115"/>
      <c r="AM2100" s="1115"/>
      <c r="AN2100" s="1115"/>
      <c r="AO2100" s="1115"/>
      <c r="AP2100" s="1115"/>
      <c r="AQ2100" s="1115"/>
      <c r="AR2100" s="1115"/>
      <c r="AS2100" s="1117"/>
      <c r="AT2100" s="1196" t="str">
        <f t="shared" si="428"/>
        <v>1-10</v>
      </c>
      <c r="AU2100" s="1193"/>
      <c r="AV2100" s="330">
        <f>SQRT(($R2100-Infrastructure!J$3)^2+($S2100-Infrastructure!K$3)^2)</f>
        <v>25.40944706</v>
      </c>
      <c r="AW2100" s="331">
        <f>SQRT(($R2100-Infrastructure!J$4)^2+($S2100-Infrastructure!K$4)^2)</f>
        <v>31.75862088</v>
      </c>
      <c r="AX2100" s="331">
        <f>SQRT(($R2100-Infrastructure!J$5)^2+($S2100-Infrastructure!K$5)^2)</f>
        <v>41.54708173</v>
      </c>
      <c r="AY2100" s="331">
        <f>SQRT(($R2100-Infrastructure!J$6)^2+($S2100-Infrastructure!K$6)^2)</f>
        <v>41.36568626</v>
      </c>
      <c r="AZ2100" s="331">
        <f>SQRT(($R2100-Infrastructure!J$7)^2+($S2100-Infrastructure!K$7)^2)</f>
        <v>39.46137352</v>
      </c>
      <c r="BA2100" s="331">
        <f>SQRT(($R2100-Infrastructure!J$8)^2+($S2100-Infrastructure!K$8)^2)</f>
        <v>40.08890121</v>
      </c>
      <c r="BB2100" s="331">
        <f>SQRT(($R2100-Infrastructure!J$9)^2+($S2100-Infrastructure!K$9)^2)</f>
        <v>38.68397601</v>
      </c>
      <c r="BC2100" s="331">
        <f>SQRT(($R2100-Infrastructure!J$10)^2+($S2100-Infrastructure!K$10)^2)</f>
        <v>30.15592811</v>
      </c>
      <c r="BD2100" s="331">
        <f>SQRT(($R2100-Infrastructure!J$11)^2+($S2100-Infrastructure!K$11)^2)</f>
        <v>20.51194774</v>
      </c>
      <c r="BE2100" s="333">
        <f>SQRT(($R2100-Infrastructure!J$12)^2+($S2100-Infrastructure!K$12)^2)</f>
        <v>15.84550409</v>
      </c>
      <c r="BF2100" s="330">
        <f t="shared" si="161"/>
        <v>15.84550409</v>
      </c>
      <c r="BG2100" s="333">
        <f t="shared" si="162"/>
        <v>41.54708173</v>
      </c>
      <c r="BH2100" s="1119"/>
      <c r="BI2100" s="319" t="str">
        <f t="shared" ref="BI2100:BR2100" si="1051">IF(ISNUMBER(FIND(BI$3, $CO2100)), "Y", "")</f>
        <v/>
      </c>
      <c r="BJ2100" s="319" t="str">
        <f t="shared" si="1051"/>
        <v/>
      </c>
      <c r="BK2100" s="319" t="str">
        <f t="shared" si="1051"/>
        <v/>
      </c>
      <c r="BL2100" s="319" t="str">
        <f t="shared" si="1051"/>
        <v>Y</v>
      </c>
      <c r="BM2100" s="319" t="str">
        <f t="shared" si="1051"/>
        <v>Y</v>
      </c>
      <c r="BN2100" s="319" t="str">
        <f t="shared" si="1051"/>
        <v>Y</v>
      </c>
      <c r="BO2100" s="319" t="str">
        <f t="shared" si="1051"/>
        <v>Y</v>
      </c>
      <c r="BP2100" s="319" t="str">
        <f t="shared" si="1051"/>
        <v/>
      </c>
      <c r="BQ2100" s="319" t="str">
        <f t="shared" si="1051"/>
        <v/>
      </c>
      <c r="BR2100" s="319" t="str">
        <f t="shared" si="1051"/>
        <v/>
      </c>
      <c r="BS2100" s="330">
        <f t="shared" si="185"/>
        <v>38.68397601</v>
      </c>
      <c r="BT2100" s="331">
        <f t="shared" si="170"/>
        <v>41.36568626</v>
      </c>
      <c r="BU2100" s="920">
        <v>0.7055902777777778</v>
      </c>
      <c r="BV2100" s="903">
        <f t="shared" si="186"/>
        <v>0.01670138889</v>
      </c>
      <c r="BW2100" s="908">
        <v>27.3</v>
      </c>
      <c r="BX2100" s="908">
        <v>7.4</v>
      </c>
      <c r="BY2100" s="331">
        <f t="shared" si="201"/>
        <v>32.62590995</v>
      </c>
      <c r="BZ2100" s="331"/>
      <c r="CA2100" s="462" t="str">
        <f t="shared" ref="CA2100:CJ2100" si="1052">IF(ISNUMBER(FIND(BI$3, $CP2100)), "Y", "")</f>
        <v/>
      </c>
      <c r="CB2100" s="319" t="str">
        <f t="shared" si="1052"/>
        <v/>
      </c>
      <c r="CC2100" s="319" t="str">
        <f t="shared" si="1052"/>
        <v/>
      </c>
      <c r="CD2100" s="319" t="str">
        <f t="shared" si="1052"/>
        <v/>
      </c>
      <c r="CE2100" s="319" t="str">
        <f t="shared" si="1052"/>
        <v/>
      </c>
      <c r="CF2100" s="319" t="str">
        <f t="shared" si="1052"/>
        <v/>
      </c>
      <c r="CG2100" s="319" t="str">
        <f t="shared" si="1052"/>
        <v/>
      </c>
      <c r="CH2100" s="319" t="str">
        <f t="shared" si="1052"/>
        <v/>
      </c>
      <c r="CI2100" s="319" t="str">
        <f t="shared" si="1052"/>
        <v/>
      </c>
      <c r="CJ2100" s="319" t="str">
        <f t="shared" si="1052"/>
        <v/>
      </c>
      <c r="CK2100" s="342">
        <f t="shared" si="182"/>
        <v>0</v>
      </c>
      <c r="CL2100" s="333">
        <f t="shared" si="183"/>
        <v>0</v>
      </c>
      <c r="CM2100" s="1079"/>
      <c r="CN2100" s="1005" t="s">
        <v>3116</v>
      </c>
      <c r="CO2100" s="1005" t="s">
        <v>2443</v>
      </c>
      <c r="CP2100" s="1005"/>
    </row>
    <row r="2101">
      <c r="A2101" s="266"/>
      <c r="B2101" s="1113" t="s">
        <v>2240</v>
      </c>
      <c r="C2101" s="1107">
        <v>45602.0</v>
      </c>
      <c r="D2101" s="103"/>
      <c r="E2101" s="1137"/>
      <c r="F2101" s="112" t="s">
        <v>3119</v>
      </c>
      <c r="G2101" s="1110">
        <v>0.7256944444444444</v>
      </c>
      <c r="H2101" s="1138"/>
      <c r="I2101" s="1138"/>
      <c r="J2101" s="1139"/>
      <c r="K2101" s="1111">
        <v>0.7267361111111111</v>
      </c>
      <c r="L2101" s="1112">
        <v>0.0010416666666666667</v>
      </c>
      <c r="M2101" s="1113" t="s">
        <v>166</v>
      </c>
      <c r="N2101" s="110" t="s">
        <v>188</v>
      </c>
      <c r="O2101" s="1140"/>
      <c r="P2101" s="1115" t="s">
        <v>292</v>
      </c>
      <c r="Q2101" s="1116"/>
      <c r="R2101" s="1141"/>
      <c r="S2101" s="1113"/>
      <c r="T2101" s="1143"/>
      <c r="U2101" s="1108" t="s">
        <v>323</v>
      </c>
      <c r="V2101" s="1108"/>
      <c r="W2101" s="1108"/>
      <c r="X2101" s="1108"/>
      <c r="Y2101" s="1108"/>
      <c r="Z2101" s="1114" t="s">
        <v>323</v>
      </c>
      <c r="AA2101" s="1114"/>
      <c r="AB2101" s="1114" t="s">
        <v>323</v>
      </c>
      <c r="AC2101" s="1117" t="s">
        <v>323</v>
      </c>
      <c r="AD2101" s="1115"/>
      <c r="AE2101" s="1115"/>
      <c r="AF2101" s="1115"/>
      <c r="AG2101" s="1115"/>
      <c r="AH2101" s="1115"/>
      <c r="AI2101" s="1115"/>
      <c r="AJ2101" s="1117"/>
      <c r="AK2101" s="1118"/>
      <c r="AL2101" s="1115"/>
      <c r="AM2101" s="1115"/>
      <c r="AN2101" s="1115"/>
      <c r="AO2101" s="1115"/>
      <c r="AP2101" s="1115"/>
      <c r="AQ2101" s="1115"/>
      <c r="AR2101" s="1115"/>
      <c r="AS2101" s="1117"/>
      <c r="AT2101" s="1196" t="str">
        <f t="shared" si="428"/>
        <v/>
      </c>
      <c r="AU2101" s="1193"/>
      <c r="AV2101" s="330">
        <f>SQRT(($R2101-Infrastructure!J$3)^2+($S2101-Infrastructure!K$3)^2)</f>
        <v>28.90155705</v>
      </c>
      <c r="AW2101" s="331">
        <f>SQRT(($R2101-Infrastructure!J$4)^2+($S2101-Infrastructure!K$4)^2)</f>
        <v>17.80252791</v>
      </c>
      <c r="AX2101" s="331">
        <f>SQRT(($R2101-Infrastructure!J$5)^2+($S2101-Infrastructure!K$5)^2)</f>
        <v>5.10881591</v>
      </c>
      <c r="AY2101" s="331">
        <f>SQRT(($R2101-Infrastructure!J$6)^2+($S2101-Infrastructure!K$6)^2)</f>
        <v>10.10445446</v>
      </c>
      <c r="AZ2101" s="331">
        <f>SQRT(($R2101-Infrastructure!J$7)^2+($S2101-Infrastructure!K$7)^2)</f>
        <v>20.502195</v>
      </c>
      <c r="BA2101" s="331">
        <f>SQRT(($R2101-Infrastructure!J$8)^2+($S2101-Infrastructure!K$8)^2)</f>
        <v>30.10149498</v>
      </c>
      <c r="BB2101" s="331">
        <f>SQRT(($R2101-Infrastructure!J$9)^2+($S2101-Infrastructure!K$9)^2)</f>
        <v>40.3238143</v>
      </c>
      <c r="BC2101" s="331">
        <f>SQRT(($R2101-Infrastructure!J$10)^2+($S2101-Infrastructure!K$10)^2)</f>
        <v>42.72001873</v>
      </c>
      <c r="BD2101" s="331">
        <f>SQRT(($R2101-Infrastructure!J$11)^2+($S2101-Infrastructure!K$11)^2)</f>
        <v>49.56853841</v>
      </c>
      <c r="BE2101" s="333">
        <f>SQRT(($R2101-Infrastructure!J$12)^2+($S2101-Infrastructure!K$12)^2)</f>
        <v>59.51890456</v>
      </c>
      <c r="BF2101" s="330">
        <f t="shared" si="161"/>
        <v>5.10881591</v>
      </c>
      <c r="BG2101" s="333">
        <f t="shared" si="162"/>
        <v>59.51890456</v>
      </c>
      <c r="BH2101" s="1119"/>
      <c r="BI2101" s="319" t="str">
        <f t="shared" ref="BI2101:BR2101" si="1053">IF(ISNUMBER(FIND(BI$3, $CO2101)), "Y", "")</f>
        <v/>
      </c>
      <c r="BJ2101" s="319" t="str">
        <f t="shared" si="1053"/>
        <v/>
      </c>
      <c r="BK2101" s="319" t="str">
        <f t="shared" si="1053"/>
        <v/>
      </c>
      <c r="BL2101" s="319" t="str">
        <f t="shared" si="1053"/>
        <v/>
      </c>
      <c r="BM2101" s="319" t="str">
        <f t="shared" si="1053"/>
        <v/>
      </c>
      <c r="BN2101" s="319" t="str">
        <f t="shared" si="1053"/>
        <v/>
      </c>
      <c r="BO2101" s="319" t="str">
        <f t="shared" si="1053"/>
        <v/>
      </c>
      <c r="BP2101" s="319" t="str">
        <f t="shared" si="1053"/>
        <v/>
      </c>
      <c r="BQ2101" s="319" t="str">
        <f t="shared" si="1053"/>
        <v/>
      </c>
      <c r="BR2101" s="319" t="str">
        <f t="shared" si="1053"/>
        <v/>
      </c>
      <c r="BS2101" s="330">
        <f t="shared" si="185"/>
        <v>0</v>
      </c>
      <c r="BT2101" s="331">
        <f t="shared" si="170"/>
        <v>0</v>
      </c>
      <c r="BU2101" s="920"/>
      <c r="BV2101" s="903" t="str">
        <f t="shared" si="186"/>
        <v/>
      </c>
      <c r="BW2101" s="908"/>
      <c r="BX2101" s="908"/>
      <c r="BY2101" s="331" t="b">
        <f t="shared" si="201"/>
        <v>0</v>
      </c>
      <c r="BZ2101" s="331"/>
      <c r="CA2101" s="462" t="str">
        <f t="shared" ref="CA2101:CJ2101" si="1054">IF(ISNUMBER(FIND(BI$3, $CP2101)), "Y", "")</f>
        <v/>
      </c>
      <c r="CB2101" s="319" t="str">
        <f t="shared" si="1054"/>
        <v/>
      </c>
      <c r="CC2101" s="319" t="str">
        <f t="shared" si="1054"/>
        <v/>
      </c>
      <c r="CD2101" s="319" t="str">
        <f t="shared" si="1054"/>
        <v/>
      </c>
      <c r="CE2101" s="319" t="str">
        <f t="shared" si="1054"/>
        <v/>
      </c>
      <c r="CF2101" s="319" t="str">
        <f t="shared" si="1054"/>
        <v/>
      </c>
      <c r="CG2101" s="319" t="str">
        <f t="shared" si="1054"/>
        <v/>
      </c>
      <c r="CH2101" s="319" t="str">
        <f t="shared" si="1054"/>
        <v/>
      </c>
      <c r="CI2101" s="319" t="str">
        <f t="shared" si="1054"/>
        <v/>
      </c>
      <c r="CJ2101" s="319" t="str">
        <f t="shared" si="1054"/>
        <v/>
      </c>
      <c r="CK2101" s="342">
        <f t="shared" si="182"/>
        <v>0</v>
      </c>
      <c r="CL2101" s="333">
        <f t="shared" si="183"/>
        <v>0</v>
      </c>
      <c r="CM2101" s="1079"/>
      <c r="CN2101" s="1005" t="s">
        <v>3116</v>
      </c>
      <c r="CO2101" s="1005"/>
      <c r="CP2101" s="1005"/>
    </row>
    <row r="2102">
      <c r="A2102" s="266"/>
      <c r="B2102" s="1113" t="s">
        <v>2240</v>
      </c>
      <c r="C2102" s="1107">
        <v>45604.0</v>
      </c>
      <c r="D2102" s="103"/>
      <c r="E2102" s="1137"/>
      <c r="F2102" s="112" t="s">
        <v>3120</v>
      </c>
      <c r="G2102" s="1110">
        <v>0.4237268518518518</v>
      </c>
      <c r="H2102" s="1138"/>
      <c r="I2102" s="1138"/>
      <c r="J2102" s="1139"/>
      <c r="K2102" s="1111">
        <v>0.425</v>
      </c>
      <c r="L2102" s="1112">
        <v>0.0012731481481481483</v>
      </c>
      <c r="M2102" s="1113" t="s">
        <v>166</v>
      </c>
      <c r="N2102" s="110" t="s">
        <v>188</v>
      </c>
      <c r="O2102" s="1140"/>
      <c r="P2102" s="1115" t="s">
        <v>292</v>
      </c>
      <c r="Q2102" s="1116"/>
      <c r="R2102" s="1141"/>
      <c r="S2102" s="1113"/>
      <c r="T2102" s="1143"/>
      <c r="U2102" s="1108" t="s">
        <v>323</v>
      </c>
      <c r="V2102" s="1108"/>
      <c r="W2102" s="1108"/>
      <c r="X2102" s="1108"/>
      <c r="Y2102" s="1108"/>
      <c r="Z2102" s="1114" t="s">
        <v>323</v>
      </c>
      <c r="AA2102" s="1114"/>
      <c r="AB2102" s="1114" t="s">
        <v>323</v>
      </c>
      <c r="AC2102" s="1117" t="s">
        <v>323</v>
      </c>
      <c r="AD2102" s="1115"/>
      <c r="AE2102" s="1115"/>
      <c r="AF2102" s="1115"/>
      <c r="AG2102" s="1115"/>
      <c r="AH2102" s="1115"/>
      <c r="AI2102" s="1115"/>
      <c r="AJ2102" s="1117"/>
      <c r="AK2102" s="1118"/>
      <c r="AL2102" s="1115"/>
      <c r="AM2102" s="1115"/>
      <c r="AN2102" s="1115"/>
      <c r="AO2102" s="1115"/>
      <c r="AP2102" s="1115"/>
      <c r="AQ2102" s="1115"/>
      <c r="AR2102" s="1115"/>
      <c r="AS2102" s="1117"/>
      <c r="AT2102" s="1196" t="str">
        <f t="shared" si="428"/>
        <v/>
      </c>
      <c r="AU2102" s="1193"/>
      <c r="AV2102" s="330">
        <f>SQRT(($R2102-Infrastructure!J$3)^2+($S2102-Infrastructure!K$3)^2)</f>
        <v>28.90155705</v>
      </c>
      <c r="AW2102" s="331">
        <f>SQRT(($R2102-Infrastructure!J$4)^2+($S2102-Infrastructure!K$4)^2)</f>
        <v>17.80252791</v>
      </c>
      <c r="AX2102" s="331">
        <f>SQRT(($R2102-Infrastructure!J$5)^2+($S2102-Infrastructure!K$5)^2)</f>
        <v>5.10881591</v>
      </c>
      <c r="AY2102" s="331">
        <f>SQRT(($R2102-Infrastructure!J$6)^2+($S2102-Infrastructure!K$6)^2)</f>
        <v>10.10445446</v>
      </c>
      <c r="AZ2102" s="331">
        <f>SQRT(($R2102-Infrastructure!J$7)^2+($S2102-Infrastructure!K$7)^2)</f>
        <v>20.502195</v>
      </c>
      <c r="BA2102" s="331">
        <f>SQRT(($R2102-Infrastructure!J$8)^2+($S2102-Infrastructure!K$8)^2)</f>
        <v>30.10149498</v>
      </c>
      <c r="BB2102" s="331">
        <f>SQRT(($R2102-Infrastructure!J$9)^2+($S2102-Infrastructure!K$9)^2)</f>
        <v>40.3238143</v>
      </c>
      <c r="BC2102" s="331">
        <f>SQRT(($R2102-Infrastructure!J$10)^2+($S2102-Infrastructure!K$10)^2)</f>
        <v>42.72001873</v>
      </c>
      <c r="BD2102" s="331">
        <f>SQRT(($R2102-Infrastructure!J$11)^2+($S2102-Infrastructure!K$11)^2)</f>
        <v>49.56853841</v>
      </c>
      <c r="BE2102" s="333">
        <f>SQRT(($R2102-Infrastructure!J$12)^2+($S2102-Infrastructure!K$12)^2)</f>
        <v>59.51890456</v>
      </c>
      <c r="BF2102" s="330">
        <f t="shared" si="161"/>
        <v>5.10881591</v>
      </c>
      <c r="BG2102" s="333">
        <f t="shared" si="162"/>
        <v>59.51890456</v>
      </c>
      <c r="BH2102" s="1119"/>
      <c r="BI2102" s="319" t="str">
        <f t="shared" ref="BI2102:BR2102" si="1055">IF(ISNUMBER(FIND(BI$3, $CO2102)), "Y", "")</f>
        <v/>
      </c>
      <c r="BJ2102" s="319" t="str">
        <f t="shared" si="1055"/>
        <v/>
      </c>
      <c r="BK2102" s="319" t="str">
        <f t="shared" si="1055"/>
        <v/>
      </c>
      <c r="BL2102" s="319" t="str">
        <f t="shared" si="1055"/>
        <v/>
      </c>
      <c r="BM2102" s="319" t="str">
        <f t="shared" si="1055"/>
        <v/>
      </c>
      <c r="BN2102" s="319" t="str">
        <f t="shared" si="1055"/>
        <v/>
      </c>
      <c r="BO2102" s="319" t="str">
        <f t="shared" si="1055"/>
        <v/>
      </c>
      <c r="BP2102" s="319" t="str">
        <f t="shared" si="1055"/>
        <v/>
      </c>
      <c r="BQ2102" s="319" t="str">
        <f t="shared" si="1055"/>
        <v/>
      </c>
      <c r="BR2102" s="319" t="str">
        <f t="shared" si="1055"/>
        <v/>
      </c>
      <c r="BS2102" s="330">
        <f t="shared" si="185"/>
        <v>0</v>
      </c>
      <c r="BT2102" s="331">
        <f t="shared" si="170"/>
        <v>0</v>
      </c>
      <c r="BU2102" s="920"/>
      <c r="BV2102" s="903" t="str">
        <f t="shared" si="186"/>
        <v/>
      </c>
      <c r="BW2102" s="908"/>
      <c r="BX2102" s="908"/>
      <c r="BY2102" s="331" t="b">
        <f t="shared" si="201"/>
        <v>0</v>
      </c>
      <c r="BZ2102" s="331"/>
      <c r="CA2102" s="462" t="str">
        <f t="shared" ref="CA2102:CJ2102" si="1056">IF(ISNUMBER(FIND(BI$3, $CP2102)), "Y", "")</f>
        <v/>
      </c>
      <c r="CB2102" s="319" t="str">
        <f t="shared" si="1056"/>
        <v/>
      </c>
      <c r="CC2102" s="319" t="str">
        <f t="shared" si="1056"/>
        <v/>
      </c>
      <c r="CD2102" s="319" t="str">
        <f t="shared" si="1056"/>
        <v/>
      </c>
      <c r="CE2102" s="319" t="str">
        <f t="shared" si="1056"/>
        <v/>
      </c>
      <c r="CF2102" s="319" t="str">
        <f t="shared" si="1056"/>
        <v/>
      </c>
      <c r="CG2102" s="319" t="str">
        <f t="shared" si="1056"/>
        <v/>
      </c>
      <c r="CH2102" s="319" t="str">
        <f t="shared" si="1056"/>
        <v/>
      </c>
      <c r="CI2102" s="319" t="str">
        <f t="shared" si="1056"/>
        <v/>
      </c>
      <c r="CJ2102" s="319" t="str">
        <f t="shared" si="1056"/>
        <v/>
      </c>
      <c r="CK2102" s="342">
        <f t="shared" si="182"/>
        <v>0</v>
      </c>
      <c r="CL2102" s="333">
        <f t="shared" si="183"/>
        <v>0</v>
      </c>
      <c r="CM2102" s="1079"/>
      <c r="CN2102" s="1005" t="s">
        <v>3116</v>
      </c>
      <c r="CO2102" s="1005"/>
      <c r="CP2102" s="1005"/>
    </row>
    <row r="2103">
      <c r="A2103" s="1258"/>
      <c r="B2103" s="1129" t="s">
        <v>2240</v>
      </c>
      <c r="C2103" s="1122">
        <v>45604.0</v>
      </c>
      <c r="D2103" s="1123"/>
      <c r="E2103" s="1144"/>
      <c r="F2103" s="108" t="s">
        <v>3120</v>
      </c>
      <c r="G2103" s="1126">
        <v>0.4420138888888889</v>
      </c>
      <c r="H2103" s="1145"/>
      <c r="I2103" s="1145"/>
      <c r="J2103" s="1146"/>
      <c r="K2103" s="1127">
        <v>0.44461805555555556</v>
      </c>
      <c r="L2103" s="1128">
        <v>0.0026041666666666665</v>
      </c>
      <c r="M2103" s="1129" t="s">
        <v>358</v>
      </c>
      <c r="N2103" s="100" t="s">
        <v>188</v>
      </c>
      <c r="O2103" s="1161"/>
      <c r="P2103" s="1131" t="s">
        <v>294</v>
      </c>
      <c r="Q2103" s="1132"/>
      <c r="R2103" s="1148"/>
      <c r="S2103" s="1129"/>
      <c r="T2103" s="1150"/>
      <c r="U2103" s="1124" t="s">
        <v>323</v>
      </c>
      <c r="V2103" s="1124"/>
      <c r="W2103" s="1124"/>
      <c r="X2103" s="1124"/>
      <c r="Y2103" s="1124"/>
      <c r="Z2103" s="1130" t="s">
        <v>323</v>
      </c>
      <c r="AA2103" s="1130"/>
      <c r="AB2103" s="1130" t="s">
        <v>323</v>
      </c>
      <c r="AC2103" s="1133" t="s">
        <v>323</v>
      </c>
      <c r="AD2103" s="1131"/>
      <c r="AE2103" s="1131"/>
      <c r="AF2103" s="1131"/>
      <c r="AG2103" s="1131"/>
      <c r="AH2103" s="1131"/>
      <c r="AI2103" s="1131"/>
      <c r="AJ2103" s="1133"/>
      <c r="AK2103" s="1134"/>
      <c r="AL2103" s="1131"/>
      <c r="AM2103" s="1131"/>
      <c r="AN2103" s="1131"/>
      <c r="AO2103" s="1131"/>
      <c r="AP2103" s="1131"/>
      <c r="AQ2103" s="1131"/>
      <c r="AR2103" s="1131"/>
      <c r="AS2103" s="1133"/>
      <c r="AT2103" s="1197" t="str">
        <f t="shared" si="428"/>
        <v/>
      </c>
      <c r="AU2103" s="1194"/>
      <c r="AV2103" s="662">
        <f>SQRT(($R2103-Infrastructure!J$3)^2+($S2103-Infrastructure!K$3)^2)</f>
        <v>28.90155705</v>
      </c>
      <c r="AW2103" s="641">
        <f>SQRT(($R2103-Infrastructure!J$4)^2+($S2103-Infrastructure!K$4)^2)</f>
        <v>17.80252791</v>
      </c>
      <c r="AX2103" s="641">
        <f>SQRT(($R2103-Infrastructure!J$5)^2+($S2103-Infrastructure!K$5)^2)</f>
        <v>5.10881591</v>
      </c>
      <c r="AY2103" s="641">
        <f>SQRT(($R2103-Infrastructure!J$6)^2+($S2103-Infrastructure!K$6)^2)</f>
        <v>10.10445446</v>
      </c>
      <c r="AZ2103" s="641">
        <f>SQRT(($R2103-Infrastructure!J$7)^2+($S2103-Infrastructure!K$7)^2)</f>
        <v>20.502195</v>
      </c>
      <c r="BA2103" s="641">
        <f>SQRT(($R2103-Infrastructure!J$8)^2+($S2103-Infrastructure!K$8)^2)</f>
        <v>30.10149498</v>
      </c>
      <c r="BB2103" s="641">
        <f>SQRT(($R2103-Infrastructure!J$9)^2+($S2103-Infrastructure!K$9)^2)</f>
        <v>40.3238143</v>
      </c>
      <c r="BC2103" s="641">
        <f>SQRT(($R2103-Infrastructure!J$10)^2+($S2103-Infrastructure!K$10)^2)</f>
        <v>42.72001873</v>
      </c>
      <c r="BD2103" s="641">
        <f>SQRT(($R2103-Infrastructure!J$11)^2+($S2103-Infrastructure!K$11)^2)</f>
        <v>49.56853841</v>
      </c>
      <c r="BE2103" s="642">
        <f>SQRT(($R2103-Infrastructure!J$12)^2+($S2103-Infrastructure!K$12)^2)</f>
        <v>59.51890456</v>
      </c>
      <c r="BF2103" s="662">
        <f t="shared" si="161"/>
        <v>5.10881591</v>
      </c>
      <c r="BG2103" s="642">
        <f t="shared" si="162"/>
        <v>59.51890456</v>
      </c>
      <c r="BH2103" s="1135"/>
      <c r="BI2103" s="663" t="str">
        <f t="shared" ref="BI2103:BR2103" si="1057">IF(ISNUMBER(FIND(BI$3, $CO2103)), "Y", "")</f>
        <v/>
      </c>
      <c r="BJ2103" s="663" t="str">
        <f t="shared" si="1057"/>
        <v/>
      </c>
      <c r="BK2103" s="663" t="str">
        <f t="shared" si="1057"/>
        <v/>
      </c>
      <c r="BL2103" s="663" t="str">
        <f t="shared" si="1057"/>
        <v/>
      </c>
      <c r="BM2103" s="663" t="str">
        <f t="shared" si="1057"/>
        <v/>
      </c>
      <c r="BN2103" s="663" t="str">
        <f t="shared" si="1057"/>
        <v/>
      </c>
      <c r="BO2103" s="663" t="str">
        <f t="shared" si="1057"/>
        <v/>
      </c>
      <c r="BP2103" s="663" t="str">
        <f t="shared" si="1057"/>
        <v/>
      </c>
      <c r="BQ2103" s="663" t="str">
        <f t="shared" si="1057"/>
        <v/>
      </c>
      <c r="BR2103" s="663" t="str">
        <f t="shared" si="1057"/>
        <v/>
      </c>
      <c r="BS2103" s="662">
        <f t="shared" si="185"/>
        <v>0</v>
      </c>
      <c r="BT2103" s="641">
        <f t="shared" si="170"/>
        <v>0</v>
      </c>
      <c r="BU2103" s="937"/>
      <c r="BV2103" s="930" t="str">
        <f t="shared" si="186"/>
        <v/>
      </c>
      <c r="BW2103" s="939"/>
      <c r="BX2103" s="939"/>
      <c r="BY2103" s="641" t="b">
        <f t="shared" si="201"/>
        <v>0</v>
      </c>
      <c r="BZ2103" s="641"/>
      <c r="CA2103" s="635" t="str">
        <f t="shared" ref="CA2103:CJ2103" si="1058">IF(ISNUMBER(FIND(BI$3, $CP2103)), "Y", "")</f>
        <v/>
      </c>
      <c r="CB2103" s="663" t="str">
        <f t="shared" si="1058"/>
        <v/>
      </c>
      <c r="CC2103" s="663" t="str">
        <f t="shared" si="1058"/>
        <v/>
      </c>
      <c r="CD2103" s="663" t="str">
        <f t="shared" si="1058"/>
        <v/>
      </c>
      <c r="CE2103" s="663" t="str">
        <f t="shared" si="1058"/>
        <v/>
      </c>
      <c r="CF2103" s="663" t="str">
        <f t="shared" si="1058"/>
        <v/>
      </c>
      <c r="CG2103" s="663" t="str">
        <f t="shared" si="1058"/>
        <v/>
      </c>
      <c r="CH2103" s="663" t="str">
        <f t="shared" si="1058"/>
        <v/>
      </c>
      <c r="CI2103" s="663" t="str">
        <f t="shared" si="1058"/>
        <v/>
      </c>
      <c r="CJ2103" s="663" t="str">
        <f t="shared" si="1058"/>
        <v/>
      </c>
      <c r="CK2103" s="743">
        <f t="shared" si="182"/>
        <v>0</v>
      </c>
      <c r="CL2103" s="642">
        <f t="shared" si="183"/>
        <v>0</v>
      </c>
      <c r="CM2103" s="1090"/>
      <c r="CN2103" s="1036" t="s">
        <v>3116</v>
      </c>
      <c r="CO2103" s="1036"/>
      <c r="CP2103" s="1036"/>
    </row>
    <row r="2104">
      <c r="A2104" s="1257" t="s">
        <v>133</v>
      </c>
      <c r="B2104" s="1113" t="s">
        <v>1772</v>
      </c>
      <c r="C2104" s="1107">
        <v>45614.0</v>
      </c>
      <c r="D2104" s="1113" t="s">
        <v>986</v>
      </c>
      <c r="E2104" s="1108">
        <v>1.0</v>
      </c>
      <c r="F2104" s="112" t="s">
        <v>3121</v>
      </c>
      <c r="G2104" s="1110">
        <v>0.3770833333333333</v>
      </c>
      <c r="H2104" s="1110">
        <v>0.37777777777777777</v>
      </c>
      <c r="I2104" s="1110"/>
      <c r="J2104" s="1111"/>
      <c r="K2104" s="1111">
        <v>0.42777777777777776</v>
      </c>
      <c r="L2104" s="1112">
        <v>0.05</v>
      </c>
      <c r="M2104" s="1113" t="s">
        <v>166</v>
      </c>
      <c r="N2104" s="110" t="s">
        <v>187</v>
      </c>
      <c r="O2104" s="1115" t="s">
        <v>207</v>
      </c>
      <c r="P2104" s="1115" t="s">
        <v>223</v>
      </c>
      <c r="Q2104" s="1116"/>
      <c r="R2104" s="120">
        <v>26.4</v>
      </c>
      <c r="S2104" s="1113">
        <v>14.5</v>
      </c>
      <c r="T2104" s="110">
        <v>2.5</v>
      </c>
      <c r="U2104" s="1108">
        <v>1.0</v>
      </c>
      <c r="V2104" s="1108"/>
      <c r="W2104" s="1108"/>
      <c r="X2104" s="1108"/>
      <c r="Y2104" s="1108"/>
      <c r="Z2104" s="1114" t="s">
        <v>374</v>
      </c>
      <c r="AA2104" s="1114"/>
      <c r="AB2104" s="1114" t="s">
        <v>384</v>
      </c>
      <c r="AC2104" s="1117">
        <v>6.0</v>
      </c>
      <c r="AD2104" s="1115"/>
      <c r="AE2104" s="1115"/>
      <c r="AF2104" s="1115"/>
      <c r="AG2104" s="1115"/>
      <c r="AH2104" s="1115"/>
      <c r="AI2104" s="1115"/>
      <c r="AJ2104" s="1117"/>
      <c r="AK2104" s="1118"/>
      <c r="AL2104" s="1115"/>
      <c r="AM2104" s="1115"/>
      <c r="AN2104" s="1115"/>
      <c r="AO2104" s="1115"/>
      <c r="AP2104" s="1115"/>
      <c r="AQ2104" s="1115"/>
      <c r="AR2104" s="1115"/>
      <c r="AS2104" s="1117"/>
      <c r="AT2104" s="1196" t="str">
        <f t="shared" si="428"/>
        <v>1-10</v>
      </c>
      <c r="AU2104" s="1193"/>
      <c r="AV2104" s="330">
        <f>SQRT(($R2104-Infrastructure!J$3)^2+($S2104-Infrastructure!K$3)^2)</f>
        <v>30.33562262</v>
      </c>
      <c r="AW2104" s="331">
        <f>SQRT(($R2104-Infrastructure!J$4)^2+($S2104-Infrastructure!K$4)^2)</f>
        <v>26.90315967</v>
      </c>
      <c r="AX2104" s="331">
        <f>SQRT(($R2104-Infrastructure!J$5)^2+($S2104-Infrastructure!K$5)^2)</f>
        <v>28.30635971</v>
      </c>
      <c r="AY2104" s="331">
        <f>SQRT(($R2104-Infrastructure!J$6)^2+($S2104-Infrastructure!K$6)^2)</f>
        <v>21.61781673</v>
      </c>
      <c r="AZ2104" s="331">
        <f>SQRT(($R2104-Infrastructure!J$7)^2+($S2104-Infrastructure!K$7)^2)</f>
        <v>15.37693077</v>
      </c>
      <c r="BA2104" s="331">
        <f>SQRT(($R2104-Infrastructure!J$8)^2+($S2104-Infrastructure!K$8)^2)</f>
        <v>14.67412689</v>
      </c>
      <c r="BB2104" s="331">
        <f>SQRT(($R2104-Infrastructure!J$9)^2+($S2104-Infrastructure!K$9)^2)</f>
        <v>16.53239245</v>
      </c>
      <c r="BC2104" s="331">
        <f>SQRT(($R2104-Infrastructure!J$10)^2+($S2104-Infrastructure!K$10)^2)</f>
        <v>13.60918807</v>
      </c>
      <c r="BD2104" s="331">
        <f>SQRT(($R2104-Infrastructure!J$11)^2+($S2104-Infrastructure!K$11)^2)</f>
        <v>20.01724257</v>
      </c>
      <c r="BE2104" s="333">
        <f>SQRT(($R2104-Infrastructure!J$12)^2+($S2104-Infrastructure!K$12)^2)</f>
        <v>41.29176673</v>
      </c>
      <c r="BF2104" s="330">
        <f t="shared" si="161"/>
        <v>13.60918807</v>
      </c>
      <c r="BG2104" s="333">
        <f t="shared" si="162"/>
        <v>41.29176673</v>
      </c>
      <c r="BH2104" s="1119"/>
      <c r="BI2104" s="319" t="str">
        <f t="shared" ref="BI2104:BR2104" si="1059">IF(ISNUMBER(FIND(BI$3, $CO2104)), "Y", "")</f>
        <v/>
      </c>
      <c r="BJ2104" s="319" t="str">
        <f t="shared" si="1059"/>
        <v/>
      </c>
      <c r="BK2104" s="319" t="str">
        <f t="shared" si="1059"/>
        <v/>
      </c>
      <c r="BL2104" s="319" t="str">
        <f t="shared" si="1059"/>
        <v/>
      </c>
      <c r="BM2104" s="319" t="str">
        <f t="shared" si="1059"/>
        <v/>
      </c>
      <c r="BN2104" s="319" t="str">
        <f t="shared" si="1059"/>
        <v/>
      </c>
      <c r="BO2104" s="319" t="str">
        <f t="shared" si="1059"/>
        <v/>
      </c>
      <c r="BP2104" s="319" t="str">
        <f t="shared" si="1059"/>
        <v/>
      </c>
      <c r="BQ2104" s="319" t="str">
        <f t="shared" si="1059"/>
        <v/>
      </c>
      <c r="BR2104" s="319" t="str">
        <f t="shared" si="1059"/>
        <v/>
      </c>
      <c r="BS2104" s="330">
        <f t="shared" si="185"/>
        <v>0</v>
      </c>
      <c r="BT2104" s="331">
        <f t="shared" si="170"/>
        <v>0</v>
      </c>
      <c r="BU2104" s="920"/>
      <c r="BV2104" s="903" t="str">
        <f t="shared" si="186"/>
        <v/>
      </c>
      <c r="BW2104" s="908"/>
      <c r="BX2104" s="908"/>
      <c r="BY2104" s="331" t="b">
        <f t="shared" si="201"/>
        <v>0</v>
      </c>
      <c r="BZ2104" s="331"/>
      <c r="CA2104" s="462" t="str">
        <f t="shared" ref="CA2104:CJ2104" si="1060">IF(ISNUMBER(FIND(BI$3, $CP2104)), "Y", "")</f>
        <v/>
      </c>
      <c r="CB2104" s="319" t="str">
        <f t="shared" si="1060"/>
        <v/>
      </c>
      <c r="CC2104" s="319" t="str">
        <f t="shared" si="1060"/>
        <v/>
      </c>
      <c r="CD2104" s="319" t="str">
        <f t="shared" si="1060"/>
        <v/>
      </c>
      <c r="CE2104" s="319" t="str">
        <f t="shared" si="1060"/>
        <v/>
      </c>
      <c r="CF2104" s="319" t="str">
        <f t="shared" si="1060"/>
        <v/>
      </c>
      <c r="CG2104" s="319" t="str">
        <f t="shared" si="1060"/>
        <v/>
      </c>
      <c r="CH2104" s="319" t="str">
        <f t="shared" si="1060"/>
        <v/>
      </c>
      <c r="CI2104" s="319" t="str">
        <f t="shared" si="1060"/>
        <v/>
      </c>
      <c r="CJ2104" s="319" t="str">
        <f t="shared" si="1060"/>
        <v/>
      </c>
      <c r="CK2104" s="342">
        <f t="shared" si="182"/>
        <v>0</v>
      </c>
      <c r="CL2104" s="333">
        <f t="shared" si="183"/>
        <v>0</v>
      </c>
      <c r="CM2104" s="1079"/>
      <c r="CN2104" s="1005" t="s">
        <v>3122</v>
      </c>
      <c r="CO2104" s="1005"/>
      <c r="CP2104" s="1005"/>
    </row>
    <row r="2105">
      <c r="A2105" s="266"/>
      <c r="B2105" s="1113" t="s">
        <v>1772</v>
      </c>
      <c r="C2105" s="1107">
        <v>45614.0</v>
      </c>
      <c r="D2105" s="103"/>
      <c r="E2105" s="1137"/>
      <c r="F2105" s="112" t="s">
        <v>3123</v>
      </c>
      <c r="G2105" s="1110">
        <v>0.5583333333333333</v>
      </c>
      <c r="H2105" s="1138"/>
      <c r="I2105" s="1138"/>
      <c r="J2105" s="1139"/>
      <c r="K2105" s="1111">
        <v>0.5600694444444444</v>
      </c>
      <c r="L2105" s="1112">
        <v>0.001736111111111111</v>
      </c>
      <c r="M2105" s="1113" t="s">
        <v>166</v>
      </c>
      <c r="N2105" s="110" t="s">
        <v>188</v>
      </c>
      <c r="O2105" s="1140"/>
      <c r="P2105" s="1115" t="s">
        <v>292</v>
      </c>
      <c r="Q2105" s="1116"/>
      <c r="R2105" s="1141"/>
      <c r="S2105" s="1113"/>
      <c r="T2105" s="1143"/>
      <c r="U2105" s="1108" t="s">
        <v>323</v>
      </c>
      <c r="V2105" s="1108"/>
      <c r="W2105" s="1108"/>
      <c r="X2105" s="1108"/>
      <c r="Y2105" s="1108"/>
      <c r="Z2105" s="1114" t="s">
        <v>323</v>
      </c>
      <c r="AA2105" s="1114"/>
      <c r="AB2105" s="1114" t="s">
        <v>323</v>
      </c>
      <c r="AC2105" s="1117" t="s">
        <v>323</v>
      </c>
      <c r="AD2105" s="1115"/>
      <c r="AE2105" s="1115"/>
      <c r="AF2105" s="1115"/>
      <c r="AG2105" s="1115"/>
      <c r="AH2105" s="1115"/>
      <c r="AI2105" s="1115"/>
      <c r="AJ2105" s="1117"/>
      <c r="AK2105" s="1118"/>
      <c r="AL2105" s="1115"/>
      <c r="AM2105" s="1115"/>
      <c r="AN2105" s="1115"/>
      <c r="AO2105" s="1115"/>
      <c r="AP2105" s="1115"/>
      <c r="AQ2105" s="1115"/>
      <c r="AR2105" s="1115"/>
      <c r="AS2105" s="1117"/>
      <c r="AT2105" s="1196" t="str">
        <f t="shared" si="428"/>
        <v/>
      </c>
      <c r="AU2105" s="1193"/>
      <c r="AV2105" s="330">
        <f>SQRT(($R2105-Infrastructure!J$3)^2+($S2105-Infrastructure!K$3)^2)</f>
        <v>28.90155705</v>
      </c>
      <c r="AW2105" s="331">
        <f>SQRT(($R2105-Infrastructure!J$4)^2+($S2105-Infrastructure!K$4)^2)</f>
        <v>17.80252791</v>
      </c>
      <c r="AX2105" s="331">
        <f>SQRT(($R2105-Infrastructure!J$5)^2+($S2105-Infrastructure!K$5)^2)</f>
        <v>5.10881591</v>
      </c>
      <c r="AY2105" s="331">
        <f>SQRT(($R2105-Infrastructure!J$6)^2+($S2105-Infrastructure!K$6)^2)</f>
        <v>10.10445446</v>
      </c>
      <c r="AZ2105" s="331">
        <f>SQRT(($R2105-Infrastructure!J$7)^2+($S2105-Infrastructure!K$7)^2)</f>
        <v>20.502195</v>
      </c>
      <c r="BA2105" s="331">
        <f>SQRT(($R2105-Infrastructure!J$8)^2+($S2105-Infrastructure!K$8)^2)</f>
        <v>30.10149498</v>
      </c>
      <c r="BB2105" s="331">
        <f>SQRT(($R2105-Infrastructure!J$9)^2+($S2105-Infrastructure!K$9)^2)</f>
        <v>40.3238143</v>
      </c>
      <c r="BC2105" s="331">
        <f>SQRT(($R2105-Infrastructure!J$10)^2+($S2105-Infrastructure!K$10)^2)</f>
        <v>42.72001873</v>
      </c>
      <c r="BD2105" s="331">
        <f>SQRT(($R2105-Infrastructure!J$11)^2+($S2105-Infrastructure!K$11)^2)</f>
        <v>49.56853841</v>
      </c>
      <c r="BE2105" s="333">
        <f>SQRT(($R2105-Infrastructure!J$12)^2+($S2105-Infrastructure!K$12)^2)</f>
        <v>59.51890456</v>
      </c>
      <c r="BF2105" s="330">
        <f t="shared" si="161"/>
        <v>5.10881591</v>
      </c>
      <c r="BG2105" s="333">
        <f t="shared" si="162"/>
        <v>59.51890456</v>
      </c>
      <c r="BH2105" s="1119"/>
      <c r="BI2105" s="319" t="str">
        <f t="shared" ref="BI2105:BR2105" si="1061">IF(ISNUMBER(FIND(BI$3, $CO2105)), "Y", "")</f>
        <v>Y</v>
      </c>
      <c r="BJ2105" s="319" t="str">
        <f t="shared" si="1061"/>
        <v/>
      </c>
      <c r="BK2105" s="319" t="str">
        <f t="shared" si="1061"/>
        <v>Y</v>
      </c>
      <c r="BL2105" s="319" t="str">
        <f t="shared" si="1061"/>
        <v>Y</v>
      </c>
      <c r="BM2105" s="319" t="str">
        <f t="shared" si="1061"/>
        <v>Y</v>
      </c>
      <c r="BN2105" s="319" t="str">
        <f t="shared" si="1061"/>
        <v>Y</v>
      </c>
      <c r="BO2105" s="319" t="str">
        <f t="shared" si="1061"/>
        <v>Y</v>
      </c>
      <c r="BP2105" s="319" t="str">
        <f t="shared" si="1061"/>
        <v/>
      </c>
      <c r="BQ2105" s="319" t="str">
        <f t="shared" si="1061"/>
        <v>Y</v>
      </c>
      <c r="BR2105" s="319" t="str">
        <f t="shared" si="1061"/>
        <v>Y</v>
      </c>
      <c r="BS2105" s="330">
        <f t="shared" si="185"/>
        <v>5.10881591</v>
      </c>
      <c r="BT2105" s="331">
        <f t="shared" si="170"/>
        <v>59.51890456</v>
      </c>
      <c r="BU2105" s="920">
        <v>0.559537037037037</v>
      </c>
      <c r="BV2105" s="903">
        <f t="shared" si="186"/>
        <v>0.001203703704</v>
      </c>
      <c r="BW2105" s="908">
        <v>13.9</v>
      </c>
      <c r="BX2105" s="908">
        <v>42.1</v>
      </c>
      <c r="BY2105" s="331">
        <f t="shared" si="201"/>
        <v>44.33531324</v>
      </c>
      <c r="BZ2105" s="331"/>
      <c r="CA2105" s="462" t="str">
        <f t="shared" ref="CA2105:CJ2105" si="1062">IF(ISNUMBER(FIND(BI$3, $CP2105)), "Y", "")</f>
        <v/>
      </c>
      <c r="CB2105" s="319" t="str">
        <f t="shared" si="1062"/>
        <v/>
      </c>
      <c r="CC2105" s="319" t="str">
        <f t="shared" si="1062"/>
        <v/>
      </c>
      <c r="CD2105" s="319" t="str">
        <f t="shared" si="1062"/>
        <v/>
      </c>
      <c r="CE2105" s="319" t="str">
        <f t="shared" si="1062"/>
        <v/>
      </c>
      <c r="CF2105" s="319" t="str">
        <f t="shared" si="1062"/>
        <v/>
      </c>
      <c r="CG2105" s="319" t="str">
        <f t="shared" si="1062"/>
        <v/>
      </c>
      <c r="CH2105" s="319" t="str">
        <f t="shared" si="1062"/>
        <v/>
      </c>
      <c r="CI2105" s="319" t="str">
        <f t="shared" si="1062"/>
        <v/>
      </c>
      <c r="CJ2105" s="319" t="str">
        <f t="shared" si="1062"/>
        <v/>
      </c>
      <c r="CK2105" s="342">
        <f t="shared" si="182"/>
        <v>0</v>
      </c>
      <c r="CL2105" s="333">
        <f t="shared" si="183"/>
        <v>0</v>
      </c>
      <c r="CM2105" s="1079"/>
      <c r="CN2105" s="1005" t="s">
        <v>3124</v>
      </c>
      <c r="CO2105" s="1005" t="s">
        <v>2460</v>
      </c>
      <c r="CP2105" s="1005"/>
    </row>
    <row r="2106">
      <c r="A2106" s="1258"/>
      <c r="B2106" s="1129" t="s">
        <v>1772</v>
      </c>
      <c r="C2106" s="1122">
        <v>45614.0</v>
      </c>
      <c r="D2106" s="1129" t="s">
        <v>986</v>
      </c>
      <c r="E2106" s="1124">
        <v>2.0</v>
      </c>
      <c r="F2106" s="108" t="s">
        <v>3125</v>
      </c>
      <c r="G2106" s="1126">
        <v>0.5833333333333334</v>
      </c>
      <c r="H2106" s="1126">
        <v>0.5840277777777778</v>
      </c>
      <c r="I2106" s="1126"/>
      <c r="J2106" s="1127"/>
      <c r="K2106" s="1127">
        <v>0.6329861111111111</v>
      </c>
      <c r="L2106" s="1128">
        <v>0.04895833333333333</v>
      </c>
      <c r="M2106" s="1129" t="s">
        <v>166</v>
      </c>
      <c r="N2106" s="100" t="s">
        <v>187</v>
      </c>
      <c r="O2106" s="1131" t="s">
        <v>206</v>
      </c>
      <c r="P2106" s="1131" t="s">
        <v>296</v>
      </c>
      <c r="Q2106" s="1132"/>
      <c r="R2106" s="137">
        <v>22.0</v>
      </c>
      <c r="S2106" s="1129">
        <v>11.4</v>
      </c>
      <c r="T2106" s="100">
        <v>0.6</v>
      </c>
      <c r="U2106" s="1124">
        <v>1.0</v>
      </c>
      <c r="V2106" s="1124"/>
      <c r="W2106" s="1124"/>
      <c r="X2106" s="1124"/>
      <c r="Y2106" s="1124"/>
      <c r="Z2106" s="1130" t="s">
        <v>347</v>
      </c>
      <c r="AA2106" s="1130"/>
      <c r="AB2106" s="1130" t="s">
        <v>384</v>
      </c>
      <c r="AC2106" s="1133">
        <v>6.0</v>
      </c>
      <c r="AD2106" s="1115"/>
      <c r="AE2106" s="1115"/>
      <c r="AF2106" s="1115"/>
      <c r="AG2106" s="1115"/>
      <c r="AH2106" s="1115"/>
      <c r="AI2106" s="1115"/>
      <c r="AJ2106" s="1117"/>
      <c r="AK2106" s="1118"/>
      <c r="AL2106" s="1115"/>
      <c r="AM2106" s="1115"/>
      <c r="AN2106" s="1115"/>
      <c r="AO2106" s="1115"/>
      <c r="AP2106" s="1115"/>
      <c r="AQ2106" s="1115"/>
      <c r="AR2106" s="1115"/>
      <c r="AS2106" s="1117"/>
      <c r="AT2106" s="1196" t="str">
        <f t="shared" si="428"/>
        <v>1-10</v>
      </c>
      <c r="AU2106" s="1194"/>
      <c r="AV2106" s="662">
        <f>SQRT(($R2106-Infrastructure!J$3)^2+($S2106-Infrastructure!K$3)^2)</f>
        <v>28.34678112</v>
      </c>
      <c r="AW2106" s="641">
        <f>SQRT(($R2106-Infrastructure!J$4)^2+($S2106-Infrastructure!K$4)^2)</f>
        <v>23.20021552</v>
      </c>
      <c r="AX2106" s="641">
        <f>SQRT(($R2106-Infrastructure!J$5)^2+($S2106-Infrastructure!K$5)^2)</f>
        <v>23.17282892</v>
      </c>
      <c r="AY2106" s="641">
        <f>SQRT(($R2106-Infrastructure!J$6)^2+($S2106-Infrastructure!K$6)^2)</f>
        <v>16.273291</v>
      </c>
      <c r="AZ2106" s="641">
        <f>SQRT(($R2106-Infrastructure!J$7)^2+($S2106-Infrastructure!K$7)^2)</f>
        <v>11.20089282</v>
      </c>
      <c r="BA2106" s="641">
        <f>SQRT(($R2106-Infrastructure!J$8)^2+($S2106-Infrastructure!K$8)^2)</f>
        <v>13.74117899</v>
      </c>
      <c r="BB2106" s="641">
        <f>SQRT(($R2106-Infrastructure!J$9)^2+($S2106-Infrastructure!K$9)^2)</f>
        <v>19.07065809</v>
      </c>
      <c r="BC2106" s="641">
        <f>SQRT(($R2106-Infrastructure!J$10)^2+($S2106-Infrastructure!K$10)^2)</f>
        <v>18.35647025</v>
      </c>
      <c r="BD2106" s="641">
        <f>SQRT(($R2106-Infrastructure!J$11)^2+($S2106-Infrastructure!K$11)^2)</f>
        <v>25.3179778</v>
      </c>
      <c r="BE2106" s="642">
        <f>SQRT(($R2106-Infrastructure!J$12)^2+($S2106-Infrastructure!K$12)^2)</f>
        <v>44.10283438</v>
      </c>
      <c r="BF2106" s="662">
        <f t="shared" si="161"/>
        <v>11.20089282</v>
      </c>
      <c r="BG2106" s="642">
        <f t="shared" si="162"/>
        <v>44.10283438</v>
      </c>
      <c r="BH2106" s="1135"/>
      <c r="BI2106" s="663" t="str">
        <f t="shared" ref="BI2106:BR2106" si="1063">IF(ISNUMBER(FIND(BI$3, $CO2106)), "Y", "")</f>
        <v/>
      </c>
      <c r="BJ2106" s="663" t="str">
        <f t="shared" si="1063"/>
        <v/>
      </c>
      <c r="BK2106" s="663" t="str">
        <f t="shared" si="1063"/>
        <v/>
      </c>
      <c r="BL2106" s="663" t="str">
        <f t="shared" si="1063"/>
        <v/>
      </c>
      <c r="BM2106" s="663" t="str">
        <f t="shared" si="1063"/>
        <v/>
      </c>
      <c r="BN2106" s="663" t="str">
        <f t="shared" si="1063"/>
        <v/>
      </c>
      <c r="BO2106" s="663" t="str">
        <f t="shared" si="1063"/>
        <v/>
      </c>
      <c r="BP2106" s="663" t="str">
        <f t="shared" si="1063"/>
        <v/>
      </c>
      <c r="BQ2106" s="663" t="str">
        <f t="shared" si="1063"/>
        <v/>
      </c>
      <c r="BR2106" s="663" t="str">
        <f t="shared" si="1063"/>
        <v/>
      </c>
      <c r="BS2106" s="662">
        <f t="shared" si="185"/>
        <v>0</v>
      </c>
      <c r="BT2106" s="641">
        <f t="shared" si="170"/>
        <v>0</v>
      </c>
      <c r="BU2106" s="937"/>
      <c r="BV2106" s="930" t="str">
        <f t="shared" si="186"/>
        <v/>
      </c>
      <c r="BW2106" s="939"/>
      <c r="BX2106" s="939"/>
      <c r="BY2106" s="641" t="b">
        <f t="shared" si="201"/>
        <v>0</v>
      </c>
      <c r="BZ2106" s="641"/>
      <c r="CA2106" s="635" t="str">
        <f t="shared" ref="CA2106:CJ2106" si="1064">IF(ISNUMBER(FIND(BI$3, $CP2106)), "Y", "")</f>
        <v/>
      </c>
      <c r="CB2106" s="663" t="str">
        <f t="shared" si="1064"/>
        <v/>
      </c>
      <c r="CC2106" s="663" t="str">
        <f t="shared" si="1064"/>
        <v/>
      </c>
      <c r="CD2106" s="663" t="str">
        <f t="shared" si="1064"/>
        <v/>
      </c>
      <c r="CE2106" s="663" t="str">
        <f t="shared" si="1064"/>
        <v/>
      </c>
      <c r="CF2106" s="663" t="str">
        <f t="shared" si="1064"/>
        <v/>
      </c>
      <c r="CG2106" s="663" t="str">
        <f t="shared" si="1064"/>
        <v/>
      </c>
      <c r="CH2106" s="663" t="str">
        <f t="shared" si="1064"/>
        <v/>
      </c>
      <c r="CI2106" s="663" t="str">
        <f t="shared" si="1064"/>
        <v/>
      </c>
      <c r="CJ2106" s="663" t="str">
        <f t="shared" si="1064"/>
        <v/>
      </c>
      <c r="CK2106" s="743">
        <f t="shared" si="182"/>
        <v>0</v>
      </c>
      <c r="CL2106" s="642">
        <f t="shared" si="183"/>
        <v>0</v>
      </c>
      <c r="CM2106" s="1090"/>
      <c r="CN2106" s="1036" t="s">
        <v>3124</v>
      </c>
      <c r="CO2106" s="1036"/>
      <c r="CP2106" s="1036"/>
    </row>
    <row r="2107">
      <c r="A2107" s="1257" t="s">
        <v>134</v>
      </c>
      <c r="B2107" s="1113" t="s">
        <v>1772</v>
      </c>
      <c r="C2107" s="1107">
        <v>45615.0</v>
      </c>
      <c r="D2107" s="1113" t="s">
        <v>986</v>
      </c>
      <c r="E2107" s="1108">
        <v>3.0</v>
      </c>
      <c r="F2107" s="112" t="s">
        <v>3126</v>
      </c>
      <c r="G2107" s="1110">
        <v>0.3753472222222222</v>
      </c>
      <c r="H2107" s="1110">
        <v>0.37604166666666666</v>
      </c>
      <c r="I2107" s="1110"/>
      <c r="J2107" s="1111"/>
      <c r="K2107" s="1111">
        <v>0.41875</v>
      </c>
      <c r="L2107" s="1266">
        <v>0.042708333333333334</v>
      </c>
      <c r="M2107" s="1113" t="s">
        <v>166</v>
      </c>
      <c r="N2107" s="110" t="s">
        <v>187</v>
      </c>
      <c r="O2107" s="1115" t="s">
        <v>207</v>
      </c>
      <c r="P2107" s="1115" t="s">
        <v>223</v>
      </c>
      <c r="Q2107" s="1115"/>
      <c r="R2107" s="120">
        <v>26.4</v>
      </c>
      <c r="S2107" s="1113">
        <v>14.5</v>
      </c>
      <c r="T2107" s="110">
        <v>2.5</v>
      </c>
      <c r="U2107" s="1108">
        <v>0.8</v>
      </c>
      <c r="V2107" s="1108"/>
      <c r="W2107" s="1108"/>
      <c r="X2107" s="1108"/>
      <c r="Y2107" s="1108"/>
      <c r="Z2107" s="1108" t="s">
        <v>374</v>
      </c>
      <c r="AA2107" s="1108"/>
      <c r="AB2107" s="1114" t="s">
        <v>384</v>
      </c>
      <c r="AC2107" s="1117">
        <v>6.0</v>
      </c>
      <c r="AD2107" s="1115"/>
      <c r="AE2107" s="1115"/>
      <c r="AF2107" s="1115"/>
      <c r="AG2107" s="1115"/>
      <c r="AH2107" s="1115"/>
      <c r="AI2107" s="1115"/>
      <c r="AJ2107" s="1117"/>
      <c r="AK2107" s="1118"/>
      <c r="AL2107" s="1115"/>
      <c r="AM2107" s="1115"/>
      <c r="AN2107" s="1115"/>
      <c r="AO2107" s="1115"/>
      <c r="AP2107" s="1115"/>
      <c r="AQ2107" s="1115"/>
      <c r="AR2107" s="1115"/>
      <c r="AS2107" s="1117"/>
      <c r="AT2107" s="1196" t="str">
        <f t="shared" si="428"/>
        <v>0-1</v>
      </c>
      <c r="AU2107" s="1193"/>
      <c r="AV2107" s="330">
        <f>SQRT(($R2107-Infrastructure!J$3)^2+($S2107-Infrastructure!K$3)^2)</f>
        <v>30.33562262</v>
      </c>
      <c r="AW2107" s="331">
        <f>SQRT(($R2107-Infrastructure!J$4)^2+($S2107-Infrastructure!K$4)^2)</f>
        <v>26.90315967</v>
      </c>
      <c r="AX2107" s="331">
        <f>SQRT(($R2107-Infrastructure!J$5)^2+($S2107-Infrastructure!K$5)^2)</f>
        <v>28.30635971</v>
      </c>
      <c r="AY2107" s="331">
        <f>SQRT(($R2107-Infrastructure!J$6)^2+($S2107-Infrastructure!K$6)^2)</f>
        <v>21.61781673</v>
      </c>
      <c r="AZ2107" s="331">
        <f>SQRT(($R2107-Infrastructure!J$7)^2+($S2107-Infrastructure!K$7)^2)</f>
        <v>15.37693077</v>
      </c>
      <c r="BA2107" s="331">
        <f>SQRT(($R2107-Infrastructure!J$8)^2+($S2107-Infrastructure!K$8)^2)</f>
        <v>14.67412689</v>
      </c>
      <c r="BB2107" s="331">
        <f>SQRT(($R2107-Infrastructure!J$9)^2+($S2107-Infrastructure!K$9)^2)</f>
        <v>16.53239245</v>
      </c>
      <c r="BC2107" s="331">
        <f>SQRT(($R2107-Infrastructure!J$10)^2+($S2107-Infrastructure!K$10)^2)</f>
        <v>13.60918807</v>
      </c>
      <c r="BD2107" s="331">
        <f>SQRT(($R2107-Infrastructure!J$11)^2+($S2107-Infrastructure!K$11)^2)</f>
        <v>20.01724257</v>
      </c>
      <c r="BE2107" s="333">
        <f>SQRT(($R2107-Infrastructure!J$12)^2+($S2107-Infrastructure!K$12)^2)</f>
        <v>41.29176673</v>
      </c>
      <c r="BF2107" s="330">
        <f t="shared" si="161"/>
        <v>13.60918807</v>
      </c>
      <c r="BG2107" s="333">
        <f t="shared" si="162"/>
        <v>41.29176673</v>
      </c>
      <c r="BH2107" s="1119"/>
      <c r="BI2107" s="319" t="str">
        <f t="shared" ref="BI2107:BR2107" si="1065">IF(ISNUMBER(FIND(BI$3, $CO2107)), "Y", "")</f>
        <v/>
      </c>
      <c r="BJ2107" s="319" t="str">
        <f t="shared" si="1065"/>
        <v/>
      </c>
      <c r="BK2107" s="319" t="str">
        <f t="shared" si="1065"/>
        <v>Y</v>
      </c>
      <c r="BL2107" s="319" t="str">
        <f t="shared" si="1065"/>
        <v>Y</v>
      </c>
      <c r="BM2107" s="319" t="str">
        <f t="shared" si="1065"/>
        <v>Y</v>
      </c>
      <c r="BN2107" s="319" t="str">
        <f t="shared" si="1065"/>
        <v>Y</v>
      </c>
      <c r="BO2107" s="319" t="str">
        <f t="shared" si="1065"/>
        <v/>
      </c>
      <c r="BP2107" s="319" t="str">
        <f t="shared" si="1065"/>
        <v/>
      </c>
      <c r="BQ2107" s="319" t="str">
        <f t="shared" si="1065"/>
        <v>Y</v>
      </c>
      <c r="BR2107" s="319" t="str">
        <f t="shared" si="1065"/>
        <v/>
      </c>
      <c r="BS2107" s="330">
        <f t="shared" si="185"/>
        <v>14.67412689</v>
      </c>
      <c r="BT2107" s="331">
        <f t="shared" si="170"/>
        <v>28.30635971</v>
      </c>
      <c r="BU2107" s="920">
        <v>0.39895833333333336</v>
      </c>
      <c r="BV2107" s="903">
        <f t="shared" si="186"/>
        <v>0.02361111111</v>
      </c>
      <c r="BW2107" s="908">
        <v>17.0</v>
      </c>
      <c r="BX2107" s="908">
        <v>38.3</v>
      </c>
      <c r="BY2107" s="331">
        <f t="shared" si="201"/>
        <v>25.58906016</v>
      </c>
      <c r="BZ2107" s="331"/>
      <c r="CA2107" s="462" t="str">
        <f t="shared" ref="CA2107:CJ2107" si="1066">IF(ISNUMBER(FIND(BI$3, $CP2107)), "Y", "")</f>
        <v/>
      </c>
      <c r="CB2107" s="319" t="str">
        <f t="shared" si="1066"/>
        <v/>
      </c>
      <c r="CC2107" s="319" t="str">
        <f t="shared" si="1066"/>
        <v/>
      </c>
      <c r="CD2107" s="319" t="str">
        <f t="shared" si="1066"/>
        <v/>
      </c>
      <c r="CE2107" s="319" t="str">
        <f t="shared" si="1066"/>
        <v/>
      </c>
      <c r="CF2107" s="319" t="str">
        <f t="shared" si="1066"/>
        <v/>
      </c>
      <c r="CG2107" s="319" t="str">
        <f t="shared" si="1066"/>
        <v/>
      </c>
      <c r="CH2107" s="319" t="str">
        <f t="shared" si="1066"/>
        <v/>
      </c>
      <c r="CI2107" s="319" t="str">
        <f t="shared" si="1066"/>
        <v/>
      </c>
      <c r="CJ2107" s="319" t="str">
        <f t="shared" si="1066"/>
        <v/>
      </c>
      <c r="CK2107" s="342">
        <f t="shared" si="182"/>
        <v>0</v>
      </c>
      <c r="CL2107" s="333">
        <f t="shared" si="183"/>
        <v>0</v>
      </c>
      <c r="CM2107" s="1079"/>
      <c r="CN2107" s="1005" t="s">
        <v>3127</v>
      </c>
      <c r="CO2107" s="1005" t="s">
        <v>3128</v>
      </c>
      <c r="CP2107" s="1005"/>
    </row>
    <row r="2108">
      <c r="A2108" s="266"/>
      <c r="B2108" s="1113" t="s">
        <v>1772</v>
      </c>
      <c r="C2108" s="1107">
        <v>45615.0</v>
      </c>
      <c r="D2108" s="1113" t="s">
        <v>986</v>
      </c>
      <c r="E2108" s="1108">
        <v>4.0</v>
      </c>
      <c r="F2108" s="112" t="s">
        <v>3129</v>
      </c>
      <c r="G2108" s="1110">
        <v>0.6647569444444444</v>
      </c>
      <c r="H2108" s="1110">
        <v>0.6659722222222222</v>
      </c>
      <c r="I2108" s="1110"/>
      <c r="J2108" s="1111"/>
      <c r="K2108" s="1111">
        <v>0.7111111111111111</v>
      </c>
      <c r="L2108" s="1266">
        <v>0.04513888888888889</v>
      </c>
      <c r="M2108" s="1113" t="s">
        <v>166</v>
      </c>
      <c r="N2108" s="110" t="s">
        <v>187</v>
      </c>
      <c r="O2108" s="1115" t="s">
        <v>206</v>
      </c>
      <c r="P2108" s="1115" t="s">
        <v>296</v>
      </c>
      <c r="Q2108" s="1115"/>
      <c r="R2108" s="120">
        <v>22.0</v>
      </c>
      <c r="S2108" s="1113">
        <v>11.4</v>
      </c>
      <c r="T2108" s="110">
        <v>0.6</v>
      </c>
      <c r="U2108" s="1108">
        <v>0.8</v>
      </c>
      <c r="V2108" s="1108"/>
      <c r="W2108" s="1108"/>
      <c r="X2108" s="1108"/>
      <c r="Y2108" s="1108"/>
      <c r="Z2108" s="1114" t="s">
        <v>347</v>
      </c>
      <c r="AA2108" s="1114"/>
      <c r="AB2108" s="1114" t="s">
        <v>384</v>
      </c>
      <c r="AC2108" s="1117">
        <v>6.0</v>
      </c>
      <c r="AD2108" s="1115"/>
      <c r="AE2108" s="1115"/>
      <c r="AF2108" s="1115"/>
      <c r="AG2108" s="1115"/>
      <c r="AH2108" s="1115"/>
      <c r="AI2108" s="1115"/>
      <c r="AJ2108" s="1117"/>
      <c r="AK2108" s="1118"/>
      <c r="AL2108" s="1115"/>
      <c r="AM2108" s="1115"/>
      <c r="AN2108" s="1115"/>
      <c r="AO2108" s="1115"/>
      <c r="AP2108" s="1115"/>
      <c r="AQ2108" s="1115"/>
      <c r="AR2108" s="1115"/>
      <c r="AS2108" s="1117"/>
      <c r="AT2108" s="1196" t="str">
        <f t="shared" si="428"/>
        <v>0-1</v>
      </c>
      <c r="AU2108" s="1193"/>
      <c r="AV2108" s="330">
        <f>SQRT(($R2108-Infrastructure!J$3)^2+($S2108-Infrastructure!K$3)^2)</f>
        <v>28.34678112</v>
      </c>
      <c r="AW2108" s="331">
        <f>SQRT(($R2108-Infrastructure!J$4)^2+($S2108-Infrastructure!K$4)^2)</f>
        <v>23.20021552</v>
      </c>
      <c r="AX2108" s="331">
        <f>SQRT(($R2108-Infrastructure!J$5)^2+($S2108-Infrastructure!K$5)^2)</f>
        <v>23.17282892</v>
      </c>
      <c r="AY2108" s="331">
        <f>SQRT(($R2108-Infrastructure!J$6)^2+($S2108-Infrastructure!K$6)^2)</f>
        <v>16.273291</v>
      </c>
      <c r="AZ2108" s="331">
        <f>SQRT(($R2108-Infrastructure!J$7)^2+($S2108-Infrastructure!K$7)^2)</f>
        <v>11.20089282</v>
      </c>
      <c r="BA2108" s="331">
        <f>SQRT(($R2108-Infrastructure!J$8)^2+($S2108-Infrastructure!K$8)^2)</f>
        <v>13.74117899</v>
      </c>
      <c r="BB2108" s="331">
        <f>SQRT(($R2108-Infrastructure!J$9)^2+($S2108-Infrastructure!K$9)^2)</f>
        <v>19.07065809</v>
      </c>
      <c r="BC2108" s="331">
        <f>SQRT(($R2108-Infrastructure!J$10)^2+($S2108-Infrastructure!K$10)^2)</f>
        <v>18.35647025</v>
      </c>
      <c r="BD2108" s="331">
        <f>SQRT(($R2108-Infrastructure!J$11)^2+($S2108-Infrastructure!K$11)^2)</f>
        <v>25.3179778</v>
      </c>
      <c r="BE2108" s="333">
        <f>SQRT(($R2108-Infrastructure!J$12)^2+($S2108-Infrastructure!K$12)^2)</f>
        <v>44.10283438</v>
      </c>
      <c r="BF2108" s="330">
        <f t="shared" si="161"/>
        <v>11.20089282</v>
      </c>
      <c r="BG2108" s="333">
        <f t="shared" si="162"/>
        <v>44.10283438</v>
      </c>
      <c r="BH2108" s="1119"/>
      <c r="BI2108" s="319" t="str">
        <f t="shared" ref="BI2108:BR2108" si="1067">IF(ISNUMBER(FIND(BI$3, $CO2108)), "Y", "")</f>
        <v/>
      </c>
      <c r="BJ2108" s="319" t="str">
        <f t="shared" si="1067"/>
        <v/>
      </c>
      <c r="BK2108" s="319" t="str">
        <f t="shared" si="1067"/>
        <v/>
      </c>
      <c r="BL2108" s="319" t="str">
        <f t="shared" si="1067"/>
        <v/>
      </c>
      <c r="BM2108" s="319" t="str">
        <f t="shared" si="1067"/>
        <v/>
      </c>
      <c r="BN2108" s="319" t="str">
        <f t="shared" si="1067"/>
        <v/>
      </c>
      <c r="BO2108" s="319" t="str">
        <f t="shared" si="1067"/>
        <v/>
      </c>
      <c r="BP2108" s="319" t="str">
        <f t="shared" si="1067"/>
        <v/>
      </c>
      <c r="BQ2108" s="319" t="str">
        <f t="shared" si="1067"/>
        <v/>
      </c>
      <c r="BR2108" s="319" t="str">
        <f t="shared" si="1067"/>
        <v/>
      </c>
      <c r="BS2108" s="330">
        <f t="shared" si="185"/>
        <v>0</v>
      </c>
      <c r="BT2108" s="331">
        <f t="shared" si="170"/>
        <v>0</v>
      </c>
      <c r="BU2108" s="920"/>
      <c r="BV2108" s="903" t="str">
        <f t="shared" si="186"/>
        <v/>
      </c>
      <c r="BW2108" s="908"/>
      <c r="BX2108" s="908"/>
      <c r="BY2108" s="331" t="b">
        <f t="shared" si="201"/>
        <v>0</v>
      </c>
      <c r="BZ2108" s="331"/>
      <c r="CA2108" s="462" t="str">
        <f t="shared" ref="CA2108:CJ2108" si="1068">IF(ISNUMBER(FIND(BI$3, $CP2108)), "Y", "")</f>
        <v/>
      </c>
      <c r="CB2108" s="319" t="str">
        <f t="shared" si="1068"/>
        <v/>
      </c>
      <c r="CC2108" s="319" t="str">
        <f t="shared" si="1068"/>
        <v/>
      </c>
      <c r="CD2108" s="319" t="str">
        <f t="shared" si="1068"/>
        <v/>
      </c>
      <c r="CE2108" s="319" t="str">
        <f t="shared" si="1068"/>
        <v/>
      </c>
      <c r="CF2108" s="319" t="str">
        <f t="shared" si="1068"/>
        <v/>
      </c>
      <c r="CG2108" s="319" t="str">
        <f t="shared" si="1068"/>
        <v/>
      </c>
      <c r="CH2108" s="319" t="str">
        <f t="shared" si="1068"/>
        <v/>
      </c>
      <c r="CI2108" s="319" t="str">
        <f t="shared" si="1068"/>
        <v/>
      </c>
      <c r="CJ2108" s="319" t="str">
        <f t="shared" si="1068"/>
        <v/>
      </c>
      <c r="CK2108" s="342">
        <f t="shared" si="182"/>
        <v>0</v>
      </c>
      <c r="CL2108" s="333">
        <f t="shared" si="183"/>
        <v>0</v>
      </c>
      <c r="CM2108" s="1079"/>
      <c r="CN2108" s="1005" t="s">
        <v>3130</v>
      </c>
      <c r="CO2108" s="1005"/>
      <c r="CP2108" s="1005"/>
    </row>
    <row r="2109">
      <c r="A2109" s="1258"/>
      <c r="B2109" s="1129" t="s">
        <v>1772</v>
      </c>
      <c r="C2109" s="1122">
        <v>45615.0</v>
      </c>
      <c r="D2109" s="1123"/>
      <c r="E2109" s="1124"/>
      <c r="F2109" s="108" t="s">
        <v>3131</v>
      </c>
      <c r="G2109" s="1126">
        <v>0.7128472222222222</v>
      </c>
      <c r="H2109" s="1126"/>
      <c r="I2109" s="1126"/>
      <c r="J2109" s="1127"/>
      <c r="K2109" s="1127">
        <v>0.7138888888888889</v>
      </c>
      <c r="L2109" s="1267">
        <v>0.0010416666666666667</v>
      </c>
      <c r="M2109" s="1129" t="s">
        <v>166</v>
      </c>
      <c r="N2109" s="100" t="s">
        <v>188</v>
      </c>
      <c r="O2109" s="1131"/>
      <c r="P2109" s="1131" t="s">
        <v>292</v>
      </c>
      <c r="Q2109" s="1132"/>
      <c r="R2109" s="1148"/>
      <c r="S2109" s="1129"/>
      <c r="T2109" s="100"/>
      <c r="U2109" s="1124" t="s">
        <v>323</v>
      </c>
      <c r="V2109" s="1124"/>
      <c r="W2109" s="1124"/>
      <c r="X2109" s="1124"/>
      <c r="Y2109" s="1124"/>
      <c r="Z2109" s="1130" t="s">
        <v>323</v>
      </c>
      <c r="AA2109" s="1130"/>
      <c r="AB2109" s="1130" t="s">
        <v>323</v>
      </c>
      <c r="AC2109" s="1133" t="s">
        <v>323</v>
      </c>
      <c r="AD2109" s="1131"/>
      <c r="AE2109" s="1131"/>
      <c r="AF2109" s="1131"/>
      <c r="AG2109" s="1131"/>
      <c r="AH2109" s="1131"/>
      <c r="AI2109" s="1131"/>
      <c r="AJ2109" s="1133"/>
      <c r="AK2109" s="1134"/>
      <c r="AL2109" s="1131"/>
      <c r="AM2109" s="1131"/>
      <c r="AN2109" s="1131"/>
      <c r="AO2109" s="1131"/>
      <c r="AP2109" s="1131"/>
      <c r="AQ2109" s="1131"/>
      <c r="AR2109" s="1131"/>
      <c r="AS2109" s="1133"/>
      <c r="AT2109" s="1197" t="str">
        <f t="shared" si="428"/>
        <v/>
      </c>
      <c r="AU2109" s="1194"/>
      <c r="AV2109" s="662">
        <f>SQRT(($R2109-Infrastructure!J$3)^2+($S2109-Infrastructure!K$3)^2)</f>
        <v>28.90155705</v>
      </c>
      <c r="AW2109" s="641">
        <f>SQRT(($R2109-Infrastructure!J$4)^2+($S2109-Infrastructure!K$4)^2)</f>
        <v>17.80252791</v>
      </c>
      <c r="AX2109" s="641">
        <f>SQRT(($R2109-Infrastructure!J$5)^2+($S2109-Infrastructure!K$5)^2)</f>
        <v>5.10881591</v>
      </c>
      <c r="AY2109" s="641">
        <f>SQRT(($R2109-Infrastructure!J$6)^2+($S2109-Infrastructure!K$6)^2)</f>
        <v>10.10445446</v>
      </c>
      <c r="AZ2109" s="641">
        <f>SQRT(($R2109-Infrastructure!J$7)^2+($S2109-Infrastructure!K$7)^2)</f>
        <v>20.502195</v>
      </c>
      <c r="BA2109" s="641">
        <f>SQRT(($R2109-Infrastructure!J$8)^2+($S2109-Infrastructure!K$8)^2)</f>
        <v>30.10149498</v>
      </c>
      <c r="BB2109" s="641">
        <f>SQRT(($R2109-Infrastructure!J$9)^2+($S2109-Infrastructure!K$9)^2)</f>
        <v>40.3238143</v>
      </c>
      <c r="BC2109" s="641">
        <f>SQRT(($R2109-Infrastructure!J$10)^2+($S2109-Infrastructure!K$10)^2)</f>
        <v>42.72001873</v>
      </c>
      <c r="BD2109" s="641">
        <f>SQRT(($R2109-Infrastructure!J$11)^2+($S2109-Infrastructure!K$11)^2)</f>
        <v>49.56853841</v>
      </c>
      <c r="BE2109" s="642">
        <f>SQRT(($R2109-Infrastructure!J$12)^2+($S2109-Infrastructure!K$12)^2)</f>
        <v>59.51890456</v>
      </c>
      <c r="BF2109" s="662">
        <f t="shared" si="161"/>
        <v>5.10881591</v>
      </c>
      <c r="BG2109" s="642">
        <f t="shared" si="162"/>
        <v>59.51890456</v>
      </c>
      <c r="BH2109" s="1135"/>
      <c r="BI2109" s="663" t="str">
        <f t="shared" ref="BI2109:BR2109" si="1069">IF(ISNUMBER(FIND(BI$3, $CO2109)), "Y", "")</f>
        <v/>
      </c>
      <c r="BJ2109" s="663" t="str">
        <f t="shared" si="1069"/>
        <v/>
      </c>
      <c r="BK2109" s="663" t="str">
        <f t="shared" si="1069"/>
        <v/>
      </c>
      <c r="BL2109" s="663" t="str">
        <f t="shared" si="1069"/>
        <v/>
      </c>
      <c r="BM2109" s="663" t="str">
        <f t="shared" si="1069"/>
        <v/>
      </c>
      <c r="BN2109" s="663" t="str">
        <f t="shared" si="1069"/>
        <v/>
      </c>
      <c r="BO2109" s="663" t="str">
        <f t="shared" si="1069"/>
        <v/>
      </c>
      <c r="BP2109" s="663" t="str">
        <f t="shared" si="1069"/>
        <v/>
      </c>
      <c r="BQ2109" s="663" t="str">
        <f t="shared" si="1069"/>
        <v/>
      </c>
      <c r="BR2109" s="663" t="str">
        <f t="shared" si="1069"/>
        <v/>
      </c>
      <c r="BS2109" s="662">
        <f t="shared" si="185"/>
        <v>0</v>
      </c>
      <c r="BT2109" s="641">
        <f t="shared" si="170"/>
        <v>0</v>
      </c>
      <c r="BU2109" s="937"/>
      <c r="BV2109" s="930" t="str">
        <f t="shared" si="186"/>
        <v/>
      </c>
      <c r="BW2109" s="939"/>
      <c r="BX2109" s="939"/>
      <c r="BY2109" s="641" t="b">
        <f t="shared" si="201"/>
        <v>0</v>
      </c>
      <c r="BZ2109" s="641"/>
      <c r="CA2109" s="635" t="str">
        <f t="shared" ref="CA2109:CJ2109" si="1070">IF(ISNUMBER(FIND(BI$3, $CP2109)), "Y", "")</f>
        <v/>
      </c>
      <c r="CB2109" s="663" t="str">
        <f t="shared" si="1070"/>
        <v/>
      </c>
      <c r="CC2109" s="663" t="str">
        <f t="shared" si="1070"/>
        <v/>
      </c>
      <c r="CD2109" s="663" t="str">
        <f t="shared" si="1070"/>
        <v/>
      </c>
      <c r="CE2109" s="663" t="str">
        <f t="shared" si="1070"/>
        <v/>
      </c>
      <c r="CF2109" s="663" t="str">
        <f t="shared" si="1070"/>
        <v/>
      </c>
      <c r="CG2109" s="663" t="str">
        <f t="shared" si="1070"/>
        <v/>
      </c>
      <c r="CH2109" s="663" t="str">
        <f t="shared" si="1070"/>
        <v/>
      </c>
      <c r="CI2109" s="663" t="str">
        <f t="shared" si="1070"/>
        <v/>
      </c>
      <c r="CJ2109" s="663" t="str">
        <f t="shared" si="1070"/>
        <v/>
      </c>
      <c r="CK2109" s="743">
        <f t="shared" si="182"/>
        <v>0</v>
      </c>
      <c r="CL2109" s="642">
        <f t="shared" si="183"/>
        <v>0</v>
      </c>
      <c r="CM2109" s="1090"/>
      <c r="CN2109" s="1036" t="s">
        <v>3130</v>
      </c>
      <c r="CO2109" s="1036"/>
      <c r="CP2109" s="1036"/>
    </row>
    <row r="2110">
      <c r="A2110" s="1257" t="s">
        <v>135</v>
      </c>
      <c r="B2110" s="1113" t="s">
        <v>1772</v>
      </c>
      <c r="C2110" s="1107">
        <v>45616.0</v>
      </c>
      <c r="D2110" s="1113" t="s">
        <v>986</v>
      </c>
      <c r="E2110" s="1108">
        <v>5.0</v>
      </c>
      <c r="F2110" s="112" t="s">
        <v>3132</v>
      </c>
      <c r="G2110" s="1110">
        <v>0.4013888888888889</v>
      </c>
      <c r="H2110" s="1110">
        <v>0.4027777777777778</v>
      </c>
      <c r="I2110" s="1110"/>
      <c r="J2110" s="1111"/>
      <c r="K2110" s="1111">
        <v>0.44513888888888886</v>
      </c>
      <c r="L2110" s="1112">
        <v>0.04236111111111111</v>
      </c>
      <c r="M2110" s="1113" t="s">
        <v>166</v>
      </c>
      <c r="N2110" s="110" t="s">
        <v>187</v>
      </c>
      <c r="O2110" s="1115" t="s">
        <v>206</v>
      </c>
      <c r="P2110" s="1115" t="s">
        <v>296</v>
      </c>
      <c r="Q2110" s="1116"/>
      <c r="R2110" s="120">
        <v>22.0</v>
      </c>
      <c r="S2110" s="1113">
        <v>11.4</v>
      </c>
      <c r="T2110" s="110">
        <v>0.6</v>
      </c>
      <c r="U2110" s="1108">
        <v>0.8</v>
      </c>
      <c r="V2110" s="1108"/>
      <c r="W2110" s="1108"/>
      <c r="X2110" s="1108"/>
      <c r="Y2110" s="1108"/>
      <c r="Z2110" s="1114" t="s">
        <v>347</v>
      </c>
      <c r="AA2110" s="1114"/>
      <c r="AB2110" s="1114" t="s">
        <v>384</v>
      </c>
      <c r="AC2110" s="1117">
        <v>6.0</v>
      </c>
      <c r="AD2110" s="1115"/>
      <c r="AE2110" s="1115"/>
      <c r="AF2110" s="1115"/>
      <c r="AG2110" s="1115"/>
      <c r="AH2110" s="1115"/>
      <c r="AI2110" s="1115"/>
      <c r="AJ2110" s="1117"/>
      <c r="AK2110" s="1118"/>
      <c r="AL2110" s="1115"/>
      <c r="AM2110" s="1115"/>
      <c r="AN2110" s="1115"/>
      <c r="AO2110" s="1115"/>
      <c r="AP2110" s="1115"/>
      <c r="AQ2110" s="1115"/>
      <c r="AR2110" s="1115"/>
      <c r="AS2110" s="1117"/>
      <c r="AT2110" s="1196" t="str">
        <f t="shared" si="428"/>
        <v>0-1</v>
      </c>
      <c r="AU2110" s="1193"/>
      <c r="AV2110" s="330">
        <f>SQRT(($R2110-Infrastructure!J$3)^2+($S2110-Infrastructure!K$3)^2)</f>
        <v>28.34678112</v>
      </c>
      <c r="AW2110" s="331">
        <f>SQRT(($R2110-Infrastructure!J$4)^2+($S2110-Infrastructure!K$4)^2)</f>
        <v>23.20021552</v>
      </c>
      <c r="AX2110" s="331">
        <f>SQRT(($R2110-Infrastructure!J$5)^2+($S2110-Infrastructure!K$5)^2)</f>
        <v>23.17282892</v>
      </c>
      <c r="AY2110" s="331">
        <f>SQRT(($R2110-Infrastructure!J$6)^2+($S2110-Infrastructure!K$6)^2)</f>
        <v>16.273291</v>
      </c>
      <c r="AZ2110" s="331">
        <f>SQRT(($R2110-Infrastructure!J$7)^2+($S2110-Infrastructure!K$7)^2)</f>
        <v>11.20089282</v>
      </c>
      <c r="BA2110" s="331">
        <f>SQRT(($R2110-Infrastructure!J$8)^2+($S2110-Infrastructure!K$8)^2)</f>
        <v>13.74117899</v>
      </c>
      <c r="BB2110" s="331">
        <f>SQRT(($R2110-Infrastructure!J$9)^2+($S2110-Infrastructure!K$9)^2)</f>
        <v>19.07065809</v>
      </c>
      <c r="BC2110" s="331">
        <f>SQRT(($R2110-Infrastructure!J$10)^2+($S2110-Infrastructure!K$10)^2)</f>
        <v>18.35647025</v>
      </c>
      <c r="BD2110" s="331">
        <f>SQRT(($R2110-Infrastructure!J$11)^2+($S2110-Infrastructure!K$11)^2)</f>
        <v>25.3179778</v>
      </c>
      <c r="BE2110" s="333">
        <f>SQRT(($R2110-Infrastructure!J$12)^2+($S2110-Infrastructure!K$12)^2)</f>
        <v>44.10283438</v>
      </c>
      <c r="BF2110" s="330">
        <f t="shared" si="161"/>
        <v>11.20089282</v>
      </c>
      <c r="BG2110" s="333">
        <f t="shared" si="162"/>
        <v>44.10283438</v>
      </c>
      <c r="BH2110" s="1119"/>
      <c r="BI2110" s="319" t="str">
        <f t="shared" ref="BI2110:BR2110" si="1071">IF(ISNUMBER(FIND(BI$3, $CO2110)), "Y", "")</f>
        <v/>
      </c>
      <c r="BJ2110" s="319" t="str">
        <f t="shared" si="1071"/>
        <v/>
      </c>
      <c r="BK2110" s="319" t="str">
        <f t="shared" si="1071"/>
        <v/>
      </c>
      <c r="BL2110" s="319" t="str">
        <f t="shared" si="1071"/>
        <v/>
      </c>
      <c r="BM2110" s="319" t="str">
        <f t="shared" si="1071"/>
        <v/>
      </c>
      <c r="BN2110" s="319" t="str">
        <f t="shared" si="1071"/>
        <v/>
      </c>
      <c r="BO2110" s="319" t="str">
        <f t="shared" si="1071"/>
        <v/>
      </c>
      <c r="BP2110" s="319" t="str">
        <f t="shared" si="1071"/>
        <v/>
      </c>
      <c r="BQ2110" s="319" t="str">
        <f t="shared" si="1071"/>
        <v/>
      </c>
      <c r="BR2110" s="319" t="str">
        <f t="shared" si="1071"/>
        <v/>
      </c>
      <c r="BS2110" s="330">
        <f t="shared" si="185"/>
        <v>0</v>
      </c>
      <c r="BT2110" s="331">
        <f t="shared" si="170"/>
        <v>0</v>
      </c>
      <c r="BU2110" s="920"/>
      <c r="BV2110" s="903" t="str">
        <f t="shared" si="186"/>
        <v/>
      </c>
      <c r="BW2110" s="908"/>
      <c r="BX2110" s="908"/>
      <c r="BY2110" s="331" t="b">
        <f t="shared" si="201"/>
        <v>0</v>
      </c>
      <c r="BZ2110" s="331"/>
      <c r="CA2110" s="462" t="str">
        <f t="shared" ref="CA2110:CJ2110" si="1072">IF(ISNUMBER(FIND(BI$3, $CP2110)), "Y", "")</f>
        <v/>
      </c>
      <c r="CB2110" s="319" t="str">
        <f t="shared" si="1072"/>
        <v/>
      </c>
      <c r="CC2110" s="319" t="str">
        <f t="shared" si="1072"/>
        <v/>
      </c>
      <c r="CD2110" s="319" t="str">
        <f t="shared" si="1072"/>
        <v/>
      </c>
      <c r="CE2110" s="319" t="str">
        <f t="shared" si="1072"/>
        <v/>
      </c>
      <c r="CF2110" s="319" t="str">
        <f t="shared" si="1072"/>
        <v/>
      </c>
      <c r="CG2110" s="319" t="str">
        <f t="shared" si="1072"/>
        <v/>
      </c>
      <c r="CH2110" s="319" t="str">
        <f t="shared" si="1072"/>
        <v/>
      </c>
      <c r="CI2110" s="319" t="str">
        <f t="shared" si="1072"/>
        <v/>
      </c>
      <c r="CJ2110" s="319" t="str">
        <f t="shared" si="1072"/>
        <v/>
      </c>
      <c r="CK2110" s="342">
        <f t="shared" si="182"/>
        <v>0</v>
      </c>
      <c r="CL2110" s="333">
        <f t="shared" si="183"/>
        <v>0</v>
      </c>
      <c r="CM2110" s="1079"/>
      <c r="CN2110" s="1005" t="s">
        <v>3133</v>
      </c>
      <c r="CO2110" s="1005"/>
      <c r="CP2110" s="1005"/>
    </row>
    <row r="2111">
      <c r="A2111" s="1258"/>
      <c r="B2111" s="1129" t="s">
        <v>1772</v>
      </c>
      <c r="C2111" s="1122">
        <v>45616.0</v>
      </c>
      <c r="D2111" s="1123"/>
      <c r="E2111" s="1144"/>
      <c r="F2111" s="108" t="s">
        <v>3134</v>
      </c>
      <c r="G2111" s="1126">
        <v>0.4479166666666667</v>
      </c>
      <c r="H2111" s="1145"/>
      <c r="I2111" s="1145"/>
      <c r="J2111" s="1146"/>
      <c r="K2111" s="1127">
        <v>0.4513888888888889</v>
      </c>
      <c r="L2111" s="1128">
        <v>0.003472222222222222</v>
      </c>
      <c r="M2111" s="1129" t="s">
        <v>166</v>
      </c>
      <c r="N2111" s="100" t="s">
        <v>188</v>
      </c>
      <c r="O2111" s="1161"/>
      <c r="P2111" s="1131" t="s">
        <v>292</v>
      </c>
      <c r="Q2111" s="1132"/>
      <c r="R2111" s="1148"/>
      <c r="S2111" s="1129"/>
      <c r="T2111" s="1150"/>
      <c r="U2111" s="1124" t="s">
        <v>323</v>
      </c>
      <c r="V2111" s="1124"/>
      <c r="W2111" s="1124"/>
      <c r="X2111" s="1124"/>
      <c r="Y2111" s="1124"/>
      <c r="Z2111" s="1130" t="s">
        <v>323</v>
      </c>
      <c r="AA2111" s="1130"/>
      <c r="AB2111" s="1130" t="s">
        <v>323</v>
      </c>
      <c r="AC2111" s="1133" t="s">
        <v>323</v>
      </c>
      <c r="AD2111" s="1115"/>
      <c r="AE2111" s="1115"/>
      <c r="AF2111" s="1115"/>
      <c r="AG2111" s="1115"/>
      <c r="AH2111" s="1115"/>
      <c r="AI2111" s="1115"/>
      <c r="AJ2111" s="1117"/>
      <c r="AK2111" s="1118"/>
      <c r="AL2111" s="1115"/>
      <c r="AM2111" s="1115"/>
      <c r="AN2111" s="1115"/>
      <c r="AO2111" s="1115"/>
      <c r="AP2111" s="1115"/>
      <c r="AQ2111" s="1115"/>
      <c r="AR2111" s="1115"/>
      <c r="AS2111" s="1117"/>
      <c r="AT2111" s="1196" t="str">
        <f t="shared" si="428"/>
        <v/>
      </c>
      <c r="AU2111" s="1194"/>
      <c r="AV2111" s="662">
        <f>SQRT(($R2111-Infrastructure!J$3)^2+($S2111-Infrastructure!K$3)^2)</f>
        <v>28.90155705</v>
      </c>
      <c r="AW2111" s="641">
        <f>SQRT(($R2111-Infrastructure!J$4)^2+($S2111-Infrastructure!K$4)^2)</f>
        <v>17.80252791</v>
      </c>
      <c r="AX2111" s="641">
        <f>SQRT(($R2111-Infrastructure!J$5)^2+($S2111-Infrastructure!K$5)^2)</f>
        <v>5.10881591</v>
      </c>
      <c r="AY2111" s="641">
        <f>SQRT(($R2111-Infrastructure!J$6)^2+($S2111-Infrastructure!K$6)^2)</f>
        <v>10.10445446</v>
      </c>
      <c r="AZ2111" s="641">
        <f>SQRT(($R2111-Infrastructure!J$7)^2+($S2111-Infrastructure!K$7)^2)</f>
        <v>20.502195</v>
      </c>
      <c r="BA2111" s="641">
        <f>SQRT(($R2111-Infrastructure!J$8)^2+($S2111-Infrastructure!K$8)^2)</f>
        <v>30.10149498</v>
      </c>
      <c r="BB2111" s="641">
        <f>SQRT(($R2111-Infrastructure!J$9)^2+($S2111-Infrastructure!K$9)^2)</f>
        <v>40.3238143</v>
      </c>
      <c r="BC2111" s="641">
        <f>SQRT(($R2111-Infrastructure!J$10)^2+($S2111-Infrastructure!K$10)^2)</f>
        <v>42.72001873</v>
      </c>
      <c r="BD2111" s="641">
        <f>SQRT(($R2111-Infrastructure!J$11)^2+($S2111-Infrastructure!K$11)^2)</f>
        <v>49.56853841</v>
      </c>
      <c r="BE2111" s="642">
        <f>SQRT(($R2111-Infrastructure!J$12)^2+($S2111-Infrastructure!K$12)^2)</f>
        <v>59.51890456</v>
      </c>
      <c r="BF2111" s="662">
        <f t="shared" si="161"/>
        <v>5.10881591</v>
      </c>
      <c r="BG2111" s="642">
        <f t="shared" si="162"/>
        <v>59.51890456</v>
      </c>
      <c r="BH2111" s="1135"/>
      <c r="BI2111" s="663" t="str">
        <f t="shared" ref="BI2111:BR2111" si="1073">IF(ISNUMBER(FIND(BI$3, $CO2111)), "Y", "")</f>
        <v/>
      </c>
      <c r="BJ2111" s="663" t="str">
        <f t="shared" si="1073"/>
        <v/>
      </c>
      <c r="BK2111" s="663" t="str">
        <f t="shared" si="1073"/>
        <v/>
      </c>
      <c r="BL2111" s="663" t="str">
        <f t="shared" si="1073"/>
        <v/>
      </c>
      <c r="BM2111" s="663" t="str">
        <f t="shared" si="1073"/>
        <v/>
      </c>
      <c r="BN2111" s="663" t="str">
        <f t="shared" si="1073"/>
        <v/>
      </c>
      <c r="BO2111" s="663" t="str">
        <f t="shared" si="1073"/>
        <v/>
      </c>
      <c r="BP2111" s="663" t="str">
        <f t="shared" si="1073"/>
        <v/>
      </c>
      <c r="BQ2111" s="663" t="str">
        <f t="shared" si="1073"/>
        <v/>
      </c>
      <c r="BR2111" s="663" t="str">
        <f t="shared" si="1073"/>
        <v/>
      </c>
      <c r="BS2111" s="662">
        <f t="shared" si="185"/>
        <v>0</v>
      </c>
      <c r="BT2111" s="641">
        <f t="shared" si="170"/>
        <v>0</v>
      </c>
      <c r="BU2111" s="937"/>
      <c r="BV2111" s="903" t="str">
        <f t="shared" si="186"/>
        <v/>
      </c>
      <c r="BW2111" s="939"/>
      <c r="BX2111" s="939"/>
      <c r="BY2111" s="641" t="b">
        <f t="shared" si="201"/>
        <v>0</v>
      </c>
      <c r="BZ2111" s="641"/>
      <c r="CA2111" s="635" t="str">
        <f t="shared" ref="CA2111:CJ2111" si="1074">IF(ISNUMBER(FIND(BI$3, $CP2111)), "Y", "")</f>
        <v/>
      </c>
      <c r="CB2111" s="663" t="str">
        <f t="shared" si="1074"/>
        <v/>
      </c>
      <c r="CC2111" s="663" t="str">
        <f t="shared" si="1074"/>
        <v/>
      </c>
      <c r="CD2111" s="663" t="str">
        <f t="shared" si="1074"/>
        <v/>
      </c>
      <c r="CE2111" s="663" t="str">
        <f t="shared" si="1074"/>
        <v/>
      </c>
      <c r="CF2111" s="663" t="str">
        <f t="shared" si="1074"/>
        <v/>
      </c>
      <c r="CG2111" s="663" t="str">
        <f t="shared" si="1074"/>
        <v/>
      </c>
      <c r="CH2111" s="663" t="str">
        <f t="shared" si="1074"/>
        <v/>
      </c>
      <c r="CI2111" s="663" t="str">
        <f t="shared" si="1074"/>
        <v/>
      </c>
      <c r="CJ2111" s="663" t="str">
        <f t="shared" si="1074"/>
        <v/>
      </c>
      <c r="CK2111" s="743">
        <f t="shared" si="182"/>
        <v>0</v>
      </c>
      <c r="CL2111" s="642">
        <f t="shared" si="183"/>
        <v>0</v>
      </c>
      <c r="CM2111" s="1090"/>
      <c r="CN2111" s="1036" t="s">
        <v>3133</v>
      </c>
      <c r="CO2111" s="1036"/>
      <c r="CP2111" s="1036"/>
    </row>
    <row r="2112">
      <c r="A2112" s="1257" t="s">
        <v>136</v>
      </c>
      <c r="B2112" s="1113" t="s">
        <v>1772</v>
      </c>
      <c r="C2112" s="1107">
        <v>45618.0</v>
      </c>
      <c r="D2112" s="1113" t="s">
        <v>986</v>
      </c>
      <c r="E2112" s="1108">
        <v>6.0</v>
      </c>
      <c r="F2112" s="112" t="s">
        <v>3135</v>
      </c>
      <c r="G2112" s="1110">
        <v>0.3784722222222222</v>
      </c>
      <c r="H2112" s="1110">
        <v>0.37916666666666665</v>
      </c>
      <c r="I2112" s="1110"/>
      <c r="J2112" s="1111"/>
      <c r="K2112" s="1111">
        <v>0.4215277777777778</v>
      </c>
      <c r="L2112" s="1112">
        <v>0.04236111111111111</v>
      </c>
      <c r="M2112" s="1113" t="s">
        <v>166</v>
      </c>
      <c r="N2112" s="110" t="s">
        <v>187</v>
      </c>
      <c r="O2112" s="1115" t="s">
        <v>207</v>
      </c>
      <c r="P2112" s="1115" t="s">
        <v>223</v>
      </c>
      <c r="Q2112" s="1116"/>
      <c r="R2112" s="120">
        <v>26.4</v>
      </c>
      <c r="S2112" s="1113">
        <v>14.5</v>
      </c>
      <c r="T2112" s="110">
        <v>2.5</v>
      </c>
      <c r="U2112" s="1108">
        <v>0.8</v>
      </c>
      <c r="V2112" s="1108"/>
      <c r="W2112" s="1108"/>
      <c r="X2112" s="1108"/>
      <c r="Y2112" s="1108"/>
      <c r="Z2112" s="1114" t="s">
        <v>374</v>
      </c>
      <c r="AA2112" s="1114"/>
      <c r="AB2112" s="1114" t="s">
        <v>384</v>
      </c>
      <c r="AC2112" s="1117">
        <v>6.0</v>
      </c>
      <c r="AD2112" s="1115"/>
      <c r="AE2112" s="1115"/>
      <c r="AF2112" s="1115"/>
      <c r="AG2112" s="1115"/>
      <c r="AH2112" s="1115"/>
      <c r="AI2112" s="1115"/>
      <c r="AJ2112" s="1117"/>
      <c r="AK2112" s="1118"/>
      <c r="AL2112" s="1115"/>
      <c r="AM2112" s="1115"/>
      <c r="AN2112" s="1115"/>
      <c r="AO2112" s="1115"/>
      <c r="AP2112" s="1115"/>
      <c r="AQ2112" s="1115"/>
      <c r="AR2112" s="1115"/>
      <c r="AS2112" s="1117"/>
      <c r="AT2112" s="1196" t="str">
        <f t="shared" si="428"/>
        <v>0-1</v>
      </c>
      <c r="AU2112" s="1193"/>
      <c r="AV2112" s="330">
        <f>SQRT(($R2112-Infrastructure!J$3)^2+($S2112-Infrastructure!K$3)^2)</f>
        <v>30.33562262</v>
      </c>
      <c r="AW2112" s="331">
        <f>SQRT(($R2112-Infrastructure!J$4)^2+($S2112-Infrastructure!K$4)^2)</f>
        <v>26.90315967</v>
      </c>
      <c r="AX2112" s="331">
        <f>SQRT(($R2112-Infrastructure!J$5)^2+($S2112-Infrastructure!K$5)^2)</f>
        <v>28.30635971</v>
      </c>
      <c r="AY2112" s="331">
        <f>SQRT(($R2112-Infrastructure!J$6)^2+($S2112-Infrastructure!K$6)^2)</f>
        <v>21.61781673</v>
      </c>
      <c r="AZ2112" s="331">
        <f>SQRT(($R2112-Infrastructure!J$7)^2+($S2112-Infrastructure!K$7)^2)</f>
        <v>15.37693077</v>
      </c>
      <c r="BA2112" s="331">
        <f>SQRT(($R2112-Infrastructure!J$8)^2+($S2112-Infrastructure!K$8)^2)</f>
        <v>14.67412689</v>
      </c>
      <c r="BB2112" s="331">
        <f>SQRT(($R2112-Infrastructure!J$9)^2+($S2112-Infrastructure!K$9)^2)</f>
        <v>16.53239245</v>
      </c>
      <c r="BC2112" s="331">
        <f>SQRT(($R2112-Infrastructure!J$10)^2+($S2112-Infrastructure!K$10)^2)</f>
        <v>13.60918807</v>
      </c>
      <c r="BD2112" s="331">
        <f>SQRT(($R2112-Infrastructure!J$11)^2+($S2112-Infrastructure!K$11)^2)</f>
        <v>20.01724257</v>
      </c>
      <c r="BE2112" s="333">
        <f>SQRT(($R2112-Infrastructure!J$12)^2+($S2112-Infrastructure!K$12)^2)</f>
        <v>41.29176673</v>
      </c>
      <c r="BF2112" s="330">
        <f t="shared" si="161"/>
        <v>13.60918807</v>
      </c>
      <c r="BG2112" s="333">
        <f t="shared" si="162"/>
        <v>41.29176673</v>
      </c>
      <c r="BH2112" s="1119"/>
      <c r="BI2112" s="319" t="str">
        <f t="shared" ref="BI2112:BR2112" si="1075">IF(ISNUMBER(FIND(BI$3, $CO2112)), "Y", "")</f>
        <v/>
      </c>
      <c r="BJ2112" s="319" t="str">
        <f t="shared" si="1075"/>
        <v/>
      </c>
      <c r="BK2112" s="319" t="str">
        <f t="shared" si="1075"/>
        <v>Y</v>
      </c>
      <c r="BL2112" s="319" t="str">
        <f t="shared" si="1075"/>
        <v>Y</v>
      </c>
      <c r="BM2112" s="319" t="str">
        <f t="shared" si="1075"/>
        <v>Y</v>
      </c>
      <c r="BN2112" s="319" t="str">
        <f t="shared" si="1075"/>
        <v>Y</v>
      </c>
      <c r="BO2112" s="319" t="str">
        <f t="shared" si="1075"/>
        <v/>
      </c>
      <c r="BP2112" s="319" t="str">
        <f t="shared" si="1075"/>
        <v/>
      </c>
      <c r="BQ2112" s="319" t="str">
        <f t="shared" si="1075"/>
        <v>Y</v>
      </c>
      <c r="BR2112" s="319" t="str">
        <f t="shared" si="1075"/>
        <v>Y</v>
      </c>
      <c r="BS2112" s="330">
        <f t="shared" si="185"/>
        <v>14.67412689</v>
      </c>
      <c r="BT2112" s="331">
        <f t="shared" si="170"/>
        <v>41.29176673</v>
      </c>
      <c r="BU2112" s="920">
        <v>0.4000578703703704</v>
      </c>
      <c r="BV2112" s="903">
        <f t="shared" si="186"/>
        <v>0.02158564815</v>
      </c>
      <c r="BW2112" s="908">
        <v>15.1</v>
      </c>
      <c r="BX2112" s="908">
        <v>31.6</v>
      </c>
      <c r="BY2112" s="331">
        <f t="shared" si="201"/>
        <v>20.49634114</v>
      </c>
      <c r="BZ2112" s="331"/>
      <c r="CA2112" s="462" t="str">
        <f t="shared" ref="CA2112:CJ2112" si="1076">IF(ISNUMBER(FIND(BI$3, $CP2112)), "Y", "")</f>
        <v/>
      </c>
      <c r="CB2112" s="319" t="str">
        <f t="shared" si="1076"/>
        <v/>
      </c>
      <c r="CC2112" s="319" t="str">
        <f t="shared" si="1076"/>
        <v/>
      </c>
      <c r="CD2112" s="319" t="str">
        <f t="shared" si="1076"/>
        <v/>
      </c>
      <c r="CE2112" s="319" t="str">
        <f t="shared" si="1076"/>
        <v/>
      </c>
      <c r="CF2112" s="319" t="str">
        <f t="shared" si="1076"/>
        <v/>
      </c>
      <c r="CG2112" s="319" t="str">
        <f t="shared" si="1076"/>
        <v/>
      </c>
      <c r="CH2112" s="319" t="str">
        <f t="shared" si="1076"/>
        <v/>
      </c>
      <c r="CI2112" s="319" t="str">
        <f t="shared" si="1076"/>
        <v/>
      </c>
      <c r="CJ2112" s="319" t="str">
        <f t="shared" si="1076"/>
        <v/>
      </c>
      <c r="CK2112" s="342">
        <f t="shared" si="182"/>
        <v>0</v>
      </c>
      <c r="CL2112" s="333">
        <f t="shared" si="183"/>
        <v>0</v>
      </c>
      <c r="CM2112" s="1079"/>
      <c r="CN2112" s="1005" t="s">
        <v>3136</v>
      </c>
      <c r="CO2112" s="1005" t="s">
        <v>3137</v>
      </c>
      <c r="CP2112" s="1005"/>
    </row>
    <row r="2113">
      <c r="A2113" s="266"/>
      <c r="B2113" s="1113" t="s">
        <v>1772</v>
      </c>
      <c r="C2113" s="1107">
        <v>45618.0</v>
      </c>
      <c r="D2113" s="1113" t="s">
        <v>986</v>
      </c>
      <c r="E2113" s="1108">
        <v>7.0</v>
      </c>
      <c r="F2113" s="112" t="s">
        <v>3138</v>
      </c>
      <c r="G2113" s="1110">
        <v>0.58125</v>
      </c>
      <c r="H2113" s="1110">
        <v>0.5833333333333334</v>
      </c>
      <c r="I2113" s="1110"/>
      <c r="J2113" s="1111"/>
      <c r="K2113" s="1111">
        <v>0.6270833333333333</v>
      </c>
      <c r="L2113" s="1112">
        <v>0.04375</v>
      </c>
      <c r="M2113" s="1113" t="s">
        <v>166</v>
      </c>
      <c r="N2113" s="110" t="s">
        <v>187</v>
      </c>
      <c r="O2113" s="1115" t="s">
        <v>206</v>
      </c>
      <c r="P2113" s="1115" t="s">
        <v>296</v>
      </c>
      <c r="Q2113" s="1116"/>
      <c r="R2113" s="120">
        <v>22.0</v>
      </c>
      <c r="S2113" s="1113">
        <v>11.4</v>
      </c>
      <c r="T2113" s="110">
        <v>0.6</v>
      </c>
      <c r="U2113" s="1108">
        <v>0.8</v>
      </c>
      <c r="V2113" s="1108"/>
      <c r="W2113" s="1108"/>
      <c r="X2113" s="1108"/>
      <c r="Y2113" s="1108"/>
      <c r="Z2113" s="1114" t="s">
        <v>347</v>
      </c>
      <c r="AA2113" s="1114"/>
      <c r="AB2113" s="1114" t="s">
        <v>384</v>
      </c>
      <c r="AC2113" s="1117">
        <v>6.0</v>
      </c>
      <c r="AD2113" s="1115"/>
      <c r="AE2113" s="1115"/>
      <c r="AF2113" s="1115"/>
      <c r="AG2113" s="1115"/>
      <c r="AH2113" s="1115"/>
      <c r="AI2113" s="1115"/>
      <c r="AJ2113" s="1117"/>
      <c r="AK2113" s="1118"/>
      <c r="AL2113" s="1115"/>
      <c r="AM2113" s="1115"/>
      <c r="AN2113" s="1115"/>
      <c r="AO2113" s="1115"/>
      <c r="AP2113" s="1115"/>
      <c r="AQ2113" s="1115"/>
      <c r="AR2113" s="1115"/>
      <c r="AS2113" s="1117"/>
      <c r="AT2113" s="1196" t="str">
        <f t="shared" si="428"/>
        <v>0-1</v>
      </c>
      <c r="AU2113" s="1193"/>
      <c r="AV2113" s="330">
        <f>SQRT(($R2113-Infrastructure!J$3)^2+($S2113-Infrastructure!K$3)^2)</f>
        <v>28.34678112</v>
      </c>
      <c r="AW2113" s="331">
        <f>SQRT(($R2113-Infrastructure!J$4)^2+($S2113-Infrastructure!K$4)^2)</f>
        <v>23.20021552</v>
      </c>
      <c r="AX2113" s="331">
        <f>SQRT(($R2113-Infrastructure!J$5)^2+($S2113-Infrastructure!K$5)^2)</f>
        <v>23.17282892</v>
      </c>
      <c r="AY2113" s="331">
        <f>SQRT(($R2113-Infrastructure!J$6)^2+($S2113-Infrastructure!K$6)^2)</f>
        <v>16.273291</v>
      </c>
      <c r="AZ2113" s="331">
        <f>SQRT(($R2113-Infrastructure!J$7)^2+($S2113-Infrastructure!K$7)^2)</f>
        <v>11.20089282</v>
      </c>
      <c r="BA2113" s="331">
        <f>SQRT(($R2113-Infrastructure!J$8)^2+($S2113-Infrastructure!K$8)^2)</f>
        <v>13.74117899</v>
      </c>
      <c r="BB2113" s="331">
        <f>SQRT(($R2113-Infrastructure!J$9)^2+($S2113-Infrastructure!K$9)^2)</f>
        <v>19.07065809</v>
      </c>
      <c r="BC2113" s="331">
        <f>SQRT(($R2113-Infrastructure!J$10)^2+($S2113-Infrastructure!K$10)^2)</f>
        <v>18.35647025</v>
      </c>
      <c r="BD2113" s="331">
        <f>SQRT(($R2113-Infrastructure!J$11)^2+($S2113-Infrastructure!K$11)^2)</f>
        <v>25.3179778</v>
      </c>
      <c r="BE2113" s="333">
        <f>SQRT(($R2113-Infrastructure!J$12)^2+($S2113-Infrastructure!K$12)^2)</f>
        <v>44.10283438</v>
      </c>
      <c r="BF2113" s="330">
        <f t="shared" si="161"/>
        <v>11.20089282</v>
      </c>
      <c r="BG2113" s="333">
        <f t="shared" si="162"/>
        <v>44.10283438</v>
      </c>
      <c r="BH2113" s="1119"/>
      <c r="BI2113" s="319" t="str">
        <f t="shared" ref="BI2113:BR2113" si="1077">IF(ISNUMBER(FIND(BI$3, $CO2113)), "Y", "")</f>
        <v/>
      </c>
      <c r="BJ2113" s="319" t="str">
        <f t="shared" si="1077"/>
        <v/>
      </c>
      <c r="BK2113" s="319" t="str">
        <f t="shared" si="1077"/>
        <v/>
      </c>
      <c r="BL2113" s="319" t="str">
        <f t="shared" si="1077"/>
        <v/>
      </c>
      <c r="BM2113" s="319" t="str">
        <f t="shared" si="1077"/>
        <v/>
      </c>
      <c r="BN2113" s="319" t="str">
        <f t="shared" si="1077"/>
        <v/>
      </c>
      <c r="BO2113" s="319" t="str">
        <f t="shared" si="1077"/>
        <v/>
      </c>
      <c r="BP2113" s="319" t="str">
        <f t="shared" si="1077"/>
        <v/>
      </c>
      <c r="BQ2113" s="319" t="str">
        <f t="shared" si="1077"/>
        <v/>
      </c>
      <c r="BR2113" s="319" t="str">
        <f t="shared" si="1077"/>
        <v/>
      </c>
      <c r="BS2113" s="330">
        <f t="shared" si="185"/>
        <v>0</v>
      </c>
      <c r="BT2113" s="331">
        <f t="shared" si="170"/>
        <v>0</v>
      </c>
      <c r="BU2113" s="920"/>
      <c r="BV2113" s="903" t="str">
        <f t="shared" si="186"/>
        <v/>
      </c>
      <c r="BW2113" s="908"/>
      <c r="BX2113" s="908"/>
      <c r="BY2113" s="331" t="b">
        <f t="shared" si="201"/>
        <v>0</v>
      </c>
      <c r="BZ2113" s="331"/>
      <c r="CA2113" s="462" t="str">
        <f t="shared" ref="CA2113:CJ2113" si="1078">IF(ISNUMBER(FIND(BI$3, $CP2113)), "Y", "")</f>
        <v/>
      </c>
      <c r="CB2113" s="319" t="str">
        <f t="shared" si="1078"/>
        <v/>
      </c>
      <c r="CC2113" s="319" t="str">
        <f t="shared" si="1078"/>
        <v/>
      </c>
      <c r="CD2113" s="319" t="str">
        <f t="shared" si="1078"/>
        <v/>
      </c>
      <c r="CE2113" s="319" t="str">
        <f t="shared" si="1078"/>
        <v/>
      </c>
      <c r="CF2113" s="319" t="str">
        <f t="shared" si="1078"/>
        <v/>
      </c>
      <c r="CG2113" s="319" t="str">
        <f t="shared" si="1078"/>
        <v/>
      </c>
      <c r="CH2113" s="319" t="str">
        <f t="shared" si="1078"/>
        <v/>
      </c>
      <c r="CI2113" s="319" t="str">
        <f t="shared" si="1078"/>
        <v/>
      </c>
      <c r="CJ2113" s="319" t="str">
        <f t="shared" si="1078"/>
        <v/>
      </c>
      <c r="CK2113" s="342">
        <f t="shared" si="182"/>
        <v>0</v>
      </c>
      <c r="CL2113" s="333">
        <f t="shared" si="183"/>
        <v>0</v>
      </c>
      <c r="CM2113" s="1079"/>
      <c r="CN2113" s="1005" t="s">
        <v>3139</v>
      </c>
      <c r="CO2113" s="1005"/>
      <c r="CP2113" s="1005"/>
    </row>
    <row r="2114">
      <c r="A2114" s="1258"/>
      <c r="B2114" s="1129" t="s">
        <v>1772</v>
      </c>
      <c r="C2114" s="1122">
        <v>45618.0</v>
      </c>
      <c r="D2114" s="1123"/>
      <c r="E2114" s="1144"/>
      <c r="F2114" s="108" t="s">
        <v>3140</v>
      </c>
      <c r="G2114" s="1126">
        <v>0.6284722222222222</v>
      </c>
      <c r="H2114" s="1145"/>
      <c r="I2114" s="1145"/>
      <c r="J2114" s="1146"/>
      <c r="K2114" s="1127">
        <v>0.6354166666666666</v>
      </c>
      <c r="L2114" s="1128">
        <v>0.006944444444444444</v>
      </c>
      <c r="M2114" s="1129" t="s">
        <v>166</v>
      </c>
      <c r="N2114" s="100" t="s">
        <v>188</v>
      </c>
      <c r="O2114" s="1161"/>
      <c r="P2114" s="1131" t="s">
        <v>292</v>
      </c>
      <c r="Q2114" s="1132"/>
      <c r="R2114" s="1148"/>
      <c r="S2114" s="1129"/>
      <c r="T2114" s="1150"/>
      <c r="U2114" s="1124" t="s">
        <v>323</v>
      </c>
      <c r="V2114" s="1124"/>
      <c r="W2114" s="1124"/>
      <c r="X2114" s="1124"/>
      <c r="Y2114" s="1124"/>
      <c r="Z2114" s="1130" t="s">
        <v>323</v>
      </c>
      <c r="AA2114" s="1130"/>
      <c r="AB2114" s="1130" t="s">
        <v>323</v>
      </c>
      <c r="AC2114" s="1133" t="s">
        <v>323</v>
      </c>
      <c r="AD2114" s="1131"/>
      <c r="AE2114" s="1131"/>
      <c r="AF2114" s="1131"/>
      <c r="AG2114" s="1131"/>
      <c r="AH2114" s="1131"/>
      <c r="AI2114" s="1131"/>
      <c r="AJ2114" s="1133"/>
      <c r="AK2114" s="1134"/>
      <c r="AL2114" s="1131"/>
      <c r="AM2114" s="1131"/>
      <c r="AN2114" s="1131"/>
      <c r="AO2114" s="1131"/>
      <c r="AP2114" s="1131"/>
      <c r="AQ2114" s="1131"/>
      <c r="AR2114" s="1131"/>
      <c r="AS2114" s="1133"/>
      <c r="AT2114" s="1197" t="str">
        <f t="shared" si="428"/>
        <v/>
      </c>
      <c r="AU2114" s="1194"/>
      <c r="AV2114" s="662">
        <f>SQRT(($R2114-Infrastructure!J$3)^2+($S2114-Infrastructure!K$3)^2)</f>
        <v>28.90155705</v>
      </c>
      <c r="AW2114" s="641">
        <f>SQRT(($R2114-Infrastructure!J$4)^2+($S2114-Infrastructure!K$4)^2)</f>
        <v>17.80252791</v>
      </c>
      <c r="AX2114" s="641">
        <f>SQRT(($R2114-Infrastructure!J$5)^2+($S2114-Infrastructure!K$5)^2)</f>
        <v>5.10881591</v>
      </c>
      <c r="AY2114" s="641">
        <f>SQRT(($R2114-Infrastructure!J$6)^2+($S2114-Infrastructure!K$6)^2)</f>
        <v>10.10445446</v>
      </c>
      <c r="AZ2114" s="641">
        <f>SQRT(($R2114-Infrastructure!J$7)^2+($S2114-Infrastructure!K$7)^2)</f>
        <v>20.502195</v>
      </c>
      <c r="BA2114" s="641">
        <f>SQRT(($R2114-Infrastructure!J$8)^2+($S2114-Infrastructure!K$8)^2)</f>
        <v>30.10149498</v>
      </c>
      <c r="BB2114" s="641">
        <f>SQRT(($R2114-Infrastructure!J$9)^2+($S2114-Infrastructure!K$9)^2)</f>
        <v>40.3238143</v>
      </c>
      <c r="BC2114" s="641">
        <f>SQRT(($R2114-Infrastructure!J$10)^2+($S2114-Infrastructure!K$10)^2)</f>
        <v>42.72001873</v>
      </c>
      <c r="BD2114" s="641">
        <f>SQRT(($R2114-Infrastructure!J$11)^2+($S2114-Infrastructure!K$11)^2)</f>
        <v>49.56853841</v>
      </c>
      <c r="BE2114" s="642">
        <f>SQRT(($R2114-Infrastructure!J$12)^2+($S2114-Infrastructure!K$12)^2)</f>
        <v>59.51890456</v>
      </c>
      <c r="BF2114" s="662">
        <f t="shared" si="161"/>
        <v>5.10881591</v>
      </c>
      <c r="BG2114" s="642">
        <f t="shared" si="162"/>
        <v>59.51890456</v>
      </c>
      <c r="BH2114" s="1135"/>
      <c r="BI2114" s="663" t="str">
        <f t="shared" ref="BI2114:BR2114" si="1079">IF(ISNUMBER(FIND(BI$3, $CO2114)), "Y", "")</f>
        <v>Y</v>
      </c>
      <c r="BJ2114" s="663" t="str">
        <f t="shared" si="1079"/>
        <v/>
      </c>
      <c r="BK2114" s="663" t="str">
        <f t="shared" si="1079"/>
        <v>Y</v>
      </c>
      <c r="BL2114" s="663" t="str">
        <f t="shared" si="1079"/>
        <v>Y</v>
      </c>
      <c r="BM2114" s="663" t="str">
        <f t="shared" si="1079"/>
        <v/>
      </c>
      <c r="BN2114" s="663" t="str">
        <f t="shared" si="1079"/>
        <v>Y</v>
      </c>
      <c r="BO2114" s="663" t="str">
        <f t="shared" si="1079"/>
        <v/>
      </c>
      <c r="BP2114" s="663" t="str">
        <f t="shared" si="1079"/>
        <v/>
      </c>
      <c r="BQ2114" s="663" t="str">
        <f t="shared" si="1079"/>
        <v>Y</v>
      </c>
      <c r="BR2114" s="663" t="str">
        <f t="shared" si="1079"/>
        <v>Y</v>
      </c>
      <c r="BS2114" s="662">
        <f t="shared" si="185"/>
        <v>5.10881591</v>
      </c>
      <c r="BT2114" s="641">
        <f t="shared" si="170"/>
        <v>59.51890456</v>
      </c>
      <c r="BU2114" s="937">
        <v>0.6309027777777778</v>
      </c>
      <c r="BV2114" s="930">
        <f t="shared" si="186"/>
        <v>0.002430555556</v>
      </c>
      <c r="BW2114" s="939">
        <v>14.2</v>
      </c>
      <c r="BX2114" s="939">
        <v>46.2</v>
      </c>
      <c r="BY2114" s="641">
        <f t="shared" si="201"/>
        <v>48.33301149</v>
      </c>
      <c r="BZ2114" s="641"/>
      <c r="CA2114" s="635" t="str">
        <f t="shared" ref="CA2114:CJ2114" si="1080">IF(ISNUMBER(FIND(BI$3, $CP2114)), "Y", "")</f>
        <v/>
      </c>
      <c r="CB2114" s="663" t="str">
        <f t="shared" si="1080"/>
        <v/>
      </c>
      <c r="CC2114" s="663" t="str">
        <f t="shared" si="1080"/>
        <v/>
      </c>
      <c r="CD2114" s="663" t="str">
        <f t="shared" si="1080"/>
        <v/>
      </c>
      <c r="CE2114" s="663" t="str">
        <f t="shared" si="1080"/>
        <v/>
      </c>
      <c r="CF2114" s="663" t="str">
        <f t="shared" si="1080"/>
        <v/>
      </c>
      <c r="CG2114" s="663" t="str">
        <f t="shared" si="1080"/>
        <v/>
      </c>
      <c r="CH2114" s="663" t="str">
        <f t="shared" si="1080"/>
        <v/>
      </c>
      <c r="CI2114" s="663" t="str">
        <f t="shared" si="1080"/>
        <v/>
      </c>
      <c r="CJ2114" s="663" t="str">
        <f t="shared" si="1080"/>
        <v/>
      </c>
      <c r="CK2114" s="743">
        <f t="shared" si="182"/>
        <v>0</v>
      </c>
      <c r="CL2114" s="642">
        <f t="shared" si="183"/>
        <v>0</v>
      </c>
      <c r="CM2114" s="1090"/>
      <c r="CN2114" s="1036" t="s">
        <v>3139</v>
      </c>
      <c r="CO2114" s="1036" t="s">
        <v>2523</v>
      </c>
      <c r="CP2114" s="1036"/>
    </row>
    <row r="2115">
      <c r="A2115" s="1257" t="s">
        <v>137</v>
      </c>
      <c r="B2115" s="1113" t="s">
        <v>1792</v>
      </c>
      <c r="C2115" s="1107">
        <v>45621.0</v>
      </c>
      <c r="D2115" s="1113" t="s">
        <v>986</v>
      </c>
      <c r="E2115" s="1108">
        <v>8.0</v>
      </c>
      <c r="F2115" s="112" t="s">
        <v>3141</v>
      </c>
      <c r="G2115" s="1110">
        <v>0.39861111111111114</v>
      </c>
      <c r="H2115" s="1110">
        <v>0.3993055555555556</v>
      </c>
      <c r="I2115" s="1110"/>
      <c r="J2115" s="1111"/>
      <c r="K2115" s="1111">
        <v>0.6458333333333334</v>
      </c>
      <c r="L2115" s="1112">
        <v>0.2465277777777778</v>
      </c>
      <c r="M2115" s="1113" t="s">
        <v>166</v>
      </c>
      <c r="N2115" s="110" t="s">
        <v>187</v>
      </c>
      <c r="O2115" s="1115" t="s">
        <v>207</v>
      </c>
      <c r="P2115" s="1115" t="s">
        <v>226</v>
      </c>
      <c r="Q2115" s="1116"/>
      <c r="R2115" s="120">
        <v>26.0</v>
      </c>
      <c r="S2115" s="1113">
        <v>13.3</v>
      </c>
      <c r="T2115" s="110">
        <v>0.1</v>
      </c>
      <c r="U2115" s="1108">
        <v>0.6</v>
      </c>
      <c r="V2115" s="1108"/>
      <c r="W2115" s="1108"/>
      <c r="X2115" s="1108"/>
      <c r="Y2115" s="1108"/>
      <c r="Z2115" s="1114" t="s">
        <v>374</v>
      </c>
      <c r="AA2115" s="1114"/>
      <c r="AB2115" s="1114" t="s">
        <v>380</v>
      </c>
      <c r="AC2115" s="1117">
        <v>4.0</v>
      </c>
      <c r="AD2115" s="1115"/>
      <c r="AE2115" s="1115"/>
      <c r="AF2115" s="1115"/>
      <c r="AG2115" s="1115"/>
      <c r="AH2115" s="1115"/>
      <c r="AI2115" s="1115"/>
      <c r="AJ2115" s="1117"/>
      <c r="AK2115" s="1118"/>
      <c r="AL2115" s="1115"/>
      <c r="AM2115" s="1115"/>
      <c r="AN2115" s="1115"/>
      <c r="AO2115" s="1115"/>
      <c r="AP2115" s="1115"/>
      <c r="AQ2115" s="1115"/>
      <c r="AR2115" s="1115"/>
      <c r="AS2115" s="1117"/>
      <c r="AT2115" s="1196" t="str">
        <f t="shared" si="428"/>
        <v>0-1</v>
      </c>
      <c r="AU2115" s="1193"/>
      <c r="AV2115" s="330">
        <f>SQRT(($R2115-Infrastructure!J$3)^2+($S2115-Infrastructure!K$3)^2)</f>
        <v>30.57858728</v>
      </c>
      <c r="AW2115" s="331">
        <f>SQRT(($R2115-Infrastructure!J$4)^2+($S2115-Infrastructure!K$4)^2)</f>
        <v>26.68220381</v>
      </c>
      <c r="AX2115" s="331">
        <f>SQRT(($R2115-Infrastructure!J$5)^2+($S2115-Infrastructure!K$5)^2)</f>
        <v>27.54868418</v>
      </c>
      <c r="AY2115" s="331">
        <f>SQRT(($R2115-Infrastructure!J$6)^2+($S2115-Infrastructure!K$6)^2)</f>
        <v>20.53801354</v>
      </c>
      <c r="AZ2115" s="331">
        <f>SQRT(($R2115-Infrastructure!J$7)^2+($S2115-Infrastructure!K$7)^2)</f>
        <v>14.11559421</v>
      </c>
      <c r="BA2115" s="331">
        <f>SQRT(($R2115-Infrastructure!J$8)^2+($S2115-Infrastructure!K$8)^2)</f>
        <v>13.63121418</v>
      </c>
      <c r="BB2115" s="331">
        <f>SQRT(($R2115-Infrastructure!J$9)^2+($S2115-Infrastructure!K$9)^2)</f>
        <v>16.22467257</v>
      </c>
      <c r="BC2115" s="331">
        <f>SQRT(($R2115-Infrastructure!J$10)^2+($S2115-Infrastructure!K$10)^2)</f>
        <v>14.10283659</v>
      </c>
      <c r="BD2115" s="331">
        <f>SQRT(($R2115-Infrastructure!J$11)^2+($S2115-Infrastructure!K$11)^2)</f>
        <v>21.16908123</v>
      </c>
      <c r="BE2115" s="333">
        <f>SQRT(($R2115-Infrastructure!J$12)^2+($S2115-Infrastructure!K$12)^2)</f>
        <v>42.4392507</v>
      </c>
      <c r="BF2115" s="330">
        <f t="shared" si="161"/>
        <v>13.63121418</v>
      </c>
      <c r="BG2115" s="333">
        <f t="shared" si="162"/>
        <v>42.4392507</v>
      </c>
      <c r="BH2115" s="1119"/>
      <c r="BI2115" s="319" t="str">
        <f t="shared" ref="BI2115:BR2115" si="1081">IF(ISNUMBER(FIND(BI$3, $CO2115)), "Y", "")</f>
        <v/>
      </c>
      <c r="BJ2115" s="319" t="str">
        <f t="shared" si="1081"/>
        <v/>
      </c>
      <c r="BK2115" s="319" t="str">
        <f t="shared" si="1081"/>
        <v/>
      </c>
      <c r="BL2115" s="319" t="str">
        <f t="shared" si="1081"/>
        <v/>
      </c>
      <c r="BM2115" s="319" t="str">
        <f t="shared" si="1081"/>
        <v/>
      </c>
      <c r="BN2115" s="319" t="str">
        <f t="shared" si="1081"/>
        <v/>
      </c>
      <c r="BO2115" s="319" t="str">
        <f t="shared" si="1081"/>
        <v/>
      </c>
      <c r="BP2115" s="319" t="str">
        <f t="shared" si="1081"/>
        <v/>
      </c>
      <c r="BQ2115" s="319" t="str">
        <f t="shared" si="1081"/>
        <v/>
      </c>
      <c r="BR2115" s="319" t="str">
        <f t="shared" si="1081"/>
        <v/>
      </c>
      <c r="BS2115" s="330">
        <f t="shared" si="185"/>
        <v>0</v>
      </c>
      <c r="BT2115" s="331">
        <f t="shared" si="170"/>
        <v>0</v>
      </c>
      <c r="BU2115" s="920"/>
      <c r="BV2115" s="903" t="str">
        <f t="shared" si="186"/>
        <v/>
      </c>
      <c r="BW2115" s="908"/>
      <c r="BX2115" s="908"/>
      <c r="BY2115" s="331" t="b">
        <f t="shared" si="201"/>
        <v>0</v>
      </c>
      <c r="BZ2115" s="331"/>
      <c r="CA2115" s="462" t="str">
        <f t="shared" ref="CA2115:CJ2115" si="1082">IF(ISNUMBER(FIND(BI$3, $CP2115)), "Y", "")</f>
        <v/>
      </c>
      <c r="CB2115" s="319" t="str">
        <f t="shared" si="1082"/>
        <v/>
      </c>
      <c r="CC2115" s="319" t="str">
        <f t="shared" si="1082"/>
        <v/>
      </c>
      <c r="CD2115" s="319" t="str">
        <f t="shared" si="1082"/>
        <v/>
      </c>
      <c r="CE2115" s="319" t="str">
        <f t="shared" si="1082"/>
        <v/>
      </c>
      <c r="CF2115" s="319" t="str">
        <f t="shared" si="1082"/>
        <v/>
      </c>
      <c r="CG2115" s="319" t="str">
        <f t="shared" si="1082"/>
        <v/>
      </c>
      <c r="CH2115" s="319" t="str">
        <f t="shared" si="1082"/>
        <v/>
      </c>
      <c r="CI2115" s="319" t="str">
        <f t="shared" si="1082"/>
        <v/>
      </c>
      <c r="CJ2115" s="319" t="str">
        <f t="shared" si="1082"/>
        <v/>
      </c>
      <c r="CK2115" s="342">
        <f t="shared" si="182"/>
        <v>0</v>
      </c>
      <c r="CL2115" s="333">
        <f t="shared" si="183"/>
        <v>0</v>
      </c>
      <c r="CM2115" s="1079"/>
      <c r="CN2115" s="1005" t="s">
        <v>3142</v>
      </c>
      <c r="CO2115" s="1005"/>
      <c r="CP2115" s="1005"/>
    </row>
    <row r="2116">
      <c r="A2116" s="1258"/>
      <c r="B2116" s="1129" t="s">
        <v>1792</v>
      </c>
      <c r="C2116" s="1122">
        <v>45621.0</v>
      </c>
      <c r="D2116" s="1123"/>
      <c r="E2116" s="1144"/>
      <c r="F2116" s="108" t="s">
        <v>3143</v>
      </c>
      <c r="G2116" s="1126">
        <v>0.6482638888888889</v>
      </c>
      <c r="H2116" s="1145"/>
      <c r="I2116" s="1145"/>
      <c r="J2116" s="1146"/>
      <c r="K2116" s="1127">
        <v>0.6489583333333333</v>
      </c>
      <c r="L2116" s="1128">
        <v>6.944444444444445E-4</v>
      </c>
      <c r="M2116" s="1129" t="s">
        <v>166</v>
      </c>
      <c r="N2116" s="100" t="s">
        <v>188</v>
      </c>
      <c r="O2116" s="1161"/>
      <c r="P2116" s="1131" t="s">
        <v>292</v>
      </c>
      <c r="Q2116" s="1132"/>
      <c r="R2116" s="1148"/>
      <c r="S2116" s="1129"/>
      <c r="T2116" s="1150"/>
      <c r="U2116" s="1124" t="s">
        <v>323</v>
      </c>
      <c r="V2116" s="1124"/>
      <c r="W2116" s="1124"/>
      <c r="X2116" s="1124"/>
      <c r="Y2116" s="1124"/>
      <c r="Z2116" s="1130" t="s">
        <v>323</v>
      </c>
      <c r="AA2116" s="1130"/>
      <c r="AB2116" s="1130" t="s">
        <v>323</v>
      </c>
      <c r="AC2116" s="1133" t="s">
        <v>323</v>
      </c>
      <c r="AD2116" s="1131"/>
      <c r="AE2116" s="1131"/>
      <c r="AF2116" s="1131"/>
      <c r="AG2116" s="1131"/>
      <c r="AH2116" s="1131"/>
      <c r="AI2116" s="1131"/>
      <c r="AJ2116" s="1133"/>
      <c r="AK2116" s="1134"/>
      <c r="AL2116" s="1131"/>
      <c r="AM2116" s="1131"/>
      <c r="AN2116" s="1131"/>
      <c r="AO2116" s="1131"/>
      <c r="AP2116" s="1131"/>
      <c r="AQ2116" s="1131"/>
      <c r="AR2116" s="1131"/>
      <c r="AS2116" s="1133"/>
      <c r="AT2116" s="1197" t="str">
        <f t="shared" si="428"/>
        <v/>
      </c>
      <c r="AU2116" s="1194"/>
      <c r="AV2116" s="662">
        <f>SQRT(($R2116-Infrastructure!J$3)^2+($S2116-Infrastructure!K$3)^2)</f>
        <v>28.90155705</v>
      </c>
      <c r="AW2116" s="641">
        <f>SQRT(($R2116-Infrastructure!J$4)^2+($S2116-Infrastructure!K$4)^2)</f>
        <v>17.80252791</v>
      </c>
      <c r="AX2116" s="641">
        <f>SQRT(($R2116-Infrastructure!J$5)^2+($S2116-Infrastructure!K$5)^2)</f>
        <v>5.10881591</v>
      </c>
      <c r="AY2116" s="641">
        <f>SQRT(($R2116-Infrastructure!J$6)^2+($S2116-Infrastructure!K$6)^2)</f>
        <v>10.10445446</v>
      </c>
      <c r="AZ2116" s="641">
        <f>SQRT(($R2116-Infrastructure!J$7)^2+($S2116-Infrastructure!K$7)^2)</f>
        <v>20.502195</v>
      </c>
      <c r="BA2116" s="641">
        <f>SQRT(($R2116-Infrastructure!J$8)^2+($S2116-Infrastructure!K$8)^2)</f>
        <v>30.10149498</v>
      </c>
      <c r="BB2116" s="641">
        <f>SQRT(($R2116-Infrastructure!J$9)^2+($S2116-Infrastructure!K$9)^2)</f>
        <v>40.3238143</v>
      </c>
      <c r="BC2116" s="641">
        <f>SQRT(($R2116-Infrastructure!J$10)^2+($S2116-Infrastructure!K$10)^2)</f>
        <v>42.72001873</v>
      </c>
      <c r="BD2116" s="641">
        <f>SQRT(($R2116-Infrastructure!J$11)^2+($S2116-Infrastructure!K$11)^2)</f>
        <v>49.56853841</v>
      </c>
      <c r="BE2116" s="642">
        <f>SQRT(($R2116-Infrastructure!J$12)^2+($S2116-Infrastructure!K$12)^2)</f>
        <v>59.51890456</v>
      </c>
      <c r="BF2116" s="662">
        <f t="shared" si="161"/>
        <v>5.10881591</v>
      </c>
      <c r="BG2116" s="642">
        <f t="shared" si="162"/>
        <v>59.51890456</v>
      </c>
      <c r="BH2116" s="1135"/>
      <c r="BI2116" s="663" t="str">
        <f t="shared" ref="BI2116:BR2116" si="1083">IF(ISNUMBER(FIND(BI$3, $CO2116)), "Y", "")</f>
        <v>Y</v>
      </c>
      <c r="BJ2116" s="663" t="str">
        <f t="shared" si="1083"/>
        <v/>
      </c>
      <c r="BK2116" s="663" t="str">
        <f t="shared" si="1083"/>
        <v>Y</v>
      </c>
      <c r="BL2116" s="663" t="str">
        <f t="shared" si="1083"/>
        <v/>
      </c>
      <c r="BM2116" s="663" t="str">
        <f t="shared" si="1083"/>
        <v/>
      </c>
      <c r="BN2116" s="663" t="str">
        <f t="shared" si="1083"/>
        <v>Y</v>
      </c>
      <c r="BO2116" s="663" t="str">
        <f t="shared" si="1083"/>
        <v/>
      </c>
      <c r="BP2116" s="663" t="str">
        <f t="shared" si="1083"/>
        <v/>
      </c>
      <c r="BQ2116" s="663" t="str">
        <f t="shared" si="1083"/>
        <v>Y</v>
      </c>
      <c r="BR2116" s="663" t="str">
        <f t="shared" si="1083"/>
        <v>Y</v>
      </c>
      <c r="BS2116" s="662">
        <f t="shared" si="185"/>
        <v>5.10881591</v>
      </c>
      <c r="BT2116" s="641">
        <f t="shared" si="170"/>
        <v>59.51890456</v>
      </c>
      <c r="BU2116" s="937">
        <v>0.648900462962963</v>
      </c>
      <c r="BV2116" s="930">
        <f t="shared" si="186"/>
        <v>0.0006365740741</v>
      </c>
      <c r="BW2116" s="939">
        <v>17.0</v>
      </c>
      <c r="BX2116" s="939">
        <v>40.5</v>
      </c>
      <c r="BY2116" s="641">
        <f t="shared" si="201"/>
        <v>43.92322848</v>
      </c>
      <c r="BZ2116" s="641"/>
      <c r="CA2116" s="635" t="str">
        <f t="shared" ref="CA2116:CJ2116" si="1084">IF(ISNUMBER(FIND(BI$3, $CP2116)), "Y", "")</f>
        <v/>
      </c>
      <c r="CB2116" s="663" t="str">
        <f t="shared" si="1084"/>
        <v/>
      </c>
      <c r="CC2116" s="663" t="str">
        <f t="shared" si="1084"/>
        <v/>
      </c>
      <c r="CD2116" s="663" t="str">
        <f t="shared" si="1084"/>
        <v/>
      </c>
      <c r="CE2116" s="663" t="str">
        <f t="shared" si="1084"/>
        <v/>
      </c>
      <c r="CF2116" s="663" t="str">
        <f t="shared" si="1084"/>
        <v/>
      </c>
      <c r="CG2116" s="663" t="str">
        <f t="shared" si="1084"/>
        <v/>
      </c>
      <c r="CH2116" s="663" t="str">
        <f t="shared" si="1084"/>
        <v/>
      </c>
      <c r="CI2116" s="663" t="str">
        <f t="shared" si="1084"/>
        <v/>
      </c>
      <c r="CJ2116" s="663" t="str">
        <f t="shared" si="1084"/>
        <v/>
      </c>
      <c r="CK2116" s="743">
        <f t="shared" si="182"/>
        <v>0</v>
      </c>
      <c r="CL2116" s="642">
        <f t="shared" si="183"/>
        <v>0</v>
      </c>
      <c r="CM2116" s="1090"/>
      <c r="CN2116" s="1036" t="s">
        <v>3144</v>
      </c>
      <c r="CO2116" s="1036" t="s">
        <v>2364</v>
      </c>
      <c r="CP2116" s="1036"/>
    </row>
    <row r="2117">
      <c r="A2117" s="1257" t="s">
        <v>138</v>
      </c>
      <c r="B2117" s="1113" t="s">
        <v>1792</v>
      </c>
      <c r="C2117" s="1107">
        <v>45622.0</v>
      </c>
      <c r="D2117" s="1113" t="s">
        <v>986</v>
      </c>
      <c r="E2117" s="1108">
        <v>9.0</v>
      </c>
      <c r="F2117" s="112" t="s">
        <v>3145</v>
      </c>
      <c r="G2117" s="1110">
        <v>0.3746527777777778</v>
      </c>
      <c r="H2117" s="1110">
        <v>0.375</v>
      </c>
      <c r="I2117" s="1110"/>
      <c r="J2117" s="1111"/>
      <c r="K2117" s="1111">
        <v>0.41805555555555557</v>
      </c>
      <c r="L2117" s="1112">
        <v>0.043055555555555555</v>
      </c>
      <c r="M2117" s="1113" t="s">
        <v>166</v>
      </c>
      <c r="N2117" s="110" t="s">
        <v>187</v>
      </c>
      <c r="O2117" s="1115" t="s">
        <v>207</v>
      </c>
      <c r="P2117" s="1115" t="s">
        <v>226</v>
      </c>
      <c r="Q2117" s="1116"/>
      <c r="R2117" s="120">
        <v>26.0</v>
      </c>
      <c r="S2117" s="1113">
        <v>13.3</v>
      </c>
      <c r="T2117" s="110">
        <v>0.1</v>
      </c>
      <c r="U2117" s="1108">
        <v>0.5</v>
      </c>
      <c r="V2117" s="1108"/>
      <c r="W2117" s="1108"/>
      <c r="X2117" s="1108"/>
      <c r="Y2117" s="1108"/>
      <c r="Z2117" s="1114" t="s">
        <v>374</v>
      </c>
      <c r="AA2117" s="1114"/>
      <c r="AB2117" s="1114" t="s">
        <v>380</v>
      </c>
      <c r="AC2117" s="1117">
        <v>4.0</v>
      </c>
      <c r="AD2117" s="1115"/>
      <c r="AE2117" s="1115"/>
      <c r="AF2117" s="1115"/>
      <c r="AG2117" s="1115"/>
      <c r="AH2117" s="1115"/>
      <c r="AI2117" s="1115"/>
      <c r="AJ2117" s="1117"/>
      <c r="AK2117" s="1118"/>
      <c r="AL2117" s="1115"/>
      <c r="AM2117" s="1115"/>
      <c r="AN2117" s="1115"/>
      <c r="AO2117" s="1115"/>
      <c r="AP2117" s="1115"/>
      <c r="AQ2117" s="1115"/>
      <c r="AR2117" s="1115"/>
      <c r="AS2117" s="1117"/>
      <c r="AT2117" s="1196" t="str">
        <f t="shared" si="428"/>
        <v>0-1</v>
      </c>
      <c r="AU2117" s="1193"/>
      <c r="AV2117" s="330">
        <f>SQRT(($R2117-Infrastructure!J$3)^2+($S2117-Infrastructure!K$3)^2)</f>
        <v>30.57858728</v>
      </c>
      <c r="AW2117" s="331">
        <f>SQRT(($R2117-Infrastructure!J$4)^2+($S2117-Infrastructure!K$4)^2)</f>
        <v>26.68220381</v>
      </c>
      <c r="AX2117" s="331">
        <f>SQRT(($R2117-Infrastructure!J$5)^2+($S2117-Infrastructure!K$5)^2)</f>
        <v>27.54868418</v>
      </c>
      <c r="AY2117" s="331">
        <f>SQRT(($R2117-Infrastructure!J$6)^2+($S2117-Infrastructure!K$6)^2)</f>
        <v>20.53801354</v>
      </c>
      <c r="AZ2117" s="331">
        <f>SQRT(($R2117-Infrastructure!J$7)^2+($S2117-Infrastructure!K$7)^2)</f>
        <v>14.11559421</v>
      </c>
      <c r="BA2117" s="331">
        <f>SQRT(($R2117-Infrastructure!J$8)^2+($S2117-Infrastructure!K$8)^2)</f>
        <v>13.63121418</v>
      </c>
      <c r="BB2117" s="331">
        <f>SQRT(($R2117-Infrastructure!J$9)^2+($S2117-Infrastructure!K$9)^2)</f>
        <v>16.22467257</v>
      </c>
      <c r="BC2117" s="331">
        <f>SQRT(($R2117-Infrastructure!J$10)^2+($S2117-Infrastructure!K$10)^2)</f>
        <v>14.10283659</v>
      </c>
      <c r="BD2117" s="331">
        <f>SQRT(($R2117-Infrastructure!J$11)^2+($S2117-Infrastructure!K$11)^2)</f>
        <v>21.16908123</v>
      </c>
      <c r="BE2117" s="333">
        <f>SQRT(($R2117-Infrastructure!J$12)^2+($S2117-Infrastructure!K$12)^2)</f>
        <v>42.4392507</v>
      </c>
      <c r="BF2117" s="330">
        <f t="shared" si="161"/>
        <v>13.63121418</v>
      </c>
      <c r="BG2117" s="333">
        <f t="shared" si="162"/>
        <v>42.4392507</v>
      </c>
      <c r="BH2117" s="1119"/>
      <c r="BI2117" s="319" t="str">
        <f t="shared" ref="BI2117:BR2117" si="1085">IF(ISNUMBER(FIND(BI$3, $CO2117)), "Y", "")</f>
        <v/>
      </c>
      <c r="BJ2117" s="319" t="str">
        <f t="shared" si="1085"/>
        <v/>
      </c>
      <c r="BK2117" s="319" t="str">
        <f t="shared" si="1085"/>
        <v/>
      </c>
      <c r="BL2117" s="319" t="str">
        <f t="shared" si="1085"/>
        <v/>
      </c>
      <c r="BM2117" s="319" t="str">
        <f t="shared" si="1085"/>
        <v/>
      </c>
      <c r="BN2117" s="319" t="str">
        <f t="shared" si="1085"/>
        <v/>
      </c>
      <c r="BO2117" s="319" t="str">
        <f t="shared" si="1085"/>
        <v/>
      </c>
      <c r="BP2117" s="319" t="str">
        <f t="shared" si="1085"/>
        <v/>
      </c>
      <c r="BQ2117" s="319" t="str">
        <f t="shared" si="1085"/>
        <v/>
      </c>
      <c r="BR2117" s="319" t="str">
        <f t="shared" si="1085"/>
        <v/>
      </c>
      <c r="BS2117" s="330">
        <f t="shared" si="185"/>
        <v>0</v>
      </c>
      <c r="BT2117" s="331">
        <f t="shared" si="170"/>
        <v>0</v>
      </c>
      <c r="BU2117" s="920"/>
      <c r="BV2117" s="903" t="str">
        <f t="shared" si="186"/>
        <v/>
      </c>
      <c r="BW2117" s="908"/>
      <c r="BX2117" s="908"/>
      <c r="BY2117" s="331" t="b">
        <f t="shared" si="201"/>
        <v>0</v>
      </c>
      <c r="BZ2117" s="331"/>
      <c r="CA2117" s="462" t="str">
        <f t="shared" ref="CA2117:CJ2117" si="1086">IF(ISNUMBER(FIND(BI$3, $CP2117)), "Y", "")</f>
        <v/>
      </c>
      <c r="CB2117" s="319" t="str">
        <f t="shared" si="1086"/>
        <v/>
      </c>
      <c r="CC2117" s="319" t="str">
        <f t="shared" si="1086"/>
        <v/>
      </c>
      <c r="CD2117" s="319" t="str">
        <f t="shared" si="1086"/>
        <v/>
      </c>
      <c r="CE2117" s="319" t="str">
        <f t="shared" si="1086"/>
        <v/>
      </c>
      <c r="CF2117" s="319" t="str">
        <f t="shared" si="1086"/>
        <v/>
      </c>
      <c r="CG2117" s="319" t="str">
        <f t="shared" si="1086"/>
        <v/>
      </c>
      <c r="CH2117" s="319" t="str">
        <f t="shared" si="1086"/>
        <v/>
      </c>
      <c r="CI2117" s="319" t="str">
        <f t="shared" si="1086"/>
        <v/>
      </c>
      <c r="CJ2117" s="319" t="str">
        <f t="shared" si="1086"/>
        <v/>
      </c>
      <c r="CK2117" s="342">
        <f t="shared" si="182"/>
        <v>0</v>
      </c>
      <c r="CL2117" s="333">
        <f t="shared" si="183"/>
        <v>0</v>
      </c>
      <c r="CM2117" s="1079"/>
      <c r="CN2117" s="1005" t="s">
        <v>3146</v>
      </c>
      <c r="CO2117" s="1005"/>
      <c r="CP2117" s="1005"/>
    </row>
    <row r="2118">
      <c r="A2118" s="266"/>
      <c r="B2118" s="1113" t="s">
        <v>1792</v>
      </c>
      <c r="C2118" s="1107">
        <v>45622.0</v>
      </c>
      <c r="D2118" s="1113" t="s">
        <v>986</v>
      </c>
      <c r="E2118" s="1108">
        <v>10.0</v>
      </c>
      <c r="F2118" s="112" t="s">
        <v>3147</v>
      </c>
      <c r="G2118" s="1110">
        <v>0.5829861111111111</v>
      </c>
      <c r="H2118" s="1110">
        <v>0.5833333333333334</v>
      </c>
      <c r="I2118" s="1110"/>
      <c r="J2118" s="1111"/>
      <c r="K2118" s="1111">
        <v>0.6277777777777778</v>
      </c>
      <c r="L2118" s="1112">
        <v>0.044444444444444446</v>
      </c>
      <c r="M2118" s="1113" t="s">
        <v>166</v>
      </c>
      <c r="N2118" s="110" t="s">
        <v>187</v>
      </c>
      <c r="O2118" s="1115" t="s">
        <v>207</v>
      </c>
      <c r="P2118" s="1115" t="s">
        <v>226</v>
      </c>
      <c r="Q2118" s="1116"/>
      <c r="R2118" s="120">
        <v>26.0</v>
      </c>
      <c r="S2118" s="1113">
        <v>13.3</v>
      </c>
      <c r="T2118" s="110">
        <v>0.1</v>
      </c>
      <c r="U2118" s="1108">
        <v>0.5</v>
      </c>
      <c r="V2118" s="1108"/>
      <c r="W2118" s="1108"/>
      <c r="X2118" s="1108"/>
      <c r="Y2118" s="1108"/>
      <c r="Z2118" s="1114" t="s">
        <v>374</v>
      </c>
      <c r="AA2118" s="1114"/>
      <c r="AB2118" s="1114" t="s">
        <v>380</v>
      </c>
      <c r="AC2118" s="1117">
        <v>4.0</v>
      </c>
      <c r="AD2118" s="1115"/>
      <c r="AE2118" s="1115"/>
      <c r="AF2118" s="1115"/>
      <c r="AG2118" s="1115"/>
      <c r="AH2118" s="1115"/>
      <c r="AI2118" s="1115"/>
      <c r="AJ2118" s="1117"/>
      <c r="AK2118" s="1118"/>
      <c r="AL2118" s="1115"/>
      <c r="AM2118" s="1115"/>
      <c r="AN2118" s="1115"/>
      <c r="AO2118" s="1115"/>
      <c r="AP2118" s="1115"/>
      <c r="AQ2118" s="1115"/>
      <c r="AR2118" s="1115"/>
      <c r="AS2118" s="1117"/>
      <c r="AT2118" s="1196" t="str">
        <f t="shared" si="428"/>
        <v>0-1</v>
      </c>
      <c r="AU2118" s="1193"/>
      <c r="AV2118" s="330">
        <f>SQRT(($R2118-Infrastructure!J$3)^2+($S2118-Infrastructure!K$3)^2)</f>
        <v>30.57858728</v>
      </c>
      <c r="AW2118" s="331">
        <f>SQRT(($R2118-Infrastructure!J$4)^2+($S2118-Infrastructure!K$4)^2)</f>
        <v>26.68220381</v>
      </c>
      <c r="AX2118" s="331">
        <f>SQRT(($R2118-Infrastructure!J$5)^2+($S2118-Infrastructure!K$5)^2)</f>
        <v>27.54868418</v>
      </c>
      <c r="AY2118" s="331">
        <f>SQRT(($R2118-Infrastructure!J$6)^2+($S2118-Infrastructure!K$6)^2)</f>
        <v>20.53801354</v>
      </c>
      <c r="AZ2118" s="331">
        <f>SQRT(($R2118-Infrastructure!J$7)^2+($S2118-Infrastructure!K$7)^2)</f>
        <v>14.11559421</v>
      </c>
      <c r="BA2118" s="331">
        <f>SQRT(($R2118-Infrastructure!J$8)^2+($S2118-Infrastructure!K$8)^2)</f>
        <v>13.63121418</v>
      </c>
      <c r="BB2118" s="331">
        <f>SQRT(($R2118-Infrastructure!J$9)^2+($S2118-Infrastructure!K$9)^2)</f>
        <v>16.22467257</v>
      </c>
      <c r="BC2118" s="331">
        <f>SQRT(($R2118-Infrastructure!J$10)^2+($S2118-Infrastructure!K$10)^2)</f>
        <v>14.10283659</v>
      </c>
      <c r="BD2118" s="331">
        <f>SQRT(($R2118-Infrastructure!J$11)^2+($S2118-Infrastructure!K$11)^2)</f>
        <v>21.16908123</v>
      </c>
      <c r="BE2118" s="333">
        <f>SQRT(($R2118-Infrastructure!J$12)^2+($S2118-Infrastructure!K$12)^2)</f>
        <v>42.4392507</v>
      </c>
      <c r="BF2118" s="330">
        <f t="shared" si="161"/>
        <v>13.63121418</v>
      </c>
      <c r="BG2118" s="333">
        <f t="shared" si="162"/>
        <v>42.4392507</v>
      </c>
      <c r="BH2118" s="1119"/>
      <c r="BI2118" s="319" t="str">
        <f t="shared" ref="BI2118:BR2118" si="1087">IF(ISNUMBER(FIND(BI$3, $CO2118)), "Y", "")</f>
        <v/>
      </c>
      <c r="BJ2118" s="319" t="str">
        <f t="shared" si="1087"/>
        <v/>
      </c>
      <c r="BK2118" s="319" t="str">
        <f t="shared" si="1087"/>
        <v/>
      </c>
      <c r="BL2118" s="319" t="str">
        <f t="shared" si="1087"/>
        <v/>
      </c>
      <c r="BM2118" s="319" t="str">
        <f t="shared" si="1087"/>
        <v/>
      </c>
      <c r="BN2118" s="319" t="str">
        <f t="shared" si="1087"/>
        <v/>
      </c>
      <c r="BO2118" s="319" t="str">
        <f t="shared" si="1087"/>
        <v/>
      </c>
      <c r="BP2118" s="319" t="str">
        <f t="shared" si="1087"/>
        <v/>
      </c>
      <c r="BQ2118" s="319" t="str">
        <f t="shared" si="1087"/>
        <v/>
      </c>
      <c r="BR2118" s="319" t="str">
        <f t="shared" si="1087"/>
        <v/>
      </c>
      <c r="BS2118" s="330">
        <f t="shared" si="185"/>
        <v>0</v>
      </c>
      <c r="BT2118" s="331">
        <f t="shared" si="170"/>
        <v>0</v>
      </c>
      <c r="BU2118" s="920"/>
      <c r="BV2118" s="903" t="str">
        <f t="shared" si="186"/>
        <v/>
      </c>
      <c r="BW2118" s="908"/>
      <c r="BX2118" s="908"/>
      <c r="BY2118" s="331" t="b">
        <f t="shared" si="201"/>
        <v>0</v>
      </c>
      <c r="BZ2118" s="331"/>
      <c r="CA2118" s="462" t="str">
        <f t="shared" ref="CA2118:CJ2118" si="1088">IF(ISNUMBER(FIND(BI$3, $CP2118)), "Y", "")</f>
        <v/>
      </c>
      <c r="CB2118" s="319" t="str">
        <f t="shared" si="1088"/>
        <v/>
      </c>
      <c r="CC2118" s="319" t="str">
        <f t="shared" si="1088"/>
        <v/>
      </c>
      <c r="CD2118" s="319" t="str">
        <f t="shared" si="1088"/>
        <v/>
      </c>
      <c r="CE2118" s="319" t="str">
        <f t="shared" si="1088"/>
        <v/>
      </c>
      <c r="CF2118" s="319" t="str">
        <f t="shared" si="1088"/>
        <v/>
      </c>
      <c r="CG2118" s="319" t="str">
        <f t="shared" si="1088"/>
        <v/>
      </c>
      <c r="CH2118" s="319" t="str">
        <f t="shared" si="1088"/>
        <v/>
      </c>
      <c r="CI2118" s="319" t="str">
        <f t="shared" si="1088"/>
        <v/>
      </c>
      <c r="CJ2118" s="319" t="str">
        <f t="shared" si="1088"/>
        <v/>
      </c>
      <c r="CK2118" s="342">
        <f t="shared" si="182"/>
        <v>0</v>
      </c>
      <c r="CL2118" s="333">
        <f t="shared" si="183"/>
        <v>0</v>
      </c>
      <c r="CM2118" s="1079"/>
      <c r="CN2118" s="1005" t="s">
        <v>3148</v>
      </c>
      <c r="CO2118" s="1005"/>
      <c r="CP2118" s="1005"/>
    </row>
    <row r="2119">
      <c r="A2119" s="1258"/>
      <c r="B2119" s="1129" t="s">
        <v>1792</v>
      </c>
      <c r="C2119" s="1122">
        <v>45622.0</v>
      </c>
      <c r="D2119" s="1123"/>
      <c r="E2119" s="1144"/>
      <c r="F2119" s="108" t="s">
        <v>3149</v>
      </c>
      <c r="G2119" s="1126">
        <v>0.7211805555555556</v>
      </c>
      <c r="H2119" s="1145"/>
      <c r="I2119" s="1145"/>
      <c r="J2119" s="1146"/>
      <c r="K2119" s="1127">
        <v>0.721875</v>
      </c>
      <c r="L2119" s="1128">
        <v>6.944444444444445E-4</v>
      </c>
      <c r="M2119" s="1129" t="s">
        <v>166</v>
      </c>
      <c r="N2119" s="100" t="s">
        <v>188</v>
      </c>
      <c r="O2119" s="1161"/>
      <c r="P2119" s="1131" t="s">
        <v>292</v>
      </c>
      <c r="Q2119" s="1132"/>
      <c r="R2119" s="1148"/>
      <c r="S2119" s="1129"/>
      <c r="T2119" s="1150"/>
      <c r="U2119" s="1124" t="s">
        <v>323</v>
      </c>
      <c r="V2119" s="1124"/>
      <c r="W2119" s="1124"/>
      <c r="X2119" s="1124"/>
      <c r="Y2119" s="1124"/>
      <c r="Z2119" s="1130" t="s">
        <v>323</v>
      </c>
      <c r="AA2119" s="1130"/>
      <c r="AB2119" s="1130" t="s">
        <v>323</v>
      </c>
      <c r="AC2119" s="1133" t="s">
        <v>323</v>
      </c>
      <c r="AD2119" s="1131"/>
      <c r="AE2119" s="1131"/>
      <c r="AF2119" s="1131"/>
      <c r="AG2119" s="1131"/>
      <c r="AH2119" s="1131"/>
      <c r="AI2119" s="1131"/>
      <c r="AJ2119" s="1133"/>
      <c r="AK2119" s="1134"/>
      <c r="AL2119" s="1131"/>
      <c r="AM2119" s="1131"/>
      <c r="AN2119" s="1131"/>
      <c r="AO2119" s="1131"/>
      <c r="AP2119" s="1131"/>
      <c r="AQ2119" s="1131"/>
      <c r="AR2119" s="1131"/>
      <c r="AS2119" s="1133"/>
      <c r="AT2119" s="1197" t="str">
        <f t="shared" si="428"/>
        <v/>
      </c>
      <c r="AU2119" s="1194"/>
      <c r="AV2119" s="662">
        <f>SQRT(($R2119-Infrastructure!J$3)^2+($S2119-Infrastructure!K$3)^2)</f>
        <v>28.90155705</v>
      </c>
      <c r="AW2119" s="641">
        <f>SQRT(($R2119-Infrastructure!J$4)^2+($S2119-Infrastructure!K$4)^2)</f>
        <v>17.80252791</v>
      </c>
      <c r="AX2119" s="641">
        <f>SQRT(($R2119-Infrastructure!J$5)^2+($S2119-Infrastructure!K$5)^2)</f>
        <v>5.10881591</v>
      </c>
      <c r="AY2119" s="641">
        <f>SQRT(($R2119-Infrastructure!J$6)^2+($S2119-Infrastructure!K$6)^2)</f>
        <v>10.10445446</v>
      </c>
      <c r="AZ2119" s="641">
        <f>SQRT(($R2119-Infrastructure!J$7)^2+($S2119-Infrastructure!K$7)^2)</f>
        <v>20.502195</v>
      </c>
      <c r="BA2119" s="641">
        <f>SQRT(($R2119-Infrastructure!J$8)^2+($S2119-Infrastructure!K$8)^2)</f>
        <v>30.10149498</v>
      </c>
      <c r="BB2119" s="641">
        <f>SQRT(($R2119-Infrastructure!J$9)^2+($S2119-Infrastructure!K$9)^2)</f>
        <v>40.3238143</v>
      </c>
      <c r="BC2119" s="641">
        <f>SQRT(($R2119-Infrastructure!J$10)^2+($S2119-Infrastructure!K$10)^2)</f>
        <v>42.72001873</v>
      </c>
      <c r="BD2119" s="641">
        <f>SQRT(($R2119-Infrastructure!J$11)^2+($S2119-Infrastructure!K$11)^2)</f>
        <v>49.56853841</v>
      </c>
      <c r="BE2119" s="642">
        <f>SQRT(($R2119-Infrastructure!J$12)^2+($S2119-Infrastructure!K$12)^2)</f>
        <v>59.51890456</v>
      </c>
      <c r="BF2119" s="662">
        <f t="shared" si="161"/>
        <v>5.10881591</v>
      </c>
      <c r="BG2119" s="642">
        <f t="shared" si="162"/>
        <v>59.51890456</v>
      </c>
      <c r="BH2119" s="1135"/>
      <c r="BI2119" s="663" t="str">
        <f t="shared" ref="BI2119:BR2119" si="1089">IF(ISNUMBER(FIND(BI$3, $CO2119)), "Y", "")</f>
        <v>Y</v>
      </c>
      <c r="BJ2119" s="663" t="str">
        <f t="shared" si="1089"/>
        <v/>
      </c>
      <c r="BK2119" s="663" t="str">
        <f t="shared" si="1089"/>
        <v>Y</v>
      </c>
      <c r="BL2119" s="663" t="str">
        <f t="shared" si="1089"/>
        <v>Y</v>
      </c>
      <c r="BM2119" s="663" t="str">
        <f t="shared" si="1089"/>
        <v>Y</v>
      </c>
      <c r="BN2119" s="663" t="str">
        <f t="shared" si="1089"/>
        <v>Y</v>
      </c>
      <c r="BO2119" s="663" t="str">
        <f t="shared" si="1089"/>
        <v>Y</v>
      </c>
      <c r="BP2119" s="663" t="str">
        <f t="shared" si="1089"/>
        <v/>
      </c>
      <c r="BQ2119" s="663" t="str">
        <f t="shared" si="1089"/>
        <v>Y</v>
      </c>
      <c r="BR2119" s="663" t="str">
        <f t="shared" si="1089"/>
        <v>Y</v>
      </c>
      <c r="BS2119" s="662">
        <f t="shared" si="185"/>
        <v>5.10881591</v>
      </c>
      <c r="BT2119" s="641">
        <f t="shared" si="170"/>
        <v>59.51890456</v>
      </c>
      <c r="BU2119" s="937">
        <v>0.7218518518518519</v>
      </c>
      <c r="BV2119" s="930">
        <f t="shared" si="186"/>
        <v>0.0006712962963</v>
      </c>
      <c r="BW2119" s="939">
        <v>8.7</v>
      </c>
      <c r="BX2119" s="939">
        <v>36.7</v>
      </c>
      <c r="BY2119" s="641">
        <f t="shared" si="201"/>
        <v>37.71710487</v>
      </c>
      <c r="BZ2119" s="641"/>
      <c r="CA2119" s="635" t="str">
        <f t="shared" ref="CA2119:CJ2119" si="1090">IF(ISNUMBER(FIND(BI$3, $CP2119)), "Y", "")</f>
        <v/>
      </c>
      <c r="CB2119" s="663" t="str">
        <f t="shared" si="1090"/>
        <v/>
      </c>
      <c r="CC2119" s="663" t="str">
        <f t="shared" si="1090"/>
        <v/>
      </c>
      <c r="CD2119" s="663" t="str">
        <f t="shared" si="1090"/>
        <v/>
      </c>
      <c r="CE2119" s="663" t="str">
        <f t="shared" si="1090"/>
        <v/>
      </c>
      <c r="CF2119" s="663" t="str">
        <f t="shared" si="1090"/>
        <v/>
      </c>
      <c r="CG2119" s="663" t="str">
        <f t="shared" si="1090"/>
        <v/>
      </c>
      <c r="CH2119" s="663" t="str">
        <f t="shared" si="1090"/>
        <v/>
      </c>
      <c r="CI2119" s="663" t="str">
        <f t="shared" si="1090"/>
        <v/>
      </c>
      <c r="CJ2119" s="663" t="str">
        <f t="shared" si="1090"/>
        <v/>
      </c>
      <c r="CK2119" s="743">
        <f t="shared" si="182"/>
        <v>0</v>
      </c>
      <c r="CL2119" s="642">
        <f t="shared" si="183"/>
        <v>0</v>
      </c>
      <c r="CM2119" s="1090"/>
      <c r="CN2119" s="1036" t="s">
        <v>3148</v>
      </c>
      <c r="CO2119" s="1036" t="s">
        <v>2460</v>
      </c>
      <c r="CP2119" s="1036"/>
    </row>
    <row r="2120">
      <c r="A2120" s="1257" t="s">
        <v>139</v>
      </c>
      <c r="B2120" s="1113" t="s">
        <v>1792</v>
      </c>
      <c r="C2120" s="1107">
        <v>45623.0</v>
      </c>
      <c r="D2120" s="1113" t="s">
        <v>986</v>
      </c>
      <c r="E2120" s="1108">
        <v>11.0</v>
      </c>
      <c r="F2120" s="112" t="s">
        <v>3150</v>
      </c>
      <c r="G2120" s="1110">
        <v>0.4164351851851852</v>
      </c>
      <c r="H2120" s="1110">
        <v>0.4166666666666667</v>
      </c>
      <c r="I2120" s="1110"/>
      <c r="J2120" s="1111"/>
      <c r="K2120" s="1111">
        <v>0.4638888888888889</v>
      </c>
      <c r="L2120" s="1112">
        <v>0.04722222222222222</v>
      </c>
      <c r="M2120" s="1113" t="s">
        <v>166</v>
      </c>
      <c r="N2120" s="110" t="s">
        <v>187</v>
      </c>
      <c r="O2120" s="1115" t="s">
        <v>206</v>
      </c>
      <c r="P2120" s="1115" t="s">
        <v>296</v>
      </c>
      <c r="Q2120" s="1116"/>
      <c r="R2120" s="120">
        <v>22.0</v>
      </c>
      <c r="S2120" s="1113">
        <v>11.4</v>
      </c>
      <c r="T2120" s="110">
        <v>0.6</v>
      </c>
      <c r="U2120" s="1108">
        <v>0.5</v>
      </c>
      <c r="V2120" s="1108"/>
      <c r="W2120" s="1108"/>
      <c r="X2120" s="1108"/>
      <c r="Y2120" s="1108"/>
      <c r="Z2120" s="1114" t="s">
        <v>347</v>
      </c>
      <c r="AA2120" s="1114"/>
      <c r="AB2120" s="1114" t="s">
        <v>384</v>
      </c>
      <c r="AC2120" s="1117">
        <v>6.0</v>
      </c>
      <c r="AD2120" s="1115"/>
      <c r="AE2120" s="1115"/>
      <c r="AF2120" s="1115"/>
      <c r="AG2120" s="1115"/>
      <c r="AH2120" s="1115"/>
      <c r="AI2120" s="1115"/>
      <c r="AJ2120" s="1117"/>
      <c r="AK2120" s="1118"/>
      <c r="AL2120" s="1115"/>
      <c r="AM2120" s="1115"/>
      <c r="AN2120" s="1115"/>
      <c r="AO2120" s="1115"/>
      <c r="AP2120" s="1115"/>
      <c r="AQ2120" s="1115"/>
      <c r="AR2120" s="1115"/>
      <c r="AS2120" s="1117"/>
      <c r="AT2120" s="1196" t="str">
        <f t="shared" si="428"/>
        <v>0-1</v>
      </c>
      <c r="AU2120" s="1193"/>
      <c r="AV2120" s="330">
        <f>SQRT(($R2120-Infrastructure!J$3)^2+($S2120-Infrastructure!K$3)^2)</f>
        <v>28.34678112</v>
      </c>
      <c r="AW2120" s="331">
        <f>SQRT(($R2120-Infrastructure!J$4)^2+($S2120-Infrastructure!K$4)^2)</f>
        <v>23.20021552</v>
      </c>
      <c r="AX2120" s="331">
        <f>SQRT(($R2120-Infrastructure!J$5)^2+($S2120-Infrastructure!K$5)^2)</f>
        <v>23.17282892</v>
      </c>
      <c r="AY2120" s="331">
        <f>SQRT(($R2120-Infrastructure!J$6)^2+($S2120-Infrastructure!K$6)^2)</f>
        <v>16.273291</v>
      </c>
      <c r="AZ2120" s="331">
        <f>SQRT(($R2120-Infrastructure!J$7)^2+($S2120-Infrastructure!K$7)^2)</f>
        <v>11.20089282</v>
      </c>
      <c r="BA2120" s="331">
        <f>SQRT(($R2120-Infrastructure!J$8)^2+($S2120-Infrastructure!K$8)^2)</f>
        <v>13.74117899</v>
      </c>
      <c r="BB2120" s="331">
        <f>SQRT(($R2120-Infrastructure!J$9)^2+($S2120-Infrastructure!K$9)^2)</f>
        <v>19.07065809</v>
      </c>
      <c r="BC2120" s="331">
        <f>SQRT(($R2120-Infrastructure!J$10)^2+($S2120-Infrastructure!K$10)^2)</f>
        <v>18.35647025</v>
      </c>
      <c r="BD2120" s="331">
        <f>SQRT(($R2120-Infrastructure!J$11)^2+($S2120-Infrastructure!K$11)^2)</f>
        <v>25.3179778</v>
      </c>
      <c r="BE2120" s="333">
        <f>SQRT(($R2120-Infrastructure!J$12)^2+($S2120-Infrastructure!K$12)^2)</f>
        <v>44.10283438</v>
      </c>
      <c r="BF2120" s="330">
        <f t="shared" si="161"/>
        <v>11.20089282</v>
      </c>
      <c r="BG2120" s="333">
        <f t="shared" si="162"/>
        <v>44.10283438</v>
      </c>
      <c r="BH2120" s="1119"/>
      <c r="BI2120" s="319" t="str">
        <f t="shared" ref="BI2120:BR2120" si="1091">IF(ISNUMBER(FIND(BI$3, $CO2120)), "Y", "")</f>
        <v/>
      </c>
      <c r="BJ2120" s="319" t="str">
        <f t="shared" si="1091"/>
        <v/>
      </c>
      <c r="BK2120" s="319" t="str">
        <f t="shared" si="1091"/>
        <v/>
      </c>
      <c r="BL2120" s="319" t="str">
        <f t="shared" si="1091"/>
        <v/>
      </c>
      <c r="BM2120" s="319" t="str">
        <f t="shared" si="1091"/>
        <v/>
      </c>
      <c r="BN2120" s="319" t="str">
        <f t="shared" si="1091"/>
        <v/>
      </c>
      <c r="BO2120" s="319" t="str">
        <f t="shared" si="1091"/>
        <v/>
      </c>
      <c r="BP2120" s="319" t="str">
        <f t="shared" si="1091"/>
        <v/>
      </c>
      <c r="BQ2120" s="319" t="str">
        <f t="shared" si="1091"/>
        <v/>
      </c>
      <c r="BR2120" s="319" t="str">
        <f t="shared" si="1091"/>
        <v/>
      </c>
      <c r="BS2120" s="330">
        <f t="shared" si="185"/>
        <v>0</v>
      </c>
      <c r="BT2120" s="331">
        <f t="shared" si="170"/>
        <v>0</v>
      </c>
      <c r="BU2120" s="920"/>
      <c r="BV2120" s="903" t="str">
        <f t="shared" si="186"/>
        <v/>
      </c>
      <c r="BW2120" s="908"/>
      <c r="BX2120" s="908"/>
      <c r="BY2120" s="331" t="b">
        <f t="shared" si="201"/>
        <v>0</v>
      </c>
      <c r="BZ2120" s="331"/>
      <c r="CA2120" s="462" t="str">
        <f t="shared" ref="CA2120:CJ2120" si="1092">IF(ISNUMBER(FIND(BI$3, $CP2120)), "Y", "")</f>
        <v/>
      </c>
      <c r="CB2120" s="319" t="str">
        <f t="shared" si="1092"/>
        <v/>
      </c>
      <c r="CC2120" s="319" t="str">
        <f t="shared" si="1092"/>
        <v/>
      </c>
      <c r="CD2120" s="319" t="str">
        <f t="shared" si="1092"/>
        <v/>
      </c>
      <c r="CE2120" s="319" t="str">
        <f t="shared" si="1092"/>
        <v/>
      </c>
      <c r="CF2120" s="319" t="str">
        <f t="shared" si="1092"/>
        <v/>
      </c>
      <c r="CG2120" s="319" t="str">
        <f t="shared" si="1092"/>
        <v/>
      </c>
      <c r="CH2120" s="319" t="str">
        <f t="shared" si="1092"/>
        <v/>
      </c>
      <c r="CI2120" s="319" t="str">
        <f t="shared" si="1092"/>
        <v/>
      </c>
      <c r="CJ2120" s="319" t="str">
        <f t="shared" si="1092"/>
        <v/>
      </c>
      <c r="CK2120" s="342">
        <f t="shared" si="182"/>
        <v>0</v>
      </c>
      <c r="CL2120" s="333">
        <f t="shared" si="183"/>
        <v>0</v>
      </c>
      <c r="CM2120" s="1079"/>
      <c r="CN2120" s="1005" t="s">
        <v>3151</v>
      </c>
      <c r="CO2120" s="1005"/>
      <c r="CP2120" s="1005"/>
    </row>
    <row r="2121">
      <c r="A2121" s="266"/>
      <c r="B2121" s="1113" t="s">
        <v>1792</v>
      </c>
      <c r="C2121" s="1107">
        <v>45623.0</v>
      </c>
      <c r="D2121" s="1113" t="s">
        <v>986</v>
      </c>
      <c r="E2121" s="1108">
        <v>12.0</v>
      </c>
      <c r="F2121" s="112" t="s">
        <v>3152</v>
      </c>
      <c r="G2121" s="1110">
        <v>0.6246527777777777</v>
      </c>
      <c r="H2121" s="1110">
        <v>0.625</v>
      </c>
      <c r="I2121" s="1110"/>
      <c r="J2121" s="1111"/>
      <c r="K2121" s="1111">
        <v>0.6680555555555555</v>
      </c>
      <c r="L2121" s="1112">
        <v>0.043055555555555555</v>
      </c>
      <c r="M2121" s="1113" t="s">
        <v>166</v>
      </c>
      <c r="N2121" s="110" t="s">
        <v>187</v>
      </c>
      <c r="O2121" s="1115" t="s">
        <v>206</v>
      </c>
      <c r="P2121" s="1115" t="s">
        <v>296</v>
      </c>
      <c r="Q2121" s="1116"/>
      <c r="R2121" s="120">
        <v>22.0</v>
      </c>
      <c r="S2121" s="1113">
        <v>11.4</v>
      </c>
      <c r="T2121" s="110">
        <v>0.6</v>
      </c>
      <c r="U2121" s="1108">
        <v>0.5</v>
      </c>
      <c r="V2121" s="1108"/>
      <c r="W2121" s="1108"/>
      <c r="X2121" s="1108"/>
      <c r="Y2121" s="1108"/>
      <c r="Z2121" s="1114" t="s">
        <v>347</v>
      </c>
      <c r="AA2121" s="1114"/>
      <c r="AB2121" s="1114" t="s">
        <v>384</v>
      </c>
      <c r="AC2121" s="1117">
        <v>6.0</v>
      </c>
      <c r="AD2121" s="1115"/>
      <c r="AE2121" s="1115"/>
      <c r="AF2121" s="1115"/>
      <c r="AG2121" s="1115"/>
      <c r="AH2121" s="1115"/>
      <c r="AI2121" s="1115"/>
      <c r="AJ2121" s="1117"/>
      <c r="AK2121" s="1118"/>
      <c r="AL2121" s="1115"/>
      <c r="AM2121" s="1115"/>
      <c r="AN2121" s="1115"/>
      <c r="AO2121" s="1115"/>
      <c r="AP2121" s="1115"/>
      <c r="AQ2121" s="1115"/>
      <c r="AR2121" s="1115"/>
      <c r="AS2121" s="1117"/>
      <c r="AT2121" s="1196" t="str">
        <f t="shared" si="428"/>
        <v>0-1</v>
      </c>
      <c r="AU2121" s="1193"/>
      <c r="AV2121" s="330">
        <f>SQRT(($R2121-Infrastructure!J$3)^2+($S2121-Infrastructure!K$3)^2)</f>
        <v>28.34678112</v>
      </c>
      <c r="AW2121" s="331">
        <f>SQRT(($R2121-Infrastructure!J$4)^2+($S2121-Infrastructure!K$4)^2)</f>
        <v>23.20021552</v>
      </c>
      <c r="AX2121" s="331">
        <f>SQRT(($R2121-Infrastructure!J$5)^2+($S2121-Infrastructure!K$5)^2)</f>
        <v>23.17282892</v>
      </c>
      <c r="AY2121" s="331">
        <f>SQRT(($R2121-Infrastructure!J$6)^2+($S2121-Infrastructure!K$6)^2)</f>
        <v>16.273291</v>
      </c>
      <c r="AZ2121" s="331">
        <f>SQRT(($R2121-Infrastructure!J$7)^2+($S2121-Infrastructure!K$7)^2)</f>
        <v>11.20089282</v>
      </c>
      <c r="BA2121" s="331">
        <f>SQRT(($R2121-Infrastructure!J$8)^2+($S2121-Infrastructure!K$8)^2)</f>
        <v>13.74117899</v>
      </c>
      <c r="BB2121" s="331">
        <f>SQRT(($R2121-Infrastructure!J$9)^2+($S2121-Infrastructure!K$9)^2)</f>
        <v>19.07065809</v>
      </c>
      <c r="BC2121" s="331">
        <f>SQRT(($R2121-Infrastructure!J$10)^2+($S2121-Infrastructure!K$10)^2)</f>
        <v>18.35647025</v>
      </c>
      <c r="BD2121" s="331">
        <f>SQRT(($R2121-Infrastructure!J$11)^2+($S2121-Infrastructure!K$11)^2)</f>
        <v>25.3179778</v>
      </c>
      <c r="BE2121" s="333">
        <f>SQRT(($R2121-Infrastructure!J$12)^2+($S2121-Infrastructure!K$12)^2)</f>
        <v>44.10283438</v>
      </c>
      <c r="BF2121" s="330">
        <f t="shared" si="161"/>
        <v>11.20089282</v>
      </c>
      <c r="BG2121" s="333">
        <f t="shared" si="162"/>
        <v>44.10283438</v>
      </c>
      <c r="BH2121" s="1119"/>
      <c r="BI2121" s="319" t="str">
        <f t="shared" ref="BI2121:BR2121" si="1093">IF(ISNUMBER(FIND(BI$3, $CO2121)), "Y", "")</f>
        <v/>
      </c>
      <c r="BJ2121" s="319" t="str">
        <f t="shared" si="1093"/>
        <v/>
      </c>
      <c r="BK2121" s="319" t="str">
        <f t="shared" si="1093"/>
        <v/>
      </c>
      <c r="BL2121" s="319" t="str">
        <f t="shared" si="1093"/>
        <v/>
      </c>
      <c r="BM2121" s="319" t="str">
        <f t="shared" si="1093"/>
        <v/>
      </c>
      <c r="BN2121" s="319" t="str">
        <f t="shared" si="1093"/>
        <v/>
      </c>
      <c r="BO2121" s="319" t="str">
        <f t="shared" si="1093"/>
        <v/>
      </c>
      <c r="BP2121" s="319" t="str">
        <f t="shared" si="1093"/>
        <v/>
      </c>
      <c r="BQ2121" s="319" t="str">
        <f t="shared" si="1093"/>
        <v/>
      </c>
      <c r="BR2121" s="319" t="str">
        <f t="shared" si="1093"/>
        <v/>
      </c>
      <c r="BS2121" s="330">
        <f t="shared" si="185"/>
        <v>0</v>
      </c>
      <c r="BT2121" s="331">
        <f t="shared" si="170"/>
        <v>0</v>
      </c>
      <c r="BU2121" s="920"/>
      <c r="BV2121" s="903" t="str">
        <f t="shared" si="186"/>
        <v/>
      </c>
      <c r="BW2121" s="908"/>
      <c r="BX2121" s="908"/>
      <c r="BY2121" s="331" t="b">
        <f t="shared" si="201"/>
        <v>0</v>
      </c>
      <c r="BZ2121" s="331"/>
      <c r="CA2121" s="462" t="str">
        <f t="shared" ref="CA2121:CJ2121" si="1094">IF(ISNUMBER(FIND(BI$3, $CP2121)), "Y", "")</f>
        <v/>
      </c>
      <c r="CB2121" s="319" t="str">
        <f t="shared" si="1094"/>
        <v/>
      </c>
      <c r="CC2121" s="319" t="str">
        <f t="shared" si="1094"/>
        <v/>
      </c>
      <c r="CD2121" s="319" t="str">
        <f t="shared" si="1094"/>
        <v/>
      </c>
      <c r="CE2121" s="319" t="str">
        <f t="shared" si="1094"/>
        <v/>
      </c>
      <c r="CF2121" s="319" t="str">
        <f t="shared" si="1094"/>
        <v/>
      </c>
      <c r="CG2121" s="319" t="str">
        <f t="shared" si="1094"/>
        <v/>
      </c>
      <c r="CH2121" s="319" t="str">
        <f t="shared" si="1094"/>
        <v/>
      </c>
      <c r="CI2121" s="319" t="str">
        <f t="shared" si="1094"/>
        <v/>
      </c>
      <c r="CJ2121" s="319" t="str">
        <f t="shared" si="1094"/>
        <v/>
      </c>
      <c r="CK2121" s="342">
        <f t="shared" si="182"/>
        <v>0</v>
      </c>
      <c r="CL2121" s="333">
        <f t="shared" si="183"/>
        <v>0</v>
      </c>
      <c r="CM2121" s="1079"/>
      <c r="CN2121" s="1005" t="s">
        <v>3153</v>
      </c>
      <c r="CO2121" s="1005"/>
      <c r="CP2121" s="1005"/>
    </row>
    <row r="2122">
      <c r="A2122" s="1258"/>
      <c r="B2122" s="1129" t="s">
        <v>1792</v>
      </c>
      <c r="C2122" s="1122">
        <v>45623.0</v>
      </c>
      <c r="D2122" s="1123"/>
      <c r="E2122" s="1144"/>
      <c r="F2122" s="108" t="s">
        <v>3154</v>
      </c>
      <c r="G2122" s="1126">
        <v>0.6971064814814815</v>
      </c>
      <c r="H2122" s="1145"/>
      <c r="I2122" s="1145"/>
      <c r="J2122" s="1146"/>
      <c r="K2122" s="1127">
        <v>0.6998263888888889</v>
      </c>
      <c r="L2122" s="1128">
        <v>0.0027199074074074074</v>
      </c>
      <c r="M2122" s="1129" t="s">
        <v>166</v>
      </c>
      <c r="N2122" s="100" t="s">
        <v>188</v>
      </c>
      <c r="O2122" s="1161"/>
      <c r="P2122" s="1131" t="s">
        <v>292</v>
      </c>
      <c r="Q2122" s="1132"/>
      <c r="R2122" s="1148"/>
      <c r="S2122" s="1129"/>
      <c r="T2122" s="1150"/>
      <c r="U2122" s="1124" t="s">
        <v>323</v>
      </c>
      <c r="V2122" s="1124"/>
      <c r="W2122" s="1124"/>
      <c r="X2122" s="1124"/>
      <c r="Y2122" s="1124"/>
      <c r="Z2122" s="1130" t="s">
        <v>323</v>
      </c>
      <c r="AA2122" s="1130"/>
      <c r="AB2122" s="1130" t="s">
        <v>323</v>
      </c>
      <c r="AC2122" s="1133" t="s">
        <v>323</v>
      </c>
      <c r="AD2122" s="1131"/>
      <c r="AE2122" s="1131"/>
      <c r="AF2122" s="1131"/>
      <c r="AG2122" s="1131"/>
      <c r="AH2122" s="1131"/>
      <c r="AI2122" s="1131"/>
      <c r="AJ2122" s="1133"/>
      <c r="AK2122" s="1134"/>
      <c r="AL2122" s="1131"/>
      <c r="AM2122" s="1131"/>
      <c r="AN2122" s="1131"/>
      <c r="AO2122" s="1131"/>
      <c r="AP2122" s="1131"/>
      <c r="AQ2122" s="1131"/>
      <c r="AR2122" s="1131"/>
      <c r="AS2122" s="1133"/>
      <c r="AT2122" s="1197" t="str">
        <f t="shared" si="428"/>
        <v/>
      </c>
      <c r="AU2122" s="1194"/>
      <c r="AV2122" s="662">
        <f>SQRT(($R2122-Infrastructure!J$3)^2+($S2122-Infrastructure!K$3)^2)</f>
        <v>28.90155705</v>
      </c>
      <c r="AW2122" s="641">
        <f>SQRT(($R2122-Infrastructure!J$4)^2+($S2122-Infrastructure!K$4)^2)</f>
        <v>17.80252791</v>
      </c>
      <c r="AX2122" s="641">
        <f>SQRT(($R2122-Infrastructure!J$5)^2+($S2122-Infrastructure!K$5)^2)</f>
        <v>5.10881591</v>
      </c>
      <c r="AY2122" s="641">
        <f>SQRT(($R2122-Infrastructure!J$6)^2+($S2122-Infrastructure!K$6)^2)</f>
        <v>10.10445446</v>
      </c>
      <c r="AZ2122" s="641">
        <f>SQRT(($R2122-Infrastructure!J$7)^2+($S2122-Infrastructure!K$7)^2)</f>
        <v>20.502195</v>
      </c>
      <c r="BA2122" s="641">
        <f>SQRT(($R2122-Infrastructure!J$8)^2+($S2122-Infrastructure!K$8)^2)</f>
        <v>30.10149498</v>
      </c>
      <c r="BB2122" s="641">
        <f>SQRT(($R2122-Infrastructure!J$9)^2+($S2122-Infrastructure!K$9)^2)</f>
        <v>40.3238143</v>
      </c>
      <c r="BC2122" s="641">
        <f>SQRT(($R2122-Infrastructure!J$10)^2+($S2122-Infrastructure!K$10)^2)</f>
        <v>42.72001873</v>
      </c>
      <c r="BD2122" s="641">
        <f>SQRT(($R2122-Infrastructure!J$11)^2+($S2122-Infrastructure!K$11)^2)</f>
        <v>49.56853841</v>
      </c>
      <c r="BE2122" s="642">
        <f>SQRT(($R2122-Infrastructure!J$12)^2+($S2122-Infrastructure!K$12)^2)</f>
        <v>59.51890456</v>
      </c>
      <c r="BF2122" s="662">
        <f t="shared" si="161"/>
        <v>5.10881591</v>
      </c>
      <c r="BG2122" s="642">
        <f t="shared" si="162"/>
        <v>59.51890456</v>
      </c>
      <c r="BH2122" s="1135"/>
      <c r="BI2122" s="663" t="str">
        <f t="shared" ref="BI2122:BR2122" si="1095">IF(ISNUMBER(FIND(BI$3, $CO2122)), "Y", "")</f>
        <v>Y</v>
      </c>
      <c r="BJ2122" s="663" t="str">
        <f t="shared" si="1095"/>
        <v/>
      </c>
      <c r="BK2122" s="663" t="str">
        <f t="shared" si="1095"/>
        <v/>
      </c>
      <c r="BL2122" s="663" t="str">
        <f t="shared" si="1095"/>
        <v/>
      </c>
      <c r="BM2122" s="663" t="str">
        <f t="shared" si="1095"/>
        <v>Y</v>
      </c>
      <c r="BN2122" s="663" t="str">
        <f t="shared" si="1095"/>
        <v>Y</v>
      </c>
      <c r="BO2122" s="663" t="str">
        <f t="shared" si="1095"/>
        <v/>
      </c>
      <c r="BP2122" s="663" t="str">
        <f t="shared" si="1095"/>
        <v/>
      </c>
      <c r="BQ2122" s="663" t="str">
        <f t="shared" si="1095"/>
        <v/>
      </c>
      <c r="BR2122" s="663" t="str">
        <f t="shared" si="1095"/>
        <v>Y</v>
      </c>
      <c r="BS2122" s="662">
        <f t="shared" si="185"/>
        <v>20.502195</v>
      </c>
      <c r="BT2122" s="641">
        <f t="shared" si="170"/>
        <v>59.51890456</v>
      </c>
      <c r="BU2122" s="937">
        <v>0.6983101851851852</v>
      </c>
      <c r="BV2122" s="930">
        <f t="shared" si="186"/>
        <v>0.001203703704</v>
      </c>
      <c r="BW2122" s="939">
        <v>14.5</v>
      </c>
      <c r="BX2122" s="939">
        <v>45.9</v>
      </c>
      <c r="BY2122" s="641">
        <f t="shared" si="201"/>
        <v>48.13584943</v>
      </c>
      <c r="BZ2122" s="641"/>
      <c r="CA2122" s="635" t="str">
        <f t="shared" ref="CA2122:CJ2122" si="1096">IF(ISNUMBER(FIND(BI$3, $CP2122)), "Y", "")</f>
        <v/>
      </c>
      <c r="CB2122" s="663" t="str">
        <f t="shared" si="1096"/>
        <v/>
      </c>
      <c r="CC2122" s="663" t="str">
        <f t="shared" si="1096"/>
        <v/>
      </c>
      <c r="CD2122" s="663" t="str">
        <f t="shared" si="1096"/>
        <v/>
      </c>
      <c r="CE2122" s="663" t="str">
        <f t="shared" si="1096"/>
        <v/>
      </c>
      <c r="CF2122" s="663" t="str">
        <f t="shared" si="1096"/>
        <v/>
      </c>
      <c r="CG2122" s="663" t="str">
        <f t="shared" si="1096"/>
        <v/>
      </c>
      <c r="CH2122" s="663" t="str">
        <f t="shared" si="1096"/>
        <v/>
      </c>
      <c r="CI2122" s="663" t="str">
        <f t="shared" si="1096"/>
        <v/>
      </c>
      <c r="CJ2122" s="663" t="str">
        <f t="shared" si="1096"/>
        <v/>
      </c>
      <c r="CK2122" s="743">
        <f t="shared" si="182"/>
        <v>0</v>
      </c>
      <c r="CL2122" s="642">
        <f t="shared" si="183"/>
        <v>0</v>
      </c>
      <c r="CM2122" s="1090"/>
      <c r="CN2122" s="1036" t="s">
        <v>3153</v>
      </c>
      <c r="CO2122" s="1036" t="s">
        <v>3155</v>
      </c>
      <c r="CP2122" s="1036"/>
    </row>
    <row r="2123">
      <c r="A2123" s="1257" t="s">
        <v>140</v>
      </c>
      <c r="B2123" s="1113" t="s">
        <v>1792</v>
      </c>
      <c r="C2123" s="1107">
        <v>45624.0</v>
      </c>
      <c r="D2123" s="1113" t="s">
        <v>986</v>
      </c>
      <c r="E2123" s="1108">
        <v>13.0</v>
      </c>
      <c r="F2123" s="112" t="s">
        <v>3156</v>
      </c>
      <c r="G2123" s="1110">
        <v>0.3880208333333333</v>
      </c>
      <c r="H2123" s="1110">
        <v>0.38836805555555554</v>
      </c>
      <c r="I2123" s="1110"/>
      <c r="J2123" s="1111"/>
      <c r="K2123" s="1111">
        <v>0.6388888888888888</v>
      </c>
      <c r="L2123" s="1266">
        <v>0.25052083333333336</v>
      </c>
      <c r="M2123" s="1113" t="s">
        <v>166</v>
      </c>
      <c r="N2123" s="110" t="s">
        <v>187</v>
      </c>
      <c r="O2123" s="1115" t="s">
        <v>207</v>
      </c>
      <c r="P2123" s="1115" t="s">
        <v>226</v>
      </c>
      <c r="Q2123" s="1115"/>
      <c r="R2123" s="120">
        <v>26.0</v>
      </c>
      <c r="S2123" s="1113">
        <v>13.3</v>
      </c>
      <c r="T2123" s="110">
        <v>0.1</v>
      </c>
      <c r="U2123" s="1108">
        <v>0.7</v>
      </c>
      <c r="V2123" s="1108"/>
      <c r="W2123" s="1108"/>
      <c r="X2123" s="1108"/>
      <c r="Y2123" s="1108"/>
      <c r="Z2123" s="1114" t="s">
        <v>374</v>
      </c>
      <c r="AA2123" s="1114"/>
      <c r="AB2123" s="1114" t="s">
        <v>380</v>
      </c>
      <c r="AC2123" s="1117">
        <v>4.0</v>
      </c>
      <c r="AD2123" s="1115"/>
      <c r="AE2123" s="1115"/>
      <c r="AF2123" s="1115"/>
      <c r="AG2123" s="1115"/>
      <c r="AH2123" s="1115"/>
      <c r="AI2123" s="1115"/>
      <c r="AJ2123" s="1117"/>
      <c r="AK2123" s="1118"/>
      <c r="AL2123" s="1115"/>
      <c r="AM2123" s="1115"/>
      <c r="AN2123" s="1115"/>
      <c r="AO2123" s="1115"/>
      <c r="AP2123" s="1115"/>
      <c r="AQ2123" s="1115"/>
      <c r="AR2123" s="1115"/>
      <c r="AS2123" s="1117"/>
      <c r="AT2123" s="1196" t="str">
        <f t="shared" si="428"/>
        <v>0-1</v>
      </c>
      <c r="AU2123" s="1193"/>
      <c r="AV2123" s="330">
        <f>SQRT(($R2123-Infrastructure!J$3)^2+($S2123-Infrastructure!K$3)^2)</f>
        <v>30.57858728</v>
      </c>
      <c r="AW2123" s="331">
        <f>SQRT(($R2123-Infrastructure!J$4)^2+($S2123-Infrastructure!K$4)^2)</f>
        <v>26.68220381</v>
      </c>
      <c r="AX2123" s="331">
        <f>SQRT(($R2123-Infrastructure!J$5)^2+($S2123-Infrastructure!K$5)^2)</f>
        <v>27.54868418</v>
      </c>
      <c r="AY2123" s="331">
        <f>SQRT(($R2123-Infrastructure!J$6)^2+($S2123-Infrastructure!K$6)^2)</f>
        <v>20.53801354</v>
      </c>
      <c r="AZ2123" s="331">
        <f>SQRT(($R2123-Infrastructure!J$7)^2+($S2123-Infrastructure!K$7)^2)</f>
        <v>14.11559421</v>
      </c>
      <c r="BA2123" s="331">
        <f>SQRT(($R2123-Infrastructure!J$8)^2+($S2123-Infrastructure!K$8)^2)</f>
        <v>13.63121418</v>
      </c>
      <c r="BB2123" s="331">
        <f>SQRT(($R2123-Infrastructure!J$9)^2+($S2123-Infrastructure!K$9)^2)</f>
        <v>16.22467257</v>
      </c>
      <c r="BC2123" s="331">
        <f>SQRT(($R2123-Infrastructure!J$10)^2+($S2123-Infrastructure!K$10)^2)</f>
        <v>14.10283659</v>
      </c>
      <c r="BD2123" s="331">
        <f>SQRT(($R2123-Infrastructure!J$11)^2+($S2123-Infrastructure!K$11)^2)</f>
        <v>21.16908123</v>
      </c>
      <c r="BE2123" s="333">
        <f>SQRT(($R2123-Infrastructure!J$12)^2+($S2123-Infrastructure!K$12)^2)</f>
        <v>42.4392507</v>
      </c>
      <c r="BF2123" s="330">
        <f t="shared" si="161"/>
        <v>13.63121418</v>
      </c>
      <c r="BG2123" s="333">
        <f t="shared" si="162"/>
        <v>42.4392507</v>
      </c>
      <c r="BH2123" s="1119"/>
      <c r="BI2123" s="319" t="str">
        <f t="shared" ref="BI2123:BR2123" si="1097">IF(ISNUMBER(FIND(BI$3, $CO2123)), "Y", "")</f>
        <v/>
      </c>
      <c r="BJ2123" s="319" t="str">
        <f t="shared" si="1097"/>
        <v/>
      </c>
      <c r="BK2123" s="319" t="str">
        <f t="shared" si="1097"/>
        <v/>
      </c>
      <c r="BL2123" s="319" t="str">
        <f t="shared" si="1097"/>
        <v/>
      </c>
      <c r="BM2123" s="319" t="str">
        <f t="shared" si="1097"/>
        <v/>
      </c>
      <c r="BN2123" s="319" t="str">
        <f t="shared" si="1097"/>
        <v/>
      </c>
      <c r="BO2123" s="319" t="str">
        <f t="shared" si="1097"/>
        <v/>
      </c>
      <c r="BP2123" s="319" t="str">
        <f t="shared" si="1097"/>
        <v/>
      </c>
      <c r="BQ2123" s="319" t="str">
        <f t="shared" si="1097"/>
        <v/>
      </c>
      <c r="BR2123" s="319" t="str">
        <f t="shared" si="1097"/>
        <v/>
      </c>
      <c r="BS2123" s="330">
        <f t="shared" si="185"/>
        <v>0</v>
      </c>
      <c r="BT2123" s="331">
        <f t="shared" si="170"/>
        <v>0</v>
      </c>
      <c r="BU2123" s="920"/>
      <c r="BV2123" s="903" t="str">
        <f t="shared" si="186"/>
        <v/>
      </c>
      <c r="BW2123" s="908"/>
      <c r="BX2123" s="908"/>
      <c r="BY2123" s="331" t="b">
        <f t="shared" si="201"/>
        <v>0</v>
      </c>
      <c r="BZ2123" s="331"/>
      <c r="CA2123" s="462" t="str">
        <f t="shared" ref="CA2123:CJ2123" si="1098">IF(ISNUMBER(FIND(BI$3, $CP2123)), "Y", "")</f>
        <v/>
      </c>
      <c r="CB2123" s="319" t="str">
        <f t="shared" si="1098"/>
        <v/>
      </c>
      <c r="CC2123" s="319" t="str">
        <f t="shared" si="1098"/>
        <v/>
      </c>
      <c r="CD2123" s="319" t="str">
        <f t="shared" si="1098"/>
        <v/>
      </c>
      <c r="CE2123" s="319" t="str">
        <f t="shared" si="1098"/>
        <v/>
      </c>
      <c r="CF2123" s="319" t="str">
        <f t="shared" si="1098"/>
        <v/>
      </c>
      <c r="CG2123" s="319" t="str">
        <f t="shared" si="1098"/>
        <v/>
      </c>
      <c r="CH2123" s="319" t="str">
        <f t="shared" si="1098"/>
        <v/>
      </c>
      <c r="CI2123" s="319" t="str">
        <f t="shared" si="1098"/>
        <v/>
      </c>
      <c r="CJ2123" s="319" t="str">
        <f t="shared" si="1098"/>
        <v/>
      </c>
      <c r="CK2123" s="342">
        <f t="shared" si="182"/>
        <v>0</v>
      </c>
      <c r="CL2123" s="333">
        <f t="shared" si="183"/>
        <v>0</v>
      </c>
      <c r="CM2123" s="1079"/>
      <c r="CN2123" s="1005" t="s">
        <v>3157</v>
      </c>
      <c r="CO2123" s="1005"/>
      <c r="CP2123" s="1005"/>
    </row>
    <row r="2124">
      <c r="A2124" s="1258"/>
      <c r="B2124" s="1129" t="s">
        <v>1792</v>
      </c>
      <c r="C2124" s="1122">
        <v>45624.0</v>
      </c>
      <c r="D2124" s="1123"/>
      <c r="E2124" s="1124"/>
      <c r="F2124" s="108" t="s">
        <v>3158</v>
      </c>
      <c r="G2124" s="1126">
        <v>0.6857638888888888</v>
      </c>
      <c r="H2124" s="1126"/>
      <c r="I2124" s="1126"/>
      <c r="J2124" s="1127"/>
      <c r="K2124" s="1127">
        <v>0.6859375</v>
      </c>
      <c r="L2124" s="1267">
        <v>1.7361111111111112E-4</v>
      </c>
      <c r="M2124" s="1129" t="s">
        <v>166</v>
      </c>
      <c r="N2124" s="100" t="s">
        <v>188</v>
      </c>
      <c r="O2124" s="1131"/>
      <c r="P2124" s="1131" t="s">
        <v>292</v>
      </c>
      <c r="Q2124" s="1132"/>
      <c r="R2124" s="1148"/>
      <c r="S2124" s="1129"/>
      <c r="T2124" s="100"/>
      <c r="U2124" s="1124" t="s">
        <v>323</v>
      </c>
      <c r="V2124" s="1124"/>
      <c r="W2124" s="1124"/>
      <c r="X2124" s="1124"/>
      <c r="Y2124" s="1124"/>
      <c r="Z2124" s="1130" t="s">
        <v>323</v>
      </c>
      <c r="AA2124" s="1130"/>
      <c r="AB2124" s="1130" t="s">
        <v>323</v>
      </c>
      <c r="AC2124" s="1133" t="s">
        <v>323</v>
      </c>
      <c r="AD2124" s="1131"/>
      <c r="AE2124" s="1131"/>
      <c r="AF2124" s="1131"/>
      <c r="AG2124" s="1131"/>
      <c r="AH2124" s="1131"/>
      <c r="AI2124" s="1131"/>
      <c r="AJ2124" s="1133"/>
      <c r="AK2124" s="1134"/>
      <c r="AL2124" s="1131"/>
      <c r="AM2124" s="1131"/>
      <c r="AN2124" s="1131"/>
      <c r="AO2124" s="1131"/>
      <c r="AP2124" s="1131"/>
      <c r="AQ2124" s="1131"/>
      <c r="AR2124" s="1131"/>
      <c r="AS2124" s="1133"/>
      <c r="AT2124" s="1197" t="str">
        <f t="shared" si="428"/>
        <v/>
      </c>
      <c r="AU2124" s="1194"/>
      <c r="AV2124" s="662">
        <f>SQRT(($R2124-Infrastructure!J$3)^2+($S2124-Infrastructure!K$3)^2)</f>
        <v>28.90155705</v>
      </c>
      <c r="AW2124" s="641">
        <f>SQRT(($R2124-Infrastructure!J$4)^2+($S2124-Infrastructure!K$4)^2)</f>
        <v>17.80252791</v>
      </c>
      <c r="AX2124" s="641">
        <f>SQRT(($R2124-Infrastructure!J$5)^2+($S2124-Infrastructure!K$5)^2)</f>
        <v>5.10881591</v>
      </c>
      <c r="AY2124" s="641">
        <f>SQRT(($R2124-Infrastructure!J$6)^2+($S2124-Infrastructure!K$6)^2)</f>
        <v>10.10445446</v>
      </c>
      <c r="AZ2124" s="641">
        <f>SQRT(($R2124-Infrastructure!J$7)^2+($S2124-Infrastructure!K$7)^2)</f>
        <v>20.502195</v>
      </c>
      <c r="BA2124" s="641">
        <f>SQRT(($R2124-Infrastructure!J$8)^2+($S2124-Infrastructure!K$8)^2)</f>
        <v>30.10149498</v>
      </c>
      <c r="BB2124" s="641">
        <f>SQRT(($R2124-Infrastructure!J$9)^2+($S2124-Infrastructure!K$9)^2)</f>
        <v>40.3238143</v>
      </c>
      <c r="BC2124" s="641">
        <f>SQRT(($R2124-Infrastructure!J$10)^2+($S2124-Infrastructure!K$10)^2)</f>
        <v>42.72001873</v>
      </c>
      <c r="BD2124" s="641">
        <f>SQRT(($R2124-Infrastructure!J$11)^2+($S2124-Infrastructure!K$11)^2)</f>
        <v>49.56853841</v>
      </c>
      <c r="BE2124" s="642">
        <f>SQRT(($R2124-Infrastructure!J$12)^2+($S2124-Infrastructure!K$12)^2)</f>
        <v>59.51890456</v>
      </c>
      <c r="BF2124" s="662">
        <f t="shared" si="161"/>
        <v>5.10881591</v>
      </c>
      <c r="BG2124" s="642">
        <f t="shared" si="162"/>
        <v>59.51890456</v>
      </c>
      <c r="BH2124" s="1135"/>
      <c r="BI2124" s="663" t="str">
        <f t="shared" ref="BI2124:BR2124" si="1099">IF(ISNUMBER(FIND(BI$3, $CO2124)), "Y", "")</f>
        <v/>
      </c>
      <c r="BJ2124" s="663" t="str">
        <f t="shared" si="1099"/>
        <v/>
      </c>
      <c r="BK2124" s="663" t="str">
        <f t="shared" si="1099"/>
        <v/>
      </c>
      <c r="BL2124" s="663" t="str">
        <f t="shared" si="1099"/>
        <v/>
      </c>
      <c r="BM2124" s="663" t="str">
        <f t="shared" si="1099"/>
        <v/>
      </c>
      <c r="BN2124" s="663" t="str">
        <f t="shared" si="1099"/>
        <v/>
      </c>
      <c r="BO2124" s="663" t="str">
        <f t="shared" si="1099"/>
        <v/>
      </c>
      <c r="BP2124" s="663" t="str">
        <f t="shared" si="1099"/>
        <v/>
      </c>
      <c r="BQ2124" s="663" t="str">
        <f t="shared" si="1099"/>
        <v/>
      </c>
      <c r="BR2124" s="663" t="str">
        <f t="shared" si="1099"/>
        <v/>
      </c>
      <c r="BS2124" s="662">
        <f t="shared" si="185"/>
        <v>0</v>
      </c>
      <c r="BT2124" s="641">
        <f t="shared" si="170"/>
        <v>0</v>
      </c>
      <c r="BU2124" s="937"/>
      <c r="BV2124" s="930" t="str">
        <f t="shared" si="186"/>
        <v/>
      </c>
      <c r="BW2124" s="939"/>
      <c r="BX2124" s="939"/>
      <c r="BY2124" s="641" t="b">
        <f t="shared" si="201"/>
        <v>0</v>
      </c>
      <c r="BZ2124" s="641"/>
      <c r="CA2124" s="635" t="str">
        <f t="shared" ref="CA2124:CJ2124" si="1100">IF(ISNUMBER(FIND(BI$3, $CP2124)), "Y", "")</f>
        <v/>
      </c>
      <c r="CB2124" s="663" t="str">
        <f t="shared" si="1100"/>
        <v/>
      </c>
      <c r="CC2124" s="663" t="str">
        <f t="shared" si="1100"/>
        <v/>
      </c>
      <c r="CD2124" s="663" t="str">
        <f t="shared" si="1100"/>
        <v/>
      </c>
      <c r="CE2124" s="663" t="str">
        <f t="shared" si="1100"/>
        <v/>
      </c>
      <c r="CF2124" s="663" t="str">
        <f t="shared" si="1100"/>
        <v/>
      </c>
      <c r="CG2124" s="663" t="str">
        <f t="shared" si="1100"/>
        <v/>
      </c>
      <c r="CH2124" s="663" t="str">
        <f t="shared" si="1100"/>
        <v/>
      </c>
      <c r="CI2124" s="663" t="str">
        <f t="shared" si="1100"/>
        <v/>
      </c>
      <c r="CJ2124" s="663" t="str">
        <f t="shared" si="1100"/>
        <v/>
      </c>
      <c r="CK2124" s="743">
        <f t="shared" si="182"/>
        <v>0</v>
      </c>
      <c r="CL2124" s="642">
        <f t="shared" si="183"/>
        <v>0</v>
      </c>
      <c r="CM2124" s="1090"/>
      <c r="CN2124" s="1036" t="s">
        <v>3159</v>
      </c>
      <c r="CO2124" s="1036"/>
      <c r="CP2124" s="1036"/>
    </row>
    <row r="2125">
      <c r="A2125" s="1257" t="s">
        <v>141</v>
      </c>
      <c r="B2125" s="1113" t="s">
        <v>1792</v>
      </c>
      <c r="C2125" s="1107">
        <v>45625.0</v>
      </c>
      <c r="D2125" s="1113" t="s">
        <v>986</v>
      </c>
      <c r="E2125" s="1108">
        <v>14.0</v>
      </c>
      <c r="F2125" s="112" t="s">
        <v>3160</v>
      </c>
      <c r="G2125" s="1110">
        <v>0.4378472222222222</v>
      </c>
      <c r="H2125" s="1110">
        <v>0.4388888888888889</v>
      </c>
      <c r="I2125" s="1110"/>
      <c r="J2125" s="1111"/>
      <c r="K2125" s="1111">
        <v>0.4708333333333333</v>
      </c>
      <c r="L2125" s="1112">
        <v>0.03194444444444444</v>
      </c>
      <c r="M2125" s="1113" t="s">
        <v>166</v>
      </c>
      <c r="N2125" s="110" t="s">
        <v>187</v>
      </c>
      <c r="O2125" s="1115" t="s">
        <v>207</v>
      </c>
      <c r="P2125" s="1115" t="s">
        <v>268</v>
      </c>
      <c r="Q2125" s="1116"/>
      <c r="R2125" s="120">
        <v>26.0</v>
      </c>
      <c r="S2125" s="1113">
        <v>13.3</v>
      </c>
      <c r="T2125" s="110">
        <v>0.67</v>
      </c>
      <c r="U2125" s="1108">
        <v>2.5</v>
      </c>
      <c r="V2125" s="1108"/>
      <c r="W2125" s="1108"/>
      <c r="X2125" s="1108"/>
      <c r="Y2125" s="1108"/>
      <c r="Z2125" s="1114" t="s">
        <v>374</v>
      </c>
      <c r="AA2125" s="1114"/>
      <c r="AB2125" s="1114" t="s">
        <v>392</v>
      </c>
      <c r="AC2125" s="1117">
        <v>10.0</v>
      </c>
      <c r="AD2125" s="1115"/>
      <c r="AE2125" s="1115"/>
      <c r="AF2125" s="1115"/>
      <c r="AG2125" s="1115"/>
      <c r="AH2125" s="1115"/>
      <c r="AI2125" s="1115"/>
      <c r="AJ2125" s="1117"/>
      <c r="AK2125" s="1118"/>
      <c r="AL2125" s="1115"/>
      <c r="AM2125" s="1115"/>
      <c r="AN2125" s="1115"/>
      <c r="AO2125" s="1115"/>
      <c r="AP2125" s="1115"/>
      <c r="AQ2125" s="1115"/>
      <c r="AR2125" s="1115"/>
      <c r="AS2125" s="1117"/>
      <c r="AT2125" s="1196" t="str">
        <f t="shared" si="428"/>
        <v>1-10</v>
      </c>
      <c r="AU2125" s="1193"/>
      <c r="AV2125" s="330">
        <f>SQRT(($R2125-Infrastructure!J$3)^2+($S2125-Infrastructure!K$3)^2)</f>
        <v>30.57858728</v>
      </c>
      <c r="AW2125" s="331">
        <f>SQRT(($R2125-Infrastructure!J$4)^2+($S2125-Infrastructure!K$4)^2)</f>
        <v>26.68220381</v>
      </c>
      <c r="AX2125" s="331">
        <f>SQRT(($R2125-Infrastructure!J$5)^2+($S2125-Infrastructure!K$5)^2)</f>
        <v>27.54868418</v>
      </c>
      <c r="AY2125" s="331">
        <f>SQRT(($R2125-Infrastructure!J$6)^2+($S2125-Infrastructure!K$6)^2)</f>
        <v>20.53801354</v>
      </c>
      <c r="AZ2125" s="331">
        <f>SQRT(($R2125-Infrastructure!J$7)^2+($S2125-Infrastructure!K$7)^2)</f>
        <v>14.11559421</v>
      </c>
      <c r="BA2125" s="331">
        <f>SQRT(($R2125-Infrastructure!J$8)^2+($S2125-Infrastructure!K$8)^2)</f>
        <v>13.63121418</v>
      </c>
      <c r="BB2125" s="331">
        <f>SQRT(($R2125-Infrastructure!J$9)^2+($S2125-Infrastructure!K$9)^2)</f>
        <v>16.22467257</v>
      </c>
      <c r="BC2125" s="331">
        <f>SQRT(($R2125-Infrastructure!J$10)^2+($S2125-Infrastructure!K$10)^2)</f>
        <v>14.10283659</v>
      </c>
      <c r="BD2125" s="331">
        <f>SQRT(($R2125-Infrastructure!J$11)^2+($S2125-Infrastructure!K$11)^2)</f>
        <v>21.16908123</v>
      </c>
      <c r="BE2125" s="333">
        <f>SQRT(($R2125-Infrastructure!J$12)^2+($S2125-Infrastructure!K$12)^2)</f>
        <v>42.4392507</v>
      </c>
      <c r="BF2125" s="330">
        <f t="shared" si="161"/>
        <v>13.63121418</v>
      </c>
      <c r="BG2125" s="333">
        <f t="shared" si="162"/>
        <v>42.4392507</v>
      </c>
      <c r="BH2125" s="1119"/>
      <c r="BI2125" s="319" t="str">
        <f t="shared" ref="BI2125:BR2125" si="1101">IF(ISNUMBER(FIND(BI$3, $CO2125)), "Y", "")</f>
        <v>Y</v>
      </c>
      <c r="BJ2125" s="319" t="str">
        <f t="shared" si="1101"/>
        <v/>
      </c>
      <c r="BK2125" s="319" t="str">
        <f t="shared" si="1101"/>
        <v>Y</v>
      </c>
      <c r="BL2125" s="319" t="str">
        <f t="shared" si="1101"/>
        <v>Y</v>
      </c>
      <c r="BM2125" s="319" t="str">
        <f t="shared" si="1101"/>
        <v>Y</v>
      </c>
      <c r="BN2125" s="319" t="str">
        <f t="shared" si="1101"/>
        <v>Y</v>
      </c>
      <c r="BO2125" s="319" t="str">
        <f t="shared" si="1101"/>
        <v>Y</v>
      </c>
      <c r="BP2125" s="319" t="str">
        <f t="shared" si="1101"/>
        <v/>
      </c>
      <c r="BQ2125" s="319" t="str">
        <f t="shared" si="1101"/>
        <v>Y</v>
      </c>
      <c r="BR2125" s="319" t="str">
        <f t="shared" si="1101"/>
        <v/>
      </c>
      <c r="BS2125" s="330">
        <f t="shared" si="185"/>
        <v>13.63121418</v>
      </c>
      <c r="BT2125" s="331">
        <f t="shared" si="170"/>
        <v>30.57858728</v>
      </c>
      <c r="BU2125" s="920">
        <v>0.4386689814814815</v>
      </c>
      <c r="BV2125" s="903">
        <f t="shared" si="186"/>
        <v>0.0008217592593</v>
      </c>
      <c r="BW2125" s="908">
        <v>22.0</v>
      </c>
      <c r="BX2125" s="908">
        <v>12.6</v>
      </c>
      <c r="BY2125" s="331">
        <f t="shared" si="201"/>
        <v>4.060788101</v>
      </c>
      <c r="BZ2125" s="331"/>
      <c r="CA2125" s="462" t="str">
        <f t="shared" ref="CA2125:CJ2125" si="1102">IF(ISNUMBER(FIND(BI$3, $CP2125)), "Y", "")</f>
        <v/>
      </c>
      <c r="CB2125" s="319" t="str">
        <f t="shared" si="1102"/>
        <v/>
      </c>
      <c r="CC2125" s="319" t="str">
        <f t="shared" si="1102"/>
        <v/>
      </c>
      <c r="CD2125" s="319" t="str">
        <f t="shared" si="1102"/>
        <v/>
      </c>
      <c r="CE2125" s="319" t="str">
        <f t="shared" si="1102"/>
        <v/>
      </c>
      <c r="CF2125" s="319" t="str">
        <f t="shared" si="1102"/>
        <v/>
      </c>
      <c r="CG2125" s="319" t="str">
        <f t="shared" si="1102"/>
        <v/>
      </c>
      <c r="CH2125" s="319" t="str">
        <f t="shared" si="1102"/>
        <v/>
      </c>
      <c r="CI2125" s="319" t="str">
        <f t="shared" si="1102"/>
        <v/>
      </c>
      <c r="CJ2125" s="319" t="str">
        <f t="shared" si="1102"/>
        <v/>
      </c>
      <c r="CK2125" s="342">
        <f t="shared" si="182"/>
        <v>0</v>
      </c>
      <c r="CL2125" s="333">
        <f t="shared" si="183"/>
        <v>0</v>
      </c>
      <c r="CM2125" s="1079"/>
      <c r="CN2125" s="1005" t="s">
        <v>3161</v>
      </c>
      <c r="CO2125" s="1005" t="s">
        <v>2568</v>
      </c>
      <c r="CP2125" s="1005"/>
    </row>
    <row r="2126">
      <c r="A2126" s="266"/>
      <c r="B2126" s="1113" t="s">
        <v>1792</v>
      </c>
      <c r="C2126" s="1107">
        <v>45625.0</v>
      </c>
      <c r="D2126" s="103"/>
      <c r="E2126" s="1137"/>
      <c r="F2126" s="112" t="s">
        <v>3162</v>
      </c>
      <c r="G2126" s="1110">
        <v>0.6274305555555556</v>
      </c>
      <c r="H2126" s="1138"/>
      <c r="I2126" s="1138"/>
      <c r="J2126" s="1139"/>
      <c r="K2126" s="1111">
        <v>0.628125</v>
      </c>
      <c r="L2126" s="1112">
        <v>6.944444444444445E-4</v>
      </c>
      <c r="M2126" s="1113" t="s">
        <v>166</v>
      </c>
      <c r="N2126" s="110" t="s">
        <v>188</v>
      </c>
      <c r="O2126" s="1140"/>
      <c r="P2126" s="1115" t="s">
        <v>292</v>
      </c>
      <c r="Q2126" s="1116"/>
      <c r="R2126" s="1141"/>
      <c r="S2126" s="1113"/>
      <c r="T2126" s="1143"/>
      <c r="U2126" s="1108" t="s">
        <v>323</v>
      </c>
      <c r="V2126" s="1108"/>
      <c r="W2126" s="1108"/>
      <c r="X2126" s="1108"/>
      <c r="Y2126" s="1108"/>
      <c r="Z2126" s="1114" t="s">
        <v>323</v>
      </c>
      <c r="AA2126" s="1114"/>
      <c r="AB2126" s="1114" t="s">
        <v>323</v>
      </c>
      <c r="AC2126" s="1117" t="s">
        <v>323</v>
      </c>
      <c r="AD2126" s="1115"/>
      <c r="AE2126" s="1115"/>
      <c r="AF2126" s="1115"/>
      <c r="AG2126" s="1115"/>
      <c r="AH2126" s="1115"/>
      <c r="AI2126" s="1115"/>
      <c r="AJ2126" s="1117"/>
      <c r="AK2126" s="1118"/>
      <c r="AL2126" s="1115"/>
      <c r="AM2126" s="1115"/>
      <c r="AN2126" s="1115"/>
      <c r="AO2126" s="1115"/>
      <c r="AP2126" s="1115"/>
      <c r="AQ2126" s="1115"/>
      <c r="AR2126" s="1115"/>
      <c r="AS2126" s="1117"/>
      <c r="AT2126" s="1196" t="str">
        <f t="shared" si="428"/>
        <v/>
      </c>
      <c r="AU2126" s="1193"/>
      <c r="AV2126" s="330">
        <f>SQRT(($R2126-Infrastructure!J$3)^2+($S2126-Infrastructure!K$3)^2)</f>
        <v>28.90155705</v>
      </c>
      <c r="AW2126" s="331">
        <f>SQRT(($R2126-Infrastructure!J$4)^2+($S2126-Infrastructure!K$4)^2)</f>
        <v>17.80252791</v>
      </c>
      <c r="AX2126" s="331">
        <f>SQRT(($R2126-Infrastructure!J$5)^2+($S2126-Infrastructure!K$5)^2)</f>
        <v>5.10881591</v>
      </c>
      <c r="AY2126" s="331">
        <f>SQRT(($R2126-Infrastructure!J$6)^2+($S2126-Infrastructure!K$6)^2)</f>
        <v>10.10445446</v>
      </c>
      <c r="AZ2126" s="331">
        <f>SQRT(($R2126-Infrastructure!J$7)^2+($S2126-Infrastructure!K$7)^2)</f>
        <v>20.502195</v>
      </c>
      <c r="BA2126" s="331">
        <f>SQRT(($R2126-Infrastructure!J$8)^2+($S2126-Infrastructure!K$8)^2)</f>
        <v>30.10149498</v>
      </c>
      <c r="BB2126" s="331">
        <f>SQRT(($R2126-Infrastructure!J$9)^2+($S2126-Infrastructure!K$9)^2)</f>
        <v>40.3238143</v>
      </c>
      <c r="BC2126" s="331">
        <f>SQRT(($R2126-Infrastructure!J$10)^2+($S2126-Infrastructure!K$10)^2)</f>
        <v>42.72001873</v>
      </c>
      <c r="BD2126" s="331">
        <f>SQRT(($R2126-Infrastructure!J$11)^2+($S2126-Infrastructure!K$11)^2)</f>
        <v>49.56853841</v>
      </c>
      <c r="BE2126" s="333">
        <f>SQRT(($R2126-Infrastructure!J$12)^2+($S2126-Infrastructure!K$12)^2)</f>
        <v>59.51890456</v>
      </c>
      <c r="BF2126" s="330">
        <f t="shared" si="161"/>
        <v>5.10881591</v>
      </c>
      <c r="BG2126" s="333">
        <f t="shared" si="162"/>
        <v>59.51890456</v>
      </c>
      <c r="BH2126" s="1119"/>
      <c r="BI2126" s="319" t="str">
        <f t="shared" ref="BI2126:BR2126" si="1103">IF(ISNUMBER(FIND(BI$3, $CO2126)), "Y", "")</f>
        <v>Y</v>
      </c>
      <c r="BJ2126" s="319" t="str">
        <f t="shared" si="1103"/>
        <v/>
      </c>
      <c r="BK2126" s="319" t="str">
        <f t="shared" si="1103"/>
        <v>Y</v>
      </c>
      <c r="BL2126" s="319" t="str">
        <f t="shared" si="1103"/>
        <v/>
      </c>
      <c r="BM2126" s="319" t="str">
        <f t="shared" si="1103"/>
        <v/>
      </c>
      <c r="BN2126" s="319" t="str">
        <f t="shared" si="1103"/>
        <v>Y</v>
      </c>
      <c r="BO2126" s="319" t="str">
        <f t="shared" si="1103"/>
        <v/>
      </c>
      <c r="BP2126" s="319" t="str">
        <f t="shared" si="1103"/>
        <v/>
      </c>
      <c r="BQ2126" s="319" t="str">
        <f t="shared" si="1103"/>
        <v>Y</v>
      </c>
      <c r="BR2126" s="319" t="str">
        <f t="shared" si="1103"/>
        <v>Y</v>
      </c>
      <c r="BS2126" s="330">
        <f t="shared" si="185"/>
        <v>5.10881591</v>
      </c>
      <c r="BT2126" s="331">
        <f t="shared" si="170"/>
        <v>59.51890456</v>
      </c>
      <c r="BU2126" s="920">
        <v>0.6280902777777778</v>
      </c>
      <c r="BV2126" s="903">
        <f t="shared" si="186"/>
        <v>0.0006597222222</v>
      </c>
      <c r="BW2126" s="908">
        <v>13.9</v>
      </c>
      <c r="BX2126" s="908">
        <v>40.3</v>
      </c>
      <c r="BY2126" s="331">
        <f t="shared" si="201"/>
        <v>42.62980178</v>
      </c>
      <c r="BZ2126" s="331"/>
      <c r="CA2126" s="462" t="str">
        <f t="shared" ref="CA2126:CJ2126" si="1104">IF(ISNUMBER(FIND(BI$3, $CP2126)), "Y", "")</f>
        <v/>
      </c>
      <c r="CB2126" s="319" t="str">
        <f t="shared" si="1104"/>
        <v/>
      </c>
      <c r="CC2126" s="319" t="str">
        <f t="shared" si="1104"/>
        <v/>
      </c>
      <c r="CD2126" s="319" t="str">
        <f t="shared" si="1104"/>
        <v/>
      </c>
      <c r="CE2126" s="319" t="str">
        <f t="shared" si="1104"/>
        <v/>
      </c>
      <c r="CF2126" s="319" t="str">
        <f t="shared" si="1104"/>
        <v/>
      </c>
      <c r="CG2126" s="319" t="str">
        <f t="shared" si="1104"/>
        <v/>
      </c>
      <c r="CH2126" s="319" t="str">
        <f t="shared" si="1104"/>
        <v/>
      </c>
      <c r="CI2126" s="319" t="str">
        <f t="shared" si="1104"/>
        <v/>
      </c>
      <c r="CJ2126" s="319" t="str">
        <f t="shared" si="1104"/>
        <v/>
      </c>
      <c r="CK2126" s="342">
        <f t="shared" si="182"/>
        <v>0</v>
      </c>
      <c r="CL2126" s="333">
        <f t="shared" si="183"/>
        <v>0</v>
      </c>
      <c r="CM2126" s="1079"/>
      <c r="CN2126" s="1005" t="s">
        <v>3161</v>
      </c>
      <c r="CO2126" s="1005" t="s">
        <v>2364</v>
      </c>
      <c r="CP2126" s="1005"/>
    </row>
    <row r="2127">
      <c r="A2127" s="1258"/>
      <c r="B2127" s="1129" t="s">
        <v>1792</v>
      </c>
      <c r="C2127" s="1122">
        <v>45625.0</v>
      </c>
      <c r="D2127" s="1123"/>
      <c r="E2127" s="1144"/>
      <c r="F2127" s="108" t="s">
        <v>3162</v>
      </c>
      <c r="G2127" s="1126">
        <v>0.6291666666666667</v>
      </c>
      <c r="H2127" s="1145"/>
      <c r="I2127" s="1145"/>
      <c r="J2127" s="1146"/>
      <c r="K2127" s="1127">
        <v>0.6309027777777778</v>
      </c>
      <c r="L2127" s="1128">
        <v>0.001736111111111111</v>
      </c>
      <c r="M2127" s="1129" t="s">
        <v>358</v>
      </c>
      <c r="N2127" s="100" t="s">
        <v>188</v>
      </c>
      <c r="O2127" s="1161"/>
      <c r="P2127" s="1131" t="s">
        <v>294</v>
      </c>
      <c r="Q2127" s="1132"/>
      <c r="R2127" s="1148"/>
      <c r="S2127" s="1129"/>
      <c r="T2127" s="1150"/>
      <c r="U2127" s="1124" t="s">
        <v>323</v>
      </c>
      <c r="V2127" s="1124"/>
      <c r="W2127" s="1124"/>
      <c r="X2127" s="1124"/>
      <c r="Y2127" s="1124"/>
      <c r="Z2127" s="1130" t="s">
        <v>323</v>
      </c>
      <c r="AA2127" s="1130"/>
      <c r="AB2127" s="1130" t="s">
        <v>323</v>
      </c>
      <c r="AC2127" s="1133" t="s">
        <v>323</v>
      </c>
      <c r="AD2127" s="1131"/>
      <c r="AE2127" s="1131"/>
      <c r="AF2127" s="1131"/>
      <c r="AG2127" s="1131"/>
      <c r="AH2127" s="1131"/>
      <c r="AI2127" s="1131"/>
      <c r="AJ2127" s="1133"/>
      <c r="AK2127" s="1134"/>
      <c r="AL2127" s="1131"/>
      <c r="AM2127" s="1131"/>
      <c r="AN2127" s="1131"/>
      <c r="AO2127" s="1131"/>
      <c r="AP2127" s="1131"/>
      <c r="AQ2127" s="1131"/>
      <c r="AR2127" s="1131"/>
      <c r="AS2127" s="1133"/>
      <c r="AT2127" s="1197" t="str">
        <f t="shared" si="428"/>
        <v/>
      </c>
      <c r="AU2127" s="1194"/>
      <c r="AV2127" s="662">
        <f>SQRT(($R2127-Infrastructure!J$3)^2+($S2127-Infrastructure!K$3)^2)</f>
        <v>28.90155705</v>
      </c>
      <c r="AW2127" s="641">
        <f>SQRT(($R2127-Infrastructure!J$4)^2+($S2127-Infrastructure!K$4)^2)</f>
        <v>17.80252791</v>
      </c>
      <c r="AX2127" s="641">
        <f>SQRT(($R2127-Infrastructure!J$5)^2+($S2127-Infrastructure!K$5)^2)</f>
        <v>5.10881591</v>
      </c>
      <c r="AY2127" s="641">
        <f>SQRT(($R2127-Infrastructure!J$6)^2+($S2127-Infrastructure!K$6)^2)</f>
        <v>10.10445446</v>
      </c>
      <c r="AZ2127" s="641">
        <f>SQRT(($R2127-Infrastructure!J$7)^2+($S2127-Infrastructure!K$7)^2)</f>
        <v>20.502195</v>
      </c>
      <c r="BA2127" s="641">
        <f>SQRT(($R2127-Infrastructure!J$8)^2+($S2127-Infrastructure!K$8)^2)</f>
        <v>30.10149498</v>
      </c>
      <c r="BB2127" s="641">
        <f>SQRT(($R2127-Infrastructure!J$9)^2+($S2127-Infrastructure!K$9)^2)</f>
        <v>40.3238143</v>
      </c>
      <c r="BC2127" s="641">
        <f>SQRT(($R2127-Infrastructure!J$10)^2+($S2127-Infrastructure!K$10)^2)</f>
        <v>42.72001873</v>
      </c>
      <c r="BD2127" s="641">
        <f>SQRT(($R2127-Infrastructure!J$11)^2+($S2127-Infrastructure!K$11)^2)</f>
        <v>49.56853841</v>
      </c>
      <c r="BE2127" s="642">
        <f>SQRT(($R2127-Infrastructure!J$12)^2+($S2127-Infrastructure!K$12)^2)</f>
        <v>59.51890456</v>
      </c>
      <c r="BF2127" s="662">
        <f t="shared" si="161"/>
        <v>5.10881591</v>
      </c>
      <c r="BG2127" s="642">
        <f t="shared" si="162"/>
        <v>59.51890456</v>
      </c>
      <c r="BH2127" s="1135"/>
      <c r="BI2127" s="663" t="str">
        <f t="shared" ref="BI2127:BR2127" si="1105">IF(ISNUMBER(FIND(BI$3, $CO2127)), "Y", "")</f>
        <v/>
      </c>
      <c r="BJ2127" s="663" t="str">
        <f t="shared" si="1105"/>
        <v/>
      </c>
      <c r="BK2127" s="663" t="str">
        <f t="shared" si="1105"/>
        <v/>
      </c>
      <c r="BL2127" s="663" t="str">
        <f t="shared" si="1105"/>
        <v/>
      </c>
      <c r="BM2127" s="663" t="str">
        <f t="shared" si="1105"/>
        <v/>
      </c>
      <c r="BN2127" s="663" t="str">
        <f t="shared" si="1105"/>
        <v/>
      </c>
      <c r="BO2127" s="663" t="str">
        <f t="shared" si="1105"/>
        <v/>
      </c>
      <c r="BP2127" s="663" t="str">
        <f t="shared" si="1105"/>
        <v/>
      </c>
      <c r="BQ2127" s="663" t="str">
        <f t="shared" si="1105"/>
        <v/>
      </c>
      <c r="BR2127" s="663" t="str">
        <f t="shared" si="1105"/>
        <v/>
      </c>
      <c r="BS2127" s="662">
        <f t="shared" si="185"/>
        <v>0</v>
      </c>
      <c r="BT2127" s="641">
        <f t="shared" si="170"/>
        <v>0</v>
      </c>
      <c r="BU2127" s="937"/>
      <c r="BV2127" s="930" t="str">
        <f t="shared" si="186"/>
        <v/>
      </c>
      <c r="BW2127" s="939"/>
      <c r="BX2127" s="939"/>
      <c r="BY2127" s="641" t="b">
        <f t="shared" si="201"/>
        <v>0</v>
      </c>
      <c r="BZ2127" s="641"/>
      <c r="CA2127" s="635" t="str">
        <f t="shared" ref="CA2127:CJ2127" si="1106">IF(ISNUMBER(FIND(BI$3, $CP2127)), "Y", "")</f>
        <v/>
      </c>
      <c r="CB2127" s="663" t="str">
        <f t="shared" si="1106"/>
        <v/>
      </c>
      <c r="CC2127" s="663" t="str">
        <f t="shared" si="1106"/>
        <v/>
      </c>
      <c r="CD2127" s="663" t="str">
        <f t="shared" si="1106"/>
        <v/>
      </c>
      <c r="CE2127" s="663" t="str">
        <f t="shared" si="1106"/>
        <v/>
      </c>
      <c r="CF2127" s="663" t="str">
        <f t="shared" si="1106"/>
        <v/>
      </c>
      <c r="CG2127" s="663" t="str">
        <f t="shared" si="1106"/>
        <v/>
      </c>
      <c r="CH2127" s="663" t="str">
        <f t="shared" si="1106"/>
        <v/>
      </c>
      <c r="CI2127" s="663" t="str">
        <f t="shared" si="1106"/>
        <v/>
      </c>
      <c r="CJ2127" s="663" t="str">
        <f t="shared" si="1106"/>
        <v/>
      </c>
      <c r="CK2127" s="743">
        <f t="shared" si="182"/>
        <v>0</v>
      </c>
      <c r="CL2127" s="642">
        <f t="shared" si="183"/>
        <v>0</v>
      </c>
      <c r="CM2127" s="1090"/>
      <c r="CN2127" s="1036" t="s">
        <v>3161</v>
      </c>
      <c r="CO2127" s="1036"/>
      <c r="CP2127" s="1036"/>
    </row>
    <row r="2128">
      <c r="A2128" s="1257" t="s">
        <v>142</v>
      </c>
      <c r="B2128" s="1113" t="s">
        <v>1799</v>
      </c>
      <c r="C2128" s="1107">
        <v>45628.0</v>
      </c>
      <c r="D2128" s="1113" t="s">
        <v>986</v>
      </c>
      <c r="E2128" s="1108" t="s">
        <v>1857</v>
      </c>
      <c r="F2128" s="112" t="s">
        <v>3163</v>
      </c>
      <c r="G2128" s="1110">
        <v>0.37604166666666666</v>
      </c>
      <c r="H2128" s="1110">
        <v>0.3767361111111111</v>
      </c>
      <c r="I2128" s="1110"/>
      <c r="J2128" s="1111"/>
      <c r="K2128" s="1111">
        <v>0.4623263888888889</v>
      </c>
      <c r="L2128" s="1112">
        <v>0.08559027777777778</v>
      </c>
      <c r="M2128" s="1113" t="s">
        <v>166</v>
      </c>
      <c r="N2128" s="110" t="s">
        <v>187</v>
      </c>
      <c r="O2128" s="1115" t="s">
        <v>207</v>
      </c>
      <c r="P2128" s="1115" t="s">
        <v>226</v>
      </c>
      <c r="Q2128" s="1116"/>
      <c r="R2128" s="120">
        <v>26.0</v>
      </c>
      <c r="S2128" s="1113">
        <v>13.3</v>
      </c>
      <c r="T2128" s="110">
        <v>0.1</v>
      </c>
      <c r="U2128" s="1108">
        <v>0.5</v>
      </c>
      <c r="V2128" s="1108"/>
      <c r="W2128" s="1108"/>
      <c r="X2128" s="1108"/>
      <c r="Y2128" s="1108"/>
      <c r="Z2128" s="1114" t="s">
        <v>374</v>
      </c>
      <c r="AA2128" s="1114"/>
      <c r="AB2128" s="1114" t="s">
        <v>380</v>
      </c>
      <c r="AC2128" s="1117">
        <v>4.0</v>
      </c>
      <c r="AD2128" s="1115"/>
      <c r="AE2128" s="1115"/>
      <c r="AF2128" s="1115"/>
      <c r="AG2128" s="1115"/>
      <c r="AH2128" s="1115"/>
      <c r="AI2128" s="1115"/>
      <c r="AJ2128" s="1117"/>
      <c r="AK2128" s="1118"/>
      <c r="AL2128" s="1115"/>
      <c r="AM2128" s="1115"/>
      <c r="AN2128" s="1115"/>
      <c r="AO2128" s="1115"/>
      <c r="AP2128" s="1115"/>
      <c r="AQ2128" s="1115"/>
      <c r="AR2128" s="1115"/>
      <c r="AS2128" s="1117"/>
      <c r="AT2128" s="1196" t="str">
        <f t="shared" si="428"/>
        <v>0-1</v>
      </c>
      <c r="AU2128" s="1193"/>
      <c r="AV2128" s="330">
        <f>SQRT(($R2128-Infrastructure!J$3)^2+($S2128-Infrastructure!K$3)^2)</f>
        <v>30.57858728</v>
      </c>
      <c r="AW2128" s="331">
        <f>SQRT(($R2128-Infrastructure!J$4)^2+($S2128-Infrastructure!K$4)^2)</f>
        <v>26.68220381</v>
      </c>
      <c r="AX2128" s="331">
        <f>SQRT(($R2128-Infrastructure!J$5)^2+($S2128-Infrastructure!K$5)^2)</f>
        <v>27.54868418</v>
      </c>
      <c r="AY2128" s="331">
        <f>SQRT(($R2128-Infrastructure!J$6)^2+($S2128-Infrastructure!K$6)^2)</f>
        <v>20.53801354</v>
      </c>
      <c r="AZ2128" s="331">
        <f>SQRT(($R2128-Infrastructure!J$7)^2+($S2128-Infrastructure!K$7)^2)</f>
        <v>14.11559421</v>
      </c>
      <c r="BA2128" s="331">
        <f>SQRT(($R2128-Infrastructure!J$8)^2+($S2128-Infrastructure!K$8)^2)</f>
        <v>13.63121418</v>
      </c>
      <c r="BB2128" s="331">
        <f>SQRT(($R2128-Infrastructure!J$9)^2+($S2128-Infrastructure!K$9)^2)</f>
        <v>16.22467257</v>
      </c>
      <c r="BC2128" s="331">
        <f>SQRT(($R2128-Infrastructure!J$10)^2+($S2128-Infrastructure!K$10)^2)</f>
        <v>14.10283659</v>
      </c>
      <c r="BD2128" s="331">
        <f>SQRT(($R2128-Infrastructure!J$11)^2+($S2128-Infrastructure!K$11)^2)</f>
        <v>21.16908123</v>
      </c>
      <c r="BE2128" s="333">
        <f>SQRT(($R2128-Infrastructure!J$12)^2+($S2128-Infrastructure!K$12)^2)</f>
        <v>42.4392507</v>
      </c>
      <c r="BF2128" s="330">
        <f t="shared" si="161"/>
        <v>13.63121418</v>
      </c>
      <c r="BG2128" s="333">
        <f t="shared" si="162"/>
        <v>42.4392507</v>
      </c>
      <c r="BH2128" s="1119"/>
      <c r="BI2128" s="319" t="str">
        <f t="shared" ref="BI2128:BR2128" si="1107">IF(ISNUMBER(FIND(BI$3, $CO2128)), "Y", "")</f>
        <v/>
      </c>
      <c r="BJ2128" s="319" t="str">
        <f t="shared" si="1107"/>
        <v/>
      </c>
      <c r="BK2128" s="319" t="str">
        <f t="shared" si="1107"/>
        <v/>
      </c>
      <c r="BL2128" s="319" t="str">
        <f t="shared" si="1107"/>
        <v/>
      </c>
      <c r="BM2128" s="319" t="str">
        <f t="shared" si="1107"/>
        <v/>
      </c>
      <c r="BN2128" s="319" t="str">
        <f t="shared" si="1107"/>
        <v/>
      </c>
      <c r="BO2128" s="319" t="str">
        <f t="shared" si="1107"/>
        <v/>
      </c>
      <c r="BP2128" s="319" t="str">
        <f t="shared" si="1107"/>
        <v/>
      </c>
      <c r="BQ2128" s="319" t="str">
        <f t="shared" si="1107"/>
        <v/>
      </c>
      <c r="BR2128" s="319" t="str">
        <f t="shared" si="1107"/>
        <v/>
      </c>
      <c r="BS2128" s="330">
        <f t="shared" si="185"/>
        <v>0</v>
      </c>
      <c r="BT2128" s="331">
        <f t="shared" si="170"/>
        <v>0</v>
      </c>
      <c r="BU2128" s="920"/>
      <c r="BV2128" s="903" t="str">
        <f t="shared" si="186"/>
        <v/>
      </c>
      <c r="BW2128" s="908"/>
      <c r="BX2128" s="908"/>
      <c r="BY2128" s="331" t="b">
        <f t="shared" si="201"/>
        <v>0</v>
      </c>
      <c r="BZ2128" s="331"/>
      <c r="CA2128" s="462" t="str">
        <f t="shared" ref="CA2128:CJ2128" si="1108">IF(ISNUMBER(FIND(BI$3, $CP2128)), "Y", "")</f>
        <v/>
      </c>
      <c r="CB2128" s="319" t="str">
        <f t="shared" si="1108"/>
        <v/>
      </c>
      <c r="CC2128" s="319" t="str">
        <f t="shared" si="1108"/>
        <v/>
      </c>
      <c r="CD2128" s="319" t="str">
        <f t="shared" si="1108"/>
        <v/>
      </c>
      <c r="CE2128" s="319" t="str">
        <f t="shared" si="1108"/>
        <v/>
      </c>
      <c r="CF2128" s="319" t="str">
        <f t="shared" si="1108"/>
        <v/>
      </c>
      <c r="CG2128" s="319" t="str">
        <f t="shared" si="1108"/>
        <v/>
      </c>
      <c r="CH2128" s="319" t="str">
        <f t="shared" si="1108"/>
        <v/>
      </c>
      <c r="CI2128" s="319" t="str">
        <f t="shared" si="1108"/>
        <v/>
      </c>
      <c r="CJ2128" s="319" t="str">
        <f t="shared" si="1108"/>
        <v/>
      </c>
      <c r="CK2128" s="342">
        <f t="shared" si="182"/>
        <v>0</v>
      </c>
      <c r="CL2128" s="333">
        <f t="shared" si="183"/>
        <v>0</v>
      </c>
      <c r="CM2128" s="1079"/>
      <c r="CN2128" s="1005" t="s">
        <v>3164</v>
      </c>
      <c r="CO2128" s="1005"/>
      <c r="CP2128" s="1005"/>
    </row>
    <row r="2129">
      <c r="A2129" s="266"/>
      <c r="B2129" s="1113" t="s">
        <v>1799</v>
      </c>
      <c r="C2129" s="1107">
        <v>45628.0</v>
      </c>
      <c r="D2129" s="1113" t="s">
        <v>986</v>
      </c>
      <c r="E2129" s="1108" t="s">
        <v>1878</v>
      </c>
      <c r="F2129" s="112" t="s">
        <v>3165</v>
      </c>
      <c r="G2129" s="1110">
        <v>0.4623263888888889</v>
      </c>
      <c r="H2129" s="1110">
        <v>0.46284722222222224</v>
      </c>
      <c r="I2129" s="1110"/>
      <c r="J2129" s="1111"/>
      <c r="K2129" s="1111">
        <v>0.5045138888888889</v>
      </c>
      <c r="L2129" s="1112">
        <v>0.041666666666666664</v>
      </c>
      <c r="M2129" s="1113" t="s">
        <v>166</v>
      </c>
      <c r="N2129" s="110" t="s">
        <v>187</v>
      </c>
      <c r="O2129" s="1115" t="s">
        <v>207</v>
      </c>
      <c r="P2129" s="1115" t="s">
        <v>226</v>
      </c>
      <c r="Q2129" s="1116"/>
      <c r="R2129" s="120">
        <v>26.0</v>
      </c>
      <c r="S2129" s="1113">
        <v>13.3</v>
      </c>
      <c r="T2129" s="110">
        <v>0.1</v>
      </c>
      <c r="U2129" s="1108">
        <v>0.9</v>
      </c>
      <c r="V2129" s="1108"/>
      <c r="W2129" s="1108"/>
      <c r="X2129" s="1108"/>
      <c r="Y2129" s="1108"/>
      <c r="Z2129" s="1114" t="s">
        <v>374</v>
      </c>
      <c r="AA2129" s="1114"/>
      <c r="AB2129" s="1114" t="s">
        <v>380</v>
      </c>
      <c r="AC2129" s="1117">
        <v>4.0</v>
      </c>
      <c r="AD2129" s="1115"/>
      <c r="AE2129" s="1115"/>
      <c r="AF2129" s="1115"/>
      <c r="AG2129" s="1115"/>
      <c r="AH2129" s="1115"/>
      <c r="AI2129" s="1115"/>
      <c r="AJ2129" s="1117"/>
      <c r="AK2129" s="1118"/>
      <c r="AL2129" s="1115"/>
      <c r="AM2129" s="1115"/>
      <c r="AN2129" s="1115"/>
      <c r="AO2129" s="1115"/>
      <c r="AP2129" s="1115"/>
      <c r="AQ2129" s="1115"/>
      <c r="AR2129" s="1115"/>
      <c r="AS2129" s="1117"/>
      <c r="AT2129" s="1196" t="str">
        <f t="shared" si="428"/>
        <v>0-1</v>
      </c>
      <c r="AU2129" s="1193"/>
      <c r="AV2129" s="330">
        <f>SQRT(($R2129-Infrastructure!J$3)^2+($S2129-Infrastructure!K$3)^2)</f>
        <v>30.57858728</v>
      </c>
      <c r="AW2129" s="331">
        <f>SQRT(($R2129-Infrastructure!J$4)^2+($S2129-Infrastructure!K$4)^2)</f>
        <v>26.68220381</v>
      </c>
      <c r="AX2129" s="331">
        <f>SQRT(($R2129-Infrastructure!J$5)^2+($S2129-Infrastructure!K$5)^2)</f>
        <v>27.54868418</v>
      </c>
      <c r="AY2129" s="331">
        <f>SQRT(($R2129-Infrastructure!J$6)^2+($S2129-Infrastructure!K$6)^2)</f>
        <v>20.53801354</v>
      </c>
      <c r="AZ2129" s="331">
        <f>SQRT(($R2129-Infrastructure!J$7)^2+($S2129-Infrastructure!K$7)^2)</f>
        <v>14.11559421</v>
      </c>
      <c r="BA2129" s="331">
        <f>SQRT(($R2129-Infrastructure!J$8)^2+($S2129-Infrastructure!K$8)^2)</f>
        <v>13.63121418</v>
      </c>
      <c r="BB2129" s="331">
        <f>SQRT(($R2129-Infrastructure!J$9)^2+($S2129-Infrastructure!K$9)^2)</f>
        <v>16.22467257</v>
      </c>
      <c r="BC2129" s="331">
        <f>SQRT(($R2129-Infrastructure!J$10)^2+($S2129-Infrastructure!K$10)^2)</f>
        <v>14.10283659</v>
      </c>
      <c r="BD2129" s="331">
        <f>SQRT(($R2129-Infrastructure!J$11)^2+($S2129-Infrastructure!K$11)^2)</f>
        <v>21.16908123</v>
      </c>
      <c r="BE2129" s="333">
        <f>SQRT(($R2129-Infrastructure!J$12)^2+($S2129-Infrastructure!K$12)^2)</f>
        <v>42.4392507</v>
      </c>
      <c r="BF2129" s="330">
        <f t="shared" si="161"/>
        <v>13.63121418</v>
      </c>
      <c r="BG2129" s="333">
        <f t="shared" si="162"/>
        <v>42.4392507</v>
      </c>
      <c r="BH2129" s="1119"/>
      <c r="BI2129" s="319" t="str">
        <f t="shared" ref="BI2129:BR2129" si="1109">IF(ISNUMBER(FIND(BI$3, $CO2129)), "Y", "")</f>
        <v/>
      </c>
      <c r="BJ2129" s="319" t="str">
        <f t="shared" si="1109"/>
        <v/>
      </c>
      <c r="BK2129" s="319" t="str">
        <f t="shared" si="1109"/>
        <v>Y</v>
      </c>
      <c r="BL2129" s="319" t="str">
        <f t="shared" si="1109"/>
        <v/>
      </c>
      <c r="BM2129" s="319" t="str">
        <f t="shared" si="1109"/>
        <v>Y</v>
      </c>
      <c r="BN2129" s="319" t="str">
        <f t="shared" si="1109"/>
        <v>Y</v>
      </c>
      <c r="BO2129" s="319" t="str">
        <f t="shared" si="1109"/>
        <v>Y</v>
      </c>
      <c r="BP2129" s="319" t="str">
        <f t="shared" si="1109"/>
        <v/>
      </c>
      <c r="BQ2129" s="319" t="str">
        <f t="shared" si="1109"/>
        <v>Y</v>
      </c>
      <c r="BR2129" s="319" t="str">
        <f t="shared" si="1109"/>
        <v>Y</v>
      </c>
      <c r="BS2129" s="330">
        <f t="shared" si="185"/>
        <v>13.63121418</v>
      </c>
      <c r="BT2129" s="331">
        <f t="shared" si="170"/>
        <v>42.4392507</v>
      </c>
      <c r="BU2129" s="920">
        <v>0.48131944444444447</v>
      </c>
      <c r="BV2129" s="903">
        <f t="shared" si="186"/>
        <v>0.01899305556</v>
      </c>
      <c r="BW2129" s="908">
        <v>20.4</v>
      </c>
      <c r="BX2129" s="908">
        <v>54.9</v>
      </c>
      <c r="BY2129" s="331">
        <f t="shared" si="201"/>
        <v>41.97523079</v>
      </c>
      <c r="BZ2129" s="331"/>
      <c r="CA2129" s="462" t="str">
        <f t="shared" ref="CA2129:CJ2129" si="1110">IF(ISNUMBER(FIND(BI$3, $CP2129)), "Y", "")</f>
        <v/>
      </c>
      <c r="CB2129" s="319" t="str">
        <f t="shared" si="1110"/>
        <v/>
      </c>
      <c r="CC2129" s="319" t="str">
        <f t="shared" si="1110"/>
        <v/>
      </c>
      <c r="CD2129" s="319" t="str">
        <f t="shared" si="1110"/>
        <v/>
      </c>
      <c r="CE2129" s="319" t="str">
        <f t="shared" si="1110"/>
        <v/>
      </c>
      <c r="CF2129" s="319" t="str">
        <f t="shared" si="1110"/>
        <v/>
      </c>
      <c r="CG2129" s="319" t="str">
        <f t="shared" si="1110"/>
        <v/>
      </c>
      <c r="CH2129" s="319" t="str">
        <f t="shared" si="1110"/>
        <v/>
      </c>
      <c r="CI2129" s="319" t="str">
        <f t="shared" si="1110"/>
        <v/>
      </c>
      <c r="CJ2129" s="319" t="str">
        <f t="shared" si="1110"/>
        <v/>
      </c>
      <c r="CK2129" s="342">
        <f t="shared" si="182"/>
        <v>0</v>
      </c>
      <c r="CL2129" s="333">
        <f t="shared" si="183"/>
        <v>0</v>
      </c>
      <c r="CM2129" s="1079"/>
      <c r="CN2129" s="1005" t="s">
        <v>3164</v>
      </c>
      <c r="CO2129" s="1005" t="s">
        <v>3166</v>
      </c>
      <c r="CP2129" s="1005"/>
    </row>
    <row r="2130">
      <c r="A2130" s="266"/>
      <c r="B2130" s="1113" t="s">
        <v>1799</v>
      </c>
      <c r="C2130" s="1107">
        <v>45628.0</v>
      </c>
      <c r="D2130" s="1113" t="s">
        <v>986</v>
      </c>
      <c r="E2130" s="1108" t="s">
        <v>1903</v>
      </c>
      <c r="F2130" s="112" t="s">
        <v>3167</v>
      </c>
      <c r="G2130" s="1110">
        <v>0.5045138888888889</v>
      </c>
      <c r="H2130" s="1110">
        <v>0.5048611111111111</v>
      </c>
      <c r="I2130" s="1110"/>
      <c r="J2130" s="1111"/>
      <c r="K2130" s="1111">
        <v>0.590625</v>
      </c>
      <c r="L2130" s="1112">
        <v>0.08576388888888889</v>
      </c>
      <c r="M2130" s="1113" t="s">
        <v>166</v>
      </c>
      <c r="N2130" s="110" t="s">
        <v>187</v>
      </c>
      <c r="O2130" s="1115" t="s">
        <v>207</v>
      </c>
      <c r="P2130" s="1115" t="s">
        <v>226</v>
      </c>
      <c r="Q2130" s="1116"/>
      <c r="R2130" s="120">
        <v>26.0</v>
      </c>
      <c r="S2130" s="1113">
        <v>13.3</v>
      </c>
      <c r="T2130" s="110">
        <v>0.1</v>
      </c>
      <c r="U2130" s="1108">
        <v>0.6</v>
      </c>
      <c r="V2130" s="1108"/>
      <c r="W2130" s="1108"/>
      <c r="X2130" s="1108"/>
      <c r="Y2130" s="1108"/>
      <c r="Z2130" s="1114" t="s">
        <v>374</v>
      </c>
      <c r="AA2130" s="1114"/>
      <c r="AB2130" s="1114" t="s">
        <v>380</v>
      </c>
      <c r="AC2130" s="1117">
        <v>4.0</v>
      </c>
      <c r="AD2130" s="1115"/>
      <c r="AE2130" s="1115"/>
      <c r="AF2130" s="1115"/>
      <c r="AG2130" s="1115"/>
      <c r="AH2130" s="1115"/>
      <c r="AI2130" s="1115"/>
      <c r="AJ2130" s="1117"/>
      <c r="AK2130" s="1118"/>
      <c r="AL2130" s="1115"/>
      <c r="AM2130" s="1115"/>
      <c r="AN2130" s="1115"/>
      <c r="AO2130" s="1115"/>
      <c r="AP2130" s="1115"/>
      <c r="AQ2130" s="1115"/>
      <c r="AR2130" s="1115"/>
      <c r="AS2130" s="1117"/>
      <c r="AT2130" s="1196" t="str">
        <f t="shared" si="428"/>
        <v>0-1</v>
      </c>
      <c r="AU2130" s="1193"/>
      <c r="AV2130" s="330">
        <f>SQRT(($R2130-Infrastructure!J$3)^2+($S2130-Infrastructure!K$3)^2)</f>
        <v>30.57858728</v>
      </c>
      <c r="AW2130" s="331">
        <f>SQRT(($R2130-Infrastructure!J$4)^2+($S2130-Infrastructure!K$4)^2)</f>
        <v>26.68220381</v>
      </c>
      <c r="AX2130" s="331">
        <f>SQRT(($R2130-Infrastructure!J$5)^2+($S2130-Infrastructure!K$5)^2)</f>
        <v>27.54868418</v>
      </c>
      <c r="AY2130" s="331">
        <f>SQRT(($R2130-Infrastructure!J$6)^2+($S2130-Infrastructure!K$6)^2)</f>
        <v>20.53801354</v>
      </c>
      <c r="AZ2130" s="331">
        <f>SQRT(($R2130-Infrastructure!J$7)^2+($S2130-Infrastructure!K$7)^2)</f>
        <v>14.11559421</v>
      </c>
      <c r="BA2130" s="331">
        <f>SQRT(($R2130-Infrastructure!J$8)^2+($S2130-Infrastructure!K$8)^2)</f>
        <v>13.63121418</v>
      </c>
      <c r="BB2130" s="331">
        <f>SQRT(($R2130-Infrastructure!J$9)^2+($S2130-Infrastructure!K$9)^2)</f>
        <v>16.22467257</v>
      </c>
      <c r="BC2130" s="331">
        <f>SQRT(($R2130-Infrastructure!J$10)^2+($S2130-Infrastructure!K$10)^2)</f>
        <v>14.10283659</v>
      </c>
      <c r="BD2130" s="331">
        <f>SQRT(($R2130-Infrastructure!J$11)^2+($S2130-Infrastructure!K$11)^2)</f>
        <v>21.16908123</v>
      </c>
      <c r="BE2130" s="333">
        <f>SQRT(($R2130-Infrastructure!J$12)^2+($S2130-Infrastructure!K$12)^2)</f>
        <v>42.4392507</v>
      </c>
      <c r="BF2130" s="330">
        <f t="shared" si="161"/>
        <v>13.63121418</v>
      </c>
      <c r="BG2130" s="333">
        <f t="shared" si="162"/>
        <v>42.4392507</v>
      </c>
      <c r="BH2130" s="1119"/>
      <c r="BI2130" s="319" t="str">
        <f t="shared" ref="BI2130:BR2130" si="1111">IF(ISNUMBER(FIND(BI$3, $CO2130)), "Y", "")</f>
        <v/>
      </c>
      <c r="BJ2130" s="319" t="str">
        <f t="shared" si="1111"/>
        <v/>
      </c>
      <c r="BK2130" s="319" t="str">
        <f t="shared" si="1111"/>
        <v>Y</v>
      </c>
      <c r="BL2130" s="319" t="str">
        <f t="shared" si="1111"/>
        <v/>
      </c>
      <c r="BM2130" s="319" t="str">
        <f t="shared" si="1111"/>
        <v>Y</v>
      </c>
      <c r="BN2130" s="319" t="str">
        <f t="shared" si="1111"/>
        <v>Y</v>
      </c>
      <c r="BO2130" s="319" t="str">
        <f t="shared" si="1111"/>
        <v>Y</v>
      </c>
      <c r="BP2130" s="319" t="str">
        <f t="shared" si="1111"/>
        <v/>
      </c>
      <c r="BQ2130" s="319" t="str">
        <f t="shared" si="1111"/>
        <v/>
      </c>
      <c r="BR2130" s="319" t="str">
        <f t="shared" si="1111"/>
        <v/>
      </c>
      <c r="BS2130" s="330">
        <f t="shared" si="185"/>
        <v>13.63121418</v>
      </c>
      <c r="BT2130" s="331">
        <f t="shared" si="170"/>
        <v>27.54868418</v>
      </c>
      <c r="BU2130" s="920">
        <v>0.5048148148148148</v>
      </c>
      <c r="BV2130" s="903">
        <f t="shared" si="186"/>
        <v>0.0003009259259</v>
      </c>
      <c r="BW2130" s="908">
        <v>19.7</v>
      </c>
      <c r="BX2130" s="908">
        <v>51.1</v>
      </c>
      <c r="BY2130" s="331">
        <f t="shared" si="201"/>
        <v>38.32140394</v>
      </c>
      <c r="BZ2130" s="331"/>
      <c r="CA2130" s="462" t="str">
        <f t="shared" ref="CA2130:CB2130" si="1112">IF(ISNUMBER(FIND(BI$3, $CP2130)), "Y", "")</f>
        <v/>
      </c>
      <c r="CB2130" s="319" t="str">
        <f t="shared" si="1112"/>
        <v/>
      </c>
      <c r="CC2130" s="920"/>
      <c r="CD2130" s="319" t="str">
        <f t="shared" ref="CD2130:CJ2130" si="1113">IF(ISNUMBER(FIND(BL$3, $CP2130)), "Y", "")</f>
        <v/>
      </c>
      <c r="CE2130" s="319" t="str">
        <f t="shared" si="1113"/>
        <v/>
      </c>
      <c r="CF2130" s="319" t="str">
        <f t="shared" si="1113"/>
        <v/>
      </c>
      <c r="CG2130" s="319" t="str">
        <f t="shared" si="1113"/>
        <v/>
      </c>
      <c r="CH2130" s="319" t="str">
        <f t="shared" si="1113"/>
        <v/>
      </c>
      <c r="CI2130" s="319" t="str">
        <f t="shared" si="1113"/>
        <v/>
      </c>
      <c r="CJ2130" s="319" t="str">
        <f t="shared" si="1113"/>
        <v/>
      </c>
      <c r="CK2130" s="342">
        <f t="shared" si="182"/>
        <v>0</v>
      </c>
      <c r="CL2130" s="333">
        <f t="shared" si="183"/>
        <v>0</v>
      </c>
      <c r="CM2130" s="1079"/>
      <c r="CN2130" s="1005" t="s">
        <v>3168</v>
      </c>
      <c r="CO2130" s="1005" t="s">
        <v>3038</v>
      </c>
      <c r="CP2130" s="1005"/>
    </row>
    <row r="2131">
      <c r="A2131" s="1258"/>
      <c r="B2131" s="1129" t="s">
        <v>1799</v>
      </c>
      <c r="C2131" s="1122">
        <v>45628.0</v>
      </c>
      <c r="D2131" s="1123"/>
      <c r="E2131" s="1144"/>
      <c r="F2131" s="108" t="s">
        <v>3169</v>
      </c>
      <c r="G2131" s="1126">
        <v>0.6717592592592593</v>
      </c>
      <c r="H2131" s="1145"/>
      <c r="I2131" s="1145"/>
      <c r="J2131" s="1146"/>
      <c r="K2131" s="1127">
        <v>0.6723958333333333</v>
      </c>
      <c r="L2131" s="1128">
        <v>6.365740740740741E-4</v>
      </c>
      <c r="M2131" s="1129" t="s">
        <v>166</v>
      </c>
      <c r="N2131" s="100" t="s">
        <v>188</v>
      </c>
      <c r="O2131" s="1161"/>
      <c r="P2131" s="1131" t="s">
        <v>292</v>
      </c>
      <c r="Q2131" s="1132"/>
      <c r="R2131" s="1148"/>
      <c r="S2131" s="1129"/>
      <c r="T2131" s="1150"/>
      <c r="U2131" s="1124" t="s">
        <v>323</v>
      </c>
      <c r="V2131" s="1124"/>
      <c r="W2131" s="1124"/>
      <c r="X2131" s="1124"/>
      <c r="Y2131" s="1124"/>
      <c r="Z2131" s="1130" t="s">
        <v>323</v>
      </c>
      <c r="AA2131" s="1130"/>
      <c r="AB2131" s="1130" t="s">
        <v>323</v>
      </c>
      <c r="AC2131" s="1133" t="s">
        <v>323</v>
      </c>
      <c r="AD2131" s="1131"/>
      <c r="AE2131" s="1131"/>
      <c r="AF2131" s="1131"/>
      <c r="AG2131" s="1131"/>
      <c r="AH2131" s="1131"/>
      <c r="AI2131" s="1131"/>
      <c r="AJ2131" s="1133"/>
      <c r="AK2131" s="1134"/>
      <c r="AL2131" s="1131"/>
      <c r="AM2131" s="1131"/>
      <c r="AN2131" s="1131"/>
      <c r="AO2131" s="1131"/>
      <c r="AP2131" s="1131"/>
      <c r="AQ2131" s="1131"/>
      <c r="AR2131" s="1131"/>
      <c r="AS2131" s="1133"/>
      <c r="AT2131" s="1197" t="str">
        <f t="shared" si="428"/>
        <v/>
      </c>
      <c r="AU2131" s="1194"/>
      <c r="AV2131" s="662">
        <f>SQRT(($R2131-Infrastructure!J$3)^2+($S2131-Infrastructure!K$3)^2)</f>
        <v>28.90155705</v>
      </c>
      <c r="AW2131" s="641">
        <f>SQRT(($R2131-Infrastructure!J$4)^2+($S2131-Infrastructure!K$4)^2)</f>
        <v>17.80252791</v>
      </c>
      <c r="AX2131" s="641">
        <f>SQRT(($R2131-Infrastructure!J$5)^2+($S2131-Infrastructure!K$5)^2)</f>
        <v>5.10881591</v>
      </c>
      <c r="AY2131" s="641">
        <f>SQRT(($R2131-Infrastructure!J$6)^2+($S2131-Infrastructure!K$6)^2)</f>
        <v>10.10445446</v>
      </c>
      <c r="AZ2131" s="641">
        <f>SQRT(($R2131-Infrastructure!J$7)^2+($S2131-Infrastructure!K$7)^2)</f>
        <v>20.502195</v>
      </c>
      <c r="BA2131" s="641">
        <f>SQRT(($R2131-Infrastructure!J$8)^2+($S2131-Infrastructure!K$8)^2)</f>
        <v>30.10149498</v>
      </c>
      <c r="BB2131" s="641">
        <f>SQRT(($R2131-Infrastructure!J$9)^2+($S2131-Infrastructure!K$9)^2)</f>
        <v>40.3238143</v>
      </c>
      <c r="BC2131" s="641">
        <f>SQRT(($R2131-Infrastructure!J$10)^2+($S2131-Infrastructure!K$10)^2)</f>
        <v>42.72001873</v>
      </c>
      <c r="BD2131" s="641">
        <f>SQRT(($R2131-Infrastructure!J$11)^2+($S2131-Infrastructure!K$11)^2)</f>
        <v>49.56853841</v>
      </c>
      <c r="BE2131" s="642">
        <f>SQRT(($R2131-Infrastructure!J$12)^2+($S2131-Infrastructure!K$12)^2)</f>
        <v>59.51890456</v>
      </c>
      <c r="BF2131" s="662">
        <f t="shared" si="161"/>
        <v>5.10881591</v>
      </c>
      <c r="BG2131" s="642">
        <f t="shared" si="162"/>
        <v>59.51890456</v>
      </c>
      <c r="BH2131" s="1135"/>
      <c r="BI2131" s="663" t="str">
        <f t="shared" ref="BI2131:BR2131" si="1114">IF(ISNUMBER(FIND(BI$3, $CO2131)), "Y", "")</f>
        <v/>
      </c>
      <c r="BJ2131" s="663" t="str">
        <f t="shared" si="1114"/>
        <v/>
      </c>
      <c r="BK2131" s="663" t="str">
        <f t="shared" si="1114"/>
        <v/>
      </c>
      <c r="BL2131" s="663" t="str">
        <f t="shared" si="1114"/>
        <v/>
      </c>
      <c r="BM2131" s="663" t="str">
        <f t="shared" si="1114"/>
        <v/>
      </c>
      <c r="BN2131" s="663" t="str">
        <f t="shared" si="1114"/>
        <v/>
      </c>
      <c r="BO2131" s="663" t="str">
        <f t="shared" si="1114"/>
        <v/>
      </c>
      <c r="BP2131" s="663" t="str">
        <f t="shared" si="1114"/>
        <v/>
      </c>
      <c r="BQ2131" s="663" t="str">
        <f t="shared" si="1114"/>
        <v/>
      </c>
      <c r="BR2131" s="663" t="str">
        <f t="shared" si="1114"/>
        <v/>
      </c>
      <c r="BS2131" s="662">
        <f t="shared" si="185"/>
        <v>0</v>
      </c>
      <c r="BT2131" s="641">
        <f t="shared" si="170"/>
        <v>0</v>
      </c>
      <c r="BU2131" s="937"/>
      <c r="BV2131" s="930" t="str">
        <f t="shared" si="186"/>
        <v/>
      </c>
      <c r="BW2131" s="939"/>
      <c r="BX2131" s="939"/>
      <c r="BY2131" s="641" t="b">
        <f t="shared" si="201"/>
        <v>0</v>
      </c>
      <c r="BZ2131" s="641"/>
      <c r="CA2131" s="635" t="str">
        <f t="shared" ref="CA2131:CJ2131" si="1115">IF(ISNUMBER(FIND(BI$3, $CP2131)), "Y", "")</f>
        <v/>
      </c>
      <c r="CB2131" s="663" t="str">
        <f t="shared" si="1115"/>
        <v/>
      </c>
      <c r="CC2131" s="663" t="str">
        <f t="shared" si="1115"/>
        <v/>
      </c>
      <c r="CD2131" s="663" t="str">
        <f t="shared" si="1115"/>
        <v/>
      </c>
      <c r="CE2131" s="663" t="str">
        <f t="shared" si="1115"/>
        <v/>
      </c>
      <c r="CF2131" s="663" t="str">
        <f t="shared" si="1115"/>
        <v/>
      </c>
      <c r="CG2131" s="663" t="str">
        <f t="shared" si="1115"/>
        <v/>
      </c>
      <c r="CH2131" s="663" t="str">
        <f t="shared" si="1115"/>
        <v/>
      </c>
      <c r="CI2131" s="663" t="str">
        <f t="shared" si="1115"/>
        <v/>
      </c>
      <c r="CJ2131" s="663" t="str">
        <f t="shared" si="1115"/>
        <v/>
      </c>
      <c r="CK2131" s="743">
        <f t="shared" si="182"/>
        <v>0</v>
      </c>
      <c r="CL2131" s="642">
        <f t="shared" si="183"/>
        <v>0</v>
      </c>
      <c r="CM2131" s="1090"/>
      <c r="CN2131" s="1036" t="s">
        <v>3168</v>
      </c>
      <c r="CO2131" s="1036"/>
      <c r="CP2131" s="1036"/>
    </row>
    <row r="2132">
      <c r="A2132" s="1257" t="s">
        <v>143</v>
      </c>
      <c r="B2132" s="1113" t="s">
        <v>1799</v>
      </c>
      <c r="C2132" s="1107">
        <v>45629.0</v>
      </c>
      <c r="D2132" s="1113" t="s">
        <v>986</v>
      </c>
      <c r="E2132" s="1108">
        <v>16.0</v>
      </c>
      <c r="F2132" s="112" t="s">
        <v>3170</v>
      </c>
      <c r="G2132" s="1110">
        <v>0.3857638888888889</v>
      </c>
      <c r="H2132" s="1110">
        <v>0.3861111111111111</v>
      </c>
      <c r="I2132" s="1110"/>
      <c r="J2132" s="1111"/>
      <c r="K2132" s="1111">
        <v>0.45</v>
      </c>
      <c r="L2132" s="1112">
        <v>0.06388888888888888</v>
      </c>
      <c r="M2132" s="1113" t="s">
        <v>166</v>
      </c>
      <c r="N2132" s="110" t="s">
        <v>187</v>
      </c>
      <c r="O2132" s="1115" t="s">
        <v>206</v>
      </c>
      <c r="P2132" s="1115" t="s">
        <v>296</v>
      </c>
      <c r="Q2132" s="1116"/>
      <c r="R2132" s="120">
        <v>22.0</v>
      </c>
      <c r="S2132" s="1113">
        <v>11.4</v>
      </c>
      <c r="T2132" s="110">
        <v>0.6</v>
      </c>
      <c r="U2132" s="1108">
        <v>1.0</v>
      </c>
      <c r="V2132" s="1108"/>
      <c r="W2132" s="1108"/>
      <c r="X2132" s="1108"/>
      <c r="Y2132" s="1108"/>
      <c r="Z2132" s="1114" t="s">
        <v>347</v>
      </c>
      <c r="AA2132" s="1114"/>
      <c r="AB2132" s="1114" t="s">
        <v>384</v>
      </c>
      <c r="AC2132" s="1117">
        <v>6.0</v>
      </c>
      <c r="AD2132" s="1115"/>
      <c r="AE2132" s="1115"/>
      <c r="AF2132" s="1115"/>
      <c r="AG2132" s="1115"/>
      <c r="AH2132" s="1115"/>
      <c r="AI2132" s="1115"/>
      <c r="AJ2132" s="1117"/>
      <c r="AK2132" s="1118"/>
      <c r="AL2132" s="1115"/>
      <c r="AM2132" s="1115"/>
      <c r="AN2132" s="1115"/>
      <c r="AO2132" s="1115"/>
      <c r="AP2132" s="1115"/>
      <c r="AQ2132" s="1115"/>
      <c r="AR2132" s="1115"/>
      <c r="AS2132" s="1117"/>
      <c r="AT2132" s="1196" t="str">
        <f t="shared" si="428"/>
        <v>1-10</v>
      </c>
      <c r="AU2132" s="1193"/>
      <c r="AV2132" s="330">
        <f>SQRT(($R2132-Infrastructure!J$3)^2+($S2132-Infrastructure!K$3)^2)</f>
        <v>28.34678112</v>
      </c>
      <c r="AW2132" s="331">
        <f>SQRT(($R2132-Infrastructure!J$4)^2+($S2132-Infrastructure!K$4)^2)</f>
        <v>23.20021552</v>
      </c>
      <c r="AX2132" s="331">
        <f>SQRT(($R2132-Infrastructure!J$5)^2+($S2132-Infrastructure!K$5)^2)</f>
        <v>23.17282892</v>
      </c>
      <c r="AY2132" s="331">
        <f>SQRT(($R2132-Infrastructure!J$6)^2+($S2132-Infrastructure!K$6)^2)</f>
        <v>16.273291</v>
      </c>
      <c r="AZ2132" s="331">
        <f>SQRT(($R2132-Infrastructure!J$7)^2+($S2132-Infrastructure!K$7)^2)</f>
        <v>11.20089282</v>
      </c>
      <c r="BA2132" s="331">
        <f>SQRT(($R2132-Infrastructure!J$8)^2+($S2132-Infrastructure!K$8)^2)</f>
        <v>13.74117899</v>
      </c>
      <c r="BB2132" s="331">
        <f>SQRT(($R2132-Infrastructure!J$9)^2+($S2132-Infrastructure!K$9)^2)</f>
        <v>19.07065809</v>
      </c>
      <c r="BC2132" s="331">
        <f>SQRT(($R2132-Infrastructure!J$10)^2+($S2132-Infrastructure!K$10)^2)</f>
        <v>18.35647025</v>
      </c>
      <c r="BD2132" s="331">
        <f>SQRT(($R2132-Infrastructure!J$11)^2+($S2132-Infrastructure!K$11)^2)</f>
        <v>25.3179778</v>
      </c>
      <c r="BE2132" s="333">
        <f>SQRT(($R2132-Infrastructure!J$12)^2+($S2132-Infrastructure!K$12)^2)</f>
        <v>44.10283438</v>
      </c>
      <c r="BF2132" s="330">
        <f t="shared" si="161"/>
        <v>11.20089282</v>
      </c>
      <c r="BG2132" s="333">
        <f t="shared" si="162"/>
        <v>44.10283438</v>
      </c>
      <c r="BH2132" s="1119"/>
      <c r="BI2132" s="319" t="str">
        <f t="shared" ref="BI2132:BR2132" si="1116">IF(ISNUMBER(FIND(BI$3, $CO2132)), "Y", "")</f>
        <v/>
      </c>
      <c r="BJ2132" s="319" t="str">
        <f t="shared" si="1116"/>
        <v/>
      </c>
      <c r="BK2132" s="319" t="str">
        <f t="shared" si="1116"/>
        <v/>
      </c>
      <c r="BL2132" s="319" t="str">
        <f t="shared" si="1116"/>
        <v/>
      </c>
      <c r="BM2132" s="319" t="str">
        <f t="shared" si="1116"/>
        <v/>
      </c>
      <c r="BN2132" s="319" t="str">
        <f t="shared" si="1116"/>
        <v/>
      </c>
      <c r="BO2132" s="319" t="str">
        <f t="shared" si="1116"/>
        <v/>
      </c>
      <c r="BP2132" s="319" t="str">
        <f t="shared" si="1116"/>
        <v/>
      </c>
      <c r="BQ2132" s="319" t="str">
        <f t="shared" si="1116"/>
        <v/>
      </c>
      <c r="BR2132" s="319" t="str">
        <f t="shared" si="1116"/>
        <v/>
      </c>
      <c r="BS2132" s="330">
        <f t="shared" si="185"/>
        <v>0</v>
      </c>
      <c r="BT2132" s="331">
        <f t="shared" si="170"/>
        <v>0</v>
      </c>
      <c r="BU2132" s="920"/>
      <c r="BV2132" s="903" t="str">
        <f t="shared" si="186"/>
        <v/>
      </c>
      <c r="BW2132" s="908"/>
      <c r="BX2132" s="908"/>
      <c r="BY2132" s="331" t="b">
        <f t="shared" si="201"/>
        <v>0</v>
      </c>
      <c r="BZ2132" s="331"/>
      <c r="CA2132" s="462" t="str">
        <f t="shared" ref="CA2132:CJ2132" si="1117">IF(ISNUMBER(FIND(BI$3, $CP2132)), "Y", "")</f>
        <v/>
      </c>
      <c r="CB2132" s="319" t="str">
        <f t="shared" si="1117"/>
        <v/>
      </c>
      <c r="CC2132" s="319" t="str">
        <f t="shared" si="1117"/>
        <v/>
      </c>
      <c r="CD2132" s="319" t="str">
        <f t="shared" si="1117"/>
        <v/>
      </c>
      <c r="CE2132" s="319" t="str">
        <f t="shared" si="1117"/>
        <v/>
      </c>
      <c r="CF2132" s="319" t="str">
        <f t="shared" si="1117"/>
        <v/>
      </c>
      <c r="CG2132" s="319" t="str">
        <f t="shared" si="1117"/>
        <v/>
      </c>
      <c r="CH2132" s="319" t="str">
        <f t="shared" si="1117"/>
        <v/>
      </c>
      <c r="CI2132" s="319" t="str">
        <f t="shared" si="1117"/>
        <v/>
      </c>
      <c r="CJ2132" s="319" t="str">
        <f t="shared" si="1117"/>
        <v/>
      </c>
      <c r="CK2132" s="342">
        <f t="shared" si="182"/>
        <v>0</v>
      </c>
      <c r="CL2132" s="333">
        <f t="shared" si="183"/>
        <v>0</v>
      </c>
      <c r="CM2132" s="1079"/>
      <c r="CN2132" s="1005" t="s">
        <v>3171</v>
      </c>
      <c r="CO2132" s="1005"/>
      <c r="CP2132" s="1005"/>
    </row>
    <row r="2133">
      <c r="A2133" s="266"/>
      <c r="B2133" s="1113" t="s">
        <v>1799</v>
      </c>
      <c r="C2133" s="1107">
        <v>45629.0</v>
      </c>
      <c r="D2133" s="1113" t="s">
        <v>986</v>
      </c>
      <c r="E2133" s="1108">
        <v>17.0</v>
      </c>
      <c r="F2133" s="112" t="s">
        <v>3172</v>
      </c>
      <c r="G2133" s="1110">
        <v>0.6104166666666667</v>
      </c>
      <c r="H2133" s="1110">
        <v>0.6107638888888889</v>
      </c>
      <c r="I2133" s="1110"/>
      <c r="J2133" s="1111"/>
      <c r="K2133" s="1111">
        <v>0.6166666666666667</v>
      </c>
      <c r="L2133" s="1112">
        <v>0.005902777777777778</v>
      </c>
      <c r="M2133" s="1113" t="s">
        <v>166</v>
      </c>
      <c r="N2133" s="110" t="s">
        <v>187</v>
      </c>
      <c r="O2133" s="1115" t="s">
        <v>207</v>
      </c>
      <c r="P2133" s="1115" t="s">
        <v>268</v>
      </c>
      <c r="Q2133" s="1116"/>
      <c r="R2133" s="120">
        <v>26.0</v>
      </c>
      <c r="S2133" s="1113">
        <v>13.3</v>
      </c>
      <c r="T2133" s="110">
        <v>0.67</v>
      </c>
      <c r="U2133" s="1108">
        <v>1.0</v>
      </c>
      <c r="V2133" s="1108"/>
      <c r="W2133" s="1108"/>
      <c r="X2133" s="1108"/>
      <c r="Y2133" s="1108"/>
      <c r="Z2133" s="1114" t="s">
        <v>374</v>
      </c>
      <c r="AA2133" s="1114"/>
      <c r="AB2133" s="1114" t="s">
        <v>392</v>
      </c>
      <c r="AC2133" s="1117">
        <v>10.0</v>
      </c>
      <c r="AD2133" s="1115"/>
      <c r="AE2133" s="1115"/>
      <c r="AF2133" s="1115"/>
      <c r="AG2133" s="1115"/>
      <c r="AH2133" s="1115"/>
      <c r="AI2133" s="1115"/>
      <c r="AJ2133" s="1117"/>
      <c r="AK2133" s="1118"/>
      <c r="AL2133" s="1115"/>
      <c r="AM2133" s="1115"/>
      <c r="AN2133" s="1115"/>
      <c r="AO2133" s="1115"/>
      <c r="AP2133" s="1115"/>
      <c r="AQ2133" s="1115"/>
      <c r="AR2133" s="1115"/>
      <c r="AS2133" s="1117"/>
      <c r="AT2133" s="1196" t="str">
        <f t="shared" si="428"/>
        <v>1-10</v>
      </c>
      <c r="AU2133" s="1193"/>
      <c r="AV2133" s="330">
        <f>SQRT(($R2133-Infrastructure!J$3)^2+($S2133-Infrastructure!K$3)^2)</f>
        <v>30.57858728</v>
      </c>
      <c r="AW2133" s="331">
        <f>SQRT(($R2133-Infrastructure!J$4)^2+($S2133-Infrastructure!K$4)^2)</f>
        <v>26.68220381</v>
      </c>
      <c r="AX2133" s="331">
        <f>SQRT(($R2133-Infrastructure!J$5)^2+($S2133-Infrastructure!K$5)^2)</f>
        <v>27.54868418</v>
      </c>
      <c r="AY2133" s="331">
        <f>SQRT(($R2133-Infrastructure!J$6)^2+($S2133-Infrastructure!K$6)^2)</f>
        <v>20.53801354</v>
      </c>
      <c r="AZ2133" s="331">
        <f>SQRT(($R2133-Infrastructure!J$7)^2+($S2133-Infrastructure!K$7)^2)</f>
        <v>14.11559421</v>
      </c>
      <c r="BA2133" s="331">
        <f>SQRT(($R2133-Infrastructure!J$8)^2+($S2133-Infrastructure!K$8)^2)</f>
        <v>13.63121418</v>
      </c>
      <c r="BB2133" s="331">
        <f>SQRT(($R2133-Infrastructure!J$9)^2+($S2133-Infrastructure!K$9)^2)</f>
        <v>16.22467257</v>
      </c>
      <c r="BC2133" s="331">
        <f>SQRT(($R2133-Infrastructure!J$10)^2+($S2133-Infrastructure!K$10)^2)</f>
        <v>14.10283659</v>
      </c>
      <c r="BD2133" s="331">
        <f>SQRT(($R2133-Infrastructure!J$11)^2+($S2133-Infrastructure!K$11)^2)</f>
        <v>21.16908123</v>
      </c>
      <c r="BE2133" s="333">
        <f>SQRT(($R2133-Infrastructure!J$12)^2+($S2133-Infrastructure!K$12)^2)</f>
        <v>42.4392507</v>
      </c>
      <c r="BF2133" s="330">
        <f t="shared" si="161"/>
        <v>13.63121418</v>
      </c>
      <c r="BG2133" s="333">
        <f t="shared" si="162"/>
        <v>42.4392507</v>
      </c>
      <c r="BH2133" s="1119"/>
      <c r="BI2133" s="319" t="str">
        <f t="shared" ref="BI2133:BR2133" si="1118">IF(ISNUMBER(FIND(BI$3, $CO2133)), "Y", "")</f>
        <v/>
      </c>
      <c r="BJ2133" s="319" t="str">
        <f t="shared" si="1118"/>
        <v/>
      </c>
      <c r="BK2133" s="319" t="str">
        <f t="shared" si="1118"/>
        <v>Y</v>
      </c>
      <c r="BL2133" s="319" t="str">
        <f t="shared" si="1118"/>
        <v>Y</v>
      </c>
      <c r="BM2133" s="319" t="str">
        <f t="shared" si="1118"/>
        <v>Y</v>
      </c>
      <c r="BN2133" s="319" t="str">
        <f t="shared" si="1118"/>
        <v>Y</v>
      </c>
      <c r="BO2133" s="319" t="str">
        <f t="shared" si="1118"/>
        <v>Y</v>
      </c>
      <c r="BP2133" s="319" t="str">
        <f t="shared" si="1118"/>
        <v/>
      </c>
      <c r="BQ2133" s="319" t="str">
        <f t="shared" si="1118"/>
        <v/>
      </c>
      <c r="BR2133" s="319" t="str">
        <f t="shared" si="1118"/>
        <v/>
      </c>
      <c r="BS2133" s="330">
        <f t="shared" si="185"/>
        <v>13.63121418</v>
      </c>
      <c r="BT2133" s="331">
        <f t="shared" si="170"/>
        <v>27.54868418</v>
      </c>
      <c r="BU2133" s="920">
        <v>0.6168402777777777</v>
      </c>
      <c r="BV2133" s="903">
        <f t="shared" si="186"/>
        <v>0.006423611111</v>
      </c>
      <c r="BW2133" s="908">
        <v>21.3</v>
      </c>
      <c r="BX2133" s="908">
        <v>23.3</v>
      </c>
      <c r="BY2133" s="331">
        <f t="shared" si="201"/>
        <v>11.04943437</v>
      </c>
      <c r="BZ2133" s="331"/>
      <c r="CA2133" s="462" t="str">
        <f t="shared" ref="CA2133:CJ2133" si="1119">IF(ISNUMBER(FIND(BI$3, $CP2133)), "Y", "")</f>
        <v/>
      </c>
      <c r="CB2133" s="319" t="str">
        <f t="shared" si="1119"/>
        <v/>
      </c>
      <c r="CC2133" s="319" t="str">
        <f t="shared" si="1119"/>
        <v/>
      </c>
      <c r="CD2133" s="319" t="str">
        <f t="shared" si="1119"/>
        <v/>
      </c>
      <c r="CE2133" s="319" t="str">
        <f t="shared" si="1119"/>
        <v/>
      </c>
      <c r="CF2133" s="319" t="str">
        <f t="shared" si="1119"/>
        <v/>
      </c>
      <c r="CG2133" s="319" t="str">
        <f t="shared" si="1119"/>
        <v/>
      </c>
      <c r="CH2133" s="319" t="str">
        <f t="shared" si="1119"/>
        <v/>
      </c>
      <c r="CI2133" s="319" t="str">
        <f t="shared" si="1119"/>
        <v/>
      </c>
      <c r="CJ2133" s="319" t="str">
        <f t="shared" si="1119"/>
        <v/>
      </c>
      <c r="CK2133" s="342">
        <f t="shared" si="182"/>
        <v>0</v>
      </c>
      <c r="CL2133" s="333">
        <f t="shared" si="183"/>
        <v>0</v>
      </c>
      <c r="CM2133" s="1079"/>
      <c r="CN2133" s="1005" t="s">
        <v>3173</v>
      </c>
      <c r="CO2133" s="1005" t="s">
        <v>2619</v>
      </c>
      <c r="CP2133" s="1005"/>
    </row>
    <row r="2134">
      <c r="A2134" s="266"/>
      <c r="B2134" s="1113" t="s">
        <v>1799</v>
      </c>
      <c r="C2134" s="1107">
        <v>45629.0</v>
      </c>
      <c r="D2134" s="1113" t="s">
        <v>986</v>
      </c>
      <c r="E2134" s="1108">
        <v>18.0</v>
      </c>
      <c r="F2134" s="112" t="s">
        <v>3174</v>
      </c>
      <c r="G2134" s="1110">
        <v>0.618287037037037</v>
      </c>
      <c r="H2134" s="1110">
        <v>0.61875</v>
      </c>
      <c r="I2134" s="1110"/>
      <c r="J2134" s="1111"/>
      <c r="K2134" s="1111">
        <v>0.6606481481481481</v>
      </c>
      <c r="L2134" s="1112">
        <v>0.04189814814814815</v>
      </c>
      <c r="M2134" s="1113" t="s">
        <v>166</v>
      </c>
      <c r="N2134" s="110" t="s">
        <v>187</v>
      </c>
      <c r="O2134" s="1115" t="s">
        <v>207</v>
      </c>
      <c r="P2134" s="1115" t="s">
        <v>223</v>
      </c>
      <c r="Q2134" s="1116"/>
      <c r="R2134" s="120">
        <v>26.4</v>
      </c>
      <c r="S2134" s="1113">
        <v>14.5</v>
      </c>
      <c r="T2134" s="110">
        <v>2.5</v>
      </c>
      <c r="U2134" s="1108">
        <v>1.0</v>
      </c>
      <c r="V2134" s="1108"/>
      <c r="W2134" s="1108"/>
      <c r="X2134" s="1108"/>
      <c r="Y2134" s="1108"/>
      <c r="Z2134" s="1114" t="s">
        <v>374</v>
      </c>
      <c r="AA2134" s="1114"/>
      <c r="AB2134" s="1114" t="s">
        <v>384</v>
      </c>
      <c r="AC2134" s="1117">
        <v>6.0</v>
      </c>
      <c r="AD2134" s="1115"/>
      <c r="AE2134" s="1115"/>
      <c r="AF2134" s="1115"/>
      <c r="AG2134" s="1115"/>
      <c r="AH2134" s="1115"/>
      <c r="AI2134" s="1115"/>
      <c r="AJ2134" s="1117"/>
      <c r="AK2134" s="1118"/>
      <c r="AL2134" s="1115"/>
      <c r="AM2134" s="1115"/>
      <c r="AN2134" s="1115"/>
      <c r="AO2134" s="1115"/>
      <c r="AP2134" s="1115"/>
      <c r="AQ2134" s="1115"/>
      <c r="AR2134" s="1115"/>
      <c r="AS2134" s="1117"/>
      <c r="AT2134" s="1196" t="str">
        <f t="shared" si="428"/>
        <v>1-10</v>
      </c>
      <c r="AU2134" s="1193"/>
      <c r="AV2134" s="330">
        <f>SQRT(($R2134-Infrastructure!J$3)^2+($S2134-Infrastructure!K$3)^2)</f>
        <v>30.33562262</v>
      </c>
      <c r="AW2134" s="331">
        <f>SQRT(($R2134-Infrastructure!J$4)^2+($S2134-Infrastructure!K$4)^2)</f>
        <v>26.90315967</v>
      </c>
      <c r="AX2134" s="331">
        <f>SQRT(($R2134-Infrastructure!J$5)^2+($S2134-Infrastructure!K$5)^2)</f>
        <v>28.30635971</v>
      </c>
      <c r="AY2134" s="331">
        <f>SQRT(($R2134-Infrastructure!J$6)^2+($S2134-Infrastructure!K$6)^2)</f>
        <v>21.61781673</v>
      </c>
      <c r="AZ2134" s="331">
        <f>SQRT(($R2134-Infrastructure!J$7)^2+($S2134-Infrastructure!K$7)^2)</f>
        <v>15.37693077</v>
      </c>
      <c r="BA2134" s="331">
        <f>SQRT(($R2134-Infrastructure!J$8)^2+($S2134-Infrastructure!K$8)^2)</f>
        <v>14.67412689</v>
      </c>
      <c r="BB2134" s="331">
        <f>SQRT(($R2134-Infrastructure!J$9)^2+($S2134-Infrastructure!K$9)^2)</f>
        <v>16.53239245</v>
      </c>
      <c r="BC2134" s="331">
        <f>SQRT(($R2134-Infrastructure!J$10)^2+($S2134-Infrastructure!K$10)^2)</f>
        <v>13.60918807</v>
      </c>
      <c r="BD2134" s="331">
        <f>SQRT(($R2134-Infrastructure!J$11)^2+($S2134-Infrastructure!K$11)^2)</f>
        <v>20.01724257</v>
      </c>
      <c r="BE2134" s="333">
        <f>SQRT(($R2134-Infrastructure!J$12)^2+($S2134-Infrastructure!K$12)^2)</f>
        <v>41.29176673</v>
      </c>
      <c r="BF2134" s="330">
        <f t="shared" si="161"/>
        <v>13.60918807</v>
      </c>
      <c r="BG2134" s="333">
        <f t="shared" si="162"/>
        <v>41.29176673</v>
      </c>
      <c r="BH2134" s="1119"/>
      <c r="BI2134" s="319" t="str">
        <f t="shared" ref="BI2134:BR2134" si="1120">IF(ISNUMBER(FIND(BI$3, $CO2134)), "Y", "")</f>
        <v/>
      </c>
      <c r="BJ2134" s="319" t="str">
        <f t="shared" si="1120"/>
        <v/>
      </c>
      <c r="BK2134" s="319" t="str">
        <f t="shared" si="1120"/>
        <v/>
      </c>
      <c r="BL2134" s="319" t="str">
        <f t="shared" si="1120"/>
        <v/>
      </c>
      <c r="BM2134" s="319" t="str">
        <f t="shared" si="1120"/>
        <v/>
      </c>
      <c r="BN2134" s="319" t="str">
        <f t="shared" si="1120"/>
        <v/>
      </c>
      <c r="BO2134" s="319" t="str">
        <f t="shared" si="1120"/>
        <v/>
      </c>
      <c r="BP2134" s="319" t="str">
        <f t="shared" si="1120"/>
        <v/>
      </c>
      <c r="BQ2134" s="319" t="str">
        <f t="shared" si="1120"/>
        <v/>
      </c>
      <c r="BR2134" s="319" t="str">
        <f t="shared" si="1120"/>
        <v/>
      </c>
      <c r="BS2134" s="330">
        <f t="shared" si="185"/>
        <v>0</v>
      </c>
      <c r="BT2134" s="331">
        <f t="shared" si="170"/>
        <v>0</v>
      </c>
      <c r="BU2134" s="920"/>
      <c r="BV2134" s="903" t="str">
        <f t="shared" si="186"/>
        <v/>
      </c>
      <c r="BW2134" s="908"/>
      <c r="BX2134" s="908"/>
      <c r="BY2134" s="331" t="b">
        <f t="shared" si="201"/>
        <v>0</v>
      </c>
      <c r="BZ2134" s="331"/>
      <c r="CA2134" s="462" t="str">
        <f t="shared" ref="CA2134:CJ2134" si="1121">IF(ISNUMBER(FIND(BI$3, $CP2134)), "Y", "")</f>
        <v/>
      </c>
      <c r="CB2134" s="319" t="str">
        <f t="shared" si="1121"/>
        <v/>
      </c>
      <c r="CC2134" s="319" t="str">
        <f t="shared" si="1121"/>
        <v/>
      </c>
      <c r="CD2134" s="319" t="str">
        <f t="shared" si="1121"/>
        <v/>
      </c>
      <c r="CE2134" s="319" t="str">
        <f t="shared" si="1121"/>
        <v/>
      </c>
      <c r="CF2134" s="319" t="str">
        <f t="shared" si="1121"/>
        <v/>
      </c>
      <c r="CG2134" s="319" t="str">
        <f t="shared" si="1121"/>
        <v/>
      </c>
      <c r="CH2134" s="319" t="str">
        <f t="shared" si="1121"/>
        <v/>
      </c>
      <c r="CI2134" s="319" t="str">
        <f t="shared" si="1121"/>
        <v/>
      </c>
      <c r="CJ2134" s="319" t="str">
        <f t="shared" si="1121"/>
        <v/>
      </c>
      <c r="CK2134" s="342">
        <f t="shared" si="182"/>
        <v>0</v>
      </c>
      <c r="CL2134" s="333">
        <f t="shared" si="183"/>
        <v>0</v>
      </c>
      <c r="CM2134" s="1079"/>
      <c r="CN2134" s="1005" t="s">
        <v>3173</v>
      </c>
      <c r="CO2134" s="1005"/>
      <c r="CP2134" s="1005"/>
    </row>
    <row r="2135">
      <c r="A2135" s="266"/>
      <c r="B2135" s="1113" t="s">
        <v>1799</v>
      </c>
      <c r="C2135" s="1107">
        <v>45629.0</v>
      </c>
      <c r="D2135" s="1113" t="s">
        <v>986</v>
      </c>
      <c r="E2135" s="1108">
        <v>19.0</v>
      </c>
      <c r="F2135" s="112" t="s">
        <v>3175</v>
      </c>
      <c r="G2135" s="1110">
        <v>0.6623263888888888</v>
      </c>
      <c r="H2135" s="1110">
        <v>0.6625</v>
      </c>
      <c r="I2135" s="1110"/>
      <c r="J2135" s="1111"/>
      <c r="K2135" s="1111">
        <v>0.6645833333333333</v>
      </c>
      <c r="L2135" s="1112">
        <v>0.0020833333333333333</v>
      </c>
      <c r="M2135" s="1113" t="s">
        <v>166</v>
      </c>
      <c r="N2135" s="110" t="s">
        <v>187</v>
      </c>
      <c r="O2135" s="1115" t="s">
        <v>3065</v>
      </c>
      <c r="P2135" s="1115" t="s">
        <v>272</v>
      </c>
      <c r="Q2135" s="1116"/>
      <c r="R2135" s="120">
        <v>19.3</v>
      </c>
      <c r="S2135" s="1113">
        <v>15.7</v>
      </c>
      <c r="T2135" s="110">
        <v>0.8</v>
      </c>
      <c r="U2135" s="1108">
        <v>1.0</v>
      </c>
      <c r="V2135" s="1108"/>
      <c r="W2135" s="1108"/>
      <c r="X2135" s="1108"/>
      <c r="Y2135" s="1108"/>
      <c r="Z2135" s="1114" t="s">
        <v>374</v>
      </c>
      <c r="AA2135" s="1114"/>
      <c r="AB2135" s="1114" t="s">
        <v>392</v>
      </c>
      <c r="AC2135" s="1117">
        <v>10.0</v>
      </c>
      <c r="AD2135" s="1115"/>
      <c r="AE2135" s="1115"/>
      <c r="AF2135" s="1115"/>
      <c r="AG2135" s="1115"/>
      <c r="AH2135" s="1115"/>
      <c r="AI2135" s="1115"/>
      <c r="AJ2135" s="1117"/>
      <c r="AK2135" s="1118"/>
      <c r="AL2135" s="1115"/>
      <c r="AM2135" s="1115"/>
      <c r="AN2135" s="1115"/>
      <c r="AO2135" s="1115"/>
      <c r="AP2135" s="1115"/>
      <c r="AQ2135" s="1115"/>
      <c r="AR2135" s="1115"/>
      <c r="AS2135" s="1117"/>
      <c r="AT2135" s="1196" t="str">
        <f t="shared" si="428"/>
        <v>1-10</v>
      </c>
      <c r="AU2135" s="1193"/>
      <c r="AV2135" s="330">
        <f>SQRT(($R2135-Infrastructure!J$3)^2+($S2135-Infrastructure!K$3)^2)</f>
        <v>23.63048878</v>
      </c>
      <c r="AW2135" s="331">
        <f>SQRT(($R2135-Infrastructure!J$4)^2+($S2135-Infrastructure!K$4)^2)</f>
        <v>19.71217898</v>
      </c>
      <c r="AX2135" s="331">
        <f>SQRT(($R2135-Infrastructure!J$5)^2+($S2135-Infrastructure!K$5)^2)</f>
        <v>22.28272874</v>
      </c>
      <c r="AY2135" s="331">
        <f>SQRT(($R2135-Infrastructure!J$6)^2+($S2135-Infrastructure!K$6)^2)</f>
        <v>17.9387848</v>
      </c>
      <c r="AZ2135" s="331">
        <f>SQRT(($R2135-Infrastructure!J$7)^2+($S2135-Infrastructure!K$7)^2)</f>
        <v>15.44668249</v>
      </c>
      <c r="BA2135" s="331">
        <f>SQRT(($R2135-Infrastructure!J$8)^2+($S2135-Infrastructure!K$8)^2)</f>
        <v>18.80957203</v>
      </c>
      <c r="BB2135" s="331">
        <f>SQRT(($R2135-Infrastructure!J$9)^2+($S2135-Infrastructure!K$9)^2)</f>
        <v>23.25618197</v>
      </c>
      <c r="BC2135" s="331">
        <f>SQRT(($R2135-Infrastructure!J$10)^2+($S2135-Infrastructure!K$10)^2)</f>
        <v>20.71183237</v>
      </c>
      <c r="BD2135" s="331">
        <f>SQRT(($R2135-Infrastructure!J$11)^2+($S2135-Infrastructure!K$11)^2)</f>
        <v>24.77296914</v>
      </c>
      <c r="BE2135" s="333">
        <f>SQRT(($R2135-Infrastructure!J$12)^2+($S2135-Infrastructure!K$12)^2)</f>
        <v>39.86075764</v>
      </c>
      <c r="BF2135" s="330">
        <f t="shared" si="161"/>
        <v>15.44668249</v>
      </c>
      <c r="BG2135" s="333">
        <f t="shared" si="162"/>
        <v>39.86075764</v>
      </c>
      <c r="BH2135" s="1119"/>
      <c r="BI2135" s="319" t="str">
        <f t="shared" ref="BI2135:BR2135" si="1122">IF(ISNUMBER(FIND(BI$3, $CO2135)), "Y", "")</f>
        <v/>
      </c>
      <c r="BJ2135" s="319" t="str">
        <f t="shared" si="1122"/>
        <v/>
      </c>
      <c r="BK2135" s="319" t="str">
        <f t="shared" si="1122"/>
        <v/>
      </c>
      <c r="BL2135" s="319" t="str">
        <f t="shared" si="1122"/>
        <v/>
      </c>
      <c r="BM2135" s="319" t="str">
        <f t="shared" si="1122"/>
        <v/>
      </c>
      <c r="BN2135" s="319" t="str">
        <f t="shared" si="1122"/>
        <v/>
      </c>
      <c r="BO2135" s="319" t="str">
        <f t="shared" si="1122"/>
        <v/>
      </c>
      <c r="BP2135" s="319" t="str">
        <f t="shared" si="1122"/>
        <v/>
      </c>
      <c r="BQ2135" s="319" t="str">
        <f t="shared" si="1122"/>
        <v/>
      </c>
      <c r="BR2135" s="319" t="str">
        <f t="shared" si="1122"/>
        <v/>
      </c>
      <c r="BS2135" s="330">
        <f t="shared" si="185"/>
        <v>0</v>
      </c>
      <c r="BT2135" s="331">
        <f t="shared" si="170"/>
        <v>0</v>
      </c>
      <c r="BU2135" s="920"/>
      <c r="BV2135" s="903" t="str">
        <f t="shared" si="186"/>
        <v/>
      </c>
      <c r="BW2135" s="908"/>
      <c r="BX2135" s="908"/>
      <c r="BY2135" s="331" t="b">
        <f t="shared" si="201"/>
        <v>0</v>
      </c>
      <c r="BZ2135" s="331"/>
      <c r="CA2135" s="462" t="str">
        <f t="shared" ref="CA2135:CJ2135" si="1123">IF(ISNUMBER(FIND(BI$3, $CP2135)), "Y", "")</f>
        <v/>
      </c>
      <c r="CB2135" s="319" t="str">
        <f t="shared" si="1123"/>
        <v/>
      </c>
      <c r="CC2135" s="319" t="str">
        <f t="shared" si="1123"/>
        <v/>
      </c>
      <c r="CD2135" s="319" t="str">
        <f t="shared" si="1123"/>
        <v/>
      </c>
      <c r="CE2135" s="319" t="str">
        <f t="shared" si="1123"/>
        <v/>
      </c>
      <c r="CF2135" s="319" t="str">
        <f t="shared" si="1123"/>
        <v/>
      </c>
      <c r="CG2135" s="319" t="str">
        <f t="shared" si="1123"/>
        <v/>
      </c>
      <c r="CH2135" s="319" t="str">
        <f t="shared" si="1123"/>
        <v/>
      </c>
      <c r="CI2135" s="319" t="str">
        <f t="shared" si="1123"/>
        <v/>
      </c>
      <c r="CJ2135" s="319" t="str">
        <f t="shared" si="1123"/>
        <v/>
      </c>
      <c r="CK2135" s="342">
        <f t="shared" si="182"/>
        <v>0</v>
      </c>
      <c r="CL2135" s="333">
        <f t="shared" si="183"/>
        <v>0</v>
      </c>
      <c r="CM2135" s="1079"/>
      <c r="CN2135" s="1005" t="s">
        <v>3173</v>
      </c>
      <c r="CO2135" s="1005"/>
      <c r="CP2135" s="1005"/>
    </row>
    <row r="2136">
      <c r="A2136" s="266"/>
      <c r="B2136" s="1113" t="s">
        <v>1799</v>
      </c>
      <c r="C2136" s="1107">
        <v>45629.0</v>
      </c>
      <c r="D2136" s="1113" t="s">
        <v>986</v>
      </c>
      <c r="E2136" s="1108">
        <v>20.0</v>
      </c>
      <c r="F2136" s="112" t="s">
        <v>3176</v>
      </c>
      <c r="G2136" s="1110">
        <v>0.6645833333333333</v>
      </c>
      <c r="H2136" s="1110">
        <v>0.6649305555555556</v>
      </c>
      <c r="I2136" s="1110"/>
      <c r="J2136" s="1111"/>
      <c r="K2136" s="1111">
        <v>0.7052083333333333</v>
      </c>
      <c r="L2136" s="1112">
        <v>0.04027777777777778</v>
      </c>
      <c r="M2136" s="1113" t="s">
        <v>166</v>
      </c>
      <c r="N2136" s="110" t="s">
        <v>187</v>
      </c>
      <c r="O2136" s="1115" t="s">
        <v>3065</v>
      </c>
      <c r="P2136" s="1115" t="s">
        <v>272</v>
      </c>
      <c r="Q2136" s="1116"/>
      <c r="R2136" s="120">
        <v>17.8</v>
      </c>
      <c r="S2136" s="1113">
        <v>15.7</v>
      </c>
      <c r="T2136" s="110">
        <v>0.8</v>
      </c>
      <c r="U2136" s="1108">
        <v>4.0</v>
      </c>
      <c r="V2136" s="1108"/>
      <c r="W2136" s="1108"/>
      <c r="X2136" s="1108"/>
      <c r="Y2136" s="1108"/>
      <c r="Z2136" s="1114" t="s">
        <v>374</v>
      </c>
      <c r="AA2136" s="1114"/>
      <c r="AB2136" s="1114" t="s">
        <v>392</v>
      </c>
      <c r="AC2136" s="1117">
        <v>10.0</v>
      </c>
      <c r="AD2136" s="1115"/>
      <c r="AE2136" s="1115"/>
      <c r="AF2136" s="1115"/>
      <c r="AG2136" s="1115"/>
      <c r="AH2136" s="1115"/>
      <c r="AI2136" s="1115"/>
      <c r="AJ2136" s="1117"/>
      <c r="AK2136" s="1118"/>
      <c r="AL2136" s="1115"/>
      <c r="AM2136" s="1115"/>
      <c r="AN2136" s="1115"/>
      <c r="AO2136" s="1115"/>
      <c r="AP2136" s="1115"/>
      <c r="AQ2136" s="1115"/>
      <c r="AR2136" s="1115"/>
      <c r="AS2136" s="1117"/>
      <c r="AT2136" s="1196" t="str">
        <f t="shared" si="428"/>
        <v>1-10</v>
      </c>
      <c r="AU2136" s="1193"/>
      <c r="AV2136" s="330">
        <f>SQRT(($R2136-Infrastructure!J$3)^2+($S2136-Infrastructure!K$3)^2)</f>
        <v>22.40200884</v>
      </c>
      <c r="AW2136" s="331">
        <f>SQRT(($R2136-Infrastructure!J$4)^2+($S2136-Infrastructure!K$4)^2)</f>
        <v>18.22141597</v>
      </c>
      <c r="AX2136" s="331">
        <f>SQRT(($R2136-Infrastructure!J$5)^2+($S2136-Infrastructure!K$5)^2)</f>
        <v>20.97546185</v>
      </c>
      <c r="AY2136" s="331">
        <f>SQRT(($R2136-Infrastructure!J$6)^2+($S2136-Infrastructure!K$6)^2)</f>
        <v>17.21772343</v>
      </c>
      <c r="AZ2136" s="331">
        <f>SQRT(($R2136-Infrastructure!J$7)^2+($S2136-Infrastructure!K$7)^2)</f>
        <v>15.63489687</v>
      </c>
      <c r="BA2136" s="331">
        <f>SQRT(($R2136-Infrastructure!J$8)^2+($S2136-Infrastructure!K$8)^2)</f>
        <v>19.70913494</v>
      </c>
      <c r="BB2136" s="331">
        <f>SQRT(($R2136-Infrastructure!J$9)^2+($S2136-Infrastructure!K$9)^2)</f>
        <v>24.60081299</v>
      </c>
      <c r="BC2136" s="331">
        <f>SQRT(($R2136-Infrastructure!J$10)^2+($S2136-Infrastructure!K$10)^2)</f>
        <v>22.21103329</v>
      </c>
      <c r="BD2136" s="331">
        <f>SQRT(($R2136-Infrastructure!J$11)^2+($S2136-Infrastructure!K$11)^2)</f>
        <v>26.05091169</v>
      </c>
      <c r="BE2136" s="333">
        <f>SQRT(($R2136-Infrastructure!J$12)^2+($S2136-Infrastructure!K$12)^2)</f>
        <v>39.97161493</v>
      </c>
      <c r="BF2136" s="330">
        <f t="shared" si="161"/>
        <v>15.63489687</v>
      </c>
      <c r="BG2136" s="333">
        <f t="shared" si="162"/>
        <v>39.97161493</v>
      </c>
      <c r="BH2136" s="1119"/>
      <c r="BI2136" s="319" t="str">
        <f t="shared" ref="BI2136:BR2136" si="1124">IF(ISNUMBER(FIND(BI$3, $CO2136)), "Y", "")</f>
        <v/>
      </c>
      <c r="BJ2136" s="319" t="str">
        <f t="shared" si="1124"/>
        <v/>
      </c>
      <c r="BK2136" s="319" t="str">
        <f t="shared" si="1124"/>
        <v/>
      </c>
      <c r="BL2136" s="319" t="str">
        <f t="shared" si="1124"/>
        <v/>
      </c>
      <c r="BM2136" s="319" t="str">
        <f t="shared" si="1124"/>
        <v/>
      </c>
      <c r="BN2136" s="319" t="str">
        <f t="shared" si="1124"/>
        <v/>
      </c>
      <c r="BO2136" s="319" t="str">
        <f t="shared" si="1124"/>
        <v/>
      </c>
      <c r="BP2136" s="319" t="str">
        <f t="shared" si="1124"/>
        <v/>
      </c>
      <c r="BQ2136" s="319" t="str">
        <f t="shared" si="1124"/>
        <v/>
      </c>
      <c r="BR2136" s="319" t="str">
        <f t="shared" si="1124"/>
        <v/>
      </c>
      <c r="BS2136" s="330">
        <f t="shared" si="185"/>
        <v>0</v>
      </c>
      <c r="BT2136" s="331">
        <f t="shared" si="170"/>
        <v>0</v>
      </c>
      <c r="BU2136" s="920"/>
      <c r="BV2136" s="903" t="str">
        <f t="shared" si="186"/>
        <v/>
      </c>
      <c r="BW2136" s="908"/>
      <c r="BX2136" s="908"/>
      <c r="BY2136" s="331" t="b">
        <f t="shared" si="201"/>
        <v>0</v>
      </c>
      <c r="BZ2136" s="331"/>
      <c r="CA2136" s="462" t="str">
        <f t="shared" ref="CA2136:CJ2136" si="1125">IF(ISNUMBER(FIND(BI$3, $CP2136)), "Y", "")</f>
        <v/>
      </c>
      <c r="CB2136" s="319" t="str">
        <f t="shared" si="1125"/>
        <v/>
      </c>
      <c r="CC2136" s="319" t="str">
        <f t="shared" si="1125"/>
        <v/>
      </c>
      <c r="CD2136" s="319" t="str">
        <f t="shared" si="1125"/>
        <v/>
      </c>
      <c r="CE2136" s="319" t="str">
        <f t="shared" si="1125"/>
        <v/>
      </c>
      <c r="CF2136" s="319" t="str">
        <f t="shared" si="1125"/>
        <v/>
      </c>
      <c r="CG2136" s="319" t="str">
        <f t="shared" si="1125"/>
        <v/>
      </c>
      <c r="CH2136" s="319" t="str">
        <f t="shared" si="1125"/>
        <v/>
      </c>
      <c r="CI2136" s="319" t="str">
        <f t="shared" si="1125"/>
        <v/>
      </c>
      <c r="CJ2136" s="319" t="str">
        <f t="shared" si="1125"/>
        <v/>
      </c>
      <c r="CK2136" s="342">
        <f t="shared" si="182"/>
        <v>0</v>
      </c>
      <c r="CL2136" s="333">
        <f t="shared" si="183"/>
        <v>0</v>
      </c>
      <c r="CM2136" s="1079"/>
      <c r="CN2136" s="1005" t="s">
        <v>3173</v>
      </c>
      <c r="CO2136" s="1005"/>
      <c r="CP2136" s="1005"/>
    </row>
    <row r="2137">
      <c r="A2137" s="1258"/>
      <c r="B2137" s="1129" t="s">
        <v>1799</v>
      </c>
      <c r="C2137" s="1122">
        <v>45629.0</v>
      </c>
      <c r="D2137" s="1123"/>
      <c r="E2137" s="1144"/>
      <c r="F2137" s="108" t="s">
        <v>3177</v>
      </c>
      <c r="G2137" s="1126">
        <v>0.709837962962963</v>
      </c>
      <c r="H2137" s="1145"/>
      <c r="I2137" s="1145"/>
      <c r="J2137" s="1146"/>
      <c r="K2137" s="1127">
        <v>0.7105902777777777</v>
      </c>
      <c r="L2137" s="1128">
        <v>7.523148148148148E-4</v>
      </c>
      <c r="M2137" s="1129" t="s">
        <v>166</v>
      </c>
      <c r="N2137" s="100" t="s">
        <v>188</v>
      </c>
      <c r="O2137" s="1161"/>
      <c r="P2137" s="1131" t="s">
        <v>292</v>
      </c>
      <c r="Q2137" s="1132"/>
      <c r="R2137" s="1148"/>
      <c r="S2137" s="1129"/>
      <c r="T2137" s="1150"/>
      <c r="U2137" s="1124" t="s">
        <v>323</v>
      </c>
      <c r="V2137" s="1124"/>
      <c r="W2137" s="1124"/>
      <c r="X2137" s="1124"/>
      <c r="Y2137" s="1124"/>
      <c r="Z2137" s="1130" t="s">
        <v>323</v>
      </c>
      <c r="AA2137" s="1130"/>
      <c r="AB2137" s="1130" t="s">
        <v>323</v>
      </c>
      <c r="AC2137" s="1133" t="s">
        <v>323</v>
      </c>
      <c r="AD2137" s="1131"/>
      <c r="AE2137" s="1131"/>
      <c r="AF2137" s="1131"/>
      <c r="AG2137" s="1131"/>
      <c r="AH2137" s="1131"/>
      <c r="AI2137" s="1131"/>
      <c r="AJ2137" s="1133"/>
      <c r="AK2137" s="1134"/>
      <c r="AL2137" s="1131"/>
      <c r="AM2137" s="1131"/>
      <c r="AN2137" s="1131"/>
      <c r="AO2137" s="1131"/>
      <c r="AP2137" s="1131"/>
      <c r="AQ2137" s="1131"/>
      <c r="AR2137" s="1131"/>
      <c r="AS2137" s="1133"/>
      <c r="AT2137" s="1197" t="str">
        <f t="shared" si="428"/>
        <v/>
      </c>
      <c r="AU2137" s="1194"/>
      <c r="AV2137" s="662">
        <f>SQRT(($R2137-Infrastructure!J$3)^2+($S2137-Infrastructure!K$3)^2)</f>
        <v>28.90155705</v>
      </c>
      <c r="AW2137" s="641">
        <f>SQRT(($R2137-Infrastructure!J$4)^2+($S2137-Infrastructure!K$4)^2)</f>
        <v>17.80252791</v>
      </c>
      <c r="AX2137" s="641">
        <f>SQRT(($R2137-Infrastructure!J$5)^2+($S2137-Infrastructure!K$5)^2)</f>
        <v>5.10881591</v>
      </c>
      <c r="AY2137" s="641">
        <f>SQRT(($R2137-Infrastructure!J$6)^2+($S2137-Infrastructure!K$6)^2)</f>
        <v>10.10445446</v>
      </c>
      <c r="AZ2137" s="641">
        <f>SQRT(($R2137-Infrastructure!J$7)^2+($S2137-Infrastructure!K$7)^2)</f>
        <v>20.502195</v>
      </c>
      <c r="BA2137" s="641">
        <f>SQRT(($R2137-Infrastructure!J$8)^2+($S2137-Infrastructure!K$8)^2)</f>
        <v>30.10149498</v>
      </c>
      <c r="BB2137" s="641">
        <f>SQRT(($R2137-Infrastructure!J$9)^2+($S2137-Infrastructure!K$9)^2)</f>
        <v>40.3238143</v>
      </c>
      <c r="BC2137" s="641">
        <f>SQRT(($R2137-Infrastructure!J$10)^2+($S2137-Infrastructure!K$10)^2)</f>
        <v>42.72001873</v>
      </c>
      <c r="BD2137" s="641">
        <f>SQRT(($R2137-Infrastructure!J$11)^2+($S2137-Infrastructure!K$11)^2)</f>
        <v>49.56853841</v>
      </c>
      <c r="BE2137" s="642">
        <f>SQRT(($R2137-Infrastructure!J$12)^2+($S2137-Infrastructure!K$12)^2)</f>
        <v>59.51890456</v>
      </c>
      <c r="BF2137" s="662">
        <f t="shared" si="161"/>
        <v>5.10881591</v>
      </c>
      <c r="BG2137" s="642">
        <f t="shared" si="162"/>
        <v>59.51890456</v>
      </c>
      <c r="BH2137" s="1135"/>
      <c r="BI2137" s="663" t="str">
        <f t="shared" ref="BI2137:BR2137" si="1126">IF(ISNUMBER(FIND(BI$3, $CO2137)), "Y", "")</f>
        <v>Y</v>
      </c>
      <c r="BJ2137" s="663" t="str">
        <f t="shared" si="1126"/>
        <v/>
      </c>
      <c r="BK2137" s="663" t="str">
        <f t="shared" si="1126"/>
        <v/>
      </c>
      <c r="BL2137" s="663" t="str">
        <f t="shared" si="1126"/>
        <v>Y</v>
      </c>
      <c r="BM2137" s="663" t="str">
        <f t="shared" si="1126"/>
        <v>Y</v>
      </c>
      <c r="BN2137" s="663" t="str">
        <f t="shared" si="1126"/>
        <v>Y</v>
      </c>
      <c r="BO2137" s="663" t="str">
        <f t="shared" si="1126"/>
        <v/>
      </c>
      <c r="BP2137" s="663" t="str">
        <f t="shared" si="1126"/>
        <v/>
      </c>
      <c r="BQ2137" s="663" t="str">
        <f t="shared" si="1126"/>
        <v>Y</v>
      </c>
      <c r="BR2137" s="663" t="str">
        <f t="shared" si="1126"/>
        <v>Y</v>
      </c>
      <c r="BS2137" s="662">
        <f t="shared" si="185"/>
        <v>10.10445446</v>
      </c>
      <c r="BT2137" s="641">
        <f t="shared" si="170"/>
        <v>59.51890456</v>
      </c>
      <c r="BU2137" s="937">
        <v>0.7103472222222222</v>
      </c>
      <c r="BV2137" s="930">
        <f t="shared" si="186"/>
        <v>0.0005092592593</v>
      </c>
      <c r="BW2137" s="939">
        <v>7.1</v>
      </c>
      <c r="BX2137" s="939">
        <v>34.2</v>
      </c>
      <c r="BY2137" s="641">
        <f t="shared" si="201"/>
        <v>34.92921413</v>
      </c>
      <c r="BZ2137" s="641"/>
      <c r="CA2137" s="635" t="str">
        <f t="shared" ref="CA2137:CJ2137" si="1127">IF(ISNUMBER(FIND(BI$3, $CP2137)), "Y", "")</f>
        <v/>
      </c>
      <c r="CB2137" s="663" t="str">
        <f t="shared" si="1127"/>
        <v/>
      </c>
      <c r="CC2137" s="663" t="str">
        <f t="shared" si="1127"/>
        <v/>
      </c>
      <c r="CD2137" s="663" t="str">
        <f t="shared" si="1127"/>
        <v/>
      </c>
      <c r="CE2137" s="663" t="str">
        <f t="shared" si="1127"/>
        <v/>
      </c>
      <c r="CF2137" s="663" t="str">
        <f t="shared" si="1127"/>
        <v/>
      </c>
      <c r="CG2137" s="663" t="str">
        <f t="shared" si="1127"/>
        <v/>
      </c>
      <c r="CH2137" s="663" t="str">
        <f t="shared" si="1127"/>
        <v/>
      </c>
      <c r="CI2137" s="663" t="str">
        <f t="shared" si="1127"/>
        <v/>
      </c>
      <c r="CJ2137" s="663" t="str">
        <f t="shared" si="1127"/>
        <v/>
      </c>
      <c r="CK2137" s="743">
        <f t="shared" si="182"/>
        <v>0</v>
      </c>
      <c r="CL2137" s="642">
        <f t="shared" si="183"/>
        <v>0</v>
      </c>
      <c r="CM2137" s="1090"/>
      <c r="CN2137" s="1036" t="s">
        <v>3173</v>
      </c>
      <c r="CO2137" s="1036" t="s">
        <v>2915</v>
      </c>
      <c r="CP2137" s="1036"/>
    </row>
    <row r="2138">
      <c r="A2138" s="1257" t="s">
        <v>144</v>
      </c>
      <c r="B2138" s="1113" t="s">
        <v>1799</v>
      </c>
      <c r="C2138" s="1107">
        <v>45630.0</v>
      </c>
      <c r="D2138" s="1113" t="s">
        <v>986</v>
      </c>
      <c r="E2138" s="1108">
        <v>21.0</v>
      </c>
      <c r="F2138" s="112" t="s">
        <v>3178</v>
      </c>
      <c r="G2138" s="1110">
        <v>0.44583333333333336</v>
      </c>
      <c r="H2138" s="1110">
        <v>0.4461805555555556</v>
      </c>
      <c r="I2138" s="1110"/>
      <c r="J2138" s="1111"/>
      <c r="K2138" s="1111">
        <v>0.4895833333333333</v>
      </c>
      <c r="L2138" s="1112">
        <v>0.043402777777777776</v>
      </c>
      <c r="M2138" s="1113" t="s">
        <v>166</v>
      </c>
      <c r="N2138" s="110" t="s">
        <v>187</v>
      </c>
      <c r="O2138" s="1115" t="s">
        <v>3065</v>
      </c>
      <c r="P2138" s="1115" t="s">
        <v>272</v>
      </c>
      <c r="Q2138" s="1116"/>
      <c r="R2138" s="120">
        <v>28.9</v>
      </c>
      <c r="S2138" s="1113">
        <v>15.8</v>
      </c>
      <c r="T2138" s="110">
        <v>1.97</v>
      </c>
      <c r="U2138" s="1108">
        <v>1.0</v>
      </c>
      <c r="V2138" s="1108"/>
      <c r="W2138" s="1108"/>
      <c r="X2138" s="1108"/>
      <c r="Y2138" s="1108"/>
      <c r="Z2138" s="1114" t="s">
        <v>374</v>
      </c>
      <c r="AA2138" s="1114"/>
      <c r="AB2138" s="1114" t="s">
        <v>392</v>
      </c>
      <c r="AC2138" s="1117">
        <v>10.0</v>
      </c>
      <c r="AD2138" s="1115"/>
      <c r="AE2138" s="1115"/>
      <c r="AF2138" s="1115"/>
      <c r="AG2138" s="1115"/>
      <c r="AH2138" s="1115"/>
      <c r="AI2138" s="1115"/>
      <c r="AJ2138" s="1117"/>
      <c r="AK2138" s="1118"/>
      <c r="AL2138" s="1115"/>
      <c r="AM2138" s="1115"/>
      <c r="AN2138" s="1115"/>
      <c r="AO2138" s="1115"/>
      <c r="AP2138" s="1115"/>
      <c r="AQ2138" s="1115"/>
      <c r="AR2138" s="1115"/>
      <c r="AS2138" s="1117"/>
      <c r="AT2138" s="1196" t="str">
        <f t="shared" si="428"/>
        <v>1-10</v>
      </c>
      <c r="AU2138" s="1193"/>
      <c r="AV2138" s="330">
        <f>SQRT(($R2138-Infrastructure!J$3)^2+($S2138-Infrastructure!K$3)^2)</f>
        <v>32.00390601</v>
      </c>
      <c r="AW2138" s="331">
        <f>SQRT(($R2138-Infrastructure!J$4)^2+($S2138-Infrastructure!K$4)^2)</f>
        <v>29.26841301</v>
      </c>
      <c r="AX2138" s="331">
        <f>SQRT(($R2138-Infrastructure!J$5)^2+($S2138-Infrastructure!K$5)^2)</f>
        <v>31.0987138</v>
      </c>
      <c r="AY2138" s="331">
        <f>SQRT(($R2138-Infrastructure!J$6)^2+($S2138-Infrastructure!K$6)^2)</f>
        <v>24.36575466</v>
      </c>
      <c r="AZ2138" s="331">
        <f>SQRT(($R2138-Infrastructure!J$7)^2+($S2138-Infrastructure!K$7)^2)</f>
        <v>17.62980431</v>
      </c>
      <c r="BA2138" s="331">
        <f>SQRT(($R2138-Infrastructure!J$8)^2+($S2138-Infrastructure!K$8)^2)</f>
        <v>15.54638222</v>
      </c>
      <c r="BB2138" s="331">
        <f>SQRT(($R2138-Infrastructure!J$9)^2+($S2138-Infrastructure!K$9)^2)</f>
        <v>15.4175225</v>
      </c>
      <c r="BC2138" s="331">
        <f>SQRT(($R2138-Infrastructure!J$10)^2+($S2138-Infrastructure!K$10)^2)</f>
        <v>11.12879149</v>
      </c>
      <c r="BD2138" s="331">
        <f>SQRT(($R2138-Infrastructure!J$11)^2+($S2138-Infrastructure!K$11)^2)</f>
        <v>17.37613306</v>
      </c>
      <c r="BE2138" s="333">
        <f>SQRT(($R2138-Infrastructure!J$12)^2+($S2138-Infrastructure!K$12)^2)</f>
        <v>40.38378387</v>
      </c>
      <c r="BF2138" s="330">
        <f t="shared" si="161"/>
        <v>11.12879149</v>
      </c>
      <c r="BG2138" s="333">
        <f t="shared" si="162"/>
        <v>40.38378387</v>
      </c>
      <c r="BH2138" s="1119"/>
      <c r="BI2138" s="319" t="str">
        <f t="shared" ref="BI2138:BR2138" si="1128">IF(ISNUMBER(FIND(BI$3, $CO2138)), "Y", "")</f>
        <v/>
      </c>
      <c r="BJ2138" s="319" t="str">
        <f t="shared" si="1128"/>
        <v/>
      </c>
      <c r="BK2138" s="319" t="str">
        <f t="shared" si="1128"/>
        <v/>
      </c>
      <c r="BL2138" s="319" t="str">
        <f t="shared" si="1128"/>
        <v/>
      </c>
      <c r="BM2138" s="319" t="str">
        <f t="shared" si="1128"/>
        <v/>
      </c>
      <c r="BN2138" s="319" t="str">
        <f t="shared" si="1128"/>
        <v/>
      </c>
      <c r="BO2138" s="319" t="str">
        <f t="shared" si="1128"/>
        <v/>
      </c>
      <c r="BP2138" s="319" t="str">
        <f t="shared" si="1128"/>
        <v/>
      </c>
      <c r="BQ2138" s="319" t="str">
        <f t="shared" si="1128"/>
        <v/>
      </c>
      <c r="BR2138" s="319" t="str">
        <f t="shared" si="1128"/>
        <v/>
      </c>
      <c r="BS2138" s="330">
        <f t="shared" si="185"/>
        <v>0</v>
      </c>
      <c r="BT2138" s="331">
        <f t="shared" si="170"/>
        <v>0</v>
      </c>
      <c r="BU2138" s="920"/>
      <c r="BV2138" s="903" t="str">
        <f t="shared" si="186"/>
        <v/>
      </c>
      <c r="BW2138" s="908"/>
      <c r="BX2138" s="908"/>
      <c r="BY2138" s="331" t="b">
        <f t="shared" si="201"/>
        <v>0</v>
      </c>
      <c r="BZ2138" s="331"/>
      <c r="CA2138" s="462" t="str">
        <f t="shared" ref="CA2138:CJ2138" si="1129">IF(ISNUMBER(FIND(BI$3, $CP2138)), "Y", "")</f>
        <v/>
      </c>
      <c r="CB2138" s="319" t="str">
        <f t="shared" si="1129"/>
        <v/>
      </c>
      <c r="CC2138" s="319" t="str">
        <f t="shared" si="1129"/>
        <v/>
      </c>
      <c r="CD2138" s="319" t="str">
        <f t="shared" si="1129"/>
        <v/>
      </c>
      <c r="CE2138" s="319" t="str">
        <f t="shared" si="1129"/>
        <v/>
      </c>
      <c r="CF2138" s="319" t="str">
        <f t="shared" si="1129"/>
        <v/>
      </c>
      <c r="CG2138" s="319" t="str">
        <f t="shared" si="1129"/>
        <v/>
      </c>
      <c r="CH2138" s="319" t="str">
        <f t="shared" si="1129"/>
        <v/>
      </c>
      <c r="CI2138" s="319" t="str">
        <f t="shared" si="1129"/>
        <v/>
      </c>
      <c r="CJ2138" s="319" t="str">
        <f t="shared" si="1129"/>
        <v/>
      </c>
      <c r="CK2138" s="342">
        <f t="shared" si="182"/>
        <v>0</v>
      </c>
      <c r="CL2138" s="333">
        <f t="shared" si="183"/>
        <v>0</v>
      </c>
      <c r="CM2138" s="1079"/>
      <c r="CN2138" s="1005" t="s">
        <v>3179</v>
      </c>
      <c r="CO2138" s="1005"/>
      <c r="CP2138" s="1005"/>
    </row>
    <row r="2139">
      <c r="A2139" s="266"/>
      <c r="B2139" s="1113" t="s">
        <v>1799</v>
      </c>
      <c r="C2139" s="1107">
        <v>45630.0</v>
      </c>
      <c r="D2139" s="1113" t="s">
        <v>986</v>
      </c>
      <c r="E2139" s="1108">
        <v>22.0</v>
      </c>
      <c r="F2139" s="112" t="s">
        <v>3180</v>
      </c>
      <c r="G2139" s="1110">
        <v>0.4895833333333333</v>
      </c>
      <c r="H2139" s="1110">
        <v>0.49027777777777776</v>
      </c>
      <c r="I2139" s="1110"/>
      <c r="J2139" s="1111"/>
      <c r="K2139" s="1111">
        <v>0.5173611111111112</v>
      </c>
      <c r="L2139" s="1112">
        <v>0.027083333333333334</v>
      </c>
      <c r="M2139" s="1113" t="s">
        <v>166</v>
      </c>
      <c r="N2139" s="110" t="s">
        <v>187</v>
      </c>
      <c r="O2139" s="1115" t="s">
        <v>3065</v>
      </c>
      <c r="P2139" s="1115" t="s">
        <v>272</v>
      </c>
      <c r="Q2139" s="1116"/>
      <c r="R2139" s="120">
        <v>29.6</v>
      </c>
      <c r="S2139" s="1113">
        <v>12.3</v>
      </c>
      <c r="T2139" s="110">
        <v>1.63</v>
      </c>
      <c r="U2139" s="1108">
        <v>1.0</v>
      </c>
      <c r="V2139" s="1108"/>
      <c r="W2139" s="1108"/>
      <c r="X2139" s="1108"/>
      <c r="Y2139" s="1108"/>
      <c r="Z2139" s="1114" t="s">
        <v>374</v>
      </c>
      <c r="AA2139" s="1114"/>
      <c r="AB2139" s="1114" t="s">
        <v>392</v>
      </c>
      <c r="AC2139" s="1117">
        <v>10.0</v>
      </c>
      <c r="AD2139" s="1115"/>
      <c r="AE2139" s="1115"/>
      <c r="AF2139" s="1115"/>
      <c r="AG2139" s="1115"/>
      <c r="AH2139" s="1115"/>
      <c r="AI2139" s="1115"/>
      <c r="AJ2139" s="1117"/>
      <c r="AK2139" s="1118"/>
      <c r="AL2139" s="1115"/>
      <c r="AM2139" s="1115"/>
      <c r="AN2139" s="1115"/>
      <c r="AO2139" s="1115"/>
      <c r="AP2139" s="1115"/>
      <c r="AQ2139" s="1115"/>
      <c r="AR2139" s="1115"/>
      <c r="AS2139" s="1117"/>
      <c r="AT2139" s="1196" t="str">
        <f t="shared" si="428"/>
        <v>1-10</v>
      </c>
      <c r="AU2139" s="1193"/>
      <c r="AV2139" s="330">
        <f>SQRT(($R2139-Infrastructure!J$3)^2+($S2139-Infrastructure!K$3)^2)</f>
        <v>34.19897659</v>
      </c>
      <c r="AW2139" s="331">
        <f>SQRT(($R2139-Infrastructure!J$4)^2+($S2139-Infrastructure!K$4)^2)</f>
        <v>30.40164469</v>
      </c>
      <c r="AX2139" s="331">
        <f>SQRT(($R2139-Infrastructure!J$5)^2+($S2139-Infrastructure!K$5)^2)</f>
        <v>30.75467444</v>
      </c>
      <c r="AY2139" s="331">
        <f>SQRT(($R2139-Infrastructure!J$6)^2+($S2139-Infrastructure!K$6)^2)</f>
        <v>22.89650628</v>
      </c>
      <c r="AZ2139" s="331">
        <f>SQRT(($R2139-Infrastructure!J$7)^2+($S2139-Infrastructure!K$7)^2)</f>
        <v>15.06021248</v>
      </c>
      <c r="BA2139" s="331">
        <f>SQRT(($R2139-Infrastructure!J$8)^2+($S2139-Infrastructure!K$8)^2)</f>
        <v>12.01041215</v>
      </c>
      <c r="BB2139" s="331">
        <f>SQRT(($R2139-Infrastructure!J$9)^2+($S2139-Infrastructure!K$9)^2)</f>
        <v>12.64911064</v>
      </c>
      <c r="BC2139" s="331">
        <f>SQRT(($R2139-Infrastructure!J$10)^2+($S2139-Infrastructure!K$10)^2)</f>
        <v>10.74476617</v>
      </c>
      <c r="BD2139" s="331">
        <f>SQRT(($R2139-Infrastructure!J$11)^2+($S2139-Infrastructure!K$11)^2)</f>
        <v>19.78004044</v>
      </c>
      <c r="BE2139" s="333">
        <f>SQRT(($R2139-Infrastructure!J$12)^2+($S2139-Infrastructure!K$12)^2)</f>
        <v>43.95281561</v>
      </c>
      <c r="BF2139" s="330">
        <f t="shared" si="161"/>
        <v>10.74476617</v>
      </c>
      <c r="BG2139" s="333">
        <f t="shared" si="162"/>
        <v>43.95281561</v>
      </c>
      <c r="BH2139" s="1119"/>
      <c r="BI2139" s="319" t="str">
        <f t="shared" ref="BI2139:BR2139" si="1130">IF(ISNUMBER(FIND(BI$3, $CO2139)), "Y", "")</f>
        <v/>
      </c>
      <c r="BJ2139" s="319" t="str">
        <f t="shared" si="1130"/>
        <v/>
      </c>
      <c r="BK2139" s="319" t="str">
        <f t="shared" si="1130"/>
        <v/>
      </c>
      <c r="BL2139" s="319" t="str">
        <f t="shared" si="1130"/>
        <v/>
      </c>
      <c r="BM2139" s="319" t="str">
        <f t="shared" si="1130"/>
        <v/>
      </c>
      <c r="BN2139" s="319" t="str">
        <f t="shared" si="1130"/>
        <v/>
      </c>
      <c r="BO2139" s="319" t="str">
        <f t="shared" si="1130"/>
        <v/>
      </c>
      <c r="BP2139" s="319" t="str">
        <f t="shared" si="1130"/>
        <v/>
      </c>
      <c r="BQ2139" s="319" t="str">
        <f t="shared" si="1130"/>
        <v/>
      </c>
      <c r="BR2139" s="319" t="str">
        <f t="shared" si="1130"/>
        <v/>
      </c>
      <c r="BS2139" s="330">
        <f t="shared" si="185"/>
        <v>0</v>
      </c>
      <c r="BT2139" s="331">
        <f t="shared" si="170"/>
        <v>0</v>
      </c>
      <c r="BU2139" s="920"/>
      <c r="BV2139" s="903" t="str">
        <f t="shared" si="186"/>
        <v/>
      </c>
      <c r="BW2139" s="908"/>
      <c r="BX2139" s="908"/>
      <c r="BY2139" s="331" t="b">
        <f t="shared" si="201"/>
        <v>0</v>
      </c>
      <c r="BZ2139" s="331"/>
      <c r="CA2139" s="462" t="str">
        <f t="shared" ref="CA2139:CJ2139" si="1131">IF(ISNUMBER(FIND(BI$3, $CP2139)), "Y", "")</f>
        <v/>
      </c>
      <c r="CB2139" s="319" t="str">
        <f t="shared" si="1131"/>
        <v/>
      </c>
      <c r="CC2139" s="319" t="str">
        <f t="shared" si="1131"/>
        <v/>
      </c>
      <c r="CD2139" s="319" t="str">
        <f t="shared" si="1131"/>
        <v/>
      </c>
      <c r="CE2139" s="319" t="str">
        <f t="shared" si="1131"/>
        <v/>
      </c>
      <c r="CF2139" s="319" t="str">
        <f t="shared" si="1131"/>
        <v/>
      </c>
      <c r="CG2139" s="319" t="str">
        <f t="shared" si="1131"/>
        <v/>
      </c>
      <c r="CH2139" s="319" t="str">
        <f t="shared" si="1131"/>
        <v/>
      </c>
      <c r="CI2139" s="319" t="str">
        <f t="shared" si="1131"/>
        <v/>
      </c>
      <c r="CJ2139" s="319" t="str">
        <f t="shared" si="1131"/>
        <v/>
      </c>
      <c r="CK2139" s="342">
        <f t="shared" si="182"/>
        <v>0</v>
      </c>
      <c r="CL2139" s="333">
        <f t="shared" si="183"/>
        <v>0</v>
      </c>
      <c r="CM2139" s="1079"/>
      <c r="CN2139" s="1005" t="s">
        <v>3179</v>
      </c>
      <c r="CO2139" s="1005"/>
      <c r="CP2139" s="1005"/>
    </row>
    <row r="2140">
      <c r="A2140" s="266"/>
      <c r="B2140" s="1113" t="s">
        <v>1799</v>
      </c>
      <c r="C2140" s="1107">
        <v>45630.0</v>
      </c>
      <c r="D2140" s="1113" t="s">
        <v>986</v>
      </c>
      <c r="E2140" s="1108">
        <v>23.0</v>
      </c>
      <c r="F2140" s="112" t="s">
        <v>3181</v>
      </c>
      <c r="G2140" s="1110">
        <v>0.5173611111111112</v>
      </c>
      <c r="H2140" s="1110">
        <v>0.5177083333333333</v>
      </c>
      <c r="I2140" s="1110"/>
      <c r="J2140" s="1111"/>
      <c r="K2140" s="1111">
        <v>0.5951388888888889</v>
      </c>
      <c r="L2140" s="1112">
        <v>0.07743055555555556</v>
      </c>
      <c r="M2140" s="1113" t="s">
        <v>166</v>
      </c>
      <c r="N2140" s="110" t="s">
        <v>187</v>
      </c>
      <c r="O2140" s="1115" t="s">
        <v>3065</v>
      </c>
      <c r="P2140" s="1115" t="s">
        <v>272</v>
      </c>
      <c r="Q2140" s="1116"/>
      <c r="R2140" s="120">
        <v>29.6</v>
      </c>
      <c r="S2140" s="1113">
        <v>12.3</v>
      </c>
      <c r="T2140" s="110">
        <v>1.63</v>
      </c>
      <c r="U2140" s="1108">
        <v>2.0</v>
      </c>
      <c r="V2140" s="1108"/>
      <c r="W2140" s="1108"/>
      <c r="X2140" s="1108"/>
      <c r="Y2140" s="1108"/>
      <c r="Z2140" s="1114" t="s">
        <v>374</v>
      </c>
      <c r="AA2140" s="1114"/>
      <c r="AB2140" s="1114" t="s">
        <v>392</v>
      </c>
      <c r="AC2140" s="1117">
        <v>10.0</v>
      </c>
      <c r="AD2140" s="1115"/>
      <c r="AE2140" s="1115"/>
      <c r="AF2140" s="1115"/>
      <c r="AG2140" s="1115"/>
      <c r="AH2140" s="1115"/>
      <c r="AI2140" s="1115"/>
      <c r="AJ2140" s="1117"/>
      <c r="AK2140" s="1118"/>
      <c r="AL2140" s="1115"/>
      <c r="AM2140" s="1115"/>
      <c r="AN2140" s="1115"/>
      <c r="AO2140" s="1115"/>
      <c r="AP2140" s="1115"/>
      <c r="AQ2140" s="1115"/>
      <c r="AR2140" s="1115"/>
      <c r="AS2140" s="1117"/>
      <c r="AT2140" s="1196" t="str">
        <f t="shared" si="428"/>
        <v>1-10</v>
      </c>
      <c r="AU2140" s="1193"/>
      <c r="AV2140" s="330">
        <f>SQRT(($R2140-Infrastructure!J$3)^2+($S2140-Infrastructure!K$3)^2)</f>
        <v>34.19897659</v>
      </c>
      <c r="AW2140" s="331">
        <f>SQRT(($R2140-Infrastructure!J$4)^2+($S2140-Infrastructure!K$4)^2)</f>
        <v>30.40164469</v>
      </c>
      <c r="AX2140" s="331">
        <f>SQRT(($R2140-Infrastructure!J$5)^2+($S2140-Infrastructure!K$5)^2)</f>
        <v>30.75467444</v>
      </c>
      <c r="AY2140" s="331">
        <f>SQRT(($R2140-Infrastructure!J$6)^2+($S2140-Infrastructure!K$6)^2)</f>
        <v>22.89650628</v>
      </c>
      <c r="AZ2140" s="331">
        <f>SQRT(($R2140-Infrastructure!J$7)^2+($S2140-Infrastructure!K$7)^2)</f>
        <v>15.06021248</v>
      </c>
      <c r="BA2140" s="331">
        <f>SQRT(($R2140-Infrastructure!J$8)^2+($S2140-Infrastructure!K$8)^2)</f>
        <v>12.01041215</v>
      </c>
      <c r="BB2140" s="331">
        <f>SQRT(($R2140-Infrastructure!J$9)^2+($S2140-Infrastructure!K$9)^2)</f>
        <v>12.64911064</v>
      </c>
      <c r="BC2140" s="331">
        <f>SQRT(($R2140-Infrastructure!J$10)^2+($S2140-Infrastructure!K$10)^2)</f>
        <v>10.74476617</v>
      </c>
      <c r="BD2140" s="331">
        <f>SQRT(($R2140-Infrastructure!J$11)^2+($S2140-Infrastructure!K$11)^2)</f>
        <v>19.78004044</v>
      </c>
      <c r="BE2140" s="333">
        <f>SQRT(($R2140-Infrastructure!J$12)^2+($S2140-Infrastructure!K$12)^2)</f>
        <v>43.95281561</v>
      </c>
      <c r="BF2140" s="330">
        <f t="shared" si="161"/>
        <v>10.74476617</v>
      </c>
      <c r="BG2140" s="333">
        <f t="shared" si="162"/>
        <v>43.95281561</v>
      </c>
      <c r="BH2140" s="1119"/>
      <c r="BI2140" s="319" t="str">
        <f t="shared" ref="BI2140:BR2140" si="1132">IF(ISNUMBER(FIND(BI$3, $CO2140)), "Y", "")</f>
        <v/>
      </c>
      <c r="BJ2140" s="319" t="str">
        <f t="shared" si="1132"/>
        <v/>
      </c>
      <c r="BK2140" s="319" t="str">
        <f t="shared" si="1132"/>
        <v/>
      </c>
      <c r="BL2140" s="319" t="str">
        <f t="shared" si="1132"/>
        <v/>
      </c>
      <c r="BM2140" s="319" t="str">
        <f t="shared" si="1132"/>
        <v/>
      </c>
      <c r="BN2140" s="319" t="str">
        <f t="shared" si="1132"/>
        <v/>
      </c>
      <c r="BO2140" s="319" t="str">
        <f t="shared" si="1132"/>
        <v/>
      </c>
      <c r="BP2140" s="319" t="str">
        <f t="shared" si="1132"/>
        <v/>
      </c>
      <c r="BQ2140" s="319" t="str">
        <f t="shared" si="1132"/>
        <v/>
      </c>
      <c r="BR2140" s="319" t="str">
        <f t="shared" si="1132"/>
        <v/>
      </c>
      <c r="BS2140" s="330">
        <f t="shared" si="185"/>
        <v>0</v>
      </c>
      <c r="BT2140" s="331">
        <f t="shared" si="170"/>
        <v>0</v>
      </c>
      <c r="BU2140" s="920"/>
      <c r="BV2140" s="903" t="str">
        <f t="shared" si="186"/>
        <v/>
      </c>
      <c r="BW2140" s="908"/>
      <c r="BX2140" s="908"/>
      <c r="BY2140" s="331" t="b">
        <f t="shared" si="201"/>
        <v>0</v>
      </c>
      <c r="BZ2140" s="331"/>
      <c r="CA2140" s="462" t="str">
        <f t="shared" ref="CA2140:CJ2140" si="1133">IF(ISNUMBER(FIND(BI$3, $CP2140)), "Y", "")</f>
        <v/>
      </c>
      <c r="CB2140" s="319" t="str">
        <f t="shared" si="1133"/>
        <v/>
      </c>
      <c r="CC2140" s="319" t="str">
        <f t="shared" si="1133"/>
        <v/>
      </c>
      <c r="CD2140" s="319" t="str">
        <f t="shared" si="1133"/>
        <v/>
      </c>
      <c r="CE2140" s="319" t="str">
        <f t="shared" si="1133"/>
        <v/>
      </c>
      <c r="CF2140" s="319" t="str">
        <f t="shared" si="1133"/>
        <v/>
      </c>
      <c r="CG2140" s="319" t="str">
        <f t="shared" si="1133"/>
        <v/>
      </c>
      <c r="CH2140" s="319" t="str">
        <f t="shared" si="1133"/>
        <v/>
      </c>
      <c r="CI2140" s="319" t="str">
        <f t="shared" si="1133"/>
        <v/>
      </c>
      <c r="CJ2140" s="319" t="str">
        <f t="shared" si="1133"/>
        <v/>
      </c>
      <c r="CK2140" s="342">
        <f t="shared" si="182"/>
        <v>0</v>
      </c>
      <c r="CL2140" s="333">
        <f t="shared" si="183"/>
        <v>0</v>
      </c>
      <c r="CM2140" s="1079"/>
      <c r="CN2140" s="1005" t="s">
        <v>3182</v>
      </c>
      <c r="CO2140" s="1005"/>
      <c r="CP2140" s="1005"/>
    </row>
    <row r="2141">
      <c r="A2141" s="266"/>
      <c r="B2141" s="1113" t="s">
        <v>1799</v>
      </c>
      <c r="C2141" s="1107">
        <v>45630.0</v>
      </c>
      <c r="D2141" s="1113" t="s">
        <v>986</v>
      </c>
      <c r="E2141" s="1108">
        <v>24.0</v>
      </c>
      <c r="F2141" s="112" t="s">
        <v>3183</v>
      </c>
      <c r="G2141" s="1110">
        <v>0.5951388888888889</v>
      </c>
      <c r="H2141" s="1110">
        <v>0.5958333333333333</v>
      </c>
      <c r="I2141" s="1110"/>
      <c r="J2141" s="1111"/>
      <c r="K2141" s="1111">
        <v>0.6076388888888888</v>
      </c>
      <c r="L2141" s="1112">
        <v>0.011805555555555555</v>
      </c>
      <c r="M2141" s="1113" t="s">
        <v>166</v>
      </c>
      <c r="N2141" s="110" t="s">
        <v>187</v>
      </c>
      <c r="O2141" s="1115" t="s">
        <v>3065</v>
      </c>
      <c r="P2141" s="1115" t="s">
        <v>272</v>
      </c>
      <c r="Q2141" s="1116"/>
      <c r="R2141" s="120">
        <v>23.5</v>
      </c>
      <c r="S2141" s="1113">
        <v>15.3</v>
      </c>
      <c r="T2141" s="110">
        <v>1.63</v>
      </c>
      <c r="U2141" s="1108">
        <v>2.0</v>
      </c>
      <c r="V2141" s="1108"/>
      <c r="W2141" s="1108"/>
      <c r="X2141" s="1108"/>
      <c r="Y2141" s="1108"/>
      <c r="Z2141" s="1114" t="s">
        <v>374</v>
      </c>
      <c r="AA2141" s="1114"/>
      <c r="AB2141" s="1114" t="s">
        <v>392</v>
      </c>
      <c r="AC2141" s="1117">
        <v>10.0</v>
      </c>
      <c r="AD2141" s="1115"/>
      <c r="AE2141" s="1115"/>
      <c r="AF2141" s="1115"/>
      <c r="AG2141" s="1115"/>
      <c r="AH2141" s="1115"/>
      <c r="AI2141" s="1115"/>
      <c r="AJ2141" s="1117"/>
      <c r="AK2141" s="1118"/>
      <c r="AL2141" s="1115"/>
      <c r="AM2141" s="1115"/>
      <c r="AN2141" s="1115"/>
      <c r="AO2141" s="1115"/>
      <c r="AP2141" s="1115"/>
      <c r="AQ2141" s="1115"/>
      <c r="AR2141" s="1115"/>
      <c r="AS2141" s="1117"/>
      <c r="AT2141" s="1196" t="str">
        <f t="shared" si="428"/>
        <v>1-10</v>
      </c>
      <c r="AU2141" s="1193"/>
      <c r="AV2141" s="330">
        <f>SQRT(($R2141-Infrastructure!J$3)^2+($S2141-Infrastructure!K$3)^2)</f>
        <v>27.41167634</v>
      </c>
      <c r="AW2141" s="331">
        <f>SQRT(($R2141-Infrastructure!J$4)^2+($S2141-Infrastructure!K$4)^2)</f>
        <v>23.93094231</v>
      </c>
      <c r="AX2141" s="331">
        <f>SQRT(($R2141-Infrastructure!J$5)^2+($S2141-Infrastructure!K$5)^2)</f>
        <v>25.89362856</v>
      </c>
      <c r="AY2141" s="331">
        <f>SQRT(($R2141-Infrastructure!J$6)^2+($S2141-Infrastructure!K$6)^2)</f>
        <v>20.11367694</v>
      </c>
      <c r="AZ2141" s="331">
        <f>SQRT(($R2141-Infrastructure!J$7)^2+($S2141-Infrastructure!K$7)^2)</f>
        <v>15.29705854</v>
      </c>
      <c r="BA2141" s="331">
        <f>SQRT(($R2141-Infrastructure!J$8)^2+($S2141-Infrastructure!K$8)^2)</f>
        <v>16.38780034</v>
      </c>
      <c r="BB2141" s="331">
        <f>SQRT(($R2141-Infrastructure!J$9)^2+($S2141-Infrastructure!K$9)^2)</f>
        <v>19.39819579</v>
      </c>
      <c r="BC2141" s="331">
        <f>SQRT(($R2141-Infrastructure!J$10)^2+($S2141-Infrastructure!K$10)^2)</f>
        <v>16.50272705</v>
      </c>
      <c r="BD2141" s="331">
        <f>SQRT(($R2141-Infrastructure!J$11)^2+($S2141-Infrastructure!K$11)^2)</f>
        <v>21.60046296</v>
      </c>
      <c r="BE2141" s="333">
        <f>SQRT(($R2141-Infrastructure!J$12)^2+($S2141-Infrastructure!K$12)^2)</f>
        <v>40.2497205</v>
      </c>
      <c r="BF2141" s="330">
        <f t="shared" si="161"/>
        <v>15.29705854</v>
      </c>
      <c r="BG2141" s="333">
        <f t="shared" si="162"/>
        <v>40.2497205</v>
      </c>
      <c r="BH2141" s="1119"/>
      <c r="BI2141" s="319" t="str">
        <f t="shared" ref="BI2141:BR2141" si="1134">IF(ISNUMBER(FIND(BI$3, $CO2141)), "Y", "")</f>
        <v/>
      </c>
      <c r="BJ2141" s="319" t="str">
        <f t="shared" si="1134"/>
        <v/>
      </c>
      <c r="BK2141" s="319" t="str">
        <f t="shared" si="1134"/>
        <v/>
      </c>
      <c r="BL2141" s="319" t="str">
        <f t="shared" si="1134"/>
        <v/>
      </c>
      <c r="BM2141" s="319" t="str">
        <f t="shared" si="1134"/>
        <v/>
      </c>
      <c r="BN2141" s="319" t="str">
        <f t="shared" si="1134"/>
        <v/>
      </c>
      <c r="BO2141" s="319" t="str">
        <f t="shared" si="1134"/>
        <v/>
      </c>
      <c r="BP2141" s="319" t="str">
        <f t="shared" si="1134"/>
        <v/>
      </c>
      <c r="BQ2141" s="319" t="str">
        <f t="shared" si="1134"/>
        <v/>
      </c>
      <c r="BR2141" s="319" t="str">
        <f t="shared" si="1134"/>
        <v/>
      </c>
      <c r="BS2141" s="330">
        <f t="shared" si="185"/>
        <v>0</v>
      </c>
      <c r="BT2141" s="331">
        <f t="shared" si="170"/>
        <v>0</v>
      </c>
      <c r="BU2141" s="920"/>
      <c r="BV2141" s="903" t="str">
        <f t="shared" si="186"/>
        <v/>
      </c>
      <c r="BW2141" s="908"/>
      <c r="BX2141" s="908"/>
      <c r="BY2141" s="331" t="b">
        <f t="shared" si="201"/>
        <v>0</v>
      </c>
      <c r="BZ2141" s="331"/>
      <c r="CA2141" s="462" t="str">
        <f t="shared" ref="CA2141:CJ2141" si="1135">IF(ISNUMBER(FIND(BI$3, $CP2141)), "Y", "")</f>
        <v/>
      </c>
      <c r="CB2141" s="319" t="str">
        <f t="shared" si="1135"/>
        <v/>
      </c>
      <c r="CC2141" s="319" t="str">
        <f t="shared" si="1135"/>
        <v/>
      </c>
      <c r="CD2141" s="319" t="str">
        <f t="shared" si="1135"/>
        <v/>
      </c>
      <c r="CE2141" s="319" t="str">
        <f t="shared" si="1135"/>
        <v/>
      </c>
      <c r="CF2141" s="319" t="str">
        <f t="shared" si="1135"/>
        <v/>
      </c>
      <c r="CG2141" s="319" t="str">
        <f t="shared" si="1135"/>
        <v/>
      </c>
      <c r="CH2141" s="319" t="str">
        <f t="shared" si="1135"/>
        <v/>
      </c>
      <c r="CI2141" s="319" t="str">
        <f t="shared" si="1135"/>
        <v/>
      </c>
      <c r="CJ2141" s="319" t="str">
        <f t="shared" si="1135"/>
        <v/>
      </c>
      <c r="CK2141" s="342">
        <f t="shared" si="182"/>
        <v>0</v>
      </c>
      <c r="CL2141" s="333">
        <f t="shared" si="183"/>
        <v>0</v>
      </c>
      <c r="CM2141" s="1079"/>
      <c r="CN2141" s="1005" t="s">
        <v>3182</v>
      </c>
      <c r="CO2141" s="1005"/>
      <c r="CP2141" s="1005"/>
    </row>
    <row r="2142">
      <c r="A2142" s="266"/>
      <c r="B2142" s="1113" t="s">
        <v>1799</v>
      </c>
      <c r="C2142" s="1107">
        <v>45630.0</v>
      </c>
      <c r="D2142" s="1113" t="s">
        <v>986</v>
      </c>
      <c r="E2142" s="1108">
        <v>25.0</v>
      </c>
      <c r="F2142" s="112" t="s">
        <v>3184</v>
      </c>
      <c r="G2142" s="1110">
        <v>0.6076388888888888</v>
      </c>
      <c r="H2142" s="1110">
        <v>0.6083333333333333</v>
      </c>
      <c r="I2142" s="1110"/>
      <c r="J2142" s="1111"/>
      <c r="K2142" s="1111">
        <v>0.6253472222222223</v>
      </c>
      <c r="L2142" s="1112">
        <v>0.017013888888888887</v>
      </c>
      <c r="M2142" s="1113" t="s">
        <v>166</v>
      </c>
      <c r="N2142" s="110" t="s">
        <v>187</v>
      </c>
      <c r="O2142" s="1115" t="s">
        <v>3065</v>
      </c>
      <c r="P2142" s="1115" t="s">
        <v>272</v>
      </c>
      <c r="Q2142" s="1116"/>
      <c r="R2142" s="120">
        <v>23.7</v>
      </c>
      <c r="S2142" s="1113">
        <v>11.5</v>
      </c>
      <c r="T2142" s="110">
        <v>1.63</v>
      </c>
      <c r="U2142" s="1108">
        <v>2.0</v>
      </c>
      <c r="V2142" s="1108"/>
      <c r="W2142" s="1108"/>
      <c r="X2142" s="1108"/>
      <c r="Y2142" s="1108"/>
      <c r="Z2142" s="1114" t="s">
        <v>374</v>
      </c>
      <c r="AA2142" s="1114"/>
      <c r="AB2142" s="1114" t="s">
        <v>392</v>
      </c>
      <c r="AC2142" s="1117">
        <v>10.0</v>
      </c>
      <c r="AD2142" s="1115"/>
      <c r="AE2142" s="1115"/>
      <c r="AF2142" s="1115"/>
      <c r="AG2142" s="1115"/>
      <c r="AH2142" s="1115"/>
      <c r="AI2142" s="1115"/>
      <c r="AJ2142" s="1117"/>
      <c r="AK2142" s="1118"/>
      <c r="AL2142" s="1115"/>
      <c r="AM2142" s="1115"/>
      <c r="AN2142" s="1115"/>
      <c r="AO2142" s="1115"/>
      <c r="AP2142" s="1115"/>
      <c r="AQ2142" s="1115"/>
      <c r="AR2142" s="1115"/>
      <c r="AS2142" s="1117"/>
      <c r="AT2142" s="1196" t="str">
        <f t="shared" si="428"/>
        <v>1-10</v>
      </c>
      <c r="AU2142" s="1193"/>
      <c r="AV2142" s="330">
        <f>SQRT(($R2142-Infrastructure!J$3)^2+($S2142-Infrastructure!K$3)^2)</f>
        <v>29.64388638</v>
      </c>
      <c r="AW2142" s="331">
        <f>SQRT(($R2142-Infrastructure!J$4)^2+($S2142-Infrastructure!K$4)^2)</f>
        <v>24.81310138</v>
      </c>
      <c r="AX2142" s="331">
        <f>SQRT(($R2142-Infrastructure!J$5)^2+($S2142-Infrastructure!K$5)^2)</f>
        <v>24.83867951</v>
      </c>
      <c r="AY2142" s="331">
        <f>SQRT(($R2142-Infrastructure!J$6)^2+($S2142-Infrastructure!K$6)^2)</f>
        <v>17.61817244</v>
      </c>
      <c r="AZ2142" s="331">
        <f>SQRT(($R2142-Infrastructure!J$7)^2+($S2142-Infrastructure!K$7)^2)</f>
        <v>11.64817582</v>
      </c>
      <c r="BA2142" s="331">
        <f>SQRT(($R2142-Infrastructure!J$8)^2+($S2142-Infrastructure!K$8)^2)</f>
        <v>12.8996124</v>
      </c>
      <c r="BB2142" s="331">
        <f>SQRT(($R2142-Infrastructure!J$9)^2+($S2142-Infrastructure!K$9)^2)</f>
        <v>17.51142484</v>
      </c>
      <c r="BC2142" s="331">
        <f>SQRT(($R2142-Infrastructure!J$10)^2+($S2142-Infrastructure!K$10)^2)</f>
        <v>16.67153262</v>
      </c>
      <c r="BD2142" s="331">
        <f>SQRT(($R2142-Infrastructure!J$11)^2+($S2142-Infrastructure!K$11)^2)</f>
        <v>24.05202694</v>
      </c>
      <c r="BE2142" s="333">
        <f>SQRT(($R2142-Infrastructure!J$12)^2+($S2142-Infrastructure!K$12)^2)</f>
        <v>44.05496567</v>
      </c>
      <c r="BF2142" s="330">
        <f t="shared" si="161"/>
        <v>11.64817582</v>
      </c>
      <c r="BG2142" s="333">
        <f t="shared" si="162"/>
        <v>44.05496567</v>
      </c>
      <c r="BH2142" s="1119"/>
      <c r="BI2142" s="319" t="str">
        <f t="shared" ref="BI2142:BR2142" si="1136">IF(ISNUMBER(FIND(BI$3, $CO2142)), "Y", "")</f>
        <v/>
      </c>
      <c r="BJ2142" s="319" t="str">
        <f t="shared" si="1136"/>
        <v/>
      </c>
      <c r="BK2142" s="319" t="str">
        <f t="shared" si="1136"/>
        <v/>
      </c>
      <c r="BL2142" s="319" t="str">
        <f t="shared" si="1136"/>
        <v/>
      </c>
      <c r="BM2142" s="319" t="str">
        <f t="shared" si="1136"/>
        <v/>
      </c>
      <c r="BN2142" s="319" t="str">
        <f t="shared" si="1136"/>
        <v/>
      </c>
      <c r="BO2142" s="319" t="str">
        <f t="shared" si="1136"/>
        <v/>
      </c>
      <c r="BP2142" s="319" t="str">
        <f t="shared" si="1136"/>
        <v/>
      </c>
      <c r="BQ2142" s="319" t="str">
        <f t="shared" si="1136"/>
        <v/>
      </c>
      <c r="BR2142" s="319" t="str">
        <f t="shared" si="1136"/>
        <v/>
      </c>
      <c r="BS2142" s="330">
        <f t="shared" si="185"/>
        <v>0</v>
      </c>
      <c r="BT2142" s="331">
        <f t="shared" si="170"/>
        <v>0</v>
      </c>
      <c r="BU2142" s="920"/>
      <c r="BV2142" s="903" t="str">
        <f t="shared" si="186"/>
        <v/>
      </c>
      <c r="BW2142" s="908"/>
      <c r="BX2142" s="908"/>
      <c r="BY2142" s="331" t="b">
        <f t="shared" si="201"/>
        <v>0</v>
      </c>
      <c r="BZ2142" s="331"/>
      <c r="CA2142" s="462" t="str">
        <f t="shared" ref="CA2142:CJ2142" si="1137">IF(ISNUMBER(FIND(BI$3, $CP2142)), "Y", "")</f>
        <v/>
      </c>
      <c r="CB2142" s="319" t="str">
        <f t="shared" si="1137"/>
        <v/>
      </c>
      <c r="CC2142" s="319" t="str">
        <f t="shared" si="1137"/>
        <v/>
      </c>
      <c r="CD2142" s="319" t="str">
        <f t="shared" si="1137"/>
        <v/>
      </c>
      <c r="CE2142" s="319" t="str">
        <f t="shared" si="1137"/>
        <v/>
      </c>
      <c r="CF2142" s="319" t="str">
        <f t="shared" si="1137"/>
        <v/>
      </c>
      <c r="CG2142" s="319" t="str">
        <f t="shared" si="1137"/>
        <v/>
      </c>
      <c r="CH2142" s="319" t="str">
        <f t="shared" si="1137"/>
        <v/>
      </c>
      <c r="CI2142" s="319" t="str">
        <f t="shared" si="1137"/>
        <v/>
      </c>
      <c r="CJ2142" s="319" t="str">
        <f t="shared" si="1137"/>
        <v/>
      </c>
      <c r="CK2142" s="342">
        <f t="shared" si="182"/>
        <v>0</v>
      </c>
      <c r="CL2142" s="333">
        <f t="shared" si="183"/>
        <v>0</v>
      </c>
      <c r="CM2142" s="1079"/>
      <c r="CN2142" s="1005" t="s">
        <v>3182</v>
      </c>
      <c r="CO2142" s="1005"/>
      <c r="CP2142" s="1005"/>
    </row>
    <row r="2143">
      <c r="A2143" s="1258"/>
      <c r="B2143" s="1129" t="s">
        <v>1799</v>
      </c>
      <c r="C2143" s="1122">
        <v>45630.0</v>
      </c>
      <c r="D2143" s="1123"/>
      <c r="E2143" s="1144"/>
      <c r="F2143" s="108" t="s">
        <v>3185</v>
      </c>
      <c r="G2143" s="1126">
        <v>0.6357638888888889</v>
      </c>
      <c r="H2143" s="1145"/>
      <c r="I2143" s="1145"/>
      <c r="J2143" s="1146"/>
      <c r="K2143" s="1127">
        <v>0.6361111111111111</v>
      </c>
      <c r="L2143" s="1128">
        <v>3.4722222222222224E-4</v>
      </c>
      <c r="M2143" s="1129" t="s">
        <v>166</v>
      </c>
      <c r="N2143" s="100" t="s">
        <v>188</v>
      </c>
      <c r="O2143" s="1161"/>
      <c r="P2143" s="1131" t="s">
        <v>292</v>
      </c>
      <c r="Q2143" s="1132"/>
      <c r="R2143" s="1148"/>
      <c r="S2143" s="1129"/>
      <c r="T2143" s="1150"/>
      <c r="U2143" s="1124" t="s">
        <v>323</v>
      </c>
      <c r="V2143" s="1124"/>
      <c r="W2143" s="1124"/>
      <c r="X2143" s="1124"/>
      <c r="Y2143" s="1124"/>
      <c r="Z2143" s="1130" t="s">
        <v>323</v>
      </c>
      <c r="AA2143" s="1130"/>
      <c r="AB2143" s="1130" t="s">
        <v>323</v>
      </c>
      <c r="AC2143" s="1133" t="s">
        <v>323</v>
      </c>
      <c r="AD2143" s="1131"/>
      <c r="AE2143" s="1131"/>
      <c r="AF2143" s="1131"/>
      <c r="AG2143" s="1131"/>
      <c r="AH2143" s="1131"/>
      <c r="AI2143" s="1131"/>
      <c r="AJ2143" s="1133"/>
      <c r="AK2143" s="1134"/>
      <c r="AL2143" s="1131"/>
      <c r="AM2143" s="1131"/>
      <c r="AN2143" s="1131"/>
      <c r="AO2143" s="1131"/>
      <c r="AP2143" s="1131"/>
      <c r="AQ2143" s="1131"/>
      <c r="AR2143" s="1131"/>
      <c r="AS2143" s="1133"/>
      <c r="AT2143" s="1197" t="str">
        <f t="shared" si="428"/>
        <v/>
      </c>
      <c r="AU2143" s="1194"/>
      <c r="AV2143" s="662">
        <f>SQRT(($R2143-Infrastructure!J$3)^2+($S2143-Infrastructure!K$3)^2)</f>
        <v>28.90155705</v>
      </c>
      <c r="AW2143" s="641">
        <f>SQRT(($R2143-Infrastructure!J$4)^2+($S2143-Infrastructure!K$4)^2)</f>
        <v>17.80252791</v>
      </c>
      <c r="AX2143" s="641">
        <f>SQRT(($R2143-Infrastructure!J$5)^2+($S2143-Infrastructure!K$5)^2)</f>
        <v>5.10881591</v>
      </c>
      <c r="AY2143" s="641">
        <f>SQRT(($R2143-Infrastructure!J$6)^2+($S2143-Infrastructure!K$6)^2)</f>
        <v>10.10445446</v>
      </c>
      <c r="AZ2143" s="641">
        <f>SQRT(($R2143-Infrastructure!J$7)^2+($S2143-Infrastructure!K$7)^2)</f>
        <v>20.502195</v>
      </c>
      <c r="BA2143" s="641">
        <f>SQRT(($R2143-Infrastructure!J$8)^2+($S2143-Infrastructure!K$8)^2)</f>
        <v>30.10149498</v>
      </c>
      <c r="BB2143" s="641">
        <f>SQRT(($R2143-Infrastructure!J$9)^2+($S2143-Infrastructure!K$9)^2)</f>
        <v>40.3238143</v>
      </c>
      <c r="BC2143" s="641">
        <f>SQRT(($R2143-Infrastructure!J$10)^2+($S2143-Infrastructure!K$10)^2)</f>
        <v>42.72001873</v>
      </c>
      <c r="BD2143" s="641">
        <f>SQRT(($R2143-Infrastructure!J$11)^2+($S2143-Infrastructure!K$11)^2)</f>
        <v>49.56853841</v>
      </c>
      <c r="BE2143" s="642">
        <f>SQRT(($R2143-Infrastructure!J$12)^2+($S2143-Infrastructure!K$12)^2)</f>
        <v>59.51890456</v>
      </c>
      <c r="BF2143" s="662">
        <f t="shared" si="161"/>
        <v>5.10881591</v>
      </c>
      <c r="BG2143" s="642">
        <f t="shared" si="162"/>
        <v>59.51890456</v>
      </c>
      <c r="BH2143" s="1135"/>
      <c r="BI2143" s="663" t="str">
        <f t="shared" ref="BI2143:BR2143" si="1138">IF(ISNUMBER(FIND(BI$3, $CO2143)), "Y", "")</f>
        <v/>
      </c>
      <c r="BJ2143" s="663" t="str">
        <f t="shared" si="1138"/>
        <v/>
      </c>
      <c r="BK2143" s="663" t="str">
        <f t="shared" si="1138"/>
        <v/>
      </c>
      <c r="BL2143" s="663" t="str">
        <f t="shared" si="1138"/>
        <v/>
      </c>
      <c r="BM2143" s="663" t="str">
        <f t="shared" si="1138"/>
        <v/>
      </c>
      <c r="BN2143" s="663" t="str">
        <f t="shared" si="1138"/>
        <v/>
      </c>
      <c r="BO2143" s="663" t="str">
        <f t="shared" si="1138"/>
        <v/>
      </c>
      <c r="BP2143" s="663" t="str">
        <f t="shared" si="1138"/>
        <v/>
      </c>
      <c r="BQ2143" s="663" t="str">
        <f t="shared" si="1138"/>
        <v/>
      </c>
      <c r="BR2143" s="663" t="str">
        <f t="shared" si="1138"/>
        <v/>
      </c>
      <c r="BS2143" s="662">
        <f t="shared" si="185"/>
        <v>0</v>
      </c>
      <c r="BT2143" s="641">
        <f t="shared" si="170"/>
        <v>0</v>
      </c>
      <c r="BU2143" s="937"/>
      <c r="BV2143" s="903" t="str">
        <f t="shared" si="186"/>
        <v/>
      </c>
      <c r="BW2143" s="939"/>
      <c r="BX2143" s="939"/>
      <c r="BY2143" s="641" t="b">
        <f t="shared" si="201"/>
        <v>0</v>
      </c>
      <c r="BZ2143" s="641"/>
      <c r="CA2143" s="635" t="str">
        <f t="shared" ref="CA2143:CJ2143" si="1139">IF(ISNUMBER(FIND(BI$3, $CP2143)), "Y", "")</f>
        <v/>
      </c>
      <c r="CB2143" s="663" t="str">
        <f t="shared" si="1139"/>
        <v/>
      </c>
      <c r="CC2143" s="663" t="str">
        <f t="shared" si="1139"/>
        <v/>
      </c>
      <c r="CD2143" s="663" t="str">
        <f t="shared" si="1139"/>
        <v/>
      </c>
      <c r="CE2143" s="663" t="str">
        <f t="shared" si="1139"/>
        <v/>
      </c>
      <c r="CF2143" s="663" t="str">
        <f t="shared" si="1139"/>
        <v/>
      </c>
      <c r="CG2143" s="663" t="str">
        <f t="shared" si="1139"/>
        <v/>
      </c>
      <c r="CH2143" s="663" t="str">
        <f t="shared" si="1139"/>
        <v/>
      </c>
      <c r="CI2143" s="663" t="str">
        <f t="shared" si="1139"/>
        <v/>
      </c>
      <c r="CJ2143" s="663" t="str">
        <f t="shared" si="1139"/>
        <v/>
      </c>
      <c r="CK2143" s="743">
        <f t="shared" si="182"/>
        <v>0</v>
      </c>
      <c r="CL2143" s="642">
        <f t="shared" si="183"/>
        <v>0</v>
      </c>
      <c r="CM2143" s="1090"/>
      <c r="CN2143" s="1036" t="s">
        <v>3182</v>
      </c>
      <c r="CO2143" s="1036"/>
      <c r="CP2143" s="1036"/>
    </row>
    <row r="2144">
      <c r="A2144" s="1257" t="s">
        <v>145</v>
      </c>
      <c r="B2144" s="1113" t="s">
        <v>1799</v>
      </c>
      <c r="C2144" s="1107">
        <v>45631.0</v>
      </c>
      <c r="D2144" s="1113" t="s">
        <v>986</v>
      </c>
      <c r="E2144" s="1108">
        <v>26.0</v>
      </c>
      <c r="F2144" s="112" t="s">
        <v>3186</v>
      </c>
      <c r="G2144" s="1110">
        <v>0.42725694444444445</v>
      </c>
      <c r="H2144" s="1110">
        <v>0.42777777777777776</v>
      </c>
      <c r="I2144" s="1110"/>
      <c r="J2144" s="1111"/>
      <c r="K2144" s="1111">
        <v>0.47847222222222224</v>
      </c>
      <c r="L2144" s="1112">
        <v>0.050694444444444445</v>
      </c>
      <c r="M2144" s="1113" t="s">
        <v>166</v>
      </c>
      <c r="N2144" s="110" t="s">
        <v>187</v>
      </c>
      <c r="O2144" s="1115" t="s">
        <v>207</v>
      </c>
      <c r="P2144" s="1115" t="s">
        <v>268</v>
      </c>
      <c r="Q2144" s="1116"/>
      <c r="R2144" s="120">
        <v>26.0</v>
      </c>
      <c r="S2144" s="1113">
        <v>13.3</v>
      </c>
      <c r="T2144" s="110">
        <v>0.67</v>
      </c>
      <c r="U2144" s="1108">
        <v>6.0</v>
      </c>
      <c r="V2144" s="1108"/>
      <c r="W2144" s="1108"/>
      <c r="X2144" s="1108"/>
      <c r="Y2144" s="1108"/>
      <c r="Z2144" s="1114" t="s">
        <v>374</v>
      </c>
      <c r="AA2144" s="1114"/>
      <c r="AB2144" s="1114" t="s">
        <v>392</v>
      </c>
      <c r="AC2144" s="1117">
        <v>10.0</v>
      </c>
      <c r="AD2144" s="1115"/>
      <c r="AE2144" s="1115"/>
      <c r="AF2144" s="1115"/>
      <c r="AG2144" s="1115"/>
      <c r="AH2144" s="1115"/>
      <c r="AI2144" s="1115"/>
      <c r="AJ2144" s="1117"/>
      <c r="AK2144" s="1118"/>
      <c r="AL2144" s="1115"/>
      <c r="AM2144" s="1115"/>
      <c r="AN2144" s="1115"/>
      <c r="AO2144" s="1115"/>
      <c r="AP2144" s="1115"/>
      <c r="AQ2144" s="1115"/>
      <c r="AR2144" s="1115"/>
      <c r="AS2144" s="1117"/>
      <c r="AT2144" s="1196" t="str">
        <f t="shared" si="428"/>
        <v>1-10</v>
      </c>
      <c r="AU2144" s="1193"/>
      <c r="AV2144" s="330">
        <f>SQRT(($R2144-Infrastructure!J$3)^2+($S2144-Infrastructure!K$3)^2)</f>
        <v>30.57858728</v>
      </c>
      <c r="AW2144" s="331">
        <f>SQRT(($R2144-Infrastructure!J$4)^2+($S2144-Infrastructure!K$4)^2)</f>
        <v>26.68220381</v>
      </c>
      <c r="AX2144" s="331">
        <f>SQRT(($R2144-Infrastructure!J$5)^2+($S2144-Infrastructure!K$5)^2)</f>
        <v>27.54868418</v>
      </c>
      <c r="AY2144" s="331">
        <f>SQRT(($R2144-Infrastructure!J$6)^2+($S2144-Infrastructure!K$6)^2)</f>
        <v>20.53801354</v>
      </c>
      <c r="AZ2144" s="331">
        <f>SQRT(($R2144-Infrastructure!J$7)^2+($S2144-Infrastructure!K$7)^2)</f>
        <v>14.11559421</v>
      </c>
      <c r="BA2144" s="331">
        <f>SQRT(($R2144-Infrastructure!J$8)^2+($S2144-Infrastructure!K$8)^2)</f>
        <v>13.63121418</v>
      </c>
      <c r="BB2144" s="331">
        <f>SQRT(($R2144-Infrastructure!J$9)^2+($S2144-Infrastructure!K$9)^2)</f>
        <v>16.22467257</v>
      </c>
      <c r="BC2144" s="331">
        <f>SQRT(($R2144-Infrastructure!J$10)^2+($S2144-Infrastructure!K$10)^2)</f>
        <v>14.10283659</v>
      </c>
      <c r="BD2144" s="331">
        <f>SQRT(($R2144-Infrastructure!J$11)^2+($S2144-Infrastructure!K$11)^2)</f>
        <v>21.16908123</v>
      </c>
      <c r="BE2144" s="333">
        <f>SQRT(($R2144-Infrastructure!J$12)^2+($S2144-Infrastructure!K$12)^2)</f>
        <v>42.4392507</v>
      </c>
      <c r="BF2144" s="330">
        <f t="shared" si="161"/>
        <v>13.63121418</v>
      </c>
      <c r="BG2144" s="333">
        <f t="shared" si="162"/>
        <v>42.4392507</v>
      </c>
      <c r="BH2144" s="1119"/>
      <c r="BI2144" s="319" t="str">
        <f t="shared" ref="BI2144:BR2144" si="1140">IF(ISNUMBER(FIND(BI$3, $CO2144)), "Y", "")</f>
        <v>Y</v>
      </c>
      <c r="BJ2144" s="319" t="str">
        <f t="shared" si="1140"/>
        <v/>
      </c>
      <c r="BK2144" s="319" t="str">
        <f t="shared" si="1140"/>
        <v>Y</v>
      </c>
      <c r="BL2144" s="319" t="str">
        <f t="shared" si="1140"/>
        <v>Y</v>
      </c>
      <c r="BM2144" s="319" t="str">
        <f t="shared" si="1140"/>
        <v>Y</v>
      </c>
      <c r="BN2144" s="319" t="str">
        <f t="shared" si="1140"/>
        <v>Y</v>
      </c>
      <c r="BO2144" s="319" t="str">
        <f t="shared" si="1140"/>
        <v>Y</v>
      </c>
      <c r="BP2144" s="319" t="str">
        <f t="shared" si="1140"/>
        <v/>
      </c>
      <c r="BQ2144" s="319" t="str">
        <f t="shared" si="1140"/>
        <v>Y</v>
      </c>
      <c r="BR2144" s="319" t="str">
        <f t="shared" si="1140"/>
        <v>Y</v>
      </c>
      <c r="BS2144" s="330">
        <f t="shared" si="185"/>
        <v>13.63121418</v>
      </c>
      <c r="BT2144" s="331">
        <f t="shared" si="170"/>
        <v>42.4392507</v>
      </c>
      <c r="BU2144" s="920">
        <v>0.42792824074074076</v>
      </c>
      <c r="BV2144" s="903">
        <f t="shared" si="186"/>
        <v>0.0006712962963</v>
      </c>
      <c r="BW2144" s="908">
        <v>22.1</v>
      </c>
      <c r="BX2144" s="908">
        <v>14.7</v>
      </c>
      <c r="BY2144" s="331">
        <f t="shared" si="201"/>
        <v>4.143669871</v>
      </c>
      <c r="BZ2144" s="331"/>
      <c r="CA2144" s="462" t="str">
        <f t="shared" ref="CA2144:CJ2144" si="1141">IF(ISNUMBER(FIND(BI$3, $CP2144)), "Y", "")</f>
        <v/>
      </c>
      <c r="CB2144" s="319" t="str">
        <f t="shared" si="1141"/>
        <v/>
      </c>
      <c r="CC2144" s="319" t="str">
        <f t="shared" si="1141"/>
        <v/>
      </c>
      <c r="CD2144" s="319" t="str">
        <f t="shared" si="1141"/>
        <v/>
      </c>
      <c r="CE2144" s="319" t="str">
        <f t="shared" si="1141"/>
        <v/>
      </c>
      <c r="CF2144" s="319" t="str">
        <f t="shared" si="1141"/>
        <v/>
      </c>
      <c r="CG2144" s="319" t="str">
        <f t="shared" si="1141"/>
        <v/>
      </c>
      <c r="CH2144" s="319" t="str">
        <f t="shared" si="1141"/>
        <v/>
      </c>
      <c r="CI2144" s="319" t="str">
        <f t="shared" si="1141"/>
        <v/>
      </c>
      <c r="CJ2144" s="319" t="str">
        <f t="shared" si="1141"/>
        <v/>
      </c>
      <c r="CK2144" s="342">
        <f t="shared" si="182"/>
        <v>0</v>
      </c>
      <c r="CL2144" s="333">
        <f t="shared" si="183"/>
        <v>0</v>
      </c>
      <c r="CM2144" s="1079"/>
      <c r="CN2144" s="1005" t="s">
        <v>3187</v>
      </c>
      <c r="CO2144" s="1005" t="s">
        <v>2460</v>
      </c>
      <c r="CP2144" s="1005"/>
    </row>
    <row r="2145">
      <c r="A2145" s="266"/>
      <c r="B2145" s="1113" t="s">
        <v>1799</v>
      </c>
      <c r="C2145" s="1107">
        <v>45631.0</v>
      </c>
      <c r="D2145" s="103"/>
      <c r="E2145" s="1137"/>
      <c r="F2145" s="112" t="s">
        <v>3188</v>
      </c>
      <c r="G2145" s="1110">
        <v>0.5805555555555556</v>
      </c>
      <c r="H2145" s="1138"/>
      <c r="I2145" s="1138"/>
      <c r="J2145" s="1139"/>
      <c r="K2145" s="1111">
        <v>0.58125</v>
      </c>
      <c r="L2145" s="1112">
        <v>6.944444444444445E-4</v>
      </c>
      <c r="M2145" s="1113" t="s">
        <v>166</v>
      </c>
      <c r="N2145" s="110" t="s">
        <v>188</v>
      </c>
      <c r="O2145" s="1140"/>
      <c r="P2145" s="1115" t="s">
        <v>292</v>
      </c>
      <c r="Q2145" s="1116"/>
      <c r="R2145" s="1141"/>
      <c r="S2145" s="1113"/>
      <c r="T2145" s="1143"/>
      <c r="U2145" s="1108" t="s">
        <v>323</v>
      </c>
      <c r="V2145" s="1108"/>
      <c r="W2145" s="1108"/>
      <c r="X2145" s="1108"/>
      <c r="Y2145" s="1108"/>
      <c r="Z2145" s="1114" t="s">
        <v>323</v>
      </c>
      <c r="AA2145" s="1114"/>
      <c r="AB2145" s="1114" t="s">
        <v>323</v>
      </c>
      <c r="AC2145" s="1117" t="s">
        <v>323</v>
      </c>
      <c r="AD2145" s="1115"/>
      <c r="AE2145" s="1115"/>
      <c r="AF2145" s="1115"/>
      <c r="AG2145" s="1115"/>
      <c r="AH2145" s="1115"/>
      <c r="AI2145" s="1115"/>
      <c r="AJ2145" s="1117"/>
      <c r="AK2145" s="1118"/>
      <c r="AL2145" s="1115"/>
      <c r="AM2145" s="1115"/>
      <c r="AN2145" s="1115"/>
      <c r="AO2145" s="1115"/>
      <c r="AP2145" s="1115"/>
      <c r="AQ2145" s="1115"/>
      <c r="AR2145" s="1115"/>
      <c r="AS2145" s="1117"/>
      <c r="AT2145" s="1196" t="str">
        <f t="shared" si="428"/>
        <v/>
      </c>
      <c r="AU2145" s="1193"/>
      <c r="AV2145" s="330">
        <f>SQRT(($R2145-Infrastructure!J$3)^2+($S2145-Infrastructure!K$3)^2)</f>
        <v>28.90155705</v>
      </c>
      <c r="AW2145" s="331">
        <f>SQRT(($R2145-Infrastructure!J$4)^2+($S2145-Infrastructure!K$4)^2)</f>
        <v>17.80252791</v>
      </c>
      <c r="AX2145" s="331">
        <f>SQRT(($R2145-Infrastructure!J$5)^2+($S2145-Infrastructure!K$5)^2)</f>
        <v>5.10881591</v>
      </c>
      <c r="AY2145" s="331">
        <f>SQRT(($R2145-Infrastructure!J$6)^2+($S2145-Infrastructure!K$6)^2)</f>
        <v>10.10445446</v>
      </c>
      <c r="AZ2145" s="331">
        <f>SQRT(($R2145-Infrastructure!J$7)^2+($S2145-Infrastructure!K$7)^2)</f>
        <v>20.502195</v>
      </c>
      <c r="BA2145" s="331">
        <f>SQRT(($R2145-Infrastructure!J$8)^2+($S2145-Infrastructure!K$8)^2)</f>
        <v>30.10149498</v>
      </c>
      <c r="BB2145" s="331">
        <f>SQRT(($R2145-Infrastructure!J$9)^2+($S2145-Infrastructure!K$9)^2)</f>
        <v>40.3238143</v>
      </c>
      <c r="BC2145" s="331">
        <f>SQRT(($R2145-Infrastructure!J$10)^2+($S2145-Infrastructure!K$10)^2)</f>
        <v>42.72001873</v>
      </c>
      <c r="BD2145" s="331">
        <f>SQRT(($R2145-Infrastructure!J$11)^2+($S2145-Infrastructure!K$11)^2)</f>
        <v>49.56853841</v>
      </c>
      <c r="BE2145" s="333">
        <f>SQRT(($R2145-Infrastructure!J$12)^2+($S2145-Infrastructure!K$12)^2)</f>
        <v>59.51890456</v>
      </c>
      <c r="BF2145" s="330">
        <f t="shared" si="161"/>
        <v>5.10881591</v>
      </c>
      <c r="BG2145" s="333">
        <f t="shared" si="162"/>
        <v>59.51890456</v>
      </c>
      <c r="BH2145" s="1119"/>
      <c r="BI2145" s="319" t="str">
        <f t="shared" ref="BI2145:BR2145" si="1142">IF(ISNUMBER(FIND(BI$3, $CO2145)), "Y", "")</f>
        <v/>
      </c>
      <c r="BJ2145" s="319" t="str">
        <f t="shared" si="1142"/>
        <v/>
      </c>
      <c r="BK2145" s="319" t="str">
        <f t="shared" si="1142"/>
        <v/>
      </c>
      <c r="BL2145" s="319" t="str">
        <f t="shared" si="1142"/>
        <v/>
      </c>
      <c r="BM2145" s="319" t="str">
        <f t="shared" si="1142"/>
        <v/>
      </c>
      <c r="BN2145" s="319" t="str">
        <f t="shared" si="1142"/>
        <v/>
      </c>
      <c r="BO2145" s="319" t="str">
        <f t="shared" si="1142"/>
        <v/>
      </c>
      <c r="BP2145" s="319" t="str">
        <f t="shared" si="1142"/>
        <v/>
      </c>
      <c r="BQ2145" s="319" t="str">
        <f t="shared" si="1142"/>
        <v/>
      </c>
      <c r="BR2145" s="319" t="str">
        <f t="shared" si="1142"/>
        <v/>
      </c>
      <c r="BS2145" s="330">
        <f t="shared" si="185"/>
        <v>0</v>
      </c>
      <c r="BT2145" s="331">
        <f t="shared" si="170"/>
        <v>0</v>
      </c>
      <c r="BU2145" s="920"/>
      <c r="BV2145" s="903" t="str">
        <f t="shared" si="186"/>
        <v/>
      </c>
      <c r="BW2145" s="908"/>
      <c r="BX2145" s="908"/>
      <c r="BY2145" s="331" t="b">
        <f t="shared" si="201"/>
        <v>0</v>
      </c>
      <c r="BZ2145" s="331"/>
      <c r="CA2145" s="462" t="str">
        <f t="shared" ref="CA2145:CJ2145" si="1143">IF(ISNUMBER(FIND(BI$3, $CP2145)), "Y", "")</f>
        <v/>
      </c>
      <c r="CB2145" s="319" t="str">
        <f t="shared" si="1143"/>
        <v/>
      </c>
      <c r="CC2145" s="319" t="str">
        <f t="shared" si="1143"/>
        <v/>
      </c>
      <c r="CD2145" s="319" t="str">
        <f t="shared" si="1143"/>
        <v/>
      </c>
      <c r="CE2145" s="319" t="str">
        <f t="shared" si="1143"/>
        <v/>
      </c>
      <c r="CF2145" s="319" t="str">
        <f t="shared" si="1143"/>
        <v/>
      </c>
      <c r="CG2145" s="319" t="str">
        <f t="shared" si="1143"/>
        <v/>
      </c>
      <c r="CH2145" s="319" t="str">
        <f t="shared" si="1143"/>
        <v/>
      </c>
      <c r="CI2145" s="319" t="str">
        <f t="shared" si="1143"/>
        <v/>
      </c>
      <c r="CJ2145" s="319" t="str">
        <f t="shared" si="1143"/>
        <v/>
      </c>
      <c r="CK2145" s="342">
        <f t="shared" si="182"/>
        <v>0</v>
      </c>
      <c r="CL2145" s="333">
        <f t="shared" si="183"/>
        <v>0</v>
      </c>
      <c r="CM2145" s="1079"/>
      <c r="CN2145" s="1005" t="s">
        <v>3187</v>
      </c>
      <c r="CO2145" s="1005"/>
      <c r="CP2145" s="1005"/>
    </row>
    <row r="2146">
      <c r="A2146" s="1258"/>
      <c r="B2146" s="1129" t="s">
        <v>1799</v>
      </c>
      <c r="C2146" s="1122">
        <v>45631.0</v>
      </c>
      <c r="D2146" s="1123"/>
      <c r="E2146" s="1144"/>
      <c r="F2146" s="108" t="s">
        <v>3188</v>
      </c>
      <c r="G2146" s="1126">
        <v>0.5819444444444445</v>
      </c>
      <c r="H2146" s="1145"/>
      <c r="I2146" s="1145"/>
      <c r="J2146" s="1146"/>
      <c r="K2146" s="1127">
        <v>0.5838541666666667</v>
      </c>
      <c r="L2146" s="1128">
        <v>0.0019097222222222222</v>
      </c>
      <c r="M2146" s="1129" t="s">
        <v>358</v>
      </c>
      <c r="N2146" s="100" t="s">
        <v>188</v>
      </c>
      <c r="O2146" s="1161"/>
      <c r="P2146" s="1131" t="s">
        <v>294</v>
      </c>
      <c r="Q2146" s="1132"/>
      <c r="R2146" s="1148"/>
      <c r="S2146" s="1129"/>
      <c r="T2146" s="1150"/>
      <c r="U2146" s="1124" t="s">
        <v>323</v>
      </c>
      <c r="V2146" s="1124"/>
      <c r="W2146" s="1124"/>
      <c r="X2146" s="1124"/>
      <c r="Y2146" s="1124"/>
      <c r="Z2146" s="1130" t="s">
        <v>323</v>
      </c>
      <c r="AA2146" s="1130"/>
      <c r="AB2146" s="1130" t="s">
        <v>323</v>
      </c>
      <c r="AC2146" s="1133" t="s">
        <v>323</v>
      </c>
      <c r="AD2146" s="1131"/>
      <c r="AE2146" s="1131"/>
      <c r="AF2146" s="1131"/>
      <c r="AG2146" s="1131"/>
      <c r="AH2146" s="1131"/>
      <c r="AI2146" s="1131"/>
      <c r="AJ2146" s="1133"/>
      <c r="AK2146" s="1134"/>
      <c r="AL2146" s="1131"/>
      <c r="AM2146" s="1131"/>
      <c r="AN2146" s="1131"/>
      <c r="AO2146" s="1131"/>
      <c r="AP2146" s="1131"/>
      <c r="AQ2146" s="1131"/>
      <c r="AR2146" s="1131"/>
      <c r="AS2146" s="1133"/>
      <c r="AT2146" s="1197" t="str">
        <f t="shared" si="428"/>
        <v/>
      </c>
      <c r="AU2146" s="1194"/>
      <c r="AV2146" s="662">
        <f>SQRT(($R2146-Infrastructure!J$3)^2+($S2146-Infrastructure!K$3)^2)</f>
        <v>28.90155705</v>
      </c>
      <c r="AW2146" s="641">
        <f>SQRT(($R2146-Infrastructure!J$4)^2+($S2146-Infrastructure!K$4)^2)</f>
        <v>17.80252791</v>
      </c>
      <c r="AX2146" s="641">
        <f>SQRT(($R2146-Infrastructure!J$5)^2+($S2146-Infrastructure!K$5)^2)</f>
        <v>5.10881591</v>
      </c>
      <c r="AY2146" s="641">
        <f>SQRT(($R2146-Infrastructure!J$6)^2+($S2146-Infrastructure!K$6)^2)</f>
        <v>10.10445446</v>
      </c>
      <c r="AZ2146" s="641">
        <f>SQRT(($R2146-Infrastructure!J$7)^2+($S2146-Infrastructure!K$7)^2)</f>
        <v>20.502195</v>
      </c>
      <c r="BA2146" s="641">
        <f>SQRT(($R2146-Infrastructure!J$8)^2+($S2146-Infrastructure!K$8)^2)</f>
        <v>30.10149498</v>
      </c>
      <c r="BB2146" s="641">
        <f>SQRT(($R2146-Infrastructure!J$9)^2+($S2146-Infrastructure!K$9)^2)</f>
        <v>40.3238143</v>
      </c>
      <c r="BC2146" s="641">
        <f>SQRT(($R2146-Infrastructure!J$10)^2+($S2146-Infrastructure!K$10)^2)</f>
        <v>42.72001873</v>
      </c>
      <c r="BD2146" s="641">
        <f>SQRT(($R2146-Infrastructure!J$11)^2+($S2146-Infrastructure!K$11)^2)</f>
        <v>49.56853841</v>
      </c>
      <c r="BE2146" s="642">
        <f>SQRT(($R2146-Infrastructure!J$12)^2+($S2146-Infrastructure!K$12)^2)</f>
        <v>59.51890456</v>
      </c>
      <c r="BF2146" s="662">
        <f t="shared" si="161"/>
        <v>5.10881591</v>
      </c>
      <c r="BG2146" s="642">
        <f t="shared" si="162"/>
        <v>59.51890456</v>
      </c>
      <c r="BH2146" s="1135"/>
      <c r="BI2146" s="663" t="str">
        <f t="shared" ref="BI2146:BR2146" si="1144">IF(ISNUMBER(FIND(BI$3, $CO2146)), "Y", "")</f>
        <v/>
      </c>
      <c r="BJ2146" s="663" t="str">
        <f t="shared" si="1144"/>
        <v/>
      </c>
      <c r="BK2146" s="663" t="str">
        <f t="shared" si="1144"/>
        <v/>
      </c>
      <c r="BL2146" s="663" t="str">
        <f t="shared" si="1144"/>
        <v/>
      </c>
      <c r="BM2146" s="663" t="str">
        <f t="shared" si="1144"/>
        <v/>
      </c>
      <c r="BN2146" s="663" t="str">
        <f t="shared" si="1144"/>
        <v/>
      </c>
      <c r="BO2146" s="663" t="str">
        <f t="shared" si="1144"/>
        <v/>
      </c>
      <c r="BP2146" s="663" t="str">
        <f t="shared" si="1144"/>
        <v/>
      </c>
      <c r="BQ2146" s="663" t="str">
        <f t="shared" si="1144"/>
        <v/>
      </c>
      <c r="BR2146" s="663" t="str">
        <f t="shared" si="1144"/>
        <v/>
      </c>
      <c r="BS2146" s="662">
        <f t="shared" si="185"/>
        <v>0</v>
      </c>
      <c r="BT2146" s="641">
        <f t="shared" si="170"/>
        <v>0</v>
      </c>
      <c r="BU2146" s="937"/>
      <c r="BV2146" s="930" t="str">
        <f t="shared" si="186"/>
        <v/>
      </c>
      <c r="BW2146" s="939"/>
      <c r="BX2146" s="939"/>
      <c r="BY2146" s="641" t="b">
        <f t="shared" si="201"/>
        <v>0</v>
      </c>
      <c r="BZ2146" s="641"/>
      <c r="CA2146" s="635" t="str">
        <f t="shared" ref="CA2146:CJ2146" si="1145">IF(ISNUMBER(FIND(BI$3, $CP2146)), "Y", "")</f>
        <v/>
      </c>
      <c r="CB2146" s="663" t="str">
        <f t="shared" si="1145"/>
        <v/>
      </c>
      <c r="CC2146" s="663" t="str">
        <f t="shared" si="1145"/>
        <v/>
      </c>
      <c r="CD2146" s="663" t="str">
        <f t="shared" si="1145"/>
        <v/>
      </c>
      <c r="CE2146" s="663" t="str">
        <f t="shared" si="1145"/>
        <v/>
      </c>
      <c r="CF2146" s="663" t="str">
        <f t="shared" si="1145"/>
        <v/>
      </c>
      <c r="CG2146" s="663" t="str">
        <f t="shared" si="1145"/>
        <v/>
      </c>
      <c r="CH2146" s="663" t="str">
        <f t="shared" si="1145"/>
        <v/>
      </c>
      <c r="CI2146" s="663" t="str">
        <f t="shared" si="1145"/>
        <v/>
      </c>
      <c r="CJ2146" s="663" t="str">
        <f t="shared" si="1145"/>
        <v/>
      </c>
      <c r="CK2146" s="743">
        <f t="shared" si="182"/>
        <v>0</v>
      </c>
      <c r="CL2146" s="642">
        <f t="shared" si="183"/>
        <v>0</v>
      </c>
      <c r="CM2146" s="1090"/>
      <c r="CN2146" s="1036" t="s">
        <v>3187</v>
      </c>
      <c r="CO2146" s="1036"/>
      <c r="CP2146" s="1036"/>
    </row>
    <row r="2147">
      <c r="A2147" s="1257" t="s">
        <v>146</v>
      </c>
      <c r="B2147" s="1113" t="s">
        <v>1832</v>
      </c>
      <c r="C2147" s="1107">
        <v>45635.0</v>
      </c>
      <c r="D2147" s="1113" t="s">
        <v>986</v>
      </c>
      <c r="E2147" s="1108" t="s">
        <v>1599</v>
      </c>
      <c r="F2147" s="112" t="s">
        <v>3189</v>
      </c>
      <c r="G2147" s="1110">
        <v>0.3807291666666667</v>
      </c>
      <c r="H2147" s="1110">
        <v>0.38125</v>
      </c>
      <c r="I2147" s="1110"/>
      <c r="J2147" s="1111"/>
      <c r="K2147" s="1111">
        <v>0.4690972222222222</v>
      </c>
      <c r="L2147" s="1112">
        <v>0.08784722222222222</v>
      </c>
      <c r="M2147" s="1113" t="s">
        <v>166</v>
      </c>
      <c r="N2147" s="110" t="s">
        <v>187</v>
      </c>
      <c r="O2147" s="1115" t="s">
        <v>207</v>
      </c>
      <c r="P2147" s="1115" t="s">
        <v>226</v>
      </c>
      <c r="Q2147" s="1116"/>
      <c r="R2147" s="120">
        <v>26.0</v>
      </c>
      <c r="S2147" s="1113">
        <v>13.3</v>
      </c>
      <c r="T2147" s="110">
        <v>0.1</v>
      </c>
      <c r="U2147" s="1108">
        <v>0.3</v>
      </c>
      <c r="V2147" s="1108"/>
      <c r="W2147" s="1108"/>
      <c r="X2147" s="1108"/>
      <c r="Y2147" s="1108"/>
      <c r="Z2147" s="1114" t="s">
        <v>374</v>
      </c>
      <c r="AA2147" s="1114"/>
      <c r="AB2147" s="1114" t="s">
        <v>380</v>
      </c>
      <c r="AC2147" s="1117">
        <v>4.0</v>
      </c>
      <c r="AD2147" s="1115"/>
      <c r="AE2147" s="1115"/>
      <c r="AF2147" s="1115"/>
      <c r="AG2147" s="1115"/>
      <c r="AH2147" s="1115"/>
      <c r="AI2147" s="1115"/>
      <c r="AJ2147" s="1117"/>
      <c r="AK2147" s="1118"/>
      <c r="AL2147" s="1115"/>
      <c r="AM2147" s="1115"/>
      <c r="AN2147" s="1115"/>
      <c r="AO2147" s="1115"/>
      <c r="AP2147" s="1115"/>
      <c r="AQ2147" s="1115"/>
      <c r="AR2147" s="1115"/>
      <c r="AS2147" s="1117"/>
      <c r="AT2147" s="1196" t="str">
        <f t="shared" si="428"/>
        <v>0-1</v>
      </c>
      <c r="AU2147" s="1193"/>
      <c r="AV2147" s="330">
        <f>SQRT(($R2147-Infrastructure!J$3)^2+($S2147-Infrastructure!K$3)^2)</f>
        <v>30.57858728</v>
      </c>
      <c r="AW2147" s="331">
        <f>SQRT(($R2147-Infrastructure!J$4)^2+($S2147-Infrastructure!K$4)^2)</f>
        <v>26.68220381</v>
      </c>
      <c r="AX2147" s="331">
        <f>SQRT(($R2147-Infrastructure!J$5)^2+($S2147-Infrastructure!K$5)^2)</f>
        <v>27.54868418</v>
      </c>
      <c r="AY2147" s="331">
        <f>SQRT(($R2147-Infrastructure!J$6)^2+($S2147-Infrastructure!K$6)^2)</f>
        <v>20.53801354</v>
      </c>
      <c r="AZ2147" s="331">
        <f>SQRT(($R2147-Infrastructure!J$7)^2+($S2147-Infrastructure!K$7)^2)</f>
        <v>14.11559421</v>
      </c>
      <c r="BA2147" s="331">
        <f>SQRT(($R2147-Infrastructure!J$8)^2+($S2147-Infrastructure!K$8)^2)</f>
        <v>13.63121418</v>
      </c>
      <c r="BB2147" s="331">
        <f>SQRT(($R2147-Infrastructure!J$9)^2+($S2147-Infrastructure!K$9)^2)</f>
        <v>16.22467257</v>
      </c>
      <c r="BC2147" s="331">
        <f>SQRT(($R2147-Infrastructure!J$10)^2+($S2147-Infrastructure!K$10)^2)</f>
        <v>14.10283659</v>
      </c>
      <c r="BD2147" s="331">
        <f>SQRT(($R2147-Infrastructure!J$11)^2+($S2147-Infrastructure!K$11)^2)</f>
        <v>21.16908123</v>
      </c>
      <c r="BE2147" s="333">
        <f>SQRT(($R2147-Infrastructure!J$12)^2+($S2147-Infrastructure!K$12)^2)</f>
        <v>42.4392507</v>
      </c>
      <c r="BF2147" s="330">
        <f t="shared" si="161"/>
        <v>13.63121418</v>
      </c>
      <c r="BG2147" s="333">
        <f t="shared" si="162"/>
        <v>42.4392507</v>
      </c>
      <c r="BH2147" s="1119"/>
      <c r="BI2147" s="319" t="str">
        <f t="shared" ref="BI2147:BR2147" si="1146">IF(ISNUMBER(FIND(BI$3, $CO2147)), "Y", "")</f>
        <v/>
      </c>
      <c r="BJ2147" s="319" t="str">
        <f t="shared" si="1146"/>
        <v/>
      </c>
      <c r="BK2147" s="319" t="str">
        <f t="shared" si="1146"/>
        <v/>
      </c>
      <c r="BL2147" s="319" t="str">
        <f t="shared" si="1146"/>
        <v/>
      </c>
      <c r="BM2147" s="319" t="str">
        <f t="shared" si="1146"/>
        <v/>
      </c>
      <c r="BN2147" s="319" t="str">
        <f t="shared" si="1146"/>
        <v/>
      </c>
      <c r="BO2147" s="319" t="str">
        <f t="shared" si="1146"/>
        <v/>
      </c>
      <c r="BP2147" s="319" t="str">
        <f t="shared" si="1146"/>
        <v/>
      </c>
      <c r="BQ2147" s="319" t="str">
        <f t="shared" si="1146"/>
        <v/>
      </c>
      <c r="BR2147" s="319" t="str">
        <f t="shared" si="1146"/>
        <v/>
      </c>
      <c r="BS2147" s="330">
        <f t="shared" si="185"/>
        <v>0</v>
      </c>
      <c r="BT2147" s="331">
        <f t="shared" si="170"/>
        <v>0</v>
      </c>
      <c r="BU2147" s="920"/>
      <c r="BV2147" s="903" t="str">
        <f t="shared" si="186"/>
        <v/>
      </c>
      <c r="BW2147" s="908"/>
      <c r="BX2147" s="908"/>
      <c r="BY2147" s="331" t="b">
        <f t="shared" si="201"/>
        <v>0</v>
      </c>
      <c r="BZ2147" s="331"/>
      <c r="CA2147" s="462" t="str">
        <f t="shared" ref="CA2147:CJ2147" si="1147">IF(ISNUMBER(FIND(BI$3, $CP2147)), "Y", "")</f>
        <v/>
      </c>
      <c r="CB2147" s="319" t="str">
        <f t="shared" si="1147"/>
        <v/>
      </c>
      <c r="CC2147" s="319" t="str">
        <f t="shared" si="1147"/>
        <v/>
      </c>
      <c r="CD2147" s="319" t="str">
        <f t="shared" si="1147"/>
        <v/>
      </c>
      <c r="CE2147" s="319" t="str">
        <f t="shared" si="1147"/>
        <v/>
      </c>
      <c r="CF2147" s="319" t="str">
        <f t="shared" si="1147"/>
        <v/>
      </c>
      <c r="CG2147" s="319" t="str">
        <f t="shared" si="1147"/>
        <v/>
      </c>
      <c r="CH2147" s="319" t="str">
        <f t="shared" si="1147"/>
        <v/>
      </c>
      <c r="CI2147" s="319" t="str">
        <f t="shared" si="1147"/>
        <v/>
      </c>
      <c r="CJ2147" s="319" t="str">
        <f t="shared" si="1147"/>
        <v/>
      </c>
      <c r="CK2147" s="342">
        <f t="shared" si="182"/>
        <v>0</v>
      </c>
      <c r="CL2147" s="333">
        <f t="shared" si="183"/>
        <v>0</v>
      </c>
      <c r="CM2147" s="1079"/>
      <c r="CN2147" s="1005" t="s">
        <v>3190</v>
      </c>
      <c r="CO2147" s="1005"/>
      <c r="CP2147" s="1005"/>
    </row>
    <row r="2148">
      <c r="A2148" s="266"/>
      <c r="B2148" s="1113" t="s">
        <v>1832</v>
      </c>
      <c r="C2148" s="1107">
        <v>45635.0</v>
      </c>
      <c r="D2148" s="1113" t="s">
        <v>986</v>
      </c>
      <c r="E2148" s="1108" t="s">
        <v>1601</v>
      </c>
      <c r="F2148" s="112" t="s">
        <v>3191</v>
      </c>
      <c r="G2148" s="1110">
        <v>0.4690972222222222</v>
      </c>
      <c r="H2148" s="1110">
        <v>0.46944444444444444</v>
      </c>
      <c r="I2148" s="1110"/>
      <c r="J2148" s="1111"/>
      <c r="K2148" s="1111">
        <v>0.5112847222222222</v>
      </c>
      <c r="L2148" s="1112">
        <v>0.041840277777777775</v>
      </c>
      <c r="M2148" s="1113" t="s">
        <v>166</v>
      </c>
      <c r="N2148" s="110" t="s">
        <v>187</v>
      </c>
      <c r="O2148" s="1115" t="s">
        <v>207</v>
      </c>
      <c r="P2148" s="1115" t="s">
        <v>226</v>
      </c>
      <c r="Q2148" s="1116"/>
      <c r="R2148" s="120">
        <v>26.0</v>
      </c>
      <c r="S2148" s="1113">
        <v>13.3</v>
      </c>
      <c r="T2148" s="110">
        <v>0.1</v>
      </c>
      <c r="U2148" s="1108">
        <v>0.6</v>
      </c>
      <c r="V2148" s="1108"/>
      <c r="W2148" s="1108"/>
      <c r="X2148" s="1108"/>
      <c r="Y2148" s="1108"/>
      <c r="Z2148" s="1114" t="s">
        <v>374</v>
      </c>
      <c r="AA2148" s="1114"/>
      <c r="AB2148" s="1114" t="s">
        <v>380</v>
      </c>
      <c r="AC2148" s="1117">
        <v>4.0</v>
      </c>
      <c r="AD2148" s="1115"/>
      <c r="AE2148" s="1115"/>
      <c r="AF2148" s="1115"/>
      <c r="AG2148" s="1115"/>
      <c r="AH2148" s="1115"/>
      <c r="AI2148" s="1115"/>
      <c r="AJ2148" s="1117"/>
      <c r="AK2148" s="1118"/>
      <c r="AL2148" s="1115"/>
      <c r="AM2148" s="1115"/>
      <c r="AN2148" s="1115"/>
      <c r="AO2148" s="1115"/>
      <c r="AP2148" s="1115"/>
      <c r="AQ2148" s="1115"/>
      <c r="AR2148" s="1115"/>
      <c r="AS2148" s="1117"/>
      <c r="AT2148" s="1196" t="str">
        <f t="shared" si="428"/>
        <v>0-1</v>
      </c>
      <c r="AU2148" s="1193"/>
      <c r="AV2148" s="330">
        <f>SQRT(($R2148-Infrastructure!J$3)^2+($S2148-Infrastructure!K$3)^2)</f>
        <v>30.57858728</v>
      </c>
      <c r="AW2148" s="331">
        <f>SQRT(($R2148-Infrastructure!J$4)^2+($S2148-Infrastructure!K$4)^2)</f>
        <v>26.68220381</v>
      </c>
      <c r="AX2148" s="331">
        <f>SQRT(($R2148-Infrastructure!J$5)^2+($S2148-Infrastructure!K$5)^2)</f>
        <v>27.54868418</v>
      </c>
      <c r="AY2148" s="331">
        <f>SQRT(($R2148-Infrastructure!J$6)^2+($S2148-Infrastructure!K$6)^2)</f>
        <v>20.53801354</v>
      </c>
      <c r="AZ2148" s="331">
        <f>SQRT(($R2148-Infrastructure!J$7)^2+($S2148-Infrastructure!K$7)^2)</f>
        <v>14.11559421</v>
      </c>
      <c r="BA2148" s="331">
        <f>SQRT(($R2148-Infrastructure!J$8)^2+($S2148-Infrastructure!K$8)^2)</f>
        <v>13.63121418</v>
      </c>
      <c r="BB2148" s="331">
        <f>SQRT(($R2148-Infrastructure!J$9)^2+($S2148-Infrastructure!K$9)^2)</f>
        <v>16.22467257</v>
      </c>
      <c r="BC2148" s="331">
        <f>SQRT(($R2148-Infrastructure!J$10)^2+($S2148-Infrastructure!K$10)^2)</f>
        <v>14.10283659</v>
      </c>
      <c r="BD2148" s="331">
        <f>SQRT(($R2148-Infrastructure!J$11)^2+($S2148-Infrastructure!K$11)^2)</f>
        <v>21.16908123</v>
      </c>
      <c r="BE2148" s="333">
        <f>SQRT(($R2148-Infrastructure!J$12)^2+($S2148-Infrastructure!K$12)^2)</f>
        <v>42.4392507</v>
      </c>
      <c r="BF2148" s="330">
        <f t="shared" si="161"/>
        <v>13.63121418</v>
      </c>
      <c r="BG2148" s="333">
        <f t="shared" si="162"/>
        <v>42.4392507</v>
      </c>
      <c r="BH2148" s="1119"/>
      <c r="BI2148" s="319" t="str">
        <f t="shared" ref="BI2148:BR2148" si="1148">IF(ISNUMBER(FIND(BI$3, $CO2148)), "Y", "")</f>
        <v/>
      </c>
      <c r="BJ2148" s="319" t="str">
        <f t="shared" si="1148"/>
        <v/>
      </c>
      <c r="BK2148" s="319" t="str">
        <f t="shared" si="1148"/>
        <v/>
      </c>
      <c r="BL2148" s="319" t="str">
        <f t="shared" si="1148"/>
        <v/>
      </c>
      <c r="BM2148" s="319" t="str">
        <f t="shared" si="1148"/>
        <v/>
      </c>
      <c r="BN2148" s="319" t="str">
        <f t="shared" si="1148"/>
        <v/>
      </c>
      <c r="BO2148" s="319" t="str">
        <f t="shared" si="1148"/>
        <v/>
      </c>
      <c r="BP2148" s="319" t="str">
        <f t="shared" si="1148"/>
        <v/>
      </c>
      <c r="BQ2148" s="319" t="str">
        <f t="shared" si="1148"/>
        <v/>
      </c>
      <c r="BR2148" s="319" t="str">
        <f t="shared" si="1148"/>
        <v/>
      </c>
      <c r="BS2148" s="330">
        <f t="shared" si="185"/>
        <v>0</v>
      </c>
      <c r="BT2148" s="331">
        <f t="shared" si="170"/>
        <v>0</v>
      </c>
      <c r="BU2148" s="920"/>
      <c r="BV2148" s="903" t="str">
        <f t="shared" si="186"/>
        <v/>
      </c>
      <c r="BW2148" s="908"/>
      <c r="BX2148" s="908"/>
      <c r="BY2148" s="331" t="b">
        <f t="shared" si="201"/>
        <v>0</v>
      </c>
      <c r="BZ2148" s="331"/>
      <c r="CA2148" s="462" t="str">
        <f t="shared" ref="CA2148:CJ2148" si="1149">IF(ISNUMBER(FIND(BI$3, $CP2148)), "Y", "")</f>
        <v/>
      </c>
      <c r="CB2148" s="319" t="str">
        <f t="shared" si="1149"/>
        <v/>
      </c>
      <c r="CC2148" s="319" t="str">
        <f t="shared" si="1149"/>
        <v/>
      </c>
      <c r="CD2148" s="319" t="str">
        <f t="shared" si="1149"/>
        <v/>
      </c>
      <c r="CE2148" s="319" t="str">
        <f t="shared" si="1149"/>
        <v/>
      </c>
      <c r="CF2148" s="319" t="str">
        <f t="shared" si="1149"/>
        <v/>
      </c>
      <c r="CG2148" s="319" t="str">
        <f t="shared" si="1149"/>
        <v/>
      </c>
      <c r="CH2148" s="319" t="str">
        <f t="shared" si="1149"/>
        <v/>
      </c>
      <c r="CI2148" s="319" t="str">
        <f t="shared" si="1149"/>
        <v/>
      </c>
      <c r="CJ2148" s="319" t="str">
        <f t="shared" si="1149"/>
        <v/>
      </c>
      <c r="CK2148" s="342">
        <f t="shared" si="182"/>
        <v>0</v>
      </c>
      <c r="CL2148" s="333">
        <f t="shared" si="183"/>
        <v>0</v>
      </c>
      <c r="CM2148" s="1079"/>
      <c r="CN2148" s="1005" t="s">
        <v>3190</v>
      </c>
      <c r="CO2148" s="1005"/>
      <c r="CP2148" s="1005"/>
    </row>
    <row r="2149">
      <c r="A2149" s="266"/>
      <c r="B2149" s="1113" t="s">
        <v>1832</v>
      </c>
      <c r="C2149" s="1107">
        <v>45635.0</v>
      </c>
      <c r="D2149" s="1113" t="s">
        <v>986</v>
      </c>
      <c r="E2149" s="1108" t="s">
        <v>3192</v>
      </c>
      <c r="F2149" s="112" t="s">
        <v>3193</v>
      </c>
      <c r="G2149" s="1110">
        <v>0.5112847222222222</v>
      </c>
      <c r="H2149" s="1110">
        <v>0.5118055555555555</v>
      </c>
      <c r="I2149" s="1110"/>
      <c r="J2149" s="1111"/>
      <c r="K2149" s="1111">
        <v>0.5972222222222222</v>
      </c>
      <c r="L2149" s="1112">
        <v>0.08541666666666667</v>
      </c>
      <c r="M2149" s="1113" t="s">
        <v>166</v>
      </c>
      <c r="N2149" s="110" t="s">
        <v>187</v>
      </c>
      <c r="O2149" s="1115" t="s">
        <v>207</v>
      </c>
      <c r="P2149" s="1115" t="s">
        <v>226</v>
      </c>
      <c r="Q2149" s="1116"/>
      <c r="R2149" s="120">
        <v>26.0</v>
      </c>
      <c r="S2149" s="1113">
        <v>13.3</v>
      </c>
      <c r="T2149" s="110">
        <v>0.1</v>
      </c>
      <c r="U2149" s="1108">
        <v>0.3</v>
      </c>
      <c r="V2149" s="1108"/>
      <c r="W2149" s="1108"/>
      <c r="X2149" s="1108"/>
      <c r="Y2149" s="1108"/>
      <c r="Z2149" s="1114" t="s">
        <v>374</v>
      </c>
      <c r="AA2149" s="1114"/>
      <c r="AB2149" s="1114" t="s">
        <v>380</v>
      </c>
      <c r="AC2149" s="1117">
        <v>4.0</v>
      </c>
      <c r="AD2149" s="1115"/>
      <c r="AE2149" s="1115"/>
      <c r="AF2149" s="1115"/>
      <c r="AG2149" s="1115"/>
      <c r="AH2149" s="1115"/>
      <c r="AI2149" s="1115"/>
      <c r="AJ2149" s="1117"/>
      <c r="AK2149" s="1118"/>
      <c r="AL2149" s="1115"/>
      <c r="AM2149" s="1115"/>
      <c r="AN2149" s="1115"/>
      <c r="AO2149" s="1115"/>
      <c r="AP2149" s="1115"/>
      <c r="AQ2149" s="1115"/>
      <c r="AR2149" s="1115"/>
      <c r="AS2149" s="1117"/>
      <c r="AT2149" s="1196" t="str">
        <f t="shared" si="428"/>
        <v>0-1</v>
      </c>
      <c r="AU2149" s="1193"/>
      <c r="AV2149" s="330">
        <f>SQRT(($R2149-Infrastructure!J$3)^2+($S2149-Infrastructure!K$3)^2)</f>
        <v>30.57858728</v>
      </c>
      <c r="AW2149" s="331">
        <f>SQRT(($R2149-Infrastructure!J$4)^2+($S2149-Infrastructure!K$4)^2)</f>
        <v>26.68220381</v>
      </c>
      <c r="AX2149" s="331">
        <f>SQRT(($R2149-Infrastructure!J$5)^2+($S2149-Infrastructure!K$5)^2)</f>
        <v>27.54868418</v>
      </c>
      <c r="AY2149" s="331">
        <f>SQRT(($R2149-Infrastructure!J$6)^2+($S2149-Infrastructure!K$6)^2)</f>
        <v>20.53801354</v>
      </c>
      <c r="AZ2149" s="331">
        <f>SQRT(($R2149-Infrastructure!J$7)^2+($S2149-Infrastructure!K$7)^2)</f>
        <v>14.11559421</v>
      </c>
      <c r="BA2149" s="331">
        <f>SQRT(($R2149-Infrastructure!J$8)^2+($S2149-Infrastructure!K$8)^2)</f>
        <v>13.63121418</v>
      </c>
      <c r="BB2149" s="331">
        <f>SQRT(($R2149-Infrastructure!J$9)^2+($S2149-Infrastructure!K$9)^2)</f>
        <v>16.22467257</v>
      </c>
      <c r="BC2149" s="331">
        <f>SQRT(($R2149-Infrastructure!J$10)^2+($S2149-Infrastructure!K$10)^2)</f>
        <v>14.10283659</v>
      </c>
      <c r="BD2149" s="331">
        <f>SQRT(($R2149-Infrastructure!J$11)^2+($S2149-Infrastructure!K$11)^2)</f>
        <v>21.16908123</v>
      </c>
      <c r="BE2149" s="333">
        <f>SQRT(($R2149-Infrastructure!J$12)^2+($S2149-Infrastructure!K$12)^2)</f>
        <v>42.4392507</v>
      </c>
      <c r="BF2149" s="330">
        <f t="shared" si="161"/>
        <v>13.63121418</v>
      </c>
      <c r="BG2149" s="333">
        <f t="shared" si="162"/>
        <v>42.4392507</v>
      </c>
      <c r="BH2149" s="1119"/>
      <c r="BI2149" s="319" t="str">
        <f t="shared" ref="BI2149:BR2149" si="1150">IF(ISNUMBER(FIND(BI$3, $CO2149)), "Y", "")</f>
        <v/>
      </c>
      <c r="BJ2149" s="319" t="str">
        <f t="shared" si="1150"/>
        <v/>
      </c>
      <c r="BK2149" s="319" t="str">
        <f t="shared" si="1150"/>
        <v/>
      </c>
      <c r="BL2149" s="319" t="str">
        <f t="shared" si="1150"/>
        <v/>
      </c>
      <c r="BM2149" s="319" t="str">
        <f t="shared" si="1150"/>
        <v/>
      </c>
      <c r="BN2149" s="319" t="str">
        <f t="shared" si="1150"/>
        <v/>
      </c>
      <c r="BO2149" s="319" t="str">
        <f t="shared" si="1150"/>
        <v/>
      </c>
      <c r="BP2149" s="319" t="str">
        <f t="shared" si="1150"/>
        <v/>
      </c>
      <c r="BQ2149" s="319" t="str">
        <f t="shared" si="1150"/>
        <v/>
      </c>
      <c r="BR2149" s="319" t="str">
        <f t="shared" si="1150"/>
        <v/>
      </c>
      <c r="BS2149" s="330">
        <f t="shared" si="185"/>
        <v>0</v>
      </c>
      <c r="BT2149" s="331">
        <f t="shared" si="170"/>
        <v>0</v>
      </c>
      <c r="BU2149" s="920"/>
      <c r="BV2149" s="903" t="str">
        <f t="shared" si="186"/>
        <v/>
      </c>
      <c r="BW2149" s="908"/>
      <c r="BX2149" s="908"/>
      <c r="BY2149" s="331" t="b">
        <f t="shared" si="201"/>
        <v>0</v>
      </c>
      <c r="BZ2149" s="331"/>
      <c r="CA2149" s="462" t="str">
        <f t="shared" ref="CA2149:CJ2149" si="1151">IF(ISNUMBER(FIND(BI$3, $CP2149)), "Y", "")</f>
        <v/>
      </c>
      <c r="CB2149" s="319" t="str">
        <f t="shared" si="1151"/>
        <v/>
      </c>
      <c r="CC2149" s="319" t="str">
        <f t="shared" si="1151"/>
        <v/>
      </c>
      <c r="CD2149" s="319" t="str">
        <f t="shared" si="1151"/>
        <v/>
      </c>
      <c r="CE2149" s="319" t="str">
        <f t="shared" si="1151"/>
        <v/>
      </c>
      <c r="CF2149" s="319" t="str">
        <f t="shared" si="1151"/>
        <v/>
      </c>
      <c r="CG2149" s="319" t="str">
        <f t="shared" si="1151"/>
        <v/>
      </c>
      <c r="CH2149" s="319" t="str">
        <f t="shared" si="1151"/>
        <v/>
      </c>
      <c r="CI2149" s="319" t="str">
        <f t="shared" si="1151"/>
        <v/>
      </c>
      <c r="CJ2149" s="319" t="str">
        <f t="shared" si="1151"/>
        <v/>
      </c>
      <c r="CK2149" s="342">
        <f t="shared" si="182"/>
        <v>0</v>
      </c>
      <c r="CL2149" s="333">
        <f t="shared" si="183"/>
        <v>0</v>
      </c>
      <c r="CM2149" s="1079"/>
      <c r="CN2149" s="1005" t="s">
        <v>3194</v>
      </c>
      <c r="CO2149" s="1005"/>
      <c r="CP2149" s="1005"/>
    </row>
    <row r="2150">
      <c r="A2150" s="1258"/>
      <c r="B2150" s="1129" t="s">
        <v>1832</v>
      </c>
      <c r="C2150" s="1122">
        <v>45635.0</v>
      </c>
      <c r="D2150" s="1123"/>
      <c r="E2150" s="1144"/>
      <c r="F2150" s="108" t="s">
        <v>3195</v>
      </c>
      <c r="G2150" s="1126">
        <v>0.6710069444444444</v>
      </c>
      <c r="H2150" s="1145"/>
      <c r="I2150" s="1145"/>
      <c r="J2150" s="1146"/>
      <c r="K2150" s="1127">
        <v>0.6713541666666667</v>
      </c>
      <c r="L2150" s="1128">
        <v>3.4722222222222224E-4</v>
      </c>
      <c r="M2150" s="1129" t="s">
        <v>166</v>
      </c>
      <c r="N2150" s="100" t="s">
        <v>188</v>
      </c>
      <c r="O2150" s="1161"/>
      <c r="P2150" s="1131" t="s">
        <v>292</v>
      </c>
      <c r="Q2150" s="1132"/>
      <c r="R2150" s="1148"/>
      <c r="S2150" s="1129"/>
      <c r="T2150" s="1150"/>
      <c r="U2150" s="1124" t="s">
        <v>323</v>
      </c>
      <c r="V2150" s="1124"/>
      <c r="W2150" s="1124"/>
      <c r="X2150" s="1124"/>
      <c r="Y2150" s="1124"/>
      <c r="Z2150" s="1130" t="s">
        <v>323</v>
      </c>
      <c r="AA2150" s="1130"/>
      <c r="AB2150" s="1130" t="s">
        <v>323</v>
      </c>
      <c r="AC2150" s="1133" t="s">
        <v>323</v>
      </c>
      <c r="AD2150" s="1115"/>
      <c r="AE2150" s="1115"/>
      <c r="AF2150" s="1115"/>
      <c r="AG2150" s="1115"/>
      <c r="AH2150" s="1115"/>
      <c r="AI2150" s="1115"/>
      <c r="AJ2150" s="1117"/>
      <c r="AK2150" s="1118"/>
      <c r="AL2150" s="1115"/>
      <c r="AM2150" s="1115"/>
      <c r="AN2150" s="1115"/>
      <c r="AO2150" s="1115"/>
      <c r="AP2150" s="1115"/>
      <c r="AQ2150" s="1115"/>
      <c r="AR2150" s="1115"/>
      <c r="AS2150" s="1117"/>
      <c r="AT2150" s="1196" t="str">
        <f t="shared" si="428"/>
        <v/>
      </c>
      <c r="AU2150" s="1194"/>
      <c r="AV2150" s="662">
        <f>SQRT(($R2150-Infrastructure!J$3)^2+($S2150-Infrastructure!K$3)^2)</f>
        <v>28.90155705</v>
      </c>
      <c r="AW2150" s="641">
        <f>SQRT(($R2150-Infrastructure!J$4)^2+($S2150-Infrastructure!K$4)^2)</f>
        <v>17.80252791</v>
      </c>
      <c r="AX2150" s="641">
        <f>SQRT(($R2150-Infrastructure!J$5)^2+($S2150-Infrastructure!K$5)^2)</f>
        <v>5.10881591</v>
      </c>
      <c r="AY2150" s="641">
        <f>SQRT(($R2150-Infrastructure!J$6)^2+($S2150-Infrastructure!K$6)^2)</f>
        <v>10.10445446</v>
      </c>
      <c r="AZ2150" s="641">
        <f>SQRT(($R2150-Infrastructure!J$7)^2+($S2150-Infrastructure!K$7)^2)</f>
        <v>20.502195</v>
      </c>
      <c r="BA2150" s="641">
        <f>SQRT(($R2150-Infrastructure!J$8)^2+($S2150-Infrastructure!K$8)^2)</f>
        <v>30.10149498</v>
      </c>
      <c r="BB2150" s="641">
        <f>SQRT(($R2150-Infrastructure!J$9)^2+($S2150-Infrastructure!K$9)^2)</f>
        <v>40.3238143</v>
      </c>
      <c r="BC2150" s="641">
        <f>SQRT(($R2150-Infrastructure!J$10)^2+($S2150-Infrastructure!K$10)^2)</f>
        <v>42.72001873</v>
      </c>
      <c r="BD2150" s="641">
        <f>SQRT(($R2150-Infrastructure!J$11)^2+($S2150-Infrastructure!K$11)^2)</f>
        <v>49.56853841</v>
      </c>
      <c r="BE2150" s="642">
        <f>SQRT(($R2150-Infrastructure!J$12)^2+($S2150-Infrastructure!K$12)^2)</f>
        <v>59.51890456</v>
      </c>
      <c r="BF2150" s="662">
        <f t="shared" si="161"/>
        <v>5.10881591</v>
      </c>
      <c r="BG2150" s="642">
        <f t="shared" si="162"/>
        <v>59.51890456</v>
      </c>
      <c r="BH2150" s="1135"/>
      <c r="BI2150" s="663" t="str">
        <f t="shared" ref="BI2150:BR2150" si="1152">IF(ISNUMBER(FIND(BI$3, $CO2150)), "Y", "")</f>
        <v/>
      </c>
      <c r="BJ2150" s="663" t="str">
        <f t="shared" si="1152"/>
        <v/>
      </c>
      <c r="BK2150" s="663" t="str">
        <f t="shared" si="1152"/>
        <v/>
      </c>
      <c r="BL2150" s="663" t="str">
        <f t="shared" si="1152"/>
        <v/>
      </c>
      <c r="BM2150" s="663" t="str">
        <f t="shared" si="1152"/>
        <v/>
      </c>
      <c r="BN2150" s="663" t="str">
        <f t="shared" si="1152"/>
        <v/>
      </c>
      <c r="BO2150" s="663" t="str">
        <f t="shared" si="1152"/>
        <v/>
      </c>
      <c r="BP2150" s="663" t="str">
        <f t="shared" si="1152"/>
        <v/>
      </c>
      <c r="BQ2150" s="663" t="str">
        <f t="shared" si="1152"/>
        <v/>
      </c>
      <c r="BR2150" s="663" t="str">
        <f t="shared" si="1152"/>
        <v/>
      </c>
      <c r="BS2150" s="662">
        <f t="shared" si="185"/>
        <v>0</v>
      </c>
      <c r="BT2150" s="641">
        <f t="shared" si="170"/>
        <v>0</v>
      </c>
      <c r="BU2150" s="937"/>
      <c r="BV2150" s="930" t="str">
        <f t="shared" si="186"/>
        <v/>
      </c>
      <c r="BW2150" s="939"/>
      <c r="BX2150" s="939"/>
      <c r="BY2150" s="641" t="b">
        <f t="shared" si="201"/>
        <v>0</v>
      </c>
      <c r="BZ2150" s="641"/>
      <c r="CA2150" s="635" t="str">
        <f t="shared" ref="CA2150:CJ2150" si="1153">IF(ISNUMBER(FIND(BI$3, $CP2150)), "Y", "")</f>
        <v/>
      </c>
      <c r="CB2150" s="663" t="str">
        <f t="shared" si="1153"/>
        <v/>
      </c>
      <c r="CC2150" s="663" t="str">
        <f t="shared" si="1153"/>
        <v/>
      </c>
      <c r="CD2150" s="663" t="str">
        <f t="shared" si="1153"/>
        <v/>
      </c>
      <c r="CE2150" s="663" t="str">
        <f t="shared" si="1153"/>
        <v/>
      </c>
      <c r="CF2150" s="663" t="str">
        <f t="shared" si="1153"/>
        <v/>
      </c>
      <c r="CG2150" s="663" t="str">
        <f t="shared" si="1153"/>
        <v/>
      </c>
      <c r="CH2150" s="663" t="str">
        <f t="shared" si="1153"/>
        <v/>
      </c>
      <c r="CI2150" s="663" t="str">
        <f t="shared" si="1153"/>
        <v/>
      </c>
      <c r="CJ2150" s="663" t="str">
        <f t="shared" si="1153"/>
        <v/>
      </c>
      <c r="CK2150" s="743">
        <f t="shared" si="182"/>
        <v>0</v>
      </c>
      <c r="CL2150" s="642">
        <f t="shared" si="183"/>
        <v>0</v>
      </c>
      <c r="CM2150" s="1090"/>
      <c r="CN2150" s="1036" t="s">
        <v>3194</v>
      </c>
      <c r="CO2150" s="1036"/>
      <c r="CP2150" s="1036"/>
    </row>
    <row r="2151">
      <c r="A2151" s="1257" t="s">
        <v>147</v>
      </c>
      <c r="B2151" s="1113" t="s">
        <v>1832</v>
      </c>
      <c r="C2151" s="1107">
        <v>45636.0</v>
      </c>
      <c r="D2151" s="1113" t="s">
        <v>986</v>
      </c>
      <c r="E2151" s="1108">
        <v>1.0</v>
      </c>
      <c r="F2151" s="112" t="s">
        <v>3196</v>
      </c>
      <c r="G2151" s="1110">
        <v>0.5740740740740741</v>
      </c>
      <c r="H2151" s="1110">
        <v>0.5756944444444444</v>
      </c>
      <c r="I2151" s="1110"/>
      <c r="J2151" s="1111"/>
      <c r="K2151" s="1111">
        <v>0.6180555555555556</v>
      </c>
      <c r="L2151" s="1112">
        <v>0.04236111111111111</v>
      </c>
      <c r="M2151" s="1113" t="s">
        <v>166</v>
      </c>
      <c r="N2151" s="110" t="s">
        <v>187</v>
      </c>
      <c r="O2151" s="1115" t="s">
        <v>2807</v>
      </c>
      <c r="P2151" s="1115" t="s">
        <v>279</v>
      </c>
      <c r="Q2151" s="1115" t="s">
        <v>3197</v>
      </c>
      <c r="R2151" s="120">
        <v>3.5</v>
      </c>
      <c r="S2151" s="1113">
        <v>3.5</v>
      </c>
      <c r="T2151" s="110">
        <v>0.55</v>
      </c>
      <c r="U2151" s="1108">
        <v>2.8</v>
      </c>
      <c r="V2151" s="1108"/>
      <c r="W2151" s="1108"/>
      <c r="X2151" s="1108"/>
      <c r="Y2151" s="1108"/>
      <c r="Z2151" s="1114"/>
      <c r="AA2151" s="1114"/>
      <c r="AB2151" s="1114"/>
      <c r="AC2151" s="1117"/>
      <c r="AD2151" s="1115"/>
      <c r="AE2151" s="1115"/>
      <c r="AF2151" s="1115"/>
      <c r="AG2151" s="1115"/>
      <c r="AH2151" s="1115"/>
      <c r="AI2151" s="1115"/>
      <c r="AJ2151" s="1117"/>
      <c r="AK2151" s="1118"/>
      <c r="AL2151" s="1115"/>
      <c r="AM2151" s="1115"/>
      <c r="AN2151" s="1115"/>
      <c r="AO2151" s="1115"/>
      <c r="AP2151" s="1115"/>
      <c r="AQ2151" s="1115"/>
      <c r="AR2151" s="1115"/>
      <c r="AS2151" s="1117"/>
      <c r="AT2151" s="1196" t="str">
        <f t="shared" si="428"/>
        <v>1-10</v>
      </c>
      <c r="AU2151" s="1193"/>
      <c r="AV2151" s="330">
        <f>SQRT(($R2151-Infrastructure!J$3)^2+($S2151-Infrastructure!K$3)^2)</f>
        <v>25.68267899</v>
      </c>
      <c r="AW2151" s="331">
        <f>SQRT(($R2151-Infrastructure!J$4)^2+($S2151-Infrastructure!K$4)^2)</f>
        <v>14.79628332</v>
      </c>
      <c r="AX2151" s="331">
        <f>SQRT(($R2151-Infrastructure!J$5)^2+($S2151-Infrastructure!K$5)^2)</f>
        <v>4.123105626</v>
      </c>
      <c r="AY2151" s="331">
        <f>SQRT(($R2151-Infrastructure!J$6)^2+($S2151-Infrastructure!K$6)^2)</f>
        <v>7.334848328</v>
      </c>
      <c r="AZ2151" s="331">
        <f>SQRT(($R2151-Infrastructure!J$7)^2+($S2151-Infrastructure!K$7)^2)</f>
        <v>17.29855485</v>
      </c>
      <c r="BA2151" s="331">
        <f>SQRT(($R2151-Infrastructure!J$8)^2+($S2151-Infrastructure!K$8)^2)</f>
        <v>26.79178979</v>
      </c>
      <c r="BB2151" s="331">
        <f>SQRT(($R2151-Infrastructure!J$9)^2+($S2151-Infrastructure!K$9)^2)</f>
        <v>36.53505166</v>
      </c>
      <c r="BC2151" s="331">
        <f>SQRT(($R2151-Infrastructure!J$10)^2+($S2151-Infrastructure!K$10)^2)</f>
        <v>38.26878624</v>
      </c>
      <c r="BD2151" s="331">
        <f>SQRT(($R2151-Infrastructure!J$11)^2+($S2151-Infrastructure!K$11)^2)</f>
        <v>44.68937234</v>
      </c>
      <c r="BE2151" s="333">
        <f>SQRT(($R2151-Infrastructure!J$12)^2+($S2151-Infrastructure!K$12)^2)</f>
        <v>55.02726597</v>
      </c>
      <c r="BF2151" s="330">
        <f t="shared" si="161"/>
        <v>4.123105626</v>
      </c>
      <c r="BG2151" s="333">
        <f t="shared" si="162"/>
        <v>55.02726597</v>
      </c>
      <c r="BH2151" s="1119"/>
      <c r="BI2151" s="319" t="str">
        <f t="shared" ref="BI2151:BR2151" si="1154">IF(ISNUMBER(FIND(BI$3, $CO2151)), "Y", "")</f>
        <v>Y</v>
      </c>
      <c r="BJ2151" s="319" t="str">
        <f t="shared" si="1154"/>
        <v/>
      </c>
      <c r="BK2151" s="319" t="str">
        <f t="shared" si="1154"/>
        <v>Y</v>
      </c>
      <c r="BL2151" s="319" t="str">
        <f t="shared" si="1154"/>
        <v>Y</v>
      </c>
      <c r="BM2151" s="319" t="str">
        <f t="shared" si="1154"/>
        <v>Y</v>
      </c>
      <c r="BN2151" s="319" t="str">
        <f t="shared" si="1154"/>
        <v>Y</v>
      </c>
      <c r="BO2151" s="319" t="str">
        <f t="shared" si="1154"/>
        <v>Y</v>
      </c>
      <c r="BP2151" s="319" t="str">
        <f t="shared" si="1154"/>
        <v/>
      </c>
      <c r="BQ2151" s="319" t="str">
        <f t="shared" si="1154"/>
        <v/>
      </c>
      <c r="BR2151" s="319" t="str">
        <f t="shared" si="1154"/>
        <v>Y</v>
      </c>
      <c r="BS2151" s="330">
        <f t="shared" si="185"/>
        <v>4.123105626</v>
      </c>
      <c r="BT2151" s="331">
        <f t="shared" si="170"/>
        <v>55.02726597</v>
      </c>
      <c r="BU2151" s="920">
        <v>0.5747222222222222</v>
      </c>
      <c r="BV2151" s="903">
        <f t="shared" si="186"/>
        <v>0.0006481481481</v>
      </c>
      <c r="BW2151" s="908">
        <v>6.0</v>
      </c>
      <c r="BX2151" s="908">
        <v>13.0</v>
      </c>
      <c r="BY2151" s="331">
        <f t="shared" si="201"/>
        <v>9.823441352</v>
      </c>
      <c r="BZ2151" s="331"/>
      <c r="CA2151" s="462" t="str">
        <f t="shared" ref="CA2151:CJ2151" si="1155">IF(ISNUMBER(FIND(BI$3, $CP2151)), "Y", "")</f>
        <v/>
      </c>
      <c r="CB2151" s="319" t="str">
        <f t="shared" si="1155"/>
        <v/>
      </c>
      <c r="CC2151" s="319" t="str">
        <f t="shared" si="1155"/>
        <v/>
      </c>
      <c r="CD2151" s="319" t="str">
        <f t="shared" si="1155"/>
        <v/>
      </c>
      <c r="CE2151" s="319" t="str">
        <f t="shared" si="1155"/>
        <v/>
      </c>
      <c r="CF2151" s="319" t="str">
        <f t="shared" si="1155"/>
        <v/>
      </c>
      <c r="CG2151" s="319" t="str">
        <f t="shared" si="1155"/>
        <v/>
      </c>
      <c r="CH2151" s="319" t="str">
        <f t="shared" si="1155"/>
        <v/>
      </c>
      <c r="CI2151" s="319" t="str">
        <f t="shared" si="1155"/>
        <v/>
      </c>
      <c r="CJ2151" s="319" t="str">
        <f t="shared" si="1155"/>
        <v/>
      </c>
      <c r="CK2151" s="342">
        <f t="shared" si="182"/>
        <v>0</v>
      </c>
      <c r="CL2151" s="333">
        <f t="shared" si="183"/>
        <v>0</v>
      </c>
      <c r="CM2151" s="1079"/>
      <c r="CN2151" s="1005" t="s">
        <v>3198</v>
      </c>
      <c r="CO2151" s="1005" t="s">
        <v>2442</v>
      </c>
      <c r="CP2151" s="1005"/>
    </row>
    <row r="2152">
      <c r="A2152" s="266"/>
      <c r="B2152" s="1113" t="s">
        <v>1832</v>
      </c>
      <c r="C2152" s="1107">
        <v>45636.0</v>
      </c>
      <c r="D2152" s="1113" t="s">
        <v>986</v>
      </c>
      <c r="E2152" s="1108">
        <v>2.0</v>
      </c>
      <c r="F2152" s="112" t="s">
        <v>3199</v>
      </c>
      <c r="G2152" s="1110">
        <v>0.6493055555555556</v>
      </c>
      <c r="H2152" s="1110">
        <v>0.6496527777777777</v>
      </c>
      <c r="I2152" s="1110"/>
      <c r="J2152" s="1111"/>
      <c r="K2152" s="1111">
        <v>0.6951388888888889</v>
      </c>
      <c r="L2152" s="1112">
        <v>0.04548611111111111</v>
      </c>
      <c r="M2152" s="1113" t="s">
        <v>166</v>
      </c>
      <c r="N2152" s="110" t="s">
        <v>187</v>
      </c>
      <c r="O2152" s="1115" t="s">
        <v>2807</v>
      </c>
      <c r="P2152" s="1115" t="s">
        <v>279</v>
      </c>
      <c r="Q2152" s="1115" t="s">
        <v>3197</v>
      </c>
      <c r="R2152" s="120">
        <v>3.5</v>
      </c>
      <c r="S2152" s="1113">
        <v>3.5</v>
      </c>
      <c r="T2152" s="110">
        <v>0.55</v>
      </c>
      <c r="U2152" s="1108">
        <v>1.4</v>
      </c>
      <c r="V2152" s="1108"/>
      <c r="W2152" s="1108"/>
      <c r="X2152" s="1108"/>
      <c r="Y2152" s="1108"/>
      <c r="Z2152" s="1114"/>
      <c r="AA2152" s="1114"/>
      <c r="AB2152" s="1114"/>
      <c r="AC2152" s="1117"/>
      <c r="AD2152" s="1115"/>
      <c r="AE2152" s="1115"/>
      <c r="AF2152" s="1115"/>
      <c r="AG2152" s="1115"/>
      <c r="AH2152" s="1115"/>
      <c r="AI2152" s="1115"/>
      <c r="AJ2152" s="1117"/>
      <c r="AK2152" s="1118"/>
      <c r="AL2152" s="1115"/>
      <c r="AM2152" s="1115"/>
      <c r="AN2152" s="1115"/>
      <c r="AO2152" s="1115"/>
      <c r="AP2152" s="1115"/>
      <c r="AQ2152" s="1115"/>
      <c r="AR2152" s="1115"/>
      <c r="AS2152" s="1117"/>
      <c r="AT2152" s="1196" t="str">
        <f t="shared" si="428"/>
        <v>1-10</v>
      </c>
      <c r="AU2152" s="1193"/>
      <c r="AV2152" s="330">
        <f>SQRT(($R2152-Infrastructure!J$3)^2+($S2152-Infrastructure!K$3)^2)</f>
        <v>25.68267899</v>
      </c>
      <c r="AW2152" s="331">
        <f>SQRT(($R2152-Infrastructure!J$4)^2+($S2152-Infrastructure!K$4)^2)</f>
        <v>14.79628332</v>
      </c>
      <c r="AX2152" s="331">
        <f>SQRT(($R2152-Infrastructure!J$5)^2+($S2152-Infrastructure!K$5)^2)</f>
        <v>4.123105626</v>
      </c>
      <c r="AY2152" s="331">
        <f>SQRT(($R2152-Infrastructure!J$6)^2+($S2152-Infrastructure!K$6)^2)</f>
        <v>7.334848328</v>
      </c>
      <c r="AZ2152" s="331">
        <f>SQRT(($R2152-Infrastructure!J$7)^2+($S2152-Infrastructure!K$7)^2)</f>
        <v>17.29855485</v>
      </c>
      <c r="BA2152" s="331">
        <f>SQRT(($R2152-Infrastructure!J$8)^2+($S2152-Infrastructure!K$8)^2)</f>
        <v>26.79178979</v>
      </c>
      <c r="BB2152" s="331">
        <f>SQRT(($R2152-Infrastructure!J$9)^2+($S2152-Infrastructure!K$9)^2)</f>
        <v>36.53505166</v>
      </c>
      <c r="BC2152" s="331">
        <f>SQRT(($R2152-Infrastructure!J$10)^2+($S2152-Infrastructure!K$10)^2)</f>
        <v>38.26878624</v>
      </c>
      <c r="BD2152" s="331">
        <f>SQRT(($R2152-Infrastructure!J$11)^2+($S2152-Infrastructure!K$11)^2)</f>
        <v>44.68937234</v>
      </c>
      <c r="BE2152" s="333">
        <f>SQRT(($R2152-Infrastructure!J$12)^2+($S2152-Infrastructure!K$12)^2)</f>
        <v>55.02726597</v>
      </c>
      <c r="BF2152" s="330">
        <f t="shared" si="161"/>
        <v>4.123105626</v>
      </c>
      <c r="BG2152" s="333">
        <f t="shared" si="162"/>
        <v>55.02726597</v>
      </c>
      <c r="BH2152" s="1119"/>
      <c r="BI2152" s="319" t="str">
        <f t="shared" ref="BI2152:BR2152" si="1156">IF(ISNUMBER(FIND(BI$3, $CO2152)), "Y", "")</f>
        <v>Y</v>
      </c>
      <c r="BJ2152" s="319" t="str">
        <f t="shared" si="1156"/>
        <v/>
      </c>
      <c r="BK2152" s="319" t="str">
        <f t="shared" si="1156"/>
        <v>Y</v>
      </c>
      <c r="BL2152" s="319" t="str">
        <f t="shared" si="1156"/>
        <v>Y</v>
      </c>
      <c r="BM2152" s="319" t="str">
        <f t="shared" si="1156"/>
        <v>Y</v>
      </c>
      <c r="BN2152" s="319" t="str">
        <f t="shared" si="1156"/>
        <v>Y</v>
      </c>
      <c r="BO2152" s="319" t="str">
        <f t="shared" si="1156"/>
        <v/>
      </c>
      <c r="BP2152" s="319" t="str">
        <f t="shared" si="1156"/>
        <v/>
      </c>
      <c r="BQ2152" s="319" t="str">
        <f t="shared" si="1156"/>
        <v/>
      </c>
      <c r="BR2152" s="319" t="str">
        <f t="shared" si="1156"/>
        <v/>
      </c>
      <c r="BS2152" s="330">
        <f t="shared" si="185"/>
        <v>4.123105626</v>
      </c>
      <c r="BT2152" s="331">
        <f t="shared" si="170"/>
        <v>26.79178979</v>
      </c>
      <c r="BU2152" s="920">
        <v>0.6498842592592593</v>
      </c>
      <c r="BV2152" s="903">
        <f t="shared" si="186"/>
        <v>0.0005787037037</v>
      </c>
      <c r="BW2152" s="908">
        <v>7.7</v>
      </c>
      <c r="BX2152" s="908">
        <v>14.2</v>
      </c>
      <c r="BY2152" s="331">
        <f t="shared" si="201"/>
        <v>11.49478142</v>
      </c>
      <c r="BZ2152" s="331"/>
      <c r="CA2152" s="462" t="str">
        <f t="shared" ref="CA2152:CJ2152" si="1157">IF(ISNUMBER(FIND(BI$3, $CP2152)), "Y", "")</f>
        <v/>
      </c>
      <c r="CB2152" s="319" t="str">
        <f t="shared" si="1157"/>
        <v/>
      </c>
      <c r="CC2152" s="319" t="str">
        <f t="shared" si="1157"/>
        <v/>
      </c>
      <c r="CD2152" s="319" t="str">
        <f t="shared" si="1157"/>
        <v/>
      </c>
      <c r="CE2152" s="319" t="str">
        <f t="shared" si="1157"/>
        <v/>
      </c>
      <c r="CF2152" s="319" t="str">
        <f t="shared" si="1157"/>
        <v/>
      </c>
      <c r="CG2152" s="319" t="str">
        <f t="shared" si="1157"/>
        <v/>
      </c>
      <c r="CH2152" s="319" t="str">
        <f t="shared" si="1157"/>
        <v/>
      </c>
      <c r="CI2152" s="319" t="str">
        <f t="shared" si="1157"/>
        <v/>
      </c>
      <c r="CJ2152" s="319" t="str">
        <f t="shared" si="1157"/>
        <v/>
      </c>
      <c r="CK2152" s="342">
        <f t="shared" si="182"/>
        <v>0</v>
      </c>
      <c r="CL2152" s="333">
        <f t="shared" si="183"/>
        <v>0</v>
      </c>
      <c r="CM2152" s="1079"/>
      <c r="CN2152" s="1005" t="s">
        <v>3198</v>
      </c>
      <c r="CO2152" s="1005" t="s">
        <v>2482</v>
      </c>
      <c r="CP2152" s="1005"/>
    </row>
    <row r="2153">
      <c r="A2153" s="1258"/>
      <c r="B2153" s="1129" t="s">
        <v>1832</v>
      </c>
      <c r="C2153" s="1122">
        <v>45636.0</v>
      </c>
      <c r="D2153" s="1123"/>
      <c r="E2153" s="1144"/>
      <c r="F2153" s="108" t="s">
        <v>3200</v>
      </c>
      <c r="G2153" s="1126">
        <v>0.6986111111111111</v>
      </c>
      <c r="H2153" s="1145"/>
      <c r="I2153" s="1145"/>
      <c r="J2153" s="1146"/>
      <c r="K2153" s="1127">
        <v>0.6986689814814815</v>
      </c>
      <c r="L2153" s="1128">
        <v>5.787037037037037E-5</v>
      </c>
      <c r="M2153" s="1129" t="s">
        <v>166</v>
      </c>
      <c r="N2153" s="100" t="s">
        <v>188</v>
      </c>
      <c r="O2153" s="1161"/>
      <c r="P2153" s="1131" t="s">
        <v>292</v>
      </c>
      <c r="Q2153" s="1132"/>
      <c r="R2153" s="1148"/>
      <c r="S2153" s="1129"/>
      <c r="T2153" s="1150"/>
      <c r="U2153" s="1124" t="s">
        <v>323</v>
      </c>
      <c r="V2153" s="1124"/>
      <c r="W2153" s="1124"/>
      <c r="X2153" s="1124"/>
      <c r="Y2153" s="1124"/>
      <c r="Z2153" s="1130"/>
      <c r="AA2153" s="1130"/>
      <c r="AB2153" s="1130"/>
      <c r="AC2153" s="1133"/>
      <c r="AD2153" s="1131"/>
      <c r="AE2153" s="1131"/>
      <c r="AF2153" s="1131"/>
      <c r="AG2153" s="1131"/>
      <c r="AH2153" s="1131"/>
      <c r="AI2153" s="1131"/>
      <c r="AJ2153" s="1133"/>
      <c r="AK2153" s="1134"/>
      <c r="AL2153" s="1131"/>
      <c r="AM2153" s="1131"/>
      <c r="AN2153" s="1131"/>
      <c r="AO2153" s="1131"/>
      <c r="AP2153" s="1131"/>
      <c r="AQ2153" s="1131"/>
      <c r="AR2153" s="1131"/>
      <c r="AS2153" s="1133"/>
      <c r="AT2153" s="1197" t="str">
        <f t="shared" si="428"/>
        <v/>
      </c>
      <c r="AU2153" s="1194"/>
      <c r="AV2153" s="662">
        <f>SQRT(($R2153-Infrastructure!J$3)^2+($S2153-Infrastructure!K$3)^2)</f>
        <v>28.90155705</v>
      </c>
      <c r="AW2153" s="641">
        <f>SQRT(($R2153-Infrastructure!J$4)^2+($S2153-Infrastructure!K$4)^2)</f>
        <v>17.80252791</v>
      </c>
      <c r="AX2153" s="641">
        <f>SQRT(($R2153-Infrastructure!J$5)^2+($S2153-Infrastructure!K$5)^2)</f>
        <v>5.10881591</v>
      </c>
      <c r="AY2153" s="641">
        <f>SQRT(($R2153-Infrastructure!J$6)^2+($S2153-Infrastructure!K$6)^2)</f>
        <v>10.10445446</v>
      </c>
      <c r="AZ2153" s="641">
        <f>SQRT(($R2153-Infrastructure!J$7)^2+($S2153-Infrastructure!K$7)^2)</f>
        <v>20.502195</v>
      </c>
      <c r="BA2153" s="641">
        <f>SQRT(($R2153-Infrastructure!J$8)^2+($S2153-Infrastructure!K$8)^2)</f>
        <v>30.10149498</v>
      </c>
      <c r="BB2153" s="641">
        <f>SQRT(($R2153-Infrastructure!J$9)^2+($S2153-Infrastructure!K$9)^2)</f>
        <v>40.3238143</v>
      </c>
      <c r="BC2153" s="641">
        <f>SQRT(($R2153-Infrastructure!J$10)^2+($S2153-Infrastructure!K$10)^2)</f>
        <v>42.72001873</v>
      </c>
      <c r="BD2153" s="641">
        <f>SQRT(($R2153-Infrastructure!J$11)^2+($S2153-Infrastructure!K$11)^2)</f>
        <v>49.56853841</v>
      </c>
      <c r="BE2153" s="642">
        <f>SQRT(($R2153-Infrastructure!J$12)^2+($S2153-Infrastructure!K$12)^2)</f>
        <v>59.51890456</v>
      </c>
      <c r="BF2153" s="662">
        <f t="shared" si="161"/>
        <v>5.10881591</v>
      </c>
      <c r="BG2153" s="642">
        <f t="shared" si="162"/>
        <v>59.51890456</v>
      </c>
      <c r="BH2153" s="1135"/>
      <c r="BI2153" s="663" t="str">
        <f t="shared" ref="BI2153:BR2153" si="1158">IF(ISNUMBER(FIND(BI$3, $CO2153)), "Y", "")</f>
        <v/>
      </c>
      <c r="BJ2153" s="663" t="str">
        <f t="shared" si="1158"/>
        <v/>
      </c>
      <c r="BK2153" s="663" t="str">
        <f t="shared" si="1158"/>
        <v/>
      </c>
      <c r="BL2153" s="663" t="str">
        <f t="shared" si="1158"/>
        <v/>
      </c>
      <c r="BM2153" s="663" t="str">
        <f t="shared" si="1158"/>
        <v/>
      </c>
      <c r="BN2153" s="663" t="str">
        <f t="shared" si="1158"/>
        <v/>
      </c>
      <c r="BO2153" s="663" t="str">
        <f t="shared" si="1158"/>
        <v/>
      </c>
      <c r="BP2153" s="663" t="str">
        <f t="shared" si="1158"/>
        <v/>
      </c>
      <c r="BQ2153" s="663" t="str">
        <f t="shared" si="1158"/>
        <v/>
      </c>
      <c r="BR2153" s="663" t="str">
        <f t="shared" si="1158"/>
        <v/>
      </c>
      <c r="BS2153" s="662">
        <f t="shared" si="185"/>
        <v>0</v>
      </c>
      <c r="BT2153" s="641">
        <f t="shared" si="170"/>
        <v>0</v>
      </c>
      <c r="BU2153" s="937"/>
      <c r="BV2153" s="930" t="str">
        <f t="shared" si="186"/>
        <v/>
      </c>
      <c r="BW2153" s="939"/>
      <c r="BX2153" s="939"/>
      <c r="BY2153" s="641" t="b">
        <f t="shared" si="201"/>
        <v>0</v>
      </c>
      <c r="BZ2153" s="641"/>
      <c r="CA2153" s="635" t="str">
        <f t="shared" ref="CA2153:CJ2153" si="1159">IF(ISNUMBER(FIND(BI$3, $CP2153)), "Y", "")</f>
        <v/>
      </c>
      <c r="CB2153" s="663" t="str">
        <f t="shared" si="1159"/>
        <v/>
      </c>
      <c r="CC2153" s="663" t="str">
        <f t="shared" si="1159"/>
        <v/>
      </c>
      <c r="CD2153" s="663" t="str">
        <f t="shared" si="1159"/>
        <v/>
      </c>
      <c r="CE2153" s="663" t="str">
        <f t="shared" si="1159"/>
        <v/>
      </c>
      <c r="CF2153" s="663" t="str">
        <f t="shared" si="1159"/>
        <v/>
      </c>
      <c r="CG2153" s="663" t="str">
        <f t="shared" si="1159"/>
        <v/>
      </c>
      <c r="CH2153" s="663" t="str">
        <f t="shared" si="1159"/>
        <v/>
      </c>
      <c r="CI2153" s="663" t="str">
        <f t="shared" si="1159"/>
        <v/>
      </c>
      <c r="CJ2153" s="663" t="str">
        <f t="shared" si="1159"/>
        <v/>
      </c>
      <c r="CK2153" s="743">
        <f t="shared" si="182"/>
        <v>0</v>
      </c>
      <c r="CL2153" s="642">
        <f t="shared" si="183"/>
        <v>0</v>
      </c>
      <c r="CM2153" s="1090"/>
      <c r="CN2153" s="1036" t="s">
        <v>3198</v>
      </c>
      <c r="CO2153" s="1036"/>
      <c r="CP2153" s="1036"/>
    </row>
    <row r="2154">
      <c r="A2154" s="1257" t="s">
        <v>148</v>
      </c>
      <c r="B2154" s="1113" t="s">
        <v>1832</v>
      </c>
      <c r="C2154" s="1107">
        <v>45637.0</v>
      </c>
      <c r="D2154" s="1113" t="s">
        <v>986</v>
      </c>
      <c r="E2154" s="1108">
        <v>3.0</v>
      </c>
      <c r="F2154" s="112" t="s">
        <v>3201</v>
      </c>
      <c r="G2154" s="1110">
        <v>0.5486111111111112</v>
      </c>
      <c r="H2154" s="1110">
        <v>0.5489583333333333</v>
      </c>
      <c r="I2154" s="1110"/>
      <c r="J2154" s="1111"/>
      <c r="K2154" s="1111">
        <v>0.5916666666666667</v>
      </c>
      <c r="L2154" s="1112">
        <v>0.042708333333333334</v>
      </c>
      <c r="M2154" s="1113" t="s">
        <v>166</v>
      </c>
      <c r="N2154" s="110" t="s">
        <v>187</v>
      </c>
      <c r="O2154" s="1115" t="s">
        <v>3065</v>
      </c>
      <c r="P2154" s="1115" t="s">
        <v>272</v>
      </c>
      <c r="Q2154" s="1115" t="s">
        <v>3202</v>
      </c>
      <c r="R2154" s="120">
        <v>3.5</v>
      </c>
      <c r="S2154" s="1113">
        <v>3.5</v>
      </c>
      <c r="T2154" s="110">
        <v>1.0</v>
      </c>
      <c r="U2154" s="1108">
        <v>2.8</v>
      </c>
      <c r="V2154" s="1108"/>
      <c r="W2154" s="1108"/>
      <c r="X2154" s="1108"/>
      <c r="Y2154" s="1108"/>
      <c r="Z2154" s="1114" t="s">
        <v>357</v>
      </c>
      <c r="AA2154" s="1114"/>
      <c r="AB2154" s="1114" t="s">
        <v>392</v>
      </c>
      <c r="AC2154" s="1117">
        <v>10.0</v>
      </c>
      <c r="AD2154" s="1115"/>
      <c r="AE2154" s="1115"/>
      <c r="AF2154" s="1115"/>
      <c r="AG2154" s="1115"/>
      <c r="AH2154" s="1115"/>
      <c r="AI2154" s="1115"/>
      <c r="AJ2154" s="1117"/>
      <c r="AK2154" s="1118"/>
      <c r="AL2154" s="1115"/>
      <c r="AM2154" s="1115"/>
      <c r="AN2154" s="1115"/>
      <c r="AO2154" s="1115"/>
      <c r="AP2154" s="1115"/>
      <c r="AQ2154" s="1115"/>
      <c r="AR2154" s="1115"/>
      <c r="AS2154" s="1117"/>
      <c r="AT2154" s="1196" t="str">
        <f t="shared" si="428"/>
        <v>1-10</v>
      </c>
      <c r="AU2154" s="1193"/>
      <c r="AV2154" s="330">
        <f>SQRT(($R2154-Infrastructure!J$3)^2+($S2154-Infrastructure!K$3)^2)</f>
        <v>25.68267899</v>
      </c>
      <c r="AW2154" s="331">
        <f>SQRT(($R2154-Infrastructure!J$4)^2+($S2154-Infrastructure!K$4)^2)</f>
        <v>14.79628332</v>
      </c>
      <c r="AX2154" s="331">
        <f>SQRT(($R2154-Infrastructure!J$5)^2+($S2154-Infrastructure!K$5)^2)</f>
        <v>4.123105626</v>
      </c>
      <c r="AY2154" s="331">
        <f>SQRT(($R2154-Infrastructure!J$6)^2+($S2154-Infrastructure!K$6)^2)</f>
        <v>7.334848328</v>
      </c>
      <c r="AZ2154" s="331">
        <f>SQRT(($R2154-Infrastructure!J$7)^2+($S2154-Infrastructure!K$7)^2)</f>
        <v>17.29855485</v>
      </c>
      <c r="BA2154" s="331">
        <f>SQRT(($R2154-Infrastructure!J$8)^2+($S2154-Infrastructure!K$8)^2)</f>
        <v>26.79178979</v>
      </c>
      <c r="BB2154" s="331">
        <f>SQRT(($R2154-Infrastructure!J$9)^2+($S2154-Infrastructure!K$9)^2)</f>
        <v>36.53505166</v>
      </c>
      <c r="BC2154" s="331">
        <f>SQRT(($R2154-Infrastructure!J$10)^2+($S2154-Infrastructure!K$10)^2)</f>
        <v>38.26878624</v>
      </c>
      <c r="BD2154" s="331">
        <f>SQRT(($R2154-Infrastructure!J$11)^2+($S2154-Infrastructure!K$11)^2)</f>
        <v>44.68937234</v>
      </c>
      <c r="BE2154" s="333">
        <f>SQRT(($R2154-Infrastructure!J$12)^2+($S2154-Infrastructure!K$12)^2)</f>
        <v>55.02726597</v>
      </c>
      <c r="BF2154" s="330">
        <f t="shared" si="161"/>
        <v>4.123105626</v>
      </c>
      <c r="BG2154" s="333">
        <f t="shared" si="162"/>
        <v>55.02726597</v>
      </c>
      <c r="BH2154" s="1119"/>
      <c r="BI2154" s="319" t="str">
        <f t="shared" ref="BI2154:BR2154" si="1160">IF(ISNUMBER(FIND(BI$3, $CO2154)), "Y", "")</f>
        <v/>
      </c>
      <c r="BJ2154" s="319" t="str">
        <f t="shared" si="1160"/>
        <v/>
      </c>
      <c r="BK2154" s="319" t="str">
        <f t="shared" si="1160"/>
        <v/>
      </c>
      <c r="BL2154" s="319" t="str">
        <f t="shared" si="1160"/>
        <v/>
      </c>
      <c r="BM2154" s="319" t="str">
        <f t="shared" si="1160"/>
        <v/>
      </c>
      <c r="BN2154" s="319" t="str">
        <f t="shared" si="1160"/>
        <v/>
      </c>
      <c r="BO2154" s="319" t="str">
        <f t="shared" si="1160"/>
        <v/>
      </c>
      <c r="BP2154" s="319" t="str">
        <f t="shared" si="1160"/>
        <v/>
      </c>
      <c r="BQ2154" s="319" t="str">
        <f t="shared" si="1160"/>
        <v/>
      </c>
      <c r="BR2154" s="319" t="str">
        <f t="shared" si="1160"/>
        <v/>
      </c>
      <c r="BS2154" s="330">
        <f t="shared" si="185"/>
        <v>0</v>
      </c>
      <c r="BT2154" s="331">
        <f t="shared" si="170"/>
        <v>0</v>
      </c>
      <c r="BU2154" s="920"/>
      <c r="BV2154" s="903" t="str">
        <f t="shared" si="186"/>
        <v/>
      </c>
      <c r="BW2154" s="908"/>
      <c r="BX2154" s="908"/>
      <c r="BY2154" s="331" t="b">
        <f t="shared" si="201"/>
        <v>0</v>
      </c>
      <c r="BZ2154" s="331"/>
      <c r="CA2154" s="462" t="str">
        <f t="shared" ref="CA2154:CJ2154" si="1161">IF(ISNUMBER(FIND(BI$3, $CP2154)), "Y", "")</f>
        <v/>
      </c>
      <c r="CB2154" s="319" t="str">
        <f t="shared" si="1161"/>
        <v/>
      </c>
      <c r="CC2154" s="319" t="str">
        <f t="shared" si="1161"/>
        <v/>
      </c>
      <c r="CD2154" s="319" t="str">
        <f t="shared" si="1161"/>
        <v/>
      </c>
      <c r="CE2154" s="319" t="str">
        <f t="shared" si="1161"/>
        <v/>
      </c>
      <c r="CF2154" s="319" t="str">
        <f t="shared" si="1161"/>
        <v/>
      </c>
      <c r="CG2154" s="319" t="str">
        <f t="shared" si="1161"/>
        <v/>
      </c>
      <c r="CH2154" s="319" t="str">
        <f t="shared" si="1161"/>
        <v/>
      </c>
      <c r="CI2154" s="319" t="str">
        <f t="shared" si="1161"/>
        <v/>
      </c>
      <c r="CJ2154" s="319" t="str">
        <f t="shared" si="1161"/>
        <v/>
      </c>
      <c r="CK2154" s="342">
        <f t="shared" si="182"/>
        <v>0</v>
      </c>
      <c r="CL2154" s="333">
        <f t="shared" si="183"/>
        <v>0</v>
      </c>
      <c r="CM2154" s="1079"/>
      <c r="CN2154" s="1005" t="s">
        <v>3203</v>
      </c>
      <c r="CO2154" s="1005"/>
      <c r="CP2154" s="1005"/>
    </row>
    <row r="2155">
      <c r="A2155" s="1258"/>
      <c r="B2155" s="1129" t="s">
        <v>1832</v>
      </c>
      <c r="C2155" s="1122">
        <v>45637.0</v>
      </c>
      <c r="D2155" s="1129" t="s">
        <v>986</v>
      </c>
      <c r="E2155" s="1124">
        <v>4.0</v>
      </c>
      <c r="F2155" s="108" t="s">
        <v>3204</v>
      </c>
      <c r="G2155" s="1126">
        <v>0.6118055555555556</v>
      </c>
      <c r="H2155" s="1126">
        <v>0.6121527777777778</v>
      </c>
      <c r="I2155" s="1126"/>
      <c r="J2155" s="1127"/>
      <c r="K2155" s="1127">
        <v>0.6569444444444444</v>
      </c>
      <c r="L2155" s="1128">
        <v>0.04479166666666667</v>
      </c>
      <c r="M2155" s="1129" t="s">
        <v>166</v>
      </c>
      <c r="N2155" s="100" t="s">
        <v>187</v>
      </c>
      <c r="O2155" s="1131" t="s">
        <v>3065</v>
      </c>
      <c r="P2155" s="1131" t="s">
        <v>272</v>
      </c>
      <c r="Q2155" s="1131" t="s">
        <v>3205</v>
      </c>
      <c r="R2155" s="137">
        <v>3.5</v>
      </c>
      <c r="S2155" s="1129">
        <v>3.5</v>
      </c>
      <c r="T2155" s="100">
        <v>1.0</v>
      </c>
      <c r="U2155" s="1124">
        <v>1.4</v>
      </c>
      <c r="V2155" s="1124"/>
      <c r="W2155" s="1124"/>
      <c r="X2155" s="1124"/>
      <c r="Y2155" s="1124"/>
      <c r="Z2155" s="1130" t="s">
        <v>357</v>
      </c>
      <c r="AA2155" s="1130"/>
      <c r="AB2155" s="1130" t="s">
        <v>392</v>
      </c>
      <c r="AC2155" s="1133">
        <v>10.0</v>
      </c>
      <c r="AD2155" s="1131"/>
      <c r="AE2155" s="1131"/>
      <c r="AF2155" s="1131"/>
      <c r="AG2155" s="1131"/>
      <c r="AH2155" s="1131"/>
      <c r="AI2155" s="1131"/>
      <c r="AJ2155" s="1133"/>
      <c r="AK2155" s="1134"/>
      <c r="AL2155" s="1131"/>
      <c r="AM2155" s="1131"/>
      <c r="AN2155" s="1131"/>
      <c r="AO2155" s="1131"/>
      <c r="AP2155" s="1131"/>
      <c r="AQ2155" s="1131"/>
      <c r="AR2155" s="1131"/>
      <c r="AS2155" s="1133"/>
      <c r="AT2155" s="1197" t="str">
        <f t="shared" si="428"/>
        <v>1-10</v>
      </c>
      <c r="AU2155" s="1194"/>
      <c r="AV2155" s="662">
        <f>SQRT(($R2155-Infrastructure!J$3)^2+($S2155-Infrastructure!K$3)^2)</f>
        <v>25.68267899</v>
      </c>
      <c r="AW2155" s="641">
        <f>SQRT(($R2155-Infrastructure!J$4)^2+($S2155-Infrastructure!K$4)^2)</f>
        <v>14.79628332</v>
      </c>
      <c r="AX2155" s="641">
        <f>SQRT(($R2155-Infrastructure!J$5)^2+($S2155-Infrastructure!K$5)^2)</f>
        <v>4.123105626</v>
      </c>
      <c r="AY2155" s="641">
        <f>SQRT(($R2155-Infrastructure!J$6)^2+($S2155-Infrastructure!K$6)^2)</f>
        <v>7.334848328</v>
      </c>
      <c r="AZ2155" s="641">
        <f>SQRT(($R2155-Infrastructure!J$7)^2+($S2155-Infrastructure!K$7)^2)</f>
        <v>17.29855485</v>
      </c>
      <c r="BA2155" s="641">
        <f>SQRT(($R2155-Infrastructure!J$8)^2+($S2155-Infrastructure!K$8)^2)</f>
        <v>26.79178979</v>
      </c>
      <c r="BB2155" s="641">
        <f>SQRT(($R2155-Infrastructure!J$9)^2+($S2155-Infrastructure!K$9)^2)</f>
        <v>36.53505166</v>
      </c>
      <c r="BC2155" s="641">
        <f>SQRT(($R2155-Infrastructure!J$10)^2+($S2155-Infrastructure!K$10)^2)</f>
        <v>38.26878624</v>
      </c>
      <c r="BD2155" s="641">
        <f>SQRT(($R2155-Infrastructure!J$11)^2+($S2155-Infrastructure!K$11)^2)</f>
        <v>44.68937234</v>
      </c>
      <c r="BE2155" s="642">
        <f>SQRT(($R2155-Infrastructure!J$12)^2+($S2155-Infrastructure!K$12)^2)</f>
        <v>55.02726597</v>
      </c>
      <c r="BF2155" s="662">
        <f t="shared" si="161"/>
        <v>4.123105626</v>
      </c>
      <c r="BG2155" s="642">
        <f t="shared" si="162"/>
        <v>55.02726597</v>
      </c>
      <c r="BH2155" s="1135"/>
      <c r="BI2155" s="663" t="str">
        <f t="shared" ref="BI2155:BR2155" si="1162">IF(ISNUMBER(FIND(BI$3, $CO2155)), "Y", "")</f>
        <v/>
      </c>
      <c r="BJ2155" s="663" t="str">
        <f t="shared" si="1162"/>
        <v/>
      </c>
      <c r="BK2155" s="663" t="str">
        <f t="shared" si="1162"/>
        <v/>
      </c>
      <c r="BL2155" s="663" t="str">
        <f t="shared" si="1162"/>
        <v/>
      </c>
      <c r="BM2155" s="663" t="str">
        <f t="shared" si="1162"/>
        <v/>
      </c>
      <c r="BN2155" s="663" t="str">
        <f t="shared" si="1162"/>
        <v/>
      </c>
      <c r="BO2155" s="663" t="str">
        <f t="shared" si="1162"/>
        <v/>
      </c>
      <c r="BP2155" s="663" t="str">
        <f t="shared" si="1162"/>
        <v/>
      </c>
      <c r="BQ2155" s="663" t="str">
        <f t="shared" si="1162"/>
        <v/>
      </c>
      <c r="BR2155" s="663" t="str">
        <f t="shared" si="1162"/>
        <v/>
      </c>
      <c r="BS2155" s="662">
        <f t="shared" si="185"/>
        <v>0</v>
      </c>
      <c r="BT2155" s="641">
        <f t="shared" si="170"/>
        <v>0</v>
      </c>
      <c r="BU2155" s="937"/>
      <c r="BV2155" s="930" t="str">
        <f t="shared" si="186"/>
        <v/>
      </c>
      <c r="BW2155" s="939"/>
      <c r="BX2155" s="939"/>
      <c r="BY2155" s="641" t="b">
        <f t="shared" si="201"/>
        <v>0</v>
      </c>
      <c r="BZ2155" s="641"/>
      <c r="CA2155" s="635" t="str">
        <f t="shared" ref="CA2155:CJ2155" si="1163">IF(ISNUMBER(FIND(BI$3, $CP2155)), "Y", "")</f>
        <v/>
      </c>
      <c r="CB2155" s="663" t="str">
        <f t="shared" si="1163"/>
        <v/>
      </c>
      <c r="CC2155" s="663" t="str">
        <f t="shared" si="1163"/>
        <v/>
      </c>
      <c r="CD2155" s="663" t="str">
        <f t="shared" si="1163"/>
        <v/>
      </c>
      <c r="CE2155" s="663" t="str">
        <f t="shared" si="1163"/>
        <v/>
      </c>
      <c r="CF2155" s="663" t="str">
        <f t="shared" si="1163"/>
        <v/>
      </c>
      <c r="CG2155" s="663" t="str">
        <f t="shared" si="1163"/>
        <v/>
      </c>
      <c r="CH2155" s="663" t="str">
        <f t="shared" si="1163"/>
        <v/>
      </c>
      <c r="CI2155" s="663" t="str">
        <f t="shared" si="1163"/>
        <v/>
      </c>
      <c r="CJ2155" s="663" t="str">
        <f t="shared" si="1163"/>
        <v/>
      </c>
      <c r="CK2155" s="743">
        <f t="shared" si="182"/>
        <v>0</v>
      </c>
      <c r="CL2155" s="642">
        <f t="shared" si="183"/>
        <v>0</v>
      </c>
      <c r="CM2155" s="1090"/>
      <c r="CN2155" s="1036" t="s">
        <v>3203</v>
      </c>
      <c r="CO2155" s="1036"/>
      <c r="CP2155" s="1036"/>
    </row>
    <row r="2156">
      <c r="A2156" s="1257" t="s">
        <v>149</v>
      </c>
      <c r="B2156" s="1113" t="s">
        <v>1832</v>
      </c>
      <c r="C2156" s="1107">
        <v>45638.0</v>
      </c>
      <c r="D2156" s="1113" t="s">
        <v>986</v>
      </c>
      <c r="E2156" s="1108">
        <v>5.0</v>
      </c>
      <c r="F2156" s="112" t="s">
        <v>3206</v>
      </c>
      <c r="G2156" s="1110">
        <v>0.4852430555555556</v>
      </c>
      <c r="H2156" s="1110">
        <v>0.4855902777777778</v>
      </c>
      <c r="I2156" s="1110"/>
      <c r="J2156" s="1111"/>
      <c r="K2156" s="1111">
        <v>0.5284722222222222</v>
      </c>
      <c r="L2156" s="1112">
        <v>0.042881944444444445</v>
      </c>
      <c r="M2156" s="1113" t="s">
        <v>166</v>
      </c>
      <c r="N2156" s="110" t="s">
        <v>187</v>
      </c>
      <c r="O2156" s="1115" t="s">
        <v>3065</v>
      </c>
      <c r="P2156" s="1115" t="s">
        <v>272</v>
      </c>
      <c r="Q2156" s="1115" t="s">
        <v>3207</v>
      </c>
      <c r="R2156" s="120">
        <v>3.5</v>
      </c>
      <c r="S2156" s="1113">
        <v>3.5</v>
      </c>
      <c r="T2156" s="110">
        <v>1.0</v>
      </c>
      <c r="U2156" s="1108">
        <v>1.4</v>
      </c>
      <c r="V2156" s="1108"/>
      <c r="W2156" s="1108"/>
      <c r="X2156" s="1108"/>
      <c r="Y2156" s="1108"/>
      <c r="Z2156" s="1114" t="s">
        <v>357</v>
      </c>
      <c r="AA2156" s="1114"/>
      <c r="AB2156" s="1114" t="s">
        <v>392</v>
      </c>
      <c r="AC2156" s="1117">
        <v>10.0</v>
      </c>
      <c r="AD2156" s="1115"/>
      <c r="AE2156" s="1115"/>
      <c r="AF2156" s="1115"/>
      <c r="AG2156" s="1115"/>
      <c r="AH2156" s="1115"/>
      <c r="AI2156" s="1115"/>
      <c r="AJ2156" s="1117"/>
      <c r="AK2156" s="1118"/>
      <c r="AL2156" s="1115"/>
      <c r="AM2156" s="1115"/>
      <c r="AN2156" s="1115"/>
      <c r="AO2156" s="1115"/>
      <c r="AP2156" s="1115"/>
      <c r="AQ2156" s="1115"/>
      <c r="AR2156" s="1115"/>
      <c r="AS2156" s="1117"/>
      <c r="AT2156" s="1196" t="str">
        <f t="shared" si="428"/>
        <v>1-10</v>
      </c>
      <c r="AU2156" s="1193"/>
      <c r="AV2156" s="330">
        <f>SQRT(($R2156-Infrastructure!J$3)^2+($S2156-Infrastructure!K$3)^2)</f>
        <v>25.68267899</v>
      </c>
      <c r="AW2156" s="331">
        <f>SQRT(($R2156-Infrastructure!J$4)^2+($S2156-Infrastructure!K$4)^2)</f>
        <v>14.79628332</v>
      </c>
      <c r="AX2156" s="331">
        <f>SQRT(($R2156-Infrastructure!J$5)^2+($S2156-Infrastructure!K$5)^2)</f>
        <v>4.123105626</v>
      </c>
      <c r="AY2156" s="331">
        <f>SQRT(($R2156-Infrastructure!J$6)^2+($S2156-Infrastructure!K$6)^2)</f>
        <v>7.334848328</v>
      </c>
      <c r="AZ2156" s="331">
        <f>SQRT(($R2156-Infrastructure!J$7)^2+($S2156-Infrastructure!K$7)^2)</f>
        <v>17.29855485</v>
      </c>
      <c r="BA2156" s="331">
        <f>SQRT(($R2156-Infrastructure!J$8)^2+($S2156-Infrastructure!K$8)^2)</f>
        <v>26.79178979</v>
      </c>
      <c r="BB2156" s="331">
        <f>SQRT(($R2156-Infrastructure!J$9)^2+($S2156-Infrastructure!K$9)^2)</f>
        <v>36.53505166</v>
      </c>
      <c r="BC2156" s="331">
        <f>SQRT(($R2156-Infrastructure!J$10)^2+($S2156-Infrastructure!K$10)^2)</f>
        <v>38.26878624</v>
      </c>
      <c r="BD2156" s="331">
        <f>SQRT(($R2156-Infrastructure!J$11)^2+($S2156-Infrastructure!K$11)^2)</f>
        <v>44.68937234</v>
      </c>
      <c r="BE2156" s="333">
        <f>SQRT(($R2156-Infrastructure!J$12)^2+($S2156-Infrastructure!K$12)^2)</f>
        <v>55.02726597</v>
      </c>
      <c r="BF2156" s="330">
        <f t="shared" si="161"/>
        <v>4.123105626</v>
      </c>
      <c r="BG2156" s="333">
        <f t="shared" si="162"/>
        <v>55.02726597</v>
      </c>
      <c r="BH2156" s="1119"/>
      <c r="BI2156" s="319" t="str">
        <f t="shared" ref="BI2156:BR2156" si="1164">IF(ISNUMBER(FIND(BI$3, $CO2156)), "Y", "")</f>
        <v/>
      </c>
      <c r="BJ2156" s="319" t="str">
        <f t="shared" si="1164"/>
        <v/>
      </c>
      <c r="BK2156" s="319" t="str">
        <f t="shared" si="1164"/>
        <v/>
      </c>
      <c r="BL2156" s="319" t="str">
        <f t="shared" si="1164"/>
        <v/>
      </c>
      <c r="BM2156" s="319" t="str">
        <f t="shared" si="1164"/>
        <v/>
      </c>
      <c r="BN2156" s="319" t="str">
        <f t="shared" si="1164"/>
        <v/>
      </c>
      <c r="BO2156" s="319" t="str">
        <f t="shared" si="1164"/>
        <v/>
      </c>
      <c r="BP2156" s="319" t="str">
        <f t="shared" si="1164"/>
        <v/>
      </c>
      <c r="BQ2156" s="319" t="str">
        <f t="shared" si="1164"/>
        <v/>
      </c>
      <c r="BR2156" s="319" t="str">
        <f t="shared" si="1164"/>
        <v/>
      </c>
      <c r="BS2156" s="330">
        <f t="shared" si="185"/>
        <v>0</v>
      </c>
      <c r="BT2156" s="331">
        <f t="shared" si="170"/>
        <v>0</v>
      </c>
      <c r="BU2156" s="920"/>
      <c r="BV2156" s="903" t="str">
        <f t="shared" si="186"/>
        <v/>
      </c>
      <c r="BW2156" s="908"/>
      <c r="BX2156" s="908"/>
      <c r="BY2156" s="331" t="b">
        <f t="shared" si="201"/>
        <v>0</v>
      </c>
      <c r="BZ2156" s="331"/>
      <c r="CA2156" s="462" t="str">
        <f t="shared" ref="CA2156:CJ2156" si="1165">IF(ISNUMBER(FIND(BI$3, $CP2156)), "Y", "")</f>
        <v/>
      </c>
      <c r="CB2156" s="319" t="str">
        <f t="shared" si="1165"/>
        <v/>
      </c>
      <c r="CC2156" s="319" t="str">
        <f t="shared" si="1165"/>
        <v/>
      </c>
      <c r="CD2156" s="319" t="str">
        <f t="shared" si="1165"/>
        <v/>
      </c>
      <c r="CE2156" s="319" t="str">
        <f t="shared" si="1165"/>
        <v/>
      </c>
      <c r="CF2156" s="319" t="str">
        <f t="shared" si="1165"/>
        <v/>
      </c>
      <c r="CG2156" s="319" t="str">
        <f t="shared" si="1165"/>
        <v/>
      </c>
      <c r="CH2156" s="319" t="str">
        <f t="shared" si="1165"/>
        <v/>
      </c>
      <c r="CI2156" s="319" t="str">
        <f t="shared" si="1165"/>
        <v/>
      </c>
      <c r="CJ2156" s="319" t="str">
        <f t="shared" si="1165"/>
        <v/>
      </c>
      <c r="CK2156" s="342">
        <f t="shared" si="182"/>
        <v>0</v>
      </c>
      <c r="CL2156" s="333">
        <f t="shared" si="183"/>
        <v>0</v>
      </c>
      <c r="CM2156" s="1079"/>
      <c r="CN2156" s="1005" t="s">
        <v>3208</v>
      </c>
      <c r="CO2156" s="1005"/>
      <c r="CP2156" s="1005"/>
    </row>
    <row r="2157">
      <c r="A2157" s="266"/>
      <c r="B2157" s="1113" t="s">
        <v>1832</v>
      </c>
      <c r="C2157" s="1107">
        <v>45638.0</v>
      </c>
      <c r="D2157" s="1113" t="s">
        <v>986</v>
      </c>
      <c r="E2157" s="1108">
        <v>6.0</v>
      </c>
      <c r="F2157" s="112" t="s">
        <v>3209</v>
      </c>
      <c r="G2157" s="1110">
        <v>0.5388888888888889</v>
      </c>
      <c r="H2157" s="1110">
        <v>0.5392361111111111</v>
      </c>
      <c r="I2157" s="1110"/>
      <c r="J2157" s="1111"/>
      <c r="K2157" s="1111">
        <v>0.5822916666666667</v>
      </c>
      <c r="L2157" s="1112">
        <v>0.043055555555555555</v>
      </c>
      <c r="M2157" s="1113" t="s">
        <v>166</v>
      </c>
      <c r="N2157" s="110" t="s">
        <v>187</v>
      </c>
      <c r="O2157" s="1115" t="s">
        <v>3065</v>
      </c>
      <c r="P2157" s="1115" t="s">
        <v>272</v>
      </c>
      <c r="Q2157" s="1115" t="s">
        <v>3210</v>
      </c>
      <c r="R2157" s="120">
        <v>3.5</v>
      </c>
      <c r="S2157" s="1113">
        <v>3.5</v>
      </c>
      <c r="T2157" s="110">
        <v>1.0</v>
      </c>
      <c r="U2157" s="1108">
        <v>1.4</v>
      </c>
      <c r="V2157" s="1108"/>
      <c r="W2157" s="1108"/>
      <c r="X2157" s="1108"/>
      <c r="Y2157" s="1108"/>
      <c r="Z2157" s="1114" t="s">
        <v>357</v>
      </c>
      <c r="AA2157" s="1114"/>
      <c r="AB2157" s="1114" t="s">
        <v>392</v>
      </c>
      <c r="AC2157" s="1117">
        <v>10.0</v>
      </c>
      <c r="AD2157" s="1115"/>
      <c r="AE2157" s="1115"/>
      <c r="AF2157" s="1115"/>
      <c r="AG2157" s="1115"/>
      <c r="AH2157" s="1115"/>
      <c r="AI2157" s="1115"/>
      <c r="AJ2157" s="1117"/>
      <c r="AK2157" s="1118"/>
      <c r="AL2157" s="1115"/>
      <c r="AM2157" s="1115"/>
      <c r="AN2157" s="1115"/>
      <c r="AO2157" s="1115"/>
      <c r="AP2157" s="1115"/>
      <c r="AQ2157" s="1115"/>
      <c r="AR2157" s="1115"/>
      <c r="AS2157" s="1117"/>
      <c r="AT2157" s="1196" t="str">
        <f t="shared" si="428"/>
        <v>1-10</v>
      </c>
      <c r="AU2157" s="1193"/>
      <c r="AV2157" s="330">
        <f>SQRT(($R2157-Infrastructure!J$3)^2+($S2157-Infrastructure!K$3)^2)</f>
        <v>25.68267899</v>
      </c>
      <c r="AW2157" s="331">
        <f>SQRT(($R2157-Infrastructure!J$4)^2+($S2157-Infrastructure!K$4)^2)</f>
        <v>14.79628332</v>
      </c>
      <c r="AX2157" s="331">
        <f>SQRT(($R2157-Infrastructure!J$5)^2+($S2157-Infrastructure!K$5)^2)</f>
        <v>4.123105626</v>
      </c>
      <c r="AY2157" s="331">
        <f>SQRT(($R2157-Infrastructure!J$6)^2+($S2157-Infrastructure!K$6)^2)</f>
        <v>7.334848328</v>
      </c>
      <c r="AZ2157" s="331">
        <f>SQRT(($R2157-Infrastructure!J$7)^2+($S2157-Infrastructure!K$7)^2)</f>
        <v>17.29855485</v>
      </c>
      <c r="BA2157" s="331">
        <f>SQRT(($R2157-Infrastructure!J$8)^2+($S2157-Infrastructure!K$8)^2)</f>
        <v>26.79178979</v>
      </c>
      <c r="BB2157" s="331">
        <f>SQRT(($R2157-Infrastructure!J$9)^2+($S2157-Infrastructure!K$9)^2)</f>
        <v>36.53505166</v>
      </c>
      <c r="BC2157" s="331">
        <f>SQRT(($R2157-Infrastructure!J$10)^2+($S2157-Infrastructure!K$10)^2)</f>
        <v>38.26878624</v>
      </c>
      <c r="BD2157" s="331">
        <f>SQRT(($R2157-Infrastructure!J$11)^2+($S2157-Infrastructure!K$11)^2)</f>
        <v>44.68937234</v>
      </c>
      <c r="BE2157" s="333">
        <f>SQRT(($R2157-Infrastructure!J$12)^2+($S2157-Infrastructure!K$12)^2)</f>
        <v>55.02726597</v>
      </c>
      <c r="BF2157" s="330">
        <f t="shared" si="161"/>
        <v>4.123105626</v>
      </c>
      <c r="BG2157" s="333">
        <f t="shared" si="162"/>
        <v>55.02726597</v>
      </c>
      <c r="BH2157" s="1119"/>
      <c r="BI2157" s="319" t="str">
        <f t="shared" ref="BI2157:BR2157" si="1166">IF(ISNUMBER(FIND(BI$3, $CO2157)), "Y", "")</f>
        <v/>
      </c>
      <c r="BJ2157" s="319" t="str">
        <f t="shared" si="1166"/>
        <v/>
      </c>
      <c r="BK2157" s="319" t="str">
        <f t="shared" si="1166"/>
        <v/>
      </c>
      <c r="BL2157" s="319" t="str">
        <f t="shared" si="1166"/>
        <v/>
      </c>
      <c r="BM2157" s="319" t="str">
        <f t="shared" si="1166"/>
        <v/>
      </c>
      <c r="BN2157" s="319" t="str">
        <f t="shared" si="1166"/>
        <v/>
      </c>
      <c r="BO2157" s="319" t="str">
        <f t="shared" si="1166"/>
        <v/>
      </c>
      <c r="BP2157" s="319" t="str">
        <f t="shared" si="1166"/>
        <v/>
      </c>
      <c r="BQ2157" s="319" t="str">
        <f t="shared" si="1166"/>
        <v/>
      </c>
      <c r="BR2157" s="319" t="str">
        <f t="shared" si="1166"/>
        <v/>
      </c>
      <c r="BS2157" s="330">
        <f t="shared" si="185"/>
        <v>0</v>
      </c>
      <c r="BT2157" s="331">
        <f t="shared" si="170"/>
        <v>0</v>
      </c>
      <c r="BU2157" s="920"/>
      <c r="BV2157" s="903" t="str">
        <f t="shared" si="186"/>
        <v/>
      </c>
      <c r="BW2157" s="908"/>
      <c r="BX2157" s="908"/>
      <c r="BY2157" s="331" t="b">
        <f t="shared" si="201"/>
        <v>0</v>
      </c>
      <c r="BZ2157" s="331"/>
      <c r="CA2157" s="462" t="str">
        <f t="shared" ref="CA2157:CJ2157" si="1167">IF(ISNUMBER(FIND(BI$3, $CP2157)), "Y", "")</f>
        <v/>
      </c>
      <c r="CB2157" s="319" t="str">
        <f t="shared" si="1167"/>
        <v/>
      </c>
      <c r="CC2157" s="319" t="str">
        <f t="shared" si="1167"/>
        <v/>
      </c>
      <c r="CD2157" s="319" t="str">
        <f t="shared" si="1167"/>
        <v/>
      </c>
      <c r="CE2157" s="319" t="str">
        <f t="shared" si="1167"/>
        <v/>
      </c>
      <c r="CF2157" s="319" t="str">
        <f t="shared" si="1167"/>
        <v/>
      </c>
      <c r="CG2157" s="319" t="str">
        <f t="shared" si="1167"/>
        <v/>
      </c>
      <c r="CH2157" s="319" t="str">
        <f t="shared" si="1167"/>
        <v/>
      </c>
      <c r="CI2157" s="319" t="str">
        <f t="shared" si="1167"/>
        <v/>
      </c>
      <c r="CJ2157" s="319" t="str">
        <f t="shared" si="1167"/>
        <v/>
      </c>
      <c r="CK2157" s="342">
        <f t="shared" si="182"/>
        <v>0</v>
      </c>
      <c r="CL2157" s="333">
        <f t="shared" si="183"/>
        <v>0</v>
      </c>
      <c r="CM2157" s="1079"/>
      <c r="CN2157" s="1005" t="s">
        <v>3211</v>
      </c>
      <c r="CO2157" s="1005"/>
      <c r="CP2157" s="1005"/>
    </row>
    <row r="2158">
      <c r="A2158" s="266"/>
      <c r="B2158" s="1113" t="s">
        <v>1832</v>
      </c>
      <c r="C2158" s="1107">
        <v>45638.0</v>
      </c>
      <c r="D2158" s="1113" t="s">
        <v>986</v>
      </c>
      <c r="E2158" s="1108">
        <v>7.0</v>
      </c>
      <c r="F2158" s="112" t="s">
        <v>3212</v>
      </c>
      <c r="G2158" s="1110">
        <v>0.5936342592592593</v>
      </c>
      <c r="H2158" s="1110">
        <v>0.5939236111111111</v>
      </c>
      <c r="I2158" s="1110"/>
      <c r="J2158" s="1111"/>
      <c r="K2158" s="1111">
        <v>0.6368055555555555</v>
      </c>
      <c r="L2158" s="1112">
        <v>0.042881944444444445</v>
      </c>
      <c r="M2158" s="1113" t="s">
        <v>166</v>
      </c>
      <c r="N2158" s="110" t="s">
        <v>187</v>
      </c>
      <c r="O2158" s="1115" t="s">
        <v>3065</v>
      </c>
      <c r="P2158" s="1115" t="s">
        <v>272</v>
      </c>
      <c r="Q2158" s="1115" t="s">
        <v>3213</v>
      </c>
      <c r="R2158" s="120">
        <v>3.5</v>
      </c>
      <c r="S2158" s="1113">
        <v>3.5</v>
      </c>
      <c r="T2158" s="110">
        <v>1.0</v>
      </c>
      <c r="U2158" s="1108">
        <v>1.4</v>
      </c>
      <c r="V2158" s="1108"/>
      <c r="W2158" s="1108"/>
      <c r="X2158" s="1108"/>
      <c r="Y2158" s="1108"/>
      <c r="Z2158" s="1114" t="s">
        <v>357</v>
      </c>
      <c r="AA2158" s="1114"/>
      <c r="AB2158" s="1114" t="s">
        <v>392</v>
      </c>
      <c r="AC2158" s="1117">
        <v>10.0</v>
      </c>
      <c r="AD2158" s="1115"/>
      <c r="AE2158" s="1115"/>
      <c r="AF2158" s="1115"/>
      <c r="AG2158" s="1115"/>
      <c r="AH2158" s="1115"/>
      <c r="AI2158" s="1115"/>
      <c r="AJ2158" s="1117"/>
      <c r="AK2158" s="1118"/>
      <c r="AL2158" s="1115"/>
      <c r="AM2158" s="1115"/>
      <c r="AN2158" s="1115"/>
      <c r="AO2158" s="1115"/>
      <c r="AP2158" s="1115"/>
      <c r="AQ2158" s="1115"/>
      <c r="AR2158" s="1115"/>
      <c r="AS2158" s="1117"/>
      <c r="AT2158" s="1196" t="str">
        <f t="shared" si="428"/>
        <v>1-10</v>
      </c>
      <c r="AU2158" s="1193"/>
      <c r="AV2158" s="330">
        <f>SQRT(($R2158-Infrastructure!J$3)^2+($S2158-Infrastructure!K$3)^2)</f>
        <v>25.68267899</v>
      </c>
      <c r="AW2158" s="331">
        <f>SQRT(($R2158-Infrastructure!J$4)^2+($S2158-Infrastructure!K$4)^2)</f>
        <v>14.79628332</v>
      </c>
      <c r="AX2158" s="331">
        <f>SQRT(($R2158-Infrastructure!J$5)^2+($S2158-Infrastructure!K$5)^2)</f>
        <v>4.123105626</v>
      </c>
      <c r="AY2158" s="331">
        <f>SQRT(($R2158-Infrastructure!J$6)^2+($S2158-Infrastructure!K$6)^2)</f>
        <v>7.334848328</v>
      </c>
      <c r="AZ2158" s="331">
        <f>SQRT(($R2158-Infrastructure!J$7)^2+($S2158-Infrastructure!K$7)^2)</f>
        <v>17.29855485</v>
      </c>
      <c r="BA2158" s="331">
        <f>SQRT(($R2158-Infrastructure!J$8)^2+($S2158-Infrastructure!K$8)^2)</f>
        <v>26.79178979</v>
      </c>
      <c r="BB2158" s="331">
        <f>SQRT(($R2158-Infrastructure!J$9)^2+($S2158-Infrastructure!K$9)^2)</f>
        <v>36.53505166</v>
      </c>
      <c r="BC2158" s="331">
        <f>SQRT(($R2158-Infrastructure!J$10)^2+($S2158-Infrastructure!K$10)^2)</f>
        <v>38.26878624</v>
      </c>
      <c r="BD2158" s="331">
        <f>SQRT(($R2158-Infrastructure!J$11)^2+($S2158-Infrastructure!K$11)^2)</f>
        <v>44.68937234</v>
      </c>
      <c r="BE2158" s="333">
        <f>SQRT(($R2158-Infrastructure!J$12)^2+($S2158-Infrastructure!K$12)^2)</f>
        <v>55.02726597</v>
      </c>
      <c r="BF2158" s="330">
        <f t="shared" si="161"/>
        <v>4.123105626</v>
      </c>
      <c r="BG2158" s="333">
        <f t="shared" si="162"/>
        <v>55.02726597</v>
      </c>
      <c r="BH2158" s="1119"/>
      <c r="BI2158" s="319" t="str">
        <f t="shared" ref="BI2158:BR2158" si="1168">IF(ISNUMBER(FIND(BI$3, $CO2158)), "Y", "")</f>
        <v/>
      </c>
      <c r="BJ2158" s="319" t="str">
        <f t="shared" si="1168"/>
        <v/>
      </c>
      <c r="BK2158" s="319" t="str">
        <f t="shared" si="1168"/>
        <v/>
      </c>
      <c r="BL2158" s="319" t="str">
        <f t="shared" si="1168"/>
        <v/>
      </c>
      <c r="BM2158" s="319" t="str">
        <f t="shared" si="1168"/>
        <v/>
      </c>
      <c r="BN2158" s="319" t="str">
        <f t="shared" si="1168"/>
        <v/>
      </c>
      <c r="BO2158" s="319" t="str">
        <f t="shared" si="1168"/>
        <v/>
      </c>
      <c r="BP2158" s="319" t="str">
        <f t="shared" si="1168"/>
        <v/>
      </c>
      <c r="BQ2158" s="319" t="str">
        <f t="shared" si="1168"/>
        <v/>
      </c>
      <c r="BR2158" s="319" t="str">
        <f t="shared" si="1168"/>
        <v/>
      </c>
      <c r="BS2158" s="330">
        <f t="shared" si="185"/>
        <v>0</v>
      </c>
      <c r="BT2158" s="331">
        <f t="shared" si="170"/>
        <v>0</v>
      </c>
      <c r="BU2158" s="920"/>
      <c r="BV2158" s="903" t="str">
        <f t="shared" si="186"/>
        <v/>
      </c>
      <c r="BW2158" s="908"/>
      <c r="BX2158" s="908"/>
      <c r="BY2158" s="331" t="b">
        <f t="shared" si="201"/>
        <v>0</v>
      </c>
      <c r="BZ2158" s="331"/>
      <c r="CA2158" s="462" t="str">
        <f t="shared" ref="CA2158:CJ2158" si="1169">IF(ISNUMBER(FIND(BI$3, $CP2158)), "Y", "")</f>
        <v/>
      </c>
      <c r="CB2158" s="319" t="str">
        <f t="shared" si="1169"/>
        <v/>
      </c>
      <c r="CC2158" s="319" t="str">
        <f t="shared" si="1169"/>
        <v/>
      </c>
      <c r="CD2158" s="319" t="str">
        <f t="shared" si="1169"/>
        <v/>
      </c>
      <c r="CE2158" s="319" t="str">
        <f t="shared" si="1169"/>
        <v/>
      </c>
      <c r="CF2158" s="319" t="str">
        <f t="shared" si="1169"/>
        <v/>
      </c>
      <c r="CG2158" s="319" t="str">
        <f t="shared" si="1169"/>
        <v/>
      </c>
      <c r="CH2158" s="319" t="str">
        <f t="shared" si="1169"/>
        <v/>
      </c>
      <c r="CI2158" s="319" t="str">
        <f t="shared" si="1169"/>
        <v/>
      </c>
      <c r="CJ2158" s="319" t="str">
        <f t="shared" si="1169"/>
        <v/>
      </c>
      <c r="CK2158" s="342">
        <f t="shared" si="182"/>
        <v>0</v>
      </c>
      <c r="CL2158" s="333">
        <f t="shared" si="183"/>
        <v>0</v>
      </c>
      <c r="CM2158" s="1079"/>
      <c r="CN2158" s="1005" t="s">
        <v>3211</v>
      </c>
      <c r="CO2158" s="1005"/>
      <c r="CP2158" s="1005"/>
    </row>
    <row r="2159">
      <c r="A2159" s="266"/>
      <c r="B2159" s="1113" t="s">
        <v>1832</v>
      </c>
      <c r="C2159" s="1107">
        <v>45638.0</v>
      </c>
      <c r="D2159" s="1113" t="s">
        <v>986</v>
      </c>
      <c r="E2159" s="1108">
        <v>8.0</v>
      </c>
      <c r="F2159" s="112" t="s">
        <v>3214</v>
      </c>
      <c r="G2159" s="1110">
        <v>0.6494791666666667</v>
      </c>
      <c r="H2159" s="1110">
        <v>0.6496527777777777</v>
      </c>
      <c r="I2159" s="1110"/>
      <c r="J2159" s="1111"/>
      <c r="K2159" s="1111">
        <v>0.6944444444444444</v>
      </c>
      <c r="L2159" s="1112">
        <v>0.04479166666666667</v>
      </c>
      <c r="M2159" s="1113" t="s">
        <v>166</v>
      </c>
      <c r="N2159" s="110" t="s">
        <v>187</v>
      </c>
      <c r="O2159" s="1115" t="s">
        <v>3065</v>
      </c>
      <c r="P2159" s="1115" t="s">
        <v>272</v>
      </c>
      <c r="Q2159" s="1115" t="s">
        <v>3215</v>
      </c>
      <c r="R2159" s="120">
        <v>3.5</v>
      </c>
      <c r="S2159" s="1113">
        <v>3.5</v>
      </c>
      <c r="T2159" s="110">
        <v>1.0</v>
      </c>
      <c r="U2159" s="1108">
        <v>1.4</v>
      </c>
      <c r="V2159" s="1108"/>
      <c r="W2159" s="1108"/>
      <c r="X2159" s="1108"/>
      <c r="Y2159" s="1108"/>
      <c r="Z2159" s="1114" t="s">
        <v>357</v>
      </c>
      <c r="AA2159" s="1114"/>
      <c r="AB2159" s="1114" t="s">
        <v>392</v>
      </c>
      <c r="AC2159" s="1117">
        <v>10.0</v>
      </c>
      <c r="AD2159" s="1115"/>
      <c r="AE2159" s="1115"/>
      <c r="AF2159" s="1115"/>
      <c r="AG2159" s="1115"/>
      <c r="AH2159" s="1115"/>
      <c r="AI2159" s="1115"/>
      <c r="AJ2159" s="1117"/>
      <c r="AK2159" s="1118"/>
      <c r="AL2159" s="1115"/>
      <c r="AM2159" s="1115"/>
      <c r="AN2159" s="1115"/>
      <c r="AO2159" s="1115"/>
      <c r="AP2159" s="1115"/>
      <c r="AQ2159" s="1115"/>
      <c r="AR2159" s="1115"/>
      <c r="AS2159" s="1117"/>
      <c r="AT2159" s="1196" t="str">
        <f t="shared" si="428"/>
        <v>1-10</v>
      </c>
      <c r="AU2159" s="1193"/>
      <c r="AV2159" s="330">
        <f>SQRT(($R2159-Infrastructure!J$3)^2+($S2159-Infrastructure!K$3)^2)</f>
        <v>25.68267899</v>
      </c>
      <c r="AW2159" s="331">
        <f>SQRT(($R2159-Infrastructure!J$4)^2+($S2159-Infrastructure!K$4)^2)</f>
        <v>14.79628332</v>
      </c>
      <c r="AX2159" s="331">
        <f>SQRT(($R2159-Infrastructure!J$5)^2+($S2159-Infrastructure!K$5)^2)</f>
        <v>4.123105626</v>
      </c>
      <c r="AY2159" s="331">
        <f>SQRT(($R2159-Infrastructure!J$6)^2+($S2159-Infrastructure!K$6)^2)</f>
        <v>7.334848328</v>
      </c>
      <c r="AZ2159" s="331">
        <f>SQRT(($R2159-Infrastructure!J$7)^2+($S2159-Infrastructure!K$7)^2)</f>
        <v>17.29855485</v>
      </c>
      <c r="BA2159" s="331">
        <f>SQRT(($R2159-Infrastructure!J$8)^2+($S2159-Infrastructure!K$8)^2)</f>
        <v>26.79178979</v>
      </c>
      <c r="BB2159" s="331">
        <f>SQRT(($R2159-Infrastructure!J$9)^2+($S2159-Infrastructure!K$9)^2)</f>
        <v>36.53505166</v>
      </c>
      <c r="BC2159" s="331">
        <f>SQRT(($R2159-Infrastructure!J$10)^2+($S2159-Infrastructure!K$10)^2)</f>
        <v>38.26878624</v>
      </c>
      <c r="BD2159" s="331">
        <f>SQRT(($R2159-Infrastructure!J$11)^2+($S2159-Infrastructure!K$11)^2)</f>
        <v>44.68937234</v>
      </c>
      <c r="BE2159" s="333">
        <f>SQRT(($R2159-Infrastructure!J$12)^2+($S2159-Infrastructure!K$12)^2)</f>
        <v>55.02726597</v>
      </c>
      <c r="BF2159" s="330">
        <f t="shared" si="161"/>
        <v>4.123105626</v>
      </c>
      <c r="BG2159" s="333">
        <f t="shared" si="162"/>
        <v>55.02726597</v>
      </c>
      <c r="BH2159" s="1119"/>
      <c r="BI2159" s="319" t="str">
        <f t="shared" ref="BI2159:BR2159" si="1170">IF(ISNUMBER(FIND(BI$3, $CO2159)), "Y", "")</f>
        <v/>
      </c>
      <c r="BJ2159" s="319" t="str">
        <f t="shared" si="1170"/>
        <v/>
      </c>
      <c r="BK2159" s="319" t="str">
        <f t="shared" si="1170"/>
        <v/>
      </c>
      <c r="BL2159" s="319" t="str">
        <f t="shared" si="1170"/>
        <v/>
      </c>
      <c r="BM2159" s="319" t="str">
        <f t="shared" si="1170"/>
        <v/>
      </c>
      <c r="BN2159" s="319" t="str">
        <f t="shared" si="1170"/>
        <v/>
      </c>
      <c r="BO2159" s="319" t="str">
        <f t="shared" si="1170"/>
        <v/>
      </c>
      <c r="BP2159" s="319" t="str">
        <f t="shared" si="1170"/>
        <v/>
      </c>
      <c r="BQ2159" s="319" t="str">
        <f t="shared" si="1170"/>
        <v/>
      </c>
      <c r="BR2159" s="319" t="str">
        <f t="shared" si="1170"/>
        <v/>
      </c>
      <c r="BS2159" s="330">
        <f t="shared" si="185"/>
        <v>0</v>
      </c>
      <c r="BT2159" s="331">
        <f t="shared" si="170"/>
        <v>0</v>
      </c>
      <c r="BU2159" s="920"/>
      <c r="BV2159" s="903" t="str">
        <f t="shared" si="186"/>
        <v/>
      </c>
      <c r="BW2159" s="908"/>
      <c r="BX2159" s="908"/>
      <c r="BY2159" s="331" t="b">
        <f t="shared" si="201"/>
        <v>0</v>
      </c>
      <c r="BZ2159" s="331"/>
      <c r="CA2159" s="462" t="str">
        <f t="shared" ref="CA2159:CJ2159" si="1171">IF(ISNUMBER(FIND(BI$3, $CP2159)), "Y", "")</f>
        <v/>
      </c>
      <c r="CB2159" s="319" t="str">
        <f t="shared" si="1171"/>
        <v/>
      </c>
      <c r="CC2159" s="319" t="str">
        <f t="shared" si="1171"/>
        <v/>
      </c>
      <c r="CD2159" s="319" t="str">
        <f t="shared" si="1171"/>
        <v/>
      </c>
      <c r="CE2159" s="319" t="str">
        <f t="shared" si="1171"/>
        <v/>
      </c>
      <c r="CF2159" s="319" t="str">
        <f t="shared" si="1171"/>
        <v/>
      </c>
      <c r="CG2159" s="319" t="str">
        <f t="shared" si="1171"/>
        <v/>
      </c>
      <c r="CH2159" s="319" t="str">
        <f t="shared" si="1171"/>
        <v/>
      </c>
      <c r="CI2159" s="319" t="str">
        <f t="shared" si="1171"/>
        <v/>
      </c>
      <c r="CJ2159" s="319" t="str">
        <f t="shared" si="1171"/>
        <v/>
      </c>
      <c r="CK2159" s="342">
        <f t="shared" si="182"/>
        <v>0</v>
      </c>
      <c r="CL2159" s="333">
        <f t="shared" si="183"/>
        <v>0</v>
      </c>
      <c r="CM2159" s="1079"/>
      <c r="CN2159" s="1005" t="s">
        <v>3211</v>
      </c>
      <c r="CO2159" s="1005"/>
      <c r="CP2159" s="1005"/>
    </row>
    <row r="2160">
      <c r="A2160" s="266"/>
      <c r="B2160" s="1113" t="s">
        <v>1832</v>
      </c>
      <c r="C2160" s="1107">
        <v>45638.0</v>
      </c>
      <c r="D2160" s="103"/>
      <c r="E2160" s="1137"/>
      <c r="F2160" s="112" t="s">
        <v>3216</v>
      </c>
      <c r="G2160" s="1110">
        <v>0.7213541666666666</v>
      </c>
      <c r="H2160" s="1138"/>
      <c r="I2160" s="1138"/>
      <c r="J2160" s="1139"/>
      <c r="K2160" s="1111">
        <v>0.7222222222222222</v>
      </c>
      <c r="L2160" s="1112">
        <v>8.680555555555555E-4</v>
      </c>
      <c r="M2160" s="1113" t="s">
        <v>166</v>
      </c>
      <c r="N2160" s="110" t="s">
        <v>188</v>
      </c>
      <c r="O2160" s="1140"/>
      <c r="P2160" s="1115" t="s">
        <v>292</v>
      </c>
      <c r="Q2160" s="1116"/>
      <c r="R2160" s="1141"/>
      <c r="S2160" s="1113"/>
      <c r="T2160" s="1143"/>
      <c r="U2160" s="1108" t="s">
        <v>323</v>
      </c>
      <c r="V2160" s="1108"/>
      <c r="W2160" s="1108"/>
      <c r="X2160" s="1108"/>
      <c r="Y2160" s="1108"/>
      <c r="Z2160" s="1114" t="s">
        <v>323</v>
      </c>
      <c r="AA2160" s="1114"/>
      <c r="AB2160" s="1114" t="s">
        <v>323</v>
      </c>
      <c r="AC2160" s="1117" t="s">
        <v>323</v>
      </c>
      <c r="AD2160" s="1115"/>
      <c r="AE2160" s="1115"/>
      <c r="AF2160" s="1115"/>
      <c r="AG2160" s="1115"/>
      <c r="AH2160" s="1115"/>
      <c r="AI2160" s="1115"/>
      <c r="AJ2160" s="1117"/>
      <c r="AK2160" s="1118"/>
      <c r="AL2160" s="1115"/>
      <c r="AM2160" s="1115"/>
      <c r="AN2160" s="1115"/>
      <c r="AO2160" s="1115"/>
      <c r="AP2160" s="1115"/>
      <c r="AQ2160" s="1115"/>
      <c r="AR2160" s="1115"/>
      <c r="AS2160" s="1117"/>
      <c r="AT2160" s="1196" t="str">
        <f t="shared" si="428"/>
        <v/>
      </c>
      <c r="AU2160" s="1193"/>
      <c r="AV2160" s="330">
        <f>SQRT(($R2160-Infrastructure!J$3)^2+($S2160-Infrastructure!K$3)^2)</f>
        <v>28.90155705</v>
      </c>
      <c r="AW2160" s="331">
        <f>SQRT(($R2160-Infrastructure!J$4)^2+($S2160-Infrastructure!K$4)^2)</f>
        <v>17.80252791</v>
      </c>
      <c r="AX2160" s="331">
        <f>SQRT(($R2160-Infrastructure!J$5)^2+($S2160-Infrastructure!K$5)^2)</f>
        <v>5.10881591</v>
      </c>
      <c r="AY2160" s="331">
        <f>SQRT(($R2160-Infrastructure!J$6)^2+($S2160-Infrastructure!K$6)^2)</f>
        <v>10.10445446</v>
      </c>
      <c r="AZ2160" s="331">
        <f>SQRT(($R2160-Infrastructure!J$7)^2+($S2160-Infrastructure!K$7)^2)</f>
        <v>20.502195</v>
      </c>
      <c r="BA2160" s="331">
        <f>SQRT(($R2160-Infrastructure!J$8)^2+($S2160-Infrastructure!K$8)^2)</f>
        <v>30.10149498</v>
      </c>
      <c r="BB2160" s="331">
        <f>SQRT(($R2160-Infrastructure!J$9)^2+($S2160-Infrastructure!K$9)^2)</f>
        <v>40.3238143</v>
      </c>
      <c r="BC2160" s="331">
        <f>SQRT(($R2160-Infrastructure!J$10)^2+($S2160-Infrastructure!K$10)^2)</f>
        <v>42.72001873</v>
      </c>
      <c r="BD2160" s="331">
        <f>SQRT(($R2160-Infrastructure!J$11)^2+($S2160-Infrastructure!K$11)^2)</f>
        <v>49.56853841</v>
      </c>
      <c r="BE2160" s="333">
        <f>SQRT(($R2160-Infrastructure!J$12)^2+($S2160-Infrastructure!K$12)^2)</f>
        <v>59.51890456</v>
      </c>
      <c r="BF2160" s="330">
        <f t="shared" si="161"/>
        <v>5.10881591</v>
      </c>
      <c r="BG2160" s="333">
        <f t="shared" si="162"/>
        <v>59.51890456</v>
      </c>
      <c r="BH2160" s="1119"/>
      <c r="BI2160" s="319" t="str">
        <f t="shared" ref="BI2160:BR2160" si="1172">IF(ISNUMBER(FIND(BI$3, $CO2160)), "Y", "")</f>
        <v>Y</v>
      </c>
      <c r="BJ2160" s="319" t="str">
        <f t="shared" si="1172"/>
        <v/>
      </c>
      <c r="BK2160" s="319" t="str">
        <f t="shared" si="1172"/>
        <v>Y</v>
      </c>
      <c r="BL2160" s="319" t="str">
        <f t="shared" si="1172"/>
        <v>Y</v>
      </c>
      <c r="BM2160" s="319" t="str">
        <f t="shared" si="1172"/>
        <v>Y</v>
      </c>
      <c r="BN2160" s="319" t="str">
        <f t="shared" si="1172"/>
        <v>Y</v>
      </c>
      <c r="BO2160" s="319" t="str">
        <f t="shared" si="1172"/>
        <v>Y</v>
      </c>
      <c r="BP2160" s="319" t="str">
        <f t="shared" si="1172"/>
        <v/>
      </c>
      <c r="BQ2160" s="319" t="str">
        <f t="shared" si="1172"/>
        <v>Y</v>
      </c>
      <c r="BR2160" s="319" t="str">
        <f t="shared" si="1172"/>
        <v>Y</v>
      </c>
      <c r="BS2160" s="330">
        <f t="shared" si="185"/>
        <v>5.10881591</v>
      </c>
      <c r="BT2160" s="331">
        <f t="shared" si="170"/>
        <v>59.51890456</v>
      </c>
      <c r="BU2160" s="920">
        <v>0.7220949074074074</v>
      </c>
      <c r="BV2160" s="903">
        <f t="shared" si="186"/>
        <v>0.0007407407407</v>
      </c>
      <c r="BW2160" s="908">
        <v>9.5</v>
      </c>
      <c r="BX2160" s="908">
        <v>36.4</v>
      </c>
      <c r="BY2160" s="331">
        <f t="shared" si="201"/>
        <v>37.61927697</v>
      </c>
      <c r="BZ2160" s="331"/>
      <c r="CA2160" s="462" t="str">
        <f t="shared" ref="CA2160:CJ2160" si="1173">IF(ISNUMBER(FIND(BI$3, $CP2160)), "Y", "")</f>
        <v/>
      </c>
      <c r="CB2160" s="319" t="str">
        <f t="shared" si="1173"/>
        <v/>
      </c>
      <c r="CC2160" s="319" t="str">
        <f t="shared" si="1173"/>
        <v/>
      </c>
      <c r="CD2160" s="319" t="str">
        <f t="shared" si="1173"/>
        <v/>
      </c>
      <c r="CE2160" s="319" t="str">
        <f t="shared" si="1173"/>
        <v/>
      </c>
      <c r="CF2160" s="319" t="str">
        <f t="shared" si="1173"/>
        <v/>
      </c>
      <c r="CG2160" s="319" t="str">
        <f t="shared" si="1173"/>
        <v/>
      </c>
      <c r="CH2160" s="319" t="str">
        <f t="shared" si="1173"/>
        <v/>
      </c>
      <c r="CI2160" s="319" t="str">
        <f t="shared" si="1173"/>
        <v/>
      </c>
      <c r="CJ2160" s="319" t="str">
        <f t="shared" si="1173"/>
        <v/>
      </c>
      <c r="CK2160" s="342">
        <f t="shared" si="182"/>
        <v>0</v>
      </c>
      <c r="CL2160" s="333">
        <f t="shared" si="183"/>
        <v>0</v>
      </c>
      <c r="CM2160" s="1079"/>
      <c r="CN2160" s="1005" t="s">
        <v>3211</v>
      </c>
      <c r="CO2160" s="1005" t="s">
        <v>2460</v>
      </c>
      <c r="CP2160" s="1005"/>
    </row>
    <row r="2161">
      <c r="A2161" s="1258"/>
      <c r="B2161" s="1129" t="s">
        <v>1832</v>
      </c>
      <c r="C2161" s="1122">
        <v>45638.0</v>
      </c>
      <c r="D2161" s="1123"/>
      <c r="E2161" s="1144"/>
      <c r="F2161" s="108" t="s">
        <v>3216</v>
      </c>
      <c r="G2161" s="1126">
        <v>0.725925925925926</v>
      </c>
      <c r="H2161" s="1145"/>
      <c r="I2161" s="1145"/>
      <c r="J2161" s="1146"/>
      <c r="K2161" s="1127">
        <v>0.7273148148148149</v>
      </c>
      <c r="L2161" s="1128">
        <v>0.001388888888888889</v>
      </c>
      <c r="M2161" s="1129" t="s">
        <v>358</v>
      </c>
      <c r="N2161" s="100" t="s">
        <v>188</v>
      </c>
      <c r="O2161" s="1161"/>
      <c r="P2161" s="1131" t="s">
        <v>294</v>
      </c>
      <c r="Q2161" s="1132"/>
      <c r="R2161" s="1148"/>
      <c r="S2161" s="1129"/>
      <c r="T2161" s="1150"/>
      <c r="U2161" s="1124" t="s">
        <v>323</v>
      </c>
      <c r="V2161" s="1124"/>
      <c r="W2161" s="1124"/>
      <c r="X2161" s="1124"/>
      <c r="Y2161" s="1124"/>
      <c r="Z2161" s="1130" t="s">
        <v>323</v>
      </c>
      <c r="AA2161" s="1130"/>
      <c r="AB2161" s="1130" t="s">
        <v>323</v>
      </c>
      <c r="AC2161" s="1133" t="s">
        <v>323</v>
      </c>
      <c r="AD2161" s="1131"/>
      <c r="AE2161" s="1131"/>
      <c r="AF2161" s="1131"/>
      <c r="AG2161" s="1131"/>
      <c r="AH2161" s="1131"/>
      <c r="AI2161" s="1131"/>
      <c r="AJ2161" s="1133"/>
      <c r="AK2161" s="1134"/>
      <c r="AL2161" s="1131"/>
      <c r="AM2161" s="1131"/>
      <c r="AN2161" s="1131"/>
      <c r="AO2161" s="1131"/>
      <c r="AP2161" s="1131"/>
      <c r="AQ2161" s="1131"/>
      <c r="AR2161" s="1131"/>
      <c r="AS2161" s="1133"/>
      <c r="AT2161" s="1197" t="str">
        <f t="shared" si="428"/>
        <v/>
      </c>
      <c r="AU2161" s="1194"/>
      <c r="AV2161" s="662">
        <f>SQRT(($R2161-Infrastructure!J$3)^2+($S2161-Infrastructure!K$3)^2)</f>
        <v>28.90155705</v>
      </c>
      <c r="AW2161" s="641">
        <f>SQRT(($R2161-Infrastructure!J$4)^2+($S2161-Infrastructure!K$4)^2)</f>
        <v>17.80252791</v>
      </c>
      <c r="AX2161" s="641">
        <f>SQRT(($R2161-Infrastructure!J$5)^2+($S2161-Infrastructure!K$5)^2)</f>
        <v>5.10881591</v>
      </c>
      <c r="AY2161" s="641">
        <f>SQRT(($R2161-Infrastructure!J$6)^2+($S2161-Infrastructure!K$6)^2)</f>
        <v>10.10445446</v>
      </c>
      <c r="AZ2161" s="641">
        <f>SQRT(($R2161-Infrastructure!J$7)^2+($S2161-Infrastructure!K$7)^2)</f>
        <v>20.502195</v>
      </c>
      <c r="BA2161" s="641">
        <f>SQRT(($R2161-Infrastructure!J$8)^2+($S2161-Infrastructure!K$8)^2)</f>
        <v>30.10149498</v>
      </c>
      <c r="BB2161" s="641">
        <f>SQRT(($R2161-Infrastructure!J$9)^2+($S2161-Infrastructure!K$9)^2)</f>
        <v>40.3238143</v>
      </c>
      <c r="BC2161" s="641">
        <f>SQRT(($R2161-Infrastructure!J$10)^2+($S2161-Infrastructure!K$10)^2)</f>
        <v>42.72001873</v>
      </c>
      <c r="BD2161" s="641">
        <f>SQRT(($R2161-Infrastructure!J$11)^2+($S2161-Infrastructure!K$11)^2)</f>
        <v>49.56853841</v>
      </c>
      <c r="BE2161" s="642">
        <f>SQRT(($R2161-Infrastructure!J$12)^2+($S2161-Infrastructure!K$12)^2)</f>
        <v>59.51890456</v>
      </c>
      <c r="BF2161" s="662">
        <f t="shared" si="161"/>
        <v>5.10881591</v>
      </c>
      <c r="BG2161" s="642">
        <f t="shared" si="162"/>
        <v>59.51890456</v>
      </c>
      <c r="BH2161" s="1135"/>
      <c r="BI2161" s="663" t="str">
        <f t="shared" ref="BI2161:BR2161" si="1174">IF(ISNUMBER(FIND(BI$3, $CO2161)), "Y", "")</f>
        <v/>
      </c>
      <c r="BJ2161" s="663" t="str">
        <f t="shared" si="1174"/>
        <v/>
      </c>
      <c r="BK2161" s="663" t="str">
        <f t="shared" si="1174"/>
        <v/>
      </c>
      <c r="BL2161" s="663" t="str">
        <f t="shared" si="1174"/>
        <v/>
      </c>
      <c r="BM2161" s="663" t="str">
        <f t="shared" si="1174"/>
        <v/>
      </c>
      <c r="BN2161" s="663" t="str">
        <f t="shared" si="1174"/>
        <v/>
      </c>
      <c r="BO2161" s="663" t="str">
        <f t="shared" si="1174"/>
        <v/>
      </c>
      <c r="BP2161" s="663" t="str">
        <f t="shared" si="1174"/>
        <v/>
      </c>
      <c r="BQ2161" s="663" t="str">
        <f t="shared" si="1174"/>
        <v/>
      </c>
      <c r="BR2161" s="663" t="str">
        <f t="shared" si="1174"/>
        <v/>
      </c>
      <c r="BS2161" s="662">
        <f t="shared" si="185"/>
        <v>0</v>
      </c>
      <c r="BT2161" s="641">
        <f t="shared" si="170"/>
        <v>0</v>
      </c>
      <c r="BU2161" s="937"/>
      <c r="BV2161" s="930" t="str">
        <f t="shared" si="186"/>
        <v/>
      </c>
      <c r="BW2161" s="939"/>
      <c r="BX2161" s="939"/>
      <c r="BY2161" s="641" t="b">
        <f t="shared" si="201"/>
        <v>0</v>
      </c>
      <c r="BZ2161" s="641"/>
      <c r="CA2161" s="635" t="str">
        <f t="shared" ref="CA2161:CJ2161" si="1175">IF(ISNUMBER(FIND(BI$3, $CP2161)), "Y", "")</f>
        <v/>
      </c>
      <c r="CB2161" s="663" t="str">
        <f t="shared" si="1175"/>
        <v/>
      </c>
      <c r="CC2161" s="663" t="str">
        <f t="shared" si="1175"/>
        <v/>
      </c>
      <c r="CD2161" s="663" t="str">
        <f t="shared" si="1175"/>
        <v/>
      </c>
      <c r="CE2161" s="663" t="str">
        <f t="shared" si="1175"/>
        <v/>
      </c>
      <c r="CF2161" s="663" t="str">
        <f t="shared" si="1175"/>
        <v/>
      </c>
      <c r="CG2161" s="663" t="str">
        <f t="shared" si="1175"/>
        <v/>
      </c>
      <c r="CH2161" s="663" t="str">
        <f t="shared" si="1175"/>
        <v/>
      </c>
      <c r="CI2161" s="663" t="str">
        <f t="shared" si="1175"/>
        <v/>
      </c>
      <c r="CJ2161" s="663" t="str">
        <f t="shared" si="1175"/>
        <v/>
      </c>
      <c r="CK2161" s="743">
        <f t="shared" si="182"/>
        <v>0</v>
      </c>
      <c r="CL2161" s="642">
        <f t="shared" si="183"/>
        <v>0</v>
      </c>
      <c r="CM2161" s="1090"/>
      <c r="CN2161" s="1036" t="s">
        <v>3211</v>
      </c>
      <c r="CO2161" s="1036"/>
      <c r="CP2161" s="1036"/>
    </row>
    <row r="2162">
      <c r="A2162" s="1257" t="s">
        <v>150</v>
      </c>
      <c r="B2162" s="1113" t="s">
        <v>3217</v>
      </c>
      <c r="C2162" s="1107">
        <v>45642.0</v>
      </c>
      <c r="D2162" s="103"/>
      <c r="E2162" s="1108">
        <v>1.0</v>
      </c>
      <c r="F2162" s="112" t="s">
        <v>3218</v>
      </c>
      <c r="G2162" s="1110">
        <v>0.44027777777777777</v>
      </c>
      <c r="H2162" s="1138"/>
      <c r="I2162" s="1138"/>
      <c r="J2162" s="1139"/>
      <c r="K2162" s="1111">
        <v>0.4409722222222222</v>
      </c>
      <c r="L2162" s="1112">
        <v>6.944444444444445E-4</v>
      </c>
      <c r="M2162" s="1113" t="s">
        <v>166</v>
      </c>
      <c r="N2162" s="110" t="s">
        <v>187</v>
      </c>
      <c r="O2162" s="1115" t="s">
        <v>204</v>
      </c>
      <c r="P2162" s="1115" t="s">
        <v>256</v>
      </c>
      <c r="Q2162" s="1116"/>
      <c r="R2162" s="120">
        <v>18.7</v>
      </c>
      <c r="S2162" s="1113">
        <v>4.1</v>
      </c>
      <c r="T2162" s="110">
        <v>1.2</v>
      </c>
      <c r="U2162" s="1108">
        <v>8.0</v>
      </c>
      <c r="V2162" s="1108"/>
      <c r="W2162" s="1108"/>
      <c r="X2162" s="1108"/>
      <c r="Y2162" s="1108"/>
      <c r="Z2162" s="1114" t="s">
        <v>365</v>
      </c>
      <c r="AA2162" s="1114"/>
      <c r="AB2162" s="1114" t="s">
        <v>349</v>
      </c>
      <c r="AC2162" s="1117">
        <v>5.0</v>
      </c>
      <c r="AD2162" s="1115"/>
      <c r="AE2162" s="1115"/>
      <c r="AF2162" s="1115"/>
      <c r="AG2162" s="1115"/>
      <c r="AH2162" s="1115"/>
      <c r="AI2162" s="1115"/>
      <c r="AJ2162" s="1117"/>
      <c r="AK2162" s="1118"/>
      <c r="AL2162" s="1115"/>
      <c r="AM2162" s="1115"/>
      <c r="AN2162" s="1115"/>
      <c r="AO2162" s="1115"/>
      <c r="AP2162" s="1115"/>
      <c r="AQ2162" s="1115"/>
      <c r="AR2162" s="1115"/>
      <c r="AS2162" s="1117"/>
      <c r="AT2162" s="1196" t="str">
        <f t="shared" si="428"/>
        <v>1-10</v>
      </c>
      <c r="AU2162" s="1193"/>
      <c r="AV2162" s="330">
        <f>SQRT(($R2162-Infrastructure!J$3)^2+($S2162-Infrastructure!K$3)^2)</f>
        <v>31.24163888</v>
      </c>
      <c r="AW2162" s="331">
        <f>SQRT(($R2162-Infrastructure!J$4)^2+($S2162-Infrastructure!K$4)^2)</f>
        <v>23.42413285</v>
      </c>
      <c r="AX2162" s="331">
        <f>SQRT(($R2162-Infrastructure!J$5)^2+($S2162-Infrastructure!K$5)^2)</f>
        <v>19.02629759</v>
      </c>
      <c r="AY2162" s="331">
        <f>SQRT(($R2162-Infrastructure!J$6)^2+($S2162-Infrastructure!K$6)^2)</f>
        <v>9.402127419</v>
      </c>
      <c r="AZ2162" s="331">
        <f>SQRT(($R2162-Infrastructure!J$7)^2+($S2162-Infrastructure!K$7)^2)</f>
        <v>4.204759208</v>
      </c>
      <c r="BA2162" s="331">
        <f>SQRT(($R2162-Infrastructure!J$8)^2+($S2162-Infrastructure!K$8)^2)</f>
        <v>12.01665511</v>
      </c>
      <c r="BB2162" s="331">
        <f>SQRT(($R2162-Infrastructure!J$9)^2+($S2162-Infrastructure!K$9)^2)</f>
        <v>21.32346126</v>
      </c>
      <c r="BC2162" s="331">
        <f>SQRT(($R2162-Infrastructure!J$10)^2+($S2162-Infrastructure!K$10)^2)</f>
        <v>23.92697223</v>
      </c>
      <c r="BD2162" s="331">
        <f>SQRT(($R2162-Infrastructure!J$11)^2+($S2162-Infrastructure!K$11)^2)</f>
        <v>32.89772029</v>
      </c>
      <c r="BE2162" s="333">
        <f>SQRT(($R2162-Infrastructure!J$12)^2+($S2162-Infrastructure!K$12)^2)</f>
        <v>51.4762081</v>
      </c>
      <c r="BF2162" s="330">
        <f t="shared" si="161"/>
        <v>4.204759208</v>
      </c>
      <c r="BG2162" s="333">
        <f t="shared" si="162"/>
        <v>51.4762081</v>
      </c>
      <c r="BH2162" s="1119"/>
      <c r="BI2162" s="319" t="str">
        <f t="shared" ref="BI2162:BR2162" si="1176">IF(ISNUMBER(FIND(BI$3, $CO2162)), "Y", "")</f>
        <v>Y</v>
      </c>
      <c r="BJ2162" s="319" t="str">
        <f t="shared" si="1176"/>
        <v/>
      </c>
      <c r="BK2162" s="319" t="str">
        <f t="shared" si="1176"/>
        <v>Y</v>
      </c>
      <c r="BL2162" s="319" t="str">
        <f t="shared" si="1176"/>
        <v>Y</v>
      </c>
      <c r="BM2162" s="319" t="str">
        <f t="shared" si="1176"/>
        <v>Y</v>
      </c>
      <c r="BN2162" s="319" t="str">
        <f t="shared" si="1176"/>
        <v>Y</v>
      </c>
      <c r="BO2162" s="319" t="str">
        <f t="shared" si="1176"/>
        <v>Y</v>
      </c>
      <c r="BP2162" s="319" t="str">
        <f t="shared" si="1176"/>
        <v/>
      </c>
      <c r="BQ2162" s="319" t="str">
        <f t="shared" si="1176"/>
        <v>Y</v>
      </c>
      <c r="BR2162" s="319" t="str">
        <f t="shared" si="1176"/>
        <v>Y</v>
      </c>
      <c r="BS2162" s="330">
        <f t="shared" si="185"/>
        <v>4.204759208</v>
      </c>
      <c r="BT2162" s="331">
        <f t="shared" si="170"/>
        <v>51.4762081</v>
      </c>
      <c r="BU2162" s="920">
        <v>0.4407986111111111</v>
      </c>
      <c r="BV2162" s="903">
        <f t="shared" si="186"/>
        <v>0.0005208333333</v>
      </c>
      <c r="BW2162" s="908">
        <v>21.3</v>
      </c>
      <c r="BX2162" s="908">
        <v>6.8</v>
      </c>
      <c r="BY2162" s="331">
        <f t="shared" si="201"/>
        <v>3.748332963</v>
      </c>
      <c r="BZ2162" s="331"/>
      <c r="CA2162" s="462" t="str">
        <f t="shared" ref="CA2162:CJ2162" si="1177">IF(ISNUMBER(FIND(BI$3, $CP2162)), "Y", "")</f>
        <v/>
      </c>
      <c r="CB2162" s="319" t="str">
        <f t="shared" si="1177"/>
        <v/>
      </c>
      <c r="CC2162" s="319" t="str">
        <f t="shared" si="1177"/>
        <v/>
      </c>
      <c r="CD2162" s="319" t="str">
        <f t="shared" si="1177"/>
        <v/>
      </c>
      <c r="CE2162" s="319" t="str">
        <f t="shared" si="1177"/>
        <v/>
      </c>
      <c r="CF2162" s="319" t="str">
        <f t="shared" si="1177"/>
        <v/>
      </c>
      <c r="CG2162" s="319" t="str">
        <f t="shared" si="1177"/>
        <v/>
      </c>
      <c r="CH2162" s="319" t="str">
        <f t="shared" si="1177"/>
        <v/>
      </c>
      <c r="CI2162" s="319" t="str">
        <f t="shared" si="1177"/>
        <v/>
      </c>
      <c r="CJ2162" s="319" t="str">
        <f t="shared" si="1177"/>
        <v/>
      </c>
      <c r="CK2162" s="342">
        <f t="shared" si="182"/>
        <v>0</v>
      </c>
      <c r="CL2162" s="333">
        <f t="shared" si="183"/>
        <v>0</v>
      </c>
      <c r="CM2162" s="1079" t="s">
        <v>3219</v>
      </c>
      <c r="CN2162" s="1005" t="s">
        <v>3220</v>
      </c>
      <c r="CO2162" s="1005" t="s">
        <v>2460</v>
      </c>
      <c r="CP2162" s="1005"/>
    </row>
    <row r="2163">
      <c r="A2163" s="266"/>
      <c r="B2163" s="1113" t="s">
        <v>3217</v>
      </c>
      <c r="C2163" s="1107">
        <v>45642.0</v>
      </c>
      <c r="D2163" s="103"/>
      <c r="E2163" s="1108">
        <v>2.0</v>
      </c>
      <c r="F2163" s="112" t="s">
        <v>3221</v>
      </c>
      <c r="G2163" s="1110">
        <v>0.453125</v>
      </c>
      <c r="H2163" s="1110">
        <v>0.45358796296296294</v>
      </c>
      <c r="I2163" s="1110"/>
      <c r="J2163" s="1111"/>
      <c r="K2163" s="1111">
        <v>0.45416666666666666</v>
      </c>
      <c r="L2163" s="1112">
        <v>5.787037037037037E-4</v>
      </c>
      <c r="M2163" s="1113" t="s">
        <v>166</v>
      </c>
      <c r="N2163" s="110" t="s">
        <v>187</v>
      </c>
      <c r="O2163" s="1115" t="s">
        <v>204</v>
      </c>
      <c r="P2163" s="1115" t="s">
        <v>256</v>
      </c>
      <c r="Q2163" s="1116"/>
      <c r="R2163" s="120">
        <v>18.7</v>
      </c>
      <c r="S2163" s="1113">
        <v>4.1</v>
      </c>
      <c r="T2163" s="110">
        <v>1.2</v>
      </c>
      <c r="U2163" s="1108">
        <v>6.0</v>
      </c>
      <c r="V2163" s="1108"/>
      <c r="W2163" s="1108"/>
      <c r="X2163" s="1108"/>
      <c r="Y2163" s="1108"/>
      <c r="Z2163" s="1114" t="s">
        <v>339</v>
      </c>
      <c r="AA2163" s="1114"/>
      <c r="AB2163" s="1114" t="s">
        <v>349</v>
      </c>
      <c r="AC2163" s="1117">
        <v>5.0</v>
      </c>
      <c r="AD2163" s="1115"/>
      <c r="AE2163" s="1115"/>
      <c r="AF2163" s="1115"/>
      <c r="AG2163" s="1115"/>
      <c r="AH2163" s="1115"/>
      <c r="AI2163" s="1115"/>
      <c r="AJ2163" s="1117"/>
      <c r="AK2163" s="1118"/>
      <c r="AL2163" s="1115"/>
      <c r="AM2163" s="1115"/>
      <c r="AN2163" s="1115"/>
      <c r="AO2163" s="1115"/>
      <c r="AP2163" s="1115"/>
      <c r="AQ2163" s="1115"/>
      <c r="AR2163" s="1115"/>
      <c r="AS2163" s="1117"/>
      <c r="AT2163" s="1196" t="str">
        <f t="shared" si="428"/>
        <v>1-10</v>
      </c>
      <c r="AU2163" s="1193"/>
      <c r="AV2163" s="330">
        <f>SQRT(($R2163-Infrastructure!J$3)^2+($S2163-Infrastructure!K$3)^2)</f>
        <v>31.24163888</v>
      </c>
      <c r="AW2163" s="331">
        <f>SQRT(($R2163-Infrastructure!J$4)^2+($S2163-Infrastructure!K$4)^2)</f>
        <v>23.42413285</v>
      </c>
      <c r="AX2163" s="331">
        <f>SQRT(($R2163-Infrastructure!J$5)^2+($S2163-Infrastructure!K$5)^2)</f>
        <v>19.02629759</v>
      </c>
      <c r="AY2163" s="331">
        <f>SQRT(($R2163-Infrastructure!J$6)^2+($S2163-Infrastructure!K$6)^2)</f>
        <v>9.402127419</v>
      </c>
      <c r="AZ2163" s="331">
        <f>SQRT(($R2163-Infrastructure!J$7)^2+($S2163-Infrastructure!K$7)^2)</f>
        <v>4.204759208</v>
      </c>
      <c r="BA2163" s="331">
        <f>SQRT(($R2163-Infrastructure!J$8)^2+($S2163-Infrastructure!K$8)^2)</f>
        <v>12.01665511</v>
      </c>
      <c r="BB2163" s="331">
        <f>SQRT(($R2163-Infrastructure!J$9)^2+($S2163-Infrastructure!K$9)^2)</f>
        <v>21.32346126</v>
      </c>
      <c r="BC2163" s="331">
        <f>SQRT(($R2163-Infrastructure!J$10)^2+($S2163-Infrastructure!K$10)^2)</f>
        <v>23.92697223</v>
      </c>
      <c r="BD2163" s="331">
        <f>SQRT(($R2163-Infrastructure!J$11)^2+($S2163-Infrastructure!K$11)^2)</f>
        <v>32.89772029</v>
      </c>
      <c r="BE2163" s="333">
        <f>SQRT(($R2163-Infrastructure!J$12)^2+($S2163-Infrastructure!K$12)^2)</f>
        <v>51.4762081</v>
      </c>
      <c r="BF2163" s="330">
        <f t="shared" si="161"/>
        <v>4.204759208</v>
      </c>
      <c r="BG2163" s="333">
        <f t="shared" si="162"/>
        <v>51.4762081</v>
      </c>
      <c r="BH2163" s="1119"/>
      <c r="BI2163" s="319" t="str">
        <f t="shared" ref="BI2163:BR2163" si="1178">IF(ISNUMBER(FIND(BI$3, $CO2163)), "Y", "")</f>
        <v>Y</v>
      </c>
      <c r="BJ2163" s="319" t="str">
        <f t="shared" si="1178"/>
        <v/>
      </c>
      <c r="BK2163" s="319" t="str">
        <f t="shared" si="1178"/>
        <v>Y</v>
      </c>
      <c r="BL2163" s="319" t="str">
        <f t="shared" si="1178"/>
        <v>Y</v>
      </c>
      <c r="BM2163" s="319" t="str">
        <f t="shared" si="1178"/>
        <v>Y</v>
      </c>
      <c r="BN2163" s="319" t="str">
        <f t="shared" si="1178"/>
        <v>Y</v>
      </c>
      <c r="BO2163" s="319" t="str">
        <f t="shared" si="1178"/>
        <v>Y</v>
      </c>
      <c r="BP2163" s="319" t="str">
        <f t="shared" si="1178"/>
        <v/>
      </c>
      <c r="BQ2163" s="319" t="str">
        <f t="shared" si="1178"/>
        <v>Y</v>
      </c>
      <c r="BR2163" s="319" t="str">
        <f t="shared" si="1178"/>
        <v>Y</v>
      </c>
      <c r="BS2163" s="330">
        <f t="shared" si="185"/>
        <v>4.204759208</v>
      </c>
      <c r="BT2163" s="331">
        <f t="shared" si="170"/>
        <v>51.4762081</v>
      </c>
      <c r="BU2163" s="920">
        <v>0.4536921296296296</v>
      </c>
      <c r="BV2163" s="903">
        <f t="shared" si="186"/>
        <v>0.0005671296296</v>
      </c>
      <c r="BW2163" s="908">
        <v>20.0</v>
      </c>
      <c r="BX2163" s="908">
        <v>7.9</v>
      </c>
      <c r="BY2163" s="331">
        <f t="shared" si="201"/>
        <v>4.016217126</v>
      </c>
      <c r="BZ2163" s="331"/>
      <c r="CA2163" s="462" t="str">
        <f t="shared" ref="CA2163:CJ2163" si="1179">IF(ISNUMBER(FIND(BI$3, $CP2163)), "Y", "")</f>
        <v/>
      </c>
      <c r="CB2163" s="319" t="str">
        <f t="shared" si="1179"/>
        <v/>
      </c>
      <c r="CC2163" s="319" t="str">
        <f t="shared" si="1179"/>
        <v/>
      </c>
      <c r="CD2163" s="319" t="str">
        <f t="shared" si="1179"/>
        <v/>
      </c>
      <c r="CE2163" s="319" t="str">
        <f t="shared" si="1179"/>
        <v/>
      </c>
      <c r="CF2163" s="319" t="str">
        <f t="shared" si="1179"/>
        <v/>
      </c>
      <c r="CG2163" s="319" t="str">
        <f t="shared" si="1179"/>
        <v/>
      </c>
      <c r="CH2163" s="319" t="str">
        <f t="shared" si="1179"/>
        <v/>
      </c>
      <c r="CI2163" s="319" t="str">
        <f t="shared" si="1179"/>
        <v/>
      </c>
      <c r="CJ2163" s="319" t="str">
        <f t="shared" si="1179"/>
        <v/>
      </c>
      <c r="CK2163" s="342">
        <f t="shared" si="182"/>
        <v>0</v>
      </c>
      <c r="CL2163" s="333">
        <f t="shared" si="183"/>
        <v>0</v>
      </c>
      <c r="CM2163" s="1079"/>
      <c r="CN2163" s="1005" t="s">
        <v>3220</v>
      </c>
      <c r="CO2163" s="1005" t="s">
        <v>2460</v>
      </c>
      <c r="CP2163" s="1005"/>
    </row>
    <row r="2164">
      <c r="A2164" s="266"/>
      <c r="B2164" s="1113" t="s">
        <v>3217</v>
      </c>
      <c r="C2164" s="1107">
        <v>45642.0</v>
      </c>
      <c r="D2164" s="103"/>
      <c r="E2164" s="1108">
        <v>3.0</v>
      </c>
      <c r="F2164" s="112" t="s">
        <v>3222</v>
      </c>
      <c r="G2164" s="1110">
        <v>0.4605902777777778</v>
      </c>
      <c r="H2164" s="1110">
        <v>0.4608217592592593</v>
      </c>
      <c r="I2164" s="1110"/>
      <c r="J2164" s="1111"/>
      <c r="K2164" s="1111">
        <v>0.4618055555555556</v>
      </c>
      <c r="L2164" s="1112">
        <v>9.837962962962962E-4</v>
      </c>
      <c r="M2164" s="1113" t="s">
        <v>166</v>
      </c>
      <c r="N2164" s="110" t="s">
        <v>187</v>
      </c>
      <c r="O2164" s="1115" t="s">
        <v>204</v>
      </c>
      <c r="P2164" s="1115" t="s">
        <v>256</v>
      </c>
      <c r="Q2164" s="1116"/>
      <c r="R2164" s="120">
        <v>18.7</v>
      </c>
      <c r="S2164" s="1113">
        <v>4.1</v>
      </c>
      <c r="T2164" s="110">
        <v>1.2</v>
      </c>
      <c r="U2164" s="1108">
        <v>6.0</v>
      </c>
      <c r="V2164" s="1108"/>
      <c r="W2164" s="1108"/>
      <c r="X2164" s="1108"/>
      <c r="Y2164" s="1108"/>
      <c r="Z2164" s="1114" t="s">
        <v>339</v>
      </c>
      <c r="AA2164" s="1114"/>
      <c r="AB2164" s="1114" t="s">
        <v>349</v>
      </c>
      <c r="AC2164" s="1117">
        <v>5.0</v>
      </c>
      <c r="AD2164" s="1115"/>
      <c r="AE2164" s="1115"/>
      <c r="AF2164" s="1115"/>
      <c r="AG2164" s="1115"/>
      <c r="AH2164" s="1115"/>
      <c r="AI2164" s="1115"/>
      <c r="AJ2164" s="1117"/>
      <c r="AK2164" s="1118"/>
      <c r="AL2164" s="1115"/>
      <c r="AM2164" s="1115"/>
      <c r="AN2164" s="1115"/>
      <c r="AO2164" s="1115"/>
      <c r="AP2164" s="1115"/>
      <c r="AQ2164" s="1115"/>
      <c r="AR2164" s="1115"/>
      <c r="AS2164" s="1117"/>
      <c r="AT2164" s="1196" t="str">
        <f t="shared" si="428"/>
        <v>1-10</v>
      </c>
      <c r="AU2164" s="1193"/>
      <c r="AV2164" s="330">
        <f>SQRT(($R2164-Infrastructure!J$3)^2+($S2164-Infrastructure!K$3)^2)</f>
        <v>31.24163888</v>
      </c>
      <c r="AW2164" s="331">
        <f>SQRT(($R2164-Infrastructure!J$4)^2+($S2164-Infrastructure!K$4)^2)</f>
        <v>23.42413285</v>
      </c>
      <c r="AX2164" s="331">
        <f>SQRT(($R2164-Infrastructure!J$5)^2+($S2164-Infrastructure!K$5)^2)</f>
        <v>19.02629759</v>
      </c>
      <c r="AY2164" s="331">
        <f>SQRT(($R2164-Infrastructure!J$6)^2+($S2164-Infrastructure!K$6)^2)</f>
        <v>9.402127419</v>
      </c>
      <c r="AZ2164" s="331">
        <f>SQRT(($R2164-Infrastructure!J$7)^2+($S2164-Infrastructure!K$7)^2)</f>
        <v>4.204759208</v>
      </c>
      <c r="BA2164" s="331">
        <f>SQRT(($R2164-Infrastructure!J$8)^2+($S2164-Infrastructure!K$8)^2)</f>
        <v>12.01665511</v>
      </c>
      <c r="BB2164" s="331">
        <f>SQRT(($R2164-Infrastructure!J$9)^2+($S2164-Infrastructure!K$9)^2)</f>
        <v>21.32346126</v>
      </c>
      <c r="BC2164" s="331">
        <f>SQRT(($R2164-Infrastructure!J$10)^2+($S2164-Infrastructure!K$10)^2)</f>
        <v>23.92697223</v>
      </c>
      <c r="BD2164" s="331">
        <f>SQRT(($R2164-Infrastructure!J$11)^2+($S2164-Infrastructure!K$11)^2)</f>
        <v>32.89772029</v>
      </c>
      <c r="BE2164" s="333">
        <f>SQRT(($R2164-Infrastructure!J$12)^2+($S2164-Infrastructure!K$12)^2)</f>
        <v>51.4762081</v>
      </c>
      <c r="BF2164" s="330">
        <f t="shared" si="161"/>
        <v>4.204759208</v>
      </c>
      <c r="BG2164" s="333">
        <f t="shared" si="162"/>
        <v>51.4762081</v>
      </c>
      <c r="BH2164" s="1119"/>
      <c r="BI2164" s="319" t="str">
        <f t="shared" ref="BI2164:BR2164" si="1180">IF(ISNUMBER(FIND(BI$3, $CO2164)), "Y", "")</f>
        <v>Y</v>
      </c>
      <c r="BJ2164" s="319" t="str">
        <f t="shared" si="1180"/>
        <v/>
      </c>
      <c r="BK2164" s="319" t="str">
        <f t="shared" si="1180"/>
        <v>Y</v>
      </c>
      <c r="BL2164" s="319" t="str">
        <f t="shared" si="1180"/>
        <v>Y</v>
      </c>
      <c r="BM2164" s="319" t="str">
        <f t="shared" si="1180"/>
        <v>Y</v>
      </c>
      <c r="BN2164" s="319" t="str">
        <f t="shared" si="1180"/>
        <v>Y</v>
      </c>
      <c r="BO2164" s="319" t="str">
        <f t="shared" si="1180"/>
        <v>Y</v>
      </c>
      <c r="BP2164" s="319" t="str">
        <f t="shared" si="1180"/>
        <v/>
      </c>
      <c r="BQ2164" s="319" t="str">
        <f t="shared" si="1180"/>
        <v>Y</v>
      </c>
      <c r="BR2164" s="319" t="str">
        <f t="shared" si="1180"/>
        <v>Y</v>
      </c>
      <c r="BS2164" s="330">
        <f t="shared" si="185"/>
        <v>4.204759208</v>
      </c>
      <c r="BT2164" s="331">
        <f t="shared" si="170"/>
        <v>51.4762081</v>
      </c>
      <c r="BU2164" s="920">
        <v>0.46119212962962963</v>
      </c>
      <c r="BV2164" s="903">
        <f t="shared" si="186"/>
        <v>0.0006018518519</v>
      </c>
      <c r="BW2164" s="908">
        <v>20.4</v>
      </c>
      <c r="BX2164" s="908">
        <v>7.4</v>
      </c>
      <c r="BY2164" s="331">
        <f t="shared" si="201"/>
        <v>3.712142239</v>
      </c>
      <c r="BZ2164" s="331"/>
      <c r="CA2164" s="462" t="str">
        <f t="shared" ref="CA2164:CJ2164" si="1181">IF(ISNUMBER(FIND(BI$3, $CP2164)), "Y", "")</f>
        <v/>
      </c>
      <c r="CB2164" s="319" t="str">
        <f t="shared" si="1181"/>
        <v/>
      </c>
      <c r="CC2164" s="319" t="str">
        <f t="shared" si="1181"/>
        <v/>
      </c>
      <c r="CD2164" s="319" t="str">
        <f t="shared" si="1181"/>
        <v/>
      </c>
      <c r="CE2164" s="319" t="str">
        <f t="shared" si="1181"/>
        <v/>
      </c>
      <c r="CF2164" s="319" t="str">
        <f t="shared" si="1181"/>
        <v/>
      </c>
      <c r="CG2164" s="319" t="str">
        <f t="shared" si="1181"/>
        <v/>
      </c>
      <c r="CH2164" s="319" t="str">
        <f t="shared" si="1181"/>
        <v/>
      </c>
      <c r="CI2164" s="319" t="str">
        <f t="shared" si="1181"/>
        <v/>
      </c>
      <c r="CJ2164" s="319" t="str">
        <f t="shared" si="1181"/>
        <v/>
      </c>
      <c r="CK2164" s="342">
        <f t="shared" si="182"/>
        <v>0</v>
      </c>
      <c r="CL2164" s="333">
        <f t="shared" si="183"/>
        <v>0</v>
      </c>
      <c r="CM2164" s="1079"/>
      <c r="CN2164" s="1005" t="s">
        <v>3220</v>
      </c>
      <c r="CO2164" s="1005" t="s">
        <v>2460</v>
      </c>
      <c r="CP2164" s="1005"/>
    </row>
    <row r="2165">
      <c r="A2165" s="266"/>
      <c r="B2165" s="1113" t="s">
        <v>3217</v>
      </c>
      <c r="C2165" s="1107">
        <v>45642.0</v>
      </c>
      <c r="D2165" s="103"/>
      <c r="E2165" s="1108">
        <v>4.0</v>
      </c>
      <c r="F2165" s="112" t="s">
        <v>3223</v>
      </c>
      <c r="G2165" s="1110">
        <v>0.46493055555555557</v>
      </c>
      <c r="H2165" s="1110">
        <v>0.4652777777777778</v>
      </c>
      <c r="I2165" s="1110"/>
      <c r="J2165" s="1111"/>
      <c r="K2165" s="1111">
        <v>0.46597222222222223</v>
      </c>
      <c r="L2165" s="1112">
        <v>6.944444444444445E-4</v>
      </c>
      <c r="M2165" s="1113" t="s">
        <v>166</v>
      </c>
      <c r="N2165" s="110" t="s">
        <v>187</v>
      </c>
      <c r="O2165" s="1115" t="s">
        <v>204</v>
      </c>
      <c r="P2165" s="1115" t="s">
        <v>256</v>
      </c>
      <c r="Q2165" s="1116"/>
      <c r="R2165" s="120">
        <v>18.7</v>
      </c>
      <c r="S2165" s="1113">
        <v>4.1</v>
      </c>
      <c r="T2165" s="110">
        <v>1.2</v>
      </c>
      <c r="U2165" s="1108">
        <v>3.0</v>
      </c>
      <c r="V2165" s="1108"/>
      <c r="W2165" s="1108"/>
      <c r="X2165" s="1108"/>
      <c r="Y2165" s="1108"/>
      <c r="Z2165" s="1114" t="s">
        <v>339</v>
      </c>
      <c r="AA2165" s="1114"/>
      <c r="AB2165" s="1114" t="s">
        <v>349</v>
      </c>
      <c r="AC2165" s="1117">
        <v>5.0</v>
      </c>
      <c r="AD2165" s="1115"/>
      <c r="AE2165" s="1115"/>
      <c r="AF2165" s="1115"/>
      <c r="AG2165" s="1115"/>
      <c r="AH2165" s="1115"/>
      <c r="AI2165" s="1115"/>
      <c r="AJ2165" s="1117"/>
      <c r="AK2165" s="1118"/>
      <c r="AL2165" s="1115"/>
      <c r="AM2165" s="1115"/>
      <c r="AN2165" s="1115"/>
      <c r="AO2165" s="1115"/>
      <c r="AP2165" s="1115"/>
      <c r="AQ2165" s="1115"/>
      <c r="AR2165" s="1115"/>
      <c r="AS2165" s="1117"/>
      <c r="AT2165" s="1196" t="str">
        <f t="shared" si="428"/>
        <v>1-10</v>
      </c>
      <c r="AU2165" s="1193"/>
      <c r="AV2165" s="330">
        <f>SQRT(($R2165-Infrastructure!J$3)^2+($S2165-Infrastructure!K$3)^2)</f>
        <v>31.24163888</v>
      </c>
      <c r="AW2165" s="331">
        <f>SQRT(($R2165-Infrastructure!J$4)^2+($S2165-Infrastructure!K$4)^2)</f>
        <v>23.42413285</v>
      </c>
      <c r="AX2165" s="331">
        <f>SQRT(($R2165-Infrastructure!J$5)^2+($S2165-Infrastructure!K$5)^2)</f>
        <v>19.02629759</v>
      </c>
      <c r="AY2165" s="331">
        <f>SQRT(($R2165-Infrastructure!J$6)^2+($S2165-Infrastructure!K$6)^2)</f>
        <v>9.402127419</v>
      </c>
      <c r="AZ2165" s="331">
        <f>SQRT(($R2165-Infrastructure!J$7)^2+($S2165-Infrastructure!K$7)^2)</f>
        <v>4.204759208</v>
      </c>
      <c r="BA2165" s="331">
        <f>SQRT(($R2165-Infrastructure!J$8)^2+($S2165-Infrastructure!K$8)^2)</f>
        <v>12.01665511</v>
      </c>
      <c r="BB2165" s="331">
        <f>SQRT(($R2165-Infrastructure!J$9)^2+($S2165-Infrastructure!K$9)^2)</f>
        <v>21.32346126</v>
      </c>
      <c r="BC2165" s="331">
        <f>SQRT(($R2165-Infrastructure!J$10)^2+($S2165-Infrastructure!K$10)^2)</f>
        <v>23.92697223</v>
      </c>
      <c r="BD2165" s="331">
        <f>SQRT(($R2165-Infrastructure!J$11)^2+($S2165-Infrastructure!K$11)^2)</f>
        <v>32.89772029</v>
      </c>
      <c r="BE2165" s="333">
        <f>SQRT(($R2165-Infrastructure!J$12)^2+($S2165-Infrastructure!K$12)^2)</f>
        <v>51.4762081</v>
      </c>
      <c r="BF2165" s="330">
        <f t="shared" si="161"/>
        <v>4.204759208</v>
      </c>
      <c r="BG2165" s="333">
        <f t="shared" si="162"/>
        <v>51.4762081</v>
      </c>
      <c r="BH2165" s="1119"/>
      <c r="BI2165" s="319" t="str">
        <f t="shared" ref="BI2165:BR2165" si="1182">IF(ISNUMBER(FIND(BI$3, $CO2165)), "Y", "")</f>
        <v/>
      </c>
      <c r="BJ2165" s="319" t="str">
        <f t="shared" si="1182"/>
        <v/>
      </c>
      <c r="BK2165" s="319" t="str">
        <f t="shared" si="1182"/>
        <v>Y</v>
      </c>
      <c r="BL2165" s="319" t="str">
        <f t="shared" si="1182"/>
        <v>Y</v>
      </c>
      <c r="BM2165" s="319" t="str">
        <f t="shared" si="1182"/>
        <v>Y</v>
      </c>
      <c r="BN2165" s="319" t="str">
        <f t="shared" si="1182"/>
        <v>Y</v>
      </c>
      <c r="BO2165" s="319" t="str">
        <f t="shared" si="1182"/>
        <v>Y</v>
      </c>
      <c r="BP2165" s="319" t="str">
        <f t="shared" si="1182"/>
        <v/>
      </c>
      <c r="BQ2165" s="319" t="str">
        <f t="shared" si="1182"/>
        <v>Y</v>
      </c>
      <c r="BR2165" s="319" t="str">
        <f t="shared" si="1182"/>
        <v>Y</v>
      </c>
      <c r="BS2165" s="330">
        <f t="shared" si="185"/>
        <v>4.204759208</v>
      </c>
      <c r="BT2165" s="331">
        <f t="shared" si="170"/>
        <v>51.4762081</v>
      </c>
      <c r="BU2165" s="920">
        <v>0.46552083333333333</v>
      </c>
      <c r="BV2165" s="903">
        <f t="shared" si="186"/>
        <v>0.0005902777778</v>
      </c>
      <c r="BW2165" s="908">
        <v>20.6</v>
      </c>
      <c r="BX2165" s="908">
        <v>6.6</v>
      </c>
      <c r="BY2165" s="331">
        <f t="shared" si="201"/>
        <v>3.140063694</v>
      </c>
      <c r="BZ2165" s="331"/>
      <c r="CA2165" s="462" t="str">
        <f t="shared" ref="CA2165:CJ2165" si="1183">IF(ISNUMBER(FIND(BI$3, $CP2165)), "Y", "")</f>
        <v/>
      </c>
      <c r="CB2165" s="319" t="str">
        <f t="shared" si="1183"/>
        <v/>
      </c>
      <c r="CC2165" s="319" t="str">
        <f t="shared" si="1183"/>
        <v/>
      </c>
      <c r="CD2165" s="319" t="str">
        <f t="shared" si="1183"/>
        <v/>
      </c>
      <c r="CE2165" s="319" t="str">
        <f t="shared" si="1183"/>
        <v/>
      </c>
      <c r="CF2165" s="319" t="str">
        <f t="shared" si="1183"/>
        <v/>
      </c>
      <c r="CG2165" s="319" t="str">
        <f t="shared" si="1183"/>
        <v/>
      </c>
      <c r="CH2165" s="319" t="str">
        <f t="shared" si="1183"/>
        <v/>
      </c>
      <c r="CI2165" s="319" t="str">
        <f t="shared" si="1183"/>
        <v/>
      </c>
      <c r="CJ2165" s="319" t="str">
        <f t="shared" si="1183"/>
        <v/>
      </c>
      <c r="CK2165" s="342">
        <f t="shared" si="182"/>
        <v>0</v>
      </c>
      <c r="CL2165" s="333">
        <f t="shared" si="183"/>
        <v>0</v>
      </c>
      <c r="CM2165" s="1079"/>
      <c r="CN2165" s="1005" t="s">
        <v>3220</v>
      </c>
      <c r="CO2165" s="1005" t="s">
        <v>2527</v>
      </c>
      <c r="CP2165" s="1005"/>
    </row>
    <row r="2166">
      <c r="A2166" s="266"/>
      <c r="B2166" s="1113" t="s">
        <v>3217</v>
      </c>
      <c r="C2166" s="1107">
        <v>45642.0</v>
      </c>
      <c r="D2166" s="103"/>
      <c r="E2166" s="1108">
        <v>5.0</v>
      </c>
      <c r="F2166" s="112" t="s">
        <v>3224</v>
      </c>
      <c r="G2166" s="1110">
        <v>0.4769097222222222</v>
      </c>
      <c r="H2166" s="1110">
        <v>0.47708333333333336</v>
      </c>
      <c r="I2166" s="1110"/>
      <c r="J2166" s="1111"/>
      <c r="K2166" s="1111">
        <v>0.4777777777777778</v>
      </c>
      <c r="L2166" s="1112">
        <v>6.944444444444445E-4</v>
      </c>
      <c r="M2166" s="1113" t="s">
        <v>166</v>
      </c>
      <c r="N2166" s="110" t="s">
        <v>187</v>
      </c>
      <c r="O2166" s="1115" t="s">
        <v>204</v>
      </c>
      <c r="P2166" s="1115" t="s">
        <v>256</v>
      </c>
      <c r="Q2166" s="1116"/>
      <c r="R2166" s="120">
        <v>18.7</v>
      </c>
      <c r="S2166" s="1113">
        <v>4.1</v>
      </c>
      <c r="T2166" s="110">
        <v>1.2</v>
      </c>
      <c r="U2166" s="1108">
        <v>2.0</v>
      </c>
      <c r="V2166" s="1108"/>
      <c r="W2166" s="1108"/>
      <c r="X2166" s="1108"/>
      <c r="Y2166" s="1108"/>
      <c r="Z2166" s="1114" t="s">
        <v>339</v>
      </c>
      <c r="AA2166" s="1114"/>
      <c r="AB2166" s="1114" t="s">
        <v>349</v>
      </c>
      <c r="AC2166" s="1117">
        <v>5.0</v>
      </c>
      <c r="AD2166" s="1115"/>
      <c r="AE2166" s="1115"/>
      <c r="AF2166" s="1115"/>
      <c r="AG2166" s="1115"/>
      <c r="AH2166" s="1115"/>
      <c r="AI2166" s="1115"/>
      <c r="AJ2166" s="1117"/>
      <c r="AK2166" s="1118"/>
      <c r="AL2166" s="1115"/>
      <c r="AM2166" s="1115"/>
      <c r="AN2166" s="1115"/>
      <c r="AO2166" s="1115"/>
      <c r="AP2166" s="1115"/>
      <c r="AQ2166" s="1115"/>
      <c r="AR2166" s="1115"/>
      <c r="AS2166" s="1117"/>
      <c r="AT2166" s="1196" t="str">
        <f t="shared" si="428"/>
        <v>1-10</v>
      </c>
      <c r="AU2166" s="1193"/>
      <c r="AV2166" s="330">
        <f>SQRT(($R2166-Infrastructure!J$3)^2+($S2166-Infrastructure!K$3)^2)</f>
        <v>31.24163888</v>
      </c>
      <c r="AW2166" s="331">
        <f>SQRT(($R2166-Infrastructure!J$4)^2+($S2166-Infrastructure!K$4)^2)</f>
        <v>23.42413285</v>
      </c>
      <c r="AX2166" s="331">
        <f>SQRT(($R2166-Infrastructure!J$5)^2+($S2166-Infrastructure!K$5)^2)</f>
        <v>19.02629759</v>
      </c>
      <c r="AY2166" s="331">
        <f>SQRT(($R2166-Infrastructure!J$6)^2+($S2166-Infrastructure!K$6)^2)</f>
        <v>9.402127419</v>
      </c>
      <c r="AZ2166" s="331">
        <f>SQRT(($R2166-Infrastructure!J$7)^2+($S2166-Infrastructure!K$7)^2)</f>
        <v>4.204759208</v>
      </c>
      <c r="BA2166" s="331">
        <f>SQRT(($R2166-Infrastructure!J$8)^2+($S2166-Infrastructure!K$8)^2)</f>
        <v>12.01665511</v>
      </c>
      <c r="BB2166" s="331">
        <f>SQRT(($R2166-Infrastructure!J$9)^2+($S2166-Infrastructure!K$9)^2)</f>
        <v>21.32346126</v>
      </c>
      <c r="BC2166" s="331">
        <f>SQRT(($R2166-Infrastructure!J$10)^2+($S2166-Infrastructure!K$10)^2)</f>
        <v>23.92697223</v>
      </c>
      <c r="BD2166" s="331">
        <f>SQRT(($R2166-Infrastructure!J$11)^2+($S2166-Infrastructure!K$11)^2)</f>
        <v>32.89772029</v>
      </c>
      <c r="BE2166" s="333">
        <f>SQRT(($R2166-Infrastructure!J$12)^2+($S2166-Infrastructure!K$12)^2)</f>
        <v>51.4762081</v>
      </c>
      <c r="BF2166" s="330">
        <f t="shared" si="161"/>
        <v>4.204759208</v>
      </c>
      <c r="BG2166" s="333">
        <f t="shared" si="162"/>
        <v>51.4762081</v>
      </c>
      <c r="BH2166" s="1119"/>
      <c r="BI2166" s="319" t="str">
        <f t="shared" ref="BI2166:BR2166" si="1184">IF(ISNUMBER(FIND(BI$3, $CO2166)), "Y", "")</f>
        <v/>
      </c>
      <c r="BJ2166" s="319" t="str">
        <f t="shared" si="1184"/>
        <v/>
      </c>
      <c r="BK2166" s="319" t="str">
        <f t="shared" si="1184"/>
        <v>Y</v>
      </c>
      <c r="BL2166" s="319" t="str">
        <f t="shared" si="1184"/>
        <v>Y</v>
      </c>
      <c r="BM2166" s="319" t="str">
        <f t="shared" si="1184"/>
        <v>Y</v>
      </c>
      <c r="BN2166" s="319" t="str">
        <f t="shared" si="1184"/>
        <v>Y</v>
      </c>
      <c r="BO2166" s="319" t="str">
        <f t="shared" si="1184"/>
        <v>Y</v>
      </c>
      <c r="BP2166" s="319" t="str">
        <f t="shared" si="1184"/>
        <v/>
      </c>
      <c r="BQ2166" s="319" t="str">
        <f t="shared" si="1184"/>
        <v/>
      </c>
      <c r="BR2166" s="319" t="str">
        <f t="shared" si="1184"/>
        <v/>
      </c>
      <c r="BS2166" s="330">
        <f t="shared" si="185"/>
        <v>4.204759208</v>
      </c>
      <c r="BT2166" s="331">
        <f t="shared" si="170"/>
        <v>21.32346126</v>
      </c>
      <c r="BU2166" s="920">
        <v>0.4774189814814815</v>
      </c>
      <c r="BV2166" s="903">
        <f t="shared" si="186"/>
        <v>0.0005092592593</v>
      </c>
      <c r="BW2166" s="908">
        <v>21.8</v>
      </c>
      <c r="BX2166" s="908">
        <v>2.6</v>
      </c>
      <c r="BY2166" s="331">
        <f t="shared" si="201"/>
        <v>3.443835072</v>
      </c>
      <c r="BZ2166" s="331"/>
      <c r="CA2166" s="462" t="str">
        <f t="shared" ref="CA2166:CJ2166" si="1185">IF(ISNUMBER(FIND(BI$3, $CP2166)), "Y", "")</f>
        <v/>
      </c>
      <c r="CB2166" s="319" t="str">
        <f t="shared" si="1185"/>
        <v/>
      </c>
      <c r="CC2166" s="319" t="str">
        <f t="shared" si="1185"/>
        <v/>
      </c>
      <c r="CD2166" s="319" t="str">
        <f t="shared" si="1185"/>
        <v/>
      </c>
      <c r="CE2166" s="319" t="str">
        <f t="shared" si="1185"/>
        <v/>
      </c>
      <c r="CF2166" s="319" t="str">
        <f t="shared" si="1185"/>
        <v/>
      </c>
      <c r="CG2166" s="319" t="str">
        <f t="shared" si="1185"/>
        <v/>
      </c>
      <c r="CH2166" s="319" t="str">
        <f t="shared" si="1185"/>
        <v/>
      </c>
      <c r="CI2166" s="319" t="str">
        <f t="shared" si="1185"/>
        <v/>
      </c>
      <c r="CJ2166" s="319" t="str">
        <f t="shared" si="1185"/>
        <v/>
      </c>
      <c r="CK2166" s="342">
        <f t="shared" si="182"/>
        <v>0</v>
      </c>
      <c r="CL2166" s="333">
        <f t="shared" si="183"/>
        <v>0</v>
      </c>
      <c r="CM2166" s="1079"/>
      <c r="CN2166" s="1005" t="s">
        <v>3220</v>
      </c>
      <c r="CO2166" s="1005" t="s">
        <v>2619</v>
      </c>
      <c r="CP2166" s="1005"/>
    </row>
    <row r="2167">
      <c r="A2167" s="266"/>
      <c r="B2167" s="1113" t="s">
        <v>3217</v>
      </c>
      <c r="C2167" s="1107">
        <v>45642.0</v>
      </c>
      <c r="D2167" s="103"/>
      <c r="E2167" s="1108">
        <v>6.0</v>
      </c>
      <c r="F2167" s="112" t="s">
        <v>3225</v>
      </c>
      <c r="G2167" s="1110">
        <v>0.4861111111111111</v>
      </c>
      <c r="H2167" s="1110">
        <v>0.48628472222222224</v>
      </c>
      <c r="I2167" s="1110"/>
      <c r="J2167" s="1111"/>
      <c r="K2167" s="1111">
        <v>0.48680555555555555</v>
      </c>
      <c r="L2167" s="1112">
        <v>5.208333333333333E-4</v>
      </c>
      <c r="M2167" s="1113" t="s">
        <v>166</v>
      </c>
      <c r="N2167" s="110" t="s">
        <v>187</v>
      </c>
      <c r="O2167" s="1115" t="s">
        <v>204</v>
      </c>
      <c r="P2167" s="1115" t="s">
        <v>256</v>
      </c>
      <c r="Q2167" s="1116"/>
      <c r="R2167" s="120">
        <v>18.7</v>
      </c>
      <c r="S2167" s="1113">
        <v>4.1</v>
      </c>
      <c r="T2167" s="110">
        <v>1.2</v>
      </c>
      <c r="U2167" s="1108">
        <v>6.0</v>
      </c>
      <c r="V2167" s="1108"/>
      <c r="W2167" s="1108"/>
      <c r="X2167" s="1108"/>
      <c r="Y2167" s="1108"/>
      <c r="Z2167" s="1114" t="s">
        <v>339</v>
      </c>
      <c r="AA2167" s="1114"/>
      <c r="AB2167" s="1114" t="s">
        <v>349</v>
      </c>
      <c r="AC2167" s="1117">
        <v>5.0</v>
      </c>
      <c r="AD2167" s="1115"/>
      <c r="AE2167" s="1115"/>
      <c r="AF2167" s="1115"/>
      <c r="AG2167" s="1115"/>
      <c r="AH2167" s="1115"/>
      <c r="AI2167" s="1115"/>
      <c r="AJ2167" s="1117"/>
      <c r="AK2167" s="1118"/>
      <c r="AL2167" s="1115"/>
      <c r="AM2167" s="1115"/>
      <c r="AN2167" s="1115"/>
      <c r="AO2167" s="1115"/>
      <c r="AP2167" s="1115"/>
      <c r="AQ2167" s="1115"/>
      <c r="AR2167" s="1115"/>
      <c r="AS2167" s="1117"/>
      <c r="AT2167" s="1196" t="str">
        <f t="shared" si="428"/>
        <v>1-10</v>
      </c>
      <c r="AU2167" s="1193"/>
      <c r="AV2167" s="330">
        <f>SQRT(($R2167-Infrastructure!J$3)^2+($S2167-Infrastructure!K$3)^2)</f>
        <v>31.24163888</v>
      </c>
      <c r="AW2167" s="331">
        <f>SQRT(($R2167-Infrastructure!J$4)^2+($S2167-Infrastructure!K$4)^2)</f>
        <v>23.42413285</v>
      </c>
      <c r="AX2167" s="331">
        <f>SQRT(($R2167-Infrastructure!J$5)^2+($S2167-Infrastructure!K$5)^2)</f>
        <v>19.02629759</v>
      </c>
      <c r="AY2167" s="331">
        <f>SQRT(($R2167-Infrastructure!J$6)^2+($S2167-Infrastructure!K$6)^2)</f>
        <v>9.402127419</v>
      </c>
      <c r="AZ2167" s="331">
        <f>SQRT(($R2167-Infrastructure!J$7)^2+($S2167-Infrastructure!K$7)^2)</f>
        <v>4.204759208</v>
      </c>
      <c r="BA2167" s="331">
        <f>SQRT(($R2167-Infrastructure!J$8)^2+($S2167-Infrastructure!K$8)^2)</f>
        <v>12.01665511</v>
      </c>
      <c r="BB2167" s="331">
        <f>SQRT(($R2167-Infrastructure!J$9)^2+($S2167-Infrastructure!K$9)^2)</f>
        <v>21.32346126</v>
      </c>
      <c r="BC2167" s="331">
        <f>SQRT(($R2167-Infrastructure!J$10)^2+($S2167-Infrastructure!K$10)^2)</f>
        <v>23.92697223</v>
      </c>
      <c r="BD2167" s="331">
        <f>SQRT(($R2167-Infrastructure!J$11)^2+($S2167-Infrastructure!K$11)^2)</f>
        <v>32.89772029</v>
      </c>
      <c r="BE2167" s="333">
        <f>SQRT(($R2167-Infrastructure!J$12)^2+($S2167-Infrastructure!K$12)^2)</f>
        <v>51.4762081</v>
      </c>
      <c r="BF2167" s="330">
        <f t="shared" si="161"/>
        <v>4.204759208</v>
      </c>
      <c r="BG2167" s="333">
        <f t="shared" si="162"/>
        <v>51.4762081</v>
      </c>
      <c r="BH2167" s="1119"/>
      <c r="BI2167" s="319" t="str">
        <f t="shared" ref="BI2167:BR2167" si="1186">IF(ISNUMBER(FIND(BI$3, $CO2167)), "Y", "")</f>
        <v>Y</v>
      </c>
      <c r="BJ2167" s="319" t="str">
        <f t="shared" si="1186"/>
        <v/>
      </c>
      <c r="BK2167" s="319" t="str">
        <f t="shared" si="1186"/>
        <v>Y</v>
      </c>
      <c r="BL2167" s="319" t="str">
        <f t="shared" si="1186"/>
        <v>Y</v>
      </c>
      <c r="BM2167" s="319" t="str">
        <f t="shared" si="1186"/>
        <v>Y</v>
      </c>
      <c r="BN2167" s="319" t="str">
        <f t="shared" si="1186"/>
        <v>Y</v>
      </c>
      <c r="BO2167" s="319" t="str">
        <f t="shared" si="1186"/>
        <v>Y</v>
      </c>
      <c r="BP2167" s="319" t="str">
        <f t="shared" si="1186"/>
        <v/>
      </c>
      <c r="BQ2167" s="319" t="str">
        <f t="shared" si="1186"/>
        <v>Y</v>
      </c>
      <c r="BR2167" s="319" t="str">
        <f t="shared" si="1186"/>
        <v>Y</v>
      </c>
      <c r="BS2167" s="330">
        <f t="shared" si="185"/>
        <v>4.204759208</v>
      </c>
      <c r="BT2167" s="331">
        <f t="shared" si="170"/>
        <v>51.4762081</v>
      </c>
      <c r="BU2167" s="920">
        <v>0.4866666666666667</v>
      </c>
      <c r="BV2167" s="903">
        <f t="shared" si="186"/>
        <v>0.0005555555556</v>
      </c>
      <c r="BW2167" s="908">
        <v>22.2</v>
      </c>
      <c r="BX2167" s="908">
        <v>3.5</v>
      </c>
      <c r="BY2167" s="331">
        <f t="shared" si="201"/>
        <v>3.551056181</v>
      </c>
      <c r="BZ2167" s="331"/>
      <c r="CA2167" s="462" t="str">
        <f t="shared" ref="CA2167:CJ2167" si="1187">IF(ISNUMBER(FIND(BI$3, $CP2167)), "Y", "")</f>
        <v/>
      </c>
      <c r="CB2167" s="319" t="str">
        <f t="shared" si="1187"/>
        <v/>
      </c>
      <c r="CC2167" s="319" t="str">
        <f t="shared" si="1187"/>
        <v/>
      </c>
      <c r="CD2167" s="319" t="str">
        <f t="shared" si="1187"/>
        <v/>
      </c>
      <c r="CE2167" s="319" t="str">
        <f t="shared" si="1187"/>
        <v/>
      </c>
      <c r="CF2167" s="319" t="str">
        <f t="shared" si="1187"/>
        <v/>
      </c>
      <c r="CG2167" s="319" t="str">
        <f t="shared" si="1187"/>
        <v/>
      </c>
      <c r="CH2167" s="319" t="str">
        <f t="shared" si="1187"/>
        <v/>
      </c>
      <c r="CI2167" s="319" t="str">
        <f t="shared" si="1187"/>
        <v/>
      </c>
      <c r="CJ2167" s="319" t="str">
        <f t="shared" si="1187"/>
        <v/>
      </c>
      <c r="CK2167" s="342">
        <f t="shared" si="182"/>
        <v>0</v>
      </c>
      <c r="CL2167" s="333">
        <f t="shared" si="183"/>
        <v>0</v>
      </c>
      <c r="CM2167" s="1079"/>
      <c r="CN2167" s="1005" t="s">
        <v>3220</v>
      </c>
      <c r="CO2167" s="1005" t="s">
        <v>2460</v>
      </c>
      <c r="CP2167" s="1005"/>
    </row>
    <row r="2168">
      <c r="A2168" s="266"/>
      <c r="B2168" s="1113" t="s">
        <v>3217</v>
      </c>
      <c r="C2168" s="1107">
        <v>45642.0</v>
      </c>
      <c r="D2168" s="103"/>
      <c r="E2168" s="1108">
        <v>7.0</v>
      </c>
      <c r="F2168" s="112" t="s">
        <v>3226</v>
      </c>
      <c r="G2168" s="1110">
        <v>0.49050925925925926</v>
      </c>
      <c r="H2168" s="1110">
        <v>0.4906828703703704</v>
      </c>
      <c r="I2168" s="1110"/>
      <c r="J2168" s="1111"/>
      <c r="K2168" s="1111">
        <v>0.4912037037037037</v>
      </c>
      <c r="L2168" s="1112">
        <v>5.208333333333333E-4</v>
      </c>
      <c r="M2168" s="1113" t="s">
        <v>166</v>
      </c>
      <c r="N2168" s="110" t="s">
        <v>187</v>
      </c>
      <c r="O2168" s="1115" t="s">
        <v>204</v>
      </c>
      <c r="P2168" s="1115" t="s">
        <v>256</v>
      </c>
      <c r="Q2168" s="1116"/>
      <c r="R2168" s="120">
        <v>18.7</v>
      </c>
      <c r="S2168" s="1113">
        <v>4.1</v>
      </c>
      <c r="T2168" s="110">
        <v>1.2</v>
      </c>
      <c r="U2168" s="1108">
        <v>3.0</v>
      </c>
      <c r="V2168" s="1108"/>
      <c r="W2168" s="1108"/>
      <c r="X2168" s="1108"/>
      <c r="Y2168" s="1108"/>
      <c r="Z2168" s="1114" t="s">
        <v>339</v>
      </c>
      <c r="AA2168" s="1114"/>
      <c r="AB2168" s="1114" t="s">
        <v>349</v>
      </c>
      <c r="AC2168" s="1117">
        <v>5.0</v>
      </c>
      <c r="AD2168" s="1115"/>
      <c r="AE2168" s="1115"/>
      <c r="AF2168" s="1115"/>
      <c r="AG2168" s="1115"/>
      <c r="AH2168" s="1115"/>
      <c r="AI2168" s="1115"/>
      <c r="AJ2168" s="1117"/>
      <c r="AK2168" s="1118"/>
      <c r="AL2168" s="1115"/>
      <c r="AM2168" s="1115"/>
      <c r="AN2168" s="1115"/>
      <c r="AO2168" s="1115"/>
      <c r="AP2168" s="1115"/>
      <c r="AQ2168" s="1115"/>
      <c r="AR2168" s="1115"/>
      <c r="AS2168" s="1117"/>
      <c r="AT2168" s="1196" t="str">
        <f t="shared" si="428"/>
        <v>1-10</v>
      </c>
      <c r="AU2168" s="1193"/>
      <c r="AV2168" s="330">
        <f>SQRT(($R2168-Infrastructure!J$3)^2+($S2168-Infrastructure!K$3)^2)</f>
        <v>31.24163888</v>
      </c>
      <c r="AW2168" s="331">
        <f>SQRT(($R2168-Infrastructure!J$4)^2+($S2168-Infrastructure!K$4)^2)</f>
        <v>23.42413285</v>
      </c>
      <c r="AX2168" s="331">
        <f>SQRT(($R2168-Infrastructure!J$5)^2+($S2168-Infrastructure!K$5)^2)</f>
        <v>19.02629759</v>
      </c>
      <c r="AY2168" s="331">
        <f>SQRT(($R2168-Infrastructure!J$6)^2+($S2168-Infrastructure!K$6)^2)</f>
        <v>9.402127419</v>
      </c>
      <c r="AZ2168" s="331">
        <f>SQRT(($R2168-Infrastructure!J$7)^2+($S2168-Infrastructure!K$7)^2)</f>
        <v>4.204759208</v>
      </c>
      <c r="BA2168" s="331">
        <f>SQRT(($R2168-Infrastructure!J$8)^2+($S2168-Infrastructure!K$8)^2)</f>
        <v>12.01665511</v>
      </c>
      <c r="BB2168" s="331">
        <f>SQRT(($R2168-Infrastructure!J$9)^2+($S2168-Infrastructure!K$9)^2)</f>
        <v>21.32346126</v>
      </c>
      <c r="BC2168" s="331">
        <f>SQRT(($R2168-Infrastructure!J$10)^2+($S2168-Infrastructure!K$10)^2)</f>
        <v>23.92697223</v>
      </c>
      <c r="BD2168" s="331">
        <f>SQRT(($R2168-Infrastructure!J$11)^2+($S2168-Infrastructure!K$11)^2)</f>
        <v>32.89772029</v>
      </c>
      <c r="BE2168" s="333">
        <f>SQRT(($R2168-Infrastructure!J$12)^2+($S2168-Infrastructure!K$12)^2)</f>
        <v>51.4762081</v>
      </c>
      <c r="BF2168" s="330">
        <f t="shared" si="161"/>
        <v>4.204759208</v>
      </c>
      <c r="BG2168" s="333">
        <f t="shared" si="162"/>
        <v>51.4762081</v>
      </c>
      <c r="BH2168" s="1119"/>
      <c r="BI2168" s="319" t="str">
        <f t="shared" ref="BI2168:BR2168" si="1188">IF(ISNUMBER(FIND(BI$3, $CO2168)), "Y", "")</f>
        <v/>
      </c>
      <c r="BJ2168" s="319" t="str">
        <f t="shared" si="1188"/>
        <v/>
      </c>
      <c r="BK2168" s="319" t="str">
        <f t="shared" si="1188"/>
        <v>Y</v>
      </c>
      <c r="BL2168" s="319" t="str">
        <f t="shared" si="1188"/>
        <v>Y</v>
      </c>
      <c r="BM2168" s="319" t="str">
        <f t="shared" si="1188"/>
        <v>Y</v>
      </c>
      <c r="BN2168" s="319" t="str">
        <f t="shared" si="1188"/>
        <v>Y</v>
      </c>
      <c r="BO2168" s="319" t="str">
        <f t="shared" si="1188"/>
        <v>Y</v>
      </c>
      <c r="BP2168" s="319" t="str">
        <f t="shared" si="1188"/>
        <v/>
      </c>
      <c r="BQ2168" s="319" t="str">
        <f t="shared" si="1188"/>
        <v>Y</v>
      </c>
      <c r="BR2168" s="319" t="str">
        <f t="shared" si="1188"/>
        <v>Y</v>
      </c>
      <c r="BS2168" s="330">
        <f t="shared" si="185"/>
        <v>4.204759208</v>
      </c>
      <c r="BT2168" s="331">
        <f t="shared" si="170"/>
        <v>51.4762081</v>
      </c>
      <c r="BU2168" s="920">
        <v>0.49113425925925924</v>
      </c>
      <c r="BV2168" s="903">
        <f t="shared" si="186"/>
        <v>0.000625</v>
      </c>
      <c r="BW2168" s="908">
        <v>21.3</v>
      </c>
      <c r="BX2168" s="908">
        <v>4.0</v>
      </c>
      <c r="BY2168" s="331">
        <f t="shared" si="201"/>
        <v>2.601922366</v>
      </c>
      <c r="BZ2168" s="331"/>
      <c r="CA2168" s="462" t="str">
        <f t="shared" ref="CA2168:CJ2168" si="1189">IF(ISNUMBER(FIND(BI$3, $CP2168)), "Y", "")</f>
        <v/>
      </c>
      <c r="CB2168" s="319" t="str">
        <f t="shared" si="1189"/>
        <v/>
      </c>
      <c r="CC2168" s="319" t="str">
        <f t="shared" si="1189"/>
        <v/>
      </c>
      <c r="CD2168" s="319" t="str">
        <f t="shared" si="1189"/>
        <v/>
      </c>
      <c r="CE2168" s="319" t="str">
        <f t="shared" si="1189"/>
        <v/>
      </c>
      <c r="CF2168" s="319" t="str">
        <f t="shared" si="1189"/>
        <v/>
      </c>
      <c r="CG2168" s="319" t="str">
        <f t="shared" si="1189"/>
        <v/>
      </c>
      <c r="CH2168" s="319" t="str">
        <f t="shared" si="1189"/>
        <v/>
      </c>
      <c r="CI2168" s="319" t="str">
        <f t="shared" si="1189"/>
        <v/>
      </c>
      <c r="CJ2168" s="319" t="str">
        <f t="shared" si="1189"/>
        <v/>
      </c>
      <c r="CK2168" s="342">
        <f t="shared" si="182"/>
        <v>0</v>
      </c>
      <c r="CL2168" s="333">
        <f t="shared" si="183"/>
        <v>0</v>
      </c>
      <c r="CM2168" s="1079"/>
      <c r="CN2168" s="1005" t="s">
        <v>3220</v>
      </c>
      <c r="CO2168" s="1005" t="s">
        <v>2527</v>
      </c>
      <c r="CP2168" s="1005"/>
    </row>
    <row r="2169">
      <c r="A2169" s="266"/>
      <c r="B2169" s="1113" t="s">
        <v>3217</v>
      </c>
      <c r="C2169" s="1107">
        <v>45642.0</v>
      </c>
      <c r="D2169" s="103"/>
      <c r="E2169" s="1108">
        <v>8.0</v>
      </c>
      <c r="F2169" s="112" t="s">
        <v>3227</v>
      </c>
      <c r="G2169" s="1110">
        <v>0.4931712962962963</v>
      </c>
      <c r="H2169" s="1110">
        <v>0.4934027777777778</v>
      </c>
      <c r="I2169" s="1110"/>
      <c r="J2169" s="1111"/>
      <c r="K2169" s="1111">
        <v>0.4945601851851852</v>
      </c>
      <c r="L2169" s="1112">
        <v>0.0011574074074074073</v>
      </c>
      <c r="M2169" s="1113" t="s">
        <v>166</v>
      </c>
      <c r="N2169" s="110" t="s">
        <v>187</v>
      </c>
      <c r="O2169" s="1115" t="s">
        <v>204</v>
      </c>
      <c r="P2169" s="1115" t="s">
        <v>256</v>
      </c>
      <c r="Q2169" s="1116"/>
      <c r="R2169" s="120">
        <v>18.7</v>
      </c>
      <c r="S2169" s="1113">
        <v>4.1</v>
      </c>
      <c r="T2169" s="110">
        <v>1.2</v>
      </c>
      <c r="U2169" s="1108">
        <v>2.0</v>
      </c>
      <c r="V2169" s="1108"/>
      <c r="W2169" s="1108"/>
      <c r="X2169" s="1108"/>
      <c r="Y2169" s="1108"/>
      <c r="Z2169" s="1114" t="s">
        <v>339</v>
      </c>
      <c r="AA2169" s="1114"/>
      <c r="AB2169" s="1114" t="s">
        <v>349</v>
      </c>
      <c r="AC2169" s="1117">
        <v>5.0</v>
      </c>
      <c r="AD2169" s="1115"/>
      <c r="AE2169" s="1115"/>
      <c r="AF2169" s="1115"/>
      <c r="AG2169" s="1115"/>
      <c r="AH2169" s="1115"/>
      <c r="AI2169" s="1115"/>
      <c r="AJ2169" s="1117"/>
      <c r="AK2169" s="1118"/>
      <c r="AL2169" s="1115"/>
      <c r="AM2169" s="1115"/>
      <c r="AN2169" s="1115"/>
      <c r="AO2169" s="1115"/>
      <c r="AP2169" s="1115"/>
      <c r="AQ2169" s="1115"/>
      <c r="AR2169" s="1115"/>
      <c r="AS2169" s="1117"/>
      <c r="AT2169" s="1196" t="str">
        <f t="shared" si="428"/>
        <v>1-10</v>
      </c>
      <c r="AU2169" s="1193"/>
      <c r="AV2169" s="330">
        <f>SQRT(($R2169-Infrastructure!J$3)^2+($S2169-Infrastructure!K$3)^2)</f>
        <v>31.24163888</v>
      </c>
      <c r="AW2169" s="331">
        <f>SQRT(($R2169-Infrastructure!J$4)^2+($S2169-Infrastructure!K$4)^2)</f>
        <v>23.42413285</v>
      </c>
      <c r="AX2169" s="331">
        <f>SQRT(($R2169-Infrastructure!J$5)^2+($S2169-Infrastructure!K$5)^2)</f>
        <v>19.02629759</v>
      </c>
      <c r="AY2169" s="331">
        <f>SQRT(($R2169-Infrastructure!J$6)^2+($S2169-Infrastructure!K$6)^2)</f>
        <v>9.402127419</v>
      </c>
      <c r="AZ2169" s="331">
        <f>SQRT(($R2169-Infrastructure!J$7)^2+($S2169-Infrastructure!K$7)^2)</f>
        <v>4.204759208</v>
      </c>
      <c r="BA2169" s="331">
        <f>SQRT(($R2169-Infrastructure!J$8)^2+($S2169-Infrastructure!K$8)^2)</f>
        <v>12.01665511</v>
      </c>
      <c r="BB2169" s="331">
        <f>SQRT(($R2169-Infrastructure!J$9)^2+($S2169-Infrastructure!K$9)^2)</f>
        <v>21.32346126</v>
      </c>
      <c r="BC2169" s="331">
        <f>SQRT(($R2169-Infrastructure!J$10)^2+($S2169-Infrastructure!K$10)^2)</f>
        <v>23.92697223</v>
      </c>
      <c r="BD2169" s="331">
        <f>SQRT(($R2169-Infrastructure!J$11)^2+($S2169-Infrastructure!K$11)^2)</f>
        <v>32.89772029</v>
      </c>
      <c r="BE2169" s="333">
        <f>SQRT(($R2169-Infrastructure!J$12)^2+($S2169-Infrastructure!K$12)^2)</f>
        <v>51.4762081</v>
      </c>
      <c r="BF2169" s="330">
        <f t="shared" si="161"/>
        <v>4.204759208</v>
      </c>
      <c r="BG2169" s="333">
        <f t="shared" si="162"/>
        <v>51.4762081</v>
      </c>
      <c r="BH2169" s="1119"/>
      <c r="BI2169" s="319" t="str">
        <f t="shared" ref="BI2169:BR2169" si="1190">IF(ISNUMBER(FIND(BI$3, $CO2169)), "Y", "")</f>
        <v/>
      </c>
      <c r="BJ2169" s="319" t="str">
        <f t="shared" si="1190"/>
        <v/>
      </c>
      <c r="BK2169" s="319" t="str">
        <f t="shared" si="1190"/>
        <v>Y</v>
      </c>
      <c r="BL2169" s="319" t="str">
        <f t="shared" si="1190"/>
        <v>Y</v>
      </c>
      <c r="BM2169" s="319" t="str">
        <f t="shared" si="1190"/>
        <v>Y</v>
      </c>
      <c r="BN2169" s="319" t="str">
        <f t="shared" si="1190"/>
        <v>Y</v>
      </c>
      <c r="BO2169" s="319" t="str">
        <f t="shared" si="1190"/>
        <v>Y</v>
      </c>
      <c r="BP2169" s="319" t="str">
        <f t="shared" si="1190"/>
        <v/>
      </c>
      <c r="BQ2169" s="319" t="str">
        <f t="shared" si="1190"/>
        <v/>
      </c>
      <c r="BR2169" s="319" t="str">
        <f t="shared" si="1190"/>
        <v/>
      </c>
      <c r="BS2169" s="330">
        <f t="shared" si="185"/>
        <v>4.204759208</v>
      </c>
      <c r="BT2169" s="331">
        <f t="shared" si="170"/>
        <v>21.32346126</v>
      </c>
      <c r="BU2169" s="920">
        <v>0.4937962962962963</v>
      </c>
      <c r="BV2169" s="903">
        <f t="shared" si="186"/>
        <v>0.000625</v>
      </c>
      <c r="BW2169" s="908">
        <v>20.4</v>
      </c>
      <c r="BX2169" s="908">
        <v>5.4</v>
      </c>
      <c r="BY2169" s="331">
        <f t="shared" si="201"/>
        <v>2.140093456</v>
      </c>
      <c r="BZ2169" s="331"/>
      <c r="CA2169" s="462" t="str">
        <f t="shared" ref="CA2169:CJ2169" si="1191">IF(ISNUMBER(FIND(BI$3, $CP2169)), "Y", "")</f>
        <v/>
      </c>
      <c r="CB2169" s="319" t="str">
        <f t="shared" si="1191"/>
        <v/>
      </c>
      <c r="CC2169" s="319" t="str">
        <f t="shared" si="1191"/>
        <v/>
      </c>
      <c r="CD2169" s="319" t="str">
        <f t="shared" si="1191"/>
        <v/>
      </c>
      <c r="CE2169" s="319" t="str">
        <f t="shared" si="1191"/>
        <v/>
      </c>
      <c r="CF2169" s="319" t="str">
        <f t="shared" si="1191"/>
        <v/>
      </c>
      <c r="CG2169" s="319" t="str">
        <f t="shared" si="1191"/>
        <v/>
      </c>
      <c r="CH2169" s="319" t="str">
        <f t="shared" si="1191"/>
        <v/>
      </c>
      <c r="CI2169" s="319" t="str">
        <f t="shared" si="1191"/>
        <v/>
      </c>
      <c r="CJ2169" s="319" t="str">
        <f t="shared" si="1191"/>
        <v/>
      </c>
      <c r="CK2169" s="342">
        <f t="shared" si="182"/>
        <v>0</v>
      </c>
      <c r="CL2169" s="333">
        <f t="shared" si="183"/>
        <v>0</v>
      </c>
      <c r="CM2169" s="1079"/>
      <c r="CN2169" s="1005" t="s">
        <v>3220</v>
      </c>
      <c r="CO2169" s="1005" t="s">
        <v>2619</v>
      </c>
      <c r="CP2169" s="1005"/>
    </row>
    <row r="2170">
      <c r="A2170" s="266"/>
      <c r="B2170" s="1113" t="s">
        <v>3217</v>
      </c>
      <c r="C2170" s="1107">
        <v>45642.0</v>
      </c>
      <c r="D2170" s="103"/>
      <c r="E2170" s="1108">
        <v>9.0</v>
      </c>
      <c r="F2170" s="112" t="s">
        <v>3228</v>
      </c>
      <c r="G2170" s="1110">
        <v>0.6024305555555556</v>
      </c>
      <c r="H2170" s="1110">
        <v>0.6027777777777777</v>
      </c>
      <c r="I2170" s="1110"/>
      <c r="J2170" s="1111"/>
      <c r="K2170" s="1111">
        <v>0.6038194444444445</v>
      </c>
      <c r="L2170" s="1112">
        <v>0.0010416666666666667</v>
      </c>
      <c r="M2170" s="1113" t="s">
        <v>166</v>
      </c>
      <c r="N2170" s="110" t="s">
        <v>187</v>
      </c>
      <c r="O2170" s="1115" t="s">
        <v>202</v>
      </c>
      <c r="P2170" s="1115" t="s">
        <v>256</v>
      </c>
      <c r="Q2170" s="1116"/>
      <c r="R2170" s="120">
        <v>24.4</v>
      </c>
      <c r="S2170" s="1113">
        <v>7.5</v>
      </c>
      <c r="T2170" s="110">
        <v>0.6</v>
      </c>
      <c r="U2170" s="1108">
        <v>6.0</v>
      </c>
      <c r="V2170" s="1108"/>
      <c r="W2170" s="1108"/>
      <c r="X2170" s="1108"/>
      <c r="Y2170" s="1108"/>
      <c r="Z2170" s="1114" t="s">
        <v>339</v>
      </c>
      <c r="AA2170" s="1114"/>
      <c r="AB2170" s="1114" t="s">
        <v>349</v>
      </c>
      <c r="AC2170" s="1117">
        <v>5.0</v>
      </c>
      <c r="AD2170" s="1115"/>
      <c r="AE2170" s="1115"/>
      <c r="AF2170" s="1115"/>
      <c r="AG2170" s="1115"/>
      <c r="AH2170" s="1115"/>
      <c r="AI2170" s="1115"/>
      <c r="AJ2170" s="1117"/>
      <c r="AK2170" s="1118"/>
      <c r="AL2170" s="1115"/>
      <c r="AM2170" s="1115"/>
      <c r="AN2170" s="1115"/>
      <c r="AO2170" s="1115"/>
      <c r="AP2170" s="1115"/>
      <c r="AQ2170" s="1115"/>
      <c r="AR2170" s="1115"/>
      <c r="AS2170" s="1117"/>
      <c r="AT2170" s="1196" t="str">
        <f t="shared" si="428"/>
        <v>1-10</v>
      </c>
      <c r="AU2170" s="1193"/>
      <c r="AV2170" s="330">
        <f>SQRT(($R2170-Infrastructure!J$3)^2+($S2170-Infrastructure!K$3)^2)</f>
        <v>32.68103426</v>
      </c>
      <c r="AW2170" s="331">
        <f>SQRT(($R2170-Infrastructure!J$4)^2+($S2170-Infrastructure!K$4)^2)</f>
        <v>26.76153957</v>
      </c>
      <c r="AX2170" s="331">
        <f>SQRT(($R2170-Infrastructure!J$5)^2+($S2170-Infrastructure!K$5)^2)</f>
        <v>24.81632527</v>
      </c>
      <c r="AY2170" s="331">
        <f>SQRT(($R2170-Infrastructure!J$6)^2+($S2170-Infrastructure!K$6)^2)</f>
        <v>16.01030918</v>
      </c>
      <c r="AZ2170" s="331">
        <f>SQRT(($R2170-Infrastructure!J$7)^2+($S2170-Infrastructure!K$7)^2)</f>
        <v>8.188406438</v>
      </c>
      <c r="BA2170" s="331">
        <f>SQRT(($R2170-Infrastructure!J$8)^2+($S2170-Infrastructure!K$8)^2)</f>
        <v>9.183136719</v>
      </c>
      <c r="BB2170" s="331">
        <f>SQRT(($R2170-Infrastructure!J$9)^2+($S2170-Infrastructure!K$9)^2)</f>
        <v>15.78353573</v>
      </c>
      <c r="BC2170" s="331">
        <f>SQRT(($R2170-Infrastructure!J$10)^2+($S2170-Infrastructure!K$10)^2)</f>
        <v>17.30924608</v>
      </c>
      <c r="BD2170" s="331">
        <f>SQRT(($R2170-Infrastructure!J$11)^2+($S2170-Infrastructure!K$11)^2)</f>
        <v>26.68126684</v>
      </c>
      <c r="BE2170" s="333">
        <f>SQRT(($R2170-Infrastructure!J$12)^2+($S2170-Infrastructure!K$12)^2)</f>
        <v>48.08752437</v>
      </c>
      <c r="BF2170" s="330">
        <f t="shared" si="161"/>
        <v>8.188406438</v>
      </c>
      <c r="BG2170" s="333">
        <f t="shared" si="162"/>
        <v>48.08752437</v>
      </c>
      <c r="BH2170" s="1119"/>
      <c r="BI2170" s="319" t="str">
        <f t="shared" ref="BI2170:BR2170" si="1192">IF(ISNUMBER(FIND(BI$3, $CO2170)), "Y", "")</f>
        <v>Y</v>
      </c>
      <c r="BJ2170" s="319" t="str">
        <f t="shared" si="1192"/>
        <v/>
      </c>
      <c r="BK2170" s="319" t="str">
        <f t="shared" si="1192"/>
        <v>Y</v>
      </c>
      <c r="BL2170" s="319" t="str">
        <f t="shared" si="1192"/>
        <v>Y</v>
      </c>
      <c r="BM2170" s="319" t="str">
        <f t="shared" si="1192"/>
        <v>Y</v>
      </c>
      <c r="BN2170" s="319" t="str">
        <f t="shared" si="1192"/>
        <v>Y</v>
      </c>
      <c r="BO2170" s="319" t="str">
        <f t="shared" si="1192"/>
        <v>Y</v>
      </c>
      <c r="BP2170" s="319" t="str">
        <f t="shared" si="1192"/>
        <v/>
      </c>
      <c r="BQ2170" s="319" t="str">
        <f t="shared" si="1192"/>
        <v>Y</v>
      </c>
      <c r="BR2170" s="319" t="str">
        <f t="shared" si="1192"/>
        <v>Y</v>
      </c>
      <c r="BS2170" s="330">
        <f t="shared" si="185"/>
        <v>8.188406438</v>
      </c>
      <c r="BT2170" s="331">
        <f t="shared" si="170"/>
        <v>48.08752437</v>
      </c>
      <c r="BU2170" s="920">
        <v>0.6029976851851852</v>
      </c>
      <c r="BV2170" s="903">
        <f t="shared" si="186"/>
        <v>0.0005671296296</v>
      </c>
      <c r="BW2170" s="908">
        <v>26.0</v>
      </c>
      <c r="BX2170" s="908">
        <v>18.1</v>
      </c>
      <c r="BY2170" s="331">
        <f t="shared" si="201"/>
        <v>10.72007463</v>
      </c>
      <c r="BZ2170" s="331"/>
      <c r="CA2170" s="462" t="str">
        <f t="shared" ref="CA2170:CJ2170" si="1193">IF(ISNUMBER(FIND(BI$3, $CP2170)), "Y", "")</f>
        <v/>
      </c>
      <c r="CB2170" s="319" t="str">
        <f t="shared" si="1193"/>
        <v/>
      </c>
      <c r="CC2170" s="319" t="str">
        <f t="shared" si="1193"/>
        <v/>
      </c>
      <c r="CD2170" s="319" t="str">
        <f t="shared" si="1193"/>
        <v/>
      </c>
      <c r="CE2170" s="319" t="str">
        <f t="shared" si="1193"/>
        <v/>
      </c>
      <c r="CF2170" s="319" t="str">
        <f t="shared" si="1193"/>
        <v/>
      </c>
      <c r="CG2170" s="319" t="str">
        <f t="shared" si="1193"/>
        <v/>
      </c>
      <c r="CH2170" s="319" t="str">
        <f t="shared" si="1193"/>
        <v/>
      </c>
      <c r="CI2170" s="319" t="str">
        <f t="shared" si="1193"/>
        <v/>
      </c>
      <c r="CJ2170" s="319" t="str">
        <f t="shared" si="1193"/>
        <v/>
      </c>
      <c r="CK2170" s="342">
        <f t="shared" si="182"/>
        <v>0</v>
      </c>
      <c r="CL2170" s="333">
        <f t="shared" si="183"/>
        <v>0</v>
      </c>
      <c r="CM2170" s="1079"/>
      <c r="CN2170" s="1005" t="s">
        <v>3229</v>
      </c>
      <c r="CO2170" s="1005" t="s">
        <v>2460</v>
      </c>
      <c r="CP2170" s="1005"/>
    </row>
    <row r="2171">
      <c r="A2171" s="266"/>
      <c r="B2171" s="1113" t="s">
        <v>3217</v>
      </c>
      <c r="C2171" s="1107">
        <v>45642.0</v>
      </c>
      <c r="D2171" s="103"/>
      <c r="E2171" s="1108">
        <v>10.0</v>
      </c>
      <c r="F2171" s="112" t="s">
        <v>3230</v>
      </c>
      <c r="G2171" s="1110">
        <v>0.6079282407407407</v>
      </c>
      <c r="H2171" s="1110">
        <v>0.6082175925925926</v>
      </c>
      <c r="I2171" s="1110"/>
      <c r="J2171" s="1111"/>
      <c r="K2171" s="1111">
        <v>0.608912037037037</v>
      </c>
      <c r="L2171" s="1112">
        <v>6.944444444444445E-4</v>
      </c>
      <c r="M2171" s="1113" t="s">
        <v>166</v>
      </c>
      <c r="N2171" s="110" t="s">
        <v>187</v>
      </c>
      <c r="O2171" s="1115" t="s">
        <v>202</v>
      </c>
      <c r="P2171" s="1115" t="s">
        <v>256</v>
      </c>
      <c r="Q2171" s="1116"/>
      <c r="R2171" s="120">
        <v>24.4</v>
      </c>
      <c r="S2171" s="1113">
        <v>7.5</v>
      </c>
      <c r="T2171" s="110">
        <v>0.6</v>
      </c>
      <c r="U2171" s="1108">
        <v>3.0</v>
      </c>
      <c r="V2171" s="1108"/>
      <c r="W2171" s="1108"/>
      <c r="X2171" s="1108"/>
      <c r="Y2171" s="1108"/>
      <c r="Z2171" s="1114" t="s">
        <v>339</v>
      </c>
      <c r="AA2171" s="1114"/>
      <c r="AB2171" s="1114" t="s">
        <v>349</v>
      </c>
      <c r="AC2171" s="1117">
        <v>5.0</v>
      </c>
      <c r="AD2171" s="1115"/>
      <c r="AE2171" s="1115"/>
      <c r="AF2171" s="1115"/>
      <c r="AG2171" s="1115"/>
      <c r="AH2171" s="1115"/>
      <c r="AI2171" s="1115"/>
      <c r="AJ2171" s="1117"/>
      <c r="AK2171" s="1118"/>
      <c r="AL2171" s="1115"/>
      <c r="AM2171" s="1115"/>
      <c r="AN2171" s="1115"/>
      <c r="AO2171" s="1115"/>
      <c r="AP2171" s="1115"/>
      <c r="AQ2171" s="1115"/>
      <c r="AR2171" s="1115"/>
      <c r="AS2171" s="1117"/>
      <c r="AT2171" s="1196" t="str">
        <f t="shared" si="428"/>
        <v>1-10</v>
      </c>
      <c r="AU2171" s="1193"/>
      <c r="AV2171" s="330">
        <f>SQRT(($R2171-Infrastructure!J$3)^2+($S2171-Infrastructure!K$3)^2)</f>
        <v>32.68103426</v>
      </c>
      <c r="AW2171" s="331">
        <f>SQRT(($R2171-Infrastructure!J$4)^2+($S2171-Infrastructure!K$4)^2)</f>
        <v>26.76153957</v>
      </c>
      <c r="AX2171" s="331">
        <f>SQRT(($R2171-Infrastructure!J$5)^2+($S2171-Infrastructure!K$5)^2)</f>
        <v>24.81632527</v>
      </c>
      <c r="AY2171" s="331">
        <f>SQRT(($R2171-Infrastructure!J$6)^2+($S2171-Infrastructure!K$6)^2)</f>
        <v>16.01030918</v>
      </c>
      <c r="AZ2171" s="331">
        <f>SQRT(($R2171-Infrastructure!J$7)^2+($S2171-Infrastructure!K$7)^2)</f>
        <v>8.188406438</v>
      </c>
      <c r="BA2171" s="331">
        <f>SQRT(($R2171-Infrastructure!J$8)^2+($S2171-Infrastructure!K$8)^2)</f>
        <v>9.183136719</v>
      </c>
      <c r="BB2171" s="331">
        <f>SQRT(($R2171-Infrastructure!J$9)^2+($S2171-Infrastructure!K$9)^2)</f>
        <v>15.78353573</v>
      </c>
      <c r="BC2171" s="331">
        <f>SQRT(($R2171-Infrastructure!J$10)^2+($S2171-Infrastructure!K$10)^2)</f>
        <v>17.30924608</v>
      </c>
      <c r="BD2171" s="331">
        <f>SQRT(($R2171-Infrastructure!J$11)^2+($S2171-Infrastructure!K$11)^2)</f>
        <v>26.68126684</v>
      </c>
      <c r="BE2171" s="333">
        <f>SQRT(($R2171-Infrastructure!J$12)^2+($S2171-Infrastructure!K$12)^2)</f>
        <v>48.08752437</v>
      </c>
      <c r="BF2171" s="330">
        <f t="shared" si="161"/>
        <v>8.188406438</v>
      </c>
      <c r="BG2171" s="333">
        <f t="shared" si="162"/>
        <v>48.08752437</v>
      </c>
      <c r="BH2171" s="1119"/>
      <c r="BI2171" s="319" t="str">
        <f t="shared" ref="BI2171:BR2171" si="1194">IF(ISNUMBER(FIND(BI$3, $CO2171)), "Y", "")</f>
        <v/>
      </c>
      <c r="BJ2171" s="319" t="str">
        <f t="shared" si="1194"/>
        <v/>
      </c>
      <c r="BK2171" s="319" t="str">
        <f t="shared" si="1194"/>
        <v>Y</v>
      </c>
      <c r="BL2171" s="319" t="str">
        <f t="shared" si="1194"/>
        <v>Y</v>
      </c>
      <c r="BM2171" s="319" t="str">
        <f t="shared" si="1194"/>
        <v>Y</v>
      </c>
      <c r="BN2171" s="319" t="str">
        <f t="shared" si="1194"/>
        <v>Y</v>
      </c>
      <c r="BO2171" s="319" t="str">
        <f t="shared" si="1194"/>
        <v>Y</v>
      </c>
      <c r="BP2171" s="319" t="str">
        <f t="shared" si="1194"/>
        <v/>
      </c>
      <c r="BQ2171" s="319" t="str">
        <f t="shared" si="1194"/>
        <v>Y</v>
      </c>
      <c r="BR2171" s="319" t="str">
        <f t="shared" si="1194"/>
        <v>Y</v>
      </c>
      <c r="BS2171" s="330">
        <f t="shared" si="185"/>
        <v>8.188406438</v>
      </c>
      <c r="BT2171" s="331">
        <f t="shared" si="170"/>
        <v>48.08752437</v>
      </c>
      <c r="BU2171" s="920">
        <v>0.6084606481481482</v>
      </c>
      <c r="BV2171" s="903">
        <f t="shared" si="186"/>
        <v>0.0005324074074</v>
      </c>
      <c r="BW2171" s="908">
        <v>24.4</v>
      </c>
      <c r="BX2171" s="908">
        <v>9.7</v>
      </c>
      <c r="BY2171" s="331">
        <f t="shared" si="201"/>
        <v>2.2</v>
      </c>
      <c r="BZ2171" s="331"/>
      <c r="CA2171" s="462" t="str">
        <f t="shared" ref="CA2171:CJ2171" si="1195">IF(ISNUMBER(FIND(BI$3, $CP2171)), "Y", "")</f>
        <v/>
      </c>
      <c r="CB2171" s="319" t="str">
        <f t="shared" si="1195"/>
        <v/>
      </c>
      <c r="CC2171" s="319" t="str">
        <f t="shared" si="1195"/>
        <v/>
      </c>
      <c r="CD2171" s="319" t="str">
        <f t="shared" si="1195"/>
        <v/>
      </c>
      <c r="CE2171" s="319" t="str">
        <f t="shared" si="1195"/>
        <v/>
      </c>
      <c r="CF2171" s="319" t="str">
        <f t="shared" si="1195"/>
        <v/>
      </c>
      <c r="CG2171" s="319" t="str">
        <f t="shared" si="1195"/>
        <v/>
      </c>
      <c r="CH2171" s="319" t="str">
        <f t="shared" si="1195"/>
        <v/>
      </c>
      <c r="CI2171" s="319" t="str">
        <f t="shared" si="1195"/>
        <v/>
      </c>
      <c r="CJ2171" s="319" t="str">
        <f t="shared" si="1195"/>
        <v/>
      </c>
      <c r="CK2171" s="342">
        <f t="shared" si="182"/>
        <v>0</v>
      </c>
      <c r="CL2171" s="333">
        <f t="shared" si="183"/>
        <v>0</v>
      </c>
      <c r="CM2171" s="1079"/>
      <c r="CN2171" s="1005" t="s">
        <v>3229</v>
      </c>
      <c r="CO2171" s="1005" t="s">
        <v>2527</v>
      </c>
      <c r="CP2171" s="1005"/>
    </row>
    <row r="2172">
      <c r="A2172" s="266"/>
      <c r="B2172" s="1113" t="s">
        <v>3217</v>
      </c>
      <c r="C2172" s="1107">
        <v>45642.0</v>
      </c>
      <c r="D2172" s="103"/>
      <c r="E2172" s="1108">
        <v>11.0</v>
      </c>
      <c r="F2172" s="112" t="s">
        <v>3231</v>
      </c>
      <c r="G2172" s="1110">
        <v>0.6148148148148148</v>
      </c>
      <c r="H2172" s="1110">
        <v>0.6151041666666667</v>
      </c>
      <c r="I2172" s="1110"/>
      <c r="J2172" s="1111"/>
      <c r="K2172" s="1111">
        <v>0.6155092592592593</v>
      </c>
      <c r="L2172" s="1112">
        <v>4.050925925925926E-4</v>
      </c>
      <c r="M2172" s="1113" t="s">
        <v>166</v>
      </c>
      <c r="N2172" s="110" t="s">
        <v>187</v>
      </c>
      <c r="O2172" s="1115" t="s">
        <v>202</v>
      </c>
      <c r="P2172" s="1115" t="s">
        <v>256</v>
      </c>
      <c r="Q2172" s="1116"/>
      <c r="R2172" s="120">
        <v>24.4</v>
      </c>
      <c r="S2172" s="1113">
        <v>7.5</v>
      </c>
      <c r="T2172" s="110">
        <v>0.6</v>
      </c>
      <c r="U2172" s="1108">
        <v>3.0</v>
      </c>
      <c r="V2172" s="1108"/>
      <c r="W2172" s="1108"/>
      <c r="X2172" s="1108"/>
      <c r="Y2172" s="1108"/>
      <c r="Z2172" s="1114" t="s">
        <v>339</v>
      </c>
      <c r="AA2172" s="1114"/>
      <c r="AB2172" s="1114" t="s">
        <v>349</v>
      </c>
      <c r="AC2172" s="1117">
        <v>5.0</v>
      </c>
      <c r="AD2172" s="1115"/>
      <c r="AE2172" s="1115"/>
      <c r="AF2172" s="1115"/>
      <c r="AG2172" s="1115"/>
      <c r="AH2172" s="1115"/>
      <c r="AI2172" s="1115"/>
      <c r="AJ2172" s="1117"/>
      <c r="AK2172" s="1118"/>
      <c r="AL2172" s="1115"/>
      <c r="AM2172" s="1115"/>
      <c r="AN2172" s="1115"/>
      <c r="AO2172" s="1115"/>
      <c r="AP2172" s="1115"/>
      <c r="AQ2172" s="1115"/>
      <c r="AR2172" s="1115"/>
      <c r="AS2172" s="1117"/>
      <c r="AT2172" s="1196" t="str">
        <f t="shared" si="428"/>
        <v>1-10</v>
      </c>
      <c r="AU2172" s="1193"/>
      <c r="AV2172" s="330">
        <f>SQRT(($R2172-Infrastructure!J$3)^2+($S2172-Infrastructure!K$3)^2)</f>
        <v>32.68103426</v>
      </c>
      <c r="AW2172" s="331">
        <f>SQRT(($R2172-Infrastructure!J$4)^2+($S2172-Infrastructure!K$4)^2)</f>
        <v>26.76153957</v>
      </c>
      <c r="AX2172" s="331">
        <f>SQRT(($R2172-Infrastructure!J$5)^2+($S2172-Infrastructure!K$5)^2)</f>
        <v>24.81632527</v>
      </c>
      <c r="AY2172" s="331">
        <f>SQRT(($R2172-Infrastructure!J$6)^2+($S2172-Infrastructure!K$6)^2)</f>
        <v>16.01030918</v>
      </c>
      <c r="AZ2172" s="331">
        <f>SQRT(($R2172-Infrastructure!J$7)^2+($S2172-Infrastructure!K$7)^2)</f>
        <v>8.188406438</v>
      </c>
      <c r="BA2172" s="331">
        <f>SQRT(($R2172-Infrastructure!J$8)^2+($S2172-Infrastructure!K$8)^2)</f>
        <v>9.183136719</v>
      </c>
      <c r="BB2172" s="331">
        <f>SQRT(($R2172-Infrastructure!J$9)^2+($S2172-Infrastructure!K$9)^2)</f>
        <v>15.78353573</v>
      </c>
      <c r="BC2172" s="331">
        <f>SQRT(($R2172-Infrastructure!J$10)^2+($S2172-Infrastructure!K$10)^2)</f>
        <v>17.30924608</v>
      </c>
      <c r="BD2172" s="331">
        <f>SQRT(($R2172-Infrastructure!J$11)^2+($S2172-Infrastructure!K$11)^2)</f>
        <v>26.68126684</v>
      </c>
      <c r="BE2172" s="333">
        <f>SQRT(($R2172-Infrastructure!J$12)^2+($S2172-Infrastructure!K$12)^2)</f>
        <v>48.08752437</v>
      </c>
      <c r="BF2172" s="330">
        <f t="shared" si="161"/>
        <v>8.188406438</v>
      </c>
      <c r="BG2172" s="333">
        <f t="shared" si="162"/>
        <v>48.08752437</v>
      </c>
      <c r="BH2172" s="1119"/>
      <c r="BI2172" s="319" t="str">
        <f t="shared" ref="BI2172:BR2172" si="1196">IF(ISNUMBER(FIND(BI$3, $CO2172)), "Y", "")</f>
        <v/>
      </c>
      <c r="BJ2172" s="319" t="str">
        <f t="shared" si="1196"/>
        <v/>
      </c>
      <c r="BK2172" s="319" t="str">
        <f t="shared" si="1196"/>
        <v>Y</v>
      </c>
      <c r="BL2172" s="319" t="str">
        <f t="shared" si="1196"/>
        <v>Y</v>
      </c>
      <c r="BM2172" s="319" t="str">
        <f t="shared" si="1196"/>
        <v>Y</v>
      </c>
      <c r="BN2172" s="319" t="str">
        <f t="shared" si="1196"/>
        <v>Y</v>
      </c>
      <c r="BO2172" s="319" t="str">
        <f t="shared" si="1196"/>
        <v>Y</v>
      </c>
      <c r="BP2172" s="319" t="str">
        <f t="shared" si="1196"/>
        <v/>
      </c>
      <c r="BQ2172" s="319" t="str">
        <f t="shared" si="1196"/>
        <v>Y</v>
      </c>
      <c r="BR2172" s="319" t="str">
        <f t="shared" si="1196"/>
        <v>Y</v>
      </c>
      <c r="BS2172" s="330">
        <f t="shared" si="185"/>
        <v>8.188406438</v>
      </c>
      <c r="BT2172" s="331">
        <f t="shared" si="170"/>
        <v>48.08752437</v>
      </c>
      <c r="BU2172" s="920">
        <v>0.6153356481481481</v>
      </c>
      <c r="BV2172" s="903">
        <f t="shared" si="186"/>
        <v>0.0005208333333</v>
      </c>
      <c r="BW2172" s="908">
        <v>23.8</v>
      </c>
      <c r="BX2172" s="908">
        <v>12.9</v>
      </c>
      <c r="BY2172" s="331">
        <f t="shared" si="201"/>
        <v>5.433231083</v>
      </c>
      <c r="BZ2172" s="331"/>
      <c r="CA2172" s="462" t="str">
        <f t="shared" ref="CA2172:CJ2172" si="1197">IF(ISNUMBER(FIND(BI$3, $CP2172)), "Y", "")</f>
        <v/>
      </c>
      <c r="CB2172" s="319" t="str">
        <f t="shared" si="1197"/>
        <v/>
      </c>
      <c r="CC2172" s="319" t="str">
        <f t="shared" si="1197"/>
        <v/>
      </c>
      <c r="CD2172" s="319" t="str">
        <f t="shared" si="1197"/>
        <v/>
      </c>
      <c r="CE2172" s="319" t="str">
        <f t="shared" si="1197"/>
        <v/>
      </c>
      <c r="CF2172" s="319" t="str">
        <f t="shared" si="1197"/>
        <v/>
      </c>
      <c r="CG2172" s="319" t="str">
        <f t="shared" si="1197"/>
        <v/>
      </c>
      <c r="CH2172" s="319" t="str">
        <f t="shared" si="1197"/>
        <v/>
      </c>
      <c r="CI2172" s="319" t="str">
        <f t="shared" si="1197"/>
        <v/>
      </c>
      <c r="CJ2172" s="319" t="str">
        <f t="shared" si="1197"/>
        <v/>
      </c>
      <c r="CK2172" s="342">
        <f t="shared" si="182"/>
        <v>0</v>
      </c>
      <c r="CL2172" s="333">
        <f t="shared" si="183"/>
        <v>0</v>
      </c>
      <c r="CM2172" s="1079"/>
      <c r="CN2172" s="1005" t="s">
        <v>3229</v>
      </c>
      <c r="CO2172" s="1005" t="s">
        <v>2527</v>
      </c>
      <c r="CP2172" s="1005"/>
    </row>
    <row r="2173">
      <c r="A2173" s="266"/>
      <c r="B2173" s="1113" t="s">
        <v>3217</v>
      </c>
      <c r="C2173" s="1107">
        <v>45642.0</v>
      </c>
      <c r="D2173" s="103"/>
      <c r="E2173" s="1108">
        <v>12.0</v>
      </c>
      <c r="F2173" s="112" t="s">
        <v>3232</v>
      </c>
      <c r="G2173" s="1110">
        <v>0.6256944444444444</v>
      </c>
      <c r="H2173" s="1110">
        <v>0.6263888888888889</v>
      </c>
      <c r="I2173" s="1110"/>
      <c r="J2173" s="1111"/>
      <c r="K2173" s="1111">
        <v>0.6272569444444445</v>
      </c>
      <c r="L2173" s="1112">
        <v>8.680555555555555E-4</v>
      </c>
      <c r="M2173" s="1113" t="s">
        <v>166</v>
      </c>
      <c r="N2173" s="110" t="s">
        <v>187</v>
      </c>
      <c r="O2173" s="1115" t="s">
        <v>198</v>
      </c>
      <c r="P2173" s="1115" t="s">
        <v>223</v>
      </c>
      <c r="Q2173" s="1116"/>
      <c r="R2173" s="120">
        <v>10.0</v>
      </c>
      <c r="S2173" s="1113">
        <v>11.7</v>
      </c>
      <c r="T2173" s="110">
        <v>0.5</v>
      </c>
      <c r="U2173" s="1108">
        <v>5.5</v>
      </c>
      <c r="V2173" s="1108"/>
      <c r="W2173" s="1108"/>
      <c r="X2173" s="1108"/>
      <c r="Y2173" s="1108"/>
      <c r="Z2173" s="1114" t="s">
        <v>343</v>
      </c>
      <c r="AA2173" s="1114"/>
      <c r="AB2173" s="1114" t="s">
        <v>388</v>
      </c>
      <c r="AC2173" s="1117">
        <v>8.0</v>
      </c>
      <c r="AD2173" s="1115"/>
      <c r="AE2173" s="1115"/>
      <c r="AF2173" s="1115"/>
      <c r="AG2173" s="1115"/>
      <c r="AH2173" s="1115"/>
      <c r="AI2173" s="1115"/>
      <c r="AJ2173" s="1117"/>
      <c r="AK2173" s="1118"/>
      <c r="AL2173" s="1115"/>
      <c r="AM2173" s="1115"/>
      <c r="AN2173" s="1115"/>
      <c r="AO2173" s="1115"/>
      <c r="AP2173" s="1115"/>
      <c r="AQ2173" s="1115"/>
      <c r="AR2173" s="1115"/>
      <c r="AS2173" s="1117"/>
      <c r="AT2173" s="1196" t="str">
        <f t="shared" si="428"/>
        <v>1-10</v>
      </c>
      <c r="AU2173" s="1193"/>
      <c r="AV2173" s="330">
        <f>SQRT(($R2173-Infrastructure!J$3)^2+($S2173-Infrastructure!K$3)^2)</f>
        <v>20.04819194</v>
      </c>
      <c r="AW2173" s="331">
        <f>SQRT(($R2173-Infrastructure!J$4)^2+($S2173-Infrastructure!K$4)^2)</f>
        <v>11.9707978</v>
      </c>
      <c r="AX2173" s="331">
        <f>SQRT(($R2173-Infrastructure!J$5)^2+($S2173-Infrastructure!K$5)^2)</f>
        <v>12.23315168</v>
      </c>
      <c r="AY2173" s="331">
        <f>SQRT(($R2173-Infrastructure!J$6)^2+($S2173-Infrastructure!K$6)^2)</f>
        <v>11.40043859</v>
      </c>
      <c r="AZ2173" s="331">
        <f>SQRT(($R2173-Infrastructure!J$7)^2+($S2173-Infrastructure!K$7)^2)</f>
        <v>15.49870962</v>
      </c>
      <c r="BA2173" s="331">
        <f>SQRT(($R2173-Infrastructure!J$8)^2+($S2173-Infrastructure!K$8)^2)</f>
        <v>23.10779089</v>
      </c>
      <c r="BB2173" s="331">
        <f>SQRT(($R2173-Infrastructure!J$9)^2+($S2173-Infrastructure!K$9)^2)</f>
        <v>30.71742177</v>
      </c>
      <c r="BC2173" s="331">
        <f>SQRT(($R2173-Infrastructure!J$10)^2+($S2173-Infrastructure!K$10)^2)</f>
        <v>30.18095426</v>
      </c>
      <c r="BD2173" s="331">
        <f>SQRT(($R2173-Infrastructure!J$11)^2+($S2173-Infrastructure!K$11)^2)</f>
        <v>34.80416642</v>
      </c>
      <c r="BE2173" s="333">
        <f>SQRT(($R2173-Infrastructure!J$12)^2+($S2173-Infrastructure!K$12)^2)</f>
        <v>45.28454482</v>
      </c>
      <c r="BF2173" s="330">
        <f t="shared" si="161"/>
        <v>11.40043859</v>
      </c>
      <c r="BG2173" s="333">
        <f t="shared" si="162"/>
        <v>45.28454482</v>
      </c>
      <c r="BH2173" s="1119"/>
      <c r="BI2173" s="319" t="str">
        <f t="shared" ref="BI2173:BR2173" si="1198">IF(ISNUMBER(FIND(BI$3, $CO2173)), "Y", "")</f>
        <v>Y</v>
      </c>
      <c r="BJ2173" s="319" t="str">
        <f t="shared" si="1198"/>
        <v/>
      </c>
      <c r="BK2173" s="319" t="str">
        <f t="shared" si="1198"/>
        <v>Y</v>
      </c>
      <c r="BL2173" s="319" t="str">
        <f t="shared" si="1198"/>
        <v>Y</v>
      </c>
      <c r="BM2173" s="319" t="str">
        <f t="shared" si="1198"/>
        <v>Y</v>
      </c>
      <c r="BN2173" s="319" t="str">
        <f t="shared" si="1198"/>
        <v>Y</v>
      </c>
      <c r="BO2173" s="319" t="str">
        <f t="shared" si="1198"/>
        <v/>
      </c>
      <c r="BP2173" s="319" t="str">
        <f t="shared" si="1198"/>
        <v/>
      </c>
      <c r="BQ2173" s="319" t="str">
        <f t="shared" si="1198"/>
        <v/>
      </c>
      <c r="BR2173" s="319" t="str">
        <f t="shared" si="1198"/>
        <v/>
      </c>
      <c r="BS2173" s="330">
        <f t="shared" si="185"/>
        <v>11.40043859</v>
      </c>
      <c r="BT2173" s="331">
        <f t="shared" si="170"/>
        <v>23.10779089</v>
      </c>
      <c r="BU2173" s="920">
        <v>0.6263194444444444</v>
      </c>
      <c r="BV2173" s="903">
        <f t="shared" si="186"/>
        <v>0.000625</v>
      </c>
      <c r="BW2173" s="908">
        <v>5.0</v>
      </c>
      <c r="BX2173" s="908">
        <v>26.6</v>
      </c>
      <c r="BY2173" s="331">
        <f t="shared" si="201"/>
        <v>15.71655178</v>
      </c>
      <c r="BZ2173" s="331"/>
      <c r="CA2173" s="462" t="str">
        <f t="shared" ref="CA2173:CJ2173" si="1199">IF(ISNUMBER(FIND(BI$3, $CP2173)), "Y", "")</f>
        <v/>
      </c>
      <c r="CB2173" s="319" t="str">
        <f t="shared" si="1199"/>
        <v/>
      </c>
      <c r="CC2173" s="319" t="str">
        <f t="shared" si="1199"/>
        <v/>
      </c>
      <c r="CD2173" s="319" t="str">
        <f t="shared" si="1199"/>
        <v/>
      </c>
      <c r="CE2173" s="319" t="str">
        <f t="shared" si="1199"/>
        <v/>
      </c>
      <c r="CF2173" s="319" t="str">
        <f t="shared" si="1199"/>
        <v/>
      </c>
      <c r="CG2173" s="319" t="str">
        <f t="shared" si="1199"/>
        <v/>
      </c>
      <c r="CH2173" s="319" t="str">
        <f t="shared" si="1199"/>
        <v/>
      </c>
      <c r="CI2173" s="319" t="str">
        <f t="shared" si="1199"/>
        <v/>
      </c>
      <c r="CJ2173" s="319" t="str">
        <f t="shared" si="1199"/>
        <v/>
      </c>
      <c r="CK2173" s="342">
        <f t="shared" si="182"/>
        <v>0</v>
      </c>
      <c r="CL2173" s="333">
        <f t="shared" si="183"/>
        <v>0</v>
      </c>
      <c r="CM2173" s="1079"/>
      <c r="CN2173" s="1005" t="s">
        <v>3229</v>
      </c>
      <c r="CO2173" s="1005" t="s">
        <v>2482</v>
      </c>
      <c r="CP2173" s="1005"/>
    </row>
    <row r="2174">
      <c r="A2174" s="266"/>
      <c r="B2174" s="1113" t="s">
        <v>3217</v>
      </c>
      <c r="C2174" s="1107">
        <v>45642.0</v>
      </c>
      <c r="D2174" s="103"/>
      <c r="E2174" s="1108">
        <v>13.0</v>
      </c>
      <c r="F2174" s="112" t="s">
        <v>3233</v>
      </c>
      <c r="G2174" s="1110">
        <v>0.6305555555555555</v>
      </c>
      <c r="H2174" s="1110">
        <v>0.6307291666666667</v>
      </c>
      <c r="I2174" s="1110"/>
      <c r="J2174" s="1111"/>
      <c r="K2174" s="1111">
        <v>0.6315393518518518</v>
      </c>
      <c r="L2174" s="1112">
        <v>8.101851851851852E-4</v>
      </c>
      <c r="M2174" s="1113" t="s">
        <v>166</v>
      </c>
      <c r="N2174" s="110" t="s">
        <v>187</v>
      </c>
      <c r="O2174" s="1115" t="s">
        <v>198</v>
      </c>
      <c r="P2174" s="1115" t="s">
        <v>223</v>
      </c>
      <c r="Q2174" s="1116"/>
      <c r="R2174" s="120">
        <v>10.0</v>
      </c>
      <c r="S2174" s="1113">
        <v>11.7</v>
      </c>
      <c r="T2174" s="110">
        <v>0.5</v>
      </c>
      <c r="U2174" s="1108">
        <v>3.0</v>
      </c>
      <c r="V2174" s="1108"/>
      <c r="W2174" s="1108"/>
      <c r="X2174" s="1108"/>
      <c r="Y2174" s="1108"/>
      <c r="Z2174" s="1114" t="s">
        <v>343</v>
      </c>
      <c r="AA2174" s="1114"/>
      <c r="AB2174" s="1114" t="s">
        <v>388</v>
      </c>
      <c r="AC2174" s="1117">
        <v>8.0</v>
      </c>
      <c r="AD2174" s="1115"/>
      <c r="AE2174" s="1115"/>
      <c r="AF2174" s="1115"/>
      <c r="AG2174" s="1115"/>
      <c r="AH2174" s="1115"/>
      <c r="AI2174" s="1115"/>
      <c r="AJ2174" s="1117"/>
      <c r="AK2174" s="1118"/>
      <c r="AL2174" s="1115"/>
      <c r="AM2174" s="1115"/>
      <c r="AN2174" s="1115"/>
      <c r="AO2174" s="1115"/>
      <c r="AP2174" s="1115"/>
      <c r="AQ2174" s="1115"/>
      <c r="AR2174" s="1115"/>
      <c r="AS2174" s="1117"/>
      <c r="AT2174" s="1196" t="str">
        <f t="shared" si="428"/>
        <v>1-10</v>
      </c>
      <c r="AU2174" s="1193"/>
      <c r="AV2174" s="330">
        <f>SQRT(($R2174-Infrastructure!J$3)^2+($S2174-Infrastructure!K$3)^2)</f>
        <v>20.04819194</v>
      </c>
      <c r="AW2174" s="331">
        <f>SQRT(($R2174-Infrastructure!J$4)^2+($S2174-Infrastructure!K$4)^2)</f>
        <v>11.9707978</v>
      </c>
      <c r="AX2174" s="331">
        <f>SQRT(($R2174-Infrastructure!J$5)^2+($S2174-Infrastructure!K$5)^2)</f>
        <v>12.23315168</v>
      </c>
      <c r="AY2174" s="331">
        <f>SQRT(($R2174-Infrastructure!J$6)^2+($S2174-Infrastructure!K$6)^2)</f>
        <v>11.40043859</v>
      </c>
      <c r="AZ2174" s="331">
        <f>SQRT(($R2174-Infrastructure!J$7)^2+($S2174-Infrastructure!K$7)^2)</f>
        <v>15.49870962</v>
      </c>
      <c r="BA2174" s="331">
        <f>SQRT(($R2174-Infrastructure!J$8)^2+($S2174-Infrastructure!K$8)^2)</f>
        <v>23.10779089</v>
      </c>
      <c r="BB2174" s="331">
        <f>SQRT(($R2174-Infrastructure!J$9)^2+($S2174-Infrastructure!K$9)^2)</f>
        <v>30.71742177</v>
      </c>
      <c r="BC2174" s="331">
        <f>SQRT(($R2174-Infrastructure!J$10)^2+($S2174-Infrastructure!K$10)^2)</f>
        <v>30.18095426</v>
      </c>
      <c r="BD2174" s="331">
        <f>SQRT(($R2174-Infrastructure!J$11)^2+($S2174-Infrastructure!K$11)^2)</f>
        <v>34.80416642</v>
      </c>
      <c r="BE2174" s="333">
        <f>SQRT(($R2174-Infrastructure!J$12)^2+($S2174-Infrastructure!K$12)^2)</f>
        <v>45.28454482</v>
      </c>
      <c r="BF2174" s="330">
        <f t="shared" si="161"/>
        <v>11.40043859</v>
      </c>
      <c r="BG2174" s="333">
        <f t="shared" si="162"/>
        <v>45.28454482</v>
      </c>
      <c r="BH2174" s="1119"/>
      <c r="BI2174" s="319" t="str">
        <f t="shared" ref="BI2174:BR2174" si="1200">IF(ISNUMBER(FIND(BI$3, $CO2174)), "Y", "")</f>
        <v/>
      </c>
      <c r="BJ2174" s="319" t="str">
        <f t="shared" si="1200"/>
        <v/>
      </c>
      <c r="BK2174" s="319" t="str">
        <f t="shared" si="1200"/>
        <v/>
      </c>
      <c r="BL2174" s="319" t="str">
        <f t="shared" si="1200"/>
        <v/>
      </c>
      <c r="BM2174" s="319" t="str">
        <f t="shared" si="1200"/>
        <v/>
      </c>
      <c r="BN2174" s="319" t="str">
        <f t="shared" si="1200"/>
        <v/>
      </c>
      <c r="BO2174" s="319" t="str">
        <f t="shared" si="1200"/>
        <v/>
      </c>
      <c r="BP2174" s="319" t="str">
        <f t="shared" si="1200"/>
        <v/>
      </c>
      <c r="BQ2174" s="319" t="str">
        <f t="shared" si="1200"/>
        <v/>
      </c>
      <c r="BR2174" s="319" t="str">
        <f t="shared" si="1200"/>
        <v/>
      </c>
      <c r="BS2174" s="330">
        <f t="shared" si="185"/>
        <v>0</v>
      </c>
      <c r="BT2174" s="331">
        <f t="shared" si="170"/>
        <v>0</v>
      </c>
      <c r="BU2174" s="920"/>
      <c r="BV2174" s="903" t="str">
        <f t="shared" si="186"/>
        <v/>
      </c>
      <c r="BW2174" s="908"/>
      <c r="BX2174" s="908"/>
      <c r="BY2174" s="331" t="b">
        <f t="shared" si="201"/>
        <v>0</v>
      </c>
      <c r="BZ2174" s="331"/>
      <c r="CA2174" s="462" t="str">
        <f t="shared" ref="CA2174:CJ2174" si="1201">IF(ISNUMBER(FIND(BI$3, $CP2174)), "Y", "")</f>
        <v/>
      </c>
      <c r="CB2174" s="319" t="str">
        <f t="shared" si="1201"/>
        <v/>
      </c>
      <c r="CC2174" s="319" t="str">
        <f t="shared" si="1201"/>
        <v/>
      </c>
      <c r="CD2174" s="319" t="str">
        <f t="shared" si="1201"/>
        <v/>
      </c>
      <c r="CE2174" s="319" t="str">
        <f t="shared" si="1201"/>
        <v/>
      </c>
      <c r="CF2174" s="319" t="str">
        <f t="shared" si="1201"/>
        <v/>
      </c>
      <c r="CG2174" s="319" t="str">
        <f t="shared" si="1201"/>
        <v/>
      </c>
      <c r="CH2174" s="319" t="str">
        <f t="shared" si="1201"/>
        <v/>
      </c>
      <c r="CI2174" s="319" t="str">
        <f t="shared" si="1201"/>
        <v/>
      </c>
      <c r="CJ2174" s="319" t="str">
        <f t="shared" si="1201"/>
        <v/>
      </c>
      <c r="CK2174" s="342">
        <f t="shared" si="182"/>
        <v>0</v>
      </c>
      <c r="CL2174" s="333">
        <f t="shared" si="183"/>
        <v>0</v>
      </c>
      <c r="CM2174" s="1079"/>
      <c r="CN2174" s="1005" t="s">
        <v>3229</v>
      </c>
      <c r="CO2174" s="1005"/>
      <c r="CP2174" s="1005"/>
    </row>
    <row r="2175">
      <c r="A2175" s="266"/>
      <c r="B2175" s="1113" t="s">
        <v>3217</v>
      </c>
      <c r="C2175" s="1107">
        <v>45642.0</v>
      </c>
      <c r="D2175" s="103"/>
      <c r="E2175" s="1137"/>
      <c r="F2175" s="112" t="s">
        <v>3234</v>
      </c>
      <c r="G2175" s="1110">
        <v>0.6664930555555556</v>
      </c>
      <c r="H2175" s="1138"/>
      <c r="I2175" s="1138"/>
      <c r="J2175" s="1139"/>
      <c r="K2175" s="1111">
        <v>0.6675347222222222</v>
      </c>
      <c r="L2175" s="1112">
        <v>0.0010416666666666667</v>
      </c>
      <c r="M2175" s="1113" t="s">
        <v>166</v>
      </c>
      <c r="N2175" s="110" t="s">
        <v>188</v>
      </c>
      <c r="O2175" s="1140"/>
      <c r="P2175" s="1115" t="s">
        <v>292</v>
      </c>
      <c r="Q2175" s="1116"/>
      <c r="R2175" s="1141"/>
      <c r="S2175" s="1113"/>
      <c r="T2175" s="1143"/>
      <c r="U2175" s="1108" t="s">
        <v>323</v>
      </c>
      <c r="V2175" s="1108"/>
      <c r="W2175" s="1108"/>
      <c r="X2175" s="1108"/>
      <c r="Y2175" s="1108"/>
      <c r="Z2175" s="1114" t="s">
        <v>323</v>
      </c>
      <c r="AA2175" s="1114"/>
      <c r="AB2175" s="1114" t="s">
        <v>323</v>
      </c>
      <c r="AC2175" s="1117" t="s">
        <v>323</v>
      </c>
      <c r="AD2175" s="1115"/>
      <c r="AE2175" s="1115"/>
      <c r="AF2175" s="1115"/>
      <c r="AG2175" s="1115"/>
      <c r="AH2175" s="1115"/>
      <c r="AI2175" s="1115"/>
      <c r="AJ2175" s="1117"/>
      <c r="AK2175" s="1118"/>
      <c r="AL2175" s="1115"/>
      <c r="AM2175" s="1115"/>
      <c r="AN2175" s="1115"/>
      <c r="AO2175" s="1115"/>
      <c r="AP2175" s="1115"/>
      <c r="AQ2175" s="1115"/>
      <c r="AR2175" s="1115"/>
      <c r="AS2175" s="1117"/>
      <c r="AT2175" s="1196" t="str">
        <f t="shared" si="428"/>
        <v/>
      </c>
      <c r="AU2175" s="1193"/>
      <c r="AV2175" s="330">
        <f>SQRT(($R2175-Infrastructure!J$3)^2+($S2175-Infrastructure!K$3)^2)</f>
        <v>28.90155705</v>
      </c>
      <c r="AW2175" s="331">
        <f>SQRT(($R2175-Infrastructure!J$4)^2+($S2175-Infrastructure!K$4)^2)</f>
        <v>17.80252791</v>
      </c>
      <c r="AX2175" s="331">
        <f>SQRT(($R2175-Infrastructure!J$5)^2+($S2175-Infrastructure!K$5)^2)</f>
        <v>5.10881591</v>
      </c>
      <c r="AY2175" s="331">
        <f>SQRT(($R2175-Infrastructure!J$6)^2+($S2175-Infrastructure!K$6)^2)</f>
        <v>10.10445446</v>
      </c>
      <c r="AZ2175" s="331">
        <f>SQRT(($R2175-Infrastructure!J$7)^2+($S2175-Infrastructure!K$7)^2)</f>
        <v>20.502195</v>
      </c>
      <c r="BA2175" s="331">
        <f>SQRT(($R2175-Infrastructure!J$8)^2+($S2175-Infrastructure!K$8)^2)</f>
        <v>30.10149498</v>
      </c>
      <c r="BB2175" s="331">
        <f>SQRT(($R2175-Infrastructure!J$9)^2+($S2175-Infrastructure!K$9)^2)</f>
        <v>40.3238143</v>
      </c>
      <c r="BC2175" s="331">
        <f>SQRT(($R2175-Infrastructure!J$10)^2+($S2175-Infrastructure!K$10)^2)</f>
        <v>42.72001873</v>
      </c>
      <c r="BD2175" s="331">
        <f>SQRT(($R2175-Infrastructure!J$11)^2+($S2175-Infrastructure!K$11)^2)</f>
        <v>49.56853841</v>
      </c>
      <c r="BE2175" s="333">
        <f>SQRT(($R2175-Infrastructure!J$12)^2+($S2175-Infrastructure!K$12)^2)</f>
        <v>59.51890456</v>
      </c>
      <c r="BF2175" s="330">
        <f t="shared" si="161"/>
        <v>5.10881591</v>
      </c>
      <c r="BG2175" s="333">
        <f t="shared" si="162"/>
        <v>59.51890456</v>
      </c>
      <c r="BH2175" s="1119"/>
      <c r="BI2175" s="319" t="str">
        <f t="shared" ref="BI2175:BR2175" si="1202">IF(ISNUMBER(FIND(BI$3, $CO2175)), "Y", "")</f>
        <v>Y</v>
      </c>
      <c r="BJ2175" s="319" t="str">
        <f t="shared" si="1202"/>
        <v/>
      </c>
      <c r="BK2175" s="319" t="str">
        <f t="shared" si="1202"/>
        <v>Y</v>
      </c>
      <c r="BL2175" s="319" t="str">
        <f t="shared" si="1202"/>
        <v>Y</v>
      </c>
      <c r="BM2175" s="319" t="str">
        <f t="shared" si="1202"/>
        <v>Y</v>
      </c>
      <c r="BN2175" s="319" t="str">
        <f t="shared" si="1202"/>
        <v>Y</v>
      </c>
      <c r="BO2175" s="319" t="str">
        <f t="shared" si="1202"/>
        <v>Y</v>
      </c>
      <c r="BP2175" s="319" t="str">
        <f t="shared" si="1202"/>
        <v/>
      </c>
      <c r="BQ2175" s="319" t="str">
        <f t="shared" si="1202"/>
        <v>Y</v>
      </c>
      <c r="BR2175" s="319" t="str">
        <f t="shared" si="1202"/>
        <v>Y</v>
      </c>
      <c r="BS2175" s="330">
        <f t="shared" si="185"/>
        <v>5.10881591</v>
      </c>
      <c r="BT2175" s="331">
        <f t="shared" si="170"/>
        <v>59.51890456</v>
      </c>
      <c r="BU2175" s="1250">
        <v>0.6672337962962963</v>
      </c>
      <c r="BV2175" s="903">
        <f t="shared" si="186"/>
        <v>0.0007407407407</v>
      </c>
      <c r="BW2175" s="908">
        <v>8.6</v>
      </c>
      <c r="BX2175" s="908">
        <v>36.5</v>
      </c>
      <c r="BY2175" s="331">
        <f t="shared" si="201"/>
        <v>37.49946666</v>
      </c>
      <c r="BZ2175" s="331"/>
      <c r="CA2175" s="462" t="str">
        <f t="shared" ref="CA2175:CJ2175" si="1203">IF(ISNUMBER(FIND(BI$3, $CP2175)), "Y", "")</f>
        <v/>
      </c>
      <c r="CB2175" s="319" t="str">
        <f t="shared" si="1203"/>
        <v/>
      </c>
      <c r="CC2175" s="319" t="str">
        <f t="shared" si="1203"/>
        <v/>
      </c>
      <c r="CD2175" s="319" t="str">
        <f t="shared" si="1203"/>
        <v/>
      </c>
      <c r="CE2175" s="319" t="str">
        <f t="shared" si="1203"/>
        <v/>
      </c>
      <c r="CF2175" s="319" t="str">
        <f t="shared" si="1203"/>
        <v/>
      </c>
      <c r="CG2175" s="319" t="str">
        <f t="shared" si="1203"/>
        <v/>
      </c>
      <c r="CH2175" s="319" t="str">
        <f t="shared" si="1203"/>
        <v/>
      </c>
      <c r="CI2175" s="319" t="str">
        <f t="shared" si="1203"/>
        <v/>
      </c>
      <c r="CJ2175" s="319" t="str">
        <f t="shared" si="1203"/>
        <v/>
      </c>
      <c r="CK2175" s="342">
        <f t="shared" si="182"/>
        <v>0</v>
      </c>
      <c r="CL2175" s="333">
        <f t="shared" si="183"/>
        <v>0</v>
      </c>
      <c r="CM2175" s="1079"/>
      <c r="CN2175" s="1005" t="s">
        <v>3229</v>
      </c>
      <c r="CO2175" s="1005" t="s">
        <v>2460</v>
      </c>
      <c r="CP2175" s="1005"/>
    </row>
    <row r="2176">
      <c r="A2176" s="1258"/>
      <c r="B2176" s="1129" t="s">
        <v>3217</v>
      </c>
      <c r="C2176" s="1122">
        <v>45642.0</v>
      </c>
      <c r="D2176" s="1123"/>
      <c r="E2176" s="1144"/>
      <c r="F2176" s="108" t="s">
        <v>3234</v>
      </c>
      <c r="G2176" s="1126">
        <v>0.6725694444444444</v>
      </c>
      <c r="H2176" s="1145"/>
      <c r="I2176" s="1145"/>
      <c r="J2176" s="1146"/>
      <c r="K2176" s="1127">
        <v>0.6734375</v>
      </c>
      <c r="L2176" s="1128">
        <v>8.680555555555555E-4</v>
      </c>
      <c r="M2176" s="1129" t="s">
        <v>358</v>
      </c>
      <c r="N2176" s="100" t="s">
        <v>188</v>
      </c>
      <c r="O2176" s="1161"/>
      <c r="P2176" s="1131" t="s">
        <v>294</v>
      </c>
      <c r="Q2176" s="1132"/>
      <c r="R2176" s="1148"/>
      <c r="S2176" s="1129"/>
      <c r="T2176" s="1150"/>
      <c r="U2176" s="1124" t="s">
        <v>323</v>
      </c>
      <c r="V2176" s="1124"/>
      <c r="W2176" s="1124"/>
      <c r="X2176" s="1124"/>
      <c r="Y2176" s="1124"/>
      <c r="Z2176" s="1130" t="s">
        <v>323</v>
      </c>
      <c r="AA2176" s="1130"/>
      <c r="AB2176" s="1130" t="s">
        <v>323</v>
      </c>
      <c r="AC2176" s="1133" t="s">
        <v>323</v>
      </c>
      <c r="AD2176" s="1131"/>
      <c r="AE2176" s="1131"/>
      <c r="AF2176" s="1131"/>
      <c r="AG2176" s="1131"/>
      <c r="AH2176" s="1131"/>
      <c r="AI2176" s="1131"/>
      <c r="AJ2176" s="1133"/>
      <c r="AK2176" s="1134"/>
      <c r="AL2176" s="1131"/>
      <c r="AM2176" s="1131"/>
      <c r="AN2176" s="1131"/>
      <c r="AO2176" s="1131"/>
      <c r="AP2176" s="1131"/>
      <c r="AQ2176" s="1131"/>
      <c r="AR2176" s="1131"/>
      <c r="AS2176" s="1133"/>
      <c r="AT2176" s="1197" t="str">
        <f t="shared" si="428"/>
        <v/>
      </c>
      <c r="AU2176" s="1194"/>
      <c r="AV2176" s="662">
        <f>SQRT(($R2176-Infrastructure!J$3)^2+($S2176-Infrastructure!K$3)^2)</f>
        <v>28.90155705</v>
      </c>
      <c r="AW2176" s="641">
        <f>SQRT(($R2176-Infrastructure!J$4)^2+($S2176-Infrastructure!K$4)^2)</f>
        <v>17.80252791</v>
      </c>
      <c r="AX2176" s="641">
        <f>SQRT(($R2176-Infrastructure!J$5)^2+($S2176-Infrastructure!K$5)^2)</f>
        <v>5.10881591</v>
      </c>
      <c r="AY2176" s="641">
        <f>SQRT(($R2176-Infrastructure!J$6)^2+($S2176-Infrastructure!K$6)^2)</f>
        <v>10.10445446</v>
      </c>
      <c r="AZ2176" s="641">
        <f>SQRT(($R2176-Infrastructure!J$7)^2+($S2176-Infrastructure!K$7)^2)</f>
        <v>20.502195</v>
      </c>
      <c r="BA2176" s="641">
        <f>SQRT(($R2176-Infrastructure!J$8)^2+($S2176-Infrastructure!K$8)^2)</f>
        <v>30.10149498</v>
      </c>
      <c r="BB2176" s="641">
        <f>SQRT(($R2176-Infrastructure!J$9)^2+($S2176-Infrastructure!K$9)^2)</f>
        <v>40.3238143</v>
      </c>
      <c r="BC2176" s="641">
        <f>SQRT(($R2176-Infrastructure!J$10)^2+($S2176-Infrastructure!K$10)^2)</f>
        <v>42.72001873</v>
      </c>
      <c r="BD2176" s="641">
        <f>SQRT(($R2176-Infrastructure!J$11)^2+($S2176-Infrastructure!K$11)^2)</f>
        <v>49.56853841</v>
      </c>
      <c r="BE2176" s="642">
        <f>SQRT(($R2176-Infrastructure!J$12)^2+($S2176-Infrastructure!K$12)^2)</f>
        <v>59.51890456</v>
      </c>
      <c r="BF2176" s="662">
        <f t="shared" si="161"/>
        <v>5.10881591</v>
      </c>
      <c r="BG2176" s="642">
        <f t="shared" si="162"/>
        <v>59.51890456</v>
      </c>
      <c r="BH2176" s="1135"/>
      <c r="BI2176" s="663" t="str">
        <f t="shared" ref="BI2176:BR2176" si="1204">IF(ISNUMBER(FIND(BI$3, $CO2176)), "Y", "")</f>
        <v/>
      </c>
      <c r="BJ2176" s="663" t="str">
        <f t="shared" si="1204"/>
        <v/>
      </c>
      <c r="BK2176" s="663" t="str">
        <f t="shared" si="1204"/>
        <v/>
      </c>
      <c r="BL2176" s="663" t="str">
        <f t="shared" si="1204"/>
        <v/>
      </c>
      <c r="BM2176" s="663" t="str">
        <f t="shared" si="1204"/>
        <v/>
      </c>
      <c r="BN2176" s="663" t="str">
        <f t="shared" si="1204"/>
        <v/>
      </c>
      <c r="BO2176" s="663" t="str">
        <f t="shared" si="1204"/>
        <v/>
      </c>
      <c r="BP2176" s="663" t="str">
        <f t="shared" si="1204"/>
        <v/>
      </c>
      <c r="BQ2176" s="663" t="str">
        <f t="shared" si="1204"/>
        <v/>
      </c>
      <c r="BR2176" s="663" t="str">
        <f t="shared" si="1204"/>
        <v/>
      </c>
      <c r="BS2176" s="662">
        <f t="shared" si="185"/>
        <v>0</v>
      </c>
      <c r="BT2176" s="641">
        <f t="shared" si="170"/>
        <v>0</v>
      </c>
      <c r="BU2176" s="937"/>
      <c r="BV2176" s="930" t="str">
        <f t="shared" si="186"/>
        <v/>
      </c>
      <c r="BW2176" s="939"/>
      <c r="BX2176" s="939"/>
      <c r="BY2176" s="641" t="b">
        <f t="shared" si="201"/>
        <v>0</v>
      </c>
      <c r="BZ2176" s="641"/>
      <c r="CA2176" s="635" t="str">
        <f t="shared" ref="CA2176:CJ2176" si="1205">IF(ISNUMBER(FIND(BI$3, $CP2176)), "Y", "")</f>
        <v/>
      </c>
      <c r="CB2176" s="663" t="str">
        <f t="shared" si="1205"/>
        <v/>
      </c>
      <c r="CC2176" s="663" t="str">
        <f t="shared" si="1205"/>
        <v/>
      </c>
      <c r="CD2176" s="663" t="str">
        <f t="shared" si="1205"/>
        <v/>
      </c>
      <c r="CE2176" s="663" t="str">
        <f t="shared" si="1205"/>
        <v/>
      </c>
      <c r="CF2176" s="663" t="str">
        <f t="shared" si="1205"/>
        <v/>
      </c>
      <c r="CG2176" s="663" t="str">
        <f t="shared" si="1205"/>
        <v/>
      </c>
      <c r="CH2176" s="663" t="str">
        <f t="shared" si="1205"/>
        <v/>
      </c>
      <c r="CI2176" s="663" t="str">
        <f t="shared" si="1205"/>
        <v/>
      </c>
      <c r="CJ2176" s="663" t="str">
        <f t="shared" si="1205"/>
        <v/>
      </c>
      <c r="CK2176" s="743">
        <f t="shared" si="182"/>
        <v>0</v>
      </c>
      <c r="CL2176" s="642">
        <f t="shared" si="183"/>
        <v>0</v>
      </c>
      <c r="CM2176" s="1090"/>
      <c r="CN2176" s="1036" t="s">
        <v>3229</v>
      </c>
      <c r="CO2176" s="1036"/>
      <c r="CP2176" s="1036"/>
    </row>
    <row r="2177">
      <c r="A2177" s="1257" t="s">
        <v>151</v>
      </c>
      <c r="B2177" s="1113" t="s">
        <v>3217</v>
      </c>
      <c r="C2177" s="1107">
        <v>45644.0</v>
      </c>
      <c r="D2177" s="103"/>
      <c r="E2177" s="1108">
        <v>1.0</v>
      </c>
      <c r="F2177" s="112" t="s">
        <v>3235</v>
      </c>
      <c r="G2177" s="1110">
        <v>0.6944444444444444</v>
      </c>
      <c r="H2177" s="1110">
        <v>0.6947916666666667</v>
      </c>
      <c r="I2177" s="1110"/>
      <c r="J2177" s="1111"/>
      <c r="K2177" s="1111">
        <v>0.7097222222222223</v>
      </c>
      <c r="L2177" s="1112">
        <v>0.014930555555555556</v>
      </c>
      <c r="M2177" s="1113" t="s">
        <v>166</v>
      </c>
      <c r="N2177" s="110" t="s">
        <v>188</v>
      </c>
      <c r="O2177" s="1115" t="s">
        <v>3236</v>
      </c>
      <c r="P2177" s="1115" t="s">
        <v>272</v>
      </c>
      <c r="Q2177" s="1116"/>
      <c r="R2177" s="120">
        <v>18.3</v>
      </c>
      <c r="S2177" s="1113">
        <v>42.1</v>
      </c>
      <c r="T2177" s="110">
        <v>20.0</v>
      </c>
      <c r="U2177" s="1108">
        <v>1.0</v>
      </c>
      <c r="V2177" s="1108"/>
      <c r="W2177" s="1108"/>
      <c r="X2177" s="1108"/>
      <c r="Y2177" s="1108"/>
      <c r="Z2177" s="1114" t="s">
        <v>1221</v>
      </c>
      <c r="AA2177" s="1114"/>
      <c r="AB2177" s="1114" t="s">
        <v>3237</v>
      </c>
      <c r="AC2177" s="1117">
        <v>16.2</v>
      </c>
      <c r="AD2177" s="1115"/>
      <c r="AE2177" s="1115"/>
      <c r="AF2177" s="1115"/>
      <c r="AG2177" s="1115"/>
      <c r="AH2177" s="1115"/>
      <c r="AI2177" s="1115"/>
      <c r="AJ2177" s="1117"/>
      <c r="AK2177" s="1118"/>
      <c r="AL2177" s="1115"/>
      <c r="AM2177" s="1115"/>
      <c r="AN2177" s="1115"/>
      <c r="AO2177" s="1115"/>
      <c r="AP2177" s="1115"/>
      <c r="AQ2177" s="1115"/>
      <c r="AR2177" s="1115"/>
      <c r="AS2177" s="1117"/>
      <c r="AT2177" s="1196" t="str">
        <f t="shared" si="428"/>
        <v>1-10</v>
      </c>
      <c r="AU2177" s="1193"/>
      <c r="AV2177" s="330">
        <f>SQRT(($R2177-Infrastructure!J$3)^2+($S2177-Infrastructure!K$3)^2)</f>
        <v>22.80789337</v>
      </c>
      <c r="AW2177" s="331">
        <f>SQRT(($R2177-Infrastructure!J$4)^2+($S2177-Infrastructure!K$4)^2)</f>
        <v>30.60147055</v>
      </c>
      <c r="AX2177" s="331">
        <f>SQRT(($R2177-Infrastructure!J$5)^2+($S2177-Infrastructure!K$5)^2)</f>
        <v>41.41207553</v>
      </c>
      <c r="AY2177" s="331">
        <f>SQRT(($R2177-Infrastructure!J$6)^2+($S2177-Infrastructure!K$6)^2)</f>
        <v>42.59671349</v>
      </c>
      <c r="AZ2177" s="331">
        <f>SQRT(($R2177-Infrastructure!J$7)^2+($S2177-Infrastructure!K$7)^2)</f>
        <v>41.8578547</v>
      </c>
      <c r="BA2177" s="331">
        <f>SQRT(($R2177-Infrastructure!J$8)^2+($S2177-Infrastructure!K$8)^2)</f>
        <v>43.43362753</v>
      </c>
      <c r="BB2177" s="331">
        <f>SQRT(($R2177-Infrastructure!J$9)^2+($S2177-Infrastructure!K$9)^2)</f>
        <v>42.89393897</v>
      </c>
      <c r="BC2177" s="331">
        <f>SQRT(($R2177-Infrastructure!J$10)^2+($S2177-Infrastructure!K$10)^2)</f>
        <v>34.71743078</v>
      </c>
      <c r="BD2177" s="331">
        <f>SQRT(($R2177-Infrastructure!J$11)^2+($S2177-Infrastructure!K$11)^2)</f>
        <v>25.51901252</v>
      </c>
      <c r="BE2177" s="333">
        <f>SQRT(($R2177-Infrastructure!J$12)^2+($S2177-Infrastructure!K$12)^2)</f>
        <v>13.77679208</v>
      </c>
      <c r="BF2177" s="330">
        <f t="shared" si="161"/>
        <v>13.77679208</v>
      </c>
      <c r="BG2177" s="333">
        <f t="shared" si="162"/>
        <v>43.43362753</v>
      </c>
      <c r="BH2177" s="1119"/>
      <c r="BI2177" s="319" t="str">
        <f t="shared" ref="BI2177:BR2177" si="1206">IF(ISNUMBER(FIND(BI$3, $CO2177)), "Y", "")</f>
        <v/>
      </c>
      <c r="BJ2177" s="319" t="str">
        <f t="shared" si="1206"/>
        <v/>
      </c>
      <c r="BK2177" s="319" t="str">
        <f t="shared" si="1206"/>
        <v/>
      </c>
      <c r="BL2177" s="319" t="str">
        <f t="shared" si="1206"/>
        <v/>
      </c>
      <c r="BM2177" s="319" t="str">
        <f t="shared" si="1206"/>
        <v/>
      </c>
      <c r="BN2177" s="319" t="str">
        <f t="shared" si="1206"/>
        <v/>
      </c>
      <c r="BO2177" s="319" t="str">
        <f t="shared" si="1206"/>
        <v/>
      </c>
      <c r="BP2177" s="319" t="str">
        <f t="shared" si="1206"/>
        <v/>
      </c>
      <c r="BQ2177" s="319" t="str">
        <f t="shared" si="1206"/>
        <v/>
      </c>
      <c r="BR2177" s="319" t="str">
        <f t="shared" si="1206"/>
        <v/>
      </c>
      <c r="BS2177" s="330">
        <f t="shared" si="185"/>
        <v>0</v>
      </c>
      <c r="BT2177" s="331">
        <f t="shared" si="170"/>
        <v>0</v>
      </c>
      <c r="BU2177" s="920"/>
      <c r="BV2177" s="903" t="str">
        <f t="shared" si="186"/>
        <v/>
      </c>
      <c r="BW2177" s="908"/>
      <c r="BX2177" s="908"/>
      <c r="BY2177" s="331" t="b">
        <f t="shared" si="201"/>
        <v>0</v>
      </c>
      <c r="BZ2177" s="331"/>
      <c r="CA2177" s="462" t="str">
        <f t="shared" ref="CA2177:CJ2177" si="1207">IF(ISNUMBER(FIND(BI$3, $CP2177)), "Y", "")</f>
        <v/>
      </c>
      <c r="CB2177" s="319" t="str">
        <f t="shared" si="1207"/>
        <v/>
      </c>
      <c r="CC2177" s="319" t="str">
        <f t="shared" si="1207"/>
        <v/>
      </c>
      <c r="CD2177" s="319" t="str">
        <f t="shared" si="1207"/>
        <v/>
      </c>
      <c r="CE2177" s="319" t="str">
        <f t="shared" si="1207"/>
        <v/>
      </c>
      <c r="CF2177" s="319" t="str">
        <f t="shared" si="1207"/>
        <v/>
      </c>
      <c r="CG2177" s="319" t="str">
        <f t="shared" si="1207"/>
        <v/>
      </c>
      <c r="CH2177" s="319" t="str">
        <f t="shared" si="1207"/>
        <v/>
      </c>
      <c r="CI2177" s="319" t="str">
        <f t="shared" si="1207"/>
        <v/>
      </c>
      <c r="CJ2177" s="319" t="str">
        <f t="shared" si="1207"/>
        <v/>
      </c>
      <c r="CK2177" s="342">
        <f t="shared" si="182"/>
        <v>0</v>
      </c>
      <c r="CL2177" s="333">
        <f t="shared" si="183"/>
        <v>0</v>
      </c>
      <c r="CM2177" s="1079" t="s">
        <v>3238</v>
      </c>
      <c r="CN2177" s="1005" t="s">
        <v>3239</v>
      </c>
      <c r="CO2177" s="1005"/>
      <c r="CP2177" s="1005"/>
    </row>
    <row r="2178">
      <c r="A2178" s="1258"/>
      <c r="B2178" s="1129" t="s">
        <v>3217</v>
      </c>
      <c r="C2178" s="1122">
        <v>45644.0</v>
      </c>
      <c r="D2178" s="1123"/>
      <c r="E2178" s="1144"/>
      <c r="F2178" s="108" t="s">
        <v>3240</v>
      </c>
      <c r="G2178" s="1126">
        <v>0.7111111111111111</v>
      </c>
      <c r="H2178" s="1145"/>
      <c r="I2178" s="1145"/>
      <c r="J2178" s="1146"/>
      <c r="K2178" s="1127">
        <v>0.7131944444444445</v>
      </c>
      <c r="L2178" s="1128">
        <v>0.0020833333333333333</v>
      </c>
      <c r="M2178" s="1129" t="s">
        <v>166</v>
      </c>
      <c r="N2178" s="100" t="s">
        <v>188</v>
      </c>
      <c r="O2178" s="1161"/>
      <c r="P2178" s="1131" t="s">
        <v>292</v>
      </c>
      <c r="Q2178" s="1132"/>
      <c r="R2178" s="1148"/>
      <c r="S2178" s="1129"/>
      <c r="T2178" s="1150"/>
      <c r="U2178" s="1124" t="s">
        <v>323</v>
      </c>
      <c r="V2178" s="1124"/>
      <c r="W2178" s="1124"/>
      <c r="X2178" s="1124"/>
      <c r="Y2178" s="1124"/>
      <c r="Z2178" s="1130" t="s">
        <v>323</v>
      </c>
      <c r="AA2178" s="1130"/>
      <c r="AB2178" s="1130" t="s">
        <v>323</v>
      </c>
      <c r="AC2178" s="1133" t="s">
        <v>323</v>
      </c>
      <c r="AD2178" s="1131"/>
      <c r="AE2178" s="1131"/>
      <c r="AF2178" s="1131"/>
      <c r="AG2178" s="1131"/>
      <c r="AH2178" s="1131"/>
      <c r="AI2178" s="1131"/>
      <c r="AJ2178" s="1133"/>
      <c r="AK2178" s="1134"/>
      <c r="AL2178" s="1131"/>
      <c r="AM2178" s="1131"/>
      <c r="AN2178" s="1131"/>
      <c r="AO2178" s="1131"/>
      <c r="AP2178" s="1131"/>
      <c r="AQ2178" s="1131"/>
      <c r="AR2178" s="1131"/>
      <c r="AS2178" s="1133"/>
      <c r="AT2178" s="1197" t="str">
        <f t="shared" si="428"/>
        <v/>
      </c>
      <c r="AU2178" s="1194"/>
      <c r="AV2178" s="662">
        <f>SQRT(($R2178-Infrastructure!J$3)^2+($S2178-Infrastructure!K$3)^2)</f>
        <v>28.90155705</v>
      </c>
      <c r="AW2178" s="641">
        <f>SQRT(($R2178-Infrastructure!J$4)^2+($S2178-Infrastructure!K$4)^2)</f>
        <v>17.80252791</v>
      </c>
      <c r="AX2178" s="641">
        <f>SQRT(($R2178-Infrastructure!J$5)^2+($S2178-Infrastructure!K$5)^2)</f>
        <v>5.10881591</v>
      </c>
      <c r="AY2178" s="641">
        <f>SQRT(($R2178-Infrastructure!J$6)^2+($S2178-Infrastructure!K$6)^2)</f>
        <v>10.10445446</v>
      </c>
      <c r="AZ2178" s="641">
        <f>SQRT(($R2178-Infrastructure!J$7)^2+($S2178-Infrastructure!K$7)^2)</f>
        <v>20.502195</v>
      </c>
      <c r="BA2178" s="641">
        <f>SQRT(($R2178-Infrastructure!J$8)^2+($S2178-Infrastructure!K$8)^2)</f>
        <v>30.10149498</v>
      </c>
      <c r="BB2178" s="641">
        <f>SQRT(($R2178-Infrastructure!J$9)^2+($S2178-Infrastructure!K$9)^2)</f>
        <v>40.3238143</v>
      </c>
      <c r="BC2178" s="641">
        <f>SQRT(($R2178-Infrastructure!J$10)^2+($S2178-Infrastructure!K$10)^2)</f>
        <v>42.72001873</v>
      </c>
      <c r="BD2178" s="641">
        <f>SQRT(($R2178-Infrastructure!J$11)^2+($S2178-Infrastructure!K$11)^2)</f>
        <v>49.56853841</v>
      </c>
      <c r="BE2178" s="642">
        <f>SQRT(($R2178-Infrastructure!J$12)^2+($S2178-Infrastructure!K$12)^2)</f>
        <v>59.51890456</v>
      </c>
      <c r="BF2178" s="662">
        <f t="shared" si="161"/>
        <v>5.10881591</v>
      </c>
      <c r="BG2178" s="642">
        <f t="shared" si="162"/>
        <v>59.51890456</v>
      </c>
      <c r="BH2178" s="1135"/>
      <c r="BI2178" s="663" t="str">
        <f t="shared" ref="BI2178:BR2178" si="1208">IF(ISNUMBER(FIND(BI$3, $CO2178)), "Y", "")</f>
        <v/>
      </c>
      <c r="BJ2178" s="663" t="str">
        <f t="shared" si="1208"/>
        <v/>
      </c>
      <c r="BK2178" s="663" t="str">
        <f t="shared" si="1208"/>
        <v/>
      </c>
      <c r="BL2178" s="663" t="str">
        <f t="shared" si="1208"/>
        <v/>
      </c>
      <c r="BM2178" s="663" t="str">
        <f t="shared" si="1208"/>
        <v/>
      </c>
      <c r="BN2178" s="663" t="str">
        <f t="shared" si="1208"/>
        <v/>
      </c>
      <c r="BO2178" s="663" t="str">
        <f t="shared" si="1208"/>
        <v/>
      </c>
      <c r="BP2178" s="663" t="str">
        <f t="shared" si="1208"/>
        <v/>
      </c>
      <c r="BQ2178" s="663" t="str">
        <f t="shared" si="1208"/>
        <v/>
      </c>
      <c r="BR2178" s="663" t="str">
        <f t="shared" si="1208"/>
        <v/>
      </c>
      <c r="BS2178" s="662">
        <f t="shared" si="185"/>
        <v>0</v>
      </c>
      <c r="BT2178" s="641">
        <f t="shared" si="170"/>
        <v>0</v>
      </c>
      <c r="BU2178" s="937"/>
      <c r="BV2178" s="930" t="str">
        <f t="shared" si="186"/>
        <v/>
      </c>
      <c r="BW2178" s="939"/>
      <c r="BX2178" s="939"/>
      <c r="BY2178" s="641" t="b">
        <f t="shared" si="201"/>
        <v>0</v>
      </c>
      <c r="BZ2178" s="641"/>
      <c r="CA2178" s="635" t="str">
        <f t="shared" ref="CA2178:CJ2178" si="1209">IF(ISNUMBER(FIND(BI$3, $CP2178)), "Y", "")</f>
        <v/>
      </c>
      <c r="CB2178" s="663" t="str">
        <f t="shared" si="1209"/>
        <v/>
      </c>
      <c r="CC2178" s="663" t="str">
        <f t="shared" si="1209"/>
        <v/>
      </c>
      <c r="CD2178" s="663" t="str">
        <f t="shared" si="1209"/>
        <v/>
      </c>
      <c r="CE2178" s="663" t="str">
        <f t="shared" si="1209"/>
        <v/>
      </c>
      <c r="CF2178" s="663" t="str">
        <f t="shared" si="1209"/>
        <v/>
      </c>
      <c r="CG2178" s="663" t="str">
        <f t="shared" si="1209"/>
        <v/>
      </c>
      <c r="CH2178" s="663" t="str">
        <f t="shared" si="1209"/>
        <v/>
      </c>
      <c r="CI2178" s="663" t="str">
        <f t="shared" si="1209"/>
        <v/>
      </c>
      <c r="CJ2178" s="663" t="str">
        <f t="shared" si="1209"/>
        <v/>
      </c>
      <c r="CK2178" s="743">
        <f t="shared" si="182"/>
        <v>0</v>
      </c>
      <c r="CL2178" s="642">
        <f t="shared" si="183"/>
        <v>0</v>
      </c>
      <c r="CM2178" s="1090" t="s">
        <v>3238</v>
      </c>
      <c r="CN2178" s="1036" t="s">
        <v>3239</v>
      </c>
      <c r="CO2178" s="1036"/>
      <c r="CP2178" s="1036"/>
    </row>
    <row r="2179">
      <c r="A2179" s="1257" t="s">
        <v>151</v>
      </c>
      <c r="B2179" s="1113" t="s">
        <v>3217</v>
      </c>
      <c r="C2179" s="1107">
        <v>45645.0</v>
      </c>
      <c r="D2179" s="103"/>
      <c r="E2179" s="1108">
        <v>1.0</v>
      </c>
      <c r="F2179" s="112" t="s">
        <v>3241</v>
      </c>
      <c r="G2179" s="1110">
        <v>0.4170138888888889</v>
      </c>
      <c r="H2179" s="1110">
        <v>0.4173611111111111</v>
      </c>
      <c r="I2179" s="1110"/>
      <c r="J2179" s="1111"/>
      <c r="K2179" s="1111">
        <v>0.41875</v>
      </c>
      <c r="L2179" s="1112">
        <v>0.001388888888888889</v>
      </c>
      <c r="M2179" s="1113" t="s">
        <v>166</v>
      </c>
      <c r="N2179" s="110" t="s">
        <v>188</v>
      </c>
      <c r="O2179" s="1115" t="s">
        <v>3236</v>
      </c>
      <c r="P2179" s="1115" t="s">
        <v>272</v>
      </c>
      <c r="Q2179" s="1116"/>
      <c r="R2179" s="120">
        <v>18.3</v>
      </c>
      <c r="S2179" s="1113">
        <v>42.1</v>
      </c>
      <c r="T2179" s="110">
        <v>20.0</v>
      </c>
      <c r="U2179" s="1108">
        <v>1.0</v>
      </c>
      <c r="V2179" s="1108"/>
      <c r="W2179" s="1108"/>
      <c r="X2179" s="1108"/>
      <c r="Y2179" s="1108"/>
      <c r="Z2179" s="1114" t="s">
        <v>1221</v>
      </c>
      <c r="AA2179" s="1114"/>
      <c r="AB2179" s="1114" t="s">
        <v>3237</v>
      </c>
      <c r="AC2179" s="1117">
        <v>16.2</v>
      </c>
      <c r="AD2179" s="1115"/>
      <c r="AE2179" s="1115"/>
      <c r="AF2179" s="1115"/>
      <c r="AG2179" s="1115"/>
      <c r="AH2179" s="1115"/>
      <c r="AI2179" s="1115"/>
      <c r="AJ2179" s="1117"/>
      <c r="AK2179" s="1118"/>
      <c r="AL2179" s="1115"/>
      <c r="AM2179" s="1115"/>
      <c r="AN2179" s="1115"/>
      <c r="AO2179" s="1115"/>
      <c r="AP2179" s="1115"/>
      <c r="AQ2179" s="1115"/>
      <c r="AR2179" s="1115"/>
      <c r="AS2179" s="1117"/>
      <c r="AT2179" s="1196" t="str">
        <f t="shared" si="428"/>
        <v>1-10</v>
      </c>
      <c r="AU2179" s="1193"/>
      <c r="AV2179" s="330">
        <f>SQRT(($R2179-Infrastructure!J$3)^2+($S2179-Infrastructure!K$3)^2)</f>
        <v>22.80789337</v>
      </c>
      <c r="AW2179" s="331">
        <f>SQRT(($R2179-Infrastructure!J$4)^2+($S2179-Infrastructure!K$4)^2)</f>
        <v>30.60147055</v>
      </c>
      <c r="AX2179" s="331">
        <f>SQRT(($R2179-Infrastructure!J$5)^2+($S2179-Infrastructure!K$5)^2)</f>
        <v>41.41207553</v>
      </c>
      <c r="AY2179" s="331">
        <f>SQRT(($R2179-Infrastructure!J$6)^2+($S2179-Infrastructure!K$6)^2)</f>
        <v>42.59671349</v>
      </c>
      <c r="AZ2179" s="331">
        <f>SQRT(($R2179-Infrastructure!J$7)^2+($S2179-Infrastructure!K$7)^2)</f>
        <v>41.8578547</v>
      </c>
      <c r="BA2179" s="331">
        <f>SQRT(($R2179-Infrastructure!J$8)^2+($S2179-Infrastructure!K$8)^2)</f>
        <v>43.43362753</v>
      </c>
      <c r="BB2179" s="331">
        <f>SQRT(($R2179-Infrastructure!J$9)^2+($S2179-Infrastructure!K$9)^2)</f>
        <v>42.89393897</v>
      </c>
      <c r="BC2179" s="331">
        <f>SQRT(($R2179-Infrastructure!J$10)^2+($S2179-Infrastructure!K$10)^2)</f>
        <v>34.71743078</v>
      </c>
      <c r="BD2179" s="331">
        <f>SQRT(($R2179-Infrastructure!J$11)^2+($S2179-Infrastructure!K$11)^2)</f>
        <v>25.51901252</v>
      </c>
      <c r="BE2179" s="333">
        <f>SQRT(($R2179-Infrastructure!J$12)^2+($S2179-Infrastructure!K$12)^2)</f>
        <v>13.77679208</v>
      </c>
      <c r="BF2179" s="330">
        <f t="shared" si="161"/>
        <v>13.77679208</v>
      </c>
      <c r="BG2179" s="333">
        <f t="shared" si="162"/>
        <v>43.43362753</v>
      </c>
      <c r="BH2179" s="1119"/>
      <c r="BI2179" s="319" t="str">
        <f t="shared" ref="BI2179:BR2179" si="1210">IF(ISNUMBER(FIND(BI$3, $CO2179)), "Y", "")</f>
        <v/>
      </c>
      <c r="BJ2179" s="319" t="str">
        <f t="shared" si="1210"/>
        <v/>
      </c>
      <c r="BK2179" s="319" t="str">
        <f t="shared" si="1210"/>
        <v/>
      </c>
      <c r="BL2179" s="319" t="str">
        <f t="shared" si="1210"/>
        <v/>
      </c>
      <c r="BM2179" s="319" t="str">
        <f t="shared" si="1210"/>
        <v/>
      </c>
      <c r="BN2179" s="319" t="str">
        <f t="shared" si="1210"/>
        <v/>
      </c>
      <c r="BO2179" s="319" t="str">
        <f t="shared" si="1210"/>
        <v/>
      </c>
      <c r="BP2179" s="319" t="str">
        <f t="shared" si="1210"/>
        <v/>
      </c>
      <c r="BQ2179" s="319" t="str">
        <f t="shared" si="1210"/>
        <v/>
      </c>
      <c r="BR2179" s="319" t="str">
        <f t="shared" si="1210"/>
        <v/>
      </c>
      <c r="BS2179" s="330">
        <f t="shared" si="185"/>
        <v>0</v>
      </c>
      <c r="BT2179" s="331">
        <f t="shared" si="170"/>
        <v>0</v>
      </c>
      <c r="BU2179" s="920"/>
      <c r="BV2179" s="903" t="str">
        <f t="shared" si="186"/>
        <v/>
      </c>
      <c r="BW2179" s="908"/>
      <c r="BX2179" s="908"/>
      <c r="BY2179" s="331" t="b">
        <f t="shared" si="201"/>
        <v>0</v>
      </c>
      <c r="BZ2179" s="331"/>
      <c r="CA2179" s="462" t="str">
        <f t="shared" ref="CA2179:CJ2179" si="1211">IF(ISNUMBER(FIND(BI$3, $CP2179)), "Y", "")</f>
        <v/>
      </c>
      <c r="CB2179" s="319" t="str">
        <f t="shared" si="1211"/>
        <v/>
      </c>
      <c r="CC2179" s="319" t="str">
        <f t="shared" si="1211"/>
        <v/>
      </c>
      <c r="CD2179" s="319" t="str">
        <f t="shared" si="1211"/>
        <v/>
      </c>
      <c r="CE2179" s="319" t="str">
        <f t="shared" si="1211"/>
        <v/>
      </c>
      <c r="CF2179" s="319" t="str">
        <f t="shared" si="1211"/>
        <v/>
      </c>
      <c r="CG2179" s="319" t="str">
        <f t="shared" si="1211"/>
        <v/>
      </c>
      <c r="CH2179" s="319" t="str">
        <f t="shared" si="1211"/>
        <v/>
      </c>
      <c r="CI2179" s="319" t="str">
        <f t="shared" si="1211"/>
        <v/>
      </c>
      <c r="CJ2179" s="319" t="str">
        <f t="shared" si="1211"/>
        <v/>
      </c>
      <c r="CK2179" s="342">
        <f t="shared" si="182"/>
        <v>0</v>
      </c>
      <c r="CL2179" s="333">
        <f t="shared" si="183"/>
        <v>0</v>
      </c>
      <c r="CM2179" s="1079" t="s">
        <v>3242</v>
      </c>
      <c r="CN2179" s="1005" t="s">
        <v>3243</v>
      </c>
      <c r="CO2179" s="1005"/>
      <c r="CP2179" s="1005"/>
    </row>
    <row r="2180">
      <c r="A2180" s="266"/>
      <c r="B2180" s="1113" t="s">
        <v>3217</v>
      </c>
      <c r="C2180" s="1107">
        <v>45645.0</v>
      </c>
      <c r="D2180" s="103"/>
      <c r="E2180" s="1108">
        <v>2.0</v>
      </c>
      <c r="F2180" s="112" t="s">
        <v>3244</v>
      </c>
      <c r="G2180" s="1110">
        <v>0.6333333333333333</v>
      </c>
      <c r="H2180" s="1110">
        <v>0.6340277777777777</v>
      </c>
      <c r="I2180" s="1110"/>
      <c r="J2180" s="1111"/>
      <c r="K2180" s="1111">
        <v>0.64375</v>
      </c>
      <c r="L2180" s="1112">
        <v>0.009722222222222222</v>
      </c>
      <c r="M2180" s="1113" t="s">
        <v>166</v>
      </c>
      <c r="N2180" s="110" t="s">
        <v>188</v>
      </c>
      <c r="O2180" s="1115" t="s">
        <v>3236</v>
      </c>
      <c r="P2180" s="1115" t="s">
        <v>272</v>
      </c>
      <c r="Q2180" s="1115" t="s">
        <v>3245</v>
      </c>
      <c r="R2180" s="120">
        <v>18.3</v>
      </c>
      <c r="S2180" s="1113">
        <v>42.1</v>
      </c>
      <c r="T2180" s="110">
        <v>10.0</v>
      </c>
      <c r="U2180" s="1108">
        <v>0.5</v>
      </c>
      <c r="V2180" s="1108"/>
      <c r="W2180" s="1108"/>
      <c r="X2180" s="1108"/>
      <c r="Y2180" s="1108"/>
      <c r="Z2180" s="1114" t="s">
        <v>1221</v>
      </c>
      <c r="AA2180" s="1114"/>
      <c r="AB2180" s="1114" t="s">
        <v>3237</v>
      </c>
      <c r="AC2180" s="1117">
        <v>16.2</v>
      </c>
      <c r="AD2180" s="1115"/>
      <c r="AE2180" s="1115"/>
      <c r="AF2180" s="1115"/>
      <c r="AG2180" s="1115"/>
      <c r="AH2180" s="1115"/>
      <c r="AI2180" s="1115"/>
      <c r="AJ2180" s="1117"/>
      <c r="AK2180" s="1118"/>
      <c r="AL2180" s="1115"/>
      <c r="AM2180" s="1115"/>
      <c r="AN2180" s="1115"/>
      <c r="AO2180" s="1115"/>
      <c r="AP2180" s="1115"/>
      <c r="AQ2180" s="1115"/>
      <c r="AR2180" s="1115"/>
      <c r="AS2180" s="1117"/>
      <c r="AT2180" s="1196" t="str">
        <f t="shared" si="428"/>
        <v>0-1</v>
      </c>
      <c r="AU2180" s="1193"/>
      <c r="AV2180" s="330">
        <f>SQRT(($R2180-Infrastructure!J$3)^2+($S2180-Infrastructure!K$3)^2)</f>
        <v>22.80789337</v>
      </c>
      <c r="AW2180" s="331">
        <f>SQRT(($R2180-Infrastructure!J$4)^2+($S2180-Infrastructure!K$4)^2)</f>
        <v>30.60147055</v>
      </c>
      <c r="AX2180" s="331">
        <f>SQRT(($R2180-Infrastructure!J$5)^2+($S2180-Infrastructure!K$5)^2)</f>
        <v>41.41207553</v>
      </c>
      <c r="AY2180" s="331">
        <f>SQRT(($R2180-Infrastructure!J$6)^2+($S2180-Infrastructure!K$6)^2)</f>
        <v>42.59671349</v>
      </c>
      <c r="AZ2180" s="331">
        <f>SQRT(($R2180-Infrastructure!J$7)^2+($S2180-Infrastructure!K$7)^2)</f>
        <v>41.8578547</v>
      </c>
      <c r="BA2180" s="331">
        <f>SQRT(($R2180-Infrastructure!J$8)^2+($S2180-Infrastructure!K$8)^2)</f>
        <v>43.43362753</v>
      </c>
      <c r="BB2180" s="331">
        <f>SQRT(($R2180-Infrastructure!J$9)^2+($S2180-Infrastructure!K$9)^2)</f>
        <v>42.89393897</v>
      </c>
      <c r="BC2180" s="331">
        <f>SQRT(($R2180-Infrastructure!J$10)^2+($S2180-Infrastructure!K$10)^2)</f>
        <v>34.71743078</v>
      </c>
      <c r="BD2180" s="331">
        <f>SQRT(($R2180-Infrastructure!J$11)^2+($S2180-Infrastructure!K$11)^2)</f>
        <v>25.51901252</v>
      </c>
      <c r="BE2180" s="333">
        <f>SQRT(($R2180-Infrastructure!J$12)^2+($S2180-Infrastructure!K$12)^2)</f>
        <v>13.77679208</v>
      </c>
      <c r="BF2180" s="330">
        <f t="shared" si="161"/>
        <v>13.77679208</v>
      </c>
      <c r="BG2180" s="333">
        <f t="shared" si="162"/>
        <v>43.43362753</v>
      </c>
      <c r="BH2180" s="1119"/>
      <c r="BI2180" s="319" t="str">
        <f t="shared" ref="BI2180:BR2180" si="1212">IF(ISNUMBER(FIND(BI$3, $CO2180)), "Y", "")</f>
        <v/>
      </c>
      <c r="BJ2180" s="319" t="str">
        <f t="shared" si="1212"/>
        <v/>
      </c>
      <c r="BK2180" s="319" t="str">
        <f t="shared" si="1212"/>
        <v/>
      </c>
      <c r="BL2180" s="319" t="str">
        <f t="shared" si="1212"/>
        <v/>
      </c>
      <c r="BM2180" s="319" t="str">
        <f t="shared" si="1212"/>
        <v/>
      </c>
      <c r="BN2180" s="319" t="str">
        <f t="shared" si="1212"/>
        <v/>
      </c>
      <c r="BO2180" s="319" t="str">
        <f t="shared" si="1212"/>
        <v/>
      </c>
      <c r="BP2180" s="319" t="str">
        <f t="shared" si="1212"/>
        <v/>
      </c>
      <c r="BQ2180" s="319" t="str">
        <f t="shared" si="1212"/>
        <v/>
      </c>
      <c r="BR2180" s="319" t="str">
        <f t="shared" si="1212"/>
        <v/>
      </c>
      <c r="BS2180" s="330">
        <f t="shared" si="185"/>
        <v>0</v>
      </c>
      <c r="BT2180" s="331">
        <f t="shared" si="170"/>
        <v>0</v>
      </c>
      <c r="BU2180" s="920"/>
      <c r="BV2180" s="903" t="str">
        <f t="shared" si="186"/>
        <v/>
      </c>
      <c r="BW2180" s="908"/>
      <c r="BX2180" s="908"/>
      <c r="BY2180" s="331" t="b">
        <f t="shared" si="201"/>
        <v>0</v>
      </c>
      <c r="BZ2180" s="331"/>
      <c r="CA2180" s="462" t="str">
        <f t="shared" ref="CA2180:CJ2180" si="1213">IF(ISNUMBER(FIND(BI$3, $CP2180)), "Y", "")</f>
        <v/>
      </c>
      <c r="CB2180" s="319" t="str">
        <f t="shared" si="1213"/>
        <v/>
      </c>
      <c r="CC2180" s="319" t="str">
        <f t="shared" si="1213"/>
        <v/>
      </c>
      <c r="CD2180" s="319" t="str">
        <f t="shared" si="1213"/>
        <v/>
      </c>
      <c r="CE2180" s="319" t="str">
        <f t="shared" si="1213"/>
        <v/>
      </c>
      <c r="CF2180" s="319" t="str">
        <f t="shared" si="1213"/>
        <v/>
      </c>
      <c r="CG2180" s="319" t="str">
        <f t="shared" si="1213"/>
        <v/>
      </c>
      <c r="CH2180" s="319" t="str">
        <f t="shared" si="1213"/>
        <v/>
      </c>
      <c r="CI2180" s="319" t="str">
        <f t="shared" si="1213"/>
        <v/>
      </c>
      <c r="CJ2180" s="319" t="str">
        <f t="shared" si="1213"/>
        <v/>
      </c>
      <c r="CK2180" s="342">
        <f t="shared" si="182"/>
        <v>0</v>
      </c>
      <c r="CL2180" s="333">
        <f t="shared" si="183"/>
        <v>0</v>
      </c>
      <c r="CM2180" s="1079" t="s">
        <v>3238</v>
      </c>
      <c r="CN2180" s="1005" t="s">
        <v>3246</v>
      </c>
      <c r="CO2180" s="1005"/>
      <c r="CP2180" s="1005"/>
    </row>
    <row r="2181">
      <c r="A2181" s="266"/>
      <c r="B2181" s="1113" t="s">
        <v>3217</v>
      </c>
      <c r="C2181" s="1107">
        <v>45645.0</v>
      </c>
      <c r="D2181" s="103"/>
      <c r="E2181" s="1108">
        <v>3.0</v>
      </c>
      <c r="F2181" s="112" t="s">
        <v>3247</v>
      </c>
      <c r="G2181" s="1110">
        <v>0.64375</v>
      </c>
      <c r="H2181" s="1110">
        <v>0.6444444444444445</v>
      </c>
      <c r="I2181" s="1110"/>
      <c r="J2181" s="1111"/>
      <c r="K2181" s="1111">
        <v>0.6458333333333334</v>
      </c>
      <c r="L2181" s="1112">
        <v>0.001388888888888889</v>
      </c>
      <c r="M2181" s="1113" t="s">
        <v>166</v>
      </c>
      <c r="N2181" s="110" t="s">
        <v>188</v>
      </c>
      <c r="O2181" s="1115" t="s">
        <v>3236</v>
      </c>
      <c r="P2181" s="1115" t="s">
        <v>272</v>
      </c>
      <c r="Q2181" s="1115" t="s">
        <v>3245</v>
      </c>
      <c r="R2181" s="120">
        <v>18.3</v>
      </c>
      <c r="S2181" s="1113">
        <v>42.1</v>
      </c>
      <c r="T2181" s="110">
        <v>10.0</v>
      </c>
      <c r="U2181" s="1108">
        <v>1.0</v>
      </c>
      <c r="V2181" s="1108"/>
      <c r="W2181" s="1108"/>
      <c r="X2181" s="1108"/>
      <c r="Y2181" s="1108"/>
      <c r="Z2181" s="1114" t="s">
        <v>1221</v>
      </c>
      <c r="AA2181" s="1114"/>
      <c r="AB2181" s="1114" t="s">
        <v>3237</v>
      </c>
      <c r="AC2181" s="1117">
        <v>16.2</v>
      </c>
      <c r="AD2181" s="1115"/>
      <c r="AE2181" s="1115"/>
      <c r="AF2181" s="1115"/>
      <c r="AG2181" s="1115"/>
      <c r="AH2181" s="1115"/>
      <c r="AI2181" s="1115"/>
      <c r="AJ2181" s="1117"/>
      <c r="AK2181" s="1118"/>
      <c r="AL2181" s="1115"/>
      <c r="AM2181" s="1115"/>
      <c r="AN2181" s="1115"/>
      <c r="AO2181" s="1115"/>
      <c r="AP2181" s="1115"/>
      <c r="AQ2181" s="1115"/>
      <c r="AR2181" s="1115"/>
      <c r="AS2181" s="1117"/>
      <c r="AT2181" s="1196" t="str">
        <f t="shared" si="428"/>
        <v>1-10</v>
      </c>
      <c r="AU2181" s="1193"/>
      <c r="AV2181" s="330">
        <f>SQRT(($R2181-Infrastructure!J$3)^2+($S2181-Infrastructure!K$3)^2)</f>
        <v>22.80789337</v>
      </c>
      <c r="AW2181" s="331">
        <f>SQRT(($R2181-Infrastructure!J$4)^2+($S2181-Infrastructure!K$4)^2)</f>
        <v>30.60147055</v>
      </c>
      <c r="AX2181" s="331">
        <f>SQRT(($R2181-Infrastructure!J$5)^2+($S2181-Infrastructure!K$5)^2)</f>
        <v>41.41207553</v>
      </c>
      <c r="AY2181" s="331">
        <f>SQRT(($R2181-Infrastructure!J$6)^2+($S2181-Infrastructure!K$6)^2)</f>
        <v>42.59671349</v>
      </c>
      <c r="AZ2181" s="331">
        <f>SQRT(($R2181-Infrastructure!J$7)^2+($S2181-Infrastructure!K$7)^2)</f>
        <v>41.8578547</v>
      </c>
      <c r="BA2181" s="331">
        <f>SQRT(($R2181-Infrastructure!J$8)^2+($S2181-Infrastructure!K$8)^2)</f>
        <v>43.43362753</v>
      </c>
      <c r="BB2181" s="331">
        <f>SQRT(($R2181-Infrastructure!J$9)^2+($S2181-Infrastructure!K$9)^2)</f>
        <v>42.89393897</v>
      </c>
      <c r="BC2181" s="331">
        <f>SQRT(($R2181-Infrastructure!J$10)^2+($S2181-Infrastructure!K$10)^2)</f>
        <v>34.71743078</v>
      </c>
      <c r="BD2181" s="331">
        <f>SQRT(($R2181-Infrastructure!J$11)^2+($S2181-Infrastructure!K$11)^2)</f>
        <v>25.51901252</v>
      </c>
      <c r="BE2181" s="333">
        <f>SQRT(($R2181-Infrastructure!J$12)^2+($S2181-Infrastructure!K$12)^2)</f>
        <v>13.77679208</v>
      </c>
      <c r="BF2181" s="330">
        <f t="shared" si="161"/>
        <v>13.77679208</v>
      </c>
      <c r="BG2181" s="333">
        <f t="shared" si="162"/>
        <v>43.43362753</v>
      </c>
      <c r="BH2181" s="1119"/>
      <c r="BI2181" s="319" t="str">
        <f t="shared" ref="BI2181:BR2181" si="1214">IF(ISNUMBER(FIND(BI$3, $CO2181)), "Y", "")</f>
        <v/>
      </c>
      <c r="BJ2181" s="319" t="str">
        <f t="shared" si="1214"/>
        <v/>
      </c>
      <c r="BK2181" s="319" t="str">
        <f t="shared" si="1214"/>
        <v/>
      </c>
      <c r="BL2181" s="319" t="str">
        <f t="shared" si="1214"/>
        <v/>
      </c>
      <c r="BM2181" s="319" t="str">
        <f t="shared" si="1214"/>
        <v/>
      </c>
      <c r="BN2181" s="319" t="str">
        <f t="shared" si="1214"/>
        <v/>
      </c>
      <c r="BO2181" s="319" t="str">
        <f t="shared" si="1214"/>
        <v/>
      </c>
      <c r="BP2181" s="319" t="str">
        <f t="shared" si="1214"/>
        <v/>
      </c>
      <c r="BQ2181" s="319" t="str">
        <f t="shared" si="1214"/>
        <v/>
      </c>
      <c r="BR2181" s="319" t="str">
        <f t="shared" si="1214"/>
        <v/>
      </c>
      <c r="BS2181" s="330">
        <f t="shared" si="185"/>
        <v>0</v>
      </c>
      <c r="BT2181" s="331">
        <f t="shared" si="170"/>
        <v>0</v>
      </c>
      <c r="BU2181" s="920"/>
      <c r="BV2181" s="903" t="str">
        <f t="shared" si="186"/>
        <v/>
      </c>
      <c r="BW2181" s="908"/>
      <c r="BX2181" s="908"/>
      <c r="BY2181" s="331" t="b">
        <f t="shared" si="201"/>
        <v>0</v>
      </c>
      <c r="BZ2181" s="331"/>
      <c r="CA2181" s="462" t="str">
        <f t="shared" ref="CA2181:CJ2181" si="1215">IF(ISNUMBER(FIND(BI$3, $CP2181)), "Y", "")</f>
        <v/>
      </c>
      <c r="CB2181" s="319" t="str">
        <f t="shared" si="1215"/>
        <v/>
      </c>
      <c r="CC2181" s="319" t="str">
        <f t="shared" si="1215"/>
        <v/>
      </c>
      <c r="CD2181" s="319" t="str">
        <f t="shared" si="1215"/>
        <v/>
      </c>
      <c r="CE2181" s="319" t="str">
        <f t="shared" si="1215"/>
        <v/>
      </c>
      <c r="CF2181" s="319" t="str">
        <f t="shared" si="1215"/>
        <v/>
      </c>
      <c r="CG2181" s="319" t="str">
        <f t="shared" si="1215"/>
        <v/>
      </c>
      <c r="CH2181" s="319" t="str">
        <f t="shared" si="1215"/>
        <v/>
      </c>
      <c r="CI2181" s="319" t="str">
        <f t="shared" si="1215"/>
        <v/>
      </c>
      <c r="CJ2181" s="319" t="str">
        <f t="shared" si="1215"/>
        <v/>
      </c>
      <c r="CK2181" s="342">
        <f t="shared" si="182"/>
        <v>0</v>
      </c>
      <c r="CL2181" s="333">
        <f t="shared" si="183"/>
        <v>0</v>
      </c>
      <c r="CM2181" s="1079" t="s">
        <v>3238</v>
      </c>
      <c r="CN2181" s="1005" t="s">
        <v>3246</v>
      </c>
      <c r="CO2181" s="1005"/>
      <c r="CP2181" s="1005"/>
    </row>
    <row r="2182">
      <c r="A2182" s="266"/>
      <c r="B2182" s="1113" t="s">
        <v>3217</v>
      </c>
      <c r="C2182" s="1107">
        <v>45645.0</v>
      </c>
      <c r="D2182" s="103"/>
      <c r="E2182" s="1108">
        <v>4.0</v>
      </c>
      <c r="F2182" s="112" t="s">
        <v>3248</v>
      </c>
      <c r="G2182" s="1110">
        <v>0.6854166666666667</v>
      </c>
      <c r="H2182" s="1110">
        <v>0.6861111111111111</v>
      </c>
      <c r="I2182" s="1110"/>
      <c r="J2182" s="1111"/>
      <c r="K2182" s="1111">
        <v>0.7027777777777777</v>
      </c>
      <c r="L2182" s="1112">
        <v>0.016666666666666666</v>
      </c>
      <c r="M2182" s="1113" t="s">
        <v>166</v>
      </c>
      <c r="N2182" s="110" t="s">
        <v>188</v>
      </c>
      <c r="O2182" s="1115" t="s">
        <v>3236</v>
      </c>
      <c r="P2182" s="1115" t="s">
        <v>272</v>
      </c>
      <c r="Q2182" s="1115" t="s">
        <v>3245</v>
      </c>
      <c r="R2182" s="120">
        <v>18.3</v>
      </c>
      <c r="S2182" s="1113">
        <v>42.1</v>
      </c>
      <c r="T2182" s="110">
        <v>10.0</v>
      </c>
      <c r="U2182" s="1108">
        <v>1.0</v>
      </c>
      <c r="V2182" s="1108"/>
      <c r="W2182" s="1108"/>
      <c r="X2182" s="1108"/>
      <c r="Y2182" s="1108"/>
      <c r="Z2182" s="1114" t="s">
        <v>1221</v>
      </c>
      <c r="AA2182" s="1114"/>
      <c r="AB2182" s="1114" t="s">
        <v>3237</v>
      </c>
      <c r="AC2182" s="1117">
        <v>16.2</v>
      </c>
      <c r="AD2182" s="1115"/>
      <c r="AE2182" s="1115"/>
      <c r="AF2182" s="1115"/>
      <c r="AG2182" s="1115"/>
      <c r="AH2182" s="1115"/>
      <c r="AI2182" s="1115"/>
      <c r="AJ2182" s="1117"/>
      <c r="AK2182" s="1118"/>
      <c r="AL2182" s="1115"/>
      <c r="AM2182" s="1115"/>
      <c r="AN2182" s="1115"/>
      <c r="AO2182" s="1115"/>
      <c r="AP2182" s="1115"/>
      <c r="AQ2182" s="1115"/>
      <c r="AR2182" s="1115"/>
      <c r="AS2182" s="1117"/>
      <c r="AT2182" s="1196" t="str">
        <f t="shared" si="428"/>
        <v>1-10</v>
      </c>
      <c r="AU2182" s="1193"/>
      <c r="AV2182" s="330">
        <f>SQRT(($R2182-Infrastructure!J$3)^2+($S2182-Infrastructure!K$3)^2)</f>
        <v>22.80789337</v>
      </c>
      <c r="AW2182" s="331">
        <f>SQRT(($R2182-Infrastructure!J$4)^2+($S2182-Infrastructure!K$4)^2)</f>
        <v>30.60147055</v>
      </c>
      <c r="AX2182" s="331">
        <f>SQRT(($R2182-Infrastructure!J$5)^2+($S2182-Infrastructure!K$5)^2)</f>
        <v>41.41207553</v>
      </c>
      <c r="AY2182" s="331">
        <f>SQRT(($R2182-Infrastructure!J$6)^2+($S2182-Infrastructure!K$6)^2)</f>
        <v>42.59671349</v>
      </c>
      <c r="AZ2182" s="331">
        <f>SQRT(($R2182-Infrastructure!J$7)^2+($S2182-Infrastructure!K$7)^2)</f>
        <v>41.8578547</v>
      </c>
      <c r="BA2182" s="331">
        <f>SQRT(($R2182-Infrastructure!J$8)^2+($S2182-Infrastructure!K$8)^2)</f>
        <v>43.43362753</v>
      </c>
      <c r="BB2182" s="331">
        <f>SQRT(($R2182-Infrastructure!J$9)^2+($S2182-Infrastructure!K$9)^2)</f>
        <v>42.89393897</v>
      </c>
      <c r="BC2182" s="331">
        <f>SQRT(($R2182-Infrastructure!J$10)^2+($S2182-Infrastructure!K$10)^2)</f>
        <v>34.71743078</v>
      </c>
      <c r="BD2182" s="331">
        <f>SQRT(($R2182-Infrastructure!J$11)^2+($S2182-Infrastructure!K$11)^2)</f>
        <v>25.51901252</v>
      </c>
      <c r="BE2182" s="333">
        <f>SQRT(($R2182-Infrastructure!J$12)^2+($S2182-Infrastructure!K$12)^2)</f>
        <v>13.77679208</v>
      </c>
      <c r="BF2182" s="330">
        <f t="shared" si="161"/>
        <v>13.77679208</v>
      </c>
      <c r="BG2182" s="333">
        <f t="shared" si="162"/>
        <v>43.43362753</v>
      </c>
      <c r="BH2182" s="1119"/>
      <c r="BI2182" s="319" t="str">
        <f t="shared" ref="BI2182:BR2182" si="1216">IF(ISNUMBER(FIND(BI$3, $CO2182)), "Y", "")</f>
        <v/>
      </c>
      <c r="BJ2182" s="319" t="str">
        <f t="shared" si="1216"/>
        <v/>
      </c>
      <c r="BK2182" s="319" t="str">
        <f t="shared" si="1216"/>
        <v/>
      </c>
      <c r="BL2182" s="319" t="str">
        <f t="shared" si="1216"/>
        <v/>
      </c>
      <c r="BM2182" s="319" t="str">
        <f t="shared" si="1216"/>
        <v/>
      </c>
      <c r="BN2182" s="319" t="str">
        <f t="shared" si="1216"/>
        <v/>
      </c>
      <c r="BO2182" s="319" t="str">
        <f t="shared" si="1216"/>
        <v/>
      </c>
      <c r="BP2182" s="319" t="str">
        <f t="shared" si="1216"/>
        <v/>
      </c>
      <c r="BQ2182" s="319" t="str">
        <f t="shared" si="1216"/>
        <v/>
      </c>
      <c r="BR2182" s="319" t="str">
        <f t="shared" si="1216"/>
        <v/>
      </c>
      <c r="BS2182" s="330">
        <f t="shared" si="185"/>
        <v>0</v>
      </c>
      <c r="BT2182" s="331">
        <f t="shared" si="170"/>
        <v>0</v>
      </c>
      <c r="BU2182" s="920"/>
      <c r="BV2182" s="903" t="str">
        <f t="shared" si="186"/>
        <v/>
      </c>
      <c r="BW2182" s="908"/>
      <c r="BX2182" s="908"/>
      <c r="BY2182" s="331" t="b">
        <f t="shared" si="201"/>
        <v>0</v>
      </c>
      <c r="BZ2182" s="331"/>
      <c r="CA2182" s="462" t="str">
        <f t="shared" ref="CA2182:CJ2182" si="1217">IF(ISNUMBER(FIND(BI$3, $CP2182)), "Y", "")</f>
        <v/>
      </c>
      <c r="CB2182" s="319" t="str">
        <f t="shared" si="1217"/>
        <v/>
      </c>
      <c r="CC2182" s="319" t="str">
        <f t="shared" si="1217"/>
        <v/>
      </c>
      <c r="CD2182" s="319" t="str">
        <f t="shared" si="1217"/>
        <v/>
      </c>
      <c r="CE2182" s="319" t="str">
        <f t="shared" si="1217"/>
        <v/>
      </c>
      <c r="CF2182" s="319" t="str">
        <f t="shared" si="1217"/>
        <v/>
      </c>
      <c r="CG2182" s="319" t="str">
        <f t="shared" si="1217"/>
        <v/>
      </c>
      <c r="CH2182" s="319" t="str">
        <f t="shared" si="1217"/>
        <v/>
      </c>
      <c r="CI2182" s="319" t="str">
        <f t="shared" si="1217"/>
        <v/>
      </c>
      <c r="CJ2182" s="319" t="str">
        <f t="shared" si="1217"/>
        <v/>
      </c>
      <c r="CK2182" s="342">
        <f t="shared" si="182"/>
        <v>0</v>
      </c>
      <c r="CL2182" s="333">
        <f t="shared" si="183"/>
        <v>0</v>
      </c>
      <c r="CM2182" s="1079" t="s">
        <v>3238</v>
      </c>
      <c r="CN2182" s="1005" t="s">
        <v>3246</v>
      </c>
      <c r="CO2182" s="1005"/>
      <c r="CP2182" s="1005"/>
    </row>
    <row r="2183">
      <c r="A2183" s="1258"/>
      <c r="B2183" s="1129" t="s">
        <v>3217</v>
      </c>
      <c r="C2183" s="1122">
        <v>45645.0</v>
      </c>
      <c r="D2183" s="1123"/>
      <c r="E2183" s="1144"/>
      <c r="F2183" s="108" t="s">
        <v>3249</v>
      </c>
      <c r="G2183" s="1126">
        <v>0.7048611111111112</v>
      </c>
      <c r="H2183" s="1145"/>
      <c r="I2183" s="1145"/>
      <c r="J2183" s="1146"/>
      <c r="K2183" s="1127">
        <v>0.70625</v>
      </c>
      <c r="L2183" s="1128">
        <v>0.001388888888888889</v>
      </c>
      <c r="M2183" s="1129" t="s">
        <v>166</v>
      </c>
      <c r="N2183" s="100" t="s">
        <v>188</v>
      </c>
      <c r="O2183" s="1161"/>
      <c r="P2183" s="1131" t="s">
        <v>292</v>
      </c>
      <c r="Q2183" s="1132"/>
      <c r="R2183" s="1148"/>
      <c r="S2183" s="1129"/>
      <c r="T2183" s="1150"/>
      <c r="U2183" s="1124" t="s">
        <v>323</v>
      </c>
      <c r="V2183" s="1124"/>
      <c r="W2183" s="1124"/>
      <c r="X2183" s="1124"/>
      <c r="Y2183" s="1124"/>
      <c r="Z2183" s="1130" t="s">
        <v>323</v>
      </c>
      <c r="AA2183" s="1130"/>
      <c r="AB2183" s="1130" t="s">
        <v>323</v>
      </c>
      <c r="AC2183" s="1133" t="s">
        <v>323</v>
      </c>
      <c r="AD2183" s="1131"/>
      <c r="AE2183" s="1131"/>
      <c r="AF2183" s="1131"/>
      <c r="AG2183" s="1131"/>
      <c r="AH2183" s="1131"/>
      <c r="AI2183" s="1131"/>
      <c r="AJ2183" s="1133"/>
      <c r="AK2183" s="1134"/>
      <c r="AL2183" s="1131"/>
      <c r="AM2183" s="1131"/>
      <c r="AN2183" s="1131"/>
      <c r="AO2183" s="1131"/>
      <c r="AP2183" s="1131"/>
      <c r="AQ2183" s="1131"/>
      <c r="AR2183" s="1131"/>
      <c r="AS2183" s="1133"/>
      <c r="AT2183" s="1197" t="str">
        <f t="shared" si="428"/>
        <v/>
      </c>
      <c r="AU2183" s="1194"/>
      <c r="AV2183" s="662">
        <f>SQRT(($R2183-Infrastructure!J$3)^2+($S2183-Infrastructure!K$3)^2)</f>
        <v>28.90155705</v>
      </c>
      <c r="AW2183" s="641">
        <f>SQRT(($R2183-Infrastructure!J$4)^2+($S2183-Infrastructure!K$4)^2)</f>
        <v>17.80252791</v>
      </c>
      <c r="AX2183" s="641">
        <f>SQRT(($R2183-Infrastructure!J$5)^2+($S2183-Infrastructure!K$5)^2)</f>
        <v>5.10881591</v>
      </c>
      <c r="AY2183" s="641">
        <f>SQRT(($R2183-Infrastructure!J$6)^2+($S2183-Infrastructure!K$6)^2)</f>
        <v>10.10445446</v>
      </c>
      <c r="AZ2183" s="641">
        <f>SQRT(($R2183-Infrastructure!J$7)^2+($S2183-Infrastructure!K$7)^2)</f>
        <v>20.502195</v>
      </c>
      <c r="BA2183" s="641">
        <f>SQRT(($R2183-Infrastructure!J$8)^2+($S2183-Infrastructure!K$8)^2)</f>
        <v>30.10149498</v>
      </c>
      <c r="BB2183" s="641">
        <f>SQRT(($R2183-Infrastructure!J$9)^2+($S2183-Infrastructure!K$9)^2)</f>
        <v>40.3238143</v>
      </c>
      <c r="BC2183" s="641">
        <f>SQRT(($R2183-Infrastructure!J$10)^2+($S2183-Infrastructure!K$10)^2)</f>
        <v>42.72001873</v>
      </c>
      <c r="BD2183" s="641">
        <f>SQRT(($R2183-Infrastructure!J$11)^2+($S2183-Infrastructure!K$11)^2)</f>
        <v>49.56853841</v>
      </c>
      <c r="BE2183" s="642">
        <f>SQRT(($R2183-Infrastructure!J$12)^2+($S2183-Infrastructure!K$12)^2)</f>
        <v>59.51890456</v>
      </c>
      <c r="BF2183" s="662">
        <f t="shared" si="161"/>
        <v>5.10881591</v>
      </c>
      <c r="BG2183" s="642">
        <f t="shared" si="162"/>
        <v>59.51890456</v>
      </c>
      <c r="BH2183" s="1135"/>
      <c r="BI2183" s="663" t="str">
        <f t="shared" ref="BI2183:BR2183" si="1218">IF(ISNUMBER(FIND(BI$3, $CO2183)), "Y", "")</f>
        <v/>
      </c>
      <c r="BJ2183" s="663" t="str">
        <f t="shared" si="1218"/>
        <v/>
      </c>
      <c r="BK2183" s="663" t="str">
        <f t="shared" si="1218"/>
        <v/>
      </c>
      <c r="BL2183" s="663" t="str">
        <f t="shared" si="1218"/>
        <v/>
      </c>
      <c r="BM2183" s="663" t="str">
        <f t="shared" si="1218"/>
        <v/>
      </c>
      <c r="BN2183" s="663" t="str">
        <f t="shared" si="1218"/>
        <v/>
      </c>
      <c r="BO2183" s="663" t="str">
        <f t="shared" si="1218"/>
        <v/>
      </c>
      <c r="BP2183" s="663" t="str">
        <f t="shared" si="1218"/>
        <v/>
      </c>
      <c r="BQ2183" s="663" t="str">
        <f t="shared" si="1218"/>
        <v/>
      </c>
      <c r="BR2183" s="663" t="str">
        <f t="shared" si="1218"/>
        <v/>
      </c>
      <c r="BS2183" s="662">
        <f t="shared" si="185"/>
        <v>0</v>
      </c>
      <c r="BT2183" s="641">
        <f t="shared" si="170"/>
        <v>0</v>
      </c>
      <c r="BU2183" s="937"/>
      <c r="BV2183" s="930" t="str">
        <f t="shared" si="186"/>
        <v/>
      </c>
      <c r="BW2183" s="939"/>
      <c r="BX2183" s="939"/>
      <c r="BY2183" s="641" t="b">
        <f t="shared" si="201"/>
        <v>0</v>
      </c>
      <c r="BZ2183" s="641"/>
      <c r="CA2183" s="635" t="str">
        <f t="shared" ref="CA2183:CJ2183" si="1219">IF(ISNUMBER(FIND(BI$3, $CP2183)), "Y", "")</f>
        <v/>
      </c>
      <c r="CB2183" s="663" t="str">
        <f t="shared" si="1219"/>
        <v/>
      </c>
      <c r="CC2183" s="663" t="str">
        <f t="shared" si="1219"/>
        <v/>
      </c>
      <c r="CD2183" s="663" t="str">
        <f t="shared" si="1219"/>
        <v/>
      </c>
      <c r="CE2183" s="663" t="str">
        <f t="shared" si="1219"/>
        <v/>
      </c>
      <c r="CF2183" s="663" t="str">
        <f t="shared" si="1219"/>
        <v/>
      </c>
      <c r="CG2183" s="663" t="str">
        <f t="shared" si="1219"/>
        <v/>
      </c>
      <c r="CH2183" s="663" t="str">
        <f t="shared" si="1219"/>
        <v/>
      </c>
      <c r="CI2183" s="663" t="str">
        <f t="shared" si="1219"/>
        <v/>
      </c>
      <c r="CJ2183" s="663" t="str">
        <f t="shared" si="1219"/>
        <v/>
      </c>
      <c r="CK2183" s="743">
        <f t="shared" si="182"/>
        <v>0</v>
      </c>
      <c r="CL2183" s="642">
        <f t="shared" si="183"/>
        <v>0</v>
      </c>
      <c r="CM2183" s="1090" t="s">
        <v>3238</v>
      </c>
      <c r="CN2183" s="1036" t="s">
        <v>3246</v>
      </c>
      <c r="CO2183" s="1036"/>
      <c r="CP2183" s="1036"/>
    </row>
    <row r="2184">
      <c r="A2184" s="1257" t="s">
        <v>151</v>
      </c>
      <c r="B2184" s="1113" t="s">
        <v>3217</v>
      </c>
      <c r="C2184" s="1107">
        <v>45646.0</v>
      </c>
      <c r="D2184" s="103"/>
      <c r="E2184" s="1108">
        <v>1.0</v>
      </c>
      <c r="F2184" s="112" t="s">
        <v>3250</v>
      </c>
      <c r="G2184" s="1110">
        <v>0.43778935185185186</v>
      </c>
      <c r="H2184" s="1110">
        <v>0.4382523148148148</v>
      </c>
      <c r="I2184" s="1110"/>
      <c r="J2184" s="1111"/>
      <c r="K2184" s="1111">
        <v>0.5005208333333333</v>
      </c>
      <c r="L2184" s="1112">
        <v>0.06226851851851852</v>
      </c>
      <c r="M2184" s="1113" t="s">
        <v>166</v>
      </c>
      <c r="N2184" s="110" t="s">
        <v>188</v>
      </c>
      <c r="O2184" s="1115" t="s">
        <v>3236</v>
      </c>
      <c r="P2184" s="1115" t="s">
        <v>272</v>
      </c>
      <c r="Q2184" s="1115" t="s">
        <v>3251</v>
      </c>
      <c r="R2184" s="120">
        <v>18.3</v>
      </c>
      <c r="S2184" s="1113">
        <v>42.1</v>
      </c>
      <c r="T2184" s="110">
        <v>3.08</v>
      </c>
      <c r="U2184" s="1108">
        <v>1.0</v>
      </c>
      <c r="V2184" s="1108"/>
      <c r="W2184" s="1108"/>
      <c r="X2184" s="1108"/>
      <c r="Y2184" s="1108"/>
      <c r="Z2184" s="1114" t="s">
        <v>1221</v>
      </c>
      <c r="AA2184" s="1114"/>
      <c r="AB2184" s="1114" t="s">
        <v>3237</v>
      </c>
      <c r="AC2184" s="1117">
        <v>16.2</v>
      </c>
      <c r="AD2184" s="1115"/>
      <c r="AE2184" s="1115"/>
      <c r="AF2184" s="1115"/>
      <c r="AG2184" s="1115"/>
      <c r="AH2184" s="1115"/>
      <c r="AI2184" s="1115"/>
      <c r="AJ2184" s="1117"/>
      <c r="AK2184" s="1118"/>
      <c r="AL2184" s="1115"/>
      <c r="AM2184" s="1115"/>
      <c r="AN2184" s="1115"/>
      <c r="AO2184" s="1115"/>
      <c r="AP2184" s="1115"/>
      <c r="AQ2184" s="1115"/>
      <c r="AR2184" s="1115"/>
      <c r="AS2184" s="1117"/>
      <c r="AT2184" s="1196" t="str">
        <f t="shared" si="428"/>
        <v>1-10</v>
      </c>
      <c r="AU2184" s="1193"/>
      <c r="AV2184" s="330">
        <f>SQRT(($R2184-Infrastructure!J$3)^2+($S2184-Infrastructure!K$3)^2)</f>
        <v>22.80789337</v>
      </c>
      <c r="AW2184" s="331">
        <f>SQRT(($R2184-Infrastructure!J$4)^2+($S2184-Infrastructure!K$4)^2)</f>
        <v>30.60147055</v>
      </c>
      <c r="AX2184" s="331">
        <f>SQRT(($R2184-Infrastructure!J$5)^2+($S2184-Infrastructure!K$5)^2)</f>
        <v>41.41207553</v>
      </c>
      <c r="AY2184" s="331">
        <f>SQRT(($R2184-Infrastructure!J$6)^2+($S2184-Infrastructure!K$6)^2)</f>
        <v>42.59671349</v>
      </c>
      <c r="AZ2184" s="331">
        <f>SQRT(($R2184-Infrastructure!J$7)^2+($S2184-Infrastructure!K$7)^2)</f>
        <v>41.8578547</v>
      </c>
      <c r="BA2184" s="331">
        <f>SQRT(($R2184-Infrastructure!J$8)^2+($S2184-Infrastructure!K$8)^2)</f>
        <v>43.43362753</v>
      </c>
      <c r="BB2184" s="331">
        <f>SQRT(($R2184-Infrastructure!J$9)^2+($S2184-Infrastructure!K$9)^2)</f>
        <v>42.89393897</v>
      </c>
      <c r="BC2184" s="331">
        <f>SQRT(($R2184-Infrastructure!J$10)^2+($S2184-Infrastructure!K$10)^2)</f>
        <v>34.71743078</v>
      </c>
      <c r="BD2184" s="331">
        <f>SQRT(($R2184-Infrastructure!J$11)^2+($S2184-Infrastructure!K$11)^2)</f>
        <v>25.51901252</v>
      </c>
      <c r="BE2184" s="333">
        <f>SQRT(($R2184-Infrastructure!J$12)^2+($S2184-Infrastructure!K$12)^2)</f>
        <v>13.77679208</v>
      </c>
      <c r="BF2184" s="330">
        <f t="shared" si="161"/>
        <v>13.77679208</v>
      </c>
      <c r="BG2184" s="333">
        <f t="shared" si="162"/>
        <v>43.43362753</v>
      </c>
      <c r="BH2184" s="1119"/>
      <c r="BI2184" s="319" t="str">
        <f t="shared" ref="BI2184:BR2184" si="1220">IF(ISNUMBER(FIND(BI$3, $CO2184)), "Y", "")</f>
        <v/>
      </c>
      <c r="BJ2184" s="319" t="str">
        <f t="shared" si="1220"/>
        <v/>
      </c>
      <c r="BK2184" s="319" t="str">
        <f t="shared" si="1220"/>
        <v/>
      </c>
      <c r="BL2184" s="319" t="str">
        <f t="shared" si="1220"/>
        <v/>
      </c>
      <c r="BM2184" s="319" t="str">
        <f t="shared" si="1220"/>
        <v/>
      </c>
      <c r="BN2184" s="319" t="str">
        <f t="shared" si="1220"/>
        <v/>
      </c>
      <c r="BO2184" s="319" t="str">
        <f t="shared" si="1220"/>
        <v/>
      </c>
      <c r="BP2184" s="319" t="str">
        <f t="shared" si="1220"/>
        <v/>
      </c>
      <c r="BQ2184" s="319" t="str">
        <f t="shared" si="1220"/>
        <v/>
      </c>
      <c r="BR2184" s="319" t="str">
        <f t="shared" si="1220"/>
        <v/>
      </c>
      <c r="BS2184" s="330">
        <f t="shared" si="185"/>
        <v>0</v>
      </c>
      <c r="BT2184" s="331">
        <f t="shared" si="170"/>
        <v>0</v>
      </c>
      <c r="BU2184" s="920"/>
      <c r="BV2184" s="903" t="str">
        <f t="shared" si="186"/>
        <v/>
      </c>
      <c r="BW2184" s="908"/>
      <c r="BX2184" s="908"/>
      <c r="BY2184" s="331" t="b">
        <f t="shared" si="201"/>
        <v>0</v>
      </c>
      <c r="BZ2184" s="331"/>
      <c r="CA2184" s="462" t="str">
        <f t="shared" ref="CA2184:CJ2184" si="1221">IF(ISNUMBER(FIND(BI$3, $CP2184)), "Y", "")</f>
        <v/>
      </c>
      <c r="CB2184" s="319" t="str">
        <f t="shared" si="1221"/>
        <v/>
      </c>
      <c r="CC2184" s="319" t="str">
        <f t="shared" si="1221"/>
        <v/>
      </c>
      <c r="CD2184" s="319" t="str">
        <f t="shared" si="1221"/>
        <v/>
      </c>
      <c r="CE2184" s="319" t="str">
        <f t="shared" si="1221"/>
        <v/>
      </c>
      <c r="CF2184" s="319" t="str">
        <f t="shared" si="1221"/>
        <v/>
      </c>
      <c r="CG2184" s="319" t="str">
        <f t="shared" si="1221"/>
        <v/>
      </c>
      <c r="CH2184" s="319" t="str">
        <f t="shared" si="1221"/>
        <v/>
      </c>
      <c r="CI2184" s="319" t="str">
        <f t="shared" si="1221"/>
        <v/>
      </c>
      <c r="CJ2184" s="319" t="str">
        <f t="shared" si="1221"/>
        <v/>
      </c>
      <c r="CK2184" s="342">
        <f t="shared" si="182"/>
        <v>0</v>
      </c>
      <c r="CL2184" s="333">
        <f t="shared" si="183"/>
        <v>0</v>
      </c>
      <c r="CM2184" s="1079" t="s">
        <v>3238</v>
      </c>
      <c r="CN2184" s="1005" t="s">
        <v>3252</v>
      </c>
      <c r="CO2184" s="1005"/>
      <c r="CP2184" s="1005"/>
    </row>
    <row r="2185">
      <c r="A2185" s="266"/>
      <c r="B2185" s="1113" t="s">
        <v>3217</v>
      </c>
      <c r="C2185" s="1107">
        <v>45646.0</v>
      </c>
      <c r="D2185" s="103"/>
      <c r="E2185" s="1108">
        <v>2.0</v>
      </c>
      <c r="F2185" s="112" t="s">
        <v>3253</v>
      </c>
      <c r="G2185" s="1110">
        <v>0.5831597222222222</v>
      </c>
      <c r="H2185" s="1110">
        <v>0.5833333333333334</v>
      </c>
      <c r="I2185" s="1110"/>
      <c r="J2185" s="1111"/>
      <c r="K2185" s="1111">
        <v>0.6385416666666667</v>
      </c>
      <c r="L2185" s="1112">
        <v>0.05520833333333333</v>
      </c>
      <c r="M2185" s="1113" t="s">
        <v>166</v>
      </c>
      <c r="N2185" s="110" t="s">
        <v>188</v>
      </c>
      <c r="O2185" s="1115" t="s">
        <v>3236</v>
      </c>
      <c r="P2185" s="1115" t="s">
        <v>272</v>
      </c>
      <c r="Q2185" s="1115" t="s">
        <v>3251</v>
      </c>
      <c r="R2185" s="120">
        <v>18.3</v>
      </c>
      <c r="S2185" s="1113">
        <v>42.1</v>
      </c>
      <c r="T2185" s="110">
        <v>3.08</v>
      </c>
      <c r="U2185" s="1108">
        <v>1.0</v>
      </c>
      <c r="V2185" s="1108"/>
      <c r="W2185" s="1108"/>
      <c r="X2185" s="1108"/>
      <c r="Y2185" s="1108"/>
      <c r="Z2185" s="1114" t="s">
        <v>1221</v>
      </c>
      <c r="AA2185" s="1114"/>
      <c r="AB2185" s="1114" t="s">
        <v>3237</v>
      </c>
      <c r="AC2185" s="1117">
        <v>16.2</v>
      </c>
      <c r="AD2185" s="1115"/>
      <c r="AE2185" s="1115"/>
      <c r="AF2185" s="1115"/>
      <c r="AG2185" s="1115"/>
      <c r="AH2185" s="1115"/>
      <c r="AI2185" s="1115"/>
      <c r="AJ2185" s="1117"/>
      <c r="AK2185" s="1118"/>
      <c r="AL2185" s="1115"/>
      <c r="AM2185" s="1115"/>
      <c r="AN2185" s="1115"/>
      <c r="AO2185" s="1115"/>
      <c r="AP2185" s="1115"/>
      <c r="AQ2185" s="1115"/>
      <c r="AR2185" s="1115"/>
      <c r="AS2185" s="1117"/>
      <c r="AT2185" s="1196" t="str">
        <f t="shared" si="428"/>
        <v>1-10</v>
      </c>
      <c r="AU2185" s="1193"/>
      <c r="AV2185" s="330">
        <f>SQRT(($R2185-Infrastructure!J$3)^2+($S2185-Infrastructure!K$3)^2)</f>
        <v>22.80789337</v>
      </c>
      <c r="AW2185" s="331">
        <f>SQRT(($R2185-Infrastructure!J$4)^2+($S2185-Infrastructure!K$4)^2)</f>
        <v>30.60147055</v>
      </c>
      <c r="AX2185" s="331">
        <f>SQRT(($R2185-Infrastructure!J$5)^2+($S2185-Infrastructure!K$5)^2)</f>
        <v>41.41207553</v>
      </c>
      <c r="AY2185" s="331">
        <f>SQRT(($R2185-Infrastructure!J$6)^2+($S2185-Infrastructure!K$6)^2)</f>
        <v>42.59671349</v>
      </c>
      <c r="AZ2185" s="331">
        <f>SQRT(($R2185-Infrastructure!J$7)^2+($S2185-Infrastructure!K$7)^2)</f>
        <v>41.8578547</v>
      </c>
      <c r="BA2185" s="331">
        <f>SQRT(($R2185-Infrastructure!J$8)^2+($S2185-Infrastructure!K$8)^2)</f>
        <v>43.43362753</v>
      </c>
      <c r="BB2185" s="331">
        <f>SQRT(($R2185-Infrastructure!J$9)^2+($S2185-Infrastructure!K$9)^2)</f>
        <v>42.89393897</v>
      </c>
      <c r="BC2185" s="331">
        <f>SQRT(($R2185-Infrastructure!J$10)^2+($S2185-Infrastructure!K$10)^2)</f>
        <v>34.71743078</v>
      </c>
      <c r="BD2185" s="331">
        <f>SQRT(($R2185-Infrastructure!J$11)^2+($S2185-Infrastructure!K$11)^2)</f>
        <v>25.51901252</v>
      </c>
      <c r="BE2185" s="333">
        <f>SQRT(($R2185-Infrastructure!J$12)^2+($S2185-Infrastructure!K$12)^2)</f>
        <v>13.77679208</v>
      </c>
      <c r="BF2185" s="330">
        <f t="shared" si="161"/>
        <v>13.77679208</v>
      </c>
      <c r="BG2185" s="333">
        <f t="shared" si="162"/>
        <v>43.43362753</v>
      </c>
      <c r="BH2185" s="1119"/>
      <c r="BI2185" s="319" t="str">
        <f t="shared" ref="BI2185:BR2185" si="1222">IF(ISNUMBER(FIND(BI$3, $CO2185)), "Y", "")</f>
        <v/>
      </c>
      <c r="BJ2185" s="319" t="str">
        <f t="shared" si="1222"/>
        <v/>
      </c>
      <c r="BK2185" s="319" t="str">
        <f t="shared" si="1222"/>
        <v/>
      </c>
      <c r="BL2185" s="319" t="str">
        <f t="shared" si="1222"/>
        <v/>
      </c>
      <c r="BM2185" s="319" t="str">
        <f t="shared" si="1222"/>
        <v/>
      </c>
      <c r="BN2185" s="319" t="str">
        <f t="shared" si="1222"/>
        <v/>
      </c>
      <c r="BO2185" s="319" t="str">
        <f t="shared" si="1222"/>
        <v/>
      </c>
      <c r="BP2185" s="319" t="str">
        <f t="shared" si="1222"/>
        <v/>
      </c>
      <c r="BQ2185" s="319" t="str">
        <f t="shared" si="1222"/>
        <v/>
      </c>
      <c r="BR2185" s="319" t="str">
        <f t="shared" si="1222"/>
        <v/>
      </c>
      <c r="BS2185" s="330">
        <f t="shared" si="185"/>
        <v>0</v>
      </c>
      <c r="BT2185" s="331">
        <f t="shared" si="170"/>
        <v>0</v>
      </c>
      <c r="BU2185" s="920"/>
      <c r="BV2185" s="903" t="str">
        <f t="shared" si="186"/>
        <v/>
      </c>
      <c r="BW2185" s="908"/>
      <c r="BX2185" s="908"/>
      <c r="BY2185" s="331" t="b">
        <f t="shared" si="201"/>
        <v>0</v>
      </c>
      <c r="BZ2185" s="331"/>
      <c r="CA2185" s="462" t="str">
        <f t="shared" ref="CA2185:CJ2185" si="1223">IF(ISNUMBER(FIND(BI$3, $CP2185)), "Y", "")</f>
        <v/>
      </c>
      <c r="CB2185" s="319" t="str">
        <f t="shared" si="1223"/>
        <v/>
      </c>
      <c r="CC2185" s="319" t="str">
        <f t="shared" si="1223"/>
        <v/>
      </c>
      <c r="CD2185" s="319" t="str">
        <f t="shared" si="1223"/>
        <v/>
      </c>
      <c r="CE2185" s="319" t="str">
        <f t="shared" si="1223"/>
        <v/>
      </c>
      <c r="CF2185" s="319" t="str">
        <f t="shared" si="1223"/>
        <v/>
      </c>
      <c r="CG2185" s="319" t="str">
        <f t="shared" si="1223"/>
        <v/>
      </c>
      <c r="CH2185" s="319" t="str">
        <f t="shared" si="1223"/>
        <v/>
      </c>
      <c r="CI2185" s="319" t="str">
        <f t="shared" si="1223"/>
        <v/>
      </c>
      <c r="CJ2185" s="319" t="str">
        <f t="shared" si="1223"/>
        <v/>
      </c>
      <c r="CK2185" s="342">
        <f t="shared" si="182"/>
        <v>0</v>
      </c>
      <c r="CL2185" s="333">
        <f t="shared" si="183"/>
        <v>0</v>
      </c>
      <c r="CM2185" s="1079" t="s">
        <v>3238</v>
      </c>
      <c r="CN2185" s="1005" t="s">
        <v>3254</v>
      </c>
      <c r="CO2185" s="1005"/>
      <c r="CP2185" s="1005"/>
    </row>
    <row r="2186">
      <c r="A2186" s="266"/>
      <c r="B2186" s="1113" t="s">
        <v>3217</v>
      </c>
      <c r="C2186" s="1107">
        <v>45646.0</v>
      </c>
      <c r="D2186" s="103"/>
      <c r="E2186" s="1137"/>
      <c r="F2186" s="112" t="s">
        <v>3255</v>
      </c>
      <c r="G2186" s="1110">
        <v>0.6392939814814815</v>
      </c>
      <c r="H2186" s="1138"/>
      <c r="I2186" s="1138"/>
      <c r="J2186" s="1139"/>
      <c r="K2186" s="1111">
        <v>0.640162037037037</v>
      </c>
      <c r="L2186" s="1112">
        <v>8.680555555555555E-4</v>
      </c>
      <c r="M2186" s="1113" t="s">
        <v>166</v>
      </c>
      <c r="N2186" s="110" t="s">
        <v>188</v>
      </c>
      <c r="O2186" s="1140"/>
      <c r="P2186" s="1115" t="s">
        <v>292</v>
      </c>
      <c r="Q2186" s="1116"/>
      <c r="R2186" s="1141"/>
      <c r="S2186" s="1113"/>
      <c r="T2186" s="1143"/>
      <c r="U2186" s="1108" t="s">
        <v>323</v>
      </c>
      <c r="V2186" s="1108"/>
      <c r="W2186" s="1108"/>
      <c r="X2186" s="1108"/>
      <c r="Y2186" s="1108"/>
      <c r="Z2186" s="1114" t="s">
        <v>323</v>
      </c>
      <c r="AA2186" s="1114"/>
      <c r="AB2186" s="1114" t="s">
        <v>323</v>
      </c>
      <c r="AC2186" s="1117" t="s">
        <v>323</v>
      </c>
      <c r="AD2186" s="1115"/>
      <c r="AE2186" s="1115"/>
      <c r="AF2186" s="1115"/>
      <c r="AG2186" s="1115"/>
      <c r="AH2186" s="1115"/>
      <c r="AI2186" s="1115"/>
      <c r="AJ2186" s="1117"/>
      <c r="AK2186" s="1118"/>
      <c r="AL2186" s="1115"/>
      <c r="AM2186" s="1115"/>
      <c r="AN2186" s="1115"/>
      <c r="AO2186" s="1115"/>
      <c r="AP2186" s="1115"/>
      <c r="AQ2186" s="1115"/>
      <c r="AR2186" s="1115"/>
      <c r="AS2186" s="1117"/>
      <c r="AT2186" s="1196" t="str">
        <f t="shared" si="428"/>
        <v/>
      </c>
      <c r="AU2186" s="1193"/>
      <c r="AV2186" s="330">
        <f>SQRT(($R2186-Infrastructure!J$3)^2+($S2186-Infrastructure!K$3)^2)</f>
        <v>28.90155705</v>
      </c>
      <c r="AW2186" s="331">
        <f>SQRT(($R2186-Infrastructure!J$4)^2+($S2186-Infrastructure!K$4)^2)</f>
        <v>17.80252791</v>
      </c>
      <c r="AX2186" s="331">
        <f>SQRT(($R2186-Infrastructure!J$5)^2+($S2186-Infrastructure!K$5)^2)</f>
        <v>5.10881591</v>
      </c>
      <c r="AY2186" s="331">
        <f>SQRT(($R2186-Infrastructure!J$6)^2+($S2186-Infrastructure!K$6)^2)</f>
        <v>10.10445446</v>
      </c>
      <c r="AZ2186" s="331">
        <f>SQRT(($R2186-Infrastructure!J$7)^2+($S2186-Infrastructure!K$7)^2)</f>
        <v>20.502195</v>
      </c>
      <c r="BA2186" s="331">
        <f>SQRT(($R2186-Infrastructure!J$8)^2+($S2186-Infrastructure!K$8)^2)</f>
        <v>30.10149498</v>
      </c>
      <c r="BB2186" s="331">
        <f>SQRT(($R2186-Infrastructure!J$9)^2+($S2186-Infrastructure!K$9)^2)</f>
        <v>40.3238143</v>
      </c>
      <c r="BC2186" s="331">
        <f>SQRT(($R2186-Infrastructure!J$10)^2+($S2186-Infrastructure!K$10)^2)</f>
        <v>42.72001873</v>
      </c>
      <c r="BD2186" s="331">
        <f>SQRT(($R2186-Infrastructure!J$11)^2+($S2186-Infrastructure!K$11)^2)</f>
        <v>49.56853841</v>
      </c>
      <c r="BE2186" s="333">
        <f>SQRT(($R2186-Infrastructure!J$12)^2+($S2186-Infrastructure!K$12)^2)</f>
        <v>59.51890456</v>
      </c>
      <c r="BF2186" s="330">
        <f t="shared" si="161"/>
        <v>5.10881591</v>
      </c>
      <c r="BG2186" s="333">
        <f t="shared" si="162"/>
        <v>59.51890456</v>
      </c>
      <c r="BH2186" s="1119"/>
      <c r="BI2186" s="319" t="str">
        <f t="shared" ref="BI2186:BR2186" si="1224">IF(ISNUMBER(FIND(BI$3, $CO2186)), "Y", "")</f>
        <v/>
      </c>
      <c r="BJ2186" s="319" t="str">
        <f t="shared" si="1224"/>
        <v/>
      </c>
      <c r="BK2186" s="319" t="str">
        <f t="shared" si="1224"/>
        <v/>
      </c>
      <c r="BL2186" s="319" t="str">
        <f t="shared" si="1224"/>
        <v/>
      </c>
      <c r="BM2186" s="319" t="str">
        <f t="shared" si="1224"/>
        <v/>
      </c>
      <c r="BN2186" s="319" t="str">
        <f t="shared" si="1224"/>
        <v/>
      </c>
      <c r="BO2186" s="319" t="str">
        <f t="shared" si="1224"/>
        <v/>
      </c>
      <c r="BP2186" s="319" t="str">
        <f t="shared" si="1224"/>
        <v/>
      </c>
      <c r="BQ2186" s="319" t="str">
        <f t="shared" si="1224"/>
        <v/>
      </c>
      <c r="BR2186" s="319" t="str">
        <f t="shared" si="1224"/>
        <v/>
      </c>
      <c r="BS2186" s="330">
        <f t="shared" si="185"/>
        <v>0</v>
      </c>
      <c r="BT2186" s="331">
        <f t="shared" si="170"/>
        <v>0</v>
      </c>
      <c r="BU2186" s="920"/>
      <c r="BV2186" s="903" t="str">
        <f t="shared" si="186"/>
        <v/>
      </c>
      <c r="BW2186" s="908"/>
      <c r="BX2186" s="908"/>
      <c r="BY2186" s="331" t="b">
        <f t="shared" si="201"/>
        <v>0</v>
      </c>
      <c r="BZ2186" s="331"/>
      <c r="CA2186" s="462" t="str">
        <f t="shared" ref="CA2186:CJ2186" si="1225">IF(ISNUMBER(FIND(BI$3, $CP2186)), "Y", "")</f>
        <v/>
      </c>
      <c r="CB2186" s="319" t="str">
        <f t="shared" si="1225"/>
        <v/>
      </c>
      <c r="CC2186" s="319" t="str">
        <f t="shared" si="1225"/>
        <v/>
      </c>
      <c r="CD2186" s="319" t="str">
        <f t="shared" si="1225"/>
        <v/>
      </c>
      <c r="CE2186" s="319" t="str">
        <f t="shared" si="1225"/>
        <v/>
      </c>
      <c r="CF2186" s="319" t="str">
        <f t="shared" si="1225"/>
        <v/>
      </c>
      <c r="CG2186" s="319" t="str">
        <f t="shared" si="1225"/>
        <v/>
      </c>
      <c r="CH2186" s="319" t="str">
        <f t="shared" si="1225"/>
        <v/>
      </c>
      <c r="CI2186" s="319" t="str">
        <f t="shared" si="1225"/>
        <v/>
      </c>
      <c r="CJ2186" s="319" t="str">
        <f t="shared" si="1225"/>
        <v/>
      </c>
      <c r="CK2186" s="342">
        <f t="shared" si="182"/>
        <v>0</v>
      </c>
      <c r="CL2186" s="333">
        <f t="shared" si="183"/>
        <v>0</v>
      </c>
      <c r="CM2186" s="1079" t="s">
        <v>3238</v>
      </c>
      <c r="CN2186" s="1005" t="s">
        <v>3254</v>
      </c>
      <c r="CO2186" s="1005"/>
      <c r="CP2186" s="1005"/>
    </row>
    <row r="2187">
      <c r="A2187" s="1268"/>
      <c r="B2187" s="1269" t="s">
        <v>3217</v>
      </c>
      <c r="C2187" s="1270">
        <v>45646.0</v>
      </c>
      <c r="D2187" s="1271"/>
      <c r="E2187" s="1272"/>
      <c r="F2187" s="1273" t="s">
        <v>3255</v>
      </c>
      <c r="G2187" s="1274">
        <v>0.6501157407407407</v>
      </c>
      <c r="H2187" s="1275"/>
      <c r="I2187" s="1275"/>
      <c r="J2187" s="1276"/>
      <c r="K2187" s="1277">
        <v>0.6513888888888889</v>
      </c>
      <c r="L2187" s="1278">
        <v>0.0012731481481481483</v>
      </c>
      <c r="M2187" s="1269" t="s">
        <v>358</v>
      </c>
      <c r="N2187" s="1279" t="s">
        <v>188</v>
      </c>
      <c r="O2187" s="1280"/>
      <c r="P2187" s="1281" t="s">
        <v>294</v>
      </c>
      <c r="Q2187" s="1282"/>
      <c r="R2187" s="1283"/>
      <c r="S2187" s="1269"/>
      <c r="T2187" s="1284"/>
      <c r="U2187" s="1285" t="s">
        <v>323</v>
      </c>
      <c r="V2187" s="1285"/>
      <c r="W2187" s="1285"/>
      <c r="X2187" s="1285"/>
      <c r="Y2187" s="1285"/>
      <c r="Z2187" s="1286" t="s">
        <v>323</v>
      </c>
      <c r="AA2187" s="1286"/>
      <c r="AB2187" s="1286" t="s">
        <v>323</v>
      </c>
      <c r="AC2187" s="1287" t="s">
        <v>323</v>
      </c>
      <c r="AD2187" s="1281"/>
      <c r="AE2187" s="1281"/>
      <c r="AF2187" s="1281"/>
      <c r="AG2187" s="1281"/>
      <c r="AH2187" s="1281"/>
      <c r="AI2187" s="1281"/>
      <c r="AJ2187" s="1287"/>
      <c r="AK2187" s="1288"/>
      <c r="AL2187" s="1281"/>
      <c r="AM2187" s="1281"/>
      <c r="AN2187" s="1281"/>
      <c r="AO2187" s="1281"/>
      <c r="AP2187" s="1281"/>
      <c r="AQ2187" s="1281"/>
      <c r="AR2187" s="1281"/>
      <c r="AS2187" s="1287"/>
      <c r="AT2187" s="1289" t="str">
        <f t="shared" si="428"/>
        <v/>
      </c>
      <c r="AU2187" s="1290"/>
      <c r="AV2187" s="1291">
        <f>SQRT(($R2187-Infrastructure!J$3)^2+($S2187-Infrastructure!K$3)^2)</f>
        <v>28.90155705</v>
      </c>
      <c r="AW2187" s="1292">
        <f>SQRT(($R2187-Infrastructure!J$4)^2+($S2187-Infrastructure!K$4)^2)</f>
        <v>17.80252791</v>
      </c>
      <c r="AX2187" s="1292">
        <f>SQRT(($R2187-Infrastructure!J$5)^2+($S2187-Infrastructure!K$5)^2)</f>
        <v>5.10881591</v>
      </c>
      <c r="AY2187" s="1292">
        <f>SQRT(($R2187-Infrastructure!J$6)^2+($S2187-Infrastructure!K$6)^2)</f>
        <v>10.10445446</v>
      </c>
      <c r="AZ2187" s="1292">
        <f>SQRT(($R2187-Infrastructure!J$7)^2+($S2187-Infrastructure!K$7)^2)</f>
        <v>20.502195</v>
      </c>
      <c r="BA2187" s="1292">
        <f>SQRT(($R2187-Infrastructure!J$8)^2+($S2187-Infrastructure!K$8)^2)</f>
        <v>30.10149498</v>
      </c>
      <c r="BB2187" s="1292">
        <f>SQRT(($R2187-Infrastructure!J$9)^2+($S2187-Infrastructure!K$9)^2)</f>
        <v>40.3238143</v>
      </c>
      <c r="BC2187" s="1292">
        <f>SQRT(($R2187-Infrastructure!J$10)^2+($S2187-Infrastructure!K$10)^2)</f>
        <v>42.72001873</v>
      </c>
      <c r="BD2187" s="1292">
        <f>SQRT(($R2187-Infrastructure!J$11)^2+($S2187-Infrastructure!K$11)^2)</f>
        <v>49.56853841</v>
      </c>
      <c r="BE2187" s="1293">
        <f>SQRT(($R2187-Infrastructure!J$12)^2+($S2187-Infrastructure!K$12)^2)</f>
        <v>59.51890456</v>
      </c>
      <c r="BF2187" s="1291">
        <f t="shared" si="161"/>
        <v>5.10881591</v>
      </c>
      <c r="BG2187" s="1293">
        <f t="shared" si="162"/>
        <v>59.51890456</v>
      </c>
      <c r="BH2187" s="1294"/>
      <c r="BI2187" s="1295" t="str">
        <f t="shared" ref="BI2187:BR2187" si="1226">IF(ISNUMBER(FIND(BI$3, $CO2187)), "Y", "")</f>
        <v/>
      </c>
      <c r="BJ2187" s="1295" t="str">
        <f t="shared" si="1226"/>
        <v/>
      </c>
      <c r="BK2187" s="1295" t="str">
        <f t="shared" si="1226"/>
        <v/>
      </c>
      <c r="BL2187" s="1295" t="str">
        <f t="shared" si="1226"/>
        <v/>
      </c>
      <c r="BM2187" s="1295" t="str">
        <f t="shared" si="1226"/>
        <v/>
      </c>
      <c r="BN2187" s="1295" t="str">
        <f t="shared" si="1226"/>
        <v/>
      </c>
      <c r="BO2187" s="1295" t="str">
        <f t="shared" si="1226"/>
        <v/>
      </c>
      <c r="BP2187" s="1295" t="str">
        <f t="shared" si="1226"/>
        <v/>
      </c>
      <c r="BQ2187" s="1295" t="str">
        <f t="shared" si="1226"/>
        <v/>
      </c>
      <c r="BR2187" s="1295" t="str">
        <f t="shared" si="1226"/>
        <v/>
      </c>
      <c r="BS2187" s="1291">
        <f t="shared" si="185"/>
        <v>0</v>
      </c>
      <c r="BT2187" s="1292">
        <f t="shared" si="170"/>
        <v>0</v>
      </c>
      <c r="BU2187" s="1296"/>
      <c r="BV2187" s="1297" t="str">
        <f t="shared" si="186"/>
        <v/>
      </c>
      <c r="BW2187" s="1298"/>
      <c r="BX2187" s="1298"/>
      <c r="BY2187" s="1292" t="b">
        <f t="shared" si="201"/>
        <v>0</v>
      </c>
      <c r="BZ2187" s="1292"/>
      <c r="CA2187" s="1299" t="str">
        <f t="shared" ref="CA2187:CJ2187" si="1227">IF(ISNUMBER(FIND(BI$3, $CP2187)), "Y", "")</f>
        <v/>
      </c>
      <c r="CB2187" s="1295" t="str">
        <f t="shared" si="1227"/>
        <v/>
      </c>
      <c r="CC2187" s="1295" t="str">
        <f t="shared" si="1227"/>
        <v/>
      </c>
      <c r="CD2187" s="1295" t="str">
        <f t="shared" si="1227"/>
        <v/>
      </c>
      <c r="CE2187" s="1295" t="str">
        <f t="shared" si="1227"/>
        <v/>
      </c>
      <c r="CF2187" s="1295" t="str">
        <f t="shared" si="1227"/>
        <v/>
      </c>
      <c r="CG2187" s="1295" t="str">
        <f t="shared" si="1227"/>
        <v/>
      </c>
      <c r="CH2187" s="1295" t="str">
        <f t="shared" si="1227"/>
        <v/>
      </c>
      <c r="CI2187" s="1295" t="str">
        <f t="shared" si="1227"/>
        <v/>
      </c>
      <c r="CJ2187" s="1295" t="str">
        <f t="shared" si="1227"/>
        <v/>
      </c>
      <c r="CK2187" s="1300">
        <f t="shared" si="182"/>
        <v>0</v>
      </c>
      <c r="CL2187" s="1293">
        <f t="shared" si="183"/>
        <v>0</v>
      </c>
      <c r="CM2187" s="1301" t="s">
        <v>3238</v>
      </c>
      <c r="CN2187" s="1302" t="s">
        <v>3254</v>
      </c>
      <c r="CO2187" s="1302"/>
      <c r="CP2187" s="1302"/>
    </row>
    <row r="2188">
      <c r="A2188" s="1257" t="s">
        <v>152</v>
      </c>
      <c r="B2188" s="1113" t="s">
        <v>1750</v>
      </c>
      <c r="C2188" s="1107">
        <v>45940.0</v>
      </c>
      <c r="D2188" s="103"/>
      <c r="E2188" s="1108">
        <v>1.0</v>
      </c>
      <c r="F2188" s="112" t="s">
        <v>3256</v>
      </c>
      <c r="G2188" s="1110">
        <v>0.5928819444444444</v>
      </c>
      <c r="H2188" s="1110">
        <v>0.5934027777777777</v>
      </c>
      <c r="I2188" s="1110">
        <v>0.5949074074074074</v>
      </c>
      <c r="J2188" s="1139">
        <f t="shared" ref="J2188:J2199" si="1230">IF(H5="",I5-G5,I5-H5)</f>
        <v>-0.4534722222</v>
      </c>
      <c r="K2188" s="1111"/>
      <c r="L2188" s="1112"/>
      <c r="M2188" s="1113" t="s">
        <v>166</v>
      </c>
      <c r="N2188" s="110" t="s">
        <v>187</v>
      </c>
      <c r="O2188" s="1115" t="s">
        <v>202</v>
      </c>
      <c r="P2188" s="1115" t="s">
        <v>277</v>
      </c>
      <c r="Q2188" s="1116"/>
      <c r="R2188" s="120">
        <v>24.4</v>
      </c>
      <c r="S2188" s="1113">
        <v>-7.5</v>
      </c>
      <c r="T2188" s="110">
        <v>0.57</v>
      </c>
      <c r="U2188" s="1108">
        <v>3.0</v>
      </c>
      <c r="V2188" s="1108">
        <v>10.8</v>
      </c>
      <c r="W2188" s="1108">
        <v>0.0299973237695187</v>
      </c>
      <c r="X2188" s="1303">
        <v>0.01</v>
      </c>
      <c r="Y2188" s="1108" t="s">
        <v>2242</v>
      </c>
      <c r="Z2188" s="1114" t="s">
        <v>339</v>
      </c>
      <c r="AA2188" s="1114">
        <v>77.0</v>
      </c>
      <c r="AB2188" s="1114" t="s">
        <v>3257</v>
      </c>
      <c r="AC2188" s="1117">
        <v>3.0</v>
      </c>
      <c r="AD2188" s="1115" t="s">
        <v>1949</v>
      </c>
      <c r="AE2188" s="1115"/>
      <c r="AF2188" s="1115">
        <v>1.0</v>
      </c>
      <c r="AG2188" s="1115">
        <v>4.19</v>
      </c>
      <c r="AH2188" s="1115" t="s">
        <v>323</v>
      </c>
      <c r="AI2188" s="1115">
        <v>593.0</v>
      </c>
      <c r="AJ2188" s="1117">
        <v>0.53</v>
      </c>
      <c r="AK2188" s="1118"/>
      <c r="AL2188" s="1115">
        <v>0.53</v>
      </c>
      <c r="AM2188" s="1115"/>
      <c r="AN2188" s="1115"/>
      <c r="AO2188" s="1115"/>
      <c r="AP2188" s="1115"/>
      <c r="AQ2188" s="1115"/>
      <c r="AR2188" s="1115"/>
      <c r="AS2188" s="1117"/>
      <c r="AT2188" s="1196" t="str">
        <f t="shared" si="428"/>
        <v>1-10</v>
      </c>
      <c r="AU2188" s="1193"/>
      <c r="AV2188" s="330">
        <f>SQRT(($R2188-Infrastructure!J$3)^2+($S2188-Infrastructure!K$3)^2)</f>
        <v>43.98920322</v>
      </c>
      <c r="AW2188" s="331">
        <f>SQRT(($R2188-Infrastructure!J$4)^2+($S2188-Infrastructure!K$4)^2)</f>
        <v>35.35788455</v>
      </c>
      <c r="AX2188" s="331">
        <f>SQRT(($R2188-Infrastructure!J$5)^2+($S2188-Infrastructure!K$5)^2)</f>
        <v>27.72814455</v>
      </c>
      <c r="AY2188" s="331">
        <f>SQRT(($R2188-Infrastructure!J$6)^2+($S2188-Infrastructure!K$6)^2)</f>
        <v>16.28895331</v>
      </c>
      <c r="AZ2188" s="331">
        <f>SQRT(($R2188-Infrastructure!J$7)^2+($S2188-Infrastructure!K$7)^2)</f>
        <v>8.720665112</v>
      </c>
      <c r="BA2188" s="331">
        <f>SQRT(($R2188-Infrastructure!J$8)^2+($S2188-Infrastructure!K$8)^2)</f>
        <v>9.660745313</v>
      </c>
      <c r="BB2188" s="331">
        <f>SQRT(($R2188-Infrastructure!J$9)^2+($S2188-Infrastructure!K$9)^2)</f>
        <v>20.05292996</v>
      </c>
      <c r="BC2188" s="331">
        <f>SQRT(($R2188-Infrastructure!J$10)^2+($S2188-Infrastructure!K$10)^2)</f>
        <v>27.37900656</v>
      </c>
      <c r="BD2188" s="331">
        <f>SQRT(($R2188-Infrastructure!J$11)^2+($S2188-Infrastructure!K$11)^2)</f>
        <v>39.77298078</v>
      </c>
      <c r="BE2188" s="333">
        <f>SQRT(($R2188-Infrastructure!J$12)^2+($S2188-Infrastructure!K$12)^2)</f>
        <v>63.06671071</v>
      </c>
      <c r="BF2188" s="330">
        <f t="shared" si="161"/>
        <v>8.720665112</v>
      </c>
      <c r="BG2188" s="333">
        <f t="shared" si="162"/>
        <v>63.06671071</v>
      </c>
      <c r="BH2188" s="1119"/>
      <c r="BI2188" s="319" t="str">
        <f t="shared" ref="BI2188:BR2188" si="1228">IF(ISNUMBER(FIND(BI$3, $CO2188)), "Y", "")</f>
        <v/>
      </c>
      <c r="BJ2188" s="319" t="str">
        <f t="shared" si="1228"/>
        <v/>
      </c>
      <c r="BK2188" s="319" t="str">
        <f t="shared" si="1228"/>
        <v/>
      </c>
      <c r="BL2188" s="319" t="str">
        <f t="shared" si="1228"/>
        <v/>
      </c>
      <c r="BM2188" s="319" t="str">
        <f t="shared" si="1228"/>
        <v/>
      </c>
      <c r="BN2188" s="319" t="str">
        <f t="shared" si="1228"/>
        <v/>
      </c>
      <c r="BO2188" s="319" t="str">
        <f t="shared" si="1228"/>
        <v/>
      </c>
      <c r="BP2188" s="319" t="str">
        <f t="shared" si="1228"/>
        <v/>
      </c>
      <c r="BQ2188" s="319" t="str">
        <f t="shared" si="1228"/>
        <v/>
      </c>
      <c r="BR2188" s="319" t="str">
        <f t="shared" si="1228"/>
        <v/>
      </c>
      <c r="BS2188" s="330">
        <f t="shared" si="185"/>
        <v>0</v>
      </c>
      <c r="BT2188" s="331">
        <f t="shared" si="170"/>
        <v>0</v>
      </c>
      <c r="BU2188" s="920"/>
      <c r="BV2188" s="903" t="str">
        <f t="shared" si="186"/>
        <v/>
      </c>
      <c r="BW2188" s="908">
        <v>13.9</v>
      </c>
      <c r="BX2188" s="908">
        <v>-33.7</v>
      </c>
      <c r="BY2188" s="331">
        <f t="shared" si="201"/>
        <v>28.22569751</v>
      </c>
      <c r="BZ2188" s="331"/>
      <c r="CA2188" s="462"/>
      <c r="CB2188" s="319" t="str">
        <f t="shared" ref="CB2188:CJ2188" si="1229">IF(ISNUMBER(FIND(BJ$3, $CP2188)), "Y", "")</f>
        <v/>
      </c>
      <c r="CC2188" s="319" t="str">
        <f t="shared" si="1229"/>
        <v/>
      </c>
      <c r="CD2188" s="319" t="str">
        <f t="shared" si="1229"/>
        <v/>
      </c>
      <c r="CE2188" s="319" t="str">
        <f t="shared" si="1229"/>
        <v/>
      </c>
      <c r="CF2188" s="319" t="str">
        <f t="shared" si="1229"/>
        <v/>
      </c>
      <c r="CG2188" s="319" t="str">
        <f t="shared" si="1229"/>
        <v/>
      </c>
      <c r="CH2188" s="319" t="str">
        <f t="shared" si="1229"/>
        <v/>
      </c>
      <c r="CI2188" s="319" t="str">
        <f t="shared" si="1229"/>
        <v/>
      </c>
      <c r="CJ2188" s="319" t="str">
        <f t="shared" si="1229"/>
        <v/>
      </c>
      <c r="CK2188" s="342">
        <f t="shared" si="182"/>
        <v>0</v>
      </c>
      <c r="CL2188" s="333">
        <f t="shared" si="183"/>
        <v>0</v>
      </c>
      <c r="CM2188" s="1079"/>
      <c r="CN2188" s="1005" t="s">
        <v>3258</v>
      </c>
      <c r="CO2188" s="1005"/>
      <c r="CP2188" s="1005"/>
    </row>
    <row r="2189">
      <c r="A2189" s="266"/>
      <c r="B2189" s="1113" t="s">
        <v>1750</v>
      </c>
      <c r="C2189" s="1107">
        <v>45940.0</v>
      </c>
      <c r="D2189" s="103"/>
      <c r="E2189" s="1108">
        <v>2.0</v>
      </c>
      <c r="F2189" s="112" t="s">
        <v>3259</v>
      </c>
      <c r="G2189" s="1110">
        <v>0.5967013888888889</v>
      </c>
      <c r="H2189" s="1110">
        <v>0.5972222222222222</v>
      </c>
      <c r="I2189" s="1110">
        <v>0.5986111111111111</v>
      </c>
      <c r="J2189" s="1139">
        <f t="shared" si="1230"/>
        <v>-0.4583333333</v>
      </c>
      <c r="K2189" s="1111"/>
      <c r="L2189" s="1112"/>
      <c r="M2189" s="1113" t="s">
        <v>166</v>
      </c>
      <c r="N2189" s="110" t="s">
        <v>187</v>
      </c>
      <c r="O2189" s="1115" t="s">
        <v>202</v>
      </c>
      <c r="P2189" s="1115" t="s">
        <v>277</v>
      </c>
      <c r="Q2189" s="1116"/>
      <c r="R2189" s="120">
        <v>24.4</v>
      </c>
      <c r="S2189" s="1113">
        <v>-7.5</v>
      </c>
      <c r="T2189" s="110">
        <v>0.57</v>
      </c>
      <c r="U2189" s="1108">
        <v>1.0</v>
      </c>
      <c r="V2189" s="1108">
        <v>3.6</v>
      </c>
      <c r="W2189" s="1108">
        <v>0.0214877817995871</v>
      </c>
      <c r="X2189" s="1303">
        <v>0.0215</v>
      </c>
      <c r="Y2189" s="1108" t="s">
        <v>2242</v>
      </c>
      <c r="Z2189" s="1114" t="s">
        <v>339</v>
      </c>
      <c r="AA2189" s="1114">
        <v>47.0</v>
      </c>
      <c r="AB2189" s="1114" t="s">
        <v>3257</v>
      </c>
      <c r="AC2189" s="1117">
        <v>3.0</v>
      </c>
      <c r="AD2189" s="1115" t="s">
        <v>1949</v>
      </c>
      <c r="AE2189" s="1115"/>
      <c r="AF2189" s="1115">
        <v>0.33</v>
      </c>
      <c r="AG2189" s="1115">
        <v>1.4</v>
      </c>
      <c r="AH2189" s="1115" t="s">
        <v>323</v>
      </c>
      <c r="AI2189" s="1115">
        <v>197.7</v>
      </c>
      <c r="AJ2189" s="1117">
        <v>0.16</v>
      </c>
      <c r="AK2189" s="1118"/>
      <c r="AL2189" s="1115">
        <v>0.16</v>
      </c>
      <c r="AM2189" s="1115"/>
      <c r="AN2189" s="1115"/>
      <c r="AO2189" s="1115"/>
      <c r="AP2189" s="1115"/>
      <c r="AQ2189" s="1115"/>
      <c r="AR2189" s="1115"/>
      <c r="AS2189" s="1117"/>
      <c r="AT2189" s="1196" t="str">
        <f t="shared" si="428"/>
        <v>1-10</v>
      </c>
      <c r="AU2189" s="1193"/>
      <c r="AV2189" s="330">
        <f>SQRT(($R2189-Infrastructure!J$3)^2+($S2189-Infrastructure!K$3)^2)</f>
        <v>43.98920322</v>
      </c>
      <c r="AW2189" s="331">
        <f>SQRT(($R2189-Infrastructure!J$4)^2+($S2189-Infrastructure!K$4)^2)</f>
        <v>35.35788455</v>
      </c>
      <c r="AX2189" s="331">
        <f>SQRT(($R2189-Infrastructure!J$5)^2+($S2189-Infrastructure!K$5)^2)</f>
        <v>27.72814455</v>
      </c>
      <c r="AY2189" s="331">
        <f>SQRT(($R2189-Infrastructure!J$6)^2+($S2189-Infrastructure!K$6)^2)</f>
        <v>16.28895331</v>
      </c>
      <c r="AZ2189" s="331">
        <f>SQRT(($R2189-Infrastructure!J$7)^2+($S2189-Infrastructure!K$7)^2)</f>
        <v>8.720665112</v>
      </c>
      <c r="BA2189" s="331">
        <f>SQRT(($R2189-Infrastructure!J$8)^2+($S2189-Infrastructure!K$8)^2)</f>
        <v>9.660745313</v>
      </c>
      <c r="BB2189" s="331">
        <f>SQRT(($R2189-Infrastructure!J$9)^2+($S2189-Infrastructure!K$9)^2)</f>
        <v>20.05292996</v>
      </c>
      <c r="BC2189" s="331">
        <f>SQRT(($R2189-Infrastructure!J$10)^2+($S2189-Infrastructure!K$10)^2)</f>
        <v>27.37900656</v>
      </c>
      <c r="BD2189" s="331">
        <f>SQRT(($R2189-Infrastructure!J$11)^2+($S2189-Infrastructure!K$11)^2)</f>
        <v>39.77298078</v>
      </c>
      <c r="BE2189" s="333">
        <f>SQRT(($R2189-Infrastructure!J$12)^2+($S2189-Infrastructure!K$12)^2)</f>
        <v>63.06671071</v>
      </c>
      <c r="BF2189" s="330">
        <f t="shared" si="161"/>
        <v>8.720665112</v>
      </c>
      <c r="BG2189" s="333">
        <f t="shared" si="162"/>
        <v>63.06671071</v>
      </c>
      <c r="BH2189" s="1119"/>
      <c r="BI2189" s="319" t="str">
        <f t="shared" ref="BI2189:BR2189" si="1231">IF(ISNUMBER(FIND(BI$3, $CO2189)), "Y", "")</f>
        <v/>
      </c>
      <c r="BJ2189" s="319" t="str">
        <f t="shared" si="1231"/>
        <v/>
      </c>
      <c r="BK2189" s="319" t="str">
        <f t="shared" si="1231"/>
        <v/>
      </c>
      <c r="BL2189" s="319" t="str">
        <f t="shared" si="1231"/>
        <v/>
      </c>
      <c r="BM2189" s="319" t="str">
        <f t="shared" si="1231"/>
        <v/>
      </c>
      <c r="BN2189" s="319" t="str">
        <f t="shared" si="1231"/>
        <v/>
      </c>
      <c r="BO2189" s="319" t="str">
        <f t="shared" si="1231"/>
        <v/>
      </c>
      <c r="BP2189" s="319" t="str">
        <f t="shared" si="1231"/>
        <v/>
      </c>
      <c r="BQ2189" s="319" t="str">
        <f t="shared" si="1231"/>
        <v/>
      </c>
      <c r="BR2189" s="319" t="str">
        <f t="shared" si="1231"/>
        <v/>
      </c>
      <c r="BS2189" s="330">
        <f t="shared" si="185"/>
        <v>0</v>
      </c>
      <c r="BT2189" s="331">
        <f t="shared" si="170"/>
        <v>0</v>
      </c>
      <c r="BU2189" s="920"/>
      <c r="BV2189" s="903" t="str">
        <f t="shared" si="186"/>
        <v/>
      </c>
      <c r="BW2189" s="908"/>
      <c r="BX2189" s="908"/>
      <c r="BY2189" s="331" t="b">
        <f t="shared" si="201"/>
        <v>0</v>
      </c>
      <c r="BZ2189" s="331"/>
      <c r="CA2189" s="462" t="str">
        <f t="shared" ref="CA2189:CJ2189" si="1232">IF(ISNUMBER(FIND(BI$3, $CP2189)), "Y", "")</f>
        <v/>
      </c>
      <c r="CB2189" s="319" t="str">
        <f t="shared" si="1232"/>
        <v/>
      </c>
      <c r="CC2189" s="319" t="str">
        <f t="shared" si="1232"/>
        <v/>
      </c>
      <c r="CD2189" s="319" t="str">
        <f t="shared" si="1232"/>
        <v/>
      </c>
      <c r="CE2189" s="319" t="str">
        <f t="shared" si="1232"/>
        <v/>
      </c>
      <c r="CF2189" s="319" t="str">
        <f t="shared" si="1232"/>
        <v/>
      </c>
      <c r="CG2189" s="319" t="str">
        <f t="shared" si="1232"/>
        <v/>
      </c>
      <c r="CH2189" s="319" t="str">
        <f t="shared" si="1232"/>
        <v/>
      </c>
      <c r="CI2189" s="319" t="str">
        <f t="shared" si="1232"/>
        <v/>
      </c>
      <c r="CJ2189" s="319" t="str">
        <f t="shared" si="1232"/>
        <v/>
      </c>
      <c r="CK2189" s="342">
        <f t="shared" si="182"/>
        <v>0</v>
      </c>
      <c r="CL2189" s="333">
        <f t="shared" si="183"/>
        <v>0</v>
      </c>
      <c r="CM2189" s="1079"/>
      <c r="CN2189" s="1005" t="s">
        <v>3258</v>
      </c>
      <c r="CO2189" s="1005"/>
      <c r="CP2189" s="1005"/>
    </row>
    <row r="2190">
      <c r="A2190" s="266"/>
      <c r="B2190" s="1113" t="s">
        <v>1750</v>
      </c>
      <c r="C2190" s="1107">
        <v>45940.0</v>
      </c>
      <c r="D2190" s="103"/>
      <c r="E2190" s="1108">
        <v>3.0</v>
      </c>
      <c r="F2190" s="112" t="s">
        <v>3260</v>
      </c>
      <c r="G2190" s="1110">
        <v>0.6008680555555556</v>
      </c>
      <c r="H2190" s="1110">
        <v>0.6012152777777777</v>
      </c>
      <c r="I2190" s="1110">
        <v>0.6027199074074074</v>
      </c>
      <c r="J2190" s="1139">
        <f t="shared" si="1230"/>
        <v>-0.4756944444</v>
      </c>
      <c r="K2190" s="1111"/>
      <c r="L2190" s="1112"/>
      <c r="M2190" s="1113" t="s">
        <v>166</v>
      </c>
      <c r="N2190" s="110" t="s">
        <v>187</v>
      </c>
      <c r="O2190" s="1115" t="s">
        <v>202</v>
      </c>
      <c r="P2190" s="1115" t="s">
        <v>277</v>
      </c>
      <c r="Q2190" s="1116"/>
      <c r="R2190" s="120">
        <v>24.4</v>
      </c>
      <c r="S2190" s="1113">
        <v>-7.5</v>
      </c>
      <c r="T2190" s="110">
        <v>0.57</v>
      </c>
      <c r="U2190" s="1108">
        <v>0.5</v>
      </c>
      <c r="V2190" s="1108">
        <v>1.8</v>
      </c>
      <c r="W2190" s="1108">
        <v>0.0200289344345458</v>
      </c>
      <c r="X2190" s="1303">
        <v>0.0401</v>
      </c>
      <c r="Y2190" s="1108" t="s">
        <v>2242</v>
      </c>
      <c r="Z2190" s="1114" t="s">
        <v>339</v>
      </c>
      <c r="AA2190" s="1114">
        <v>30.5</v>
      </c>
      <c r="AB2190" s="1114" t="s">
        <v>3257</v>
      </c>
      <c r="AC2190" s="1117">
        <v>3.0</v>
      </c>
      <c r="AD2190" s="1115" t="s">
        <v>1949</v>
      </c>
      <c r="AE2190" s="1115"/>
      <c r="AF2190" s="1115">
        <v>0.17</v>
      </c>
      <c r="AG2190" s="1115">
        <v>0.7</v>
      </c>
      <c r="AH2190" s="1115" t="s">
        <v>323</v>
      </c>
      <c r="AI2190" s="1115">
        <v>98.8</v>
      </c>
      <c r="AJ2190" s="1117">
        <v>0.08</v>
      </c>
      <c r="AK2190" s="1118"/>
      <c r="AL2190" s="1115">
        <v>0.08</v>
      </c>
      <c r="AM2190" s="1115"/>
      <c r="AN2190" s="1115"/>
      <c r="AO2190" s="1115"/>
      <c r="AP2190" s="1115"/>
      <c r="AQ2190" s="1115"/>
      <c r="AR2190" s="1115"/>
      <c r="AS2190" s="1117"/>
      <c r="AT2190" s="1196" t="str">
        <f t="shared" si="428"/>
        <v>0-1</v>
      </c>
      <c r="AU2190" s="1193"/>
      <c r="AV2190" s="330">
        <f>SQRT(($R2190-Infrastructure!J$3)^2+($S2190-Infrastructure!K$3)^2)</f>
        <v>43.98920322</v>
      </c>
      <c r="AW2190" s="331">
        <f>SQRT(($R2190-Infrastructure!J$4)^2+($S2190-Infrastructure!K$4)^2)</f>
        <v>35.35788455</v>
      </c>
      <c r="AX2190" s="331">
        <f>SQRT(($R2190-Infrastructure!J$5)^2+($S2190-Infrastructure!K$5)^2)</f>
        <v>27.72814455</v>
      </c>
      <c r="AY2190" s="331">
        <f>SQRT(($R2190-Infrastructure!J$6)^2+($S2190-Infrastructure!K$6)^2)</f>
        <v>16.28895331</v>
      </c>
      <c r="AZ2190" s="331">
        <f>SQRT(($R2190-Infrastructure!J$7)^2+($S2190-Infrastructure!K$7)^2)</f>
        <v>8.720665112</v>
      </c>
      <c r="BA2190" s="331">
        <f>SQRT(($R2190-Infrastructure!J$8)^2+($S2190-Infrastructure!K$8)^2)</f>
        <v>9.660745313</v>
      </c>
      <c r="BB2190" s="331">
        <f>SQRT(($R2190-Infrastructure!J$9)^2+($S2190-Infrastructure!K$9)^2)</f>
        <v>20.05292996</v>
      </c>
      <c r="BC2190" s="331">
        <f>SQRT(($R2190-Infrastructure!J$10)^2+($S2190-Infrastructure!K$10)^2)</f>
        <v>27.37900656</v>
      </c>
      <c r="BD2190" s="331">
        <f>SQRT(($R2190-Infrastructure!J$11)^2+($S2190-Infrastructure!K$11)^2)</f>
        <v>39.77298078</v>
      </c>
      <c r="BE2190" s="333">
        <f>SQRT(($R2190-Infrastructure!J$12)^2+($S2190-Infrastructure!K$12)^2)</f>
        <v>63.06671071</v>
      </c>
      <c r="BF2190" s="330">
        <f t="shared" si="161"/>
        <v>8.720665112</v>
      </c>
      <c r="BG2190" s="333">
        <f t="shared" si="162"/>
        <v>63.06671071</v>
      </c>
      <c r="BH2190" s="1119"/>
      <c r="BI2190" s="319" t="str">
        <f t="shared" ref="BI2190:BR2190" si="1233">IF(ISNUMBER(FIND(BI$3, $CO2190)), "Y", "")</f>
        <v/>
      </c>
      <c r="BJ2190" s="319" t="str">
        <f t="shared" si="1233"/>
        <v/>
      </c>
      <c r="BK2190" s="319" t="str">
        <f t="shared" si="1233"/>
        <v/>
      </c>
      <c r="BL2190" s="319" t="str">
        <f t="shared" si="1233"/>
        <v/>
      </c>
      <c r="BM2190" s="319" t="str">
        <f t="shared" si="1233"/>
        <v/>
      </c>
      <c r="BN2190" s="319" t="str">
        <f t="shared" si="1233"/>
        <v/>
      </c>
      <c r="BO2190" s="319" t="str">
        <f t="shared" si="1233"/>
        <v/>
      </c>
      <c r="BP2190" s="319" t="str">
        <f t="shared" si="1233"/>
        <v/>
      </c>
      <c r="BQ2190" s="319" t="str">
        <f t="shared" si="1233"/>
        <v/>
      </c>
      <c r="BR2190" s="319" t="str">
        <f t="shared" si="1233"/>
        <v/>
      </c>
      <c r="BS2190" s="330">
        <f t="shared" si="185"/>
        <v>0</v>
      </c>
      <c r="BT2190" s="331">
        <f t="shared" si="170"/>
        <v>0</v>
      </c>
      <c r="BU2190" s="920"/>
      <c r="BV2190" s="903" t="str">
        <f t="shared" si="186"/>
        <v/>
      </c>
      <c r="BW2190" s="908"/>
      <c r="BX2190" s="908"/>
      <c r="BY2190" s="331" t="b">
        <f t="shared" si="201"/>
        <v>0</v>
      </c>
      <c r="BZ2190" s="331"/>
      <c r="CA2190" s="462" t="str">
        <f t="shared" ref="CA2190:CJ2190" si="1234">IF(ISNUMBER(FIND(BI$3, $CP2190)), "Y", "")</f>
        <v/>
      </c>
      <c r="CB2190" s="319" t="str">
        <f t="shared" si="1234"/>
        <v/>
      </c>
      <c r="CC2190" s="319" t="str">
        <f t="shared" si="1234"/>
        <v/>
      </c>
      <c r="CD2190" s="319" t="str">
        <f t="shared" si="1234"/>
        <v/>
      </c>
      <c r="CE2190" s="319" t="str">
        <f t="shared" si="1234"/>
        <v/>
      </c>
      <c r="CF2190" s="319" t="str">
        <f t="shared" si="1234"/>
        <v/>
      </c>
      <c r="CG2190" s="319" t="str">
        <f t="shared" si="1234"/>
        <v/>
      </c>
      <c r="CH2190" s="319" t="str">
        <f t="shared" si="1234"/>
        <v/>
      </c>
      <c r="CI2190" s="319" t="str">
        <f t="shared" si="1234"/>
        <v/>
      </c>
      <c r="CJ2190" s="319" t="str">
        <f t="shared" si="1234"/>
        <v/>
      </c>
      <c r="CK2190" s="342">
        <f t="shared" si="182"/>
        <v>0</v>
      </c>
      <c r="CL2190" s="333">
        <f t="shared" si="183"/>
        <v>0</v>
      </c>
      <c r="CM2190" s="1079"/>
      <c r="CN2190" s="1005" t="s">
        <v>3258</v>
      </c>
      <c r="CO2190" s="1005"/>
      <c r="CP2190" s="1005"/>
    </row>
    <row r="2191">
      <c r="A2191" s="266"/>
      <c r="B2191" s="1113" t="s">
        <v>1750</v>
      </c>
      <c r="C2191" s="1107">
        <v>45940.0</v>
      </c>
      <c r="D2191" s="103"/>
      <c r="E2191" s="1108">
        <v>4.0</v>
      </c>
      <c r="F2191" s="112" t="s">
        <v>3261</v>
      </c>
      <c r="G2191" s="1110">
        <v>0.6121527777777778</v>
      </c>
      <c r="H2191" s="1110">
        <v>0.6125</v>
      </c>
      <c r="I2191" s="1110">
        <v>0.6145833333333334</v>
      </c>
      <c r="J2191" s="1139">
        <f t="shared" si="1230"/>
        <v>-0.4798611111</v>
      </c>
      <c r="K2191" s="1111"/>
      <c r="L2191" s="1112"/>
      <c r="M2191" s="1113" t="s">
        <v>166</v>
      </c>
      <c r="N2191" s="110" t="s">
        <v>187</v>
      </c>
      <c r="O2191" s="1115" t="s">
        <v>204</v>
      </c>
      <c r="P2191" s="1115" t="s">
        <v>281</v>
      </c>
      <c r="Q2191" s="1116"/>
      <c r="R2191" s="120">
        <v>18.7</v>
      </c>
      <c r="S2191" s="1113">
        <v>-4.1</v>
      </c>
      <c r="T2191" s="110">
        <v>1.21</v>
      </c>
      <c r="U2191" s="1108">
        <v>6.0</v>
      </c>
      <c r="V2191" s="1108">
        <v>21.6</v>
      </c>
      <c r="W2191" s="1108">
        <v>0.0417378836709928</v>
      </c>
      <c r="X2191" s="1303">
        <v>0.007</v>
      </c>
      <c r="Y2191" s="1108" t="s">
        <v>2246</v>
      </c>
      <c r="Z2191" s="1114" t="s">
        <v>365</v>
      </c>
      <c r="AA2191" s="1114">
        <v>96.0</v>
      </c>
      <c r="AB2191" s="1114" t="s">
        <v>3262</v>
      </c>
      <c r="AC2191" s="1117">
        <v>5.0</v>
      </c>
      <c r="AD2191" s="1115" t="s">
        <v>1949</v>
      </c>
      <c r="AE2191" s="1115"/>
      <c r="AF2191" s="1115">
        <v>1.2</v>
      </c>
      <c r="AG2191" s="1115">
        <v>8.38</v>
      </c>
      <c r="AH2191" s="1115" t="s">
        <v>323</v>
      </c>
      <c r="AI2191" s="1115">
        <v>426.9</v>
      </c>
      <c r="AJ2191" s="1117">
        <v>1.26</v>
      </c>
      <c r="AK2191" s="1118"/>
      <c r="AL2191" s="1115">
        <v>1.26</v>
      </c>
      <c r="AM2191" s="1115"/>
      <c r="AN2191" s="1115"/>
      <c r="AO2191" s="1115"/>
      <c r="AP2191" s="1115"/>
      <c r="AQ2191" s="1115"/>
      <c r="AR2191" s="1115"/>
      <c r="AS2191" s="1117"/>
      <c r="AT2191" s="1196" t="str">
        <f t="shared" si="428"/>
        <v>1-10</v>
      </c>
      <c r="AU2191" s="1193"/>
      <c r="AV2191" s="330">
        <f>SQRT(($R2191-Infrastructure!J$3)^2+($S2191-Infrastructure!K$3)^2)</f>
        <v>38.07886553</v>
      </c>
      <c r="AW2191" s="331">
        <f>SQRT(($R2191-Infrastructure!J$4)^2+($S2191-Infrastructure!K$4)^2)</f>
        <v>28.99327508</v>
      </c>
      <c r="AX2191" s="331">
        <f>SQRT(($R2191-Infrastructure!J$5)^2+($S2191-Infrastructure!K$5)^2)</f>
        <v>21.11018711</v>
      </c>
      <c r="AY2191" s="331">
        <f>SQRT(($R2191-Infrastructure!J$6)^2+($S2191-Infrastructure!K$6)^2)</f>
        <v>9.660227741</v>
      </c>
      <c r="AZ2191" s="331">
        <f>SQRT(($R2191-Infrastructure!J$7)^2+($S2191-Infrastructure!K$7)^2)</f>
        <v>4.75394573</v>
      </c>
      <c r="BA2191" s="331">
        <f>SQRT(($R2191-Infrastructure!J$8)^2+($S2191-Infrastructure!K$8)^2)</f>
        <v>12.2196563</v>
      </c>
      <c r="BB2191" s="331">
        <f>SQRT(($R2191-Infrastructure!J$9)^2+($S2191-Infrastructure!K$9)^2)</f>
        <v>23.20193957</v>
      </c>
      <c r="BC2191" s="331">
        <f>SQRT(($R2191-Infrastructure!J$10)^2+($S2191-Infrastructure!K$10)^2)</f>
        <v>28.609439</v>
      </c>
      <c r="BD2191" s="331">
        <f>SQRT(($R2191-Infrastructure!J$11)^2+($S2191-Infrastructure!K$11)^2)</f>
        <v>39.46973524</v>
      </c>
      <c r="BE2191" s="333">
        <f>SQRT(($R2191-Infrastructure!J$12)^2+($S2191-Infrastructure!K$12)^2)</f>
        <v>59.66573556</v>
      </c>
      <c r="BF2191" s="330">
        <f t="shared" si="161"/>
        <v>4.75394573</v>
      </c>
      <c r="BG2191" s="333">
        <f t="shared" si="162"/>
        <v>59.66573556</v>
      </c>
      <c r="BH2191" s="1119"/>
      <c r="BI2191" s="319" t="str">
        <f t="shared" ref="BI2191:BR2191" si="1235">IF(ISNUMBER(FIND(BI$3, $CO2191)), "Y", "")</f>
        <v/>
      </c>
      <c r="BJ2191" s="319" t="str">
        <f t="shared" si="1235"/>
        <v/>
      </c>
      <c r="BK2191" s="319" t="str">
        <f t="shared" si="1235"/>
        <v/>
      </c>
      <c r="BL2191" s="319" t="str">
        <f t="shared" si="1235"/>
        <v/>
      </c>
      <c r="BM2191" s="319" t="str">
        <f t="shared" si="1235"/>
        <v/>
      </c>
      <c r="BN2191" s="319" t="str">
        <f t="shared" si="1235"/>
        <v/>
      </c>
      <c r="BO2191" s="319" t="str">
        <f t="shared" si="1235"/>
        <v/>
      </c>
      <c r="BP2191" s="319" t="str">
        <f t="shared" si="1235"/>
        <v/>
      </c>
      <c r="BQ2191" s="319" t="str">
        <f t="shared" si="1235"/>
        <v/>
      </c>
      <c r="BR2191" s="319" t="str">
        <f t="shared" si="1235"/>
        <v/>
      </c>
      <c r="BS2191" s="330">
        <f t="shared" si="185"/>
        <v>0</v>
      </c>
      <c r="BT2191" s="331">
        <f t="shared" si="170"/>
        <v>0</v>
      </c>
      <c r="BU2191" s="920"/>
      <c r="BV2191" s="903" t="str">
        <f t="shared" si="186"/>
        <v/>
      </c>
      <c r="BW2191" s="908">
        <v>12.5</v>
      </c>
      <c r="BX2191" s="908">
        <v>-10.4</v>
      </c>
      <c r="BY2191" s="331">
        <f t="shared" si="201"/>
        <v>8.839117603</v>
      </c>
      <c r="BZ2191" s="331"/>
      <c r="CA2191" s="462" t="str">
        <f t="shared" ref="CA2191:CJ2191" si="1236">IF(ISNUMBER(FIND(BI$3, $CP2191)), "Y", "")</f>
        <v/>
      </c>
      <c r="CB2191" s="319" t="str">
        <f t="shared" si="1236"/>
        <v/>
      </c>
      <c r="CC2191" s="319" t="str">
        <f t="shared" si="1236"/>
        <v/>
      </c>
      <c r="CD2191" s="319" t="str">
        <f t="shared" si="1236"/>
        <v/>
      </c>
      <c r="CE2191" s="319" t="str">
        <f t="shared" si="1236"/>
        <v/>
      </c>
      <c r="CF2191" s="319" t="str">
        <f t="shared" si="1236"/>
        <v/>
      </c>
      <c r="CG2191" s="319" t="str">
        <f t="shared" si="1236"/>
        <v/>
      </c>
      <c r="CH2191" s="319" t="str">
        <f t="shared" si="1236"/>
        <v/>
      </c>
      <c r="CI2191" s="319" t="str">
        <f t="shared" si="1236"/>
        <v/>
      </c>
      <c r="CJ2191" s="319" t="str">
        <f t="shared" si="1236"/>
        <v/>
      </c>
      <c r="CK2191" s="342">
        <f t="shared" si="182"/>
        <v>0</v>
      </c>
      <c r="CL2191" s="333">
        <f t="shared" si="183"/>
        <v>0</v>
      </c>
      <c r="CM2191" s="1079"/>
      <c r="CN2191" s="1005" t="s">
        <v>3258</v>
      </c>
      <c r="CO2191" s="1005"/>
      <c r="CP2191" s="1005"/>
    </row>
    <row r="2192">
      <c r="A2192" s="266"/>
      <c r="B2192" s="1113" t="s">
        <v>1750</v>
      </c>
      <c r="C2192" s="1107">
        <v>45940.0</v>
      </c>
      <c r="D2192" s="103"/>
      <c r="E2192" s="1108">
        <v>5.0</v>
      </c>
      <c r="F2192" s="112" t="s">
        <v>3263</v>
      </c>
      <c r="G2192" s="1110">
        <v>0.6184027777777777</v>
      </c>
      <c r="H2192" s="1110">
        <v>0.61875</v>
      </c>
      <c r="I2192" s="1110">
        <v>0.6201388888888889</v>
      </c>
      <c r="J2192" s="1139">
        <f t="shared" si="1230"/>
        <v>-0.4833333333</v>
      </c>
      <c r="K2192" s="1111"/>
      <c r="L2192" s="1112"/>
      <c r="M2192" s="1113" t="s">
        <v>166</v>
      </c>
      <c r="N2192" s="110" t="s">
        <v>187</v>
      </c>
      <c r="O2192" s="1115" t="s">
        <v>204</v>
      </c>
      <c r="P2192" s="1115" t="s">
        <v>281</v>
      </c>
      <c r="Q2192" s="1116"/>
      <c r="R2192" s="120">
        <v>18.7</v>
      </c>
      <c r="S2192" s="1113">
        <v>-4.1</v>
      </c>
      <c r="T2192" s="110">
        <v>1.21</v>
      </c>
      <c r="U2192" s="1108">
        <v>4.0</v>
      </c>
      <c r="V2192" s="1108">
        <v>14.4</v>
      </c>
      <c r="W2192" s="1108">
        <v>0.0315053053733282</v>
      </c>
      <c r="X2192" s="1303">
        <v>0.0079</v>
      </c>
      <c r="Y2192" s="1108" t="s">
        <v>2246</v>
      </c>
      <c r="Z2192" s="1114" t="s">
        <v>365</v>
      </c>
      <c r="AA2192" s="1114">
        <v>86.0</v>
      </c>
      <c r="AB2192" s="1114" t="s">
        <v>3262</v>
      </c>
      <c r="AC2192" s="1117">
        <v>5.0</v>
      </c>
      <c r="AD2192" s="1115" t="s">
        <v>1949</v>
      </c>
      <c r="AE2192" s="1115"/>
      <c r="AF2192" s="1115">
        <v>0.8</v>
      </c>
      <c r="AG2192" s="1115">
        <v>5.59</v>
      </c>
      <c r="AH2192" s="1115" t="s">
        <v>323</v>
      </c>
      <c r="AI2192" s="1115">
        <v>284.6</v>
      </c>
      <c r="AJ2192" s="1117">
        <v>0.6</v>
      </c>
      <c r="AK2192" s="1118"/>
      <c r="AL2192" s="1115">
        <v>0.6</v>
      </c>
      <c r="AM2192" s="1115"/>
      <c r="AN2192" s="1115"/>
      <c r="AO2192" s="1115"/>
      <c r="AP2192" s="1115"/>
      <c r="AQ2192" s="1115"/>
      <c r="AR2192" s="1115"/>
      <c r="AS2192" s="1117"/>
      <c r="AT2192" s="1196" t="str">
        <f t="shared" si="428"/>
        <v>1-10</v>
      </c>
      <c r="AU2192" s="1193"/>
      <c r="AV2192" s="330">
        <f>SQRT(($R2192-Infrastructure!J$3)^2+($S2192-Infrastructure!K$3)^2)</f>
        <v>38.07886553</v>
      </c>
      <c r="AW2192" s="331">
        <f>SQRT(($R2192-Infrastructure!J$4)^2+($S2192-Infrastructure!K$4)^2)</f>
        <v>28.99327508</v>
      </c>
      <c r="AX2192" s="331">
        <f>SQRT(($R2192-Infrastructure!J$5)^2+($S2192-Infrastructure!K$5)^2)</f>
        <v>21.11018711</v>
      </c>
      <c r="AY2192" s="331">
        <f>SQRT(($R2192-Infrastructure!J$6)^2+($S2192-Infrastructure!K$6)^2)</f>
        <v>9.660227741</v>
      </c>
      <c r="AZ2192" s="331">
        <f>SQRT(($R2192-Infrastructure!J$7)^2+($S2192-Infrastructure!K$7)^2)</f>
        <v>4.75394573</v>
      </c>
      <c r="BA2192" s="331">
        <f>SQRT(($R2192-Infrastructure!J$8)^2+($S2192-Infrastructure!K$8)^2)</f>
        <v>12.2196563</v>
      </c>
      <c r="BB2192" s="331">
        <f>SQRT(($R2192-Infrastructure!J$9)^2+($S2192-Infrastructure!K$9)^2)</f>
        <v>23.20193957</v>
      </c>
      <c r="BC2192" s="331">
        <f>SQRT(($R2192-Infrastructure!J$10)^2+($S2192-Infrastructure!K$10)^2)</f>
        <v>28.609439</v>
      </c>
      <c r="BD2192" s="331">
        <f>SQRT(($R2192-Infrastructure!J$11)^2+($S2192-Infrastructure!K$11)^2)</f>
        <v>39.46973524</v>
      </c>
      <c r="BE2192" s="333">
        <f>SQRT(($R2192-Infrastructure!J$12)^2+($S2192-Infrastructure!K$12)^2)</f>
        <v>59.66573556</v>
      </c>
      <c r="BF2192" s="330">
        <f t="shared" si="161"/>
        <v>4.75394573</v>
      </c>
      <c r="BG2192" s="333">
        <f t="shared" si="162"/>
        <v>59.66573556</v>
      </c>
      <c r="BH2192" s="1119"/>
      <c r="BI2192" s="319" t="str">
        <f t="shared" ref="BI2192:BR2192" si="1237">IF(ISNUMBER(FIND(BI$3, $CO2192)), "Y", "")</f>
        <v/>
      </c>
      <c r="BJ2192" s="319" t="str">
        <f t="shared" si="1237"/>
        <v/>
      </c>
      <c r="BK2192" s="319" t="str">
        <f t="shared" si="1237"/>
        <v/>
      </c>
      <c r="BL2192" s="319" t="str">
        <f t="shared" si="1237"/>
        <v/>
      </c>
      <c r="BM2192" s="319" t="str">
        <f t="shared" si="1237"/>
        <v/>
      </c>
      <c r="BN2192" s="319" t="str">
        <f t="shared" si="1237"/>
        <v/>
      </c>
      <c r="BO2192" s="319" t="str">
        <f t="shared" si="1237"/>
        <v/>
      </c>
      <c r="BP2192" s="319" t="str">
        <f t="shared" si="1237"/>
        <v/>
      </c>
      <c r="BQ2192" s="319" t="str">
        <f t="shared" si="1237"/>
        <v/>
      </c>
      <c r="BR2192" s="319" t="str">
        <f t="shared" si="1237"/>
        <v/>
      </c>
      <c r="BS2192" s="330">
        <f t="shared" si="185"/>
        <v>0</v>
      </c>
      <c r="BT2192" s="331">
        <f t="shared" si="170"/>
        <v>0</v>
      </c>
      <c r="BU2192" s="920"/>
      <c r="BV2192" s="903" t="str">
        <f t="shared" si="186"/>
        <v/>
      </c>
      <c r="BW2192" s="908">
        <v>12.6</v>
      </c>
      <c r="BX2192" s="908">
        <v>-9.5</v>
      </c>
      <c r="BY2192" s="331">
        <f t="shared" si="201"/>
        <v>8.146778504</v>
      </c>
      <c r="BZ2192" s="331"/>
      <c r="CA2192" s="462" t="str">
        <f t="shared" ref="CA2192:CJ2192" si="1238">IF(ISNUMBER(FIND(BI$3, $CP2192)), "Y", "")</f>
        <v/>
      </c>
      <c r="CB2192" s="319" t="str">
        <f t="shared" si="1238"/>
        <v/>
      </c>
      <c r="CC2192" s="319" t="str">
        <f t="shared" si="1238"/>
        <v/>
      </c>
      <c r="CD2192" s="319" t="str">
        <f t="shared" si="1238"/>
        <v/>
      </c>
      <c r="CE2192" s="319" t="str">
        <f t="shared" si="1238"/>
        <v/>
      </c>
      <c r="CF2192" s="319" t="str">
        <f t="shared" si="1238"/>
        <v/>
      </c>
      <c r="CG2192" s="319" t="str">
        <f t="shared" si="1238"/>
        <v/>
      </c>
      <c r="CH2192" s="319" t="str">
        <f t="shared" si="1238"/>
        <v/>
      </c>
      <c r="CI2192" s="319" t="str">
        <f t="shared" si="1238"/>
        <v/>
      </c>
      <c r="CJ2192" s="319" t="str">
        <f t="shared" si="1238"/>
        <v/>
      </c>
      <c r="CK2192" s="342">
        <f t="shared" si="182"/>
        <v>0</v>
      </c>
      <c r="CL2192" s="333">
        <f t="shared" si="183"/>
        <v>0</v>
      </c>
      <c r="CM2192" s="1079"/>
      <c r="CN2192" s="1005" t="s">
        <v>3258</v>
      </c>
      <c r="CO2192" s="1005"/>
      <c r="CP2192" s="1005"/>
    </row>
    <row r="2193">
      <c r="A2193" s="266"/>
      <c r="B2193" s="1113" t="s">
        <v>1750</v>
      </c>
      <c r="C2193" s="1107">
        <v>45940.0</v>
      </c>
      <c r="D2193" s="103"/>
      <c r="E2193" s="1108">
        <v>6.0</v>
      </c>
      <c r="F2193" s="112" t="s">
        <v>3264</v>
      </c>
      <c r="G2193" s="1110">
        <v>0.6260416666666667</v>
      </c>
      <c r="H2193" s="1110">
        <v>0.6263888888888889</v>
      </c>
      <c r="I2193" s="1110">
        <v>0.6276041666666666</v>
      </c>
      <c r="J2193" s="1139">
        <f t="shared" si="1230"/>
        <v>-0.4888888889</v>
      </c>
      <c r="K2193" s="1111"/>
      <c r="L2193" s="1112"/>
      <c r="M2193" s="1113" t="s">
        <v>166</v>
      </c>
      <c r="N2193" s="110" t="s">
        <v>187</v>
      </c>
      <c r="O2193" s="1115" t="s">
        <v>204</v>
      </c>
      <c r="P2193" s="1115" t="s">
        <v>281</v>
      </c>
      <c r="Q2193" s="1116"/>
      <c r="R2193" s="120">
        <v>18.7</v>
      </c>
      <c r="S2193" s="1113">
        <v>-4.1</v>
      </c>
      <c r="T2193" s="110">
        <v>1.21</v>
      </c>
      <c r="U2193" s="1108">
        <v>2.0</v>
      </c>
      <c r="V2193" s="1108">
        <v>7.2</v>
      </c>
      <c r="W2193" s="1108">
        <v>0.0232848505828718</v>
      </c>
      <c r="X2193" s="1303">
        <v>0.0116</v>
      </c>
      <c r="Y2193" s="1108" t="s">
        <v>2246</v>
      </c>
      <c r="Z2193" s="1114" t="s">
        <v>365</v>
      </c>
      <c r="AA2193" s="1114">
        <v>67.5</v>
      </c>
      <c r="AB2193" s="1114" t="s">
        <v>3262</v>
      </c>
      <c r="AC2193" s="1117">
        <v>5.0</v>
      </c>
      <c r="AD2193" s="1115" t="s">
        <v>1949</v>
      </c>
      <c r="AE2193" s="1115"/>
      <c r="AF2193" s="1115">
        <v>0.4</v>
      </c>
      <c r="AG2193" s="1115">
        <v>2.79</v>
      </c>
      <c r="AH2193" s="1115" t="s">
        <v>323</v>
      </c>
      <c r="AI2193" s="1115">
        <v>142.3</v>
      </c>
      <c r="AJ2193" s="1117">
        <v>0.27</v>
      </c>
      <c r="AK2193" s="1118"/>
      <c r="AL2193" s="1115">
        <v>0.27</v>
      </c>
      <c r="AM2193" s="1115"/>
      <c r="AN2193" s="1115"/>
      <c r="AO2193" s="1115"/>
      <c r="AP2193" s="1115"/>
      <c r="AQ2193" s="1115"/>
      <c r="AR2193" s="1115"/>
      <c r="AS2193" s="1117"/>
      <c r="AT2193" s="1196" t="str">
        <f t="shared" si="428"/>
        <v>1-10</v>
      </c>
      <c r="AU2193" s="1193"/>
      <c r="AV2193" s="330">
        <f>SQRT(($R2193-Infrastructure!J$3)^2+($S2193-Infrastructure!K$3)^2)</f>
        <v>38.07886553</v>
      </c>
      <c r="AW2193" s="331">
        <f>SQRT(($R2193-Infrastructure!J$4)^2+($S2193-Infrastructure!K$4)^2)</f>
        <v>28.99327508</v>
      </c>
      <c r="AX2193" s="331">
        <f>SQRT(($R2193-Infrastructure!J$5)^2+($S2193-Infrastructure!K$5)^2)</f>
        <v>21.11018711</v>
      </c>
      <c r="AY2193" s="331">
        <f>SQRT(($R2193-Infrastructure!J$6)^2+($S2193-Infrastructure!K$6)^2)</f>
        <v>9.660227741</v>
      </c>
      <c r="AZ2193" s="331">
        <f>SQRT(($R2193-Infrastructure!J$7)^2+($S2193-Infrastructure!K$7)^2)</f>
        <v>4.75394573</v>
      </c>
      <c r="BA2193" s="331">
        <f>SQRT(($R2193-Infrastructure!J$8)^2+($S2193-Infrastructure!K$8)^2)</f>
        <v>12.2196563</v>
      </c>
      <c r="BB2193" s="331">
        <f>SQRT(($R2193-Infrastructure!J$9)^2+($S2193-Infrastructure!K$9)^2)</f>
        <v>23.20193957</v>
      </c>
      <c r="BC2193" s="331">
        <f>SQRT(($R2193-Infrastructure!J$10)^2+($S2193-Infrastructure!K$10)^2)</f>
        <v>28.609439</v>
      </c>
      <c r="BD2193" s="331">
        <f>SQRT(($R2193-Infrastructure!J$11)^2+($S2193-Infrastructure!K$11)^2)</f>
        <v>39.46973524</v>
      </c>
      <c r="BE2193" s="333">
        <f>SQRT(($R2193-Infrastructure!J$12)^2+($S2193-Infrastructure!K$12)^2)</f>
        <v>59.66573556</v>
      </c>
      <c r="BF2193" s="330">
        <f t="shared" si="161"/>
        <v>4.75394573</v>
      </c>
      <c r="BG2193" s="333">
        <f t="shared" si="162"/>
        <v>59.66573556</v>
      </c>
      <c r="BH2193" s="1119"/>
      <c r="BI2193" s="319" t="str">
        <f t="shared" ref="BI2193:BR2193" si="1239">IF(ISNUMBER(FIND(BI$3, $CO2193)), "Y", "")</f>
        <v/>
      </c>
      <c r="BJ2193" s="319" t="str">
        <f t="shared" si="1239"/>
        <v/>
      </c>
      <c r="BK2193" s="319" t="str">
        <f t="shared" si="1239"/>
        <v/>
      </c>
      <c r="BL2193" s="319" t="str">
        <f t="shared" si="1239"/>
        <v/>
      </c>
      <c r="BM2193" s="319" t="str">
        <f t="shared" si="1239"/>
        <v/>
      </c>
      <c r="BN2193" s="319" t="str">
        <f t="shared" si="1239"/>
        <v/>
      </c>
      <c r="BO2193" s="319" t="str">
        <f t="shared" si="1239"/>
        <v/>
      </c>
      <c r="BP2193" s="319" t="str">
        <f t="shared" si="1239"/>
        <v/>
      </c>
      <c r="BQ2193" s="319" t="str">
        <f t="shared" si="1239"/>
        <v/>
      </c>
      <c r="BR2193" s="319" t="str">
        <f t="shared" si="1239"/>
        <v/>
      </c>
      <c r="BS2193" s="330">
        <f t="shared" si="185"/>
        <v>0</v>
      </c>
      <c r="BT2193" s="331">
        <f t="shared" si="170"/>
        <v>0</v>
      </c>
      <c r="BU2193" s="920"/>
      <c r="BV2193" s="324"/>
      <c r="BW2193" s="908">
        <v>12.6</v>
      </c>
      <c r="BX2193" s="908">
        <v>-9.5</v>
      </c>
      <c r="BY2193" s="331">
        <f t="shared" si="201"/>
        <v>8.146778504</v>
      </c>
      <c r="BZ2193" s="331"/>
      <c r="CA2193" s="462" t="str">
        <f t="shared" ref="CA2193:CJ2193" si="1240">IF(ISNUMBER(FIND(BI$3, $CP2193)), "Y", "")</f>
        <v/>
      </c>
      <c r="CB2193" s="319" t="str">
        <f t="shared" si="1240"/>
        <v/>
      </c>
      <c r="CC2193" s="319" t="str">
        <f t="shared" si="1240"/>
        <v/>
      </c>
      <c r="CD2193" s="319" t="str">
        <f t="shared" si="1240"/>
        <v/>
      </c>
      <c r="CE2193" s="319" t="str">
        <f t="shared" si="1240"/>
        <v/>
      </c>
      <c r="CF2193" s="319" t="str">
        <f t="shared" si="1240"/>
        <v/>
      </c>
      <c r="CG2193" s="319" t="str">
        <f t="shared" si="1240"/>
        <v/>
      </c>
      <c r="CH2193" s="319" t="str">
        <f t="shared" si="1240"/>
        <v/>
      </c>
      <c r="CI2193" s="319" t="str">
        <f t="shared" si="1240"/>
        <v/>
      </c>
      <c r="CJ2193" s="319" t="str">
        <f t="shared" si="1240"/>
        <v/>
      </c>
      <c r="CK2193" s="342">
        <f t="shared" si="182"/>
        <v>0</v>
      </c>
      <c r="CL2193" s="333">
        <f t="shared" si="183"/>
        <v>0</v>
      </c>
      <c r="CM2193" s="1079"/>
      <c r="CN2193" s="1005" t="s">
        <v>3258</v>
      </c>
      <c r="CO2193" s="1005"/>
      <c r="CP2193" s="1005"/>
    </row>
    <row r="2194">
      <c r="A2194" s="266"/>
      <c r="B2194" s="1113" t="s">
        <v>1750</v>
      </c>
      <c r="C2194" s="1107">
        <v>45940.0</v>
      </c>
      <c r="D2194" s="103"/>
      <c r="E2194" s="1108" t="s">
        <v>2380</v>
      </c>
      <c r="F2194" s="112" t="s">
        <v>3265</v>
      </c>
      <c r="G2194" s="1110">
        <v>0.6295717592592592</v>
      </c>
      <c r="H2194" s="1110">
        <v>0.6300347222222222</v>
      </c>
      <c r="I2194" s="1110">
        <v>0.6311342592592593</v>
      </c>
      <c r="J2194" s="1139">
        <f t="shared" si="1230"/>
        <v>-0.4944444444</v>
      </c>
      <c r="K2194" s="1111"/>
      <c r="L2194" s="1112"/>
      <c r="M2194" s="1113" t="s">
        <v>166</v>
      </c>
      <c r="N2194" s="110" t="s">
        <v>187</v>
      </c>
      <c r="O2194" s="1115" t="s">
        <v>204</v>
      </c>
      <c r="P2194" s="1115" t="s">
        <v>281</v>
      </c>
      <c r="Q2194" s="1116"/>
      <c r="R2194" s="120">
        <v>18.7</v>
      </c>
      <c r="S2194" s="1113">
        <v>-4.1</v>
      </c>
      <c r="T2194" s="110">
        <v>1.21</v>
      </c>
      <c r="U2194" s="1108">
        <v>2.0</v>
      </c>
      <c r="V2194" s="1108">
        <v>7.2</v>
      </c>
      <c r="W2194" s="1108">
        <v>0.0232848505828718</v>
      </c>
      <c r="X2194" s="1303">
        <v>0.0116</v>
      </c>
      <c r="Y2194" s="1108" t="s">
        <v>2246</v>
      </c>
      <c r="Z2194" s="1114" t="s">
        <v>365</v>
      </c>
      <c r="AA2194" s="1114">
        <v>67.5</v>
      </c>
      <c r="AB2194" s="1114" t="s">
        <v>3262</v>
      </c>
      <c r="AC2194" s="1117">
        <v>5.0</v>
      </c>
      <c r="AD2194" s="1115" t="s">
        <v>1949</v>
      </c>
      <c r="AE2194" s="1115"/>
      <c r="AF2194" s="1115">
        <v>0.4</v>
      </c>
      <c r="AG2194" s="1115">
        <v>2.79</v>
      </c>
      <c r="AH2194" s="1115" t="s">
        <v>323</v>
      </c>
      <c r="AI2194" s="1115">
        <v>142.3</v>
      </c>
      <c r="AJ2194" s="1117">
        <v>0.27</v>
      </c>
      <c r="AK2194" s="1118"/>
      <c r="AL2194" s="1115">
        <v>0.27</v>
      </c>
      <c r="AM2194" s="1115"/>
      <c r="AN2194" s="1115"/>
      <c r="AO2194" s="1115"/>
      <c r="AP2194" s="1115"/>
      <c r="AQ2194" s="1115"/>
      <c r="AR2194" s="1115"/>
      <c r="AS2194" s="1117"/>
      <c r="AT2194" s="1196" t="str">
        <f t="shared" si="428"/>
        <v>1-10</v>
      </c>
      <c r="AU2194" s="1193"/>
      <c r="AV2194" s="330">
        <f>SQRT(($R2194-Infrastructure!J$3)^2+($S2194-Infrastructure!K$3)^2)</f>
        <v>38.07886553</v>
      </c>
      <c r="AW2194" s="331">
        <f>SQRT(($R2194-Infrastructure!J$4)^2+($S2194-Infrastructure!K$4)^2)</f>
        <v>28.99327508</v>
      </c>
      <c r="AX2194" s="331">
        <f>SQRT(($R2194-Infrastructure!J$5)^2+($S2194-Infrastructure!K$5)^2)</f>
        <v>21.11018711</v>
      </c>
      <c r="AY2194" s="331">
        <f>SQRT(($R2194-Infrastructure!J$6)^2+($S2194-Infrastructure!K$6)^2)</f>
        <v>9.660227741</v>
      </c>
      <c r="AZ2194" s="331">
        <f>SQRT(($R2194-Infrastructure!J$7)^2+($S2194-Infrastructure!K$7)^2)</f>
        <v>4.75394573</v>
      </c>
      <c r="BA2194" s="331">
        <f>SQRT(($R2194-Infrastructure!J$8)^2+($S2194-Infrastructure!K$8)^2)</f>
        <v>12.2196563</v>
      </c>
      <c r="BB2194" s="331">
        <f>SQRT(($R2194-Infrastructure!J$9)^2+($S2194-Infrastructure!K$9)^2)</f>
        <v>23.20193957</v>
      </c>
      <c r="BC2194" s="331">
        <f>SQRT(($R2194-Infrastructure!J$10)^2+($S2194-Infrastructure!K$10)^2)</f>
        <v>28.609439</v>
      </c>
      <c r="BD2194" s="331">
        <f>SQRT(($R2194-Infrastructure!J$11)^2+($S2194-Infrastructure!K$11)^2)</f>
        <v>39.46973524</v>
      </c>
      <c r="BE2194" s="333">
        <f>SQRT(($R2194-Infrastructure!J$12)^2+($S2194-Infrastructure!K$12)^2)</f>
        <v>59.66573556</v>
      </c>
      <c r="BF2194" s="330">
        <f t="shared" si="161"/>
        <v>4.75394573</v>
      </c>
      <c r="BG2194" s="333">
        <f t="shared" si="162"/>
        <v>59.66573556</v>
      </c>
      <c r="BH2194" s="1119"/>
      <c r="BI2194" s="319" t="str">
        <f t="shared" ref="BI2194:BR2194" si="1241">IF(ISNUMBER(FIND(BI$3, $CO2194)), "Y", "")</f>
        <v/>
      </c>
      <c r="BJ2194" s="319" t="str">
        <f t="shared" si="1241"/>
        <v/>
      </c>
      <c r="BK2194" s="319" t="str">
        <f t="shared" si="1241"/>
        <v/>
      </c>
      <c r="BL2194" s="319" t="str">
        <f t="shared" si="1241"/>
        <v/>
      </c>
      <c r="BM2194" s="319" t="str">
        <f t="shared" si="1241"/>
        <v/>
      </c>
      <c r="BN2194" s="319" t="str">
        <f t="shared" si="1241"/>
        <v/>
      </c>
      <c r="BO2194" s="319" t="str">
        <f t="shared" si="1241"/>
        <v/>
      </c>
      <c r="BP2194" s="319" t="str">
        <f t="shared" si="1241"/>
        <v/>
      </c>
      <c r="BQ2194" s="319" t="str">
        <f t="shared" si="1241"/>
        <v/>
      </c>
      <c r="BR2194" s="319" t="str">
        <f t="shared" si="1241"/>
        <v/>
      </c>
      <c r="BS2194" s="330">
        <f t="shared" si="185"/>
        <v>0</v>
      </c>
      <c r="BT2194" s="331">
        <f t="shared" si="170"/>
        <v>0</v>
      </c>
      <c r="BU2194" s="920"/>
      <c r="BV2194" s="903" t="str">
        <f t="shared" ref="BV2194:BV2464" si="1244">IF(BU2194-G2194&lt;=0,"",BU2194-G2194)</f>
        <v/>
      </c>
      <c r="BW2194" s="908">
        <v>11.7</v>
      </c>
      <c r="BX2194" s="908">
        <v>-11.6</v>
      </c>
      <c r="BY2194" s="331">
        <f t="shared" si="201"/>
        <v>10.25914226</v>
      </c>
      <c r="BZ2194" s="331"/>
      <c r="CA2194" s="462" t="str">
        <f t="shared" ref="CA2194:CJ2194" si="1242">IF(ISNUMBER(FIND(BI$3, $CP2194)), "Y", "")</f>
        <v/>
      </c>
      <c r="CB2194" s="319" t="str">
        <f t="shared" si="1242"/>
        <v/>
      </c>
      <c r="CC2194" s="319" t="str">
        <f t="shared" si="1242"/>
        <v/>
      </c>
      <c r="CD2194" s="319" t="str">
        <f t="shared" si="1242"/>
        <v/>
      </c>
      <c r="CE2194" s="319" t="str">
        <f t="shared" si="1242"/>
        <v/>
      </c>
      <c r="CF2194" s="319" t="str">
        <f t="shared" si="1242"/>
        <v/>
      </c>
      <c r="CG2194" s="319" t="str">
        <f t="shared" si="1242"/>
        <v/>
      </c>
      <c r="CH2194" s="319" t="str">
        <f t="shared" si="1242"/>
        <v/>
      </c>
      <c r="CI2194" s="319" t="str">
        <f t="shared" si="1242"/>
        <v/>
      </c>
      <c r="CJ2194" s="319" t="str">
        <f t="shared" si="1242"/>
        <v/>
      </c>
      <c r="CK2194" s="342">
        <f t="shared" si="182"/>
        <v>0</v>
      </c>
      <c r="CL2194" s="333">
        <f t="shared" si="183"/>
        <v>0</v>
      </c>
      <c r="CM2194" s="1079"/>
      <c r="CN2194" s="1005" t="s">
        <v>3258</v>
      </c>
      <c r="CO2194" s="1005"/>
      <c r="CP2194" s="1005"/>
    </row>
    <row r="2195">
      <c r="A2195" s="266"/>
      <c r="B2195" s="1113" t="s">
        <v>1750</v>
      </c>
      <c r="C2195" s="1107">
        <v>45940.0</v>
      </c>
      <c r="D2195" s="103"/>
      <c r="E2195" s="1108">
        <v>7.0</v>
      </c>
      <c r="F2195" s="112" t="s">
        <v>3266</v>
      </c>
      <c r="G2195" s="1110">
        <v>0.640625</v>
      </c>
      <c r="H2195" s="1110">
        <v>0.6409722222222223</v>
      </c>
      <c r="I2195" s="1110">
        <v>0.6421875</v>
      </c>
      <c r="J2195" s="1139">
        <f t="shared" si="1230"/>
        <v>-0.6166666667</v>
      </c>
      <c r="K2195" s="1111"/>
      <c r="L2195" s="1112"/>
      <c r="M2195" s="1113" t="s">
        <v>166</v>
      </c>
      <c r="N2195" s="110" t="s">
        <v>187</v>
      </c>
      <c r="O2195" s="1115" t="s">
        <v>203</v>
      </c>
      <c r="P2195" s="1115" t="s">
        <v>249</v>
      </c>
      <c r="Q2195" s="1116"/>
      <c r="R2195" s="120">
        <v>15.5</v>
      </c>
      <c r="S2195" s="1113">
        <v>-3.4</v>
      </c>
      <c r="T2195" s="110">
        <v>1.35</v>
      </c>
      <c r="U2195" s="1108">
        <v>5.5</v>
      </c>
      <c r="V2195" s="1108">
        <v>19.8</v>
      </c>
      <c r="W2195" s="1108">
        <v>0.0371133068566158</v>
      </c>
      <c r="X2195" s="1303">
        <v>0.0067</v>
      </c>
      <c r="Y2195" s="1108" t="s">
        <v>2244</v>
      </c>
      <c r="Z2195" s="1114" t="s">
        <v>357</v>
      </c>
      <c r="AA2195" s="1114">
        <v>93.5</v>
      </c>
      <c r="AB2195" s="1114" t="s">
        <v>384</v>
      </c>
      <c r="AC2195" s="1117">
        <v>6.0</v>
      </c>
      <c r="AD2195" s="1115" t="s">
        <v>1949</v>
      </c>
      <c r="AE2195" s="1115"/>
      <c r="AF2195" s="1115">
        <v>0.92</v>
      </c>
      <c r="AG2195" s="1115">
        <v>7.68</v>
      </c>
      <c r="AH2195" s="1115" t="s">
        <v>323</v>
      </c>
      <c r="AI2195" s="1115">
        <v>271.8</v>
      </c>
      <c r="AJ2195" s="1117">
        <v>0.74</v>
      </c>
      <c r="AK2195" s="1118"/>
      <c r="AL2195" s="1115">
        <v>0.74</v>
      </c>
      <c r="AM2195" s="1115"/>
      <c r="AN2195" s="1115"/>
      <c r="AO2195" s="1115"/>
      <c r="AP2195" s="1115"/>
      <c r="AQ2195" s="1115"/>
      <c r="AR2195" s="1115"/>
      <c r="AS2195" s="1117"/>
      <c r="AT2195" s="1196" t="str">
        <f t="shared" si="428"/>
        <v>1-10</v>
      </c>
      <c r="AU2195" s="1193"/>
      <c r="AV2195" s="330">
        <f>SQRT(($R2195-Infrastructure!J$3)^2+($S2195-Infrastructure!K$3)^2)</f>
        <v>35.95733583</v>
      </c>
      <c r="AW2195" s="331">
        <f>SQRT(($R2195-Infrastructure!J$4)^2+($S2195-Infrastructure!K$4)^2)</f>
        <v>26.44012103</v>
      </c>
      <c r="AX2195" s="331">
        <f>SQRT(($R2195-Infrastructure!J$5)^2+($S2195-Infrastructure!K$5)^2)</f>
        <v>17.94129315</v>
      </c>
      <c r="AY2195" s="331">
        <f>SQRT(($R2195-Infrastructure!J$6)^2+($S2195-Infrastructure!K$6)^2)</f>
        <v>6.54599114</v>
      </c>
      <c r="AZ2195" s="331">
        <f>SQRT(($R2195-Infrastructure!J$7)^2+($S2195-Infrastructure!K$7)^2)</f>
        <v>6.220128616</v>
      </c>
      <c r="BA2195" s="331">
        <f>SQRT(($R2195-Infrastructure!J$8)^2+($S2195-Infrastructure!K$8)^2)</f>
        <v>15.06154043</v>
      </c>
      <c r="BB2195" s="331">
        <f>SQRT(($R2195-Infrastructure!J$9)^2+($S2195-Infrastructure!K$9)^2)</f>
        <v>25.93260496</v>
      </c>
      <c r="BC2195" s="331">
        <f>SQRT(($R2195-Infrastructure!J$10)^2+($S2195-Infrastructure!K$10)^2)</f>
        <v>30.64000653</v>
      </c>
      <c r="BD2195" s="331">
        <f>SQRT(($R2195-Infrastructure!J$11)^2+($S2195-Infrastructure!K$11)^2)</f>
        <v>40.74125673</v>
      </c>
      <c r="BE2195" s="333">
        <f>SQRT(($R2195-Infrastructure!J$12)^2+($S2195-Infrastructure!K$12)^2)</f>
        <v>59.20481399</v>
      </c>
      <c r="BF2195" s="330">
        <f t="shared" si="161"/>
        <v>6.220128616</v>
      </c>
      <c r="BG2195" s="333">
        <f t="shared" si="162"/>
        <v>59.20481399</v>
      </c>
      <c r="BH2195" s="1119"/>
      <c r="BI2195" s="319" t="str">
        <f t="shared" ref="BI2195:BR2195" si="1243">IF(ISNUMBER(FIND(BI$3, $CO2195)), "Y", "")</f>
        <v/>
      </c>
      <c r="BJ2195" s="319" t="str">
        <f t="shared" si="1243"/>
        <v/>
      </c>
      <c r="BK2195" s="319" t="str">
        <f t="shared" si="1243"/>
        <v/>
      </c>
      <c r="BL2195" s="319" t="str">
        <f t="shared" si="1243"/>
        <v/>
      </c>
      <c r="BM2195" s="319" t="str">
        <f t="shared" si="1243"/>
        <v/>
      </c>
      <c r="BN2195" s="319" t="str">
        <f t="shared" si="1243"/>
        <v/>
      </c>
      <c r="BO2195" s="319" t="str">
        <f t="shared" si="1243"/>
        <v/>
      </c>
      <c r="BP2195" s="319" t="str">
        <f t="shared" si="1243"/>
        <v/>
      </c>
      <c r="BQ2195" s="319" t="str">
        <f t="shared" si="1243"/>
        <v/>
      </c>
      <c r="BR2195" s="319" t="str">
        <f t="shared" si="1243"/>
        <v/>
      </c>
      <c r="BS2195" s="330">
        <f t="shared" si="185"/>
        <v>0</v>
      </c>
      <c r="BT2195" s="331">
        <f t="shared" si="170"/>
        <v>0</v>
      </c>
      <c r="BU2195" s="920"/>
      <c r="BV2195" s="903" t="str">
        <f t="shared" si="1244"/>
        <v/>
      </c>
      <c r="BW2195" s="908">
        <v>10.5</v>
      </c>
      <c r="BX2195" s="908">
        <v>-15.6</v>
      </c>
      <c r="BY2195" s="331">
        <f t="shared" si="201"/>
        <v>13.18483978</v>
      </c>
      <c r="BZ2195" s="331"/>
      <c r="CA2195" s="462" t="str">
        <f t="shared" ref="CA2195:CJ2195" si="1245">IF(ISNUMBER(FIND(BI$3, $CP2195)), "Y", "")</f>
        <v/>
      </c>
      <c r="CB2195" s="319" t="str">
        <f t="shared" si="1245"/>
        <v/>
      </c>
      <c r="CC2195" s="319" t="str">
        <f t="shared" si="1245"/>
        <v/>
      </c>
      <c r="CD2195" s="319" t="str">
        <f t="shared" si="1245"/>
        <v/>
      </c>
      <c r="CE2195" s="319" t="str">
        <f t="shared" si="1245"/>
        <v/>
      </c>
      <c r="CF2195" s="319" t="str">
        <f t="shared" si="1245"/>
        <v/>
      </c>
      <c r="CG2195" s="319" t="str">
        <f t="shared" si="1245"/>
        <v/>
      </c>
      <c r="CH2195" s="319" t="str">
        <f t="shared" si="1245"/>
        <v/>
      </c>
      <c r="CI2195" s="319" t="str">
        <f t="shared" si="1245"/>
        <v/>
      </c>
      <c r="CJ2195" s="319" t="str">
        <f t="shared" si="1245"/>
        <v/>
      </c>
      <c r="CK2195" s="342">
        <f t="shared" si="182"/>
        <v>0</v>
      </c>
      <c r="CL2195" s="333">
        <f t="shared" si="183"/>
        <v>0</v>
      </c>
      <c r="CM2195" s="1079"/>
      <c r="CN2195" s="1005" t="s">
        <v>3258</v>
      </c>
      <c r="CO2195" s="1005"/>
      <c r="CP2195" s="1005"/>
    </row>
    <row r="2196">
      <c r="A2196" s="266"/>
      <c r="B2196" s="1113" t="s">
        <v>1750</v>
      </c>
      <c r="C2196" s="1107">
        <v>45940.0</v>
      </c>
      <c r="D2196" s="103"/>
      <c r="E2196" s="1108">
        <v>8.0</v>
      </c>
      <c r="F2196" s="112" t="s">
        <v>3267</v>
      </c>
      <c r="G2196" s="1110">
        <v>0.6466203703703703</v>
      </c>
      <c r="H2196" s="1110">
        <v>0.646875</v>
      </c>
      <c r="I2196" s="1110">
        <v>0.6482638888888889</v>
      </c>
      <c r="J2196" s="1139">
        <f t="shared" si="1230"/>
        <v>-0.6298611111</v>
      </c>
      <c r="K2196" s="1111"/>
      <c r="L2196" s="1112"/>
      <c r="M2196" s="1113" t="s">
        <v>166</v>
      </c>
      <c r="N2196" s="110" t="s">
        <v>187</v>
      </c>
      <c r="O2196" s="1115" t="s">
        <v>203</v>
      </c>
      <c r="P2196" s="1115" t="s">
        <v>282</v>
      </c>
      <c r="Q2196" s="1116"/>
      <c r="R2196" s="120">
        <v>14.6</v>
      </c>
      <c r="S2196" s="1113">
        <v>-3.5</v>
      </c>
      <c r="T2196" s="110">
        <v>0.16</v>
      </c>
      <c r="U2196" s="1108">
        <v>2.2</v>
      </c>
      <c r="V2196" s="1108">
        <v>7.92</v>
      </c>
      <c r="W2196" s="1108">
        <v>0.0190663203259919</v>
      </c>
      <c r="X2196" s="1303">
        <v>0.0087</v>
      </c>
      <c r="Y2196" s="1108" t="s">
        <v>2244</v>
      </c>
      <c r="Z2196" s="1114" t="s">
        <v>357</v>
      </c>
      <c r="AA2196" s="1114">
        <v>70.0</v>
      </c>
      <c r="AB2196" s="1114" t="s">
        <v>3268</v>
      </c>
      <c r="AC2196" s="1117">
        <v>10.0</v>
      </c>
      <c r="AD2196" s="1115" t="s">
        <v>1949</v>
      </c>
      <c r="AE2196" s="1115"/>
      <c r="AF2196" s="1115">
        <v>0.22</v>
      </c>
      <c r="AG2196" s="1115">
        <v>3.07</v>
      </c>
      <c r="AH2196" s="1115" t="s">
        <v>323</v>
      </c>
      <c r="AI2196" s="1115">
        <v>39.1</v>
      </c>
      <c r="AJ2196" s="1117">
        <v>0.31</v>
      </c>
      <c r="AK2196" s="1118"/>
      <c r="AL2196" s="1115">
        <v>0.31</v>
      </c>
      <c r="AM2196" s="1115"/>
      <c r="AN2196" s="1115"/>
      <c r="AO2196" s="1115"/>
      <c r="AP2196" s="1115"/>
      <c r="AQ2196" s="1115"/>
      <c r="AR2196" s="1115"/>
      <c r="AS2196" s="1117"/>
      <c r="AT2196" s="1196" t="str">
        <f t="shared" si="428"/>
        <v>1-10</v>
      </c>
      <c r="AU2196" s="1193"/>
      <c r="AV2196" s="330">
        <f>SQRT(($R2196-Infrastructure!J$3)^2+($S2196-Infrastructure!K$3)^2)</f>
        <v>35.66188441</v>
      </c>
      <c r="AW2196" s="331">
        <f>SQRT(($R2196-Infrastructure!J$4)^2+($S2196-Infrastructure!K$4)^2)</f>
        <v>25.99423013</v>
      </c>
      <c r="AX2196" s="331">
        <f>SQRT(($R2196-Infrastructure!J$5)^2+($S2196-Infrastructure!K$5)^2)</f>
        <v>17.20377865</v>
      </c>
      <c r="AY2196" s="331">
        <f>SQRT(($R2196-Infrastructure!J$6)^2+($S2196-Infrastructure!K$6)^2)</f>
        <v>5.889821729</v>
      </c>
      <c r="AZ2196" s="331">
        <f>SQRT(($R2196-Infrastructure!J$7)^2+($S2196-Infrastructure!K$7)^2)</f>
        <v>7.017834424</v>
      </c>
      <c r="BA2196" s="331">
        <f>SQRT(($R2196-Infrastructure!J$8)^2+($S2196-Infrastructure!K$8)^2)</f>
        <v>15.95900999</v>
      </c>
      <c r="BB2196" s="331">
        <f>SQRT(($R2196-Infrastructure!J$9)^2+($S2196-Infrastructure!K$9)^2)</f>
        <v>26.81641288</v>
      </c>
      <c r="BC2196" s="331">
        <f>SQRT(($R2196-Infrastructure!J$10)^2+($S2196-Infrastructure!K$10)^2)</f>
        <v>31.42308069</v>
      </c>
      <c r="BD2196" s="331">
        <f>SQRT(($R2196-Infrastructure!J$11)^2+($S2196-Infrastructure!K$11)^2)</f>
        <v>41.37160862</v>
      </c>
      <c r="BE2196" s="333">
        <f>SQRT(($R2196-Infrastructure!J$12)^2+($S2196-Infrastructure!K$12)^2)</f>
        <v>59.40210434</v>
      </c>
      <c r="BF2196" s="330">
        <f t="shared" si="161"/>
        <v>5.889821729</v>
      </c>
      <c r="BG2196" s="333">
        <f t="shared" si="162"/>
        <v>59.40210434</v>
      </c>
      <c r="BH2196" s="1119"/>
      <c r="BI2196" s="319" t="str">
        <f t="shared" ref="BI2196:BR2196" si="1246">IF(ISNUMBER(FIND(BI$3, $CO2196)), "Y", "")</f>
        <v/>
      </c>
      <c r="BJ2196" s="319" t="str">
        <f t="shared" si="1246"/>
        <v/>
      </c>
      <c r="BK2196" s="319" t="str">
        <f t="shared" si="1246"/>
        <v/>
      </c>
      <c r="BL2196" s="319" t="str">
        <f t="shared" si="1246"/>
        <v/>
      </c>
      <c r="BM2196" s="319" t="str">
        <f t="shared" si="1246"/>
        <v/>
      </c>
      <c r="BN2196" s="319" t="str">
        <f t="shared" si="1246"/>
        <v/>
      </c>
      <c r="BO2196" s="319" t="str">
        <f t="shared" si="1246"/>
        <v/>
      </c>
      <c r="BP2196" s="319" t="str">
        <f t="shared" si="1246"/>
        <v/>
      </c>
      <c r="BQ2196" s="319" t="str">
        <f t="shared" si="1246"/>
        <v/>
      </c>
      <c r="BR2196" s="319" t="str">
        <f t="shared" si="1246"/>
        <v/>
      </c>
      <c r="BS2196" s="330">
        <f t="shared" si="185"/>
        <v>0</v>
      </c>
      <c r="BT2196" s="331">
        <f t="shared" si="170"/>
        <v>0</v>
      </c>
      <c r="BU2196" s="920"/>
      <c r="BV2196" s="903" t="str">
        <f t="shared" si="1244"/>
        <v/>
      </c>
      <c r="BW2196" s="908"/>
      <c r="BX2196" s="908"/>
      <c r="BY2196" s="331" t="b">
        <f t="shared" si="201"/>
        <v>0</v>
      </c>
      <c r="BZ2196" s="331"/>
      <c r="CA2196" s="462" t="str">
        <f t="shared" ref="CA2196:CJ2196" si="1247">IF(ISNUMBER(FIND(BI$3, $CP2196)), "Y", "")</f>
        <v/>
      </c>
      <c r="CB2196" s="319" t="str">
        <f t="shared" si="1247"/>
        <v/>
      </c>
      <c r="CC2196" s="319" t="str">
        <f t="shared" si="1247"/>
        <v/>
      </c>
      <c r="CD2196" s="319" t="str">
        <f t="shared" si="1247"/>
        <v/>
      </c>
      <c r="CE2196" s="319" t="str">
        <f t="shared" si="1247"/>
        <v/>
      </c>
      <c r="CF2196" s="319" t="str">
        <f t="shared" si="1247"/>
        <v/>
      </c>
      <c r="CG2196" s="319" t="str">
        <f t="shared" si="1247"/>
        <v/>
      </c>
      <c r="CH2196" s="319" t="str">
        <f t="shared" si="1247"/>
        <v/>
      </c>
      <c r="CI2196" s="319" t="str">
        <f t="shared" si="1247"/>
        <v/>
      </c>
      <c r="CJ2196" s="319" t="str">
        <f t="shared" si="1247"/>
        <v/>
      </c>
      <c r="CK2196" s="342">
        <f t="shared" si="182"/>
        <v>0</v>
      </c>
      <c r="CL2196" s="333">
        <f t="shared" si="183"/>
        <v>0</v>
      </c>
      <c r="CM2196" s="1079"/>
      <c r="CN2196" s="1005" t="s">
        <v>3258</v>
      </c>
      <c r="CO2196" s="1005"/>
      <c r="CP2196" s="1005"/>
    </row>
    <row r="2197">
      <c r="A2197" s="266"/>
      <c r="B2197" s="1113" t="s">
        <v>1750</v>
      </c>
      <c r="C2197" s="1107">
        <v>45940.0</v>
      </c>
      <c r="D2197" s="103"/>
      <c r="E2197" s="1108" t="s">
        <v>2978</v>
      </c>
      <c r="F2197" s="112" t="s">
        <v>3269</v>
      </c>
      <c r="G2197" s="1110">
        <v>0.6491319444444444</v>
      </c>
      <c r="H2197" s="1110">
        <v>0.6492476851851852</v>
      </c>
      <c r="I2197" s="1110">
        <v>0.649537037037037</v>
      </c>
      <c r="J2197" s="1139">
        <f t="shared" si="1230"/>
        <v>-0.6486111111</v>
      </c>
      <c r="K2197" s="1111"/>
      <c r="L2197" s="1112"/>
      <c r="M2197" s="1113" t="s">
        <v>166</v>
      </c>
      <c r="N2197" s="110" t="s">
        <v>187</v>
      </c>
      <c r="O2197" s="1115" t="s">
        <v>203</v>
      </c>
      <c r="P2197" s="1115" t="s">
        <v>282</v>
      </c>
      <c r="Q2197" s="1116"/>
      <c r="R2197" s="120">
        <v>14.6</v>
      </c>
      <c r="S2197" s="1113">
        <v>-3.5</v>
      </c>
      <c r="T2197" s="110">
        <v>0.16</v>
      </c>
      <c r="U2197" s="1108">
        <v>2.2</v>
      </c>
      <c r="V2197" s="1108">
        <v>7.92</v>
      </c>
      <c r="W2197" s="1108">
        <v>0.0190663203259919</v>
      </c>
      <c r="X2197" s="1303">
        <v>0.0087</v>
      </c>
      <c r="Y2197" s="1108" t="s">
        <v>2244</v>
      </c>
      <c r="Z2197" s="1114" t="s">
        <v>357</v>
      </c>
      <c r="AA2197" s="1114">
        <v>70.0</v>
      </c>
      <c r="AB2197" s="1114" t="s">
        <v>3268</v>
      </c>
      <c r="AC2197" s="1117">
        <v>10.0</v>
      </c>
      <c r="AD2197" s="1115" t="s">
        <v>1949</v>
      </c>
      <c r="AE2197" s="1115"/>
      <c r="AF2197" s="1115">
        <v>0.22</v>
      </c>
      <c r="AG2197" s="1115">
        <v>3.07</v>
      </c>
      <c r="AH2197" s="1115" t="s">
        <v>323</v>
      </c>
      <c r="AI2197" s="1115">
        <v>39.1</v>
      </c>
      <c r="AJ2197" s="1117">
        <v>0.08</v>
      </c>
      <c r="AK2197" s="1118"/>
      <c r="AL2197" s="1115">
        <v>0.08</v>
      </c>
      <c r="AM2197" s="1115"/>
      <c r="AN2197" s="1115"/>
      <c r="AO2197" s="1115"/>
      <c r="AP2197" s="1115"/>
      <c r="AQ2197" s="1115"/>
      <c r="AR2197" s="1115"/>
      <c r="AS2197" s="1117"/>
      <c r="AT2197" s="1196" t="str">
        <f t="shared" si="428"/>
        <v>1-10</v>
      </c>
      <c r="AU2197" s="1193"/>
      <c r="AV2197" s="330">
        <f>SQRT(($R2197-Infrastructure!J$3)^2+($S2197-Infrastructure!K$3)^2)</f>
        <v>35.66188441</v>
      </c>
      <c r="AW2197" s="331">
        <f>SQRT(($R2197-Infrastructure!J$4)^2+($S2197-Infrastructure!K$4)^2)</f>
        <v>25.99423013</v>
      </c>
      <c r="AX2197" s="331">
        <f>SQRT(($R2197-Infrastructure!J$5)^2+($S2197-Infrastructure!K$5)^2)</f>
        <v>17.20377865</v>
      </c>
      <c r="AY2197" s="331">
        <f>SQRT(($R2197-Infrastructure!J$6)^2+($S2197-Infrastructure!K$6)^2)</f>
        <v>5.889821729</v>
      </c>
      <c r="AZ2197" s="331">
        <f>SQRT(($R2197-Infrastructure!J$7)^2+($S2197-Infrastructure!K$7)^2)</f>
        <v>7.017834424</v>
      </c>
      <c r="BA2197" s="331">
        <f>SQRT(($R2197-Infrastructure!J$8)^2+($S2197-Infrastructure!K$8)^2)</f>
        <v>15.95900999</v>
      </c>
      <c r="BB2197" s="331">
        <f>SQRT(($R2197-Infrastructure!J$9)^2+($S2197-Infrastructure!K$9)^2)</f>
        <v>26.81641288</v>
      </c>
      <c r="BC2197" s="331">
        <f>SQRT(($R2197-Infrastructure!J$10)^2+($S2197-Infrastructure!K$10)^2)</f>
        <v>31.42308069</v>
      </c>
      <c r="BD2197" s="331">
        <f>SQRT(($R2197-Infrastructure!J$11)^2+($S2197-Infrastructure!K$11)^2)</f>
        <v>41.37160862</v>
      </c>
      <c r="BE2197" s="333">
        <f>SQRT(($R2197-Infrastructure!J$12)^2+($S2197-Infrastructure!K$12)^2)</f>
        <v>59.40210434</v>
      </c>
      <c r="BF2197" s="330">
        <f t="shared" si="161"/>
        <v>5.889821729</v>
      </c>
      <c r="BG2197" s="333">
        <f t="shared" si="162"/>
        <v>59.40210434</v>
      </c>
      <c r="BH2197" s="1119"/>
      <c r="BI2197" s="319" t="str">
        <f t="shared" ref="BI2197:BR2197" si="1248">IF(ISNUMBER(FIND(BI$3, $CO2197)), "Y", "")</f>
        <v/>
      </c>
      <c r="BJ2197" s="319" t="str">
        <f t="shared" si="1248"/>
        <v/>
      </c>
      <c r="BK2197" s="319" t="str">
        <f t="shared" si="1248"/>
        <v/>
      </c>
      <c r="BL2197" s="319" t="str">
        <f t="shared" si="1248"/>
        <v/>
      </c>
      <c r="BM2197" s="319" t="str">
        <f t="shared" si="1248"/>
        <v/>
      </c>
      <c r="BN2197" s="319" t="str">
        <f t="shared" si="1248"/>
        <v/>
      </c>
      <c r="BO2197" s="319" t="str">
        <f t="shared" si="1248"/>
        <v/>
      </c>
      <c r="BP2197" s="319" t="str">
        <f t="shared" si="1248"/>
        <v/>
      </c>
      <c r="BQ2197" s="319" t="str">
        <f t="shared" si="1248"/>
        <v/>
      </c>
      <c r="BR2197" s="319" t="str">
        <f t="shared" si="1248"/>
        <v/>
      </c>
      <c r="BS2197" s="330">
        <f t="shared" si="185"/>
        <v>0</v>
      </c>
      <c r="BT2197" s="331">
        <f t="shared" si="170"/>
        <v>0</v>
      </c>
      <c r="BU2197" s="920"/>
      <c r="BV2197" s="903" t="str">
        <f t="shared" si="1244"/>
        <v/>
      </c>
      <c r="BW2197" s="908"/>
      <c r="BX2197" s="908"/>
      <c r="BY2197" s="331" t="b">
        <f t="shared" si="201"/>
        <v>0</v>
      </c>
      <c r="BZ2197" s="331"/>
      <c r="CA2197" s="462" t="str">
        <f t="shared" ref="CA2197:CJ2197" si="1249">IF(ISNUMBER(FIND(BI$3, $CP2197)), "Y", "")</f>
        <v/>
      </c>
      <c r="CB2197" s="319" t="str">
        <f t="shared" si="1249"/>
        <v/>
      </c>
      <c r="CC2197" s="319" t="str">
        <f t="shared" si="1249"/>
        <v/>
      </c>
      <c r="CD2197" s="319" t="str">
        <f t="shared" si="1249"/>
        <v/>
      </c>
      <c r="CE2197" s="319" t="str">
        <f t="shared" si="1249"/>
        <v/>
      </c>
      <c r="CF2197" s="319" t="str">
        <f t="shared" si="1249"/>
        <v/>
      </c>
      <c r="CG2197" s="319" t="str">
        <f t="shared" si="1249"/>
        <v/>
      </c>
      <c r="CH2197" s="319" t="str">
        <f t="shared" si="1249"/>
        <v/>
      </c>
      <c r="CI2197" s="319" t="str">
        <f t="shared" si="1249"/>
        <v/>
      </c>
      <c r="CJ2197" s="319" t="str">
        <f t="shared" si="1249"/>
        <v/>
      </c>
      <c r="CK2197" s="342">
        <f t="shared" si="182"/>
        <v>0</v>
      </c>
      <c r="CL2197" s="333">
        <f t="shared" si="183"/>
        <v>0</v>
      </c>
      <c r="CM2197" s="1079"/>
      <c r="CN2197" s="1005" t="s">
        <v>3258</v>
      </c>
      <c r="CO2197" s="1005"/>
      <c r="CP2197" s="1005"/>
    </row>
    <row r="2198">
      <c r="A2198" s="266"/>
      <c r="B2198" s="1113" t="s">
        <v>1750</v>
      </c>
      <c r="C2198" s="1107">
        <v>45940.0</v>
      </c>
      <c r="D2198" s="103"/>
      <c r="E2198" s="1137"/>
      <c r="F2198" s="112" t="s">
        <v>3270</v>
      </c>
      <c r="G2198" s="1110">
        <v>0.6503472222222222</v>
      </c>
      <c r="H2198" s="1138"/>
      <c r="I2198" s="1110">
        <v>0.6520833333333333</v>
      </c>
      <c r="J2198" s="1139">
        <f t="shared" si="1230"/>
        <v>-0.6569444444</v>
      </c>
      <c r="K2198" s="1111"/>
      <c r="L2198" s="1112"/>
      <c r="M2198" s="1113" t="s">
        <v>166</v>
      </c>
      <c r="N2198" s="110" t="s">
        <v>188</v>
      </c>
      <c r="O2198" s="1115" t="s">
        <v>3271</v>
      </c>
      <c r="P2198" s="1115" t="s">
        <v>292</v>
      </c>
      <c r="Q2198" s="1116"/>
      <c r="R2198" s="120" t="s">
        <v>323</v>
      </c>
      <c r="S2198" s="1113" t="s">
        <v>323</v>
      </c>
      <c r="T2198" s="110" t="s">
        <v>323</v>
      </c>
      <c r="U2198" s="1108" t="s">
        <v>323</v>
      </c>
      <c r="V2198" s="1108" t="s">
        <v>323</v>
      </c>
      <c r="W2198" s="1108" t="s">
        <v>323</v>
      </c>
      <c r="X2198" s="1108" t="s">
        <v>323</v>
      </c>
      <c r="Y2198" s="1108"/>
      <c r="Z2198" s="1114" t="s">
        <v>323</v>
      </c>
      <c r="AA2198" s="1114"/>
      <c r="AB2198" s="1114" t="s">
        <v>323</v>
      </c>
      <c r="AC2198" s="1117" t="s">
        <v>323</v>
      </c>
      <c r="AD2198" s="1115" t="s">
        <v>1949</v>
      </c>
      <c r="AE2198" s="1115"/>
      <c r="AF2198" s="1115" t="s">
        <v>323</v>
      </c>
      <c r="AG2198" s="1115" t="s">
        <v>323</v>
      </c>
      <c r="AH2198" s="1115" t="s">
        <v>323</v>
      </c>
      <c r="AI2198" s="1115" t="s">
        <v>323</v>
      </c>
      <c r="AJ2198" s="1117" t="s">
        <v>323</v>
      </c>
      <c r="AK2198" s="1118"/>
      <c r="AL2198" s="1115" t="s">
        <v>323</v>
      </c>
      <c r="AM2198" s="1115"/>
      <c r="AN2198" s="1115"/>
      <c r="AO2198" s="1115"/>
      <c r="AP2198" s="1115"/>
      <c r="AQ2198" s="1115"/>
      <c r="AR2198" s="1115"/>
      <c r="AS2198" s="1117"/>
      <c r="AT2198" s="1196" t="str">
        <f t="shared" si="428"/>
        <v/>
      </c>
      <c r="AU2198" s="1193"/>
      <c r="AV2198" s="330" t="str">
        <f>SQRT(($R2198-Infrastructure!J$3)^2+($S2198-Infrastructure!K$3)^2)</f>
        <v>#VALUE!</v>
      </c>
      <c r="AW2198" s="331" t="str">
        <f>SQRT(($R2198-Infrastructure!J$4)^2+($S2198-Infrastructure!K$4)^2)</f>
        <v>#VALUE!</v>
      </c>
      <c r="AX2198" s="331" t="str">
        <f>SQRT(($R2198-Infrastructure!J$5)^2+($S2198-Infrastructure!K$5)^2)</f>
        <v>#VALUE!</v>
      </c>
      <c r="AY2198" s="331" t="str">
        <f>SQRT(($R2198-Infrastructure!J$6)^2+($S2198-Infrastructure!K$6)^2)</f>
        <v>#VALUE!</v>
      </c>
      <c r="AZ2198" s="331" t="str">
        <f>SQRT(($R2198-Infrastructure!J$7)^2+($S2198-Infrastructure!K$7)^2)</f>
        <v>#VALUE!</v>
      </c>
      <c r="BA2198" s="331" t="str">
        <f>SQRT(($R2198-Infrastructure!J$8)^2+($S2198-Infrastructure!K$8)^2)</f>
        <v>#VALUE!</v>
      </c>
      <c r="BB2198" s="331" t="str">
        <f>SQRT(($R2198-Infrastructure!J$9)^2+($S2198-Infrastructure!K$9)^2)</f>
        <v>#VALUE!</v>
      </c>
      <c r="BC2198" s="331" t="str">
        <f>SQRT(($R2198-Infrastructure!J$10)^2+($S2198-Infrastructure!K$10)^2)</f>
        <v>#VALUE!</v>
      </c>
      <c r="BD2198" s="331" t="str">
        <f>SQRT(($R2198-Infrastructure!J$11)^2+($S2198-Infrastructure!K$11)^2)</f>
        <v>#VALUE!</v>
      </c>
      <c r="BE2198" s="333" t="str">
        <f>SQRT(($R2198-Infrastructure!J$12)^2+($S2198-Infrastructure!K$12)^2)</f>
        <v>#VALUE!</v>
      </c>
      <c r="BF2198" s="330" t="str">
        <f t="shared" si="161"/>
        <v>#VALUE!</v>
      </c>
      <c r="BG2198" s="333" t="str">
        <f t="shared" si="162"/>
        <v>#VALUE!</v>
      </c>
      <c r="BH2198" s="1119"/>
      <c r="BI2198" s="319" t="str">
        <f t="shared" ref="BI2198:BR2198" si="1250">IF(ISNUMBER(FIND(BI$3, $CO2198)), "Y", "")</f>
        <v/>
      </c>
      <c r="BJ2198" s="319" t="str">
        <f t="shared" si="1250"/>
        <v/>
      </c>
      <c r="BK2198" s="319" t="str">
        <f t="shared" si="1250"/>
        <v/>
      </c>
      <c r="BL2198" s="319" t="str">
        <f t="shared" si="1250"/>
        <v/>
      </c>
      <c r="BM2198" s="319" t="str">
        <f t="shared" si="1250"/>
        <v/>
      </c>
      <c r="BN2198" s="319" t="str">
        <f t="shared" si="1250"/>
        <v/>
      </c>
      <c r="BO2198" s="319" t="str">
        <f t="shared" si="1250"/>
        <v/>
      </c>
      <c r="BP2198" s="319" t="str">
        <f t="shared" si="1250"/>
        <v/>
      </c>
      <c r="BQ2198" s="319" t="str">
        <f t="shared" si="1250"/>
        <v/>
      </c>
      <c r="BR2198" s="319" t="str">
        <f t="shared" si="1250"/>
        <v/>
      </c>
      <c r="BS2198" s="330">
        <f t="shared" si="185"/>
        <v>0</v>
      </c>
      <c r="BT2198" s="331">
        <f t="shared" si="170"/>
        <v>0</v>
      </c>
      <c r="BU2198" s="920"/>
      <c r="BV2198" s="903" t="str">
        <f t="shared" si="1244"/>
        <v/>
      </c>
      <c r="BW2198" s="908"/>
      <c r="BX2198" s="908"/>
      <c r="BY2198" s="331" t="b">
        <f t="shared" si="201"/>
        <v>0</v>
      </c>
      <c r="BZ2198" s="331"/>
      <c r="CA2198" s="462" t="str">
        <f t="shared" ref="CA2198:CJ2198" si="1251">IF(ISNUMBER(FIND(BI$3, $CP2198)), "Y", "")</f>
        <v/>
      </c>
      <c r="CB2198" s="319" t="str">
        <f t="shared" si="1251"/>
        <v/>
      </c>
      <c r="CC2198" s="319" t="str">
        <f t="shared" si="1251"/>
        <v/>
      </c>
      <c r="CD2198" s="319" t="str">
        <f t="shared" si="1251"/>
        <v/>
      </c>
      <c r="CE2198" s="319" t="str">
        <f t="shared" si="1251"/>
        <v/>
      </c>
      <c r="CF2198" s="319" t="str">
        <f t="shared" si="1251"/>
        <v/>
      </c>
      <c r="CG2198" s="319" t="str">
        <f t="shared" si="1251"/>
        <v/>
      </c>
      <c r="CH2198" s="319" t="str">
        <f t="shared" si="1251"/>
        <v/>
      </c>
      <c r="CI2198" s="319" t="str">
        <f t="shared" si="1251"/>
        <v/>
      </c>
      <c r="CJ2198" s="319" t="str">
        <f t="shared" si="1251"/>
        <v/>
      </c>
      <c r="CK2198" s="342">
        <f t="shared" si="182"/>
        <v>0</v>
      </c>
      <c r="CL2198" s="333">
        <f t="shared" si="183"/>
        <v>0</v>
      </c>
      <c r="CM2198" s="1079"/>
      <c r="CN2198" s="1005" t="s">
        <v>3258</v>
      </c>
      <c r="CO2198" s="1005"/>
      <c r="CP2198" s="1005"/>
    </row>
    <row r="2199">
      <c r="A2199" s="1258"/>
      <c r="B2199" s="1129" t="s">
        <v>1750</v>
      </c>
      <c r="C2199" s="1122">
        <v>45940.0</v>
      </c>
      <c r="D2199" s="1123"/>
      <c r="E2199" s="1144"/>
      <c r="F2199" s="108" t="s">
        <v>3270</v>
      </c>
      <c r="G2199" s="1126">
        <v>0.6527777777777778</v>
      </c>
      <c r="H2199" s="1145"/>
      <c r="I2199" s="1126">
        <v>0.65625</v>
      </c>
      <c r="J2199" s="1146">
        <f t="shared" si="1230"/>
        <v>-0.6645833333</v>
      </c>
      <c r="K2199" s="1127"/>
      <c r="L2199" s="1128"/>
      <c r="M2199" s="1129" t="s">
        <v>358</v>
      </c>
      <c r="N2199" s="100" t="s">
        <v>188</v>
      </c>
      <c r="O2199" s="1131" t="s">
        <v>3271</v>
      </c>
      <c r="P2199" s="1131" t="s">
        <v>294</v>
      </c>
      <c r="Q2199" s="1132"/>
      <c r="R2199" s="137" t="s">
        <v>323</v>
      </c>
      <c r="S2199" s="1129" t="s">
        <v>323</v>
      </c>
      <c r="T2199" s="100" t="s">
        <v>323</v>
      </c>
      <c r="U2199" s="1124" t="s">
        <v>323</v>
      </c>
      <c r="V2199" s="1124" t="s">
        <v>323</v>
      </c>
      <c r="W2199" s="1124" t="s">
        <v>323</v>
      </c>
      <c r="X2199" s="1124" t="s">
        <v>323</v>
      </c>
      <c r="Y2199" s="1124"/>
      <c r="Z2199" s="1130" t="s">
        <v>323</v>
      </c>
      <c r="AA2199" s="1130"/>
      <c r="AB2199" s="1130" t="s">
        <v>323</v>
      </c>
      <c r="AC2199" s="1133" t="s">
        <v>323</v>
      </c>
      <c r="AD2199" s="1131" t="s">
        <v>1949</v>
      </c>
      <c r="AE2199" s="1131"/>
      <c r="AF2199" s="1131" t="s">
        <v>323</v>
      </c>
      <c r="AG2199" s="1131" t="s">
        <v>323</v>
      </c>
      <c r="AH2199" s="1131" t="s">
        <v>323</v>
      </c>
      <c r="AI2199" s="1131" t="s">
        <v>323</v>
      </c>
      <c r="AJ2199" s="1133" t="s">
        <v>323</v>
      </c>
      <c r="AK2199" s="1134"/>
      <c r="AL2199" s="1131"/>
      <c r="AM2199" s="1131"/>
      <c r="AN2199" s="1131" t="s">
        <v>323</v>
      </c>
      <c r="AO2199" s="1131"/>
      <c r="AP2199" s="1131"/>
      <c r="AQ2199" s="1131"/>
      <c r="AR2199" s="1131"/>
      <c r="AS2199" s="1133"/>
      <c r="AT2199" s="1197" t="str">
        <f t="shared" si="428"/>
        <v/>
      </c>
      <c r="AU2199" s="1194"/>
      <c r="AV2199" s="662" t="str">
        <f>SQRT(($R2199-Infrastructure!J$3)^2+($S2199-Infrastructure!K$3)^2)</f>
        <v>#VALUE!</v>
      </c>
      <c r="AW2199" s="641" t="str">
        <f>SQRT(($R2199-Infrastructure!J$4)^2+($S2199-Infrastructure!K$4)^2)</f>
        <v>#VALUE!</v>
      </c>
      <c r="AX2199" s="641" t="str">
        <f>SQRT(($R2199-Infrastructure!J$5)^2+($S2199-Infrastructure!K$5)^2)</f>
        <v>#VALUE!</v>
      </c>
      <c r="AY2199" s="641" t="str">
        <f>SQRT(($R2199-Infrastructure!J$6)^2+($S2199-Infrastructure!K$6)^2)</f>
        <v>#VALUE!</v>
      </c>
      <c r="AZ2199" s="641" t="str">
        <f>SQRT(($R2199-Infrastructure!J$7)^2+($S2199-Infrastructure!K$7)^2)</f>
        <v>#VALUE!</v>
      </c>
      <c r="BA2199" s="641" t="str">
        <f>SQRT(($R2199-Infrastructure!J$8)^2+($S2199-Infrastructure!K$8)^2)</f>
        <v>#VALUE!</v>
      </c>
      <c r="BB2199" s="641" t="str">
        <f>SQRT(($R2199-Infrastructure!J$9)^2+($S2199-Infrastructure!K$9)^2)</f>
        <v>#VALUE!</v>
      </c>
      <c r="BC2199" s="641" t="str">
        <f>SQRT(($R2199-Infrastructure!J$10)^2+($S2199-Infrastructure!K$10)^2)</f>
        <v>#VALUE!</v>
      </c>
      <c r="BD2199" s="641" t="str">
        <f>SQRT(($R2199-Infrastructure!J$11)^2+($S2199-Infrastructure!K$11)^2)</f>
        <v>#VALUE!</v>
      </c>
      <c r="BE2199" s="642" t="str">
        <f>SQRT(($R2199-Infrastructure!J$12)^2+($S2199-Infrastructure!K$12)^2)</f>
        <v>#VALUE!</v>
      </c>
      <c r="BF2199" s="662" t="str">
        <f t="shared" si="161"/>
        <v>#VALUE!</v>
      </c>
      <c r="BG2199" s="642" t="str">
        <f t="shared" si="162"/>
        <v>#VALUE!</v>
      </c>
      <c r="BH2199" s="1135"/>
      <c r="BI2199" s="663" t="str">
        <f t="shared" ref="BI2199:BR2199" si="1252">IF(ISNUMBER(FIND(BI$3, $CO2199)), "Y", "")</f>
        <v/>
      </c>
      <c r="BJ2199" s="663" t="str">
        <f t="shared" si="1252"/>
        <v/>
      </c>
      <c r="BK2199" s="663" t="str">
        <f t="shared" si="1252"/>
        <v/>
      </c>
      <c r="BL2199" s="663" t="str">
        <f t="shared" si="1252"/>
        <v/>
      </c>
      <c r="BM2199" s="663" t="str">
        <f t="shared" si="1252"/>
        <v/>
      </c>
      <c r="BN2199" s="663" t="str">
        <f t="shared" si="1252"/>
        <v/>
      </c>
      <c r="BO2199" s="663" t="str">
        <f t="shared" si="1252"/>
        <v/>
      </c>
      <c r="BP2199" s="663" t="str">
        <f t="shared" si="1252"/>
        <v/>
      </c>
      <c r="BQ2199" s="663" t="str">
        <f t="shared" si="1252"/>
        <v/>
      </c>
      <c r="BR2199" s="663" t="str">
        <f t="shared" si="1252"/>
        <v/>
      </c>
      <c r="BS2199" s="662">
        <f t="shared" si="185"/>
        <v>0</v>
      </c>
      <c r="BT2199" s="641">
        <f t="shared" si="170"/>
        <v>0</v>
      </c>
      <c r="BU2199" s="937"/>
      <c r="BV2199" s="930" t="str">
        <f t="shared" si="1244"/>
        <v/>
      </c>
      <c r="BW2199" s="939"/>
      <c r="BX2199" s="939"/>
      <c r="BY2199" s="641" t="b">
        <f t="shared" si="201"/>
        <v>0</v>
      </c>
      <c r="BZ2199" s="641"/>
      <c r="CA2199" s="635" t="str">
        <f t="shared" ref="CA2199:CJ2199" si="1253">IF(ISNUMBER(FIND(BI$3, $CP2199)), "Y", "")</f>
        <v/>
      </c>
      <c r="CB2199" s="663" t="str">
        <f t="shared" si="1253"/>
        <v/>
      </c>
      <c r="CC2199" s="663" t="str">
        <f t="shared" si="1253"/>
        <v/>
      </c>
      <c r="CD2199" s="663" t="str">
        <f t="shared" si="1253"/>
        <v/>
      </c>
      <c r="CE2199" s="663" t="str">
        <f t="shared" si="1253"/>
        <v/>
      </c>
      <c r="CF2199" s="663" t="str">
        <f t="shared" si="1253"/>
        <v/>
      </c>
      <c r="CG2199" s="663" t="str">
        <f t="shared" si="1253"/>
        <v/>
      </c>
      <c r="CH2199" s="663" t="str">
        <f t="shared" si="1253"/>
        <v/>
      </c>
      <c r="CI2199" s="663" t="str">
        <f t="shared" si="1253"/>
        <v/>
      </c>
      <c r="CJ2199" s="663" t="str">
        <f t="shared" si="1253"/>
        <v/>
      </c>
      <c r="CK2199" s="743">
        <f t="shared" si="182"/>
        <v>0</v>
      </c>
      <c r="CL2199" s="642">
        <f t="shared" si="183"/>
        <v>0</v>
      </c>
      <c r="CM2199" s="1090"/>
      <c r="CN2199" s="1036" t="s">
        <v>3258</v>
      </c>
      <c r="CO2199" s="1036"/>
      <c r="CP2199" s="1036"/>
    </row>
    <row r="2200">
      <c r="A2200" s="1257" t="s">
        <v>153</v>
      </c>
      <c r="B2200" s="1113" t="s">
        <v>1755</v>
      </c>
      <c r="C2200" s="1304">
        <v>45947.0</v>
      </c>
      <c r="D2200" s="103"/>
      <c r="E2200" s="1108">
        <v>1.0</v>
      </c>
      <c r="F2200" s="112" t="s">
        <v>3272</v>
      </c>
      <c r="G2200" s="1110">
        <v>0.5430555555555555</v>
      </c>
      <c r="H2200" s="1110">
        <v>0.5451388888888888</v>
      </c>
      <c r="I2200" s="1110">
        <v>0.55625</v>
      </c>
      <c r="J2200" s="1111">
        <v>0.011111111111111112</v>
      </c>
      <c r="K2200" s="1111"/>
      <c r="L2200" s="1112"/>
      <c r="M2200" s="1113" t="s">
        <v>166</v>
      </c>
      <c r="N2200" s="110" t="s">
        <v>188</v>
      </c>
      <c r="O2200" s="1115" t="s">
        <v>196</v>
      </c>
      <c r="P2200" s="1115" t="s">
        <v>303</v>
      </c>
      <c r="Q2200" s="1115" t="s">
        <v>3273</v>
      </c>
      <c r="R2200" s="120">
        <v>21.7</v>
      </c>
      <c r="S2200" s="1113">
        <v>-39.5</v>
      </c>
      <c r="T2200" s="110">
        <v>1.26</v>
      </c>
      <c r="U2200" s="1108">
        <v>140.0</v>
      </c>
      <c r="V2200" s="1108">
        <v>504.0</v>
      </c>
      <c r="W2200" s="1108">
        <v>0.96461373962156</v>
      </c>
      <c r="X2200" s="1303">
        <v>0.0069</v>
      </c>
      <c r="Y2200" s="1108" t="s">
        <v>3274</v>
      </c>
      <c r="Z2200" s="1114" t="s">
        <v>387</v>
      </c>
      <c r="AA2200" s="1114">
        <v>61.0</v>
      </c>
      <c r="AB2200" s="1114" t="s">
        <v>419</v>
      </c>
      <c r="AC2200" s="1117">
        <v>77.9</v>
      </c>
      <c r="AD2200" s="1115" t="s">
        <v>1949</v>
      </c>
      <c r="AE2200" s="1115" t="s">
        <v>3275</v>
      </c>
      <c r="AF2200" s="1115">
        <v>1.8</v>
      </c>
      <c r="AG2200" s="1115">
        <v>195.6</v>
      </c>
      <c r="AH2200" s="1115" t="s">
        <v>323</v>
      </c>
      <c r="AI2200" s="1115">
        <v>41.0</v>
      </c>
      <c r="AJ2200" s="1117">
        <v>159.6</v>
      </c>
      <c r="AK2200" s="1118"/>
      <c r="AL2200" s="1115"/>
      <c r="AM2200" s="1115">
        <v>159.600000000001</v>
      </c>
      <c r="AN2200" s="1115"/>
      <c r="AO2200" s="1115"/>
      <c r="AP2200" s="1115"/>
      <c r="AQ2200" s="1115"/>
      <c r="AR2200" s="1115"/>
      <c r="AS2200" s="1117"/>
      <c r="AT2200" s="1196" t="str">
        <f t="shared" si="428"/>
        <v>10+</v>
      </c>
      <c r="AU2200" s="1193"/>
      <c r="AV2200" s="330">
        <f>SQRT(($R2200-Infrastructure!J$3)^2+($S2200-Infrastructure!K$3)^2)</f>
        <v>71.85095685</v>
      </c>
      <c r="AW2200" s="331">
        <f>SQRT(($R2200-Infrastructure!J$4)^2+($S2200-Infrastructure!K$4)^2)</f>
        <v>61.37825348</v>
      </c>
      <c r="AX2200" s="331">
        <f>SQRT(($R2200-Infrastructure!J$5)^2+($S2200-Infrastructure!K$5)^2)</f>
        <v>49.73087572</v>
      </c>
      <c r="AY2200" s="331">
        <f>SQRT(($R2200-Infrastructure!J$6)^2+($S2200-Infrastructure!K$6)^2)</f>
        <v>41.45600077</v>
      </c>
      <c r="AZ2200" s="331">
        <f>SQRT(($R2200-Infrastructure!J$7)^2+($S2200-Infrastructure!K$7)^2)</f>
        <v>39.81808634</v>
      </c>
      <c r="BA2200" s="331">
        <f>SQRT(($R2200-Infrastructure!J$8)^2+($S2200-Infrastructure!K$8)^2)</f>
        <v>40.6767747</v>
      </c>
      <c r="BB2200" s="331">
        <f>SQRT(($R2200-Infrastructure!J$9)^2+($S2200-Infrastructure!K$9)^2)</f>
        <v>48.20840176</v>
      </c>
      <c r="BC2200" s="331">
        <f>SQRT(($R2200-Infrastructure!J$10)^2+($S2200-Infrastructure!K$10)^2)</f>
        <v>57.49034702</v>
      </c>
      <c r="BD2200" s="331">
        <f>SQRT(($R2200-Infrastructure!J$11)^2+($S2200-Infrastructure!K$11)^2)</f>
        <v>70.95421059</v>
      </c>
      <c r="BE2200" s="333">
        <f>SQRT(($R2200-Infrastructure!J$12)^2+($S2200-Infrastructure!K$12)^2)</f>
        <v>95.00021053</v>
      </c>
      <c r="BF2200" s="330">
        <f t="shared" si="161"/>
        <v>39.81808634</v>
      </c>
      <c r="BG2200" s="333">
        <f t="shared" si="162"/>
        <v>95.00021053</v>
      </c>
      <c r="BH2200" s="1119"/>
      <c r="BI2200" s="319" t="str">
        <f t="shared" ref="BI2200:BR2200" si="1254">IF(ISNUMBER(FIND(BI$3, $CO2200)), "Y", "")</f>
        <v/>
      </c>
      <c r="BJ2200" s="319" t="str">
        <f t="shared" si="1254"/>
        <v/>
      </c>
      <c r="BK2200" s="319" t="str">
        <f t="shared" si="1254"/>
        <v/>
      </c>
      <c r="BL2200" s="319" t="str">
        <f t="shared" si="1254"/>
        <v/>
      </c>
      <c r="BM2200" s="319" t="str">
        <f t="shared" si="1254"/>
        <v/>
      </c>
      <c r="BN2200" s="319" t="str">
        <f t="shared" si="1254"/>
        <v/>
      </c>
      <c r="BO2200" s="319" t="str">
        <f t="shared" si="1254"/>
        <v/>
      </c>
      <c r="BP2200" s="319" t="str">
        <f t="shared" si="1254"/>
        <v/>
      </c>
      <c r="BQ2200" s="319" t="str">
        <f t="shared" si="1254"/>
        <v/>
      </c>
      <c r="BR2200" s="319" t="str">
        <f t="shared" si="1254"/>
        <v/>
      </c>
      <c r="BS2200" s="330">
        <f t="shared" si="185"/>
        <v>0</v>
      </c>
      <c r="BT2200" s="331">
        <f t="shared" si="170"/>
        <v>0</v>
      </c>
      <c r="BU2200" s="920"/>
      <c r="BV2200" s="903" t="str">
        <f t="shared" si="1244"/>
        <v/>
      </c>
      <c r="BW2200" s="908"/>
      <c r="BX2200" s="908"/>
      <c r="BY2200" s="331" t="b">
        <f t="shared" si="201"/>
        <v>0</v>
      </c>
      <c r="BZ2200" s="331"/>
      <c r="CA2200" s="462" t="str">
        <f t="shared" ref="CA2200:CJ2200" si="1255">IF(ISNUMBER(FIND(BI$3, $CP2200)), "Y", "")</f>
        <v/>
      </c>
      <c r="CB2200" s="319" t="str">
        <f t="shared" si="1255"/>
        <v/>
      </c>
      <c r="CC2200" s="319" t="str">
        <f t="shared" si="1255"/>
        <v/>
      </c>
      <c r="CD2200" s="319" t="str">
        <f t="shared" si="1255"/>
        <v/>
      </c>
      <c r="CE2200" s="319" t="str">
        <f t="shared" si="1255"/>
        <v/>
      </c>
      <c r="CF2200" s="319" t="str">
        <f t="shared" si="1255"/>
        <v/>
      </c>
      <c r="CG2200" s="319" t="str">
        <f t="shared" si="1255"/>
        <v/>
      </c>
      <c r="CH2200" s="319" t="str">
        <f t="shared" si="1255"/>
        <v/>
      </c>
      <c r="CI2200" s="319" t="str">
        <f t="shared" si="1255"/>
        <v/>
      </c>
      <c r="CJ2200" s="319" t="str">
        <f t="shared" si="1255"/>
        <v/>
      </c>
      <c r="CK2200" s="342">
        <f t="shared" si="182"/>
        <v>0</v>
      </c>
      <c r="CL2200" s="333">
        <f t="shared" si="183"/>
        <v>0</v>
      </c>
      <c r="CM2200" s="1079"/>
      <c r="CN2200" s="1005" t="s">
        <v>3276</v>
      </c>
      <c r="CO2200" s="1005"/>
      <c r="CP2200" s="1005"/>
    </row>
    <row r="2201">
      <c r="A2201" s="266"/>
      <c r="B2201" s="1113" t="s">
        <v>1755</v>
      </c>
      <c r="C2201" s="1304">
        <v>45947.0</v>
      </c>
      <c r="D2201" s="103"/>
      <c r="E2201" s="1137"/>
      <c r="F2201" s="112" t="s">
        <v>3277</v>
      </c>
      <c r="G2201" s="1110">
        <v>0.5548611111111111</v>
      </c>
      <c r="H2201" s="1138"/>
      <c r="I2201" s="1110">
        <v>0.5576388888888889</v>
      </c>
      <c r="J2201" s="1111">
        <v>0.002777777777777778</v>
      </c>
      <c r="K2201" s="1111"/>
      <c r="L2201" s="1112"/>
      <c r="M2201" s="1113" t="s">
        <v>166</v>
      </c>
      <c r="N2201" s="110" t="s">
        <v>188</v>
      </c>
      <c r="O2201" s="1115" t="s">
        <v>3271</v>
      </c>
      <c r="P2201" s="1115" t="s">
        <v>292</v>
      </c>
      <c r="Q2201" s="1116"/>
      <c r="R2201" s="120" t="s">
        <v>323</v>
      </c>
      <c r="S2201" s="1113" t="s">
        <v>323</v>
      </c>
      <c r="T2201" s="110" t="s">
        <v>323</v>
      </c>
      <c r="U2201" s="1108" t="s">
        <v>323</v>
      </c>
      <c r="V2201" s="1108" t="s">
        <v>323</v>
      </c>
      <c r="W2201" s="1108" t="s">
        <v>323</v>
      </c>
      <c r="X2201" s="1108" t="s">
        <v>323</v>
      </c>
      <c r="Y2201" s="1108"/>
      <c r="Z2201" s="1114" t="s">
        <v>323</v>
      </c>
      <c r="AA2201" s="1114"/>
      <c r="AB2201" s="1114" t="s">
        <v>323</v>
      </c>
      <c r="AC2201" s="1117" t="s">
        <v>323</v>
      </c>
      <c r="AD2201" s="1115" t="s">
        <v>1949</v>
      </c>
      <c r="AE2201" s="1115"/>
      <c r="AF2201" s="1115" t="s">
        <v>323</v>
      </c>
      <c r="AG2201" s="1115" t="s">
        <v>323</v>
      </c>
      <c r="AH2201" s="1115" t="s">
        <v>323</v>
      </c>
      <c r="AI2201" s="1115" t="s">
        <v>323</v>
      </c>
      <c r="AJ2201" s="1117" t="s">
        <v>323</v>
      </c>
      <c r="AK2201" s="1118"/>
      <c r="AL2201" s="1115"/>
      <c r="AM2201" s="1115" t="s">
        <v>323</v>
      </c>
      <c r="AN2201" s="1115"/>
      <c r="AO2201" s="1115"/>
      <c r="AP2201" s="1115"/>
      <c r="AQ2201" s="1115"/>
      <c r="AR2201" s="1115"/>
      <c r="AS2201" s="1117"/>
      <c r="AT2201" s="1196" t="str">
        <f t="shared" si="428"/>
        <v/>
      </c>
      <c r="AU2201" s="1193"/>
      <c r="AV2201" s="330" t="str">
        <f>SQRT(($R2201-Infrastructure!J$3)^2+($S2201-Infrastructure!K$3)^2)</f>
        <v>#VALUE!</v>
      </c>
      <c r="AW2201" s="331" t="str">
        <f>SQRT(($R2201-Infrastructure!J$4)^2+($S2201-Infrastructure!K$4)^2)</f>
        <v>#VALUE!</v>
      </c>
      <c r="AX2201" s="331" t="str">
        <f>SQRT(($R2201-Infrastructure!J$5)^2+($S2201-Infrastructure!K$5)^2)</f>
        <v>#VALUE!</v>
      </c>
      <c r="AY2201" s="331" t="str">
        <f>SQRT(($R2201-Infrastructure!J$6)^2+($S2201-Infrastructure!K$6)^2)</f>
        <v>#VALUE!</v>
      </c>
      <c r="AZ2201" s="331" t="str">
        <f>SQRT(($R2201-Infrastructure!J$7)^2+($S2201-Infrastructure!K$7)^2)</f>
        <v>#VALUE!</v>
      </c>
      <c r="BA2201" s="331" t="str">
        <f>SQRT(($R2201-Infrastructure!J$8)^2+($S2201-Infrastructure!K$8)^2)</f>
        <v>#VALUE!</v>
      </c>
      <c r="BB2201" s="331" t="str">
        <f>SQRT(($R2201-Infrastructure!J$9)^2+($S2201-Infrastructure!K$9)^2)</f>
        <v>#VALUE!</v>
      </c>
      <c r="BC2201" s="331" t="str">
        <f>SQRT(($R2201-Infrastructure!J$10)^2+($S2201-Infrastructure!K$10)^2)</f>
        <v>#VALUE!</v>
      </c>
      <c r="BD2201" s="331" t="str">
        <f>SQRT(($R2201-Infrastructure!J$11)^2+($S2201-Infrastructure!K$11)^2)</f>
        <v>#VALUE!</v>
      </c>
      <c r="BE2201" s="333" t="str">
        <f>SQRT(($R2201-Infrastructure!J$12)^2+($S2201-Infrastructure!K$12)^2)</f>
        <v>#VALUE!</v>
      </c>
      <c r="BF2201" s="330" t="str">
        <f t="shared" si="161"/>
        <v>#VALUE!</v>
      </c>
      <c r="BG2201" s="333" t="str">
        <f t="shared" si="162"/>
        <v>#VALUE!</v>
      </c>
      <c r="BH2201" s="1119"/>
      <c r="BI2201" s="319" t="str">
        <f t="shared" ref="BI2201:BR2201" si="1256">IF(ISNUMBER(FIND(BI$3, $CO2201)), "Y", "")</f>
        <v/>
      </c>
      <c r="BJ2201" s="319" t="str">
        <f t="shared" si="1256"/>
        <v/>
      </c>
      <c r="BK2201" s="319" t="str">
        <f t="shared" si="1256"/>
        <v/>
      </c>
      <c r="BL2201" s="319" t="str">
        <f t="shared" si="1256"/>
        <v/>
      </c>
      <c r="BM2201" s="319" t="str">
        <f t="shared" si="1256"/>
        <v/>
      </c>
      <c r="BN2201" s="319" t="str">
        <f t="shared" si="1256"/>
        <v/>
      </c>
      <c r="BO2201" s="319" t="str">
        <f t="shared" si="1256"/>
        <v/>
      </c>
      <c r="BP2201" s="319" t="str">
        <f t="shared" si="1256"/>
        <v/>
      </c>
      <c r="BQ2201" s="319" t="str">
        <f t="shared" si="1256"/>
        <v/>
      </c>
      <c r="BR2201" s="319" t="str">
        <f t="shared" si="1256"/>
        <v/>
      </c>
      <c r="BS2201" s="330">
        <f t="shared" si="185"/>
        <v>0</v>
      </c>
      <c r="BT2201" s="331">
        <f t="shared" si="170"/>
        <v>0</v>
      </c>
      <c r="BU2201" s="920"/>
      <c r="BV2201" s="903" t="str">
        <f t="shared" si="1244"/>
        <v/>
      </c>
      <c r="BW2201" s="908"/>
      <c r="BX2201" s="908"/>
      <c r="BY2201" s="331" t="b">
        <f t="shared" si="201"/>
        <v>0</v>
      </c>
      <c r="BZ2201" s="331"/>
      <c r="CA2201" s="462" t="str">
        <f t="shared" ref="CA2201:CJ2201" si="1257">IF(ISNUMBER(FIND(BI$3, $CP2201)), "Y", "")</f>
        <v/>
      </c>
      <c r="CB2201" s="319" t="str">
        <f t="shared" si="1257"/>
        <v/>
      </c>
      <c r="CC2201" s="319" t="str">
        <f t="shared" si="1257"/>
        <v/>
      </c>
      <c r="CD2201" s="319" t="str">
        <f t="shared" si="1257"/>
        <v/>
      </c>
      <c r="CE2201" s="319" t="str">
        <f t="shared" si="1257"/>
        <v/>
      </c>
      <c r="CF2201" s="319" t="str">
        <f t="shared" si="1257"/>
        <v/>
      </c>
      <c r="CG2201" s="319" t="str">
        <f t="shared" si="1257"/>
        <v/>
      </c>
      <c r="CH2201" s="319" t="str">
        <f t="shared" si="1257"/>
        <v/>
      </c>
      <c r="CI2201" s="319" t="str">
        <f t="shared" si="1257"/>
        <v/>
      </c>
      <c r="CJ2201" s="319" t="str">
        <f t="shared" si="1257"/>
        <v/>
      </c>
      <c r="CK2201" s="342">
        <f t="shared" si="182"/>
        <v>0</v>
      </c>
      <c r="CL2201" s="333">
        <f t="shared" si="183"/>
        <v>0</v>
      </c>
      <c r="CM2201" s="1079"/>
      <c r="CN2201" s="1005" t="s">
        <v>3276</v>
      </c>
      <c r="CO2201" s="1005"/>
      <c r="CP2201" s="1005"/>
    </row>
    <row r="2202">
      <c r="A2202" s="1258"/>
      <c r="B2202" s="1129" t="s">
        <v>1755</v>
      </c>
      <c r="C2202" s="1305">
        <v>45947.0</v>
      </c>
      <c r="D2202" s="1123"/>
      <c r="E2202" s="1144"/>
      <c r="F2202" s="108" t="s">
        <v>3277</v>
      </c>
      <c r="G2202" s="1126">
        <v>0.5604166666666667</v>
      </c>
      <c r="H2202" s="1145"/>
      <c r="I2202" s="1126">
        <v>0.5626736111111111</v>
      </c>
      <c r="J2202" s="1127">
        <v>0.0022569444444444442</v>
      </c>
      <c r="K2202" s="1127"/>
      <c r="L2202" s="1128"/>
      <c r="M2202" s="1129" t="s">
        <v>358</v>
      </c>
      <c r="N2202" s="100" t="s">
        <v>188</v>
      </c>
      <c r="O2202" s="1131" t="s">
        <v>3271</v>
      </c>
      <c r="P2202" s="1131" t="s">
        <v>294</v>
      </c>
      <c r="Q2202" s="1132"/>
      <c r="R2202" s="137" t="s">
        <v>323</v>
      </c>
      <c r="S2202" s="1129" t="s">
        <v>323</v>
      </c>
      <c r="T2202" s="100" t="s">
        <v>323</v>
      </c>
      <c r="U2202" s="1124" t="s">
        <v>323</v>
      </c>
      <c r="V2202" s="1124" t="s">
        <v>323</v>
      </c>
      <c r="W2202" s="1124" t="s">
        <v>323</v>
      </c>
      <c r="X2202" s="1124" t="s">
        <v>323</v>
      </c>
      <c r="Y2202" s="1124"/>
      <c r="Z2202" s="1130" t="s">
        <v>323</v>
      </c>
      <c r="AA2202" s="1130"/>
      <c r="AB2202" s="1130" t="s">
        <v>323</v>
      </c>
      <c r="AC2202" s="1133" t="s">
        <v>323</v>
      </c>
      <c r="AD2202" s="1131" t="s">
        <v>1949</v>
      </c>
      <c r="AE2202" s="1131"/>
      <c r="AF2202" s="1131" t="s">
        <v>323</v>
      </c>
      <c r="AG2202" s="1131" t="s">
        <v>323</v>
      </c>
      <c r="AH2202" s="1131" t="s">
        <v>323</v>
      </c>
      <c r="AI2202" s="1131" t="s">
        <v>323</v>
      </c>
      <c r="AJ2202" s="1133" t="s">
        <v>323</v>
      </c>
      <c r="AK2202" s="1134"/>
      <c r="AL2202" s="1131"/>
      <c r="AM2202" s="1131"/>
      <c r="AN2202" s="1131"/>
      <c r="AO2202" s="1131" t="s">
        <v>323</v>
      </c>
      <c r="AP2202" s="1131"/>
      <c r="AQ2202" s="1131"/>
      <c r="AR2202" s="1131"/>
      <c r="AS2202" s="1133"/>
      <c r="AT2202" s="1197" t="str">
        <f t="shared" si="428"/>
        <v/>
      </c>
      <c r="AU2202" s="1194"/>
      <c r="AV2202" s="662" t="str">
        <f>SQRT(($R2202-Infrastructure!J$3)^2+($S2202-Infrastructure!K$3)^2)</f>
        <v>#VALUE!</v>
      </c>
      <c r="AW2202" s="641" t="str">
        <f>SQRT(($R2202-Infrastructure!J$4)^2+($S2202-Infrastructure!K$4)^2)</f>
        <v>#VALUE!</v>
      </c>
      <c r="AX2202" s="641" t="str">
        <f>SQRT(($R2202-Infrastructure!J$5)^2+($S2202-Infrastructure!K$5)^2)</f>
        <v>#VALUE!</v>
      </c>
      <c r="AY2202" s="641" t="str">
        <f>SQRT(($R2202-Infrastructure!J$6)^2+($S2202-Infrastructure!K$6)^2)</f>
        <v>#VALUE!</v>
      </c>
      <c r="AZ2202" s="641" t="str">
        <f>SQRT(($R2202-Infrastructure!J$7)^2+($S2202-Infrastructure!K$7)^2)</f>
        <v>#VALUE!</v>
      </c>
      <c r="BA2202" s="641" t="str">
        <f>SQRT(($R2202-Infrastructure!J$8)^2+($S2202-Infrastructure!K$8)^2)</f>
        <v>#VALUE!</v>
      </c>
      <c r="BB2202" s="641" t="str">
        <f>SQRT(($R2202-Infrastructure!J$9)^2+($S2202-Infrastructure!K$9)^2)</f>
        <v>#VALUE!</v>
      </c>
      <c r="BC2202" s="641" t="str">
        <f>SQRT(($R2202-Infrastructure!J$10)^2+($S2202-Infrastructure!K$10)^2)</f>
        <v>#VALUE!</v>
      </c>
      <c r="BD2202" s="641" t="str">
        <f>SQRT(($R2202-Infrastructure!J$11)^2+($S2202-Infrastructure!K$11)^2)</f>
        <v>#VALUE!</v>
      </c>
      <c r="BE2202" s="642" t="str">
        <f>SQRT(($R2202-Infrastructure!J$12)^2+($S2202-Infrastructure!K$12)^2)</f>
        <v>#VALUE!</v>
      </c>
      <c r="BF2202" s="662" t="str">
        <f t="shared" si="161"/>
        <v>#VALUE!</v>
      </c>
      <c r="BG2202" s="642" t="str">
        <f t="shared" si="162"/>
        <v>#VALUE!</v>
      </c>
      <c r="BH2202" s="1135"/>
      <c r="BI2202" s="663" t="str">
        <f t="shared" ref="BI2202:BR2202" si="1258">IF(ISNUMBER(FIND(BI$3, $CO2202)), "Y", "")</f>
        <v/>
      </c>
      <c r="BJ2202" s="663" t="str">
        <f t="shared" si="1258"/>
        <v/>
      </c>
      <c r="BK2202" s="663" t="str">
        <f t="shared" si="1258"/>
        <v/>
      </c>
      <c r="BL2202" s="663" t="str">
        <f t="shared" si="1258"/>
        <v/>
      </c>
      <c r="BM2202" s="663" t="str">
        <f t="shared" si="1258"/>
        <v/>
      </c>
      <c r="BN2202" s="663" t="str">
        <f t="shared" si="1258"/>
        <v/>
      </c>
      <c r="BO2202" s="663" t="str">
        <f t="shared" si="1258"/>
        <v/>
      </c>
      <c r="BP2202" s="663" t="str">
        <f t="shared" si="1258"/>
        <v/>
      </c>
      <c r="BQ2202" s="663" t="str">
        <f t="shared" si="1258"/>
        <v/>
      </c>
      <c r="BR2202" s="663" t="str">
        <f t="shared" si="1258"/>
        <v/>
      </c>
      <c r="BS2202" s="662">
        <f t="shared" si="185"/>
        <v>0</v>
      </c>
      <c r="BT2202" s="641">
        <f t="shared" si="170"/>
        <v>0</v>
      </c>
      <c r="BU2202" s="937"/>
      <c r="BV2202" s="930" t="str">
        <f t="shared" si="1244"/>
        <v/>
      </c>
      <c r="BW2202" s="939"/>
      <c r="BX2202" s="939"/>
      <c r="BY2202" s="641" t="b">
        <f t="shared" si="201"/>
        <v>0</v>
      </c>
      <c r="BZ2202" s="641"/>
      <c r="CA2202" s="635" t="str">
        <f t="shared" ref="CA2202:CJ2202" si="1259">IF(ISNUMBER(FIND(BI$3, $CP2202)), "Y", "")</f>
        <v/>
      </c>
      <c r="CB2202" s="663" t="str">
        <f t="shared" si="1259"/>
        <v/>
      </c>
      <c r="CC2202" s="663" t="str">
        <f t="shared" si="1259"/>
        <v/>
      </c>
      <c r="CD2202" s="663" t="str">
        <f t="shared" si="1259"/>
        <v/>
      </c>
      <c r="CE2202" s="663" t="str">
        <f t="shared" si="1259"/>
        <v/>
      </c>
      <c r="CF2202" s="663" t="str">
        <f t="shared" si="1259"/>
        <v/>
      </c>
      <c r="CG2202" s="663" t="str">
        <f t="shared" si="1259"/>
        <v/>
      </c>
      <c r="CH2202" s="663" t="str">
        <f t="shared" si="1259"/>
        <v/>
      </c>
      <c r="CI2202" s="663" t="str">
        <f t="shared" si="1259"/>
        <v/>
      </c>
      <c r="CJ2202" s="663" t="str">
        <f t="shared" si="1259"/>
        <v/>
      </c>
      <c r="CK2202" s="743">
        <f t="shared" si="182"/>
        <v>0</v>
      </c>
      <c r="CL2202" s="642">
        <f t="shared" si="183"/>
        <v>0</v>
      </c>
      <c r="CM2202" s="1090"/>
      <c r="CN2202" s="1036" t="s">
        <v>3276</v>
      </c>
      <c r="CO2202" s="1036"/>
      <c r="CP2202" s="1036"/>
    </row>
    <row r="2203">
      <c r="A2203" s="1257" t="s">
        <v>154</v>
      </c>
      <c r="B2203" s="1113" t="s">
        <v>3053</v>
      </c>
      <c r="C2203" s="1304">
        <v>45950.0</v>
      </c>
      <c r="D2203" s="103"/>
      <c r="E2203" s="1108">
        <v>1.0</v>
      </c>
      <c r="F2203" s="112" t="s">
        <v>3278</v>
      </c>
      <c r="G2203" s="1110">
        <v>0.6846064814814815</v>
      </c>
      <c r="H2203" s="1110">
        <v>0.6851851851851852</v>
      </c>
      <c r="I2203" s="1110">
        <v>0.7270833333333333</v>
      </c>
      <c r="J2203" s="1111">
        <v>0.04189814814814815</v>
      </c>
      <c r="K2203" s="1111"/>
      <c r="L2203" s="1112"/>
      <c r="M2203" s="1113" t="s">
        <v>166</v>
      </c>
      <c r="N2203" s="110" t="s">
        <v>187</v>
      </c>
      <c r="O2203" s="1115" t="s">
        <v>206</v>
      </c>
      <c r="P2203" s="1115" t="s">
        <v>259</v>
      </c>
      <c r="Q2203" s="1116"/>
      <c r="R2203" s="120">
        <v>21.7</v>
      </c>
      <c r="S2203" s="1113">
        <v>-11.1</v>
      </c>
      <c r="T2203" s="110">
        <v>2.35</v>
      </c>
      <c r="U2203" s="1108">
        <v>0.69</v>
      </c>
      <c r="V2203" s="1108">
        <v>2.48</v>
      </c>
      <c r="W2203" s="1108">
        <v>0.0134731669499399</v>
      </c>
      <c r="X2203" s="1303">
        <v>0.0195</v>
      </c>
      <c r="Y2203" s="1108" t="s">
        <v>2244</v>
      </c>
      <c r="Z2203" s="1114" t="s">
        <v>347</v>
      </c>
      <c r="AA2203" s="1114">
        <v>36.5</v>
      </c>
      <c r="AB2203" s="1114" t="s">
        <v>380</v>
      </c>
      <c r="AC2203" s="1117">
        <v>4.0</v>
      </c>
      <c r="AD2203" s="1115" t="s">
        <v>1949</v>
      </c>
      <c r="AE2203" s="1115"/>
      <c r="AF2203" s="1115">
        <v>0.17</v>
      </c>
      <c r="AG2203" s="1115">
        <v>0.96</v>
      </c>
      <c r="AH2203" s="1115" t="s">
        <v>323</v>
      </c>
      <c r="AI2203" s="1115">
        <v>76.7</v>
      </c>
      <c r="AJ2203" s="1117">
        <v>2.53</v>
      </c>
      <c r="AK2203" s="1118"/>
      <c r="AL2203" s="1115"/>
      <c r="AM2203" s="1115">
        <v>2.5323</v>
      </c>
      <c r="AN2203" s="1115"/>
      <c r="AO2203" s="1115"/>
      <c r="AP2203" s="1115"/>
      <c r="AQ2203" s="1115"/>
      <c r="AR2203" s="1115"/>
      <c r="AS2203" s="1117"/>
      <c r="AT2203" s="1196" t="str">
        <f t="shared" si="428"/>
        <v>0-1</v>
      </c>
      <c r="AU2203" s="1193"/>
      <c r="AV2203" s="330">
        <f>SQRT(($R2203-Infrastructure!J$3)^2+($S2203-Infrastructure!K$3)^2)</f>
        <v>45.65084884</v>
      </c>
      <c r="AW2203" s="331">
        <f>SQRT(($R2203-Infrastructure!J$4)^2+($S2203-Infrastructure!K$4)^2)</f>
        <v>36.3209306</v>
      </c>
      <c r="AX2203" s="331">
        <f>SQRT(($R2203-Infrastructure!J$5)^2+($S2203-Infrastructure!K$5)^2)</f>
        <v>27.32105415</v>
      </c>
      <c r="AY2203" s="331">
        <f>SQRT(($R2203-Infrastructure!J$6)^2+($S2203-Infrastructure!K$6)^2)</f>
        <v>16.26407083</v>
      </c>
      <c r="AZ2203" s="331">
        <f>SQRT(($R2203-Infrastructure!J$7)^2+($S2203-Infrastructure!K$7)^2)</f>
        <v>11.4629839</v>
      </c>
      <c r="BA2203" s="331">
        <f>SQRT(($R2203-Infrastructure!J$8)^2+($S2203-Infrastructure!K$8)^2)</f>
        <v>14.16050847</v>
      </c>
      <c r="BB2203" s="331">
        <f>SQRT(($R2203-Infrastructure!J$9)^2+($S2203-Infrastructure!K$9)^2)</f>
        <v>24.44033551</v>
      </c>
      <c r="BC2203" s="331">
        <f>SQRT(($R2203-Infrastructure!J$10)^2+($S2203-Infrastructure!K$10)^2)</f>
        <v>31.8763235</v>
      </c>
      <c r="BD2203" s="331">
        <f>SQRT(($R2203-Infrastructure!J$11)^2+($S2203-Infrastructure!K$11)^2)</f>
        <v>44.16174815</v>
      </c>
      <c r="BE2203" s="333">
        <f>SQRT(($R2203-Infrastructure!J$12)^2+($S2203-Infrastructure!K$12)^2)</f>
        <v>66.6003003</v>
      </c>
      <c r="BF2203" s="330">
        <f t="shared" si="161"/>
        <v>11.4629839</v>
      </c>
      <c r="BG2203" s="333">
        <f t="shared" si="162"/>
        <v>66.6003003</v>
      </c>
      <c r="BH2203" s="1119"/>
      <c r="BI2203" s="319" t="str">
        <f t="shared" ref="BI2203:BR2203" si="1260">IF(ISNUMBER(FIND(BI$3, $CO2203)), "Y", "")</f>
        <v/>
      </c>
      <c r="BJ2203" s="319" t="str">
        <f t="shared" si="1260"/>
        <v/>
      </c>
      <c r="BK2203" s="319" t="str">
        <f t="shared" si="1260"/>
        <v/>
      </c>
      <c r="BL2203" s="319" t="str">
        <f t="shared" si="1260"/>
        <v/>
      </c>
      <c r="BM2203" s="319" t="str">
        <f t="shared" si="1260"/>
        <v/>
      </c>
      <c r="BN2203" s="319" t="str">
        <f t="shared" si="1260"/>
        <v/>
      </c>
      <c r="BO2203" s="319" t="str">
        <f t="shared" si="1260"/>
        <v/>
      </c>
      <c r="BP2203" s="319" t="str">
        <f t="shared" si="1260"/>
        <v/>
      </c>
      <c r="BQ2203" s="319" t="str">
        <f t="shared" si="1260"/>
        <v/>
      </c>
      <c r="BR2203" s="319" t="str">
        <f t="shared" si="1260"/>
        <v/>
      </c>
      <c r="BS2203" s="330">
        <f t="shared" si="185"/>
        <v>0</v>
      </c>
      <c r="BT2203" s="331">
        <f t="shared" si="170"/>
        <v>0</v>
      </c>
      <c r="BU2203" s="920"/>
      <c r="BV2203" s="903" t="str">
        <f t="shared" si="1244"/>
        <v/>
      </c>
      <c r="BW2203" s="908"/>
      <c r="BX2203" s="908"/>
      <c r="BY2203" s="331" t="b">
        <f t="shared" si="201"/>
        <v>0</v>
      </c>
      <c r="BZ2203" s="331"/>
      <c r="CA2203" s="462" t="str">
        <f t="shared" ref="CA2203:CJ2203" si="1261">IF(ISNUMBER(FIND(BI$3, $CP2203)), "Y", "")</f>
        <v/>
      </c>
      <c r="CB2203" s="319" t="str">
        <f t="shared" si="1261"/>
        <v/>
      </c>
      <c r="CC2203" s="319" t="str">
        <f t="shared" si="1261"/>
        <v/>
      </c>
      <c r="CD2203" s="319" t="str">
        <f t="shared" si="1261"/>
        <v/>
      </c>
      <c r="CE2203" s="319" t="str">
        <f t="shared" si="1261"/>
        <v/>
      </c>
      <c r="CF2203" s="319" t="str">
        <f t="shared" si="1261"/>
        <v/>
      </c>
      <c r="CG2203" s="319" t="str">
        <f t="shared" si="1261"/>
        <v/>
      </c>
      <c r="CH2203" s="319" t="str">
        <f t="shared" si="1261"/>
        <v/>
      </c>
      <c r="CI2203" s="319" t="str">
        <f t="shared" si="1261"/>
        <v/>
      </c>
      <c r="CJ2203" s="319" t="str">
        <f t="shared" si="1261"/>
        <v/>
      </c>
      <c r="CK2203" s="342">
        <f t="shared" si="182"/>
        <v>0</v>
      </c>
      <c r="CL2203" s="333">
        <f t="shared" si="183"/>
        <v>0</v>
      </c>
      <c r="CM2203" s="1079"/>
      <c r="CN2203" s="1005" t="s">
        <v>3279</v>
      </c>
      <c r="CO2203" s="1005"/>
      <c r="CP2203" s="1005"/>
    </row>
    <row r="2204">
      <c r="A2204" s="1258"/>
      <c r="B2204" s="1129" t="s">
        <v>3053</v>
      </c>
      <c r="C2204" s="1305">
        <v>45950.0</v>
      </c>
      <c r="D2204" s="1123"/>
      <c r="E2204" s="1144"/>
      <c r="F2204" s="108" t="s">
        <v>3280</v>
      </c>
      <c r="G2204" s="1126">
        <v>0.7291666666666666</v>
      </c>
      <c r="H2204" s="1145"/>
      <c r="I2204" s="1126">
        <v>0.7292824074074075</v>
      </c>
      <c r="J2204" s="1127">
        <v>1.1574074074074075E-4</v>
      </c>
      <c r="K2204" s="1127"/>
      <c r="L2204" s="1128"/>
      <c r="M2204" s="1129" t="s">
        <v>166</v>
      </c>
      <c r="N2204" s="100" t="s">
        <v>188</v>
      </c>
      <c r="O2204" s="1131" t="s">
        <v>3271</v>
      </c>
      <c r="P2204" s="1131" t="s">
        <v>292</v>
      </c>
      <c r="Q2204" s="1132"/>
      <c r="R2204" s="137" t="s">
        <v>323</v>
      </c>
      <c r="S2204" s="1129" t="s">
        <v>323</v>
      </c>
      <c r="T2204" s="100" t="s">
        <v>323</v>
      </c>
      <c r="U2204" s="1124" t="s">
        <v>323</v>
      </c>
      <c r="V2204" s="1124" t="s">
        <v>323</v>
      </c>
      <c r="W2204" s="1124" t="s">
        <v>323</v>
      </c>
      <c r="X2204" s="1124" t="s">
        <v>323</v>
      </c>
      <c r="Y2204" s="1124"/>
      <c r="Z2204" s="1130" t="s">
        <v>323</v>
      </c>
      <c r="AA2204" s="1130"/>
      <c r="AB2204" s="1130" t="s">
        <v>323</v>
      </c>
      <c r="AC2204" s="1133" t="s">
        <v>323</v>
      </c>
      <c r="AD2204" s="1131" t="s">
        <v>1949</v>
      </c>
      <c r="AE2204" s="1131"/>
      <c r="AF2204" s="1131" t="s">
        <v>323</v>
      </c>
      <c r="AG2204" s="1131" t="s">
        <v>323</v>
      </c>
      <c r="AH2204" s="1131" t="s">
        <v>323</v>
      </c>
      <c r="AI2204" s="1131" t="s">
        <v>323</v>
      </c>
      <c r="AJ2204" s="1133" t="s">
        <v>323</v>
      </c>
      <c r="AK2204" s="1134"/>
      <c r="AL2204" s="1131"/>
      <c r="AM2204" s="1131" t="s">
        <v>323</v>
      </c>
      <c r="AN2204" s="1131"/>
      <c r="AO2204" s="1131"/>
      <c r="AP2204" s="1131"/>
      <c r="AQ2204" s="1131"/>
      <c r="AR2204" s="1131"/>
      <c r="AS2204" s="1133"/>
      <c r="AT2204" s="1197" t="str">
        <f t="shared" si="428"/>
        <v/>
      </c>
      <c r="AU2204" s="1194"/>
      <c r="AV2204" s="662" t="str">
        <f>SQRT(($R2204-Infrastructure!J$3)^2+($S2204-Infrastructure!K$3)^2)</f>
        <v>#VALUE!</v>
      </c>
      <c r="AW2204" s="641" t="str">
        <f>SQRT(($R2204-Infrastructure!J$4)^2+($S2204-Infrastructure!K$4)^2)</f>
        <v>#VALUE!</v>
      </c>
      <c r="AX2204" s="641" t="str">
        <f>SQRT(($R2204-Infrastructure!J$5)^2+($S2204-Infrastructure!K$5)^2)</f>
        <v>#VALUE!</v>
      </c>
      <c r="AY2204" s="641" t="str">
        <f>SQRT(($R2204-Infrastructure!J$6)^2+($S2204-Infrastructure!K$6)^2)</f>
        <v>#VALUE!</v>
      </c>
      <c r="AZ2204" s="641" t="str">
        <f>SQRT(($R2204-Infrastructure!J$7)^2+($S2204-Infrastructure!K$7)^2)</f>
        <v>#VALUE!</v>
      </c>
      <c r="BA2204" s="641" t="str">
        <f>SQRT(($R2204-Infrastructure!J$8)^2+($S2204-Infrastructure!K$8)^2)</f>
        <v>#VALUE!</v>
      </c>
      <c r="BB2204" s="641" t="str">
        <f>SQRT(($R2204-Infrastructure!J$9)^2+($S2204-Infrastructure!K$9)^2)</f>
        <v>#VALUE!</v>
      </c>
      <c r="BC2204" s="641" t="str">
        <f>SQRT(($R2204-Infrastructure!J$10)^2+($S2204-Infrastructure!K$10)^2)</f>
        <v>#VALUE!</v>
      </c>
      <c r="BD2204" s="641" t="str">
        <f>SQRT(($R2204-Infrastructure!J$11)^2+($S2204-Infrastructure!K$11)^2)</f>
        <v>#VALUE!</v>
      </c>
      <c r="BE2204" s="642" t="str">
        <f>SQRT(($R2204-Infrastructure!J$12)^2+($S2204-Infrastructure!K$12)^2)</f>
        <v>#VALUE!</v>
      </c>
      <c r="BF2204" s="662" t="str">
        <f t="shared" si="161"/>
        <v>#VALUE!</v>
      </c>
      <c r="BG2204" s="642" t="str">
        <f t="shared" si="162"/>
        <v>#VALUE!</v>
      </c>
      <c r="BH2204" s="1135"/>
      <c r="BI2204" s="663" t="str">
        <f t="shared" ref="BI2204:BR2204" si="1262">IF(ISNUMBER(FIND(BI$3, $CO2204)), "Y", "")</f>
        <v/>
      </c>
      <c r="BJ2204" s="663" t="str">
        <f t="shared" si="1262"/>
        <v/>
      </c>
      <c r="BK2204" s="663" t="str">
        <f t="shared" si="1262"/>
        <v/>
      </c>
      <c r="BL2204" s="663" t="str">
        <f t="shared" si="1262"/>
        <v/>
      </c>
      <c r="BM2204" s="663" t="str">
        <f t="shared" si="1262"/>
        <v/>
      </c>
      <c r="BN2204" s="663" t="str">
        <f t="shared" si="1262"/>
        <v/>
      </c>
      <c r="BO2204" s="663" t="str">
        <f t="shared" si="1262"/>
        <v/>
      </c>
      <c r="BP2204" s="663" t="str">
        <f t="shared" si="1262"/>
        <v/>
      </c>
      <c r="BQ2204" s="663" t="str">
        <f t="shared" si="1262"/>
        <v/>
      </c>
      <c r="BR2204" s="663" t="str">
        <f t="shared" si="1262"/>
        <v/>
      </c>
      <c r="BS2204" s="662">
        <f t="shared" si="185"/>
        <v>0</v>
      </c>
      <c r="BT2204" s="641">
        <f t="shared" si="170"/>
        <v>0</v>
      </c>
      <c r="BU2204" s="937"/>
      <c r="BV2204" s="930" t="str">
        <f t="shared" si="1244"/>
        <v/>
      </c>
      <c r="BW2204" s="939"/>
      <c r="BX2204" s="939"/>
      <c r="BY2204" s="641" t="b">
        <f t="shared" si="201"/>
        <v>0</v>
      </c>
      <c r="BZ2204" s="641"/>
      <c r="CA2204" s="635" t="str">
        <f t="shared" ref="CA2204:CJ2204" si="1263">IF(ISNUMBER(FIND(BI$3, $CP2204)), "Y", "")</f>
        <v/>
      </c>
      <c r="CB2204" s="663" t="str">
        <f t="shared" si="1263"/>
        <v/>
      </c>
      <c r="CC2204" s="663" t="str">
        <f t="shared" si="1263"/>
        <v/>
      </c>
      <c r="CD2204" s="663" t="str">
        <f t="shared" si="1263"/>
        <v/>
      </c>
      <c r="CE2204" s="663" t="str">
        <f t="shared" si="1263"/>
        <v/>
      </c>
      <c r="CF2204" s="663" t="str">
        <f t="shared" si="1263"/>
        <v/>
      </c>
      <c r="CG2204" s="663" t="str">
        <f t="shared" si="1263"/>
        <v/>
      </c>
      <c r="CH2204" s="663" t="str">
        <f t="shared" si="1263"/>
        <v/>
      </c>
      <c r="CI2204" s="663" t="str">
        <f t="shared" si="1263"/>
        <v/>
      </c>
      <c r="CJ2204" s="663" t="str">
        <f t="shared" si="1263"/>
        <v/>
      </c>
      <c r="CK2204" s="743">
        <f t="shared" si="182"/>
        <v>0</v>
      </c>
      <c r="CL2204" s="642">
        <f t="shared" si="183"/>
        <v>0</v>
      </c>
      <c r="CM2204" s="1090"/>
      <c r="CN2204" s="1036" t="s">
        <v>3279</v>
      </c>
      <c r="CO2204" s="1036"/>
      <c r="CP2204" s="1036"/>
    </row>
    <row r="2205">
      <c r="A2205" s="1257" t="s">
        <v>155</v>
      </c>
      <c r="B2205" s="1113" t="s">
        <v>3053</v>
      </c>
      <c r="C2205" s="1304">
        <v>45951.0</v>
      </c>
      <c r="D2205" s="103"/>
      <c r="E2205" s="1108">
        <v>2.0</v>
      </c>
      <c r="F2205" s="112" t="s">
        <v>3281</v>
      </c>
      <c r="G2205" s="1110">
        <v>0.4092013888888889</v>
      </c>
      <c r="H2205" s="1110">
        <v>0.41024305555555557</v>
      </c>
      <c r="I2205" s="1110">
        <v>0.44166666666666665</v>
      </c>
      <c r="J2205" s="1111">
        <v>0.03142361111111111</v>
      </c>
      <c r="K2205" s="1306" t="s">
        <v>166</v>
      </c>
      <c r="L2205" s="1115" t="s">
        <v>187</v>
      </c>
      <c r="M2205" s="1113" t="s">
        <v>166</v>
      </c>
      <c r="N2205" s="110" t="s">
        <v>187</v>
      </c>
      <c r="O2205" s="1115" t="s">
        <v>207</v>
      </c>
      <c r="P2205" s="1115" t="s">
        <v>290</v>
      </c>
      <c r="Q2205" s="1115"/>
      <c r="R2205" s="120">
        <v>26.1</v>
      </c>
      <c r="S2205" s="1113">
        <v>-14.3</v>
      </c>
      <c r="T2205" s="110">
        <v>1.47</v>
      </c>
      <c r="U2205" s="1108"/>
      <c r="V2205" s="1108"/>
      <c r="W2205" s="1108">
        <v>0.0196437168238774</v>
      </c>
      <c r="X2205" s="1303">
        <v>0.0702</v>
      </c>
      <c r="Y2205" s="1108" t="s">
        <v>2246</v>
      </c>
      <c r="Z2205" s="1114" t="s">
        <v>374</v>
      </c>
      <c r="AA2205" s="1114">
        <v>15.2</v>
      </c>
      <c r="AB2205" s="1114" t="s">
        <v>375</v>
      </c>
      <c r="AC2205" s="1117">
        <v>2.7</v>
      </c>
      <c r="AD2205" s="1115" t="s">
        <v>1949</v>
      </c>
      <c r="AE2205" s="1115"/>
      <c r="AF2205" s="1115">
        <v>0.1</v>
      </c>
      <c r="AG2205" s="1115">
        <v>0.39</v>
      </c>
      <c r="AH2205" s="1115" t="s">
        <v>323</v>
      </c>
      <c r="AI2205" s="1115">
        <v>68.3</v>
      </c>
      <c r="AJ2205" s="1117">
        <v>0.79</v>
      </c>
      <c r="AK2205" s="1118"/>
      <c r="AL2205" s="1115">
        <v>0.79</v>
      </c>
      <c r="AM2205" s="1115"/>
      <c r="AN2205" s="1115"/>
      <c r="AO2205" s="1115"/>
      <c r="AP2205" s="1115"/>
      <c r="AQ2205" s="1115"/>
      <c r="AR2205" s="1115"/>
      <c r="AS2205" s="1117"/>
      <c r="AT2205" s="1196" t="str">
        <f t="shared" si="428"/>
        <v/>
      </c>
      <c r="AU2205" s="1193"/>
      <c r="AV2205" s="330">
        <f>SQRT(($R2205-Infrastructure!J$3)^2+($S2205-Infrastructure!K$3)^2)</f>
        <v>50.62805546</v>
      </c>
      <c r="AW2205" s="331">
        <f>SQRT(($R2205-Infrastructure!J$4)^2+($S2205-Infrastructure!K$4)^2)</f>
        <v>41.56164097</v>
      </c>
      <c r="AX2205" s="331">
        <f>SQRT(($R2205-Infrastructure!J$5)^2+($S2205-Infrastructure!K$5)^2)</f>
        <v>32.76156284</v>
      </c>
      <c r="AY2205" s="331">
        <f>SQRT(($R2205-Infrastructure!J$6)^2+($S2205-Infrastructure!K$6)^2)</f>
        <v>21.66010157</v>
      </c>
      <c r="AZ2205" s="331">
        <f>SQRT(($R2205-Infrastructure!J$7)^2+($S2205-Infrastructure!K$7)^2)</f>
        <v>15.63713529</v>
      </c>
      <c r="BA2205" s="331">
        <f>SQRT(($R2205-Infrastructure!J$8)^2+($S2205-Infrastructure!K$8)^2)</f>
        <v>15.13803158</v>
      </c>
      <c r="BB2205" s="331">
        <f>SQRT(($R2205-Infrastructure!J$9)^2+($S2205-Infrastructure!K$9)^2)</f>
        <v>23.86566571</v>
      </c>
      <c r="BC2205" s="331">
        <f>SQRT(($R2205-Infrastructure!J$10)^2+($S2205-Infrastructure!K$10)^2)</f>
        <v>32.42992445</v>
      </c>
      <c r="BD2205" s="331">
        <f>SQRT(($R2205-Infrastructure!J$11)^2+($S2205-Infrastructure!K$11)^2)</f>
        <v>45.53789631</v>
      </c>
      <c r="BE2205" s="333">
        <f>SQRT(($R2205-Infrastructure!J$12)^2+($S2205-Infrastructure!K$12)^2)</f>
        <v>69.95141171</v>
      </c>
      <c r="BF2205" s="330">
        <f t="shared" si="161"/>
        <v>15.13803158</v>
      </c>
      <c r="BG2205" s="333">
        <f t="shared" si="162"/>
        <v>69.95141171</v>
      </c>
      <c r="BH2205" s="1119"/>
      <c r="BI2205" s="319" t="str">
        <f t="shared" ref="BI2205:BR2205" si="1264">IF(ISNUMBER(FIND(BI$3, $CO2205)), "Y", "")</f>
        <v/>
      </c>
      <c r="BJ2205" s="319" t="str">
        <f t="shared" si="1264"/>
        <v/>
      </c>
      <c r="BK2205" s="319" t="str">
        <f t="shared" si="1264"/>
        <v/>
      </c>
      <c r="BL2205" s="319" t="str">
        <f t="shared" si="1264"/>
        <v/>
      </c>
      <c r="BM2205" s="319" t="str">
        <f t="shared" si="1264"/>
        <v/>
      </c>
      <c r="BN2205" s="319" t="str">
        <f t="shared" si="1264"/>
        <v/>
      </c>
      <c r="BO2205" s="319" t="str">
        <f t="shared" si="1264"/>
        <v/>
      </c>
      <c r="BP2205" s="319" t="str">
        <f t="shared" si="1264"/>
        <v/>
      </c>
      <c r="BQ2205" s="319" t="str">
        <f t="shared" si="1264"/>
        <v/>
      </c>
      <c r="BR2205" s="319" t="str">
        <f t="shared" si="1264"/>
        <v/>
      </c>
      <c r="BS2205" s="330">
        <f t="shared" si="185"/>
        <v>0</v>
      </c>
      <c r="BT2205" s="331">
        <f t="shared" si="170"/>
        <v>0</v>
      </c>
      <c r="BU2205" s="920"/>
      <c r="BV2205" s="903" t="str">
        <f t="shared" si="1244"/>
        <v/>
      </c>
      <c r="BW2205" s="908"/>
      <c r="BX2205" s="908"/>
      <c r="BY2205" s="331" t="b">
        <f t="shared" si="201"/>
        <v>0</v>
      </c>
      <c r="BZ2205" s="331"/>
      <c r="CA2205" s="462" t="str">
        <f t="shared" ref="CA2205:CJ2205" si="1265">IF(ISNUMBER(FIND(BI$3, $CP2205)), "Y", "")</f>
        <v/>
      </c>
      <c r="CB2205" s="319" t="str">
        <f t="shared" si="1265"/>
        <v/>
      </c>
      <c r="CC2205" s="319" t="str">
        <f t="shared" si="1265"/>
        <v/>
      </c>
      <c r="CD2205" s="319" t="str">
        <f t="shared" si="1265"/>
        <v/>
      </c>
      <c r="CE2205" s="319" t="str">
        <f t="shared" si="1265"/>
        <v/>
      </c>
      <c r="CF2205" s="319" t="str">
        <f t="shared" si="1265"/>
        <v/>
      </c>
      <c r="CG2205" s="319" t="str">
        <f t="shared" si="1265"/>
        <v/>
      </c>
      <c r="CH2205" s="319" t="str">
        <f t="shared" si="1265"/>
        <v/>
      </c>
      <c r="CI2205" s="319" t="str">
        <f t="shared" si="1265"/>
        <v/>
      </c>
      <c r="CJ2205" s="319" t="str">
        <f t="shared" si="1265"/>
        <v/>
      </c>
      <c r="CK2205" s="342">
        <f t="shared" si="182"/>
        <v>0</v>
      </c>
      <c r="CL2205" s="333">
        <f t="shared" si="183"/>
        <v>0</v>
      </c>
      <c r="CM2205" s="1079"/>
      <c r="CN2205" s="1005" t="s">
        <v>3282</v>
      </c>
      <c r="CO2205" s="1005"/>
      <c r="CP2205" s="1005"/>
    </row>
    <row r="2206">
      <c r="A2206" s="266"/>
      <c r="B2206" s="1113" t="s">
        <v>3053</v>
      </c>
      <c r="C2206" s="1304">
        <v>45951.0</v>
      </c>
      <c r="D2206" s="103"/>
      <c r="E2206" s="1108">
        <v>3.0</v>
      </c>
      <c r="F2206" s="112" t="s">
        <v>3283</v>
      </c>
      <c r="G2206" s="1110">
        <v>0.45069444444444445</v>
      </c>
      <c r="H2206" s="1110">
        <v>0.4513888888888889</v>
      </c>
      <c r="I2206" s="1110">
        <v>0.4829861111111111</v>
      </c>
      <c r="J2206" s="1111">
        <v>0.03159722222222222</v>
      </c>
      <c r="K2206" s="1306" t="s">
        <v>166</v>
      </c>
      <c r="L2206" s="1115" t="s">
        <v>187</v>
      </c>
      <c r="M2206" s="1113" t="s">
        <v>166</v>
      </c>
      <c r="N2206" s="110" t="s">
        <v>187</v>
      </c>
      <c r="O2206" s="1115" t="s">
        <v>202</v>
      </c>
      <c r="P2206" s="1115" t="s">
        <v>275</v>
      </c>
      <c r="Q2206" s="1115"/>
      <c r="R2206" s="120">
        <v>24.4</v>
      </c>
      <c r="S2206" s="1113">
        <v>-7.5</v>
      </c>
      <c r="T2206" s="110">
        <v>0.57</v>
      </c>
      <c r="U2206" s="1108"/>
      <c r="V2206" s="1108"/>
      <c r="W2206" s="1108">
        <v>0.0250667361486012</v>
      </c>
      <c r="X2206" s="1303">
        <v>0.0129</v>
      </c>
      <c r="Y2206" s="1108" t="s">
        <v>2242</v>
      </c>
      <c r="Z2206" s="1114" t="s">
        <v>339</v>
      </c>
      <c r="AA2206" s="1114">
        <v>66.5</v>
      </c>
      <c r="AB2206" s="1114" t="s">
        <v>392</v>
      </c>
      <c r="AC2206" s="1117">
        <v>10.0</v>
      </c>
      <c r="AD2206" s="1115" t="s">
        <v>1949</v>
      </c>
      <c r="AE2206" s="1115"/>
      <c r="AF2206" s="1115">
        <v>0.19</v>
      </c>
      <c r="AG2206" s="1115">
        <v>2.71</v>
      </c>
      <c r="AH2206" s="1115" t="s">
        <v>323</v>
      </c>
      <c r="AI2206" s="1115">
        <v>34.5</v>
      </c>
      <c r="AJ2206" s="1117">
        <v>5.41</v>
      </c>
      <c r="AK2206" s="1118"/>
      <c r="AL2206" s="1115">
        <v>5.41</v>
      </c>
      <c r="AM2206" s="1115"/>
      <c r="AN2206" s="1115"/>
      <c r="AO2206" s="1115"/>
      <c r="AP2206" s="1115"/>
      <c r="AQ2206" s="1115"/>
      <c r="AR2206" s="1115"/>
      <c r="AS2206" s="1117"/>
      <c r="AT2206" s="1196" t="str">
        <f t="shared" si="428"/>
        <v/>
      </c>
      <c r="AU2206" s="1193"/>
      <c r="AV2206" s="330">
        <f>SQRT(($R2206-Infrastructure!J$3)^2+($S2206-Infrastructure!K$3)^2)</f>
        <v>43.98920322</v>
      </c>
      <c r="AW2206" s="331">
        <f>SQRT(($R2206-Infrastructure!J$4)^2+($S2206-Infrastructure!K$4)^2)</f>
        <v>35.35788455</v>
      </c>
      <c r="AX2206" s="331">
        <f>SQRT(($R2206-Infrastructure!J$5)^2+($S2206-Infrastructure!K$5)^2)</f>
        <v>27.72814455</v>
      </c>
      <c r="AY2206" s="331">
        <f>SQRT(($R2206-Infrastructure!J$6)^2+($S2206-Infrastructure!K$6)^2)</f>
        <v>16.28895331</v>
      </c>
      <c r="AZ2206" s="331">
        <f>SQRT(($R2206-Infrastructure!J$7)^2+($S2206-Infrastructure!K$7)^2)</f>
        <v>8.720665112</v>
      </c>
      <c r="BA2206" s="331">
        <f>SQRT(($R2206-Infrastructure!J$8)^2+($S2206-Infrastructure!K$8)^2)</f>
        <v>9.660745313</v>
      </c>
      <c r="BB2206" s="331">
        <f>SQRT(($R2206-Infrastructure!J$9)^2+($S2206-Infrastructure!K$9)^2)</f>
        <v>20.05292996</v>
      </c>
      <c r="BC2206" s="331">
        <f>SQRT(($R2206-Infrastructure!J$10)^2+($S2206-Infrastructure!K$10)^2)</f>
        <v>27.37900656</v>
      </c>
      <c r="BD2206" s="331">
        <f>SQRT(($R2206-Infrastructure!J$11)^2+($S2206-Infrastructure!K$11)^2)</f>
        <v>39.77298078</v>
      </c>
      <c r="BE2206" s="333">
        <f>SQRT(($R2206-Infrastructure!J$12)^2+($S2206-Infrastructure!K$12)^2)</f>
        <v>63.06671071</v>
      </c>
      <c r="BF2206" s="330">
        <f t="shared" si="161"/>
        <v>8.720665112</v>
      </c>
      <c r="BG2206" s="333">
        <f t="shared" si="162"/>
        <v>63.06671071</v>
      </c>
      <c r="BH2206" s="1119"/>
      <c r="BI2206" s="319" t="str">
        <f t="shared" ref="BI2206:BR2206" si="1266">IF(ISNUMBER(FIND(BI$3, $CO2206)), "Y", "")</f>
        <v/>
      </c>
      <c r="BJ2206" s="319" t="str">
        <f t="shared" si="1266"/>
        <v/>
      </c>
      <c r="BK2206" s="319" t="str">
        <f t="shared" si="1266"/>
        <v/>
      </c>
      <c r="BL2206" s="319" t="str">
        <f t="shared" si="1266"/>
        <v/>
      </c>
      <c r="BM2206" s="319" t="str">
        <f t="shared" si="1266"/>
        <v/>
      </c>
      <c r="BN2206" s="319" t="str">
        <f t="shared" si="1266"/>
        <v/>
      </c>
      <c r="BO2206" s="319" t="str">
        <f t="shared" si="1266"/>
        <v/>
      </c>
      <c r="BP2206" s="319" t="str">
        <f t="shared" si="1266"/>
        <v/>
      </c>
      <c r="BQ2206" s="319" t="str">
        <f t="shared" si="1266"/>
        <v/>
      </c>
      <c r="BR2206" s="319" t="str">
        <f t="shared" si="1266"/>
        <v/>
      </c>
      <c r="BS2206" s="330">
        <f t="shared" si="185"/>
        <v>0</v>
      </c>
      <c r="BT2206" s="331">
        <f t="shared" si="170"/>
        <v>0</v>
      </c>
      <c r="BU2206" s="920"/>
      <c r="BV2206" s="903" t="str">
        <f t="shared" si="1244"/>
        <v/>
      </c>
      <c r="BW2206" s="908"/>
      <c r="BX2206" s="908"/>
      <c r="BY2206" s="331" t="b">
        <f t="shared" si="201"/>
        <v>0</v>
      </c>
      <c r="BZ2206" s="331"/>
      <c r="CA2206" s="462" t="str">
        <f t="shared" ref="CA2206:CJ2206" si="1267">IF(ISNUMBER(FIND(BI$3, $CP2206)), "Y", "")</f>
        <v/>
      </c>
      <c r="CB2206" s="319" t="str">
        <f t="shared" si="1267"/>
        <v/>
      </c>
      <c r="CC2206" s="319" t="str">
        <f t="shared" si="1267"/>
        <v/>
      </c>
      <c r="CD2206" s="319" t="str">
        <f t="shared" si="1267"/>
        <v/>
      </c>
      <c r="CE2206" s="319" t="str">
        <f t="shared" si="1267"/>
        <v/>
      </c>
      <c r="CF2206" s="319" t="str">
        <f t="shared" si="1267"/>
        <v/>
      </c>
      <c r="CG2206" s="319" t="str">
        <f t="shared" si="1267"/>
        <v/>
      </c>
      <c r="CH2206" s="319" t="str">
        <f t="shared" si="1267"/>
        <v/>
      </c>
      <c r="CI2206" s="319" t="str">
        <f t="shared" si="1267"/>
        <v/>
      </c>
      <c r="CJ2206" s="319" t="str">
        <f t="shared" si="1267"/>
        <v/>
      </c>
      <c r="CK2206" s="342">
        <f t="shared" si="182"/>
        <v>0</v>
      </c>
      <c r="CL2206" s="333">
        <f t="shared" si="183"/>
        <v>0</v>
      </c>
      <c r="CM2206" s="1079"/>
      <c r="CN2206" s="1005" t="s">
        <v>3282</v>
      </c>
      <c r="CO2206" s="1005"/>
      <c r="CP2206" s="1005"/>
    </row>
    <row r="2207">
      <c r="A2207" s="266"/>
      <c r="B2207" s="1113" t="s">
        <v>3053</v>
      </c>
      <c r="C2207" s="1304">
        <v>45951.0</v>
      </c>
      <c r="D2207" s="103"/>
      <c r="E2207" s="1108">
        <v>4.0</v>
      </c>
      <c r="F2207" s="112" t="s">
        <v>3284</v>
      </c>
      <c r="G2207" s="1110">
        <v>0.49236111111111114</v>
      </c>
      <c r="H2207" s="1110">
        <v>0.4930555555555556</v>
      </c>
      <c r="I2207" s="1110">
        <v>0.5322916666666667</v>
      </c>
      <c r="J2207" s="1111">
        <v>0.03923611111111111</v>
      </c>
      <c r="K2207" s="1306" t="s">
        <v>166</v>
      </c>
      <c r="L2207" s="1115" t="s">
        <v>187</v>
      </c>
      <c r="M2207" s="1113" t="s">
        <v>166</v>
      </c>
      <c r="N2207" s="110" t="s">
        <v>187</v>
      </c>
      <c r="O2207" s="1115" t="s">
        <v>204</v>
      </c>
      <c r="P2207" s="1115" t="s">
        <v>263</v>
      </c>
      <c r="Q2207" s="1115"/>
      <c r="R2207" s="120">
        <v>17.9</v>
      </c>
      <c r="S2207" s="1113">
        <v>-3.6</v>
      </c>
      <c r="T2207" s="110">
        <v>2.57</v>
      </c>
      <c r="U2207" s="1108"/>
      <c r="V2207" s="1108"/>
      <c r="W2207" s="1108">
        <v>0.0192229322474151</v>
      </c>
      <c r="X2207" s="1303">
        <v>0.1373</v>
      </c>
      <c r="Y2207" s="1108" t="s">
        <v>2242</v>
      </c>
      <c r="Z2207" s="1114" t="s">
        <v>335</v>
      </c>
      <c r="AA2207" s="1114">
        <v>39.0</v>
      </c>
      <c r="AB2207" s="1114" t="s">
        <v>388</v>
      </c>
      <c r="AC2207" s="1117">
        <v>8.0</v>
      </c>
      <c r="AD2207" s="1115" t="s">
        <v>1949</v>
      </c>
      <c r="AE2207" s="1115"/>
      <c r="AF2207" s="1115">
        <v>0.02</v>
      </c>
      <c r="AG2207" s="1115">
        <v>0.2</v>
      </c>
      <c r="AH2207" s="1115" t="s">
        <v>323</v>
      </c>
      <c r="AI2207" s="1115">
        <v>3.9</v>
      </c>
      <c r="AJ2207" s="1117">
        <v>0.48</v>
      </c>
      <c r="AK2207" s="1118"/>
      <c r="AL2207" s="1115">
        <v>0.48</v>
      </c>
      <c r="AM2207" s="1115"/>
      <c r="AN2207" s="1115"/>
      <c r="AO2207" s="1115"/>
      <c r="AP2207" s="1115"/>
      <c r="AQ2207" s="1115"/>
      <c r="AR2207" s="1115"/>
      <c r="AS2207" s="1117"/>
      <c r="AT2207" s="1196" t="str">
        <f t="shared" si="428"/>
        <v/>
      </c>
      <c r="AU2207" s="1193"/>
      <c r="AV2207" s="330">
        <f>SQRT(($R2207-Infrastructure!J$3)^2+($S2207-Infrastructure!K$3)^2)</f>
        <v>37.24902683</v>
      </c>
      <c r="AW2207" s="331">
        <f>SQRT(($R2207-Infrastructure!J$4)^2+($S2207-Infrastructure!K$4)^2)</f>
        <v>28.09270368</v>
      </c>
      <c r="AX2207" s="331">
        <f>SQRT(($R2207-Infrastructure!J$5)^2+($S2207-Infrastructure!K$5)^2)</f>
        <v>20.17250604</v>
      </c>
      <c r="AY2207" s="331">
        <f>SQRT(($R2207-Infrastructure!J$6)^2+($S2207-Infrastructure!K$6)^2)</f>
        <v>8.720665112</v>
      </c>
      <c r="AZ2207" s="331">
        <f>SQRT(($R2207-Infrastructure!J$7)^2+($S2207-Infrastructure!K$7)^2)</f>
        <v>4.687216658</v>
      </c>
      <c r="BA2207" s="331">
        <f>SQRT(($R2207-Infrastructure!J$8)^2+($S2207-Infrastructure!K$8)^2)</f>
        <v>12.8082005</v>
      </c>
      <c r="BB2207" s="331">
        <f>SQRT(($R2207-Infrastructure!J$9)^2+($S2207-Infrastructure!K$9)^2)</f>
        <v>23.75078946</v>
      </c>
      <c r="BC2207" s="331">
        <f>SQRT(($R2207-Infrastructure!J$10)^2+($S2207-Infrastructure!K$10)^2)</f>
        <v>28.88546347</v>
      </c>
      <c r="BD2207" s="331">
        <f>SQRT(($R2207-Infrastructure!J$11)^2+($S2207-Infrastructure!K$11)^2)</f>
        <v>39.49746827</v>
      </c>
      <c r="BE2207" s="333">
        <f>SQRT(($R2207-Infrastructure!J$12)^2+($S2207-Infrastructure!K$12)^2)</f>
        <v>59.20954315</v>
      </c>
      <c r="BF2207" s="330">
        <f t="shared" si="161"/>
        <v>4.687216658</v>
      </c>
      <c r="BG2207" s="333">
        <f t="shared" si="162"/>
        <v>59.20954315</v>
      </c>
      <c r="BH2207" s="1119"/>
      <c r="BI2207" s="319" t="str">
        <f t="shared" ref="BI2207:BR2207" si="1268">IF(ISNUMBER(FIND(BI$3, $CO2207)), "Y", "")</f>
        <v/>
      </c>
      <c r="BJ2207" s="319" t="str">
        <f t="shared" si="1268"/>
        <v/>
      </c>
      <c r="BK2207" s="319" t="str">
        <f t="shared" si="1268"/>
        <v/>
      </c>
      <c r="BL2207" s="319" t="str">
        <f t="shared" si="1268"/>
        <v/>
      </c>
      <c r="BM2207" s="319" t="str">
        <f t="shared" si="1268"/>
        <v/>
      </c>
      <c r="BN2207" s="319" t="str">
        <f t="shared" si="1268"/>
        <v/>
      </c>
      <c r="BO2207" s="319" t="str">
        <f t="shared" si="1268"/>
        <v/>
      </c>
      <c r="BP2207" s="319" t="str">
        <f t="shared" si="1268"/>
        <v/>
      </c>
      <c r="BQ2207" s="319" t="str">
        <f t="shared" si="1268"/>
        <v/>
      </c>
      <c r="BR2207" s="319" t="str">
        <f t="shared" si="1268"/>
        <v/>
      </c>
      <c r="BS2207" s="330">
        <f t="shared" si="185"/>
        <v>0</v>
      </c>
      <c r="BT2207" s="331">
        <f t="shared" si="170"/>
        <v>0</v>
      </c>
      <c r="BU2207" s="920"/>
      <c r="BV2207" s="903" t="str">
        <f t="shared" si="1244"/>
        <v/>
      </c>
      <c r="BW2207" s="908"/>
      <c r="BX2207" s="908"/>
      <c r="BY2207" s="331" t="b">
        <f t="shared" si="201"/>
        <v>0</v>
      </c>
      <c r="BZ2207" s="331"/>
      <c r="CA2207" s="462" t="str">
        <f t="shared" ref="CA2207:CJ2207" si="1269">IF(ISNUMBER(FIND(BI$3, $CP2207)), "Y", "")</f>
        <v/>
      </c>
      <c r="CB2207" s="319" t="str">
        <f t="shared" si="1269"/>
        <v/>
      </c>
      <c r="CC2207" s="319" t="str">
        <f t="shared" si="1269"/>
        <v/>
      </c>
      <c r="CD2207" s="319" t="str">
        <f t="shared" si="1269"/>
        <v/>
      </c>
      <c r="CE2207" s="319" t="str">
        <f t="shared" si="1269"/>
        <v/>
      </c>
      <c r="CF2207" s="319" t="str">
        <f t="shared" si="1269"/>
        <v/>
      </c>
      <c r="CG2207" s="319" t="str">
        <f t="shared" si="1269"/>
        <v/>
      </c>
      <c r="CH2207" s="319" t="str">
        <f t="shared" si="1269"/>
        <v/>
      </c>
      <c r="CI2207" s="319" t="str">
        <f t="shared" si="1269"/>
        <v/>
      </c>
      <c r="CJ2207" s="319" t="str">
        <f t="shared" si="1269"/>
        <v/>
      </c>
      <c r="CK2207" s="342">
        <f t="shared" si="182"/>
        <v>0</v>
      </c>
      <c r="CL2207" s="333">
        <f t="shared" si="183"/>
        <v>0</v>
      </c>
      <c r="CM2207" s="1079"/>
      <c r="CN2207" s="1005" t="s">
        <v>3282</v>
      </c>
      <c r="CO2207" s="1005"/>
      <c r="CP2207" s="1005"/>
    </row>
    <row r="2208">
      <c r="A2208" s="266"/>
      <c r="B2208" s="1113" t="s">
        <v>3053</v>
      </c>
      <c r="C2208" s="1304">
        <v>45951.0</v>
      </c>
      <c r="D2208" s="103"/>
      <c r="E2208" s="1108">
        <v>5.0</v>
      </c>
      <c r="F2208" s="112" t="s">
        <v>3285</v>
      </c>
      <c r="G2208" s="1110">
        <v>0.5423611111111111</v>
      </c>
      <c r="H2208" s="1110">
        <v>0.5430555555555555</v>
      </c>
      <c r="I2208" s="1110">
        <v>0.5743055555555555</v>
      </c>
      <c r="J2208" s="1111">
        <v>0.03125</v>
      </c>
      <c r="K2208" s="1111"/>
      <c r="L2208" s="1112"/>
      <c r="M2208" s="1113" t="s">
        <v>166</v>
      </c>
      <c r="N2208" s="110" t="s">
        <v>187</v>
      </c>
      <c r="O2208" s="1115" t="s">
        <v>203</v>
      </c>
      <c r="P2208" s="1115" t="s">
        <v>248</v>
      </c>
      <c r="Q2208" s="1116"/>
      <c r="R2208" s="120">
        <v>15.5</v>
      </c>
      <c r="S2208" s="1113">
        <v>-3.4</v>
      </c>
      <c r="T2208" s="110">
        <v>1.35</v>
      </c>
      <c r="U2208" s="1108"/>
      <c r="V2208" s="1108"/>
      <c r="W2208" s="1108">
        <v>0.0209438311945258</v>
      </c>
      <c r="X2208" s="1303">
        <v>0.0182</v>
      </c>
      <c r="Y2208" s="1108" t="s">
        <v>2246</v>
      </c>
      <c r="Z2208" s="1114" t="s">
        <v>357</v>
      </c>
      <c r="AA2208" s="1114">
        <v>53.0</v>
      </c>
      <c r="AB2208" s="1114" t="s">
        <v>380</v>
      </c>
      <c r="AC2208" s="1117">
        <v>4.0</v>
      </c>
      <c r="AD2208" s="1115" t="s">
        <v>1949</v>
      </c>
      <c r="AE2208" s="1115"/>
      <c r="AF2208" s="1115">
        <v>0.29</v>
      </c>
      <c r="AG2208" s="1115">
        <v>1.61</v>
      </c>
      <c r="AH2208" s="1115" t="s">
        <v>323</v>
      </c>
      <c r="AI2208" s="1115">
        <v>127.9</v>
      </c>
      <c r="AJ2208" s="1117">
        <v>3.17</v>
      </c>
      <c r="AK2208" s="1118"/>
      <c r="AL2208" s="1115">
        <v>3.17</v>
      </c>
      <c r="AM2208" s="1115"/>
      <c r="AN2208" s="1115"/>
      <c r="AO2208" s="1115"/>
      <c r="AP2208" s="1115"/>
      <c r="AQ2208" s="1115"/>
      <c r="AR2208" s="1115"/>
      <c r="AS2208" s="1117"/>
      <c r="AT2208" s="1196" t="str">
        <f t="shared" si="428"/>
        <v/>
      </c>
      <c r="AU2208" s="1193"/>
      <c r="AV2208" s="330">
        <f>SQRT(($R2208-Infrastructure!J$3)^2+($S2208-Infrastructure!K$3)^2)</f>
        <v>35.95733583</v>
      </c>
      <c r="AW2208" s="331">
        <f>SQRT(($R2208-Infrastructure!J$4)^2+($S2208-Infrastructure!K$4)^2)</f>
        <v>26.44012103</v>
      </c>
      <c r="AX2208" s="331">
        <f>SQRT(($R2208-Infrastructure!J$5)^2+($S2208-Infrastructure!K$5)^2)</f>
        <v>17.94129315</v>
      </c>
      <c r="AY2208" s="331">
        <f>SQRT(($R2208-Infrastructure!J$6)^2+($S2208-Infrastructure!K$6)^2)</f>
        <v>6.54599114</v>
      </c>
      <c r="AZ2208" s="331">
        <f>SQRT(($R2208-Infrastructure!J$7)^2+($S2208-Infrastructure!K$7)^2)</f>
        <v>6.220128616</v>
      </c>
      <c r="BA2208" s="331">
        <f>SQRT(($R2208-Infrastructure!J$8)^2+($S2208-Infrastructure!K$8)^2)</f>
        <v>15.06154043</v>
      </c>
      <c r="BB2208" s="331">
        <f>SQRT(($R2208-Infrastructure!J$9)^2+($S2208-Infrastructure!K$9)^2)</f>
        <v>25.93260496</v>
      </c>
      <c r="BC2208" s="331">
        <f>SQRT(($R2208-Infrastructure!J$10)^2+($S2208-Infrastructure!K$10)^2)</f>
        <v>30.64000653</v>
      </c>
      <c r="BD2208" s="331">
        <f>SQRT(($R2208-Infrastructure!J$11)^2+($S2208-Infrastructure!K$11)^2)</f>
        <v>40.74125673</v>
      </c>
      <c r="BE2208" s="333">
        <f>SQRT(($R2208-Infrastructure!J$12)^2+($S2208-Infrastructure!K$12)^2)</f>
        <v>59.20481399</v>
      </c>
      <c r="BF2208" s="330">
        <f t="shared" si="161"/>
        <v>6.220128616</v>
      </c>
      <c r="BG2208" s="333">
        <f t="shared" si="162"/>
        <v>59.20481399</v>
      </c>
      <c r="BH2208" s="1119"/>
      <c r="BI2208" s="319" t="str">
        <f t="shared" ref="BI2208:BR2208" si="1270">IF(ISNUMBER(FIND(BI$3, $CO2208)), "Y", "")</f>
        <v/>
      </c>
      <c r="BJ2208" s="319" t="str">
        <f t="shared" si="1270"/>
        <v/>
      </c>
      <c r="BK2208" s="319" t="str">
        <f t="shared" si="1270"/>
        <v/>
      </c>
      <c r="BL2208" s="319" t="str">
        <f t="shared" si="1270"/>
        <v/>
      </c>
      <c r="BM2208" s="319" t="str">
        <f t="shared" si="1270"/>
        <v/>
      </c>
      <c r="BN2208" s="319" t="str">
        <f t="shared" si="1270"/>
        <v/>
      </c>
      <c r="BO2208" s="319" t="str">
        <f t="shared" si="1270"/>
        <v/>
      </c>
      <c r="BP2208" s="319" t="str">
        <f t="shared" si="1270"/>
        <v/>
      </c>
      <c r="BQ2208" s="319" t="str">
        <f t="shared" si="1270"/>
        <v/>
      </c>
      <c r="BR2208" s="319" t="str">
        <f t="shared" si="1270"/>
        <v/>
      </c>
      <c r="BS2208" s="330">
        <f t="shared" si="185"/>
        <v>0</v>
      </c>
      <c r="BT2208" s="331">
        <f t="shared" si="170"/>
        <v>0</v>
      </c>
      <c r="BU2208" s="920"/>
      <c r="BV2208" s="903" t="str">
        <f t="shared" si="1244"/>
        <v/>
      </c>
      <c r="BW2208" s="908"/>
      <c r="BX2208" s="908"/>
      <c r="BY2208" s="331" t="b">
        <f t="shared" si="201"/>
        <v>0</v>
      </c>
      <c r="BZ2208" s="331"/>
      <c r="CA2208" s="462" t="str">
        <f t="shared" ref="CA2208:CJ2208" si="1271">IF(ISNUMBER(FIND(BI$3, $CP2208)), "Y", "")</f>
        <v/>
      </c>
      <c r="CB2208" s="319" t="str">
        <f t="shared" si="1271"/>
        <v/>
      </c>
      <c r="CC2208" s="319" t="str">
        <f t="shared" si="1271"/>
        <v/>
      </c>
      <c r="CD2208" s="319" t="str">
        <f t="shared" si="1271"/>
        <v/>
      </c>
      <c r="CE2208" s="319" t="str">
        <f t="shared" si="1271"/>
        <v/>
      </c>
      <c r="CF2208" s="319" t="str">
        <f t="shared" si="1271"/>
        <v/>
      </c>
      <c r="CG2208" s="319" t="str">
        <f t="shared" si="1271"/>
        <v/>
      </c>
      <c r="CH2208" s="319" t="str">
        <f t="shared" si="1271"/>
        <v/>
      </c>
      <c r="CI2208" s="319" t="str">
        <f t="shared" si="1271"/>
        <v/>
      </c>
      <c r="CJ2208" s="319" t="str">
        <f t="shared" si="1271"/>
        <v/>
      </c>
      <c r="CK2208" s="342">
        <f t="shared" si="182"/>
        <v>0</v>
      </c>
      <c r="CL2208" s="333">
        <f t="shared" si="183"/>
        <v>0</v>
      </c>
      <c r="CM2208" s="1079"/>
      <c r="CN2208" s="1005" t="s">
        <v>3286</v>
      </c>
      <c r="CO2208" s="1005"/>
      <c r="CP2208" s="1005"/>
    </row>
    <row r="2209">
      <c r="A2209" s="266"/>
      <c r="B2209" s="1113" t="s">
        <v>3053</v>
      </c>
      <c r="C2209" s="1304">
        <v>45951.0</v>
      </c>
      <c r="D2209" s="103"/>
      <c r="E2209" s="1108">
        <v>6.0</v>
      </c>
      <c r="F2209" s="112" t="s">
        <v>3287</v>
      </c>
      <c r="G2209" s="1110">
        <v>0.5833333333333334</v>
      </c>
      <c r="H2209" s="1110">
        <v>0.5836805555555555</v>
      </c>
      <c r="I2209" s="1110">
        <v>0.6152777777777778</v>
      </c>
      <c r="J2209" s="1111">
        <v>0.03159722222222222</v>
      </c>
      <c r="K2209" s="1111"/>
      <c r="L2209" s="1112"/>
      <c r="M2209" s="1113" t="s">
        <v>166</v>
      </c>
      <c r="N2209" s="110" t="s">
        <v>187</v>
      </c>
      <c r="O2209" s="1115" t="s">
        <v>199</v>
      </c>
      <c r="P2209" s="1115" t="s">
        <v>274</v>
      </c>
      <c r="Q2209" s="1116"/>
      <c r="R2209" s="120">
        <v>16.1</v>
      </c>
      <c r="S2209" s="1113">
        <v>-9.6</v>
      </c>
      <c r="T2209" s="110">
        <v>0.01</v>
      </c>
      <c r="U2209" s="1108"/>
      <c r="V2209" s="1108"/>
      <c r="W2209" s="1108">
        <v>0.0193214349401965</v>
      </c>
      <c r="X2209" s="1303">
        <v>0.1017</v>
      </c>
      <c r="Y2209" s="1108" t="s">
        <v>2242</v>
      </c>
      <c r="Z2209" s="1114" t="s">
        <v>335</v>
      </c>
      <c r="AA2209" s="1114">
        <v>52.0</v>
      </c>
      <c r="AB2209" s="1114" t="s">
        <v>380</v>
      </c>
      <c r="AC2209" s="1117">
        <v>4.0</v>
      </c>
      <c r="AD2209" s="1115" t="s">
        <v>1949</v>
      </c>
      <c r="AE2209" s="1115"/>
      <c r="AF2209" s="1115">
        <v>0.05</v>
      </c>
      <c r="AG2209" s="1115">
        <v>0.27</v>
      </c>
      <c r="AH2209" s="1115" t="s">
        <v>323</v>
      </c>
      <c r="AI2209" s="1115">
        <v>21.1</v>
      </c>
      <c r="AJ2209" s="1117">
        <v>0.52</v>
      </c>
      <c r="AK2209" s="1118"/>
      <c r="AL2209" s="1115">
        <v>0.52</v>
      </c>
      <c r="AM2209" s="1115"/>
      <c r="AN2209" s="1115"/>
      <c r="AO2209" s="1115"/>
      <c r="AP2209" s="1115"/>
      <c r="AQ2209" s="1115"/>
      <c r="AR2209" s="1115"/>
      <c r="AS2209" s="1117"/>
      <c r="AT2209" s="1196" t="str">
        <f t="shared" si="428"/>
        <v/>
      </c>
      <c r="AU2209" s="1193"/>
      <c r="AV2209" s="330">
        <f>SQRT(($R2209-Infrastructure!J$3)^2+($S2209-Infrastructure!K$3)^2)</f>
        <v>41.84746109</v>
      </c>
      <c r="AW2209" s="331">
        <f>SQRT(($R2209-Infrastructure!J$4)^2+($S2209-Infrastructure!K$4)^2)</f>
        <v>31.93305497</v>
      </c>
      <c r="AX2209" s="331">
        <f>SQRT(($R2209-Infrastructure!J$5)^2+($S2209-Infrastructure!K$5)^2)</f>
        <v>22.02385071</v>
      </c>
      <c r="AY2209" s="331">
        <f>SQRT(($R2209-Infrastructure!J$6)^2+($S2209-Infrastructure!K$6)^2)</f>
        <v>11.57626883</v>
      </c>
      <c r="AZ2209" s="331">
        <f>SQRT(($R2209-Infrastructure!J$7)^2+($S2209-Infrastructure!K$7)^2)</f>
        <v>10.83374358</v>
      </c>
      <c r="BA2209" s="331">
        <f>SQRT(($R2209-Infrastructure!J$8)^2+($S2209-Infrastructure!K$8)^2)</f>
        <v>17.1467198</v>
      </c>
      <c r="BB2209" s="331">
        <f>SQRT(($R2209-Infrastructure!J$9)^2+($S2209-Infrastructure!K$9)^2)</f>
        <v>28.05886669</v>
      </c>
      <c r="BC2209" s="331">
        <f>SQRT(($R2209-Infrastructure!J$10)^2+($S2209-Infrastructure!K$10)^2)</f>
        <v>34.29825068</v>
      </c>
      <c r="BD2209" s="331">
        <f>SQRT(($R2209-Infrastructure!J$11)^2+($S2209-Infrastructure!K$11)^2)</f>
        <v>45.50571393</v>
      </c>
      <c r="BE2209" s="333">
        <f>SQRT(($R2209-Infrastructure!J$12)^2+($S2209-Infrastructure!K$12)^2)</f>
        <v>65.3235792</v>
      </c>
      <c r="BF2209" s="330">
        <f t="shared" si="161"/>
        <v>10.83374358</v>
      </c>
      <c r="BG2209" s="333">
        <f t="shared" si="162"/>
        <v>65.3235792</v>
      </c>
      <c r="BH2209" s="1119"/>
      <c r="BI2209" s="319" t="str">
        <f t="shared" ref="BI2209:BR2209" si="1272">IF(ISNUMBER(FIND(BI$3, $CO2209)), "Y", "")</f>
        <v/>
      </c>
      <c r="BJ2209" s="319" t="str">
        <f t="shared" si="1272"/>
        <v/>
      </c>
      <c r="BK2209" s="319" t="str">
        <f t="shared" si="1272"/>
        <v/>
      </c>
      <c r="BL2209" s="319" t="str">
        <f t="shared" si="1272"/>
        <v/>
      </c>
      <c r="BM2209" s="319" t="str">
        <f t="shared" si="1272"/>
        <v/>
      </c>
      <c r="BN2209" s="319" t="str">
        <f t="shared" si="1272"/>
        <v/>
      </c>
      <c r="BO2209" s="319" t="str">
        <f t="shared" si="1272"/>
        <v/>
      </c>
      <c r="BP2209" s="319" t="str">
        <f t="shared" si="1272"/>
        <v/>
      </c>
      <c r="BQ2209" s="319" t="str">
        <f t="shared" si="1272"/>
        <v/>
      </c>
      <c r="BR2209" s="319" t="str">
        <f t="shared" si="1272"/>
        <v/>
      </c>
      <c r="BS2209" s="330">
        <f t="shared" si="185"/>
        <v>0</v>
      </c>
      <c r="BT2209" s="331">
        <f t="shared" si="170"/>
        <v>0</v>
      </c>
      <c r="BU2209" s="920"/>
      <c r="BV2209" s="903" t="str">
        <f t="shared" si="1244"/>
        <v/>
      </c>
      <c r="BW2209" s="908"/>
      <c r="BX2209" s="908"/>
      <c r="BY2209" s="331" t="b">
        <f t="shared" si="201"/>
        <v>0</v>
      </c>
      <c r="BZ2209" s="331"/>
      <c r="CA2209" s="462" t="str">
        <f t="shared" ref="CA2209:CJ2209" si="1273">IF(ISNUMBER(FIND(BI$3, $CP2209)), "Y", "")</f>
        <v/>
      </c>
      <c r="CB2209" s="319" t="str">
        <f t="shared" si="1273"/>
        <v/>
      </c>
      <c r="CC2209" s="319" t="str">
        <f t="shared" si="1273"/>
        <v/>
      </c>
      <c r="CD2209" s="319" t="str">
        <f t="shared" si="1273"/>
        <v/>
      </c>
      <c r="CE2209" s="319" t="str">
        <f t="shared" si="1273"/>
        <v/>
      </c>
      <c r="CF2209" s="319" t="str">
        <f t="shared" si="1273"/>
        <v/>
      </c>
      <c r="CG2209" s="319" t="str">
        <f t="shared" si="1273"/>
        <v/>
      </c>
      <c r="CH2209" s="319" t="str">
        <f t="shared" si="1273"/>
        <v/>
      </c>
      <c r="CI2209" s="319" t="str">
        <f t="shared" si="1273"/>
        <v/>
      </c>
      <c r="CJ2209" s="319" t="str">
        <f t="shared" si="1273"/>
        <v/>
      </c>
      <c r="CK2209" s="342">
        <f t="shared" si="182"/>
        <v>0</v>
      </c>
      <c r="CL2209" s="333">
        <f t="shared" si="183"/>
        <v>0</v>
      </c>
      <c r="CM2209" s="1079"/>
      <c r="CN2209" s="1005" t="s">
        <v>3286</v>
      </c>
      <c r="CO2209" s="1005"/>
      <c r="CP2209" s="1005"/>
    </row>
    <row r="2210">
      <c r="A2210" s="266"/>
      <c r="B2210" s="1113" t="s">
        <v>3053</v>
      </c>
      <c r="C2210" s="1304">
        <v>45951.0</v>
      </c>
      <c r="D2210" s="103"/>
      <c r="E2210" s="1108">
        <v>7.0</v>
      </c>
      <c r="F2210" s="112" t="s">
        <v>3288</v>
      </c>
      <c r="G2210" s="1110">
        <v>0.6283564814814815</v>
      </c>
      <c r="H2210" s="1110">
        <v>0.6291666666666667</v>
      </c>
      <c r="I2210" s="1110">
        <v>0.6604166666666667</v>
      </c>
      <c r="J2210" s="1111">
        <v>0.03125</v>
      </c>
      <c r="K2210" s="1111"/>
      <c r="L2210" s="1112"/>
      <c r="M2210" s="1113" t="s">
        <v>166</v>
      </c>
      <c r="N2210" s="110" t="s">
        <v>187</v>
      </c>
      <c r="O2210" s="1115" t="s">
        <v>205</v>
      </c>
      <c r="P2210" s="1115" t="s">
        <v>258</v>
      </c>
      <c r="Q2210" s="1116"/>
      <c r="R2210" s="120">
        <v>21.5</v>
      </c>
      <c r="S2210" s="1113">
        <v>-4.1</v>
      </c>
      <c r="T2210" s="110">
        <v>2.3</v>
      </c>
      <c r="U2210" s="1108"/>
      <c r="V2210" s="1108"/>
      <c r="W2210" s="1108">
        <v>0.0284422677541527</v>
      </c>
      <c r="X2210" s="1303">
        <v>0.0085</v>
      </c>
      <c r="Y2210" s="1108" t="s">
        <v>2246</v>
      </c>
      <c r="Z2210" s="1114" t="s">
        <v>370</v>
      </c>
      <c r="AA2210" s="1114">
        <v>84.5</v>
      </c>
      <c r="AB2210" s="1114" t="s">
        <v>388</v>
      </c>
      <c r="AC2210" s="1117">
        <v>8.0</v>
      </c>
      <c r="AD2210" s="1115" t="s">
        <v>1949</v>
      </c>
      <c r="AE2210" s="1115"/>
      <c r="AF2210" s="1115">
        <v>0.42</v>
      </c>
      <c r="AG2210" s="1115">
        <v>4.65</v>
      </c>
      <c r="AH2210" s="1115" t="s">
        <v>323</v>
      </c>
      <c r="AI2210" s="1115">
        <v>92.6</v>
      </c>
      <c r="AJ2210" s="1117">
        <v>9.22</v>
      </c>
      <c r="AK2210" s="1118"/>
      <c r="AL2210" s="1115">
        <v>9.22</v>
      </c>
      <c r="AM2210" s="1115"/>
      <c r="AN2210" s="1115"/>
      <c r="AO2210" s="1115"/>
      <c r="AP2210" s="1115"/>
      <c r="AQ2210" s="1115"/>
      <c r="AR2210" s="1115"/>
      <c r="AS2210" s="1117"/>
      <c r="AT2210" s="1196" t="str">
        <f t="shared" si="428"/>
        <v/>
      </c>
      <c r="AU2210" s="1193"/>
      <c r="AV2210" s="330">
        <f>SQRT(($R2210-Infrastructure!J$3)^2+($S2210-Infrastructure!K$3)^2)</f>
        <v>39.55047408</v>
      </c>
      <c r="AW2210" s="331">
        <f>SQRT(($R2210-Infrastructure!J$4)^2+($S2210-Infrastructure!K$4)^2)</f>
        <v>30.90064724</v>
      </c>
      <c r="AX2210" s="331">
        <f>SQRT(($R2210-Infrastructure!J$5)^2+($S2210-Infrastructure!K$5)^2)</f>
        <v>23.66178353</v>
      </c>
      <c r="AY2210" s="331">
        <f>SQRT(($R2210-Infrastructure!J$6)^2+($S2210-Infrastructure!K$6)^2)</f>
        <v>12.2196563</v>
      </c>
      <c r="AZ2210" s="331">
        <f>SQRT(($R2210-Infrastructure!J$7)^2+($S2210-Infrastructure!K$7)^2)</f>
        <v>4.512205669</v>
      </c>
      <c r="BA2210" s="331">
        <f>SQRT(($R2210-Infrastructure!J$8)^2+($S2210-Infrastructure!K$8)^2)</f>
        <v>9.660227741</v>
      </c>
      <c r="BB2210" s="331">
        <f>SQRT(($R2210-Infrastructure!J$9)^2+($S2210-Infrastructure!K$9)^2)</f>
        <v>20.66131651</v>
      </c>
      <c r="BC2210" s="331">
        <f>SQRT(($R2210-Infrastructure!J$10)^2+($S2210-Infrastructure!K$10)^2)</f>
        <v>26.59059984</v>
      </c>
      <c r="BD2210" s="331">
        <f>SQRT(($R2210-Infrastructure!J$11)^2+($S2210-Infrastructure!K$11)^2)</f>
        <v>38.01710142</v>
      </c>
      <c r="BE2210" s="333">
        <f>SQRT(($R2210-Infrastructure!J$12)^2+($S2210-Infrastructure!K$12)^2)</f>
        <v>59.6</v>
      </c>
      <c r="BF2210" s="330">
        <f t="shared" si="161"/>
        <v>4.512205669</v>
      </c>
      <c r="BG2210" s="333">
        <f t="shared" si="162"/>
        <v>59.6</v>
      </c>
      <c r="BH2210" s="1119"/>
      <c r="BI2210" s="319" t="str">
        <f t="shared" ref="BI2210:BR2210" si="1274">IF(ISNUMBER(FIND(BI$3, $CO2210)), "Y", "")</f>
        <v/>
      </c>
      <c r="BJ2210" s="319" t="str">
        <f t="shared" si="1274"/>
        <v/>
      </c>
      <c r="BK2210" s="319" t="str">
        <f t="shared" si="1274"/>
        <v/>
      </c>
      <c r="BL2210" s="319" t="str">
        <f t="shared" si="1274"/>
        <v/>
      </c>
      <c r="BM2210" s="319" t="str">
        <f t="shared" si="1274"/>
        <v/>
      </c>
      <c r="BN2210" s="319" t="str">
        <f t="shared" si="1274"/>
        <v/>
      </c>
      <c r="BO2210" s="319" t="str">
        <f t="shared" si="1274"/>
        <v/>
      </c>
      <c r="BP2210" s="319" t="str">
        <f t="shared" si="1274"/>
        <v/>
      </c>
      <c r="BQ2210" s="319" t="str">
        <f t="shared" si="1274"/>
        <v/>
      </c>
      <c r="BR2210" s="319" t="str">
        <f t="shared" si="1274"/>
        <v/>
      </c>
      <c r="BS2210" s="330">
        <f t="shared" si="185"/>
        <v>0</v>
      </c>
      <c r="BT2210" s="331">
        <f t="shared" si="170"/>
        <v>0</v>
      </c>
      <c r="BU2210" s="920"/>
      <c r="BV2210" s="903" t="str">
        <f t="shared" si="1244"/>
        <v/>
      </c>
      <c r="BW2210" s="908"/>
      <c r="BX2210" s="908"/>
      <c r="BY2210" s="331" t="b">
        <f t="shared" si="201"/>
        <v>0</v>
      </c>
      <c r="BZ2210" s="331"/>
      <c r="CA2210" s="462" t="str">
        <f t="shared" ref="CA2210:CJ2210" si="1275">IF(ISNUMBER(FIND(BI$3, $CP2210)), "Y", "")</f>
        <v/>
      </c>
      <c r="CB2210" s="319" t="str">
        <f t="shared" si="1275"/>
        <v/>
      </c>
      <c r="CC2210" s="319" t="str">
        <f t="shared" si="1275"/>
        <v/>
      </c>
      <c r="CD2210" s="319" t="str">
        <f t="shared" si="1275"/>
        <v/>
      </c>
      <c r="CE2210" s="319" t="str">
        <f t="shared" si="1275"/>
        <v/>
      </c>
      <c r="CF2210" s="319" t="str">
        <f t="shared" si="1275"/>
        <v/>
      </c>
      <c r="CG2210" s="319" t="str">
        <f t="shared" si="1275"/>
        <v/>
      </c>
      <c r="CH2210" s="319" t="str">
        <f t="shared" si="1275"/>
        <v/>
      </c>
      <c r="CI2210" s="319" t="str">
        <f t="shared" si="1275"/>
        <v/>
      </c>
      <c r="CJ2210" s="319" t="str">
        <f t="shared" si="1275"/>
        <v/>
      </c>
      <c r="CK2210" s="342">
        <f t="shared" si="182"/>
        <v>0</v>
      </c>
      <c r="CL2210" s="333">
        <f t="shared" si="183"/>
        <v>0</v>
      </c>
      <c r="CM2210" s="1079"/>
      <c r="CN2210" s="1005" t="s">
        <v>3286</v>
      </c>
      <c r="CO2210" s="1005"/>
      <c r="CP2210" s="1005"/>
    </row>
    <row r="2211">
      <c r="A2211" s="266"/>
      <c r="B2211" s="1113" t="s">
        <v>3053</v>
      </c>
      <c r="C2211" s="1304">
        <v>45951.0</v>
      </c>
      <c r="D2211" s="103"/>
      <c r="E2211" s="1108">
        <v>8.0</v>
      </c>
      <c r="F2211" s="112" t="s">
        <v>3289</v>
      </c>
      <c r="G2211" s="1110">
        <v>0.6666666666666666</v>
      </c>
      <c r="H2211" s="1110">
        <v>0.6670138888888889</v>
      </c>
      <c r="I2211" s="1110">
        <v>0.6986111111111111</v>
      </c>
      <c r="J2211" s="1111">
        <v>0.03159722222222222</v>
      </c>
      <c r="K2211" s="1111"/>
      <c r="L2211" s="1112"/>
      <c r="M2211" s="1113" t="s">
        <v>166</v>
      </c>
      <c r="N2211" s="110" t="s">
        <v>187</v>
      </c>
      <c r="O2211" s="1115" t="s">
        <v>198</v>
      </c>
      <c r="P2211" s="1115" t="s">
        <v>300</v>
      </c>
      <c r="Q2211" s="1116"/>
      <c r="R2211" s="120">
        <v>10.0</v>
      </c>
      <c r="S2211" s="1113">
        <v>-11.7</v>
      </c>
      <c r="T2211" s="110">
        <v>0.5</v>
      </c>
      <c r="U2211" s="1108"/>
      <c r="V2211" s="1108"/>
      <c r="W2211" s="1108">
        <v>0.0129426560136089</v>
      </c>
      <c r="X2211" s="1303">
        <v>0.0301</v>
      </c>
      <c r="Y2211" s="1108" t="s">
        <v>2244</v>
      </c>
      <c r="Z2211" s="1114" t="s">
        <v>343</v>
      </c>
      <c r="AA2211" s="1114">
        <v>23.5</v>
      </c>
      <c r="AB2211" s="1114" t="s">
        <v>384</v>
      </c>
      <c r="AC2211" s="1117">
        <v>6.0</v>
      </c>
      <c r="AD2211" s="1115" t="s">
        <v>1949</v>
      </c>
      <c r="AE2211" s="1115"/>
      <c r="AF2211" s="1115">
        <v>0.07</v>
      </c>
      <c r="AG2211" s="1115">
        <v>0.6</v>
      </c>
      <c r="AH2211" s="1115" t="s">
        <v>323</v>
      </c>
      <c r="AI2211" s="1115">
        <v>21.2</v>
      </c>
      <c r="AJ2211" s="1117">
        <v>1.19</v>
      </c>
      <c r="AK2211" s="1118"/>
      <c r="AL2211" s="1115">
        <v>1.19</v>
      </c>
      <c r="AM2211" s="1115"/>
      <c r="AN2211" s="1115"/>
      <c r="AO2211" s="1115"/>
      <c r="AP2211" s="1115"/>
      <c r="AQ2211" s="1115"/>
      <c r="AR2211" s="1115"/>
      <c r="AS2211" s="1117"/>
      <c r="AT2211" s="1196" t="str">
        <f t="shared" si="428"/>
        <v/>
      </c>
      <c r="AU2211" s="1193"/>
      <c r="AV2211" s="330">
        <f>SQRT(($R2211-Infrastructure!J$3)^2+($S2211-Infrastructure!K$3)^2)</f>
        <v>41.88615523</v>
      </c>
      <c r="AW2211" s="331">
        <f>SQRT(($R2211-Infrastructure!J$4)^2+($S2211-Infrastructure!K$4)^2)</f>
        <v>31.2464398</v>
      </c>
      <c r="AX2211" s="331">
        <f>SQRT(($R2211-Infrastructure!J$5)^2+($S2211-Infrastructure!K$5)^2)</f>
        <v>19.70609043</v>
      </c>
      <c r="AY2211" s="331">
        <f>SQRT(($R2211-Infrastructure!J$6)^2+($S2211-Infrastructure!K$6)^2)</f>
        <v>12.00041666</v>
      </c>
      <c r="AZ2211" s="331">
        <f>SQRT(($R2211-Infrastructure!J$7)^2+($S2211-Infrastructure!K$7)^2)</f>
        <v>15.94521872</v>
      </c>
      <c r="BA2211" s="331">
        <f>SQRT(($R2211-Infrastructure!J$8)^2+($S2211-Infrastructure!K$8)^2)</f>
        <v>23.40961341</v>
      </c>
      <c r="BB2211" s="331">
        <f>SQRT(($R2211-Infrastructure!J$9)^2+($S2211-Infrastructure!K$9)^2)</f>
        <v>34.38371708</v>
      </c>
      <c r="BC2211" s="331">
        <f>SQRT(($R2211-Infrastructure!J$10)^2+($S2211-Infrastructure!K$10)^2)</f>
        <v>40.16080178</v>
      </c>
      <c r="BD2211" s="331">
        <f>SQRT(($R2211-Infrastructure!J$11)^2+($S2211-Infrastructure!K$11)^2)</f>
        <v>50.68066693</v>
      </c>
      <c r="BE2211" s="333">
        <f>SQRT(($R2211-Infrastructure!J$12)^2+($S2211-Infrastructure!K$12)^2)</f>
        <v>68.17690225</v>
      </c>
      <c r="BF2211" s="330">
        <f t="shared" si="161"/>
        <v>12.00041666</v>
      </c>
      <c r="BG2211" s="333">
        <f t="shared" si="162"/>
        <v>68.17690225</v>
      </c>
      <c r="BH2211" s="1119"/>
      <c r="BI2211" s="319" t="str">
        <f t="shared" ref="BI2211:BR2211" si="1276">IF(ISNUMBER(FIND(BI$3, $CO2211)), "Y", "")</f>
        <v/>
      </c>
      <c r="BJ2211" s="319" t="str">
        <f t="shared" si="1276"/>
        <v/>
      </c>
      <c r="BK2211" s="319" t="str">
        <f t="shared" si="1276"/>
        <v/>
      </c>
      <c r="BL2211" s="319" t="str">
        <f t="shared" si="1276"/>
        <v/>
      </c>
      <c r="BM2211" s="319" t="str">
        <f t="shared" si="1276"/>
        <v/>
      </c>
      <c r="BN2211" s="319" t="str">
        <f t="shared" si="1276"/>
        <v/>
      </c>
      <c r="BO2211" s="319" t="str">
        <f t="shared" si="1276"/>
        <v/>
      </c>
      <c r="BP2211" s="319" t="str">
        <f t="shared" si="1276"/>
        <v/>
      </c>
      <c r="BQ2211" s="319" t="str">
        <f t="shared" si="1276"/>
        <v/>
      </c>
      <c r="BR2211" s="319" t="str">
        <f t="shared" si="1276"/>
        <v/>
      </c>
      <c r="BS2211" s="330">
        <f t="shared" si="185"/>
        <v>0</v>
      </c>
      <c r="BT2211" s="331">
        <f t="shared" si="170"/>
        <v>0</v>
      </c>
      <c r="BU2211" s="920"/>
      <c r="BV2211" s="903" t="str">
        <f t="shared" si="1244"/>
        <v/>
      </c>
      <c r="BW2211" s="908"/>
      <c r="BX2211" s="908"/>
      <c r="BY2211" s="331" t="b">
        <f t="shared" si="201"/>
        <v>0</v>
      </c>
      <c r="BZ2211" s="331"/>
      <c r="CA2211" s="462" t="str">
        <f t="shared" ref="CA2211:CJ2211" si="1277">IF(ISNUMBER(FIND(BI$3, $CP2211)), "Y", "")</f>
        <v/>
      </c>
      <c r="CB2211" s="319" t="str">
        <f t="shared" si="1277"/>
        <v/>
      </c>
      <c r="CC2211" s="319" t="str">
        <f t="shared" si="1277"/>
        <v/>
      </c>
      <c r="CD2211" s="319" t="str">
        <f t="shared" si="1277"/>
        <v/>
      </c>
      <c r="CE2211" s="319" t="str">
        <f t="shared" si="1277"/>
        <v/>
      </c>
      <c r="CF2211" s="319" t="str">
        <f t="shared" si="1277"/>
        <v/>
      </c>
      <c r="CG2211" s="319" t="str">
        <f t="shared" si="1277"/>
        <v/>
      </c>
      <c r="CH2211" s="319" t="str">
        <f t="shared" si="1277"/>
        <v/>
      </c>
      <c r="CI2211" s="319" t="str">
        <f t="shared" si="1277"/>
        <v/>
      </c>
      <c r="CJ2211" s="319" t="str">
        <f t="shared" si="1277"/>
        <v/>
      </c>
      <c r="CK2211" s="342">
        <f t="shared" si="182"/>
        <v>0</v>
      </c>
      <c r="CL2211" s="333">
        <f t="shared" si="183"/>
        <v>0</v>
      </c>
      <c r="CM2211" s="1079"/>
      <c r="CN2211" s="1005" t="s">
        <v>3286</v>
      </c>
      <c r="CO2211" s="1005"/>
      <c r="CP2211" s="1005"/>
    </row>
    <row r="2212">
      <c r="A2212" s="1258"/>
      <c r="B2212" s="1129" t="s">
        <v>3053</v>
      </c>
      <c r="C2212" s="1305">
        <v>45950.0</v>
      </c>
      <c r="D2212" s="1123"/>
      <c r="E2212" s="1124">
        <v>9.0</v>
      </c>
      <c r="F2212" s="108" t="s">
        <v>3290</v>
      </c>
      <c r="G2212" s="1126">
        <v>0.7065972222222222</v>
      </c>
      <c r="H2212" s="1126">
        <v>0.7076388888888889</v>
      </c>
      <c r="I2212" s="1126">
        <v>0.7395833333333334</v>
      </c>
      <c r="J2212" s="1127">
        <v>0.03194444444444444</v>
      </c>
      <c r="K2212" s="1127"/>
      <c r="L2212" s="1128"/>
      <c r="M2212" s="1129" t="s">
        <v>166</v>
      </c>
      <c r="N2212" s="100" t="s">
        <v>187</v>
      </c>
      <c r="O2212" s="1131" t="s">
        <v>206</v>
      </c>
      <c r="P2212" s="1131" t="s">
        <v>259</v>
      </c>
      <c r="Q2212" s="1132"/>
      <c r="R2212" s="137">
        <v>21.7</v>
      </c>
      <c r="S2212" s="1129">
        <v>-11.1</v>
      </c>
      <c r="T2212" s="100">
        <v>2.35</v>
      </c>
      <c r="U2212" s="1124"/>
      <c r="V2212" s="1124"/>
      <c r="W2212" s="1124">
        <v>0.0129426560136089</v>
      </c>
      <c r="X2212" s="1307">
        <v>0.0301</v>
      </c>
      <c r="Y2212" s="1124" t="s">
        <v>2244</v>
      </c>
      <c r="Z2212" s="1130" t="s">
        <v>347</v>
      </c>
      <c r="AA2212" s="1130">
        <v>24.5</v>
      </c>
      <c r="AB2212" s="1130" t="s">
        <v>380</v>
      </c>
      <c r="AC2212" s="1133">
        <v>4.0</v>
      </c>
      <c r="AD2212" s="1131" t="s">
        <v>1949</v>
      </c>
      <c r="AE2212" s="1131"/>
      <c r="AF2212" s="1131">
        <v>0.11</v>
      </c>
      <c r="AG2212" s="1131">
        <v>0.6</v>
      </c>
      <c r="AH2212" s="1131" t="s">
        <v>323</v>
      </c>
      <c r="AI2212" s="1131">
        <v>47.8</v>
      </c>
      <c r="AJ2212" s="1133">
        <v>1.23</v>
      </c>
      <c r="AK2212" s="1134"/>
      <c r="AL2212" s="1131">
        <v>1.23</v>
      </c>
      <c r="AM2212" s="1131"/>
      <c r="AN2212" s="1131"/>
      <c r="AO2212" s="1131"/>
      <c r="AP2212" s="1131"/>
      <c r="AQ2212" s="1131"/>
      <c r="AR2212" s="1131"/>
      <c r="AS2212" s="1133"/>
      <c r="AT2212" s="1197" t="str">
        <f t="shared" si="428"/>
        <v/>
      </c>
      <c r="AU2212" s="1194"/>
      <c r="AV2212" s="662">
        <f>SQRT(($R2212-Infrastructure!J$3)^2+($S2212-Infrastructure!K$3)^2)</f>
        <v>45.65084884</v>
      </c>
      <c r="AW2212" s="641">
        <f>SQRT(($R2212-Infrastructure!J$4)^2+($S2212-Infrastructure!K$4)^2)</f>
        <v>36.3209306</v>
      </c>
      <c r="AX2212" s="641">
        <f>SQRT(($R2212-Infrastructure!J$5)^2+($S2212-Infrastructure!K$5)^2)</f>
        <v>27.32105415</v>
      </c>
      <c r="AY2212" s="641">
        <f>SQRT(($R2212-Infrastructure!J$6)^2+($S2212-Infrastructure!K$6)^2)</f>
        <v>16.26407083</v>
      </c>
      <c r="AZ2212" s="641">
        <f>SQRT(($R2212-Infrastructure!J$7)^2+($S2212-Infrastructure!K$7)^2)</f>
        <v>11.4629839</v>
      </c>
      <c r="BA2212" s="641">
        <f>SQRT(($R2212-Infrastructure!J$8)^2+($S2212-Infrastructure!K$8)^2)</f>
        <v>14.16050847</v>
      </c>
      <c r="BB2212" s="641">
        <f>SQRT(($R2212-Infrastructure!J$9)^2+($S2212-Infrastructure!K$9)^2)</f>
        <v>24.44033551</v>
      </c>
      <c r="BC2212" s="641">
        <f>SQRT(($R2212-Infrastructure!J$10)^2+($S2212-Infrastructure!K$10)^2)</f>
        <v>31.8763235</v>
      </c>
      <c r="BD2212" s="641">
        <f>SQRT(($R2212-Infrastructure!J$11)^2+($S2212-Infrastructure!K$11)^2)</f>
        <v>44.16174815</v>
      </c>
      <c r="BE2212" s="642">
        <f>SQRT(($R2212-Infrastructure!J$12)^2+($S2212-Infrastructure!K$12)^2)</f>
        <v>66.6003003</v>
      </c>
      <c r="BF2212" s="662">
        <f t="shared" si="161"/>
        <v>11.4629839</v>
      </c>
      <c r="BG2212" s="642">
        <f t="shared" si="162"/>
        <v>66.6003003</v>
      </c>
      <c r="BH2212" s="1135"/>
      <c r="BI2212" s="663" t="str">
        <f t="shared" ref="BI2212:BR2212" si="1278">IF(ISNUMBER(FIND(BI$3, $CO2212)), "Y", "")</f>
        <v/>
      </c>
      <c r="BJ2212" s="663" t="str">
        <f t="shared" si="1278"/>
        <v/>
      </c>
      <c r="BK2212" s="663" t="str">
        <f t="shared" si="1278"/>
        <v/>
      </c>
      <c r="BL2212" s="663" t="str">
        <f t="shared" si="1278"/>
        <v/>
      </c>
      <c r="BM2212" s="663" t="str">
        <f t="shared" si="1278"/>
        <v/>
      </c>
      <c r="BN2212" s="663" t="str">
        <f t="shared" si="1278"/>
        <v/>
      </c>
      <c r="BO2212" s="663" t="str">
        <f t="shared" si="1278"/>
        <v/>
      </c>
      <c r="BP2212" s="663" t="str">
        <f t="shared" si="1278"/>
        <v/>
      </c>
      <c r="BQ2212" s="663" t="str">
        <f t="shared" si="1278"/>
        <v/>
      </c>
      <c r="BR2212" s="663" t="str">
        <f t="shared" si="1278"/>
        <v/>
      </c>
      <c r="BS2212" s="662">
        <f t="shared" si="185"/>
        <v>0</v>
      </c>
      <c r="BT2212" s="641">
        <f t="shared" si="170"/>
        <v>0</v>
      </c>
      <c r="BU2212" s="937"/>
      <c r="BV2212" s="930" t="str">
        <f t="shared" si="1244"/>
        <v/>
      </c>
      <c r="BW2212" s="939"/>
      <c r="BX2212" s="939"/>
      <c r="BY2212" s="641" t="b">
        <f t="shared" si="201"/>
        <v>0</v>
      </c>
      <c r="BZ2212" s="641"/>
      <c r="CA2212" s="635" t="str">
        <f t="shared" ref="CA2212:CJ2212" si="1279">IF(ISNUMBER(FIND(BI$3, $CP2212)), "Y", "")</f>
        <v/>
      </c>
      <c r="CB2212" s="663" t="str">
        <f t="shared" si="1279"/>
        <v/>
      </c>
      <c r="CC2212" s="663" t="str">
        <f t="shared" si="1279"/>
        <v/>
      </c>
      <c r="CD2212" s="663" t="str">
        <f t="shared" si="1279"/>
        <v/>
      </c>
      <c r="CE2212" s="663" t="str">
        <f t="shared" si="1279"/>
        <v/>
      </c>
      <c r="CF2212" s="663" t="str">
        <f t="shared" si="1279"/>
        <v/>
      </c>
      <c r="CG2212" s="663" t="str">
        <f t="shared" si="1279"/>
        <v/>
      </c>
      <c r="CH2212" s="663" t="str">
        <f t="shared" si="1279"/>
        <v/>
      </c>
      <c r="CI2212" s="663" t="str">
        <f t="shared" si="1279"/>
        <v/>
      </c>
      <c r="CJ2212" s="663" t="str">
        <f t="shared" si="1279"/>
        <v/>
      </c>
      <c r="CK2212" s="743">
        <f t="shared" si="182"/>
        <v>0</v>
      </c>
      <c r="CL2212" s="642">
        <f t="shared" si="183"/>
        <v>0</v>
      </c>
      <c r="CM2212" s="1090"/>
      <c r="CN2212" s="1036" t="s">
        <v>3286</v>
      </c>
      <c r="CO2212" s="1036"/>
      <c r="CP2212" s="1036"/>
    </row>
    <row r="2213">
      <c r="A2213" s="1257" t="s">
        <v>156</v>
      </c>
      <c r="B2213" s="1113" t="s">
        <v>3053</v>
      </c>
      <c r="C2213" s="1304">
        <v>45952.0</v>
      </c>
      <c r="D2213" s="1113" t="s">
        <v>986</v>
      </c>
      <c r="E2213" s="1108">
        <v>10.0</v>
      </c>
      <c r="F2213" s="112" t="s">
        <v>3291</v>
      </c>
      <c r="G2213" s="1110">
        <v>0.3737847222222222</v>
      </c>
      <c r="H2213" s="1110">
        <v>0.37430555555555556</v>
      </c>
      <c r="I2213" s="1110">
        <v>0.40555555555555556</v>
      </c>
      <c r="J2213" s="1111">
        <v>0.03125</v>
      </c>
      <c r="K2213" s="1111"/>
      <c r="L2213" s="1112"/>
      <c r="M2213" s="1113" t="s">
        <v>166</v>
      </c>
      <c r="N2213" s="110" t="s">
        <v>187</v>
      </c>
      <c r="O2213" s="1115" t="s">
        <v>206</v>
      </c>
      <c r="P2213" s="1115" t="s">
        <v>282</v>
      </c>
      <c r="Q2213" s="1116"/>
      <c r="R2213" s="120">
        <v>20.5</v>
      </c>
      <c r="S2213" s="1113">
        <v>-8.4</v>
      </c>
      <c r="T2213" s="110">
        <v>0.09</v>
      </c>
      <c r="U2213" s="1108"/>
      <c r="V2213" s="1108"/>
      <c r="W2213" s="1108">
        <v>0.0129257129812442</v>
      </c>
      <c r="X2213" s="1303">
        <v>0.0308</v>
      </c>
      <c r="Y2213" s="1108" t="s">
        <v>2244</v>
      </c>
      <c r="Z2213" s="1114" t="s">
        <v>347</v>
      </c>
      <c r="AA2213" s="1114">
        <v>24.0</v>
      </c>
      <c r="AB2213" s="1114" t="s">
        <v>3268</v>
      </c>
      <c r="AC2213" s="1117">
        <v>10.0</v>
      </c>
      <c r="AD2213" s="1115" t="s">
        <v>1949</v>
      </c>
      <c r="AE2213" s="1115"/>
      <c r="AF2213" s="1115">
        <v>0.04</v>
      </c>
      <c r="AG2213" s="1115">
        <v>0.59</v>
      </c>
      <c r="AH2213" s="1115" t="s">
        <v>323</v>
      </c>
      <c r="AI2213" s="1115">
        <v>7.5</v>
      </c>
      <c r="AJ2213" s="1117">
        <v>1.15</v>
      </c>
      <c r="AK2213" s="1118"/>
      <c r="AL2213" s="1115">
        <v>1.15</v>
      </c>
      <c r="AM2213" s="1115"/>
      <c r="AN2213" s="1115"/>
      <c r="AO2213" s="1115"/>
      <c r="AP2213" s="1115"/>
      <c r="AQ2213" s="1115"/>
      <c r="AR2213" s="1115"/>
      <c r="AS2213" s="1117"/>
      <c r="AT2213" s="1196" t="str">
        <f t="shared" si="428"/>
        <v/>
      </c>
      <c r="AU2213" s="1193"/>
      <c r="AV2213" s="330">
        <f>SQRT(($R2213-Infrastructure!J$3)^2+($S2213-Infrastructure!K$3)^2)</f>
        <v>42.70749349</v>
      </c>
      <c r="AW2213" s="331">
        <f>SQRT(($R2213-Infrastructure!J$4)^2+($S2213-Infrastructure!K$4)^2)</f>
        <v>33.45265311</v>
      </c>
      <c r="AX2213" s="331">
        <f>SQRT(($R2213-Infrastructure!J$5)^2+($S2213-Infrastructure!K$5)^2)</f>
        <v>24.79697562</v>
      </c>
      <c r="AY2213" s="331">
        <f>SQRT(($R2213-Infrastructure!J$6)^2+($S2213-Infrastructure!K$6)^2)</f>
        <v>13.55912977</v>
      </c>
      <c r="AZ2213" s="331">
        <f>SQRT(($R2213-Infrastructure!J$7)^2+($S2213-Infrastructure!K$7)^2)</f>
        <v>8.7</v>
      </c>
      <c r="BA2213" s="331">
        <f>SQRT(($R2213-Infrastructure!J$8)^2+($S2213-Infrastructure!K$8)^2)</f>
        <v>12.95569373</v>
      </c>
      <c r="BB2213" s="331">
        <f>SQRT(($R2213-Infrastructure!J$9)^2+($S2213-Infrastructure!K$9)^2)</f>
        <v>23.71708245</v>
      </c>
      <c r="BC2213" s="331">
        <f>SQRT(($R2213-Infrastructure!J$10)^2+($S2213-Infrastructure!K$10)^2)</f>
        <v>30.45997374</v>
      </c>
      <c r="BD2213" s="331">
        <f>SQRT(($R2213-Infrastructure!J$11)^2+($S2213-Infrastructure!K$11)^2)</f>
        <v>42.27114855</v>
      </c>
      <c r="BE2213" s="333">
        <f>SQRT(($R2213-Infrastructure!J$12)^2+($S2213-Infrastructure!K$12)^2)</f>
        <v>63.90782425</v>
      </c>
      <c r="BF2213" s="330">
        <f t="shared" si="161"/>
        <v>8.7</v>
      </c>
      <c r="BG2213" s="333">
        <f t="shared" si="162"/>
        <v>63.90782425</v>
      </c>
      <c r="BH2213" s="1119"/>
      <c r="BI2213" s="319" t="str">
        <f t="shared" ref="BI2213:BR2213" si="1280">IF(ISNUMBER(FIND(BI$3, $CO2213)), "Y", "")</f>
        <v/>
      </c>
      <c r="BJ2213" s="319" t="str">
        <f t="shared" si="1280"/>
        <v/>
      </c>
      <c r="BK2213" s="319" t="str">
        <f t="shared" si="1280"/>
        <v/>
      </c>
      <c r="BL2213" s="319" t="str">
        <f t="shared" si="1280"/>
        <v/>
      </c>
      <c r="BM2213" s="319" t="str">
        <f t="shared" si="1280"/>
        <v/>
      </c>
      <c r="BN2213" s="319" t="str">
        <f t="shared" si="1280"/>
        <v/>
      </c>
      <c r="BO2213" s="319" t="str">
        <f t="shared" si="1280"/>
        <v/>
      </c>
      <c r="BP2213" s="319" t="str">
        <f t="shared" si="1280"/>
        <v/>
      </c>
      <c r="BQ2213" s="319" t="str">
        <f t="shared" si="1280"/>
        <v/>
      </c>
      <c r="BR2213" s="319" t="str">
        <f t="shared" si="1280"/>
        <v/>
      </c>
      <c r="BS2213" s="330">
        <f t="shared" si="185"/>
        <v>0</v>
      </c>
      <c r="BT2213" s="331">
        <f t="shared" si="170"/>
        <v>0</v>
      </c>
      <c r="BU2213" s="920"/>
      <c r="BV2213" s="903" t="str">
        <f t="shared" si="1244"/>
        <v/>
      </c>
      <c r="BW2213" s="908"/>
      <c r="BX2213" s="908"/>
      <c r="BY2213" s="331" t="b">
        <f t="shared" si="201"/>
        <v>0</v>
      </c>
      <c r="BZ2213" s="331"/>
      <c r="CA2213" s="462" t="str">
        <f t="shared" ref="CA2213:CJ2213" si="1281">IF(ISNUMBER(FIND(BI$3, $CP2213)), "Y", "")</f>
        <v/>
      </c>
      <c r="CB2213" s="319" t="str">
        <f t="shared" si="1281"/>
        <v/>
      </c>
      <c r="CC2213" s="319" t="str">
        <f t="shared" si="1281"/>
        <v/>
      </c>
      <c r="CD2213" s="319" t="str">
        <f t="shared" si="1281"/>
        <v/>
      </c>
      <c r="CE2213" s="319" t="str">
        <f t="shared" si="1281"/>
        <v/>
      </c>
      <c r="CF2213" s="319" t="str">
        <f t="shared" si="1281"/>
        <v/>
      </c>
      <c r="CG2213" s="319" t="str">
        <f t="shared" si="1281"/>
        <v/>
      </c>
      <c r="CH2213" s="319" t="str">
        <f t="shared" si="1281"/>
        <v/>
      </c>
      <c r="CI2213" s="319" t="str">
        <f t="shared" si="1281"/>
        <v/>
      </c>
      <c r="CJ2213" s="319" t="str">
        <f t="shared" si="1281"/>
        <v/>
      </c>
      <c r="CK2213" s="342">
        <f t="shared" si="182"/>
        <v>0</v>
      </c>
      <c r="CL2213" s="333">
        <f t="shared" si="183"/>
        <v>0</v>
      </c>
      <c r="CM2213" s="1079"/>
      <c r="CN2213" s="1005" t="s">
        <v>3292</v>
      </c>
      <c r="CO2213" s="1005"/>
      <c r="CP2213" s="1005"/>
    </row>
    <row r="2214">
      <c r="A2214" s="266"/>
      <c r="B2214" s="1113" t="s">
        <v>3053</v>
      </c>
      <c r="C2214" s="1304">
        <v>45952.0</v>
      </c>
      <c r="D2214" s="1113" t="s">
        <v>986</v>
      </c>
      <c r="E2214" s="1108">
        <v>11.0</v>
      </c>
      <c r="F2214" s="112" t="s">
        <v>3293</v>
      </c>
      <c r="G2214" s="1110">
        <v>0.4152777777777778</v>
      </c>
      <c r="H2214" s="1110">
        <v>0.41597222222222224</v>
      </c>
      <c r="I2214" s="1110">
        <v>0.44809027777777777</v>
      </c>
      <c r="J2214" s="1111">
        <v>0.03211805555555555</v>
      </c>
      <c r="K2214" s="1111"/>
      <c r="L2214" s="1112"/>
      <c r="M2214" s="1113" t="s">
        <v>166</v>
      </c>
      <c r="N2214" s="110" t="s">
        <v>187</v>
      </c>
      <c r="O2214" s="1115" t="s">
        <v>205</v>
      </c>
      <c r="P2214" s="1115" t="s">
        <v>297</v>
      </c>
      <c r="Q2214" s="1116"/>
      <c r="R2214" s="120">
        <v>20.7</v>
      </c>
      <c r="S2214" s="1113">
        <v>-5.1</v>
      </c>
      <c r="T2214" s="110">
        <v>1.2</v>
      </c>
      <c r="U2214" s="1108"/>
      <c r="V2214" s="1108"/>
      <c r="W2214" s="1108">
        <v>0.0199767147422526</v>
      </c>
      <c r="X2214" s="1303">
        <v>0.0333</v>
      </c>
      <c r="Y2214" s="1108" t="s">
        <v>2246</v>
      </c>
      <c r="Z2214" s="1114" t="s">
        <v>370</v>
      </c>
      <c r="AA2214" s="1114">
        <v>36.5</v>
      </c>
      <c r="AB2214" s="1114" t="s">
        <v>380</v>
      </c>
      <c r="AC2214" s="1117">
        <v>4.0</v>
      </c>
      <c r="AD2214" s="1115" t="s">
        <v>1949</v>
      </c>
      <c r="AE2214" s="1115"/>
      <c r="AF2214" s="1115">
        <v>0.15</v>
      </c>
      <c r="AG2214" s="1115">
        <v>0.84</v>
      </c>
      <c r="AH2214" s="1115" t="s">
        <v>323</v>
      </c>
      <c r="AI2214" s="1115">
        <v>66.7</v>
      </c>
      <c r="AJ2214" s="1117">
        <v>1.7</v>
      </c>
      <c r="AK2214" s="1118"/>
      <c r="AL2214" s="1115">
        <v>1.7</v>
      </c>
      <c r="AM2214" s="1115"/>
      <c r="AN2214" s="1115"/>
      <c r="AO2214" s="1115"/>
      <c r="AP2214" s="1115"/>
      <c r="AQ2214" s="1115"/>
      <c r="AR2214" s="1115"/>
      <c r="AS2214" s="1117"/>
      <c r="AT2214" s="1196" t="str">
        <f t="shared" si="428"/>
        <v/>
      </c>
      <c r="AU2214" s="1193"/>
      <c r="AV2214" s="330">
        <f>SQRT(($R2214-Infrastructure!J$3)^2+($S2214-Infrastructure!K$3)^2)</f>
        <v>39.96248241</v>
      </c>
      <c r="AW2214" s="331">
        <f>SQRT(($R2214-Infrastructure!J$4)^2+($S2214-Infrastructure!K$4)^2)</f>
        <v>31.07104762</v>
      </c>
      <c r="AX2214" s="331">
        <f>SQRT(($R2214-Infrastructure!J$5)^2+($S2214-Infrastructure!K$5)^2)</f>
        <v>23.34609175</v>
      </c>
      <c r="AY2214" s="331">
        <f>SQRT(($R2214-Infrastructure!J$6)^2+($S2214-Infrastructure!K$6)^2)</f>
        <v>11.89621789</v>
      </c>
      <c r="AZ2214" s="331">
        <f>SQRT(($R2214-Infrastructure!J$7)^2+($S2214-Infrastructure!K$7)^2)</f>
        <v>5.403702434</v>
      </c>
      <c r="BA2214" s="331">
        <f>SQRT(($R2214-Infrastructure!J$8)^2+($S2214-Infrastructure!K$8)^2)</f>
        <v>10.84066419</v>
      </c>
      <c r="BB2214" s="331">
        <f>SQRT(($R2214-Infrastructure!J$9)^2+($S2214-Infrastructure!K$9)^2)</f>
        <v>21.82956711</v>
      </c>
      <c r="BC2214" s="331">
        <f>SQRT(($R2214-Infrastructure!J$10)^2+($S2214-Infrastructure!K$10)^2)</f>
        <v>27.86574959</v>
      </c>
      <c r="BD2214" s="331">
        <f>SQRT(($R2214-Infrastructure!J$11)^2+($S2214-Infrastructure!K$11)^2)</f>
        <v>39.2818024</v>
      </c>
      <c r="BE2214" s="333">
        <f>SQRT(($R2214-Infrastructure!J$12)^2+($S2214-Infrastructure!K$12)^2)</f>
        <v>60.6052803</v>
      </c>
      <c r="BF2214" s="330">
        <f t="shared" si="161"/>
        <v>5.403702434</v>
      </c>
      <c r="BG2214" s="333">
        <f t="shared" si="162"/>
        <v>60.6052803</v>
      </c>
      <c r="BH2214" s="1119"/>
      <c r="BI2214" s="319" t="str">
        <f t="shared" ref="BI2214:BR2214" si="1282">IF(ISNUMBER(FIND(BI$3, $CO2214)), "Y", "")</f>
        <v/>
      </c>
      <c r="BJ2214" s="319" t="str">
        <f t="shared" si="1282"/>
        <v/>
      </c>
      <c r="BK2214" s="319" t="str">
        <f t="shared" si="1282"/>
        <v/>
      </c>
      <c r="BL2214" s="319" t="str">
        <f t="shared" si="1282"/>
        <v/>
      </c>
      <c r="BM2214" s="319" t="str">
        <f t="shared" si="1282"/>
        <v/>
      </c>
      <c r="BN2214" s="319" t="str">
        <f t="shared" si="1282"/>
        <v/>
      </c>
      <c r="BO2214" s="319" t="str">
        <f t="shared" si="1282"/>
        <v/>
      </c>
      <c r="BP2214" s="319" t="str">
        <f t="shared" si="1282"/>
        <v/>
      </c>
      <c r="BQ2214" s="319" t="str">
        <f t="shared" si="1282"/>
        <v/>
      </c>
      <c r="BR2214" s="319" t="str">
        <f t="shared" si="1282"/>
        <v/>
      </c>
      <c r="BS2214" s="330">
        <f t="shared" si="185"/>
        <v>0</v>
      </c>
      <c r="BT2214" s="331">
        <f t="shared" si="170"/>
        <v>0</v>
      </c>
      <c r="BU2214" s="920"/>
      <c r="BV2214" s="903" t="str">
        <f t="shared" si="1244"/>
        <v/>
      </c>
      <c r="BW2214" s="908"/>
      <c r="BX2214" s="908"/>
      <c r="BY2214" s="331" t="b">
        <f t="shared" si="201"/>
        <v>0</v>
      </c>
      <c r="BZ2214" s="331"/>
      <c r="CA2214" s="462" t="str">
        <f t="shared" ref="CA2214:CJ2214" si="1283">IF(ISNUMBER(FIND(BI$3, $CP2214)), "Y", "")</f>
        <v/>
      </c>
      <c r="CB2214" s="319" t="str">
        <f t="shared" si="1283"/>
        <v/>
      </c>
      <c r="CC2214" s="319" t="str">
        <f t="shared" si="1283"/>
        <v/>
      </c>
      <c r="CD2214" s="319" t="str">
        <f t="shared" si="1283"/>
        <v/>
      </c>
      <c r="CE2214" s="319" t="str">
        <f t="shared" si="1283"/>
        <v/>
      </c>
      <c r="CF2214" s="319" t="str">
        <f t="shared" si="1283"/>
        <v/>
      </c>
      <c r="CG2214" s="319" t="str">
        <f t="shared" si="1283"/>
        <v/>
      </c>
      <c r="CH2214" s="319" t="str">
        <f t="shared" si="1283"/>
        <v/>
      </c>
      <c r="CI2214" s="319" t="str">
        <f t="shared" si="1283"/>
        <v/>
      </c>
      <c r="CJ2214" s="319" t="str">
        <f t="shared" si="1283"/>
        <v/>
      </c>
      <c r="CK2214" s="342">
        <f t="shared" si="182"/>
        <v>0</v>
      </c>
      <c r="CL2214" s="333">
        <f t="shared" si="183"/>
        <v>0</v>
      </c>
      <c r="CM2214" s="1079"/>
      <c r="CN2214" s="1005" t="s">
        <v>3292</v>
      </c>
      <c r="CO2214" s="1005"/>
      <c r="CP2214" s="1005"/>
    </row>
    <row r="2215">
      <c r="A2215" s="266"/>
      <c r="B2215" s="1113" t="s">
        <v>3053</v>
      </c>
      <c r="C2215" s="1304">
        <v>45952.0</v>
      </c>
      <c r="D2215" s="1113" t="s">
        <v>986</v>
      </c>
      <c r="E2215" s="1108">
        <v>12.0</v>
      </c>
      <c r="F2215" s="112" t="s">
        <v>3294</v>
      </c>
      <c r="G2215" s="1110">
        <v>0.4583333333333333</v>
      </c>
      <c r="H2215" s="1110">
        <v>0.45850694444444445</v>
      </c>
      <c r="I2215" s="1110">
        <v>0.4903356481481482</v>
      </c>
      <c r="J2215" s="1111">
        <v>0.031828703703703706</v>
      </c>
      <c r="K2215" s="1111"/>
      <c r="L2215" s="1112"/>
      <c r="M2215" s="1113" t="s">
        <v>166</v>
      </c>
      <c r="N2215" s="110" t="s">
        <v>187</v>
      </c>
      <c r="O2215" s="1115" t="s">
        <v>207</v>
      </c>
      <c r="P2215" s="1115" t="s">
        <v>290</v>
      </c>
      <c r="Q2215" s="1116"/>
      <c r="R2215" s="120">
        <v>26.1</v>
      </c>
      <c r="S2215" s="1113">
        <v>-14.3</v>
      </c>
      <c r="T2215" s="110">
        <v>1.47</v>
      </c>
      <c r="U2215" s="1108"/>
      <c r="V2215" s="1108"/>
      <c r="W2215" s="1108">
        <v>0.0130686283072606</v>
      </c>
      <c r="X2215" s="1303">
        <v>0.0261</v>
      </c>
      <c r="Y2215" s="1108" t="s">
        <v>2244</v>
      </c>
      <c r="Z2215" s="1114" t="s">
        <v>374</v>
      </c>
      <c r="AA2215" s="1114">
        <v>30.7</v>
      </c>
      <c r="AB2215" s="1114" t="s">
        <v>375</v>
      </c>
      <c r="AC2215" s="1117">
        <v>2.7</v>
      </c>
      <c r="AD2215" s="1115" t="s">
        <v>1949</v>
      </c>
      <c r="AE2215" s="1115" t="s">
        <v>3295</v>
      </c>
      <c r="AF2215" s="1115">
        <v>0.19</v>
      </c>
      <c r="AG2215" s="1115">
        <v>0.7</v>
      </c>
      <c r="AH2215" s="1115" t="s">
        <v>323</v>
      </c>
      <c r="AI2215" s="1115">
        <v>122.0</v>
      </c>
      <c r="AJ2215" s="1117">
        <v>1.38</v>
      </c>
      <c r="AK2215" s="1118"/>
      <c r="AL2215" s="1115">
        <v>1.38</v>
      </c>
      <c r="AM2215" s="1115"/>
      <c r="AN2215" s="1115"/>
      <c r="AO2215" s="1115"/>
      <c r="AP2215" s="1115"/>
      <c r="AQ2215" s="1115"/>
      <c r="AR2215" s="1115"/>
      <c r="AS2215" s="1117"/>
      <c r="AT2215" s="1196" t="str">
        <f t="shared" si="428"/>
        <v/>
      </c>
      <c r="AU2215" s="1193"/>
      <c r="AV2215" s="330">
        <f>SQRT(($R2215-Infrastructure!J$3)^2+($S2215-Infrastructure!K$3)^2)</f>
        <v>50.62805546</v>
      </c>
      <c r="AW2215" s="331">
        <f>SQRT(($R2215-Infrastructure!J$4)^2+($S2215-Infrastructure!K$4)^2)</f>
        <v>41.56164097</v>
      </c>
      <c r="AX2215" s="331">
        <f>SQRT(($R2215-Infrastructure!J$5)^2+($S2215-Infrastructure!K$5)^2)</f>
        <v>32.76156284</v>
      </c>
      <c r="AY2215" s="331">
        <f>SQRT(($R2215-Infrastructure!J$6)^2+($S2215-Infrastructure!K$6)^2)</f>
        <v>21.66010157</v>
      </c>
      <c r="AZ2215" s="331">
        <f>SQRT(($R2215-Infrastructure!J$7)^2+($S2215-Infrastructure!K$7)^2)</f>
        <v>15.63713529</v>
      </c>
      <c r="BA2215" s="331">
        <f>SQRT(($R2215-Infrastructure!J$8)^2+($S2215-Infrastructure!K$8)^2)</f>
        <v>15.13803158</v>
      </c>
      <c r="BB2215" s="331">
        <f>SQRT(($R2215-Infrastructure!J$9)^2+($S2215-Infrastructure!K$9)^2)</f>
        <v>23.86566571</v>
      </c>
      <c r="BC2215" s="331">
        <f>SQRT(($R2215-Infrastructure!J$10)^2+($S2215-Infrastructure!K$10)^2)</f>
        <v>32.42992445</v>
      </c>
      <c r="BD2215" s="331">
        <f>SQRT(($R2215-Infrastructure!J$11)^2+($S2215-Infrastructure!K$11)^2)</f>
        <v>45.53789631</v>
      </c>
      <c r="BE2215" s="333">
        <f>SQRT(($R2215-Infrastructure!J$12)^2+($S2215-Infrastructure!K$12)^2)</f>
        <v>69.95141171</v>
      </c>
      <c r="BF2215" s="330">
        <f t="shared" si="161"/>
        <v>15.13803158</v>
      </c>
      <c r="BG2215" s="333">
        <f t="shared" si="162"/>
        <v>69.95141171</v>
      </c>
      <c r="BH2215" s="1119"/>
      <c r="BI2215" s="319" t="str">
        <f t="shared" ref="BI2215:BR2215" si="1284">IF(ISNUMBER(FIND(BI$3, $CO2215)), "Y", "")</f>
        <v/>
      </c>
      <c r="BJ2215" s="319" t="str">
        <f t="shared" si="1284"/>
        <v/>
      </c>
      <c r="BK2215" s="319" t="str">
        <f t="shared" si="1284"/>
        <v/>
      </c>
      <c r="BL2215" s="319" t="str">
        <f t="shared" si="1284"/>
        <v/>
      </c>
      <c r="BM2215" s="319" t="str">
        <f t="shared" si="1284"/>
        <v/>
      </c>
      <c r="BN2215" s="319" t="str">
        <f t="shared" si="1284"/>
        <v/>
      </c>
      <c r="BO2215" s="319" t="str">
        <f t="shared" si="1284"/>
        <v/>
      </c>
      <c r="BP2215" s="319" t="str">
        <f t="shared" si="1284"/>
        <v/>
      </c>
      <c r="BQ2215" s="319" t="str">
        <f t="shared" si="1284"/>
        <v/>
      </c>
      <c r="BR2215" s="319" t="str">
        <f t="shared" si="1284"/>
        <v/>
      </c>
      <c r="BS2215" s="330">
        <f t="shared" si="185"/>
        <v>0</v>
      </c>
      <c r="BT2215" s="331">
        <f t="shared" si="170"/>
        <v>0</v>
      </c>
      <c r="BU2215" s="920"/>
      <c r="BV2215" s="903" t="str">
        <f t="shared" si="1244"/>
        <v/>
      </c>
      <c r="BW2215" s="908"/>
      <c r="BX2215" s="908"/>
      <c r="BY2215" s="331" t="b">
        <f t="shared" si="201"/>
        <v>0</v>
      </c>
      <c r="BZ2215" s="331"/>
      <c r="CA2215" s="462" t="str">
        <f t="shared" ref="CA2215:CJ2215" si="1285">IF(ISNUMBER(FIND(BI$3, $CP2215)), "Y", "")</f>
        <v/>
      </c>
      <c r="CB2215" s="319" t="str">
        <f t="shared" si="1285"/>
        <v/>
      </c>
      <c r="CC2215" s="319" t="str">
        <f t="shared" si="1285"/>
        <v/>
      </c>
      <c r="CD2215" s="319" t="str">
        <f t="shared" si="1285"/>
        <v/>
      </c>
      <c r="CE2215" s="319" t="str">
        <f t="shared" si="1285"/>
        <v/>
      </c>
      <c r="CF2215" s="319" t="str">
        <f t="shared" si="1285"/>
        <v/>
      </c>
      <c r="CG2215" s="319" t="str">
        <f t="shared" si="1285"/>
        <v/>
      </c>
      <c r="CH2215" s="319" t="str">
        <f t="shared" si="1285"/>
        <v/>
      </c>
      <c r="CI2215" s="319" t="str">
        <f t="shared" si="1285"/>
        <v/>
      </c>
      <c r="CJ2215" s="319" t="str">
        <f t="shared" si="1285"/>
        <v/>
      </c>
      <c r="CK2215" s="342">
        <f t="shared" si="182"/>
        <v>0</v>
      </c>
      <c r="CL2215" s="333">
        <f t="shared" si="183"/>
        <v>0</v>
      </c>
      <c r="CM2215" s="1079"/>
      <c r="CN2215" s="1005" t="s">
        <v>3292</v>
      </c>
      <c r="CO2215" s="1005"/>
      <c r="CP2215" s="1005"/>
    </row>
    <row r="2216">
      <c r="A2216" s="266"/>
      <c r="B2216" s="1113" t="s">
        <v>3053</v>
      </c>
      <c r="C2216" s="1304">
        <v>45952.0</v>
      </c>
      <c r="D2216" s="1113" t="s">
        <v>986</v>
      </c>
      <c r="E2216" s="1108">
        <v>13.0</v>
      </c>
      <c r="F2216" s="112" t="s">
        <v>3296</v>
      </c>
      <c r="G2216" s="1110">
        <v>0.4986111111111111</v>
      </c>
      <c r="H2216" s="1110">
        <v>0.49895833333333334</v>
      </c>
      <c r="I2216" s="1110">
        <v>0.5315972222222223</v>
      </c>
      <c r="J2216" s="1111">
        <v>0.03263888888888889</v>
      </c>
      <c r="K2216" s="1111"/>
      <c r="L2216" s="1112"/>
      <c r="M2216" s="1113" t="s">
        <v>166</v>
      </c>
      <c r="N2216" s="110" t="s">
        <v>187</v>
      </c>
      <c r="O2216" s="1115" t="s">
        <v>203</v>
      </c>
      <c r="P2216" s="1115" t="s">
        <v>252</v>
      </c>
      <c r="Q2216" s="1116"/>
      <c r="R2216" s="120">
        <v>15.1</v>
      </c>
      <c r="S2216" s="1113">
        <v>-2.4</v>
      </c>
      <c r="T2216" s="110">
        <v>1.2</v>
      </c>
      <c r="U2216" s="1108"/>
      <c r="V2216" s="1108"/>
      <c r="W2216" s="1108">
        <v>0.0151297304499976</v>
      </c>
      <c r="X2216" s="1303">
        <v>0.0121</v>
      </c>
      <c r="Y2216" s="1108" t="s">
        <v>2244</v>
      </c>
      <c r="Z2216" s="1114" t="s">
        <v>357</v>
      </c>
      <c r="AA2216" s="1114">
        <v>56.0</v>
      </c>
      <c r="AB2216" s="1114" t="s">
        <v>384</v>
      </c>
      <c r="AC2216" s="1117">
        <v>6.0</v>
      </c>
      <c r="AD2216" s="1115" t="s">
        <v>1949</v>
      </c>
      <c r="AE2216" s="1115"/>
      <c r="AF2216" s="1115">
        <v>0.21</v>
      </c>
      <c r="AG2216" s="1115">
        <v>1.75</v>
      </c>
      <c r="AH2216" s="1115" t="s">
        <v>323</v>
      </c>
      <c r="AI2216" s="1115">
        <v>61.8</v>
      </c>
      <c r="AJ2216" s="1117">
        <v>3.56</v>
      </c>
      <c r="AK2216" s="1118"/>
      <c r="AL2216" s="1115">
        <v>3.56</v>
      </c>
      <c r="AM2216" s="1115"/>
      <c r="AN2216" s="1115"/>
      <c r="AO2216" s="1115"/>
      <c r="AP2216" s="1115"/>
      <c r="AQ2216" s="1115"/>
      <c r="AR2216" s="1115"/>
      <c r="AS2216" s="1117"/>
      <c r="AT2216" s="1196" t="str">
        <f t="shared" si="428"/>
        <v/>
      </c>
      <c r="AU2216" s="1193"/>
      <c r="AV2216" s="330">
        <f>SQRT(($R2216-Infrastructure!J$3)^2+($S2216-Infrastructure!K$3)^2)</f>
        <v>34.88337713</v>
      </c>
      <c r="AW2216" s="331">
        <f>SQRT(($R2216-Infrastructure!J$4)^2+($S2216-Infrastructure!K$4)^2)</f>
        <v>25.40078739</v>
      </c>
      <c r="AX2216" s="331">
        <f>SQRT(($R2216-Infrastructure!J$5)^2+($S2216-Infrastructure!K$5)^2)</f>
        <v>17.12921481</v>
      </c>
      <c r="AY2216" s="331">
        <f>SQRT(($R2216-Infrastructure!J$6)^2+($S2216-Infrastructure!K$6)^2)</f>
        <v>5.682429058</v>
      </c>
      <c r="AZ2216" s="331">
        <f>SQRT(($R2216-Infrastructure!J$7)^2+($S2216-Infrastructure!K$7)^2)</f>
        <v>6.037383539</v>
      </c>
      <c r="BA2216" s="331">
        <f>SQRT(($R2216-Infrastructure!J$8)^2+($S2216-Infrastructure!K$8)^2)</f>
        <v>15.24106296</v>
      </c>
      <c r="BB2216" s="331">
        <f>SQRT(($R2216-Infrastructure!J$9)^2+($S2216-Infrastructure!K$9)^2)</f>
        <v>26.00499952</v>
      </c>
      <c r="BC2216" s="331">
        <f>SQRT(($R2216-Infrastructure!J$10)^2+($S2216-Infrastructure!K$10)^2)</f>
        <v>30.37712955</v>
      </c>
      <c r="BD2216" s="331">
        <f>SQRT(($R2216-Infrastructure!J$11)^2+($S2216-Infrastructure!K$11)^2)</f>
        <v>40.19912934</v>
      </c>
      <c r="BE2216" s="333">
        <f>SQRT(($R2216-Infrastructure!J$12)^2+($S2216-Infrastructure!K$12)^2)</f>
        <v>58.25263943</v>
      </c>
      <c r="BF2216" s="330">
        <f t="shared" si="161"/>
        <v>5.682429058</v>
      </c>
      <c r="BG2216" s="333">
        <f t="shared" si="162"/>
        <v>58.25263943</v>
      </c>
      <c r="BH2216" s="1119"/>
      <c r="BI2216" s="319" t="str">
        <f t="shared" ref="BI2216:BR2216" si="1286">IF(ISNUMBER(FIND(BI$3, $CO2216)), "Y", "")</f>
        <v/>
      </c>
      <c r="BJ2216" s="319" t="str">
        <f t="shared" si="1286"/>
        <v/>
      </c>
      <c r="BK2216" s="319" t="str">
        <f t="shared" si="1286"/>
        <v/>
      </c>
      <c r="BL2216" s="319" t="str">
        <f t="shared" si="1286"/>
        <v/>
      </c>
      <c r="BM2216" s="319" t="str">
        <f t="shared" si="1286"/>
        <v/>
      </c>
      <c r="BN2216" s="319" t="str">
        <f t="shared" si="1286"/>
        <v/>
      </c>
      <c r="BO2216" s="319" t="str">
        <f t="shared" si="1286"/>
        <v/>
      </c>
      <c r="BP2216" s="319" t="str">
        <f t="shared" si="1286"/>
        <v/>
      </c>
      <c r="BQ2216" s="319" t="str">
        <f t="shared" si="1286"/>
        <v/>
      </c>
      <c r="BR2216" s="319" t="str">
        <f t="shared" si="1286"/>
        <v/>
      </c>
      <c r="BS2216" s="330">
        <f t="shared" si="185"/>
        <v>0</v>
      </c>
      <c r="BT2216" s="331">
        <f t="shared" si="170"/>
        <v>0</v>
      </c>
      <c r="BU2216" s="920"/>
      <c r="BV2216" s="903" t="str">
        <f t="shared" si="1244"/>
        <v/>
      </c>
      <c r="BW2216" s="908"/>
      <c r="BX2216" s="908"/>
      <c r="BY2216" s="331" t="b">
        <f t="shared" si="201"/>
        <v>0</v>
      </c>
      <c r="BZ2216" s="331"/>
      <c r="CA2216" s="462" t="str">
        <f t="shared" ref="CA2216:CJ2216" si="1287">IF(ISNUMBER(FIND(BI$3, $CP2216)), "Y", "")</f>
        <v/>
      </c>
      <c r="CB2216" s="319" t="str">
        <f t="shared" si="1287"/>
        <v/>
      </c>
      <c r="CC2216" s="319" t="str">
        <f t="shared" si="1287"/>
        <v/>
      </c>
      <c r="CD2216" s="319" t="str">
        <f t="shared" si="1287"/>
        <v/>
      </c>
      <c r="CE2216" s="319" t="str">
        <f t="shared" si="1287"/>
        <v/>
      </c>
      <c r="CF2216" s="319" t="str">
        <f t="shared" si="1287"/>
        <v/>
      </c>
      <c r="CG2216" s="319" t="str">
        <f t="shared" si="1287"/>
        <v/>
      </c>
      <c r="CH2216" s="319" t="str">
        <f t="shared" si="1287"/>
        <v/>
      </c>
      <c r="CI2216" s="319" t="str">
        <f t="shared" si="1287"/>
        <v/>
      </c>
      <c r="CJ2216" s="319" t="str">
        <f t="shared" si="1287"/>
        <v/>
      </c>
      <c r="CK2216" s="342">
        <f t="shared" si="182"/>
        <v>0</v>
      </c>
      <c r="CL2216" s="333">
        <f t="shared" si="183"/>
        <v>0</v>
      </c>
      <c r="CM2216" s="1079"/>
      <c r="CN2216" s="1005" t="s">
        <v>3292</v>
      </c>
      <c r="CO2216" s="1005"/>
      <c r="CP2216" s="1005"/>
    </row>
    <row r="2217">
      <c r="A2217" s="266"/>
      <c r="B2217" s="1113" t="s">
        <v>3053</v>
      </c>
      <c r="C2217" s="1304">
        <v>45952.0</v>
      </c>
      <c r="D2217" s="1113" t="s">
        <v>986</v>
      </c>
      <c r="E2217" s="1108">
        <v>14.0</v>
      </c>
      <c r="F2217" s="112" t="s">
        <v>3297</v>
      </c>
      <c r="G2217" s="1110">
        <v>0.5440972222222222</v>
      </c>
      <c r="H2217" s="1110">
        <v>0.5444444444444444</v>
      </c>
      <c r="I2217" s="1110">
        <v>0.5763888888888888</v>
      </c>
      <c r="J2217" s="1111">
        <v>0.03194444444444444</v>
      </c>
      <c r="K2217" s="1111"/>
      <c r="L2217" s="1112"/>
      <c r="M2217" s="1113" t="s">
        <v>173</v>
      </c>
      <c r="N2217" s="110" t="s">
        <v>187</v>
      </c>
      <c r="O2217" s="1115" t="s">
        <v>206</v>
      </c>
      <c r="P2217" s="1115" t="s">
        <v>282</v>
      </c>
      <c r="Q2217" s="1116"/>
      <c r="R2217" s="120">
        <v>20.5</v>
      </c>
      <c r="S2217" s="1113">
        <v>-8.4</v>
      </c>
      <c r="T2217" s="110">
        <v>0.09</v>
      </c>
      <c r="U2217" s="1108"/>
      <c r="V2217" s="1108"/>
      <c r="W2217" s="1108">
        <v>0.019747874185002</v>
      </c>
      <c r="X2217" s="1303">
        <v>0.0494</v>
      </c>
      <c r="Y2217" s="1108" t="s">
        <v>2246</v>
      </c>
      <c r="Z2217" s="1114" t="s">
        <v>347</v>
      </c>
      <c r="AA2217" s="1114">
        <v>24.5</v>
      </c>
      <c r="AB2217" s="1114" t="s">
        <v>3268</v>
      </c>
      <c r="AC2217" s="1117">
        <v>10.0</v>
      </c>
      <c r="AD2217" s="1115" t="s">
        <v>1949</v>
      </c>
      <c r="AE2217" s="1115" t="s">
        <v>3298</v>
      </c>
      <c r="AF2217" s="1115">
        <v>0.04</v>
      </c>
      <c r="AG2217" s="1115">
        <v>0.2</v>
      </c>
      <c r="AH2217" s="1115" t="s">
        <v>323</v>
      </c>
      <c r="AI2217" s="1115">
        <v>2.6</v>
      </c>
      <c r="AJ2217" s="1117">
        <v>1.12</v>
      </c>
      <c r="AK2217" s="1118"/>
      <c r="AL2217" s="1115"/>
      <c r="AM2217" s="1115"/>
      <c r="AN2217" s="1115"/>
      <c r="AO2217" s="1115"/>
      <c r="AP2217" s="1115">
        <v>1.116</v>
      </c>
      <c r="AQ2217" s="1115"/>
      <c r="AR2217" s="1115"/>
      <c r="AS2217" s="1117"/>
      <c r="AT2217" s="1196" t="str">
        <f t="shared" si="428"/>
        <v/>
      </c>
      <c r="AU2217" s="1193"/>
      <c r="AV2217" s="330">
        <f>SQRT(($R2217-Infrastructure!J$3)^2+($S2217-Infrastructure!K$3)^2)</f>
        <v>42.70749349</v>
      </c>
      <c r="AW2217" s="331">
        <f>SQRT(($R2217-Infrastructure!J$4)^2+($S2217-Infrastructure!K$4)^2)</f>
        <v>33.45265311</v>
      </c>
      <c r="AX2217" s="331">
        <f>SQRT(($R2217-Infrastructure!J$5)^2+($S2217-Infrastructure!K$5)^2)</f>
        <v>24.79697562</v>
      </c>
      <c r="AY2217" s="331">
        <f>SQRT(($R2217-Infrastructure!J$6)^2+($S2217-Infrastructure!K$6)^2)</f>
        <v>13.55912977</v>
      </c>
      <c r="AZ2217" s="331">
        <f>SQRT(($R2217-Infrastructure!J$7)^2+($S2217-Infrastructure!K$7)^2)</f>
        <v>8.7</v>
      </c>
      <c r="BA2217" s="331">
        <f>SQRT(($R2217-Infrastructure!J$8)^2+($S2217-Infrastructure!K$8)^2)</f>
        <v>12.95569373</v>
      </c>
      <c r="BB2217" s="331">
        <f>SQRT(($R2217-Infrastructure!J$9)^2+($S2217-Infrastructure!K$9)^2)</f>
        <v>23.71708245</v>
      </c>
      <c r="BC2217" s="331">
        <f>SQRT(($R2217-Infrastructure!J$10)^2+($S2217-Infrastructure!K$10)^2)</f>
        <v>30.45997374</v>
      </c>
      <c r="BD2217" s="331">
        <f>SQRT(($R2217-Infrastructure!J$11)^2+($S2217-Infrastructure!K$11)^2)</f>
        <v>42.27114855</v>
      </c>
      <c r="BE2217" s="333">
        <f>SQRT(($R2217-Infrastructure!J$12)^2+($S2217-Infrastructure!K$12)^2)</f>
        <v>63.90782425</v>
      </c>
      <c r="BF2217" s="330">
        <f t="shared" si="161"/>
        <v>8.7</v>
      </c>
      <c r="BG2217" s="333">
        <f t="shared" si="162"/>
        <v>63.90782425</v>
      </c>
      <c r="BH2217" s="1119"/>
      <c r="BI2217" s="319" t="str">
        <f t="shared" ref="BI2217:BR2217" si="1288">IF(ISNUMBER(FIND(BI$3, $CO2217)), "Y", "")</f>
        <v/>
      </c>
      <c r="BJ2217" s="319" t="str">
        <f t="shared" si="1288"/>
        <v/>
      </c>
      <c r="BK2217" s="319" t="str">
        <f t="shared" si="1288"/>
        <v/>
      </c>
      <c r="BL2217" s="319" t="str">
        <f t="shared" si="1288"/>
        <v/>
      </c>
      <c r="BM2217" s="319" t="str">
        <f t="shared" si="1288"/>
        <v/>
      </c>
      <c r="BN2217" s="319" t="str">
        <f t="shared" si="1288"/>
        <v/>
      </c>
      <c r="BO2217" s="319" t="str">
        <f t="shared" si="1288"/>
        <v/>
      </c>
      <c r="BP2217" s="319" t="str">
        <f t="shared" si="1288"/>
        <v/>
      </c>
      <c r="BQ2217" s="319" t="str">
        <f t="shared" si="1288"/>
        <v/>
      </c>
      <c r="BR2217" s="319" t="str">
        <f t="shared" si="1288"/>
        <v/>
      </c>
      <c r="BS2217" s="330">
        <f t="shared" si="185"/>
        <v>0</v>
      </c>
      <c r="BT2217" s="331">
        <f t="shared" si="170"/>
        <v>0</v>
      </c>
      <c r="BU2217" s="920"/>
      <c r="BV2217" s="903" t="str">
        <f t="shared" si="1244"/>
        <v/>
      </c>
      <c r="BW2217" s="908"/>
      <c r="BX2217" s="908"/>
      <c r="BY2217" s="331" t="b">
        <f t="shared" si="201"/>
        <v>0</v>
      </c>
      <c r="BZ2217" s="331"/>
      <c r="CA2217" s="462" t="str">
        <f t="shared" ref="CA2217:CJ2217" si="1289">IF(ISNUMBER(FIND(BI$3, $CP2217)), "Y", "")</f>
        <v/>
      </c>
      <c r="CB2217" s="319" t="str">
        <f t="shared" si="1289"/>
        <v/>
      </c>
      <c r="CC2217" s="319" t="str">
        <f t="shared" si="1289"/>
        <v/>
      </c>
      <c r="CD2217" s="319" t="str">
        <f t="shared" si="1289"/>
        <v/>
      </c>
      <c r="CE2217" s="319" t="str">
        <f t="shared" si="1289"/>
        <v/>
      </c>
      <c r="CF2217" s="319" t="str">
        <f t="shared" si="1289"/>
        <v/>
      </c>
      <c r="CG2217" s="319" t="str">
        <f t="shared" si="1289"/>
        <v/>
      </c>
      <c r="CH2217" s="319" t="str">
        <f t="shared" si="1289"/>
        <v/>
      </c>
      <c r="CI2217" s="319" t="str">
        <f t="shared" si="1289"/>
        <v/>
      </c>
      <c r="CJ2217" s="319" t="str">
        <f t="shared" si="1289"/>
        <v/>
      </c>
      <c r="CK2217" s="342">
        <f t="shared" si="182"/>
        <v>0</v>
      </c>
      <c r="CL2217" s="333">
        <f t="shared" si="183"/>
        <v>0</v>
      </c>
      <c r="CM2217" s="1079"/>
      <c r="CN2217" s="1005" t="s">
        <v>3299</v>
      </c>
      <c r="CO2217" s="1005"/>
      <c r="CP2217" s="1005"/>
    </row>
    <row r="2218">
      <c r="A2218" s="266"/>
      <c r="B2218" s="1113" t="s">
        <v>3053</v>
      </c>
      <c r="C2218" s="1304">
        <v>45952.0</v>
      </c>
      <c r="D2218" s="1113" t="s">
        <v>986</v>
      </c>
      <c r="E2218" s="1108" t="s">
        <v>1857</v>
      </c>
      <c r="F2218" s="112" t="s">
        <v>3300</v>
      </c>
      <c r="G2218" s="1110">
        <v>0.5882523148148148</v>
      </c>
      <c r="H2218" s="1110">
        <v>0.5886574074074075</v>
      </c>
      <c r="I2218" s="1110">
        <v>0.6225694444444444</v>
      </c>
      <c r="J2218" s="1111">
        <v>0.03391203703703704</v>
      </c>
      <c r="K2218" s="1111"/>
      <c r="L2218" s="1112"/>
      <c r="M2218" s="1113" t="s">
        <v>166</v>
      </c>
      <c r="N2218" s="110" t="s">
        <v>187</v>
      </c>
      <c r="O2218" s="1115" t="s">
        <v>202</v>
      </c>
      <c r="P2218" s="1115" t="s">
        <v>284</v>
      </c>
      <c r="Q2218" s="1116"/>
      <c r="R2218" s="120">
        <v>24.4</v>
      </c>
      <c r="S2218" s="1113">
        <v>-7.5</v>
      </c>
      <c r="T2218" s="110">
        <v>0.57</v>
      </c>
      <c r="U2218" s="1108"/>
      <c r="V2218" s="1108"/>
      <c r="W2218" s="1108">
        <v>0.0130686283072606</v>
      </c>
      <c r="X2218" s="1303">
        <v>0.0261</v>
      </c>
      <c r="Y2218" s="1108" t="s">
        <v>2244</v>
      </c>
      <c r="Z2218" s="1114" t="s">
        <v>347</v>
      </c>
      <c r="AA2218" s="1114">
        <v>28.5</v>
      </c>
      <c r="AB2218" s="1114" t="s">
        <v>3301</v>
      </c>
      <c r="AC2218" s="1117">
        <v>4.0</v>
      </c>
      <c r="AD2218" s="1115" t="s">
        <v>1949</v>
      </c>
      <c r="AE2218" s="1115"/>
      <c r="AF2218" s="1115">
        <v>0.13</v>
      </c>
      <c r="AG2218" s="1115">
        <v>0.7</v>
      </c>
      <c r="AH2218" s="1115" t="s">
        <v>323</v>
      </c>
      <c r="AI2218" s="1115">
        <v>55.6</v>
      </c>
      <c r="AJ2218" s="1117">
        <v>1.48</v>
      </c>
      <c r="AK2218" s="1118"/>
      <c r="AL2218" s="1115">
        <v>1.48</v>
      </c>
      <c r="AM2218" s="1115"/>
      <c r="AN2218" s="1115"/>
      <c r="AO2218" s="1115"/>
      <c r="AP2218" s="1115"/>
      <c r="AQ2218" s="1115"/>
      <c r="AR2218" s="1115"/>
      <c r="AS2218" s="1117"/>
      <c r="AT2218" s="1196" t="str">
        <f t="shared" si="428"/>
        <v/>
      </c>
      <c r="AU2218" s="1193"/>
      <c r="AV2218" s="330">
        <f>SQRT(($R2218-Infrastructure!J$3)^2+($S2218-Infrastructure!K$3)^2)</f>
        <v>43.98920322</v>
      </c>
      <c r="AW2218" s="331">
        <f>SQRT(($R2218-Infrastructure!J$4)^2+($S2218-Infrastructure!K$4)^2)</f>
        <v>35.35788455</v>
      </c>
      <c r="AX2218" s="331">
        <f>SQRT(($R2218-Infrastructure!J$5)^2+($S2218-Infrastructure!K$5)^2)</f>
        <v>27.72814455</v>
      </c>
      <c r="AY2218" s="331">
        <f>SQRT(($R2218-Infrastructure!J$6)^2+($S2218-Infrastructure!K$6)^2)</f>
        <v>16.28895331</v>
      </c>
      <c r="AZ2218" s="331">
        <f>SQRT(($R2218-Infrastructure!J$7)^2+($S2218-Infrastructure!K$7)^2)</f>
        <v>8.720665112</v>
      </c>
      <c r="BA2218" s="331">
        <f>SQRT(($R2218-Infrastructure!J$8)^2+($S2218-Infrastructure!K$8)^2)</f>
        <v>9.660745313</v>
      </c>
      <c r="BB2218" s="331">
        <f>SQRT(($R2218-Infrastructure!J$9)^2+($S2218-Infrastructure!K$9)^2)</f>
        <v>20.05292996</v>
      </c>
      <c r="BC2218" s="331">
        <f>SQRT(($R2218-Infrastructure!J$10)^2+($S2218-Infrastructure!K$10)^2)</f>
        <v>27.37900656</v>
      </c>
      <c r="BD2218" s="331">
        <f>SQRT(($R2218-Infrastructure!J$11)^2+($S2218-Infrastructure!K$11)^2)</f>
        <v>39.77298078</v>
      </c>
      <c r="BE2218" s="333">
        <f>SQRT(($R2218-Infrastructure!J$12)^2+($S2218-Infrastructure!K$12)^2)</f>
        <v>63.06671071</v>
      </c>
      <c r="BF2218" s="330">
        <f t="shared" si="161"/>
        <v>8.720665112</v>
      </c>
      <c r="BG2218" s="333">
        <f t="shared" si="162"/>
        <v>63.06671071</v>
      </c>
      <c r="BH2218" s="1119"/>
      <c r="BI2218" s="319" t="str">
        <f t="shared" ref="BI2218:BR2218" si="1290">IF(ISNUMBER(FIND(BI$3, $CO2218)), "Y", "")</f>
        <v/>
      </c>
      <c r="BJ2218" s="319" t="str">
        <f t="shared" si="1290"/>
        <v/>
      </c>
      <c r="BK2218" s="319" t="str">
        <f t="shared" si="1290"/>
        <v/>
      </c>
      <c r="BL2218" s="319" t="str">
        <f t="shared" si="1290"/>
        <v/>
      </c>
      <c r="BM2218" s="319" t="str">
        <f t="shared" si="1290"/>
        <v/>
      </c>
      <c r="BN2218" s="319" t="str">
        <f t="shared" si="1290"/>
        <v/>
      </c>
      <c r="BO2218" s="319" t="str">
        <f t="shared" si="1290"/>
        <v/>
      </c>
      <c r="BP2218" s="319" t="str">
        <f t="shared" si="1290"/>
        <v/>
      </c>
      <c r="BQ2218" s="319" t="str">
        <f t="shared" si="1290"/>
        <v/>
      </c>
      <c r="BR2218" s="319" t="str">
        <f t="shared" si="1290"/>
        <v/>
      </c>
      <c r="BS2218" s="330">
        <f t="shared" si="185"/>
        <v>0</v>
      </c>
      <c r="BT2218" s="331">
        <f t="shared" si="170"/>
        <v>0</v>
      </c>
      <c r="BU2218" s="920"/>
      <c r="BV2218" s="903" t="str">
        <f t="shared" si="1244"/>
        <v/>
      </c>
      <c r="BW2218" s="908"/>
      <c r="BX2218" s="908"/>
      <c r="BY2218" s="331" t="b">
        <f t="shared" si="201"/>
        <v>0</v>
      </c>
      <c r="BZ2218" s="331"/>
      <c r="CA2218" s="462" t="str">
        <f t="shared" ref="CA2218:CJ2218" si="1291">IF(ISNUMBER(FIND(BI$3, $CP2218)), "Y", "")</f>
        <v/>
      </c>
      <c r="CB2218" s="319" t="str">
        <f t="shared" si="1291"/>
        <v/>
      </c>
      <c r="CC2218" s="319" t="str">
        <f t="shared" si="1291"/>
        <v/>
      </c>
      <c r="CD2218" s="319" t="str">
        <f t="shared" si="1291"/>
        <v/>
      </c>
      <c r="CE2218" s="319" t="str">
        <f t="shared" si="1291"/>
        <v/>
      </c>
      <c r="CF2218" s="319" t="str">
        <f t="shared" si="1291"/>
        <v/>
      </c>
      <c r="CG2218" s="319" t="str">
        <f t="shared" si="1291"/>
        <v/>
      </c>
      <c r="CH2218" s="319" t="str">
        <f t="shared" si="1291"/>
        <v/>
      </c>
      <c r="CI2218" s="319" t="str">
        <f t="shared" si="1291"/>
        <v/>
      </c>
      <c r="CJ2218" s="319" t="str">
        <f t="shared" si="1291"/>
        <v/>
      </c>
      <c r="CK2218" s="342">
        <f t="shared" si="182"/>
        <v>0</v>
      </c>
      <c r="CL2218" s="333">
        <f t="shared" si="183"/>
        <v>0</v>
      </c>
      <c r="CM2218" s="1079"/>
      <c r="CN2218" s="1005" t="s">
        <v>3299</v>
      </c>
      <c r="CO2218" s="1005"/>
      <c r="CP2218" s="1005"/>
    </row>
    <row r="2219">
      <c r="A2219" s="266"/>
      <c r="B2219" s="1113" t="s">
        <v>3053</v>
      </c>
      <c r="C2219" s="1304">
        <v>45952.0</v>
      </c>
      <c r="D2219" s="1113" t="s">
        <v>986</v>
      </c>
      <c r="E2219" s="1108" t="s">
        <v>1878</v>
      </c>
      <c r="F2219" s="112" t="s">
        <v>3302</v>
      </c>
      <c r="G2219" s="1110">
        <v>0.5883680555555556</v>
      </c>
      <c r="H2219" s="1110">
        <v>0.590625</v>
      </c>
      <c r="I2219" s="1110">
        <v>0.6225694444444444</v>
      </c>
      <c r="J2219" s="1111">
        <v>0.03194444444444444</v>
      </c>
      <c r="K2219" s="1111"/>
      <c r="L2219" s="1112"/>
      <c r="M2219" s="1113" t="s">
        <v>168</v>
      </c>
      <c r="N2219" s="110" t="s">
        <v>187</v>
      </c>
      <c r="O2219" s="1115" t="s">
        <v>2807</v>
      </c>
      <c r="P2219" s="1115" t="s">
        <v>278</v>
      </c>
      <c r="Q2219" s="1116"/>
      <c r="R2219" s="120">
        <v>4.1</v>
      </c>
      <c r="S2219" s="1113">
        <v>-6.8</v>
      </c>
      <c r="T2219" s="110">
        <v>0.55</v>
      </c>
      <c r="U2219" s="1108"/>
      <c r="V2219" s="1108"/>
      <c r="W2219" s="1108">
        <v>0.0232848505828718</v>
      </c>
      <c r="X2219" s="1303">
        <v>0.0116</v>
      </c>
      <c r="Y2219" s="1108" t="s">
        <v>2246</v>
      </c>
      <c r="Z2219" s="1114" t="s">
        <v>339</v>
      </c>
      <c r="AA2219" s="1114">
        <v>63.0</v>
      </c>
      <c r="AB2219" s="1114" t="s">
        <v>3268</v>
      </c>
      <c r="AC2219" s="1117">
        <v>10.0</v>
      </c>
      <c r="AD2219" s="1115" t="s">
        <v>1949</v>
      </c>
      <c r="AE2219" s="1115" t="s">
        <v>3303</v>
      </c>
      <c r="AF2219" s="1115">
        <v>0.2</v>
      </c>
      <c r="AG2219" s="1115">
        <v>1.02</v>
      </c>
      <c r="AH2219" s="1115" t="s">
        <v>323</v>
      </c>
      <c r="AI2219" s="1115">
        <v>13.0</v>
      </c>
      <c r="AJ2219" s="1117">
        <v>5.91</v>
      </c>
      <c r="AK2219" s="1118"/>
      <c r="AL2219" s="1115"/>
      <c r="AM2219" s="1115">
        <v>5.90999999999998</v>
      </c>
      <c r="AN2219" s="1115"/>
      <c r="AO2219" s="1115"/>
      <c r="AP2219" s="1115"/>
      <c r="AQ2219" s="1115"/>
      <c r="AR2219" s="1115"/>
      <c r="AS2219" s="1117"/>
      <c r="AT2219" s="1196" t="str">
        <f t="shared" si="428"/>
        <v/>
      </c>
      <c r="AU2219" s="1193"/>
      <c r="AV2219" s="330">
        <f>SQRT(($R2219-Infrastructure!J$3)^2+($S2219-Infrastructure!K$3)^2)</f>
        <v>35.97012649</v>
      </c>
      <c r="AW2219" s="331">
        <f>SQRT(($R2219-Infrastructure!J$4)^2+($S2219-Infrastructure!K$4)^2)</f>
        <v>24.99039816</v>
      </c>
      <c r="AX2219" s="331">
        <f>SQRT(($R2219-Infrastructure!J$5)^2+($S2219-Infrastructure!K$5)^2)</f>
        <v>12.68739532</v>
      </c>
      <c r="AY2219" s="331">
        <f>SQRT(($R2219-Infrastructure!J$6)^2+($S2219-Infrastructure!K$6)^2)</f>
        <v>9.29569793</v>
      </c>
      <c r="AZ2219" s="331">
        <f>SQRT(($R2219-Infrastructure!J$7)^2+($S2219-Infrastructure!K$7)^2)</f>
        <v>17.87092611</v>
      </c>
      <c r="BA2219" s="331">
        <f>SQRT(($R2219-Infrastructure!J$8)^2+($S2219-Infrastructure!K$8)^2)</f>
        <v>26.95199436</v>
      </c>
      <c r="BB2219" s="331">
        <f>SQRT(($R2219-Infrastructure!J$9)^2+($S2219-Infrastructure!K$9)^2)</f>
        <v>37.8208937</v>
      </c>
      <c r="BC2219" s="331">
        <f>SQRT(($R2219-Infrastructure!J$10)^2+($S2219-Infrastructure!K$10)^2)</f>
        <v>42.00059523</v>
      </c>
      <c r="BD2219" s="331">
        <f>SQRT(($R2219-Infrastructure!J$11)^2+($S2219-Infrastructure!K$11)^2)</f>
        <v>50.84142012</v>
      </c>
      <c r="BE2219" s="333">
        <f>SQRT(($R2219-Infrastructure!J$12)^2+($S2219-Infrastructure!K$12)^2)</f>
        <v>64.68423301</v>
      </c>
      <c r="BF2219" s="330">
        <f t="shared" si="161"/>
        <v>9.29569793</v>
      </c>
      <c r="BG2219" s="333">
        <f t="shared" si="162"/>
        <v>64.68423301</v>
      </c>
      <c r="BH2219" s="1119"/>
      <c r="BI2219" s="319" t="str">
        <f t="shared" ref="BI2219:BR2219" si="1292">IF(ISNUMBER(FIND(BI$3, $CO2219)), "Y", "")</f>
        <v/>
      </c>
      <c r="BJ2219" s="319" t="str">
        <f t="shared" si="1292"/>
        <v/>
      </c>
      <c r="BK2219" s="319" t="str">
        <f t="shared" si="1292"/>
        <v/>
      </c>
      <c r="BL2219" s="319" t="str">
        <f t="shared" si="1292"/>
        <v/>
      </c>
      <c r="BM2219" s="319" t="str">
        <f t="shared" si="1292"/>
        <v/>
      </c>
      <c r="BN2219" s="319" t="str">
        <f t="shared" si="1292"/>
        <v/>
      </c>
      <c r="BO2219" s="319" t="str">
        <f t="shared" si="1292"/>
        <v/>
      </c>
      <c r="BP2219" s="319" t="str">
        <f t="shared" si="1292"/>
        <v/>
      </c>
      <c r="BQ2219" s="319" t="str">
        <f t="shared" si="1292"/>
        <v/>
      </c>
      <c r="BR2219" s="319" t="str">
        <f t="shared" si="1292"/>
        <v/>
      </c>
      <c r="BS2219" s="330">
        <f t="shared" si="185"/>
        <v>0</v>
      </c>
      <c r="BT2219" s="331">
        <f t="shared" si="170"/>
        <v>0</v>
      </c>
      <c r="BU2219" s="920"/>
      <c r="BV2219" s="903" t="str">
        <f t="shared" si="1244"/>
        <v/>
      </c>
      <c r="BW2219" s="908"/>
      <c r="BX2219" s="908"/>
      <c r="BY2219" s="331" t="b">
        <f t="shared" si="201"/>
        <v>0</v>
      </c>
      <c r="BZ2219" s="331"/>
      <c r="CA2219" s="462" t="str">
        <f t="shared" ref="CA2219:CJ2219" si="1293">IF(ISNUMBER(FIND(BI$3, $CP2219)), "Y", "")</f>
        <v/>
      </c>
      <c r="CB2219" s="319" t="str">
        <f t="shared" si="1293"/>
        <v/>
      </c>
      <c r="CC2219" s="319" t="str">
        <f t="shared" si="1293"/>
        <v/>
      </c>
      <c r="CD2219" s="319" t="str">
        <f t="shared" si="1293"/>
        <v/>
      </c>
      <c r="CE2219" s="319" t="str">
        <f t="shared" si="1293"/>
        <v/>
      </c>
      <c r="CF2219" s="319" t="str">
        <f t="shared" si="1293"/>
        <v/>
      </c>
      <c r="CG2219" s="319" t="str">
        <f t="shared" si="1293"/>
        <v/>
      </c>
      <c r="CH2219" s="319" t="str">
        <f t="shared" si="1293"/>
        <v/>
      </c>
      <c r="CI2219" s="319" t="str">
        <f t="shared" si="1293"/>
        <v/>
      </c>
      <c r="CJ2219" s="319" t="str">
        <f t="shared" si="1293"/>
        <v/>
      </c>
      <c r="CK2219" s="342">
        <f t="shared" si="182"/>
        <v>0</v>
      </c>
      <c r="CL2219" s="333">
        <f t="shared" si="183"/>
        <v>0</v>
      </c>
      <c r="CM2219" s="1079"/>
      <c r="CN2219" s="1005" t="s">
        <v>3299</v>
      </c>
      <c r="CO2219" s="1005"/>
      <c r="CP2219" s="1005"/>
    </row>
    <row r="2220">
      <c r="A2220" s="266"/>
      <c r="B2220" s="1113" t="s">
        <v>3053</v>
      </c>
      <c r="C2220" s="1304">
        <v>45952.0</v>
      </c>
      <c r="D2220" s="1113" t="s">
        <v>986</v>
      </c>
      <c r="E2220" s="1108">
        <v>16.0</v>
      </c>
      <c r="F2220" s="112" t="s">
        <v>3304</v>
      </c>
      <c r="G2220" s="1110">
        <v>0.6329861111111111</v>
      </c>
      <c r="H2220" s="1110">
        <v>0.6333333333333333</v>
      </c>
      <c r="I2220" s="1110">
        <v>0.6647569444444444</v>
      </c>
      <c r="J2220" s="1111">
        <v>0.03142361111111111</v>
      </c>
      <c r="K2220" s="1111"/>
      <c r="L2220" s="1112"/>
      <c r="M2220" s="1113" t="s">
        <v>166</v>
      </c>
      <c r="N2220" s="110" t="s">
        <v>187</v>
      </c>
      <c r="O2220" s="1115" t="s">
        <v>199</v>
      </c>
      <c r="P2220" s="1115" t="s">
        <v>273</v>
      </c>
      <c r="Q2220" s="1116"/>
      <c r="R2220" s="120">
        <v>16.1</v>
      </c>
      <c r="S2220" s="1113">
        <v>-9.6</v>
      </c>
      <c r="T2220" s="110">
        <v>0.01</v>
      </c>
      <c r="U2220" s="1108"/>
      <c r="V2220" s="1108"/>
      <c r="W2220" s="1108">
        <v>0.0195491512645661</v>
      </c>
      <c r="X2220" s="1303">
        <v>0.1504</v>
      </c>
      <c r="Y2220" s="1108" t="s">
        <v>2246</v>
      </c>
      <c r="Z2220" s="1114" t="s">
        <v>335</v>
      </c>
      <c r="AA2220" s="1114">
        <v>42.5</v>
      </c>
      <c r="AB2220" s="1114" t="s">
        <v>375</v>
      </c>
      <c r="AC2220" s="1117">
        <v>2.7</v>
      </c>
      <c r="AD2220" s="1115" t="s">
        <v>1949</v>
      </c>
      <c r="AE2220" s="1115" t="s">
        <v>3305</v>
      </c>
      <c r="AF2220" s="1115">
        <v>0.05</v>
      </c>
      <c r="AG2220" s="1115">
        <v>0.18</v>
      </c>
      <c r="AH2220" s="1115" t="s">
        <v>323</v>
      </c>
      <c r="AI2220" s="1115">
        <v>31.7</v>
      </c>
      <c r="AJ2220" s="1117">
        <v>0.36</v>
      </c>
      <c r="AK2220" s="1118"/>
      <c r="AL2220" s="1115">
        <v>0.36</v>
      </c>
      <c r="AM2220" s="1115"/>
      <c r="AN2220" s="1115"/>
      <c r="AO2220" s="1115"/>
      <c r="AP2220" s="1115"/>
      <c r="AQ2220" s="1115"/>
      <c r="AR2220" s="1115"/>
      <c r="AS2220" s="1117"/>
      <c r="AT2220" s="1196" t="str">
        <f t="shared" si="428"/>
        <v/>
      </c>
      <c r="AU2220" s="1193"/>
      <c r="AV2220" s="330">
        <f>SQRT(($R2220-Infrastructure!J$3)^2+($S2220-Infrastructure!K$3)^2)</f>
        <v>41.84746109</v>
      </c>
      <c r="AW2220" s="331">
        <f>SQRT(($R2220-Infrastructure!J$4)^2+($S2220-Infrastructure!K$4)^2)</f>
        <v>31.93305497</v>
      </c>
      <c r="AX2220" s="331">
        <f>SQRT(($R2220-Infrastructure!J$5)^2+($S2220-Infrastructure!K$5)^2)</f>
        <v>22.02385071</v>
      </c>
      <c r="AY2220" s="331">
        <f>SQRT(($R2220-Infrastructure!J$6)^2+($S2220-Infrastructure!K$6)^2)</f>
        <v>11.57626883</v>
      </c>
      <c r="AZ2220" s="331">
        <f>SQRT(($R2220-Infrastructure!J$7)^2+($S2220-Infrastructure!K$7)^2)</f>
        <v>10.83374358</v>
      </c>
      <c r="BA2220" s="331">
        <f>SQRT(($R2220-Infrastructure!J$8)^2+($S2220-Infrastructure!K$8)^2)</f>
        <v>17.1467198</v>
      </c>
      <c r="BB2220" s="331">
        <f>SQRT(($R2220-Infrastructure!J$9)^2+($S2220-Infrastructure!K$9)^2)</f>
        <v>28.05886669</v>
      </c>
      <c r="BC2220" s="331">
        <f>SQRT(($R2220-Infrastructure!J$10)^2+($S2220-Infrastructure!K$10)^2)</f>
        <v>34.29825068</v>
      </c>
      <c r="BD2220" s="331">
        <f>SQRT(($R2220-Infrastructure!J$11)^2+($S2220-Infrastructure!K$11)^2)</f>
        <v>45.50571393</v>
      </c>
      <c r="BE2220" s="333">
        <f>SQRT(($R2220-Infrastructure!J$12)^2+($S2220-Infrastructure!K$12)^2)</f>
        <v>65.3235792</v>
      </c>
      <c r="BF2220" s="330">
        <f t="shared" si="161"/>
        <v>10.83374358</v>
      </c>
      <c r="BG2220" s="333">
        <f t="shared" si="162"/>
        <v>65.3235792</v>
      </c>
      <c r="BH2220" s="1119"/>
      <c r="BI2220" s="319" t="str">
        <f t="shared" ref="BI2220:BR2220" si="1294">IF(ISNUMBER(FIND(BI$3, $CO2220)), "Y", "")</f>
        <v/>
      </c>
      <c r="BJ2220" s="319" t="str">
        <f t="shared" si="1294"/>
        <v/>
      </c>
      <c r="BK2220" s="319" t="str">
        <f t="shared" si="1294"/>
        <v/>
      </c>
      <c r="BL2220" s="319" t="str">
        <f t="shared" si="1294"/>
        <v/>
      </c>
      <c r="BM2220" s="319" t="str">
        <f t="shared" si="1294"/>
        <v/>
      </c>
      <c r="BN2220" s="319" t="str">
        <f t="shared" si="1294"/>
        <v/>
      </c>
      <c r="BO2220" s="319" t="str">
        <f t="shared" si="1294"/>
        <v/>
      </c>
      <c r="BP2220" s="319" t="str">
        <f t="shared" si="1294"/>
        <v/>
      </c>
      <c r="BQ2220" s="319" t="str">
        <f t="shared" si="1294"/>
        <v/>
      </c>
      <c r="BR2220" s="319" t="str">
        <f t="shared" si="1294"/>
        <v/>
      </c>
      <c r="BS2220" s="330">
        <f t="shared" si="185"/>
        <v>0</v>
      </c>
      <c r="BT2220" s="331">
        <f t="shared" si="170"/>
        <v>0</v>
      </c>
      <c r="BU2220" s="920"/>
      <c r="BV2220" s="903" t="str">
        <f t="shared" si="1244"/>
        <v/>
      </c>
      <c r="BW2220" s="908"/>
      <c r="BX2220" s="908"/>
      <c r="BY2220" s="331" t="b">
        <f t="shared" si="201"/>
        <v>0</v>
      </c>
      <c r="BZ2220" s="331"/>
      <c r="CA2220" s="462" t="str">
        <f t="shared" ref="CA2220:CJ2220" si="1295">IF(ISNUMBER(FIND(BI$3, $CP2220)), "Y", "")</f>
        <v/>
      </c>
      <c r="CB2220" s="319" t="str">
        <f t="shared" si="1295"/>
        <v/>
      </c>
      <c r="CC2220" s="319" t="str">
        <f t="shared" si="1295"/>
        <v/>
      </c>
      <c r="CD2220" s="319" t="str">
        <f t="shared" si="1295"/>
        <v/>
      </c>
      <c r="CE2220" s="319" t="str">
        <f t="shared" si="1295"/>
        <v/>
      </c>
      <c r="CF2220" s="319" t="str">
        <f t="shared" si="1295"/>
        <v/>
      </c>
      <c r="CG2220" s="319" t="str">
        <f t="shared" si="1295"/>
        <v/>
      </c>
      <c r="CH2220" s="319" t="str">
        <f t="shared" si="1295"/>
        <v/>
      </c>
      <c r="CI2220" s="319" t="str">
        <f t="shared" si="1295"/>
        <v/>
      </c>
      <c r="CJ2220" s="319" t="str">
        <f t="shared" si="1295"/>
        <v/>
      </c>
      <c r="CK2220" s="342">
        <f t="shared" si="182"/>
        <v>0</v>
      </c>
      <c r="CL2220" s="333">
        <f t="shared" si="183"/>
        <v>0</v>
      </c>
      <c r="CM2220" s="1079"/>
      <c r="CN2220" s="1005" t="s">
        <v>3299</v>
      </c>
      <c r="CO2220" s="1005"/>
      <c r="CP2220" s="1005"/>
    </row>
    <row r="2221">
      <c r="A2221" s="266"/>
      <c r="B2221" s="1113" t="s">
        <v>3053</v>
      </c>
      <c r="C2221" s="1304">
        <v>45952.0</v>
      </c>
      <c r="D2221" s="1113" t="s">
        <v>986</v>
      </c>
      <c r="E2221" s="1108" t="s">
        <v>3306</v>
      </c>
      <c r="F2221" s="112" t="s">
        <v>3307</v>
      </c>
      <c r="G2221" s="1110">
        <v>0.6736689814814815</v>
      </c>
      <c r="H2221" s="1110">
        <v>0.6743055555555556</v>
      </c>
      <c r="I2221" s="1110">
        <v>0.7079861111111111</v>
      </c>
      <c r="J2221" s="1111">
        <v>0.033680555555555554</v>
      </c>
      <c r="K2221" s="1111"/>
      <c r="L2221" s="1112"/>
      <c r="M2221" s="1113" t="s">
        <v>166</v>
      </c>
      <c r="N2221" s="110" t="s">
        <v>187</v>
      </c>
      <c r="O2221" s="1115" t="s">
        <v>203</v>
      </c>
      <c r="P2221" s="1115" t="s">
        <v>251</v>
      </c>
      <c r="Q2221" s="1116"/>
      <c r="R2221" s="120">
        <v>15.1</v>
      </c>
      <c r="S2221" s="1113">
        <v>-2.4</v>
      </c>
      <c r="T2221" s="110">
        <v>1.2</v>
      </c>
      <c r="U2221" s="1108"/>
      <c r="V2221" s="1108"/>
      <c r="W2221" s="1108">
        <v>0.0195594548983723</v>
      </c>
      <c r="X2221" s="1303">
        <v>0.1304</v>
      </c>
      <c r="Y2221" s="1108" t="s">
        <v>2246</v>
      </c>
      <c r="Z2221" s="1114" t="s">
        <v>335</v>
      </c>
      <c r="AA2221" s="1114">
        <v>46.0</v>
      </c>
      <c r="AB2221" s="1114" t="s">
        <v>371</v>
      </c>
      <c r="AC2221" s="1117">
        <v>1.8</v>
      </c>
      <c r="AD2221" s="1115" t="s">
        <v>1949</v>
      </c>
      <c r="AE2221" s="1115" t="s">
        <v>3308</v>
      </c>
      <c r="AF2221" s="1115">
        <v>0.08</v>
      </c>
      <c r="AG2221" s="1115">
        <v>0.21</v>
      </c>
      <c r="AH2221" s="1115" t="s">
        <v>323</v>
      </c>
      <c r="AI2221" s="1115">
        <v>82.4</v>
      </c>
      <c r="AJ2221" s="1117">
        <v>0.44</v>
      </c>
      <c r="AK2221" s="1118"/>
      <c r="AL2221" s="1115">
        <v>0.44</v>
      </c>
      <c r="AM2221" s="1115"/>
      <c r="AN2221" s="1115"/>
      <c r="AO2221" s="1115"/>
      <c r="AP2221" s="1115"/>
      <c r="AQ2221" s="1115"/>
      <c r="AR2221" s="1115"/>
      <c r="AS2221" s="1117"/>
      <c r="AT2221" s="1196" t="str">
        <f t="shared" si="428"/>
        <v/>
      </c>
      <c r="AU2221" s="1193"/>
      <c r="AV2221" s="330">
        <f>SQRT(($R2221-Infrastructure!J$3)^2+($S2221-Infrastructure!K$3)^2)</f>
        <v>34.88337713</v>
      </c>
      <c r="AW2221" s="331">
        <f>SQRT(($R2221-Infrastructure!J$4)^2+($S2221-Infrastructure!K$4)^2)</f>
        <v>25.40078739</v>
      </c>
      <c r="AX2221" s="331">
        <f>SQRT(($R2221-Infrastructure!J$5)^2+($S2221-Infrastructure!K$5)^2)</f>
        <v>17.12921481</v>
      </c>
      <c r="AY2221" s="331">
        <f>SQRT(($R2221-Infrastructure!J$6)^2+($S2221-Infrastructure!K$6)^2)</f>
        <v>5.682429058</v>
      </c>
      <c r="AZ2221" s="331">
        <f>SQRT(($R2221-Infrastructure!J$7)^2+($S2221-Infrastructure!K$7)^2)</f>
        <v>6.037383539</v>
      </c>
      <c r="BA2221" s="331">
        <f>SQRT(($R2221-Infrastructure!J$8)^2+($S2221-Infrastructure!K$8)^2)</f>
        <v>15.24106296</v>
      </c>
      <c r="BB2221" s="331">
        <f>SQRT(($R2221-Infrastructure!J$9)^2+($S2221-Infrastructure!K$9)^2)</f>
        <v>26.00499952</v>
      </c>
      <c r="BC2221" s="331">
        <f>SQRT(($R2221-Infrastructure!J$10)^2+($S2221-Infrastructure!K$10)^2)</f>
        <v>30.37712955</v>
      </c>
      <c r="BD2221" s="331">
        <f>SQRT(($R2221-Infrastructure!J$11)^2+($S2221-Infrastructure!K$11)^2)</f>
        <v>40.19912934</v>
      </c>
      <c r="BE2221" s="333">
        <f>SQRT(($R2221-Infrastructure!J$12)^2+($S2221-Infrastructure!K$12)^2)</f>
        <v>58.25263943</v>
      </c>
      <c r="BF2221" s="330">
        <f t="shared" si="161"/>
        <v>5.682429058</v>
      </c>
      <c r="BG2221" s="333">
        <f t="shared" si="162"/>
        <v>58.25263943</v>
      </c>
      <c r="BH2221" s="1119"/>
      <c r="BI2221" s="319" t="str">
        <f t="shared" ref="BI2221:BR2221" si="1296">IF(ISNUMBER(FIND(BI$3, $CO2221)), "Y", "")</f>
        <v/>
      </c>
      <c r="BJ2221" s="319" t="str">
        <f t="shared" si="1296"/>
        <v/>
      </c>
      <c r="BK2221" s="319" t="str">
        <f t="shared" si="1296"/>
        <v/>
      </c>
      <c r="BL2221" s="319" t="str">
        <f t="shared" si="1296"/>
        <v/>
      </c>
      <c r="BM2221" s="319" t="str">
        <f t="shared" si="1296"/>
        <v/>
      </c>
      <c r="BN2221" s="319" t="str">
        <f t="shared" si="1296"/>
        <v/>
      </c>
      <c r="BO2221" s="319" t="str">
        <f t="shared" si="1296"/>
        <v/>
      </c>
      <c r="BP2221" s="319" t="str">
        <f t="shared" si="1296"/>
        <v/>
      </c>
      <c r="BQ2221" s="319" t="str">
        <f t="shared" si="1296"/>
        <v/>
      </c>
      <c r="BR2221" s="319" t="str">
        <f t="shared" si="1296"/>
        <v/>
      </c>
      <c r="BS2221" s="330">
        <f t="shared" si="185"/>
        <v>0</v>
      </c>
      <c r="BT2221" s="331">
        <f t="shared" si="170"/>
        <v>0</v>
      </c>
      <c r="BU2221" s="920"/>
      <c r="BV2221" s="903" t="str">
        <f t="shared" si="1244"/>
        <v/>
      </c>
      <c r="BW2221" s="908"/>
      <c r="BX2221" s="908"/>
      <c r="BY2221" s="331" t="b">
        <f t="shared" si="201"/>
        <v>0</v>
      </c>
      <c r="BZ2221" s="331"/>
      <c r="CA2221" s="462" t="str">
        <f t="shared" ref="CA2221:CJ2221" si="1297">IF(ISNUMBER(FIND(BI$3, $CP2221)), "Y", "")</f>
        <v/>
      </c>
      <c r="CB2221" s="319" t="str">
        <f t="shared" si="1297"/>
        <v/>
      </c>
      <c r="CC2221" s="319" t="str">
        <f t="shared" si="1297"/>
        <v/>
      </c>
      <c r="CD2221" s="319" t="str">
        <f t="shared" si="1297"/>
        <v/>
      </c>
      <c r="CE2221" s="319" t="str">
        <f t="shared" si="1297"/>
        <v/>
      </c>
      <c r="CF2221" s="319" t="str">
        <f t="shared" si="1297"/>
        <v/>
      </c>
      <c r="CG2221" s="319" t="str">
        <f t="shared" si="1297"/>
        <v/>
      </c>
      <c r="CH2221" s="319" t="str">
        <f t="shared" si="1297"/>
        <v/>
      </c>
      <c r="CI2221" s="319" t="str">
        <f t="shared" si="1297"/>
        <v/>
      </c>
      <c r="CJ2221" s="319" t="str">
        <f t="shared" si="1297"/>
        <v/>
      </c>
      <c r="CK2221" s="342">
        <f t="shared" si="182"/>
        <v>0</v>
      </c>
      <c r="CL2221" s="333">
        <f t="shared" si="183"/>
        <v>0</v>
      </c>
      <c r="CM2221" s="1079"/>
      <c r="CN2221" s="1005" t="s">
        <v>3299</v>
      </c>
      <c r="CO2221" s="1005"/>
      <c r="CP2221" s="1005"/>
    </row>
    <row r="2222">
      <c r="A2222" s="266"/>
      <c r="B2222" s="1113" t="s">
        <v>3053</v>
      </c>
      <c r="C2222" s="1304">
        <v>45952.0</v>
      </c>
      <c r="D2222" s="1113" t="s">
        <v>986</v>
      </c>
      <c r="E2222" s="1108" t="s">
        <v>3309</v>
      </c>
      <c r="F2222" s="112" t="s">
        <v>3310</v>
      </c>
      <c r="G2222" s="1110">
        <v>0.6851273148148148</v>
      </c>
      <c r="H2222" s="1110">
        <v>0.6851273148148148</v>
      </c>
      <c r="I2222" s="1110">
        <v>0.6886574074074074</v>
      </c>
      <c r="J2222" s="1111">
        <v>0.0035300925925925925</v>
      </c>
      <c r="K2222" s="1111"/>
      <c r="L2222" s="1112"/>
      <c r="M2222" s="1113" t="s">
        <v>166</v>
      </c>
      <c r="N2222" s="110" t="s">
        <v>187</v>
      </c>
      <c r="O2222" s="1115" t="s">
        <v>200</v>
      </c>
      <c r="P2222" s="1115" t="s">
        <v>283</v>
      </c>
      <c r="Q2222" s="1116"/>
      <c r="R2222" s="120">
        <v>5.7</v>
      </c>
      <c r="S2222" s="1113">
        <v>-9.6</v>
      </c>
      <c r="T2222" s="110">
        <v>0.68</v>
      </c>
      <c r="U2222" s="1108"/>
      <c r="V2222" s="1108"/>
      <c r="W2222" s="1108">
        <v>0.013746856963442</v>
      </c>
      <c r="X2222" s="1303">
        <v>0.0172</v>
      </c>
      <c r="Y2222" s="1108" t="s">
        <v>2244</v>
      </c>
      <c r="Z2222" s="1114" t="s">
        <v>343</v>
      </c>
      <c r="AA2222" s="1114">
        <v>42.0</v>
      </c>
      <c r="AB2222" s="1114" t="s">
        <v>3311</v>
      </c>
      <c r="AC2222" s="1117">
        <v>2.5</v>
      </c>
      <c r="AD2222" s="1115" t="s">
        <v>1949</v>
      </c>
      <c r="AE2222" s="1115" t="s">
        <v>3312</v>
      </c>
      <c r="AF2222" s="1115">
        <v>0.32</v>
      </c>
      <c r="AG2222" s="1115">
        <v>1.12</v>
      </c>
      <c r="AH2222" s="1115" t="s">
        <v>323</v>
      </c>
      <c r="AI2222" s="1115">
        <v>227.7</v>
      </c>
      <c r="AJ2222" s="1117">
        <v>0.24</v>
      </c>
      <c r="AK2222" s="1118"/>
      <c r="AL2222" s="1115">
        <v>0.24</v>
      </c>
      <c r="AM2222" s="1115"/>
      <c r="AN2222" s="1115"/>
      <c r="AO2222" s="1115"/>
      <c r="AP2222" s="1115"/>
      <c r="AQ2222" s="1115"/>
      <c r="AR2222" s="1115"/>
      <c r="AS2222" s="1117"/>
      <c r="AT2222" s="1196" t="str">
        <f t="shared" si="428"/>
        <v/>
      </c>
      <c r="AU2222" s="1193"/>
      <c r="AV2222" s="330">
        <f>SQRT(($R2222-Infrastructure!J$3)^2+($S2222-Infrastructure!K$3)^2)</f>
        <v>38.96472764</v>
      </c>
      <c r="AW2222" s="331">
        <f>SQRT(($R2222-Infrastructure!J$4)^2+($S2222-Infrastructure!K$4)^2)</f>
        <v>28.04924241</v>
      </c>
      <c r="AX2222" s="331">
        <f>SQRT(($R2222-Infrastructure!J$5)^2+($S2222-Infrastructure!K$5)^2)</f>
        <v>15.87734235</v>
      </c>
      <c r="AY2222" s="331">
        <f>SQRT(($R2222-Infrastructure!J$6)^2+($S2222-Infrastructure!K$6)^2)</f>
        <v>10.83374358</v>
      </c>
      <c r="AZ2222" s="331">
        <f>SQRT(($R2222-Infrastructure!J$7)^2+($S2222-Infrastructure!K$7)^2)</f>
        <v>17.8058979</v>
      </c>
      <c r="BA2222" s="331">
        <f>SQRT(($R2222-Infrastructure!J$8)^2+($S2222-Infrastructure!K$8)^2)</f>
        <v>26.33191979</v>
      </c>
      <c r="BB2222" s="331">
        <f>SQRT(($R2222-Infrastructure!J$9)^2+($S2222-Infrastructure!K$9)^2)</f>
        <v>37.31728822</v>
      </c>
      <c r="BC2222" s="331">
        <f>SQRT(($R2222-Infrastructure!J$10)^2+($S2222-Infrastructure!K$10)^2)</f>
        <v>42.20959607</v>
      </c>
      <c r="BD2222" s="331">
        <f>SQRT(($R2222-Infrastructure!J$11)^2+($S2222-Infrastructure!K$11)^2)</f>
        <v>51.77074463</v>
      </c>
      <c r="BE2222" s="333">
        <f>SQRT(($R2222-Infrastructure!J$12)^2+($S2222-Infrastructure!K$12)^2)</f>
        <v>66.98992462</v>
      </c>
      <c r="BF2222" s="330">
        <f t="shared" si="161"/>
        <v>10.83374358</v>
      </c>
      <c r="BG2222" s="333">
        <f t="shared" si="162"/>
        <v>66.98992462</v>
      </c>
      <c r="BH2222" s="1119"/>
      <c r="BI2222" s="319" t="str">
        <f t="shared" ref="BI2222:BR2222" si="1298">IF(ISNUMBER(FIND(BI$3, $CO2222)), "Y", "")</f>
        <v/>
      </c>
      <c r="BJ2222" s="319" t="str">
        <f t="shared" si="1298"/>
        <v/>
      </c>
      <c r="BK2222" s="319" t="str">
        <f t="shared" si="1298"/>
        <v/>
      </c>
      <c r="BL2222" s="319" t="str">
        <f t="shared" si="1298"/>
        <v/>
      </c>
      <c r="BM2222" s="319" t="str">
        <f t="shared" si="1298"/>
        <v/>
      </c>
      <c r="BN2222" s="319" t="str">
        <f t="shared" si="1298"/>
        <v/>
      </c>
      <c r="BO2222" s="319" t="str">
        <f t="shared" si="1298"/>
        <v/>
      </c>
      <c r="BP2222" s="319" t="str">
        <f t="shared" si="1298"/>
        <v/>
      </c>
      <c r="BQ2222" s="319" t="str">
        <f t="shared" si="1298"/>
        <v/>
      </c>
      <c r="BR2222" s="319" t="str">
        <f t="shared" si="1298"/>
        <v/>
      </c>
      <c r="BS2222" s="330">
        <f t="shared" si="185"/>
        <v>0</v>
      </c>
      <c r="BT2222" s="331">
        <f t="shared" si="170"/>
        <v>0</v>
      </c>
      <c r="BU2222" s="920"/>
      <c r="BV2222" s="903" t="str">
        <f t="shared" si="1244"/>
        <v/>
      </c>
      <c r="BW2222" s="908"/>
      <c r="BX2222" s="908"/>
      <c r="BY2222" s="331" t="b">
        <f t="shared" si="201"/>
        <v>0</v>
      </c>
      <c r="BZ2222" s="331"/>
      <c r="CA2222" s="462" t="str">
        <f t="shared" ref="CA2222:CJ2222" si="1299">IF(ISNUMBER(FIND(BI$3, $CP2222)), "Y", "")</f>
        <v/>
      </c>
      <c r="CB2222" s="319" t="str">
        <f t="shared" si="1299"/>
        <v/>
      </c>
      <c r="CC2222" s="319" t="str">
        <f t="shared" si="1299"/>
        <v/>
      </c>
      <c r="CD2222" s="319" t="str">
        <f t="shared" si="1299"/>
        <v/>
      </c>
      <c r="CE2222" s="319" t="str">
        <f t="shared" si="1299"/>
        <v/>
      </c>
      <c r="CF2222" s="319" t="str">
        <f t="shared" si="1299"/>
        <v/>
      </c>
      <c r="CG2222" s="319" t="str">
        <f t="shared" si="1299"/>
        <v/>
      </c>
      <c r="CH2222" s="319" t="str">
        <f t="shared" si="1299"/>
        <v/>
      </c>
      <c r="CI2222" s="319" t="str">
        <f t="shared" si="1299"/>
        <v/>
      </c>
      <c r="CJ2222" s="319" t="str">
        <f t="shared" si="1299"/>
        <v/>
      </c>
      <c r="CK2222" s="342">
        <f t="shared" si="182"/>
        <v>0</v>
      </c>
      <c r="CL2222" s="333">
        <f t="shared" si="183"/>
        <v>0</v>
      </c>
      <c r="CM2222" s="1079"/>
      <c r="CN2222" s="1005" t="s">
        <v>3299</v>
      </c>
      <c r="CO2222" s="1005"/>
      <c r="CP2222" s="1005"/>
    </row>
    <row r="2223">
      <c r="A2223" s="266"/>
      <c r="B2223" s="1113" t="s">
        <v>3053</v>
      </c>
      <c r="C2223" s="1304">
        <v>45952.0</v>
      </c>
      <c r="D2223" s="1113" t="s">
        <v>986</v>
      </c>
      <c r="E2223" s="1108" t="s">
        <v>3313</v>
      </c>
      <c r="F2223" s="112" t="s">
        <v>3314</v>
      </c>
      <c r="G2223" s="1110">
        <v>0.6947916666666667</v>
      </c>
      <c r="H2223" s="1110">
        <v>0.6951388888888889</v>
      </c>
      <c r="I2223" s="1110">
        <v>0.6986111111111111</v>
      </c>
      <c r="J2223" s="1111">
        <v>0.003472222222222222</v>
      </c>
      <c r="K2223" s="1111"/>
      <c r="L2223" s="1112"/>
      <c r="M2223" s="1113" t="s">
        <v>166</v>
      </c>
      <c r="N2223" s="110" t="s">
        <v>187</v>
      </c>
      <c r="O2223" s="1115" t="s">
        <v>200</v>
      </c>
      <c r="P2223" s="1115" t="s">
        <v>283</v>
      </c>
      <c r="Q2223" s="1116"/>
      <c r="R2223" s="120">
        <v>15.4</v>
      </c>
      <c r="S2223" s="1113">
        <v>-4.7</v>
      </c>
      <c r="T2223" s="110">
        <v>0.68</v>
      </c>
      <c r="U2223" s="1108"/>
      <c r="V2223" s="1108"/>
      <c r="W2223" s="1108">
        <v>0.0130686283072606</v>
      </c>
      <c r="X2223" s="1303">
        <v>0.0261</v>
      </c>
      <c r="Y2223" s="1108" t="s">
        <v>2244</v>
      </c>
      <c r="Z2223" s="1114" t="s">
        <v>343</v>
      </c>
      <c r="AA2223" s="1114">
        <v>28.5</v>
      </c>
      <c r="AB2223" s="1114" t="s">
        <v>3311</v>
      </c>
      <c r="AC2223" s="1117">
        <v>2.5</v>
      </c>
      <c r="AD2223" s="1115" t="s">
        <v>1949</v>
      </c>
      <c r="AE2223" s="1115" t="s">
        <v>3312</v>
      </c>
      <c r="AF2223" s="1115">
        <v>0.2</v>
      </c>
      <c r="AG2223" s="1115">
        <v>0.7</v>
      </c>
      <c r="AH2223" s="1115" t="s">
        <v>323</v>
      </c>
      <c r="AI2223" s="1115">
        <v>142.3</v>
      </c>
      <c r="AJ2223" s="1117">
        <v>0.16</v>
      </c>
      <c r="AK2223" s="1118"/>
      <c r="AL2223" s="1115">
        <v>0.16</v>
      </c>
      <c r="AM2223" s="1115"/>
      <c r="AN2223" s="1115"/>
      <c r="AO2223" s="1115"/>
      <c r="AP2223" s="1115"/>
      <c r="AQ2223" s="1115"/>
      <c r="AR2223" s="1115"/>
      <c r="AS2223" s="1117"/>
      <c r="AT2223" s="1196" t="str">
        <f t="shared" si="428"/>
        <v/>
      </c>
      <c r="AU2223" s="1193"/>
      <c r="AV2223" s="330">
        <f>SQRT(($R2223-Infrastructure!J$3)^2+($S2223-Infrastructure!K$3)^2)</f>
        <v>37.08705974</v>
      </c>
      <c r="AW2223" s="331">
        <f>SQRT(($R2223-Infrastructure!J$4)^2+($S2223-Infrastructure!K$4)^2)</f>
        <v>27.4361076</v>
      </c>
      <c r="AX2223" s="331">
        <f>SQRT(($R2223-Infrastructure!J$5)^2+($S2223-Infrastructure!K$5)^2)</f>
        <v>18.50756602</v>
      </c>
      <c r="AY2223" s="331">
        <f>SQRT(($R2223-Infrastructure!J$6)^2+($S2223-Infrastructure!K$6)^2)</f>
        <v>7.286288493</v>
      </c>
      <c r="AZ2223" s="331">
        <f>SQRT(($R2223-Infrastructure!J$7)^2+($S2223-Infrastructure!K$7)^2)</f>
        <v>7.142128534</v>
      </c>
      <c r="BA2223" s="331">
        <f>SQRT(($R2223-Infrastructure!J$8)^2+($S2223-Infrastructure!K$8)^2)</f>
        <v>15.52707313</v>
      </c>
      <c r="BB2223" s="331">
        <f>SQRT(($R2223-Infrastructure!J$9)^2+($S2223-Infrastructure!K$9)^2)</f>
        <v>26.48018127</v>
      </c>
      <c r="BC2223" s="331">
        <f>SQRT(($R2223-Infrastructure!J$10)^2+($S2223-Infrastructure!K$10)^2)</f>
        <v>31.51586902</v>
      </c>
      <c r="BD2223" s="331">
        <f>SQRT(($R2223-Infrastructure!J$11)^2+($S2223-Infrastructure!K$11)^2)</f>
        <v>41.84172559</v>
      </c>
      <c r="BE2223" s="333">
        <f>SQRT(($R2223-Infrastructure!J$12)^2+($S2223-Infrastructure!K$12)^2)</f>
        <v>60.5082639</v>
      </c>
      <c r="BF2223" s="330">
        <f t="shared" si="161"/>
        <v>7.142128534</v>
      </c>
      <c r="BG2223" s="333">
        <f t="shared" si="162"/>
        <v>60.5082639</v>
      </c>
      <c r="BH2223" s="1119"/>
      <c r="BI2223" s="319" t="str">
        <f t="shared" ref="BI2223:BR2223" si="1300">IF(ISNUMBER(FIND(BI$3, $CO2223)), "Y", "")</f>
        <v/>
      </c>
      <c r="BJ2223" s="319" t="str">
        <f t="shared" si="1300"/>
        <v/>
      </c>
      <c r="BK2223" s="319" t="str">
        <f t="shared" si="1300"/>
        <v/>
      </c>
      <c r="BL2223" s="319" t="str">
        <f t="shared" si="1300"/>
        <v/>
      </c>
      <c r="BM2223" s="319" t="str">
        <f t="shared" si="1300"/>
        <v/>
      </c>
      <c r="BN2223" s="319" t="str">
        <f t="shared" si="1300"/>
        <v/>
      </c>
      <c r="BO2223" s="319" t="str">
        <f t="shared" si="1300"/>
        <v/>
      </c>
      <c r="BP2223" s="319" t="str">
        <f t="shared" si="1300"/>
        <v/>
      </c>
      <c r="BQ2223" s="319" t="str">
        <f t="shared" si="1300"/>
        <v/>
      </c>
      <c r="BR2223" s="319" t="str">
        <f t="shared" si="1300"/>
        <v/>
      </c>
      <c r="BS2223" s="330">
        <f t="shared" si="185"/>
        <v>0</v>
      </c>
      <c r="BT2223" s="331">
        <f t="shared" si="170"/>
        <v>0</v>
      </c>
      <c r="BU2223" s="920"/>
      <c r="BV2223" s="903" t="str">
        <f t="shared" si="1244"/>
        <v/>
      </c>
      <c r="BW2223" s="908"/>
      <c r="BX2223" s="908"/>
      <c r="BY2223" s="331" t="b">
        <f t="shared" si="201"/>
        <v>0</v>
      </c>
      <c r="BZ2223" s="331"/>
      <c r="CA2223" s="462" t="str">
        <f t="shared" ref="CA2223:CJ2223" si="1301">IF(ISNUMBER(FIND(BI$3, $CP2223)), "Y", "")</f>
        <v/>
      </c>
      <c r="CB2223" s="319" t="str">
        <f t="shared" si="1301"/>
        <v/>
      </c>
      <c r="CC2223" s="319" t="str">
        <f t="shared" si="1301"/>
        <v/>
      </c>
      <c r="CD2223" s="319" t="str">
        <f t="shared" si="1301"/>
        <v/>
      </c>
      <c r="CE2223" s="319" t="str">
        <f t="shared" si="1301"/>
        <v/>
      </c>
      <c r="CF2223" s="319" t="str">
        <f t="shared" si="1301"/>
        <v/>
      </c>
      <c r="CG2223" s="319" t="str">
        <f t="shared" si="1301"/>
        <v/>
      </c>
      <c r="CH2223" s="319" t="str">
        <f t="shared" si="1301"/>
        <v/>
      </c>
      <c r="CI2223" s="319" t="str">
        <f t="shared" si="1301"/>
        <v/>
      </c>
      <c r="CJ2223" s="319" t="str">
        <f t="shared" si="1301"/>
        <v/>
      </c>
      <c r="CK2223" s="342">
        <f t="shared" si="182"/>
        <v>0</v>
      </c>
      <c r="CL2223" s="333">
        <f t="shared" si="183"/>
        <v>0</v>
      </c>
      <c r="CM2223" s="1079"/>
      <c r="CN2223" s="1005" t="s">
        <v>3299</v>
      </c>
      <c r="CO2223" s="1005"/>
      <c r="CP2223" s="1005"/>
    </row>
    <row r="2224">
      <c r="A2224" s="266"/>
      <c r="B2224" s="1113" t="s">
        <v>3053</v>
      </c>
      <c r="C2224" s="1304">
        <v>45952.0</v>
      </c>
      <c r="D2224" s="103"/>
      <c r="E2224" s="1137"/>
      <c r="F2224" s="112" t="s">
        <v>3315</v>
      </c>
      <c r="G2224" s="1110">
        <v>0.7170138888888888</v>
      </c>
      <c r="H2224" s="1138"/>
      <c r="I2224" s="1110">
        <v>0.7177083333333333</v>
      </c>
      <c r="J2224" s="1111">
        <v>6.944444444444445E-4</v>
      </c>
      <c r="K2224" s="1111"/>
      <c r="L2224" s="1112"/>
      <c r="M2224" s="1113" t="s">
        <v>166</v>
      </c>
      <c r="N2224" s="110" t="s">
        <v>188</v>
      </c>
      <c r="O2224" s="1115" t="s">
        <v>3271</v>
      </c>
      <c r="P2224" s="1115" t="s">
        <v>292</v>
      </c>
      <c r="Q2224" s="1116"/>
      <c r="R2224" s="120" t="s">
        <v>323</v>
      </c>
      <c r="S2224" s="1113" t="s">
        <v>323</v>
      </c>
      <c r="T2224" s="110" t="s">
        <v>323</v>
      </c>
      <c r="U2224" s="1108" t="s">
        <v>323</v>
      </c>
      <c r="V2224" s="1108" t="s">
        <v>323</v>
      </c>
      <c r="W2224" s="1108" t="s">
        <v>323</v>
      </c>
      <c r="X2224" s="1108" t="s">
        <v>323</v>
      </c>
      <c r="Y2224" s="1108"/>
      <c r="Z2224" s="1114" t="s">
        <v>323</v>
      </c>
      <c r="AA2224" s="1114"/>
      <c r="AB2224" s="1114" t="s">
        <v>323</v>
      </c>
      <c r="AC2224" s="1117" t="s">
        <v>323</v>
      </c>
      <c r="AD2224" s="1115" t="s">
        <v>1949</v>
      </c>
      <c r="AE2224" s="1115"/>
      <c r="AF2224" s="1115" t="s">
        <v>323</v>
      </c>
      <c r="AG2224" s="1115" t="s">
        <v>323</v>
      </c>
      <c r="AH2224" s="1115" t="s">
        <v>323</v>
      </c>
      <c r="AI2224" s="1115" t="s">
        <v>323</v>
      </c>
      <c r="AJ2224" s="1117" t="s">
        <v>323</v>
      </c>
      <c r="AK2224" s="1118"/>
      <c r="AL2224" s="1115" t="s">
        <v>323</v>
      </c>
      <c r="AM2224" s="1115"/>
      <c r="AN2224" s="1115"/>
      <c r="AO2224" s="1115"/>
      <c r="AP2224" s="1115"/>
      <c r="AQ2224" s="1115"/>
      <c r="AR2224" s="1115"/>
      <c r="AS2224" s="1117"/>
      <c r="AT2224" s="1196" t="str">
        <f t="shared" si="428"/>
        <v/>
      </c>
      <c r="AU2224" s="1193"/>
      <c r="AV2224" s="330" t="str">
        <f>SQRT(($R2224-Infrastructure!J$3)^2+($S2224-Infrastructure!K$3)^2)</f>
        <v>#VALUE!</v>
      </c>
      <c r="AW2224" s="331" t="str">
        <f>SQRT(($R2224-Infrastructure!J$4)^2+($S2224-Infrastructure!K$4)^2)</f>
        <v>#VALUE!</v>
      </c>
      <c r="AX2224" s="331" t="str">
        <f>SQRT(($R2224-Infrastructure!J$5)^2+($S2224-Infrastructure!K$5)^2)</f>
        <v>#VALUE!</v>
      </c>
      <c r="AY2224" s="331" t="str">
        <f>SQRT(($R2224-Infrastructure!J$6)^2+($S2224-Infrastructure!K$6)^2)</f>
        <v>#VALUE!</v>
      </c>
      <c r="AZ2224" s="331" t="str">
        <f>SQRT(($R2224-Infrastructure!J$7)^2+($S2224-Infrastructure!K$7)^2)</f>
        <v>#VALUE!</v>
      </c>
      <c r="BA2224" s="331" t="str">
        <f>SQRT(($R2224-Infrastructure!J$8)^2+($S2224-Infrastructure!K$8)^2)</f>
        <v>#VALUE!</v>
      </c>
      <c r="BB2224" s="331" t="str">
        <f>SQRT(($R2224-Infrastructure!J$9)^2+($S2224-Infrastructure!K$9)^2)</f>
        <v>#VALUE!</v>
      </c>
      <c r="BC2224" s="331" t="str">
        <f>SQRT(($R2224-Infrastructure!J$10)^2+($S2224-Infrastructure!K$10)^2)</f>
        <v>#VALUE!</v>
      </c>
      <c r="BD2224" s="331" t="str">
        <f>SQRT(($R2224-Infrastructure!J$11)^2+($S2224-Infrastructure!K$11)^2)</f>
        <v>#VALUE!</v>
      </c>
      <c r="BE2224" s="333" t="str">
        <f>SQRT(($R2224-Infrastructure!J$12)^2+($S2224-Infrastructure!K$12)^2)</f>
        <v>#VALUE!</v>
      </c>
      <c r="BF2224" s="330" t="str">
        <f t="shared" si="161"/>
        <v>#VALUE!</v>
      </c>
      <c r="BG2224" s="333" t="str">
        <f t="shared" si="162"/>
        <v>#VALUE!</v>
      </c>
      <c r="BH2224" s="1119"/>
      <c r="BI2224" s="319" t="str">
        <f t="shared" ref="BI2224:BR2224" si="1302">IF(ISNUMBER(FIND(BI$3, $CO2224)), "Y", "")</f>
        <v/>
      </c>
      <c r="BJ2224" s="319" t="str">
        <f t="shared" si="1302"/>
        <v/>
      </c>
      <c r="BK2224" s="319" t="str">
        <f t="shared" si="1302"/>
        <v/>
      </c>
      <c r="BL2224" s="319" t="str">
        <f t="shared" si="1302"/>
        <v/>
      </c>
      <c r="BM2224" s="319" t="str">
        <f t="shared" si="1302"/>
        <v/>
      </c>
      <c r="BN2224" s="319" t="str">
        <f t="shared" si="1302"/>
        <v/>
      </c>
      <c r="BO2224" s="319" t="str">
        <f t="shared" si="1302"/>
        <v/>
      </c>
      <c r="BP2224" s="319" t="str">
        <f t="shared" si="1302"/>
        <v/>
      </c>
      <c r="BQ2224" s="319" t="str">
        <f t="shared" si="1302"/>
        <v/>
      </c>
      <c r="BR2224" s="319" t="str">
        <f t="shared" si="1302"/>
        <v/>
      </c>
      <c r="BS2224" s="330">
        <f t="shared" si="185"/>
        <v>0</v>
      </c>
      <c r="BT2224" s="331">
        <f t="shared" si="170"/>
        <v>0</v>
      </c>
      <c r="BU2224" s="920"/>
      <c r="BV2224" s="903" t="str">
        <f t="shared" si="1244"/>
        <v/>
      </c>
      <c r="BW2224" s="908"/>
      <c r="BX2224" s="908"/>
      <c r="BY2224" s="331" t="b">
        <f t="shared" si="201"/>
        <v>0</v>
      </c>
      <c r="BZ2224" s="331"/>
      <c r="CA2224" s="462" t="str">
        <f t="shared" ref="CA2224:CJ2224" si="1303">IF(ISNUMBER(FIND(BI$3, $CP2224)), "Y", "")</f>
        <v/>
      </c>
      <c r="CB2224" s="319" t="str">
        <f t="shared" si="1303"/>
        <v/>
      </c>
      <c r="CC2224" s="319" t="str">
        <f t="shared" si="1303"/>
        <v/>
      </c>
      <c r="CD2224" s="319" t="str">
        <f t="shared" si="1303"/>
        <v/>
      </c>
      <c r="CE2224" s="319" t="str">
        <f t="shared" si="1303"/>
        <v/>
      </c>
      <c r="CF2224" s="319" t="str">
        <f t="shared" si="1303"/>
        <v/>
      </c>
      <c r="CG2224" s="319" t="str">
        <f t="shared" si="1303"/>
        <v/>
      </c>
      <c r="CH2224" s="319" t="str">
        <f t="shared" si="1303"/>
        <v/>
      </c>
      <c r="CI2224" s="319" t="str">
        <f t="shared" si="1303"/>
        <v/>
      </c>
      <c r="CJ2224" s="319" t="str">
        <f t="shared" si="1303"/>
        <v/>
      </c>
      <c r="CK2224" s="342">
        <f t="shared" si="182"/>
        <v>0</v>
      </c>
      <c r="CL2224" s="333">
        <f t="shared" si="183"/>
        <v>0</v>
      </c>
      <c r="CM2224" s="1079"/>
      <c r="CN2224" s="1005" t="s">
        <v>3299</v>
      </c>
      <c r="CO2224" s="1005"/>
      <c r="CP2224" s="1005"/>
    </row>
    <row r="2225">
      <c r="A2225" s="1258"/>
      <c r="B2225" s="1129" t="s">
        <v>3053</v>
      </c>
      <c r="C2225" s="1305">
        <v>45952.0</v>
      </c>
      <c r="D2225" s="1123"/>
      <c r="E2225" s="1144"/>
      <c r="F2225" s="108" t="s">
        <v>3315</v>
      </c>
      <c r="G2225" s="1126">
        <v>0.7180555555555556</v>
      </c>
      <c r="H2225" s="1145"/>
      <c r="I2225" s="1126">
        <v>0.7253472222222223</v>
      </c>
      <c r="J2225" s="1127">
        <v>0.007291666666666667</v>
      </c>
      <c r="K2225" s="1127"/>
      <c r="L2225" s="1128"/>
      <c r="M2225" s="1129" t="s">
        <v>358</v>
      </c>
      <c r="N2225" s="100" t="s">
        <v>188</v>
      </c>
      <c r="O2225" s="1131" t="s">
        <v>3271</v>
      </c>
      <c r="P2225" s="1131" t="s">
        <v>294</v>
      </c>
      <c r="Q2225" s="1132"/>
      <c r="R2225" s="137" t="s">
        <v>323</v>
      </c>
      <c r="S2225" s="1129" t="s">
        <v>323</v>
      </c>
      <c r="T2225" s="100" t="s">
        <v>323</v>
      </c>
      <c r="U2225" s="1124" t="s">
        <v>323</v>
      </c>
      <c r="V2225" s="1124" t="s">
        <v>323</v>
      </c>
      <c r="W2225" s="1124" t="s">
        <v>323</v>
      </c>
      <c r="X2225" s="1124" t="s">
        <v>323</v>
      </c>
      <c r="Y2225" s="1124"/>
      <c r="Z2225" s="1130" t="s">
        <v>323</v>
      </c>
      <c r="AA2225" s="1130"/>
      <c r="AB2225" s="1130" t="s">
        <v>323</v>
      </c>
      <c r="AC2225" s="1133" t="s">
        <v>323</v>
      </c>
      <c r="AD2225" s="1131" t="s">
        <v>1949</v>
      </c>
      <c r="AE2225" s="1131"/>
      <c r="AF2225" s="1131" t="s">
        <v>323</v>
      </c>
      <c r="AG2225" s="1131" t="s">
        <v>323</v>
      </c>
      <c r="AH2225" s="1131" t="s">
        <v>323</v>
      </c>
      <c r="AI2225" s="1131" t="s">
        <v>323</v>
      </c>
      <c r="AJ2225" s="1133" t="s">
        <v>323</v>
      </c>
      <c r="AK2225" s="1134"/>
      <c r="AL2225" s="1131"/>
      <c r="AM2225" s="1131"/>
      <c r="AN2225" s="1131" t="s">
        <v>323</v>
      </c>
      <c r="AO2225" s="1131"/>
      <c r="AP2225" s="1131"/>
      <c r="AQ2225" s="1131"/>
      <c r="AR2225" s="1131"/>
      <c r="AS2225" s="1133"/>
      <c r="AT2225" s="1197" t="str">
        <f t="shared" si="428"/>
        <v/>
      </c>
      <c r="AU2225" s="1194"/>
      <c r="AV2225" s="662" t="str">
        <f>SQRT(($R2225-Infrastructure!J$3)^2+($S2225-Infrastructure!K$3)^2)</f>
        <v>#VALUE!</v>
      </c>
      <c r="AW2225" s="641" t="str">
        <f>SQRT(($R2225-Infrastructure!J$4)^2+($S2225-Infrastructure!K$4)^2)</f>
        <v>#VALUE!</v>
      </c>
      <c r="AX2225" s="641" t="str">
        <f>SQRT(($R2225-Infrastructure!J$5)^2+($S2225-Infrastructure!K$5)^2)</f>
        <v>#VALUE!</v>
      </c>
      <c r="AY2225" s="641" t="str">
        <f>SQRT(($R2225-Infrastructure!J$6)^2+($S2225-Infrastructure!K$6)^2)</f>
        <v>#VALUE!</v>
      </c>
      <c r="AZ2225" s="641" t="str">
        <f>SQRT(($R2225-Infrastructure!J$7)^2+($S2225-Infrastructure!K$7)^2)</f>
        <v>#VALUE!</v>
      </c>
      <c r="BA2225" s="641" t="str">
        <f>SQRT(($R2225-Infrastructure!J$8)^2+($S2225-Infrastructure!K$8)^2)</f>
        <v>#VALUE!</v>
      </c>
      <c r="BB2225" s="641" t="str">
        <f>SQRT(($R2225-Infrastructure!J$9)^2+($S2225-Infrastructure!K$9)^2)</f>
        <v>#VALUE!</v>
      </c>
      <c r="BC2225" s="641" t="str">
        <f>SQRT(($R2225-Infrastructure!J$10)^2+($S2225-Infrastructure!K$10)^2)</f>
        <v>#VALUE!</v>
      </c>
      <c r="BD2225" s="641" t="str">
        <f>SQRT(($R2225-Infrastructure!J$11)^2+($S2225-Infrastructure!K$11)^2)</f>
        <v>#VALUE!</v>
      </c>
      <c r="BE2225" s="642" t="str">
        <f>SQRT(($R2225-Infrastructure!J$12)^2+($S2225-Infrastructure!K$12)^2)</f>
        <v>#VALUE!</v>
      </c>
      <c r="BF2225" s="662" t="str">
        <f t="shared" si="161"/>
        <v>#VALUE!</v>
      </c>
      <c r="BG2225" s="642" t="str">
        <f t="shared" si="162"/>
        <v>#VALUE!</v>
      </c>
      <c r="BH2225" s="1135"/>
      <c r="BI2225" s="663" t="str">
        <f t="shared" ref="BI2225:BR2225" si="1304">IF(ISNUMBER(FIND(BI$3, $CO2225)), "Y", "")</f>
        <v/>
      </c>
      <c r="BJ2225" s="663" t="str">
        <f t="shared" si="1304"/>
        <v/>
      </c>
      <c r="BK2225" s="663" t="str">
        <f t="shared" si="1304"/>
        <v/>
      </c>
      <c r="BL2225" s="663" t="str">
        <f t="shared" si="1304"/>
        <v/>
      </c>
      <c r="BM2225" s="663" t="str">
        <f t="shared" si="1304"/>
        <v/>
      </c>
      <c r="BN2225" s="663" t="str">
        <f t="shared" si="1304"/>
        <v/>
      </c>
      <c r="BO2225" s="663" t="str">
        <f t="shared" si="1304"/>
        <v/>
      </c>
      <c r="BP2225" s="663" t="str">
        <f t="shared" si="1304"/>
        <v/>
      </c>
      <c r="BQ2225" s="663" t="str">
        <f t="shared" si="1304"/>
        <v/>
      </c>
      <c r="BR2225" s="663" t="str">
        <f t="shared" si="1304"/>
        <v/>
      </c>
      <c r="BS2225" s="662">
        <f t="shared" si="185"/>
        <v>0</v>
      </c>
      <c r="BT2225" s="641">
        <f t="shared" si="170"/>
        <v>0</v>
      </c>
      <c r="BU2225" s="937"/>
      <c r="BV2225" s="930" t="str">
        <f t="shared" si="1244"/>
        <v/>
      </c>
      <c r="BW2225" s="939"/>
      <c r="BX2225" s="939"/>
      <c r="BY2225" s="641" t="b">
        <f t="shared" si="201"/>
        <v>0</v>
      </c>
      <c r="BZ2225" s="641"/>
      <c r="CA2225" s="635" t="str">
        <f t="shared" ref="CA2225:CJ2225" si="1305">IF(ISNUMBER(FIND(BI$3, $CP2225)), "Y", "")</f>
        <v/>
      </c>
      <c r="CB2225" s="663" t="str">
        <f t="shared" si="1305"/>
        <v/>
      </c>
      <c r="CC2225" s="663" t="str">
        <f t="shared" si="1305"/>
        <v/>
      </c>
      <c r="CD2225" s="663" t="str">
        <f t="shared" si="1305"/>
        <v/>
      </c>
      <c r="CE2225" s="663" t="str">
        <f t="shared" si="1305"/>
        <v/>
      </c>
      <c r="CF2225" s="663" t="str">
        <f t="shared" si="1305"/>
        <v/>
      </c>
      <c r="CG2225" s="663" t="str">
        <f t="shared" si="1305"/>
        <v/>
      </c>
      <c r="CH2225" s="663" t="str">
        <f t="shared" si="1305"/>
        <v/>
      </c>
      <c r="CI2225" s="663" t="str">
        <f t="shared" si="1305"/>
        <v/>
      </c>
      <c r="CJ2225" s="663" t="str">
        <f t="shared" si="1305"/>
        <v/>
      </c>
      <c r="CK2225" s="743">
        <f t="shared" si="182"/>
        <v>0</v>
      </c>
      <c r="CL2225" s="642">
        <f t="shared" si="183"/>
        <v>0</v>
      </c>
      <c r="CM2225" s="1090"/>
      <c r="CN2225" s="1036" t="s">
        <v>3299</v>
      </c>
      <c r="CO2225" s="1036"/>
      <c r="CP2225" s="1036"/>
    </row>
    <row r="2226">
      <c r="A2226" s="1257" t="s">
        <v>157</v>
      </c>
      <c r="B2226" s="1113" t="s">
        <v>1761</v>
      </c>
      <c r="C2226" s="1304">
        <v>45960.0</v>
      </c>
      <c r="D2226" s="1113" t="s">
        <v>986</v>
      </c>
      <c r="E2226" s="1108">
        <v>18.0</v>
      </c>
      <c r="F2226" s="112" t="s">
        <v>3316</v>
      </c>
      <c r="G2226" s="1110">
        <v>0.3773726851851852</v>
      </c>
      <c r="H2226" s="1110">
        <v>0.37754629629629627</v>
      </c>
      <c r="I2226" s="1110">
        <v>0.40902777777777777</v>
      </c>
      <c r="J2226" s="1111">
        <v>0.03148148148148148</v>
      </c>
      <c r="K2226" s="1111"/>
      <c r="L2226" s="1112"/>
      <c r="M2226" s="1113" t="s">
        <v>166</v>
      </c>
      <c r="N2226" s="110" t="s">
        <v>187</v>
      </c>
      <c r="O2226" s="1115" t="s">
        <v>199</v>
      </c>
      <c r="P2226" s="1115" t="s">
        <v>273</v>
      </c>
      <c r="Q2226" s="1116"/>
      <c r="R2226" s="120">
        <v>16.1</v>
      </c>
      <c r="S2226" s="1113">
        <v>-9.6</v>
      </c>
      <c r="T2226" s="110">
        <v>0.01</v>
      </c>
      <c r="U2226" s="1108"/>
      <c r="V2226" s="1108"/>
      <c r="W2226" s="1108">
        <v>0.0195350314890114</v>
      </c>
      <c r="X2226" s="1303">
        <v>0.1954</v>
      </c>
      <c r="Y2226" s="1108" t="s">
        <v>2246</v>
      </c>
      <c r="Z2226" s="1114" t="s">
        <v>335</v>
      </c>
      <c r="AA2226" s="1114">
        <v>25.0</v>
      </c>
      <c r="AB2226" s="1114" t="s">
        <v>375</v>
      </c>
      <c r="AC2226" s="1117">
        <v>2.7</v>
      </c>
      <c r="AD2226" s="1115" t="s">
        <v>1949</v>
      </c>
      <c r="AE2226" s="1115" t="s">
        <v>3317</v>
      </c>
      <c r="AF2226" s="1115">
        <v>0.04</v>
      </c>
      <c r="AG2226" s="1115">
        <v>0.14</v>
      </c>
      <c r="AH2226" s="1115" t="s">
        <v>323</v>
      </c>
      <c r="AI2226" s="1115">
        <v>24.4</v>
      </c>
      <c r="AJ2226" s="1117">
        <v>0.27</v>
      </c>
      <c r="AK2226" s="1118"/>
      <c r="AL2226" s="1115">
        <v>0.27</v>
      </c>
      <c r="AM2226" s="1115"/>
      <c r="AN2226" s="1115"/>
      <c r="AO2226" s="1115"/>
      <c r="AP2226" s="1115"/>
      <c r="AQ2226" s="1115"/>
      <c r="AR2226" s="1115"/>
      <c r="AS2226" s="1117"/>
      <c r="AT2226" s="1196" t="str">
        <f t="shared" si="428"/>
        <v/>
      </c>
      <c r="AU2226" s="1193"/>
      <c r="AV2226" s="330">
        <f>SQRT(($R2226-Infrastructure!J$3)^2+($S2226-Infrastructure!K$3)^2)</f>
        <v>41.84746109</v>
      </c>
      <c r="AW2226" s="331">
        <f>SQRT(($R2226-Infrastructure!J$4)^2+($S2226-Infrastructure!K$4)^2)</f>
        <v>31.93305497</v>
      </c>
      <c r="AX2226" s="331">
        <f>SQRT(($R2226-Infrastructure!J$5)^2+($S2226-Infrastructure!K$5)^2)</f>
        <v>22.02385071</v>
      </c>
      <c r="AY2226" s="331">
        <f>SQRT(($R2226-Infrastructure!J$6)^2+($S2226-Infrastructure!K$6)^2)</f>
        <v>11.57626883</v>
      </c>
      <c r="AZ2226" s="331">
        <f>SQRT(($R2226-Infrastructure!J$7)^2+($S2226-Infrastructure!K$7)^2)</f>
        <v>10.83374358</v>
      </c>
      <c r="BA2226" s="331">
        <f>SQRT(($R2226-Infrastructure!J$8)^2+($S2226-Infrastructure!K$8)^2)</f>
        <v>17.1467198</v>
      </c>
      <c r="BB2226" s="331">
        <f>SQRT(($R2226-Infrastructure!J$9)^2+($S2226-Infrastructure!K$9)^2)</f>
        <v>28.05886669</v>
      </c>
      <c r="BC2226" s="331">
        <f>SQRT(($R2226-Infrastructure!J$10)^2+($S2226-Infrastructure!K$10)^2)</f>
        <v>34.29825068</v>
      </c>
      <c r="BD2226" s="331">
        <f>SQRT(($R2226-Infrastructure!J$11)^2+($S2226-Infrastructure!K$11)^2)</f>
        <v>45.50571393</v>
      </c>
      <c r="BE2226" s="333">
        <f>SQRT(($R2226-Infrastructure!J$12)^2+($S2226-Infrastructure!K$12)^2)</f>
        <v>65.3235792</v>
      </c>
      <c r="BF2226" s="330">
        <f t="shared" si="161"/>
        <v>10.83374358</v>
      </c>
      <c r="BG2226" s="333">
        <f t="shared" si="162"/>
        <v>65.3235792</v>
      </c>
      <c r="BH2226" s="1119"/>
      <c r="BI2226" s="319" t="str">
        <f t="shared" ref="BI2226:BR2226" si="1306">IF(ISNUMBER(FIND(BI$3, $CO2226)), "Y", "")</f>
        <v/>
      </c>
      <c r="BJ2226" s="319" t="str">
        <f t="shared" si="1306"/>
        <v/>
      </c>
      <c r="BK2226" s="319" t="str">
        <f t="shared" si="1306"/>
        <v/>
      </c>
      <c r="BL2226" s="319" t="str">
        <f t="shared" si="1306"/>
        <v/>
      </c>
      <c r="BM2226" s="319" t="str">
        <f t="shared" si="1306"/>
        <v/>
      </c>
      <c r="BN2226" s="319" t="str">
        <f t="shared" si="1306"/>
        <v/>
      </c>
      <c r="BO2226" s="319" t="str">
        <f t="shared" si="1306"/>
        <v/>
      </c>
      <c r="BP2226" s="319" t="str">
        <f t="shared" si="1306"/>
        <v/>
      </c>
      <c r="BQ2226" s="319" t="str">
        <f t="shared" si="1306"/>
        <v/>
      </c>
      <c r="BR2226" s="319" t="str">
        <f t="shared" si="1306"/>
        <v/>
      </c>
      <c r="BS2226" s="330">
        <f t="shared" si="185"/>
        <v>0</v>
      </c>
      <c r="BT2226" s="331">
        <f t="shared" si="170"/>
        <v>0</v>
      </c>
      <c r="BU2226" s="920"/>
      <c r="BV2226" s="903" t="str">
        <f t="shared" si="1244"/>
        <v/>
      </c>
      <c r="BW2226" s="908"/>
      <c r="BX2226" s="908"/>
      <c r="BY2226" s="331" t="b">
        <f t="shared" si="201"/>
        <v>0</v>
      </c>
      <c r="BZ2226" s="331"/>
      <c r="CA2226" s="462" t="str">
        <f t="shared" ref="CA2226:CJ2226" si="1307">IF(ISNUMBER(FIND(BI$3, $CP2226)), "Y", "")</f>
        <v/>
      </c>
      <c r="CB2226" s="319" t="str">
        <f t="shared" si="1307"/>
        <v/>
      </c>
      <c r="CC2226" s="319" t="str">
        <f t="shared" si="1307"/>
        <v/>
      </c>
      <c r="CD2226" s="319" t="str">
        <f t="shared" si="1307"/>
        <v/>
      </c>
      <c r="CE2226" s="319" t="str">
        <f t="shared" si="1307"/>
        <v/>
      </c>
      <c r="CF2226" s="319" t="str">
        <f t="shared" si="1307"/>
        <v/>
      </c>
      <c r="CG2226" s="319" t="str">
        <f t="shared" si="1307"/>
        <v/>
      </c>
      <c r="CH2226" s="319" t="str">
        <f t="shared" si="1307"/>
        <v/>
      </c>
      <c r="CI2226" s="319" t="str">
        <f t="shared" si="1307"/>
        <v/>
      </c>
      <c r="CJ2226" s="319" t="str">
        <f t="shared" si="1307"/>
        <v/>
      </c>
      <c r="CK2226" s="342">
        <f t="shared" si="182"/>
        <v>0</v>
      </c>
      <c r="CL2226" s="333">
        <f t="shared" si="183"/>
        <v>0</v>
      </c>
      <c r="CM2226" s="1079"/>
      <c r="CN2226" s="1005" t="s">
        <v>3318</v>
      </c>
      <c r="CO2226" s="1005"/>
      <c r="CP2226" s="1005"/>
    </row>
    <row r="2227">
      <c r="A2227" s="266"/>
      <c r="B2227" s="1113" t="s">
        <v>1761</v>
      </c>
      <c r="C2227" s="1304">
        <v>45960.0</v>
      </c>
      <c r="D2227" s="1113" t="s">
        <v>986</v>
      </c>
      <c r="E2227" s="1108">
        <v>19.0</v>
      </c>
      <c r="F2227" s="112" t="s">
        <v>3319</v>
      </c>
      <c r="G2227" s="1110">
        <v>0.42256944444444444</v>
      </c>
      <c r="H2227" s="1110">
        <v>0.42280092592592594</v>
      </c>
      <c r="I2227" s="1110">
        <v>0.4673611111111111</v>
      </c>
      <c r="J2227" s="1111">
        <v>0.04456018518518518</v>
      </c>
      <c r="K2227" s="1111"/>
      <c r="L2227" s="1112"/>
      <c r="M2227" s="1113" t="s">
        <v>166</v>
      </c>
      <c r="N2227" s="110" t="s">
        <v>187</v>
      </c>
      <c r="O2227" s="1115" t="s">
        <v>204</v>
      </c>
      <c r="P2227" s="1115" t="s">
        <v>261</v>
      </c>
      <c r="Q2227" s="1116"/>
      <c r="R2227" s="120">
        <v>18.6</v>
      </c>
      <c r="S2227" s="1113">
        <v>-4.4</v>
      </c>
      <c r="T2227" s="110">
        <v>2.47</v>
      </c>
      <c r="U2227" s="1108"/>
      <c r="V2227" s="1108"/>
      <c r="W2227" s="1108">
        <v>0.0197830062130776</v>
      </c>
      <c r="X2227" s="1303">
        <v>0.0495</v>
      </c>
      <c r="Y2227" s="1108" t="s">
        <v>2242</v>
      </c>
      <c r="Z2227" s="1114" t="s">
        <v>339</v>
      </c>
      <c r="AA2227" s="1114">
        <v>24.0</v>
      </c>
      <c r="AB2227" s="1114" t="s">
        <v>380</v>
      </c>
      <c r="AC2227" s="1117">
        <v>4.0</v>
      </c>
      <c r="AD2227" s="1115" t="s">
        <v>1949</v>
      </c>
      <c r="AE2227" s="1115"/>
      <c r="AF2227" s="1115">
        <v>0.1</v>
      </c>
      <c r="AG2227" s="1115">
        <v>0.56</v>
      </c>
      <c r="AH2227" s="1115" t="s">
        <v>323</v>
      </c>
      <c r="AI2227" s="1115">
        <v>44.5</v>
      </c>
      <c r="AJ2227" s="1117">
        <v>1.55</v>
      </c>
      <c r="AK2227" s="1118"/>
      <c r="AL2227" s="1115">
        <v>1.55</v>
      </c>
      <c r="AM2227" s="1115"/>
      <c r="AN2227" s="1115"/>
      <c r="AO2227" s="1115"/>
      <c r="AP2227" s="1115"/>
      <c r="AQ2227" s="1115"/>
      <c r="AR2227" s="1115"/>
      <c r="AS2227" s="1117"/>
      <c r="AT2227" s="1196" t="str">
        <f t="shared" si="428"/>
        <v/>
      </c>
      <c r="AU2227" s="1193"/>
      <c r="AV2227" s="330">
        <f>SQRT(($R2227-Infrastructure!J$3)^2+($S2227-Infrastructure!K$3)^2)</f>
        <v>38.2896853</v>
      </c>
      <c r="AW2227" s="331">
        <f>SQRT(($R2227-Infrastructure!J$4)^2+($S2227-Infrastructure!K$4)^2)</f>
        <v>29.15561695</v>
      </c>
      <c r="AX2227" s="331">
        <f>SQRT(($R2227-Infrastructure!J$5)^2+($S2227-Infrastructure!K$5)^2)</f>
        <v>21.15325034</v>
      </c>
      <c r="AY2227" s="331">
        <f>SQRT(($R2227-Infrastructure!J$6)^2+($S2227-Infrastructure!K$6)^2)</f>
        <v>9.712878049</v>
      </c>
      <c r="AZ2227" s="331">
        <f>SQRT(($R2227-Infrastructure!J$7)^2+($S2227-Infrastructure!K$7)^2)</f>
        <v>5.069516742</v>
      </c>
      <c r="BA2227" s="331">
        <f>SQRT(($R2227-Infrastructure!J$8)^2+($S2227-Infrastructure!K$8)^2)</f>
        <v>12.42336508</v>
      </c>
      <c r="BB2227" s="331">
        <f>SQRT(($R2227-Infrastructure!J$9)^2+($S2227-Infrastructure!K$9)^2)</f>
        <v>23.41388477</v>
      </c>
      <c r="BC2227" s="331">
        <f>SQRT(($R2227-Infrastructure!J$10)^2+($S2227-Infrastructure!K$10)^2)</f>
        <v>28.88459797</v>
      </c>
      <c r="BD2227" s="331">
        <f>SQRT(($R2227-Infrastructure!J$11)^2+($S2227-Infrastructure!K$11)^2)</f>
        <v>39.77587208</v>
      </c>
      <c r="BE2227" s="333">
        <f>SQRT(($R2227-Infrastructure!J$12)^2+($S2227-Infrastructure!K$12)^2)</f>
        <v>59.97015925</v>
      </c>
      <c r="BF2227" s="330">
        <f t="shared" si="161"/>
        <v>5.069516742</v>
      </c>
      <c r="BG2227" s="333">
        <f t="shared" si="162"/>
        <v>59.97015925</v>
      </c>
      <c r="BH2227" s="1119"/>
      <c r="BI2227" s="319" t="str">
        <f t="shared" ref="BI2227:BR2227" si="1308">IF(ISNUMBER(FIND(BI$3, $CO2227)), "Y", "")</f>
        <v/>
      </c>
      <c r="BJ2227" s="319" t="str">
        <f t="shared" si="1308"/>
        <v/>
      </c>
      <c r="BK2227" s="319" t="str">
        <f t="shared" si="1308"/>
        <v/>
      </c>
      <c r="BL2227" s="319" t="str">
        <f t="shared" si="1308"/>
        <v/>
      </c>
      <c r="BM2227" s="319" t="str">
        <f t="shared" si="1308"/>
        <v/>
      </c>
      <c r="BN2227" s="319" t="str">
        <f t="shared" si="1308"/>
        <v/>
      </c>
      <c r="BO2227" s="319" t="str">
        <f t="shared" si="1308"/>
        <v/>
      </c>
      <c r="BP2227" s="319" t="str">
        <f t="shared" si="1308"/>
        <v/>
      </c>
      <c r="BQ2227" s="319" t="str">
        <f t="shared" si="1308"/>
        <v/>
      </c>
      <c r="BR2227" s="319" t="str">
        <f t="shared" si="1308"/>
        <v/>
      </c>
      <c r="BS2227" s="330">
        <f t="shared" si="185"/>
        <v>0</v>
      </c>
      <c r="BT2227" s="331">
        <f t="shared" si="170"/>
        <v>0</v>
      </c>
      <c r="BU2227" s="920"/>
      <c r="BV2227" s="903" t="str">
        <f t="shared" si="1244"/>
        <v/>
      </c>
      <c r="BW2227" s="908"/>
      <c r="BX2227" s="908"/>
      <c r="BY2227" s="331" t="b">
        <f t="shared" si="201"/>
        <v>0</v>
      </c>
      <c r="BZ2227" s="331"/>
      <c r="CA2227" s="462" t="str">
        <f t="shared" ref="CA2227:CJ2227" si="1309">IF(ISNUMBER(FIND(BI$3, $CP2227)), "Y", "")</f>
        <v/>
      </c>
      <c r="CB2227" s="319" t="str">
        <f t="shared" si="1309"/>
        <v/>
      </c>
      <c r="CC2227" s="319" t="str">
        <f t="shared" si="1309"/>
        <v/>
      </c>
      <c r="CD2227" s="319" t="str">
        <f t="shared" si="1309"/>
        <v/>
      </c>
      <c r="CE2227" s="319" t="str">
        <f t="shared" si="1309"/>
        <v/>
      </c>
      <c r="CF2227" s="319" t="str">
        <f t="shared" si="1309"/>
        <v/>
      </c>
      <c r="CG2227" s="319" t="str">
        <f t="shared" si="1309"/>
        <v/>
      </c>
      <c r="CH2227" s="319" t="str">
        <f t="shared" si="1309"/>
        <v/>
      </c>
      <c r="CI2227" s="319" t="str">
        <f t="shared" si="1309"/>
        <v/>
      </c>
      <c r="CJ2227" s="319" t="str">
        <f t="shared" si="1309"/>
        <v/>
      </c>
      <c r="CK2227" s="342">
        <f t="shared" si="182"/>
        <v>0</v>
      </c>
      <c r="CL2227" s="333">
        <f t="shared" si="183"/>
        <v>0</v>
      </c>
      <c r="CM2227" s="1079"/>
      <c r="CN2227" s="1005" t="s">
        <v>3318</v>
      </c>
      <c r="CO2227" s="1005"/>
      <c r="CP2227" s="1005"/>
    </row>
    <row r="2228">
      <c r="A2228" s="266"/>
      <c r="B2228" s="1113" t="s">
        <v>1761</v>
      </c>
      <c r="C2228" s="1304">
        <v>45960.0</v>
      </c>
      <c r="D2228" s="1113" t="s">
        <v>986</v>
      </c>
      <c r="E2228" s="1108" t="s">
        <v>1310</v>
      </c>
      <c r="F2228" s="112" t="s">
        <v>3320</v>
      </c>
      <c r="G2228" s="1110">
        <v>0.4722222222222222</v>
      </c>
      <c r="H2228" s="1110">
        <v>0.47256944444444443</v>
      </c>
      <c r="I2228" s="1110">
        <v>0.5090277777777777</v>
      </c>
      <c r="J2228" s="1111">
        <v>0.036458333333333336</v>
      </c>
      <c r="K2228" s="1111"/>
      <c r="L2228" s="1112"/>
      <c r="M2228" s="1113" t="s">
        <v>166</v>
      </c>
      <c r="N2228" s="110" t="s">
        <v>187</v>
      </c>
      <c r="O2228" s="1115" t="s">
        <v>198</v>
      </c>
      <c r="P2228" s="1115" t="s">
        <v>299</v>
      </c>
      <c r="Q2228" s="1116"/>
      <c r="R2228" s="120">
        <v>10.0</v>
      </c>
      <c r="S2228" s="1113">
        <v>-11.7</v>
      </c>
      <c r="T2228" s="110">
        <v>0.5</v>
      </c>
      <c r="U2228" s="1108"/>
      <c r="V2228" s="1108"/>
      <c r="W2228" s="1108">
        <v>0.0128146231559724</v>
      </c>
      <c r="X2228" s="1303">
        <v>0.0366</v>
      </c>
      <c r="Y2228" s="1108" t="s">
        <v>2244</v>
      </c>
      <c r="Z2228" s="1114" t="s">
        <v>343</v>
      </c>
      <c r="AA2228" s="1114">
        <v>18.0</v>
      </c>
      <c r="AB2228" s="1114" t="s">
        <v>375</v>
      </c>
      <c r="AC2228" s="1117">
        <v>2.7</v>
      </c>
      <c r="AD2228" s="1115" t="s">
        <v>1949</v>
      </c>
      <c r="AE2228" s="1115"/>
      <c r="AF2228" s="1115">
        <v>0.13</v>
      </c>
      <c r="AG2228" s="1115">
        <v>0.49</v>
      </c>
      <c r="AH2228" s="1115" t="s">
        <v>323</v>
      </c>
      <c r="AI2228" s="1115">
        <v>85.4</v>
      </c>
      <c r="AJ2228" s="1117">
        <v>1.11</v>
      </c>
      <c r="AK2228" s="1118"/>
      <c r="AL2228" s="1115">
        <v>1.11</v>
      </c>
      <c r="AM2228" s="1115"/>
      <c r="AN2228" s="1115"/>
      <c r="AO2228" s="1115"/>
      <c r="AP2228" s="1115"/>
      <c r="AQ2228" s="1115"/>
      <c r="AR2228" s="1115"/>
      <c r="AS2228" s="1117"/>
      <c r="AT2228" s="1196" t="str">
        <f t="shared" si="428"/>
        <v/>
      </c>
      <c r="AU2228" s="1193"/>
      <c r="AV2228" s="330">
        <f>SQRT(($R2228-Infrastructure!J$3)^2+($S2228-Infrastructure!K$3)^2)</f>
        <v>41.88615523</v>
      </c>
      <c r="AW2228" s="331">
        <f>SQRT(($R2228-Infrastructure!J$4)^2+($S2228-Infrastructure!K$4)^2)</f>
        <v>31.2464398</v>
      </c>
      <c r="AX2228" s="331">
        <f>SQRT(($R2228-Infrastructure!J$5)^2+($S2228-Infrastructure!K$5)^2)</f>
        <v>19.70609043</v>
      </c>
      <c r="AY2228" s="331">
        <f>SQRT(($R2228-Infrastructure!J$6)^2+($S2228-Infrastructure!K$6)^2)</f>
        <v>12.00041666</v>
      </c>
      <c r="AZ2228" s="331">
        <f>SQRT(($R2228-Infrastructure!J$7)^2+($S2228-Infrastructure!K$7)^2)</f>
        <v>15.94521872</v>
      </c>
      <c r="BA2228" s="331">
        <f>SQRT(($R2228-Infrastructure!J$8)^2+($S2228-Infrastructure!K$8)^2)</f>
        <v>23.40961341</v>
      </c>
      <c r="BB2228" s="331">
        <f>SQRT(($R2228-Infrastructure!J$9)^2+($S2228-Infrastructure!K$9)^2)</f>
        <v>34.38371708</v>
      </c>
      <c r="BC2228" s="331">
        <f>SQRT(($R2228-Infrastructure!J$10)^2+($S2228-Infrastructure!K$10)^2)</f>
        <v>40.16080178</v>
      </c>
      <c r="BD2228" s="331">
        <f>SQRT(($R2228-Infrastructure!J$11)^2+($S2228-Infrastructure!K$11)^2)</f>
        <v>50.68066693</v>
      </c>
      <c r="BE2228" s="333">
        <f>SQRT(($R2228-Infrastructure!J$12)^2+($S2228-Infrastructure!K$12)^2)</f>
        <v>68.17690225</v>
      </c>
      <c r="BF2228" s="330">
        <f t="shared" si="161"/>
        <v>12.00041666</v>
      </c>
      <c r="BG2228" s="333">
        <f t="shared" si="162"/>
        <v>68.17690225</v>
      </c>
      <c r="BH2228" s="1119"/>
      <c r="BI2228" s="319" t="str">
        <f t="shared" ref="BI2228:BR2228" si="1310">IF(ISNUMBER(FIND(BI$3, $CO2228)), "Y", "")</f>
        <v/>
      </c>
      <c r="BJ2228" s="319" t="str">
        <f t="shared" si="1310"/>
        <v/>
      </c>
      <c r="BK2228" s="319" t="str">
        <f t="shared" si="1310"/>
        <v/>
      </c>
      <c r="BL2228" s="319" t="str">
        <f t="shared" si="1310"/>
        <v/>
      </c>
      <c r="BM2228" s="319" t="str">
        <f t="shared" si="1310"/>
        <v/>
      </c>
      <c r="BN2228" s="319" t="str">
        <f t="shared" si="1310"/>
        <v/>
      </c>
      <c r="BO2228" s="319" t="str">
        <f t="shared" si="1310"/>
        <v/>
      </c>
      <c r="BP2228" s="319" t="str">
        <f t="shared" si="1310"/>
        <v/>
      </c>
      <c r="BQ2228" s="319" t="str">
        <f t="shared" si="1310"/>
        <v/>
      </c>
      <c r="BR2228" s="319" t="str">
        <f t="shared" si="1310"/>
        <v/>
      </c>
      <c r="BS2228" s="330">
        <f t="shared" si="185"/>
        <v>0</v>
      </c>
      <c r="BT2228" s="331">
        <f t="shared" si="170"/>
        <v>0</v>
      </c>
      <c r="BU2228" s="920"/>
      <c r="BV2228" s="903" t="str">
        <f t="shared" si="1244"/>
        <v/>
      </c>
      <c r="BW2228" s="908"/>
      <c r="BX2228" s="908"/>
      <c r="BY2228" s="331" t="b">
        <f t="shared" si="201"/>
        <v>0</v>
      </c>
      <c r="BZ2228" s="331"/>
      <c r="CA2228" s="462" t="str">
        <f t="shared" ref="CA2228:CJ2228" si="1311">IF(ISNUMBER(FIND(BI$3, $CP2228)), "Y", "")</f>
        <v/>
      </c>
      <c r="CB2228" s="319" t="str">
        <f t="shared" si="1311"/>
        <v/>
      </c>
      <c r="CC2228" s="319" t="str">
        <f t="shared" si="1311"/>
        <v/>
      </c>
      <c r="CD2228" s="319" t="str">
        <f t="shared" si="1311"/>
        <v/>
      </c>
      <c r="CE2228" s="319" t="str">
        <f t="shared" si="1311"/>
        <v/>
      </c>
      <c r="CF2228" s="319" t="str">
        <f t="shared" si="1311"/>
        <v/>
      </c>
      <c r="CG2228" s="319" t="str">
        <f t="shared" si="1311"/>
        <v/>
      </c>
      <c r="CH2228" s="319" t="str">
        <f t="shared" si="1311"/>
        <v/>
      </c>
      <c r="CI2228" s="319" t="str">
        <f t="shared" si="1311"/>
        <v/>
      </c>
      <c r="CJ2228" s="319" t="str">
        <f t="shared" si="1311"/>
        <v/>
      </c>
      <c r="CK2228" s="342">
        <f t="shared" si="182"/>
        <v>0</v>
      </c>
      <c r="CL2228" s="333">
        <f t="shared" si="183"/>
        <v>0</v>
      </c>
      <c r="CM2228" s="1079"/>
      <c r="CN2228" s="1005" t="s">
        <v>3318</v>
      </c>
      <c r="CO2228" s="1005"/>
      <c r="CP2228" s="1005"/>
    </row>
    <row r="2229">
      <c r="A2229" s="266"/>
      <c r="B2229" s="1113" t="s">
        <v>1761</v>
      </c>
      <c r="C2229" s="1304">
        <v>45960.0</v>
      </c>
      <c r="D2229" s="1113" t="s">
        <v>986</v>
      </c>
      <c r="E2229" s="1108" t="s">
        <v>1312</v>
      </c>
      <c r="F2229" s="112" t="s">
        <v>3321</v>
      </c>
      <c r="G2229" s="1110">
        <v>0.47228009259259257</v>
      </c>
      <c r="H2229" s="1110">
        <v>0.47256944444444443</v>
      </c>
      <c r="I2229" s="1110">
        <v>0.5090856481481482</v>
      </c>
      <c r="J2229" s="1111">
        <v>0.036516203703703703</v>
      </c>
      <c r="K2229" s="1111"/>
      <c r="L2229" s="1112"/>
      <c r="M2229" s="1113" t="s">
        <v>166</v>
      </c>
      <c r="N2229" s="110" t="s">
        <v>187</v>
      </c>
      <c r="O2229" s="1115" t="s">
        <v>207</v>
      </c>
      <c r="P2229" s="1115" t="s">
        <v>246</v>
      </c>
      <c r="Q2229" s="1116"/>
      <c r="R2229" s="120">
        <v>26.3</v>
      </c>
      <c r="S2229" s="1113">
        <v>-13.4</v>
      </c>
      <c r="T2229" s="110">
        <v>1.82</v>
      </c>
      <c r="U2229" s="1108"/>
      <c r="V2229" s="1108"/>
      <c r="W2229" s="1108">
        <v>0.0197676710254595</v>
      </c>
      <c r="X2229" s="1303">
        <v>0.0471</v>
      </c>
      <c r="Y2229" s="1108" t="s">
        <v>2246</v>
      </c>
      <c r="Z2229" s="1114" t="s">
        <v>374</v>
      </c>
      <c r="AA2229" s="1114">
        <v>26.0</v>
      </c>
      <c r="AB2229" s="1114" t="s">
        <v>392</v>
      </c>
      <c r="AC2229" s="1117">
        <v>10.0</v>
      </c>
      <c r="AD2229" s="1115" t="s">
        <v>1949</v>
      </c>
      <c r="AE2229" s="1115"/>
      <c r="AF2229" s="1115">
        <v>0.04</v>
      </c>
      <c r="AG2229" s="1115">
        <v>0.59</v>
      </c>
      <c r="AH2229" s="1115" t="s">
        <v>323</v>
      </c>
      <c r="AI2229" s="1115">
        <v>7.5</v>
      </c>
      <c r="AJ2229" s="1117">
        <v>1.34</v>
      </c>
      <c r="AK2229" s="1118"/>
      <c r="AL2229" s="1115">
        <v>1.34</v>
      </c>
      <c r="AM2229" s="1115"/>
      <c r="AN2229" s="1115"/>
      <c r="AO2229" s="1115"/>
      <c r="AP2229" s="1115"/>
      <c r="AQ2229" s="1115"/>
      <c r="AR2229" s="1115"/>
      <c r="AS2229" s="1117"/>
      <c r="AT2229" s="1196" t="str">
        <f t="shared" si="428"/>
        <v/>
      </c>
      <c r="AU2229" s="1193"/>
      <c r="AV2229" s="330">
        <f>SQRT(($R2229-Infrastructure!J$3)^2+($S2229-Infrastructure!K$3)^2)</f>
        <v>49.96849007</v>
      </c>
      <c r="AW2229" s="331">
        <f>SQRT(($R2229-Infrastructure!J$4)^2+($S2229-Infrastructure!K$4)^2)</f>
        <v>41</v>
      </c>
      <c r="AX2229" s="331">
        <f>SQRT(($R2229-Infrastructure!J$5)^2+($S2229-Infrastructure!K$5)^2)</f>
        <v>32.4007716</v>
      </c>
      <c r="AY2229" s="331">
        <f>SQRT(($R2229-Infrastructure!J$6)^2+($S2229-Infrastructure!K$6)^2)</f>
        <v>21.21626734</v>
      </c>
      <c r="AZ2229" s="331">
        <f>SQRT(($R2229-Infrastructure!J$7)^2+($S2229-Infrastructure!K$7)^2)</f>
        <v>14.87716371</v>
      </c>
      <c r="BA2229" s="331">
        <f>SQRT(($R2229-Infrastructure!J$8)^2+($S2229-Infrastructure!K$8)^2)</f>
        <v>14.21724305</v>
      </c>
      <c r="BB2229" s="331">
        <f>SQRT(($R2229-Infrastructure!J$9)^2+($S2229-Infrastructure!K$9)^2)</f>
        <v>23.02042571</v>
      </c>
      <c r="BC2229" s="331">
        <f>SQRT(($R2229-Infrastructure!J$10)^2+($S2229-Infrastructure!K$10)^2)</f>
        <v>31.53173005</v>
      </c>
      <c r="BD2229" s="331">
        <f>SQRT(($R2229-Infrastructure!J$11)^2+($S2229-Infrastructure!K$11)^2)</f>
        <v>44.62028687</v>
      </c>
      <c r="BE2229" s="333">
        <f>SQRT(($R2229-Infrastructure!J$12)^2+($S2229-Infrastructure!K$12)^2)</f>
        <v>69.06699646</v>
      </c>
      <c r="BF2229" s="330">
        <f t="shared" si="161"/>
        <v>14.21724305</v>
      </c>
      <c r="BG2229" s="333">
        <f t="shared" si="162"/>
        <v>69.06699646</v>
      </c>
      <c r="BH2229" s="1119"/>
      <c r="BI2229" s="319" t="str">
        <f t="shared" ref="BI2229:BR2229" si="1312">IF(ISNUMBER(FIND(BI$3, $CO2229)), "Y", "")</f>
        <v/>
      </c>
      <c r="BJ2229" s="319" t="str">
        <f t="shared" si="1312"/>
        <v/>
      </c>
      <c r="BK2229" s="319" t="str">
        <f t="shared" si="1312"/>
        <v/>
      </c>
      <c r="BL2229" s="319" t="str">
        <f t="shared" si="1312"/>
        <v/>
      </c>
      <c r="BM2229" s="319" t="str">
        <f t="shared" si="1312"/>
        <v/>
      </c>
      <c r="BN2229" s="319" t="str">
        <f t="shared" si="1312"/>
        <v/>
      </c>
      <c r="BO2229" s="319" t="str">
        <f t="shared" si="1312"/>
        <v/>
      </c>
      <c r="BP2229" s="319" t="str">
        <f t="shared" si="1312"/>
        <v/>
      </c>
      <c r="BQ2229" s="319" t="str">
        <f t="shared" si="1312"/>
        <v/>
      </c>
      <c r="BR2229" s="319" t="str">
        <f t="shared" si="1312"/>
        <v/>
      </c>
      <c r="BS2229" s="330">
        <f t="shared" si="185"/>
        <v>0</v>
      </c>
      <c r="BT2229" s="331">
        <f t="shared" si="170"/>
        <v>0</v>
      </c>
      <c r="BU2229" s="920"/>
      <c r="BV2229" s="903" t="str">
        <f t="shared" si="1244"/>
        <v/>
      </c>
      <c r="BW2229" s="908"/>
      <c r="BX2229" s="908"/>
      <c r="BY2229" s="331" t="b">
        <f t="shared" si="201"/>
        <v>0</v>
      </c>
      <c r="BZ2229" s="331"/>
      <c r="CA2229" s="462" t="str">
        <f t="shared" ref="CA2229:CJ2229" si="1313">IF(ISNUMBER(FIND(BI$3, $CP2229)), "Y", "")</f>
        <v/>
      </c>
      <c r="CB2229" s="319" t="str">
        <f t="shared" si="1313"/>
        <v/>
      </c>
      <c r="CC2229" s="319" t="str">
        <f t="shared" si="1313"/>
        <v/>
      </c>
      <c r="CD2229" s="319" t="str">
        <f t="shared" si="1313"/>
        <v/>
      </c>
      <c r="CE2229" s="319" t="str">
        <f t="shared" si="1313"/>
        <v/>
      </c>
      <c r="CF2229" s="319" t="str">
        <f t="shared" si="1313"/>
        <v/>
      </c>
      <c r="CG2229" s="319" t="str">
        <f t="shared" si="1313"/>
        <v/>
      </c>
      <c r="CH2229" s="319" t="str">
        <f t="shared" si="1313"/>
        <v/>
      </c>
      <c r="CI2229" s="319" t="str">
        <f t="shared" si="1313"/>
        <v/>
      </c>
      <c r="CJ2229" s="319" t="str">
        <f t="shared" si="1313"/>
        <v/>
      </c>
      <c r="CK2229" s="342">
        <f t="shared" si="182"/>
        <v>0</v>
      </c>
      <c r="CL2229" s="333">
        <f t="shared" si="183"/>
        <v>0</v>
      </c>
      <c r="CM2229" s="1079"/>
      <c r="CN2229" s="1005" t="s">
        <v>3318</v>
      </c>
      <c r="CO2229" s="1005"/>
      <c r="CP2229" s="1005"/>
    </row>
    <row r="2230">
      <c r="A2230" s="266"/>
      <c r="B2230" s="1113" t="s">
        <v>1761</v>
      </c>
      <c r="C2230" s="1304">
        <v>45960.0</v>
      </c>
      <c r="D2230" s="1113" t="s">
        <v>986</v>
      </c>
      <c r="E2230" s="1108">
        <v>21.0</v>
      </c>
      <c r="F2230" s="112" t="s">
        <v>3322</v>
      </c>
      <c r="G2230" s="1110">
        <v>0.5189236111111111</v>
      </c>
      <c r="H2230" s="1110">
        <v>0.5192708333333333</v>
      </c>
      <c r="I2230" s="1110">
        <v>0.5715277777777777</v>
      </c>
      <c r="J2230" s="1111">
        <v>0.052256944444444446</v>
      </c>
      <c r="K2230" s="1111"/>
      <c r="L2230" s="1112"/>
      <c r="M2230" s="1113" t="s">
        <v>166</v>
      </c>
      <c r="N2230" s="110" t="s">
        <v>187</v>
      </c>
      <c r="O2230" s="1115" t="s">
        <v>206</v>
      </c>
      <c r="P2230" s="1115" t="s">
        <v>280</v>
      </c>
      <c r="Q2230" s="1116"/>
      <c r="R2230" s="120">
        <v>20.6</v>
      </c>
      <c r="S2230" s="1113">
        <v>-8.2</v>
      </c>
      <c r="T2230" s="110">
        <v>0.35</v>
      </c>
      <c r="U2230" s="1108"/>
      <c r="V2230" s="1108"/>
      <c r="W2230" s="1108">
        <v>0.0195099226717248</v>
      </c>
      <c r="X2230" s="1303">
        <v>0.0697</v>
      </c>
      <c r="Y2230" s="1108" t="s">
        <v>2242</v>
      </c>
      <c r="Z2230" s="1114" t="s">
        <v>347</v>
      </c>
      <c r="AA2230" s="1114">
        <v>12.2</v>
      </c>
      <c r="AB2230" s="1114" t="s">
        <v>3257</v>
      </c>
      <c r="AC2230" s="1117">
        <v>3.0</v>
      </c>
      <c r="AD2230" s="1115" t="s">
        <v>1949</v>
      </c>
      <c r="AE2230" s="1115" t="s">
        <v>3323</v>
      </c>
      <c r="AF2230" s="1115">
        <v>0.09</v>
      </c>
      <c r="AG2230" s="1115">
        <v>0.39</v>
      </c>
      <c r="AH2230" s="1115" t="s">
        <v>323</v>
      </c>
      <c r="AI2230" s="1115">
        <v>55.3</v>
      </c>
      <c r="AJ2230" s="1117">
        <v>1.27</v>
      </c>
      <c r="AK2230" s="1118"/>
      <c r="AL2230" s="1115">
        <v>1.27</v>
      </c>
      <c r="AM2230" s="1115"/>
      <c r="AN2230" s="1115"/>
      <c r="AO2230" s="1115"/>
      <c r="AP2230" s="1115"/>
      <c r="AQ2230" s="1115"/>
      <c r="AR2230" s="1115"/>
      <c r="AS2230" s="1117"/>
      <c r="AT2230" s="1196" t="str">
        <f t="shared" si="428"/>
        <v/>
      </c>
      <c r="AU2230" s="1193"/>
      <c r="AV2230" s="330">
        <f>SQRT(($R2230-Infrastructure!J$3)^2+($S2230-Infrastructure!K$3)^2)</f>
        <v>42.58192105</v>
      </c>
      <c r="AW2230" s="331">
        <f>SQRT(($R2230-Infrastructure!J$4)^2+($S2230-Infrastructure!K$4)^2)</f>
        <v>33.35880693</v>
      </c>
      <c r="AX2230" s="331">
        <f>SQRT(($R2230-Infrastructure!J$5)^2+($S2230-Infrastructure!K$5)^2)</f>
        <v>24.77296914</v>
      </c>
      <c r="AY2230" s="331">
        <f>SQRT(($R2230-Infrastructure!J$6)^2+($S2230-Infrastructure!K$6)^2)</f>
        <v>13.50925609</v>
      </c>
      <c r="AZ2230" s="331">
        <f>SQRT(($R2230-Infrastructure!J$7)^2+($S2230-Infrastructure!K$7)^2)</f>
        <v>8.500588215</v>
      </c>
      <c r="BA2230" s="331">
        <f>SQRT(($R2230-Infrastructure!J$8)^2+($S2230-Infrastructure!K$8)^2)</f>
        <v>12.74754878</v>
      </c>
      <c r="BB2230" s="331">
        <f>SQRT(($R2230-Infrastructure!J$9)^2+($S2230-Infrastructure!K$9)^2)</f>
        <v>23.52126697</v>
      </c>
      <c r="BC2230" s="331">
        <f>SQRT(($R2230-Infrastructure!J$10)^2+($S2230-Infrastructure!K$10)^2)</f>
        <v>30.24235441</v>
      </c>
      <c r="BD2230" s="331">
        <f>SQRT(($R2230-Infrastructure!J$11)^2+($S2230-Infrastructure!K$11)^2)</f>
        <v>42.04759208</v>
      </c>
      <c r="BE2230" s="333">
        <f>SQRT(($R2230-Infrastructure!J$12)^2+($S2230-Infrastructure!K$12)^2)</f>
        <v>63.70635761</v>
      </c>
      <c r="BF2230" s="330">
        <f t="shared" si="161"/>
        <v>8.500588215</v>
      </c>
      <c r="BG2230" s="333">
        <f t="shared" si="162"/>
        <v>63.70635761</v>
      </c>
      <c r="BH2230" s="1119"/>
      <c r="BI2230" s="319" t="str">
        <f t="shared" ref="BI2230:BR2230" si="1314">IF(ISNUMBER(FIND(BI$3, $CO2230)), "Y", "")</f>
        <v/>
      </c>
      <c r="BJ2230" s="319" t="str">
        <f t="shared" si="1314"/>
        <v/>
      </c>
      <c r="BK2230" s="319" t="str">
        <f t="shared" si="1314"/>
        <v/>
      </c>
      <c r="BL2230" s="319" t="str">
        <f t="shared" si="1314"/>
        <v/>
      </c>
      <c r="BM2230" s="319" t="str">
        <f t="shared" si="1314"/>
        <v/>
      </c>
      <c r="BN2230" s="319" t="str">
        <f t="shared" si="1314"/>
        <v/>
      </c>
      <c r="BO2230" s="319" t="str">
        <f t="shared" si="1314"/>
        <v/>
      </c>
      <c r="BP2230" s="319" t="str">
        <f t="shared" si="1314"/>
        <v/>
      </c>
      <c r="BQ2230" s="319" t="str">
        <f t="shared" si="1314"/>
        <v/>
      </c>
      <c r="BR2230" s="319" t="str">
        <f t="shared" si="1314"/>
        <v/>
      </c>
      <c r="BS2230" s="330">
        <f t="shared" si="185"/>
        <v>0</v>
      </c>
      <c r="BT2230" s="331">
        <f t="shared" si="170"/>
        <v>0</v>
      </c>
      <c r="BU2230" s="920"/>
      <c r="BV2230" s="903" t="str">
        <f t="shared" si="1244"/>
        <v/>
      </c>
      <c r="BW2230" s="908"/>
      <c r="BX2230" s="908"/>
      <c r="BY2230" s="331" t="b">
        <f t="shared" si="201"/>
        <v>0</v>
      </c>
      <c r="BZ2230" s="331"/>
      <c r="CA2230" s="462" t="str">
        <f t="shared" ref="CA2230:CJ2230" si="1315">IF(ISNUMBER(FIND(BI$3, $CP2230)), "Y", "")</f>
        <v/>
      </c>
      <c r="CB2230" s="319" t="str">
        <f t="shared" si="1315"/>
        <v/>
      </c>
      <c r="CC2230" s="319" t="str">
        <f t="shared" si="1315"/>
        <v/>
      </c>
      <c r="CD2230" s="319" t="str">
        <f t="shared" si="1315"/>
        <v/>
      </c>
      <c r="CE2230" s="319" t="str">
        <f t="shared" si="1315"/>
        <v/>
      </c>
      <c r="CF2230" s="319" t="str">
        <f t="shared" si="1315"/>
        <v/>
      </c>
      <c r="CG2230" s="319" t="str">
        <f t="shared" si="1315"/>
        <v/>
      </c>
      <c r="CH2230" s="319" t="str">
        <f t="shared" si="1315"/>
        <v/>
      </c>
      <c r="CI2230" s="319" t="str">
        <f t="shared" si="1315"/>
        <v/>
      </c>
      <c r="CJ2230" s="319" t="str">
        <f t="shared" si="1315"/>
        <v/>
      </c>
      <c r="CK2230" s="342">
        <f t="shared" si="182"/>
        <v>0</v>
      </c>
      <c r="CL2230" s="333">
        <f t="shared" si="183"/>
        <v>0</v>
      </c>
      <c r="CM2230" s="1079"/>
      <c r="CN2230" s="1005" t="s">
        <v>3324</v>
      </c>
      <c r="CO2230" s="1005"/>
      <c r="CP2230" s="1005"/>
    </row>
    <row r="2231">
      <c r="A2231" s="266"/>
      <c r="B2231" s="1113" t="s">
        <v>1761</v>
      </c>
      <c r="C2231" s="1304">
        <v>45960.0</v>
      </c>
      <c r="D2231" s="1113" t="s">
        <v>986</v>
      </c>
      <c r="E2231" s="1108">
        <v>22.0</v>
      </c>
      <c r="F2231" s="112" t="s">
        <v>3325</v>
      </c>
      <c r="G2231" s="1110">
        <v>0.5798611111111112</v>
      </c>
      <c r="H2231" s="1110">
        <v>0.5803819444444445</v>
      </c>
      <c r="I2231" s="1110">
        <v>0.6118055555555556</v>
      </c>
      <c r="J2231" s="1111">
        <v>0.03142361111111111</v>
      </c>
      <c r="K2231" s="1111"/>
      <c r="L2231" s="1112"/>
      <c r="M2231" s="1113" t="s">
        <v>166</v>
      </c>
      <c r="N2231" s="110" t="s">
        <v>187</v>
      </c>
      <c r="O2231" s="1115" t="s">
        <v>207</v>
      </c>
      <c r="P2231" s="1115" t="s">
        <v>270</v>
      </c>
      <c r="Q2231" s="1116"/>
      <c r="R2231" s="120">
        <v>26.3</v>
      </c>
      <c r="S2231" s="1113">
        <v>-12.4</v>
      </c>
      <c r="T2231" s="110">
        <v>1.57</v>
      </c>
      <c r="U2231" s="1108"/>
      <c r="V2231" s="1108"/>
      <c r="W2231" s="1108">
        <v>0.0262142759355788</v>
      </c>
      <c r="X2231" s="1303">
        <v>0.0094</v>
      </c>
      <c r="Y2231" s="1108" t="s">
        <v>2246</v>
      </c>
      <c r="Z2231" s="1114" t="s">
        <v>374</v>
      </c>
      <c r="AA2231" s="1114">
        <v>77.5</v>
      </c>
      <c r="AB2231" s="1114" t="s">
        <v>388</v>
      </c>
      <c r="AC2231" s="1117">
        <v>8.0</v>
      </c>
      <c r="AD2231" s="1115" t="s">
        <v>1949</v>
      </c>
      <c r="AE2231" s="1115" t="s">
        <v>3326</v>
      </c>
      <c r="AF2231" s="1115">
        <v>0.35</v>
      </c>
      <c r="AG2231" s="1115">
        <v>3.91</v>
      </c>
      <c r="AH2231" s="1115" t="s">
        <v>323</v>
      </c>
      <c r="AI2231" s="1115">
        <v>77.8</v>
      </c>
      <c r="AJ2231" s="1117">
        <v>7.73</v>
      </c>
      <c r="AK2231" s="1118"/>
      <c r="AL2231" s="1115">
        <v>7.73</v>
      </c>
      <c r="AM2231" s="1115"/>
      <c r="AN2231" s="1115"/>
      <c r="AO2231" s="1115"/>
      <c r="AP2231" s="1115"/>
      <c r="AQ2231" s="1115"/>
      <c r="AR2231" s="1115"/>
      <c r="AS2231" s="1117"/>
      <c r="AT2231" s="1196" t="str">
        <f t="shared" si="428"/>
        <v/>
      </c>
      <c r="AU2231" s="1193"/>
      <c r="AV2231" s="330">
        <f>SQRT(($R2231-Infrastructure!J$3)^2+($S2231-Infrastructure!K$3)^2)</f>
        <v>49.12484097</v>
      </c>
      <c r="AW2231" s="331">
        <f>SQRT(($R2231-Infrastructure!J$4)^2+($S2231-Infrastructure!K$4)^2)</f>
        <v>40.24425425</v>
      </c>
      <c r="AX2231" s="331">
        <f>SQRT(($R2231-Infrastructure!J$5)^2+($S2231-Infrastructure!K$5)^2)</f>
        <v>31.84038316</v>
      </c>
      <c r="AY2231" s="331">
        <f>SQRT(($R2231-Infrastructure!J$6)^2+($S2231-Infrastructure!K$6)^2)</f>
        <v>20.58470306</v>
      </c>
      <c r="AZ2231" s="331">
        <f>SQRT(($R2231-Infrastructure!J$7)^2+($S2231-Infrastructure!K$7)^2)</f>
        <v>13.96173342</v>
      </c>
      <c r="BA2231" s="331">
        <f>SQRT(($R2231-Infrastructure!J$8)^2+($S2231-Infrastructure!K$8)^2)</f>
        <v>13.25631925</v>
      </c>
      <c r="BB2231" s="331">
        <f>SQRT(($R2231-Infrastructure!J$9)^2+($S2231-Infrastructure!K$9)^2)</f>
        <v>22.22476097</v>
      </c>
      <c r="BC2231" s="331">
        <f>SQRT(($R2231-Infrastructure!J$10)^2+($S2231-Infrastructure!K$10)^2)</f>
        <v>30.63413129</v>
      </c>
      <c r="BD2231" s="331">
        <f>SQRT(($R2231-Infrastructure!J$11)^2+($S2231-Infrastructure!K$11)^2)</f>
        <v>43.67115753</v>
      </c>
      <c r="BE2231" s="333">
        <f>SQRT(($R2231-Infrastructure!J$12)^2+($S2231-Infrastructure!K$12)^2)</f>
        <v>68.06944983</v>
      </c>
      <c r="BF2231" s="330">
        <f t="shared" si="161"/>
        <v>13.25631925</v>
      </c>
      <c r="BG2231" s="333">
        <f t="shared" si="162"/>
        <v>68.06944983</v>
      </c>
      <c r="BH2231" s="1119"/>
      <c r="BI2231" s="319" t="str">
        <f t="shared" ref="BI2231:BR2231" si="1316">IF(ISNUMBER(FIND(BI$3, $CO2231)), "Y", "")</f>
        <v/>
      </c>
      <c r="BJ2231" s="319" t="str">
        <f t="shared" si="1316"/>
        <v/>
      </c>
      <c r="BK2231" s="319" t="str">
        <f t="shared" si="1316"/>
        <v/>
      </c>
      <c r="BL2231" s="319" t="str">
        <f t="shared" si="1316"/>
        <v/>
      </c>
      <c r="BM2231" s="319" t="str">
        <f t="shared" si="1316"/>
        <v/>
      </c>
      <c r="BN2231" s="319" t="str">
        <f t="shared" si="1316"/>
        <v/>
      </c>
      <c r="BO2231" s="319" t="str">
        <f t="shared" si="1316"/>
        <v/>
      </c>
      <c r="BP2231" s="319" t="str">
        <f t="shared" si="1316"/>
        <v/>
      </c>
      <c r="BQ2231" s="319" t="str">
        <f t="shared" si="1316"/>
        <v/>
      </c>
      <c r="BR2231" s="319" t="str">
        <f t="shared" si="1316"/>
        <v/>
      </c>
      <c r="BS2231" s="330">
        <f t="shared" si="185"/>
        <v>0</v>
      </c>
      <c r="BT2231" s="331">
        <f t="shared" si="170"/>
        <v>0</v>
      </c>
      <c r="BU2231" s="920"/>
      <c r="BV2231" s="903" t="str">
        <f t="shared" si="1244"/>
        <v/>
      </c>
      <c r="BW2231" s="908"/>
      <c r="BX2231" s="908"/>
      <c r="BY2231" s="331" t="b">
        <f t="shared" si="201"/>
        <v>0</v>
      </c>
      <c r="BZ2231" s="331"/>
      <c r="CA2231" s="462" t="str">
        <f t="shared" ref="CA2231:CJ2231" si="1317">IF(ISNUMBER(FIND(BI$3, $CP2231)), "Y", "")</f>
        <v/>
      </c>
      <c r="CB2231" s="319" t="str">
        <f t="shared" si="1317"/>
        <v/>
      </c>
      <c r="CC2231" s="319" t="str">
        <f t="shared" si="1317"/>
        <v/>
      </c>
      <c r="CD2231" s="319" t="str">
        <f t="shared" si="1317"/>
        <v/>
      </c>
      <c r="CE2231" s="319" t="str">
        <f t="shared" si="1317"/>
        <v/>
      </c>
      <c r="CF2231" s="319" t="str">
        <f t="shared" si="1317"/>
        <v/>
      </c>
      <c r="CG2231" s="319" t="str">
        <f t="shared" si="1317"/>
        <v/>
      </c>
      <c r="CH2231" s="319" t="str">
        <f t="shared" si="1317"/>
        <v/>
      </c>
      <c r="CI2231" s="319" t="str">
        <f t="shared" si="1317"/>
        <v/>
      </c>
      <c r="CJ2231" s="319" t="str">
        <f t="shared" si="1317"/>
        <v/>
      </c>
      <c r="CK2231" s="342">
        <f t="shared" si="182"/>
        <v>0</v>
      </c>
      <c r="CL2231" s="333">
        <f t="shared" si="183"/>
        <v>0</v>
      </c>
      <c r="CM2231" s="1079"/>
      <c r="CN2231" s="1005" t="s">
        <v>3324</v>
      </c>
      <c r="CO2231" s="1005"/>
      <c r="CP2231" s="1005"/>
    </row>
    <row r="2232">
      <c r="A2232" s="266"/>
      <c r="B2232" s="1113" t="s">
        <v>1761</v>
      </c>
      <c r="C2232" s="1304">
        <v>45960.0</v>
      </c>
      <c r="D2232" s="1113" t="s">
        <v>986</v>
      </c>
      <c r="E2232" s="1108">
        <v>23.0</v>
      </c>
      <c r="F2232" s="112" t="s">
        <v>3327</v>
      </c>
      <c r="G2232" s="1110">
        <v>0.6229166666666667</v>
      </c>
      <c r="H2232" s="1110">
        <v>0.6232638888888888</v>
      </c>
      <c r="I2232" s="1110">
        <v>0.6583333333333333</v>
      </c>
      <c r="J2232" s="1111">
        <v>0.035069444444444445</v>
      </c>
      <c r="K2232" s="1111"/>
      <c r="L2232" s="1112"/>
      <c r="M2232" s="1113" t="s">
        <v>166</v>
      </c>
      <c r="N2232" s="110" t="s">
        <v>187</v>
      </c>
      <c r="O2232" s="1115" t="s">
        <v>205</v>
      </c>
      <c r="P2232" s="1115" t="s">
        <v>297</v>
      </c>
      <c r="Q2232" s="1116"/>
      <c r="R2232" s="120">
        <v>20.7</v>
      </c>
      <c r="S2232" s="1113">
        <v>-5.1</v>
      </c>
      <c r="T2232" s="110">
        <v>1.2</v>
      </c>
      <c r="U2232" s="1108"/>
      <c r="V2232" s="1108"/>
      <c r="W2232" s="1108">
        <v>0.0132704218109297</v>
      </c>
      <c r="X2232" s="1303">
        <v>0.0221</v>
      </c>
      <c r="Y2232" s="1108" t="s">
        <v>2244</v>
      </c>
      <c r="Z2232" s="1114" t="s">
        <v>370</v>
      </c>
      <c r="AA2232" s="1114">
        <v>36.8</v>
      </c>
      <c r="AB2232" s="1114" t="s">
        <v>380</v>
      </c>
      <c r="AC2232" s="1117">
        <v>4.0</v>
      </c>
      <c r="AD2232" s="1115" t="s">
        <v>1949</v>
      </c>
      <c r="AE2232" s="1115" t="s">
        <v>3328</v>
      </c>
      <c r="AF2232" s="1115">
        <v>0.15</v>
      </c>
      <c r="AG2232" s="1115">
        <v>0.84</v>
      </c>
      <c r="AH2232" s="1115" t="s">
        <v>323</v>
      </c>
      <c r="AI2232" s="1115">
        <v>66.7</v>
      </c>
      <c r="AJ2232" s="1117">
        <v>1.84</v>
      </c>
      <c r="AK2232" s="1118"/>
      <c r="AL2232" s="1115">
        <v>1.84</v>
      </c>
      <c r="AM2232" s="1115"/>
      <c r="AN2232" s="1115"/>
      <c r="AO2232" s="1115"/>
      <c r="AP2232" s="1115"/>
      <c r="AQ2232" s="1115"/>
      <c r="AR2232" s="1115"/>
      <c r="AS2232" s="1117"/>
      <c r="AT2232" s="1196" t="str">
        <f t="shared" si="428"/>
        <v/>
      </c>
      <c r="AU2232" s="1193"/>
      <c r="AV2232" s="330">
        <f>SQRT(($R2232-Infrastructure!J$3)^2+($S2232-Infrastructure!K$3)^2)</f>
        <v>39.96248241</v>
      </c>
      <c r="AW2232" s="331">
        <f>SQRT(($R2232-Infrastructure!J$4)^2+($S2232-Infrastructure!K$4)^2)</f>
        <v>31.07104762</v>
      </c>
      <c r="AX2232" s="331">
        <f>SQRT(($R2232-Infrastructure!J$5)^2+($S2232-Infrastructure!K$5)^2)</f>
        <v>23.34609175</v>
      </c>
      <c r="AY2232" s="331">
        <f>SQRT(($R2232-Infrastructure!J$6)^2+($S2232-Infrastructure!K$6)^2)</f>
        <v>11.89621789</v>
      </c>
      <c r="AZ2232" s="331">
        <f>SQRT(($R2232-Infrastructure!J$7)^2+($S2232-Infrastructure!K$7)^2)</f>
        <v>5.403702434</v>
      </c>
      <c r="BA2232" s="331">
        <f>SQRT(($R2232-Infrastructure!J$8)^2+($S2232-Infrastructure!K$8)^2)</f>
        <v>10.84066419</v>
      </c>
      <c r="BB2232" s="331">
        <f>SQRT(($R2232-Infrastructure!J$9)^2+($S2232-Infrastructure!K$9)^2)</f>
        <v>21.82956711</v>
      </c>
      <c r="BC2232" s="331">
        <f>SQRT(($R2232-Infrastructure!J$10)^2+($S2232-Infrastructure!K$10)^2)</f>
        <v>27.86574959</v>
      </c>
      <c r="BD2232" s="331">
        <f>SQRT(($R2232-Infrastructure!J$11)^2+($S2232-Infrastructure!K$11)^2)</f>
        <v>39.2818024</v>
      </c>
      <c r="BE2232" s="333">
        <f>SQRT(($R2232-Infrastructure!J$12)^2+($S2232-Infrastructure!K$12)^2)</f>
        <v>60.6052803</v>
      </c>
      <c r="BF2232" s="330">
        <f t="shared" si="161"/>
        <v>5.403702434</v>
      </c>
      <c r="BG2232" s="333">
        <f t="shared" si="162"/>
        <v>60.6052803</v>
      </c>
      <c r="BH2232" s="1119"/>
      <c r="BI2232" s="319" t="str">
        <f t="shared" ref="BI2232:BR2232" si="1318">IF(ISNUMBER(FIND(BI$3, $CO2232)), "Y", "")</f>
        <v/>
      </c>
      <c r="BJ2232" s="319" t="str">
        <f t="shared" si="1318"/>
        <v/>
      </c>
      <c r="BK2232" s="319" t="str">
        <f t="shared" si="1318"/>
        <v/>
      </c>
      <c r="BL2232" s="319" t="str">
        <f t="shared" si="1318"/>
        <v/>
      </c>
      <c r="BM2232" s="319" t="str">
        <f t="shared" si="1318"/>
        <v/>
      </c>
      <c r="BN2232" s="319" t="str">
        <f t="shared" si="1318"/>
        <v/>
      </c>
      <c r="BO2232" s="319" t="str">
        <f t="shared" si="1318"/>
        <v/>
      </c>
      <c r="BP2232" s="319" t="str">
        <f t="shared" si="1318"/>
        <v/>
      </c>
      <c r="BQ2232" s="319" t="str">
        <f t="shared" si="1318"/>
        <v/>
      </c>
      <c r="BR2232" s="319" t="str">
        <f t="shared" si="1318"/>
        <v/>
      </c>
      <c r="BS2232" s="330">
        <f t="shared" si="185"/>
        <v>0</v>
      </c>
      <c r="BT2232" s="331">
        <f t="shared" si="170"/>
        <v>0</v>
      </c>
      <c r="BU2232" s="920"/>
      <c r="BV2232" s="903" t="str">
        <f t="shared" si="1244"/>
        <v/>
      </c>
      <c r="BW2232" s="908"/>
      <c r="BX2232" s="908"/>
      <c r="BY2232" s="331" t="b">
        <f t="shared" si="201"/>
        <v>0</v>
      </c>
      <c r="BZ2232" s="331"/>
      <c r="CA2232" s="462" t="str">
        <f t="shared" ref="CA2232:CJ2232" si="1319">IF(ISNUMBER(FIND(BI$3, $CP2232)), "Y", "")</f>
        <v/>
      </c>
      <c r="CB2232" s="319" t="str">
        <f t="shared" si="1319"/>
        <v/>
      </c>
      <c r="CC2232" s="319" t="str">
        <f t="shared" si="1319"/>
        <v/>
      </c>
      <c r="CD2232" s="319" t="str">
        <f t="shared" si="1319"/>
        <v/>
      </c>
      <c r="CE2232" s="319" t="str">
        <f t="shared" si="1319"/>
        <v/>
      </c>
      <c r="CF2232" s="319" t="str">
        <f t="shared" si="1319"/>
        <v/>
      </c>
      <c r="CG2232" s="319" t="str">
        <f t="shared" si="1319"/>
        <v/>
      </c>
      <c r="CH2232" s="319" t="str">
        <f t="shared" si="1319"/>
        <v/>
      </c>
      <c r="CI2232" s="319" t="str">
        <f t="shared" si="1319"/>
        <v/>
      </c>
      <c r="CJ2232" s="319" t="str">
        <f t="shared" si="1319"/>
        <v/>
      </c>
      <c r="CK2232" s="342">
        <f t="shared" si="182"/>
        <v>0</v>
      </c>
      <c r="CL2232" s="333">
        <f t="shared" si="183"/>
        <v>0</v>
      </c>
      <c r="CM2232" s="1079"/>
      <c r="CN2232" s="1005" t="s">
        <v>3324</v>
      </c>
      <c r="CO2232" s="1005"/>
      <c r="CP2232" s="1005"/>
    </row>
    <row r="2233">
      <c r="A2233" s="266"/>
      <c r="B2233" s="1113" t="s">
        <v>1761</v>
      </c>
      <c r="C2233" s="1304">
        <v>45960.0</v>
      </c>
      <c r="D2233" s="1113" t="s">
        <v>986</v>
      </c>
      <c r="E2233" s="1108">
        <v>24.0</v>
      </c>
      <c r="F2233" s="112" t="s">
        <v>3329</v>
      </c>
      <c r="G2233" s="1110">
        <v>0.6666666666666666</v>
      </c>
      <c r="H2233" s="1110">
        <v>0.6670138888888889</v>
      </c>
      <c r="I2233" s="1110">
        <v>0.6881944444444444</v>
      </c>
      <c r="J2233" s="1111">
        <v>0.021180555555555557</v>
      </c>
      <c r="K2233" s="1111"/>
      <c r="L2233" s="1112"/>
      <c r="M2233" s="1113" t="s">
        <v>166</v>
      </c>
      <c r="N2233" s="110" t="s">
        <v>188</v>
      </c>
      <c r="O2233" s="1115" t="s">
        <v>196</v>
      </c>
      <c r="P2233" s="1115" t="s">
        <v>302</v>
      </c>
      <c r="Q2233" s="1116"/>
      <c r="R2233" s="120">
        <v>21.7</v>
      </c>
      <c r="S2233" s="1113">
        <v>-39.5</v>
      </c>
      <c r="T2233" s="110">
        <v>1.28</v>
      </c>
      <c r="U2233" s="1108"/>
      <c r="V2233" s="1108"/>
      <c r="W2233" s="1108">
        <v>0.451908523963276</v>
      </c>
      <c r="X2233" s="1303">
        <v>0.0205</v>
      </c>
      <c r="Y2233" s="1108" t="s">
        <v>3274</v>
      </c>
      <c r="Z2233" s="1114" t="s">
        <v>387</v>
      </c>
      <c r="AA2233" s="1114">
        <v>12.3</v>
      </c>
      <c r="AB2233" s="1114" t="s">
        <v>413</v>
      </c>
      <c r="AC2233" s="1117">
        <v>24.3</v>
      </c>
      <c r="AD2233" s="1115" t="s">
        <v>1949</v>
      </c>
      <c r="AE2233" s="1115"/>
      <c r="AF2233" s="1115">
        <v>0.91</v>
      </c>
      <c r="AG2233" s="1115">
        <v>30.74</v>
      </c>
      <c r="AH2233" s="1115" t="s">
        <v>323</v>
      </c>
      <c r="AI2233" s="1115">
        <v>66.3</v>
      </c>
      <c r="AJ2233" s="1117">
        <v>40.92</v>
      </c>
      <c r="AK2233" s="1118"/>
      <c r="AL2233" s="1115">
        <v>40.92</v>
      </c>
      <c r="AM2233" s="1115"/>
      <c r="AN2233" s="1115"/>
      <c r="AO2233" s="1115"/>
      <c r="AP2233" s="1115"/>
      <c r="AQ2233" s="1115"/>
      <c r="AR2233" s="1115"/>
      <c r="AS2233" s="1117"/>
      <c r="AT2233" s="1196" t="str">
        <f t="shared" si="428"/>
        <v/>
      </c>
      <c r="AU2233" s="1193"/>
      <c r="AV2233" s="330">
        <f>SQRT(($R2233-Infrastructure!J$3)^2+($S2233-Infrastructure!K$3)^2)</f>
        <v>71.85095685</v>
      </c>
      <c r="AW2233" s="331">
        <f>SQRT(($R2233-Infrastructure!J$4)^2+($S2233-Infrastructure!K$4)^2)</f>
        <v>61.37825348</v>
      </c>
      <c r="AX2233" s="331">
        <f>SQRT(($R2233-Infrastructure!J$5)^2+($S2233-Infrastructure!K$5)^2)</f>
        <v>49.73087572</v>
      </c>
      <c r="AY2233" s="331">
        <f>SQRT(($R2233-Infrastructure!J$6)^2+($S2233-Infrastructure!K$6)^2)</f>
        <v>41.45600077</v>
      </c>
      <c r="AZ2233" s="331">
        <f>SQRT(($R2233-Infrastructure!J$7)^2+($S2233-Infrastructure!K$7)^2)</f>
        <v>39.81808634</v>
      </c>
      <c r="BA2233" s="331">
        <f>SQRT(($R2233-Infrastructure!J$8)^2+($S2233-Infrastructure!K$8)^2)</f>
        <v>40.6767747</v>
      </c>
      <c r="BB2233" s="331">
        <f>SQRT(($R2233-Infrastructure!J$9)^2+($S2233-Infrastructure!K$9)^2)</f>
        <v>48.20840176</v>
      </c>
      <c r="BC2233" s="331">
        <f>SQRT(($R2233-Infrastructure!J$10)^2+($S2233-Infrastructure!K$10)^2)</f>
        <v>57.49034702</v>
      </c>
      <c r="BD2233" s="331">
        <f>SQRT(($R2233-Infrastructure!J$11)^2+($S2233-Infrastructure!K$11)^2)</f>
        <v>70.95421059</v>
      </c>
      <c r="BE2233" s="333">
        <f>SQRT(($R2233-Infrastructure!J$12)^2+($S2233-Infrastructure!K$12)^2)</f>
        <v>95.00021053</v>
      </c>
      <c r="BF2233" s="330">
        <f t="shared" si="161"/>
        <v>39.81808634</v>
      </c>
      <c r="BG2233" s="333">
        <f t="shared" si="162"/>
        <v>95.00021053</v>
      </c>
      <c r="BH2233" s="1119"/>
      <c r="BI2233" s="319" t="str">
        <f t="shared" ref="BI2233:BR2233" si="1320">IF(ISNUMBER(FIND(BI$3, $CO2233)), "Y", "")</f>
        <v/>
      </c>
      <c r="BJ2233" s="319" t="str">
        <f t="shared" si="1320"/>
        <v/>
      </c>
      <c r="BK2233" s="319" t="str">
        <f t="shared" si="1320"/>
        <v/>
      </c>
      <c r="BL2233" s="319" t="str">
        <f t="shared" si="1320"/>
        <v/>
      </c>
      <c r="BM2233" s="319" t="str">
        <f t="shared" si="1320"/>
        <v/>
      </c>
      <c r="BN2233" s="319" t="str">
        <f t="shared" si="1320"/>
        <v/>
      </c>
      <c r="BO2233" s="319" t="str">
        <f t="shared" si="1320"/>
        <v/>
      </c>
      <c r="BP2233" s="319" t="str">
        <f t="shared" si="1320"/>
        <v/>
      </c>
      <c r="BQ2233" s="319" t="str">
        <f t="shared" si="1320"/>
        <v/>
      </c>
      <c r="BR2233" s="319" t="str">
        <f t="shared" si="1320"/>
        <v/>
      </c>
      <c r="BS2233" s="330">
        <f t="shared" si="185"/>
        <v>0</v>
      </c>
      <c r="BT2233" s="331">
        <f t="shared" si="170"/>
        <v>0</v>
      </c>
      <c r="BU2233" s="920"/>
      <c r="BV2233" s="903" t="str">
        <f t="shared" si="1244"/>
        <v/>
      </c>
      <c r="BW2233" s="908"/>
      <c r="BX2233" s="908"/>
      <c r="BY2233" s="331" t="b">
        <f t="shared" si="201"/>
        <v>0</v>
      </c>
      <c r="BZ2233" s="331"/>
      <c r="CA2233" s="462" t="str">
        <f t="shared" ref="CA2233:CJ2233" si="1321">IF(ISNUMBER(FIND(BI$3, $CP2233)), "Y", "")</f>
        <v/>
      </c>
      <c r="CB2233" s="319" t="str">
        <f t="shared" si="1321"/>
        <v/>
      </c>
      <c r="CC2233" s="319" t="str">
        <f t="shared" si="1321"/>
        <v/>
      </c>
      <c r="CD2233" s="319" t="str">
        <f t="shared" si="1321"/>
        <v/>
      </c>
      <c r="CE2233" s="319" t="str">
        <f t="shared" si="1321"/>
        <v/>
      </c>
      <c r="CF2233" s="319" t="str">
        <f t="shared" si="1321"/>
        <v/>
      </c>
      <c r="CG2233" s="319" t="str">
        <f t="shared" si="1321"/>
        <v/>
      </c>
      <c r="CH2233" s="319" t="str">
        <f t="shared" si="1321"/>
        <v/>
      </c>
      <c r="CI2233" s="319" t="str">
        <f t="shared" si="1321"/>
        <v/>
      </c>
      <c r="CJ2233" s="319" t="str">
        <f t="shared" si="1321"/>
        <v/>
      </c>
      <c r="CK2233" s="342">
        <f t="shared" si="182"/>
        <v>0</v>
      </c>
      <c r="CL2233" s="333">
        <f t="shared" si="183"/>
        <v>0</v>
      </c>
      <c r="CM2233" s="1079"/>
      <c r="CN2233" s="1005" t="s">
        <v>3324</v>
      </c>
      <c r="CO2233" s="1005"/>
      <c r="CP2233" s="1005"/>
    </row>
    <row r="2234">
      <c r="A2234" s="266"/>
      <c r="B2234" s="1113" t="s">
        <v>1761</v>
      </c>
      <c r="C2234" s="1304">
        <v>45960.0</v>
      </c>
      <c r="D2234" s="1113" t="s">
        <v>986</v>
      </c>
      <c r="E2234" s="1108">
        <v>25.0</v>
      </c>
      <c r="F2234" s="112" t="s">
        <v>3330</v>
      </c>
      <c r="G2234" s="1110">
        <v>0.7060185185185185</v>
      </c>
      <c r="H2234" s="1110">
        <v>0.7065972222222222</v>
      </c>
      <c r="I2234" s="1110">
        <v>0.7385416666666667</v>
      </c>
      <c r="J2234" s="1111">
        <v>0.03194444444444444</v>
      </c>
      <c r="K2234" s="1111"/>
      <c r="L2234" s="1112"/>
      <c r="M2234" s="1113" t="s">
        <v>166</v>
      </c>
      <c r="N2234" s="110" t="s">
        <v>187</v>
      </c>
      <c r="O2234" s="1115" t="s">
        <v>206</v>
      </c>
      <c r="P2234" s="1115" t="s">
        <v>298</v>
      </c>
      <c r="Q2234" s="1116"/>
      <c r="R2234" s="120">
        <v>21.8</v>
      </c>
      <c r="S2234" s="1113">
        <v>-7.4</v>
      </c>
      <c r="T2234" s="110">
        <v>0.4</v>
      </c>
      <c r="U2234" s="1108"/>
      <c r="V2234" s="1108"/>
      <c r="W2234" s="1108">
        <v>0.0257606606037837</v>
      </c>
      <c r="X2234" s="1303">
        <v>0.0123</v>
      </c>
      <c r="Y2234" s="1108" t="s">
        <v>2242</v>
      </c>
      <c r="Z2234" s="1114" t="s">
        <v>347</v>
      </c>
      <c r="AA2234" s="1114">
        <v>67.5</v>
      </c>
      <c r="AB2234" s="1114" t="s">
        <v>388</v>
      </c>
      <c r="AC2234" s="1117">
        <v>8.0</v>
      </c>
      <c r="AD2234" s="1115" t="s">
        <v>1949</v>
      </c>
      <c r="AE2234" s="1115"/>
      <c r="AF2234" s="1115">
        <v>0.26</v>
      </c>
      <c r="AG2234" s="1115">
        <v>2.93</v>
      </c>
      <c r="AH2234" s="1115" t="s">
        <v>323</v>
      </c>
      <c r="AI2234" s="1115">
        <v>58.4</v>
      </c>
      <c r="AJ2234" s="1117">
        <v>5.9</v>
      </c>
      <c r="AK2234" s="1118"/>
      <c r="AL2234" s="1115">
        <v>5.9</v>
      </c>
      <c r="AM2234" s="1115"/>
      <c r="AN2234" s="1115"/>
      <c r="AO2234" s="1115"/>
      <c r="AP2234" s="1115"/>
      <c r="AQ2234" s="1115"/>
      <c r="AR2234" s="1115"/>
      <c r="AS2234" s="1117"/>
      <c r="AT2234" s="1196" t="str">
        <f t="shared" si="428"/>
        <v/>
      </c>
      <c r="AU2234" s="1193"/>
      <c r="AV2234" s="330">
        <f>SQRT(($R2234-Infrastructure!J$3)^2+($S2234-Infrastructure!K$3)^2)</f>
        <v>42.49823526</v>
      </c>
      <c r="AW2234" s="331">
        <f>SQRT(($R2234-Infrastructure!J$4)^2+($S2234-Infrastructure!K$4)^2)</f>
        <v>33.51790566</v>
      </c>
      <c r="AX2234" s="331">
        <f>SQRT(($R2234-Infrastructure!J$5)^2+($S2234-Infrastructure!K$5)^2)</f>
        <v>25.39015557</v>
      </c>
      <c r="AY2234" s="331">
        <f>SQRT(($R2234-Infrastructure!J$6)^2+($S2234-Infrastructure!K$6)^2)</f>
        <v>14.0064271</v>
      </c>
      <c r="AZ2234" s="331">
        <f>SQRT(($R2234-Infrastructure!J$7)^2+($S2234-Infrastructure!K$7)^2)</f>
        <v>7.808969202</v>
      </c>
      <c r="BA2234" s="331">
        <f>SQRT(($R2234-Infrastructure!J$8)^2+($S2234-Infrastructure!K$8)^2)</f>
        <v>11.32166066</v>
      </c>
      <c r="BB2234" s="331">
        <f>SQRT(($R2234-Infrastructure!J$9)^2+($S2234-Infrastructure!K$9)^2)</f>
        <v>22.07917571</v>
      </c>
      <c r="BC2234" s="331">
        <f>SQRT(($R2234-Infrastructure!J$10)^2+($S2234-Infrastructure!K$10)^2)</f>
        <v>28.86173938</v>
      </c>
      <c r="BD2234" s="331">
        <f>SQRT(($R2234-Infrastructure!J$11)^2+($S2234-Infrastructure!K$11)^2)</f>
        <v>40.7862722</v>
      </c>
      <c r="BE2234" s="333">
        <f>SQRT(($R2234-Infrastructure!J$12)^2+($S2234-Infrastructure!K$12)^2)</f>
        <v>62.90071542</v>
      </c>
      <c r="BF2234" s="330">
        <f t="shared" si="161"/>
        <v>7.808969202</v>
      </c>
      <c r="BG2234" s="333">
        <f t="shared" si="162"/>
        <v>62.90071542</v>
      </c>
      <c r="BH2234" s="1119"/>
      <c r="BI2234" s="319" t="str">
        <f t="shared" ref="BI2234:BR2234" si="1322">IF(ISNUMBER(FIND(BI$3, $CO2234)), "Y", "")</f>
        <v/>
      </c>
      <c r="BJ2234" s="319" t="str">
        <f t="shared" si="1322"/>
        <v/>
      </c>
      <c r="BK2234" s="319" t="str">
        <f t="shared" si="1322"/>
        <v/>
      </c>
      <c r="BL2234" s="319" t="str">
        <f t="shared" si="1322"/>
        <v/>
      </c>
      <c r="BM2234" s="319" t="str">
        <f t="shared" si="1322"/>
        <v/>
      </c>
      <c r="BN2234" s="319" t="str">
        <f t="shared" si="1322"/>
        <v/>
      </c>
      <c r="BO2234" s="319" t="str">
        <f t="shared" si="1322"/>
        <v/>
      </c>
      <c r="BP2234" s="319" t="str">
        <f t="shared" si="1322"/>
        <v/>
      </c>
      <c r="BQ2234" s="319" t="str">
        <f t="shared" si="1322"/>
        <v/>
      </c>
      <c r="BR2234" s="319" t="str">
        <f t="shared" si="1322"/>
        <v/>
      </c>
      <c r="BS2234" s="330">
        <f t="shared" si="185"/>
        <v>0</v>
      </c>
      <c r="BT2234" s="331">
        <f t="shared" si="170"/>
        <v>0</v>
      </c>
      <c r="BU2234" s="920"/>
      <c r="BV2234" s="903" t="str">
        <f t="shared" si="1244"/>
        <v/>
      </c>
      <c r="BW2234" s="908"/>
      <c r="BX2234" s="908"/>
      <c r="BY2234" s="331" t="b">
        <f t="shared" si="201"/>
        <v>0</v>
      </c>
      <c r="BZ2234" s="331"/>
      <c r="CA2234" s="462" t="str">
        <f t="shared" ref="CA2234:CJ2234" si="1323">IF(ISNUMBER(FIND(BI$3, $CP2234)), "Y", "")</f>
        <v/>
      </c>
      <c r="CB2234" s="319" t="str">
        <f t="shared" si="1323"/>
        <v/>
      </c>
      <c r="CC2234" s="319" t="str">
        <f t="shared" si="1323"/>
        <v/>
      </c>
      <c r="CD2234" s="319" t="str">
        <f t="shared" si="1323"/>
        <v/>
      </c>
      <c r="CE2234" s="319" t="str">
        <f t="shared" si="1323"/>
        <v/>
      </c>
      <c r="CF2234" s="319" t="str">
        <f t="shared" si="1323"/>
        <v/>
      </c>
      <c r="CG2234" s="319" t="str">
        <f t="shared" si="1323"/>
        <v/>
      </c>
      <c r="CH2234" s="319" t="str">
        <f t="shared" si="1323"/>
        <v/>
      </c>
      <c r="CI2234" s="319" t="str">
        <f t="shared" si="1323"/>
        <v/>
      </c>
      <c r="CJ2234" s="319" t="str">
        <f t="shared" si="1323"/>
        <v/>
      </c>
      <c r="CK2234" s="342">
        <f t="shared" si="182"/>
        <v>0</v>
      </c>
      <c r="CL2234" s="333">
        <f t="shared" si="183"/>
        <v>0</v>
      </c>
      <c r="CM2234" s="1079"/>
      <c r="CN2234" s="1005" t="s">
        <v>3324</v>
      </c>
      <c r="CO2234" s="1005"/>
      <c r="CP2234" s="1005"/>
    </row>
    <row r="2235">
      <c r="A2235" s="266"/>
      <c r="B2235" s="1113" t="s">
        <v>1761</v>
      </c>
      <c r="C2235" s="1304">
        <v>45960.0</v>
      </c>
      <c r="D2235" s="103"/>
      <c r="E2235" s="1137"/>
      <c r="F2235" s="112" t="s">
        <v>3331</v>
      </c>
      <c r="G2235" s="1110">
        <v>0.7397569444444444</v>
      </c>
      <c r="H2235" s="1138"/>
      <c r="I2235" s="1110">
        <v>0.7430555555555556</v>
      </c>
      <c r="J2235" s="1111">
        <v>0.003298611111111111</v>
      </c>
      <c r="K2235" s="1111"/>
      <c r="L2235" s="1112"/>
      <c r="M2235" s="1113" t="s">
        <v>166</v>
      </c>
      <c r="N2235" s="110" t="s">
        <v>188</v>
      </c>
      <c r="O2235" s="1115" t="s">
        <v>3271</v>
      </c>
      <c r="P2235" s="1115" t="s">
        <v>292</v>
      </c>
      <c r="Q2235" s="1116"/>
      <c r="R2235" s="120" t="s">
        <v>323</v>
      </c>
      <c r="S2235" s="1113" t="s">
        <v>323</v>
      </c>
      <c r="T2235" s="110" t="s">
        <v>323</v>
      </c>
      <c r="U2235" s="1108" t="s">
        <v>323</v>
      </c>
      <c r="V2235" s="1108" t="s">
        <v>323</v>
      </c>
      <c r="W2235" s="1108" t="s">
        <v>323</v>
      </c>
      <c r="X2235" s="1108" t="s">
        <v>323</v>
      </c>
      <c r="Y2235" s="1108"/>
      <c r="Z2235" s="1114" t="s">
        <v>323</v>
      </c>
      <c r="AA2235" s="1114"/>
      <c r="AB2235" s="1114" t="s">
        <v>323</v>
      </c>
      <c r="AC2235" s="1117" t="s">
        <v>323</v>
      </c>
      <c r="AD2235" s="1115" t="s">
        <v>1949</v>
      </c>
      <c r="AE2235" s="1115"/>
      <c r="AF2235" s="1115" t="s">
        <v>323</v>
      </c>
      <c r="AG2235" s="1115" t="s">
        <v>323</v>
      </c>
      <c r="AH2235" s="1115" t="s">
        <v>323</v>
      </c>
      <c r="AI2235" s="1115" t="s">
        <v>323</v>
      </c>
      <c r="AJ2235" s="1117" t="s">
        <v>323</v>
      </c>
      <c r="AK2235" s="1118"/>
      <c r="AL2235" s="1115" t="s">
        <v>323</v>
      </c>
      <c r="AM2235" s="1115"/>
      <c r="AN2235" s="1115"/>
      <c r="AO2235" s="1115"/>
      <c r="AP2235" s="1115"/>
      <c r="AQ2235" s="1115"/>
      <c r="AR2235" s="1115"/>
      <c r="AS2235" s="1117"/>
      <c r="AT2235" s="1196" t="str">
        <f t="shared" si="428"/>
        <v/>
      </c>
      <c r="AU2235" s="1193"/>
      <c r="AV2235" s="330" t="str">
        <f>SQRT(($R2235-Infrastructure!J$3)^2+($S2235-Infrastructure!K$3)^2)</f>
        <v>#VALUE!</v>
      </c>
      <c r="AW2235" s="331" t="str">
        <f>SQRT(($R2235-Infrastructure!J$4)^2+($S2235-Infrastructure!K$4)^2)</f>
        <v>#VALUE!</v>
      </c>
      <c r="AX2235" s="331" t="str">
        <f>SQRT(($R2235-Infrastructure!J$5)^2+($S2235-Infrastructure!K$5)^2)</f>
        <v>#VALUE!</v>
      </c>
      <c r="AY2235" s="331" t="str">
        <f>SQRT(($R2235-Infrastructure!J$6)^2+($S2235-Infrastructure!K$6)^2)</f>
        <v>#VALUE!</v>
      </c>
      <c r="AZ2235" s="331" t="str">
        <f>SQRT(($R2235-Infrastructure!J$7)^2+($S2235-Infrastructure!K$7)^2)</f>
        <v>#VALUE!</v>
      </c>
      <c r="BA2235" s="331" t="str">
        <f>SQRT(($R2235-Infrastructure!J$8)^2+($S2235-Infrastructure!K$8)^2)</f>
        <v>#VALUE!</v>
      </c>
      <c r="BB2235" s="331" t="str">
        <f>SQRT(($R2235-Infrastructure!J$9)^2+($S2235-Infrastructure!K$9)^2)</f>
        <v>#VALUE!</v>
      </c>
      <c r="BC2235" s="331" t="str">
        <f>SQRT(($R2235-Infrastructure!J$10)^2+($S2235-Infrastructure!K$10)^2)</f>
        <v>#VALUE!</v>
      </c>
      <c r="BD2235" s="331" t="str">
        <f>SQRT(($R2235-Infrastructure!J$11)^2+($S2235-Infrastructure!K$11)^2)</f>
        <v>#VALUE!</v>
      </c>
      <c r="BE2235" s="333" t="str">
        <f>SQRT(($R2235-Infrastructure!J$12)^2+($S2235-Infrastructure!K$12)^2)</f>
        <v>#VALUE!</v>
      </c>
      <c r="BF2235" s="330" t="str">
        <f t="shared" si="161"/>
        <v>#VALUE!</v>
      </c>
      <c r="BG2235" s="333" t="str">
        <f t="shared" si="162"/>
        <v>#VALUE!</v>
      </c>
      <c r="BH2235" s="1119"/>
      <c r="BI2235" s="319" t="str">
        <f t="shared" ref="BI2235:BR2235" si="1324">IF(ISNUMBER(FIND(BI$3, $CO2235)), "Y", "")</f>
        <v/>
      </c>
      <c r="BJ2235" s="319" t="str">
        <f t="shared" si="1324"/>
        <v/>
      </c>
      <c r="BK2235" s="319" t="str">
        <f t="shared" si="1324"/>
        <v/>
      </c>
      <c r="BL2235" s="319" t="str">
        <f t="shared" si="1324"/>
        <v/>
      </c>
      <c r="BM2235" s="319" t="str">
        <f t="shared" si="1324"/>
        <v/>
      </c>
      <c r="BN2235" s="319" t="str">
        <f t="shared" si="1324"/>
        <v/>
      </c>
      <c r="BO2235" s="319" t="str">
        <f t="shared" si="1324"/>
        <v/>
      </c>
      <c r="BP2235" s="319" t="str">
        <f t="shared" si="1324"/>
        <v/>
      </c>
      <c r="BQ2235" s="319" t="str">
        <f t="shared" si="1324"/>
        <v/>
      </c>
      <c r="BR2235" s="319" t="str">
        <f t="shared" si="1324"/>
        <v/>
      </c>
      <c r="BS2235" s="330">
        <f t="shared" si="185"/>
        <v>0</v>
      </c>
      <c r="BT2235" s="331">
        <f t="shared" si="170"/>
        <v>0</v>
      </c>
      <c r="BU2235" s="920"/>
      <c r="BV2235" s="903" t="str">
        <f t="shared" si="1244"/>
        <v/>
      </c>
      <c r="BW2235" s="908"/>
      <c r="BX2235" s="908"/>
      <c r="BY2235" s="331" t="b">
        <f t="shared" si="201"/>
        <v>0</v>
      </c>
      <c r="BZ2235" s="331"/>
      <c r="CA2235" s="462" t="str">
        <f t="shared" ref="CA2235:CJ2235" si="1325">IF(ISNUMBER(FIND(BI$3, $CP2235)), "Y", "")</f>
        <v/>
      </c>
      <c r="CB2235" s="319" t="str">
        <f t="shared" si="1325"/>
        <v/>
      </c>
      <c r="CC2235" s="319" t="str">
        <f t="shared" si="1325"/>
        <v/>
      </c>
      <c r="CD2235" s="319" t="str">
        <f t="shared" si="1325"/>
        <v/>
      </c>
      <c r="CE2235" s="319" t="str">
        <f t="shared" si="1325"/>
        <v/>
      </c>
      <c r="CF2235" s="319" t="str">
        <f t="shared" si="1325"/>
        <v/>
      </c>
      <c r="CG2235" s="319" t="str">
        <f t="shared" si="1325"/>
        <v/>
      </c>
      <c r="CH2235" s="319" t="str">
        <f t="shared" si="1325"/>
        <v/>
      </c>
      <c r="CI2235" s="319" t="str">
        <f t="shared" si="1325"/>
        <v/>
      </c>
      <c r="CJ2235" s="319" t="str">
        <f t="shared" si="1325"/>
        <v/>
      </c>
      <c r="CK2235" s="342">
        <f t="shared" si="182"/>
        <v>0</v>
      </c>
      <c r="CL2235" s="333">
        <f t="shared" si="183"/>
        <v>0</v>
      </c>
      <c r="CM2235" s="1079"/>
      <c r="CN2235" s="1005" t="s">
        <v>3324</v>
      </c>
      <c r="CO2235" s="1005"/>
      <c r="CP2235" s="1005"/>
    </row>
    <row r="2236">
      <c r="A2236" s="1258"/>
      <c r="B2236" s="1129" t="s">
        <v>1761</v>
      </c>
      <c r="C2236" s="1305">
        <v>45960.0</v>
      </c>
      <c r="D2236" s="1123"/>
      <c r="E2236" s="1144"/>
      <c r="F2236" s="108" t="s">
        <v>3331</v>
      </c>
      <c r="G2236" s="1126">
        <v>0.7434027777777777</v>
      </c>
      <c r="H2236" s="1145"/>
      <c r="I2236" s="1126">
        <v>0.7479166666666667</v>
      </c>
      <c r="J2236" s="1127">
        <v>0.0045138888888888885</v>
      </c>
      <c r="K2236" s="1127"/>
      <c r="L2236" s="1128"/>
      <c r="M2236" s="1129" t="s">
        <v>358</v>
      </c>
      <c r="N2236" s="100" t="s">
        <v>188</v>
      </c>
      <c r="O2236" s="1131" t="s">
        <v>3271</v>
      </c>
      <c r="P2236" s="1131" t="s">
        <v>294</v>
      </c>
      <c r="Q2236" s="1132"/>
      <c r="R2236" s="137" t="s">
        <v>323</v>
      </c>
      <c r="S2236" s="1129" t="s">
        <v>323</v>
      </c>
      <c r="T2236" s="100" t="s">
        <v>323</v>
      </c>
      <c r="U2236" s="1124" t="s">
        <v>323</v>
      </c>
      <c r="V2236" s="1124" t="s">
        <v>323</v>
      </c>
      <c r="W2236" s="1124" t="s">
        <v>323</v>
      </c>
      <c r="X2236" s="1124" t="s">
        <v>323</v>
      </c>
      <c r="Y2236" s="1124"/>
      <c r="Z2236" s="1130" t="s">
        <v>323</v>
      </c>
      <c r="AA2236" s="1130"/>
      <c r="AB2236" s="1130" t="s">
        <v>323</v>
      </c>
      <c r="AC2236" s="1133" t="s">
        <v>323</v>
      </c>
      <c r="AD2236" s="1131" t="s">
        <v>1949</v>
      </c>
      <c r="AE2236" s="1131"/>
      <c r="AF2236" s="1131" t="s">
        <v>323</v>
      </c>
      <c r="AG2236" s="1131" t="s">
        <v>323</v>
      </c>
      <c r="AH2236" s="1131" t="s">
        <v>323</v>
      </c>
      <c r="AI2236" s="1131" t="s">
        <v>323</v>
      </c>
      <c r="AJ2236" s="1133" t="s">
        <v>323</v>
      </c>
      <c r="AK2236" s="1134"/>
      <c r="AL2236" s="1131"/>
      <c r="AM2236" s="1131"/>
      <c r="AN2236" s="1131" t="s">
        <v>323</v>
      </c>
      <c r="AO2236" s="1131"/>
      <c r="AP2236" s="1131"/>
      <c r="AQ2236" s="1131"/>
      <c r="AR2236" s="1131"/>
      <c r="AS2236" s="1133"/>
      <c r="AT2236" s="1197" t="str">
        <f t="shared" si="428"/>
        <v/>
      </c>
      <c r="AU2236" s="1194"/>
      <c r="AV2236" s="662" t="str">
        <f>SQRT(($R2236-Infrastructure!J$3)^2+($S2236-Infrastructure!K$3)^2)</f>
        <v>#VALUE!</v>
      </c>
      <c r="AW2236" s="641" t="str">
        <f>SQRT(($R2236-Infrastructure!J$4)^2+($S2236-Infrastructure!K$4)^2)</f>
        <v>#VALUE!</v>
      </c>
      <c r="AX2236" s="641" t="str">
        <f>SQRT(($R2236-Infrastructure!J$5)^2+($S2236-Infrastructure!K$5)^2)</f>
        <v>#VALUE!</v>
      </c>
      <c r="AY2236" s="641" t="str">
        <f>SQRT(($R2236-Infrastructure!J$6)^2+($S2236-Infrastructure!K$6)^2)</f>
        <v>#VALUE!</v>
      </c>
      <c r="AZ2236" s="641" t="str">
        <f>SQRT(($R2236-Infrastructure!J$7)^2+($S2236-Infrastructure!K$7)^2)</f>
        <v>#VALUE!</v>
      </c>
      <c r="BA2236" s="641" t="str">
        <f>SQRT(($R2236-Infrastructure!J$8)^2+($S2236-Infrastructure!K$8)^2)</f>
        <v>#VALUE!</v>
      </c>
      <c r="BB2236" s="641" t="str">
        <f>SQRT(($R2236-Infrastructure!J$9)^2+($S2236-Infrastructure!K$9)^2)</f>
        <v>#VALUE!</v>
      </c>
      <c r="BC2236" s="641" t="str">
        <f>SQRT(($R2236-Infrastructure!J$10)^2+($S2236-Infrastructure!K$10)^2)</f>
        <v>#VALUE!</v>
      </c>
      <c r="BD2236" s="641" t="str">
        <f>SQRT(($R2236-Infrastructure!J$11)^2+($S2236-Infrastructure!K$11)^2)</f>
        <v>#VALUE!</v>
      </c>
      <c r="BE2236" s="642" t="str">
        <f>SQRT(($R2236-Infrastructure!J$12)^2+($S2236-Infrastructure!K$12)^2)</f>
        <v>#VALUE!</v>
      </c>
      <c r="BF2236" s="662" t="str">
        <f t="shared" si="161"/>
        <v>#VALUE!</v>
      </c>
      <c r="BG2236" s="642" t="str">
        <f t="shared" si="162"/>
        <v>#VALUE!</v>
      </c>
      <c r="BH2236" s="1135"/>
      <c r="BI2236" s="663" t="str">
        <f t="shared" ref="BI2236:BR2236" si="1326">IF(ISNUMBER(FIND(BI$3, $CO2236)), "Y", "")</f>
        <v/>
      </c>
      <c r="BJ2236" s="663" t="str">
        <f t="shared" si="1326"/>
        <v/>
      </c>
      <c r="BK2236" s="663" t="str">
        <f t="shared" si="1326"/>
        <v/>
      </c>
      <c r="BL2236" s="663" t="str">
        <f t="shared" si="1326"/>
        <v/>
      </c>
      <c r="BM2236" s="663" t="str">
        <f t="shared" si="1326"/>
        <v/>
      </c>
      <c r="BN2236" s="663" t="str">
        <f t="shared" si="1326"/>
        <v/>
      </c>
      <c r="BO2236" s="663" t="str">
        <f t="shared" si="1326"/>
        <v/>
      </c>
      <c r="BP2236" s="663" t="str">
        <f t="shared" si="1326"/>
        <v/>
      </c>
      <c r="BQ2236" s="663" t="str">
        <f t="shared" si="1326"/>
        <v/>
      </c>
      <c r="BR2236" s="663" t="str">
        <f t="shared" si="1326"/>
        <v/>
      </c>
      <c r="BS2236" s="662">
        <f t="shared" si="185"/>
        <v>0</v>
      </c>
      <c r="BT2236" s="641">
        <f t="shared" si="170"/>
        <v>0</v>
      </c>
      <c r="BU2236" s="937"/>
      <c r="BV2236" s="930" t="str">
        <f t="shared" si="1244"/>
        <v/>
      </c>
      <c r="BW2236" s="939"/>
      <c r="BX2236" s="939"/>
      <c r="BY2236" s="641" t="b">
        <f t="shared" si="201"/>
        <v>0</v>
      </c>
      <c r="BZ2236" s="641"/>
      <c r="CA2236" s="635" t="str">
        <f t="shared" ref="CA2236:CJ2236" si="1327">IF(ISNUMBER(FIND(BI$3, $CP2236)), "Y", "")</f>
        <v/>
      </c>
      <c r="CB2236" s="663" t="str">
        <f t="shared" si="1327"/>
        <v/>
      </c>
      <c r="CC2236" s="663" t="str">
        <f t="shared" si="1327"/>
        <v/>
      </c>
      <c r="CD2236" s="663" t="str">
        <f t="shared" si="1327"/>
        <v/>
      </c>
      <c r="CE2236" s="663" t="str">
        <f t="shared" si="1327"/>
        <v/>
      </c>
      <c r="CF2236" s="663" t="str">
        <f t="shared" si="1327"/>
        <v/>
      </c>
      <c r="CG2236" s="663" t="str">
        <f t="shared" si="1327"/>
        <v/>
      </c>
      <c r="CH2236" s="663" t="str">
        <f t="shared" si="1327"/>
        <v/>
      </c>
      <c r="CI2236" s="663" t="str">
        <f t="shared" si="1327"/>
        <v/>
      </c>
      <c r="CJ2236" s="663" t="str">
        <f t="shared" si="1327"/>
        <v/>
      </c>
      <c r="CK2236" s="743">
        <f t="shared" si="182"/>
        <v>0</v>
      </c>
      <c r="CL2236" s="642">
        <f t="shared" si="183"/>
        <v>0</v>
      </c>
      <c r="CM2236" s="1090"/>
      <c r="CN2236" s="1036" t="s">
        <v>3324</v>
      </c>
      <c r="CO2236" s="1036"/>
      <c r="CP2236" s="1036"/>
    </row>
    <row r="2237">
      <c r="A2237" s="1308" t="s">
        <v>158</v>
      </c>
      <c r="B2237" s="1129" t="s">
        <v>1761</v>
      </c>
      <c r="C2237" s="1305">
        <v>45957.0</v>
      </c>
      <c r="D2237" s="1123"/>
      <c r="E2237" s="1124">
        <v>1.0</v>
      </c>
      <c r="F2237" s="108" t="s">
        <v>3332</v>
      </c>
      <c r="G2237" s="1126">
        <v>0.5508101851851852</v>
      </c>
      <c r="H2237" s="1126">
        <v>0.5510416666666667</v>
      </c>
      <c r="I2237" s="1126">
        <v>0.6835648148148148</v>
      </c>
      <c r="J2237" s="1127">
        <v>0.13252314814814814</v>
      </c>
      <c r="K2237" s="1309" t="s">
        <v>166</v>
      </c>
      <c r="L2237" s="1128"/>
      <c r="M2237" s="1129" t="s">
        <v>166</v>
      </c>
      <c r="N2237" s="100" t="s">
        <v>188</v>
      </c>
      <c r="O2237" s="1131" t="s">
        <v>3333</v>
      </c>
      <c r="P2237" s="1131" t="s">
        <v>236</v>
      </c>
      <c r="Q2237" s="1131" t="s">
        <v>3273</v>
      </c>
      <c r="R2237" s="137">
        <v>18.3</v>
      </c>
      <c r="S2237" s="1129">
        <v>-42.1</v>
      </c>
      <c r="T2237" s="100">
        <v>10.56</v>
      </c>
      <c r="U2237" s="1124">
        <v>1.0</v>
      </c>
      <c r="V2237" s="1124">
        <v>3.6</v>
      </c>
      <c r="W2237" s="1124">
        <v>0.254447281507716</v>
      </c>
      <c r="X2237" s="1307">
        <v>0.2544</v>
      </c>
      <c r="Y2237" s="1124" t="s">
        <v>3334</v>
      </c>
      <c r="Z2237" s="1130" t="s">
        <v>1140</v>
      </c>
      <c r="AA2237" s="1130">
        <v>17.5</v>
      </c>
      <c r="AB2237" s="1130" t="s">
        <v>3335</v>
      </c>
      <c r="AC2237" s="1133">
        <v>10.2</v>
      </c>
      <c r="AD2237" s="1131" t="s">
        <v>1949</v>
      </c>
      <c r="AE2237" s="1131" t="s">
        <v>3336</v>
      </c>
      <c r="AF2237" s="1131">
        <v>0.1</v>
      </c>
      <c r="AG2237" s="1131">
        <v>1.4</v>
      </c>
      <c r="AH2237" s="1131" t="s">
        <v>323</v>
      </c>
      <c r="AI2237" s="1131">
        <v>17.1</v>
      </c>
      <c r="AJ2237" s="1133">
        <v>11.5</v>
      </c>
      <c r="AK2237" s="1134"/>
      <c r="AL2237" s="1131">
        <v>11.47</v>
      </c>
      <c r="AM2237" s="1131"/>
      <c r="AN2237" s="1131"/>
      <c r="AO2237" s="1131"/>
      <c r="AP2237" s="1131"/>
      <c r="AQ2237" s="1131"/>
      <c r="AR2237" s="1131"/>
      <c r="AS2237" s="1133"/>
      <c r="AT2237" s="1197" t="str">
        <f t="shared" si="428"/>
        <v>1-10</v>
      </c>
      <c r="AU2237" s="1194"/>
      <c r="AV2237" s="662">
        <f>SQRT(($R2237-Infrastructure!J$3)^2+($S2237-Infrastructure!K$3)^2)</f>
        <v>73.39591269</v>
      </c>
      <c r="AW2237" s="641">
        <f>SQRT(($R2237-Infrastructure!J$4)^2+($S2237-Infrastructure!K$4)^2)</f>
        <v>62.72136797</v>
      </c>
      <c r="AX2237" s="641">
        <f>SQRT(($R2237-Infrastructure!J$5)^2+($S2237-Infrastructure!K$5)^2)</f>
        <v>50.7326325</v>
      </c>
      <c r="AY2237" s="641">
        <f>SQRT(($R2237-Infrastructure!J$6)^2+($S2237-Infrastructure!K$6)^2)</f>
        <v>43.18564576</v>
      </c>
      <c r="AZ2237" s="641">
        <f>SQRT(($R2237-Infrastructure!J$7)^2+($S2237-Infrastructure!K$7)^2)</f>
        <v>42.45703711</v>
      </c>
      <c r="BA2237" s="641">
        <f>SQRT(($R2237-Infrastructure!J$8)^2+($S2237-Infrastructure!K$8)^2)</f>
        <v>44.01136217</v>
      </c>
      <c r="BB2237" s="641">
        <f>SQRT(($R2237-Infrastructure!J$9)^2+($S2237-Infrastructure!K$9)^2)</f>
        <v>51.94930221</v>
      </c>
      <c r="BC2237" s="641">
        <f>SQRT(($R2237-Infrastructure!J$10)^2+($S2237-Infrastructure!K$10)^2)</f>
        <v>61.08436789</v>
      </c>
      <c r="BD2237" s="641">
        <f>SQRT(($R2237-Infrastructure!J$11)^2+($S2237-Infrastructure!K$11)^2)</f>
        <v>74.39637088</v>
      </c>
      <c r="BE2237" s="642">
        <f>SQRT(($R2237-Infrastructure!J$12)^2+($S2237-Infrastructure!K$12)^2)</f>
        <v>97.65244493</v>
      </c>
      <c r="BF2237" s="662">
        <f t="shared" si="161"/>
        <v>42.45703711</v>
      </c>
      <c r="BG2237" s="642">
        <f t="shared" si="162"/>
        <v>97.65244493</v>
      </c>
      <c r="BH2237" s="1135"/>
      <c r="BI2237" s="663" t="str">
        <f t="shared" ref="BI2237:BR2237" si="1328">IF(ISNUMBER(FIND(BI$3, $CO2237)), "Y", "")</f>
        <v/>
      </c>
      <c r="BJ2237" s="663" t="str">
        <f t="shared" si="1328"/>
        <v/>
      </c>
      <c r="BK2237" s="663" t="str">
        <f t="shared" si="1328"/>
        <v/>
      </c>
      <c r="BL2237" s="663" t="str">
        <f t="shared" si="1328"/>
        <v/>
      </c>
      <c r="BM2237" s="663" t="str">
        <f t="shared" si="1328"/>
        <v/>
      </c>
      <c r="BN2237" s="663" t="str">
        <f t="shared" si="1328"/>
        <v/>
      </c>
      <c r="BO2237" s="663" t="str">
        <f t="shared" si="1328"/>
        <v/>
      </c>
      <c r="BP2237" s="663" t="str">
        <f t="shared" si="1328"/>
        <v/>
      </c>
      <c r="BQ2237" s="663" t="str">
        <f t="shared" si="1328"/>
        <v/>
      </c>
      <c r="BR2237" s="663" t="str">
        <f t="shared" si="1328"/>
        <v/>
      </c>
      <c r="BS2237" s="662">
        <f t="shared" si="185"/>
        <v>0</v>
      </c>
      <c r="BT2237" s="641">
        <f t="shared" si="170"/>
        <v>0</v>
      </c>
      <c r="BU2237" s="937"/>
      <c r="BV2237" s="930" t="str">
        <f t="shared" si="1244"/>
        <v/>
      </c>
      <c r="BW2237" s="939"/>
      <c r="BX2237" s="939"/>
      <c r="BY2237" s="641" t="b">
        <f t="shared" si="201"/>
        <v>0</v>
      </c>
      <c r="BZ2237" s="641"/>
      <c r="CA2237" s="635" t="str">
        <f t="shared" ref="CA2237:CJ2237" si="1329">IF(ISNUMBER(FIND(BI$3, $CP2237)), "Y", "")</f>
        <v/>
      </c>
      <c r="CB2237" s="663" t="str">
        <f t="shared" si="1329"/>
        <v/>
      </c>
      <c r="CC2237" s="663" t="str">
        <f t="shared" si="1329"/>
        <v/>
      </c>
      <c r="CD2237" s="663" t="str">
        <f t="shared" si="1329"/>
        <v/>
      </c>
      <c r="CE2237" s="663" t="str">
        <f t="shared" si="1329"/>
        <v/>
      </c>
      <c r="CF2237" s="663" t="str">
        <f t="shared" si="1329"/>
        <v/>
      </c>
      <c r="CG2237" s="663" t="str">
        <f t="shared" si="1329"/>
        <v/>
      </c>
      <c r="CH2237" s="663" t="str">
        <f t="shared" si="1329"/>
        <v/>
      </c>
      <c r="CI2237" s="663" t="str">
        <f t="shared" si="1329"/>
        <v/>
      </c>
      <c r="CJ2237" s="663" t="str">
        <f t="shared" si="1329"/>
        <v/>
      </c>
      <c r="CK2237" s="743">
        <f t="shared" si="182"/>
        <v>0</v>
      </c>
      <c r="CL2237" s="642">
        <f t="shared" si="183"/>
        <v>0</v>
      </c>
      <c r="CM2237" s="1090"/>
      <c r="CN2237" s="1036" t="s">
        <v>3337</v>
      </c>
      <c r="CO2237" s="1036"/>
      <c r="CP2237" s="1036"/>
    </row>
    <row r="2238">
      <c r="A2238" s="1308" t="s">
        <v>158</v>
      </c>
      <c r="B2238" s="1129" t="s">
        <v>1761</v>
      </c>
      <c r="C2238" s="1305">
        <v>45958.0</v>
      </c>
      <c r="D2238" s="1123"/>
      <c r="E2238" s="1124">
        <v>1.0</v>
      </c>
      <c r="F2238" s="108" t="s">
        <v>3338</v>
      </c>
      <c r="G2238" s="1126">
        <v>0.6513888888888889</v>
      </c>
      <c r="H2238" s="1126">
        <v>0.6519097222222222</v>
      </c>
      <c r="I2238" s="1126">
        <v>0.7232638888888889</v>
      </c>
      <c r="J2238" s="1127">
        <v>0.07135416666666666</v>
      </c>
      <c r="K2238" s="1127"/>
      <c r="L2238" s="1128"/>
      <c r="M2238" s="1129" t="s">
        <v>166</v>
      </c>
      <c r="N2238" s="100" t="s">
        <v>188</v>
      </c>
      <c r="O2238" s="1131" t="s">
        <v>3333</v>
      </c>
      <c r="P2238" s="1131" t="s">
        <v>236</v>
      </c>
      <c r="Q2238" s="1131" t="s">
        <v>3273</v>
      </c>
      <c r="R2238" s="137">
        <v>18.3</v>
      </c>
      <c r="S2238" s="1129">
        <v>-42.1</v>
      </c>
      <c r="T2238" s="100">
        <v>10.56</v>
      </c>
      <c r="U2238" s="1124">
        <v>1.0</v>
      </c>
      <c r="V2238" s="1124">
        <v>3.6</v>
      </c>
      <c r="W2238" s="1124">
        <v>0.254447281507716</v>
      </c>
      <c r="X2238" s="1307">
        <v>0.2544</v>
      </c>
      <c r="Y2238" s="1124" t="s">
        <v>3334</v>
      </c>
      <c r="Z2238" s="1130" t="s">
        <v>1140</v>
      </c>
      <c r="AA2238" s="1130">
        <v>17.5</v>
      </c>
      <c r="AB2238" s="1130" t="s">
        <v>3335</v>
      </c>
      <c r="AC2238" s="1133">
        <v>10.2</v>
      </c>
      <c r="AD2238" s="1131" t="s">
        <v>1949</v>
      </c>
      <c r="AE2238" s="1131" t="s">
        <v>3336</v>
      </c>
      <c r="AF2238" s="1131">
        <v>0.1</v>
      </c>
      <c r="AG2238" s="1131">
        <v>1.4</v>
      </c>
      <c r="AH2238" s="1131" t="s">
        <v>323</v>
      </c>
      <c r="AI2238" s="1131">
        <v>17.1</v>
      </c>
      <c r="AJ2238" s="1133">
        <v>6.2</v>
      </c>
      <c r="AK2238" s="1134"/>
      <c r="AL2238" s="1131">
        <v>6.21</v>
      </c>
      <c r="AM2238" s="1131"/>
      <c r="AN2238" s="1131"/>
      <c r="AO2238" s="1131"/>
      <c r="AP2238" s="1131"/>
      <c r="AQ2238" s="1131"/>
      <c r="AR2238" s="1131"/>
      <c r="AS2238" s="1133"/>
      <c r="AT2238" s="1197" t="str">
        <f t="shared" si="428"/>
        <v>1-10</v>
      </c>
      <c r="AU2238" s="1194"/>
      <c r="AV2238" s="662">
        <f>SQRT(($R2238-Infrastructure!J$3)^2+($S2238-Infrastructure!K$3)^2)</f>
        <v>73.39591269</v>
      </c>
      <c r="AW2238" s="641">
        <f>SQRT(($R2238-Infrastructure!J$4)^2+($S2238-Infrastructure!K$4)^2)</f>
        <v>62.72136797</v>
      </c>
      <c r="AX2238" s="641">
        <f>SQRT(($R2238-Infrastructure!J$5)^2+($S2238-Infrastructure!K$5)^2)</f>
        <v>50.7326325</v>
      </c>
      <c r="AY2238" s="641">
        <f>SQRT(($R2238-Infrastructure!J$6)^2+($S2238-Infrastructure!K$6)^2)</f>
        <v>43.18564576</v>
      </c>
      <c r="AZ2238" s="641">
        <f>SQRT(($R2238-Infrastructure!J$7)^2+($S2238-Infrastructure!K$7)^2)</f>
        <v>42.45703711</v>
      </c>
      <c r="BA2238" s="641">
        <f>SQRT(($R2238-Infrastructure!J$8)^2+($S2238-Infrastructure!K$8)^2)</f>
        <v>44.01136217</v>
      </c>
      <c r="BB2238" s="641">
        <f>SQRT(($R2238-Infrastructure!J$9)^2+($S2238-Infrastructure!K$9)^2)</f>
        <v>51.94930221</v>
      </c>
      <c r="BC2238" s="641">
        <f>SQRT(($R2238-Infrastructure!J$10)^2+($S2238-Infrastructure!K$10)^2)</f>
        <v>61.08436789</v>
      </c>
      <c r="BD2238" s="641">
        <f>SQRT(($R2238-Infrastructure!J$11)^2+($S2238-Infrastructure!K$11)^2)</f>
        <v>74.39637088</v>
      </c>
      <c r="BE2238" s="642">
        <f>SQRT(($R2238-Infrastructure!J$12)^2+($S2238-Infrastructure!K$12)^2)</f>
        <v>97.65244493</v>
      </c>
      <c r="BF2238" s="662">
        <f t="shared" si="161"/>
        <v>42.45703711</v>
      </c>
      <c r="BG2238" s="642">
        <f t="shared" si="162"/>
        <v>97.65244493</v>
      </c>
      <c r="BH2238" s="1135"/>
      <c r="BI2238" s="663" t="str">
        <f t="shared" ref="BI2238:BR2238" si="1330">IF(ISNUMBER(FIND(BI$3, $CO2238)), "Y", "")</f>
        <v/>
      </c>
      <c r="BJ2238" s="663" t="str">
        <f t="shared" si="1330"/>
        <v/>
      </c>
      <c r="BK2238" s="663" t="str">
        <f t="shared" si="1330"/>
        <v/>
      </c>
      <c r="BL2238" s="663" t="str">
        <f t="shared" si="1330"/>
        <v/>
      </c>
      <c r="BM2238" s="663" t="str">
        <f t="shared" si="1330"/>
        <v/>
      </c>
      <c r="BN2238" s="663" t="str">
        <f t="shared" si="1330"/>
        <v/>
      </c>
      <c r="BO2238" s="663" t="str">
        <f t="shared" si="1330"/>
        <v/>
      </c>
      <c r="BP2238" s="663" t="str">
        <f t="shared" si="1330"/>
        <v/>
      </c>
      <c r="BQ2238" s="663" t="str">
        <f t="shared" si="1330"/>
        <v/>
      </c>
      <c r="BR2238" s="663" t="str">
        <f t="shared" si="1330"/>
        <v/>
      </c>
      <c r="BS2238" s="662">
        <f t="shared" si="185"/>
        <v>0</v>
      </c>
      <c r="BT2238" s="641">
        <f t="shared" si="170"/>
        <v>0</v>
      </c>
      <c r="BU2238" s="937"/>
      <c r="BV2238" s="930" t="str">
        <f t="shared" si="1244"/>
        <v/>
      </c>
      <c r="BW2238" s="939"/>
      <c r="BX2238" s="939"/>
      <c r="BY2238" s="641" t="b">
        <f t="shared" si="201"/>
        <v>0</v>
      </c>
      <c r="BZ2238" s="641"/>
      <c r="CA2238" s="635" t="str">
        <f t="shared" ref="CA2238:CJ2238" si="1331">IF(ISNUMBER(FIND(BI$3, $CP2238)), "Y", "")</f>
        <v/>
      </c>
      <c r="CB2238" s="663" t="str">
        <f t="shared" si="1331"/>
        <v/>
      </c>
      <c r="CC2238" s="663" t="str">
        <f t="shared" si="1331"/>
        <v/>
      </c>
      <c r="CD2238" s="663" t="str">
        <f t="shared" si="1331"/>
        <v/>
      </c>
      <c r="CE2238" s="663" t="str">
        <f t="shared" si="1331"/>
        <v/>
      </c>
      <c r="CF2238" s="663" t="str">
        <f t="shared" si="1331"/>
        <v/>
      </c>
      <c r="CG2238" s="663" t="str">
        <f t="shared" si="1331"/>
        <v/>
      </c>
      <c r="CH2238" s="663" t="str">
        <f t="shared" si="1331"/>
        <v/>
      </c>
      <c r="CI2238" s="663" t="str">
        <f t="shared" si="1331"/>
        <v/>
      </c>
      <c r="CJ2238" s="663" t="str">
        <f t="shared" si="1331"/>
        <v/>
      </c>
      <c r="CK2238" s="743">
        <f t="shared" si="182"/>
        <v>0</v>
      </c>
      <c r="CL2238" s="642">
        <f t="shared" si="183"/>
        <v>0</v>
      </c>
      <c r="CM2238" s="1090"/>
      <c r="CN2238" s="1036" t="s">
        <v>3339</v>
      </c>
      <c r="CO2238" s="1036"/>
      <c r="CP2238" s="1036"/>
    </row>
    <row r="2239">
      <c r="A2239" s="1257" t="s">
        <v>158</v>
      </c>
      <c r="B2239" s="1113" t="s">
        <v>1761</v>
      </c>
      <c r="C2239" s="1304">
        <v>45961.0</v>
      </c>
      <c r="D2239" s="103"/>
      <c r="E2239" s="1108">
        <v>1.0</v>
      </c>
      <c r="F2239" s="112" t="s">
        <v>3340</v>
      </c>
      <c r="G2239" s="1110">
        <v>0.3770833333333333</v>
      </c>
      <c r="H2239" s="1110">
        <v>0.37777777777777777</v>
      </c>
      <c r="I2239" s="1110">
        <v>0.4758101851851852</v>
      </c>
      <c r="J2239" s="1111">
        <v>0.0980324074074074</v>
      </c>
      <c r="K2239" s="1111"/>
      <c r="L2239" s="1112"/>
      <c r="M2239" s="1113" t="s">
        <v>166</v>
      </c>
      <c r="N2239" s="110" t="s">
        <v>188</v>
      </c>
      <c r="O2239" s="1115" t="s">
        <v>3333</v>
      </c>
      <c r="P2239" s="1115" t="s">
        <v>234</v>
      </c>
      <c r="Q2239" s="1115" t="s">
        <v>3273</v>
      </c>
      <c r="R2239" s="120">
        <v>18.3</v>
      </c>
      <c r="S2239" s="1113">
        <v>-42.1</v>
      </c>
      <c r="T2239" s="110">
        <v>20.0</v>
      </c>
      <c r="U2239" s="1108">
        <v>1.0</v>
      </c>
      <c r="V2239" s="1108">
        <v>3.6</v>
      </c>
      <c r="W2239" s="1108">
        <v>0.254447281507716</v>
      </c>
      <c r="X2239" s="1303">
        <v>0.2544</v>
      </c>
      <c r="Y2239" s="1108" t="s">
        <v>3334</v>
      </c>
      <c r="Z2239" s="1114" t="s">
        <v>1140</v>
      </c>
      <c r="AA2239" s="1114">
        <v>17.3</v>
      </c>
      <c r="AB2239" s="1114" t="s">
        <v>3335</v>
      </c>
      <c r="AC2239" s="1117">
        <v>10.2</v>
      </c>
      <c r="AD2239" s="1115" t="s">
        <v>1949</v>
      </c>
      <c r="AE2239" s="1115" t="s">
        <v>3336</v>
      </c>
      <c r="AF2239" s="1115">
        <v>0.1</v>
      </c>
      <c r="AG2239" s="1115">
        <v>1.4</v>
      </c>
      <c r="AH2239" s="1115" t="s">
        <v>323</v>
      </c>
      <c r="AI2239" s="1115">
        <v>17.1</v>
      </c>
      <c r="AJ2239" s="1117">
        <v>8.5</v>
      </c>
      <c r="AK2239" s="1118"/>
      <c r="AL2239" s="1115">
        <v>8.53</v>
      </c>
      <c r="AM2239" s="1115"/>
      <c r="AN2239" s="1115"/>
      <c r="AO2239" s="1115"/>
      <c r="AP2239" s="1115"/>
      <c r="AQ2239" s="1115"/>
      <c r="AR2239" s="1115"/>
      <c r="AS2239" s="1117"/>
      <c r="AT2239" s="1196" t="str">
        <f t="shared" si="428"/>
        <v>1-10</v>
      </c>
      <c r="AU2239" s="1193"/>
      <c r="AV2239" s="330">
        <f>SQRT(($R2239-Infrastructure!J$3)^2+($S2239-Infrastructure!K$3)^2)</f>
        <v>73.39591269</v>
      </c>
      <c r="AW2239" s="331">
        <f>SQRT(($R2239-Infrastructure!J$4)^2+($S2239-Infrastructure!K$4)^2)</f>
        <v>62.72136797</v>
      </c>
      <c r="AX2239" s="331">
        <f>SQRT(($R2239-Infrastructure!J$5)^2+($S2239-Infrastructure!K$5)^2)</f>
        <v>50.7326325</v>
      </c>
      <c r="AY2239" s="331">
        <f>SQRT(($R2239-Infrastructure!J$6)^2+($S2239-Infrastructure!K$6)^2)</f>
        <v>43.18564576</v>
      </c>
      <c r="AZ2239" s="331">
        <f>SQRT(($R2239-Infrastructure!J$7)^2+($S2239-Infrastructure!K$7)^2)</f>
        <v>42.45703711</v>
      </c>
      <c r="BA2239" s="331">
        <f>SQRT(($R2239-Infrastructure!J$8)^2+($S2239-Infrastructure!K$8)^2)</f>
        <v>44.01136217</v>
      </c>
      <c r="BB2239" s="331">
        <f>SQRT(($R2239-Infrastructure!J$9)^2+($S2239-Infrastructure!K$9)^2)</f>
        <v>51.94930221</v>
      </c>
      <c r="BC2239" s="331">
        <f>SQRT(($R2239-Infrastructure!J$10)^2+($S2239-Infrastructure!K$10)^2)</f>
        <v>61.08436789</v>
      </c>
      <c r="BD2239" s="331">
        <f>SQRT(($R2239-Infrastructure!J$11)^2+($S2239-Infrastructure!K$11)^2)</f>
        <v>74.39637088</v>
      </c>
      <c r="BE2239" s="333">
        <f>SQRT(($R2239-Infrastructure!J$12)^2+($S2239-Infrastructure!K$12)^2)</f>
        <v>97.65244493</v>
      </c>
      <c r="BF2239" s="330">
        <f t="shared" si="161"/>
        <v>42.45703711</v>
      </c>
      <c r="BG2239" s="333">
        <f t="shared" si="162"/>
        <v>97.65244493</v>
      </c>
      <c r="BH2239" s="1119"/>
      <c r="BI2239" s="319" t="str">
        <f t="shared" ref="BI2239:BR2239" si="1332">IF(ISNUMBER(FIND(BI$3, $CO2239)), "Y", "")</f>
        <v/>
      </c>
      <c r="BJ2239" s="319" t="str">
        <f t="shared" si="1332"/>
        <v/>
      </c>
      <c r="BK2239" s="319" t="str">
        <f t="shared" si="1332"/>
        <v/>
      </c>
      <c r="BL2239" s="319" t="str">
        <f t="shared" si="1332"/>
        <v/>
      </c>
      <c r="BM2239" s="319" t="str">
        <f t="shared" si="1332"/>
        <v/>
      </c>
      <c r="BN2239" s="319" t="str">
        <f t="shared" si="1332"/>
        <v/>
      </c>
      <c r="BO2239" s="319" t="str">
        <f t="shared" si="1332"/>
        <v/>
      </c>
      <c r="BP2239" s="319" t="str">
        <f t="shared" si="1332"/>
        <v/>
      </c>
      <c r="BQ2239" s="319" t="str">
        <f t="shared" si="1332"/>
        <v/>
      </c>
      <c r="BR2239" s="319" t="str">
        <f t="shared" si="1332"/>
        <v/>
      </c>
      <c r="BS2239" s="330">
        <f t="shared" si="185"/>
        <v>0</v>
      </c>
      <c r="BT2239" s="331">
        <f t="shared" si="170"/>
        <v>0</v>
      </c>
      <c r="BU2239" s="920"/>
      <c r="BV2239" s="903" t="str">
        <f t="shared" si="1244"/>
        <v/>
      </c>
      <c r="BW2239" s="908"/>
      <c r="BX2239" s="908"/>
      <c r="BY2239" s="331" t="b">
        <f t="shared" si="201"/>
        <v>0</v>
      </c>
      <c r="BZ2239" s="331"/>
      <c r="CA2239" s="462" t="str">
        <f t="shared" ref="CA2239:CJ2239" si="1333">IF(ISNUMBER(FIND(BI$3, $CP2239)), "Y", "")</f>
        <v/>
      </c>
      <c r="CB2239" s="319" t="str">
        <f t="shared" si="1333"/>
        <v/>
      </c>
      <c r="CC2239" s="319" t="str">
        <f t="shared" si="1333"/>
        <v/>
      </c>
      <c r="CD2239" s="319" t="str">
        <f t="shared" si="1333"/>
        <v/>
      </c>
      <c r="CE2239" s="319" t="str">
        <f t="shared" si="1333"/>
        <v/>
      </c>
      <c r="CF2239" s="319" t="str">
        <f t="shared" si="1333"/>
        <v/>
      </c>
      <c r="CG2239" s="319" t="str">
        <f t="shared" si="1333"/>
        <v/>
      </c>
      <c r="CH2239" s="319" t="str">
        <f t="shared" si="1333"/>
        <v/>
      </c>
      <c r="CI2239" s="319" t="str">
        <f t="shared" si="1333"/>
        <v/>
      </c>
      <c r="CJ2239" s="319" t="str">
        <f t="shared" si="1333"/>
        <v/>
      </c>
      <c r="CK2239" s="342">
        <f t="shared" si="182"/>
        <v>0</v>
      </c>
      <c r="CL2239" s="333">
        <f t="shared" si="183"/>
        <v>0</v>
      </c>
      <c r="CM2239" s="1079"/>
      <c r="CN2239" s="1005" t="s">
        <v>3341</v>
      </c>
      <c r="CO2239" s="1005"/>
      <c r="CP2239" s="1005"/>
    </row>
    <row r="2240">
      <c r="A2240" s="266"/>
      <c r="B2240" s="1113" t="s">
        <v>1761</v>
      </c>
      <c r="C2240" s="1304">
        <v>45961.0</v>
      </c>
      <c r="D2240" s="103"/>
      <c r="E2240" s="1137"/>
      <c r="F2240" s="112" t="s">
        <v>3342</v>
      </c>
      <c r="G2240" s="1110">
        <v>0.48159722222222223</v>
      </c>
      <c r="H2240" s="1138"/>
      <c r="I2240" s="1110">
        <v>0.48368055555555556</v>
      </c>
      <c r="J2240" s="1111">
        <v>0.0020833333333333333</v>
      </c>
      <c r="K2240" s="1111"/>
      <c r="L2240" s="1112"/>
      <c r="M2240" s="1113" t="s">
        <v>166</v>
      </c>
      <c r="N2240" s="110" t="s">
        <v>188</v>
      </c>
      <c r="O2240" s="1115" t="s">
        <v>3271</v>
      </c>
      <c r="P2240" s="1115" t="s">
        <v>292</v>
      </c>
      <c r="Q2240" s="1116"/>
      <c r="R2240" s="120" t="s">
        <v>323</v>
      </c>
      <c r="S2240" s="1113" t="s">
        <v>323</v>
      </c>
      <c r="T2240" s="110" t="s">
        <v>323</v>
      </c>
      <c r="U2240" s="1108" t="s">
        <v>323</v>
      </c>
      <c r="V2240" s="1108" t="s">
        <v>323</v>
      </c>
      <c r="W2240" s="1108" t="s">
        <v>323</v>
      </c>
      <c r="X2240" s="1108" t="s">
        <v>323</v>
      </c>
      <c r="Y2240" s="1108"/>
      <c r="Z2240" s="1114" t="s">
        <v>323</v>
      </c>
      <c r="AA2240" s="1114"/>
      <c r="AB2240" s="1114" t="s">
        <v>323</v>
      </c>
      <c r="AC2240" s="1117" t="s">
        <v>323</v>
      </c>
      <c r="AD2240" s="1115" t="s">
        <v>1949</v>
      </c>
      <c r="AE2240" s="1115"/>
      <c r="AF2240" s="1115" t="s">
        <v>323</v>
      </c>
      <c r="AG2240" s="1115" t="s">
        <v>323</v>
      </c>
      <c r="AH2240" s="1115" t="s">
        <v>323</v>
      </c>
      <c r="AI2240" s="1115" t="s">
        <v>323</v>
      </c>
      <c r="AJ2240" s="1117" t="s">
        <v>323</v>
      </c>
      <c r="AK2240" s="1118"/>
      <c r="AL2240" s="1115" t="s">
        <v>323</v>
      </c>
      <c r="AM2240" s="1115"/>
      <c r="AN2240" s="1115"/>
      <c r="AO2240" s="1115"/>
      <c r="AP2240" s="1115"/>
      <c r="AQ2240" s="1115"/>
      <c r="AR2240" s="1115"/>
      <c r="AS2240" s="1117"/>
      <c r="AT2240" s="1196" t="str">
        <f t="shared" si="428"/>
        <v/>
      </c>
      <c r="AU2240" s="1193"/>
      <c r="AV2240" s="330" t="str">
        <f>SQRT(($R2240-Infrastructure!J$3)^2+($S2240-Infrastructure!K$3)^2)</f>
        <v>#VALUE!</v>
      </c>
      <c r="AW2240" s="331" t="str">
        <f>SQRT(($R2240-Infrastructure!J$4)^2+($S2240-Infrastructure!K$4)^2)</f>
        <v>#VALUE!</v>
      </c>
      <c r="AX2240" s="331" t="str">
        <f>SQRT(($R2240-Infrastructure!J$5)^2+($S2240-Infrastructure!K$5)^2)</f>
        <v>#VALUE!</v>
      </c>
      <c r="AY2240" s="331" t="str">
        <f>SQRT(($R2240-Infrastructure!J$6)^2+($S2240-Infrastructure!K$6)^2)</f>
        <v>#VALUE!</v>
      </c>
      <c r="AZ2240" s="331" t="str">
        <f>SQRT(($R2240-Infrastructure!J$7)^2+($S2240-Infrastructure!K$7)^2)</f>
        <v>#VALUE!</v>
      </c>
      <c r="BA2240" s="331" t="str">
        <f>SQRT(($R2240-Infrastructure!J$8)^2+($S2240-Infrastructure!K$8)^2)</f>
        <v>#VALUE!</v>
      </c>
      <c r="BB2240" s="331" t="str">
        <f>SQRT(($R2240-Infrastructure!J$9)^2+($S2240-Infrastructure!K$9)^2)</f>
        <v>#VALUE!</v>
      </c>
      <c r="BC2240" s="331" t="str">
        <f>SQRT(($R2240-Infrastructure!J$10)^2+($S2240-Infrastructure!K$10)^2)</f>
        <v>#VALUE!</v>
      </c>
      <c r="BD2240" s="331" t="str">
        <f>SQRT(($R2240-Infrastructure!J$11)^2+($S2240-Infrastructure!K$11)^2)</f>
        <v>#VALUE!</v>
      </c>
      <c r="BE2240" s="333" t="str">
        <f>SQRT(($R2240-Infrastructure!J$12)^2+($S2240-Infrastructure!K$12)^2)</f>
        <v>#VALUE!</v>
      </c>
      <c r="BF2240" s="330" t="str">
        <f t="shared" si="161"/>
        <v>#VALUE!</v>
      </c>
      <c r="BG2240" s="333" t="str">
        <f t="shared" si="162"/>
        <v>#VALUE!</v>
      </c>
      <c r="BH2240" s="1119"/>
      <c r="BI2240" s="319" t="str">
        <f t="shared" ref="BI2240:BR2240" si="1334">IF(ISNUMBER(FIND(BI$3, $CO2240)), "Y", "")</f>
        <v/>
      </c>
      <c r="BJ2240" s="319" t="str">
        <f t="shared" si="1334"/>
        <v/>
      </c>
      <c r="BK2240" s="319" t="str">
        <f t="shared" si="1334"/>
        <v/>
      </c>
      <c r="BL2240" s="319" t="str">
        <f t="shared" si="1334"/>
        <v/>
      </c>
      <c r="BM2240" s="319" t="str">
        <f t="shared" si="1334"/>
        <v/>
      </c>
      <c r="BN2240" s="319" t="str">
        <f t="shared" si="1334"/>
        <v/>
      </c>
      <c r="BO2240" s="319" t="str">
        <f t="shared" si="1334"/>
        <v/>
      </c>
      <c r="BP2240" s="319" t="str">
        <f t="shared" si="1334"/>
        <v/>
      </c>
      <c r="BQ2240" s="319" t="str">
        <f t="shared" si="1334"/>
        <v/>
      </c>
      <c r="BR2240" s="319" t="str">
        <f t="shared" si="1334"/>
        <v/>
      </c>
      <c r="BS2240" s="330">
        <f t="shared" si="185"/>
        <v>0</v>
      </c>
      <c r="BT2240" s="331">
        <f t="shared" si="170"/>
        <v>0</v>
      </c>
      <c r="BU2240" s="920"/>
      <c r="BV2240" s="903" t="str">
        <f t="shared" si="1244"/>
        <v/>
      </c>
      <c r="BW2240" s="908"/>
      <c r="BX2240" s="908"/>
      <c r="BY2240" s="331" t="b">
        <f t="shared" si="201"/>
        <v>0</v>
      </c>
      <c r="BZ2240" s="331"/>
      <c r="CA2240" s="462" t="str">
        <f t="shared" ref="CA2240:CJ2240" si="1335">IF(ISNUMBER(FIND(BI$3, $CP2240)), "Y", "")</f>
        <v/>
      </c>
      <c r="CB2240" s="319" t="str">
        <f t="shared" si="1335"/>
        <v/>
      </c>
      <c r="CC2240" s="319" t="str">
        <f t="shared" si="1335"/>
        <v/>
      </c>
      <c r="CD2240" s="319" t="str">
        <f t="shared" si="1335"/>
        <v/>
      </c>
      <c r="CE2240" s="319" t="str">
        <f t="shared" si="1335"/>
        <v/>
      </c>
      <c r="CF2240" s="319" t="str">
        <f t="shared" si="1335"/>
        <v/>
      </c>
      <c r="CG2240" s="319" t="str">
        <f t="shared" si="1335"/>
        <v/>
      </c>
      <c r="CH2240" s="319" t="str">
        <f t="shared" si="1335"/>
        <v/>
      </c>
      <c r="CI2240" s="319" t="str">
        <f t="shared" si="1335"/>
        <v/>
      </c>
      <c r="CJ2240" s="319" t="str">
        <f t="shared" si="1335"/>
        <v/>
      </c>
      <c r="CK2240" s="342">
        <f t="shared" si="182"/>
        <v>0</v>
      </c>
      <c r="CL2240" s="333">
        <f t="shared" si="183"/>
        <v>0</v>
      </c>
      <c r="CM2240" s="1079"/>
      <c r="CN2240" s="1005" t="s">
        <v>3341</v>
      </c>
      <c r="CO2240" s="1005"/>
      <c r="CP2240" s="1005"/>
    </row>
    <row r="2241">
      <c r="A2241" s="1258"/>
      <c r="B2241" s="1129" t="s">
        <v>1761</v>
      </c>
      <c r="C2241" s="1305">
        <v>45961.0</v>
      </c>
      <c r="D2241" s="1123"/>
      <c r="E2241" s="1144"/>
      <c r="F2241" s="108" t="s">
        <v>3342</v>
      </c>
      <c r="G2241" s="1126">
        <v>0.4913194444444444</v>
      </c>
      <c r="H2241" s="1145"/>
      <c r="I2241" s="1126">
        <v>0.49236111111111114</v>
      </c>
      <c r="J2241" s="1127">
        <v>0.0010416666666666667</v>
      </c>
      <c r="K2241" s="1127"/>
      <c r="L2241" s="1128"/>
      <c r="M2241" s="1129" t="s">
        <v>358</v>
      </c>
      <c r="N2241" s="100" t="s">
        <v>188</v>
      </c>
      <c r="O2241" s="1131" t="s">
        <v>3271</v>
      </c>
      <c r="P2241" s="1131" t="s">
        <v>294</v>
      </c>
      <c r="Q2241" s="1132"/>
      <c r="R2241" s="137" t="s">
        <v>323</v>
      </c>
      <c r="S2241" s="1129" t="s">
        <v>323</v>
      </c>
      <c r="T2241" s="100" t="s">
        <v>323</v>
      </c>
      <c r="U2241" s="1124" t="s">
        <v>323</v>
      </c>
      <c r="V2241" s="1124" t="s">
        <v>323</v>
      </c>
      <c r="W2241" s="1124" t="s">
        <v>323</v>
      </c>
      <c r="X2241" s="1124" t="s">
        <v>323</v>
      </c>
      <c r="Y2241" s="1124"/>
      <c r="Z2241" s="1130" t="s">
        <v>323</v>
      </c>
      <c r="AA2241" s="1130"/>
      <c r="AB2241" s="1130" t="s">
        <v>323</v>
      </c>
      <c r="AC2241" s="1133" t="s">
        <v>323</v>
      </c>
      <c r="AD2241" s="1131" t="s">
        <v>1949</v>
      </c>
      <c r="AE2241" s="1131"/>
      <c r="AF2241" s="1131" t="s">
        <v>323</v>
      </c>
      <c r="AG2241" s="1131" t="s">
        <v>323</v>
      </c>
      <c r="AH2241" s="1131" t="s">
        <v>323</v>
      </c>
      <c r="AI2241" s="1131" t="s">
        <v>323</v>
      </c>
      <c r="AJ2241" s="1133" t="s">
        <v>323</v>
      </c>
      <c r="AK2241" s="1134"/>
      <c r="AL2241" s="1131"/>
      <c r="AM2241" s="1131"/>
      <c r="AN2241" s="1131" t="s">
        <v>323</v>
      </c>
      <c r="AO2241" s="1131"/>
      <c r="AP2241" s="1131"/>
      <c r="AQ2241" s="1131"/>
      <c r="AR2241" s="1131"/>
      <c r="AS2241" s="1133"/>
      <c r="AT2241" s="1197" t="str">
        <f t="shared" si="428"/>
        <v/>
      </c>
      <c r="AU2241" s="1194"/>
      <c r="AV2241" s="662" t="str">
        <f>SQRT(($R2241-Infrastructure!J$3)^2+($S2241-Infrastructure!K$3)^2)</f>
        <v>#VALUE!</v>
      </c>
      <c r="AW2241" s="641" t="str">
        <f>SQRT(($R2241-Infrastructure!J$4)^2+($S2241-Infrastructure!K$4)^2)</f>
        <v>#VALUE!</v>
      </c>
      <c r="AX2241" s="641" t="str">
        <f>SQRT(($R2241-Infrastructure!J$5)^2+($S2241-Infrastructure!K$5)^2)</f>
        <v>#VALUE!</v>
      </c>
      <c r="AY2241" s="641" t="str">
        <f>SQRT(($R2241-Infrastructure!J$6)^2+($S2241-Infrastructure!K$6)^2)</f>
        <v>#VALUE!</v>
      </c>
      <c r="AZ2241" s="641" t="str">
        <f>SQRT(($R2241-Infrastructure!J$7)^2+($S2241-Infrastructure!K$7)^2)</f>
        <v>#VALUE!</v>
      </c>
      <c r="BA2241" s="641" t="str">
        <f>SQRT(($R2241-Infrastructure!J$8)^2+($S2241-Infrastructure!K$8)^2)</f>
        <v>#VALUE!</v>
      </c>
      <c r="BB2241" s="641" t="str">
        <f>SQRT(($R2241-Infrastructure!J$9)^2+($S2241-Infrastructure!K$9)^2)</f>
        <v>#VALUE!</v>
      </c>
      <c r="BC2241" s="641" t="str">
        <f>SQRT(($R2241-Infrastructure!J$10)^2+($S2241-Infrastructure!K$10)^2)</f>
        <v>#VALUE!</v>
      </c>
      <c r="BD2241" s="641" t="str">
        <f>SQRT(($R2241-Infrastructure!J$11)^2+($S2241-Infrastructure!K$11)^2)</f>
        <v>#VALUE!</v>
      </c>
      <c r="BE2241" s="642" t="str">
        <f>SQRT(($R2241-Infrastructure!J$12)^2+($S2241-Infrastructure!K$12)^2)</f>
        <v>#VALUE!</v>
      </c>
      <c r="BF2241" s="662" t="str">
        <f t="shared" si="161"/>
        <v>#VALUE!</v>
      </c>
      <c r="BG2241" s="642" t="str">
        <f t="shared" si="162"/>
        <v>#VALUE!</v>
      </c>
      <c r="BH2241" s="1135"/>
      <c r="BI2241" s="663" t="str">
        <f t="shared" ref="BI2241:BR2241" si="1336">IF(ISNUMBER(FIND(BI$3, $CO2241)), "Y", "")</f>
        <v/>
      </c>
      <c r="BJ2241" s="663" t="str">
        <f t="shared" si="1336"/>
        <v/>
      </c>
      <c r="BK2241" s="663" t="str">
        <f t="shared" si="1336"/>
        <v/>
      </c>
      <c r="BL2241" s="663" t="str">
        <f t="shared" si="1336"/>
        <v/>
      </c>
      <c r="BM2241" s="663" t="str">
        <f t="shared" si="1336"/>
        <v/>
      </c>
      <c r="BN2241" s="663" t="str">
        <f t="shared" si="1336"/>
        <v/>
      </c>
      <c r="BO2241" s="663" t="str">
        <f t="shared" si="1336"/>
        <v/>
      </c>
      <c r="BP2241" s="663" t="str">
        <f t="shared" si="1336"/>
        <v/>
      </c>
      <c r="BQ2241" s="663" t="str">
        <f t="shared" si="1336"/>
        <v/>
      </c>
      <c r="BR2241" s="663" t="str">
        <f t="shared" si="1336"/>
        <v/>
      </c>
      <c r="BS2241" s="662">
        <f t="shared" si="185"/>
        <v>0</v>
      </c>
      <c r="BT2241" s="641">
        <f t="shared" si="170"/>
        <v>0</v>
      </c>
      <c r="BU2241" s="937"/>
      <c r="BV2241" s="930" t="str">
        <f t="shared" si="1244"/>
        <v/>
      </c>
      <c r="BW2241" s="939"/>
      <c r="BX2241" s="939"/>
      <c r="BY2241" s="641" t="b">
        <f t="shared" si="201"/>
        <v>0</v>
      </c>
      <c r="BZ2241" s="641"/>
      <c r="CA2241" s="635" t="str">
        <f t="shared" ref="CA2241:CJ2241" si="1337">IF(ISNUMBER(FIND(BI$3, $CP2241)), "Y", "")</f>
        <v/>
      </c>
      <c r="CB2241" s="663" t="str">
        <f t="shared" si="1337"/>
        <v/>
      </c>
      <c r="CC2241" s="663" t="str">
        <f t="shared" si="1337"/>
        <v/>
      </c>
      <c r="CD2241" s="663" t="str">
        <f t="shared" si="1337"/>
        <v/>
      </c>
      <c r="CE2241" s="663" t="str">
        <f t="shared" si="1337"/>
        <v/>
      </c>
      <c r="CF2241" s="663" t="str">
        <f t="shared" si="1337"/>
        <v/>
      </c>
      <c r="CG2241" s="663" t="str">
        <f t="shared" si="1337"/>
        <v/>
      </c>
      <c r="CH2241" s="663" t="str">
        <f t="shared" si="1337"/>
        <v/>
      </c>
      <c r="CI2241" s="663" t="str">
        <f t="shared" si="1337"/>
        <v/>
      </c>
      <c r="CJ2241" s="663" t="str">
        <f t="shared" si="1337"/>
        <v/>
      </c>
      <c r="CK2241" s="743">
        <f t="shared" si="182"/>
        <v>0</v>
      </c>
      <c r="CL2241" s="642">
        <f t="shared" si="183"/>
        <v>0</v>
      </c>
      <c r="CM2241" s="1090"/>
      <c r="CN2241" s="1036" t="s">
        <v>3341</v>
      </c>
      <c r="CO2241" s="1036"/>
      <c r="CP2241" s="1036"/>
    </row>
    <row r="2242">
      <c r="A2242" s="1257" t="s">
        <v>159</v>
      </c>
      <c r="B2242" s="1113" t="s">
        <v>2240</v>
      </c>
      <c r="C2242" s="1304">
        <v>45966.0</v>
      </c>
      <c r="D2242" s="103"/>
      <c r="E2242" s="1108" t="s">
        <v>1453</v>
      </c>
      <c r="F2242" s="112" t="s">
        <v>3343</v>
      </c>
      <c r="G2242" s="1110">
        <v>0.44930555555555557</v>
      </c>
      <c r="H2242" s="1110">
        <v>0.45</v>
      </c>
      <c r="I2242" s="1110">
        <v>0.4508101851851852</v>
      </c>
      <c r="J2242" s="1111">
        <v>8.101851851851852E-4</v>
      </c>
      <c r="K2242" s="1111"/>
      <c r="L2242" s="1112"/>
      <c r="M2242" s="1113" t="s">
        <v>358</v>
      </c>
      <c r="N2242" s="110" t="s">
        <v>187</v>
      </c>
      <c r="O2242" s="1115" t="s">
        <v>203</v>
      </c>
      <c r="P2242" s="1115" t="s">
        <v>252</v>
      </c>
      <c r="Q2242" s="1116"/>
      <c r="R2242" s="120">
        <v>15.1</v>
      </c>
      <c r="S2242" s="1113">
        <v>-2.4</v>
      </c>
      <c r="T2242" s="110">
        <v>1.2</v>
      </c>
      <c r="U2242" s="1108">
        <v>7.0</v>
      </c>
      <c r="V2242" s="1108">
        <v>25.2</v>
      </c>
      <c r="W2242" s="1108">
        <v>0.0524420896481695</v>
      </c>
      <c r="X2242" s="1303">
        <v>0.0075</v>
      </c>
      <c r="Y2242" s="1108" t="s">
        <v>2242</v>
      </c>
      <c r="Z2242" s="1114" t="s">
        <v>357</v>
      </c>
      <c r="AA2242" s="1114">
        <v>92.5</v>
      </c>
      <c r="AB2242" s="1114" t="s">
        <v>384</v>
      </c>
      <c r="AC2242" s="1117">
        <v>6.0</v>
      </c>
      <c r="AD2242" s="1115" t="s">
        <v>1949</v>
      </c>
      <c r="AE2242" s="1115"/>
      <c r="AF2242" s="1115">
        <v>1.17</v>
      </c>
      <c r="AG2242" s="1115">
        <v>5.6</v>
      </c>
      <c r="AH2242" s="1115" t="s">
        <v>323</v>
      </c>
      <c r="AI2242" s="1115">
        <v>198.1</v>
      </c>
      <c r="AJ2242" s="1117">
        <v>0.91</v>
      </c>
      <c r="AK2242" s="1118"/>
      <c r="AL2242" s="1115"/>
      <c r="AM2242" s="1115"/>
      <c r="AN2242" s="1115">
        <v>0.909999999999986</v>
      </c>
      <c r="AO2242" s="1115"/>
      <c r="AP2242" s="1115"/>
      <c r="AQ2242" s="1115"/>
      <c r="AR2242" s="1115"/>
      <c r="AS2242" s="1117"/>
      <c r="AT2242" s="1196" t="str">
        <f t="shared" si="428"/>
        <v>1-10</v>
      </c>
      <c r="AU2242" s="1193"/>
      <c r="AV2242" s="330">
        <f>SQRT(($R2242-Infrastructure!J$3)^2+($S2242-Infrastructure!K$3)^2)</f>
        <v>34.88337713</v>
      </c>
      <c r="AW2242" s="331">
        <f>SQRT(($R2242-Infrastructure!J$4)^2+($S2242-Infrastructure!K$4)^2)</f>
        <v>25.40078739</v>
      </c>
      <c r="AX2242" s="331">
        <f>SQRT(($R2242-Infrastructure!J$5)^2+($S2242-Infrastructure!K$5)^2)</f>
        <v>17.12921481</v>
      </c>
      <c r="AY2242" s="331">
        <f>SQRT(($R2242-Infrastructure!J$6)^2+($S2242-Infrastructure!K$6)^2)</f>
        <v>5.682429058</v>
      </c>
      <c r="AZ2242" s="331">
        <f>SQRT(($R2242-Infrastructure!J$7)^2+($S2242-Infrastructure!K$7)^2)</f>
        <v>6.037383539</v>
      </c>
      <c r="BA2242" s="331">
        <f>SQRT(($R2242-Infrastructure!J$8)^2+($S2242-Infrastructure!K$8)^2)</f>
        <v>15.24106296</v>
      </c>
      <c r="BB2242" s="331">
        <f>SQRT(($R2242-Infrastructure!J$9)^2+($S2242-Infrastructure!K$9)^2)</f>
        <v>26.00499952</v>
      </c>
      <c r="BC2242" s="331">
        <f>SQRT(($R2242-Infrastructure!J$10)^2+($S2242-Infrastructure!K$10)^2)</f>
        <v>30.37712955</v>
      </c>
      <c r="BD2242" s="331">
        <f>SQRT(($R2242-Infrastructure!J$11)^2+($S2242-Infrastructure!K$11)^2)</f>
        <v>40.19912934</v>
      </c>
      <c r="BE2242" s="333">
        <f>SQRT(($R2242-Infrastructure!J$12)^2+($S2242-Infrastructure!K$12)^2)</f>
        <v>58.25263943</v>
      </c>
      <c r="BF2242" s="330">
        <f t="shared" si="161"/>
        <v>5.682429058</v>
      </c>
      <c r="BG2242" s="333">
        <f t="shared" si="162"/>
        <v>58.25263943</v>
      </c>
      <c r="BH2242" s="1119"/>
      <c r="BI2242" s="319" t="str">
        <f t="shared" ref="BI2242:BR2242" si="1338">IF(ISNUMBER(FIND(BI$3, $CO2242)), "Y", "")</f>
        <v/>
      </c>
      <c r="BJ2242" s="319" t="str">
        <f t="shared" si="1338"/>
        <v/>
      </c>
      <c r="BK2242" s="319" t="str">
        <f t="shared" si="1338"/>
        <v/>
      </c>
      <c r="BL2242" s="319" t="str">
        <f t="shared" si="1338"/>
        <v/>
      </c>
      <c r="BM2242" s="319" t="str">
        <f t="shared" si="1338"/>
        <v/>
      </c>
      <c r="BN2242" s="319" t="str">
        <f t="shared" si="1338"/>
        <v/>
      </c>
      <c r="BO2242" s="319" t="str">
        <f t="shared" si="1338"/>
        <v/>
      </c>
      <c r="BP2242" s="319" t="str">
        <f t="shared" si="1338"/>
        <v/>
      </c>
      <c r="BQ2242" s="319" t="str">
        <f t="shared" si="1338"/>
        <v/>
      </c>
      <c r="BR2242" s="319" t="str">
        <f t="shared" si="1338"/>
        <v/>
      </c>
      <c r="BS2242" s="330">
        <f t="shared" si="185"/>
        <v>0</v>
      </c>
      <c r="BT2242" s="331">
        <f t="shared" si="170"/>
        <v>0</v>
      </c>
      <c r="BU2242" s="920"/>
      <c r="BV2242" s="903" t="str">
        <f t="shared" si="1244"/>
        <v/>
      </c>
      <c r="BW2242" s="908"/>
      <c r="BX2242" s="908"/>
      <c r="BY2242" s="331" t="b">
        <f t="shared" si="201"/>
        <v>0</v>
      </c>
      <c r="BZ2242" s="331"/>
      <c r="CA2242" s="462" t="str">
        <f t="shared" ref="CA2242:CJ2242" si="1339">IF(ISNUMBER(FIND(BI$3, $CP2242)), "Y", "")</f>
        <v/>
      </c>
      <c r="CB2242" s="319" t="str">
        <f t="shared" si="1339"/>
        <v/>
      </c>
      <c r="CC2242" s="319" t="str">
        <f t="shared" si="1339"/>
        <v/>
      </c>
      <c r="CD2242" s="319" t="str">
        <f t="shared" si="1339"/>
        <v/>
      </c>
      <c r="CE2242" s="319" t="str">
        <f t="shared" si="1339"/>
        <v/>
      </c>
      <c r="CF2242" s="319" t="str">
        <f t="shared" si="1339"/>
        <v/>
      </c>
      <c r="CG2242" s="319" t="str">
        <f t="shared" si="1339"/>
        <v/>
      </c>
      <c r="CH2242" s="319" t="str">
        <f t="shared" si="1339"/>
        <v/>
      </c>
      <c r="CI2242" s="319" t="str">
        <f t="shared" si="1339"/>
        <v/>
      </c>
      <c r="CJ2242" s="319" t="str">
        <f t="shared" si="1339"/>
        <v/>
      </c>
      <c r="CK2242" s="342">
        <f t="shared" si="182"/>
        <v>0</v>
      </c>
      <c r="CL2242" s="333">
        <f t="shared" si="183"/>
        <v>0</v>
      </c>
      <c r="CM2242" s="1079"/>
      <c r="CN2242" s="1005" t="s">
        <v>3344</v>
      </c>
      <c r="CO2242" s="1005"/>
      <c r="CP2242" s="1005"/>
    </row>
    <row r="2243">
      <c r="A2243" s="266"/>
      <c r="B2243" s="1113" t="s">
        <v>2240</v>
      </c>
      <c r="C2243" s="1304">
        <v>45966.0</v>
      </c>
      <c r="D2243" s="103"/>
      <c r="E2243" s="1108" t="s">
        <v>1455</v>
      </c>
      <c r="F2243" s="112" t="s">
        <v>3345</v>
      </c>
      <c r="G2243" s="1110">
        <v>0.45185185185185184</v>
      </c>
      <c r="H2243" s="1110">
        <v>0.4525462962962963</v>
      </c>
      <c r="I2243" s="1110">
        <v>0.45358796296296294</v>
      </c>
      <c r="J2243" s="1111">
        <v>0.0010416666666666667</v>
      </c>
      <c r="K2243" s="1111"/>
      <c r="L2243" s="1112"/>
      <c r="M2243" s="1113" t="s">
        <v>358</v>
      </c>
      <c r="N2243" s="110" t="s">
        <v>187</v>
      </c>
      <c r="O2243" s="1115" t="s">
        <v>203</v>
      </c>
      <c r="P2243" s="1115" t="s">
        <v>252</v>
      </c>
      <c r="Q2243" s="1116"/>
      <c r="R2243" s="120">
        <v>15.1</v>
      </c>
      <c r="S2243" s="1113">
        <v>-2.4</v>
      </c>
      <c r="T2243" s="110">
        <v>1.2</v>
      </c>
      <c r="U2243" s="1108">
        <v>6.0</v>
      </c>
      <c r="V2243" s="1108">
        <v>21.6</v>
      </c>
      <c r="W2243" s="1108">
        <v>0.0464978594489394</v>
      </c>
      <c r="X2243" s="1303">
        <v>0.0077</v>
      </c>
      <c r="Y2243" s="1108" t="s">
        <v>2242</v>
      </c>
      <c r="Z2243" s="1114" t="s">
        <v>357</v>
      </c>
      <c r="AA2243" s="1114">
        <v>88.5</v>
      </c>
      <c r="AB2243" s="1114" t="s">
        <v>384</v>
      </c>
      <c r="AC2243" s="1117">
        <v>6.0</v>
      </c>
      <c r="AD2243" s="1115" t="s">
        <v>1949</v>
      </c>
      <c r="AE2243" s="1115"/>
      <c r="AF2243" s="1115">
        <v>1.0</v>
      </c>
      <c r="AG2243" s="1115">
        <v>4.8</v>
      </c>
      <c r="AH2243" s="1115" t="s">
        <v>323</v>
      </c>
      <c r="AI2243" s="1115">
        <v>169.8</v>
      </c>
      <c r="AJ2243" s="1117">
        <v>0.9</v>
      </c>
      <c r="AK2243" s="1118"/>
      <c r="AL2243" s="1115"/>
      <c r="AM2243" s="1115"/>
      <c r="AN2243" s="1115">
        <v>0.899999999999997</v>
      </c>
      <c r="AO2243" s="1115"/>
      <c r="AP2243" s="1115"/>
      <c r="AQ2243" s="1115"/>
      <c r="AR2243" s="1115"/>
      <c r="AS2243" s="1117"/>
      <c r="AT2243" s="1196" t="str">
        <f t="shared" si="428"/>
        <v>1-10</v>
      </c>
      <c r="AU2243" s="1193"/>
      <c r="AV2243" s="330">
        <f>SQRT(($R2243-Infrastructure!J$3)^2+($S2243-Infrastructure!K$3)^2)</f>
        <v>34.88337713</v>
      </c>
      <c r="AW2243" s="331">
        <f>SQRT(($R2243-Infrastructure!J$4)^2+($S2243-Infrastructure!K$4)^2)</f>
        <v>25.40078739</v>
      </c>
      <c r="AX2243" s="331">
        <f>SQRT(($R2243-Infrastructure!J$5)^2+($S2243-Infrastructure!K$5)^2)</f>
        <v>17.12921481</v>
      </c>
      <c r="AY2243" s="331">
        <f>SQRT(($R2243-Infrastructure!J$6)^2+($S2243-Infrastructure!K$6)^2)</f>
        <v>5.682429058</v>
      </c>
      <c r="AZ2243" s="331">
        <f>SQRT(($R2243-Infrastructure!J$7)^2+($S2243-Infrastructure!K$7)^2)</f>
        <v>6.037383539</v>
      </c>
      <c r="BA2243" s="331">
        <f>SQRT(($R2243-Infrastructure!J$8)^2+($S2243-Infrastructure!K$8)^2)</f>
        <v>15.24106296</v>
      </c>
      <c r="BB2243" s="331">
        <f>SQRT(($R2243-Infrastructure!J$9)^2+($S2243-Infrastructure!K$9)^2)</f>
        <v>26.00499952</v>
      </c>
      <c r="BC2243" s="331">
        <f>SQRT(($R2243-Infrastructure!J$10)^2+($S2243-Infrastructure!K$10)^2)</f>
        <v>30.37712955</v>
      </c>
      <c r="BD2243" s="331">
        <f>SQRT(($R2243-Infrastructure!J$11)^2+($S2243-Infrastructure!K$11)^2)</f>
        <v>40.19912934</v>
      </c>
      <c r="BE2243" s="333">
        <f>SQRT(($R2243-Infrastructure!J$12)^2+($S2243-Infrastructure!K$12)^2)</f>
        <v>58.25263943</v>
      </c>
      <c r="BF2243" s="330">
        <f t="shared" si="161"/>
        <v>5.682429058</v>
      </c>
      <c r="BG2243" s="333">
        <f t="shared" si="162"/>
        <v>58.25263943</v>
      </c>
      <c r="BH2243" s="1119"/>
      <c r="BI2243" s="319" t="str">
        <f t="shared" ref="BI2243:BR2243" si="1340">IF(ISNUMBER(FIND(BI$3, $CO2243)), "Y", "")</f>
        <v/>
      </c>
      <c r="BJ2243" s="319" t="str">
        <f t="shared" si="1340"/>
        <v/>
      </c>
      <c r="BK2243" s="319" t="str">
        <f t="shared" si="1340"/>
        <v/>
      </c>
      <c r="BL2243" s="319" t="str">
        <f t="shared" si="1340"/>
        <v/>
      </c>
      <c r="BM2243" s="319" t="str">
        <f t="shared" si="1340"/>
        <v/>
      </c>
      <c r="BN2243" s="319" t="str">
        <f t="shared" si="1340"/>
        <v/>
      </c>
      <c r="BO2243" s="319" t="str">
        <f t="shared" si="1340"/>
        <v/>
      </c>
      <c r="BP2243" s="319" t="str">
        <f t="shared" si="1340"/>
        <v/>
      </c>
      <c r="BQ2243" s="319" t="str">
        <f t="shared" si="1340"/>
        <v/>
      </c>
      <c r="BR2243" s="319" t="str">
        <f t="shared" si="1340"/>
        <v/>
      </c>
      <c r="BS2243" s="330">
        <f t="shared" si="185"/>
        <v>0</v>
      </c>
      <c r="BT2243" s="331">
        <f t="shared" si="170"/>
        <v>0</v>
      </c>
      <c r="BU2243" s="920"/>
      <c r="BV2243" s="903" t="str">
        <f t="shared" si="1244"/>
        <v/>
      </c>
      <c r="BW2243" s="908"/>
      <c r="BX2243" s="908"/>
      <c r="BY2243" s="331" t="b">
        <f t="shared" si="201"/>
        <v>0</v>
      </c>
      <c r="BZ2243" s="331"/>
      <c r="CA2243" s="462" t="str">
        <f t="shared" ref="CA2243:CJ2243" si="1341">IF(ISNUMBER(FIND(BI$3, $CP2243)), "Y", "")</f>
        <v/>
      </c>
      <c r="CB2243" s="319" t="str">
        <f t="shared" si="1341"/>
        <v/>
      </c>
      <c r="CC2243" s="319" t="str">
        <f t="shared" si="1341"/>
        <v/>
      </c>
      <c r="CD2243" s="319" t="str">
        <f t="shared" si="1341"/>
        <v/>
      </c>
      <c r="CE2243" s="319" t="str">
        <f t="shared" si="1341"/>
        <v/>
      </c>
      <c r="CF2243" s="319" t="str">
        <f t="shared" si="1341"/>
        <v/>
      </c>
      <c r="CG2243" s="319" t="str">
        <f t="shared" si="1341"/>
        <v/>
      </c>
      <c r="CH2243" s="319" t="str">
        <f t="shared" si="1341"/>
        <v/>
      </c>
      <c r="CI2243" s="319" t="str">
        <f t="shared" si="1341"/>
        <v/>
      </c>
      <c r="CJ2243" s="319" t="str">
        <f t="shared" si="1341"/>
        <v/>
      </c>
      <c r="CK2243" s="342">
        <f t="shared" si="182"/>
        <v>0</v>
      </c>
      <c r="CL2243" s="333">
        <f t="shared" si="183"/>
        <v>0</v>
      </c>
      <c r="CM2243" s="1079"/>
      <c r="CN2243" s="1005" t="s">
        <v>3344</v>
      </c>
      <c r="CO2243" s="1005"/>
      <c r="CP2243" s="1005"/>
    </row>
    <row r="2244">
      <c r="A2244" s="266"/>
      <c r="B2244" s="1113" t="s">
        <v>2240</v>
      </c>
      <c r="C2244" s="1304">
        <v>45966.0</v>
      </c>
      <c r="D2244" s="103"/>
      <c r="E2244" s="1108" t="s">
        <v>1457</v>
      </c>
      <c r="F2244" s="112" t="s">
        <v>3346</v>
      </c>
      <c r="G2244" s="1110">
        <v>0.4552083333333333</v>
      </c>
      <c r="H2244" s="1110">
        <v>0.45567129629629627</v>
      </c>
      <c r="I2244" s="1110">
        <v>0.4574652777777778</v>
      </c>
      <c r="J2244" s="1111">
        <v>0.0017939814814814815</v>
      </c>
      <c r="K2244" s="1111"/>
      <c r="L2244" s="1112"/>
      <c r="M2244" s="1113" t="s">
        <v>358</v>
      </c>
      <c r="N2244" s="110" t="s">
        <v>187</v>
      </c>
      <c r="O2244" s="1115" t="s">
        <v>203</v>
      </c>
      <c r="P2244" s="1115" t="s">
        <v>252</v>
      </c>
      <c r="Q2244" s="1116"/>
      <c r="R2244" s="120">
        <v>15.1</v>
      </c>
      <c r="S2244" s="1113">
        <v>-2.4</v>
      </c>
      <c r="T2244" s="110">
        <v>1.2</v>
      </c>
      <c r="U2244" s="1108">
        <v>5.0</v>
      </c>
      <c r="V2244" s="1108">
        <v>18.0</v>
      </c>
      <c r="W2244" s="1108">
        <v>0.0407274579777983</v>
      </c>
      <c r="X2244" s="1303">
        <v>0.0081</v>
      </c>
      <c r="Y2244" s="1108" t="s">
        <v>2242</v>
      </c>
      <c r="Z2244" s="1114" t="s">
        <v>357</v>
      </c>
      <c r="AA2244" s="1114">
        <v>84.0</v>
      </c>
      <c r="AB2244" s="1114" t="s">
        <v>384</v>
      </c>
      <c r="AC2244" s="1117">
        <v>6.0</v>
      </c>
      <c r="AD2244" s="1115" t="s">
        <v>1949</v>
      </c>
      <c r="AE2244" s="1115"/>
      <c r="AF2244" s="1115">
        <v>0.83</v>
      </c>
      <c r="AG2244" s="1115">
        <v>4.0</v>
      </c>
      <c r="AH2244" s="1115" t="s">
        <v>323</v>
      </c>
      <c r="AI2244" s="1115">
        <v>141.5</v>
      </c>
      <c r="AJ2244" s="1117">
        <v>0.98</v>
      </c>
      <c r="AK2244" s="1118"/>
      <c r="AL2244" s="1115"/>
      <c r="AM2244" s="1115"/>
      <c r="AN2244" s="1115">
        <v>0.975000000000009</v>
      </c>
      <c r="AO2244" s="1115"/>
      <c r="AP2244" s="1115"/>
      <c r="AQ2244" s="1115"/>
      <c r="AR2244" s="1115"/>
      <c r="AS2244" s="1117"/>
      <c r="AT2244" s="1196" t="str">
        <f t="shared" si="428"/>
        <v>1-10</v>
      </c>
      <c r="AU2244" s="1193"/>
      <c r="AV2244" s="330">
        <f>SQRT(($R2244-Infrastructure!J$3)^2+($S2244-Infrastructure!K$3)^2)</f>
        <v>34.88337713</v>
      </c>
      <c r="AW2244" s="331">
        <f>SQRT(($R2244-Infrastructure!J$4)^2+($S2244-Infrastructure!K$4)^2)</f>
        <v>25.40078739</v>
      </c>
      <c r="AX2244" s="331">
        <f>SQRT(($R2244-Infrastructure!J$5)^2+($S2244-Infrastructure!K$5)^2)</f>
        <v>17.12921481</v>
      </c>
      <c r="AY2244" s="331">
        <f>SQRT(($R2244-Infrastructure!J$6)^2+($S2244-Infrastructure!K$6)^2)</f>
        <v>5.682429058</v>
      </c>
      <c r="AZ2244" s="331">
        <f>SQRT(($R2244-Infrastructure!J$7)^2+($S2244-Infrastructure!K$7)^2)</f>
        <v>6.037383539</v>
      </c>
      <c r="BA2244" s="331">
        <f>SQRT(($R2244-Infrastructure!J$8)^2+($S2244-Infrastructure!K$8)^2)</f>
        <v>15.24106296</v>
      </c>
      <c r="BB2244" s="331">
        <f>SQRT(($R2244-Infrastructure!J$9)^2+($S2244-Infrastructure!K$9)^2)</f>
        <v>26.00499952</v>
      </c>
      <c r="BC2244" s="331">
        <f>SQRT(($R2244-Infrastructure!J$10)^2+($S2244-Infrastructure!K$10)^2)</f>
        <v>30.37712955</v>
      </c>
      <c r="BD2244" s="331">
        <f>SQRT(($R2244-Infrastructure!J$11)^2+($S2244-Infrastructure!K$11)^2)</f>
        <v>40.19912934</v>
      </c>
      <c r="BE2244" s="333">
        <f>SQRT(($R2244-Infrastructure!J$12)^2+($S2244-Infrastructure!K$12)^2)</f>
        <v>58.25263943</v>
      </c>
      <c r="BF2244" s="330">
        <f t="shared" si="161"/>
        <v>5.682429058</v>
      </c>
      <c r="BG2244" s="333">
        <f t="shared" si="162"/>
        <v>58.25263943</v>
      </c>
      <c r="BH2244" s="1119"/>
      <c r="BI2244" s="319" t="str">
        <f t="shared" ref="BI2244:BR2244" si="1342">IF(ISNUMBER(FIND(BI$3, $CO2244)), "Y", "")</f>
        <v/>
      </c>
      <c r="BJ2244" s="319" t="str">
        <f t="shared" si="1342"/>
        <v/>
      </c>
      <c r="BK2244" s="319" t="str">
        <f t="shared" si="1342"/>
        <v/>
      </c>
      <c r="BL2244" s="319" t="str">
        <f t="shared" si="1342"/>
        <v/>
      </c>
      <c r="BM2244" s="319" t="str">
        <f t="shared" si="1342"/>
        <v/>
      </c>
      <c r="BN2244" s="319" t="str">
        <f t="shared" si="1342"/>
        <v/>
      </c>
      <c r="BO2244" s="319" t="str">
        <f t="shared" si="1342"/>
        <v/>
      </c>
      <c r="BP2244" s="319" t="str">
        <f t="shared" si="1342"/>
        <v/>
      </c>
      <c r="BQ2244" s="319" t="str">
        <f t="shared" si="1342"/>
        <v/>
      </c>
      <c r="BR2244" s="319" t="str">
        <f t="shared" si="1342"/>
        <v/>
      </c>
      <c r="BS2244" s="330">
        <f t="shared" si="185"/>
        <v>0</v>
      </c>
      <c r="BT2244" s="331">
        <f t="shared" si="170"/>
        <v>0</v>
      </c>
      <c r="BU2244" s="920"/>
      <c r="BV2244" s="903" t="str">
        <f t="shared" si="1244"/>
        <v/>
      </c>
      <c r="BW2244" s="908"/>
      <c r="BX2244" s="908"/>
      <c r="BY2244" s="331" t="b">
        <f t="shared" si="201"/>
        <v>0</v>
      </c>
      <c r="BZ2244" s="331"/>
      <c r="CA2244" s="462" t="str">
        <f t="shared" ref="CA2244:CJ2244" si="1343">IF(ISNUMBER(FIND(BI$3, $CP2244)), "Y", "")</f>
        <v/>
      </c>
      <c r="CB2244" s="319" t="str">
        <f t="shared" si="1343"/>
        <v/>
      </c>
      <c r="CC2244" s="319" t="str">
        <f t="shared" si="1343"/>
        <v/>
      </c>
      <c r="CD2244" s="319" t="str">
        <f t="shared" si="1343"/>
        <v/>
      </c>
      <c r="CE2244" s="319" t="str">
        <f t="shared" si="1343"/>
        <v/>
      </c>
      <c r="CF2244" s="319" t="str">
        <f t="shared" si="1343"/>
        <v/>
      </c>
      <c r="CG2244" s="319" t="str">
        <f t="shared" si="1343"/>
        <v/>
      </c>
      <c r="CH2244" s="319" t="str">
        <f t="shared" si="1343"/>
        <v/>
      </c>
      <c r="CI2244" s="319" t="str">
        <f t="shared" si="1343"/>
        <v/>
      </c>
      <c r="CJ2244" s="319" t="str">
        <f t="shared" si="1343"/>
        <v/>
      </c>
      <c r="CK2244" s="342">
        <f t="shared" si="182"/>
        <v>0</v>
      </c>
      <c r="CL2244" s="333">
        <f t="shared" si="183"/>
        <v>0</v>
      </c>
      <c r="CM2244" s="1079"/>
      <c r="CN2244" s="1005" t="s">
        <v>3344</v>
      </c>
      <c r="CO2244" s="1005"/>
      <c r="CP2244" s="1005"/>
    </row>
    <row r="2245">
      <c r="A2245" s="266"/>
      <c r="B2245" s="1113" t="s">
        <v>2240</v>
      </c>
      <c r="C2245" s="1304">
        <v>45966.0</v>
      </c>
      <c r="D2245" s="103"/>
      <c r="E2245" s="1108" t="s">
        <v>1523</v>
      </c>
      <c r="F2245" s="112" t="s">
        <v>3347</v>
      </c>
      <c r="G2245" s="1110">
        <v>0.4686342592592593</v>
      </c>
      <c r="H2245" s="1110">
        <v>0.4693287037037037</v>
      </c>
      <c r="I2245" s="1110">
        <v>0.47077546296296297</v>
      </c>
      <c r="J2245" s="1111">
        <v>0.0014467592592592592</v>
      </c>
      <c r="K2245" s="1111"/>
      <c r="L2245" s="1112"/>
      <c r="M2245" s="1113" t="s">
        <v>358</v>
      </c>
      <c r="N2245" s="110" t="s">
        <v>187</v>
      </c>
      <c r="O2245" s="1115" t="s">
        <v>203</v>
      </c>
      <c r="P2245" s="1115" t="s">
        <v>251</v>
      </c>
      <c r="Q2245" s="1116"/>
      <c r="R2245" s="120">
        <v>15.1</v>
      </c>
      <c r="S2245" s="1113">
        <v>-2.4</v>
      </c>
      <c r="T2245" s="110">
        <v>1.2</v>
      </c>
      <c r="U2245" s="1108">
        <v>1.9</v>
      </c>
      <c r="V2245" s="1108">
        <v>6.84</v>
      </c>
      <c r="W2245" s="1108">
        <v>0.0248965687289768</v>
      </c>
      <c r="X2245" s="1303">
        <v>0.0131</v>
      </c>
      <c r="Y2245" s="1108" t="s">
        <v>2242</v>
      </c>
      <c r="Z2245" s="1114" t="s">
        <v>357</v>
      </c>
      <c r="AA2245" s="1114">
        <v>65.0</v>
      </c>
      <c r="AB2245" s="1114" t="s">
        <v>371</v>
      </c>
      <c r="AC2245" s="1117">
        <v>1.8</v>
      </c>
      <c r="AD2245" s="1115" t="s">
        <v>1949</v>
      </c>
      <c r="AE2245" s="1115" t="s">
        <v>3348</v>
      </c>
      <c r="AF2245" s="1115">
        <v>1.06</v>
      </c>
      <c r="AG2245" s="1115">
        <v>1.52</v>
      </c>
      <c r="AH2245" s="1115" t="s">
        <v>323</v>
      </c>
      <c r="AI2245" s="1115">
        <v>597.4</v>
      </c>
      <c r="AJ2245" s="1117">
        <v>0.35</v>
      </c>
      <c r="AK2245" s="1118"/>
      <c r="AL2245" s="1115"/>
      <c r="AM2245" s="1115"/>
      <c r="AN2245" s="1115">
        <v>0.351499999999997</v>
      </c>
      <c r="AO2245" s="1115"/>
      <c r="AP2245" s="1115"/>
      <c r="AQ2245" s="1115"/>
      <c r="AR2245" s="1115"/>
      <c r="AS2245" s="1117"/>
      <c r="AT2245" s="1196" t="str">
        <f t="shared" si="428"/>
        <v>1-10</v>
      </c>
      <c r="AU2245" s="1193"/>
      <c r="AV2245" s="330">
        <f>SQRT(($R2245-Infrastructure!J$3)^2+($S2245-Infrastructure!K$3)^2)</f>
        <v>34.88337713</v>
      </c>
      <c r="AW2245" s="331">
        <f>SQRT(($R2245-Infrastructure!J$4)^2+($S2245-Infrastructure!K$4)^2)</f>
        <v>25.40078739</v>
      </c>
      <c r="AX2245" s="331">
        <f>SQRT(($R2245-Infrastructure!J$5)^2+($S2245-Infrastructure!K$5)^2)</f>
        <v>17.12921481</v>
      </c>
      <c r="AY2245" s="331">
        <f>SQRT(($R2245-Infrastructure!J$6)^2+($S2245-Infrastructure!K$6)^2)</f>
        <v>5.682429058</v>
      </c>
      <c r="AZ2245" s="331">
        <f>SQRT(($R2245-Infrastructure!J$7)^2+($S2245-Infrastructure!K$7)^2)</f>
        <v>6.037383539</v>
      </c>
      <c r="BA2245" s="331">
        <f>SQRT(($R2245-Infrastructure!J$8)^2+($S2245-Infrastructure!K$8)^2)</f>
        <v>15.24106296</v>
      </c>
      <c r="BB2245" s="331">
        <f>SQRT(($R2245-Infrastructure!J$9)^2+($S2245-Infrastructure!K$9)^2)</f>
        <v>26.00499952</v>
      </c>
      <c r="BC2245" s="331">
        <f>SQRT(($R2245-Infrastructure!J$10)^2+($S2245-Infrastructure!K$10)^2)</f>
        <v>30.37712955</v>
      </c>
      <c r="BD2245" s="331">
        <f>SQRT(($R2245-Infrastructure!J$11)^2+($S2245-Infrastructure!K$11)^2)</f>
        <v>40.19912934</v>
      </c>
      <c r="BE2245" s="333">
        <f>SQRT(($R2245-Infrastructure!J$12)^2+($S2245-Infrastructure!K$12)^2)</f>
        <v>58.25263943</v>
      </c>
      <c r="BF2245" s="330">
        <f t="shared" si="161"/>
        <v>5.682429058</v>
      </c>
      <c r="BG2245" s="333">
        <f t="shared" si="162"/>
        <v>58.25263943</v>
      </c>
      <c r="BH2245" s="1119"/>
      <c r="BI2245" s="319" t="str">
        <f t="shared" ref="BI2245:BR2245" si="1344">IF(ISNUMBER(FIND(BI$3, $CO2245)), "Y", "")</f>
        <v/>
      </c>
      <c r="BJ2245" s="319" t="str">
        <f t="shared" si="1344"/>
        <v/>
      </c>
      <c r="BK2245" s="319" t="str">
        <f t="shared" si="1344"/>
        <v/>
      </c>
      <c r="BL2245" s="319" t="str">
        <f t="shared" si="1344"/>
        <v/>
      </c>
      <c r="BM2245" s="319" t="str">
        <f t="shared" si="1344"/>
        <v/>
      </c>
      <c r="BN2245" s="319" t="str">
        <f t="shared" si="1344"/>
        <v/>
      </c>
      <c r="BO2245" s="319" t="str">
        <f t="shared" si="1344"/>
        <v/>
      </c>
      <c r="BP2245" s="319" t="str">
        <f t="shared" si="1344"/>
        <v/>
      </c>
      <c r="BQ2245" s="319" t="str">
        <f t="shared" si="1344"/>
        <v/>
      </c>
      <c r="BR2245" s="319" t="str">
        <f t="shared" si="1344"/>
        <v/>
      </c>
      <c r="BS2245" s="330">
        <f t="shared" si="185"/>
        <v>0</v>
      </c>
      <c r="BT2245" s="331">
        <f t="shared" si="170"/>
        <v>0</v>
      </c>
      <c r="BU2245" s="920"/>
      <c r="BV2245" s="903" t="str">
        <f t="shared" si="1244"/>
        <v/>
      </c>
      <c r="BW2245" s="908"/>
      <c r="BX2245" s="908"/>
      <c r="BY2245" s="331" t="b">
        <f t="shared" si="201"/>
        <v>0</v>
      </c>
      <c r="BZ2245" s="331"/>
      <c r="CA2245" s="462" t="str">
        <f t="shared" ref="CA2245:CJ2245" si="1345">IF(ISNUMBER(FIND(BI$3, $CP2245)), "Y", "")</f>
        <v/>
      </c>
      <c r="CB2245" s="319" t="str">
        <f t="shared" si="1345"/>
        <v/>
      </c>
      <c r="CC2245" s="319" t="str">
        <f t="shared" si="1345"/>
        <v/>
      </c>
      <c r="CD2245" s="319" t="str">
        <f t="shared" si="1345"/>
        <v/>
      </c>
      <c r="CE2245" s="319" t="str">
        <f t="shared" si="1345"/>
        <v/>
      </c>
      <c r="CF2245" s="319" t="str">
        <f t="shared" si="1345"/>
        <v/>
      </c>
      <c r="CG2245" s="319" t="str">
        <f t="shared" si="1345"/>
        <v/>
      </c>
      <c r="CH2245" s="319" t="str">
        <f t="shared" si="1345"/>
        <v/>
      </c>
      <c r="CI2245" s="319" t="str">
        <f t="shared" si="1345"/>
        <v/>
      </c>
      <c r="CJ2245" s="319" t="str">
        <f t="shared" si="1345"/>
        <v/>
      </c>
      <c r="CK2245" s="342">
        <f t="shared" si="182"/>
        <v>0</v>
      </c>
      <c r="CL2245" s="333">
        <f t="shared" si="183"/>
        <v>0</v>
      </c>
      <c r="CM2245" s="1079"/>
      <c r="CN2245" s="1005" t="s">
        <v>3344</v>
      </c>
      <c r="CO2245" s="1005"/>
      <c r="CP2245" s="1005"/>
    </row>
    <row r="2246">
      <c r="A2246" s="266"/>
      <c r="B2246" s="1113" t="s">
        <v>2240</v>
      </c>
      <c r="C2246" s="1304">
        <v>45966.0</v>
      </c>
      <c r="D2246" s="103"/>
      <c r="E2246" s="1108" t="s">
        <v>1525</v>
      </c>
      <c r="F2246" s="112" t="s">
        <v>3349</v>
      </c>
      <c r="G2246" s="1110">
        <v>0.47252314814814816</v>
      </c>
      <c r="H2246" s="1110">
        <v>0.47280092592592593</v>
      </c>
      <c r="I2246" s="1110">
        <v>0.47401620370370373</v>
      </c>
      <c r="J2246" s="1111">
        <v>0.0012152777777777778</v>
      </c>
      <c r="K2246" s="1111"/>
      <c r="L2246" s="1112"/>
      <c r="M2246" s="1113" t="s">
        <v>358</v>
      </c>
      <c r="N2246" s="110" t="s">
        <v>187</v>
      </c>
      <c r="O2246" s="1115" t="s">
        <v>203</v>
      </c>
      <c r="P2246" s="1115" t="s">
        <v>251</v>
      </c>
      <c r="Q2246" s="1116"/>
      <c r="R2246" s="120">
        <v>15.1</v>
      </c>
      <c r="S2246" s="1113">
        <v>-2.4</v>
      </c>
      <c r="T2246" s="110">
        <v>1.2</v>
      </c>
      <c r="U2246" s="1108">
        <v>1.3</v>
      </c>
      <c r="V2246" s="1108">
        <v>4.68</v>
      </c>
      <c r="W2246" s="1108">
        <v>0.0225253325142309</v>
      </c>
      <c r="X2246" s="1303">
        <v>0.0173</v>
      </c>
      <c r="Y2246" s="1108" t="s">
        <v>2242</v>
      </c>
      <c r="Z2246" s="1114" t="s">
        <v>357</v>
      </c>
      <c r="AA2246" s="1114">
        <v>49.0</v>
      </c>
      <c r="AB2246" s="1114" t="s">
        <v>371</v>
      </c>
      <c r="AC2246" s="1117">
        <v>1.8</v>
      </c>
      <c r="AD2246" s="1115" t="s">
        <v>1949</v>
      </c>
      <c r="AE2246" s="1115"/>
      <c r="AF2246" s="1115">
        <v>0.72</v>
      </c>
      <c r="AG2246" s="1115">
        <v>1.04</v>
      </c>
      <c r="AH2246" s="1115" t="s">
        <v>323</v>
      </c>
      <c r="AI2246" s="1115">
        <v>408.8</v>
      </c>
      <c r="AJ2246" s="1117">
        <v>0.17</v>
      </c>
      <c r="AK2246" s="1118"/>
      <c r="AL2246" s="1115"/>
      <c r="AM2246" s="1115"/>
      <c r="AN2246" s="1115">
        <v>0.167700000000001</v>
      </c>
      <c r="AO2246" s="1115"/>
      <c r="AP2246" s="1115"/>
      <c r="AQ2246" s="1115"/>
      <c r="AR2246" s="1115"/>
      <c r="AS2246" s="1117"/>
      <c r="AT2246" s="1196" t="str">
        <f t="shared" si="428"/>
        <v>1-10</v>
      </c>
      <c r="AU2246" s="1193"/>
      <c r="AV2246" s="330">
        <f>SQRT(($R2246-Infrastructure!J$3)^2+($S2246-Infrastructure!K$3)^2)</f>
        <v>34.88337713</v>
      </c>
      <c r="AW2246" s="331">
        <f>SQRT(($R2246-Infrastructure!J$4)^2+($S2246-Infrastructure!K$4)^2)</f>
        <v>25.40078739</v>
      </c>
      <c r="AX2246" s="331">
        <f>SQRT(($R2246-Infrastructure!J$5)^2+($S2246-Infrastructure!K$5)^2)</f>
        <v>17.12921481</v>
      </c>
      <c r="AY2246" s="331">
        <f>SQRT(($R2246-Infrastructure!J$6)^2+($S2246-Infrastructure!K$6)^2)</f>
        <v>5.682429058</v>
      </c>
      <c r="AZ2246" s="331">
        <f>SQRT(($R2246-Infrastructure!J$7)^2+($S2246-Infrastructure!K$7)^2)</f>
        <v>6.037383539</v>
      </c>
      <c r="BA2246" s="331">
        <f>SQRT(($R2246-Infrastructure!J$8)^2+($S2246-Infrastructure!K$8)^2)</f>
        <v>15.24106296</v>
      </c>
      <c r="BB2246" s="331">
        <f>SQRT(($R2246-Infrastructure!J$9)^2+($S2246-Infrastructure!K$9)^2)</f>
        <v>26.00499952</v>
      </c>
      <c r="BC2246" s="331">
        <f>SQRT(($R2246-Infrastructure!J$10)^2+($S2246-Infrastructure!K$10)^2)</f>
        <v>30.37712955</v>
      </c>
      <c r="BD2246" s="331">
        <f>SQRT(($R2246-Infrastructure!J$11)^2+($S2246-Infrastructure!K$11)^2)</f>
        <v>40.19912934</v>
      </c>
      <c r="BE2246" s="333">
        <f>SQRT(($R2246-Infrastructure!J$12)^2+($S2246-Infrastructure!K$12)^2)</f>
        <v>58.25263943</v>
      </c>
      <c r="BF2246" s="330">
        <f t="shared" si="161"/>
        <v>5.682429058</v>
      </c>
      <c r="BG2246" s="333">
        <f t="shared" si="162"/>
        <v>58.25263943</v>
      </c>
      <c r="BH2246" s="1119"/>
      <c r="BI2246" s="319" t="str">
        <f t="shared" ref="BI2246:BR2246" si="1346">IF(ISNUMBER(FIND(BI$3, $CO2246)), "Y", "")</f>
        <v/>
      </c>
      <c r="BJ2246" s="319" t="str">
        <f t="shared" si="1346"/>
        <v/>
      </c>
      <c r="BK2246" s="319" t="str">
        <f t="shared" si="1346"/>
        <v/>
      </c>
      <c r="BL2246" s="319" t="str">
        <f t="shared" si="1346"/>
        <v/>
      </c>
      <c r="BM2246" s="319" t="str">
        <f t="shared" si="1346"/>
        <v/>
      </c>
      <c r="BN2246" s="319" t="str">
        <f t="shared" si="1346"/>
        <v/>
      </c>
      <c r="BO2246" s="319" t="str">
        <f t="shared" si="1346"/>
        <v/>
      </c>
      <c r="BP2246" s="319" t="str">
        <f t="shared" si="1346"/>
        <v/>
      </c>
      <c r="BQ2246" s="319" t="str">
        <f t="shared" si="1346"/>
        <v/>
      </c>
      <c r="BR2246" s="319" t="str">
        <f t="shared" si="1346"/>
        <v/>
      </c>
      <c r="BS2246" s="330">
        <f t="shared" si="185"/>
        <v>0</v>
      </c>
      <c r="BT2246" s="331">
        <f t="shared" si="170"/>
        <v>0</v>
      </c>
      <c r="BU2246" s="920"/>
      <c r="BV2246" s="903" t="str">
        <f t="shared" si="1244"/>
        <v/>
      </c>
      <c r="BW2246" s="908"/>
      <c r="BX2246" s="908"/>
      <c r="BY2246" s="331" t="b">
        <f t="shared" si="201"/>
        <v>0</v>
      </c>
      <c r="BZ2246" s="331"/>
      <c r="CA2246" s="462" t="str">
        <f t="shared" ref="CA2246:CJ2246" si="1347">IF(ISNUMBER(FIND(BI$3, $CP2246)), "Y", "")</f>
        <v/>
      </c>
      <c r="CB2246" s="319" t="str">
        <f t="shared" si="1347"/>
        <v/>
      </c>
      <c r="CC2246" s="319" t="str">
        <f t="shared" si="1347"/>
        <v/>
      </c>
      <c r="CD2246" s="319" t="str">
        <f t="shared" si="1347"/>
        <v/>
      </c>
      <c r="CE2246" s="319" t="str">
        <f t="shared" si="1347"/>
        <v/>
      </c>
      <c r="CF2246" s="319" t="str">
        <f t="shared" si="1347"/>
        <v/>
      </c>
      <c r="CG2246" s="319" t="str">
        <f t="shared" si="1347"/>
        <v/>
      </c>
      <c r="CH2246" s="319" t="str">
        <f t="shared" si="1347"/>
        <v/>
      </c>
      <c r="CI2246" s="319" t="str">
        <f t="shared" si="1347"/>
        <v/>
      </c>
      <c r="CJ2246" s="319" t="str">
        <f t="shared" si="1347"/>
        <v/>
      </c>
      <c r="CK2246" s="342">
        <f t="shared" si="182"/>
        <v>0</v>
      </c>
      <c r="CL2246" s="333">
        <f t="shared" si="183"/>
        <v>0</v>
      </c>
      <c r="CM2246" s="1079"/>
      <c r="CN2246" s="1005" t="s">
        <v>3344</v>
      </c>
      <c r="CO2246" s="1005"/>
      <c r="CP2246" s="1005"/>
    </row>
    <row r="2247">
      <c r="A2247" s="266"/>
      <c r="B2247" s="1113" t="s">
        <v>2240</v>
      </c>
      <c r="C2247" s="1304">
        <v>45966.0</v>
      </c>
      <c r="D2247" s="103"/>
      <c r="E2247" s="1108" t="s">
        <v>1527</v>
      </c>
      <c r="F2247" s="112" t="s">
        <v>3350</v>
      </c>
      <c r="G2247" s="1110">
        <v>0.4753472222222222</v>
      </c>
      <c r="H2247" s="1110">
        <v>0.4756944444444444</v>
      </c>
      <c r="I2247" s="1110">
        <v>0.47702546296296294</v>
      </c>
      <c r="J2247" s="1111">
        <v>0.0013310185185185185</v>
      </c>
      <c r="K2247" s="1111"/>
      <c r="L2247" s="1112"/>
      <c r="M2247" s="1113" t="s">
        <v>358</v>
      </c>
      <c r="N2247" s="110" t="s">
        <v>187</v>
      </c>
      <c r="O2247" s="1115" t="s">
        <v>203</v>
      </c>
      <c r="P2247" s="1115" t="s">
        <v>251</v>
      </c>
      <c r="Q2247" s="1116"/>
      <c r="R2247" s="120">
        <v>15.1</v>
      </c>
      <c r="S2247" s="1113">
        <v>-2.4</v>
      </c>
      <c r="T2247" s="110">
        <v>1.2</v>
      </c>
      <c r="U2247" s="1108">
        <v>0.5</v>
      </c>
      <c r="V2247" s="1108">
        <v>1.8</v>
      </c>
      <c r="W2247" s="1108">
        <v>0.0200289344345458</v>
      </c>
      <c r="X2247" s="1303">
        <v>0.0401</v>
      </c>
      <c r="Y2247" s="1108" t="s">
        <v>2242</v>
      </c>
      <c r="Z2247" s="1114" t="s">
        <v>357</v>
      </c>
      <c r="AA2247" s="1114">
        <v>24.0</v>
      </c>
      <c r="AB2247" s="1114" t="s">
        <v>371</v>
      </c>
      <c r="AC2247" s="1117">
        <v>1.8</v>
      </c>
      <c r="AD2247" s="1115" t="s">
        <v>1949</v>
      </c>
      <c r="AE2247" s="1115"/>
      <c r="AF2247" s="1115">
        <v>0.28</v>
      </c>
      <c r="AG2247" s="1115">
        <v>0.4</v>
      </c>
      <c r="AH2247" s="1115" t="s">
        <v>323</v>
      </c>
      <c r="AI2247" s="1115">
        <v>157.2</v>
      </c>
      <c r="AJ2247" s="1117">
        <v>0.07</v>
      </c>
      <c r="AK2247" s="1118"/>
      <c r="AL2247" s="1115"/>
      <c r="AM2247" s="1115"/>
      <c r="AN2247" s="1115">
        <v>0.0725000000000002</v>
      </c>
      <c r="AO2247" s="1115"/>
      <c r="AP2247" s="1115"/>
      <c r="AQ2247" s="1115"/>
      <c r="AR2247" s="1115"/>
      <c r="AS2247" s="1117"/>
      <c r="AT2247" s="1196" t="str">
        <f t="shared" si="428"/>
        <v>0-1</v>
      </c>
      <c r="AU2247" s="1193"/>
      <c r="AV2247" s="330">
        <f>SQRT(($R2247-Infrastructure!J$3)^2+($S2247-Infrastructure!K$3)^2)</f>
        <v>34.88337713</v>
      </c>
      <c r="AW2247" s="331">
        <f>SQRT(($R2247-Infrastructure!J$4)^2+($S2247-Infrastructure!K$4)^2)</f>
        <v>25.40078739</v>
      </c>
      <c r="AX2247" s="331">
        <f>SQRT(($R2247-Infrastructure!J$5)^2+($S2247-Infrastructure!K$5)^2)</f>
        <v>17.12921481</v>
      </c>
      <c r="AY2247" s="331">
        <f>SQRT(($R2247-Infrastructure!J$6)^2+($S2247-Infrastructure!K$6)^2)</f>
        <v>5.682429058</v>
      </c>
      <c r="AZ2247" s="331">
        <f>SQRT(($R2247-Infrastructure!J$7)^2+($S2247-Infrastructure!K$7)^2)</f>
        <v>6.037383539</v>
      </c>
      <c r="BA2247" s="331">
        <f>SQRT(($R2247-Infrastructure!J$8)^2+($S2247-Infrastructure!K$8)^2)</f>
        <v>15.24106296</v>
      </c>
      <c r="BB2247" s="331">
        <f>SQRT(($R2247-Infrastructure!J$9)^2+($S2247-Infrastructure!K$9)^2)</f>
        <v>26.00499952</v>
      </c>
      <c r="BC2247" s="331">
        <f>SQRT(($R2247-Infrastructure!J$10)^2+($S2247-Infrastructure!K$10)^2)</f>
        <v>30.37712955</v>
      </c>
      <c r="BD2247" s="331">
        <f>SQRT(($R2247-Infrastructure!J$11)^2+($S2247-Infrastructure!K$11)^2)</f>
        <v>40.19912934</v>
      </c>
      <c r="BE2247" s="333">
        <f>SQRT(($R2247-Infrastructure!J$12)^2+($S2247-Infrastructure!K$12)^2)</f>
        <v>58.25263943</v>
      </c>
      <c r="BF2247" s="330">
        <f t="shared" si="161"/>
        <v>5.682429058</v>
      </c>
      <c r="BG2247" s="333">
        <f t="shared" si="162"/>
        <v>58.25263943</v>
      </c>
      <c r="BH2247" s="1119"/>
      <c r="BI2247" s="319" t="str">
        <f t="shared" ref="BI2247:BR2247" si="1348">IF(ISNUMBER(FIND(BI$3, $CO2247)), "Y", "")</f>
        <v/>
      </c>
      <c r="BJ2247" s="319" t="str">
        <f t="shared" si="1348"/>
        <v/>
      </c>
      <c r="BK2247" s="319" t="str">
        <f t="shared" si="1348"/>
        <v/>
      </c>
      <c r="BL2247" s="319" t="str">
        <f t="shared" si="1348"/>
        <v/>
      </c>
      <c r="BM2247" s="319" t="str">
        <f t="shared" si="1348"/>
        <v/>
      </c>
      <c r="BN2247" s="319" t="str">
        <f t="shared" si="1348"/>
        <v/>
      </c>
      <c r="BO2247" s="319" t="str">
        <f t="shared" si="1348"/>
        <v/>
      </c>
      <c r="BP2247" s="319" t="str">
        <f t="shared" si="1348"/>
        <v/>
      </c>
      <c r="BQ2247" s="319" t="str">
        <f t="shared" si="1348"/>
        <v/>
      </c>
      <c r="BR2247" s="319" t="str">
        <f t="shared" si="1348"/>
        <v/>
      </c>
      <c r="BS2247" s="330">
        <f t="shared" si="185"/>
        <v>0</v>
      </c>
      <c r="BT2247" s="331">
        <f t="shared" si="170"/>
        <v>0</v>
      </c>
      <c r="BU2247" s="920"/>
      <c r="BV2247" s="903" t="str">
        <f t="shared" si="1244"/>
        <v/>
      </c>
      <c r="BW2247" s="908"/>
      <c r="BX2247" s="908"/>
      <c r="BY2247" s="331" t="b">
        <f t="shared" si="201"/>
        <v>0</v>
      </c>
      <c r="BZ2247" s="331"/>
      <c r="CA2247" s="462" t="str">
        <f t="shared" ref="CA2247:CJ2247" si="1349">IF(ISNUMBER(FIND(BI$3, $CP2247)), "Y", "")</f>
        <v/>
      </c>
      <c r="CB2247" s="319" t="str">
        <f t="shared" si="1349"/>
        <v/>
      </c>
      <c r="CC2247" s="319" t="str">
        <f t="shared" si="1349"/>
        <v/>
      </c>
      <c r="CD2247" s="319" t="str">
        <f t="shared" si="1349"/>
        <v/>
      </c>
      <c r="CE2247" s="319" t="str">
        <f t="shared" si="1349"/>
        <v/>
      </c>
      <c r="CF2247" s="319" t="str">
        <f t="shared" si="1349"/>
        <v/>
      </c>
      <c r="CG2247" s="319" t="str">
        <f t="shared" si="1349"/>
        <v/>
      </c>
      <c r="CH2247" s="319" t="str">
        <f t="shared" si="1349"/>
        <v/>
      </c>
      <c r="CI2247" s="319" t="str">
        <f t="shared" si="1349"/>
        <v/>
      </c>
      <c r="CJ2247" s="319" t="str">
        <f t="shared" si="1349"/>
        <v/>
      </c>
      <c r="CK2247" s="342">
        <f t="shared" si="182"/>
        <v>0</v>
      </c>
      <c r="CL2247" s="333">
        <f t="shared" si="183"/>
        <v>0</v>
      </c>
      <c r="CM2247" s="1079"/>
      <c r="CN2247" s="1005" t="s">
        <v>3344</v>
      </c>
      <c r="CO2247" s="1005"/>
      <c r="CP2247" s="1005"/>
    </row>
    <row r="2248">
      <c r="A2248" s="266"/>
      <c r="B2248" s="1113" t="s">
        <v>2240</v>
      </c>
      <c r="C2248" s="1304">
        <v>45966.0</v>
      </c>
      <c r="D2248" s="103"/>
      <c r="E2248" s="1108" t="s">
        <v>1546</v>
      </c>
      <c r="F2248" s="112" t="s">
        <v>3351</v>
      </c>
      <c r="G2248" s="1110">
        <v>0.48333333333333334</v>
      </c>
      <c r="H2248" s="1110">
        <v>0.48368055555555556</v>
      </c>
      <c r="I2248" s="1110">
        <v>0.48506944444444444</v>
      </c>
      <c r="J2248" s="1111">
        <v>0.001388888888888889</v>
      </c>
      <c r="K2248" s="1111"/>
      <c r="L2248" s="1112"/>
      <c r="M2248" s="1113" t="s">
        <v>358</v>
      </c>
      <c r="N2248" s="110" t="s">
        <v>187</v>
      </c>
      <c r="O2248" s="1115" t="s">
        <v>203</v>
      </c>
      <c r="P2248" s="1115" t="s">
        <v>252</v>
      </c>
      <c r="Q2248" s="1116"/>
      <c r="R2248" s="120">
        <v>15.1</v>
      </c>
      <c r="S2248" s="1113">
        <v>-2.4</v>
      </c>
      <c r="T2248" s="110">
        <v>1.2</v>
      </c>
      <c r="U2248" s="1108">
        <v>7.0</v>
      </c>
      <c r="V2248" s="1108">
        <v>25.2</v>
      </c>
      <c r="W2248" s="1108">
        <v>0.0524420896481695</v>
      </c>
      <c r="X2248" s="1303">
        <v>0.0075</v>
      </c>
      <c r="Y2248" s="1108" t="s">
        <v>2242</v>
      </c>
      <c r="Z2248" s="1114" t="s">
        <v>357</v>
      </c>
      <c r="AA2248" s="1114">
        <v>92.5</v>
      </c>
      <c r="AB2248" s="1114" t="s">
        <v>384</v>
      </c>
      <c r="AC2248" s="1117">
        <v>6.0</v>
      </c>
      <c r="AD2248" s="1115" t="s">
        <v>1949</v>
      </c>
      <c r="AE2248" s="1115"/>
      <c r="AF2248" s="1115">
        <v>1.17</v>
      </c>
      <c r="AG2248" s="1115">
        <v>5.6</v>
      </c>
      <c r="AH2248" s="1115" t="s">
        <v>323</v>
      </c>
      <c r="AI2248" s="1115">
        <v>198.1</v>
      </c>
      <c r="AJ2248" s="1117">
        <v>1.05</v>
      </c>
      <c r="AK2248" s="1118"/>
      <c r="AL2248" s="1115"/>
      <c r="AM2248" s="1115"/>
      <c r="AN2248" s="1115">
        <v>1.05</v>
      </c>
      <c r="AO2248" s="1115"/>
      <c r="AP2248" s="1115"/>
      <c r="AQ2248" s="1115"/>
      <c r="AR2248" s="1115"/>
      <c r="AS2248" s="1117"/>
      <c r="AT2248" s="1196" t="str">
        <f t="shared" si="428"/>
        <v>1-10</v>
      </c>
      <c r="AU2248" s="1193"/>
      <c r="AV2248" s="330">
        <f>SQRT(($R2248-Infrastructure!J$3)^2+($S2248-Infrastructure!K$3)^2)</f>
        <v>34.88337713</v>
      </c>
      <c r="AW2248" s="331">
        <f>SQRT(($R2248-Infrastructure!J$4)^2+($S2248-Infrastructure!K$4)^2)</f>
        <v>25.40078739</v>
      </c>
      <c r="AX2248" s="331">
        <f>SQRT(($R2248-Infrastructure!J$5)^2+($S2248-Infrastructure!K$5)^2)</f>
        <v>17.12921481</v>
      </c>
      <c r="AY2248" s="331">
        <f>SQRT(($R2248-Infrastructure!J$6)^2+($S2248-Infrastructure!K$6)^2)</f>
        <v>5.682429058</v>
      </c>
      <c r="AZ2248" s="331">
        <f>SQRT(($R2248-Infrastructure!J$7)^2+($S2248-Infrastructure!K$7)^2)</f>
        <v>6.037383539</v>
      </c>
      <c r="BA2248" s="331">
        <f>SQRT(($R2248-Infrastructure!J$8)^2+($S2248-Infrastructure!K$8)^2)</f>
        <v>15.24106296</v>
      </c>
      <c r="BB2248" s="331">
        <f>SQRT(($R2248-Infrastructure!J$9)^2+($S2248-Infrastructure!K$9)^2)</f>
        <v>26.00499952</v>
      </c>
      <c r="BC2248" s="331">
        <f>SQRT(($R2248-Infrastructure!J$10)^2+($S2248-Infrastructure!K$10)^2)</f>
        <v>30.37712955</v>
      </c>
      <c r="BD2248" s="331">
        <f>SQRT(($R2248-Infrastructure!J$11)^2+($S2248-Infrastructure!K$11)^2)</f>
        <v>40.19912934</v>
      </c>
      <c r="BE2248" s="333">
        <f>SQRT(($R2248-Infrastructure!J$12)^2+($S2248-Infrastructure!K$12)^2)</f>
        <v>58.25263943</v>
      </c>
      <c r="BF2248" s="330">
        <f t="shared" si="161"/>
        <v>5.682429058</v>
      </c>
      <c r="BG2248" s="333">
        <f t="shared" si="162"/>
        <v>58.25263943</v>
      </c>
      <c r="BH2248" s="1119"/>
      <c r="BI2248" s="319" t="str">
        <f t="shared" ref="BI2248:BR2248" si="1350">IF(ISNUMBER(FIND(BI$3, $CO2248)), "Y", "")</f>
        <v/>
      </c>
      <c r="BJ2248" s="319" t="str">
        <f t="shared" si="1350"/>
        <v/>
      </c>
      <c r="BK2248" s="319" t="str">
        <f t="shared" si="1350"/>
        <v/>
      </c>
      <c r="BL2248" s="319" t="str">
        <f t="shared" si="1350"/>
        <v/>
      </c>
      <c r="BM2248" s="319" t="str">
        <f t="shared" si="1350"/>
        <v/>
      </c>
      <c r="BN2248" s="319" t="str">
        <f t="shared" si="1350"/>
        <v/>
      </c>
      <c r="BO2248" s="319" t="str">
        <f t="shared" si="1350"/>
        <v/>
      </c>
      <c r="BP2248" s="319" t="str">
        <f t="shared" si="1350"/>
        <v/>
      </c>
      <c r="BQ2248" s="319" t="str">
        <f t="shared" si="1350"/>
        <v/>
      </c>
      <c r="BR2248" s="319" t="str">
        <f t="shared" si="1350"/>
        <v/>
      </c>
      <c r="BS2248" s="330">
        <f t="shared" si="185"/>
        <v>0</v>
      </c>
      <c r="BT2248" s="331">
        <f t="shared" si="170"/>
        <v>0</v>
      </c>
      <c r="BU2248" s="920"/>
      <c r="BV2248" s="903" t="str">
        <f t="shared" si="1244"/>
        <v/>
      </c>
      <c r="BW2248" s="908"/>
      <c r="BX2248" s="908"/>
      <c r="BY2248" s="331" t="b">
        <f t="shared" si="201"/>
        <v>0</v>
      </c>
      <c r="BZ2248" s="331"/>
      <c r="CA2248" s="462" t="str">
        <f t="shared" ref="CA2248:CJ2248" si="1351">IF(ISNUMBER(FIND(BI$3, $CP2248)), "Y", "")</f>
        <v/>
      </c>
      <c r="CB2248" s="319" t="str">
        <f t="shared" si="1351"/>
        <v/>
      </c>
      <c r="CC2248" s="319" t="str">
        <f t="shared" si="1351"/>
        <v/>
      </c>
      <c r="CD2248" s="319" t="str">
        <f t="shared" si="1351"/>
        <v/>
      </c>
      <c r="CE2248" s="319" t="str">
        <f t="shared" si="1351"/>
        <v/>
      </c>
      <c r="CF2248" s="319" t="str">
        <f t="shared" si="1351"/>
        <v/>
      </c>
      <c r="CG2248" s="319" t="str">
        <f t="shared" si="1351"/>
        <v/>
      </c>
      <c r="CH2248" s="319" t="str">
        <f t="shared" si="1351"/>
        <v/>
      </c>
      <c r="CI2248" s="319" t="str">
        <f t="shared" si="1351"/>
        <v/>
      </c>
      <c r="CJ2248" s="319" t="str">
        <f t="shared" si="1351"/>
        <v/>
      </c>
      <c r="CK2248" s="342">
        <f t="shared" si="182"/>
        <v>0</v>
      </c>
      <c r="CL2248" s="333">
        <f t="shared" si="183"/>
        <v>0</v>
      </c>
      <c r="CM2248" s="1079"/>
      <c r="CN2248" s="1005" t="s">
        <v>3344</v>
      </c>
      <c r="CO2248" s="1005"/>
      <c r="CP2248" s="1005"/>
    </row>
    <row r="2249">
      <c r="A2249" s="266"/>
      <c r="B2249" s="1113" t="s">
        <v>2240</v>
      </c>
      <c r="C2249" s="1304">
        <v>45966.0</v>
      </c>
      <c r="D2249" s="103"/>
      <c r="E2249" s="1108" t="s">
        <v>1548</v>
      </c>
      <c r="F2249" s="112" t="s">
        <v>3352</v>
      </c>
      <c r="G2249" s="1110">
        <v>0.4864583333333333</v>
      </c>
      <c r="H2249" s="1110">
        <v>0.48680555555555555</v>
      </c>
      <c r="I2249" s="1110">
        <v>0.48819444444444443</v>
      </c>
      <c r="J2249" s="1111">
        <v>0.001388888888888889</v>
      </c>
      <c r="K2249" s="1111"/>
      <c r="L2249" s="1112"/>
      <c r="M2249" s="1113" t="s">
        <v>358</v>
      </c>
      <c r="N2249" s="110" t="s">
        <v>187</v>
      </c>
      <c r="O2249" s="1115" t="s">
        <v>203</v>
      </c>
      <c r="P2249" s="1115" t="s">
        <v>252</v>
      </c>
      <c r="Q2249" s="1116"/>
      <c r="R2249" s="120">
        <v>15.1</v>
      </c>
      <c r="S2249" s="1113">
        <v>-2.4</v>
      </c>
      <c r="T2249" s="110">
        <v>1.2</v>
      </c>
      <c r="U2249" s="1108">
        <v>6.0</v>
      </c>
      <c r="V2249" s="1108">
        <v>21.6</v>
      </c>
      <c r="W2249" s="1108">
        <v>0.0464978594489394</v>
      </c>
      <c r="X2249" s="1303">
        <v>0.0077</v>
      </c>
      <c r="Y2249" s="1108" t="s">
        <v>2242</v>
      </c>
      <c r="Z2249" s="1114" t="s">
        <v>357</v>
      </c>
      <c r="AA2249" s="1114">
        <v>89.0</v>
      </c>
      <c r="AB2249" s="1114" t="s">
        <v>384</v>
      </c>
      <c r="AC2249" s="1117">
        <v>6.0</v>
      </c>
      <c r="AD2249" s="1115" t="s">
        <v>1949</v>
      </c>
      <c r="AE2249" s="1115"/>
      <c r="AF2249" s="1115">
        <v>1.0</v>
      </c>
      <c r="AG2249" s="1115">
        <v>4.8</v>
      </c>
      <c r="AH2249" s="1115" t="s">
        <v>323</v>
      </c>
      <c r="AI2249" s="1115">
        <v>169.8</v>
      </c>
      <c r="AJ2249" s="1117">
        <v>0.9</v>
      </c>
      <c r="AK2249" s="1118"/>
      <c r="AL2249" s="1115"/>
      <c r="AM2249" s="1115"/>
      <c r="AN2249" s="1115">
        <v>0.899999999999997</v>
      </c>
      <c r="AO2249" s="1115"/>
      <c r="AP2249" s="1115"/>
      <c r="AQ2249" s="1115"/>
      <c r="AR2249" s="1115"/>
      <c r="AS2249" s="1117"/>
      <c r="AT2249" s="1196" t="str">
        <f t="shared" si="428"/>
        <v>1-10</v>
      </c>
      <c r="AU2249" s="1193"/>
      <c r="AV2249" s="330">
        <f>SQRT(($R2249-Infrastructure!J$3)^2+($S2249-Infrastructure!K$3)^2)</f>
        <v>34.88337713</v>
      </c>
      <c r="AW2249" s="331">
        <f>SQRT(($R2249-Infrastructure!J$4)^2+($S2249-Infrastructure!K$4)^2)</f>
        <v>25.40078739</v>
      </c>
      <c r="AX2249" s="331">
        <f>SQRT(($R2249-Infrastructure!J$5)^2+($S2249-Infrastructure!K$5)^2)</f>
        <v>17.12921481</v>
      </c>
      <c r="AY2249" s="331">
        <f>SQRT(($R2249-Infrastructure!J$6)^2+($S2249-Infrastructure!K$6)^2)</f>
        <v>5.682429058</v>
      </c>
      <c r="AZ2249" s="331">
        <f>SQRT(($R2249-Infrastructure!J$7)^2+($S2249-Infrastructure!K$7)^2)</f>
        <v>6.037383539</v>
      </c>
      <c r="BA2249" s="331">
        <f>SQRT(($R2249-Infrastructure!J$8)^2+($S2249-Infrastructure!K$8)^2)</f>
        <v>15.24106296</v>
      </c>
      <c r="BB2249" s="331">
        <f>SQRT(($R2249-Infrastructure!J$9)^2+($S2249-Infrastructure!K$9)^2)</f>
        <v>26.00499952</v>
      </c>
      <c r="BC2249" s="331">
        <f>SQRT(($R2249-Infrastructure!J$10)^2+($S2249-Infrastructure!K$10)^2)</f>
        <v>30.37712955</v>
      </c>
      <c r="BD2249" s="331">
        <f>SQRT(($R2249-Infrastructure!J$11)^2+($S2249-Infrastructure!K$11)^2)</f>
        <v>40.19912934</v>
      </c>
      <c r="BE2249" s="333">
        <f>SQRT(($R2249-Infrastructure!J$12)^2+($S2249-Infrastructure!K$12)^2)</f>
        <v>58.25263943</v>
      </c>
      <c r="BF2249" s="330">
        <f t="shared" si="161"/>
        <v>5.682429058</v>
      </c>
      <c r="BG2249" s="333">
        <f t="shared" si="162"/>
        <v>58.25263943</v>
      </c>
      <c r="BH2249" s="1119"/>
      <c r="BI2249" s="319" t="str">
        <f t="shared" ref="BI2249:BR2249" si="1352">IF(ISNUMBER(FIND(BI$3, $CO2249)), "Y", "")</f>
        <v/>
      </c>
      <c r="BJ2249" s="319" t="str">
        <f t="shared" si="1352"/>
        <v/>
      </c>
      <c r="BK2249" s="319" t="str">
        <f t="shared" si="1352"/>
        <v/>
      </c>
      <c r="BL2249" s="319" t="str">
        <f t="shared" si="1352"/>
        <v/>
      </c>
      <c r="BM2249" s="319" t="str">
        <f t="shared" si="1352"/>
        <v/>
      </c>
      <c r="BN2249" s="319" t="str">
        <f t="shared" si="1352"/>
        <v/>
      </c>
      <c r="BO2249" s="319" t="str">
        <f t="shared" si="1352"/>
        <v/>
      </c>
      <c r="BP2249" s="319" t="str">
        <f t="shared" si="1352"/>
        <v/>
      </c>
      <c r="BQ2249" s="319" t="str">
        <f t="shared" si="1352"/>
        <v/>
      </c>
      <c r="BR2249" s="319" t="str">
        <f t="shared" si="1352"/>
        <v/>
      </c>
      <c r="BS2249" s="330">
        <f t="shared" si="185"/>
        <v>0</v>
      </c>
      <c r="BT2249" s="331">
        <f t="shared" si="170"/>
        <v>0</v>
      </c>
      <c r="BU2249" s="920"/>
      <c r="BV2249" s="903" t="str">
        <f t="shared" si="1244"/>
        <v/>
      </c>
      <c r="BW2249" s="908"/>
      <c r="BX2249" s="908"/>
      <c r="BY2249" s="331" t="b">
        <f t="shared" si="201"/>
        <v>0</v>
      </c>
      <c r="BZ2249" s="331"/>
      <c r="CA2249" s="462" t="str">
        <f t="shared" ref="CA2249:CJ2249" si="1353">IF(ISNUMBER(FIND(BI$3, $CP2249)), "Y", "")</f>
        <v/>
      </c>
      <c r="CB2249" s="319" t="str">
        <f t="shared" si="1353"/>
        <v/>
      </c>
      <c r="CC2249" s="319" t="str">
        <f t="shared" si="1353"/>
        <v/>
      </c>
      <c r="CD2249" s="319" t="str">
        <f t="shared" si="1353"/>
        <v/>
      </c>
      <c r="CE2249" s="319" t="str">
        <f t="shared" si="1353"/>
        <v/>
      </c>
      <c r="CF2249" s="319" t="str">
        <f t="shared" si="1353"/>
        <v/>
      </c>
      <c r="CG2249" s="319" t="str">
        <f t="shared" si="1353"/>
        <v/>
      </c>
      <c r="CH2249" s="319" t="str">
        <f t="shared" si="1353"/>
        <v/>
      </c>
      <c r="CI2249" s="319" t="str">
        <f t="shared" si="1353"/>
        <v/>
      </c>
      <c r="CJ2249" s="319" t="str">
        <f t="shared" si="1353"/>
        <v/>
      </c>
      <c r="CK2249" s="342">
        <f t="shared" si="182"/>
        <v>0</v>
      </c>
      <c r="CL2249" s="333">
        <f t="shared" si="183"/>
        <v>0</v>
      </c>
      <c r="CM2249" s="1079"/>
      <c r="CN2249" s="1005" t="s">
        <v>3344</v>
      </c>
      <c r="CO2249" s="1005"/>
      <c r="CP2249" s="1005"/>
    </row>
    <row r="2250">
      <c r="A2250" s="266"/>
      <c r="B2250" s="1113" t="s">
        <v>2240</v>
      </c>
      <c r="C2250" s="1304">
        <v>45966.0</v>
      </c>
      <c r="D2250" s="103"/>
      <c r="E2250" s="1108" t="s">
        <v>1768</v>
      </c>
      <c r="F2250" s="112" t="s">
        <v>3353</v>
      </c>
      <c r="G2250" s="1110">
        <v>0.48917824074074073</v>
      </c>
      <c r="H2250" s="1110">
        <v>0.48940972222222223</v>
      </c>
      <c r="I2250" s="1110">
        <v>0.4909722222222222</v>
      </c>
      <c r="J2250" s="1111">
        <v>0.0015625</v>
      </c>
      <c r="K2250" s="1111"/>
      <c r="L2250" s="1112"/>
      <c r="M2250" s="1113" t="s">
        <v>358</v>
      </c>
      <c r="N2250" s="110" t="s">
        <v>187</v>
      </c>
      <c r="O2250" s="1115" t="s">
        <v>203</v>
      </c>
      <c r="P2250" s="1115" t="s">
        <v>252</v>
      </c>
      <c r="Q2250" s="1116"/>
      <c r="R2250" s="120">
        <v>15.1</v>
      </c>
      <c r="S2250" s="1113">
        <v>-2.4</v>
      </c>
      <c r="T2250" s="110">
        <v>1.2</v>
      </c>
      <c r="U2250" s="1108">
        <v>5.0</v>
      </c>
      <c r="V2250" s="1108">
        <v>18.0</v>
      </c>
      <c r="W2250" s="1108">
        <v>0.0407274579777983</v>
      </c>
      <c r="X2250" s="1303">
        <v>0.0081</v>
      </c>
      <c r="Y2250" s="1108" t="s">
        <v>2242</v>
      </c>
      <c r="Z2250" s="1114" t="s">
        <v>357</v>
      </c>
      <c r="AA2250" s="1114">
        <v>84.0</v>
      </c>
      <c r="AB2250" s="1114" t="s">
        <v>384</v>
      </c>
      <c r="AC2250" s="1117">
        <v>6.0</v>
      </c>
      <c r="AD2250" s="1115" t="s">
        <v>1949</v>
      </c>
      <c r="AE2250" s="1115"/>
      <c r="AF2250" s="1115">
        <v>0.83</v>
      </c>
      <c r="AG2250" s="1115">
        <v>4.0</v>
      </c>
      <c r="AH2250" s="1115" t="s">
        <v>323</v>
      </c>
      <c r="AI2250" s="1115">
        <v>141.5</v>
      </c>
      <c r="AJ2250" s="1117">
        <v>0.77</v>
      </c>
      <c r="AK2250" s="1118"/>
      <c r="AL2250" s="1115"/>
      <c r="AM2250" s="1115"/>
      <c r="AN2250" s="1115">
        <v>0.774999999999993</v>
      </c>
      <c r="AO2250" s="1115"/>
      <c r="AP2250" s="1115"/>
      <c r="AQ2250" s="1115"/>
      <c r="AR2250" s="1115"/>
      <c r="AS2250" s="1117"/>
      <c r="AT2250" s="1196" t="str">
        <f t="shared" si="428"/>
        <v>1-10</v>
      </c>
      <c r="AU2250" s="1193"/>
      <c r="AV2250" s="330">
        <f>SQRT(($R2250-Infrastructure!J$3)^2+($S2250-Infrastructure!K$3)^2)</f>
        <v>34.88337713</v>
      </c>
      <c r="AW2250" s="331">
        <f>SQRT(($R2250-Infrastructure!J$4)^2+($S2250-Infrastructure!K$4)^2)</f>
        <v>25.40078739</v>
      </c>
      <c r="AX2250" s="331">
        <f>SQRT(($R2250-Infrastructure!J$5)^2+($S2250-Infrastructure!K$5)^2)</f>
        <v>17.12921481</v>
      </c>
      <c r="AY2250" s="331">
        <f>SQRT(($R2250-Infrastructure!J$6)^2+($S2250-Infrastructure!K$6)^2)</f>
        <v>5.682429058</v>
      </c>
      <c r="AZ2250" s="331">
        <f>SQRT(($R2250-Infrastructure!J$7)^2+($S2250-Infrastructure!K$7)^2)</f>
        <v>6.037383539</v>
      </c>
      <c r="BA2250" s="331">
        <f>SQRT(($R2250-Infrastructure!J$8)^2+($S2250-Infrastructure!K$8)^2)</f>
        <v>15.24106296</v>
      </c>
      <c r="BB2250" s="331">
        <f>SQRT(($R2250-Infrastructure!J$9)^2+($S2250-Infrastructure!K$9)^2)</f>
        <v>26.00499952</v>
      </c>
      <c r="BC2250" s="331">
        <f>SQRT(($R2250-Infrastructure!J$10)^2+($S2250-Infrastructure!K$10)^2)</f>
        <v>30.37712955</v>
      </c>
      <c r="BD2250" s="331">
        <f>SQRT(($R2250-Infrastructure!J$11)^2+($S2250-Infrastructure!K$11)^2)</f>
        <v>40.19912934</v>
      </c>
      <c r="BE2250" s="333">
        <f>SQRT(($R2250-Infrastructure!J$12)^2+($S2250-Infrastructure!K$12)^2)</f>
        <v>58.25263943</v>
      </c>
      <c r="BF2250" s="330">
        <f t="shared" si="161"/>
        <v>5.682429058</v>
      </c>
      <c r="BG2250" s="333">
        <f t="shared" si="162"/>
        <v>58.25263943</v>
      </c>
      <c r="BH2250" s="1119"/>
      <c r="BI2250" s="319" t="str">
        <f t="shared" ref="BI2250:BR2250" si="1354">IF(ISNUMBER(FIND(BI$3, $CO2250)), "Y", "")</f>
        <v/>
      </c>
      <c r="BJ2250" s="319" t="str">
        <f t="shared" si="1354"/>
        <v/>
      </c>
      <c r="BK2250" s="319" t="str">
        <f t="shared" si="1354"/>
        <v/>
      </c>
      <c r="BL2250" s="319" t="str">
        <f t="shared" si="1354"/>
        <v/>
      </c>
      <c r="BM2250" s="319" t="str">
        <f t="shared" si="1354"/>
        <v/>
      </c>
      <c r="BN2250" s="319" t="str">
        <f t="shared" si="1354"/>
        <v/>
      </c>
      <c r="BO2250" s="319" t="str">
        <f t="shared" si="1354"/>
        <v/>
      </c>
      <c r="BP2250" s="319" t="str">
        <f t="shared" si="1354"/>
        <v/>
      </c>
      <c r="BQ2250" s="319" t="str">
        <f t="shared" si="1354"/>
        <v/>
      </c>
      <c r="BR2250" s="319" t="str">
        <f t="shared" si="1354"/>
        <v/>
      </c>
      <c r="BS2250" s="330">
        <f t="shared" si="185"/>
        <v>0</v>
      </c>
      <c r="BT2250" s="331">
        <f t="shared" si="170"/>
        <v>0</v>
      </c>
      <c r="BU2250" s="920"/>
      <c r="BV2250" s="903" t="str">
        <f t="shared" si="1244"/>
        <v/>
      </c>
      <c r="BW2250" s="908"/>
      <c r="BX2250" s="908"/>
      <c r="BY2250" s="331" t="b">
        <f t="shared" si="201"/>
        <v>0</v>
      </c>
      <c r="BZ2250" s="331"/>
      <c r="CA2250" s="462" t="str">
        <f t="shared" ref="CA2250:CJ2250" si="1355">IF(ISNUMBER(FIND(BI$3, $CP2250)), "Y", "")</f>
        <v/>
      </c>
      <c r="CB2250" s="319" t="str">
        <f t="shared" si="1355"/>
        <v/>
      </c>
      <c r="CC2250" s="319" t="str">
        <f t="shared" si="1355"/>
        <v/>
      </c>
      <c r="CD2250" s="319" t="str">
        <f t="shared" si="1355"/>
        <v/>
      </c>
      <c r="CE2250" s="319" t="str">
        <f t="shared" si="1355"/>
        <v/>
      </c>
      <c r="CF2250" s="319" t="str">
        <f t="shared" si="1355"/>
        <v/>
      </c>
      <c r="CG2250" s="319" t="str">
        <f t="shared" si="1355"/>
        <v/>
      </c>
      <c r="CH2250" s="319" t="str">
        <f t="shared" si="1355"/>
        <v/>
      </c>
      <c r="CI2250" s="319" t="str">
        <f t="shared" si="1355"/>
        <v/>
      </c>
      <c r="CJ2250" s="319" t="str">
        <f t="shared" si="1355"/>
        <v/>
      </c>
      <c r="CK2250" s="342">
        <f t="shared" si="182"/>
        <v>0</v>
      </c>
      <c r="CL2250" s="333">
        <f t="shared" si="183"/>
        <v>0</v>
      </c>
      <c r="CM2250" s="1079"/>
      <c r="CN2250" s="1005" t="s">
        <v>3344</v>
      </c>
      <c r="CO2250" s="1005"/>
      <c r="CP2250" s="1005"/>
    </row>
    <row r="2251">
      <c r="A2251" s="266"/>
      <c r="B2251" s="1113" t="s">
        <v>2240</v>
      </c>
      <c r="C2251" s="1304">
        <v>45966.0</v>
      </c>
      <c r="D2251" s="103"/>
      <c r="E2251" s="1108" t="s">
        <v>1550</v>
      </c>
      <c r="F2251" s="112" t="s">
        <v>3354</v>
      </c>
      <c r="G2251" s="1110">
        <v>0.49646990740740743</v>
      </c>
      <c r="H2251" s="1110">
        <v>0.4967013888888889</v>
      </c>
      <c r="I2251" s="1110">
        <v>0.4979166666666667</v>
      </c>
      <c r="J2251" s="1111">
        <v>0.0012152777777777778</v>
      </c>
      <c r="K2251" s="1111"/>
      <c r="L2251" s="1112"/>
      <c r="M2251" s="1113" t="s">
        <v>358</v>
      </c>
      <c r="N2251" s="110" t="s">
        <v>187</v>
      </c>
      <c r="O2251" s="1115" t="s">
        <v>203</v>
      </c>
      <c r="P2251" s="1115" t="s">
        <v>251</v>
      </c>
      <c r="Q2251" s="1116"/>
      <c r="R2251" s="120">
        <v>15.1</v>
      </c>
      <c r="S2251" s="1113">
        <v>-2.4</v>
      </c>
      <c r="T2251" s="110">
        <v>1.2</v>
      </c>
      <c r="U2251" s="1108">
        <v>1.9</v>
      </c>
      <c r="V2251" s="1108">
        <v>6.84</v>
      </c>
      <c r="W2251" s="1108">
        <v>0.0248965687289768</v>
      </c>
      <c r="X2251" s="1303">
        <v>0.0131</v>
      </c>
      <c r="Y2251" s="1108" t="s">
        <v>2242</v>
      </c>
      <c r="Z2251" s="1114" t="s">
        <v>357</v>
      </c>
      <c r="AA2251" s="1114">
        <v>66.0</v>
      </c>
      <c r="AB2251" s="1114" t="s">
        <v>371</v>
      </c>
      <c r="AC2251" s="1117">
        <v>1.8</v>
      </c>
      <c r="AD2251" s="1115" t="s">
        <v>1949</v>
      </c>
      <c r="AE2251" s="1115" t="s">
        <v>3348</v>
      </c>
      <c r="AF2251" s="1115">
        <v>1.06</v>
      </c>
      <c r="AG2251" s="1115">
        <v>1.52</v>
      </c>
      <c r="AH2251" s="1115" t="s">
        <v>323</v>
      </c>
      <c r="AI2251" s="1115">
        <v>597.4</v>
      </c>
      <c r="AJ2251" s="1117">
        <v>0.24</v>
      </c>
      <c r="AK2251" s="1118"/>
      <c r="AL2251" s="1115"/>
      <c r="AM2251" s="1115"/>
      <c r="AN2251" s="1115">
        <v>0.237499999999998</v>
      </c>
      <c r="AO2251" s="1115"/>
      <c r="AP2251" s="1115"/>
      <c r="AQ2251" s="1115"/>
      <c r="AR2251" s="1115"/>
      <c r="AS2251" s="1117"/>
      <c r="AT2251" s="1196" t="str">
        <f t="shared" si="428"/>
        <v>1-10</v>
      </c>
      <c r="AU2251" s="1193"/>
      <c r="AV2251" s="330">
        <f>SQRT(($R2251-Infrastructure!J$3)^2+($S2251-Infrastructure!K$3)^2)</f>
        <v>34.88337713</v>
      </c>
      <c r="AW2251" s="331">
        <f>SQRT(($R2251-Infrastructure!J$4)^2+($S2251-Infrastructure!K$4)^2)</f>
        <v>25.40078739</v>
      </c>
      <c r="AX2251" s="331">
        <f>SQRT(($R2251-Infrastructure!J$5)^2+($S2251-Infrastructure!K$5)^2)</f>
        <v>17.12921481</v>
      </c>
      <c r="AY2251" s="331">
        <f>SQRT(($R2251-Infrastructure!J$6)^2+($S2251-Infrastructure!K$6)^2)</f>
        <v>5.682429058</v>
      </c>
      <c r="AZ2251" s="331">
        <f>SQRT(($R2251-Infrastructure!J$7)^2+($S2251-Infrastructure!K$7)^2)</f>
        <v>6.037383539</v>
      </c>
      <c r="BA2251" s="331">
        <f>SQRT(($R2251-Infrastructure!J$8)^2+($S2251-Infrastructure!K$8)^2)</f>
        <v>15.24106296</v>
      </c>
      <c r="BB2251" s="331">
        <f>SQRT(($R2251-Infrastructure!J$9)^2+($S2251-Infrastructure!K$9)^2)</f>
        <v>26.00499952</v>
      </c>
      <c r="BC2251" s="331">
        <f>SQRT(($R2251-Infrastructure!J$10)^2+($S2251-Infrastructure!K$10)^2)</f>
        <v>30.37712955</v>
      </c>
      <c r="BD2251" s="331">
        <f>SQRT(($R2251-Infrastructure!J$11)^2+($S2251-Infrastructure!K$11)^2)</f>
        <v>40.19912934</v>
      </c>
      <c r="BE2251" s="333">
        <f>SQRT(($R2251-Infrastructure!J$12)^2+($S2251-Infrastructure!K$12)^2)</f>
        <v>58.25263943</v>
      </c>
      <c r="BF2251" s="330">
        <f t="shared" si="161"/>
        <v>5.682429058</v>
      </c>
      <c r="BG2251" s="333">
        <f t="shared" si="162"/>
        <v>58.25263943</v>
      </c>
      <c r="BH2251" s="1119"/>
      <c r="BI2251" s="319" t="str">
        <f t="shared" ref="BI2251:BR2251" si="1356">IF(ISNUMBER(FIND(BI$3, $CO2251)), "Y", "")</f>
        <v/>
      </c>
      <c r="BJ2251" s="319" t="str">
        <f t="shared" si="1356"/>
        <v/>
      </c>
      <c r="BK2251" s="319" t="str">
        <f t="shared" si="1356"/>
        <v/>
      </c>
      <c r="BL2251" s="319" t="str">
        <f t="shared" si="1356"/>
        <v/>
      </c>
      <c r="BM2251" s="319" t="str">
        <f t="shared" si="1356"/>
        <v/>
      </c>
      <c r="BN2251" s="319" t="str">
        <f t="shared" si="1356"/>
        <v/>
      </c>
      <c r="BO2251" s="319" t="str">
        <f t="shared" si="1356"/>
        <v/>
      </c>
      <c r="BP2251" s="319" t="str">
        <f t="shared" si="1356"/>
        <v/>
      </c>
      <c r="BQ2251" s="319" t="str">
        <f t="shared" si="1356"/>
        <v/>
      </c>
      <c r="BR2251" s="319" t="str">
        <f t="shared" si="1356"/>
        <v/>
      </c>
      <c r="BS2251" s="330">
        <f t="shared" si="185"/>
        <v>0</v>
      </c>
      <c r="BT2251" s="331">
        <f t="shared" si="170"/>
        <v>0</v>
      </c>
      <c r="BU2251" s="920"/>
      <c r="BV2251" s="903" t="str">
        <f t="shared" si="1244"/>
        <v/>
      </c>
      <c r="BW2251" s="908"/>
      <c r="BX2251" s="908"/>
      <c r="BY2251" s="331" t="b">
        <f t="shared" si="201"/>
        <v>0</v>
      </c>
      <c r="BZ2251" s="331"/>
      <c r="CA2251" s="462" t="str">
        <f t="shared" ref="CA2251:CJ2251" si="1357">IF(ISNUMBER(FIND(BI$3, $CP2251)), "Y", "")</f>
        <v/>
      </c>
      <c r="CB2251" s="319" t="str">
        <f t="shared" si="1357"/>
        <v/>
      </c>
      <c r="CC2251" s="319" t="str">
        <f t="shared" si="1357"/>
        <v/>
      </c>
      <c r="CD2251" s="319" t="str">
        <f t="shared" si="1357"/>
        <v/>
      </c>
      <c r="CE2251" s="319" t="str">
        <f t="shared" si="1357"/>
        <v/>
      </c>
      <c r="CF2251" s="319" t="str">
        <f t="shared" si="1357"/>
        <v/>
      </c>
      <c r="CG2251" s="319" t="str">
        <f t="shared" si="1357"/>
        <v/>
      </c>
      <c r="CH2251" s="319" t="str">
        <f t="shared" si="1357"/>
        <v/>
      </c>
      <c r="CI2251" s="319" t="str">
        <f t="shared" si="1357"/>
        <v/>
      </c>
      <c r="CJ2251" s="319" t="str">
        <f t="shared" si="1357"/>
        <v/>
      </c>
      <c r="CK2251" s="342">
        <f t="shared" si="182"/>
        <v>0</v>
      </c>
      <c r="CL2251" s="333">
        <f t="shared" si="183"/>
        <v>0</v>
      </c>
      <c r="CM2251" s="1079"/>
      <c r="CN2251" s="1005" t="s">
        <v>3344</v>
      </c>
      <c r="CO2251" s="1005"/>
      <c r="CP2251" s="1005"/>
    </row>
    <row r="2252">
      <c r="A2252" s="266"/>
      <c r="B2252" s="1113" t="s">
        <v>2240</v>
      </c>
      <c r="C2252" s="1304">
        <v>45966.0</v>
      </c>
      <c r="D2252" s="103"/>
      <c r="E2252" s="1108" t="s">
        <v>1552</v>
      </c>
      <c r="F2252" s="112" t="s">
        <v>3355</v>
      </c>
      <c r="G2252" s="1110">
        <v>0.498900462962963</v>
      </c>
      <c r="H2252" s="1110">
        <v>0.4991319444444444</v>
      </c>
      <c r="I2252" s="1110">
        <v>0.5001736111111111</v>
      </c>
      <c r="J2252" s="1111">
        <v>0.0010416666666666667</v>
      </c>
      <c r="K2252" s="1111"/>
      <c r="L2252" s="1112"/>
      <c r="M2252" s="1113" t="s">
        <v>358</v>
      </c>
      <c r="N2252" s="110" t="s">
        <v>187</v>
      </c>
      <c r="O2252" s="1115" t="s">
        <v>203</v>
      </c>
      <c r="P2252" s="1115" t="s">
        <v>251</v>
      </c>
      <c r="Q2252" s="1116"/>
      <c r="R2252" s="120">
        <v>15.1</v>
      </c>
      <c r="S2252" s="1113">
        <v>-2.4</v>
      </c>
      <c r="T2252" s="110">
        <v>1.2</v>
      </c>
      <c r="U2252" s="1108">
        <v>1.3</v>
      </c>
      <c r="V2252" s="1108">
        <v>4.68</v>
      </c>
      <c r="W2252" s="1108">
        <v>0.0225253325142309</v>
      </c>
      <c r="X2252" s="1303">
        <v>0.0173</v>
      </c>
      <c r="Y2252" s="1108" t="s">
        <v>2242</v>
      </c>
      <c r="Z2252" s="1114" t="s">
        <v>357</v>
      </c>
      <c r="AA2252" s="1114">
        <v>49.0</v>
      </c>
      <c r="AB2252" s="1114" t="s">
        <v>371</v>
      </c>
      <c r="AC2252" s="1117">
        <v>1.8</v>
      </c>
      <c r="AD2252" s="1115" t="s">
        <v>1949</v>
      </c>
      <c r="AE2252" s="1115"/>
      <c r="AF2252" s="1115">
        <v>0.72</v>
      </c>
      <c r="AG2252" s="1115">
        <v>1.04</v>
      </c>
      <c r="AH2252" s="1115" t="s">
        <v>323</v>
      </c>
      <c r="AI2252" s="1115">
        <v>408.8</v>
      </c>
      <c r="AJ2252" s="1117">
        <v>0.14</v>
      </c>
      <c r="AK2252" s="1118"/>
      <c r="AL2252" s="1115"/>
      <c r="AM2252" s="1115"/>
      <c r="AN2252" s="1115">
        <v>0.143000000000002</v>
      </c>
      <c r="AO2252" s="1115"/>
      <c r="AP2252" s="1115"/>
      <c r="AQ2252" s="1115"/>
      <c r="AR2252" s="1115"/>
      <c r="AS2252" s="1117"/>
      <c r="AT2252" s="1196" t="str">
        <f t="shared" si="428"/>
        <v>1-10</v>
      </c>
      <c r="AU2252" s="1193"/>
      <c r="AV2252" s="330">
        <f>SQRT(($R2252-Infrastructure!J$3)^2+($S2252-Infrastructure!K$3)^2)</f>
        <v>34.88337713</v>
      </c>
      <c r="AW2252" s="331">
        <f>SQRT(($R2252-Infrastructure!J$4)^2+($S2252-Infrastructure!K$4)^2)</f>
        <v>25.40078739</v>
      </c>
      <c r="AX2252" s="331">
        <f>SQRT(($R2252-Infrastructure!J$5)^2+($S2252-Infrastructure!K$5)^2)</f>
        <v>17.12921481</v>
      </c>
      <c r="AY2252" s="331">
        <f>SQRT(($R2252-Infrastructure!J$6)^2+($S2252-Infrastructure!K$6)^2)</f>
        <v>5.682429058</v>
      </c>
      <c r="AZ2252" s="331">
        <f>SQRT(($R2252-Infrastructure!J$7)^2+($S2252-Infrastructure!K$7)^2)</f>
        <v>6.037383539</v>
      </c>
      <c r="BA2252" s="331">
        <f>SQRT(($R2252-Infrastructure!J$8)^2+($S2252-Infrastructure!K$8)^2)</f>
        <v>15.24106296</v>
      </c>
      <c r="BB2252" s="331">
        <f>SQRT(($R2252-Infrastructure!J$9)^2+($S2252-Infrastructure!K$9)^2)</f>
        <v>26.00499952</v>
      </c>
      <c r="BC2252" s="331">
        <f>SQRT(($R2252-Infrastructure!J$10)^2+($S2252-Infrastructure!K$10)^2)</f>
        <v>30.37712955</v>
      </c>
      <c r="BD2252" s="331">
        <f>SQRT(($R2252-Infrastructure!J$11)^2+($S2252-Infrastructure!K$11)^2)</f>
        <v>40.19912934</v>
      </c>
      <c r="BE2252" s="333">
        <f>SQRT(($R2252-Infrastructure!J$12)^2+($S2252-Infrastructure!K$12)^2)</f>
        <v>58.25263943</v>
      </c>
      <c r="BF2252" s="330">
        <f t="shared" si="161"/>
        <v>5.682429058</v>
      </c>
      <c r="BG2252" s="333">
        <f t="shared" si="162"/>
        <v>58.25263943</v>
      </c>
      <c r="BH2252" s="1119"/>
      <c r="BI2252" s="319" t="str">
        <f t="shared" ref="BI2252:BR2252" si="1358">IF(ISNUMBER(FIND(BI$3, $CO2252)), "Y", "")</f>
        <v/>
      </c>
      <c r="BJ2252" s="319" t="str">
        <f t="shared" si="1358"/>
        <v/>
      </c>
      <c r="BK2252" s="319" t="str">
        <f t="shared" si="1358"/>
        <v/>
      </c>
      <c r="BL2252" s="319" t="str">
        <f t="shared" si="1358"/>
        <v/>
      </c>
      <c r="BM2252" s="319" t="str">
        <f t="shared" si="1358"/>
        <v/>
      </c>
      <c r="BN2252" s="319" t="str">
        <f t="shared" si="1358"/>
        <v/>
      </c>
      <c r="BO2252" s="319" t="str">
        <f t="shared" si="1358"/>
        <v/>
      </c>
      <c r="BP2252" s="319" t="str">
        <f t="shared" si="1358"/>
        <v/>
      </c>
      <c r="BQ2252" s="319" t="str">
        <f t="shared" si="1358"/>
        <v/>
      </c>
      <c r="BR2252" s="319" t="str">
        <f t="shared" si="1358"/>
        <v/>
      </c>
      <c r="BS2252" s="330">
        <f t="shared" si="185"/>
        <v>0</v>
      </c>
      <c r="BT2252" s="331">
        <f t="shared" si="170"/>
        <v>0</v>
      </c>
      <c r="BU2252" s="920"/>
      <c r="BV2252" s="903" t="str">
        <f t="shared" si="1244"/>
        <v/>
      </c>
      <c r="BW2252" s="908"/>
      <c r="BX2252" s="908"/>
      <c r="BY2252" s="331" t="b">
        <f t="shared" si="201"/>
        <v>0</v>
      </c>
      <c r="BZ2252" s="331"/>
      <c r="CA2252" s="462" t="str">
        <f t="shared" ref="CA2252:CJ2252" si="1359">IF(ISNUMBER(FIND(BI$3, $CP2252)), "Y", "")</f>
        <v/>
      </c>
      <c r="CB2252" s="319" t="str">
        <f t="shared" si="1359"/>
        <v/>
      </c>
      <c r="CC2252" s="319" t="str">
        <f t="shared" si="1359"/>
        <v/>
      </c>
      <c r="CD2252" s="319" t="str">
        <f t="shared" si="1359"/>
        <v/>
      </c>
      <c r="CE2252" s="319" t="str">
        <f t="shared" si="1359"/>
        <v/>
      </c>
      <c r="CF2252" s="319" t="str">
        <f t="shared" si="1359"/>
        <v/>
      </c>
      <c r="CG2252" s="319" t="str">
        <f t="shared" si="1359"/>
        <v/>
      </c>
      <c r="CH2252" s="319" t="str">
        <f t="shared" si="1359"/>
        <v/>
      </c>
      <c r="CI2252" s="319" t="str">
        <f t="shared" si="1359"/>
        <v/>
      </c>
      <c r="CJ2252" s="319" t="str">
        <f t="shared" si="1359"/>
        <v/>
      </c>
      <c r="CK2252" s="342">
        <f t="shared" si="182"/>
        <v>0</v>
      </c>
      <c r="CL2252" s="333">
        <f t="shared" si="183"/>
        <v>0</v>
      </c>
      <c r="CM2252" s="1079"/>
      <c r="CN2252" s="1005" t="s">
        <v>3344</v>
      </c>
      <c r="CO2252" s="1005"/>
      <c r="CP2252" s="1005"/>
    </row>
    <row r="2253">
      <c r="A2253" s="266"/>
      <c r="B2253" s="1113" t="s">
        <v>2240</v>
      </c>
      <c r="C2253" s="1304">
        <v>45966.0</v>
      </c>
      <c r="D2253" s="103"/>
      <c r="E2253" s="1108" t="s">
        <v>1885</v>
      </c>
      <c r="F2253" s="112" t="s">
        <v>3356</v>
      </c>
      <c r="G2253" s="1110">
        <v>0.5013888888888889</v>
      </c>
      <c r="H2253" s="1110">
        <v>0.5015625</v>
      </c>
      <c r="I2253" s="1110">
        <v>0.5025462962962963</v>
      </c>
      <c r="J2253" s="1111">
        <v>9.837962962962962E-4</v>
      </c>
      <c r="K2253" s="1111"/>
      <c r="L2253" s="1112"/>
      <c r="M2253" s="1113" t="s">
        <v>358</v>
      </c>
      <c r="N2253" s="110" t="s">
        <v>187</v>
      </c>
      <c r="O2253" s="1115" t="s">
        <v>203</v>
      </c>
      <c r="P2253" s="1115" t="s">
        <v>251</v>
      </c>
      <c r="Q2253" s="1116"/>
      <c r="R2253" s="120">
        <v>15.1</v>
      </c>
      <c r="S2253" s="1113">
        <v>-2.4</v>
      </c>
      <c r="T2253" s="110">
        <v>1.2</v>
      </c>
      <c r="U2253" s="1108">
        <v>0.5</v>
      </c>
      <c r="V2253" s="1108">
        <v>1.8</v>
      </c>
      <c r="W2253" s="1108">
        <v>0.0200289344345458</v>
      </c>
      <c r="X2253" s="1303">
        <v>0.0401</v>
      </c>
      <c r="Y2253" s="1108" t="s">
        <v>2242</v>
      </c>
      <c r="Z2253" s="1114" t="s">
        <v>357</v>
      </c>
      <c r="AA2253" s="1114">
        <v>24.0</v>
      </c>
      <c r="AB2253" s="1114" t="s">
        <v>371</v>
      </c>
      <c r="AC2253" s="1117">
        <v>1.8</v>
      </c>
      <c r="AD2253" s="1115" t="s">
        <v>1949</v>
      </c>
      <c r="AE2253" s="1115"/>
      <c r="AF2253" s="1115">
        <v>0.28</v>
      </c>
      <c r="AG2253" s="1115">
        <v>0.4</v>
      </c>
      <c r="AH2253" s="1115" t="s">
        <v>323</v>
      </c>
      <c r="AI2253" s="1115">
        <v>157.2</v>
      </c>
      <c r="AJ2253" s="1117">
        <v>0.05</v>
      </c>
      <c r="AK2253" s="1118"/>
      <c r="AL2253" s="1115"/>
      <c r="AM2253" s="1115"/>
      <c r="AN2253" s="1115">
        <v>0.0500000000000014</v>
      </c>
      <c r="AO2253" s="1115"/>
      <c r="AP2253" s="1115"/>
      <c r="AQ2253" s="1115"/>
      <c r="AR2253" s="1115"/>
      <c r="AS2253" s="1117"/>
      <c r="AT2253" s="1196" t="str">
        <f t="shared" si="428"/>
        <v>0-1</v>
      </c>
      <c r="AU2253" s="1193"/>
      <c r="AV2253" s="330">
        <f>SQRT(($R2253-Infrastructure!J$3)^2+($S2253-Infrastructure!K$3)^2)</f>
        <v>34.88337713</v>
      </c>
      <c r="AW2253" s="331">
        <f>SQRT(($R2253-Infrastructure!J$4)^2+($S2253-Infrastructure!K$4)^2)</f>
        <v>25.40078739</v>
      </c>
      <c r="AX2253" s="331">
        <f>SQRT(($R2253-Infrastructure!J$5)^2+($S2253-Infrastructure!K$5)^2)</f>
        <v>17.12921481</v>
      </c>
      <c r="AY2253" s="331">
        <f>SQRT(($R2253-Infrastructure!J$6)^2+($S2253-Infrastructure!K$6)^2)</f>
        <v>5.682429058</v>
      </c>
      <c r="AZ2253" s="331">
        <f>SQRT(($R2253-Infrastructure!J$7)^2+($S2253-Infrastructure!K$7)^2)</f>
        <v>6.037383539</v>
      </c>
      <c r="BA2253" s="331">
        <f>SQRT(($R2253-Infrastructure!J$8)^2+($S2253-Infrastructure!K$8)^2)</f>
        <v>15.24106296</v>
      </c>
      <c r="BB2253" s="331">
        <f>SQRT(($R2253-Infrastructure!J$9)^2+($S2253-Infrastructure!K$9)^2)</f>
        <v>26.00499952</v>
      </c>
      <c r="BC2253" s="331">
        <f>SQRT(($R2253-Infrastructure!J$10)^2+($S2253-Infrastructure!K$10)^2)</f>
        <v>30.37712955</v>
      </c>
      <c r="BD2253" s="331">
        <f>SQRT(($R2253-Infrastructure!J$11)^2+($S2253-Infrastructure!K$11)^2)</f>
        <v>40.19912934</v>
      </c>
      <c r="BE2253" s="333">
        <f>SQRT(($R2253-Infrastructure!J$12)^2+($S2253-Infrastructure!K$12)^2)</f>
        <v>58.25263943</v>
      </c>
      <c r="BF2253" s="330">
        <f t="shared" si="161"/>
        <v>5.682429058</v>
      </c>
      <c r="BG2253" s="333">
        <f t="shared" si="162"/>
        <v>58.25263943</v>
      </c>
      <c r="BH2253" s="1119"/>
      <c r="BI2253" s="319" t="str">
        <f t="shared" ref="BI2253:BR2253" si="1360">IF(ISNUMBER(FIND(BI$3, $CO2253)), "Y", "")</f>
        <v/>
      </c>
      <c r="BJ2253" s="319" t="str">
        <f t="shared" si="1360"/>
        <v/>
      </c>
      <c r="BK2253" s="319" t="str">
        <f t="shared" si="1360"/>
        <v/>
      </c>
      <c r="BL2253" s="319" t="str">
        <f t="shared" si="1360"/>
        <v/>
      </c>
      <c r="BM2253" s="319" t="str">
        <f t="shared" si="1360"/>
        <v/>
      </c>
      <c r="BN2253" s="319" t="str">
        <f t="shared" si="1360"/>
        <v/>
      </c>
      <c r="BO2253" s="319" t="str">
        <f t="shared" si="1360"/>
        <v/>
      </c>
      <c r="BP2253" s="319" t="str">
        <f t="shared" si="1360"/>
        <v/>
      </c>
      <c r="BQ2253" s="319" t="str">
        <f t="shared" si="1360"/>
        <v/>
      </c>
      <c r="BR2253" s="319" t="str">
        <f t="shared" si="1360"/>
        <v/>
      </c>
      <c r="BS2253" s="330">
        <f t="shared" si="185"/>
        <v>0</v>
      </c>
      <c r="BT2253" s="331">
        <f t="shared" si="170"/>
        <v>0</v>
      </c>
      <c r="BU2253" s="920"/>
      <c r="BV2253" s="903" t="str">
        <f t="shared" si="1244"/>
        <v/>
      </c>
      <c r="BW2253" s="908"/>
      <c r="BX2253" s="908"/>
      <c r="BY2253" s="331" t="b">
        <f t="shared" si="201"/>
        <v>0</v>
      </c>
      <c r="BZ2253" s="331"/>
      <c r="CA2253" s="462" t="str">
        <f t="shared" ref="CA2253:CJ2253" si="1361">IF(ISNUMBER(FIND(BI$3, $CP2253)), "Y", "")</f>
        <v/>
      </c>
      <c r="CB2253" s="319" t="str">
        <f t="shared" si="1361"/>
        <v/>
      </c>
      <c r="CC2253" s="319" t="str">
        <f t="shared" si="1361"/>
        <v/>
      </c>
      <c r="CD2253" s="319" t="str">
        <f t="shared" si="1361"/>
        <v/>
      </c>
      <c r="CE2253" s="319" t="str">
        <f t="shared" si="1361"/>
        <v/>
      </c>
      <c r="CF2253" s="319" t="str">
        <f t="shared" si="1361"/>
        <v/>
      </c>
      <c r="CG2253" s="319" t="str">
        <f t="shared" si="1361"/>
        <v/>
      </c>
      <c r="CH2253" s="319" t="str">
        <f t="shared" si="1361"/>
        <v/>
      </c>
      <c r="CI2253" s="319" t="str">
        <f t="shared" si="1361"/>
        <v/>
      </c>
      <c r="CJ2253" s="319" t="str">
        <f t="shared" si="1361"/>
        <v/>
      </c>
      <c r="CK2253" s="342">
        <f t="shared" si="182"/>
        <v>0</v>
      </c>
      <c r="CL2253" s="333">
        <f t="shared" si="183"/>
        <v>0</v>
      </c>
      <c r="CM2253" s="1079"/>
      <c r="CN2253" s="1005" t="s">
        <v>3344</v>
      </c>
      <c r="CO2253" s="1005"/>
      <c r="CP2253" s="1005"/>
    </row>
    <row r="2254">
      <c r="A2254" s="266"/>
      <c r="B2254" s="1113" t="s">
        <v>2240</v>
      </c>
      <c r="C2254" s="1304">
        <v>45966.0</v>
      </c>
      <c r="D2254" s="103"/>
      <c r="E2254" s="1108" t="s">
        <v>1481</v>
      </c>
      <c r="F2254" s="112" t="s">
        <v>3357</v>
      </c>
      <c r="G2254" s="1110">
        <v>0.6072337962962963</v>
      </c>
      <c r="H2254" s="1110">
        <v>0.6083333333333333</v>
      </c>
      <c r="I2254" s="1110">
        <v>0.609837962962963</v>
      </c>
      <c r="J2254" s="1111">
        <v>0.0015046296296296296</v>
      </c>
      <c r="K2254" s="1111"/>
      <c r="L2254" s="1112"/>
      <c r="M2254" s="1113" t="s">
        <v>358</v>
      </c>
      <c r="N2254" s="110" t="s">
        <v>187</v>
      </c>
      <c r="O2254" s="1115" t="s">
        <v>202</v>
      </c>
      <c r="P2254" s="1115" t="s">
        <v>254</v>
      </c>
      <c r="Q2254" s="1116"/>
      <c r="R2254" s="120">
        <v>24.4</v>
      </c>
      <c r="S2254" s="1113">
        <v>-7.7</v>
      </c>
      <c r="T2254" s="110">
        <v>0.57</v>
      </c>
      <c r="U2254" s="1108">
        <v>16.0</v>
      </c>
      <c r="V2254" s="1108">
        <v>57.6</v>
      </c>
      <c r="W2254" s="1108">
        <v>0.273592933144602</v>
      </c>
      <c r="X2254" s="1303">
        <v>0.0171</v>
      </c>
      <c r="Y2254" s="1108" t="s">
        <v>3334</v>
      </c>
      <c r="Z2254" s="1114" t="s">
        <v>1140</v>
      </c>
      <c r="AA2254" s="1114">
        <v>83.5</v>
      </c>
      <c r="AB2254" s="1114" t="s">
        <v>363</v>
      </c>
      <c r="AC2254" s="1117">
        <v>10.0</v>
      </c>
      <c r="AD2254" s="1115" t="s">
        <v>1949</v>
      </c>
      <c r="AE2254" s="1115"/>
      <c r="AF2254" s="1115">
        <v>1.6</v>
      </c>
      <c r="AG2254" s="1115">
        <v>12.8</v>
      </c>
      <c r="AH2254" s="1115" t="s">
        <v>323</v>
      </c>
      <c r="AI2254" s="1115">
        <v>163.0</v>
      </c>
      <c r="AJ2254" s="1117">
        <v>3.6</v>
      </c>
      <c r="AK2254" s="1118"/>
      <c r="AL2254" s="1115"/>
      <c r="AM2254" s="1115"/>
      <c r="AN2254" s="1115">
        <v>3.6000000000001</v>
      </c>
      <c r="AO2254" s="1115"/>
      <c r="AP2254" s="1115"/>
      <c r="AQ2254" s="1115"/>
      <c r="AR2254" s="1115"/>
      <c r="AS2254" s="1117"/>
      <c r="AT2254" s="1196" t="str">
        <f t="shared" si="428"/>
        <v>10+</v>
      </c>
      <c r="AU2254" s="1193"/>
      <c r="AV2254" s="330">
        <f>SQRT(($R2254-Infrastructure!J$3)^2+($S2254-Infrastructure!K$3)^2)</f>
        <v>44.15484118</v>
      </c>
      <c r="AW2254" s="331">
        <f>SQRT(($R2254-Infrastructure!J$4)^2+($S2254-Infrastructure!K$4)^2)</f>
        <v>35.50126758</v>
      </c>
      <c r="AX2254" s="331">
        <f>SQRT(($R2254-Infrastructure!J$5)^2+($S2254-Infrastructure!K$5)^2)</f>
        <v>27.81959741</v>
      </c>
      <c r="AY2254" s="331">
        <f>SQRT(($R2254-Infrastructure!J$6)^2+($S2254-Infrastructure!K$6)^2)</f>
        <v>16.38566447</v>
      </c>
      <c r="AZ2254" s="331">
        <f>SQRT(($R2254-Infrastructure!J$7)^2+($S2254-Infrastructure!K$7)^2)</f>
        <v>8.9</v>
      </c>
      <c r="BA2254" s="331">
        <f>SQRT(($R2254-Infrastructure!J$8)^2+($S2254-Infrastructure!K$8)^2)</f>
        <v>9.822932352</v>
      </c>
      <c r="BB2254" s="331">
        <f>SQRT(($R2254-Infrastructure!J$9)^2+($S2254-Infrastructure!K$9)^2)</f>
        <v>20.17919721</v>
      </c>
      <c r="BC2254" s="331">
        <f>SQRT(($R2254-Infrastructure!J$10)^2+($S2254-Infrastructure!K$10)^2)</f>
        <v>27.5436018</v>
      </c>
      <c r="BD2254" s="331">
        <f>SQRT(($R2254-Infrastructure!J$11)^2+($S2254-Infrastructure!K$11)^2)</f>
        <v>39.95660146</v>
      </c>
      <c r="BE2254" s="333">
        <f>SQRT(($R2254-Infrastructure!J$12)^2+($S2254-Infrastructure!K$12)^2)</f>
        <v>63.26649982</v>
      </c>
      <c r="BF2254" s="330">
        <f t="shared" si="161"/>
        <v>8.9</v>
      </c>
      <c r="BG2254" s="333">
        <f t="shared" si="162"/>
        <v>63.26649982</v>
      </c>
      <c r="BH2254" s="1119"/>
      <c r="BI2254" s="319" t="str">
        <f t="shared" ref="BI2254:BR2254" si="1362">IF(ISNUMBER(FIND(BI$3, $CO2254)), "Y", "")</f>
        <v/>
      </c>
      <c r="BJ2254" s="319" t="str">
        <f t="shared" si="1362"/>
        <v/>
      </c>
      <c r="BK2254" s="319" t="str">
        <f t="shared" si="1362"/>
        <v/>
      </c>
      <c r="BL2254" s="319" t="str">
        <f t="shared" si="1362"/>
        <v/>
      </c>
      <c r="BM2254" s="319" t="str">
        <f t="shared" si="1362"/>
        <v/>
      </c>
      <c r="BN2254" s="319" t="str">
        <f t="shared" si="1362"/>
        <v/>
      </c>
      <c r="BO2254" s="319" t="str">
        <f t="shared" si="1362"/>
        <v/>
      </c>
      <c r="BP2254" s="319" t="str">
        <f t="shared" si="1362"/>
        <v/>
      </c>
      <c r="BQ2254" s="319" t="str">
        <f t="shared" si="1362"/>
        <v/>
      </c>
      <c r="BR2254" s="319" t="str">
        <f t="shared" si="1362"/>
        <v/>
      </c>
      <c r="BS2254" s="330">
        <f t="shared" si="185"/>
        <v>0</v>
      </c>
      <c r="BT2254" s="331">
        <f t="shared" si="170"/>
        <v>0</v>
      </c>
      <c r="BU2254" s="920"/>
      <c r="BV2254" s="903" t="str">
        <f t="shared" si="1244"/>
        <v/>
      </c>
      <c r="BW2254" s="908"/>
      <c r="BX2254" s="908"/>
      <c r="BY2254" s="331" t="b">
        <f t="shared" si="201"/>
        <v>0</v>
      </c>
      <c r="BZ2254" s="331"/>
      <c r="CA2254" s="462" t="str">
        <f t="shared" ref="CA2254:CJ2254" si="1363">IF(ISNUMBER(FIND(BI$3, $CP2254)), "Y", "")</f>
        <v/>
      </c>
      <c r="CB2254" s="319" t="str">
        <f t="shared" si="1363"/>
        <v/>
      </c>
      <c r="CC2254" s="319" t="str">
        <f t="shared" si="1363"/>
        <v/>
      </c>
      <c r="CD2254" s="319" t="str">
        <f t="shared" si="1363"/>
        <v/>
      </c>
      <c r="CE2254" s="319" t="str">
        <f t="shared" si="1363"/>
        <v/>
      </c>
      <c r="CF2254" s="319" t="str">
        <f t="shared" si="1363"/>
        <v/>
      </c>
      <c r="CG2254" s="319" t="str">
        <f t="shared" si="1363"/>
        <v/>
      </c>
      <c r="CH2254" s="319" t="str">
        <f t="shared" si="1363"/>
        <v/>
      </c>
      <c r="CI2254" s="319" t="str">
        <f t="shared" si="1363"/>
        <v/>
      </c>
      <c r="CJ2254" s="319" t="str">
        <f t="shared" si="1363"/>
        <v/>
      </c>
      <c r="CK2254" s="342">
        <f t="shared" si="182"/>
        <v>0</v>
      </c>
      <c r="CL2254" s="333">
        <f t="shared" si="183"/>
        <v>0</v>
      </c>
      <c r="CM2254" s="1079"/>
      <c r="CN2254" s="1005" t="s">
        <v>3358</v>
      </c>
      <c r="CO2254" s="1005"/>
      <c r="CP2254" s="1005"/>
    </row>
    <row r="2255">
      <c r="A2255" s="266"/>
      <c r="B2255" s="1113" t="s">
        <v>2240</v>
      </c>
      <c r="C2255" s="1304">
        <v>45966.0</v>
      </c>
      <c r="D2255" s="103"/>
      <c r="E2255" s="1108" t="s">
        <v>1483</v>
      </c>
      <c r="F2255" s="112" t="s">
        <v>3359</v>
      </c>
      <c r="G2255" s="1110">
        <v>0.6244212962962963</v>
      </c>
      <c r="H2255" s="1110">
        <v>0.625</v>
      </c>
      <c r="I2255" s="1110">
        <v>0.6258680555555556</v>
      </c>
      <c r="J2255" s="1111">
        <v>8.680555555555555E-4</v>
      </c>
      <c r="K2255" s="1111"/>
      <c r="L2255" s="1112"/>
      <c r="M2255" s="1113" t="s">
        <v>358</v>
      </c>
      <c r="N2255" s="110" t="s">
        <v>187</v>
      </c>
      <c r="O2255" s="1115" t="s">
        <v>202</v>
      </c>
      <c r="P2255" s="1115" t="s">
        <v>254</v>
      </c>
      <c r="Q2255" s="1116"/>
      <c r="R2255" s="120">
        <v>24.4</v>
      </c>
      <c r="S2255" s="1113">
        <v>-7.7</v>
      </c>
      <c r="T2255" s="110">
        <v>0.57</v>
      </c>
      <c r="U2255" s="1108">
        <v>13.5</v>
      </c>
      <c r="V2255" s="1108">
        <v>48.6</v>
      </c>
      <c r="W2255" s="1108">
        <v>0.267897717391047</v>
      </c>
      <c r="X2255" s="1303">
        <v>0.0198</v>
      </c>
      <c r="Y2255" s="1108" t="s">
        <v>3334</v>
      </c>
      <c r="Z2255" s="1114" t="s">
        <v>1140</v>
      </c>
      <c r="AA2255" s="1114">
        <v>78.0</v>
      </c>
      <c r="AB2255" s="1114" t="s">
        <v>363</v>
      </c>
      <c r="AC2255" s="1117">
        <v>10.0</v>
      </c>
      <c r="AD2255" s="1115" t="s">
        <v>1949</v>
      </c>
      <c r="AE2255" s="1115"/>
      <c r="AF2255" s="1115">
        <v>1.35</v>
      </c>
      <c r="AG2255" s="1115">
        <v>10.8</v>
      </c>
      <c r="AH2255" s="1115" t="s">
        <v>323</v>
      </c>
      <c r="AI2255" s="1115">
        <v>137.5</v>
      </c>
      <c r="AJ2255" s="1117">
        <v>1.69</v>
      </c>
      <c r="AK2255" s="1118"/>
      <c r="AL2255" s="1115"/>
      <c r="AM2255" s="1115"/>
      <c r="AN2255" s="1115">
        <v>1.68750000000005</v>
      </c>
      <c r="AO2255" s="1115"/>
      <c r="AP2255" s="1115"/>
      <c r="AQ2255" s="1115"/>
      <c r="AR2255" s="1115"/>
      <c r="AS2255" s="1117"/>
      <c r="AT2255" s="1196" t="str">
        <f t="shared" si="428"/>
        <v>10+</v>
      </c>
      <c r="AU2255" s="1193"/>
      <c r="AV2255" s="330">
        <f>SQRT(($R2255-Infrastructure!J$3)^2+($S2255-Infrastructure!K$3)^2)</f>
        <v>44.15484118</v>
      </c>
      <c r="AW2255" s="331">
        <f>SQRT(($R2255-Infrastructure!J$4)^2+($S2255-Infrastructure!K$4)^2)</f>
        <v>35.50126758</v>
      </c>
      <c r="AX2255" s="331">
        <f>SQRT(($R2255-Infrastructure!J$5)^2+($S2255-Infrastructure!K$5)^2)</f>
        <v>27.81959741</v>
      </c>
      <c r="AY2255" s="331">
        <f>SQRT(($R2255-Infrastructure!J$6)^2+($S2255-Infrastructure!K$6)^2)</f>
        <v>16.38566447</v>
      </c>
      <c r="AZ2255" s="331">
        <f>SQRT(($R2255-Infrastructure!J$7)^2+($S2255-Infrastructure!K$7)^2)</f>
        <v>8.9</v>
      </c>
      <c r="BA2255" s="331">
        <f>SQRT(($R2255-Infrastructure!J$8)^2+($S2255-Infrastructure!K$8)^2)</f>
        <v>9.822932352</v>
      </c>
      <c r="BB2255" s="331">
        <f>SQRT(($R2255-Infrastructure!J$9)^2+($S2255-Infrastructure!K$9)^2)</f>
        <v>20.17919721</v>
      </c>
      <c r="BC2255" s="331">
        <f>SQRT(($R2255-Infrastructure!J$10)^2+($S2255-Infrastructure!K$10)^2)</f>
        <v>27.5436018</v>
      </c>
      <c r="BD2255" s="331">
        <f>SQRT(($R2255-Infrastructure!J$11)^2+($S2255-Infrastructure!K$11)^2)</f>
        <v>39.95660146</v>
      </c>
      <c r="BE2255" s="333">
        <f>SQRT(($R2255-Infrastructure!J$12)^2+($S2255-Infrastructure!K$12)^2)</f>
        <v>63.26649982</v>
      </c>
      <c r="BF2255" s="330">
        <f t="shared" si="161"/>
        <v>8.9</v>
      </c>
      <c r="BG2255" s="333">
        <f t="shared" si="162"/>
        <v>63.26649982</v>
      </c>
      <c r="BH2255" s="1119"/>
      <c r="BI2255" s="319" t="str">
        <f t="shared" ref="BI2255:BR2255" si="1364">IF(ISNUMBER(FIND(BI$3, $CO2255)), "Y", "")</f>
        <v/>
      </c>
      <c r="BJ2255" s="319" t="str">
        <f t="shared" si="1364"/>
        <v/>
      </c>
      <c r="BK2255" s="319" t="str">
        <f t="shared" si="1364"/>
        <v/>
      </c>
      <c r="BL2255" s="319" t="str">
        <f t="shared" si="1364"/>
        <v/>
      </c>
      <c r="BM2255" s="319" t="str">
        <f t="shared" si="1364"/>
        <v/>
      </c>
      <c r="BN2255" s="319" t="str">
        <f t="shared" si="1364"/>
        <v/>
      </c>
      <c r="BO2255" s="319" t="str">
        <f t="shared" si="1364"/>
        <v/>
      </c>
      <c r="BP2255" s="319" t="str">
        <f t="shared" si="1364"/>
        <v/>
      </c>
      <c r="BQ2255" s="319" t="str">
        <f t="shared" si="1364"/>
        <v/>
      </c>
      <c r="BR2255" s="319" t="str">
        <f t="shared" si="1364"/>
        <v/>
      </c>
      <c r="BS2255" s="330">
        <f t="shared" si="185"/>
        <v>0</v>
      </c>
      <c r="BT2255" s="331">
        <f t="shared" si="170"/>
        <v>0</v>
      </c>
      <c r="BU2255" s="920"/>
      <c r="BV2255" s="903" t="str">
        <f t="shared" si="1244"/>
        <v/>
      </c>
      <c r="BW2255" s="908"/>
      <c r="BX2255" s="908"/>
      <c r="BY2255" s="331" t="b">
        <f t="shared" si="201"/>
        <v>0</v>
      </c>
      <c r="BZ2255" s="331"/>
      <c r="CA2255" s="462" t="str">
        <f t="shared" ref="CA2255:CJ2255" si="1365">IF(ISNUMBER(FIND(BI$3, $CP2255)), "Y", "")</f>
        <v/>
      </c>
      <c r="CB2255" s="319" t="str">
        <f t="shared" si="1365"/>
        <v/>
      </c>
      <c r="CC2255" s="319" t="str">
        <f t="shared" si="1365"/>
        <v/>
      </c>
      <c r="CD2255" s="319" t="str">
        <f t="shared" si="1365"/>
        <v/>
      </c>
      <c r="CE2255" s="319" t="str">
        <f t="shared" si="1365"/>
        <v/>
      </c>
      <c r="CF2255" s="319" t="str">
        <f t="shared" si="1365"/>
        <v/>
      </c>
      <c r="CG2255" s="319" t="str">
        <f t="shared" si="1365"/>
        <v/>
      </c>
      <c r="CH2255" s="319" t="str">
        <f t="shared" si="1365"/>
        <v/>
      </c>
      <c r="CI2255" s="319" t="str">
        <f t="shared" si="1365"/>
        <v/>
      </c>
      <c r="CJ2255" s="319" t="str">
        <f t="shared" si="1365"/>
        <v/>
      </c>
      <c r="CK2255" s="342">
        <f t="shared" si="182"/>
        <v>0</v>
      </c>
      <c r="CL2255" s="333">
        <f t="shared" si="183"/>
        <v>0</v>
      </c>
      <c r="CM2255" s="1079"/>
      <c r="CN2255" s="1005" t="s">
        <v>3358</v>
      </c>
      <c r="CO2255" s="1005"/>
      <c r="CP2255" s="1005"/>
    </row>
    <row r="2256">
      <c r="A2256" s="266"/>
      <c r="B2256" s="1113" t="s">
        <v>2240</v>
      </c>
      <c r="C2256" s="1304">
        <v>45966.0</v>
      </c>
      <c r="D2256" s="103"/>
      <c r="E2256" s="1108" t="s">
        <v>1485</v>
      </c>
      <c r="F2256" s="112" t="s">
        <v>3360</v>
      </c>
      <c r="G2256" s="1110">
        <v>0.6267939814814815</v>
      </c>
      <c r="H2256" s="1110">
        <v>0.6269675925925926</v>
      </c>
      <c r="I2256" s="1110">
        <v>0.6281828703703703</v>
      </c>
      <c r="J2256" s="1111">
        <v>0.0012152777777777778</v>
      </c>
      <c r="K2256" s="1111"/>
      <c r="L2256" s="1112"/>
      <c r="M2256" s="1113" t="s">
        <v>358</v>
      </c>
      <c r="N2256" s="110" t="s">
        <v>187</v>
      </c>
      <c r="O2256" s="1115" t="s">
        <v>202</v>
      </c>
      <c r="P2256" s="1115" t="s">
        <v>254</v>
      </c>
      <c r="Q2256" s="1116"/>
      <c r="R2256" s="120">
        <v>24.4</v>
      </c>
      <c r="S2256" s="1113">
        <v>-7.7</v>
      </c>
      <c r="T2256" s="110">
        <v>0.57</v>
      </c>
      <c r="U2256" s="1108">
        <v>11.0</v>
      </c>
      <c r="V2256" s="1108">
        <v>39.6</v>
      </c>
      <c r="W2256" s="1108">
        <v>0.263260925825818</v>
      </c>
      <c r="X2256" s="1303">
        <v>0.0239</v>
      </c>
      <c r="Y2256" s="1108" t="s">
        <v>3334</v>
      </c>
      <c r="Z2256" s="1114" t="s">
        <v>1140</v>
      </c>
      <c r="AA2256" s="1114">
        <v>73.5</v>
      </c>
      <c r="AB2256" s="1114" t="s">
        <v>363</v>
      </c>
      <c r="AC2256" s="1117">
        <v>10.0</v>
      </c>
      <c r="AD2256" s="1115" t="s">
        <v>1949</v>
      </c>
      <c r="AE2256" s="1115"/>
      <c r="AF2256" s="1115">
        <v>1.1</v>
      </c>
      <c r="AG2256" s="1115">
        <v>8.8</v>
      </c>
      <c r="AH2256" s="1115" t="s">
        <v>323</v>
      </c>
      <c r="AI2256" s="1115">
        <v>112.1</v>
      </c>
      <c r="AJ2256" s="1117">
        <v>1.32</v>
      </c>
      <c r="AK2256" s="1118"/>
      <c r="AL2256" s="1115"/>
      <c r="AM2256" s="1115"/>
      <c r="AN2256" s="1115">
        <v>1.32</v>
      </c>
      <c r="AO2256" s="1115"/>
      <c r="AP2256" s="1115"/>
      <c r="AQ2256" s="1115"/>
      <c r="AR2256" s="1115"/>
      <c r="AS2256" s="1117"/>
      <c r="AT2256" s="1196" t="str">
        <f t="shared" si="428"/>
        <v>10+</v>
      </c>
      <c r="AU2256" s="1193"/>
      <c r="AV2256" s="330">
        <f>SQRT(($R2256-Infrastructure!J$3)^2+($S2256-Infrastructure!K$3)^2)</f>
        <v>44.15484118</v>
      </c>
      <c r="AW2256" s="331">
        <f>SQRT(($R2256-Infrastructure!J$4)^2+($S2256-Infrastructure!K$4)^2)</f>
        <v>35.50126758</v>
      </c>
      <c r="AX2256" s="331">
        <f>SQRT(($R2256-Infrastructure!J$5)^2+($S2256-Infrastructure!K$5)^2)</f>
        <v>27.81959741</v>
      </c>
      <c r="AY2256" s="331">
        <f>SQRT(($R2256-Infrastructure!J$6)^2+($S2256-Infrastructure!K$6)^2)</f>
        <v>16.38566447</v>
      </c>
      <c r="AZ2256" s="331">
        <f>SQRT(($R2256-Infrastructure!J$7)^2+($S2256-Infrastructure!K$7)^2)</f>
        <v>8.9</v>
      </c>
      <c r="BA2256" s="331">
        <f>SQRT(($R2256-Infrastructure!J$8)^2+($S2256-Infrastructure!K$8)^2)</f>
        <v>9.822932352</v>
      </c>
      <c r="BB2256" s="331">
        <f>SQRT(($R2256-Infrastructure!J$9)^2+($S2256-Infrastructure!K$9)^2)</f>
        <v>20.17919721</v>
      </c>
      <c r="BC2256" s="331">
        <f>SQRT(($R2256-Infrastructure!J$10)^2+($S2256-Infrastructure!K$10)^2)</f>
        <v>27.5436018</v>
      </c>
      <c r="BD2256" s="331">
        <f>SQRT(($R2256-Infrastructure!J$11)^2+($S2256-Infrastructure!K$11)^2)</f>
        <v>39.95660146</v>
      </c>
      <c r="BE2256" s="333">
        <f>SQRT(($R2256-Infrastructure!J$12)^2+($S2256-Infrastructure!K$12)^2)</f>
        <v>63.26649982</v>
      </c>
      <c r="BF2256" s="330">
        <f t="shared" si="161"/>
        <v>8.9</v>
      </c>
      <c r="BG2256" s="333">
        <f t="shared" si="162"/>
        <v>63.26649982</v>
      </c>
      <c r="BH2256" s="1119"/>
      <c r="BI2256" s="319" t="str">
        <f t="shared" ref="BI2256:BR2256" si="1366">IF(ISNUMBER(FIND(BI$3, $CO2256)), "Y", "")</f>
        <v/>
      </c>
      <c r="BJ2256" s="319" t="str">
        <f t="shared" si="1366"/>
        <v/>
      </c>
      <c r="BK2256" s="319" t="str">
        <f t="shared" si="1366"/>
        <v/>
      </c>
      <c r="BL2256" s="319" t="str">
        <f t="shared" si="1366"/>
        <v/>
      </c>
      <c r="BM2256" s="319" t="str">
        <f t="shared" si="1366"/>
        <v/>
      </c>
      <c r="BN2256" s="319" t="str">
        <f t="shared" si="1366"/>
        <v/>
      </c>
      <c r="BO2256" s="319" t="str">
        <f t="shared" si="1366"/>
        <v/>
      </c>
      <c r="BP2256" s="319" t="str">
        <f t="shared" si="1366"/>
        <v/>
      </c>
      <c r="BQ2256" s="319" t="str">
        <f t="shared" si="1366"/>
        <v/>
      </c>
      <c r="BR2256" s="319" t="str">
        <f t="shared" si="1366"/>
        <v/>
      </c>
      <c r="BS2256" s="330">
        <f t="shared" si="185"/>
        <v>0</v>
      </c>
      <c r="BT2256" s="331">
        <f t="shared" si="170"/>
        <v>0</v>
      </c>
      <c r="BU2256" s="920"/>
      <c r="BV2256" s="903" t="str">
        <f t="shared" si="1244"/>
        <v/>
      </c>
      <c r="BW2256" s="908"/>
      <c r="BX2256" s="908"/>
      <c r="BY2256" s="331" t="b">
        <f t="shared" si="201"/>
        <v>0</v>
      </c>
      <c r="BZ2256" s="331"/>
      <c r="CA2256" s="462" t="str">
        <f t="shared" ref="CA2256:CJ2256" si="1367">IF(ISNUMBER(FIND(BI$3, $CP2256)), "Y", "")</f>
        <v/>
      </c>
      <c r="CB2256" s="319" t="str">
        <f t="shared" si="1367"/>
        <v/>
      </c>
      <c r="CC2256" s="319" t="str">
        <f t="shared" si="1367"/>
        <v/>
      </c>
      <c r="CD2256" s="319" t="str">
        <f t="shared" si="1367"/>
        <v/>
      </c>
      <c r="CE2256" s="319" t="str">
        <f t="shared" si="1367"/>
        <v/>
      </c>
      <c r="CF2256" s="319" t="str">
        <f t="shared" si="1367"/>
        <v/>
      </c>
      <c r="CG2256" s="319" t="str">
        <f t="shared" si="1367"/>
        <v/>
      </c>
      <c r="CH2256" s="319" t="str">
        <f t="shared" si="1367"/>
        <v/>
      </c>
      <c r="CI2256" s="319" t="str">
        <f t="shared" si="1367"/>
        <v/>
      </c>
      <c r="CJ2256" s="319" t="str">
        <f t="shared" si="1367"/>
        <v/>
      </c>
      <c r="CK2256" s="342">
        <f t="shared" si="182"/>
        <v>0</v>
      </c>
      <c r="CL2256" s="333">
        <f t="shared" si="183"/>
        <v>0</v>
      </c>
      <c r="CM2256" s="1079"/>
      <c r="CN2256" s="1005" t="s">
        <v>3358</v>
      </c>
      <c r="CO2256" s="1005"/>
      <c r="CP2256" s="1005"/>
    </row>
    <row r="2257">
      <c r="A2257" s="266"/>
      <c r="B2257" s="1113" t="s">
        <v>2240</v>
      </c>
      <c r="C2257" s="1304">
        <v>45966.0</v>
      </c>
      <c r="D2257" s="103"/>
      <c r="E2257" s="1108" t="s">
        <v>1488</v>
      </c>
      <c r="F2257" s="112" t="s">
        <v>3361</v>
      </c>
      <c r="G2257" s="1110">
        <v>0.6310763888888888</v>
      </c>
      <c r="H2257" s="1110">
        <v>0.6315972222222223</v>
      </c>
      <c r="I2257" s="1110">
        <v>0.6327546296296296</v>
      </c>
      <c r="J2257" s="1111">
        <v>0.0011574074074074073</v>
      </c>
      <c r="K2257" s="1111"/>
      <c r="L2257" s="1112"/>
      <c r="M2257" s="1113" t="s">
        <v>358</v>
      </c>
      <c r="N2257" s="110" t="s">
        <v>187</v>
      </c>
      <c r="O2257" s="1115" t="s">
        <v>202</v>
      </c>
      <c r="P2257" s="1115" t="s">
        <v>254</v>
      </c>
      <c r="Q2257" s="1116"/>
      <c r="R2257" s="120">
        <v>24.4</v>
      </c>
      <c r="S2257" s="1113">
        <v>-7.7</v>
      </c>
      <c r="T2257" s="110">
        <v>0.57</v>
      </c>
      <c r="U2257" s="1108">
        <v>16.0</v>
      </c>
      <c r="V2257" s="1108">
        <v>57.6</v>
      </c>
      <c r="W2257" s="1108">
        <v>0.273592933144602</v>
      </c>
      <c r="X2257" s="1303">
        <v>0.0171</v>
      </c>
      <c r="Y2257" s="1108" t="s">
        <v>3334</v>
      </c>
      <c r="Z2257" s="1114" t="s">
        <v>1140</v>
      </c>
      <c r="AA2257" s="1114">
        <v>83.5</v>
      </c>
      <c r="AB2257" s="1114" t="s">
        <v>363</v>
      </c>
      <c r="AC2257" s="1117">
        <v>10.0</v>
      </c>
      <c r="AD2257" s="1115" t="s">
        <v>1949</v>
      </c>
      <c r="AE2257" s="1115"/>
      <c r="AF2257" s="1115">
        <v>1.6</v>
      </c>
      <c r="AG2257" s="1115">
        <v>12.8</v>
      </c>
      <c r="AH2257" s="1115" t="s">
        <v>323</v>
      </c>
      <c r="AI2257" s="1115">
        <v>163.0</v>
      </c>
      <c r="AJ2257" s="1117">
        <v>2.32</v>
      </c>
      <c r="AK2257" s="1118"/>
      <c r="AL2257" s="1115"/>
      <c r="AM2257" s="1115"/>
      <c r="AN2257" s="1115">
        <v>2.32</v>
      </c>
      <c r="AO2257" s="1115"/>
      <c r="AP2257" s="1115"/>
      <c r="AQ2257" s="1115"/>
      <c r="AR2257" s="1115"/>
      <c r="AS2257" s="1117"/>
      <c r="AT2257" s="1196" t="str">
        <f t="shared" si="428"/>
        <v>10+</v>
      </c>
      <c r="AU2257" s="1193"/>
      <c r="AV2257" s="330">
        <f>SQRT(($R2257-Infrastructure!J$3)^2+($S2257-Infrastructure!K$3)^2)</f>
        <v>44.15484118</v>
      </c>
      <c r="AW2257" s="331">
        <f>SQRT(($R2257-Infrastructure!J$4)^2+($S2257-Infrastructure!K$4)^2)</f>
        <v>35.50126758</v>
      </c>
      <c r="AX2257" s="331">
        <f>SQRT(($R2257-Infrastructure!J$5)^2+($S2257-Infrastructure!K$5)^2)</f>
        <v>27.81959741</v>
      </c>
      <c r="AY2257" s="331">
        <f>SQRT(($R2257-Infrastructure!J$6)^2+($S2257-Infrastructure!K$6)^2)</f>
        <v>16.38566447</v>
      </c>
      <c r="AZ2257" s="331">
        <f>SQRT(($R2257-Infrastructure!J$7)^2+($S2257-Infrastructure!K$7)^2)</f>
        <v>8.9</v>
      </c>
      <c r="BA2257" s="331">
        <f>SQRT(($R2257-Infrastructure!J$8)^2+($S2257-Infrastructure!K$8)^2)</f>
        <v>9.822932352</v>
      </c>
      <c r="BB2257" s="331">
        <f>SQRT(($R2257-Infrastructure!J$9)^2+($S2257-Infrastructure!K$9)^2)</f>
        <v>20.17919721</v>
      </c>
      <c r="BC2257" s="331">
        <f>SQRT(($R2257-Infrastructure!J$10)^2+($S2257-Infrastructure!K$10)^2)</f>
        <v>27.5436018</v>
      </c>
      <c r="BD2257" s="331">
        <f>SQRT(($R2257-Infrastructure!J$11)^2+($S2257-Infrastructure!K$11)^2)</f>
        <v>39.95660146</v>
      </c>
      <c r="BE2257" s="333">
        <f>SQRT(($R2257-Infrastructure!J$12)^2+($S2257-Infrastructure!K$12)^2)</f>
        <v>63.26649982</v>
      </c>
      <c r="BF2257" s="330">
        <f t="shared" si="161"/>
        <v>8.9</v>
      </c>
      <c r="BG2257" s="333">
        <f t="shared" si="162"/>
        <v>63.26649982</v>
      </c>
      <c r="BH2257" s="1119"/>
      <c r="BI2257" s="319" t="str">
        <f t="shared" ref="BI2257:BR2257" si="1368">IF(ISNUMBER(FIND(BI$3, $CO2257)), "Y", "")</f>
        <v/>
      </c>
      <c r="BJ2257" s="319" t="str">
        <f t="shared" si="1368"/>
        <v/>
      </c>
      <c r="BK2257" s="319" t="str">
        <f t="shared" si="1368"/>
        <v/>
      </c>
      <c r="BL2257" s="319" t="str">
        <f t="shared" si="1368"/>
        <v/>
      </c>
      <c r="BM2257" s="319" t="str">
        <f t="shared" si="1368"/>
        <v/>
      </c>
      <c r="BN2257" s="319" t="str">
        <f t="shared" si="1368"/>
        <v/>
      </c>
      <c r="BO2257" s="319" t="str">
        <f t="shared" si="1368"/>
        <v/>
      </c>
      <c r="BP2257" s="319" t="str">
        <f t="shared" si="1368"/>
        <v/>
      </c>
      <c r="BQ2257" s="319" t="str">
        <f t="shared" si="1368"/>
        <v/>
      </c>
      <c r="BR2257" s="319" t="str">
        <f t="shared" si="1368"/>
        <v/>
      </c>
      <c r="BS2257" s="330">
        <f t="shared" si="185"/>
        <v>0</v>
      </c>
      <c r="BT2257" s="331">
        <f t="shared" si="170"/>
        <v>0</v>
      </c>
      <c r="BU2257" s="920"/>
      <c r="BV2257" s="903" t="str">
        <f t="shared" si="1244"/>
        <v/>
      </c>
      <c r="BW2257" s="908"/>
      <c r="BX2257" s="908"/>
      <c r="BY2257" s="331" t="b">
        <f t="shared" si="201"/>
        <v>0</v>
      </c>
      <c r="BZ2257" s="331"/>
      <c r="CA2257" s="462" t="str">
        <f t="shared" ref="CA2257:CJ2257" si="1369">IF(ISNUMBER(FIND(BI$3, $CP2257)), "Y", "")</f>
        <v/>
      </c>
      <c r="CB2257" s="319" t="str">
        <f t="shared" si="1369"/>
        <v/>
      </c>
      <c r="CC2257" s="319" t="str">
        <f t="shared" si="1369"/>
        <v/>
      </c>
      <c r="CD2257" s="319" t="str">
        <f t="shared" si="1369"/>
        <v/>
      </c>
      <c r="CE2257" s="319" t="str">
        <f t="shared" si="1369"/>
        <v/>
      </c>
      <c r="CF2257" s="319" t="str">
        <f t="shared" si="1369"/>
        <v/>
      </c>
      <c r="CG2257" s="319" t="str">
        <f t="shared" si="1369"/>
        <v/>
      </c>
      <c r="CH2257" s="319" t="str">
        <f t="shared" si="1369"/>
        <v/>
      </c>
      <c r="CI2257" s="319" t="str">
        <f t="shared" si="1369"/>
        <v/>
      </c>
      <c r="CJ2257" s="319" t="str">
        <f t="shared" si="1369"/>
        <v/>
      </c>
      <c r="CK2257" s="342">
        <f t="shared" si="182"/>
        <v>0</v>
      </c>
      <c r="CL2257" s="333">
        <f t="shared" si="183"/>
        <v>0</v>
      </c>
      <c r="CM2257" s="1079"/>
      <c r="CN2257" s="1005" t="s">
        <v>3358</v>
      </c>
      <c r="CO2257" s="1005"/>
      <c r="CP2257" s="1005"/>
    </row>
    <row r="2258">
      <c r="A2258" s="266"/>
      <c r="B2258" s="1113" t="s">
        <v>2240</v>
      </c>
      <c r="C2258" s="1304">
        <v>45966.0</v>
      </c>
      <c r="D2258" s="103"/>
      <c r="E2258" s="1108" t="s">
        <v>1490</v>
      </c>
      <c r="F2258" s="112" t="s">
        <v>3362</v>
      </c>
      <c r="G2258" s="1110">
        <v>0.6341435185185185</v>
      </c>
      <c r="H2258" s="1110">
        <v>0.6345486111111112</v>
      </c>
      <c r="I2258" s="1110">
        <v>0.6355902777777778</v>
      </c>
      <c r="J2258" s="1111">
        <v>0.0010416666666666667</v>
      </c>
      <c r="K2258" s="1111"/>
      <c r="L2258" s="1112"/>
      <c r="M2258" s="1113" t="s">
        <v>358</v>
      </c>
      <c r="N2258" s="110" t="s">
        <v>187</v>
      </c>
      <c r="O2258" s="1115" t="s">
        <v>202</v>
      </c>
      <c r="P2258" s="1115" t="s">
        <v>254</v>
      </c>
      <c r="Q2258" s="1116"/>
      <c r="R2258" s="120">
        <v>24.4</v>
      </c>
      <c r="S2258" s="1113">
        <v>-7.7</v>
      </c>
      <c r="T2258" s="110">
        <v>0.57</v>
      </c>
      <c r="U2258" s="1108">
        <v>13.5</v>
      </c>
      <c r="V2258" s="1108">
        <v>48.6</v>
      </c>
      <c r="W2258" s="1108">
        <v>0.267897717391047</v>
      </c>
      <c r="X2258" s="1303">
        <v>0.0198</v>
      </c>
      <c r="Y2258" s="1108" t="s">
        <v>3334</v>
      </c>
      <c r="Z2258" s="1114" t="s">
        <v>1140</v>
      </c>
      <c r="AA2258" s="1114">
        <v>79.0</v>
      </c>
      <c r="AB2258" s="1114" t="s">
        <v>363</v>
      </c>
      <c r="AC2258" s="1117">
        <v>10.0</v>
      </c>
      <c r="AD2258" s="1115" t="s">
        <v>1949</v>
      </c>
      <c r="AE2258" s="1115"/>
      <c r="AF2258" s="1115">
        <v>1.35</v>
      </c>
      <c r="AG2258" s="1115">
        <v>10.8</v>
      </c>
      <c r="AH2258" s="1115" t="s">
        <v>323</v>
      </c>
      <c r="AI2258" s="1115">
        <v>137.5</v>
      </c>
      <c r="AJ2258" s="1117">
        <v>1.69</v>
      </c>
      <c r="AK2258" s="1118"/>
      <c r="AL2258" s="1115"/>
      <c r="AM2258" s="1115"/>
      <c r="AN2258" s="1115">
        <v>1.68750000000005</v>
      </c>
      <c r="AO2258" s="1115"/>
      <c r="AP2258" s="1115"/>
      <c r="AQ2258" s="1115"/>
      <c r="AR2258" s="1115"/>
      <c r="AS2258" s="1117"/>
      <c r="AT2258" s="1196" t="str">
        <f t="shared" si="428"/>
        <v>10+</v>
      </c>
      <c r="AU2258" s="1193"/>
      <c r="AV2258" s="330">
        <f>SQRT(($R2258-Infrastructure!J$3)^2+($S2258-Infrastructure!K$3)^2)</f>
        <v>44.15484118</v>
      </c>
      <c r="AW2258" s="331">
        <f>SQRT(($R2258-Infrastructure!J$4)^2+($S2258-Infrastructure!K$4)^2)</f>
        <v>35.50126758</v>
      </c>
      <c r="AX2258" s="331">
        <f>SQRT(($R2258-Infrastructure!J$5)^2+($S2258-Infrastructure!K$5)^2)</f>
        <v>27.81959741</v>
      </c>
      <c r="AY2258" s="331">
        <f>SQRT(($R2258-Infrastructure!J$6)^2+($S2258-Infrastructure!K$6)^2)</f>
        <v>16.38566447</v>
      </c>
      <c r="AZ2258" s="331">
        <f>SQRT(($R2258-Infrastructure!J$7)^2+($S2258-Infrastructure!K$7)^2)</f>
        <v>8.9</v>
      </c>
      <c r="BA2258" s="331">
        <f>SQRT(($R2258-Infrastructure!J$8)^2+($S2258-Infrastructure!K$8)^2)</f>
        <v>9.822932352</v>
      </c>
      <c r="BB2258" s="331">
        <f>SQRT(($R2258-Infrastructure!J$9)^2+($S2258-Infrastructure!K$9)^2)</f>
        <v>20.17919721</v>
      </c>
      <c r="BC2258" s="331">
        <f>SQRT(($R2258-Infrastructure!J$10)^2+($S2258-Infrastructure!K$10)^2)</f>
        <v>27.5436018</v>
      </c>
      <c r="BD2258" s="331">
        <f>SQRT(($R2258-Infrastructure!J$11)^2+($S2258-Infrastructure!K$11)^2)</f>
        <v>39.95660146</v>
      </c>
      <c r="BE2258" s="333">
        <f>SQRT(($R2258-Infrastructure!J$12)^2+($S2258-Infrastructure!K$12)^2)</f>
        <v>63.26649982</v>
      </c>
      <c r="BF2258" s="330">
        <f t="shared" si="161"/>
        <v>8.9</v>
      </c>
      <c r="BG2258" s="333">
        <f t="shared" si="162"/>
        <v>63.26649982</v>
      </c>
      <c r="BH2258" s="1119"/>
      <c r="BI2258" s="319" t="str">
        <f t="shared" ref="BI2258:BR2258" si="1370">IF(ISNUMBER(FIND(BI$3, $CO2258)), "Y", "")</f>
        <v/>
      </c>
      <c r="BJ2258" s="319" t="str">
        <f t="shared" si="1370"/>
        <v/>
      </c>
      <c r="BK2258" s="319" t="str">
        <f t="shared" si="1370"/>
        <v/>
      </c>
      <c r="BL2258" s="319" t="str">
        <f t="shared" si="1370"/>
        <v/>
      </c>
      <c r="BM2258" s="319" t="str">
        <f t="shared" si="1370"/>
        <v/>
      </c>
      <c r="BN2258" s="319" t="str">
        <f t="shared" si="1370"/>
        <v/>
      </c>
      <c r="BO2258" s="319" t="str">
        <f t="shared" si="1370"/>
        <v/>
      </c>
      <c r="BP2258" s="319" t="str">
        <f t="shared" si="1370"/>
        <v/>
      </c>
      <c r="BQ2258" s="319" t="str">
        <f t="shared" si="1370"/>
        <v/>
      </c>
      <c r="BR2258" s="319" t="str">
        <f t="shared" si="1370"/>
        <v/>
      </c>
      <c r="BS2258" s="330">
        <f t="shared" si="185"/>
        <v>0</v>
      </c>
      <c r="BT2258" s="331">
        <f t="shared" si="170"/>
        <v>0</v>
      </c>
      <c r="BU2258" s="920"/>
      <c r="BV2258" s="903" t="str">
        <f t="shared" si="1244"/>
        <v/>
      </c>
      <c r="BW2258" s="908"/>
      <c r="BX2258" s="908"/>
      <c r="BY2258" s="331" t="b">
        <f t="shared" si="201"/>
        <v>0</v>
      </c>
      <c r="BZ2258" s="331"/>
      <c r="CA2258" s="462" t="str">
        <f t="shared" ref="CA2258:CJ2258" si="1371">IF(ISNUMBER(FIND(BI$3, $CP2258)), "Y", "")</f>
        <v/>
      </c>
      <c r="CB2258" s="319" t="str">
        <f t="shared" si="1371"/>
        <v/>
      </c>
      <c r="CC2258" s="319" t="str">
        <f t="shared" si="1371"/>
        <v/>
      </c>
      <c r="CD2258" s="319" t="str">
        <f t="shared" si="1371"/>
        <v/>
      </c>
      <c r="CE2258" s="319" t="str">
        <f t="shared" si="1371"/>
        <v/>
      </c>
      <c r="CF2258" s="319" t="str">
        <f t="shared" si="1371"/>
        <v/>
      </c>
      <c r="CG2258" s="319" t="str">
        <f t="shared" si="1371"/>
        <v/>
      </c>
      <c r="CH2258" s="319" t="str">
        <f t="shared" si="1371"/>
        <v/>
      </c>
      <c r="CI2258" s="319" t="str">
        <f t="shared" si="1371"/>
        <v/>
      </c>
      <c r="CJ2258" s="319" t="str">
        <f t="shared" si="1371"/>
        <v/>
      </c>
      <c r="CK2258" s="342">
        <f t="shared" si="182"/>
        <v>0</v>
      </c>
      <c r="CL2258" s="333">
        <f t="shared" si="183"/>
        <v>0</v>
      </c>
      <c r="CM2258" s="1079"/>
      <c r="CN2258" s="1005" t="s">
        <v>3358</v>
      </c>
      <c r="CO2258" s="1005"/>
      <c r="CP2258" s="1005"/>
    </row>
    <row r="2259">
      <c r="A2259" s="266"/>
      <c r="B2259" s="1113" t="s">
        <v>2240</v>
      </c>
      <c r="C2259" s="1304">
        <v>45966.0</v>
      </c>
      <c r="D2259" s="103"/>
      <c r="E2259" s="1108" t="s">
        <v>1492</v>
      </c>
      <c r="F2259" s="112" t="s">
        <v>3363</v>
      </c>
      <c r="G2259" s="1110">
        <v>0.6368634259259259</v>
      </c>
      <c r="H2259" s="1110">
        <v>0.6372685185185185</v>
      </c>
      <c r="I2259" s="1110">
        <v>0.638425925925926</v>
      </c>
      <c r="J2259" s="1111">
        <v>0.0011574074074074073</v>
      </c>
      <c r="K2259" s="1111"/>
      <c r="L2259" s="1112"/>
      <c r="M2259" s="1113" t="s">
        <v>358</v>
      </c>
      <c r="N2259" s="110" t="s">
        <v>187</v>
      </c>
      <c r="O2259" s="1115" t="s">
        <v>202</v>
      </c>
      <c r="P2259" s="1115" t="s">
        <v>254</v>
      </c>
      <c r="Q2259" s="1116"/>
      <c r="R2259" s="120">
        <v>24.4</v>
      </c>
      <c r="S2259" s="1113">
        <v>-7.7</v>
      </c>
      <c r="T2259" s="110">
        <v>0.57</v>
      </c>
      <c r="U2259" s="1108">
        <v>11.0</v>
      </c>
      <c r="V2259" s="1108">
        <v>39.6</v>
      </c>
      <c r="W2259" s="1108">
        <v>0.263260925825818</v>
      </c>
      <c r="X2259" s="1303">
        <v>0.0239</v>
      </c>
      <c r="Y2259" s="1108" t="s">
        <v>3334</v>
      </c>
      <c r="Z2259" s="1114" t="s">
        <v>1140</v>
      </c>
      <c r="AA2259" s="1114">
        <v>73.5</v>
      </c>
      <c r="AB2259" s="1114" t="s">
        <v>363</v>
      </c>
      <c r="AC2259" s="1117">
        <v>10.0</v>
      </c>
      <c r="AD2259" s="1115" t="s">
        <v>1949</v>
      </c>
      <c r="AE2259" s="1115"/>
      <c r="AF2259" s="1115">
        <v>1.1</v>
      </c>
      <c r="AG2259" s="1115">
        <v>8.8</v>
      </c>
      <c r="AH2259" s="1115" t="s">
        <v>323</v>
      </c>
      <c r="AI2259" s="1115">
        <v>112.1</v>
      </c>
      <c r="AJ2259" s="1117">
        <v>1.49</v>
      </c>
      <c r="AK2259" s="1118"/>
      <c r="AL2259" s="1115"/>
      <c r="AM2259" s="1115"/>
      <c r="AN2259" s="1115">
        <v>1.48500000000002</v>
      </c>
      <c r="AO2259" s="1115"/>
      <c r="AP2259" s="1115"/>
      <c r="AQ2259" s="1115"/>
      <c r="AR2259" s="1115"/>
      <c r="AS2259" s="1117"/>
      <c r="AT2259" s="1196" t="str">
        <f t="shared" si="428"/>
        <v>10+</v>
      </c>
      <c r="AU2259" s="1193"/>
      <c r="AV2259" s="330">
        <f>SQRT(($R2259-Infrastructure!J$3)^2+($S2259-Infrastructure!K$3)^2)</f>
        <v>44.15484118</v>
      </c>
      <c r="AW2259" s="331">
        <f>SQRT(($R2259-Infrastructure!J$4)^2+($S2259-Infrastructure!K$4)^2)</f>
        <v>35.50126758</v>
      </c>
      <c r="AX2259" s="331">
        <f>SQRT(($R2259-Infrastructure!J$5)^2+($S2259-Infrastructure!K$5)^2)</f>
        <v>27.81959741</v>
      </c>
      <c r="AY2259" s="331">
        <f>SQRT(($R2259-Infrastructure!J$6)^2+($S2259-Infrastructure!K$6)^2)</f>
        <v>16.38566447</v>
      </c>
      <c r="AZ2259" s="331">
        <f>SQRT(($R2259-Infrastructure!J$7)^2+($S2259-Infrastructure!K$7)^2)</f>
        <v>8.9</v>
      </c>
      <c r="BA2259" s="331">
        <f>SQRT(($R2259-Infrastructure!J$8)^2+($S2259-Infrastructure!K$8)^2)</f>
        <v>9.822932352</v>
      </c>
      <c r="BB2259" s="331">
        <f>SQRT(($R2259-Infrastructure!J$9)^2+($S2259-Infrastructure!K$9)^2)</f>
        <v>20.17919721</v>
      </c>
      <c r="BC2259" s="331">
        <f>SQRT(($R2259-Infrastructure!J$10)^2+($S2259-Infrastructure!K$10)^2)</f>
        <v>27.5436018</v>
      </c>
      <c r="BD2259" s="331">
        <f>SQRT(($R2259-Infrastructure!J$11)^2+($S2259-Infrastructure!K$11)^2)</f>
        <v>39.95660146</v>
      </c>
      <c r="BE2259" s="333">
        <f>SQRT(($R2259-Infrastructure!J$12)^2+($S2259-Infrastructure!K$12)^2)</f>
        <v>63.26649982</v>
      </c>
      <c r="BF2259" s="330">
        <f t="shared" si="161"/>
        <v>8.9</v>
      </c>
      <c r="BG2259" s="333">
        <f t="shared" si="162"/>
        <v>63.26649982</v>
      </c>
      <c r="BH2259" s="1119"/>
      <c r="BI2259" s="319" t="str">
        <f t="shared" ref="BI2259:BR2259" si="1372">IF(ISNUMBER(FIND(BI$3, $CO2259)), "Y", "")</f>
        <v/>
      </c>
      <c r="BJ2259" s="319" t="str">
        <f t="shared" si="1372"/>
        <v/>
      </c>
      <c r="BK2259" s="319" t="str">
        <f t="shared" si="1372"/>
        <v/>
      </c>
      <c r="BL2259" s="319" t="str">
        <f t="shared" si="1372"/>
        <v/>
      </c>
      <c r="BM2259" s="319" t="str">
        <f t="shared" si="1372"/>
        <v/>
      </c>
      <c r="BN2259" s="319" t="str">
        <f t="shared" si="1372"/>
        <v/>
      </c>
      <c r="BO2259" s="319" t="str">
        <f t="shared" si="1372"/>
        <v/>
      </c>
      <c r="BP2259" s="319" t="str">
        <f t="shared" si="1372"/>
        <v/>
      </c>
      <c r="BQ2259" s="319" t="str">
        <f t="shared" si="1372"/>
        <v/>
      </c>
      <c r="BR2259" s="319" t="str">
        <f t="shared" si="1372"/>
        <v/>
      </c>
      <c r="BS2259" s="330">
        <f t="shared" si="185"/>
        <v>0</v>
      </c>
      <c r="BT2259" s="331">
        <f t="shared" si="170"/>
        <v>0</v>
      </c>
      <c r="BU2259" s="920"/>
      <c r="BV2259" s="903" t="str">
        <f t="shared" si="1244"/>
        <v/>
      </c>
      <c r="BW2259" s="908"/>
      <c r="BX2259" s="908"/>
      <c r="BY2259" s="331" t="b">
        <f t="shared" si="201"/>
        <v>0</v>
      </c>
      <c r="BZ2259" s="331"/>
      <c r="CA2259" s="462" t="str">
        <f t="shared" ref="CA2259:CJ2259" si="1373">IF(ISNUMBER(FIND(BI$3, $CP2259)), "Y", "")</f>
        <v/>
      </c>
      <c r="CB2259" s="319" t="str">
        <f t="shared" si="1373"/>
        <v/>
      </c>
      <c r="CC2259" s="319" t="str">
        <f t="shared" si="1373"/>
        <v/>
      </c>
      <c r="CD2259" s="319" t="str">
        <f t="shared" si="1373"/>
        <v/>
      </c>
      <c r="CE2259" s="319" t="str">
        <f t="shared" si="1373"/>
        <v/>
      </c>
      <c r="CF2259" s="319" t="str">
        <f t="shared" si="1373"/>
        <v/>
      </c>
      <c r="CG2259" s="319" t="str">
        <f t="shared" si="1373"/>
        <v/>
      </c>
      <c r="CH2259" s="319" t="str">
        <f t="shared" si="1373"/>
        <v/>
      </c>
      <c r="CI2259" s="319" t="str">
        <f t="shared" si="1373"/>
        <v/>
      </c>
      <c r="CJ2259" s="319" t="str">
        <f t="shared" si="1373"/>
        <v/>
      </c>
      <c r="CK2259" s="342">
        <f t="shared" si="182"/>
        <v>0</v>
      </c>
      <c r="CL2259" s="333">
        <f t="shared" si="183"/>
        <v>0</v>
      </c>
      <c r="CM2259" s="1079"/>
      <c r="CN2259" s="1005" t="s">
        <v>3358</v>
      </c>
      <c r="CO2259" s="1005"/>
      <c r="CP2259" s="1005"/>
    </row>
    <row r="2260">
      <c r="A2260" s="1258"/>
      <c r="B2260" s="1129" t="s">
        <v>2240</v>
      </c>
      <c r="C2260" s="1305">
        <v>45966.0</v>
      </c>
      <c r="D2260" s="1123"/>
      <c r="E2260" s="1144"/>
      <c r="F2260" s="108" t="s">
        <v>3364</v>
      </c>
      <c r="G2260" s="1126">
        <v>0.6395833333333333</v>
      </c>
      <c r="H2260" s="1145"/>
      <c r="I2260" s="1126">
        <v>0.6409722222222223</v>
      </c>
      <c r="J2260" s="1127">
        <v>0.001388888888888889</v>
      </c>
      <c r="K2260" s="1127"/>
      <c r="L2260" s="1128"/>
      <c r="M2260" s="1129" t="s">
        <v>358</v>
      </c>
      <c r="N2260" s="100" t="s">
        <v>188</v>
      </c>
      <c r="O2260" s="1131" t="s">
        <v>3271</v>
      </c>
      <c r="P2260" s="1131" t="s">
        <v>294</v>
      </c>
      <c r="Q2260" s="1132"/>
      <c r="R2260" s="137" t="s">
        <v>323</v>
      </c>
      <c r="S2260" s="1129" t="s">
        <v>323</v>
      </c>
      <c r="T2260" s="100" t="s">
        <v>323</v>
      </c>
      <c r="U2260" s="1124" t="s">
        <v>323</v>
      </c>
      <c r="V2260" s="1124" t="s">
        <v>323</v>
      </c>
      <c r="W2260" s="1124" t="s">
        <v>323</v>
      </c>
      <c r="X2260" s="1124" t="s">
        <v>323</v>
      </c>
      <c r="Y2260" s="1124"/>
      <c r="Z2260" s="1130" t="s">
        <v>323</v>
      </c>
      <c r="AA2260" s="1130"/>
      <c r="AB2260" s="1130" t="s">
        <v>323</v>
      </c>
      <c r="AC2260" s="1133" t="s">
        <v>323</v>
      </c>
      <c r="AD2260" s="1131" t="s">
        <v>1949</v>
      </c>
      <c r="AE2260" s="1131"/>
      <c r="AF2260" s="1131" t="s">
        <v>323</v>
      </c>
      <c r="AG2260" s="1131" t="s">
        <v>323</v>
      </c>
      <c r="AH2260" s="1131" t="s">
        <v>323</v>
      </c>
      <c r="AI2260" s="1131" t="s">
        <v>323</v>
      </c>
      <c r="AJ2260" s="1133" t="s">
        <v>323</v>
      </c>
      <c r="AK2260" s="1134"/>
      <c r="AL2260" s="1131"/>
      <c r="AM2260" s="1131"/>
      <c r="AN2260" s="1131" t="s">
        <v>323</v>
      </c>
      <c r="AO2260" s="1131"/>
      <c r="AP2260" s="1131"/>
      <c r="AQ2260" s="1131"/>
      <c r="AR2260" s="1131"/>
      <c r="AS2260" s="1133"/>
      <c r="AT2260" s="1197" t="str">
        <f t="shared" si="428"/>
        <v/>
      </c>
      <c r="AU2260" s="1194"/>
      <c r="AV2260" s="662" t="str">
        <f>SQRT(($R2260-Infrastructure!J$3)^2+($S2260-Infrastructure!K$3)^2)</f>
        <v>#VALUE!</v>
      </c>
      <c r="AW2260" s="641" t="str">
        <f>SQRT(($R2260-Infrastructure!J$4)^2+($S2260-Infrastructure!K$4)^2)</f>
        <v>#VALUE!</v>
      </c>
      <c r="AX2260" s="641" t="str">
        <f>SQRT(($R2260-Infrastructure!J$5)^2+($S2260-Infrastructure!K$5)^2)</f>
        <v>#VALUE!</v>
      </c>
      <c r="AY2260" s="641" t="str">
        <f>SQRT(($R2260-Infrastructure!J$6)^2+($S2260-Infrastructure!K$6)^2)</f>
        <v>#VALUE!</v>
      </c>
      <c r="AZ2260" s="641" t="str">
        <f>SQRT(($R2260-Infrastructure!J$7)^2+($S2260-Infrastructure!K$7)^2)</f>
        <v>#VALUE!</v>
      </c>
      <c r="BA2260" s="641" t="str">
        <f>SQRT(($R2260-Infrastructure!J$8)^2+($S2260-Infrastructure!K$8)^2)</f>
        <v>#VALUE!</v>
      </c>
      <c r="BB2260" s="641" t="str">
        <f>SQRT(($R2260-Infrastructure!J$9)^2+($S2260-Infrastructure!K$9)^2)</f>
        <v>#VALUE!</v>
      </c>
      <c r="BC2260" s="641" t="str">
        <f>SQRT(($R2260-Infrastructure!J$10)^2+($S2260-Infrastructure!K$10)^2)</f>
        <v>#VALUE!</v>
      </c>
      <c r="BD2260" s="641" t="str">
        <f>SQRT(($R2260-Infrastructure!J$11)^2+($S2260-Infrastructure!K$11)^2)</f>
        <v>#VALUE!</v>
      </c>
      <c r="BE2260" s="642" t="str">
        <f>SQRT(($R2260-Infrastructure!J$12)^2+($S2260-Infrastructure!K$12)^2)</f>
        <v>#VALUE!</v>
      </c>
      <c r="BF2260" s="662" t="str">
        <f t="shared" si="161"/>
        <v>#VALUE!</v>
      </c>
      <c r="BG2260" s="642" t="str">
        <f t="shared" si="162"/>
        <v>#VALUE!</v>
      </c>
      <c r="BH2260" s="1135"/>
      <c r="BI2260" s="663" t="str">
        <f t="shared" ref="BI2260:BR2260" si="1374">IF(ISNUMBER(FIND(BI$3, $CO2260)), "Y", "")</f>
        <v/>
      </c>
      <c r="BJ2260" s="663" t="str">
        <f t="shared" si="1374"/>
        <v/>
      </c>
      <c r="BK2260" s="663" t="str">
        <f t="shared" si="1374"/>
        <v/>
      </c>
      <c r="BL2260" s="663" t="str">
        <f t="shared" si="1374"/>
        <v/>
      </c>
      <c r="BM2260" s="663" t="str">
        <f t="shared" si="1374"/>
        <v/>
      </c>
      <c r="BN2260" s="663" t="str">
        <f t="shared" si="1374"/>
        <v/>
      </c>
      <c r="BO2260" s="663" t="str">
        <f t="shared" si="1374"/>
        <v/>
      </c>
      <c r="BP2260" s="663" t="str">
        <f t="shared" si="1374"/>
        <v/>
      </c>
      <c r="BQ2260" s="663" t="str">
        <f t="shared" si="1374"/>
        <v/>
      </c>
      <c r="BR2260" s="663" t="str">
        <f t="shared" si="1374"/>
        <v/>
      </c>
      <c r="BS2260" s="662">
        <f t="shared" si="185"/>
        <v>0</v>
      </c>
      <c r="BT2260" s="641">
        <f t="shared" si="170"/>
        <v>0</v>
      </c>
      <c r="BU2260" s="937"/>
      <c r="BV2260" s="930" t="str">
        <f t="shared" si="1244"/>
        <v/>
      </c>
      <c r="BW2260" s="939"/>
      <c r="BX2260" s="939"/>
      <c r="BY2260" s="641" t="b">
        <f t="shared" si="201"/>
        <v>0</v>
      </c>
      <c r="BZ2260" s="641"/>
      <c r="CA2260" s="635" t="str">
        <f t="shared" ref="CA2260:CJ2260" si="1375">IF(ISNUMBER(FIND(BI$3, $CP2260)), "Y", "")</f>
        <v/>
      </c>
      <c r="CB2260" s="663" t="str">
        <f t="shared" si="1375"/>
        <v/>
      </c>
      <c r="CC2260" s="663" t="str">
        <f t="shared" si="1375"/>
        <v/>
      </c>
      <c r="CD2260" s="663" t="str">
        <f t="shared" si="1375"/>
        <v/>
      </c>
      <c r="CE2260" s="663" t="str">
        <f t="shared" si="1375"/>
        <v/>
      </c>
      <c r="CF2260" s="663" t="str">
        <f t="shared" si="1375"/>
        <v/>
      </c>
      <c r="CG2260" s="663" t="str">
        <f t="shared" si="1375"/>
        <v/>
      </c>
      <c r="CH2260" s="663" t="str">
        <f t="shared" si="1375"/>
        <v/>
      </c>
      <c r="CI2260" s="663" t="str">
        <f t="shared" si="1375"/>
        <v/>
      </c>
      <c r="CJ2260" s="663" t="str">
        <f t="shared" si="1375"/>
        <v/>
      </c>
      <c r="CK2260" s="743">
        <f t="shared" si="182"/>
        <v>0</v>
      </c>
      <c r="CL2260" s="642">
        <f t="shared" si="183"/>
        <v>0</v>
      </c>
      <c r="CM2260" s="1090"/>
      <c r="CN2260" s="1036" t="s">
        <v>3358</v>
      </c>
      <c r="CO2260" s="1036"/>
      <c r="CP2260" s="1036"/>
    </row>
    <row r="2261">
      <c r="A2261" s="1257" t="s">
        <v>159</v>
      </c>
      <c r="B2261" s="1113" t="s">
        <v>2240</v>
      </c>
      <c r="C2261" s="1304">
        <v>45967.0</v>
      </c>
      <c r="D2261" s="103"/>
      <c r="E2261" s="1108" t="s">
        <v>1470</v>
      </c>
      <c r="F2261" s="112" t="s">
        <v>3365</v>
      </c>
      <c r="G2261" s="1110">
        <v>0.40121527777777777</v>
      </c>
      <c r="H2261" s="1110">
        <v>0.4019097222222222</v>
      </c>
      <c r="I2261" s="1110">
        <v>0.4027777777777778</v>
      </c>
      <c r="J2261" s="1111">
        <v>8.680555555555555E-4</v>
      </c>
      <c r="K2261" s="1111"/>
      <c r="L2261" s="1112"/>
      <c r="M2261" s="1113" t="s">
        <v>358</v>
      </c>
      <c r="N2261" s="110" t="s">
        <v>187</v>
      </c>
      <c r="O2261" s="1115" t="s">
        <v>203</v>
      </c>
      <c r="P2261" s="1115" t="s">
        <v>252</v>
      </c>
      <c r="Q2261" s="1116"/>
      <c r="R2261" s="120">
        <v>15.1</v>
      </c>
      <c r="S2261" s="1113">
        <v>-2.4</v>
      </c>
      <c r="T2261" s="110">
        <v>1.2</v>
      </c>
      <c r="U2261" s="1108">
        <v>7.0</v>
      </c>
      <c r="V2261" s="1108">
        <v>25.2</v>
      </c>
      <c r="W2261" s="1108">
        <v>0.0524420896481695</v>
      </c>
      <c r="X2261" s="1303">
        <v>0.0075</v>
      </c>
      <c r="Y2261" s="1108" t="s">
        <v>2242</v>
      </c>
      <c r="Z2261" s="1114" t="s">
        <v>357</v>
      </c>
      <c r="AA2261" s="1114">
        <v>92.5</v>
      </c>
      <c r="AB2261" s="1114" t="s">
        <v>384</v>
      </c>
      <c r="AC2261" s="1117">
        <v>6.0</v>
      </c>
      <c r="AD2261" s="1115" t="s">
        <v>1949</v>
      </c>
      <c r="AE2261" s="1115"/>
      <c r="AF2261" s="1115">
        <v>1.17</v>
      </c>
      <c r="AG2261" s="1115">
        <v>5.6</v>
      </c>
      <c r="AH2261" s="1115" t="s">
        <v>323</v>
      </c>
      <c r="AI2261" s="1115">
        <v>198.1</v>
      </c>
      <c r="AJ2261" s="1117">
        <v>0.95</v>
      </c>
      <c r="AK2261" s="1118"/>
      <c r="AL2261" s="1115"/>
      <c r="AM2261" s="1115"/>
      <c r="AN2261" s="1115">
        <v>0.945000000000014</v>
      </c>
      <c r="AO2261" s="1115"/>
      <c r="AP2261" s="1115"/>
      <c r="AQ2261" s="1115"/>
      <c r="AR2261" s="1115"/>
      <c r="AS2261" s="1117"/>
      <c r="AT2261" s="1196" t="str">
        <f t="shared" si="428"/>
        <v>1-10</v>
      </c>
      <c r="AU2261" s="1193"/>
      <c r="AV2261" s="330">
        <f>SQRT(($R2261-Infrastructure!J$3)^2+($S2261-Infrastructure!K$3)^2)</f>
        <v>34.88337713</v>
      </c>
      <c r="AW2261" s="331">
        <f>SQRT(($R2261-Infrastructure!J$4)^2+($S2261-Infrastructure!K$4)^2)</f>
        <v>25.40078739</v>
      </c>
      <c r="AX2261" s="331">
        <f>SQRT(($R2261-Infrastructure!J$5)^2+($S2261-Infrastructure!K$5)^2)</f>
        <v>17.12921481</v>
      </c>
      <c r="AY2261" s="331">
        <f>SQRT(($R2261-Infrastructure!J$6)^2+($S2261-Infrastructure!K$6)^2)</f>
        <v>5.682429058</v>
      </c>
      <c r="AZ2261" s="331">
        <f>SQRT(($R2261-Infrastructure!J$7)^2+($S2261-Infrastructure!K$7)^2)</f>
        <v>6.037383539</v>
      </c>
      <c r="BA2261" s="331">
        <f>SQRT(($R2261-Infrastructure!J$8)^2+($S2261-Infrastructure!K$8)^2)</f>
        <v>15.24106296</v>
      </c>
      <c r="BB2261" s="331">
        <f>SQRT(($R2261-Infrastructure!J$9)^2+($S2261-Infrastructure!K$9)^2)</f>
        <v>26.00499952</v>
      </c>
      <c r="BC2261" s="331">
        <f>SQRT(($R2261-Infrastructure!J$10)^2+($S2261-Infrastructure!K$10)^2)</f>
        <v>30.37712955</v>
      </c>
      <c r="BD2261" s="331">
        <f>SQRT(($R2261-Infrastructure!J$11)^2+($S2261-Infrastructure!K$11)^2)</f>
        <v>40.19912934</v>
      </c>
      <c r="BE2261" s="333">
        <f>SQRT(($R2261-Infrastructure!J$12)^2+($S2261-Infrastructure!K$12)^2)</f>
        <v>58.25263943</v>
      </c>
      <c r="BF2261" s="330">
        <f t="shared" si="161"/>
        <v>5.682429058</v>
      </c>
      <c r="BG2261" s="333">
        <f t="shared" si="162"/>
        <v>58.25263943</v>
      </c>
      <c r="BH2261" s="1119"/>
      <c r="BI2261" s="319" t="str">
        <f t="shared" ref="BI2261:BR2261" si="1376">IF(ISNUMBER(FIND(BI$3, $CO2261)), "Y", "")</f>
        <v/>
      </c>
      <c r="BJ2261" s="319" t="str">
        <f t="shared" si="1376"/>
        <v/>
      </c>
      <c r="BK2261" s="319" t="str">
        <f t="shared" si="1376"/>
        <v/>
      </c>
      <c r="BL2261" s="319" t="str">
        <f t="shared" si="1376"/>
        <v/>
      </c>
      <c r="BM2261" s="319" t="str">
        <f t="shared" si="1376"/>
        <v/>
      </c>
      <c r="BN2261" s="319" t="str">
        <f t="shared" si="1376"/>
        <v/>
      </c>
      <c r="BO2261" s="319" t="str">
        <f t="shared" si="1376"/>
        <v/>
      </c>
      <c r="BP2261" s="319" t="str">
        <f t="shared" si="1376"/>
        <v/>
      </c>
      <c r="BQ2261" s="319" t="str">
        <f t="shared" si="1376"/>
        <v/>
      </c>
      <c r="BR2261" s="319" t="str">
        <f t="shared" si="1376"/>
        <v/>
      </c>
      <c r="BS2261" s="330">
        <f t="shared" si="185"/>
        <v>0</v>
      </c>
      <c r="BT2261" s="331">
        <f t="shared" si="170"/>
        <v>0</v>
      </c>
      <c r="BU2261" s="920"/>
      <c r="BV2261" s="903" t="str">
        <f t="shared" si="1244"/>
        <v/>
      </c>
      <c r="BW2261" s="908"/>
      <c r="BX2261" s="908"/>
      <c r="BY2261" s="331" t="b">
        <f t="shared" si="201"/>
        <v>0</v>
      </c>
      <c r="BZ2261" s="331"/>
      <c r="CA2261" s="462" t="str">
        <f t="shared" ref="CA2261:CJ2261" si="1377">IF(ISNUMBER(FIND(BI$3, $CP2261)), "Y", "")</f>
        <v/>
      </c>
      <c r="CB2261" s="319" t="str">
        <f t="shared" si="1377"/>
        <v/>
      </c>
      <c r="CC2261" s="319" t="str">
        <f t="shared" si="1377"/>
        <v/>
      </c>
      <c r="CD2261" s="319" t="str">
        <f t="shared" si="1377"/>
        <v/>
      </c>
      <c r="CE2261" s="319" t="str">
        <f t="shared" si="1377"/>
        <v/>
      </c>
      <c r="CF2261" s="319" t="str">
        <f t="shared" si="1377"/>
        <v/>
      </c>
      <c r="CG2261" s="319" t="str">
        <f t="shared" si="1377"/>
        <v/>
      </c>
      <c r="CH2261" s="319" t="str">
        <f t="shared" si="1377"/>
        <v/>
      </c>
      <c r="CI2261" s="319" t="str">
        <f t="shared" si="1377"/>
        <v/>
      </c>
      <c r="CJ2261" s="319" t="str">
        <f t="shared" si="1377"/>
        <v/>
      </c>
      <c r="CK2261" s="342">
        <f t="shared" si="182"/>
        <v>0</v>
      </c>
      <c r="CL2261" s="333">
        <f t="shared" si="183"/>
        <v>0</v>
      </c>
      <c r="CM2261" s="1079"/>
      <c r="CN2261" s="1005" t="s">
        <v>3366</v>
      </c>
      <c r="CO2261" s="1005"/>
      <c r="CP2261" s="1005"/>
    </row>
    <row r="2262">
      <c r="A2262" s="266"/>
      <c r="B2262" s="1113" t="s">
        <v>2240</v>
      </c>
      <c r="C2262" s="1304">
        <v>45967.0</v>
      </c>
      <c r="D2262" s="103"/>
      <c r="E2262" s="1108" t="s">
        <v>1472</v>
      </c>
      <c r="F2262" s="112" t="s">
        <v>3367</v>
      </c>
      <c r="G2262" s="1110">
        <v>0.41597222222222224</v>
      </c>
      <c r="H2262" s="1110">
        <v>0.41631944444444446</v>
      </c>
      <c r="I2262" s="1110">
        <v>0.41759259259259257</v>
      </c>
      <c r="J2262" s="1111">
        <v>0.0012731481481481483</v>
      </c>
      <c r="K2262" s="1111"/>
      <c r="L2262" s="1112"/>
      <c r="M2262" s="1113" t="s">
        <v>358</v>
      </c>
      <c r="N2262" s="110" t="s">
        <v>187</v>
      </c>
      <c r="O2262" s="1115" t="s">
        <v>203</v>
      </c>
      <c r="P2262" s="1115" t="s">
        <v>252</v>
      </c>
      <c r="Q2262" s="1116"/>
      <c r="R2262" s="120">
        <v>15.1</v>
      </c>
      <c r="S2262" s="1113">
        <v>-2.4</v>
      </c>
      <c r="T2262" s="110">
        <v>1.2</v>
      </c>
      <c r="U2262" s="1108">
        <v>6.0</v>
      </c>
      <c r="V2262" s="1108">
        <v>21.6</v>
      </c>
      <c r="W2262" s="1108">
        <v>0.0464978594489394</v>
      </c>
      <c r="X2262" s="1303">
        <v>0.0077</v>
      </c>
      <c r="Y2262" s="1108" t="s">
        <v>2242</v>
      </c>
      <c r="Z2262" s="1114" t="s">
        <v>357</v>
      </c>
      <c r="AA2262" s="1114">
        <v>88.5</v>
      </c>
      <c r="AB2262" s="1114" t="s">
        <v>384</v>
      </c>
      <c r="AC2262" s="1117">
        <v>6.0</v>
      </c>
      <c r="AD2262" s="1115" t="s">
        <v>1949</v>
      </c>
      <c r="AE2262" s="1115"/>
      <c r="AF2262" s="1115">
        <v>1.0</v>
      </c>
      <c r="AG2262" s="1115">
        <v>4.8</v>
      </c>
      <c r="AH2262" s="1115" t="s">
        <v>323</v>
      </c>
      <c r="AI2262" s="1115">
        <v>169.8</v>
      </c>
      <c r="AJ2262" s="1117">
        <v>0.84</v>
      </c>
      <c r="AK2262" s="1118"/>
      <c r="AL2262" s="1115"/>
      <c r="AM2262" s="1115"/>
      <c r="AN2262" s="1115">
        <v>0.839999999999978</v>
      </c>
      <c r="AO2262" s="1115"/>
      <c r="AP2262" s="1115"/>
      <c r="AQ2262" s="1115"/>
      <c r="AR2262" s="1115"/>
      <c r="AS2262" s="1117"/>
      <c r="AT2262" s="1196" t="str">
        <f t="shared" si="428"/>
        <v>1-10</v>
      </c>
      <c r="AU2262" s="1193"/>
      <c r="AV2262" s="330">
        <f>SQRT(($R2262-Infrastructure!J$3)^2+($S2262-Infrastructure!K$3)^2)</f>
        <v>34.88337713</v>
      </c>
      <c r="AW2262" s="331">
        <f>SQRT(($R2262-Infrastructure!J$4)^2+($S2262-Infrastructure!K$4)^2)</f>
        <v>25.40078739</v>
      </c>
      <c r="AX2262" s="331">
        <f>SQRT(($R2262-Infrastructure!J$5)^2+($S2262-Infrastructure!K$5)^2)</f>
        <v>17.12921481</v>
      </c>
      <c r="AY2262" s="331">
        <f>SQRT(($R2262-Infrastructure!J$6)^2+($S2262-Infrastructure!K$6)^2)</f>
        <v>5.682429058</v>
      </c>
      <c r="AZ2262" s="331">
        <f>SQRT(($R2262-Infrastructure!J$7)^2+($S2262-Infrastructure!K$7)^2)</f>
        <v>6.037383539</v>
      </c>
      <c r="BA2262" s="331">
        <f>SQRT(($R2262-Infrastructure!J$8)^2+($S2262-Infrastructure!K$8)^2)</f>
        <v>15.24106296</v>
      </c>
      <c r="BB2262" s="331">
        <f>SQRT(($R2262-Infrastructure!J$9)^2+($S2262-Infrastructure!K$9)^2)</f>
        <v>26.00499952</v>
      </c>
      <c r="BC2262" s="331">
        <f>SQRT(($R2262-Infrastructure!J$10)^2+($S2262-Infrastructure!K$10)^2)</f>
        <v>30.37712955</v>
      </c>
      <c r="BD2262" s="331">
        <f>SQRT(($R2262-Infrastructure!J$11)^2+($S2262-Infrastructure!K$11)^2)</f>
        <v>40.19912934</v>
      </c>
      <c r="BE2262" s="333">
        <f>SQRT(($R2262-Infrastructure!J$12)^2+($S2262-Infrastructure!K$12)^2)</f>
        <v>58.25263943</v>
      </c>
      <c r="BF2262" s="330">
        <f t="shared" si="161"/>
        <v>5.682429058</v>
      </c>
      <c r="BG2262" s="333">
        <f t="shared" si="162"/>
        <v>58.25263943</v>
      </c>
      <c r="BH2262" s="1119"/>
      <c r="BI2262" s="319" t="str">
        <f t="shared" ref="BI2262:BR2262" si="1378">IF(ISNUMBER(FIND(BI$3, $CO2262)), "Y", "")</f>
        <v/>
      </c>
      <c r="BJ2262" s="319" t="str">
        <f t="shared" si="1378"/>
        <v/>
      </c>
      <c r="BK2262" s="319" t="str">
        <f t="shared" si="1378"/>
        <v/>
      </c>
      <c r="BL2262" s="319" t="str">
        <f t="shared" si="1378"/>
        <v/>
      </c>
      <c r="BM2262" s="319" t="str">
        <f t="shared" si="1378"/>
        <v/>
      </c>
      <c r="BN2262" s="319" t="str">
        <f t="shared" si="1378"/>
        <v/>
      </c>
      <c r="BO2262" s="319" t="str">
        <f t="shared" si="1378"/>
        <v/>
      </c>
      <c r="BP2262" s="319" t="str">
        <f t="shared" si="1378"/>
        <v/>
      </c>
      <c r="BQ2262" s="319" t="str">
        <f t="shared" si="1378"/>
        <v/>
      </c>
      <c r="BR2262" s="319" t="str">
        <f t="shared" si="1378"/>
        <v/>
      </c>
      <c r="BS2262" s="330">
        <f t="shared" si="185"/>
        <v>0</v>
      </c>
      <c r="BT2262" s="331">
        <f t="shared" si="170"/>
        <v>0</v>
      </c>
      <c r="BU2262" s="920"/>
      <c r="BV2262" s="903" t="str">
        <f t="shared" si="1244"/>
        <v/>
      </c>
      <c r="BW2262" s="908"/>
      <c r="BX2262" s="908"/>
      <c r="BY2262" s="331" t="b">
        <f t="shared" si="201"/>
        <v>0</v>
      </c>
      <c r="BZ2262" s="331"/>
      <c r="CA2262" s="462" t="str">
        <f t="shared" ref="CA2262:CJ2262" si="1379">IF(ISNUMBER(FIND(BI$3, $CP2262)), "Y", "")</f>
        <v/>
      </c>
      <c r="CB2262" s="319" t="str">
        <f t="shared" si="1379"/>
        <v/>
      </c>
      <c r="CC2262" s="319" t="str">
        <f t="shared" si="1379"/>
        <v/>
      </c>
      <c r="CD2262" s="319" t="str">
        <f t="shared" si="1379"/>
        <v/>
      </c>
      <c r="CE2262" s="319" t="str">
        <f t="shared" si="1379"/>
        <v/>
      </c>
      <c r="CF2262" s="319" t="str">
        <f t="shared" si="1379"/>
        <v/>
      </c>
      <c r="CG2262" s="319" t="str">
        <f t="shared" si="1379"/>
        <v/>
      </c>
      <c r="CH2262" s="319" t="str">
        <f t="shared" si="1379"/>
        <v/>
      </c>
      <c r="CI2262" s="319" t="str">
        <f t="shared" si="1379"/>
        <v/>
      </c>
      <c r="CJ2262" s="319" t="str">
        <f t="shared" si="1379"/>
        <v/>
      </c>
      <c r="CK2262" s="342">
        <f t="shared" si="182"/>
        <v>0</v>
      </c>
      <c r="CL2262" s="333">
        <f t="shared" si="183"/>
        <v>0</v>
      </c>
      <c r="CM2262" s="1079"/>
      <c r="CN2262" s="1005" t="s">
        <v>3366</v>
      </c>
      <c r="CO2262" s="1005"/>
      <c r="CP2262" s="1005"/>
    </row>
    <row r="2263">
      <c r="A2263" s="266"/>
      <c r="B2263" s="1113" t="s">
        <v>2240</v>
      </c>
      <c r="C2263" s="1304">
        <v>45967.0</v>
      </c>
      <c r="D2263" s="103"/>
      <c r="E2263" s="1108" t="s">
        <v>1474</v>
      </c>
      <c r="F2263" s="112" t="s">
        <v>3368</v>
      </c>
      <c r="G2263" s="1110">
        <v>0.4191550925925926</v>
      </c>
      <c r="H2263" s="1110">
        <v>0.41944444444444445</v>
      </c>
      <c r="I2263" s="1110">
        <v>0.42083333333333334</v>
      </c>
      <c r="J2263" s="1111">
        <v>0.001388888888888889</v>
      </c>
      <c r="K2263" s="1111"/>
      <c r="L2263" s="1112"/>
      <c r="M2263" s="1113" t="s">
        <v>358</v>
      </c>
      <c r="N2263" s="110" t="s">
        <v>187</v>
      </c>
      <c r="O2263" s="1115" t="s">
        <v>203</v>
      </c>
      <c r="P2263" s="1115" t="s">
        <v>252</v>
      </c>
      <c r="Q2263" s="1116"/>
      <c r="R2263" s="120">
        <v>15.1</v>
      </c>
      <c r="S2263" s="1113">
        <v>-2.4</v>
      </c>
      <c r="T2263" s="110">
        <v>1.2</v>
      </c>
      <c r="U2263" s="1108">
        <v>5.0</v>
      </c>
      <c r="V2263" s="1108">
        <v>18.0</v>
      </c>
      <c r="W2263" s="1108">
        <v>0.0407274579777983</v>
      </c>
      <c r="X2263" s="1303">
        <v>0.0081</v>
      </c>
      <c r="Y2263" s="1108" t="s">
        <v>2242</v>
      </c>
      <c r="Z2263" s="1114" t="s">
        <v>357</v>
      </c>
      <c r="AA2263" s="1114">
        <v>84.0</v>
      </c>
      <c r="AB2263" s="1114" t="s">
        <v>384</v>
      </c>
      <c r="AC2263" s="1117">
        <v>6.0</v>
      </c>
      <c r="AD2263" s="1115" t="s">
        <v>1949</v>
      </c>
      <c r="AE2263" s="1115"/>
      <c r="AF2263" s="1115">
        <v>0.83</v>
      </c>
      <c r="AG2263" s="1115">
        <v>4.0</v>
      </c>
      <c r="AH2263" s="1115" t="s">
        <v>323</v>
      </c>
      <c r="AI2263" s="1115">
        <v>141.5</v>
      </c>
      <c r="AJ2263" s="1117">
        <v>0.73</v>
      </c>
      <c r="AK2263" s="1118"/>
      <c r="AL2263" s="1115"/>
      <c r="AM2263" s="1115"/>
      <c r="AN2263" s="1115">
        <v>0.725000000000001</v>
      </c>
      <c r="AO2263" s="1115"/>
      <c r="AP2263" s="1115"/>
      <c r="AQ2263" s="1115"/>
      <c r="AR2263" s="1115"/>
      <c r="AS2263" s="1117"/>
      <c r="AT2263" s="1196" t="str">
        <f t="shared" si="428"/>
        <v>1-10</v>
      </c>
      <c r="AU2263" s="1193"/>
      <c r="AV2263" s="330">
        <f>SQRT(($R2263-Infrastructure!J$3)^2+($S2263-Infrastructure!K$3)^2)</f>
        <v>34.88337713</v>
      </c>
      <c r="AW2263" s="331">
        <f>SQRT(($R2263-Infrastructure!J$4)^2+($S2263-Infrastructure!K$4)^2)</f>
        <v>25.40078739</v>
      </c>
      <c r="AX2263" s="331">
        <f>SQRT(($R2263-Infrastructure!J$5)^2+($S2263-Infrastructure!K$5)^2)</f>
        <v>17.12921481</v>
      </c>
      <c r="AY2263" s="331">
        <f>SQRT(($R2263-Infrastructure!J$6)^2+($S2263-Infrastructure!K$6)^2)</f>
        <v>5.682429058</v>
      </c>
      <c r="AZ2263" s="331">
        <f>SQRT(($R2263-Infrastructure!J$7)^2+($S2263-Infrastructure!K$7)^2)</f>
        <v>6.037383539</v>
      </c>
      <c r="BA2263" s="331">
        <f>SQRT(($R2263-Infrastructure!J$8)^2+($S2263-Infrastructure!K$8)^2)</f>
        <v>15.24106296</v>
      </c>
      <c r="BB2263" s="331">
        <f>SQRT(($R2263-Infrastructure!J$9)^2+($S2263-Infrastructure!K$9)^2)</f>
        <v>26.00499952</v>
      </c>
      <c r="BC2263" s="331">
        <f>SQRT(($R2263-Infrastructure!J$10)^2+($S2263-Infrastructure!K$10)^2)</f>
        <v>30.37712955</v>
      </c>
      <c r="BD2263" s="331">
        <f>SQRT(($R2263-Infrastructure!J$11)^2+($S2263-Infrastructure!K$11)^2)</f>
        <v>40.19912934</v>
      </c>
      <c r="BE2263" s="333">
        <f>SQRT(($R2263-Infrastructure!J$12)^2+($S2263-Infrastructure!K$12)^2)</f>
        <v>58.25263943</v>
      </c>
      <c r="BF2263" s="330">
        <f t="shared" si="161"/>
        <v>5.682429058</v>
      </c>
      <c r="BG2263" s="333">
        <f t="shared" si="162"/>
        <v>58.25263943</v>
      </c>
      <c r="BH2263" s="1119"/>
      <c r="BI2263" s="319" t="str">
        <f t="shared" ref="BI2263:BR2263" si="1380">IF(ISNUMBER(FIND(BI$3, $CO2263)), "Y", "")</f>
        <v/>
      </c>
      <c r="BJ2263" s="319" t="str">
        <f t="shared" si="1380"/>
        <v/>
      </c>
      <c r="BK2263" s="319" t="str">
        <f t="shared" si="1380"/>
        <v/>
      </c>
      <c r="BL2263" s="319" t="str">
        <f t="shared" si="1380"/>
        <v/>
      </c>
      <c r="BM2263" s="319" t="str">
        <f t="shared" si="1380"/>
        <v/>
      </c>
      <c r="BN2263" s="319" t="str">
        <f t="shared" si="1380"/>
        <v/>
      </c>
      <c r="BO2263" s="319" t="str">
        <f t="shared" si="1380"/>
        <v/>
      </c>
      <c r="BP2263" s="319" t="str">
        <f t="shared" si="1380"/>
        <v/>
      </c>
      <c r="BQ2263" s="319" t="str">
        <f t="shared" si="1380"/>
        <v/>
      </c>
      <c r="BR2263" s="319" t="str">
        <f t="shared" si="1380"/>
        <v/>
      </c>
      <c r="BS2263" s="330">
        <f t="shared" si="185"/>
        <v>0</v>
      </c>
      <c r="BT2263" s="331">
        <f t="shared" si="170"/>
        <v>0</v>
      </c>
      <c r="BU2263" s="920"/>
      <c r="BV2263" s="903" t="str">
        <f t="shared" si="1244"/>
        <v/>
      </c>
      <c r="BW2263" s="908"/>
      <c r="BX2263" s="908"/>
      <c r="BY2263" s="331" t="b">
        <f t="shared" si="201"/>
        <v>0</v>
      </c>
      <c r="BZ2263" s="331"/>
      <c r="CA2263" s="462" t="str">
        <f t="shared" ref="CA2263:CJ2263" si="1381">IF(ISNUMBER(FIND(BI$3, $CP2263)), "Y", "")</f>
        <v/>
      </c>
      <c r="CB2263" s="319" t="str">
        <f t="shared" si="1381"/>
        <v/>
      </c>
      <c r="CC2263" s="319" t="str">
        <f t="shared" si="1381"/>
        <v/>
      </c>
      <c r="CD2263" s="319" t="str">
        <f t="shared" si="1381"/>
        <v/>
      </c>
      <c r="CE2263" s="319" t="str">
        <f t="shared" si="1381"/>
        <v/>
      </c>
      <c r="CF2263" s="319" t="str">
        <f t="shared" si="1381"/>
        <v/>
      </c>
      <c r="CG2263" s="319" t="str">
        <f t="shared" si="1381"/>
        <v/>
      </c>
      <c r="CH2263" s="319" t="str">
        <f t="shared" si="1381"/>
        <v/>
      </c>
      <c r="CI2263" s="319" t="str">
        <f t="shared" si="1381"/>
        <v/>
      </c>
      <c r="CJ2263" s="319" t="str">
        <f t="shared" si="1381"/>
        <v/>
      </c>
      <c r="CK2263" s="342">
        <f t="shared" si="182"/>
        <v>0</v>
      </c>
      <c r="CL2263" s="333">
        <f t="shared" si="183"/>
        <v>0</v>
      </c>
      <c r="CM2263" s="1079"/>
      <c r="CN2263" s="1005" t="s">
        <v>3366</v>
      </c>
      <c r="CO2263" s="1005"/>
      <c r="CP2263" s="1005"/>
    </row>
    <row r="2264">
      <c r="A2264" s="266"/>
      <c r="B2264" s="1113" t="s">
        <v>2240</v>
      </c>
      <c r="C2264" s="1304">
        <v>45967.0</v>
      </c>
      <c r="D2264" s="103"/>
      <c r="E2264" s="1108" t="s">
        <v>1844</v>
      </c>
      <c r="F2264" s="112" t="s">
        <v>3369</v>
      </c>
      <c r="G2264" s="1110">
        <v>0.4239583333333333</v>
      </c>
      <c r="H2264" s="1110">
        <v>0.4244791666666667</v>
      </c>
      <c r="I2264" s="1110">
        <v>0.4253472222222222</v>
      </c>
      <c r="J2264" s="1111">
        <v>8.680555555555555E-4</v>
      </c>
      <c r="K2264" s="1111"/>
      <c r="L2264" s="1112"/>
      <c r="M2264" s="1113" t="s">
        <v>358</v>
      </c>
      <c r="N2264" s="110" t="s">
        <v>187</v>
      </c>
      <c r="O2264" s="1115" t="s">
        <v>203</v>
      </c>
      <c r="P2264" s="1115" t="s">
        <v>251</v>
      </c>
      <c r="Q2264" s="1116"/>
      <c r="R2264" s="120">
        <v>15.1</v>
      </c>
      <c r="S2264" s="1113">
        <v>-2.4</v>
      </c>
      <c r="T2264" s="110">
        <v>1.2</v>
      </c>
      <c r="U2264" s="1108">
        <v>1.9</v>
      </c>
      <c r="V2264" s="1108">
        <v>6.84</v>
      </c>
      <c r="W2264" s="1108">
        <v>0.0248965687289768</v>
      </c>
      <c r="X2264" s="1303">
        <v>0.0131</v>
      </c>
      <c r="Y2264" s="1108" t="s">
        <v>2242</v>
      </c>
      <c r="Z2264" s="1114" t="s">
        <v>357</v>
      </c>
      <c r="AA2264" s="1114">
        <v>65.0</v>
      </c>
      <c r="AB2264" s="1114" t="s">
        <v>371</v>
      </c>
      <c r="AC2264" s="1117">
        <v>1.8</v>
      </c>
      <c r="AD2264" s="1115" t="s">
        <v>1949</v>
      </c>
      <c r="AE2264" s="1115" t="s">
        <v>3348</v>
      </c>
      <c r="AF2264" s="1115">
        <v>1.06</v>
      </c>
      <c r="AG2264" s="1115">
        <v>1.52</v>
      </c>
      <c r="AH2264" s="1115" t="s">
        <v>323</v>
      </c>
      <c r="AI2264" s="1115">
        <v>597.4</v>
      </c>
      <c r="AJ2264" s="1117">
        <v>0.23</v>
      </c>
      <c r="AK2264" s="1118"/>
      <c r="AL2264" s="1115"/>
      <c r="AM2264" s="1115"/>
      <c r="AN2264" s="1115">
        <v>0.227999999999999</v>
      </c>
      <c r="AO2264" s="1115"/>
      <c r="AP2264" s="1115"/>
      <c r="AQ2264" s="1115"/>
      <c r="AR2264" s="1115"/>
      <c r="AS2264" s="1117"/>
      <c r="AT2264" s="1196" t="str">
        <f t="shared" si="428"/>
        <v>1-10</v>
      </c>
      <c r="AU2264" s="1193"/>
      <c r="AV2264" s="330">
        <f>SQRT(($R2264-Infrastructure!J$3)^2+($S2264-Infrastructure!K$3)^2)</f>
        <v>34.88337713</v>
      </c>
      <c r="AW2264" s="331">
        <f>SQRT(($R2264-Infrastructure!J$4)^2+($S2264-Infrastructure!K$4)^2)</f>
        <v>25.40078739</v>
      </c>
      <c r="AX2264" s="331">
        <f>SQRT(($R2264-Infrastructure!J$5)^2+($S2264-Infrastructure!K$5)^2)</f>
        <v>17.12921481</v>
      </c>
      <c r="AY2264" s="331">
        <f>SQRT(($R2264-Infrastructure!J$6)^2+($S2264-Infrastructure!K$6)^2)</f>
        <v>5.682429058</v>
      </c>
      <c r="AZ2264" s="331">
        <f>SQRT(($R2264-Infrastructure!J$7)^2+($S2264-Infrastructure!K$7)^2)</f>
        <v>6.037383539</v>
      </c>
      <c r="BA2264" s="331">
        <f>SQRT(($R2264-Infrastructure!J$8)^2+($S2264-Infrastructure!K$8)^2)</f>
        <v>15.24106296</v>
      </c>
      <c r="BB2264" s="331">
        <f>SQRT(($R2264-Infrastructure!J$9)^2+($S2264-Infrastructure!K$9)^2)</f>
        <v>26.00499952</v>
      </c>
      <c r="BC2264" s="331">
        <f>SQRT(($R2264-Infrastructure!J$10)^2+($S2264-Infrastructure!K$10)^2)</f>
        <v>30.37712955</v>
      </c>
      <c r="BD2264" s="331">
        <f>SQRT(($R2264-Infrastructure!J$11)^2+($S2264-Infrastructure!K$11)^2)</f>
        <v>40.19912934</v>
      </c>
      <c r="BE2264" s="333">
        <f>SQRT(($R2264-Infrastructure!J$12)^2+($S2264-Infrastructure!K$12)^2)</f>
        <v>58.25263943</v>
      </c>
      <c r="BF2264" s="330">
        <f t="shared" si="161"/>
        <v>5.682429058</v>
      </c>
      <c r="BG2264" s="333">
        <f t="shared" si="162"/>
        <v>58.25263943</v>
      </c>
      <c r="BH2264" s="1119"/>
      <c r="BI2264" s="319" t="str">
        <f t="shared" ref="BI2264:BR2264" si="1382">IF(ISNUMBER(FIND(BI$3, $CO2264)), "Y", "")</f>
        <v/>
      </c>
      <c r="BJ2264" s="319" t="str">
        <f t="shared" si="1382"/>
        <v/>
      </c>
      <c r="BK2264" s="319" t="str">
        <f t="shared" si="1382"/>
        <v/>
      </c>
      <c r="BL2264" s="319" t="str">
        <f t="shared" si="1382"/>
        <v/>
      </c>
      <c r="BM2264" s="319" t="str">
        <f t="shared" si="1382"/>
        <v/>
      </c>
      <c r="BN2264" s="319" t="str">
        <f t="shared" si="1382"/>
        <v/>
      </c>
      <c r="BO2264" s="319" t="str">
        <f t="shared" si="1382"/>
        <v/>
      </c>
      <c r="BP2264" s="319" t="str">
        <f t="shared" si="1382"/>
        <v/>
      </c>
      <c r="BQ2264" s="319" t="str">
        <f t="shared" si="1382"/>
        <v/>
      </c>
      <c r="BR2264" s="319" t="str">
        <f t="shared" si="1382"/>
        <v/>
      </c>
      <c r="BS2264" s="330">
        <f t="shared" si="185"/>
        <v>0</v>
      </c>
      <c r="BT2264" s="331">
        <f t="shared" si="170"/>
        <v>0</v>
      </c>
      <c r="BU2264" s="920"/>
      <c r="BV2264" s="903" t="str">
        <f t="shared" si="1244"/>
        <v/>
      </c>
      <c r="BW2264" s="908"/>
      <c r="BX2264" s="908"/>
      <c r="BY2264" s="331" t="b">
        <f t="shared" si="201"/>
        <v>0</v>
      </c>
      <c r="BZ2264" s="331"/>
      <c r="CA2264" s="462" t="str">
        <f t="shared" ref="CA2264:CJ2264" si="1383">IF(ISNUMBER(FIND(BI$3, $CP2264)), "Y", "")</f>
        <v/>
      </c>
      <c r="CB2264" s="319" t="str">
        <f t="shared" si="1383"/>
        <v/>
      </c>
      <c r="CC2264" s="319" t="str">
        <f t="shared" si="1383"/>
        <v/>
      </c>
      <c r="CD2264" s="319" t="str">
        <f t="shared" si="1383"/>
        <v/>
      </c>
      <c r="CE2264" s="319" t="str">
        <f t="shared" si="1383"/>
        <v/>
      </c>
      <c r="CF2264" s="319" t="str">
        <f t="shared" si="1383"/>
        <v/>
      </c>
      <c r="CG2264" s="319" t="str">
        <f t="shared" si="1383"/>
        <v/>
      </c>
      <c r="CH2264" s="319" t="str">
        <f t="shared" si="1383"/>
        <v/>
      </c>
      <c r="CI2264" s="319" t="str">
        <f t="shared" si="1383"/>
        <v/>
      </c>
      <c r="CJ2264" s="319" t="str">
        <f t="shared" si="1383"/>
        <v/>
      </c>
      <c r="CK2264" s="342">
        <f t="shared" si="182"/>
        <v>0</v>
      </c>
      <c r="CL2264" s="333">
        <f t="shared" si="183"/>
        <v>0</v>
      </c>
      <c r="CM2264" s="1079"/>
      <c r="CN2264" s="1005" t="s">
        <v>3366</v>
      </c>
      <c r="CO2264" s="1005"/>
      <c r="CP2264" s="1005"/>
    </row>
    <row r="2265">
      <c r="A2265" s="266"/>
      <c r="B2265" s="1113" t="s">
        <v>2240</v>
      </c>
      <c r="C2265" s="1304">
        <v>45967.0</v>
      </c>
      <c r="D2265" s="103"/>
      <c r="E2265" s="1108" t="s">
        <v>1865</v>
      </c>
      <c r="F2265" s="112" t="s">
        <v>3370</v>
      </c>
      <c r="G2265" s="1110">
        <v>0.42690972222222223</v>
      </c>
      <c r="H2265" s="1110">
        <v>0.4270833333333333</v>
      </c>
      <c r="I2265" s="1110">
        <v>0.4280671296296296</v>
      </c>
      <c r="J2265" s="1111">
        <v>9.837962962962962E-4</v>
      </c>
      <c r="K2265" s="1111"/>
      <c r="L2265" s="1112"/>
      <c r="M2265" s="1113" t="s">
        <v>358</v>
      </c>
      <c r="N2265" s="110" t="s">
        <v>187</v>
      </c>
      <c r="O2265" s="1115" t="s">
        <v>203</v>
      </c>
      <c r="P2265" s="1115" t="s">
        <v>251</v>
      </c>
      <c r="Q2265" s="1116"/>
      <c r="R2265" s="120">
        <v>15.1</v>
      </c>
      <c r="S2265" s="1113">
        <v>-2.4</v>
      </c>
      <c r="T2265" s="110">
        <v>1.2</v>
      </c>
      <c r="U2265" s="1108">
        <v>1.3</v>
      </c>
      <c r="V2265" s="1108">
        <v>4.68</v>
      </c>
      <c r="W2265" s="1108">
        <v>0.0225253325142309</v>
      </c>
      <c r="X2265" s="1303">
        <v>0.0173</v>
      </c>
      <c r="Y2265" s="1108" t="s">
        <v>2242</v>
      </c>
      <c r="Z2265" s="1114" t="s">
        <v>357</v>
      </c>
      <c r="AA2265" s="1114">
        <v>49.0</v>
      </c>
      <c r="AB2265" s="1114" t="s">
        <v>371</v>
      </c>
      <c r="AC2265" s="1117">
        <v>1.8</v>
      </c>
      <c r="AD2265" s="1115" t="s">
        <v>1949</v>
      </c>
      <c r="AE2265" s="1115"/>
      <c r="AF2265" s="1115">
        <v>0.72</v>
      </c>
      <c r="AG2265" s="1115">
        <v>1.04</v>
      </c>
      <c r="AH2265" s="1115" t="s">
        <v>323</v>
      </c>
      <c r="AI2265" s="1115">
        <v>408.8</v>
      </c>
      <c r="AJ2265" s="1117">
        <v>0.13</v>
      </c>
      <c r="AK2265" s="1118"/>
      <c r="AL2265" s="1115"/>
      <c r="AM2265" s="1115"/>
      <c r="AN2265" s="1115">
        <v>0.129999999999997</v>
      </c>
      <c r="AO2265" s="1115"/>
      <c r="AP2265" s="1115"/>
      <c r="AQ2265" s="1115"/>
      <c r="AR2265" s="1115"/>
      <c r="AS2265" s="1117"/>
      <c r="AT2265" s="1196" t="str">
        <f t="shared" si="428"/>
        <v>1-10</v>
      </c>
      <c r="AU2265" s="1193"/>
      <c r="AV2265" s="330">
        <f>SQRT(($R2265-Infrastructure!J$3)^2+($S2265-Infrastructure!K$3)^2)</f>
        <v>34.88337713</v>
      </c>
      <c r="AW2265" s="331">
        <f>SQRT(($R2265-Infrastructure!J$4)^2+($S2265-Infrastructure!K$4)^2)</f>
        <v>25.40078739</v>
      </c>
      <c r="AX2265" s="331">
        <f>SQRT(($R2265-Infrastructure!J$5)^2+($S2265-Infrastructure!K$5)^2)</f>
        <v>17.12921481</v>
      </c>
      <c r="AY2265" s="331">
        <f>SQRT(($R2265-Infrastructure!J$6)^2+($S2265-Infrastructure!K$6)^2)</f>
        <v>5.682429058</v>
      </c>
      <c r="AZ2265" s="331">
        <f>SQRT(($R2265-Infrastructure!J$7)^2+($S2265-Infrastructure!K$7)^2)</f>
        <v>6.037383539</v>
      </c>
      <c r="BA2265" s="331">
        <f>SQRT(($R2265-Infrastructure!J$8)^2+($S2265-Infrastructure!K$8)^2)</f>
        <v>15.24106296</v>
      </c>
      <c r="BB2265" s="331">
        <f>SQRT(($R2265-Infrastructure!J$9)^2+($S2265-Infrastructure!K$9)^2)</f>
        <v>26.00499952</v>
      </c>
      <c r="BC2265" s="331">
        <f>SQRT(($R2265-Infrastructure!J$10)^2+($S2265-Infrastructure!K$10)^2)</f>
        <v>30.37712955</v>
      </c>
      <c r="BD2265" s="331">
        <f>SQRT(($R2265-Infrastructure!J$11)^2+($S2265-Infrastructure!K$11)^2)</f>
        <v>40.19912934</v>
      </c>
      <c r="BE2265" s="333">
        <f>SQRT(($R2265-Infrastructure!J$12)^2+($S2265-Infrastructure!K$12)^2)</f>
        <v>58.25263943</v>
      </c>
      <c r="BF2265" s="330">
        <f t="shared" si="161"/>
        <v>5.682429058</v>
      </c>
      <c r="BG2265" s="333">
        <f t="shared" si="162"/>
        <v>58.25263943</v>
      </c>
      <c r="BH2265" s="1119"/>
      <c r="BI2265" s="319" t="str">
        <f t="shared" ref="BI2265:BR2265" si="1384">IF(ISNUMBER(FIND(BI$3, $CO2265)), "Y", "")</f>
        <v/>
      </c>
      <c r="BJ2265" s="319" t="str">
        <f t="shared" si="1384"/>
        <v/>
      </c>
      <c r="BK2265" s="319" t="str">
        <f t="shared" si="1384"/>
        <v/>
      </c>
      <c r="BL2265" s="319" t="str">
        <f t="shared" si="1384"/>
        <v/>
      </c>
      <c r="BM2265" s="319" t="str">
        <f t="shared" si="1384"/>
        <v/>
      </c>
      <c r="BN2265" s="319" t="str">
        <f t="shared" si="1384"/>
        <v/>
      </c>
      <c r="BO2265" s="319" t="str">
        <f t="shared" si="1384"/>
        <v/>
      </c>
      <c r="BP2265" s="319" t="str">
        <f t="shared" si="1384"/>
        <v/>
      </c>
      <c r="BQ2265" s="319" t="str">
        <f t="shared" si="1384"/>
        <v/>
      </c>
      <c r="BR2265" s="319" t="str">
        <f t="shared" si="1384"/>
        <v/>
      </c>
      <c r="BS2265" s="330">
        <f t="shared" si="185"/>
        <v>0</v>
      </c>
      <c r="BT2265" s="331">
        <f t="shared" si="170"/>
        <v>0</v>
      </c>
      <c r="BU2265" s="920"/>
      <c r="BV2265" s="903" t="str">
        <f t="shared" si="1244"/>
        <v/>
      </c>
      <c r="BW2265" s="908"/>
      <c r="BX2265" s="908"/>
      <c r="BY2265" s="331" t="b">
        <f t="shared" si="201"/>
        <v>0</v>
      </c>
      <c r="BZ2265" s="331"/>
      <c r="CA2265" s="462" t="str">
        <f t="shared" ref="CA2265:CJ2265" si="1385">IF(ISNUMBER(FIND(BI$3, $CP2265)), "Y", "")</f>
        <v/>
      </c>
      <c r="CB2265" s="319" t="str">
        <f t="shared" si="1385"/>
        <v/>
      </c>
      <c r="CC2265" s="319" t="str">
        <f t="shared" si="1385"/>
        <v/>
      </c>
      <c r="CD2265" s="319" t="str">
        <f t="shared" si="1385"/>
        <v/>
      </c>
      <c r="CE2265" s="319" t="str">
        <f t="shared" si="1385"/>
        <v/>
      </c>
      <c r="CF2265" s="319" t="str">
        <f t="shared" si="1385"/>
        <v/>
      </c>
      <c r="CG2265" s="319" t="str">
        <f t="shared" si="1385"/>
        <v/>
      </c>
      <c r="CH2265" s="319" t="str">
        <f t="shared" si="1385"/>
        <v/>
      </c>
      <c r="CI2265" s="319" t="str">
        <f t="shared" si="1385"/>
        <v/>
      </c>
      <c r="CJ2265" s="319" t="str">
        <f t="shared" si="1385"/>
        <v/>
      </c>
      <c r="CK2265" s="342">
        <f t="shared" si="182"/>
        <v>0</v>
      </c>
      <c r="CL2265" s="333">
        <f t="shared" si="183"/>
        <v>0</v>
      </c>
      <c r="CM2265" s="1079"/>
      <c r="CN2265" s="1005" t="s">
        <v>3366</v>
      </c>
      <c r="CO2265" s="1005"/>
      <c r="CP2265" s="1005"/>
    </row>
    <row r="2266">
      <c r="A2266" s="266"/>
      <c r="B2266" s="1113" t="s">
        <v>2240</v>
      </c>
      <c r="C2266" s="1304">
        <v>45967.0</v>
      </c>
      <c r="D2266" s="103"/>
      <c r="E2266" s="1108" t="s">
        <v>1888</v>
      </c>
      <c r="F2266" s="112" t="s">
        <v>3371</v>
      </c>
      <c r="G2266" s="1110">
        <v>0.42922453703703706</v>
      </c>
      <c r="H2266" s="1110">
        <v>0.4293402777777778</v>
      </c>
      <c r="I2266" s="1110">
        <v>0.4300925925925926</v>
      </c>
      <c r="J2266" s="1111">
        <v>7.523148148148148E-4</v>
      </c>
      <c r="K2266" s="1111"/>
      <c r="L2266" s="1112"/>
      <c r="M2266" s="1113" t="s">
        <v>358</v>
      </c>
      <c r="N2266" s="110" t="s">
        <v>187</v>
      </c>
      <c r="O2266" s="1115" t="s">
        <v>203</v>
      </c>
      <c r="P2266" s="1115" t="s">
        <v>251</v>
      </c>
      <c r="Q2266" s="1116"/>
      <c r="R2266" s="120">
        <v>15.1</v>
      </c>
      <c r="S2266" s="1113">
        <v>-2.4</v>
      </c>
      <c r="T2266" s="110">
        <v>1.2</v>
      </c>
      <c r="U2266" s="1108">
        <v>0.5</v>
      </c>
      <c r="V2266" s="1108">
        <v>1.8</v>
      </c>
      <c r="W2266" s="1108">
        <v>0.0200289344345458</v>
      </c>
      <c r="X2266" s="1303">
        <v>0.0401</v>
      </c>
      <c r="Y2266" s="1108" t="s">
        <v>2242</v>
      </c>
      <c r="Z2266" s="1114" t="s">
        <v>357</v>
      </c>
      <c r="AA2266" s="1114">
        <v>24.0</v>
      </c>
      <c r="AB2266" s="1114" t="s">
        <v>371</v>
      </c>
      <c r="AC2266" s="1117">
        <v>1.8</v>
      </c>
      <c r="AD2266" s="1115" t="s">
        <v>1949</v>
      </c>
      <c r="AE2266" s="1115"/>
      <c r="AF2266" s="1115">
        <v>0.28</v>
      </c>
      <c r="AG2266" s="1115">
        <v>0.4</v>
      </c>
      <c r="AH2266" s="1115" t="s">
        <v>323</v>
      </c>
      <c r="AI2266" s="1115">
        <v>157.2</v>
      </c>
      <c r="AJ2266" s="1117">
        <v>0.04</v>
      </c>
      <c r="AK2266" s="1118"/>
      <c r="AL2266" s="1115"/>
      <c r="AM2266" s="1115"/>
      <c r="AN2266" s="1115">
        <v>0.0374999999999987</v>
      </c>
      <c r="AO2266" s="1115"/>
      <c r="AP2266" s="1115"/>
      <c r="AQ2266" s="1115"/>
      <c r="AR2266" s="1115"/>
      <c r="AS2266" s="1117"/>
      <c r="AT2266" s="1196" t="str">
        <f t="shared" si="428"/>
        <v>0-1</v>
      </c>
      <c r="AU2266" s="1193"/>
      <c r="AV2266" s="330">
        <f>SQRT(($R2266-Infrastructure!J$3)^2+($S2266-Infrastructure!K$3)^2)</f>
        <v>34.88337713</v>
      </c>
      <c r="AW2266" s="331">
        <f>SQRT(($R2266-Infrastructure!J$4)^2+($S2266-Infrastructure!K$4)^2)</f>
        <v>25.40078739</v>
      </c>
      <c r="AX2266" s="331">
        <f>SQRT(($R2266-Infrastructure!J$5)^2+($S2266-Infrastructure!K$5)^2)</f>
        <v>17.12921481</v>
      </c>
      <c r="AY2266" s="331">
        <f>SQRT(($R2266-Infrastructure!J$6)^2+($S2266-Infrastructure!K$6)^2)</f>
        <v>5.682429058</v>
      </c>
      <c r="AZ2266" s="331">
        <f>SQRT(($R2266-Infrastructure!J$7)^2+($S2266-Infrastructure!K$7)^2)</f>
        <v>6.037383539</v>
      </c>
      <c r="BA2266" s="331">
        <f>SQRT(($R2266-Infrastructure!J$8)^2+($S2266-Infrastructure!K$8)^2)</f>
        <v>15.24106296</v>
      </c>
      <c r="BB2266" s="331">
        <f>SQRT(($R2266-Infrastructure!J$9)^2+($S2266-Infrastructure!K$9)^2)</f>
        <v>26.00499952</v>
      </c>
      <c r="BC2266" s="331">
        <f>SQRT(($R2266-Infrastructure!J$10)^2+($S2266-Infrastructure!K$10)^2)</f>
        <v>30.37712955</v>
      </c>
      <c r="BD2266" s="331">
        <f>SQRT(($R2266-Infrastructure!J$11)^2+($S2266-Infrastructure!K$11)^2)</f>
        <v>40.19912934</v>
      </c>
      <c r="BE2266" s="333">
        <f>SQRT(($R2266-Infrastructure!J$12)^2+($S2266-Infrastructure!K$12)^2)</f>
        <v>58.25263943</v>
      </c>
      <c r="BF2266" s="330">
        <f t="shared" si="161"/>
        <v>5.682429058</v>
      </c>
      <c r="BG2266" s="333">
        <f t="shared" si="162"/>
        <v>58.25263943</v>
      </c>
      <c r="BH2266" s="1119"/>
      <c r="BI2266" s="319" t="str">
        <f t="shared" ref="BI2266:BR2266" si="1386">IF(ISNUMBER(FIND(BI$3, $CO2266)), "Y", "")</f>
        <v/>
      </c>
      <c r="BJ2266" s="319" t="str">
        <f t="shared" si="1386"/>
        <v/>
      </c>
      <c r="BK2266" s="319" t="str">
        <f t="shared" si="1386"/>
        <v/>
      </c>
      <c r="BL2266" s="319" t="str">
        <f t="shared" si="1386"/>
        <v/>
      </c>
      <c r="BM2266" s="319" t="str">
        <f t="shared" si="1386"/>
        <v/>
      </c>
      <c r="BN2266" s="319" t="str">
        <f t="shared" si="1386"/>
        <v/>
      </c>
      <c r="BO2266" s="319" t="str">
        <f t="shared" si="1386"/>
        <v/>
      </c>
      <c r="BP2266" s="319" t="str">
        <f t="shared" si="1386"/>
        <v/>
      </c>
      <c r="BQ2266" s="319" t="str">
        <f t="shared" si="1386"/>
        <v/>
      </c>
      <c r="BR2266" s="319" t="str">
        <f t="shared" si="1386"/>
        <v/>
      </c>
      <c r="BS2266" s="330">
        <f t="shared" si="185"/>
        <v>0</v>
      </c>
      <c r="BT2266" s="331">
        <f t="shared" si="170"/>
        <v>0</v>
      </c>
      <c r="BU2266" s="920"/>
      <c r="BV2266" s="903" t="str">
        <f t="shared" si="1244"/>
        <v/>
      </c>
      <c r="BW2266" s="908"/>
      <c r="BX2266" s="908"/>
      <c r="BY2266" s="331" t="b">
        <f t="shared" si="201"/>
        <v>0</v>
      </c>
      <c r="BZ2266" s="331"/>
      <c r="CA2266" s="462" t="str">
        <f t="shared" ref="CA2266:CJ2266" si="1387">IF(ISNUMBER(FIND(BI$3, $CP2266)), "Y", "")</f>
        <v/>
      </c>
      <c r="CB2266" s="319" t="str">
        <f t="shared" si="1387"/>
        <v/>
      </c>
      <c r="CC2266" s="319" t="str">
        <f t="shared" si="1387"/>
        <v/>
      </c>
      <c r="CD2266" s="319" t="str">
        <f t="shared" si="1387"/>
        <v/>
      </c>
      <c r="CE2266" s="319" t="str">
        <f t="shared" si="1387"/>
        <v/>
      </c>
      <c r="CF2266" s="319" t="str">
        <f t="shared" si="1387"/>
        <v/>
      </c>
      <c r="CG2266" s="319" t="str">
        <f t="shared" si="1387"/>
        <v/>
      </c>
      <c r="CH2266" s="319" t="str">
        <f t="shared" si="1387"/>
        <v/>
      </c>
      <c r="CI2266" s="319" t="str">
        <f t="shared" si="1387"/>
        <v/>
      </c>
      <c r="CJ2266" s="319" t="str">
        <f t="shared" si="1387"/>
        <v/>
      </c>
      <c r="CK2266" s="342">
        <f t="shared" si="182"/>
        <v>0</v>
      </c>
      <c r="CL2266" s="333">
        <f t="shared" si="183"/>
        <v>0</v>
      </c>
      <c r="CM2266" s="1079"/>
      <c r="CN2266" s="1005" t="s">
        <v>3366</v>
      </c>
      <c r="CO2266" s="1005"/>
      <c r="CP2266" s="1005"/>
    </row>
    <row r="2267">
      <c r="A2267" s="266"/>
      <c r="B2267" s="1113" t="s">
        <v>2240</v>
      </c>
      <c r="C2267" s="1304">
        <v>45967.0</v>
      </c>
      <c r="D2267" s="103"/>
      <c r="E2267" s="1108" t="s">
        <v>1853</v>
      </c>
      <c r="F2267" s="112" t="s">
        <v>3372</v>
      </c>
      <c r="G2267" s="1110">
        <v>0.43524305555555554</v>
      </c>
      <c r="H2267" s="1110">
        <v>0.4357638888888889</v>
      </c>
      <c r="I2267" s="1110">
        <v>0.436400462962963</v>
      </c>
      <c r="J2267" s="1111">
        <v>6.365740740740741E-4</v>
      </c>
      <c r="K2267" s="1111"/>
      <c r="L2267" s="1112"/>
      <c r="M2267" s="1113" t="s">
        <v>358</v>
      </c>
      <c r="N2267" s="110" t="s">
        <v>187</v>
      </c>
      <c r="O2267" s="1115" t="s">
        <v>203</v>
      </c>
      <c r="P2267" s="1115" t="s">
        <v>282</v>
      </c>
      <c r="Q2267" s="1116"/>
      <c r="R2267" s="120">
        <v>14.6</v>
      </c>
      <c r="S2267" s="1113">
        <v>-3.5</v>
      </c>
      <c r="T2267" s="110">
        <v>0.16</v>
      </c>
      <c r="U2267" s="1108">
        <v>7.0</v>
      </c>
      <c r="V2267" s="1108">
        <v>25.2</v>
      </c>
      <c r="W2267" s="1108">
        <v>0.0524420896481695</v>
      </c>
      <c r="X2267" s="1303">
        <v>0.0075</v>
      </c>
      <c r="Y2267" s="1108" t="s">
        <v>2242</v>
      </c>
      <c r="Z2267" s="1114" t="s">
        <v>357</v>
      </c>
      <c r="AA2267" s="1114">
        <v>92.5</v>
      </c>
      <c r="AB2267" s="1114" t="s">
        <v>3268</v>
      </c>
      <c r="AC2267" s="1117">
        <v>10.0</v>
      </c>
      <c r="AD2267" s="1115" t="s">
        <v>1949</v>
      </c>
      <c r="AE2267" s="1115"/>
      <c r="AF2267" s="1115">
        <v>0.7</v>
      </c>
      <c r="AG2267" s="1115">
        <v>5.6</v>
      </c>
      <c r="AH2267" s="1115" t="s">
        <v>323</v>
      </c>
      <c r="AI2267" s="1115">
        <v>71.3</v>
      </c>
      <c r="AJ2267" s="1117">
        <v>0.7</v>
      </c>
      <c r="AK2267" s="1118"/>
      <c r="AL2267" s="1115"/>
      <c r="AM2267" s="1115"/>
      <c r="AN2267" s="1115">
        <v>0.70000000000002</v>
      </c>
      <c r="AO2267" s="1115"/>
      <c r="AP2267" s="1115"/>
      <c r="AQ2267" s="1115"/>
      <c r="AR2267" s="1115"/>
      <c r="AS2267" s="1117"/>
      <c r="AT2267" s="1196" t="str">
        <f t="shared" si="428"/>
        <v>1-10</v>
      </c>
      <c r="AU2267" s="1193"/>
      <c r="AV2267" s="330">
        <f>SQRT(($R2267-Infrastructure!J$3)^2+($S2267-Infrastructure!K$3)^2)</f>
        <v>35.66188441</v>
      </c>
      <c r="AW2267" s="331">
        <f>SQRT(($R2267-Infrastructure!J$4)^2+($S2267-Infrastructure!K$4)^2)</f>
        <v>25.99423013</v>
      </c>
      <c r="AX2267" s="331">
        <f>SQRT(($R2267-Infrastructure!J$5)^2+($S2267-Infrastructure!K$5)^2)</f>
        <v>17.20377865</v>
      </c>
      <c r="AY2267" s="331">
        <f>SQRT(($R2267-Infrastructure!J$6)^2+($S2267-Infrastructure!K$6)^2)</f>
        <v>5.889821729</v>
      </c>
      <c r="AZ2267" s="331">
        <f>SQRT(($R2267-Infrastructure!J$7)^2+($S2267-Infrastructure!K$7)^2)</f>
        <v>7.017834424</v>
      </c>
      <c r="BA2267" s="331">
        <f>SQRT(($R2267-Infrastructure!J$8)^2+($S2267-Infrastructure!K$8)^2)</f>
        <v>15.95900999</v>
      </c>
      <c r="BB2267" s="331">
        <f>SQRT(($R2267-Infrastructure!J$9)^2+($S2267-Infrastructure!K$9)^2)</f>
        <v>26.81641288</v>
      </c>
      <c r="BC2267" s="331">
        <f>SQRT(($R2267-Infrastructure!J$10)^2+($S2267-Infrastructure!K$10)^2)</f>
        <v>31.42308069</v>
      </c>
      <c r="BD2267" s="331">
        <f>SQRT(($R2267-Infrastructure!J$11)^2+($S2267-Infrastructure!K$11)^2)</f>
        <v>41.37160862</v>
      </c>
      <c r="BE2267" s="333">
        <f>SQRT(($R2267-Infrastructure!J$12)^2+($S2267-Infrastructure!K$12)^2)</f>
        <v>59.40210434</v>
      </c>
      <c r="BF2267" s="330">
        <f t="shared" si="161"/>
        <v>5.889821729</v>
      </c>
      <c r="BG2267" s="333">
        <f t="shared" si="162"/>
        <v>59.40210434</v>
      </c>
      <c r="BH2267" s="1119"/>
      <c r="BI2267" s="319" t="str">
        <f t="shared" ref="BI2267:BR2267" si="1388">IF(ISNUMBER(FIND(BI$3, $CO2267)), "Y", "")</f>
        <v/>
      </c>
      <c r="BJ2267" s="319" t="str">
        <f t="shared" si="1388"/>
        <v/>
      </c>
      <c r="BK2267" s="319" t="str">
        <f t="shared" si="1388"/>
        <v/>
      </c>
      <c r="BL2267" s="319" t="str">
        <f t="shared" si="1388"/>
        <v/>
      </c>
      <c r="BM2267" s="319" t="str">
        <f t="shared" si="1388"/>
        <v/>
      </c>
      <c r="BN2267" s="319" t="str">
        <f t="shared" si="1388"/>
        <v/>
      </c>
      <c r="BO2267" s="319" t="str">
        <f t="shared" si="1388"/>
        <v/>
      </c>
      <c r="BP2267" s="319" t="str">
        <f t="shared" si="1388"/>
        <v/>
      </c>
      <c r="BQ2267" s="319" t="str">
        <f t="shared" si="1388"/>
        <v/>
      </c>
      <c r="BR2267" s="319" t="str">
        <f t="shared" si="1388"/>
        <v/>
      </c>
      <c r="BS2267" s="330">
        <f t="shared" si="185"/>
        <v>0</v>
      </c>
      <c r="BT2267" s="331">
        <f t="shared" si="170"/>
        <v>0</v>
      </c>
      <c r="BU2267" s="920"/>
      <c r="BV2267" s="903" t="str">
        <f t="shared" si="1244"/>
        <v/>
      </c>
      <c r="BW2267" s="908"/>
      <c r="BX2267" s="908"/>
      <c r="BY2267" s="331" t="b">
        <f t="shared" si="201"/>
        <v>0</v>
      </c>
      <c r="BZ2267" s="331"/>
      <c r="CA2267" s="462" t="str">
        <f t="shared" ref="CA2267:CJ2267" si="1389">IF(ISNUMBER(FIND(BI$3, $CP2267)), "Y", "")</f>
        <v/>
      </c>
      <c r="CB2267" s="319" t="str">
        <f t="shared" si="1389"/>
        <v/>
      </c>
      <c r="CC2267" s="319" t="str">
        <f t="shared" si="1389"/>
        <v/>
      </c>
      <c r="CD2267" s="319" t="str">
        <f t="shared" si="1389"/>
        <v/>
      </c>
      <c r="CE2267" s="319" t="str">
        <f t="shared" si="1389"/>
        <v/>
      </c>
      <c r="CF2267" s="319" t="str">
        <f t="shared" si="1389"/>
        <v/>
      </c>
      <c r="CG2267" s="319" t="str">
        <f t="shared" si="1389"/>
        <v/>
      </c>
      <c r="CH2267" s="319" t="str">
        <f t="shared" si="1389"/>
        <v/>
      </c>
      <c r="CI2267" s="319" t="str">
        <f t="shared" si="1389"/>
        <v/>
      </c>
      <c r="CJ2267" s="319" t="str">
        <f t="shared" si="1389"/>
        <v/>
      </c>
      <c r="CK2267" s="342">
        <f t="shared" si="182"/>
        <v>0</v>
      </c>
      <c r="CL2267" s="333">
        <f t="shared" si="183"/>
        <v>0</v>
      </c>
      <c r="CM2267" s="1079"/>
      <c r="CN2267" s="1005" t="s">
        <v>3366</v>
      </c>
      <c r="CO2267" s="1005"/>
      <c r="CP2267" s="1005"/>
    </row>
    <row r="2268">
      <c r="A2268" s="266"/>
      <c r="B2268" s="1113" t="s">
        <v>2240</v>
      </c>
      <c r="C2268" s="1304">
        <v>45967.0</v>
      </c>
      <c r="D2268" s="103"/>
      <c r="E2268" s="1108" t="s">
        <v>1874</v>
      </c>
      <c r="F2268" s="112" t="s">
        <v>3373</v>
      </c>
      <c r="G2268" s="1110">
        <v>0.4391203703703704</v>
      </c>
      <c r="H2268" s="1110">
        <v>0.43929398148148147</v>
      </c>
      <c r="I2268" s="1110">
        <v>0.4402199074074074</v>
      </c>
      <c r="J2268" s="1111">
        <v>9.25925925925926E-4</v>
      </c>
      <c r="K2268" s="1111"/>
      <c r="L2268" s="1112"/>
      <c r="M2268" s="1113" t="s">
        <v>358</v>
      </c>
      <c r="N2268" s="110" t="s">
        <v>187</v>
      </c>
      <c r="O2268" s="1115" t="s">
        <v>203</v>
      </c>
      <c r="P2268" s="1115" t="s">
        <v>282</v>
      </c>
      <c r="Q2268" s="1116"/>
      <c r="R2268" s="120">
        <v>14.6</v>
      </c>
      <c r="S2268" s="1113">
        <v>-3.5</v>
      </c>
      <c r="T2268" s="110">
        <v>0.16</v>
      </c>
      <c r="U2268" s="1108">
        <v>5.0</v>
      </c>
      <c r="V2268" s="1108">
        <v>18.0</v>
      </c>
      <c r="W2268" s="1108">
        <v>0.0407274579777983</v>
      </c>
      <c r="X2268" s="1303">
        <v>0.0081</v>
      </c>
      <c r="Y2268" s="1108" t="s">
        <v>2242</v>
      </c>
      <c r="Z2268" s="1114" t="s">
        <v>357</v>
      </c>
      <c r="AA2268" s="1114">
        <v>84.0</v>
      </c>
      <c r="AB2268" s="1114" t="s">
        <v>3268</v>
      </c>
      <c r="AC2268" s="1117">
        <v>10.0</v>
      </c>
      <c r="AD2268" s="1115" t="s">
        <v>1949</v>
      </c>
      <c r="AE2268" s="1115"/>
      <c r="AF2268" s="1115">
        <v>0.5</v>
      </c>
      <c r="AG2268" s="1115">
        <v>4.0</v>
      </c>
      <c r="AH2268" s="1115" t="s">
        <v>323</v>
      </c>
      <c r="AI2268" s="1115">
        <v>50.9</v>
      </c>
      <c r="AJ2268" s="1117">
        <v>0.47</v>
      </c>
      <c r="AK2268" s="1118"/>
      <c r="AL2268" s="1115"/>
      <c r="AM2268" s="1115"/>
      <c r="AN2268" s="1115">
        <v>0.474999999999994</v>
      </c>
      <c r="AO2268" s="1115"/>
      <c r="AP2268" s="1115"/>
      <c r="AQ2268" s="1115"/>
      <c r="AR2268" s="1115"/>
      <c r="AS2268" s="1117"/>
      <c r="AT2268" s="1196" t="str">
        <f t="shared" si="428"/>
        <v>1-10</v>
      </c>
      <c r="AU2268" s="1193"/>
      <c r="AV2268" s="330">
        <f>SQRT(($R2268-Infrastructure!J$3)^2+($S2268-Infrastructure!K$3)^2)</f>
        <v>35.66188441</v>
      </c>
      <c r="AW2268" s="331">
        <f>SQRT(($R2268-Infrastructure!J$4)^2+($S2268-Infrastructure!K$4)^2)</f>
        <v>25.99423013</v>
      </c>
      <c r="AX2268" s="331">
        <f>SQRT(($R2268-Infrastructure!J$5)^2+($S2268-Infrastructure!K$5)^2)</f>
        <v>17.20377865</v>
      </c>
      <c r="AY2268" s="331">
        <f>SQRT(($R2268-Infrastructure!J$6)^2+($S2268-Infrastructure!K$6)^2)</f>
        <v>5.889821729</v>
      </c>
      <c r="AZ2268" s="331">
        <f>SQRT(($R2268-Infrastructure!J$7)^2+($S2268-Infrastructure!K$7)^2)</f>
        <v>7.017834424</v>
      </c>
      <c r="BA2268" s="331">
        <f>SQRT(($R2268-Infrastructure!J$8)^2+($S2268-Infrastructure!K$8)^2)</f>
        <v>15.95900999</v>
      </c>
      <c r="BB2268" s="331">
        <f>SQRT(($R2268-Infrastructure!J$9)^2+($S2268-Infrastructure!K$9)^2)</f>
        <v>26.81641288</v>
      </c>
      <c r="BC2268" s="331">
        <f>SQRT(($R2268-Infrastructure!J$10)^2+($S2268-Infrastructure!K$10)^2)</f>
        <v>31.42308069</v>
      </c>
      <c r="BD2268" s="331">
        <f>SQRT(($R2268-Infrastructure!J$11)^2+($S2268-Infrastructure!K$11)^2)</f>
        <v>41.37160862</v>
      </c>
      <c r="BE2268" s="333">
        <f>SQRT(($R2268-Infrastructure!J$12)^2+($S2268-Infrastructure!K$12)^2)</f>
        <v>59.40210434</v>
      </c>
      <c r="BF2268" s="330">
        <f t="shared" si="161"/>
        <v>5.889821729</v>
      </c>
      <c r="BG2268" s="333">
        <f t="shared" si="162"/>
        <v>59.40210434</v>
      </c>
      <c r="BH2268" s="1119"/>
      <c r="BI2268" s="319" t="str">
        <f t="shared" ref="BI2268:BR2268" si="1390">IF(ISNUMBER(FIND(BI$3, $CO2268)), "Y", "")</f>
        <v/>
      </c>
      <c r="BJ2268" s="319" t="str">
        <f t="shared" si="1390"/>
        <v/>
      </c>
      <c r="BK2268" s="319" t="str">
        <f t="shared" si="1390"/>
        <v/>
      </c>
      <c r="BL2268" s="319" t="str">
        <f t="shared" si="1390"/>
        <v/>
      </c>
      <c r="BM2268" s="319" t="str">
        <f t="shared" si="1390"/>
        <v/>
      </c>
      <c r="BN2268" s="319" t="str">
        <f t="shared" si="1390"/>
        <v/>
      </c>
      <c r="BO2268" s="319" t="str">
        <f t="shared" si="1390"/>
        <v/>
      </c>
      <c r="BP2268" s="319" t="str">
        <f t="shared" si="1390"/>
        <v/>
      </c>
      <c r="BQ2268" s="319" t="str">
        <f t="shared" si="1390"/>
        <v/>
      </c>
      <c r="BR2268" s="319" t="str">
        <f t="shared" si="1390"/>
        <v/>
      </c>
      <c r="BS2268" s="330">
        <f t="shared" si="185"/>
        <v>0</v>
      </c>
      <c r="BT2268" s="331">
        <f t="shared" si="170"/>
        <v>0</v>
      </c>
      <c r="BU2268" s="920"/>
      <c r="BV2268" s="903" t="str">
        <f t="shared" si="1244"/>
        <v/>
      </c>
      <c r="BW2268" s="908"/>
      <c r="BX2268" s="908"/>
      <c r="BY2268" s="331" t="b">
        <f t="shared" si="201"/>
        <v>0</v>
      </c>
      <c r="BZ2268" s="331"/>
      <c r="CA2268" s="462" t="str">
        <f t="shared" ref="CA2268:CJ2268" si="1391">IF(ISNUMBER(FIND(BI$3, $CP2268)), "Y", "")</f>
        <v/>
      </c>
      <c r="CB2268" s="319" t="str">
        <f t="shared" si="1391"/>
        <v/>
      </c>
      <c r="CC2268" s="319" t="str">
        <f t="shared" si="1391"/>
        <v/>
      </c>
      <c r="CD2268" s="319" t="str">
        <f t="shared" si="1391"/>
        <v/>
      </c>
      <c r="CE2268" s="319" t="str">
        <f t="shared" si="1391"/>
        <v/>
      </c>
      <c r="CF2268" s="319" t="str">
        <f t="shared" si="1391"/>
        <v/>
      </c>
      <c r="CG2268" s="319" t="str">
        <f t="shared" si="1391"/>
        <v/>
      </c>
      <c r="CH2268" s="319" t="str">
        <f t="shared" si="1391"/>
        <v/>
      </c>
      <c r="CI2268" s="319" t="str">
        <f t="shared" si="1391"/>
        <v/>
      </c>
      <c r="CJ2268" s="319" t="str">
        <f t="shared" si="1391"/>
        <v/>
      </c>
      <c r="CK2268" s="342">
        <f t="shared" si="182"/>
        <v>0</v>
      </c>
      <c r="CL2268" s="333">
        <f t="shared" si="183"/>
        <v>0</v>
      </c>
      <c r="CM2268" s="1079"/>
      <c r="CN2268" s="1005" t="s">
        <v>3366</v>
      </c>
      <c r="CO2268" s="1005"/>
      <c r="CP2268" s="1005"/>
    </row>
    <row r="2269">
      <c r="A2269" s="266"/>
      <c r="B2269" s="1113" t="s">
        <v>2240</v>
      </c>
      <c r="C2269" s="1304">
        <v>45967.0</v>
      </c>
      <c r="D2269" s="103"/>
      <c r="E2269" s="1108" t="s">
        <v>1899</v>
      </c>
      <c r="F2269" s="112" t="s">
        <v>3374</v>
      </c>
      <c r="G2269" s="1110">
        <v>0.4409722222222222</v>
      </c>
      <c r="H2269" s="1110">
        <v>0.44131944444444443</v>
      </c>
      <c r="I2269" s="1110">
        <v>0.44212962962962965</v>
      </c>
      <c r="J2269" s="1111">
        <v>8.101851851851852E-4</v>
      </c>
      <c r="K2269" s="1111"/>
      <c r="L2269" s="1112"/>
      <c r="M2269" s="1113" t="s">
        <v>358</v>
      </c>
      <c r="N2269" s="110" t="s">
        <v>187</v>
      </c>
      <c r="O2269" s="1115" t="s">
        <v>203</v>
      </c>
      <c r="P2269" s="1115" t="s">
        <v>282</v>
      </c>
      <c r="Q2269" s="1116"/>
      <c r="R2269" s="120">
        <v>14.6</v>
      </c>
      <c r="S2269" s="1113">
        <v>-3.5</v>
      </c>
      <c r="T2269" s="110">
        <v>0.16</v>
      </c>
      <c r="U2269" s="1108">
        <v>3.0</v>
      </c>
      <c r="V2269" s="1108">
        <v>10.8</v>
      </c>
      <c r="W2269" s="1108">
        <v>0.0299973237695187</v>
      </c>
      <c r="X2269" s="1303">
        <v>0.01</v>
      </c>
      <c r="Y2269" s="1108" t="s">
        <v>2242</v>
      </c>
      <c r="Z2269" s="1114" t="s">
        <v>357</v>
      </c>
      <c r="AA2269" s="1114">
        <v>71.0</v>
      </c>
      <c r="AB2269" s="1114" t="s">
        <v>3268</v>
      </c>
      <c r="AC2269" s="1117">
        <v>10.0</v>
      </c>
      <c r="AD2269" s="1115" t="s">
        <v>1949</v>
      </c>
      <c r="AE2269" s="1115"/>
      <c r="AF2269" s="1115">
        <v>0.3</v>
      </c>
      <c r="AG2269" s="1115">
        <v>2.4</v>
      </c>
      <c r="AH2269" s="1115" t="s">
        <v>323</v>
      </c>
      <c r="AI2269" s="1115">
        <v>30.6</v>
      </c>
      <c r="AJ2269" s="1117">
        <v>0.3</v>
      </c>
      <c r="AK2269" s="1118"/>
      <c r="AL2269" s="1115"/>
      <c r="AM2269" s="1115"/>
      <c r="AN2269" s="1115">
        <v>0.300000000000009</v>
      </c>
      <c r="AO2269" s="1115"/>
      <c r="AP2269" s="1115"/>
      <c r="AQ2269" s="1115"/>
      <c r="AR2269" s="1115"/>
      <c r="AS2269" s="1117"/>
      <c r="AT2269" s="1196" t="str">
        <f t="shared" si="428"/>
        <v>1-10</v>
      </c>
      <c r="AU2269" s="1193"/>
      <c r="AV2269" s="330">
        <f>SQRT(($R2269-Infrastructure!J$3)^2+($S2269-Infrastructure!K$3)^2)</f>
        <v>35.66188441</v>
      </c>
      <c r="AW2269" s="331">
        <f>SQRT(($R2269-Infrastructure!J$4)^2+($S2269-Infrastructure!K$4)^2)</f>
        <v>25.99423013</v>
      </c>
      <c r="AX2269" s="331">
        <f>SQRT(($R2269-Infrastructure!J$5)^2+($S2269-Infrastructure!K$5)^2)</f>
        <v>17.20377865</v>
      </c>
      <c r="AY2269" s="331">
        <f>SQRT(($R2269-Infrastructure!J$6)^2+($S2269-Infrastructure!K$6)^2)</f>
        <v>5.889821729</v>
      </c>
      <c r="AZ2269" s="331">
        <f>SQRT(($R2269-Infrastructure!J$7)^2+($S2269-Infrastructure!K$7)^2)</f>
        <v>7.017834424</v>
      </c>
      <c r="BA2269" s="331">
        <f>SQRT(($R2269-Infrastructure!J$8)^2+($S2269-Infrastructure!K$8)^2)</f>
        <v>15.95900999</v>
      </c>
      <c r="BB2269" s="331">
        <f>SQRT(($R2269-Infrastructure!J$9)^2+($S2269-Infrastructure!K$9)^2)</f>
        <v>26.81641288</v>
      </c>
      <c r="BC2269" s="331">
        <f>SQRT(($R2269-Infrastructure!J$10)^2+($S2269-Infrastructure!K$10)^2)</f>
        <v>31.42308069</v>
      </c>
      <c r="BD2269" s="331">
        <f>SQRT(($R2269-Infrastructure!J$11)^2+($S2269-Infrastructure!K$11)^2)</f>
        <v>41.37160862</v>
      </c>
      <c r="BE2269" s="333">
        <f>SQRT(($R2269-Infrastructure!J$12)^2+($S2269-Infrastructure!K$12)^2)</f>
        <v>59.40210434</v>
      </c>
      <c r="BF2269" s="330">
        <f t="shared" si="161"/>
        <v>5.889821729</v>
      </c>
      <c r="BG2269" s="333">
        <f t="shared" si="162"/>
        <v>59.40210434</v>
      </c>
      <c r="BH2269" s="1119"/>
      <c r="BI2269" s="319" t="str">
        <f t="shared" ref="BI2269:BR2269" si="1392">IF(ISNUMBER(FIND(BI$3, $CO2269)), "Y", "")</f>
        <v/>
      </c>
      <c r="BJ2269" s="319" t="str">
        <f t="shared" si="1392"/>
        <v/>
      </c>
      <c r="BK2269" s="319" t="str">
        <f t="shared" si="1392"/>
        <v/>
      </c>
      <c r="BL2269" s="319" t="str">
        <f t="shared" si="1392"/>
        <v/>
      </c>
      <c r="BM2269" s="319" t="str">
        <f t="shared" si="1392"/>
        <v/>
      </c>
      <c r="BN2269" s="319" t="str">
        <f t="shared" si="1392"/>
        <v/>
      </c>
      <c r="BO2269" s="319" t="str">
        <f t="shared" si="1392"/>
        <v/>
      </c>
      <c r="BP2269" s="319" t="str">
        <f t="shared" si="1392"/>
        <v/>
      </c>
      <c r="BQ2269" s="319" t="str">
        <f t="shared" si="1392"/>
        <v/>
      </c>
      <c r="BR2269" s="319" t="str">
        <f t="shared" si="1392"/>
        <v/>
      </c>
      <c r="BS2269" s="330">
        <f t="shared" si="185"/>
        <v>0</v>
      </c>
      <c r="BT2269" s="331">
        <f t="shared" si="170"/>
        <v>0</v>
      </c>
      <c r="BU2269" s="920"/>
      <c r="BV2269" s="903" t="str">
        <f t="shared" si="1244"/>
        <v/>
      </c>
      <c r="BW2269" s="908"/>
      <c r="BX2269" s="908"/>
      <c r="BY2269" s="331" t="b">
        <f t="shared" si="201"/>
        <v>0</v>
      </c>
      <c r="BZ2269" s="331"/>
      <c r="CA2269" s="462" t="str">
        <f t="shared" ref="CA2269:CJ2269" si="1393">IF(ISNUMBER(FIND(BI$3, $CP2269)), "Y", "")</f>
        <v/>
      </c>
      <c r="CB2269" s="319" t="str">
        <f t="shared" si="1393"/>
        <v/>
      </c>
      <c r="CC2269" s="319" t="str">
        <f t="shared" si="1393"/>
        <v/>
      </c>
      <c r="CD2269" s="319" t="str">
        <f t="shared" si="1393"/>
        <v/>
      </c>
      <c r="CE2269" s="319" t="str">
        <f t="shared" si="1393"/>
        <v/>
      </c>
      <c r="CF2269" s="319" t="str">
        <f t="shared" si="1393"/>
        <v/>
      </c>
      <c r="CG2269" s="319" t="str">
        <f t="shared" si="1393"/>
        <v/>
      </c>
      <c r="CH2269" s="319" t="str">
        <f t="shared" si="1393"/>
        <v/>
      </c>
      <c r="CI2269" s="319" t="str">
        <f t="shared" si="1393"/>
        <v/>
      </c>
      <c r="CJ2269" s="319" t="str">
        <f t="shared" si="1393"/>
        <v/>
      </c>
      <c r="CK2269" s="342">
        <f t="shared" si="182"/>
        <v>0</v>
      </c>
      <c r="CL2269" s="333">
        <f t="shared" si="183"/>
        <v>0</v>
      </c>
      <c r="CM2269" s="1079"/>
      <c r="CN2269" s="1005" t="s">
        <v>3366</v>
      </c>
      <c r="CO2269" s="1005"/>
      <c r="CP2269" s="1005"/>
    </row>
    <row r="2270">
      <c r="A2270" s="266"/>
      <c r="B2270" s="1113" t="s">
        <v>2240</v>
      </c>
      <c r="C2270" s="1304">
        <v>45967.0</v>
      </c>
      <c r="D2270" s="103"/>
      <c r="E2270" s="1108" t="s">
        <v>3375</v>
      </c>
      <c r="F2270" s="112" t="s">
        <v>3376</v>
      </c>
      <c r="G2270" s="1110">
        <v>0.44305555555555554</v>
      </c>
      <c r="H2270" s="1110">
        <v>0.44340277777777776</v>
      </c>
      <c r="I2270" s="1110">
        <v>0.44403935185185184</v>
      </c>
      <c r="J2270" s="1111">
        <v>6.365740740740741E-4</v>
      </c>
      <c r="K2270" s="1111"/>
      <c r="L2270" s="1112"/>
      <c r="M2270" s="1113" t="s">
        <v>358</v>
      </c>
      <c r="N2270" s="110" t="s">
        <v>187</v>
      </c>
      <c r="O2270" s="1115" t="s">
        <v>203</v>
      </c>
      <c r="P2270" s="1115" t="s">
        <v>282</v>
      </c>
      <c r="Q2270" s="1116"/>
      <c r="R2270" s="120">
        <v>14.6</v>
      </c>
      <c r="S2270" s="1113">
        <v>-3.5</v>
      </c>
      <c r="T2270" s="110">
        <v>0.16</v>
      </c>
      <c r="U2270" s="1108">
        <v>1.0</v>
      </c>
      <c r="V2270" s="1108">
        <v>3.6</v>
      </c>
      <c r="W2270" s="1108">
        <v>0.0214877817995871</v>
      </c>
      <c r="X2270" s="1303">
        <v>0.0215</v>
      </c>
      <c r="Y2270" s="1108" t="s">
        <v>2242</v>
      </c>
      <c r="Z2270" s="1114" t="s">
        <v>357</v>
      </c>
      <c r="AA2270" s="1114">
        <v>42.5</v>
      </c>
      <c r="AB2270" s="1114" t="s">
        <v>3268</v>
      </c>
      <c r="AC2270" s="1117">
        <v>10.0</v>
      </c>
      <c r="AD2270" s="1115" t="s">
        <v>1949</v>
      </c>
      <c r="AE2270" s="1115"/>
      <c r="AF2270" s="1115">
        <v>0.1</v>
      </c>
      <c r="AG2270" s="1115">
        <v>0.8</v>
      </c>
      <c r="AH2270" s="1115" t="s">
        <v>323</v>
      </c>
      <c r="AI2270" s="1115">
        <v>10.2</v>
      </c>
      <c r="AJ2270" s="1117">
        <v>0.09</v>
      </c>
      <c r="AK2270" s="1118"/>
      <c r="AL2270" s="1115"/>
      <c r="AM2270" s="1115"/>
      <c r="AN2270" s="1115">
        <v>0.0850000000000005</v>
      </c>
      <c r="AO2270" s="1115"/>
      <c r="AP2270" s="1115"/>
      <c r="AQ2270" s="1115"/>
      <c r="AR2270" s="1115"/>
      <c r="AS2270" s="1117"/>
      <c r="AT2270" s="1196" t="str">
        <f t="shared" si="428"/>
        <v>1-10</v>
      </c>
      <c r="AU2270" s="1193"/>
      <c r="AV2270" s="330">
        <f>SQRT(($R2270-Infrastructure!J$3)^2+($S2270-Infrastructure!K$3)^2)</f>
        <v>35.66188441</v>
      </c>
      <c r="AW2270" s="331">
        <f>SQRT(($R2270-Infrastructure!J$4)^2+($S2270-Infrastructure!K$4)^2)</f>
        <v>25.99423013</v>
      </c>
      <c r="AX2270" s="331">
        <f>SQRT(($R2270-Infrastructure!J$5)^2+($S2270-Infrastructure!K$5)^2)</f>
        <v>17.20377865</v>
      </c>
      <c r="AY2270" s="331">
        <f>SQRT(($R2270-Infrastructure!J$6)^2+($S2270-Infrastructure!K$6)^2)</f>
        <v>5.889821729</v>
      </c>
      <c r="AZ2270" s="331">
        <f>SQRT(($R2270-Infrastructure!J$7)^2+($S2270-Infrastructure!K$7)^2)</f>
        <v>7.017834424</v>
      </c>
      <c r="BA2270" s="331">
        <f>SQRT(($R2270-Infrastructure!J$8)^2+($S2270-Infrastructure!K$8)^2)</f>
        <v>15.95900999</v>
      </c>
      <c r="BB2270" s="331">
        <f>SQRT(($R2270-Infrastructure!J$9)^2+($S2270-Infrastructure!K$9)^2)</f>
        <v>26.81641288</v>
      </c>
      <c r="BC2270" s="331">
        <f>SQRT(($R2270-Infrastructure!J$10)^2+($S2270-Infrastructure!K$10)^2)</f>
        <v>31.42308069</v>
      </c>
      <c r="BD2270" s="331">
        <f>SQRT(($R2270-Infrastructure!J$11)^2+($S2270-Infrastructure!K$11)^2)</f>
        <v>41.37160862</v>
      </c>
      <c r="BE2270" s="333">
        <f>SQRT(($R2270-Infrastructure!J$12)^2+($S2270-Infrastructure!K$12)^2)</f>
        <v>59.40210434</v>
      </c>
      <c r="BF2270" s="330">
        <f t="shared" si="161"/>
        <v>5.889821729</v>
      </c>
      <c r="BG2270" s="333">
        <f t="shared" si="162"/>
        <v>59.40210434</v>
      </c>
      <c r="BH2270" s="1119"/>
      <c r="BI2270" s="319" t="str">
        <f t="shared" ref="BI2270:BR2270" si="1394">IF(ISNUMBER(FIND(BI$3, $CO2270)), "Y", "")</f>
        <v/>
      </c>
      <c r="BJ2270" s="319" t="str">
        <f t="shared" si="1394"/>
        <v/>
      </c>
      <c r="BK2270" s="319" t="str">
        <f t="shared" si="1394"/>
        <v/>
      </c>
      <c r="BL2270" s="319" t="str">
        <f t="shared" si="1394"/>
        <v/>
      </c>
      <c r="BM2270" s="319" t="str">
        <f t="shared" si="1394"/>
        <v/>
      </c>
      <c r="BN2270" s="319" t="str">
        <f t="shared" si="1394"/>
        <v/>
      </c>
      <c r="BO2270" s="319" t="str">
        <f t="shared" si="1394"/>
        <v/>
      </c>
      <c r="BP2270" s="319" t="str">
        <f t="shared" si="1394"/>
        <v/>
      </c>
      <c r="BQ2270" s="319" t="str">
        <f t="shared" si="1394"/>
        <v/>
      </c>
      <c r="BR2270" s="319" t="str">
        <f t="shared" si="1394"/>
        <v/>
      </c>
      <c r="BS2270" s="330">
        <f t="shared" si="185"/>
        <v>0</v>
      </c>
      <c r="BT2270" s="331">
        <f t="shared" si="170"/>
        <v>0</v>
      </c>
      <c r="BU2270" s="920"/>
      <c r="BV2270" s="903" t="str">
        <f t="shared" si="1244"/>
        <v/>
      </c>
      <c r="BW2270" s="908"/>
      <c r="BX2270" s="908"/>
      <c r="BY2270" s="331" t="b">
        <f t="shared" si="201"/>
        <v>0</v>
      </c>
      <c r="BZ2270" s="331"/>
      <c r="CA2270" s="462" t="str">
        <f t="shared" ref="CA2270:CJ2270" si="1395">IF(ISNUMBER(FIND(BI$3, $CP2270)), "Y", "")</f>
        <v/>
      </c>
      <c r="CB2270" s="319" t="str">
        <f t="shared" si="1395"/>
        <v/>
      </c>
      <c r="CC2270" s="319" t="str">
        <f t="shared" si="1395"/>
        <v/>
      </c>
      <c r="CD2270" s="319" t="str">
        <f t="shared" si="1395"/>
        <v/>
      </c>
      <c r="CE2270" s="319" t="str">
        <f t="shared" si="1395"/>
        <v/>
      </c>
      <c r="CF2270" s="319" t="str">
        <f t="shared" si="1395"/>
        <v/>
      </c>
      <c r="CG2270" s="319" t="str">
        <f t="shared" si="1395"/>
        <v/>
      </c>
      <c r="CH2270" s="319" t="str">
        <f t="shared" si="1395"/>
        <v/>
      </c>
      <c r="CI2270" s="319" t="str">
        <f t="shared" si="1395"/>
        <v/>
      </c>
      <c r="CJ2270" s="319" t="str">
        <f t="shared" si="1395"/>
        <v/>
      </c>
      <c r="CK2270" s="342">
        <f t="shared" si="182"/>
        <v>0</v>
      </c>
      <c r="CL2270" s="333">
        <f t="shared" si="183"/>
        <v>0</v>
      </c>
      <c r="CM2270" s="1079"/>
      <c r="CN2270" s="1005" t="s">
        <v>3366</v>
      </c>
      <c r="CO2270" s="1005"/>
      <c r="CP2270" s="1005"/>
    </row>
    <row r="2271">
      <c r="A2271" s="266"/>
      <c r="B2271" s="1113" t="s">
        <v>2240</v>
      </c>
      <c r="C2271" s="1304">
        <v>45967.0</v>
      </c>
      <c r="D2271" s="103"/>
      <c r="E2271" s="1108" t="s">
        <v>1356</v>
      </c>
      <c r="F2271" s="112" t="s">
        <v>3377</v>
      </c>
      <c r="G2271" s="1110">
        <v>0.4582175925925926</v>
      </c>
      <c r="H2271" s="1110">
        <v>0.4517361111111111</v>
      </c>
      <c r="I2271" s="1110">
        <v>0.45266203703703706</v>
      </c>
      <c r="J2271" s="1111">
        <v>9.25925925925926E-4</v>
      </c>
      <c r="K2271" s="1111"/>
      <c r="L2271" s="1112"/>
      <c r="M2271" s="1113" t="s">
        <v>358</v>
      </c>
      <c r="N2271" s="110" t="s">
        <v>187</v>
      </c>
      <c r="O2271" s="1115" t="s">
        <v>202</v>
      </c>
      <c r="P2271" s="1115" t="s">
        <v>254</v>
      </c>
      <c r="Q2271" s="1116"/>
      <c r="R2271" s="120">
        <v>24.4</v>
      </c>
      <c r="S2271" s="1113">
        <v>-7.7</v>
      </c>
      <c r="T2271" s="110">
        <v>0.57</v>
      </c>
      <c r="U2271" s="1108">
        <v>16.0</v>
      </c>
      <c r="V2271" s="1108">
        <v>57.6</v>
      </c>
      <c r="W2271" s="1108">
        <v>0.273592933144602</v>
      </c>
      <c r="X2271" s="1303">
        <v>0.0171</v>
      </c>
      <c r="Y2271" s="1108" t="s">
        <v>3334</v>
      </c>
      <c r="Z2271" s="1114" t="s">
        <v>1140</v>
      </c>
      <c r="AA2271" s="1114">
        <v>82.5</v>
      </c>
      <c r="AB2271" s="1114" t="s">
        <v>363</v>
      </c>
      <c r="AC2271" s="1117">
        <v>10.0</v>
      </c>
      <c r="AD2271" s="1115" t="s">
        <v>1949</v>
      </c>
      <c r="AE2271" s="1115"/>
      <c r="AF2271" s="1115">
        <v>1.6</v>
      </c>
      <c r="AG2271" s="1115">
        <v>12.8</v>
      </c>
      <c r="AH2271" s="1115" t="s">
        <v>323</v>
      </c>
      <c r="AI2271" s="1115">
        <v>163.0</v>
      </c>
      <c r="AJ2271" s="1117">
        <v>-7.68</v>
      </c>
      <c r="AK2271" s="1118"/>
      <c r="AL2271" s="1115"/>
      <c r="AM2271" s="1115"/>
      <c r="AN2271" s="1115">
        <v>-7.67999999999997</v>
      </c>
      <c r="AO2271" s="1115"/>
      <c r="AP2271" s="1115"/>
      <c r="AQ2271" s="1115"/>
      <c r="AR2271" s="1115"/>
      <c r="AS2271" s="1117"/>
      <c r="AT2271" s="1196" t="str">
        <f t="shared" si="428"/>
        <v>10+</v>
      </c>
      <c r="AU2271" s="1193"/>
      <c r="AV2271" s="330">
        <f>SQRT(($R2271-Infrastructure!J$3)^2+($S2271-Infrastructure!K$3)^2)</f>
        <v>44.15484118</v>
      </c>
      <c r="AW2271" s="331">
        <f>SQRT(($R2271-Infrastructure!J$4)^2+($S2271-Infrastructure!K$4)^2)</f>
        <v>35.50126758</v>
      </c>
      <c r="AX2271" s="331">
        <f>SQRT(($R2271-Infrastructure!J$5)^2+($S2271-Infrastructure!K$5)^2)</f>
        <v>27.81959741</v>
      </c>
      <c r="AY2271" s="331">
        <f>SQRT(($R2271-Infrastructure!J$6)^2+($S2271-Infrastructure!K$6)^2)</f>
        <v>16.38566447</v>
      </c>
      <c r="AZ2271" s="331">
        <f>SQRT(($R2271-Infrastructure!J$7)^2+($S2271-Infrastructure!K$7)^2)</f>
        <v>8.9</v>
      </c>
      <c r="BA2271" s="331">
        <f>SQRT(($R2271-Infrastructure!J$8)^2+($S2271-Infrastructure!K$8)^2)</f>
        <v>9.822932352</v>
      </c>
      <c r="BB2271" s="331">
        <f>SQRT(($R2271-Infrastructure!J$9)^2+($S2271-Infrastructure!K$9)^2)</f>
        <v>20.17919721</v>
      </c>
      <c r="BC2271" s="331">
        <f>SQRT(($R2271-Infrastructure!J$10)^2+($S2271-Infrastructure!K$10)^2)</f>
        <v>27.5436018</v>
      </c>
      <c r="BD2271" s="331">
        <f>SQRT(($R2271-Infrastructure!J$11)^2+($S2271-Infrastructure!K$11)^2)</f>
        <v>39.95660146</v>
      </c>
      <c r="BE2271" s="333">
        <f>SQRT(($R2271-Infrastructure!J$12)^2+($S2271-Infrastructure!K$12)^2)</f>
        <v>63.26649982</v>
      </c>
      <c r="BF2271" s="330">
        <f t="shared" si="161"/>
        <v>8.9</v>
      </c>
      <c r="BG2271" s="333">
        <f t="shared" si="162"/>
        <v>63.26649982</v>
      </c>
      <c r="BH2271" s="1119"/>
      <c r="BI2271" s="319" t="str">
        <f t="shared" ref="BI2271:BR2271" si="1396">IF(ISNUMBER(FIND(BI$3, $CO2271)), "Y", "")</f>
        <v/>
      </c>
      <c r="BJ2271" s="319" t="str">
        <f t="shared" si="1396"/>
        <v/>
      </c>
      <c r="BK2271" s="319" t="str">
        <f t="shared" si="1396"/>
        <v/>
      </c>
      <c r="BL2271" s="319" t="str">
        <f t="shared" si="1396"/>
        <v/>
      </c>
      <c r="BM2271" s="319" t="str">
        <f t="shared" si="1396"/>
        <v/>
      </c>
      <c r="BN2271" s="319" t="str">
        <f t="shared" si="1396"/>
        <v/>
      </c>
      <c r="BO2271" s="319" t="str">
        <f t="shared" si="1396"/>
        <v/>
      </c>
      <c r="BP2271" s="319" t="str">
        <f t="shared" si="1396"/>
        <v/>
      </c>
      <c r="BQ2271" s="319" t="str">
        <f t="shared" si="1396"/>
        <v/>
      </c>
      <c r="BR2271" s="319" t="str">
        <f t="shared" si="1396"/>
        <v/>
      </c>
      <c r="BS2271" s="330">
        <f t="shared" si="185"/>
        <v>0</v>
      </c>
      <c r="BT2271" s="331">
        <f t="shared" si="170"/>
        <v>0</v>
      </c>
      <c r="BU2271" s="920"/>
      <c r="BV2271" s="903" t="str">
        <f t="shared" si="1244"/>
        <v/>
      </c>
      <c r="BW2271" s="908"/>
      <c r="BX2271" s="908"/>
      <c r="BY2271" s="331" t="b">
        <f t="shared" si="201"/>
        <v>0</v>
      </c>
      <c r="BZ2271" s="331"/>
      <c r="CA2271" s="462" t="str">
        <f t="shared" ref="CA2271:CJ2271" si="1397">IF(ISNUMBER(FIND(BI$3, $CP2271)), "Y", "")</f>
        <v/>
      </c>
      <c r="CB2271" s="319" t="str">
        <f t="shared" si="1397"/>
        <v/>
      </c>
      <c r="CC2271" s="319" t="str">
        <f t="shared" si="1397"/>
        <v/>
      </c>
      <c r="CD2271" s="319" t="str">
        <f t="shared" si="1397"/>
        <v/>
      </c>
      <c r="CE2271" s="319" t="str">
        <f t="shared" si="1397"/>
        <v/>
      </c>
      <c r="CF2271" s="319" t="str">
        <f t="shared" si="1397"/>
        <v/>
      </c>
      <c r="CG2271" s="319" t="str">
        <f t="shared" si="1397"/>
        <v/>
      </c>
      <c r="CH2271" s="319" t="str">
        <f t="shared" si="1397"/>
        <v/>
      </c>
      <c r="CI2271" s="319" t="str">
        <f t="shared" si="1397"/>
        <v/>
      </c>
      <c r="CJ2271" s="319" t="str">
        <f t="shared" si="1397"/>
        <v/>
      </c>
      <c r="CK2271" s="342">
        <f t="shared" si="182"/>
        <v>0</v>
      </c>
      <c r="CL2271" s="333">
        <f t="shared" si="183"/>
        <v>0</v>
      </c>
      <c r="CM2271" s="1079"/>
      <c r="CN2271" s="1005" t="s">
        <v>3366</v>
      </c>
      <c r="CO2271" s="1005"/>
      <c r="CP2271" s="1005"/>
    </row>
    <row r="2272">
      <c r="A2272" s="266"/>
      <c r="B2272" s="1113" t="s">
        <v>2240</v>
      </c>
      <c r="C2272" s="1304">
        <v>45967.0</v>
      </c>
      <c r="D2272" s="103"/>
      <c r="E2272" s="1108" t="s">
        <v>1360</v>
      </c>
      <c r="F2272" s="112" t="s">
        <v>3378</v>
      </c>
      <c r="G2272" s="1110">
        <v>0.45439814814814816</v>
      </c>
      <c r="H2272" s="1110">
        <v>0.4548611111111111</v>
      </c>
      <c r="I2272" s="1110">
        <v>0.4556134259259259</v>
      </c>
      <c r="J2272" s="1111">
        <v>7.523148148148148E-4</v>
      </c>
      <c r="K2272" s="1111"/>
      <c r="L2272" s="1112"/>
      <c r="M2272" s="1113" t="s">
        <v>358</v>
      </c>
      <c r="N2272" s="110" t="s">
        <v>187</v>
      </c>
      <c r="O2272" s="1115" t="s">
        <v>202</v>
      </c>
      <c r="P2272" s="1115" t="s">
        <v>254</v>
      </c>
      <c r="Q2272" s="1116"/>
      <c r="R2272" s="120">
        <v>24.4</v>
      </c>
      <c r="S2272" s="1113">
        <v>-7.7</v>
      </c>
      <c r="T2272" s="110">
        <v>0.57</v>
      </c>
      <c r="U2272" s="1108">
        <v>13.5</v>
      </c>
      <c r="V2272" s="1108">
        <v>48.6</v>
      </c>
      <c r="W2272" s="1108">
        <v>0.267897717391047</v>
      </c>
      <c r="X2272" s="1303">
        <v>0.0198</v>
      </c>
      <c r="Y2272" s="1108" t="s">
        <v>3334</v>
      </c>
      <c r="Z2272" s="1114" t="s">
        <v>1140</v>
      </c>
      <c r="AA2272" s="1114">
        <v>78.0</v>
      </c>
      <c r="AB2272" s="1114" t="s">
        <v>363</v>
      </c>
      <c r="AC2272" s="1117">
        <v>10.0</v>
      </c>
      <c r="AD2272" s="1115" t="s">
        <v>1949</v>
      </c>
      <c r="AE2272" s="1115"/>
      <c r="AF2272" s="1115">
        <v>1.35</v>
      </c>
      <c r="AG2272" s="1115">
        <v>10.8</v>
      </c>
      <c r="AH2272" s="1115" t="s">
        <v>323</v>
      </c>
      <c r="AI2272" s="1115">
        <v>137.5</v>
      </c>
      <c r="AJ2272" s="1117">
        <v>1.42</v>
      </c>
      <c r="AK2272" s="1118"/>
      <c r="AL2272" s="1115"/>
      <c r="AM2272" s="1115"/>
      <c r="AN2272" s="1115">
        <v>1.41749999999996</v>
      </c>
      <c r="AO2272" s="1115"/>
      <c r="AP2272" s="1115"/>
      <c r="AQ2272" s="1115"/>
      <c r="AR2272" s="1115"/>
      <c r="AS2272" s="1117"/>
      <c r="AT2272" s="1196" t="str">
        <f t="shared" si="428"/>
        <v>10+</v>
      </c>
      <c r="AU2272" s="1193"/>
      <c r="AV2272" s="330">
        <f>SQRT(($R2272-Infrastructure!J$3)^2+($S2272-Infrastructure!K$3)^2)</f>
        <v>44.15484118</v>
      </c>
      <c r="AW2272" s="331">
        <f>SQRT(($R2272-Infrastructure!J$4)^2+($S2272-Infrastructure!K$4)^2)</f>
        <v>35.50126758</v>
      </c>
      <c r="AX2272" s="331">
        <f>SQRT(($R2272-Infrastructure!J$5)^2+($S2272-Infrastructure!K$5)^2)</f>
        <v>27.81959741</v>
      </c>
      <c r="AY2272" s="331">
        <f>SQRT(($R2272-Infrastructure!J$6)^2+($S2272-Infrastructure!K$6)^2)</f>
        <v>16.38566447</v>
      </c>
      <c r="AZ2272" s="331">
        <f>SQRT(($R2272-Infrastructure!J$7)^2+($S2272-Infrastructure!K$7)^2)</f>
        <v>8.9</v>
      </c>
      <c r="BA2272" s="331">
        <f>SQRT(($R2272-Infrastructure!J$8)^2+($S2272-Infrastructure!K$8)^2)</f>
        <v>9.822932352</v>
      </c>
      <c r="BB2272" s="331">
        <f>SQRT(($R2272-Infrastructure!J$9)^2+($S2272-Infrastructure!K$9)^2)</f>
        <v>20.17919721</v>
      </c>
      <c r="BC2272" s="331">
        <f>SQRT(($R2272-Infrastructure!J$10)^2+($S2272-Infrastructure!K$10)^2)</f>
        <v>27.5436018</v>
      </c>
      <c r="BD2272" s="331">
        <f>SQRT(($R2272-Infrastructure!J$11)^2+($S2272-Infrastructure!K$11)^2)</f>
        <v>39.95660146</v>
      </c>
      <c r="BE2272" s="333">
        <f>SQRT(($R2272-Infrastructure!J$12)^2+($S2272-Infrastructure!K$12)^2)</f>
        <v>63.26649982</v>
      </c>
      <c r="BF2272" s="330">
        <f t="shared" si="161"/>
        <v>8.9</v>
      </c>
      <c r="BG2272" s="333">
        <f t="shared" si="162"/>
        <v>63.26649982</v>
      </c>
      <c r="BH2272" s="1119"/>
      <c r="BI2272" s="319" t="str">
        <f t="shared" ref="BI2272:BR2272" si="1398">IF(ISNUMBER(FIND(BI$3, $CO2272)), "Y", "")</f>
        <v/>
      </c>
      <c r="BJ2272" s="319" t="str">
        <f t="shared" si="1398"/>
        <v/>
      </c>
      <c r="BK2272" s="319" t="str">
        <f t="shared" si="1398"/>
        <v/>
      </c>
      <c r="BL2272" s="319" t="str">
        <f t="shared" si="1398"/>
        <v/>
      </c>
      <c r="BM2272" s="319" t="str">
        <f t="shared" si="1398"/>
        <v/>
      </c>
      <c r="BN2272" s="319" t="str">
        <f t="shared" si="1398"/>
        <v/>
      </c>
      <c r="BO2272" s="319" t="str">
        <f t="shared" si="1398"/>
        <v/>
      </c>
      <c r="BP2272" s="319" t="str">
        <f t="shared" si="1398"/>
        <v/>
      </c>
      <c r="BQ2272" s="319" t="str">
        <f t="shared" si="1398"/>
        <v/>
      </c>
      <c r="BR2272" s="319" t="str">
        <f t="shared" si="1398"/>
        <v/>
      </c>
      <c r="BS2272" s="330">
        <f t="shared" si="185"/>
        <v>0</v>
      </c>
      <c r="BT2272" s="331">
        <f t="shared" si="170"/>
        <v>0</v>
      </c>
      <c r="BU2272" s="920"/>
      <c r="BV2272" s="903" t="str">
        <f t="shared" si="1244"/>
        <v/>
      </c>
      <c r="BW2272" s="908"/>
      <c r="BX2272" s="908"/>
      <c r="BY2272" s="331" t="b">
        <f t="shared" si="201"/>
        <v>0</v>
      </c>
      <c r="BZ2272" s="331"/>
      <c r="CA2272" s="462" t="str">
        <f t="shared" ref="CA2272:CJ2272" si="1399">IF(ISNUMBER(FIND(BI$3, $CP2272)), "Y", "")</f>
        <v/>
      </c>
      <c r="CB2272" s="319" t="str">
        <f t="shared" si="1399"/>
        <v/>
      </c>
      <c r="CC2272" s="319" t="str">
        <f t="shared" si="1399"/>
        <v/>
      </c>
      <c r="CD2272" s="319" t="str">
        <f t="shared" si="1399"/>
        <v/>
      </c>
      <c r="CE2272" s="319" t="str">
        <f t="shared" si="1399"/>
        <v/>
      </c>
      <c r="CF2272" s="319" t="str">
        <f t="shared" si="1399"/>
        <v/>
      </c>
      <c r="CG2272" s="319" t="str">
        <f t="shared" si="1399"/>
        <v/>
      </c>
      <c r="CH2272" s="319" t="str">
        <f t="shared" si="1399"/>
        <v/>
      </c>
      <c r="CI2272" s="319" t="str">
        <f t="shared" si="1399"/>
        <v/>
      </c>
      <c r="CJ2272" s="319" t="str">
        <f t="shared" si="1399"/>
        <v/>
      </c>
      <c r="CK2272" s="342">
        <f t="shared" si="182"/>
        <v>0</v>
      </c>
      <c r="CL2272" s="333">
        <f t="shared" si="183"/>
        <v>0</v>
      </c>
      <c r="CM2272" s="1079"/>
      <c r="CN2272" s="1005" t="s">
        <v>3366</v>
      </c>
      <c r="CO2272" s="1005"/>
      <c r="CP2272" s="1005"/>
    </row>
    <row r="2273">
      <c r="A2273" s="266"/>
      <c r="B2273" s="1113" t="s">
        <v>2240</v>
      </c>
      <c r="C2273" s="1304">
        <v>45967.0</v>
      </c>
      <c r="D2273" s="103"/>
      <c r="E2273" s="1108" t="s">
        <v>1362</v>
      </c>
      <c r="F2273" s="112" t="s">
        <v>3379</v>
      </c>
      <c r="G2273" s="1110">
        <v>0.4564814814814815</v>
      </c>
      <c r="H2273" s="1110">
        <v>0.456712962962963</v>
      </c>
      <c r="I2273" s="1110">
        <v>0.4579861111111111</v>
      </c>
      <c r="J2273" s="1111">
        <v>0.0012731481481481483</v>
      </c>
      <c r="K2273" s="1111"/>
      <c r="L2273" s="1112"/>
      <c r="M2273" s="1113" t="s">
        <v>358</v>
      </c>
      <c r="N2273" s="110" t="s">
        <v>187</v>
      </c>
      <c r="O2273" s="1115" t="s">
        <v>202</v>
      </c>
      <c r="P2273" s="1115" t="s">
        <v>254</v>
      </c>
      <c r="Q2273" s="1116"/>
      <c r="R2273" s="120">
        <v>24.4</v>
      </c>
      <c r="S2273" s="1113">
        <v>-7.7</v>
      </c>
      <c r="T2273" s="110">
        <v>0.57</v>
      </c>
      <c r="U2273" s="1108">
        <v>11.0</v>
      </c>
      <c r="V2273" s="1108">
        <v>39.6</v>
      </c>
      <c r="W2273" s="1108">
        <v>0.263260925825818</v>
      </c>
      <c r="X2273" s="1303">
        <v>0.0239</v>
      </c>
      <c r="Y2273" s="1108" t="s">
        <v>3334</v>
      </c>
      <c r="Z2273" s="1114" t="s">
        <v>1140</v>
      </c>
      <c r="AA2273" s="1114">
        <v>73.5</v>
      </c>
      <c r="AB2273" s="1114" t="s">
        <v>363</v>
      </c>
      <c r="AC2273" s="1117">
        <v>10.0</v>
      </c>
      <c r="AD2273" s="1115" t="s">
        <v>1949</v>
      </c>
      <c r="AE2273" s="1115"/>
      <c r="AF2273" s="1115">
        <v>1.1</v>
      </c>
      <c r="AG2273" s="1115">
        <v>8.8</v>
      </c>
      <c r="AH2273" s="1115" t="s">
        <v>323</v>
      </c>
      <c r="AI2273" s="1115">
        <v>112.1</v>
      </c>
      <c r="AJ2273" s="1117">
        <v>1.43</v>
      </c>
      <c r="AK2273" s="1118"/>
      <c r="AL2273" s="1115"/>
      <c r="AM2273" s="1115"/>
      <c r="AN2273" s="1115">
        <v>1.42999999999998</v>
      </c>
      <c r="AO2273" s="1115"/>
      <c r="AP2273" s="1115"/>
      <c r="AQ2273" s="1115"/>
      <c r="AR2273" s="1115"/>
      <c r="AS2273" s="1117"/>
      <c r="AT2273" s="1196" t="str">
        <f t="shared" si="428"/>
        <v>10+</v>
      </c>
      <c r="AU2273" s="1193"/>
      <c r="AV2273" s="330">
        <f>SQRT(($R2273-Infrastructure!J$3)^2+($S2273-Infrastructure!K$3)^2)</f>
        <v>44.15484118</v>
      </c>
      <c r="AW2273" s="331">
        <f>SQRT(($R2273-Infrastructure!J$4)^2+($S2273-Infrastructure!K$4)^2)</f>
        <v>35.50126758</v>
      </c>
      <c r="AX2273" s="331">
        <f>SQRT(($R2273-Infrastructure!J$5)^2+($S2273-Infrastructure!K$5)^2)</f>
        <v>27.81959741</v>
      </c>
      <c r="AY2273" s="331">
        <f>SQRT(($R2273-Infrastructure!J$6)^2+($S2273-Infrastructure!K$6)^2)</f>
        <v>16.38566447</v>
      </c>
      <c r="AZ2273" s="331">
        <f>SQRT(($R2273-Infrastructure!J$7)^2+($S2273-Infrastructure!K$7)^2)</f>
        <v>8.9</v>
      </c>
      <c r="BA2273" s="331">
        <f>SQRT(($R2273-Infrastructure!J$8)^2+($S2273-Infrastructure!K$8)^2)</f>
        <v>9.822932352</v>
      </c>
      <c r="BB2273" s="331">
        <f>SQRT(($R2273-Infrastructure!J$9)^2+($S2273-Infrastructure!K$9)^2)</f>
        <v>20.17919721</v>
      </c>
      <c r="BC2273" s="331">
        <f>SQRT(($R2273-Infrastructure!J$10)^2+($S2273-Infrastructure!K$10)^2)</f>
        <v>27.5436018</v>
      </c>
      <c r="BD2273" s="331">
        <f>SQRT(($R2273-Infrastructure!J$11)^2+($S2273-Infrastructure!K$11)^2)</f>
        <v>39.95660146</v>
      </c>
      <c r="BE2273" s="333">
        <f>SQRT(($R2273-Infrastructure!J$12)^2+($S2273-Infrastructure!K$12)^2)</f>
        <v>63.26649982</v>
      </c>
      <c r="BF2273" s="330">
        <f t="shared" si="161"/>
        <v>8.9</v>
      </c>
      <c r="BG2273" s="333">
        <f t="shared" si="162"/>
        <v>63.26649982</v>
      </c>
      <c r="BH2273" s="1119"/>
      <c r="BI2273" s="319" t="str">
        <f t="shared" ref="BI2273:BR2273" si="1400">IF(ISNUMBER(FIND(BI$3, $CO2273)), "Y", "")</f>
        <v/>
      </c>
      <c r="BJ2273" s="319" t="str">
        <f t="shared" si="1400"/>
        <v/>
      </c>
      <c r="BK2273" s="319" t="str">
        <f t="shared" si="1400"/>
        <v/>
      </c>
      <c r="BL2273" s="319" t="str">
        <f t="shared" si="1400"/>
        <v/>
      </c>
      <c r="BM2273" s="319" t="str">
        <f t="shared" si="1400"/>
        <v/>
      </c>
      <c r="BN2273" s="319" t="str">
        <f t="shared" si="1400"/>
        <v/>
      </c>
      <c r="BO2273" s="319" t="str">
        <f t="shared" si="1400"/>
        <v/>
      </c>
      <c r="BP2273" s="319" t="str">
        <f t="shared" si="1400"/>
        <v/>
      </c>
      <c r="BQ2273" s="319" t="str">
        <f t="shared" si="1400"/>
        <v/>
      </c>
      <c r="BR2273" s="319" t="str">
        <f t="shared" si="1400"/>
        <v/>
      </c>
      <c r="BS2273" s="330">
        <f t="shared" si="185"/>
        <v>0</v>
      </c>
      <c r="BT2273" s="331">
        <f t="shared" si="170"/>
        <v>0</v>
      </c>
      <c r="BU2273" s="920"/>
      <c r="BV2273" s="903" t="str">
        <f t="shared" si="1244"/>
        <v/>
      </c>
      <c r="BW2273" s="908"/>
      <c r="BX2273" s="908"/>
      <c r="BY2273" s="331" t="b">
        <f t="shared" si="201"/>
        <v>0</v>
      </c>
      <c r="BZ2273" s="331"/>
      <c r="CA2273" s="462" t="str">
        <f t="shared" ref="CA2273:CJ2273" si="1401">IF(ISNUMBER(FIND(BI$3, $CP2273)), "Y", "")</f>
        <v/>
      </c>
      <c r="CB2273" s="319" t="str">
        <f t="shared" si="1401"/>
        <v/>
      </c>
      <c r="CC2273" s="319" t="str">
        <f t="shared" si="1401"/>
        <v/>
      </c>
      <c r="CD2273" s="319" t="str">
        <f t="shared" si="1401"/>
        <v/>
      </c>
      <c r="CE2273" s="319" t="str">
        <f t="shared" si="1401"/>
        <v/>
      </c>
      <c r="CF2273" s="319" t="str">
        <f t="shared" si="1401"/>
        <v/>
      </c>
      <c r="CG2273" s="319" t="str">
        <f t="shared" si="1401"/>
        <v/>
      </c>
      <c r="CH2273" s="319" t="str">
        <f t="shared" si="1401"/>
        <v/>
      </c>
      <c r="CI2273" s="319" t="str">
        <f t="shared" si="1401"/>
        <v/>
      </c>
      <c r="CJ2273" s="319" t="str">
        <f t="shared" si="1401"/>
        <v/>
      </c>
      <c r="CK2273" s="342">
        <f t="shared" si="182"/>
        <v>0</v>
      </c>
      <c r="CL2273" s="333">
        <f t="shared" si="183"/>
        <v>0</v>
      </c>
      <c r="CM2273" s="1079"/>
      <c r="CN2273" s="1005" t="s">
        <v>3366</v>
      </c>
      <c r="CO2273" s="1005"/>
      <c r="CP2273" s="1005"/>
    </row>
    <row r="2274">
      <c r="A2274" s="266"/>
      <c r="B2274" s="1113" t="s">
        <v>2240</v>
      </c>
      <c r="C2274" s="1304">
        <v>45967.0</v>
      </c>
      <c r="D2274" s="103"/>
      <c r="E2274" s="1137"/>
      <c r="F2274" s="112" t="s">
        <v>3380</v>
      </c>
      <c r="G2274" s="1110">
        <v>0.5694444444444444</v>
      </c>
      <c r="H2274" s="1138"/>
      <c r="I2274" s="1110">
        <v>0.5708333333333333</v>
      </c>
      <c r="J2274" s="1111">
        <v>0.001388888888888889</v>
      </c>
      <c r="K2274" s="1111"/>
      <c r="L2274" s="1112"/>
      <c r="M2274" s="1113" t="s">
        <v>358</v>
      </c>
      <c r="N2274" s="110" t="s">
        <v>188</v>
      </c>
      <c r="O2274" s="1115" t="s">
        <v>3271</v>
      </c>
      <c r="P2274" s="1115" t="s">
        <v>294</v>
      </c>
      <c r="Q2274" s="1116"/>
      <c r="R2274" s="120" t="s">
        <v>323</v>
      </c>
      <c r="S2274" s="1113" t="s">
        <v>323</v>
      </c>
      <c r="T2274" s="110" t="s">
        <v>323</v>
      </c>
      <c r="U2274" s="1108" t="s">
        <v>323</v>
      </c>
      <c r="V2274" s="1108" t="s">
        <v>323</v>
      </c>
      <c r="W2274" s="1108" t="s">
        <v>323</v>
      </c>
      <c r="X2274" s="1108" t="s">
        <v>323</v>
      </c>
      <c r="Y2274" s="1108"/>
      <c r="Z2274" s="1114" t="s">
        <v>323</v>
      </c>
      <c r="AA2274" s="1114"/>
      <c r="AB2274" s="1114" t="s">
        <v>323</v>
      </c>
      <c r="AC2274" s="1117" t="s">
        <v>323</v>
      </c>
      <c r="AD2274" s="1115" t="s">
        <v>1949</v>
      </c>
      <c r="AE2274" s="1115"/>
      <c r="AF2274" s="1115" t="s">
        <v>323</v>
      </c>
      <c r="AG2274" s="1115" t="s">
        <v>323</v>
      </c>
      <c r="AH2274" s="1115" t="s">
        <v>323</v>
      </c>
      <c r="AI2274" s="1115" t="s">
        <v>323</v>
      </c>
      <c r="AJ2274" s="1117" t="s">
        <v>323</v>
      </c>
      <c r="AK2274" s="1118"/>
      <c r="AL2274" s="1115"/>
      <c r="AM2274" s="1115"/>
      <c r="AN2274" s="1115" t="s">
        <v>323</v>
      </c>
      <c r="AO2274" s="1115"/>
      <c r="AP2274" s="1115"/>
      <c r="AQ2274" s="1115"/>
      <c r="AR2274" s="1115"/>
      <c r="AS2274" s="1117"/>
      <c r="AT2274" s="1196" t="str">
        <f t="shared" si="428"/>
        <v/>
      </c>
      <c r="AU2274" s="1193"/>
      <c r="AV2274" s="330" t="str">
        <f>SQRT(($R2274-Infrastructure!J$3)^2+($S2274-Infrastructure!K$3)^2)</f>
        <v>#VALUE!</v>
      </c>
      <c r="AW2274" s="331" t="str">
        <f>SQRT(($R2274-Infrastructure!J$4)^2+($S2274-Infrastructure!K$4)^2)</f>
        <v>#VALUE!</v>
      </c>
      <c r="AX2274" s="331" t="str">
        <f>SQRT(($R2274-Infrastructure!J$5)^2+($S2274-Infrastructure!K$5)^2)</f>
        <v>#VALUE!</v>
      </c>
      <c r="AY2274" s="331" t="str">
        <f>SQRT(($R2274-Infrastructure!J$6)^2+($S2274-Infrastructure!K$6)^2)</f>
        <v>#VALUE!</v>
      </c>
      <c r="AZ2274" s="331" t="str">
        <f>SQRT(($R2274-Infrastructure!J$7)^2+($S2274-Infrastructure!K$7)^2)</f>
        <v>#VALUE!</v>
      </c>
      <c r="BA2274" s="331" t="str">
        <f>SQRT(($R2274-Infrastructure!J$8)^2+($S2274-Infrastructure!K$8)^2)</f>
        <v>#VALUE!</v>
      </c>
      <c r="BB2274" s="331" t="str">
        <f>SQRT(($R2274-Infrastructure!J$9)^2+($S2274-Infrastructure!K$9)^2)</f>
        <v>#VALUE!</v>
      </c>
      <c r="BC2274" s="331" t="str">
        <f>SQRT(($R2274-Infrastructure!J$10)^2+($S2274-Infrastructure!K$10)^2)</f>
        <v>#VALUE!</v>
      </c>
      <c r="BD2274" s="331" t="str">
        <f>SQRT(($R2274-Infrastructure!J$11)^2+($S2274-Infrastructure!K$11)^2)</f>
        <v>#VALUE!</v>
      </c>
      <c r="BE2274" s="333" t="str">
        <f>SQRT(($R2274-Infrastructure!J$12)^2+($S2274-Infrastructure!K$12)^2)</f>
        <v>#VALUE!</v>
      </c>
      <c r="BF2274" s="330" t="str">
        <f t="shared" si="161"/>
        <v>#VALUE!</v>
      </c>
      <c r="BG2274" s="333" t="str">
        <f t="shared" si="162"/>
        <v>#VALUE!</v>
      </c>
      <c r="BH2274" s="1119"/>
      <c r="BI2274" s="319" t="str">
        <f t="shared" ref="BI2274:BR2274" si="1402">IF(ISNUMBER(FIND(BI$3, $CO2274)), "Y", "")</f>
        <v/>
      </c>
      <c r="BJ2274" s="319" t="str">
        <f t="shared" si="1402"/>
        <v/>
      </c>
      <c r="BK2274" s="319" t="str">
        <f t="shared" si="1402"/>
        <v/>
      </c>
      <c r="BL2274" s="319" t="str">
        <f t="shared" si="1402"/>
        <v/>
      </c>
      <c r="BM2274" s="319" t="str">
        <f t="shared" si="1402"/>
        <v/>
      </c>
      <c r="BN2274" s="319" t="str">
        <f t="shared" si="1402"/>
        <v/>
      </c>
      <c r="BO2274" s="319" t="str">
        <f t="shared" si="1402"/>
        <v/>
      </c>
      <c r="BP2274" s="319" t="str">
        <f t="shared" si="1402"/>
        <v/>
      </c>
      <c r="BQ2274" s="319" t="str">
        <f t="shared" si="1402"/>
        <v/>
      </c>
      <c r="BR2274" s="319" t="str">
        <f t="shared" si="1402"/>
        <v/>
      </c>
      <c r="BS2274" s="330">
        <f t="shared" si="185"/>
        <v>0</v>
      </c>
      <c r="BT2274" s="331">
        <f t="shared" si="170"/>
        <v>0</v>
      </c>
      <c r="BU2274" s="920"/>
      <c r="BV2274" s="903" t="str">
        <f t="shared" si="1244"/>
        <v/>
      </c>
      <c r="BW2274" s="908"/>
      <c r="BX2274" s="908"/>
      <c r="BY2274" s="331" t="b">
        <f t="shared" si="201"/>
        <v>0</v>
      </c>
      <c r="BZ2274" s="331"/>
      <c r="CA2274" s="462" t="str">
        <f t="shared" ref="CA2274:CJ2274" si="1403">IF(ISNUMBER(FIND(BI$3, $CP2274)), "Y", "")</f>
        <v/>
      </c>
      <c r="CB2274" s="319" t="str">
        <f t="shared" si="1403"/>
        <v/>
      </c>
      <c r="CC2274" s="319" t="str">
        <f t="shared" si="1403"/>
        <v/>
      </c>
      <c r="CD2274" s="319" t="str">
        <f t="shared" si="1403"/>
        <v/>
      </c>
      <c r="CE2274" s="319" t="str">
        <f t="shared" si="1403"/>
        <v/>
      </c>
      <c r="CF2274" s="319" t="str">
        <f t="shared" si="1403"/>
        <v/>
      </c>
      <c r="CG2274" s="319" t="str">
        <f t="shared" si="1403"/>
        <v/>
      </c>
      <c r="CH2274" s="319" t="str">
        <f t="shared" si="1403"/>
        <v/>
      </c>
      <c r="CI2274" s="319" t="str">
        <f t="shared" si="1403"/>
        <v/>
      </c>
      <c r="CJ2274" s="319" t="str">
        <f t="shared" si="1403"/>
        <v/>
      </c>
      <c r="CK2274" s="342">
        <f t="shared" si="182"/>
        <v>0</v>
      </c>
      <c r="CL2274" s="333">
        <f t="shared" si="183"/>
        <v>0</v>
      </c>
      <c r="CM2274" s="1079"/>
      <c r="CN2274" s="1005" t="s">
        <v>3366</v>
      </c>
      <c r="CO2274" s="1005"/>
      <c r="CP2274" s="1005"/>
    </row>
    <row r="2275">
      <c r="A2275" s="1258"/>
      <c r="B2275" s="1129" t="s">
        <v>2240</v>
      </c>
      <c r="C2275" s="1305">
        <v>45967.0</v>
      </c>
      <c r="D2275" s="1123"/>
      <c r="E2275" s="1144"/>
      <c r="F2275" s="108" t="s">
        <v>3380</v>
      </c>
      <c r="G2275" s="1126">
        <v>0.6736111111111112</v>
      </c>
      <c r="H2275" s="1145"/>
      <c r="I2275" s="1126">
        <v>0.6746527777777778</v>
      </c>
      <c r="J2275" s="1127">
        <v>0.0010416666666666667</v>
      </c>
      <c r="K2275" s="1127"/>
      <c r="L2275" s="1128"/>
      <c r="M2275" s="1129" t="s">
        <v>358</v>
      </c>
      <c r="N2275" s="100" t="s">
        <v>188</v>
      </c>
      <c r="O2275" s="1131" t="s">
        <v>3271</v>
      </c>
      <c r="P2275" s="1131" t="s">
        <v>294</v>
      </c>
      <c r="Q2275" s="1132"/>
      <c r="R2275" s="137" t="s">
        <v>323</v>
      </c>
      <c r="S2275" s="1129" t="s">
        <v>323</v>
      </c>
      <c r="T2275" s="100" t="s">
        <v>323</v>
      </c>
      <c r="U2275" s="1124" t="s">
        <v>323</v>
      </c>
      <c r="V2275" s="1124" t="s">
        <v>323</v>
      </c>
      <c r="W2275" s="1124" t="s">
        <v>323</v>
      </c>
      <c r="X2275" s="1124" t="s">
        <v>323</v>
      </c>
      <c r="Y2275" s="1124"/>
      <c r="Z2275" s="1130" t="s">
        <v>323</v>
      </c>
      <c r="AA2275" s="1130"/>
      <c r="AB2275" s="1130" t="s">
        <v>323</v>
      </c>
      <c r="AC2275" s="1133" t="s">
        <v>323</v>
      </c>
      <c r="AD2275" s="1131" t="s">
        <v>1949</v>
      </c>
      <c r="AE2275" s="1131"/>
      <c r="AF2275" s="1131" t="s">
        <v>323</v>
      </c>
      <c r="AG2275" s="1131" t="s">
        <v>323</v>
      </c>
      <c r="AH2275" s="1131" t="s">
        <v>323</v>
      </c>
      <c r="AI2275" s="1131" t="s">
        <v>323</v>
      </c>
      <c r="AJ2275" s="1133" t="s">
        <v>323</v>
      </c>
      <c r="AK2275" s="1134"/>
      <c r="AL2275" s="1131"/>
      <c r="AM2275" s="1131"/>
      <c r="AN2275" s="1131" t="s">
        <v>323</v>
      </c>
      <c r="AO2275" s="1131"/>
      <c r="AP2275" s="1131"/>
      <c r="AQ2275" s="1131"/>
      <c r="AR2275" s="1131"/>
      <c r="AS2275" s="1133"/>
      <c r="AT2275" s="1197" t="str">
        <f t="shared" si="428"/>
        <v/>
      </c>
      <c r="AU2275" s="1194"/>
      <c r="AV2275" s="662" t="str">
        <f>SQRT(($R2275-Infrastructure!J$3)^2+($S2275-Infrastructure!K$3)^2)</f>
        <v>#VALUE!</v>
      </c>
      <c r="AW2275" s="641" t="str">
        <f>SQRT(($R2275-Infrastructure!J$4)^2+($S2275-Infrastructure!K$4)^2)</f>
        <v>#VALUE!</v>
      </c>
      <c r="AX2275" s="641" t="str">
        <f>SQRT(($R2275-Infrastructure!J$5)^2+($S2275-Infrastructure!K$5)^2)</f>
        <v>#VALUE!</v>
      </c>
      <c r="AY2275" s="641" t="str">
        <f>SQRT(($R2275-Infrastructure!J$6)^2+($S2275-Infrastructure!K$6)^2)</f>
        <v>#VALUE!</v>
      </c>
      <c r="AZ2275" s="641" t="str">
        <f>SQRT(($R2275-Infrastructure!J$7)^2+($S2275-Infrastructure!K$7)^2)</f>
        <v>#VALUE!</v>
      </c>
      <c r="BA2275" s="641" t="str">
        <f>SQRT(($R2275-Infrastructure!J$8)^2+($S2275-Infrastructure!K$8)^2)</f>
        <v>#VALUE!</v>
      </c>
      <c r="BB2275" s="641" t="str">
        <f>SQRT(($R2275-Infrastructure!J$9)^2+($S2275-Infrastructure!K$9)^2)</f>
        <v>#VALUE!</v>
      </c>
      <c r="BC2275" s="641" t="str">
        <f>SQRT(($R2275-Infrastructure!J$10)^2+($S2275-Infrastructure!K$10)^2)</f>
        <v>#VALUE!</v>
      </c>
      <c r="BD2275" s="641" t="str">
        <f>SQRT(($R2275-Infrastructure!J$11)^2+($S2275-Infrastructure!K$11)^2)</f>
        <v>#VALUE!</v>
      </c>
      <c r="BE2275" s="642" t="str">
        <f>SQRT(($R2275-Infrastructure!J$12)^2+($S2275-Infrastructure!K$12)^2)</f>
        <v>#VALUE!</v>
      </c>
      <c r="BF2275" s="662" t="str">
        <f t="shared" si="161"/>
        <v>#VALUE!</v>
      </c>
      <c r="BG2275" s="642" t="str">
        <f t="shared" si="162"/>
        <v>#VALUE!</v>
      </c>
      <c r="BH2275" s="1135"/>
      <c r="BI2275" s="663" t="str">
        <f t="shared" ref="BI2275:BR2275" si="1404">IF(ISNUMBER(FIND(BI$3, $CO2275)), "Y", "")</f>
        <v/>
      </c>
      <c r="BJ2275" s="663" t="str">
        <f t="shared" si="1404"/>
        <v/>
      </c>
      <c r="BK2275" s="663" t="str">
        <f t="shared" si="1404"/>
        <v/>
      </c>
      <c r="BL2275" s="663" t="str">
        <f t="shared" si="1404"/>
        <v/>
      </c>
      <c r="BM2275" s="663" t="str">
        <f t="shared" si="1404"/>
        <v/>
      </c>
      <c r="BN2275" s="663" t="str">
        <f t="shared" si="1404"/>
        <v/>
      </c>
      <c r="BO2275" s="663" t="str">
        <f t="shared" si="1404"/>
        <v/>
      </c>
      <c r="BP2275" s="663" t="str">
        <f t="shared" si="1404"/>
        <v/>
      </c>
      <c r="BQ2275" s="663" t="str">
        <f t="shared" si="1404"/>
        <v/>
      </c>
      <c r="BR2275" s="663" t="str">
        <f t="shared" si="1404"/>
        <v/>
      </c>
      <c r="BS2275" s="662">
        <f t="shared" si="185"/>
        <v>0</v>
      </c>
      <c r="BT2275" s="641">
        <f t="shared" si="170"/>
        <v>0</v>
      </c>
      <c r="BU2275" s="937"/>
      <c r="BV2275" s="930" t="str">
        <f t="shared" si="1244"/>
        <v/>
      </c>
      <c r="BW2275" s="939"/>
      <c r="BX2275" s="939"/>
      <c r="BY2275" s="641" t="b">
        <f t="shared" si="201"/>
        <v>0</v>
      </c>
      <c r="BZ2275" s="641"/>
      <c r="CA2275" s="635" t="str">
        <f t="shared" ref="CA2275:CJ2275" si="1405">IF(ISNUMBER(FIND(BI$3, $CP2275)), "Y", "")</f>
        <v/>
      </c>
      <c r="CB2275" s="663" t="str">
        <f t="shared" si="1405"/>
        <v/>
      </c>
      <c r="CC2275" s="663" t="str">
        <f t="shared" si="1405"/>
        <v/>
      </c>
      <c r="CD2275" s="663" t="str">
        <f t="shared" si="1405"/>
        <v/>
      </c>
      <c r="CE2275" s="663" t="str">
        <f t="shared" si="1405"/>
        <v/>
      </c>
      <c r="CF2275" s="663" t="str">
        <f t="shared" si="1405"/>
        <v/>
      </c>
      <c r="CG2275" s="663" t="str">
        <f t="shared" si="1405"/>
        <v/>
      </c>
      <c r="CH2275" s="663" t="str">
        <f t="shared" si="1405"/>
        <v/>
      </c>
      <c r="CI2275" s="663" t="str">
        <f t="shared" si="1405"/>
        <v/>
      </c>
      <c r="CJ2275" s="663" t="str">
        <f t="shared" si="1405"/>
        <v/>
      </c>
      <c r="CK2275" s="743">
        <f t="shared" si="182"/>
        <v>0</v>
      </c>
      <c r="CL2275" s="642">
        <f t="shared" si="183"/>
        <v>0</v>
      </c>
      <c r="CM2275" s="1090"/>
      <c r="CN2275" s="1036" t="s">
        <v>3366</v>
      </c>
      <c r="CO2275" s="1036"/>
      <c r="CP2275" s="1036"/>
    </row>
    <row r="2276">
      <c r="A2276" s="1257"/>
      <c r="B2276" s="1113"/>
      <c r="C2276" s="1107"/>
      <c r="D2276" s="103"/>
      <c r="E2276" s="1137"/>
      <c r="F2276" s="112"/>
      <c r="G2276" s="1110"/>
      <c r="H2276" s="1138"/>
      <c r="I2276" s="1138"/>
      <c r="J2276" s="1139"/>
      <c r="K2276" s="1111"/>
      <c r="L2276" s="1112"/>
      <c r="M2276" s="1113"/>
      <c r="N2276" s="110"/>
      <c r="O2276" s="1140"/>
      <c r="P2276" s="1115"/>
      <c r="Q2276" s="1116"/>
      <c r="R2276" s="1141"/>
      <c r="S2276" s="1113"/>
      <c r="T2276" s="1143"/>
      <c r="U2276" s="1108"/>
      <c r="V2276" s="1108"/>
      <c r="W2276" s="1108"/>
      <c r="X2276" s="1108"/>
      <c r="Y2276" s="1108"/>
      <c r="Z2276" s="1114"/>
      <c r="AA2276" s="1114"/>
      <c r="AB2276" s="1114"/>
      <c r="AC2276" s="1117"/>
      <c r="AD2276" s="1115"/>
      <c r="AE2276" s="1115"/>
      <c r="AF2276" s="1115"/>
      <c r="AG2276" s="1115"/>
      <c r="AH2276" s="1115"/>
      <c r="AI2276" s="1115"/>
      <c r="AJ2276" s="1117"/>
      <c r="AK2276" s="1118"/>
      <c r="AL2276" s="1115"/>
      <c r="AM2276" s="1115"/>
      <c r="AN2276" s="1115"/>
      <c r="AO2276" s="1115"/>
      <c r="AP2276" s="1115"/>
      <c r="AQ2276" s="1115"/>
      <c r="AR2276" s="1115"/>
      <c r="AS2276" s="1117"/>
      <c r="AT2276" s="1196" t="str">
        <f t="shared" si="428"/>
        <v/>
      </c>
      <c r="AU2276" s="1193"/>
      <c r="AV2276" s="330">
        <f>SQRT(($R2276-Infrastructure!J$3)^2+($S2276-Infrastructure!K$3)^2)</f>
        <v>28.90155705</v>
      </c>
      <c r="AW2276" s="331">
        <f>SQRT(($R2276-Infrastructure!J$4)^2+($S2276-Infrastructure!K$4)^2)</f>
        <v>17.80252791</v>
      </c>
      <c r="AX2276" s="331">
        <f>SQRT(($R2276-Infrastructure!J$5)^2+($S2276-Infrastructure!K$5)^2)</f>
        <v>5.10881591</v>
      </c>
      <c r="AY2276" s="331">
        <f>SQRT(($R2276-Infrastructure!J$6)^2+($S2276-Infrastructure!K$6)^2)</f>
        <v>10.10445446</v>
      </c>
      <c r="AZ2276" s="331">
        <f>SQRT(($R2276-Infrastructure!J$7)^2+($S2276-Infrastructure!K$7)^2)</f>
        <v>20.502195</v>
      </c>
      <c r="BA2276" s="331">
        <f>SQRT(($R2276-Infrastructure!J$8)^2+($S2276-Infrastructure!K$8)^2)</f>
        <v>30.10149498</v>
      </c>
      <c r="BB2276" s="331">
        <f>SQRT(($R2276-Infrastructure!J$9)^2+($S2276-Infrastructure!K$9)^2)</f>
        <v>40.3238143</v>
      </c>
      <c r="BC2276" s="331">
        <f>SQRT(($R2276-Infrastructure!J$10)^2+($S2276-Infrastructure!K$10)^2)</f>
        <v>42.72001873</v>
      </c>
      <c r="BD2276" s="331">
        <f>SQRT(($R2276-Infrastructure!J$11)^2+($S2276-Infrastructure!K$11)^2)</f>
        <v>49.56853841</v>
      </c>
      <c r="BE2276" s="333">
        <f>SQRT(($R2276-Infrastructure!J$12)^2+($S2276-Infrastructure!K$12)^2)</f>
        <v>59.51890456</v>
      </c>
      <c r="BF2276" s="330">
        <f t="shared" si="161"/>
        <v>5.10881591</v>
      </c>
      <c r="BG2276" s="333">
        <f t="shared" si="162"/>
        <v>59.51890456</v>
      </c>
      <c r="BH2276" s="1119"/>
      <c r="BI2276" s="319" t="str">
        <f t="shared" ref="BI2276:BR2276" si="1406">IF(ISNUMBER(FIND(BI$3, $CO2276)), "Y", "")</f>
        <v/>
      </c>
      <c r="BJ2276" s="319" t="str">
        <f t="shared" si="1406"/>
        <v/>
      </c>
      <c r="BK2276" s="319" t="str">
        <f t="shared" si="1406"/>
        <v/>
      </c>
      <c r="BL2276" s="319" t="str">
        <f t="shared" si="1406"/>
        <v/>
      </c>
      <c r="BM2276" s="319" t="str">
        <f t="shared" si="1406"/>
        <v/>
      </c>
      <c r="BN2276" s="319" t="str">
        <f t="shared" si="1406"/>
        <v/>
      </c>
      <c r="BO2276" s="319" t="str">
        <f t="shared" si="1406"/>
        <v/>
      </c>
      <c r="BP2276" s="319" t="str">
        <f t="shared" si="1406"/>
        <v/>
      </c>
      <c r="BQ2276" s="319" t="str">
        <f t="shared" si="1406"/>
        <v/>
      </c>
      <c r="BR2276" s="319" t="str">
        <f t="shared" si="1406"/>
        <v/>
      </c>
      <c r="BS2276" s="330">
        <f t="shared" si="185"/>
        <v>0</v>
      </c>
      <c r="BT2276" s="331">
        <f t="shared" si="170"/>
        <v>0</v>
      </c>
      <c r="BU2276" s="920"/>
      <c r="BV2276" s="903" t="str">
        <f t="shared" si="1244"/>
        <v/>
      </c>
      <c r="BW2276" s="908"/>
      <c r="BX2276" s="908"/>
      <c r="BY2276" s="331" t="b">
        <f t="shared" si="201"/>
        <v>0</v>
      </c>
      <c r="BZ2276" s="331"/>
      <c r="CA2276" s="462" t="str">
        <f t="shared" ref="CA2276:CJ2276" si="1407">IF(ISNUMBER(FIND(BI$3, $CP2276)), "Y", "")</f>
        <v/>
      </c>
      <c r="CB2276" s="319" t="str">
        <f t="shared" si="1407"/>
        <v/>
      </c>
      <c r="CC2276" s="319" t="str">
        <f t="shared" si="1407"/>
        <v/>
      </c>
      <c r="CD2276" s="319" t="str">
        <f t="shared" si="1407"/>
        <v/>
      </c>
      <c r="CE2276" s="319" t="str">
        <f t="shared" si="1407"/>
        <v/>
      </c>
      <c r="CF2276" s="319" t="str">
        <f t="shared" si="1407"/>
        <v/>
      </c>
      <c r="CG2276" s="319" t="str">
        <f t="shared" si="1407"/>
        <v/>
      </c>
      <c r="CH2276" s="319" t="str">
        <f t="shared" si="1407"/>
        <v/>
      </c>
      <c r="CI2276" s="319" t="str">
        <f t="shared" si="1407"/>
        <v/>
      </c>
      <c r="CJ2276" s="319" t="str">
        <f t="shared" si="1407"/>
        <v/>
      </c>
      <c r="CK2276" s="342">
        <f t="shared" si="182"/>
        <v>0</v>
      </c>
      <c r="CL2276" s="333">
        <f t="shared" si="183"/>
        <v>0</v>
      </c>
      <c r="CM2276" s="1079"/>
      <c r="CN2276" s="1005"/>
      <c r="CO2276" s="1005"/>
      <c r="CP2276" s="1005"/>
    </row>
    <row r="2277">
      <c r="A2277" s="1257"/>
      <c r="B2277" s="1113"/>
      <c r="C2277" s="1107"/>
      <c r="D2277" s="103"/>
      <c r="E2277" s="1137"/>
      <c r="F2277" s="112"/>
      <c r="G2277" s="1110"/>
      <c r="H2277" s="1138"/>
      <c r="I2277" s="1138"/>
      <c r="J2277" s="1139"/>
      <c r="K2277" s="1111"/>
      <c r="L2277" s="1112"/>
      <c r="M2277" s="1113"/>
      <c r="N2277" s="110"/>
      <c r="O2277" s="1140"/>
      <c r="P2277" s="1115"/>
      <c r="Q2277" s="1116"/>
      <c r="R2277" s="1141"/>
      <c r="S2277" s="1113"/>
      <c r="T2277" s="1143"/>
      <c r="U2277" s="1108"/>
      <c r="V2277" s="1108"/>
      <c r="W2277" s="1108"/>
      <c r="X2277" s="1108"/>
      <c r="Y2277" s="1108"/>
      <c r="Z2277" s="1114"/>
      <c r="AA2277" s="1114"/>
      <c r="AB2277" s="1114"/>
      <c r="AC2277" s="1117"/>
      <c r="AD2277" s="1115"/>
      <c r="AE2277" s="1115"/>
      <c r="AF2277" s="1115"/>
      <c r="AG2277" s="1115"/>
      <c r="AH2277" s="1115"/>
      <c r="AI2277" s="1115"/>
      <c r="AJ2277" s="1117"/>
      <c r="AK2277" s="1118"/>
      <c r="AL2277" s="1115"/>
      <c r="AM2277" s="1115"/>
      <c r="AN2277" s="1115"/>
      <c r="AO2277" s="1115"/>
      <c r="AP2277" s="1115"/>
      <c r="AQ2277" s="1115"/>
      <c r="AR2277" s="1115"/>
      <c r="AS2277" s="1117"/>
      <c r="AT2277" s="1196" t="str">
        <f t="shared" si="428"/>
        <v/>
      </c>
      <c r="AU2277" s="1193"/>
      <c r="AV2277" s="330">
        <f>SQRT(($R2277-Infrastructure!J$3)^2+($S2277-Infrastructure!K$3)^2)</f>
        <v>28.90155705</v>
      </c>
      <c r="AW2277" s="331">
        <f>SQRT(($R2277-Infrastructure!J$4)^2+($S2277-Infrastructure!K$4)^2)</f>
        <v>17.80252791</v>
      </c>
      <c r="AX2277" s="331">
        <f>SQRT(($R2277-Infrastructure!J$5)^2+($S2277-Infrastructure!K$5)^2)</f>
        <v>5.10881591</v>
      </c>
      <c r="AY2277" s="331">
        <f>SQRT(($R2277-Infrastructure!J$6)^2+($S2277-Infrastructure!K$6)^2)</f>
        <v>10.10445446</v>
      </c>
      <c r="AZ2277" s="331">
        <f>SQRT(($R2277-Infrastructure!J$7)^2+($S2277-Infrastructure!K$7)^2)</f>
        <v>20.502195</v>
      </c>
      <c r="BA2277" s="331">
        <f>SQRT(($R2277-Infrastructure!J$8)^2+($S2277-Infrastructure!K$8)^2)</f>
        <v>30.10149498</v>
      </c>
      <c r="BB2277" s="331">
        <f>SQRT(($R2277-Infrastructure!J$9)^2+($S2277-Infrastructure!K$9)^2)</f>
        <v>40.3238143</v>
      </c>
      <c r="BC2277" s="331">
        <f>SQRT(($R2277-Infrastructure!J$10)^2+($S2277-Infrastructure!K$10)^2)</f>
        <v>42.72001873</v>
      </c>
      <c r="BD2277" s="331">
        <f>SQRT(($R2277-Infrastructure!J$11)^2+($S2277-Infrastructure!K$11)^2)</f>
        <v>49.56853841</v>
      </c>
      <c r="BE2277" s="333">
        <f>SQRT(($R2277-Infrastructure!J$12)^2+($S2277-Infrastructure!K$12)^2)</f>
        <v>59.51890456</v>
      </c>
      <c r="BF2277" s="330">
        <f t="shared" si="161"/>
        <v>5.10881591</v>
      </c>
      <c r="BG2277" s="333">
        <f t="shared" si="162"/>
        <v>59.51890456</v>
      </c>
      <c r="BH2277" s="1119"/>
      <c r="BI2277" s="319" t="str">
        <f t="shared" ref="BI2277:BR2277" si="1408">IF(ISNUMBER(FIND(BI$3, $CO2277)), "Y", "")</f>
        <v/>
      </c>
      <c r="BJ2277" s="319" t="str">
        <f t="shared" si="1408"/>
        <v/>
      </c>
      <c r="BK2277" s="319" t="str">
        <f t="shared" si="1408"/>
        <v/>
      </c>
      <c r="BL2277" s="319" t="str">
        <f t="shared" si="1408"/>
        <v/>
      </c>
      <c r="BM2277" s="319" t="str">
        <f t="shared" si="1408"/>
        <v/>
      </c>
      <c r="BN2277" s="319" t="str">
        <f t="shared" si="1408"/>
        <v/>
      </c>
      <c r="BO2277" s="319" t="str">
        <f t="shared" si="1408"/>
        <v/>
      </c>
      <c r="BP2277" s="319" t="str">
        <f t="shared" si="1408"/>
        <v/>
      </c>
      <c r="BQ2277" s="319" t="str">
        <f t="shared" si="1408"/>
        <v/>
      </c>
      <c r="BR2277" s="319" t="str">
        <f t="shared" si="1408"/>
        <v/>
      </c>
      <c r="BS2277" s="330">
        <f t="shared" si="185"/>
        <v>0</v>
      </c>
      <c r="BT2277" s="331">
        <f t="shared" si="170"/>
        <v>0</v>
      </c>
      <c r="BU2277" s="920"/>
      <c r="BV2277" s="903" t="str">
        <f t="shared" si="1244"/>
        <v/>
      </c>
      <c r="BW2277" s="908"/>
      <c r="BX2277" s="908"/>
      <c r="BY2277" s="331" t="b">
        <f t="shared" si="201"/>
        <v>0</v>
      </c>
      <c r="BZ2277" s="331"/>
      <c r="CA2277" s="462" t="str">
        <f t="shared" ref="CA2277:CJ2277" si="1409">IF(ISNUMBER(FIND(BI$3, $CP2277)), "Y", "")</f>
        <v/>
      </c>
      <c r="CB2277" s="319" t="str">
        <f t="shared" si="1409"/>
        <v/>
      </c>
      <c r="CC2277" s="319" t="str">
        <f t="shared" si="1409"/>
        <v/>
      </c>
      <c r="CD2277" s="319" t="str">
        <f t="shared" si="1409"/>
        <v/>
      </c>
      <c r="CE2277" s="319" t="str">
        <f t="shared" si="1409"/>
        <v/>
      </c>
      <c r="CF2277" s="319" t="str">
        <f t="shared" si="1409"/>
        <v/>
      </c>
      <c r="CG2277" s="319" t="str">
        <f t="shared" si="1409"/>
        <v/>
      </c>
      <c r="CH2277" s="319" t="str">
        <f t="shared" si="1409"/>
        <v/>
      </c>
      <c r="CI2277" s="319" t="str">
        <f t="shared" si="1409"/>
        <v/>
      </c>
      <c r="CJ2277" s="319" t="str">
        <f t="shared" si="1409"/>
        <v/>
      </c>
      <c r="CK2277" s="342">
        <f t="shared" si="182"/>
        <v>0</v>
      </c>
      <c r="CL2277" s="333">
        <f t="shared" si="183"/>
        <v>0</v>
      </c>
      <c r="CM2277" s="1079"/>
      <c r="CN2277" s="1005"/>
      <c r="CO2277" s="1005"/>
      <c r="CP2277" s="1005"/>
    </row>
    <row r="2278">
      <c r="A2278" s="1257"/>
      <c r="B2278" s="1113"/>
      <c r="C2278" s="1107"/>
      <c r="D2278" s="103"/>
      <c r="E2278" s="1137"/>
      <c r="F2278" s="112"/>
      <c r="G2278" s="1110"/>
      <c r="H2278" s="1138"/>
      <c r="I2278" s="1138"/>
      <c r="J2278" s="1139"/>
      <c r="K2278" s="1111"/>
      <c r="L2278" s="1112"/>
      <c r="M2278" s="1113"/>
      <c r="N2278" s="110"/>
      <c r="O2278" s="1140"/>
      <c r="P2278" s="1115"/>
      <c r="Q2278" s="1116"/>
      <c r="R2278" s="1141"/>
      <c r="S2278" s="1113"/>
      <c r="T2278" s="1143"/>
      <c r="U2278" s="1108"/>
      <c r="V2278" s="1108"/>
      <c r="W2278" s="1108"/>
      <c r="X2278" s="1108"/>
      <c r="Y2278" s="1108"/>
      <c r="Z2278" s="1114"/>
      <c r="AA2278" s="1114"/>
      <c r="AB2278" s="1114"/>
      <c r="AC2278" s="1117"/>
      <c r="AD2278" s="1115"/>
      <c r="AE2278" s="1115"/>
      <c r="AF2278" s="1115"/>
      <c r="AG2278" s="1115"/>
      <c r="AH2278" s="1115"/>
      <c r="AI2278" s="1115"/>
      <c r="AJ2278" s="1117"/>
      <c r="AK2278" s="1118"/>
      <c r="AL2278" s="1115"/>
      <c r="AM2278" s="1115"/>
      <c r="AN2278" s="1115"/>
      <c r="AO2278" s="1115"/>
      <c r="AP2278" s="1115"/>
      <c r="AQ2278" s="1115"/>
      <c r="AR2278" s="1115"/>
      <c r="AS2278" s="1117"/>
      <c r="AT2278" s="1196" t="str">
        <f t="shared" si="428"/>
        <v/>
      </c>
      <c r="AU2278" s="1193"/>
      <c r="AV2278" s="330">
        <f>SQRT(($R2278-Infrastructure!J$3)^2+($S2278-Infrastructure!K$3)^2)</f>
        <v>28.90155705</v>
      </c>
      <c r="AW2278" s="331">
        <f>SQRT(($R2278-Infrastructure!J$4)^2+($S2278-Infrastructure!K$4)^2)</f>
        <v>17.80252791</v>
      </c>
      <c r="AX2278" s="331">
        <f>SQRT(($R2278-Infrastructure!J$5)^2+($S2278-Infrastructure!K$5)^2)</f>
        <v>5.10881591</v>
      </c>
      <c r="AY2278" s="331">
        <f>SQRT(($R2278-Infrastructure!J$6)^2+($S2278-Infrastructure!K$6)^2)</f>
        <v>10.10445446</v>
      </c>
      <c r="AZ2278" s="331">
        <f>SQRT(($R2278-Infrastructure!J$7)^2+($S2278-Infrastructure!K$7)^2)</f>
        <v>20.502195</v>
      </c>
      <c r="BA2278" s="331">
        <f>SQRT(($R2278-Infrastructure!J$8)^2+($S2278-Infrastructure!K$8)^2)</f>
        <v>30.10149498</v>
      </c>
      <c r="BB2278" s="331">
        <f>SQRT(($R2278-Infrastructure!J$9)^2+($S2278-Infrastructure!K$9)^2)</f>
        <v>40.3238143</v>
      </c>
      <c r="BC2278" s="331">
        <f>SQRT(($R2278-Infrastructure!J$10)^2+($S2278-Infrastructure!K$10)^2)</f>
        <v>42.72001873</v>
      </c>
      <c r="BD2278" s="331">
        <f>SQRT(($R2278-Infrastructure!J$11)^2+($S2278-Infrastructure!K$11)^2)</f>
        <v>49.56853841</v>
      </c>
      <c r="BE2278" s="333">
        <f>SQRT(($R2278-Infrastructure!J$12)^2+($S2278-Infrastructure!K$12)^2)</f>
        <v>59.51890456</v>
      </c>
      <c r="BF2278" s="330">
        <f t="shared" si="161"/>
        <v>5.10881591</v>
      </c>
      <c r="BG2278" s="333">
        <f t="shared" si="162"/>
        <v>59.51890456</v>
      </c>
      <c r="BH2278" s="1119"/>
      <c r="BI2278" s="319" t="str">
        <f t="shared" ref="BI2278:BR2278" si="1410">IF(ISNUMBER(FIND(BI$3, $CO2278)), "Y", "")</f>
        <v/>
      </c>
      <c r="BJ2278" s="319" t="str">
        <f t="shared" si="1410"/>
        <v/>
      </c>
      <c r="BK2278" s="319" t="str">
        <f t="shared" si="1410"/>
        <v/>
      </c>
      <c r="BL2278" s="319" t="str">
        <f t="shared" si="1410"/>
        <v/>
      </c>
      <c r="BM2278" s="319" t="str">
        <f t="shared" si="1410"/>
        <v/>
      </c>
      <c r="BN2278" s="319" t="str">
        <f t="shared" si="1410"/>
        <v/>
      </c>
      <c r="BO2278" s="319" t="str">
        <f t="shared" si="1410"/>
        <v/>
      </c>
      <c r="BP2278" s="319" t="str">
        <f t="shared" si="1410"/>
        <v/>
      </c>
      <c r="BQ2278" s="319" t="str">
        <f t="shared" si="1410"/>
        <v/>
      </c>
      <c r="BR2278" s="319" t="str">
        <f t="shared" si="1410"/>
        <v/>
      </c>
      <c r="BS2278" s="330">
        <f t="shared" si="185"/>
        <v>0</v>
      </c>
      <c r="BT2278" s="331">
        <f t="shared" si="170"/>
        <v>0</v>
      </c>
      <c r="BU2278" s="920"/>
      <c r="BV2278" s="903" t="str">
        <f t="shared" si="1244"/>
        <v/>
      </c>
      <c r="BW2278" s="908"/>
      <c r="BX2278" s="908"/>
      <c r="BY2278" s="331" t="b">
        <f t="shared" si="201"/>
        <v>0</v>
      </c>
      <c r="BZ2278" s="331"/>
      <c r="CA2278" s="462" t="str">
        <f t="shared" ref="CA2278:CJ2278" si="1411">IF(ISNUMBER(FIND(BI$3, $CP2278)), "Y", "")</f>
        <v/>
      </c>
      <c r="CB2278" s="319" t="str">
        <f t="shared" si="1411"/>
        <v/>
      </c>
      <c r="CC2278" s="319" t="str">
        <f t="shared" si="1411"/>
        <v/>
      </c>
      <c r="CD2278" s="319" t="str">
        <f t="shared" si="1411"/>
        <v/>
      </c>
      <c r="CE2278" s="319" t="str">
        <f t="shared" si="1411"/>
        <v/>
      </c>
      <c r="CF2278" s="319" t="str">
        <f t="shared" si="1411"/>
        <v/>
      </c>
      <c r="CG2278" s="319" t="str">
        <f t="shared" si="1411"/>
        <v/>
      </c>
      <c r="CH2278" s="319" t="str">
        <f t="shared" si="1411"/>
        <v/>
      </c>
      <c r="CI2278" s="319" t="str">
        <f t="shared" si="1411"/>
        <v/>
      </c>
      <c r="CJ2278" s="319" t="str">
        <f t="shared" si="1411"/>
        <v/>
      </c>
      <c r="CK2278" s="342">
        <f t="shared" si="182"/>
        <v>0</v>
      </c>
      <c r="CL2278" s="333">
        <f t="shared" si="183"/>
        <v>0</v>
      </c>
      <c r="CM2278" s="1079"/>
      <c r="CN2278" s="1005"/>
      <c r="CO2278" s="1005"/>
      <c r="CP2278" s="1005"/>
    </row>
    <row r="2279">
      <c r="A2279" s="1257"/>
      <c r="B2279" s="1113"/>
      <c r="C2279" s="1107"/>
      <c r="D2279" s="103"/>
      <c r="E2279" s="1137"/>
      <c r="F2279" s="112"/>
      <c r="G2279" s="1110"/>
      <c r="H2279" s="1138"/>
      <c r="I2279" s="1138"/>
      <c r="J2279" s="1139"/>
      <c r="K2279" s="1111"/>
      <c r="L2279" s="1112"/>
      <c r="M2279" s="1113"/>
      <c r="N2279" s="110"/>
      <c r="O2279" s="1140"/>
      <c r="P2279" s="1115"/>
      <c r="Q2279" s="1116"/>
      <c r="R2279" s="1141"/>
      <c r="S2279" s="1113"/>
      <c r="T2279" s="1143"/>
      <c r="U2279" s="1108"/>
      <c r="V2279" s="1108"/>
      <c r="W2279" s="1108"/>
      <c r="X2279" s="1108"/>
      <c r="Y2279" s="1108"/>
      <c r="Z2279" s="1114"/>
      <c r="AA2279" s="1114"/>
      <c r="AB2279" s="1114"/>
      <c r="AC2279" s="1117"/>
      <c r="AD2279" s="1115"/>
      <c r="AE2279" s="1115"/>
      <c r="AF2279" s="1115"/>
      <c r="AG2279" s="1115"/>
      <c r="AH2279" s="1115"/>
      <c r="AI2279" s="1115"/>
      <c r="AJ2279" s="1117"/>
      <c r="AK2279" s="1118"/>
      <c r="AL2279" s="1115"/>
      <c r="AM2279" s="1115"/>
      <c r="AN2279" s="1115"/>
      <c r="AO2279" s="1115"/>
      <c r="AP2279" s="1115"/>
      <c r="AQ2279" s="1115"/>
      <c r="AR2279" s="1115"/>
      <c r="AS2279" s="1117"/>
      <c r="AT2279" s="1196" t="str">
        <f t="shared" si="428"/>
        <v/>
      </c>
      <c r="AU2279" s="1193"/>
      <c r="AV2279" s="330">
        <f>SQRT(($R2279-Infrastructure!J$3)^2+($S2279-Infrastructure!K$3)^2)</f>
        <v>28.90155705</v>
      </c>
      <c r="AW2279" s="331">
        <f>SQRT(($R2279-Infrastructure!J$4)^2+($S2279-Infrastructure!K$4)^2)</f>
        <v>17.80252791</v>
      </c>
      <c r="AX2279" s="331">
        <f>SQRT(($R2279-Infrastructure!J$5)^2+($S2279-Infrastructure!K$5)^2)</f>
        <v>5.10881591</v>
      </c>
      <c r="AY2279" s="331">
        <f>SQRT(($R2279-Infrastructure!J$6)^2+($S2279-Infrastructure!K$6)^2)</f>
        <v>10.10445446</v>
      </c>
      <c r="AZ2279" s="331">
        <f>SQRT(($R2279-Infrastructure!J$7)^2+($S2279-Infrastructure!K$7)^2)</f>
        <v>20.502195</v>
      </c>
      <c r="BA2279" s="331">
        <f>SQRT(($R2279-Infrastructure!J$8)^2+($S2279-Infrastructure!K$8)^2)</f>
        <v>30.10149498</v>
      </c>
      <c r="BB2279" s="331">
        <f>SQRT(($R2279-Infrastructure!J$9)^2+($S2279-Infrastructure!K$9)^2)</f>
        <v>40.3238143</v>
      </c>
      <c r="BC2279" s="331">
        <f>SQRT(($R2279-Infrastructure!J$10)^2+($S2279-Infrastructure!K$10)^2)</f>
        <v>42.72001873</v>
      </c>
      <c r="BD2279" s="331">
        <f>SQRT(($R2279-Infrastructure!J$11)^2+($S2279-Infrastructure!K$11)^2)</f>
        <v>49.56853841</v>
      </c>
      <c r="BE2279" s="333">
        <f>SQRT(($R2279-Infrastructure!J$12)^2+($S2279-Infrastructure!K$12)^2)</f>
        <v>59.51890456</v>
      </c>
      <c r="BF2279" s="330">
        <f t="shared" si="161"/>
        <v>5.10881591</v>
      </c>
      <c r="BG2279" s="333">
        <f t="shared" si="162"/>
        <v>59.51890456</v>
      </c>
      <c r="BH2279" s="1119"/>
      <c r="BI2279" s="319" t="str">
        <f t="shared" ref="BI2279:BR2279" si="1412">IF(ISNUMBER(FIND(BI$3, $CO2279)), "Y", "")</f>
        <v/>
      </c>
      <c r="BJ2279" s="319" t="str">
        <f t="shared" si="1412"/>
        <v/>
      </c>
      <c r="BK2279" s="319" t="str">
        <f t="shared" si="1412"/>
        <v/>
      </c>
      <c r="BL2279" s="319" t="str">
        <f t="shared" si="1412"/>
        <v/>
      </c>
      <c r="BM2279" s="319" t="str">
        <f t="shared" si="1412"/>
        <v/>
      </c>
      <c r="BN2279" s="319" t="str">
        <f t="shared" si="1412"/>
        <v/>
      </c>
      <c r="BO2279" s="319" t="str">
        <f t="shared" si="1412"/>
        <v/>
      </c>
      <c r="BP2279" s="319" t="str">
        <f t="shared" si="1412"/>
        <v/>
      </c>
      <c r="BQ2279" s="319" t="str">
        <f t="shared" si="1412"/>
        <v/>
      </c>
      <c r="BR2279" s="319" t="str">
        <f t="shared" si="1412"/>
        <v/>
      </c>
      <c r="BS2279" s="330">
        <f t="shared" si="185"/>
        <v>0</v>
      </c>
      <c r="BT2279" s="331">
        <f t="shared" si="170"/>
        <v>0</v>
      </c>
      <c r="BU2279" s="920"/>
      <c r="BV2279" s="903" t="str">
        <f t="shared" si="1244"/>
        <v/>
      </c>
      <c r="BW2279" s="908"/>
      <c r="BX2279" s="908"/>
      <c r="BY2279" s="331" t="b">
        <f t="shared" si="201"/>
        <v>0</v>
      </c>
      <c r="BZ2279" s="331"/>
      <c r="CA2279" s="462" t="str">
        <f t="shared" ref="CA2279:CJ2279" si="1413">IF(ISNUMBER(FIND(BI$3, $CP2279)), "Y", "")</f>
        <v/>
      </c>
      <c r="CB2279" s="319" t="str">
        <f t="shared" si="1413"/>
        <v/>
      </c>
      <c r="CC2279" s="319" t="str">
        <f t="shared" si="1413"/>
        <v/>
      </c>
      <c r="CD2279" s="319" t="str">
        <f t="shared" si="1413"/>
        <v/>
      </c>
      <c r="CE2279" s="319" t="str">
        <f t="shared" si="1413"/>
        <v/>
      </c>
      <c r="CF2279" s="319" t="str">
        <f t="shared" si="1413"/>
        <v/>
      </c>
      <c r="CG2279" s="319" t="str">
        <f t="shared" si="1413"/>
        <v/>
      </c>
      <c r="CH2279" s="319" t="str">
        <f t="shared" si="1413"/>
        <v/>
      </c>
      <c r="CI2279" s="319" t="str">
        <f t="shared" si="1413"/>
        <v/>
      </c>
      <c r="CJ2279" s="319" t="str">
        <f t="shared" si="1413"/>
        <v/>
      </c>
      <c r="CK2279" s="342">
        <f t="shared" si="182"/>
        <v>0</v>
      </c>
      <c r="CL2279" s="333">
        <f t="shared" si="183"/>
        <v>0</v>
      </c>
      <c r="CM2279" s="1079"/>
      <c r="CN2279" s="1005"/>
      <c r="CO2279" s="1005"/>
      <c r="CP2279" s="1005"/>
    </row>
    <row r="2280">
      <c r="A2280" s="1257"/>
      <c r="B2280" s="1113"/>
      <c r="C2280" s="1107"/>
      <c r="D2280" s="103"/>
      <c r="E2280" s="1137"/>
      <c r="F2280" s="112"/>
      <c r="G2280" s="1110"/>
      <c r="H2280" s="1138"/>
      <c r="I2280" s="1138"/>
      <c r="J2280" s="1139"/>
      <c r="K2280" s="1111"/>
      <c r="L2280" s="1112"/>
      <c r="M2280" s="1113"/>
      <c r="N2280" s="110"/>
      <c r="O2280" s="1140"/>
      <c r="P2280" s="1115"/>
      <c r="Q2280" s="1116"/>
      <c r="R2280" s="1141"/>
      <c r="S2280" s="1113"/>
      <c r="T2280" s="1143"/>
      <c r="U2280" s="1108"/>
      <c r="V2280" s="1108"/>
      <c r="W2280" s="1108"/>
      <c r="X2280" s="1108"/>
      <c r="Y2280" s="1108"/>
      <c r="Z2280" s="1114"/>
      <c r="AA2280" s="1114"/>
      <c r="AB2280" s="1114"/>
      <c r="AC2280" s="1117"/>
      <c r="AD2280" s="1115"/>
      <c r="AE2280" s="1115"/>
      <c r="AF2280" s="1115"/>
      <c r="AG2280" s="1115"/>
      <c r="AH2280" s="1115"/>
      <c r="AI2280" s="1115"/>
      <c r="AJ2280" s="1117"/>
      <c r="AK2280" s="1118"/>
      <c r="AL2280" s="1115"/>
      <c r="AM2280" s="1115"/>
      <c r="AN2280" s="1115"/>
      <c r="AO2280" s="1115"/>
      <c r="AP2280" s="1115"/>
      <c r="AQ2280" s="1115"/>
      <c r="AR2280" s="1115"/>
      <c r="AS2280" s="1117"/>
      <c r="AT2280" s="1196" t="str">
        <f t="shared" si="428"/>
        <v/>
      </c>
      <c r="AU2280" s="1193"/>
      <c r="AV2280" s="330">
        <f>SQRT(($R2280-Infrastructure!J$3)^2+($S2280-Infrastructure!K$3)^2)</f>
        <v>28.90155705</v>
      </c>
      <c r="AW2280" s="331">
        <f>SQRT(($R2280-Infrastructure!J$4)^2+($S2280-Infrastructure!K$4)^2)</f>
        <v>17.80252791</v>
      </c>
      <c r="AX2280" s="331">
        <f>SQRT(($R2280-Infrastructure!J$5)^2+($S2280-Infrastructure!K$5)^2)</f>
        <v>5.10881591</v>
      </c>
      <c r="AY2280" s="331">
        <f>SQRT(($R2280-Infrastructure!J$6)^2+($S2280-Infrastructure!K$6)^2)</f>
        <v>10.10445446</v>
      </c>
      <c r="AZ2280" s="331">
        <f>SQRT(($R2280-Infrastructure!J$7)^2+($S2280-Infrastructure!K$7)^2)</f>
        <v>20.502195</v>
      </c>
      <c r="BA2280" s="331">
        <f>SQRT(($R2280-Infrastructure!J$8)^2+($S2280-Infrastructure!K$8)^2)</f>
        <v>30.10149498</v>
      </c>
      <c r="BB2280" s="331">
        <f>SQRT(($R2280-Infrastructure!J$9)^2+($S2280-Infrastructure!K$9)^2)</f>
        <v>40.3238143</v>
      </c>
      <c r="BC2280" s="331">
        <f>SQRT(($R2280-Infrastructure!J$10)^2+($S2280-Infrastructure!K$10)^2)</f>
        <v>42.72001873</v>
      </c>
      <c r="BD2280" s="331">
        <f>SQRT(($R2280-Infrastructure!J$11)^2+($S2280-Infrastructure!K$11)^2)</f>
        <v>49.56853841</v>
      </c>
      <c r="BE2280" s="333">
        <f>SQRT(($R2280-Infrastructure!J$12)^2+($S2280-Infrastructure!K$12)^2)</f>
        <v>59.51890456</v>
      </c>
      <c r="BF2280" s="330">
        <f t="shared" si="161"/>
        <v>5.10881591</v>
      </c>
      <c r="BG2280" s="333">
        <f t="shared" si="162"/>
        <v>59.51890456</v>
      </c>
      <c r="BH2280" s="1119"/>
      <c r="BI2280" s="319" t="str">
        <f t="shared" ref="BI2280:BR2280" si="1414">IF(ISNUMBER(FIND(BI$3, $CO2280)), "Y", "")</f>
        <v/>
      </c>
      <c r="BJ2280" s="319" t="str">
        <f t="shared" si="1414"/>
        <v/>
      </c>
      <c r="BK2280" s="319" t="str">
        <f t="shared" si="1414"/>
        <v/>
      </c>
      <c r="BL2280" s="319" t="str">
        <f t="shared" si="1414"/>
        <v/>
      </c>
      <c r="BM2280" s="319" t="str">
        <f t="shared" si="1414"/>
        <v/>
      </c>
      <c r="BN2280" s="319" t="str">
        <f t="shared" si="1414"/>
        <v/>
      </c>
      <c r="BO2280" s="319" t="str">
        <f t="shared" si="1414"/>
        <v/>
      </c>
      <c r="BP2280" s="319" t="str">
        <f t="shared" si="1414"/>
        <v/>
      </c>
      <c r="BQ2280" s="319" t="str">
        <f t="shared" si="1414"/>
        <v/>
      </c>
      <c r="BR2280" s="319" t="str">
        <f t="shared" si="1414"/>
        <v/>
      </c>
      <c r="BS2280" s="330">
        <f t="shared" si="185"/>
        <v>0</v>
      </c>
      <c r="BT2280" s="331">
        <f t="shared" si="170"/>
        <v>0</v>
      </c>
      <c r="BU2280" s="920"/>
      <c r="BV2280" s="903" t="str">
        <f t="shared" si="1244"/>
        <v/>
      </c>
      <c r="BW2280" s="908"/>
      <c r="BX2280" s="908"/>
      <c r="BY2280" s="331" t="b">
        <f t="shared" si="201"/>
        <v>0</v>
      </c>
      <c r="BZ2280" s="331"/>
      <c r="CA2280" s="462" t="str">
        <f t="shared" ref="CA2280:CJ2280" si="1415">IF(ISNUMBER(FIND(BI$3, $CP2280)), "Y", "")</f>
        <v/>
      </c>
      <c r="CB2280" s="319" t="str">
        <f t="shared" si="1415"/>
        <v/>
      </c>
      <c r="CC2280" s="319" t="str">
        <f t="shared" si="1415"/>
        <v/>
      </c>
      <c r="CD2280" s="319" t="str">
        <f t="shared" si="1415"/>
        <v/>
      </c>
      <c r="CE2280" s="319" t="str">
        <f t="shared" si="1415"/>
        <v/>
      </c>
      <c r="CF2280" s="319" t="str">
        <f t="shared" si="1415"/>
        <v/>
      </c>
      <c r="CG2280" s="319" t="str">
        <f t="shared" si="1415"/>
        <v/>
      </c>
      <c r="CH2280" s="319" t="str">
        <f t="shared" si="1415"/>
        <v/>
      </c>
      <c r="CI2280" s="319" t="str">
        <f t="shared" si="1415"/>
        <v/>
      </c>
      <c r="CJ2280" s="319" t="str">
        <f t="shared" si="1415"/>
        <v/>
      </c>
      <c r="CK2280" s="342">
        <f t="shared" si="182"/>
        <v>0</v>
      </c>
      <c r="CL2280" s="333">
        <f t="shared" si="183"/>
        <v>0</v>
      </c>
      <c r="CM2280" s="1079"/>
      <c r="CN2280" s="1005"/>
      <c r="CO2280" s="1005"/>
      <c r="CP2280" s="1005"/>
    </row>
    <row r="2281">
      <c r="A2281" s="1257"/>
      <c r="B2281" s="1113"/>
      <c r="C2281" s="1107"/>
      <c r="D2281" s="103"/>
      <c r="E2281" s="1137"/>
      <c r="F2281" s="112"/>
      <c r="G2281" s="1110"/>
      <c r="H2281" s="1138"/>
      <c r="I2281" s="1138"/>
      <c r="J2281" s="1139"/>
      <c r="K2281" s="1111"/>
      <c r="L2281" s="1112"/>
      <c r="M2281" s="1113"/>
      <c r="N2281" s="110"/>
      <c r="O2281" s="1140"/>
      <c r="P2281" s="1115"/>
      <c r="Q2281" s="1116"/>
      <c r="R2281" s="1141"/>
      <c r="S2281" s="1113"/>
      <c r="T2281" s="1143"/>
      <c r="U2281" s="1108"/>
      <c r="V2281" s="1108"/>
      <c r="W2281" s="1108"/>
      <c r="X2281" s="1108"/>
      <c r="Y2281" s="1108"/>
      <c r="Z2281" s="1114"/>
      <c r="AA2281" s="1114"/>
      <c r="AB2281" s="1114"/>
      <c r="AC2281" s="1117"/>
      <c r="AD2281" s="1115"/>
      <c r="AE2281" s="1115"/>
      <c r="AF2281" s="1115"/>
      <c r="AG2281" s="1115"/>
      <c r="AH2281" s="1115"/>
      <c r="AI2281" s="1115"/>
      <c r="AJ2281" s="1117"/>
      <c r="AK2281" s="1118"/>
      <c r="AL2281" s="1115"/>
      <c r="AM2281" s="1115"/>
      <c r="AN2281" s="1115"/>
      <c r="AO2281" s="1115"/>
      <c r="AP2281" s="1115"/>
      <c r="AQ2281" s="1115"/>
      <c r="AR2281" s="1115"/>
      <c r="AS2281" s="1117"/>
      <c r="AT2281" s="1196" t="str">
        <f t="shared" si="428"/>
        <v/>
      </c>
      <c r="AU2281" s="1193"/>
      <c r="AV2281" s="330">
        <f>SQRT(($R2281-Infrastructure!J$3)^2+($S2281-Infrastructure!K$3)^2)</f>
        <v>28.90155705</v>
      </c>
      <c r="AW2281" s="331">
        <f>SQRT(($R2281-Infrastructure!J$4)^2+($S2281-Infrastructure!K$4)^2)</f>
        <v>17.80252791</v>
      </c>
      <c r="AX2281" s="331">
        <f>SQRT(($R2281-Infrastructure!J$5)^2+($S2281-Infrastructure!K$5)^2)</f>
        <v>5.10881591</v>
      </c>
      <c r="AY2281" s="331">
        <f>SQRT(($R2281-Infrastructure!J$6)^2+($S2281-Infrastructure!K$6)^2)</f>
        <v>10.10445446</v>
      </c>
      <c r="AZ2281" s="331">
        <f>SQRT(($R2281-Infrastructure!J$7)^2+($S2281-Infrastructure!K$7)^2)</f>
        <v>20.502195</v>
      </c>
      <c r="BA2281" s="331">
        <f>SQRT(($R2281-Infrastructure!J$8)^2+($S2281-Infrastructure!K$8)^2)</f>
        <v>30.10149498</v>
      </c>
      <c r="BB2281" s="331">
        <f>SQRT(($R2281-Infrastructure!J$9)^2+($S2281-Infrastructure!K$9)^2)</f>
        <v>40.3238143</v>
      </c>
      <c r="BC2281" s="331">
        <f>SQRT(($R2281-Infrastructure!J$10)^2+($S2281-Infrastructure!K$10)^2)</f>
        <v>42.72001873</v>
      </c>
      <c r="BD2281" s="331">
        <f>SQRT(($R2281-Infrastructure!J$11)^2+($S2281-Infrastructure!K$11)^2)</f>
        <v>49.56853841</v>
      </c>
      <c r="BE2281" s="333">
        <f>SQRT(($R2281-Infrastructure!J$12)^2+($S2281-Infrastructure!K$12)^2)</f>
        <v>59.51890456</v>
      </c>
      <c r="BF2281" s="330">
        <f t="shared" si="161"/>
        <v>5.10881591</v>
      </c>
      <c r="BG2281" s="333">
        <f t="shared" si="162"/>
        <v>59.51890456</v>
      </c>
      <c r="BH2281" s="1119"/>
      <c r="BI2281" s="319" t="str">
        <f t="shared" ref="BI2281:BR2281" si="1416">IF(ISNUMBER(FIND(BI$3, $CO2281)), "Y", "")</f>
        <v/>
      </c>
      <c r="BJ2281" s="319" t="str">
        <f t="shared" si="1416"/>
        <v/>
      </c>
      <c r="BK2281" s="319" t="str">
        <f t="shared" si="1416"/>
        <v/>
      </c>
      <c r="BL2281" s="319" t="str">
        <f t="shared" si="1416"/>
        <v/>
      </c>
      <c r="BM2281" s="319" t="str">
        <f t="shared" si="1416"/>
        <v/>
      </c>
      <c r="BN2281" s="319" t="str">
        <f t="shared" si="1416"/>
        <v/>
      </c>
      <c r="BO2281" s="319" t="str">
        <f t="shared" si="1416"/>
        <v/>
      </c>
      <c r="BP2281" s="319" t="str">
        <f t="shared" si="1416"/>
        <v/>
      </c>
      <c r="BQ2281" s="319" t="str">
        <f t="shared" si="1416"/>
        <v/>
      </c>
      <c r="BR2281" s="319" t="str">
        <f t="shared" si="1416"/>
        <v/>
      </c>
      <c r="BS2281" s="330">
        <f t="shared" si="185"/>
        <v>0</v>
      </c>
      <c r="BT2281" s="331">
        <f t="shared" si="170"/>
        <v>0</v>
      </c>
      <c r="BU2281" s="920"/>
      <c r="BV2281" s="903" t="str">
        <f t="shared" si="1244"/>
        <v/>
      </c>
      <c r="BW2281" s="908"/>
      <c r="BX2281" s="908"/>
      <c r="BY2281" s="331" t="b">
        <f t="shared" si="201"/>
        <v>0</v>
      </c>
      <c r="BZ2281" s="331"/>
      <c r="CA2281" s="462" t="str">
        <f t="shared" ref="CA2281:CJ2281" si="1417">IF(ISNUMBER(FIND(BI$3, $CP2281)), "Y", "")</f>
        <v/>
      </c>
      <c r="CB2281" s="319" t="str">
        <f t="shared" si="1417"/>
        <v/>
      </c>
      <c r="CC2281" s="319" t="str">
        <f t="shared" si="1417"/>
        <v/>
      </c>
      <c r="CD2281" s="319" t="str">
        <f t="shared" si="1417"/>
        <v/>
      </c>
      <c r="CE2281" s="319" t="str">
        <f t="shared" si="1417"/>
        <v/>
      </c>
      <c r="CF2281" s="319" t="str">
        <f t="shared" si="1417"/>
        <v/>
      </c>
      <c r="CG2281" s="319" t="str">
        <f t="shared" si="1417"/>
        <v/>
      </c>
      <c r="CH2281" s="319" t="str">
        <f t="shared" si="1417"/>
        <v/>
      </c>
      <c r="CI2281" s="319" t="str">
        <f t="shared" si="1417"/>
        <v/>
      </c>
      <c r="CJ2281" s="319" t="str">
        <f t="shared" si="1417"/>
        <v/>
      </c>
      <c r="CK2281" s="342">
        <f t="shared" si="182"/>
        <v>0</v>
      </c>
      <c r="CL2281" s="333">
        <f t="shared" si="183"/>
        <v>0</v>
      </c>
      <c r="CM2281" s="1079"/>
      <c r="CN2281" s="1005"/>
      <c r="CO2281" s="1005"/>
      <c r="CP2281" s="1005"/>
    </row>
    <row r="2282">
      <c r="A2282" s="1257"/>
      <c r="B2282" s="1113"/>
      <c r="C2282" s="1107"/>
      <c r="D2282" s="103"/>
      <c r="E2282" s="1137"/>
      <c r="F2282" s="112"/>
      <c r="G2282" s="1110"/>
      <c r="H2282" s="1138"/>
      <c r="I2282" s="1138"/>
      <c r="J2282" s="1139"/>
      <c r="K2282" s="1111"/>
      <c r="L2282" s="1112"/>
      <c r="M2282" s="1113"/>
      <c r="N2282" s="110"/>
      <c r="O2282" s="1140"/>
      <c r="P2282" s="1115"/>
      <c r="Q2282" s="1116"/>
      <c r="R2282" s="1141"/>
      <c r="S2282" s="1113"/>
      <c r="T2282" s="1143"/>
      <c r="U2282" s="1108"/>
      <c r="V2282" s="1108"/>
      <c r="W2282" s="1108"/>
      <c r="X2282" s="1108"/>
      <c r="Y2282" s="1108"/>
      <c r="Z2282" s="1114"/>
      <c r="AA2282" s="1114"/>
      <c r="AB2282" s="1114"/>
      <c r="AC2282" s="1117"/>
      <c r="AD2282" s="1115"/>
      <c r="AE2282" s="1115"/>
      <c r="AF2282" s="1115"/>
      <c r="AG2282" s="1115"/>
      <c r="AH2282" s="1115"/>
      <c r="AI2282" s="1115"/>
      <c r="AJ2282" s="1117"/>
      <c r="AK2282" s="1118"/>
      <c r="AL2282" s="1115"/>
      <c r="AM2282" s="1115"/>
      <c r="AN2282" s="1115"/>
      <c r="AO2282" s="1115"/>
      <c r="AP2282" s="1115"/>
      <c r="AQ2282" s="1115"/>
      <c r="AR2282" s="1115"/>
      <c r="AS2282" s="1117"/>
      <c r="AT2282" s="1196" t="str">
        <f t="shared" si="428"/>
        <v/>
      </c>
      <c r="AU2282" s="1193"/>
      <c r="AV2282" s="330">
        <f>SQRT(($R2282-Infrastructure!J$3)^2+($S2282-Infrastructure!K$3)^2)</f>
        <v>28.90155705</v>
      </c>
      <c r="AW2282" s="331">
        <f>SQRT(($R2282-Infrastructure!J$4)^2+($S2282-Infrastructure!K$4)^2)</f>
        <v>17.80252791</v>
      </c>
      <c r="AX2282" s="331">
        <f>SQRT(($R2282-Infrastructure!J$5)^2+($S2282-Infrastructure!K$5)^2)</f>
        <v>5.10881591</v>
      </c>
      <c r="AY2282" s="331">
        <f>SQRT(($R2282-Infrastructure!J$6)^2+($S2282-Infrastructure!K$6)^2)</f>
        <v>10.10445446</v>
      </c>
      <c r="AZ2282" s="331">
        <f>SQRT(($R2282-Infrastructure!J$7)^2+($S2282-Infrastructure!K$7)^2)</f>
        <v>20.502195</v>
      </c>
      <c r="BA2282" s="331">
        <f>SQRT(($R2282-Infrastructure!J$8)^2+($S2282-Infrastructure!K$8)^2)</f>
        <v>30.10149498</v>
      </c>
      <c r="BB2282" s="331">
        <f>SQRT(($R2282-Infrastructure!J$9)^2+($S2282-Infrastructure!K$9)^2)</f>
        <v>40.3238143</v>
      </c>
      <c r="BC2282" s="331">
        <f>SQRT(($R2282-Infrastructure!J$10)^2+($S2282-Infrastructure!K$10)^2)</f>
        <v>42.72001873</v>
      </c>
      <c r="BD2282" s="331">
        <f>SQRT(($R2282-Infrastructure!J$11)^2+($S2282-Infrastructure!K$11)^2)</f>
        <v>49.56853841</v>
      </c>
      <c r="BE2282" s="333">
        <f>SQRT(($R2282-Infrastructure!J$12)^2+($S2282-Infrastructure!K$12)^2)</f>
        <v>59.51890456</v>
      </c>
      <c r="BF2282" s="330">
        <f t="shared" si="161"/>
        <v>5.10881591</v>
      </c>
      <c r="BG2282" s="333">
        <f t="shared" si="162"/>
        <v>59.51890456</v>
      </c>
      <c r="BH2282" s="1119"/>
      <c r="BI2282" s="319" t="str">
        <f t="shared" ref="BI2282:BR2282" si="1418">IF(ISNUMBER(FIND(BI$3, $CO2282)), "Y", "")</f>
        <v/>
      </c>
      <c r="BJ2282" s="319" t="str">
        <f t="shared" si="1418"/>
        <v/>
      </c>
      <c r="BK2282" s="319" t="str">
        <f t="shared" si="1418"/>
        <v/>
      </c>
      <c r="BL2282" s="319" t="str">
        <f t="shared" si="1418"/>
        <v/>
      </c>
      <c r="BM2282" s="319" t="str">
        <f t="shared" si="1418"/>
        <v/>
      </c>
      <c r="BN2282" s="319" t="str">
        <f t="shared" si="1418"/>
        <v/>
      </c>
      <c r="BO2282" s="319" t="str">
        <f t="shared" si="1418"/>
        <v/>
      </c>
      <c r="BP2282" s="319" t="str">
        <f t="shared" si="1418"/>
        <v/>
      </c>
      <c r="BQ2282" s="319" t="str">
        <f t="shared" si="1418"/>
        <v/>
      </c>
      <c r="BR2282" s="319" t="str">
        <f t="shared" si="1418"/>
        <v/>
      </c>
      <c r="BS2282" s="330">
        <f t="shared" si="185"/>
        <v>0</v>
      </c>
      <c r="BT2282" s="331">
        <f t="shared" si="170"/>
        <v>0</v>
      </c>
      <c r="BU2282" s="920"/>
      <c r="BV2282" s="903" t="str">
        <f t="shared" si="1244"/>
        <v/>
      </c>
      <c r="BW2282" s="908"/>
      <c r="BX2282" s="908"/>
      <c r="BY2282" s="331" t="b">
        <f t="shared" si="201"/>
        <v>0</v>
      </c>
      <c r="BZ2282" s="331"/>
      <c r="CA2282" s="462" t="str">
        <f t="shared" ref="CA2282:CJ2282" si="1419">IF(ISNUMBER(FIND(BI$3, $CP2282)), "Y", "")</f>
        <v/>
      </c>
      <c r="CB2282" s="319" t="str">
        <f t="shared" si="1419"/>
        <v/>
      </c>
      <c r="CC2282" s="319" t="str">
        <f t="shared" si="1419"/>
        <v/>
      </c>
      <c r="CD2282" s="319" t="str">
        <f t="shared" si="1419"/>
        <v/>
      </c>
      <c r="CE2282" s="319" t="str">
        <f t="shared" si="1419"/>
        <v/>
      </c>
      <c r="CF2282" s="319" t="str">
        <f t="shared" si="1419"/>
        <v/>
      </c>
      <c r="CG2282" s="319" t="str">
        <f t="shared" si="1419"/>
        <v/>
      </c>
      <c r="CH2282" s="319" t="str">
        <f t="shared" si="1419"/>
        <v/>
      </c>
      <c r="CI2282" s="319" t="str">
        <f t="shared" si="1419"/>
        <v/>
      </c>
      <c r="CJ2282" s="319" t="str">
        <f t="shared" si="1419"/>
        <v/>
      </c>
      <c r="CK2282" s="342">
        <f t="shared" si="182"/>
        <v>0</v>
      </c>
      <c r="CL2282" s="333">
        <f t="shared" si="183"/>
        <v>0</v>
      </c>
      <c r="CM2282" s="1079"/>
      <c r="CN2282" s="1005"/>
      <c r="CO2282" s="1005"/>
      <c r="CP2282" s="1005"/>
    </row>
    <row r="2283">
      <c r="A2283" s="1257"/>
      <c r="B2283" s="1113"/>
      <c r="C2283" s="1107"/>
      <c r="D2283" s="103"/>
      <c r="E2283" s="1137"/>
      <c r="F2283" s="112"/>
      <c r="G2283" s="1110"/>
      <c r="H2283" s="1138"/>
      <c r="I2283" s="1138"/>
      <c r="J2283" s="1139"/>
      <c r="K2283" s="1111"/>
      <c r="L2283" s="1112"/>
      <c r="M2283" s="1113"/>
      <c r="N2283" s="110"/>
      <c r="O2283" s="1140"/>
      <c r="P2283" s="1115"/>
      <c r="Q2283" s="1116"/>
      <c r="R2283" s="1141"/>
      <c r="S2283" s="1113"/>
      <c r="T2283" s="1143"/>
      <c r="U2283" s="1108"/>
      <c r="V2283" s="1108"/>
      <c r="W2283" s="1108"/>
      <c r="X2283" s="1108"/>
      <c r="Y2283" s="1108"/>
      <c r="Z2283" s="1114"/>
      <c r="AA2283" s="1114"/>
      <c r="AB2283" s="1114"/>
      <c r="AC2283" s="1117"/>
      <c r="AD2283" s="1115"/>
      <c r="AE2283" s="1115"/>
      <c r="AF2283" s="1115"/>
      <c r="AG2283" s="1115"/>
      <c r="AH2283" s="1115"/>
      <c r="AI2283" s="1115"/>
      <c r="AJ2283" s="1117"/>
      <c r="AK2283" s="1118"/>
      <c r="AL2283" s="1115"/>
      <c r="AM2283" s="1115"/>
      <c r="AN2283" s="1115"/>
      <c r="AO2283" s="1115"/>
      <c r="AP2283" s="1115"/>
      <c r="AQ2283" s="1115"/>
      <c r="AR2283" s="1115"/>
      <c r="AS2283" s="1117"/>
      <c r="AT2283" s="1196" t="str">
        <f t="shared" si="428"/>
        <v/>
      </c>
      <c r="AU2283" s="1193"/>
      <c r="AV2283" s="330">
        <f>SQRT(($R2283-Infrastructure!J$3)^2+($S2283-Infrastructure!K$3)^2)</f>
        <v>28.90155705</v>
      </c>
      <c r="AW2283" s="331">
        <f>SQRT(($R2283-Infrastructure!J$4)^2+($S2283-Infrastructure!K$4)^2)</f>
        <v>17.80252791</v>
      </c>
      <c r="AX2283" s="331">
        <f>SQRT(($R2283-Infrastructure!J$5)^2+($S2283-Infrastructure!K$5)^2)</f>
        <v>5.10881591</v>
      </c>
      <c r="AY2283" s="331">
        <f>SQRT(($R2283-Infrastructure!J$6)^2+($S2283-Infrastructure!K$6)^2)</f>
        <v>10.10445446</v>
      </c>
      <c r="AZ2283" s="331">
        <f>SQRT(($R2283-Infrastructure!J$7)^2+($S2283-Infrastructure!K$7)^2)</f>
        <v>20.502195</v>
      </c>
      <c r="BA2283" s="331">
        <f>SQRT(($R2283-Infrastructure!J$8)^2+($S2283-Infrastructure!K$8)^2)</f>
        <v>30.10149498</v>
      </c>
      <c r="BB2283" s="331">
        <f>SQRT(($R2283-Infrastructure!J$9)^2+($S2283-Infrastructure!K$9)^2)</f>
        <v>40.3238143</v>
      </c>
      <c r="BC2283" s="331">
        <f>SQRT(($R2283-Infrastructure!J$10)^2+($S2283-Infrastructure!K$10)^2)</f>
        <v>42.72001873</v>
      </c>
      <c r="BD2283" s="331">
        <f>SQRT(($R2283-Infrastructure!J$11)^2+($S2283-Infrastructure!K$11)^2)</f>
        <v>49.56853841</v>
      </c>
      <c r="BE2283" s="333">
        <f>SQRT(($R2283-Infrastructure!J$12)^2+($S2283-Infrastructure!K$12)^2)</f>
        <v>59.51890456</v>
      </c>
      <c r="BF2283" s="330">
        <f t="shared" si="161"/>
        <v>5.10881591</v>
      </c>
      <c r="BG2283" s="333">
        <f t="shared" si="162"/>
        <v>59.51890456</v>
      </c>
      <c r="BH2283" s="1119"/>
      <c r="BI2283" s="319" t="str">
        <f t="shared" ref="BI2283:BR2283" si="1420">IF(ISNUMBER(FIND(BI$3, $CO2283)), "Y", "")</f>
        <v/>
      </c>
      <c r="BJ2283" s="319" t="str">
        <f t="shared" si="1420"/>
        <v/>
      </c>
      <c r="BK2283" s="319" t="str">
        <f t="shared" si="1420"/>
        <v/>
      </c>
      <c r="BL2283" s="319" t="str">
        <f t="shared" si="1420"/>
        <v/>
      </c>
      <c r="BM2283" s="319" t="str">
        <f t="shared" si="1420"/>
        <v/>
      </c>
      <c r="BN2283" s="319" t="str">
        <f t="shared" si="1420"/>
        <v/>
      </c>
      <c r="BO2283" s="319" t="str">
        <f t="shared" si="1420"/>
        <v/>
      </c>
      <c r="BP2283" s="319" t="str">
        <f t="shared" si="1420"/>
        <v/>
      </c>
      <c r="BQ2283" s="319" t="str">
        <f t="shared" si="1420"/>
        <v/>
      </c>
      <c r="BR2283" s="319" t="str">
        <f t="shared" si="1420"/>
        <v/>
      </c>
      <c r="BS2283" s="330">
        <f t="shared" si="185"/>
        <v>0</v>
      </c>
      <c r="BT2283" s="331">
        <f t="shared" si="170"/>
        <v>0</v>
      </c>
      <c r="BU2283" s="920"/>
      <c r="BV2283" s="903" t="str">
        <f t="shared" si="1244"/>
        <v/>
      </c>
      <c r="BW2283" s="908"/>
      <c r="BX2283" s="908"/>
      <c r="BY2283" s="331" t="b">
        <f t="shared" si="201"/>
        <v>0</v>
      </c>
      <c r="BZ2283" s="331"/>
      <c r="CA2283" s="462" t="str">
        <f t="shared" ref="CA2283:CJ2283" si="1421">IF(ISNUMBER(FIND(BI$3, $CP2283)), "Y", "")</f>
        <v/>
      </c>
      <c r="CB2283" s="319" t="str">
        <f t="shared" si="1421"/>
        <v/>
      </c>
      <c r="CC2283" s="319" t="str">
        <f t="shared" si="1421"/>
        <v/>
      </c>
      <c r="CD2283" s="319" t="str">
        <f t="shared" si="1421"/>
        <v/>
      </c>
      <c r="CE2283" s="319" t="str">
        <f t="shared" si="1421"/>
        <v/>
      </c>
      <c r="CF2283" s="319" t="str">
        <f t="shared" si="1421"/>
        <v/>
      </c>
      <c r="CG2283" s="319" t="str">
        <f t="shared" si="1421"/>
        <v/>
      </c>
      <c r="CH2283" s="319" t="str">
        <f t="shared" si="1421"/>
        <v/>
      </c>
      <c r="CI2283" s="319" t="str">
        <f t="shared" si="1421"/>
        <v/>
      </c>
      <c r="CJ2283" s="319" t="str">
        <f t="shared" si="1421"/>
        <v/>
      </c>
      <c r="CK2283" s="342">
        <f t="shared" si="182"/>
        <v>0</v>
      </c>
      <c r="CL2283" s="333">
        <f t="shared" si="183"/>
        <v>0</v>
      </c>
      <c r="CM2283" s="1079"/>
      <c r="CN2283" s="1005"/>
      <c r="CO2283" s="1005"/>
      <c r="CP2283" s="1005"/>
    </row>
    <row r="2284">
      <c r="A2284" s="1257"/>
      <c r="B2284" s="1113"/>
      <c r="C2284" s="1107"/>
      <c r="D2284" s="103"/>
      <c r="E2284" s="1137"/>
      <c r="F2284" s="112"/>
      <c r="G2284" s="1110"/>
      <c r="H2284" s="1138"/>
      <c r="I2284" s="1138"/>
      <c r="J2284" s="1139"/>
      <c r="K2284" s="1111"/>
      <c r="L2284" s="1112"/>
      <c r="M2284" s="1113"/>
      <c r="N2284" s="110"/>
      <c r="O2284" s="1140"/>
      <c r="P2284" s="1115"/>
      <c r="Q2284" s="1116"/>
      <c r="R2284" s="1141"/>
      <c r="S2284" s="1113"/>
      <c r="T2284" s="1143"/>
      <c r="U2284" s="1108"/>
      <c r="V2284" s="1108"/>
      <c r="W2284" s="1108"/>
      <c r="X2284" s="1108"/>
      <c r="Y2284" s="1108"/>
      <c r="Z2284" s="1114"/>
      <c r="AA2284" s="1114"/>
      <c r="AB2284" s="1114"/>
      <c r="AC2284" s="1117"/>
      <c r="AD2284" s="1115"/>
      <c r="AE2284" s="1115"/>
      <c r="AF2284" s="1115"/>
      <c r="AG2284" s="1115"/>
      <c r="AH2284" s="1115"/>
      <c r="AI2284" s="1115"/>
      <c r="AJ2284" s="1117"/>
      <c r="AK2284" s="1118"/>
      <c r="AL2284" s="1115"/>
      <c r="AM2284" s="1115"/>
      <c r="AN2284" s="1115"/>
      <c r="AO2284" s="1115"/>
      <c r="AP2284" s="1115"/>
      <c r="AQ2284" s="1115"/>
      <c r="AR2284" s="1115"/>
      <c r="AS2284" s="1117"/>
      <c r="AT2284" s="1196" t="str">
        <f t="shared" si="428"/>
        <v/>
      </c>
      <c r="AU2284" s="1193"/>
      <c r="AV2284" s="330">
        <f>SQRT(($R2284-Infrastructure!J$3)^2+($S2284-Infrastructure!K$3)^2)</f>
        <v>28.90155705</v>
      </c>
      <c r="AW2284" s="331">
        <f>SQRT(($R2284-Infrastructure!J$4)^2+($S2284-Infrastructure!K$4)^2)</f>
        <v>17.80252791</v>
      </c>
      <c r="AX2284" s="331">
        <f>SQRT(($R2284-Infrastructure!J$5)^2+($S2284-Infrastructure!K$5)^2)</f>
        <v>5.10881591</v>
      </c>
      <c r="AY2284" s="331">
        <f>SQRT(($R2284-Infrastructure!J$6)^2+($S2284-Infrastructure!K$6)^2)</f>
        <v>10.10445446</v>
      </c>
      <c r="AZ2284" s="331">
        <f>SQRT(($R2284-Infrastructure!J$7)^2+($S2284-Infrastructure!K$7)^2)</f>
        <v>20.502195</v>
      </c>
      <c r="BA2284" s="331">
        <f>SQRT(($R2284-Infrastructure!J$8)^2+($S2284-Infrastructure!K$8)^2)</f>
        <v>30.10149498</v>
      </c>
      <c r="BB2284" s="331">
        <f>SQRT(($R2284-Infrastructure!J$9)^2+($S2284-Infrastructure!K$9)^2)</f>
        <v>40.3238143</v>
      </c>
      <c r="BC2284" s="331">
        <f>SQRT(($R2284-Infrastructure!J$10)^2+($S2284-Infrastructure!K$10)^2)</f>
        <v>42.72001873</v>
      </c>
      <c r="BD2284" s="331">
        <f>SQRT(($R2284-Infrastructure!J$11)^2+($S2284-Infrastructure!K$11)^2)</f>
        <v>49.56853841</v>
      </c>
      <c r="BE2284" s="333">
        <f>SQRT(($R2284-Infrastructure!J$12)^2+($S2284-Infrastructure!K$12)^2)</f>
        <v>59.51890456</v>
      </c>
      <c r="BF2284" s="330">
        <f t="shared" si="161"/>
        <v>5.10881591</v>
      </c>
      <c r="BG2284" s="333">
        <f t="shared" si="162"/>
        <v>59.51890456</v>
      </c>
      <c r="BH2284" s="1119"/>
      <c r="BI2284" s="319" t="str">
        <f t="shared" ref="BI2284:BR2284" si="1422">IF(ISNUMBER(FIND(BI$3, $CO2284)), "Y", "")</f>
        <v/>
      </c>
      <c r="BJ2284" s="319" t="str">
        <f t="shared" si="1422"/>
        <v/>
      </c>
      <c r="BK2284" s="319" t="str">
        <f t="shared" si="1422"/>
        <v/>
      </c>
      <c r="BL2284" s="319" t="str">
        <f t="shared" si="1422"/>
        <v/>
      </c>
      <c r="BM2284" s="319" t="str">
        <f t="shared" si="1422"/>
        <v/>
      </c>
      <c r="BN2284" s="319" t="str">
        <f t="shared" si="1422"/>
        <v/>
      </c>
      <c r="BO2284" s="319" t="str">
        <f t="shared" si="1422"/>
        <v/>
      </c>
      <c r="BP2284" s="319" t="str">
        <f t="shared" si="1422"/>
        <v/>
      </c>
      <c r="BQ2284" s="319" t="str">
        <f t="shared" si="1422"/>
        <v/>
      </c>
      <c r="BR2284" s="319" t="str">
        <f t="shared" si="1422"/>
        <v/>
      </c>
      <c r="BS2284" s="330">
        <f t="shared" si="185"/>
        <v>0</v>
      </c>
      <c r="BT2284" s="331">
        <f t="shared" si="170"/>
        <v>0</v>
      </c>
      <c r="BU2284" s="920"/>
      <c r="BV2284" s="903" t="str">
        <f t="shared" si="1244"/>
        <v/>
      </c>
      <c r="BW2284" s="908"/>
      <c r="BX2284" s="908"/>
      <c r="BY2284" s="331" t="b">
        <f t="shared" si="201"/>
        <v>0</v>
      </c>
      <c r="BZ2284" s="331"/>
      <c r="CA2284" s="462" t="str">
        <f t="shared" ref="CA2284:CJ2284" si="1423">IF(ISNUMBER(FIND(BI$3, $CP2284)), "Y", "")</f>
        <v/>
      </c>
      <c r="CB2284" s="319" t="str">
        <f t="shared" si="1423"/>
        <v/>
      </c>
      <c r="CC2284" s="319" t="str">
        <f t="shared" si="1423"/>
        <v/>
      </c>
      <c r="CD2284" s="319" t="str">
        <f t="shared" si="1423"/>
        <v/>
      </c>
      <c r="CE2284" s="319" t="str">
        <f t="shared" si="1423"/>
        <v/>
      </c>
      <c r="CF2284" s="319" t="str">
        <f t="shared" si="1423"/>
        <v/>
      </c>
      <c r="CG2284" s="319" t="str">
        <f t="shared" si="1423"/>
        <v/>
      </c>
      <c r="CH2284" s="319" t="str">
        <f t="shared" si="1423"/>
        <v/>
      </c>
      <c r="CI2284" s="319" t="str">
        <f t="shared" si="1423"/>
        <v/>
      </c>
      <c r="CJ2284" s="319" t="str">
        <f t="shared" si="1423"/>
        <v/>
      </c>
      <c r="CK2284" s="342">
        <f t="shared" si="182"/>
        <v>0</v>
      </c>
      <c r="CL2284" s="333">
        <f t="shared" si="183"/>
        <v>0</v>
      </c>
      <c r="CM2284" s="1079"/>
      <c r="CN2284" s="1005"/>
      <c r="CO2284" s="1005"/>
      <c r="CP2284" s="1005"/>
    </row>
    <row r="2285">
      <c r="A2285" s="1257"/>
      <c r="B2285" s="1113"/>
      <c r="C2285" s="1107"/>
      <c r="D2285" s="103"/>
      <c r="E2285" s="1137"/>
      <c r="F2285" s="112"/>
      <c r="G2285" s="1110"/>
      <c r="H2285" s="1138"/>
      <c r="I2285" s="1138"/>
      <c r="J2285" s="1139"/>
      <c r="K2285" s="1111"/>
      <c r="L2285" s="1112"/>
      <c r="M2285" s="1113"/>
      <c r="N2285" s="110"/>
      <c r="O2285" s="1140"/>
      <c r="P2285" s="1115"/>
      <c r="Q2285" s="1116"/>
      <c r="R2285" s="1141"/>
      <c r="S2285" s="1113"/>
      <c r="T2285" s="1143"/>
      <c r="U2285" s="1108"/>
      <c r="V2285" s="1108"/>
      <c r="W2285" s="1108"/>
      <c r="X2285" s="1108"/>
      <c r="Y2285" s="1108"/>
      <c r="Z2285" s="1114"/>
      <c r="AA2285" s="1114"/>
      <c r="AB2285" s="1114"/>
      <c r="AC2285" s="1117"/>
      <c r="AD2285" s="1115"/>
      <c r="AE2285" s="1115"/>
      <c r="AF2285" s="1115"/>
      <c r="AG2285" s="1115"/>
      <c r="AH2285" s="1115"/>
      <c r="AI2285" s="1115"/>
      <c r="AJ2285" s="1117"/>
      <c r="AK2285" s="1118"/>
      <c r="AL2285" s="1115"/>
      <c r="AM2285" s="1115"/>
      <c r="AN2285" s="1115"/>
      <c r="AO2285" s="1115"/>
      <c r="AP2285" s="1115"/>
      <c r="AQ2285" s="1115"/>
      <c r="AR2285" s="1115"/>
      <c r="AS2285" s="1117"/>
      <c r="AT2285" s="1196" t="str">
        <f t="shared" si="428"/>
        <v/>
      </c>
      <c r="AU2285" s="1193"/>
      <c r="AV2285" s="330">
        <f>SQRT(($R2285-Infrastructure!J$3)^2+($S2285-Infrastructure!K$3)^2)</f>
        <v>28.90155705</v>
      </c>
      <c r="AW2285" s="331">
        <f>SQRT(($R2285-Infrastructure!J$4)^2+($S2285-Infrastructure!K$4)^2)</f>
        <v>17.80252791</v>
      </c>
      <c r="AX2285" s="331">
        <f>SQRT(($R2285-Infrastructure!J$5)^2+($S2285-Infrastructure!K$5)^2)</f>
        <v>5.10881591</v>
      </c>
      <c r="AY2285" s="331">
        <f>SQRT(($R2285-Infrastructure!J$6)^2+($S2285-Infrastructure!K$6)^2)</f>
        <v>10.10445446</v>
      </c>
      <c r="AZ2285" s="331">
        <f>SQRT(($R2285-Infrastructure!J$7)^2+($S2285-Infrastructure!K$7)^2)</f>
        <v>20.502195</v>
      </c>
      <c r="BA2285" s="331">
        <f>SQRT(($R2285-Infrastructure!J$8)^2+($S2285-Infrastructure!K$8)^2)</f>
        <v>30.10149498</v>
      </c>
      <c r="BB2285" s="331">
        <f>SQRT(($R2285-Infrastructure!J$9)^2+($S2285-Infrastructure!K$9)^2)</f>
        <v>40.3238143</v>
      </c>
      <c r="BC2285" s="331">
        <f>SQRT(($R2285-Infrastructure!J$10)^2+($S2285-Infrastructure!K$10)^2)</f>
        <v>42.72001873</v>
      </c>
      <c r="BD2285" s="331">
        <f>SQRT(($R2285-Infrastructure!J$11)^2+($S2285-Infrastructure!K$11)^2)</f>
        <v>49.56853841</v>
      </c>
      <c r="BE2285" s="333">
        <f>SQRT(($R2285-Infrastructure!J$12)^2+($S2285-Infrastructure!K$12)^2)</f>
        <v>59.51890456</v>
      </c>
      <c r="BF2285" s="330">
        <f t="shared" si="161"/>
        <v>5.10881591</v>
      </c>
      <c r="BG2285" s="333">
        <f t="shared" si="162"/>
        <v>59.51890456</v>
      </c>
      <c r="BH2285" s="1119"/>
      <c r="BI2285" s="319" t="str">
        <f t="shared" ref="BI2285:BR2285" si="1424">IF(ISNUMBER(FIND(BI$3, $CO2285)), "Y", "")</f>
        <v/>
      </c>
      <c r="BJ2285" s="319" t="str">
        <f t="shared" si="1424"/>
        <v/>
      </c>
      <c r="BK2285" s="319" t="str">
        <f t="shared" si="1424"/>
        <v/>
      </c>
      <c r="BL2285" s="319" t="str">
        <f t="shared" si="1424"/>
        <v/>
      </c>
      <c r="BM2285" s="319" t="str">
        <f t="shared" si="1424"/>
        <v/>
      </c>
      <c r="BN2285" s="319" t="str">
        <f t="shared" si="1424"/>
        <v/>
      </c>
      <c r="BO2285" s="319" t="str">
        <f t="shared" si="1424"/>
        <v/>
      </c>
      <c r="BP2285" s="319" t="str">
        <f t="shared" si="1424"/>
        <v/>
      </c>
      <c r="BQ2285" s="319" t="str">
        <f t="shared" si="1424"/>
        <v/>
      </c>
      <c r="BR2285" s="319" t="str">
        <f t="shared" si="1424"/>
        <v/>
      </c>
      <c r="BS2285" s="330">
        <f t="shared" si="185"/>
        <v>0</v>
      </c>
      <c r="BT2285" s="331">
        <f t="shared" si="170"/>
        <v>0</v>
      </c>
      <c r="BU2285" s="920"/>
      <c r="BV2285" s="903" t="str">
        <f t="shared" si="1244"/>
        <v/>
      </c>
      <c r="BW2285" s="908"/>
      <c r="BX2285" s="908"/>
      <c r="BY2285" s="331" t="b">
        <f t="shared" si="201"/>
        <v>0</v>
      </c>
      <c r="BZ2285" s="331"/>
      <c r="CA2285" s="462" t="str">
        <f t="shared" ref="CA2285:CJ2285" si="1425">IF(ISNUMBER(FIND(BI$3, $CP2285)), "Y", "")</f>
        <v/>
      </c>
      <c r="CB2285" s="319" t="str">
        <f t="shared" si="1425"/>
        <v/>
      </c>
      <c r="CC2285" s="319" t="str">
        <f t="shared" si="1425"/>
        <v/>
      </c>
      <c r="CD2285" s="319" t="str">
        <f t="shared" si="1425"/>
        <v/>
      </c>
      <c r="CE2285" s="319" t="str">
        <f t="shared" si="1425"/>
        <v/>
      </c>
      <c r="CF2285" s="319" t="str">
        <f t="shared" si="1425"/>
        <v/>
      </c>
      <c r="CG2285" s="319" t="str">
        <f t="shared" si="1425"/>
        <v/>
      </c>
      <c r="CH2285" s="319" t="str">
        <f t="shared" si="1425"/>
        <v/>
      </c>
      <c r="CI2285" s="319" t="str">
        <f t="shared" si="1425"/>
        <v/>
      </c>
      <c r="CJ2285" s="319" t="str">
        <f t="shared" si="1425"/>
        <v/>
      </c>
      <c r="CK2285" s="342">
        <f t="shared" si="182"/>
        <v>0</v>
      </c>
      <c r="CL2285" s="333">
        <f t="shared" si="183"/>
        <v>0</v>
      </c>
      <c r="CM2285" s="1079"/>
      <c r="CN2285" s="1005"/>
      <c r="CO2285" s="1005"/>
      <c r="CP2285" s="1005"/>
    </row>
    <row r="2286">
      <c r="A2286" s="1257"/>
      <c r="B2286" s="1113"/>
      <c r="C2286" s="1107"/>
      <c r="D2286" s="103"/>
      <c r="E2286" s="1137"/>
      <c r="F2286" s="112"/>
      <c r="G2286" s="1110"/>
      <c r="H2286" s="1138"/>
      <c r="I2286" s="1138"/>
      <c r="J2286" s="1139"/>
      <c r="K2286" s="1111"/>
      <c r="L2286" s="1112"/>
      <c r="M2286" s="1113"/>
      <c r="N2286" s="110"/>
      <c r="O2286" s="1140"/>
      <c r="P2286" s="1115"/>
      <c r="Q2286" s="1116"/>
      <c r="R2286" s="1141"/>
      <c r="S2286" s="1113"/>
      <c r="T2286" s="1143"/>
      <c r="U2286" s="1108"/>
      <c r="V2286" s="1108"/>
      <c r="W2286" s="1108"/>
      <c r="X2286" s="1108"/>
      <c r="Y2286" s="1108"/>
      <c r="Z2286" s="1114"/>
      <c r="AA2286" s="1114"/>
      <c r="AB2286" s="1114"/>
      <c r="AC2286" s="1117"/>
      <c r="AD2286" s="1115"/>
      <c r="AE2286" s="1115"/>
      <c r="AF2286" s="1115"/>
      <c r="AG2286" s="1115"/>
      <c r="AH2286" s="1115"/>
      <c r="AI2286" s="1115"/>
      <c r="AJ2286" s="1117"/>
      <c r="AK2286" s="1118"/>
      <c r="AL2286" s="1115"/>
      <c r="AM2286" s="1115"/>
      <c r="AN2286" s="1115"/>
      <c r="AO2286" s="1115"/>
      <c r="AP2286" s="1115"/>
      <c r="AQ2286" s="1115"/>
      <c r="AR2286" s="1115"/>
      <c r="AS2286" s="1117"/>
      <c r="AT2286" s="1196" t="str">
        <f t="shared" si="428"/>
        <v/>
      </c>
      <c r="AU2286" s="1193"/>
      <c r="AV2286" s="330">
        <f>SQRT(($R2286-Infrastructure!J$3)^2+($S2286-Infrastructure!K$3)^2)</f>
        <v>28.90155705</v>
      </c>
      <c r="AW2286" s="331">
        <f>SQRT(($R2286-Infrastructure!J$4)^2+($S2286-Infrastructure!K$4)^2)</f>
        <v>17.80252791</v>
      </c>
      <c r="AX2286" s="331">
        <f>SQRT(($R2286-Infrastructure!J$5)^2+($S2286-Infrastructure!K$5)^2)</f>
        <v>5.10881591</v>
      </c>
      <c r="AY2286" s="331">
        <f>SQRT(($R2286-Infrastructure!J$6)^2+($S2286-Infrastructure!K$6)^2)</f>
        <v>10.10445446</v>
      </c>
      <c r="AZ2286" s="331">
        <f>SQRT(($R2286-Infrastructure!J$7)^2+($S2286-Infrastructure!K$7)^2)</f>
        <v>20.502195</v>
      </c>
      <c r="BA2286" s="331">
        <f>SQRT(($R2286-Infrastructure!J$8)^2+($S2286-Infrastructure!K$8)^2)</f>
        <v>30.10149498</v>
      </c>
      <c r="BB2286" s="331">
        <f>SQRT(($R2286-Infrastructure!J$9)^2+($S2286-Infrastructure!K$9)^2)</f>
        <v>40.3238143</v>
      </c>
      <c r="BC2286" s="331">
        <f>SQRT(($R2286-Infrastructure!J$10)^2+($S2286-Infrastructure!K$10)^2)</f>
        <v>42.72001873</v>
      </c>
      <c r="BD2286" s="331">
        <f>SQRT(($R2286-Infrastructure!J$11)^2+($S2286-Infrastructure!K$11)^2)</f>
        <v>49.56853841</v>
      </c>
      <c r="BE2286" s="333">
        <f>SQRT(($R2286-Infrastructure!J$12)^2+($S2286-Infrastructure!K$12)^2)</f>
        <v>59.51890456</v>
      </c>
      <c r="BF2286" s="330">
        <f t="shared" si="161"/>
        <v>5.10881591</v>
      </c>
      <c r="BG2286" s="333">
        <f t="shared" si="162"/>
        <v>59.51890456</v>
      </c>
      <c r="BH2286" s="1119"/>
      <c r="BI2286" s="319" t="str">
        <f t="shared" ref="BI2286:BR2286" si="1426">IF(ISNUMBER(FIND(BI$3, $CO2286)), "Y", "")</f>
        <v/>
      </c>
      <c r="BJ2286" s="319" t="str">
        <f t="shared" si="1426"/>
        <v/>
      </c>
      <c r="BK2286" s="319" t="str">
        <f t="shared" si="1426"/>
        <v/>
      </c>
      <c r="BL2286" s="319" t="str">
        <f t="shared" si="1426"/>
        <v/>
      </c>
      <c r="BM2286" s="319" t="str">
        <f t="shared" si="1426"/>
        <v/>
      </c>
      <c r="BN2286" s="319" t="str">
        <f t="shared" si="1426"/>
        <v/>
      </c>
      <c r="BO2286" s="319" t="str">
        <f t="shared" si="1426"/>
        <v/>
      </c>
      <c r="BP2286" s="319" t="str">
        <f t="shared" si="1426"/>
        <v/>
      </c>
      <c r="BQ2286" s="319" t="str">
        <f t="shared" si="1426"/>
        <v/>
      </c>
      <c r="BR2286" s="319" t="str">
        <f t="shared" si="1426"/>
        <v/>
      </c>
      <c r="BS2286" s="330">
        <f t="shared" si="185"/>
        <v>0</v>
      </c>
      <c r="BT2286" s="331">
        <f t="shared" si="170"/>
        <v>0</v>
      </c>
      <c r="BU2286" s="920"/>
      <c r="BV2286" s="903" t="str">
        <f t="shared" si="1244"/>
        <v/>
      </c>
      <c r="BW2286" s="908"/>
      <c r="BX2286" s="908"/>
      <c r="BY2286" s="331" t="b">
        <f t="shared" si="201"/>
        <v>0</v>
      </c>
      <c r="BZ2286" s="331"/>
      <c r="CA2286" s="462" t="str">
        <f t="shared" ref="CA2286:CJ2286" si="1427">IF(ISNUMBER(FIND(BI$3, $CP2286)), "Y", "")</f>
        <v/>
      </c>
      <c r="CB2286" s="319" t="str">
        <f t="shared" si="1427"/>
        <v/>
      </c>
      <c r="CC2286" s="319" t="str">
        <f t="shared" si="1427"/>
        <v/>
      </c>
      <c r="CD2286" s="319" t="str">
        <f t="shared" si="1427"/>
        <v/>
      </c>
      <c r="CE2286" s="319" t="str">
        <f t="shared" si="1427"/>
        <v/>
      </c>
      <c r="CF2286" s="319" t="str">
        <f t="shared" si="1427"/>
        <v/>
      </c>
      <c r="CG2286" s="319" t="str">
        <f t="shared" si="1427"/>
        <v/>
      </c>
      <c r="CH2286" s="319" t="str">
        <f t="shared" si="1427"/>
        <v/>
      </c>
      <c r="CI2286" s="319" t="str">
        <f t="shared" si="1427"/>
        <v/>
      </c>
      <c r="CJ2286" s="319" t="str">
        <f t="shared" si="1427"/>
        <v/>
      </c>
      <c r="CK2286" s="342">
        <f t="shared" si="182"/>
        <v>0</v>
      </c>
      <c r="CL2286" s="333">
        <f t="shared" si="183"/>
        <v>0</v>
      </c>
      <c r="CM2286" s="1079"/>
      <c r="CN2286" s="1005"/>
      <c r="CO2286" s="1005"/>
      <c r="CP2286" s="1005"/>
    </row>
    <row r="2287">
      <c r="A2287" s="1257"/>
      <c r="B2287" s="1113"/>
      <c r="C2287" s="1107"/>
      <c r="D2287" s="103"/>
      <c r="E2287" s="1137"/>
      <c r="F2287" s="112"/>
      <c r="G2287" s="1110"/>
      <c r="H2287" s="1138"/>
      <c r="I2287" s="1138"/>
      <c r="J2287" s="1139"/>
      <c r="K2287" s="1111"/>
      <c r="L2287" s="1112"/>
      <c r="M2287" s="1113"/>
      <c r="N2287" s="110"/>
      <c r="O2287" s="1140"/>
      <c r="P2287" s="1115"/>
      <c r="Q2287" s="1116"/>
      <c r="R2287" s="1141"/>
      <c r="S2287" s="1113"/>
      <c r="T2287" s="1143"/>
      <c r="U2287" s="1108"/>
      <c r="V2287" s="1108"/>
      <c r="W2287" s="1108"/>
      <c r="X2287" s="1108"/>
      <c r="Y2287" s="1108"/>
      <c r="Z2287" s="1114"/>
      <c r="AA2287" s="1114"/>
      <c r="AB2287" s="1114"/>
      <c r="AC2287" s="1117"/>
      <c r="AD2287" s="1115"/>
      <c r="AE2287" s="1115"/>
      <c r="AF2287" s="1115"/>
      <c r="AG2287" s="1115"/>
      <c r="AH2287" s="1115"/>
      <c r="AI2287" s="1115"/>
      <c r="AJ2287" s="1117"/>
      <c r="AK2287" s="1118"/>
      <c r="AL2287" s="1115"/>
      <c r="AM2287" s="1115"/>
      <c r="AN2287" s="1115"/>
      <c r="AO2287" s="1115"/>
      <c r="AP2287" s="1115"/>
      <c r="AQ2287" s="1115"/>
      <c r="AR2287" s="1115"/>
      <c r="AS2287" s="1117"/>
      <c r="AT2287" s="1196" t="str">
        <f t="shared" si="428"/>
        <v/>
      </c>
      <c r="AU2287" s="1193"/>
      <c r="AV2287" s="330">
        <f>SQRT(($R2287-Infrastructure!J$3)^2+($S2287-Infrastructure!K$3)^2)</f>
        <v>28.90155705</v>
      </c>
      <c r="AW2287" s="331">
        <f>SQRT(($R2287-Infrastructure!J$4)^2+($S2287-Infrastructure!K$4)^2)</f>
        <v>17.80252791</v>
      </c>
      <c r="AX2287" s="331">
        <f>SQRT(($R2287-Infrastructure!J$5)^2+($S2287-Infrastructure!K$5)^2)</f>
        <v>5.10881591</v>
      </c>
      <c r="AY2287" s="331">
        <f>SQRT(($R2287-Infrastructure!J$6)^2+($S2287-Infrastructure!K$6)^2)</f>
        <v>10.10445446</v>
      </c>
      <c r="AZ2287" s="331">
        <f>SQRT(($R2287-Infrastructure!J$7)^2+($S2287-Infrastructure!K$7)^2)</f>
        <v>20.502195</v>
      </c>
      <c r="BA2287" s="331">
        <f>SQRT(($R2287-Infrastructure!J$8)^2+($S2287-Infrastructure!K$8)^2)</f>
        <v>30.10149498</v>
      </c>
      <c r="BB2287" s="331">
        <f>SQRT(($R2287-Infrastructure!J$9)^2+($S2287-Infrastructure!K$9)^2)</f>
        <v>40.3238143</v>
      </c>
      <c r="BC2287" s="331">
        <f>SQRT(($R2287-Infrastructure!J$10)^2+($S2287-Infrastructure!K$10)^2)</f>
        <v>42.72001873</v>
      </c>
      <c r="BD2287" s="331">
        <f>SQRT(($R2287-Infrastructure!J$11)^2+($S2287-Infrastructure!K$11)^2)</f>
        <v>49.56853841</v>
      </c>
      <c r="BE2287" s="333">
        <f>SQRT(($R2287-Infrastructure!J$12)^2+($S2287-Infrastructure!K$12)^2)</f>
        <v>59.51890456</v>
      </c>
      <c r="BF2287" s="330">
        <f t="shared" si="161"/>
        <v>5.10881591</v>
      </c>
      <c r="BG2287" s="333">
        <f t="shared" si="162"/>
        <v>59.51890456</v>
      </c>
      <c r="BH2287" s="1119"/>
      <c r="BI2287" s="319" t="str">
        <f t="shared" ref="BI2287:BR2287" si="1428">IF(ISNUMBER(FIND(BI$3, $CO2287)), "Y", "")</f>
        <v/>
      </c>
      <c r="BJ2287" s="319" t="str">
        <f t="shared" si="1428"/>
        <v/>
      </c>
      <c r="BK2287" s="319" t="str">
        <f t="shared" si="1428"/>
        <v/>
      </c>
      <c r="BL2287" s="319" t="str">
        <f t="shared" si="1428"/>
        <v/>
      </c>
      <c r="BM2287" s="319" t="str">
        <f t="shared" si="1428"/>
        <v/>
      </c>
      <c r="BN2287" s="319" t="str">
        <f t="shared" si="1428"/>
        <v/>
      </c>
      <c r="BO2287" s="319" t="str">
        <f t="shared" si="1428"/>
        <v/>
      </c>
      <c r="BP2287" s="319" t="str">
        <f t="shared" si="1428"/>
        <v/>
      </c>
      <c r="BQ2287" s="319" t="str">
        <f t="shared" si="1428"/>
        <v/>
      </c>
      <c r="BR2287" s="319" t="str">
        <f t="shared" si="1428"/>
        <v/>
      </c>
      <c r="BS2287" s="330">
        <f t="shared" si="185"/>
        <v>0</v>
      </c>
      <c r="BT2287" s="331">
        <f t="shared" si="170"/>
        <v>0</v>
      </c>
      <c r="BU2287" s="920"/>
      <c r="BV2287" s="903" t="str">
        <f t="shared" si="1244"/>
        <v/>
      </c>
      <c r="BW2287" s="908"/>
      <c r="BX2287" s="908"/>
      <c r="BY2287" s="331" t="b">
        <f t="shared" si="201"/>
        <v>0</v>
      </c>
      <c r="BZ2287" s="331"/>
      <c r="CA2287" s="462" t="str">
        <f t="shared" ref="CA2287:CJ2287" si="1429">IF(ISNUMBER(FIND(BI$3, $CP2287)), "Y", "")</f>
        <v/>
      </c>
      <c r="CB2287" s="319" t="str">
        <f t="shared" si="1429"/>
        <v/>
      </c>
      <c r="CC2287" s="319" t="str">
        <f t="shared" si="1429"/>
        <v/>
      </c>
      <c r="CD2287" s="319" t="str">
        <f t="shared" si="1429"/>
        <v/>
      </c>
      <c r="CE2287" s="319" t="str">
        <f t="shared" si="1429"/>
        <v/>
      </c>
      <c r="CF2287" s="319" t="str">
        <f t="shared" si="1429"/>
        <v/>
      </c>
      <c r="CG2287" s="319" t="str">
        <f t="shared" si="1429"/>
        <v/>
      </c>
      <c r="CH2287" s="319" t="str">
        <f t="shared" si="1429"/>
        <v/>
      </c>
      <c r="CI2287" s="319" t="str">
        <f t="shared" si="1429"/>
        <v/>
      </c>
      <c r="CJ2287" s="319" t="str">
        <f t="shared" si="1429"/>
        <v/>
      </c>
      <c r="CK2287" s="342">
        <f t="shared" si="182"/>
        <v>0</v>
      </c>
      <c r="CL2287" s="333">
        <f t="shared" si="183"/>
        <v>0</v>
      </c>
      <c r="CM2287" s="1079"/>
      <c r="CN2287" s="1005"/>
      <c r="CO2287" s="1005"/>
      <c r="CP2287" s="1005"/>
    </row>
    <row r="2288">
      <c r="A2288" s="1257"/>
      <c r="B2288" s="1113"/>
      <c r="C2288" s="1107"/>
      <c r="D2288" s="103"/>
      <c r="E2288" s="1137"/>
      <c r="F2288" s="112"/>
      <c r="G2288" s="1110"/>
      <c r="H2288" s="1138"/>
      <c r="I2288" s="1138"/>
      <c r="J2288" s="1139"/>
      <c r="K2288" s="1111"/>
      <c r="L2288" s="1112"/>
      <c r="M2288" s="1113"/>
      <c r="N2288" s="110"/>
      <c r="O2288" s="1140"/>
      <c r="P2288" s="1115"/>
      <c r="Q2288" s="1116"/>
      <c r="R2288" s="1141"/>
      <c r="S2288" s="1113"/>
      <c r="T2288" s="1143"/>
      <c r="U2288" s="1108"/>
      <c r="V2288" s="1108"/>
      <c r="W2288" s="1108"/>
      <c r="X2288" s="1108"/>
      <c r="Y2288" s="1108"/>
      <c r="Z2288" s="1114"/>
      <c r="AA2288" s="1114"/>
      <c r="AB2288" s="1114"/>
      <c r="AC2288" s="1117"/>
      <c r="AD2288" s="1115"/>
      <c r="AE2288" s="1115"/>
      <c r="AF2288" s="1115"/>
      <c r="AG2288" s="1115"/>
      <c r="AH2288" s="1115"/>
      <c r="AI2288" s="1115"/>
      <c r="AJ2288" s="1117"/>
      <c r="AK2288" s="1118"/>
      <c r="AL2288" s="1115"/>
      <c r="AM2288" s="1115"/>
      <c r="AN2288" s="1115"/>
      <c r="AO2288" s="1115"/>
      <c r="AP2288" s="1115"/>
      <c r="AQ2288" s="1115"/>
      <c r="AR2288" s="1115"/>
      <c r="AS2288" s="1117"/>
      <c r="AT2288" s="1196" t="str">
        <f t="shared" si="428"/>
        <v/>
      </c>
      <c r="AU2288" s="1193"/>
      <c r="AV2288" s="330">
        <f>SQRT(($R2288-Infrastructure!J$3)^2+($S2288-Infrastructure!K$3)^2)</f>
        <v>28.90155705</v>
      </c>
      <c r="AW2288" s="331">
        <f>SQRT(($R2288-Infrastructure!J$4)^2+($S2288-Infrastructure!K$4)^2)</f>
        <v>17.80252791</v>
      </c>
      <c r="AX2288" s="331">
        <f>SQRT(($R2288-Infrastructure!J$5)^2+($S2288-Infrastructure!K$5)^2)</f>
        <v>5.10881591</v>
      </c>
      <c r="AY2288" s="331">
        <f>SQRT(($R2288-Infrastructure!J$6)^2+($S2288-Infrastructure!K$6)^2)</f>
        <v>10.10445446</v>
      </c>
      <c r="AZ2288" s="331">
        <f>SQRT(($R2288-Infrastructure!J$7)^2+($S2288-Infrastructure!K$7)^2)</f>
        <v>20.502195</v>
      </c>
      <c r="BA2288" s="331">
        <f>SQRT(($R2288-Infrastructure!J$8)^2+($S2288-Infrastructure!K$8)^2)</f>
        <v>30.10149498</v>
      </c>
      <c r="BB2288" s="331">
        <f>SQRT(($R2288-Infrastructure!J$9)^2+($S2288-Infrastructure!K$9)^2)</f>
        <v>40.3238143</v>
      </c>
      <c r="BC2288" s="331">
        <f>SQRT(($R2288-Infrastructure!J$10)^2+($S2288-Infrastructure!K$10)^2)</f>
        <v>42.72001873</v>
      </c>
      <c r="BD2288" s="331">
        <f>SQRT(($R2288-Infrastructure!J$11)^2+($S2288-Infrastructure!K$11)^2)</f>
        <v>49.56853841</v>
      </c>
      <c r="BE2288" s="333">
        <f>SQRT(($R2288-Infrastructure!J$12)^2+($S2288-Infrastructure!K$12)^2)</f>
        <v>59.51890456</v>
      </c>
      <c r="BF2288" s="330">
        <f t="shared" si="161"/>
        <v>5.10881591</v>
      </c>
      <c r="BG2288" s="333">
        <f t="shared" si="162"/>
        <v>59.51890456</v>
      </c>
      <c r="BH2288" s="1119"/>
      <c r="BI2288" s="319" t="str">
        <f t="shared" ref="BI2288:BR2288" si="1430">IF(ISNUMBER(FIND(BI$3, $CO2288)), "Y", "")</f>
        <v/>
      </c>
      <c r="BJ2288" s="319" t="str">
        <f t="shared" si="1430"/>
        <v/>
      </c>
      <c r="BK2288" s="319" t="str">
        <f t="shared" si="1430"/>
        <v/>
      </c>
      <c r="BL2288" s="319" t="str">
        <f t="shared" si="1430"/>
        <v/>
      </c>
      <c r="BM2288" s="319" t="str">
        <f t="shared" si="1430"/>
        <v/>
      </c>
      <c r="BN2288" s="319" t="str">
        <f t="shared" si="1430"/>
        <v/>
      </c>
      <c r="BO2288" s="319" t="str">
        <f t="shared" si="1430"/>
        <v/>
      </c>
      <c r="BP2288" s="319" t="str">
        <f t="shared" si="1430"/>
        <v/>
      </c>
      <c r="BQ2288" s="319" t="str">
        <f t="shared" si="1430"/>
        <v/>
      </c>
      <c r="BR2288" s="319" t="str">
        <f t="shared" si="1430"/>
        <v/>
      </c>
      <c r="BS2288" s="330">
        <f t="shared" si="185"/>
        <v>0</v>
      </c>
      <c r="BT2288" s="331">
        <f t="shared" si="170"/>
        <v>0</v>
      </c>
      <c r="BU2288" s="920"/>
      <c r="BV2288" s="903" t="str">
        <f t="shared" si="1244"/>
        <v/>
      </c>
      <c r="BW2288" s="908"/>
      <c r="BX2288" s="908"/>
      <c r="BY2288" s="331" t="b">
        <f t="shared" si="201"/>
        <v>0</v>
      </c>
      <c r="BZ2288" s="331"/>
      <c r="CA2288" s="462" t="str">
        <f t="shared" ref="CA2288:CJ2288" si="1431">IF(ISNUMBER(FIND(BI$3, $CP2288)), "Y", "")</f>
        <v/>
      </c>
      <c r="CB2288" s="319" t="str">
        <f t="shared" si="1431"/>
        <v/>
      </c>
      <c r="CC2288" s="319" t="str">
        <f t="shared" si="1431"/>
        <v/>
      </c>
      <c r="CD2288" s="319" t="str">
        <f t="shared" si="1431"/>
        <v/>
      </c>
      <c r="CE2288" s="319" t="str">
        <f t="shared" si="1431"/>
        <v/>
      </c>
      <c r="CF2288" s="319" t="str">
        <f t="shared" si="1431"/>
        <v/>
      </c>
      <c r="CG2288" s="319" t="str">
        <f t="shared" si="1431"/>
        <v/>
      </c>
      <c r="CH2288" s="319" t="str">
        <f t="shared" si="1431"/>
        <v/>
      </c>
      <c r="CI2288" s="319" t="str">
        <f t="shared" si="1431"/>
        <v/>
      </c>
      <c r="CJ2288" s="319" t="str">
        <f t="shared" si="1431"/>
        <v/>
      </c>
      <c r="CK2288" s="342">
        <f t="shared" si="182"/>
        <v>0</v>
      </c>
      <c r="CL2288" s="333">
        <f t="shared" si="183"/>
        <v>0</v>
      </c>
      <c r="CM2288" s="1079"/>
      <c r="CN2288" s="1005"/>
      <c r="CO2288" s="1005"/>
      <c r="CP2288" s="1005"/>
    </row>
    <row r="2289">
      <c r="A2289" s="1257"/>
      <c r="B2289" s="1113"/>
      <c r="C2289" s="1107"/>
      <c r="D2289" s="103"/>
      <c r="E2289" s="1137"/>
      <c r="F2289" s="112"/>
      <c r="G2289" s="1110"/>
      <c r="H2289" s="1138"/>
      <c r="I2289" s="1138"/>
      <c r="J2289" s="1139"/>
      <c r="K2289" s="1111"/>
      <c r="L2289" s="1112"/>
      <c r="M2289" s="1113"/>
      <c r="N2289" s="110"/>
      <c r="O2289" s="1140"/>
      <c r="P2289" s="1115"/>
      <c r="Q2289" s="1116"/>
      <c r="R2289" s="1141"/>
      <c r="S2289" s="1113"/>
      <c r="T2289" s="1143"/>
      <c r="U2289" s="1108"/>
      <c r="V2289" s="1108"/>
      <c r="W2289" s="1108"/>
      <c r="X2289" s="1108"/>
      <c r="Y2289" s="1108"/>
      <c r="Z2289" s="1114"/>
      <c r="AA2289" s="1114"/>
      <c r="AB2289" s="1114"/>
      <c r="AC2289" s="1117"/>
      <c r="AD2289" s="1115"/>
      <c r="AE2289" s="1115"/>
      <c r="AF2289" s="1115"/>
      <c r="AG2289" s="1115"/>
      <c r="AH2289" s="1115"/>
      <c r="AI2289" s="1115"/>
      <c r="AJ2289" s="1117"/>
      <c r="AK2289" s="1118"/>
      <c r="AL2289" s="1115"/>
      <c r="AM2289" s="1115"/>
      <c r="AN2289" s="1115"/>
      <c r="AO2289" s="1115"/>
      <c r="AP2289" s="1115"/>
      <c r="AQ2289" s="1115"/>
      <c r="AR2289" s="1115"/>
      <c r="AS2289" s="1117"/>
      <c r="AT2289" s="1196" t="str">
        <f t="shared" si="428"/>
        <v/>
      </c>
      <c r="AU2289" s="1193"/>
      <c r="AV2289" s="330">
        <f>SQRT(($R2289-Infrastructure!J$3)^2+($S2289-Infrastructure!K$3)^2)</f>
        <v>28.90155705</v>
      </c>
      <c r="AW2289" s="331">
        <f>SQRT(($R2289-Infrastructure!J$4)^2+($S2289-Infrastructure!K$4)^2)</f>
        <v>17.80252791</v>
      </c>
      <c r="AX2289" s="331">
        <f>SQRT(($R2289-Infrastructure!J$5)^2+($S2289-Infrastructure!K$5)^2)</f>
        <v>5.10881591</v>
      </c>
      <c r="AY2289" s="331">
        <f>SQRT(($R2289-Infrastructure!J$6)^2+($S2289-Infrastructure!K$6)^2)</f>
        <v>10.10445446</v>
      </c>
      <c r="AZ2289" s="331">
        <f>SQRT(($R2289-Infrastructure!J$7)^2+($S2289-Infrastructure!K$7)^2)</f>
        <v>20.502195</v>
      </c>
      <c r="BA2289" s="331">
        <f>SQRT(($R2289-Infrastructure!J$8)^2+($S2289-Infrastructure!K$8)^2)</f>
        <v>30.10149498</v>
      </c>
      <c r="BB2289" s="331">
        <f>SQRT(($R2289-Infrastructure!J$9)^2+($S2289-Infrastructure!K$9)^2)</f>
        <v>40.3238143</v>
      </c>
      <c r="BC2289" s="331">
        <f>SQRT(($R2289-Infrastructure!J$10)^2+($S2289-Infrastructure!K$10)^2)</f>
        <v>42.72001873</v>
      </c>
      <c r="BD2289" s="331">
        <f>SQRT(($R2289-Infrastructure!J$11)^2+($S2289-Infrastructure!K$11)^2)</f>
        <v>49.56853841</v>
      </c>
      <c r="BE2289" s="333">
        <f>SQRT(($R2289-Infrastructure!J$12)^2+($S2289-Infrastructure!K$12)^2)</f>
        <v>59.51890456</v>
      </c>
      <c r="BF2289" s="330">
        <f t="shared" si="161"/>
        <v>5.10881591</v>
      </c>
      <c r="BG2289" s="333">
        <f t="shared" si="162"/>
        <v>59.51890456</v>
      </c>
      <c r="BH2289" s="1119"/>
      <c r="BI2289" s="319" t="str">
        <f t="shared" ref="BI2289:BR2289" si="1432">IF(ISNUMBER(FIND(BI$3, $CO2289)), "Y", "")</f>
        <v/>
      </c>
      <c r="BJ2289" s="319" t="str">
        <f t="shared" si="1432"/>
        <v/>
      </c>
      <c r="BK2289" s="319" t="str">
        <f t="shared" si="1432"/>
        <v/>
      </c>
      <c r="BL2289" s="319" t="str">
        <f t="shared" si="1432"/>
        <v/>
      </c>
      <c r="BM2289" s="319" t="str">
        <f t="shared" si="1432"/>
        <v/>
      </c>
      <c r="BN2289" s="319" t="str">
        <f t="shared" si="1432"/>
        <v/>
      </c>
      <c r="BO2289" s="319" t="str">
        <f t="shared" si="1432"/>
        <v/>
      </c>
      <c r="BP2289" s="319" t="str">
        <f t="shared" si="1432"/>
        <v/>
      </c>
      <c r="BQ2289" s="319" t="str">
        <f t="shared" si="1432"/>
        <v/>
      </c>
      <c r="BR2289" s="319" t="str">
        <f t="shared" si="1432"/>
        <v/>
      </c>
      <c r="BS2289" s="330">
        <f t="shared" si="185"/>
        <v>0</v>
      </c>
      <c r="BT2289" s="331">
        <f t="shared" si="170"/>
        <v>0</v>
      </c>
      <c r="BU2289" s="920"/>
      <c r="BV2289" s="903" t="str">
        <f t="shared" si="1244"/>
        <v/>
      </c>
      <c r="BW2289" s="908"/>
      <c r="BX2289" s="908"/>
      <c r="BY2289" s="331" t="b">
        <f t="shared" si="201"/>
        <v>0</v>
      </c>
      <c r="BZ2289" s="331"/>
      <c r="CA2289" s="462" t="str">
        <f t="shared" ref="CA2289:CJ2289" si="1433">IF(ISNUMBER(FIND(BI$3, $CP2289)), "Y", "")</f>
        <v/>
      </c>
      <c r="CB2289" s="319" t="str">
        <f t="shared" si="1433"/>
        <v/>
      </c>
      <c r="CC2289" s="319" t="str">
        <f t="shared" si="1433"/>
        <v/>
      </c>
      <c r="CD2289" s="319" t="str">
        <f t="shared" si="1433"/>
        <v/>
      </c>
      <c r="CE2289" s="319" t="str">
        <f t="shared" si="1433"/>
        <v/>
      </c>
      <c r="CF2289" s="319" t="str">
        <f t="shared" si="1433"/>
        <v/>
      </c>
      <c r="CG2289" s="319" t="str">
        <f t="shared" si="1433"/>
        <v/>
      </c>
      <c r="CH2289" s="319" t="str">
        <f t="shared" si="1433"/>
        <v/>
      </c>
      <c r="CI2289" s="319" t="str">
        <f t="shared" si="1433"/>
        <v/>
      </c>
      <c r="CJ2289" s="319" t="str">
        <f t="shared" si="1433"/>
        <v/>
      </c>
      <c r="CK2289" s="342">
        <f t="shared" si="182"/>
        <v>0</v>
      </c>
      <c r="CL2289" s="333">
        <f t="shared" si="183"/>
        <v>0</v>
      </c>
      <c r="CM2289" s="1079"/>
      <c r="CN2289" s="1005"/>
      <c r="CO2289" s="1005"/>
      <c r="CP2289" s="1005"/>
    </row>
    <row r="2290">
      <c r="A2290" s="1257"/>
      <c r="B2290" s="1113"/>
      <c r="C2290" s="1107"/>
      <c r="D2290" s="103"/>
      <c r="E2290" s="1137"/>
      <c r="F2290" s="112"/>
      <c r="G2290" s="1110"/>
      <c r="H2290" s="1138"/>
      <c r="I2290" s="1138"/>
      <c r="J2290" s="1139"/>
      <c r="K2290" s="1111"/>
      <c r="L2290" s="1112"/>
      <c r="M2290" s="1113"/>
      <c r="N2290" s="110"/>
      <c r="O2290" s="1140"/>
      <c r="P2290" s="1115"/>
      <c r="Q2290" s="1116"/>
      <c r="R2290" s="1141"/>
      <c r="S2290" s="1113"/>
      <c r="T2290" s="1143"/>
      <c r="U2290" s="1108"/>
      <c r="V2290" s="1108"/>
      <c r="W2290" s="1108"/>
      <c r="X2290" s="1108"/>
      <c r="Y2290" s="1108"/>
      <c r="Z2290" s="1114"/>
      <c r="AA2290" s="1114"/>
      <c r="AB2290" s="1114"/>
      <c r="AC2290" s="1117"/>
      <c r="AD2290" s="1115"/>
      <c r="AE2290" s="1115"/>
      <c r="AF2290" s="1115"/>
      <c r="AG2290" s="1115"/>
      <c r="AH2290" s="1115"/>
      <c r="AI2290" s="1115"/>
      <c r="AJ2290" s="1117"/>
      <c r="AK2290" s="1118"/>
      <c r="AL2290" s="1115"/>
      <c r="AM2290" s="1115"/>
      <c r="AN2290" s="1115"/>
      <c r="AO2290" s="1115"/>
      <c r="AP2290" s="1115"/>
      <c r="AQ2290" s="1115"/>
      <c r="AR2290" s="1115"/>
      <c r="AS2290" s="1117"/>
      <c r="AT2290" s="1196" t="str">
        <f t="shared" si="428"/>
        <v/>
      </c>
      <c r="AU2290" s="1193"/>
      <c r="AV2290" s="330">
        <f>SQRT(($R2290-Infrastructure!J$3)^2+($S2290-Infrastructure!K$3)^2)</f>
        <v>28.90155705</v>
      </c>
      <c r="AW2290" s="331">
        <f>SQRT(($R2290-Infrastructure!J$4)^2+($S2290-Infrastructure!K$4)^2)</f>
        <v>17.80252791</v>
      </c>
      <c r="AX2290" s="331">
        <f>SQRT(($R2290-Infrastructure!J$5)^2+($S2290-Infrastructure!K$5)^2)</f>
        <v>5.10881591</v>
      </c>
      <c r="AY2290" s="331">
        <f>SQRT(($R2290-Infrastructure!J$6)^2+($S2290-Infrastructure!K$6)^2)</f>
        <v>10.10445446</v>
      </c>
      <c r="AZ2290" s="331">
        <f>SQRT(($R2290-Infrastructure!J$7)^2+($S2290-Infrastructure!K$7)^2)</f>
        <v>20.502195</v>
      </c>
      <c r="BA2290" s="331">
        <f>SQRT(($R2290-Infrastructure!J$8)^2+($S2290-Infrastructure!K$8)^2)</f>
        <v>30.10149498</v>
      </c>
      <c r="BB2290" s="331">
        <f>SQRT(($R2290-Infrastructure!J$9)^2+($S2290-Infrastructure!K$9)^2)</f>
        <v>40.3238143</v>
      </c>
      <c r="BC2290" s="331">
        <f>SQRT(($R2290-Infrastructure!J$10)^2+($S2290-Infrastructure!K$10)^2)</f>
        <v>42.72001873</v>
      </c>
      <c r="BD2290" s="331">
        <f>SQRT(($R2290-Infrastructure!J$11)^2+($S2290-Infrastructure!K$11)^2)</f>
        <v>49.56853841</v>
      </c>
      <c r="BE2290" s="333">
        <f>SQRT(($R2290-Infrastructure!J$12)^2+($S2290-Infrastructure!K$12)^2)</f>
        <v>59.51890456</v>
      </c>
      <c r="BF2290" s="330">
        <f t="shared" si="161"/>
        <v>5.10881591</v>
      </c>
      <c r="BG2290" s="333">
        <f t="shared" si="162"/>
        <v>59.51890456</v>
      </c>
      <c r="BH2290" s="1119"/>
      <c r="BI2290" s="319" t="str">
        <f t="shared" ref="BI2290:BR2290" si="1434">IF(ISNUMBER(FIND(BI$3, $CO2290)), "Y", "")</f>
        <v/>
      </c>
      <c r="BJ2290" s="319" t="str">
        <f t="shared" si="1434"/>
        <v/>
      </c>
      <c r="BK2290" s="319" t="str">
        <f t="shared" si="1434"/>
        <v/>
      </c>
      <c r="BL2290" s="319" t="str">
        <f t="shared" si="1434"/>
        <v/>
      </c>
      <c r="BM2290" s="319" t="str">
        <f t="shared" si="1434"/>
        <v/>
      </c>
      <c r="BN2290" s="319" t="str">
        <f t="shared" si="1434"/>
        <v/>
      </c>
      <c r="BO2290" s="319" t="str">
        <f t="shared" si="1434"/>
        <v/>
      </c>
      <c r="BP2290" s="319" t="str">
        <f t="shared" si="1434"/>
        <v/>
      </c>
      <c r="BQ2290" s="319" t="str">
        <f t="shared" si="1434"/>
        <v/>
      </c>
      <c r="BR2290" s="319" t="str">
        <f t="shared" si="1434"/>
        <v/>
      </c>
      <c r="BS2290" s="330">
        <f t="shared" si="185"/>
        <v>0</v>
      </c>
      <c r="BT2290" s="331">
        <f t="shared" si="170"/>
        <v>0</v>
      </c>
      <c r="BU2290" s="920"/>
      <c r="BV2290" s="903" t="str">
        <f t="shared" si="1244"/>
        <v/>
      </c>
      <c r="BW2290" s="908"/>
      <c r="BX2290" s="908"/>
      <c r="BY2290" s="331" t="b">
        <f t="shared" si="201"/>
        <v>0</v>
      </c>
      <c r="BZ2290" s="331"/>
      <c r="CA2290" s="462" t="str">
        <f t="shared" ref="CA2290:CJ2290" si="1435">IF(ISNUMBER(FIND(BI$3, $CP2290)), "Y", "")</f>
        <v/>
      </c>
      <c r="CB2290" s="319" t="str">
        <f t="shared" si="1435"/>
        <v/>
      </c>
      <c r="CC2290" s="319" t="str">
        <f t="shared" si="1435"/>
        <v/>
      </c>
      <c r="CD2290" s="319" t="str">
        <f t="shared" si="1435"/>
        <v/>
      </c>
      <c r="CE2290" s="319" t="str">
        <f t="shared" si="1435"/>
        <v/>
      </c>
      <c r="CF2290" s="319" t="str">
        <f t="shared" si="1435"/>
        <v/>
      </c>
      <c r="CG2290" s="319" t="str">
        <f t="shared" si="1435"/>
        <v/>
      </c>
      <c r="CH2290" s="319" t="str">
        <f t="shared" si="1435"/>
        <v/>
      </c>
      <c r="CI2290" s="319" t="str">
        <f t="shared" si="1435"/>
        <v/>
      </c>
      <c r="CJ2290" s="319" t="str">
        <f t="shared" si="1435"/>
        <v/>
      </c>
      <c r="CK2290" s="342">
        <f t="shared" si="182"/>
        <v>0</v>
      </c>
      <c r="CL2290" s="333">
        <f t="shared" si="183"/>
        <v>0</v>
      </c>
      <c r="CM2290" s="1079"/>
      <c r="CN2290" s="1005"/>
      <c r="CO2290" s="1005"/>
      <c r="CP2290" s="1005"/>
    </row>
    <row r="2291">
      <c r="A2291" s="1257"/>
      <c r="B2291" s="1113"/>
      <c r="C2291" s="1107"/>
      <c r="D2291" s="103"/>
      <c r="E2291" s="1137"/>
      <c r="F2291" s="112"/>
      <c r="G2291" s="1110"/>
      <c r="H2291" s="1138"/>
      <c r="I2291" s="1138"/>
      <c r="J2291" s="1139"/>
      <c r="K2291" s="1111"/>
      <c r="L2291" s="1112"/>
      <c r="M2291" s="1113"/>
      <c r="N2291" s="110"/>
      <c r="O2291" s="1140"/>
      <c r="P2291" s="1115"/>
      <c r="Q2291" s="1116"/>
      <c r="R2291" s="1141"/>
      <c r="S2291" s="1113"/>
      <c r="T2291" s="1143"/>
      <c r="U2291" s="1108"/>
      <c r="V2291" s="1108"/>
      <c r="W2291" s="1108"/>
      <c r="X2291" s="1108"/>
      <c r="Y2291" s="1108"/>
      <c r="Z2291" s="1114"/>
      <c r="AA2291" s="1114"/>
      <c r="AB2291" s="1114"/>
      <c r="AC2291" s="1117"/>
      <c r="AD2291" s="1115"/>
      <c r="AE2291" s="1115"/>
      <c r="AF2291" s="1115"/>
      <c r="AG2291" s="1115"/>
      <c r="AH2291" s="1115"/>
      <c r="AI2291" s="1115"/>
      <c r="AJ2291" s="1117"/>
      <c r="AK2291" s="1118"/>
      <c r="AL2291" s="1115"/>
      <c r="AM2291" s="1115"/>
      <c r="AN2291" s="1115"/>
      <c r="AO2291" s="1115"/>
      <c r="AP2291" s="1115"/>
      <c r="AQ2291" s="1115"/>
      <c r="AR2291" s="1115"/>
      <c r="AS2291" s="1117"/>
      <c r="AT2291" s="1196" t="str">
        <f t="shared" si="428"/>
        <v/>
      </c>
      <c r="AU2291" s="1193"/>
      <c r="AV2291" s="330">
        <f>SQRT(($R2291-Infrastructure!J$3)^2+($S2291-Infrastructure!K$3)^2)</f>
        <v>28.90155705</v>
      </c>
      <c r="AW2291" s="331">
        <f>SQRT(($R2291-Infrastructure!J$4)^2+($S2291-Infrastructure!K$4)^2)</f>
        <v>17.80252791</v>
      </c>
      <c r="AX2291" s="331">
        <f>SQRT(($R2291-Infrastructure!J$5)^2+($S2291-Infrastructure!K$5)^2)</f>
        <v>5.10881591</v>
      </c>
      <c r="AY2291" s="331">
        <f>SQRT(($R2291-Infrastructure!J$6)^2+($S2291-Infrastructure!K$6)^2)</f>
        <v>10.10445446</v>
      </c>
      <c r="AZ2291" s="331">
        <f>SQRT(($R2291-Infrastructure!J$7)^2+($S2291-Infrastructure!K$7)^2)</f>
        <v>20.502195</v>
      </c>
      <c r="BA2291" s="331">
        <f>SQRT(($R2291-Infrastructure!J$8)^2+($S2291-Infrastructure!K$8)^2)</f>
        <v>30.10149498</v>
      </c>
      <c r="BB2291" s="331">
        <f>SQRT(($R2291-Infrastructure!J$9)^2+($S2291-Infrastructure!K$9)^2)</f>
        <v>40.3238143</v>
      </c>
      <c r="BC2291" s="331">
        <f>SQRT(($R2291-Infrastructure!J$10)^2+($S2291-Infrastructure!K$10)^2)</f>
        <v>42.72001873</v>
      </c>
      <c r="BD2291" s="331">
        <f>SQRT(($R2291-Infrastructure!J$11)^2+($S2291-Infrastructure!K$11)^2)</f>
        <v>49.56853841</v>
      </c>
      <c r="BE2291" s="333">
        <f>SQRT(($R2291-Infrastructure!J$12)^2+($S2291-Infrastructure!K$12)^2)</f>
        <v>59.51890456</v>
      </c>
      <c r="BF2291" s="330">
        <f t="shared" si="161"/>
        <v>5.10881591</v>
      </c>
      <c r="BG2291" s="333">
        <f t="shared" si="162"/>
        <v>59.51890456</v>
      </c>
      <c r="BH2291" s="1119"/>
      <c r="BI2291" s="319" t="str">
        <f t="shared" ref="BI2291:BR2291" si="1436">IF(ISNUMBER(FIND(BI$3, $CO2291)), "Y", "")</f>
        <v/>
      </c>
      <c r="BJ2291" s="319" t="str">
        <f t="shared" si="1436"/>
        <v/>
      </c>
      <c r="BK2291" s="319" t="str">
        <f t="shared" si="1436"/>
        <v/>
      </c>
      <c r="BL2291" s="319" t="str">
        <f t="shared" si="1436"/>
        <v/>
      </c>
      <c r="BM2291" s="319" t="str">
        <f t="shared" si="1436"/>
        <v/>
      </c>
      <c r="BN2291" s="319" t="str">
        <f t="shared" si="1436"/>
        <v/>
      </c>
      <c r="BO2291" s="319" t="str">
        <f t="shared" si="1436"/>
        <v/>
      </c>
      <c r="BP2291" s="319" t="str">
        <f t="shared" si="1436"/>
        <v/>
      </c>
      <c r="BQ2291" s="319" t="str">
        <f t="shared" si="1436"/>
        <v/>
      </c>
      <c r="BR2291" s="319" t="str">
        <f t="shared" si="1436"/>
        <v/>
      </c>
      <c r="BS2291" s="330">
        <f t="shared" si="185"/>
        <v>0</v>
      </c>
      <c r="BT2291" s="331">
        <f t="shared" si="170"/>
        <v>0</v>
      </c>
      <c r="BU2291" s="920"/>
      <c r="BV2291" s="903" t="str">
        <f t="shared" si="1244"/>
        <v/>
      </c>
      <c r="BW2291" s="908"/>
      <c r="BX2291" s="908"/>
      <c r="BY2291" s="331" t="b">
        <f t="shared" si="201"/>
        <v>0</v>
      </c>
      <c r="BZ2291" s="331"/>
      <c r="CA2291" s="462" t="str">
        <f t="shared" ref="CA2291:CJ2291" si="1437">IF(ISNUMBER(FIND(BI$3, $CP2291)), "Y", "")</f>
        <v/>
      </c>
      <c r="CB2291" s="319" t="str">
        <f t="shared" si="1437"/>
        <v/>
      </c>
      <c r="CC2291" s="319" t="str">
        <f t="shared" si="1437"/>
        <v/>
      </c>
      <c r="CD2291" s="319" t="str">
        <f t="shared" si="1437"/>
        <v/>
      </c>
      <c r="CE2291" s="319" t="str">
        <f t="shared" si="1437"/>
        <v/>
      </c>
      <c r="CF2291" s="319" t="str">
        <f t="shared" si="1437"/>
        <v/>
      </c>
      <c r="CG2291" s="319" t="str">
        <f t="shared" si="1437"/>
        <v/>
      </c>
      <c r="CH2291" s="319" t="str">
        <f t="shared" si="1437"/>
        <v/>
      </c>
      <c r="CI2291" s="319" t="str">
        <f t="shared" si="1437"/>
        <v/>
      </c>
      <c r="CJ2291" s="319" t="str">
        <f t="shared" si="1437"/>
        <v/>
      </c>
      <c r="CK2291" s="342">
        <f t="shared" si="182"/>
        <v>0</v>
      </c>
      <c r="CL2291" s="333">
        <f t="shared" si="183"/>
        <v>0</v>
      </c>
      <c r="CM2291" s="1079"/>
      <c r="CN2291" s="1005"/>
      <c r="CO2291" s="1005"/>
      <c r="CP2291" s="1005"/>
    </row>
    <row r="2292">
      <c r="A2292" s="1257"/>
      <c r="B2292" s="1113"/>
      <c r="C2292" s="1107"/>
      <c r="D2292" s="103"/>
      <c r="E2292" s="1137"/>
      <c r="F2292" s="112"/>
      <c r="G2292" s="1110"/>
      <c r="H2292" s="1138"/>
      <c r="I2292" s="1138"/>
      <c r="J2292" s="1139"/>
      <c r="K2292" s="1111"/>
      <c r="L2292" s="1112"/>
      <c r="M2292" s="1113"/>
      <c r="N2292" s="110"/>
      <c r="O2292" s="1140"/>
      <c r="P2292" s="1115"/>
      <c r="Q2292" s="1116"/>
      <c r="R2292" s="1141"/>
      <c r="S2292" s="1113"/>
      <c r="T2292" s="1143"/>
      <c r="U2292" s="1108"/>
      <c r="V2292" s="1108"/>
      <c r="W2292" s="1108"/>
      <c r="X2292" s="1108"/>
      <c r="Y2292" s="1108"/>
      <c r="Z2292" s="1114"/>
      <c r="AA2292" s="1114"/>
      <c r="AB2292" s="1114"/>
      <c r="AC2292" s="1117"/>
      <c r="AD2292" s="1115"/>
      <c r="AE2292" s="1115"/>
      <c r="AF2292" s="1115"/>
      <c r="AG2292" s="1115"/>
      <c r="AH2292" s="1115"/>
      <c r="AI2292" s="1115"/>
      <c r="AJ2292" s="1117"/>
      <c r="AK2292" s="1118"/>
      <c r="AL2292" s="1115"/>
      <c r="AM2292" s="1115"/>
      <c r="AN2292" s="1115"/>
      <c r="AO2292" s="1115"/>
      <c r="AP2292" s="1115"/>
      <c r="AQ2292" s="1115"/>
      <c r="AR2292" s="1115"/>
      <c r="AS2292" s="1117"/>
      <c r="AT2292" s="1196" t="str">
        <f t="shared" si="428"/>
        <v/>
      </c>
      <c r="AU2292" s="1193"/>
      <c r="AV2292" s="330">
        <f>SQRT(($R2292-Infrastructure!J$3)^2+($S2292-Infrastructure!K$3)^2)</f>
        <v>28.90155705</v>
      </c>
      <c r="AW2292" s="331">
        <f>SQRT(($R2292-Infrastructure!J$4)^2+($S2292-Infrastructure!K$4)^2)</f>
        <v>17.80252791</v>
      </c>
      <c r="AX2292" s="331">
        <f>SQRT(($R2292-Infrastructure!J$5)^2+($S2292-Infrastructure!K$5)^2)</f>
        <v>5.10881591</v>
      </c>
      <c r="AY2292" s="331">
        <f>SQRT(($R2292-Infrastructure!J$6)^2+($S2292-Infrastructure!K$6)^2)</f>
        <v>10.10445446</v>
      </c>
      <c r="AZ2292" s="331">
        <f>SQRT(($R2292-Infrastructure!J$7)^2+($S2292-Infrastructure!K$7)^2)</f>
        <v>20.502195</v>
      </c>
      <c r="BA2292" s="331">
        <f>SQRT(($R2292-Infrastructure!J$8)^2+($S2292-Infrastructure!K$8)^2)</f>
        <v>30.10149498</v>
      </c>
      <c r="BB2292" s="331">
        <f>SQRT(($R2292-Infrastructure!J$9)^2+($S2292-Infrastructure!K$9)^2)</f>
        <v>40.3238143</v>
      </c>
      <c r="BC2292" s="331">
        <f>SQRT(($R2292-Infrastructure!J$10)^2+($S2292-Infrastructure!K$10)^2)</f>
        <v>42.72001873</v>
      </c>
      <c r="BD2292" s="331">
        <f>SQRT(($R2292-Infrastructure!J$11)^2+($S2292-Infrastructure!K$11)^2)</f>
        <v>49.56853841</v>
      </c>
      <c r="BE2292" s="333">
        <f>SQRT(($R2292-Infrastructure!J$12)^2+($S2292-Infrastructure!K$12)^2)</f>
        <v>59.51890456</v>
      </c>
      <c r="BF2292" s="330">
        <f t="shared" si="161"/>
        <v>5.10881591</v>
      </c>
      <c r="BG2292" s="333">
        <f t="shared" si="162"/>
        <v>59.51890456</v>
      </c>
      <c r="BH2292" s="1119"/>
      <c r="BI2292" s="319" t="str">
        <f t="shared" ref="BI2292:BR2292" si="1438">IF(ISNUMBER(FIND(BI$3, $CO2292)), "Y", "")</f>
        <v/>
      </c>
      <c r="BJ2292" s="319" t="str">
        <f t="shared" si="1438"/>
        <v/>
      </c>
      <c r="BK2292" s="319" t="str">
        <f t="shared" si="1438"/>
        <v/>
      </c>
      <c r="BL2292" s="319" t="str">
        <f t="shared" si="1438"/>
        <v/>
      </c>
      <c r="BM2292" s="319" t="str">
        <f t="shared" si="1438"/>
        <v/>
      </c>
      <c r="BN2292" s="319" t="str">
        <f t="shared" si="1438"/>
        <v/>
      </c>
      <c r="BO2292" s="319" t="str">
        <f t="shared" si="1438"/>
        <v/>
      </c>
      <c r="BP2292" s="319" t="str">
        <f t="shared" si="1438"/>
        <v/>
      </c>
      <c r="BQ2292" s="319" t="str">
        <f t="shared" si="1438"/>
        <v/>
      </c>
      <c r="BR2292" s="319" t="str">
        <f t="shared" si="1438"/>
        <v/>
      </c>
      <c r="BS2292" s="330">
        <f t="shared" si="185"/>
        <v>0</v>
      </c>
      <c r="BT2292" s="331">
        <f t="shared" si="170"/>
        <v>0</v>
      </c>
      <c r="BU2292" s="920"/>
      <c r="BV2292" s="903" t="str">
        <f t="shared" si="1244"/>
        <v/>
      </c>
      <c r="BW2292" s="908"/>
      <c r="BX2292" s="908"/>
      <c r="BY2292" s="331" t="b">
        <f t="shared" si="201"/>
        <v>0</v>
      </c>
      <c r="BZ2292" s="331"/>
      <c r="CA2292" s="462" t="str">
        <f t="shared" ref="CA2292:CJ2292" si="1439">IF(ISNUMBER(FIND(BI$3, $CP2292)), "Y", "")</f>
        <v/>
      </c>
      <c r="CB2292" s="319" t="str">
        <f t="shared" si="1439"/>
        <v/>
      </c>
      <c r="CC2292" s="319" t="str">
        <f t="shared" si="1439"/>
        <v/>
      </c>
      <c r="CD2292" s="319" t="str">
        <f t="shared" si="1439"/>
        <v/>
      </c>
      <c r="CE2292" s="319" t="str">
        <f t="shared" si="1439"/>
        <v/>
      </c>
      <c r="CF2292" s="319" t="str">
        <f t="shared" si="1439"/>
        <v/>
      </c>
      <c r="CG2292" s="319" t="str">
        <f t="shared" si="1439"/>
        <v/>
      </c>
      <c r="CH2292" s="319" t="str">
        <f t="shared" si="1439"/>
        <v/>
      </c>
      <c r="CI2292" s="319" t="str">
        <f t="shared" si="1439"/>
        <v/>
      </c>
      <c r="CJ2292" s="319" t="str">
        <f t="shared" si="1439"/>
        <v/>
      </c>
      <c r="CK2292" s="342">
        <f t="shared" si="182"/>
        <v>0</v>
      </c>
      <c r="CL2292" s="333">
        <f t="shared" si="183"/>
        <v>0</v>
      </c>
      <c r="CM2292" s="1079"/>
      <c r="CN2292" s="1005"/>
      <c r="CO2292" s="1005"/>
      <c r="CP2292" s="1005"/>
    </row>
    <row r="2293">
      <c r="A2293" s="1257"/>
      <c r="B2293" s="1113"/>
      <c r="C2293" s="1107"/>
      <c r="D2293" s="103"/>
      <c r="E2293" s="1137"/>
      <c r="F2293" s="112"/>
      <c r="G2293" s="1110"/>
      <c r="H2293" s="1138"/>
      <c r="I2293" s="1138"/>
      <c r="J2293" s="1139"/>
      <c r="K2293" s="1111"/>
      <c r="L2293" s="1112"/>
      <c r="M2293" s="1113"/>
      <c r="N2293" s="110"/>
      <c r="O2293" s="1140"/>
      <c r="P2293" s="1115"/>
      <c r="Q2293" s="1116"/>
      <c r="R2293" s="1141"/>
      <c r="S2293" s="1113"/>
      <c r="T2293" s="1143"/>
      <c r="U2293" s="1108"/>
      <c r="V2293" s="1108"/>
      <c r="W2293" s="1108"/>
      <c r="X2293" s="1108"/>
      <c r="Y2293" s="1108"/>
      <c r="Z2293" s="1114"/>
      <c r="AA2293" s="1114"/>
      <c r="AB2293" s="1114"/>
      <c r="AC2293" s="1117"/>
      <c r="AD2293" s="1115"/>
      <c r="AE2293" s="1115"/>
      <c r="AF2293" s="1115"/>
      <c r="AG2293" s="1115"/>
      <c r="AH2293" s="1115"/>
      <c r="AI2293" s="1115"/>
      <c r="AJ2293" s="1117"/>
      <c r="AK2293" s="1118"/>
      <c r="AL2293" s="1115"/>
      <c r="AM2293" s="1115"/>
      <c r="AN2293" s="1115"/>
      <c r="AO2293" s="1115"/>
      <c r="AP2293" s="1115"/>
      <c r="AQ2293" s="1115"/>
      <c r="AR2293" s="1115"/>
      <c r="AS2293" s="1117"/>
      <c r="AT2293" s="1196" t="str">
        <f t="shared" si="428"/>
        <v/>
      </c>
      <c r="AU2293" s="1193"/>
      <c r="AV2293" s="330">
        <f>SQRT(($R2293-Infrastructure!J$3)^2+($S2293-Infrastructure!K$3)^2)</f>
        <v>28.90155705</v>
      </c>
      <c r="AW2293" s="331">
        <f>SQRT(($R2293-Infrastructure!J$4)^2+($S2293-Infrastructure!K$4)^2)</f>
        <v>17.80252791</v>
      </c>
      <c r="AX2293" s="331">
        <f>SQRT(($R2293-Infrastructure!J$5)^2+($S2293-Infrastructure!K$5)^2)</f>
        <v>5.10881591</v>
      </c>
      <c r="AY2293" s="331">
        <f>SQRT(($R2293-Infrastructure!J$6)^2+($S2293-Infrastructure!K$6)^2)</f>
        <v>10.10445446</v>
      </c>
      <c r="AZ2293" s="331">
        <f>SQRT(($R2293-Infrastructure!J$7)^2+($S2293-Infrastructure!K$7)^2)</f>
        <v>20.502195</v>
      </c>
      <c r="BA2293" s="331">
        <f>SQRT(($R2293-Infrastructure!J$8)^2+($S2293-Infrastructure!K$8)^2)</f>
        <v>30.10149498</v>
      </c>
      <c r="BB2293" s="331">
        <f>SQRT(($R2293-Infrastructure!J$9)^2+($S2293-Infrastructure!K$9)^2)</f>
        <v>40.3238143</v>
      </c>
      <c r="BC2293" s="331">
        <f>SQRT(($R2293-Infrastructure!J$10)^2+($S2293-Infrastructure!K$10)^2)</f>
        <v>42.72001873</v>
      </c>
      <c r="BD2293" s="331">
        <f>SQRT(($R2293-Infrastructure!J$11)^2+($S2293-Infrastructure!K$11)^2)</f>
        <v>49.56853841</v>
      </c>
      <c r="BE2293" s="333">
        <f>SQRT(($R2293-Infrastructure!J$12)^2+($S2293-Infrastructure!K$12)^2)</f>
        <v>59.51890456</v>
      </c>
      <c r="BF2293" s="330">
        <f t="shared" si="161"/>
        <v>5.10881591</v>
      </c>
      <c r="BG2293" s="333">
        <f t="shared" si="162"/>
        <v>59.51890456</v>
      </c>
      <c r="BH2293" s="1119"/>
      <c r="BI2293" s="319" t="str">
        <f t="shared" ref="BI2293:BR2293" si="1440">IF(ISNUMBER(FIND(BI$3, $CO2293)), "Y", "")</f>
        <v/>
      </c>
      <c r="BJ2293" s="319" t="str">
        <f t="shared" si="1440"/>
        <v/>
      </c>
      <c r="BK2293" s="319" t="str">
        <f t="shared" si="1440"/>
        <v/>
      </c>
      <c r="BL2293" s="319" t="str">
        <f t="shared" si="1440"/>
        <v/>
      </c>
      <c r="BM2293" s="319" t="str">
        <f t="shared" si="1440"/>
        <v/>
      </c>
      <c r="BN2293" s="319" t="str">
        <f t="shared" si="1440"/>
        <v/>
      </c>
      <c r="BO2293" s="319" t="str">
        <f t="shared" si="1440"/>
        <v/>
      </c>
      <c r="BP2293" s="319" t="str">
        <f t="shared" si="1440"/>
        <v/>
      </c>
      <c r="BQ2293" s="319" t="str">
        <f t="shared" si="1440"/>
        <v/>
      </c>
      <c r="BR2293" s="319" t="str">
        <f t="shared" si="1440"/>
        <v/>
      </c>
      <c r="BS2293" s="330">
        <f t="shared" si="185"/>
        <v>0</v>
      </c>
      <c r="BT2293" s="331">
        <f t="shared" si="170"/>
        <v>0</v>
      </c>
      <c r="BU2293" s="920"/>
      <c r="BV2293" s="903" t="str">
        <f t="shared" si="1244"/>
        <v/>
      </c>
      <c r="BW2293" s="908"/>
      <c r="BX2293" s="908"/>
      <c r="BY2293" s="331" t="b">
        <f t="shared" si="201"/>
        <v>0</v>
      </c>
      <c r="BZ2293" s="331"/>
      <c r="CA2293" s="462" t="str">
        <f t="shared" ref="CA2293:CJ2293" si="1441">IF(ISNUMBER(FIND(BI$3, $CP2293)), "Y", "")</f>
        <v/>
      </c>
      <c r="CB2293" s="319" t="str">
        <f t="shared" si="1441"/>
        <v/>
      </c>
      <c r="CC2293" s="319" t="str">
        <f t="shared" si="1441"/>
        <v/>
      </c>
      <c r="CD2293" s="319" t="str">
        <f t="shared" si="1441"/>
        <v/>
      </c>
      <c r="CE2293" s="319" t="str">
        <f t="shared" si="1441"/>
        <v/>
      </c>
      <c r="CF2293" s="319" t="str">
        <f t="shared" si="1441"/>
        <v/>
      </c>
      <c r="CG2293" s="319" t="str">
        <f t="shared" si="1441"/>
        <v/>
      </c>
      <c r="CH2293" s="319" t="str">
        <f t="shared" si="1441"/>
        <v/>
      </c>
      <c r="CI2293" s="319" t="str">
        <f t="shared" si="1441"/>
        <v/>
      </c>
      <c r="CJ2293" s="319" t="str">
        <f t="shared" si="1441"/>
        <v/>
      </c>
      <c r="CK2293" s="342">
        <f t="shared" si="182"/>
        <v>0</v>
      </c>
      <c r="CL2293" s="333">
        <f t="shared" si="183"/>
        <v>0</v>
      </c>
      <c r="CM2293" s="1079"/>
      <c r="CN2293" s="1005"/>
      <c r="CO2293" s="1005"/>
      <c r="CP2293" s="1005"/>
    </row>
    <row r="2294">
      <c r="A2294" s="1257"/>
      <c r="B2294" s="1113"/>
      <c r="C2294" s="1107"/>
      <c r="D2294" s="103"/>
      <c r="E2294" s="1137"/>
      <c r="F2294" s="112"/>
      <c r="G2294" s="1110"/>
      <c r="H2294" s="1138"/>
      <c r="I2294" s="1138"/>
      <c r="J2294" s="1139"/>
      <c r="K2294" s="1111"/>
      <c r="L2294" s="1112"/>
      <c r="M2294" s="1113"/>
      <c r="N2294" s="110"/>
      <c r="O2294" s="1140"/>
      <c r="P2294" s="1115"/>
      <c r="Q2294" s="1116"/>
      <c r="R2294" s="1141"/>
      <c r="S2294" s="1113"/>
      <c r="T2294" s="1143"/>
      <c r="U2294" s="1108"/>
      <c r="V2294" s="1108"/>
      <c r="W2294" s="1108"/>
      <c r="X2294" s="1108"/>
      <c r="Y2294" s="1108"/>
      <c r="Z2294" s="1114"/>
      <c r="AA2294" s="1114"/>
      <c r="AB2294" s="1114"/>
      <c r="AC2294" s="1117"/>
      <c r="AD2294" s="1115"/>
      <c r="AE2294" s="1115"/>
      <c r="AF2294" s="1115"/>
      <c r="AG2294" s="1115"/>
      <c r="AH2294" s="1115"/>
      <c r="AI2294" s="1115"/>
      <c r="AJ2294" s="1117"/>
      <c r="AK2294" s="1118"/>
      <c r="AL2294" s="1115"/>
      <c r="AM2294" s="1115"/>
      <c r="AN2294" s="1115"/>
      <c r="AO2294" s="1115"/>
      <c r="AP2294" s="1115"/>
      <c r="AQ2294" s="1115"/>
      <c r="AR2294" s="1115"/>
      <c r="AS2294" s="1117"/>
      <c r="AT2294" s="1196" t="str">
        <f t="shared" si="428"/>
        <v/>
      </c>
      <c r="AU2294" s="1193"/>
      <c r="AV2294" s="330">
        <f>SQRT(($R2294-Infrastructure!J$3)^2+($S2294-Infrastructure!K$3)^2)</f>
        <v>28.90155705</v>
      </c>
      <c r="AW2294" s="331">
        <f>SQRT(($R2294-Infrastructure!J$4)^2+($S2294-Infrastructure!K$4)^2)</f>
        <v>17.80252791</v>
      </c>
      <c r="AX2294" s="331">
        <f>SQRT(($R2294-Infrastructure!J$5)^2+($S2294-Infrastructure!K$5)^2)</f>
        <v>5.10881591</v>
      </c>
      <c r="AY2294" s="331">
        <f>SQRT(($R2294-Infrastructure!J$6)^2+($S2294-Infrastructure!K$6)^2)</f>
        <v>10.10445446</v>
      </c>
      <c r="AZ2294" s="331">
        <f>SQRT(($R2294-Infrastructure!J$7)^2+($S2294-Infrastructure!K$7)^2)</f>
        <v>20.502195</v>
      </c>
      <c r="BA2294" s="331">
        <f>SQRT(($R2294-Infrastructure!J$8)^2+($S2294-Infrastructure!K$8)^2)</f>
        <v>30.10149498</v>
      </c>
      <c r="BB2294" s="331">
        <f>SQRT(($R2294-Infrastructure!J$9)^2+($S2294-Infrastructure!K$9)^2)</f>
        <v>40.3238143</v>
      </c>
      <c r="BC2294" s="331">
        <f>SQRT(($R2294-Infrastructure!J$10)^2+($S2294-Infrastructure!K$10)^2)</f>
        <v>42.72001873</v>
      </c>
      <c r="BD2294" s="331">
        <f>SQRT(($R2294-Infrastructure!J$11)^2+($S2294-Infrastructure!K$11)^2)</f>
        <v>49.56853841</v>
      </c>
      <c r="BE2294" s="333">
        <f>SQRT(($R2294-Infrastructure!J$12)^2+($S2294-Infrastructure!K$12)^2)</f>
        <v>59.51890456</v>
      </c>
      <c r="BF2294" s="330">
        <f t="shared" si="161"/>
        <v>5.10881591</v>
      </c>
      <c r="BG2294" s="333">
        <f t="shared" si="162"/>
        <v>59.51890456</v>
      </c>
      <c r="BH2294" s="1119"/>
      <c r="BI2294" s="319" t="str">
        <f t="shared" ref="BI2294:BR2294" si="1442">IF(ISNUMBER(FIND(BI$3, $CO2294)), "Y", "")</f>
        <v/>
      </c>
      <c r="BJ2294" s="319" t="str">
        <f t="shared" si="1442"/>
        <v/>
      </c>
      <c r="BK2294" s="319" t="str">
        <f t="shared" si="1442"/>
        <v/>
      </c>
      <c r="BL2294" s="319" t="str">
        <f t="shared" si="1442"/>
        <v/>
      </c>
      <c r="BM2294" s="319" t="str">
        <f t="shared" si="1442"/>
        <v/>
      </c>
      <c r="BN2294" s="319" t="str">
        <f t="shared" si="1442"/>
        <v/>
      </c>
      <c r="BO2294" s="319" t="str">
        <f t="shared" si="1442"/>
        <v/>
      </c>
      <c r="BP2294" s="319" t="str">
        <f t="shared" si="1442"/>
        <v/>
      </c>
      <c r="BQ2294" s="319" t="str">
        <f t="shared" si="1442"/>
        <v/>
      </c>
      <c r="BR2294" s="319" t="str">
        <f t="shared" si="1442"/>
        <v/>
      </c>
      <c r="BS2294" s="330">
        <f t="shared" si="185"/>
        <v>0</v>
      </c>
      <c r="BT2294" s="331">
        <f t="shared" si="170"/>
        <v>0</v>
      </c>
      <c r="BU2294" s="920"/>
      <c r="BV2294" s="903" t="str">
        <f t="shared" si="1244"/>
        <v/>
      </c>
      <c r="BW2294" s="908"/>
      <c r="BX2294" s="908"/>
      <c r="BY2294" s="331" t="b">
        <f t="shared" si="201"/>
        <v>0</v>
      </c>
      <c r="BZ2294" s="331"/>
      <c r="CA2294" s="462" t="str">
        <f t="shared" ref="CA2294:CJ2294" si="1443">IF(ISNUMBER(FIND(BI$3, $CP2294)), "Y", "")</f>
        <v/>
      </c>
      <c r="CB2294" s="319" t="str">
        <f t="shared" si="1443"/>
        <v/>
      </c>
      <c r="CC2294" s="319" t="str">
        <f t="shared" si="1443"/>
        <v/>
      </c>
      <c r="CD2294" s="319" t="str">
        <f t="shared" si="1443"/>
        <v/>
      </c>
      <c r="CE2294" s="319" t="str">
        <f t="shared" si="1443"/>
        <v/>
      </c>
      <c r="CF2294" s="319" t="str">
        <f t="shared" si="1443"/>
        <v/>
      </c>
      <c r="CG2294" s="319" t="str">
        <f t="shared" si="1443"/>
        <v/>
      </c>
      <c r="CH2294" s="319" t="str">
        <f t="shared" si="1443"/>
        <v/>
      </c>
      <c r="CI2294" s="319" t="str">
        <f t="shared" si="1443"/>
        <v/>
      </c>
      <c r="CJ2294" s="319" t="str">
        <f t="shared" si="1443"/>
        <v/>
      </c>
      <c r="CK2294" s="342">
        <f t="shared" si="182"/>
        <v>0</v>
      </c>
      <c r="CL2294" s="333">
        <f t="shared" si="183"/>
        <v>0</v>
      </c>
      <c r="CM2294" s="1079"/>
      <c r="CN2294" s="1005"/>
      <c r="CO2294" s="1005"/>
      <c r="CP2294" s="1005"/>
    </row>
    <row r="2295">
      <c r="A2295" s="1257"/>
      <c r="B2295" s="1113"/>
      <c r="C2295" s="1107"/>
      <c r="D2295" s="103"/>
      <c r="E2295" s="1137"/>
      <c r="F2295" s="112"/>
      <c r="G2295" s="1110"/>
      <c r="H2295" s="1138"/>
      <c r="I2295" s="1138"/>
      <c r="J2295" s="1139"/>
      <c r="K2295" s="1111"/>
      <c r="L2295" s="1112"/>
      <c r="M2295" s="1113"/>
      <c r="N2295" s="110"/>
      <c r="O2295" s="1140"/>
      <c r="P2295" s="1115"/>
      <c r="Q2295" s="1116"/>
      <c r="R2295" s="1141"/>
      <c r="S2295" s="1113"/>
      <c r="T2295" s="1143"/>
      <c r="U2295" s="1108"/>
      <c r="V2295" s="1108"/>
      <c r="W2295" s="1108"/>
      <c r="X2295" s="1108"/>
      <c r="Y2295" s="1108"/>
      <c r="Z2295" s="1114"/>
      <c r="AA2295" s="1114"/>
      <c r="AB2295" s="1114"/>
      <c r="AC2295" s="1117"/>
      <c r="AD2295" s="1115"/>
      <c r="AE2295" s="1115"/>
      <c r="AF2295" s="1115"/>
      <c r="AG2295" s="1115"/>
      <c r="AH2295" s="1115"/>
      <c r="AI2295" s="1115"/>
      <c r="AJ2295" s="1117"/>
      <c r="AK2295" s="1118"/>
      <c r="AL2295" s="1115"/>
      <c r="AM2295" s="1115"/>
      <c r="AN2295" s="1115"/>
      <c r="AO2295" s="1115"/>
      <c r="AP2295" s="1115"/>
      <c r="AQ2295" s="1115"/>
      <c r="AR2295" s="1115"/>
      <c r="AS2295" s="1117"/>
      <c r="AT2295" s="1196" t="str">
        <f t="shared" si="428"/>
        <v/>
      </c>
      <c r="AU2295" s="1193"/>
      <c r="AV2295" s="330">
        <f>SQRT(($R2295-Infrastructure!J$3)^2+($S2295-Infrastructure!K$3)^2)</f>
        <v>28.90155705</v>
      </c>
      <c r="AW2295" s="331">
        <f>SQRT(($R2295-Infrastructure!J$4)^2+($S2295-Infrastructure!K$4)^2)</f>
        <v>17.80252791</v>
      </c>
      <c r="AX2295" s="331">
        <f>SQRT(($R2295-Infrastructure!J$5)^2+($S2295-Infrastructure!K$5)^2)</f>
        <v>5.10881591</v>
      </c>
      <c r="AY2295" s="331">
        <f>SQRT(($R2295-Infrastructure!J$6)^2+($S2295-Infrastructure!K$6)^2)</f>
        <v>10.10445446</v>
      </c>
      <c r="AZ2295" s="331">
        <f>SQRT(($R2295-Infrastructure!J$7)^2+($S2295-Infrastructure!K$7)^2)</f>
        <v>20.502195</v>
      </c>
      <c r="BA2295" s="331">
        <f>SQRT(($R2295-Infrastructure!J$8)^2+($S2295-Infrastructure!K$8)^2)</f>
        <v>30.10149498</v>
      </c>
      <c r="BB2295" s="331">
        <f>SQRT(($R2295-Infrastructure!J$9)^2+($S2295-Infrastructure!K$9)^2)</f>
        <v>40.3238143</v>
      </c>
      <c r="BC2295" s="331">
        <f>SQRT(($R2295-Infrastructure!J$10)^2+($S2295-Infrastructure!K$10)^2)</f>
        <v>42.72001873</v>
      </c>
      <c r="BD2295" s="331">
        <f>SQRT(($R2295-Infrastructure!J$11)^2+($S2295-Infrastructure!K$11)^2)</f>
        <v>49.56853841</v>
      </c>
      <c r="BE2295" s="333">
        <f>SQRT(($R2295-Infrastructure!J$12)^2+($S2295-Infrastructure!K$12)^2)</f>
        <v>59.51890456</v>
      </c>
      <c r="BF2295" s="330">
        <f t="shared" si="161"/>
        <v>5.10881591</v>
      </c>
      <c r="BG2295" s="333">
        <f t="shared" si="162"/>
        <v>59.51890456</v>
      </c>
      <c r="BH2295" s="1119"/>
      <c r="BI2295" s="319" t="str">
        <f t="shared" ref="BI2295:BR2295" si="1444">IF(ISNUMBER(FIND(BI$3, $CO2295)), "Y", "")</f>
        <v/>
      </c>
      <c r="BJ2295" s="319" t="str">
        <f t="shared" si="1444"/>
        <v/>
      </c>
      <c r="BK2295" s="319" t="str">
        <f t="shared" si="1444"/>
        <v/>
      </c>
      <c r="BL2295" s="319" t="str">
        <f t="shared" si="1444"/>
        <v/>
      </c>
      <c r="BM2295" s="319" t="str">
        <f t="shared" si="1444"/>
        <v/>
      </c>
      <c r="BN2295" s="319" t="str">
        <f t="shared" si="1444"/>
        <v/>
      </c>
      <c r="BO2295" s="319" t="str">
        <f t="shared" si="1444"/>
        <v/>
      </c>
      <c r="BP2295" s="319" t="str">
        <f t="shared" si="1444"/>
        <v/>
      </c>
      <c r="BQ2295" s="319" t="str">
        <f t="shared" si="1444"/>
        <v/>
      </c>
      <c r="BR2295" s="319" t="str">
        <f t="shared" si="1444"/>
        <v/>
      </c>
      <c r="BS2295" s="330">
        <f t="shared" si="185"/>
        <v>0</v>
      </c>
      <c r="BT2295" s="331">
        <f t="shared" si="170"/>
        <v>0</v>
      </c>
      <c r="BU2295" s="920"/>
      <c r="BV2295" s="903" t="str">
        <f t="shared" si="1244"/>
        <v/>
      </c>
      <c r="BW2295" s="908"/>
      <c r="BX2295" s="908"/>
      <c r="BY2295" s="331" t="b">
        <f t="shared" si="201"/>
        <v>0</v>
      </c>
      <c r="BZ2295" s="331"/>
      <c r="CA2295" s="462" t="str">
        <f t="shared" ref="CA2295:CJ2295" si="1445">IF(ISNUMBER(FIND(BI$3, $CP2295)), "Y", "")</f>
        <v/>
      </c>
      <c r="CB2295" s="319" t="str">
        <f t="shared" si="1445"/>
        <v/>
      </c>
      <c r="CC2295" s="319" t="str">
        <f t="shared" si="1445"/>
        <v/>
      </c>
      <c r="CD2295" s="319" t="str">
        <f t="shared" si="1445"/>
        <v/>
      </c>
      <c r="CE2295" s="319" t="str">
        <f t="shared" si="1445"/>
        <v/>
      </c>
      <c r="CF2295" s="319" t="str">
        <f t="shared" si="1445"/>
        <v/>
      </c>
      <c r="CG2295" s="319" t="str">
        <f t="shared" si="1445"/>
        <v/>
      </c>
      <c r="CH2295" s="319" t="str">
        <f t="shared" si="1445"/>
        <v/>
      </c>
      <c r="CI2295" s="319" t="str">
        <f t="shared" si="1445"/>
        <v/>
      </c>
      <c r="CJ2295" s="319" t="str">
        <f t="shared" si="1445"/>
        <v/>
      </c>
      <c r="CK2295" s="342">
        <f t="shared" si="182"/>
        <v>0</v>
      </c>
      <c r="CL2295" s="333">
        <f t="shared" si="183"/>
        <v>0</v>
      </c>
      <c r="CM2295" s="1079"/>
      <c r="CN2295" s="1005"/>
      <c r="CO2295" s="1005"/>
      <c r="CP2295" s="1005"/>
    </row>
    <row r="2296">
      <c r="A2296" s="1257"/>
      <c r="B2296" s="1113"/>
      <c r="C2296" s="1107"/>
      <c r="D2296" s="103"/>
      <c r="E2296" s="1137"/>
      <c r="F2296" s="112"/>
      <c r="G2296" s="1110"/>
      <c r="H2296" s="1138"/>
      <c r="I2296" s="1138"/>
      <c r="J2296" s="1139"/>
      <c r="K2296" s="1111"/>
      <c r="L2296" s="1112"/>
      <c r="M2296" s="1113"/>
      <c r="N2296" s="110"/>
      <c r="O2296" s="1140"/>
      <c r="P2296" s="1115"/>
      <c r="Q2296" s="1116"/>
      <c r="R2296" s="1141"/>
      <c r="S2296" s="1113"/>
      <c r="T2296" s="1143"/>
      <c r="U2296" s="1108"/>
      <c r="V2296" s="1108"/>
      <c r="W2296" s="1108"/>
      <c r="X2296" s="1108"/>
      <c r="Y2296" s="1108"/>
      <c r="Z2296" s="1114"/>
      <c r="AA2296" s="1114"/>
      <c r="AB2296" s="1114"/>
      <c r="AC2296" s="1117"/>
      <c r="AD2296" s="1115"/>
      <c r="AE2296" s="1115"/>
      <c r="AF2296" s="1115"/>
      <c r="AG2296" s="1115"/>
      <c r="AH2296" s="1115"/>
      <c r="AI2296" s="1115"/>
      <c r="AJ2296" s="1117"/>
      <c r="AK2296" s="1118"/>
      <c r="AL2296" s="1115"/>
      <c r="AM2296" s="1115"/>
      <c r="AN2296" s="1115"/>
      <c r="AO2296" s="1115"/>
      <c r="AP2296" s="1115"/>
      <c r="AQ2296" s="1115"/>
      <c r="AR2296" s="1115"/>
      <c r="AS2296" s="1117"/>
      <c r="AT2296" s="1196" t="str">
        <f t="shared" si="428"/>
        <v/>
      </c>
      <c r="AU2296" s="1193"/>
      <c r="AV2296" s="330">
        <f>SQRT(($R2296-Infrastructure!J$3)^2+($S2296-Infrastructure!K$3)^2)</f>
        <v>28.90155705</v>
      </c>
      <c r="AW2296" s="331">
        <f>SQRT(($R2296-Infrastructure!J$4)^2+($S2296-Infrastructure!K$4)^2)</f>
        <v>17.80252791</v>
      </c>
      <c r="AX2296" s="331">
        <f>SQRT(($R2296-Infrastructure!J$5)^2+($S2296-Infrastructure!K$5)^2)</f>
        <v>5.10881591</v>
      </c>
      <c r="AY2296" s="331">
        <f>SQRT(($R2296-Infrastructure!J$6)^2+($S2296-Infrastructure!K$6)^2)</f>
        <v>10.10445446</v>
      </c>
      <c r="AZ2296" s="331">
        <f>SQRT(($R2296-Infrastructure!J$7)^2+($S2296-Infrastructure!K$7)^2)</f>
        <v>20.502195</v>
      </c>
      <c r="BA2296" s="331">
        <f>SQRT(($R2296-Infrastructure!J$8)^2+($S2296-Infrastructure!K$8)^2)</f>
        <v>30.10149498</v>
      </c>
      <c r="BB2296" s="331">
        <f>SQRT(($R2296-Infrastructure!J$9)^2+($S2296-Infrastructure!K$9)^2)</f>
        <v>40.3238143</v>
      </c>
      <c r="BC2296" s="331">
        <f>SQRT(($R2296-Infrastructure!J$10)^2+($S2296-Infrastructure!K$10)^2)</f>
        <v>42.72001873</v>
      </c>
      <c r="BD2296" s="331">
        <f>SQRT(($R2296-Infrastructure!J$11)^2+($S2296-Infrastructure!K$11)^2)</f>
        <v>49.56853841</v>
      </c>
      <c r="BE2296" s="333">
        <f>SQRT(($R2296-Infrastructure!J$12)^2+($S2296-Infrastructure!K$12)^2)</f>
        <v>59.51890456</v>
      </c>
      <c r="BF2296" s="330">
        <f t="shared" si="161"/>
        <v>5.10881591</v>
      </c>
      <c r="BG2296" s="333">
        <f t="shared" si="162"/>
        <v>59.51890456</v>
      </c>
      <c r="BH2296" s="1119"/>
      <c r="BI2296" s="319" t="str">
        <f t="shared" ref="BI2296:BR2296" si="1446">IF(ISNUMBER(FIND(BI$3, $CO2296)), "Y", "")</f>
        <v/>
      </c>
      <c r="BJ2296" s="319" t="str">
        <f t="shared" si="1446"/>
        <v/>
      </c>
      <c r="BK2296" s="319" t="str">
        <f t="shared" si="1446"/>
        <v/>
      </c>
      <c r="BL2296" s="319" t="str">
        <f t="shared" si="1446"/>
        <v/>
      </c>
      <c r="BM2296" s="319" t="str">
        <f t="shared" si="1446"/>
        <v/>
      </c>
      <c r="BN2296" s="319" t="str">
        <f t="shared" si="1446"/>
        <v/>
      </c>
      <c r="BO2296" s="319" t="str">
        <f t="shared" si="1446"/>
        <v/>
      </c>
      <c r="BP2296" s="319" t="str">
        <f t="shared" si="1446"/>
        <v/>
      </c>
      <c r="BQ2296" s="319" t="str">
        <f t="shared" si="1446"/>
        <v/>
      </c>
      <c r="BR2296" s="319" t="str">
        <f t="shared" si="1446"/>
        <v/>
      </c>
      <c r="BS2296" s="330">
        <f t="shared" si="185"/>
        <v>0</v>
      </c>
      <c r="BT2296" s="331">
        <f t="shared" si="170"/>
        <v>0</v>
      </c>
      <c r="BU2296" s="920"/>
      <c r="BV2296" s="903" t="str">
        <f t="shared" si="1244"/>
        <v/>
      </c>
      <c r="BW2296" s="908"/>
      <c r="BX2296" s="908"/>
      <c r="BY2296" s="331" t="b">
        <f t="shared" si="201"/>
        <v>0</v>
      </c>
      <c r="BZ2296" s="331"/>
      <c r="CA2296" s="462" t="str">
        <f t="shared" ref="CA2296:CJ2296" si="1447">IF(ISNUMBER(FIND(BI$3, $CP2296)), "Y", "")</f>
        <v/>
      </c>
      <c r="CB2296" s="319" t="str">
        <f t="shared" si="1447"/>
        <v/>
      </c>
      <c r="CC2296" s="319" t="str">
        <f t="shared" si="1447"/>
        <v/>
      </c>
      <c r="CD2296" s="319" t="str">
        <f t="shared" si="1447"/>
        <v/>
      </c>
      <c r="CE2296" s="319" t="str">
        <f t="shared" si="1447"/>
        <v/>
      </c>
      <c r="CF2296" s="319" t="str">
        <f t="shared" si="1447"/>
        <v/>
      </c>
      <c r="CG2296" s="319" t="str">
        <f t="shared" si="1447"/>
        <v/>
      </c>
      <c r="CH2296" s="319" t="str">
        <f t="shared" si="1447"/>
        <v/>
      </c>
      <c r="CI2296" s="319" t="str">
        <f t="shared" si="1447"/>
        <v/>
      </c>
      <c r="CJ2296" s="319" t="str">
        <f t="shared" si="1447"/>
        <v/>
      </c>
      <c r="CK2296" s="342">
        <f t="shared" si="182"/>
        <v>0</v>
      </c>
      <c r="CL2296" s="333">
        <f t="shared" si="183"/>
        <v>0</v>
      </c>
      <c r="CM2296" s="1079"/>
      <c r="CN2296" s="1005"/>
      <c r="CO2296" s="1005"/>
      <c r="CP2296" s="1005"/>
    </row>
    <row r="2297">
      <c r="A2297" s="1257"/>
      <c r="B2297" s="1113"/>
      <c r="C2297" s="1107"/>
      <c r="D2297" s="103"/>
      <c r="E2297" s="1137"/>
      <c r="F2297" s="112"/>
      <c r="G2297" s="1110"/>
      <c r="H2297" s="1138"/>
      <c r="I2297" s="1138"/>
      <c r="J2297" s="1139"/>
      <c r="K2297" s="1111"/>
      <c r="L2297" s="1112"/>
      <c r="M2297" s="1113"/>
      <c r="N2297" s="110"/>
      <c r="O2297" s="1140"/>
      <c r="P2297" s="1115"/>
      <c r="Q2297" s="1116"/>
      <c r="R2297" s="1141"/>
      <c r="S2297" s="1113"/>
      <c r="T2297" s="1143"/>
      <c r="U2297" s="1108"/>
      <c r="V2297" s="1108"/>
      <c r="W2297" s="1108"/>
      <c r="X2297" s="1108"/>
      <c r="Y2297" s="1108"/>
      <c r="Z2297" s="1114"/>
      <c r="AA2297" s="1114"/>
      <c r="AB2297" s="1114"/>
      <c r="AC2297" s="1117"/>
      <c r="AD2297" s="1115"/>
      <c r="AE2297" s="1115"/>
      <c r="AF2297" s="1115"/>
      <c r="AG2297" s="1115"/>
      <c r="AH2297" s="1115"/>
      <c r="AI2297" s="1115"/>
      <c r="AJ2297" s="1117"/>
      <c r="AK2297" s="1118"/>
      <c r="AL2297" s="1115"/>
      <c r="AM2297" s="1115"/>
      <c r="AN2297" s="1115"/>
      <c r="AO2297" s="1115"/>
      <c r="AP2297" s="1115"/>
      <c r="AQ2297" s="1115"/>
      <c r="AR2297" s="1115"/>
      <c r="AS2297" s="1117"/>
      <c r="AT2297" s="1196" t="str">
        <f t="shared" si="428"/>
        <v/>
      </c>
      <c r="AU2297" s="1193"/>
      <c r="AV2297" s="330">
        <f>SQRT(($R2297-Infrastructure!J$3)^2+($S2297-Infrastructure!K$3)^2)</f>
        <v>28.90155705</v>
      </c>
      <c r="AW2297" s="331">
        <f>SQRT(($R2297-Infrastructure!J$4)^2+($S2297-Infrastructure!K$4)^2)</f>
        <v>17.80252791</v>
      </c>
      <c r="AX2297" s="331">
        <f>SQRT(($R2297-Infrastructure!J$5)^2+($S2297-Infrastructure!K$5)^2)</f>
        <v>5.10881591</v>
      </c>
      <c r="AY2297" s="331">
        <f>SQRT(($R2297-Infrastructure!J$6)^2+($S2297-Infrastructure!K$6)^2)</f>
        <v>10.10445446</v>
      </c>
      <c r="AZ2297" s="331">
        <f>SQRT(($R2297-Infrastructure!J$7)^2+($S2297-Infrastructure!K$7)^2)</f>
        <v>20.502195</v>
      </c>
      <c r="BA2297" s="331">
        <f>SQRT(($R2297-Infrastructure!J$8)^2+($S2297-Infrastructure!K$8)^2)</f>
        <v>30.10149498</v>
      </c>
      <c r="BB2297" s="331">
        <f>SQRT(($R2297-Infrastructure!J$9)^2+($S2297-Infrastructure!K$9)^2)</f>
        <v>40.3238143</v>
      </c>
      <c r="BC2297" s="331">
        <f>SQRT(($R2297-Infrastructure!J$10)^2+($S2297-Infrastructure!K$10)^2)</f>
        <v>42.72001873</v>
      </c>
      <c r="BD2297" s="331">
        <f>SQRT(($R2297-Infrastructure!J$11)^2+($S2297-Infrastructure!K$11)^2)</f>
        <v>49.56853841</v>
      </c>
      <c r="BE2297" s="333">
        <f>SQRT(($R2297-Infrastructure!J$12)^2+($S2297-Infrastructure!K$12)^2)</f>
        <v>59.51890456</v>
      </c>
      <c r="BF2297" s="330">
        <f t="shared" si="161"/>
        <v>5.10881591</v>
      </c>
      <c r="BG2297" s="333">
        <f t="shared" si="162"/>
        <v>59.51890456</v>
      </c>
      <c r="BH2297" s="1119"/>
      <c r="BI2297" s="319" t="str">
        <f t="shared" ref="BI2297:BR2297" si="1448">IF(ISNUMBER(FIND(BI$3, $CO2297)), "Y", "")</f>
        <v/>
      </c>
      <c r="BJ2297" s="319" t="str">
        <f t="shared" si="1448"/>
        <v/>
      </c>
      <c r="BK2297" s="319" t="str">
        <f t="shared" si="1448"/>
        <v/>
      </c>
      <c r="BL2297" s="319" t="str">
        <f t="shared" si="1448"/>
        <v/>
      </c>
      <c r="BM2297" s="319" t="str">
        <f t="shared" si="1448"/>
        <v/>
      </c>
      <c r="BN2297" s="319" t="str">
        <f t="shared" si="1448"/>
        <v/>
      </c>
      <c r="BO2297" s="319" t="str">
        <f t="shared" si="1448"/>
        <v/>
      </c>
      <c r="BP2297" s="319" t="str">
        <f t="shared" si="1448"/>
        <v/>
      </c>
      <c r="BQ2297" s="319" t="str">
        <f t="shared" si="1448"/>
        <v/>
      </c>
      <c r="BR2297" s="319" t="str">
        <f t="shared" si="1448"/>
        <v/>
      </c>
      <c r="BS2297" s="330">
        <f t="shared" si="185"/>
        <v>0</v>
      </c>
      <c r="BT2297" s="331">
        <f t="shared" si="170"/>
        <v>0</v>
      </c>
      <c r="BU2297" s="920"/>
      <c r="BV2297" s="903" t="str">
        <f t="shared" si="1244"/>
        <v/>
      </c>
      <c r="BW2297" s="908"/>
      <c r="BX2297" s="908"/>
      <c r="BY2297" s="331" t="b">
        <f t="shared" si="201"/>
        <v>0</v>
      </c>
      <c r="BZ2297" s="331"/>
      <c r="CA2297" s="462" t="str">
        <f t="shared" ref="CA2297:CJ2297" si="1449">IF(ISNUMBER(FIND(BI$3, $CP2297)), "Y", "")</f>
        <v/>
      </c>
      <c r="CB2297" s="319" t="str">
        <f t="shared" si="1449"/>
        <v/>
      </c>
      <c r="CC2297" s="319" t="str">
        <f t="shared" si="1449"/>
        <v/>
      </c>
      <c r="CD2297" s="319" t="str">
        <f t="shared" si="1449"/>
        <v/>
      </c>
      <c r="CE2297" s="319" t="str">
        <f t="shared" si="1449"/>
        <v/>
      </c>
      <c r="CF2297" s="319" t="str">
        <f t="shared" si="1449"/>
        <v/>
      </c>
      <c r="CG2297" s="319" t="str">
        <f t="shared" si="1449"/>
        <v/>
      </c>
      <c r="CH2297" s="319" t="str">
        <f t="shared" si="1449"/>
        <v/>
      </c>
      <c r="CI2297" s="319" t="str">
        <f t="shared" si="1449"/>
        <v/>
      </c>
      <c r="CJ2297" s="319" t="str">
        <f t="shared" si="1449"/>
        <v/>
      </c>
      <c r="CK2297" s="342">
        <f t="shared" si="182"/>
        <v>0</v>
      </c>
      <c r="CL2297" s="333">
        <f t="shared" si="183"/>
        <v>0</v>
      </c>
      <c r="CM2297" s="1079"/>
      <c r="CN2297" s="1005"/>
      <c r="CO2297" s="1005"/>
      <c r="CP2297" s="1005"/>
    </row>
    <row r="2298">
      <c r="A2298" s="1257"/>
      <c r="B2298" s="1113"/>
      <c r="C2298" s="1107"/>
      <c r="D2298" s="103"/>
      <c r="E2298" s="1137"/>
      <c r="F2298" s="112"/>
      <c r="G2298" s="1110"/>
      <c r="H2298" s="1138"/>
      <c r="I2298" s="1138"/>
      <c r="J2298" s="1139"/>
      <c r="K2298" s="1111"/>
      <c r="L2298" s="1112"/>
      <c r="M2298" s="1113"/>
      <c r="N2298" s="110"/>
      <c r="O2298" s="1140"/>
      <c r="P2298" s="1115"/>
      <c r="Q2298" s="1116"/>
      <c r="R2298" s="1141"/>
      <c r="S2298" s="1113"/>
      <c r="T2298" s="1143"/>
      <c r="U2298" s="1108"/>
      <c r="V2298" s="1108"/>
      <c r="W2298" s="1108"/>
      <c r="X2298" s="1108"/>
      <c r="Y2298" s="1108"/>
      <c r="Z2298" s="1114"/>
      <c r="AA2298" s="1114"/>
      <c r="AB2298" s="1114"/>
      <c r="AC2298" s="1117"/>
      <c r="AD2298" s="1115"/>
      <c r="AE2298" s="1115"/>
      <c r="AF2298" s="1115"/>
      <c r="AG2298" s="1115"/>
      <c r="AH2298" s="1115"/>
      <c r="AI2298" s="1115"/>
      <c r="AJ2298" s="1117"/>
      <c r="AK2298" s="1118"/>
      <c r="AL2298" s="1115"/>
      <c r="AM2298" s="1115"/>
      <c r="AN2298" s="1115"/>
      <c r="AO2298" s="1115"/>
      <c r="AP2298" s="1115"/>
      <c r="AQ2298" s="1115"/>
      <c r="AR2298" s="1115"/>
      <c r="AS2298" s="1117"/>
      <c r="AT2298" s="1196" t="str">
        <f t="shared" si="428"/>
        <v/>
      </c>
      <c r="AU2298" s="1193"/>
      <c r="AV2298" s="330">
        <f>SQRT(($R2298-Infrastructure!J$3)^2+($S2298-Infrastructure!K$3)^2)</f>
        <v>28.90155705</v>
      </c>
      <c r="AW2298" s="331">
        <f>SQRT(($R2298-Infrastructure!J$4)^2+($S2298-Infrastructure!K$4)^2)</f>
        <v>17.80252791</v>
      </c>
      <c r="AX2298" s="331">
        <f>SQRT(($R2298-Infrastructure!J$5)^2+($S2298-Infrastructure!K$5)^2)</f>
        <v>5.10881591</v>
      </c>
      <c r="AY2298" s="331">
        <f>SQRT(($R2298-Infrastructure!J$6)^2+($S2298-Infrastructure!K$6)^2)</f>
        <v>10.10445446</v>
      </c>
      <c r="AZ2298" s="331">
        <f>SQRT(($R2298-Infrastructure!J$7)^2+($S2298-Infrastructure!K$7)^2)</f>
        <v>20.502195</v>
      </c>
      <c r="BA2298" s="331">
        <f>SQRT(($R2298-Infrastructure!J$8)^2+($S2298-Infrastructure!K$8)^2)</f>
        <v>30.10149498</v>
      </c>
      <c r="BB2298" s="331">
        <f>SQRT(($R2298-Infrastructure!J$9)^2+($S2298-Infrastructure!K$9)^2)</f>
        <v>40.3238143</v>
      </c>
      <c r="BC2298" s="331">
        <f>SQRT(($R2298-Infrastructure!J$10)^2+($S2298-Infrastructure!K$10)^2)</f>
        <v>42.72001873</v>
      </c>
      <c r="BD2298" s="331">
        <f>SQRT(($R2298-Infrastructure!J$11)^2+($S2298-Infrastructure!K$11)^2)</f>
        <v>49.56853841</v>
      </c>
      <c r="BE2298" s="333">
        <f>SQRT(($R2298-Infrastructure!J$12)^2+($S2298-Infrastructure!K$12)^2)</f>
        <v>59.51890456</v>
      </c>
      <c r="BF2298" s="330">
        <f t="shared" si="161"/>
        <v>5.10881591</v>
      </c>
      <c r="BG2298" s="333">
        <f t="shared" si="162"/>
        <v>59.51890456</v>
      </c>
      <c r="BH2298" s="1119"/>
      <c r="BI2298" s="319" t="str">
        <f t="shared" ref="BI2298:BR2298" si="1450">IF(ISNUMBER(FIND(BI$3, $CO2298)), "Y", "")</f>
        <v/>
      </c>
      <c r="BJ2298" s="319" t="str">
        <f t="shared" si="1450"/>
        <v/>
      </c>
      <c r="BK2298" s="319" t="str">
        <f t="shared" si="1450"/>
        <v/>
      </c>
      <c r="BL2298" s="319" t="str">
        <f t="shared" si="1450"/>
        <v/>
      </c>
      <c r="BM2298" s="319" t="str">
        <f t="shared" si="1450"/>
        <v/>
      </c>
      <c r="BN2298" s="319" t="str">
        <f t="shared" si="1450"/>
        <v/>
      </c>
      <c r="BO2298" s="319" t="str">
        <f t="shared" si="1450"/>
        <v/>
      </c>
      <c r="BP2298" s="319" t="str">
        <f t="shared" si="1450"/>
        <v/>
      </c>
      <c r="BQ2298" s="319" t="str">
        <f t="shared" si="1450"/>
        <v/>
      </c>
      <c r="BR2298" s="319" t="str">
        <f t="shared" si="1450"/>
        <v/>
      </c>
      <c r="BS2298" s="330">
        <f t="shared" si="185"/>
        <v>0</v>
      </c>
      <c r="BT2298" s="331">
        <f t="shared" si="170"/>
        <v>0</v>
      </c>
      <c r="BU2298" s="920"/>
      <c r="BV2298" s="903" t="str">
        <f t="shared" si="1244"/>
        <v/>
      </c>
      <c r="BW2298" s="908"/>
      <c r="BX2298" s="908"/>
      <c r="BY2298" s="331" t="b">
        <f t="shared" si="201"/>
        <v>0</v>
      </c>
      <c r="BZ2298" s="331"/>
      <c r="CA2298" s="462" t="str">
        <f t="shared" ref="CA2298:CJ2298" si="1451">IF(ISNUMBER(FIND(BI$3, $CP2298)), "Y", "")</f>
        <v/>
      </c>
      <c r="CB2298" s="319" t="str">
        <f t="shared" si="1451"/>
        <v/>
      </c>
      <c r="CC2298" s="319" t="str">
        <f t="shared" si="1451"/>
        <v/>
      </c>
      <c r="CD2298" s="319" t="str">
        <f t="shared" si="1451"/>
        <v/>
      </c>
      <c r="CE2298" s="319" t="str">
        <f t="shared" si="1451"/>
        <v/>
      </c>
      <c r="CF2298" s="319" t="str">
        <f t="shared" si="1451"/>
        <v/>
      </c>
      <c r="CG2298" s="319" t="str">
        <f t="shared" si="1451"/>
        <v/>
      </c>
      <c r="CH2298" s="319" t="str">
        <f t="shared" si="1451"/>
        <v/>
      </c>
      <c r="CI2298" s="319" t="str">
        <f t="shared" si="1451"/>
        <v/>
      </c>
      <c r="CJ2298" s="319" t="str">
        <f t="shared" si="1451"/>
        <v/>
      </c>
      <c r="CK2298" s="342">
        <f t="shared" si="182"/>
        <v>0</v>
      </c>
      <c r="CL2298" s="333">
        <f t="shared" si="183"/>
        <v>0</v>
      </c>
      <c r="CM2298" s="1079"/>
      <c r="CN2298" s="1005"/>
      <c r="CO2298" s="1005"/>
      <c r="CP2298" s="1005"/>
    </row>
    <row r="2299">
      <c r="A2299" s="1257"/>
      <c r="B2299" s="1113"/>
      <c r="C2299" s="1107"/>
      <c r="D2299" s="103"/>
      <c r="E2299" s="1137"/>
      <c r="F2299" s="112"/>
      <c r="G2299" s="1110"/>
      <c r="H2299" s="1138"/>
      <c r="I2299" s="1138"/>
      <c r="J2299" s="1139"/>
      <c r="K2299" s="1111"/>
      <c r="L2299" s="1112"/>
      <c r="M2299" s="1113"/>
      <c r="N2299" s="110"/>
      <c r="O2299" s="1140"/>
      <c r="P2299" s="1115"/>
      <c r="Q2299" s="1116"/>
      <c r="R2299" s="1141"/>
      <c r="S2299" s="1113"/>
      <c r="T2299" s="1143"/>
      <c r="U2299" s="1108"/>
      <c r="V2299" s="1108"/>
      <c r="W2299" s="1108"/>
      <c r="X2299" s="1108"/>
      <c r="Y2299" s="1108"/>
      <c r="Z2299" s="1114"/>
      <c r="AA2299" s="1114"/>
      <c r="AB2299" s="1114"/>
      <c r="AC2299" s="1117"/>
      <c r="AD2299" s="1115"/>
      <c r="AE2299" s="1115"/>
      <c r="AF2299" s="1115"/>
      <c r="AG2299" s="1115"/>
      <c r="AH2299" s="1115"/>
      <c r="AI2299" s="1115"/>
      <c r="AJ2299" s="1117"/>
      <c r="AK2299" s="1118"/>
      <c r="AL2299" s="1115"/>
      <c r="AM2299" s="1115"/>
      <c r="AN2299" s="1115"/>
      <c r="AO2299" s="1115"/>
      <c r="AP2299" s="1115"/>
      <c r="AQ2299" s="1115"/>
      <c r="AR2299" s="1115"/>
      <c r="AS2299" s="1117"/>
      <c r="AT2299" s="1196" t="str">
        <f t="shared" si="428"/>
        <v/>
      </c>
      <c r="AU2299" s="1193"/>
      <c r="AV2299" s="330">
        <f>SQRT(($R2299-Infrastructure!J$3)^2+($S2299-Infrastructure!K$3)^2)</f>
        <v>28.90155705</v>
      </c>
      <c r="AW2299" s="331">
        <f>SQRT(($R2299-Infrastructure!J$4)^2+($S2299-Infrastructure!K$4)^2)</f>
        <v>17.80252791</v>
      </c>
      <c r="AX2299" s="331">
        <f>SQRT(($R2299-Infrastructure!J$5)^2+($S2299-Infrastructure!K$5)^2)</f>
        <v>5.10881591</v>
      </c>
      <c r="AY2299" s="331">
        <f>SQRT(($R2299-Infrastructure!J$6)^2+($S2299-Infrastructure!K$6)^2)</f>
        <v>10.10445446</v>
      </c>
      <c r="AZ2299" s="331">
        <f>SQRT(($R2299-Infrastructure!J$7)^2+($S2299-Infrastructure!K$7)^2)</f>
        <v>20.502195</v>
      </c>
      <c r="BA2299" s="331">
        <f>SQRT(($R2299-Infrastructure!J$8)^2+($S2299-Infrastructure!K$8)^2)</f>
        <v>30.10149498</v>
      </c>
      <c r="BB2299" s="331">
        <f>SQRT(($R2299-Infrastructure!J$9)^2+($S2299-Infrastructure!K$9)^2)</f>
        <v>40.3238143</v>
      </c>
      <c r="BC2299" s="331">
        <f>SQRT(($R2299-Infrastructure!J$10)^2+($S2299-Infrastructure!K$10)^2)</f>
        <v>42.72001873</v>
      </c>
      <c r="BD2299" s="331">
        <f>SQRT(($R2299-Infrastructure!J$11)^2+($S2299-Infrastructure!K$11)^2)</f>
        <v>49.56853841</v>
      </c>
      <c r="BE2299" s="333">
        <f>SQRT(($R2299-Infrastructure!J$12)^2+($S2299-Infrastructure!K$12)^2)</f>
        <v>59.51890456</v>
      </c>
      <c r="BF2299" s="330">
        <f t="shared" si="161"/>
        <v>5.10881591</v>
      </c>
      <c r="BG2299" s="333">
        <f t="shared" si="162"/>
        <v>59.51890456</v>
      </c>
      <c r="BH2299" s="1119"/>
      <c r="BI2299" s="319" t="str">
        <f t="shared" ref="BI2299:BR2299" si="1452">IF(ISNUMBER(FIND(BI$3, $CO2299)), "Y", "")</f>
        <v/>
      </c>
      <c r="BJ2299" s="319" t="str">
        <f t="shared" si="1452"/>
        <v/>
      </c>
      <c r="BK2299" s="319" t="str">
        <f t="shared" si="1452"/>
        <v/>
      </c>
      <c r="BL2299" s="319" t="str">
        <f t="shared" si="1452"/>
        <v/>
      </c>
      <c r="BM2299" s="319" t="str">
        <f t="shared" si="1452"/>
        <v/>
      </c>
      <c r="BN2299" s="319" t="str">
        <f t="shared" si="1452"/>
        <v/>
      </c>
      <c r="BO2299" s="319" t="str">
        <f t="shared" si="1452"/>
        <v/>
      </c>
      <c r="BP2299" s="319" t="str">
        <f t="shared" si="1452"/>
        <v/>
      </c>
      <c r="BQ2299" s="319" t="str">
        <f t="shared" si="1452"/>
        <v/>
      </c>
      <c r="BR2299" s="319" t="str">
        <f t="shared" si="1452"/>
        <v/>
      </c>
      <c r="BS2299" s="330">
        <f t="shared" si="185"/>
        <v>0</v>
      </c>
      <c r="BT2299" s="331">
        <f t="shared" si="170"/>
        <v>0</v>
      </c>
      <c r="BU2299" s="920"/>
      <c r="BV2299" s="903" t="str">
        <f t="shared" si="1244"/>
        <v/>
      </c>
      <c r="BW2299" s="908"/>
      <c r="BX2299" s="908"/>
      <c r="BY2299" s="331" t="b">
        <f t="shared" si="201"/>
        <v>0</v>
      </c>
      <c r="BZ2299" s="331"/>
      <c r="CA2299" s="462" t="str">
        <f t="shared" ref="CA2299:CJ2299" si="1453">IF(ISNUMBER(FIND(BI$3, $CP2299)), "Y", "")</f>
        <v/>
      </c>
      <c r="CB2299" s="319" t="str">
        <f t="shared" si="1453"/>
        <v/>
      </c>
      <c r="CC2299" s="319" t="str">
        <f t="shared" si="1453"/>
        <v/>
      </c>
      <c r="CD2299" s="319" t="str">
        <f t="shared" si="1453"/>
        <v/>
      </c>
      <c r="CE2299" s="319" t="str">
        <f t="shared" si="1453"/>
        <v/>
      </c>
      <c r="CF2299" s="319" t="str">
        <f t="shared" si="1453"/>
        <v/>
      </c>
      <c r="CG2299" s="319" t="str">
        <f t="shared" si="1453"/>
        <v/>
      </c>
      <c r="CH2299" s="319" t="str">
        <f t="shared" si="1453"/>
        <v/>
      </c>
      <c r="CI2299" s="319" t="str">
        <f t="shared" si="1453"/>
        <v/>
      </c>
      <c r="CJ2299" s="319" t="str">
        <f t="shared" si="1453"/>
        <v/>
      </c>
      <c r="CK2299" s="342">
        <f t="shared" si="182"/>
        <v>0</v>
      </c>
      <c r="CL2299" s="333">
        <f t="shared" si="183"/>
        <v>0</v>
      </c>
      <c r="CM2299" s="1079"/>
      <c r="CN2299" s="1005"/>
      <c r="CO2299" s="1005"/>
      <c r="CP2299" s="1005"/>
    </row>
    <row r="2300">
      <c r="A2300" s="1257"/>
      <c r="B2300" s="1113"/>
      <c r="C2300" s="1107"/>
      <c r="D2300" s="103"/>
      <c r="E2300" s="1137"/>
      <c r="F2300" s="112"/>
      <c r="G2300" s="1110"/>
      <c r="H2300" s="1138"/>
      <c r="I2300" s="1138"/>
      <c r="J2300" s="1139"/>
      <c r="K2300" s="1111"/>
      <c r="L2300" s="1112"/>
      <c r="M2300" s="1113"/>
      <c r="N2300" s="110"/>
      <c r="O2300" s="1140"/>
      <c r="P2300" s="1115"/>
      <c r="Q2300" s="1116"/>
      <c r="R2300" s="1141"/>
      <c r="S2300" s="1113"/>
      <c r="T2300" s="1143"/>
      <c r="U2300" s="1108"/>
      <c r="V2300" s="1108"/>
      <c r="W2300" s="1108"/>
      <c r="X2300" s="1108"/>
      <c r="Y2300" s="1108"/>
      <c r="Z2300" s="1114"/>
      <c r="AA2300" s="1114"/>
      <c r="AB2300" s="1114"/>
      <c r="AC2300" s="1117"/>
      <c r="AD2300" s="1115"/>
      <c r="AE2300" s="1115"/>
      <c r="AF2300" s="1115"/>
      <c r="AG2300" s="1115"/>
      <c r="AH2300" s="1115"/>
      <c r="AI2300" s="1115"/>
      <c r="AJ2300" s="1117"/>
      <c r="AK2300" s="1118"/>
      <c r="AL2300" s="1115"/>
      <c r="AM2300" s="1115"/>
      <c r="AN2300" s="1115"/>
      <c r="AO2300" s="1115"/>
      <c r="AP2300" s="1115"/>
      <c r="AQ2300" s="1115"/>
      <c r="AR2300" s="1115"/>
      <c r="AS2300" s="1117"/>
      <c r="AT2300" s="1196" t="str">
        <f t="shared" si="428"/>
        <v/>
      </c>
      <c r="AU2300" s="1193"/>
      <c r="AV2300" s="330">
        <f>SQRT(($R2300-Infrastructure!J$3)^2+($S2300-Infrastructure!K$3)^2)</f>
        <v>28.90155705</v>
      </c>
      <c r="AW2300" s="331">
        <f>SQRT(($R2300-Infrastructure!J$4)^2+($S2300-Infrastructure!K$4)^2)</f>
        <v>17.80252791</v>
      </c>
      <c r="AX2300" s="331">
        <f>SQRT(($R2300-Infrastructure!J$5)^2+($S2300-Infrastructure!K$5)^2)</f>
        <v>5.10881591</v>
      </c>
      <c r="AY2300" s="331">
        <f>SQRT(($R2300-Infrastructure!J$6)^2+($S2300-Infrastructure!K$6)^2)</f>
        <v>10.10445446</v>
      </c>
      <c r="AZ2300" s="331">
        <f>SQRT(($R2300-Infrastructure!J$7)^2+($S2300-Infrastructure!K$7)^2)</f>
        <v>20.502195</v>
      </c>
      <c r="BA2300" s="331">
        <f>SQRT(($R2300-Infrastructure!J$8)^2+($S2300-Infrastructure!K$8)^2)</f>
        <v>30.10149498</v>
      </c>
      <c r="BB2300" s="331">
        <f>SQRT(($R2300-Infrastructure!J$9)^2+($S2300-Infrastructure!K$9)^2)</f>
        <v>40.3238143</v>
      </c>
      <c r="BC2300" s="331">
        <f>SQRT(($R2300-Infrastructure!J$10)^2+($S2300-Infrastructure!K$10)^2)</f>
        <v>42.72001873</v>
      </c>
      <c r="BD2300" s="331">
        <f>SQRT(($R2300-Infrastructure!J$11)^2+($S2300-Infrastructure!K$11)^2)</f>
        <v>49.56853841</v>
      </c>
      <c r="BE2300" s="333">
        <f>SQRT(($R2300-Infrastructure!J$12)^2+($S2300-Infrastructure!K$12)^2)</f>
        <v>59.51890456</v>
      </c>
      <c r="BF2300" s="330">
        <f t="shared" si="161"/>
        <v>5.10881591</v>
      </c>
      <c r="BG2300" s="333">
        <f t="shared" si="162"/>
        <v>59.51890456</v>
      </c>
      <c r="BH2300" s="1119"/>
      <c r="BI2300" s="319" t="str">
        <f t="shared" ref="BI2300:BR2300" si="1454">IF(ISNUMBER(FIND(BI$3, $CO2300)), "Y", "")</f>
        <v/>
      </c>
      <c r="BJ2300" s="319" t="str">
        <f t="shared" si="1454"/>
        <v/>
      </c>
      <c r="BK2300" s="319" t="str">
        <f t="shared" si="1454"/>
        <v/>
      </c>
      <c r="BL2300" s="319" t="str">
        <f t="shared" si="1454"/>
        <v/>
      </c>
      <c r="BM2300" s="319" t="str">
        <f t="shared" si="1454"/>
        <v/>
      </c>
      <c r="BN2300" s="319" t="str">
        <f t="shared" si="1454"/>
        <v/>
      </c>
      <c r="BO2300" s="319" t="str">
        <f t="shared" si="1454"/>
        <v/>
      </c>
      <c r="BP2300" s="319" t="str">
        <f t="shared" si="1454"/>
        <v/>
      </c>
      <c r="BQ2300" s="319" t="str">
        <f t="shared" si="1454"/>
        <v/>
      </c>
      <c r="BR2300" s="319" t="str">
        <f t="shared" si="1454"/>
        <v/>
      </c>
      <c r="BS2300" s="330">
        <f t="shared" si="185"/>
        <v>0</v>
      </c>
      <c r="BT2300" s="331">
        <f t="shared" si="170"/>
        <v>0</v>
      </c>
      <c r="BU2300" s="920"/>
      <c r="BV2300" s="903" t="str">
        <f t="shared" si="1244"/>
        <v/>
      </c>
      <c r="BW2300" s="908"/>
      <c r="BX2300" s="908"/>
      <c r="BY2300" s="331" t="b">
        <f t="shared" si="201"/>
        <v>0</v>
      </c>
      <c r="BZ2300" s="331"/>
      <c r="CA2300" s="462" t="str">
        <f t="shared" ref="CA2300:CJ2300" si="1455">IF(ISNUMBER(FIND(BI$3, $CP2300)), "Y", "")</f>
        <v/>
      </c>
      <c r="CB2300" s="319" t="str">
        <f t="shared" si="1455"/>
        <v/>
      </c>
      <c r="CC2300" s="319" t="str">
        <f t="shared" si="1455"/>
        <v/>
      </c>
      <c r="CD2300" s="319" t="str">
        <f t="shared" si="1455"/>
        <v/>
      </c>
      <c r="CE2300" s="319" t="str">
        <f t="shared" si="1455"/>
        <v/>
      </c>
      <c r="CF2300" s="319" t="str">
        <f t="shared" si="1455"/>
        <v/>
      </c>
      <c r="CG2300" s="319" t="str">
        <f t="shared" si="1455"/>
        <v/>
      </c>
      <c r="CH2300" s="319" t="str">
        <f t="shared" si="1455"/>
        <v/>
      </c>
      <c r="CI2300" s="319" t="str">
        <f t="shared" si="1455"/>
        <v/>
      </c>
      <c r="CJ2300" s="319" t="str">
        <f t="shared" si="1455"/>
        <v/>
      </c>
      <c r="CK2300" s="342">
        <f t="shared" si="182"/>
        <v>0</v>
      </c>
      <c r="CL2300" s="333">
        <f t="shared" si="183"/>
        <v>0</v>
      </c>
      <c r="CM2300" s="1079"/>
      <c r="CN2300" s="1005"/>
      <c r="CO2300" s="1005"/>
      <c r="CP2300" s="1005"/>
    </row>
    <row r="2301">
      <c r="A2301" s="1257"/>
      <c r="B2301" s="1113"/>
      <c r="C2301" s="1107"/>
      <c r="D2301" s="103"/>
      <c r="E2301" s="1137"/>
      <c r="F2301" s="112"/>
      <c r="G2301" s="1110"/>
      <c r="H2301" s="1138"/>
      <c r="I2301" s="1138"/>
      <c r="J2301" s="1139"/>
      <c r="K2301" s="1111"/>
      <c r="L2301" s="1112"/>
      <c r="M2301" s="1113"/>
      <c r="N2301" s="110"/>
      <c r="O2301" s="1140"/>
      <c r="P2301" s="1115"/>
      <c r="Q2301" s="1116"/>
      <c r="R2301" s="1141"/>
      <c r="S2301" s="1113"/>
      <c r="T2301" s="1143"/>
      <c r="U2301" s="1108"/>
      <c r="V2301" s="1108"/>
      <c r="W2301" s="1108"/>
      <c r="X2301" s="1108"/>
      <c r="Y2301" s="1108"/>
      <c r="Z2301" s="1114"/>
      <c r="AA2301" s="1114"/>
      <c r="AB2301" s="1114"/>
      <c r="AC2301" s="1117"/>
      <c r="AD2301" s="1115"/>
      <c r="AE2301" s="1115"/>
      <c r="AF2301" s="1115"/>
      <c r="AG2301" s="1115"/>
      <c r="AH2301" s="1115"/>
      <c r="AI2301" s="1115"/>
      <c r="AJ2301" s="1117"/>
      <c r="AK2301" s="1118"/>
      <c r="AL2301" s="1115"/>
      <c r="AM2301" s="1115"/>
      <c r="AN2301" s="1115"/>
      <c r="AO2301" s="1115"/>
      <c r="AP2301" s="1115"/>
      <c r="AQ2301" s="1115"/>
      <c r="AR2301" s="1115"/>
      <c r="AS2301" s="1117"/>
      <c r="AT2301" s="1196" t="str">
        <f t="shared" si="428"/>
        <v/>
      </c>
      <c r="AU2301" s="1193"/>
      <c r="AV2301" s="330">
        <f>SQRT(($R2301-Infrastructure!J$3)^2+($S2301-Infrastructure!K$3)^2)</f>
        <v>28.90155705</v>
      </c>
      <c r="AW2301" s="331">
        <f>SQRT(($R2301-Infrastructure!J$4)^2+($S2301-Infrastructure!K$4)^2)</f>
        <v>17.80252791</v>
      </c>
      <c r="AX2301" s="331">
        <f>SQRT(($R2301-Infrastructure!J$5)^2+($S2301-Infrastructure!K$5)^2)</f>
        <v>5.10881591</v>
      </c>
      <c r="AY2301" s="331">
        <f>SQRT(($R2301-Infrastructure!J$6)^2+($S2301-Infrastructure!K$6)^2)</f>
        <v>10.10445446</v>
      </c>
      <c r="AZ2301" s="331">
        <f>SQRT(($R2301-Infrastructure!J$7)^2+($S2301-Infrastructure!K$7)^2)</f>
        <v>20.502195</v>
      </c>
      <c r="BA2301" s="331">
        <f>SQRT(($R2301-Infrastructure!J$8)^2+($S2301-Infrastructure!K$8)^2)</f>
        <v>30.10149498</v>
      </c>
      <c r="BB2301" s="331">
        <f>SQRT(($R2301-Infrastructure!J$9)^2+($S2301-Infrastructure!K$9)^2)</f>
        <v>40.3238143</v>
      </c>
      <c r="BC2301" s="331">
        <f>SQRT(($R2301-Infrastructure!J$10)^2+($S2301-Infrastructure!K$10)^2)</f>
        <v>42.72001873</v>
      </c>
      <c r="BD2301" s="331">
        <f>SQRT(($R2301-Infrastructure!J$11)^2+($S2301-Infrastructure!K$11)^2)</f>
        <v>49.56853841</v>
      </c>
      <c r="BE2301" s="333">
        <f>SQRT(($R2301-Infrastructure!J$12)^2+($S2301-Infrastructure!K$12)^2)</f>
        <v>59.51890456</v>
      </c>
      <c r="BF2301" s="330">
        <f t="shared" si="161"/>
        <v>5.10881591</v>
      </c>
      <c r="BG2301" s="333">
        <f t="shared" si="162"/>
        <v>59.51890456</v>
      </c>
      <c r="BH2301" s="1119"/>
      <c r="BI2301" s="319" t="str">
        <f t="shared" ref="BI2301:BR2301" si="1456">IF(ISNUMBER(FIND(BI$3, $CO2301)), "Y", "")</f>
        <v/>
      </c>
      <c r="BJ2301" s="319" t="str">
        <f t="shared" si="1456"/>
        <v/>
      </c>
      <c r="BK2301" s="319" t="str">
        <f t="shared" si="1456"/>
        <v/>
      </c>
      <c r="BL2301" s="319" t="str">
        <f t="shared" si="1456"/>
        <v/>
      </c>
      <c r="BM2301" s="319" t="str">
        <f t="shared" si="1456"/>
        <v/>
      </c>
      <c r="BN2301" s="319" t="str">
        <f t="shared" si="1456"/>
        <v/>
      </c>
      <c r="BO2301" s="319" t="str">
        <f t="shared" si="1456"/>
        <v/>
      </c>
      <c r="BP2301" s="319" t="str">
        <f t="shared" si="1456"/>
        <v/>
      </c>
      <c r="BQ2301" s="319" t="str">
        <f t="shared" si="1456"/>
        <v/>
      </c>
      <c r="BR2301" s="319" t="str">
        <f t="shared" si="1456"/>
        <v/>
      </c>
      <c r="BS2301" s="330">
        <f t="shared" si="185"/>
        <v>0</v>
      </c>
      <c r="BT2301" s="331">
        <f t="shared" si="170"/>
        <v>0</v>
      </c>
      <c r="BU2301" s="920"/>
      <c r="BV2301" s="903" t="str">
        <f t="shared" si="1244"/>
        <v/>
      </c>
      <c r="BW2301" s="908"/>
      <c r="BX2301" s="908"/>
      <c r="BY2301" s="331" t="b">
        <f t="shared" si="201"/>
        <v>0</v>
      </c>
      <c r="BZ2301" s="331"/>
      <c r="CA2301" s="462" t="str">
        <f t="shared" ref="CA2301:CJ2301" si="1457">IF(ISNUMBER(FIND(BI$3, $CP2301)), "Y", "")</f>
        <v/>
      </c>
      <c r="CB2301" s="319" t="str">
        <f t="shared" si="1457"/>
        <v/>
      </c>
      <c r="CC2301" s="319" t="str">
        <f t="shared" si="1457"/>
        <v/>
      </c>
      <c r="CD2301" s="319" t="str">
        <f t="shared" si="1457"/>
        <v/>
      </c>
      <c r="CE2301" s="319" t="str">
        <f t="shared" si="1457"/>
        <v/>
      </c>
      <c r="CF2301" s="319" t="str">
        <f t="shared" si="1457"/>
        <v/>
      </c>
      <c r="CG2301" s="319" t="str">
        <f t="shared" si="1457"/>
        <v/>
      </c>
      <c r="CH2301" s="319" t="str">
        <f t="shared" si="1457"/>
        <v/>
      </c>
      <c r="CI2301" s="319" t="str">
        <f t="shared" si="1457"/>
        <v/>
      </c>
      <c r="CJ2301" s="319" t="str">
        <f t="shared" si="1457"/>
        <v/>
      </c>
      <c r="CK2301" s="342">
        <f t="shared" si="182"/>
        <v>0</v>
      </c>
      <c r="CL2301" s="333">
        <f t="shared" si="183"/>
        <v>0</v>
      </c>
      <c r="CM2301" s="1079"/>
      <c r="CN2301" s="1005"/>
      <c r="CO2301" s="1005"/>
      <c r="CP2301" s="1005"/>
    </row>
    <row r="2302">
      <c r="A2302" s="1257"/>
      <c r="B2302" s="1113"/>
      <c r="C2302" s="1107"/>
      <c r="D2302" s="103"/>
      <c r="E2302" s="1137"/>
      <c r="F2302" s="112"/>
      <c r="G2302" s="1110"/>
      <c r="H2302" s="1138"/>
      <c r="I2302" s="1138"/>
      <c r="J2302" s="1139"/>
      <c r="K2302" s="1111"/>
      <c r="L2302" s="1112"/>
      <c r="M2302" s="1113"/>
      <c r="N2302" s="110"/>
      <c r="O2302" s="1140"/>
      <c r="P2302" s="1115"/>
      <c r="Q2302" s="1116"/>
      <c r="R2302" s="1141"/>
      <c r="S2302" s="1113"/>
      <c r="T2302" s="1143"/>
      <c r="U2302" s="1108"/>
      <c r="V2302" s="1108"/>
      <c r="W2302" s="1108"/>
      <c r="X2302" s="1108"/>
      <c r="Y2302" s="1108"/>
      <c r="Z2302" s="1114"/>
      <c r="AA2302" s="1114"/>
      <c r="AB2302" s="1114"/>
      <c r="AC2302" s="1117"/>
      <c r="AD2302" s="1115"/>
      <c r="AE2302" s="1115"/>
      <c r="AF2302" s="1115"/>
      <c r="AG2302" s="1115"/>
      <c r="AH2302" s="1115"/>
      <c r="AI2302" s="1115"/>
      <c r="AJ2302" s="1117"/>
      <c r="AK2302" s="1118"/>
      <c r="AL2302" s="1115"/>
      <c r="AM2302" s="1115"/>
      <c r="AN2302" s="1115"/>
      <c r="AO2302" s="1115"/>
      <c r="AP2302" s="1115"/>
      <c r="AQ2302" s="1115"/>
      <c r="AR2302" s="1115"/>
      <c r="AS2302" s="1117"/>
      <c r="AT2302" s="1196" t="str">
        <f t="shared" si="428"/>
        <v/>
      </c>
      <c r="AU2302" s="1193"/>
      <c r="AV2302" s="330">
        <f>SQRT(($R2302-Infrastructure!J$3)^2+($S2302-Infrastructure!K$3)^2)</f>
        <v>28.90155705</v>
      </c>
      <c r="AW2302" s="331">
        <f>SQRT(($R2302-Infrastructure!J$4)^2+($S2302-Infrastructure!K$4)^2)</f>
        <v>17.80252791</v>
      </c>
      <c r="AX2302" s="331">
        <f>SQRT(($R2302-Infrastructure!J$5)^2+($S2302-Infrastructure!K$5)^2)</f>
        <v>5.10881591</v>
      </c>
      <c r="AY2302" s="331">
        <f>SQRT(($R2302-Infrastructure!J$6)^2+($S2302-Infrastructure!K$6)^2)</f>
        <v>10.10445446</v>
      </c>
      <c r="AZ2302" s="331">
        <f>SQRT(($R2302-Infrastructure!J$7)^2+($S2302-Infrastructure!K$7)^2)</f>
        <v>20.502195</v>
      </c>
      <c r="BA2302" s="331">
        <f>SQRT(($R2302-Infrastructure!J$8)^2+($S2302-Infrastructure!K$8)^2)</f>
        <v>30.10149498</v>
      </c>
      <c r="BB2302" s="331">
        <f>SQRT(($R2302-Infrastructure!J$9)^2+($S2302-Infrastructure!K$9)^2)</f>
        <v>40.3238143</v>
      </c>
      <c r="BC2302" s="331">
        <f>SQRT(($R2302-Infrastructure!J$10)^2+($S2302-Infrastructure!K$10)^2)</f>
        <v>42.72001873</v>
      </c>
      <c r="BD2302" s="331">
        <f>SQRT(($R2302-Infrastructure!J$11)^2+($S2302-Infrastructure!K$11)^2)</f>
        <v>49.56853841</v>
      </c>
      <c r="BE2302" s="333">
        <f>SQRT(($R2302-Infrastructure!J$12)^2+($S2302-Infrastructure!K$12)^2)</f>
        <v>59.51890456</v>
      </c>
      <c r="BF2302" s="330">
        <f t="shared" si="161"/>
        <v>5.10881591</v>
      </c>
      <c r="BG2302" s="333">
        <f t="shared" si="162"/>
        <v>59.51890456</v>
      </c>
      <c r="BH2302" s="1119"/>
      <c r="BI2302" s="319" t="str">
        <f t="shared" ref="BI2302:BR2302" si="1458">IF(ISNUMBER(FIND(BI$3, $CO2302)), "Y", "")</f>
        <v/>
      </c>
      <c r="BJ2302" s="319" t="str">
        <f t="shared" si="1458"/>
        <v/>
      </c>
      <c r="BK2302" s="319" t="str">
        <f t="shared" si="1458"/>
        <v/>
      </c>
      <c r="BL2302" s="319" t="str">
        <f t="shared" si="1458"/>
        <v/>
      </c>
      <c r="BM2302" s="319" t="str">
        <f t="shared" si="1458"/>
        <v/>
      </c>
      <c r="BN2302" s="319" t="str">
        <f t="shared" si="1458"/>
        <v/>
      </c>
      <c r="BO2302" s="319" t="str">
        <f t="shared" si="1458"/>
        <v/>
      </c>
      <c r="BP2302" s="319" t="str">
        <f t="shared" si="1458"/>
        <v/>
      </c>
      <c r="BQ2302" s="319" t="str">
        <f t="shared" si="1458"/>
        <v/>
      </c>
      <c r="BR2302" s="319" t="str">
        <f t="shared" si="1458"/>
        <v/>
      </c>
      <c r="BS2302" s="330">
        <f t="shared" si="185"/>
        <v>0</v>
      </c>
      <c r="BT2302" s="331">
        <f t="shared" si="170"/>
        <v>0</v>
      </c>
      <c r="BU2302" s="920"/>
      <c r="BV2302" s="903" t="str">
        <f t="shared" si="1244"/>
        <v/>
      </c>
      <c r="BW2302" s="908"/>
      <c r="BX2302" s="908"/>
      <c r="BY2302" s="331" t="b">
        <f t="shared" si="201"/>
        <v>0</v>
      </c>
      <c r="BZ2302" s="331"/>
      <c r="CA2302" s="462" t="str">
        <f t="shared" ref="CA2302:CJ2302" si="1459">IF(ISNUMBER(FIND(BI$3, $CP2302)), "Y", "")</f>
        <v/>
      </c>
      <c r="CB2302" s="319" t="str">
        <f t="shared" si="1459"/>
        <v/>
      </c>
      <c r="CC2302" s="319" t="str">
        <f t="shared" si="1459"/>
        <v/>
      </c>
      <c r="CD2302" s="319" t="str">
        <f t="shared" si="1459"/>
        <v/>
      </c>
      <c r="CE2302" s="319" t="str">
        <f t="shared" si="1459"/>
        <v/>
      </c>
      <c r="CF2302" s="319" t="str">
        <f t="shared" si="1459"/>
        <v/>
      </c>
      <c r="CG2302" s="319" t="str">
        <f t="shared" si="1459"/>
        <v/>
      </c>
      <c r="CH2302" s="319" t="str">
        <f t="shared" si="1459"/>
        <v/>
      </c>
      <c r="CI2302" s="319" t="str">
        <f t="shared" si="1459"/>
        <v/>
      </c>
      <c r="CJ2302" s="319" t="str">
        <f t="shared" si="1459"/>
        <v/>
      </c>
      <c r="CK2302" s="342">
        <f t="shared" si="182"/>
        <v>0</v>
      </c>
      <c r="CL2302" s="333">
        <f t="shared" si="183"/>
        <v>0</v>
      </c>
      <c r="CM2302" s="1079"/>
      <c r="CN2302" s="1005"/>
      <c r="CO2302" s="1005"/>
      <c r="CP2302" s="1005"/>
    </row>
    <row r="2303">
      <c r="A2303" s="1257"/>
      <c r="B2303" s="1113"/>
      <c r="C2303" s="1107"/>
      <c r="D2303" s="103"/>
      <c r="E2303" s="1137"/>
      <c r="F2303" s="112"/>
      <c r="G2303" s="1110"/>
      <c r="H2303" s="1138"/>
      <c r="I2303" s="1138"/>
      <c r="J2303" s="1139"/>
      <c r="K2303" s="1111"/>
      <c r="L2303" s="1112"/>
      <c r="M2303" s="1113"/>
      <c r="N2303" s="110"/>
      <c r="O2303" s="1140"/>
      <c r="P2303" s="1115"/>
      <c r="Q2303" s="1116"/>
      <c r="R2303" s="1141"/>
      <c r="S2303" s="1113"/>
      <c r="T2303" s="1143"/>
      <c r="U2303" s="1108"/>
      <c r="V2303" s="1108"/>
      <c r="W2303" s="1108"/>
      <c r="X2303" s="1108"/>
      <c r="Y2303" s="1108"/>
      <c r="Z2303" s="1114"/>
      <c r="AA2303" s="1114"/>
      <c r="AB2303" s="1114"/>
      <c r="AC2303" s="1117"/>
      <c r="AD2303" s="1115"/>
      <c r="AE2303" s="1115"/>
      <c r="AF2303" s="1115"/>
      <c r="AG2303" s="1115"/>
      <c r="AH2303" s="1115"/>
      <c r="AI2303" s="1115"/>
      <c r="AJ2303" s="1117"/>
      <c r="AK2303" s="1118"/>
      <c r="AL2303" s="1115"/>
      <c r="AM2303" s="1115"/>
      <c r="AN2303" s="1115"/>
      <c r="AO2303" s="1115"/>
      <c r="AP2303" s="1115"/>
      <c r="AQ2303" s="1115"/>
      <c r="AR2303" s="1115"/>
      <c r="AS2303" s="1117"/>
      <c r="AT2303" s="1196" t="str">
        <f t="shared" si="428"/>
        <v/>
      </c>
      <c r="AU2303" s="1193"/>
      <c r="AV2303" s="330">
        <f>SQRT(($R2303-Infrastructure!J$3)^2+($S2303-Infrastructure!K$3)^2)</f>
        <v>28.90155705</v>
      </c>
      <c r="AW2303" s="331">
        <f>SQRT(($R2303-Infrastructure!J$4)^2+($S2303-Infrastructure!K$4)^2)</f>
        <v>17.80252791</v>
      </c>
      <c r="AX2303" s="331">
        <f>SQRT(($R2303-Infrastructure!J$5)^2+($S2303-Infrastructure!K$5)^2)</f>
        <v>5.10881591</v>
      </c>
      <c r="AY2303" s="331">
        <f>SQRT(($R2303-Infrastructure!J$6)^2+($S2303-Infrastructure!K$6)^2)</f>
        <v>10.10445446</v>
      </c>
      <c r="AZ2303" s="331">
        <f>SQRT(($R2303-Infrastructure!J$7)^2+($S2303-Infrastructure!K$7)^2)</f>
        <v>20.502195</v>
      </c>
      <c r="BA2303" s="331">
        <f>SQRT(($R2303-Infrastructure!J$8)^2+($S2303-Infrastructure!K$8)^2)</f>
        <v>30.10149498</v>
      </c>
      <c r="BB2303" s="331">
        <f>SQRT(($R2303-Infrastructure!J$9)^2+($S2303-Infrastructure!K$9)^2)</f>
        <v>40.3238143</v>
      </c>
      <c r="BC2303" s="331">
        <f>SQRT(($R2303-Infrastructure!J$10)^2+($S2303-Infrastructure!K$10)^2)</f>
        <v>42.72001873</v>
      </c>
      <c r="BD2303" s="331">
        <f>SQRT(($R2303-Infrastructure!J$11)^2+($S2303-Infrastructure!K$11)^2)</f>
        <v>49.56853841</v>
      </c>
      <c r="BE2303" s="333">
        <f>SQRT(($R2303-Infrastructure!J$12)^2+($S2303-Infrastructure!K$12)^2)</f>
        <v>59.51890456</v>
      </c>
      <c r="BF2303" s="330">
        <f t="shared" si="161"/>
        <v>5.10881591</v>
      </c>
      <c r="BG2303" s="333">
        <f t="shared" si="162"/>
        <v>59.51890456</v>
      </c>
      <c r="BH2303" s="1119"/>
      <c r="BI2303" s="319" t="str">
        <f t="shared" ref="BI2303:BR2303" si="1460">IF(ISNUMBER(FIND(BI$3, $CO2303)), "Y", "")</f>
        <v/>
      </c>
      <c r="BJ2303" s="319" t="str">
        <f t="shared" si="1460"/>
        <v/>
      </c>
      <c r="BK2303" s="319" t="str">
        <f t="shared" si="1460"/>
        <v/>
      </c>
      <c r="BL2303" s="319" t="str">
        <f t="shared" si="1460"/>
        <v/>
      </c>
      <c r="BM2303" s="319" t="str">
        <f t="shared" si="1460"/>
        <v/>
      </c>
      <c r="BN2303" s="319" t="str">
        <f t="shared" si="1460"/>
        <v/>
      </c>
      <c r="BO2303" s="319" t="str">
        <f t="shared" si="1460"/>
        <v/>
      </c>
      <c r="BP2303" s="319" t="str">
        <f t="shared" si="1460"/>
        <v/>
      </c>
      <c r="BQ2303" s="319" t="str">
        <f t="shared" si="1460"/>
        <v/>
      </c>
      <c r="BR2303" s="319" t="str">
        <f t="shared" si="1460"/>
        <v/>
      </c>
      <c r="BS2303" s="330">
        <f t="shared" si="185"/>
        <v>0</v>
      </c>
      <c r="BT2303" s="331">
        <f t="shared" si="170"/>
        <v>0</v>
      </c>
      <c r="BU2303" s="920"/>
      <c r="BV2303" s="903" t="str">
        <f t="shared" si="1244"/>
        <v/>
      </c>
      <c r="BW2303" s="908"/>
      <c r="BX2303" s="908"/>
      <c r="BY2303" s="331" t="b">
        <f t="shared" si="201"/>
        <v>0</v>
      </c>
      <c r="BZ2303" s="331"/>
      <c r="CA2303" s="462" t="str">
        <f t="shared" ref="CA2303:CJ2303" si="1461">IF(ISNUMBER(FIND(BI$3, $CP2303)), "Y", "")</f>
        <v/>
      </c>
      <c r="CB2303" s="319" t="str">
        <f t="shared" si="1461"/>
        <v/>
      </c>
      <c r="CC2303" s="319" t="str">
        <f t="shared" si="1461"/>
        <v/>
      </c>
      <c r="CD2303" s="319" t="str">
        <f t="shared" si="1461"/>
        <v/>
      </c>
      <c r="CE2303" s="319" t="str">
        <f t="shared" si="1461"/>
        <v/>
      </c>
      <c r="CF2303" s="319" t="str">
        <f t="shared" si="1461"/>
        <v/>
      </c>
      <c r="CG2303" s="319" t="str">
        <f t="shared" si="1461"/>
        <v/>
      </c>
      <c r="CH2303" s="319" t="str">
        <f t="shared" si="1461"/>
        <v/>
      </c>
      <c r="CI2303" s="319" t="str">
        <f t="shared" si="1461"/>
        <v/>
      </c>
      <c r="CJ2303" s="319" t="str">
        <f t="shared" si="1461"/>
        <v/>
      </c>
      <c r="CK2303" s="342">
        <f t="shared" si="182"/>
        <v>0</v>
      </c>
      <c r="CL2303" s="333">
        <f t="shared" si="183"/>
        <v>0</v>
      </c>
      <c r="CM2303" s="1079"/>
      <c r="CN2303" s="1005"/>
      <c r="CO2303" s="1005"/>
      <c r="CP2303" s="1005"/>
    </row>
    <row r="2304">
      <c r="A2304" s="1257"/>
      <c r="B2304" s="1113"/>
      <c r="C2304" s="1107"/>
      <c r="D2304" s="103"/>
      <c r="E2304" s="1137"/>
      <c r="F2304" s="112"/>
      <c r="G2304" s="1110"/>
      <c r="H2304" s="1138"/>
      <c r="I2304" s="1138"/>
      <c r="J2304" s="1139"/>
      <c r="K2304" s="1111"/>
      <c r="L2304" s="1112"/>
      <c r="M2304" s="1113"/>
      <c r="N2304" s="110"/>
      <c r="O2304" s="1140"/>
      <c r="P2304" s="1115"/>
      <c r="Q2304" s="1116"/>
      <c r="R2304" s="1141"/>
      <c r="S2304" s="1113"/>
      <c r="T2304" s="1143"/>
      <c r="U2304" s="1108"/>
      <c r="V2304" s="1108"/>
      <c r="W2304" s="1108"/>
      <c r="X2304" s="1108"/>
      <c r="Y2304" s="1108"/>
      <c r="Z2304" s="1114"/>
      <c r="AA2304" s="1114"/>
      <c r="AB2304" s="1114"/>
      <c r="AC2304" s="1117"/>
      <c r="AD2304" s="1115"/>
      <c r="AE2304" s="1115"/>
      <c r="AF2304" s="1115"/>
      <c r="AG2304" s="1115"/>
      <c r="AH2304" s="1115"/>
      <c r="AI2304" s="1115"/>
      <c r="AJ2304" s="1117"/>
      <c r="AK2304" s="1118"/>
      <c r="AL2304" s="1115"/>
      <c r="AM2304" s="1115"/>
      <c r="AN2304" s="1115"/>
      <c r="AO2304" s="1115"/>
      <c r="AP2304" s="1115"/>
      <c r="AQ2304" s="1115"/>
      <c r="AR2304" s="1115"/>
      <c r="AS2304" s="1117"/>
      <c r="AT2304" s="1196" t="str">
        <f t="shared" si="428"/>
        <v/>
      </c>
      <c r="AU2304" s="1193"/>
      <c r="AV2304" s="330">
        <f>SQRT(($R2304-Infrastructure!J$3)^2+($S2304-Infrastructure!K$3)^2)</f>
        <v>28.90155705</v>
      </c>
      <c r="AW2304" s="331">
        <f>SQRT(($R2304-Infrastructure!J$4)^2+($S2304-Infrastructure!K$4)^2)</f>
        <v>17.80252791</v>
      </c>
      <c r="AX2304" s="331">
        <f>SQRT(($R2304-Infrastructure!J$5)^2+($S2304-Infrastructure!K$5)^2)</f>
        <v>5.10881591</v>
      </c>
      <c r="AY2304" s="331">
        <f>SQRT(($R2304-Infrastructure!J$6)^2+($S2304-Infrastructure!K$6)^2)</f>
        <v>10.10445446</v>
      </c>
      <c r="AZ2304" s="331">
        <f>SQRT(($R2304-Infrastructure!J$7)^2+($S2304-Infrastructure!K$7)^2)</f>
        <v>20.502195</v>
      </c>
      <c r="BA2304" s="331">
        <f>SQRT(($R2304-Infrastructure!J$8)^2+($S2304-Infrastructure!K$8)^2)</f>
        <v>30.10149498</v>
      </c>
      <c r="BB2304" s="331">
        <f>SQRT(($R2304-Infrastructure!J$9)^2+($S2304-Infrastructure!K$9)^2)</f>
        <v>40.3238143</v>
      </c>
      <c r="BC2304" s="331">
        <f>SQRT(($R2304-Infrastructure!J$10)^2+($S2304-Infrastructure!K$10)^2)</f>
        <v>42.72001873</v>
      </c>
      <c r="BD2304" s="331">
        <f>SQRT(($R2304-Infrastructure!J$11)^2+($S2304-Infrastructure!K$11)^2)</f>
        <v>49.56853841</v>
      </c>
      <c r="BE2304" s="333">
        <f>SQRT(($R2304-Infrastructure!J$12)^2+($S2304-Infrastructure!K$12)^2)</f>
        <v>59.51890456</v>
      </c>
      <c r="BF2304" s="330">
        <f t="shared" si="161"/>
        <v>5.10881591</v>
      </c>
      <c r="BG2304" s="333">
        <f t="shared" si="162"/>
        <v>59.51890456</v>
      </c>
      <c r="BH2304" s="1119"/>
      <c r="BI2304" s="319" t="str">
        <f t="shared" ref="BI2304:BR2304" si="1462">IF(ISNUMBER(FIND(BI$3, $CO2304)), "Y", "")</f>
        <v/>
      </c>
      <c r="BJ2304" s="319" t="str">
        <f t="shared" si="1462"/>
        <v/>
      </c>
      <c r="BK2304" s="319" t="str">
        <f t="shared" si="1462"/>
        <v/>
      </c>
      <c r="BL2304" s="319" t="str">
        <f t="shared" si="1462"/>
        <v/>
      </c>
      <c r="BM2304" s="319" t="str">
        <f t="shared" si="1462"/>
        <v/>
      </c>
      <c r="BN2304" s="319" t="str">
        <f t="shared" si="1462"/>
        <v/>
      </c>
      <c r="BO2304" s="319" t="str">
        <f t="shared" si="1462"/>
        <v/>
      </c>
      <c r="BP2304" s="319" t="str">
        <f t="shared" si="1462"/>
        <v/>
      </c>
      <c r="BQ2304" s="319" t="str">
        <f t="shared" si="1462"/>
        <v/>
      </c>
      <c r="BR2304" s="319" t="str">
        <f t="shared" si="1462"/>
        <v/>
      </c>
      <c r="BS2304" s="330">
        <f t="shared" si="185"/>
        <v>0</v>
      </c>
      <c r="BT2304" s="331">
        <f t="shared" si="170"/>
        <v>0</v>
      </c>
      <c r="BU2304" s="920"/>
      <c r="BV2304" s="903" t="str">
        <f t="shared" si="1244"/>
        <v/>
      </c>
      <c r="BW2304" s="908"/>
      <c r="BX2304" s="908"/>
      <c r="BY2304" s="331" t="b">
        <f t="shared" si="201"/>
        <v>0</v>
      </c>
      <c r="BZ2304" s="331"/>
      <c r="CA2304" s="462" t="str">
        <f t="shared" ref="CA2304:CJ2304" si="1463">IF(ISNUMBER(FIND(BI$3, $CP2304)), "Y", "")</f>
        <v/>
      </c>
      <c r="CB2304" s="319" t="str">
        <f t="shared" si="1463"/>
        <v/>
      </c>
      <c r="CC2304" s="319" t="str">
        <f t="shared" si="1463"/>
        <v/>
      </c>
      <c r="CD2304" s="319" t="str">
        <f t="shared" si="1463"/>
        <v/>
      </c>
      <c r="CE2304" s="319" t="str">
        <f t="shared" si="1463"/>
        <v/>
      </c>
      <c r="CF2304" s="319" t="str">
        <f t="shared" si="1463"/>
        <v/>
      </c>
      <c r="CG2304" s="319" t="str">
        <f t="shared" si="1463"/>
        <v/>
      </c>
      <c r="CH2304" s="319" t="str">
        <f t="shared" si="1463"/>
        <v/>
      </c>
      <c r="CI2304" s="319" t="str">
        <f t="shared" si="1463"/>
        <v/>
      </c>
      <c r="CJ2304" s="319" t="str">
        <f t="shared" si="1463"/>
        <v/>
      </c>
      <c r="CK2304" s="342">
        <f t="shared" si="182"/>
        <v>0</v>
      </c>
      <c r="CL2304" s="333">
        <f t="shared" si="183"/>
        <v>0</v>
      </c>
      <c r="CM2304" s="1079"/>
      <c r="CN2304" s="1005"/>
      <c r="CO2304" s="1005"/>
      <c r="CP2304" s="1005"/>
    </row>
    <row r="2305">
      <c r="A2305" s="1257"/>
      <c r="B2305" s="1113"/>
      <c r="C2305" s="1107"/>
      <c r="D2305" s="103"/>
      <c r="E2305" s="1137"/>
      <c r="F2305" s="112"/>
      <c r="G2305" s="1110"/>
      <c r="H2305" s="1138"/>
      <c r="I2305" s="1138"/>
      <c r="J2305" s="1139"/>
      <c r="K2305" s="1111"/>
      <c r="L2305" s="1112"/>
      <c r="M2305" s="1113"/>
      <c r="N2305" s="110"/>
      <c r="O2305" s="1140"/>
      <c r="P2305" s="1115"/>
      <c r="Q2305" s="1116"/>
      <c r="R2305" s="1141"/>
      <c r="S2305" s="1113"/>
      <c r="T2305" s="1143"/>
      <c r="U2305" s="1108"/>
      <c r="V2305" s="1108"/>
      <c r="W2305" s="1108"/>
      <c r="X2305" s="1108"/>
      <c r="Y2305" s="1108"/>
      <c r="Z2305" s="1114"/>
      <c r="AA2305" s="1114"/>
      <c r="AB2305" s="1114"/>
      <c r="AC2305" s="1117"/>
      <c r="AD2305" s="1115"/>
      <c r="AE2305" s="1115"/>
      <c r="AF2305" s="1115"/>
      <c r="AG2305" s="1115"/>
      <c r="AH2305" s="1115"/>
      <c r="AI2305" s="1115"/>
      <c r="AJ2305" s="1117"/>
      <c r="AK2305" s="1118"/>
      <c r="AL2305" s="1115"/>
      <c r="AM2305" s="1115"/>
      <c r="AN2305" s="1115"/>
      <c r="AO2305" s="1115"/>
      <c r="AP2305" s="1115"/>
      <c r="AQ2305" s="1115"/>
      <c r="AR2305" s="1115"/>
      <c r="AS2305" s="1117"/>
      <c r="AT2305" s="1196" t="str">
        <f t="shared" si="428"/>
        <v/>
      </c>
      <c r="AU2305" s="1193"/>
      <c r="AV2305" s="330">
        <f>SQRT(($R2305-Infrastructure!J$3)^2+($S2305-Infrastructure!K$3)^2)</f>
        <v>28.90155705</v>
      </c>
      <c r="AW2305" s="331">
        <f>SQRT(($R2305-Infrastructure!J$4)^2+($S2305-Infrastructure!K$4)^2)</f>
        <v>17.80252791</v>
      </c>
      <c r="AX2305" s="331">
        <f>SQRT(($R2305-Infrastructure!J$5)^2+($S2305-Infrastructure!K$5)^2)</f>
        <v>5.10881591</v>
      </c>
      <c r="AY2305" s="331">
        <f>SQRT(($R2305-Infrastructure!J$6)^2+($S2305-Infrastructure!K$6)^2)</f>
        <v>10.10445446</v>
      </c>
      <c r="AZ2305" s="331">
        <f>SQRT(($R2305-Infrastructure!J$7)^2+($S2305-Infrastructure!K$7)^2)</f>
        <v>20.502195</v>
      </c>
      <c r="BA2305" s="331">
        <f>SQRT(($R2305-Infrastructure!J$8)^2+($S2305-Infrastructure!K$8)^2)</f>
        <v>30.10149498</v>
      </c>
      <c r="BB2305" s="331">
        <f>SQRT(($R2305-Infrastructure!J$9)^2+($S2305-Infrastructure!K$9)^2)</f>
        <v>40.3238143</v>
      </c>
      <c r="BC2305" s="331">
        <f>SQRT(($R2305-Infrastructure!J$10)^2+($S2305-Infrastructure!K$10)^2)</f>
        <v>42.72001873</v>
      </c>
      <c r="BD2305" s="331">
        <f>SQRT(($R2305-Infrastructure!J$11)^2+($S2305-Infrastructure!K$11)^2)</f>
        <v>49.56853841</v>
      </c>
      <c r="BE2305" s="333">
        <f>SQRT(($R2305-Infrastructure!J$12)^2+($S2305-Infrastructure!K$12)^2)</f>
        <v>59.51890456</v>
      </c>
      <c r="BF2305" s="330">
        <f t="shared" si="161"/>
        <v>5.10881591</v>
      </c>
      <c r="BG2305" s="333">
        <f t="shared" si="162"/>
        <v>59.51890456</v>
      </c>
      <c r="BH2305" s="1119"/>
      <c r="BI2305" s="319" t="str">
        <f t="shared" ref="BI2305:BR2305" si="1464">IF(ISNUMBER(FIND(BI$3, $CO2305)), "Y", "")</f>
        <v/>
      </c>
      <c r="BJ2305" s="319" t="str">
        <f t="shared" si="1464"/>
        <v/>
      </c>
      <c r="BK2305" s="319" t="str">
        <f t="shared" si="1464"/>
        <v/>
      </c>
      <c r="BL2305" s="319" t="str">
        <f t="shared" si="1464"/>
        <v/>
      </c>
      <c r="BM2305" s="319" t="str">
        <f t="shared" si="1464"/>
        <v/>
      </c>
      <c r="BN2305" s="319" t="str">
        <f t="shared" si="1464"/>
        <v/>
      </c>
      <c r="BO2305" s="319" t="str">
        <f t="shared" si="1464"/>
        <v/>
      </c>
      <c r="BP2305" s="319" t="str">
        <f t="shared" si="1464"/>
        <v/>
      </c>
      <c r="BQ2305" s="319" t="str">
        <f t="shared" si="1464"/>
        <v/>
      </c>
      <c r="BR2305" s="319" t="str">
        <f t="shared" si="1464"/>
        <v/>
      </c>
      <c r="BS2305" s="330">
        <f t="shared" si="185"/>
        <v>0</v>
      </c>
      <c r="BT2305" s="331">
        <f t="shared" si="170"/>
        <v>0</v>
      </c>
      <c r="BU2305" s="920"/>
      <c r="BV2305" s="903" t="str">
        <f t="shared" si="1244"/>
        <v/>
      </c>
      <c r="BW2305" s="908"/>
      <c r="BX2305" s="908"/>
      <c r="BY2305" s="331" t="b">
        <f t="shared" si="201"/>
        <v>0</v>
      </c>
      <c r="BZ2305" s="331"/>
      <c r="CA2305" s="462" t="str">
        <f t="shared" ref="CA2305:CJ2305" si="1465">IF(ISNUMBER(FIND(BI$3, $CP2305)), "Y", "")</f>
        <v/>
      </c>
      <c r="CB2305" s="319" t="str">
        <f t="shared" si="1465"/>
        <v/>
      </c>
      <c r="CC2305" s="319" t="str">
        <f t="shared" si="1465"/>
        <v/>
      </c>
      <c r="CD2305" s="319" t="str">
        <f t="shared" si="1465"/>
        <v/>
      </c>
      <c r="CE2305" s="319" t="str">
        <f t="shared" si="1465"/>
        <v/>
      </c>
      <c r="CF2305" s="319" t="str">
        <f t="shared" si="1465"/>
        <v/>
      </c>
      <c r="CG2305" s="319" t="str">
        <f t="shared" si="1465"/>
        <v/>
      </c>
      <c r="CH2305" s="319" t="str">
        <f t="shared" si="1465"/>
        <v/>
      </c>
      <c r="CI2305" s="319" t="str">
        <f t="shared" si="1465"/>
        <v/>
      </c>
      <c r="CJ2305" s="319" t="str">
        <f t="shared" si="1465"/>
        <v/>
      </c>
      <c r="CK2305" s="342">
        <f t="shared" si="182"/>
        <v>0</v>
      </c>
      <c r="CL2305" s="333">
        <f t="shared" si="183"/>
        <v>0</v>
      </c>
      <c r="CM2305" s="1079"/>
      <c r="CN2305" s="1005"/>
      <c r="CO2305" s="1005"/>
      <c r="CP2305" s="1005"/>
    </row>
    <row r="2306">
      <c r="A2306" s="1257"/>
      <c r="B2306" s="1113"/>
      <c r="C2306" s="1107"/>
      <c r="D2306" s="103"/>
      <c r="E2306" s="1137"/>
      <c r="F2306" s="112"/>
      <c r="G2306" s="1110"/>
      <c r="H2306" s="1138"/>
      <c r="I2306" s="1138"/>
      <c r="J2306" s="1139"/>
      <c r="K2306" s="1111"/>
      <c r="L2306" s="1112"/>
      <c r="M2306" s="1113"/>
      <c r="N2306" s="110"/>
      <c r="O2306" s="1140"/>
      <c r="P2306" s="1115"/>
      <c r="Q2306" s="1116"/>
      <c r="R2306" s="1141"/>
      <c r="S2306" s="1113"/>
      <c r="T2306" s="1143"/>
      <c r="U2306" s="1108"/>
      <c r="V2306" s="1108"/>
      <c r="W2306" s="1108"/>
      <c r="X2306" s="1108"/>
      <c r="Y2306" s="1108"/>
      <c r="Z2306" s="1114"/>
      <c r="AA2306" s="1114"/>
      <c r="AB2306" s="1114"/>
      <c r="AC2306" s="1117"/>
      <c r="AD2306" s="1115"/>
      <c r="AE2306" s="1115"/>
      <c r="AF2306" s="1115"/>
      <c r="AG2306" s="1115"/>
      <c r="AH2306" s="1115"/>
      <c r="AI2306" s="1115"/>
      <c r="AJ2306" s="1117"/>
      <c r="AK2306" s="1118"/>
      <c r="AL2306" s="1115"/>
      <c r="AM2306" s="1115"/>
      <c r="AN2306" s="1115"/>
      <c r="AO2306" s="1115"/>
      <c r="AP2306" s="1115"/>
      <c r="AQ2306" s="1115"/>
      <c r="AR2306" s="1115"/>
      <c r="AS2306" s="1117"/>
      <c r="AT2306" s="1196" t="str">
        <f t="shared" si="428"/>
        <v/>
      </c>
      <c r="AU2306" s="1193"/>
      <c r="AV2306" s="330">
        <f>SQRT(($R2306-Infrastructure!J$3)^2+($S2306-Infrastructure!K$3)^2)</f>
        <v>28.90155705</v>
      </c>
      <c r="AW2306" s="331">
        <f>SQRT(($R2306-Infrastructure!J$4)^2+($S2306-Infrastructure!K$4)^2)</f>
        <v>17.80252791</v>
      </c>
      <c r="AX2306" s="331">
        <f>SQRT(($R2306-Infrastructure!J$5)^2+($S2306-Infrastructure!K$5)^2)</f>
        <v>5.10881591</v>
      </c>
      <c r="AY2306" s="331">
        <f>SQRT(($R2306-Infrastructure!J$6)^2+($S2306-Infrastructure!K$6)^2)</f>
        <v>10.10445446</v>
      </c>
      <c r="AZ2306" s="331">
        <f>SQRT(($R2306-Infrastructure!J$7)^2+($S2306-Infrastructure!K$7)^2)</f>
        <v>20.502195</v>
      </c>
      <c r="BA2306" s="331">
        <f>SQRT(($R2306-Infrastructure!J$8)^2+($S2306-Infrastructure!K$8)^2)</f>
        <v>30.10149498</v>
      </c>
      <c r="BB2306" s="331">
        <f>SQRT(($R2306-Infrastructure!J$9)^2+($S2306-Infrastructure!K$9)^2)</f>
        <v>40.3238143</v>
      </c>
      <c r="BC2306" s="331">
        <f>SQRT(($R2306-Infrastructure!J$10)^2+($S2306-Infrastructure!K$10)^2)</f>
        <v>42.72001873</v>
      </c>
      <c r="BD2306" s="331">
        <f>SQRT(($R2306-Infrastructure!J$11)^2+($S2306-Infrastructure!K$11)^2)</f>
        <v>49.56853841</v>
      </c>
      <c r="BE2306" s="333">
        <f>SQRT(($R2306-Infrastructure!J$12)^2+($S2306-Infrastructure!K$12)^2)</f>
        <v>59.51890456</v>
      </c>
      <c r="BF2306" s="330">
        <f t="shared" si="161"/>
        <v>5.10881591</v>
      </c>
      <c r="BG2306" s="333">
        <f t="shared" si="162"/>
        <v>59.51890456</v>
      </c>
      <c r="BH2306" s="1119"/>
      <c r="BI2306" s="319" t="str">
        <f t="shared" ref="BI2306:BR2306" si="1466">IF(ISNUMBER(FIND(BI$3, $CO2306)), "Y", "")</f>
        <v/>
      </c>
      <c r="BJ2306" s="319" t="str">
        <f t="shared" si="1466"/>
        <v/>
      </c>
      <c r="BK2306" s="319" t="str">
        <f t="shared" si="1466"/>
        <v/>
      </c>
      <c r="BL2306" s="319" t="str">
        <f t="shared" si="1466"/>
        <v/>
      </c>
      <c r="BM2306" s="319" t="str">
        <f t="shared" si="1466"/>
        <v/>
      </c>
      <c r="BN2306" s="319" t="str">
        <f t="shared" si="1466"/>
        <v/>
      </c>
      <c r="BO2306" s="319" t="str">
        <f t="shared" si="1466"/>
        <v/>
      </c>
      <c r="BP2306" s="319" t="str">
        <f t="shared" si="1466"/>
        <v/>
      </c>
      <c r="BQ2306" s="319" t="str">
        <f t="shared" si="1466"/>
        <v/>
      </c>
      <c r="BR2306" s="319" t="str">
        <f t="shared" si="1466"/>
        <v/>
      </c>
      <c r="BS2306" s="330">
        <f t="shared" si="185"/>
        <v>0</v>
      </c>
      <c r="BT2306" s="331">
        <f t="shared" si="170"/>
        <v>0</v>
      </c>
      <c r="BU2306" s="920"/>
      <c r="BV2306" s="903" t="str">
        <f t="shared" si="1244"/>
        <v/>
      </c>
      <c r="BW2306" s="908"/>
      <c r="BX2306" s="908"/>
      <c r="BY2306" s="331" t="b">
        <f t="shared" si="201"/>
        <v>0</v>
      </c>
      <c r="BZ2306" s="331"/>
      <c r="CA2306" s="462" t="str">
        <f t="shared" ref="CA2306:CJ2306" si="1467">IF(ISNUMBER(FIND(BI$3, $CP2306)), "Y", "")</f>
        <v/>
      </c>
      <c r="CB2306" s="319" t="str">
        <f t="shared" si="1467"/>
        <v/>
      </c>
      <c r="CC2306" s="319" t="str">
        <f t="shared" si="1467"/>
        <v/>
      </c>
      <c r="CD2306" s="319" t="str">
        <f t="shared" si="1467"/>
        <v/>
      </c>
      <c r="CE2306" s="319" t="str">
        <f t="shared" si="1467"/>
        <v/>
      </c>
      <c r="CF2306" s="319" t="str">
        <f t="shared" si="1467"/>
        <v/>
      </c>
      <c r="CG2306" s="319" t="str">
        <f t="shared" si="1467"/>
        <v/>
      </c>
      <c r="CH2306" s="319" t="str">
        <f t="shared" si="1467"/>
        <v/>
      </c>
      <c r="CI2306" s="319" t="str">
        <f t="shared" si="1467"/>
        <v/>
      </c>
      <c r="CJ2306" s="319" t="str">
        <f t="shared" si="1467"/>
        <v/>
      </c>
      <c r="CK2306" s="342">
        <f t="shared" si="182"/>
        <v>0</v>
      </c>
      <c r="CL2306" s="333">
        <f t="shared" si="183"/>
        <v>0</v>
      </c>
      <c r="CM2306" s="1079"/>
      <c r="CN2306" s="1005"/>
      <c r="CO2306" s="1005"/>
      <c r="CP2306" s="1005"/>
    </row>
    <row r="2307">
      <c r="A2307" s="1257"/>
      <c r="B2307" s="1113"/>
      <c r="C2307" s="1107"/>
      <c r="D2307" s="103"/>
      <c r="E2307" s="1137"/>
      <c r="F2307" s="112"/>
      <c r="G2307" s="1110"/>
      <c r="H2307" s="1138"/>
      <c r="I2307" s="1138"/>
      <c r="J2307" s="1139"/>
      <c r="K2307" s="1111"/>
      <c r="L2307" s="1112"/>
      <c r="M2307" s="1113"/>
      <c r="N2307" s="110"/>
      <c r="O2307" s="1140"/>
      <c r="P2307" s="1115"/>
      <c r="Q2307" s="1116"/>
      <c r="R2307" s="1141"/>
      <c r="S2307" s="1113"/>
      <c r="T2307" s="1143"/>
      <c r="U2307" s="1108"/>
      <c r="V2307" s="1108"/>
      <c r="W2307" s="1108"/>
      <c r="X2307" s="1108"/>
      <c r="Y2307" s="1108"/>
      <c r="Z2307" s="1114"/>
      <c r="AA2307" s="1114"/>
      <c r="AB2307" s="1114"/>
      <c r="AC2307" s="1117"/>
      <c r="AD2307" s="1115"/>
      <c r="AE2307" s="1115"/>
      <c r="AF2307" s="1115"/>
      <c r="AG2307" s="1115"/>
      <c r="AH2307" s="1115"/>
      <c r="AI2307" s="1115"/>
      <c r="AJ2307" s="1117"/>
      <c r="AK2307" s="1118"/>
      <c r="AL2307" s="1115"/>
      <c r="AM2307" s="1115"/>
      <c r="AN2307" s="1115"/>
      <c r="AO2307" s="1115"/>
      <c r="AP2307" s="1115"/>
      <c r="AQ2307" s="1115"/>
      <c r="AR2307" s="1115"/>
      <c r="AS2307" s="1117"/>
      <c r="AT2307" s="1196" t="str">
        <f t="shared" si="428"/>
        <v/>
      </c>
      <c r="AU2307" s="1193"/>
      <c r="AV2307" s="330">
        <f>SQRT(($R2307-Infrastructure!J$3)^2+($S2307-Infrastructure!K$3)^2)</f>
        <v>28.90155705</v>
      </c>
      <c r="AW2307" s="331">
        <f>SQRT(($R2307-Infrastructure!J$4)^2+($S2307-Infrastructure!K$4)^2)</f>
        <v>17.80252791</v>
      </c>
      <c r="AX2307" s="331">
        <f>SQRT(($R2307-Infrastructure!J$5)^2+($S2307-Infrastructure!K$5)^2)</f>
        <v>5.10881591</v>
      </c>
      <c r="AY2307" s="331">
        <f>SQRT(($R2307-Infrastructure!J$6)^2+($S2307-Infrastructure!K$6)^2)</f>
        <v>10.10445446</v>
      </c>
      <c r="AZ2307" s="331">
        <f>SQRT(($R2307-Infrastructure!J$7)^2+($S2307-Infrastructure!K$7)^2)</f>
        <v>20.502195</v>
      </c>
      <c r="BA2307" s="331">
        <f>SQRT(($R2307-Infrastructure!J$8)^2+($S2307-Infrastructure!K$8)^2)</f>
        <v>30.10149498</v>
      </c>
      <c r="BB2307" s="331">
        <f>SQRT(($R2307-Infrastructure!J$9)^2+($S2307-Infrastructure!K$9)^2)</f>
        <v>40.3238143</v>
      </c>
      <c r="BC2307" s="331">
        <f>SQRT(($R2307-Infrastructure!J$10)^2+($S2307-Infrastructure!K$10)^2)</f>
        <v>42.72001873</v>
      </c>
      <c r="BD2307" s="331">
        <f>SQRT(($R2307-Infrastructure!J$11)^2+($S2307-Infrastructure!K$11)^2)</f>
        <v>49.56853841</v>
      </c>
      <c r="BE2307" s="333">
        <f>SQRT(($R2307-Infrastructure!J$12)^2+($S2307-Infrastructure!K$12)^2)</f>
        <v>59.51890456</v>
      </c>
      <c r="BF2307" s="330">
        <f t="shared" si="161"/>
        <v>5.10881591</v>
      </c>
      <c r="BG2307" s="333">
        <f t="shared" si="162"/>
        <v>59.51890456</v>
      </c>
      <c r="BH2307" s="1119"/>
      <c r="BI2307" s="319" t="str">
        <f t="shared" ref="BI2307:BR2307" si="1468">IF(ISNUMBER(FIND(BI$3, $CO2307)), "Y", "")</f>
        <v/>
      </c>
      <c r="BJ2307" s="319" t="str">
        <f t="shared" si="1468"/>
        <v/>
      </c>
      <c r="BK2307" s="319" t="str">
        <f t="shared" si="1468"/>
        <v/>
      </c>
      <c r="BL2307" s="319" t="str">
        <f t="shared" si="1468"/>
        <v/>
      </c>
      <c r="BM2307" s="319" t="str">
        <f t="shared" si="1468"/>
        <v/>
      </c>
      <c r="BN2307" s="319" t="str">
        <f t="shared" si="1468"/>
        <v/>
      </c>
      <c r="BO2307" s="319" t="str">
        <f t="shared" si="1468"/>
        <v/>
      </c>
      <c r="BP2307" s="319" t="str">
        <f t="shared" si="1468"/>
        <v/>
      </c>
      <c r="BQ2307" s="319" t="str">
        <f t="shared" si="1468"/>
        <v/>
      </c>
      <c r="BR2307" s="319" t="str">
        <f t="shared" si="1468"/>
        <v/>
      </c>
      <c r="BS2307" s="330">
        <f t="shared" si="185"/>
        <v>0</v>
      </c>
      <c r="BT2307" s="331">
        <f t="shared" si="170"/>
        <v>0</v>
      </c>
      <c r="BU2307" s="920"/>
      <c r="BV2307" s="903" t="str">
        <f t="shared" si="1244"/>
        <v/>
      </c>
      <c r="BW2307" s="908"/>
      <c r="BX2307" s="908"/>
      <c r="BY2307" s="331" t="b">
        <f t="shared" si="201"/>
        <v>0</v>
      </c>
      <c r="BZ2307" s="331"/>
      <c r="CA2307" s="462" t="str">
        <f t="shared" ref="CA2307:CJ2307" si="1469">IF(ISNUMBER(FIND(BI$3, $CP2307)), "Y", "")</f>
        <v/>
      </c>
      <c r="CB2307" s="319" t="str">
        <f t="shared" si="1469"/>
        <v/>
      </c>
      <c r="CC2307" s="319" t="str">
        <f t="shared" si="1469"/>
        <v/>
      </c>
      <c r="CD2307" s="319" t="str">
        <f t="shared" si="1469"/>
        <v/>
      </c>
      <c r="CE2307" s="319" t="str">
        <f t="shared" si="1469"/>
        <v/>
      </c>
      <c r="CF2307" s="319" t="str">
        <f t="shared" si="1469"/>
        <v/>
      </c>
      <c r="CG2307" s="319" t="str">
        <f t="shared" si="1469"/>
        <v/>
      </c>
      <c r="CH2307" s="319" t="str">
        <f t="shared" si="1469"/>
        <v/>
      </c>
      <c r="CI2307" s="319" t="str">
        <f t="shared" si="1469"/>
        <v/>
      </c>
      <c r="CJ2307" s="319" t="str">
        <f t="shared" si="1469"/>
        <v/>
      </c>
      <c r="CK2307" s="342">
        <f t="shared" si="182"/>
        <v>0</v>
      </c>
      <c r="CL2307" s="333">
        <f t="shared" si="183"/>
        <v>0</v>
      </c>
      <c r="CM2307" s="1079"/>
      <c r="CN2307" s="1005"/>
      <c r="CO2307" s="1005"/>
      <c r="CP2307" s="1005"/>
    </row>
    <row r="2308">
      <c r="A2308" s="1257"/>
      <c r="B2308" s="1113"/>
      <c r="C2308" s="1107"/>
      <c r="D2308" s="103"/>
      <c r="E2308" s="1137"/>
      <c r="F2308" s="112"/>
      <c r="G2308" s="1110"/>
      <c r="H2308" s="1138"/>
      <c r="I2308" s="1138"/>
      <c r="J2308" s="1139"/>
      <c r="K2308" s="1111"/>
      <c r="L2308" s="1112"/>
      <c r="M2308" s="1113"/>
      <c r="N2308" s="110"/>
      <c r="O2308" s="1140"/>
      <c r="P2308" s="1115"/>
      <c r="Q2308" s="1116"/>
      <c r="R2308" s="1141"/>
      <c r="S2308" s="1113"/>
      <c r="T2308" s="1143"/>
      <c r="U2308" s="1108"/>
      <c r="V2308" s="1108"/>
      <c r="W2308" s="1108"/>
      <c r="X2308" s="1108"/>
      <c r="Y2308" s="1108"/>
      <c r="Z2308" s="1114"/>
      <c r="AA2308" s="1114"/>
      <c r="AB2308" s="1114"/>
      <c r="AC2308" s="1117"/>
      <c r="AD2308" s="1115"/>
      <c r="AE2308" s="1115"/>
      <c r="AF2308" s="1115"/>
      <c r="AG2308" s="1115"/>
      <c r="AH2308" s="1115"/>
      <c r="AI2308" s="1115"/>
      <c r="AJ2308" s="1117"/>
      <c r="AK2308" s="1118"/>
      <c r="AL2308" s="1115"/>
      <c r="AM2308" s="1115"/>
      <c r="AN2308" s="1115"/>
      <c r="AO2308" s="1115"/>
      <c r="AP2308" s="1115"/>
      <c r="AQ2308" s="1115"/>
      <c r="AR2308" s="1115"/>
      <c r="AS2308" s="1117"/>
      <c r="AT2308" s="1196" t="str">
        <f t="shared" si="428"/>
        <v/>
      </c>
      <c r="AU2308" s="1193"/>
      <c r="AV2308" s="330">
        <f>SQRT(($R2308-Infrastructure!J$3)^2+($S2308-Infrastructure!K$3)^2)</f>
        <v>28.90155705</v>
      </c>
      <c r="AW2308" s="331">
        <f>SQRT(($R2308-Infrastructure!J$4)^2+($S2308-Infrastructure!K$4)^2)</f>
        <v>17.80252791</v>
      </c>
      <c r="AX2308" s="331">
        <f>SQRT(($R2308-Infrastructure!J$5)^2+($S2308-Infrastructure!K$5)^2)</f>
        <v>5.10881591</v>
      </c>
      <c r="AY2308" s="331">
        <f>SQRT(($R2308-Infrastructure!J$6)^2+($S2308-Infrastructure!K$6)^2)</f>
        <v>10.10445446</v>
      </c>
      <c r="AZ2308" s="331">
        <f>SQRT(($R2308-Infrastructure!J$7)^2+($S2308-Infrastructure!K$7)^2)</f>
        <v>20.502195</v>
      </c>
      <c r="BA2308" s="331">
        <f>SQRT(($R2308-Infrastructure!J$8)^2+($S2308-Infrastructure!K$8)^2)</f>
        <v>30.10149498</v>
      </c>
      <c r="BB2308" s="331">
        <f>SQRT(($R2308-Infrastructure!J$9)^2+($S2308-Infrastructure!K$9)^2)</f>
        <v>40.3238143</v>
      </c>
      <c r="BC2308" s="331">
        <f>SQRT(($R2308-Infrastructure!J$10)^2+($S2308-Infrastructure!K$10)^2)</f>
        <v>42.72001873</v>
      </c>
      <c r="BD2308" s="331">
        <f>SQRT(($R2308-Infrastructure!J$11)^2+($S2308-Infrastructure!K$11)^2)</f>
        <v>49.56853841</v>
      </c>
      <c r="BE2308" s="333">
        <f>SQRT(($R2308-Infrastructure!J$12)^2+($S2308-Infrastructure!K$12)^2)</f>
        <v>59.51890456</v>
      </c>
      <c r="BF2308" s="330">
        <f t="shared" si="161"/>
        <v>5.10881591</v>
      </c>
      <c r="BG2308" s="333">
        <f t="shared" si="162"/>
        <v>59.51890456</v>
      </c>
      <c r="BH2308" s="1119"/>
      <c r="BI2308" s="319" t="str">
        <f t="shared" ref="BI2308:BR2308" si="1470">IF(ISNUMBER(FIND(BI$3, $CO2308)), "Y", "")</f>
        <v/>
      </c>
      <c r="BJ2308" s="319" t="str">
        <f t="shared" si="1470"/>
        <v/>
      </c>
      <c r="BK2308" s="319" t="str">
        <f t="shared" si="1470"/>
        <v/>
      </c>
      <c r="BL2308" s="319" t="str">
        <f t="shared" si="1470"/>
        <v/>
      </c>
      <c r="BM2308" s="319" t="str">
        <f t="shared" si="1470"/>
        <v/>
      </c>
      <c r="BN2308" s="319" t="str">
        <f t="shared" si="1470"/>
        <v/>
      </c>
      <c r="BO2308" s="319" t="str">
        <f t="shared" si="1470"/>
        <v/>
      </c>
      <c r="BP2308" s="319" t="str">
        <f t="shared" si="1470"/>
        <v/>
      </c>
      <c r="BQ2308" s="319" t="str">
        <f t="shared" si="1470"/>
        <v/>
      </c>
      <c r="BR2308" s="319" t="str">
        <f t="shared" si="1470"/>
        <v/>
      </c>
      <c r="BS2308" s="330">
        <f t="shared" si="185"/>
        <v>0</v>
      </c>
      <c r="BT2308" s="331">
        <f t="shared" si="170"/>
        <v>0</v>
      </c>
      <c r="BU2308" s="920"/>
      <c r="BV2308" s="903" t="str">
        <f t="shared" si="1244"/>
        <v/>
      </c>
      <c r="BW2308" s="908"/>
      <c r="BX2308" s="908"/>
      <c r="BY2308" s="331" t="b">
        <f t="shared" si="201"/>
        <v>0</v>
      </c>
      <c r="BZ2308" s="331"/>
      <c r="CA2308" s="462" t="str">
        <f t="shared" ref="CA2308:CJ2308" si="1471">IF(ISNUMBER(FIND(BI$3, $CP2308)), "Y", "")</f>
        <v/>
      </c>
      <c r="CB2308" s="319" t="str">
        <f t="shared" si="1471"/>
        <v/>
      </c>
      <c r="CC2308" s="319" t="str">
        <f t="shared" si="1471"/>
        <v/>
      </c>
      <c r="CD2308" s="319" t="str">
        <f t="shared" si="1471"/>
        <v/>
      </c>
      <c r="CE2308" s="319" t="str">
        <f t="shared" si="1471"/>
        <v/>
      </c>
      <c r="CF2308" s="319" t="str">
        <f t="shared" si="1471"/>
        <v/>
      </c>
      <c r="CG2308" s="319" t="str">
        <f t="shared" si="1471"/>
        <v/>
      </c>
      <c r="CH2308" s="319" t="str">
        <f t="shared" si="1471"/>
        <v/>
      </c>
      <c r="CI2308" s="319" t="str">
        <f t="shared" si="1471"/>
        <v/>
      </c>
      <c r="CJ2308" s="319" t="str">
        <f t="shared" si="1471"/>
        <v/>
      </c>
      <c r="CK2308" s="342">
        <f t="shared" si="182"/>
        <v>0</v>
      </c>
      <c r="CL2308" s="333">
        <f t="shared" si="183"/>
        <v>0</v>
      </c>
      <c r="CM2308" s="1079"/>
      <c r="CN2308" s="1005"/>
      <c r="CO2308" s="1005"/>
      <c r="CP2308" s="1005"/>
    </row>
    <row r="2309">
      <c r="A2309" s="1257"/>
      <c r="B2309" s="1113"/>
      <c r="C2309" s="1107"/>
      <c r="D2309" s="103"/>
      <c r="E2309" s="1137"/>
      <c r="F2309" s="112"/>
      <c r="G2309" s="1110"/>
      <c r="H2309" s="1138"/>
      <c r="I2309" s="1138"/>
      <c r="J2309" s="1139"/>
      <c r="K2309" s="1111"/>
      <c r="L2309" s="1112"/>
      <c r="M2309" s="1113"/>
      <c r="N2309" s="110"/>
      <c r="O2309" s="1140"/>
      <c r="P2309" s="1115"/>
      <c r="Q2309" s="1116"/>
      <c r="R2309" s="1141"/>
      <c r="S2309" s="1113"/>
      <c r="T2309" s="1143"/>
      <c r="U2309" s="1108"/>
      <c r="V2309" s="1108"/>
      <c r="W2309" s="1108"/>
      <c r="X2309" s="1108"/>
      <c r="Y2309" s="1108"/>
      <c r="Z2309" s="1114"/>
      <c r="AA2309" s="1114"/>
      <c r="AB2309" s="1114"/>
      <c r="AC2309" s="1117"/>
      <c r="AD2309" s="1115"/>
      <c r="AE2309" s="1115"/>
      <c r="AF2309" s="1115"/>
      <c r="AG2309" s="1115"/>
      <c r="AH2309" s="1115"/>
      <c r="AI2309" s="1115"/>
      <c r="AJ2309" s="1117"/>
      <c r="AK2309" s="1118"/>
      <c r="AL2309" s="1115"/>
      <c r="AM2309" s="1115"/>
      <c r="AN2309" s="1115"/>
      <c r="AO2309" s="1115"/>
      <c r="AP2309" s="1115"/>
      <c r="AQ2309" s="1115"/>
      <c r="AR2309" s="1115"/>
      <c r="AS2309" s="1117"/>
      <c r="AT2309" s="1196" t="str">
        <f t="shared" si="428"/>
        <v/>
      </c>
      <c r="AU2309" s="1193"/>
      <c r="AV2309" s="330">
        <f>SQRT(($R2309-Infrastructure!J$3)^2+($S2309-Infrastructure!K$3)^2)</f>
        <v>28.90155705</v>
      </c>
      <c r="AW2309" s="331">
        <f>SQRT(($R2309-Infrastructure!J$4)^2+($S2309-Infrastructure!K$4)^2)</f>
        <v>17.80252791</v>
      </c>
      <c r="AX2309" s="331">
        <f>SQRT(($R2309-Infrastructure!J$5)^2+($S2309-Infrastructure!K$5)^2)</f>
        <v>5.10881591</v>
      </c>
      <c r="AY2309" s="331">
        <f>SQRT(($R2309-Infrastructure!J$6)^2+($S2309-Infrastructure!K$6)^2)</f>
        <v>10.10445446</v>
      </c>
      <c r="AZ2309" s="331">
        <f>SQRT(($R2309-Infrastructure!J$7)^2+($S2309-Infrastructure!K$7)^2)</f>
        <v>20.502195</v>
      </c>
      <c r="BA2309" s="331">
        <f>SQRT(($R2309-Infrastructure!J$8)^2+($S2309-Infrastructure!K$8)^2)</f>
        <v>30.10149498</v>
      </c>
      <c r="BB2309" s="331">
        <f>SQRT(($R2309-Infrastructure!J$9)^2+($S2309-Infrastructure!K$9)^2)</f>
        <v>40.3238143</v>
      </c>
      <c r="BC2309" s="331">
        <f>SQRT(($R2309-Infrastructure!J$10)^2+($S2309-Infrastructure!K$10)^2)</f>
        <v>42.72001873</v>
      </c>
      <c r="BD2309" s="331">
        <f>SQRT(($R2309-Infrastructure!J$11)^2+($S2309-Infrastructure!K$11)^2)</f>
        <v>49.56853841</v>
      </c>
      <c r="BE2309" s="333">
        <f>SQRT(($R2309-Infrastructure!J$12)^2+($S2309-Infrastructure!K$12)^2)</f>
        <v>59.51890456</v>
      </c>
      <c r="BF2309" s="330">
        <f t="shared" si="161"/>
        <v>5.10881591</v>
      </c>
      <c r="BG2309" s="333">
        <f t="shared" si="162"/>
        <v>59.51890456</v>
      </c>
      <c r="BH2309" s="1119"/>
      <c r="BI2309" s="319" t="str">
        <f t="shared" ref="BI2309:BR2309" si="1472">IF(ISNUMBER(FIND(BI$3, $CO2309)), "Y", "")</f>
        <v/>
      </c>
      <c r="BJ2309" s="319" t="str">
        <f t="shared" si="1472"/>
        <v/>
      </c>
      <c r="BK2309" s="319" t="str">
        <f t="shared" si="1472"/>
        <v/>
      </c>
      <c r="BL2309" s="319" t="str">
        <f t="shared" si="1472"/>
        <v/>
      </c>
      <c r="BM2309" s="319" t="str">
        <f t="shared" si="1472"/>
        <v/>
      </c>
      <c r="BN2309" s="319" t="str">
        <f t="shared" si="1472"/>
        <v/>
      </c>
      <c r="BO2309" s="319" t="str">
        <f t="shared" si="1472"/>
        <v/>
      </c>
      <c r="BP2309" s="319" t="str">
        <f t="shared" si="1472"/>
        <v/>
      </c>
      <c r="BQ2309" s="319" t="str">
        <f t="shared" si="1472"/>
        <v/>
      </c>
      <c r="BR2309" s="319" t="str">
        <f t="shared" si="1472"/>
        <v/>
      </c>
      <c r="BS2309" s="330">
        <f t="shared" si="185"/>
        <v>0</v>
      </c>
      <c r="BT2309" s="331">
        <f t="shared" si="170"/>
        <v>0</v>
      </c>
      <c r="BU2309" s="920"/>
      <c r="BV2309" s="903" t="str">
        <f t="shared" si="1244"/>
        <v/>
      </c>
      <c r="BW2309" s="908"/>
      <c r="BX2309" s="908"/>
      <c r="BY2309" s="331" t="b">
        <f t="shared" si="201"/>
        <v>0</v>
      </c>
      <c r="BZ2309" s="331"/>
      <c r="CA2309" s="462" t="str">
        <f t="shared" ref="CA2309:CJ2309" si="1473">IF(ISNUMBER(FIND(BI$3, $CP2309)), "Y", "")</f>
        <v/>
      </c>
      <c r="CB2309" s="319" t="str">
        <f t="shared" si="1473"/>
        <v/>
      </c>
      <c r="CC2309" s="319" t="str">
        <f t="shared" si="1473"/>
        <v/>
      </c>
      <c r="CD2309" s="319" t="str">
        <f t="shared" si="1473"/>
        <v/>
      </c>
      <c r="CE2309" s="319" t="str">
        <f t="shared" si="1473"/>
        <v/>
      </c>
      <c r="CF2309" s="319" t="str">
        <f t="shared" si="1473"/>
        <v/>
      </c>
      <c r="CG2309" s="319" t="str">
        <f t="shared" si="1473"/>
        <v/>
      </c>
      <c r="CH2309" s="319" t="str">
        <f t="shared" si="1473"/>
        <v/>
      </c>
      <c r="CI2309" s="319" t="str">
        <f t="shared" si="1473"/>
        <v/>
      </c>
      <c r="CJ2309" s="319" t="str">
        <f t="shared" si="1473"/>
        <v/>
      </c>
      <c r="CK2309" s="342">
        <f t="shared" si="182"/>
        <v>0</v>
      </c>
      <c r="CL2309" s="333">
        <f t="shared" si="183"/>
        <v>0</v>
      </c>
      <c r="CM2309" s="1079"/>
      <c r="CN2309" s="1005"/>
      <c r="CO2309" s="1005"/>
      <c r="CP2309" s="1005"/>
    </row>
    <row r="2310">
      <c r="A2310" s="1257"/>
      <c r="B2310" s="1113"/>
      <c r="C2310" s="1107"/>
      <c r="D2310" s="103"/>
      <c r="E2310" s="1137"/>
      <c r="F2310" s="112"/>
      <c r="G2310" s="1110"/>
      <c r="H2310" s="1138"/>
      <c r="I2310" s="1138"/>
      <c r="J2310" s="1139"/>
      <c r="K2310" s="1111"/>
      <c r="L2310" s="1112"/>
      <c r="M2310" s="1113"/>
      <c r="N2310" s="110"/>
      <c r="O2310" s="1140"/>
      <c r="P2310" s="1115"/>
      <c r="Q2310" s="1116"/>
      <c r="R2310" s="1141"/>
      <c r="S2310" s="1113"/>
      <c r="T2310" s="1143"/>
      <c r="U2310" s="1108"/>
      <c r="V2310" s="1108"/>
      <c r="W2310" s="1108"/>
      <c r="X2310" s="1108"/>
      <c r="Y2310" s="1108"/>
      <c r="Z2310" s="1114"/>
      <c r="AA2310" s="1114"/>
      <c r="AB2310" s="1114"/>
      <c r="AC2310" s="1117"/>
      <c r="AD2310" s="1115"/>
      <c r="AE2310" s="1115"/>
      <c r="AF2310" s="1115"/>
      <c r="AG2310" s="1115"/>
      <c r="AH2310" s="1115"/>
      <c r="AI2310" s="1115"/>
      <c r="AJ2310" s="1117"/>
      <c r="AK2310" s="1118"/>
      <c r="AL2310" s="1115"/>
      <c r="AM2310" s="1115"/>
      <c r="AN2310" s="1115"/>
      <c r="AO2310" s="1115"/>
      <c r="AP2310" s="1115"/>
      <c r="AQ2310" s="1115"/>
      <c r="AR2310" s="1115"/>
      <c r="AS2310" s="1117"/>
      <c r="AT2310" s="1196" t="str">
        <f t="shared" si="428"/>
        <v/>
      </c>
      <c r="AU2310" s="1193"/>
      <c r="AV2310" s="330">
        <f>SQRT(($R2310-Infrastructure!J$3)^2+($S2310-Infrastructure!K$3)^2)</f>
        <v>28.90155705</v>
      </c>
      <c r="AW2310" s="331">
        <f>SQRT(($R2310-Infrastructure!J$4)^2+($S2310-Infrastructure!K$4)^2)</f>
        <v>17.80252791</v>
      </c>
      <c r="AX2310" s="331">
        <f>SQRT(($R2310-Infrastructure!J$5)^2+($S2310-Infrastructure!K$5)^2)</f>
        <v>5.10881591</v>
      </c>
      <c r="AY2310" s="331">
        <f>SQRT(($R2310-Infrastructure!J$6)^2+($S2310-Infrastructure!K$6)^2)</f>
        <v>10.10445446</v>
      </c>
      <c r="AZ2310" s="331">
        <f>SQRT(($R2310-Infrastructure!J$7)^2+($S2310-Infrastructure!K$7)^2)</f>
        <v>20.502195</v>
      </c>
      <c r="BA2310" s="331">
        <f>SQRT(($R2310-Infrastructure!J$8)^2+($S2310-Infrastructure!K$8)^2)</f>
        <v>30.10149498</v>
      </c>
      <c r="BB2310" s="331">
        <f>SQRT(($R2310-Infrastructure!J$9)^2+($S2310-Infrastructure!K$9)^2)</f>
        <v>40.3238143</v>
      </c>
      <c r="BC2310" s="331">
        <f>SQRT(($R2310-Infrastructure!J$10)^2+($S2310-Infrastructure!K$10)^2)</f>
        <v>42.72001873</v>
      </c>
      <c r="BD2310" s="331">
        <f>SQRT(($R2310-Infrastructure!J$11)^2+($S2310-Infrastructure!K$11)^2)</f>
        <v>49.56853841</v>
      </c>
      <c r="BE2310" s="333">
        <f>SQRT(($R2310-Infrastructure!J$12)^2+($S2310-Infrastructure!K$12)^2)</f>
        <v>59.51890456</v>
      </c>
      <c r="BF2310" s="330">
        <f t="shared" si="161"/>
        <v>5.10881591</v>
      </c>
      <c r="BG2310" s="333">
        <f t="shared" si="162"/>
        <v>59.51890456</v>
      </c>
      <c r="BH2310" s="1119"/>
      <c r="BI2310" s="319" t="str">
        <f t="shared" ref="BI2310:BR2310" si="1474">IF(ISNUMBER(FIND(BI$3, $CO2310)), "Y", "")</f>
        <v/>
      </c>
      <c r="BJ2310" s="319" t="str">
        <f t="shared" si="1474"/>
        <v/>
      </c>
      <c r="BK2310" s="319" t="str">
        <f t="shared" si="1474"/>
        <v/>
      </c>
      <c r="BL2310" s="319" t="str">
        <f t="shared" si="1474"/>
        <v/>
      </c>
      <c r="BM2310" s="319" t="str">
        <f t="shared" si="1474"/>
        <v/>
      </c>
      <c r="BN2310" s="319" t="str">
        <f t="shared" si="1474"/>
        <v/>
      </c>
      <c r="BO2310" s="319" t="str">
        <f t="shared" si="1474"/>
        <v/>
      </c>
      <c r="BP2310" s="319" t="str">
        <f t="shared" si="1474"/>
        <v/>
      </c>
      <c r="BQ2310" s="319" t="str">
        <f t="shared" si="1474"/>
        <v/>
      </c>
      <c r="BR2310" s="319" t="str">
        <f t="shared" si="1474"/>
        <v/>
      </c>
      <c r="BS2310" s="330">
        <f t="shared" si="185"/>
        <v>0</v>
      </c>
      <c r="BT2310" s="331">
        <f t="shared" si="170"/>
        <v>0</v>
      </c>
      <c r="BU2310" s="920"/>
      <c r="BV2310" s="903" t="str">
        <f t="shared" si="1244"/>
        <v/>
      </c>
      <c r="BW2310" s="908"/>
      <c r="BX2310" s="908"/>
      <c r="BY2310" s="331" t="b">
        <f t="shared" si="201"/>
        <v>0</v>
      </c>
      <c r="BZ2310" s="331"/>
      <c r="CA2310" s="462" t="str">
        <f t="shared" ref="CA2310:CJ2310" si="1475">IF(ISNUMBER(FIND(BI$3, $CP2310)), "Y", "")</f>
        <v/>
      </c>
      <c r="CB2310" s="319" t="str">
        <f t="shared" si="1475"/>
        <v/>
      </c>
      <c r="CC2310" s="319" t="str">
        <f t="shared" si="1475"/>
        <v/>
      </c>
      <c r="CD2310" s="319" t="str">
        <f t="shared" si="1475"/>
        <v/>
      </c>
      <c r="CE2310" s="319" t="str">
        <f t="shared" si="1475"/>
        <v/>
      </c>
      <c r="CF2310" s="319" t="str">
        <f t="shared" si="1475"/>
        <v/>
      </c>
      <c r="CG2310" s="319" t="str">
        <f t="shared" si="1475"/>
        <v/>
      </c>
      <c r="CH2310" s="319" t="str">
        <f t="shared" si="1475"/>
        <v/>
      </c>
      <c r="CI2310" s="319" t="str">
        <f t="shared" si="1475"/>
        <v/>
      </c>
      <c r="CJ2310" s="319" t="str">
        <f t="shared" si="1475"/>
        <v/>
      </c>
      <c r="CK2310" s="342">
        <f t="shared" si="182"/>
        <v>0</v>
      </c>
      <c r="CL2310" s="333">
        <f t="shared" si="183"/>
        <v>0</v>
      </c>
      <c r="CM2310" s="1079"/>
      <c r="CN2310" s="1005"/>
      <c r="CO2310" s="1005"/>
      <c r="CP2310" s="1005"/>
    </row>
    <row r="2311">
      <c r="A2311" s="1257"/>
      <c r="B2311" s="1113"/>
      <c r="C2311" s="1107"/>
      <c r="D2311" s="103"/>
      <c r="E2311" s="1137"/>
      <c r="F2311" s="112"/>
      <c r="G2311" s="1110"/>
      <c r="H2311" s="1138"/>
      <c r="I2311" s="1138"/>
      <c r="J2311" s="1139"/>
      <c r="K2311" s="1111"/>
      <c r="L2311" s="1112"/>
      <c r="M2311" s="1113"/>
      <c r="N2311" s="110"/>
      <c r="O2311" s="1140"/>
      <c r="P2311" s="1115"/>
      <c r="Q2311" s="1116"/>
      <c r="R2311" s="1141"/>
      <c r="S2311" s="1113"/>
      <c r="T2311" s="1143"/>
      <c r="U2311" s="1108"/>
      <c r="V2311" s="1108"/>
      <c r="W2311" s="1108"/>
      <c r="X2311" s="1108"/>
      <c r="Y2311" s="1108"/>
      <c r="Z2311" s="1114"/>
      <c r="AA2311" s="1114"/>
      <c r="AB2311" s="1114"/>
      <c r="AC2311" s="1117"/>
      <c r="AD2311" s="1115"/>
      <c r="AE2311" s="1115"/>
      <c r="AF2311" s="1115"/>
      <c r="AG2311" s="1115"/>
      <c r="AH2311" s="1115"/>
      <c r="AI2311" s="1115"/>
      <c r="AJ2311" s="1117"/>
      <c r="AK2311" s="1118"/>
      <c r="AL2311" s="1115"/>
      <c r="AM2311" s="1115"/>
      <c r="AN2311" s="1115"/>
      <c r="AO2311" s="1115"/>
      <c r="AP2311" s="1115"/>
      <c r="AQ2311" s="1115"/>
      <c r="AR2311" s="1115"/>
      <c r="AS2311" s="1117"/>
      <c r="AT2311" s="1196" t="str">
        <f t="shared" si="428"/>
        <v/>
      </c>
      <c r="AU2311" s="1193"/>
      <c r="AV2311" s="330">
        <f>SQRT(($R2311-Infrastructure!J$3)^2+($S2311-Infrastructure!K$3)^2)</f>
        <v>28.90155705</v>
      </c>
      <c r="AW2311" s="331">
        <f>SQRT(($R2311-Infrastructure!J$4)^2+($S2311-Infrastructure!K$4)^2)</f>
        <v>17.80252791</v>
      </c>
      <c r="AX2311" s="331">
        <f>SQRT(($R2311-Infrastructure!J$5)^2+($S2311-Infrastructure!K$5)^2)</f>
        <v>5.10881591</v>
      </c>
      <c r="AY2311" s="331">
        <f>SQRT(($R2311-Infrastructure!J$6)^2+($S2311-Infrastructure!K$6)^2)</f>
        <v>10.10445446</v>
      </c>
      <c r="AZ2311" s="331">
        <f>SQRT(($R2311-Infrastructure!J$7)^2+($S2311-Infrastructure!K$7)^2)</f>
        <v>20.502195</v>
      </c>
      <c r="BA2311" s="331">
        <f>SQRT(($R2311-Infrastructure!J$8)^2+($S2311-Infrastructure!K$8)^2)</f>
        <v>30.10149498</v>
      </c>
      <c r="BB2311" s="331">
        <f>SQRT(($R2311-Infrastructure!J$9)^2+($S2311-Infrastructure!K$9)^2)</f>
        <v>40.3238143</v>
      </c>
      <c r="BC2311" s="331">
        <f>SQRT(($R2311-Infrastructure!J$10)^2+($S2311-Infrastructure!K$10)^2)</f>
        <v>42.72001873</v>
      </c>
      <c r="BD2311" s="331">
        <f>SQRT(($R2311-Infrastructure!J$11)^2+($S2311-Infrastructure!K$11)^2)</f>
        <v>49.56853841</v>
      </c>
      <c r="BE2311" s="333">
        <f>SQRT(($R2311-Infrastructure!J$12)^2+($S2311-Infrastructure!K$12)^2)</f>
        <v>59.51890456</v>
      </c>
      <c r="BF2311" s="330">
        <f t="shared" si="161"/>
        <v>5.10881591</v>
      </c>
      <c r="BG2311" s="333">
        <f t="shared" si="162"/>
        <v>59.51890456</v>
      </c>
      <c r="BH2311" s="1119"/>
      <c r="BI2311" s="319" t="str">
        <f t="shared" ref="BI2311:BR2311" si="1476">IF(ISNUMBER(FIND(BI$3, $CO2311)), "Y", "")</f>
        <v/>
      </c>
      <c r="BJ2311" s="319" t="str">
        <f t="shared" si="1476"/>
        <v/>
      </c>
      <c r="BK2311" s="319" t="str">
        <f t="shared" si="1476"/>
        <v/>
      </c>
      <c r="BL2311" s="319" t="str">
        <f t="shared" si="1476"/>
        <v/>
      </c>
      <c r="BM2311" s="319" t="str">
        <f t="shared" si="1476"/>
        <v/>
      </c>
      <c r="BN2311" s="319" t="str">
        <f t="shared" si="1476"/>
        <v/>
      </c>
      <c r="BO2311" s="319" t="str">
        <f t="shared" si="1476"/>
        <v/>
      </c>
      <c r="BP2311" s="319" t="str">
        <f t="shared" si="1476"/>
        <v/>
      </c>
      <c r="BQ2311" s="319" t="str">
        <f t="shared" si="1476"/>
        <v/>
      </c>
      <c r="BR2311" s="319" t="str">
        <f t="shared" si="1476"/>
        <v/>
      </c>
      <c r="BS2311" s="330">
        <f t="shared" si="185"/>
        <v>0</v>
      </c>
      <c r="BT2311" s="331">
        <f t="shared" si="170"/>
        <v>0</v>
      </c>
      <c r="BU2311" s="920"/>
      <c r="BV2311" s="903" t="str">
        <f t="shared" si="1244"/>
        <v/>
      </c>
      <c r="BW2311" s="908"/>
      <c r="BX2311" s="908"/>
      <c r="BY2311" s="331" t="b">
        <f t="shared" si="201"/>
        <v>0</v>
      </c>
      <c r="BZ2311" s="331"/>
      <c r="CA2311" s="462" t="str">
        <f t="shared" ref="CA2311:CJ2311" si="1477">IF(ISNUMBER(FIND(BI$3, $CP2311)), "Y", "")</f>
        <v/>
      </c>
      <c r="CB2311" s="319" t="str">
        <f t="shared" si="1477"/>
        <v/>
      </c>
      <c r="CC2311" s="319" t="str">
        <f t="shared" si="1477"/>
        <v/>
      </c>
      <c r="CD2311" s="319" t="str">
        <f t="shared" si="1477"/>
        <v/>
      </c>
      <c r="CE2311" s="319" t="str">
        <f t="shared" si="1477"/>
        <v/>
      </c>
      <c r="CF2311" s="319" t="str">
        <f t="shared" si="1477"/>
        <v/>
      </c>
      <c r="CG2311" s="319" t="str">
        <f t="shared" si="1477"/>
        <v/>
      </c>
      <c r="CH2311" s="319" t="str">
        <f t="shared" si="1477"/>
        <v/>
      </c>
      <c r="CI2311" s="319" t="str">
        <f t="shared" si="1477"/>
        <v/>
      </c>
      <c r="CJ2311" s="319" t="str">
        <f t="shared" si="1477"/>
        <v/>
      </c>
      <c r="CK2311" s="342">
        <f t="shared" si="182"/>
        <v>0</v>
      </c>
      <c r="CL2311" s="333">
        <f t="shared" si="183"/>
        <v>0</v>
      </c>
      <c r="CM2311" s="1079"/>
      <c r="CN2311" s="1005"/>
      <c r="CO2311" s="1005"/>
      <c r="CP2311" s="1005"/>
    </row>
    <row r="2312">
      <c r="A2312" s="1257"/>
      <c r="B2312" s="1113"/>
      <c r="C2312" s="1107"/>
      <c r="D2312" s="103"/>
      <c r="E2312" s="1137"/>
      <c r="F2312" s="112"/>
      <c r="G2312" s="1110"/>
      <c r="H2312" s="1138"/>
      <c r="I2312" s="1138"/>
      <c r="J2312" s="1139"/>
      <c r="K2312" s="1111"/>
      <c r="L2312" s="1112"/>
      <c r="M2312" s="1113"/>
      <c r="N2312" s="110"/>
      <c r="O2312" s="1140"/>
      <c r="P2312" s="1115"/>
      <c r="Q2312" s="1116"/>
      <c r="R2312" s="1141"/>
      <c r="S2312" s="1113"/>
      <c r="T2312" s="1143"/>
      <c r="U2312" s="1108"/>
      <c r="V2312" s="1108"/>
      <c r="W2312" s="1108"/>
      <c r="X2312" s="1108"/>
      <c r="Y2312" s="1108"/>
      <c r="Z2312" s="1114"/>
      <c r="AA2312" s="1114"/>
      <c r="AB2312" s="1114"/>
      <c r="AC2312" s="1117"/>
      <c r="AD2312" s="1115"/>
      <c r="AE2312" s="1115"/>
      <c r="AF2312" s="1115"/>
      <c r="AG2312" s="1115"/>
      <c r="AH2312" s="1115"/>
      <c r="AI2312" s="1115"/>
      <c r="AJ2312" s="1117"/>
      <c r="AK2312" s="1118"/>
      <c r="AL2312" s="1115"/>
      <c r="AM2312" s="1115"/>
      <c r="AN2312" s="1115"/>
      <c r="AO2312" s="1115"/>
      <c r="AP2312" s="1115"/>
      <c r="AQ2312" s="1115"/>
      <c r="AR2312" s="1115"/>
      <c r="AS2312" s="1117"/>
      <c r="AT2312" s="1196" t="str">
        <f t="shared" si="428"/>
        <v/>
      </c>
      <c r="AU2312" s="1193"/>
      <c r="AV2312" s="330">
        <f>SQRT(($R2312-Infrastructure!J$3)^2+($S2312-Infrastructure!K$3)^2)</f>
        <v>28.90155705</v>
      </c>
      <c r="AW2312" s="331">
        <f>SQRT(($R2312-Infrastructure!J$4)^2+($S2312-Infrastructure!K$4)^2)</f>
        <v>17.80252791</v>
      </c>
      <c r="AX2312" s="331">
        <f>SQRT(($R2312-Infrastructure!J$5)^2+($S2312-Infrastructure!K$5)^2)</f>
        <v>5.10881591</v>
      </c>
      <c r="AY2312" s="331">
        <f>SQRT(($R2312-Infrastructure!J$6)^2+($S2312-Infrastructure!K$6)^2)</f>
        <v>10.10445446</v>
      </c>
      <c r="AZ2312" s="331">
        <f>SQRT(($R2312-Infrastructure!J$7)^2+($S2312-Infrastructure!K$7)^2)</f>
        <v>20.502195</v>
      </c>
      <c r="BA2312" s="331">
        <f>SQRT(($R2312-Infrastructure!J$8)^2+($S2312-Infrastructure!K$8)^2)</f>
        <v>30.10149498</v>
      </c>
      <c r="BB2312" s="331">
        <f>SQRT(($R2312-Infrastructure!J$9)^2+($S2312-Infrastructure!K$9)^2)</f>
        <v>40.3238143</v>
      </c>
      <c r="BC2312" s="331">
        <f>SQRT(($R2312-Infrastructure!J$10)^2+($S2312-Infrastructure!K$10)^2)</f>
        <v>42.72001873</v>
      </c>
      <c r="BD2312" s="331">
        <f>SQRT(($R2312-Infrastructure!J$11)^2+($S2312-Infrastructure!K$11)^2)</f>
        <v>49.56853841</v>
      </c>
      <c r="BE2312" s="333">
        <f>SQRT(($R2312-Infrastructure!J$12)^2+($S2312-Infrastructure!K$12)^2)</f>
        <v>59.51890456</v>
      </c>
      <c r="BF2312" s="330">
        <f t="shared" si="161"/>
        <v>5.10881591</v>
      </c>
      <c r="BG2312" s="333">
        <f t="shared" si="162"/>
        <v>59.51890456</v>
      </c>
      <c r="BH2312" s="1119"/>
      <c r="BI2312" s="319" t="str">
        <f t="shared" ref="BI2312:BR2312" si="1478">IF(ISNUMBER(FIND(BI$3, $CO2312)), "Y", "")</f>
        <v/>
      </c>
      <c r="BJ2312" s="319" t="str">
        <f t="shared" si="1478"/>
        <v/>
      </c>
      <c r="BK2312" s="319" t="str">
        <f t="shared" si="1478"/>
        <v/>
      </c>
      <c r="BL2312" s="319" t="str">
        <f t="shared" si="1478"/>
        <v/>
      </c>
      <c r="BM2312" s="319" t="str">
        <f t="shared" si="1478"/>
        <v/>
      </c>
      <c r="BN2312" s="319" t="str">
        <f t="shared" si="1478"/>
        <v/>
      </c>
      <c r="BO2312" s="319" t="str">
        <f t="shared" si="1478"/>
        <v/>
      </c>
      <c r="BP2312" s="319" t="str">
        <f t="shared" si="1478"/>
        <v/>
      </c>
      <c r="BQ2312" s="319" t="str">
        <f t="shared" si="1478"/>
        <v/>
      </c>
      <c r="BR2312" s="319" t="str">
        <f t="shared" si="1478"/>
        <v/>
      </c>
      <c r="BS2312" s="330">
        <f t="shared" si="185"/>
        <v>0</v>
      </c>
      <c r="BT2312" s="331">
        <f t="shared" si="170"/>
        <v>0</v>
      </c>
      <c r="BU2312" s="920"/>
      <c r="BV2312" s="903" t="str">
        <f t="shared" si="1244"/>
        <v/>
      </c>
      <c r="BW2312" s="908"/>
      <c r="BX2312" s="908"/>
      <c r="BY2312" s="331" t="b">
        <f t="shared" si="201"/>
        <v>0</v>
      </c>
      <c r="BZ2312" s="331"/>
      <c r="CA2312" s="462" t="str">
        <f t="shared" ref="CA2312:CJ2312" si="1479">IF(ISNUMBER(FIND(BI$3, $CP2312)), "Y", "")</f>
        <v/>
      </c>
      <c r="CB2312" s="319" t="str">
        <f t="shared" si="1479"/>
        <v/>
      </c>
      <c r="CC2312" s="319" t="str">
        <f t="shared" si="1479"/>
        <v/>
      </c>
      <c r="CD2312" s="319" t="str">
        <f t="shared" si="1479"/>
        <v/>
      </c>
      <c r="CE2312" s="319" t="str">
        <f t="shared" si="1479"/>
        <v/>
      </c>
      <c r="CF2312" s="319" t="str">
        <f t="shared" si="1479"/>
        <v/>
      </c>
      <c r="CG2312" s="319" t="str">
        <f t="shared" si="1479"/>
        <v/>
      </c>
      <c r="CH2312" s="319" t="str">
        <f t="shared" si="1479"/>
        <v/>
      </c>
      <c r="CI2312" s="319" t="str">
        <f t="shared" si="1479"/>
        <v/>
      </c>
      <c r="CJ2312" s="319" t="str">
        <f t="shared" si="1479"/>
        <v/>
      </c>
      <c r="CK2312" s="342">
        <f t="shared" si="182"/>
        <v>0</v>
      </c>
      <c r="CL2312" s="333">
        <f t="shared" si="183"/>
        <v>0</v>
      </c>
      <c r="CM2312" s="1079"/>
      <c r="CN2312" s="1005"/>
      <c r="CO2312" s="1005"/>
      <c r="CP2312" s="1005"/>
    </row>
    <row r="2313">
      <c r="A2313" s="1257"/>
      <c r="B2313" s="1113"/>
      <c r="C2313" s="1107"/>
      <c r="D2313" s="103"/>
      <c r="E2313" s="1137"/>
      <c r="F2313" s="112"/>
      <c r="G2313" s="1110"/>
      <c r="H2313" s="1138"/>
      <c r="I2313" s="1138"/>
      <c r="J2313" s="1139"/>
      <c r="K2313" s="1111"/>
      <c r="L2313" s="1112"/>
      <c r="M2313" s="1113"/>
      <c r="N2313" s="110"/>
      <c r="O2313" s="1140"/>
      <c r="P2313" s="1115"/>
      <c r="Q2313" s="1116"/>
      <c r="R2313" s="1141"/>
      <c r="S2313" s="1113"/>
      <c r="T2313" s="1143"/>
      <c r="U2313" s="1108"/>
      <c r="V2313" s="1108"/>
      <c r="W2313" s="1108"/>
      <c r="X2313" s="1108"/>
      <c r="Y2313" s="1108"/>
      <c r="Z2313" s="1114"/>
      <c r="AA2313" s="1114"/>
      <c r="AB2313" s="1114"/>
      <c r="AC2313" s="1117"/>
      <c r="AD2313" s="1115"/>
      <c r="AE2313" s="1115"/>
      <c r="AF2313" s="1115"/>
      <c r="AG2313" s="1115"/>
      <c r="AH2313" s="1115"/>
      <c r="AI2313" s="1115"/>
      <c r="AJ2313" s="1117"/>
      <c r="AK2313" s="1118"/>
      <c r="AL2313" s="1115"/>
      <c r="AM2313" s="1115"/>
      <c r="AN2313" s="1115"/>
      <c r="AO2313" s="1115"/>
      <c r="AP2313" s="1115"/>
      <c r="AQ2313" s="1115"/>
      <c r="AR2313" s="1115"/>
      <c r="AS2313" s="1117"/>
      <c r="AT2313" s="1196" t="str">
        <f t="shared" si="428"/>
        <v/>
      </c>
      <c r="AU2313" s="1193"/>
      <c r="AV2313" s="330">
        <f>SQRT(($R2313-Infrastructure!J$3)^2+($S2313-Infrastructure!K$3)^2)</f>
        <v>28.90155705</v>
      </c>
      <c r="AW2313" s="331">
        <f>SQRT(($R2313-Infrastructure!J$4)^2+($S2313-Infrastructure!K$4)^2)</f>
        <v>17.80252791</v>
      </c>
      <c r="AX2313" s="331">
        <f>SQRT(($R2313-Infrastructure!J$5)^2+($S2313-Infrastructure!K$5)^2)</f>
        <v>5.10881591</v>
      </c>
      <c r="AY2313" s="331">
        <f>SQRT(($R2313-Infrastructure!J$6)^2+($S2313-Infrastructure!K$6)^2)</f>
        <v>10.10445446</v>
      </c>
      <c r="AZ2313" s="331">
        <f>SQRT(($R2313-Infrastructure!J$7)^2+($S2313-Infrastructure!K$7)^2)</f>
        <v>20.502195</v>
      </c>
      <c r="BA2313" s="331">
        <f>SQRT(($R2313-Infrastructure!J$8)^2+($S2313-Infrastructure!K$8)^2)</f>
        <v>30.10149498</v>
      </c>
      <c r="BB2313" s="331">
        <f>SQRT(($R2313-Infrastructure!J$9)^2+($S2313-Infrastructure!K$9)^2)</f>
        <v>40.3238143</v>
      </c>
      <c r="BC2313" s="331">
        <f>SQRT(($R2313-Infrastructure!J$10)^2+($S2313-Infrastructure!K$10)^2)</f>
        <v>42.72001873</v>
      </c>
      <c r="BD2313" s="331">
        <f>SQRT(($R2313-Infrastructure!J$11)^2+($S2313-Infrastructure!K$11)^2)</f>
        <v>49.56853841</v>
      </c>
      <c r="BE2313" s="333">
        <f>SQRT(($R2313-Infrastructure!J$12)^2+($S2313-Infrastructure!K$12)^2)</f>
        <v>59.51890456</v>
      </c>
      <c r="BF2313" s="330">
        <f t="shared" si="161"/>
        <v>5.10881591</v>
      </c>
      <c r="BG2313" s="333">
        <f t="shared" si="162"/>
        <v>59.51890456</v>
      </c>
      <c r="BH2313" s="1119"/>
      <c r="BI2313" s="319" t="str">
        <f t="shared" ref="BI2313:BR2313" si="1480">IF(ISNUMBER(FIND(BI$3, $CO2313)), "Y", "")</f>
        <v/>
      </c>
      <c r="BJ2313" s="319" t="str">
        <f t="shared" si="1480"/>
        <v/>
      </c>
      <c r="BK2313" s="319" t="str">
        <f t="shared" si="1480"/>
        <v/>
      </c>
      <c r="BL2313" s="319" t="str">
        <f t="shared" si="1480"/>
        <v/>
      </c>
      <c r="BM2313" s="319" t="str">
        <f t="shared" si="1480"/>
        <v/>
      </c>
      <c r="BN2313" s="319" t="str">
        <f t="shared" si="1480"/>
        <v/>
      </c>
      <c r="BO2313" s="319" t="str">
        <f t="shared" si="1480"/>
        <v/>
      </c>
      <c r="BP2313" s="319" t="str">
        <f t="shared" si="1480"/>
        <v/>
      </c>
      <c r="BQ2313" s="319" t="str">
        <f t="shared" si="1480"/>
        <v/>
      </c>
      <c r="BR2313" s="319" t="str">
        <f t="shared" si="1480"/>
        <v/>
      </c>
      <c r="BS2313" s="330">
        <f t="shared" si="185"/>
        <v>0</v>
      </c>
      <c r="BT2313" s="331">
        <f t="shared" si="170"/>
        <v>0</v>
      </c>
      <c r="BU2313" s="920"/>
      <c r="BV2313" s="903" t="str">
        <f t="shared" si="1244"/>
        <v/>
      </c>
      <c r="BW2313" s="908"/>
      <c r="BX2313" s="908"/>
      <c r="BY2313" s="331" t="b">
        <f t="shared" si="201"/>
        <v>0</v>
      </c>
      <c r="BZ2313" s="331"/>
      <c r="CA2313" s="462" t="str">
        <f t="shared" ref="CA2313:CJ2313" si="1481">IF(ISNUMBER(FIND(BI$3, $CP2313)), "Y", "")</f>
        <v/>
      </c>
      <c r="CB2313" s="319" t="str">
        <f t="shared" si="1481"/>
        <v/>
      </c>
      <c r="CC2313" s="319" t="str">
        <f t="shared" si="1481"/>
        <v/>
      </c>
      <c r="CD2313" s="319" t="str">
        <f t="shared" si="1481"/>
        <v/>
      </c>
      <c r="CE2313" s="319" t="str">
        <f t="shared" si="1481"/>
        <v/>
      </c>
      <c r="CF2313" s="319" t="str">
        <f t="shared" si="1481"/>
        <v/>
      </c>
      <c r="CG2313" s="319" t="str">
        <f t="shared" si="1481"/>
        <v/>
      </c>
      <c r="CH2313" s="319" t="str">
        <f t="shared" si="1481"/>
        <v/>
      </c>
      <c r="CI2313" s="319" t="str">
        <f t="shared" si="1481"/>
        <v/>
      </c>
      <c r="CJ2313" s="319" t="str">
        <f t="shared" si="1481"/>
        <v/>
      </c>
      <c r="CK2313" s="342">
        <f t="shared" si="182"/>
        <v>0</v>
      </c>
      <c r="CL2313" s="333">
        <f t="shared" si="183"/>
        <v>0</v>
      </c>
      <c r="CM2313" s="1079"/>
      <c r="CN2313" s="1005"/>
      <c r="CO2313" s="1005"/>
      <c r="CP2313" s="1005"/>
    </row>
    <row r="2314">
      <c r="A2314" s="1257"/>
      <c r="B2314" s="1113"/>
      <c r="C2314" s="1107"/>
      <c r="D2314" s="103"/>
      <c r="E2314" s="1137"/>
      <c r="F2314" s="112"/>
      <c r="G2314" s="1110"/>
      <c r="H2314" s="1138"/>
      <c r="I2314" s="1138"/>
      <c r="J2314" s="1139"/>
      <c r="K2314" s="1111"/>
      <c r="L2314" s="1112"/>
      <c r="M2314" s="1113"/>
      <c r="N2314" s="110"/>
      <c r="O2314" s="1140"/>
      <c r="P2314" s="1115"/>
      <c r="Q2314" s="1116"/>
      <c r="R2314" s="1141"/>
      <c r="S2314" s="1113"/>
      <c r="T2314" s="1143"/>
      <c r="U2314" s="1108"/>
      <c r="V2314" s="1108"/>
      <c r="W2314" s="1108"/>
      <c r="X2314" s="1108"/>
      <c r="Y2314" s="1108"/>
      <c r="Z2314" s="1114"/>
      <c r="AA2314" s="1114"/>
      <c r="AB2314" s="1114"/>
      <c r="AC2314" s="1117"/>
      <c r="AD2314" s="1115"/>
      <c r="AE2314" s="1115"/>
      <c r="AF2314" s="1115"/>
      <c r="AG2314" s="1115"/>
      <c r="AH2314" s="1115"/>
      <c r="AI2314" s="1115"/>
      <c r="AJ2314" s="1117"/>
      <c r="AK2314" s="1118"/>
      <c r="AL2314" s="1115"/>
      <c r="AM2314" s="1115"/>
      <c r="AN2314" s="1115"/>
      <c r="AO2314" s="1115"/>
      <c r="AP2314" s="1115"/>
      <c r="AQ2314" s="1115"/>
      <c r="AR2314" s="1115"/>
      <c r="AS2314" s="1117"/>
      <c r="AT2314" s="1196" t="str">
        <f t="shared" si="428"/>
        <v/>
      </c>
      <c r="AU2314" s="1193"/>
      <c r="AV2314" s="330">
        <f>SQRT(($R2314-Infrastructure!J$3)^2+($S2314-Infrastructure!K$3)^2)</f>
        <v>28.90155705</v>
      </c>
      <c r="AW2314" s="331">
        <f>SQRT(($R2314-Infrastructure!J$4)^2+($S2314-Infrastructure!K$4)^2)</f>
        <v>17.80252791</v>
      </c>
      <c r="AX2314" s="331">
        <f>SQRT(($R2314-Infrastructure!J$5)^2+($S2314-Infrastructure!K$5)^2)</f>
        <v>5.10881591</v>
      </c>
      <c r="AY2314" s="331">
        <f>SQRT(($R2314-Infrastructure!J$6)^2+($S2314-Infrastructure!K$6)^2)</f>
        <v>10.10445446</v>
      </c>
      <c r="AZ2314" s="331">
        <f>SQRT(($R2314-Infrastructure!J$7)^2+($S2314-Infrastructure!K$7)^2)</f>
        <v>20.502195</v>
      </c>
      <c r="BA2314" s="331">
        <f>SQRT(($R2314-Infrastructure!J$8)^2+($S2314-Infrastructure!K$8)^2)</f>
        <v>30.10149498</v>
      </c>
      <c r="BB2314" s="331">
        <f>SQRT(($R2314-Infrastructure!J$9)^2+($S2314-Infrastructure!K$9)^2)</f>
        <v>40.3238143</v>
      </c>
      <c r="BC2314" s="331">
        <f>SQRT(($R2314-Infrastructure!J$10)^2+($S2314-Infrastructure!K$10)^2)</f>
        <v>42.72001873</v>
      </c>
      <c r="BD2314" s="331">
        <f>SQRT(($R2314-Infrastructure!J$11)^2+($S2314-Infrastructure!K$11)^2)</f>
        <v>49.56853841</v>
      </c>
      <c r="BE2314" s="333">
        <f>SQRT(($R2314-Infrastructure!J$12)^2+($S2314-Infrastructure!K$12)^2)</f>
        <v>59.51890456</v>
      </c>
      <c r="BF2314" s="330">
        <f t="shared" si="161"/>
        <v>5.10881591</v>
      </c>
      <c r="BG2314" s="333">
        <f t="shared" si="162"/>
        <v>59.51890456</v>
      </c>
      <c r="BH2314" s="1119"/>
      <c r="BI2314" s="319" t="str">
        <f t="shared" ref="BI2314:BR2314" si="1482">IF(ISNUMBER(FIND(BI$3, $CO2314)), "Y", "")</f>
        <v/>
      </c>
      <c r="BJ2314" s="319" t="str">
        <f t="shared" si="1482"/>
        <v/>
      </c>
      <c r="BK2314" s="319" t="str">
        <f t="shared" si="1482"/>
        <v/>
      </c>
      <c r="BL2314" s="319" t="str">
        <f t="shared" si="1482"/>
        <v/>
      </c>
      <c r="BM2314" s="319" t="str">
        <f t="shared" si="1482"/>
        <v/>
      </c>
      <c r="BN2314" s="319" t="str">
        <f t="shared" si="1482"/>
        <v/>
      </c>
      <c r="BO2314" s="319" t="str">
        <f t="shared" si="1482"/>
        <v/>
      </c>
      <c r="BP2314" s="319" t="str">
        <f t="shared" si="1482"/>
        <v/>
      </c>
      <c r="BQ2314" s="319" t="str">
        <f t="shared" si="1482"/>
        <v/>
      </c>
      <c r="BR2314" s="319" t="str">
        <f t="shared" si="1482"/>
        <v/>
      </c>
      <c r="BS2314" s="330">
        <f t="shared" si="185"/>
        <v>0</v>
      </c>
      <c r="BT2314" s="331">
        <f t="shared" si="170"/>
        <v>0</v>
      </c>
      <c r="BU2314" s="920"/>
      <c r="BV2314" s="903" t="str">
        <f t="shared" si="1244"/>
        <v/>
      </c>
      <c r="BW2314" s="908"/>
      <c r="BX2314" s="908"/>
      <c r="BY2314" s="331" t="b">
        <f t="shared" si="201"/>
        <v>0</v>
      </c>
      <c r="BZ2314" s="331"/>
      <c r="CA2314" s="462" t="str">
        <f t="shared" ref="CA2314:CJ2314" si="1483">IF(ISNUMBER(FIND(BI$3, $CP2314)), "Y", "")</f>
        <v/>
      </c>
      <c r="CB2314" s="319" t="str">
        <f t="shared" si="1483"/>
        <v/>
      </c>
      <c r="CC2314" s="319" t="str">
        <f t="shared" si="1483"/>
        <v/>
      </c>
      <c r="CD2314" s="319" t="str">
        <f t="shared" si="1483"/>
        <v/>
      </c>
      <c r="CE2314" s="319" t="str">
        <f t="shared" si="1483"/>
        <v/>
      </c>
      <c r="CF2314" s="319" t="str">
        <f t="shared" si="1483"/>
        <v/>
      </c>
      <c r="CG2314" s="319" t="str">
        <f t="shared" si="1483"/>
        <v/>
      </c>
      <c r="CH2314" s="319" t="str">
        <f t="shared" si="1483"/>
        <v/>
      </c>
      <c r="CI2314" s="319" t="str">
        <f t="shared" si="1483"/>
        <v/>
      </c>
      <c r="CJ2314" s="319" t="str">
        <f t="shared" si="1483"/>
        <v/>
      </c>
      <c r="CK2314" s="342">
        <f t="shared" si="182"/>
        <v>0</v>
      </c>
      <c r="CL2314" s="333">
        <f t="shared" si="183"/>
        <v>0</v>
      </c>
      <c r="CM2314" s="1079"/>
      <c r="CN2314" s="1005"/>
      <c r="CO2314" s="1005"/>
      <c r="CP2314" s="1005"/>
    </row>
    <row r="2315">
      <c r="A2315" s="1257"/>
      <c r="B2315" s="1113"/>
      <c r="C2315" s="1107"/>
      <c r="D2315" s="103"/>
      <c r="E2315" s="1137"/>
      <c r="F2315" s="112"/>
      <c r="G2315" s="1110"/>
      <c r="H2315" s="1138"/>
      <c r="I2315" s="1138"/>
      <c r="J2315" s="1139"/>
      <c r="K2315" s="1111"/>
      <c r="L2315" s="1112"/>
      <c r="M2315" s="1113"/>
      <c r="N2315" s="110"/>
      <c r="O2315" s="1140"/>
      <c r="P2315" s="1115"/>
      <c r="Q2315" s="1116"/>
      <c r="R2315" s="1141"/>
      <c r="S2315" s="1113"/>
      <c r="T2315" s="1143"/>
      <c r="U2315" s="1108"/>
      <c r="V2315" s="1108"/>
      <c r="W2315" s="1108"/>
      <c r="X2315" s="1108"/>
      <c r="Y2315" s="1108"/>
      <c r="Z2315" s="1114"/>
      <c r="AA2315" s="1114"/>
      <c r="AB2315" s="1114"/>
      <c r="AC2315" s="1117"/>
      <c r="AD2315" s="1115"/>
      <c r="AE2315" s="1115"/>
      <c r="AF2315" s="1115"/>
      <c r="AG2315" s="1115"/>
      <c r="AH2315" s="1115"/>
      <c r="AI2315" s="1115"/>
      <c r="AJ2315" s="1117"/>
      <c r="AK2315" s="1118"/>
      <c r="AL2315" s="1115"/>
      <c r="AM2315" s="1115"/>
      <c r="AN2315" s="1115"/>
      <c r="AO2315" s="1115"/>
      <c r="AP2315" s="1115"/>
      <c r="AQ2315" s="1115"/>
      <c r="AR2315" s="1115"/>
      <c r="AS2315" s="1117"/>
      <c r="AT2315" s="1196" t="str">
        <f t="shared" si="428"/>
        <v/>
      </c>
      <c r="AU2315" s="1193"/>
      <c r="AV2315" s="330">
        <f>SQRT(($R2315-Infrastructure!J$3)^2+($S2315-Infrastructure!K$3)^2)</f>
        <v>28.90155705</v>
      </c>
      <c r="AW2315" s="331">
        <f>SQRT(($R2315-Infrastructure!J$4)^2+($S2315-Infrastructure!K$4)^2)</f>
        <v>17.80252791</v>
      </c>
      <c r="AX2315" s="331">
        <f>SQRT(($R2315-Infrastructure!J$5)^2+($S2315-Infrastructure!K$5)^2)</f>
        <v>5.10881591</v>
      </c>
      <c r="AY2315" s="331">
        <f>SQRT(($R2315-Infrastructure!J$6)^2+($S2315-Infrastructure!K$6)^2)</f>
        <v>10.10445446</v>
      </c>
      <c r="AZ2315" s="331">
        <f>SQRT(($R2315-Infrastructure!J$7)^2+($S2315-Infrastructure!K$7)^2)</f>
        <v>20.502195</v>
      </c>
      <c r="BA2315" s="331">
        <f>SQRT(($R2315-Infrastructure!J$8)^2+($S2315-Infrastructure!K$8)^2)</f>
        <v>30.10149498</v>
      </c>
      <c r="BB2315" s="331">
        <f>SQRT(($R2315-Infrastructure!J$9)^2+($S2315-Infrastructure!K$9)^2)</f>
        <v>40.3238143</v>
      </c>
      <c r="BC2315" s="331">
        <f>SQRT(($R2315-Infrastructure!J$10)^2+($S2315-Infrastructure!K$10)^2)</f>
        <v>42.72001873</v>
      </c>
      <c r="BD2315" s="331">
        <f>SQRT(($R2315-Infrastructure!J$11)^2+($S2315-Infrastructure!K$11)^2)</f>
        <v>49.56853841</v>
      </c>
      <c r="BE2315" s="333">
        <f>SQRT(($R2315-Infrastructure!J$12)^2+($S2315-Infrastructure!K$12)^2)</f>
        <v>59.51890456</v>
      </c>
      <c r="BF2315" s="330">
        <f t="shared" si="161"/>
        <v>5.10881591</v>
      </c>
      <c r="BG2315" s="333">
        <f t="shared" si="162"/>
        <v>59.51890456</v>
      </c>
      <c r="BH2315" s="1119"/>
      <c r="BI2315" s="319" t="str">
        <f t="shared" ref="BI2315:BR2315" si="1484">IF(ISNUMBER(FIND(BI$3, $CO2315)), "Y", "")</f>
        <v/>
      </c>
      <c r="BJ2315" s="319" t="str">
        <f t="shared" si="1484"/>
        <v/>
      </c>
      <c r="BK2315" s="319" t="str">
        <f t="shared" si="1484"/>
        <v/>
      </c>
      <c r="BL2315" s="319" t="str">
        <f t="shared" si="1484"/>
        <v/>
      </c>
      <c r="BM2315" s="319" t="str">
        <f t="shared" si="1484"/>
        <v/>
      </c>
      <c r="BN2315" s="319" t="str">
        <f t="shared" si="1484"/>
        <v/>
      </c>
      <c r="BO2315" s="319" t="str">
        <f t="shared" si="1484"/>
        <v/>
      </c>
      <c r="BP2315" s="319" t="str">
        <f t="shared" si="1484"/>
        <v/>
      </c>
      <c r="BQ2315" s="319" t="str">
        <f t="shared" si="1484"/>
        <v/>
      </c>
      <c r="BR2315" s="319" t="str">
        <f t="shared" si="1484"/>
        <v/>
      </c>
      <c r="BS2315" s="330">
        <f t="shared" si="185"/>
        <v>0</v>
      </c>
      <c r="BT2315" s="331">
        <f t="shared" si="170"/>
        <v>0</v>
      </c>
      <c r="BU2315" s="920"/>
      <c r="BV2315" s="903" t="str">
        <f t="shared" si="1244"/>
        <v/>
      </c>
      <c r="BW2315" s="908"/>
      <c r="BX2315" s="908"/>
      <c r="BY2315" s="331" t="b">
        <f t="shared" si="201"/>
        <v>0</v>
      </c>
      <c r="BZ2315" s="331"/>
      <c r="CA2315" s="462" t="str">
        <f t="shared" ref="CA2315:CJ2315" si="1485">IF(ISNUMBER(FIND(BI$3, $CP2315)), "Y", "")</f>
        <v/>
      </c>
      <c r="CB2315" s="319" t="str">
        <f t="shared" si="1485"/>
        <v/>
      </c>
      <c r="CC2315" s="319" t="str">
        <f t="shared" si="1485"/>
        <v/>
      </c>
      <c r="CD2315" s="319" t="str">
        <f t="shared" si="1485"/>
        <v/>
      </c>
      <c r="CE2315" s="319" t="str">
        <f t="shared" si="1485"/>
        <v/>
      </c>
      <c r="CF2315" s="319" t="str">
        <f t="shared" si="1485"/>
        <v/>
      </c>
      <c r="CG2315" s="319" t="str">
        <f t="shared" si="1485"/>
        <v/>
      </c>
      <c r="CH2315" s="319" t="str">
        <f t="shared" si="1485"/>
        <v/>
      </c>
      <c r="CI2315" s="319" t="str">
        <f t="shared" si="1485"/>
        <v/>
      </c>
      <c r="CJ2315" s="319" t="str">
        <f t="shared" si="1485"/>
        <v/>
      </c>
      <c r="CK2315" s="342">
        <f t="shared" si="182"/>
        <v>0</v>
      </c>
      <c r="CL2315" s="333">
        <f t="shared" si="183"/>
        <v>0</v>
      </c>
      <c r="CM2315" s="1079"/>
      <c r="CN2315" s="1005"/>
      <c r="CO2315" s="1005"/>
      <c r="CP2315" s="1005"/>
    </row>
    <row r="2316">
      <c r="A2316" s="1257"/>
      <c r="B2316" s="1113"/>
      <c r="C2316" s="1107"/>
      <c r="D2316" s="103"/>
      <c r="E2316" s="1137"/>
      <c r="F2316" s="112"/>
      <c r="G2316" s="1110"/>
      <c r="H2316" s="1138"/>
      <c r="I2316" s="1138"/>
      <c r="J2316" s="1139"/>
      <c r="K2316" s="1111"/>
      <c r="L2316" s="1112"/>
      <c r="M2316" s="1113"/>
      <c r="N2316" s="110"/>
      <c r="O2316" s="1140"/>
      <c r="P2316" s="1115"/>
      <c r="Q2316" s="1116"/>
      <c r="R2316" s="1141"/>
      <c r="S2316" s="1113"/>
      <c r="T2316" s="1143"/>
      <c r="U2316" s="1108"/>
      <c r="V2316" s="1108"/>
      <c r="W2316" s="1108"/>
      <c r="X2316" s="1108"/>
      <c r="Y2316" s="1108"/>
      <c r="Z2316" s="1114"/>
      <c r="AA2316" s="1114"/>
      <c r="AB2316" s="1114"/>
      <c r="AC2316" s="1117"/>
      <c r="AD2316" s="1115"/>
      <c r="AE2316" s="1115"/>
      <c r="AF2316" s="1115"/>
      <c r="AG2316" s="1115"/>
      <c r="AH2316" s="1115"/>
      <c r="AI2316" s="1115"/>
      <c r="AJ2316" s="1117"/>
      <c r="AK2316" s="1118"/>
      <c r="AL2316" s="1115"/>
      <c r="AM2316" s="1115"/>
      <c r="AN2316" s="1115"/>
      <c r="AO2316" s="1115"/>
      <c r="AP2316" s="1115"/>
      <c r="AQ2316" s="1115"/>
      <c r="AR2316" s="1115"/>
      <c r="AS2316" s="1117"/>
      <c r="AT2316" s="1196" t="str">
        <f t="shared" si="428"/>
        <v/>
      </c>
      <c r="AU2316" s="1193"/>
      <c r="AV2316" s="330">
        <f>SQRT(($R2316-Infrastructure!J$3)^2+($S2316-Infrastructure!K$3)^2)</f>
        <v>28.90155705</v>
      </c>
      <c r="AW2316" s="331">
        <f>SQRT(($R2316-Infrastructure!J$4)^2+($S2316-Infrastructure!K$4)^2)</f>
        <v>17.80252791</v>
      </c>
      <c r="AX2316" s="331">
        <f>SQRT(($R2316-Infrastructure!J$5)^2+($S2316-Infrastructure!K$5)^2)</f>
        <v>5.10881591</v>
      </c>
      <c r="AY2316" s="331">
        <f>SQRT(($R2316-Infrastructure!J$6)^2+($S2316-Infrastructure!K$6)^2)</f>
        <v>10.10445446</v>
      </c>
      <c r="AZ2316" s="331">
        <f>SQRT(($R2316-Infrastructure!J$7)^2+($S2316-Infrastructure!K$7)^2)</f>
        <v>20.502195</v>
      </c>
      <c r="BA2316" s="331">
        <f>SQRT(($R2316-Infrastructure!J$8)^2+($S2316-Infrastructure!K$8)^2)</f>
        <v>30.10149498</v>
      </c>
      <c r="BB2316" s="331">
        <f>SQRT(($R2316-Infrastructure!J$9)^2+($S2316-Infrastructure!K$9)^2)</f>
        <v>40.3238143</v>
      </c>
      <c r="BC2316" s="331">
        <f>SQRT(($R2316-Infrastructure!J$10)^2+($S2316-Infrastructure!K$10)^2)</f>
        <v>42.72001873</v>
      </c>
      <c r="BD2316" s="331">
        <f>SQRT(($R2316-Infrastructure!J$11)^2+($S2316-Infrastructure!K$11)^2)</f>
        <v>49.56853841</v>
      </c>
      <c r="BE2316" s="333">
        <f>SQRT(($R2316-Infrastructure!J$12)^2+($S2316-Infrastructure!K$12)^2)</f>
        <v>59.51890456</v>
      </c>
      <c r="BF2316" s="330">
        <f t="shared" si="161"/>
        <v>5.10881591</v>
      </c>
      <c r="BG2316" s="333">
        <f t="shared" si="162"/>
        <v>59.51890456</v>
      </c>
      <c r="BH2316" s="1119"/>
      <c r="BI2316" s="319" t="str">
        <f t="shared" ref="BI2316:BR2316" si="1486">IF(ISNUMBER(FIND(BI$3, $CO2316)), "Y", "")</f>
        <v/>
      </c>
      <c r="BJ2316" s="319" t="str">
        <f t="shared" si="1486"/>
        <v/>
      </c>
      <c r="BK2316" s="319" t="str">
        <f t="shared" si="1486"/>
        <v/>
      </c>
      <c r="BL2316" s="319" t="str">
        <f t="shared" si="1486"/>
        <v/>
      </c>
      <c r="BM2316" s="319" t="str">
        <f t="shared" si="1486"/>
        <v/>
      </c>
      <c r="BN2316" s="319" t="str">
        <f t="shared" si="1486"/>
        <v/>
      </c>
      <c r="BO2316" s="319" t="str">
        <f t="shared" si="1486"/>
        <v/>
      </c>
      <c r="BP2316" s="319" t="str">
        <f t="shared" si="1486"/>
        <v/>
      </c>
      <c r="BQ2316" s="319" t="str">
        <f t="shared" si="1486"/>
        <v/>
      </c>
      <c r="BR2316" s="319" t="str">
        <f t="shared" si="1486"/>
        <v/>
      </c>
      <c r="BS2316" s="330">
        <f t="shared" si="185"/>
        <v>0</v>
      </c>
      <c r="BT2316" s="331">
        <f t="shared" si="170"/>
        <v>0</v>
      </c>
      <c r="BU2316" s="920"/>
      <c r="BV2316" s="903" t="str">
        <f t="shared" si="1244"/>
        <v/>
      </c>
      <c r="BW2316" s="908"/>
      <c r="BX2316" s="908"/>
      <c r="BY2316" s="331" t="b">
        <f t="shared" si="201"/>
        <v>0</v>
      </c>
      <c r="BZ2316" s="331"/>
      <c r="CA2316" s="462" t="str">
        <f t="shared" ref="CA2316:CJ2316" si="1487">IF(ISNUMBER(FIND(BI$3, $CP2316)), "Y", "")</f>
        <v/>
      </c>
      <c r="CB2316" s="319" t="str">
        <f t="shared" si="1487"/>
        <v/>
      </c>
      <c r="CC2316" s="319" t="str">
        <f t="shared" si="1487"/>
        <v/>
      </c>
      <c r="CD2316" s="319" t="str">
        <f t="shared" si="1487"/>
        <v/>
      </c>
      <c r="CE2316" s="319" t="str">
        <f t="shared" si="1487"/>
        <v/>
      </c>
      <c r="CF2316" s="319" t="str">
        <f t="shared" si="1487"/>
        <v/>
      </c>
      <c r="CG2316" s="319" t="str">
        <f t="shared" si="1487"/>
        <v/>
      </c>
      <c r="CH2316" s="319" t="str">
        <f t="shared" si="1487"/>
        <v/>
      </c>
      <c r="CI2316" s="319" t="str">
        <f t="shared" si="1487"/>
        <v/>
      </c>
      <c r="CJ2316" s="319" t="str">
        <f t="shared" si="1487"/>
        <v/>
      </c>
      <c r="CK2316" s="342">
        <f t="shared" si="182"/>
        <v>0</v>
      </c>
      <c r="CL2316" s="333">
        <f t="shared" si="183"/>
        <v>0</v>
      </c>
      <c r="CM2316" s="1079"/>
      <c r="CN2316" s="1005"/>
      <c r="CO2316" s="1005"/>
      <c r="CP2316" s="1005"/>
    </row>
    <row r="2317">
      <c r="A2317" s="1257"/>
      <c r="B2317" s="1113"/>
      <c r="C2317" s="1107"/>
      <c r="D2317" s="103"/>
      <c r="E2317" s="1137"/>
      <c r="F2317" s="112"/>
      <c r="G2317" s="1110"/>
      <c r="H2317" s="1138"/>
      <c r="I2317" s="1138"/>
      <c r="J2317" s="1139"/>
      <c r="K2317" s="1111"/>
      <c r="L2317" s="1112"/>
      <c r="M2317" s="1113"/>
      <c r="N2317" s="110"/>
      <c r="O2317" s="1140"/>
      <c r="P2317" s="1115"/>
      <c r="Q2317" s="1116"/>
      <c r="R2317" s="1141"/>
      <c r="S2317" s="1113"/>
      <c r="T2317" s="1143"/>
      <c r="U2317" s="1108"/>
      <c r="V2317" s="1108"/>
      <c r="W2317" s="1108"/>
      <c r="X2317" s="1108"/>
      <c r="Y2317" s="1108"/>
      <c r="Z2317" s="1114"/>
      <c r="AA2317" s="1114"/>
      <c r="AB2317" s="1114"/>
      <c r="AC2317" s="1117"/>
      <c r="AD2317" s="1115"/>
      <c r="AE2317" s="1115"/>
      <c r="AF2317" s="1115"/>
      <c r="AG2317" s="1115"/>
      <c r="AH2317" s="1115"/>
      <c r="AI2317" s="1115"/>
      <c r="AJ2317" s="1117"/>
      <c r="AK2317" s="1118"/>
      <c r="AL2317" s="1115"/>
      <c r="AM2317" s="1115"/>
      <c r="AN2317" s="1115"/>
      <c r="AO2317" s="1115"/>
      <c r="AP2317" s="1115"/>
      <c r="AQ2317" s="1115"/>
      <c r="AR2317" s="1115"/>
      <c r="AS2317" s="1117"/>
      <c r="AT2317" s="1196" t="str">
        <f t="shared" si="428"/>
        <v/>
      </c>
      <c r="AU2317" s="1193"/>
      <c r="AV2317" s="330">
        <f>SQRT(($R2317-Infrastructure!J$3)^2+($S2317-Infrastructure!K$3)^2)</f>
        <v>28.90155705</v>
      </c>
      <c r="AW2317" s="331">
        <f>SQRT(($R2317-Infrastructure!J$4)^2+($S2317-Infrastructure!K$4)^2)</f>
        <v>17.80252791</v>
      </c>
      <c r="AX2317" s="331">
        <f>SQRT(($R2317-Infrastructure!J$5)^2+($S2317-Infrastructure!K$5)^2)</f>
        <v>5.10881591</v>
      </c>
      <c r="AY2317" s="331">
        <f>SQRT(($R2317-Infrastructure!J$6)^2+($S2317-Infrastructure!K$6)^2)</f>
        <v>10.10445446</v>
      </c>
      <c r="AZ2317" s="331">
        <f>SQRT(($R2317-Infrastructure!J$7)^2+($S2317-Infrastructure!K$7)^2)</f>
        <v>20.502195</v>
      </c>
      <c r="BA2317" s="331">
        <f>SQRT(($R2317-Infrastructure!J$8)^2+($S2317-Infrastructure!K$8)^2)</f>
        <v>30.10149498</v>
      </c>
      <c r="BB2317" s="331">
        <f>SQRT(($R2317-Infrastructure!J$9)^2+($S2317-Infrastructure!K$9)^2)</f>
        <v>40.3238143</v>
      </c>
      <c r="BC2317" s="331">
        <f>SQRT(($R2317-Infrastructure!J$10)^2+($S2317-Infrastructure!K$10)^2)</f>
        <v>42.72001873</v>
      </c>
      <c r="BD2317" s="331">
        <f>SQRT(($R2317-Infrastructure!J$11)^2+($S2317-Infrastructure!K$11)^2)</f>
        <v>49.56853841</v>
      </c>
      <c r="BE2317" s="333">
        <f>SQRT(($R2317-Infrastructure!J$12)^2+($S2317-Infrastructure!K$12)^2)</f>
        <v>59.51890456</v>
      </c>
      <c r="BF2317" s="330">
        <f t="shared" si="161"/>
        <v>5.10881591</v>
      </c>
      <c r="BG2317" s="333">
        <f t="shared" si="162"/>
        <v>59.51890456</v>
      </c>
      <c r="BH2317" s="1119"/>
      <c r="BI2317" s="319" t="str">
        <f t="shared" ref="BI2317:BR2317" si="1488">IF(ISNUMBER(FIND(BI$3, $CO2317)), "Y", "")</f>
        <v/>
      </c>
      <c r="BJ2317" s="319" t="str">
        <f t="shared" si="1488"/>
        <v/>
      </c>
      <c r="BK2317" s="319" t="str">
        <f t="shared" si="1488"/>
        <v/>
      </c>
      <c r="BL2317" s="319" t="str">
        <f t="shared" si="1488"/>
        <v/>
      </c>
      <c r="BM2317" s="319" t="str">
        <f t="shared" si="1488"/>
        <v/>
      </c>
      <c r="BN2317" s="319" t="str">
        <f t="shared" si="1488"/>
        <v/>
      </c>
      <c r="BO2317" s="319" t="str">
        <f t="shared" si="1488"/>
        <v/>
      </c>
      <c r="BP2317" s="319" t="str">
        <f t="shared" si="1488"/>
        <v/>
      </c>
      <c r="BQ2317" s="319" t="str">
        <f t="shared" si="1488"/>
        <v/>
      </c>
      <c r="BR2317" s="319" t="str">
        <f t="shared" si="1488"/>
        <v/>
      </c>
      <c r="BS2317" s="330">
        <f t="shared" si="185"/>
        <v>0</v>
      </c>
      <c r="BT2317" s="331">
        <f t="shared" si="170"/>
        <v>0</v>
      </c>
      <c r="BU2317" s="920"/>
      <c r="BV2317" s="903" t="str">
        <f t="shared" si="1244"/>
        <v/>
      </c>
      <c r="BW2317" s="908"/>
      <c r="BX2317" s="908"/>
      <c r="BY2317" s="331" t="b">
        <f t="shared" si="201"/>
        <v>0</v>
      </c>
      <c r="BZ2317" s="331"/>
      <c r="CA2317" s="462" t="str">
        <f t="shared" ref="CA2317:CJ2317" si="1489">IF(ISNUMBER(FIND(BI$3, $CP2317)), "Y", "")</f>
        <v/>
      </c>
      <c r="CB2317" s="319" t="str">
        <f t="shared" si="1489"/>
        <v/>
      </c>
      <c r="CC2317" s="319" t="str">
        <f t="shared" si="1489"/>
        <v/>
      </c>
      <c r="CD2317" s="319" t="str">
        <f t="shared" si="1489"/>
        <v/>
      </c>
      <c r="CE2317" s="319" t="str">
        <f t="shared" si="1489"/>
        <v/>
      </c>
      <c r="CF2317" s="319" t="str">
        <f t="shared" si="1489"/>
        <v/>
      </c>
      <c r="CG2317" s="319" t="str">
        <f t="shared" si="1489"/>
        <v/>
      </c>
      <c r="CH2317" s="319" t="str">
        <f t="shared" si="1489"/>
        <v/>
      </c>
      <c r="CI2317" s="319" t="str">
        <f t="shared" si="1489"/>
        <v/>
      </c>
      <c r="CJ2317" s="319" t="str">
        <f t="shared" si="1489"/>
        <v/>
      </c>
      <c r="CK2317" s="342">
        <f t="shared" si="182"/>
        <v>0</v>
      </c>
      <c r="CL2317" s="333">
        <f t="shared" si="183"/>
        <v>0</v>
      </c>
      <c r="CM2317" s="1079"/>
      <c r="CN2317" s="1005"/>
      <c r="CO2317" s="1005"/>
      <c r="CP2317" s="1005"/>
    </row>
    <row r="2318">
      <c r="A2318" s="1257"/>
      <c r="B2318" s="1113"/>
      <c r="C2318" s="1107"/>
      <c r="D2318" s="103"/>
      <c r="E2318" s="1137"/>
      <c r="F2318" s="112"/>
      <c r="G2318" s="1110"/>
      <c r="H2318" s="1138"/>
      <c r="I2318" s="1138"/>
      <c r="J2318" s="1139"/>
      <c r="K2318" s="1111"/>
      <c r="L2318" s="1112"/>
      <c r="M2318" s="1113"/>
      <c r="N2318" s="110"/>
      <c r="O2318" s="1140"/>
      <c r="P2318" s="1115"/>
      <c r="Q2318" s="1116"/>
      <c r="R2318" s="1141"/>
      <c r="S2318" s="1113"/>
      <c r="T2318" s="1143"/>
      <c r="U2318" s="1108"/>
      <c r="V2318" s="1108"/>
      <c r="W2318" s="1108"/>
      <c r="X2318" s="1108"/>
      <c r="Y2318" s="1108"/>
      <c r="Z2318" s="1114"/>
      <c r="AA2318" s="1114"/>
      <c r="AB2318" s="1114"/>
      <c r="AC2318" s="1117"/>
      <c r="AD2318" s="1115"/>
      <c r="AE2318" s="1115"/>
      <c r="AF2318" s="1115"/>
      <c r="AG2318" s="1115"/>
      <c r="AH2318" s="1115"/>
      <c r="AI2318" s="1115"/>
      <c r="AJ2318" s="1117"/>
      <c r="AK2318" s="1118"/>
      <c r="AL2318" s="1115"/>
      <c r="AM2318" s="1115"/>
      <c r="AN2318" s="1115"/>
      <c r="AO2318" s="1115"/>
      <c r="AP2318" s="1115"/>
      <c r="AQ2318" s="1115"/>
      <c r="AR2318" s="1115"/>
      <c r="AS2318" s="1117"/>
      <c r="AT2318" s="1196" t="str">
        <f t="shared" si="428"/>
        <v/>
      </c>
      <c r="AU2318" s="1193"/>
      <c r="AV2318" s="330">
        <f>SQRT(($R2318-Infrastructure!J$3)^2+($S2318-Infrastructure!K$3)^2)</f>
        <v>28.90155705</v>
      </c>
      <c r="AW2318" s="331">
        <f>SQRT(($R2318-Infrastructure!J$4)^2+($S2318-Infrastructure!K$4)^2)</f>
        <v>17.80252791</v>
      </c>
      <c r="AX2318" s="331">
        <f>SQRT(($R2318-Infrastructure!J$5)^2+($S2318-Infrastructure!K$5)^2)</f>
        <v>5.10881591</v>
      </c>
      <c r="AY2318" s="331">
        <f>SQRT(($R2318-Infrastructure!J$6)^2+($S2318-Infrastructure!K$6)^2)</f>
        <v>10.10445446</v>
      </c>
      <c r="AZ2318" s="331">
        <f>SQRT(($R2318-Infrastructure!J$7)^2+($S2318-Infrastructure!K$7)^2)</f>
        <v>20.502195</v>
      </c>
      <c r="BA2318" s="331">
        <f>SQRT(($R2318-Infrastructure!J$8)^2+($S2318-Infrastructure!K$8)^2)</f>
        <v>30.10149498</v>
      </c>
      <c r="BB2318" s="331">
        <f>SQRT(($R2318-Infrastructure!J$9)^2+($S2318-Infrastructure!K$9)^2)</f>
        <v>40.3238143</v>
      </c>
      <c r="BC2318" s="331">
        <f>SQRT(($R2318-Infrastructure!J$10)^2+($S2318-Infrastructure!K$10)^2)</f>
        <v>42.72001873</v>
      </c>
      <c r="BD2318" s="331">
        <f>SQRT(($R2318-Infrastructure!J$11)^2+($S2318-Infrastructure!K$11)^2)</f>
        <v>49.56853841</v>
      </c>
      <c r="BE2318" s="333">
        <f>SQRT(($R2318-Infrastructure!J$12)^2+($S2318-Infrastructure!K$12)^2)</f>
        <v>59.51890456</v>
      </c>
      <c r="BF2318" s="330">
        <f t="shared" si="161"/>
        <v>5.10881591</v>
      </c>
      <c r="BG2318" s="333">
        <f t="shared" si="162"/>
        <v>59.51890456</v>
      </c>
      <c r="BH2318" s="1119"/>
      <c r="BI2318" s="319" t="str">
        <f t="shared" ref="BI2318:BR2318" si="1490">IF(ISNUMBER(FIND(BI$3, $CO2318)), "Y", "")</f>
        <v/>
      </c>
      <c r="BJ2318" s="319" t="str">
        <f t="shared" si="1490"/>
        <v/>
      </c>
      <c r="BK2318" s="319" t="str">
        <f t="shared" si="1490"/>
        <v/>
      </c>
      <c r="BL2318" s="319" t="str">
        <f t="shared" si="1490"/>
        <v/>
      </c>
      <c r="BM2318" s="319" t="str">
        <f t="shared" si="1490"/>
        <v/>
      </c>
      <c r="BN2318" s="319" t="str">
        <f t="shared" si="1490"/>
        <v/>
      </c>
      <c r="BO2318" s="319" t="str">
        <f t="shared" si="1490"/>
        <v/>
      </c>
      <c r="BP2318" s="319" t="str">
        <f t="shared" si="1490"/>
        <v/>
      </c>
      <c r="BQ2318" s="319" t="str">
        <f t="shared" si="1490"/>
        <v/>
      </c>
      <c r="BR2318" s="319" t="str">
        <f t="shared" si="1490"/>
        <v/>
      </c>
      <c r="BS2318" s="330">
        <f t="shared" si="185"/>
        <v>0</v>
      </c>
      <c r="BT2318" s="331">
        <f t="shared" si="170"/>
        <v>0</v>
      </c>
      <c r="BU2318" s="920"/>
      <c r="BV2318" s="903" t="str">
        <f t="shared" si="1244"/>
        <v/>
      </c>
      <c r="BW2318" s="908"/>
      <c r="BX2318" s="908"/>
      <c r="BY2318" s="331" t="b">
        <f t="shared" si="201"/>
        <v>0</v>
      </c>
      <c r="BZ2318" s="331"/>
      <c r="CA2318" s="462" t="str">
        <f t="shared" ref="CA2318:CJ2318" si="1491">IF(ISNUMBER(FIND(BI$3, $CP2318)), "Y", "")</f>
        <v/>
      </c>
      <c r="CB2318" s="319" t="str">
        <f t="shared" si="1491"/>
        <v/>
      </c>
      <c r="CC2318" s="319" t="str">
        <f t="shared" si="1491"/>
        <v/>
      </c>
      <c r="CD2318" s="319" t="str">
        <f t="shared" si="1491"/>
        <v/>
      </c>
      <c r="CE2318" s="319" t="str">
        <f t="shared" si="1491"/>
        <v/>
      </c>
      <c r="CF2318" s="319" t="str">
        <f t="shared" si="1491"/>
        <v/>
      </c>
      <c r="CG2318" s="319" t="str">
        <f t="shared" si="1491"/>
        <v/>
      </c>
      <c r="CH2318" s="319" t="str">
        <f t="shared" si="1491"/>
        <v/>
      </c>
      <c r="CI2318" s="319" t="str">
        <f t="shared" si="1491"/>
        <v/>
      </c>
      <c r="CJ2318" s="319" t="str">
        <f t="shared" si="1491"/>
        <v/>
      </c>
      <c r="CK2318" s="342">
        <f t="shared" si="182"/>
        <v>0</v>
      </c>
      <c r="CL2318" s="333">
        <f t="shared" si="183"/>
        <v>0</v>
      </c>
      <c r="CM2318" s="1079"/>
      <c r="CN2318" s="1005"/>
      <c r="CO2318" s="1005"/>
      <c r="CP2318" s="1005"/>
    </row>
    <row r="2319">
      <c r="A2319" s="1257"/>
      <c r="B2319" s="1113"/>
      <c r="C2319" s="1107"/>
      <c r="D2319" s="103"/>
      <c r="E2319" s="1137"/>
      <c r="F2319" s="112"/>
      <c r="G2319" s="1110"/>
      <c r="H2319" s="1138"/>
      <c r="I2319" s="1138"/>
      <c r="J2319" s="1139"/>
      <c r="K2319" s="1111"/>
      <c r="L2319" s="1112"/>
      <c r="M2319" s="1113"/>
      <c r="N2319" s="110"/>
      <c r="O2319" s="1140"/>
      <c r="P2319" s="1115"/>
      <c r="Q2319" s="1116"/>
      <c r="R2319" s="1141"/>
      <c r="S2319" s="1113"/>
      <c r="T2319" s="1143"/>
      <c r="U2319" s="1108"/>
      <c r="V2319" s="1108"/>
      <c r="W2319" s="1108"/>
      <c r="X2319" s="1108"/>
      <c r="Y2319" s="1108"/>
      <c r="Z2319" s="1114"/>
      <c r="AA2319" s="1114"/>
      <c r="AB2319" s="1114"/>
      <c r="AC2319" s="1117"/>
      <c r="AD2319" s="1115"/>
      <c r="AE2319" s="1115"/>
      <c r="AF2319" s="1115"/>
      <c r="AG2319" s="1115"/>
      <c r="AH2319" s="1115"/>
      <c r="AI2319" s="1115"/>
      <c r="AJ2319" s="1117"/>
      <c r="AK2319" s="1118"/>
      <c r="AL2319" s="1115"/>
      <c r="AM2319" s="1115"/>
      <c r="AN2319" s="1115"/>
      <c r="AO2319" s="1115"/>
      <c r="AP2319" s="1115"/>
      <c r="AQ2319" s="1115"/>
      <c r="AR2319" s="1115"/>
      <c r="AS2319" s="1117"/>
      <c r="AT2319" s="1196" t="str">
        <f t="shared" si="428"/>
        <v/>
      </c>
      <c r="AU2319" s="1193"/>
      <c r="AV2319" s="330">
        <f>SQRT(($R2319-Infrastructure!J$3)^2+($S2319-Infrastructure!K$3)^2)</f>
        <v>28.90155705</v>
      </c>
      <c r="AW2319" s="331">
        <f>SQRT(($R2319-Infrastructure!J$4)^2+($S2319-Infrastructure!K$4)^2)</f>
        <v>17.80252791</v>
      </c>
      <c r="AX2319" s="331">
        <f>SQRT(($R2319-Infrastructure!J$5)^2+($S2319-Infrastructure!K$5)^2)</f>
        <v>5.10881591</v>
      </c>
      <c r="AY2319" s="331">
        <f>SQRT(($R2319-Infrastructure!J$6)^2+($S2319-Infrastructure!K$6)^2)</f>
        <v>10.10445446</v>
      </c>
      <c r="AZ2319" s="331">
        <f>SQRT(($R2319-Infrastructure!J$7)^2+($S2319-Infrastructure!K$7)^2)</f>
        <v>20.502195</v>
      </c>
      <c r="BA2319" s="331">
        <f>SQRT(($R2319-Infrastructure!J$8)^2+($S2319-Infrastructure!K$8)^2)</f>
        <v>30.10149498</v>
      </c>
      <c r="BB2319" s="331">
        <f>SQRT(($R2319-Infrastructure!J$9)^2+($S2319-Infrastructure!K$9)^2)</f>
        <v>40.3238143</v>
      </c>
      <c r="BC2319" s="331">
        <f>SQRT(($R2319-Infrastructure!J$10)^2+($S2319-Infrastructure!K$10)^2)</f>
        <v>42.72001873</v>
      </c>
      <c r="BD2319" s="331">
        <f>SQRT(($R2319-Infrastructure!J$11)^2+($S2319-Infrastructure!K$11)^2)</f>
        <v>49.56853841</v>
      </c>
      <c r="BE2319" s="333">
        <f>SQRT(($R2319-Infrastructure!J$12)^2+($S2319-Infrastructure!K$12)^2)</f>
        <v>59.51890456</v>
      </c>
      <c r="BF2319" s="330">
        <f t="shared" si="161"/>
        <v>5.10881591</v>
      </c>
      <c r="BG2319" s="333">
        <f t="shared" si="162"/>
        <v>59.51890456</v>
      </c>
      <c r="BH2319" s="1119"/>
      <c r="BI2319" s="319" t="str">
        <f t="shared" ref="BI2319:BR2319" si="1492">IF(ISNUMBER(FIND(BI$3, $CO2319)), "Y", "")</f>
        <v/>
      </c>
      <c r="BJ2319" s="319" t="str">
        <f t="shared" si="1492"/>
        <v/>
      </c>
      <c r="BK2319" s="319" t="str">
        <f t="shared" si="1492"/>
        <v/>
      </c>
      <c r="BL2319" s="319" t="str">
        <f t="shared" si="1492"/>
        <v/>
      </c>
      <c r="BM2319" s="319" t="str">
        <f t="shared" si="1492"/>
        <v/>
      </c>
      <c r="BN2319" s="319" t="str">
        <f t="shared" si="1492"/>
        <v/>
      </c>
      <c r="BO2319" s="319" t="str">
        <f t="shared" si="1492"/>
        <v/>
      </c>
      <c r="BP2319" s="319" t="str">
        <f t="shared" si="1492"/>
        <v/>
      </c>
      <c r="BQ2319" s="319" t="str">
        <f t="shared" si="1492"/>
        <v/>
      </c>
      <c r="BR2319" s="319" t="str">
        <f t="shared" si="1492"/>
        <v/>
      </c>
      <c r="BS2319" s="330">
        <f t="shared" si="185"/>
        <v>0</v>
      </c>
      <c r="BT2319" s="331">
        <f t="shared" si="170"/>
        <v>0</v>
      </c>
      <c r="BU2319" s="920"/>
      <c r="BV2319" s="903" t="str">
        <f t="shared" si="1244"/>
        <v/>
      </c>
      <c r="BW2319" s="908"/>
      <c r="BX2319" s="908"/>
      <c r="BY2319" s="331" t="b">
        <f t="shared" si="201"/>
        <v>0</v>
      </c>
      <c r="BZ2319" s="331"/>
      <c r="CA2319" s="462" t="str">
        <f t="shared" ref="CA2319:CJ2319" si="1493">IF(ISNUMBER(FIND(BI$3, $CP2319)), "Y", "")</f>
        <v/>
      </c>
      <c r="CB2319" s="319" t="str">
        <f t="shared" si="1493"/>
        <v/>
      </c>
      <c r="CC2319" s="319" t="str">
        <f t="shared" si="1493"/>
        <v/>
      </c>
      <c r="CD2319" s="319" t="str">
        <f t="shared" si="1493"/>
        <v/>
      </c>
      <c r="CE2319" s="319" t="str">
        <f t="shared" si="1493"/>
        <v/>
      </c>
      <c r="CF2319" s="319" t="str">
        <f t="shared" si="1493"/>
        <v/>
      </c>
      <c r="CG2319" s="319" t="str">
        <f t="shared" si="1493"/>
        <v/>
      </c>
      <c r="CH2319" s="319" t="str">
        <f t="shared" si="1493"/>
        <v/>
      </c>
      <c r="CI2319" s="319" t="str">
        <f t="shared" si="1493"/>
        <v/>
      </c>
      <c r="CJ2319" s="319" t="str">
        <f t="shared" si="1493"/>
        <v/>
      </c>
      <c r="CK2319" s="342">
        <f t="shared" si="182"/>
        <v>0</v>
      </c>
      <c r="CL2319" s="333">
        <f t="shared" si="183"/>
        <v>0</v>
      </c>
      <c r="CM2319" s="1079"/>
      <c r="CN2319" s="1005"/>
      <c r="CO2319" s="1005"/>
      <c r="CP2319" s="1005"/>
    </row>
    <row r="2320">
      <c r="A2320" s="1257"/>
      <c r="B2320" s="1113"/>
      <c r="C2320" s="1107"/>
      <c r="D2320" s="103"/>
      <c r="E2320" s="1137"/>
      <c r="F2320" s="112"/>
      <c r="G2320" s="1110"/>
      <c r="H2320" s="1138"/>
      <c r="I2320" s="1138"/>
      <c r="J2320" s="1139"/>
      <c r="K2320" s="1111"/>
      <c r="L2320" s="1112"/>
      <c r="M2320" s="1113"/>
      <c r="N2320" s="110"/>
      <c r="O2320" s="1140"/>
      <c r="P2320" s="1115"/>
      <c r="Q2320" s="1116"/>
      <c r="R2320" s="1141"/>
      <c r="S2320" s="1113"/>
      <c r="T2320" s="1143"/>
      <c r="U2320" s="1108"/>
      <c r="V2320" s="1108"/>
      <c r="W2320" s="1108"/>
      <c r="X2320" s="1108"/>
      <c r="Y2320" s="1108"/>
      <c r="Z2320" s="1114"/>
      <c r="AA2320" s="1114"/>
      <c r="AB2320" s="1114"/>
      <c r="AC2320" s="1117"/>
      <c r="AD2320" s="1115"/>
      <c r="AE2320" s="1115"/>
      <c r="AF2320" s="1115"/>
      <c r="AG2320" s="1115"/>
      <c r="AH2320" s="1115"/>
      <c r="AI2320" s="1115"/>
      <c r="AJ2320" s="1117"/>
      <c r="AK2320" s="1118"/>
      <c r="AL2320" s="1115"/>
      <c r="AM2320" s="1115"/>
      <c r="AN2320" s="1115"/>
      <c r="AO2320" s="1115"/>
      <c r="AP2320" s="1115"/>
      <c r="AQ2320" s="1115"/>
      <c r="AR2320" s="1115"/>
      <c r="AS2320" s="1117"/>
      <c r="AT2320" s="1196" t="str">
        <f t="shared" si="428"/>
        <v/>
      </c>
      <c r="AU2320" s="1193"/>
      <c r="AV2320" s="330">
        <f>SQRT(($R2320-Infrastructure!J$3)^2+($S2320-Infrastructure!K$3)^2)</f>
        <v>28.90155705</v>
      </c>
      <c r="AW2320" s="331">
        <f>SQRT(($R2320-Infrastructure!J$4)^2+($S2320-Infrastructure!K$4)^2)</f>
        <v>17.80252791</v>
      </c>
      <c r="AX2320" s="331">
        <f>SQRT(($R2320-Infrastructure!J$5)^2+($S2320-Infrastructure!K$5)^2)</f>
        <v>5.10881591</v>
      </c>
      <c r="AY2320" s="331">
        <f>SQRT(($R2320-Infrastructure!J$6)^2+($S2320-Infrastructure!K$6)^2)</f>
        <v>10.10445446</v>
      </c>
      <c r="AZ2320" s="331">
        <f>SQRT(($R2320-Infrastructure!J$7)^2+($S2320-Infrastructure!K$7)^2)</f>
        <v>20.502195</v>
      </c>
      <c r="BA2320" s="331">
        <f>SQRT(($R2320-Infrastructure!J$8)^2+($S2320-Infrastructure!K$8)^2)</f>
        <v>30.10149498</v>
      </c>
      <c r="BB2320" s="331">
        <f>SQRT(($R2320-Infrastructure!J$9)^2+($S2320-Infrastructure!K$9)^2)</f>
        <v>40.3238143</v>
      </c>
      <c r="BC2320" s="331">
        <f>SQRT(($R2320-Infrastructure!J$10)^2+($S2320-Infrastructure!K$10)^2)</f>
        <v>42.72001873</v>
      </c>
      <c r="BD2320" s="331">
        <f>SQRT(($R2320-Infrastructure!J$11)^2+($S2320-Infrastructure!K$11)^2)</f>
        <v>49.56853841</v>
      </c>
      <c r="BE2320" s="333">
        <f>SQRT(($R2320-Infrastructure!J$12)^2+($S2320-Infrastructure!K$12)^2)</f>
        <v>59.51890456</v>
      </c>
      <c r="BF2320" s="330">
        <f t="shared" si="161"/>
        <v>5.10881591</v>
      </c>
      <c r="BG2320" s="333">
        <f t="shared" si="162"/>
        <v>59.51890456</v>
      </c>
      <c r="BH2320" s="1119"/>
      <c r="BI2320" s="319" t="str">
        <f t="shared" ref="BI2320:BR2320" si="1494">IF(ISNUMBER(FIND(BI$3, $CO2320)), "Y", "")</f>
        <v/>
      </c>
      <c r="BJ2320" s="319" t="str">
        <f t="shared" si="1494"/>
        <v/>
      </c>
      <c r="BK2320" s="319" t="str">
        <f t="shared" si="1494"/>
        <v/>
      </c>
      <c r="BL2320" s="319" t="str">
        <f t="shared" si="1494"/>
        <v/>
      </c>
      <c r="BM2320" s="319" t="str">
        <f t="shared" si="1494"/>
        <v/>
      </c>
      <c r="BN2320" s="319" t="str">
        <f t="shared" si="1494"/>
        <v/>
      </c>
      <c r="BO2320" s="319" t="str">
        <f t="shared" si="1494"/>
        <v/>
      </c>
      <c r="BP2320" s="319" t="str">
        <f t="shared" si="1494"/>
        <v/>
      </c>
      <c r="BQ2320" s="319" t="str">
        <f t="shared" si="1494"/>
        <v/>
      </c>
      <c r="BR2320" s="319" t="str">
        <f t="shared" si="1494"/>
        <v/>
      </c>
      <c r="BS2320" s="330">
        <f t="shared" si="185"/>
        <v>0</v>
      </c>
      <c r="BT2320" s="331">
        <f t="shared" si="170"/>
        <v>0</v>
      </c>
      <c r="BU2320" s="920"/>
      <c r="BV2320" s="903" t="str">
        <f t="shared" si="1244"/>
        <v/>
      </c>
      <c r="BW2320" s="908"/>
      <c r="BX2320" s="908"/>
      <c r="BY2320" s="331" t="b">
        <f t="shared" si="201"/>
        <v>0</v>
      </c>
      <c r="BZ2320" s="331"/>
      <c r="CA2320" s="462" t="str">
        <f t="shared" ref="CA2320:CJ2320" si="1495">IF(ISNUMBER(FIND(BI$3, $CP2320)), "Y", "")</f>
        <v/>
      </c>
      <c r="CB2320" s="319" t="str">
        <f t="shared" si="1495"/>
        <v/>
      </c>
      <c r="CC2320" s="319" t="str">
        <f t="shared" si="1495"/>
        <v/>
      </c>
      <c r="CD2320" s="319" t="str">
        <f t="shared" si="1495"/>
        <v/>
      </c>
      <c r="CE2320" s="319" t="str">
        <f t="shared" si="1495"/>
        <v/>
      </c>
      <c r="CF2320" s="319" t="str">
        <f t="shared" si="1495"/>
        <v/>
      </c>
      <c r="CG2320" s="319" t="str">
        <f t="shared" si="1495"/>
        <v/>
      </c>
      <c r="CH2320" s="319" t="str">
        <f t="shared" si="1495"/>
        <v/>
      </c>
      <c r="CI2320" s="319" t="str">
        <f t="shared" si="1495"/>
        <v/>
      </c>
      <c r="CJ2320" s="319" t="str">
        <f t="shared" si="1495"/>
        <v/>
      </c>
      <c r="CK2320" s="342">
        <f t="shared" si="182"/>
        <v>0</v>
      </c>
      <c r="CL2320" s="333">
        <f t="shared" si="183"/>
        <v>0</v>
      </c>
      <c r="CM2320" s="1079"/>
      <c r="CN2320" s="1005"/>
      <c r="CO2320" s="1005"/>
      <c r="CP2320" s="1005"/>
    </row>
    <row r="2321">
      <c r="A2321" s="1257"/>
      <c r="B2321" s="1113"/>
      <c r="C2321" s="1107"/>
      <c r="D2321" s="103"/>
      <c r="E2321" s="1137"/>
      <c r="F2321" s="112"/>
      <c r="G2321" s="1110"/>
      <c r="H2321" s="1138"/>
      <c r="I2321" s="1138"/>
      <c r="J2321" s="1139"/>
      <c r="K2321" s="1111"/>
      <c r="L2321" s="1112"/>
      <c r="M2321" s="1113"/>
      <c r="N2321" s="110"/>
      <c r="O2321" s="1140"/>
      <c r="P2321" s="1115"/>
      <c r="Q2321" s="1116"/>
      <c r="R2321" s="1141"/>
      <c r="S2321" s="1113"/>
      <c r="T2321" s="1143"/>
      <c r="U2321" s="1108"/>
      <c r="V2321" s="1108"/>
      <c r="W2321" s="1108"/>
      <c r="X2321" s="1108"/>
      <c r="Y2321" s="1108"/>
      <c r="Z2321" s="1114"/>
      <c r="AA2321" s="1114"/>
      <c r="AB2321" s="1114"/>
      <c r="AC2321" s="1117"/>
      <c r="AD2321" s="1115"/>
      <c r="AE2321" s="1115"/>
      <c r="AF2321" s="1115"/>
      <c r="AG2321" s="1115"/>
      <c r="AH2321" s="1115"/>
      <c r="AI2321" s="1115"/>
      <c r="AJ2321" s="1117"/>
      <c r="AK2321" s="1118"/>
      <c r="AL2321" s="1115"/>
      <c r="AM2321" s="1115"/>
      <c r="AN2321" s="1115"/>
      <c r="AO2321" s="1115"/>
      <c r="AP2321" s="1115"/>
      <c r="AQ2321" s="1115"/>
      <c r="AR2321" s="1115"/>
      <c r="AS2321" s="1117"/>
      <c r="AT2321" s="1196" t="str">
        <f t="shared" si="428"/>
        <v/>
      </c>
      <c r="AU2321" s="1193"/>
      <c r="AV2321" s="330">
        <f>SQRT(($R2321-Infrastructure!J$3)^2+($S2321-Infrastructure!K$3)^2)</f>
        <v>28.90155705</v>
      </c>
      <c r="AW2321" s="331">
        <f>SQRT(($R2321-Infrastructure!J$4)^2+($S2321-Infrastructure!K$4)^2)</f>
        <v>17.80252791</v>
      </c>
      <c r="AX2321" s="331">
        <f>SQRT(($R2321-Infrastructure!J$5)^2+($S2321-Infrastructure!K$5)^2)</f>
        <v>5.10881591</v>
      </c>
      <c r="AY2321" s="331">
        <f>SQRT(($R2321-Infrastructure!J$6)^2+($S2321-Infrastructure!K$6)^2)</f>
        <v>10.10445446</v>
      </c>
      <c r="AZ2321" s="331">
        <f>SQRT(($R2321-Infrastructure!J$7)^2+($S2321-Infrastructure!K$7)^2)</f>
        <v>20.502195</v>
      </c>
      <c r="BA2321" s="331">
        <f>SQRT(($R2321-Infrastructure!J$8)^2+($S2321-Infrastructure!K$8)^2)</f>
        <v>30.10149498</v>
      </c>
      <c r="BB2321" s="331">
        <f>SQRT(($R2321-Infrastructure!J$9)^2+($S2321-Infrastructure!K$9)^2)</f>
        <v>40.3238143</v>
      </c>
      <c r="BC2321" s="331">
        <f>SQRT(($R2321-Infrastructure!J$10)^2+($S2321-Infrastructure!K$10)^2)</f>
        <v>42.72001873</v>
      </c>
      <c r="BD2321" s="331">
        <f>SQRT(($R2321-Infrastructure!J$11)^2+($S2321-Infrastructure!K$11)^2)</f>
        <v>49.56853841</v>
      </c>
      <c r="BE2321" s="333">
        <f>SQRT(($R2321-Infrastructure!J$12)^2+($S2321-Infrastructure!K$12)^2)</f>
        <v>59.51890456</v>
      </c>
      <c r="BF2321" s="330">
        <f t="shared" si="161"/>
        <v>5.10881591</v>
      </c>
      <c r="BG2321" s="333">
        <f t="shared" si="162"/>
        <v>59.51890456</v>
      </c>
      <c r="BH2321" s="1119"/>
      <c r="BI2321" s="319" t="str">
        <f t="shared" ref="BI2321:BR2321" si="1496">IF(ISNUMBER(FIND(BI$3, $CO2321)), "Y", "")</f>
        <v/>
      </c>
      <c r="BJ2321" s="319" t="str">
        <f t="shared" si="1496"/>
        <v/>
      </c>
      <c r="BK2321" s="319" t="str">
        <f t="shared" si="1496"/>
        <v/>
      </c>
      <c r="BL2321" s="319" t="str">
        <f t="shared" si="1496"/>
        <v/>
      </c>
      <c r="BM2321" s="319" t="str">
        <f t="shared" si="1496"/>
        <v/>
      </c>
      <c r="BN2321" s="319" t="str">
        <f t="shared" si="1496"/>
        <v/>
      </c>
      <c r="BO2321" s="319" t="str">
        <f t="shared" si="1496"/>
        <v/>
      </c>
      <c r="BP2321" s="319" t="str">
        <f t="shared" si="1496"/>
        <v/>
      </c>
      <c r="BQ2321" s="319" t="str">
        <f t="shared" si="1496"/>
        <v/>
      </c>
      <c r="BR2321" s="319" t="str">
        <f t="shared" si="1496"/>
        <v/>
      </c>
      <c r="BS2321" s="330">
        <f t="shared" si="185"/>
        <v>0</v>
      </c>
      <c r="BT2321" s="331">
        <f t="shared" si="170"/>
        <v>0</v>
      </c>
      <c r="BU2321" s="920"/>
      <c r="BV2321" s="903" t="str">
        <f t="shared" si="1244"/>
        <v/>
      </c>
      <c r="BW2321" s="908"/>
      <c r="BX2321" s="908"/>
      <c r="BY2321" s="331" t="b">
        <f t="shared" si="201"/>
        <v>0</v>
      </c>
      <c r="BZ2321" s="331"/>
      <c r="CA2321" s="462" t="str">
        <f t="shared" ref="CA2321:CJ2321" si="1497">IF(ISNUMBER(FIND(BI$3, $CP2321)), "Y", "")</f>
        <v/>
      </c>
      <c r="CB2321" s="319" t="str">
        <f t="shared" si="1497"/>
        <v/>
      </c>
      <c r="CC2321" s="319" t="str">
        <f t="shared" si="1497"/>
        <v/>
      </c>
      <c r="CD2321" s="319" t="str">
        <f t="shared" si="1497"/>
        <v/>
      </c>
      <c r="CE2321" s="319" t="str">
        <f t="shared" si="1497"/>
        <v/>
      </c>
      <c r="CF2321" s="319" t="str">
        <f t="shared" si="1497"/>
        <v/>
      </c>
      <c r="CG2321" s="319" t="str">
        <f t="shared" si="1497"/>
        <v/>
      </c>
      <c r="CH2321" s="319" t="str">
        <f t="shared" si="1497"/>
        <v/>
      </c>
      <c r="CI2321" s="319" t="str">
        <f t="shared" si="1497"/>
        <v/>
      </c>
      <c r="CJ2321" s="319" t="str">
        <f t="shared" si="1497"/>
        <v/>
      </c>
      <c r="CK2321" s="342">
        <f t="shared" si="182"/>
        <v>0</v>
      </c>
      <c r="CL2321" s="333">
        <f t="shared" si="183"/>
        <v>0</v>
      </c>
      <c r="CM2321" s="1079"/>
      <c r="CN2321" s="1005"/>
      <c r="CO2321" s="1005"/>
      <c r="CP2321" s="1005"/>
    </row>
    <row r="2322">
      <c r="A2322" s="1257"/>
      <c r="B2322" s="1113"/>
      <c r="C2322" s="1107"/>
      <c r="D2322" s="103"/>
      <c r="E2322" s="1137"/>
      <c r="F2322" s="112"/>
      <c r="G2322" s="1110"/>
      <c r="H2322" s="1138"/>
      <c r="I2322" s="1138"/>
      <c r="J2322" s="1139"/>
      <c r="K2322" s="1111"/>
      <c r="L2322" s="1112"/>
      <c r="M2322" s="1113"/>
      <c r="N2322" s="110"/>
      <c r="O2322" s="1140"/>
      <c r="P2322" s="1115"/>
      <c r="Q2322" s="1116"/>
      <c r="R2322" s="1141"/>
      <c r="S2322" s="1113"/>
      <c r="T2322" s="1143"/>
      <c r="U2322" s="1108"/>
      <c r="V2322" s="1108"/>
      <c r="W2322" s="1108"/>
      <c r="X2322" s="1108"/>
      <c r="Y2322" s="1108"/>
      <c r="Z2322" s="1114"/>
      <c r="AA2322" s="1114"/>
      <c r="AB2322" s="1114"/>
      <c r="AC2322" s="1117"/>
      <c r="AD2322" s="1115"/>
      <c r="AE2322" s="1115"/>
      <c r="AF2322" s="1115"/>
      <c r="AG2322" s="1115"/>
      <c r="AH2322" s="1115"/>
      <c r="AI2322" s="1115"/>
      <c r="AJ2322" s="1117"/>
      <c r="AK2322" s="1118"/>
      <c r="AL2322" s="1115"/>
      <c r="AM2322" s="1115"/>
      <c r="AN2322" s="1115"/>
      <c r="AO2322" s="1115"/>
      <c r="AP2322" s="1115"/>
      <c r="AQ2322" s="1115"/>
      <c r="AR2322" s="1115"/>
      <c r="AS2322" s="1117"/>
      <c r="AT2322" s="1196" t="str">
        <f t="shared" si="428"/>
        <v/>
      </c>
      <c r="AU2322" s="1193"/>
      <c r="AV2322" s="330">
        <f>SQRT(($R2322-Infrastructure!J$3)^2+($S2322-Infrastructure!K$3)^2)</f>
        <v>28.90155705</v>
      </c>
      <c r="AW2322" s="331">
        <f>SQRT(($R2322-Infrastructure!J$4)^2+($S2322-Infrastructure!K$4)^2)</f>
        <v>17.80252791</v>
      </c>
      <c r="AX2322" s="331">
        <f>SQRT(($R2322-Infrastructure!J$5)^2+($S2322-Infrastructure!K$5)^2)</f>
        <v>5.10881591</v>
      </c>
      <c r="AY2322" s="331">
        <f>SQRT(($R2322-Infrastructure!J$6)^2+($S2322-Infrastructure!K$6)^2)</f>
        <v>10.10445446</v>
      </c>
      <c r="AZ2322" s="331">
        <f>SQRT(($R2322-Infrastructure!J$7)^2+($S2322-Infrastructure!K$7)^2)</f>
        <v>20.502195</v>
      </c>
      <c r="BA2322" s="331">
        <f>SQRT(($R2322-Infrastructure!J$8)^2+($S2322-Infrastructure!K$8)^2)</f>
        <v>30.10149498</v>
      </c>
      <c r="BB2322" s="331">
        <f>SQRT(($R2322-Infrastructure!J$9)^2+($S2322-Infrastructure!K$9)^2)</f>
        <v>40.3238143</v>
      </c>
      <c r="BC2322" s="331">
        <f>SQRT(($R2322-Infrastructure!J$10)^2+($S2322-Infrastructure!K$10)^2)</f>
        <v>42.72001873</v>
      </c>
      <c r="BD2322" s="331">
        <f>SQRT(($R2322-Infrastructure!J$11)^2+($S2322-Infrastructure!K$11)^2)</f>
        <v>49.56853841</v>
      </c>
      <c r="BE2322" s="333">
        <f>SQRT(($R2322-Infrastructure!J$12)^2+($S2322-Infrastructure!K$12)^2)</f>
        <v>59.51890456</v>
      </c>
      <c r="BF2322" s="330">
        <f t="shared" si="161"/>
        <v>5.10881591</v>
      </c>
      <c r="BG2322" s="333">
        <f t="shared" si="162"/>
        <v>59.51890456</v>
      </c>
      <c r="BH2322" s="1119"/>
      <c r="BI2322" s="319" t="str">
        <f t="shared" ref="BI2322:BR2322" si="1498">IF(ISNUMBER(FIND(BI$3, $CO2322)), "Y", "")</f>
        <v/>
      </c>
      <c r="BJ2322" s="319" t="str">
        <f t="shared" si="1498"/>
        <v/>
      </c>
      <c r="BK2322" s="319" t="str">
        <f t="shared" si="1498"/>
        <v/>
      </c>
      <c r="BL2322" s="319" t="str">
        <f t="shared" si="1498"/>
        <v/>
      </c>
      <c r="BM2322" s="319" t="str">
        <f t="shared" si="1498"/>
        <v/>
      </c>
      <c r="BN2322" s="319" t="str">
        <f t="shared" si="1498"/>
        <v/>
      </c>
      <c r="BO2322" s="319" t="str">
        <f t="shared" si="1498"/>
        <v/>
      </c>
      <c r="BP2322" s="319" t="str">
        <f t="shared" si="1498"/>
        <v/>
      </c>
      <c r="BQ2322" s="319" t="str">
        <f t="shared" si="1498"/>
        <v/>
      </c>
      <c r="BR2322" s="319" t="str">
        <f t="shared" si="1498"/>
        <v/>
      </c>
      <c r="BS2322" s="330">
        <f t="shared" si="185"/>
        <v>0</v>
      </c>
      <c r="BT2322" s="331">
        <f t="shared" si="170"/>
        <v>0</v>
      </c>
      <c r="BU2322" s="920"/>
      <c r="BV2322" s="903" t="str">
        <f t="shared" si="1244"/>
        <v/>
      </c>
      <c r="BW2322" s="908"/>
      <c r="BX2322" s="908"/>
      <c r="BY2322" s="331" t="b">
        <f t="shared" si="201"/>
        <v>0</v>
      </c>
      <c r="BZ2322" s="331"/>
      <c r="CA2322" s="462" t="str">
        <f t="shared" ref="CA2322:CJ2322" si="1499">IF(ISNUMBER(FIND(BI$3, $CP2322)), "Y", "")</f>
        <v/>
      </c>
      <c r="CB2322" s="319" t="str">
        <f t="shared" si="1499"/>
        <v/>
      </c>
      <c r="CC2322" s="319" t="str">
        <f t="shared" si="1499"/>
        <v/>
      </c>
      <c r="CD2322" s="319" t="str">
        <f t="shared" si="1499"/>
        <v/>
      </c>
      <c r="CE2322" s="319" t="str">
        <f t="shared" si="1499"/>
        <v/>
      </c>
      <c r="CF2322" s="319" t="str">
        <f t="shared" si="1499"/>
        <v/>
      </c>
      <c r="CG2322" s="319" t="str">
        <f t="shared" si="1499"/>
        <v/>
      </c>
      <c r="CH2322" s="319" t="str">
        <f t="shared" si="1499"/>
        <v/>
      </c>
      <c r="CI2322" s="319" t="str">
        <f t="shared" si="1499"/>
        <v/>
      </c>
      <c r="CJ2322" s="319" t="str">
        <f t="shared" si="1499"/>
        <v/>
      </c>
      <c r="CK2322" s="342">
        <f t="shared" si="182"/>
        <v>0</v>
      </c>
      <c r="CL2322" s="333">
        <f t="shared" si="183"/>
        <v>0</v>
      </c>
      <c r="CM2322" s="1079"/>
      <c r="CN2322" s="1005"/>
      <c r="CO2322" s="1005"/>
      <c r="CP2322" s="1005"/>
    </row>
    <row r="2323">
      <c r="A2323" s="1257"/>
      <c r="B2323" s="1113"/>
      <c r="C2323" s="1107"/>
      <c r="D2323" s="103"/>
      <c r="E2323" s="1137"/>
      <c r="F2323" s="112"/>
      <c r="G2323" s="1110"/>
      <c r="H2323" s="1138"/>
      <c r="I2323" s="1138"/>
      <c r="J2323" s="1139"/>
      <c r="K2323" s="1111"/>
      <c r="L2323" s="1112"/>
      <c r="M2323" s="1113"/>
      <c r="N2323" s="110"/>
      <c r="O2323" s="1140"/>
      <c r="P2323" s="1115"/>
      <c r="Q2323" s="1116"/>
      <c r="R2323" s="1141"/>
      <c r="S2323" s="1113"/>
      <c r="T2323" s="1143"/>
      <c r="U2323" s="1108"/>
      <c r="V2323" s="1108"/>
      <c r="W2323" s="1108"/>
      <c r="X2323" s="1108"/>
      <c r="Y2323" s="1108"/>
      <c r="Z2323" s="1114"/>
      <c r="AA2323" s="1114"/>
      <c r="AB2323" s="1114"/>
      <c r="AC2323" s="1117"/>
      <c r="AD2323" s="1115"/>
      <c r="AE2323" s="1115"/>
      <c r="AF2323" s="1115"/>
      <c r="AG2323" s="1115"/>
      <c r="AH2323" s="1115"/>
      <c r="AI2323" s="1115"/>
      <c r="AJ2323" s="1117"/>
      <c r="AK2323" s="1118"/>
      <c r="AL2323" s="1115"/>
      <c r="AM2323" s="1115"/>
      <c r="AN2323" s="1115"/>
      <c r="AO2323" s="1115"/>
      <c r="AP2323" s="1115"/>
      <c r="AQ2323" s="1115"/>
      <c r="AR2323" s="1115"/>
      <c r="AS2323" s="1117"/>
      <c r="AT2323" s="1196" t="str">
        <f t="shared" si="428"/>
        <v/>
      </c>
      <c r="AU2323" s="1193"/>
      <c r="AV2323" s="330">
        <f>SQRT(($R2323-Infrastructure!J$3)^2+($S2323-Infrastructure!K$3)^2)</f>
        <v>28.90155705</v>
      </c>
      <c r="AW2323" s="331">
        <f>SQRT(($R2323-Infrastructure!J$4)^2+($S2323-Infrastructure!K$4)^2)</f>
        <v>17.80252791</v>
      </c>
      <c r="AX2323" s="331">
        <f>SQRT(($R2323-Infrastructure!J$5)^2+($S2323-Infrastructure!K$5)^2)</f>
        <v>5.10881591</v>
      </c>
      <c r="AY2323" s="331">
        <f>SQRT(($R2323-Infrastructure!J$6)^2+($S2323-Infrastructure!K$6)^2)</f>
        <v>10.10445446</v>
      </c>
      <c r="AZ2323" s="331">
        <f>SQRT(($R2323-Infrastructure!J$7)^2+($S2323-Infrastructure!K$7)^2)</f>
        <v>20.502195</v>
      </c>
      <c r="BA2323" s="331">
        <f>SQRT(($R2323-Infrastructure!J$8)^2+($S2323-Infrastructure!K$8)^2)</f>
        <v>30.10149498</v>
      </c>
      <c r="BB2323" s="331">
        <f>SQRT(($R2323-Infrastructure!J$9)^2+($S2323-Infrastructure!K$9)^2)</f>
        <v>40.3238143</v>
      </c>
      <c r="BC2323" s="331">
        <f>SQRT(($R2323-Infrastructure!J$10)^2+($S2323-Infrastructure!K$10)^2)</f>
        <v>42.72001873</v>
      </c>
      <c r="BD2323" s="331">
        <f>SQRT(($R2323-Infrastructure!J$11)^2+($S2323-Infrastructure!K$11)^2)</f>
        <v>49.56853841</v>
      </c>
      <c r="BE2323" s="333">
        <f>SQRT(($R2323-Infrastructure!J$12)^2+($S2323-Infrastructure!K$12)^2)</f>
        <v>59.51890456</v>
      </c>
      <c r="BF2323" s="330">
        <f t="shared" si="161"/>
        <v>5.10881591</v>
      </c>
      <c r="BG2323" s="333">
        <f t="shared" si="162"/>
        <v>59.51890456</v>
      </c>
      <c r="BH2323" s="1119"/>
      <c r="BI2323" s="319" t="str">
        <f t="shared" ref="BI2323:BR2323" si="1500">IF(ISNUMBER(FIND(BI$3, $CO2323)), "Y", "")</f>
        <v/>
      </c>
      <c r="BJ2323" s="319" t="str">
        <f t="shared" si="1500"/>
        <v/>
      </c>
      <c r="BK2323" s="319" t="str">
        <f t="shared" si="1500"/>
        <v/>
      </c>
      <c r="BL2323" s="319" t="str">
        <f t="shared" si="1500"/>
        <v/>
      </c>
      <c r="BM2323" s="319" t="str">
        <f t="shared" si="1500"/>
        <v/>
      </c>
      <c r="BN2323" s="319" t="str">
        <f t="shared" si="1500"/>
        <v/>
      </c>
      <c r="BO2323" s="319" t="str">
        <f t="shared" si="1500"/>
        <v/>
      </c>
      <c r="BP2323" s="319" t="str">
        <f t="shared" si="1500"/>
        <v/>
      </c>
      <c r="BQ2323" s="319" t="str">
        <f t="shared" si="1500"/>
        <v/>
      </c>
      <c r="BR2323" s="319" t="str">
        <f t="shared" si="1500"/>
        <v/>
      </c>
      <c r="BS2323" s="330">
        <f t="shared" si="185"/>
        <v>0</v>
      </c>
      <c r="BT2323" s="331">
        <f t="shared" si="170"/>
        <v>0</v>
      </c>
      <c r="BU2323" s="920"/>
      <c r="BV2323" s="903" t="str">
        <f t="shared" si="1244"/>
        <v/>
      </c>
      <c r="BW2323" s="908"/>
      <c r="BX2323" s="908"/>
      <c r="BY2323" s="331" t="b">
        <f t="shared" si="201"/>
        <v>0</v>
      </c>
      <c r="BZ2323" s="331"/>
      <c r="CA2323" s="462" t="str">
        <f t="shared" ref="CA2323:CJ2323" si="1501">IF(ISNUMBER(FIND(BI$3, $CP2323)), "Y", "")</f>
        <v/>
      </c>
      <c r="CB2323" s="319" t="str">
        <f t="shared" si="1501"/>
        <v/>
      </c>
      <c r="CC2323" s="319" t="str">
        <f t="shared" si="1501"/>
        <v/>
      </c>
      <c r="CD2323" s="319" t="str">
        <f t="shared" si="1501"/>
        <v/>
      </c>
      <c r="CE2323" s="319" t="str">
        <f t="shared" si="1501"/>
        <v/>
      </c>
      <c r="CF2323" s="319" t="str">
        <f t="shared" si="1501"/>
        <v/>
      </c>
      <c r="CG2323" s="319" t="str">
        <f t="shared" si="1501"/>
        <v/>
      </c>
      <c r="CH2323" s="319" t="str">
        <f t="shared" si="1501"/>
        <v/>
      </c>
      <c r="CI2323" s="319" t="str">
        <f t="shared" si="1501"/>
        <v/>
      </c>
      <c r="CJ2323" s="319" t="str">
        <f t="shared" si="1501"/>
        <v/>
      </c>
      <c r="CK2323" s="342">
        <f t="shared" si="182"/>
        <v>0</v>
      </c>
      <c r="CL2323" s="333">
        <f t="shared" si="183"/>
        <v>0</v>
      </c>
      <c r="CM2323" s="1079"/>
      <c r="CN2323" s="1005"/>
      <c r="CO2323" s="1005"/>
      <c r="CP2323" s="1005"/>
    </row>
    <row r="2324">
      <c r="A2324" s="1257"/>
      <c r="B2324" s="1113"/>
      <c r="C2324" s="1107"/>
      <c r="D2324" s="103"/>
      <c r="E2324" s="1137"/>
      <c r="F2324" s="112"/>
      <c r="G2324" s="1110"/>
      <c r="H2324" s="1138"/>
      <c r="I2324" s="1138"/>
      <c r="J2324" s="1139"/>
      <c r="K2324" s="1111"/>
      <c r="L2324" s="1112"/>
      <c r="M2324" s="1113"/>
      <c r="N2324" s="110"/>
      <c r="O2324" s="1140"/>
      <c r="P2324" s="1115"/>
      <c r="Q2324" s="1116"/>
      <c r="R2324" s="1141"/>
      <c r="S2324" s="1113"/>
      <c r="T2324" s="1143"/>
      <c r="U2324" s="1108"/>
      <c r="V2324" s="1108"/>
      <c r="W2324" s="1108"/>
      <c r="X2324" s="1108"/>
      <c r="Y2324" s="1108"/>
      <c r="Z2324" s="1114"/>
      <c r="AA2324" s="1114"/>
      <c r="AB2324" s="1114"/>
      <c r="AC2324" s="1117"/>
      <c r="AD2324" s="1115"/>
      <c r="AE2324" s="1115"/>
      <c r="AF2324" s="1115"/>
      <c r="AG2324" s="1115"/>
      <c r="AH2324" s="1115"/>
      <c r="AI2324" s="1115"/>
      <c r="AJ2324" s="1117"/>
      <c r="AK2324" s="1118"/>
      <c r="AL2324" s="1115"/>
      <c r="AM2324" s="1115"/>
      <c r="AN2324" s="1115"/>
      <c r="AO2324" s="1115"/>
      <c r="AP2324" s="1115"/>
      <c r="AQ2324" s="1115"/>
      <c r="AR2324" s="1115"/>
      <c r="AS2324" s="1117"/>
      <c r="AT2324" s="1196" t="str">
        <f t="shared" si="428"/>
        <v/>
      </c>
      <c r="AU2324" s="1193"/>
      <c r="AV2324" s="330">
        <f>SQRT(($R2324-Infrastructure!J$3)^2+($S2324-Infrastructure!K$3)^2)</f>
        <v>28.90155705</v>
      </c>
      <c r="AW2324" s="331">
        <f>SQRT(($R2324-Infrastructure!J$4)^2+($S2324-Infrastructure!K$4)^2)</f>
        <v>17.80252791</v>
      </c>
      <c r="AX2324" s="331">
        <f>SQRT(($R2324-Infrastructure!J$5)^2+($S2324-Infrastructure!K$5)^2)</f>
        <v>5.10881591</v>
      </c>
      <c r="AY2324" s="331">
        <f>SQRT(($R2324-Infrastructure!J$6)^2+($S2324-Infrastructure!K$6)^2)</f>
        <v>10.10445446</v>
      </c>
      <c r="AZ2324" s="331">
        <f>SQRT(($R2324-Infrastructure!J$7)^2+($S2324-Infrastructure!K$7)^2)</f>
        <v>20.502195</v>
      </c>
      <c r="BA2324" s="331">
        <f>SQRT(($R2324-Infrastructure!J$8)^2+($S2324-Infrastructure!K$8)^2)</f>
        <v>30.10149498</v>
      </c>
      <c r="BB2324" s="331">
        <f>SQRT(($R2324-Infrastructure!J$9)^2+($S2324-Infrastructure!K$9)^2)</f>
        <v>40.3238143</v>
      </c>
      <c r="BC2324" s="331">
        <f>SQRT(($R2324-Infrastructure!J$10)^2+($S2324-Infrastructure!K$10)^2)</f>
        <v>42.72001873</v>
      </c>
      <c r="BD2324" s="331">
        <f>SQRT(($R2324-Infrastructure!J$11)^2+($S2324-Infrastructure!K$11)^2)</f>
        <v>49.56853841</v>
      </c>
      <c r="BE2324" s="333">
        <f>SQRT(($R2324-Infrastructure!J$12)^2+($S2324-Infrastructure!K$12)^2)</f>
        <v>59.51890456</v>
      </c>
      <c r="BF2324" s="330">
        <f t="shared" si="161"/>
        <v>5.10881591</v>
      </c>
      <c r="BG2324" s="333">
        <f t="shared" si="162"/>
        <v>59.51890456</v>
      </c>
      <c r="BH2324" s="1119"/>
      <c r="BI2324" s="319" t="str">
        <f t="shared" ref="BI2324:BR2324" si="1502">IF(ISNUMBER(FIND(BI$3, $CO2324)), "Y", "")</f>
        <v/>
      </c>
      <c r="BJ2324" s="319" t="str">
        <f t="shared" si="1502"/>
        <v/>
      </c>
      <c r="BK2324" s="319" t="str">
        <f t="shared" si="1502"/>
        <v/>
      </c>
      <c r="BL2324" s="319" t="str">
        <f t="shared" si="1502"/>
        <v/>
      </c>
      <c r="BM2324" s="319" t="str">
        <f t="shared" si="1502"/>
        <v/>
      </c>
      <c r="BN2324" s="319" t="str">
        <f t="shared" si="1502"/>
        <v/>
      </c>
      <c r="BO2324" s="319" t="str">
        <f t="shared" si="1502"/>
        <v/>
      </c>
      <c r="BP2324" s="319" t="str">
        <f t="shared" si="1502"/>
        <v/>
      </c>
      <c r="BQ2324" s="319" t="str">
        <f t="shared" si="1502"/>
        <v/>
      </c>
      <c r="BR2324" s="319" t="str">
        <f t="shared" si="1502"/>
        <v/>
      </c>
      <c r="BS2324" s="330">
        <f t="shared" si="185"/>
        <v>0</v>
      </c>
      <c r="BT2324" s="331">
        <f t="shared" si="170"/>
        <v>0</v>
      </c>
      <c r="BU2324" s="920"/>
      <c r="BV2324" s="903" t="str">
        <f t="shared" si="1244"/>
        <v/>
      </c>
      <c r="BW2324" s="908"/>
      <c r="BX2324" s="908"/>
      <c r="BY2324" s="331" t="b">
        <f t="shared" si="201"/>
        <v>0</v>
      </c>
      <c r="BZ2324" s="331"/>
      <c r="CA2324" s="462" t="str">
        <f t="shared" ref="CA2324:CJ2324" si="1503">IF(ISNUMBER(FIND(BI$3, $CP2324)), "Y", "")</f>
        <v/>
      </c>
      <c r="CB2324" s="319" t="str">
        <f t="shared" si="1503"/>
        <v/>
      </c>
      <c r="CC2324" s="319" t="str">
        <f t="shared" si="1503"/>
        <v/>
      </c>
      <c r="CD2324" s="319" t="str">
        <f t="shared" si="1503"/>
        <v/>
      </c>
      <c r="CE2324" s="319" t="str">
        <f t="shared" si="1503"/>
        <v/>
      </c>
      <c r="CF2324" s="319" t="str">
        <f t="shared" si="1503"/>
        <v/>
      </c>
      <c r="CG2324" s="319" t="str">
        <f t="shared" si="1503"/>
        <v/>
      </c>
      <c r="CH2324" s="319" t="str">
        <f t="shared" si="1503"/>
        <v/>
      </c>
      <c r="CI2324" s="319" t="str">
        <f t="shared" si="1503"/>
        <v/>
      </c>
      <c r="CJ2324" s="319" t="str">
        <f t="shared" si="1503"/>
        <v/>
      </c>
      <c r="CK2324" s="342">
        <f t="shared" si="182"/>
        <v>0</v>
      </c>
      <c r="CL2324" s="333">
        <f t="shared" si="183"/>
        <v>0</v>
      </c>
      <c r="CM2324" s="1079"/>
      <c r="CN2324" s="1005"/>
      <c r="CO2324" s="1005"/>
      <c r="CP2324" s="1005"/>
    </row>
    <row r="2325">
      <c r="A2325" s="1257"/>
      <c r="B2325" s="1113"/>
      <c r="C2325" s="1107"/>
      <c r="D2325" s="103"/>
      <c r="E2325" s="1137"/>
      <c r="F2325" s="112"/>
      <c r="G2325" s="1110"/>
      <c r="H2325" s="1138"/>
      <c r="I2325" s="1138"/>
      <c r="J2325" s="1139"/>
      <c r="K2325" s="1111"/>
      <c r="L2325" s="1112"/>
      <c r="M2325" s="1113"/>
      <c r="N2325" s="110"/>
      <c r="O2325" s="1140"/>
      <c r="P2325" s="1115"/>
      <c r="Q2325" s="1116"/>
      <c r="R2325" s="1141"/>
      <c r="S2325" s="1113"/>
      <c r="T2325" s="1143"/>
      <c r="U2325" s="1108"/>
      <c r="V2325" s="1108"/>
      <c r="W2325" s="1108"/>
      <c r="X2325" s="1108"/>
      <c r="Y2325" s="1108"/>
      <c r="Z2325" s="1114"/>
      <c r="AA2325" s="1114"/>
      <c r="AB2325" s="1114"/>
      <c r="AC2325" s="1117"/>
      <c r="AD2325" s="1115"/>
      <c r="AE2325" s="1115"/>
      <c r="AF2325" s="1115"/>
      <c r="AG2325" s="1115"/>
      <c r="AH2325" s="1115"/>
      <c r="AI2325" s="1115"/>
      <c r="AJ2325" s="1117"/>
      <c r="AK2325" s="1118"/>
      <c r="AL2325" s="1115"/>
      <c r="AM2325" s="1115"/>
      <c r="AN2325" s="1115"/>
      <c r="AO2325" s="1115"/>
      <c r="AP2325" s="1115"/>
      <c r="AQ2325" s="1115"/>
      <c r="AR2325" s="1115"/>
      <c r="AS2325" s="1117"/>
      <c r="AT2325" s="1196" t="str">
        <f t="shared" si="428"/>
        <v/>
      </c>
      <c r="AU2325" s="1193"/>
      <c r="AV2325" s="330">
        <f>SQRT(($R2325-Infrastructure!J$3)^2+($S2325-Infrastructure!K$3)^2)</f>
        <v>28.90155705</v>
      </c>
      <c r="AW2325" s="331">
        <f>SQRT(($R2325-Infrastructure!J$4)^2+($S2325-Infrastructure!K$4)^2)</f>
        <v>17.80252791</v>
      </c>
      <c r="AX2325" s="331">
        <f>SQRT(($R2325-Infrastructure!J$5)^2+($S2325-Infrastructure!K$5)^2)</f>
        <v>5.10881591</v>
      </c>
      <c r="AY2325" s="331">
        <f>SQRT(($R2325-Infrastructure!J$6)^2+($S2325-Infrastructure!K$6)^2)</f>
        <v>10.10445446</v>
      </c>
      <c r="AZ2325" s="331">
        <f>SQRT(($R2325-Infrastructure!J$7)^2+($S2325-Infrastructure!K$7)^2)</f>
        <v>20.502195</v>
      </c>
      <c r="BA2325" s="331">
        <f>SQRT(($R2325-Infrastructure!J$8)^2+($S2325-Infrastructure!K$8)^2)</f>
        <v>30.10149498</v>
      </c>
      <c r="BB2325" s="331">
        <f>SQRT(($R2325-Infrastructure!J$9)^2+($S2325-Infrastructure!K$9)^2)</f>
        <v>40.3238143</v>
      </c>
      <c r="BC2325" s="331">
        <f>SQRT(($R2325-Infrastructure!J$10)^2+($S2325-Infrastructure!K$10)^2)</f>
        <v>42.72001873</v>
      </c>
      <c r="BD2325" s="331">
        <f>SQRT(($R2325-Infrastructure!J$11)^2+($S2325-Infrastructure!K$11)^2)</f>
        <v>49.56853841</v>
      </c>
      <c r="BE2325" s="333">
        <f>SQRT(($R2325-Infrastructure!J$12)^2+($S2325-Infrastructure!K$12)^2)</f>
        <v>59.51890456</v>
      </c>
      <c r="BF2325" s="330">
        <f t="shared" si="161"/>
        <v>5.10881591</v>
      </c>
      <c r="BG2325" s="333">
        <f t="shared" si="162"/>
        <v>59.51890456</v>
      </c>
      <c r="BH2325" s="1119"/>
      <c r="BI2325" s="319" t="str">
        <f t="shared" ref="BI2325:BR2325" si="1504">IF(ISNUMBER(FIND(BI$3, $CO2325)), "Y", "")</f>
        <v/>
      </c>
      <c r="BJ2325" s="319" t="str">
        <f t="shared" si="1504"/>
        <v/>
      </c>
      <c r="BK2325" s="319" t="str">
        <f t="shared" si="1504"/>
        <v/>
      </c>
      <c r="BL2325" s="319" t="str">
        <f t="shared" si="1504"/>
        <v/>
      </c>
      <c r="BM2325" s="319" t="str">
        <f t="shared" si="1504"/>
        <v/>
      </c>
      <c r="BN2325" s="319" t="str">
        <f t="shared" si="1504"/>
        <v/>
      </c>
      <c r="BO2325" s="319" t="str">
        <f t="shared" si="1504"/>
        <v/>
      </c>
      <c r="BP2325" s="319" t="str">
        <f t="shared" si="1504"/>
        <v/>
      </c>
      <c r="BQ2325" s="319" t="str">
        <f t="shared" si="1504"/>
        <v/>
      </c>
      <c r="BR2325" s="319" t="str">
        <f t="shared" si="1504"/>
        <v/>
      </c>
      <c r="BS2325" s="330">
        <f t="shared" si="185"/>
        <v>0</v>
      </c>
      <c r="BT2325" s="331">
        <f t="shared" si="170"/>
        <v>0</v>
      </c>
      <c r="BU2325" s="920"/>
      <c r="BV2325" s="903" t="str">
        <f t="shared" si="1244"/>
        <v/>
      </c>
      <c r="BW2325" s="908"/>
      <c r="BX2325" s="908"/>
      <c r="BY2325" s="331" t="b">
        <f t="shared" si="201"/>
        <v>0</v>
      </c>
      <c r="BZ2325" s="331"/>
      <c r="CA2325" s="462" t="str">
        <f t="shared" ref="CA2325:CJ2325" si="1505">IF(ISNUMBER(FIND(BI$3, $CP2325)), "Y", "")</f>
        <v/>
      </c>
      <c r="CB2325" s="319" t="str">
        <f t="shared" si="1505"/>
        <v/>
      </c>
      <c r="CC2325" s="319" t="str">
        <f t="shared" si="1505"/>
        <v/>
      </c>
      <c r="CD2325" s="319" t="str">
        <f t="shared" si="1505"/>
        <v/>
      </c>
      <c r="CE2325" s="319" t="str">
        <f t="shared" si="1505"/>
        <v/>
      </c>
      <c r="CF2325" s="319" t="str">
        <f t="shared" si="1505"/>
        <v/>
      </c>
      <c r="CG2325" s="319" t="str">
        <f t="shared" si="1505"/>
        <v/>
      </c>
      <c r="CH2325" s="319" t="str">
        <f t="shared" si="1505"/>
        <v/>
      </c>
      <c r="CI2325" s="319" t="str">
        <f t="shared" si="1505"/>
        <v/>
      </c>
      <c r="CJ2325" s="319" t="str">
        <f t="shared" si="1505"/>
        <v/>
      </c>
      <c r="CK2325" s="342">
        <f t="shared" si="182"/>
        <v>0</v>
      </c>
      <c r="CL2325" s="333">
        <f t="shared" si="183"/>
        <v>0</v>
      </c>
      <c r="CM2325" s="1079"/>
      <c r="CN2325" s="1005"/>
      <c r="CO2325" s="1005"/>
      <c r="CP2325" s="1005"/>
    </row>
    <row r="2326">
      <c r="A2326" s="1257"/>
      <c r="B2326" s="1113"/>
      <c r="C2326" s="1107"/>
      <c r="D2326" s="103"/>
      <c r="E2326" s="1137"/>
      <c r="F2326" s="112"/>
      <c r="G2326" s="1110"/>
      <c r="H2326" s="1138"/>
      <c r="I2326" s="1138"/>
      <c r="J2326" s="1139"/>
      <c r="K2326" s="1111"/>
      <c r="L2326" s="1112"/>
      <c r="M2326" s="1113"/>
      <c r="N2326" s="110"/>
      <c r="O2326" s="1140"/>
      <c r="P2326" s="1115"/>
      <c r="Q2326" s="1116"/>
      <c r="R2326" s="1141"/>
      <c r="S2326" s="1113"/>
      <c r="T2326" s="1143"/>
      <c r="U2326" s="1108"/>
      <c r="V2326" s="1108"/>
      <c r="W2326" s="1108"/>
      <c r="X2326" s="1108"/>
      <c r="Y2326" s="1108"/>
      <c r="Z2326" s="1114"/>
      <c r="AA2326" s="1114"/>
      <c r="AB2326" s="1114"/>
      <c r="AC2326" s="1117"/>
      <c r="AD2326" s="1115"/>
      <c r="AE2326" s="1115"/>
      <c r="AF2326" s="1115"/>
      <c r="AG2326" s="1115"/>
      <c r="AH2326" s="1115"/>
      <c r="AI2326" s="1115"/>
      <c r="AJ2326" s="1117"/>
      <c r="AK2326" s="1118"/>
      <c r="AL2326" s="1115"/>
      <c r="AM2326" s="1115"/>
      <c r="AN2326" s="1115"/>
      <c r="AO2326" s="1115"/>
      <c r="AP2326" s="1115"/>
      <c r="AQ2326" s="1115"/>
      <c r="AR2326" s="1115"/>
      <c r="AS2326" s="1117"/>
      <c r="AT2326" s="1196" t="str">
        <f t="shared" si="428"/>
        <v/>
      </c>
      <c r="AU2326" s="1193"/>
      <c r="AV2326" s="330">
        <f>SQRT(($R2326-Infrastructure!J$3)^2+($S2326-Infrastructure!K$3)^2)</f>
        <v>28.90155705</v>
      </c>
      <c r="AW2326" s="331">
        <f>SQRT(($R2326-Infrastructure!J$4)^2+($S2326-Infrastructure!K$4)^2)</f>
        <v>17.80252791</v>
      </c>
      <c r="AX2326" s="331">
        <f>SQRT(($R2326-Infrastructure!J$5)^2+($S2326-Infrastructure!K$5)^2)</f>
        <v>5.10881591</v>
      </c>
      <c r="AY2326" s="331">
        <f>SQRT(($R2326-Infrastructure!J$6)^2+($S2326-Infrastructure!K$6)^2)</f>
        <v>10.10445446</v>
      </c>
      <c r="AZ2326" s="331">
        <f>SQRT(($R2326-Infrastructure!J$7)^2+($S2326-Infrastructure!K$7)^2)</f>
        <v>20.502195</v>
      </c>
      <c r="BA2326" s="331">
        <f>SQRT(($R2326-Infrastructure!J$8)^2+($S2326-Infrastructure!K$8)^2)</f>
        <v>30.10149498</v>
      </c>
      <c r="BB2326" s="331">
        <f>SQRT(($R2326-Infrastructure!J$9)^2+($S2326-Infrastructure!K$9)^2)</f>
        <v>40.3238143</v>
      </c>
      <c r="BC2326" s="331">
        <f>SQRT(($R2326-Infrastructure!J$10)^2+($S2326-Infrastructure!K$10)^2)</f>
        <v>42.72001873</v>
      </c>
      <c r="BD2326" s="331">
        <f>SQRT(($R2326-Infrastructure!J$11)^2+($S2326-Infrastructure!K$11)^2)</f>
        <v>49.56853841</v>
      </c>
      <c r="BE2326" s="333">
        <f>SQRT(($R2326-Infrastructure!J$12)^2+($S2326-Infrastructure!K$12)^2)</f>
        <v>59.51890456</v>
      </c>
      <c r="BF2326" s="330">
        <f t="shared" si="161"/>
        <v>5.10881591</v>
      </c>
      <c r="BG2326" s="333">
        <f t="shared" si="162"/>
        <v>59.51890456</v>
      </c>
      <c r="BH2326" s="1119"/>
      <c r="BI2326" s="319" t="str">
        <f t="shared" ref="BI2326:BR2326" si="1506">IF(ISNUMBER(FIND(BI$3, $CO2326)), "Y", "")</f>
        <v/>
      </c>
      <c r="BJ2326" s="319" t="str">
        <f t="shared" si="1506"/>
        <v/>
      </c>
      <c r="BK2326" s="319" t="str">
        <f t="shared" si="1506"/>
        <v/>
      </c>
      <c r="BL2326" s="319" t="str">
        <f t="shared" si="1506"/>
        <v/>
      </c>
      <c r="BM2326" s="319" t="str">
        <f t="shared" si="1506"/>
        <v/>
      </c>
      <c r="BN2326" s="319" t="str">
        <f t="shared" si="1506"/>
        <v/>
      </c>
      <c r="BO2326" s="319" t="str">
        <f t="shared" si="1506"/>
        <v/>
      </c>
      <c r="BP2326" s="319" t="str">
        <f t="shared" si="1506"/>
        <v/>
      </c>
      <c r="BQ2326" s="319" t="str">
        <f t="shared" si="1506"/>
        <v/>
      </c>
      <c r="BR2326" s="319" t="str">
        <f t="shared" si="1506"/>
        <v/>
      </c>
      <c r="BS2326" s="330">
        <f t="shared" si="185"/>
        <v>0</v>
      </c>
      <c r="BT2326" s="331">
        <f t="shared" si="170"/>
        <v>0</v>
      </c>
      <c r="BU2326" s="920"/>
      <c r="BV2326" s="903" t="str">
        <f t="shared" si="1244"/>
        <v/>
      </c>
      <c r="BW2326" s="908"/>
      <c r="BX2326" s="908"/>
      <c r="BY2326" s="331" t="b">
        <f t="shared" si="201"/>
        <v>0</v>
      </c>
      <c r="BZ2326" s="331"/>
      <c r="CA2326" s="462" t="str">
        <f t="shared" ref="CA2326:CJ2326" si="1507">IF(ISNUMBER(FIND(BI$3, $CP2326)), "Y", "")</f>
        <v/>
      </c>
      <c r="CB2326" s="319" t="str">
        <f t="shared" si="1507"/>
        <v/>
      </c>
      <c r="CC2326" s="319" t="str">
        <f t="shared" si="1507"/>
        <v/>
      </c>
      <c r="CD2326" s="319" t="str">
        <f t="shared" si="1507"/>
        <v/>
      </c>
      <c r="CE2326" s="319" t="str">
        <f t="shared" si="1507"/>
        <v/>
      </c>
      <c r="CF2326" s="319" t="str">
        <f t="shared" si="1507"/>
        <v/>
      </c>
      <c r="CG2326" s="319" t="str">
        <f t="shared" si="1507"/>
        <v/>
      </c>
      <c r="CH2326" s="319" t="str">
        <f t="shared" si="1507"/>
        <v/>
      </c>
      <c r="CI2326" s="319" t="str">
        <f t="shared" si="1507"/>
        <v/>
      </c>
      <c r="CJ2326" s="319" t="str">
        <f t="shared" si="1507"/>
        <v/>
      </c>
      <c r="CK2326" s="342">
        <f t="shared" si="182"/>
        <v>0</v>
      </c>
      <c r="CL2326" s="333">
        <f t="shared" si="183"/>
        <v>0</v>
      </c>
      <c r="CM2326" s="1079"/>
      <c r="CN2326" s="1005"/>
      <c r="CO2326" s="1005"/>
      <c r="CP2326" s="1005"/>
    </row>
    <row r="2327">
      <c r="A2327" s="1257"/>
      <c r="B2327" s="1113"/>
      <c r="C2327" s="1107"/>
      <c r="D2327" s="103"/>
      <c r="E2327" s="1137"/>
      <c r="F2327" s="112"/>
      <c r="G2327" s="1110"/>
      <c r="H2327" s="1138"/>
      <c r="I2327" s="1138"/>
      <c r="J2327" s="1139"/>
      <c r="K2327" s="1111"/>
      <c r="L2327" s="1112"/>
      <c r="M2327" s="1113"/>
      <c r="N2327" s="110"/>
      <c r="O2327" s="1140"/>
      <c r="P2327" s="1115"/>
      <c r="Q2327" s="1116"/>
      <c r="R2327" s="1141"/>
      <c r="S2327" s="1113"/>
      <c r="T2327" s="1143"/>
      <c r="U2327" s="1108"/>
      <c r="V2327" s="1108"/>
      <c r="W2327" s="1108"/>
      <c r="X2327" s="1108"/>
      <c r="Y2327" s="1108"/>
      <c r="Z2327" s="1114"/>
      <c r="AA2327" s="1114"/>
      <c r="AB2327" s="1114"/>
      <c r="AC2327" s="1117"/>
      <c r="AD2327" s="1115"/>
      <c r="AE2327" s="1115"/>
      <c r="AF2327" s="1115"/>
      <c r="AG2327" s="1115"/>
      <c r="AH2327" s="1115"/>
      <c r="AI2327" s="1115"/>
      <c r="AJ2327" s="1117"/>
      <c r="AK2327" s="1118"/>
      <c r="AL2327" s="1115"/>
      <c r="AM2327" s="1115"/>
      <c r="AN2327" s="1115"/>
      <c r="AO2327" s="1115"/>
      <c r="AP2327" s="1115"/>
      <c r="AQ2327" s="1115"/>
      <c r="AR2327" s="1115"/>
      <c r="AS2327" s="1117"/>
      <c r="AT2327" s="1196" t="str">
        <f t="shared" si="428"/>
        <v/>
      </c>
      <c r="AU2327" s="1193"/>
      <c r="AV2327" s="330">
        <f>SQRT(($R2327-Infrastructure!J$3)^2+($S2327-Infrastructure!K$3)^2)</f>
        <v>28.90155705</v>
      </c>
      <c r="AW2327" s="331">
        <f>SQRT(($R2327-Infrastructure!J$4)^2+($S2327-Infrastructure!K$4)^2)</f>
        <v>17.80252791</v>
      </c>
      <c r="AX2327" s="331">
        <f>SQRT(($R2327-Infrastructure!J$5)^2+($S2327-Infrastructure!K$5)^2)</f>
        <v>5.10881591</v>
      </c>
      <c r="AY2327" s="331">
        <f>SQRT(($R2327-Infrastructure!J$6)^2+($S2327-Infrastructure!K$6)^2)</f>
        <v>10.10445446</v>
      </c>
      <c r="AZ2327" s="331">
        <f>SQRT(($R2327-Infrastructure!J$7)^2+($S2327-Infrastructure!K$7)^2)</f>
        <v>20.502195</v>
      </c>
      <c r="BA2327" s="331">
        <f>SQRT(($R2327-Infrastructure!J$8)^2+($S2327-Infrastructure!K$8)^2)</f>
        <v>30.10149498</v>
      </c>
      <c r="BB2327" s="331">
        <f>SQRT(($R2327-Infrastructure!J$9)^2+($S2327-Infrastructure!K$9)^2)</f>
        <v>40.3238143</v>
      </c>
      <c r="BC2327" s="331">
        <f>SQRT(($R2327-Infrastructure!J$10)^2+($S2327-Infrastructure!K$10)^2)</f>
        <v>42.72001873</v>
      </c>
      <c r="BD2327" s="331">
        <f>SQRT(($R2327-Infrastructure!J$11)^2+($S2327-Infrastructure!K$11)^2)</f>
        <v>49.56853841</v>
      </c>
      <c r="BE2327" s="333">
        <f>SQRT(($R2327-Infrastructure!J$12)^2+($S2327-Infrastructure!K$12)^2)</f>
        <v>59.51890456</v>
      </c>
      <c r="BF2327" s="330">
        <f t="shared" si="161"/>
        <v>5.10881591</v>
      </c>
      <c r="BG2327" s="333">
        <f t="shared" si="162"/>
        <v>59.51890456</v>
      </c>
      <c r="BH2327" s="1119"/>
      <c r="BI2327" s="319" t="str">
        <f t="shared" ref="BI2327:BR2327" si="1508">IF(ISNUMBER(FIND(BI$3, $CO2327)), "Y", "")</f>
        <v/>
      </c>
      <c r="BJ2327" s="319" t="str">
        <f t="shared" si="1508"/>
        <v/>
      </c>
      <c r="BK2327" s="319" t="str">
        <f t="shared" si="1508"/>
        <v/>
      </c>
      <c r="BL2327" s="319" t="str">
        <f t="shared" si="1508"/>
        <v/>
      </c>
      <c r="BM2327" s="319" t="str">
        <f t="shared" si="1508"/>
        <v/>
      </c>
      <c r="BN2327" s="319" t="str">
        <f t="shared" si="1508"/>
        <v/>
      </c>
      <c r="BO2327" s="319" t="str">
        <f t="shared" si="1508"/>
        <v/>
      </c>
      <c r="BP2327" s="319" t="str">
        <f t="shared" si="1508"/>
        <v/>
      </c>
      <c r="BQ2327" s="319" t="str">
        <f t="shared" si="1508"/>
        <v/>
      </c>
      <c r="BR2327" s="319" t="str">
        <f t="shared" si="1508"/>
        <v/>
      </c>
      <c r="BS2327" s="330">
        <f t="shared" si="185"/>
        <v>0</v>
      </c>
      <c r="BT2327" s="331">
        <f t="shared" si="170"/>
        <v>0</v>
      </c>
      <c r="BU2327" s="920"/>
      <c r="BV2327" s="903" t="str">
        <f t="shared" si="1244"/>
        <v/>
      </c>
      <c r="BW2327" s="908"/>
      <c r="BX2327" s="908"/>
      <c r="BY2327" s="331" t="b">
        <f t="shared" si="201"/>
        <v>0</v>
      </c>
      <c r="BZ2327" s="331"/>
      <c r="CA2327" s="462" t="str">
        <f t="shared" ref="CA2327:CJ2327" si="1509">IF(ISNUMBER(FIND(BI$3, $CP2327)), "Y", "")</f>
        <v/>
      </c>
      <c r="CB2327" s="319" t="str">
        <f t="shared" si="1509"/>
        <v/>
      </c>
      <c r="CC2327" s="319" t="str">
        <f t="shared" si="1509"/>
        <v/>
      </c>
      <c r="CD2327" s="319" t="str">
        <f t="shared" si="1509"/>
        <v/>
      </c>
      <c r="CE2327" s="319" t="str">
        <f t="shared" si="1509"/>
        <v/>
      </c>
      <c r="CF2327" s="319" t="str">
        <f t="shared" si="1509"/>
        <v/>
      </c>
      <c r="CG2327" s="319" t="str">
        <f t="shared" si="1509"/>
        <v/>
      </c>
      <c r="CH2327" s="319" t="str">
        <f t="shared" si="1509"/>
        <v/>
      </c>
      <c r="CI2327" s="319" t="str">
        <f t="shared" si="1509"/>
        <v/>
      </c>
      <c r="CJ2327" s="319" t="str">
        <f t="shared" si="1509"/>
        <v/>
      </c>
      <c r="CK2327" s="342">
        <f t="shared" si="182"/>
        <v>0</v>
      </c>
      <c r="CL2327" s="333">
        <f t="shared" si="183"/>
        <v>0</v>
      </c>
      <c r="CM2327" s="1079"/>
      <c r="CN2327" s="1005"/>
      <c r="CO2327" s="1005"/>
      <c r="CP2327" s="1005"/>
    </row>
    <row r="2328">
      <c r="A2328" s="1257"/>
      <c r="B2328" s="1113"/>
      <c r="C2328" s="1107"/>
      <c r="D2328" s="103"/>
      <c r="E2328" s="1137"/>
      <c r="F2328" s="112"/>
      <c r="G2328" s="1110"/>
      <c r="H2328" s="1138"/>
      <c r="I2328" s="1138"/>
      <c r="J2328" s="1139"/>
      <c r="K2328" s="1111"/>
      <c r="L2328" s="1112"/>
      <c r="M2328" s="1113"/>
      <c r="N2328" s="110"/>
      <c r="O2328" s="1140"/>
      <c r="P2328" s="1115"/>
      <c r="Q2328" s="1116"/>
      <c r="R2328" s="1141"/>
      <c r="S2328" s="1113"/>
      <c r="T2328" s="1143"/>
      <c r="U2328" s="1108"/>
      <c r="V2328" s="1108"/>
      <c r="W2328" s="1108"/>
      <c r="X2328" s="1108"/>
      <c r="Y2328" s="1108"/>
      <c r="Z2328" s="1114"/>
      <c r="AA2328" s="1114"/>
      <c r="AB2328" s="1114"/>
      <c r="AC2328" s="1117"/>
      <c r="AD2328" s="1115"/>
      <c r="AE2328" s="1115"/>
      <c r="AF2328" s="1115"/>
      <c r="AG2328" s="1115"/>
      <c r="AH2328" s="1115"/>
      <c r="AI2328" s="1115"/>
      <c r="AJ2328" s="1117"/>
      <c r="AK2328" s="1118"/>
      <c r="AL2328" s="1115"/>
      <c r="AM2328" s="1115"/>
      <c r="AN2328" s="1115"/>
      <c r="AO2328" s="1115"/>
      <c r="AP2328" s="1115"/>
      <c r="AQ2328" s="1115"/>
      <c r="AR2328" s="1115"/>
      <c r="AS2328" s="1117"/>
      <c r="AT2328" s="1196" t="str">
        <f t="shared" si="428"/>
        <v/>
      </c>
      <c r="AU2328" s="1193"/>
      <c r="AV2328" s="330">
        <f>SQRT(($R2328-Infrastructure!J$3)^2+($S2328-Infrastructure!K$3)^2)</f>
        <v>28.90155705</v>
      </c>
      <c r="AW2328" s="331">
        <f>SQRT(($R2328-Infrastructure!J$4)^2+($S2328-Infrastructure!K$4)^2)</f>
        <v>17.80252791</v>
      </c>
      <c r="AX2328" s="331">
        <f>SQRT(($R2328-Infrastructure!J$5)^2+($S2328-Infrastructure!K$5)^2)</f>
        <v>5.10881591</v>
      </c>
      <c r="AY2328" s="331">
        <f>SQRT(($R2328-Infrastructure!J$6)^2+($S2328-Infrastructure!K$6)^2)</f>
        <v>10.10445446</v>
      </c>
      <c r="AZ2328" s="331">
        <f>SQRT(($R2328-Infrastructure!J$7)^2+($S2328-Infrastructure!K$7)^2)</f>
        <v>20.502195</v>
      </c>
      <c r="BA2328" s="331">
        <f>SQRT(($R2328-Infrastructure!J$8)^2+($S2328-Infrastructure!K$8)^2)</f>
        <v>30.10149498</v>
      </c>
      <c r="BB2328" s="331">
        <f>SQRT(($R2328-Infrastructure!J$9)^2+($S2328-Infrastructure!K$9)^2)</f>
        <v>40.3238143</v>
      </c>
      <c r="BC2328" s="331">
        <f>SQRT(($R2328-Infrastructure!J$10)^2+($S2328-Infrastructure!K$10)^2)</f>
        <v>42.72001873</v>
      </c>
      <c r="BD2328" s="331">
        <f>SQRT(($R2328-Infrastructure!J$11)^2+($S2328-Infrastructure!K$11)^2)</f>
        <v>49.56853841</v>
      </c>
      <c r="BE2328" s="333">
        <f>SQRT(($R2328-Infrastructure!J$12)^2+($S2328-Infrastructure!K$12)^2)</f>
        <v>59.51890456</v>
      </c>
      <c r="BF2328" s="330">
        <f t="shared" si="161"/>
        <v>5.10881591</v>
      </c>
      <c r="BG2328" s="333">
        <f t="shared" si="162"/>
        <v>59.51890456</v>
      </c>
      <c r="BH2328" s="1119"/>
      <c r="BI2328" s="319" t="str">
        <f t="shared" ref="BI2328:BR2328" si="1510">IF(ISNUMBER(FIND(BI$3, $CO2328)), "Y", "")</f>
        <v/>
      </c>
      <c r="BJ2328" s="319" t="str">
        <f t="shared" si="1510"/>
        <v/>
      </c>
      <c r="BK2328" s="319" t="str">
        <f t="shared" si="1510"/>
        <v/>
      </c>
      <c r="BL2328" s="319" t="str">
        <f t="shared" si="1510"/>
        <v/>
      </c>
      <c r="BM2328" s="319" t="str">
        <f t="shared" si="1510"/>
        <v/>
      </c>
      <c r="BN2328" s="319" t="str">
        <f t="shared" si="1510"/>
        <v/>
      </c>
      <c r="BO2328" s="319" t="str">
        <f t="shared" si="1510"/>
        <v/>
      </c>
      <c r="BP2328" s="319" t="str">
        <f t="shared" si="1510"/>
        <v/>
      </c>
      <c r="BQ2328" s="319" t="str">
        <f t="shared" si="1510"/>
        <v/>
      </c>
      <c r="BR2328" s="319" t="str">
        <f t="shared" si="1510"/>
        <v/>
      </c>
      <c r="BS2328" s="330">
        <f t="shared" si="185"/>
        <v>0</v>
      </c>
      <c r="BT2328" s="331">
        <f t="shared" si="170"/>
        <v>0</v>
      </c>
      <c r="BU2328" s="920"/>
      <c r="BV2328" s="903" t="str">
        <f t="shared" si="1244"/>
        <v/>
      </c>
      <c r="BW2328" s="908"/>
      <c r="BX2328" s="908"/>
      <c r="BY2328" s="331" t="b">
        <f t="shared" si="201"/>
        <v>0</v>
      </c>
      <c r="BZ2328" s="331"/>
      <c r="CA2328" s="462" t="str">
        <f t="shared" ref="CA2328:CJ2328" si="1511">IF(ISNUMBER(FIND(BI$3, $CP2328)), "Y", "")</f>
        <v/>
      </c>
      <c r="CB2328" s="319" t="str">
        <f t="shared" si="1511"/>
        <v/>
      </c>
      <c r="CC2328" s="319" t="str">
        <f t="shared" si="1511"/>
        <v/>
      </c>
      <c r="CD2328" s="319" t="str">
        <f t="shared" si="1511"/>
        <v/>
      </c>
      <c r="CE2328" s="319" t="str">
        <f t="shared" si="1511"/>
        <v/>
      </c>
      <c r="CF2328" s="319" t="str">
        <f t="shared" si="1511"/>
        <v/>
      </c>
      <c r="CG2328" s="319" t="str">
        <f t="shared" si="1511"/>
        <v/>
      </c>
      <c r="CH2328" s="319" t="str">
        <f t="shared" si="1511"/>
        <v/>
      </c>
      <c r="CI2328" s="319" t="str">
        <f t="shared" si="1511"/>
        <v/>
      </c>
      <c r="CJ2328" s="319" t="str">
        <f t="shared" si="1511"/>
        <v/>
      </c>
      <c r="CK2328" s="342">
        <f t="shared" si="182"/>
        <v>0</v>
      </c>
      <c r="CL2328" s="333">
        <f t="shared" si="183"/>
        <v>0</v>
      </c>
      <c r="CM2328" s="1079"/>
      <c r="CN2328" s="1005"/>
      <c r="CO2328" s="1005"/>
      <c r="CP2328" s="1005"/>
    </row>
    <row r="2329">
      <c r="A2329" s="1257"/>
      <c r="B2329" s="1113"/>
      <c r="C2329" s="1107"/>
      <c r="D2329" s="103"/>
      <c r="E2329" s="1137"/>
      <c r="F2329" s="112"/>
      <c r="G2329" s="1110"/>
      <c r="H2329" s="1138"/>
      <c r="I2329" s="1138"/>
      <c r="J2329" s="1139"/>
      <c r="K2329" s="1111"/>
      <c r="L2329" s="1112"/>
      <c r="M2329" s="1113"/>
      <c r="N2329" s="110"/>
      <c r="O2329" s="1140"/>
      <c r="P2329" s="1115"/>
      <c r="Q2329" s="1116"/>
      <c r="R2329" s="1141"/>
      <c r="S2329" s="1113"/>
      <c r="T2329" s="1143"/>
      <c r="U2329" s="1108"/>
      <c r="V2329" s="1108"/>
      <c r="W2329" s="1108"/>
      <c r="X2329" s="1108"/>
      <c r="Y2329" s="1108"/>
      <c r="Z2329" s="1114"/>
      <c r="AA2329" s="1114"/>
      <c r="AB2329" s="1114"/>
      <c r="AC2329" s="1117"/>
      <c r="AD2329" s="1115"/>
      <c r="AE2329" s="1115"/>
      <c r="AF2329" s="1115"/>
      <c r="AG2329" s="1115"/>
      <c r="AH2329" s="1115"/>
      <c r="AI2329" s="1115"/>
      <c r="AJ2329" s="1117"/>
      <c r="AK2329" s="1118"/>
      <c r="AL2329" s="1115"/>
      <c r="AM2329" s="1115"/>
      <c r="AN2329" s="1115"/>
      <c r="AO2329" s="1115"/>
      <c r="AP2329" s="1115"/>
      <c r="AQ2329" s="1115"/>
      <c r="AR2329" s="1115"/>
      <c r="AS2329" s="1117"/>
      <c r="AT2329" s="1196" t="str">
        <f t="shared" si="428"/>
        <v/>
      </c>
      <c r="AU2329" s="1193"/>
      <c r="AV2329" s="330">
        <f>SQRT(($R2329-Infrastructure!J$3)^2+($S2329-Infrastructure!K$3)^2)</f>
        <v>28.90155705</v>
      </c>
      <c r="AW2329" s="331">
        <f>SQRT(($R2329-Infrastructure!J$4)^2+($S2329-Infrastructure!K$4)^2)</f>
        <v>17.80252791</v>
      </c>
      <c r="AX2329" s="331">
        <f>SQRT(($R2329-Infrastructure!J$5)^2+($S2329-Infrastructure!K$5)^2)</f>
        <v>5.10881591</v>
      </c>
      <c r="AY2329" s="331">
        <f>SQRT(($R2329-Infrastructure!J$6)^2+($S2329-Infrastructure!K$6)^2)</f>
        <v>10.10445446</v>
      </c>
      <c r="AZ2329" s="331">
        <f>SQRT(($R2329-Infrastructure!J$7)^2+($S2329-Infrastructure!K$7)^2)</f>
        <v>20.502195</v>
      </c>
      <c r="BA2329" s="331">
        <f>SQRT(($R2329-Infrastructure!J$8)^2+($S2329-Infrastructure!K$8)^2)</f>
        <v>30.10149498</v>
      </c>
      <c r="BB2329" s="331">
        <f>SQRT(($R2329-Infrastructure!J$9)^2+($S2329-Infrastructure!K$9)^2)</f>
        <v>40.3238143</v>
      </c>
      <c r="BC2329" s="331">
        <f>SQRT(($R2329-Infrastructure!J$10)^2+($S2329-Infrastructure!K$10)^2)</f>
        <v>42.72001873</v>
      </c>
      <c r="BD2329" s="331">
        <f>SQRT(($R2329-Infrastructure!J$11)^2+($S2329-Infrastructure!K$11)^2)</f>
        <v>49.56853841</v>
      </c>
      <c r="BE2329" s="333">
        <f>SQRT(($R2329-Infrastructure!J$12)^2+($S2329-Infrastructure!K$12)^2)</f>
        <v>59.51890456</v>
      </c>
      <c r="BF2329" s="330">
        <f t="shared" si="161"/>
        <v>5.10881591</v>
      </c>
      <c r="BG2329" s="333">
        <f t="shared" si="162"/>
        <v>59.51890456</v>
      </c>
      <c r="BH2329" s="1119"/>
      <c r="BI2329" s="319" t="str">
        <f t="shared" ref="BI2329:BR2329" si="1512">IF(ISNUMBER(FIND(BI$3, $CO2329)), "Y", "")</f>
        <v/>
      </c>
      <c r="BJ2329" s="319" t="str">
        <f t="shared" si="1512"/>
        <v/>
      </c>
      <c r="BK2329" s="319" t="str">
        <f t="shared" si="1512"/>
        <v/>
      </c>
      <c r="BL2329" s="319" t="str">
        <f t="shared" si="1512"/>
        <v/>
      </c>
      <c r="BM2329" s="319" t="str">
        <f t="shared" si="1512"/>
        <v/>
      </c>
      <c r="BN2329" s="319" t="str">
        <f t="shared" si="1512"/>
        <v/>
      </c>
      <c r="BO2329" s="319" t="str">
        <f t="shared" si="1512"/>
        <v/>
      </c>
      <c r="BP2329" s="319" t="str">
        <f t="shared" si="1512"/>
        <v/>
      </c>
      <c r="BQ2329" s="319" t="str">
        <f t="shared" si="1512"/>
        <v/>
      </c>
      <c r="BR2329" s="319" t="str">
        <f t="shared" si="1512"/>
        <v/>
      </c>
      <c r="BS2329" s="330">
        <f t="shared" si="185"/>
        <v>0</v>
      </c>
      <c r="BT2329" s="331">
        <f t="shared" si="170"/>
        <v>0</v>
      </c>
      <c r="BU2329" s="920"/>
      <c r="BV2329" s="903" t="str">
        <f t="shared" si="1244"/>
        <v/>
      </c>
      <c r="BW2329" s="908"/>
      <c r="BX2329" s="908"/>
      <c r="BY2329" s="331" t="b">
        <f t="shared" si="201"/>
        <v>0</v>
      </c>
      <c r="BZ2329" s="331"/>
      <c r="CA2329" s="462" t="str">
        <f t="shared" ref="CA2329:CJ2329" si="1513">IF(ISNUMBER(FIND(BI$3, $CP2329)), "Y", "")</f>
        <v/>
      </c>
      <c r="CB2329" s="319" t="str">
        <f t="shared" si="1513"/>
        <v/>
      </c>
      <c r="CC2329" s="319" t="str">
        <f t="shared" si="1513"/>
        <v/>
      </c>
      <c r="CD2329" s="319" t="str">
        <f t="shared" si="1513"/>
        <v/>
      </c>
      <c r="CE2329" s="319" t="str">
        <f t="shared" si="1513"/>
        <v/>
      </c>
      <c r="CF2329" s="319" t="str">
        <f t="shared" si="1513"/>
        <v/>
      </c>
      <c r="CG2329" s="319" t="str">
        <f t="shared" si="1513"/>
        <v/>
      </c>
      <c r="CH2329" s="319" t="str">
        <f t="shared" si="1513"/>
        <v/>
      </c>
      <c r="CI2329" s="319" t="str">
        <f t="shared" si="1513"/>
        <v/>
      </c>
      <c r="CJ2329" s="319" t="str">
        <f t="shared" si="1513"/>
        <v/>
      </c>
      <c r="CK2329" s="342">
        <f t="shared" si="182"/>
        <v>0</v>
      </c>
      <c r="CL2329" s="333">
        <f t="shared" si="183"/>
        <v>0</v>
      </c>
      <c r="CM2329" s="1079"/>
      <c r="CN2329" s="1005"/>
      <c r="CO2329" s="1005"/>
      <c r="CP2329" s="1005"/>
    </row>
    <row r="2330">
      <c r="A2330" s="1257"/>
      <c r="B2330" s="1113"/>
      <c r="C2330" s="1107"/>
      <c r="D2330" s="103"/>
      <c r="E2330" s="1137"/>
      <c r="F2330" s="112"/>
      <c r="G2330" s="1110"/>
      <c r="H2330" s="1138"/>
      <c r="I2330" s="1138"/>
      <c r="J2330" s="1139"/>
      <c r="K2330" s="1111"/>
      <c r="L2330" s="1112"/>
      <c r="M2330" s="1113"/>
      <c r="N2330" s="110"/>
      <c r="O2330" s="1140"/>
      <c r="P2330" s="1115"/>
      <c r="Q2330" s="1116"/>
      <c r="R2330" s="1141"/>
      <c r="S2330" s="1113"/>
      <c r="T2330" s="1143"/>
      <c r="U2330" s="1108"/>
      <c r="V2330" s="1108"/>
      <c r="W2330" s="1108"/>
      <c r="X2330" s="1108"/>
      <c r="Y2330" s="1108"/>
      <c r="Z2330" s="1114"/>
      <c r="AA2330" s="1114"/>
      <c r="AB2330" s="1114"/>
      <c r="AC2330" s="1117"/>
      <c r="AD2330" s="1115"/>
      <c r="AE2330" s="1115"/>
      <c r="AF2330" s="1115"/>
      <c r="AG2330" s="1115"/>
      <c r="AH2330" s="1115"/>
      <c r="AI2330" s="1115"/>
      <c r="AJ2330" s="1117"/>
      <c r="AK2330" s="1118"/>
      <c r="AL2330" s="1115"/>
      <c r="AM2330" s="1115"/>
      <c r="AN2330" s="1115"/>
      <c r="AO2330" s="1115"/>
      <c r="AP2330" s="1115"/>
      <c r="AQ2330" s="1115"/>
      <c r="AR2330" s="1115"/>
      <c r="AS2330" s="1117"/>
      <c r="AT2330" s="1196" t="str">
        <f t="shared" si="428"/>
        <v/>
      </c>
      <c r="AU2330" s="1193"/>
      <c r="AV2330" s="330">
        <f>SQRT(($R2330-Infrastructure!J$3)^2+($S2330-Infrastructure!K$3)^2)</f>
        <v>28.90155705</v>
      </c>
      <c r="AW2330" s="331">
        <f>SQRT(($R2330-Infrastructure!J$4)^2+($S2330-Infrastructure!K$4)^2)</f>
        <v>17.80252791</v>
      </c>
      <c r="AX2330" s="331">
        <f>SQRT(($R2330-Infrastructure!J$5)^2+($S2330-Infrastructure!K$5)^2)</f>
        <v>5.10881591</v>
      </c>
      <c r="AY2330" s="331">
        <f>SQRT(($R2330-Infrastructure!J$6)^2+($S2330-Infrastructure!K$6)^2)</f>
        <v>10.10445446</v>
      </c>
      <c r="AZ2330" s="331">
        <f>SQRT(($R2330-Infrastructure!J$7)^2+($S2330-Infrastructure!K$7)^2)</f>
        <v>20.502195</v>
      </c>
      <c r="BA2330" s="331">
        <f>SQRT(($R2330-Infrastructure!J$8)^2+($S2330-Infrastructure!K$8)^2)</f>
        <v>30.10149498</v>
      </c>
      <c r="BB2330" s="331">
        <f>SQRT(($R2330-Infrastructure!J$9)^2+($S2330-Infrastructure!K$9)^2)</f>
        <v>40.3238143</v>
      </c>
      <c r="BC2330" s="331">
        <f>SQRT(($R2330-Infrastructure!J$10)^2+($S2330-Infrastructure!K$10)^2)</f>
        <v>42.72001873</v>
      </c>
      <c r="BD2330" s="331">
        <f>SQRT(($R2330-Infrastructure!J$11)^2+($S2330-Infrastructure!K$11)^2)</f>
        <v>49.56853841</v>
      </c>
      <c r="BE2330" s="333">
        <f>SQRT(($R2330-Infrastructure!J$12)^2+($S2330-Infrastructure!K$12)^2)</f>
        <v>59.51890456</v>
      </c>
      <c r="BF2330" s="330">
        <f t="shared" si="161"/>
        <v>5.10881591</v>
      </c>
      <c r="BG2330" s="333">
        <f t="shared" si="162"/>
        <v>59.51890456</v>
      </c>
      <c r="BH2330" s="1119"/>
      <c r="BI2330" s="319" t="str">
        <f t="shared" ref="BI2330:BR2330" si="1514">IF(ISNUMBER(FIND(BI$3, $CO2330)), "Y", "")</f>
        <v/>
      </c>
      <c r="BJ2330" s="319" t="str">
        <f t="shared" si="1514"/>
        <v/>
      </c>
      <c r="BK2330" s="319" t="str">
        <f t="shared" si="1514"/>
        <v/>
      </c>
      <c r="BL2330" s="319" t="str">
        <f t="shared" si="1514"/>
        <v/>
      </c>
      <c r="BM2330" s="319" t="str">
        <f t="shared" si="1514"/>
        <v/>
      </c>
      <c r="BN2330" s="319" t="str">
        <f t="shared" si="1514"/>
        <v/>
      </c>
      <c r="BO2330" s="319" t="str">
        <f t="shared" si="1514"/>
        <v/>
      </c>
      <c r="BP2330" s="319" t="str">
        <f t="shared" si="1514"/>
        <v/>
      </c>
      <c r="BQ2330" s="319" t="str">
        <f t="shared" si="1514"/>
        <v/>
      </c>
      <c r="BR2330" s="319" t="str">
        <f t="shared" si="1514"/>
        <v/>
      </c>
      <c r="BS2330" s="330">
        <f t="shared" si="185"/>
        <v>0</v>
      </c>
      <c r="BT2330" s="331">
        <f t="shared" si="170"/>
        <v>0</v>
      </c>
      <c r="BU2330" s="920"/>
      <c r="BV2330" s="903" t="str">
        <f t="shared" si="1244"/>
        <v/>
      </c>
      <c r="BW2330" s="908"/>
      <c r="BX2330" s="908"/>
      <c r="BY2330" s="331" t="b">
        <f t="shared" si="201"/>
        <v>0</v>
      </c>
      <c r="BZ2330" s="331"/>
      <c r="CA2330" s="462" t="str">
        <f t="shared" ref="CA2330:CJ2330" si="1515">IF(ISNUMBER(FIND(BI$3, $CP2330)), "Y", "")</f>
        <v/>
      </c>
      <c r="CB2330" s="319" t="str">
        <f t="shared" si="1515"/>
        <v/>
      </c>
      <c r="CC2330" s="319" t="str">
        <f t="shared" si="1515"/>
        <v/>
      </c>
      <c r="CD2330" s="319" t="str">
        <f t="shared" si="1515"/>
        <v/>
      </c>
      <c r="CE2330" s="319" t="str">
        <f t="shared" si="1515"/>
        <v/>
      </c>
      <c r="CF2330" s="319" t="str">
        <f t="shared" si="1515"/>
        <v/>
      </c>
      <c r="CG2330" s="319" t="str">
        <f t="shared" si="1515"/>
        <v/>
      </c>
      <c r="CH2330" s="319" t="str">
        <f t="shared" si="1515"/>
        <v/>
      </c>
      <c r="CI2330" s="319" t="str">
        <f t="shared" si="1515"/>
        <v/>
      </c>
      <c r="CJ2330" s="319" t="str">
        <f t="shared" si="1515"/>
        <v/>
      </c>
      <c r="CK2330" s="342">
        <f t="shared" si="182"/>
        <v>0</v>
      </c>
      <c r="CL2330" s="333">
        <f t="shared" si="183"/>
        <v>0</v>
      </c>
      <c r="CM2330" s="1079"/>
      <c r="CN2330" s="1005"/>
      <c r="CO2330" s="1005"/>
      <c r="CP2330" s="1005"/>
    </row>
    <row r="2331">
      <c r="A2331" s="1257"/>
      <c r="B2331" s="1113"/>
      <c r="C2331" s="1107"/>
      <c r="D2331" s="103"/>
      <c r="E2331" s="1137"/>
      <c r="F2331" s="112"/>
      <c r="G2331" s="1110"/>
      <c r="H2331" s="1138"/>
      <c r="I2331" s="1138"/>
      <c r="J2331" s="1139"/>
      <c r="K2331" s="1111"/>
      <c r="L2331" s="1112"/>
      <c r="M2331" s="1113"/>
      <c r="N2331" s="110"/>
      <c r="O2331" s="1140"/>
      <c r="P2331" s="1115"/>
      <c r="Q2331" s="1116"/>
      <c r="R2331" s="1141"/>
      <c r="S2331" s="1113"/>
      <c r="T2331" s="1143"/>
      <c r="U2331" s="1108"/>
      <c r="V2331" s="1108"/>
      <c r="W2331" s="1108"/>
      <c r="X2331" s="1108"/>
      <c r="Y2331" s="1108"/>
      <c r="Z2331" s="1114"/>
      <c r="AA2331" s="1114"/>
      <c r="AB2331" s="1114"/>
      <c r="AC2331" s="1117"/>
      <c r="AD2331" s="1115"/>
      <c r="AE2331" s="1115"/>
      <c r="AF2331" s="1115"/>
      <c r="AG2331" s="1115"/>
      <c r="AH2331" s="1115"/>
      <c r="AI2331" s="1115"/>
      <c r="AJ2331" s="1117"/>
      <c r="AK2331" s="1118"/>
      <c r="AL2331" s="1115"/>
      <c r="AM2331" s="1115"/>
      <c r="AN2331" s="1115"/>
      <c r="AO2331" s="1115"/>
      <c r="AP2331" s="1115"/>
      <c r="AQ2331" s="1115"/>
      <c r="AR2331" s="1115"/>
      <c r="AS2331" s="1117"/>
      <c r="AT2331" s="1196" t="str">
        <f t="shared" si="428"/>
        <v/>
      </c>
      <c r="AU2331" s="1193"/>
      <c r="AV2331" s="330">
        <f>SQRT(($R2331-Infrastructure!J$3)^2+($S2331-Infrastructure!K$3)^2)</f>
        <v>28.90155705</v>
      </c>
      <c r="AW2331" s="331">
        <f>SQRT(($R2331-Infrastructure!J$4)^2+($S2331-Infrastructure!K$4)^2)</f>
        <v>17.80252791</v>
      </c>
      <c r="AX2331" s="331">
        <f>SQRT(($R2331-Infrastructure!J$5)^2+($S2331-Infrastructure!K$5)^2)</f>
        <v>5.10881591</v>
      </c>
      <c r="AY2331" s="331">
        <f>SQRT(($R2331-Infrastructure!J$6)^2+($S2331-Infrastructure!K$6)^2)</f>
        <v>10.10445446</v>
      </c>
      <c r="AZ2331" s="331">
        <f>SQRT(($R2331-Infrastructure!J$7)^2+($S2331-Infrastructure!K$7)^2)</f>
        <v>20.502195</v>
      </c>
      <c r="BA2331" s="331">
        <f>SQRT(($R2331-Infrastructure!J$8)^2+($S2331-Infrastructure!K$8)^2)</f>
        <v>30.10149498</v>
      </c>
      <c r="BB2331" s="331">
        <f>SQRT(($R2331-Infrastructure!J$9)^2+($S2331-Infrastructure!K$9)^2)</f>
        <v>40.3238143</v>
      </c>
      <c r="BC2331" s="331">
        <f>SQRT(($R2331-Infrastructure!J$10)^2+($S2331-Infrastructure!K$10)^2)</f>
        <v>42.72001873</v>
      </c>
      <c r="BD2331" s="331">
        <f>SQRT(($R2331-Infrastructure!J$11)^2+($S2331-Infrastructure!K$11)^2)</f>
        <v>49.56853841</v>
      </c>
      <c r="BE2331" s="333">
        <f>SQRT(($R2331-Infrastructure!J$12)^2+($S2331-Infrastructure!K$12)^2)</f>
        <v>59.51890456</v>
      </c>
      <c r="BF2331" s="330">
        <f t="shared" si="161"/>
        <v>5.10881591</v>
      </c>
      <c r="BG2331" s="333">
        <f t="shared" si="162"/>
        <v>59.51890456</v>
      </c>
      <c r="BH2331" s="1119"/>
      <c r="BI2331" s="319" t="str">
        <f t="shared" ref="BI2331:BR2331" si="1516">IF(ISNUMBER(FIND(BI$3, $CO2331)), "Y", "")</f>
        <v/>
      </c>
      <c r="BJ2331" s="319" t="str">
        <f t="shared" si="1516"/>
        <v/>
      </c>
      <c r="BK2331" s="319" t="str">
        <f t="shared" si="1516"/>
        <v/>
      </c>
      <c r="BL2331" s="319" t="str">
        <f t="shared" si="1516"/>
        <v/>
      </c>
      <c r="BM2331" s="319" t="str">
        <f t="shared" si="1516"/>
        <v/>
      </c>
      <c r="BN2331" s="319" t="str">
        <f t="shared" si="1516"/>
        <v/>
      </c>
      <c r="BO2331" s="319" t="str">
        <f t="shared" si="1516"/>
        <v/>
      </c>
      <c r="BP2331" s="319" t="str">
        <f t="shared" si="1516"/>
        <v/>
      </c>
      <c r="BQ2331" s="319" t="str">
        <f t="shared" si="1516"/>
        <v/>
      </c>
      <c r="BR2331" s="319" t="str">
        <f t="shared" si="1516"/>
        <v/>
      </c>
      <c r="BS2331" s="330">
        <f t="shared" si="185"/>
        <v>0</v>
      </c>
      <c r="BT2331" s="331">
        <f t="shared" si="170"/>
        <v>0</v>
      </c>
      <c r="BU2331" s="920"/>
      <c r="BV2331" s="903" t="str">
        <f t="shared" si="1244"/>
        <v/>
      </c>
      <c r="BW2331" s="908"/>
      <c r="BX2331" s="908"/>
      <c r="BY2331" s="331" t="b">
        <f t="shared" si="201"/>
        <v>0</v>
      </c>
      <c r="BZ2331" s="331"/>
      <c r="CA2331" s="462" t="str">
        <f t="shared" ref="CA2331:CJ2331" si="1517">IF(ISNUMBER(FIND(BI$3, $CP2331)), "Y", "")</f>
        <v/>
      </c>
      <c r="CB2331" s="319" t="str">
        <f t="shared" si="1517"/>
        <v/>
      </c>
      <c r="CC2331" s="319" t="str">
        <f t="shared" si="1517"/>
        <v/>
      </c>
      <c r="CD2331" s="319" t="str">
        <f t="shared" si="1517"/>
        <v/>
      </c>
      <c r="CE2331" s="319" t="str">
        <f t="shared" si="1517"/>
        <v/>
      </c>
      <c r="CF2331" s="319" t="str">
        <f t="shared" si="1517"/>
        <v/>
      </c>
      <c r="CG2331" s="319" t="str">
        <f t="shared" si="1517"/>
        <v/>
      </c>
      <c r="CH2331" s="319" t="str">
        <f t="shared" si="1517"/>
        <v/>
      </c>
      <c r="CI2331" s="319" t="str">
        <f t="shared" si="1517"/>
        <v/>
      </c>
      <c r="CJ2331" s="319" t="str">
        <f t="shared" si="1517"/>
        <v/>
      </c>
      <c r="CK2331" s="342">
        <f t="shared" si="182"/>
        <v>0</v>
      </c>
      <c r="CL2331" s="333">
        <f t="shared" si="183"/>
        <v>0</v>
      </c>
      <c r="CM2331" s="1079"/>
      <c r="CN2331" s="1005"/>
      <c r="CO2331" s="1005"/>
      <c r="CP2331" s="1005"/>
    </row>
    <row r="2332">
      <c r="A2332" s="1257"/>
      <c r="B2332" s="1113"/>
      <c r="C2332" s="1107"/>
      <c r="D2332" s="103"/>
      <c r="E2332" s="1137"/>
      <c r="F2332" s="112"/>
      <c r="G2332" s="1110"/>
      <c r="H2332" s="1138"/>
      <c r="I2332" s="1138"/>
      <c r="J2332" s="1139"/>
      <c r="K2332" s="1111"/>
      <c r="L2332" s="1112"/>
      <c r="M2332" s="1113"/>
      <c r="N2332" s="110"/>
      <c r="O2332" s="1140"/>
      <c r="P2332" s="1115"/>
      <c r="Q2332" s="1116"/>
      <c r="R2332" s="1141"/>
      <c r="S2332" s="1113"/>
      <c r="T2332" s="1143"/>
      <c r="U2332" s="1108"/>
      <c r="V2332" s="1108"/>
      <c r="W2332" s="1108"/>
      <c r="X2332" s="1108"/>
      <c r="Y2332" s="1108"/>
      <c r="Z2332" s="1114"/>
      <c r="AA2332" s="1114"/>
      <c r="AB2332" s="1114"/>
      <c r="AC2332" s="1117"/>
      <c r="AD2332" s="1115"/>
      <c r="AE2332" s="1115"/>
      <c r="AF2332" s="1115"/>
      <c r="AG2332" s="1115"/>
      <c r="AH2332" s="1115"/>
      <c r="AI2332" s="1115"/>
      <c r="AJ2332" s="1117"/>
      <c r="AK2332" s="1118"/>
      <c r="AL2332" s="1115"/>
      <c r="AM2332" s="1115"/>
      <c r="AN2332" s="1115"/>
      <c r="AO2332" s="1115"/>
      <c r="AP2332" s="1115"/>
      <c r="AQ2332" s="1115"/>
      <c r="AR2332" s="1115"/>
      <c r="AS2332" s="1117"/>
      <c r="AT2332" s="1196" t="str">
        <f t="shared" si="428"/>
        <v/>
      </c>
      <c r="AU2332" s="1193"/>
      <c r="AV2332" s="330">
        <f>SQRT(($R2332-Infrastructure!J$3)^2+($S2332-Infrastructure!K$3)^2)</f>
        <v>28.90155705</v>
      </c>
      <c r="AW2332" s="331">
        <f>SQRT(($R2332-Infrastructure!J$4)^2+($S2332-Infrastructure!K$4)^2)</f>
        <v>17.80252791</v>
      </c>
      <c r="AX2332" s="331">
        <f>SQRT(($R2332-Infrastructure!J$5)^2+($S2332-Infrastructure!K$5)^2)</f>
        <v>5.10881591</v>
      </c>
      <c r="AY2332" s="331">
        <f>SQRT(($R2332-Infrastructure!J$6)^2+($S2332-Infrastructure!K$6)^2)</f>
        <v>10.10445446</v>
      </c>
      <c r="AZ2332" s="331">
        <f>SQRT(($R2332-Infrastructure!J$7)^2+($S2332-Infrastructure!K$7)^2)</f>
        <v>20.502195</v>
      </c>
      <c r="BA2332" s="331">
        <f>SQRT(($R2332-Infrastructure!J$8)^2+($S2332-Infrastructure!K$8)^2)</f>
        <v>30.10149498</v>
      </c>
      <c r="BB2332" s="331">
        <f>SQRT(($R2332-Infrastructure!J$9)^2+($S2332-Infrastructure!K$9)^2)</f>
        <v>40.3238143</v>
      </c>
      <c r="BC2332" s="331">
        <f>SQRT(($R2332-Infrastructure!J$10)^2+($S2332-Infrastructure!K$10)^2)</f>
        <v>42.72001873</v>
      </c>
      <c r="BD2332" s="331">
        <f>SQRT(($R2332-Infrastructure!J$11)^2+($S2332-Infrastructure!K$11)^2)</f>
        <v>49.56853841</v>
      </c>
      <c r="BE2332" s="333">
        <f>SQRT(($R2332-Infrastructure!J$12)^2+($S2332-Infrastructure!K$12)^2)</f>
        <v>59.51890456</v>
      </c>
      <c r="BF2332" s="330">
        <f t="shared" si="161"/>
        <v>5.10881591</v>
      </c>
      <c r="BG2332" s="333">
        <f t="shared" si="162"/>
        <v>59.51890456</v>
      </c>
      <c r="BH2332" s="1119"/>
      <c r="BI2332" s="319" t="str">
        <f t="shared" ref="BI2332:BR2332" si="1518">IF(ISNUMBER(FIND(BI$3, $CO2332)), "Y", "")</f>
        <v/>
      </c>
      <c r="BJ2332" s="319" t="str">
        <f t="shared" si="1518"/>
        <v/>
      </c>
      <c r="BK2332" s="319" t="str">
        <f t="shared" si="1518"/>
        <v/>
      </c>
      <c r="BL2332" s="319" t="str">
        <f t="shared" si="1518"/>
        <v/>
      </c>
      <c r="BM2332" s="319" t="str">
        <f t="shared" si="1518"/>
        <v/>
      </c>
      <c r="BN2332" s="319" t="str">
        <f t="shared" si="1518"/>
        <v/>
      </c>
      <c r="BO2332" s="319" t="str">
        <f t="shared" si="1518"/>
        <v/>
      </c>
      <c r="BP2332" s="319" t="str">
        <f t="shared" si="1518"/>
        <v/>
      </c>
      <c r="BQ2332" s="319" t="str">
        <f t="shared" si="1518"/>
        <v/>
      </c>
      <c r="BR2332" s="319" t="str">
        <f t="shared" si="1518"/>
        <v/>
      </c>
      <c r="BS2332" s="330">
        <f t="shared" si="185"/>
        <v>0</v>
      </c>
      <c r="BT2332" s="331">
        <f t="shared" si="170"/>
        <v>0</v>
      </c>
      <c r="BU2332" s="920"/>
      <c r="BV2332" s="903" t="str">
        <f t="shared" si="1244"/>
        <v/>
      </c>
      <c r="BW2332" s="908"/>
      <c r="BX2332" s="908"/>
      <c r="BY2332" s="331" t="b">
        <f t="shared" si="201"/>
        <v>0</v>
      </c>
      <c r="BZ2332" s="331"/>
      <c r="CA2332" s="462" t="str">
        <f t="shared" ref="CA2332:CJ2332" si="1519">IF(ISNUMBER(FIND(BI$3, $CP2332)), "Y", "")</f>
        <v/>
      </c>
      <c r="CB2332" s="319" t="str">
        <f t="shared" si="1519"/>
        <v/>
      </c>
      <c r="CC2332" s="319" t="str">
        <f t="shared" si="1519"/>
        <v/>
      </c>
      <c r="CD2332" s="319" t="str">
        <f t="shared" si="1519"/>
        <v/>
      </c>
      <c r="CE2332" s="319" t="str">
        <f t="shared" si="1519"/>
        <v/>
      </c>
      <c r="CF2332" s="319" t="str">
        <f t="shared" si="1519"/>
        <v/>
      </c>
      <c r="CG2332" s="319" t="str">
        <f t="shared" si="1519"/>
        <v/>
      </c>
      <c r="CH2332" s="319" t="str">
        <f t="shared" si="1519"/>
        <v/>
      </c>
      <c r="CI2332" s="319" t="str">
        <f t="shared" si="1519"/>
        <v/>
      </c>
      <c r="CJ2332" s="319" t="str">
        <f t="shared" si="1519"/>
        <v/>
      </c>
      <c r="CK2332" s="342">
        <f t="shared" si="182"/>
        <v>0</v>
      </c>
      <c r="CL2332" s="333">
        <f t="shared" si="183"/>
        <v>0</v>
      </c>
      <c r="CM2332" s="1079"/>
      <c r="CN2332" s="1005"/>
      <c r="CO2332" s="1005"/>
      <c r="CP2332" s="1005"/>
    </row>
    <row r="2333">
      <c r="A2333" s="1257"/>
      <c r="B2333" s="1113"/>
      <c r="C2333" s="1107"/>
      <c r="D2333" s="103"/>
      <c r="E2333" s="1137"/>
      <c r="F2333" s="112"/>
      <c r="G2333" s="1110"/>
      <c r="H2333" s="1138"/>
      <c r="I2333" s="1138"/>
      <c r="J2333" s="1139"/>
      <c r="K2333" s="1111"/>
      <c r="L2333" s="1112"/>
      <c r="M2333" s="1113"/>
      <c r="N2333" s="110"/>
      <c r="O2333" s="1140"/>
      <c r="P2333" s="1115"/>
      <c r="Q2333" s="1116"/>
      <c r="R2333" s="1141"/>
      <c r="S2333" s="1113"/>
      <c r="T2333" s="1143"/>
      <c r="U2333" s="1108"/>
      <c r="V2333" s="1108"/>
      <c r="W2333" s="1108"/>
      <c r="X2333" s="1108"/>
      <c r="Y2333" s="1108"/>
      <c r="Z2333" s="1114"/>
      <c r="AA2333" s="1114"/>
      <c r="AB2333" s="1114"/>
      <c r="AC2333" s="1117"/>
      <c r="AD2333" s="1115"/>
      <c r="AE2333" s="1115"/>
      <c r="AF2333" s="1115"/>
      <c r="AG2333" s="1115"/>
      <c r="AH2333" s="1115"/>
      <c r="AI2333" s="1115"/>
      <c r="AJ2333" s="1117"/>
      <c r="AK2333" s="1118"/>
      <c r="AL2333" s="1115"/>
      <c r="AM2333" s="1115"/>
      <c r="AN2333" s="1115"/>
      <c r="AO2333" s="1115"/>
      <c r="AP2333" s="1115"/>
      <c r="AQ2333" s="1115"/>
      <c r="AR2333" s="1115"/>
      <c r="AS2333" s="1117"/>
      <c r="AT2333" s="1196" t="str">
        <f t="shared" si="428"/>
        <v/>
      </c>
      <c r="AU2333" s="1193"/>
      <c r="AV2333" s="330">
        <f>SQRT(($R2333-Infrastructure!J$3)^2+($S2333-Infrastructure!K$3)^2)</f>
        <v>28.90155705</v>
      </c>
      <c r="AW2333" s="331">
        <f>SQRT(($R2333-Infrastructure!J$4)^2+($S2333-Infrastructure!K$4)^2)</f>
        <v>17.80252791</v>
      </c>
      <c r="AX2333" s="331">
        <f>SQRT(($R2333-Infrastructure!J$5)^2+($S2333-Infrastructure!K$5)^2)</f>
        <v>5.10881591</v>
      </c>
      <c r="AY2333" s="331">
        <f>SQRT(($R2333-Infrastructure!J$6)^2+($S2333-Infrastructure!K$6)^2)</f>
        <v>10.10445446</v>
      </c>
      <c r="AZ2333" s="331">
        <f>SQRT(($R2333-Infrastructure!J$7)^2+($S2333-Infrastructure!K$7)^2)</f>
        <v>20.502195</v>
      </c>
      <c r="BA2333" s="331">
        <f>SQRT(($R2333-Infrastructure!J$8)^2+($S2333-Infrastructure!K$8)^2)</f>
        <v>30.10149498</v>
      </c>
      <c r="BB2333" s="331">
        <f>SQRT(($R2333-Infrastructure!J$9)^2+($S2333-Infrastructure!K$9)^2)</f>
        <v>40.3238143</v>
      </c>
      <c r="BC2333" s="331">
        <f>SQRT(($R2333-Infrastructure!J$10)^2+($S2333-Infrastructure!K$10)^2)</f>
        <v>42.72001873</v>
      </c>
      <c r="BD2333" s="331">
        <f>SQRT(($R2333-Infrastructure!J$11)^2+($S2333-Infrastructure!K$11)^2)</f>
        <v>49.56853841</v>
      </c>
      <c r="BE2333" s="333">
        <f>SQRT(($R2333-Infrastructure!J$12)^2+($S2333-Infrastructure!K$12)^2)</f>
        <v>59.51890456</v>
      </c>
      <c r="BF2333" s="330">
        <f t="shared" si="161"/>
        <v>5.10881591</v>
      </c>
      <c r="BG2333" s="333">
        <f t="shared" si="162"/>
        <v>59.51890456</v>
      </c>
      <c r="BH2333" s="1119"/>
      <c r="BI2333" s="319" t="str">
        <f t="shared" ref="BI2333:BR2333" si="1520">IF(ISNUMBER(FIND(BI$3, $CO2333)), "Y", "")</f>
        <v/>
      </c>
      <c r="BJ2333" s="319" t="str">
        <f t="shared" si="1520"/>
        <v/>
      </c>
      <c r="BK2333" s="319" t="str">
        <f t="shared" si="1520"/>
        <v/>
      </c>
      <c r="BL2333" s="319" t="str">
        <f t="shared" si="1520"/>
        <v/>
      </c>
      <c r="BM2333" s="319" t="str">
        <f t="shared" si="1520"/>
        <v/>
      </c>
      <c r="BN2333" s="319" t="str">
        <f t="shared" si="1520"/>
        <v/>
      </c>
      <c r="BO2333" s="319" t="str">
        <f t="shared" si="1520"/>
        <v/>
      </c>
      <c r="BP2333" s="319" t="str">
        <f t="shared" si="1520"/>
        <v/>
      </c>
      <c r="BQ2333" s="319" t="str">
        <f t="shared" si="1520"/>
        <v/>
      </c>
      <c r="BR2333" s="319" t="str">
        <f t="shared" si="1520"/>
        <v/>
      </c>
      <c r="BS2333" s="330">
        <f t="shared" si="185"/>
        <v>0</v>
      </c>
      <c r="BT2333" s="331">
        <f t="shared" si="170"/>
        <v>0</v>
      </c>
      <c r="BU2333" s="920"/>
      <c r="BV2333" s="903" t="str">
        <f t="shared" si="1244"/>
        <v/>
      </c>
      <c r="BW2333" s="908"/>
      <c r="BX2333" s="908"/>
      <c r="BY2333" s="331" t="b">
        <f t="shared" si="201"/>
        <v>0</v>
      </c>
      <c r="BZ2333" s="331"/>
      <c r="CA2333" s="462" t="str">
        <f t="shared" ref="CA2333:CJ2333" si="1521">IF(ISNUMBER(FIND(BI$3, $CP2333)), "Y", "")</f>
        <v/>
      </c>
      <c r="CB2333" s="319" t="str">
        <f t="shared" si="1521"/>
        <v/>
      </c>
      <c r="CC2333" s="319" t="str">
        <f t="shared" si="1521"/>
        <v/>
      </c>
      <c r="CD2333" s="319" t="str">
        <f t="shared" si="1521"/>
        <v/>
      </c>
      <c r="CE2333" s="319" t="str">
        <f t="shared" si="1521"/>
        <v/>
      </c>
      <c r="CF2333" s="319" t="str">
        <f t="shared" si="1521"/>
        <v/>
      </c>
      <c r="CG2333" s="319" t="str">
        <f t="shared" si="1521"/>
        <v/>
      </c>
      <c r="CH2333" s="319" t="str">
        <f t="shared" si="1521"/>
        <v/>
      </c>
      <c r="CI2333" s="319" t="str">
        <f t="shared" si="1521"/>
        <v/>
      </c>
      <c r="CJ2333" s="319" t="str">
        <f t="shared" si="1521"/>
        <v/>
      </c>
      <c r="CK2333" s="342">
        <f t="shared" si="182"/>
        <v>0</v>
      </c>
      <c r="CL2333" s="333">
        <f t="shared" si="183"/>
        <v>0</v>
      </c>
      <c r="CM2333" s="1079"/>
      <c r="CN2333" s="1005"/>
      <c r="CO2333" s="1005"/>
      <c r="CP2333" s="1005"/>
    </row>
    <row r="2334">
      <c r="A2334" s="1257"/>
      <c r="B2334" s="1113"/>
      <c r="C2334" s="1107"/>
      <c r="D2334" s="103"/>
      <c r="E2334" s="1137"/>
      <c r="F2334" s="112"/>
      <c r="G2334" s="1110"/>
      <c r="H2334" s="1138"/>
      <c r="I2334" s="1138"/>
      <c r="J2334" s="1139"/>
      <c r="K2334" s="1111"/>
      <c r="L2334" s="1112"/>
      <c r="M2334" s="1113"/>
      <c r="N2334" s="110"/>
      <c r="O2334" s="1140"/>
      <c r="P2334" s="1115"/>
      <c r="Q2334" s="1116"/>
      <c r="R2334" s="1141"/>
      <c r="S2334" s="1113"/>
      <c r="T2334" s="1143"/>
      <c r="U2334" s="1108"/>
      <c r="V2334" s="1108"/>
      <c r="W2334" s="1108"/>
      <c r="X2334" s="1108"/>
      <c r="Y2334" s="1108"/>
      <c r="Z2334" s="1114"/>
      <c r="AA2334" s="1114"/>
      <c r="AB2334" s="1114"/>
      <c r="AC2334" s="1117"/>
      <c r="AD2334" s="1115"/>
      <c r="AE2334" s="1115"/>
      <c r="AF2334" s="1115"/>
      <c r="AG2334" s="1115"/>
      <c r="AH2334" s="1115"/>
      <c r="AI2334" s="1115"/>
      <c r="AJ2334" s="1117"/>
      <c r="AK2334" s="1118"/>
      <c r="AL2334" s="1115"/>
      <c r="AM2334" s="1115"/>
      <c r="AN2334" s="1115"/>
      <c r="AO2334" s="1115"/>
      <c r="AP2334" s="1115"/>
      <c r="AQ2334" s="1115"/>
      <c r="AR2334" s="1115"/>
      <c r="AS2334" s="1117"/>
      <c r="AT2334" s="1196" t="str">
        <f t="shared" si="428"/>
        <v/>
      </c>
      <c r="AU2334" s="1193"/>
      <c r="AV2334" s="330">
        <f>SQRT(($R2334-Infrastructure!J$3)^2+($S2334-Infrastructure!K$3)^2)</f>
        <v>28.90155705</v>
      </c>
      <c r="AW2334" s="331">
        <f>SQRT(($R2334-Infrastructure!J$4)^2+($S2334-Infrastructure!K$4)^2)</f>
        <v>17.80252791</v>
      </c>
      <c r="AX2334" s="331">
        <f>SQRT(($R2334-Infrastructure!J$5)^2+($S2334-Infrastructure!K$5)^2)</f>
        <v>5.10881591</v>
      </c>
      <c r="AY2334" s="331">
        <f>SQRT(($R2334-Infrastructure!J$6)^2+($S2334-Infrastructure!K$6)^2)</f>
        <v>10.10445446</v>
      </c>
      <c r="AZ2334" s="331">
        <f>SQRT(($R2334-Infrastructure!J$7)^2+($S2334-Infrastructure!K$7)^2)</f>
        <v>20.502195</v>
      </c>
      <c r="BA2334" s="331">
        <f>SQRT(($R2334-Infrastructure!J$8)^2+($S2334-Infrastructure!K$8)^2)</f>
        <v>30.10149498</v>
      </c>
      <c r="BB2334" s="331">
        <f>SQRT(($R2334-Infrastructure!J$9)^2+($S2334-Infrastructure!K$9)^2)</f>
        <v>40.3238143</v>
      </c>
      <c r="BC2334" s="331">
        <f>SQRT(($R2334-Infrastructure!J$10)^2+($S2334-Infrastructure!K$10)^2)</f>
        <v>42.72001873</v>
      </c>
      <c r="BD2334" s="331">
        <f>SQRT(($R2334-Infrastructure!J$11)^2+($S2334-Infrastructure!K$11)^2)</f>
        <v>49.56853841</v>
      </c>
      <c r="BE2334" s="333">
        <f>SQRT(($R2334-Infrastructure!J$12)^2+($S2334-Infrastructure!K$12)^2)</f>
        <v>59.51890456</v>
      </c>
      <c r="BF2334" s="330">
        <f t="shared" si="161"/>
        <v>5.10881591</v>
      </c>
      <c r="BG2334" s="333">
        <f t="shared" si="162"/>
        <v>59.51890456</v>
      </c>
      <c r="BH2334" s="1119"/>
      <c r="BI2334" s="319" t="str">
        <f t="shared" ref="BI2334:BR2334" si="1522">IF(ISNUMBER(FIND(BI$3, $CO2334)), "Y", "")</f>
        <v/>
      </c>
      <c r="BJ2334" s="319" t="str">
        <f t="shared" si="1522"/>
        <v/>
      </c>
      <c r="BK2334" s="319" t="str">
        <f t="shared" si="1522"/>
        <v/>
      </c>
      <c r="BL2334" s="319" t="str">
        <f t="shared" si="1522"/>
        <v/>
      </c>
      <c r="BM2334" s="319" t="str">
        <f t="shared" si="1522"/>
        <v/>
      </c>
      <c r="BN2334" s="319" t="str">
        <f t="shared" si="1522"/>
        <v/>
      </c>
      <c r="BO2334" s="319" t="str">
        <f t="shared" si="1522"/>
        <v/>
      </c>
      <c r="BP2334" s="319" t="str">
        <f t="shared" si="1522"/>
        <v/>
      </c>
      <c r="BQ2334" s="319" t="str">
        <f t="shared" si="1522"/>
        <v/>
      </c>
      <c r="BR2334" s="319" t="str">
        <f t="shared" si="1522"/>
        <v/>
      </c>
      <c r="BS2334" s="330">
        <f t="shared" si="185"/>
        <v>0</v>
      </c>
      <c r="BT2334" s="331">
        <f t="shared" si="170"/>
        <v>0</v>
      </c>
      <c r="BU2334" s="920"/>
      <c r="BV2334" s="903" t="str">
        <f t="shared" si="1244"/>
        <v/>
      </c>
      <c r="BW2334" s="908"/>
      <c r="BX2334" s="908"/>
      <c r="BY2334" s="331" t="b">
        <f t="shared" si="201"/>
        <v>0</v>
      </c>
      <c r="BZ2334" s="331"/>
      <c r="CA2334" s="462" t="str">
        <f t="shared" ref="CA2334:CJ2334" si="1523">IF(ISNUMBER(FIND(BI$3, $CP2334)), "Y", "")</f>
        <v/>
      </c>
      <c r="CB2334" s="319" t="str">
        <f t="shared" si="1523"/>
        <v/>
      </c>
      <c r="CC2334" s="319" t="str">
        <f t="shared" si="1523"/>
        <v/>
      </c>
      <c r="CD2334" s="319" t="str">
        <f t="shared" si="1523"/>
        <v/>
      </c>
      <c r="CE2334" s="319" t="str">
        <f t="shared" si="1523"/>
        <v/>
      </c>
      <c r="CF2334" s="319" t="str">
        <f t="shared" si="1523"/>
        <v/>
      </c>
      <c r="CG2334" s="319" t="str">
        <f t="shared" si="1523"/>
        <v/>
      </c>
      <c r="CH2334" s="319" t="str">
        <f t="shared" si="1523"/>
        <v/>
      </c>
      <c r="CI2334" s="319" t="str">
        <f t="shared" si="1523"/>
        <v/>
      </c>
      <c r="CJ2334" s="319" t="str">
        <f t="shared" si="1523"/>
        <v/>
      </c>
      <c r="CK2334" s="342">
        <f t="shared" si="182"/>
        <v>0</v>
      </c>
      <c r="CL2334" s="333">
        <f t="shared" si="183"/>
        <v>0</v>
      </c>
      <c r="CM2334" s="1079"/>
      <c r="CN2334" s="1005"/>
      <c r="CO2334" s="1005"/>
      <c r="CP2334" s="1005"/>
    </row>
    <row r="2335">
      <c r="A2335" s="1257"/>
      <c r="B2335" s="1113"/>
      <c r="C2335" s="1107"/>
      <c r="D2335" s="103"/>
      <c r="E2335" s="1137"/>
      <c r="F2335" s="112"/>
      <c r="G2335" s="1110"/>
      <c r="H2335" s="1138"/>
      <c r="I2335" s="1138"/>
      <c r="J2335" s="1139"/>
      <c r="K2335" s="1111"/>
      <c r="L2335" s="1112"/>
      <c r="M2335" s="1113"/>
      <c r="N2335" s="110"/>
      <c r="O2335" s="1140"/>
      <c r="P2335" s="1115"/>
      <c r="Q2335" s="1116"/>
      <c r="R2335" s="1141"/>
      <c r="S2335" s="1113"/>
      <c r="T2335" s="1143"/>
      <c r="U2335" s="1108"/>
      <c r="V2335" s="1108"/>
      <c r="W2335" s="1108"/>
      <c r="X2335" s="1108"/>
      <c r="Y2335" s="1108"/>
      <c r="Z2335" s="1114"/>
      <c r="AA2335" s="1114"/>
      <c r="AB2335" s="1114"/>
      <c r="AC2335" s="1117"/>
      <c r="AD2335" s="1115"/>
      <c r="AE2335" s="1115"/>
      <c r="AF2335" s="1115"/>
      <c r="AG2335" s="1115"/>
      <c r="AH2335" s="1115"/>
      <c r="AI2335" s="1115"/>
      <c r="AJ2335" s="1117"/>
      <c r="AK2335" s="1118"/>
      <c r="AL2335" s="1115"/>
      <c r="AM2335" s="1115"/>
      <c r="AN2335" s="1115"/>
      <c r="AO2335" s="1115"/>
      <c r="AP2335" s="1115"/>
      <c r="AQ2335" s="1115"/>
      <c r="AR2335" s="1115"/>
      <c r="AS2335" s="1117"/>
      <c r="AT2335" s="1196" t="str">
        <f t="shared" si="428"/>
        <v/>
      </c>
      <c r="AU2335" s="1193"/>
      <c r="AV2335" s="330">
        <f>SQRT(($R2335-Infrastructure!J$3)^2+($S2335-Infrastructure!K$3)^2)</f>
        <v>28.90155705</v>
      </c>
      <c r="AW2335" s="331">
        <f>SQRT(($R2335-Infrastructure!J$4)^2+($S2335-Infrastructure!K$4)^2)</f>
        <v>17.80252791</v>
      </c>
      <c r="AX2335" s="331">
        <f>SQRT(($R2335-Infrastructure!J$5)^2+($S2335-Infrastructure!K$5)^2)</f>
        <v>5.10881591</v>
      </c>
      <c r="AY2335" s="331">
        <f>SQRT(($R2335-Infrastructure!J$6)^2+($S2335-Infrastructure!K$6)^2)</f>
        <v>10.10445446</v>
      </c>
      <c r="AZ2335" s="331">
        <f>SQRT(($R2335-Infrastructure!J$7)^2+($S2335-Infrastructure!K$7)^2)</f>
        <v>20.502195</v>
      </c>
      <c r="BA2335" s="331">
        <f>SQRT(($R2335-Infrastructure!J$8)^2+($S2335-Infrastructure!K$8)^2)</f>
        <v>30.10149498</v>
      </c>
      <c r="BB2335" s="331">
        <f>SQRT(($R2335-Infrastructure!J$9)^2+($S2335-Infrastructure!K$9)^2)</f>
        <v>40.3238143</v>
      </c>
      <c r="BC2335" s="331">
        <f>SQRT(($R2335-Infrastructure!J$10)^2+($S2335-Infrastructure!K$10)^2)</f>
        <v>42.72001873</v>
      </c>
      <c r="BD2335" s="331">
        <f>SQRT(($R2335-Infrastructure!J$11)^2+($S2335-Infrastructure!K$11)^2)</f>
        <v>49.56853841</v>
      </c>
      <c r="BE2335" s="333">
        <f>SQRT(($R2335-Infrastructure!J$12)^2+($S2335-Infrastructure!K$12)^2)</f>
        <v>59.51890456</v>
      </c>
      <c r="BF2335" s="330">
        <f t="shared" si="161"/>
        <v>5.10881591</v>
      </c>
      <c r="BG2335" s="333">
        <f t="shared" si="162"/>
        <v>59.51890456</v>
      </c>
      <c r="BH2335" s="1119"/>
      <c r="BI2335" s="319" t="str">
        <f t="shared" ref="BI2335:BR2335" si="1524">IF(ISNUMBER(FIND(BI$3, $CO2335)), "Y", "")</f>
        <v/>
      </c>
      <c r="BJ2335" s="319" t="str">
        <f t="shared" si="1524"/>
        <v/>
      </c>
      <c r="BK2335" s="319" t="str">
        <f t="shared" si="1524"/>
        <v/>
      </c>
      <c r="BL2335" s="319" t="str">
        <f t="shared" si="1524"/>
        <v/>
      </c>
      <c r="BM2335" s="319" t="str">
        <f t="shared" si="1524"/>
        <v/>
      </c>
      <c r="BN2335" s="319" t="str">
        <f t="shared" si="1524"/>
        <v/>
      </c>
      <c r="BO2335" s="319" t="str">
        <f t="shared" si="1524"/>
        <v/>
      </c>
      <c r="BP2335" s="319" t="str">
        <f t="shared" si="1524"/>
        <v/>
      </c>
      <c r="BQ2335" s="319" t="str">
        <f t="shared" si="1524"/>
        <v/>
      </c>
      <c r="BR2335" s="319" t="str">
        <f t="shared" si="1524"/>
        <v/>
      </c>
      <c r="BS2335" s="330">
        <f t="shared" si="185"/>
        <v>0</v>
      </c>
      <c r="BT2335" s="331">
        <f t="shared" si="170"/>
        <v>0</v>
      </c>
      <c r="BU2335" s="920"/>
      <c r="BV2335" s="903" t="str">
        <f t="shared" si="1244"/>
        <v/>
      </c>
      <c r="BW2335" s="908"/>
      <c r="BX2335" s="908"/>
      <c r="BY2335" s="331" t="b">
        <f t="shared" si="201"/>
        <v>0</v>
      </c>
      <c r="BZ2335" s="331"/>
      <c r="CA2335" s="462" t="str">
        <f t="shared" ref="CA2335:CJ2335" si="1525">IF(ISNUMBER(FIND(BI$3, $CP2335)), "Y", "")</f>
        <v/>
      </c>
      <c r="CB2335" s="319" t="str">
        <f t="shared" si="1525"/>
        <v/>
      </c>
      <c r="CC2335" s="319" t="str">
        <f t="shared" si="1525"/>
        <v/>
      </c>
      <c r="CD2335" s="319" t="str">
        <f t="shared" si="1525"/>
        <v/>
      </c>
      <c r="CE2335" s="319" t="str">
        <f t="shared" si="1525"/>
        <v/>
      </c>
      <c r="CF2335" s="319" t="str">
        <f t="shared" si="1525"/>
        <v/>
      </c>
      <c r="CG2335" s="319" t="str">
        <f t="shared" si="1525"/>
        <v/>
      </c>
      <c r="CH2335" s="319" t="str">
        <f t="shared" si="1525"/>
        <v/>
      </c>
      <c r="CI2335" s="319" t="str">
        <f t="shared" si="1525"/>
        <v/>
      </c>
      <c r="CJ2335" s="319" t="str">
        <f t="shared" si="1525"/>
        <v/>
      </c>
      <c r="CK2335" s="342">
        <f t="shared" si="182"/>
        <v>0</v>
      </c>
      <c r="CL2335" s="333">
        <f t="shared" si="183"/>
        <v>0</v>
      </c>
      <c r="CM2335" s="1079"/>
      <c r="CN2335" s="1005"/>
      <c r="CO2335" s="1005"/>
      <c r="CP2335" s="1005"/>
    </row>
    <row r="2336">
      <c r="A2336" s="1257"/>
      <c r="B2336" s="1113"/>
      <c r="C2336" s="1107"/>
      <c r="D2336" s="103"/>
      <c r="E2336" s="1137"/>
      <c r="F2336" s="112"/>
      <c r="G2336" s="1110"/>
      <c r="H2336" s="1138"/>
      <c r="I2336" s="1138"/>
      <c r="J2336" s="1139"/>
      <c r="K2336" s="1111"/>
      <c r="L2336" s="1112"/>
      <c r="M2336" s="1113"/>
      <c r="N2336" s="110"/>
      <c r="O2336" s="1140"/>
      <c r="P2336" s="1115"/>
      <c r="Q2336" s="1116"/>
      <c r="R2336" s="1141"/>
      <c r="S2336" s="1113"/>
      <c r="T2336" s="1143"/>
      <c r="U2336" s="1108"/>
      <c r="V2336" s="1108"/>
      <c r="W2336" s="1108"/>
      <c r="X2336" s="1108"/>
      <c r="Y2336" s="1108"/>
      <c r="Z2336" s="1114"/>
      <c r="AA2336" s="1114"/>
      <c r="AB2336" s="1114"/>
      <c r="AC2336" s="1117"/>
      <c r="AD2336" s="1115"/>
      <c r="AE2336" s="1115"/>
      <c r="AF2336" s="1115"/>
      <c r="AG2336" s="1115"/>
      <c r="AH2336" s="1115"/>
      <c r="AI2336" s="1115"/>
      <c r="AJ2336" s="1117"/>
      <c r="AK2336" s="1118"/>
      <c r="AL2336" s="1115"/>
      <c r="AM2336" s="1115"/>
      <c r="AN2336" s="1115"/>
      <c r="AO2336" s="1115"/>
      <c r="AP2336" s="1115"/>
      <c r="AQ2336" s="1115"/>
      <c r="AR2336" s="1115"/>
      <c r="AS2336" s="1117"/>
      <c r="AT2336" s="1196" t="str">
        <f t="shared" si="428"/>
        <v/>
      </c>
      <c r="AU2336" s="1193"/>
      <c r="AV2336" s="330">
        <f>SQRT(($R2336-Infrastructure!J$3)^2+($S2336-Infrastructure!K$3)^2)</f>
        <v>28.90155705</v>
      </c>
      <c r="AW2336" s="331">
        <f>SQRT(($R2336-Infrastructure!J$4)^2+($S2336-Infrastructure!K$4)^2)</f>
        <v>17.80252791</v>
      </c>
      <c r="AX2336" s="331">
        <f>SQRT(($R2336-Infrastructure!J$5)^2+($S2336-Infrastructure!K$5)^2)</f>
        <v>5.10881591</v>
      </c>
      <c r="AY2336" s="331">
        <f>SQRT(($R2336-Infrastructure!J$6)^2+($S2336-Infrastructure!K$6)^2)</f>
        <v>10.10445446</v>
      </c>
      <c r="AZ2336" s="331">
        <f>SQRT(($R2336-Infrastructure!J$7)^2+($S2336-Infrastructure!K$7)^2)</f>
        <v>20.502195</v>
      </c>
      <c r="BA2336" s="331">
        <f>SQRT(($R2336-Infrastructure!J$8)^2+($S2336-Infrastructure!K$8)^2)</f>
        <v>30.10149498</v>
      </c>
      <c r="BB2336" s="331">
        <f>SQRT(($R2336-Infrastructure!J$9)^2+($S2336-Infrastructure!K$9)^2)</f>
        <v>40.3238143</v>
      </c>
      <c r="BC2336" s="331">
        <f>SQRT(($R2336-Infrastructure!J$10)^2+($S2336-Infrastructure!K$10)^2)</f>
        <v>42.72001873</v>
      </c>
      <c r="BD2336" s="331">
        <f>SQRT(($R2336-Infrastructure!J$11)^2+($S2336-Infrastructure!K$11)^2)</f>
        <v>49.56853841</v>
      </c>
      <c r="BE2336" s="333">
        <f>SQRT(($R2336-Infrastructure!J$12)^2+($S2336-Infrastructure!K$12)^2)</f>
        <v>59.51890456</v>
      </c>
      <c r="BF2336" s="330">
        <f t="shared" si="161"/>
        <v>5.10881591</v>
      </c>
      <c r="BG2336" s="333">
        <f t="shared" si="162"/>
        <v>59.51890456</v>
      </c>
      <c r="BH2336" s="1119"/>
      <c r="BI2336" s="319" t="str">
        <f t="shared" ref="BI2336:BR2336" si="1526">IF(ISNUMBER(FIND(BI$3, $CO2336)), "Y", "")</f>
        <v/>
      </c>
      <c r="BJ2336" s="319" t="str">
        <f t="shared" si="1526"/>
        <v/>
      </c>
      <c r="BK2336" s="319" t="str">
        <f t="shared" si="1526"/>
        <v/>
      </c>
      <c r="BL2336" s="319" t="str">
        <f t="shared" si="1526"/>
        <v/>
      </c>
      <c r="BM2336" s="319" t="str">
        <f t="shared" si="1526"/>
        <v/>
      </c>
      <c r="BN2336" s="319" t="str">
        <f t="shared" si="1526"/>
        <v/>
      </c>
      <c r="BO2336" s="319" t="str">
        <f t="shared" si="1526"/>
        <v/>
      </c>
      <c r="BP2336" s="319" t="str">
        <f t="shared" si="1526"/>
        <v/>
      </c>
      <c r="BQ2336" s="319" t="str">
        <f t="shared" si="1526"/>
        <v/>
      </c>
      <c r="BR2336" s="319" t="str">
        <f t="shared" si="1526"/>
        <v/>
      </c>
      <c r="BS2336" s="330">
        <f t="shared" si="185"/>
        <v>0</v>
      </c>
      <c r="BT2336" s="331">
        <f t="shared" si="170"/>
        <v>0</v>
      </c>
      <c r="BU2336" s="920"/>
      <c r="BV2336" s="903" t="str">
        <f t="shared" si="1244"/>
        <v/>
      </c>
      <c r="BW2336" s="908"/>
      <c r="BX2336" s="908"/>
      <c r="BY2336" s="331" t="b">
        <f t="shared" si="201"/>
        <v>0</v>
      </c>
      <c r="BZ2336" s="331"/>
      <c r="CA2336" s="462" t="str">
        <f t="shared" ref="CA2336:CJ2336" si="1527">IF(ISNUMBER(FIND(BI$3, $CP2336)), "Y", "")</f>
        <v/>
      </c>
      <c r="CB2336" s="319" t="str">
        <f t="shared" si="1527"/>
        <v/>
      </c>
      <c r="CC2336" s="319" t="str">
        <f t="shared" si="1527"/>
        <v/>
      </c>
      <c r="CD2336" s="319" t="str">
        <f t="shared" si="1527"/>
        <v/>
      </c>
      <c r="CE2336" s="319" t="str">
        <f t="shared" si="1527"/>
        <v/>
      </c>
      <c r="CF2336" s="319" t="str">
        <f t="shared" si="1527"/>
        <v/>
      </c>
      <c r="CG2336" s="319" t="str">
        <f t="shared" si="1527"/>
        <v/>
      </c>
      <c r="CH2336" s="319" t="str">
        <f t="shared" si="1527"/>
        <v/>
      </c>
      <c r="CI2336" s="319" t="str">
        <f t="shared" si="1527"/>
        <v/>
      </c>
      <c r="CJ2336" s="319" t="str">
        <f t="shared" si="1527"/>
        <v/>
      </c>
      <c r="CK2336" s="342">
        <f t="shared" si="182"/>
        <v>0</v>
      </c>
      <c r="CL2336" s="333">
        <f t="shared" si="183"/>
        <v>0</v>
      </c>
      <c r="CM2336" s="1079"/>
      <c r="CN2336" s="1005"/>
      <c r="CO2336" s="1005"/>
      <c r="CP2336" s="1005"/>
    </row>
    <row r="2337">
      <c r="A2337" s="1257"/>
      <c r="B2337" s="1113"/>
      <c r="C2337" s="1107"/>
      <c r="D2337" s="103"/>
      <c r="E2337" s="1137"/>
      <c r="F2337" s="112"/>
      <c r="G2337" s="1110"/>
      <c r="H2337" s="1138"/>
      <c r="I2337" s="1138"/>
      <c r="J2337" s="1139"/>
      <c r="K2337" s="1111"/>
      <c r="L2337" s="1112"/>
      <c r="M2337" s="1113"/>
      <c r="N2337" s="110"/>
      <c r="O2337" s="1140"/>
      <c r="P2337" s="1115"/>
      <c r="Q2337" s="1116"/>
      <c r="R2337" s="1141"/>
      <c r="S2337" s="1113"/>
      <c r="T2337" s="1143"/>
      <c r="U2337" s="1108"/>
      <c r="V2337" s="1108"/>
      <c r="W2337" s="1108"/>
      <c r="X2337" s="1108"/>
      <c r="Y2337" s="1108"/>
      <c r="Z2337" s="1114"/>
      <c r="AA2337" s="1114"/>
      <c r="AB2337" s="1114"/>
      <c r="AC2337" s="1117"/>
      <c r="AD2337" s="1115"/>
      <c r="AE2337" s="1115"/>
      <c r="AF2337" s="1115"/>
      <c r="AG2337" s="1115"/>
      <c r="AH2337" s="1115"/>
      <c r="AI2337" s="1115"/>
      <c r="AJ2337" s="1117"/>
      <c r="AK2337" s="1118"/>
      <c r="AL2337" s="1115"/>
      <c r="AM2337" s="1115"/>
      <c r="AN2337" s="1115"/>
      <c r="AO2337" s="1115"/>
      <c r="AP2337" s="1115"/>
      <c r="AQ2337" s="1115"/>
      <c r="AR2337" s="1115"/>
      <c r="AS2337" s="1117"/>
      <c r="AT2337" s="1196" t="str">
        <f t="shared" si="428"/>
        <v/>
      </c>
      <c r="AU2337" s="1193"/>
      <c r="AV2337" s="330">
        <f>SQRT(($R2337-Infrastructure!J$3)^2+($S2337-Infrastructure!K$3)^2)</f>
        <v>28.90155705</v>
      </c>
      <c r="AW2337" s="331">
        <f>SQRT(($R2337-Infrastructure!J$4)^2+($S2337-Infrastructure!K$4)^2)</f>
        <v>17.80252791</v>
      </c>
      <c r="AX2337" s="331">
        <f>SQRT(($R2337-Infrastructure!J$5)^2+($S2337-Infrastructure!K$5)^2)</f>
        <v>5.10881591</v>
      </c>
      <c r="AY2337" s="331">
        <f>SQRT(($R2337-Infrastructure!J$6)^2+($S2337-Infrastructure!K$6)^2)</f>
        <v>10.10445446</v>
      </c>
      <c r="AZ2337" s="331">
        <f>SQRT(($R2337-Infrastructure!J$7)^2+($S2337-Infrastructure!K$7)^2)</f>
        <v>20.502195</v>
      </c>
      <c r="BA2337" s="331">
        <f>SQRT(($R2337-Infrastructure!J$8)^2+($S2337-Infrastructure!K$8)^2)</f>
        <v>30.10149498</v>
      </c>
      <c r="BB2337" s="331">
        <f>SQRT(($R2337-Infrastructure!J$9)^2+($S2337-Infrastructure!K$9)^2)</f>
        <v>40.3238143</v>
      </c>
      <c r="BC2337" s="331">
        <f>SQRT(($R2337-Infrastructure!J$10)^2+($S2337-Infrastructure!K$10)^2)</f>
        <v>42.72001873</v>
      </c>
      <c r="BD2337" s="331">
        <f>SQRT(($R2337-Infrastructure!J$11)^2+($S2337-Infrastructure!K$11)^2)</f>
        <v>49.56853841</v>
      </c>
      <c r="BE2337" s="333">
        <f>SQRT(($R2337-Infrastructure!J$12)^2+($S2337-Infrastructure!K$12)^2)</f>
        <v>59.51890456</v>
      </c>
      <c r="BF2337" s="330">
        <f t="shared" si="161"/>
        <v>5.10881591</v>
      </c>
      <c r="BG2337" s="333">
        <f t="shared" si="162"/>
        <v>59.51890456</v>
      </c>
      <c r="BH2337" s="1119"/>
      <c r="BI2337" s="319" t="str">
        <f t="shared" ref="BI2337:BR2337" si="1528">IF(ISNUMBER(FIND(BI$3, $CO2337)), "Y", "")</f>
        <v/>
      </c>
      <c r="BJ2337" s="319" t="str">
        <f t="shared" si="1528"/>
        <v/>
      </c>
      <c r="BK2337" s="319" t="str">
        <f t="shared" si="1528"/>
        <v/>
      </c>
      <c r="BL2337" s="319" t="str">
        <f t="shared" si="1528"/>
        <v/>
      </c>
      <c r="BM2337" s="319" t="str">
        <f t="shared" si="1528"/>
        <v/>
      </c>
      <c r="BN2337" s="319" t="str">
        <f t="shared" si="1528"/>
        <v/>
      </c>
      <c r="BO2337" s="319" t="str">
        <f t="shared" si="1528"/>
        <v/>
      </c>
      <c r="BP2337" s="319" t="str">
        <f t="shared" si="1528"/>
        <v/>
      </c>
      <c r="BQ2337" s="319" t="str">
        <f t="shared" si="1528"/>
        <v/>
      </c>
      <c r="BR2337" s="319" t="str">
        <f t="shared" si="1528"/>
        <v/>
      </c>
      <c r="BS2337" s="330">
        <f t="shared" si="185"/>
        <v>0</v>
      </c>
      <c r="BT2337" s="331">
        <f t="shared" si="170"/>
        <v>0</v>
      </c>
      <c r="BU2337" s="920"/>
      <c r="BV2337" s="903" t="str">
        <f t="shared" si="1244"/>
        <v/>
      </c>
      <c r="BW2337" s="908"/>
      <c r="BX2337" s="908"/>
      <c r="BY2337" s="331" t="b">
        <f t="shared" si="201"/>
        <v>0</v>
      </c>
      <c r="BZ2337" s="331"/>
      <c r="CA2337" s="462" t="str">
        <f t="shared" ref="CA2337:CJ2337" si="1529">IF(ISNUMBER(FIND(BI$3, $CP2337)), "Y", "")</f>
        <v/>
      </c>
      <c r="CB2337" s="319" t="str">
        <f t="shared" si="1529"/>
        <v/>
      </c>
      <c r="CC2337" s="319" t="str">
        <f t="shared" si="1529"/>
        <v/>
      </c>
      <c r="CD2337" s="319" t="str">
        <f t="shared" si="1529"/>
        <v/>
      </c>
      <c r="CE2337" s="319" t="str">
        <f t="shared" si="1529"/>
        <v/>
      </c>
      <c r="CF2337" s="319" t="str">
        <f t="shared" si="1529"/>
        <v/>
      </c>
      <c r="CG2337" s="319" t="str">
        <f t="shared" si="1529"/>
        <v/>
      </c>
      <c r="CH2337" s="319" t="str">
        <f t="shared" si="1529"/>
        <v/>
      </c>
      <c r="CI2337" s="319" t="str">
        <f t="shared" si="1529"/>
        <v/>
      </c>
      <c r="CJ2337" s="319" t="str">
        <f t="shared" si="1529"/>
        <v/>
      </c>
      <c r="CK2337" s="342">
        <f t="shared" si="182"/>
        <v>0</v>
      </c>
      <c r="CL2337" s="333">
        <f t="shared" si="183"/>
        <v>0</v>
      </c>
      <c r="CM2337" s="1079"/>
      <c r="CN2337" s="1005"/>
      <c r="CO2337" s="1005"/>
      <c r="CP2337" s="1005"/>
    </row>
    <row r="2338">
      <c r="A2338" s="1257"/>
      <c r="B2338" s="1113"/>
      <c r="C2338" s="1107"/>
      <c r="D2338" s="103"/>
      <c r="E2338" s="1137"/>
      <c r="F2338" s="112"/>
      <c r="G2338" s="1110"/>
      <c r="H2338" s="1138"/>
      <c r="I2338" s="1138"/>
      <c r="J2338" s="1139"/>
      <c r="K2338" s="1111"/>
      <c r="L2338" s="1112"/>
      <c r="M2338" s="1113"/>
      <c r="N2338" s="110"/>
      <c r="O2338" s="1140"/>
      <c r="P2338" s="1115"/>
      <c r="Q2338" s="1116"/>
      <c r="R2338" s="1141"/>
      <c r="S2338" s="1113"/>
      <c r="T2338" s="1143"/>
      <c r="U2338" s="1108"/>
      <c r="V2338" s="1108"/>
      <c r="W2338" s="1108"/>
      <c r="X2338" s="1108"/>
      <c r="Y2338" s="1108"/>
      <c r="Z2338" s="1114"/>
      <c r="AA2338" s="1114"/>
      <c r="AB2338" s="1114"/>
      <c r="AC2338" s="1117"/>
      <c r="AD2338" s="1115"/>
      <c r="AE2338" s="1115"/>
      <c r="AF2338" s="1115"/>
      <c r="AG2338" s="1115"/>
      <c r="AH2338" s="1115"/>
      <c r="AI2338" s="1115"/>
      <c r="AJ2338" s="1117"/>
      <c r="AK2338" s="1118"/>
      <c r="AL2338" s="1115"/>
      <c r="AM2338" s="1115"/>
      <c r="AN2338" s="1115"/>
      <c r="AO2338" s="1115"/>
      <c r="AP2338" s="1115"/>
      <c r="AQ2338" s="1115"/>
      <c r="AR2338" s="1115"/>
      <c r="AS2338" s="1117"/>
      <c r="AT2338" s="1196" t="str">
        <f t="shared" si="428"/>
        <v/>
      </c>
      <c r="AU2338" s="1193"/>
      <c r="AV2338" s="330">
        <f>SQRT(($R2338-Infrastructure!J$3)^2+($S2338-Infrastructure!K$3)^2)</f>
        <v>28.90155705</v>
      </c>
      <c r="AW2338" s="331">
        <f>SQRT(($R2338-Infrastructure!J$4)^2+($S2338-Infrastructure!K$4)^2)</f>
        <v>17.80252791</v>
      </c>
      <c r="AX2338" s="331">
        <f>SQRT(($R2338-Infrastructure!J$5)^2+($S2338-Infrastructure!K$5)^2)</f>
        <v>5.10881591</v>
      </c>
      <c r="AY2338" s="331">
        <f>SQRT(($R2338-Infrastructure!J$6)^2+($S2338-Infrastructure!K$6)^2)</f>
        <v>10.10445446</v>
      </c>
      <c r="AZ2338" s="331">
        <f>SQRT(($R2338-Infrastructure!J$7)^2+($S2338-Infrastructure!K$7)^2)</f>
        <v>20.502195</v>
      </c>
      <c r="BA2338" s="331">
        <f>SQRT(($R2338-Infrastructure!J$8)^2+($S2338-Infrastructure!K$8)^2)</f>
        <v>30.10149498</v>
      </c>
      <c r="BB2338" s="331">
        <f>SQRT(($R2338-Infrastructure!J$9)^2+($S2338-Infrastructure!K$9)^2)</f>
        <v>40.3238143</v>
      </c>
      <c r="BC2338" s="331">
        <f>SQRT(($R2338-Infrastructure!J$10)^2+($S2338-Infrastructure!K$10)^2)</f>
        <v>42.72001873</v>
      </c>
      <c r="BD2338" s="331">
        <f>SQRT(($R2338-Infrastructure!J$11)^2+($S2338-Infrastructure!K$11)^2)</f>
        <v>49.56853841</v>
      </c>
      <c r="BE2338" s="333">
        <f>SQRT(($R2338-Infrastructure!J$12)^2+($S2338-Infrastructure!K$12)^2)</f>
        <v>59.51890456</v>
      </c>
      <c r="BF2338" s="330">
        <f t="shared" si="161"/>
        <v>5.10881591</v>
      </c>
      <c r="BG2338" s="333">
        <f t="shared" si="162"/>
        <v>59.51890456</v>
      </c>
      <c r="BH2338" s="1119"/>
      <c r="BI2338" s="319" t="str">
        <f t="shared" ref="BI2338:BR2338" si="1530">IF(ISNUMBER(FIND(BI$3, $CO2338)), "Y", "")</f>
        <v/>
      </c>
      <c r="BJ2338" s="319" t="str">
        <f t="shared" si="1530"/>
        <v/>
      </c>
      <c r="BK2338" s="319" t="str">
        <f t="shared" si="1530"/>
        <v/>
      </c>
      <c r="BL2338" s="319" t="str">
        <f t="shared" si="1530"/>
        <v/>
      </c>
      <c r="BM2338" s="319" t="str">
        <f t="shared" si="1530"/>
        <v/>
      </c>
      <c r="BN2338" s="319" t="str">
        <f t="shared" si="1530"/>
        <v/>
      </c>
      <c r="BO2338" s="319" t="str">
        <f t="shared" si="1530"/>
        <v/>
      </c>
      <c r="BP2338" s="319" t="str">
        <f t="shared" si="1530"/>
        <v/>
      </c>
      <c r="BQ2338" s="319" t="str">
        <f t="shared" si="1530"/>
        <v/>
      </c>
      <c r="BR2338" s="319" t="str">
        <f t="shared" si="1530"/>
        <v/>
      </c>
      <c r="BS2338" s="330">
        <f t="shared" si="185"/>
        <v>0</v>
      </c>
      <c r="BT2338" s="331">
        <f t="shared" si="170"/>
        <v>0</v>
      </c>
      <c r="BU2338" s="920"/>
      <c r="BV2338" s="903" t="str">
        <f t="shared" si="1244"/>
        <v/>
      </c>
      <c r="BW2338" s="908"/>
      <c r="BX2338" s="908"/>
      <c r="BY2338" s="331" t="b">
        <f t="shared" si="201"/>
        <v>0</v>
      </c>
      <c r="BZ2338" s="331"/>
      <c r="CA2338" s="462" t="str">
        <f t="shared" ref="CA2338:CJ2338" si="1531">IF(ISNUMBER(FIND(BI$3, $CP2338)), "Y", "")</f>
        <v/>
      </c>
      <c r="CB2338" s="319" t="str">
        <f t="shared" si="1531"/>
        <v/>
      </c>
      <c r="CC2338" s="319" t="str">
        <f t="shared" si="1531"/>
        <v/>
      </c>
      <c r="CD2338" s="319" t="str">
        <f t="shared" si="1531"/>
        <v/>
      </c>
      <c r="CE2338" s="319" t="str">
        <f t="shared" si="1531"/>
        <v/>
      </c>
      <c r="CF2338" s="319" t="str">
        <f t="shared" si="1531"/>
        <v/>
      </c>
      <c r="CG2338" s="319" t="str">
        <f t="shared" si="1531"/>
        <v/>
      </c>
      <c r="CH2338" s="319" t="str">
        <f t="shared" si="1531"/>
        <v/>
      </c>
      <c r="CI2338" s="319" t="str">
        <f t="shared" si="1531"/>
        <v/>
      </c>
      <c r="CJ2338" s="319" t="str">
        <f t="shared" si="1531"/>
        <v/>
      </c>
      <c r="CK2338" s="342">
        <f t="shared" si="182"/>
        <v>0</v>
      </c>
      <c r="CL2338" s="333">
        <f t="shared" si="183"/>
        <v>0</v>
      </c>
      <c r="CM2338" s="1079"/>
      <c r="CN2338" s="1005"/>
      <c r="CO2338" s="1005"/>
      <c r="CP2338" s="1005"/>
    </row>
    <row r="2339">
      <c r="A2339" s="1257"/>
      <c r="B2339" s="1113"/>
      <c r="C2339" s="1107"/>
      <c r="D2339" s="103"/>
      <c r="E2339" s="1137"/>
      <c r="F2339" s="112"/>
      <c r="G2339" s="1110"/>
      <c r="H2339" s="1138"/>
      <c r="I2339" s="1138"/>
      <c r="J2339" s="1139"/>
      <c r="K2339" s="1111"/>
      <c r="L2339" s="1112"/>
      <c r="M2339" s="1113"/>
      <c r="N2339" s="110"/>
      <c r="O2339" s="1140"/>
      <c r="P2339" s="1115"/>
      <c r="Q2339" s="1116"/>
      <c r="R2339" s="1141"/>
      <c r="S2339" s="1113"/>
      <c r="T2339" s="1143"/>
      <c r="U2339" s="1108"/>
      <c r="V2339" s="1108"/>
      <c r="W2339" s="1108"/>
      <c r="X2339" s="1108"/>
      <c r="Y2339" s="1108"/>
      <c r="Z2339" s="1114"/>
      <c r="AA2339" s="1114"/>
      <c r="AB2339" s="1114"/>
      <c r="AC2339" s="1117"/>
      <c r="AD2339" s="1115"/>
      <c r="AE2339" s="1115"/>
      <c r="AF2339" s="1115"/>
      <c r="AG2339" s="1115"/>
      <c r="AH2339" s="1115"/>
      <c r="AI2339" s="1115"/>
      <c r="AJ2339" s="1117"/>
      <c r="AK2339" s="1118"/>
      <c r="AL2339" s="1115"/>
      <c r="AM2339" s="1115"/>
      <c r="AN2339" s="1115"/>
      <c r="AO2339" s="1115"/>
      <c r="AP2339" s="1115"/>
      <c r="AQ2339" s="1115"/>
      <c r="AR2339" s="1115"/>
      <c r="AS2339" s="1117"/>
      <c r="AT2339" s="1196" t="str">
        <f t="shared" si="428"/>
        <v/>
      </c>
      <c r="AU2339" s="1193"/>
      <c r="AV2339" s="330">
        <f>SQRT(($R2339-Infrastructure!J$3)^2+($S2339-Infrastructure!K$3)^2)</f>
        <v>28.90155705</v>
      </c>
      <c r="AW2339" s="331">
        <f>SQRT(($R2339-Infrastructure!J$4)^2+($S2339-Infrastructure!K$4)^2)</f>
        <v>17.80252791</v>
      </c>
      <c r="AX2339" s="331">
        <f>SQRT(($R2339-Infrastructure!J$5)^2+($S2339-Infrastructure!K$5)^2)</f>
        <v>5.10881591</v>
      </c>
      <c r="AY2339" s="331">
        <f>SQRT(($R2339-Infrastructure!J$6)^2+($S2339-Infrastructure!K$6)^2)</f>
        <v>10.10445446</v>
      </c>
      <c r="AZ2339" s="331">
        <f>SQRT(($R2339-Infrastructure!J$7)^2+($S2339-Infrastructure!K$7)^2)</f>
        <v>20.502195</v>
      </c>
      <c r="BA2339" s="331">
        <f>SQRT(($R2339-Infrastructure!J$8)^2+($S2339-Infrastructure!K$8)^2)</f>
        <v>30.10149498</v>
      </c>
      <c r="BB2339" s="331">
        <f>SQRT(($R2339-Infrastructure!J$9)^2+($S2339-Infrastructure!K$9)^2)</f>
        <v>40.3238143</v>
      </c>
      <c r="BC2339" s="331">
        <f>SQRT(($R2339-Infrastructure!J$10)^2+($S2339-Infrastructure!K$10)^2)</f>
        <v>42.72001873</v>
      </c>
      <c r="BD2339" s="331">
        <f>SQRT(($R2339-Infrastructure!J$11)^2+($S2339-Infrastructure!K$11)^2)</f>
        <v>49.56853841</v>
      </c>
      <c r="BE2339" s="333">
        <f>SQRT(($R2339-Infrastructure!J$12)^2+($S2339-Infrastructure!K$12)^2)</f>
        <v>59.51890456</v>
      </c>
      <c r="BF2339" s="330">
        <f t="shared" si="161"/>
        <v>5.10881591</v>
      </c>
      <c r="BG2339" s="333">
        <f t="shared" si="162"/>
        <v>59.51890456</v>
      </c>
      <c r="BH2339" s="1119"/>
      <c r="BI2339" s="319" t="str">
        <f t="shared" ref="BI2339:BR2339" si="1532">IF(ISNUMBER(FIND(BI$3, $CO2339)), "Y", "")</f>
        <v/>
      </c>
      <c r="BJ2339" s="319" t="str">
        <f t="shared" si="1532"/>
        <v/>
      </c>
      <c r="BK2339" s="319" t="str">
        <f t="shared" si="1532"/>
        <v/>
      </c>
      <c r="BL2339" s="319" t="str">
        <f t="shared" si="1532"/>
        <v/>
      </c>
      <c r="BM2339" s="319" t="str">
        <f t="shared" si="1532"/>
        <v/>
      </c>
      <c r="BN2339" s="319" t="str">
        <f t="shared" si="1532"/>
        <v/>
      </c>
      <c r="BO2339" s="319" t="str">
        <f t="shared" si="1532"/>
        <v/>
      </c>
      <c r="BP2339" s="319" t="str">
        <f t="shared" si="1532"/>
        <v/>
      </c>
      <c r="BQ2339" s="319" t="str">
        <f t="shared" si="1532"/>
        <v/>
      </c>
      <c r="BR2339" s="319" t="str">
        <f t="shared" si="1532"/>
        <v/>
      </c>
      <c r="BS2339" s="330">
        <f t="shared" si="185"/>
        <v>0</v>
      </c>
      <c r="BT2339" s="331">
        <f t="shared" si="170"/>
        <v>0</v>
      </c>
      <c r="BU2339" s="920"/>
      <c r="BV2339" s="903" t="str">
        <f t="shared" si="1244"/>
        <v/>
      </c>
      <c r="BW2339" s="908"/>
      <c r="BX2339" s="908"/>
      <c r="BY2339" s="331" t="b">
        <f t="shared" si="201"/>
        <v>0</v>
      </c>
      <c r="BZ2339" s="331"/>
      <c r="CA2339" s="462" t="str">
        <f t="shared" ref="CA2339:CJ2339" si="1533">IF(ISNUMBER(FIND(BI$3, $CP2339)), "Y", "")</f>
        <v/>
      </c>
      <c r="CB2339" s="319" t="str">
        <f t="shared" si="1533"/>
        <v/>
      </c>
      <c r="CC2339" s="319" t="str">
        <f t="shared" si="1533"/>
        <v/>
      </c>
      <c r="CD2339" s="319" t="str">
        <f t="shared" si="1533"/>
        <v/>
      </c>
      <c r="CE2339" s="319" t="str">
        <f t="shared" si="1533"/>
        <v/>
      </c>
      <c r="CF2339" s="319" t="str">
        <f t="shared" si="1533"/>
        <v/>
      </c>
      <c r="CG2339" s="319" t="str">
        <f t="shared" si="1533"/>
        <v/>
      </c>
      <c r="CH2339" s="319" t="str">
        <f t="shared" si="1533"/>
        <v/>
      </c>
      <c r="CI2339" s="319" t="str">
        <f t="shared" si="1533"/>
        <v/>
      </c>
      <c r="CJ2339" s="319" t="str">
        <f t="shared" si="1533"/>
        <v/>
      </c>
      <c r="CK2339" s="342">
        <f t="shared" si="182"/>
        <v>0</v>
      </c>
      <c r="CL2339" s="333">
        <f t="shared" si="183"/>
        <v>0</v>
      </c>
      <c r="CM2339" s="1079"/>
      <c r="CN2339" s="1005"/>
      <c r="CO2339" s="1005"/>
      <c r="CP2339" s="1005"/>
    </row>
    <row r="2340">
      <c r="A2340" s="1257"/>
      <c r="B2340" s="1113"/>
      <c r="C2340" s="1107"/>
      <c r="D2340" s="103"/>
      <c r="E2340" s="1137"/>
      <c r="F2340" s="112"/>
      <c r="G2340" s="1110"/>
      <c r="H2340" s="1138"/>
      <c r="I2340" s="1138"/>
      <c r="J2340" s="1139"/>
      <c r="K2340" s="1111"/>
      <c r="L2340" s="1112"/>
      <c r="M2340" s="1113"/>
      <c r="N2340" s="110"/>
      <c r="O2340" s="1140"/>
      <c r="P2340" s="1115"/>
      <c r="Q2340" s="1116"/>
      <c r="R2340" s="1141"/>
      <c r="S2340" s="1113"/>
      <c r="T2340" s="1143"/>
      <c r="U2340" s="1108"/>
      <c r="V2340" s="1108"/>
      <c r="W2340" s="1108"/>
      <c r="X2340" s="1108"/>
      <c r="Y2340" s="1108"/>
      <c r="Z2340" s="1114"/>
      <c r="AA2340" s="1114"/>
      <c r="AB2340" s="1114"/>
      <c r="AC2340" s="1117"/>
      <c r="AD2340" s="1115"/>
      <c r="AE2340" s="1115"/>
      <c r="AF2340" s="1115"/>
      <c r="AG2340" s="1115"/>
      <c r="AH2340" s="1115"/>
      <c r="AI2340" s="1115"/>
      <c r="AJ2340" s="1117"/>
      <c r="AK2340" s="1118"/>
      <c r="AL2340" s="1115"/>
      <c r="AM2340" s="1115"/>
      <c r="AN2340" s="1115"/>
      <c r="AO2340" s="1115"/>
      <c r="AP2340" s="1115"/>
      <c r="AQ2340" s="1115"/>
      <c r="AR2340" s="1115"/>
      <c r="AS2340" s="1117"/>
      <c r="AT2340" s="1196" t="str">
        <f t="shared" si="428"/>
        <v/>
      </c>
      <c r="AU2340" s="1193"/>
      <c r="AV2340" s="330">
        <f>SQRT(($R2340-Infrastructure!J$3)^2+($S2340-Infrastructure!K$3)^2)</f>
        <v>28.90155705</v>
      </c>
      <c r="AW2340" s="331">
        <f>SQRT(($R2340-Infrastructure!J$4)^2+($S2340-Infrastructure!K$4)^2)</f>
        <v>17.80252791</v>
      </c>
      <c r="AX2340" s="331">
        <f>SQRT(($R2340-Infrastructure!J$5)^2+($S2340-Infrastructure!K$5)^2)</f>
        <v>5.10881591</v>
      </c>
      <c r="AY2340" s="331">
        <f>SQRT(($R2340-Infrastructure!J$6)^2+($S2340-Infrastructure!K$6)^2)</f>
        <v>10.10445446</v>
      </c>
      <c r="AZ2340" s="331">
        <f>SQRT(($R2340-Infrastructure!J$7)^2+($S2340-Infrastructure!K$7)^2)</f>
        <v>20.502195</v>
      </c>
      <c r="BA2340" s="331">
        <f>SQRT(($R2340-Infrastructure!J$8)^2+($S2340-Infrastructure!K$8)^2)</f>
        <v>30.10149498</v>
      </c>
      <c r="BB2340" s="331">
        <f>SQRT(($R2340-Infrastructure!J$9)^2+($S2340-Infrastructure!K$9)^2)</f>
        <v>40.3238143</v>
      </c>
      <c r="BC2340" s="331">
        <f>SQRT(($R2340-Infrastructure!J$10)^2+($S2340-Infrastructure!K$10)^2)</f>
        <v>42.72001873</v>
      </c>
      <c r="BD2340" s="331">
        <f>SQRT(($R2340-Infrastructure!J$11)^2+($S2340-Infrastructure!K$11)^2)</f>
        <v>49.56853841</v>
      </c>
      <c r="BE2340" s="333">
        <f>SQRT(($R2340-Infrastructure!J$12)^2+($S2340-Infrastructure!K$12)^2)</f>
        <v>59.51890456</v>
      </c>
      <c r="BF2340" s="330">
        <f t="shared" si="161"/>
        <v>5.10881591</v>
      </c>
      <c r="BG2340" s="333">
        <f t="shared" si="162"/>
        <v>59.51890456</v>
      </c>
      <c r="BH2340" s="1119"/>
      <c r="BI2340" s="319" t="str">
        <f t="shared" ref="BI2340:BR2340" si="1534">IF(ISNUMBER(FIND(BI$3, $CO2340)), "Y", "")</f>
        <v/>
      </c>
      <c r="BJ2340" s="319" t="str">
        <f t="shared" si="1534"/>
        <v/>
      </c>
      <c r="BK2340" s="319" t="str">
        <f t="shared" si="1534"/>
        <v/>
      </c>
      <c r="BL2340" s="319" t="str">
        <f t="shared" si="1534"/>
        <v/>
      </c>
      <c r="BM2340" s="319" t="str">
        <f t="shared" si="1534"/>
        <v/>
      </c>
      <c r="BN2340" s="319" t="str">
        <f t="shared" si="1534"/>
        <v/>
      </c>
      <c r="BO2340" s="319" t="str">
        <f t="shared" si="1534"/>
        <v/>
      </c>
      <c r="BP2340" s="319" t="str">
        <f t="shared" si="1534"/>
        <v/>
      </c>
      <c r="BQ2340" s="319" t="str">
        <f t="shared" si="1534"/>
        <v/>
      </c>
      <c r="BR2340" s="319" t="str">
        <f t="shared" si="1534"/>
        <v/>
      </c>
      <c r="BS2340" s="330">
        <f t="shared" si="185"/>
        <v>0</v>
      </c>
      <c r="BT2340" s="331">
        <f t="shared" si="170"/>
        <v>0</v>
      </c>
      <c r="BU2340" s="920"/>
      <c r="BV2340" s="903" t="str">
        <f t="shared" si="1244"/>
        <v/>
      </c>
      <c r="BW2340" s="908"/>
      <c r="BX2340" s="908"/>
      <c r="BY2340" s="331" t="b">
        <f t="shared" si="201"/>
        <v>0</v>
      </c>
      <c r="BZ2340" s="331"/>
      <c r="CA2340" s="462" t="str">
        <f t="shared" ref="CA2340:CJ2340" si="1535">IF(ISNUMBER(FIND(BI$3, $CP2340)), "Y", "")</f>
        <v/>
      </c>
      <c r="CB2340" s="319" t="str">
        <f t="shared" si="1535"/>
        <v/>
      </c>
      <c r="CC2340" s="319" t="str">
        <f t="shared" si="1535"/>
        <v/>
      </c>
      <c r="CD2340" s="319" t="str">
        <f t="shared" si="1535"/>
        <v/>
      </c>
      <c r="CE2340" s="319" t="str">
        <f t="shared" si="1535"/>
        <v/>
      </c>
      <c r="CF2340" s="319" t="str">
        <f t="shared" si="1535"/>
        <v/>
      </c>
      <c r="CG2340" s="319" t="str">
        <f t="shared" si="1535"/>
        <v/>
      </c>
      <c r="CH2340" s="319" t="str">
        <f t="shared" si="1535"/>
        <v/>
      </c>
      <c r="CI2340" s="319" t="str">
        <f t="shared" si="1535"/>
        <v/>
      </c>
      <c r="CJ2340" s="319" t="str">
        <f t="shared" si="1535"/>
        <v/>
      </c>
      <c r="CK2340" s="342">
        <f t="shared" si="182"/>
        <v>0</v>
      </c>
      <c r="CL2340" s="333">
        <f t="shared" si="183"/>
        <v>0</v>
      </c>
      <c r="CM2340" s="1079"/>
      <c r="CN2340" s="1005"/>
      <c r="CO2340" s="1005"/>
      <c r="CP2340" s="1005"/>
    </row>
    <row r="2341">
      <c r="A2341" s="1257"/>
      <c r="B2341" s="1113"/>
      <c r="C2341" s="1107"/>
      <c r="D2341" s="103"/>
      <c r="E2341" s="1137"/>
      <c r="F2341" s="112"/>
      <c r="G2341" s="1110"/>
      <c r="H2341" s="1138"/>
      <c r="I2341" s="1138"/>
      <c r="J2341" s="1139"/>
      <c r="K2341" s="1111"/>
      <c r="L2341" s="1112"/>
      <c r="M2341" s="1113"/>
      <c r="N2341" s="110"/>
      <c r="O2341" s="1140"/>
      <c r="P2341" s="1115"/>
      <c r="Q2341" s="1116"/>
      <c r="R2341" s="1141"/>
      <c r="S2341" s="1113"/>
      <c r="T2341" s="1143"/>
      <c r="U2341" s="1108"/>
      <c r="V2341" s="1108"/>
      <c r="W2341" s="1108"/>
      <c r="X2341" s="1108"/>
      <c r="Y2341" s="1108"/>
      <c r="Z2341" s="1114"/>
      <c r="AA2341" s="1114"/>
      <c r="AB2341" s="1114"/>
      <c r="AC2341" s="1117"/>
      <c r="AD2341" s="1115"/>
      <c r="AE2341" s="1115"/>
      <c r="AF2341" s="1115"/>
      <c r="AG2341" s="1115"/>
      <c r="AH2341" s="1115"/>
      <c r="AI2341" s="1115"/>
      <c r="AJ2341" s="1117"/>
      <c r="AK2341" s="1118"/>
      <c r="AL2341" s="1115"/>
      <c r="AM2341" s="1115"/>
      <c r="AN2341" s="1115"/>
      <c r="AO2341" s="1115"/>
      <c r="AP2341" s="1115"/>
      <c r="AQ2341" s="1115"/>
      <c r="AR2341" s="1115"/>
      <c r="AS2341" s="1117"/>
      <c r="AT2341" s="1196" t="str">
        <f t="shared" si="428"/>
        <v/>
      </c>
      <c r="AU2341" s="1193"/>
      <c r="AV2341" s="330">
        <f>SQRT(($R2341-Infrastructure!J$3)^2+($S2341-Infrastructure!K$3)^2)</f>
        <v>28.90155705</v>
      </c>
      <c r="AW2341" s="331">
        <f>SQRT(($R2341-Infrastructure!J$4)^2+($S2341-Infrastructure!K$4)^2)</f>
        <v>17.80252791</v>
      </c>
      <c r="AX2341" s="331">
        <f>SQRT(($R2341-Infrastructure!J$5)^2+($S2341-Infrastructure!K$5)^2)</f>
        <v>5.10881591</v>
      </c>
      <c r="AY2341" s="331">
        <f>SQRT(($R2341-Infrastructure!J$6)^2+($S2341-Infrastructure!K$6)^2)</f>
        <v>10.10445446</v>
      </c>
      <c r="AZ2341" s="331">
        <f>SQRT(($R2341-Infrastructure!J$7)^2+($S2341-Infrastructure!K$7)^2)</f>
        <v>20.502195</v>
      </c>
      <c r="BA2341" s="331">
        <f>SQRT(($R2341-Infrastructure!J$8)^2+($S2341-Infrastructure!K$8)^2)</f>
        <v>30.10149498</v>
      </c>
      <c r="BB2341" s="331">
        <f>SQRT(($R2341-Infrastructure!J$9)^2+($S2341-Infrastructure!K$9)^2)</f>
        <v>40.3238143</v>
      </c>
      <c r="BC2341" s="331">
        <f>SQRT(($R2341-Infrastructure!J$10)^2+($S2341-Infrastructure!K$10)^2)</f>
        <v>42.72001873</v>
      </c>
      <c r="BD2341" s="331">
        <f>SQRT(($R2341-Infrastructure!J$11)^2+($S2341-Infrastructure!K$11)^2)</f>
        <v>49.56853841</v>
      </c>
      <c r="BE2341" s="333">
        <f>SQRT(($R2341-Infrastructure!J$12)^2+($S2341-Infrastructure!K$12)^2)</f>
        <v>59.51890456</v>
      </c>
      <c r="BF2341" s="330">
        <f t="shared" si="161"/>
        <v>5.10881591</v>
      </c>
      <c r="BG2341" s="333">
        <f t="shared" si="162"/>
        <v>59.51890456</v>
      </c>
      <c r="BH2341" s="1119"/>
      <c r="BI2341" s="319" t="str">
        <f t="shared" ref="BI2341:BR2341" si="1536">IF(ISNUMBER(FIND(BI$3, $CO2341)), "Y", "")</f>
        <v/>
      </c>
      <c r="BJ2341" s="319" t="str">
        <f t="shared" si="1536"/>
        <v/>
      </c>
      <c r="BK2341" s="319" t="str">
        <f t="shared" si="1536"/>
        <v/>
      </c>
      <c r="BL2341" s="319" t="str">
        <f t="shared" si="1536"/>
        <v/>
      </c>
      <c r="BM2341" s="319" t="str">
        <f t="shared" si="1536"/>
        <v/>
      </c>
      <c r="BN2341" s="319" t="str">
        <f t="shared" si="1536"/>
        <v/>
      </c>
      <c r="BO2341" s="319" t="str">
        <f t="shared" si="1536"/>
        <v/>
      </c>
      <c r="BP2341" s="319" t="str">
        <f t="shared" si="1536"/>
        <v/>
      </c>
      <c r="BQ2341" s="319" t="str">
        <f t="shared" si="1536"/>
        <v/>
      </c>
      <c r="BR2341" s="319" t="str">
        <f t="shared" si="1536"/>
        <v/>
      </c>
      <c r="BS2341" s="330">
        <f t="shared" si="185"/>
        <v>0</v>
      </c>
      <c r="BT2341" s="331">
        <f t="shared" si="170"/>
        <v>0</v>
      </c>
      <c r="BU2341" s="920"/>
      <c r="BV2341" s="903" t="str">
        <f t="shared" si="1244"/>
        <v/>
      </c>
      <c r="BW2341" s="908"/>
      <c r="BX2341" s="908"/>
      <c r="BY2341" s="331" t="b">
        <f t="shared" si="201"/>
        <v>0</v>
      </c>
      <c r="BZ2341" s="331"/>
      <c r="CA2341" s="462" t="str">
        <f t="shared" ref="CA2341:CJ2341" si="1537">IF(ISNUMBER(FIND(BI$3, $CP2341)), "Y", "")</f>
        <v/>
      </c>
      <c r="CB2341" s="319" t="str">
        <f t="shared" si="1537"/>
        <v/>
      </c>
      <c r="CC2341" s="319" t="str">
        <f t="shared" si="1537"/>
        <v/>
      </c>
      <c r="CD2341" s="319" t="str">
        <f t="shared" si="1537"/>
        <v/>
      </c>
      <c r="CE2341" s="319" t="str">
        <f t="shared" si="1537"/>
        <v/>
      </c>
      <c r="CF2341" s="319" t="str">
        <f t="shared" si="1537"/>
        <v/>
      </c>
      <c r="CG2341" s="319" t="str">
        <f t="shared" si="1537"/>
        <v/>
      </c>
      <c r="CH2341" s="319" t="str">
        <f t="shared" si="1537"/>
        <v/>
      </c>
      <c r="CI2341" s="319" t="str">
        <f t="shared" si="1537"/>
        <v/>
      </c>
      <c r="CJ2341" s="319" t="str">
        <f t="shared" si="1537"/>
        <v/>
      </c>
      <c r="CK2341" s="342">
        <f t="shared" si="182"/>
        <v>0</v>
      </c>
      <c r="CL2341" s="333">
        <f t="shared" si="183"/>
        <v>0</v>
      </c>
      <c r="CM2341" s="1079"/>
      <c r="CN2341" s="1005"/>
      <c r="CO2341" s="1005"/>
      <c r="CP2341" s="1005"/>
    </row>
    <row r="2342">
      <c r="A2342" s="1257"/>
      <c r="B2342" s="1113"/>
      <c r="C2342" s="1107"/>
      <c r="D2342" s="103"/>
      <c r="E2342" s="1137"/>
      <c r="F2342" s="112"/>
      <c r="G2342" s="1110"/>
      <c r="H2342" s="1138"/>
      <c r="I2342" s="1138"/>
      <c r="J2342" s="1139"/>
      <c r="K2342" s="1111"/>
      <c r="L2342" s="1112"/>
      <c r="M2342" s="1113"/>
      <c r="N2342" s="110"/>
      <c r="O2342" s="1140"/>
      <c r="P2342" s="1115"/>
      <c r="Q2342" s="1116"/>
      <c r="R2342" s="1141"/>
      <c r="S2342" s="1113"/>
      <c r="T2342" s="1143"/>
      <c r="U2342" s="1108"/>
      <c r="V2342" s="1108"/>
      <c r="W2342" s="1108"/>
      <c r="X2342" s="1108"/>
      <c r="Y2342" s="1108"/>
      <c r="Z2342" s="1114"/>
      <c r="AA2342" s="1114"/>
      <c r="AB2342" s="1114"/>
      <c r="AC2342" s="1117"/>
      <c r="AD2342" s="1115"/>
      <c r="AE2342" s="1115"/>
      <c r="AF2342" s="1115"/>
      <c r="AG2342" s="1115"/>
      <c r="AH2342" s="1115"/>
      <c r="AI2342" s="1115"/>
      <c r="AJ2342" s="1117"/>
      <c r="AK2342" s="1118"/>
      <c r="AL2342" s="1115"/>
      <c r="AM2342" s="1115"/>
      <c r="AN2342" s="1115"/>
      <c r="AO2342" s="1115"/>
      <c r="AP2342" s="1115"/>
      <c r="AQ2342" s="1115"/>
      <c r="AR2342" s="1115"/>
      <c r="AS2342" s="1117"/>
      <c r="AT2342" s="1196" t="str">
        <f t="shared" si="428"/>
        <v/>
      </c>
      <c r="AU2342" s="1193"/>
      <c r="AV2342" s="330">
        <f>SQRT(($R2342-Infrastructure!J$3)^2+($S2342-Infrastructure!K$3)^2)</f>
        <v>28.90155705</v>
      </c>
      <c r="AW2342" s="331">
        <f>SQRT(($R2342-Infrastructure!J$4)^2+($S2342-Infrastructure!K$4)^2)</f>
        <v>17.80252791</v>
      </c>
      <c r="AX2342" s="331">
        <f>SQRT(($R2342-Infrastructure!J$5)^2+($S2342-Infrastructure!K$5)^2)</f>
        <v>5.10881591</v>
      </c>
      <c r="AY2342" s="331">
        <f>SQRT(($R2342-Infrastructure!J$6)^2+($S2342-Infrastructure!K$6)^2)</f>
        <v>10.10445446</v>
      </c>
      <c r="AZ2342" s="331">
        <f>SQRT(($R2342-Infrastructure!J$7)^2+($S2342-Infrastructure!K$7)^2)</f>
        <v>20.502195</v>
      </c>
      <c r="BA2342" s="331">
        <f>SQRT(($R2342-Infrastructure!J$8)^2+($S2342-Infrastructure!K$8)^2)</f>
        <v>30.10149498</v>
      </c>
      <c r="BB2342" s="331">
        <f>SQRT(($R2342-Infrastructure!J$9)^2+($S2342-Infrastructure!K$9)^2)</f>
        <v>40.3238143</v>
      </c>
      <c r="BC2342" s="331">
        <f>SQRT(($R2342-Infrastructure!J$10)^2+($S2342-Infrastructure!K$10)^2)</f>
        <v>42.72001873</v>
      </c>
      <c r="BD2342" s="331">
        <f>SQRT(($R2342-Infrastructure!J$11)^2+($S2342-Infrastructure!K$11)^2)</f>
        <v>49.56853841</v>
      </c>
      <c r="BE2342" s="333">
        <f>SQRT(($R2342-Infrastructure!J$12)^2+($S2342-Infrastructure!K$12)^2)</f>
        <v>59.51890456</v>
      </c>
      <c r="BF2342" s="330">
        <f t="shared" si="161"/>
        <v>5.10881591</v>
      </c>
      <c r="BG2342" s="333">
        <f t="shared" si="162"/>
        <v>59.51890456</v>
      </c>
      <c r="BH2342" s="1119"/>
      <c r="BI2342" s="319" t="str">
        <f t="shared" ref="BI2342:BR2342" si="1538">IF(ISNUMBER(FIND(BI$3, $CO2342)), "Y", "")</f>
        <v/>
      </c>
      <c r="BJ2342" s="319" t="str">
        <f t="shared" si="1538"/>
        <v/>
      </c>
      <c r="BK2342" s="319" t="str">
        <f t="shared" si="1538"/>
        <v/>
      </c>
      <c r="BL2342" s="319" t="str">
        <f t="shared" si="1538"/>
        <v/>
      </c>
      <c r="BM2342" s="319" t="str">
        <f t="shared" si="1538"/>
        <v/>
      </c>
      <c r="BN2342" s="319" t="str">
        <f t="shared" si="1538"/>
        <v/>
      </c>
      <c r="BO2342" s="319" t="str">
        <f t="shared" si="1538"/>
        <v/>
      </c>
      <c r="BP2342" s="319" t="str">
        <f t="shared" si="1538"/>
        <v/>
      </c>
      <c r="BQ2342" s="319" t="str">
        <f t="shared" si="1538"/>
        <v/>
      </c>
      <c r="BR2342" s="319" t="str">
        <f t="shared" si="1538"/>
        <v/>
      </c>
      <c r="BS2342" s="330">
        <f t="shared" si="185"/>
        <v>0</v>
      </c>
      <c r="BT2342" s="331">
        <f t="shared" si="170"/>
        <v>0</v>
      </c>
      <c r="BU2342" s="920"/>
      <c r="BV2342" s="903" t="str">
        <f t="shared" si="1244"/>
        <v/>
      </c>
      <c r="BW2342" s="908"/>
      <c r="BX2342" s="908"/>
      <c r="BY2342" s="331" t="b">
        <f t="shared" si="201"/>
        <v>0</v>
      </c>
      <c r="BZ2342" s="331"/>
      <c r="CA2342" s="462" t="str">
        <f t="shared" ref="CA2342:CJ2342" si="1539">IF(ISNUMBER(FIND(BI$3, $CP2342)), "Y", "")</f>
        <v/>
      </c>
      <c r="CB2342" s="319" t="str">
        <f t="shared" si="1539"/>
        <v/>
      </c>
      <c r="CC2342" s="319" t="str">
        <f t="shared" si="1539"/>
        <v/>
      </c>
      <c r="CD2342" s="319" t="str">
        <f t="shared" si="1539"/>
        <v/>
      </c>
      <c r="CE2342" s="319" t="str">
        <f t="shared" si="1539"/>
        <v/>
      </c>
      <c r="CF2342" s="319" t="str">
        <f t="shared" si="1539"/>
        <v/>
      </c>
      <c r="CG2342" s="319" t="str">
        <f t="shared" si="1539"/>
        <v/>
      </c>
      <c r="CH2342" s="319" t="str">
        <f t="shared" si="1539"/>
        <v/>
      </c>
      <c r="CI2342" s="319" t="str">
        <f t="shared" si="1539"/>
        <v/>
      </c>
      <c r="CJ2342" s="319" t="str">
        <f t="shared" si="1539"/>
        <v/>
      </c>
      <c r="CK2342" s="342">
        <f t="shared" si="182"/>
        <v>0</v>
      </c>
      <c r="CL2342" s="333">
        <f t="shared" si="183"/>
        <v>0</v>
      </c>
      <c r="CM2342" s="1079"/>
      <c r="CN2342" s="1005"/>
      <c r="CO2342" s="1005"/>
      <c r="CP2342" s="1005"/>
    </row>
    <row r="2343">
      <c r="A2343" s="1257"/>
      <c r="B2343" s="1113"/>
      <c r="C2343" s="1107"/>
      <c r="D2343" s="103"/>
      <c r="E2343" s="1137"/>
      <c r="F2343" s="112"/>
      <c r="G2343" s="1110"/>
      <c r="H2343" s="1138"/>
      <c r="I2343" s="1138"/>
      <c r="J2343" s="1139"/>
      <c r="K2343" s="1111"/>
      <c r="L2343" s="1112"/>
      <c r="M2343" s="1113"/>
      <c r="N2343" s="110"/>
      <c r="O2343" s="1140"/>
      <c r="P2343" s="1115"/>
      <c r="Q2343" s="1116"/>
      <c r="R2343" s="1141"/>
      <c r="S2343" s="1113"/>
      <c r="T2343" s="1143"/>
      <c r="U2343" s="1108"/>
      <c r="V2343" s="1108"/>
      <c r="W2343" s="1108"/>
      <c r="X2343" s="1108"/>
      <c r="Y2343" s="1108"/>
      <c r="Z2343" s="1114"/>
      <c r="AA2343" s="1114"/>
      <c r="AB2343" s="1114"/>
      <c r="AC2343" s="1117"/>
      <c r="AD2343" s="1115"/>
      <c r="AE2343" s="1115"/>
      <c r="AF2343" s="1115"/>
      <c r="AG2343" s="1115"/>
      <c r="AH2343" s="1115"/>
      <c r="AI2343" s="1115"/>
      <c r="AJ2343" s="1117"/>
      <c r="AK2343" s="1118"/>
      <c r="AL2343" s="1115"/>
      <c r="AM2343" s="1115"/>
      <c r="AN2343" s="1115"/>
      <c r="AO2343" s="1115"/>
      <c r="AP2343" s="1115"/>
      <c r="AQ2343" s="1115"/>
      <c r="AR2343" s="1115"/>
      <c r="AS2343" s="1117"/>
      <c r="AT2343" s="1196" t="str">
        <f t="shared" si="428"/>
        <v/>
      </c>
      <c r="AU2343" s="1193"/>
      <c r="AV2343" s="330">
        <f>SQRT(($R2343-Infrastructure!J$3)^2+($S2343-Infrastructure!K$3)^2)</f>
        <v>28.90155705</v>
      </c>
      <c r="AW2343" s="331">
        <f>SQRT(($R2343-Infrastructure!J$4)^2+($S2343-Infrastructure!K$4)^2)</f>
        <v>17.80252791</v>
      </c>
      <c r="AX2343" s="331">
        <f>SQRT(($R2343-Infrastructure!J$5)^2+($S2343-Infrastructure!K$5)^2)</f>
        <v>5.10881591</v>
      </c>
      <c r="AY2343" s="331">
        <f>SQRT(($R2343-Infrastructure!J$6)^2+($S2343-Infrastructure!K$6)^2)</f>
        <v>10.10445446</v>
      </c>
      <c r="AZ2343" s="331">
        <f>SQRT(($R2343-Infrastructure!J$7)^2+($S2343-Infrastructure!K$7)^2)</f>
        <v>20.502195</v>
      </c>
      <c r="BA2343" s="331">
        <f>SQRT(($R2343-Infrastructure!J$8)^2+($S2343-Infrastructure!K$8)^2)</f>
        <v>30.10149498</v>
      </c>
      <c r="BB2343" s="331">
        <f>SQRT(($R2343-Infrastructure!J$9)^2+($S2343-Infrastructure!K$9)^2)</f>
        <v>40.3238143</v>
      </c>
      <c r="BC2343" s="331">
        <f>SQRT(($R2343-Infrastructure!J$10)^2+($S2343-Infrastructure!K$10)^2)</f>
        <v>42.72001873</v>
      </c>
      <c r="BD2343" s="331">
        <f>SQRT(($R2343-Infrastructure!J$11)^2+($S2343-Infrastructure!K$11)^2)</f>
        <v>49.56853841</v>
      </c>
      <c r="BE2343" s="333">
        <f>SQRT(($R2343-Infrastructure!J$12)^2+($S2343-Infrastructure!K$12)^2)</f>
        <v>59.51890456</v>
      </c>
      <c r="BF2343" s="330">
        <f t="shared" si="161"/>
        <v>5.10881591</v>
      </c>
      <c r="BG2343" s="333">
        <f t="shared" si="162"/>
        <v>59.51890456</v>
      </c>
      <c r="BH2343" s="1119"/>
      <c r="BI2343" s="319" t="str">
        <f t="shared" ref="BI2343:BR2343" si="1540">IF(ISNUMBER(FIND(BI$3, $CO2343)), "Y", "")</f>
        <v/>
      </c>
      <c r="BJ2343" s="319" t="str">
        <f t="shared" si="1540"/>
        <v/>
      </c>
      <c r="BK2343" s="319" t="str">
        <f t="shared" si="1540"/>
        <v/>
      </c>
      <c r="BL2343" s="319" t="str">
        <f t="shared" si="1540"/>
        <v/>
      </c>
      <c r="BM2343" s="319" t="str">
        <f t="shared" si="1540"/>
        <v/>
      </c>
      <c r="BN2343" s="319" t="str">
        <f t="shared" si="1540"/>
        <v/>
      </c>
      <c r="BO2343" s="319" t="str">
        <f t="shared" si="1540"/>
        <v/>
      </c>
      <c r="BP2343" s="319" t="str">
        <f t="shared" si="1540"/>
        <v/>
      </c>
      <c r="BQ2343" s="319" t="str">
        <f t="shared" si="1540"/>
        <v/>
      </c>
      <c r="BR2343" s="319" t="str">
        <f t="shared" si="1540"/>
        <v/>
      </c>
      <c r="BS2343" s="330">
        <f t="shared" si="185"/>
        <v>0</v>
      </c>
      <c r="BT2343" s="331">
        <f t="shared" si="170"/>
        <v>0</v>
      </c>
      <c r="BU2343" s="920"/>
      <c r="BV2343" s="903" t="str">
        <f t="shared" si="1244"/>
        <v/>
      </c>
      <c r="BW2343" s="908"/>
      <c r="BX2343" s="908"/>
      <c r="BY2343" s="331" t="b">
        <f t="shared" si="201"/>
        <v>0</v>
      </c>
      <c r="BZ2343" s="331"/>
      <c r="CA2343" s="462" t="str">
        <f t="shared" ref="CA2343:CJ2343" si="1541">IF(ISNUMBER(FIND(BI$3, $CP2343)), "Y", "")</f>
        <v/>
      </c>
      <c r="CB2343" s="319" t="str">
        <f t="shared" si="1541"/>
        <v/>
      </c>
      <c r="CC2343" s="319" t="str">
        <f t="shared" si="1541"/>
        <v/>
      </c>
      <c r="CD2343" s="319" t="str">
        <f t="shared" si="1541"/>
        <v/>
      </c>
      <c r="CE2343" s="319" t="str">
        <f t="shared" si="1541"/>
        <v/>
      </c>
      <c r="CF2343" s="319" t="str">
        <f t="shared" si="1541"/>
        <v/>
      </c>
      <c r="CG2343" s="319" t="str">
        <f t="shared" si="1541"/>
        <v/>
      </c>
      <c r="CH2343" s="319" t="str">
        <f t="shared" si="1541"/>
        <v/>
      </c>
      <c r="CI2343" s="319" t="str">
        <f t="shared" si="1541"/>
        <v/>
      </c>
      <c r="CJ2343" s="319" t="str">
        <f t="shared" si="1541"/>
        <v/>
      </c>
      <c r="CK2343" s="342">
        <f t="shared" si="182"/>
        <v>0</v>
      </c>
      <c r="CL2343" s="333">
        <f t="shared" si="183"/>
        <v>0</v>
      </c>
      <c r="CM2343" s="1079"/>
      <c r="CN2343" s="1005"/>
      <c r="CO2343" s="1005"/>
      <c r="CP2343" s="1005"/>
    </row>
    <row r="2344">
      <c r="A2344" s="1257"/>
      <c r="B2344" s="1113"/>
      <c r="C2344" s="1107"/>
      <c r="D2344" s="103"/>
      <c r="E2344" s="1137"/>
      <c r="F2344" s="112"/>
      <c r="G2344" s="1110"/>
      <c r="H2344" s="1138"/>
      <c r="I2344" s="1138"/>
      <c r="J2344" s="1139"/>
      <c r="K2344" s="1111"/>
      <c r="L2344" s="1112"/>
      <c r="M2344" s="1113"/>
      <c r="N2344" s="110"/>
      <c r="O2344" s="1140"/>
      <c r="P2344" s="1115"/>
      <c r="Q2344" s="1116"/>
      <c r="R2344" s="1141"/>
      <c r="S2344" s="1113"/>
      <c r="T2344" s="1143"/>
      <c r="U2344" s="1108"/>
      <c r="V2344" s="1108"/>
      <c r="W2344" s="1108"/>
      <c r="X2344" s="1108"/>
      <c r="Y2344" s="1108"/>
      <c r="Z2344" s="1114"/>
      <c r="AA2344" s="1114"/>
      <c r="AB2344" s="1114"/>
      <c r="AC2344" s="1117"/>
      <c r="AD2344" s="1115"/>
      <c r="AE2344" s="1115"/>
      <c r="AF2344" s="1115"/>
      <c r="AG2344" s="1115"/>
      <c r="AH2344" s="1115"/>
      <c r="AI2344" s="1115"/>
      <c r="AJ2344" s="1117"/>
      <c r="AK2344" s="1118"/>
      <c r="AL2344" s="1115"/>
      <c r="AM2344" s="1115"/>
      <c r="AN2344" s="1115"/>
      <c r="AO2344" s="1115"/>
      <c r="AP2344" s="1115"/>
      <c r="AQ2344" s="1115"/>
      <c r="AR2344" s="1115"/>
      <c r="AS2344" s="1117"/>
      <c r="AT2344" s="1196" t="str">
        <f t="shared" si="428"/>
        <v/>
      </c>
      <c r="AU2344" s="1193"/>
      <c r="AV2344" s="330">
        <f>SQRT(($R2344-Infrastructure!J$3)^2+($S2344-Infrastructure!K$3)^2)</f>
        <v>28.90155705</v>
      </c>
      <c r="AW2344" s="331">
        <f>SQRT(($R2344-Infrastructure!J$4)^2+($S2344-Infrastructure!K$4)^2)</f>
        <v>17.80252791</v>
      </c>
      <c r="AX2344" s="331">
        <f>SQRT(($R2344-Infrastructure!J$5)^2+($S2344-Infrastructure!K$5)^2)</f>
        <v>5.10881591</v>
      </c>
      <c r="AY2344" s="331">
        <f>SQRT(($R2344-Infrastructure!J$6)^2+($S2344-Infrastructure!K$6)^2)</f>
        <v>10.10445446</v>
      </c>
      <c r="AZ2344" s="331">
        <f>SQRT(($R2344-Infrastructure!J$7)^2+($S2344-Infrastructure!K$7)^2)</f>
        <v>20.502195</v>
      </c>
      <c r="BA2344" s="331">
        <f>SQRT(($R2344-Infrastructure!J$8)^2+($S2344-Infrastructure!K$8)^2)</f>
        <v>30.10149498</v>
      </c>
      <c r="BB2344" s="331">
        <f>SQRT(($R2344-Infrastructure!J$9)^2+($S2344-Infrastructure!K$9)^2)</f>
        <v>40.3238143</v>
      </c>
      <c r="BC2344" s="331">
        <f>SQRT(($R2344-Infrastructure!J$10)^2+($S2344-Infrastructure!K$10)^2)</f>
        <v>42.72001873</v>
      </c>
      <c r="BD2344" s="331">
        <f>SQRT(($R2344-Infrastructure!J$11)^2+($S2344-Infrastructure!K$11)^2)</f>
        <v>49.56853841</v>
      </c>
      <c r="BE2344" s="333">
        <f>SQRT(($R2344-Infrastructure!J$12)^2+($S2344-Infrastructure!K$12)^2)</f>
        <v>59.51890456</v>
      </c>
      <c r="BF2344" s="330">
        <f t="shared" si="161"/>
        <v>5.10881591</v>
      </c>
      <c r="BG2344" s="333">
        <f t="shared" si="162"/>
        <v>59.51890456</v>
      </c>
      <c r="BH2344" s="1119"/>
      <c r="BI2344" s="319" t="str">
        <f t="shared" ref="BI2344:BR2344" si="1542">IF(ISNUMBER(FIND(BI$3, $CO2344)), "Y", "")</f>
        <v/>
      </c>
      <c r="BJ2344" s="319" t="str">
        <f t="shared" si="1542"/>
        <v/>
      </c>
      <c r="BK2344" s="319" t="str">
        <f t="shared" si="1542"/>
        <v/>
      </c>
      <c r="BL2344" s="319" t="str">
        <f t="shared" si="1542"/>
        <v/>
      </c>
      <c r="BM2344" s="319" t="str">
        <f t="shared" si="1542"/>
        <v/>
      </c>
      <c r="BN2344" s="319" t="str">
        <f t="shared" si="1542"/>
        <v/>
      </c>
      <c r="BO2344" s="319" t="str">
        <f t="shared" si="1542"/>
        <v/>
      </c>
      <c r="BP2344" s="319" t="str">
        <f t="shared" si="1542"/>
        <v/>
      </c>
      <c r="BQ2344" s="319" t="str">
        <f t="shared" si="1542"/>
        <v/>
      </c>
      <c r="BR2344" s="319" t="str">
        <f t="shared" si="1542"/>
        <v/>
      </c>
      <c r="BS2344" s="330">
        <f t="shared" si="185"/>
        <v>0</v>
      </c>
      <c r="BT2344" s="331">
        <f t="shared" si="170"/>
        <v>0</v>
      </c>
      <c r="BU2344" s="920"/>
      <c r="BV2344" s="903" t="str">
        <f t="shared" si="1244"/>
        <v/>
      </c>
      <c r="BW2344" s="908"/>
      <c r="BX2344" s="908"/>
      <c r="BY2344" s="331" t="b">
        <f t="shared" si="201"/>
        <v>0</v>
      </c>
      <c r="BZ2344" s="331"/>
      <c r="CA2344" s="462" t="str">
        <f t="shared" ref="CA2344:CJ2344" si="1543">IF(ISNUMBER(FIND(BI$3, $CP2344)), "Y", "")</f>
        <v/>
      </c>
      <c r="CB2344" s="319" t="str">
        <f t="shared" si="1543"/>
        <v/>
      </c>
      <c r="CC2344" s="319" t="str">
        <f t="shared" si="1543"/>
        <v/>
      </c>
      <c r="CD2344" s="319" t="str">
        <f t="shared" si="1543"/>
        <v/>
      </c>
      <c r="CE2344" s="319" t="str">
        <f t="shared" si="1543"/>
        <v/>
      </c>
      <c r="CF2344" s="319" t="str">
        <f t="shared" si="1543"/>
        <v/>
      </c>
      <c r="CG2344" s="319" t="str">
        <f t="shared" si="1543"/>
        <v/>
      </c>
      <c r="CH2344" s="319" t="str">
        <f t="shared" si="1543"/>
        <v/>
      </c>
      <c r="CI2344" s="319" t="str">
        <f t="shared" si="1543"/>
        <v/>
      </c>
      <c r="CJ2344" s="319" t="str">
        <f t="shared" si="1543"/>
        <v/>
      </c>
      <c r="CK2344" s="342">
        <f t="shared" si="182"/>
        <v>0</v>
      </c>
      <c r="CL2344" s="333">
        <f t="shared" si="183"/>
        <v>0</v>
      </c>
      <c r="CM2344" s="1079"/>
      <c r="CN2344" s="1005"/>
      <c r="CO2344" s="1005"/>
      <c r="CP2344" s="1005"/>
    </row>
    <row r="2345">
      <c r="A2345" s="1257"/>
      <c r="B2345" s="1113"/>
      <c r="C2345" s="1107"/>
      <c r="D2345" s="103"/>
      <c r="E2345" s="1137"/>
      <c r="F2345" s="112"/>
      <c r="G2345" s="1110"/>
      <c r="H2345" s="1138"/>
      <c r="I2345" s="1138"/>
      <c r="J2345" s="1139"/>
      <c r="K2345" s="1111"/>
      <c r="L2345" s="1112"/>
      <c r="M2345" s="1113"/>
      <c r="N2345" s="110"/>
      <c r="O2345" s="1140"/>
      <c r="P2345" s="1115"/>
      <c r="Q2345" s="1116"/>
      <c r="R2345" s="1141"/>
      <c r="S2345" s="1113"/>
      <c r="T2345" s="1143"/>
      <c r="U2345" s="1108"/>
      <c r="V2345" s="1108"/>
      <c r="W2345" s="1108"/>
      <c r="X2345" s="1108"/>
      <c r="Y2345" s="1108"/>
      <c r="Z2345" s="1114"/>
      <c r="AA2345" s="1114"/>
      <c r="AB2345" s="1114"/>
      <c r="AC2345" s="1117"/>
      <c r="AD2345" s="1115"/>
      <c r="AE2345" s="1115"/>
      <c r="AF2345" s="1115"/>
      <c r="AG2345" s="1115"/>
      <c r="AH2345" s="1115"/>
      <c r="AI2345" s="1115"/>
      <c r="AJ2345" s="1117"/>
      <c r="AK2345" s="1118"/>
      <c r="AL2345" s="1115"/>
      <c r="AM2345" s="1115"/>
      <c r="AN2345" s="1115"/>
      <c r="AO2345" s="1115"/>
      <c r="AP2345" s="1115"/>
      <c r="AQ2345" s="1115"/>
      <c r="AR2345" s="1115"/>
      <c r="AS2345" s="1117"/>
      <c r="AT2345" s="1196" t="str">
        <f t="shared" si="428"/>
        <v/>
      </c>
      <c r="AU2345" s="1193"/>
      <c r="AV2345" s="330">
        <f>SQRT(($R2345-Infrastructure!J$3)^2+($S2345-Infrastructure!K$3)^2)</f>
        <v>28.90155705</v>
      </c>
      <c r="AW2345" s="331">
        <f>SQRT(($R2345-Infrastructure!J$4)^2+($S2345-Infrastructure!K$4)^2)</f>
        <v>17.80252791</v>
      </c>
      <c r="AX2345" s="331">
        <f>SQRT(($R2345-Infrastructure!J$5)^2+($S2345-Infrastructure!K$5)^2)</f>
        <v>5.10881591</v>
      </c>
      <c r="AY2345" s="331">
        <f>SQRT(($R2345-Infrastructure!J$6)^2+($S2345-Infrastructure!K$6)^2)</f>
        <v>10.10445446</v>
      </c>
      <c r="AZ2345" s="331">
        <f>SQRT(($R2345-Infrastructure!J$7)^2+($S2345-Infrastructure!K$7)^2)</f>
        <v>20.502195</v>
      </c>
      <c r="BA2345" s="331">
        <f>SQRT(($R2345-Infrastructure!J$8)^2+($S2345-Infrastructure!K$8)^2)</f>
        <v>30.10149498</v>
      </c>
      <c r="BB2345" s="331">
        <f>SQRT(($R2345-Infrastructure!J$9)^2+($S2345-Infrastructure!K$9)^2)</f>
        <v>40.3238143</v>
      </c>
      <c r="BC2345" s="331">
        <f>SQRT(($R2345-Infrastructure!J$10)^2+($S2345-Infrastructure!K$10)^2)</f>
        <v>42.72001873</v>
      </c>
      <c r="BD2345" s="331">
        <f>SQRT(($R2345-Infrastructure!J$11)^2+($S2345-Infrastructure!K$11)^2)</f>
        <v>49.56853841</v>
      </c>
      <c r="BE2345" s="333">
        <f>SQRT(($R2345-Infrastructure!J$12)^2+($S2345-Infrastructure!K$12)^2)</f>
        <v>59.51890456</v>
      </c>
      <c r="BF2345" s="330">
        <f t="shared" si="161"/>
        <v>5.10881591</v>
      </c>
      <c r="BG2345" s="333">
        <f t="shared" si="162"/>
        <v>59.51890456</v>
      </c>
      <c r="BH2345" s="1119"/>
      <c r="BI2345" s="319" t="str">
        <f t="shared" ref="BI2345:BR2345" si="1544">IF(ISNUMBER(FIND(BI$3, $CO2345)), "Y", "")</f>
        <v/>
      </c>
      <c r="BJ2345" s="319" t="str">
        <f t="shared" si="1544"/>
        <v/>
      </c>
      <c r="BK2345" s="319" t="str">
        <f t="shared" si="1544"/>
        <v/>
      </c>
      <c r="BL2345" s="319" t="str">
        <f t="shared" si="1544"/>
        <v/>
      </c>
      <c r="BM2345" s="319" t="str">
        <f t="shared" si="1544"/>
        <v/>
      </c>
      <c r="BN2345" s="319" t="str">
        <f t="shared" si="1544"/>
        <v/>
      </c>
      <c r="BO2345" s="319" t="str">
        <f t="shared" si="1544"/>
        <v/>
      </c>
      <c r="BP2345" s="319" t="str">
        <f t="shared" si="1544"/>
        <v/>
      </c>
      <c r="BQ2345" s="319" t="str">
        <f t="shared" si="1544"/>
        <v/>
      </c>
      <c r="BR2345" s="319" t="str">
        <f t="shared" si="1544"/>
        <v/>
      </c>
      <c r="BS2345" s="330">
        <f t="shared" si="185"/>
        <v>0</v>
      </c>
      <c r="BT2345" s="331">
        <f t="shared" si="170"/>
        <v>0</v>
      </c>
      <c r="BU2345" s="920"/>
      <c r="BV2345" s="903" t="str">
        <f t="shared" si="1244"/>
        <v/>
      </c>
      <c r="BW2345" s="908"/>
      <c r="BX2345" s="908"/>
      <c r="BY2345" s="331" t="b">
        <f t="shared" si="201"/>
        <v>0</v>
      </c>
      <c r="BZ2345" s="331"/>
      <c r="CA2345" s="462" t="str">
        <f t="shared" ref="CA2345:CJ2345" si="1545">IF(ISNUMBER(FIND(BI$3, $CP2345)), "Y", "")</f>
        <v/>
      </c>
      <c r="CB2345" s="319" t="str">
        <f t="shared" si="1545"/>
        <v/>
      </c>
      <c r="CC2345" s="319" t="str">
        <f t="shared" si="1545"/>
        <v/>
      </c>
      <c r="CD2345" s="319" t="str">
        <f t="shared" si="1545"/>
        <v/>
      </c>
      <c r="CE2345" s="319" t="str">
        <f t="shared" si="1545"/>
        <v/>
      </c>
      <c r="CF2345" s="319" t="str">
        <f t="shared" si="1545"/>
        <v/>
      </c>
      <c r="CG2345" s="319" t="str">
        <f t="shared" si="1545"/>
        <v/>
      </c>
      <c r="CH2345" s="319" t="str">
        <f t="shared" si="1545"/>
        <v/>
      </c>
      <c r="CI2345" s="319" t="str">
        <f t="shared" si="1545"/>
        <v/>
      </c>
      <c r="CJ2345" s="319" t="str">
        <f t="shared" si="1545"/>
        <v/>
      </c>
      <c r="CK2345" s="342">
        <f t="shared" si="182"/>
        <v>0</v>
      </c>
      <c r="CL2345" s="333">
        <f t="shared" si="183"/>
        <v>0</v>
      </c>
      <c r="CM2345" s="1079"/>
      <c r="CN2345" s="1005"/>
      <c r="CO2345" s="1005"/>
      <c r="CP2345" s="1005"/>
    </row>
    <row r="2346">
      <c r="A2346" s="1257"/>
      <c r="B2346" s="1113"/>
      <c r="C2346" s="1107"/>
      <c r="D2346" s="103"/>
      <c r="E2346" s="1137"/>
      <c r="F2346" s="112"/>
      <c r="G2346" s="1110"/>
      <c r="H2346" s="1138"/>
      <c r="I2346" s="1138"/>
      <c r="J2346" s="1139"/>
      <c r="K2346" s="1111"/>
      <c r="L2346" s="1112"/>
      <c r="M2346" s="1113"/>
      <c r="N2346" s="110"/>
      <c r="O2346" s="1140"/>
      <c r="P2346" s="1115"/>
      <c r="Q2346" s="1116"/>
      <c r="R2346" s="1141"/>
      <c r="S2346" s="1113"/>
      <c r="T2346" s="1143"/>
      <c r="U2346" s="1108"/>
      <c r="V2346" s="1108"/>
      <c r="W2346" s="1108"/>
      <c r="X2346" s="1108"/>
      <c r="Y2346" s="1108"/>
      <c r="Z2346" s="1114"/>
      <c r="AA2346" s="1114"/>
      <c r="AB2346" s="1114"/>
      <c r="AC2346" s="1117"/>
      <c r="AD2346" s="1115"/>
      <c r="AE2346" s="1115"/>
      <c r="AF2346" s="1115"/>
      <c r="AG2346" s="1115"/>
      <c r="AH2346" s="1115"/>
      <c r="AI2346" s="1115"/>
      <c r="AJ2346" s="1117"/>
      <c r="AK2346" s="1118"/>
      <c r="AL2346" s="1115"/>
      <c r="AM2346" s="1115"/>
      <c r="AN2346" s="1115"/>
      <c r="AO2346" s="1115"/>
      <c r="AP2346" s="1115"/>
      <c r="AQ2346" s="1115"/>
      <c r="AR2346" s="1115"/>
      <c r="AS2346" s="1117"/>
      <c r="AT2346" s="1196" t="str">
        <f t="shared" si="428"/>
        <v/>
      </c>
      <c r="AU2346" s="1193"/>
      <c r="AV2346" s="330">
        <f>SQRT(($R2346-Infrastructure!J$3)^2+($S2346-Infrastructure!K$3)^2)</f>
        <v>28.90155705</v>
      </c>
      <c r="AW2346" s="331">
        <f>SQRT(($R2346-Infrastructure!J$4)^2+($S2346-Infrastructure!K$4)^2)</f>
        <v>17.80252791</v>
      </c>
      <c r="AX2346" s="331">
        <f>SQRT(($R2346-Infrastructure!J$5)^2+($S2346-Infrastructure!K$5)^2)</f>
        <v>5.10881591</v>
      </c>
      <c r="AY2346" s="331">
        <f>SQRT(($R2346-Infrastructure!J$6)^2+($S2346-Infrastructure!K$6)^2)</f>
        <v>10.10445446</v>
      </c>
      <c r="AZ2346" s="331">
        <f>SQRT(($R2346-Infrastructure!J$7)^2+($S2346-Infrastructure!K$7)^2)</f>
        <v>20.502195</v>
      </c>
      <c r="BA2346" s="331">
        <f>SQRT(($R2346-Infrastructure!J$8)^2+($S2346-Infrastructure!K$8)^2)</f>
        <v>30.10149498</v>
      </c>
      <c r="BB2346" s="331">
        <f>SQRT(($R2346-Infrastructure!J$9)^2+($S2346-Infrastructure!K$9)^2)</f>
        <v>40.3238143</v>
      </c>
      <c r="BC2346" s="331">
        <f>SQRT(($R2346-Infrastructure!J$10)^2+($S2346-Infrastructure!K$10)^2)</f>
        <v>42.72001873</v>
      </c>
      <c r="BD2346" s="331">
        <f>SQRT(($R2346-Infrastructure!J$11)^2+($S2346-Infrastructure!K$11)^2)</f>
        <v>49.56853841</v>
      </c>
      <c r="BE2346" s="333">
        <f>SQRT(($R2346-Infrastructure!J$12)^2+($S2346-Infrastructure!K$12)^2)</f>
        <v>59.51890456</v>
      </c>
      <c r="BF2346" s="330">
        <f t="shared" si="161"/>
        <v>5.10881591</v>
      </c>
      <c r="BG2346" s="333">
        <f t="shared" si="162"/>
        <v>59.51890456</v>
      </c>
      <c r="BH2346" s="1119"/>
      <c r="BI2346" s="319" t="str">
        <f t="shared" ref="BI2346:BR2346" si="1546">IF(ISNUMBER(FIND(BI$3, $CO2346)), "Y", "")</f>
        <v/>
      </c>
      <c r="BJ2346" s="319" t="str">
        <f t="shared" si="1546"/>
        <v/>
      </c>
      <c r="BK2346" s="319" t="str">
        <f t="shared" si="1546"/>
        <v/>
      </c>
      <c r="BL2346" s="319" t="str">
        <f t="shared" si="1546"/>
        <v/>
      </c>
      <c r="BM2346" s="319" t="str">
        <f t="shared" si="1546"/>
        <v/>
      </c>
      <c r="BN2346" s="319" t="str">
        <f t="shared" si="1546"/>
        <v/>
      </c>
      <c r="BO2346" s="319" t="str">
        <f t="shared" si="1546"/>
        <v/>
      </c>
      <c r="BP2346" s="319" t="str">
        <f t="shared" si="1546"/>
        <v/>
      </c>
      <c r="BQ2346" s="319" t="str">
        <f t="shared" si="1546"/>
        <v/>
      </c>
      <c r="BR2346" s="319" t="str">
        <f t="shared" si="1546"/>
        <v/>
      </c>
      <c r="BS2346" s="330">
        <f t="shared" si="185"/>
        <v>0</v>
      </c>
      <c r="BT2346" s="331">
        <f t="shared" si="170"/>
        <v>0</v>
      </c>
      <c r="BU2346" s="920"/>
      <c r="BV2346" s="903" t="str">
        <f t="shared" si="1244"/>
        <v/>
      </c>
      <c r="BW2346" s="908"/>
      <c r="BX2346" s="908"/>
      <c r="BY2346" s="331" t="b">
        <f t="shared" si="201"/>
        <v>0</v>
      </c>
      <c r="BZ2346" s="331"/>
      <c r="CA2346" s="462" t="str">
        <f t="shared" ref="CA2346:CJ2346" si="1547">IF(ISNUMBER(FIND(BI$3, $CP2346)), "Y", "")</f>
        <v/>
      </c>
      <c r="CB2346" s="319" t="str">
        <f t="shared" si="1547"/>
        <v/>
      </c>
      <c r="CC2346" s="319" t="str">
        <f t="shared" si="1547"/>
        <v/>
      </c>
      <c r="CD2346" s="319" t="str">
        <f t="shared" si="1547"/>
        <v/>
      </c>
      <c r="CE2346" s="319" t="str">
        <f t="shared" si="1547"/>
        <v/>
      </c>
      <c r="CF2346" s="319" t="str">
        <f t="shared" si="1547"/>
        <v/>
      </c>
      <c r="CG2346" s="319" t="str">
        <f t="shared" si="1547"/>
        <v/>
      </c>
      <c r="CH2346" s="319" t="str">
        <f t="shared" si="1547"/>
        <v/>
      </c>
      <c r="CI2346" s="319" t="str">
        <f t="shared" si="1547"/>
        <v/>
      </c>
      <c r="CJ2346" s="319" t="str">
        <f t="shared" si="1547"/>
        <v/>
      </c>
      <c r="CK2346" s="342">
        <f t="shared" si="182"/>
        <v>0</v>
      </c>
      <c r="CL2346" s="333">
        <f t="shared" si="183"/>
        <v>0</v>
      </c>
      <c r="CM2346" s="1079"/>
      <c r="CN2346" s="1005"/>
      <c r="CO2346" s="1005"/>
      <c r="CP2346" s="1005"/>
    </row>
    <row r="2347">
      <c r="A2347" s="1257"/>
      <c r="B2347" s="1113"/>
      <c r="C2347" s="1107"/>
      <c r="D2347" s="103"/>
      <c r="E2347" s="1137"/>
      <c r="F2347" s="112"/>
      <c r="G2347" s="1110"/>
      <c r="H2347" s="1138"/>
      <c r="I2347" s="1138"/>
      <c r="J2347" s="1139"/>
      <c r="K2347" s="1111"/>
      <c r="L2347" s="1112"/>
      <c r="M2347" s="1113"/>
      <c r="N2347" s="110"/>
      <c r="O2347" s="1140"/>
      <c r="P2347" s="1115"/>
      <c r="Q2347" s="1116"/>
      <c r="R2347" s="1141"/>
      <c r="S2347" s="1113"/>
      <c r="T2347" s="1143"/>
      <c r="U2347" s="1108"/>
      <c r="V2347" s="1108"/>
      <c r="W2347" s="1108"/>
      <c r="X2347" s="1108"/>
      <c r="Y2347" s="1108"/>
      <c r="Z2347" s="1114"/>
      <c r="AA2347" s="1114"/>
      <c r="AB2347" s="1114"/>
      <c r="AC2347" s="1117"/>
      <c r="AD2347" s="1115"/>
      <c r="AE2347" s="1115"/>
      <c r="AF2347" s="1115"/>
      <c r="AG2347" s="1115"/>
      <c r="AH2347" s="1115"/>
      <c r="AI2347" s="1115"/>
      <c r="AJ2347" s="1117"/>
      <c r="AK2347" s="1118"/>
      <c r="AL2347" s="1115"/>
      <c r="AM2347" s="1115"/>
      <c r="AN2347" s="1115"/>
      <c r="AO2347" s="1115"/>
      <c r="AP2347" s="1115"/>
      <c r="AQ2347" s="1115"/>
      <c r="AR2347" s="1115"/>
      <c r="AS2347" s="1117"/>
      <c r="AT2347" s="1196" t="str">
        <f t="shared" si="428"/>
        <v/>
      </c>
      <c r="AU2347" s="1193"/>
      <c r="AV2347" s="330">
        <f>SQRT(($R2347-Infrastructure!J$3)^2+($S2347-Infrastructure!K$3)^2)</f>
        <v>28.90155705</v>
      </c>
      <c r="AW2347" s="331">
        <f>SQRT(($R2347-Infrastructure!J$4)^2+($S2347-Infrastructure!K$4)^2)</f>
        <v>17.80252791</v>
      </c>
      <c r="AX2347" s="331">
        <f>SQRT(($R2347-Infrastructure!J$5)^2+($S2347-Infrastructure!K$5)^2)</f>
        <v>5.10881591</v>
      </c>
      <c r="AY2347" s="331">
        <f>SQRT(($R2347-Infrastructure!J$6)^2+($S2347-Infrastructure!K$6)^2)</f>
        <v>10.10445446</v>
      </c>
      <c r="AZ2347" s="331">
        <f>SQRT(($R2347-Infrastructure!J$7)^2+($S2347-Infrastructure!K$7)^2)</f>
        <v>20.502195</v>
      </c>
      <c r="BA2347" s="331">
        <f>SQRT(($R2347-Infrastructure!J$8)^2+($S2347-Infrastructure!K$8)^2)</f>
        <v>30.10149498</v>
      </c>
      <c r="BB2347" s="331">
        <f>SQRT(($R2347-Infrastructure!J$9)^2+($S2347-Infrastructure!K$9)^2)</f>
        <v>40.3238143</v>
      </c>
      <c r="BC2347" s="331">
        <f>SQRT(($R2347-Infrastructure!J$10)^2+($S2347-Infrastructure!K$10)^2)</f>
        <v>42.72001873</v>
      </c>
      <c r="BD2347" s="331">
        <f>SQRT(($R2347-Infrastructure!J$11)^2+($S2347-Infrastructure!K$11)^2)</f>
        <v>49.56853841</v>
      </c>
      <c r="BE2347" s="333">
        <f>SQRT(($R2347-Infrastructure!J$12)^2+($S2347-Infrastructure!K$12)^2)</f>
        <v>59.51890456</v>
      </c>
      <c r="BF2347" s="330">
        <f t="shared" si="161"/>
        <v>5.10881591</v>
      </c>
      <c r="BG2347" s="333">
        <f t="shared" si="162"/>
        <v>59.51890456</v>
      </c>
      <c r="BH2347" s="1119"/>
      <c r="BI2347" s="319" t="str">
        <f t="shared" ref="BI2347:BR2347" si="1548">IF(ISNUMBER(FIND(BI$3, $CO2347)), "Y", "")</f>
        <v/>
      </c>
      <c r="BJ2347" s="319" t="str">
        <f t="shared" si="1548"/>
        <v/>
      </c>
      <c r="BK2347" s="319" t="str">
        <f t="shared" si="1548"/>
        <v/>
      </c>
      <c r="BL2347" s="319" t="str">
        <f t="shared" si="1548"/>
        <v/>
      </c>
      <c r="BM2347" s="319" t="str">
        <f t="shared" si="1548"/>
        <v/>
      </c>
      <c r="BN2347" s="319" t="str">
        <f t="shared" si="1548"/>
        <v/>
      </c>
      <c r="BO2347" s="319" t="str">
        <f t="shared" si="1548"/>
        <v/>
      </c>
      <c r="BP2347" s="319" t="str">
        <f t="shared" si="1548"/>
        <v/>
      </c>
      <c r="BQ2347" s="319" t="str">
        <f t="shared" si="1548"/>
        <v/>
      </c>
      <c r="BR2347" s="319" t="str">
        <f t="shared" si="1548"/>
        <v/>
      </c>
      <c r="BS2347" s="330">
        <f t="shared" si="185"/>
        <v>0</v>
      </c>
      <c r="BT2347" s="331">
        <f t="shared" si="170"/>
        <v>0</v>
      </c>
      <c r="BU2347" s="920"/>
      <c r="BV2347" s="903" t="str">
        <f t="shared" si="1244"/>
        <v/>
      </c>
      <c r="BW2347" s="908"/>
      <c r="BX2347" s="908"/>
      <c r="BY2347" s="331" t="b">
        <f t="shared" si="201"/>
        <v>0</v>
      </c>
      <c r="BZ2347" s="331"/>
      <c r="CA2347" s="462" t="str">
        <f t="shared" ref="CA2347:CJ2347" si="1549">IF(ISNUMBER(FIND(BI$3, $CP2347)), "Y", "")</f>
        <v/>
      </c>
      <c r="CB2347" s="319" t="str">
        <f t="shared" si="1549"/>
        <v/>
      </c>
      <c r="CC2347" s="319" t="str">
        <f t="shared" si="1549"/>
        <v/>
      </c>
      <c r="CD2347" s="319" t="str">
        <f t="shared" si="1549"/>
        <v/>
      </c>
      <c r="CE2347" s="319" t="str">
        <f t="shared" si="1549"/>
        <v/>
      </c>
      <c r="CF2347" s="319" t="str">
        <f t="shared" si="1549"/>
        <v/>
      </c>
      <c r="CG2347" s="319" t="str">
        <f t="shared" si="1549"/>
        <v/>
      </c>
      <c r="CH2347" s="319" t="str">
        <f t="shared" si="1549"/>
        <v/>
      </c>
      <c r="CI2347" s="319" t="str">
        <f t="shared" si="1549"/>
        <v/>
      </c>
      <c r="CJ2347" s="319" t="str">
        <f t="shared" si="1549"/>
        <v/>
      </c>
      <c r="CK2347" s="342">
        <f t="shared" si="182"/>
        <v>0</v>
      </c>
      <c r="CL2347" s="333">
        <f t="shared" si="183"/>
        <v>0</v>
      </c>
      <c r="CM2347" s="1079"/>
      <c r="CN2347" s="1005"/>
      <c r="CO2347" s="1005"/>
      <c r="CP2347" s="1005"/>
    </row>
    <row r="2348">
      <c r="A2348" s="1257"/>
      <c r="B2348" s="1113"/>
      <c r="C2348" s="1107"/>
      <c r="D2348" s="103"/>
      <c r="E2348" s="1137"/>
      <c r="F2348" s="112"/>
      <c r="G2348" s="1110"/>
      <c r="H2348" s="1138"/>
      <c r="I2348" s="1138"/>
      <c r="J2348" s="1139"/>
      <c r="K2348" s="1111"/>
      <c r="L2348" s="1112"/>
      <c r="M2348" s="1113"/>
      <c r="N2348" s="110"/>
      <c r="O2348" s="1140"/>
      <c r="P2348" s="1115"/>
      <c r="Q2348" s="1116"/>
      <c r="R2348" s="1141"/>
      <c r="S2348" s="1113"/>
      <c r="T2348" s="1143"/>
      <c r="U2348" s="1108"/>
      <c r="V2348" s="1108"/>
      <c r="W2348" s="1108"/>
      <c r="X2348" s="1108"/>
      <c r="Y2348" s="1108"/>
      <c r="Z2348" s="1114"/>
      <c r="AA2348" s="1114"/>
      <c r="AB2348" s="1114"/>
      <c r="AC2348" s="1117"/>
      <c r="AD2348" s="1115"/>
      <c r="AE2348" s="1115"/>
      <c r="AF2348" s="1115"/>
      <c r="AG2348" s="1115"/>
      <c r="AH2348" s="1115"/>
      <c r="AI2348" s="1115"/>
      <c r="AJ2348" s="1117"/>
      <c r="AK2348" s="1118"/>
      <c r="AL2348" s="1115"/>
      <c r="AM2348" s="1115"/>
      <c r="AN2348" s="1115"/>
      <c r="AO2348" s="1115"/>
      <c r="AP2348" s="1115"/>
      <c r="AQ2348" s="1115"/>
      <c r="AR2348" s="1115"/>
      <c r="AS2348" s="1117"/>
      <c r="AT2348" s="1196" t="str">
        <f t="shared" si="428"/>
        <v/>
      </c>
      <c r="AU2348" s="1193"/>
      <c r="AV2348" s="330">
        <f>SQRT(($R2348-Infrastructure!J$3)^2+($S2348-Infrastructure!K$3)^2)</f>
        <v>28.90155705</v>
      </c>
      <c r="AW2348" s="331">
        <f>SQRT(($R2348-Infrastructure!J$4)^2+($S2348-Infrastructure!K$4)^2)</f>
        <v>17.80252791</v>
      </c>
      <c r="AX2348" s="331">
        <f>SQRT(($R2348-Infrastructure!J$5)^2+($S2348-Infrastructure!K$5)^2)</f>
        <v>5.10881591</v>
      </c>
      <c r="AY2348" s="331">
        <f>SQRT(($R2348-Infrastructure!J$6)^2+($S2348-Infrastructure!K$6)^2)</f>
        <v>10.10445446</v>
      </c>
      <c r="AZ2348" s="331">
        <f>SQRT(($R2348-Infrastructure!J$7)^2+($S2348-Infrastructure!K$7)^2)</f>
        <v>20.502195</v>
      </c>
      <c r="BA2348" s="331">
        <f>SQRT(($R2348-Infrastructure!J$8)^2+($S2348-Infrastructure!K$8)^2)</f>
        <v>30.10149498</v>
      </c>
      <c r="BB2348" s="331">
        <f>SQRT(($R2348-Infrastructure!J$9)^2+($S2348-Infrastructure!K$9)^2)</f>
        <v>40.3238143</v>
      </c>
      <c r="BC2348" s="331">
        <f>SQRT(($R2348-Infrastructure!J$10)^2+($S2348-Infrastructure!K$10)^2)</f>
        <v>42.72001873</v>
      </c>
      <c r="BD2348" s="331">
        <f>SQRT(($R2348-Infrastructure!J$11)^2+($S2348-Infrastructure!K$11)^2)</f>
        <v>49.56853841</v>
      </c>
      <c r="BE2348" s="333">
        <f>SQRT(($R2348-Infrastructure!J$12)^2+($S2348-Infrastructure!K$12)^2)</f>
        <v>59.51890456</v>
      </c>
      <c r="BF2348" s="330">
        <f t="shared" si="161"/>
        <v>5.10881591</v>
      </c>
      <c r="BG2348" s="333">
        <f t="shared" si="162"/>
        <v>59.51890456</v>
      </c>
      <c r="BH2348" s="1119"/>
      <c r="BI2348" s="319" t="str">
        <f t="shared" ref="BI2348:BR2348" si="1550">IF(ISNUMBER(FIND(BI$3, $CO2348)), "Y", "")</f>
        <v/>
      </c>
      <c r="BJ2348" s="319" t="str">
        <f t="shared" si="1550"/>
        <v/>
      </c>
      <c r="BK2348" s="319" t="str">
        <f t="shared" si="1550"/>
        <v/>
      </c>
      <c r="BL2348" s="319" t="str">
        <f t="shared" si="1550"/>
        <v/>
      </c>
      <c r="BM2348" s="319" t="str">
        <f t="shared" si="1550"/>
        <v/>
      </c>
      <c r="BN2348" s="319" t="str">
        <f t="shared" si="1550"/>
        <v/>
      </c>
      <c r="BO2348" s="319" t="str">
        <f t="shared" si="1550"/>
        <v/>
      </c>
      <c r="BP2348" s="319" t="str">
        <f t="shared" si="1550"/>
        <v/>
      </c>
      <c r="BQ2348" s="319" t="str">
        <f t="shared" si="1550"/>
        <v/>
      </c>
      <c r="BR2348" s="319" t="str">
        <f t="shared" si="1550"/>
        <v/>
      </c>
      <c r="BS2348" s="330">
        <f t="shared" si="185"/>
        <v>0</v>
      </c>
      <c r="BT2348" s="331">
        <f t="shared" si="170"/>
        <v>0</v>
      </c>
      <c r="BU2348" s="920"/>
      <c r="BV2348" s="903" t="str">
        <f t="shared" si="1244"/>
        <v/>
      </c>
      <c r="BW2348" s="908"/>
      <c r="BX2348" s="908"/>
      <c r="BY2348" s="331" t="b">
        <f t="shared" si="201"/>
        <v>0</v>
      </c>
      <c r="BZ2348" s="331"/>
      <c r="CA2348" s="462" t="str">
        <f t="shared" ref="CA2348:CJ2348" si="1551">IF(ISNUMBER(FIND(BI$3, $CP2348)), "Y", "")</f>
        <v/>
      </c>
      <c r="CB2348" s="319" t="str">
        <f t="shared" si="1551"/>
        <v/>
      </c>
      <c r="CC2348" s="319" t="str">
        <f t="shared" si="1551"/>
        <v/>
      </c>
      <c r="CD2348" s="319" t="str">
        <f t="shared" si="1551"/>
        <v/>
      </c>
      <c r="CE2348" s="319" t="str">
        <f t="shared" si="1551"/>
        <v/>
      </c>
      <c r="CF2348" s="319" t="str">
        <f t="shared" si="1551"/>
        <v/>
      </c>
      <c r="CG2348" s="319" t="str">
        <f t="shared" si="1551"/>
        <v/>
      </c>
      <c r="CH2348" s="319" t="str">
        <f t="shared" si="1551"/>
        <v/>
      </c>
      <c r="CI2348" s="319" t="str">
        <f t="shared" si="1551"/>
        <v/>
      </c>
      <c r="CJ2348" s="319" t="str">
        <f t="shared" si="1551"/>
        <v/>
      </c>
      <c r="CK2348" s="342">
        <f t="shared" si="182"/>
        <v>0</v>
      </c>
      <c r="CL2348" s="333">
        <f t="shared" si="183"/>
        <v>0</v>
      </c>
      <c r="CM2348" s="1079"/>
      <c r="CN2348" s="1005"/>
      <c r="CO2348" s="1005"/>
      <c r="CP2348" s="1005"/>
    </row>
    <row r="2349">
      <c r="A2349" s="1257"/>
      <c r="B2349" s="1113"/>
      <c r="C2349" s="1107"/>
      <c r="D2349" s="103"/>
      <c r="E2349" s="1137"/>
      <c r="F2349" s="112"/>
      <c r="G2349" s="1110"/>
      <c r="H2349" s="1138"/>
      <c r="I2349" s="1138"/>
      <c r="J2349" s="1139"/>
      <c r="K2349" s="1111"/>
      <c r="L2349" s="1112"/>
      <c r="M2349" s="1113"/>
      <c r="N2349" s="110"/>
      <c r="O2349" s="1140"/>
      <c r="P2349" s="1115"/>
      <c r="Q2349" s="1116"/>
      <c r="R2349" s="1141"/>
      <c r="S2349" s="1113"/>
      <c r="T2349" s="1143"/>
      <c r="U2349" s="1108"/>
      <c r="V2349" s="1108"/>
      <c r="W2349" s="1108"/>
      <c r="X2349" s="1108"/>
      <c r="Y2349" s="1108"/>
      <c r="Z2349" s="1114"/>
      <c r="AA2349" s="1114"/>
      <c r="AB2349" s="1114"/>
      <c r="AC2349" s="1117"/>
      <c r="AD2349" s="1115"/>
      <c r="AE2349" s="1115"/>
      <c r="AF2349" s="1115"/>
      <c r="AG2349" s="1115"/>
      <c r="AH2349" s="1115"/>
      <c r="AI2349" s="1115"/>
      <c r="AJ2349" s="1117"/>
      <c r="AK2349" s="1118"/>
      <c r="AL2349" s="1115"/>
      <c r="AM2349" s="1115"/>
      <c r="AN2349" s="1115"/>
      <c r="AO2349" s="1115"/>
      <c r="AP2349" s="1115"/>
      <c r="AQ2349" s="1115"/>
      <c r="AR2349" s="1115"/>
      <c r="AS2349" s="1117"/>
      <c r="AT2349" s="1196" t="str">
        <f t="shared" si="428"/>
        <v/>
      </c>
      <c r="AU2349" s="1193"/>
      <c r="AV2349" s="330">
        <f>SQRT(($R2349-Infrastructure!J$3)^2+($S2349-Infrastructure!K$3)^2)</f>
        <v>28.90155705</v>
      </c>
      <c r="AW2349" s="331">
        <f>SQRT(($R2349-Infrastructure!J$4)^2+($S2349-Infrastructure!K$4)^2)</f>
        <v>17.80252791</v>
      </c>
      <c r="AX2349" s="331">
        <f>SQRT(($R2349-Infrastructure!J$5)^2+($S2349-Infrastructure!K$5)^2)</f>
        <v>5.10881591</v>
      </c>
      <c r="AY2349" s="331">
        <f>SQRT(($R2349-Infrastructure!J$6)^2+($S2349-Infrastructure!K$6)^2)</f>
        <v>10.10445446</v>
      </c>
      <c r="AZ2349" s="331">
        <f>SQRT(($R2349-Infrastructure!J$7)^2+($S2349-Infrastructure!K$7)^2)</f>
        <v>20.502195</v>
      </c>
      <c r="BA2349" s="331">
        <f>SQRT(($R2349-Infrastructure!J$8)^2+($S2349-Infrastructure!K$8)^2)</f>
        <v>30.10149498</v>
      </c>
      <c r="BB2349" s="331">
        <f>SQRT(($R2349-Infrastructure!J$9)^2+($S2349-Infrastructure!K$9)^2)</f>
        <v>40.3238143</v>
      </c>
      <c r="BC2349" s="331">
        <f>SQRT(($R2349-Infrastructure!J$10)^2+($S2349-Infrastructure!K$10)^2)</f>
        <v>42.72001873</v>
      </c>
      <c r="BD2349" s="331">
        <f>SQRT(($R2349-Infrastructure!J$11)^2+($S2349-Infrastructure!K$11)^2)</f>
        <v>49.56853841</v>
      </c>
      <c r="BE2349" s="333">
        <f>SQRT(($R2349-Infrastructure!J$12)^2+($S2349-Infrastructure!K$12)^2)</f>
        <v>59.51890456</v>
      </c>
      <c r="BF2349" s="330">
        <f t="shared" si="161"/>
        <v>5.10881591</v>
      </c>
      <c r="BG2349" s="333">
        <f t="shared" si="162"/>
        <v>59.51890456</v>
      </c>
      <c r="BH2349" s="1119"/>
      <c r="BI2349" s="319" t="str">
        <f t="shared" ref="BI2349:BR2349" si="1552">IF(ISNUMBER(FIND(BI$3, $CO2349)), "Y", "")</f>
        <v/>
      </c>
      <c r="BJ2349" s="319" t="str">
        <f t="shared" si="1552"/>
        <v/>
      </c>
      <c r="BK2349" s="319" t="str">
        <f t="shared" si="1552"/>
        <v/>
      </c>
      <c r="BL2349" s="319" t="str">
        <f t="shared" si="1552"/>
        <v/>
      </c>
      <c r="BM2349" s="319" t="str">
        <f t="shared" si="1552"/>
        <v/>
      </c>
      <c r="BN2349" s="319" t="str">
        <f t="shared" si="1552"/>
        <v/>
      </c>
      <c r="BO2349" s="319" t="str">
        <f t="shared" si="1552"/>
        <v/>
      </c>
      <c r="BP2349" s="319" t="str">
        <f t="shared" si="1552"/>
        <v/>
      </c>
      <c r="BQ2349" s="319" t="str">
        <f t="shared" si="1552"/>
        <v/>
      </c>
      <c r="BR2349" s="319" t="str">
        <f t="shared" si="1552"/>
        <v/>
      </c>
      <c r="BS2349" s="330">
        <f t="shared" si="185"/>
        <v>0</v>
      </c>
      <c r="BT2349" s="331">
        <f t="shared" si="170"/>
        <v>0</v>
      </c>
      <c r="BU2349" s="920"/>
      <c r="BV2349" s="903" t="str">
        <f t="shared" si="1244"/>
        <v/>
      </c>
      <c r="BW2349" s="908"/>
      <c r="BX2349" s="908"/>
      <c r="BY2349" s="331" t="b">
        <f t="shared" si="201"/>
        <v>0</v>
      </c>
      <c r="BZ2349" s="331"/>
      <c r="CA2349" s="462" t="str">
        <f t="shared" ref="CA2349:CJ2349" si="1553">IF(ISNUMBER(FIND(BI$3, $CP2349)), "Y", "")</f>
        <v/>
      </c>
      <c r="CB2349" s="319" t="str">
        <f t="shared" si="1553"/>
        <v/>
      </c>
      <c r="CC2349" s="319" t="str">
        <f t="shared" si="1553"/>
        <v/>
      </c>
      <c r="CD2349" s="319" t="str">
        <f t="shared" si="1553"/>
        <v/>
      </c>
      <c r="CE2349" s="319" t="str">
        <f t="shared" si="1553"/>
        <v/>
      </c>
      <c r="CF2349" s="319" t="str">
        <f t="shared" si="1553"/>
        <v/>
      </c>
      <c r="CG2349" s="319" t="str">
        <f t="shared" si="1553"/>
        <v/>
      </c>
      <c r="CH2349" s="319" t="str">
        <f t="shared" si="1553"/>
        <v/>
      </c>
      <c r="CI2349" s="319" t="str">
        <f t="shared" si="1553"/>
        <v/>
      </c>
      <c r="CJ2349" s="319" t="str">
        <f t="shared" si="1553"/>
        <v/>
      </c>
      <c r="CK2349" s="342">
        <f t="shared" si="182"/>
        <v>0</v>
      </c>
      <c r="CL2349" s="333">
        <f t="shared" si="183"/>
        <v>0</v>
      </c>
      <c r="CM2349" s="1079"/>
      <c r="CN2349" s="1005"/>
      <c r="CO2349" s="1005"/>
      <c r="CP2349" s="1005"/>
    </row>
    <row r="2350">
      <c r="A2350" s="1257"/>
      <c r="B2350" s="1113"/>
      <c r="C2350" s="1107"/>
      <c r="D2350" s="103"/>
      <c r="E2350" s="1137"/>
      <c r="F2350" s="112"/>
      <c r="G2350" s="1110"/>
      <c r="H2350" s="1138"/>
      <c r="I2350" s="1138"/>
      <c r="J2350" s="1139"/>
      <c r="K2350" s="1111"/>
      <c r="L2350" s="1112"/>
      <c r="M2350" s="1113"/>
      <c r="N2350" s="110"/>
      <c r="O2350" s="1140"/>
      <c r="P2350" s="1115"/>
      <c r="Q2350" s="1116"/>
      <c r="R2350" s="1141"/>
      <c r="S2350" s="1113"/>
      <c r="T2350" s="1143"/>
      <c r="U2350" s="1108"/>
      <c r="V2350" s="1108"/>
      <c r="W2350" s="1108"/>
      <c r="X2350" s="1108"/>
      <c r="Y2350" s="1108"/>
      <c r="Z2350" s="1114"/>
      <c r="AA2350" s="1114"/>
      <c r="AB2350" s="1114"/>
      <c r="AC2350" s="1117"/>
      <c r="AD2350" s="1115"/>
      <c r="AE2350" s="1115"/>
      <c r="AF2350" s="1115"/>
      <c r="AG2350" s="1115"/>
      <c r="AH2350" s="1115"/>
      <c r="AI2350" s="1115"/>
      <c r="AJ2350" s="1117"/>
      <c r="AK2350" s="1118"/>
      <c r="AL2350" s="1115"/>
      <c r="AM2350" s="1115"/>
      <c r="AN2350" s="1115"/>
      <c r="AO2350" s="1115"/>
      <c r="AP2350" s="1115"/>
      <c r="AQ2350" s="1115"/>
      <c r="AR2350" s="1115"/>
      <c r="AS2350" s="1117"/>
      <c r="AT2350" s="1196" t="str">
        <f t="shared" si="428"/>
        <v/>
      </c>
      <c r="AU2350" s="1193"/>
      <c r="AV2350" s="330">
        <f>SQRT(($R2350-Infrastructure!J$3)^2+($S2350-Infrastructure!K$3)^2)</f>
        <v>28.90155705</v>
      </c>
      <c r="AW2350" s="331">
        <f>SQRT(($R2350-Infrastructure!J$4)^2+($S2350-Infrastructure!K$4)^2)</f>
        <v>17.80252791</v>
      </c>
      <c r="AX2350" s="331">
        <f>SQRT(($R2350-Infrastructure!J$5)^2+($S2350-Infrastructure!K$5)^2)</f>
        <v>5.10881591</v>
      </c>
      <c r="AY2350" s="331">
        <f>SQRT(($R2350-Infrastructure!J$6)^2+($S2350-Infrastructure!K$6)^2)</f>
        <v>10.10445446</v>
      </c>
      <c r="AZ2350" s="331">
        <f>SQRT(($R2350-Infrastructure!J$7)^2+($S2350-Infrastructure!K$7)^2)</f>
        <v>20.502195</v>
      </c>
      <c r="BA2350" s="331">
        <f>SQRT(($R2350-Infrastructure!J$8)^2+($S2350-Infrastructure!K$8)^2)</f>
        <v>30.10149498</v>
      </c>
      <c r="BB2350" s="331">
        <f>SQRT(($R2350-Infrastructure!J$9)^2+($S2350-Infrastructure!K$9)^2)</f>
        <v>40.3238143</v>
      </c>
      <c r="BC2350" s="331">
        <f>SQRT(($R2350-Infrastructure!J$10)^2+($S2350-Infrastructure!K$10)^2)</f>
        <v>42.72001873</v>
      </c>
      <c r="BD2350" s="331">
        <f>SQRT(($R2350-Infrastructure!J$11)^2+($S2350-Infrastructure!K$11)^2)</f>
        <v>49.56853841</v>
      </c>
      <c r="BE2350" s="333">
        <f>SQRT(($R2350-Infrastructure!J$12)^2+($S2350-Infrastructure!K$12)^2)</f>
        <v>59.51890456</v>
      </c>
      <c r="BF2350" s="330">
        <f t="shared" si="161"/>
        <v>5.10881591</v>
      </c>
      <c r="BG2350" s="333">
        <f t="shared" si="162"/>
        <v>59.51890456</v>
      </c>
      <c r="BH2350" s="1119"/>
      <c r="BI2350" s="319" t="str">
        <f t="shared" ref="BI2350:BR2350" si="1554">IF(ISNUMBER(FIND(BI$3, $CO2350)), "Y", "")</f>
        <v/>
      </c>
      <c r="BJ2350" s="319" t="str">
        <f t="shared" si="1554"/>
        <v/>
      </c>
      <c r="BK2350" s="319" t="str">
        <f t="shared" si="1554"/>
        <v/>
      </c>
      <c r="BL2350" s="319" t="str">
        <f t="shared" si="1554"/>
        <v/>
      </c>
      <c r="BM2350" s="319" t="str">
        <f t="shared" si="1554"/>
        <v/>
      </c>
      <c r="BN2350" s="319" t="str">
        <f t="shared" si="1554"/>
        <v/>
      </c>
      <c r="BO2350" s="319" t="str">
        <f t="shared" si="1554"/>
        <v/>
      </c>
      <c r="BP2350" s="319" t="str">
        <f t="shared" si="1554"/>
        <v/>
      </c>
      <c r="BQ2350" s="319" t="str">
        <f t="shared" si="1554"/>
        <v/>
      </c>
      <c r="BR2350" s="319" t="str">
        <f t="shared" si="1554"/>
        <v/>
      </c>
      <c r="BS2350" s="330">
        <f t="shared" si="185"/>
        <v>0</v>
      </c>
      <c r="BT2350" s="331">
        <f t="shared" si="170"/>
        <v>0</v>
      </c>
      <c r="BU2350" s="920"/>
      <c r="BV2350" s="903" t="str">
        <f t="shared" si="1244"/>
        <v/>
      </c>
      <c r="BW2350" s="908"/>
      <c r="BX2350" s="908"/>
      <c r="BY2350" s="331" t="b">
        <f t="shared" si="201"/>
        <v>0</v>
      </c>
      <c r="BZ2350" s="331"/>
      <c r="CA2350" s="462" t="str">
        <f t="shared" ref="CA2350:CJ2350" si="1555">IF(ISNUMBER(FIND(BI$3, $CP2350)), "Y", "")</f>
        <v/>
      </c>
      <c r="CB2350" s="319" t="str">
        <f t="shared" si="1555"/>
        <v/>
      </c>
      <c r="CC2350" s="319" t="str">
        <f t="shared" si="1555"/>
        <v/>
      </c>
      <c r="CD2350" s="319" t="str">
        <f t="shared" si="1555"/>
        <v/>
      </c>
      <c r="CE2350" s="319" t="str">
        <f t="shared" si="1555"/>
        <v/>
      </c>
      <c r="CF2350" s="319" t="str">
        <f t="shared" si="1555"/>
        <v/>
      </c>
      <c r="CG2350" s="319" t="str">
        <f t="shared" si="1555"/>
        <v/>
      </c>
      <c r="CH2350" s="319" t="str">
        <f t="shared" si="1555"/>
        <v/>
      </c>
      <c r="CI2350" s="319" t="str">
        <f t="shared" si="1555"/>
        <v/>
      </c>
      <c r="CJ2350" s="319" t="str">
        <f t="shared" si="1555"/>
        <v/>
      </c>
      <c r="CK2350" s="342">
        <f t="shared" si="182"/>
        <v>0</v>
      </c>
      <c r="CL2350" s="333">
        <f t="shared" si="183"/>
        <v>0</v>
      </c>
      <c r="CM2350" s="1079"/>
      <c r="CN2350" s="1005"/>
      <c r="CO2350" s="1005"/>
      <c r="CP2350" s="1005"/>
    </row>
    <row r="2351">
      <c r="A2351" s="1257"/>
      <c r="B2351" s="1113"/>
      <c r="C2351" s="1107"/>
      <c r="D2351" s="103"/>
      <c r="E2351" s="1137"/>
      <c r="F2351" s="112"/>
      <c r="G2351" s="1110"/>
      <c r="H2351" s="1138"/>
      <c r="I2351" s="1138"/>
      <c r="J2351" s="1139"/>
      <c r="K2351" s="1111"/>
      <c r="L2351" s="1112"/>
      <c r="M2351" s="1113"/>
      <c r="N2351" s="110"/>
      <c r="O2351" s="1140"/>
      <c r="P2351" s="1115"/>
      <c r="Q2351" s="1116"/>
      <c r="R2351" s="1141"/>
      <c r="S2351" s="1113"/>
      <c r="T2351" s="1143"/>
      <c r="U2351" s="1108"/>
      <c r="V2351" s="1108"/>
      <c r="W2351" s="1108"/>
      <c r="X2351" s="1108"/>
      <c r="Y2351" s="1108"/>
      <c r="Z2351" s="1114"/>
      <c r="AA2351" s="1114"/>
      <c r="AB2351" s="1114"/>
      <c r="AC2351" s="1117"/>
      <c r="AD2351" s="1115"/>
      <c r="AE2351" s="1115"/>
      <c r="AF2351" s="1115"/>
      <c r="AG2351" s="1115"/>
      <c r="AH2351" s="1115"/>
      <c r="AI2351" s="1115"/>
      <c r="AJ2351" s="1117"/>
      <c r="AK2351" s="1118"/>
      <c r="AL2351" s="1115"/>
      <c r="AM2351" s="1115"/>
      <c r="AN2351" s="1115"/>
      <c r="AO2351" s="1115"/>
      <c r="AP2351" s="1115"/>
      <c r="AQ2351" s="1115"/>
      <c r="AR2351" s="1115"/>
      <c r="AS2351" s="1117"/>
      <c r="AT2351" s="1196" t="str">
        <f t="shared" si="428"/>
        <v/>
      </c>
      <c r="AU2351" s="1193"/>
      <c r="AV2351" s="330">
        <f>SQRT(($R2351-Infrastructure!J$3)^2+($S2351-Infrastructure!K$3)^2)</f>
        <v>28.90155705</v>
      </c>
      <c r="AW2351" s="331">
        <f>SQRT(($R2351-Infrastructure!J$4)^2+($S2351-Infrastructure!K$4)^2)</f>
        <v>17.80252791</v>
      </c>
      <c r="AX2351" s="331">
        <f>SQRT(($R2351-Infrastructure!J$5)^2+($S2351-Infrastructure!K$5)^2)</f>
        <v>5.10881591</v>
      </c>
      <c r="AY2351" s="331">
        <f>SQRT(($R2351-Infrastructure!J$6)^2+($S2351-Infrastructure!K$6)^2)</f>
        <v>10.10445446</v>
      </c>
      <c r="AZ2351" s="331">
        <f>SQRT(($R2351-Infrastructure!J$7)^2+($S2351-Infrastructure!K$7)^2)</f>
        <v>20.502195</v>
      </c>
      <c r="BA2351" s="331">
        <f>SQRT(($R2351-Infrastructure!J$8)^2+($S2351-Infrastructure!K$8)^2)</f>
        <v>30.10149498</v>
      </c>
      <c r="BB2351" s="331">
        <f>SQRT(($R2351-Infrastructure!J$9)^2+($S2351-Infrastructure!K$9)^2)</f>
        <v>40.3238143</v>
      </c>
      <c r="BC2351" s="331">
        <f>SQRT(($R2351-Infrastructure!J$10)^2+($S2351-Infrastructure!K$10)^2)</f>
        <v>42.72001873</v>
      </c>
      <c r="BD2351" s="331">
        <f>SQRT(($R2351-Infrastructure!J$11)^2+($S2351-Infrastructure!K$11)^2)</f>
        <v>49.56853841</v>
      </c>
      <c r="BE2351" s="333">
        <f>SQRT(($R2351-Infrastructure!J$12)^2+($S2351-Infrastructure!K$12)^2)</f>
        <v>59.51890456</v>
      </c>
      <c r="BF2351" s="330">
        <f t="shared" si="161"/>
        <v>5.10881591</v>
      </c>
      <c r="BG2351" s="333">
        <f t="shared" si="162"/>
        <v>59.51890456</v>
      </c>
      <c r="BH2351" s="1119"/>
      <c r="BI2351" s="319" t="str">
        <f t="shared" ref="BI2351:BR2351" si="1556">IF(ISNUMBER(FIND(BI$3, $CO2351)), "Y", "")</f>
        <v/>
      </c>
      <c r="BJ2351" s="319" t="str">
        <f t="shared" si="1556"/>
        <v/>
      </c>
      <c r="BK2351" s="319" t="str">
        <f t="shared" si="1556"/>
        <v/>
      </c>
      <c r="BL2351" s="319" t="str">
        <f t="shared" si="1556"/>
        <v/>
      </c>
      <c r="BM2351" s="319" t="str">
        <f t="shared" si="1556"/>
        <v/>
      </c>
      <c r="BN2351" s="319" t="str">
        <f t="shared" si="1556"/>
        <v/>
      </c>
      <c r="BO2351" s="319" t="str">
        <f t="shared" si="1556"/>
        <v/>
      </c>
      <c r="BP2351" s="319" t="str">
        <f t="shared" si="1556"/>
        <v/>
      </c>
      <c r="BQ2351" s="319" t="str">
        <f t="shared" si="1556"/>
        <v/>
      </c>
      <c r="BR2351" s="319" t="str">
        <f t="shared" si="1556"/>
        <v/>
      </c>
      <c r="BS2351" s="330">
        <f t="shared" si="185"/>
        <v>0</v>
      </c>
      <c r="BT2351" s="331">
        <f t="shared" si="170"/>
        <v>0</v>
      </c>
      <c r="BU2351" s="920"/>
      <c r="BV2351" s="903" t="str">
        <f t="shared" si="1244"/>
        <v/>
      </c>
      <c r="BW2351" s="908"/>
      <c r="BX2351" s="908"/>
      <c r="BY2351" s="331" t="b">
        <f t="shared" si="201"/>
        <v>0</v>
      </c>
      <c r="BZ2351" s="331"/>
      <c r="CA2351" s="462" t="str">
        <f t="shared" ref="CA2351:CJ2351" si="1557">IF(ISNUMBER(FIND(BI$3, $CP2351)), "Y", "")</f>
        <v/>
      </c>
      <c r="CB2351" s="319" t="str">
        <f t="shared" si="1557"/>
        <v/>
      </c>
      <c r="CC2351" s="319" t="str">
        <f t="shared" si="1557"/>
        <v/>
      </c>
      <c r="CD2351" s="319" t="str">
        <f t="shared" si="1557"/>
        <v/>
      </c>
      <c r="CE2351" s="319" t="str">
        <f t="shared" si="1557"/>
        <v/>
      </c>
      <c r="CF2351" s="319" t="str">
        <f t="shared" si="1557"/>
        <v/>
      </c>
      <c r="CG2351" s="319" t="str">
        <f t="shared" si="1557"/>
        <v/>
      </c>
      <c r="CH2351" s="319" t="str">
        <f t="shared" si="1557"/>
        <v/>
      </c>
      <c r="CI2351" s="319" t="str">
        <f t="shared" si="1557"/>
        <v/>
      </c>
      <c r="CJ2351" s="319" t="str">
        <f t="shared" si="1557"/>
        <v/>
      </c>
      <c r="CK2351" s="342">
        <f t="shared" si="182"/>
        <v>0</v>
      </c>
      <c r="CL2351" s="333">
        <f t="shared" si="183"/>
        <v>0</v>
      </c>
      <c r="CM2351" s="1079"/>
      <c r="CN2351" s="1005"/>
      <c r="CO2351" s="1005"/>
      <c r="CP2351" s="1005"/>
    </row>
    <row r="2352">
      <c r="A2352" s="1257"/>
      <c r="B2352" s="1113"/>
      <c r="C2352" s="1107"/>
      <c r="D2352" s="103"/>
      <c r="E2352" s="1137"/>
      <c r="F2352" s="112"/>
      <c r="G2352" s="1110"/>
      <c r="H2352" s="1138"/>
      <c r="I2352" s="1138"/>
      <c r="J2352" s="1139"/>
      <c r="K2352" s="1111"/>
      <c r="L2352" s="1112"/>
      <c r="M2352" s="1113"/>
      <c r="N2352" s="110"/>
      <c r="O2352" s="1140"/>
      <c r="P2352" s="1115"/>
      <c r="Q2352" s="1116"/>
      <c r="R2352" s="1141"/>
      <c r="S2352" s="1113"/>
      <c r="T2352" s="1143"/>
      <c r="U2352" s="1108"/>
      <c r="V2352" s="1108"/>
      <c r="W2352" s="1108"/>
      <c r="X2352" s="1108"/>
      <c r="Y2352" s="1108"/>
      <c r="Z2352" s="1114"/>
      <c r="AA2352" s="1114"/>
      <c r="AB2352" s="1114"/>
      <c r="AC2352" s="1117"/>
      <c r="AD2352" s="1115"/>
      <c r="AE2352" s="1115"/>
      <c r="AF2352" s="1115"/>
      <c r="AG2352" s="1115"/>
      <c r="AH2352" s="1115"/>
      <c r="AI2352" s="1115"/>
      <c r="AJ2352" s="1117"/>
      <c r="AK2352" s="1118"/>
      <c r="AL2352" s="1115"/>
      <c r="AM2352" s="1115"/>
      <c r="AN2352" s="1115"/>
      <c r="AO2352" s="1115"/>
      <c r="AP2352" s="1115"/>
      <c r="AQ2352" s="1115"/>
      <c r="AR2352" s="1115"/>
      <c r="AS2352" s="1117"/>
      <c r="AT2352" s="1196" t="str">
        <f t="shared" si="428"/>
        <v/>
      </c>
      <c r="AU2352" s="1193"/>
      <c r="AV2352" s="330">
        <f>SQRT(($R2352-Infrastructure!J$3)^2+($S2352-Infrastructure!K$3)^2)</f>
        <v>28.90155705</v>
      </c>
      <c r="AW2352" s="331">
        <f>SQRT(($R2352-Infrastructure!J$4)^2+($S2352-Infrastructure!K$4)^2)</f>
        <v>17.80252791</v>
      </c>
      <c r="AX2352" s="331">
        <f>SQRT(($R2352-Infrastructure!J$5)^2+($S2352-Infrastructure!K$5)^2)</f>
        <v>5.10881591</v>
      </c>
      <c r="AY2352" s="331">
        <f>SQRT(($R2352-Infrastructure!J$6)^2+($S2352-Infrastructure!K$6)^2)</f>
        <v>10.10445446</v>
      </c>
      <c r="AZ2352" s="331">
        <f>SQRT(($R2352-Infrastructure!J$7)^2+($S2352-Infrastructure!K$7)^2)</f>
        <v>20.502195</v>
      </c>
      <c r="BA2352" s="331">
        <f>SQRT(($R2352-Infrastructure!J$8)^2+($S2352-Infrastructure!K$8)^2)</f>
        <v>30.10149498</v>
      </c>
      <c r="BB2352" s="331">
        <f>SQRT(($R2352-Infrastructure!J$9)^2+($S2352-Infrastructure!K$9)^2)</f>
        <v>40.3238143</v>
      </c>
      <c r="BC2352" s="331">
        <f>SQRT(($R2352-Infrastructure!J$10)^2+($S2352-Infrastructure!K$10)^2)</f>
        <v>42.72001873</v>
      </c>
      <c r="BD2352" s="331">
        <f>SQRT(($R2352-Infrastructure!J$11)^2+($S2352-Infrastructure!K$11)^2)</f>
        <v>49.56853841</v>
      </c>
      <c r="BE2352" s="333">
        <f>SQRT(($R2352-Infrastructure!J$12)^2+($S2352-Infrastructure!K$12)^2)</f>
        <v>59.51890456</v>
      </c>
      <c r="BF2352" s="330">
        <f t="shared" si="161"/>
        <v>5.10881591</v>
      </c>
      <c r="BG2352" s="333">
        <f t="shared" si="162"/>
        <v>59.51890456</v>
      </c>
      <c r="BH2352" s="1119"/>
      <c r="BI2352" s="319" t="str">
        <f t="shared" ref="BI2352:BR2352" si="1558">IF(ISNUMBER(FIND(BI$3, $CO2352)), "Y", "")</f>
        <v/>
      </c>
      <c r="BJ2352" s="319" t="str">
        <f t="shared" si="1558"/>
        <v/>
      </c>
      <c r="BK2352" s="319" t="str">
        <f t="shared" si="1558"/>
        <v/>
      </c>
      <c r="BL2352" s="319" t="str">
        <f t="shared" si="1558"/>
        <v/>
      </c>
      <c r="BM2352" s="319" t="str">
        <f t="shared" si="1558"/>
        <v/>
      </c>
      <c r="BN2352" s="319" t="str">
        <f t="shared" si="1558"/>
        <v/>
      </c>
      <c r="BO2352" s="319" t="str">
        <f t="shared" si="1558"/>
        <v/>
      </c>
      <c r="BP2352" s="319" t="str">
        <f t="shared" si="1558"/>
        <v/>
      </c>
      <c r="BQ2352" s="319" t="str">
        <f t="shared" si="1558"/>
        <v/>
      </c>
      <c r="BR2352" s="319" t="str">
        <f t="shared" si="1558"/>
        <v/>
      </c>
      <c r="BS2352" s="330">
        <f t="shared" si="185"/>
        <v>0</v>
      </c>
      <c r="BT2352" s="331">
        <f t="shared" si="170"/>
        <v>0</v>
      </c>
      <c r="BU2352" s="920"/>
      <c r="BV2352" s="903" t="str">
        <f t="shared" si="1244"/>
        <v/>
      </c>
      <c r="BW2352" s="908"/>
      <c r="BX2352" s="908"/>
      <c r="BY2352" s="331" t="b">
        <f t="shared" si="201"/>
        <v>0</v>
      </c>
      <c r="BZ2352" s="331"/>
      <c r="CA2352" s="462" t="str">
        <f t="shared" ref="CA2352:CJ2352" si="1559">IF(ISNUMBER(FIND(BI$3, $CP2352)), "Y", "")</f>
        <v/>
      </c>
      <c r="CB2352" s="319" t="str">
        <f t="shared" si="1559"/>
        <v/>
      </c>
      <c r="CC2352" s="319" t="str">
        <f t="shared" si="1559"/>
        <v/>
      </c>
      <c r="CD2352" s="319" t="str">
        <f t="shared" si="1559"/>
        <v/>
      </c>
      <c r="CE2352" s="319" t="str">
        <f t="shared" si="1559"/>
        <v/>
      </c>
      <c r="CF2352" s="319" t="str">
        <f t="shared" si="1559"/>
        <v/>
      </c>
      <c r="CG2352" s="319" t="str">
        <f t="shared" si="1559"/>
        <v/>
      </c>
      <c r="CH2352" s="319" t="str">
        <f t="shared" si="1559"/>
        <v/>
      </c>
      <c r="CI2352" s="319" t="str">
        <f t="shared" si="1559"/>
        <v/>
      </c>
      <c r="CJ2352" s="319" t="str">
        <f t="shared" si="1559"/>
        <v/>
      </c>
      <c r="CK2352" s="342">
        <f t="shared" si="182"/>
        <v>0</v>
      </c>
      <c r="CL2352" s="333">
        <f t="shared" si="183"/>
        <v>0</v>
      </c>
      <c r="CM2352" s="1079"/>
      <c r="CN2352" s="1005"/>
      <c r="CO2352" s="1005"/>
      <c r="CP2352" s="1005"/>
    </row>
    <row r="2353">
      <c r="A2353" s="1257"/>
      <c r="B2353" s="1113"/>
      <c r="C2353" s="1107"/>
      <c r="D2353" s="103"/>
      <c r="E2353" s="1137"/>
      <c r="F2353" s="112"/>
      <c r="G2353" s="1110"/>
      <c r="H2353" s="1138"/>
      <c r="I2353" s="1138"/>
      <c r="J2353" s="1139"/>
      <c r="K2353" s="1111"/>
      <c r="L2353" s="1112"/>
      <c r="M2353" s="1113"/>
      <c r="N2353" s="110"/>
      <c r="O2353" s="1140"/>
      <c r="P2353" s="1115"/>
      <c r="Q2353" s="1116"/>
      <c r="R2353" s="1141"/>
      <c r="S2353" s="1113"/>
      <c r="T2353" s="1143"/>
      <c r="U2353" s="1108"/>
      <c r="V2353" s="1108"/>
      <c r="W2353" s="1108"/>
      <c r="X2353" s="1108"/>
      <c r="Y2353" s="1108"/>
      <c r="Z2353" s="1114"/>
      <c r="AA2353" s="1114"/>
      <c r="AB2353" s="1114"/>
      <c r="AC2353" s="1117"/>
      <c r="AD2353" s="1115"/>
      <c r="AE2353" s="1115"/>
      <c r="AF2353" s="1115"/>
      <c r="AG2353" s="1115"/>
      <c r="AH2353" s="1115"/>
      <c r="AI2353" s="1115"/>
      <c r="AJ2353" s="1117"/>
      <c r="AK2353" s="1118"/>
      <c r="AL2353" s="1115"/>
      <c r="AM2353" s="1115"/>
      <c r="AN2353" s="1115"/>
      <c r="AO2353" s="1115"/>
      <c r="AP2353" s="1115"/>
      <c r="AQ2353" s="1115"/>
      <c r="AR2353" s="1115"/>
      <c r="AS2353" s="1117"/>
      <c r="AT2353" s="1196" t="str">
        <f t="shared" si="428"/>
        <v/>
      </c>
      <c r="AU2353" s="1193"/>
      <c r="AV2353" s="330">
        <f>SQRT(($R2353-Infrastructure!J$3)^2+($S2353-Infrastructure!K$3)^2)</f>
        <v>28.90155705</v>
      </c>
      <c r="AW2353" s="331">
        <f>SQRT(($R2353-Infrastructure!J$4)^2+($S2353-Infrastructure!K$4)^2)</f>
        <v>17.80252791</v>
      </c>
      <c r="AX2353" s="331">
        <f>SQRT(($R2353-Infrastructure!J$5)^2+($S2353-Infrastructure!K$5)^2)</f>
        <v>5.10881591</v>
      </c>
      <c r="AY2353" s="331">
        <f>SQRT(($R2353-Infrastructure!J$6)^2+($S2353-Infrastructure!K$6)^2)</f>
        <v>10.10445446</v>
      </c>
      <c r="AZ2353" s="331">
        <f>SQRT(($R2353-Infrastructure!J$7)^2+($S2353-Infrastructure!K$7)^2)</f>
        <v>20.502195</v>
      </c>
      <c r="BA2353" s="331">
        <f>SQRT(($R2353-Infrastructure!J$8)^2+($S2353-Infrastructure!K$8)^2)</f>
        <v>30.10149498</v>
      </c>
      <c r="BB2353" s="331">
        <f>SQRT(($R2353-Infrastructure!J$9)^2+($S2353-Infrastructure!K$9)^2)</f>
        <v>40.3238143</v>
      </c>
      <c r="BC2353" s="331">
        <f>SQRT(($R2353-Infrastructure!J$10)^2+($S2353-Infrastructure!K$10)^2)</f>
        <v>42.72001873</v>
      </c>
      <c r="BD2353" s="331">
        <f>SQRT(($R2353-Infrastructure!J$11)^2+($S2353-Infrastructure!K$11)^2)</f>
        <v>49.56853841</v>
      </c>
      <c r="BE2353" s="333">
        <f>SQRT(($R2353-Infrastructure!J$12)^2+($S2353-Infrastructure!K$12)^2)</f>
        <v>59.51890456</v>
      </c>
      <c r="BF2353" s="330">
        <f t="shared" si="161"/>
        <v>5.10881591</v>
      </c>
      <c r="BG2353" s="333">
        <f t="shared" si="162"/>
        <v>59.51890456</v>
      </c>
      <c r="BH2353" s="1119"/>
      <c r="BI2353" s="319" t="str">
        <f t="shared" ref="BI2353:BR2353" si="1560">IF(ISNUMBER(FIND(BI$3, $CO2353)), "Y", "")</f>
        <v/>
      </c>
      <c r="BJ2353" s="319" t="str">
        <f t="shared" si="1560"/>
        <v/>
      </c>
      <c r="BK2353" s="319" t="str">
        <f t="shared" si="1560"/>
        <v/>
      </c>
      <c r="BL2353" s="319" t="str">
        <f t="shared" si="1560"/>
        <v/>
      </c>
      <c r="BM2353" s="319" t="str">
        <f t="shared" si="1560"/>
        <v/>
      </c>
      <c r="BN2353" s="319" t="str">
        <f t="shared" si="1560"/>
        <v/>
      </c>
      <c r="BO2353" s="319" t="str">
        <f t="shared" si="1560"/>
        <v/>
      </c>
      <c r="BP2353" s="319" t="str">
        <f t="shared" si="1560"/>
        <v/>
      </c>
      <c r="BQ2353" s="319" t="str">
        <f t="shared" si="1560"/>
        <v/>
      </c>
      <c r="BR2353" s="319" t="str">
        <f t="shared" si="1560"/>
        <v/>
      </c>
      <c r="BS2353" s="330">
        <f t="shared" si="185"/>
        <v>0</v>
      </c>
      <c r="BT2353" s="331">
        <f t="shared" si="170"/>
        <v>0</v>
      </c>
      <c r="BU2353" s="920"/>
      <c r="BV2353" s="903" t="str">
        <f t="shared" si="1244"/>
        <v/>
      </c>
      <c r="BW2353" s="908"/>
      <c r="BX2353" s="908"/>
      <c r="BY2353" s="331" t="b">
        <f t="shared" si="201"/>
        <v>0</v>
      </c>
      <c r="BZ2353" s="331"/>
      <c r="CA2353" s="462" t="str">
        <f t="shared" ref="CA2353:CJ2353" si="1561">IF(ISNUMBER(FIND(BI$3, $CP2353)), "Y", "")</f>
        <v/>
      </c>
      <c r="CB2353" s="319" t="str">
        <f t="shared" si="1561"/>
        <v/>
      </c>
      <c r="CC2353" s="319" t="str">
        <f t="shared" si="1561"/>
        <v/>
      </c>
      <c r="CD2353" s="319" t="str">
        <f t="shared" si="1561"/>
        <v/>
      </c>
      <c r="CE2353" s="319" t="str">
        <f t="shared" si="1561"/>
        <v/>
      </c>
      <c r="CF2353" s="319" t="str">
        <f t="shared" si="1561"/>
        <v/>
      </c>
      <c r="CG2353" s="319" t="str">
        <f t="shared" si="1561"/>
        <v/>
      </c>
      <c r="CH2353" s="319" t="str">
        <f t="shared" si="1561"/>
        <v/>
      </c>
      <c r="CI2353" s="319" t="str">
        <f t="shared" si="1561"/>
        <v/>
      </c>
      <c r="CJ2353" s="319" t="str">
        <f t="shared" si="1561"/>
        <v/>
      </c>
      <c r="CK2353" s="342">
        <f t="shared" si="182"/>
        <v>0</v>
      </c>
      <c r="CL2353" s="333">
        <f t="shared" si="183"/>
        <v>0</v>
      </c>
      <c r="CM2353" s="1079"/>
      <c r="CN2353" s="1005"/>
      <c r="CO2353" s="1005"/>
      <c r="CP2353" s="1005"/>
    </row>
    <row r="2354">
      <c r="A2354" s="1257"/>
      <c r="B2354" s="1113"/>
      <c r="C2354" s="1107"/>
      <c r="D2354" s="103"/>
      <c r="E2354" s="1137"/>
      <c r="F2354" s="112"/>
      <c r="G2354" s="1110"/>
      <c r="H2354" s="1138"/>
      <c r="I2354" s="1138"/>
      <c r="J2354" s="1139"/>
      <c r="K2354" s="1111"/>
      <c r="L2354" s="1112"/>
      <c r="M2354" s="1113"/>
      <c r="N2354" s="110"/>
      <c r="O2354" s="1140"/>
      <c r="P2354" s="1115"/>
      <c r="Q2354" s="1116"/>
      <c r="R2354" s="1141"/>
      <c r="S2354" s="1113"/>
      <c r="T2354" s="1143"/>
      <c r="U2354" s="1108"/>
      <c r="V2354" s="1108"/>
      <c r="W2354" s="1108"/>
      <c r="X2354" s="1108"/>
      <c r="Y2354" s="1108"/>
      <c r="Z2354" s="1114"/>
      <c r="AA2354" s="1114"/>
      <c r="AB2354" s="1114"/>
      <c r="AC2354" s="1117"/>
      <c r="AD2354" s="1115"/>
      <c r="AE2354" s="1115"/>
      <c r="AF2354" s="1115"/>
      <c r="AG2354" s="1115"/>
      <c r="AH2354" s="1115"/>
      <c r="AI2354" s="1115"/>
      <c r="AJ2354" s="1117"/>
      <c r="AK2354" s="1118"/>
      <c r="AL2354" s="1115"/>
      <c r="AM2354" s="1115"/>
      <c r="AN2354" s="1115"/>
      <c r="AO2354" s="1115"/>
      <c r="AP2354" s="1115"/>
      <c r="AQ2354" s="1115"/>
      <c r="AR2354" s="1115"/>
      <c r="AS2354" s="1117"/>
      <c r="AT2354" s="1196" t="str">
        <f t="shared" si="428"/>
        <v/>
      </c>
      <c r="AU2354" s="1193"/>
      <c r="AV2354" s="330">
        <f>SQRT(($R2354-Infrastructure!J$3)^2+($S2354-Infrastructure!K$3)^2)</f>
        <v>28.90155705</v>
      </c>
      <c r="AW2354" s="331">
        <f>SQRT(($R2354-Infrastructure!J$4)^2+($S2354-Infrastructure!K$4)^2)</f>
        <v>17.80252791</v>
      </c>
      <c r="AX2354" s="331">
        <f>SQRT(($R2354-Infrastructure!J$5)^2+($S2354-Infrastructure!K$5)^2)</f>
        <v>5.10881591</v>
      </c>
      <c r="AY2354" s="331">
        <f>SQRT(($R2354-Infrastructure!J$6)^2+($S2354-Infrastructure!K$6)^2)</f>
        <v>10.10445446</v>
      </c>
      <c r="AZ2354" s="331">
        <f>SQRT(($R2354-Infrastructure!J$7)^2+($S2354-Infrastructure!K$7)^2)</f>
        <v>20.502195</v>
      </c>
      <c r="BA2354" s="331">
        <f>SQRT(($R2354-Infrastructure!J$8)^2+($S2354-Infrastructure!K$8)^2)</f>
        <v>30.10149498</v>
      </c>
      <c r="BB2354" s="331">
        <f>SQRT(($R2354-Infrastructure!J$9)^2+($S2354-Infrastructure!K$9)^2)</f>
        <v>40.3238143</v>
      </c>
      <c r="BC2354" s="331">
        <f>SQRT(($R2354-Infrastructure!J$10)^2+($S2354-Infrastructure!K$10)^2)</f>
        <v>42.72001873</v>
      </c>
      <c r="BD2354" s="331">
        <f>SQRT(($R2354-Infrastructure!J$11)^2+($S2354-Infrastructure!K$11)^2)</f>
        <v>49.56853841</v>
      </c>
      <c r="BE2354" s="333">
        <f>SQRT(($R2354-Infrastructure!J$12)^2+($S2354-Infrastructure!K$12)^2)</f>
        <v>59.51890456</v>
      </c>
      <c r="BF2354" s="330">
        <f t="shared" si="161"/>
        <v>5.10881591</v>
      </c>
      <c r="BG2354" s="333">
        <f t="shared" si="162"/>
        <v>59.51890456</v>
      </c>
      <c r="BH2354" s="1119"/>
      <c r="BI2354" s="319" t="str">
        <f t="shared" ref="BI2354:BR2354" si="1562">IF(ISNUMBER(FIND(BI$3, $CO2354)), "Y", "")</f>
        <v/>
      </c>
      <c r="BJ2354" s="319" t="str">
        <f t="shared" si="1562"/>
        <v/>
      </c>
      <c r="BK2354" s="319" t="str">
        <f t="shared" si="1562"/>
        <v/>
      </c>
      <c r="BL2354" s="319" t="str">
        <f t="shared" si="1562"/>
        <v/>
      </c>
      <c r="BM2354" s="319" t="str">
        <f t="shared" si="1562"/>
        <v/>
      </c>
      <c r="BN2354" s="319" t="str">
        <f t="shared" si="1562"/>
        <v/>
      </c>
      <c r="BO2354" s="319" t="str">
        <f t="shared" si="1562"/>
        <v/>
      </c>
      <c r="BP2354" s="319" t="str">
        <f t="shared" si="1562"/>
        <v/>
      </c>
      <c r="BQ2354" s="319" t="str">
        <f t="shared" si="1562"/>
        <v/>
      </c>
      <c r="BR2354" s="319" t="str">
        <f t="shared" si="1562"/>
        <v/>
      </c>
      <c r="BS2354" s="330">
        <f t="shared" si="185"/>
        <v>0</v>
      </c>
      <c r="BT2354" s="331">
        <f t="shared" si="170"/>
        <v>0</v>
      </c>
      <c r="BU2354" s="920"/>
      <c r="BV2354" s="903" t="str">
        <f t="shared" si="1244"/>
        <v/>
      </c>
      <c r="BW2354" s="908"/>
      <c r="BX2354" s="908"/>
      <c r="BY2354" s="331" t="b">
        <f t="shared" si="201"/>
        <v>0</v>
      </c>
      <c r="BZ2354" s="331"/>
      <c r="CA2354" s="462" t="str">
        <f t="shared" ref="CA2354:CJ2354" si="1563">IF(ISNUMBER(FIND(BI$3, $CP2354)), "Y", "")</f>
        <v/>
      </c>
      <c r="CB2354" s="319" t="str">
        <f t="shared" si="1563"/>
        <v/>
      </c>
      <c r="CC2354" s="319" t="str">
        <f t="shared" si="1563"/>
        <v/>
      </c>
      <c r="CD2354" s="319" t="str">
        <f t="shared" si="1563"/>
        <v/>
      </c>
      <c r="CE2354" s="319" t="str">
        <f t="shared" si="1563"/>
        <v/>
      </c>
      <c r="CF2354" s="319" t="str">
        <f t="shared" si="1563"/>
        <v/>
      </c>
      <c r="CG2354" s="319" t="str">
        <f t="shared" si="1563"/>
        <v/>
      </c>
      <c r="CH2354" s="319" t="str">
        <f t="shared" si="1563"/>
        <v/>
      </c>
      <c r="CI2354" s="319" t="str">
        <f t="shared" si="1563"/>
        <v/>
      </c>
      <c r="CJ2354" s="319" t="str">
        <f t="shared" si="1563"/>
        <v/>
      </c>
      <c r="CK2354" s="342">
        <f t="shared" si="182"/>
        <v>0</v>
      </c>
      <c r="CL2354" s="333">
        <f t="shared" si="183"/>
        <v>0</v>
      </c>
      <c r="CM2354" s="1079"/>
      <c r="CN2354" s="1005"/>
      <c r="CO2354" s="1005"/>
      <c r="CP2354" s="1005"/>
    </row>
    <row r="2355">
      <c r="A2355" s="1257"/>
      <c r="B2355" s="1113"/>
      <c r="C2355" s="1107"/>
      <c r="D2355" s="103"/>
      <c r="E2355" s="1137"/>
      <c r="F2355" s="112"/>
      <c r="G2355" s="1110"/>
      <c r="H2355" s="1138"/>
      <c r="I2355" s="1138"/>
      <c r="J2355" s="1139"/>
      <c r="K2355" s="1111"/>
      <c r="L2355" s="1112"/>
      <c r="M2355" s="1113"/>
      <c r="N2355" s="110"/>
      <c r="O2355" s="1140"/>
      <c r="P2355" s="1115"/>
      <c r="Q2355" s="1116"/>
      <c r="R2355" s="1141"/>
      <c r="S2355" s="1113"/>
      <c r="T2355" s="1143"/>
      <c r="U2355" s="1108"/>
      <c r="V2355" s="1108"/>
      <c r="W2355" s="1108"/>
      <c r="X2355" s="1108"/>
      <c r="Y2355" s="1108"/>
      <c r="Z2355" s="1114"/>
      <c r="AA2355" s="1114"/>
      <c r="AB2355" s="1114"/>
      <c r="AC2355" s="1117"/>
      <c r="AD2355" s="1115"/>
      <c r="AE2355" s="1115"/>
      <c r="AF2355" s="1115"/>
      <c r="AG2355" s="1115"/>
      <c r="AH2355" s="1115"/>
      <c r="AI2355" s="1115"/>
      <c r="AJ2355" s="1117"/>
      <c r="AK2355" s="1118"/>
      <c r="AL2355" s="1115"/>
      <c r="AM2355" s="1115"/>
      <c r="AN2355" s="1115"/>
      <c r="AO2355" s="1115"/>
      <c r="AP2355" s="1115"/>
      <c r="AQ2355" s="1115"/>
      <c r="AR2355" s="1115"/>
      <c r="AS2355" s="1117"/>
      <c r="AT2355" s="1196" t="str">
        <f t="shared" si="428"/>
        <v/>
      </c>
      <c r="AU2355" s="1193"/>
      <c r="AV2355" s="330">
        <f>SQRT(($R2355-Infrastructure!J$3)^2+($S2355-Infrastructure!K$3)^2)</f>
        <v>28.90155705</v>
      </c>
      <c r="AW2355" s="331">
        <f>SQRT(($R2355-Infrastructure!J$4)^2+($S2355-Infrastructure!K$4)^2)</f>
        <v>17.80252791</v>
      </c>
      <c r="AX2355" s="331">
        <f>SQRT(($R2355-Infrastructure!J$5)^2+($S2355-Infrastructure!K$5)^2)</f>
        <v>5.10881591</v>
      </c>
      <c r="AY2355" s="331">
        <f>SQRT(($R2355-Infrastructure!J$6)^2+($S2355-Infrastructure!K$6)^2)</f>
        <v>10.10445446</v>
      </c>
      <c r="AZ2355" s="331">
        <f>SQRT(($R2355-Infrastructure!J$7)^2+($S2355-Infrastructure!K$7)^2)</f>
        <v>20.502195</v>
      </c>
      <c r="BA2355" s="331">
        <f>SQRT(($R2355-Infrastructure!J$8)^2+($S2355-Infrastructure!K$8)^2)</f>
        <v>30.10149498</v>
      </c>
      <c r="BB2355" s="331">
        <f>SQRT(($R2355-Infrastructure!J$9)^2+($S2355-Infrastructure!K$9)^2)</f>
        <v>40.3238143</v>
      </c>
      <c r="BC2355" s="331">
        <f>SQRT(($R2355-Infrastructure!J$10)^2+($S2355-Infrastructure!K$10)^2)</f>
        <v>42.72001873</v>
      </c>
      <c r="BD2355" s="331">
        <f>SQRT(($R2355-Infrastructure!J$11)^2+($S2355-Infrastructure!K$11)^2)</f>
        <v>49.56853841</v>
      </c>
      <c r="BE2355" s="333">
        <f>SQRT(($R2355-Infrastructure!J$12)^2+($S2355-Infrastructure!K$12)^2)</f>
        <v>59.51890456</v>
      </c>
      <c r="BF2355" s="330">
        <f t="shared" si="161"/>
        <v>5.10881591</v>
      </c>
      <c r="BG2355" s="333">
        <f t="shared" si="162"/>
        <v>59.51890456</v>
      </c>
      <c r="BH2355" s="1119"/>
      <c r="BI2355" s="319" t="str">
        <f t="shared" ref="BI2355:BR2355" si="1564">IF(ISNUMBER(FIND(BI$3, $CO2355)), "Y", "")</f>
        <v/>
      </c>
      <c r="BJ2355" s="319" t="str">
        <f t="shared" si="1564"/>
        <v/>
      </c>
      <c r="BK2355" s="319" t="str">
        <f t="shared" si="1564"/>
        <v/>
      </c>
      <c r="BL2355" s="319" t="str">
        <f t="shared" si="1564"/>
        <v/>
      </c>
      <c r="BM2355" s="319" t="str">
        <f t="shared" si="1564"/>
        <v/>
      </c>
      <c r="BN2355" s="319" t="str">
        <f t="shared" si="1564"/>
        <v/>
      </c>
      <c r="BO2355" s="319" t="str">
        <f t="shared" si="1564"/>
        <v/>
      </c>
      <c r="BP2355" s="319" t="str">
        <f t="shared" si="1564"/>
        <v/>
      </c>
      <c r="BQ2355" s="319" t="str">
        <f t="shared" si="1564"/>
        <v/>
      </c>
      <c r="BR2355" s="319" t="str">
        <f t="shared" si="1564"/>
        <v/>
      </c>
      <c r="BS2355" s="330">
        <f t="shared" si="185"/>
        <v>0</v>
      </c>
      <c r="BT2355" s="331">
        <f t="shared" si="170"/>
        <v>0</v>
      </c>
      <c r="BU2355" s="920"/>
      <c r="BV2355" s="903" t="str">
        <f t="shared" si="1244"/>
        <v/>
      </c>
      <c r="BW2355" s="908"/>
      <c r="BX2355" s="908"/>
      <c r="BY2355" s="331" t="b">
        <f t="shared" si="201"/>
        <v>0</v>
      </c>
      <c r="BZ2355" s="331"/>
      <c r="CA2355" s="462" t="str">
        <f t="shared" ref="CA2355:CJ2355" si="1565">IF(ISNUMBER(FIND(BI$3, $CP2355)), "Y", "")</f>
        <v/>
      </c>
      <c r="CB2355" s="319" t="str">
        <f t="shared" si="1565"/>
        <v/>
      </c>
      <c r="CC2355" s="319" t="str">
        <f t="shared" si="1565"/>
        <v/>
      </c>
      <c r="CD2355" s="319" t="str">
        <f t="shared" si="1565"/>
        <v/>
      </c>
      <c r="CE2355" s="319" t="str">
        <f t="shared" si="1565"/>
        <v/>
      </c>
      <c r="CF2355" s="319" t="str">
        <f t="shared" si="1565"/>
        <v/>
      </c>
      <c r="CG2355" s="319" t="str">
        <f t="shared" si="1565"/>
        <v/>
      </c>
      <c r="CH2355" s="319" t="str">
        <f t="shared" si="1565"/>
        <v/>
      </c>
      <c r="CI2355" s="319" t="str">
        <f t="shared" si="1565"/>
        <v/>
      </c>
      <c r="CJ2355" s="319" t="str">
        <f t="shared" si="1565"/>
        <v/>
      </c>
      <c r="CK2355" s="342">
        <f t="shared" si="182"/>
        <v>0</v>
      </c>
      <c r="CL2355" s="333">
        <f t="shared" si="183"/>
        <v>0</v>
      </c>
      <c r="CM2355" s="1079"/>
      <c r="CN2355" s="1005"/>
      <c r="CO2355" s="1005"/>
      <c r="CP2355" s="1005"/>
    </row>
    <row r="2356">
      <c r="A2356" s="1257"/>
      <c r="B2356" s="1113"/>
      <c r="C2356" s="1107"/>
      <c r="D2356" s="103"/>
      <c r="E2356" s="1137"/>
      <c r="F2356" s="112"/>
      <c r="G2356" s="1110"/>
      <c r="H2356" s="1138"/>
      <c r="I2356" s="1138"/>
      <c r="J2356" s="1139"/>
      <c r="K2356" s="1111"/>
      <c r="L2356" s="1112"/>
      <c r="M2356" s="1113"/>
      <c r="N2356" s="110"/>
      <c r="O2356" s="1140"/>
      <c r="P2356" s="1115"/>
      <c r="Q2356" s="1116"/>
      <c r="R2356" s="1141"/>
      <c r="S2356" s="1113"/>
      <c r="T2356" s="1143"/>
      <c r="U2356" s="1108"/>
      <c r="V2356" s="1108"/>
      <c r="W2356" s="1108"/>
      <c r="X2356" s="1108"/>
      <c r="Y2356" s="1108"/>
      <c r="Z2356" s="1114"/>
      <c r="AA2356" s="1114"/>
      <c r="AB2356" s="1114"/>
      <c r="AC2356" s="1117"/>
      <c r="AD2356" s="1115"/>
      <c r="AE2356" s="1115"/>
      <c r="AF2356" s="1115"/>
      <c r="AG2356" s="1115"/>
      <c r="AH2356" s="1115"/>
      <c r="AI2356" s="1115"/>
      <c r="AJ2356" s="1117"/>
      <c r="AK2356" s="1118"/>
      <c r="AL2356" s="1115"/>
      <c r="AM2356" s="1115"/>
      <c r="AN2356" s="1115"/>
      <c r="AO2356" s="1115"/>
      <c r="AP2356" s="1115"/>
      <c r="AQ2356" s="1115"/>
      <c r="AR2356" s="1115"/>
      <c r="AS2356" s="1117"/>
      <c r="AT2356" s="1196" t="str">
        <f t="shared" si="428"/>
        <v/>
      </c>
      <c r="AU2356" s="1193"/>
      <c r="AV2356" s="330">
        <f>SQRT(($R2356-Infrastructure!J$3)^2+($S2356-Infrastructure!K$3)^2)</f>
        <v>28.90155705</v>
      </c>
      <c r="AW2356" s="331">
        <f>SQRT(($R2356-Infrastructure!J$4)^2+($S2356-Infrastructure!K$4)^2)</f>
        <v>17.80252791</v>
      </c>
      <c r="AX2356" s="331">
        <f>SQRT(($R2356-Infrastructure!J$5)^2+($S2356-Infrastructure!K$5)^2)</f>
        <v>5.10881591</v>
      </c>
      <c r="AY2356" s="331">
        <f>SQRT(($R2356-Infrastructure!J$6)^2+($S2356-Infrastructure!K$6)^2)</f>
        <v>10.10445446</v>
      </c>
      <c r="AZ2356" s="331">
        <f>SQRT(($R2356-Infrastructure!J$7)^2+($S2356-Infrastructure!K$7)^2)</f>
        <v>20.502195</v>
      </c>
      <c r="BA2356" s="331">
        <f>SQRT(($R2356-Infrastructure!J$8)^2+($S2356-Infrastructure!K$8)^2)</f>
        <v>30.10149498</v>
      </c>
      <c r="BB2356" s="331">
        <f>SQRT(($R2356-Infrastructure!J$9)^2+($S2356-Infrastructure!K$9)^2)</f>
        <v>40.3238143</v>
      </c>
      <c r="BC2356" s="331">
        <f>SQRT(($R2356-Infrastructure!J$10)^2+($S2356-Infrastructure!K$10)^2)</f>
        <v>42.72001873</v>
      </c>
      <c r="BD2356" s="331">
        <f>SQRT(($R2356-Infrastructure!J$11)^2+($S2356-Infrastructure!K$11)^2)</f>
        <v>49.56853841</v>
      </c>
      <c r="BE2356" s="333">
        <f>SQRT(($R2356-Infrastructure!J$12)^2+($S2356-Infrastructure!K$12)^2)</f>
        <v>59.51890456</v>
      </c>
      <c r="BF2356" s="330">
        <f t="shared" si="161"/>
        <v>5.10881591</v>
      </c>
      <c r="BG2356" s="333">
        <f t="shared" si="162"/>
        <v>59.51890456</v>
      </c>
      <c r="BH2356" s="1119"/>
      <c r="BI2356" s="319" t="str">
        <f t="shared" ref="BI2356:BR2356" si="1566">IF(ISNUMBER(FIND(BI$3, $CO2356)), "Y", "")</f>
        <v/>
      </c>
      <c r="BJ2356" s="319" t="str">
        <f t="shared" si="1566"/>
        <v/>
      </c>
      <c r="BK2356" s="319" t="str">
        <f t="shared" si="1566"/>
        <v/>
      </c>
      <c r="BL2356" s="319" t="str">
        <f t="shared" si="1566"/>
        <v/>
      </c>
      <c r="BM2356" s="319" t="str">
        <f t="shared" si="1566"/>
        <v/>
      </c>
      <c r="BN2356" s="319" t="str">
        <f t="shared" si="1566"/>
        <v/>
      </c>
      <c r="BO2356" s="319" t="str">
        <f t="shared" si="1566"/>
        <v/>
      </c>
      <c r="BP2356" s="319" t="str">
        <f t="shared" si="1566"/>
        <v/>
      </c>
      <c r="BQ2356" s="319" t="str">
        <f t="shared" si="1566"/>
        <v/>
      </c>
      <c r="BR2356" s="319" t="str">
        <f t="shared" si="1566"/>
        <v/>
      </c>
      <c r="BS2356" s="330">
        <f t="shared" si="185"/>
        <v>0</v>
      </c>
      <c r="BT2356" s="331">
        <f t="shared" si="170"/>
        <v>0</v>
      </c>
      <c r="BU2356" s="920"/>
      <c r="BV2356" s="903" t="str">
        <f t="shared" si="1244"/>
        <v/>
      </c>
      <c r="BW2356" s="908"/>
      <c r="BX2356" s="908"/>
      <c r="BY2356" s="331" t="b">
        <f t="shared" si="201"/>
        <v>0</v>
      </c>
      <c r="BZ2356" s="331"/>
      <c r="CA2356" s="462" t="str">
        <f t="shared" ref="CA2356:CJ2356" si="1567">IF(ISNUMBER(FIND(BI$3, $CP2356)), "Y", "")</f>
        <v/>
      </c>
      <c r="CB2356" s="319" t="str">
        <f t="shared" si="1567"/>
        <v/>
      </c>
      <c r="CC2356" s="319" t="str">
        <f t="shared" si="1567"/>
        <v/>
      </c>
      <c r="CD2356" s="319" t="str">
        <f t="shared" si="1567"/>
        <v/>
      </c>
      <c r="CE2356" s="319" t="str">
        <f t="shared" si="1567"/>
        <v/>
      </c>
      <c r="CF2356" s="319" t="str">
        <f t="shared" si="1567"/>
        <v/>
      </c>
      <c r="CG2356" s="319" t="str">
        <f t="shared" si="1567"/>
        <v/>
      </c>
      <c r="CH2356" s="319" t="str">
        <f t="shared" si="1567"/>
        <v/>
      </c>
      <c r="CI2356" s="319" t="str">
        <f t="shared" si="1567"/>
        <v/>
      </c>
      <c r="CJ2356" s="319" t="str">
        <f t="shared" si="1567"/>
        <v/>
      </c>
      <c r="CK2356" s="342">
        <f t="shared" si="182"/>
        <v>0</v>
      </c>
      <c r="CL2356" s="333">
        <f t="shared" si="183"/>
        <v>0</v>
      </c>
      <c r="CM2356" s="1079"/>
      <c r="CN2356" s="1005"/>
      <c r="CO2356" s="1005"/>
      <c r="CP2356" s="1005"/>
    </row>
    <row r="2357">
      <c r="A2357" s="1257"/>
      <c r="B2357" s="1113"/>
      <c r="C2357" s="1107"/>
      <c r="D2357" s="103"/>
      <c r="E2357" s="1137"/>
      <c r="F2357" s="112"/>
      <c r="G2357" s="1110"/>
      <c r="H2357" s="1138"/>
      <c r="I2357" s="1138"/>
      <c r="J2357" s="1139"/>
      <c r="K2357" s="1111"/>
      <c r="L2357" s="1112"/>
      <c r="M2357" s="1113"/>
      <c r="N2357" s="110"/>
      <c r="O2357" s="1140"/>
      <c r="P2357" s="1115"/>
      <c r="Q2357" s="1116"/>
      <c r="R2357" s="1141"/>
      <c r="S2357" s="1113"/>
      <c r="T2357" s="1143"/>
      <c r="U2357" s="1108"/>
      <c r="V2357" s="1108"/>
      <c r="W2357" s="1108"/>
      <c r="X2357" s="1108"/>
      <c r="Y2357" s="1108"/>
      <c r="Z2357" s="1114"/>
      <c r="AA2357" s="1114"/>
      <c r="AB2357" s="1114"/>
      <c r="AC2357" s="1117"/>
      <c r="AD2357" s="1115"/>
      <c r="AE2357" s="1115"/>
      <c r="AF2357" s="1115"/>
      <c r="AG2357" s="1115"/>
      <c r="AH2357" s="1115"/>
      <c r="AI2357" s="1115"/>
      <c r="AJ2357" s="1117"/>
      <c r="AK2357" s="1118"/>
      <c r="AL2357" s="1115"/>
      <c r="AM2357" s="1115"/>
      <c r="AN2357" s="1115"/>
      <c r="AO2357" s="1115"/>
      <c r="AP2357" s="1115"/>
      <c r="AQ2357" s="1115"/>
      <c r="AR2357" s="1115"/>
      <c r="AS2357" s="1117"/>
      <c r="AT2357" s="1196" t="str">
        <f t="shared" si="428"/>
        <v/>
      </c>
      <c r="AU2357" s="1193"/>
      <c r="AV2357" s="330">
        <f>SQRT(($R2357-Infrastructure!J$3)^2+($S2357-Infrastructure!K$3)^2)</f>
        <v>28.90155705</v>
      </c>
      <c r="AW2357" s="331">
        <f>SQRT(($R2357-Infrastructure!J$4)^2+($S2357-Infrastructure!K$4)^2)</f>
        <v>17.80252791</v>
      </c>
      <c r="AX2357" s="331">
        <f>SQRT(($R2357-Infrastructure!J$5)^2+($S2357-Infrastructure!K$5)^2)</f>
        <v>5.10881591</v>
      </c>
      <c r="AY2357" s="331">
        <f>SQRT(($R2357-Infrastructure!J$6)^2+($S2357-Infrastructure!K$6)^2)</f>
        <v>10.10445446</v>
      </c>
      <c r="AZ2357" s="331">
        <f>SQRT(($R2357-Infrastructure!J$7)^2+($S2357-Infrastructure!K$7)^2)</f>
        <v>20.502195</v>
      </c>
      <c r="BA2357" s="331">
        <f>SQRT(($R2357-Infrastructure!J$8)^2+($S2357-Infrastructure!K$8)^2)</f>
        <v>30.10149498</v>
      </c>
      <c r="BB2357" s="331">
        <f>SQRT(($R2357-Infrastructure!J$9)^2+($S2357-Infrastructure!K$9)^2)</f>
        <v>40.3238143</v>
      </c>
      <c r="BC2357" s="331">
        <f>SQRT(($R2357-Infrastructure!J$10)^2+($S2357-Infrastructure!K$10)^2)</f>
        <v>42.72001873</v>
      </c>
      <c r="BD2357" s="331">
        <f>SQRT(($R2357-Infrastructure!J$11)^2+($S2357-Infrastructure!K$11)^2)</f>
        <v>49.56853841</v>
      </c>
      <c r="BE2357" s="333">
        <f>SQRT(($R2357-Infrastructure!J$12)^2+($S2357-Infrastructure!K$12)^2)</f>
        <v>59.51890456</v>
      </c>
      <c r="BF2357" s="330">
        <f t="shared" si="161"/>
        <v>5.10881591</v>
      </c>
      <c r="BG2357" s="333">
        <f t="shared" si="162"/>
        <v>59.51890456</v>
      </c>
      <c r="BH2357" s="1119"/>
      <c r="BI2357" s="319" t="str">
        <f t="shared" ref="BI2357:BR2357" si="1568">IF(ISNUMBER(FIND(BI$3, $CO2357)), "Y", "")</f>
        <v/>
      </c>
      <c r="BJ2357" s="319" t="str">
        <f t="shared" si="1568"/>
        <v/>
      </c>
      <c r="BK2357" s="319" t="str">
        <f t="shared" si="1568"/>
        <v/>
      </c>
      <c r="BL2357" s="319" t="str">
        <f t="shared" si="1568"/>
        <v/>
      </c>
      <c r="BM2357" s="319" t="str">
        <f t="shared" si="1568"/>
        <v/>
      </c>
      <c r="BN2357" s="319" t="str">
        <f t="shared" si="1568"/>
        <v/>
      </c>
      <c r="BO2357" s="319" t="str">
        <f t="shared" si="1568"/>
        <v/>
      </c>
      <c r="BP2357" s="319" t="str">
        <f t="shared" si="1568"/>
        <v/>
      </c>
      <c r="BQ2357" s="319" t="str">
        <f t="shared" si="1568"/>
        <v/>
      </c>
      <c r="BR2357" s="319" t="str">
        <f t="shared" si="1568"/>
        <v/>
      </c>
      <c r="BS2357" s="330">
        <f t="shared" si="185"/>
        <v>0</v>
      </c>
      <c r="BT2357" s="331">
        <f t="shared" si="170"/>
        <v>0</v>
      </c>
      <c r="BU2357" s="920"/>
      <c r="BV2357" s="903" t="str">
        <f t="shared" si="1244"/>
        <v/>
      </c>
      <c r="BW2357" s="908"/>
      <c r="BX2357" s="908"/>
      <c r="BY2357" s="331" t="b">
        <f t="shared" si="201"/>
        <v>0</v>
      </c>
      <c r="BZ2357" s="331"/>
      <c r="CA2357" s="462" t="str">
        <f t="shared" ref="CA2357:CJ2357" si="1569">IF(ISNUMBER(FIND(BI$3, $CP2357)), "Y", "")</f>
        <v/>
      </c>
      <c r="CB2357" s="319" t="str">
        <f t="shared" si="1569"/>
        <v/>
      </c>
      <c r="CC2357" s="319" t="str">
        <f t="shared" si="1569"/>
        <v/>
      </c>
      <c r="CD2357" s="319" t="str">
        <f t="shared" si="1569"/>
        <v/>
      </c>
      <c r="CE2357" s="319" t="str">
        <f t="shared" si="1569"/>
        <v/>
      </c>
      <c r="CF2357" s="319" t="str">
        <f t="shared" si="1569"/>
        <v/>
      </c>
      <c r="CG2357" s="319" t="str">
        <f t="shared" si="1569"/>
        <v/>
      </c>
      <c r="CH2357" s="319" t="str">
        <f t="shared" si="1569"/>
        <v/>
      </c>
      <c r="CI2357" s="319" t="str">
        <f t="shared" si="1569"/>
        <v/>
      </c>
      <c r="CJ2357" s="319" t="str">
        <f t="shared" si="1569"/>
        <v/>
      </c>
      <c r="CK2357" s="342">
        <f t="shared" si="182"/>
        <v>0</v>
      </c>
      <c r="CL2357" s="333">
        <f t="shared" si="183"/>
        <v>0</v>
      </c>
      <c r="CM2357" s="1079"/>
      <c r="CN2357" s="1005"/>
      <c r="CO2357" s="1005"/>
      <c r="CP2357" s="1005"/>
    </row>
    <row r="2358">
      <c r="A2358" s="1257"/>
      <c r="B2358" s="1113"/>
      <c r="C2358" s="1107"/>
      <c r="D2358" s="103"/>
      <c r="E2358" s="1137"/>
      <c r="F2358" s="112"/>
      <c r="G2358" s="1110"/>
      <c r="H2358" s="1138"/>
      <c r="I2358" s="1138"/>
      <c r="J2358" s="1139"/>
      <c r="K2358" s="1111"/>
      <c r="L2358" s="1112"/>
      <c r="M2358" s="1113"/>
      <c r="N2358" s="110"/>
      <c r="O2358" s="1140"/>
      <c r="P2358" s="1115"/>
      <c r="Q2358" s="1116"/>
      <c r="R2358" s="1141"/>
      <c r="S2358" s="1113"/>
      <c r="T2358" s="1143"/>
      <c r="U2358" s="1108"/>
      <c r="V2358" s="1108"/>
      <c r="W2358" s="1108"/>
      <c r="X2358" s="1108"/>
      <c r="Y2358" s="1108"/>
      <c r="Z2358" s="1114"/>
      <c r="AA2358" s="1114"/>
      <c r="AB2358" s="1114"/>
      <c r="AC2358" s="1117"/>
      <c r="AD2358" s="1115"/>
      <c r="AE2358" s="1115"/>
      <c r="AF2358" s="1115"/>
      <c r="AG2358" s="1115"/>
      <c r="AH2358" s="1115"/>
      <c r="AI2358" s="1115"/>
      <c r="AJ2358" s="1117"/>
      <c r="AK2358" s="1118"/>
      <c r="AL2358" s="1115"/>
      <c r="AM2358" s="1115"/>
      <c r="AN2358" s="1115"/>
      <c r="AO2358" s="1115"/>
      <c r="AP2358" s="1115"/>
      <c r="AQ2358" s="1115"/>
      <c r="AR2358" s="1115"/>
      <c r="AS2358" s="1117"/>
      <c r="AT2358" s="1196" t="str">
        <f t="shared" si="428"/>
        <v/>
      </c>
      <c r="AU2358" s="1193"/>
      <c r="AV2358" s="330">
        <f>SQRT(($R2358-Infrastructure!J$3)^2+($S2358-Infrastructure!K$3)^2)</f>
        <v>28.90155705</v>
      </c>
      <c r="AW2358" s="331">
        <f>SQRT(($R2358-Infrastructure!J$4)^2+($S2358-Infrastructure!K$4)^2)</f>
        <v>17.80252791</v>
      </c>
      <c r="AX2358" s="331">
        <f>SQRT(($R2358-Infrastructure!J$5)^2+($S2358-Infrastructure!K$5)^2)</f>
        <v>5.10881591</v>
      </c>
      <c r="AY2358" s="331">
        <f>SQRT(($R2358-Infrastructure!J$6)^2+($S2358-Infrastructure!K$6)^2)</f>
        <v>10.10445446</v>
      </c>
      <c r="AZ2358" s="331">
        <f>SQRT(($R2358-Infrastructure!J$7)^2+($S2358-Infrastructure!K$7)^2)</f>
        <v>20.502195</v>
      </c>
      <c r="BA2358" s="331">
        <f>SQRT(($R2358-Infrastructure!J$8)^2+($S2358-Infrastructure!K$8)^2)</f>
        <v>30.10149498</v>
      </c>
      <c r="BB2358" s="331">
        <f>SQRT(($R2358-Infrastructure!J$9)^2+($S2358-Infrastructure!K$9)^2)</f>
        <v>40.3238143</v>
      </c>
      <c r="BC2358" s="331">
        <f>SQRT(($R2358-Infrastructure!J$10)^2+($S2358-Infrastructure!K$10)^2)</f>
        <v>42.72001873</v>
      </c>
      <c r="BD2358" s="331">
        <f>SQRT(($R2358-Infrastructure!J$11)^2+($S2358-Infrastructure!K$11)^2)</f>
        <v>49.56853841</v>
      </c>
      <c r="BE2358" s="333">
        <f>SQRT(($R2358-Infrastructure!J$12)^2+($S2358-Infrastructure!K$12)^2)</f>
        <v>59.51890456</v>
      </c>
      <c r="BF2358" s="330">
        <f t="shared" si="161"/>
        <v>5.10881591</v>
      </c>
      <c r="BG2358" s="333">
        <f t="shared" si="162"/>
        <v>59.51890456</v>
      </c>
      <c r="BH2358" s="1119"/>
      <c r="BI2358" s="319" t="str">
        <f t="shared" ref="BI2358:BR2358" si="1570">IF(ISNUMBER(FIND(BI$3, $CO2358)), "Y", "")</f>
        <v/>
      </c>
      <c r="BJ2358" s="319" t="str">
        <f t="shared" si="1570"/>
        <v/>
      </c>
      <c r="BK2358" s="319" t="str">
        <f t="shared" si="1570"/>
        <v/>
      </c>
      <c r="BL2358" s="319" t="str">
        <f t="shared" si="1570"/>
        <v/>
      </c>
      <c r="BM2358" s="319" t="str">
        <f t="shared" si="1570"/>
        <v/>
      </c>
      <c r="BN2358" s="319" t="str">
        <f t="shared" si="1570"/>
        <v/>
      </c>
      <c r="BO2358" s="319" t="str">
        <f t="shared" si="1570"/>
        <v/>
      </c>
      <c r="BP2358" s="319" t="str">
        <f t="shared" si="1570"/>
        <v/>
      </c>
      <c r="BQ2358" s="319" t="str">
        <f t="shared" si="1570"/>
        <v/>
      </c>
      <c r="BR2358" s="319" t="str">
        <f t="shared" si="1570"/>
        <v/>
      </c>
      <c r="BS2358" s="330">
        <f t="shared" si="185"/>
        <v>0</v>
      </c>
      <c r="BT2358" s="331">
        <f t="shared" si="170"/>
        <v>0</v>
      </c>
      <c r="BU2358" s="920"/>
      <c r="BV2358" s="903" t="str">
        <f t="shared" si="1244"/>
        <v/>
      </c>
      <c r="BW2358" s="908"/>
      <c r="BX2358" s="908"/>
      <c r="BY2358" s="331" t="b">
        <f t="shared" si="201"/>
        <v>0</v>
      </c>
      <c r="BZ2358" s="331"/>
      <c r="CA2358" s="462" t="str">
        <f t="shared" ref="CA2358:CJ2358" si="1571">IF(ISNUMBER(FIND(BI$3, $CP2358)), "Y", "")</f>
        <v/>
      </c>
      <c r="CB2358" s="319" t="str">
        <f t="shared" si="1571"/>
        <v/>
      </c>
      <c r="CC2358" s="319" t="str">
        <f t="shared" si="1571"/>
        <v/>
      </c>
      <c r="CD2358" s="319" t="str">
        <f t="shared" si="1571"/>
        <v/>
      </c>
      <c r="CE2358" s="319" t="str">
        <f t="shared" si="1571"/>
        <v/>
      </c>
      <c r="CF2358" s="319" t="str">
        <f t="shared" si="1571"/>
        <v/>
      </c>
      <c r="CG2358" s="319" t="str">
        <f t="shared" si="1571"/>
        <v/>
      </c>
      <c r="CH2358" s="319" t="str">
        <f t="shared" si="1571"/>
        <v/>
      </c>
      <c r="CI2358" s="319" t="str">
        <f t="shared" si="1571"/>
        <v/>
      </c>
      <c r="CJ2358" s="319" t="str">
        <f t="shared" si="1571"/>
        <v/>
      </c>
      <c r="CK2358" s="342">
        <f t="shared" si="182"/>
        <v>0</v>
      </c>
      <c r="CL2358" s="333">
        <f t="shared" si="183"/>
        <v>0</v>
      </c>
      <c r="CM2358" s="1079"/>
      <c r="CN2358" s="1005"/>
      <c r="CO2358" s="1005"/>
      <c r="CP2358" s="1005"/>
    </row>
    <row r="2359">
      <c r="A2359" s="1257"/>
      <c r="B2359" s="1113"/>
      <c r="C2359" s="1107"/>
      <c r="D2359" s="103"/>
      <c r="E2359" s="1137"/>
      <c r="F2359" s="112"/>
      <c r="G2359" s="1110"/>
      <c r="H2359" s="1138"/>
      <c r="I2359" s="1138"/>
      <c r="J2359" s="1139"/>
      <c r="K2359" s="1111"/>
      <c r="L2359" s="1112"/>
      <c r="M2359" s="1113"/>
      <c r="N2359" s="110"/>
      <c r="O2359" s="1140"/>
      <c r="P2359" s="1115"/>
      <c r="Q2359" s="1116"/>
      <c r="R2359" s="1141"/>
      <c r="S2359" s="1113"/>
      <c r="T2359" s="1143"/>
      <c r="U2359" s="1108"/>
      <c r="V2359" s="1108"/>
      <c r="W2359" s="1108"/>
      <c r="X2359" s="1108"/>
      <c r="Y2359" s="1108"/>
      <c r="Z2359" s="1114"/>
      <c r="AA2359" s="1114"/>
      <c r="AB2359" s="1114"/>
      <c r="AC2359" s="1117"/>
      <c r="AD2359" s="1115"/>
      <c r="AE2359" s="1115"/>
      <c r="AF2359" s="1115"/>
      <c r="AG2359" s="1115"/>
      <c r="AH2359" s="1115"/>
      <c r="AI2359" s="1115"/>
      <c r="AJ2359" s="1117"/>
      <c r="AK2359" s="1118"/>
      <c r="AL2359" s="1115"/>
      <c r="AM2359" s="1115"/>
      <c r="AN2359" s="1115"/>
      <c r="AO2359" s="1115"/>
      <c r="AP2359" s="1115"/>
      <c r="AQ2359" s="1115"/>
      <c r="AR2359" s="1115"/>
      <c r="AS2359" s="1117"/>
      <c r="AT2359" s="1196" t="str">
        <f t="shared" si="428"/>
        <v/>
      </c>
      <c r="AU2359" s="1193"/>
      <c r="AV2359" s="330">
        <f>SQRT(($R2359-Infrastructure!J$3)^2+($S2359-Infrastructure!K$3)^2)</f>
        <v>28.90155705</v>
      </c>
      <c r="AW2359" s="331">
        <f>SQRT(($R2359-Infrastructure!J$4)^2+($S2359-Infrastructure!K$4)^2)</f>
        <v>17.80252791</v>
      </c>
      <c r="AX2359" s="331">
        <f>SQRT(($R2359-Infrastructure!J$5)^2+($S2359-Infrastructure!K$5)^2)</f>
        <v>5.10881591</v>
      </c>
      <c r="AY2359" s="331">
        <f>SQRT(($R2359-Infrastructure!J$6)^2+($S2359-Infrastructure!K$6)^2)</f>
        <v>10.10445446</v>
      </c>
      <c r="AZ2359" s="331">
        <f>SQRT(($R2359-Infrastructure!J$7)^2+($S2359-Infrastructure!K$7)^2)</f>
        <v>20.502195</v>
      </c>
      <c r="BA2359" s="331">
        <f>SQRT(($R2359-Infrastructure!J$8)^2+($S2359-Infrastructure!K$8)^2)</f>
        <v>30.10149498</v>
      </c>
      <c r="BB2359" s="331">
        <f>SQRT(($R2359-Infrastructure!J$9)^2+($S2359-Infrastructure!K$9)^2)</f>
        <v>40.3238143</v>
      </c>
      <c r="BC2359" s="331">
        <f>SQRT(($R2359-Infrastructure!J$10)^2+($S2359-Infrastructure!K$10)^2)</f>
        <v>42.72001873</v>
      </c>
      <c r="BD2359" s="331">
        <f>SQRT(($R2359-Infrastructure!J$11)^2+($S2359-Infrastructure!K$11)^2)</f>
        <v>49.56853841</v>
      </c>
      <c r="BE2359" s="333">
        <f>SQRT(($R2359-Infrastructure!J$12)^2+($S2359-Infrastructure!K$12)^2)</f>
        <v>59.51890456</v>
      </c>
      <c r="BF2359" s="330">
        <f t="shared" si="161"/>
        <v>5.10881591</v>
      </c>
      <c r="BG2359" s="333">
        <f t="shared" si="162"/>
        <v>59.51890456</v>
      </c>
      <c r="BH2359" s="1119"/>
      <c r="BI2359" s="319" t="str">
        <f t="shared" ref="BI2359:BR2359" si="1572">IF(ISNUMBER(FIND(BI$3, $CO2359)), "Y", "")</f>
        <v/>
      </c>
      <c r="BJ2359" s="319" t="str">
        <f t="shared" si="1572"/>
        <v/>
      </c>
      <c r="BK2359" s="319" t="str">
        <f t="shared" si="1572"/>
        <v/>
      </c>
      <c r="BL2359" s="319" t="str">
        <f t="shared" si="1572"/>
        <v/>
      </c>
      <c r="BM2359" s="319" t="str">
        <f t="shared" si="1572"/>
        <v/>
      </c>
      <c r="BN2359" s="319" t="str">
        <f t="shared" si="1572"/>
        <v/>
      </c>
      <c r="BO2359" s="319" t="str">
        <f t="shared" si="1572"/>
        <v/>
      </c>
      <c r="BP2359" s="319" t="str">
        <f t="shared" si="1572"/>
        <v/>
      </c>
      <c r="BQ2359" s="319" t="str">
        <f t="shared" si="1572"/>
        <v/>
      </c>
      <c r="BR2359" s="319" t="str">
        <f t="shared" si="1572"/>
        <v/>
      </c>
      <c r="BS2359" s="330">
        <f t="shared" si="185"/>
        <v>0</v>
      </c>
      <c r="BT2359" s="331">
        <f t="shared" si="170"/>
        <v>0</v>
      </c>
      <c r="BU2359" s="920"/>
      <c r="BV2359" s="903" t="str">
        <f t="shared" si="1244"/>
        <v/>
      </c>
      <c r="BW2359" s="908"/>
      <c r="BX2359" s="908"/>
      <c r="BY2359" s="331" t="b">
        <f t="shared" si="201"/>
        <v>0</v>
      </c>
      <c r="BZ2359" s="331"/>
      <c r="CA2359" s="462" t="str">
        <f t="shared" ref="CA2359:CJ2359" si="1573">IF(ISNUMBER(FIND(BI$3, $CP2359)), "Y", "")</f>
        <v/>
      </c>
      <c r="CB2359" s="319" t="str">
        <f t="shared" si="1573"/>
        <v/>
      </c>
      <c r="CC2359" s="319" t="str">
        <f t="shared" si="1573"/>
        <v/>
      </c>
      <c r="CD2359" s="319" t="str">
        <f t="shared" si="1573"/>
        <v/>
      </c>
      <c r="CE2359" s="319" t="str">
        <f t="shared" si="1573"/>
        <v/>
      </c>
      <c r="CF2359" s="319" t="str">
        <f t="shared" si="1573"/>
        <v/>
      </c>
      <c r="CG2359" s="319" t="str">
        <f t="shared" si="1573"/>
        <v/>
      </c>
      <c r="CH2359" s="319" t="str">
        <f t="shared" si="1573"/>
        <v/>
      </c>
      <c r="CI2359" s="319" t="str">
        <f t="shared" si="1573"/>
        <v/>
      </c>
      <c r="CJ2359" s="319" t="str">
        <f t="shared" si="1573"/>
        <v/>
      </c>
      <c r="CK2359" s="342">
        <f t="shared" si="182"/>
        <v>0</v>
      </c>
      <c r="CL2359" s="333">
        <f t="shared" si="183"/>
        <v>0</v>
      </c>
      <c r="CM2359" s="1079"/>
      <c r="CN2359" s="1005"/>
      <c r="CO2359" s="1005"/>
      <c r="CP2359" s="1005"/>
    </row>
    <row r="2360">
      <c r="A2360" s="1257"/>
      <c r="B2360" s="1113"/>
      <c r="C2360" s="1107"/>
      <c r="D2360" s="103"/>
      <c r="E2360" s="1137"/>
      <c r="F2360" s="112"/>
      <c r="G2360" s="1110"/>
      <c r="H2360" s="1138"/>
      <c r="I2360" s="1138"/>
      <c r="J2360" s="1139"/>
      <c r="K2360" s="1111"/>
      <c r="L2360" s="1112"/>
      <c r="M2360" s="1113"/>
      <c r="N2360" s="110"/>
      <c r="O2360" s="1140"/>
      <c r="P2360" s="1115"/>
      <c r="Q2360" s="1116"/>
      <c r="R2360" s="1141"/>
      <c r="S2360" s="1113"/>
      <c r="T2360" s="1143"/>
      <c r="U2360" s="1108"/>
      <c r="V2360" s="1108"/>
      <c r="W2360" s="1108"/>
      <c r="X2360" s="1108"/>
      <c r="Y2360" s="1108"/>
      <c r="Z2360" s="1114"/>
      <c r="AA2360" s="1114"/>
      <c r="AB2360" s="1114"/>
      <c r="AC2360" s="1117"/>
      <c r="AD2360" s="1115"/>
      <c r="AE2360" s="1115"/>
      <c r="AF2360" s="1115"/>
      <c r="AG2360" s="1115"/>
      <c r="AH2360" s="1115"/>
      <c r="AI2360" s="1115"/>
      <c r="AJ2360" s="1117"/>
      <c r="AK2360" s="1118"/>
      <c r="AL2360" s="1115"/>
      <c r="AM2360" s="1115"/>
      <c r="AN2360" s="1115"/>
      <c r="AO2360" s="1115"/>
      <c r="AP2360" s="1115"/>
      <c r="AQ2360" s="1115"/>
      <c r="AR2360" s="1115"/>
      <c r="AS2360" s="1117"/>
      <c r="AT2360" s="1196" t="str">
        <f t="shared" si="428"/>
        <v/>
      </c>
      <c r="AU2360" s="1193"/>
      <c r="AV2360" s="330">
        <f>SQRT(($R2360-Infrastructure!J$3)^2+($S2360-Infrastructure!K$3)^2)</f>
        <v>28.90155705</v>
      </c>
      <c r="AW2360" s="331">
        <f>SQRT(($R2360-Infrastructure!J$4)^2+($S2360-Infrastructure!K$4)^2)</f>
        <v>17.80252791</v>
      </c>
      <c r="AX2360" s="331">
        <f>SQRT(($R2360-Infrastructure!J$5)^2+($S2360-Infrastructure!K$5)^2)</f>
        <v>5.10881591</v>
      </c>
      <c r="AY2360" s="331">
        <f>SQRT(($R2360-Infrastructure!J$6)^2+($S2360-Infrastructure!K$6)^2)</f>
        <v>10.10445446</v>
      </c>
      <c r="AZ2360" s="331">
        <f>SQRT(($R2360-Infrastructure!J$7)^2+($S2360-Infrastructure!K$7)^2)</f>
        <v>20.502195</v>
      </c>
      <c r="BA2360" s="331">
        <f>SQRT(($R2360-Infrastructure!J$8)^2+($S2360-Infrastructure!K$8)^2)</f>
        <v>30.10149498</v>
      </c>
      <c r="BB2360" s="331">
        <f>SQRT(($R2360-Infrastructure!J$9)^2+($S2360-Infrastructure!K$9)^2)</f>
        <v>40.3238143</v>
      </c>
      <c r="BC2360" s="331">
        <f>SQRT(($R2360-Infrastructure!J$10)^2+($S2360-Infrastructure!K$10)^2)</f>
        <v>42.72001873</v>
      </c>
      <c r="BD2360" s="331">
        <f>SQRT(($R2360-Infrastructure!J$11)^2+($S2360-Infrastructure!K$11)^2)</f>
        <v>49.56853841</v>
      </c>
      <c r="BE2360" s="333">
        <f>SQRT(($R2360-Infrastructure!J$12)^2+($S2360-Infrastructure!K$12)^2)</f>
        <v>59.51890456</v>
      </c>
      <c r="BF2360" s="330">
        <f t="shared" si="161"/>
        <v>5.10881591</v>
      </c>
      <c r="BG2360" s="333">
        <f t="shared" si="162"/>
        <v>59.51890456</v>
      </c>
      <c r="BH2360" s="1119"/>
      <c r="BI2360" s="319" t="str">
        <f t="shared" ref="BI2360:BR2360" si="1574">IF(ISNUMBER(FIND(BI$3, $CO2360)), "Y", "")</f>
        <v/>
      </c>
      <c r="BJ2360" s="319" t="str">
        <f t="shared" si="1574"/>
        <v/>
      </c>
      <c r="BK2360" s="319" t="str">
        <f t="shared" si="1574"/>
        <v/>
      </c>
      <c r="BL2360" s="319" t="str">
        <f t="shared" si="1574"/>
        <v/>
      </c>
      <c r="BM2360" s="319" t="str">
        <f t="shared" si="1574"/>
        <v/>
      </c>
      <c r="BN2360" s="319" t="str">
        <f t="shared" si="1574"/>
        <v/>
      </c>
      <c r="BO2360" s="319" t="str">
        <f t="shared" si="1574"/>
        <v/>
      </c>
      <c r="BP2360" s="319" t="str">
        <f t="shared" si="1574"/>
        <v/>
      </c>
      <c r="BQ2360" s="319" t="str">
        <f t="shared" si="1574"/>
        <v/>
      </c>
      <c r="BR2360" s="319" t="str">
        <f t="shared" si="1574"/>
        <v/>
      </c>
      <c r="BS2360" s="330">
        <f t="shared" si="185"/>
        <v>0</v>
      </c>
      <c r="BT2360" s="331">
        <f t="shared" si="170"/>
        <v>0</v>
      </c>
      <c r="BU2360" s="920"/>
      <c r="BV2360" s="903" t="str">
        <f t="shared" si="1244"/>
        <v/>
      </c>
      <c r="BW2360" s="908"/>
      <c r="BX2360" s="908"/>
      <c r="BY2360" s="331" t="b">
        <f t="shared" si="201"/>
        <v>0</v>
      </c>
      <c r="BZ2360" s="331"/>
      <c r="CA2360" s="462" t="str">
        <f t="shared" ref="CA2360:CJ2360" si="1575">IF(ISNUMBER(FIND(BI$3, $CP2360)), "Y", "")</f>
        <v/>
      </c>
      <c r="CB2360" s="319" t="str">
        <f t="shared" si="1575"/>
        <v/>
      </c>
      <c r="CC2360" s="319" t="str">
        <f t="shared" si="1575"/>
        <v/>
      </c>
      <c r="CD2360" s="319" t="str">
        <f t="shared" si="1575"/>
        <v/>
      </c>
      <c r="CE2360" s="319" t="str">
        <f t="shared" si="1575"/>
        <v/>
      </c>
      <c r="CF2360" s="319" t="str">
        <f t="shared" si="1575"/>
        <v/>
      </c>
      <c r="CG2360" s="319" t="str">
        <f t="shared" si="1575"/>
        <v/>
      </c>
      <c r="CH2360" s="319" t="str">
        <f t="shared" si="1575"/>
        <v/>
      </c>
      <c r="CI2360" s="319" t="str">
        <f t="shared" si="1575"/>
        <v/>
      </c>
      <c r="CJ2360" s="319" t="str">
        <f t="shared" si="1575"/>
        <v/>
      </c>
      <c r="CK2360" s="342">
        <f t="shared" si="182"/>
        <v>0</v>
      </c>
      <c r="CL2360" s="333">
        <f t="shared" si="183"/>
        <v>0</v>
      </c>
      <c r="CM2360" s="1079"/>
      <c r="CN2360" s="1005"/>
      <c r="CO2360" s="1005"/>
      <c r="CP2360" s="1005"/>
    </row>
    <row r="2361">
      <c r="A2361" s="1257"/>
      <c r="B2361" s="1113"/>
      <c r="C2361" s="1107"/>
      <c r="D2361" s="103"/>
      <c r="E2361" s="1137"/>
      <c r="F2361" s="112"/>
      <c r="G2361" s="1110"/>
      <c r="H2361" s="1138"/>
      <c r="I2361" s="1138"/>
      <c r="J2361" s="1139"/>
      <c r="K2361" s="1111"/>
      <c r="L2361" s="1112"/>
      <c r="M2361" s="1113"/>
      <c r="N2361" s="110"/>
      <c r="O2361" s="1140"/>
      <c r="P2361" s="1115"/>
      <c r="Q2361" s="1116"/>
      <c r="R2361" s="1141"/>
      <c r="S2361" s="1113"/>
      <c r="T2361" s="1143"/>
      <c r="U2361" s="1108"/>
      <c r="V2361" s="1108"/>
      <c r="W2361" s="1108"/>
      <c r="X2361" s="1108"/>
      <c r="Y2361" s="1108"/>
      <c r="Z2361" s="1114"/>
      <c r="AA2361" s="1114"/>
      <c r="AB2361" s="1114"/>
      <c r="AC2361" s="1117"/>
      <c r="AD2361" s="1115"/>
      <c r="AE2361" s="1115"/>
      <c r="AF2361" s="1115"/>
      <c r="AG2361" s="1115"/>
      <c r="AH2361" s="1115"/>
      <c r="AI2361" s="1115"/>
      <c r="AJ2361" s="1117"/>
      <c r="AK2361" s="1118"/>
      <c r="AL2361" s="1115"/>
      <c r="AM2361" s="1115"/>
      <c r="AN2361" s="1115"/>
      <c r="AO2361" s="1115"/>
      <c r="AP2361" s="1115"/>
      <c r="AQ2361" s="1115"/>
      <c r="AR2361" s="1115"/>
      <c r="AS2361" s="1117"/>
      <c r="AT2361" s="1196" t="str">
        <f t="shared" si="428"/>
        <v/>
      </c>
      <c r="AU2361" s="1193"/>
      <c r="AV2361" s="330">
        <f>SQRT(($R2361-Infrastructure!J$3)^2+($S2361-Infrastructure!K$3)^2)</f>
        <v>28.90155705</v>
      </c>
      <c r="AW2361" s="331">
        <f>SQRT(($R2361-Infrastructure!J$4)^2+($S2361-Infrastructure!K$4)^2)</f>
        <v>17.80252791</v>
      </c>
      <c r="AX2361" s="331">
        <f>SQRT(($R2361-Infrastructure!J$5)^2+($S2361-Infrastructure!K$5)^2)</f>
        <v>5.10881591</v>
      </c>
      <c r="AY2361" s="331">
        <f>SQRT(($R2361-Infrastructure!J$6)^2+($S2361-Infrastructure!K$6)^2)</f>
        <v>10.10445446</v>
      </c>
      <c r="AZ2361" s="331">
        <f>SQRT(($R2361-Infrastructure!J$7)^2+($S2361-Infrastructure!K$7)^2)</f>
        <v>20.502195</v>
      </c>
      <c r="BA2361" s="331">
        <f>SQRT(($R2361-Infrastructure!J$8)^2+($S2361-Infrastructure!K$8)^2)</f>
        <v>30.10149498</v>
      </c>
      <c r="BB2361" s="331">
        <f>SQRT(($R2361-Infrastructure!J$9)^2+($S2361-Infrastructure!K$9)^2)</f>
        <v>40.3238143</v>
      </c>
      <c r="BC2361" s="331">
        <f>SQRT(($R2361-Infrastructure!J$10)^2+($S2361-Infrastructure!K$10)^2)</f>
        <v>42.72001873</v>
      </c>
      <c r="BD2361" s="331">
        <f>SQRT(($R2361-Infrastructure!J$11)^2+($S2361-Infrastructure!K$11)^2)</f>
        <v>49.56853841</v>
      </c>
      <c r="BE2361" s="333">
        <f>SQRT(($R2361-Infrastructure!J$12)^2+($S2361-Infrastructure!K$12)^2)</f>
        <v>59.51890456</v>
      </c>
      <c r="BF2361" s="330">
        <f t="shared" si="161"/>
        <v>5.10881591</v>
      </c>
      <c r="BG2361" s="333">
        <f t="shared" si="162"/>
        <v>59.51890456</v>
      </c>
      <c r="BH2361" s="1119"/>
      <c r="BI2361" s="319" t="str">
        <f t="shared" ref="BI2361:BR2361" si="1576">IF(ISNUMBER(FIND(BI$3, $CO2361)), "Y", "")</f>
        <v/>
      </c>
      <c r="BJ2361" s="319" t="str">
        <f t="shared" si="1576"/>
        <v/>
      </c>
      <c r="BK2361" s="319" t="str">
        <f t="shared" si="1576"/>
        <v/>
      </c>
      <c r="BL2361" s="319" t="str">
        <f t="shared" si="1576"/>
        <v/>
      </c>
      <c r="BM2361" s="319" t="str">
        <f t="shared" si="1576"/>
        <v/>
      </c>
      <c r="BN2361" s="319" t="str">
        <f t="shared" si="1576"/>
        <v/>
      </c>
      <c r="BO2361" s="319" t="str">
        <f t="shared" si="1576"/>
        <v/>
      </c>
      <c r="BP2361" s="319" t="str">
        <f t="shared" si="1576"/>
        <v/>
      </c>
      <c r="BQ2361" s="319" t="str">
        <f t="shared" si="1576"/>
        <v/>
      </c>
      <c r="BR2361" s="319" t="str">
        <f t="shared" si="1576"/>
        <v/>
      </c>
      <c r="BS2361" s="330">
        <f t="shared" si="185"/>
        <v>0</v>
      </c>
      <c r="BT2361" s="331">
        <f t="shared" si="170"/>
        <v>0</v>
      </c>
      <c r="BU2361" s="920"/>
      <c r="BV2361" s="903" t="str">
        <f t="shared" si="1244"/>
        <v/>
      </c>
      <c r="BW2361" s="908"/>
      <c r="BX2361" s="908"/>
      <c r="BY2361" s="331" t="b">
        <f t="shared" si="201"/>
        <v>0</v>
      </c>
      <c r="BZ2361" s="331"/>
      <c r="CA2361" s="462" t="str">
        <f t="shared" ref="CA2361:CJ2361" si="1577">IF(ISNUMBER(FIND(BI$3, $CP2361)), "Y", "")</f>
        <v/>
      </c>
      <c r="CB2361" s="319" t="str">
        <f t="shared" si="1577"/>
        <v/>
      </c>
      <c r="CC2361" s="319" t="str">
        <f t="shared" si="1577"/>
        <v/>
      </c>
      <c r="CD2361" s="319" t="str">
        <f t="shared" si="1577"/>
        <v/>
      </c>
      <c r="CE2361" s="319" t="str">
        <f t="shared" si="1577"/>
        <v/>
      </c>
      <c r="CF2361" s="319" t="str">
        <f t="shared" si="1577"/>
        <v/>
      </c>
      <c r="CG2361" s="319" t="str">
        <f t="shared" si="1577"/>
        <v/>
      </c>
      <c r="CH2361" s="319" t="str">
        <f t="shared" si="1577"/>
        <v/>
      </c>
      <c r="CI2361" s="319" t="str">
        <f t="shared" si="1577"/>
        <v/>
      </c>
      <c r="CJ2361" s="319" t="str">
        <f t="shared" si="1577"/>
        <v/>
      </c>
      <c r="CK2361" s="342">
        <f t="shared" si="182"/>
        <v>0</v>
      </c>
      <c r="CL2361" s="333">
        <f t="shared" si="183"/>
        <v>0</v>
      </c>
      <c r="CM2361" s="1079"/>
      <c r="CN2361" s="1005"/>
      <c r="CO2361" s="1005"/>
      <c r="CP2361" s="1005"/>
    </row>
    <row r="2362">
      <c r="A2362" s="1257"/>
      <c r="B2362" s="1113"/>
      <c r="C2362" s="1107"/>
      <c r="D2362" s="103"/>
      <c r="E2362" s="1137"/>
      <c r="F2362" s="112"/>
      <c r="G2362" s="1110"/>
      <c r="H2362" s="1138"/>
      <c r="I2362" s="1138"/>
      <c r="J2362" s="1139"/>
      <c r="K2362" s="1111"/>
      <c r="L2362" s="1112"/>
      <c r="M2362" s="1113"/>
      <c r="N2362" s="110"/>
      <c r="O2362" s="1140"/>
      <c r="P2362" s="1115"/>
      <c r="Q2362" s="1116"/>
      <c r="R2362" s="1141"/>
      <c r="S2362" s="1113"/>
      <c r="T2362" s="1143"/>
      <c r="U2362" s="1108"/>
      <c r="V2362" s="1108"/>
      <c r="W2362" s="1108"/>
      <c r="X2362" s="1108"/>
      <c r="Y2362" s="1108"/>
      <c r="Z2362" s="1114"/>
      <c r="AA2362" s="1114"/>
      <c r="AB2362" s="1114"/>
      <c r="AC2362" s="1117"/>
      <c r="AD2362" s="1115"/>
      <c r="AE2362" s="1115"/>
      <c r="AF2362" s="1115"/>
      <c r="AG2362" s="1115"/>
      <c r="AH2362" s="1115"/>
      <c r="AI2362" s="1115"/>
      <c r="AJ2362" s="1117"/>
      <c r="AK2362" s="1118"/>
      <c r="AL2362" s="1115"/>
      <c r="AM2362" s="1115"/>
      <c r="AN2362" s="1115"/>
      <c r="AO2362" s="1115"/>
      <c r="AP2362" s="1115"/>
      <c r="AQ2362" s="1115"/>
      <c r="AR2362" s="1115"/>
      <c r="AS2362" s="1117"/>
      <c r="AT2362" s="1196" t="str">
        <f t="shared" si="428"/>
        <v/>
      </c>
      <c r="AU2362" s="1193"/>
      <c r="AV2362" s="330">
        <f>SQRT(($R2362-Infrastructure!J$3)^2+($S2362-Infrastructure!K$3)^2)</f>
        <v>28.90155705</v>
      </c>
      <c r="AW2362" s="331">
        <f>SQRT(($R2362-Infrastructure!J$4)^2+($S2362-Infrastructure!K$4)^2)</f>
        <v>17.80252791</v>
      </c>
      <c r="AX2362" s="331">
        <f>SQRT(($R2362-Infrastructure!J$5)^2+($S2362-Infrastructure!K$5)^2)</f>
        <v>5.10881591</v>
      </c>
      <c r="AY2362" s="331">
        <f>SQRT(($R2362-Infrastructure!J$6)^2+($S2362-Infrastructure!K$6)^2)</f>
        <v>10.10445446</v>
      </c>
      <c r="AZ2362" s="331">
        <f>SQRT(($R2362-Infrastructure!J$7)^2+($S2362-Infrastructure!K$7)^2)</f>
        <v>20.502195</v>
      </c>
      <c r="BA2362" s="331">
        <f>SQRT(($R2362-Infrastructure!J$8)^2+($S2362-Infrastructure!K$8)^2)</f>
        <v>30.10149498</v>
      </c>
      <c r="BB2362" s="331">
        <f>SQRT(($R2362-Infrastructure!J$9)^2+($S2362-Infrastructure!K$9)^2)</f>
        <v>40.3238143</v>
      </c>
      <c r="BC2362" s="331">
        <f>SQRT(($R2362-Infrastructure!J$10)^2+($S2362-Infrastructure!K$10)^2)</f>
        <v>42.72001873</v>
      </c>
      <c r="BD2362" s="331">
        <f>SQRT(($R2362-Infrastructure!J$11)^2+($S2362-Infrastructure!K$11)^2)</f>
        <v>49.56853841</v>
      </c>
      <c r="BE2362" s="333">
        <f>SQRT(($R2362-Infrastructure!J$12)^2+($S2362-Infrastructure!K$12)^2)</f>
        <v>59.51890456</v>
      </c>
      <c r="BF2362" s="330">
        <f t="shared" si="161"/>
        <v>5.10881591</v>
      </c>
      <c r="BG2362" s="333">
        <f t="shared" si="162"/>
        <v>59.51890456</v>
      </c>
      <c r="BH2362" s="1119"/>
      <c r="BI2362" s="319" t="str">
        <f t="shared" ref="BI2362:BR2362" si="1578">IF(ISNUMBER(FIND(BI$3, $CO2362)), "Y", "")</f>
        <v/>
      </c>
      <c r="BJ2362" s="319" t="str">
        <f t="shared" si="1578"/>
        <v/>
      </c>
      <c r="BK2362" s="319" t="str">
        <f t="shared" si="1578"/>
        <v/>
      </c>
      <c r="BL2362" s="319" t="str">
        <f t="shared" si="1578"/>
        <v/>
      </c>
      <c r="BM2362" s="319" t="str">
        <f t="shared" si="1578"/>
        <v/>
      </c>
      <c r="BN2362" s="319" t="str">
        <f t="shared" si="1578"/>
        <v/>
      </c>
      <c r="BO2362" s="319" t="str">
        <f t="shared" si="1578"/>
        <v/>
      </c>
      <c r="BP2362" s="319" t="str">
        <f t="shared" si="1578"/>
        <v/>
      </c>
      <c r="BQ2362" s="319" t="str">
        <f t="shared" si="1578"/>
        <v/>
      </c>
      <c r="BR2362" s="319" t="str">
        <f t="shared" si="1578"/>
        <v/>
      </c>
      <c r="BS2362" s="330">
        <f t="shared" si="185"/>
        <v>0</v>
      </c>
      <c r="BT2362" s="331">
        <f t="shared" si="170"/>
        <v>0</v>
      </c>
      <c r="BU2362" s="920"/>
      <c r="BV2362" s="903" t="str">
        <f t="shared" si="1244"/>
        <v/>
      </c>
      <c r="BW2362" s="908"/>
      <c r="BX2362" s="908"/>
      <c r="BY2362" s="331" t="b">
        <f t="shared" si="201"/>
        <v>0</v>
      </c>
      <c r="BZ2362" s="331"/>
      <c r="CA2362" s="462" t="str">
        <f t="shared" ref="CA2362:CJ2362" si="1579">IF(ISNUMBER(FIND(BI$3, $CP2362)), "Y", "")</f>
        <v/>
      </c>
      <c r="CB2362" s="319" t="str">
        <f t="shared" si="1579"/>
        <v/>
      </c>
      <c r="CC2362" s="319" t="str">
        <f t="shared" si="1579"/>
        <v/>
      </c>
      <c r="CD2362" s="319" t="str">
        <f t="shared" si="1579"/>
        <v/>
      </c>
      <c r="CE2362" s="319" t="str">
        <f t="shared" si="1579"/>
        <v/>
      </c>
      <c r="CF2362" s="319" t="str">
        <f t="shared" si="1579"/>
        <v/>
      </c>
      <c r="CG2362" s="319" t="str">
        <f t="shared" si="1579"/>
        <v/>
      </c>
      <c r="CH2362" s="319" t="str">
        <f t="shared" si="1579"/>
        <v/>
      </c>
      <c r="CI2362" s="319" t="str">
        <f t="shared" si="1579"/>
        <v/>
      </c>
      <c r="CJ2362" s="319" t="str">
        <f t="shared" si="1579"/>
        <v/>
      </c>
      <c r="CK2362" s="342">
        <f t="shared" si="182"/>
        <v>0</v>
      </c>
      <c r="CL2362" s="333">
        <f t="shared" si="183"/>
        <v>0</v>
      </c>
      <c r="CM2362" s="1079"/>
      <c r="CN2362" s="1005"/>
      <c r="CO2362" s="1005"/>
      <c r="CP2362" s="1005"/>
    </row>
    <row r="2363">
      <c r="A2363" s="1257"/>
      <c r="B2363" s="1113"/>
      <c r="C2363" s="1107"/>
      <c r="D2363" s="103"/>
      <c r="E2363" s="1137"/>
      <c r="F2363" s="112"/>
      <c r="G2363" s="1110"/>
      <c r="H2363" s="1138"/>
      <c r="I2363" s="1138"/>
      <c r="J2363" s="1139"/>
      <c r="K2363" s="1111"/>
      <c r="L2363" s="1112"/>
      <c r="M2363" s="1113"/>
      <c r="N2363" s="110"/>
      <c r="O2363" s="1140"/>
      <c r="P2363" s="1115"/>
      <c r="Q2363" s="1116"/>
      <c r="R2363" s="1141"/>
      <c r="S2363" s="1113"/>
      <c r="T2363" s="1143"/>
      <c r="U2363" s="1108"/>
      <c r="V2363" s="1108"/>
      <c r="W2363" s="1108"/>
      <c r="X2363" s="1108"/>
      <c r="Y2363" s="1108"/>
      <c r="Z2363" s="1114"/>
      <c r="AA2363" s="1114"/>
      <c r="AB2363" s="1114"/>
      <c r="AC2363" s="1117"/>
      <c r="AD2363" s="1115"/>
      <c r="AE2363" s="1115"/>
      <c r="AF2363" s="1115"/>
      <c r="AG2363" s="1115"/>
      <c r="AH2363" s="1115"/>
      <c r="AI2363" s="1115"/>
      <c r="AJ2363" s="1117"/>
      <c r="AK2363" s="1118"/>
      <c r="AL2363" s="1115"/>
      <c r="AM2363" s="1115"/>
      <c r="AN2363" s="1115"/>
      <c r="AO2363" s="1115"/>
      <c r="AP2363" s="1115"/>
      <c r="AQ2363" s="1115"/>
      <c r="AR2363" s="1115"/>
      <c r="AS2363" s="1117"/>
      <c r="AT2363" s="1196" t="str">
        <f t="shared" si="428"/>
        <v/>
      </c>
      <c r="AU2363" s="1193"/>
      <c r="AV2363" s="330">
        <f>SQRT(($R2363-Infrastructure!J$3)^2+($S2363-Infrastructure!K$3)^2)</f>
        <v>28.90155705</v>
      </c>
      <c r="AW2363" s="331">
        <f>SQRT(($R2363-Infrastructure!J$4)^2+($S2363-Infrastructure!K$4)^2)</f>
        <v>17.80252791</v>
      </c>
      <c r="AX2363" s="331">
        <f>SQRT(($R2363-Infrastructure!J$5)^2+($S2363-Infrastructure!K$5)^2)</f>
        <v>5.10881591</v>
      </c>
      <c r="AY2363" s="331">
        <f>SQRT(($R2363-Infrastructure!J$6)^2+($S2363-Infrastructure!K$6)^2)</f>
        <v>10.10445446</v>
      </c>
      <c r="AZ2363" s="331">
        <f>SQRT(($R2363-Infrastructure!J$7)^2+($S2363-Infrastructure!K$7)^2)</f>
        <v>20.502195</v>
      </c>
      <c r="BA2363" s="331">
        <f>SQRT(($R2363-Infrastructure!J$8)^2+($S2363-Infrastructure!K$8)^2)</f>
        <v>30.10149498</v>
      </c>
      <c r="BB2363" s="331">
        <f>SQRT(($R2363-Infrastructure!J$9)^2+($S2363-Infrastructure!K$9)^2)</f>
        <v>40.3238143</v>
      </c>
      <c r="BC2363" s="331">
        <f>SQRT(($R2363-Infrastructure!J$10)^2+($S2363-Infrastructure!K$10)^2)</f>
        <v>42.72001873</v>
      </c>
      <c r="BD2363" s="331">
        <f>SQRT(($R2363-Infrastructure!J$11)^2+($S2363-Infrastructure!K$11)^2)</f>
        <v>49.56853841</v>
      </c>
      <c r="BE2363" s="333">
        <f>SQRT(($R2363-Infrastructure!J$12)^2+($S2363-Infrastructure!K$12)^2)</f>
        <v>59.51890456</v>
      </c>
      <c r="BF2363" s="330">
        <f t="shared" si="161"/>
        <v>5.10881591</v>
      </c>
      <c r="BG2363" s="333">
        <f t="shared" si="162"/>
        <v>59.51890456</v>
      </c>
      <c r="BH2363" s="1119"/>
      <c r="BI2363" s="319" t="str">
        <f t="shared" ref="BI2363:BR2363" si="1580">IF(ISNUMBER(FIND(BI$3, $CO2363)), "Y", "")</f>
        <v/>
      </c>
      <c r="BJ2363" s="319" t="str">
        <f t="shared" si="1580"/>
        <v/>
      </c>
      <c r="BK2363" s="319" t="str">
        <f t="shared" si="1580"/>
        <v/>
      </c>
      <c r="BL2363" s="319" t="str">
        <f t="shared" si="1580"/>
        <v/>
      </c>
      <c r="BM2363" s="319" t="str">
        <f t="shared" si="1580"/>
        <v/>
      </c>
      <c r="BN2363" s="319" t="str">
        <f t="shared" si="1580"/>
        <v/>
      </c>
      <c r="BO2363" s="319" t="str">
        <f t="shared" si="1580"/>
        <v/>
      </c>
      <c r="BP2363" s="319" t="str">
        <f t="shared" si="1580"/>
        <v/>
      </c>
      <c r="BQ2363" s="319" t="str">
        <f t="shared" si="1580"/>
        <v/>
      </c>
      <c r="BR2363" s="319" t="str">
        <f t="shared" si="1580"/>
        <v/>
      </c>
      <c r="BS2363" s="330">
        <f t="shared" si="185"/>
        <v>0</v>
      </c>
      <c r="BT2363" s="331">
        <f t="shared" si="170"/>
        <v>0</v>
      </c>
      <c r="BU2363" s="920"/>
      <c r="BV2363" s="903" t="str">
        <f t="shared" si="1244"/>
        <v/>
      </c>
      <c r="BW2363" s="908"/>
      <c r="BX2363" s="908"/>
      <c r="BY2363" s="331" t="b">
        <f t="shared" si="201"/>
        <v>0</v>
      </c>
      <c r="BZ2363" s="331"/>
      <c r="CA2363" s="462" t="str">
        <f t="shared" ref="CA2363:CJ2363" si="1581">IF(ISNUMBER(FIND(BI$3, $CP2363)), "Y", "")</f>
        <v/>
      </c>
      <c r="CB2363" s="319" t="str">
        <f t="shared" si="1581"/>
        <v/>
      </c>
      <c r="CC2363" s="319" t="str">
        <f t="shared" si="1581"/>
        <v/>
      </c>
      <c r="CD2363" s="319" t="str">
        <f t="shared" si="1581"/>
        <v/>
      </c>
      <c r="CE2363" s="319" t="str">
        <f t="shared" si="1581"/>
        <v/>
      </c>
      <c r="CF2363" s="319" t="str">
        <f t="shared" si="1581"/>
        <v/>
      </c>
      <c r="CG2363" s="319" t="str">
        <f t="shared" si="1581"/>
        <v/>
      </c>
      <c r="CH2363" s="319" t="str">
        <f t="shared" si="1581"/>
        <v/>
      </c>
      <c r="CI2363" s="319" t="str">
        <f t="shared" si="1581"/>
        <v/>
      </c>
      <c r="CJ2363" s="319" t="str">
        <f t="shared" si="1581"/>
        <v/>
      </c>
      <c r="CK2363" s="342">
        <f t="shared" si="182"/>
        <v>0</v>
      </c>
      <c r="CL2363" s="333">
        <f t="shared" si="183"/>
        <v>0</v>
      </c>
      <c r="CM2363" s="1079"/>
      <c r="CN2363" s="1005"/>
      <c r="CO2363" s="1005"/>
      <c r="CP2363" s="1005"/>
    </row>
    <row r="2364">
      <c r="A2364" s="1257"/>
      <c r="B2364" s="1113"/>
      <c r="C2364" s="1107"/>
      <c r="D2364" s="103"/>
      <c r="E2364" s="1137"/>
      <c r="F2364" s="112"/>
      <c r="G2364" s="1110"/>
      <c r="H2364" s="1138"/>
      <c r="I2364" s="1138"/>
      <c r="J2364" s="1139"/>
      <c r="K2364" s="1111"/>
      <c r="L2364" s="1112"/>
      <c r="M2364" s="1113"/>
      <c r="N2364" s="110"/>
      <c r="O2364" s="1140"/>
      <c r="P2364" s="1115"/>
      <c r="Q2364" s="1116"/>
      <c r="R2364" s="1141"/>
      <c r="S2364" s="1113"/>
      <c r="T2364" s="1143"/>
      <c r="U2364" s="1108"/>
      <c r="V2364" s="1108"/>
      <c r="W2364" s="1108"/>
      <c r="X2364" s="1108"/>
      <c r="Y2364" s="1108"/>
      <c r="Z2364" s="1114"/>
      <c r="AA2364" s="1114"/>
      <c r="AB2364" s="1114"/>
      <c r="AC2364" s="1117"/>
      <c r="AD2364" s="1115"/>
      <c r="AE2364" s="1115"/>
      <c r="AF2364" s="1115"/>
      <c r="AG2364" s="1115"/>
      <c r="AH2364" s="1115"/>
      <c r="AI2364" s="1115"/>
      <c r="AJ2364" s="1117"/>
      <c r="AK2364" s="1118"/>
      <c r="AL2364" s="1115"/>
      <c r="AM2364" s="1115"/>
      <c r="AN2364" s="1115"/>
      <c r="AO2364" s="1115"/>
      <c r="AP2364" s="1115"/>
      <c r="AQ2364" s="1115"/>
      <c r="AR2364" s="1115"/>
      <c r="AS2364" s="1117"/>
      <c r="AT2364" s="1196" t="str">
        <f t="shared" si="428"/>
        <v/>
      </c>
      <c r="AU2364" s="1193"/>
      <c r="AV2364" s="330">
        <f>SQRT(($R2364-Infrastructure!J$3)^2+($S2364-Infrastructure!K$3)^2)</f>
        <v>28.90155705</v>
      </c>
      <c r="AW2364" s="331">
        <f>SQRT(($R2364-Infrastructure!J$4)^2+($S2364-Infrastructure!K$4)^2)</f>
        <v>17.80252791</v>
      </c>
      <c r="AX2364" s="331">
        <f>SQRT(($R2364-Infrastructure!J$5)^2+($S2364-Infrastructure!K$5)^2)</f>
        <v>5.10881591</v>
      </c>
      <c r="AY2364" s="331">
        <f>SQRT(($R2364-Infrastructure!J$6)^2+($S2364-Infrastructure!K$6)^2)</f>
        <v>10.10445446</v>
      </c>
      <c r="AZ2364" s="331">
        <f>SQRT(($R2364-Infrastructure!J$7)^2+($S2364-Infrastructure!K$7)^2)</f>
        <v>20.502195</v>
      </c>
      <c r="BA2364" s="331">
        <f>SQRT(($R2364-Infrastructure!J$8)^2+($S2364-Infrastructure!K$8)^2)</f>
        <v>30.10149498</v>
      </c>
      <c r="BB2364" s="331">
        <f>SQRT(($R2364-Infrastructure!J$9)^2+($S2364-Infrastructure!K$9)^2)</f>
        <v>40.3238143</v>
      </c>
      <c r="BC2364" s="331">
        <f>SQRT(($R2364-Infrastructure!J$10)^2+($S2364-Infrastructure!K$10)^2)</f>
        <v>42.72001873</v>
      </c>
      <c r="BD2364" s="331">
        <f>SQRT(($R2364-Infrastructure!J$11)^2+($S2364-Infrastructure!K$11)^2)</f>
        <v>49.56853841</v>
      </c>
      <c r="BE2364" s="333">
        <f>SQRT(($R2364-Infrastructure!J$12)^2+($S2364-Infrastructure!K$12)^2)</f>
        <v>59.51890456</v>
      </c>
      <c r="BF2364" s="330">
        <f t="shared" si="161"/>
        <v>5.10881591</v>
      </c>
      <c r="BG2364" s="333">
        <f t="shared" si="162"/>
        <v>59.51890456</v>
      </c>
      <c r="BH2364" s="1119"/>
      <c r="BI2364" s="319" t="str">
        <f t="shared" ref="BI2364:BR2364" si="1582">IF(ISNUMBER(FIND(BI$3, $CO2364)), "Y", "")</f>
        <v/>
      </c>
      <c r="BJ2364" s="319" t="str">
        <f t="shared" si="1582"/>
        <v/>
      </c>
      <c r="BK2364" s="319" t="str">
        <f t="shared" si="1582"/>
        <v/>
      </c>
      <c r="BL2364" s="319" t="str">
        <f t="shared" si="1582"/>
        <v/>
      </c>
      <c r="BM2364" s="319" t="str">
        <f t="shared" si="1582"/>
        <v/>
      </c>
      <c r="BN2364" s="319" t="str">
        <f t="shared" si="1582"/>
        <v/>
      </c>
      <c r="BO2364" s="319" t="str">
        <f t="shared" si="1582"/>
        <v/>
      </c>
      <c r="BP2364" s="319" t="str">
        <f t="shared" si="1582"/>
        <v/>
      </c>
      <c r="BQ2364" s="319" t="str">
        <f t="shared" si="1582"/>
        <v/>
      </c>
      <c r="BR2364" s="319" t="str">
        <f t="shared" si="1582"/>
        <v/>
      </c>
      <c r="BS2364" s="330">
        <f t="shared" si="185"/>
        <v>0</v>
      </c>
      <c r="BT2364" s="331">
        <f t="shared" si="170"/>
        <v>0</v>
      </c>
      <c r="BU2364" s="920"/>
      <c r="BV2364" s="903" t="str">
        <f t="shared" si="1244"/>
        <v/>
      </c>
      <c r="BW2364" s="908"/>
      <c r="BX2364" s="908"/>
      <c r="BY2364" s="331" t="b">
        <f t="shared" si="201"/>
        <v>0</v>
      </c>
      <c r="BZ2364" s="331"/>
      <c r="CA2364" s="462" t="str">
        <f t="shared" ref="CA2364:CJ2364" si="1583">IF(ISNUMBER(FIND(BI$3, $CP2364)), "Y", "")</f>
        <v/>
      </c>
      <c r="CB2364" s="319" t="str">
        <f t="shared" si="1583"/>
        <v/>
      </c>
      <c r="CC2364" s="319" t="str">
        <f t="shared" si="1583"/>
        <v/>
      </c>
      <c r="CD2364" s="319" t="str">
        <f t="shared" si="1583"/>
        <v/>
      </c>
      <c r="CE2364" s="319" t="str">
        <f t="shared" si="1583"/>
        <v/>
      </c>
      <c r="CF2364" s="319" t="str">
        <f t="shared" si="1583"/>
        <v/>
      </c>
      <c r="CG2364" s="319" t="str">
        <f t="shared" si="1583"/>
        <v/>
      </c>
      <c r="CH2364" s="319" t="str">
        <f t="shared" si="1583"/>
        <v/>
      </c>
      <c r="CI2364" s="319" t="str">
        <f t="shared" si="1583"/>
        <v/>
      </c>
      <c r="CJ2364" s="319" t="str">
        <f t="shared" si="1583"/>
        <v/>
      </c>
      <c r="CK2364" s="342">
        <f t="shared" si="182"/>
        <v>0</v>
      </c>
      <c r="CL2364" s="333">
        <f t="shared" si="183"/>
        <v>0</v>
      </c>
      <c r="CM2364" s="1079"/>
      <c r="CN2364" s="1005"/>
      <c r="CO2364" s="1005"/>
      <c r="CP2364" s="1005"/>
    </row>
    <row r="2365">
      <c r="A2365" s="1257"/>
      <c r="B2365" s="1113"/>
      <c r="C2365" s="1107"/>
      <c r="D2365" s="103"/>
      <c r="E2365" s="1137"/>
      <c r="F2365" s="112"/>
      <c r="G2365" s="1110"/>
      <c r="H2365" s="1138"/>
      <c r="I2365" s="1138"/>
      <c r="J2365" s="1139"/>
      <c r="K2365" s="1111"/>
      <c r="L2365" s="1112"/>
      <c r="M2365" s="1113"/>
      <c r="N2365" s="110"/>
      <c r="O2365" s="1140"/>
      <c r="P2365" s="1115"/>
      <c r="Q2365" s="1116"/>
      <c r="R2365" s="1141"/>
      <c r="S2365" s="1113"/>
      <c r="T2365" s="1143"/>
      <c r="U2365" s="1108"/>
      <c r="V2365" s="1108"/>
      <c r="W2365" s="1108"/>
      <c r="X2365" s="1108"/>
      <c r="Y2365" s="1108"/>
      <c r="Z2365" s="1114"/>
      <c r="AA2365" s="1114"/>
      <c r="AB2365" s="1114"/>
      <c r="AC2365" s="1117"/>
      <c r="AD2365" s="1115"/>
      <c r="AE2365" s="1115"/>
      <c r="AF2365" s="1115"/>
      <c r="AG2365" s="1115"/>
      <c r="AH2365" s="1115"/>
      <c r="AI2365" s="1115"/>
      <c r="AJ2365" s="1117"/>
      <c r="AK2365" s="1118"/>
      <c r="AL2365" s="1115"/>
      <c r="AM2365" s="1115"/>
      <c r="AN2365" s="1115"/>
      <c r="AO2365" s="1115"/>
      <c r="AP2365" s="1115"/>
      <c r="AQ2365" s="1115"/>
      <c r="AR2365" s="1115"/>
      <c r="AS2365" s="1117"/>
      <c r="AT2365" s="1196" t="str">
        <f t="shared" si="428"/>
        <v/>
      </c>
      <c r="AU2365" s="1193"/>
      <c r="AV2365" s="330">
        <f>SQRT(($R2365-Infrastructure!J$3)^2+($S2365-Infrastructure!K$3)^2)</f>
        <v>28.90155705</v>
      </c>
      <c r="AW2365" s="331">
        <f>SQRT(($R2365-Infrastructure!J$4)^2+($S2365-Infrastructure!K$4)^2)</f>
        <v>17.80252791</v>
      </c>
      <c r="AX2365" s="331">
        <f>SQRT(($R2365-Infrastructure!J$5)^2+($S2365-Infrastructure!K$5)^2)</f>
        <v>5.10881591</v>
      </c>
      <c r="AY2365" s="331">
        <f>SQRT(($R2365-Infrastructure!J$6)^2+($S2365-Infrastructure!K$6)^2)</f>
        <v>10.10445446</v>
      </c>
      <c r="AZ2365" s="331">
        <f>SQRT(($R2365-Infrastructure!J$7)^2+($S2365-Infrastructure!K$7)^2)</f>
        <v>20.502195</v>
      </c>
      <c r="BA2365" s="331">
        <f>SQRT(($R2365-Infrastructure!J$8)^2+($S2365-Infrastructure!K$8)^2)</f>
        <v>30.10149498</v>
      </c>
      <c r="BB2365" s="331">
        <f>SQRT(($R2365-Infrastructure!J$9)^2+($S2365-Infrastructure!K$9)^2)</f>
        <v>40.3238143</v>
      </c>
      <c r="BC2365" s="331">
        <f>SQRT(($R2365-Infrastructure!J$10)^2+($S2365-Infrastructure!K$10)^2)</f>
        <v>42.72001873</v>
      </c>
      <c r="BD2365" s="331">
        <f>SQRT(($R2365-Infrastructure!J$11)^2+($S2365-Infrastructure!K$11)^2)</f>
        <v>49.56853841</v>
      </c>
      <c r="BE2365" s="333">
        <f>SQRT(($R2365-Infrastructure!J$12)^2+($S2365-Infrastructure!K$12)^2)</f>
        <v>59.51890456</v>
      </c>
      <c r="BF2365" s="330">
        <f t="shared" si="161"/>
        <v>5.10881591</v>
      </c>
      <c r="BG2365" s="333">
        <f t="shared" si="162"/>
        <v>59.51890456</v>
      </c>
      <c r="BH2365" s="1119"/>
      <c r="BI2365" s="319" t="str">
        <f t="shared" ref="BI2365:BR2365" si="1584">IF(ISNUMBER(FIND(BI$3, $CO2365)), "Y", "")</f>
        <v/>
      </c>
      <c r="BJ2365" s="319" t="str">
        <f t="shared" si="1584"/>
        <v/>
      </c>
      <c r="BK2365" s="319" t="str">
        <f t="shared" si="1584"/>
        <v/>
      </c>
      <c r="BL2365" s="319" t="str">
        <f t="shared" si="1584"/>
        <v/>
      </c>
      <c r="BM2365" s="319" t="str">
        <f t="shared" si="1584"/>
        <v/>
      </c>
      <c r="BN2365" s="319" t="str">
        <f t="shared" si="1584"/>
        <v/>
      </c>
      <c r="BO2365" s="319" t="str">
        <f t="shared" si="1584"/>
        <v/>
      </c>
      <c r="BP2365" s="319" t="str">
        <f t="shared" si="1584"/>
        <v/>
      </c>
      <c r="BQ2365" s="319" t="str">
        <f t="shared" si="1584"/>
        <v/>
      </c>
      <c r="BR2365" s="319" t="str">
        <f t="shared" si="1584"/>
        <v/>
      </c>
      <c r="BS2365" s="330">
        <f t="shared" si="185"/>
        <v>0</v>
      </c>
      <c r="BT2365" s="331">
        <f t="shared" si="170"/>
        <v>0</v>
      </c>
      <c r="BU2365" s="920"/>
      <c r="BV2365" s="903" t="str">
        <f t="shared" si="1244"/>
        <v/>
      </c>
      <c r="BW2365" s="908"/>
      <c r="BX2365" s="908"/>
      <c r="BY2365" s="331" t="b">
        <f t="shared" si="201"/>
        <v>0</v>
      </c>
      <c r="BZ2365" s="331"/>
      <c r="CA2365" s="462" t="str">
        <f t="shared" ref="CA2365:CJ2365" si="1585">IF(ISNUMBER(FIND(BI$3, $CP2365)), "Y", "")</f>
        <v/>
      </c>
      <c r="CB2365" s="319" t="str">
        <f t="shared" si="1585"/>
        <v/>
      </c>
      <c r="CC2365" s="319" t="str">
        <f t="shared" si="1585"/>
        <v/>
      </c>
      <c r="CD2365" s="319" t="str">
        <f t="shared" si="1585"/>
        <v/>
      </c>
      <c r="CE2365" s="319" t="str">
        <f t="shared" si="1585"/>
        <v/>
      </c>
      <c r="CF2365" s="319" t="str">
        <f t="shared" si="1585"/>
        <v/>
      </c>
      <c r="CG2365" s="319" t="str">
        <f t="shared" si="1585"/>
        <v/>
      </c>
      <c r="CH2365" s="319" t="str">
        <f t="shared" si="1585"/>
        <v/>
      </c>
      <c r="CI2365" s="319" t="str">
        <f t="shared" si="1585"/>
        <v/>
      </c>
      <c r="CJ2365" s="319" t="str">
        <f t="shared" si="1585"/>
        <v/>
      </c>
      <c r="CK2365" s="342">
        <f t="shared" si="182"/>
        <v>0</v>
      </c>
      <c r="CL2365" s="333">
        <f t="shared" si="183"/>
        <v>0</v>
      </c>
      <c r="CM2365" s="1079"/>
      <c r="CN2365" s="1005"/>
      <c r="CO2365" s="1005"/>
      <c r="CP2365" s="1005"/>
    </row>
    <row r="2366">
      <c r="A2366" s="1257"/>
      <c r="B2366" s="1113"/>
      <c r="C2366" s="1107"/>
      <c r="D2366" s="103"/>
      <c r="E2366" s="1137"/>
      <c r="F2366" s="112"/>
      <c r="G2366" s="1110"/>
      <c r="H2366" s="1138"/>
      <c r="I2366" s="1138"/>
      <c r="J2366" s="1139"/>
      <c r="K2366" s="1111"/>
      <c r="L2366" s="1112"/>
      <c r="M2366" s="1113"/>
      <c r="N2366" s="110"/>
      <c r="O2366" s="1140"/>
      <c r="P2366" s="1115"/>
      <c r="Q2366" s="1116"/>
      <c r="R2366" s="1141"/>
      <c r="S2366" s="1113"/>
      <c r="T2366" s="1143"/>
      <c r="U2366" s="1108"/>
      <c r="V2366" s="1108"/>
      <c r="W2366" s="1108"/>
      <c r="X2366" s="1108"/>
      <c r="Y2366" s="1108"/>
      <c r="Z2366" s="1114"/>
      <c r="AA2366" s="1114"/>
      <c r="AB2366" s="1114"/>
      <c r="AC2366" s="1117"/>
      <c r="AD2366" s="1115"/>
      <c r="AE2366" s="1115"/>
      <c r="AF2366" s="1115"/>
      <c r="AG2366" s="1115"/>
      <c r="AH2366" s="1115"/>
      <c r="AI2366" s="1115"/>
      <c r="AJ2366" s="1117"/>
      <c r="AK2366" s="1118"/>
      <c r="AL2366" s="1115"/>
      <c r="AM2366" s="1115"/>
      <c r="AN2366" s="1115"/>
      <c r="AO2366" s="1115"/>
      <c r="AP2366" s="1115"/>
      <c r="AQ2366" s="1115"/>
      <c r="AR2366" s="1115"/>
      <c r="AS2366" s="1117"/>
      <c r="AT2366" s="1196" t="str">
        <f t="shared" si="428"/>
        <v/>
      </c>
      <c r="AU2366" s="1193"/>
      <c r="AV2366" s="330">
        <f>SQRT(($R2366-Infrastructure!J$3)^2+($S2366-Infrastructure!K$3)^2)</f>
        <v>28.90155705</v>
      </c>
      <c r="AW2366" s="331">
        <f>SQRT(($R2366-Infrastructure!J$4)^2+($S2366-Infrastructure!K$4)^2)</f>
        <v>17.80252791</v>
      </c>
      <c r="AX2366" s="331">
        <f>SQRT(($R2366-Infrastructure!J$5)^2+($S2366-Infrastructure!K$5)^2)</f>
        <v>5.10881591</v>
      </c>
      <c r="AY2366" s="331">
        <f>SQRT(($R2366-Infrastructure!J$6)^2+($S2366-Infrastructure!K$6)^2)</f>
        <v>10.10445446</v>
      </c>
      <c r="AZ2366" s="331">
        <f>SQRT(($R2366-Infrastructure!J$7)^2+($S2366-Infrastructure!K$7)^2)</f>
        <v>20.502195</v>
      </c>
      <c r="BA2366" s="331">
        <f>SQRT(($R2366-Infrastructure!J$8)^2+($S2366-Infrastructure!K$8)^2)</f>
        <v>30.10149498</v>
      </c>
      <c r="BB2366" s="331">
        <f>SQRT(($R2366-Infrastructure!J$9)^2+($S2366-Infrastructure!K$9)^2)</f>
        <v>40.3238143</v>
      </c>
      <c r="BC2366" s="331">
        <f>SQRT(($R2366-Infrastructure!J$10)^2+($S2366-Infrastructure!K$10)^2)</f>
        <v>42.72001873</v>
      </c>
      <c r="BD2366" s="331">
        <f>SQRT(($R2366-Infrastructure!J$11)^2+($S2366-Infrastructure!K$11)^2)</f>
        <v>49.56853841</v>
      </c>
      <c r="BE2366" s="333">
        <f>SQRT(($R2366-Infrastructure!J$12)^2+($S2366-Infrastructure!K$12)^2)</f>
        <v>59.51890456</v>
      </c>
      <c r="BF2366" s="330">
        <f t="shared" si="161"/>
        <v>5.10881591</v>
      </c>
      <c r="BG2366" s="333">
        <f t="shared" si="162"/>
        <v>59.51890456</v>
      </c>
      <c r="BH2366" s="1119"/>
      <c r="BI2366" s="319" t="str">
        <f t="shared" ref="BI2366:BR2366" si="1586">IF(ISNUMBER(FIND(BI$3, $CO2366)), "Y", "")</f>
        <v/>
      </c>
      <c r="BJ2366" s="319" t="str">
        <f t="shared" si="1586"/>
        <v/>
      </c>
      <c r="BK2366" s="319" t="str">
        <f t="shared" si="1586"/>
        <v/>
      </c>
      <c r="BL2366" s="319" t="str">
        <f t="shared" si="1586"/>
        <v/>
      </c>
      <c r="BM2366" s="319" t="str">
        <f t="shared" si="1586"/>
        <v/>
      </c>
      <c r="BN2366" s="319" t="str">
        <f t="shared" si="1586"/>
        <v/>
      </c>
      <c r="BO2366" s="319" t="str">
        <f t="shared" si="1586"/>
        <v/>
      </c>
      <c r="BP2366" s="319" t="str">
        <f t="shared" si="1586"/>
        <v/>
      </c>
      <c r="BQ2366" s="319" t="str">
        <f t="shared" si="1586"/>
        <v/>
      </c>
      <c r="BR2366" s="319" t="str">
        <f t="shared" si="1586"/>
        <v/>
      </c>
      <c r="BS2366" s="330">
        <f t="shared" si="185"/>
        <v>0</v>
      </c>
      <c r="BT2366" s="331">
        <f t="shared" si="170"/>
        <v>0</v>
      </c>
      <c r="BU2366" s="920"/>
      <c r="BV2366" s="903" t="str">
        <f t="shared" si="1244"/>
        <v/>
      </c>
      <c r="BW2366" s="908"/>
      <c r="BX2366" s="908"/>
      <c r="BY2366" s="331" t="b">
        <f t="shared" si="201"/>
        <v>0</v>
      </c>
      <c r="BZ2366" s="331"/>
      <c r="CA2366" s="462" t="str">
        <f t="shared" ref="CA2366:CJ2366" si="1587">IF(ISNUMBER(FIND(BI$3, $CP2366)), "Y", "")</f>
        <v/>
      </c>
      <c r="CB2366" s="319" t="str">
        <f t="shared" si="1587"/>
        <v/>
      </c>
      <c r="CC2366" s="319" t="str">
        <f t="shared" si="1587"/>
        <v/>
      </c>
      <c r="CD2366" s="319" t="str">
        <f t="shared" si="1587"/>
        <v/>
      </c>
      <c r="CE2366" s="319" t="str">
        <f t="shared" si="1587"/>
        <v/>
      </c>
      <c r="CF2366" s="319" t="str">
        <f t="shared" si="1587"/>
        <v/>
      </c>
      <c r="CG2366" s="319" t="str">
        <f t="shared" si="1587"/>
        <v/>
      </c>
      <c r="CH2366" s="319" t="str">
        <f t="shared" si="1587"/>
        <v/>
      </c>
      <c r="CI2366" s="319" t="str">
        <f t="shared" si="1587"/>
        <v/>
      </c>
      <c r="CJ2366" s="319" t="str">
        <f t="shared" si="1587"/>
        <v/>
      </c>
      <c r="CK2366" s="342">
        <f t="shared" si="182"/>
        <v>0</v>
      </c>
      <c r="CL2366" s="333">
        <f t="shared" si="183"/>
        <v>0</v>
      </c>
      <c r="CM2366" s="1079"/>
      <c r="CN2366" s="1005"/>
      <c r="CO2366" s="1005"/>
      <c r="CP2366" s="1005"/>
    </row>
    <row r="2367">
      <c r="A2367" s="1257"/>
      <c r="B2367" s="1113"/>
      <c r="C2367" s="1107"/>
      <c r="D2367" s="103"/>
      <c r="E2367" s="1137"/>
      <c r="F2367" s="112"/>
      <c r="G2367" s="1110"/>
      <c r="H2367" s="1138"/>
      <c r="I2367" s="1138"/>
      <c r="J2367" s="1139"/>
      <c r="K2367" s="1111"/>
      <c r="L2367" s="1112"/>
      <c r="M2367" s="1113"/>
      <c r="N2367" s="110"/>
      <c r="O2367" s="1140"/>
      <c r="P2367" s="1115"/>
      <c r="Q2367" s="1116"/>
      <c r="R2367" s="1141"/>
      <c r="S2367" s="1113"/>
      <c r="T2367" s="1143"/>
      <c r="U2367" s="1108"/>
      <c r="V2367" s="1108"/>
      <c r="W2367" s="1108"/>
      <c r="X2367" s="1108"/>
      <c r="Y2367" s="1108"/>
      <c r="Z2367" s="1114"/>
      <c r="AA2367" s="1114"/>
      <c r="AB2367" s="1114"/>
      <c r="AC2367" s="1117"/>
      <c r="AD2367" s="1115"/>
      <c r="AE2367" s="1115"/>
      <c r="AF2367" s="1115"/>
      <c r="AG2367" s="1115"/>
      <c r="AH2367" s="1115"/>
      <c r="AI2367" s="1115"/>
      <c r="AJ2367" s="1117"/>
      <c r="AK2367" s="1118"/>
      <c r="AL2367" s="1115"/>
      <c r="AM2367" s="1115"/>
      <c r="AN2367" s="1115"/>
      <c r="AO2367" s="1115"/>
      <c r="AP2367" s="1115"/>
      <c r="AQ2367" s="1115"/>
      <c r="AR2367" s="1115"/>
      <c r="AS2367" s="1117"/>
      <c r="AT2367" s="1196" t="str">
        <f t="shared" si="428"/>
        <v/>
      </c>
      <c r="AU2367" s="1193"/>
      <c r="AV2367" s="330">
        <f>SQRT(($R2367-Infrastructure!J$3)^2+($S2367-Infrastructure!K$3)^2)</f>
        <v>28.90155705</v>
      </c>
      <c r="AW2367" s="331">
        <f>SQRT(($R2367-Infrastructure!J$4)^2+($S2367-Infrastructure!K$4)^2)</f>
        <v>17.80252791</v>
      </c>
      <c r="AX2367" s="331">
        <f>SQRT(($R2367-Infrastructure!J$5)^2+($S2367-Infrastructure!K$5)^2)</f>
        <v>5.10881591</v>
      </c>
      <c r="AY2367" s="331">
        <f>SQRT(($R2367-Infrastructure!J$6)^2+($S2367-Infrastructure!K$6)^2)</f>
        <v>10.10445446</v>
      </c>
      <c r="AZ2367" s="331">
        <f>SQRT(($R2367-Infrastructure!J$7)^2+($S2367-Infrastructure!K$7)^2)</f>
        <v>20.502195</v>
      </c>
      <c r="BA2367" s="331">
        <f>SQRT(($R2367-Infrastructure!J$8)^2+($S2367-Infrastructure!K$8)^2)</f>
        <v>30.10149498</v>
      </c>
      <c r="BB2367" s="331">
        <f>SQRT(($R2367-Infrastructure!J$9)^2+($S2367-Infrastructure!K$9)^2)</f>
        <v>40.3238143</v>
      </c>
      <c r="BC2367" s="331">
        <f>SQRT(($R2367-Infrastructure!J$10)^2+($S2367-Infrastructure!K$10)^2)</f>
        <v>42.72001873</v>
      </c>
      <c r="BD2367" s="331">
        <f>SQRT(($R2367-Infrastructure!J$11)^2+($S2367-Infrastructure!K$11)^2)</f>
        <v>49.56853841</v>
      </c>
      <c r="BE2367" s="333">
        <f>SQRT(($R2367-Infrastructure!J$12)^2+($S2367-Infrastructure!K$12)^2)</f>
        <v>59.51890456</v>
      </c>
      <c r="BF2367" s="330">
        <f t="shared" si="161"/>
        <v>5.10881591</v>
      </c>
      <c r="BG2367" s="333">
        <f t="shared" si="162"/>
        <v>59.51890456</v>
      </c>
      <c r="BH2367" s="1119"/>
      <c r="BI2367" s="319" t="str">
        <f t="shared" ref="BI2367:BR2367" si="1588">IF(ISNUMBER(FIND(BI$3, $CO2367)), "Y", "")</f>
        <v/>
      </c>
      <c r="BJ2367" s="319" t="str">
        <f t="shared" si="1588"/>
        <v/>
      </c>
      <c r="BK2367" s="319" t="str">
        <f t="shared" si="1588"/>
        <v/>
      </c>
      <c r="BL2367" s="319" t="str">
        <f t="shared" si="1588"/>
        <v/>
      </c>
      <c r="BM2367" s="319" t="str">
        <f t="shared" si="1588"/>
        <v/>
      </c>
      <c r="BN2367" s="319" t="str">
        <f t="shared" si="1588"/>
        <v/>
      </c>
      <c r="BO2367" s="319" t="str">
        <f t="shared" si="1588"/>
        <v/>
      </c>
      <c r="BP2367" s="319" t="str">
        <f t="shared" si="1588"/>
        <v/>
      </c>
      <c r="BQ2367" s="319" t="str">
        <f t="shared" si="1588"/>
        <v/>
      </c>
      <c r="BR2367" s="319" t="str">
        <f t="shared" si="1588"/>
        <v/>
      </c>
      <c r="BS2367" s="330">
        <f t="shared" si="185"/>
        <v>0</v>
      </c>
      <c r="BT2367" s="331">
        <f t="shared" si="170"/>
        <v>0</v>
      </c>
      <c r="BU2367" s="920"/>
      <c r="BV2367" s="903" t="str">
        <f t="shared" si="1244"/>
        <v/>
      </c>
      <c r="BW2367" s="908"/>
      <c r="BX2367" s="908"/>
      <c r="BY2367" s="331" t="b">
        <f t="shared" si="201"/>
        <v>0</v>
      </c>
      <c r="BZ2367" s="331"/>
      <c r="CA2367" s="462" t="str">
        <f t="shared" ref="CA2367:CJ2367" si="1589">IF(ISNUMBER(FIND(BI$3, $CP2367)), "Y", "")</f>
        <v/>
      </c>
      <c r="CB2367" s="319" t="str">
        <f t="shared" si="1589"/>
        <v/>
      </c>
      <c r="CC2367" s="319" t="str">
        <f t="shared" si="1589"/>
        <v/>
      </c>
      <c r="CD2367" s="319" t="str">
        <f t="shared" si="1589"/>
        <v/>
      </c>
      <c r="CE2367" s="319" t="str">
        <f t="shared" si="1589"/>
        <v/>
      </c>
      <c r="CF2367" s="319" t="str">
        <f t="shared" si="1589"/>
        <v/>
      </c>
      <c r="CG2367" s="319" t="str">
        <f t="shared" si="1589"/>
        <v/>
      </c>
      <c r="CH2367" s="319" t="str">
        <f t="shared" si="1589"/>
        <v/>
      </c>
      <c r="CI2367" s="319" t="str">
        <f t="shared" si="1589"/>
        <v/>
      </c>
      <c r="CJ2367" s="319" t="str">
        <f t="shared" si="1589"/>
        <v/>
      </c>
      <c r="CK2367" s="342">
        <f t="shared" si="182"/>
        <v>0</v>
      </c>
      <c r="CL2367" s="333">
        <f t="shared" si="183"/>
        <v>0</v>
      </c>
      <c r="CM2367" s="1079"/>
      <c r="CN2367" s="1005"/>
      <c r="CO2367" s="1005"/>
      <c r="CP2367" s="1005"/>
    </row>
    <row r="2368">
      <c r="A2368" s="1257"/>
      <c r="B2368" s="1113"/>
      <c r="C2368" s="1107"/>
      <c r="D2368" s="103"/>
      <c r="E2368" s="1137"/>
      <c r="F2368" s="112"/>
      <c r="G2368" s="1110"/>
      <c r="H2368" s="1138"/>
      <c r="I2368" s="1138"/>
      <c r="J2368" s="1139"/>
      <c r="K2368" s="1111"/>
      <c r="L2368" s="1112"/>
      <c r="M2368" s="1113"/>
      <c r="N2368" s="110"/>
      <c r="O2368" s="1140"/>
      <c r="P2368" s="1115"/>
      <c r="Q2368" s="1116"/>
      <c r="R2368" s="1141"/>
      <c r="S2368" s="1113"/>
      <c r="T2368" s="1143"/>
      <c r="U2368" s="1108"/>
      <c r="V2368" s="1108"/>
      <c r="W2368" s="1108"/>
      <c r="X2368" s="1108"/>
      <c r="Y2368" s="1108"/>
      <c r="Z2368" s="1114"/>
      <c r="AA2368" s="1114"/>
      <c r="AB2368" s="1114"/>
      <c r="AC2368" s="1117"/>
      <c r="AD2368" s="1115"/>
      <c r="AE2368" s="1115"/>
      <c r="AF2368" s="1115"/>
      <c r="AG2368" s="1115"/>
      <c r="AH2368" s="1115"/>
      <c r="AI2368" s="1115"/>
      <c r="AJ2368" s="1117"/>
      <c r="AK2368" s="1118"/>
      <c r="AL2368" s="1115"/>
      <c r="AM2368" s="1115"/>
      <c r="AN2368" s="1115"/>
      <c r="AO2368" s="1115"/>
      <c r="AP2368" s="1115"/>
      <c r="AQ2368" s="1115"/>
      <c r="AR2368" s="1115"/>
      <c r="AS2368" s="1117"/>
      <c r="AT2368" s="1196" t="str">
        <f t="shared" si="428"/>
        <v/>
      </c>
      <c r="AU2368" s="1193"/>
      <c r="AV2368" s="330">
        <f>SQRT(($R2368-Infrastructure!J$3)^2+($S2368-Infrastructure!K$3)^2)</f>
        <v>28.90155705</v>
      </c>
      <c r="AW2368" s="331">
        <f>SQRT(($R2368-Infrastructure!J$4)^2+($S2368-Infrastructure!K$4)^2)</f>
        <v>17.80252791</v>
      </c>
      <c r="AX2368" s="331">
        <f>SQRT(($R2368-Infrastructure!J$5)^2+($S2368-Infrastructure!K$5)^2)</f>
        <v>5.10881591</v>
      </c>
      <c r="AY2368" s="331">
        <f>SQRT(($R2368-Infrastructure!J$6)^2+($S2368-Infrastructure!K$6)^2)</f>
        <v>10.10445446</v>
      </c>
      <c r="AZ2368" s="331">
        <f>SQRT(($R2368-Infrastructure!J$7)^2+($S2368-Infrastructure!K$7)^2)</f>
        <v>20.502195</v>
      </c>
      <c r="BA2368" s="331">
        <f>SQRT(($R2368-Infrastructure!J$8)^2+($S2368-Infrastructure!K$8)^2)</f>
        <v>30.10149498</v>
      </c>
      <c r="BB2368" s="331">
        <f>SQRT(($R2368-Infrastructure!J$9)^2+($S2368-Infrastructure!K$9)^2)</f>
        <v>40.3238143</v>
      </c>
      <c r="BC2368" s="331">
        <f>SQRT(($R2368-Infrastructure!J$10)^2+($S2368-Infrastructure!K$10)^2)</f>
        <v>42.72001873</v>
      </c>
      <c r="BD2368" s="331">
        <f>SQRT(($R2368-Infrastructure!J$11)^2+($S2368-Infrastructure!K$11)^2)</f>
        <v>49.56853841</v>
      </c>
      <c r="BE2368" s="333">
        <f>SQRT(($R2368-Infrastructure!J$12)^2+($S2368-Infrastructure!K$12)^2)</f>
        <v>59.51890456</v>
      </c>
      <c r="BF2368" s="330">
        <f t="shared" si="161"/>
        <v>5.10881591</v>
      </c>
      <c r="BG2368" s="333">
        <f t="shared" si="162"/>
        <v>59.51890456</v>
      </c>
      <c r="BH2368" s="1119"/>
      <c r="BI2368" s="319" t="str">
        <f t="shared" ref="BI2368:BR2368" si="1590">IF(ISNUMBER(FIND(BI$3, $CO2368)), "Y", "")</f>
        <v/>
      </c>
      <c r="BJ2368" s="319" t="str">
        <f t="shared" si="1590"/>
        <v/>
      </c>
      <c r="BK2368" s="319" t="str">
        <f t="shared" si="1590"/>
        <v/>
      </c>
      <c r="BL2368" s="319" t="str">
        <f t="shared" si="1590"/>
        <v/>
      </c>
      <c r="BM2368" s="319" t="str">
        <f t="shared" si="1590"/>
        <v/>
      </c>
      <c r="BN2368" s="319" t="str">
        <f t="shared" si="1590"/>
        <v/>
      </c>
      <c r="BO2368" s="319" t="str">
        <f t="shared" si="1590"/>
        <v/>
      </c>
      <c r="BP2368" s="319" t="str">
        <f t="shared" si="1590"/>
        <v/>
      </c>
      <c r="BQ2368" s="319" t="str">
        <f t="shared" si="1590"/>
        <v/>
      </c>
      <c r="BR2368" s="319" t="str">
        <f t="shared" si="1590"/>
        <v/>
      </c>
      <c r="BS2368" s="330">
        <f t="shared" si="185"/>
        <v>0</v>
      </c>
      <c r="BT2368" s="331">
        <f t="shared" si="170"/>
        <v>0</v>
      </c>
      <c r="BU2368" s="920"/>
      <c r="BV2368" s="903" t="str">
        <f t="shared" si="1244"/>
        <v/>
      </c>
      <c r="BW2368" s="908"/>
      <c r="BX2368" s="908"/>
      <c r="BY2368" s="331" t="b">
        <f t="shared" si="201"/>
        <v>0</v>
      </c>
      <c r="BZ2368" s="331"/>
      <c r="CA2368" s="462" t="str">
        <f t="shared" ref="CA2368:CJ2368" si="1591">IF(ISNUMBER(FIND(BI$3, $CP2368)), "Y", "")</f>
        <v/>
      </c>
      <c r="CB2368" s="319" t="str">
        <f t="shared" si="1591"/>
        <v/>
      </c>
      <c r="CC2368" s="319" t="str">
        <f t="shared" si="1591"/>
        <v/>
      </c>
      <c r="CD2368" s="319" t="str">
        <f t="shared" si="1591"/>
        <v/>
      </c>
      <c r="CE2368" s="319" t="str">
        <f t="shared" si="1591"/>
        <v/>
      </c>
      <c r="CF2368" s="319" t="str">
        <f t="shared" si="1591"/>
        <v/>
      </c>
      <c r="CG2368" s="319" t="str">
        <f t="shared" si="1591"/>
        <v/>
      </c>
      <c r="CH2368" s="319" t="str">
        <f t="shared" si="1591"/>
        <v/>
      </c>
      <c r="CI2368" s="319" t="str">
        <f t="shared" si="1591"/>
        <v/>
      </c>
      <c r="CJ2368" s="319" t="str">
        <f t="shared" si="1591"/>
        <v/>
      </c>
      <c r="CK2368" s="342">
        <f t="shared" si="182"/>
        <v>0</v>
      </c>
      <c r="CL2368" s="333">
        <f t="shared" si="183"/>
        <v>0</v>
      </c>
      <c r="CM2368" s="1079"/>
      <c r="CN2368" s="1005"/>
      <c r="CO2368" s="1005"/>
      <c r="CP2368" s="1005"/>
    </row>
    <row r="2369">
      <c r="A2369" s="1257"/>
      <c r="B2369" s="1113"/>
      <c r="C2369" s="1107"/>
      <c r="D2369" s="103"/>
      <c r="E2369" s="1137"/>
      <c r="F2369" s="112"/>
      <c r="G2369" s="1110"/>
      <c r="H2369" s="1138"/>
      <c r="I2369" s="1138"/>
      <c r="J2369" s="1139"/>
      <c r="K2369" s="1111"/>
      <c r="L2369" s="1112"/>
      <c r="M2369" s="1113"/>
      <c r="N2369" s="110"/>
      <c r="O2369" s="1140"/>
      <c r="P2369" s="1115"/>
      <c r="Q2369" s="1116"/>
      <c r="R2369" s="1141"/>
      <c r="S2369" s="1113"/>
      <c r="T2369" s="1143"/>
      <c r="U2369" s="1108"/>
      <c r="V2369" s="1108"/>
      <c r="W2369" s="1108"/>
      <c r="X2369" s="1108"/>
      <c r="Y2369" s="1108"/>
      <c r="Z2369" s="1114"/>
      <c r="AA2369" s="1114"/>
      <c r="AB2369" s="1114"/>
      <c r="AC2369" s="1117"/>
      <c r="AD2369" s="1115"/>
      <c r="AE2369" s="1115"/>
      <c r="AF2369" s="1115"/>
      <c r="AG2369" s="1115"/>
      <c r="AH2369" s="1115"/>
      <c r="AI2369" s="1115"/>
      <c r="AJ2369" s="1117"/>
      <c r="AK2369" s="1118"/>
      <c r="AL2369" s="1115"/>
      <c r="AM2369" s="1115"/>
      <c r="AN2369" s="1115"/>
      <c r="AO2369" s="1115"/>
      <c r="AP2369" s="1115"/>
      <c r="AQ2369" s="1115"/>
      <c r="AR2369" s="1115"/>
      <c r="AS2369" s="1117"/>
      <c r="AT2369" s="1196" t="str">
        <f t="shared" si="428"/>
        <v/>
      </c>
      <c r="AU2369" s="1193"/>
      <c r="AV2369" s="330">
        <f>SQRT(($R2369-Infrastructure!J$3)^2+($S2369-Infrastructure!K$3)^2)</f>
        <v>28.90155705</v>
      </c>
      <c r="AW2369" s="331">
        <f>SQRT(($R2369-Infrastructure!J$4)^2+($S2369-Infrastructure!K$4)^2)</f>
        <v>17.80252791</v>
      </c>
      <c r="AX2369" s="331">
        <f>SQRT(($R2369-Infrastructure!J$5)^2+($S2369-Infrastructure!K$5)^2)</f>
        <v>5.10881591</v>
      </c>
      <c r="AY2369" s="331">
        <f>SQRT(($R2369-Infrastructure!J$6)^2+($S2369-Infrastructure!K$6)^2)</f>
        <v>10.10445446</v>
      </c>
      <c r="AZ2369" s="331">
        <f>SQRT(($R2369-Infrastructure!J$7)^2+($S2369-Infrastructure!K$7)^2)</f>
        <v>20.502195</v>
      </c>
      <c r="BA2369" s="331">
        <f>SQRT(($R2369-Infrastructure!J$8)^2+($S2369-Infrastructure!K$8)^2)</f>
        <v>30.10149498</v>
      </c>
      <c r="BB2369" s="331">
        <f>SQRT(($R2369-Infrastructure!J$9)^2+($S2369-Infrastructure!K$9)^2)</f>
        <v>40.3238143</v>
      </c>
      <c r="BC2369" s="331">
        <f>SQRT(($R2369-Infrastructure!J$10)^2+($S2369-Infrastructure!K$10)^2)</f>
        <v>42.72001873</v>
      </c>
      <c r="BD2369" s="331">
        <f>SQRT(($R2369-Infrastructure!J$11)^2+($S2369-Infrastructure!K$11)^2)</f>
        <v>49.56853841</v>
      </c>
      <c r="BE2369" s="333">
        <f>SQRT(($R2369-Infrastructure!J$12)^2+($S2369-Infrastructure!K$12)^2)</f>
        <v>59.51890456</v>
      </c>
      <c r="BF2369" s="330">
        <f t="shared" si="161"/>
        <v>5.10881591</v>
      </c>
      <c r="BG2369" s="333">
        <f t="shared" si="162"/>
        <v>59.51890456</v>
      </c>
      <c r="BH2369" s="1119"/>
      <c r="BI2369" s="319" t="str">
        <f t="shared" ref="BI2369:BR2369" si="1592">IF(ISNUMBER(FIND(BI$3, $CO2369)), "Y", "")</f>
        <v/>
      </c>
      <c r="BJ2369" s="319" t="str">
        <f t="shared" si="1592"/>
        <v/>
      </c>
      <c r="BK2369" s="319" t="str">
        <f t="shared" si="1592"/>
        <v/>
      </c>
      <c r="BL2369" s="319" t="str">
        <f t="shared" si="1592"/>
        <v/>
      </c>
      <c r="BM2369" s="319" t="str">
        <f t="shared" si="1592"/>
        <v/>
      </c>
      <c r="BN2369" s="319" t="str">
        <f t="shared" si="1592"/>
        <v/>
      </c>
      <c r="BO2369" s="319" t="str">
        <f t="shared" si="1592"/>
        <v/>
      </c>
      <c r="BP2369" s="319" t="str">
        <f t="shared" si="1592"/>
        <v/>
      </c>
      <c r="BQ2369" s="319" t="str">
        <f t="shared" si="1592"/>
        <v/>
      </c>
      <c r="BR2369" s="319" t="str">
        <f t="shared" si="1592"/>
        <v/>
      </c>
      <c r="BS2369" s="330">
        <f t="shared" si="185"/>
        <v>0</v>
      </c>
      <c r="BT2369" s="331">
        <f t="shared" si="170"/>
        <v>0</v>
      </c>
      <c r="BU2369" s="920"/>
      <c r="BV2369" s="903" t="str">
        <f t="shared" si="1244"/>
        <v/>
      </c>
      <c r="BW2369" s="908"/>
      <c r="BX2369" s="908"/>
      <c r="BY2369" s="331" t="b">
        <f t="shared" si="201"/>
        <v>0</v>
      </c>
      <c r="BZ2369" s="331"/>
      <c r="CA2369" s="462" t="str">
        <f t="shared" ref="CA2369:CJ2369" si="1593">IF(ISNUMBER(FIND(BI$3, $CP2369)), "Y", "")</f>
        <v/>
      </c>
      <c r="CB2369" s="319" t="str">
        <f t="shared" si="1593"/>
        <v/>
      </c>
      <c r="CC2369" s="319" t="str">
        <f t="shared" si="1593"/>
        <v/>
      </c>
      <c r="CD2369" s="319" t="str">
        <f t="shared" si="1593"/>
        <v/>
      </c>
      <c r="CE2369" s="319" t="str">
        <f t="shared" si="1593"/>
        <v/>
      </c>
      <c r="CF2369" s="319" t="str">
        <f t="shared" si="1593"/>
        <v/>
      </c>
      <c r="CG2369" s="319" t="str">
        <f t="shared" si="1593"/>
        <v/>
      </c>
      <c r="CH2369" s="319" t="str">
        <f t="shared" si="1593"/>
        <v/>
      </c>
      <c r="CI2369" s="319" t="str">
        <f t="shared" si="1593"/>
        <v/>
      </c>
      <c r="CJ2369" s="319" t="str">
        <f t="shared" si="1593"/>
        <v/>
      </c>
      <c r="CK2369" s="342">
        <f t="shared" si="182"/>
        <v>0</v>
      </c>
      <c r="CL2369" s="333">
        <f t="shared" si="183"/>
        <v>0</v>
      </c>
      <c r="CM2369" s="1079"/>
      <c r="CN2369" s="1005"/>
      <c r="CO2369" s="1005"/>
      <c r="CP2369" s="1005"/>
    </row>
    <row r="2370">
      <c r="A2370" s="1257"/>
      <c r="B2370" s="1113"/>
      <c r="C2370" s="1107"/>
      <c r="D2370" s="103"/>
      <c r="E2370" s="1137"/>
      <c r="F2370" s="112"/>
      <c r="G2370" s="1110"/>
      <c r="H2370" s="1138"/>
      <c r="I2370" s="1138"/>
      <c r="J2370" s="1139"/>
      <c r="K2370" s="1111"/>
      <c r="L2370" s="1112"/>
      <c r="M2370" s="1113"/>
      <c r="N2370" s="110"/>
      <c r="O2370" s="1140"/>
      <c r="P2370" s="1115"/>
      <c r="Q2370" s="1116"/>
      <c r="R2370" s="1141"/>
      <c r="S2370" s="1113"/>
      <c r="T2370" s="1143"/>
      <c r="U2370" s="1108"/>
      <c r="V2370" s="1108"/>
      <c r="W2370" s="1108"/>
      <c r="X2370" s="1108"/>
      <c r="Y2370" s="1108"/>
      <c r="Z2370" s="1114"/>
      <c r="AA2370" s="1114"/>
      <c r="AB2370" s="1114"/>
      <c r="AC2370" s="1117"/>
      <c r="AD2370" s="1115"/>
      <c r="AE2370" s="1115"/>
      <c r="AF2370" s="1115"/>
      <c r="AG2370" s="1115"/>
      <c r="AH2370" s="1115"/>
      <c r="AI2370" s="1115"/>
      <c r="AJ2370" s="1117"/>
      <c r="AK2370" s="1118"/>
      <c r="AL2370" s="1115"/>
      <c r="AM2370" s="1115"/>
      <c r="AN2370" s="1115"/>
      <c r="AO2370" s="1115"/>
      <c r="AP2370" s="1115"/>
      <c r="AQ2370" s="1115"/>
      <c r="AR2370" s="1115"/>
      <c r="AS2370" s="1117"/>
      <c r="AT2370" s="1196" t="str">
        <f t="shared" si="428"/>
        <v/>
      </c>
      <c r="AU2370" s="1193"/>
      <c r="AV2370" s="330">
        <f>SQRT(($R2370-Infrastructure!J$3)^2+($S2370-Infrastructure!K$3)^2)</f>
        <v>28.90155705</v>
      </c>
      <c r="AW2370" s="331">
        <f>SQRT(($R2370-Infrastructure!J$4)^2+($S2370-Infrastructure!K$4)^2)</f>
        <v>17.80252791</v>
      </c>
      <c r="AX2370" s="331">
        <f>SQRT(($R2370-Infrastructure!J$5)^2+($S2370-Infrastructure!K$5)^2)</f>
        <v>5.10881591</v>
      </c>
      <c r="AY2370" s="331">
        <f>SQRT(($R2370-Infrastructure!J$6)^2+($S2370-Infrastructure!K$6)^2)</f>
        <v>10.10445446</v>
      </c>
      <c r="AZ2370" s="331">
        <f>SQRT(($R2370-Infrastructure!J$7)^2+($S2370-Infrastructure!K$7)^2)</f>
        <v>20.502195</v>
      </c>
      <c r="BA2370" s="331">
        <f>SQRT(($R2370-Infrastructure!J$8)^2+($S2370-Infrastructure!K$8)^2)</f>
        <v>30.10149498</v>
      </c>
      <c r="BB2370" s="331">
        <f>SQRT(($R2370-Infrastructure!J$9)^2+($S2370-Infrastructure!K$9)^2)</f>
        <v>40.3238143</v>
      </c>
      <c r="BC2370" s="331">
        <f>SQRT(($R2370-Infrastructure!J$10)^2+($S2370-Infrastructure!K$10)^2)</f>
        <v>42.72001873</v>
      </c>
      <c r="BD2370" s="331">
        <f>SQRT(($R2370-Infrastructure!J$11)^2+($S2370-Infrastructure!K$11)^2)</f>
        <v>49.56853841</v>
      </c>
      <c r="BE2370" s="333">
        <f>SQRT(($R2370-Infrastructure!J$12)^2+($S2370-Infrastructure!K$12)^2)</f>
        <v>59.51890456</v>
      </c>
      <c r="BF2370" s="330">
        <f t="shared" si="161"/>
        <v>5.10881591</v>
      </c>
      <c r="BG2370" s="333">
        <f t="shared" si="162"/>
        <v>59.51890456</v>
      </c>
      <c r="BH2370" s="1119"/>
      <c r="BI2370" s="319" t="str">
        <f t="shared" ref="BI2370:BR2370" si="1594">IF(ISNUMBER(FIND(BI$3, $CO2370)), "Y", "")</f>
        <v/>
      </c>
      <c r="BJ2370" s="319" t="str">
        <f t="shared" si="1594"/>
        <v/>
      </c>
      <c r="BK2370" s="319" t="str">
        <f t="shared" si="1594"/>
        <v/>
      </c>
      <c r="BL2370" s="319" t="str">
        <f t="shared" si="1594"/>
        <v/>
      </c>
      <c r="BM2370" s="319" t="str">
        <f t="shared" si="1594"/>
        <v/>
      </c>
      <c r="BN2370" s="319" t="str">
        <f t="shared" si="1594"/>
        <v/>
      </c>
      <c r="BO2370" s="319" t="str">
        <f t="shared" si="1594"/>
        <v/>
      </c>
      <c r="BP2370" s="319" t="str">
        <f t="shared" si="1594"/>
        <v/>
      </c>
      <c r="BQ2370" s="319" t="str">
        <f t="shared" si="1594"/>
        <v/>
      </c>
      <c r="BR2370" s="319" t="str">
        <f t="shared" si="1594"/>
        <v/>
      </c>
      <c r="BS2370" s="330">
        <f t="shared" si="185"/>
        <v>0</v>
      </c>
      <c r="BT2370" s="331">
        <f t="shared" si="170"/>
        <v>0</v>
      </c>
      <c r="BU2370" s="920"/>
      <c r="BV2370" s="903" t="str">
        <f t="shared" si="1244"/>
        <v/>
      </c>
      <c r="BW2370" s="908"/>
      <c r="BX2370" s="908"/>
      <c r="BY2370" s="331" t="b">
        <f t="shared" si="201"/>
        <v>0</v>
      </c>
      <c r="BZ2370" s="331"/>
      <c r="CA2370" s="462" t="str">
        <f t="shared" ref="CA2370:CJ2370" si="1595">IF(ISNUMBER(FIND(BI$3, $CP2370)), "Y", "")</f>
        <v/>
      </c>
      <c r="CB2370" s="319" t="str">
        <f t="shared" si="1595"/>
        <v/>
      </c>
      <c r="CC2370" s="319" t="str">
        <f t="shared" si="1595"/>
        <v/>
      </c>
      <c r="CD2370" s="319" t="str">
        <f t="shared" si="1595"/>
        <v/>
      </c>
      <c r="CE2370" s="319" t="str">
        <f t="shared" si="1595"/>
        <v/>
      </c>
      <c r="CF2370" s="319" t="str">
        <f t="shared" si="1595"/>
        <v/>
      </c>
      <c r="CG2370" s="319" t="str">
        <f t="shared" si="1595"/>
        <v/>
      </c>
      <c r="CH2370" s="319" t="str">
        <f t="shared" si="1595"/>
        <v/>
      </c>
      <c r="CI2370" s="319" t="str">
        <f t="shared" si="1595"/>
        <v/>
      </c>
      <c r="CJ2370" s="319" t="str">
        <f t="shared" si="1595"/>
        <v/>
      </c>
      <c r="CK2370" s="342">
        <f t="shared" si="182"/>
        <v>0</v>
      </c>
      <c r="CL2370" s="333">
        <f t="shared" si="183"/>
        <v>0</v>
      </c>
      <c r="CM2370" s="1079"/>
      <c r="CN2370" s="1005"/>
      <c r="CO2370" s="1005"/>
      <c r="CP2370" s="1005"/>
    </row>
    <row r="2371">
      <c r="A2371" s="1257"/>
      <c r="B2371" s="1113"/>
      <c r="C2371" s="1107"/>
      <c r="D2371" s="103"/>
      <c r="E2371" s="1137"/>
      <c r="F2371" s="112"/>
      <c r="G2371" s="1110"/>
      <c r="H2371" s="1138"/>
      <c r="I2371" s="1138"/>
      <c r="J2371" s="1139"/>
      <c r="K2371" s="1111"/>
      <c r="L2371" s="1112"/>
      <c r="M2371" s="1113"/>
      <c r="N2371" s="110"/>
      <c r="O2371" s="1140"/>
      <c r="P2371" s="1115"/>
      <c r="Q2371" s="1116"/>
      <c r="R2371" s="1141"/>
      <c r="S2371" s="1113"/>
      <c r="T2371" s="1143"/>
      <c r="U2371" s="1108"/>
      <c r="V2371" s="1108"/>
      <c r="W2371" s="1108"/>
      <c r="X2371" s="1108"/>
      <c r="Y2371" s="1108"/>
      <c r="Z2371" s="1114"/>
      <c r="AA2371" s="1114"/>
      <c r="AB2371" s="1114"/>
      <c r="AC2371" s="1117"/>
      <c r="AD2371" s="1115"/>
      <c r="AE2371" s="1115"/>
      <c r="AF2371" s="1115"/>
      <c r="AG2371" s="1115"/>
      <c r="AH2371" s="1115"/>
      <c r="AI2371" s="1115"/>
      <c r="AJ2371" s="1117"/>
      <c r="AK2371" s="1118"/>
      <c r="AL2371" s="1115"/>
      <c r="AM2371" s="1115"/>
      <c r="AN2371" s="1115"/>
      <c r="AO2371" s="1115"/>
      <c r="AP2371" s="1115"/>
      <c r="AQ2371" s="1115"/>
      <c r="AR2371" s="1115"/>
      <c r="AS2371" s="1117"/>
      <c r="AT2371" s="1196" t="str">
        <f t="shared" si="428"/>
        <v/>
      </c>
      <c r="AU2371" s="1193"/>
      <c r="AV2371" s="330">
        <f>SQRT(($R2371-Infrastructure!J$3)^2+($S2371-Infrastructure!K$3)^2)</f>
        <v>28.90155705</v>
      </c>
      <c r="AW2371" s="331">
        <f>SQRT(($R2371-Infrastructure!J$4)^2+($S2371-Infrastructure!K$4)^2)</f>
        <v>17.80252791</v>
      </c>
      <c r="AX2371" s="331">
        <f>SQRT(($R2371-Infrastructure!J$5)^2+($S2371-Infrastructure!K$5)^2)</f>
        <v>5.10881591</v>
      </c>
      <c r="AY2371" s="331">
        <f>SQRT(($R2371-Infrastructure!J$6)^2+($S2371-Infrastructure!K$6)^2)</f>
        <v>10.10445446</v>
      </c>
      <c r="AZ2371" s="331">
        <f>SQRT(($R2371-Infrastructure!J$7)^2+($S2371-Infrastructure!K$7)^2)</f>
        <v>20.502195</v>
      </c>
      <c r="BA2371" s="331">
        <f>SQRT(($R2371-Infrastructure!J$8)^2+($S2371-Infrastructure!K$8)^2)</f>
        <v>30.10149498</v>
      </c>
      <c r="BB2371" s="331">
        <f>SQRT(($R2371-Infrastructure!J$9)^2+($S2371-Infrastructure!K$9)^2)</f>
        <v>40.3238143</v>
      </c>
      <c r="BC2371" s="331">
        <f>SQRT(($R2371-Infrastructure!J$10)^2+($S2371-Infrastructure!K$10)^2)</f>
        <v>42.72001873</v>
      </c>
      <c r="BD2371" s="331">
        <f>SQRT(($R2371-Infrastructure!J$11)^2+($S2371-Infrastructure!K$11)^2)</f>
        <v>49.56853841</v>
      </c>
      <c r="BE2371" s="333">
        <f>SQRT(($R2371-Infrastructure!J$12)^2+($S2371-Infrastructure!K$12)^2)</f>
        <v>59.51890456</v>
      </c>
      <c r="BF2371" s="330">
        <f t="shared" si="161"/>
        <v>5.10881591</v>
      </c>
      <c r="BG2371" s="333">
        <f t="shared" si="162"/>
        <v>59.51890456</v>
      </c>
      <c r="BH2371" s="1119"/>
      <c r="BI2371" s="319" t="str">
        <f t="shared" ref="BI2371:BR2371" si="1596">IF(ISNUMBER(FIND(BI$3, $CO2371)), "Y", "")</f>
        <v/>
      </c>
      <c r="BJ2371" s="319" t="str">
        <f t="shared" si="1596"/>
        <v/>
      </c>
      <c r="BK2371" s="319" t="str">
        <f t="shared" si="1596"/>
        <v/>
      </c>
      <c r="BL2371" s="319" t="str">
        <f t="shared" si="1596"/>
        <v/>
      </c>
      <c r="BM2371" s="319" t="str">
        <f t="shared" si="1596"/>
        <v/>
      </c>
      <c r="BN2371" s="319" t="str">
        <f t="shared" si="1596"/>
        <v/>
      </c>
      <c r="BO2371" s="319" t="str">
        <f t="shared" si="1596"/>
        <v/>
      </c>
      <c r="BP2371" s="319" t="str">
        <f t="shared" si="1596"/>
        <v/>
      </c>
      <c r="BQ2371" s="319" t="str">
        <f t="shared" si="1596"/>
        <v/>
      </c>
      <c r="BR2371" s="319" t="str">
        <f t="shared" si="1596"/>
        <v/>
      </c>
      <c r="BS2371" s="330">
        <f t="shared" si="185"/>
        <v>0</v>
      </c>
      <c r="BT2371" s="331">
        <f t="shared" si="170"/>
        <v>0</v>
      </c>
      <c r="BU2371" s="920"/>
      <c r="BV2371" s="903" t="str">
        <f t="shared" si="1244"/>
        <v/>
      </c>
      <c r="BW2371" s="908"/>
      <c r="BX2371" s="908"/>
      <c r="BY2371" s="331" t="b">
        <f t="shared" si="201"/>
        <v>0</v>
      </c>
      <c r="BZ2371" s="331"/>
      <c r="CA2371" s="462" t="str">
        <f t="shared" ref="CA2371:CJ2371" si="1597">IF(ISNUMBER(FIND(BI$3, $CP2371)), "Y", "")</f>
        <v/>
      </c>
      <c r="CB2371" s="319" t="str">
        <f t="shared" si="1597"/>
        <v/>
      </c>
      <c r="CC2371" s="319" t="str">
        <f t="shared" si="1597"/>
        <v/>
      </c>
      <c r="CD2371" s="319" t="str">
        <f t="shared" si="1597"/>
        <v/>
      </c>
      <c r="CE2371" s="319" t="str">
        <f t="shared" si="1597"/>
        <v/>
      </c>
      <c r="CF2371" s="319" t="str">
        <f t="shared" si="1597"/>
        <v/>
      </c>
      <c r="CG2371" s="319" t="str">
        <f t="shared" si="1597"/>
        <v/>
      </c>
      <c r="CH2371" s="319" t="str">
        <f t="shared" si="1597"/>
        <v/>
      </c>
      <c r="CI2371" s="319" t="str">
        <f t="shared" si="1597"/>
        <v/>
      </c>
      <c r="CJ2371" s="319" t="str">
        <f t="shared" si="1597"/>
        <v/>
      </c>
      <c r="CK2371" s="342">
        <f t="shared" si="182"/>
        <v>0</v>
      </c>
      <c r="CL2371" s="333">
        <f t="shared" si="183"/>
        <v>0</v>
      </c>
      <c r="CM2371" s="1079"/>
      <c r="CN2371" s="1005"/>
      <c r="CO2371" s="1005"/>
      <c r="CP2371" s="1005"/>
    </row>
    <row r="2372">
      <c r="A2372" s="1257"/>
      <c r="B2372" s="1113"/>
      <c r="C2372" s="1107"/>
      <c r="D2372" s="103"/>
      <c r="E2372" s="1137"/>
      <c r="F2372" s="112"/>
      <c r="G2372" s="1110"/>
      <c r="H2372" s="1138"/>
      <c r="I2372" s="1138"/>
      <c r="J2372" s="1139"/>
      <c r="K2372" s="1111"/>
      <c r="L2372" s="1112"/>
      <c r="M2372" s="1113"/>
      <c r="N2372" s="110"/>
      <c r="O2372" s="1140"/>
      <c r="P2372" s="1115"/>
      <c r="Q2372" s="1116"/>
      <c r="R2372" s="1141"/>
      <c r="S2372" s="1113"/>
      <c r="T2372" s="1143"/>
      <c r="U2372" s="1108"/>
      <c r="V2372" s="1108"/>
      <c r="W2372" s="1108"/>
      <c r="X2372" s="1108"/>
      <c r="Y2372" s="1108"/>
      <c r="Z2372" s="1114"/>
      <c r="AA2372" s="1114"/>
      <c r="AB2372" s="1114"/>
      <c r="AC2372" s="1117"/>
      <c r="AD2372" s="1115"/>
      <c r="AE2372" s="1115"/>
      <c r="AF2372" s="1115"/>
      <c r="AG2372" s="1115"/>
      <c r="AH2372" s="1115"/>
      <c r="AI2372" s="1115"/>
      <c r="AJ2372" s="1117"/>
      <c r="AK2372" s="1118"/>
      <c r="AL2372" s="1115"/>
      <c r="AM2372" s="1115"/>
      <c r="AN2372" s="1115"/>
      <c r="AO2372" s="1115"/>
      <c r="AP2372" s="1115"/>
      <c r="AQ2372" s="1115"/>
      <c r="AR2372" s="1115"/>
      <c r="AS2372" s="1117"/>
      <c r="AT2372" s="1196" t="str">
        <f t="shared" si="428"/>
        <v/>
      </c>
      <c r="AU2372" s="1193"/>
      <c r="AV2372" s="330">
        <f>SQRT(($R2372-Infrastructure!J$3)^2+($S2372-Infrastructure!K$3)^2)</f>
        <v>28.90155705</v>
      </c>
      <c r="AW2372" s="331">
        <f>SQRT(($R2372-Infrastructure!J$4)^2+($S2372-Infrastructure!K$4)^2)</f>
        <v>17.80252791</v>
      </c>
      <c r="AX2372" s="331">
        <f>SQRT(($R2372-Infrastructure!J$5)^2+($S2372-Infrastructure!K$5)^2)</f>
        <v>5.10881591</v>
      </c>
      <c r="AY2372" s="331">
        <f>SQRT(($R2372-Infrastructure!J$6)^2+($S2372-Infrastructure!K$6)^2)</f>
        <v>10.10445446</v>
      </c>
      <c r="AZ2372" s="331">
        <f>SQRT(($R2372-Infrastructure!J$7)^2+($S2372-Infrastructure!K$7)^2)</f>
        <v>20.502195</v>
      </c>
      <c r="BA2372" s="331">
        <f>SQRT(($R2372-Infrastructure!J$8)^2+($S2372-Infrastructure!K$8)^2)</f>
        <v>30.10149498</v>
      </c>
      <c r="BB2372" s="331">
        <f>SQRT(($R2372-Infrastructure!J$9)^2+($S2372-Infrastructure!K$9)^2)</f>
        <v>40.3238143</v>
      </c>
      <c r="BC2372" s="331">
        <f>SQRT(($R2372-Infrastructure!J$10)^2+($S2372-Infrastructure!K$10)^2)</f>
        <v>42.72001873</v>
      </c>
      <c r="BD2372" s="331">
        <f>SQRT(($R2372-Infrastructure!J$11)^2+($S2372-Infrastructure!K$11)^2)</f>
        <v>49.56853841</v>
      </c>
      <c r="BE2372" s="333">
        <f>SQRT(($R2372-Infrastructure!J$12)^2+($S2372-Infrastructure!K$12)^2)</f>
        <v>59.51890456</v>
      </c>
      <c r="BF2372" s="330">
        <f t="shared" si="161"/>
        <v>5.10881591</v>
      </c>
      <c r="BG2372" s="333">
        <f t="shared" si="162"/>
        <v>59.51890456</v>
      </c>
      <c r="BH2372" s="1119"/>
      <c r="BI2372" s="319" t="str">
        <f t="shared" ref="BI2372:BR2372" si="1598">IF(ISNUMBER(FIND(BI$3, $CO2372)), "Y", "")</f>
        <v/>
      </c>
      <c r="BJ2372" s="319" t="str">
        <f t="shared" si="1598"/>
        <v/>
      </c>
      <c r="BK2372" s="319" t="str">
        <f t="shared" si="1598"/>
        <v/>
      </c>
      <c r="BL2372" s="319" t="str">
        <f t="shared" si="1598"/>
        <v/>
      </c>
      <c r="BM2372" s="319" t="str">
        <f t="shared" si="1598"/>
        <v/>
      </c>
      <c r="BN2372" s="319" t="str">
        <f t="shared" si="1598"/>
        <v/>
      </c>
      <c r="BO2372" s="319" t="str">
        <f t="shared" si="1598"/>
        <v/>
      </c>
      <c r="BP2372" s="319" t="str">
        <f t="shared" si="1598"/>
        <v/>
      </c>
      <c r="BQ2372" s="319" t="str">
        <f t="shared" si="1598"/>
        <v/>
      </c>
      <c r="BR2372" s="319" t="str">
        <f t="shared" si="1598"/>
        <v/>
      </c>
      <c r="BS2372" s="330">
        <f t="shared" si="185"/>
        <v>0</v>
      </c>
      <c r="BT2372" s="331">
        <f t="shared" si="170"/>
        <v>0</v>
      </c>
      <c r="BU2372" s="920"/>
      <c r="BV2372" s="903" t="str">
        <f t="shared" si="1244"/>
        <v/>
      </c>
      <c r="BW2372" s="908"/>
      <c r="BX2372" s="908"/>
      <c r="BY2372" s="331" t="b">
        <f t="shared" si="201"/>
        <v>0</v>
      </c>
      <c r="BZ2372" s="331"/>
      <c r="CA2372" s="462" t="str">
        <f t="shared" ref="CA2372:CJ2372" si="1599">IF(ISNUMBER(FIND(BI$3, $CP2372)), "Y", "")</f>
        <v/>
      </c>
      <c r="CB2372" s="319" t="str">
        <f t="shared" si="1599"/>
        <v/>
      </c>
      <c r="CC2372" s="319" t="str">
        <f t="shared" si="1599"/>
        <v/>
      </c>
      <c r="CD2372" s="319" t="str">
        <f t="shared" si="1599"/>
        <v/>
      </c>
      <c r="CE2372" s="319" t="str">
        <f t="shared" si="1599"/>
        <v/>
      </c>
      <c r="CF2372" s="319" t="str">
        <f t="shared" si="1599"/>
        <v/>
      </c>
      <c r="CG2372" s="319" t="str">
        <f t="shared" si="1599"/>
        <v/>
      </c>
      <c r="CH2372" s="319" t="str">
        <f t="shared" si="1599"/>
        <v/>
      </c>
      <c r="CI2372" s="319" t="str">
        <f t="shared" si="1599"/>
        <v/>
      </c>
      <c r="CJ2372" s="319" t="str">
        <f t="shared" si="1599"/>
        <v/>
      </c>
      <c r="CK2372" s="342">
        <f t="shared" si="182"/>
        <v>0</v>
      </c>
      <c r="CL2372" s="333">
        <f t="shared" si="183"/>
        <v>0</v>
      </c>
      <c r="CM2372" s="1079"/>
      <c r="CN2372" s="1005"/>
      <c r="CO2372" s="1005"/>
      <c r="CP2372" s="1005"/>
    </row>
    <row r="2373">
      <c r="A2373" s="1257"/>
      <c r="B2373" s="1113"/>
      <c r="C2373" s="1107"/>
      <c r="D2373" s="103"/>
      <c r="E2373" s="1137"/>
      <c r="F2373" s="112"/>
      <c r="G2373" s="1110"/>
      <c r="H2373" s="1138"/>
      <c r="I2373" s="1138"/>
      <c r="J2373" s="1139"/>
      <c r="K2373" s="1111"/>
      <c r="L2373" s="1112"/>
      <c r="M2373" s="1113"/>
      <c r="N2373" s="110"/>
      <c r="O2373" s="1140"/>
      <c r="P2373" s="1115"/>
      <c r="Q2373" s="1116"/>
      <c r="R2373" s="1141"/>
      <c r="S2373" s="1113"/>
      <c r="T2373" s="1143"/>
      <c r="U2373" s="1108"/>
      <c r="V2373" s="1108"/>
      <c r="W2373" s="1108"/>
      <c r="X2373" s="1108"/>
      <c r="Y2373" s="1108"/>
      <c r="Z2373" s="1114"/>
      <c r="AA2373" s="1114"/>
      <c r="AB2373" s="1114"/>
      <c r="AC2373" s="1117"/>
      <c r="AD2373" s="1115"/>
      <c r="AE2373" s="1115"/>
      <c r="AF2373" s="1115"/>
      <c r="AG2373" s="1115"/>
      <c r="AH2373" s="1115"/>
      <c r="AI2373" s="1115"/>
      <c r="AJ2373" s="1117"/>
      <c r="AK2373" s="1118"/>
      <c r="AL2373" s="1115"/>
      <c r="AM2373" s="1115"/>
      <c r="AN2373" s="1115"/>
      <c r="AO2373" s="1115"/>
      <c r="AP2373" s="1115"/>
      <c r="AQ2373" s="1115"/>
      <c r="AR2373" s="1115"/>
      <c r="AS2373" s="1117"/>
      <c r="AT2373" s="1196" t="str">
        <f t="shared" si="428"/>
        <v/>
      </c>
      <c r="AU2373" s="1193"/>
      <c r="AV2373" s="330">
        <f>SQRT(($R2373-Infrastructure!J$3)^2+($S2373-Infrastructure!K$3)^2)</f>
        <v>28.90155705</v>
      </c>
      <c r="AW2373" s="331">
        <f>SQRT(($R2373-Infrastructure!J$4)^2+($S2373-Infrastructure!K$4)^2)</f>
        <v>17.80252791</v>
      </c>
      <c r="AX2373" s="331">
        <f>SQRT(($R2373-Infrastructure!J$5)^2+($S2373-Infrastructure!K$5)^2)</f>
        <v>5.10881591</v>
      </c>
      <c r="AY2373" s="331">
        <f>SQRT(($R2373-Infrastructure!J$6)^2+($S2373-Infrastructure!K$6)^2)</f>
        <v>10.10445446</v>
      </c>
      <c r="AZ2373" s="331">
        <f>SQRT(($R2373-Infrastructure!J$7)^2+($S2373-Infrastructure!K$7)^2)</f>
        <v>20.502195</v>
      </c>
      <c r="BA2373" s="331">
        <f>SQRT(($R2373-Infrastructure!J$8)^2+($S2373-Infrastructure!K$8)^2)</f>
        <v>30.10149498</v>
      </c>
      <c r="BB2373" s="331">
        <f>SQRT(($R2373-Infrastructure!J$9)^2+($S2373-Infrastructure!K$9)^2)</f>
        <v>40.3238143</v>
      </c>
      <c r="BC2373" s="331">
        <f>SQRT(($R2373-Infrastructure!J$10)^2+($S2373-Infrastructure!K$10)^2)</f>
        <v>42.72001873</v>
      </c>
      <c r="BD2373" s="331">
        <f>SQRT(($R2373-Infrastructure!J$11)^2+($S2373-Infrastructure!K$11)^2)</f>
        <v>49.56853841</v>
      </c>
      <c r="BE2373" s="333">
        <f>SQRT(($R2373-Infrastructure!J$12)^2+($S2373-Infrastructure!K$12)^2)</f>
        <v>59.51890456</v>
      </c>
      <c r="BF2373" s="330">
        <f t="shared" si="161"/>
        <v>5.10881591</v>
      </c>
      <c r="BG2373" s="333">
        <f t="shared" si="162"/>
        <v>59.51890456</v>
      </c>
      <c r="BH2373" s="1119"/>
      <c r="BI2373" s="319" t="str">
        <f t="shared" ref="BI2373:BR2373" si="1600">IF(ISNUMBER(FIND(BI$3, $CO2373)), "Y", "")</f>
        <v/>
      </c>
      <c r="BJ2373" s="319" t="str">
        <f t="shared" si="1600"/>
        <v/>
      </c>
      <c r="BK2373" s="319" t="str">
        <f t="shared" si="1600"/>
        <v/>
      </c>
      <c r="BL2373" s="319" t="str">
        <f t="shared" si="1600"/>
        <v/>
      </c>
      <c r="BM2373" s="319" t="str">
        <f t="shared" si="1600"/>
        <v/>
      </c>
      <c r="BN2373" s="319" t="str">
        <f t="shared" si="1600"/>
        <v/>
      </c>
      <c r="BO2373" s="319" t="str">
        <f t="shared" si="1600"/>
        <v/>
      </c>
      <c r="BP2373" s="319" t="str">
        <f t="shared" si="1600"/>
        <v/>
      </c>
      <c r="BQ2373" s="319" t="str">
        <f t="shared" si="1600"/>
        <v/>
      </c>
      <c r="BR2373" s="319" t="str">
        <f t="shared" si="1600"/>
        <v/>
      </c>
      <c r="BS2373" s="330">
        <f t="shared" si="185"/>
        <v>0</v>
      </c>
      <c r="BT2373" s="331">
        <f t="shared" si="170"/>
        <v>0</v>
      </c>
      <c r="BU2373" s="920"/>
      <c r="BV2373" s="903" t="str">
        <f t="shared" si="1244"/>
        <v/>
      </c>
      <c r="BW2373" s="908"/>
      <c r="BX2373" s="908"/>
      <c r="BY2373" s="331" t="b">
        <f t="shared" si="201"/>
        <v>0</v>
      </c>
      <c r="BZ2373" s="331"/>
      <c r="CA2373" s="462" t="str">
        <f t="shared" ref="CA2373:CJ2373" si="1601">IF(ISNUMBER(FIND(BI$3, $CP2373)), "Y", "")</f>
        <v/>
      </c>
      <c r="CB2373" s="319" t="str">
        <f t="shared" si="1601"/>
        <v/>
      </c>
      <c r="CC2373" s="319" t="str">
        <f t="shared" si="1601"/>
        <v/>
      </c>
      <c r="CD2373" s="319" t="str">
        <f t="shared" si="1601"/>
        <v/>
      </c>
      <c r="CE2373" s="319" t="str">
        <f t="shared" si="1601"/>
        <v/>
      </c>
      <c r="CF2373" s="319" t="str">
        <f t="shared" si="1601"/>
        <v/>
      </c>
      <c r="CG2373" s="319" t="str">
        <f t="shared" si="1601"/>
        <v/>
      </c>
      <c r="CH2373" s="319" t="str">
        <f t="shared" si="1601"/>
        <v/>
      </c>
      <c r="CI2373" s="319" t="str">
        <f t="shared" si="1601"/>
        <v/>
      </c>
      <c r="CJ2373" s="319" t="str">
        <f t="shared" si="1601"/>
        <v/>
      </c>
      <c r="CK2373" s="342">
        <f t="shared" si="182"/>
        <v>0</v>
      </c>
      <c r="CL2373" s="333">
        <f t="shared" si="183"/>
        <v>0</v>
      </c>
      <c r="CM2373" s="1079"/>
      <c r="CN2373" s="1005"/>
      <c r="CO2373" s="1005"/>
      <c r="CP2373" s="1005"/>
    </row>
    <row r="2374">
      <c r="A2374" s="1257"/>
      <c r="B2374" s="1113"/>
      <c r="C2374" s="1107"/>
      <c r="D2374" s="103"/>
      <c r="E2374" s="1137"/>
      <c r="F2374" s="112"/>
      <c r="G2374" s="1110"/>
      <c r="H2374" s="1138"/>
      <c r="I2374" s="1138"/>
      <c r="J2374" s="1139"/>
      <c r="K2374" s="1111"/>
      <c r="L2374" s="1112"/>
      <c r="M2374" s="1113"/>
      <c r="N2374" s="110"/>
      <c r="O2374" s="1140"/>
      <c r="P2374" s="1115"/>
      <c r="Q2374" s="1116"/>
      <c r="R2374" s="1141"/>
      <c r="S2374" s="1113"/>
      <c r="T2374" s="1143"/>
      <c r="U2374" s="1108"/>
      <c r="V2374" s="1108"/>
      <c r="W2374" s="1108"/>
      <c r="X2374" s="1108"/>
      <c r="Y2374" s="1108"/>
      <c r="Z2374" s="1114"/>
      <c r="AA2374" s="1114"/>
      <c r="AB2374" s="1114"/>
      <c r="AC2374" s="1117"/>
      <c r="AD2374" s="1115"/>
      <c r="AE2374" s="1115"/>
      <c r="AF2374" s="1115"/>
      <c r="AG2374" s="1115"/>
      <c r="AH2374" s="1115"/>
      <c r="AI2374" s="1115"/>
      <c r="AJ2374" s="1117"/>
      <c r="AK2374" s="1118"/>
      <c r="AL2374" s="1115"/>
      <c r="AM2374" s="1115"/>
      <c r="AN2374" s="1115"/>
      <c r="AO2374" s="1115"/>
      <c r="AP2374" s="1115"/>
      <c r="AQ2374" s="1115"/>
      <c r="AR2374" s="1115"/>
      <c r="AS2374" s="1117"/>
      <c r="AT2374" s="1196" t="str">
        <f t="shared" si="428"/>
        <v/>
      </c>
      <c r="AU2374" s="1193"/>
      <c r="AV2374" s="330">
        <f>SQRT(($R2374-Infrastructure!J$3)^2+($S2374-Infrastructure!K$3)^2)</f>
        <v>28.90155705</v>
      </c>
      <c r="AW2374" s="331">
        <f>SQRT(($R2374-Infrastructure!J$4)^2+($S2374-Infrastructure!K$4)^2)</f>
        <v>17.80252791</v>
      </c>
      <c r="AX2374" s="331">
        <f>SQRT(($R2374-Infrastructure!J$5)^2+($S2374-Infrastructure!K$5)^2)</f>
        <v>5.10881591</v>
      </c>
      <c r="AY2374" s="331">
        <f>SQRT(($R2374-Infrastructure!J$6)^2+($S2374-Infrastructure!K$6)^2)</f>
        <v>10.10445446</v>
      </c>
      <c r="AZ2374" s="331">
        <f>SQRT(($R2374-Infrastructure!J$7)^2+($S2374-Infrastructure!K$7)^2)</f>
        <v>20.502195</v>
      </c>
      <c r="BA2374" s="331">
        <f>SQRT(($R2374-Infrastructure!J$8)^2+($S2374-Infrastructure!K$8)^2)</f>
        <v>30.10149498</v>
      </c>
      <c r="BB2374" s="331">
        <f>SQRT(($R2374-Infrastructure!J$9)^2+($S2374-Infrastructure!K$9)^2)</f>
        <v>40.3238143</v>
      </c>
      <c r="BC2374" s="331">
        <f>SQRT(($R2374-Infrastructure!J$10)^2+($S2374-Infrastructure!K$10)^2)</f>
        <v>42.72001873</v>
      </c>
      <c r="BD2374" s="331">
        <f>SQRT(($R2374-Infrastructure!J$11)^2+($S2374-Infrastructure!K$11)^2)</f>
        <v>49.56853841</v>
      </c>
      <c r="BE2374" s="333">
        <f>SQRT(($R2374-Infrastructure!J$12)^2+($S2374-Infrastructure!K$12)^2)</f>
        <v>59.51890456</v>
      </c>
      <c r="BF2374" s="330">
        <f t="shared" si="161"/>
        <v>5.10881591</v>
      </c>
      <c r="BG2374" s="333">
        <f t="shared" si="162"/>
        <v>59.51890456</v>
      </c>
      <c r="BH2374" s="1119"/>
      <c r="BI2374" s="319" t="str">
        <f t="shared" ref="BI2374:BR2374" si="1602">IF(ISNUMBER(FIND(BI$3, $CO2374)), "Y", "")</f>
        <v/>
      </c>
      <c r="BJ2374" s="319" t="str">
        <f t="shared" si="1602"/>
        <v/>
      </c>
      <c r="BK2374" s="319" t="str">
        <f t="shared" si="1602"/>
        <v/>
      </c>
      <c r="BL2374" s="319" t="str">
        <f t="shared" si="1602"/>
        <v/>
      </c>
      <c r="BM2374" s="319" t="str">
        <f t="shared" si="1602"/>
        <v/>
      </c>
      <c r="BN2374" s="319" t="str">
        <f t="shared" si="1602"/>
        <v/>
      </c>
      <c r="BO2374" s="319" t="str">
        <f t="shared" si="1602"/>
        <v/>
      </c>
      <c r="BP2374" s="319" t="str">
        <f t="shared" si="1602"/>
        <v/>
      </c>
      <c r="BQ2374" s="319" t="str">
        <f t="shared" si="1602"/>
        <v/>
      </c>
      <c r="BR2374" s="319" t="str">
        <f t="shared" si="1602"/>
        <v/>
      </c>
      <c r="BS2374" s="330">
        <f t="shared" si="185"/>
        <v>0</v>
      </c>
      <c r="BT2374" s="331">
        <f t="shared" si="170"/>
        <v>0</v>
      </c>
      <c r="BU2374" s="920"/>
      <c r="BV2374" s="903" t="str">
        <f t="shared" si="1244"/>
        <v/>
      </c>
      <c r="BW2374" s="908"/>
      <c r="BX2374" s="908"/>
      <c r="BY2374" s="331" t="b">
        <f t="shared" si="201"/>
        <v>0</v>
      </c>
      <c r="BZ2374" s="331"/>
      <c r="CA2374" s="462" t="str">
        <f t="shared" ref="CA2374:CJ2374" si="1603">IF(ISNUMBER(FIND(BI$3, $CP2374)), "Y", "")</f>
        <v/>
      </c>
      <c r="CB2374" s="319" t="str">
        <f t="shared" si="1603"/>
        <v/>
      </c>
      <c r="CC2374" s="319" t="str">
        <f t="shared" si="1603"/>
        <v/>
      </c>
      <c r="CD2374" s="319" t="str">
        <f t="shared" si="1603"/>
        <v/>
      </c>
      <c r="CE2374" s="319" t="str">
        <f t="shared" si="1603"/>
        <v/>
      </c>
      <c r="CF2374" s="319" t="str">
        <f t="shared" si="1603"/>
        <v/>
      </c>
      <c r="CG2374" s="319" t="str">
        <f t="shared" si="1603"/>
        <v/>
      </c>
      <c r="CH2374" s="319" t="str">
        <f t="shared" si="1603"/>
        <v/>
      </c>
      <c r="CI2374" s="319" t="str">
        <f t="shared" si="1603"/>
        <v/>
      </c>
      <c r="CJ2374" s="319" t="str">
        <f t="shared" si="1603"/>
        <v/>
      </c>
      <c r="CK2374" s="342">
        <f t="shared" si="182"/>
        <v>0</v>
      </c>
      <c r="CL2374" s="333">
        <f t="shared" si="183"/>
        <v>0</v>
      </c>
      <c r="CM2374" s="1079"/>
      <c r="CN2374" s="1005"/>
      <c r="CO2374" s="1005"/>
      <c r="CP2374" s="1005"/>
    </row>
    <row r="2375">
      <c r="A2375" s="1257"/>
      <c r="B2375" s="1113"/>
      <c r="C2375" s="1107"/>
      <c r="D2375" s="103"/>
      <c r="E2375" s="1137"/>
      <c r="F2375" s="112"/>
      <c r="G2375" s="1110"/>
      <c r="H2375" s="1138"/>
      <c r="I2375" s="1138"/>
      <c r="J2375" s="1139"/>
      <c r="K2375" s="1111"/>
      <c r="L2375" s="1112"/>
      <c r="M2375" s="1113"/>
      <c r="N2375" s="110"/>
      <c r="O2375" s="1140"/>
      <c r="P2375" s="1115"/>
      <c r="Q2375" s="1116"/>
      <c r="R2375" s="1141"/>
      <c r="S2375" s="1113"/>
      <c r="T2375" s="1143"/>
      <c r="U2375" s="1108"/>
      <c r="V2375" s="1108"/>
      <c r="W2375" s="1108"/>
      <c r="X2375" s="1108"/>
      <c r="Y2375" s="1108"/>
      <c r="Z2375" s="1114"/>
      <c r="AA2375" s="1114"/>
      <c r="AB2375" s="1114"/>
      <c r="AC2375" s="1117"/>
      <c r="AD2375" s="1115"/>
      <c r="AE2375" s="1115"/>
      <c r="AF2375" s="1115"/>
      <c r="AG2375" s="1115"/>
      <c r="AH2375" s="1115"/>
      <c r="AI2375" s="1115"/>
      <c r="AJ2375" s="1117"/>
      <c r="AK2375" s="1118"/>
      <c r="AL2375" s="1115"/>
      <c r="AM2375" s="1115"/>
      <c r="AN2375" s="1115"/>
      <c r="AO2375" s="1115"/>
      <c r="AP2375" s="1115"/>
      <c r="AQ2375" s="1115"/>
      <c r="AR2375" s="1115"/>
      <c r="AS2375" s="1117"/>
      <c r="AT2375" s="1196" t="str">
        <f t="shared" si="428"/>
        <v/>
      </c>
      <c r="AU2375" s="1193"/>
      <c r="AV2375" s="330">
        <f>SQRT(($R2375-Infrastructure!J$3)^2+($S2375-Infrastructure!K$3)^2)</f>
        <v>28.90155705</v>
      </c>
      <c r="AW2375" s="331">
        <f>SQRT(($R2375-Infrastructure!J$4)^2+($S2375-Infrastructure!K$4)^2)</f>
        <v>17.80252791</v>
      </c>
      <c r="AX2375" s="331">
        <f>SQRT(($R2375-Infrastructure!J$5)^2+($S2375-Infrastructure!K$5)^2)</f>
        <v>5.10881591</v>
      </c>
      <c r="AY2375" s="331">
        <f>SQRT(($R2375-Infrastructure!J$6)^2+($S2375-Infrastructure!K$6)^2)</f>
        <v>10.10445446</v>
      </c>
      <c r="AZ2375" s="331">
        <f>SQRT(($R2375-Infrastructure!J$7)^2+($S2375-Infrastructure!K$7)^2)</f>
        <v>20.502195</v>
      </c>
      <c r="BA2375" s="331">
        <f>SQRT(($R2375-Infrastructure!J$8)^2+($S2375-Infrastructure!K$8)^2)</f>
        <v>30.10149498</v>
      </c>
      <c r="BB2375" s="331">
        <f>SQRT(($R2375-Infrastructure!J$9)^2+($S2375-Infrastructure!K$9)^2)</f>
        <v>40.3238143</v>
      </c>
      <c r="BC2375" s="331">
        <f>SQRT(($R2375-Infrastructure!J$10)^2+($S2375-Infrastructure!K$10)^2)</f>
        <v>42.72001873</v>
      </c>
      <c r="BD2375" s="331">
        <f>SQRT(($R2375-Infrastructure!J$11)^2+($S2375-Infrastructure!K$11)^2)</f>
        <v>49.56853841</v>
      </c>
      <c r="BE2375" s="333">
        <f>SQRT(($R2375-Infrastructure!J$12)^2+($S2375-Infrastructure!K$12)^2)</f>
        <v>59.51890456</v>
      </c>
      <c r="BF2375" s="330">
        <f t="shared" si="161"/>
        <v>5.10881591</v>
      </c>
      <c r="BG2375" s="333">
        <f t="shared" si="162"/>
        <v>59.51890456</v>
      </c>
      <c r="BH2375" s="1119"/>
      <c r="BI2375" s="319" t="str">
        <f t="shared" ref="BI2375:BR2375" si="1604">IF(ISNUMBER(FIND(BI$3, $CO2375)), "Y", "")</f>
        <v/>
      </c>
      <c r="BJ2375" s="319" t="str">
        <f t="shared" si="1604"/>
        <v/>
      </c>
      <c r="BK2375" s="319" t="str">
        <f t="shared" si="1604"/>
        <v/>
      </c>
      <c r="BL2375" s="319" t="str">
        <f t="shared" si="1604"/>
        <v/>
      </c>
      <c r="BM2375" s="319" t="str">
        <f t="shared" si="1604"/>
        <v/>
      </c>
      <c r="BN2375" s="319" t="str">
        <f t="shared" si="1604"/>
        <v/>
      </c>
      <c r="BO2375" s="319" t="str">
        <f t="shared" si="1604"/>
        <v/>
      </c>
      <c r="BP2375" s="319" t="str">
        <f t="shared" si="1604"/>
        <v/>
      </c>
      <c r="BQ2375" s="319" t="str">
        <f t="shared" si="1604"/>
        <v/>
      </c>
      <c r="BR2375" s="319" t="str">
        <f t="shared" si="1604"/>
        <v/>
      </c>
      <c r="BS2375" s="330">
        <f t="shared" si="185"/>
        <v>0</v>
      </c>
      <c r="BT2375" s="331">
        <f t="shared" si="170"/>
        <v>0</v>
      </c>
      <c r="BU2375" s="920"/>
      <c r="BV2375" s="903" t="str">
        <f t="shared" si="1244"/>
        <v/>
      </c>
      <c r="BW2375" s="908"/>
      <c r="BX2375" s="908"/>
      <c r="BY2375" s="331" t="b">
        <f t="shared" si="201"/>
        <v>0</v>
      </c>
      <c r="BZ2375" s="331"/>
      <c r="CA2375" s="462" t="str">
        <f t="shared" ref="CA2375:CJ2375" si="1605">IF(ISNUMBER(FIND(BI$3, $CP2375)), "Y", "")</f>
        <v/>
      </c>
      <c r="CB2375" s="319" t="str">
        <f t="shared" si="1605"/>
        <v/>
      </c>
      <c r="CC2375" s="319" t="str">
        <f t="shared" si="1605"/>
        <v/>
      </c>
      <c r="CD2375" s="319" t="str">
        <f t="shared" si="1605"/>
        <v/>
      </c>
      <c r="CE2375" s="319" t="str">
        <f t="shared" si="1605"/>
        <v/>
      </c>
      <c r="CF2375" s="319" t="str">
        <f t="shared" si="1605"/>
        <v/>
      </c>
      <c r="CG2375" s="319" t="str">
        <f t="shared" si="1605"/>
        <v/>
      </c>
      <c r="CH2375" s="319" t="str">
        <f t="shared" si="1605"/>
        <v/>
      </c>
      <c r="CI2375" s="319" t="str">
        <f t="shared" si="1605"/>
        <v/>
      </c>
      <c r="CJ2375" s="319" t="str">
        <f t="shared" si="1605"/>
        <v/>
      </c>
      <c r="CK2375" s="342">
        <f t="shared" si="182"/>
        <v>0</v>
      </c>
      <c r="CL2375" s="333">
        <f t="shared" si="183"/>
        <v>0</v>
      </c>
      <c r="CM2375" s="1079"/>
      <c r="CN2375" s="1005"/>
      <c r="CO2375" s="1005"/>
      <c r="CP2375" s="1005"/>
    </row>
    <row r="2376">
      <c r="A2376" s="1257"/>
      <c r="B2376" s="1113"/>
      <c r="C2376" s="1107"/>
      <c r="D2376" s="103"/>
      <c r="E2376" s="1137"/>
      <c r="F2376" s="112"/>
      <c r="G2376" s="1110"/>
      <c r="H2376" s="1138"/>
      <c r="I2376" s="1138"/>
      <c r="J2376" s="1139"/>
      <c r="K2376" s="1111"/>
      <c r="L2376" s="1112"/>
      <c r="M2376" s="1113"/>
      <c r="N2376" s="110"/>
      <c r="O2376" s="1140"/>
      <c r="P2376" s="1115"/>
      <c r="Q2376" s="1116"/>
      <c r="R2376" s="1141"/>
      <c r="S2376" s="1113"/>
      <c r="T2376" s="1143"/>
      <c r="U2376" s="1108"/>
      <c r="V2376" s="1108"/>
      <c r="W2376" s="1108"/>
      <c r="X2376" s="1108"/>
      <c r="Y2376" s="1108"/>
      <c r="Z2376" s="1114"/>
      <c r="AA2376" s="1114"/>
      <c r="AB2376" s="1114"/>
      <c r="AC2376" s="1117"/>
      <c r="AD2376" s="1115"/>
      <c r="AE2376" s="1115"/>
      <c r="AF2376" s="1115"/>
      <c r="AG2376" s="1115"/>
      <c r="AH2376" s="1115"/>
      <c r="AI2376" s="1115"/>
      <c r="AJ2376" s="1117"/>
      <c r="AK2376" s="1118"/>
      <c r="AL2376" s="1115"/>
      <c r="AM2376" s="1115"/>
      <c r="AN2376" s="1115"/>
      <c r="AO2376" s="1115"/>
      <c r="AP2376" s="1115"/>
      <c r="AQ2376" s="1115"/>
      <c r="AR2376" s="1115"/>
      <c r="AS2376" s="1117"/>
      <c r="AT2376" s="1196" t="str">
        <f t="shared" si="428"/>
        <v/>
      </c>
      <c r="AU2376" s="1193"/>
      <c r="AV2376" s="330">
        <f>SQRT(($R2376-Infrastructure!J$3)^2+($S2376-Infrastructure!K$3)^2)</f>
        <v>28.90155705</v>
      </c>
      <c r="AW2376" s="331">
        <f>SQRT(($R2376-Infrastructure!J$4)^2+($S2376-Infrastructure!K$4)^2)</f>
        <v>17.80252791</v>
      </c>
      <c r="AX2376" s="331">
        <f>SQRT(($R2376-Infrastructure!J$5)^2+($S2376-Infrastructure!K$5)^2)</f>
        <v>5.10881591</v>
      </c>
      <c r="AY2376" s="331">
        <f>SQRT(($R2376-Infrastructure!J$6)^2+($S2376-Infrastructure!K$6)^2)</f>
        <v>10.10445446</v>
      </c>
      <c r="AZ2376" s="331">
        <f>SQRT(($R2376-Infrastructure!J$7)^2+($S2376-Infrastructure!K$7)^2)</f>
        <v>20.502195</v>
      </c>
      <c r="BA2376" s="331">
        <f>SQRT(($R2376-Infrastructure!J$8)^2+($S2376-Infrastructure!K$8)^2)</f>
        <v>30.10149498</v>
      </c>
      <c r="BB2376" s="331">
        <f>SQRT(($R2376-Infrastructure!J$9)^2+($S2376-Infrastructure!K$9)^2)</f>
        <v>40.3238143</v>
      </c>
      <c r="BC2376" s="331">
        <f>SQRT(($R2376-Infrastructure!J$10)^2+($S2376-Infrastructure!K$10)^2)</f>
        <v>42.72001873</v>
      </c>
      <c r="BD2376" s="331">
        <f>SQRT(($R2376-Infrastructure!J$11)^2+($S2376-Infrastructure!K$11)^2)</f>
        <v>49.56853841</v>
      </c>
      <c r="BE2376" s="333">
        <f>SQRT(($R2376-Infrastructure!J$12)^2+($S2376-Infrastructure!K$12)^2)</f>
        <v>59.51890456</v>
      </c>
      <c r="BF2376" s="330">
        <f t="shared" si="161"/>
        <v>5.10881591</v>
      </c>
      <c r="BG2376" s="333">
        <f t="shared" si="162"/>
        <v>59.51890456</v>
      </c>
      <c r="BH2376" s="1119"/>
      <c r="BI2376" s="319" t="str">
        <f t="shared" ref="BI2376:BR2376" si="1606">IF(ISNUMBER(FIND(BI$3, $CO2376)), "Y", "")</f>
        <v/>
      </c>
      <c r="BJ2376" s="319" t="str">
        <f t="shared" si="1606"/>
        <v/>
      </c>
      <c r="BK2376" s="319" t="str">
        <f t="shared" si="1606"/>
        <v/>
      </c>
      <c r="BL2376" s="319" t="str">
        <f t="shared" si="1606"/>
        <v/>
      </c>
      <c r="BM2376" s="319" t="str">
        <f t="shared" si="1606"/>
        <v/>
      </c>
      <c r="BN2376" s="319" t="str">
        <f t="shared" si="1606"/>
        <v/>
      </c>
      <c r="BO2376" s="319" t="str">
        <f t="shared" si="1606"/>
        <v/>
      </c>
      <c r="BP2376" s="319" t="str">
        <f t="shared" si="1606"/>
        <v/>
      </c>
      <c r="BQ2376" s="319" t="str">
        <f t="shared" si="1606"/>
        <v/>
      </c>
      <c r="BR2376" s="319" t="str">
        <f t="shared" si="1606"/>
        <v/>
      </c>
      <c r="BS2376" s="330">
        <f t="shared" si="185"/>
        <v>0</v>
      </c>
      <c r="BT2376" s="331">
        <f t="shared" si="170"/>
        <v>0</v>
      </c>
      <c r="BU2376" s="920"/>
      <c r="BV2376" s="903" t="str">
        <f t="shared" si="1244"/>
        <v/>
      </c>
      <c r="BW2376" s="908"/>
      <c r="BX2376" s="908"/>
      <c r="BY2376" s="331" t="b">
        <f t="shared" si="201"/>
        <v>0</v>
      </c>
      <c r="BZ2376" s="331"/>
      <c r="CA2376" s="462" t="str">
        <f t="shared" ref="CA2376:CJ2376" si="1607">IF(ISNUMBER(FIND(BI$3, $CP2376)), "Y", "")</f>
        <v/>
      </c>
      <c r="CB2376" s="319" t="str">
        <f t="shared" si="1607"/>
        <v/>
      </c>
      <c r="CC2376" s="319" t="str">
        <f t="shared" si="1607"/>
        <v/>
      </c>
      <c r="CD2376" s="319" t="str">
        <f t="shared" si="1607"/>
        <v/>
      </c>
      <c r="CE2376" s="319" t="str">
        <f t="shared" si="1607"/>
        <v/>
      </c>
      <c r="CF2376" s="319" t="str">
        <f t="shared" si="1607"/>
        <v/>
      </c>
      <c r="CG2376" s="319" t="str">
        <f t="shared" si="1607"/>
        <v/>
      </c>
      <c r="CH2376" s="319" t="str">
        <f t="shared" si="1607"/>
        <v/>
      </c>
      <c r="CI2376" s="319" t="str">
        <f t="shared" si="1607"/>
        <v/>
      </c>
      <c r="CJ2376" s="319" t="str">
        <f t="shared" si="1607"/>
        <v/>
      </c>
      <c r="CK2376" s="342">
        <f t="shared" si="182"/>
        <v>0</v>
      </c>
      <c r="CL2376" s="333">
        <f t="shared" si="183"/>
        <v>0</v>
      </c>
      <c r="CM2376" s="1079"/>
      <c r="CN2376" s="1005"/>
      <c r="CO2376" s="1005"/>
      <c r="CP2376" s="1005"/>
    </row>
    <row r="2377">
      <c r="A2377" s="1257"/>
      <c r="B2377" s="1113"/>
      <c r="C2377" s="1107"/>
      <c r="D2377" s="103"/>
      <c r="E2377" s="1137"/>
      <c r="F2377" s="112"/>
      <c r="G2377" s="1110"/>
      <c r="H2377" s="1138"/>
      <c r="I2377" s="1138"/>
      <c r="J2377" s="1139"/>
      <c r="K2377" s="1111"/>
      <c r="L2377" s="1112"/>
      <c r="M2377" s="1113"/>
      <c r="N2377" s="110"/>
      <c r="O2377" s="1140"/>
      <c r="P2377" s="1115"/>
      <c r="Q2377" s="1116"/>
      <c r="R2377" s="1141"/>
      <c r="S2377" s="1113"/>
      <c r="T2377" s="1143"/>
      <c r="U2377" s="1108"/>
      <c r="V2377" s="1108"/>
      <c r="W2377" s="1108"/>
      <c r="X2377" s="1108"/>
      <c r="Y2377" s="1108"/>
      <c r="Z2377" s="1114"/>
      <c r="AA2377" s="1114"/>
      <c r="AB2377" s="1114"/>
      <c r="AC2377" s="1117"/>
      <c r="AD2377" s="1115"/>
      <c r="AE2377" s="1115"/>
      <c r="AF2377" s="1115"/>
      <c r="AG2377" s="1115"/>
      <c r="AH2377" s="1115"/>
      <c r="AI2377" s="1115"/>
      <c r="AJ2377" s="1117"/>
      <c r="AK2377" s="1118"/>
      <c r="AL2377" s="1115"/>
      <c r="AM2377" s="1115"/>
      <c r="AN2377" s="1115"/>
      <c r="AO2377" s="1115"/>
      <c r="AP2377" s="1115"/>
      <c r="AQ2377" s="1115"/>
      <c r="AR2377" s="1115"/>
      <c r="AS2377" s="1117"/>
      <c r="AT2377" s="1196" t="str">
        <f t="shared" si="428"/>
        <v/>
      </c>
      <c r="AU2377" s="1193"/>
      <c r="AV2377" s="330">
        <f>SQRT(($R2377-Infrastructure!J$3)^2+($S2377-Infrastructure!K$3)^2)</f>
        <v>28.90155705</v>
      </c>
      <c r="AW2377" s="331">
        <f>SQRT(($R2377-Infrastructure!J$4)^2+($S2377-Infrastructure!K$4)^2)</f>
        <v>17.80252791</v>
      </c>
      <c r="AX2377" s="331">
        <f>SQRT(($R2377-Infrastructure!J$5)^2+($S2377-Infrastructure!K$5)^2)</f>
        <v>5.10881591</v>
      </c>
      <c r="AY2377" s="331">
        <f>SQRT(($R2377-Infrastructure!J$6)^2+($S2377-Infrastructure!K$6)^2)</f>
        <v>10.10445446</v>
      </c>
      <c r="AZ2377" s="331">
        <f>SQRT(($R2377-Infrastructure!J$7)^2+($S2377-Infrastructure!K$7)^2)</f>
        <v>20.502195</v>
      </c>
      <c r="BA2377" s="331">
        <f>SQRT(($R2377-Infrastructure!J$8)^2+($S2377-Infrastructure!K$8)^2)</f>
        <v>30.10149498</v>
      </c>
      <c r="BB2377" s="331">
        <f>SQRT(($R2377-Infrastructure!J$9)^2+($S2377-Infrastructure!K$9)^2)</f>
        <v>40.3238143</v>
      </c>
      <c r="BC2377" s="331">
        <f>SQRT(($R2377-Infrastructure!J$10)^2+($S2377-Infrastructure!K$10)^2)</f>
        <v>42.72001873</v>
      </c>
      <c r="BD2377" s="331">
        <f>SQRT(($R2377-Infrastructure!J$11)^2+($S2377-Infrastructure!K$11)^2)</f>
        <v>49.56853841</v>
      </c>
      <c r="BE2377" s="333">
        <f>SQRT(($R2377-Infrastructure!J$12)^2+($S2377-Infrastructure!K$12)^2)</f>
        <v>59.51890456</v>
      </c>
      <c r="BF2377" s="330">
        <f t="shared" si="161"/>
        <v>5.10881591</v>
      </c>
      <c r="BG2377" s="333">
        <f t="shared" si="162"/>
        <v>59.51890456</v>
      </c>
      <c r="BH2377" s="1119"/>
      <c r="BI2377" s="319" t="str">
        <f t="shared" ref="BI2377:BR2377" si="1608">IF(ISNUMBER(FIND(BI$3, $CO2377)), "Y", "")</f>
        <v/>
      </c>
      <c r="BJ2377" s="319" t="str">
        <f t="shared" si="1608"/>
        <v/>
      </c>
      <c r="BK2377" s="319" t="str">
        <f t="shared" si="1608"/>
        <v/>
      </c>
      <c r="BL2377" s="319" t="str">
        <f t="shared" si="1608"/>
        <v/>
      </c>
      <c r="BM2377" s="319" t="str">
        <f t="shared" si="1608"/>
        <v/>
      </c>
      <c r="BN2377" s="319" t="str">
        <f t="shared" si="1608"/>
        <v/>
      </c>
      <c r="BO2377" s="319" t="str">
        <f t="shared" si="1608"/>
        <v/>
      </c>
      <c r="BP2377" s="319" t="str">
        <f t="shared" si="1608"/>
        <v/>
      </c>
      <c r="BQ2377" s="319" t="str">
        <f t="shared" si="1608"/>
        <v/>
      </c>
      <c r="BR2377" s="319" t="str">
        <f t="shared" si="1608"/>
        <v/>
      </c>
      <c r="BS2377" s="330">
        <f t="shared" si="185"/>
        <v>0</v>
      </c>
      <c r="BT2377" s="331">
        <f t="shared" si="170"/>
        <v>0</v>
      </c>
      <c r="BU2377" s="920"/>
      <c r="BV2377" s="903" t="str">
        <f t="shared" si="1244"/>
        <v/>
      </c>
      <c r="BW2377" s="908"/>
      <c r="BX2377" s="908"/>
      <c r="BY2377" s="331" t="b">
        <f t="shared" si="201"/>
        <v>0</v>
      </c>
      <c r="BZ2377" s="331"/>
      <c r="CA2377" s="462" t="str">
        <f t="shared" ref="CA2377:CJ2377" si="1609">IF(ISNUMBER(FIND(BI$3, $CP2377)), "Y", "")</f>
        <v/>
      </c>
      <c r="CB2377" s="319" t="str">
        <f t="shared" si="1609"/>
        <v/>
      </c>
      <c r="CC2377" s="319" t="str">
        <f t="shared" si="1609"/>
        <v/>
      </c>
      <c r="CD2377" s="319" t="str">
        <f t="shared" si="1609"/>
        <v/>
      </c>
      <c r="CE2377" s="319" t="str">
        <f t="shared" si="1609"/>
        <v/>
      </c>
      <c r="CF2377" s="319" t="str">
        <f t="shared" si="1609"/>
        <v/>
      </c>
      <c r="CG2377" s="319" t="str">
        <f t="shared" si="1609"/>
        <v/>
      </c>
      <c r="CH2377" s="319" t="str">
        <f t="shared" si="1609"/>
        <v/>
      </c>
      <c r="CI2377" s="319" t="str">
        <f t="shared" si="1609"/>
        <v/>
      </c>
      <c r="CJ2377" s="319" t="str">
        <f t="shared" si="1609"/>
        <v/>
      </c>
      <c r="CK2377" s="342">
        <f t="shared" si="182"/>
        <v>0</v>
      </c>
      <c r="CL2377" s="333">
        <f t="shared" si="183"/>
        <v>0</v>
      </c>
      <c r="CM2377" s="1079"/>
      <c r="CN2377" s="1005"/>
      <c r="CO2377" s="1005"/>
      <c r="CP2377" s="1005"/>
    </row>
    <row r="2378">
      <c r="A2378" s="1257"/>
      <c r="B2378" s="1113"/>
      <c r="C2378" s="1107"/>
      <c r="D2378" s="103"/>
      <c r="E2378" s="1137"/>
      <c r="F2378" s="112"/>
      <c r="G2378" s="1110"/>
      <c r="H2378" s="1138"/>
      <c r="I2378" s="1138"/>
      <c r="J2378" s="1139"/>
      <c r="K2378" s="1111"/>
      <c r="L2378" s="1112"/>
      <c r="M2378" s="1113"/>
      <c r="N2378" s="110"/>
      <c r="O2378" s="1140"/>
      <c r="P2378" s="1115"/>
      <c r="Q2378" s="1116"/>
      <c r="R2378" s="1141"/>
      <c r="S2378" s="1113"/>
      <c r="T2378" s="1143"/>
      <c r="U2378" s="1108"/>
      <c r="V2378" s="1108"/>
      <c r="W2378" s="1108"/>
      <c r="X2378" s="1108"/>
      <c r="Y2378" s="1108"/>
      <c r="Z2378" s="1114"/>
      <c r="AA2378" s="1114"/>
      <c r="AB2378" s="1114"/>
      <c r="AC2378" s="1117"/>
      <c r="AD2378" s="1115"/>
      <c r="AE2378" s="1115"/>
      <c r="AF2378" s="1115"/>
      <c r="AG2378" s="1115"/>
      <c r="AH2378" s="1115"/>
      <c r="AI2378" s="1115"/>
      <c r="AJ2378" s="1117"/>
      <c r="AK2378" s="1118"/>
      <c r="AL2378" s="1115"/>
      <c r="AM2378" s="1115"/>
      <c r="AN2378" s="1115"/>
      <c r="AO2378" s="1115"/>
      <c r="AP2378" s="1115"/>
      <c r="AQ2378" s="1115"/>
      <c r="AR2378" s="1115"/>
      <c r="AS2378" s="1117"/>
      <c r="AT2378" s="1196" t="str">
        <f t="shared" si="428"/>
        <v/>
      </c>
      <c r="AU2378" s="1193"/>
      <c r="AV2378" s="330">
        <f>SQRT(($R2378-Infrastructure!J$3)^2+($S2378-Infrastructure!K$3)^2)</f>
        <v>28.90155705</v>
      </c>
      <c r="AW2378" s="331">
        <f>SQRT(($R2378-Infrastructure!J$4)^2+($S2378-Infrastructure!K$4)^2)</f>
        <v>17.80252791</v>
      </c>
      <c r="AX2378" s="331">
        <f>SQRT(($R2378-Infrastructure!J$5)^2+($S2378-Infrastructure!K$5)^2)</f>
        <v>5.10881591</v>
      </c>
      <c r="AY2378" s="331">
        <f>SQRT(($R2378-Infrastructure!J$6)^2+($S2378-Infrastructure!K$6)^2)</f>
        <v>10.10445446</v>
      </c>
      <c r="AZ2378" s="331">
        <f>SQRT(($R2378-Infrastructure!J$7)^2+($S2378-Infrastructure!K$7)^2)</f>
        <v>20.502195</v>
      </c>
      <c r="BA2378" s="331">
        <f>SQRT(($R2378-Infrastructure!J$8)^2+($S2378-Infrastructure!K$8)^2)</f>
        <v>30.10149498</v>
      </c>
      <c r="BB2378" s="331">
        <f>SQRT(($R2378-Infrastructure!J$9)^2+($S2378-Infrastructure!K$9)^2)</f>
        <v>40.3238143</v>
      </c>
      <c r="BC2378" s="331">
        <f>SQRT(($R2378-Infrastructure!J$10)^2+($S2378-Infrastructure!K$10)^2)</f>
        <v>42.72001873</v>
      </c>
      <c r="BD2378" s="331">
        <f>SQRT(($R2378-Infrastructure!J$11)^2+($S2378-Infrastructure!K$11)^2)</f>
        <v>49.56853841</v>
      </c>
      <c r="BE2378" s="333">
        <f>SQRT(($R2378-Infrastructure!J$12)^2+($S2378-Infrastructure!K$12)^2)</f>
        <v>59.51890456</v>
      </c>
      <c r="BF2378" s="330">
        <f t="shared" si="161"/>
        <v>5.10881591</v>
      </c>
      <c r="BG2378" s="333">
        <f t="shared" si="162"/>
        <v>59.51890456</v>
      </c>
      <c r="BH2378" s="1119"/>
      <c r="BI2378" s="319" t="str">
        <f t="shared" ref="BI2378:BR2378" si="1610">IF(ISNUMBER(FIND(BI$3, $CO2378)), "Y", "")</f>
        <v/>
      </c>
      <c r="BJ2378" s="319" t="str">
        <f t="shared" si="1610"/>
        <v/>
      </c>
      <c r="BK2378" s="319" t="str">
        <f t="shared" si="1610"/>
        <v/>
      </c>
      <c r="BL2378" s="319" t="str">
        <f t="shared" si="1610"/>
        <v/>
      </c>
      <c r="BM2378" s="319" t="str">
        <f t="shared" si="1610"/>
        <v/>
      </c>
      <c r="BN2378" s="319" t="str">
        <f t="shared" si="1610"/>
        <v/>
      </c>
      <c r="BO2378" s="319" t="str">
        <f t="shared" si="1610"/>
        <v/>
      </c>
      <c r="BP2378" s="319" t="str">
        <f t="shared" si="1610"/>
        <v/>
      </c>
      <c r="BQ2378" s="319" t="str">
        <f t="shared" si="1610"/>
        <v/>
      </c>
      <c r="BR2378" s="319" t="str">
        <f t="shared" si="1610"/>
        <v/>
      </c>
      <c r="BS2378" s="330">
        <f t="shared" si="185"/>
        <v>0</v>
      </c>
      <c r="BT2378" s="331">
        <f t="shared" si="170"/>
        <v>0</v>
      </c>
      <c r="BU2378" s="920"/>
      <c r="BV2378" s="903" t="str">
        <f t="shared" si="1244"/>
        <v/>
      </c>
      <c r="BW2378" s="908"/>
      <c r="BX2378" s="908"/>
      <c r="BY2378" s="331" t="b">
        <f t="shared" si="201"/>
        <v>0</v>
      </c>
      <c r="BZ2378" s="331"/>
      <c r="CA2378" s="462" t="str">
        <f t="shared" ref="CA2378:CJ2378" si="1611">IF(ISNUMBER(FIND(BI$3, $CP2378)), "Y", "")</f>
        <v/>
      </c>
      <c r="CB2378" s="319" t="str">
        <f t="shared" si="1611"/>
        <v/>
      </c>
      <c r="CC2378" s="319" t="str">
        <f t="shared" si="1611"/>
        <v/>
      </c>
      <c r="CD2378" s="319" t="str">
        <f t="shared" si="1611"/>
        <v/>
      </c>
      <c r="CE2378" s="319" t="str">
        <f t="shared" si="1611"/>
        <v/>
      </c>
      <c r="CF2378" s="319" t="str">
        <f t="shared" si="1611"/>
        <v/>
      </c>
      <c r="CG2378" s="319" t="str">
        <f t="shared" si="1611"/>
        <v/>
      </c>
      <c r="CH2378" s="319" t="str">
        <f t="shared" si="1611"/>
        <v/>
      </c>
      <c r="CI2378" s="319" t="str">
        <f t="shared" si="1611"/>
        <v/>
      </c>
      <c r="CJ2378" s="319" t="str">
        <f t="shared" si="1611"/>
        <v/>
      </c>
      <c r="CK2378" s="342">
        <f t="shared" si="182"/>
        <v>0</v>
      </c>
      <c r="CL2378" s="333">
        <f t="shared" si="183"/>
        <v>0</v>
      </c>
      <c r="CM2378" s="1079"/>
      <c r="CN2378" s="1005"/>
      <c r="CO2378" s="1005"/>
      <c r="CP2378" s="1005"/>
    </row>
    <row r="2379">
      <c r="A2379" s="1257"/>
      <c r="B2379" s="1113"/>
      <c r="C2379" s="1107"/>
      <c r="D2379" s="103"/>
      <c r="E2379" s="1137"/>
      <c r="F2379" s="112"/>
      <c r="G2379" s="1110"/>
      <c r="H2379" s="1138"/>
      <c r="I2379" s="1138"/>
      <c r="J2379" s="1139"/>
      <c r="K2379" s="1111"/>
      <c r="L2379" s="1112"/>
      <c r="M2379" s="1113"/>
      <c r="N2379" s="110"/>
      <c r="O2379" s="1140"/>
      <c r="P2379" s="1115"/>
      <c r="Q2379" s="1116"/>
      <c r="R2379" s="1141"/>
      <c r="S2379" s="1113"/>
      <c r="T2379" s="1143"/>
      <c r="U2379" s="1108"/>
      <c r="V2379" s="1108"/>
      <c r="W2379" s="1108"/>
      <c r="X2379" s="1108"/>
      <c r="Y2379" s="1108"/>
      <c r="Z2379" s="1114"/>
      <c r="AA2379" s="1114"/>
      <c r="AB2379" s="1114"/>
      <c r="AC2379" s="1117"/>
      <c r="AD2379" s="1115"/>
      <c r="AE2379" s="1115"/>
      <c r="AF2379" s="1115"/>
      <c r="AG2379" s="1115"/>
      <c r="AH2379" s="1115"/>
      <c r="AI2379" s="1115"/>
      <c r="AJ2379" s="1117"/>
      <c r="AK2379" s="1118"/>
      <c r="AL2379" s="1115"/>
      <c r="AM2379" s="1115"/>
      <c r="AN2379" s="1115"/>
      <c r="AO2379" s="1115"/>
      <c r="AP2379" s="1115"/>
      <c r="AQ2379" s="1115"/>
      <c r="AR2379" s="1115"/>
      <c r="AS2379" s="1117"/>
      <c r="AT2379" s="1196" t="str">
        <f t="shared" si="428"/>
        <v/>
      </c>
      <c r="AU2379" s="1193"/>
      <c r="AV2379" s="330">
        <f>SQRT(($R2379-Infrastructure!J$3)^2+($S2379-Infrastructure!K$3)^2)</f>
        <v>28.90155705</v>
      </c>
      <c r="AW2379" s="331">
        <f>SQRT(($R2379-Infrastructure!J$4)^2+($S2379-Infrastructure!K$4)^2)</f>
        <v>17.80252791</v>
      </c>
      <c r="AX2379" s="331">
        <f>SQRT(($R2379-Infrastructure!J$5)^2+($S2379-Infrastructure!K$5)^2)</f>
        <v>5.10881591</v>
      </c>
      <c r="AY2379" s="331">
        <f>SQRT(($R2379-Infrastructure!J$6)^2+($S2379-Infrastructure!K$6)^2)</f>
        <v>10.10445446</v>
      </c>
      <c r="AZ2379" s="331">
        <f>SQRT(($R2379-Infrastructure!J$7)^2+($S2379-Infrastructure!K$7)^2)</f>
        <v>20.502195</v>
      </c>
      <c r="BA2379" s="331">
        <f>SQRT(($R2379-Infrastructure!J$8)^2+($S2379-Infrastructure!K$8)^2)</f>
        <v>30.10149498</v>
      </c>
      <c r="BB2379" s="331">
        <f>SQRT(($R2379-Infrastructure!J$9)^2+($S2379-Infrastructure!K$9)^2)</f>
        <v>40.3238143</v>
      </c>
      <c r="BC2379" s="331">
        <f>SQRT(($R2379-Infrastructure!J$10)^2+($S2379-Infrastructure!K$10)^2)</f>
        <v>42.72001873</v>
      </c>
      <c r="BD2379" s="331">
        <f>SQRT(($R2379-Infrastructure!J$11)^2+($S2379-Infrastructure!K$11)^2)</f>
        <v>49.56853841</v>
      </c>
      <c r="BE2379" s="333">
        <f>SQRT(($R2379-Infrastructure!J$12)^2+($S2379-Infrastructure!K$12)^2)</f>
        <v>59.51890456</v>
      </c>
      <c r="BF2379" s="330">
        <f t="shared" si="161"/>
        <v>5.10881591</v>
      </c>
      <c r="BG2379" s="333">
        <f t="shared" si="162"/>
        <v>59.51890456</v>
      </c>
      <c r="BH2379" s="1119"/>
      <c r="BI2379" s="319" t="str">
        <f t="shared" ref="BI2379:BR2379" si="1612">IF(ISNUMBER(FIND(BI$3, $CO2379)), "Y", "")</f>
        <v/>
      </c>
      <c r="BJ2379" s="319" t="str">
        <f t="shared" si="1612"/>
        <v/>
      </c>
      <c r="BK2379" s="319" t="str">
        <f t="shared" si="1612"/>
        <v/>
      </c>
      <c r="BL2379" s="319" t="str">
        <f t="shared" si="1612"/>
        <v/>
      </c>
      <c r="BM2379" s="319" t="str">
        <f t="shared" si="1612"/>
        <v/>
      </c>
      <c r="BN2379" s="319" t="str">
        <f t="shared" si="1612"/>
        <v/>
      </c>
      <c r="BO2379" s="319" t="str">
        <f t="shared" si="1612"/>
        <v/>
      </c>
      <c r="BP2379" s="319" t="str">
        <f t="shared" si="1612"/>
        <v/>
      </c>
      <c r="BQ2379" s="319" t="str">
        <f t="shared" si="1612"/>
        <v/>
      </c>
      <c r="BR2379" s="319" t="str">
        <f t="shared" si="1612"/>
        <v/>
      </c>
      <c r="BS2379" s="330">
        <f t="shared" si="185"/>
        <v>0</v>
      </c>
      <c r="BT2379" s="331">
        <f t="shared" si="170"/>
        <v>0</v>
      </c>
      <c r="BU2379" s="920"/>
      <c r="BV2379" s="903" t="str">
        <f t="shared" si="1244"/>
        <v/>
      </c>
      <c r="BW2379" s="908"/>
      <c r="BX2379" s="908"/>
      <c r="BY2379" s="331" t="b">
        <f t="shared" si="201"/>
        <v>0</v>
      </c>
      <c r="BZ2379" s="331"/>
      <c r="CA2379" s="462" t="str">
        <f t="shared" ref="CA2379:CJ2379" si="1613">IF(ISNUMBER(FIND(BI$3, $CP2379)), "Y", "")</f>
        <v/>
      </c>
      <c r="CB2379" s="319" t="str">
        <f t="shared" si="1613"/>
        <v/>
      </c>
      <c r="CC2379" s="319" t="str">
        <f t="shared" si="1613"/>
        <v/>
      </c>
      <c r="CD2379" s="319" t="str">
        <f t="shared" si="1613"/>
        <v/>
      </c>
      <c r="CE2379" s="319" t="str">
        <f t="shared" si="1613"/>
        <v/>
      </c>
      <c r="CF2379" s="319" t="str">
        <f t="shared" si="1613"/>
        <v/>
      </c>
      <c r="CG2379" s="319" t="str">
        <f t="shared" si="1613"/>
        <v/>
      </c>
      <c r="CH2379" s="319" t="str">
        <f t="shared" si="1613"/>
        <v/>
      </c>
      <c r="CI2379" s="319" t="str">
        <f t="shared" si="1613"/>
        <v/>
      </c>
      <c r="CJ2379" s="319" t="str">
        <f t="shared" si="1613"/>
        <v/>
      </c>
      <c r="CK2379" s="342">
        <f t="shared" si="182"/>
        <v>0</v>
      </c>
      <c r="CL2379" s="333">
        <f t="shared" si="183"/>
        <v>0</v>
      </c>
      <c r="CM2379" s="1079"/>
      <c r="CN2379" s="1005"/>
      <c r="CO2379" s="1005"/>
      <c r="CP2379" s="1005"/>
    </row>
    <row r="2380">
      <c r="A2380" s="1257"/>
      <c r="B2380" s="1113"/>
      <c r="C2380" s="1107"/>
      <c r="D2380" s="103"/>
      <c r="E2380" s="1137"/>
      <c r="F2380" s="112"/>
      <c r="G2380" s="1110"/>
      <c r="H2380" s="1138"/>
      <c r="I2380" s="1138"/>
      <c r="J2380" s="1139"/>
      <c r="K2380" s="1111"/>
      <c r="L2380" s="1112"/>
      <c r="M2380" s="1113"/>
      <c r="N2380" s="110"/>
      <c r="O2380" s="1140"/>
      <c r="P2380" s="1115"/>
      <c r="Q2380" s="1116"/>
      <c r="R2380" s="1141"/>
      <c r="S2380" s="1113"/>
      <c r="T2380" s="1143"/>
      <c r="U2380" s="1108"/>
      <c r="V2380" s="1108"/>
      <c r="W2380" s="1108"/>
      <c r="X2380" s="1108"/>
      <c r="Y2380" s="1108"/>
      <c r="Z2380" s="1114"/>
      <c r="AA2380" s="1114"/>
      <c r="AB2380" s="1114"/>
      <c r="AC2380" s="1117"/>
      <c r="AD2380" s="1115"/>
      <c r="AE2380" s="1115"/>
      <c r="AF2380" s="1115"/>
      <c r="AG2380" s="1115"/>
      <c r="AH2380" s="1115"/>
      <c r="AI2380" s="1115"/>
      <c r="AJ2380" s="1117"/>
      <c r="AK2380" s="1118"/>
      <c r="AL2380" s="1115"/>
      <c r="AM2380" s="1115"/>
      <c r="AN2380" s="1115"/>
      <c r="AO2380" s="1115"/>
      <c r="AP2380" s="1115"/>
      <c r="AQ2380" s="1115"/>
      <c r="AR2380" s="1115"/>
      <c r="AS2380" s="1117"/>
      <c r="AT2380" s="1196" t="str">
        <f t="shared" si="428"/>
        <v/>
      </c>
      <c r="AU2380" s="1193"/>
      <c r="AV2380" s="330">
        <f>SQRT(($R2380-Infrastructure!J$3)^2+($S2380-Infrastructure!K$3)^2)</f>
        <v>28.90155705</v>
      </c>
      <c r="AW2380" s="331">
        <f>SQRT(($R2380-Infrastructure!J$4)^2+($S2380-Infrastructure!K$4)^2)</f>
        <v>17.80252791</v>
      </c>
      <c r="AX2380" s="331">
        <f>SQRT(($R2380-Infrastructure!J$5)^2+($S2380-Infrastructure!K$5)^2)</f>
        <v>5.10881591</v>
      </c>
      <c r="AY2380" s="331">
        <f>SQRT(($R2380-Infrastructure!J$6)^2+($S2380-Infrastructure!K$6)^2)</f>
        <v>10.10445446</v>
      </c>
      <c r="AZ2380" s="331">
        <f>SQRT(($R2380-Infrastructure!J$7)^2+($S2380-Infrastructure!K$7)^2)</f>
        <v>20.502195</v>
      </c>
      <c r="BA2380" s="331">
        <f>SQRT(($R2380-Infrastructure!J$8)^2+($S2380-Infrastructure!K$8)^2)</f>
        <v>30.10149498</v>
      </c>
      <c r="BB2380" s="331">
        <f>SQRT(($R2380-Infrastructure!J$9)^2+($S2380-Infrastructure!K$9)^2)</f>
        <v>40.3238143</v>
      </c>
      <c r="BC2380" s="331">
        <f>SQRT(($R2380-Infrastructure!J$10)^2+($S2380-Infrastructure!K$10)^2)</f>
        <v>42.72001873</v>
      </c>
      <c r="BD2380" s="331">
        <f>SQRT(($R2380-Infrastructure!J$11)^2+($S2380-Infrastructure!K$11)^2)</f>
        <v>49.56853841</v>
      </c>
      <c r="BE2380" s="333">
        <f>SQRT(($R2380-Infrastructure!J$12)^2+($S2380-Infrastructure!K$12)^2)</f>
        <v>59.51890456</v>
      </c>
      <c r="BF2380" s="330">
        <f t="shared" si="161"/>
        <v>5.10881591</v>
      </c>
      <c r="BG2380" s="333">
        <f t="shared" si="162"/>
        <v>59.51890456</v>
      </c>
      <c r="BH2380" s="1119"/>
      <c r="BI2380" s="319" t="str">
        <f t="shared" ref="BI2380:BR2380" si="1614">IF(ISNUMBER(FIND(BI$3, $CO2380)), "Y", "")</f>
        <v/>
      </c>
      <c r="BJ2380" s="319" t="str">
        <f t="shared" si="1614"/>
        <v/>
      </c>
      <c r="BK2380" s="319" t="str">
        <f t="shared" si="1614"/>
        <v/>
      </c>
      <c r="BL2380" s="319" t="str">
        <f t="shared" si="1614"/>
        <v/>
      </c>
      <c r="BM2380" s="319" t="str">
        <f t="shared" si="1614"/>
        <v/>
      </c>
      <c r="BN2380" s="319" t="str">
        <f t="shared" si="1614"/>
        <v/>
      </c>
      <c r="BO2380" s="319" t="str">
        <f t="shared" si="1614"/>
        <v/>
      </c>
      <c r="BP2380" s="319" t="str">
        <f t="shared" si="1614"/>
        <v/>
      </c>
      <c r="BQ2380" s="319" t="str">
        <f t="shared" si="1614"/>
        <v/>
      </c>
      <c r="BR2380" s="319" t="str">
        <f t="shared" si="1614"/>
        <v/>
      </c>
      <c r="BS2380" s="330">
        <f t="shared" si="185"/>
        <v>0</v>
      </c>
      <c r="BT2380" s="331">
        <f t="shared" si="170"/>
        <v>0</v>
      </c>
      <c r="BU2380" s="920"/>
      <c r="BV2380" s="903" t="str">
        <f t="shared" si="1244"/>
        <v/>
      </c>
      <c r="BW2380" s="908"/>
      <c r="BX2380" s="908"/>
      <c r="BY2380" s="331" t="b">
        <f t="shared" si="201"/>
        <v>0</v>
      </c>
      <c r="BZ2380" s="331"/>
      <c r="CA2380" s="462" t="str">
        <f t="shared" ref="CA2380:CJ2380" si="1615">IF(ISNUMBER(FIND(BI$3, $CP2380)), "Y", "")</f>
        <v/>
      </c>
      <c r="CB2380" s="319" t="str">
        <f t="shared" si="1615"/>
        <v/>
      </c>
      <c r="CC2380" s="319" t="str">
        <f t="shared" si="1615"/>
        <v/>
      </c>
      <c r="CD2380" s="319" t="str">
        <f t="shared" si="1615"/>
        <v/>
      </c>
      <c r="CE2380" s="319" t="str">
        <f t="shared" si="1615"/>
        <v/>
      </c>
      <c r="CF2380" s="319" t="str">
        <f t="shared" si="1615"/>
        <v/>
      </c>
      <c r="CG2380" s="319" t="str">
        <f t="shared" si="1615"/>
        <v/>
      </c>
      <c r="CH2380" s="319" t="str">
        <f t="shared" si="1615"/>
        <v/>
      </c>
      <c r="CI2380" s="319" t="str">
        <f t="shared" si="1615"/>
        <v/>
      </c>
      <c r="CJ2380" s="319" t="str">
        <f t="shared" si="1615"/>
        <v/>
      </c>
      <c r="CK2380" s="342">
        <f t="shared" si="182"/>
        <v>0</v>
      </c>
      <c r="CL2380" s="333">
        <f t="shared" si="183"/>
        <v>0</v>
      </c>
      <c r="CM2380" s="1079"/>
      <c r="CN2380" s="1005"/>
      <c r="CO2380" s="1005"/>
      <c r="CP2380" s="1005"/>
    </row>
    <row r="2381">
      <c r="A2381" s="1257"/>
      <c r="B2381" s="1113"/>
      <c r="C2381" s="1107"/>
      <c r="D2381" s="103"/>
      <c r="E2381" s="1137"/>
      <c r="F2381" s="112"/>
      <c r="G2381" s="1110"/>
      <c r="H2381" s="1138"/>
      <c r="I2381" s="1138"/>
      <c r="J2381" s="1139"/>
      <c r="K2381" s="1111"/>
      <c r="L2381" s="1112"/>
      <c r="M2381" s="1113"/>
      <c r="N2381" s="110"/>
      <c r="O2381" s="1140"/>
      <c r="P2381" s="1115"/>
      <c r="Q2381" s="1116"/>
      <c r="R2381" s="1141"/>
      <c r="S2381" s="1113"/>
      <c r="T2381" s="1143"/>
      <c r="U2381" s="1108"/>
      <c r="V2381" s="1108"/>
      <c r="W2381" s="1108"/>
      <c r="X2381" s="1108"/>
      <c r="Y2381" s="1108"/>
      <c r="Z2381" s="1114"/>
      <c r="AA2381" s="1114"/>
      <c r="AB2381" s="1114"/>
      <c r="AC2381" s="1117"/>
      <c r="AD2381" s="1115"/>
      <c r="AE2381" s="1115"/>
      <c r="AF2381" s="1115"/>
      <c r="AG2381" s="1115"/>
      <c r="AH2381" s="1115"/>
      <c r="AI2381" s="1115"/>
      <c r="AJ2381" s="1117"/>
      <c r="AK2381" s="1118"/>
      <c r="AL2381" s="1115"/>
      <c r="AM2381" s="1115"/>
      <c r="AN2381" s="1115"/>
      <c r="AO2381" s="1115"/>
      <c r="AP2381" s="1115"/>
      <c r="AQ2381" s="1115"/>
      <c r="AR2381" s="1115"/>
      <c r="AS2381" s="1117"/>
      <c r="AT2381" s="1196" t="str">
        <f t="shared" si="428"/>
        <v/>
      </c>
      <c r="AU2381" s="1193"/>
      <c r="AV2381" s="330">
        <f>SQRT(($R2381-Infrastructure!J$3)^2+($S2381-Infrastructure!K$3)^2)</f>
        <v>28.90155705</v>
      </c>
      <c r="AW2381" s="331">
        <f>SQRT(($R2381-Infrastructure!J$4)^2+($S2381-Infrastructure!K$4)^2)</f>
        <v>17.80252791</v>
      </c>
      <c r="AX2381" s="331">
        <f>SQRT(($R2381-Infrastructure!J$5)^2+($S2381-Infrastructure!K$5)^2)</f>
        <v>5.10881591</v>
      </c>
      <c r="AY2381" s="331">
        <f>SQRT(($R2381-Infrastructure!J$6)^2+($S2381-Infrastructure!K$6)^2)</f>
        <v>10.10445446</v>
      </c>
      <c r="AZ2381" s="331">
        <f>SQRT(($R2381-Infrastructure!J$7)^2+($S2381-Infrastructure!K$7)^2)</f>
        <v>20.502195</v>
      </c>
      <c r="BA2381" s="331">
        <f>SQRT(($R2381-Infrastructure!J$8)^2+($S2381-Infrastructure!K$8)^2)</f>
        <v>30.10149498</v>
      </c>
      <c r="BB2381" s="331">
        <f>SQRT(($R2381-Infrastructure!J$9)^2+($S2381-Infrastructure!K$9)^2)</f>
        <v>40.3238143</v>
      </c>
      <c r="BC2381" s="331">
        <f>SQRT(($R2381-Infrastructure!J$10)^2+($S2381-Infrastructure!K$10)^2)</f>
        <v>42.72001873</v>
      </c>
      <c r="BD2381" s="331">
        <f>SQRT(($R2381-Infrastructure!J$11)^2+($S2381-Infrastructure!K$11)^2)</f>
        <v>49.56853841</v>
      </c>
      <c r="BE2381" s="333">
        <f>SQRT(($R2381-Infrastructure!J$12)^2+($S2381-Infrastructure!K$12)^2)</f>
        <v>59.51890456</v>
      </c>
      <c r="BF2381" s="330">
        <f t="shared" si="161"/>
        <v>5.10881591</v>
      </c>
      <c r="BG2381" s="333">
        <f t="shared" si="162"/>
        <v>59.51890456</v>
      </c>
      <c r="BH2381" s="1119"/>
      <c r="BI2381" s="319" t="str">
        <f t="shared" ref="BI2381:BR2381" si="1616">IF(ISNUMBER(FIND(BI$3, $CO2381)), "Y", "")</f>
        <v/>
      </c>
      <c r="BJ2381" s="319" t="str">
        <f t="shared" si="1616"/>
        <v/>
      </c>
      <c r="BK2381" s="319" t="str">
        <f t="shared" si="1616"/>
        <v/>
      </c>
      <c r="BL2381" s="319" t="str">
        <f t="shared" si="1616"/>
        <v/>
      </c>
      <c r="BM2381" s="319" t="str">
        <f t="shared" si="1616"/>
        <v/>
      </c>
      <c r="BN2381" s="319" t="str">
        <f t="shared" si="1616"/>
        <v/>
      </c>
      <c r="BO2381" s="319" t="str">
        <f t="shared" si="1616"/>
        <v/>
      </c>
      <c r="BP2381" s="319" t="str">
        <f t="shared" si="1616"/>
        <v/>
      </c>
      <c r="BQ2381" s="319" t="str">
        <f t="shared" si="1616"/>
        <v/>
      </c>
      <c r="BR2381" s="319" t="str">
        <f t="shared" si="1616"/>
        <v/>
      </c>
      <c r="BS2381" s="330">
        <f t="shared" si="185"/>
        <v>0</v>
      </c>
      <c r="BT2381" s="331">
        <f t="shared" si="170"/>
        <v>0</v>
      </c>
      <c r="BU2381" s="920"/>
      <c r="BV2381" s="903" t="str">
        <f t="shared" si="1244"/>
        <v/>
      </c>
      <c r="BW2381" s="908"/>
      <c r="BX2381" s="908"/>
      <c r="BY2381" s="331" t="b">
        <f t="shared" si="201"/>
        <v>0</v>
      </c>
      <c r="BZ2381" s="331"/>
      <c r="CA2381" s="462" t="str">
        <f t="shared" ref="CA2381:CJ2381" si="1617">IF(ISNUMBER(FIND(BI$3, $CP2381)), "Y", "")</f>
        <v/>
      </c>
      <c r="CB2381" s="319" t="str">
        <f t="shared" si="1617"/>
        <v/>
      </c>
      <c r="CC2381" s="319" t="str">
        <f t="shared" si="1617"/>
        <v/>
      </c>
      <c r="CD2381" s="319" t="str">
        <f t="shared" si="1617"/>
        <v/>
      </c>
      <c r="CE2381" s="319" t="str">
        <f t="shared" si="1617"/>
        <v/>
      </c>
      <c r="CF2381" s="319" t="str">
        <f t="shared" si="1617"/>
        <v/>
      </c>
      <c r="CG2381" s="319" t="str">
        <f t="shared" si="1617"/>
        <v/>
      </c>
      <c r="CH2381" s="319" t="str">
        <f t="shared" si="1617"/>
        <v/>
      </c>
      <c r="CI2381" s="319" t="str">
        <f t="shared" si="1617"/>
        <v/>
      </c>
      <c r="CJ2381" s="319" t="str">
        <f t="shared" si="1617"/>
        <v/>
      </c>
      <c r="CK2381" s="342">
        <f t="shared" si="182"/>
        <v>0</v>
      </c>
      <c r="CL2381" s="333">
        <f t="shared" si="183"/>
        <v>0</v>
      </c>
      <c r="CM2381" s="1079"/>
      <c r="CN2381" s="1005"/>
      <c r="CO2381" s="1005"/>
      <c r="CP2381" s="1005"/>
    </row>
    <row r="2382">
      <c r="A2382" s="1257"/>
      <c r="B2382" s="1113"/>
      <c r="C2382" s="1107"/>
      <c r="D2382" s="103"/>
      <c r="E2382" s="1137"/>
      <c r="F2382" s="112"/>
      <c r="G2382" s="1110"/>
      <c r="H2382" s="1138"/>
      <c r="I2382" s="1138"/>
      <c r="J2382" s="1139"/>
      <c r="K2382" s="1111"/>
      <c r="L2382" s="1112"/>
      <c r="M2382" s="1113"/>
      <c r="N2382" s="110"/>
      <c r="O2382" s="1140"/>
      <c r="P2382" s="1115"/>
      <c r="Q2382" s="1116"/>
      <c r="R2382" s="1141"/>
      <c r="S2382" s="1113"/>
      <c r="T2382" s="1143"/>
      <c r="U2382" s="1108"/>
      <c r="V2382" s="1108"/>
      <c r="W2382" s="1108"/>
      <c r="X2382" s="1108"/>
      <c r="Y2382" s="1108"/>
      <c r="Z2382" s="1114"/>
      <c r="AA2382" s="1114"/>
      <c r="AB2382" s="1114"/>
      <c r="AC2382" s="1117"/>
      <c r="AD2382" s="1115"/>
      <c r="AE2382" s="1115"/>
      <c r="AF2382" s="1115"/>
      <c r="AG2382" s="1115"/>
      <c r="AH2382" s="1115"/>
      <c r="AI2382" s="1115"/>
      <c r="AJ2382" s="1117"/>
      <c r="AK2382" s="1118"/>
      <c r="AL2382" s="1115"/>
      <c r="AM2382" s="1115"/>
      <c r="AN2382" s="1115"/>
      <c r="AO2382" s="1115"/>
      <c r="AP2382" s="1115"/>
      <c r="AQ2382" s="1115"/>
      <c r="AR2382" s="1115"/>
      <c r="AS2382" s="1117"/>
      <c r="AT2382" s="1196" t="str">
        <f t="shared" si="428"/>
        <v/>
      </c>
      <c r="AU2382" s="1193"/>
      <c r="AV2382" s="330">
        <f>SQRT(($R2382-Infrastructure!J$3)^2+($S2382-Infrastructure!K$3)^2)</f>
        <v>28.90155705</v>
      </c>
      <c r="AW2382" s="331">
        <f>SQRT(($R2382-Infrastructure!J$4)^2+($S2382-Infrastructure!K$4)^2)</f>
        <v>17.80252791</v>
      </c>
      <c r="AX2382" s="331">
        <f>SQRT(($R2382-Infrastructure!J$5)^2+($S2382-Infrastructure!K$5)^2)</f>
        <v>5.10881591</v>
      </c>
      <c r="AY2382" s="331">
        <f>SQRT(($R2382-Infrastructure!J$6)^2+($S2382-Infrastructure!K$6)^2)</f>
        <v>10.10445446</v>
      </c>
      <c r="AZ2382" s="331">
        <f>SQRT(($R2382-Infrastructure!J$7)^2+($S2382-Infrastructure!K$7)^2)</f>
        <v>20.502195</v>
      </c>
      <c r="BA2382" s="331">
        <f>SQRT(($R2382-Infrastructure!J$8)^2+($S2382-Infrastructure!K$8)^2)</f>
        <v>30.10149498</v>
      </c>
      <c r="BB2382" s="331">
        <f>SQRT(($R2382-Infrastructure!J$9)^2+($S2382-Infrastructure!K$9)^2)</f>
        <v>40.3238143</v>
      </c>
      <c r="BC2382" s="331">
        <f>SQRT(($R2382-Infrastructure!J$10)^2+($S2382-Infrastructure!K$10)^2)</f>
        <v>42.72001873</v>
      </c>
      <c r="BD2382" s="331">
        <f>SQRT(($R2382-Infrastructure!J$11)^2+($S2382-Infrastructure!K$11)^2)</f>
        <v>49.56853841</v>
      </c>
      <c r="BE2382" s="333">
        <f>SQRT(($R2382-Infrastructure!J$12)^2+($S2382-Infrastructure!K$12)^2)</f>
        <v>59.51890456</v>
      </c>
      <c r="BF2382" s="330">
        <f t="shared" si="161"/>
        <v>5.10881591</v>
      </c>
      <c r="BG2382" s="333">
        <f t="shared" si="162"/>
        <v>59.51890456</v>
      </c>
      <c r="BH2382" s="1119"/>
      <c r="BI2382" s="319" t="str">
        <f t="shared" ref="BI2382:BR2382" si="1618">IF(ISNUMBER(FIND(BI$3, $CO2382)), "Y", "")</f>
        <v/>
      </c>
      <c r="BJ2382" s="319" t="str">
        <f t="shared" si="1618"/>
        <v/>
      </c>
      <c r="BK2382" s="319" t="str">
        <f t="shared" si="1618"/>
        <v/>
      </c>
      <c r="BL2382" s="319" t="str">
        <f t="shared" si="1618"/>
        <v/>
      </c>
      <c r="BM2382" s="319" t="str">
        <f t="shared" si="1618"/>
        <v/>
      </c>
      <c r="BN2382" s="319" t="str">
        <f t="shared" si="1618"/>
        <v/>
      </c>
      <c r="BO2382" s="319" t="str">
        <f t="shared" si="1618"/>
        <v/>
      </c>
      <c r="BP2382" s="319" t="str">
        <f t="shared" si="1618"/>
        <v/>
      </c>
      <c r="BQ2382" s="319" t="str">
        <f t="shared" si="1618"/>
        <v/>
      </c>
      <c r="BR2382" s="319" t="str">
        <f t="shared" si="1618"/>
        <v/>
      </c>
      <c r="BS2382" s="330">
        <f t="shared" si="185"/>
        <v>0</v>
      </c>
      <c r="BT2382" s="331">
        <f t="shared" si="170"/>
        <v>0</v>
      </c>
      <c r="BU2382" s="920"/>
      <c r="BV2382" s="903" t="str">
        <f t="shared" si="1244"/>
        <v/>
      </c>
      <c r="BW2382" s="908"/>
      <c r="BX2382" s="908"/>
      <c r="BY2382" s="331" t="b">
        <f t="shared" si="201"/>
        <v>0</v>
      </c>
      <c r="BZ2382" s="331"/>
      <c r="CA2382" s="462" t="str">
        <f t="shared" ref="CA2382:CJ2382" si="1619">IF(ISNUMBER(FIND(BI$3, $CP2382)), "Y", "")</f>
        <v/>
      </c>
      <c r="CB2382" s="319" t="str">
        <f t="shared" si="1619"/>
        <v/>
      </c>
      <c r="CC2382" s="319" t="str">
        <f t="shared" si="1619"/>
        <v/>
      </c>
      <c r="CD2382" s="319" t="str">
        <f t="shared" si="1619"/>
        <v/>
      </c>
      <c r="CE2382" s="319" t="str">
        <f t="shared" si="1619"/>
        <v/>
      </c>
      <c r="CF2382" s="319" t="str">
        <f t="shared" si="1619"/>
        <v/>
      </c>
      <c r="CG2382" s="319" t="str">
        <f t="shared" si="1619"/>
        <v/>
      </c>
      <c r="CH2382" s="319" t="str">
        <f t="shared" si="1619"/>
        <v/>
      </c>
      <c r="CI2382" s="319" t="str">
        <f t="shared" si="1619"/>
        <v/>
      </c>
      <c r="CJ2382" s="319" t="str">
        <f t="shared" si="1619"/>
        <v/>
      </c>
      <c r="CK2382" s="342">
        <f t="shared" si="182"/>
        <v>0</v>
      </c>
      <c r="CL2382" s="333">
        <f t="shared" si="183"/>
        <v>0</v>
      </c>
      <c r="CM2382" s="1079"/>
      <c r="CN2382" s="1005"/>
      <c r="CO2382" s="1005"/>
      <c r="CP2382" s="1005"/>
    </row>
    <row r="2383">
      <c r="A2383" s="1257"/>
      <c r="B2383" s="1113"/>
      <c r="C2383" s="1107"/>
      <c r="D2383" s="103"/>
      <c r="E2383" s="1137"/>
      <c r="F2383" s="112"/>
      <c r="G2383" s="1110"/>
      <c r="H2383" s="1138"/>
      <c r="I2383" s="1138"/>
      <c r="J2383" s="1139"/>
      <c r="K2383" s="1111"/>
      <c r="L2383" s="1112"/>
      <c r="M2383" s="1113"/>
      <c r="N2383" s="110"/>
      <c r="O2383" s="1140"/>
      <c r="P2383" s="1115"/>
      <c r="Q2383" s="1116"/>
      <c r="R2383" s="1141"/>
      <c r="S2383" s="1113"/>
      <c r="T2383" s="1143"/>
      <c r="U2383" s="1108"/>
      <c r="V2383" s="1108"/>
      <c r="W2383" s="1108"/>
      <c r="X2383" s="1108"/>
      <c r="Y2383" s="1108"/>
      <c r="Z2383" s="1114"/>
      <c r="AA2383" s="1114"/>
      <c r="AB2383" s="1114"/>
      <c r="AC2383" s="1117"/>
      <c r="AD2383" s="1115"/>
      <c r="AE2383" s="1115"/>
      <c r="AF2383" s="1115"/>
      <c r="AG2383" s="1115"/>
      <c r="AH2383" s="1115"/>
      <c r="AI2383" s="1115"/>
      <c r="AJ2383" s="1117"/>
      <c r="AK2383" s="1118"/>
      <c r="AL2383" s="1115"/>
      <c r="AM2383" s="1115"/>
      <c r="AN2383" s="1115"/>
      <c r="AO2383" s="1115"/>
      <c r="AP2383" s="1115"/>
      <c r="AQ2383" s="1115"/>
      <c r="AR2383" s="1115"/>
      <c r="AS2383" s="1117"/>
      <c r="AT2383" s="1196" t="str">
        <f t="shared" si="428"/>
        <v/>
      </c>
      <c r="AU2383" s="1193"/>
      <c r="AV2383" s="330">
        <f>SQRT(($R2383-Infrastructure!J$3)^2+($S2383-Infrastructure!K$3)^2)</f>
        <v>28.90155705</v>
      </c>
      <c r="AW2383" s="331">
        <f>SQRT(($R2383-Infrastructure!J$4)^2+($S2383-Infrastructure!K$4)^2)</f>
        <v>17.80252791</v>
      </c>
      <c r="AX2383" s="331">
        <f>SQRT(($R2383-Infrastructure!J$5)^2+($S2383-Infrastructure!K$5)^2)</f>
        <v>5.10881591</v>
      </c>
      <c r="AY2383" s="331">
        <f>SQRT(($R2383-Infrastructure!J$6)^2+($S2383-Infrastructure!K$6)^2)</f>
        <v>10.10445446</v>
      </c>
      <c r="AZ2383" s="331">
        <f>SQRT(($R2383-Infrastructure!J$7)^2+($S2383-Infrastructure!K$7)^2)</f>
        <v>20.502195</v>
      </c>
      <c r="BA2383" s="331">
        <f>SQRT(($R2383-Infrastructure!J$8)^2+($S2383-Infrastructure!K$8)^2)</f>
        <v>30.10149498</v>
      </c>
      <c r="BB2383" s="331">
        <f>SQRT(($R2383-Infrastructure!J$9)^2+($S2383-Infrastructure!K$9)^2)</f>
        <v>40.3238143</v>
      </c>
      <c r="BC2383" s="331">
        <f>SQRT(($R2383-Infrastructure!J$10)^2+($S2383-Infrastructure!K$10)^2)</f>
        <v>42.72001873</v>
      </c>
      <c r="BD2383" s="331">
        <f>SQRT(($R2383-Infrastructure!J$11)^2+($S2383-Infrastructure!K$11)^2)</f>
        <v>49.56853841</v>
      </c>
      <c r="BE2383" s="333">
        <f>SQRT(($R2383-Infrastructure!J$12)^2+($S2383-Infrastructure!K$12)^2)</f>
        <v>59.51890456</v>
      </c>
      <c r="BF2383" s="330">
        <f t="shared" si="161"/>
        <v>5.10881591</v>
      </c>
      <c r="BG2383" s="333">
        <f t="shared" si="162"/>
        <v>59.51890456</v>
      </c>
      <c r="BH2383" s="1119"/>
      <c r="BI2383" s="319" t="str">
        <f t="shared" ref="BI2383:BR2383" si="1620">IF(ISNUMBER(FIND(BI$3, $CO2383)), "Y", "")</f>
        <v/>
      </c>
      <c r="BJ2383" s="319" t="str">
        <f t="shared" si="1620"/>
        <v/>
      </c>
      <c r="BK2383" s="319" t="str">
        <f t="shared" si="1620"/>
        <v/>
      </c>
      <c r="BL2383" s="319" t="str">
        <f t="shared" si="1620"/>
        <v/>
      </c>
      <c r="BM2383" s="319" t="str">
        <f t="shared" si="1620"/>
        <v/>
      </c>
      <c r="BN2383" s="319" t="str">
        <f t="shared" si="1620"/>
        <v/>
      </c>
      <c r="BO2383" s="319" t="str">
        <f t="shared" si="1620"/>
        <v/>
      </c>
      <c r="BP2383" s="319" t="str">
        <f t="shared" si="1620"/>
        <v/>
      </c>
      <c r="BQ2383" s="319" t="str">
        <f t="shared" si="1620"/>
        <v/>
      </c>
      <c r="BR2383" s="319" t="str">
        <f t="shared" si="1620"/>
        <v/>
      </c>
      <c r="BS2383" s="330">
        <f t="shared" si="185"/>
        <v>0</v>
      </c>
      <c r="BT2383" s="331">
        <f t="shared" si="170"/>
        <v>0</v>
      </c>
      <c r="BU2383" s="920"/>
      <c r="BV2383" s="903" t="str">
        <f t="shared" si="1244"/>
        <v/>
      </c>
      <c r="BW2383" s="908"/>
      <c r="BX2383" s="908"/>
      <c r="BY2383" s="331" t="b">
        <f t="shared" si="201"/>
        <v>0</v>
      </c>
      <c r="BZ2383" s="331"/>
      <c r="CA2383" s="462" t="str">
        <f t="shared" ref="CA2383:CJ2383" si="1621">IF(ISNUMBER(FIND(BI$3, $CP2383)), "Y", "")</f>
        <v/>
      </c>
      <c r="CB2383" s="319" t="str">
        <f t="shared" si="1621"/>
        <v/>
      </c>
      <c r="CC2383" s="319" t="str">
        <f t="shared" si="1621"/>
        <v/>
      </c>
      <c r="CD2383" s="319" t="str">
        <f t="shared" si="1621"/>
        <v/>
      </c>
      <c r="CE2383" s="319" t="str">
        <f t="shared" si="1621"/>
        <v/>
      </c>
      <c r="CF2383" s="319" t="str">
        <f t="shared" si="1621"/>
        <v/>
      </c>
      <c r="CG2383" s="319" t="str">
        <f t="shared" si="1621"/>
        <v/>
      </c>
      <c r="CH2383" s="319" t="str">
        <f t="shared" si="1621"/>
        <v/>
      </c>
      <c r="CI2383" s="319" t="str">
        <f t="shared" si="1621"/>
        <v/>
      </c>
      <c r="CJ2383" s="319" t="str">
        <f t="shared" si="1621"/>
        <v/>
      </c>
      <c r="CK2383" s="342">
        <f t="shared" si="182"/>
        <v>0</v>
      </c>
      <c r="CL2383" s="333">
        <f t="shared" si="183"/>
        <v>0</v>
      </c>
      <c r="CM2383" s="1079"/>
      <c r="CN2383" s="1005"/>
      <c r="CO2383" s="1005"/>
      <c r="CP2383" s="1005"/>
    </row>
    <row r="2384">
      <c r="A2384" s="1257"/>
      <c r="B2384" s="1113"/>
      <c r="C2384" s="1107"/>
      <c r="D2384" s="103"/>
      <c r="E2384" s="1137"/>
      <c r="F2384" s="112"/>
      <c r="G2384" s="1110"/>
      <c r="H2384" s="1138"/>
      <c r="I2384" s="1138"/>
      <c r="J2384" s="1139"/>
      <c r="K2384" s="1111"/>
      <c r="L2384" s="1112"/>
      <c r="M2384" s="1113"/>
      <c r="N2384" s="110"/>
      <c r="O2384" s="1140"/>
      <c r="P2384" s="1115"/>
      <c r="Q2384" s="1116"/>
      <c r="R2384" s="1141"/>
      <c r="S2384" s="1113"/>
      <c r="T2384" s="1143"/>
      <c r="U2384" s="1108"/>
      <c r="V2384" s="1108"/>
      <c r="W2384" s="1108"/>
      <c r="X2384" s="1108"/>
      <c r="Y2384" s="1108"/>
      <c r="Z2384" s="1114"/>
      <c r="AA2384" s="1114"/>
      <c r="AB2384" s="1114"/>
      <c r="AC2384" s="1117"/>
      <c r="AD2384" s="1115"/>
      <c r="AE2384" s="1115"/>
      <c r="AF2384" s="1115"/>
      <c r="AG2384" s="1115"/>
      <c r="AH2384" s="1115"/>
      <c r="AI2384" s="1115"/>
      <c r="AJ2384" s="1117"/>
      <c r="AK2384" s="1118"/>
      <c r="AL2384" s="1115"/>
      <c r="AM2384" s="1115"/>
      <c r="AN2384" s="1115"/>
      <c r="AO2384" s="1115"/>
      <c r="AP2384" s="1115"/>
      <c r="AQ2384" s="1115"/>
      <c r="AR2384" s="1115"/>
      <c r="AS2384" s="1117"/>
      <c r="AT2384" s="1196" t="str">
        <f t="shared" si="428"/>
        <v/>
      </c>
      <c r="AU2384" s="1193"/>
      <c r="AV2384" s="330">
        <f>SQRT(($R2384-Infrastructure!J$3)^2+($S2384-Infrastructure!K$3)^2)</f>
        <v>28.90155705</v>
      </c>
      <c r="AW2384" s="331">
        <f>SQRT(($R2384-Infrastructure!J$4)^2+($S2384-Infrastructure!K$4)^2)</f>
        <v>17.80252791</v>
      </c>
      <c r="AX2384" s="331">
        <f>SQRT(($R2384-Infrastructure!J$5)^2+($S2384-Infrastructure!K$5)^2)</f>
        <v>5.10881591</v>
      </c>
      <c r="AY2384" s="331">
        <f>SQRT(($R2384-Infrastructure!J$6)^2+($S2384-Infrastructure!K$6)^2)</f>
        <v>10.10445446</v>
      </c>
      <c r="AZ2384" s="331">
        <f>SQRT(($R2384-Infrastructure!J$7)^2+($S2384-Infrastructure!K$7)^2)</f>
        <v>20.502195</v>
      </c>
      <c r="BA2384" s="331">
        <f>SQRT(($R2384-Infrastructure!J$8)^2+($S2384-Infrastructure!K$8)^2)</f>
        <v>30.10149498</v>
      </c>
      <c r="BB2384" s="331">
        <f>SQRT(($R2384-Infrastructure!J$9)^2+($S2384-Infrastructure!K$9)^2)</f>
        <v>40.3238143</v>
      </c>
      <c r="BC2384" s="331">
        <f>SQRT(($R2384-Infrastructure!J$10)^2+($S2384-Infrastructure!K$10)^2)</f>
        <v>42.72001873</v>
      </c>
      <c r="BD2384" s="331">
        <f>SQRT(($R2384-Infrastructure!J$11)^2+($S2384-Infrastructure!K$11)^2)</f>
        <v>49.56853841</v>
      </c>
      <c r="BE2384" s="333">
        <f>SQRT(($R2384-Infrastructure!J$12)^2+($S2384-Infrastructure!K$12)^2)</f>
        <v>59.51890456</v>
      </c>
      <c r="BF2384" s="330">
        <f t="shared" si="161"/>
        <v>5.10881591</v>
      </c>
      <c r="BG2384" s="333">
        <f t="shared" si="162"/>
        <v>59.51890456</v>
      </c>
      <c r="BH2384" s="1119"/>
      <c r="BI2384" s="319" t="str">
        <f t="shared" ref="BI2384:BR2384" si="1622">IF(ISNUMBER(FIND(BI$3, $CO2384)), "Y", "")</f>
        <v/>
      </c>
      <c r="BJ2384" s="319" t="str">
        <f t="shared" si="1622"/>
        <v/>
      </c>
      <c r="BK2384" s="319" t="str">
        <f t="shared" si="1622"/>
        <v/>
      </c>
      <c r="BL2384" s="319" t="str">
        <f t="shared" si="1622"/>
        <v/>
      </c>
      <c r="BM2384" s="319" t="str">
        <f t="shared" si="1622"/>
        <v/>
      </c>
      <c r="BN2384" s="319" t="str">
        <f t="shared" si="1622"/>
        <v/>
      </c>
      <c r="BO2384" s="319" t="str">
        <f t="shared" si="1622"/>
        <v/>
      </c>
      <c r="BP2384" s="319" t="str">
        <f t="shared" si="1622"/>
        <v/>
      </c>
      <c r="BQ2384" s="319" t="str">
        <f t="shared" si="1622"/>
        <v/>
      </c>
      <c r="BR2384" s="319" t="str">
        <f t="shared" si="1622"/>
        <v/>
      </c>
      <c r="BS2384" s="330">
        <f t="shared" si="185"/>
        <v>0</v>
      </c>
      <c r="BT2384" s="331">
        <f t="shared" si="170"/>
        <v>0</v>
      </c>
      <c r="BU2384" s="920"/>
      <c r="BV2384" s="903" t="str">
        <f t="shared" si="1244"/>
        <v/>
      </c>
      <c r="BW2384" s="908"/>
      <c r="BX2384" s="908"/>
      <c r="BY2384" s="331" t="b">
        <f t="shared" si="201"/>
        <v>0</v>
      </c>
      <c r="BZ2384" s="331"/>
      <c r="CA2384" s="462" t="str">
        <f t="shared" ref="CA2384:CJ2384" si="1623">IF(ISNUMBER(FIND(BI$3, $CP2384)), "Y", "")</f>
        <v/>
      </c>
      <c r="CB2384" s="319" t="str">
        <f t="shared" si="1623"/>
        <v/>
      </c>
      <c r="CC2384" s="319" t="str">
        <f t="shared" si="1623"/>
        <v/>
      </c>
      <c r="CD2384" s="319" t="str">
        <f t="shared" si="1623"/>
        <v/>
      </c>
      <c r="CE2384" s="319" t="str">
        <f t="shared" si="1623"/>
        <v/>
      </c>
      <c r="CF2384" s="319" t="str">
        <f t="shared" si="1623"/>
        <v/>
      </c>
      <c r="CG2384" s="319" t="str">
        <f t="shared" si="1623"/>
        <v/>
      </c>
      <c r="CH2384" s="319" t="str">
        <f t="shared" si="1623"/>
        <v/>
      </c>
      <c r="CI2384" s="319" t="str">
        <f t="shared" si="1623"/>
        <v/>
      </c>
      <c r="CJ2384" s="319" t="str">
        <f t="shared" si="1623"/>
        <v/>
      </c>
      <c r="CK2384" s="342">
        <f t="shared" si="182"/>
        <v>0</v>
      </c>
      <c r="CL2384" s="333">
        <f t="shared" si="183"/>
        <v>0</v>
      </c>
      <c r="CM2384" s="1079"/>
      <c r="CN2384" s="1005"/>
      <c r="CO2384" s="1005"/>
      <c r="CP2384" s="1005"/>
    </row>
    <row r="2385">
      <c r="A2385" s="1257"/>
      <c r="B2385" s="1113"/>
      <c r="C2385" s="1107"/>
      <c r="D2385" s="103"/>
      <c r="E2385" s="1137"/>
      <c r="F2385" s="112"/>
      <c r="G2385" s="1110"/>
      <c r="H2385" s="1138"/>
      <c r="I2385" s="1138"/>
      <c r="J2385" s="1139"/>
      <c r="K2385" s="1111"/>
      <c r="L2385" s="1112"/>
      <c r="M2385" s="1113"/>
      <c r="N2385" s="110"/>
      <c r="O2385" s="1140"/>
      <c r="P2385" s="1115"/>
      <c r="Q2385" s="1116"/>
      <c r="R2385" s="1141"/>
      <c r="S2385" s="1113"/>
      <c r="T2385" s="1143"/>
      <c r="U2385" s="1108"/>
      <c r="V2385" s="1108"/>
      <c r="W2385" s="1108"/>
      <c r="X2385" s="1108"/>
      <c r="Y2385" s="1108"/>
      <c r="Z2385" s="1114"/>
      <c r="AA2385" s="1114"/>
      <c r="AB2385" s="1114"/>
      <c r="AC2385" s="1117"/>
      <c r="AD2385" s="1115"/>
      <c r="AE2385" s="1115"/>
      <c r="AF2385" s="1115"/>
      <c r="AG2385" s="1115"/>
      <c r="AH2385" s="1115"/>
      <c r="AI2385" s="1115"/>
      <c r="AJ2385" s="1117"/>
      <c r="AK2385" s="1118"/>
      <c r="AL2385" s="1115"/>
      <c r="AM2385" s="1115"/>
      <c r="AN2385" s="1115"/>
      <c r="AO2385" s="1115"/>
      <c r="AP2385" s="1115"/>
      <c r="AQ2385" s="1115"/>
      <c r="AR2385" s="1115"/>
      <c r="AS2385" s="1117"/>
      <c r="AT2385" s="1196" t="str">
        <f t="shared" si="428"/>
        <v/>
      </c>
      <c r="AU2385" s="1193"/>
      <c r="AV2385" s="330">
        <f>SQRT(($R2385-Infrastructure!J$3)^2+($S2385-Infrastructure!K$3)^2)</f>
        <v>28.90155705</v>
      </c>
      <c r="AW2385" s="331">
        <f>SQRT(($R2385-Infrastructure!J$4)^2+($S2385-Infrastructure!K$4)^2)</f>
        <v>17.80252791</v>
      </c>
      <c r="AX2385" s="331">
        <f>SQRT(($R2385-Infrastructure!J$5)^2+($S2385-Infrastructure!K$5)^2)</f>
        <v>5.10881591</v>
      </c>
      <c r="AY2385" s="331">
        <f>SQRT(($R2385-Infrastructure!J$6)^2+($S2385-Infrastructure!K$6)^2)</f>
        <v>10.10445446</v>
      </c>
      <c r="AZ2385" s="331">
        <f>SQRT(($R2385-Infrastructure!J$7)^2+($S2385-Infrastructure!K$7)^2)</f>
        <v>20.502195</v>
      </c>
      <c r="BA2385" s="331">
        <f>SQRT(($R2385-Infrastructure!J$8)^2+($S2385-Infrastructure!K$8)^2)</f>
        <v>30.10149498</v>
      </c>
      <c r="BB2385" s="331">
        <f>SQRT(($R2385-Infrastructure!J$9)^2+($S2385-Infrastructure!K$9)^2)</f>
        <v>40.3238143</v>
      </c>
      <c r="BC2385" s="331">
        <f>SQRT(($R2385-Infrastructure!J$10)^2+($S2385-Infrastructure!K$10)^2)</f>
        <v>42.72001873</v>
      </c>
      <c r="BD2385" s="331">
        <f>SQRT(($R2385-Infrastructure!J$11)^2+($S2385-Infrastructure!K$11)^2)</f>
        <v>49.56853841</v>
      </c>
      <c r="BE2385" s="333">
        <f>SQRT(($R2385-Infrastructure!J$12)^2+($S2385-Infrastructure!K$12)^2)</f>
        <v>59.51890456</v>
      </c>
      <c r="BF2385" s="330">
        <f t="shared" si="161"/>
        <v>5.10881591</v>
      </c>
      <c r="BG2385" s="333">
        <f t="shared" si="162"/>
        <v>59.51890456</v>
      </c>
      <c r="BH2385" s="1119"/>
      <c r="BI2385" s="319" t="str">
        <f t="shared" ref="BI2385:BR2385" si="1624">IF(ISNUMBER(FIND(BI$3, $CO2385)), "Y", "")</f>
        <v/>
      </c>
      <c r="BJ2385" s="319" t="str">
        <f t="shared" si="1624"/>
        <v/>
      </c>
      <c r="BK2385" s="319" t="str">
        <f t="shared" si="1624"/>
        <v/>
      </c>
      <c r="BL2385" s="319" t="str">
        <f t="shared" si="1624"/>
        <v/>
      </c>
      <c r="BM2385" s="319" t="str">
        <f t="shared" si="1624"/>
        <v/>
      </c>
      <c r="BN2385" s="319" t="str">
        <f t="shared" si="1624"/>
        <v/>
      </c>
      <c r="BO2385" s="319" t="str">
        <f t="shared" si="1624"/>
        <v/>
      </c>
      <c r="BP2385" s="319" t="str">
        <f t="shared" si="1624"/>
        <v/>
      </c>
      <c r="BQ2385" s="319" t="str">
        <f t="shared" si="1624"/>
        <v/>
      </c>
      <c r="BR2385" s="319" t="str">
        <f t="shared" si="1624"/>
        <v/>
      </c>
      <c r="BS2385" s="330">
        <f t="shared" si="185"/>
        <v>0</v>
      </c>
      <c r="BT2385" s="331">
        <f t="shared" si="170"/>
        <v>0</v>
      </c>
      <c r="BU2385" s="920"/>
      <c r="BV2385" s="903" t="str">
        <f t="shared" si="1244"/>
        <v/>
      </c>
      <c r="BW2385" s="908"/>
      <c r="BX2385" s="908"/>
      <c r="BY2385" s="331" t="b">
        <f t="shared" si="201"/>
        <v>0</v>
      </c>
      <c r="BZ2385" s="331"/>
      <c r="CA2385" s="462" t="str">
        <f t="shared" ref="CA2385:CJ2385" si="1625">IF(ISNUMBER(FIND(BI$3, $CP2385)), "Y", "")</f>
        <v/>
      </c>
      <c r="CB2385" s="319" t="str">
        <f t="shared" si="1625"/>
        <v/>
      </c>
      <c r="CC2385" s="319" t="str">
        <f t="shared" si="1625"/>
        <v/>
      </c>
      <c r="CD2385" s="319" t="str">
        <f t="shared" si="1625"/>
        <v/>
      </c>
      <c r="CE2385" s="319" t="str">
        <f t="shared" si="1625"/>
        <v/>
      </c>
      <c r="CF2385" s="319" t="str">
        <f t="shared" si="1625"/>
        <v/>
      </c>
      <c r="CG2385" s="319" t="str">
        <f t="shared" si="1625"/>
        <v/>
      </c>
      <c r="CH2385" s="319" t="str">
        <f t="shared" si="1625"/>
        <v/>
      </c>
      <c r="CI2385" s="319" t="str">
        <f t="shared" si="1625"/>
        <v/>
      </c>
      <c r="CJ2385" s="319" t="str">
        <f t="shared" si="1625"/>
        <v/>
      </c>
      <c r="CK2385" s="342">
        <f t="shared" si="182"/>
        <v>0</v>
      </c>
      <c r="CL2385" s="333">
        <f t="shared" si="183"/>
        <v>0</v>
      </c>
      <c r="CM2385" s="1079"/>
      <c r="CN2385" s="1005"/>
      <c r="CO2385" s="1005"/>
      <c r="CP2385" s="1005"/>
    </row>
    <row r="2386">
      <c r="A2386" s="1257"/>
      <c r="B2386" s="1113"/>
      <c r="C2386" s="1107"/>
      <c r="D2386" s="103"/>
      <c r="E2386" s="1137"/>
      <c r="F2386" s="112"/>
      <c r="G2386" s="1110"/>
      <c r="H2386" s="1138"/>
      <c r="I2386" s="1138"/>
      <c r="J2386" s="1139"/>
      <c r="K2386" s="1111"/>
      <c r="L2386" s="1112"/>
      <c r="M2386" s="1113"/>
      <c r="N2386" s="110"/>
      <c r="O2386" s="1140"/>
      <c r="P2386" s="1115"/>
      <c r="Q2386" s="1116"/>
      <c r="R2386" s="1141"/>
      <c r="S2386" s="1113"/>
      <c r="T2386" s="1143"/>
      <c r="U2386" s="1108"/>
      <c r="V2386" s="1108"/>
      <c r="W2386" s="1108"/>
      <c r="X2386" s="1108"/>
      <c r="Y2386" s="1108"/>
      <c r="Z2386" s="1114"/>
      <c r="AA2386" s="1114"/>
      <c r="AB2386" s="1114"/>
      <c r="AC2386" s="1117"/>
      <c r="AD2386" s="1115"/>
      <c r="AE2386" s="1115"/>
      <c r="AF2386" s="1115"/>
      <c r="AG2386" s="1115"/>
      <c r="AH2386" s="1115"/>
      <c r="AI2386" s="1115"/>
      <c r="AJ2386" s="1117"/>
      <c r="AK2386" s="1118"/>
      <c r="AL2386" s="1115"/>
      <c r="AM2386" s="1115"/>
      <c r="AN2386" s="1115"/>
      <c r="AO2386" s="1115"/>
      <c r="AP2386" s="1115"/>
      <c r="AQ2386" s="1115"/>
      <c r="AR2386" s="1115"/>
      <c r="AS2386" s="1117"/>
      <c r="AT2386" s="1196" t="str">
        <f t="shared" si="428"/>
        <v/>
      </c>
      <c r="AU2386" s="1193"/>
      <c r="AV2386" s="330">
        <f>SQRT(($R2386-Infrastructure!J$3)^2+($S2386-Infrastructure!K$3)^2)</f>
        <v>28.90155705</v>
      </c>
      <c r="AW2386" s="331">
        <f>SQRT(($R2386-Infrastructure!J$4)^2+($S2386-Infrastructure!K$4)^2)</f>
        <v>17.80252791</v>
      </c>
      <c r="AX2386" s="331">
        <f>SQRT(($R2386-Infrastructure!J$5)^2+($S2386-Infrastructure!K$5)^2)</f>
        <v>5.10881591</v>
      </c>
      <c r="AY2386" s="331">
        <f>SQRT(($R2386-Infrastructure!J$6)^2+($S2386-Infrastructure!K$6)^2)</f>
        <v>10.10445446</v>
      </c>
      <c r="AZ2386" s="331">
        <f>SQRT(($R2386-Infrastructure!J$7)^2+($S2386-Infrastructure!K$7)^2)</f>
        <v>20.502195</v>
      </c>
      <c r="BA2386" s="331">
        <f>SQRT(($R2386-Infrastructure!J$8)^2+($S2386-Infrastructure!K$8)^2)</f>
        <v>30.10149498</v>
      </c>
      <c r="BB2386" s="331">
        <f>SQRT(($R2386-Infrastructure!J$9)^2+($S2386-Infrastructure!K$9)^2)</f>
        <v>40.3238143</v>
      </c>
      <c r="BC2386" s="331">
        <f>SQRT(($R2386-Infrastructure!J$10)^2+($S2386-Infrastructure!K$10)^2)</f>
        <v>42.72001873</v>
      </c>
      <c r="BD2386" s="331">
        <f>SQRT(($R2386-Infrastructure!J$11)^2+($S2386-Infrastructure!K$11)^2)</f>
        <v>49.56853841</v>
      </c>
      <c r="BE2386" s="333">
        <f>SQRT(($R2386-Infrastructure!J$12)^2+($S2386-Infrastructure!K$12)^2)</f>
        <v>59.51890456</v>
      </c>
      <c r="BF2386" s="330">
        <f t="shared" si="161"/>
        <v>5.10881591</v>
      </c>
      <c r="BG2386" s="333">
        <f t="shared" si="162"/>
        <v>59.51890456</v>
      </c>
      <c r="BH2386" s="1119"/>
      <c r="BI2386" s="319" t="str">
        <f t="shared" ref="BI2386:BR2386" si="1626">IF(ISNUMBER(FIND(BI$3, $CO2386)), "Y", "")</f>
        <v/>
      </c>
      <c r="BJ2386" s="319" t="str">
        <f t="shared" si="1626"/>
        <v/>
      </c>
      <c r="BK2386" s="319" t="str">
        <f t="shared" si="1626"/>
        <v/>
      </c>
      <c r="BL2386" s="319" t="str">
        <f t="shared" si="1626"/>
        <v/>
      </c>
      <c r="BM2386" s="319" t="str">
        <f t="shared" si="1626"/>
        <v/>
      </c>
      <c r="BN2386" s="319" t="str">
        <f t="shared" si="1626"/>
        <v/>
      </c>
      <c r="BO2386" s="319" t="str">
        <f t="shared" si="1626"/>
        <v/>
      </c>
      <c r="BP2386" s="319" t="str">
        <f t="shared" si="1626"/>
        <v/>
      </c>
      <c r="BQ2386" s="319" t="str">
        <f t="shared" si="1626"/>
        <v/>
      </c>
      <c r="BR2386" s="319" t="str">
        <f t="shared" si="1626"/>
        <v/>
      </c>
      <c r="BS2386" s="330">
        <f t="shared" si="185"/>
        <v>0</v>
      </c>
      <c r="BT2386" s="331">
        <f t="shared" si="170"/>
        <v>0</v>
      </c>
      <c r="BU2386" s="920"/>
      <c r="BV2386" s="903" t="str">
        <f t="shared" si="1244"/>
        <v/>
      </c>
      <c r="BW2386" s="908"/>
      <c r="BX2386" s="908"/>
      <c r="BY2386" s="331" t="b">
        <f t="shared" si="201"/>
        <v>0</v>
      </c>
      <c r="BZ2386" s="331"/>
      <c r="CA2386" s="462" t="str">
        <f t="shared" ref="CA2386:CJ2386" si="1627">IF(ISNUMBER(FIND(BI$3, $CP2386)), "Y", "")</f>
        <v/>
      </c>
      <c r="CB2386" s="319" t="str">
        <f t="shared" si="1627"/>
        <v/>
      </c>
      <c r="CC2386" s="319" t="str">
        <f t="shared" si="1627"/>
        <v/>
      </c>
      <c r="CD2386" s="319" t="str">
        <f t="shared" si="1627"/>
        <v/>
      </c>
      <c r="CE2386" s="319" t="str">
        <f t="shared" si="1627"/>
        <v/>
      </c>
      <c r="CF2386" s="319" t="str">
        <f t="shared" si="1627"/>
        <v/>
      </c>
      <c r="CG2386" s="319" t="str">
        <f t="shared" si="1627"/>
        <v/>
      </c>
      <c r="CH2386" s="319" t="str">
        <f t="shared" si="1627"/>
        <v/>
      </c>
      <c r="CI2386" s="319" t="str">
        <f t="shared" si="1627"/>
        <v/>
      </c>
      <c r="CJ2386" s="319" t="str">
        <f t="shared" si="1627"/>
        <v/>
      </c>
      <c r="CK2386" s="342">
        <f t="shared" si="182"/>
        <v>0</v>
      </c>
      <c r="CL2386" s="333">
        <f t="shared" si="183"/>
        <v>0</v>
      </c>
      <c r="CM2386" s="1079"/>
      <c r="CN2386" s="1005"/>
      <c r="CO2386" s="1005"/>
      <c r="CP2386" s="1005"/>
    </row>
    <row r="2387">
      <c r="A2387" s="1257"/>
      <c r="B2387" s="1113"/>
      <c r="C2387" s="1107"/>
      <c r="D2387" s="103"/>
      <c r="E2387" s="1137"/>
      <c r="F2387" s="112"/>
      <c r="G2387" s="1110"/>
      <c r="H2387" s="1138"/>
      <c r="I2387" s="1138"/>
      <c r="J2387" s="1139"/>
      <c r="K2387" s="1111"/>
      <c r="L2387" s="1112"/>
      <c r="M2387" s="1113"/>
      <c r="N2387" s="110"/>
      <c r="O2387" s="1140"/>
      <c r="P2387" s="1115"/>
      <c r="Q2387" s="1116"/>
      <c r="R2387" s="1141"/>
      <c r="S2387" s="1113"/>
      <c r="T2387" s="1143"/>
      <c r="U2387" s="1108"/>
      <c r="V2387" s="1108"/>
      <c r="W2387" s="1108"/>
      <c r="X2387" s="1108"/>
      <c r="Y2387" s="1108"/>
      <c r="Z2387" s="1114"/>
      <c r="AA2387" s="1114"/>
      <c r="AB2387" s="1114"/>
      <c r="AC2387" s="1117"/>
      <c r="AD2387" s="1115"/>
      <c r="AE2387" s="1115"/>
      <c r="AF2387" s="1115"/>
      <c r="AG2387" s="1115"/>
      <c r="AH2387" s="1115"/>
      <c r="AI2387" s="1115"/>
      <c r="AJ2387" s="1117"/>
      <c r="AK2387" s="1118"/>
      <c r="AL2387" s="1115"/>
      <c r="AM2387" s="1115"/>
      <c r="AN2387" s="1115"/>
      <c r="AO2387" s="1115"/>
      <c r="AP2387" s="1115"/>
      <c r="AQ2387" s="1115"/>
      <c r="AR2387" s="1115"/>
      <c r="AS2387" s="1117"/>
      <c r="AT2387" s="1196" t="str">
        <f t="shared" si="428"/>
        <v/>
      </c>
      <c r="AU2387" s="1193"/>
      <c r="AV2387" s="330">
        <f>SQRT(($R2387-Infrastructure!J$3)^2+($S2387-Infrastructure!K$3)^2)</f>
        <v>28.90155705</v>
      </c>
      <c r="AW2387" s="331">
        <f>SQRT(($R2387-Infrastructure!J$4)^2+($S2387-Infrastructure!K$4)^2)</f>
        <v>17.80252791</v>
      </c>
      <c r="AX2387" s="331">
        <f>SQRT(($R2387-Infrastructure!J$5)^2+($S2387-Infrastructure!K$5)^2)</f>
        <v>5.10881591</v>
      </c>
      <c r="AY2387" s="331">
        <f>SQRT(($R2387-Infrastructure!J$6)^2+($S2387-Infrastructure!K$6)^2)</f>
        <v>10.10445446</v>
      </c>
      <c r="AZ2387" s="331">
        <f>SQRT(($R2387-Infrastructure!J$7)^2+($S2387-Infrastructure!K$7)^2)</f>
        <v>20.502195</v>
      </c>
      <c r="BA2387" s="331">
        <f>SQRT(($R2387-Infrastructure!J$8)^2+($S2387-Infrastructure!K$8)^2)</f>
        <v>30.10149498</v>
      </c>
      <c r="BB2387" s="331">
        <f>SQRT(($R2387-Infrastructure!J$9)^2+($S2387-Infrastructure!K$9)^2)</f>
        <v>40.3238143</v>
      </c>
      <c r="BC2387" s="331">
        <f>SQRT(($R2387-Infrastructure!J$10)^2+($S2387-Infrastructure!K$10)^2)</f>
        <v>42.72001873</v>
      </c>
      <c r="BD2387" s="331">
        <f>SQRT(($R2387-Infrastructure!J$11)^2+($S2387-Infrastructure!K$11)^2)</f>
        <v>49.56853841</v>
      </c>
      <c r="BE2387" s="333">
        <f>SQRT(($R2387-Infrastructure!J$12)^2+($S2387-Infrastructure!K$12)^2)</f>
        <v>59.51890456</v>
      </c>
      <c r="BF2387" s="330">
        <f t="shared" si="161"/>
        <v>5.10881591</v>
      </c>
      <c r="BG2387" s="333">
        <f t="shared" si="162"/>
        <v>59.51890456</v>
      </c>
      <c r="BH2387" s="1119"/>
      <c r="BI2387" s="319" t="str">
        <f t="shared" ref="BI2387:BR2387" si="1628">IF(ISNUMBER(FIND(BI$3, $CO2387)), "Y", "")</f>
        <v/>
      </c>
      <c r="BJ2387" s="319" t="str">
        <f t="shared" si="1628"/>
        <v/>
      </c>
      <c r="BK2387" s="319" t="str">
        <f t="shared" si="1628"/>
        <v/>
      </c>
      <c r="BL2387" s="319" t="str">
        <f t="shared" si="1628"/>
        <v/>
      </c>
      <c r="BM2387" s="319" t="str">
        <f t="shared" si="1628"/>
        <v/>
      </c>
      <c r="BN2387" s="319" t="str">
        <f t="shared" si="1628"/>
        <v/>
      </c>
      <c r="BO2387" s="319" t="str">
        <f t="shared" si="1628"/>
        <v/>
      </c>
      <c r="BP2387" s="319" t="str">
        <f t="shared" si="1628"/>
        <v/>
      </c>
      <c r="BQ2387" s="319" t="str">
        <f t="shared" si="1628"/>
        <v/>
      </c>
      <c r="BR2387" s="319" t="str">
        <f t="shared" si="1628"/>
        <v/>
      </c>
      <c r="BS2387" s="330">
        <f t="shared" si="185"/>
        <v>0</v>
      </c>
      <c r="BT2387" s="331">
        <f t="shared" si="170"/>
        <v>0</v>
      </c>
      <c r="BU2387" s="920"/>
      <c r="BV2387" s="903" t="str">
        <f t="shared" si="1244"/>
        <v/>
      </c>
      <c r="BW2387" s="908"/>
      <c r="BX2387" s="908"/>
      <c r="BY2387" s="331" t="b">
        <f t="shared" si="201"/>
        <v>0</v>
      </c>
      <c r="BZ2387" s="331"/>
      <c r="CA2387" s="462" t="str">
        <f t="shared" ref="CA2387:CJ2387" si="1629">IF(ISNUMBER(FIND(BI$3, $CP2387)), "Y", "")</f>
        <v/>
      </c>
      <c r="CB2387" s="319" t="str">
        <f t="shared" si="1629"/>
        <v/>
      </c>
      <c r="CC2387" s="319" t="str">
        <f t="shared" si="1629"/>
        <v/>
      </c>
      <c r="CD2387" s="319" t="str">
        <f t="shared" si="1629"/>
        <v/>
      </c>
      <c r="CE2387" s="319" t="str">
        <f t="shared" si="1629"/>
        <v/>
      </c>
      <c r="CF2387" s="319" t="str">
        <f t="shared" si="1629"/>
        <v/>
      </c>
      <c r="CG2387" s="319" t="str">
        <f t="shared" si="1629"/>
        <v/>
      </c>
      <c r="CH2387" s="319" t="str">
        <f t="shared" si="1629"/>
        <v/>
      </c>
      <c r="CI2387" s="319" t="str">
        <f t="shared" si="1629"/>
        <v/>
      </c>
      <c r="CJ2387" s="319" t="str">
        <f t="shared" si="1629"/>
        <v/>
      </c>
      <c r="CK2387" s="342">
        <f t="shared" si="182"/>
        <v>0</v>
      </c>
      <c r="CL2387" s="333">
        <f t="shared" si="183"/>
        <v>0</v>
      </c>
      <c r="CM2387" s="1079"/>
      <c r="CN2387" s="1005"/>
      <c r="CO2387" s="1005"/>
      <c r="CP2387" s="1005"/>
    </row>
    <row r="2388">
      <c r="A2388" s="1257"/>
      <c r="B2388" s="1113"/>
      <c r="C2388" s="1107"/>
      <c r="D2388" s="103"/>
      <c r="E2388" s="1137"/>
      <c r="F2388" s="112"/>
      <c r="G2388" s="1110"/>
      <c r="H2388" s="1138"/>
      <c r="I2388" s="1138"/>
      <c r="J2388" s="1139"/>
      <c r="K2388" s="1111"/>
      <c r="L2388" s="1112"/>
      <c r="M2388" s="1113"/>
      <c r="N2388" s="110"/>
      <c r="O2388" s="1140"/>
      <c r="P2388" s="1115"/>
      <c r="Q2388" s="1116"/>
      <c r="R2388" s="1141"/>
      <c r="S2388" s="1113"/>
      <c r="T2388" s="1143"/>
      <c r="U2388" s="1108"/>
      <c r="V2388" s="1108"/>
      <c r="W2388" s="1108"/>
      <c r="X2388" s="1108"/>
      <c r="Y2388" s="1108"/>
      <c r="Z2388" s="1114"/>
      <c r="AA2388" s="1114"/>
      <c r="AB2388" s="1114"/>
      <c r="AC2388" s="1117"/>
      <c r="AD2388" s="1115"/>
      <c r="AE2388" s="1115"/>
      <c r="AF2388" s="1115"/>
      <c r="AG2388" s="1115"/>
      <c r="AH2388" s="1115"/>
      <c r="AI2388" s="1115"/>
      <c r="AJ2388" s="1117"/>
      <c r="AK2388" s="1118"/>
      <c r="AL2388" s="1115"/>
      <c r="AM2388" s="1115"/>
      <c r="AN2388" s="1115"/>
      <c r="AO2388" s="1115"/>
      <c r="AP2388" s="1115"/>
      <c r="AQ2388" s="1115"/>
      <c r="AR2388" s="1115"/>
      <c r="AS2388" s="1117"/>
      <c r="AT2388" s="1196" t="str">
        <f t="shared" si="428"/>
        <v/>
      </c>
      <c r="AU2388" s="1193"/>
      <c r="AV2388" s="330">
        <f>SQRT(($R2388-Infrastructure!J$3)^2+($S2388-Infrastructure!K$3)^2)</f>
        <v>28.90155705</v>
      </c>
      <c r="AW2388" s="331">
        <f>SQRT(($R2388-Infrastructure!J$4)^2+($S2388-Infrastructure!K$4)^2)</f>
        <v>17.80252791</v>
      </c>
      <c r="AX2388" s="331">
        <f>SQRT(($R2388-Infrastructure!J$5)^2+($S2388-Infrastructure!K$5)^2)</f>
        <v>5.10881591</v>
      </c>
      <c r="AY2388" s="331">
        <f>SQRT(($R2388-Infrastructure!J$6)^2+($S2388-Infrastructure!K$6)^2)</f>
        <v>10.10445446</v>
      </c>
      <c r="AZ2388" s="331">
        <f>SQRT(($R2388-Infrastructure!J$7)^2+($S2388-Infrastructure!K$7)^2)</f>
        <v>20.502195</v>
      </c>
      <c r="BA2388" s="331">
        <f>SQRT(($R2388-Infrastructure!J$8)^2+($S2388-Infrastructure!K$8)^2)</f>
        <v>30.10149498</v>
      </c>
      <c r="BB2388" s="331">
        <f>SQRT(($R2388-Infrastructure!J$9)^2+($S2388-Infrastructure!K$9)^2)</f>
        <v>40.3238143</v>
      </c>
      <c r="BC2388" s="331">
        <f>SQRT(($R2388-Infrastructure!J$10)^2+($S2388-Infrastructure!K$10)^2)</f>
        <v>42.72001873</v>
      </c>
      <c r="BD2388" s="331">
        <f>SQRT(($R2388-Infrastructure!J$11)^2+($S2388-Infrastructure!K$11)^2)</f>
        <v>49.56853841</v>
      </c>
      <c r="BE2388" s="333">
        <f>SQRT(($R2388-Infrastructure!J$12)^2+($S2388-Infrastructure!K$12)^2)</f>
        <v>59.51890456</v>
      </c>
      <c r="BF2388" s="330">
        <f t="shared" si="161"/>
        <v>5.10881591</v>
      </c>
      <c r="BG2388" s="333">
        <f t="shared" si="162"/>
        <v>59.51890456</v>
      </c>
      <c r="BH2388" s="1119"/>
      <c r="BI2388" s="319" t="str">
        <f t="shared" ref="BI2388:BR2388" si="1630">IF(ISNUMBER(FIND(BI$3, $CO2388)), "Y", "")</f>
        <v/>
      </c>
      <c r="BJ2388" s="319" t="str">
        <f t="shared" si="1630"/>
        <v/>
      </c>
      <c r="BK2388" s="319" t="str">
        <f t="shared" si="1630"/>
        <v/>
      </c>
      <c r="BL2388" s="319" t="str">
        <f t="shared" si="1630"/>
        <v/>
      </c>
      <c r="BM2388" s="319" t="str">
        <f t="shared" si="1630"/>
        <v/>
      </c>
      <c r="BN2388" s="319" t="str">
        <f t="shared" si="1630"/>
        <v/>
      </c>
      <c r="BO2388" s="319" t="str">
        <f t="shared" si="1630"/>
        <v/>
      </c>
      <c r="BP2388" s="319" t="str">
        <f t="shared" si="1630"/>
        <v/>
      </c>
      <c r="BQ2388" s="319" t="str">
        <f t="shared" si="1630"/>
        <v/>
      </c>
      <c r="BR2388" s="319" t="str">
        <f t="shared" si="1630"/>
        <v/>
      </c>
      <c r="BS2388" s="330">
        <f t="shared" si="185"/>
        <v>0</v>
      </c>
      <c r="BT2388" s="331">
        <f t="shared" si="170"/>
        <v>0</v>
      </c>
      <c r="BU2388" s="920"/>
      <c r="BV2388" s="903" t="str">
        <f t="shared" si="1244"/>
        <v/>
      </c>
      <c r="BW2388" s="908"/>
      <c r="BX2388" s="908"/>
      <c r="BY2388" s="331" t="b">
        <f t="shared" si="201"/>
        <v>0</v>
      </c>
      <c r="BZ2388" s="331"/>
      <c r="CA2388" s="462" t="str">
        <f t="shared" ref="CA2388:CJ2388" si="1631">IF(ISNUMBER(FIND(BI$3, $CP2388)), "Y", "")</f>
        <v/>
      </c>
      <c r="CB2388" s="319" t="str">
        <f t="shared" si="1631"/>
        <v/>
      </c>
      <c r="CC2388" s="319" t="str">
        <f t="shared" si="1631"/>
        <v/>
      </c>
      <c r="CD2388" s="319" t="str">
        <f t="shared" si="1631"/>
        <v/>
      </c>
      <c r="CE2388" s="319" t="str">
        <f t="shared" si="1631"/>
        <v/>
      </c>
      <c r="CF2388" s="319" t="str">
        <f t="shared" si="1631"/>
        <v/>
      </c>
      <c r="CG2388" s="319" t="str">
        <f t="shared" si="1631"/>
        <v/>
      </c>
      <c r="CH2388" s="319" t="str">
        <f t="shared" si="1631"/>
        <v/>
      </c>
      <c r="CI2388" s="319" t="str">
        <f t="shared" si="1631"/>
        <v/>
      </c>
      <c r="CJ2388" s="319" t="str">
        <f t="shared" si="1631"/>
        <v/>
      </c>
      <c r="CK2388" s="342">
        <f t="shared" si="182"/>
        <v>0</v>
      </c>
      <c r="CL2388" s="333">
        <f t="shared" si="183"/>
        <v>0</v>
      </c>
      <c r="CM2388" s="1079"/>
      <c r="CN2388" s="1005"/>
      <c r="CO2388" s="1005"/>
      <c r="CP2388" s="1005"/>
    </row>
    <row r="2389">
      <c r="A2389" s="1257"/>
      <c r="B2389" s="1113"/>
      <c r="C2389" s="1107"/>
      <c r="D2389" s="103"/>
      <c r="E2389" s="1137"/>
      <c r="F2389" s="112"/>
      <c r="G2389" s="1110"/>
      <c r="H2389" s="1138"/>
      <c r="I2389" s="1138"/>
      <c r="J2389" s="1139"/>
      <c r="K2389" s="1111"/>
      <c r="L2389" s="1112"/>
      <c r="M2389" s="1113"/>
      <c r="N2389" s="110"/>
      <c r="O2389" s="1140"/>
      <c r="P2389" s="1115"/>
      <c r="Q2389" s="1116"/>
      <c r="R2389" s="1141"/>
      <c r="S2389" s="1113"/>
      <c r="T2389" s="1143"/>
      <c r="U2389" s="1108"/>
      <c r="V2389" s="1108"/>
      <c r="W2389" s="1108"/>
      <c r="X2389" s="1108"/>
      <c r="Y2389" s="1108"/>
      <c r="Z2389" s="1114"/>
      <c r="AA2389" s="1114"/>
      <c r="AB2389" s="1114"/>
      <c r="AC2389" s="1117"/>
      <c r="AD2389" s="1115"/>
      <c r="AE2389" s="1115"/>
      <c r="AF2389" s="1115"/>
      <c r="AG2389" s="1115"/>
      <c r="AH2389" s="1115"/>
      <c r="AI2389" s="1115"/>
      <c r="AJ2389" s="1117"/>
      <c r="AK2389" s="1118"/>
      <c r="AL2389" s="1115"/>
      <c r="AM2389" s="1115"/>
      <c r="AN2389" s="1115"/>
      <c r="AO2389" s="1115"/>
      <c r="AP2389" s="1115"/>
      <c r="AQ2389" s="1115"/>
      <c r="AR2389" s="1115"/>
      <c r="AS2389" s="1117"/>
      <c r="AT2389" s="1196" t="str">
        <f t="shared" si="428"/>
        <v/>
      </c>
      <c r="AU2389" s="1193"/>
      <c r="AV2389" s="330">
        <f>SQRT(($R2389-Infrastructure!J$3)^2+($S2389-Infrastructure!K$3)^2)</f>
        <v>28.90155705</v>
      </c>
      <c r="AW2389" s="331">
        <f>SQRT(($R2389-Infrastructure!J$4)^2+($S2389-Infrastructure!K$4)^2)</f>
        <v>17.80252791</v>
      </c>
      <c r="AX2389" s="331">
        <f>SQRT(($R2389-Infrastructure!J$5)^2+($S2389-Infrastructure!K$5)^2)</f>
        <v>5.10881591</v>
      </c>
      <c r="AY2389" s="331">
        <f>SQRT(($R2389-Infrastructure!J$6)^2+($S2389-Infrastructure!K$6)^2)</f>
        <v>10.10445446</v>
      </c>
      <c r="AZ2389" s="331">
        <f>SQRT(($R2389-Infrastructure!J$7)^2+($S2389-Infrastructure!K$7)^2)</f>
        <v>20.502195</v>
      </c>
      <c r="BA2389" s="331">
        <f>SQRT(($R2389-Infrastructure!J$8)^2+($S2389-Infrastructure!K$8)^2)</f>
        <v>30.10149498</v>
      </c>
      <c r="BB2389" s="331">
        <f>SQRT(($R2389-Infrastructure!J$9)^2+($S2389-Infrastructure!K$9)^2)</f>
        <v>40.3238143</v>
      </c>
      <c r="BC2389" s="331">
        <f>SQRT(($R2389-Infrastructure!J$10)^2+($S2389-Infrastructure!K$10)^2)</f>
        <v>42.72001873</v>
      </c>
      <c r="BD2389" s="331">
        <f>SQRT(($R2389-Infrastructure!J$11)^2+($S2389-Infrastructure!K$11)^2)</f>
        <v>49.56853841</v>
      </c>
      <c r="BE2389" s="333">
        <f>SQRT(($R2389-Infrastructure!J$12)^2+($S2389-Infrastructure!K$12)^2)</f>
        <v>59.51890456</v>
      </c>
      <c r="BF2389" s="330">
        <f t="shared" si="161"/>
        <v>5.10881591</v>
      </c>
      <c r="BG2389" s="333">
        <f t="shared" si="162"/>
        <v>59.51890456</v>
      </c>
      <c r="BH2389" s="1119"/>
      <c r="BI2389" s="319" t="str">
        <f t="shared" ref="BI2389:BR2389" si="1632">IF(ISNUMBER(FIND(BI$3, $CO2389)), "Y", "")</f>
        <v/>
      </c>
      <c r="BJ2389" s="319" t="str">
        <f t="shared" si="1632"/>
        <v/>
      </c>
      <c r="BK2389" s="319" t="str">
        <f t="shared" si="1632"/>
        <v/>
      </c>
      <c r="BL2389" s="319" t="str">
        <f t="shared" si="1632"/>
        <v/>
      </c>
      <c r="BM2389" s="319" t="str">
        <f t="shared" si="1632"/>
        <v/>
      </c>
      <c r="BN2389" s="319" t="str">
        <f t="shared" si="1632"/>
        <v/>
      </c>
      <c r="BO2389" s="319" t="str">
        <f t="shared" si="1632"/>
        <v/>
      </c>
      <c r="BP2389" s="319" t="str">
        <f t="shared" si="1632"/>
        <v/>
      </c>
      <c r="BQ2389" s="319" t="str">
        <f t="shared" si="1632"/>
        <v/>
      </c>
      <c r="BR2389" s="319" t="str">
        <f t="shared" si="1632"/>
        <v/>
      </c>
      <c r="BS2389" s="330">
        <f t="shared" si="185"/>
        <v>0</v>
      </c>
      <c r="BT2389" s="331">
        <f t="shared" si="170"/>
        <v>0</v>
      </c>
      <c r="BU2389" s="920"/>
      <c r="BV2389" s="903" t="str">
        <f t="shared" si="1244"/>
        <v/>
      </c>
      <c r="BW2389" s="908"/>
      <c r="BX2389" s="908"/>
      <c r="BY2389" s="331" t="b">
        <f t="shared" si="201"/>
        <v>0</v>
      </c>
      <c r="BZ2389" s="331"/>
      <c r="CA2389" s="462" t="str">
        <f t="shared" ref="CA2389:CJ2389" si="1633">IF(ISNUMBER(FIND(BI$3, $CP2389)), "Y", "")</f>
        <v/>
      </c>
      <c r="CB2389" s="319" t="str">
        <f t="shared" si="1633"/>
        <v/>
      </c>
      <c r="CC2389" s="319" t="str">
        <f t="shared" si="1633"/>
        <v/>
      </c>
      <c r="CD2389" s="319" t="str">
        <f t="shared" si="1633"/>
        <v/>
      </c>
      <c r="CE2389" s="319" t="str">
        <f t="shared" si="1633"/>
        <v/>
      </c>
      <c r="CF2389" s="319" t="str">
        <f t="shared" si="1633"/>
        <v/>
      </c>
      <c r="CG2389" s="319" t="str">
        <f t="shared" si="1633"/>
        <v/>
      </c>
      <c r="CH2389" s="319" t="str">
        <f t="shared" si="1633"/>
        <v/>
      </c>
      <c r="CI2389" s="319" t="str">
        <f t="shared" si="1633"/>
        <v/>
      </c>
      <c r="CJ2389" s="319" t="str">
        <f t="shared" si="1633"/>
        <v/>
      </c>
      <c r="CK2389" s="342">
        <f t="shared" si="182"/>
        <v>0</v>
      </c>
      <c r="CL2389" s="333">
        <f t="shared" si="183"/>
        <v>0</v>
      </c>
      <c r="CM2389" s="1079"/>
      <c r="CN2389" s="1005"/>
      <c r="CO2389" s="1005"/>
      <c r="CP2389" s="1005"/>
    </row>
    <row r="2390">
      <c r="A2390" s="1257"/>
      <c r="B2390" s="1113"/>
      <c r="C2390" s="1107"/>
      <c r="D2390" s="103"/>
      <c r="E2390" s="1137"/>
      <c r="F2390" s="112"/>
      <c r="G2390" s="1110"/>
      <c r="H2390" s="1138"/>
      <c r="I2390" s="1138"/>
      <c r="J2390" s="1139"/>
      <c r="K2390" s="1111"/>
      <c r="L2390" s="1112"/>
      <c r="M2390" s="1113"/>
      <c r="N2390" s="110"/>
      <c r="O2390" s="1140"/>
      <c r="P2390" s="1115"/>
      <c r="Q2390" s="1116"/>
      <c r="R2390" s="1141"/>
      <c r="S2390" s="1113"/>
      <c r="T2390" s="1143"/>
      <c r="U2390" s="1108"/>
      <c r="V2390" s="1108"/>
      <c r="W2390" s="1108"/>
      <c r="X2390" s="1108"/>
      <c r="Y2390" s="1108"/>
      <c r="Z2390" s="1114"/>
      <c r="AA2390" s="1114"/>
      <c r="AB2390" s="1114"/>
      <c r="AC2390" s="1117"/>
      <c r="AD2390" s="1115"/>
      <c r="AE2390" s="1115"/>
      <c r="AF2390" s="1115"/>
      <c r="AG2390" s="1115"/>
      <c r="AH2390" s="1115"/>
      <c r="AI2390" s="1115"/>
      <c r="AJ2390" s="1117"/>
      <c r="AK2390" s="1118"/>
      <c r="AL2390" s="1115"/>
      <c r="AM2390" s="1115"/>
      <c r="AN2390" s="1115"/>
      <c r="AO2390" s="1115"/>
      <c r="AP2390" s="1115"/>
      <c r="AQ2390" s="1115"/>
      <c r="AR2390" s="1115"/>
      <c r="AS2390" s="1117"/>
      <c r="AT2390" s="1196" t="str">
        <f t="shared" si="428"/>
        <v/>
      </c>
      <c r="AU2390" s="1193"/>
      <c r="AV2390" s="330">
        <f>SQRT(($R2390-Infrastructure!J$3)^2+($S2390-Infrastructure!K$3)^2)</f>
        <v>28.90155705</v>
      </c>
      <c r="AW2390" s="331">
        <f>SQRT(($R2390-Infrastructure!J$4)^2+($S2390-Infrastructure!K$4)^2)</f>
        <v>17.80252791</v>
      </c>
      <c r="AX2390" s="331">
        <f>SQRT(($R2390-Infrastructure!J$5)^2+($S2390-Infrastructure!K$5)^2)</f>
        <v>5.10881591</v>
      </c>
      <c r="AY2390" s="331">
        <f>SQRT(($R2390-Infrastructure!J$6)^2+($S2390-Infrastructure!K$6)^2)</f>
        <v>10.10445446</v>
      </c>
      <c r="AZ2390" s="331">
        <f>SQRT(($R2390-Infrastructure!J$7)^2+($S2390-Infrastructure!K$7)^2)</f>
        <v>20.502195</v>
      </c>
      <c r="BA2390" s="331">
        <f>SQRT(($R2390-Infrastructure!J$8)^2+($S2390-Infrastructure!K$8)^2)</f>
        <v>30.10149498</v>
      </c>
      <c r="BB2390" s="331">
        <f>SQRT(($R2390-Infrastructure!J$9)^2+($S2390-Infrastructure!K$9)^2)</f>
        <v>40.3238143</v>
      </c>
      <c r="BC2390" s="331">
        <f>SQRT(($R2390-Infrastructure!J$10)^2+($S2390-Infrastructure!K$10)^2)</f>
        <v>42.72001873</v>
      </c>
      <c r="BD2390" s="331">
        <f>SQRT(($R2390-Infrastructure!J$11)^2+($S2390-Infrastructure!K$11)^2)</f>
        <v>49.56853841</v>
      </c>
      <c r="BE2390" s="333">
        <f>SQRT(($R2390-Infrastructure!J$12)^2+($S2390-Infrastructure!K$12)^2)</f>
        <v>59.51890456</v>
      </c>
      <c r="BF2390" s="330">
        <f t="shared" si="161"/>
        <v>5.10881591</v>
      </c>
      <c r="BG2390" s="333">
        <f t="shared" si="162"/>
        <v>59.51890456</v>
      </c>
      <c r="BH2390" s="1119"/>
      <c r="BI2390" s="319" t="str">
        <f t="shared" ref="BI2390:BR2390" si="1634">IF(ISNUMBER(FIND(BI$3, $CO2390)), "Y", "")</f>
        <v/>
      </c>
      <c r="BJ2390" s="319" t="str">
        <f t="shared" si="1634"/>
        <v/>
      </c>
      <c r="BK2390" s="319" t="str">
        <f t="shared" si="1634"/>
        <v/>
      </c>
      <c r="BL2390" s="319" t="str">
        <f t="shared" si="1634"/>
        <v/>
      </c>
      <c r="BM2390" s="319" t="str">
        <f t="shared" si="1634"/>
        <v/>
      </c>
      <c r="BN2390" s="319" t="str">
        <f t="shared" si="1634"/>
        <v/>
      </c>
      <c r="BO2390" s="319" t="str">
        <f t="shared" si="1634"/>
        <v/>
      </c>
      <c r="BP2390" s="319" t="str">
        <f t="shared" si="1634"/>
        <v/>
      </c>
      <c r="BQ2390" s="319" t="str">
        <f t="shared" si="1634"/>
        <v/>
      </c>
      <c r="BR2390" s="319" t="str">
        <f t="shared" si="1634"/>
        <v/>
      </c>
      <c r="BS2390" s="330">
        <f t="shared" si="185"/>
        <v>0</v>
      </c>
      <c r="BT2390" s="331">
        <f t="shared" si="170"/>
        <v>0</v>
      </c>
      <c r="BU2390" s="920"/>
      <c r="BV2390" s="903" t="str">
        <f t="shared" si="1244"/>
        <v/>
      </c>
      <c r="BW2390" s="908"/>
      <c r="BX2390" s="908"/>
      <c r="BY2390" s="331" t="b">
        <f t="shared" si="201"/>
        <v>0</v>
      </c>
      <c r="BZ2390" s="331"/>
      <c r="CA2390" s="462" t="str">
        <f t="shared" ref="CA2390:CJ2390" si="1635">IF(ISNUMBER(FIND(BI$3, $CP2390)), "Y", "")</f>
        <v/>
      </c>
      <c r="CB2390" s="319" t="str">
        <f t="shared" si="1635"/>
        <v/>
      </c>
      <c r="CC2390" s="319" t="str">
        <f t="shared" si="1635"/>
        <v/>
      </c>
      <c r="CD2390" s="319" t="str">
        <f t="shared" si="1635"/>
        <v/>
      </c>
      <c r="CE2390" s="319" t="str">
        <f t="shared" si="1635"/>
        <v/>
      </c>
      <c r="CF2390" s="319" t="str">
        <f t="shared" si="1635"/>
        <v/>
      </c>
      <c r="CG2390" s="319" t="str">
        <f t="shared" si="1635"/>
        <v/>
      </c>
      <c r="CH2390" s="319" t="str">
        <f t="shared" si="1635"/>
        <v/>
      </c>
      <c r="CI2390" s="319" t="str">
        <f t="shared" si="1635"/>
        <v/>
      </c>
      <c r="CJ2390" s="319" t="str">
        <f t="shared" si="1635"/>
        <v/>
      </c>
      <c r="CK2390" s="342">
        <f t="shared" si="182"/>
        <v>0</v>
      </c>
      <c r="CL2390" s="333">
        <f t="shared" si="183"/>
        <v>0</v>
      </c>
      <c r="CM2390" s="1079"/>
      <c r="CN2390" s="1005"/>
      <c r="CO2390" s="1005"/>
      <c r="CP2390" s="1005"/>
    </row>
    <row r="2391">
      <c r="A2391" s="1257"/>
      <c r="B2391" s="1113"/>
      <c r="C2391" s="1107"/>
      <c r="D2391" s="103"/>
      <c r="E2391" s="1137"/>
      <c r="F2391" s="112"/>
      <c r="G2391" s="1110"/>
      <c r="H2391" s="1138"/>
      <c r="I2391" s="1138"/>
      <c r="J2391" s="1139"/>
      <c r="K2391" s="1111"/>
      <c r="L2391" s="1112"/>
      <c r="M2391" s="1113"/>
      <c r="N2391" s="110"/>
      <c r="O2391" s="1140"/>
      <c r="P2391" s="1115"/>
      <c r="Q2391" s="1116"/>
      <c r="R2391" s="1141"/>
      <c r="S2391" s="1113"/>
      <c r="T2391" s="1143"/>
      <c r="U2391" s="1108"/>
      <c r="V2391" s="1108"/>
      <c r="W2391" s="1108"/>
      <c r="X2391" s="1108"/>
      <c r="Y2391" s="1108"/>
      <c r="Z2391" s="1114"/>
      <c r="AA2391" s="1114"/>
      <c r="AB2391" s="1114"/>
      <c r="AC2391" s="1117"/>
      <c r="AD2391" s="1115"/>
      <c r="AE2391" s="1115"/>
      <c r="AF2391" s="1115"/>
      <c r="AG2391" s="1115"/>
      <c r="AH2391" s="1115"/>
      <c r="AI2391" s="1115"/>
      <c r="AJ2391" s="1117"/>
      <c r="AK2391" s="1118"/>
      <c r="AL2391" s="1115"/>
      <c r="AM2391" s="1115"/>
      <c r="AN2391" s="1115"/>
      <c r="AO2391" s="1115"/>
      <c r="AP2391" s="1115"/>
      <c r="AQ2391" s="1115"/>
      <c r="AR2391" s="1115"/>
      <c r="AS2391" s="1117"/>
      <c r="AT2391" s="1196" t="str">
        <f t="shared" si="428"/>
        <v/>
      </c>
      <c r="AU2391" s="1193"/>
      <c r="AV2391" s="330">
        <f>SQRT(($R2391-Infrastructure!J$3)^2+($S2391-Infrastructure!K$3)^2)</f>
        <v>28.90155705</v>
      </c>
      <c r="AW2391" s="331">
        <f>SQRT(($R2391-Infrastructure!J$4)^2+($S2391-Infrastructure!K$4)^2)</f>
        <v>17.80252791</v>
      </c>
      <c r="AX2391" s="331">
        <f>SQRT(($R2391-Infrastructure!J$5)^2+($S2391-Infrastructure!K$5)^2)</f>
        <v>5.10881591</v>
      </c>
      <c r="AY2391" s="331">
        <f>SQRT(($R2391-Infrastructure!J$6)^2+($S2391-Infrastructure!K$6)^2)</f>
        <v>10.10445446</v>
      </c>
      <c r="AZ2391" s="331">
        <f>SQRT(($R2391-Infrastructure!J$7)^2+($S2391-Infrastructure!K$7)^2)</f>
        <v>20.502195</v>
      </c>
      <c r="BA2391" s="331">
        <f>SQRT(($R2391-Infrastructure!J$8)^2+($S2391-Infrastructure!K$8)^2)</f>
        <v>30.10149498</v>
      </c>
      <c r="BB2391" s="331">
        <f>SQRT(($R2391-Infrastructure!J$9)^2+($S2391-Infrastructure!K$9)^2)</f>
        <v>40.3238143</v>
      </c>
      <c r="BC2391" s="331">
        <f>SQRT(($R2391-Infrastructure!J$10)^2+($S2391-Infrastructure!K$10)^2)</f>
        <v>42.72001873</v>
      </c>
      <c r="BD2391" s="331">
        <f>SQRT(($R2391-Infrastructure!J$11)^2+($S2391-Infrastructure!K$11)^2)</f>
        <v>49.56853841</v>
      </c>
      <c r="BE2391" s="333">
        <f>SQRT(($R2391-Infrastructure!J$12)^2+($S2391-Infrastructure!K$12)^2)</f>
        <v>59.51890456</v>
      </c>
      <c r="BF2391" s="330">
        <f t="shared" si="161"/>
        <v>5.10881591</v>
      </c>
      <c r="BG2391" s="333">
        <f t="shared" si="162"/>
        <v>59.51890456</v>
      </c>
      <c r="BH2391" s="1119"/>
      <c r="BI2391" s="319" t="str">
        <f t="shared" ref="BI2391:BR2391" si="1636">IF(ISNUMBER(FIND(BI$3, $CO2391)), "Y", "")</f>
        <v/>
      </c>
      <c r="BJ2391" s="319" t="str">
        <f t="shared" si="1636"/>
        <v/>
      </c>
      <c r="BK2391" s="319" t="str">
        <f t="shared" si="1636"/>
        <v/>
      </c>
      <c r="BL2391" s="319" t="str">
        <f t="shared" si="1636"/>
        <v/>
      </c>
      <c r="BM2391" s="319" t="str">
        <f t="shared" si="1636"/>
        <v/>
      </c>
      <c r="BN2391" s="319" t="str">
        <f t="shared" si="1636"/>
        <v/>
      </c>
      <c r="BO2391" s="319" t="str">
        <f t="shared" si="1636"/>
        <v/>
      </c>
      <c r="BP2391" s="319" t="str">
        <f t="shared" si="1636"/>
        <v/>
      </c>
      <c r="BQ2391" s="319" t="str">
        <f t="shared" si="1636"/>
        <v/>
      </c>
      <c r="BR2391" s="319" t="str">
        <f t="shared" si="1636"/>
        <v/>
      </c>
      <c r="BS2391" s="330">
        <f t="shared" si="185"/>
        <v>0</v>
      </c>
      <c r="BT2391" s="331">
        <f t="shared" si="170"/>
        <v>0</v>
      </c>
      <c r="BU2391" s="920"/>
      <c r="BV2391" s="903" t="str">
        <f t="shared" si="1244"/>
        <v/>
      </c>
      <c r="BW2391" s="908"/>
      <c r="BX2391" s="908"/>
      <c r="BY2391" s="331" t="b">
        <f t="shared" si="201"/>
        <v>0</v>
      </c>
      <c r="BZ2391" s="331"/>
      <c r="CA2391" s="462" t="str">
        <f t="shared" ref="CA2391:CJ2391" si="1637">IF(ISNUMBER(FIND(BI$3, $CP2391)), "Y", "")</f>
        <v/>
      </c>
      <c r="CB2391" s="319" t="str">
        <f t="shared" si="1637"/>
        <v/>
      </c>
      <c r="CC2391" s="319" t="str">
        <f t="shared" si="1637"/>
        <v/>
      </c>
      <c r="CD2391" s="319" t="str">
        <f t="shared" si="1637"/>
        <v/>
      </c>
      <c r="CE2391" s="319" t="str">
        <f t="shared" si="1637"/>
        <v/>
      </c>
      <c r="CF2391" s="319" t="str">
        <f t="shared" si="1637"/>
        <v/>
      </c>
      <c r="CG2391" s="319" t="str">
        <f t="shared" si="1637"/>
        <v/>
      </c>
      <c r="CH2391" s="319" t="str">
        <f t="shared" si="1637"/>
        <v/>
      </c>
      <c r="CI2391" s="319" t="str">
        <f t="shared" si="1637"/>
        <v/>
      </c>
      <c r="CJ2391" s="319" t="str">
        <f t="shared" si="1637"/>
        <v/>
      </c>
      <c r="CK2391" s="342">
        <f t="shared" si="182"/>
        <v>0</v>
      </c>
      <c r="CL2391" s="333">
        <f t="shared" si="183"/>
        <v>0</v>
      </c>
      <c r="CM2391" s="1079"/>
      <c r="CN2391" s="1005"/>
      <c r="CO2391" s="1005"/>
      <c r="CP2391" s="1005"/>
    </row>
    <row r="2392">
      <c r="A2392" s="1257"/>
      <c r="B2392" s="1113"/>
      <c r="C2392" s="1107"/>
      <c r="D2392" s="103"/>
      <c r="E2392" s="1137"/>
      <c r="F2392" s="112"/>
      <c r="G2392" s="1110"/>
      <c r="H2392" s="1138"/>
      <c r="I2392" s="1138"/>
      <c r="J2392" s="1139"/>
      <c r="K2392" s="1111"/>
      <c r="L2392" s="1112"/>
      <c r="M2392" s="1113"/>
      <c r="N2392" s="110"/>
      <c r="O2392" s="1140"/>
      <c r="P2392" s="1115"/>
      <c r="Q2392" s="1116"/>
      <c r="R2392" s="1141"/>
      <c r="S2392" s="1113"/>
      <c r="T2392" s="1143"/>
      <c r="U2392" s="1108"/>
      <c r="V2392" s="1108"/>
      <c r="W2392" s="1108"/>
      <c r="X2392" s="1108"/>
      <c r="Y2392" s="1108"/>
      <c r="Z2392" s="1114"/>
      <c r="AA2392" s="1114"/>
      <c r="AB2392" s="1114"/>
      <c r="AC2392" s="1117"/>
      <c r="AD2392" s="1115"/>
      <c r="AE2392" s="1115"/>
      <c r="AF2392" s="1115"/>
      <c r="AG2392" s="1115"/>
      <c r="AH2392" s="1115"/>
      <c r="AI2392" s="1115"/>
      <c r="AJ2392" s="1117"/>
      <c r="AK2392" s="1118"/>
      <c r="AL2392" s="1115"/>
      <c r="AM2392" s="1115"/>
      <c r="AN2392" s="1115"/>
      <c r="AO2392" s="1115"/>
      <c r="AP2392" s="1115"/>
      <c r="AQ2392" s="1115"/>
      <c r="AR2392" s="1115"/>
      <c r="AS2392" s="1117"/>
      <c r="AT2392" s="1196" t="str">
        <f t="shared" si="428"/>
        <v/>
      </c>
      <c r="AU2392" s="1193"/>
      <c r="AV2392" s="330">
        <f>SQRT(($R2392-Infrastructure!J$3)^2+($S2392-Infrastructure!K$3)^2)</f>
        <v>28.90155705</v>
      </c>
      <c r="AW2392" s="331">
        <f>SQRT(($R2392-Infrastructure!J$4)^2+($S2392-Infrastructure!K$4)^2)</f>
        <v>17.80252791</v>
      </c>
      <c r="AX2392" s="331">
        <f>SQRT(($R2392-Infrastructure!J$5)^2+($S2392-Infrastructure!K$5)^2)</f>
        <v>5.10881591</v>
      </c>
      <c r="AY2392" s="331">
        <f>SQRT(($R2392-Infrastructure!J$6)^2+($S2392-Infrastructure!K$6)^2)</f>
        <v>10.10445446</v>
      </c>
      <c r="AZ2392" s="331">
        <f>SQRT(($R2392-Infrastructure!J$7)^2+($S2392-Infrastructure!K$7)^2)</f>
        <v>20.502195</v>
      </c>
      <c r="BA2392" s="331">
        <f>SQRT(($R2392-Infrastructure!J$8)^2+($S2392-Infrastructure!K$8)^2)</f>
        <v>30.10149498</v>
      </c>
      <c r="BB2392" s="331">
        <f>SQRT(($R2392-Infrastructure!J$9)^2+($S2392-Infrastructure!K$9)^2)</f>
        <v>40.3238143</v>
      </c>
      <c r="BC2392" s="331">
        <f>SQRT(($R2392-Infrastructure!J$10)^2+($S2392-Infrastructure!K$10)^2)</f>
        <v>42.72001873</v>
      </c>
      <c r="BD2392" s="331">
        <f>SQRT(($R2392-Infrastructure!J$11)^2+($S2392-Infrastructure!K$11)^2)</f>
        <v>49.56853841</v>
      </c>
      <c r="BE2392" s="333">
        <f>SQRT(($R2392-Infrastructure!J$12)^2+($S2392-Infrastructure!K$12)^2)</f>
        <v>59.51890456</v>
      </c>
      <c r="BF2392" s="330">
        <f t="shared" si="161"/>
        <v>5.10881591</v>
      </c>
      <c r="BG2392" s="333">
        <f t="shared" si="162"/>
        <v>59.51890456</v>
      </c>
      <c r="BH2392" s="1119"/>
      <c r="BI2392" s="319" t="str">
        <f t="shared" ref="BI2392:BR2392" si="1638">IF(ISNUMBER(FIND(BI$3, $CO2392)), "Y", "")</f>
        <v/>
      </c>
      <c r="BJ2392" s="319" t="str">
        <f t="shared" si="1638"/>
        <v/>
      </c>
      <c r="BK2392" s="319" t="str">
        <f t="shared" si="1638"/>
        <v/>
      </c>
      <c r="BL2392" s="319" t="str">
        <f t="shared" si="1638"/>
        <v/>
      </c>
      <c r="BM2392" s="319" t="str">
        <f t="shared" si="1638"/>
        <v/>
      </c>
      <c r="BN2392" s="319" t="str">
        <f t="shared" si="1638"/>
        <v/>
      </c>
      <c r="BO2392" s="319" t="str">
        <f t="shared" si="1638"/>
        <v/>
      </c>
      <c r="BP2392" s="319" t="str">
        <f t="shared" si="1638"/>
        <v/>
      </c>
      <c r="BQ2392" s="319" t="str">
        <f t="shared" si="1638"/>
        <v/>
      </c>
      <c r="BR2392" s="319" t="str">
        <f t="shared" si="1638"/>
        <v/>
      </c>
      <c r="BS2392" s="330">
        <f t="shared" si="185"/>
        <v>0</v>
      </c>
      <c r="BT2392" s="331">
        <f t="shared" si="170"/>
        <v>0</v>
      </c>
      <c r="BU2392" s="920"/>
      <c r="BV2392" s="903" t="str">
        <f t="shared" si="1244"/>
        <v/>
      </c>
      <c r="BW2392" s="908"/>
      <c r="BX2392" s="908"/>
      <c r="BY2392" s="331" t="b">
        <f t="shared" si="201"/>
        <v>0</v>
      </c>
      <c r="BZ2392" s="331"/>
      <c r="CA2392" s="462" t="str">
        <f t="shared" ref="CA2392:CJ2392" si="1639">IF(ISNUMBER(FIND(BI$3, $CP2392)), "Y", "")</f>
        <v/>
      </c>
      <c r="CB2392" s="319" t="str">
        <f t="shared" si="1639"/>
        <v/>
      </c>
      <c r="CC2392" s="319" t="str">
        <f t="shared" si="1639"/>
        <v/>
      </c>
      <c r="CD2392" s="319" t="str">
        <f t="shared" si="1639"/>
        <v/>
      </c>
      <c r="CE2392" s="319" t="str">
        <f t="shared" si="1639"/>
        <v/>
      </c>
      <c r="CF2392" s="319" t="str">
        <f t="shared" si="1639"/>
        <v/>
      </c>
      <c r="CG2392" s="319" t="str">
        <f t="shared" si="1639"/>
        <v/>
      </c>
      <c r="CH2392" s="319" t="str">
        <f t="shared" si="1639"/>
        <v/>
      </c>
      <c r="CI2392" s="319" t="str">
        <f t="shared" si="1639"/>
        <v/>
      </c>
      <c r="CJ2392" s="319" t="str">
        <f t="shared" si="1639"/>
        <v/>
      </c>
      <c r="CK2392" s="342">
        <f t="shared" si="182"/>
        <v>0</v>
      </c>
      <c r="CL2392" s="333">
        <f t="shared" si="183"/>
        <v>0</v>
      </c>
      <c r="CM2392" s="1079"/>
      <c r="CN2392" s="1005"/>
      <c r="CO2392" s="1005"/>
      <c r="CP2392" s="1005"/>
    </row>
    <row r="2393">
      <c r="A2393" s="1257"/>
      <c r="B2393" s="1113"/>
      <c r="C2393" s="1107"/>
      <c r="D2393" s="103"/>
      <c r="E2393" s="1137"/>
      <c r="F2393" s="112"/>
      <c r="G2393" s="1110"/>
      <c r="H2393" s="1138"/>
      <c r="I2393" s="1138"/>
      <c r="J2393" s="1139"/>
      <c r="K2393" s="1111"/>
      <c r="L2393" s="1112"/>
      <c r="M2393" s="1113"/>
      <c r="N2393" s="110"/>
      <c r="O2393" s="1140"/>
      <c r="P2393" s="1115"/>
      <c r="Q2393" s="1116"/>
      <c r="R2393" s="1141"/>
      <c r="S2393" s="1113"/>
      <c r="T2393" s="1143"/>
      <c r="U2393" s="1108"/>
      <c r="V2393" s="1108"/>
      <c r="W2393" s="1108"/>
      <c r="X2393" s="1108"/>
      <c r="Y2393" s="1108"/>
      <c r="Z2393" s="1114"/>
      <c r="AA2393" s="1114"/>
      <c r="AB2393" s="1114"/>
      <c r="AC2393" s="1117"/>
      <c r="AD2393" s="1115"/>
      <c r="AE2393" s="1115"/>
      <c r="AF2393" s="1115"/>
      <c r="AG2393" s="1115"/>
      <c r="AH2393" s="1115"/>
      <c r="AI2393" s="1115"/>
      <c r="AJ2393" s="1117"/>
      <c r="AK2393" s="1118"/>
      <c r="AL2393" s="1115"/>
      <c r="AM2393" s="1115"/>
      <c r="AN2393" s="1115"/>
      <c r="AO2393" s="1115"/>
      <c r="AP2393" s="1115"/>
      <c r="AQ2393" s="1115"/>
      <c r="AR2393" s="1115"/>
      <c r="AS2393" s="1117"/>
      <c r="AT2393" s="1196" t="str">
        <f t="shared" si="428"/>
        <v/>
      </c>
      <c r="AU2393" s="1193"/>
      <c r="AV2393" s="330">
        <f>SQRT(($R2393-Infrastructure!J$3)^2+($S2393-Infrastructure!K$3)^2)</f>
        <v>28.90155705</v>
      </c>
      <c r="AW2393" s="331">
        <f>SQRT(($R2393-Infrastructure!J$4)^2+($S2393-Infrastructure!K$4)^2)</f>
        <v>17.80252791</v>
      </c>
      <c r="AX2393" s="331">
        <f>SQRT(($R2393-Infrastructure!J$5)^2+($S2393-Infrastructure!K$5)^2)</f>
        <v>5.10881591</v>
      </c>
      <c r="AY2393" s="331">
        <f>SQRT(($R2393-Infrastructure!J$6)^2+($S2393-Infrastructure!K$6)^2)</f>
        <v>10.10445446</v>
      </c>
      <c r="AZ2393" s="331">
        <f>SQRT(($R2393-Infrastructure!J$7)^2+($S2393-Infrastructure!K$7)^2)</f>
        <v>20.502195</v>
      </c>
      <c r="BA2393" s="331">
        <f>SQRT(($R2393-Infrastructure!J$8)^2+($S2393-Infrastructure!K$8)^2)</f>
        <v>30.10149498</v>
      </c>
      <c r="BB2393" s="331">
        <f>SQRT(($R2393-Infrastructure!J$9)^2+($S2393-Infrastructure!K$9)^2)</f>
        <v>40.3238143</v>
      </c>
      <c r="BC2393" s="331">
        <f>SQRT(($R2393-Infrastructure!J$10)^2+($S2393-Infrastructure!K$10)^2)</f>
        <v>42.72001873</v>
      </c>
      <c r="BD2393" s="331">
        <f>SQRT(($R2393-Infrastructure!J$11)^2+($S2393-Infrastructure!K$11)^2)</f>
        <v>49.56853841</v>
      </c>
      <c r="BE2393" s="333">
        <f>SQRT(($R2393-Infrastructure!J$12)^2+($S2393-Infrastructure!K$12)^2)</f>
        <v>59.51890456</v>
      </c>
      <c r="BF2393" s="330">
        <f t="shared" si="161"/>
        <v>5.10881591</v>
      </c>
      <c r="BG2393" s="333">
        <f t="shared" si="162"/>
        <v>59.51890456</v>
      </c>
      <c r="BH2393" s="1119"/>
      <c r="BI2393" s="319" t="str">
        <f t="shared" ref="BI2393:BR2393" si="1640">IF(ISNUMBER(FIND(BI$3, $CO2393)), "Y", "")</f>
        <v/>
      </c>
      <c r="BJ2393" s="319" t="str">
        <f t="shared" si="1640"/>
        <v/>
      </c>
      <c r="BK2393" s="319" t="str">
        <f t="shared" si="1640"/>
        <v/>
      </c>
      <c r="BL2393" s="319" t="str">
        <f t="shared" si="1640"/>
        <v/>
      </c>
      <c r="BM2393" s="319" t="str">
        <f t="shared" si="1640"/>
        <v/>
      </c>
      <c r="BN2393" s="319" t="str">
        <f t="shared" si="1640"/>
        <v/>
      </c>
      <c r="BO2393" s="319" t="str">
        <f t="shared" si="1640"/>
        <v/>
      </c>
      <c r="BP2393" s="319" t="str">
        <f t="shared" si="1640"/>
        <v/>
      </c>
      <c r="BQ2393" s="319" t="str">
        <f t="shared" si="1640"/>
        <v/>
      </c>
      <c r="BR2393" s="319" t="str">
        <f t="shared" si="1640"/>
        <v/>
      </c>
      <c r="BS2393" s="330">
        <f t="shared" si="185"/>
        <v>0</v>
      </c>
      <c r="BT2393" s="331">
        <f t="shared" si="170"/>
        <v>0</v>
      </c>
      <c r="BU2393" s="920"/>
      <c r="BV2393" s="903" t="str">
        <f t="shared" si="1244"/>
        <v/>
      </c>
      <c r="BW2393" s="908"/>
      <c r="BX2393" s="908"/>
      <c r="BY2393" s="331" t="b">
        <f t="shared" si="201"/>
        <v>0</v>
      </c>
      <c r="BZ2393" s="331"/>
      <c r="CA2393" s="462" t="str">
        <f t="shared" ref="CA2393:CJ2393" si="1641">IF(ISNUMBER(FIND(BI$3, $CP2393)), "Y", "")</f>
        <v/>
      </c>
      <c r="CB2393" s="319" t="str">
        <f t="shared" si="1641"/>
        <v/>
      </c>
      <c r="CC2393" s="319" t="str">
        <f t="shared" si="1641"/>
        <v/>
      </c>
      <c r="CD2393" s="319" t="str">
        <f t="shared" si="1641"/>
        <v/>
      </c>
      <c r="CE2393" s="319" t="str">
        <f t="shared" si="1641"/>
        <v/>
      </c>
      <c r="CF2393" s="319" t="str">
        <f t="shared" si="1641"/>
        <v/>
      </c>
      <c r="CG2393" s="319" t="str">
        <f t="shared" si="1641"/>
        <v/>
      </c>
      <c r="CH2393" s="319" t="str">
        <f t="shared" si="1641"/>
        <v/>
      </c>
      <c r="CI2393" s="319" t="str">
        <f t="shared" si="1641"/>
        <v/>
      </c>
      <c r="CJ2393" s="319" t="str">
        <f t="shared" si="1641"/>
        <v/>
      </c>
      <c r="CK2393" s="342">
        <f t="shared" si="182"/>
        <v>0</v>
      </c>
      <c r="CL2393" s="333">
        <f t="shared" si="183"/>
        <v>0</v>
      </c>
      <c r="CM2393" s="1079"/>
      <c r="CN2393" s="1005"/>
      <c r="CO2393" s="1005"/>
      <c r="CP2393" s="1005"/>
    </row>
    <row r="2394">
      <c r="A2394" s="1257"/>
      <c r="B2394" s="1113"/>
      <c r="C2394" s="1107"/>
      <c r="D2394" s="103"/>
      <c r="E2394" s="1137"/>
      <c r="F2394" s="112"/>
      <c r="G2394" s="1110"/>
      <c r="H2394" s="1138"/>
      <c r="I2394" s="1138"/>
      <c r="J2394" s="1139"/>
      <c r="K2394" s="1111"/>
      <c r="L2394" s="1112"/>
      <c r="M2394" s="1113"/>
      <c r="N2394" s="110"/>
      <c r="O2394" s="1140"/>
      <c r="P2394" s="1115"/>
      <c r="Q2394" s="1116"/>
      <c r="R2394" s="1141"/>
      <c r="S2394" s="1113"/>
      <c r="T2394" s="1143"/>
      <c r="U2394" s="1108"/>
      <c r="V2394" s="1108"/>
      <c r="W2394" s="1108"/>
      <c r="X2394" s="1108"/>
      <c r="Y2394" s="1108"/>
      <c r="Z2394" s="1114"/>
      <c r="AA2394" s="1114"/>
      <c r="AB2394" s="1114"/>
      <c r="AC2394" s="1117"/>
      <c r="AD2394" s="1115"/>
      <c r="AE2394" s="1115"/>
      <c r="AF2394" s="1115"/>
      <c r="AG2394" s="1115"/>
      <c r="AH2394" s="1115"/>
      <c r="AI2394" s="1115"/>
      <c r="AJ2394" s="1117"/>
      <c r="AK2394" s="1118"/>
      <c r="AL2394" s="1115"/>
      <c r="AM2394" s="1115"/>
      <c r="AN2394" s="1115"/>
      <c r="AO2394" s="1115"/>
      <c r="AP2394" s="1115"/>
      <c r="AQ2394" s="1115"/>
      <c r="AR2394" s="1115"/>
      <c r="AS2394" s="1117"/>
      <c r="AT2394" s="1196" t="str">
        <f t="shared" si="428"/>
        <v/>
      </c>
      <c r="AU2394" s="1193"/>
      <c r="AV2394" s="330">
        <f>SQRT(($R2394-Infrastructure!J$3)^2+($S2394-Infrastructure!K$3)^2)</f>
        <v>28.90155705</v>
      </c>
      <c r="AW2394" s="331">
        <f>SQRT(($R2394-Infrastructure!J$4)^2+($S2394-Infrastructure!K$4)^2)</f>
        <v>17.80252791</v>
      </c>
      <c r="AX2394" s="331">
        <f>SQRT(($R2394-Infrastructure!J$5)^2+($S2394-Infrastructure!K$5)^2)</f>
        <v>5.10881591</v>
      </c>
      <c r="AY2394" s="331">
        <f>SQRT(($R2394-Infrastructure!J$6)^2+($S2394-Infrastructure!K$6)^2)</f>
        <v>10.10445446</v>
      </c>
      <c r="AZ2394" s="331">
        <f>SQRT(($R2394-Infrastructure!J$7)^2+($S2394-Infrastructure!K$7)^2)</f>
        <v>20.502195</v>
      </c>
      <c r="BA2394" s="331">
        <f>SQRT(($R2394-Infrastructure!J$8)^2+($S2394-Infrastructure!K$8)^2)</f>
        <v>30.10149498</v>
      </c>
      <c r="BB2394" s="331">
        <f>SQRT(($R2394-Infrastructure!J$9)^2+($S2394-Infrastructure!K$9)^2)</f>
        <v>40.3238143</v>
      </c>
      <c r="BC2394" s="331">
        <f>SQRT(($R2394-Infrastructure!J$10)^2+($S2394-Infrastructure!K$10)^2)</f>
        <v>42.72001873</v>
      </c>
      <c r="BD2394" s="331">
        <f>SQRT(($R2394-Infrastructure!J$11)^2+($S2394-Infrastructure!K$11)^2)</f>
        <v>49.56853841</v>
      </c>
      <c r="BE2394" s="333">
        <f>SQRT(($R2394-Infrastructure!J$12)^2+($S2394-Infrastructure!K$12)^2)</f>
        <v>59.51890456</v>
      </c>
      <c r="BF2394" s="330">
        <f t="shared" si="161"/>
        <v>5.10881591</v>
      </c>
      <c r="BG2394" s="333">
        <f t="shared" si="162"/>
        <v>59.51890456</v>
      </c>
      <c r="BH2394" s="1119"/>
      <c r="BI2394" s="319" t="str">
        <f t="shared" ref="BI2394:BR2394" si="1642">IF(ISNUMBER(FIND(BI$3, $CO2394)), "Y", "")</f>
        <v/>
      </c>
      <c r="BJ2394" s="319" t="str">
        <f t="shared" si="1642"/>
        <v/>
      </c>
      <c r="BK2394" s="319" t="str">
        <f t="shared" si="1642"/>
        <v/>
      </c>
      <c r="BL2394" s="319" t="str">
        <f t="shared" si="1642"/>
        <v/>
      </c>
      <c r="BM2394" s="319" t="str">
        <f t="shared" si="1642"/>
        <v/>
      </c>
      <c r="BN2394" s="319" t="str">
        <f t="shared" si="1642"/>
        <v/>
      </c>
      <c r="BO2394" s="319" t="str">
        <f t="shared" si="1642"/>
        <v/>
      </c>
      <c r="BP2394" s="319" t="str">
        <f t="shared" si="1642"/>
        <v/>
      </c>
      <c r="BQ2394" s="319" t="str">
        <f t="shared" si="1642"/>
        <v/>
      </c>
      <c r="BR2394" s="319" t="str">
        <f t="shared" si="1642"/>
        <v/>
      </c>
      <c r="BS2394" s="330">
        <f t="shared" si="185"/>
        <v>0</v>
      </c>
      <c r="BT2394" s="331">
        <f t="shared" si="170"/>
        <v>0</v>
      </c>
      <c r="BU2394" s="920"/>
      <c r="BV2394" s="903" t="str">
        <f t="shared" si="1244"/>
        <v/>
      </c>
      <c r="BW2394" s="908"/>
      <c r="BX2394" s="908"/>
      <c r="BY2394" s="331" t="b">
        <f t="shared" si="201"/>
        <v>0</v>
      </c>
      <c r="BZ2394" s="331"/>
      <c r="CA2394" s="462" t="str">
        <f t="shared" ref="CA2394:CJ2394" si="1643">IF(ISNUMBER(FIND(BI$3, $CP2394)), "Y", "")</f>
        <v/>
      </c>
      <c r="CB2394" s="319" t="str">
        <f t="shared" si="1643"/>
        <v/>
      </c>
      <c r="CC2394" s="319" t="str">
        <f t="shared" si="1643"/>
        <v/>
      </c>
      <c r="CD2394" s="319" t="str">
        <f t="shared" si="1643"/>
        <v/>
      </c>
      <c r="CE2394" s="319" t="str">
        <f t="shared" si="1643"/>
        <v/>
      </c>
      <c r="CF2394" s="319" t="str">
        <f t="shared" si="1643"/>
        <v/>
      </c>
      <c r="CG2394" s="319" t="str">
        <f t="shared" si="1643"/>
        <v/>
      </c>
      <c r="CH2394" s="319" t="str">
        <f t="shared" si="1643"/>
        <v/>
      </c>
      <c r="CI2394" s="319" t="str">
        <f t="shared" si="1643"/>
        <v/>
      </c>
      <c r="CJ2394" s="319" t="str">
        <f t="shared" si="1643"/>
        <v/>
      </c>
      <c r="CK2394" s="342">
        <f t="shared" si="182"/>
        <v>0</v>
      </c>
      <c r="CL2394" s="333">
        <f t="shared" si="183"/>
        <v>0</v>
      </c>
      <c r="CM2394" s="1079"/>
      <c r="CN2394" s="1005"/>
      <c r="CO2394" s="1005"/>
      <c r="CP2394" s="1005"/>
    </row>
    <row r="2395">
      <c r="A2395" s="1257"/>
      <c r="B2395" s="1113"/>
      <c r="C2395" s="1107"/>
      <c r="D2395" s="103"/>
      <c r="E2395" s="1137"/>
      <c r="F2395" s="112"/>
      <c r="G2395" s="1110"/>
      <c r="H2395" s="1138"/>
      <c r="I2395" s="1138"/>
      <c r="J2395" s="1139"/>
      <c r="K2395" s="1111"/>
      <c r="L2395" s="1112"/>
      <c r="M2395" s="1113"/>
      <c r="N2395" s="110"/>
      <c r="O2395" s="1140"/>
      <c r="P2395" s="1115"/>
      <c r="Q2395" s="1116"/>
      <c r="R2395" s="1141"/>
      <c r="S2395" s="1113"/>
      <c r="T2395" s="1143"/>
      <c r="U2395" s="1108"/>
      <c r="V2395" s="1108"/>
      <c r="W2395" s="1108"/>
      <c r="X2395" s="1108"/>
      <c r="Y2395" s="1108"/>
      <c r="Z2395" s="1114"/>
      <c r="AA2395" s="1114"/>
      <c r="AB2395" s="1114"/>
      <c r="AC2395" s="1117"/>
      <c r="AD2395" s="1115"/>
      <c r="AE2395" s="1115"/>
      <c r="AF2395" s="1115"/>
      <c r="AG2395" s="1115"/>
      <c r="AH2395" s="1115"/>
      <c r="AI2395" s="1115"/>
      <c r="AJ2395" s="1117"/>
      <c r="AK2395" s="1118"/>
      <c r="AL2395" s="1115"/>
      <c r="AM2395" s="1115"/>
      <c r="AN2395" s="1115"/>
      <c r="AO2395" s="1115"/>
      <c r="AP2395" s="1115"/>
      <c r="AQ2395" s="1115"/>
      <c r="AR2395" s="1115"/>
      <c r="AS2395" s="1117"/>
      <c r="AT2395" s="1196" t="str">
        <f t="shared" si="428"/>
        <v/>
      </c>
      <c r="AU2395" s="1193"/>
      <c r="AV2395" s="330">
        <f>SQRT(($R2395-Infrastructure!J$3)^2+($S2395-Infrastructure!K$3)^2)</f>
        <v>28.90155705</v>
      </c>
      <c r="AW2395" s="331">
        <f>SQRT(($R2395-Infrastructure!J$4)^2+($S2395-Infrastructure!K$4)^2)</f>
        <v>17.80252791</v>
      </c>
      <c r="AX2395" s="331">
        <f>SQRT(($R2395-Infrastructure!J$5)^2+($S2395-Infrastructure!K$5)^2)</f>
        <v>5.10881591</v>
      </c>
      <c r="AY2395" s="331">
        <f>SQRT(($R2395-Infrastructure!J$6)^2+($S2395-Infrastructure!K$6)^2)</f>
        <v>10.10445446</v>
      </c>
      <c r="AZ2395" s="331">
        <f>SQRT(($R2395-Infrastructure!J$7)^2+($S2395-Infrastructure!K$7)^2)</f>
        <v>20.502195</v>
      </c>
      <c r="BA2395" s="331">
        <f>SQRT(($R2395-Infrastructure!J$8)^2+($S2395-Infrastructure!K$8)^2)</f>
        <v>30.10149498</v>
      </c>
      <c r="BB2395" s="331">
        <f>SQRT(($R2395-Infrastructure!J$9)^2+($S2395-Infrastructure!K$9)^2)</f>
        <v>40.3238143</v>
      </c>
      <c r="BC2395" s="331">
        <f>SQRT(($R2395-Infrastructure!J$10)^2+($S2395-Infrastructure!K$10)^2)</f>
        <v>42.72001873</v>
      </c>
      <c r="BD2395" s="331">
        <f>SQRT(($R2395-Infrastructure!J$11)^2+($S2395-Infrastructure!K$11)^2)</f>
        <v>49.56853841</v>
      </c>
      <c r="BE2395" s="333">
        <f>SQRT(($R2395-Infrastructure!J$12)^2+($S2395-Infrastructure!K$12)^2)</f>
        <v>59.51890456</v>
      </c>
      <c r="BF2395" s="330">
        <f t="shared" si="161"/>
        <v>5.10881591</v>
      </c>
      <c r="BG2395" s="333">
        <f t="shared" si="162"/>
        <v>59.51890456</v>
      </c>
      <c r="BH2395" s="1119"/>
      <c r="BI2395" s="319" t="str">
        <f t="shared" ref="BI2395:BR2395" si="1644">IF(ISNUMBER(FIND(BI$3, $CO2395)), "Y", "")</f>
        <v/>
      </c>
      <c r="BJ2395" s="319" t="str">
        <f t="shared" si="1644"/>
        <v/>
      </c>
      <c r="BK2395" s="319" t="str">
        <f t="shared" si="1644"/>
        <v/>
      </c>
      <c r="BL2395" s="319" t="str">
        <f t="shared" si="1644"/>
        <v/>
      </c>
      <c r="BM2395" s="319" t="str">
        <f t="shared" si="1644"/>
        <v/>
      </c>
      <c r="BN2395" s="319" t="str">
        <f t="shared" si="1644"/>
        <v/>
      </c>
      <c r="BO2395" s="319" t="str">
        <f t="shared" si="1644"/>
        <v/>
      </c>
      <c r="BP2395" s="319" t="str">
        <f t="shared" si="1644"/>
        <v/>
      </c>
      <c r="BQ2395" s="319" t="str">
        <f t="shared" si="1644"/>
        <v/>
      </c>
      <c r="BR2395" s="319" t="str">
        <f t="shared" si="1644"/>
        <v/>
      </c>
      <c r="BS2395" s="330">
        <f t="shared" si="185"/>
        <v>0</v>
      </c>
      <c r="BT2395" s="331">
        <f t="shared" si="170"/>
        <v>0</v>
      </c>
      <c r="BU2395" s="920"/>
      <c r="BV2395" s="903" t="str">
        <f t="shared" si="1244"/>
        <v/>
      </c>
      <c r="BW2395" s="908"/>
      <c r="BX2395" s="908"/>
      <c r="BY2395" s="331" t="b">
        <f t="shared" si="201"/>
        <v>0</v>
      </c>
      <c r="BZ2395" s="331"/>
      <c r="CA2395" s="462" t="str">
        <f t="shared" ref="CA2395:CJ2395" si="1645">IF(ISNUMBER(FIND(BI$3, $CP2395)), "Y", "")</f>
        <v/>
      </c>
      <c r="CB2395" s="319" t="str">
        <f t="shared" si="1645"/>
        <v/>
      </c>
      <c r="CC2395" s="319" t="str">
        <f t="shared" si="1645"/>
        <v/>
      </c>
      <c r="CD2395" s="319" t="str">
        <f t="shared" si="1645"/>
        <v/>
      </c>
      <c r="CE2395" s="319" t="str">
        <f t="shared" si="1645"/>
        <v/>
      </c>
      <c r="CF2395" s="319" t="str">
        <f t="shared" si="1645"/>
        <v/>
      </c>
      <c r="CG2395" s="319" t="str">
        <f t="shared" si="1645"/>
        <v/>
      </c>
      <c r="CH2395" s="319" t="str">
        <f t="shared" si="1645"/>
        <v/>
      </c>
      <c r="CI2395" s="319" t="str">
        <f t="shared" si="1645"/>
        <v/>
      </c>
      <c r="CJ2395" s="319" t="str">
        <f t="shared" si="1645"/>
        <v/>
      </c>
      <c r="CK2395" s="342">
        <f t="shared" si="182"/>
        <v>0</v>
      </c>
      <c r="CL2395" s="333">
        <f t="shared" si="183"/>
        <v>0</v>
      </c>
      <c r="CM2395" s="1079"/>
      <c r="CN2395" s="1005"/>
      <c r="CO2395" s="1005"/>
      <c r="CP2395" s="1005"/>
    </row>
    <row r="2396">
      <c r="A2396" s="1257"/>
      <c r="B2396" s="1113"/>
      <c r="C2396" s="1107"/>
      <c r="D2396" s="103"/>
      <c r="E2396" s="1137"/>
      <c r="F2396" s="112"/>
      <c r="G2396" s="1110"/>
      <c r="H2396" s="1138"/>
      <c r="I2396" s="1138"/>
      <c r="J2396" s="1139"/>
      <c r="K2396" s="1111"/>
      <c r="L2396" s="1112"/>
      <c r="M2396" s="1113"/>
      <c r="N2396" s="110"/>
      <c r="O2396" s="1140"/>
      <c r="P2396" s="1115"/>
      <c r="Q2396" s="1116"/>
      <c r="R2396" s="1141"/>
      <c r="S2396" s="1113"/>
      <c r="T2396" s="1143"/>
      <c r="U2396" s="1108"/>
      <c r="V2396" s="1108"/>
      <c r="W2396" s="1108"/>
      <c r="X2396" s="1108"/>
      <c r="Y2396" s="1108"/>
      <c r="Z2396" s="1114"/>
      <c r="AA2396" s="1114"/>
      <c r="AB2396" s="1114"/>
      <c r="AC2396" s="1117"/>
      <c r="AD2396" s="1115"/>
      <c r="AE2396" s="1115"/>
      <c r="AF2396" s="1115"/>
      <c r="AG2396" s="1115"/>
      <c r="AH2396" s="1115"/>
      <c r="AI2396" s="1115"/>
      <c r="AJ2396" s="1117"/>
      <c r="AK2396" s="1118"/>
      <c r="AL2396" s="1115"/>
      <c r="AM2396" s="1115"/>
      <c r="AN2396" s="1115"/>
      <c r="AO2396" s="1115"/>
      <c r="AP2396" s="1115"/>
      <c r="AQ2396" s="1115"/>
      <c r="AR2396" s="1115"/>
      <c r="AS2396" s="1117"/>
      <c r="AT2396" s="1196" t="str">
        <f t="shared" si="428"/>
        <v/>
      </c>
      <c r="AU2396" s="1193"/>
      <c r="AV2396" s="330">
        <f>SQRT(($R2396-Infrastructure!J$3)^2+($S2396-Infrastructure!K$3)^2)</f>
        <v>28.90155705</v>
      </c>
      <c r="AW2396" s="331">
        <f>SQRT(($R2396-Infrastructure!J$4)^2+($S2396-Infrastructure!K$4)^2)</f>
        <v>17.80252791</v>
      </c>
      <c r="AX2396" s="331">
        <f>SQRT(($R2396-Infrastructure!J$5)^2+($S2396-Infrastructure!K$5)^2)</f>
        <v>5.10881591</v>
      </c>
      <c r="AY2396" s="331">
        <f>SQRT(($R2396-Infrastructure!J$6)^2+($S2396-Infrastructure!K$6)^2)</f>
        <v>10.10445446</v>
      </c>
      <c r="AZ2396" s="331">
        <f>SQRT(($R2396-Infrastructure!J$7)^2+($S2396-Infrastructure!K$7)^2)</f>
        <v>20.502195</v>
      </c>
      <c r="BA2396" s="331">
        <f>SQRT(($R2396-Infrastructure!J$8)^2+($S2396-Infrastructure!K$8)^2)</f>
        <v>30.10149498</v>
      </c>
      <c r="BB2396" s="331">
        <f>SQRT(($R2396-Infrastructure!J$9)^2+($S2396-Infrastructure!K$9)^2)</f>
        <v>40.3238143</v>
      </c>
      <c r="BC2396" s="331">
        <f>SQRT(($R2396-Infrastructure!J$10)^2+($S2396-Infrastructure!K$10)^2)</f>
        <v>42.72001873</v>
      </c>
      <c r="BD2396" s="331">
        <f>SQRT(($R2396-Infrastructure!J$11)^2+($S2396-Infrastructure!K$11)^2)</f>
        <v>49.56853841</v>
      </c>
      <c r="BE2396" s="333">
        <f>SQRT(($R2396-Infrastructure!J$12)^2+($S2396-Infrastructure!K$12)^2)</f>
        <v>59.51890456</v>
      </c>
      <c r="BF2396" s="330">
        <f t="shared" si="161"/>
        <v>5.10881591</v>
      </c>
      <c r="BG2396" s="333">
        <f t="shared" si="162"/>
        <v>59.51890456</v>
      </c>
      <c r="BH2396" s="1119"/>
      <c r="BI2396" s="319" t="str">
        <f t="shared" ref="BI2396:BR2396" si="1646">IF(ISNUMBER(FIND(BI$3, $CO2396)), "Y", "")</f>
        <v/>
      </c>
      <c r="BJ2396" s="319" t="str">
        <f t="shared" si="1646"/>
        <v/>
      </c>
      <c r="BK2396" s="319" t="str">
        <f t="shared" si="1646"/>
        <v/>
      </c>
      <c r="BL2396" s="319" t="str">
        <f t="shared" si="1646"/>
        <v/>
      </c>
      <c r="BM2396" s="319" t="str">
        <f t="shared" si="1646"/>
        <v/>
      </c>
      <c r="BN2396" s="319" t="str">
        <f t="shared" si="1646"/>
        <v/>
      </c>
      <c r="BO2396" s="319" t="str">
        <f t="shared" si="1646"/>
        <v/>
      </c>
      <c r="BP2396" s="319" t="str">
        <f t="shared" si="1646"/>
        <v/>
      </c>
      <c r="BQ2396" s="319" t="str">
        <f t="shared" si="1646"/>
        <v/>
      </c>
      <c r="BR2396" s="319" t="str">
        <f t="shared" si="1646"/>
        <v/>
      </c>
      <c r="BS2396" s="330">
        <f t="shared" si="185"/>
        <v>0</v>
      </c>
      <c r="BT2396" s="331">
        <f t="shared" si="170"/>
        <v>0</v>
      </c>
      <c r="BU2396" s="920"/>
      <c r="BV2396" s="903" t="str">
        <f t="shared" si="1244"/>
        <v/>
      </c>
      <c r="BW2396" s="908"/>
      <c r="BX2396" s="908"/>
      <c r="BY2396" s="331" t="b">
        <f t="shared" si="201"/>
        <v>0</v>
      </c>
      <c r="BZ2396" s="331"/>
      <c r="CA2396" s="462" t="str">
        <f t="shared" ref="CA2396:CJ2396" si="1647">IF(ISNUMBER(FIND(BI$3, $CP2396)), "Y", "")</f>
        <v/>
      </c>
      <c r="CB2396" s="319" t="str">
        <f t="shared" si="1647"/>
        <v/>
      </c>
      <c r="CC2396" s="319" t="str">
        <f t="shared" si="1647"/>
        <v/>
      </c>
      <c r="CD2396" s="319" t="str">
        <f t="shared" si="1647"/>
        <v/>
      </c>
      <c r="CE2396" s="319" t="str">
        <f t="shared" si="1647"/>
        <v/>
      </c>
      <c r="CF2396" s="319" t="str">
        <f t="shared" si="1647"/>
        <v/>
      </c>
      <c r="CG2396" s="319" t="str">
        <f t="shared" si="1647"/>
        <v/>
      </c>
      <c r="CH2396" s="319" t="str">
        <f t="shared" si="1647"/>
        <v/>
      </c>
      <c r="CI2396" s="319" t="str">
        <f t="shared" si="1647"/>
        <v/>
      </c>
      <c r="CJ2396" s="319" t="str">
        <f t="shared" si="1647"/>
        <v/>
      </c>
      <c r="CK2396" s="342">
        <f t="shared" si="182"/>
        <v>0</v>
      </c>
      <c r="CL2396" s="333">
        <f t="shared" si="183"/>
        <v>0</v>
      </c>
      <c r="CM2396" s="1079"/>
      <c r="CN2396" s="1005"/>
      <c r="CO2396" s="1005"/>
      <c r="CP2396" s="1005"/>
    </row>
    <row r="2397">
      <c r="A2397" s="1257"/>
      <c r="B2397" s="1113"/>
      <c r="C2397" s="1107"/>
      <c r="D2397" s="103"/>
      <c r="E2397" s="1137"/>
      <c r="F2397" s="112"/>
      <c r="G2397" s="1110"/>
      <c r="H2397" s="1138"/>
      <c r="I2397" s="1138"/>
      <c r="J2397" s="1139"/>
      <c r="K2397" s="1111"/>
      <c r="L2397" s="1112"/>
      <c r="M2397" s="1113"/>
      <c r="N2397" s="110"/>
      <c r="O2397" s="1140"/>
      <c r="P2397" s="1115"/>
      <c r="Q2397" s="1116"/>
      <c r="R2397" s="1141"/>
      <c r="S2397" s="1113"/>
      <c r="T2397" s="1143"/>
      <c r="U2397" s="1108"/>
      <c r="V2397" s="1108"/>
      <c r="W2397" s="1108"/>
      <c r="X2397" s="1108"/>
      <c r="Y2397" s="1108"/>
      <c r="Z2397" s="1114"/>
      <c r="AA2397" s="1114"/>
      <c r="AB2397" s="1114"/>
      <c r="AC2397" s="1117"/>
      <c r="AD2397" s="1115"/>
      <c r="AE2397" s="1115"/>
      <c r="AF2397" s="1115"/>
      <c r="AG2397" s="1115"/>
      <c r="AH2397" s="1115"/>
      <c r="AI2397" s="1115"/>
      <c r="AJ2397" s="1117"/>
      <c r="AK2397" s="1118"/>
      <c r="AL2397" s="1115"/>
      <c r="AM2397" s="1115"/>
      <c r="AN2397" s="1115"/>
      <c r="AO2397" s="1115"/>
      <c r="AP2397" s="1115"/>
      <c r="AQ2397" s="1115"/>
      <c r="AR2397" s="1115"/>
      <c r="AS2397" s="1117"/>
      <c r="AT2397" s="1196" t="str">
        <f t="shared" si="428"/>
        <v/>
      </c>
      <c r="AU2397" s="1193"/>
      <c r="AV2397" s="330">
        <f>SQRT(($R2397-Infrastructure!J$3)^2+($S2397-Infrastructure!K$3)^2)</f>
        <v>28.90155705</v>
      </c>
      <c r="AW2397" s="331">
        <f>SQRT(($R2397-Infrastructure!J$4)^2+($S2397-Infrastructure!K$4)^2)</f>
        <v>17.80252791</v>
      </c>
      <c r="AX2397" s="331">
        <f>SQRT(($R2397-Infrastructure!J$5)^2+($S2397-Infrastructure!K$5)^2)</f>
        <v>5.10881591</v>
      </c>
      <c r="AY2397" s="331">
        <f>SQRT(($R2397-Infrastructure!J$6)^2+($S2397-Infrastructure!K$6)^2)</f>
        <v>10.10445446</v>
      </c>
      <c r="AZ2397" s="331">
        <f>SQRT(($R2397-Infrastructure!J$7)^2+($S2397-Infrastructure!K$7)^2)</f>
        <v>20.502195</v>
      </c>
      <c r="BA2397" s="331">
        <f>SQRT(($R2397-Infrastructure!J$8)^2+($S2397-Infrastructure!K$8)^2)</f>
        <v>30.10149498</v>
      </c>
      <c r="BB2397" s="331">
        <f>SQRT(($R2397-Infrastructure!J$9)^2+($S2397-Infrastructure!K$9)^2)</f>
        <v>40.3238143</v>
      </c>
      <c r="BC2397" s="331">
        <f>SQRT(($R2397-Infrastructure!J$10)^2+($S2397-Infrastructure!K$10)^2)</f>
        <v>42.72001873</v>
      </c>
      <c r="BD2397" s="331">
        <f>SQRT(($R2397-Infrastructure!J$11)^2+($S2397-Infrastructure!K$11)^2)</f>
        <v>49.56853841</v>
      </c>
      <c r="BE2397" s="333">
        <f>SQRT(($R2397-Infrastructure!J$12)^2+($S2397-Infrastructure!K$12)^2)</f>
        <v>59.51890456</v>
      </c>
      <c r="BF2397" s="330">
        <f t="shared" si="161"/>
        <v>5.10881591</v>
      </c>
      <c r="BG2397" s="333">
        <f t="shared" si="162"/>
        <v>59.51890456</v>
      </c>
      <c r="BH2397" s="1119"/>
      <c r="BI2397" s="319" t="str">
        <f t="shared" ref="BI2397:BR2397" si="1648">IF(ISNUMBER(FIND(BI$3, $CO2397)), "Y", "")</f>
        <v/>
      </c>
      <c r="BJ2397" s="319" t="str">
        <f t="shared" si="1648"/>
        <v/>
      </c>
      <c r="BK2397" s="319" t="str">
        <f t="shared" si="1648"/>
        <v/>
      </c>
      <c r="BL2397" s="319" t="str">
        <f t="shared" si="1648"/>
        <v/>
      </c>
      <c r="BM2397" s="319" t="str">
        <f t="shared" si="1648"/>
        <v/>
      </c>
      <c r="BN2397" s="319" t="str">
        <f t="shared" si="1648"/>
        <v/>
      </c>
      <c r="BO2397" s="319" t="str">
        <f t="shared" si="1648"/>
        <v/>
      </c>
      <c r="BP2397" s="319" t="str">
        <f t="shared" si="1648"/>
        <v/>
      </c>
      <c r="BQ2397" s="319" t="str">
        <f t="shared" si="1648"/>
        <v/>
      </c>
      <c r="BR2397" s="319" t="str">
        <f t="shared" si="1648"/>
        <v/>
      </c>
      <c r="BS2397" s="330">
        <f t="shared" si="185"/>
        <v>0</v>
      </c>
      <c r="BT2397" s="331">
        <f t="shared" si="170"/>
        <v>0</v>
      </c>
      <c r="BU2397" s="920"/>
      <c r="BV2397" s="903" t="str">
        <f t="shared" si="1244"/>
        <v/>
      </c>
      <c r="BW2397" s="908"/>
      <c r="BX2397" s="908"/>
      <c r="BY2397" s="331" t="b">
        <f t="shared" si="201"/>
        <v>0</v>
      </c>
      <c r="BZ2397" s="331"/>
      <c r="CA2397" s="462" t="str">
        <f t="shared" ref="CA2397:CJ2397" si="1649">IF(ISNUMBER(FIND(BI$3, $CP2397)), "Y", "")</f>
        <v/>
      </c>
      <c r="CB2397" s="319" t="str">
        <f t="shared" si="1649"/>
        <v/>
      </c>
      <c r="CC2397" s="319" t="str">
        <f t="shared" si="1649"/>
        <v/>
      </c>
      <c r="CD2397" s="319" t="str">
        <f t="shared" si="1649"/>
        <v/>
      </c>
      <c r="CE2397" s="319" t="str">
        <f t="shared" si="1649"/>
        <v/>
      </c>
      <c r="CF2397" s="319" t="str">
        <f t="shared" si="1649"/>
        <v/>
      </c>
      <c r="CG2397" s="319" t="str">
        <f t="shared" si="1649"/>
        <v/>
      </c>
      <c r="CH2397" s="319" t="str">
        <f t="shared" si="1649"/>
        <v/>
      </c>
      <c r="CI2397" s="319" t="str">
        <f t="shared" si="1649"/>
        <v/>
      </c>
      <c r="CJ2397" s="319" t="str">
        <f t="shared" si="1649"/>
        <v/>
      </c>
      <c r="CK2397" s="342">
        <f t="shared" si="182"/>
        <v>0</v>
      </c>
      <c r="CL2397" s="333">
        <f t="shared" si="183"/>
        <v>0</v>
      </c>
      <c r="CM2397" s="1079"/>
      <c r="CN2397" s="1005"/>
      <c r="CO2397" s="1005"/>
      <c r="CP2397" s="1005"/>
    </row>
    <row r="2398">
      <c r="A2398" s="1257"/>
      <c r="B2398" s="1113"/>
      <c r="C2398" s="1107"/>
      <c r="D2398" s="103"/>
      <c r="E2398" s="1137"/>
      <c r="F2398" s="112"/>
      <c r="G2398" s="1110"/>
      <c r="H2398" s="1138"/>
      <c r="I2398" s="1138"/>
      <c r="J2398" s="1139"/>
      <c r="K2398" s="1111"/>
      <c r="L2398" s="1112"/>
      <c r="M2398" s="1113"/>
      <c r="N2398" s="110"/>
      <c r="O2398" s="1140"/>
      <c r="P2398" s="1115"/>
      <c r="Q2398" s="1116"/>
      <c r="R2398" s="1141"/>
      <c r="S2398" s="1113"/>
      <c r="T2398" s="1143"/>
      <c r="U2398" s="1108"/>
      <c r="V2398" s="1108"/>
      <c r="W2398" s="1108"/>
      <c r="X2398" s="1108"/>
      <c r="Y2398" s="1108"/>
      <c r="Z2398" s="1114"/>
      <c r="AA2398" s="1114"/>
      <c r="AB2398" s="1114"/>
      <c r="AC2398" s="1117"/>
      <c r="AD2398" s="1115"/>
      <c r="AE2398" s="1115"/>
      <c r="AF2398" s="1115"/>
      <c r="AG2398" s="1115"/>
      <c r="AH2398" s="1115"/>
      <c r="AI2398" s="1115"/>
      <c r="AJ2398" s="1117"/>
      <c r="AK2398" s="1118"/>
      <c r="AL2398" s="1115"/>
      <c r="AM2398" s="1115"/>
      <c r="AN2398" s="1115"/>
      <c r="AO2398" s="1115"/>
      <c r="AP2398" s="1115"/>
      <c r="AQ2398" s="1115"/>
      <c r="AR2398" s="1115"/>
      <c r="AS2398" s="1117"/>
      <c r="AT2398" s="1196" t="str">
        <f t="shared" si="428"/>
        <v/>
      </c>
      <c r="AU2398" s="1193"/>
      <c r="AV2398" s="330">
        <f>SQRT(($R2398-Infrastructure!J$3)^2+($S2398-Infrastructure!K$3)^2)</f>
        <v>28.90155705</v>
      </c>
      <c r="AW2398" s="331">
        <f>SQRT(($R2398-Infrastructure!J$4)^2+($S2398-Infrastructure!K$4)^2)</f>
        <v>17.80252791</v>
      </c>
      <c r="AX2398" s="331">
        <f>SQRT(($R2398-Infrastructure!J$5)^2+($S2398-Infrastructure!K$5)^2)</f>
        <v>5.10881591</v>
      </c>
      <c r="AY2398" s="331">
        <f>SQRT(($R2398-Infrastructure!J$6)^2+($S2398-Infrastructure!K$6)^2)</f>
        <v>10.10445446</v>
      </c>
      <c r="AZ2398" s="331">
        <f>SQRT(($R2398-Infrastructure!J$7)^2+($S2398-Infrastructure!K$7)^2)</f>
        <v>20.502195</v>
      </c>
      <c r="BA2398" s="331">
        <f>SQRT(($R2398-Infrastructure!J$8)^2+($S2398-Infrastructure!K$8)^2)</f>
        <v>30.10149498</v>
      </c>
      <c r="BB2398" s="331">
        <f>SQRT(($R2398-Infrastructure!J$9)^2+($S2398-Infrastructure!K$9)^2)</f>
        <v>40.3238143</v>
      </c>
      <c r="BC2398" s="331">
        <f>SQRT(($R2398-Infrastructure!J$10)^2+($S2398-Infrastructure!K$10)^2)</f>
        <v>42.72001873</v>
      </c>
      <c r="BD2398" s="331">
        <f>SQRT(($R2398-Infrastructure!J$11)^2+($S2398-Infrastructure!K$11)^2)</f>
        <v>49.56853841</v>
      </c>
      <c r="BE2398" s="333">
        <f>SQRT(($R2398-Infrastructure!J$12)^2+($S2398-Infrastructure!K$12)^2)</f>
        <v>59.51890456</v>
      </c>
      <c r="BF2398" s="330">
        <f t="shared" si="161"/>
        <v>5.10881591</v>
      </c>
      <c r="BG2398" s="333">
        <f t="shared" si="162"/>
        <v>59.51890456</v>
      </c>
      <c r="BH2398" s="1119"/>
      <c r="BI2398" s="319" t="str">
        <f t="shared" ref="BI2398:BR2398" si="1650">IF(ISNUMBER(FIND(BI$3, $CO2398)), "Y", "")</f>
        <v/>
      </c>
      <c r="BJ2398" s="319" t="str">
        <f t="shared" si="1650"/>
        <v/>
      </c>
      <c r="BK2398" s="319" t="str">
        <f t="shared" si="1650"/>
        <v/>
      </c>
      <c r="BL2398" s="319" t="str">
        <f t="shared" si="1650"/>
        <v/>
      </c>
      <c r="BM2398" s="319" t="str">
        <f t="shared" si="1650"/>
        <v/>
      </c>
      <c r="BN2398" s="319" t="str">
        <f t="shared" si="1650"/>
        <v/>
      </c>
      <c r="BO2398" s="319" t="str">
        <f t="shared" si="1650"/>
        <v/>
      </c>
      <c r="BP2398" s="319" t="str">
        <f t="shared" si="1650"/>
        <v/>
      </c>
      <c r="BQ2398" s="319" t="str">
        <f t="shared" si="1650"/>
        <v/>
      </c>
      <c r="BR2398" s="319" t="str">
        <f t="shared" si="1650"/>
        <v/>
      </c>
      <c r="BS2398" s="330">
        <f t="shared" si="185"/>
        <v>0</v>
      </c>
      <c r="BT2398" s="331">
        <f t="shared" si="170"/>
        <v>0</v>
      </c>
      <c r="BU2398" s="920"/>
      <c r="BV2398" s="903" t="str">
        <f t="shared" si="1244"/>
        <v/>
      </c>
      <c r="BW2398" s="908"/>
      <c r="BX2398" s="908"/>
      <c r="BY2398" s="331" t="b">
        <f t="shared" si="201"/>
        <v>0</v>
      </c>
      <c r="BZ2398" s="331"/>
      <c r="CA2398" s="462" t="str">
        <f t="shared" ref="CA2398:CJ2398" si="1651">IF(ISNUMBER(FIND(BI$3, $CP2398)), "Y", "")</f>
        <v/>
      </c>
      <c r="CB2398" s="319" t="str">
        <f t="shared" si="1651"/>
        <v/>
      </c>
      <c r="CC2398" s="319" t="str">
        <f t="shared" si="1651"/>
        <v/>
      </c>
      <c r="CD2398" s="319" t="str">
        <f t="shared" si="1651"/>
        <v/>
      </c>
      <c r="CE2398" s="319" t="str">
        <f t="shared" si="1651"/>
        <v/>
      </c>
      <c r="CF2398" s="319" t="str">
        <f t="shared" si="1651"/>
        <v/>
      </c>
      <c r="CG2398" s="319" t="str">
        <f t="shared" si="1651"/>
        <v/>
      </c>
      <c r="CH2398" s="319" t="str">
        <f t="shared" si="1651"/>
        <v/>
      </c>
      <c r="CI2398" s="319" t="str">
        <f t="shared" si="1651"/>
        <v/>
      </c>
      <c r="CJ2398" s="319" t="str">
        <f t="shared" si="1651"/>
        <v/>
      </c>
      <c r="CK2398" s="342">
        <f t="shared" si="182"/>
        <v>0</v>
      </c>
      <c r="CL2398" s="333">
        <f t="shared" si="183"/>
        <v>0</v>
      </c>
      <c r="CM2398" s="1079"/>
      <c r="CN2398" s="1005"/>
      <c r="CO2398" s="1005"/>
      <c r="CP2398" s="1005"/>
    </row>
    <row r="2399">
      <c r="A2399" s="1257"/>
      <c r="B2399" s="1113"/>
      <c r="C2399" s="1107"/>
      <c r="D2399" s="103"/>
      <c r="E2399" s="1137"/>
      <c r="F2399" s="112"/>
      <c r="G2399" s="1110"/>
      <c r="H2399" s="1138"/>
      <c r="I2399" s="1138"/>
      <c r="J2399" s="1139"/>
      <c r="K2399" s="1111"/>
      <c r="L2399" s="1112"/>
      <c r="M2399" s="1113"/>
      <c r="N2399" s="110"/>
      <c r="O2399" s="1140"/>
      <c r="P2399" s="1115"/>
      <c r="Q2399" s="1116"/>
      <c r="R2399" s="1141"/>
      <c r="S2399" s="1113"/>
      <c r="T2399" s="1143"/>
      <c r="U2399" s="1108"/>
      <c r="V2399" s="1108"/>
      <c r="W2399" s="1108"/>
      <c r="X2399" s="1108"/>
      <c r="Y2399" s="1108"/>
      <c r="Z2399" s="1114"/>
      <c r="AA2399" s="1114"/>
      <c r="AB2399" s="1114"/>
      <c r="AC2399" s="1117"/>
      <c r="AD2399" s="1115"/>
      <c r="AE2399" s="1115"/>
      <c r="AF2399" s="1115"/>
      <c r="AG2399" s="1115"/>
      <c r="AH2399" s="1115"/>
      <c r="AI2399" s="1115"/>
      <c r="AJ2399" s="1117"/>
      <c r="AK2399" s="1118"/>
      <c r="AL2399" s="1115"/>
      <c r="AM2399" s="1115"/>
      <c r="AN2399" s="1115"/>
      <c r="AO2399" s="1115"/>
      <c r="AP2399" s="1115"/>
      <c r="AQ2399" s="1115"/>
      <c r="AR2399" s="1115"/>
      <c r="AS2399" s="1117"/>
      <c r="AT2399" s="1196" t="str">
        <f t="shared" si="428"/>
        <v/>
      </c>
      <c r="AU2399" s="1193"/>
      <c r="AV2399" s="330">
        <f>SQRT(($R2399-Infrastructure!J$3)^2+($S2399-Infrastructure!K$3)^2)</f>
        <v>28.90155705</v>
      </c>
      <c r="AW2399" s="331">
        <f>SQRT(($R2399-Infrastructure!J$4)^2+($S2399-Infrastructure!K$4)^2)</f>
        <v>17.80252791</v>
      </c>
      <c r="AX2399" s="331">
        <f>SQRT(($R2399-Infrastructure!J$5)^2+($S2399-Infrastructure!K$5)^2)</f>
        <v>5.10881591</v>
      </c>
      <c r="AY2399" s="331">
        <f>SQRT(($R2399-Infrastructure!J$6)^2+($S2399-Infrastructure!K$6)^2)</f>
        <v>10.10445446</v>
      </c>
      <c r="AZ2399" s="331">
        <f>SQRT(($R2399-Infrastructure!J$7)^2+($S2399-Infrastructure!K$7)^2)</f>
        <v>20.502195</v>
      </c>
      <c r="BA2399" s="331">
        <f>SQRT(($R2399-Infrastructure!J$8)^2+($S2399-Infrastructure!K$8)^2)</f>
        <v>30.10149498</v>
      </c>
      <c r="BB2399" s="331">
        <f>SQRT(($R2399-Infrastructure!J$9)^2+($S2399-Infrastructure!K$9)^2)</f>
        <v>40.3238143</v>
      </c>
      <c r="BC2399" s="331">
        <f>SQRT(($R2399-Infrastructure!J$10)^2+($S2399-Infrastructure!K$10)^2)</f>
        <v>42.72001873</v>
      </c>
      <c r="BD2399" s="331">
        <f>SQRT(($R2399-Infrastructure!J$11)^2+($S2399-Infrastructure!K$11)^2)</f>
        <v>49.56853841</v>
      </c>
      <c r="BE2399" s="333">
        <f>SQRT(($R2399-Infrastructure!J$12)^2+($S2399-Infrastructure!K$12)^2)</f>
        <v>59.51890456</v>
      </c>
      <c r="BF2399" s="330">
        <f t="shared" si="161"/>
        <v>5.10881591</v>
      </c>
      <c r="BG2399" s="333">
        <f t="shared" si="162"/>
        <v>59.51890456</v>
      </c>
      <c r="BH2399" s="1119"/>
      <c r="BI2399" s="319" t="str">
        <f t="shared" ref="BI2399:BR2399" si="1652">IF(ISNUMBER(FIND(BI$3, $CO2399)), "Y", "")</f>
        <v/>
      </c>
      <c r="BJ2399" s="319" t="str">
        <f t="shared" si="1652"/>
        <v/>
      </c>
      <c r="BK2399" s="319" t="str">
        <f t="shared" si="1652"/>
        <v/>
      </c>
      <c r="BL2399" s="319" t="str">
        <f t="shared" si="1652"/>
        <v/>
      </c>
      <c r="BM2399" s="319" t="str">
        <f t="shared" si="1652"/>
        <v/>
      </c>
      <c r="BN2399" s="319" t="str">
        <f t="shared" si="1652"/>
        <v/>
      </c>
      <c r="BO2399" s="319" t="str">
        <f t="shared" si="1652"/>
        <v/>
      </c>
      <c r="BP2399" s="319" t="str">
        <f t="shared" si="1652"/>
        <v/>
      </c>
      <c r="BQ2399" s="319" t="str">
        <f t="shared" si="1652"/>
        <v/>
      </c>
      <c r="BR2399" s="319" t="str">
        <f t="shared" si="1652"/>
        <v/>
      </c>
      <c r="BS2399" s="330">
        <f t="shared" si="185"/>
        <v>0</v>
      </c>
      <c r="BT2399" s="331">
        <f t="shared" si="170"/>
        <v>0</v>
      </c>
      <c r="BU2399" s="920"/>
      <c r="BV2399" s="903" t="str">
        <f t="shared" si="1244"/>
        <v/>
      </c>
      <c r="BW2399" s="908"/>
      <c r="BX2399" s="908"/>
      <c r="BY2399" s="331" t="b">
        <f t="shared" si="201"/>
        <v>0</v>
      </c>
      <c r="BZ2399" s="331"/>
      <c r="CA2399" s="462" t="str">
        <f t="shared" ref="CA2399:CJ2399" si="1653">IF(ISNUMBER(FIND(BI$3, $CP2399)), "Y", "")</f>
        <v/>
      </c>
      <c r="CB2399" s="319" t="str">
        <f t="shared" si="1653"/>
        <v/>
      </c>
      <c r="CC2399" s="319" t="str">
        <f t="shared" si="1653"/>
        <v/>
      </c>
      <c r="CD2399" s="319" t="str">
        <f t="shared" si="1653"/>
        <v/>
      </c>
      <c r="CE2399" s="319" t="str">
        <f t="shared" si="1653"/>
        <v/>
      </c>
      <c r="CF2399" s="319" t="str">
        <f t="shared" si="1653"/>
        <v/>
      </c>
      <c r="CG2399" s="319" t="str">
        <f t="shared" si="1653"/>
        <v/>
      </c>
      <c r="CH2399" s="319" t="str">
        <f t="shared" si="1653"/>
        <v/>
      </c>
      <c r="CI2399" s="319" t="str">
        <f t="shared" si="1653"/>
        <v/>
      </c>
      <c r="CJ2399" s="319" t="str">
        <f t="shared" si="1653"/>
        <v/>
      </c>
      <c r="CK2399" s="342">
        <f t="shared" si="182"/>
        <v>0</v>
      </c>
      <c r="CL2399" s="333">
        <f t="shared" si="183"/>
        <v>0</v>
      </c>
      <c r="CM2399" s="1079"/>
      <c r="CN2399" s="1005"/>
      <c r="CO2399" s="1005"/>
      <c r="CP2399" s="1005"/>
    </row>
    <row r="2400">
      <c r="A2400" s="1257"/>
      <c r="B2400" s="1113"/>
      <c r="C2400" s="1107"/>
      <c r="D2400" s="103"/>
      <c r="E2400" s="1137"/>
      <c r="F2400" s="112"/>
      <c r="G2400" s="1110"/>
      <c r="H2400" s="1138"/>
      <c r="I2400" s="1138"/>
      <c r="J2400" s="1139"/>
      <c r="K2400" s="1111"/>
      <c r="L2400" s="1112"/>
      <c r="M2400" s="1113"/>
      <c r="N2400" s="110"/>
      <c r="O2400" s="1140"/>
      <c r="P2400" s="1115"/>
      <c r="Q2400" s="1116"/>
      <c r="R2400" s="1141"/>
      <c r="S2400" s="1113"/>
      <c r="T2400" s="1143"/>
      <c r="U2400" s="1108"/>
      <c r="V2400" s="1108"/>
      <c r="W2400" s="1108"/>
      <c r="X2400" s="1108"/>
      <c r="Y2400" s="1108"/>
      <c r="Z2400" s="1114"/>
      <c r="AA2400" s="1114"/>
      <c r="AB2400" s="1114"/>
      <c r="AC2400" s="1117"/>
      <c r="AD2400" s="1115"/>
      <c r="AE2400" s="1115"/>
      <c r="AF2400" s="1115"/>
      <c r="AG2400" s="1115"/>
      <c r="AH2400" s="1115"/>
      <c r="AI2400" s="1115"/>
      <c r="AJ2400" s="1117"/>
      <c r="AK2400" s="1118"/>
      <c r="AL2400" s="1115"/>
      <c r="AM2400" s="1115"/>
      <c r="AN2400" s="1115"/>
      <c r="AO2400" s="1115"/>
      <c r="AP2400" s="1115"/>
      <c r="AQ2400" s="1115"/>
      <c r="AR2400" s="1115"/>
      <c r="AS2400" s="1117"/>
      <c r="AT2400" s="1196" t="str">
        <f t="shared" si="428"/>
        <v/>
      </c>
      <c r="AU2400" s="1193"/>
      <c r="AV2400" s="330">
        <f>SQRT(($R2400-Infrastructure!J$3)^2+($S2400-Infrastructure!K$3)^2)</f>
        <v>28.90155705</v>
      </c>
      <c r="AW2400" s="331">
        <f>SQRT(($R2400-Infrastructure!J$4)^2+($S2400-Infrastructure!K$4)^2)</f>
        <v>17.80252791</v>
      </c>
      <c r="AX2400" s="331">
        <f>SQRT(($R2400-Infrastructure!J$5)^2+($S2400-Infrastructure!K$5)^2)</f>
        <v>5.10881591</v>
      </c>
      <c r="AY2400" s="331">
        <f>SQRT(($R2400-Infrastructure!J$6)^2+($S2400-Infrastructure!K$6)^2)</f>
        <v>10.10445446</v>
      </c>
      <c r="AZ2400" s="331">
        <f>SQRT(($R2400-Infrastructure!J$7)^2+($S2400-Infrastructure!K$7)^2)</f>
        <v>20.502195</v>
      </c>
      <c r="BA2400" s="331">
        <f>SQRT(($R2400-Infrastructure!J$8)^2+($S2400-Infrastructure!K$8)^2)</f>
        <v>30.10149498</v>
      </c>
      <c r="BB2400" s="331">
        <f>SQRT(($R2400-Infrastructure!J$9)^2+($S2400-Infrastructure!K$9)^2)</f>
        <v>40.3238143</v>
      </c>
      <c r="BC2400" s="331">
        <f>SQRT(($R2400-Infrastructure!J$10)^2+($S2400-Infrastructure!K$10)^2)</f>
        <v>42.72001873</v>
      </c>
      <c r="BD2400" s="331">
        <f>SQRT(($R2400-Infrastructure!J$11)^2+($S2400-Infrastructure!K$11)^2)</f>
        <v>49.56853841</v>
      </c>
      <c r="BE2400" s="333">
        <f>SQRT(($R2400-Infrastructure!J$12)^2+($S2400-Infrastructure!K$12)^2)</f>
        <v>59.51890456</v>
      </c>
      <c r="BF2400" s="330">
        <f t="shared" si="161"/>
        <v>5.10881591</v>
      </c>
      <c r="BG2400" s="333">
        <f t="shared" si="162"/>
        <v>59.51890456</v>
      </c>
      <c r="BH2400" s="1119"/>
      <c r="BI2400" s="319" t="str">
        <f t="shared" ref="BI2400:BR2400" si="1654">IF(ISNUMBER(FIND(BI$3, $CO2400)), "Y", "")</f>
        <v/>
      </c>
      <c r="BJ2400" s="319" t="str">
        <f t="shared" si="1654"/>
        <v/>
      </c>
      <c r="BK2400" s="319" t="str">
        <f t="shared" si="1654"/>
        <v/>
      </c>
      <c r="BL2400" s="319" t="str">
        <f t="shared" si="1654"/>
        <v/>
      </c>
      <c r="BM2400" s="319" t="str">
        <f t="shared" si="1654"/>
        <v/>
      </c>
      <c r="BN2400" s="319" t="str">
        <f t="shared" si="1654"/>
        <v/>
      </c>
      <c r="BO2400" s="319" t="str">
        <f t="shared" si="1654"/>
        <v/>
      </c>
      <c r="BP2400" s="319" t="str">
        <f t="shared" si="1654"/>
        <v/>
      </c>
      <c r="BQ2400" s="319" t="str">
        <f t="shared" si="1654"/>
        <v/>
      </c>
      <c r="BR2400" s="319" t="str">
        <f t="shared" si="1654"/>
        <v/>
      </c>
      <c r="BS2400" s="330">
        <f t="shared" si="185"/>
        <v>0</v>
      </c>
      <c r="BT2400" s="331">
        <f t="shared" si="170"/>
        <v>0</v>
      </c>
      <c r="BU2400" s="920"/>
      <c r="BV2400" s="903" t="str">
        <f t="shared" si="1244"/>
        <v/>
      </c>
      <c r="BW2400" s="908"/>
      <c r="BX2400" s="908"/>
      <c r="BY2400" s="331" t="b">
        <f t="shared" si="201"/>
        <v>0</v>
      </c>
      <c r="BZ2400" s="331"/>
      <c r="CA2400" s="462" t="str">
        <f t="shared" ref="CA2400:CJ2400" si="1655">IF(ISNUMBER(FIND(BI$3, $CP2400)), "Y", "")</f>
        <v/>
      </c>
      <c r="CB2400" s="319" t="str">
        <f t="shared" si="1655"/>
        <v/>
      </c>
      <c r="CC2400" s="319" t="str">
        <f t="shared" si="1655"/>
        <v/>
      </c>
      <c r="CD2400" s="319" t="str">
        <f t="shared" si="1655"/>
        <v/>
      </c>
      <c r="CE2400" s="319" t="str">
        <f t="shared" si="1655"/>
        <v/>
      </c>
      <c r="CF2400" s="319" t="str">
        <f t="shared" si="1655"/>
        <v/>
      </c>
      <c r="CG2400" s="319" t="str">
        <f t="shared" si="1655"/>
        <v/>
      </c>
      <c r="CH2400" s="319" t="str">
        <f t="shared" si="1655"/>
        <v/>
      </c>
      <c r="CI2400" s="319" t="str">
        <f t="shared" si="1655"/>
        <v/>
      </c>
      <c r="CJ2400" s="319" t="str">
        <f t="shared" si="1655"/>
        <v/>
      </c>
      <c r="CK2400" s="342">
        <f t="shared" si="182"/>
        <v>0</v>
      </c>
      <c r="CL2400" s="333">
        <f t="shared" si="183"/>
        <v>0</v>
      </c>
      <c r="CM2400" s="1079"/>
      <c r="CN2400" s="1005"/>
      <c r="CO2400" s="1005"/>
      <c r="CP2400" s="1005"/>
    </row>
    <row r="2401">
      <c r="A2401" s="1257"/>
      <c r="B2401" s="1113"/>
      <c r="C2401" s="1107"/>
      <c r="D2401" s="103"/>
      <c r="E2401" s="1137"/>
      <c r="F2401" s="112"/>
      <c r="G2401" s="1110"/>
      <c r="H2401" s="1138"/>
      <c r="I2401" s="1138"/>
      <c r="J2401" s="1139"/>
      <c r="K2401" s="1111"/>
      <c r="L2401" s="1112"/>
      <c r="M2401" s="1113"/>
      <c r="N2401" s="110"/>
      <c r="O2401" s="1140"/>
      <c r="P2401" s="1115"/>
      <c r="Q2401" s="1116"/>
      <c r="R2401" s="1141"/>
      <c r="S2401" s="1113"/>
      <c r="T2401" s="1143"/>
      <c r="U2401" s="1108"/>
      <c r="V2401" s="1108"/>
      <c r="W2401" s="1108"/>
      <c r="X2401" s="1108"/>
      <c r="Y2401" s="1108"/>
      <c r="Z2401" s="1114"/>
      <c r="AA2401" s="1114"/>
      <c r="AB2401" s="1114"/>
      <c r="AC2401" s="1117"/>
      <c r="AD2401" s="1115"/>
      <c r="AE2401" s="1115"/>
      <c r="AF2401" s="1115"/>
      <c r="AG2401" s="1115"/>
      <c r="AH2401" s="1115"/>
      <c r="AI2401" s="1115"/>
      <c r="AJ2401" s="1117"/>
      <c r="AK2401" s="1118"/>
      <c r="AL2401" s="1115"/>
      <c r="AM2401" s="1115"/>
      <c r="AN2401" s="1115"/>
      <c r="AO2401" s="1115"/>
      <c r="AP2401" s="1115"/>
      <c r="AQ2401" s="1115"/>
      <c r="AR2401" s="1115"/>
      <c r="AS2401" s="1117"/>
      <c r="AT2401" s="1196" t="str">
        <f t="shared" si="428"/>
        <v/>
      </c>
      <c r="AU2401" s="1193"/>
      <c r="AV2401" s="330">
        <f>SQRT(($R2401-Infrastructure!J$3)^2+($S2401-Infrastructure!K$3)^2)</f>
        <v>28.90155705</v>
      </c>
      <c r="AW2401" s="331">
        <f>SQRT(($R2401-Infrastructure!J$4)^2+($S2401-Infrastructure!K$4)^2)</f>
        <v>17.80252791</v>
      </c>
      <c r="AX2401" s="331">
        <f>SQRT(($R2401-Infrastructure!J$5)^2+($S2401-Infrastructure!K$5)^2)</f>
        <v>5.10881591</v>
      </c>
      <c r="AY2401" s="331">
        <f>SQRT(($R2401-Infrastructure!J$6)^2+($S2401-Infrastructure!K$6)^2)</f>
        <v>10.10445446</v>
      </c>
      <c r="AZ2401" s="331">
        <f>SQRT(($R2401-Infrastructure!J$7)^2+($S2401-Infrastructure!K$7)^2)</f>
        <v>20.502195</v>
      </c>
      <c r="BA2401" s="331">
        <f>SQRT(($R2401-Infrastructure!J$8)^2+($S2401-Infrastructure!K$8)^2)</f>
        <v>30.10149498</v>
      </c>
      <c r="BB2401" s="331">
        <f>SQRT(($R2401-Infrastructure!J$9)^2+($S2401-Infrastructure!K$9)^2)</f>
        <v>40.3238143</v>
      </c>
      <c r="BC2401" s="331">
        <f>SQRT(($R2401-Infrastructure!J$10)^2+($S2401-Infrastructure!K$10)^2)</f>
        <v>42.72001873</v>
      </c>
      <c r="BD2401" s="331">
        <f>SQRT(($R2401-Infrastructure!J$11)^2+($S2401-Infrastructure!K$11)^2)</f>
        <v>49.56853841</v>
      </c>
      <c r="BE2401" s="333">
        <f>SQRT(($R2401-Infrastructure!J$12)^2+($S2401-Infrastructure!K$12)^2)</f>
        <v>59.51890456</v>
      </c>
      <c r="BF2401" s="330">
        <f t="shared" si="161"/>
        <v>5.10881591</v>
      </c>
      <c r="BG2401" s="333">
        <f t="shared" si="162"/>
        <v>59.51890456</v>
      </c>
      <c r="BH2401" s="1119"/>
      <c r="BI2401" s="319" t="str">
        <f t="shared" ref="BI2401:BR2401" si="1656">IF(ISNUMBER(FIND(BI$3, $CO2401)), "Y", "")</f>
        <v/>
      </c>
      <c r="BJ2401" s="319" t="str">
        <f t="shared" si="1656"/>
        <v/>
      </c>
      <c r="BK2401" s="319" t="str">
        <f t="shared" si="1656"/>
        <v/>
      </c>
      <c r="BL2401" s="319" t="str">
        <f t="shared" si="1656"/>
        <v/>
      </c>
      <c r="BM2401" s="319" t="str">
        <f t="shared" si="1656"/>
        <v/>
      </c>
      <c r="BN2401" s="319" t="str">
        <f t="shared" si="1656"/>
        <v/>
      </c>
      <c r="BO2401" s="319" t="str">
        <f t="shared" si="1656"/>
        <v/>
      </c>
      <c r="BP2401" s="319" t="str">
        <f t="shared" si="1656"/>
        <v/>
      </c>
      <c r="BQ2401" s="319" t="str">
        <f t="shared" si="1656"/>
        <v/>
      </c>
      <c r="BR2401" s="319" t="str">
        <f t="shared" si="1656"/>
        <v/>
      </c>
      <c r="BS2401" s="330">
        <f t="shared" si="185"/>
        <v>0</v>
      </c>
      <c r="BT2401" s="331">
        <f t="shared" si="170"/>
        <v>0</v>
      </c>
      <c r="BU2401" s="920"/>
      <c r="BV2401" s="903" t="str">
        <f t="shared" si="1244"/>
        <v/>
      </c>
      <c r="BW2401" s="908"/>
      <c r="BX2401" s="908"/>
      <c r="BY2401" s="331" t="b">
        <f t="shared" si="201"/>
        <v>0</v>
      </c>
      <c r="BZ2401" s="331"/>
      <c r="CA2401" s="462" t="str">
        <f t="shared" ref="CA2401:CJ2401" si="1657">IF(ISNUMBER(FIND(BI$3, $CP2401)), "Y", "")</f>
        <v/>
      </c>
      <c r="CB2401" s="319" t="str">
        <f t="shared" si="1657"/>
        <v/>
      </c>
      <c r="CC2401" s="319" t="str">
        <f t="shared" si="1657"/>
        <v/>
      </c>
      <c r="CD2401" s="319" t="str">
        <f t="shared" si="1657"/>
        <v/>
      </c>
      <c r="CE2401" s="319" t="str">
        <f t="shared" si="1657"/>
        <v/>
      </c>
      <c r="CF2401" s="319" t="str">
        <f t="shared" si="1657"/>
        <v/>
      </c>
      <c r="CG2401" s="319" t="str">
        <f t="shared" si="1657"/>
        <v/>
      </c>
      <c r="CH2401" s="319" t="str">
        <f t="shared" si="1657"/>
        <v/>
      </c>
      <c r="CI2401" s="319" t="str">
        <f t="shared" si="1657"/>
        <v/>
      </c>
      <c r="CJ2401" s="319" t="str">
        <f t="shared" si="1657"/>
        <v/>
      </c>
      <c r="CK2401" s="342">
        <f t="shared" si="182"/>
        <v>0</v>
      </c>
      <c r="CL2401" s="333">
        <f t="shared" si="183"/>
        <v>0</v>
      </c>
      <c r="CM2401" s="1079"/>
      <c r="CN2401" s="1005"/>
      <c r="CO2401" s="1005"/>
      <c r="CP2401" s="1005"/>
    </row>
    <row r="2402">
      <c r="A2402" s="1257"/>
      <c r="B2402" s="1113"/>
      <c r="C2402" s="1107"/>
      <c r="D2402" s="103"/>
      <c r="E2402" s="1137"/>
      <c r="F2402" s="112"/>
      <c r="G2402" s="1110"/>
      <c r="H2402" s="1138"/>
      <c r="I2402" s="1138"/>
      <c r="J2402" s="1139"/>
      <c r="K2402" s="1111"/>
      <c r="L2402" s="1112"/>
      <c r="M2402" s="1113"/>
      <c r="N2402" s="110"/>
      <c r="O2402" s="1140"/>
      <c r="P2402" s="1115"/>
      <c r="Q2402" s="1116"/>
      <c r="R2402" s="1141"/>
      <c r="S2402" s="1113"/>
      <c r="T2402" s="1143"/>
      <c r="U2402" s="1108"/>
      <c r="V2402" s="1108"/>
      <c r="W2402" s="1108"/>
      <c r="X2402" s="1108"/>
      <c r="Y2402" s="1108"/>
      <c r="Z2402" s="1114"/>
      <c r="AA2402" s="1114"/>
      <c r="AB2402" s="1114"/>
      <c r="AC2402" s="1117"/>
      <c r="AD2402" s="1115"/>
      <c r="AE2402" s="1115"/>
      <c r="AF2402" s="1115"/>
      <c r="AG2402" s="1115"/>
      <c r="AH2402" s="1115"/>
      <c r="AI2402" s="1115"/>
      <c r="AJ2402" s="1117"/>
      <c r="AK2402" s="1118"/>
      <c r="AL2402" s="1115"/>
      <c r="AM2402" s="1115"/>
      <c r="AN2402" s="1115"/>
      <c r="AO2402" s="1115"/>
      <c r="AP2402" s="1115"/>
      <c r="AQ2402" s="1115"/>
      <c r="AR2402" s="1115"/>
      <c r="AS2402" s="1117"/>
      <c r="AT2402" s="1196" t="str">
        <f t="shared" si="428"/>
        <v/>
      </c>
      <c r="AU2402" s="1193"/>
      <c r="AV2402" s="330">
        <f>SQRT(($R2402-Infrastructure!J$3)^2+($S2402-Infrastructure!K$3)^2)</f>
        <v>28.90155705</v>
      </c>
      <c r="AW2402" s="331">
        <f>SQRT(($R2402-Infrastructure!J$4)^2+($S2402-Infrastructure!K$4)^2)</f>
        <v>17.80252791</v>
      </c>
      <c r="AX2402" s="331">
        <f>SQRT(($R2402-Infrastructure!J$5)^2+($S2402-Infrastructure!K$5)^2)</f>
        <v>5.10881591</v>
      </c>
      <c r="AY2402" s="331">
        <f>SQRT(($R2402-Infrastructure!J$6)^2+($S2402-Infrastructure!K$6)^2)</f>
        <v>10.10445446</v>
      </c>
      <c r="AZ2402" s="331">
        <f>SQRT(($R2402-Infrastructure!J$7)^2+($S2402-Infrastructure!K$7)^2)</f>
        <v>20.502195</v>
      </c>
      <c r="BA2402" s="331">
        <f>SQRT(($R2402-Infrastructure!J$8)^2+($S2402-Infrastructure!K$8)^2)</f>
        <v>30.10149498</v>
      </c>
      <c r="BB2402" s="331">
        <f>SQRT(($R2402-Infrastructure!J$9)^2+($S2402-Infrastructure!K$9)^2)</f>
        <v>40.3238143</v>
      </c>
      <c r="BC2402" s="331">
        <f>SQRT(($R2402-Infrastructure!J$10)^2+($S2402-Infrastructure!K$10)^2)</f>
        <v>42.72001873</v>
      </c>
      <c r="BD2402" s="331">
        <f>SQRT(($R2402-Infrastructure!J$11)^2+($S2402-Infrastructure!K$11)^2)</f>
        <v>49.56853841</v>
      </c>
      <c r="BE2402" s="333">
        <f>SQRT(($R2402-Infrastructure!J$12)^2+($S2402-Infrastructure!K$12)^2)</f>
        <v>59.51890456</v>
      </c>
      <c r="BF2402" s="330">
        <f t="shared" si="161"/>
        <v>5.10881591</v>
      </c>
      <c r="BG2402" s="333">
        <f t="shared" si="162"/>
        <v>59.51890456</v>
      </c>
      <c r="BH2402" s="1119"/>
      <c r="BI2402" s="319" t="str">
        <f t="shared" ref="BI2402:BR2402" si="1658">IF(ISNUMBER(FIND(BI$3, $CO2402)), "Y", "")</f>
        <v/>
      </c>
      <c r="BJ2402" s="319" t="str">
        <f t="shared" si="1658"/>
        <v/>
      </c>
      <c r="BK2402" s="319" t="str">
        <f t="shared" si="1658"/>
        <v/>
      </c>
      <c r="BL2402" s="319" t="str">
        <f t="shared" si="1658"/>
        <v/>
      </c>
      <c r="BM2402" s="319" t="str">
        <f t="shared" si="1658"/>
        <v/>
      </c>
      <c r="BN2402" s="319" t="str">
        <f t="shared" si="1658"/>
        <v/>
      </c>
      <c r="BO2402" s="319" t="str">
        <f t="shared" si="1658"/>
        <v/>
      </c>
      <c r="BP2402" s="319" t="str">
        <f t="shared" si="1658"/>
        <v/>
      </c>
      <c r="BQ2402" s="319" t="str">
        <f t="shared" si="1658"/>
        <v/>
      </c>
      <c r="BR2402" s="319" t="str">
        <f t="shared" si="1658"/>
        <v/>
      </c>
      <c r="BS2402" s="330">
        <f t="shared" si="185"/>
        <v>0</v>
      </c>
      <c r="BT2402" s="331">
        <f t="shared" si="170"/>
        <v>0</v>
      </c>
      <c r="BU2402" s="920"/>
      <c r="BV2402" s="903" t="str">
        <f t="shared" si="1244"/>
        <v/>
      </c>
      <c r="BW2402" s="908"/>
      <c r="BX2402" s="908"/>
      <c r="BY2402" s="331" t="b">
        <f t="shared" si="201"/>
        <v>0</v>
      </c>
      <c r="BZ2402" s="331"/>
      <c r="CA2402" s="462" t="str">
        <f t="shared" ref="CA2402:CJ2402" si="1659">IF(ISNUMBER(FIND(BI$3, $CP2402)), "Y", "")</f>
        <v/>
      </c>
      <c r="CB2402" s="319" t="str">
        <f t="shared" si="1659"/>
        <v/>
      </c>
      <c r="CC2402" s="319" t="str">
        <f t="shared" si="1659"/>
        <v/>
      </c>
      <c r="CD2402" s="319" t="str">
        <f t="shared" si="1659"/>
        <v/>
      </c>
      <c r="CE2402" s="319" t="str">
        <f t="shared" si="1659"/>
        <v/>
      </c>
      <c r="CF2402" s="319" t="str">
        <f t="shared" si="1659"/>
        <v/>
      </c>
      <c r="CG2402" s="319" t="str">
        <f t="shared" si="1659"/>
        <v/>
      </c>
      <c r="CH2402" s="319" t="str">
        <f t="shared" si="1659"/>
        <v/>
      </c>
      <c r="CI2402" s="319" t="str">
        <f t="shared" si="1659"/>
        <v/>
      </c>
      <c r="CJ2402" s="319" t="str">
        <f t="shared" si="1659"/>
        <v/>
      </c>
      <c r="CK2402" s="342">
        <f t="shared" si="182"/>
        <v>0</v>
      </c>
      <c r="CL2402" s="333">
        <f t="shared" si="183"/>
        <v>0</v>
      </c>
      <c r="CM2402" s="1079"/>
      <c r="CN2402" s="1005"/>
      <c r="CO2402" s="1005"/>
      <c r="CP2402" s="1005"/>
    </row>
    <row r="2403">
      <c r="A2403" s="1257"/>
      <c r="B2403" s="1113"/>
      <c r="C2403" s="1107"/>
      <c r="D2403" s="103"/>
      <c r="E2403" s="1137"/>
      <c r="F2403" s="112"/>
      <c r="G2403" s="1110"/>
      <c r="H2403" s="1138"/>
      <c r="I2403" s="1138"/>
      <c r="J2403" s="1139"/>
      <c r="K2403" s="1111"/>
      <c r="L2403" s="1112"/>
      <c r="M2403" s="1113"/>
      <c r="N2403" s="110"/>
      <c r="O2403" s="1140"/>
      <c r="P2403" s="1115"/>
      <c r="Q2403" s="1116"/>
      <c r="R2403" s="1141"/>
      <c r="S2403" s="1113"/>
      <c r="T2403" s="1143"/>
      <c r="U2403" s="1108"/>
      <c r="V2403" s="1108"/>
      <c r="W2403" s="1108"/>
      <c r="X2403" s="1108"/>
      <c r="Y2403" s="1108"/>
      <c r="Z2403" s="1114"/>
      <c r="AA2403" s="1114"/>
      <c r="AB2403" s="1114"/>
      <c r="AC2403" s="1117"/>
      <c r="AD2403" s="1115"/>
      <c r="AE2403" s="1115"/>
      <c r="AF2403" s="1115"/>
      <c r="AG2403" s="1115"/>
      <c r="AH2403" s="1115"/>
      <c r="AI2403" s="1115"/>
      <c r="AJ2403" s="1117"/>
      <c r="AK2403" s="1118"/>
      <c r="AL2403" s="1115"/>
      <c r="AM2403" s="1115"/>
      <c r="AN2403" s="1115"/>
      <c r="AO2403" s="1115"/>
      <c r="AP2403" s="1115"/>
      <c r="AQ2403" s="1115"/>
      <c r="AR2403" s="1115"/>
      <c r="AS2403" s="1117"/>
      <c r="AT2403" s="1196" t="str">
        <f t="shared" si="428"/>
        <v/>
      </c>
      <c r="AU2403" s="1193"/>
      <c r="AV2403" s="330">
        <f>SQRT(($R2403-Infrastructure!J$3)^2+($S2403-Infrastructure!K$3)^2)</f>
        <v>28.90155705</v>
      </c>
      <c r="AW2403" s="331">
        <f>SQRT(($R2403-Infrastructure!J$4)^2+($S2403-Infrastructure!K$4)^2)</f>
        <v>17.80252791</v>
      </c>
      <c r="AX2403" s="331">
        <f>SQRT(($R2403-Infrastructure!J$5)^2+($S2403-Infrastructure!K$5)^2)</f>
        <v>5.10881591</v>
      </c>
      <c r="AY2403" s="331">
        <f>SQRT(($R2403-Infrastructure!J$6)^2+($S2403-Infrastructure!K$6)^2)</f>
        <v>10.10445446</v>
      </c>
      <c r="AZ2403" s="331">
        <f>SQRT(($R2403-Infrastructure!J$7)^2+($S2403-Infrastructure!K$7)^2)</f>
        <v>20.502195</v>
      </c>
      <c r="BA2403" s="331">
        <f>SQRT(($R2403-Infrastructure!J$8)^2+($S2403-Infrastructure!K$8)^2)</f>
        <v>30.10149498</v>
      </c>
      <c r="BB2403" s="331">
        <f>SQRT(($R2403-Infrastructure!J$9)^2+($S2403-Infrastructure!K$9)^2)</f>
        <v>40.3238143</v>
      </c>
      <c r="BC2403" s="331">
        <f>SQRT(($R2403-Infrastructure!J$10)^2+($S2403-Infrastructure!K$10)^2)</f>
        <v>42.72001873</v>
      </c>
      <c r="BD2403" s="331">
        <f>SQRT(($R2403-Infrastructure!J$11)^2+($S2403-Infrastructure!K$11)^2)</f>
        <v>49.56853841</v>
      </c>
      <c r="BE2403" s="333">
        <f>SQRT(($R2403-Infrastructure!J$12)^2+($S2403-Infrastructure!K$12)^2)</f>
        <v>59.51890456</v>
      </c>
      <c r="BF2403" s="330">
        <f t="shared" si="161"/>
        <v>5.10881591</v>
      </c>
      <c r="BG2403" s="333">
        <f t="shared" si="162"/>
        <v>59.51890456</v>
      </c>
      <c r="BH2403" s="1119"/>
      <c r="BI2403" s="319" t="str">
        <f t="shared" ref="BI2403:BR2403" si="1660">IF(ISNUMBER(FIND(BI$3, $CO2403)), "Y", "")</f>
        <v/>
      </c>
      <c r="BJ2403" s="319" t="str">
        <f t="shared" si="1660"/>
        <v/>
      </c>
      <c r="BK2403" s="319" t="str">
        <f t="shared" si="1660"/>
        <v/>
      </c>
      <c r="BL2403" s="319" t="str">
        <f t="shared" si="1660"/>
        <v/>
      </c>
      <c r="BM2403" s="319" t="str">
        <f t="shared" si="1660"/>
        <v/>
      </c>
      <c r="BN2403" s="319" t="str">
        <f t="shared" si="1660"/>
        <v/>
      </c>
      <c r="BO2403" s="319" t="str">
        <f t="shared" si="1660"/>
        <v/>
      </c>
      <c r="BP2403" s="319" t="str">
        <f t="shared" si="1660"/>
        <v/>
      </c>
      <c r="BQ2403" s="319" t="str">
        <f t="shared" si="1660"/>
        <v/>
      </c>
      <c r="BR2403" s="319" t="str">
        <f t="shared" si="1660"/>
        <v/>
      </c>
      <c r="BS2403" s="330">
        <f t="shared" si="185"/>
        <v>0</v>
      </c>
      <c r="BT2403" s="331">
        <f t="shared" si="170"/>
        <v>0</v>
      </c>
      <c r="BU2403" s="920"/>
      <c r="BV2403" s="903" t="str">
        <f t="shared" si="1244"/>
        <v/>
      </c>
      <c r="BW2403" s="908"/>
      <c r="BX2403" s="908"/>
      <c r="BY2403" s="331" t="b">
        <f t="shared" si="201"/>
        <v>0</v>
      </c>
      <c r="BZ2403" s="331"/>
      <c r="CA2403" s="462" t="str">
        <f t="shared" ref="CA2403:CJ2403" si="1661">IF(ISNUMBER(FIND(BI$3, $CP2403)), "Y", "")</f>
        <v/>
      </c>
      <c r="CB2403" s="319" t="str">
        <f t="shared" si="1661"/>
        <v/>
      </c>
      <c r="CC2403" s="319" t="str">
        <f t="shared" si="1661"/>
        <v/>
      </c>
      <c r="CD2403" s="319" t="str">
        <f t="shared" si="1661"/>
        <v/>
      </c>
      <c r="CE2403" s="319" t="str">
        <f t="shared" si="1661"/>
        <v/>
      </c>
      <c r="CF2403" s="319" t="str">
        <f t="shared" si="1661"/>
        <v/>
      </c>
      <c r="CG2403" s="319" t="str">
        <f t="shared" si="1661"/>
        <v/>
      </c>
      <c r="CH2403" s="319" t="str">
        <f t="shared" si="1661"/>
        <v/>
      </c>
      <c r="CI2403" s="319" t="str">
        <f t="shared" si="1661"/>
        <v/>
      </c>
      <c r="CJ2403" s="319" t="str">
        <f t="shared" si="1661"/>
        <v/>
      </c>
      <c r="CK2403" s="342">
        <f t="shared" si="182"/>
        <v>0</v>
      </c>
      <c r="CL2403" s="333">
        <f t="shared" si="183"/>
        <v>0</v>
      </c>
      <c r="CM2403" s="1079"/>
      <c r="CN2403" s="1005"/>
      <c r="CO2403" s="1005"/>
      <c r="CP2403" s="1005"/>
    </row>
    <row r="2404">
      <c r="A2404" s="1257"/>
      <c r="B2404" s="1113"/>
      <c r="C2404" s="1107"/>
      <c r="D2404" s="103"/>
      <c r="E2404" s="1137"/>
      <c r="F2404" s="112"/>
      <c r="G2404" s="1110"/>
      <c r="H2404" s="1138"/>
      <c r="I2404" s="1138"/>
      <c r="J2404" s="1139"/>
      <c r="K2404" s="1111"/>
      <c r="L2404" s="1112"/>
      <c r="M2404" s="1113"/>
      <c r="N2404" s="110"/>
      <c r="O2404" s="1140"/>
      <c r="P2404" s="1115"/>
      <c r="Q2404" s="1116"/>
      <c r="R2404" s="1141"/>
      <c r="S2404" s="1113"/>
      <c r="T2404" s="1143"/>
      <c r="U2404" s="1108"/>
      <c r="V2404" s="1108"/>
      <c r="W2404" s="1108"/>
      <c r="X2404" s="1108"/>
      <c r="Y2404" s="1108"/>
      <c r="Z2404" s="1114"/>
      <c r="AA2404" s="1114"/>
      <c r="AB2404" s="1114"/>
      <c r="AC2404" s="1117"/>
      <c r="AD2404" s="1115"/>
      <c r="AE2404" s="1115"/>
      <c r="AF2404" s="1115"/>
      <c r="AG2404" s="1115"/>
      <c r="AH2404" s="1115"/>
      <c r="AI2404" s="1115"/>
      <c r="AJ2404" s="1117"/>
      <c r="AK2404" s="1118"/>
      <c r="AL2404" s="1115"/>
      <c r="AM2404" s="1115"/>
      <c r="AN2404" s="1115"/>
      <c r="AO2404" s="1115"/>
      <c r="AP2404" s="1115"/>
      <c r="AQ2404" s="1115"/>
      <c r="AR2404" s="1115"/>
      <c r="AS2404" s="1117"/>
      <c r="AT2404" s="1196" t="str">
        <f t="shared" si="428"/>
        <v/>
      </c>
      <c r="AU2404" s="1193"/>
      <c r="AV2404" s="330">
        <f>SQRT(($R2404-Infrastructure!J$3)^2+($S2404-Infrastructure!K$3)^2)</f>
        <v>28.90155705</v>
      </c>
      <c r="AW2404" s="331">
        <f>SQRT(($R2404-Infrastructure!J$4)^2+($S2404-Infrastructure!K$4)^2)</f>
        <v>17.80252791</v>
      </c>
      <c r="AX2404" s="331">
        <f>SQRT(($R2404-Infrastructure!J$5)^2+($S2404-Infrastructure!K$5)^2)</f>
        <v>5.10881591</v>
      </c>
      <c r="AY2404" s="331">
        <f>SQRT(($R2404-Infrastructure!J$6)^2+($S2404-Infrastructure!K$6)^2)</f>
        <v>10.10445446</v>
      </c>
      <c r="AZ2404" s="331">
        <f>SQRT(($R2404-Infrastructure!J$7)^2+($S2404-Infrastructure!K$7)^2)</f>
        <v>20.502195</v>
      </c>
      <c r="BA2404" s="331">
        <f>SQRT(($R2404-Infrastructure!J$8)^2+($S2404-Infrastructure!K$8)^2)</f>
        <v>30.10149498</v>
      </c>
      <c r="BB2404" s="331">
        <f>SQRT(($R2404-Infrastructure!J$9)^2+($S2404-Infrastructure!K$9)^2)</f>
        <v>40.3238143</v>
      </c>
      <c r="BC2404" s="331">
        <f>SQRT(($R2404-Infrastructure!J$10)^2+($S2404-Infrastructure!K$10)^2)</f>
        <v>42.72001873</v>
      </c>
      <c r="BD2404" s="331">
        <f>SQRT(($R2404-Infrastructure!J$11)^2+($S2404-Infrastructure!K$11)^2)</f>
        <v>49.56853841</v>
      </c>
      <c r="BE2404" s="333">
        <f>SQRT(($R2404-Infrastructure!J$12)^2+($S2404-Infrastructure!K$12)^2)</f>
        <v>59.51890456</v>
      </c>
      <c r="BF2404" s="330">
        <f t="shared" si="161"/>
        <v>5.10881591</v>
      </c>
      <c r="BG2404" s="333">
        <f t="shared" si="162"/>
        <v>59.51890456</v>
      </c>
      <c r="BH2404" s="1119"/>
      <c r="BI2404" s="319" t="str">
        <f t="shared" ref="BI2404:BR2404" si="1662">IF(ISNUMBER(FIND(BI$3, $CO2404)), "Y", "")</f>
        <v/>
      </c>
      <c r="BJ2404" s="319" t="str">
        <f t="shared" si="1662"/>
        <v/>
      </c>
      <c r="BK2404" s="319" t="str">
        <f t="shared" si="1662"/>
        <v/>
      </c>
      <c r="BL2404" s="319" t="str">
        <f t="shared" si="1662"/>
        <v/>
      </c>
      <c r="BM2404" s="319" t="str">
        <f t="shared" si="1662"/>
        <v/>
      </c>
      <c r="BN2404" s="319" t="str">
        <f t="shared" si="1662"/>
        <v/>
      </c>
      <c r="BO2404" s="319" t="str">
        <f t="shared" si="1662"/>
        <v/>
      </c>
      <c r="BP2404" s="319" t="str">
        <f t="shared" si="1662"/>
        <v/>
      </c>
      <c r="BQ2404" s="319" t="str">
        <f t="shared" si="1662"/>
        <v/>
      </c>
      <c r="BR2404" s="319" t="str">
        <f t="shared" si="1662"/>
        <v/>
      </c>
      <c r="BS2404" s="330">
        <f t="shared" si="185"/>
        <v>0</v>
      </c>
      <c r="BT2404" s="331">
        <f t="shared" si="170"/>
        <v>0</v>
      </c>
      <c r="BU2404" s="920"/>
      <c r="BV2404" s="903" t="str">
        <f t="shared" si="1244"/>
        <v/>
      </c>
      <c r="BW2404" s="908"/>
      <c r="BX2404" s="908"/>
      <c r="BY2404" s="331" t="b">
        <f t="shared" si="201"/>
        <v>0</v>
      </c>
      <c r="BZ2404" s="331"/>
      <c r="CA2404" s="462" t="str">
        <f t="shared" ref="CA2404:CJ2404" si="1663">IF(ISNUMBER(FIND(BI$3, $CP2404)), "Y", "")</f>
        <v/>
      </c>
      <c r="CB2404" s="319" t="str">
        <f t="shared" si="1663"/>
        <v/>
      </c>
      <c r="CC2404" s="319" t="str">
        <f t="shared" si="1663"/>
        <v/>
      </c>
      <c r="CD2404" s="319" t="str">
        <f t="shared" si="1663"/>
        <v/>
      </c>
      <c r="CE2404" s="319" t="str">
        <f t="shared" si="1663"/>
        <v/>
      </c>
      <c r="CF2404" s="319" t="str">
        <f t="shared" si="1663"/>
        <v/>
      </c>
      <c r="CG2404" s="319" t="str">
        <f t="shared" si="1663"/>
        <v/>
      </c>
      <c r="CH2404" s="319" t="str">
        <f t="shared" si="1663"/>
        <v/>
      </c>
      <c r="CI2404" s="319" t="str">
        <f t="shared" si="1663"/>
        <v/>
      </c>
      <c r="CJ2404" s="319" t="str">
        <f t="shared" si="1663"/>
        <v/>
      </c>
      <c r="CK2404" s="342">
        <f t="shared" si="182"/>
        <v>0</v>
      </c>
      <c r="CL2404" s="333">
        <f t="shared" si="183"/>
        <v>0</v>
      </c>
      <c r="CM2404" s="1079"/>
      <c r="CN2404" s="1005"/>
      <c r="CO2404" s="1005"/>
      <c r="CP2404" s="1005"/>
    </row>
    <row r="2405">
      <c r="A2405" s="1257"/>
      <c r="B2405" s="1113"/>
      <c r="C2405" s="1107"/>
      <c r="D2405" s="103"/>
      <c r="E2405" s="1137"/>
      <c r="F2405" s="112"/>
      <c r="G2405" s="1110"/>
      <c r="H2405" s="1138"/>
      <c r="I2405" s="1138"/>
      <c r="J2405" s="1139"/>
      <c r="K2405" s="1111"/>
      <c r="L2405" s="1112"/>
      <c r="M2405" s="1113"/>
      <c r="N2405" s="110"/>
      <c r="O2405" s="1140"/>
      <c r="P2405" s="1115"/>
      <c r="Q2405" s="1116"/>
      <c r="R2405" s="1141"/>
      <c r="S2405" s="1113"/>
      <c r="T2405" s="1143"/>
      <c r="U2405" s="1108"/>
      <c r="V2405" s="1108"/>
      <c r="W2405" s="1108"/>
      <c r="X2405" s="1108"/>
      <c r="Y2405" s="1108"/>
      <c r="Z2405" s="1114"/>
      <c r="AA2405" s="1114"/>
      <c r="AB2405" s="1114"/>
      <c r="AC2405" s="1117"/>
      <c r="AD2405" s="1115"/>
      <c r="AE2405" s="1115"/>
      <c r="AF2405" s="1115"/>
      <c r="AG2405" s="1115"/>
      <c r="AH2405" s="1115"/>
      <c r="AI2405" s="1115"/>
      <c r="AJ2405" s="1117"/>
      <c r="AK2405" s="1118"/>
      <c r="AL2405" s="1115"/>
      <c r="AM2405" s="1115"/>
      <c r="AN2405" s="1115"/>
      <c r="AO2405" s="1115"/>
      <c r="AP2405" s="1115"/>
      <c r="AQ2405" s="1115"/>
      <c r="AR2405" s="1115"/>
      <c r="AS2405" s="1117"/>
      <c r="AT2405" s="1196" t="str">
        <f t="shared" si="428"/>
        <v/>
      </c>
      <c r="AU2405" s="1193"/>
      <c r="AV2405" s="330">
        <f>SQRT(($R2405-Infrastructure!J$3)^2+($S2405-Infrastructure!K$3)^2)</f>
        <v>28.90155705</v>
      </c>
      <c r="AW2405" s="331">
        <f>SQRT(($R2405-Infrastructure!J$4)^2+($S2405-Infrastructure!K$4)^2)</f>
        <v>17.80252791</v>
      </c>
      <c r="AX2405" s="331">
        <f>SQRT(($R2405-Infrastructure!J$5)^2+($S2405-Infrastructure!K$5)^2)</f>
        <v>5.10881591</v>
      </c>
      <c r="AY2405" s="331">
        <f>SQRT(($R2405-Infrastructure!J$6)^2+($S2405-Infrastructure!K$6)^2)</f>
        <v>10.10445446</v>
      </c>
      <c r="AZ2405" s="331">
        <f>SQRT(($R2405-Infrastructure!J$7)^2+($S2405-Infrastructure!K$7)^2)</f>
        <v>20.502195</v>
      </c>
      <c r="BA2405" s="331">
        <f>SQRT(($R2405-Infrastructure!J$8)^2+($S2405-Infrastructure!K$8)^2)</f>
        <v>30.10149498</v>
      </c>
      <c r="BB2405" s="331">
        <f>SQRT(($R2405-Infrastructure!J$9)^2+($S2405-Infrastructure!K$9)^2)</f>
        <v>40.3238143</v>
      </c>
      <c r="BC2405" s="331">
        <f>SQRT(($R2405-Infrastructure!J$10)^2+($S2405-Infrastructure!K$10)^2)</f>
        <v>42.72001873</v>
      </c>
      <c r="BD2405" s="331">
        <f>SQRT(($R2405-Infrastructure!J$11)^2+($S2405-Infrastructure!K$11)^2)</f>
        <v>49.56853841</v>
      </c>
      <c r="BE2405" s="333">
        <f>SQRT(($R2405-Infrastructure!J$12)^2+($S2405-Infrastructure!K$12)^2)</f>
        <v>59.51890456</v>
      </c>
      <c r="BF2405" s="330">
        <f t="shared" si="161"/>
        <v>5.10881591</v>
      </c>
      <c r="BG2405" s="333">
        <f t="shared" si="162"/>
        <v>59.51890456</v>
      </c>
      <c r="BH2405" s="1119"/>
      <c r="BI2405" s="319" t="str">
        <f t="shared" ref="BI2405:BR2405" si="1664">IF(ISNUMBER(FIND(BI$3, $CO2405)), "Y", "")</f>
        <v/>
      </c>
      <c r="BJ2405" s="319" t="str">
        <f t="shared" si="1664"/>
        <v/>
      </c>
      <c r="BK2405" s="319" t="str">
        <f t="shared" si="1664"/>
        <v/>
      </c>
      <c r="BL2405" s="319" t="str">
        <f t="shared" si="1664"/>
        <v/>
      </c>
      <c r="BM2405" s="319" t="str">
        <f t="shared" si="1664"/>
        <v/>
      </c>
      <c r="BN2405" s="319" t="str">
        <f t="shared" si="1664"/>
        <v/>
      </c>
      <c r="BO2405" s="319" t="str">
        <f t="shared" si="1664"/>
        <v/>
      </c>
      <c r="BP2405" s="319" t="str">
        <f t="shared" si="1664"/>
        <v/>
      </c>
      <c r="BQ2405" s="319" t="str">
        <f t="shared" si="1664"/>
        <v/>
      </c>
      <c r="BR2405" s="319" t="str">
        <f t="shared" si="1664"/>
        <v/>
      </c>
      <c r="BS2405" s="330">
        <f t="shared" si="185"/>
        <v>0</v>
      </c>
      <c r="BT2405" s="331">
        <f t="shared" si="170"/>
        <v>0</v>
      </c>
      <c r="BU2405" s="920"/>
      <c r="BV2405" s="903" t="str">
        <f t="shared" si="1244"/>
        <v/>
      </c>
      <c r="BW2405" s="908"/>
      <c r="BX2405" s="908"/>
      <c r="BY2405" s="331" t="b">
        <f t="shared" si="201"/>
        <v>0</v>
      </c>
      <c r="BZ2405" s="331"/>
      <c r="CA2405" s="462" t="str">
        <f t="shared" ref="CA2405:CJ2405" si="1665">IF(ISNUMBER(FIND(BI$3, $CP2405)), "Y", "")</f>
        <v/>
      </c>
      <c r="CB2405" s="319" t="str">
        <f t="shared" si="1665"/>
        <v/>
      </c>
      <c r="CC2405" s="319" t="str">
        <f t="shared" si="1665"/>
        <v/>
      </c>
      <c r="CD2405" s="319" t="str">
        <f t="shared" si="1665"/>
        <v/>
      </c>
      <c r="CE2405" s="319" t="str">
        <f t="shared" si="1665"/>
        <v/>
      </c>
      <c r="CF2405" s="319" t="str">
        <f t="shared" si="1665"/>
        <v/>
      </c>
      <c r="CG2405" s="319" t="str">
        <f t="shared" si="1665"/>
        <v/>
      </c>
      <c r="CH2405" s="319" t="str">
        <f t="shared" si="1665"/>
        <v/>
      </c>
      <c r="CI2405" s="319" t="str">
        <f t="shared" si="1665"/>
        <v/>
      </c>
      <c r="CJ2405" s="319" t="str">
        <f t="shared" si="1665"/>
        <v/>
      </c>
      <c r="CK2405" s="342">
        <f t="shared" si="182"/>
        <v>0</v>
      </c>
      <c r="CL2405" s="333">
        <f t="shared" si="183"/>
        <v>0</v>
      </c>
      <c r="CM2405" s="1079"/>
      <c r="CN2405" s="1005"/>
      <c r="CO2405" s="1005"/>
      <c r="CP2405" s="1005"/>
    </row>
    <row r="2406">
      <c r="A2406" s="1257"/>
      <c r="B2406" s="1113"/>
      <c r="C2406" s="1107"/>
      <c r="D2406" s="103"/>
      <c r="E2406" s="1137"/>
      <c r="F2406" s="112"/>
      <c r="G2406" s="1110"/>
      <c r="H2406" s="1138"/>
      <c r="I2406" s="1138"/>
      <c r="J2406" s="1139"/>
      <c r="K2406" s="1111"/>
      <c r="L2406" s="1112"/>
      <c r="M2406" s="1113"/>
      <c r="N2406" s="110"/>
      <c r="O2406" s="1140"/>
      <c r="P2406" s="1115"/>
      <c r="Q2406" s="1116"/>
      <c r="R2406" s="1141"/>
      <c r="S2406" s="1113"/>
      <c r="T2406" s="1143"/>
      <c r="U2406" s="1108"/>
      <c r="V2406" s="1108"/>
      <c r="W2406" s="1108"/>
      <c r="X2406" s="1108"/>
      <c r="Y2406" s="1108"/>
      <c r="Z2406" s="1114"/>
      <c r="AA2406" s="1114"/>
      <c r="AB2406" s="1114"/>
      <c r="AC2406" s="1117"/>
      <c r="AD2406" s="1115"/>
      <c r="AE2406" s="1115"/>
      <c r="AF2406" s="1115"/>
      <c r="AG2406" s="1115"/>
      <c r="AH2406" s="1115"/>
      <c r="AI2406" s="1115"/>
      <c r="AJ2406" s="1117"/>
      <c r="AK2406" s="1118"/>
      <c r="AL2406" s="1115"/>
      <c r="AM2406" s="1115"/>
      <c r="AN2406" s="1115"/>
      <c r="AO2406" s="1115"/>
      <c r="AP2406" s="1115"/>
      <c r="AQ2406" s="1115"/>
      <c r="AR2406" s="1115"/>
      <c r="AS2406" s="1117"/>
      <c r="AT2406" s="1196" t="str">
        <f t="shared" si="428"/>
        <v/>
      </c>
      <c r="AU2406" s="1193"/>
      <c r="AV2406" s="330">
        <f>SQRT(($R2406-Infrastructure!J$3)^2+($S2406-Infrastructure!K$3)^2)</f>
        <v>28.90155705</v>
      </c>
      <c r="AW2406" s="331">
        <f>SQRT(($R2406-Infrastructure!J$4)^2+($S2406-Infrastructure!K$4)^2)</f>
        <v>17.80252791</v>
      </c>
      <c r="AX2406" s="331">
        <f>SQRT(($R2406-Infrastructure!J$5)^2+($S2406-Infrastructure!K$5)^2)</f>
        <v>5.10881591</v>
      </c>
      <c r="AY2406" s="331">
        <f>SQRT(($R2406-Infrastructure!J$6)^2+($S2406-Infrastructure!K$6)^2)</f>
        <v>10.10445446</v>
      </c>
      <c r="AZ2406" s="331">
        <f>SQRT(($R2406-Infrastructure!J$7)^2+($S2406-Infrastructure!K$7)^2)</f>
        <v>20.502195</v>
      </c>
      <c r="BA2406" s="331">
        <f>SQRT(($R2406-Infrastructure!J$8)^2+($S2406-Infrastructure!K$8)^2)</f>
        <v>30.10149498</v>
      </c>
      <c r="BB2406" s="331">
        <f>SQRT(($R2406-Infrastructure!J$9)^2+($S2406-Infrastructure!K$9)^2)</f>
        <v>40.3238143</v>
      </c>
      <c r="BC2406" s="331">
        <f>SQRT(($R2406-Infrastructure!J$10)^2+($S2406-Infrastructure!K$10)^2)</f>
        <v>42.72001873</v>
      </c>
      <c r="BD2406" s="331">
        <f>SQRT(($R2406-Infrastructure!J$11)^2+($S2406-Infrastructure!K$11)^2)</f>
        <v>49.56853841</v>
      </c>
      <c r="BE2406" s="333">
        <f>SQRT(($R2406-Infrastructure!J$12)^2+($S2406-Infrastructure!K$12)^2)</f>
        <v>59.51890456</v>
      </c>
      <c r="BF2406" s="330">
        <f t="shared" si="161"/>
        <v>5.10881591</v>
      </c>
      <c r="BG2406" s="333">
        <f t="shared" si="162"/>
        <v>59.51890456</v>
      </c>
      <c r="BH2406" s="1119"/>
      <c r="BI2406" s="319" t="str">
        <f t="shared" ref="BI2406:BR2406" si="1666">IF(ISNUMBER(FIND(BI$3, $CO2406)), "Y", "")</f>
        <v/>
      </c>
      <c r="BJ2406" s="319" t="str">
        <f t="shared" si="1666"/>
        <v/>
      </c>
      <c r="BK2406" s="319" t="str">
        <f t="shared" si="1666"/>
        <v/>
      </c>
      <c r="BL2406" s="319" t="str">
        <f t="shared" si="1666"/>
        <v/>
      </c>
      <c r="BM2406" s="319" t="str">
        <f t="shared" si="1666"/>
        <v/>
      </c>
      <c r="BN2406" s="319" t="str">
        <f t="shared" si="1666"/>
        <v/>
      </c>
      <c r="BO2406" s="319" t="str">
        <f t="shared" si="1666"/>
        <v/>
      </c>
      <c r="BP2406" s="319" t="str">
        <f t="shared" si="1666"/>
        <v/>
      </c>
      <c r="BQ2406" s="319" t="str">
        <f t="shared" si="1666"/>
        <v/>
      </c>
      <c r="BR2406" s="319" t="str">
        <f t="shared" si="1666"/>
        <v/>
      </c>
      <c r="BS2406" s="330">
        <f t="shared" si="185"/>
        <v>0</v>
      </c>
      <c r="BT2406" s="331">
        <f t="shared" si="170"/>
        <v>0</v>
      </c>
      <c r="BU2406" s="920"/>
      <c r="BV2406" s="903" t="str">
        <f t="shared" si="1244"/>
        <v/>
      </c>
      <c r="BW2406" s="908"/>
      <c r="BX2406" s="908"/>
      <c r="BY2406" s="331" t="b">
        <f t="shared" si="201"/>
        <v>0</v>
      </c>
      <c r="BZ2406" s="331"/>
      <c r="CA2406" s="462" t="str">
        <f t="shared" ref="CA2406:CJ2406" si="1667">IF(ISNUMBER(FIND(BI$3, $CP2406)), "Y", "")</f>
        <v/>
      </c>
      <c r="CB2406" s="319" t="str">
        <f t="shared" si="1667"/>
        <v/>
      </c>
      <c r="CC2406" s="319" t="str">
        <f t="shared" si="1667"/>
        <v/>
      </c>
      <c r="CD2406" s="319" t="str">
        <f t="shared" si="1667"/>
        <v/>
      </c>
      <c r="CE2406" s="319" t="str">
        <f t="shared" si="1667"/>
        <v/>
      </c>
      <c r="CF2406" s="319" t="str">
        <f t="shared" si="1667"/>
        <v/>
      </c>
      <c r="CG2406" s="319" t="str">
        <f t="shared" si="1667"/>
        <v/>
      </c>
      <c r="CH2406" s="319" t="str">
        <f t="shared" si="1667"/>
        <v/>
      </c>
      <c r="CI2406" s="319" t="str">
        <f t="shared" si="1667"/>
        <v/>
      </c>
      <c r="CJ2406" s="319" t="str">
        <f t="shared" si="1667"/>
        <v/>
      </c>
      <c r="CK2406" s="342">
        <f t="shared" si="182"/>
        <v>0</v>
      </c>
      <c r="CL2406" s="333">
        <f t="shared" si="183"/>
        <v>0</v>
      </c>
      <c r="CM2406" s="1079"/>
      <c r="CN2406" s="1005"/>
      <c r="CO2406" s="1005"/>
      <c r="CP2406" s="1005"/>
    </row>
    <row r="2407">
      <c r="A2407" s="1257"/>
      <c r="B2407" s="1113"/>
      <c r="C2407" s="1107"/>
      <c r="D2407" s="103"/>
      <c r="E2407" s="1137"/>
      <c r="F2407" s="112"/>
      <c r="G2407" s="1110"/>
      <c r="H2407" s="1138"/>
      <c r="I2407" s="1138"/>
      <c r="J2407" s="1139"/>
      <c r="K2407" s="1111"/>
      <c r="L2407" s="1112"/>
      <c r="M2407" s="1113"/>
      <c r="N2407" s="110"/>
      <c r="O2407" s="1140"/>
      <c r="P2407" s="1115"/>
      <c r="Q2407" s="1116"/>
      <c r="R2407" s="1141"/>
      <c r="S2407" s="1113"/>
      <c r="T2407" s="1143"/>
      <c r="U2407" s="1108"/>
      <c r="V2407" s="1108"/>
      <c r="W2407" s="1108"/>
      <c r="X2407" s="1108"/>
      <c r="Y2407" s="1108"/>
      <c r="Z2407" s="1114"/>
      <c r="AA2407" s="1114"/>
      <c r="AB2407" s="1114"/>
      <c r="AC2407" s="1117"/>
      <c r="AD2407" s="1115"/>
      <c r="AE2407" s="1115"/>
      <c r="AF2407" s="1115"/>
      <c r="AG2407" s="1115"/>
      <c r="AH2407" s="1115"/>
      <c r="AI2407" s="1115"/>
      <c r="AJ2407" s="1117"/>
      <c r="AK2407" s="1118"/>
      <c r="AL2407" s="1115"/>
      <c r="AM2407" s="1115"/>
      <c r="AN2407" s="1115"/>
      <c r="AO2407" s="1115"/>
      <c r="AP2407" s="1115"/>
      <c r="AQ2407" s="1115"/>
      <c r="AR2407" s="1115"/>
      <c r="AS2407" s="1117"/>
      <c r="AT2407" s="1196" t="str">
        <f t="shared" si="428"/>
        <v/>
      </c>
      <c r="AU2407" s="1193"/>
      <c r="AV2407" s="330">
        <f>SQRT(($R2407-Infrastructure!J$3)^2+($S2407-Infrastructure!K$3)^2)</f>
        <v>28.90155705</v>
      </c>
      <c r="AW2407" s="331">
        <f>SQRT(($R2407-Infrastructure!J$4)^2+($S2407-Infrastructure!K$4)^2)</f>
        <v>17.80252791</v>
      </c>
      <c r="AX2407" s="331">
        <f>SQRT(($R2407-Infrastructure!J$5)^2+($S2407-Infrastructure!K$5)^2)</f>
        <v>5.10881591</v>
      </c>
      <c r="AY2407" s="331">
        <f>SQRT(($R2407-Infrastructure!J$6)^2+($S2407-Infrastructure!K$6)^2)</f>
        <v>10.10445446</v>
      </c>
      <c r="AZ2407" s="331">
        <f>SQRT(($R2407-Infrastructure!J$7)^2+($S2407-Infrastructure!K$7)^2)</f>
        <v>20.502195</v>
      </c>
      <c r="BA2407" s="331">
        <f>SQRT(($R2407-Infrastructure!J$8)^2+($S2407-Infrastructure!K$8)^2)</f>
        <v>30.10149498</v>
      </c>
      <c r="BB2407" s="331">
        <f>SQRT(($R2407-Infrastructure!J$9)^2+($S2407-Infrastructure!K$9)^2)</f>
        <v>40.3238143</v>
      </c>
      <c r="BC2407" s="331">
        <f>SQRT(($R2407-Infrastructure!J$10)^2+($S2407-Infrastructure!K$10)^2)</f>
        <v>42.72001873</v>
      </c>
      <c r="BD2407" s="331">
        <f>SQRT(($R2407-Infrastructure!J$11)^2+($S2407-Infrastructure!K$11)^2)</f>
        <v>49.56853841</v>
      </c>
      <c r="BE2407" s="333">
        <f>SQRT(($R2407-Infrastructure!J$12)^2+($S2407-Infrastructure!K$12)^2)</f>
        <v>59.51890456</v>
      </c>
      <c r="BF2407" s="330">
        <f t="shared" si="161"/>
        <v>5.10881591</v>
      </c>
      <c r="BG2407" s="333">
        <f t="shared" si="162"/>
        <v>59.51890456</v>
      </c>
      <c r="BH2407" s="1119"/>
      <c r="BI2407" s="319" t="str">
        <f t="shared" ref="BI2407:BR2407" si="1668">IF(ISNUMBER(FIND(BI$3, $CO2407)), "Y", "")</f>
        <v/>
      </c>
      <c r="BJ2407" s="319" t="str">
        <f t="shared" si="1668"/>
        <v/>
      </c>
      <c r="BK2407" s="319" t="str">
        <f t="shared" si="1668"/>
        <v/>
      </c>
      <c r="BL2407" s="319" t="str">
        <f t="shared" si="1668"/>
        <v/>
      </c>
      <c r="BM2407" s="319" t="str">
        <f t="shared" si="1668"/>
        <v/>
      </c>
      <c r="BN2407" s="319" t="str">
        <f t="shared" si="1668"/>
        <v/>
      </c>
      <c r="BO2407" s="319" t="str">
        <f t="shared" si="1668"/>
        <v/>
      </c>
      <c r="BP2407" s="319" t="str">
        <f t="shared" si="1668"/>
        <v/>
      </c>
      <c r="BQ2407" s="319" t="str">
        <f t="shared" si="1668"/>
        <v/>
      </c>
      <c r="BR2407" s="319" t="str">
        <f t="shared" si="1668"/>
        <v/>
      </c>
      <c r="BS2407" s="330">
        <f t="shared" si="185"/>
        <v>0</v>
      </c>
      <c r="BT2407" s="331">
        <f t="shared" si="170"/>
        <v>0</v>
      </c>
      <c r="BU2407" s="920"/>
      <c r="BV2407" s="903" t="str">
        <f t="shared" si="1244"/>
        <v/>
      </c>
      <c r="BW2407" s="908"/>
      <c r="BX2407" s="908"/>
      <c r="BY2407" s="331" t="b">
        <f t="shared" si="201"/>
        <v>0</v>
      </c>
      <c r="BZ2407" s="331"/>
      <c r="CA2407" s="462" t="str">
        <f t="shared" ref="CA2407:CJ2407" si="1669">IF(ISNUMBER(FIND(BI$3, $CP2407)), "Y", "")</f>
        <v/>
      </c>
      <c r="CB2407" s="319" t="str">
        <f t="shared" si="1669"/>
        <v/>
      </c>
      <c r="CC2407" s="319" t="str">
        <f t="shared" si="1669"/>
        <v/>
      </c>
      <c r="CD2407" s="319" t="str">
        <f t="shared" si="1669"/>
        <v/>
      </c>
      <c r="CE2407" s="319" t="str">
        <f t="shared" si="1669"/>
        <v/>
      </c>
      <c r="CF2407" s="319" t="str">
        <f t="shared" si="1669"/>
        <v/>
      </c>
      <c r="CG2407" s="319" t="str">
        <f t="shared" si="1669"/>
        <v/>
      </c>
      <c r="CH2407" s="319" t="str">
        <f t="shared" si="1669"/>
        <v/>
      </c>
      <c r="CI2407" s="319" t="str">
        <f t="shared" si="1669"/>
        <v/>
      </c>
      <c r="CJ2407" s="319" t="str">
        <f t="shared" si="1669"/>
        <v/>
      </c>
      <c r="CK2407" s="342">
        <f t="shared" si="182"/>
        <v>0</v>
      </c>
      <c r="CL2407" s="333">
        <f t="shared" si="183"/>
        <v>0</v>
      </c>
      <c r="CM2407" s="1079"/>
      <c r="CN2407" s="1005"/>
      <c r="CO2407" s="1005"/>
      <c r="CP2407" s="1005"/>
    </row>
    <row r="2408">
      <c r="A2408" s="1257"/>
      <c r="B2408" s="1113"/>
      <c r="C2408" s="1107"/>
      <c r="D2408" s="103"/>
      <c r="E2408" s="1137"/>
      <c r="F2408" s="112"/>
      <c r="G2408" s="1110"/>
      <c r="H2408" s="1138"/>
      <c r="I2408" s="1138"/>
      <c r="J2408" s="1139"/>
      <c r="K2408" s="1111"/>
      <c r="L2408" s="1112"/>
      <c r="M2408" s="1113"/>
      <c r="N2408" s="110"/>
      <c r="O2408" s="1140"/>
      <c r="P2408" s="1115"/>
      <c r="Q2408" s="1116"/>
      <c r="R2408" s="1141"/>
      <c r="S2408" s="1113"/>
      <c r="T2408" s="1143"/>
      <c r="U2408" s="1108"/>
      <c r="V2408" s="1108"/>
      <c r="W2408" s="1108"/>
      <c r="X2408" s="1108"/>
      <c r="Y2408" s="1108"/>
      <c r="Z2408" s="1114"/>
      <c r="AA2408" s="1114"/>
      <c r="AB2408" s="1114"/>
      <c r="AC2408" s="1117"/>
      <c r="AD2408" s="1115"/>
      <c r="AE2408" s="1115"/>
      <c r="AF2408" s="1115"/>
      <c r="AG2408" s="1115"/>
      <c r="AH2408" s="1115"/>
      <c r="AI2408" s="1115"/>
      <c r="AJ2408" s="1117"/>
      <c r="AK2408" s="1118"/>
      <c r="AL2408" s="1115"/>
      <c r="AM2408" s="1115"/>
      <c r="AN2408" s="1115"/>
      <c r="AO2408" s="1115"/>
      <c r="AP2408" s="1115"/>
      <c r="AQ2408" s="1115"/>
      <c r="AR2408" s="1115"/>
      <c r="AS2408" s="1117"/>
      <c r="AT2408" s="1196" t="str">
        <f t="shared" si="428"/>
        <v/>
      </c>
      <c r="AU2408" s="1193"/>
      <c r="AV2408" s="330">
        <f>SQRT(($R2408-Infrastructure!J$3)^2+($S2408-Infrastructure!K$3)^2)</f>
        <v>28.90155705</v>
      </c>
      <c r="AW2408" s="331">
        <f>SQRT(($R2408-Infrastructure!J$4)^2+($S2408-Infrastructure!K$4)^2)</f>
        <v>17.80252791</v>
      </c>
      <c r="AX2408" s="331">
        <f>SQRT(($R2408-Infrastructure!J$5)^2+($S2408-Infrastructure!K$5)^2)</f>
        <v>5.10881591</v>
      </c>
      <c r="AY2408" s="331">
        <f>SQRT(($R2408-Infrastructure!J$6)^2+($S2408-Infrastructure!K$6)^2)</f>
        <v>10.10445446</v>
      </c>
      <c r="AZ2408" s="331">
        <f>SQRT(($R2408-Infrastructure!J$7)^2+($S2408-Infrastructure!K$7)^2)</f>
        <v>20.502195</v>
      </c>
      <c r="BA2408" s="331">
        <f>SQRT(($R2408-Infrastructure!J$8)^2+($S2408-Infrastructure!K$8)^2)</f>
        <v>30.10149498</v>
      </c>
      <c r="BB2408" s="331">
        <f>SQRT(($R2408-Infrastructure!J$9)^2+($S2408-Infrastructure!K$9)^2)</f>
        <v>40.3238143</v>
      </c>
      <c r="BC2408" s="331">
        <f>SQRT(($R2408-Infrastructure!J$10)^2+($S2408-Infrastructure!K$10)^2)</f>
        <v>42.72001873</v>
      </c>
      <c r="BD2408" s="331">
        <f>SQRT(($R2408-Infrastructure!J$11)^2+($S2408-Infrastructure!K$11)^2)</f>
        <v>49.56853841</v>
      </c>
      <c r="BE2408" s="333">
        <f>SQRT(($R2408-Infrastructure!J$12)^2+($S2408-Infrastructure!K$12)^2)</f>
        <v>59.51890456</v>
      </c>
      <c r="BF2408" s="330">
        <f t="shared" si="161"/>
        <v>5.10881591</v>
      </c>
      <c r="BG2408" s="333">
        <f t="shared" si="162"/>
        <v>59.51890456</v>
      </c>
      <c r="BH2408" s="1119"/>
      <c r="BI2408" s="319" t="str">
        <f t="shared" ref="BI2408:BR2408" si="1670">IF(ISNUMBER(FIND(BI$3, $CO2408)), "Y", "")</f>
        <v/>
      </c>
      <c r="BJ2408" s="319" t="str">
        <f t="shared" si="1670"/>
        <v/>
      </c>
      <c r="BK2408" s="319" t="str">
        <f t="shared" si="1670"/>
        <v/>
      </c>
      <c r="BL2408" s="319" t="str">
        <f t="shared" si="1670"/>
        <v/>
      </c>
      <c r="BM2408" s="319" t="str">
        <f t="shared" si="1670"/>
        <v/>
      </c>
      <c r="BN2408" s="319" t="str">
        <f t="shared" si="1670"/>
        <v/>
      </c>
      <c r="BO2408" s="319" t="str">
        <f t="shared" si="1670"/>
        <v/>
      </c>
      <c r="BP2408" s="319" t="str">
        <f t="shared" si="1670"/>
        <v/>
      </c>
      <c r="BQ2408" s="319" t="str">
        <f t="shared" si="1670"/>
        <v/>
      </c>
      <c r="BR2408" s="319" t="str">
        <f t="shared" si="1670"/>
        <v/>
      </c>
      <c r="BS2408" s="330">
        <f t="shared" si="185"/>
        <v>0</v>
      </c>
      <c r="BT2408" s="331">
        <f t="shared" si="170"/>
        <v>0</v>
      </c>
      <c r="BU2408" s="920"/>
      <c r="BV2408" s="903" t="str">
        <f t="shared" si="1244"/>
        <v/>
      </c>
      <c r="BW2408" s="908"/>
      <c r="BX2408" s="908"/>
      <c r="BY2408" s="331" t="b">
        <f t="shared" si="201"/>
        <v>0</v>
      </c>
      <c r="BZ2408" s="331"/>
      <c r="CA2408" s="462" t="str">
        <f t="shared" ref="CA2408:CJ2408" si="1671">IF(ISNUMBER(FIND(BI$3, $CP2408)), "Y", "")</f>
        <v/>
      </c>
      <c r="CB2408" s="319" t="str">
        <f t="shared" si="1671"/>
        <v/>
      </c>
      <c r="CC2408" s="319" t="str">
        <f t="shared" si="1671"/>
        <v/>
      </c>
      <c r="CD2408" s="319" t="str">
        <f t="shared" si="1671"/>
        <v/>
      </c>
      <c r="CE2408" s="319" t="str">
        <f t="shared" si="1671"/>
        <v/>
      </c>
      <c r="CF2408" s="319" t="str">
        <f t="shared" si="1671"/>
        <v/>
      </c>
      <c r="CG2408" s="319" t="str">
        <f t="shared" si="1671"/>
        <v/>
      </c>
      <c r="CH2408" s="319" t="str">
        <f t="shared" si="1671"/>
        <v/>
      </c>
      <c r="CI2408" s="319" t="str">
        <f t="shared" si="1671"/>
        <v/>
      </c>
      <c r="CJ2408" s="319" t="str">
        <f t="shared" si="1671"/>
        <v/>
      </c>
      <c r="CK2408" s="342">
        <f t="shared" si="182"/>
        <v>0</v>
      </c>
      <c r="CL2408" s="333">
        <f t="shared" si="183"/>
        <v>0</v>
      </c>
      <c r="CM2408" s="1079"/>
      <c r="CN2408" s="1005"/>
      <c r="CO2408" s="1005"/>
      <c r="CP2408" s="1005"/>
    </row>
    <row r="2409">
      <c r="A2409" s="1257"/>
      <c r="B2409" s="1113"/>
      <c r="C2409" s="1107"/>
      <c r="D2409" s="103"/>
      <c r="E2409" s="1137"/>
      <c r="F2409" s="112"/>
      <c r="G2409" s="1110"/>
      <c r="H2409" s="1138"/>
      <c r="I2409" s="1138"/>
      <c r="J2409" s="1139"/>
      <c r="K2409" s="1111"/>
      <c r="L2409" s="1112"/>
      <c r="M2409" s="1113"/>
      <c r="N2409" s="110"/>
      <c r="O2409" s="1140"/>
      <c r="P2409" s="1115"/>
      <c r="Q2409" s="1116"/>
      <c r="R2409" s="1141"/>
      <c r="S2409" s="1113"/>
      <c r="T2409" s="1143"/>
      <c r="U2409" s="1108"/>
      <c r="V2409" s="1108"/>
      <c r="W2409" s="1108"/>
      <c r="X2409" s="1108"/>
      <c r="Y2409" s="1108"/>
      <c r="Z2409" s="1114"/>
      <c r="AA2409" s="1114"/>
      <c r="AB2409" s="1114"/>
      <c r="AC2409" s="1117"/>
      <c r="AD2409" s="1115"/>
      <c r="AE2409" s="1115"/>
      <c r="AF2409" s="1115"/>
      <c r="AG2409" s="1115"/>
      <c r="AH2409" s="1115"/>
      <c r="AI2409" s="1115"/>
      <c r="AJ2409" s="1117"/>
      <c r="AK2409" s="1118"/>
      <c r="AL2409" s="1115"/>
      <c r="AM2409" s="1115"/>
      <c r="AN2409" s="1115"/>
      <c r="AO2409" s="1115"/>
      <c r="AP2409" s="1115"/>
      <c r="AQ2409" s="1115"/>
      <c r="AR2409" s="1115"/>
      <c r="AS2409" s="1117"/>
      <c r="AT2409" s="1196" t="str">
        <f t="shared" si="428"/>
        <v/>
      </c>
      <c r="AU2409" s="1193"/>
      <c r="AV2409" s="330">
        <f>SQRT(($R2409-Infrastructure!J$3)^2+($S2409-Infrastructure!K$3)^2)</f>
        <v>28.90155705</v>
      </c>
      <c r="AW2409" s="331">
        <f>SQRT(($R2409-Infrastructure!J$4)^2+($S2409-Infrastructure!K$4)^2)</f>
        <v>17.80252791</v>
      </c>
      <c r="AX2409" s="331">
        <f>SQRT(($R2409-Infrastructure!J$5)^2+($S2409-Infrastructure!K$5)^2)</f>
        <v>5.10881591</v>
      </c>
      <c r="AY2409" s="331">
        <f>SQRT(($R2409-Infrastructure!J$6)^2+($S2409-Infrastructure!K$6)^2)</f>
        <v>10.10445446</v>
      </c>
      <c r="AZ2409" s="331">
        <f>SQRT(($R2409-Infrastructure!J$7)^2+($S2409-Infrastructure!K$7)^2)</f>
        <v>20.502195</v>
      </c>
      <c r="BA2409" s="331">
        <f>SQRT(($R2409-Infrastructure!J$8)^2+($S2409-Infrastructure!K$8)^2)</f>
        <v>30.10149498</v>
      </c>
      <c r="BB2409" s="331">
        <f>SQRT(($R2409-Infrastructure!J$9)^2+($S2409-Infrastructure!K$9)^2)</f>
        <v>40.3238143</v>
      </c>
      <c r="BC2409" s="331">
        <f>SQRT(($R2409-Infrastructure!J$10)^2+($S2409-Infrastructure!K$10)^2)</f>
        <v>42.72001873</v>
      </c>
      <c r="BD2409" s="331">
        <f>SQRT(($R2409-Infrastructure!J$11)^2+($S2409-Infrastructure!K$11)^2)</f>
        <v>49.56853841</v>
      </c>
      <c r="BE2409" s="333">
        <f>SQRT(($R2409-Infrastructure!J$12)^2+($S2409-Infrastructure!K$12)^2)</f>
        <v>59.51890456</v>
      </c>
      <c r="BF2409" s="330">
        <f t="shared" si="161"/>
        <v>5.10881591</v>
      </c>
      <c r="BG2409" s="333">
        <f t="shared" si="162"/>
        <v>59.51890456</v>
      </c>
      <c r="BH2409" s="1119"/>
      <c r="BI2409" s="319" t="str">
        <f t="shared" ref="BI2409:BR2409" si="1672">IF(ISNUMBER(FIND(BI$3, $CO2409)), "Y", "")</f>
        <v/>
      </c>
      <c r="BJ2409" s="319" t="str">
        <f t="shared" si="1672"/>
        <v/>
      </c>
      <c r="BK2409" s="319" t="str">
        <f t="shared" si="1672"/>
        <v/>
      </c>
      <c r="BL2409" s="319" t="str">
        <f t="shared" si="1672"/>
        <v/>
      </c>
      <c r="BM2409" s="319" t="str">
        <f t="shared" si="1672"/>
        <v/>
      </c>
      <c r="BN2409" s="319" t="str">
        <f t="shared" si="1672"/>
        <v/>
      </c>
      <c r="BO2409" s="319" t="str">
        <f t="shared" si="1672"/>
        <v/>
      </c>
      <c r="BP2409" s="319" t="str">
        <f t="shared" si="1672"/>
        <v/>
      </c>
      <c r="BQ2409" s="319" t="str">
        <f t="shared" si="1672"/>
        <v/>
      </c>
      <c r="BR2409" s="319" t="str">
        <f t="shared" si="1672"/>
        <v/>
      </c>
      <c r="BS2409" s="330">
        <f t="shared" si="185"/>
        <v>0</v>
      </c>
      <c r="BT2409" s="331">
        <f t="shared" si="170"/>
        <v>0</v>
      </c>
      <c r="BU2409" s="920"/>
      <c r="BV2409" s="903" t="str">
        <f t="shared" si="1244"/>
        <v/>
      </c>
      <c r="BW2409" s="908"/>
      <c r="BX2409" s="908"/>
      <c r="BY2409" s="331" t="b">
        <f t="shared" si="201"/>
        <v>0</v>
      </c>
      <c r="BZ2409" s="331"/>
      <c r="CA2409" s="462" t="str">
        <f t="shared" ref="CA2409:CJ2409" si="1673">IF(ISNUMBER(FIND(BI$3, $CP2409)), "Y", "")</f>
        <v/>
      </c>
      <c r="CB2409" s="319" t="str">
        <f t="shared" si="1673"/>
        <v/>
      </c>
      <c r="CC2409" s="319" t="str">
        <f t="shared" si="1673"/>
        <v/>
      </c>
      <c r="CD2409" s="319" t="str">
        <f t="shared" si="1673"/>
        <v/>
      </c>
      <c r="CE2409" s="319" t="str">
        <f t="shared" si="1673"/>
        <v/>
      </c>
      <c r="CF2409" s="319" t="str">
        <f t="shared" si="1673"/>
        <v/>
      </c>
      <c r="CG2409" s="319" t="str">
        <f t="shared" si="1673"/>
        <v/>
      </c>
      <c r="CH2409" s="319" t="str">
        <f t="shared" si="1673"/>
        <v/>
      </c>
      <c r="CI2409" s="319" t="str">
        <f t="shared" si="1673"/>
        <v/>
      </c>
      <c r="CJ2409" s="319" t="str">
        <f t="shared" si="1673"/>
        <v/>
      </c>
      <c r="CK2409" s="342">
        <f t="shared" si="182"/>
        <v>0</v>
      </c>
      <c r="CL2409" s="333">
        <f t="shared" si="183"/>
        <v>0</v>
      </c>
      <c r="CM2409" s="1079"/>
      <c r="CN2409" s="1005"/>
      <c r="CO2409" s="1005"/>
      <c r="CP2409" s="1005"/>
    </row>
    <row r="2410">
      <c r="A2410" s="1257"/>
      <c r="B2410" s="1113"/>
      <c r="C2410" s="1107"/>
      <c r="D2410" s="103"/>
      <c r="E2410" s="1137"/>
      <c r="F2410" s="112"/>
      <c r="G2410" s="1110"/>
      <c r="H2410" s="1138"/>
      <c r="I2410" s="1138"/>
      <c r="J2410" s="1139"/>
      <c r="K2410" s="1111"/>
      <c r="L2410" s="1112"/>
      <c r="M2410" s="1113"/>
      <c r="N2410" s="110"/>
      <c r="O2410" s="1140"/>
      <c r="P2410" s="1115"/>
      <c r="Q2410" s="1116"/>
      <c r="R2410" s="1141"/>
      <c r="S2410" s="1113"/>
      <c r="T2410" s="1143"/>
      <c r="U2410" s="1108"/>
      <c r="V2410" s="1108"/>
      <c r="W2410" s="1108"/>
      <c r="X2410" s="1108"/>
      <c r="Y2410" s="1108"/>
      <c r="Z2410" s="1114"/>
      <c r="AA2410" s="1114"/>
      <c r="AB2410" s="1114"/>
      <c r="AC2410" s="1117"/>
      <c r="AD2410" s="1115"/>
      <c r="AE2410" s="1115"/>
      <c r="AF2410" s="1115"/>
      <c r="AG2410" s="1115"/>
      <c r="AH2410" s="1115"/>
      <c r="AI2410" s="1115"/>
      <c r="AJ2410" s="1117"/>
      <c r="AK2410" s="1118"/>
      <c r="AL2410" s="1115"/>
      <c r="AM2410" s="1115"/>
      <c r="AN2410" s="1115"/>
      <c r="AO2410" s="1115"/>
      <c r="AP2410" s="1115"/>
      <c r="AQ2410" s="1115"/>
      <c r="AR2410" s="1115"/>
      <c r="AS2410" s="1117"/>
      <c r="AT2410" s="1196" t="str">
        <f t="shared" si="428"/>
        <v/>
      </c>
      <c r="AU2410" s="1193"/>
      <c r="AV2410" s="330">
        <f>SQRT(($R2410-Infrastructure!J$3)^2+($S2410-Infrastructure!K$3)^2)</f>
        <v>28.90155705</v>
      </c>
      <c r="AW2410" s="331">
        <f>SQRT(($R2410-Infrastructure!J$4)^2+($S2410-Infrastructure!K$4)^2)</f>
        <v>17.80252791</v>
      </c>
      <c r="AX2410" s="331">
        <f>SQRT(($R2410-Infrastructure!J$5)^2+($S2410-Infrastructure!K$5)^2)</f>
        <v>5.10881591</v>
      </c>
      <c r="AY2410" s="331">
        <f>SQRT(($R2410-Infrastructure!J$6)^2+($S2410-Infrastructure!K$6)^2)</f>
        <v>10.10445446</v>
      </c>
      <c r="AZ2410" s="331">
        <f>SQRT(($R2410-Infrastructure!J$7)^2+($S2410-Infrastructure!K$7)^2)</f>
        <v>20.502195</v>
      </c>
      <c r="BA2410" s="331">
        <f>SQRT(($R2410-Infrastructure!J$8)^2+($S2410-Infrastructure!K$8)^2)</f>
        <v>30.10149498</v>
      </c>
      <c r="BB2410" s="331">
        <f>SQRT(($R2410-Infrastructure!J$9)^2+($S2410-Infrastructure!K$9)^2)</f>
        <v>40.3238143</v>
      </c>
      <c r="BC2410" s="331">
        <f>SQRT(($R2410-Infrastructure!J$10)^2+($S2410-Infrastructure!K$10)^2)</f>
        <v>42.72001873</v>
      </c>
      <c r="BD2410" s="331">
        <f>SQRT(($R2410-Infrastructure!J$11)^2+($S2410-Infrastructure!K$11)^2)</f>
        <v>49.56853841</v>
      </c>
      <c r="BE2410" s="333">
        <f>SQRT(($R2410-Infrastructure!J$12)^2+($S2410-Infrastructure!K$12)^2)</f>
        <v>59.51890456</v>
      </c>
      <c r="BF2410" s="330">
        <f t="shared" si="161"/>
        <v>5.10881591</v>
      </c>
      <c r="BG2410" s="333">
        <f t="shared" si="162"/>
        <v>59.51890456</v>
      </c>
      <c r="BH2410" s="1119"/>
      <c r="BI2410" s="319" t="str">
        <f t="shared" ref="BI2410:BR2410" si="1674">IF(ISNUMBER(FIND(BI$3, $CO2410)), "Y", "")</f>
        <v/>
      </c>
      <c r="BJ2410" s="319" t="str">
        <f t="shared" si="1674"/>
        <v/>
      </c>
      <c r="BK2410" s="319" t="str">
        <f t="shared" si="1674"/>
        <v/>
      </c>
      <c r="BL2410" s="319" t="str">
        <f t="shared" si="1674"/>
        <v/>
      </c>
      <c r="BM2410" s="319" t="str">
        <f t="shared" si="1674"/>
        <v/>
      </c>
      <c r="BN2410" s="319" t="str">
        <f t="shared" si="1674"/>
        <v/>
      </c>
      <c r="BO2410" s="319" t="str">
        <f t="shared" si="1674"/>
        <v/>
      </c>
      <c r="BP2410" s="319" t="str">
        <f t="shared" si="1674"/>
        <v/>
      </c>
      <c r="BQ2410" s="319" t="str">
        <f t="shared" si="1674"/>
        <v/>
      </c>
      <c r="BR2410" s="319" t="str">
        <f t="shared" si="1674"/>
        <v/>
      </c>
      <c r="BS2410" s="330">
        <f t="shared" si="185"/>
        <v>0</v>
      </c>
      <c r="BT2410" s="331">
        <f t="shared" si="170"/>
        <v>0</v>
      </c>
      <c r="BU2410" s="920"/>
      <c r="BV2410" s="903" t="str">
        <f t="shared" si="1244"/>
        <v/>
      </c>
      <c r="BW2410" s="908"/>
      <c r="BX2410" s="908"/>
      <c r="BY2410" s="331" t="b">
        <f t="shared" si="201"/>
        <v>0</v>
      </c>
      <c r="BZ2410" s="331"/>
      <c r="CA2410" s="462" t="str">
        <f t="shared" ref="CA2410:CJ2410" si="1675">IF(ISNUMBER(FIND(BI$3, $CP2410)), "Y", "")</f>
        <v/>
      </c>
      <c r="CB2410" s="319" t="str">
        <f t="shared" si="1675"/>
        <v/>
      </c>
      <c r="CC2410" s="319" t="str">
        <f t="shared" si="1675"/>
        <v/>
      </c>
      <c r="CD2410" s="319" t="str">
        <f t="shared" si="1675"/>
        <v/>
      </c>
      <c r="CE2410" s="319" t="str">
        <f t="shared" si="1675"/>
        <v/>
      </c>
      <c r="CF2410" s="319" t="str">
        <f t="shared" si="1675"/>
        <v/>
      </c>
      <c r="CG2410" s="319" t="str">
        <f t="shared" si="1675"/>
        <v/>
      </c>
      <c r="CH2410" s="319" t="str">
        <f t="shared" si="1675"/>
        <v/>
      </c>
      <c r="CI2410" s="319" t="str">
        <f t="shared" si="1675"/>
        <v/>
      </c>
      <c r="CJ2410" s="319" t="str">
        <f t="shared" si="1675"/>
        <v/>
      </c>
      <c r="CK2410" s="342">
        <f t="shared" si="182"/>
        <v>0</v>
      </c>
      <c r="CL2410" s="333">
        <f t="shared" si="183"/>
        <v>0</v>
      </c>
      <c r="CM2410" s="1079"/>
      <c r="CN2410" s="1005"/>
      <c r="CO2410" s="1005"/>
      <c r="CP2410" s="1005"/>
    </row>
    <row r="2411">
      <c r="A2411" s="1257"/>
      <c r="B2411" s="1113"/>
      <c r="C2411" s="1107"/>
      <c r="D2411" s="103"/>
      <c r="E2411" s="1137"/>
      <c r="F2411" s="112"/>
      <c r="G2411" s="1110"/>
      <c r="H2411" s="1138"/>
      <c r="I2411" s="1138"/>
      <c r="J2411" s="1139"/>
      <c r="K2411" s="1111"/>
      <c r="L2411" s="1112"/>
      <c r="M2411" s="1113"/>
      <c r="N2411" s="110"/>
      <c r="O2411" s="1140"/>
      <c r="P2411" s="1115"/>
      <c r="Q2411" s="1116"/>
      <c r="R2411" s="1141"/>
      <c r="S2411" s="1113"/>
      <c r="T2411" s="1143"/>
      <c r="U2411" s="1108"/>
      <c r="V2411" s="1108"/>
      <c r="W2411" s="1108"/>
      <c r="X2411" s="1108"/>
      <c r="Y2411" s="1108"/>
      <c r="Z2411" s="1114"/>
      <c r="AA2411" s="1114"/>
      <c r="AB2411" s="1114"/>
      <c r="AC2411" s="1117"/>
      <c r="AD2411" s="1115"/>
      <c r="AE2411" s="1115"/>
      <c r="AF2411" s="1115"/>
      <c r="AG2411" s="1115"/>
      <c r="AH2411" s="1115"/>
      <c r="AI2411" s="1115"/>
      <c r="AJ2411" s="1117"/>
      <c r="AK2411" s="1118"/>
      <c r="AL2411" s="1115"/>
      <c r="AM2411" s="1115"/>
      <c r="AN2411" s="1115"/>
      <c r="AO2411" s="1115"/>
      <c r="AP2411" s="1115"/>
      <c r="AQ2411" s="1115"/>
      <c r="AR2411" s="1115"/>
      <c r="AS2411" s="1117"/>
      <c r="AT2411" s="1196" t="str">
        <f t="shared" si="428"/>
        <v/>
      </c>
      <c r="AU2411" s="1193"/>
      <c r="AV2411" s="330">
        <f>SQRT(($R2411-Infrastructure!J$3)^2+($S2411-Infrastructure!K$3)^2)</f>
        <v>28.90155705</v>
      </c>
      <c r="AW2411" s="331">
        <f>SQRT(($R2411-Infrastructure!J$4)^2+($S2411-Infrastructure!K$4)^2)</f>
        <v>17.80252791</v>
      </c>
      <c r="AX2411" s="331">
        <f>SQRT(($R2411-Infrastructure!J$5)^2+($S2411-Infrastructure!K$5)^2)</f>
        <v>5.10881591</v>
      </c>
      <c r="AY2411" s="331">
        <f>SQRT(($R2411-Infrastructure!J$6)^2+($S2411-Infrastructure!K$6)^2)</f>
        <v>10.10445446</v>
      </c>
      <c r="AZ2411" s="331">
        <f>SQRT(($R2411-Infrastructure!J$7)^2+($S2411-Infrastructure!K$7)^2)</f>
        <v>20.502195</v>
      </c>
      <c r="BA2411" s="331">
        <f>SQRT(($R2411-Infrastructure!J$8)^2+($S2411-Infrastructure!K$8)^2)</f>
        <v>30.10149498</v>
      </c>
      <c r="BB2411" s="331">
        <f>SQRT(($R2411-Infrastructure!J$9)^2+($S2411-Infrastructure!K$9)^2)</f>
        <v>40.3238143</v>
      </c>
      <c r="BC2411" s="331">
        <f>SQRT(($R2411-Infrastructure!J$10)^2+($S2411-Infrastructure!K$10)^2)</f>
        <v>42.72001873</v>
      </c>
      <c r="BD2411" s="331">
        <f>SQRT(($R2411-Infrastructure!J$11)^2+($S2411-Infrastructure!K$11)^2)</f>
        <v>49.56853841</v>
      </c>
      <c r="BE2411" s="333">
        <f>SQRT(($R2411-Infrastructure!J$12)^2+($S2411-Infrastructure!K$12)^2)</f>
        <v>59.51890456</v>
      </c>
      <c r="BF2411" s="330">
        <f t="shared" si="161"/>
        <v>5.10881591</v>
      </c>
      <c r="BG2411" s="333">
        <f t="shared" si="162"/>
        <v>59.51890456</v>
      </c>
      <c r="BH2411" s="1119"/>
      <c r="BI2411" s="319" t="str">
        <f t="shared" ref="BI2411:BR2411" si="1676">IF(ISNUMBER(FIND(BI$3, $CO2411)), "Y", "")</f>
        <v/>
      </c>
      <c r="BJ2411" s="319" t="str">
        <f t="shared" si="1676"/>
        <v/>
      </c>
      <c r="BK2411" s="319" t="str">
        <f t="shared" si="1676"/>
        <v/>
      </c>
      <c r="BL2411" s="319" t="str">
        <f t="shared" si="1676"/>
        <v/>
      </c>
      <c r="BM2411" s="319" t="str">
        <f t="shared" si="1676"/>
        <v/>
      </c>
      <c r="BN2411" s="319" t="str">
        <f t="shared" si="1676"/>
        <v/>
      </c>
      <c r="BO2411" s="319" t="str">
        <f t="shared" si="1676"/>
        <v/>
      </c>
      <c r="BP2411" s="319" t="str">
        <f t="shared" si="1676"/>
        <v/>
      </c>
      <c r="BQ2411" s="319" t="str">
        <f t="shared" si="1676"/>
        <v/>
      </c>
      <c r="BR2411" s="319" t="str">
        <f t="shared" si="1676"/>
        <v/>
      </c>
      <c r="BS2411" s="330">
        <f t="shared" si="185"/>
        <v>0</v>
      </c>
      <c r="BT2411" s="331">
        <f t="shared" si="170"/>
        <v>0</v>
      </c>
      <c r="BU2411" s="920"/>
      <c r="BV2411" s="903" t="str">
        <f t="shared" si="1244"/>
        <v/>
      </c>
      <c r="BW2411" s="908"/>
      <c r="BX2411" s="908"/>
      <c r="BY2411" s="331" t="b">
        <f t="shared" si="201"/>
        <v>0</v>
      </c>
      <c r="BZ2411" s="331"/>
      <c r="CA2411" s="462" t="str">
        <f t="shared" ref="CA2411:CJ2411" si="1677">IF(ISNUMBER(FIND(BI$3, $CP2411)), "Y", "")</f>
        <v/>
      </c>
      <c r="CB2411" s="319" t="str">
        <f t="shared" si="1677"/>
        <v/>
      </c>
      <c r="CC2411" s="319" t="str">
        <f t="shared" si="1677"/>
        <v/>
      </c>
      <c r="CD2411" s="319" t="str">
        <f t="shared" si="1677"/>
        <v/>
      </c>
      <c r="CE2411" s="319" t="str">
        <f t="shared" si="1677"/>
        <v/>
      </c>
      <c r="CF2411" s="319" t="str">
        <f t="shared" si="1677"/>
        <v/>
      </c>
      <c r="CG2411" s="319" t="str">
        <f t="shared" si="1677"/>
        <v/>
      </c>
      <c r="CH2411" s="319" t="str">
        <f t="shared" si="1677"/>
        <v/>
      </c>
      <c r="CI2411" s="319" t="str">
        <f t="shared" si="1677"/>
        <v/>
      </c>
      <c r="CJ2411" s="319" t="str">
        <f t="shared" si="1677"/>
        <v/>
      </c>
      <c r="CK2411" s="342">
        <f t="shared" si="182"/>
        <v>0</v>
      </c>
      <c r="CL2411" s="333">
        <f t="shared" si="183"/>
        <v>0</v>
      </c>
      <c r="CM2411" s="1079"/>
      <c r="CN2411" s="1005"/>
      <c r="CO2411" s="1005"/>
      <c r="CP2411" s="1005"/>
    </row>
    <row r="2412">
      <c r="A2412" s="1257"/>
      <c r="B2412" s="1113"/>
      <c r="C2412" s="1107"/>
      <c r="D2412" s="103"/>
      <c r="E2412" s="1137"/>
      <c r="F2412" s="112"/>
      <c r="G2412" s="1110"/>
      <c r="H2412" s="1138"/>
      <c r="I2412" s="1138"/>
      <c r="J2412" s="1139"/>
      <c r="K2412" s="1111"/>
      <c r="L2412" s="1112"/>
      <c r="M2412" s="1113"/>
      <c r="N2412" s="110"/>
      <c r="O2412" s="1140"/>
      <c r="P2412" s="1115"/>
      <c r="Q2412" s="1116"/>
      <c r="R2412" s="1141"/>
      <c r="S2412" s="1113"/>
      <c r="T2412" s="1143"/>
      <c r="U2412" s="1108"/>
      <c r="V2412" s="1108"/>
      <c r="W2412" s="1108"/>
      <c r="X2412" s="1108"/>
      <c r="Y2412" s="1108"/>
      <c r="Z2412" s="1114"/>
      <c r="AA2412" s="1114"/>
      <c r="AB2412" s="1114"/>
      <c r="AC2412" s="1117"/>
      <c r="AD2412" s="1115"/>
      <c r="AE2412" s="1115"/>
      <c r="AF2412" s="1115"/>
      <c r="AG2412" s="1115"/>
      <c r="AH2412" s="1115"/>
      <c r="AI2412" s="1115"/>
      <c r="AJ2412" s="1117"/>
      <c r="AK2412" s="1118"/>
      <c r="AL2412" s="1115"/>
      <c r="AM2412" s="1115"/>
      <c r="AN2412" s="1115"/>
      <c r="AO2412" s="1115"/>
      <c r="AP2412" s="1115"/>
      <c r="AQ2412" s="1115"/>
      <c r="AR2412" s="1115"/>
      <c r="AS2412" s="1117"/>
      <c r="AT2412" s="1196" t="str">
        <f t="shared" si="428"/>
        <v/>
      </c>
      <c r="AU2412" s="1193"/>
      <c r="AV2412" s="330">
        <f>SQRT(($R2412-Infrastructure!J$3)^2+($S2412-Infrastructure!K$3)^2)</f>
        <v>28.90155705</v>
      </c>
      <c r="AW2412" s="331">
        <f>SQRT(($R2412-Infrastructure!J$4)^2+($S2412-Infrastructure!K$4)^2)</f>
        <v>17.80252791</v>
      </c>
      <c r="AX2412" s="331">
        <f>SQRT(($R2412-Infrastructure!J$5)^2+($S2412-Infrastructure!K$5)^2)</f>
        <v>5.10881591</v>
      </c>
      <c r="AY2412" s="331">
        <f>SQRT(($R2412-Infrastructure!J$6)^2+($S2412-Infrastructure!K$6)^2)</f>
        <v>10.10445446</v>
      </c>
      <c r="AZ2412" s="331">
        <f>SQRT(($R2412-Infrastructure!J$7)^2+($S2412-Infrastructure!K$7)^2)</f>
        <v>20.502195</v>
      </c>
      <c r="BA2412" s="331">
        <f>SQRT(($R2412-Infrastructure!J$8)^2+($S2412-Infrastructure!K$8)^2)</f>
        <v>30.10149498</v>
      </c>
      <c r="BB2412" s="331">
        <f>SQRT(($R2412-Infrastructure!J$9)^2+($S2412-Infrastructure!K$9)^2)</f>
        <v>40.3238143</v>
      </c>
      <c r="BC2412" s="331">
        <f>SQRT(($R2412-Infrastructure!J$10)^2+($S2412-Infrastructure!K$10)^2)</f>
        <v>42.72001873</v>
      </c>
      <c r="BD2412" s="331">
        <f>SQRT(($R2412-Infrastructure!J$11)^2+($S2412-Infrastructure!K$11)^2)</f>
        <v>49.56853841</v>
      </c>
      <c r="BE2412" s="333">
        <f>SQRT(($R2412-Infrastructure!J$12)^2+($S2412-Infrastructure!K$12)^2)</f>
        <v>59.51890456</v>
      </c>
      <c r="BF2412" s="330">
        <f t="shared" si="161"/>
        <v>5.10881591</v>
      </c>
      <c r="BG2412" s="333">
        <f t="shared" si="162"/>
        <v>59.51890456</v>
      </c>
      <c r="BH2412" s="1119"/>
      <c r="BI2412" s="319" t="str">
        <f t="shared" ref="BI2412:BR2412" si="1678">IF(ISNUMBER(FIND(BI$3, $CO2412)), "Y", "")</f>
        <v/>
      </c>
      <c r="BJ2412" s="319" t="str">
        <f t="shared" si="1678"/>
        <v/>
      </c>
      <c r="BK2412" s="319" t="str">
        <f t="shared" si="1678"/>
        <v/>
      </c>
      <c r="BL2412" s="319" t="str">
        <f t="shared" si="1678"/>
        <v/>
      </c>
      <c r="BM2412" s="319" t="str">
        <f t="shared" si="1678"/>
        <v/>
      </c>
      <c r="BN2412" s="319" t="str">
        <f t="shared" si="1678"/>
        <v/>
      </c>
      <c r="BO2412" s="319" t="str">
        <f t="shared" si="1678"/>
        <v/>
      </c>
      <c r="BP2412" s="319" t="str">
        <f t="shared" si="1678"/>
        <v/>
      </c>
      <c r="BQ2412" s="319" t="str">
        <f t="shared" si="1678"/>
        <v/>
      </c>
      <c r="BR2412" s="319" t="str">
        <f t="shared" si="1678"/>
        <v/>
      </c>
      <c r="BS2412" s="330">
        <f t="shared" si="185"/>
        <v>0</v>
      </c>
      <c r="BT2412" s="331">
        <f t="shared" si="170"/>
        <v>0</v>
      </c>
      <c r="BU2412" s="920"/>
      <c r="BV2412" s="903" t="str">
        <f t="shared" si="1244"/>
        <v/>
      </c>
      <c r="BW2412" s="908"/>
      <c r="BX2412" s="908"/>
      <c r="BY2412" s="331" t="b">
        <f t="shared" si="201"/>
        <v>0</v>
      </c>
      <c r="BZ2412" s="331"/>
      <c r="CA2412" s="462" t="str">
        <f t="shared" ref="CA2412:CJ2412" si="1679">IF(ISNUMBER(FIND(BI$3, $CP2412)), "Y", "")</f>
        <v/>
      </c>
      <c r="CB2412" s="319" t="str">
        <f t="shared" si="1679"/>
        <v/>
      </c>
      <c r="CC2412" s="319" t="str">
        <f t="shared" si="1679"/>
        <v/>
      </c>
      <c r="CD2412" s="319" t="str">
        <f t="shared" si="1679"/>
        <v/>
      </c>
      <c r="CE2412" s="319" t="str">
        <f t="shared" si="1679"/>
        <v/>
      </c>
      <c r="CF2412" s="319" t="str">
        <f t="shared" si="1679"/>
        <v/>
      </c>
      <c r="CG2412" s="319" t="str">
        <f t="shared" si="1679"/>
        <v/>
      </c>
      <c r="CH2412" s="319" t="str">
        <f t="shared" si="1679"/>
        <v/>
      </c>
      <c r="CI2412" s="319" t="str">
        <f t="shared" si="1679"/>
        <v/>
      </c>
      <c r="CJ2412" s="319" t="str">
        <f t="shared" si="1679"/>
        <v/>
      </c>
      <c r="CK2412" s="342">
        <f t="shared" si="182"/>
        <v>0</v>
      </c>
      <c r="CL2412" s="333">
        <f t="shared" si="183"/>
        <v>0</v>
      </c>
      <c r="CM2412" s="1079"/>
      <c r="CN2412" s="1005"/>
      <c r="CO2412" s="1005"/>
      <c r="CP2412" s="1005"/>
    </row>
    <row r="2413">
      <c r="A2413" s="1257"/>
      <c r="B2413" s="1113"/>
      <c r="C2413" s="1107"/>
      <c r="D2413" s="103"/>
      <c r="E2413" s="1137"/>
      <c r="F2413" s="112"/>
      <c r="G2413" s="1110"/>
      <c r="H2413" s="1138"/>
      <c r="I2413" s="1138"/>
      <c r="J2413" s="1139"/>
      <c r="K2413" s="1111"/>
      <c r="L2413" s="1112"/>
      <c r="M2413" s="1113"/>
      <c r="N2413" s="110"/>
      <c r="O2413" s="1140"/>
      <c r="P2413" s="1115"/>
      <c r="Q2413" s="1116"/>
      <c r="R2413" s="1141"/>
      <c r="S2413" s="1113"/>
      <c r="T2413" s="1143"/>
      <c r="U2413" s="1108"/>
      <c r="V2413" s="1108"/>
      <c r="W2413" s="1108"/>
      <c r="X2413" s="1108"/>
      <c r="Y2413" s="1108"/>
      <c r="Z2413" s="1114"/>
      <c r="AA2413" s="1114"/>
      <c r="AB2413" s="1114"/>
      <c r="AC2413" s="1117"/>
      <c r="AD2413" s="1115"/>
      <c r="AE2413" s="1115"/>
      <c r="AF2413" s="1115"/>
      <c r="AG2413" s="1115"/>
      <c r="AH2413" s="1115"/>
      <c r="AI2413" s="1115"/>
      <c r="AJ2413" s="1117"/>
      <c r="AK2413" s="1118"/>
      <c r="AL2413" s="1115"/>
      <c r="AM2413" s="1115"/>
      <c r="AN2413" s="1115"/>
      <c r="AO2413" s="1115"/>
      <c r="AP2413" s="1115"/>
      <c r="AQ2413" s="1115"/>
      <c r="AR2413" s="1115"/>
      <c r="AS2413" s="1117"/>
      <c r="AT2413" s="1196" t="str">
        <f t="shared" si="428"/>
        <v/>
      </c>
      <c r="AU2413" s="1193"/>
      <c r="AV2413" s="330">
        <f>SQRT(($R2413-Infrastructure!J$3)^2+($S2413-Infrastructure!K$3)^2)</f>
        <v>28.90155705</v>
      </c>
      <c r="AW2413" s="331">
        <f>SQRT(($R2413-Infrastructure!J$4)^2+($S2413-Infrastructure!K$4)^2)</f>
        <v>17.80252791</v>
      </c>
      <c r="AX2413" s="331">
        <f>SQRT(($R2413-Infrastructure!J$5)^2+($S2413-Infrastructure!K$5)^2)</f>
        <v>5.10881591</v>
      </c>
      <c r="AY2413" s="331">
        <f>SQRT(($R2413-Infrastructure!J$6)^2+($S2413-Infrastructure!K$6)^2)</f>
        <v>10.10445446</v>
      </c>
      <c r="AZ2413" s="331">
        <f>SQRT(($R2413-Infrastructure!J$7)^2+($S2413-Infrastructure!K$7)^2)</f>
        <v>20.502195</v>
      </c>
      <c r="BA2413" s="331">
        <f>SQRT(($R2413-Infrastructure!J$8)^2+($S2413-Infrastructure!K$8)^2)</f>
        <v>30.10149498</v>
      </c>
      <c r="BB2413" s="331">
        <f>SQRT(($R2413-Infrastructure!J$9)^2+($S2413-Infrastructure!K$9)^2)</f>
        <v>40.3238143</v>
      </c>
      <c r="BC2413" s="331">
        <f>SQRT(($R2413-Infrastructure!J$10)^2+($S2413-Infrastructure!K$10)^2)</f>
        <v>42.72001873</v>
      </c>
      <c r="BD2413" s="331">
        <f>SQRT(($R2413-Infrastructure!J$11)^2+($S2413-Infrastructure!K$11)^2)</f>
        <v>49.56853841</v>
      </c>
      <c r="BE2413" s="333">
        <f>SQRT(($R2413-Infrastructure!J$12)^2+($S2413-Infrastructure!K$12)^2)</f>
        <v>59.51890456</v>
      </c>
      <c r="BF2413" s="330">
        <f t="shared" si="161"/>
        <v>5.10881591</v>
      </c>
      <c r="BG2413" s="333">
        <f t="shared" si="162"/>
        <v>59.51890456</v>
      </c>
      <c r="BH2413" s="1119"/>
      <c r="BI2413" s="319" t="str">
        <f t="shared" ref="BI2413:BR2413" si="1680">IF(ISNUMBER(FIND(BI$3, $CO2413)), "Y", "")</f>
        <v/>
      </c>
      <c r="BJ2413" s="319" t="str">
        <f t="shared" si="1680"/>
        <v/>
      </c>
      <c r="BK2413" s="319" t="str">
        <f t="shared" si="1680"/>
        <v/>
      </c>
      <c r="BL2413" s="319" t="str">
        <f t="shared" si="1680"/>
        <v/>
      </c>
      <c r="BM2413" s="319" t="str">
        <f t="shared" si="1680"/>
        <v/>
      </c>
      <c r="BN2413" s="319" t="str">
        <f t="shared" si="1680"/>
        <v/>
      </c>
      <c r="BO2413" s="319" t="str">
        <f t="shared" si="1680"/>
        <v/>
      </c>
      <c r="BP2413" s="319" t="str">
        <f t="shared" si="1680"/>
        <v/>
      </c>
      <c r="BQ2413" s="319" t="str">
        <f t="shared" si="1680"/>
        <v/>
      </c>
      <c r="BR2413" s="319" t="str">
        <f t="shared" si="1680"/>
        <v/>
      </c>
      <c r="BS2413" s="330">
        <f t="shared" si="185"/>
        <v>0</v>
      </c>
      <c r="BT2413" s="331">
        <f t="shared" si="170"/>
        <v>0</v>
      </c>
      <c r="BU2413" s="920"/>
      <c r="BV2413" s="903" t="str">
        <f t="shared" si="1244"/>
        <v/>
      </c>
      <c r="BW2413" s="908"/>
      <c r="BX2413" s="908"/>
      <c r="BY2413" s="331" t="b">
        <f t="shared" si="201"/>
        <v>0</v>
      </c>
      <c r="BZ2413" s="331"/>
      <c r="CA2413" s="462" t="str">
        <f t="shared" ref="CA2413:CJ2413" si="1681">IF(ISNUMBER(FIND(BI$3, $CP2413)), "Y", "")</f>
        <v/>
      </c>
      <c r="CB2413" s="319" t="str">
        <f t="shared" si="1681"/>
        <v/>
      </c>
      <c r="CC2413" s="319" t="str">
        <f t="shared" si="1681"/>
        <v/>
      </c>
      <c r="CD2413" s="319" t="str">
        <f t="shared" si="1681"/>
        <v/>
      </c>
      <c r="CE2413" s="319" t="str">
        <f t="shared" si="1681"/>
        <v/>
      </c>
      <c r="CF2413" s="319" t="str">
        <f t="shared" si="1681"/>
        <v/>
      </c>
      <c r="CG2413" s="319" t="str">
        <f t="shared" si="1681"/>
        <v/>
      </c>
      <c r="CH2413" s="319" t="str">
        <f t="shared" si="1681"/>
        <v/>
      </c>
      <c r="CI2413" s="319" t="str">
        <f t="shared" si="1681"/>
        <v/>
      </c>
      <c r="CJ2413" s="319" t="str">
        <f t="shared" si="1681"/>
        <v/>
      </c>
      <c r="CK2413" s="342">
        <f t="shared" si="182"/>
        <v>0</v>
      </c>
      <c r="CL2413" s="333">
        <f t="shared" si="183"/>
        <v>0</v>
      </c>
      <c r="CM2413" s="1079"/>
      <c r="CN2413" s="1005"/>
      <c r="CO2413" s="1005"/>
      <c r="CP2413" s="1005"/>
    </row>
    <row r="2414">
      <c r="A2414" s="1257"/>
      <c r="B2414" s="1113"/>
      <c r="C2414" s="1107"/>
      <c r="D2414" s="103"/>
      <c r="E2414" s="1137"/>
      <c r="F2414" s="112"/>
      <c r="G2414" s="1110"/>
      <c r="H2414" s="1138"/>
      <c r="I2414" s="1138"/>
      <c r="J2414" s="1139"/>
      <c r="K2414" s="1111"/>
      <c r="L2414" s="1112"/>
      <c r="M2414" s="1113"/>
      <c r="N2414" s="110"/>
      <c r="O2414" s="1140"/>
      <c r="P2414" s="1115"/>
      <c r="Q2414" s="1116"/>
      <c r="R2414" s="1141"/>
      <c r="S2414" s="1113"/>
      <c r="T2414" s="1143"/>
      <c r="U2414" s="1108"/>
      <c r="V2414" s="1108"/>
      <c r="W2414" s="1108"/>
      <c r="X2414" s="1108"/>
      <c r="Y2414" s="1108"/>
      <c r="Z2414" s="1114"/>
      <c r="AA2414" s="1114"/>
      <c r="AB2414" s="1114"/>
      <c r="AC2414" s="1117"/>
      <c r="AD2414" s="1115"/>
      <c r="AE2414" s="1115"/>
      <c r="AF2414" s="1115"/>
      <c r="AG2414" s="1115"/>
      <c r="AH2414" s="1115"/>
      <c r="AI2414" s="1115"/>
      <c r="AJ2414" s="1117"/>
      <c r="AK2414" s="1118"/>
      <c r="AL2414" s="1115"/>
      <c r="AM2414" s="1115"/>
      <c r="AN2414" s="1115"/>
      <c r="AO2414" s="1115"/>
      <c r="AP2414" s="1115"/>
      <c r="AQ2414" s="1115"/>
      <c r="AR2414" s="1115"/>
      <c r="AS2414" s="1117"/>
      <c r="AT2414" s="1196" t="str">
        <f t="shared" si="428"/>
        <v/>
      </c>
      <c r="AU2414" s="1193"/>
      <c r="AV2414" s="330">
        <f>SQRT(($R2414-Infrastructure!J$3)^2+($S2414-Infrastructure!K$3)^2)</f>
        <v>28.90155705</v>
      </c>
      <c r="AW2414" s="331">
        <f>SQRT(($R2414-Infrastructure!J$4)^2+($S2414-Infrastructure!K$4)^2)</f>
        <v>17.80252791</v>
      </c>
      <c r="AX2414" s="331">
        <f>SQRT(($R2414-Infrastructure!J$5)^2+($S2414-Infrastructure!K$5)^2)</f>
        <v>5.10881591</v>
      </c>
      <c r="AY2414" s="331">
        <f>SQRT(($R2414-Infrastructure!J$6)^2+($S2414-Infrastructure!K$6)^2)</f>
        <v>10.10445446</v>
      </c>
      <c r="AZ2414" s="331">
        <f>SQRT(($R2414-Infrastructure!J$7)^2+($S2414-Infrastructure!K$7)^2)</f>
        <v>20.502195</v>
      </c>
      <c r="BA2414" s="331">
        <f>SQRT(($R2414-Infrastructure!J$8)^2+($S2414-Infrastructure!K$8)^2)</f>
        <v>30.10149498</v>
      </c>
      <c r="BB2414" s="331">
        <f>SQRT(($R2414-Infrastructure!J$9)^2+($S2414-Infrastructure!K$9)^2)</f>
        <v>40.3238143</v>
      </c>
      <c r="BC2414" s="331">
        <f>SQRT(($R2414-Infrastructure!J$10)^2+($S2414-Infrastructure!K$10)^2)</f>
        <v>42.72001873</v>
      </c>
      <c r="BD2414" s="331">
        <f>SQRT(($R2414-Infrastructure!J$11)^2+($S2414-Infrastructure!K$11)^2)</f>
        <v>49.56853841</v>
      </c>
      <c r="BE2414" s="333">
        <f>SQRT(($R2414-Infrastructure!J$12)^2+($S2414-Infrastructure!K$12)^2)</f>
        <v>59.51890456</v>
      </c>
      <c r="BF2414" s="330">
        <f t="shared" si="161"/>
        <v>5.10881591</v>
      </c>
      <c r="BG2414" s="333">
        <f t="shared" si="162"/>
        <v>59.51890456</v>
      </c>
      <c r="BH2414" s="1119"/>
      <c r="BI2414" s="319" t="str">
        <f t="shared" ref="BI2414:BR2414" si="1682">IF(ISNUMBER(FIND(BI$3, $CO2414)), "Y", "")</f>
        <v/>
      </c>
      <c r="BJ2414" s="319" t="str">
        <f t="shared" si="1682"/>
        <v/>
      </c>
      <c r="BK2414" s="319" t="str">
        <f t="shared" si="1682"/>
        <v/>
      </c>
      <c r="BL2414" s="319" t="str">
        <f t="shared" si="1682"/>
        <v/>
      </c>
      <c r="BM2414" s="319" t="str">
        <f t="shared" si="1682"/>
        <v/>
      </c>
      <c r="BN2414" s="319" t="str">
        <f t="shared" si="1682"/>
        <v/>
      </c>
      <c r="BO2414" s="319" t="str">
        <f t="shared" si="1682"/>
        <v/>
      </c>
      <c r="BP2414" s="319" t="str">
        <f t="shared" si="1682"/>
        <v/>
      </c>
      <c r="BQ2414" s="319" t="str">
        <f t="shared" si="1682"/>
        <v/>
      </c>
      <c r="BR2414" s="319" t="str">
        <f t="shared" si="1682"/>
        <v/>
      </c>
      <c r="BS2414" s="330">
        <f t="shared" si="185"/>
        <v>0</v>
      </c>
      <c r="BT2414" s="331">
        <f t="shared" si="170"/>
        <v>0</v>
      </c>
      <c r="BU2414" s="920"/>
      <c r="BV2414" s="903" t="str">
        <f t="shared" si="1244"/>
        <v/>
      </c>
      <c r="BW2414" s="908"/>
      <c r="BX2414" s="908"/>
      <c r="BY2414" s="331" t="b">
        <f t="shared" si="201"/>
        <v>0</v>
      </c>
      <c r="BZ2414" s="331"/>
      <c r="CA2414" s="462" t="str">
        <f t="shared" ref="CA2414:CJ2414" si="1683">IF(ISNUMBER(FIND(BI$3, $CP2414)), "Y", "")</f>
        <v/>
      </c>
      <c r="CB2414" s="319" t="str">
        <f t="shared" si="1683"/>
        <v/>
      </c>
      <c r="CC2414" s="319" t="str">
        <f t="shared" si="1683"/>
        <v/>
      </c>
      <c r="CD2414" s="319" t="str">
        <f t="shared" si="1683"/>
        <v/>
      </c>
      <c r="CE2414" s="319" t="str">
        <f t="shared" si="1683"/>
        <v/>
      </c>
      <c r="CF2414" s="319" t="str">
        <f t="shared" si="1683"/>
        <v/>
      </c>
      <c r="CG2414" s="319" t="str">
        <f t="shared" si="1683"/>
        <v/>
      </c>
      <c r="CH2414" s="319" t="str">
        <f t="shared" si="1683"/>
        <v/>
      </c>
      <c r="CI2414" s="319" t="str">
        <f t="shared" si="1683"/>
        <v/>
      </c>
      <c r="CJ2414" s="319" t="str">
        <f t="shared" si="1683"/>
        <v/>
      </c>
      <c r="CK2414" s="342">
        <f t="shared" si="182"/>
        <v>0</v>
      </c>
      <c r="CL2414" s="333">
        <f t="shared" si="183"/>
        <v>0</v>
      </c>
      <c r="CM2414" s="1079"/>
      <c r="CN2414" s="1005"/>
      <c r="CO2414" s="1005"/>
      <c r="CP2414" s="1005"/>
    </row>
    <row r="2415">
      <c r="A2415" s="1257"/>
      <c r="B2415" s="1113"/>
      <c r="C2415" s="1107"/>
      <c r="D2415" s="103"/>
      <c r="E2415" s="1137"/>
      <c r="F2415" s="112"/>
      <c r="G2415" s="1110"/>
      <c r="H2415" s="1138"/>
      <c r="I2415" s="1138"/>
      <c r="J2415" s="1139"/>
      <c r="K2415" s="1111"/>
      <c r="L2415" s="1112"/>
      <c r="M2415" s="1113"/>
      <c r="N2415" s="110"/>
      <c r="O2415" s="1140"/>
      <c r="P2415" s="1115"/>
      <c r="Q2415" s="1116"/>
      <c r="R2415" s="1141"/>
      <c r="S2415" s="1113"/>
      <c r="T2415" s="1143"/>
      <c r="U2415" s="1108"/>
      <c r="V2415" s="1108"/>
      <c r="W2415" s="1108"/>
      <c r="X2415" s="1108"/>
      <c r="Y2415" s="1108"/>
      <c r="Z2415" s="1114"/>
      <c r="AA2415" s="1114"/>
      <c r="AB2415" s="1114"/>
      <c r="AC2415" s="1117"/>
      <c r="AD2415" s="1115"/>
      <c r="AE2415" s="1115"/>
      <c r="AF2415" s="1115"/>
      <c r="AG2415" s="1115"/>
      <c r="AH2415" s="1115"/>
      <c r="AI2415" s="1115"/>
      <c r="AJ2415" s="1117"/>
      <c r="AK2415" s="1118"/>
      <c r="AL2415" s="1115"/>
      <c r="AM2415" s="1115"/>
      <c r="AN2415" s="1115"/>
      <c r="AO2415" s="1115"/>
      <c r="AP2415" s="1115"/>
      <c r="AQ2415" s="1115"/>
      <c r="AR2415" s="1115"/>
      <c r="AS2415" s="1117"/>
      <c r="AT2415" s="1196" t="str">
        <f t="shared" si="428"/>
        <v/>
      </c>
      <c r="AU2415" s="1193"/>
      <c r="AV2415" s="330">
        <f>SQRT(($R2415-Infrastructure!J$3)^2+($S2415-Infrastructure!K$3)^2)</f>
        <v>28.90155705</v>
      </c>
      <c r="AW2415" s="331">
        <f>SQRT(($R2415-Infrastructure!J$4)^2+($S2415-Infrastructure!K$4)^2)</f>
        <v>17.80252791</v>
      </c>
      <c r="AX2415" s="331">
        <f>SQRT(($R2415-Infrastructure!J$5)^2+($S2415-Infrastructure!K$5)^2)</f>
        <v>5.10881591</v>
      </c>
      <c r="AY2415" s="331">
        <f>SQRT(($R2415-Infrastructure!J$6)^2+($S2415-Infrastructure!K$6)^2)</f>
        <v>10.10445446</v>
      </c>
      <c r="AZ2415" s="331">
        <f>SQRT(($R2415-Infrastructure!J$7)^2+($S2415-Infrastructure!K$7)^2)</f>
        <v>20.502195</v>
      </c>
      <c r="BA2415" s="331">
        <f>SQRT(($R2415-Infrastructure!J$8)^2+($S2415-Infrastructure!K$8)^2)</f>
        <v>30.10149498</v>
      </c>
      <c r="BB2415" s="331">
        <f>SQRT(($R2415-Infrastructure!J$9)^2+($S2415-Infrastructure!K$9)^2)</f>
        <v>40.3238143</v>
      </c>
      <c r="BC2415" s="331">
        <f>SQRT(($R2415-Infrastructure!J$10)^2+($S2415-Infrastructure!K$10)^2)</f>
        <v>42.72001873</v>
      </c>
      <c r="BD2415" s="331">
        <f>SQRT(($R2415-Infrastructure!J$11)^2+($S2415-Infrastructure!K$11)^2)</f>
        <v>49.56853841</v>
      </c>
      <c r="BE2415" s="333">
        <f>SQRT(($R2415-Infrastructure!J$12)^2+($S2415-Infrastructure!K$12)^2)</f>
        <v>59.51890456</v>
      </c>
      <c r="BF2415" s="330">
        <f t="shared" si="161"/>
        <v>5.10881591</v>
      </c>
      <c r="BG2415" s="333">
        <f t="shared" si="162"/>
        <v>59.51890456</v>
      </c>
      <c r="BH2415" s="1119"/>
      <c r="BI2415" s="319" t="str">
        <f t="shared" ref="BI2415:BR2415" si="1684">IF(ISNUMBER(FIND(BI$3, $CO2415)), "Y", "")</f>
        <v/>
      </c>
      <c r="BJ2415" s="319" t="str">
        <f t="shared" si="1684"/>
        <v/>
      </c>
      <c r="BK2415" s="319" t="str">
        <f t="shared" si="1684"/>
        <v/>
      </c>
      <c r="BL2415" s="319" t="str">
        <f t="shared" si="1684"/>
        <v/>
      </c>
      <c r="BM2415" s="319" t="str">
        <f t="shared" si="1684"/>
        <v/>
      </c>
      <c r="BN2415" s="319" t="str">
        <f t="shared" si="1684"/>
        <v/>
      </c>
      <c r="BO2415" s="319" t="str">
        <f t="shared" si="1684"/>
        <v/>
      </c>
      <c r="BP2415" s="319" t="str">
        <f t="shared" si="1684"/>
        <v/>
      </c>
      <c r="BQ2415" s="319" t="str">
        <f t="shared" si="1684"/>
        <v/>
      </c>
      <c r="BR2415" s="319" t="str">
        <f t="shared" si="1684"/>
        <v/>
      </c>
      <c r="BS2415" s="330">
        <f t="shared" si="185"/>
        <v>0</v>
      </c>
      <c r="BT2415" s="331">
        <f t="shared" si="170"/>
        <v>0</v>
      </c>
      <c r="BU2415" s="920"/>
      <c r="BV2415" s="903" t="str">
        <f t="shared" si="1244"/>
        <v/>
      </c>
      <c r="BW2415" s="908"/>
      <c r="BX2415" s="908"/>
      <c r="BY2415" s="331" t="b">
        <f t="shared" si="201"/>
        <v>0</v>
      </c>
      <c r="BZ2415" s="331"/>
      <c r="CA2415" s="462" t="str">
        <f t="shared" ref="CA2415:CJ2415" si="1685">IF(ISNUMBER(FIND(BI$3, $CP2415)), "Y", "")</f>
        <v/>
      </c>
      <c r="CB2415" s="319" t="str">
        <f t="shared" si="1685"/>
        <v/>
      </c>
      <c r="CC2415" s="319" t="str">
        <f t="shared" si="1685"/>
        <v/>
      </c>
      <c r="CD2415" s="319" t="str">
        <f t="shared" si="1685"/>
        <v/>
      </c>
      <c r="CE2415" s="319" t="str">
        <f t="shared" si="1685"/>
        <v/>
      </c>
      <c r="CF2415" s="319" t="str">
        <f t="shared" si="1685"/>
        <v/>
      </c>
      <c r="CG2415" s="319" t="str">
        <f t="shared" si="1685"/>
        <v/>
      </c>
      <c r="CH2415" s="319" t="str">
        <f t="shared" si="1685"/>
        <v/>
      </c>
      <c r="CI2415" s="319" t="str">
        <f t="shared" si="1685"/>
        <v/>
      </c>
      <c r="CJ2415" s="319" t="str">
        <f t="shared" si="1685"/>
        <v/>
      </c>
      <c r="CK2415" s="342">
        <f t="shared" si="182"/>
        <v>0</v>
      </c>
      <c r="CL2415" s="333">
        <f t="shared" si="183"/>
        <v>0</v>
      </c>
      <c r="CM2415" s="1079"/>
      <c r="CN2415" s="1005"/>
      <c r="CO2415" s="1005"/>
      <c r="CP2415" s="1005"/>
    </row>
    <row r="2416">
      <c r="A2416" s="1257"/>
      <c r="B2416" s="1113"/>
      <c r="C2416" s="1107"/>
      <c r="D2416" s="103"/>
      <c r="E2416" s="1137"/>
      <c r="F2416" s="112"/>
      <c r="G2416" s="1110"/>
      <c r="H2416" s="1138"/>
      <c r="I2416" s="1138"/>
      <c r="J2416" s="1139"/>
      <c r="K2416" s="1111"/>
      <c r="L2416" s="1112"/>
      <c r="M2416" s="1113"/>
      <c r="N2416" s="110"/>
      <c r="O2416" s="1140"/>
      <c r="P2416" s="1115"/>
      <c r="Q2416" s="1116"/>
      <c r="R2416" s="1141"/>
      <c r="S2416" s="1113"/>
      <c r="T2416" s="1143"/>
      <c r="U2416" s="1108"/>
      <c r="V2416" s="1108"/>
      <c r="W2416" s="1108"/>
      <c r="X2416" s="1108"/>
      <c r="Y2416" s="1108"/>
      <c r="Z2416" s="1114"/>
      <c r="AA2416" s="1114"/>
      <c r="AB2416" s="1114"/>
      <c r="AC2416" s="1117"/>
      <c r="AD2416" s="1115"/>
      <c r="AE2416" s="1115"/>
      <c r="AF2416" s="1115"/>
      <c r="AG2416" s="1115"/>
      <c r="AH2416" s="1115"/>
      <c r="AI2416" s="1115"/>
      <c r="AJ2416" s="1117"/>
      <c r="AK2416" s="1118"/>
      <c r="AL2416" s="1115"/>
      <c r="AM2416" s="1115"/>
      <c r="AN2416" s="1115"/>
      <c r="AO2416" s="1115"/>
      <c r="AP2416" s="1115"/>
      <c r="AQ2416" s="1115"/>
      <c r="AR2416" s="1115"/>
      <c r="AS2416" s="1117"/>
      <c r="AT2416" s="1196" t="str">
        <f t="shared" si="428"/>
        <v/>
      </c>
      <c r="AU2416" s="1193"/>
      <c r="AV2416" s="330">
        <f>SQRT(($R2416-Infrastructure!J$3)^2+($S2416-Infrastructure!K$3)^2)</f>
        <v>28.90155705</v>
      </c>
      <c r="AW2416" s="331">
        <f>SQRT(($R2416-Infrastructure!J$4)^2+($S2416-Infrastructure!K$4)^2)</f>
        <v>17.80252791</v>
      </c>
      <c r="AX2416" s="331">
        <f>SQRT(($R2416-Infrastructure!J$5)^2+($S2416-Infrastructure!K$5)^2)</f>
        <v>5.10881591</v>
      </c>
      <c r="AY2416" s="331">
        <f>SQRT(($R2416-Infrastructure!J$6)^2+($S2416-Infrastructure!K$6)^2)</f>
        <v>10.10445446</v>
      </c>
      <c r="AZ2416" s="331">
        <f>SQRT(($R2416-Infrastructure!J$7)^2+($S2416-Infrastructure!K$7)^2)</f>
        <v>20.502195</v>
      </c>
      <c r="BA2416" s="331">
        <f>SQRT(($R2416-Infrastructure!J$8)^2+($S2416-Infrastructure!K$8)^2)</f>
        <v>30.10149498</v>
      </c>
      <c r="BB2416" s="331">
        <f>SQRT(($R2416-Infrastructure!J$9)^2+($S2416-Infrastructure!K$9)^2)</f>
        <v>40.3238143</v>
      </c>
      <c r="BC2416" s="331">
        <f>SQRT(($R2416-Infrastructure!J$10)^2+($S2416-Infrastructure!K$10)^2)</f>
        <v>42.72001873</v>
      </c>
      <c r="BD2416" s="331">
        <f>SQRT(($R2416-Infrastructure!J$11)^2+($S2416-Infrastructure!K$11)^2)</f>
        <v>49.56853841</v>
      </c>
      <c r="BE2416" s="333">
        <f>SQRT(($R2416-Infrastructure!J$12)^2+($S2416-Infrastructure!K$12)^2)</f>
        <v>59.51890456</v>
      </c>
      <c r="BF2416" s="330">
        <f t="shared" si="161"/>
        <v>5.10881591</v>
      </c>
      <c r="BG2416" s="333">
        <f t="shared" si="162"/>
        <v>59.51890456</v>
      </c>
      <c r="BH2416" s="1119"/>
      <c r="BI2416" s="319" t="str">
        <f t="shared" ref="BI2416:BR2416" si="1686">IF(ISNUMBER(FIND(BI$3, $CO2416)), "Y", "")</f>
        <v/>
      </c>
      <c r="BJ2416" s="319" t="str">
        <f t="shared" si="1686"/>
        <v/>
      </c>
      <c r="BK2416" s="319" t="str">
        <f t="shared" si="1686"/>
        <v/>
      </c>
      <c r="BL2416" s="319" t="str">
        <f t="shared" si="1686"/>
        <v/>
      </c>
      <c r="BM2416" s="319" t="str">
        <f t="shared" si="1686"/>
        <v/>
      </c>
      <c r="BN2416" s="319" t="str">
        <f t="shared" si="1686"/>
        <v/>
      </c>
      <c r="BO2416" s="319" t="str">
        <f t="shared" si="1686"/>
        <v/>
      </c>
      <c r="BP2416" s="319" t="str">
        <f t="shared" si="1686"/>
        <v/>
      </c>
      <c r="BQ2416" s="319" t="str">
        <f t="shared" si="1686"/>
        <v/>
      </c>
      <c r="BR2416" s="319" t="str">
        <f t="shared" si="1686"/>
        <v/>
      </c>
      <c r="BS2416" s="330">
        <f t="shared" si="185"/>
        <v>0</v>
      </c>
      <c r="BT2416" s="331">
        <f t="shared" si="170"/>
        <v>0</v>
      </c>
      <c r="BU2416" s="920"/>
      <c r="BV2416" s="903" t="str">
        <f t="shared" si="1244"/>
        <v/>
      </c>
      <c r="BW2416" s="908"/>
      <c r="BX2416" s="908"/>
      <c r="BY2416" s="331" t="b">
        <f t="shared" si="201"/>
        <v>0</v>
      </c>
      <c r="BZ2416" s="331"/>
      <c r="CA2416" s="462" t="str">
        <f t="shared" ref="CA2416:CJ2416" si="1687">IF(ISNUMBER(FIND(BI$3, $CP2416)), "Y", "")</f>
        <v/>
      </c>
      <c r="CB2416" s="319" t="str">
        <f t="shared" si="1687"/>
        <v/>
      </c>
      <c r="CC2416" s="319" t="str">
        <f t="shared" si="1687"/>
        <v/>
      </c>
      <c r="CD2416" s="319" t="str">
        <f t="shared" si="1687"/>
        <v/>
      </c>
      <c r="CE2416" s="319" t="str">
        <f t="shared" si="1687"/>
        <v/>
      </c>
      <c r="CF2416" s="319" t="str">
        <f t="shared" si="1687"/>
        <v/>
      </c>
      <c r="CG2416" s="319" t="str">
        <f t="shared" si="1687"/>
        <v/>
      </c>
      <c r="CH2416" s="319" t="str">
        <f t="shared" si="1687"/>
        <v/>
      </c>
      <c r="CI2416" s="319" t="str">
        <f t="shared" si="1687"/>
        <v/>
      </c>
      <c r="CJ2416" s="319" t="str">
        <f t="shared" si="1687"/>
        <v/>
      </c>
      <c r="CK2416" s="342">
        <f t="shared" si="182"/>
        <v>0</v>
      </c>
      <c r="CL2416" s="333">
        <f t="shared" si="183"/>
        <v>0</v>
      </c>
      <c r="CM2416" s="1079"/>
      <c r="CN2416" s="1005"/>
      <c r="CO2416" s="1005"/>
      <c r="CP2416" s="1005"/>
    </row>
    <row r="2417">
      <c r="A2417" s="1257"/>
      <c r="B2417" s="1113"/>
      <c r="C2417" s="1107"/>
      <c r="D2417" s="103"/>
      <c r="E2417" s="1137"/>
      <c r="F2417" s="112"/>
      <c r="G2417" s="1110"/>
      <c r="H2417" s="1138"/>
      <c r="I2417" s="1138"/>
      <c r="J2417" s="1139"/>
      <c r="K2417" s="1111"/>
      <c r="L2417" s="1112"/>
      <c r="M2417" s="1113"/>
      <c r="N2417" s="110"/>
      <c r="O2417" s="1140"/>
      <c r="P2417" s="1115"/>
      <c r="Q2417" s="1116"/>
      <c r="R2417" s="1141"/>
      <c r="S2417" s="1113"/>
      <c r="T2417" s="1143"/>
      <c r="U2417" s="1108"/>
      <c r="V2417" s="1108"/>
      <c r="W2417" s="1108"/>
      <c r="X2417" s="1108"/>
      <c r="Y2417" s="1108"/>
      <c r="Z2417" s="1114"/>
      <c r="AA2417" s="1114"/>
      <c r="AB2417" s="1114"/>
      <c r="AC2417" s="1117"/>
      <c r="AD2417" s="1115"/>
      <c r="AE2417" s="1115"/>
      <c r="AF2417" s="1115"/>
      <c r="AG2417" s="1115"/>
      <c r="AH2417" s="1115"/>
      <c r="AI2417" s="1115"/>
      <c r="AJ2417" s="1117"/>
      <c r="AK2417" s="1118"/>
      <c r="AL2417" s="1115"/>
      <c r="AM2417" s="1115"/>
      <c r="AN2417" s="1115"/>
      <c r="AO2417" s="1115"/>
      <c r="AP2417" s="1115"/>
      <c r="AQ2417" s="1115"/>
      <c r="AR2417" s="1115"/>
      <c r="AS2417" s="1117"/>
      <c r="AT2417" s="1196" t="str">
        <f t="shared" si="428"/>
        <v/>
      </c>
      <c r="AU2417" s="1193"/>
      <c r="AV2417" s="330">
        <f>SQRT(($R2417-Infrastructure!J$3)^2+($S2417-Infrastructure!K$3)^2)</f>
        <v>28.90155705</v>
      </c>
      <c r="AW2417" s="331">
        <f>SQRT(($R2417-Infrastructure!J$4)^2+($S2417-Infrastructure!K$4)^2)</f>
        <v>17.80252791</v>
      </c>
      <c r="AX2417" s="331">
        <f>SQRT(($R2417-Infrastructure!J$5)^2+($S2417-Infrastructure!K$5)^2)</f>
        <v>5.10881591</v>
      </c>
      <c r="AY2417" s="331">
        <f>SQRT(($R2417-Infrastructure!J$6)^2+($S2417-Infrastructure!K$6)^2)</f>
        <v>10.10445446</v>
      </c>
      <c r="AZ2417" s="331">
        <f>SQRT(($R2417-Infrastructure!J$7)^2+($S2417-Infrastructure!K$7)^2)</f>
        <v>20.502195</v>
      </c>
      <c r="BA2417" s="331">
        <f>SQRT(($R2417-Infrastructure!J$8)^2+($S2417-Infrastructure!K$8)^2)</f>
        <v>30.10149498</v>
      </c>
      <c r="BB2417" s="331">
        <f>SQRT(($R2417-Infrastructure!J$9)^2+($S2417-Infrastructure!K$9)^2)</f>
        <v>40.3238143</v>
      </c>
      <c r="BC2417" s="331">
        <f>SQRT(($R2417-Infrastructure!J$10)^2+($S2417-Infrastructure!K$10)^2)</f>
        <v>42.72001873</v>
      </c>
      <c r="BD2417" s="331">
        <f>SQRT(($R2417-Infrastructure!J$11)^2+($S2417-Infrastructure!K$11)^2)</f>
        <v>49.56853841</v>
      </c>
      <c r="BE2417" s="333">
        <f>SQRT(($R2417-Infrastructure!J$12)^2+($S2417-Infrastructure!K$12)^2)</f>
        <v>59.51890456</v>
      </c>
      <c r="BF2417" s="330">
        <f t="shared" si="161"/>
        <v>5.10881591</v>
      </c>
      <c r="BG2417" s="333">
        <f t="shared" si="162"/>
        <v>59.51890456</v>
      </c>
      <c r="BH2417" s="1119"/>
      <c r="BI2417" s="319" t="str">
        <f t="shared" ref="BI2417:BR2417" si="1688">IF(ISNUMBER(FIND(BI$3, $CO2417)), "Y", "")</f>
        <v/>
      </c>
      <c r="BJ2417" s="319" t="str">
        <f t="shared" si="1688"/>
        <v/>
      </c>
      <c r="BK2417" s="319" t="str">
        <f t="shared" si="1688"/>
        <v/>
      </c>
      <c r="BL2417" s="319" t="str">
        <f t="shared" si="1688"/>
        <v/>
      </c>
      <c r="BM2417" s="319" t="str">
        <f t="shared" si="1688"/>
        <v/>
      </c>
      <c r="BN2417" s="319" t="str">
        <f t="shared" si="1688"/>
        <v/>
      </c>
      <c r="BO2417" s="319" t="str">
        <f t="shared" si="1688"/>
        <v/>
      </c>
      <c r="BP2417" s="319" t="str">
        <f t="shared" si="1688"/>
        <v/>
      </c>
      <c r="BQ2417" s="319" t="str">
        <f t="shared" si="1688"/>
        <v/>
      </c>
      <c r="BR2417" s="319" t="str">
        <f t="shared" si="1688"/>
        <v/>
      </c>
      <c r="BS2417" s="330">
        <f t="shared" si="185"/>
        <v>0</v>
      </c>
      <c r="BT2417" s="331">
        <f t="shared" si="170"/>
        <v>0</v>
      </c>
      <c r="BU2417" s="920"/>
      <c r="BV2417" s="903" t="str">
        <f t="shared" si="1244"/>
        <v/>
      </c>
      <c r="BW2417" s="908"/>
      <c r="BX2417" s="908"/>
      <c r="BY2417" s="331" t="b">
        <f t="shared" si="201"/>
        <v>0</v>
      </c>
      <c r="BZ2417" s="331"/>
      <c r="CA2417" s="462" t="str">
        <f t="shared" ref="CA2417:CJ2417" si="1689">IF(ISNUMBER(FIND(BI$3, $CP2417)), "Y", "")</f>
        <v/>
      </c>
      <c r="CB2417" s="319" t="str">
        <f t="shared" si="1689"/>
        <v/>
      </c>
      <c r="CC2417" s="319" t="str">
        <f t="shared" si="1689"/>
        <v/>
      </c>
      <c r="CD2417" s="319" t="str">
        <f t="shared" si="1689"/>
        <v/>
      </c>
      <c r="CE2417" s="319" t="str">
        <f t="shared" si="1689"/>
        <v/>
      </c>
      <c r="CF2417" s="319" t="str">
        <f t="shared" si="1689"/>
        <v/>
      </c>
      <c r="CG2417" s="319" t="str">
        <f t="shared" si="1689"/>
        <v/>
      </c>
      <c r="CH2417" s="319" t="str">
        <f t="shared" si="1689"/>
        <v/>
      </c>
      <c r="CI2417" s="319" t="str">
        <f t="shared" si="1689"/>
        <v/>
      </c>
      <c r="CJ2417" s="319" t="str">
        <f t="shared" si="1689"/>
        <v/>
      </c>
      <c r="CK2417" s="342">
        <f t="shared" si="182"/>
        <v>0</v>
      </c>
      <c r="CL2417" s="333">
        <f t="shared" si="183"/>
        <v>0</v>
      </c>
      <c r="CM2417" s="1079"/>
      <c r="CN2417" s="1005"/>
      <c r="CO2417" s="1005"/>
      <c r="CP2417" s="1005"/>
    </row>
    <row r="2418">
      <c r="A2418" s="1257"/>
      <c r="B2418" s="1113"/>
      <c r="C2418" s="1107"/>
      <c r="D2418" s="103"/>
      <c r="E2418" s="1137"/>
      <c r="F2418" s="112"/>
      <c r="G2418" s="1110"/>
      <c r="H2418" s="1138"/>
      <c r="I2418" s="1138"/>
      <c r="J2418" s="1139"/>
      <c r="K2418" s="1111"/>
      <c r="L2418" s="1112"/>
      <c r="M2418" s="1113"/>
      <c r="N2418" s="110"/>
      <c r="O2418" s="1140"/>
      <c r="P2418" s="1115"/>
      <c r="Q2418" s="1116"/>
      <c r="R2418" s="1141"/>
      <c r="S2418" s="1113"/>
      <c r="T2418" s="1143"/>
      <c r="U2418" s="1108"/>
      <c r="V2418" s="1108"/>
      <c r="W2418" s="1108"/>
      <c r="X2418" s="1108"/>
      <c r="Y2418" s="1108"/>
      <c r="Z2418" s="1114"/>
      <c r="AA2418" s="1114"/>
      <c r="AB2418" s="1114"/>
      <c r="AC2418" s="1117"/>
      <c r="AD2418" s="1115"/>
      <c r="AE2418" s="1115"/>
      <c r="AF2418" s="1115"/>
      <c r="AG2418" s="1115"/>
      <c r="AH2418" s="1115"/>
      <c r="AI2418" s="1115"/>
      <c r="AJ2418" s="1117"/>
      <c r="AK2418" s="1118"/>
      <c r="AL2418" s="1115"/>
      <c r="AM2418" s="1115"/>
      <c r="AN2418" s="1115"/>
      <c r="AO2418" s="1115"/>
      <c r="AP2418" s="1115"/>
      <c r="AQ2418" s="1115"/>
      <c r="AR2418" s="1115"/>
      <c r="AS2418" s="1117"/>
      <c r="AT2418" s="1196" t="str">
        <f t="shared" si="428"/>
        <v/>
      </c>
      <c r="AU2418" s="1193"/>
      <c r="AV2418" s="330">
        <f>SQRT(($R2418-Infrastructure!J$3)^2+($S2418-Infrastructure!K$3)^2)</f>
        <v>28.90155705</v>
      </c>
      <c r="AW2418" s="331">
        <f>SQRT(($R2418-Infrastructure!J$4)^2+($S2418-Infrastructure!K$4)^2)</f>
        <v>17.80252791</v>
      </c>
      <c r="AX2418" s="331">
        <f>SQRT(($R2418-Infrastructure!J$5)^2+($S2418-Infrastructure!K$5)^2)</f>
        <v>5.10881591</v>
      </c>
      <c r="AY2418" s="331">
        <f>SQRT(($R2418-Infrastructure!J$6)^2+($S2418-Infrastructure!K$6)^2)</f>
        <v>10.10445446</v>
      </c>
      <c r="AZ2418" s="331">
        <f>SQRT(($R2418-Infrastructure!J$7)^2+($S2418-Infrastructure!K$7)^2)</f>
        <v>20.502195</v>
      </c>
      <c r="BA2418" s="331">
        <f>SQRT(($R2418-Infrastructure!J$8)^2+($S2418-Infrastructure!K$8)^2)</f>
        <v>30.10149498</v>
      </c>
      <c r="BB2418" s="331">
        <f>SQRT(($R2418-Infrastructure!J$9)^2+($S2418-Infrastructure!K$9)^2)</f>
        <v>40.3238143</v>
      </c>
      <c r="BC2418" s="331">
        <f>SQRT(($R2418-Infrastructure!J$10)^2+($S2418-Infrastructure!K$10)^2)</f>
        <v>42.72001873</v>
      </c>
      <c r="BD2418" s="331">
        <f>SQRT(($R2418-Infrastructure!J$11)^2+($S2418-Infrastructure!K$11)^2)</f>
        <v>49.56853841</v>
      </c>
      <c r="BE2418" s="333">
        <f>SQRT(($R2418-Infrastructure!J$12)^2+($S2418-Infrastructure!K$12)^2)</f>
        <v>59.51890456</v>
      </c>
      <c r="BF2418" s="330">
        <f t="shared" si="161"/>
        <v>5.10881591</v>
      </c>
      <c r="BG2418" s="333">
        <f t="shared" si="162"/>
        <v>59.51890456</v>
      </c>
      <c r="BH2418" s="1119"/>
      <c r="BI2418" s="319" t="str">
        <f t="shared" ref="BI2418:BR2418" si="1690">IF(ISNUMBER(FIND(BI$3, $CO2418)), "Y", "")</f>
        <v/>
      </c>
      <c r="BJ2418" s="319" t="str">
        <f t="shared" si="1690"/>
        <v/>
      </c>
      <c r="BK2418" s="319" t="str">
        <f t="shared" si="1690"/>
        <v/>
      </c>
      <c r="BL2418" s="319" t="str">
        <f t="shared" si="1690"/>
        <v/>
      </c>
      <c r="BM2418" s="319" t="str">
        <f t="shared" si="1690"/>
        <v/>
      </c>
      <c r="BN2418" s="319" t="str">
        <f t="shared" si="1690"/>
        <v/>
      </c>
      <c r="BO2418" s="319" t="str">
        <f t="shared" si="1690"/>
        <v/>
      </c>
      <c r="BP2418" s="319" t="str">
        <f t="shared" si="1690"/>
        <v/>
      </c>
      <c r="BQ2418" s="319" t="str">
        <f t="shared" si="1690"/>
        <v/>
      </c>
      <c r="BR2418" s="319" t="str">
        <f t="shared" si="1690"/>
        <v/>
      </c>
      <c r="BS2418" s="330">
        <f t="shared" si="185"/>
        <v>0</v>
      </c>
      <c r="BT2418" s="331">
        <f t="shared" si="170"/>
        <v>0</v>
      </c>
      <c r="BU2418" s="920"/>
      <c r="BV2418" s="903" t="str">
        <f t="shared" si="1244"/>
        <v/>
      </c>
      <c r="BW2418" s="908"/>
      <c r="BX2418" s="908"/>
      <c r="BY2418" s="331" t="b">
        <f t="shared" si="201"/>
        <v>0</v>
      </c>
      <c r="BZ2418" s="331"/>
      <c r="CA2418" s="462" t="str">
        <f t="shared" ref="CA2418:CJ2418" si="1691">IF(ISNUMBER(FIND(BI$3, $CP2418)), "Y", "")</f>
        <v/>
      </c>
      <c r="CB2418" s="319" t="str">
        <f t="shared" si="1691"/>
        <v/>
      </c>
      <c r="CC2418" s="319" t="str">
        <f t="shared" si="1691"/>
        <v/>
      </c>
      <c r="CD2418" s="319" t="str">
        <f t="shared" si="1691"/>
        <v/>
      </c>
      <c r="CE2418" s="319" t="str">
        <f t="shared" si="1691"/>
        <v/>
      </c>
      <c r="CF2418" s="319" t="str">
        <f t="shared" si="1691"/>
        <v/>
      </c>
      <c r="CG2418" s="319" t="str">
        <f t="shared" si="1691"/>
        <v/>
      </c>
      <c r="CH2418" s="319" t="str">
        <f t="shared" si="1691"/>
        <v/>
      </c>
      <c r="CI2418" s="319" t="str">
        <f t="shared" si="1691"/>
        <v/>
      </c>
      <c r="CJ2418" s="319" t="str">
        <f t="shared" si="1691"/>
        <v/>
      </c>
      <c r="CK2418" s="342">
        <f t="shared" si="182"/>
        <v>0</v>
      </c>
      <c r="CL2418" s="333">
        <f t="shared" si="183"/>
        <v>0</v>
      </c>
      <c r="CM2418" s="1079"/>
      <c r="CN2418" s="1005"/>
      <c r="CO2418" s="1005"/>
      <c r="CP2418" s="1005"/>
    </row>
    <row r="2419">
      <c r="A2419" s="1257"/>
      <c r="B2419" s="1113"/>
      <c r="C2419" s="1107"/>
      <c r="D2419" s="103"/>
      <c r="E2419" s="1137"/>
      <c r="F2419" s="112"/>
      <c r="G2419" s="1110"/>
      <c r="H2419" s="1138"/>
      <c r="I2419" s="1138"/>
      <c r="J2419" s="1139"/>
      <c r="K2419" s="1111"/>
      <c r="L2419" s="1112"/>
      <c r="M2419" s="1113"/>
      <c r="N2419" s="110"/>
      <c r="O2419" s="1140"/>
      <c r="P2419" s="1115"/>
      <c r="Q2419" s="1116"/>
      <c r="R2419" s="1141"/>
      <c r="S2419" s="1113"/>
      <c r="T2419" s="1143"/>
      <c r="U2419" s="1108"/>
      <c r="V2419" s="1108"/>
      <c r="W2419" s="1108"/>
      <c r="X2419" s="1108"/>
      <c r="Y2419" s="1108"/>
      <c r="Z2419" s="1114"/>
      <c r="AA2419" s="1114"/>
      <c r="AB2419" s="1114"/>
      <c r="AC2419" s="1117"/>
      <c r="AD2419" s="1115"/>
      <c r="AE2419" s="1115"/>
      <c r="AF2419" s="1115"/>
      <c r="AG2419" s="1115"/>
      <c r="AH2419" s="1115"/>
      <c r="AI2419" s="1115"/>
      <c r="AJ2419" s="1117"/>
      <c r="AK2419" s="1118"/>
      <c r="AL2419" s="1115"/>
      <c r="AM2419" s="1115"/>
      <c r="AN2419" s="1115"/>
      <c r="AO2419" s="1115"/>
      <c r="AP2419" s="1115"/>
      <c r="AQ2419" s="1115"/>
      <c r="AR2419" s="1115"/>
      <c r="AS2419" s="1117"/>
      <c r="AT2419" s="1196" t="str">
        <f t="shared" si="428"/>
        <v/>
      </c>
      <c r="AU2419" s="1193"/>
      <c r="AV2419" s="330">
        <f>SQRT(($R2419-Infrastructure!J$3)^2+($S2419-Infrastructure!K$3)^2)</f>
        <v>28.90155705</v>
      </c>
      <c r="AW2419" s="331">
        <f>SQRT(($R2419-Infrastructure!J$4)^2+($S2419-Infrastructure!K$4)^2)</f>
        <v>17.80252791</v>
      </c>
      <c r="AX2419" s="331">
        <f>SQRT(($R2419-Infrastructure!J$5)^2+($S2419-Infrastructure!K$5)^2)</f>
        <v>5.10881591</v>
      </c>
      <c r="AY2419" s="331">
        <f>SQRT(($R2419-Infrastructure!J$6)^2+($S2419-Infrastructure!K$6)^2)</f>
        <v>10.10445446</v>
      </c>
      <c r="AZ2419" s="331">
        <f>SQRT(($R2419-Infrastructure!J$7)^2+($S2419-Infrastructure!K$7)^2)</f>
        <v>20.502195</v>
      </c>
      <c r="BA2419" s="331">
        <f>SQRT(($R2419-Infrastructure!J$8)^2+($S2419-Infrastructure!K$8)^2)</f>
        <v>30.10149498</v>
      </c>
      <c r="BB2419" s="331">
        <f>SQRT(($R2419-Infrastructure!J$9)^2+($S2419-Infrastructure!K$9)^2)</f>
        <v>40.3238143</v>
      </c>
      <c r="BC2419" s="331">
        <f>SQRT(($R2419-Infrastructure!J$10)^2+($S2419-Infrastructure!K$10)^2)</f>
        <v>42.72001873</v>
      </c>
      <c r="BD2419" s="331">
        <f>SQRT(($R2419-Infrastructure!J$11)^2+($S2419-Infrastructure!K$11)^2)</f>
        <v>49.56853841</v>
      </c>
      <c r="BE2419" s="333">
        <f>SQRT(($R2419-Infrastructure!J$12)^2+($S2419-Infrastructure!K$12)^2)</f>
        <v>59.51890456</v>
      </c>
      <c r="BF2419" s="330">
        <f t="shared" si="161"/>
        <v>5.10881591</v>
      </c>
      <c r="BG2419" s="333">
        <f t="shared" si="162"/>
        <v>59.51890456</v>
      </c>
      <c r="BH2419" s="1119"/>
      <c r="BI2419" s="319" t="str">
        <f t="shared" ref="BI2419:BR2419" si="1692">IF(ISNUMBER(FIND(BI$3, $CO2419)), "Y", "")</f>
        <v/>
      </c>
      <c r="BJ2419" s="319" t="str">
        <f t="shared" si="1692"/>
        <v/>
      </c>
      <c r="BK2419" s="319" t="str">
        <f t="shared" si="1692"/>
        <v/>
      </c>
      <c r="BL2419" s="319" t="str">
        <f t="shared" si="1692"/>
        <v/>
      </c>
      <c r="BM2419" s="319" t="str">
        <f t="shared" si="1692"/>
        <v/>
      </c>
      <c r="BN2419" s="319" t="str">
        <f t="shared" si="1692"/>
        <v/>
      </c>
      <c r="BO2419" s="319" t="str">
        <f t="shared" si="1692"/>
        <v/>
      </c>
      <c r="BP2419" s="319" t="str">
        <f t="shared" si="1692"/>
        <v/>
      </c>
      <c r="BQ2419" s="319" t="str">
        <f t="shared" si="1692"/>
        <v/>
      </c>
      <c r="BR2419" s="319" t="str">
        <f t="shared" si="1692"/>
        <v/>
      </c>
      <c r="BS2419" s="330">
        <f t="shared" si="185"/>
        <v>0</v>
      </c>
      <c r="BT2419" s="331">
        <f t="shared" si="170"/>
        <v>0</v>
      </c>
      <c r="BU2419" s="920"/>
      <c r="BV2419" s="903" t="str">
        <f t="shared" si="1244"/>
        <v/>
      </c>
      <c r="BW2419" s="908"/>
      <c r="BX2419" s="908"/>
      <c r="BY2419" s="331" t="b">
        <f t="shared" si="201"/>
        <v>0</v>
      </c>
      <c r="BZ2419" s="331"/>
      <c r="CA2419" s="462" t="str">
        <f t="shared" ref="CA2419:CJ2419" si="1693">IF(ISNUMBER(FIND(BI$3, $CP2419)), "Y", "")</f>
        <v/>
      </c>
      <c r="CB2419" s="319" t="str">
        <f t="shared" si="1693"/>
        <v/>
      </c>
      <c r="CC2419" s="319" t="str">
        <f t="shared" si="1693"/>
        <v/>
      </c>
      <c r="CD2419" s="319" t="str">
        <f t="shared" si="1693"/>
        <v/>
      </c>
      <c r="CE2419" s="319" t="str">
        <f t="shared" si="1693"/>
        <v/>
      </c>
      <c r="CF2419" s="319" t="str">
        <f t="shared" si="1693"/>
        <v/>
      </c>
      <c r="CG2419" s="319" t="str">
        <f t="shared" si="1693"/>
        <v/>
      </c>
      <c r="CH2419" s="319" t="str">
        <f t="shared" si="1693"/>
        <v/>
      </c>
      <c r="CI2419" s="319" t="str">
        <f t="shared" si="1693"/>
        <v/>
      </c>
      <c r="CJ2419" s="319" t="str">
        <f t="shared" si="1693"/>
        <v/>
      </c>
      <c r="CK2419" s="342">
        <f t="shared" si="182"/>
        <v>0</v>
      </c>
      <c r="CL2419" s="333">
        <f t="shared" si="183"/>
        <v>0</v>
      </c>
      <c r="CM2419" s="1079"/>
      <c r="CN2419" s="1005"/>
      <c r="CO2419" s="1005"/>
      <c r="CP2419" s="1005"/>
    </row>
    <row r="2420">
      <c r="A2420" s="1257"/>
      <c r="B2420" s="1113"/>
      <c r="C2420" s="1107"/>
      <c r="D2420" s="103"/>
      <c r="E2420" s="1137"/>
      <c r="F2420" s="112"/>
      <c r="G2420" s="1110"/>
      <c r="H2420" s="1138"/>
      <c r="I2420" s="1138"/>
      <c r="J2420" s="1139"/>
      <c r="K2420" s="1111"/>
      <c r="L2420" s="1112"/>
      <c r="M2420" s="1113"/>
      <c r="N2420" s="110"/>
      <c r="O2420" s="1140"/>
      <c r="P2420" s="1115"/>
      <c r="Q2420" s="1116"/>
      <c r="R2420" s="1141"/>
      <c r="S2420" s="1113"/>
      <c r="T2420" s="1143"/>
      <c r="U2420" s="1108"/>
      <c r="V2420" s="1108"/>
      <c r="W2420" s="1108"/>
      <c r="X2420" s="1108"/>
      <c r="Y2420" s="1108"/>
      <c r="Z2420" s="1114"/>
      <c r="AA2420" s="1114"/>
      <c r="AB2420" s="1114"/>
      <c r="AC2420" s="1117"/>
      <c r="AD2420" s="1115"/>
      <c r="AE2420" s="1115"/>
      <c r="AF2420" s="1115"/>
      <c r="AG2420" s="1115"/>
      <c r="AH2420" s="1115"/>
      <c r="AI2420" s="1115"/>
      <c r="AJ2420" s="1117"/>
      <c r="AK2420" s="1118"/>
      <c r="AL2420" s="1115"/>
      <c r="AM2420" s="1115"/>
      <c r="AN2420" s="1115"/>
      <c r="AO2420" s="1115"/>
      <c r="AP2420" s="1115"/>
      <c r="AQ2420" s="1115"/>
      <c r="AR2420" s="1115"/>
      <c r="AS2420" s="1117"/>
      <c r="AT2420" s="1196" t="str">
        <f t="shared" si="428"/>
        <v/>
      </c>
      <c r="AU2420" s="1193"/>
      <c r="AV2420" s="330">
        <f>SQRT(($R2420-Infrastructure!J$3)^2+($S2420-Infrastructure!K$3)^2)</f>
        <v>28.90155705</v>
      </c>
      <c r="AW2420" s="331">
        <f>SQRT(($R2420-Infrastructure!J$4)^2+($S2420-Infrastructure!K$4)^2)</f>
        <v>17.80252791</v>
      </c>
      <c r="AX2420" s="331">
        <f>SQRT(($R2420-Infrastructure!J$5)^2+($S2420-Infrastructure!K$5)^2)</f>
        <v>5.10881591</v>
      </c>
      <c r="AY2420" s="331">
        <f>SQRT(($R2420-Infrastructure!J$6)^2+($S2420-Infrastructure!K$6)^2)</f>
        <v>10.10445446</v>
      </c>
      <c r="AZ2420" s="331">
        <f>SQRT(($R2420-Infrastructure!J$7)^2+($S2420-Infrastructure!K$7)^2)</f>
        <v>20.502195</v>
      </c>
      <c r="BA2420" s="331">
        <f>SQRT(($R2420-Infrastructure!J$8)^2+($S2420-Infrastructure!K$8)^2)</f>
        <v>30.10149498</v>
      </c>
      <c r="BB2420" s="331">
        <f>SQRT(($R2420-Infrastructure!J$9)^2+($S2420-Infrastructure!K$9)^2)</f>
        <v>40.3238143</v>
      </c>
      <c r="BC2420" s="331">
        <f>SQRT(($R2420-Infrastructure!J$10)^2+($S2420-Infrastructure!K$10)^2)</f>
        <v>42.72001873</v>
      </c>
      <c r="BD2420" s="331">
        <f>SQRT(($R2420-Infrastructure!J$11)^2+($S2420-Infrastructure!K$11)^2)</f>
        <v>49.56853841</v>
      </c>
      <c r="BE2420" s="333">
        <f>SQRT(($R2420-Infrastructure!J$12)^2+($S2420-Infrastructure!K$12)^2)</f>
        <v>59.51890456</v>
      </c>
      <c r="BF2420" s="330">
        <f t="shared" si="161"/>
        <v>5.10881591</v>
      </c>
      <c r="BG2420" s="333">
        <f t="shared" si="162"/>
        <v>59.51890456</v>
      </c>
      <c r="BH2420" s="1119"/>
      <c r="BI2420" s="319" t="str">
        <f t="shared" ref="BI2420:BR2420" si="1694">IF(ISNUMBER(FIND(BI$3, $CO2420)), "Y", "")</f>
        <v/>
      </c>
      <c r="BJ2420" s="319" t="str">
        <f t="shared" si="1694"/>
        <v/>
      </c>
      <c r="BK2420" s="319" t="str">
        <f t="shared" si="1694"/>
        <v/>
      </c>
      <c r="BL2420" s="319" t="str">
        <f t="shared" si="1694"/>
        <v/>
      </c>
      <c r="BM2420" s="319" t="str">
        <f t="shared" si="1694"/>
        <v/>
      </c>
      <c r="BN2420" s="319" t="str">
        <f t="shared" si="1694"/>
        <v/>
      </c>
      <c r="BO2420" s="319" t="str">
        <f t="shared" si="1694"/>
        <v/>
      </c>
      <c r="BP2420" s="319" t="str">
        <f t="shared" si="1694"/>
        <v/>
      </c>
      <c r="BQ2420" s="319" t="str">
        <f t="shared" si="1694"/>
        <v/>
      </c>
      <c r="BR2420" s="319" t="str">
        <f t="shared" si="1694"/>
        <v/>
      </c>
      <c r="BS2420" s="330">
        <f t="shared" si="185"/>
        <v>0</v>
      </c>
      <c r="BT2420" s="331">
        <f t="shared" si="170"/>
        <v>0</v>
      </c>
      <c r="BU2420" s="920"/>
      <c r="BV2420" s="903" t="str">
        <f t="shared" si="1244"/>
        <v/>
      </c>
      <c r="BW2420" s="908"/>
      <c r="BX2420" s="908"/>
      <c r="BY2420" s="331" t="b">
        <f t="shared" si="201"/>
        <v>0</v>
      </c>
      <c r="BZ2420" s="331"/>
      <c r="CA2420" s="462" t="str">
        <f t="shared" ref="CA2420:CJ2420" si="1695">IF(ISNUMBER(FIND(BI$3, $CP2420)), "Y", "")</f>
        <v/>
      </c>
      <c r="CB2420" s="319" t="str">
        <f t="shared" si="1695"/>
        <v/>
      </c>
      <c r="CC2420" s="319" t="str">
        <f t="shared" si="1695"/>
        <v/>
      </c>
      <c r="CD2420" s="319" t="str">
        <f t="shared" si="1695"/>
        <v/>
      </c>
      <c r="CE2420" s="319" t="str">
        <f t="shared" si="1695"/>
        <v/>
      </c>
      <c r="CF2420" s="319" t="str">
        <f t="shared" si="1695"/>
        <v/>
      </c>
      <c r="CG2420" s="319" t="str">
        <f t="shared" si="1695"/>
        <v/>
      </c>
      <c r="CH2420" s="319" t="str">
        <f t="shared" si="1695"/>
        <v/>
      </c>
      <c r="CI2420" s="319" t="str">
        <f t="shared" si="1695"/>
        <v/>
      </c>
      <c r="CJ2420" s="319" t="str">
        <f t="shared" si="1695"/>
        <v/>
      </c>
      <c r="CK2420" s="342">
        <f t="shared" si="182"/>
        <v>0</v>
      </c>
      <c r="CL2420" s="333">
        <f t="shared" si="183"/>
        <v>0</v>
      </c>
      <c r="CM2420" s="1079"/>
      <c r="CN2420" s="1005"/>
      <c r="CO2420" s="1005"/>
      <c r="CP2420" s="1005"/>
    </row>
    <row r="2421">
      <c r="A2421" s="1257"/>
      <c r="B2421" s="1113"/>
      <c r="C2421" s="1107"/>
      <c r="D2421" s="103"/>
      <c r="E2421" s="1137"/>
      <c r="F2421" s="112"/>
      <c r="G2421" s="1110"/>
      <c r="H2421" s="1138"/>
      <c r="I2421" s="1138"/>
      <c r="J2421" s="1139"/>
      <c r="K2421" s="1111"/>
      <c r="L2421" s="1112"/>
      <c r="M2421" s="1113"/>
      <c r="N2421" s="110"/>
      <c r="O2421" s="1140"/>
      <c r="P2421" s="1115"/>
      <c r="Q2421" s="1116"/>
      <c r="R2421" s="1141"/>
      <c r="S2421" s="1113"/>
      <c r="T2421" s="1143"/>
      <c r="U2421" s="1108"/>
      <c r="V2421" s="1108"/>
      <c r="W2421" s="1108"/>
      <c r="X2421" s="1108"/>
      <c r="Y2421" s="1108"/>
      <c r="Z2421" s="1114"/>
      <c r="AA2421" s="1114"/>
      <c r="AB2421" s="1114"/>
      <c r="AC2421" s="1117"/>
      <c r="AD2421" s="1115"/>
      <c r="AE2421" s="1115"/>
      <c r="AF2421" s="1115"/>
      <c r="AG2421" s="1115"/>
      <c r="AH2421" s="1115"/>
      <c r="AI2421" s="1115"/>
      <c r="AJ2421" s="1117"/>
      <c r="AK2421" s="1118"/>
      <c r="AL2421" s="1115"/>
      <c r="AM2421" s="1115"/>
      <c r="AN2421" s="1115"/>
      <c r="AO2421" s="1115"/>
      <c r="AP2421" s="1115"/>
      <c r="AQ2421" s="1115"/>
      <c r="AR2421" s="1115"/>
      <c r="AS2421" s="1117"/>
      <c r="AT2421" s="1196" t="str">
        <f t="shared" si="428"/>
        <v/>
      </c>
      <c r="AU2421" s="1193"/>
      <c r="AV2421" s="330">
        <f>SQRT(($R2421-Infrastructure!J$3)^2+($S2421-Infrastructure!K$3)^2)</f>
        <v>28.90155705</v>
      </c>
      <c r="AW2421" s="331">
        <f>SQRT(($R2421-Infrastructure!J$4)^2+($S2421-Infrastructure!K$4)^2)</f>
        <v>17.80252791</v>
      </c>
      <c r="AX2421" s="331">
        <f>SQRT(($R2421-Infrastructure!J$5)^2+($S2421-Infrastructure!K$5)^2)</f>
        <v>5.10881591</v>
      </c>
      <c r="AY2421" s="331">
        <f>SQRT(($R2421-Infrastructure!J$6)^2+($S2421-Infrastructure!K$6)^2)</f>
        <v>10.10445446</v>
      </c>
      <c r="AZ2421" s="331">
        <f>SQRT(($R2421-Infrastructure!J$7)^2+($S2421-Infrastructure!K$7)^2)</f>
        <v>20.502195</v>
      </c>
      <c r="BA2421" s="331">
        <f>SQRT(($R2421-Infrastructure!J$8)^2+($S2421-Infrastructure!K$8)^2)</f>
        <v>30.10149498</v>
      </c>
      <c r="BB2421" s="331">
        <f>SQRT(($R2421-Infrastructure!J$9)^2+($S2421-Infrastructure!K$9)^2)</f>
        <v>40.3238143</v>
      </c>
      <c r="BC2421" s="331">
        <f>SQRT(($R2421-Infrastructure!J$10)^2+($S2421-Infrastructure!K$10)^2)</f>
        <v>42.72001873</v>
      </c>
      <c r="BD2421" s="331">
        <f>SQRT(($R2421-Infrastructure!J$11)^2+($S2421-Infrastructure!K$11)^2)</f>
        <v>49.56853841</v>
      </c>
      <c r="BE2421" s="333">
        <f>SQRT(($R2421-Infrastructure!J$12)^2+($S2421-Infrastructure!K$12)^2)</f>
        <v>59.51890456</v>
      </c>
      <c r="BF2421" s="330">
        <f t="shared" si="161"/>
        <v>5.10881591</v>
      </c>
      <c r="BG2421" s="333">
        <f t="shared" si="162"/>
        <v>59.51890456</v>
      </c>
      <c r="BH2421" s="1119"/>
      <c r="BI2421" s="319" t="str">
        <f t="shared" ref="BI2421:BR2421" si="1696">IF(ISNUMBER(FIND(BI$3, $CO2421)), "Y", "")</f>
        <v/>
      </c>
      <c r="BJ2421" s="319" t="str">
        <f t="shared" si="1696"/>
        <v/>
      </c>
      <c r="BK2421" s="319" t="str">
        <f t="shared" si="1696"/>
        <v/>
      </c>
      <c r="BL2421" s="319" t="str">
        <f t="shared" si="1696"/>
        <v/>
      </c>
      <c r="BM2421" s="319" t="str">
        <f t="shared" si="1696"/>
        <v/>
      </c>
      <c r="BN2421" s="319" t="str">
        <f t="shared" si="1696"/>
        <v/>
      </c>
      <c r="BO2421" s="319" t="str">
        <f t="shared" si="1696"/>
        <v/>
      </c>
      <c r="BP2421" s="319" t="str">
        <f t="shared" si="1696"/>
        <v/>
      </c>
      <c r="BQ2421" s="319" t="str">
        <f t="shared" si="1696"/>
        <v/>
      </c>
      <c r="BR2421" s="319" t="str">
        <f t="shared" si="1696"/>
        <v/>
      </c>
      <c r="BS2421" s="330">
        <f t="shared" si="185"/>
        <v>0</v>
      </c>
      <c r="BT2421" s="331">
        <f t="shared" si="170"/>
        <v>0</v>
      </c>
      <c r="BU2421" s="920"/>
      <c r="BV2421" s="903" t="str">
        <f t="shared" si="1244"/>
        <v/>
      </c>
      <c r="BW2421" s="908"/>
      <c r="BX2421" s="908"/>
      <c r="BY2421" s="331" t="b">
        <f t="shared" si="201"/>
        <v>0</v>
      </c>
      <c r="BZ2421" s="331"/>
      <c r="CA2421" s="462" t="str">
        <f t="shared" ref="CA2421:CJ2421" si="1697">IF(ISNUMBER(FIND(BI$3, $CP2421)), "Y", "")</f>
        <v/>
      </c>
      <c r="CB2421" s="319" t="str">
        <f t="shared" si="1697"/>
        <v/>
      </c>
      <c r="CC2421" s="319" t="str">
        <f t="shared" si="1697"/>
        <v/>
      </c>
      <c r="CD2421" s="319" t="str">
        <f t="shared" si="1697"/>
        <v/>
      </c>
      <c r="CE2421" s="319" t="str">
        <f t="shared" si="1697"/>
        <v/>
      </c>
      <c r="CF2421" s="319" t="str">
        <f t="shared" si="1697"/>
        <v/>
      </c>
      <c r="CG2421" s="319" t="str">
        <f t="shared" si="1697"/>
        <v/>
      </c>
      <c r="CH2421" s="319" t="str">
        <f t="shared" si="1697"/>
        <v/>
      </c>
      <c r="CI2421" s="319" t="str">
        <f t="shared" si="1697"/>
        <v/>
      </c>
      <c r="CJ2421" s="319" t="str">
        <f t="shared" si="1697"/>
        <v/>
      </c>
      <c r="CK2421" s="342">
        <f t="shared" si="182"/>
        <v>0</v>
      </c>
      <c r="CL2421" s="333">
        <f t="shared" si="183"/>
        <v>0</v>
      </c>
      <c r="CM2421" s="1079"/>
      <c r="CN2421" s="1005"/>
      <c r="CO2421" s="1005"/>
      <c r="CP2421" s="1005"/>
    </row>
    <row r="2422">
      <c r="A2422" s="1257"/>
      <c r="B2422" s="1113"/>
      <c r="C2422" s="1107"/>
      <c r="D2422" s="103"/>
      <c r="E2422" s="1137"/>
      <c r="F2422" s="112"/>
      <c r="G2422" s="1110"/>
      <c r="H2422" s="1138"/>
      <c r="I2422" s="1138"/>
      <c r="J2422" s="1139"/>
      <c r="K2422" s="1111"/>
      <c r="L2422" s="1112"/>
      <c r="M2422" s="1113"/>
      <c r="N2422" s="110"/>
      <c r="O2422" s="1140"/>
      <c r="P2422" s="1115"/>
      <c r="Q2422" s="1116"/>
      <c r="R2422" s="1141"/>
      <c r="S2422" s="1113"/>
      <c r="T2422" s="1143"/>
      <c r="U2422" s="1108"/>
      <c r="V2422" s="1108"/>
      <c r="W2422" s="1108"/>
      <c r="X2422" s="1108"/>
      <c r="Y2422" s="1108"/>
      <c r="Z2422" s="1114"/>
      <c r="AA2422" s="1114"/>
      <c r="AB2422" s="1114"/>
      <c r="AC2422" s="1117"/>
      <c r="AD2422" s="1115"/>
      <c r="AE2422" s="1115"/>
      <c r="AF2422" s="1115"/>
      <c r="AG2422" s="1115"/>
      <c r="AH2422" s="1115"/>
      <c r="AI2422" s="1115"/>
      <c r="AJ2422" s="1117"/>
      <c r="AK2422" s="1118"/>
      <c r="AL2422" s="1115"/>
      <c r="AM2422" s="1115"/>
      <c r="AN2422" s="1115"/>
      <c r="AO2422" s="1115"/>
      <c r="AP2422" s="1115"/>
      <c r="AQ2422" s="1115"/>
      <c r="AR2422" s="1115"/>
      <c r="AS2422" s="1117"/>
      <c r="AT2422" s="1196" t="str">
        <f t="shared" si="428"/>
        <v/>
      </c>
      <c r="AU2422" s="1193"/>
      <c r="AV2422" s="330">
        <f>SQRT(($R2422-Infrastructure!J$3)^2+($S2422-Infrastructure!K$3)^2)</f>
        <v>28.90155705</v>
      </c>
      <c r="AW2422" s="331">
        <f>SQRT(($R2422-Infrastructure!J$4)^2+($S2422-Infrastructure!K$4)^2)</f>
        <v>17.80252791</v>
      </c>
      <c r="AX2422" s="331">
        <f>SQRT(($R2422-Infrastructure!J$5)^2+($S2422-Infrastructure!K$5)^2)</f>
        <v>5.10881591</v>
      </c>
      <c r="AY2422" s="331">
        <f>SQRT(($R2422-Infrastructure!J$6)^2+($S2422-Infrastructure!K$6)^2)</f>
        <v>10.10445446</v>
      </c>
      <c r="AZ2422" s="331">
        <f>SQRT(($R2422-Infrastructure!J$7)^2+($S2422-Infrastructure!K$7)^2)</f>
        <v>20.502195</v>
      </c>
      <c r="BA2422" s="331">
        <f>SQRT(($R2422-Infrastructure!J$8)^2+($S2422-Infrastructure!K$8)^2)</f>
        <v>30.10149498</v>
      </c>
      <c r="BB2422" s="331">
        <f>SQRT(($R2422-Infrastructure!J$9)^2+($S2422-Infrastructure!K$9)^2)</f>
        <v>40.3238143</v>
      </c>
      <c r="BC2422" s="331">
        <f>SQRT(($R2422-Infrastructure!J$10)^2+($S2422-Infrastructure!K$10)^2)</f>
        <v>42.72001873</v>
      </c>
      <c r="BD2422" s="331">
        <f>SQRT(($R2422-Infrastructure!J$11)^2+($S2422-Infrastructure!K$11)^2)</f>
        <v>49.56853841</v>
      </c>
      <c r="BE2422" s="333">
        <f>SQRT(($R2422-Infrastructure!J$12)^2+($S2422-Infrastructure!K$12)^2)</f>
        <v>59.51890456</v>
      </c>
      <c r="BF2422" s="330">
        <f t="shared" si="161"/>
        <v>5.10881591</v>
      </c>
      <c r="BG2422" s="333">
        <f t="shared" si="162"/>
        <v>59.51890456</v>
      </c>
      <c r="BH2422" s="1119"/>
      <c r="BI2422" s="319" t="str">
        <f t="shared" ref="BI2422:BR2422" si="1698">IF(ISNUMBER(FIND(BI$3, $CO2422)), "Y", "")</f>
        <v/>
      </c>
      <c r="BJ2422" s="319" t="str">
        <f t="shared" si="1698"/>
        <v/>
      </c>
      <c r="BK2422" s="319" t="str">
        <f t="shared" si="1698"/>
        <v/>
      </c>
      <c r="BL2422" s="319" t="str">
        <f t="shared" si="1698"/>
        <v/>
      </c>
      <c r="BM2422" s="319" t="str">
        <f t="shared" si="1698"/>
        <v/>
      </c>
      <c r="BN2422" s="319" t="str">
        <f t="shared" si="1698"/>
        <v/>
      </c>
      <c r="BO2422" s="319" t="str">
        <f t="shared" si="1698"/>
        <v/>
      </c>
      <c r="BP2422" s="319" t="str">
        <f t="shared" si="1698"/>
        <v/>
      </c>
      <c r="BQ2422" s="319" t="str">
        <f t="shared" si="1698"/>
        <v/>
      </c>
      <c r="BR2422" s="319" t="str">
        <f t="shared" si="1698"/>
        <v/>
      </c>
      <c r="BS2422" s="330">
        <f t="shared" si="185"/>
        <v>0</v>
      </c>
      <c r="BT2422" s="331">
        <f t="shared" si="170"/>
        <v>0</v>
      </c>
      <c r="BU2422" s="920"/>
      <c r="BV2422" s="903" t="str">
        <f t="shared" si="1244"/>
        <v/>
      </c>
      <c r="BW2422" s="908"/>
      <c r="BX2422" s="908"/>
      <c r="BY2422" s="331" t="b">
        <f t="shared" si="201"/>
        <v>0</v>
      </c>
      <c r="BZ2422" s="331"/>
      <c r="CA2422" s="462" t="str">
        <f t="shared" ref="CA2422:CJ2422" si="1699">IF(ISNUMBER(FIND(BI$3, $CP2422)), "Y", "")</f>
        <v/>
      </c>
      <c r="CB2422" s="319" t="str">
        <f t="shared" si="1699"/>
        <v/>
      </c>
      <c r="CC2422" s="319" t="str">
        <f t="shared" si="1699"/>
        <v/>
      </c>
      <c r="CD2422" s="319" t="str">
        <f t="shared" si="1699"/>
        <v/>
      </c>
      <c r="CE2422" s="319" t="str">
        <f t="shared" si="1699"/>
        <v/>
      </c>
      <c r="CF2422" s="319" t="str">
        <f t="shared" si="1699"/>
        <v/>
      </c>
      <c r="CG2422" s="319" t="str">
        <f t="shared" si="1699"/>
        <v/>
      </c>
      <c r="CH2422" s="319" t="str">
        <f t="shared" si="1699"/>
        <v/>
      </c>
      <c r="CI2422" s="319" t="str">
        <f t="shared" si="1699"/>
        <v/>
      </c>
      <c r="CJ2422" s="319" t="str">
        <f t="shared" si="1699"/>
        <v/>
      </c>
      <c r="CK2422" s="342">
        <f t="shared" si="182"/>
        <v>0</v>
      </c>
      <c r="CL2422" s="333">
        <f t="shared" si="183"/>
        <v>0</v>
      </c>
      <c r="CM2422" s="1079"/>
      <c r="CN2422" s="1005"/>
      <c r="CO2422" s="1005"/>
      <c r="CP2422" s="1005"/>
    </row>
    <row r="2423">
      <c r="A2423" s="1257"/>
      <c r="B2423" s="1113"/>
      <c r="C2423" s="1107"/>
      <c r="D2423" s="103"/>
      <c r="E2423" s="1137"/>
      <c r="F2423" s="112"/>
      <c r="G2423" s="1110"/>
      <c r="H2423" s="1138"/>
      <c r="I2423" s="1138"/>
      <c r="J2423" s="1139"/>
      <c r="K2423" s="1111"/>
      <c r="L2423" s="1112"/>
      <c r="M2423" s="1113"/>
      <c r="N2423" s="110"/>
      <c r="O2423" s="1140"/>
      <c r="P2423" s="1115"/>
      <c r="Q2423" s="1116"/>
      <c r="R2423" s="1141"/>
      <c r="S2423" s="1113"/>
      <c r="T2423" s="1143"/>
      <c r="U2423" s="1108"/>
      <c r="V2423" s="1108"/>
      <c r="W2423" s="1108"/>
      <c r="X2423" s="1108"/>
      <c r="Y2423" s="1108"/>
      <c r="Z2423" s="1114"/>
      <c r="AA2423" s="1114"/>
      <c r="AB2423" s="1114"/>
      <c r="AC2423" s="1117"/>
      <c r="AD2423" s="1115"/>
      <c r="AE2423" s="1115"/>
      <c r="AF2423" s="1115"/>
      <c r="AG2423" s="1115"/>
      <c r="AH2423" s="1115"/>
      <c r="AI2423" s="1115"/>
      <c r="AJ2423" s="1117"/>
      <c r="AK2423" s="1118"/>
      <c r="AL2423" s="1115"/>
      <c r="AM2423" s="1115"/>
      <c r="AN2423" s="1115"/>
      <c r="AO2423" s="1115"/>
      <c r="AP2423" s="1115"/>
      <c r="AQ2423" s="1115"/>
      <c r="AR2423" s="1115"/>
      <c r="AS2423" s="1117"/>
      <c r="AT2423" s="1196" t="str">
        <f t="shared" si="428"/>
        <v/>
      </c>
      <c r="AU2423" s="1193"/>
      <c r="AV2423" s="330">
        <f>SQRT(($R2423-Infrastructure!J$3)^2+($S2423-Infrastructure!K$3)^2)</f>
        <v>28.90155705</v>
      </c>
      <c r="AW2423" s="331">
        <f>SQRT(($R2423-Infrastructure!J$4)^2+($S2423-Infrastructure!K$4)^2)</f>
        <v>17.80252791</v>
      </c>
      <c r="AX2423" s="331">
        <f>SQRT(($R2423-Infrastructure!J$5)^2+($S2423-Infrastructure!K$5)^2)</f>
        <v>5.10881591</v>
      </c>
      <c r="AY2423" s="331">
        <f>SQRT(($R2423-Infrastructure!J$6)^2+($S2423-Infrastructure!K$6)^2)</f>
        <v>10.10445446</v>
      </c>
      <c r="AZ2423" s="331">
        <f>SQRT(($R2423-Infrastructure!J$7)^2+($S2423-Infrastructure!K$7)^2)</f>
        <v>20.502195</v>
      </c>
      <c r="BA2423" s="331">
        <f>SQRT(($R2423-Infrastructure!J$8)^2+($S2423-Infrastructure!K$8)^2)</f>
        <v>30.10149498</v>
      </c>
      <c r="BB2423" s="331">
        <f>SQRT(($R2423-Infrastructure!J$9)^2+($S2423-Infrastructure!K$9)^2)</f>
        <v>40.3238143</v>
      </c>
      <c r="BC2423" s="331">
        <f>SQRT(($R2423-Infrastructure!J$10)^2+($S2423-Infrastructure!K$10)^2)</f>
        <v>42.72001873</v>
      </c>
      <c r="BD2423" s="331">
        <f>SQRT(($R2423-Infrastructure!J$11)^2+($S2423-Infrastructure!K$11)^2)</f>
        <v>49.56853841</v>
      </c>
      <c r="BE2423" s="333">
        <f>SQRT(($R2423-Infrastructure!J$12)^2+($S2423-Infrastructure!K$12)^2)</f>
        <v>59.51890456</v>
      </c>
      <c r="BF2423" s="330">
        <f t="shared" si="161"/>
        <v>5.10881591</v>
      </c>
      <c r="BG2423" s="333">
        <f t="shared" si="162"/>
        <v>59.51890456</v>
      </c>
      <c r="BH2423" s="1119"/>
      <c r="BI2423" s="319" t="str">
        <f t="shared" ref="BI2423:BR2423" si="1700">IF(ISNUMBER(FIND(BI$3, $CO2423)), "Y", "")</f>
        <v/>
      </c>
      <c r="BJ2423" s="319" t="str">
        <f t="shared" si="1700"/>
        <v/>
      </c>
      <c r="BK2423" s="319" t="str">
        <f t="shared" si="1700"/>
        <v/>
      </c>
      <c r="BL2423" s="319" t="str">
        <f t="shared" si="1700"/>
        <v/>
      </c>
      <c r="BM2423" s="319" t="str">
        <f t="shared" si="1700"/>
        <v/>
      </c>
      <c r="BN2423" s="319" t="str">
        <f t="shared" si="1700"/>
        <v/>
      </c>
      <c r="BO2423" s="319" t="str">
        <f t="shared" si="1700"/>
        <v/>
      </c>
      <c r="BP2423" s="319" t="str">
        <f t="shared" si="1700"/>
        <v/>
      </c>
      <c r="BQ2423" s="319" t="str">
        <f t="shared" si="1700"/>
        <v/>
      </c>
      <c r="BR2423" s="319" t="str">
        <f t="shared" si="1700"/>
        <v/>
      </c>
      <c r="BS2423" s="330">
        <f t="shared" si="185"/>
        <v>0</v>
      </c>
      <c r="BT2423" s="331">
        <f t="shared" si="170"/>
        <v>0</v>
      </c>
      <c r="BU2423" s="920"/>
      <c r="BV2423" s="903" t="str">
        <f t="shared" si="1244"/>
        <v/>
      </c>
      <c r="BW2423" s="908"/>
      <c r="BX2423" s="908"/>
      <c r="BY2423" s="331" t="b">
        <f t="shared" si="201"/>
        <v>0</v>
      </c>
      <c r="BZ2423" s="331"/>
      <c r="CA2423" s="462" t="str">
        <f t="shared" ref="CA2423:CJ2423" si="1701">IF(ISNUMBER(FIND(BI$3, $CP2423)), "Y", "")</f>
        <v/>
      </c>
      <c r="CB2423" s="319" t="str">
        <f t="shared" si="1701"/>
        <v/>
      </c>
      <c r="CC2423" s="319" t="str">
        <f t="shared" si="1701"/>
        <v/>
      </c>
      <c r="CD2423" s="319" t="str">
        <f t="shared" si="1701"/>
        <v/>
      </c>
      <c r="CE2423" s="319" t="str">
        <f t="shared" si="1701"/>
        <v/>
      </c>
      <c r="CF2423" s="319" t="str">
        <f t="shared" si="1701"/>
        <v/>
      </c>
      <c r="CG2423" s="319" t="str">
        <f t="shared" si="1701"/>
        <v/>
      </c>
      <c r="CH2423" s="319" t="str">
        <f t="shared" si="1701"/>
        <v/>
      </c>
      <c r="CI2423" s="319" t="str">
        <f t="shared" si="1701"/>
        <v/>
      </c>
      <c r="CJ2423" s="319" t="str">
        <f t="shared" si="1701"/>
        <v/>
      </c>
      <c r="CK2423" s="342">
        <f t="shared" si="182"/>
        <v>0</v>
      </c>
      <c r="CL2423" s="333">
        <f t="shared" si="183"/>
        <v>0</v>
      </c>
      <c r="CM2423" s="1079"/>
      <c r="CN2423" s="1005"/>
      <c r="CO2423" s="1005"/>
      <c r="CP2423" s="1005"/>
    </row>
    <row r="2424">
      <c r="A2424" s="1257"/>
      <c r="B2424" s="1113"/>
      <c r="C2424" s="1107"/>
      <c r="D2424" s="103"/>
      <c r="E2424" s="1137"/>
      <c r="F2424" s="112"/>
      <c r="G2424" s="1110"/>
      <c r="H2424" s="1138"/>
      <c r="I2424" s="1138"/>
      <c r="J2424" s="1139"/>
      <c r="K2424" s="1111"/>
      <c r="L2424" s="1112"/>
      <c r="M2424" s="1113"/>
      <c r="N2424" s="110"/>
      <c r="O2424" s="1140"/>
      <c r="P2424" s="1115"/>
      <c r="Q2424" s="1116"/>
      <c r="R2424" s="1141"/>
      <c r="S2424" s="1113"/>
      <c r="T2424" s="1143"/>
      <c r="U2424" s="1108"/>
      <c r="V2424" s="1108"/>
      <c r="W2424" s="1108"/>
      <c r="X2424" s="1108"/>
      <c r="Y2424" s="1108"/>
      <c r="Z2424" s="1114"/>
      <c r="AA2424" s="1114"/>
      <c r="AB2424" s="1114"/>
      <c r="AC2424" s="1117"/>
      <c r="AD2424" s="1115"/>
      <c r="AE2424" s="1115"/>
      <c r="AF2424" s="1115"/>
      <c r="AG2424" s="1115"/>
      <c r="AH2424" s="1115"/>
      <c r="AI2424" s="1115"/>
      <c r="AJ2424" s="1117"/>
      <c r="AK2424" s="1118"/>
      <c r="AL2424" s="1115"/>
      <c r="AM2424" s="1115"/>
      <c r="AN2424" s="1115"/>
      <c r="AO2424" s="1115"/>
      <c r="AP2424" s="1115"/>
      <c r="AQ2424" s="1115"/>
      <c r="AR2424" s="1115"/>
      <c r="AS2424" s="1117"/>
      <c r="AT2424" s="1196" t="str">
        <f t="shared" si="428"/>
        <v/>
      </c>
      <c r="AU2424" s="1193"/>
      <c r="AV2424" s="330">
        <f>SQRT(($R2424-Infrastructure!J$3)^2+($S2424-Infrastructure!K$3)^2)</f>
        <v>28.90155705</v>
      </c>
      <c r="AW2424" s="331">
        <f>SQRT(($R2424-Infrastructure!J$4)^2+($S2424-Infrastructure!K$4)^2)</f>
        <v>17.80252791</v>
      </c>
      <c r="AX2424" s="331">
        <f>SQRT(($R2424-Infrastructure!J$5)^2+($S2424-Infrastructure!K$5)^2)</f>
        <v>5.10881591</v>
      </c>
      <c r="AY2424" s="331">
        <f>SQRT(($R2424-Infrastructure!J$6)^2+($S2424-Infrastructure!K$6)^2)</f>
        <v>10.10445446</v>
      </c>
      <c r="AZ2424" s="331">
        <f>SQRT(($R2424-Infrastructure!J$7)^2+($S2424-Infrastructure!K$7)^2)</f>
        <v>20.502195</v>
      </c>
      <c r="BA2424" s="331">
        <f>SQRT(($R2424-Infrastructure!J$8)^2+($S2424-Infrastructure!K$8)^2)</f>
        <v>30.10149498</v>
      </c>
      <c r="BB2424" s="331">
        <f>SQRT(($R2424-Infrastructure!J$9)^2+($S2424-Infrastructure!K$9)^2)</f>
        <v>40.3238143</v>
      </c>
      <c r="BC2424" s="331">
        <f>SQRT(($R2424-Infrastructure!J$10)^2+($S2424-Infrastructure!K$10)^2)</f>
        <v>42.72001873</v>
      </c>
      <c r="BD2424" s="331">
        <f>SQRT(($R2424-Infrastructure!J$11)^2+($S2424-Infrastructure!K$11)^2)</f>
        <v>49.56853841</v>
      </c>
      <c r="BE2424" s="333">
        <f>SQRT(($R2424-Infrastructure!J$12)^2+($S2424-Infrastructure!K$12)^2)</f>
        <v>59.51890456</v>
      </c>
      <c r="BF2424" s="330">
        <f t="shared" si="161"/>
        <v>5.10881591</v>
      </c>
      <c r="BG2424" s="333">
        <f t="shared" si="162"/>
        <v>59.51890456</v>
      </c>
      <c r="BH2424" s="1119"/>
      <c r="BI2424" s="319" t="str">
        <f t="shared" ref="BI2424:BR2424" si="1702">IF(ISNUMBER(FIND(BI$3, $CO2424)), "Y", "")</f>
        <v/>
      </c>
      <c r="BJ2424" s="319" t="str">
        <f t="shared" si="1702"/>
        <v/>
      </c>
      <c r="BK2424" s="319" t="str">
        <f t="shared" si="1702"/>
        <v/>
      </c>
      <c r="BL2424" s="319" t="str">
        <f t="shared" si="1702"/>
        <v/>
      </c>
      <c r="BM2424" s="319" t="str">
        <f t="shared" si="1702"/>
        <v/>
      </c>
      <c r="BN2424" s="319" t="str">
        <f t="shared" si="1702"/>
        <v/>
      </c>
      <c r="BO2424" s="319" t="str">
        <f t="shared" si="1702"/>
        <v/>
      </c>
      <c r="BP2424" s="319" t="str">
        <f t="shared" si="1702"/>
        <v/>
      </c>
      <c r="BQ2424" s="319" t="str">
        <f t="shared" si="1702"/>
        <v/>
      </c>
      <c r="BR2424" s="319" t="str">
        <f t="shared" si="1702"/>
        <v/>
      </c>
      <c r="BS2424" s="330">
        <f t="shared" si="185"/>
        <v>0</v>
      </c>
      <c r="BT2424" s="331">
        <f t="shared" si="170"/>
        <v>0</v>
      </c>
      <c r="BU2424" s="920"/>
      <c r="BV2424" s="903" t="str">
        <f t="shared" si="1244"/>
        <v/>
      </c>
      <c r="BW2424" s="908"/>
      <c r="BX2424" s="908"/>
      <c r="BY2424" s="331" t="b">
        <f t="shared" si="201"/>
        <v>0</v>
      </c>
      <c r="BZ2424" s="331"/>
      <c r="CA2424" s="462" t="str">
        <f t="shared" ref="CA2424:CJ2424" si="1703">IF(ISNUMBER(FIND(BI$3, $CP2424)), "Y", "")</f>
        <v/>
      </c>
      <c r="CB2424" s="319" t="str">
        <f t="shared" si="1703"/>
        <v/>
      </c>
      <c r="CC2424" s="319" t="str">
        <f t="shared" si="1703"/>
        <v/>
      </c>
      <c r="CD2424" s="319" t="str">
        <f t="shared" si="1703"/>
        <v/>
      </c>
      <c r="CE2424" s="319" t="str">
        <f t="shared" si="1703"/>
        <v/>
      </c>
      <c r="CF2424" s="319" t="str">
        <f t="shared" si="1703"/>
        <v/>
      </c>
      <c r="CG2424" s="319" t="str">
        <f t="shared" si="1703"/>
        <v/>
      </c>
      <c r="CH2424" s="319" t="str">
        <f t="shared" si="1703"/>
        <v/>
      </c>
      <c r="CI2424" s="319" t="str">
        <f t="shared" si="1703"/>
        <v/>
      </c>
      <c r="CJ2424" s="319" t="str">
        <f t="shared" si="1703"/>
        <v/>
      </c>
      <c r="CK2424" s="342">
        <f t="shared" si="182"/>
        <v>0</v>
      </c>
      <c r="CL2424" s="333">
        <f t="shared" si="183"/>
        <v>0</v>
      </c>
      <c r="CM2424" s="1079"/>
      <c r="CN2424" s="1005"/>
      <c r="CO2424" s="1005"/>
      <c r="CP2424" s="1005"/>
    </row>
    <row r="2425">
      <c r="A2425" s="1257"/>
      <c r="B2425" s="1113"/>
      <c r="C2425" s="1107"/>
      <c r="D2425" s="103"/>
      <c r="E2425" s="1137"/>
      <c r="F2425" s="112"/>
      <c r="G2425" s="1110"/>
      <c r="H2425" s="1138"/>
      <c r="I2425" s="1138"/>
      <c r="J2425" s="1139"/>
      <c r="K2425" s="1111"/>
      <c r="L2425" s="1112"/>
      <c r="M2425" s="1113"/>
      <c r="N2425" s="110"/>
      <c r="O2425" s="1140"/>
      <c r="P2425" s="1115"/>
      <c r="Q2425" s="1116"/>
      <c r="R2425" s="1141"/>
      <c r="S2425" s="1113"/>
      <c r="T2425" s="1143"/>
      <c r="U2425" s="1108"/>
      <c r="V2425" s="1108"/>
      <c r="W2425" s="1108"/>
      <c r="X2425" s="1108"/>
      <c r="Y2425" s="1108"/>
      <c r="Z2425" s="1114"/>
      <c r="AA2425" s="1114"/>
      <c r="AB2425" s="1114"/>
      <c r="AC2425" s="1117"/>
      <c r="AD2425" s="1115"/>
      <c r="AE2425" s="1115"/>
      <c r="AF2425" s="1115"/>
      <c r="AG2425" s="1115"/>
      <c r="AH2425" s="1115"/>
      <c r="AI2425" s="1115"/>
      <c r="AJ2425" s="1117"/>
      <c r="AK2425" s="1118"/>
      <c r="AL2425" s="1115"/>
      <c r="AM2425" s="1115"/>
      <c r="AN2425" s="1115"/>
      <c r="AO2425" s="1115"/>
      <c r="AP2425" s="1115"/>
      <c r="AQ2425" s="1115"/>
      <c r="AR2425" s="1115"/>
      <c r="AS2425" s="1117"/>
      <c r="AT2425" s="1196" t="str">
        <f t="shared" si="428"/>
        <v/>
      </c>
      <c r="AU2425" s="1193"/>
      <c r="AV2425" s="330">
        <f>SQRT(($R2425-Infrastructure!J$3)^2+($S2425-Infrastructure!K$3)^2)</f>
        <v>28.90155705</v>
      </c>
      <c r="AW2425" s="331">
        <f>SQRT(($R2425-Infrastructure!J$4)^2+($S2425-Infrastructure!K$4)^2)</f>
        <v>17.80252791</v>
      </c>
      <c r="AX2425" s="331">
        <f>SQRT(($R2425-Infrastructure!J$5)^2+($S2425-Infrastructure!K$5)^2)</f>
        <v>5.10881591</v>
      </c>
      <c r="AY2425" s="331">
        <f>SQRT(($R2425-Infrastructure!J$6)^2+($S2425-Infrastructure!K$6)^2)</f>
        <v>10.10445446</v>
      </c>
      <c r="AZ2425" s="331">
        <f>SQRT(($R2425-Infrastructure!J$7)^2+($S2425-Infrastructure!K$7)^2)</f>
        <v>20.502195</v>
      </c>
      <c r="BA2425" s="331">
        <f>SQRT(($R2425-Infrastructure!J$8)^2+($S2425-Infrastructure!K$8)^2)</f>
        <v>30.10149498</v>
      </c>
      <c r="BB2425" s="331">
        <f>SQRT(($R2425-Infrastructure!J$9)^2+($S2425-Infrastructure!K$9)^2)</f>
        <v>40.3238143</v>
      </c>
      <c r="BC2425" s="331">
        <f>SQRT(($R2425-Infrastructure!J$10)^2+($S2425-Infrastructure!K$10)^2)</f>
        <v>42.72001873</v>
      </c>
      <c r="BD2425" s="331">
        <f>SQRT(($R2425-Infrastructure!J$11)^2+($S2425-Infrastructure!K$11)^2)</f>
        <v>49.56853841</v>
      </c>
      <c r="BE2425" s="333">
        <f>SQRT(($R2425-Infrastructure!J$12)^2+($S2425-Infrastructure!K$12)^2)</f>
        <v>59.51890456</v>
      </c>
      <c r="BF2425" s="330">
        <f t="shared" si="161"/>
        <v>5.10881591</v>
      </c>
      <c r="BG2425" s="333">
        <f t="shared" si="162"/>
        <v>59.51890456</v>
      </c>
      <c r="BH2425" s="1119"/>
      <c r="BI2425" s="319" t="str">
        <f t="shared" ref="BI2425:BR2425" si="1704">IF(ISNUMBER(FIND(BI$3, $CO2425)), "Y", "")</f>
        <v/>
      </c>
      <c r="BJ2425" s="319" t="str">
        <f t="shared" si="1704"/>
        <v/>
      </c>
      <c r="BK2425" s="319" t="str">
        <f t="shared" si="1704"/>
        <v/>
      </c>
      <c r="BL2425" s="319" t="str">
        <f t="shared" si="1704"/>
        <v/>
      </c>
      <c r="BM2425" s="319" t="str">
        <f t="shared" si="1704"/>
        <v/>
      </c>
      <c r="BN2425" s="319" t="str">
        <f t="shared" si="1704"/>
        <v/>
      </c>
      <c r="BO2425" s="319" t="str">
        <f t="shared" si="1704"/>
        <v/>
      </c>
      <c r="BP2425" s="319" t="str">
        <f t="shared" si="1704"/>
        <v/>
      </c>
      <c r="BQ2425" s="319" t="str">
        <f t="shared" si="1704"/>
        <v/>
      </c>
      <c r="BR2425" s="319" t="str">
        <f t="shared" si="1704"/>
        <v/>
      </c>
      <c r="BS2425" s="330">
        <f t="shared" si="185"/>
        <v>0</v>
      </c>
      <c r="BT2425" s="331">
        <f t="shared" si="170"/>
        <v>0</v>
      </c>
      <c r="BU2425" s="920"/>
      <c r="BV2425" s="903" t="str">
        <f t="shared" si="1244"/>
        <v/>
      </c>
      <c r="BW2425" s="908"/>
      <c r="BX2425" s="908"/>
      <c r="BY2425" s="331" t="b">
        <f t="shared" si="201"/>
        <v>0</v>
      </c>
      <c r="BZ2425" s="331"/>
      <c r="CA2425" s="462" t="str">
        <f t="shared" ref="CA2425:CJ2425" si="1705">IF(ISNUMBER(FIND(BI$3, $CP2425)), "Y", "")</f>
        <v/>
      </c>
      <c r="CB2425" s="319" t="str">
        <f t="shared" si="1705"/>
        <v/>
      </c>
      <c r="CC2425" s="319" t="str">
        <f t="shared" si="1705"/>
        <v/>
      </c>
      <c r="CD2425" s="319" t="str">
        <f t="shared" si="1705"/>
        <v/>
      </c>
      <c r="CE2425" s="319" t="str">
        <f t="shared" si="1705"/>
        <v/>
      </c>
      <c r="CF2425" s="319" t="str">
        <f t="shared" si="1705"/>
        <v/>
      </c>
      <c r="CG2425" s="319" t="str">
        <f t="shared" si="1705"/>
        <v/>
      </c>
      <c r="CH2425" s="319" t="str">
        <f t="shared" si="1705"/>
        <v/>
      </c>
      <c r="CI2425" s="319" t="str">
        <f t="shared" si="1705"/>
        <v/>
      </c>
      <c r="CJ2425" s="319" t="str">
        <f t="shared" si="1705"/>
        <v/>
      </c>
      <c r="CK2425" s="342">
        <f t="shared" si="182"/>
        <v>0</v>
      </c>
      <c r="CL2425" s="333">
        <f t="shared" si="183"/>
        <v>0</v>
      </c>
      <c r="CM2425" s="1079"/>
      <c r="CN2425" s="1005"/>
      <c r="CO2425" s="1005"/>
      <c r="CP2425" s="1005"/>
    </row>
    <row r="2426">
      <c r="A2426" s="1257"/>
      <c r="B2426" s="1113"/>
      <c r="C2426" s="1107"/>
      <c r="D2426" s="103"/>
      <c r="E2426" s="1137"/>
      <c r="F2426" s="112"/>
      <c r="G2426" s="1110"/>
      <c r="H2426" s="1138"/>
      <c r="I2426" s="1138"/>
      <c r="J2426" s="1139"/>
      <c r="K2426" s="1111"/>
      <c r="L2426" s="1112"/>
      <c r="M2426" s="1113"/>
      <c r="N2426" s="110"/>
      <c r="O2426" s="1140"/>
      <c r="P2426" s="1115"/>
      <c r="Q2426" s="1116"/>
      <c r="R2426" s="1141"/>
      <c r="S2426" s="1113"/>
      <c r="T2426" s="1143"/>
      <c r="U2426" s="1108"/>
      <c r="V2426" s="1108"/>
      <c r="W2426" s="1108"/>
      <c r="X2426" s="1108"/>
      <c r="Y2426" s="1108"/>
      <c r="Z2426" s="1114"/>
      <c r="AA2426" s="1114"/>
      <c r="AB2426" s="1114"/>
      <c r="AC2426" s="1117"/>
      <c r="AD2426" s="1115"/>
      <c r="AE2426" s="1115"/>
      <c r="AF2426" s="1115"/>
      <c r="AG2426" s="1115"/>
      <c r="AH2426" s="1115"/>
      <c r="AI2426" s="1115"/>
      <c r="AJ2426" s="1117"/>
      <c r="AK2426" s="1118"/>
      <c r="AL2426" s="1115"/>
      <c r="AM2426" s="1115"/>
      <c r="AN2426" s="1115"/>
      <c r="AO2426" s="1115"/>
      <c r="AP2426" s="1115"/>
      <c r="AQ2426" s="1115"/>
      <c r="AR2426" s="1115"/>
      <c r="AS2426" s="1117"/>
      <c r="AT2426" s="1196" t="str">
        <f t="shared" si="428"/>
        <v/>
      </c>
      <c r="AU2426" s="1193"/>
      <c r="AV2426" s="330">
        <f>SQRT(($R2426-Infrastructure!J$3)^2+($S2426-Infrastructure!K$3)^2)</f>
        <v>28.90155705</v>
      </c>
      <c r="AW2426" s="331">
        <f>SQRT(($R2426-Infrastructure!J$4)^2+($S2426-Infrastructure!K$4)^2)</f>
        <v>17.80252791</v>
      </c>
      <c r="AX2426" s="331">
        <f>SQRT(($R2426-Infrastructure!J$5)^2+($S2426-Infrastructure!K$5)^2)</f>
        <v>5.10881591</v>
      </c>
      <c r="AY2426" s="331">
        <f>SQRT(($R2426-Infrastructure!J$6)^2+($S2426-Infrastructure!K$6)^2)</f>
        <v>10.10445446</v>
      </c>
      <c r="AZ2426" s="331">
        <f>SQRT(($R2426-Infrastructure!J$7)^2+($S2426-Infrastructure!K$7)^2)</f>
        <v>20.502195</v>
      </c>
      <c r="BA2426" s="331">
        <f>SQRT(($R2426-Infrastructure!J$8)^2+($S2426-Infrastructure!K$8)^2)</f>
        <v>30.10149498</v>
      </c>
      <c r="BB2426" s="331">
        <f>SQRT(($R2426-Infrastructure!J$9)^2+($S2426-Infrastructure!K$9)^2)</f>
        <v>40.3238143</v>
      </c>
      <c r="BC2426" s="331">
        <f>SQRT(($R2426-Infrastructure!J$10)^2+($S2426-Infrastructure!K$10)^2)</f>
        <v>42.72001873</v>
      </c>
      <c r="BD2426" s="331">
        <f>SQRT(($R2426-Infrastructure!J$11)^2+($S2426-Infrastructure!K$11)^2)</f>
        <v>49.56853841</v>
      </c>
      <c r="BE2426" s="333">
        <f>SQRT(($R2426-Infrastructure!J$12)^2+($S2426-Infrastructure!K$12)^2)</f>
        <v>59.51890456</v>
      </c>
      <c r="BF2426" s="330">
        <f t="shared" si="161"/>
        <v>5.10881591</v>
      </c>
      <c r="BG2426" s="333">
        <f t="shared" si="162"/>
        <v>59.51890456</v>
      </c>
      <c r="BH2426" s="1119"/>
      <c r="BI2426" s="319" t="str">
        <f t="shared" ref="BI2426:BR2426" si="1706">IF(ISNUMBER(FIND(BI$3, $CO2426)), "Y", "")</f>
        <v/>
      </c>
      <c r="BJ2426" s="319" t="str">
        <f t="shared" si="1706"/>
        <v/>
      </c>
      <c r="BK2426" s="319" t="str">
        <f t="shared" si="1706"/>
        <v/>
      </c>
      <c r="BL2426" s="319" t="str">
        <f t="shared" si="1706"/>
        <v/>
      </c>
      <c r="BM2426" s="319" t="str">
        <f t="shared" si="1706"/>
        <v/>
      </c>
      <c r="BN2426" s="319" t="str">
        <f t="shared" si="1706"/>
        <v/>
      </c>
      <c r="BO2426" s="319" t="str">
        <f t="shared" si="1706"/>
        <v/>
      </c>
      <c r="BP2426" s="319" t="str">
        <f t="shared" si="1706"/>
        <v/>
      </c>
      <c r="BQ2426" s="319" t="str">
        <f t="shared" si="1706"/>
        <v/>
      </c>
      <c r="BR2426" s="319" t="str">
        <f t="shared" si="1706"/>
        <v/>
      </c>
      <c r="BS2426" s="330">
        <f t="shared" si="185"/>
        <v>0</v>
      </c>
      <c r="BT2426" s="331">
        <f t="shared" si="170"/>
        <v>0</v>
      </c>
      <c r="BU2426" s="920"/>
      <c r="BV2426" s="903" t="str">
        <f t="shared" si="1244"/>
        <v/>
      </c>
      <c r="BW2426" s="908"/>
      <c r="BX2426" s="908"/>
      <c r="BY2426" s="331" t="b">
        <f t="shared" si="201"/>
        <v>0</v>
      </c>
      <c r="BZ2426" s="331"/>
      <c r="CA2426" s="462" t="str">
        <f t="shared" ref="CA2426:CJ2426" si="1707">IF(ISNUMBER(FIND(BI$3, $CP2426)), "Y", "")</f>
        <v/>
      </c>
      <c r="CB2426" s="319" t="str">
        <f t="shared" si="1707"/>
        <v/>
      </c>
      <c r="CC2426" s="319" t="str">
        <f t="shared" si="1707"/>
        <v/>
      </c>
      <c r="CD2426" s="319" t="str">
        <f t="shared" si="1707"/>
        <v/>
      </c>
      <c r="CE2426" s="319" t="str">
        <f t="shared" si="1707"/>
        <v/>
      </c>
      <c r="CF2426" s="319" t="str">
        <f t="shared" si="1707"/>
        <v/>
      </c>
      <c r="CG2426" s="319" t="str">
        <f t="shared" si="1707"/>
        <v/>
      </c>
      <c r="CH2426" s="319" t="str">
        <f t="shared" si="1707"/>
        <v/>
      </c>
      <c r="CI2426" s="319" t="str">
        <f t="shared" si="1707"/>
        <v/>
      </c>
      <c r="CJ2426" s="319" t="str">
        <f t="shared" si="1707"/>
        <v/>
      </c>
      <c r="CK2426" s="342">
        <f t="shared" si="182"/>
        <v>0</v>
      </c>
      <c r="CL2426" s="333">
        <f t="shared" si="183"/>
        <v>0</v>
      </c>
      <c r="CM2426" s="1079"/>
      <c r="CN2426" s="1005"/>
      <c r="CO2426" s="1005"/>
      <c r="CP2426" s="1005"/>
    </row>
    <row r="2427">
      <c r="A2427" s="1257"/>
      <c r="B2427" s="1113"/>
      <c r="C2427" s="1107"/>
      <c r="D2427" s="103"/>
      <c r="E2427" s="1137"/>
      <c r="F2427" s="112"/>
      <c r="G2427" s="1110"/>
      <c r="H2427" s="1138"/>
      <c r="I2427" s="1138"/>
      <c r="J2427" s="1139"/>
      <c r="K2427" s="1111"/>
      <c r="L2427" s="1112"/>
      <c r="M2427" s="1113"/>
      <c r="N2427" s="110"/>
      <c r="O2427" s="1140"/>
      <c r="P2427" s="1115"/>
      <c r="Q2427" s="1116"/>
      <c r="R2427" s="1141"/>
      <c r="S2427" s="1113"/>
      <c r="T2427" s="1143"/>
      <c r="U2427" s="1108"/>
      <c r="V2427" s="1108"/>
      <c r="W2427" s="1108"/>
      <c r="X2427" s="1108"/>
      <c r="Y2427" s="1108"/>
      <c r="Z2427" s="1114"/>
      <c r="AA2427" s="1114"/>
      <c r="AB2427" s="1114"/>
      <c r="AC2427" s="1117"/>
      <c r="AD2427" s="1115"/>
      <c r="AE2427" s="1115"/>
      <c r="AF2427" s="1115"/>
      <c r="AG2427" s="1115"/>
      <c r="AH2427" s="1115"/>
      <c r="AI2427" s="1115"/>
      <c r="AJ2427" s="1117"/>
      <c r="AK2427" s="1118"/>
      <c r="AL2427" s="1115"/>
      <c r="AM2427" s="1115"/>
      <c r="AN2427" s="1115"/>
      <c r="AO2427" s="1115"/>
      <c r="AP2427" s="1115"/>
      <c r="AQ2427" s="1115"/>
      <c r="AR2427" s="1115"/>
      <c r="AS2427" s="1117"/>
      <c r="AT2427" s="1196" t="str">
        <f t="shared" si="428"/>
        <v/>
      </c>
      <c r="AU2427" s="1193"/>
      <c r="AV2427" s="330">
        <f>SQRT(($R2427-Infrastructure!J$3)^2+($S2427-Infrastructure!K$3)^2)</f>
        <v>28.90155705</v>
      </c>
      <c r="AW2427" s="331">
        <f>SQRT(($R2427-Infrastructure!J$4)^2+($S2427-Infrastructure!K$4)^2)</f>
        <v>17.80252791</v>
      </c>
      <c r="AX2427" s="331">
        <f>SQRT(($R2427-Infrastructure!J$5)^2+($S2427-Infrastructure!K$5)^2)</f>
        <v>5.10881591</v>
      </c>
      <c r="AY2427" s="331">
        <f>SQRT(($R2427-Infrastructure!J$6)^2+($S2427-Infrastructure!K$6)^2)</f>
        <v>10.10445446</v>
      </c>
      <c r="AZ2427" s="331">
        <f>SQRT(($R2427-Infrastructure!J$7)^2+($S2427-Infrastructure!K$7)^2)</f>
        <v>20.502195</v>
      </c>
      <c r="BA2427" s="331">
        <f>SQRT(($R2427-Infrastructure!J$8)^2+($S2427-Infrastructure!K$8)^2)</f>
        <v>30.10149498</v>
      </c>
      <c r="BB2427" s="331">
        <f>SQRT(($R2427-Infrastructure!J$9)^2+($S2427-Infrastructure!K$9)^2)</f>
        <v>40.3238143</v>
      </c>
      <c r="BC2427" s="331">
        <f>SQRT(($R2427-Infrastructure!J$10)^2+($S2427-Infrastructure!K$10)^2)</f>
        <v>42.72001873</v>
      </c>
      <c r="BD2427" s="331">
        <f>SQRT(($R2427-Infrastructure!J$11)^2+($S2427-Infrastructure!K$11)^2)</f>
        <v>49.56853841</v>
      </c>
      <c r="BE2427" s="333">
        <f>SQRT(($R2427-Infrastructure!J$12)^2+($S2427-Infrastructure!K$12)^2)</f>
        <v>59.51890456</v>
      </c>
      <c r="BF2427" s="330">
        <f t="shared" si="161"/>
        <v>5.10881591</v>
      </c>
      <c r="BG2427" s="333">
        <f t="shared" si="162"/>
        <v>59.51890456</v>
      </c>
      <c r="BH2427" s="1119"/>
      <c r="BI2427" s="319" t="str">
        <f t="shared" ref="BI2427:BR2427" si="1708">IF(ISNUMBER(FIND(BI$3, $CO2427)), "Y", "")</f>
        <v/>
      </c>
      <c r="BJ2427" s="319" t="str">
        <f t="shared" si="1708"/>
        <v/>
      </c>
      <c r="BK2427" s="319" t="str">
        <f t="shared" si="1708"/>
        <v/>
      </c>
      <c r="BL2427" s="319" t="str">
        <f t="shared" si="1708"/>
        <v/>
      </c>
      <c r="BM2427" s="319" t="str">
        <f t="shared" si="1708"/>
        <v/>
      </c>
      <c r="BN2427" s="319" t="str">
        <f t="shared" si="1708"/>
        <v/>
      </c>
      <c r="BO2427" s="319" t="str">
        <f t="shared" si="1708"/>
        <v/>
      </c>
      <c r="BP2427" s="319" t="str">
        <f t="shared" si="1708"/>
        <v/>
      </c>
      <c r="BQ2427" s="319" t="str">
        <f t="shared" si="1708"/>
        <v/>
      </c>
      <c r="BR2427" s="319" t="str">
        <f t="shared" si="1708"/>
        <v/>
      </c>
      <c r="BS2427" s="330">
        <f t="shared" si="185"/>
        <v>0</v>
      </c>
      <c r="BT2427" s="331">
        <f t="shared" si="170"/>
        <v>0</v>
      </c>
      <c r="BU2427" s="920"/>
      <c r="BV2427" s="903" t="str">
        <f t="shared" si="1244"/>
        <v/>
      </c>
      <c r="BW2427" s="908"/>
      <c r="BX2427" s="908"/>
      <c r="BY2427" s="331" t="b">
        <f t="shared" si="201"/>
        <v>0</v>
      </c>
      <c r="BZ2427" s="331"/>
      <c r="CA2427" s="462" t="str">
        <f t="shared" ref="CA2427:CJ2427" si="1709">IF(ISNUMBER(FIND(BI$3, $CP2427)), "Y", "")</f>
        <v/>
      </c>
      <c r="CB2427" s="319" t="str">
        <f t="shared" si="1709"/>
        <v/>
      </c>
      <c r="CC2427" s="319" t="str">
        <f t="shared" si="1709"/>
        <v/>
      </c>
      <c r="CD2427" s="319" t="str">
        <f t="shared" si="1709"/>
        <v/>
      </c>
      <c r="CE2427" s="319" t="str">
        <f t="shared" si="1709"/>
        <v/>
      </c>
      <c r="CF2427" s="319" t="str">
        <f t="shared" si="1709"/>
        <v/>
      </c>
      <c r="CG2427" s="319" t="str">
        <f t="shared" si="1709"/>
        <v/>
      </c>
      <c r="CH2427" s="319" t="str">
        <f t="shared" si="1709"/>
        <v/>
      </c>
      <c r="CI2427" s="319" t="str">
        <f t="shared" si="1709"/>
        <v/>
      </c>
      <c r="CJ2427" s="319" t="str">
        <f t="shared" si="1709"/>
        <v/>
      </c>
      <c r="CK2427" s="342">
        <f t="shared" si="182"/>
        <v>0</v>
      </c>
      <c r="CL2427" s="333">
        <f t="shared" si="183"/>
        <v>0</v>
      </c>
      <c r="CM2427" s="1079"/>
      <c r="CN2427" s="1005"/>
      <c r="CO2427" s="1005"/>
      <c r="CP2427" s="1005"/>
    </row>
    <row r="2428">
      <c r="A2428" s="1257"/>
      <c r="B2428" s="1113"/>
      <c r="C2428" s="1107"/>
      <c r="D2428" s="103"/>
      <c r="E2428" s="1137"/>
      <c r="F2428" s="112"/>
      <c r="G2428" s="1110"/>
      <c r="H2428" s="1138"/>
      <c r="I2428" s="1138"/>
      <c r="J2428" s="1139"/>
      <c r="K2428" s="1111"/>
      <c r="L2428" s="1112"/>
      <c r="M2428" s="1113"/>
      <c r="N2428" s="110"/>
      <c r="O2428" s="1140"/>
      <c r="P2428" s="1115"/>
      <c r="Q2428" s="1116"/>
      <c r="R2428" s="1141"/>
      <c r="S2428" s="1113"/>
      <c r="T2428" s="1143"/>
      <c r="U2428" s="1108"/>
      <c r="V2428" s="1108"/>
      <c r="W2428" s="1108"/>
      <c r="X2428" s="1108"/>
      <c r="Y2428" s="1108"/>
      <c r="Z2428" s="1114"/>
      <c r="AA2428" s="1114"/>
      <c r="AB2428" s="1114"/>
      <c r="AC2428" s="1117"/>
      <c r="AD2428" s="1115"/>
      <c r="AE2428" s="1115"/>
      <c r="AF2428" s="1115"/>
      <c r="AG2428" s="1115"/>
      <c r="AH2428" s="1115"/>
      <c r="AI2428" s="1115"/>
      <c r="AJ2428" s="1117"/>
      <c r="AK2428" s="1118"/>
      <c r="AL2428" s="1115"/>
      <c r="AM2428" s="1115"/>
      <c r="AN2428" s="1115"/>
      <c r="AO2428" s="1115"/>
      <c r="AP2428" s="1115"/>
      <c r="AQ2428" s="1115"/>
      <c r="AR2428" s="1115"/>
      <c r="AS2428" s="1117"/>
      <c r="AT2428" s="1196" t="str">
        <f t="shared" si="428"/>
        <v/>
      </c>
      <c r="AU2428" s="1193"/>
      <c r="AV2428" s="330">
        <f>SQRT(($R2428-Infrastructure!J$3)^2+($S2428-Infrastructure!K$3)^2)</f>
        <v>28.90155705</v>
      </c>
      <c r="AW2428" s="331">
        <f>SQRT(($R2428-Infrastructure!J$4)^2+($S2428-Infrastructure!K$4)^2)</f>
        <v>17.80252791</v>
      </c>
      <c r="AX2428" s="331">
        <f>SQRT(($R2428-Infrastructure!J$5)^2+($S2428-Infrastructure!K$5)^2)</f>
        <v>5.10881591</v>
      </c>
      <c r="AY2428" s="331">
        <f>SQRT(($R2428-Infrastructure!J$6)^2+($S2428-Infrastructure!K$6)^2)</f>
        <v>10.10445446</v>
      </c>
      <c r="AZ2428" s="331">
        <f>SQRT(($R2428-Infrastructure!J$7)^2+($S2428-Infrastructure!K$7)^2)</f>
        <v>20.502195</v>
      </c>
      <c r="BA2428" s="331">
        <f>SQRT(($R2428-Infrastructure!J$8)^2+($S2428-Infrastructure!K$8)^2)</f>
        <v>30.10149498</v>
      </c>
      <c r="BB2428" s="331">
        <f>SQRT(($R2428-Infrastructure!J$9)^2+($S2428-Infrastructure!K$9)^2)</f>
        <v>40.3238143</v>
      </c>
      <c r="BC2428" s="331">
        <f>SQRT(($R2428-Infrastructure!J$10)^2+($S2428-Infrastructure!K$10)^2)</f>
        <v>42.72001873</v>
      </c>
      <c r="BD2428" s="331">
        <f>SQRT(($R2428-Infrastructure!J$11)^2+($S2428-Infrastructure!K$11)^2)</f>
        <v>49.56853841</v>
      </c>
      <c r="BE2428" s="333">
        <f>SQRT(($R2428-Infrastructure!J$12)^2+($S2428-Infrastructure!K$12)^2)</f>
        <v>59.51890456</v>
      </c>
      <c r="BF2428" s="330">
        <f t="shared" si="161"/>
        <v>5.10881591</v>
      </c>
      <c r="BG2428" s="333">
        <f t="shared" si="162"/>
        <v>59.51890456</v>
      </c>
      <c r="BH2428" s="1119"/>
      <c r="BI2428" s="319" t="str">
        <f t="shared" ref="BI2428:BR2428" si="1710">IF(ISNUMBER(FIND(BI$3, $CO2428)), "Y", "")</f>
        <v/>
      </c>
      <c r="BJ2428" s="319" t="str">
        <f t="shared" si="1710"/>
        <v/>
      </c>
      <c r="BK2428" s="319" t="str">
        <f t="shared" si="1710"/>
        <v/>
      </c>
      <c r="BL2428" s="319" t="str">
        <f t="shared" si="1710"/>
        <v/>
      </c>
      <c r="BM2428" s="319" t="str">
        <f t="shared" si="1710"/>
        <v/>
      </c>
      <c r="BN2428" s="319" t="str">
        <f t="shared" si="1710"/>
        <v/>
      </c>
      <c r="BO2428" s="319" t="str">
        <f t="shared" si="1710"/>
        <v/>
      </c>
      <c r="BP2428" s="319" t="str">
        <f t="shared" si="1710"/>
        <v/>
      </c>
      <c r="BQ2428" s="319" t="str">
        <f t="shared" si="1710"/>
        <v/>
      </c>
      <c r="BR2428" s="319" t="str">
        <f t="shared" si="1710"/>
        <v/>
      </c>
      <c r="BS2428" s="330">
        <f t="shared" si="185"/>
        <v>0</v>
      </c>
      <c r="BT2428" s="331">
        <f t="shared" si="170"/>
        <v>0</v>
      </c>
      <c r="BU2428" s="920"/>
      <c r="BV2428" s="903" t="str">
        <f t="shared" si="1244"/>
        <v/>
      </c>
      <c r="BW2428" s="908"/>
      <c r="BX2428" s="908"/>
      <c r="BY2428" s="331" t="b">
        <f t="shared" si="201"/>
        <v>0</v>
      </c>
      <c r="BZ2428" s="331"/>
      <c r="CA2428" s="462" t="str">
        <f t="shared" ref="CA2428:CJ2428" si="1711">IF(ISNUMBER(FIND(BI$3, $CP2428)), "Y", "")</f>
        <v/>
      </c>
      <c r="CB2428" s="319" t="str">
        <f t="shared" si="1711"/>
        <v/>
      </c>
      <c r="CC2428" s="319" t="str">
        <f t="shared" si="1711"/>
        <v/>
      </c>
      <c r="CD2428" s="319" t="str">
        <f t="shared" si="1711"/>
        <v/>
      </c>
      <c r="CE2428" s="319" t="str">
        <f t="shared" si="1711"/>
        <v/>
      </c>
      <c r="CF2428" s="319" t="str">
        <f t="shared" si="1711"/>
        <v/>
      </c>
      <c r="CG2428" s="319" t="str">
        <f t="shared" si="1711"/>
        <v/>
      </c>
      <c r="CH2428" s="319" t="str">
        <f t="shared" si="1711"/>
        <v/>
      </c>
      <c r="CI2428" s="319" t="str">
        <f t="shared" si="1711"/>
        <v/>
      </c>
      <c r="CJ2428" s="319" t="str">
        <f t="shared" si="1711"/>
        <v/>
      </c>
      <c r="CK2428" s="342">
        <f t="shared" si="182"/>
        <v>0</v>
      </c>
      <c r="CL2428" s="333">
        <f t="shared" si="183"/>
        <v>0</v>
      </c>
      <c r="CM2428" s="1079"/>
      <c r="CN2428" s="1005"/>
      <c r="CO2428" s="1005"/>
      <c r="CP2428" s="1005"/>
    </row>
    <row r="2429">
      <c r="A2429" s="1257"/>
      <c r="B2429" s="1113"/>
      <c r="C2429" s="1107"/>
      <c r="D2429" s="103"/>
      <c r="E2429" s="1137"/>
      <c r="F2429" s="112"/>
      <c r="G2429" s="1110"/>
      <c r="H2429" s="1138"/>
      <c r="I2429" s="1138"/>
      <c r="J2429" s="1139"/>
      <c r="K2429" s="1111"/>
      <c r="L2429" s="1112"/>
      <c r="M2429" s="1113"/>
      <c r="N2429" s="110"/>
      <c r="O2429" s="1140"/>
      <c r="P2429" s="1115"/>
      <c r="Q2429" s="1116"/>
      <c r="R2429" s="1141"/>
      <c r="S2429" s="1113"/>
      <c r="T2429" s="1143"/>
      <c r="U2429" s="1108"/>
      <c r="V2429" s="1108"/>
      <c r="W2429" s="1108"/>
      <c r="X2429" s="1108"/>
      <c r="Y2429" s="1108"/>
      <c r="Z2429" s="1114"/>
      <c r="AA2429" s="1114"/>
      <c r="AB2429" s="1114"/>
      <c r="AC2429" s="1117"/>
      <c r="AD2429" s="1115"/>
      <c r="AE2429" s="1115"/>
      <c r="AF2429" s="1115"/>
      <c r="AG2429" s="1115"/>
      <c r="AH2429" s="1115"/>
      <c r="AI2429" s="1115"/>
      <c r="AJ2429" s="1117"/>
      <c r="AK2429" s="1118"/>
      <c r="AL2429" s="1115"/>
      <c r="AM2429" s="1115"/>
      <c r="AN2429" s="1115"/>
      <c r="AO2429" s="1115"/>
      <c r="AP2429" s="1115"/>
      <c r="AQ2429" s="1115"/>
      <c r="AR2429" s="1115"/>
      <c r="AS2429" s="1117"/>
      <c r="AT2429" s="1196" t="str">
        <f t="shared" si="428"/>
        <v/>
      </c>
      <c r="AU2429" s="1193"/>
      <c r="AV2429" s="330">
        <f>SQRT(($R2429-Infrastructure!J$3)^2+($S2429-Infrastructure!K$3)^2)</f>
        <v>28.90155705</v>
      </c>
      <c r="AW2429" s="331">
        <f>SQRT(($R2429-Infrastructure!J$4)^2+($S2429-Infrastructure!K$4)^2)</f>
        <v>17.80252791</v>
      </c>
      <c r="AX2429" s="331">
        <f>SQRT(($R2429-Infrastructure!J$5)^2+($S2429-Infrastructure!K$5)^2)</f>
        <v>5.10881591</v>
      </c>
      <c r="AY2429" s="331">
        <f>SQRT(($R2429-Infrastructure!J$6)^2+($S2429-Infrastructure!K$6)^2)</f>
        <v>10.10445446</v>
      </c>
      <c r="AZ2429" s="331">
        <f>SQRT(($R2429-Infrastructure!J$7)^2+($S2429-Infrastructure!K$7)^2)</f>
        <v>20.502195</v>
      </c>
      <c r="BA2429" s="331">
        <f>SQRT(($R2429-Infrastructure!J$8)^2+($S2429-Infrastructure!K$8)^2)</f>
        <v>30.10149498</v>
      </c>
      <c r="BB2429" s="331">
        <f>SQRT(($R2429-Infrastructure!J$9)^2+($S2429-Infrastructure!K$9)^2)</f>
        <v>40.3238143</v>
      </c>
      <c r="BC2429" s="331">
        <f>SQRT(($R2429-Infrastructure!J$10)^2+($S2429-Infrastructure!K$10)^2)</f>
        <v>42.72001873</v>
      </c>
      <c r="BD2429" s="331">
        <f>SQRT(($R2429-Infrastructure!J$11)^2+($S2429-Infrastructure!K$11)^2)</f>
        <v>49.56853841</v>
      </c>
      <c r="BE2429" s="333">
        <f>SQRT(($R2429-Infrastructure!J$12)^2+($S2429-Infrastructure!K$12)^2)</f>
        <v>59.51890456</v>
      </c>
      <c r="BF2429" s="330">
        <f t="shared" si="161"/>
        <v>5.10881591</v>
      </c>
      <c r="BG2429" s="333">
        <f t="shared" si="162"/>
        <v>59.51890456</v>
      </c>
      <c r="BH2429" s="1119"/>
      <c r="BI2429" s="319" t="str">
        <f t="shared" ref="BI2429:BR2429" si="1712">IF(ISNUMBER(FIND(BI$3, $CO2429)), "Y", "")</f>
        <v/>
      </c>
      <c r="BJ2429" s="319" t="str">
        <f t="shared" si="1712"/>
        <v/>
      </c>
      <c r="BK2429" s="319" t="str">
        <f t="shared" si="1712"/>
        <v/>
      </c>
      <c r="BL2429" s="319" t="str">
        <f t="shared" si="1712"/>
        <v/>
      </c>
      <c r="BM2429" s="319" t="str">
        <f t="shared" si="1712"/>
        <v/>
      </c>
      <c r="BN2429" s="319" t="str">
        <f t="shared" si="1712"/>
        <v/>
      </c>
      <c r="BO2429" s="319" t="str">
        <f t="shared" si="1712"/>
        <v/>
      </c>
      <c r="BP2429" s="319" t="str">
        <f t="shared" si="1712"/>
        <v/>
      </c>
      <c r="BQ2429" s="319" t="str">
        <f t="shared" si="1712"/>
        <v/>
      </c>
      <c r="BR2429" s="319" t="str">
        <f t="shared" si="1712"/>
        <v/>
      </c>
      <c r="BS2429" s="330">
        <f t="shared" si="185"/>
        <v>0</v>
      </c>
      <c r="BT2429" s="331">
        <f t="shared" si="170"/>
        <v>0</v>
      </c>
      <c r="BU2429" s="920"/>
      <c r="BV2429" s="903" t="str">
        <f t="shared" si="1244"/>
        <v/>
      </c>
      <c r="BW2429" s="908"/>
      <c r="BX2429" s="908"/>
      <c r="BY2429" s="331" t="b">
        <f t="shared" si="201"/>
        <v>0</v>
      </c>
      <c r="BZ2429" s="331"/>
      <c r="CA2429" s="462" t="str">
        <f t="shared" ref="CA2429:CJ2429" si="1713">IF(ISNUMBER(FIND(BI$3, $CP2429)), "Y", "")</f>
        <v/>
      </c>
      <c r="CB2429" s="319" t="str">
        <f t="shared" si="1713"/>
        <v/>
      </c>
      <c r="CC2429" s="319" t="str">
        <f t="shared" si="1713"/>
        <v/>
      </c>
      <c r="CD2429" s="319" t="str">
        <f t="shared" si="1713"/>
        <v/>
      </c>
      <c r="CE2429" s="319" t="str">
        <f t="shared" si="1713"/>
        <v/>
      </c>
      <c r="CF2429" s="319" t="str">
        <f t="shared" si="1713"/>
        <v/>
      </c>
      <c r="CG2429" s="319" t="str">
        <f t="shared" si="1713"/>
        <v/>
      </c>
      <c r="CH2429" s="319" t="str">
        <f t="shared" si="1713"/>
        <v/>
      </c>
      <c r="CI2429" s="319" t="str">
        <f t="shared" si="1713"/>
        <v/>
      </c>
      <c r="CJ2429" s="319" t="str">
        <f t="shared" si="1713"/>
        <v/>
      </c>
      <c r="CK2429" s="342">
        <f t="shared" si="182"/>
        <v>0</v>
      </c>
      <c r="CL2429" s="333">
        <f t="shared" si="183"/>
        <v>0</v>
      </c>
      <c r="CM2429" s="1079"/>
      <c r="CN2429" s="1005"/>
      <c r="CO2429" s="1005"/>
      <c r="CP2429" s="1005"/>
    </row>
    <row r="2430">
      <c r="A2430" s="1257"/>
      <c r="B2430" s="1113"/>
      <c r="C2430" s="1107"/>
      <c r="D2430" s="103"/>
      <c r="E2430" s="1137"/>
      <c r="F2430" s="112"/>
      <c r="G2430" s="1110"/>
      <c r="H2430" s="1138"/>
      <c r="I2430" s="1138"/>
      <c r="J2430" s="1139"/>
      <c r="K2430" s="1111"/>
      <c r="L2430" s="1112"/>
      <c r="M2430" s="1113"/>
      <c r="N2430" s="110"/>
      <c r="O2430" s="1140"/>
      <c r="P2430" s="1115"/>
      <c r="Q2430" s="1116"/>
      <c r="R2430" s="1141"/>
      <c r="S2430" s="1113"/>
      <c r="T2430" s="1143"/>
      <c r="U2430" s="1108"/>
      <c r="V2430" s="1108"/>
      <c r="W2430" s="1108"/>
      <c r="X2430" s="1108"/>
      <c r="Y2430" s="1108"/>
      <c r="Z2430" s="1114"/>
      <c r="AA2430" s="1114"/>
      <c r="AB2430" s="1114"/>
      <c r="AC2430" s="1117"/>
      <c r="AD2430" s="1115"/>
      <c r="AE2430" s="1115"/>
      <c r="AF2430" s="1115"/>
      <c r="AG2430" s="1115"/>
      <c r="AH2430" s="1115"/>
      <c r="AI2430" s="1115"/>
      <c r="AJ2430" s="1117"/>
      <c r="AK2430" s="1118"/>
      <c r="AL2430" s="1115"/>
      <c r="AM2430" s="1115"/>
      <c r="AN2430" s="1115"/>
      <c r="AO2430" s="1115"/>
      <c r="AP2430" s="1115"/>
      <c r="AQ2430" s="1115"/>
      <c r="AR2430" s="1115"/>
      <c r="AS2430" s="1117"/>
      <c r="AT2430" s="1196" t="str">
        <f t="shared" si="428"/>
        <v/>
      </c>
      <c r="AU2430" s="1193"/>
      <c r="AV2430" s="330">
        <f>SQRT(($R2430-Infrastructure!J$3)^2+($S2430-Infrastructure!K$3)^2)</f>
        <v>28.90155705</v>
      </c>
      <c r="AW2430" s="331">
        <f>SQRT(($R2430-Infrastructure!J$4)^2+($S2430-Infrastructure!K$4)^2)</f>
        <v>17.80252791</v>
      </c>
      <c r="AX2430" s="331">
        <f>SQRT(($R2430-Infrastructure!J$5)^2+($S2430-Infrastructure!K$5)^2)</f>
        <v>5.10881591</v>
      </c>
      <c r="AY2430" s="331">
        <f>SQRT(($R2430-Infrastructure!J$6)^2+($S2430-Infrastructure!K$6)^2)</f>
        <v>10.10445446</v>
      </c>
      <c r="AZ2430" s="331">
        <f>SQRT(($R2430-Infrastructure!J$7)^2+($S2430-Infrastructure!K$7)^2)</f>
        <v>20.502195</v>
      </c>
      <c r="BA2430" s="331">
        <f>SQRT(($R2430-Infrastructure!J$8)^2+($S2430-Infrastructure!K$8)^2)</f>
        <v>30.10149498</v>
      </c>
      <c r="BB2430" s="331">
        <f>SQRT(($R2430-Infrastructure!J$9)^2+($S2430-Infrastructure!K$9)^2)</f>
        <v>40.3238143</v>
      </c>
      <c r="BC2430" s="331">
        <f>SQRT(($R2430-Infrastructure!J$10)^2+($S2430-Infrastructure!K$10)^2)</f>
        <v>42.72001873</v>
      </c>
      <c r="BD2430" s="331">
        <f>SQRT(($R2430-Infrastructure!J$11)^2+($S2430-Infrastructure!K$11)^2)</f>
        <v>49.56853841</v>
      </c>
      <c r="BE2430" s="333">
        <f>SQRT(($R2430-Infrastructure!J$12)^2+($S2430-Infrastructure!K$12)^2)</f>
        <v>59.51890456</v>
      </c>
      <c r="BF2430" s="330">
        <f t="shared" si="161"/>
        <v>5.10881591</v>
      </c>
      <c r="BG2430" s="333">
        <f t="shared" si="162"/>
        <v>59.51890456</v>
      </c>
      <c r="BH2430" s="1119"/>
      <c r="BI2430" s="319" t="str">
        <f t="shared" ref="BI2430:BR2430" si="1714">IF(ISNUMBER(FIND(BI$3, $CO2430)), "Y", "")</f>
        <v/>
      </c>
      <c r="BJ2430" s="319" t="str">
        <f t="shared" si="1714"/>
        <v/>
      </c>
      <c r="BK2430" s="319" t="str">
        <f t="shared" si="1714"/>
        <v/>
      </c>
      <c r="BL2430" s="319" t="str">
        <f t="shared" si="1714"/>
        <v/>
      </c>
      <c r="BM2430" s="319" t="str">
        <f t="shared" si="1714"/>
        <v/>
      </c>
      <c r="BN2430" s="319" t="str">
        <f t="shared" si="1714"/>
        <v/>
      </c>
      <c r="BO2430" s="319" t="str">
        <f t="shared" si="1714"/>
        <v/>
      </c>
      <c r="BP2430" s="319" t="str">
        <f t="shared" si="1714"/>
        <v/>
      </c>
      <c r="BQ2430" s="319" t="str">
        <f t="shared" si="1714"/>
        <v/>
      </c>
      <c r="BR2430" s="319" t="str">
        <f t="shared" si="1714"/>
        <v/>
      </c>
      <c r="BS2430" s="330">
        <f t="shared" si="185"/>
        <v>0</v>
      </c>
      <c r="BT2430" s="331">
        <f t="shared" si="170"/>
        <v>0</v>
      </c>
      <c r="BU2430" s="920"/>
      <c r="BV2430" s="903" t="str">
        <f t="shared" si="1244"/>
        <v/>
      </c>
      <c r="BW2430" s="908"/>
      <c r="BX2430" s="908"/>
      <c r="BY2430" s="331" t="b">
        <f t="shared" si="201"/>
        <v>0</v>
      </c>
      <c r="BZ2430" s="331"/>
      <c r="CA2430" s="462" t="str">
        <f t="shared" ref="CA2430:CJ2430" si="1715">IF(ISNUMBER(FIND(BI$3, $CP2430)), "Y", "")</f>
        <v/>
      </c>
      <c r="CB2430" s="319" t="str">
        <f t="shared" si="1715"/>
        <v/>
      </c>
      <c r="CC2430" s="319" t="str">
        <f t="shared" si="1715"/>
        <v/>
      </c>
      <c r="CD2430" s="319" t="str">
        <f t="shared" si="1715"/>
        <v/>
      </c>
      <c r="CE2430" s="319" t="str">
        <f t="shared" si="1715"/>
        <v/>
      </c>
      <c r="CF2430" s="319" t="str">
        <f t="shared" si="1715"/>
        <v/>
      </c>
      <c r="CG2430" s="319" t="str">
        <f t="shared" si="1715"/>
        <v/>
      </c>
      <c r="CH2430" s="319" t="str">
        <f t="shared" si="1715"/>
        <v/>
      </c>
      <c r="CI2430" s="319" t="str">
        <f t="shared" si="1715"/>
        <v/>
      </c>
      <c r="CJ2430" s="319" t="str">
        <f t="shared" si="1715"/>
        <v/>
      </c>
      <c r="CK2430" s="342">
        <f t="shared" si="182"/>
        <v>0</v>
      </c>
      <c r="CL2430" s="333">
        <f t="shared" si="183"/>
        <v>0</v>
      </c>
      <c r="CM2430" s="1079"/>
      <c r="CN2430" s="1005"/>
      <c r="CO2430" s="1005"/>
      <c r="CP2430" s="1005"/>
    </row>
    <row r="2431">
      <c r="A2431" s="1257"/>
      <c r="B2431" s="1113"/>
      <c r="C2431" s="1107"/>
      <c r="D2431" s="103"/>
      <c r="E2431" s="1137"/>
      <c r="F2431" s="112"/>
      <c r="G2431" s="1110"/>
      <c r="H2431" s="1138"/>
      <c r="I2431" s="1138"/>
      <c r="J2431" s="1139"/>
      <c r="K2431" s="1111"/>
      <c r="L2431" s="1112"/>
      <c r="M2431" s="1113"/>
      <c r="N2431" s="110"/>
      <c r="O2431" s="1140"/>
      <c r="P2431" s="1115"/>
      <c r="Q2431" s="1116"/>
      <c r="R2431" s="1141"/>
      <c r="S2431" s="1113"/>
      <c r="T2431" s="1143"/>
      <c r="U2431" s="1108"/>
      <c r="V2431" s="1108"/>
      <c r="W2431" s="1108"/>
      <c r="X2431" s="1108"/>
      <c r="Y2431" s="1108"/>
      <c r="Z2431" s="1114"/>
      <c r="AA2431" s="1114"/>
      <c r="AB2431" s="1114"/>
      <c r="AC2431" s="1117"/>
      <c r="AD2431" s="1115"/>
      <c r="AE2431" s="1115"/>
      <c r="AF2431" s="1115"/>
      <c r="AG2431" s="1115"/>
      <c r="AH2431" s="1115"/>
      <c r="AI2431" s="1115"/>
      <c r="AJ2431" s="1117"/>
      <c r="AK2431" s="1118"/>
      <c r="AL2431" s="1115"/>
      <c r="AM2431" s="1115"/>
      <c r="AN2431" s="1115"/>
      <c r="AO2431" s="1115"/>
      <c r="AP2431" s="1115"/>
      <c r="AQ2431" s="1115"/>
      <c r="AR2431" s="1115"/>
      <c r="AS2431" s="1117"/>
      <c r="AT2431" s="1196" t="str">
        <f t="shared" si="428"/>
        <v/>
      </c>
      <c r="AU2431" s="1193"/>
      <c r="AV2431" s="330">
        <f>SQRT(($R2431-Infrastructure!J$3)^2+($S2431-Infrastructure!K$3)^2)</f>
        <v>28.90155705</v>
      </c>
      <c r="AW2431" s="331">
        <f>SQRT(($R2431-Infrastructure!J$4)^2+($S2431-Infrastructure!K$4)^2)</f>
        <v>17.80252791</v>
      </c>
      <c r="AX2431" s="331">
        <f>SQRT(($R2431-Infrastructure!J$5)^2+($S2431-Infrastructure!K$5)^2)</f>
        <v>5.10881591</v>
      </c>
      <c r="AY2431" s="331">
        <f>SQRT(($R2431-Infrastructure!J$6)^2+($S2431-Infrastructure!K$6)^2)</f>
        <v>10.10445446</v>
      </c>
      <c r="AZ2431" s="331">
        <f>SQRT(($R2431-Infrastructure!J$7)^2+($S2431-Infrastructure!K$7)^2)</f>
        <v>20.502195</v>
      </c>
      <c r="BA2431" s="331">
        <f>SQRT(($R2431-Infrastructure!J$8)^2+($S2431-Infrastructure!K$8)^2)</f>
        <v>30.10149498</v>
      </c>
      <c r="BB2431" s="331">
        <f>SQRT(($R2431-Infrastructure!J$9)^2+($S2431-Infrastructure!K$9)^2)</f>
        <v>40.3238143</v>
      </c>
      <c r="BC2431" s="331">
        <f>SQRT(($R2431-Infrastructure!J$10)^2+($S2431-Infrastructure!K$10)^2)</f>
        <v>42.72001873</v>
      </c>
      <c r="BD2431" s="331">
        <f>SQRT(($R2431-Infrastructure!J$11)^2+($S2431-Infrastructure!K$11)^2)</f>
        <v>49.56853841</v>
      </c>
      <c r="BE2431" s="333">
        <f>SQRT(($R2431-Infrastructure!J$12)^2+($S2431-Infrastructure!K$12)^2)</f>
        <v>59.51890456</v>
      </c>
      <c r="BF2431" s="330">
        <f t="shared" si="161"/>
        <v>5.10881591</v>
      </c>
      <c r="BG2431" s="333">
        <f t="shared" si="162"/>
        <v>59.51890456</v>
      </c>
      <c r="BH2431" s="1119"/>
      <c r="BI2431" s="319" t="str">
        <f t="shared" ref="BI2431:BR2431" si="1716">IF(ISNUMBER(FIND(BI$3, $CO2431)), "Y", "")</f>
        <v/>
      </c>
      <c r="BJ2431" s="319" t="str">
        <f t="shared" si="1716"/>
        <v/>
      </c>
      <c r="BK2431" s="319" t="str">
        <f t="shared" si="1716"/>
        <v/>
      </c>
      <c r="BL2431" s="319" t="str">
        <f t="shared" si="1716"/>
        <v/>
      </c>
      <c r="BM2431" s="319" t="str">
        <f t="shared" si="1716"/>
        <v/>
      </c>
      <c r="BN2431" s="319" t="str">
        <f t="shared" si="1716"/>
        <v/>
      </c>
      <c r="BO2431" s="319" t="str">
        <f t="shared" si="1716"/>
        <v/>
      </c>
      <c r="BP2431" s="319" t="str">
        <f t="shared" si="1716"/>
        <v/>
      </c>
      <c r="BQ2431" s="319" t="str">
        <f t="shared" si="1716"/>
        <v/>
      </c>
      <c r="BR2431" s="319" t="str">
        <f t="shared" si="1716"/>
        <v/>
      </c>
      <c r="BS2431" s="330">
        <f t="shared" si="185"/>
        <v>0</v>
      </c>
      <c r="BT2431" s="331">
        <f t="shared" si="170"/>
        <v>0</v>
      </c>
      <c r="BU2431" s="920"/>
      <c r="BV2431" s="903" t="str">
        <f t="shared" si="1244"/>
        <v/>
      </c>
      <c r="BW2431" s="908"/>
      <c r="BX2431" s="908"/>
      <c r="BY2431" s="331" t="b">
        <f t="shared" si="201"/>
        <v>0</v>
      </c>
      <c r="BZ2431" s="331"/>
      <c r="CA2431" s="462" t="str">
        <f t="shared" ref="CA2431:CJ2431" si="1717">IF(ISNUMBER(FIND(BI$3, $CP2431)), "Y", "")</f>
        <v/>
      </c>
      <c r="CB2431" s="319" t="str">
        <f t="shared" si="1717"/>
        <v/>
      </c>
      <c r="CC2431" s="319" t="str">
        <f t="shared" si="1717"/>
        <v/>
      </c>
      <c r="CD2431" s="319" t="str">
        <f t="shared" si="1717"/>
        <v/>
      </c>
      <c r="CE2431" s="319" t="str">
        <f t="shared" si="1717"/>
        <v/>
      </c>
      <c r="CF2431" s="319" t="str">
        <f t="shared" si="1717"/>
        <v/>
      </c>
      <c r="CG2431" s="319" t="str">
        <f t="shared" si="1717"/>
        <v/>
      </c>
      <c r="CH2431" s="319" t="str">
        <f t="shared" si="1717"/>
        <v/>
      </c>
      <c r="CI2431" s="319" t="str">
        <f t="shared" si="1717"/>
        <v/>
      </c>
      <c r="CJ2431" s="319" t="str">
        <f t="shared" si="1717"/>
        <v/>
      </c>
      <c r="CK2431" s="342">
        <f t="shared" si="182"/>
        <v>0</v>
      </c>
      <c r="CL2431" s="333">
        <f t="shared" si="183"/>
        <v>0</v>
      </c>
      <c r="CM2431" s="1079"/>
      <c r="CN2431" s="1005"/>
      <c r="CO2431" s="1005"/>
      <c r="CP2431" s="1005"/>
    </row>
    <row r="2432">
      <c r="A2432" s="1257"/>
      <c r="B2432" s="1113"/>
      <c r="C2432" s="1107"/>
      <c r="D2432" s="103"/>
      <c r="E2432" s="1137"/>
      <c r="F2432" s="112"/>
      <c r="G2432" s="1110"/>
      <c r="H2432" s="1138"/>
      <c r="I2432" s="1138"/>
      <c r="J2432" s="1139"/>
      <c r="K2432" s="1111"/>
      <c r="L2432" s="1112"/>
      <c r="M2432" s="1113"/>
      <c r="N2432" s="110"/>
      <c r="O2432" s="1140"/>
      <c r="P2432" s="1115"/>
      <c r="Q2432" s="1116"/>
      <c r="R2432" s="1141"/>
      <c r="S2432" s="1113"/>
      <c r="T2432" s="1143"/>
      <c r="U2432" s="1108"/>
      <c r="V2432" s="1108"/>
      <c r="W2432" s="1108"/>
      <c r="X2432" s="1108"/>
      <c r="Y2432" s="1108"/>
      <c r="Z2432" s="1114"/>
      <c r="AA2432" s="1114"/>
      <c r="AB2432" s="1114"/>
      <c r="AC2432" s="1117"/>
      <c r="AD2432" s="1115"/>
      <c r="AE2432" s="1115"/>
      <c r="AF2432" s="1115"/>
      <c r="AG2432" s="1115"/>
      <c r="AH2432" s="1115"/>
      <c r="AI2432" s="1115"/>
      <c r="AJ2432" s="1117"/>
      <c r="AK2432" s="1118"/>
      <c r="AL2432" s="1115"/>
      <c r="AM2432" s="1115"/>
      <c r="AN2432" s="1115"/>
      <c r="AO2432" s="1115"/>
      <c r="AP2432" s="1115"/>
      <c r="AQ2432" s="1115"/>
      <c r="AR2432" s="1115"/>
      <c r="AS2432" s="1117"/>
      <c r="AT2432" s="1196" t="str">
        <f t="shared" si="428"/>
        <v/>
      </c>
      <c r="AU2432" s="1193"/>
      <c r="AV2432" s="330">
        <f>SQRT(($R2432-Infrastructure!J$3)^2+($S2432-Infrastructure!K$3)^2)</f>
        <v>28.90155705</v>
      </c>
      <c r="AW2432" s="331">
        <f>SQRT(($R2432-Infrastructure!J$4)^2+($S2432-Infrastructure!K$4)^2)</f>
        <v>17.80252791</v>
      </c>
      <c r="AX2432" s="331">
        <f>SQRT(($R2432-Infrastructure!J$5)^2+($S2432-Infrastructure!K$5)^2)</f>
        <v>5.10881591</v>
      </c>
      <c r="AY2432" s="331">
        <f>SQRT(($R2432-Infrastructure!J$6)^2+($S2432-Infrastructure!K$6)^2)</f>
        <v>10.10445446</v>
      </c>
      <c r="AZ2432" s="331">
        <f>SQRT(($R2432-Infrastructure!J$7)^2+($S2432-Infrastructure!K$7)^2)</f>
        <v>20.502195</v>
      </c>
      <c r="BA2432" s="331">
        <f>SQRT(($R2432-Infrastructure!J$8)^2+($S2432-Infrastructure!K$8)^2)</f>
        <v>30.10149498</v>
      </c>
      <c r="BB2432" s="331">
        <f>SQRT(($R2432-Infrastructure!J$9)^2+($S2432-Infrastructure!K$9)^2)</f>
        <v>40.3238143</v>
      </c>
      <c r="BC2432" s="331">
        <f>SQRT(($R2432-Infrastructure!J$10)^2+($S2432-Infrastructure!K$10)^2)</f>
        <v>42.72001873</v>
      </c>
      <c r="BD2432" s="331">
        <f>SQRT(($R2432-Infrastructure!J$11)^2+($S2432-Infrastructure!K$11)^2)</f>
        <v>49.56853841</v>
      </c>
      <c r="BE2432" s="333">
        <f>SQRT(($R2432-Infrastructure!J$12)^2+($S2432-Infrastructure!K$12)^2)</f>
        <v>59.51890456</v>
      </c>
      <c r="BF2432" s="330">
        <f t="shared" si="161"/>
        <v>5.10881591</v>
      </c>
      <c r="BG2432" s="333">
        <f t="shared" si="162"/>
        <v>59.51890456</v>
      </c>
      <c r="BH2432" s="1119"/>
      <c r="BI2432" s="319" t="str">
        <f t="shared" ref="BI2432:BR2432" si="1718">IF(ISNUMBER(FIND(BI$3, $CO2432)), "Y", "")</f>
        <v/>
      </c>
      <c r="BJ2432" s="319" t="str">
        <f t="shared" si="1718"/>
        <v/>
      </c>
      <c r="BK2432" s="319" t="str">
        <f t="shared" si="1718"/>
        <v/>
      </c>
      <c r="BL2432" s="319" t="str">
        <f t="shared" si="1718"/>
        <v/>
      </c>
      <c r="BM2432" s="319" t="str">
        <f t="shared" si="1718"/>
        <v/>
      </c>
      <c r="BN2432" s="319" t="str">
        <f t="shared" si="1718"/>
        <v/>
      </c>
      <c r="BO2432" s="319" t="str">
        <f t="shared" si="1718"/>
        <v/>
      </c>
      <c r="BP2432" s="319" t="str">
        <f t="shared" si="1718"/>
        <v/>
      </c>
      <c r="BQ2432" s="319" t="str">
        <f t="shared" si="1718"/>
        <v/>
      </c>
      <c r="BR2432" s="319" t="str">
        <f t="shared" si="1718"/>
        <v/>
      </c>
      <c r="BS2432" s="330">
        <f t="shared" si="185"/>
        <v>0</v>
      </c>
      <c r="BT2432" s="331">
        <f t="shared" si="170"/>
        <v>0</v>
      </c>
      <c r="BU2432" s="920"/>
      <c r="BV2432" s="903" t="str">
        <f t="shared" si="1244"/>
        <v/>
      </c>
      <c r="BW2432" s="908"/>
      <c r="BX2432" s="908"/>
      <c r="BY2432" s="331" t="b">
        <f t="shared" si="201"/>
        <v>0</v>
      </c>
      <c r="BZ2432" s="331"/>
      <c r="CA2432" s="462" t="str">
        <f t="shared" ref="CA2432:CJ2432" si="1719">IF(ISNUMBER(FIND(BI$3, $CP2432)), "Y", "")</f>
        <v/>
      </c>
      <c r="CB2432" s="319" t="str">
        <f t="shared" si="1719"/>
        <v/>
      </c>
      <c r="CC2432" s="319" t="str">
        <f t="shared" si="1719"/>
        <v/>
      </c>
      <c r="CD2432" s="319" t="str">
        <f t="shared" si="1719"/>
        <v/>
      </c>
      <c r="CE2432" s="319" t="str">
        <f t="shared" si="1719"/>
        <v/>
      </c>
      <c r="CF2432" s="319" t="str">
        <f t="shared" si="1719"/>
        <v/>
      </c>
      <c r="CG2432" s="319" t="str">
        <f t="shared" si="1719"/>
        <v/>
      </c>
      <c r="CH2432" s="319" t="str">
        <f t="shared" si="1719"/>
        <v/>
      </c>
      <c r="CI2432" s="319" t="str">
        <f t="shared" si="1719"/>
        <v/>
      </c>
      <c r="CJ2432" s="319" t="str">
        <f t="shared" si="1719"/>
        <v/>
      </c>
      <c r="CK2432" s="342">
        <f t="shared" si="182"/>
        <v>0</v>
      </c>
      <c r="CL2432" s="333">
        <f t="shared" si="183"/>
        <v>0</v>
      </c>
      <c r="CM2432" s="1079"/>
      <c r="CN2432" s="1005"/>
      <c r="CO2432" s="1005"/>
      <c r="CP2432" s="1005"/>
    </row>
    <row r="2433">
      <c r="A2433" s="1257"/>
      <c r="B2433" s="1113"/>
      <c r="C2433" s="1107"/>
      <c r="D2433" s="103"/>
      <c r="E2433" s="1137"/>
      <c r="F2433" s="112"/>
      <c r="G2433" s="1110"/>
      <c r="H2433" s="1138"/>
      <c r="I2433" s="1138"/>
      <c r="J2433" s="1139"/>
      <c r="K2433" s="1111"/>
      <c r="L2433" s="1112"/>
      <c r="M2433" s="1113"/>
      <c r="N2433" s="110"/>
      <c r="O2433" s="1140"/>
      <c r="P2433" s="1115"/>
      <c r="Q2433" s="1116"/>
      <c r="R2433" s="1141"/>
      <c r="S2433" s="1113"/>
      <c r="T2433" s="1143"/>
      <c r="U2433" s="1108"/>
      <c r="V2433" s="1108"/>
      <c r="W2433" s="1108"/>
      <c r="X2433" s="1108"/>
      <c r="Y2433" s="1108"/>
      <c r="Z2433" s="1114"/>
      <c r="AA2433" s="1114"/>
      <c r="AB2433" s="1114"/>
      <c r="AC2433" s="1117"/>
      <c r="AD2433" s="1115"/>
      <c r="AE2433" s="1115"/>
      <c r="AF2433" s="1115"/>
      <c r="AG2433" s="1115"/>
      <c r="AH2433" s="1115"/>
      <c r="AI2433" s="1115"/>
      <c r="AJ2433" s="1117"/>
      <c r="AK2433" s="1118"/>
      <c r="AL2433" s="1115"/>
      <c r="AM2433" s="1115"/>
      <c r="AN2433" s="1115"/>
      <c r="AO2433" s="1115"/>
      <c r="AP2433" s="1115"/>
      <c r="AQ2433" s="1115"/>
      <c r="AR2433" s="1115"/>
      <c r="AS2433" s="1117"/>
      <c r="AT2433" s="1196" t="str">
        <f t="shared" si="428"/>
        <v/>
      </c>
      <c r="AU2433" s="1193"/>
      <c r="AV2433" s="330">
        <f>SQRT(($R2433-Infrastructure!J$3)^2+($S2433-Infrastructure!K$3)^2)</f>
        <v>28.90155705</v>
      </c>
      <c r="AW2433" s="331">
        <f>SQRT(($R2433-Infrastructure!J$4)^2+($S2433-Infrastructure!K$4)^2)</f>
        <v>17.80252791</v>
      </c>
      <c r="AX2433" s="331">
        <f>SQRT(($R2433-Infrastructure!J$5)^2+($S2433-Infrastructure!K$5)^2)</f>
        <v>5.10881591</v>
      </c>
      <c r="AY2433" s="331">
        <f>SQRT(($R2433-Infrastructure!J$6)^2+($S2433-Infrastructure!K$6)^2)</f>
        <v>10.10445446</v>
      </c>
      <c r="AZ2433" s="331">
        <f>SQRT(($R2433-Infrastructure!J$7)^2+($S2433-Infrastructure!K$7)^2)</f>
        <v>20.502195</v>
      </c>
      <c r="BA2433" s="331">
        <f>SQRT(($R2433-Infrastructure!J$8)^2+($S2433-Infrastructure!K$8)^2)</f>
        <v>30.10149498</v>
      </c>
      <c r="BB2433" s="331">
        <f>SQRT(($R2433-Infrastructure!J$9)^2+($S2433-Infrastructure!K$9)^2)</f>
        <v>40.3238143</v>
      </c>
      <c r="BC2433" s="331">
        <f>SQRT(($R2433-Infrastructure!J$10)^2+($S2433-Infrastructure!K$10)^2)</f>
        <v>42.72001873</v>
      </c>
      <c r="BD2433" s="331">
        <f>SQRT(($R2433-Infrastructure!J$11)^2+($S2433-Infrastructure!K$11)^2)</f>
        <v>49.56853841</v>
      </c>
      <c r="BE2433" s="333">
        <f>SQRT(($R2433-Infrastructure!J$12)^2+($S2433-Infrastructure!K$12)^2)</f>
        <v>59.51890456</v>
      </c>
      <c r="BF2433" s="330">
        <f t="shared" si="161"/>
        <v>5.10881591</v>
      </c>
      <c r="BG2433" s="333">
        <f t="shared" si="162"/>
        <v>59.51890456</v>
      </c>
      <c r="BH2433" s="1119"/>
      <c r="BI2433" s="319" t="str">
        <f t="shared" ref="BI2433:BR2433" si="1720">IF(ISNUMBER(FIND(BI$3, $CO2433)), "Y", "")</f>
        <v/>
      </c>
      <c r="BJ2433" s="319" t="str">
        <f t="shared" si="1720"/>
        <v/>
      </c>
      <c r="BK2433" s="319" t="str">
        <f t="shared" si="1720"/>
        <v/>
      </c>
      <c r="BL2433" s="319" t="str">
        <f t="shared" si="1720"/>
        <v/>
      </c>
      <c r="BM2433" s="319" t="str">
        <f t="shared" si="1720"/>
        <v/>
      </c>
      <c r="BN2433" s="319" t="str">
        <f t="shared" si="1720"/>
        <v/>
      </c>
      <c r="BO2433" s="319" t="str">
        <f t="shared" si="1720"/>
        <v/>
      </c>
      <c r="BP2433" s="319" t="str">
        <f t="shared" si="1720"/>
        <v/>
      </c>
      <c r="BQ2433" s="319" t="str">
        <f t="shared" si="1720"/>
        <v/>
      </c>
      <c r="BR2433" s="319" t="str">
        <f t="shared" si="1720"/>
        <v/>
      </c>
      <c r="BS2433" s="330">
        <f t="shared" si="185"/>
        <v>0</v>
      </c>
      <c r="BT2433" s="331">
        <f t="shared" si="170"/>
        <v>0</v>
      </c>
      <c r="BU2433" s="920"/>
      <c r="BV2433" s="903" t="str">
        <f t="shared" si="1244"/>
        <v/>
      </c>
      <c r="BW2433" s="908"/>
      <c r="BX2433" s="908"/>
      <c r="BY2433" s="331" t="b">
        <f t="shared" si="201"/>
        <v>0</v>
      </c>
      <c r="BZ2433" s="331"/>
      <c r="CA2433" s="462" t="str">
        <f t="shared" ref="CA2433:CJ2433" si="1721">IF(ISNUMBER(FIND(BI$3, $CP2433)), "Y", "")</f>
        <v/>
      </c>
      <c r="CB2433" s="319" t="str">
        <f t="shared" si="1721"/>
        <v/>
      </c>
      <c r="CC2433" s="319" t="str">
        <f t="shared" si="1721"/>
        <v/>
      </c>
      <c r="CD2433" s="319" t="str">
        <f t="shared" si="1721"/>
        <v/>
      </c>
      <c r="CE2433" s="319" t="str">
        <f t="shared" si="1721"/>
        <v/>
      </c>
      <c r="CF2433" s="319" t="str">
        <f t="shared" si="1721"/>
        <v/>
      </c>
      <c r="CG2433" s="319" t="str">
        <f t="shared" si="1721"/>
        <v/>
      </c>
      <c r="CH2433" s="319" t="str">
        <f t="shared" si="1721"/>
        <v/>
      </c>
      <c r="CI2433" s="319" t="str">
        <f t="shared" si="1721"/>
        <v/>
      </c>
      <c r="CJ2433" s="319" t="str">
        <f t="shared" si="1721"/>
        <v/>
      </c>
      <c r="CK2433" s="342">
        <f t="shared" si="182"/>
        <v>0</v>
      </c>
      <c r="CL2433" s="333">
        <f t="shared" si="183"/>
        <v>0</v>
      </c>
      <c r="CM2433" s="1079"/>
      <c r="CN2433" s="1005"/>
      <c r="CO2433" s="1005"/>
      <c r="CP2433" s="1005"/>
    </row>
    <row r="2434">
      <c r="A2434" s="1257"/>
      <c r="B2434" s="1113"/>
      <c r="C2434" s="1107"/>
      <c r="D2434" s="103"/>
      <c r="E2434" s="1137"/>
      <c r="F2434" s="112"/>
      <c r="G2434" s="1110"/>
      <c r="H2434" s="1138"/>
      <c r="I2434" s="1138"/>
      <c r="J2434" s="1139"/>
      <c r="K2434" s="1111"/>
      <c r="L2434" s="1112"/>
      <c r="M2434" s="1113"/>
      <c r="N2434" s="110"/>
      <c r="O2434" s="1140"/>
      <c r="P2434" s="1115"/>
      <c r="Q2434" s="1116"/>
      <c r="R2434" s="1141"/>
      <c r="S2434" s="1113"/>
      <c r="T2434" s="1143"/>
      <c r="U2434" s="1108"/>
      <c r="V2434" s="1108"/>
      <c r="W2434" s="1108"/>
      <c r="X2434" s="1108"/>
      <c r="Y2434" s="1108"/>
      <c r="Z2434" s="1114"/>
      <c r="AA2434" s="1114"/>
      <c r="AB2434" s="1114"/>
      <c r="AC2434" s="1117"/>
      <c r="AD2434" s="1115"/>
      <c r="AE2434" s="1115"/>
      <c r="AF2434" s="1115"/>
      <c r="AG2434" s="1115"/>
      <c r="AH2434" s="1115"/>
      <c r="AI2434" s="1115"/>
      <c r="AJ2434" s="1117"/>
      <c r="AK2434" s="1118"/>
      <c r="AL2434" s="1115"/>
      <c r="AM2434" s="1115"/>
      <c r="AN2434" s="1115"/>
      <c r="AO2434" s="1115"/>
      <c r="AP2434" s="1115"/>
      <c r="AQ2434" s="1115"/>
      <c r="AR2434" s="1115"/>
      <c r="AS2434" s="1117"/>
      <c r="AT2434" s="1196" t="str">
        <f t="shared" si="428"/>
        <v/>
      </c>
      <c r="AU2434" s="1193"/>
      <c r="AV2434" s="330">
        <f>SQRT(($R2434-Infrastructure!J$3)^2+($S2434-Infrastructure!K$3)^2)</f>
        <v>28.90155705</v>
      </c>
      <c r="AW2434" s="331">
        <f>SQRT(($R2434-Infrastructure!J$4)^2+($S2434-Infrastructure!K$4)^2)</f>
        <v>17.80252791</v>
      </c>
      <c r="AX2434" s="331">
        <f>SQRT(($R2434-Infrastructure!J$5)^2+($S2434-Infrastructure!K$5)^2)</f>
        <v>5.10881591</v>
      </c>
      <c r="AY2434" s="331">
        <f>SQRT(($R2434-Infrastructure!J$6)^2+($S2434-Infrastructure!K$6)^2)</f>
        <v>10.10445446</v>
      </c>
      <c r="AZ2434" s="331">
        <f>SQRT(($R2434-Infrastructure!J$7)^2+($S2434-Infrastructure!K$7)^2)</f>
        <v>20.502195</v>
      </c>
      <c r="BA2434" s="331">
        <f>SQRT(($R2434-Infrastructure!J$8)^2+($S2434-Infrastructure!K$8)^2)</f>
        <v>30.10149498</v>
      </c>
      <c r="BB2434" s="331">
        <f>SQRT(($R2434-Infrastructure!J$9)^2+($S2434-Infrastructure!K$9)^2)</f>
        <v>40.3238143</v>
      </c>
      <c r="BC2434" s="331">
        <f>SQRT(($R2434-Infrastructure!J$10)^2+($S2434-Infrastructure!K$10)^2)</f>
        <v>42.72001873</v>
      </c>
      <c r="BD2434" s="331">
        <f>SQRT(($R2434-Infrastructure!J$11)^2+($S2434-Infrastructure!K$11)^2)</f>
        <v>49.56853841</v>
      </c>
      <c r="BE2434" s="333">
        <f>SQRT(($R2434-Infrastructure!J$12)^2+($S2434-Infrastructure!K$12)^2)</f>
        <v>59.51890456</v>
      </c>
      <c r="BF2434" s="330">
        <f t="shared" si="161"/>
        <v>5.10881591</v>
      </c>
      <c r="BG2434" s="333">
        <f t="shared" si="162"/>
        <v>59.51890456</v>
      </c>
      <c r="BH2434" s="1119"/>
      <c r="BI2434" s="319" t="str">
        <f t="shared" ref="BI2434:BR2434" si="1722">IF(ISNUMBER(FIND(BI$3, $CO2434)), "Y", "")</f>
        <v/>
      </c>
      <c r="BJ2434" s="319" t="str">
        <f t="shared" si="1722"/>
        <v/>
      </c>
      <c r="BK2434" s="319" t="str">
        <f t="shared" si="1722"/>
        <v/>
      </c>
      <c r="BL2434" s="319" t="str">
        <f t="shared" si="1722"/>
        <v/>
      </c>
      <c r="BM2434" s="319" t="str">
        <f t="shared" si="1722"/>
        <v/>
      </c>
      <c r="BN2434" s="319" t="str">
        <f t="shared" si="1722"/>
        <v/>
      </c>
      <c r="BO2434" s="319" t="str">
        <f t="shared" si="1722"/>
        <v/>
      </c>
      <c r="BP2434" s="319" t="str">
        <f t="shared" si="1722"/>
        <v/>
      </c>
      <c r="BQ2434" s="319" t="str">
        <f t="shared" si="1722"/>
        <v/>
      </c>
      <c r="BR2434" s="319" t="str">
        <f t="shared" si="1722"/>
        <v/>
      </c>
      <c r="BS2434" s="330">
        <f t="shared" si="185"/>
        <v>0</v>
      </c>
      <c r="BT2434" s="331">
        <f t="shared" si="170"/>
        <v>0</v>
      </c>
      <c r="BU2434" s="920"/>
      <c r="BV2434" s="903" t="str">
        <f t="shared" si="1244"/>
        <v/>
      </c>
      <c r="BW2434" s="908"/>
      <c r="BX2434" s="908"/>
      <c r="BY2434" s="331" t="b">
        <f t="shared" si="201"/>
        <v>0</v>
      </c>
      <c r="BZ2434" s="331"/>
      <c r="CA2434" s="462" t="str">
        <f t="shared" ref="CA2434:CJ2434" si="1723">IF(ISNUMBER(FIND(BI$3, $CP2434)), "Y", "")</f>
        <v/>
      </c>
      <c r="CB2434" s="319" t="str">
        <f t="shared" si="1723"/>
        <v/>
      </c>
      <c r="CC2434" s="319" t="str">
        <f t="shared" si="1723"/>
        <v/>
      </c>
      <c r="CD2434" s="319" t="str">
        <f t="shared" si="1723"/>
        <v/>
      </c>
      <c r="CE2434" s="319" t="str">
        <f t="shared" si="1723"/>
        <v/>
      </c>
      <c r="CF2434" s="319" t="str">
        <f t="shared" si="1723"/>
        <v/>
      </c>
      <c r="CG2434" s="319" t="str">
        <f t="shared" si="1723"/>
        <v/>
      </c>
      <c r="CH2434" s="319" t="str">
        <f t="shared" si="1723"/>
        <v/>
      </c>
      <c r="CI2434" s="319" t="str">
        <f t="shared" si="1723"/>
        <v/>
      </c>
      <c r="CJ2434" s="319" t="str">
        <f t="shared" si="1723"/>
        <v/>
      </c>
      <c r="CK2434" s="342">
        <f t="shared" si="182"/>
        <v>0</v>
      </c>
      <c r="CL2434" s="333">
        <f t="shared" si="183"/>
        <v>0</v>
      </c>
      <c r="CM2434" s="1079"/>
      <c r="CN2434" s="1005"/>
      <c r="CO2434" s="1005"/>
      <c r="CP2434" s="1005"/>
    </row>
    <row r="2435">
      <c r="A2435" s="1257"/>
      <c r="B2435" s="1113"/>
      <c r="C2435" s="1107"/>
      <c r="D2435" s="103"/>
      <c r="E2435" s="1137"/>
      <c r="F2435" s="112"/>
      <c r="G2435" s="1110"/>
      <c r="H2435" s="1138"/>
      <c r="I2435" s="1138"/>
      <c r="J2435" s="1139"/>
      <c r="K2435" s="1111"/>
      <c r="L2435" s="1112"/>
      <c r="M2435" s="1113"/>
      <c r="N2435" s="110"/>
      <c r="O2435" s="1140"/>
      <c r="P2435" s="1115"/>
      <c r="Q2435" s="1116"/>
      <c r="R2435" s="1141"/>
      <c r="S2435" s="1113"/>
      <c r="T2435" s="1143"/>
      <c r="U2435" s="1108"/>
      <c r="V2435" s="1108"/>
      <c r="W2435" s="1108"/>
      <c r="X2435" s="1108"/>
      <c r="Y2435" s="1108"/>
      <c r="Z2435" s="1114"/>
      <c r="AA2435" s="1114"/>
      <c r="AB2435" s="1114"/>
      <c r="AC2435" s="1117"/>
      <c r="AD2435" s="1115"/>
      <c r="AE2435" s="1115"/>
      <c r="AF2435" s="1115"/>
      <c r="AG2435" s="1115"/>
      <c r="AH2435" s="1115"/>
      <c r="AI2435" s="1115"/>
      <c r="AJ2435" s="1117"/>
      <c r="AK2435" s="1118"/>
      <c r="AL2435" s="1115"/>
      <c r="AM2435" s="1115"/>
      <c r="AN2435" s="1115"/>
      <c r="AO2435" s="1115"/>
      <c r="AP2435" s="1115"/>
      <c r="AQ2435" s="1115"/>
      <c r="AR2435" s="1115"/>
      <c r="AS2435" s="1117"/>
      <c r="AT2435" s="1196" t="str">
        <f t="shared" si="428"/>
        <v/>
      </c>
      <c r="AU2435" s="1193"/>
      <c r="AV2435" s="330">
        <f>SQRT(($R2435-Infrastructure!J$3)^2+($S2435-Infrastructure!K$3)^2)</f>
        <v>28.90155705</v>
      </c>
      <c r="AW2435" s="331">
        <f>SQRT(($R2435-Infrastructure!J$4)^2+($S2435-Infrastructure!K$4)^2)</f>
        <v>17.80252791</v>
      </c>
      <c r="AX2435" s="331">
        <f>SQRT(($R2435-Infrastructure!J$5)^2+($S2435-Infrastructure!K$5)^2)</f>
        <v>5.10881591</v>
      </c>
      <c r="AY2435" s="331">
        <f>SQRT(($R2435-Infrastructure!J$6)^2+($S2435-Infrastructure!K$6)^2)</f>
        <v>10.10445446</v>
      </c>
      <c r="AZ2435" s="331">
        <f>SQRT(($R2435-Infrastructure!J$7)^2+($S2435-Infrastructure!K$7)^2)</f>
        <v>20.502195</v>
      </c>
      <c r="BA2435" s="331">
        <f>SQRT(($R2435-Infrastructure!J$8)^2+($S2435-Infrastructure!K$8)^2)</f>
        <v>30.10149498</v>
      </c>
      <c r="BB2435" s="331">
        <f>SQRT(($R2435-Infrastructure!J$9)^2+($S2435-Infrastructure!K$9)^2)</f>
        <v>40.3238143</v>
      </c>
      <c r="BC2435" s="331">
        <f>SQRT(($R2435-Infrastructure!J$10)^2+($S2435-Infrastructure!K$10)^2)</f>
        <v>42.72001873</v>
      </c>
      <c r="BD2435" s="331">
        <f>SQRT(($R2435-Infrastructure!J$11)^2+($S2435-Infrastructure!K$11)^2)</f>
        <v>49.56853841</v>
      </c>
      <c r="BE2435" s="333">
        <f>SQRT(($R2435-Infrastructure!J$12)^2+($S2435-Infrastructure!K$12)^2)</f>
        <v>59.51890456</v>
      </c>
      <c r="BF2435" s="330">
        <f t="shared" si="161"/>
        <v>5.10881591</v>
      </c>
      <c r="BG2435" s="333">
        <f t="shared" si="162"/>
        <v>59.51890456</v>
      </c>
      <c r="BH2435" s="1119"/>
      <c r="BI2435" s="319" t="str">
        <f t="shared" ref="BI2435:BR2435" si="1724">IF(ISNUMBER(FIND(BI$3, $CO2435)), "Y", "")</f>
        <v/>
      </c>
      <c r="BJ2435" s="319" t="str">
        <f t="shared" si="1724"/>
        <v/>
      </c>
      <c r="BK2435" s="319" t="str">
        <f t="shared" si="1724"/>
        <v/>
      </c>
      <c r="BL2435" s="319" t="str">
        <f t="shared" si="1724"/>
        <v/>
      </c>
      <c r="BM2435" s="319" t="str">
        <f t="shared" si="1724"/>
        <v/>
      </c>
      <c r="BN2435" s="319" t="str">
        <f t="shared" si="1724"/>
        <v/>
      </c>
      <c r="BO2435" s="319" t="str">
        <f t="shared" si="1724"/>
        <v/>
      </c>
      <c r="BP2435" s="319" t="str">
        <f t="shared" si="1724"/>
        <v/>
      </c>
      <c r="BQ2435" s="319" t="str">
        <f t="shared" si="1724"/>
        <v/>
      </c>
      <c r="BR2435" s="319" t="str">
        <f t="shared" si="1724"/>
        <v/>
      </c>
      <c r="BS2435" s="330">
        <f t="shared" si="185"/>
        <v>0</v>
      </c>
      <c r="BT2435" s="331">
        <f t="shared" si="170"/>
        <v>0</v>
      </c>
      <c r="BU2435" s="920"/>
      <c r="BV2435" s="903" t="str">
        <f t="shared" si="1244"/>
        <v/>
      </c>
      <c r="BW2435" s="908"/>
      <c r="BX2435" s="908"/>
      <c r="BY2435" s="331" t="b">
        <f t="shared" si="201"/>
        <v>0</v>
      </c>
      <c r="BZ2435" s="331"/>
      <c r="CA2435" s="462" t="str">
        <f t="shared" ref="CA2435:CJ2435" si="1725">IF(ISNUMBER(FIND(BI$3, $CP2435)), "Y", "")</f>
        <v/>
      </c>
      <c r="CB2435" s="319" t="str">
        <f t="shared" si="1725"/>
        <v/>
      </c>
      <c r="CC2435" s="319" t="str">
        <f t="shared" si="1725"/>
        <v/>
      </c>
      <c r="CD2435" s="319" t="str">
        <f t="shared" si="1725"/>
        <v/>
      </c>
      <c r="CE2435" s="319" t="str">
        <f t="shared" si="1725"/>
        <v/>
      </c>
      <c r="CF2435" s="319" t="str">
        <f t="shared" si="1725"/>
        <v/>
      </c>
      <c r="CG2435" s="319" t="str">
        <f t="shared" si="1725"/>
        <v/>
      </c>
      <c r="CH2435" s="319" t="str">
        <f t="shared" si="1725"/>
        <v/>
      </c>
      <c r="CI2435" s="319" t="str">
        <f t="shared" si="1725"/>
        <v/>
      </c>
      <c r="CJ2435" s="319" t="str">
        <f t="shared" si="1725"/>
        <v/>
      </c>
      <c r="CK2435" s="342">
        <f t="shared" si="182"/>
        <v>0</v>
      </c>
      <c r="CL2435" s="333">
        <f t="shared" si="183"/>
        <v>0</v>
      </c>
      <c r="CM2435" s="1079"/>
      <c r="CN2435" s="1005"/>
      <c r="CO2435" s="1005"/>
      <c r="CP2435" s="1005"/>
    </row>
    <row r="2436">
      <c r="A2436" s="1257"/>
      <c r="B2436" s="1113"/>
      <c r="C2436" s="1107"/>
      <c r="D2436" s="103"/>
      <c r="E2436" s="1137"/>
      <c r="F2436" s="112"/>
      <c r="G2436" s="1110"/>
      <c r="H2436" s="1138"/>
      <c r="I2436" s="1138"/>
      <c r="J2436" s="1139"/>
      <c r="K2436" s="1111"/>
      <c r="L2436" s="1112"/>
      <c r="M2436" s="1113"/>
      <c r="N2436" s="110"/>
      <c r="O2436" s="1140"/>
      <c r="P2436" s="1115"/>
      <c r="Q2436" s="1116"/>
      <c r="R2436" s="1141"/>
      <c r="S2436" s="1113"/>
      <c r="T2436" s="1143"/>
      <c r="U2436" s="1108"/>
      <c r="V2436" s="1108"/>
      <c r="W2436" s="1108"/>
      <c r="X2436" s="1108"/>
      <c r="Y2436" s="1108"/>
      <c r="Z2436" s="1114"/>
      <c r="AA2436" s="1114"/>
      <c r="AB2436" s="1114"/>
      <c r="AC2436" s="1117"/>
      <c r="AD2436" s="1115"/>
      <c r="AE2436" s="1115"/>
      <c r="AF2436" s="1115"/>
      <c r="AG2436" s="1115"/>
      <c r="AH2436" s="1115"/>
      <c r="AI2436" s="1115"/>
      <c r="AJ2436" s="1117"/>
      <c r="AK2436" s="1118"/>
      <c r="AL2436" s="1115"/>
      <c r="AM2436" s="1115"/>
      <c r="AN2436" s="1115"/>
      <c r="AO2436" s="1115"/>
      <c r="AP2436" s="1115"/>
      <c r="AQ2436" s="1115"/>
      <c r="AR2436" s="1115"/>
      <c r="AS2436" s="1117"/>
      <c r="AT2436" s="1196" t="str">
        <f t="shared" si="428"/>
        <v/>
      </c>
      <c r="AU2436" s="1193"/>
      <c r="AV2436" s="330">
        <f>SQRT(($R2436-Infrastructure!J$3)^2+($S2436-Infrastructure!K$3)^2)</f>
        <v>28.90155705</v>
      </c>
      <c r="AW2436" s="331">
        <f>SQRT(($R2436-Infrastructure!J$4)^2+($S2436-Infrastructure!K$4)^2)</f>
        <v>17.80252791</v>
      </c>
      <c r="AX2436" s="331">
        <f>SQRT(($R2436-Infrastructure!J$5)^2+($S2436-Infrastructure!K$5)^2)</f>
        <v>5.10881591</v>
      </c>
      <c r="AY2436" s="331">
        <f>SQRT(($R2436-Infrastructure!J$6)^2+($S2436-Infrastructure!K$6)^2)</f>
        <v>10.10445446</v>
      </c>
      <c r="AZ2436" s="331">
        <f>SQRT(($R2436-Infrastructure!J$7)^2+($S2436-Infrastructure!K$7)^2)</f>
        <v>20.502195</v>
      </c>
      <c r="BA2436" s="331">
        <f>SQRT(($R2436-Infrastructure!J$8)^2+($S2436-Infrastructure!K$8)^2)</f>
        <v>30.10149498</v>
      </c>
      <c r="BB2436" s="331">
        <f>SQRT(($R2436-Infrastructure!J$9)^2+($S2436-Infrastructure!K$9)^2)</f>
        <v>40.3238143</v>
      </c>
      <c r="BC2436" s="331">
        <f>SQRT(($R2436-Infrastructure!J$10)^2+($S2436-Infrastructure!K$10)^2)</f>
        <v>42.72001873</v>
      </c>
      <c r="BD2436" s="331">
        <f>SQRT(($R2436-Infrastructure!J$11)^2+($S2436-Infrastructure!K$11)^2)</f>
        <v>49.56853841</v>
      </c>
      <c r="BE2436" s="333">
        <f>SQRT(($R2436-Infrastructure!J$12)^2+($S2436-Infrastructure!K$12)^2)</f>
        <v>59.51890456</v>
      </c>
      <c r="BF2436" s="330">
        <f t="shared" si="161"/>
        <v>5.10881591</v>
      </c>
      <c r="BG2436" s="333">
        <f t="shared" si="162"/>
        <v>59.51890456</v>
      </c>
      <c r="BH2436" s="1119"/>
      <c r="BI2436" s="319" t="str">
        <f t="shared" ref="BI2436:BR2436" si="1726">IF(ISNUMBER(FIND(BI$3, $CO2436)), "Y", "")</f>
        <v/>
      </c>
      <c r="BJ2436" s="319" t="str">
        <f t="shared" si="1726"/>
        <v/>
      </c>
      <c r="BK2436" s="319" t="str">
        <f t="shared" si="1726"/>
        <v/>
      </c>
      <c r="BL2436" s="319" t="str">
        <f t="shared" si="1726"/>
        <v/>
      </c>
      <c r="BM2436" s="319" t="str">
        <f t="shared" si="1726"/>
        <v/>
      </c>
      <c r="BN2436" s="319" t="str">
        <f t="shared" si="1726"/>
        <v/>
      </c>
      <c r="BO2436" s="319" t="str">
        <f t="shared" si="1726"/>
        <v/>
      </c>
      <c r="BP2436" s="319" t="str">
        <f t="shared" si="1726"/>
        <v/>
      </c>
      <c r="BQ2436" s="319" t="str">
        <f t="shared" si="1726"/>
        <v/>
      </c>
      <c r="BR2436" s="319" t="str">
        <f t="shared" si="1726"/>
        <v/>
      </c>
      <c r="BS2436" s="330">
        <f t="shared" si="185"/>
        <v>0</v>
      </c>
      <c r="BT2436" s="331">
        <f t="shared" si="170"/>
        <v>0</v>
      </c>
      <c r="BU2436" s="920"/>
      <c r="BV2436" s="903" t="str">
        <f t="shared" si="1244"/>
        <v/>
      </c>
      <c r="BW2436" s="908"/>
      <c r="BX2436" s="908"/>
      <c r="BY2436" s="331" t="b">
        <f t="shared" si="201"/>
        <v>0</v>
      </c>
      <c r="BZ2436" s="331"/>
      <c r="CA2436" s="462" t="str">
        <f t="shared" ref="CA2436:CJ2436" si="1727">IF(ISNUMBER(FIND(BI$3, $CP2436)), "Y", "")</f>
        <v/>
      </c>
      <c r="CB2436" s="319" t="str">
        <f t="shared" si="1727"/>
        <v/>
      </c>
      <c r="CC2436" s="319" t="str">
        <f t="shared" si="1727"/>
        <v/>
      </c>
      <c r="CD2436" s="319" t="str">
        <f t="shared" si="1727"/>
        <v/>
      </c>
      <c r="CE2436" s="319" t="str">
        <f t="shared" si="1727"/>
        <v/>
      </c>
      <c r="CF2436" s="319" t="str">
        <f t="shared" si="1727"/>
        <v/>
      </c>
      <c r="CG2436" s="319" t="str">
        <f t="shared" si="1727"/>
        <v/>
      </c>
      <c r="CH2436" s="319" t="str">
        <f t="shared" si="1727"/>
        <v/>
      </c>
      <c r="CI2436" s="319" t="str">
        <f t="shared" si="1727"/>
        <v/>
      </c>
      <c r="CJ2436" s="319" t="str">
        <f t="shared" si="1727"/>
        <v/>
      </c>
      <c r="CK2436" s="342">
        <f t="shared" si="182"/>
        <v>0</v>
      </c>
      <c r="CL2436" s="333">
        <f t="shared" si="183"/>
        <v>0</v>
      </c>
      <c r="CM2436" s="1079"/>
      <c r="CN2436" s="1005"/>
      <c r="CO2436" s="1005"/>
      <c r="CP2436" s="1005"/>
    </row>
    <row r="2437">
      <c r="A2437" s="1257"/>
      <c r="B2437" s="1113"/>
      <c r="C2437" s="1107"/>
      <c r="D2437" s="103"/>
      <c r="E2437" s="1137"/>
      <c r="F2437" s="112"/>
      <c r="G2437" s="1110"/>
      <c r="H2437" s="1138"/>
      <c r="I2437" s="1138"/>
      <c r="J2437" s="1139"/>
      <c r="K2437" s="1111"/>
      <c r="L2437" s="1112"/>
      <c r="M2437" s="1113"/>
      <c r="N2437" s="110"/>
      <c r="O2437" s="1140"/>
      <c r="P2437" s="1115"/>
      <c r="Q2437" s="1116"/>
      <c r="R2437" s="1141"/>
      <c r="S2437" s="1113"/>
      <c r="T2437" s="1143"/>
      <c r="U2437" s="1108"/>
      <c r="V2437" s="1108"/>
      <c r="W2437" s="1108"/>
      <c r="X2437" s="1108"/>
      <c r="Y2437" s="1108"/>
      <c r="Z2437" s="1114"/>
      <c r="AA2437" s="1114"/>
      <c r="AB2437" s="1114"/>
      <c r="AC2437" s="1117"/>
      <c r="AD2437" s="1115"/>
      <c r="AE2437" s="1115"/>
      <c r="AF2437" s="1115"/>
      <c r="AG2437" s="1115"/>
      <c r="AH2437" s="1115"/>
      <c r="AI2437" s="1115"/>
      <c r="AJ2437" s="1117"/>
      <c r="AK2437" s="1118"/>
      <c r="AL2437" s="1115"/>
      <c r="AM2437" s="1115"/>
      <c r="AN2437" s="1115"/>
      <c r="AO2437" s="1115"/>
      <c r="AP2437" s="1115"/>
      <c r="AQ2437" s="1115"/>
      <c r="AR2437" s="1115"/>
      <c r="AS2437" s="1117"/>
      <c r="AT2437" s="1196" t="str">
        <f t="shared" si="428"/>
        <v/>
      </c>
      <c r="AU2437" s="1193"/>
      <c r="AV2437" s="330">
        <f>SQRT(($R2437-Infrastructure!J$3)^2+($S2437-Infrastructure!K$3)^2)</f>
        <v>28.90155705</v>
      </c>
      <c r="AW2437" s="331">
        <f>SQRT(($R2437-Infrastructure!J$4)^2+($S2437-Infrastructure!K$4)^2)</f>
        <v>17.80252791</v>
      </c>
      <c r="AX2437" s="331">
        <f>SQRT(($R2437-Infrastructure!J$5)^2+($S2437-Infrastructure!K$5)^2)</f>
        <v>5.10881591</v>
      </c>
      <c r="AY2437" s="331">
        <f>SQRT(($R2437-Infrastructure!J$6)^2+($S2437-Infrastructure!K$6)^2)</f>
        <v>10.10445446</v>
      </c>
      <c r="AZ2437" s="331">
        <f>SQRT(($R2437-Infrastructure!J$7)^2+($S2437-Infrastructure!K$7)^2)</f>
        <v>20.502195</v>
      </c>
      <c r="BA2437" s="331">
        <f>SQRT(($R2437-Infrastructure!J$8)^2+($S2437-Infrastructure!K$8)^2)</f>
        <v>30.10149498</v>
      </c>
      <c r="BB2437" s="331">
        <f>SQRT(($R2437-Infrastructure!J$9)^2+($S2437-Infrastructure!K$9)^2)</f>
        <v>40.3238143</v>
      </c>
      <c r="BC2437" s="331">
        <f>SQRT(($R2437-Infrastructure!J$10)^2+($S2437-Infrastructure!K$10)^2)</f>
        <v>42.72001873</v>
      </c>
      <c r="BD2437" s="331">
        <f>SQRT(($R2437-Infrastructure!J$11)^2+($S2437-Infrastructure!K$11)^2)</f>
        <v>49.56853841</v>
      </c>
      <c r="BE2437" s="333">
        <f>SQRT(($R2437-Infrastructure!J$12)^2+($S2437-Infrastructure!K$12)^2)</f>
        <v>59.51890456</v>
      </c>
      <c r="BF2437" s="330">
        <f t="shared" si="161"/>
        <v>5.10881591</v>
      </c>
      <c r="BG2437" s="333">
        <f t="shared" si="162"/>
        <v>59.51890456</v>
      </c>
      <c r="BH2437" s="1119"/>
      <c r="BI2437" s="319" t="str">
        <f t="shared" ref="BI2437:BR2437" si="1728">IF(ISNUMBER(FIND(BI$3, $CO2437)), "Y", "")</f>
        <v/>
      </c>
      <c r="BJ2437" s="319" t="str">
        <f t="shared" si="1728"/>
        <v/>
      </c>
      <c r="BK2437" s="319" t="str">
        <f t="shared" si="1728"/>
        <v/>
      </c>
      <c r="BL2437" s="319" t="str">
        <f t="shared" si="1728"/>
        <v/>
      </c>
      <c r="BM2437" s="319" t="str">
        <f t="shared" si="1728"/>
        <v/>
      </c>
      <c r="BN2437" s="319" t="str">
        <f t="shared" si="1728"/>
        <v/>
      </c>
      <c r="BO2437" s="319" t="str">
        <f t="shared" si="1728"/>
        <v/>
      </c>
      <c r="BP2437" s="319" t="str">
        <f t="shared" si="1728"/>
        <v/>
      </c>
      <c r="BQ2437" s="319" t="str">
        <f t="shared" si="1728"/>
        <v/>
      </c>
      <c r="BR2437" s="319" t="str">
        <f t="shared" si="1728"/>
        <v/>
      </c>
      <c r="BS2437" s="330">
        <f t="shared" si="185"/>
        <v>0</v>
      </c>
      <c r="BT2437" s="331">
        <f t="shared" si="170"/>
        <v>0</v>
      </c>
      <c r="BU2437" s="920"/>
      <c r="BV2437" s="903" t="str">
        <f t="shared" si="1244"/>
        <v/>
      </c>
      <c r="BW2437" s="908"/>
      <c r="BX2437" s="908"/>
      <c r="BY2437" s="331" t="b">
        <f t="shared" si="201"/>
        <v>0</v>
      </c>
      <c r="BZ2437" s="331"/>
      <c r="CA2437" s="462" t="str">
        <f t="shared" ref="CA2437:CJ2437" si="1729">IF(ISNUMBER(FIND(BI$3, $CP2437)), "Y", "")</f>
        <v/>
      </c>
      <c r="CB2437" s="319" t="str">
        <f t="shared" si="1729"/>
        <v/>
      </c>
      <c r="CC2437" s="319" t="str">
        <f t="shared" si="1729"/>
        <v/>
      </c>
      <c r="CD2437" s="319" t="str">
        <f t="shared" si="1729"/>
        <v/>
      </c>
      <c r="CE2437" s="319" t="str">
        <f t="shared" si="1729"/>
        <v/>
      </c>
      <c r="CF2437" s="319" t="str">
        <f t="shared" si="1729"/>
        <v/>
      </c>
      <c r="CG2437" s="319" t="str">
        <f t="shared" si="1729"/>
        <v/>
      </c>
      <c r="CH2437" s="319" t="str">
        <f t="shared" si="1729"/>
        <v/>
      </c>
      <c r="CI2437" s="319" t="str">
        <f t="shared" si="1729"/>
        <v/>
      </c>
      <c r="CJ2437" s="319" t="str">
        <f t="shared" si="1729"/>
        <v/>
      </c>
      <c r="CK2437" s="342">
        <f t="shared" si="182"/>
        <v>0</v>
      </c>
      <c r="CL2437" s="333">
        <f t="shared" si="183"/>
        <v>0</v>
      </c>
      <c r="CM2437" s="1079"/>
      <c r="CN2437" s="1005"/>
      <c r="CO2437" s="1005"/>
      <c r="CP2437" s="1005"/>
    </row>
    <row r="2438">
      <c r="A2438" s="1257"/>
      <c r="B2438" s="1113"/>
      <c r="C2438" s="1107"/>
      <c r="D2438" s="103"/>
      <c r="E2438" s="1137"/>
      <c r="F2438" s="112"/>
      <c r="G2438" s="1110"/>
      <c r="H2438" s="1138"/>
      <c r="I2438" s="1138"/>
      <c r="J2438" s="1139"/>
      <c r="K2438" s="1111"/>
      <c r="L2438" s="1112"/>
      <c r="M2438" s="1113"/>
      <c r="N2438" s="110"/>
      <c r="O2438" s="1140"/>
      <c r="P2438" s="1115"/>
      <c r="Q2438" s="1116"/>
      <c r="R2438" s="1141"/>
      <c r="S2438" s="1113"/>
      <c r="T2438" s="1143"/>
      <c r="U2438" s="1108"/>
      <c r="V2438" s="1108"/>
      <c r="W2438" s="1108"/>
      <c r="X2438" s="1108"/>
      <c r="Y2438" s="1108"/>
      <c r="Z2438" s="1114"/>
      <c r="AA2438" s="1114"/>
      <c r="AB2438" s="1114"/>
      <c r="AC2438" s="1117"/>
      <c r="AD2438" s="1115"/>
      <c r="AE2438" s="1115"/>
      <c r="AF2438" s="1115"/>
      <c r="AG2438" s="1115"/>
      <c r="AH2438" s="1115"/>
      <c r="AI2438" s="1115"/>
      <c r="AJ2438" s="1117"/>
      <c r="AK2438" s="1118"/>
      <c r="AL2438" s="1115"/>
      <c r="AM2438" s="1115"/>
      <c r="AN2438" s="1115"/>
      <c r="AO2438" s="1115"/>
      <c r="AP2438" s="1115"/>
      <c r="AQ2438" s="1115"/>
      <c r="AR2438" s="1115"/>
      <c r="AS2438" s="1117"/>
      <c r="AT2438" s="1196" t="str">
        <f t="shared" si="428"/>
        <v/>
      </c>
      <c r="AU2438" s="1193"/>
      <c r="AV2438" s="330">
        <f>SQRT(($R2438-Infrastructure!J$3)^2+($S2438-Infrastructure!K$3)^2)</f>
        <v>28.90155705</v>
      </c>
      <c r="AW2438" s="331">
        <f>SQRT(($R2438-Infrastructure!J$4)^2+($S2438-Infrastructure!K$4)^2)</f>
        <v>17.80252791</v>
      </c>
      <c r="AX2438" s="331">
        <f>SQRT(($R2438-Infrastructure!J$5)^2+($S2438-Infrastructure!K$5)^2)</f>
        <v>5.10881591</v>
      </c>
      <c r="AY2438" s="331">
        <f>SQRT(($R2438-Infrastructure!J$6)^2+($S2438-Infrastructure!K$6)^2)</f>
        <v>10.10445446</v>
      </c>
      <c r="AZ2438" s="331">
        <f>SQRT(($R2438-Infrastructure!J$7)^2+($S2438-Infrastructure!K$7)^2)</f>
        <v>20.502195</v>
      </c>
      <c r="BA2438" s="331">
        <f>SQRT(($R2438-Infrastructure!J$8)^2+($S2438-Infrastructure!K$8)^2)</f>
        <v>30.10149498</v>
      </c>
      <c r="BB2438" s="331">
        <f>SQRT(($R2438-Infrastructure!J$9)^2+($S2438-Infrastructure!K$9)^2)</f>
        <v>40.3238143</v>
      </c>
      <c r="BC2438" s="331">
        <f>SQRT(($R2438-Infrastructure!J$10)^2+($S2438-Infrastructure!K$10)^2)</f>
        <v>42.72001873</v>
      </c>
      <c r="BD2438" s="331">
        <f>SQRT(($R2438-Infrastructure!J$11)^2+($S2438-Infrastructure!K$11)^2)</f>
        <v>49.56853841</v>
      </c>
      <c r="BE2438" s="333">
        <f>SQRT(($R2438-Infrastructure!J$12)^2+($S2438-Infrastructure!K$12)^2)</f>
        <v>59.51890456</v>
      </c>
      <c r="BF2438" s="330">
        <f t="shared" si="161"/>
        <v>5.10881591</v>
      </c>
      <c r="BG2438" s="333">
        <f t="shared" si="162"/>
        <v>59.51890456</v>
      </c>
      <c r="BH2438" s="1119"/>
      <c r="BI2438" s="319" t="str">
        <f t="shared" ref="BI2438:BR2438" si="1730">IF(ISNUMBER(FIND(BI$3, $CO2438)), "Y", "")</f>
        <v/>
      </c>
      <c r="BJ2438" s="319" t="str">
        <f t="shared" si="1730"/>
        <v/>
      </c>
      <c r="BK2438" s="319" t="str">
        <f t="shared" si="1730"/>
        <v/>
      </c>
      <c r="BL2438" s="319" t="str">
        <f t="shared" si="1730"/>
        <v/>
      </c>
      <c r="BM2438" s="319" t="str">
        <f t="shared" si="1730"/>
        <v/>
      </c>
      <c r="BN2438" s="319" t="str">
        <f t="shared" si="1730"/>
        <v/>
      </c>
      <c r="BO2438" s="319" t="str">
        <f t="shared" si="1730"/>
        <v/>
      </c>
      <c r="BP2438" s="319" t="str">
        <f t="shared" si="1730"/>
        <v/>
      </c>
      <c r="BQ2438" s="319" t="str">
        <f t="shared" si="1730"/>
        <v/>
      </c>
      <c r="BR2438" s="319" t="str">
        <f t="shared" si="1730"/>
        <v/>
      </c>
      <c r="BS2438" s="330">
        <f t="shared" si="185"/>
        <v>0</v>
      </c>
      <c r="BT2438" s="331">
        <f t="shared" si="170"/>
        <v>0</v>
      </c>
      <c r="BU2438" s="920"/>
      <c r="BV2438" s="903" t="str">
        <f t="shared" si="1244"/>
        <v/>
      </c>
      <c r="BW2438" s="908"/>
      <c r="BX2438" s="908"/>
      <c r="BY2438" s="331" t="b">
        <f t="shared" si="201"/>
        <v>0</v>
      </c>
      <c r="BZ2438" s="331"/>
      <c r="CA2438" s="462" t="str">
        <f t="shared" ref="CA2438:CJ2438" si="1731">IF(ISNUMBER(FIND(BI$3, $CP2438)), "Y", "")</f>
        <v/>
      </c>
      <c r="CB2438" s="319" t="str">
        <f t="shared" si="1731"/>
        <v/>
      </c>
      <c r="CC2438" s="319" t="str">
        <f t="shared" si="1731"/>
        <v/>
      </c>
      <c r="CD2438" s="319" t="str">
        <f t="shared" si="1731"/>
        <v/>
      </c>
      <c r="CE2438" s="319" t="str">
        <f t="shared" si="1731"/>
        <v/>
      </c>
      <c r="CF2438" s="319" t="str">
        <f t="shared" si="1731"/>
        <v/>
      </c>
      <c r="CG2438" s="319" t="str">
        <f t="shared" si="1731"/>
        <v/>
      </c>
      <c r="CH2438" s="319" t="str">
        <f t="shared" si="1731"/>
        <v/>
      </c>
      <c r="CI2438" s="319" t="str">
        <f t="shared" si="1731"/>
        <v/>
      </c>
      <c r="CJ2438" s="319" t="str">
        <f t="shared" si="1731"/>
        <v/>
      </c>
      <c r="CK2438" s="342">
        <f t="shared" si="182"/>
        <v>0</v>
      </c>
      <c r="CL2438" s="333">
        <f t="shared" si="183"/>
        <v>0</v>
      </c>
      <c r="CM2438" s="1079"/>
      <c r="CN2438" s="1005"/>
      <c r="CO2438" s="1005"/>
      <c r="CP2438" s="1005"/>
    </row>
    <row r="2439">
      <c r="A2439" s="1257"/>
      <c r="B2439" s="1113"/>
      <c r="C2439" s="1107"/>
      <c r="D2439" s="103"/>
      <c r="E2439" s="1137"/>
      <c r="F2439" s="112"/>
      <c r="G2439" s="1110"/>
      <c r="H2439" s="1138"/>
      <c r="I2439" s="1138"/>
      <c r="J2439" s="1139"/>
      <c r="K2439" s="1111"/>
      <c r="L2439" s="1112"/>
      <c r="M2439" s="1113"/>
      <c r="N2439" s="110"/>
      <c r="O2439" s="1140"/>
      <c r="P2439" s="1115"/>
      <c r="Q2439" s="1116"/>
      <c r="R2439" s="1141"/>
      <c r="S2439" s="1113"/>
      <c r="T2439" s="1143"/>
      <c r="U2439" s="1108"/>
      <c r="V2439" s="1108"/>
      <c r="W2439" s="1108"/>
      <c r="X2439" s="1108"/>
      <c r="Y2439" s="1108"/>
      <c r="Z2439" s="1114"/>
      <c r="AA2439" s="1114"/>
      <c r="AB2439" s="1114"/>
      <c r="AC2439" s="1117"/>
      <c r="AD2439" s="1115"/>
      <c r="AE2439" s="1115"/>
      <c r="AF2439" s="1115"/>
      <c r="AG2439" s="1115"/>
      <c r="AH2439" s="1115"/>
      <c r="AI2439" s="1115"/>
      <c r="AJ2439" s="1117"/>
      <c r="AK2439" s="1118"/>
      <c r="AL2439" s="1115"/>
      <c r="AM2439" s="1115"/>
      <c r="AN2439" s="1115"/>
      <c r="AO2439" s="1115"/>
      <c r="AP2439" s="1115"/>
      <c r="AQ2439" s="1115"/>
      <c r="AR2439" s="1115"/>
      <c r="AS2439" s="1117"/>
      <c r="AT2439" s="1196" t="str">
        <f t="shared" si="428"/>
        <v/>
      </c>
      <c r="AU2439" s="1193"/>
      <c r="AV2439" s="330">
        <f>SQRT(($R2439-Infrastructure!J$3)^2+($S2439-Infrastructure!K$3)^2)</f>
        <v>28.90155705</v>
      </c>
      <c r="AW2439" s="331">
        <f>SQRT(($R2439-Infrastructure!J$4)^2+($S2439-Infrastructure!K$4)^2)</f>
        <v>17.80252791</v>
      </c>
      <c r="AX2439" s="331">
        <f>SQRT(($R2439-Infrastructure!J$5)^2+($S2439-Infrastructure!K$5)^2)</f>
        <v>5.10881591</v>
      </c>
      <c r="AY2439" s="331">
        <f>SQRT(($R2439-Infrastructure!J$6)^2+($S2439-Infrastructure!K$6)^2)</f>
        <v>10.10445446</v>
      </c>
      <c r="AZ2439" s="331">
        <f>SQRT(($R2439-Infrastructure!J$7)^2+($S2439-Infrastructure!K$7)^2)</f>
        <v>20.502195</v>
      </c>
      <c r="BA2439" s="331">
        <f>SQRT(($R2439-Infrastructure!J$8)^2+($S2439-Infrastructure!K$8)^2)</f>
        <v>30.10149498</v>
      </c>
      <c r="BB2439" s="331">
        <f>SQRT(($R2439-Infrastructure!J$9)^2+($S2439-Infrastructure!K$9)^2)</f>
        <v>40.3238143</v>
      </c>
      <c r="BC2439" s="331">
        <f>SQRT(($R2439-Infrastructure!J$10)^2+($S2439-Infrastructure!K$10)^2)</f>
        <v>42.72001873</v>
      </c>
      <c r="BD2439" s="331">
        <f>SQRT(($R2439-Infrastructure!J$11)^2+($S2439-Infrastructure!K$11)^2)</f>
        <v>49.56853841</v>
      </c>
      <c r="BE2439" s="333">
        <f>SQRT(($R2439-Infrastructure!J$12)^2+($S2439-Infrastructure!K$12)^2)</f>
        <v>59.51890456</v>
      </c>
      <c r="BF2439" s="330">
        <f t="shared" si="161"/>
        <v>5.10881591</v>
      </c>
      <c r="BG2439" s="333">
        <f t="shared" si="162"/>
        <v>59.51890456</v>
      </c>
      <c r="BH2439" s="1119"/>
      <c r="BI2439" s="319" t="str">
        <f t="shared" ref="BI2439:BR2439" si="1732">IF(ISNUMBER(FIND(BI$3, $CO2439)), "Y", "")</f>
        <v/>
      </c>
      <c r="BJ2439" s="319" t="str">
        <f t="shared" si="1732"/>
        <v/>
      </c>
      <c r="BK2439" s="319" t="str">
        <f t="shared" si="1732"/>
        <v/>
      </c>
      <c r="BL2439" s="319" t="str">
        <f t="shared" si="1732"/>
        <v/>
      </c>
      <c r="BM2439" s="319" t="str">
        <f t="shared" si="1732"/>
        <v/>
      </c>
      <c r="BN2439" s="319" t="str">
        <f t="shared" si="1732"/>
        <v/>
      </c>
      <c r="BO2439" s="319" t="str">
        <f t="shared" si="1732"/>
        <v/>
      </c>
      <c r="BP2439" s="319" t="str">
        <f t="shared" si="1732"/>
        <v/>
      </c>
      <c r="BQ2439" s="319" t="str">
        <f t="shared" si="1732"/>
        <v/>
      </c>
      <c r="BR2439" s="319" t="str">
        <f t="shared" si="1732"/>
        <v/>
      </c>
      <c r="BS2439" s="330">
        <f t="shared" si="185"/>
        <v>0</v>
      </c>
      <c r="BT2439" s="331">
        <f t="shared" si="170"/>
        <v>0</v>
      </c>
      <c r="BU2439" s="920"/>
      <c r="BV2439" s="903" t="str">
        <f t="shared" si="1244"/>
        <v/>
      </c>
      <c r="BW2439" s="908"/>
      <c r="BX2439" s="908"/>
      <c r="BY2439" s="331" t="b">
        <f t="shared" si="201"/>
        <v>0</v>
      </c>
      <c r="BZ2439" s="331"/>
      <c r="CA2439" s="462" t="str">
        <f t="shared" ref="CA2439:CJ2439" si="1733">IF(ISNUMBER(FIND(BI$3, $CP2439)), "Y", "")</f>
        <v/>
      </c>
      <c r="CB2439" s="319" t="str">
        <f t="shared" si="1733"/>
        <v/>
      </c>
      <c r="CC2439" s="319" t="str">
        <f t="shared" si="1733"/>
        <v/>
      </c>
      <c r="CD2439" s="319" t="str">
        <f t="shared" si="1733"/>
        <v/>
      </c>
      <c r="CE2439" s="319" t="str">
        <f t="shared" si="1733"/>
        <v/>
      </c>
      <c r="CF2439" s="319" t="str">
        <f t="shared" si="1733"/>
        <v/>
      </c>
      <c r="CG2439" s="319" t="str">
        <f t="shared" si="1733"/>
        <v/>
      </c>
      <c r="CH2439" s="319" t="str">
        <f t="shared" si="1733"/>
        <v/>
      </c>
      <c r="CI2439" s="319" t="str">
        <f t="shared" si="1733"/>
        <v/>
      </c>
      <c r="CJ2439" s="319" t="str">
        <f t="shared" si="1733"/>
        <v/>
      </c>
      <c r="CK2439" s="342">
        <f t="shared" si="182"/>
        <v>0</v>
      </c>
      <c r="CL2439" s="333">
        <f t="shared" si="183"/>
        <v>0</v>
      </c>
      <c r="CM2439" s="1079"/>
      <c r="CN2439" s="1005"/>
      <c r="CO2439" s="1005"/>
      <c r="CP2439" s="1005"/>
    </row>
    <row r="2440">
      <c r="A2440" s="1257"/>
      <c r="B2440" s="1113"/>
      <c r="C2440" s="1107"/>
      <c r="D2440" s="103"/>
      <c r="E2440" s="1137"/>
      <c r="F2440" s="112"/>
      <c r="G2440" s="1110"/>
      <c r="H2440" s="1138"/>
      <c r="I2440" s="1138"/>
      <c r="J2440" s="1139"/>
      <c r="K2440" s="1111"/>
      <c r="L2440" s="1112"/>
      <c r="M2440" s="1113"/>
      <c r="N2440" s="110"/>
      <c r="O2440" s="1140"/>
      <c r="P2440" s="1115"/>
      <c r="Q2440" s="1116"/>
      <c r="R2440" s="1141"/>
      <c r="S2440" s="1113"/>
      <c r="T2440" s="1143"/>
      <c r="U2440" s="1108"/>
      <c r="V2440" s="1108"/>
      <c r="W2440" s="1108"/>
      <c r="X2440" s="1108"/>
      <c r="Y2440" s="1108"/>
      <c r="Z2440" s="1114"/>
      <c r="AA2440" s="1114"/>
      <c r="AB2440" s="1114"/>
      <c r="AC2440" s="1117"/>
      <c r="AD2440" s="1115"/>
      <c r="AE2440" s="1115"/>
      <c r="AF2440" s="1115"/>
      <c r="AG2440" s="1115"/>
      <c r="AH2440" s="1115"/>
      <c r="AI2440" s="1115"/>
      <c r="AJ2440" s="1117"/>
      <c r="AK2440" s="1118"/>
      <c r="AL2440" s="1115"/>
      <c r="AM2440" s="1115"/>
      <c r="AN2440" s="1115"/>
      <c r="AO2440" s="1115"/>
      <c r="AP2440" s="1115"/>
      <c r="AQ2440" s="1115"/>
      <c r="AR2440" s="1115"/>
      <c r="AS2440" s="1117"/>
      <c r="AT2440" s="1196" t="str">
        <f t="shared" si="428"/>
        <v/>
      </c>
      <c r="AU2440" s="1193"/>
      <c r="AV2440" s="330">
        <f>SQRT(($R2440-Infrastructure!J$3)^2+($S2440-Infrastructure!K$3)^2)</f>
        <v>28.90155705</v>
      </c>
      <c r="AW2440" s="331">
        <f>SQRT(($R2440-Infrastructure!J$4)^2+($S2440-Infrastructure!K$4)^2)</f>
        <v>17.80252791</v>
      </c>
      <c r="AX2440" s="331">
        <f>SQRT(($R2440-Infrastructure!J$5)^2+($S2440-Infrastructure!K$5)^2)</f>
        <v>5.10881591</v>
      </c>
      <c r="AY2440" s="331">
        <f>SQRT(($R2440-Infrastructure!J$6)^2+($S2440-Infrastructure!K$6)^2)</f>
        <v>10.10445446</v>
      </c>
      <c r="AZ2440" s="331">
        <f>SQRT(($R2440-Infrastructure!J$7)^2+($S2440-Infrastructure!K$7)^2)</f>
        <v>20.502195</v>
      </c>
      <c r="BA2440" s="331">
        <f>SQRT(($R2440-Infrastructure!J$8)^2+($S2440-Infrastructure!K$8)^2)</f>
        <v>30.10149498</v>
      </c>
      <c r="BB2440" s="331">
        <f>SQRT(($R2440-Infrastructure!J$9)^2+($S2440-Infrastructure!K$9)^2)</f>
        <v>40.3238143</v>
      </c>
      <c r="BC2440" s="331">
        <f>SQRT(($R2440-Infrastructure!J$10)^2+($S2440-Infrastructure!K$10)^2)</f>
        <v>42.72001873</v>
      </c>
      <c r="BD2440" s="331">
        <f>SQRT(($R2440-Infrastructure!J$11)^2+($S2440-Infrastructure!K$11)^2)</f>
        <v>49.56853841</v>
      </c>
      <c r="BE2440" s="333">
        <f>SQRT(($R2440-Infrastructure!J$12)^2+($S2440-Infrastructure!K$12)^2)</f>
        <v>59.51890456</v>
      </c>
      <c r="BF2440" s="330">
        <f t="shared" si="161"/>
        <v>5.10881591</v>
      </c>
      <c r="BG2440" s="333">
        <f t="shared" si="162"/>
        <v>59.51890456</v>
      </c>
      <c r="BH2440" s="1119"/>
      <c r="BI2440" s="319" t="str">
        <f t="shared" ref="BI2440:BR2440" si="1734">IF(ISNUMBER(FIND(BI$3, $CO2440)), "Y", "")</f>
        <v/>
      </c>
      <c r="BJ2440" s="319" t="str">
        <f t="shared" si="1734"/>
        <v/>
      </c>
      <c r="BK2440" s="319" t="str">
        <f t="shared" si="1734"/>
        <v/>
      </c>
      <c r="BL2440" s="319" t="str">
        <f t="shared" si="1734"/>
        <v/>
      </c>
      <c r="BM2440" s="319" t="str">
        <f t="shared" si="1734"/>
        <v/>
      </c>
      <c r="BN2440" s="319" t="str">
        <f t="shared" si="1734"/>
        <v/>
      </c>
      <c r="BO2440" s="319" t="str">
        <f t="shared" si="1734"/>
        <v/>
      </c>
      <c r="BP2440" s="319" t="str">
        <f t="shared" si="1734"/>
        <v/>
      </c>
      <c r="BQ2440" s="319" t="str">
        <f t="shared" si="1734"/>
        <v/>
      </c>
      <c r="BR2440" s="319" t="str">
        <f t="shared" si="1734"/>
        <v/>
      </c>
      <c r="BS2440" s="330">
        <f t="shared" si="185"/>
        <v>0</v>
      </c>
      <c r="BT2440" s="331">
        <f t="shared" si="170"/>
        <v>0</v>
      </c>
      <c r="BU2440" s="920"/>
      <c r="BV2440" s="903" t="str">
        <f t="shared" si="1244"/>
        <v/>
      </c>
      <c r="BW2440" s="908"/>
      <c r="BX2440" s="908"/>
      <c r="BY2440" s="331" t="b">
        <f t="shared" si="201"/>
        <v>0</v>
      </c>
      <c r="BZ2440" s="331"/>
      <c r="CA2440" s="462" t="str">
        <f t="shared" ref="CA2440:CJ2440" si="1735">IF(ISNUMBER(FIND(BI$3, $CP2440)), "Y", "")</f>
        <v/>
      </c>
      <c r="CB2440" s="319" t="str">
        <f t="shared" si="1735"/>
        <v/>
      </c>
      <c r="CC2440" s="319" t="str">
        <f t="shared" si="1735"/>
        <v/>
      </c>
      <c r="CD2440" s="319" t="str">
        <f t="shared" si="1735"/>
        <v/>
      </c>
      <c r="CE2440" s="319" t="str">
        <f t="shared" si="1735"/>
        <v/>
      </c>
      <c r="CF2440" s="319" t="str">
        <f t="shared" si="1735"/>
        <v/>
      </c>
      <c r="CG2440" s="319" t="str">
        <f t="shared" si="1735"/>
        <v/>
      </c>
      <c r="CH2440" s="319" t="str">
        <f t="shared" si="1735"/>
        <v/>
      </c>
      <c r="CI2440" s="319" t="str">
        <f t="shared" si="1735"/>
        <v/>
      </c>
      <c r="CJ2440" s="319" t="str">
        <f t="shared" si="1735"/>
        <v/>
      </c>
      <c r="CK2440" s="342">
        <f t="shared" si="182"/>
        <v>0</v>
      </c>
      <c r="CL2440" s="333">
        <f t="shared" si="183"/>
        <v>0</v>
      </c>
      <c r="CM2440" s="1079"/>
      <c r="CN2440" s="1005"/>
      <c r="CO2440" s="1005"/>
      <c r="CP2440" s="1005"/>
    </row>
    <row r="2441">
      <c r="A2441" s="1257"/>
      <c r="B2441" s="1113"/>
      <c r="C2441" s="1107"/>
      <c r="D2441" s="103"/>
      <c r="E2441" s="1137"/>
      <c r="F2441" s="112"/>
      <c r="G2441" s="1110"/>
      <c r="H2441" s="1138"/>
      <c r="I2441" s="1138"/>
      <c r="J2441" s="1139"/>
      <c r="K2441" s="1111"/>
      <c r="L2441" s="1112"/>
      <c r="M2441" s="1113"/>
      <c r="N2441" s="110"/>
      <c r="O2441" s="1140"/>
      <c r="P2441" s="1115"/>
      <c r="Q2441" s="1116"/>
      <c r="R2441" s="1141"/>
      <c r="S2441" s="1113"/>
      <c r="T2441" s="1143"/>
      <c r="U2441" s="1108"/>
      <c r="V2441" s="1108"/>
      <c r="W2441" s="1108"/>
      <c r="X2441" s="1108"/>
      <c r="Y2441" s="1108"/>
      <c r="Z2441" s="1114"/>
      <c r="AA2441" s="1114"/>
      <c r="AB2441" s="1114"/>
      <c r="AC2441" s="1117"/>
      <c r="AD2441" s="1115"/>
      <c r="AE2441" s="1115"/>
      <c r="AF2441" s="1115"/>
      <c r="AG2441" s="1115"/>
      <c r="AH2441" s="1115"/>
      <c r="AI2441" s="1115"/>
      <c r="AJ2441" s="1117"/>
      <c r="AK2441" s="1118"/>
      <c r="AL2441" s="1115"/>
      <c r="AM2441" s="1115"/>
      <c r="AN2441" s="1115"/>
      <c r="AO2441" s="1115"/>
      <c r="AP2441" s="1115"/>
      <c r="AQ2441" s="1115"/>
      <c r="AR2441" s="1115"/>
      <c r="AS2441" s="1117"/>
      <c r="AT2441" s="1196" t="str">
        <f t="shared" si="428"/>
        <v/>
      </c>
      <c r="AU2441" s="1193"/>
      <c r="AV2441" s="330">
        <f>SQRT(($R2441-Infrastructure!J$3)^2+($S2441-Infrastructure!K$3)^2)</f>
        <v>28.90155705</v>
      </c>
      <c r="AW2441" s="331">
        <f>SQRT(($R2441-Infrastructure!J$4)^2+($S2441-Infrastructure!K$4)^2)</f>
        <v>17.80252791</v>
      </c>
      <c r="AX2441" s="331">
        <f>SQRT(($R2441-Infrastructure!J$5)^2+($S2441-Infrastructure!K$5)^2)</f>
        <v>5.10881591</v>
      </c>
      <c r="AY2441" s="331">
        <f>SQRT(($R2441-Infrastructure!J$6)^2+($S2441-Infrastructure!K$6)^2)</f>
        <v>10.10445446</v>
      </c>
      <c r="AZ2441" s="331">
        <f>SQRT(($R2441-Infrastructure!J$7)^2+($S2441-Infrastructure!K$7)^2)</f>
        <v>20.502195</v>
      </c>
      <c r="BA2441" s="331">
        <f>SQRT(($R2441-Infrastructure!J$8)^2+($S2441-Infrastructure!K$8)^2)</f>
        <v>30.10149498</v>
      </c>
      <c r="BB2441" s="331">
        <f>SQRT(($R2441-Infrastructure!J$9)^2+($S2441-Infrastructure!K$9)^2)</f>
        <v>40.3238143</v>
      </c>
      <c r="BC2441" s="331">
        <f>SQRT(($R2441-Infrastructure!J$10)^2+($S2441-Infrastructure!K$10)^2)</f>
        <v>42.72001873</v>
      </c>
      <c r="BD2441" s="331">
        <f>SQRT(($R2441-Infrastructure!J$11)^2+($S2441-Infrastructure!K$11)^2)</f>
        <v>49.56853841</v>
      </c>
      <c r="BE2441" s="333">
        <f>SQRT(($R2441-Infrastructure!J$12)^2+($S2441-Infrastructure!K$12)^2)</f>
        <v>59.51890456</v>
      </c>
      <c r="BF2441" s="330">
        <f t="shared" si="161"/>
        <v>5.10881591</v>
      </c>
      <c r="BG2441" s="333">
        <f t="shared" si="162"/>
        <v>59.51890456</v>
      </c>
      <c r="BH2441" s="1119"/>
      <c r="BI2441" s="319" t="str">
        <f t="shared" ref="BI2441:BR2441" si="1736">IF(ISNUMBER(FIND(BI$3, $CO2441)), "Y", "")</f>
        <v/>
      </c>
      <c r="BJ2441" s="319" t="str">
        <f t="shared" si="1736"/>
        <v/>
      </c>
      <c r="BK2441" s="319" t="str">
        <f t="shared" si="1736"/>
        <v/>
      </c>
      <c r="BL2441" s="319" t="str">
        <f t="shared" si="1736"/>
        <v/>
      </c>
      <c r="BM2441" s="319" t="str">
        <f t="shared" si="1736"/>
        <v/>
      </c>
      <c r="BN2441" s="319" t="str">
        <f t="shared" si="1736"/>
        <v/>
      </c>
      <c r="BO2441" s="319" t="str">
        <f t="shared" si="1736"/>
        <v/>
      </c>
      <c r="BP2441" s="319" t="str">
        <f t="shared" si="1736"/>
        <v/>
      </c>
      <c r="BQ2441" s="319" t="str">
        <f t="shared" si="1736"/>
        <v/>
      </c>
      <c r="BR2441" s="319" t="str">
        <f t="shared" si="1736"/>
        <v/>
      </c>
      <c r="BS2441" s="330">
        <f t="shared" si="185"/>
        <v>0</v>
      </c>
      <c r="BT2441" s="331">
        <f t="shared" si="170"/>
        <v>0</v>
      </c>
      <c r="BU2441" s="920"/>
      <c r="BV2441" s="903" t="str">
        <f t="shared" si="1244"/>
        <v/>
      </c>
      <c r="BW2441" s="908"/>
      <c r="BX2441" s="908"/>
      <c r="BY2441" s="331" t="b">
        <f t="shared" si="201"/>
        <v>0</v>
      </c>
      <c r="BZ2441" s="331"/>
      <c r="CA2441" s="462" t="str">
        <f t="shared" ref="CA2441:CJ2441" si="1737">IF(ISNUMBER(FIND(BI$3, $CP2441)), "Y", "")</f>
        <v/>
      </c>
      <c r="CB2441" s="319" t="str">
        <f t="shared" si="1737"/>
        <v/>
      </c>
      <c r="CC2441" s="319" t="str">
        <f t="shared" si="1737"/>
        <v/>
      </c>
      <c r="CD2441" s="319" t="str">
        <f t="shared" si="1737"/>
        <v/>
      </c>
      <c r="CE2441" s="319" t="str">
        <f t="shared" si="1737"/>
        <v/>
      </c>
      <c r="CF2441" s="319" t="str">
        <f t="shared" si="1737"/>
        <v/>
      </c>
      <c r="CG2441" s="319" t="str">
        <f t="shared" si="1737"/>
        <v/>
      </c>
      <c r="CH2441" s="319" t="str">
        <f t="shared" si="1737"/>
        <v/>
      </c>
      <c r="CI2441" s="319" t="str">
        <f t="shared" si="1737"/>
        <v/>
      </c>
      <c r="CJ2441" s="319" t="str">
        <f t="shared" si="1737"/>
        <v/>
      </c>
      <c r="CK2441" s="342">
        <f t="shared" si="182"/>
        <v>0</v>
      </c>
      <c r="CL2441" s="333">
        <f t="shared" si="183"/>
        <v>0</v>
      </c>
      <c r="CM2441" s="1079"/>
      <c r="CN2441" s="1005"/>
      <c r="CO2441" s="1005"/>
      <c r="CP2441" s="1005"/>
    </row>
    <row r="2442">
      <c r="A2442" s="1257"/>
      <c r="B2442" s="1113"/>
      <c r="C2442" s="1107"/>
      <c r="D2442" s="103"/>
      <c r="E2442" s="1137"/>
      <c r="F2442" s="112"/>
      <c r="G2442" s="1110"/>
      <c r="H2442" s="1138"/>
      <c r="I2442" s="1138"/>
      <c r="J2442" s="1139"/>
      <c r="K2442" s="1111"/>
      <c r="L2442" s="1112"/>
      <c r="M2442" s="1113"/>
      <c r="N2442" s="110"/>
      <c r="O2442" s="1140"/>
      <c r="P2442" s="1115"/>
      <c r="Q2442" s="1116"/>
      <c r="R2442" s="1141"/>
      <c r="S2442" s="1113"/>
      <c r="T2442" s="1143"/>
      <c r="U2442" s="1108"/>
      <c r="V2442" s="1108"/>
      <c r="W2442" s="1108"/>
      <c r="X2442" s="1108"/>
      <c r="Y2442" s="1108"/>
      <c r="Z2442" s="1114"/>
      <c r="AA2442" s="1114"/>
      <c r="AB2442" s="1114"/>
      <c r="AC2442" s="1117"/>
      <c r="AD2442" s="1115"/>
      <c r="AE2442" s="1115"/>
      <c r="AF2442" s="1115"/>
      <c r="AG2442" s="1115"/>
      <c r="AH2442" s="1115"/>
      <c r="AI2442" s="1115"/>
      <c r="AJ2442" s="1117"/>
      <c r="AK2442" s="1118"/>
      <c r="AL2442" s="1115"/>
      <c r="AM2442" s="1115"/>
      <c r="AN2442" s="1115"/>
      <c r="AO2442" s="1115"/>
      <c r="AP2442" s="1115"/>
      <c r="AQ2442" s="1115"/>
      <c r="AR2442" s="1115"/>
      <c r="AS2442" s="1117"/>
      <c r="AT2442" s="1196" t="str">
        <f t="shared" si="428"/>
        <v/>
      </c>
      <c r="AU2442" s="1193"/>
      <c r="AV2442" s="330">
        <f>SQRT(($R2442-Infrastructure!J$3)^2+($S2442-Infrastructure!K$3)^2)</f>
        <v>28.90155705</v>
      </c>
      <c r="AW2442" s="331">
        <f>SQRT(($R2442-Infrastructure!J$4)^2+($S2442-Infrastructure!K$4)^2)</f>
        <v>17.80252791</v>
      </c>
      <c r="AX2442" s="331">
        <f>SQRT(($R2442-Infrastructure!J$5)^2+($S2442-Infrastructure!K$5)^2)</f>
        <v>5.10881591</v>
      </c>
      <c r="AY2442" s="331">
        <f>SQRT(($R2442-Infrastructure!J$6)^2+($S2442-Infrastructure!K$6)^2)</f>
        <v>10.10445446</v>
      </c>
      <c r="AZ2442" s="331">
        <f>SQRT(($R2442-Infrastructure!J$7)^2+($S2442-Infrastructure!K$7)^2)</f>
        <v>20.502195</v>
      </c>
      <c r="BA2442" s="331">
        <f>SQRT(($R2442-Infrastructure!J$8)^2+($S2442-Infrastructure!K$8)^2)</f>
        <v>30.10149498</v>
      </c>
      <c r="BB2442" s="331">
        <f>SQRT(($R2442-Infrastructure!J$9)^2+($S2442-Infrastructure!K$9)^2)</f>
        <v>40.3238143</v>
      </c>
      <c r="BC2442" s="331">
        <f>SQRT(($R2442-Infrastructure!J$10)^2+($S2442-Infrastructure!K$10)^2)</f>
        <v>42.72001873</v>
      </c>
      <c r="BD2442" s="331">
        <f>SQRT(($R2442-Infrastructure!J$11)^2+($S2442-Infrastructure!K$11)^2)</f>
        <v>49.56853841</v>
      </c>
      <c r="BE2442" s="333">
        <f>SQRT(($R2442-Infrastructure!J$12)^2+($S2442-Infrastructure!K$12)^2)</f>
        <v>59.51890456</v>
      </c>
      <c r="BF2442" s="330">
        <f t="shared" si="161"/>
        <v>5.10881591</v>
      </c>
      <c r="BG2442" s="333">
        <f t="shared" si="162"/>
        <v>59.51890456</v>
      </c>
      <c r="BH2442" s="1119"/>
      <c r="BI2442" s="319" t="str">
        <f t="shared" ref="BI2442:BR2442" si="1738">IF(ISNUMBER(FIND(BI$3, $CO2442)), "Y", "")</f>
        <v/>
      </c>
      <c r="BJ2442" s="319" t="str">
        <f t="shared" si="1738"/>
        <v/>
      </c>
      <c r="BK2442" s="319" t="str">
        <f t="shared" si="1738"/>
        <v/>
      </c>
      <c r="BL2442" s="319" t="str">
        <f t="shared" si="1738"/>
        <v/>
      </c>
      <c r="BM2442" s="319" t="str">
        <f t="shared" si="1738"/>
        <v/>
      </c>
      <c r="BN2442" s="319" t="str">
        <f t="shared" si="1738"/>
        <v/>
      </c>
      <c r="BO2442" s="319" t="str">
        <f t="shared" si="1738"/>
        <v/>
      </c>
      <c r="BP2442" s="319" t="str">
        <f t="shared" si="1738"/>
        <v/>
      </c>
      <c r="BQ2442" s="319" t="str">
        <f t="shared" si="1738"/>
        <v/>
      </c>
      <c r="BR2442" s="319" t="str">
        <f t="shared" si="1738"/>
        <v/>
      </c>
      <c r="BS2442" s="330">
        <f t="shared" si="185"/>
        <v>0</v>
      </c>
      <c r="BT2442" s="331">
        <f t="shared" si="170"/>
        <v>0</v>
      </c>
      <c r="BU2442" s="920"/>
      <c r="BV2442" s="903" t="str">
        <f t="shared" si="1244"/>
        <v/>
      </c>
      <c r="BW2442" s="908"/>
      <c r="BX2442" s="908"/>
      <c r="BY2442" s="331" t="b">
        <f t="shared" si="201"/>
        <v>0</v>
      </c>
      <c r="BZ2442" s="331"/>
      <c r="CA2442" s="462" t="str">
        <f t="shared" ref="CA2442:CJ2442" si="1739">IF(ISNUMBER(FIND(BI$3, $CP2442)), "Y", "")</f>
        <v/>
      </c>
      <c r="CB2442" s="319" t="str">
        <f t="shared" si="1739"/>
        <v/>
      </c>
      <c r="CC2442" s="319" t="str">
        <f t="shared" si="1739"/>
        <v/>
      </c>
      <c r="CD2442" s="319" t="str">
        <f t="shared" si="1739"/>
        <v/>
      </c>
      <c r="CE2442" s="319" t="str">
        <f t="shared" si="1739"/>
        <v/>
      </c>
      <c r="CF2442" s="319" t="str">
        <f t="shared" si="1739"/>
        <v/>
      </c>
      <c r="CG2442" s="319" t="str">
        <f t="shared" si="1739"/>
        <v/>
      </c>
      <c r="CH2442" s="319" t="str">
        <f t="shared" si="1739"/>
        <v/>
      </c>
      <c r="CI2442" s="319" t="str">
        <f t="shared" si="1739"/>
        <v/>
      </c>
      <c r="CJ2442" s="319" t="str">
        <f t="shared" si="1739"/>
        <v/>
      </c>
      <c r="CK2442" s="342">
        <f t="shared" si="182"/>
        <v>0</v>
      </c>
      <c r="CL2442" s="333">
        <f t="shared" si="183"/>
        <v>0</v>
      </c>
      <c r="CM2442" s="1079"/>
      <c r="CN2442" s="1005"/>
      <c r="CO2442" s="1005"/>
      <c r="CP2442" s="1005"/>
    </row>
    <row r="2443">
      <c r="A2443" s="1257"/>
      <c r="B2443" s="1113"/>
      <c r="C2443" s="1107"/>
      <c r="D2443" s="103"/>
      <c r="E2443" s="1137"/>
      <c r="F2443" s="112"/>
      <c r="G2443" s="1110"/>
      <c r="H2443" s="1138"/>
      <c r="I2443" s="1138"/>
      <c r="J2443" s="1139"/>
      <c r="K2443" s="1111"/>
      <c r="L2443" s="1112"/>
      <c r="M2443" s="1113"/>
      <c r="N2443" s="110"/>
      <c r="O2443" s="1140"/>
      <c r="P2443" s="1115"/>
      <c r="Q2443" s="1116"/>
      <c r="R2443" s="1141"/>
      <c r="S2443" s="1113"/>
      <c r="T2443" s="1143"/>
      <c r="U2443" s="1108"/>
      <c r="V2443" s="1108"/>
      <c r="W2443" s="1108"/>
      <c r="X2443" s="1108"/>
      <c r="Y2443" s="1108"/>
      <c r="Z2443" s="1114"/>
      <c r="AA2443" s="1114"/>
      <c r="AB2443" s="1114"/>
      <c r="AC2443" s="1117"/>
      <c r="AD2443" s="1115"/>
      <c r="AE2443" s="1115"/>
      <c r="AF2443" s="1115"/>
      <c r="AG2443" s="1115"/>
      <c r="AH2443" s="1115"/>
      <c r="AI2443" s="1115"/>
      <c r="AJ2443" s="1117"/>
      <c r="AK2443" s="1118"/>
      <c r="AL2443" s="1115"/>
      <c r="AM2443" s="1115"/>
      <c r="AN2443" s="1115"/>
      <c r="AO2443" s="1115"/>
      <c r="AP2443" s="1115"/>
      <c r="AQ2443" s="1115"/>
      <c r="AR2443" s="1115"/>
      <c r="AS2443" s="1117"/>
      <c r="AT2443" s="1196" t="str">
        <f t="shared" si="428"/>
        <v/>
      </c>
      <c r="AU2443" s="1193"/>
      <c r="AV2443" s="330">
        <f>SQRT(($R2443-Infrastructure!J$3)^2+($S2443-Infrastructure!K$3)^2)</f>
        <v>28.90155705</v>
      </c>
      <c r="AW2443" s="331">
        <f>SQRT(($R2443-Infrastructure!J$4)^2+($S2443-Infrastructure!K$4)^2)</f>
        <v>17.80252791</v>
      </c>
      <c r="AX2443" s="331">
        <f>SQRT(($R2443-Infrastructure!J$5)^2+($S2443-Infrastructure!K$5)^2)</f>
        <v>5.10881591</v>
      </c>
      <c r="AY2443" s="331">
        <f>SQRT(($R2443-Infrastructure!J$6)^2+($S2443-Infrastructure!K$6)^2)</f>
        <v>10.10445446</v>
      </c>
      <c r="AZ2443" s="331">
        <f>SQRT(($R2443-Infrastructure!J$7)^2+($S2443-Infrastructure!K$7)^2)</f>
        <v>20.502195</v>
      </c>
      <c r="BA2443" s="331">
        <f>SQRT(($R2443-Infrastructure!J$8)^2+($S2443-Infrastructure!K$8)^2)</f>
        <v>30.10149498</v>
      </c>
      <c r="BB2443" s="331">
        <f>SQRT(($R2443-Infrastructure!J$9)^2+($S2443-Infrastructure!K$9)^2)</f>
        <v>40.3238143</v>
      </c>
      <c r="BC2443" s="331">
        <f>SQRT(($R2443-Infrastructure!J$10)^2+($S2443-Infrastructure!K$10)^2)</f>
        <v>42.72001873</v>
      </c>
      <c r="BD2443" s="331">
        <f>SQRT(($R2443-Infrastructure!J$11)^2+($S2443-Infrastructure!K$11)^2)</f>
        <v>49.56853841</v>
      </c>
      <c r="BE2443" s="333">
        <f>SQRT(($R2443-Infrastructure!J$12)^2+($S2443-Infrastructure!K$12)^2)</f>
        <v>59.51890456</v>
      </c>
      <c r="BF2443" s="330">
        <f t="shared" si="161"/>
        <v>5.10881591</v>
      </c>
      <c r="BG2443" s="333">
        <f t="shared" si="162"/>
        <v>59.51890456</v>
      </c>
      <c r="BH2443" s="1119"/>
      <c r="BI2443" s="319" t="str">
        <f t="shared" ref="BI2443:BR2443" si="1740">IF(ISNUMBER(FIND(BI$3, $CO2443)), "Y", "")</f>
        <v/>
      </c>
      <c r="BJ2443" s="319" t="str">
        <f t="shared" si="1740"/>
        <v/>
      </c>
      <c r="BK2443" s="319" t="str">
        <f t="shared" si="1740"/>
        <v/>
      </c>
      <c r="BL2443" s="319" t="str">
        <f t="shared" si="1740"/>
        <v/>
      </c>
      <c r="BM2443" s="319" t="str">
        <f t="shared" si="1740"/>
        <v/>
      </c>
      <c r="BN2443" s="319" t="str">
        <f t="shared" si="1740"/>
        <v/>
      </c>
      <c r="BO2443" s="319" t="str">
        <f t="shared" si="1740"/>
        <v/>
      </c>
      <c r="BP2443" s="319" t="str">
        <f t="shared" si="1740"/>
        <v/>
      </c>
      <c r="BQ2443" s="319" t="str">
        <f t="shared" si="1740"/>
        <v/>
      </c>
      <c r="BR2443" s="319" t="str">
        <f t="shared" si="1740"/>
        <v/>
      </c>
      <c r="BS2443" s="330">
        <f t="shared" si="185"/>
        <v>0</v>
      </c>
      <c r="BT2443" s="331">
        <f t="shared" si="170"/>
        <v>0</v>
      </c>
      <c r="BU2443" s="920"/>
      <c r="BV2443" s="903" t="str">
        <f t="shared" si="1244"/>
        <v/>
      </c>
      <c r="BW2443" s="908"/>
      <c r="BX2443" s="908"/>
      <c r="BY2443" s="331" t="b">
        <f t="shared" si="201"/>
        <v>0</v>
      </c>
      <c r="BZ2443" s="331"/>
      <c r="CA2443" s="462" t="str">
        <f t="shared" ref="CA2443:CJ2443" si="1741">IF(ISNUMBER(FIND(BI$3, $CP2443)), "Y", "")</f>
        <v/>
      </c>
      <c r="CB2443" s="319" t="str">
        <f t="shared" si="1741"/>
        <v/>
      </c>
      <c r="CC2443" s="319" t="str">
        <f t="shared" si="1741"/>
        <v/>
      </c>
      <c r="CD2443" s="319" t="str">
        <f t="shared" si="1741"/>
        <v/>
      </c>
      <c r="CE2443" s="319" t="str">
        <f t="shared" si="1741"/>
        <v/>
      </c>
      <c r="CF2443" s="319" t="str">
        <f t="shared" si="1741"/>
        <v/>
      </c>
      <c r="CG2443" s="319" t="str">
        <f t="shared" si="1741"/>
        <v/>
      </c>
      <c r="CH2443" s="319" t="str">
        <f t="shared" si="1741"/>
        <v/>
      </c>
      <c r="CI2443" s="319" t="str">
        <f t="shared" si="1741"/>
        <v/>
      </c>
      <c r="CJ2443" s="319" t="str">
        <f t="shared" si="1741"/>
        <v/>
      </c>
      <c r="CK2443" s="342">
        <f t="shared" si="182"/>
        <v>0</v>
      </c>
      <c r="CL2443" s="333">
        <f t="shared" si="183"/>
        <v>0</v>
      </c>
      <c r="CM2443" s="1079"/>
      <c r="CN2443" s="1005"/>
      <c r="CO2443" s="1005"/>
      <c r="CP2443" s="1005"/>
    </row>
    <row r="2444">
      <c r="A2444" s="1257"/>
      <c r="B2444" s="1113"/>
      <c r="C2444" s="1107"/>
      <c r="D2444" s="103"/>
      <c r="E2444" s="1137"/>
      <c r="F2444" s="112"/>
      <c r="G2444" s="1110"/>
      <c r="H2444" s="1138"/>
      <c r="I2444" s="1138"/>
      <c r="J2444" s="1139"/>
      <c r="K2444" s="1111"/>
      <c r="L2444" s="1112"/>
      <c r="M2444" s="1113"/>
      <c r="N2444" s="110"/>
      <c r="O2444" s="1140"/>
      <c r="P2444" s="1115"/>
      <c r="Q2444" s="1116"/>
      <c r="R2444" s="1141"/>
      <c r="S2444" s="1113"/>
      <c r="T2444" s="1143"/>
      <c r="U2444" s="1108"/>
      <c r="V2444" s="1108"/>
      <c r="W2444" s="1108"/>
      <c r="X2444" s="1108"/>
      <c r="Y2444" s="1108"/>
      <c r="Z2444" s="1114"/>
      <c r="AA2444" s="1114"/>
      <c r="AB2444" s="1114"/>
      <c r="AC2444" s="1117"/>
      <c r="AD2444" s="1115"/>
      <c r="AE2444" s="1115"/>
      <c r="AF2444" s="1115"/>
      <c r="AG2444" s="1115"/>
      <c r="AH2444" s="1115"/>
      <c r="AI2444" s="1115"/>
      <c r="AJ2444" s="1117"/>
      <c r="AK2444" s="1118"/>
      <c r="AL2444" s="1115"/>
      <c r="AM2444" s="1115"/>
      <c r="AN2444" s="1115"/>
      <c r="AO2444" s="1115"/>
      <c r="AP2444" s="1115"/>
      <c r="AQ2444" s="1115"/>
      <c r="AR2444" s="1115"/>
      <c r="AS2444" s="1117"/>
      <c r="AT2444" s="1196" t="str">
        <f t="shared" si="428"/>
        <v/>
      </c>
      <c r="AU2444" s="1193"/>
      <c r="AV2444" s="330">
        <f>SQRT(($R2444-Infrastructure!J$3)^2+($S2444-Infrastructure!K$3)^2)</f>
        <v>28.90155705</v>
      </c>
      <c r="AW2444" s="331">
        <f>SQRT(($R2444-Infrastructure!J$4)^2+($S2444-Infrastructure!K$4)^2)</f>
        <v>17.80252791</v>
      </c>
      <c r="AX2444" s="331">
        <f>SQRT(($R2444-Infrastructure!J$5)^2+($S2444-Infrastructure!K$5)^2)</f>
        <v>5.10881591</v>
      </c>
      <c r="AY2444" s="331">
        <f>SQRT(($R2444-Infrastructure!J$6)^2+($S2444-Infrastructure!K$6)^2)</f>
        <v>10.10445446</v>
      </c>
      <c r="AZ2444" s="331">
        <f>SQRT(($R2444-Infrastructure!J$7)^2+($S2444-Infrastructure!K$7)^2)</f>
        <v>20.502195</v>
      </c>
      <c r="BA2444" s="331">
        <f>SQRT(($R2444-Infrastructure!J$8)^2+($S2444-Infrastructure!K$8)^2)</f>
        <v>30.10149498</v>
      </c>
      <c r="BB2444" s="331">
        <f>SQRT(($R2444-Infrastructure!J$9)^2+($S2444-Infrastructure!K$9)^2)</f>
        <v>40.3238143</v>
      </c>
      <c r="BC2444" s="331">
        <f>SQRT(($R2444-Infrastructure!J$10)^2+($S2444-Infrastructure!K$10)^2)</f>
        <v>42.72001873</v>
      </c>
      <c r="BD2444" s="331">
        <f>SQRT(($R2444-Infrastructure!J$11)^2+($S2444-Infrastructure!K$11)^2)</f>
        <v>49.56853841</v>
      </c>
      <c r="BE2444" s="333">
        <f>SQRT(($R2444-Infrastructure!J$12)^2+($S2444-Infrastructure!K$12)^2)</f>
        <v>59.51890456</v>
      </c>
      <c r="BF2444" s="330">
        <f t="shared" si="161"/>
        <v>5.10881591</v>
      </c>
      <c r="BG2444" s="333">
        <f t="shared" si="162"/>
        <v>59.51890456</v>
      </c>
      <c r="BH2444" s="1119"/>
      <c r="BI2444" s="319" t="str">
        <f t="shared" ref="BI2444:BR2444" si="1742">IF(ISNUMBER(FIND(BI$3, $CO2444)), "Y", "")</f>
        <v/>
      </c>
      <c r="BJ2444" s="319" t="str">
        <f t="shared" si="1742"/>
        <v/>
      </c>
      <c r="BK2444" s="319" t="str">
        <f t="shared" si="1742"/>
        <v/>
      </c>
      <c r="BL2444" s="319" t="str">
        <f t="shared" si="1742"/>
        <v/>
      </c>
      <c r="BM2444" s="319" t="str">
        <f t="shared" si="1742"/>
        <v/>
      </c>
      <c r="BN2444" s="319" t="str">
        <f t="shared" si="1742"/>
        <v/>
      </c>
      <c r="BO2444" s="319" t="str">
        <f t="shared" si="1742"/>
        <v/>
      </c>
      <c r="BP2444" s="319" t="str">
        <f t="shared" si="1742"/>
        <v/>
      </c>
      <c r="BQ2444" s="319" t="str">
        <f t="shared" si="1742"/>
        <v/>
      </c>
      <c r="BR2444" s="319" t="str">
        <f t="shared" si="1742"/>
        <v/>
      </c>
      <c r="BS2444" s="330">
        <f t="shared" si="185"/>
        <v>0</v>
      </c>
      <c r="BT2444" s="331">
        <f t="shared" si="170"/>
        <v>0</v>
      </c>
      <c r="BU2444" s="920"/>
      <c r="BV2444" s="903" t="str">
        <f t="shared" si="1244"/>
        <v/>
      </c>
      <c r="BW2444" s="908"/>
      <c r="BX2444" s="908"/>
      <c r="BY2444" s="331" t="b">
        <f t="shared" si="201"/>
        <v>0</v>
      </c>
      <c r="BZ2444" s="331"/>
      <c r="CA2444" s="462" t="str">
        <f t="shared" ref="CA2444:CJ2444" si="1743">IF(ISNUMBER(FIND(BI$3, $CP2444)), "Y", "")</f>
        <v/>
      </c>
      <c r="CB2444" s="319" t="str">
        <f t="shared" si="1743"/>
        <v/>
      </c>
      <c r="CC2444" s="319" t="str">
        <f t="shared" si="1743"/>
        <v/>
      </c>
      <c r="CD2444" s="319" t="str">
        <f t="shared" si="1743"/>
        <v/>
      </c>
      <c r="CE2444" s="319" t="str">
        <f t="shared" si="1743"/>
        <v/>
      </c>
      <c r="CF2444" s="319" t="str">
        <f t="shared" si="1743"/>
        <v/>
      </c>
      <c r="CG2444" s="319" t="str">
        <f t="shared" si="1743"/>
        <v/>
      </c>
      <c r="CH2444" s="319" t="str">
        <f t="shared" si="1743"/>
        <v/>
      </c>
      <c r="CI2444" s="319" t="str">
        <f t="shared" si="1743"/>
        <v/>
      </c>
      <c r="CJ2444" s="319" t="str">
        <f t="shared" si="1743"/>
        <v/>
      </c>
      <c r="CK2444" s="342">
        <f t="shared" si="182"/>
        <v>0</v>
      </c>
      <c r="CL2444" s="333">
        <f t="shared" si="183"/>
        <v>0</v>
      </c>
      <c r="CM2444" s="1079"/>
      <c r="CN2444" s="1005"/>
      <c r="CO2444" s="1005"/>
      <c r="CP2444" s="1005"/>
    </row>
    <row r="2445">
      <c r="A2445" s="1257"/>
      <c r="B2445" s="1113"/>
      <c r="C2445" s="1107"/>
      <c r="D2445" s="103"/>
      <c r="E2445" s="1137"/>
      <c r="F2445" s="112"/>
      <c r="G2445" s="1110"/>
      <c r="H2445" s="1138"/>
      <c r="I2445" s="1138"/>
      <c r="J2445" s="1139"/>
      <c r="K2445" s="1111"/>
      <c r="L2445" s="1112"/>
      <c r="M2445" s="1113"/>
      <c r="N2445" s="110"/>
      <c r="O2445" s="1140"/>
      <c r="P2445" s="1115"/>
      <c r="Q2445" s="1116"/>
      <c r="R2445" s="1141"/>
      <c r="S2445" s="1113"/>
      <c r="T2445" s="1143"/>
      <c r="U2445" s="1108"/>
      <c r="V2445" s="1108"/>
      <c r="W2445" s="1108"/>
      <c r="X2445" s="1108"/>
      <c r="Y2445" s="1108"/>
      <c r="Z2445" s="1114"/>
      <c r="AA2445" s="1114"/>
      <c r="AB2445" s="1114"/>
      <c r="AC2445" s="1117"/>
      <c r="AD2445" s="1115"/>
      <c r="AE2445" s="1115"/>
      <c r="AF2445" s="1115"/>
      <c r="AG2445" s="1115"/>
      <c r="AH2445" s="1115"/>
      <c r="AI2445" s="1115"/>
      <c r="AJ2445" s="1117"/>
      <c r="AK2445" s="1118"/>
      <c r="AL2445" s="1115"/>
      <c r="AM2445" s="1115"/>
      <c r="AN2445" s="1115"/>
      <c r="AO2445" s="1115"/>
      <c r="AP2445" s="1115"/>
      <c r="AQ2445" s="1115"/>
      <c r="AR2445" s="1115"/>
      <c r="AS2445" s="1117"/>
      <c r="AT2445" s="1196" t="str">
        <f t="shared" si="428"/>
        <v/>
      </c>
      <c r="AU2445" s="1193"/>
      <c r="AV2445" s="330">
        <f>SQRT(($R2445-Infrastructure!J$3)^2+($S2445-Infrastructure!K$3)^2)</f>
        <v>28.90155705</v>
      </c>
      <c r="AW2445" s="331">
        <f>SQRT(($R2445-Infrastructure!J$4)^2+($S2445-Infrastructure!K$4)^2)</f>
        <v>17.80252791</v>
      </c>
      <c r="AX2445" s="331">
        <f>SQRT(($R2445-Infrastructure!J$5)^2+($S2445-Infrastructure!K$5)^2)</f>
        <v>5.10881591</v>
      </c>
      <c r="AY2445" s="331">
        <f>SQRT(($R2445-Infrastructure!J$6)^2+($S2445-Infrastructure!K$6)^2)</f>
        <v>10.10445446</v>
      </c>
      <c r="AZ2445" s="331">
        <f>SQRT(($R2445-Infrastructure!J$7)^2+($S2445-Infrastructure!K$7)^2)</f>
        <v>20.502195</v>
      </c>
      <c r="BA2445" s="331">
        <f>SQRT(($R2445-Infrastructure!J$8)^2+($S2445-Infrastructure!K$8)^2)</f>
        <v>30.10149498</v>
      </c>
      <c r="BB2445" s="331">
        <f>SQRT(($R2445-Infrastructure!J$9)^2+($S2445-Infrastructure!K$9)^2)</f>
        <v>40.3238143</v>
      </c>
      <c r="BC2445" s="331">
        <f>SQRT(($R2445-Infrastructure!J$10)^2+($S2445-Infrastructure!K$10)^2)</f>
        <v>42.72001873</v>
      </c>
      <c r="BD2445" s="331">
        <f>SQRT(($R2445-Infrastructure!J$11)^2+($S2445-Infrastructure!K$11)^2)</f>
        <v>49.56853841</v>
      </c>
      <c r="BE2445" s="333">
        <f>SQRT(($R2445-Infrastructure!J$12)^2+($S2445-Infrastructure!K$12)^2)</f>
        <v>59.51890456</v>
      </c>
      <c r="BF2445" s="330">
        <f t="shared" si="161"/>
        <v>5.10881591</v>
      </c>
      <c r="BG2445" s="333">
        <f t="shared" si="162"/>
        <v>59.51890456</v>
      </c>
      <c r="BH2445" s="1119"/>
      <c r="BI2445" s="319" t="str">
        <f t="shared" ref="BI2445:BR2445" si="1744">IF(ISNUMBER(FIND(BI$3, $CO2445)), "Y", "")</f>
        <v/>
      </c>
      <c r="BJ2445" s="319" t="str">
        <f t="shared" si="1744"/>
        <v/>
      </c>
      <c r="BK2445" s="319" t="str">
        <f t="shared" si="1744"/>
        <v/>
      </c>
      <c r="BL2445" s="319" t="str">
        <f t="shared" si="1744"/>
        <v/>
      </c>
      <c r="BM2445" s="319" t="str">
        <f t="shared" si="1744"/>
        <v/>
      </c>
      <c r="BN2445" s="319" t="str">
        <f t="shared" si="1744"/>
        <v/>
      </c>
      <c r="BO2445" s="319" t="str">
        <f t="shared" si="1744"/>
        <v/>
      </c>
      <c r="BP2445" s="319" t="str">
        <f t="shared" si="1744"/>
        <v/>
      </c>
      <c r="BQ2445" s="319" t="str">
        <f t="shared" si="1744"/>
        <v/>
      </c>
      <c r="BR2445" s="319" t="str">
        <f t="shared" si="1744"/>
        <v/>
      </c>
      <c r="BS2445" s="330">
        <f t="shared" si="185"/>
        <v>0</v>
      </c>
      <c r="BT2445" s="331">
        <f t="shared" si="170"/>
        <v>0</v>
      </c>
      <c r="BU2445" s="920"/>
      <c r="BV2445" s="903" t="str">
        <f t="shared" si="1244"/>
        <v/>
      </c>
      <c r="BW2445" s="908"/>
      <c r="BX2445" s="908"/>
      <c r="BY2445" s="331" t="b">
        <f t="shared" si="201"/>
        <v>0</v>
      </c>
      <c r="BZ2445" s="331"/>
      <c r="CA2445" s="462" t="str">
        <f t="shared" ref="CA2445:CJ2445" si="1745">IF(ISNUMBER(FIND(BI$3, $CP2445)), "Y", "")</f>
        <v/>
      </c>
      <c r="CB2445" s="319" t="str">
        <f t="shared" si="1745"/>
        <v/>
      </c>
      <c r="CC2445" s="319" t="str">
        <f t="shared" si="1745"/>
        <v/>
      </c>
      <c r="CD2445" s="319" t="str">
        <f t="shared" si="1745"/>
        <v/>
      </c>
      <c r="CE2445" s="319" t="str">
        <f t="shared" si="1745"/>
        <v/>
      </c>
      <c r="CF2445" s="319" t="str">
        <f t="shared" si="1745"/>
        <v/>
      </c>
      <c r="CG2445" s="319" t="str">
        <f t="shared" si="1745"/>
        <v/>
      </c>
      <c r="CH2445" s="319" t="str">
        <f t="shared" si="1745"/>
        <v/>
      </c>
      <c r="CI2445" s="319" t="str">
        <f t="shared" si="1745"/>
        <v/>
      </c>
      <c r="CJ2445" s="319" t="str">
        <f t="shared" si="1745"/>
        <v/>
      </c>
      <c r="CK2445" s="342">
        <f t="shared" si="182"/>
        <v>0</v>
      </c>
      <c r="CL2445" s="333">
        <f t="shared" si="183"/>
        <v>0</v>
      </c>
      <c r="CM2445" s="1079"/>
      <c r="CN2445" s="1005"/>
      <c r="CO2445" s="1005"/>
      <c r="CP2445" s="1005"/>
    </row>
    <row r="2446">
      <c r="A2446" s="1257"/>
      <c r="B2446" s="1113"/>
      <c r="C2446" s="1107"/>
      <c r="D2446" s="103"/>
      <c r="E2446" s="1137"/>
      <c r="F2446" s="112"/>
      <c r="G2446" s="1110"/>
      <c r="H2446" s="1138"/>
      <c r="I2446" s="1138"/>
      <c r="J2446" s="1139"/>
      <c r="K2446" s="1111"/>
      <c r="L2446" s="1112"/>
      <c r="M2446" s="1113"/>
      <c r="N2446" s="110"/>
      <c r="O2446" s="1140"/>
      <c r="P2446" s="1115"/>
      <c r="Q2446" s="1116"/>
      <c r="R2446" s="1141"/>
      <c r="S2446" s="1113"/>
      <c r="T2446" s="1143"/>
      <c r="U2446" s="1108"/>
      <c r="V2446" s="1108"/>
      <c r="W2446" s="1108"/>
      <c r="X2446" s="1108"/>
      <c r="Y2446" s="1108"/>
      <c r="Z2446" s="1114"/>
      <c r="AA2446" s="1114"/>
      <c r="AB2446" s="1114"/>
      <c r="AC2446" s="1117"/>
      <c r="AD2446" s="1115"/>
      <c r="AE2446" s="1115"/>
      <c r="AF2446" s="1115"/>
      <c r="AG2446" s="1115"/>
      <c r="AH2446" s="1115"/>
      <c r="AI2446" s="1115"/>
      <c r="AJ2446" s="1117"/>
      <c r="AK2446" s="1118"/>
      <c r="AL2446" s="1115"/>
      <c r="AM2446" s="1115"/>
      <c r="AN2446" s="1115"/>
      <c r="AO2446" s="1115"/>
      <c r="AP2446" s="1115"/>
      <c r="AQ2446" s="1115"/>
      <c r="AR2446" s="1115"/>
      <c r="AS2446" s="1117"/>
      <c r="AT2446" s="1196" t="str">
        <f t="shared" si="428"/>
        <v/>
      </c>
      <c r="AU2446" s="1193"/>
      <c r="AV2446" s="330">
        <f>SQRT(($R2446-Infrastructure!J$3)^2+($S2446-Infrastructure!K$3)^2)</f>
        <v>28.90155705</v>
      </c>
      <c r="AW2446" s="331">
        <f>SQRT(($R2446-Infrastructure!J$4)^2+($S2446-Infrastructure!K$4)^2)</f>
        <v>17.80252791</v>
      </c>
      <c r="AX2446" s="331">
        <f>SQRT(($R2446-Infrastructure!J$5)^2+($S2446-Infrastructure!K$5)^2)</f>
        <v>5.10881591</v>
      </c>
      <c r="AY2446" s="331">
        <f>SQRT(($R2446-Infrastructure!J$6)^2+($S2446-Infrastructure!K$6)^2)</f>
        <v>10.10445446</v>
      </c>
      <c r="AZ2446" s="331">
        <f>SQRT(($R2446-Infrastructure!J$7)^2+($S2446-Infrastructure!K$7)^2)</f>
        <v>20.502195</v>
      </c>
      <c r="BA2446" s="331">
        <f>SQRT(($R2446-Infrastructure!J$8)^2+($S2446-Infrastructure!K$8)^2)</f>
        <v>30.10149498</v>
      </c>
      <c r="BB2446" s="331">
        <f>SQRT(($R2446-Infrastructure!J$9)^2+($S2446-Infrastructure!K$9)^2)</f>
        <v>40.3238143</v>
      </c>
      <c r="BC2446" s="331">
        <f>SQRT(($R2446-Infrastructure!J$10)^2+($S2446-Infrastructure!K$10)^2)</f>
        <v>42.72001873</v>
      </c>
      <c r="BD2446" s="331">
        <f>SQRT(($R2446-Infrastructure!J$11)^2+($S2446-Infrastructure!K$11)^2)</f>
        <v>49.56853841</v>
      </c>
      <c r="BE2446" s="333">
        <f>SQRT(($R2446-Infrastructure!J$12)^2+($S2446-Infrastructure!K$12)^2)</f>
        <v>59.51890456</v>
      </c>
      <c r="BF2446" s="330">
        <f t="shared" si="161"/>
        <v>5.10881591</v>
      </c>
      <c r="BG2446" s="333">
        <f t="shared" si="162"/>
        <v>59.51890456</v>
      </c>
      <c r="BH2446" s="1119"/>
      <c r="BI2446" s="319" t="str">
        <f t="shared" ref="BI2446:BR2446" si="1746">IF(ISNUMBER(FIND(BI$3, $CO2446)), "Y", "")</f>
        <v/>
      </c>
      <c r="BJ2446" s="319" t="str">
        <f t="shared" si="1746"/>
        <v/>
      </c>
      <c r="BK2446" s="319" t="str">
        <f t="shared" si="1746"/>
        <v/>
      </c>
      <c r="BL2446" s="319" t="str">
        <f t="shared" si="1746"/>
        <v/>
      </c>
      <c r="BM2446" s="319" t="str">
        <f t="shared" si="1746"/>
        <v/>
      </c>
      <c r="BN2446" s="319" t="str">
        <f t="shared" si="1746"/>
        <v/>
      </c>
      <c r="BO2446" s="319" t="str">
        <f t="shared" si="1746"/>
        <v/>
      </c>
      <c r="BP2446" s="319" t="str">
        <f t="shared" si="1746"/>
        <v/>
      </c>
      <c r="BQ2446" s="319" t="str">
        <f t="shared" si="1746"/>
        <v/>
      </c>
      <c r="BR2446" s="319" t="str">
        <f t="shared" si="1746"/>
        <v/>
      </c>
      <c r="BS2446" s="330">
        <f t="shared" si="185"/>
        <v>0</v>
      </c>
      <c r="BT2446" s="331">
        <f t="shared" si="170"/>
        <v>0</v>
      </c>
      <c r="BU2446" s="920"/>
      <c r="BV2446" s="903" t="str">
        <f t="shared" si="1244"/>
        <v/>
      </c>
      <c r="BW2446" s="908"/>
      <c r="BX2446" s="908"/>
      <c r="BY2446" s="331" t="b">
        <f t="shared" si="201"/>
        <v>0</v>
      </c>
      <c r="BZ2446" s="331"/>
      <c r="CA2446" s="462" t="str">
        <f t="shared" ref="CA2446:CJ2446" si="1747">IF(ISNUMBER(FIND(BI$3, $CP2446)), "Y", "")</f>
        <v/>
      </c>
      <c r="CB2446" s="319" t="str">
        <f t="shared" si="1747"/>
        <v/>
      </c>
      <c r="CC2446" s="319" t="str">
        <f t="shared" si="1747"/>
        <v/>
      </c>
      <c r="CD2446" s="319" t="str">
        <f t="shared" si="1747"/>
        <v/>
      </c>
      <c r="CE2446" s="319" t="str">
        <f t="shared" si="1747"/>
        <v/>
      </c>
      <c r="CF2446" s="319" t="str">
        <f t="shared" si="1747"/>
        <v/>
      </c>
      <c r="CG2446" s="319" t="str">
        <f t="shared" si="1747"/>
        <v/>
      </c>
      <c r="CH2446" s="319" t="str">
        <f t="shared" si="1747"/>
        <v/>
      </c>
      <c r="CI2446" s="319" t="str">
        <f t="shared" si="1747"/>
        <v/>
      </c>
      <c r="CJ2446" s="319" t="str">
        <f t="shared" si="1747"/>
        <v/>
      </c>
      <c r="CK2446" s="342">
        <f t="shared" si="182"/>
        <v>0</v>
      </c>
      <c r="CL2446" s="333">
        <f t="shared" si="183"/>
        <v>0</v>
      </c>
      <c r="CM2446" s="1079"/>
      <c r="CN2446" s="1005"/>
      <c r="CO2446" s="1005"/>
      <c r="CP2446" s="1005"/>
    </row>
    <row r="2447">
      <c r="A2447" s="1257"/>
      <c r="B2447" s="1113"/>
      <c r="C2447" s="1107"/>
      <c r="D2447" s="103"/>
      <c r="E2447" s="1137"/>
      <c r="F2447" s="112"/>
      <c r="G2447" s="1110"/>
      <c r="H2447" s="1138"/>
      <c r="I2447" s="1138"/>
      <c r="J2447" s="1139"/>
      <c r="K2447" s="1111"/>
      <c r="L2447" s="1112"/>
      <c r="M2447" s="1113"/>
      <c r="N2447" s="110"/>
      <c r="O2447" s="1140"/>
      <c r="P2447" s="1115"/>
      <c r="Q2447" s="1116"/>
      <c r="R2447" s="1141"/>
      <c r="S2447" s="1113"/>
      <c r="T2447" s="1143"/>
      <c r="U2447" s="1108"/>
      <c r="V2447" s="1108"/>
      <c r="W2447" s="1108"/>
      <c r="X2447" s="1108"/>
      <c r="Y2447" s="1108"/>
      <c r="Z2447" s="1114"/>
      <c r="AA2447" s="1114"/>
      <c r="AB2447" s="1114"/>
      <c r="AC2447" s="1117"/>
      <c r="AD2447" s="1115"/>
      <c r="AE2447" s="1115"/>
      <c r="AF2447" s="1115"/>
      <c r="AG2447" s="1115"/>
      <c r="AH2447" s="1115"/>
      <c r="AI2447" s="1115"/>
      <c r="AJ2447" s="1117"/>
      <c r="AK2447" s="1118"/>
      <c r="AL2447" s="1115"/>
      <c r="AM2447" s="1115"/>
      <c r="AN2447" s="1115"/>
      <c r="AO2447" s="1115"/>
      <c r="AP2447" s="1115"/>
      <c r="AQ2447" s="1115"/>
      <c r="AR2447" s="1115"/>
      <c r="AS2447" s="1117"/>
      <c r="AT2447" s="1196" t="str">
        <f t="shared" si="428"/>
        <v/>
      </c>
      <c r="AU2447" s="1193"/>
      <c r="AV2447" s="330">
        <f>SQRT(($R2447-Infrastructure!J$3)^2+($S2447-Infrastructure!K$3)^2)</f>
        <v>28.90155705</v>
      </c>
      <c r="AW2447" s="331">
        <f>SQRT(($R2447-Infrastructure!J$4)^2+($S2447-Infrastructure!K$4)^2)</f>
        <v>17.80252791</v>
      </c>
      <c r="AX2447" s="331">
        <f>SQRT(($R2447-Infrastructure!J$5)^2+($S2447-Infrastructure!K$5)^2)</f>
        <v>5.10881591</v>
      </c>
      <c r="AY2447" s="331">
        <f>SQRT(($R2447-Infrastructure!J$6)^2+($S2447-Infrastructure!K$6)^2)</f>
        <v>10.10445446</v>
      </c>
      <c r="AZ2447" s="331">
        <f>SQRT(($R2447-Infrastructure!J$7)^2+($S2447-Infrastructure!K$7)^2)</f>
        <v>20.502195</v>
      </c>
      <c r="BA2447" s="331">
        <f>SQRT(($R2447-Infrastructure!J$8)^2+($S2447-Infrastructure!K$8)^2)</f>
        <v>30.10149498</v>
      </c>
      <c r="BB2447" s="331">
        <f>SQRT(($R2447-Infrastructure!J$9)^2+($S2447-Infrastructure!K$9)^2)</f>
        <v>40.3238143</v>
      </c>
      <c r="BC2447" s="331">
        <f>SQRT(($R2447-Infrastructure!J$10)^2+($S2447-Infrastructure!K$10)^2)</f>
        <v>42.72001873</v>
      </c>
      <c r="BD2447" s="331">
        <f>SQRT(($R2447-Infrastructure!J$11)^2+($S2447-Infrastructure!K$11)^2)</f>
        <v>49.56853841</v>
      </c>
      <c r="BE2447" s="333">
        <f>SQRT(($R2447-Infrastructure!J$12)^2+($S2447-Infrastructure!K$12)^2)</f>
        <v>59.51890456</v>
      </c>
      <c r="BF2447" s="330">
        <f t="shared" si="161"/>
        <v>5.10881591</v>
      </c>
      <c r="BG2447" s="333">
        <f t="shared" si="162"/>
        <v>59.51890456</v>
      </c>
      <c r="BH2447" s="1119"/>
      <c r="BI2447" s="319" t="str">
        <f t="shared" ref="BI2447:BR2447" si="1748">IF(ISNUMBER(FIND(BI$3, $CO2447)), "Y", "")</f>
        <v/>
      </c>
      <c r="BJ2447" s="319" t="str">
        <f t="shared" si="1748"/>
        <v/>
      </c>
      <c r="BK2447" s="319" t="str">
        <f t="shared" si="1748"/>
        <v/>
      </c>
      <c r="BL2447" s="319" t="str">
        <f t="shared" si="1748"/>
        <v/>
      </c>
      <c r="BM2447" s="319" t="str">
        <f t="shared" si="1748"/>
        <v/>
      </c>
      <c r="BN2447" s="319" t="str">
        <f t="shared" si="1748"/>
        <v/>
      </c>
      <c r="BO2447" s="319" t="str">
        <f t="shared" si="1748"/>
        <v/>
      </c>
      <c r="BP2447" s="319" t="str">
        <f t="shared" si="1748"/>
        <v/>
      </c>
      <c r="BQ2447" s="319" t="str">
        <f t="shared" si="1748"/>
        <v/>
      </c>
      <c r="BR2447" s="319" t="str">
        <f t="shared" si="1748"/>
        <v/>
      </c>
      <c r="BS2447" s="330">
        <f t="shared" si="185"/>
        <v>0</v>
      </c>
      <c r="BT2447" s="331">
        <f t="shared" si="170"/>
        <v>0</v>
      </c>
      <c r="BU2447" s="920"/>
      <c r="BV2447" s="903" t="str">
        <f t="shared" si="1244"/>
        <v/>
      </c>
      <c r="BW2447" s="908"/>
      <c r="BX2447" s="908"/>
      <c r="BY2447" s="331" t="b">
        <f t="shared" si="201"/>
        <v>0</v>
      </c>
      <c r="BZ2447" s="331"/>
      <c r="CA2447" s="462" t="str">
        <f t="shared" ref="CA2447:CJ2447" si="1749">IF(ISNUMBER(FIND(BI$3, $CP2447)), "Y", "")</f>
        <v/>
      </c>
      <c r="CB2447" s="319" t="str">
        <f t="shared" si="1749"/>
        <v/>
      </c>
      <c r="CC2447" s="319" t="str">
        <f t="shared" si="1749"/>
        <v/>
      </c>
      <c r="CD2447" s="319" t="str">
        <f t="shared" si="1749"/>
        <v/>
      </c>
      <c r="CE2447" s="319" t="str">
        <f t="shared" si="1749"/>
        <v/>
      </c>
      <c r="CF2447" s="319" t="str">
        <f t="shared" si="1749"/>
        <v/>
      </c>
      <c r="CG2447" s="319" t="str">
        <f t="shared" si="1749"/>
        <v/>
      </c>
      <c r="CH2447" s="319" t="str">
        <f t="shared" si="1749"/>
        <v/>
      </c>
      <c r="CI2447" s="319" t="str">
        <f t="shared" si="1749"/>
        <v/>
      </c>
      <c r="CJ2447" s="319" t="str">
        <f t="shared" si="1749"/>
        <v/>
      </c>
      <c r="CK2447" s="342">
        <f t="shared" si="182"/>
        <v>0</v>
      </c>
      <c r="CL2447" s="333">
        <f t="shared" si="183"/>
        <v>0</v>
      </c>
      <c r="CM2447" s="1079"/>
      <c r="CN2447" s="1005"/>
      <c r="CO2447" s="1005"/>
      <c r="CP2447" s="1005"/>
    </row>
    <row r="2448">
      <c r="A2448" s="1257"/>
      <c r="B2448" s="1113"/>
      <c r="C2448" s="1107"/>
      <c r="D2448" s="103"/>
      <c r="E2448" s="1137"/>
      <c r="F2448" s="112"/>
      <c r="G2448" s="1110"/>
      <c r="H2448" s="1138"/>
      <c r="I2448" s="1138"/>
      <c r="J2448" s="1139"/>
      <c r="K2448" s="1111"/>
      <c r="L2448" s="1112"/>
      <c r="M2448" s="1113"/>
      <c r="N2448" s="110"/>
      <c r="O2448" s="1140"/>
      <c r="P2448" s="1115"/>
      <c r="Q2448" s="1116"/>
      <c r="R2448" s="1141"/>
      <c r="S2448" s="1113"/>
      <c r="T2448" s="1143"/>
      <c r="U2448" s="1108"/>
      <c r="V2448" s="1108"/>
      <c r="W2448" s="1108"/>
      <c r="X2448" s="1108"/>
      <c r="Y2448" s="1108"/>
      <c r="Z2448" s="1114"/>
      <c r="AA2448" s="1114"/>
      <c r="AB2448" s="1114"/>
      <c r="AC2448" s="1117"/>
      <c r="AD2448" s="1115"/>
      <c r="AE2448" s="1115"/>
      <c r="AF2448" s="1115"/>
      <c r="AG2448" s="1115"/>
      <c r="AH2448" s="1115"/>
      <c r="AI2448" s="1115"/>
      <c r="AJ2448" s="1117"/>
      <c r="AK2448" s="1118"/>
      <c r="AL2448" s="1115"/>
      <c r="AM2448" s="1115"/>
      <c r="AN2448" s="1115"/>
      <c r="AO2448" s="1115"/>
      <c r="AP2448" s="1115"/>
      <c r="AQ2448" s="1115"/>
      <c r="AR2448" s="1115"/>
      <c r="AS2448" s="1117"/>
      <c r="AT2448" s="1196" t="str">
        <f t="shared" si="428"/>
        <v/>
      </c>
      <c r="AU2448" s="1193"/>
      <c r="AV2448" s="330">
        <f>SQRT(($R2448-Infrastructure!J$3)^2+($S2448-Infrastructure!K$3)^2)</f>
        <v>28.90155705</v>
      </c>
      <c r="AW2448" s="331">
        <f>SQRT(($R2448-Infrastructure!J$4)^2+($S2448-Infrastructure!K$4)^2)</f>
        <v>17.80252791</v>
      </c>
      <c r="AX2448" s="331">
        <f>SQRT(($R2448-Infrastructure!J$5)^2+($S2448-Infrastructure!K$5)^2)</f>
        <v>5.10881591</v>
      </c>
      <c r="AY2448" s="331">
        <f>SQRT(($R2448-Infrastructure!J$6)^2+($S2448-Infrastructure!K$6)^2)</f>
        <v>10.10445446</v>
      </c>
      <c r="AZ2448" s="331">
        <f>SQRT(($R2448-Infrastructure!J$7)^2+($S2448-Infrastructure!K$7)^2)</f>
        <v>20.502195</v>
      </c>
      <c r="BA2448" s="331">
        <f>SQRT(($R2448-Infrastructure!J$8)^2+($S2448-Infrastructure!K$8)^2)</f>
        <v>30.10149498</v>
      </c>
      <c r="BB2448" s="331">
        <f>SQRT(($R2448-Infrastructure!J$9)^2+($S2448-Infrastructure!K$9)^2)</f>
        <v>40.3238143</v>
      </c>
      <c r="BC2448" s="331">
        <f>SQRT(($R2448-Infrastructure!J$10)^2+($S2448-Infrastructure!K$10)^2)</f>
        <v>42.72001873</v>
      </c>
      <c r="BD2448" s="331">
        <f>SQRT(($R2448-Infrastructure!J$11)^2+($S2448-Infrastructure!K$11)^2)</f>
        <v>49.56853841</v>
      </c>
      <c r="BE2448" s="333">
        <f>SQRT(($R2448-Infrastructure!J$12)^2+($S2448-Infrastructure!K$12)^2)</f>
        <v>59.51890456</v>
      </c>
      <c r="BF2448" s="330">
        <f t="shared" si="161"/>
        <v>5.10881591</v>
      </c>
      <c r="BG2448" s="333">
        <f t="shared" si="162"/>
        <v>59.51890456</v>
      </c>
      <c r="BH2448" s="1119"/>
      <c r="BI2448" s="319" t="str">
        <f t="shared" ref="BI2448:BR2448" si="1750">IF(ISNUMBER(FIND(BI$3, $CO2448)), "Y", "")</f>
        <v/>
      </c>
      <c r="BJ2448" s="319" t="str">
        <f t="shared" si="1750"/>
        <v/>
      </c>
      <c r="BK2448" s="319" t="str">
        <f t="shared" si="1750"/>
        <v/>
      </c>
      <c r="BL2448" s="319" t="str">
        <f t="shared" si="1750"/>
        <v/>
      </c>
      <c r="BM2448" s="319" t="str">
        <f t="shared" si="1750"/>
        <v/>
      </c>
      <c r="BN2448" s="319" t="str">
        <f t="shared" si="1750"/>
        <v/>
      </c>
      <c r="BO2448" s="319" t="str">
        <f t="shared" si="1750"/>
        <v/>
      </c>
      <c r="BP2448" s="319" t="str">
        <f t="shared" si="1750"/>
        <v/>
      </c>
      <c r="BQ2448" s="319" t="str">
        <f t="shared" si="1750"/>
        <v/>
      </c>
      <c r="BR2448" s="319" t="str">
        <f t="shared" si="1750"/>
        <v/>
      </c>
      <c r="BS2448" s="330">
        <f t="shared" si="185"/>
        <v>0</v>
      </c>
      <c r="BT2448" s="331">
        <f t="shared" si="170"/>
        <v>0</v>
      </c>
      <c r="BU2448" s="920"/>
      <c r="BV2448" s="903" t="str">
        <f t="shared" si="1244"/>
        <v/>
      </c>
      <c r="BW2448" s="908"/>
      <c r="BX2448" s="908"/>
      <c r="BY2448" s="331" t="b">
        <f t="shared" si="201"/>
        <v>0</v>
      </c>
      <c r="BZ2448" s="331"/>
      <c r="CA2448" s="462" t="str">
        <f t="shared" ref="CA2448:CJ2448" si="1751">IF(ISNUMBER(FIND(BI$3, $CP2448)), "Y", "")</f>
        <v/>
      </c>
      <c r="CB2448" s="319" t="str">
        <f t="shared" si="1751"/>
        <v/>
      </c>
      <c r="CC2448" s="319" t="str">
        <f t="shared" si="1751"/>
        <v/>
      </c>
      <c r="CD2448" s="319" t="str">
        <f t="shared" si="1751"/>
        <v/>
      </c>
      <c r="CE2448" s="319" t="str">
        <f t="shared" si="1751"/>
        <v/>
      </c>
      <c r="CF2448" s="319" t="str">
        <f t="shared" si="1751"/>
        <v/>
      </c>
      <c r="CG2448" s="319" t="str">
        <f t="shared" si="1751"/>
        <v/>
      </c>
      <c r="CH2448" s="319" t="str">
        <f t="shared" si="1751"/>
        <v/>
      </c>
      <c r="CI2448" s="319" t="str">
        <f t="shared" si="1751"/>
        <v/>
      </c>
      <c r="CJ2448" s="319" t="str">
        <f t="shared" si="1751"/>
        <v/>
      </c>
      <c r="CK2448" s="342">
        <f t="shared" si="182"/>
        <v>0</v>
      </c>
      <c r="CL2448" s="333">
        <f t="shared" si="183"/>
        <v>0</v>
      </c>
      <c r="CM2448" s="1079"/>
      <c r="CN2448" s="1005"/>
      <c r="CO2448" s="1005"/>
      <c r="CP2448" s="1005"/>
    </row>
    <row r="2449">
      <c r="A2449" s="1257"/>
      <c r="B2449" s="1113"/>
      <c r="C2449" s="1107"/>
      <c r="D2449" s="103"/>
      <c r="E2449" s="1137"/>
      <c r="F2449" s="112"/>
      <c r="G2449" s="1110"/>
      <c r="H2449" s="1138"/>
      <c r="I2449" s="1138"/>
      <c r="J2449" s="1139"/>
      <c r="K2449" s="1111"/>
      <c r="L2449" s="1112"/>
      <c r="M2449" s="1113"/>
      <c r="N2449" s="110"/>
      <c r="O2449" s="1140"/>
      <c r="P2449" s="1115"/>
      <c r="Q2449" s="1116"/>
      <c r="R2449" s="1141"/>
      <c r="S2449" s="1113"/>
      <c r="T2449" s="1143"/>
      <c r="U2449" s="1108"/>
      <c r="V2449" s="1108"/>
      <c r="W2449" s="1108"/>
      <c r="X2449" s="1108"/>
      <c r="Y2449" s="1108"/>
      <c r="Z2449" s="1114"/>
      <c r="AA2449" s="1114"/>
      <c r="AB2449" s="1114"/>
      <c r="AC2449" s="1117"/>
      <c r="AD2449" s="1115"/>
      <c r="AE2449" s="1115"/>
      <c r="AF2449" s="1115"/>
      <c r="AG2449" s="1115"/>
      <c r="AH2449" s="1115"/>
      <c r="AI2449" s="1115"/>
      <c r="AJ2449" s="1117"/>
      <c r="AK2449" s="1118"/>
      <c r="AL2449" s="1115"/>
      <c r="AM2449" s="1115"/>
      <c r="AN2449" s="1115"/>
      <c r="AO2449" s="1115"/>
      <c r="AP2449" s="1115"/>
      <c r="AQ2449" s="1115"/>
      <c r="AR2449" s="1115"/>
      <c r="AS2449" s="1117"/>
      <c r="AT2449" s="1196" t="str">
        <f t="shared" si="428"/>
        <v/>
      </c>
      <c r="AU2449" s="1193"/>
      <c r="AV2449" s="330">
        <f>SQRT(($R2449-Infrastructure!J$3)^2+($S2449-Infrastructure!K$3)^2)</f>
        <v>28.90155705</v>
      </c>
      <c r="AW2449" s="331">
        <f>SQRT(($R2449-Infrastructure!J$4)^2+($S2449-Infrastructure!K$4)^2)</f>
        <v>17.80252791</v>
      </c>
      <c r="AX2449" s="331">
        <f>SQRT(($R2449-Infrastructure!J$5)^2+($S2449-Infrastructure!K$5)^2)</f>
        <v>5.10881591</v>
      </c>
      <c r="AY2449" s="331">
        <f>SQRT(($R2449-Infrastructure!J$6)^2+($S2449-Infrastructure!K$6)^2)</f>
        <v>10.10445446</v>
      </c>
      <c r="AZ2449" s="331">
        <f>SQRT(($R2449-Infrastructure!J$7)^2+($S2449-Infrastructure!K$7)^2)</f>
        <v>20.502195</v>
      </c>
      <c r="BA2449" s="331">
        <f>SQRT(($R2449-Infrastructure!J$8)^2+($S2449-Infrastructure!K$8)^2)</f>
        <v>30.10149498</v>
      </c>
      <c r="BB2449" s="331">
        <f>SQRT(($R2449-Infrastructure!J$9)^2+($S2449-Infrastructure!K$9)^2)</f>
        <v>40.3238143</v>
      </c>
      <c r="BC2449" s="331">
        <f>SQRT(($R2449-Infrastructure!J$10)^2+($S2449-Infrastructure!K$10)^2)</f>
        <v>42.72001873</v>
      </c>
      <c r="BD2449" s="331">
        <f>SQRT(($R2449-Infrastructure!J$11)^2+($S2449-Infrastructure!K$11)^2)</f>
        <v>49.56853841</v>
      </c>
      <c r="BE2449" s="333">
        <f>SQRT(($R2449-Infrastructure!J$12)^2+($S2449-Infrastructure!K$12)^2)</f>
        <v>59.51890456</v>
      </c>
      <c r="BF2449" s="330">
        <f t="shared" si="161"/>
        <v>5.10881591</v>
      </c>
      <c r="BG2449" s="333">
        <f t="shared" si="162"/>
        <v>59.51890456</v>
      </c>
      <c r="BH2449" s="1119"/>
      <c r="BI2449" s="319" t="str">
        <f t="shared" ref="BI2449:BR2449" si="1752">IF(ISNUMBER(FIND(BI$3, $CO2449)), "Y", "")</f>
        <v/>
      </c>
      <c r="BJ2449" s="319" t="str">
        <f t="shared" si="1752"/>
        <v/>
      </c>
      <c r="BK2449" s="319" t="str">
        <f t="shared" si="1752"/>
        <v/>
      </c>
      <c r="BL2449" s="319" t="str">
        <f t="shared" si="1752"/>
        <v/>
      </c>
      <c r="BM2449" s="319" t="str">
        <f t="shared" si="1752"/>
        <v/>
      </c>
      <c r="BN2449" s="319" t="str">
        <f t="shared" si="1752"/>
        <v/>
      </c>
      <c r="BO2449" s="319" t="str">
        <f t="shared" si="1752"/>
        <v/>
      </c>
      <c r="BP2449" s="319" t="str">
        <f t="shared" si="1752"/>
        <v/>
      </c>
      <c r="BQ2449" s="319" t="str">
        <f t="shared" si="1752"/>
        <v/>
      </c>
      <c r="BR2449" s="319" t="str">
        <f t="shared" si="1752"/>
        <v/>
      </c>
      <c r="BS2449" s="330">
        <f t="shared" si="185"/>
        <v>0</v>
      </c>
      <c r="BT2449" s="331">
        <f t="shared" si="170"/>
        <v>0</v>
      </c>
      <c r="BU2449" s="920"/>
      <c r="BV2449" s="903" t="str">
        <f t="shared" si="1244"/>
        <v/>
      </c>
      <c r="BW2449" s="908"/>
      <c r="BX2449" s="908"/>
      <c r="BY2449" s="331" t="b">
        <f t="shared" si="201"/>
        <v>0</v>
      </c>
      <c r="BZ2449" s="331"/>
      <c r="CA2449" s="462" t="str">
        <f t="shared" ref="CA2449:CJ2449" si="1753">IF(ISNUMBER(FIND(BI$3, $CP2449)), "Y", "")</f>
        <v/>
      </c>
      <c r="CB2449" s="319" t="str">
        <f t="shared" si="1753"/>
        <v/>
      </c>
      <c r="CC2449" s="319" t="str">
        <f t="shared" si="1753"/>
        <v/>
      </c>
      <c r="CD2449" s="319" t="str">
        <f t="shared" si="1753"/>
        <v/>
      </c>
      <c r="CE2449" s="319" t="str">
        <f t="shared" si="1753"/>
        <v/>
      </c>
      <c r="CF2449" s="319" t="str">
        <f t="shared" si="1753"/>
        <v/>
      </c>
      <c r="CG2449" s="319" t="str">
        <f t="shared" si="1753"/>
        <v/>
      </c>
      <c r="CH2449" s="319" t="str">
        <f t="shared" si="1753"/>
        <v/>
      </c>
      <c r="CI2449" s="319" t="str">
        <f t="shared" si="1753"/>
        <v/>
      </c>
      <c r="CJ2449" s="319" t="str">
        <f t="shared" si="1753"/>
        <v/>
      </c>
      <c r="CK2449" s="342">
        <f t="shared" si="182"/>
        <v>0</v>
      </c>
      <c r="CL2449" s="333">
        <f t="shared" si="183"/>
        <v>0</v>
      </c>
      <c r="CM2449" s="1079"/>
      <c r="CN2449" s="1005"/>
      <c r="CO2449" s="1005"/>
      <c r="CP2449" s="1005"/>
    </row>
    <row r="2450">
      <c r="A2450" s="1257"/>
      <c r="B2450" s="1113"/>
      <c r="C2450" s="1107"/>
      <c r="D2450" s="103"/>
      <c r="E2450" s="1137"/>
      <c r="F2450" s="112"/>
      <c r="G2450" s="1110"/>
      <c r="H2450" s="1138"/>
      <c r="I2450" s="1138"/>
      <c r="J2450" s="1139"/>
      <c r="K2450" s="1111"/>
      <c r="L2450" s="1112"/>
      <c r="M2450" s="1113"/>
      <c r="N2450" s="110"/>
      <c r="O2450" s="1140"/>
      <c r="P2450" s="1115"/>
      <c r="Q2450" s="1116"/>
      <c r="R2450" s="1141"/>
      <c r="S2450" s="1113"/>
      <c r="T2450" s="1143"/>
      <c r="U2450" s="1108"/>
      <c r="V2450" s="1108"/>
      <c r="W2450" s="1108"/>
      <c r="X2450" s="1108"/>
      <c r="Y2450" s="1108"/>
      <c r="Z2450" s="1114"/>
      <c r="AA2450" s="1114"/>
      <c r="AB2450" s="1114"/>
      <c r="AC2450" s="1117"/>
      <c r="AD2450" s="1115"/>
      <c r="AE2450" s="1115"/>
      <c r="AF2450" s="1115"/>
      <c r="AG2450" s="1115"/>
      <c r="AH2450" s="1115"/>
      <c r="AI2450" s="1115"/>
      <c r="AJ2450" s="1117"/>
      <c r="AK2450" s="1118"/>
      <c r="AL2450" s="1115"/>
      <c r="AM2450" s="1115"/>
      <c r="AN2450" s="1115"/>
      <c r="AO2450" s="1115"/>
      <c r="AP2450" s="1115"/>
      <c r="AQ2450" s="1115"/>
      <c r="AR2450" s="1115"/>
      <c r="AS2450" s="1117"/>
      <c r="AT2450" s="1196" t="str">
        <f t="shared" si="428"/>
        <v/>
      </c>
      <c r="AU2450" s="1193"/>
      <c r="AV2450" s="330">
        <f>SQRT(($R2450-Infrastructure!J$3)^2+($S2450-Infrastructure!K$3)^2)</f>
        <v>28.90155705</v>
      </c>
      <c r="AW2450" s="331">
        <f>SQRT(($R2450-Infrastructure!J$4)^2+($S2450-Infrastructure!K$4)^2)</f>
        <v>17.80252791</v>
      </c>
      <c r="AX2450" s="331">
        <f>SQRT(($R2450-Infrastructure!J$5)^2+($S2450-Infrastructure!K$5)^2)</f>
        <v>5.10881591</v>
      </c>
      <c r="AY2450" s="331">
        <f>SQRT(($R2450-Infrastructure!J$6)^2+($S2450-Infrastructure!K$6)^2)</f>
        <v>10.10445446</v>
      </c>
      <c r="AZ2450" s="331">
        <f>SQRT(($R2450-Infrastructure!J$7)^2+($S2450-Infrastructure!K$7)^2)</f>
        <v>20.502195</v>
      </c>
      <c r="BA2450" s="331">
        <f>SQRT(($R2450-Infrastructure!J$8)^2+($S2450-Infrastructure!K$8)^2)</f>
        <v>30.10149498</v>
      </c>
      <c r="BB2450" s="331">
        <f>SQRT(($R2450-Infrastructure!J$9)^2+($S2450-Infrastructure!K$9)^2)</f>
        <v>40.3238143</v>
      </c>
      <c r="BC2450" s="331">
        <f>SQRT(($R2450-Infrastructure!J$10)^2+($S2450-Infrastructure!K$10)^2)</f>
        <v>42.72001873</v>
      </c>
      <c r="BD2450" s="331">
        <f>SQRT(($R2450-Infrastructure!J$11)^2+($S2450-Infrastructure!K$11)^2)</f>
        <v>49.56853841</v>
      </c>
      <c r="BE2450" s="333">
        <f>SQRT(($R2450-Infrastructure!J$12)^2+($S2450-Infrastructure!K$12)^2)</f>
        <v>59.51890456</v>
      </c>
      <c r="BF2450" s="330">
        <f t="shared" si="161"/>
        <v>5.10881591</v>
      </c>
      <c r="BG2450" s="333">
        <f t="shared" si="162"/>
        <v>59.51890456</v>
      </c>
      <c r="BH2450" s="1119"/>
      <c r="BI2450" s="319" t="str">
        <f t="shared" ref="BI2450:BR2450" si="1754">IF(ISNUMBER(FIND(BI$3, $CO2450)), "Y", "")</f>
        <v/>
      </c>
      <c r="BJ2450" s="319" t="str">
        <f t="shared" si="1754"/>
        <v/>
      </c>
      <c r="BK2450" s="319" t="str">
        <f t="shared" si="1754"/>
        <v/>
      </c>
      <c r="BL2450" s="319" t="str">
        <f t="shared" si="1754"/>
        <v/>
      </c>
      <c r="BM2450" s="319" t="str">
        <f t="shared" si="1754"/>
        <v/>
      </c>
      <c r="BN2450" s="319" t="str">
        <f t="shared" si="1754"/>
        <v/>
      </c>
      <c r="BO2450" s="319" t="str">
        <f t="shared" si="1754"/>
        <v/>
      </c>
      <c r="BP2450" s="319" t="str">
        <f t="shared" si="1754"/>
        <v/>
      </c>
      <c r="BQ2450" s="319" t="str">
        <f t="shared" si="1754"/>
        <v/>
      </c>
      <c r="BR2450" s="319" t="str">
        <f t="shared" si="1754"/>
        <v/>
      </c>
      <c r="BS2450" s="330">
        <f t="shared" si="185"/>
        <v>0</v>
      </c>
      <c r="BT2450" s="331">
        <f t="shared" si="170"/>
        <v>0</v>
      </c>
      <c r="BU2450" s="920"/>
      <c r="BV2450" s="903" t="str">
        <f t="shared" si="1244"/>
        <v/>
      </c>
      <c r="BW2450" s="908"/>
      <c r="BX2450" s="908"/>
      <c r="BY2450" s="331" t="b">
        <f t="shared" si="201"/>
        <v>0</v>
      </c>
      <c r="BZ2450" s="331"/>
      <c r="CA2450" s="462" t="str">
        <f t="shared" ref="CA2450:CJ2450" si="1755">IF(ISNUMBER(FIND(BI$3, $CP2450)), "Y", "")</f>
        <v/>
      </c>
      <c r="CB2450" s="319" t="str">
        <f t="shared" si="1755"/>
        <v/>
      </c>
      <c r="CC2450" s="319" t="str">
        <f t="shared" si="1755"/>
        <v/>
      </c>
      <c r="CD2450" s="319" t="str">
        <f t="shared" si="1755"/>
        <v/>
      </c>
      <c r="CE2450" s="319" t="str">
        <f t="shared" si="1755"/>
        <v/>
      </c>
      <c r="CF2450" s="319" t="str">
        <f t="shared" si="1755"/>
        <v/>
      </c>
      <c r="CG2450" s="319" t="str">
        <f t="shared" si="1755"/>
        <v/>
      </c>
      <c r="CH2450" s="319" t="str">
        <f t="shared" si="1755"/>
        <v/>
      </c>
      <c r="CI2450" s="319" t="str">
        <f t="shared" si="1755"/>
        <v/>
      </c>
      <c r="CJ2450" s="319" t="str">
        <f t="shared" si="1755"/>
        <v/>
      </c>
      <c r="CK2450" s="342">
        <f t="shared" si="182"/>
        <v>0</v>
      </c>
      <c r="CL2450" s="333">
        <f t="shared" si="183"/>
        <v>0</v>
      </c>
      <c r="CM2450" s="1079"/>
      <c r="CN2450" s="1005"/>
      <c r="CO2450" s="1005"/>
      <c r="CP2450" s="1005"/>
    </row>
    <row r="2451">
      <c r="A2451" s="1257"/>
      <c r="B2451" s="1113"/>
      <c r="C2451" s="1107"/>
      <c r="D2451" s="103"/>
      <c r="E2451" s="1137"/>
      <c r="F2451" s="112"/>
      <c r="G2451" s="1110"/>
      <c r="H2451" s="1138"/>
      <c r="I2451" s="1138"/>
      <c r="J2451" s="1139"/>
      <c r="K2451" s="1111"/>
      <c r="L2451" s="1112"/>
      <c r="M2451" s="1113"/>
      <c r="N2451" s="110"/>
      <c r="O2451" s="1140"/>
      <c r="P2451" s="1115"/>
      <c r="Q2451" s="1116"/>
      <c r="R2451" s="1141"/>
      <c r="S2451" s="1113"/>
      <c r="T2451" s="1143"/>
      <c r="U2451" s="1108"/>
      <c r="V2451" s="1108"/>
      <c r="W2451" s="1108"/>
      <c r="X2451" s="1108"/>
      <c r="Y2451" s="1108"/>
      <c r="Z2451" s="1114"/>
      <c r="AA2451" s="1114"/>
      <c r="AB2451" s="1114"/>
      <c r="AC2451" s="1117"/>
      <c r="AD2451" s="1115"/>
      <c r="AE2451" s="1115"/>
      <c r="AF2451" s="1115"/>
      <c r="AG2451" s="1115"/>
      <c r="AH2451" s="1115"/>
      <c r="AI2451" s="1115"/>
      <c r="AJ2451" s="1117"/>
      <c r="AK2451" s="1118"/>
      <c r="AL2451" s="1115"/>
      <c r="AM2451" s="1115"/>
      <c r="AN2451" s="1115"/>
      <c r="AO2451" s="1115"/>
      <c r="AP2451" s="1115"/>
      <c r="AQ2451" s="1115"/>
      <c r="AR2451" s="1115"/>
      <c r="AS2451" s="1117"/>
      <c r="AT2451" s="1196" t="str">
        <f t="shared" si="428"/>
        <v/>
      </c>
      <c r="AU2451" s="1193"/>
      <c r="AV2451" s="330">
        <f>SQRT(($R2451-Infrastructure!J$3)^2+($S2451-Infrastructure!K$3)^2)</f>
        <v>28.90155705</v>
      </c>
      <c r="AW2451" s="331">
        <f>SQRT(($R2451-Infrastructure!J$4)^2+($S2451-Infrastructure!K$4)^2)</f>
        <v>17.80252791</v>
      </c>
      <c r="AX2451" s="331">
        <f>SQRT(($R2451-Infrastructure!J$5)^2+($S2451-Infrastructure!K$5)^2)</f>
        <v>5.10881591</v>
      </c>
      <c r="AY2451" s="331">
        <f>SQRT(($R2451-Infrastructure!J$6)^2+($S2451-Infrastructure!K$6)^2)</f>
        <v>10.10445446</v>
      </c>
      <c r="AZ2451" s="331">
        <f>SQRT(($R2451-Infrastructure!J$7)^2+($S2451-Infrastructure!K$7)^2)</f>
        <v>20.502195</v>
      </c>
      <c r="BA2451" s="331">
        <f>SQRT(($R2451-Infrastructure!J$8)^2+($S2451-Infrastructure!K$8)^2)</f>
        <v>30.10149498</v>
      </c>
      <c r="BB2451" s="331">
        <f>SQRT(($R2451-Infrastructure!J$9)^2+($S2451-Infrastructure!K$9)^2)</f>
        <v>40.3238143</v>
      </c>
      <c r="BC2451" s="331">
        <f>SQRT(($R2451-Infrastructure!J$10)^2+($S2451-Infrastructure!K$10)^2)</f>
        <v>42.72001873</v>
      </c>
      <c r="BD2451" s="331">
        <f>SQRT(($R2451-Infrastructure!J$11)^2+($S2451-Infrastructure!K$11)^2)</f>
        <v>49.56853841</v>
      </c>
      <c r="BE2451" s="333">
        <f>SQRT(($R2451-Infrastructure!J$12)^2+($S2451-Infrastructure!K$12)^2)</f>
        <v>59.51890456</v>
      </c>
      <c r="BF2451" s="330">
        <f t="shared" si="161"/>
        <v>5.10881591</v>
      </c>
      <c r="BG2451" s="333">
        <f t="shared" si="162"/>
        <v>59.51890456</v>
      </c>
      <c r="BH2451" s="1119"/>
      <c r="BI2451" s="319" t="str">
        <f t="shared" ref="BI2451:BR2451" si="1756">IF(ISNUMBER(FIND(BI$3, $CO2451)), "Y", "")</f>
        <v/>
      </c>
      <c r="BJ2451" s="319" t="str">
        <f t="shared" si="1756"/>
        <v/>
      </c>
      <c r="BK2451" s="319" t="str">
        <f t="shared" si="1756"/>
        <v/>
      </c>
      <c r="BL2451" s="319" t="str">
        <f t="shared" si="1756"/>
        <v/>
      </c>
      <c r="BM2451" s="319" t="str">
        <f t="shared" si="1756"/>
        <v/>
      </c>
      <c r="BN2451" s="319" t="str">
        <f t="shared" si="1756"/>
        <v/>
      </c>
      <c r="BO2451" s="319" t="str">
        <f t="shared" si="1756"/>
        <v/>
      </c>
      <c r="BP2451" s="319" t="str">
        <f t="shared" si="1756"/>
        <v/>
      </c>
      <c r="BQ2451" s="319" t="str">
        <f t="shared" si="1756"/>
        <v/>
      </c>
      <c r="BR2451" s="319" t="str">
        <f t="shared" si="1756"/>
        <v/>
      </c>
      <c r="BS2451" s="330">
        <f t="shared" si="185"/>
        <v>0</v>
      </c>
      <c r="BT2451" s="331">
        <f t="shared" si="170"/>
        <v>0</v>
      </c>
      <c r="BU2451" s="920"/>
      <c r="BV2451" s="903" t="str">
        <f t="shared" si="1244"/>
        <v/>
      </c>
      <c r="BW2451" s="908"/>
      <c r="BX2451" s="908"/>
      <c r="BY2451" s="331" t="b">
        <f t="shared" si="201"/>
        <v>0</v>
      </c>
      <c r="BZ2451" s="331"/>
      <c r="CA2451" s="462" t="str">
        <f t="shared" ref="CA2451:CJ2451" si="1757">IF(ISNUMBER(FIND(BI$3, $CP2451)), "Y", "")</f>
        <v/>
      </c>
      <c r="CB2451" s="319" t="str">
        <f t="shared" si="1757"/>
        <v/>
      </c>
      <c r="CC2451" s="319" t="str">
        <f t="shared" si="1757"/>
        <v/>
      </c>
      <c r="CD2451" s="319" t="str">
        <f t="shared" si="1757"/>
        <v/>
      </c>
      <c r="CE2451" s="319" t="str">
        <f t="shared" si="1757"/>
        <v/>
      </c>
      <c r="CF2451" s="319" t="str">
        <f t="shared" si="1757"/>
        <v/>
      </c>
      <c r="CG2451" s="319" t="str">
        <f t="shared" si="1757"/>
        <v/>
      </c>
      <c r="CH2451" s="319" t="str">
        <f t="shared" si="1757"/>
        <v/>
      </c>
      <c r="CI2451" s="319" t="str">
        <f t="shared" si="1757"/>
        <v/>
      </c>
      <c r="CJ2451" s="319" t="str">
        <f t="shared" si="1757"/>
        <v/>
      </c>
      <c r="CK2451" s="342">
        <f t="shared" si="182"/>
        <v>0</v>
      </c>
      <c r="CL2451" s="333">
        <f t="shared" si="183"/>
        <v>0</v>
      </c>
      <c r="CM2451" s="1079"/>
      <c r="CN2451" s="1005"/>
      <c r="CO2451" s="1005"/>
      <c r="CP2451" s="1005"/>
    </row>
    <row r="2452">
      <c r="A2452" s="1257"/>
      <c r="B2452" s="1113"/>
      <c r="C2452" s="1107"/>
      <c r="D2452" s="103"/>
      <c r="E2452" s="1137"/>
      <c r="F2452" s="112"/>
      <c r="G2452" s="1110"/>
      <c r="H2452" s="1138"/>
      <c r="I2452" s="1138"/>
      <c r="J2452" s="1139"/>
      <c r="K2452" s="1111"/>
      <c r="L2452" s="1112"/>
      <c r="M2452" s="1113"/>
      <c r="N2452" s="110"/>
      <c r="O2452" s="1140"/>
      <c r="P2452" s="1115"/>
      <c r="Q2452" s="1116"/>
      <c r="R2452" s="1141"/>
      <c r="S2452" s="1113"/>
      <c r="T2452" s="1143"/>
      <c r="U2452" s="1108"/>
      <c r="V2452" s="1108"/>
      <c r="W2452" s="1108"/>
      <c r="X2452" s="1108"/>
      <c r="Y2452" s="1108"/>
      <c r="Z2452" s="1114"/>
      <c r="AA2452" s="1114"/>
      <c r="AB2452" s="1114"/>
      <c r="AC2452" s="1117"/>
      <c r="AD2452" s="1115"/>
      <c r="AE2452" s="1115"/>
      <c r="AF2452" s="1115"/>
      <c r="AG2452" s="1115"/>
      <c r="AH2452" s="1115"/>
      <c r="AI2452" s="1115"/>
      <c r="AJ2452" s="1117"/>
      <c r="AK2452" s="1118"/>
      <c r="AL2452" s="1115"/>
      <c r="AM2452" s="1115"/>
      <c r="AN2452" s="1115"/>
      <c r="AO2452" s="1115"/>
      <c r="AP2452" s="1115"/>
      <c r="AQ2452" s="1115"/>
      <c r="AR2452" s="1115"/>
      <c r="AS2452" s="1117"/>
      <c r="AT2452" s="1196" t="str">
        <f t="shared" si="428"/>
        <v/>
      </c>
      <c r="AU2452" s="1193"/>
      <c r="AV2452" s="330">
        <f>SQRT(($R2452-Infrastructure!J$3)^2+($S2452-Infrastructure!K$3)^2)</f>
        <v>28.90155705</v>
      </c>
      <c r="AW2452" s="331">
        <f>SQRT(($R2452-Infrastructure!J$4)^2+($S2452-Infrastructure!K$4)^2)</f>
        <v>17.80252791</v>
      </c>
      <c r="AX2452" s="331">
        <f>SQRT(($R2452-Infrastructure!J$5)^2+($S2452-Infrastructure!K$5)^2)</f>
        <v>5.10881591</v>
      </c>
      <c r="AY2452" s="331">
        <f>SQRT(($R2452-Infrastructure!J$6)^2+($S2452-Infrastructure!K$6)^2)</f>
        <v>10.10445446</v>
      </c>
      <c r="AZ2452" s="331">
        <f>SQRT(($R2452-Infrastructure!J$7)^2+($S2452-Infrastructure!K$7)^2)</f>
        <v>20.502195</v>
      </c>
      <c r="BA2452" s="331">
        <f>SQRT(($R2452-Infrastructure!J$8)^2+($S2452-Infrastructure!K$8)^2)</f>
        <v>30.10149498</v>
      </c>
      <c r="BB2452" s="331">
        <f>SQRT(($R2452-Infrastructure!J$9)^2+($S2452-Infrastructure!K$9)^2)</f>
        <v>40.3238143</v>
      </c>
      <c r="BC2452" s="331">
        <f>SQRT(($R2452-Infrastructure!J$10)^2+($S2452-Infrastructure!K$10)^2)</f>
        <v>42.72001873</v>
      </c>
      <c r="BD2452" s="331">
        <f>SQRT(($R2452-Infrastructure!J$11)^2+($S2452-Infrastructure!K$11)^2)</f>
        <v>49.56853841</v>
      </c>
      <c r="BE2452" s="333">
        <f>SQRT(($R2452-Infrastructure!J$12)^2+($S2452-Infrastructure!K$12)^2)</f>
        <v>59.51890456</v>
      </c>
      <c r="BF2452" s="330">
        <f t="shared" si="161"/>
        <v>5.10881591</v>
      </c>
      <c r="BG2452" s="333">
        <f t="shared" si="162"/>
        <v>59.51890456</v>
      </c>
      <c r="BH2452" s="1119"/>
      <c r="BI2452" s="319" t="str">
        <f t="shared" ref="BI2452:BR2452" si="1758">IF(ISNUMBER(FIND(BI$3, $CO2452)), "Y", "")</f>
        <v/>
      </c>
      <c r="BJ2452" s="319" t="str">
        <f t="shared" si="1758"/>
        <v/>
      </c>
      <c r="BK2452" s="319" t="str">
        <f t="shared" si="1758"/>
        <v/>
      </c>
      <c r="BL2452" s="319" t="str">
        <f t="shared" si="1758"/>
        <v/>
      </c>
      <c r="BM2452" s="319" t="str">
        <f t="shared" si="1758"/>
        <v/>
      </c>
      <c r="BN2452" s="319" t="str">
        <f t="shared" si="1758"/>
        <v/>
      </c>
      <c r="BO2452" s="319" t="str">
        <f t="shared" si="1758"/>
        <v/>
      </c>
      <c r="BP2452" s="319" t="str">
        <f t="shared" si="1758"/>
        <v/>
      </c>
      <c r="BQ2452" s="319" t="str">
        <f t="shared" si="1758"/>
        <v/>
      </c>
      <c r="BR2452" s="319" t="str">
        <f t="shared" si="1758"/>
        <v/>
      </c>
      <c r="BS2452" s="330">
        <f t="shared" si="185"/>
        <v>0</v>
      </c>
      <c r="BT2452" s="331">
        <f t="shared" si="170"/>
        <v>0</v>
      </c>
      <c r="BU2452" s="920"/>
      <c r="BV2452" s="903" t="str">
        <f t="shared" si="1244"/>
        <v/>
      </c>
      <c r="BW2452" s="908"/>
      <c r="BX2452" s="908"/>
      <c r="BY2452" s="331" t="b">
        <f t="shared" si="201"/>
        <v>0</v>
      </c>
      <c r="BZ2452" s="331"/>
      <c r="CA2452" s="462" t="str">
        <f t="shared" ref="CA2452:CJ2452" si="1759">IF(ISNUMBER(FIND(BI$3, $CP2452)), "Y", "")</f>
        <v/>
      </c>
      <c r="CB2452" s="319" t="str">
        <f t="shared" si="1759"/>
        <v/>
      </c>
      <c r="CC2452" s="319" t="str">
        <f t="shared" si="1759"/>
        <v/>
      </c>
      <c r="CD2452" s="319" t="str">
        <f t="shared" si="1759"/>
        <v/>
      </c>
      <c r="CE2452" s="319" t="str">
        <f t="shared" si="1759"/>
        <v/>
      </c>
      <c r="CF2452" s="319" t="str">
        <f t="shared" si="1759"/>
        <v/>
      </c>
      <c r="CG2452" s="319" t="str">
        <f t="shared" si="1759"/>
        <v/>
      </c>
      <c r="CH2452" s="319" t="str">
        <f t="shared" si="1759"/>
        <v/>
      </c>
      <c r="CI2452" s="319" t="str">
        <f t="shared" si="1759"/>
        <v/>
      </c>
      <c r="CJ2452" s="319" t="str">
        <f t="shared" si="1759"/>
        <v/>
      </c>
      <c r="CK2452" s="342">
        <f t="shared" si="182"/>
        <v>0</v>
      </c>
      <c r="CL2452" s="333">
        <f t="shared" si="183"/>
        <v>0</v>
      </c>
      <c r="CM2452" s="1079"/>
      <c r="CN2452" s="1005"/>
      <c r="CO2452" s="1005"/>
      <c r="CP2452" s="1005"/>
    </row>
    <row r="2453">
      <c r="A2453" s="1257"/>
      <c r="B2453" s="1113"/>
      <c r="C2453" s="1107"/>
      <c r="D2453" s="103"/>
      <c r="E2453" s="1137"/>
      <c r="F2453" s="112"/>
      <c r="G2453" s="1110"/>
      <c r="H2453" s="1138"/>
      <c r="I2453" s="1138"/>
      <c r="J2453" s="1139"/>
      <c r="K2453" s="1111"/>
      <c r="L2453" s="1112"/>
      <c r="M2453" s="1113"/>
      <c r="N2453" s="110"/>
      <c r="O2453" s="1140"/>
      <c r="P2453" s="1115"/>
      <c r="Q2453" s="1116"/>
      <c r="R2453" s="1141"/>
      <c r="S2453" s="1113"/>
      <c r="T2453" s="1143"/>
      <c r="U2453" s="1108"/>
      <c r="V2453" s="1108"/>
      <c r="W2453" s="1108"/>
      <c r="X2453" s="1108"/>
      <c r="Y2453" s="1108"/>
      <c r="Z2453" s="1114"/>
      <c r="AA2453" s="1114"/>
      <c r="AB2453" s="1114"/>
      <c r="AC2453" s="1117"/>
      <c r="AD2453" s="1115"/>
      <c r="AE2453" s="1115"/>
      <c r="AF2453" s="1115"/>
      <c r="AG2453" s="1115"/>
      <c r="AH2453" s="1115"/>
      <c r="AI2453" s="1115"/>
      <c r="AJ2453" s="1117"/>
      <c r="AK2453" s="1118"/>
      <c r="AL2453" s="1115"/>
      <c r="AM2453" s="1115"/>
      <c r="AN2453" s="1115"/>
      <c r="AO2453" s="1115"/>
      <c r="AP2453" s="1115"/>
      <c r="AQ2453" s="1115"/>
      <c r="AR2453" s="1115"/>
      <c r="AS2453" s="1117"/>
      <c r="AT2453" s="1196" t="str">
        <f t="shared" si="428"/>
        <v/>
      </c>
      <c r="AU2453" s="1193"/>
      <c r="AV2453" s="330">
        <f>SQRT(($R2453-Infrastructure!J$3)^2+($S2453-Infrastructure!K$3)^2)</f>
        <v>28.90155705</v>
      </c>
      <c r="AW2453" s="331">
        <f>SQRT(($R2453-Infrastructure!J$4)^2+($S2453-Infrastructure!K$4)^2)</f>
        <v>17.80252791</v>
      </c>
      <c r="AX2453" s="331">
        <f>SQRT(($R2453-Infrastructure!J$5)^2+($S2453-Infrastructure!K$5)^2)</f>
        <v>5.10881591</v>
      </c>
      <c r="AY2453" s="331">
        <f>SQRT(($R2453-Infrastructure!J$6)^2+($S2453-Infrastructure!K$6)^2)</f>
        <v>10.10445446</v>
      </c>
      <c r="AZ2453" s="331">
        <f>SQRT(($R2453-Infrastructure!J$7)^2+($S2453-Infrastructure!K$7)^2)</f>
        <v>20.502195</v>
      </c>
      <c r="BA2453" s="331">
        <f>SQRT(($R2453-Infrastructure!J$8)^2+($S2453-Infrastructure!K$8)^2)</f>
        <v>30.10149498</v>
      </c>
      <c r="BB2453" s="331">
        <f>SQRT(($R2453-Infrastructure!J$9)^2+($S2453-Infrastructure!K$9)^2)</f>
        <v>40.3238143</v>
      </c>
      <c r="BC2453" s="331">
        <f>SQRT(($R2453-Infrastructure!J$10)^2+($S2453-Infrastructure!K$10)^2)</f>
        <v>42.72001873</v>
      </c>
      <c r="BD2453" s="331">
        <f>SQRT(($R2453-Infrastructure!J$11)^2+($S2453-Infrastructure!K$11)^2)</f>
        <v>49.56853841</v>
      </c>
      <c r="BE2453" s="333">
        <f>SQRT(($R2453-Infrastructure!J$12)^2+($S2453-Infrastructure!K$12)^2)</f>
        <v>59.51890456</v>
      </c>
      <c r="BF2453" s="330">
        <f t="shared" si="161"/>
        <v>5.10881591</v>
      </c>
      <c r="BG2453" s="333">
        <f t="shared" si="162"/>
        <v>59.51890456</v>
      </c>
      <c r="BH2453" s="1119"/>
      <c r="BI2453" s="319" t="str">
        <f t="shared" ref="BI2453:BR2453" si="1760">IF(ISNUMBER(FIND(BI$3, $CO2453)), "Y", "")</f>
        <v/>
      </c>
      <c r="BJ2453" s="319" t="str">
        <f t="shared" si="1760"/>
        <v/>
      </c>
      <c r="BK2453" s="319" t="str">
        <f t="shared" si="1760"/>
        <v/>
      </c>
      <c r="BL2453" s="319" t="str">
        <f t="shared" si="1760"/>
        <v/>
      </c>
      <c r="BM2453" s="319" t="str">
        <f t="shared" si="1760"/>
        <v/>
      </c>
      <c r="BN2453" s="319" t="str">
        <f t="shared" si="1760"/>
        <v/>
      </c>
      <c r="BO2453" s="319" t="str">
        <f t="shared" si="1760"/>
        <v/>
      </c>
      <c r="BP2453" s="319" t="str">
        <f t="shared" si="1760"/>
        <v/>
      </c>
      <c r="BQ2453" s="319" t="str">
        <f t="shared" si="1760"/>
        <v/>
      </c>
      <c r="BR2453" s="319" t="str">
        <f t="shared" si="1760"/>
        <v/>
      </c>
      <c r="BS2453" s="330">
        <f t="shared" si="185"/>
        <v>0</v>
      </c>
      <c r="BT2453" s="331">
        <f t="shared" si="170"/>
        <v>0</v>
      </c>
      <c r="BU2453" s="920"/>
      <c r="BV2453" s="903" t="str">
        <f t="shared" si="1244"/>
        <v/>
      </c>
      <c r="BW2453" s="908"/>
      <c r="BX2453" s="908"/>
      <c r="BY2453" s="331" t="b">
        <f t="shared" si="201"/>
        <v>0</v>
      </c>
      <c r="BZ2453" s="331"/>
      <c r="CA2453" s="462" t="str">
        <f t="shared" ref="CA2453:CJ2453" si="1761">IF(ISNUMBER(FIND(BI$3, $CP2453)), "Y", "")</f>
        <v/>
      </c>
      <c r="CB2453" s="319" t="str">
        <f t="shared" si="1761"/>
        <v/>
      </c>
      <c r="CC2453" s="319" t="str">
        <f t="shared" si="1761"/>
        <v/>
      </c>
      <c r="CD2453" s="319" t="str">
        <f t="shared" si="1761"/>
        <v/>
      </c>
      <c r="CE2453" s="319" t="str">
        <f t="shared" si="1761"/>
        <v/>
      </c>
      <c r="CF2453" s="319" t="str">
        <f t="shared" si="1761"/>
        <v/>
      </c>
      <c r="CG2453" s="319" t="str">
        <f t="shared" si="1761"/>
        <v/>
      </c>
      <c r="CH2453" s="319" t="str">
        <f t="shared" si="1761"/>
        <v/>
      </c>
      <c r="CI2453" s="319" t="str">
        <f t="shared" si="1761"/>
        <v/>
      </c>
      <c r="CJ2453" s="319" t="str">
        <f t="shared" si="1761"/>
        <v/>
      </c>
      <c r="CK2453" s="342">
        <f t="shared" si="182"/>
        <v>0</v>
      </c>
      <c r="CL2453" s="333">
        <f t="shared" si="183"/>
        <v>0</v>
      </c>
      <c r="CM2453" s="1079"/>
      <c r="CN2453" s="1005"/>
      <c r="CO2453" s="1005"/>
      <c r="CP2453" s="1005"/>
    </row>
    <row r="2454">
      <c r="A2454" s="1257"/>
      <c r="B2454" s="1113"/>
      <c r="C2454" s="1107"/>
      <c r="D2454" s="103"/>
      <c r="E2454" s="1137"/>
      <c r="F2454" s="112"/>
      <c r="G2454" s="1110"/>
      <c r="H2454" s="1138"/>
      <c r="I2454" s="1138"/>
      <c r="J2454" s="1139"/>
      <c r="K2454" s="1111"/>
      <c r="L2454" s="1112"/>
      <c r="M2454" s="1113"/>
      <c r="N2454" s="110"/>
      <c r="O2454" s="1140"/>
      <c r="P2454" s="1115"/>
      <c r="Q2454" s="1116"/>
      <c r="R2454" s="1141"/>
      <c r="S2454" s="1113"/>
      <c r="T2454" s="1143"/>
      <c r="U2454" s="1108"/>
      <c r="V2454" s="1108"/>
      <c r="W2454" s="1108"/>
      <c r="X2454" s="1108"/>
      <c r="Y2454" s="1108"/>
      <c r="Z2454" s="1114"/>
      <c r="AA2454" s="1114"/>
      <c r="AB2454" s="1114"/>
      <c r="AC2454" s="1117"/>
      <c r="AD2454" s="1115"/>
      <c r="AE2454" s="1115"/>
      <c r="AF2454" s="1115"/>
      <c r="AG2454" s="1115"/>
      <c r="AH2454" s="1115"/>
      <c r="AI2454" s="1115"/>
      <c r="AJ2454" s="1117"/>
      <c r="AK2454" s="1118"/>
      <c r="AL2454" s="1115"/>
      <c r="AM2454" s="1115"/>
      <c r="AN2454" s="1115"/>
      <c r="AO2454" s="1115"/>
      <c r="AP2454" s="1115"/>
      <c r="AQ2454" s="1115"/>
      <c r="AR2454" s="1115"/>
      <c r="AS2454" s="1117"/>
      <c r="AT2454" s="1196" t="str">
        <f t="shared" si="428"/>
        <v/>
      </c>
      <c r="AU2454" s="1193"/>
      <c r="AV2454" s="330">
        <f>SQRT(($R2454-Infrastructure!J$3)^2+($S2454-Infrastructure!K$3)^2)</f>
        <v>28.90155705</v>
      </c>
      <c r="AW2454" s="331">
        <f>SQRT(($R2454-Infrastructure!J$4)^2+($S2454-Infrastructure!K$4)^2)</f>
        <v>17.80252791</v>
      </c>
      <c r="AX2454" s="331">
        <f>SQRT(($R2454-Infrastructure!J$5)^2+($S2454-Infrastructure!K$5)^2)</f>
        <v>5.10881591</v>
      </c>
      <c r="AY2454" s="331">
        <f>SQRT(($R2454-Infrastructure!J$6)^2+($S2454-Infrastructure!K$6)^2)</f>
        <v>10.10445446</v>
      </c>
      <c r="AZ2454" s="331">
        <f>SQRT(($R2454-Infrastructure!J$7)^2+($S2454-Infrastructure!K$7)^2)</f>
        <v>20.502195</v>
      </c>
      <c r="BA2454" s="331">
        <f>SQRT(($R2454-Infrastructure!J$8)^2+($S2454-Infrastructure!K$8)^2)</f>
        <v>30.10149498</v>
      </c>
      <c r="BB2454" s="331">
        <f>SQRT(($R2454-Infrastructure!J$9)^2+($S2454-Infrastructure!K$9)^2)</f>
        <v>40.3238143</v>
      </c>
      <c r="BC2454" s="331">
        <f>SQRT(($R2454-Infrastructure!J$10)^2+($S2454-Infrastructure!K$10)^2)</f>
        <v>42.72001873</v>
      </c>
      <c r="BD2454" s="331">
        <f>SQRT(($R2454-Infrastructure!J$11)^2+($S2454-Infrastructure!K$11)^2)</f>
        <v>49.56853841</v>
      </c>
      <c r="BE2454" s="333">
        <f>SQRT(($R2454-Infrastructure!J$12)^2+($S2454-Infrastructure!K$12)^2)</f>
        <v>59.51890456</v>
      </c>
      <c r="BF2454" s="330">
        <f t="shared" si="161"/>
        <v>5.10881591</v>
      </c>
      <c r="BG2454" s="333">
        <f t="shared" si="162"/>
        <v>59.51890456</v>
      </c>
      <c r="BH2454" s="1119"/>
      <c r="BI2454" s="319" t="str">
        <f t="shared" ref="BI2454:BR2454" si="1762">IF(ISNUMBER(FIND(BI$3, $CO2454)), "Y", "")</f>
        <v/>
      </c>
      <c r="BJ2454" s="319" t="str">
        <f t="shared" si="1762"/>
        <v/>
      </c>
      <c r="BK2454" s="319" t="str">
        <f t="shared" si="1762"/>
        <v/>
      </c>
      <c r="BL2454" s="319" t="str">
        <f t="shared" si="1762"/>
        <v/>
      </c>
      <c r="BM2454" s="319" t="str">
        <f t="shared" si="1762"/>
        <v/>
      </c>
      <c r="BN2454" s="319" t="str">
        <f t="shared" si="1762"/>
        <v/>
      </c>
      <c r="BO2454" s="319" t="str">
        <f t="shared" si="1762"/>
        <v/>
      </c>
      <c r="BP2454" s="319" t="str">
        <f t="shared" si="1762"/>
        <v/>
      </c>
      <c r="BQ2454" s="319" t="str">
        <f t="shared" si="1762"/>
        <v/>
      </c>
      <c r="BR2454" s="319" t="str">
        <f t="shared" si="1762"/>
        <v/>
      </c>
      <c r="BS2454" s="330">
        <f t="shared" si="185"/>
        <v>0</v>
      </c>
      <c r="BT2454" s="331">
        <f t="shared" si="170"/>
        <v>0</v>
      </c>
      <c r="BU2454" s="920"/>
      <c r="BV2454" s="903" t="str">
        <f t="shared" si="1244"/>
        <v/>
      </c>
      <c r="BW2454" s="908"/>
      <c r="BX2454" s="908"/>
      <c r="BY2454" s="331" t="b">
        <f t="shared" si="201"/>
        <v>0</v>
      </c>
      <c r="BZ2454" s="331"/>
      <c r="CA2454" s="462" t="str">
        <f t="shared" ref="CA2454:CJ2454" si="1763">IF(ISNUMBER(FIND(BI$3, $CP2454)), "Y", "")</f>
        <v/>
      </c>
      <c r="CB2454" s="319" t="str">
        <f t="shared" si="1763"/>
        <v/>
      </c>
      <c r="CC2454" s="319" t="str">
        <f t="shared" si="1763"/>
        <v/>
      </c>
      <c r="CD2454" s="319" t="str">
        <f t="shared" si="1763"/>
        <v/>
      </c>
      <c r="CE2454" s="319" t="str">
        <f t="shared" si="1763"/>
        <v/>
      </c>
      <c r="CF2454" s="319" t="str">
        <f t="shared" si="1763"/>
        <v/>
      </c>
      <c r="CG2454" s="319" t="str">
        <f t="shared" si="1763"/>
        <v/>
      </c>
      <c r="CH2454" s="319" t="str">
        <f t="shared" si="1763"/>
        <v/>
      </c>
      <c r="CI2454" s="319" t="str">
        <f t="shared" si="1763"/>
        <v/>
      </c>
      <c r="CJ2454" s="319" t="str">
        <f t="shared" si="1763"/>
        <v/>
      </c>
      <c r="CK2454" s="342">
        <f t="shared" si="182"/>
        <v>0</v>
      </c>
      <c r="CL2454" s="333">
        <f t="shared" si="183"/>
        <v>0</v>
      </c>
      <c r="CM2454" s="1079"/>
      <c r="CN2454" s="1005"/>
      <c r="CO2454" s="1005"/>
      <c r="CP2454" s="1005"/>
    </row>
    <row r="2455">
      <c r="A2455" s="1257"/>
      <c r="B2455" s="1113"/>
      <c r="C2455" s="1107"/>
      <c r="D2455" s="103"/>
      <c r="E2455" s="1137"/>
      <c r="F2455" s="112"/>
      <c r="G2455" s="1110"/>
      <c r="H2455" s="1138"/>
      <c r="I2455" s="1138"/>
      <c r="J2455" s="1139"/>
      <c r="K2455" s="1111"/>
      <c r="L2455" s="1112"/>
      <c r="M2455" s="1113"/>
      <c r="N2455" s="110"/>
      <c r="O2455" s="1140"/>
      <c r="P2455" s="1115"/>
      <c r="Q2455" s="1116"/>
      <c r="R2455" s="1141"/>
      <c r="S2455" s="1113"/>
      <c r="T2455" s="1143"/>
      <c r="U2455" s="1108"/>
      <c r="V2455" s="1108"/>
      <c r="W2455" s="1108"/>
      <c r="X2455" s="1108"/>
      <c r="Y2455" s="1108"/>
      <c r="Z2455" s="1114"/>
      <c r="AA2455" s="1114"/>
      <c r="AB2455" s="1114"/>
      <c r="AC2455" s="1117"/>
      <c r="AD2455" s="1115"/>
      <c r="AE2455" s="1115"/>
      <c r="AF2455" s="1115"/>
      <c r="AG2455" s="1115"/>
      <c r="AH2455" s="1115"/>
      <c r="AI2455" s="1115"/>
      <c r="AJ2455" s="1117"/>
      <c r="AK2455" s="1118"/>
      <c r="AL2455" s="1115"/>
      <c r="AM2455" s="1115"/>
      <c r="AN2455" s="1115"/>
      <c r="AO2455" s="1115"/>
      <c r="AP2455" s="1115"/>
      <c r="AQ2455" s="1115"/>
      <c r="AR2455" s="1115"/>
      <c r="AS2455" s="1117"/>
      <c r="AT2455" s="1196" t="str">
        <f t="shared" si="428"/>
        <v/>
      </c>
      <c r="AU2455" s="1193"/>
      <c r="AV2455" s="330">
        <f>SQRT(($R2455-Infrastructure!J$3)^2+($S2455-Infrastructure!K$3)^2)</f>
        <v>28.90155705</v>
      </c>
      <c r="AW2455" s="331">
        <f>SQRT(($R2455-Infrastructure!J$4)^2+($S2455-Infrastructure!K$4)^2)</f>
        <v>17.80252791</v>
      </c>
      <c r="AX2455" s="331">
        <f>SQRT(($R2455-Infrastructure!J$5)^2+($S2455-Infrastructure!K$5)^2)</f>
        <v>5.10881591</v>
      </c>
      <c r="AY2455" s="331">
        <f>SQRT(($R2455-Infrastructure!J$6)^2+($S2455-Infrastructure!K$6)^2)</f>
        <v>10.10445446</v>
      </c>
      <c r="AZ2455" s="331">
        <f>SQRT(($R2455-Infrastructure!J$7)^2+($S2455-Infrastructure!K$7)^2)</f>
        <v>20.502195</v>
      </c>
      <c r="BA2455" s="331">
        <f>SQRT(($R2455-Infrastructure!J$8)^2+($S2455-Infrastructure!K$8)^2)</f>
        <v>30.10149498</v>
      </c>
      <c r="BB2455" s="331">
        <f>SQRT(($R2455-Infrastructure!J$9)^2+($S2455-Infrastructure!K$9)^2)</f>
        <v>40.3238143</v>
      </c>
      <c r="BC2455" s="331">
        <f>SQRT(($R2455-Infrastructure!J$10)^2+($S2455-Infrastructure!K$10)^2)</f>
        <v>42.72001873</v>
      </c>
      <c r="BD2455" s="331">
        <f>SQRT(($R2455-Infrastructure!J$11)^2+($S2455-Infrastructure!K$11)^2)</f>
        <v>49.56853841</v>
      </c>
      <c r="BE2455" s="333">
        <f>SQRT(($R2455-Infrastructure!J$12)^2+($S2455-Infrastructure!K$12)^2)</f>
        <v>59.51890456</v>
      </c>
      <c r="BF2455" s="330">
        <f t="shared" si="161"/>
        <v>5.10881591</v>
      </c>
      <c r="BG2455" s="333">
        <f t="shared" si="162"/>
        <v>59.51890456</v>
      </c>
      <c r="BH2455" s="1119"/>
      <c r="BI2455" s="319" t="str">
        <f t="shared" ref="BI2455:BR2455" si="1764">IF(ISNUMBER(FIND(BI$3, $CO2455)), "Y", "")</f>
        <v/>
      </c>
      <c r="BJ2455" s="319" t="str">
        <f t="shared" si="1764"/>
        <v/>
      </c>
      <c r="BK2455" s="319" t="str">
        <f t="shared" si="1764"/>
        <v/>
      </c>
      <c r="BL2455" s="319" t="str">
        <f t="shared" si="1764"/>
        <v/>
      </c>
      <c r="BM2455" s="319" t="str">
        <f t="shared" si="1764"/>
        <v/>
      </c>
      <c r="BN2455" s="319" t="str">
        <f t="shared" si="1764"/>
        <v/>
      </c>
      <c r="BO2455" s="319" t="str">
        <f t="shared" si="1764"/>
        <v/>
      </c>
      <c r="BP2455" s="319" t="str">
        <f t="shared" si="1764"/>
        <v/>
      </c>
      <c r="BQ2455" s="319" t="str">
        <f t="shared" si="1764"/>
        <v/>
      </c>
      <c r="BR2455" s="319" t="str">
        <f t="shared" si="1764"/>
        <v/>
      </c>
      <c r="BS2455" s="330">
        <f t="shared" si="185"/>
        <v>0</v>
      </c>
      <c r="BT2455" s="331">
        <f t="shared" si="170"/>
        <v>0</v>
      </c>
      <c r="BU2455" s="920"/>
      <c r="BV2455" s="903" t="str">
        <f t="shared" si="1244"/>
        <v/>
      </c>
      <c r="BW2455" s="908"/>
      <c r="BX2455" s="908"/>
      <c r="BY2455" s="331" t="b">
        <f t="shared" si="201"/>
        <v>0</v>
      </c>
      <c r="BZ2455" s="331"/>
      <c r="CA2455" s="462" t="str">
        <f t="shared" ref="CA2455:CJ2455" si="1765">IF(ISNUMBER(FIND(BI$3, $CP2455)), "Y", "")</f>
        <v/>
      </c>
      <c r="CB2455" s="319" t="str">
        <f t="shared" si="1765"/>
        <v/>
      </c>
      <c r="CC2455" s="319" t="str">
        <f t="shared" si="1765"/>
        <v/>
      </c>
      <c r="CD2455" s="319" t="str">
        <f t="shared" si="1765"/>
        <v/>
      </c>
      <c r="CE2455" s="319" t="str">
        <f t="shared" si="1765"/>
        <v/>
      </c>
      <c r="CF2455" s="319" t="str">
        <f t="shared" si="1765"/>
        <v/>
      </c>
      <c r="CG2455" s="319" t="str">
        <f t="shared" si="1765"/>
        <v/>
      </c>
      <c r="CH2455" s="319" t="str">
        <f t="shared" si="1765"/>
        <v/>
      </c>
      <c r="CI2455" s="319" t="str">
        <f t="shared" si="1765"/>
        <v/>
      </c>
      <c r="CJ2455" s="319" t="str">
        <f t="shared" si="1765"/>
        <v/>
      </c>
      <c r="CK2455" s="342">
        <f t="shared" si="182"/>
        <v>0</v>
      </c>
      <c r="CL2455" s="333">
        <f t="shared" si="183"/>
        <v>0</v>
      </c>
      <c r="CM2455" s="1079"/>
      <c r="CN2455" s="1005"/>
      <c r="CO2455" s="1005"/>
      <c r="CP2455" s="1005"/>
    </row>
    <row r="2456">
      <c r="A2456" s="1257"/>
      <c r="B2456" s="1113"/>
      <c r="C2456" s="1107"/>
      <c r="D2456" s="103"/>
      <c r="E2456" s="1137"/>
      <c r="F2456" s="112"/>
      <c r="G2456" s="1110"/>
      <c r="H2456" s="1138"/>
      <c r="I2456" s="1138"/>
      <c r="J2456" s="1139"/>
      <c r="K2456" s="1111"/>
      <c r="L2456" s="1112"/>
      <c r="M2456" s="1113"/>
      <c r="N2456" s="110"/>
      <c r="O2456" s="1140"/>
      <c r="P2456" s="1115"/>
      <c r="Q2456" s="1116"/>
      <c r="R2456" s="1141"/>
      <c r="S2456" s="1113"/>
      <c r="T2456" s="1143"/>
      <c r="U2456" s="1108"/>
      <c r="V2456" s="1108"/>
      <c r="W2456" s="1108"/>
      <c r="X2456" s="1108"/>
      <c r="Y2456" s="1108"/>
      <c r="Z2456" s="1114"/>
      <c r="AA2456" s="1114"/>
      <c r="AB2456" s="1114"/>
      <c r="AC2456" s="1117"/>
      <c r="AD2456" s="1115"/>
      <c r="AE2456" s="1115"/>
      <c r="AF2456" s="1115"/>
      <c r="AG2456" s="1115"/>
      <c r="AH2456" s="1115"/>
      <c r="AI2456" s="1115"/>
      <c r="AJ2456" s="1117"/>
      <c r="AK2456" s="1118"/>
      <c r="AL2456" s="1115"/>
      <c r="AM2456" s="1115"/>
      <c r="AN2456" s="1115"/>
      <c r="AO2456" s="1115"/>
      <c r="AP2456" s="1115"/>
      <c r="AQ2456" s="1115"/>
      <c r="AR2456" s="1115"/>
      <c r="AS2456" s="1117"/>
      <c r="AT2456" s="1196" t="str">
        <f t="shared" si="428"/>
        <v/>
      </c>
      <c r="AU2456" s="1193"/>
      <c r="AV2456" s="330">
        <f>SQRT(($R2456-Infrastructure!J$3)^2+($S2456-Infrastructure!K$3)^2)</f>
        <v>28.90155705</v>
      </c>
      <c r="AW2456" s="331">
        <f>SQRT(($R2456-Infrastructure!J$4)^2+($S2456-Infrastructure!K$4)^2)</f>
        <v>17.80252791</v>
      </c>
      <c r="AX2456" s="331">
        <f>SQRT(($R2456-Infrastructure!J$5)^2+($S2456-Infrastructure!K$5)^2)</f>
        <v>5.10881591</v>
      </c>
      <c r="AY2456" s="331">
        <f>SQRT(($R2456-Infrastructure!J$6)^2+($S2456-Infrastructure!K$6)^2)</f>
        <v>10.10445446</v>
      </c>
      <c r="AZ2456" s="331">
        <f>SQRT(($R2456-Infrastructure!J$7)^2+($S2456-Infrastructure!K$7)^2)</f>
        <v>20.502195</v>
      </c>
      <c r="BA2456" s="331">
        <f>SQRT(($R2456-Infrastructure!J$8)^2+($S2456-Infrastructure!K$8)^2)</f>
        <v>30.10149498</v>
      </c>
      <c r="BB2456" s="331">
        <f>SQRT(($R2456-Infrastructure!J$9)^2+($S2456-Infrastructure!K$9)^2)</f>
        <v>40.3238143</v>
      </c>
      <c r="BC2456" s="331">
        <f>SQRT(($R2456-Infrastructure!J$10)^2+($S2456-Infrastructure!K$10)^2)</f>
        <v>42.72001873</v>
      </c>
      <c r="BD2456" s="331">
        <f>SQRT(($R2456-Infrastructure!J$11)^2+($S2456-Infrastructure!K$11)^2)</f>
        <v>49.56853841</v>
      </c>
      <c r="BE2456" s="333">
        <f>SQRT(($R2456-Infrastructure!J$12)^2+($S2456-Infrastructure!K$12)^2)</f>
        <v>59.51890456</v>
      </c>
      <c r="BF2456" s="330">
        <f t="shared" si="161"/>
        <v>5.10881591</v>
      </c>
      <c r="BG2456" s="333">
        <f t="shared" si="162"/>
        <v>59.51890456</v>
      </c>
      <c r="BH2456" s="1119"/>
      <c r="BI2456" s="319" t="str">
        <f t="shared" ref="BI2456:BR2456" si="1766">IF(ISNUMBER(FIND(BI$3, $CO2456)), "Y", "")</f>
        <v/>
      </c>
      <c r="BJ2456" s="319" t="str">
        <f t="shared" si="1766"/>
        <v/>
      </c>
      <c r="BK2456" s="319" t="str">
        <f t="shared" si="1766"/>
        <v/>
      </c>
      <c r="BL2456" s="319" t="str">
        <f t="shared" si="1766"/>
        <v/>
      </c>
      <c r="BM2456" s="319" t="str">
        <f t="shared" si="1766"/>
        <v/>
      </c>
      <c r="BN2456" s="319" t="str">
        <f t="shared" si="1766"/>
        <v/>
      </c>
      <c r="BO2456" s="319" t="str">
        <f t="shared" si="1766"/>
        <v/>
      </c>
      <c r="BP2456" s="319" t="str">
        <f t="shared" si="1766"/>
        <v/>
      </c>
      <c r="BQ2456" s="319" t="str">
        <f t="shared" si="1766"/>
        <v/>
      </c>
      <c r="BR2456" s="319" t="str">
        <f t="shared" si="1766"/>
        <v/>
      </c>
      <c r="BS2456" s="330">
        <f t="shared" si="185"/>
        <v>0</v>
      </c>
      <c r="BT2456" s="331">
        <f t="shared" si="170"/>
        <v>0</v>
      </c>
      <c r="BU2456" s="920"/>
      <c r="BV2456" s="903" t="str">
        <f t="shared" si="1244"/>
        <v/>
      </c>
      <c r="BW2456" s="908"/>
      <c r="BX2456" s="908"/>
      <c r="BY2456" s="331" t="b">
        <f t="shared" si="201"/>
        <v>0</v>
      </c>
      <c r="BZ2456" s="331"/>
      <c r="CA2456" s="462" t="str">
        <f t="shared" ref="CA2456:CJ2456" si="1767">IF(ISNUMBER(FIND(BI$3, $CP2456)), "Y", "")</f>
        <v/>
      </c>
      <c r="CB2456" s="319" t="str">
        <f t="shared" si="1767"/>
        <v/>
      </c>
      <c r="CC2456" s="319" t="str">
        <f t="shared" si="1767"/>
        <v/>
      </c>
      <c r="CD2456" s="319" t="str">
        <f t="shared" si="1767"/>
        <v/>
      </c>
      <c r="CE2456" s="319" t="str">
        <f t="shared" si="1767"/>
        <v/>
      </c>
      <c r="CF2456" s="319" t="str">
        <f t="shared" si="1767"/>
        <v/>
      </c>
      <c r="CG2456" s="319" t="str">
        <f t="shared" si="1767"/>
        <v/>
      </c>
      <c r="CH2456" s="319" t="str">
        <f t="shared" si="1767"/>
        <v/>
      </c>
      <c r="CI2456" s="319" t="str">
        <f t="shared" si="1767"/>
        <v/>
      </c>
      <c r="CJ2456" s="319" t="str">
        <f t="shared" si="1767"/>
        <v/>
      </c>
      <c r="CK2456" s="342">
        <f t="shared" si="182"/>
        <v>0</v>
      </c>
      <c r="CL2456" s="333">
        <f t="shared" si="183"/>
        <v>0</v>
      </c>
      <c r="CM2456" s="1079"/>
      <c r="CN2456" s="1005"/>
      <c r="CO2456" s="1005"/>
      <c r="CP2456" s="1005"/>
    </row>
    <row r="2457">
      <c r="A2457" s="1257"/>
      <c r="B2457" s="1113"/>
      <c r="C2457" s="1107"/>
      <c r="D2457" s="103"/>
      <c r="E2457" s="1137"/>
      <c r="F2457" s="112"/>
      <c r="G2457" s="1110"/>
      <c r="H2457" s="1138"/>
      <c r="I2457" s="1138"/>
      <c r="J2457" s="1139"/>
      <c r="K2457" s="1111"/>
      <c r="L2457" s="1112"/>
      <c r="M2457" s="1113"/>
      <c r="N2457" s="110"/>
      <c r="O2457" s="1140"/>
      <c r="P2457" s="1115"/>
      <c r="Q2457" s="1116"/>
      <c r="R2457" s="1141"/>
      <c r="S2457" s="1113"/>
      <c r="T2457" s="1143"/>
      <c r="U2457" s="1108"/>
      <c r="V2457" s="1108"/>
      <c r="W2457" s="1108"/>
      <c r="X2457" s="1108"/>
      <c r="Y2457" s="1108"/>
      <c r="Z2457" s="1114"/>
      <c r="AA2457" s="1114"/>
      <c r="AB2457" s="1114"/>
      <c r="AC2457" s="1117"/>
      <c r="AD2457" s="1115"/>
      <c r="AE2457" s="1115"/>
      <c r="AF2457" s="1115"/>
      <c r="AG2457" s="1115"/>
      <c r="AH2457" s="1115"/>
      <c r="AI2457" s="1115"/>
      <c r="AJ2457" s="1117"/>
      <c r="AK2457" s="1118"/>
      <c r="AL2457" s="1115"/>
      <c r="AM2457" s="1115"/>
      <c r="AN2457" s="1115"/>
      <c r="AO2457" s="1115"/>
      <c r="AP2457" s="1115"/>
      <c r="AQ2457" s="1115"/>
      <c r="AR2457" s="1115"/>
      <c r="AS2457" s="1117"/>
      <c r="AT2457" s="1196" t="str">
        <f t="shared" si="428"/>
        <v/>
      </c>
      <c r="AU2457" s="1193"/>
      <c r="AV2457" s="330">
        <f>SQRT(($R2457-Infrastructure!J$3)^2+($S2457-Infrastructure!K$3)^2)</f>
        <v>28.90155705</v>
      </c>
      <c r="AW2457" s="331">
        <f>SQRT(($R2457-Infrastructure!J$4)^2+($S2457-Infrastructure!K$4)^2)</f>
        <v>17.80252791</v>
      </c>
      <c r="AX2457" s="331">
        <f>SQRT(($R2457-Infrastructure!J$5)^2+($S2457-Infrastructure!K$5)^2)</f>
        <v>5.10881591</v>
      </c>
      <c r="AY2457" s="331">
        <f>SQRT(($R2457-Infrastructure!J$6)^2+($S2457-Infrastructure!K$6)^2)</f>
        <v>10.10445446</v>
      </c>
      <c r="AZ2457" s="331">
        <f>SQRT(($R2457-Infrastructure!J$7)^2+($S2457-Infrastructure!K$7)^2)</f>
        <v>20.502195</v>
      </c>
      <c r="BA2457" s="331">
        <f>SQRT(($R2457-Infrastructure!J$8)^2+($S2457-Infrastructure!K$8)^2)</f>
        <v>30.10149498</v>
      </c>
      <c r="BB2457" s="331">
        <f>SQRT(($R2457-Infrastructure!J$9)^2+($S2457-Infrastructure!K$9)^2)</f>
        <v>40.3238143</v>
      </c>
      <c r="BC2457" s="331">
        <f>SQRT(($R2457-Infrastructure!J$10)^2+($S2457-Infrastructure!K$10)^2)</f>
        <v>42.72001873</v>
      </c>
      <c r="BD2457" s="331">
        <f>SQRT(($R2457-Infrastructure!J$11)^2+($S2457-Infrastructure!K$11)^2)</f>
        <v>49.56853841</v>
      </c>
      <c r="BE2457" s="333">
        <f>SQRT(($R2457-Infrastructure!J$12)^2+($S2457-Infrastructure!K$12)^2)</f>
        <v>59.51890456</v>
      </c>
      <c r="BF2457" s="330">
        <f t="shared" si="161"/>
        <v>5.10881591</v>
      </c>
      <c r="BG2457" s="333">
        <f t="shared" si="162"/>
        <v>59.51890456</v>
      </c>
      <c r="BH2457" s="1119"/>
      <c r="BI2457" s="319" t="str">
        <f t="shared" ref="BI2457:BR2457" si="1768">IF(ISNUMBER(FIND(BI$3, $CO2457)), "Y", "")</f>
        <v/>
      </c>
      <c r="BJ2457" s="319" t="str">
        <f t="shared" si="1768"/>
        <v/>
      </c>
      <c r="BK2457" s="319" t="str">
        <f t="shared" si="1768"/>
        <v/>
      </c>
      <c r="BL2457" s="319" t="str">
        <f t="shared" si="1768"/>
        <v/>
      </c>
      <c r="BM2457" s="319" t="str">
        <f t="shared" si="1768"/>
        <v/>
      </c>
      <c r="BN2457" s="319" t="str">
        <f t="shared" si="1768"/>
        <v/>
      </c>
      <c r="BO2457" s="319" t="str">
        <f t="shared" si="1768"/>
        <v/>
      </c>
      <c r="BP2457" s="319" t="str">
        <f t="shared" si="1768"/>
        <v/>
      </c>
      <c r="BQ2457" s="319" t="str">
        <f t="shared" si="1768"/>
        <v/>
      </c>
      <c r="BR2457" s="319" t="str">
        <f t="shared" si="1768"/>
        <v/>
      </c>
      <c r="BS2457" s="330">
        <f t="shared" si="185"/>
        <v>0</v>
      </c>
      <c r="BT2457" s="331">
        <f t="shared" si="170"/>
        <v>0</v>
      </c>
      <c r="BU2457" s="920"/>
      <c r="BV2457" s="903" t="str">
        <f t="shared" si="1244"/>
        <v/>
      </c>
      <c r="BW2457" s="908"/>
      <c r="BX2457" s="908"/>
      <c r="BY2457" s="331" t="b">
        <f t="shared" si="201"/>
        <v>0</v>
      </c>
      <c r="BZ2457" s="331"/>
      <c r="CA2457" s="462" t="str">
        <f t="shared" ref="CA2457:CJ2457" si="1769">IF(ISNUMBER(FIND(BI$3, $CP2457)), "Y", "")</f>
        <v/>
      </c>
      <c r="CB2457" s="319" t="str">
        <f t="shared" si="1769"/>
        <v/>
      </c>
      <c r="CC2457" s="319" t="str">
        <f t="shared" si="1769"/>
        <v/>
      </c>
      <c r="CD2457" s="319" t="str">
        <f t="shared" si="1769"/>
        <v/>
      </c>
      <c r="CE2457" s="319" t="str">
        <f t="shared" si="1769"/>
        <v/>
      </c>
      <c r="CF2457" s="319" t="str">
        <f t="shared" si="1769"/>
        <v/>
      </c>
      <c r="CG2457" s="319" t="str">
        <f t="shared" si="1769"/>
        <v/>
      </c>
      <c r="CH2457" s="319" t="str">
        <f t="shared" si="1769"/>
        <v/>
      </c>
      <c r="CI2457" s="319" t="str">
        <f t="shared" si="1769"/>
        <v/>
      </c>
      <c r="CJ2457" s="319" t="str">
        <f t="shared" si="1769"/>
        <v/>
      </c>
      <c r="CK2457" s="342">
        <f t="shared" si="182"/>
        <v>0</v>
      </c>
      <c r="CL2457" s="333">
        <f t="shared" si="183"/>
        <v>0</v>
      </c>
      <c r="CM2457" s="1079"/>
      <c r="CN2457" s="1005"/>
      <c r="CO2457" s="1005"/>
      <c r="CP2457" s="1005"/>
    </row>
    <row r="2458">
      <c r="A2458" s="1257"/>
      <c r="B2458" s="1113"/>
      <c r="C2458" s="1107"/>
      <c r="D2458" s="103"/>
      <c r="E2458" s="1137"/>
      <c r="F2458" s="112"/>
      <c r="G2458" s="1110"/>
      <c r="H2458" s="1138"/>
      <c r="I2458" s="1138"/>
      <c r="J2458" s="1139"/>
      <c r="K2458" s="1111"/>
      <c r="L2458" s="1112"/>
      <c r="M2458" s="1113"/>
      <c r="N2458" s="110"/>
      <c r="O2458" s="1140"/>
      <c r="P2458" s="1115"/>
      <c r="Q2458" s="1116"/>
      <c r="R2458" s="1141"/>
      <c r="S2458" s="1113"/>
      <c r="T2458" s="1143"/>
      <c r="U2458" s="1108"/>
      <c r="V2458" s="1108"/>
      <c r="W2458" s="1108"/>
      <c r="X2458" s="1108"/>
      <c r="Y2458" s="1108"/>
      <c r="Z2458" s="1114"/>
      <c r="AA2458" s="1114"/>
      <c r="AB2458" s="1114"/>
      <c r="AC2458" s="1117"/>
      <c r="AD2458" s="1115"/>
      <c r="AE2458" s="1115"/>
      <c r="AF2458" s="1115"/>
      <c r="AG2458" s="1115"/>
      <c r="AH2458" s="1115"/>
      <c r="AI2458" s="1115"/>
      <c r="AJ2458" s="1117"/>
      <c r="AK2458" s="1118"/>
      <c r="AL2458" s="1115"/>
      <c r="AM2458" s="1115"/>
      <c r="AN2458" s="1115"/>
      <c r="AO2458" s="1115"/>
      <c r="AP2458" s="1115"/>
      <c r="AQ2458" s="1115"/>
      <c r="AR2458" s="1115"/>
      <c r="AS2458" s="1117"/>
      <c r="AT2458" s="1196" t="str">
        <f t="shared" si="428"/>
        <v/>
      </c>
      <c r="AU2458" s="1193"/>
      <c r="AV2458" s="330">
        <f>SQRT(($R2458-Infrastructure!J$3)^2+($S2458-Infrastructure!K$3)^2)</f>
        <v>28.90155705</v>
      </c>
      <c r="AW2458" s="331">
        <f>SQRT(($R2458-Infrastructure!J$4)^2+($S2458-Infrastructure!K$4)^2)</f>
        <v>17.80252791</v>
      </c>
      <c r="AX2458" s="331">
        <f>SQRT(($R2458-Infrastructure!J$5)^2+($S2458-Infrastructure!K$5)^2)</f>
        <v>5.10881591</v>
      </c>
      <c r="AY2458" s="331">
        <f>SQRT(($R2458-Infrastructure!J$6)^2+($S2458-Infrastructure!K$6)^2)</f>
        <v>10.10445446</v>
      </c>
      <c r="AZ2458" s="331">
        <f>SQRT(($R2458-Infrastructure!J$7)^2+($S2458-Infrastructure!K$7)^2)</f>
        <v>20.502195</v>
      </c>
      <c r="BA2458" s="331">
        <f>SQRT(($R2458-Infrastructure!J$8)^2+($S2458-Infrastructure!K$8)^2)</f>
        <v>30.10149498</v>
      </c>
      <c r="BB2458" s="331">
        <f>SQRT(($R2458-Infrastructure!J$9)^2+($S2458-Infrastructure!K$9)^2)</f>
        <v>40.3238143</v>
      </c>
      <c r="BC2458" s="331">
        <f>SQRT(($R2458-Infrastructure!J$10)^2+($S2458-Infrastructure!K$10)^2)</f>
        <v>42.72001873</v>
      </c>
      <c r="BD2458" s="331">
        <f>SQRT(($R2458-Infrastructure!J$11)^2+($S2458-Infrastructure!K$11)^2)</f>
        <v>49.56853841</v>
      </c>
      <c r="BE2458" s="333">
        <f>SQRT(($R2458-Infrastructure!J$12)^2+($S2458-Infrastructure!K$12)^2)</f>
        <v>59.51890456</v>
      </c>
      <c r="BF2458" s="330">
        <f t="shared" si="161"/>
        <v>5.10881591</v>
      </c>
      <c r="BG2458" s="333">
        <f t="shared" si="162"/>
        <v>59.51890456</v>
      </c>
      <c r="BH2458" s="1119"/>
      <c r="BI2458" s="319" t="str">
        <f t="shared" ref="BI2458:BR2458" si="1770">IF(ISNUMBER(FIND(BI$3, $CO2458)), "Y", "")</f>
        <v/>
      </c>
      <c r="BJ2458" s="319" t="str">
        <f t="shared" si="1770"/>
        <v/>
      </c>
      <c r="BK2458" s="319" t="str">
        <f t="shared" si="1770"/>
        <v/>
      </c>
      <c r="BL2458" s="319" t="str">
        <f t="shared" si="1770"/>
        <v/>
      </c>
      <c r="BM2458" s="319" t="str">
        <f t="shared" si="1770"/>
        <v/>
      </c>
      <c r="BN2458" s="319" t="str">
        <f t="shared" si="1770"/>
        <v/>
      </c>
      <c r="BO2458" s="319" t="str">
        <f t="shared" si="1770"/>
        <v/>
      </c>
      <c r="BP2458" s="319" t="str">
        <f t="shared" si="1770"/>
        <v/>
      </c>
      <c r="BQ2458" s="319" t="str">
        <f t="shared" si="1770"/>
        <v/>
      </c>
      <c r="BR2458" s="319" t="str">
        <f t="shared" si="1770"/>
        <v/>
      </c>
      <c r="BS2458" s="330">
        <f t="shared" si="185"/>
        <v>0</v>
      </c>
      <c r="BT2458" s="331">
        <f t="shared" si="170"/>
        <v>0</v>
      </c>
      <c r="BU2458" s="920"/>
      <c r="BV2458" s="903" t="str">
        <f t="shared" si="1244"/>
        <v/>
      </c>
      <c r="BW2458" s="908"/>
      <c r="BX2458" s="908"/>
      <c r="BY2458" s="331" t="b">
        <f t="shared" si="201"/>
        <v>0</v>
      </c>
      <c r="BZ2458" s="331"/>
      <c r="CA2458" s="462" t="str">
        <f t="shared" ref="CA2458:CJ2458" si="1771">IF(ISNUMBER(FIND(BI$3, $CP2458)), "Y", "")</f>
        <v/>
      </c>
      <c r="CB2458" s="319" t="str">
        <f t="shared" si="1771"/>
        <v/>
      </c>
      <c r="CC2458" s="319" t="str">
        <f t="shared" si="1771"/>
        <v/>
      </c>
      <c r="CD2458" s="319" t="str">
        <f t="shared" si="1771"/>
        <v/>
      </c>
      <c r="CE2458" s="319" t="str">
        <f t="shared" si="1771"/>
        <v/>
      </c>
      <c r="CF2458" s="319" t="str">
        <f t="shared" si="1771"/>
        <v/>
      </c>
      <c r="CG2458" s="319" t="str">
        <f t="shared" si="1771"/>
        <v/>
      </c>
      <c r="CH2458" s="319" t="str">
        <f t="shared" si="1771"/>
        <v/>
      </c>
      <c r="CI2458" s="319" t="str">
        <f t="shared" si="1771"/>
        <v/>
      </c>
      <c r="CJ2458" s="319" t="str">
        <f t="shared" si="1771"/>
        <v/>
      </c>
      <c r="CK2458" s="342">
        <f t="shared" si="182"/>
        <v>0</v>
      </c>
      <c r="CL2458" s="333">
        <f t="shared" si="183"/>
        <v>0</v>
      </c>
      <c r="CM2458" s="1079"/>
      <c r="CN2458" s="1005"/>
      <c r="CO2458" s="1005"/>
      <c r="CP2458" s="1005"/>
    </row>
    <row r="2459">
      <c r="A2459" s="1257"/>
      <c r="B2459" s="1113"/>
      <c r="C2459" s="1107"/>
      <c r="D2459" s="103"/>
      <c r="E2459" s="1137"/>
      <c r="F2459" s="112"/>
      <c r="G2459" s="1110"/>
      <c r="H2459" s="1138"/>
      <c r="I2459" s="1138"/>
      <c r="J2459" s="1139"/>
      <c r="K2459" s="1111"/>
      <c r="L2459" s="1112"/>
      <c r="M2459" s="1113"/>
      <c r="N2459" s="110"/>
      <c r="O2459" s="1140"/>
      <c r="P2459" s="1115"/>
      <c r="Q2459" s="1116"/>
      <c r="R2459" s="1141"/>
      <c r="S2459" s="1113"/>
      <c r="T2459" s="1143"/>
      <c r="U2459" s="1108"/>
      <c r="V2459" s="1108"/>
      <c r="W2459" s="1108"/>
      <c r="X2459" s="1108"/>
      <c r="Y2459" s="1108"/>
      <c r="Z2459" s="1114"/>
      <c r="AA2459" s="1114"/>
      <c r="AB2459" s="1114"/>
      <c r="AC2459" s="1117"/>
      <c r="AD2459" s="1115"/>
      <c r="AE2459" s="1115"/>
      <c r="AF2459" s="1115"/>
      <c r="AG2459" s="1115"/>
      <c r="AH2459" s="1115"/>
      <c r="AI2459" s="1115"/>
      <c r="AJ2459" s="1117"/>
      <c r="AK2459" s="1118"/>
      <c r="AL2459" s="1115"/>
      <c r="AM2459" s="1115"/>
      <c r="AN2459" s="1115"/>
      <c r="AO2459" s="1115"/>
      <c r="AP2459" s="1115"/>
      <c r="AQ2459" s="1115"/>
      <c r="AR2459" s="1115"/>
      <c r="AS2459" s="1117"/>
      <c r="AT2459" s="1196" t="str">
        <f t="shared" si="428"/>
        <v/>
      </c>
      <c r="AU2459" s="1193"/>
      <c r="AV2459" s="330">
        <f>SQRT(($R2459-Infrastructure!J$3)^2+($S2459-Infrastructure!K$3)^2)</f>
        <v>28.90155705</v>
      </c>
      <c r="AW2459" s="331">
        <f>SQRT(($R2459-Infrastructure!J$4)^2+($S2459-Infrastructure!K$4)^2)</f>
        <v>17.80252791</v>
      </c>
      <c r="AX2459" s="331">
        <f>SQRT(($R2459-Infrastructure!J$5)^2+($S2459-Infrastructure!K$5)^2)</f>
        <v>5.10881591</v>
      </c>
      <c r="AY2459" s="331">
        <f>SQRT(($R2459-Infrastructure!J$6)^2+($S2459-Infrastructure!K$6)^2)</f>
        <v>10.10445446</v>
      </c>
      <c r="AZ2459" s="331">
        <f>SQRT(($R2459-Infrastructure!J$7)^2+($S2459-Infrastructure!K$7)^2)</f>
        <v>20.502195</v>
      </c>
      <c r="BA2459" s="331">
        <f>SQRT(($R2459-Infrastructure!J$8)^2+($S2459-Infrastructure!K$8)^2)</f>
        <v>30.10149498</v>
      </c>
      <c r="BB2459" s="331">
        <f>SQRT(($R2459-Infrastructure!J$9)^2+($S2459-Infrastructure!K$9)^2)</f>
        <v>40.3238143</v>
      </c>
      <c r="BC2459" s="331">
        <f>SQRT(($R2459-Infrastructure!J$10)^2+($S2459-Infrastructure!K$10)^2)</f>
        <v>42.72001873</v>
      </c>
      <c r="BD2459" s="331">
        <f>SQRT(($R2459-Infrastructure!J$11)^2+($S2459-Infrastructure!K$11)^2)</f>
        <v>49.56853841</v>
      </c>
      <c r="BE2459" s="333">
        <f>SQRT(($R2459-Infrastructure!J$12)^2+($S2459-Infrastructure!K$12)^2)</f>
        <v>59.51890456</v>
      </c>
      <c r="BF2459" s="330">
        <f t="shared" si="161"/>
        <v>5.10881591</v>
      </c>
      <c r="BG2459" s="333">
        <f t="shared" si="162"/>
        <v>59.51890456</v>
      </c>
      <c r="BH2459" s="1119"/>
      <c r="BI2459" s="319" t="str">
        <f t="shared" ref="BI2459:BR2459" si="1772">IF(ISNUMBER(FIND(BI$3, $CO2459)), "Y", "")</f>
        <v/>
      </c>
      <c r="BJ2459" s="319" t="str">
        <f t="shared" si="1772"/>
        <v/>
      </c>
      <c r="BK2459" s="319" t="str">
        <f t="shared" si="1772"/>
        <v/>
      </c>
      <c r="BL2459" s="319" t="str">
        <f t="shared" si="1772"/>
        <v/>
      </c>
      <c r="BM2459" s="319" t="str">
        <f t="shared" si="1772"/>
        <v/>
      </c>
      <c r="BN2459" s="319" t="str">
        <f t="shared" si="1772"/>
        <v/>
      </c>
      <c r="BO2459" s="319" t="str">
        <f t="shared" si="1772"/>
        <v/>
      </c>
      <c r="BP2459" s="319" t="str">
        <f t="shared" si="1772"/>
        <v/>
      </c>
      <c r="BQ2459" s="319" t="str">
        <f t="shared" si="1772"/>
        <v/>
      </c>
      <c r="BR2459" s="319" t="str">
        <f t="shared" si="1772"/>
        <v/>
      </c>
      <c r="BS2459" s="330">
        <f t="shared" si="185"/>
        <v>0</v>
      </c>
      <c r="BT2459" s="331">
        <f t="shared" si="170"/>
        <v>0</v>
      </c>
      <c r="BU2459" s="920"/>
      <c r="BV2459" s="903" t="str">
        <f t="shared" si="1244"/>
        <v/>
      </c>
      <c r="BW2459" s="908"/>
      <c r="BX2459" s="908"/>
      <c r="BY2459" s="331" t="b">
        <f t="shared" si="201"/>
        <v>0</v>
      </c>
      <c r="BZ2459" s="331"/>
      <c r="CA2459" s="462" t="str">
        <f t="shared" ref="CA2459:CJ2459" si="1773">IF(ISNUMBER(FIND(BI$3, $CP2459)), "Y", "")</f>
        <v/>
      </c>
      <c r="CB2459" s="319" t="str">
        <f t="shared" si="1773"/>
        <v/>
      </c>
      <c r="CC2459" s="319" t="str">
        <f t="shared" si="1773"/>
        <v/>
      </c>
      <c r="CD2459" s="319" t="str">
        <f t="shared" si="1773"/>
        <v/>
      </c>
      <c r="CE2459" s="319" t="str">
        <f t="shared" si="1773"/>
        <v/>
      </c>
      <c r="CF2459" s="319" t="str">
        <f t="shared" si="1773"/>
        <v/>
      </c>
      <c r="CG2459" s="319" t="str">
        <f t="shared" si="1773"/>
        <v/>
      </c>
      <c r="CH2459" s="319" t="str">
        <f t="shared" si="1773"/>
        <v/>
      </c>
      <c r="CI2459" s="319" t="str">
        <f t="shared" si="1773"/>
        <v/>
      </c>
      <c r="CJ2459" s="319" t="str">
        <f t="shared" si="1773"/>
        <v/>
      </c>
      <c r="CK2459" s="342">
        <f t="shared" si="182"/>
        <v>0</v>
      </c>
      <c r="CL2459" s="333">
        <f t="shared" si="183"/>
        <v>0</v>
      </c>
      <c r="CM2459" s="1079"/>
      <c r="CN2459" s="1005"/>
      <c r="CO2459" s="1005"/>
      <c r="CP2459" s="1005"/>
    </row>
    <row r="2460">
      <c r="A2460" s="1257"/>
      <c r="B2460" s="1113"/>
      <c r="C2460" s="1107"/>
      <c r="D2460" s="103"/>
      <c r="E2460" s="1137"/>
      <c r="F2460" s="112"/>
      <c r="G2460" s="1110"/>
      <c r="H2460" s="1138"/>
      <c r="I2460" s="1138"/>
      <c r="J2460" s="1139"/>
      <c r="K2460" s="1111"/>
      <c r="L2460" s="1112"/>
      <c r="M2460" s="1113"/>
      <c r="N2460" s="110"/>
      <c r="O2460" s="1140"/>
      <c r="P2460" s="1115"/>
      <c r="Q2460" s="1116"/>
      <c r="R2460" s="1141"/>
      <c r="S2460" s="1113"/>
      <c r="T2460" s="1143"/>
      <c r="U2460" s="1108"/>
      <c r="V2460" s="1108"/>
      <c r="W2460" s="1108"/>
      <c r="X2460" s="1108"/>
      <c r="Y2460" s="1108"/>
      <c r="Z2460" s="1114"/>
      <c r="AA2460" s="1114"/>
      <c r="AB2460" s="1114"/>
      <c r="AC2460" s="1117"/>
      <c r="AD2460" s="1115"/>
      <c r="AE2460" s="1115"/>
      <c r="AF2460" s="1115"/>
      <c r="AG2460" s="1115"/>
      <c r="AH2460" s="1115"/>
      <c r="AI2460" s="1115"/>
      <c r="AJ2460" s="1117"/>
      <c r="AK2460" s="1118"/>
      <c r="AL2460" s="1115"/>
      <c r="AM2460" s="1115"/>
      <c r="AN2460" s="1115"/>
      <c r="AO2460" s="1115"/>
      <c r="AP2460" s="1115"/>
      <c r="AQ2460" s="1115"/>
      <c r="AR2460" s="1115"/>
      <c r="AS2460" s="1117"/>
      <c r="AT2460" s="1196" t="str">
        <f t="shared" si="428"/>
        <v/>
      </c>
      <c r="AU2460" s="1193"/>
      <c r="AV2460" s="330">
        <f>SQRT(($R2460-Infrastructure!J$3)^2+($S2460-Infrastructure!K$3)^2)</f>
        <v>28.90155705</v>
      </c>
      <c r="AW2460" s="331">
        <f>SQRT(($R2460-Infrastructure!J$4)^2+($S2460-Infrastructure!K$4)^2)</f>
        <v>17.80252791</v>
      </c>
      <c r="AX2460" s="331">
        <f>SQRT(($R2460-Infrastructure!J$5)^2+($S2460-Infrastructure!K$5)^2)</f>
        <v>5.10881591</v>
      </c>
      <c r="AY2460" s="331">
        <f>SQRT(($R2460-Infrastructure!J$6)^2+($S2460-Infrastructure!K$6)^2)</f>
        <v>10.10445446</v>
      </c>
      <c r="AZ2460" s="331">
        <f>SQRT(($R2460-Infrastructure!J$7)^2+($S2460-Infrastructure!K$7)^2)</f>
        <v>20.502195</v>
      </c>
      <c r="BA2460" s="331">
        <f>SQRT(($R2460-Infrastructure!J$8)^2+($S2460-Infrastructure!K$8)^2)</f>
        <v>30.10149498</v>
      </c>
      <c r="BB2460" s="331">
        <f>SQRT(($R2460-Infrastructure!J$9)^2+($S2460-Infrastructure!K$9)^2)</f>
        <v>40.3238143</v>
      </c>
      <c r="BC2460" s="331">
        <f>SQRT(($R2460-Infrastructure!J$10)^2+($S2460-Infrastructure!K$10)^2)</f>
        <v>42.72001873</v>
      </c>
      <c r="BD2460" s="331">
        <f>SQRT(($R2460-Infrastructure!J$11)^2+($S2460-Infrastructure!K$11)^2)</f>
        <v>49.56853841</v>
      </c>
      <c r="BE2460" s="333">
        <f>SQRT(($R2460-Infrastructure!J$12)^2+($S2460-Infrastructure!K$12)^2)</f>
        <v>59.51890456</v>
      </c>
      <c r="BF2460" s="330">
        <f t="shared" si="161"/>
        <v>5.10881591</v>
      </c>
      <c r="BG2460" s="333">
        <f t="shared" si="162"/>
        <v>59.51890456</v>
      </c>
      <c r="BH2460" s="1119"/>
      <c r="BI2460" s="319" t="str">
        <f t="shared" ref="BI2460:BR2460" si="1774">IF(ISNUMBER(FIND(BI$3, $CO2460)), "Y", "")</f>
        <v/>
      </c>
      <c r="BJ2460" s="319" t="str">
        <f t="shared" si="1774"/>
        <v/>
      </c>
      <c r="BK2460" s="319" t="str">
        <f t="shared" si="1774"/>
        <v/>
      </c>
      <c r="BL2460" s="319" t="str">
        <f t="shared" si="1774"/>
        <v/>
      </c>
      <c r="BM2460" s="319" t="str">
        <f t="shared" si="1774"/>
        <v/>
      </c>
      <c r="BN2460" s="319" t="str">
        <f t="shared" si="1774"/>
        <v/>
      </c>
      <c r="BO2460" s="319" t="str">
        <f t="shared" si="1774"/>
        <v/>
      </c>
      <c r="BP2460" s="319" t="str">
        <f t="shared" si="1774"/>
        <v/>
      </c>
      <c r="BQ2460" s="319" t="str">
        <f t="shared" si="1774"/>
        <v/>
      </c>
      <c r="BR2460" s="319" t="str">
        <f t="shared" si="1774"/>
        <v/>
      </c>
      <c r="BS2460" s="330">
        <f t="shared" si="185"/>
        <v>0</v>
      </c>
      <c r="BT2460" s="331">
        <f t="shared" si="170"/>
        <v>0</v>
      </c>
      <c r="BU2460" s="920"/>
      <c r="BV2460" s="903" t="str">
        <f t="shared" si="1244"/>
        <v/>
      </c>
      <c r="BW2460" s="908"/>
      <c r="BX2460" s="908"/>
      <c r="BY2460" s="331" t="b">
        <f t="shared" si="201"/>
        <v>0</v>
      </c>
      <c r="BZ2460" s="331"/>
      <c r="CA2460" s="462" t="str">
        <f t="shared" ref="CA2460:CJ2460" si="1775">IF(ISNUMBER(FIND(BI$3, $CP2460)), "Y", "")</f>
        <v/>
      </c>
      <c r="CB2460" s="319" t="str">
        <f t="shared" si="1775"/>
        <v/>
      </c>
      <c r="CC2460" s="319" t="str">
        <f t="shared" si="1775"/>
        <v/>
      </c>
      <c r="CD2460" s="319" t="str">
        <f t="shared" si="1775"/>
        <v/>
      </c>
      <c r="CE2460" s="319" t="str">
        <f t="shared" si="1775"/>
        <v/>
      </c>
      <c r="CF2460" s="319" t="str">
        <f t="shared" si="1775"/>
        <v/>
      </c>
      <c r="CG2460" s="319" t="str">
        <f t="shared" si="1775"/>
        <v/>
      </c>
      <c r="CH2460" s="319" t="str">
        <f t="shared" si="1775"/>
        <v/>
      </c>
      <c r="CI2460" s="319" t="str">
        <f t="shared" si="1775"/>
        <v/>
      </c>
      <c r="CJ2460" s="319" t="str">
        <f t="shared" si="1775"/>
        <v/>
      </c>
      <c r="CK2460" s="342">
        <f t="shared" si="182"/>
        <v>0</v>
      </c>
      <c r="CL2460" s="333">
        <f t="shared" si="183"/>
        <v>0</v>
      </c>
      <c r="CM2460" s="1079"/>
      <c r="CN2460" s="1005"/>
      <c r="CO2460" s="1005"/>
      <c r="CP2460" s="1005"/>
    </row>
    <row r="2461">
      <c r="A2461" s="1257"/>
      <c r="B2461" s="1113"/>
      <c r="C2461" s="1107"/>
      <c r="D2461" s="103"/>
      <c r="E2461" s="1137"/>
      <c r="F2461" s="112"/>
      <c r="G2461" s="1110"/>
      <c r="H2461" s="1138"/>
      <c r="I2461" s="1138"/>
      <c r="J2461" s="1139"/>
      <c r="K2461" s="1111"/>
      <c r="L2461" s="1112"/>
      <c r="M2461" s="1113"/>
      <c r="N2461" s="110"/>
      <c r="O2461" s="1140"/>
      <c r="P2461" s="1115"/>
      <c r="Q2461" s="1116"/>
      <c r="R2461" s="1141"/>
      <c r="S2461" s="1113"/>
      <c r="T2461" s="1143"/>
      <c r="U2461" s="1108"/>
      <c r="V2461" s="1108"/>
      <c r="W2461" s="1108"/>
      <c r="X2461" s="1108"/>
      <c r="Y2461" s="1108"/>
      <c r="Z2461" s="1114"/>
      <c r="AA2461" s="1114"/>
      <c r="AB2461" s="1114"/>
      <c r="AC2461" s="1117"/>
      <c r="AD2461" s="1115"/>
      <c r="AE2461" s="1115"/>
      <c r="AF2461" s="1115"/>
      <c r="AG2461" s="1115"/>
      <c r="AH2461" s="1115"/>
      <c r="AI2461" s="1115"/>
      <c r="AJ2461" s="1117"/>
      <c r="AK2461" s="1118"/>
      <c r="AL2461" s="1115"/>
      <c r="AM2461" s="1115"/>
      <c r="AN2461" s="1115"/>
      <c r="AO2461" s="1115"/>
      <c r="AP2461" s="1115"/>
      <c r="AQ2461" s="1115"/>
      <c r="AR2461" s="1115"/>
      <c r="AS2461" s="1117"/>
      <c r="AT2461" s="1196" t="str">
        <f t="shared" si="428"/>
        <v/>
      </c>
      <c r="AU2461" s="1193"/>
      <c r="AV2461" s="330">
        <f>SQRT(($R2461-Infrastructure!J$3)^2+($S2461-Infrastructure!K$3)^2)</f>
        <v>28.90155705</v>
      </c>
      <c r="AW2461" s="331">
        <f>SQRT(($R2461-Infrastructure!J$4)^2+($S2461-Infrastructure!K$4)^2)</f>
        <v>17.80252791</v>
      </c>
      <c r="AX2461" s="331">
        <f>SQRT(($R2461-Infrastructure!J$5)^2+($S2461-Infrastructure!K$5)^2)</f>
        <v>5.10881591</v>
      </c>
      <c r="AY2461" s="331">
        <f>SQRT(($R2461-Infrastructure!J$6)^2+($S2461-Infrastructure!K$6)^2)</f>
        <v>10.10445446</v>
      </c>
      <c r="AZ2461" s="331">
        <f>SQRT(($R2461-Infrastructure!J$7)^2+($S2461-Infrastructure!K$7)^2)</f>
        <v>20.502195</v>
      </c>
      <c r="BA2461" s="331">
        <f>SQRT(($R2461-Infrastructure!J$8)^2+($S2461-Infrastructure!K$8)^2)</f>
        <v>30.10149498</v>
      </c>
      <c r="BB2461" s="331">
        <f>SQRT(($R2461-Infrastructure!J$9)^2+($S2461-Infrastructure!K$9)^2)</f>
        <v>40.3238143</v>
      </c>
      <c r="BC2461" s="331">
        <f>SQRT(($R2461-Infrastructure!J$10)^2+($S2461-Infrastructure!K$10)^2)</f>
        <v>42.72001873</v>
      </c>
      <c r="BD2461" s="331">
        <f>SQRT(($R2461-Infrastructure!J$11)^2+($S2461-Infrastructure!K$11)^2)</f>
        <v>49.56853841</v>
      </c>
      <c r="BE2461" s="333">
        <f>SQRT(($R2461-Infrastructure!J$12)^2+($S2461-Infrastructure!K$12)^2)</f>
        <v>59.51890456</v>
      </c>
      <c r="BF2461" s="330">
        <f t="shared" si="161"/>
        <v>5.10881591</v>
      </c>
      <c r="BG2461" s="333">
        <f t="shared" si="162"/>
        <v>59.51890456</v>
      </c>
      <c r="BH2461" s="1119"/>
      <c r="BI2461" s="319" t="str">
        <f t="shared" ref="BI2461:BR2461" si="1776">IF(ISNUMBER(FIND(BI$3, $CO2461)), "Y", "")</f>
        <v/>
      </c>
      <c r="BJ2461" s="319" t="str">
        <f t="shared" si="1776"/>
        <v/>
      </c>
      <c r="BK2461" s="319" t="str">
        <f t="shared" si="1776"/>
        <v/>
      </c>
      <c r="BL2461" s="319" t="str">
        <f t="shared" si="1776"/>
        <v/>
      </c>
      <c r="BM2461" s="319" t="str">
        <f t="shared" si="1776"/>
        <v/>
      </c>
      <c r="BN2461" s="319" t="str">
        <f t="shared" si="1776"/>
        <v/>
      </c>
      <c r="BO2461" s="319" t="str">
        <f t="shared" si="1776"/>
        <v/>
      </c>
      <c r="BP2461" s="319" t="str">
        <f t="shared" si="1776"/>
        <v/>
      </c>
      <c r="BQ2461" s="319" t="str">
        <f t="shared" si="1776"/>
        <v/>
      </c>
      <c r="BR2461" s="319" t="str">
        <f t="shared" si="1776"/>
        <v/>
      </c>
      <c r="BS2461" s="330">
        <f t="shared" si="185"/>
        <v>0</v>
      </c>
      <c r="BT2461" s="331">
        <f t="shared" si="170"/>
        <v>0</v>
      </c>
      <c r="BU2461" s="920"/>
      <c r="BV2461" s="903" t="str">
        <f t="shared" si="1244"/>
        <v/>
      </c>
      <c r="BW2461" s="908"/>
      <c r="BX2461" s="908"/>
      <c r="BY2461" s="331" t="b">
        <f t="shared" si="201"/>
        <v>0</v>
      </c>
      <c r="BZ2461" s="331"/>
      <c r="CA2461" s="462" t="str">
        <f t="shared" ref="CA2461:CJ2461" si="1777">IF(ISNUMBER(FIND(BI$3, $CP2461)), "Y", "")</f>
        <v/>
      </c>
      <c r="CB2461" s="319" t="str">
        <f t="shared" si="1777"/>
        <v/>
      </c>
      <c r="CC2461" s="319" t="str">
        <f t="shared" si="1777"/>
        <v/>
      </c>
      <c r="CD2461" s="319" t="str">
        <f t="shared" si="1777"/>
        <v/>
      </c>
      <c r="CE2461" s="319" t="str">
        <f t="shared" si="1777"/>
        <v/>
      </c>
      <c r="CF2461" s="319" t="str">
        <f t="shared" si="1777"/>
        <v/>
      </c>
      <c r="CG2461" s="319" t="str">
        <f t="shared" si="1777"/>
        <v/>
      </c>
      <c r="CH2461" s="319" t="str">
        <f t="shared" si="1777"/>
        <v/>
      </c>
      <c r="CI2461" s="319" t="str">
        <f t="shared" si="1777"/>
        <v/>
      </c>
      <c r="CJ2461" s="319" t="str">
        <f t="shared" si="1777"/>
        <v/>
      </c>
      <c r="CK2461" s="342">
        <f t="shared" si="182"/>
        <v>0</v>
      </c>
      <c r="CL2461" s="333">
        <f t="shared" si="183"/>
        <v>0</v>
      </c>
      <c r="CM2461" s="1079"/>
      <c r="CN2461" s="1005"/>
      <c r="CO2461" s="1005"/>
      <c r="CP2461" s="1005"/>
    </row>
    <row r="2462">
      <c r="A2462" s="1257"/>
      <c r="B2462" s="1113"/>
      <c r="C2462" s="1107"/>
      <c r="D2462" s="103"/>
      <c r="E2462" s="1137"/>
      <c r="F2462" s="112"/>
      <c r="G2462" s="1110"/>
      <c r="H2462" s="1138"/>
      <c r="I2462" s="1138"/>
      <c r="J2462" s="1139"/>
      <c r="K2462" s="1111"/>
      <c r="L2462" s="1112"/>
      <c r="M2462" s="1113"/>
      <c r="N2462" s="110"/>
      <c r="O2462" s="1140"/>
      <c r="P2462" s="1115"/>
      <c r="Q2462" s="1116"/>
      <c r="R2462" s="1141"/>
      <c r="S2462" s="1113"/>
      <c r="T2462" s="1143"/>
      <c r="U2462" s="1108"/>
      <c r="V2462" s="1108"/>
      <c r="W2462" s="1108"/>
      <c r="X2462" s="1108"/>
      <c r="Y2462" s="1108"/>
      <c r="Z2462" s="1114"/>
      <c r="AA2462" s="1114"/>
      <c r="AB2462" s="1114"/>
      <c r="AC2462" s="1117"/>
      <c r="AD2462" s="1115"/>
      <c r="AE2462" s="1115"/>
      <c r="AF2462" s="1115"/>
      <c r="AG2462" s="1115"/>
      <c r="AH2462" s="1115"/>
      <c r="AI2462" s="1115"/>
      <c r="AJ2462" s="1117"/>
      <c r="AK2462" s="1118"/>
      <c r="AL2462" s="1115"/>
      <c r="AM2462" s="1115"/>
      <c r="AN2462" s="1115"/>
      <c r="AO2462" s="1115"/>
      <c r="AP2462" s="1115"/>
      <c r="AQ2462" s="1115"/>
      <c r="AR2462" s="1115"/>
      <c r="AS2462" s="1117"/>
      <c r="AT2462" s="1196" t="str">
        <f t="shared" si="428"/>
        <v/>
      </c>
      <c r="AU2462" s="1193"/>
      <c r="AV2462" s="330">
        <f>SQRT(($R2462-Infrastructure!J$3)^2+($S2462-Infrastructure!K$3)^2)</f>
        <v>28.90155705</v>
      </c>
      <c r="AW2462" s="331">
        <f>SQRT(($R2462-Infrastructure!J$4)^2+($S2462-Infrastructure!K$4)^2)</f>
        <v>17.80252791</v>
      </c>
      <c r="AX2462" s="331">
        <f>SQRT(($R2462-Infrastructure!J$5)^2+($S2462-Infrastructure!K$5)^2)</f>
        <v>5.10881591</v>
      </c>
      <c r="AY2462" s="331">
        <f>SQRT(($R2462-Infrastructure!J$6)^2+($S2462-Infrastructure!K$6)^2)</f>
        <v>10.10445446</v>
      </c>
      <c r="AZ2462" s="331">
        <f>SQRT(($R2462-Infrastructure!J$7)^2+($S2462-Infrastructure!K$7)^2)</f>
        <v>20.502195</v>
      </c>
      <c r="BA2462" s="331">
        <f>SQRT(($R2462-Infrastructure!J$8)^2+($S2462-Infrastructure!K$8)^2)</f>
        <v>30.10149498</v>
      </c>
      <c r="BB2462" s="331">
        <f>SQRT(($R2462-Infrastructure!J$9)^2+($S2462-Infrastructure!K$9)^2)</f>
        <v>40.3238143</v>
      </c>
      <c r="BC2462" s="331">
        <f>SQRT(($R2462-Infrastructure!J$10)^2+($S2462-Infrastructure!K$10)^2)</f>
        <v>42.72001873</v>
      </c>
      <c r="BD2462" s="331">
        <f>SQRT(($R2462-Infrastructure!J$11)^2+($S2462-Infrastructure!K$11)^2)</f>
        <v>49.56853841</v>
      </c>
      <c r="BE2462" s="333">
        <f>SQRT(($R2462-Infrastructure!J$12)^2+($S2462-Infrastructure!K$12)^2)</f>
        <v>59.51890456</v>
      </c>
      <c r="BF2462" s="330">
        <f t="shared" si="161"/>
        <v>5.10881591</v>
      </c>
      <c r="BG2462" s="333">
        <f t="shared" si="162"/>
        <v>59.51890456</v>
      </c>
      <c r="BH2462" s="1119"/>
      <c r="BI2462" s="319" t="str">
        <f t="shared" ref="BI2462:BR2462" si="1778">IF(ISNUMBER(FIND(BI$3, $CO2462)), "Y", "")</f>
        <v/>
      </c>
      <c r="BJ2462" s="319" t="str">
        <f t="shared" si="1778"/>
        <v/>
      </c>
      <c r="BK2462" s="319" t="str">
        <f t="shared" si="1778"/>
        <v/>
      </c>
      <c r="BL2462" s="319" t="str">
        <f t="shared" si="1778"/>
        <v/>
      </c>
      <c r="BM2462" s="319" t="str">
        <f t="shared" si="1778"/>
        <v/>
      </c>
      <c r="BN2462" s="319" t="str">
        <f t="shared" si="1778"/>
        <v/>
      </c>
      <c r="BO2462" s="319" t="str">
        <f t="shared" si="1778"/>
        <v/>
      </c>
      <c r="BP2462" s="319" t="str">
        <f t="shared" si="1778"/>
        <v/>
      </c>
      <c r="BQ2462" s="319" t="str">
        <f t="shared" si="1778"/>
        <v/>
      </c>
      <c r="BR2462" s="319" t="str">
        <f t="shared" si="1778"/>
        <v/>
      </c>
      <c r="BS2462" s="330">
        <f t="shared" si="185"/>
        <v>0</v>
      </c>
      <c r="BT2462" s="331">
        <f t="shared" si="170"/>
        <v>0</v>
      </c>
      <c r="BU2462" s="920"/>
      <c r="BV2462" s="903" t="str">
        <f t="shared" si="1244"/>
        <v/>
      </c>
      <c r="BW2462" s="908"/>
      <c r="BX2462" s="908"/>
      <c r="BY2462" s="331" t="b">
        <f t="shared" si="201"/>
        <v>0</v>
      </c>
      <c r="BZ2462" s="331"/>
      <c r="CA2462" s="462" t="str">
        <f t="shared" ref="CA2462:CJ2462" si="1779">IF(ISNUMBER(FIND(BI$3, $CP2462)), "Y", "")</f>
        <v/>
      </c>
      <c r="CB2462" s="319" t="str">
        <f t="shared" si="1779"/>
        <v/>
      </c>
      <c r="CC2462" s="319" t="str">
        <f t="shared" si="1779"/>
        <v/>
      </c>
      <c r="CD2462" s="319" t="str">
        <f t="shared" si="1779"/>
        <v/>
      </c>
      <c r="CE2462" s="319" t="str">
        <f t="shared" si="1779"/>
        <v/>
      </c>
      <c r="CF2462" s="319" t="str">
        <f t="shared" si="1779"/>
        <v/>
      </c>
      <c r="CG2462" s="319" t="str">
        <f t="shared" si="1779"/>
        <v/>
      </c>
      <c r="CH2462" s="319" t="str">
        <f t="shared" si="1779"/>
        <v/>
      </c>
      <c r="CI2462" s="319" t="str">
        <f t="shared" si="1779"/>
        <v/>
      </c>
      <c r="CJ2462" s="319" t="str">
        <f t="shared" si="1779"/>
        <v/>
      </c>
      <c r="CK2462" s="342">
        <f t="shared" si="182"/>
        <v>0</v>
      </c>
      <c r="CL2462" s="333">
        <f t="shared" si="183"/>
        <v>0</v>
      </c>
      <c r="CM2462" s="1079"/>
      <c r="CN2462" s="1005"/>
      <c r="CO2462" s="1005"/>
      <c r="CP2462" s="1005"/>
    </row>
    <row r="2463">
      <c r="A2463" s="1257"/>
      <c r="B2463" s="1113"/>
      <c r="C2463" s="1107"/>
      <c r="D2463" s="103"/>
      <c r="E2463" s="1137"/>
      <c r="F2463" s="112"/>
      <c r="G2463" s="1110"/>
      <c r="H2463" s="1138"/>
      <c r="I2463" s="1138"/>
      <c r="J2463" s="1139"/>
      <c r="K2463" s="1111"/>
      <c r="L2463" s="1112"/>
      <c r="M2463" s="1113"/>
      <c r="N2463" s="110"/>
      <c r="O2463" s="1140"/>
      <c r="P2463" s="1115"/>
      <c r="Q2463" s="1116"/>
      <c r="R2463" s="1141"/>
      <c r="S2463" s="1113"/>
      <c r="T2463" s="1143"/>
      <c r="U2463" s="1108"/>
      <c r="V2463" s="1108"/>
      <c r="W2463" s="1108"/>
      <c r="X2463" s="1108"/>
      <c r="Y2463" s="1108"/>
      <c r="Z2463" s="1114"/>
      <c r="AA2463" s="1114"/>
      <c r="AB2463" s="1114"/>
      <c r="AC2463" s="1117"/>
      <c r="AD2463" s="1115"/>
      <c r="AE2463" s="1115"/>
      <c r="AF2463" s="1115"/>
      <c r="AG2463" s="1115"/>
      <c r="AH2463" s="1115"/>
      <c r="AI2463" s="1115"/>
      <c r="AJ2463" s="1117"/>
      <c r="AK2463" s="1118"/>
      <c r="AL2463" s="1115"/>
      <c r="AM2463" s="1115"/>
      <c r="AN2463" s="1115"/>
      <c r="AO2463" s="1115"/>
      <c r="AP2463" s="1115"/>
      <c r="AQ2463" s="1115"/>
      <c r="AR2463" s="1115"/>
      <c r="AS2463" s="1117"/>
      <c r="AT2463" s="1196" t="str">
        <f t="shared" si="428"/>
        <v/>
      </c>
      <c r="AU2463" s="1193"/>
      <c r="AV2463" s="330">
        <f>SQRT(($R2463-Infrastructure!J$3)^2+($S2463-Infrastructure!K$3)^2)</f>
        <v>28.90155705</v>
      </c>
      <c r="AW2463" s="331">
        <f>SQRT(($R2463-Infrastructure!J$4)^2+($S2463-Infrastructure!K$4)^2)</f>
        <v>17.80252791</v>
      </c>
      <c r="AX2463" s="331">
        <f>SQRT(($R2463-Infrastructure!J$5)^2+($S2463-Infrastructure!K$5)^2)</f>
        <v>5.10881591</v>
      </c>
      <c r="AY2463" s="331">
        <f>SQRT(($R2463-Infrastructure!J$6)^2+($S2463-Infrastructure!K$6)^2)</f>
        <v>10.10445446</v>
      </c>
      <c r="AZ2463" s="331">
        <f>SQRT(($R2463-Infrastructure!J$7)^2+($S2463-Infrastructure!K$7)^2)</f>
        <v>20.502195</v>
      </c>
      <c r="BA2463" s="331">
        <f>SQRT(($R2463-Infrastructure!J$8)^2+($S2463-Infrastructure!K$8)^2)</f>
        <v>30.10149498</v>
      </c>
      <c r="BB2463" s="331">
        <f>SQRT(($R2463-Infrastructure!J$9)^2+($S2463-Infrastructure!K$9)^2)</f>
        <v>40.3238143</v>
      </c>
      <c r="BC2463" s="331">
        <f>SQRT(($R2463-Infrastructure!J$10)^2+($S2463-Infrastructure!K$10)^2)</f>
        <v>42.72001873</v>
      </c>
      <c r="BD2463" s="331">
        <f>SQRT(($R2463-Infrastructure!J$11)^2+($S2463-Infrastructure!K$11)^2)</f>
        <v>49.56853841</v>
      </c>
      <c r="BE2463" s="333">
        <f>SQRT(($R2463-Infrastructure!J$12)^2+($S2463-Infrastructure!K$12)^2)</f>
        <v>59.51890456</v>
      </c>
      <c r="BF2463" s="330">
        <f t="shared" si="161"/>
        <v>5.10881591</v>
      </c>
      <c r="BG2463" s="333">
        <f t="shared" si="162"/>
        <v>59.51890456</v>
      </c>
      <c r="BH2463" s="1119"/>
      <c r="BI2463" s="319" t="str">
        <f t="shared" ref="BI2463:BR2463" si="1780">IF(ISNUMBER(FIND(BI$3, $CO2463)), "Y", "")</f>
        <v/>
      </c>
      <c r="BJ2463" s="319" t="str">
        <f t="shared" si="1780"/>
        <v/>
      </c>
      <c r="BK2463" s="319" t="str">
        <f t="shared" si="1780"/>
        <v/>
      </c>
      <c r="BL2463" s="319" t="str">
        <f t="shared" si="1780"/>
        <v/>
      </c>
      <c r="BM2463" s="319" t="str">
        <f t="shared" si="1780"/>
        <v/>
      </c>
      <c r="BN2463" s="319" t="str">
        <f t="shared" si="1780"/>
        <v/>
      </c>
      <c r="BO2463" s="319" t="str">
        <f t="shared" si="1780"/>
        <v/>
      </c>
      <c r="BP2463" s="319" t="str">
        <f t="shared" si="1780"/>
        <v/>
      </c>
      <c r="BQ2463" s="319" t="str">
        <f t="shared" si="1780"/>
        <v/>
      </c>
      <c r="BR2463" s="319" t="str">
        <f t="shared" si="1780"/>
        <v/>
      </c>
      <c r="BS2463" s="330">
        <f t="shared" si="185"/>
        <v>0</v>
      </c>
      <c r="BT2463" s="331">
        <f t="shared" si="170"/>
        <v>0</v>
      </c>
      <c r="BU2463" s="920"/>
      <c r="BV2463" s="903" t="str">
        <f t="shared" si="1244"/>
        <v/>
      </c>
      <c r="BW2463" s="908"/>
      <c r="BX2463" s="908"/>
      <c r="BY2463" s="331" t="b">
        <f t="shared" si="201"/>
        <v>0</v>
      </c>
      <c r="BZ2463" s="331"/>
      <c r="CA2463" s="462" t="str">
        <f t="shared" ref="CA2463:CJ2463" si="1781">IF(ISNUMBER(FIND(BI$3, $CP2463)), "Y", "")</f>
        <v/>
      </c>
      <c r="CB2463" s="319" t="str">
        <f t="shared" si="1781"/>
        <v/>
      </c>
      <c r="CC2463" s="319" t="str">
        <f t="shared" si="1781"/>
        <v/>
      </c>
      <c r="CD2463" s="319" t="str">
        <f t="shared" si="1781"/>
        <v/>
      </c>
      <c r="CE2463" s="319" t="str">
        <f t="shared" si="1781"/>
        <v/>
      </c>
      <c r="CF2463" s="319" t="str">
        <f t="shared" si="1781"/>
        <v/>
      </c>
      <c r="CG2463" s="319" t="str">
        <f t="shared" si="1781"/>
        <v/>
      </c>
      <c r="CH2463" s="319" t="str">
        <f t="shared" si="1781"/>
        <v/>
      </c>
      <c r="CI2463" s="319" t="str">
        <f t="shared" si="1781"/>
        <v/>
      </c>
      <c r="CJ2463" s="319" t="str">
        <f t="shared" si="1781"/>
        <v/>
      </c>
      <c r="CK2463" s="342">
        <f t="shared" si="182"/>
        <v>0</v>
      </c>
      <c r="CL2463" s="333">
        <f t="shared" si="183"/>
        <v>0</v>
      </c>
      <c r="CM2463" s="1079"/>
      <c r="CN2463" s="1005"/>
      <c r="CO2463" s="1005"/>
      <c r="CP2463" s="1005"/>
    </row>
    <row r="2464">
      <c r="A2464" s="1257"/>
      <c r="B2464" s="1113"/>
      <c r="C2464" s="1107"/>
      <c r="D2464" s="103"/>
      <c r="E2464" s="1137"/>
      <c r="F2464" s="112"/>
      <c r="G2464" s="1110"/>
      <c r="H2464" s="1138"/>
      <c r="I2464" s="1138"/>
      <c r="J2464" s="1139"/>
      <c r="K2464" s="1111"/>
      <c r="L2464" s="1112"/>
      <c r="M2464" s="1113"/>
      <c r="N2464" s="110"/>
      <c r="O2464" s="1140"/>
      <c r="P2464" s="1115"/>
      <c r="Q2464" s="1116"/>
      <c r="R2464" s="1141"/>
      <c r="S2464" s="1113"/>
      <c r="T2464" s="1143"/>
      <c r="U2464" s="1108"/>
      <c r="V2464" s="1108"/>
      <c r="W2464" s="1108"/>
      <c r="X2464" s="1108"/>
      <c r="Y2464" s="1108"/>
      <c r="Z2464" s="1114"/>
      <c r="AA2464" s="1114"/>
      <c r="AB2464" s="1114"/>
      <c r="AC2464" s="1117"/>
      <c r="AD2464" s="1115"/>
      <c r="AE2464" s="1115"/>
      <c r="AF2464" s="1115"/>
      <c r="AG2464" s="1115"/>
      <c r="AH2464" s="1115"/>
      <c r="AI2464" s="1115"/>
      <c r="AJ2464" s="1117"/>
      <c r="AK2464" s="1118"/>
      <c r="AL2464" s="1115"/>
      <c r="AM2464" s="1115"/>
      <c r="AN2464" s="1115"/>
      <c r="AO2464" s="1115"/>
      <c r="AP2464" s="1115"/>
      <c r="AQ2464" s="1115"/>
      <c r="AR2464" s="1115"/>
      <c r="AS2464" s="1117"/>
      <c r="AT2464" s="1196" t="str">
        <f t="shared" si="428"/>
        <v/>
      </c>
      <c r="AU2464" s="1193"/>
      <c r="AV2464" s="330">
        <f>SQRT(($R2464-Infrastructure!J$3)^2+($S2464-Infrastructure!K$3)^2)</f>
        <v>28.90155705</v>
      </c>
      <c r="AW2464" s="331">
        <f>SQRT(($R2464-Infrastructure!J$4)^2+($S2464-Infrastructure!K$4)^2)</f>
        <v>17.80252791</v>
      </c>
      <c r="AX2464" s="331">
        <f>SQRT(($R2464-Infrastructure!J$5)^2+($S2464-Infrastructure!K$5)^2)</f>
        <v>5.10881591</v>
      </c>
      <c r="AY2464" s="331">
        <f>SQRT(($R2464-Infrastructure!J$6)^2+($S2464-Infrastructure!K$6)^2)</f>
        <v>10.10445446</v>
      </c>
      <c r="AZ2464" s="331">
        <f>SQRT(($R2464-Infrastructure!J$7)^2+($S2464-Infrastructure!K$7)^2)</f>
        <v>20.502195</v>
      </c>
      <c r="BA2464" s="331">
        <f>SQRT(($R2464-Infrastructure!J$8)^2+($S2464-Infrastructure!K$8)^2)</f>
        <v>30.10149498</v>
      </c>
      <c r="BB2464" s="331">
        <f>SQRT(($R2464-Infrastructure!J$9)^2+($S2464-Infrastructure!K$9)^2)</f>
        <v>40.3238143</v>
      </c>
      <c r="BC2464" s="331">
        <f>SQRT(($R2464-Infrastructure!J$10)^2+($S2464-Infrastructure!K$10)^2)</f>
        <v>42.72001873</v>
      </c>
      <c r="BD2464" s="331">
        <f>SQRT(($R2464-Infrastructure!J$11)^2+($S2464-Infrastructure!K$11)^2)</f>
        <v>49.56853841</v>
      </c>
      <c r="BE2464" s="333">
        <f>SQRT(($R2464-Infrastructure!J$12)^2+($S2464-Infrastructure!K$12)^2)</f>
        <v>59.51890456</v>
      </c>
      <c r="BF2464" s="330">
        <f t="shared" si="161"/>
        <v>5.10881591</v>
      </c>
      <c r="BG2464" s="333">
        <f t="shared" si="162"/>
        <v>59.51890456</v>
      </c>
      <c r="BH2464" s="1119"/>
      <c r="BI2464" s="319" t="str">
        <f t="shared" ref="BI2464:BR2464" si="1782">IF(ISNUMBER(FIND(BI$3, $CO2464)), "Y", "")</f>
        <v/>
      </c>
      <c r="BJ2464" s="319" t="str">
        <f t="shared" si="1782"/>
        <v/>
      </c>
      <c r="BK2464" s="319" t="str">
        <f t="shared" si="1782"/>
        <v/>
      </c>
      <c r="BL2464" s="319" t="str">
        <f t="shared" si="1782"/>
        <v/>
      </c>
      <c r="BM2464" s="319" t="str">
        <f t="shared" si="1782"/>
        <v/>
      </c>
      <c r="BN2464" s="319" t="str">
        <f t="shared" si="1782"/>
        <v/>
      </c>
      <c r="BO2464" s="319" t="str">
        <f t="shared" si="1782"/>
        <v/>
      </c>
      <c r="BP2464" s="319" t="str">
        <f t="shared" si="1782"/>
        <v/>
      </c>
      <c r="BQ2464" s="319" t="str">
        <f t="shared" si="1782"/>
        <v/>
      </c>
      <c r="BR2464" s="319" t="str">
        <f t="shared" si="1782"/>
        <v/>
      </c>
      <c r="BS2464" s="330">
        <f t="shared" si="185"/>
        <v>0</v>
      </c>
      <c r="BT2464" s="331">
        <f t="shared" si="170"/>
        <v>0</v>
      </c>
      <c r="BU2464" s="920"/>
      <c r="BV2464" s="903" t="str">
        <f t="shared" si="1244"/>
        <v/>
      </c>
      <c r="BW2464" s="908"/>
      <c r="BX2464" s="908"/>
      <c r="BY2464" s="331" t="b">
        <f t="shared" si="201"/>
        <v>0</v>
      </c>
      <c r="BZ2464" s="331"/>
      <c r="CA2464" s="462" t="str">
        <f t="shared" ref="CA2464:CJ2464" si="1783">IF(ISNUMBER(FIND(BI$3, $CP2464)), "Y", "")</f>
        <v/>
      </c>
      <c r="CB2464" s="319" t="str">
        <f t="shared" si="1783"/>
        <v/>
      </c>
      <c r="CC2464" s="319" t="str">
        <f t="shared" si="1783"/>
        <v/>
      </c>
      <c r="CD2464" s="319" t="str">
        <f t="shared" si="1783"/>
        <v/>
      </c>
      <c r="CE2464" s="319" t="str">
        <f t="shared" si="1783"/>
        <v/>
      </c>
      <c r="CF2464" s="319" t="str">
        <f t="shared" si="1783"/>
        <v/>
      </c>
      <c r="CG2464" s="319" t="str">
        <f t="shared" si="1783"/>
        <v/>
      </c>
      <c r="CH2464" s="319" t="str">
        <f t="shared" si="1783"/>
        <v/>
      </c>
      <c r="CI2464" s="319" t="str">
        <f t="shared" si="1783"/>
        <v/>
      </c>
      <c r="CJ2464" s="319" t="str">
        <f t="shared" si="1783"/>
        <v/>
      </c>
      <c r="CK2464" s="342">
        <f t="shared" si="182"/>
        <v>0</v>
      </c>
      <c r="CL2464" s="333">
        <f t="shared" si="183"/>
        <v>0</v>
      </c>
      <c r="CM2464" s="1079"/>
      <c r="CN2464" s="1005"/>
      <c r="CO2464" s="1005"/>
      <c r="CP2464" s="1005"/>
    </row>
    <row r="2465">
      <c r="A2465" s="1257"/>
      <c r="B2465" s="1113"/>
      <c r="C2465" s="1107"/>
      <c r="D2465" s="103"/>
      <c r="E2465" s="1137"/>
      <c r="F2465" s="112"/>
      <c r="G2465" s="1110"/>
      <c r="H2465" s="1138"/>
      <c r="I2465" s="1138"/>
      <c r="J2465" s="1139"/>
      <c r="K2465" s="1111"/>
      <c r="L2465" s="1112"/>
      <c r="M2465" s="1113"/>
      <c r="N2465" s="110"/>
      <c r="O2465" s="1140"/>
      <c r="P2465" s="1115"/>
      <c r="Q2465" s="1116"/>
      <c r="R2465" s="1141"/>
      <c r="S2465" s="1113"/>
      <c r="T2465" s="1143"/>
      <c r="U2465" s="1108"/>
      <c r="V2465" s="1108"/>
      <c r="W2465" s="1108"/>
      <c r="X2465" s="1108"/>
      <c r="Y2465" s="1108"/>
      <c r="Z2465" s="1114"/>
      <c r="AA2465" s="1114"/>
      <c r="AB2465" s="1114"/>
      <c r="AC2465" s="1117"/>
      <c r="AD2465" s="1115"/>
      <c r="AE2465" s="1115"/>
      <c r="AF2465" s="1115"/>
      <c r="AG2465" s="1115"/>
      <c r="AH2465" s="1115"/>
      <c r="AI2465" s="1115"/>
      <c r="AJ2465" s="1117"/>
      <c r="AK2465" s="1118"/>
      <c r="AL2465" s="1115"/>
      <c r="AM2465" s="1115"/>
      <c r="AN2465" s="1115"/>
      <c r="AO2465" s="1115"/>
      <c r="AP2465" s="1115"/>
      <c r="AQ2465" s="1115"/>
      <c r="AR2465" s="1115"/>
      <c r="AS2465" s="1117"/>
      <c r="AT2465" s="1075"/>
      <c r="AU2465" s="1193"/>
      <c r="AV2465" s="330"/>
      <c r="AW2465" s="331"/>
      <c r="AX2465" s="331"/>
      <c r="AY2465" s="331"/>
      <c r="AZ2465" s="331"/>
      <c r="BA2465" s="331"/>
      <c r="BB2465" s="331"/>
      <c r="BC2465" s="331"/>
      <c r="BD2465" s="331"/>
      <c r="BE2465" s="333"/>
      <c r="BF2465" s="330"/>
      <c r="BG2465" s="333"/>
      <c r="BH2465" s="1119"/>
      <c r="BI2465" s="319"/>
      <c r="BJ2465" s="319"/>
      <c r="BK2465" s="319"/>
      <c r="BL2465" s="319"/>
      <c r="BM2465" s="319"/>
      <c r="BN2465" s="319"/>
      <c r="BO2465" s="319"/>
      <c r="BP2465" s="953"/>
      <c r="BQ2465" s="319"/>
      <c r="BR2465" s="319"/>
      <c r="BS2465" s="330"/>
      <c r="BT2465" s="331"/>
      <c r="BU2465" s="920"/>
      <c r="BV2465" s="903"/>
      <c r="BW2465" s="908"/>
      <c r="BX2465" s="908"/>
      <c r="BY2465" s="331"/>
      <c r="BZ2465" s="331"/>
      <c r="CA2465" s="462"/>
      <c r="CB2465" s="319"/>
      <c r="CC2465" s="319"/>
      <c r="CD2465" s="319"/>
      <c r="CE2465" s="319"/>
      <c r="CF2465" s="319"/>
      <c r="CG2465" s="319"/>
      <c r="CH2465" s="318"/>
      <c r="CI2465" s="319"/>
      <c r="CJ2465" s="319"/>
      <c r="CK2465" s="342"/>
      <c r="CL2465" s="333"/>
      <c r="CM2465" s="1079"/>
      <c r="CN2465" s="1005"/>
      <c r="CO2465" s="1005"/>
      <c r="CP2465" s="1005"/>
    </row>
    <row r="2466">
      <c r="A2466" s="1257"/>
      <c r="B2466" s="1113"/>
      <c r="C2466" s="1107"/>
      <c r="D2466" s="103"/>
      <c r="E2466" s="1137"/>
      <c r="F2466" s="112"/>
      <c r="G2466" s="1110"/>
      <c r="H2466" s="1138"/>
      <c r="I2466" s="1138"/>
      <c r="J2466" s="1139"/>
      <c r="K2466" s="1111"/>
      <c r="L2466" s="1112"/>
      <c r="M2466" s="1113"/>
      <c r="N2466" s="110"/>
      <c r="O2466" s="1140"/>
      <c r="P2466" s="1115"/>
      <c r="Q2466" s="1116"/>
      <c r="R2466" s="1141"/>
      <c r="S2466" s="1113"/>
      <c r="T2466" s="1143"/>
      <c r="U2466" s="1108"/>
      <c r="V2466" s="1108"/>
      <c r="W2466" s="1108"/>
      <c r="X2466" s="1108"/>
      <c r="Y2466" s="1108"/>
      <c r="Z2466" s="1114"/>
      <c r="AA2466" s="1114"/>
      <c r="AB2466" s="1114"/>
      <c r="AC2466" s="1117"/>
      <c r="AD2466" s="1115"/>
      <c r="AE2466" s="1115"/>
      <c r="AF2466" s="1115"/>
      <c r="AG2466" s="1115"/>
      <c r="AH2466" s="1115"/>
      <c r="AI2466" s="1115"/>
      <c r="AJ2466" s="1117"/>
      <c r="AK2466" s="1118"/>
      <c r="AL2466" s="1115"/>
      <c r="AM2466" s="1115"/>
      <c r="AN2466" s="1115"/>
      <c r="AO2466" s="1115"/>
      <c r="AP2466" s="1115"/>
      <c r="AQ2466" s="1115"/>
      <c r="AR2466" s="1115"/>
      <c r="AS2466" s="1117"/>
      <c r="AT2466" s="1075"/>
      <c r="AU2466" s="1193"/>
      <c r="AV2466" s="330"/>
      <c r="AW2466" s="331"/>
      <c r="AX2466" s="331"/>
      <c r="AY2466" s="331"/>
      <c r="AZ2466" s="331"/>
      <c r="BA2466" s="331"/>
      <c r="BB2466" s="331"/>
      <c r="BC2466" s="331"/>
      <c r="BD2466" s="331"/>
      <c r="BE2466" s="333"/>
      <c r="BF2466" s="330"/>
      <c r="BG2466" s="333"/>
      <c r="BH2466" s="1119"/>
      <c r="BI2466" s="319"/>
      <c r="BJ2466" s="319"/>
      <c r="BK2466" s="319"/>
      <c r="BL2466" s="319"/>
      <c r="BM2466" s="319"/>
      <c r="BN2466" s="319"/>
      <c r="BO2466" s="319"/>
      <c r="BP2466" s="953"/>
      <c r="BQ2466" s="319"/>
      <c r="BR2466" s="319"/>
      <c r="BS2466" s="330"/>
      <c r="BT2466" s="331"/>
      <c r="BU2466" s="920"/>
      <c r="BV2466" s="903"/>
      <c r="BW2466" s="908"/>
      <c r="BX2466" s="908"/>
      <c r="BY2466" s="331"/>
      <c r="BZ2466" s="331"/>
      <c r="CA2466" s="462"/>
      <c r="CB2466" s="319"/>
      <c r="CC2466" s="319"/>
      <c r="CD2466" s="319"/>
      <c r="CE2466" s="319"/>
      <c r="CF2466" s="319"/>
      <c r="CG2466" s="319"/>
      <c r="CH2466" s="318"/>
      <c r="CI2466" s="319"/>
      <c r="CJ2466" s="319"/>
      <c r="CK2466" s="342"/>
      <c r="CL2466" s="333"/>
      <c r="CM2466" s="1079"/>
      <c r="CN2466" s="1005"/>
      <c r="CO2466" s="1005"/>
      <c r="CP2466" s="1005"/>
    </row>
    <row r="2467">
      <c r="A2467" s="1257"/>
      <c r="B2467" s="1113"/>
      <c r="C2467" s="1107"/>
      <c r="D2467" s="103"/>
      <c r="E2467" s="1137"/>
      <c r="F2467" s="112"/>
      <c r="G2467" s="1110"/>
      <c r="H2467" s="1138"/>
      <c r="I2467" s="1138"/>
      <c r="J2467" s="1139"/>
      <c r="K2467" s="1111"/>
      <c r="L2467" s="1112"/>
      <c r="M2467" s="1113"/>
      <c r="N2467" s="110"/>
      <c r="O2467" s="1140"/>
      <c r="P2467" s="1115"/>
      <c r="Q2467" s="1116"/>
      <c r="R2467" s="1141"/>
      <c r="S2467" s="1113"/>
      <c r="T2467" s="1143"/>
      <c r="U2467" s="1108"/>
      <c r="V2467" s="1108"/>
      <c r="W2467" s="1108"/>
      <c r="X2467" s="1108"/>
      <c r="Y2467" s="1108"/>
      <c r="Z2467" s="1114"/>
      <c r="AA2467" s="1114"/>
      <c r="AB2467" s="1114"/>
      <c r="AC2467" s="1117"/>
      <c r="AD2467" s="1115"/>
      <c r="AE2467" s="1115"/>
      <c r="AF2467" s="1115"/>
      <c r="AG2467" s="1115"/>
      <c r="AH2467" s="1115"/>
      <c r="AI2467" s="1115"/>
      <c r="AJ2467" s="1117"/>
      <c r="AK2467" s="1118"/>
      <c r="AL2467" s="1115"/>
      <c r="AM2467" s="1115"/>
      <c r="AN2467" s="1115"/>
      <c r="AO2467" s="1115"/>
      <c r="AP2467" s="1115"/>
      <c r="AQ2467" s="1115"/>
      <c r="AR2467" s="1115"/>
      <c r="AS2467" s="1117"/>
      <c r="AT2467" s="1075"/>
      <c r="AU2467" s="1193"/>
      <c r="AV2467" s="330"/>
      <c r="AW2467" s="331"/>
      <c r="AX2467" s="331"/>
      <c r="AY2467" s="331"/>
      <c r="AZ2467" s="331"/>
      <c r="BA2467" s="331"/>
      <c r="BB2467" s="331"/>
      <c r="BC2467" s="331"/>
      <c r="BD2467" s="331"/>
      <c r="BE2467" s="333"/>
      <c r="BF2467" s="330"/>
      <c r="BG2467" s="333"/>
      <c r="BH2467" s="1119"/>
      <c r="BI2467" s="319"/>
      <c r="BJ2467" s="319"/>
      <c r="BK2467" s="319"/>
      <c r="BL2467" s="319"/>
      <c r="BM2467" s="319"/>
      <c r="BN2467" s="319"/>
      <c r="BO2467" s="319"/>
      <c r="BP2467" s="953"/>
      <c r="BQ2467" s="319"/>
      <c r="BR2467" s="319"/>
      <c r="BS2467" s="330"/>
      <c r="BT2467" s="331"/>
      <c r="BU2467" s="920"/>
      <c r="BV2467" s="903"/>
      <c r="BW2467" s="908"/>
      <c r="BX2467" s="908"/>
      <c r="BY2467" s="331"/>
      <c r="BZ2467" s="331"/>
      <c r="CA2467" s="462"/>
      <c r="CB2467" s="319"/>
      <c r="CC2467" s="319"/>
      <c r="CD2467" s="319"/>
      <c r="CE2467" s="319"/>
      <c r="CF2467" s="319"/>
      <c r="CG2467" s="319"/>
      <c r="CH2467" s="318"/>
      <c r="CI2467" s="319"/>
      <c r="CJ2467" s="319"/>
      <c r="CK2467" s="342"/>
      <c r="CL2467" s="333"/>
      <c r="CM2467" s="1079"/>
      <c r="CN2467" s="1005"/>
      <c r="CO2467" s="1005"/>
      <c r="CP2467" s="1005"/>
    </row>
    <row r="2468">
      <c r="A2468" s="1257"/>
      <c r="B2468" s="1113"/>
      <c r="C2468" s="1107"/>
      <c r="D2468" s="103"/>
      <c r="E2468" s="1137"/>
      <c r="F2468" s="112"/>
      <c r="G2468" s="1110"/>
      <c r="H2468" s="1138"/>
      <c r="I2468" s="1138"/>
      <c r="J2468" s="1139"/>
      <c r="K2468" s="1111"/>
      <c r="L2468" s="1112"/>
      <c r="M2468" s="1113"/>
      <c r="N2468" s="110"/>
      <c r="O2468" s="1140"/>
      <c r="P2468" s="1115"/>
      <c r="Q2468" s="1116"/>
      <c r="R2468" s="1141"/>
      <c r="S2468" s="1113"/>
      <c r="T2468" s="1143"/>
      <c r="U2468" s="1108"/>
      <c r="V2468" s="1108"/>
      <c r="W2468" s="1108"/>
      <c r="X2468" s="1108"/>
      <c r="Y2468" s="1108"/>
      <c r="Z2468" s="1114"/>
      <c r="AA2468" s="1114"/>
      <c r="AB2468" s="1114"/>
      <c r="AC2468" s="1117"/>
      <c r="AD2468" s="1115"/>
      <c r="AE2468" s="1115"/>
      <c r="AF2468" s="1115"/>
      <c r="AG2468" s="1115"/>
      <c r="AH2468" s="1115"/>
      <c r="AI2468" s="1115"/>
      <c r="AJ2468" s="1117"/>
      <c r="AK2468" s="1118"/>
      <c r="AL2468" s="1115"/>
      <c r="AM2468" s="1115"/>
      <c r="AN2468" s="1115"/>
      <c r="AO2468" s="1115"/>
      <c r="AP2468" s="1115"/>
      <c r="AQ2468" s="1115"/>
      <c r="AR2468" s="1115"/>
      <c r="AS2468" s="1117"/>
      <c r="AT2468" s="1075"/>
      <c r="AU2468" s="1193"/>
      <c r="AV2468" s="330"/>
      <c r="AW2468" s="331"/>
      <c r="AX2468" s="331"/>
      <c r="AY2468" s="331"/>
      <c r="AZ2468" s="331"/>
      <c r="BA2468" s="331"/>
      <c r="BB2468" s="331"/>
      <c r="BC2468" s="331"/>
      <c r="BD2468" s="331"/>
      <c r="BE2468" s="333"/>
      <c r="BF2468" s="330"/>
      <c r="BG2468" s="333"/>
      <c r="BH2468" s="1119"/>
      <c r="BI2468" s="319"/>
      <c r="BJ2468" s="319"/>
      <c r="BK2468" s="319"/>
      <c r="BL2468" s="319"/>
      <c r="BM2468" s="319"/>
      <c r="BN2468" s="319"/>
      <c r="BO2468" s="319"/>
      <c r="BP2468" s="953"/>
      <c r="BQ2468" s="319"/>
      <c r="BR2468" s="319"/>
      <c r="BS2468" s="330"/>
      <c r="BT2468" s="331"/>
      <c r="BU2468" s="920"/>
      <c r="BV2468" s="903"/>
      <c r="BW2468" s="908"/>
      <c r="BX2468" s="908"/>
      <c r="BY2468" s="331"/>
      <c r="BZ2468" s="331"/>
      <c r="CA2468" s="462"/>
      <c r="CB2468" s="319"/>
      <c r="CC2468" s="319"/>
      <c r="CD2468" s="319"/>
      <c r="CE2468" s="319"/>
      <c r="CF2468" s="319"/>
      <c r="CG2468" s="319"/>
      <c r="CH2468" s="318"/>
      <c r="CI2468" s="319"/>
      <c r="CJ2468" s="319"/>
      <c r="CK2468" s="342"/>
      <c r="CL2468" s="333"/>
      <c r="CM2468" s="1079"/>
      <c r="CN2468" s="1005"/>
      <c r="CO2468" s="1005"/>
      <c r="CP2468" s="1005"/>
    </row>
    <row r="2469">
      <c r="A2469" s="1257"/>
      <c r="B2469" s="1113"/>
      <c r="C2469" s="1107"/>
      <c r="D2469" s="103"/>
      <c r="E2469" s="1137"/>
      <c r="F2469" s="112"/>
      <c r="G2469" s="1110"/>
      <c r="H2469" s="1138"/>
      <c r="I2469" s="1138"/>
      <c r="J2469" s="1139"/>
      <c r="K2469" s="1111"/>
      <c r="L2469" s="1112"/>
      <c r="M2469" s="1113"/>
      <c r="N2469" s="110"/>
      <c r="O2469" s="1140"/>
      <c r="P2469" s="1115"/>
      <c r="Q2469" s="1116"/>
      <c r="R2469" s="1141"/>
      <c r="S2469" s="1113"/>
      <c r="T2469" s="1143"/>
      <c r="U2469" s="1108"/>
      <c r="V2469" s="1108"/>
      <c r="W2469" s="1108"/>
      <c r="X2469" s="1108"/>
      <c r="Y2469" s="1108"/>
      <c r="Z2469" s="1114"/>
      <c r="AA2469" s="1114"/>
      <c r="AB2469" s="1114"/>
      <c r="AC2469" s="1117"/>
      <c r="AD2469" s="1115"/>
      <c r="AE2469" s="1115"/>
      <c r="AF2469" s="1115"/>
      <c r="AG2469" s="1115"/>
      <c r="AH2469" s="1115"/>
      <c r="AI2469" s="1115"/>
      <c r="AJ2469" s="1117"/>
      <c r="AK2469" s="1118"/>
      <c r="AL2469" s="1115"/>
      <c r="AM2469" s="1115"/>
      <c r="AN2469" s="1115"/>
      <c r="AO2469" s="1115"/>
      <c r="AP2469" s="1115"/>
      <c r="AQ2469" s="1115"/>
      <c r="AR2469" s="1115"/>
      <c r="AS2469" s="1117"/>
      <c r="AT2469" s="1075"/>
      <c r="AU2469" s="1193"/>
      <c r="AV2469" s="330"/>
      <c r="AW2469" s="331"/>
      <c r="AX2469" s="331"/>
      <c r="AY2469" s="331"/>
      <c r="AZ2469" s="331"/>
      <c r="BA2469" s="331"/>
      <c r="BB2469" s="331"/>
      <c r="BC2469" s="331"/>
      <c r="BD2469" s="331"/>
      <c r="BE2469" s="333"/>
      <c r="BF2469" s="330"/>
      <c r="BG2469" s="333"/>
      <c r="BH2469" s="1119"/>
      <c r="BI2469" s="319"/>
      <c r="BJ2469" s="319"/>
      <c r="BK2469" s="319"/>
      <c r="BL2469" s="319"/>
      <c r="BM2469" s="319"/>
      <c r="BN2469" s="319"/>
      <c r="BO2469" s="319"/>
      <c r="BP2469" s="953"/>
      <c r="BQ2469" s="319"/>
      <c r="BR2469" s="319"/>
      <c r="BS2469" s="330"/>
      <c r="BT2469" s="331"/>
      <c r="BU2469" s="920"/>
      <c r="BV2469" s="903"/>
      <c r="BW2469" s="908"/>
      <c r="BX2469" s="908"/>
      <c r="BY2469" s="331"/>
      <c r="BZ2469" s="331"/>
      <c r="CA2469" s="462"/>
      <c r="CB2469" s="319"/>
      <c r="CC2469" s="319"/>
      <c r="CD2469" s="319"/>
      <c r="CE2469" s="319"/>
      <c r="CF2469" s="319"/>
      <c r="CG2469" s="319"/>
      <c r="CH2469" s="318"/>
      <c r="CI2469" s="319"/>
      <c r="CJ2469" s="319"/>
      <c r="CK2469" s="342"/>
      <c r="CL2469" s="333"/>
      <c r="CM2469" s="1079"/>
      <c r="CN2469" s="1005"/>
      <c r="CO2469" s="1005"/>
      <c r="CP2469" s="1005"/>
    </row>
    <row r="2470">
      <c r="A2470" s="1257"/>
      <c r="B2470" s="1113"/>
      <c r="C2470" s="1107"/>
      <c r="D2470" s="103"/>
      <c r="E2470" s="1137"/>
      <c r="F2470" s="112"/>
      <c r="G2470" s="1110"/>
      <c r="H2470" s="1138"/>
      <c r="I2470" s="1138"/>
      <c r="J2470" s="1139"/>
      <c r="K2470" s="1111"/>
      <c r="L2470" s="1112"/>
      <c r="M2470" s="1113"/>
      <c r="N2470" s="110"/>
      <c r="O2470" s="1140"/>
      <c r="P2470" s="1115"/>
      <c r="Q2470" s="1116"/>
      <c r="R2470" s="1141"/>
      <c r="S2470" s="1113"/>
      <c r="T2470" s="1143"/>
      <c r="U2470" s="1108"/>
      <c r="V2470" s="1108"/>
      <c r="W2470" s="1108"/>
      <c r="X2470" s="1108"/>
      <c r="Y2470" s="1108"/>
      <c r="Z2470" s="1114"/>
      <c r="AA2470" s="1114"/>
      <c r="AB2470" s="1114"/>
      <c r="AC2470" s="1117"/>
      <c r="AD2470" s="1115"/>
      <c r="AE2470" s="1115"/>
      <c r="AF2470" s="1115"/>
      <c r="AG2470" s="1115"/>
      <c r="AH2470" s="1115"/>
      <c r="AI2470" s="1115"/>
      <c r="AJ2470" s="1117"/>
      <c r="AK2470" s="1118"/>
      <c r="AL2470" s="1115"/>
      <c r="AM2470" s="1115"/>
      <c r="AN2470" s="1115"/>
      <c r="AO2470" s="1115"/>
      <c r="AP2470" s="1115"/>
      <c r="AQ2470" s="1115"/>
      <c r="AR2470" s="1115"/>
      <c r="AS2470" s="1117"/>
      <c r="AT2470" s="1075"/>
      <c r="AU2470" s="1193"/>
      <c r="AV2470" s="330"/>
      <c r="AW2470" s="331"/>
      <c r="AX2470" s="331"/>
      <c r="AY2470" s="331"/>
      <c r="AZ2470" s="331"/>
      <c r="BA2470" s="331"/>
      <c r="BB2470" s="331"/>
      <c r="BC2470" s="331"/>
      <c r="BD2470" s="331"/>
      <c r="BE2470" s="333"/>
      <c r="BF2470" s="330"/>
      <c r="BG2470" s="333"/>
      <c r="BH2470" s="1119"/>
      <c r="BI2470" s="319"/>
      <c r="BJ2470" s="319"/>
      <c r="BK2470" s="319"/>
      <c r="BL2470" s="319"/>
      <c r="BM2470" s="319"/>
      <c r="BN2470" s="319"/>
      <c r="BO2470" s="319"/>
      <c r="BP2470" s="953"/>
      <c r="BQ2470" s="319"/>
      <c r="BR2470" s="319"/>
      <c r="BS2470" s="330"/>
      <c r="BT2470" s="331"/>
      <c r="BU2470" s="920"/>
      <c r="BV2470" s="903"/>
      <c r="BW2470" s="908"/>
      <c r="BX2470" s="908"/>
      <c r="BY2470" s="331"/>
      <c r="BZ2470" s="331"/>
      <c r="CA2470" s="462"/>
      <c r="CB2470" s="319"/>
      <c r="CC2470" s="319"/>
      <c r="CD2470" s="319"/>
      <c r="CE2470" s="319"/>
      <c r="CF2470" s="319"/>
      <c r="CG2470" s="319"/>
      <c r="CH2470" s="318"/>
      <c r="CI2470" s="319"/>
      <c r="CJ2470" s="319"/>
      <c r="CK2470" s="342"/>
      <c r="CL2470" s="333"/>
      <c r="CM2470" s="1079"/>
      <c r="CN2470" s="1005"/>
      <c r="CO2470" s="1005"/>
      <c r="CP2470" s="1005"/>
    </row>
    <row r="2471">
      <c r="A2471" s="1257"/>
      <c r="B2471" s="1113"/>
      <c r="C2471" s="1107"/>
      <c r="D2471" s="103"/>
      <c r="E2471" s="1137"/>
      <c r="F2471" s="112"/>
      <c r="G2471" s="1110"/>
      <c r="H2471" s="1138"/>
      <c r="I2471" s="1138"/>
      <c r="J2471" s="1139"/>
      <c r="K2471" s="1111"/>
      <c r="L2471" s="1112"/>
      <c r="M2471" s="1113"/>
      <c r="N2471" s="110"/>
      <c r="O2471" s="1140"/>
      <c r="P2471" s="1115"/>
      <c r="Q2471" s="1116"/>
      <c r="R2471" s="1141"/>
      <c r="S2471" s="1113"/>
      <c r="T2471" s="1143"/>
      <c r="U2471" s="1108"/>
      <c r="V2471" s="1108"/>
      <c r="W2471" s="1108"/>
      <c r="X2471" s="1108"/>
      <c r="Y2471" s="1108"/>
      <c r="Z2471" s="1114"/>
      <c r="AA2471" s="1114"/>
      <c r="AB2471" s="1114"/>
      <c r="AC2471" s="1117"/>
      <c r="AD2471" s="1115"/>
      <c r="AE2471" s="1115"/>
      <c r="AF2471" s="1115"/>
      <c r="AG2471" s="1115"/>
      <c r="AH2471" s="1115"/>
      <c r="AI2471" s="1115"/>
      <c r="AJ2471" s="1117"/>
      <c r="AK2471" s="1118"/>
      <c r="AL2471" s="1115"/>
      <c r="AM2471" s="1115"/>
      <c r="AN2471" s="1115"/>
      <c r="AO2471" s="1115"/>
      <c r="AP2471" s="1115"/>
      <c r="AQ2471" s="1115"/>
      <c r="AR2471" s="1115"/>
      <c r="AS2471" s="1117"/>
      <c r="AT2471" s="1075"/>
      <c r="AU2471" s="1193"/>
      <c r="AV2471" s="330"/>
      <c r="AW2471" s="331"/>
      <c r="AX2471" s="331"/>
      <c r="AY2471" s="331"/>
      <c r="AZ2471" s="331"/>
      <c r="BA2471" s="331"/>
      <c r="BB2471" s="331"/>
      <c r="BC2471" s="331"/>
      <c r="BD2471" s="331"/>
      <c r="BE2471" s="333"/>
      <c r="BF2471" s="330"/>
      <c r="BG2471" s="333"/>
      <c r="BH2471" s="1119"/>
      <c r="BI2471" s="319"/>
      <c r="BJ2471" s="319"/>
      <c r="BK2471" s="319"/>
      <c r="BL2471" s="319"/>
      <c r="BM2471" s="319"/>
      <c r="BN2471" s="319"/>
      <c r="BO2471" s="319"/>
      <c r="BP2471" s="953"/>
      <c r="BQ2471" s="319"/>
      <c r="BR2471" s="319"/>
      <c r="BS2471" s="330"/>
      <c r="BT2471" s="331"/>
      <c r="BU2471" s="920"/>
      <c r="BV2471" s="903"/>
      <c r="BW2471" s="908"/>
      <c r="BX2471" s="908"/>
      <c r="BY2471" s="331"/>
      <c r="BZ2471" s="331"/>
      <c r="CA2471" s="462"/>
      <c r="CB2471" s="319"/>
      <c r="CC2471" s="319"/>
      <c r="CD2471" s="319"/>
      <c r="CE2471" s="319"/>
      <c r="CF2471" s="319"/>
      <c r="CG2471" s="319"/>
      <c r="CH2471" s="318"/>
      <c r="CI2471" s="319"/>
      <c r="CJ2471" s="319"/>
      <c r="CK2471" s="342"/>
      <c r="CL2471" s="333"/>
      <c r="CM2471" s="1079"/>
      <c r="CN2471" s="1005"/>
      <c r="CO2471" s="1005"/>
      <c r="CP2471" s="1005"/>
    </row>
    <row r="2472">
      <c r="A2472" s="1257"/>
      <c r="B2472" s="1113"/>
      <c r="C2472" s="1107"/>
      <c r="D2472" s="103"/>
      <c r="E2472" s="1137"/>
      <c r="F2472" s="112"/>
      <c r="G2472" s="1110"/>
      <c r="H2472" s="1138"/>
      <c r="I2472" s="1138"/>
      <c r="J2472" s="1139"/>
      <c r="K2472" s="1111"/>
      <c r="L2472" s="1112"/>
      <c r="M2472" s="1113"/>
      <c r="N2472" s="110"/>
      <c r="O2472" s="1140"/>
      <c r="P2472" s="1115"/>
      <c r="Q2472" s="1116"/>
      <c r="R2472" s="1141"/>
      <c r="S2472" s="1113"/>
      <c r="T2472" s="1143"/>
      <c r="U2472" s="1108"/>
      <c r="V2472" s="1108"/>
      <c r="W2472" s="1108"/>
      <c r="X2472" s="1108"/>
      <c r="Y2472" s="1108"/>
      <c r="Z2472" s="1114"/>
      <c r="AA2472" s="1114"/>
      <c r="AB2472" s="1114"/>
      <c r="AC2472" s="1117"/>
      <c r="AD2472" s="1115"/>
      <c r="AE2472" s="1115"/>
      <c r="AF2472" s="1115"/>
      <c r="AG2472" s="1115"/>
      <c r="AH2472" s="1115"/>
      <c r="AI2472" s="1115"/>
      <c r="AJ2472" s="1117"/>
      <c r="AK2472" s="1118"/>
      <c r="AL2472" s="1115"/>
      <c r="AM2472" s="1115"/>
      <c r="AN2472" s="1115"/>
      <c r="AO2472" s="1115"/>
      <c r="AP2472" s="1115"/>
      <c r="AQ2472" s="1115"/>
      <c r="AR2472" s="1115"/>
      <c r="AS2472" s="1117"/>
      <c r="AT2472" s="1075"/>
      <c r="AU2472" s="1193"/>
      <c r="AV2472" s="330"/>
      <c r="AW2472" s="331"/>
      <c r="AX2472" s="331"/>
      <c r="AY2472" s="331"/>
      <c r="AZ2472" s="331"/>
      <c r="BA2472" s="331"/>
      <c r="BB2472" s="331"/>
      <c r="BC2472" s="331"/>
      <c r="BD2472" s="331"/>
      <c r="BE2472" s="333"/>
      <c r="BF2472" s="330"/>
      <c r="BG2472" s="333"/>
      <c r="BH2472" s="1119"/>
      <c r="BI2472" s="319"/>
      <c r="BJ2472" s="319"/>
      <c r="BK2472" s="319"/>
      <c r="BL2472" s="319"/>
      <c r="BM2472" s="319"/>
      <c r="BN2472" s="319"/>
      <c r="BO2472" s="319"/>
      <c r="BP2472" s="953"/>
      <c r="BQ2472" s="319"/>
      <c r="BR2472" s="319"/>
      <c r="BS2472" s="330"/>
      <c r="BT2472" s="331"/>
      <c r="BU2472" s="920"/>
      <c r="BV2472" s="903"/>
      <c r="BW2472" s="908"/>
      <c r="BX2472" s="908"/>
      <c r="BY2472" s="331"/>
      <c r="BZ2472" s="331"/>
      <c r="CA2472" s="462"/>
      <c r="CB2472" s="319"/>
      <c r="CC2472" s="319"/>
      <c r="CD2472" s="319"/>
      <c r="CE2472" s="319"/>
      <c r="CF2472" s="319"/>
      <c r="CG2472" s="319"/>
      <c r="CH2472" s="318"/>
      <c r="CI2472" s="319"/>
      <c r="CJ2472" s="319"/>
      <c r="CK2472" s="342"/>
      <c r="CL2472" s="333"/>
      <c r="CM2472" s="1079"/>
      <c r="CN2472" s="1005"/>
      <c r="CO2472" s="1005"/>
      <c r="CP2472" s="1005"/>
    </row>
    <row r="2473">
      <c r="A2473" s="1257"/>
      <c r="B2473" s="1113"/>
      <c r="C2473" s="1107"/>
      <c r="D2473" s="103"/>
      <c r="E2473" s="1137"/>
      <c r="F2473" s="112"/>
      <c r="G2473" s="1110"/>
      <c r="H2473" s="1138"/>
      <c r="I2473" s="1138"/>
      <c r="J2473" s="1139"/>
      <c r="K2473" s="1111"/>
      <c r="L2473" s="1112"/>
      <c r="M2473" s="1113"/>
      <c r="N2473" s="110"/>
      <c r="O2473" s="1140"/>
      <c r="P2473" s="1115"/>
      <c r="Q2473" s="1116"/>
      <c r="R2473" s="1141"/>
      <c r="S2473" s="1113"/>
      <c r="T2473" s="1143"/>
      <c r="U2473" s="1108"/>
      <c r="V2473" s="1108"/>
      <c r="W2473" s="1108"/>
      <c r="X2473" s="1108"/>
      <c r="Y2473" s="1108"/>
      <c r="Z2473" s="1114"/>
      <c r="AA2473" s="1114"/>
      <c r="AB2473" s="1114"/>
      <c r="AC2473" s="1117"/>
      <c r="AD2473" s="1115"/>
      <c r="AE2473" s="1115"/>
      <c r="AF2473" s="1115"/>
      <c r="AG2473" s="1115"/>
      <c r="AH2473" s="1115"/>
      <c r="AI2473" s="1115"/>
      <c r="AJ2473" s="1117"/>
      <c r="AK2473" s="1118"/>
      <c r="AL2473" s="1115"/>
      <c r="AM2473" s="1115"/>
      <c r="AN2473" s="1115"/>
      <c r="AO2473" s="1115"/>
      <c r="AP2473" s="1115"/>
      <c r="AQ2473" s="1115"/>
      <c r="AR2473" s="1115"/>
      <c r="AS2473" s="1117"/>
      <c r="AT2473" s="1075"/>
      <c r="AU2473" s="1193"/>
      <c r="AV2473" s="330"/>
      <c r="AW2473" s="331"/>
      <c r="AX2473" s="331"/>
      <c r="AY2473" s="331"/>
      <c r="AZ2473" s="331"/>
      <c r="BA2473" s="331"/>
      <c r="BB2473" s="331"/>
      <c r="BC2473" s="331"/>
      <c r="BD2473" s="331"/>
      <c r="BE2473" s="333"/>
      <c r="BF2473" s="330"/>
      <c r="BG2473" s="333"/>
      <c r="BH2473" s="1119"/>
      <c r="BI2473" s="319"/>
      <c r="BJ2473" s="319"/>
      <c r="BK2473" s="319"/>
      <c r="BL2473" s="319"/>
      <c r="BM2473" s="319"/>
      <c r="BN2473" s="319"/>
      <c r="BO2473" s="319"/>
      <c r="BP2473" s="953"/>
      <c r="BQ2473" s="319"/>
      <c r="BR2473" s="319"/>
      <c r="BS2473" s="330"/>
      <c r="BT2473" s="331"/>
      <c r="BU2473" s="920"/>
      <c r="BV2473" s="903"/>
      <c r="BW2473" s="908"/>
      <c r="BX2473" s="908"/>
      <c r="BY2473" s="331"/>
      <c r="BZ2473" s="331"/>
      <c r="CA2473" s="462"/>
      <c r="CB2473" s="319"/>
      <c r="CC2473" s="319"/>
      <c r="CD2473" s="319"/>
      <c r="CE2473" s="319"/>
      <c r="CF2473" s="319"/>
      <c r="CG2473" s="319"/>
      <c r="CH2473" s="318"/>
      <c r="CI2473" s="319"/>
      <c r="CJ2473" s="319"/>
      <c r="CK2473" s="342"/>
      <c r="CL2473" s="333"/>
      <c r="CM2473" s="1079"/>
      <c r="CN2473" s="1005"/>
      <c r="CO2473" s="1005"/>
      <c r="CP2473" s="1005"/>
    </row>
    <row r="2474">
      <c r="A2474" s="1257"/>
      <c r="B2474" s="1113"/>
      <c r="C2474" s="1107"/>
      <c r="D2474" s="103"/>
      <c r="E2474" s="1137"/>
      <c r="F2474" s="112"/>
      <c r="G2474" s="1110"/>
      <c r="H2474" s="1138"/>
      <c r="I2474" s="1138"/>
      <c r="J2474" s="1139"/>
      <c r="K2474" s="1111"/>
      <c r="L2474" s="1112"/>
      <c r="M2474" s="1113"/>
      <c r="N2474" s="110"/>
      <c r="O2474" s="1140"/>
      <c r="P2474" s="1115"/>
      <c r="Q2474" s="1116"/>
      <c r="R2474" s="1141"/>
      <c r="S2474" s="1113"/>
      <c r="T2474" s="1143"/>
      <c r="U2474" s="1108"/>
      <c r="V2474" s="1108"/>
      <c r="W2474" s="1108"/>
      <c r="X2474" s="1108"/>
      <c r="Y2474" s="1108"/>
      <c r="Z2474" s="1114"/>
      <c r="AA2474" s="1114"/>
      <c r="AB2474" s="1114"/>
      <c r="AC2474" s="1117"/>
      <c r="AD2474" s="1115"/>
      <c r="AE2474" s="1115"/>
      <c r="AF2474" s="1115"/>
      <c r="AG2474" s="1115"/>
      <c r="AH2474" s="1115"/>
      <c r="AI2474" s="1115"/>
      <c r="AJ2474" s="1117"/>
      <c r="AK2474" s="1118"/>
      <c r="AL2474" s="1115"/>
      <c r="AM2474" s="1115"/>
      <c r="AN2474" s="1115"/>
      <c r="AO2474" s="1115"/>
      <c r="AP2474" s="1115"/>
      <c r="AQ2474" s="1115"/>
      <c r="AR2474" s="1115"/>
      <c r="AS2474" s="1117"/>
      <c r="AT2474" s="1075"/>
      <c r="AU2474" s="1193"/>
      <c r="AV2474" s="330"/>
      <c r="AW2474" s="331"/>
      <c r="AX2474" s="331"/>
      <c r="AY2474" s="331"/>
      <c r="AZ2474" s="331"/>
      <c r="BA2474" s="331"/>
      <c r="BB2474" s="331"/>
      <c r="BC2474" s="331"/>
      <c r="BD2474" s="331"/>
      <c r="BE2474" s="333"/>
      <c r="BF2474" s="330"/>
      <c r="BG2474" s="333"/>
      <c r="BH2474" s="1119"/>
      <c r="BI2474" s="319"/>
      <c r="BJ2474" s="319"/>
      <c r="BK2474" s="319"/>
      <c r="BL2474" s="319"/>
      <c r="BM2474" s="319"/>
      <c r="BN2474" s="319"/>
      <c r="BO2474" s="319"/>
      <c r="BP2474" s="953"/>
      <c r="BQ2474" s="319"/>
      <c r="BR2474" s="319"/>
      <c r="BS2474" s="330"/>
      <c r="BT2474" s="331"/>
      <c r="BU2474" s="920"/>
      <c r="BV2474" s="903"/>
      <c r="BW2474" s="908"/>
      <c r="BX2474" s="908"/>
      <c r="BY2474" s="331"/>
      <c r="BZ2474" s="331"/>
      <c r="CA2474" s="462"/>
      <c r="CB2474" s="319"/>
      <c r="CC2474" s="319"/>
      <c r="CD2474" s="319"/>
      <c r="CE2474" s="319"/>
      <c r="CF2474" s="319"/>
      <c r="CG2474" s="319"/>
      <c r="CH2474" s="318"/>
      <c r="CI2474" s="319"/>
      <c r="CJ2474" s="319"/>
      <c r="CK2474" s="342"/>
      <c r="CL2474" s="333"/>
      <c r="CM2474" s="1079"/>
      <c r="CN2474" s="1005"/>
      <c r="CO2474" s="1005"/>
      <c r="CP2474" s="1005"/>
    </row>
    <row r="2475">
      <c r="A2475" s="1257"/>
      <c r="B2475" s="1113"/>
      <c r="C2475" s="1107"/>
      <c r="D2475" s="103"/>
      <c r="E2475" s="1137"/>
      <c r="F2475" s="112"/>
      <c r="G2475" s="1110"/>
      <c r="H2475" s="1138"/>
      <c r="I2475" s="1138"/>
      <c r="J2475" s="1139"/>
      <c r="K2475" s="1111"/>
      <c r="L2475" s="1112"/>
      <c r="M2475" s="1113"/>
      <c r="N2475" s="110"/>
      <c r="O2475" s="1140"/>
      <c r="P2475" s="1115"/>
      <c r="Q2475" s="1116"/>
      <c r="R2475" s="1141"/>
      <c r="S2475" s="1113"/>
      <c r="T2475" s="1143"/>
      <c r="U2475" s="1108"/>
      <c r="V2475" s="1108"/>
      <c r="W2475" s="1108"/>
      <c r="X2475" s="1108"/>
      <c r="Y2475" s="1108"/>
      <c r="Z2475" s="1114"/>
      <c r="AA2475" s="1114"/>
      <c r="AB2475" s="1114"/>
      <c r="AC2475" s="1117"/>
      <c r="AD2475" s="1115"/>
      <c r="AE2475" s="1115"/>
      <c r="AF2475" s="1115"/>
      <c r="AG2475" s="1115"/>
      <c r="AH2475" s="1115"/>
      <c r="AI2475" s="1115"/>
      <c r="AJ2475" s="1117"/>
      <c r="AK2475" s="1118"/>
      <c r="AL2475" s="1115"/>
      <c r="AM2475" s="1115"/>
      <c r="AN2475" s="1115"/>
      <c r="AO2475" s="1115"/>
      <c r="AP2475" s="1115"/>
      <c r="AQ2475" s="1115"/>
      <c r="AR2475" s="1115"/>
      <c r="AS2475" s="1117"/>
      <c r="AT2475" s="1075"/>
      <c r="AU2475" s="1193"/>
      <c r="AV2475" s="330"/>
      <c r="AW2475" s="331"/>
      <c r="AX2475" s="331"/>
      <c r="AY2475" s="331"/>
      <c r="AZ2475" s="331"/>
      <c r="BA2475" s="331"/>
      <c r="BB2475" s="331"/>
      <c r="BC2475" s="331"/>
      <c r="BD2475" s="331"/>
      <c r="BE2475" s="333"/>
      <c r="BF2475" s="330"/>
      <c r="BG2475" s="333"/>
      <c r="BH2475" s="1119"/>
      <c r="BI2475" s="319"/>
      <c r="BJ2475" s="319"/>
      <c r="BK2475" s="319"/>
      <c r="BL2475" s="319"/>
      <c r="BM2475" s="319"/>
      <c r="BN2475" s="319"/>
      <c r="BO2475" s="319"/>
      <c r="BP2475" s="953"/>
      <c r="BQ2475" s="319"/>
      <c r="BR2475" s="319"/>
      <c r="BS2475" s="330"/>
      <c r="BT2475" s="331"/>
      <c r="BU2475" s="920"/>
      <c r="BV2475" s="903"/>
      <c r="BW2475" s="908"/>
      <c r="BX2475" s="908"/>
      <c r="BY2475" s="331"/>
      <c r="BZ2475" s="331"/>
      <c r="CA2475" s="462"/>
      <c r="CB2475" s="319"/>
      <c r="CC2475" s="319"/>
      <c r="CD2475" s="319"/>
      <c r="CE2475" s="319"/>
      <c r="CF2475" s="319"/>
      <c r="CG2475" s="319"/>
      <c r="CH2475" s="318"/>
      <c r="CI2475" s="319"/>
      <c r="CJ2475" s="319"/>
      <c r="CK2475" s="342"/>
      <c r="CL2475" s="333"/>
      <c r="CM2475" s="1079"/>
      <c r="CN2475" s="1005"/>
      <c r="CO2475" s="1005"/>
      <c r="CP2475" s="1005"/>
    </row>
    <row r="2476">
      <c r="A2476" s="1257"/>
      <c r="B2476" s="1113"/>
      <c r="C2476" s="1107"/>
      <c r="D2476" s="103"/>
      <c r="E2476" s="1137"/>
      <c r="F2476" s="112"/>
      <c r="G2476" s="1110"/>
      <c r="H2476" s="1138"/>
      <c r="I2476" s="1138"/>
      <c r="J2476" s="1139"/>
      <c r="K2476" s="1111"/>
      <c r="L2476" s="1112"/>
      <c r="M2476" s="1113"/>
      <c r="N2476" s="110"/>
      <c r="O2476" s="1140"/>
      <c r="P2476" s="1115"/>
      <c r="Q2476" s="1116"/>
      <c r="R2476" s="1141"/>
      <c r="S2476" s="1113"/>
      <c r="T2476" s="1143"/>
      <c r="U2476" s="1108"/>
      <c r="V2476" s="1108"/>
      <c r="W2476" s="1108"/>
      <c r="X2476" s="1108"/>
      <c r="Y2476" s="1108"/>
      <c r="Z2476" s="1114"/>
      <c r="AA2476" s="1114"/>
      <c r="AB2476" s="1114"/>
      <c r="AC2476" s="1117"/>
      <c r="AD2476" s="1115"/>
      <c r="AE2476" s="1115"/>
      <c r="AF2476" s="1115"/>
      <c r="AG2476" s="1115"/>
      <c r="AH2476" s="1115"/>
      <c r="AI2476" s="1115"/>
      <c r="AJ2476" s="1117"/>
      <c r="AK2476" s="1118"/>
      <c r="AL2476" s="1115"/>
      <c r="AM2476" s="1115"/>
      <c r="AN2476" s="1115"/>
      <c r="AO2476" s="1115"/>
      <c r="AP2476" s="1115"/>
      <c r="AQ2476" s="1115"/>
      <c r="AR2476" s="1115"/>
      <c r="AS2476" s="1117"/>
      <c r="AT2476" s="1075"/>
      <c r="AU2476" s="1193"/>
      <c r="AV2476" s="330"/>
      <c r="AW2476" s="331"/>
      <c r="AX2476" s="331"/>
      <c r="AY2476" s="331"/>
      <c r="AZ2476" s="331"/>
      <c r="BA2476" s="331"/>
      <c r="BB2476" s="331"/>
      <c r="BC2476" s="331"/>
      <c r="BD2476" s="331"/>
      <c r="BE2476" s="333"/>
      <c r="BF2476" s="330"/>
      <c r="BG2476" s="333"/>
      <c r="BH2476" s="1119"/>
      <c r="BI2476" s="319"/>
      <c r="BJ2476" s="319"/>
      <c r="BK2476" s="319"/>
      <c r="BL2476" s="319"/>
      <c r="BM2476" s="319"/>
      <c r="BN2476" s="319"/>
      <c r="BO2476" s="319"/>
      <c r="BP2476" s="953"/>
      <c r="BQ2476" s="319"/>
      <c r="BR2476" s="319"/>
      <c r="BS2476" s="330"/>
      <c r="BT2476" s="331"/>
      <c r="BU2476" s="920"/>
      <c r="BV2476" s="903"/>
      <c r="BW2476" s="908"/>
      <c r="BX2476" s="908"/>
      <c r="BY2476" s="331"/>
      <c r="BZ2476" s="331"/>
      <c r="CA2476" s="462"/>
      <c r="CB2476" s="319"/>
      <c r="CC2476" s="319"/>
      <c r="CD2476" s="319"/>
      <c r="CE2476" s="319"/>
      <c r="CF2476" s="319"/>
      <c r="CG2476" s="319"/>
      <c r="CH2476" s="318"/>
      <c r="CI2476" s="319"/>
      <c r="CJ2476" s="319"/>
      <c r="CK2476" s="342"/>
      <c r="CL2476" s="333"/>
      <c r="CM2476" s="1079"/>
      <c r="CN2476" s="1005"/>
      <c r="CO2476" s="1005"/>
      <c r="CP2476" s="1005"/>
    </row>
    <row r="2477">
      <c r="A2477" s="1257"/>
      <c r="B2477" s="1113"/>
      <c r="C2477" s="1107"/>
      <c r="D2477" s="103"/>
      <c r="E2477" s="1137"/>
      <c r="F2477" s="112"/>
      <c r="G2477" s="1110"/>
      <c r="H2477" s="1138"/>
      <c r="I2477" s="1138"/>
      <c r="J2477" s="1139"/>
      <c r="K2477" s="1111"/>
      <c r="L2477" s="1112"/>
      <c r="M2477" s="1113"/>
      <c r="N2477" s="110"/>
      <c r="O2477" s="1140"/>
      <c r="P2477" s="1115"/>
      <c r="Q2477" s="1116"/>
      <c r="R2477" s="1141"/>
      <c r="S2477" s="1113"/>
      <c r="T2477" s="1143"/>
      <c r="U2477" s="1108"/>
      <c r="V2477" s="1108"/>
      <c r="W2477" s="1108"/>
      <c r="X2477" s="1108"/>
      <c r="Y2477" s="1108"/>
      <c r="Z2477" s="1114"/>
      <c r="AA2477" s="1114"/>
      <c r="AB2477" s="1114"/>
      <c r="AC2477" s="1117"/>
      <c r="AD2477" s="1115"/>
      <c r="AE2477" s="1115"/>
      <c r="AF2477" s="1115"/>
      <c r="AG2477" s="1115"/>
      <c r="AH2477" s="1115"/>
      <c r="AI2477" s="1115"/>
      <c r="AJ2477" s="1117"/>
      <c r="AK2477" s="1118"/>
      <c r="AL2477" s="1115"/>
      <c r="AM2477" s="1115"/>
      <c r="AN2477" s="1115"/>
      <c r="AO2477" s="1115"/>
      <c r="AP2477" s="1115"/>
      <c r="AQ2477" s="1115"/>
      <c r="AR2477" s="1115"/>
      <c r="AS2477" s="1117"/>
      <c r="AT2477" s="1075"/>
      <c r="AU2477" s="1193"/>
      <c r="AV2477" s="330"/>
      <c r="AW2477" s="331"/>
      <c r="AX2477" s="331"/>
      <c r="AY2477" s="331"/>
      <c r="AZ2477" s="331"/>
      <c r="BA2477" s="331"/>
      <c r="BB2477" s="331"/>
      <c r="BC2477" s="331"/>
      <c r="BD2477" s="331"/>
      <c r="BE2477" s="333"/>
      <c r="BF2477" s="330"/>
      <c r="BG2477" s="333"/>
      <c r="BH2477" s="1119"/>
      <c r="BI2477" s="319"/>
      <c r="BJ2477" s="319"/>
      <c r="BK2477" s="319"/>
      <c r="BL2477" s="319"/>
      <c r="BM2477" s="319"/>
      <c r="BN2477" s="319"/>
      <c r="BO2477" s="319"/>
      <c r="BP2477" s="953"/>
      <c r="BQ2477" s="319"/>
      <c r="BR2477" s="319"/>
      <c r="BS2477" s="330"/>
      <c r="BT2477" s="331"/>
      <c r="BU2477" s="920"/>
      <c r="BV2477" s="903"/>
      <c r="BW2477" s="908"/>
      <c r="BX2477" s="908"/>
      <c r="BY2477" s="331"/>
      <c r="BZ2477" s="331"/>
      <c r="CA2477" s="462"/>
      <c r="CB2477" s="319"/>
      <c r="CC2477" s="319"/>
      <c r="CD2477" s="319"/>
      <c r="CE2477" s="319"/>
      <c r="CF2477" s="319"/>
      <c r="CG2477" s="319"/>
      <c r="CH2477" s="318"/>
      <c r="CI2477" s="319"/>
      <c r="CJ2477" s="319"/>
      <c r="CK2477" s="342"/>
      <c r="CL2477" s="333"/>
      <c r="CM2477" s="1079"/>
      <c r="CN2477" s="1005"/>
      <c r="CO2477" s="1005"/>
      <c r="CP2477" s="1005"/>
    </row>
    <row r="2478">
      <c r="A2478" s="1257"/>
      <c r="B2478" s="1113"/>
      <c r="C2478" s="1107"/>
      <c r="D2478" s="103"/>
      <c r="E2478" s="1137"/>
      <c r="F2478" s="112"/>
      <c r="G2478" s="1110"/>
      <c r="H2478" s="1138"/>
      <c r="I2478" s="1138"/>
      <c r="J2478" s="1139"/>
      <c r="K2478" s="1111"/>
      <c r="L2478" s="1112"/>
      <c r="M2478" s="1113"/>
      <c r="N2478" s="110"/>
      <c r="O2478" s="1140"/>
      <c r="P2478" s="1115"/>
      <c r="Q2478" s="1116"/>
      <c r="R2478" s="1141"/>
      <c r="S2478" s="1113"/>
      <c r="T2478" s="1143"/>
      <c r="U2478" s="1108"/>
      <c r="V2478" s="1108"/>
      <c r="W2478" s="1108"/>
      <c r="X2478" s="1108"/>
      <c r="Y2478" s="1108"/>
      <c r="Z2478" s="1114"/>
      <c r="AA2478" s="1114"/>
      <c r="AB2478" s="1114"/>
      <c r="AC2478" s="1117"/>
      <c r="AD2478" s="1115"/>
      <c r="AE2478" s="1115"/>
      <c r="AF2478" s="1115"/>
      <c r="AG2478" s="1115"/>
      <c r="AH2478" s="1115"/>
      <c r="AI2478" s="1115"/>
      <c r="AJ2478" s="1117"/>
      <c r="AK2478" s="1118"/>
      <c r="AL2478" s="1115"/>
      <c r="AM2478" s="1115"/>
      <c r="AN2478" s="1115"/>
      <c r="AO2478" s="1115"/>
      <c r="AP2478" s="1115"/>
      <c r="AQ2478" s="1115"/>
      <c r="AR2478" s="1115"/>
      <c r="AS2478" s="1117"/>
      <c r="AT2478" s="1075"/>
      <c r="AU2478" s="1193"/>
      <c r="AV2478" s="330"/>
      <c r="AW2478" s="331"/>
      <c r="AX2478" s="331"/>
      <c r="AY2478" s="331"/>
      <c r="AZ2478" s="331"/>
      <c r="BA2478" s="331"/>
      <c r="BB2478" s="331"/>
      <c r="BC2478" s="331"/>
      <c r="BD2478" s="331"/>
      <c r="BE2478" s="333"/>
      <c r="BF2478" s="330"/>
      <c r="BG2478" s="333"/>
      <c r="BH2478" s="1119"/>
      <c r="BI2478" s="319"/>
      <c r="BJ2478" s="319"/>
      <c r="BK2478" s="319"/>
      <c r="BL2478" s="319"/>
      <c r="BM2478" s="319"/>
      <c r="BN2478" s="319"/>
      <c r="BO2478" s="319"/>
      <c r="BP2478" s="953"/>
      <c r="BQ2478" s="319"/>
      <c r="BR2478" s="319"/>
      <c r="BS2478" s="330"/>
      <c r="BT2478" s="331"/>
      <c r="BU2478" s="920"/>
      <c r="BV2478" s="903"/>
      <c r="BW2478" s="908"/>
      <c r="BX2478" s="908"/>
      <c r="BY2478" s="331"/>
      <c r="BZ2478" s="331"/>
      <c r="CA2478" s="462"/>
      <c r="CB2478" s="319"/>
      <c r="CC2478" s="319"/>
      <c r="CD2478" s="319"/>
      <c r="CE2478" s="319"/>
      <c r="CF2478" s="319"/>
      <c r="CG2478" s="319"/>
      <c r="CH2478" s="318"/>
      <c r="CI2478" s="319"/>
      <c r="CJ2478" s="319"/>
      <c r="CK2478" s="342"/>
      <c r="CL2478" s="333"/>
      <c r="CM2478" s="1079"/>
      <c r="CN2478" s="1005"/>
      <c r="CO2478" s="1005"/>
      <c r="CP2478" s="1005"/>
    </row>
    <row r="2479">
      <c r="A2479" s="1257"/>
      <c r="B2479" s="1113"/>
      <c r="C2479" s="1107"/>
      <c r="D2479" s="103"/>
      <c r="E2479" s="1137"/>
      <c r="F2479" s="112"/>
      <c r="G2479" s="1110"/>
      <c r="H2479" s="1138"/>
      <c r="I2479" s="1138"/>
      <c r="J2479" s="1139"/>
      <c r="K2479" s="1111"/>
      <c r="L2479" s="1112"/>
      <c r="M2479" s="1113"/>
      <c r="N2479" s="110"/>
      <c r="O2479" s="1140"/>
      <c r="P2479" s="1115"/>
      <c r="Q2479" s="1116"/>
      <c r="R2479" s="1141"/>
      <c r="S2479" s="1113"/>
      <c r="T2479" s="1143"/>
      <c r="U2479" s="1108"/>
      <c r="V2479" s="1108"/>
      <c r="W2479" s="1108"/>
      <c r="X2479" s="1108"/>
      <c r="Y2479" s="1108"/>
      <c r="Z2479" s="1114"/>
      <c r="AA2479" s="1114"/>
      <c r="AB2479" s="1114"/>
      <c r="AC2479" s="1117"/>
      <c r="AD2479" s="1115"/>
      <c r="AE2479" s="1115"/>
      <c r="AF2479" s="1115"/>
      <c r="AG2479" s="1115"/>
      <c r="AH2479" s="1115"/>
      <c r="AI2479" s="1115"/>
      <c r="AJ2479" s="1117"/>
      <c r="AK2479" s="1118"/>
      <c r="AL2479" s="1115"/>
      <c r="AM2479" s="1115"/>
      <c r="AN2479" s="1115"/>
      <c r="AO2479" s="1115"/>
      <c r="AP2479" s="1115"/>
      <c r="AQ2479" s="1115"/>
      <c r="AR2479" s="1115"/>
      <c r="AS2479" s="1117"/>
      <c r="AT2479" s="1075"/>
      <c r="AU2479" s="1193"/>
      <c r="AV2479" s="330"/>
      <c r="AW2479" s="331"/>
      <c r="AX2479" s="331"/>
      <c r="AY2479" s="331"/>
      <c r="AZ2479" s="331"/>
      <c r="BA2479" s="331"/>
      <c r="BB2479" s="331"/>
      <c r="BC2479" s="331"/>
      <c r="BD2479" s="331"/>
      <c r="BE2479" s="333"/>
      <c r="BF2479" s="330"/>
      <c r="BG2479" s="333"/>
      <c r="BH2479" s="1119"/>
      <c r="BI2479" s="319"/>
      <c r="BJ2479" s="319"/>
      <c r="BK2479" s="319"/>
      <c r="BL2479" s="319"/>
      <c r="BM2479" s="319"/>
      <c r="BN2479" s="319"/>
      <c r="BO2479" s="319"/>
      <c r="BP2479" s="953"/>
      <c r="BQ2479" s="319"/>
      <c r="BR2479" s="319"/>
      <c r="BS2479" s="330"/>
      <c r="BT2479" s="331"/>
      <c r="BU2479" s="920"/>
      <c r="BV2479" s="903"/>
      <c r="BW2479" s="908"/>
      <c r="BX2479" s="908"/>
      <c r="BY2479" s="331"/>
      <c r="BZ2479" s="331"/>
      <c r="CA2479" s="462"/>
      <c r="CB2479" s="319"/>
      <c r="CC2479" s="319"/>
      <c r="CD2479" s="319"/>
      <c r="CE2479" s="319"/>
      <c r="CF2479" s="319"/>
      <c r="CG2479" s="319"/>
      <c r="CH2479" s="318"/>
      <c r="CI2479" s="319"/>
      <c r="CJ2479" s="319"/>
      <c r="CK2479" s="342"/>
      <c r="CL2479" s="333"/>
      <c r="CM2479" s="1079"/>
      <c r="CN2479" s="1005"/>
      <c r="CO2479" s="1005"/>
      <c r="CP2479" s="1005"/>
    </row>
    <row r="2480">
      <c r="A2480" s="1257"/>
      <c r="B2480" s="1113"/>
      <c r="C2480" s="1107"/>
      <c r="D2480" s="103"/>
      <c r="E2480" s="1137"/>
      <c r="F2480" s="112"/>
      <c r="G2480" s="1110"/>
      <c r="H2480" s="1138"/>
      <c r="I2480" s="1138"/>
      <c r="J2480" s="1139"/>
      <c r="K2480" s="1111"/>
      <c r="L2480" s="1112"/>
      <c r="M2480" s="1113"/>
      <c r="N2480" s="110"/>
      <c r="O2480" s="1140"/>
      <c r="P2480" s="1115"/>
      <c r="Q2480" s="1116"/>
      <c r="R2480" s="1141"/>
      <c r="S2480" s="1113"/>
      <c r="T2480" s="1143"/>
      <c r="U2480" s="1108"/>
      <c r="V2480" s="1108"/>
      <c r="W2480" s="1108"/>
      <c r="X2480" s="1108"/>
      <c r="Y2480" s="1108"/>
      <c r="Z2480" s="1114"/>
      <c r="AA2480" s="1114"/>
      <c r="AB2480" s="1114"/>
      <c r="AC2480" s="1117"/>
      <c r="AD2480" s="1115"/>
      <c r="AE2480" s="1115"/>
      <c r="AF2480" s="1115"/>
      <c r="AG2480" s="1115"/>
      <c r="AH2480" s="1115"/>
      <c r="AI2480" s="1115"/>
      <c r="AJ2480" s="1117"/>
      <c r="AK2480" s="1118"/>
      <c r="AL2480" s="1115"/>
      <c r="AM2480" s="1115"/>
      <c r="AN2480" s="1115"/>
      <c r="AO2480" s="1115"/>
      <c r="AP2480" s="1115"/>
      <c r="AQ2480" s="1115"/>
      <c r="AR2480" s="1115"/>
      <c r="AS2480" s="1117"/>
      <c r="AT2480" s="1075"/>
      <c r="AU2480" s="1193"/>
      <c r="AV2480" s="330"/>
      <c r="AW2480" s="331"/>
      <c r="AX2480" s="331"/>
      <c r="AY2480" s="331"/>
      <c r="AZ2480" s="331"/>
      <c r="BA2480" s="331"/>
      <c r="BB2480" s="331"/>
      <c r="BC2480" s="331"/>
      <c r="BD2480" s="331"/>
      <c r="BE2480" s="333"/>
      <c r="BF2480" s="330"/>
      <c r="BG2480" s="333"/>
      <c r="BH2480" s="1119"/>
      <c r="BI2480" s="319"/>
      <c r="BJ2480" s="319"/>
      <c r="BK2480" s="319"/>
      <c r="BL2480" s="319"/>
      <c r="BM2480" s="319"/>
      <c r="BN2480" s="319"/>
      <c r="BO2480" s="319"/>
      <c r="BP2480" s="953"/>
      <c r="BQ2480" s="319"/>
      <c r="BR2480" s="319"/>
      <c r="BS2480" s="330"/>
      <c r="BT2480" s="331"/>
      <c r="BU2480" s="920"/>
      <c r="BV2480" s="903"/>
      <c r="BW2480" s="908"/>
      <c r="BX2480" s="908"/>
      <c r="BY2480" s="331"/>
      <c r="BZ2480" s="331"/>
      <c r="CA2480" s="462"/>
      <c r="CB2480" s="319"/>
      <c r="CC2480" s="319"/>
      <c r="CD2480" s="319"/>
      <c r="CE2480" s="319"/>
      <c r="CF2480" s="319"/>
      <c r="CG2480" s="319"/>
      <c r="CH2480" s="318"/>
      <c r="CI2480" s="319"/>
      <c r="CJ2480" s="319"/>
      <c r="CK2480" s="342"/>
      <c r="CL2480" s="333"/>
      <c r="CM2480" s="1079"/>
      <c r="CN2480" s="1005"/>
      <c r="CO2480" s="1005"/>
      <c r="CP2480" s="1005"/>
    </row>
    <row r="2481">
      <c r="A2481" s="1257"/>
      <c r="B2481" s="1113"/>
      <c r="C2481" s="1107"/>
      <c r="D2481" s="103"/>
      <c r="E2481" s="1137"/>
      <c r="F2481" s="112"/>
      <c r="G2481" s="1110"/>
      <c r="H2481" s="1138"/>
      <c r="I2481" s="1138"/>
      <c r="J2481" s="1139"/>
      <c r="K2481" s="1111"/>
      <c r="L2481" s="1112"/>
      <c r="M2481" s="1113"/>
      <c r="N2481" s="110"/>
      <c r="O2481" s="1140"/>
      <c r="P2481" s="1115"/>
      <c r="Q2481" s="1116"/>
      <c r="R2481" s="1141"/>
      <c r="S2481" s="1113"/>
      <c r="T2481" s="1143"/>
      <c r="U2481" s="1108"/>
      <c r="V2481" s="1108"/>
      <c r="W2481" s="1108"/>
      <c r="X2481" s="1108"/>
      <c r="Y2481" s="1108"/>
      <c r="Z2481" s="1114"/>
      <c r="AA2481" s="1114"/>
      <c r="AB2481" s="1114"/>
      <c r="AC2481" s="1117"/>
      <c r="AD2481" s="1115"/>
      <c r="AE2481" s="1115"/>
      <c r="AF2481" s="1115"/>
      <c r="AG2481" s="1115"/>
      <c r="AH2481" s="1115"/>
      <c r="AI2481" s="1115"/>
      <c r="AJ2481" s="1117"/>
      <c r="AK2481" s="1118"/>
      <c r="AL2481" s="1115"/>
      <c r="AM2481" s="1115"/>
      <c r="AN2481" s="1115"/>
      <c r="AO2481" s="1115"/>
      <c r="AP2481" s="1115"/>
      <c r="AQ2481" s="1115"/>
      <c r="AR2481" s="1115"/>
      <c r="AS2481" s="1117"/>
      <c r="AT2481" s="1075"/>
      <c r="AU2481" s="1193"/>
      <c r="AV2481" s="330"/>
      <c r="AW2481" s="331"/>
      <c r="AX2481" s="331"/>
      <c r="AY2481" s="331"/>
      <c r="AZ2481" s="331"/>
      <c r="BA2481" s="331"/>
      <c r="BB2481" s="331"/>
      <c r="BC2481" s="331"/>
      <c r="BD2481" s="331"/>
      <c r="BE2481" s="333"/>
      <c r="BF2481" s="330"/>
      <c r="BG2481" s="333"/>
      <c r="BH2481" s="1119"/>
      <c r="BI2481" s="319"/>
      <c r="BJ2481" s="319"/>
      <c r="BK2481" s="319"/>
      <c r="BL2481" s="319"/>
      <c r="BM2481" s="319"/>
      <c r="BN2481" s="319"/>
      <c r="BO2481" s="319"/>
      <c r="BP2481" s="953"/>
      <c r="BQ2481" s="319"/>
      <c r="BR2481" s="319"/>
      <c r="BS2481" s="330"/>
      <c r="BT2481" s="331"/>
      <c r="BU2481" s="920"/>
      <c r="BV2481" s="903"/>
      <c r="BW2481" s="908"/>
      <c r="BX2481" s="908"/>
      <c r="BY2481" s="331"/>
      <c r="BZ2481" s="331"/>
      <c r="CA2481" s="462"/>
      <c r="CB2481" s="319"/>
      <c r="CC2481" s="319"/>
      <c r="CD2481" s="319"/>
      <c r="CE2481" s="319"/>
      <c r="CF2481" s="319"/>
      <c r="CG2481" s="319"/>
      <c r="CH2481" s="318"/>
      <c r="CI2481" s="319"/>
      <c r="CJ2481" s="319"/>
      <c r="CK2481" s="342"/>
      <c r="CL2481" s="333"/>
      <c r="CM2481" s="1079"/>
      <c r="CN2481" s="1005"/>
      <c r="CO2481" s="1005"/>
      <c r="CP2481" s="1005"/>
    </row>
    <row r="2482">
      <c r="A2482" s="1257"/>
      <c r="B2482" s="1113"/>
      <c r="C2482" s="1107"/>
      <c r="D2482" s="103"/>
      <c r="E2482" s="1137"/>
      <c r="F2482" s="112"/>
      <c r="G2482" s="1110"/>
      <c r="H2482" s="1138"/>
      <c r="I2482" s="1138"/>
      <c r="J2482" s="1139"/>
      <c r="K2482" s="1111"/>
      <c r="L2482" s="1112"/>
      <c r="M2482" s="1113"/>
      <c r="N2482" s="110"/>
      <c r="O2482" s="1140"/>
      <c r="P2482" s="1115"/>
      <c r="Q2482" s="1116"/>
      <c r="R2482" s="1141"/>
      <c r="S2482" s="1113"/>
      <c r="T2482" s="1143"/>
      <c r="U2482" s="1108"/>
      <c r="V2482" s="1108"/>
      <c r="W2482" s="1108"/>
      <c r="X2482" s="1108"/>
      <c r="Y2482" s="1108"/>
      <c r="Z2482" s="1114"/>
      <c r="AA2482" s="1114"/>
      <c r="AB2482" s="1114"/>
      <c r="AC2482" s="1117"/>
      <c r="AD2482" s="1115"/>
      <c r="AE2482" s="1115"/>
      <c r="AF2482" s="1115"/>
      <c r="AG2482" s="1115"/>
      <c r="AH2482" s="1115"/>
      <c r="AI2482" s="1115"/>
      <c r="AJ2482" s="1117"/>
      <c r="AK2482" s="1118"/>
      <c r="AL2482" s="1115"/>
      <c r="AM2482" s="1115"/>
      <c r="AN2482" s="1115"/>
      <c r="AO2482" s="1115"/>
      <c r="AP2482" s="1115"/>
      <c r="AQ2482" s="1115"/>
      <c r="AR2482" s="1115"/>
      <c r="AS2482" s="1117"/>
      <c r="AT2482" s="1075"/>
      <c r="AU2482" s="1193"/>
      <c r="AV2482" s="330"/>
      <c r="AW2482" s="331"/>
      <c r="AX2482" s="331"/>
      <c r="AY2482" s="331"/>
      <c r="AZ2482" s="331"/>
      <c r="BA2482" s="331"/>
      <c r="BB2482" s="331"/>
      <c r="BC2482" s="331"/>
      <c r="BD2482" s="331"/>
      <c r="BE2482" s="333"/>
      <c r="BF2482" s="330"/>
      <c r="BG2482" s="333"/>
      <c r="BH2482" s="1119"/>
      <c r="BI2482" s="319"/>
      <c r="BJ2482" s="319"/>
      <c r="BK2482" s="319"/>
      <c r="BL2482" s="319"/>
      <c r="BM2482" s="319"/>
      <c r="BN2482" s="319"/>
      <c r="BO2482" s="319"/>
      <c r="BP2482" s="953"/>
      <c r="BQ2482" s="319"/>
      <c r="BR2482" s="319"/>
      <c r="BS2482" s="330"/>
      <c r="BT2482" s="331"/>
      <c r="BU2482" s="920"/>
      <c r="BV2482" s="903"/>
      <c r="BW2482" s="908"/>
      <c r="BX2482" s="908"/>
      <c r="BY2482" s="331"/>
      <c r="BZ2482" s="331"/>
      <c r="CA2482" s="462"/>
      <c r="CB2482" s="319"/>
      <c r="CC2482" s="319"/>
      <c r="CD2482" s="319"/>
      <c r="CE2482" s="319"/>
      <c r="CF2482" s="319"/>
      <c r="CG2482" s="319"/>
      <c r="CH2482" s="318"/>
      <c r="CI2482" s="319"/>
      <c r="CJ2482" s="319"/>
      <c r="CK2482" s="342"/>
      <c r="CL2482" s="333"/>
      <c r="CM2482" s="1079"/>
      <c r="CN2482" s="1005"/>
      <c r="CO2482" s="1005"/>
      <c r="CP2482" s="1005"/>
    </row>
    <row r="2483">
      <c r="A2483" s="1257"/>
      <c r="B2483" s="1113"/>
      <c r="C2483" s="1107"/>
      <c r="D2483" s="103"/>
      <c r="E2483" s="1137"/>
      <c r="F2483" s="112"/>
      <c r="G2483" s="1110"/>
      <c r="H2483" s="1138"/>
      <c r="I2483" s="1138"/>
      <c r="J2483" s="1139"/>
      <c r="K2483" s="1111"/>
      <c r="L2483" s="1112"/>
      <c r="M2483" s="1113"/>
      <c r="N2483" s="110"/>
      <c r="O2483" s="1140"/>
      <c r="P2483" s="1115"/>
      <c r="Q2483" s="1116"/>
      <c r="R2483" s="1141"/>
      <c r="S2483" s="1113"/>
      <c r="T2483" s="1143"/>
      <c r="U2483" s="1108"/>
      <c r="V2483" s="1108"/>
      <c r="W2483" s="1108"/>
      <c r="X2483" s="1108"/>
      <c r="Y2483" s="1108"/>
      <c r="Z2483" s="1114"/>
      <c r="AA2483" s="1114"/>
      <c r="AB2483" s="1114"/>
      <c r="AC2483" s="1117"/>
      <c r="AD2483" s="1115"/>
      <c r="AE2483" s="1115"/>
      <c r="AF2483" s="1115"/>
      <c r="AG2483" s="1115"/>
      <c r="AH2483" s="1115"/>
      <c r="AI2483" s="1115"/>
      <c r="AJ2483" s="1117"/>
      <c r="AK2483" s="1118"/>
      <c r="AL2483" s="1115"/>
      <c r="AM2483" s="1115"/>
      <c r="AN2483" s="1115"/>
      <c r="AO2483" s="1115"/>
      <c r="AP2483" s="1115"/>
      <c r="AQ2483" s="1115"/>
      <c r="AR2483" s="1115"/>
      <c r="AS2483" s="1117"/>
      <c r="AT2483" s="1075"/>
      <c r="AU2483" s="1193"/>
      <c r="AV2483" s="330"/>
      <c r="AW2483" s="331"/>
      <c r="AX2483" s="331"/>
      <c r="AY2483" s="331"/>
      <c r="AZ2483" s="331"/>
      <c r="BA2483" s="331"/>
      <c r="BB2483" s="331"/>
      <c r="BC2483" s="331"/>
      <c r="BD2483" s="331"/>
      <c r="BE2483" s="333"/>
      <c r="BF2483" s="330"/>
      <c r="BG2483" s="333"/>
      <c r="BH2483" s="1119"/>
      <c r="BI2483" s="319"/>
      <c r="BJ2483" s="319"/>
      <c r="BK2483" s="319"/>
      <c r="BL2483" s="319"/>
      <c r="BM2483" s="319"/>
      <c r="BN2483" s="319"/>
      <c r="BO2483" s="319"/>
      <c r="BP2483" s="953"/>
      <c r="BQ2483" s="319"/>
      <c r="BR2483" s="319"/>
      <c r="BS2483" s="330"/>
      <c r="BT2483" s="331"/>
      <c r="BU2483" s="920"/>
      <c r="BV2483" s="903"/>
      <c r="BW2483" s="908"/>
      <c r="BX2483" s="908"/>
      <c r="BY2483" s="331"/>
      <c r="BZ2483" s="331"/>
      <c r="CA2483" s="462"/>
      <c r="CB2483" s="319"/>
      <c r="CC2483" s="319"/>
      <c r="CD2483" s="319"/>
      <c r="CE2483" s="319"/>
      <c r="CF2483" s="319"/>
      <c r="CG2483" s="319"/>
      <c r="CH2483" s="318"/>
      <c r="CI2483" s="319"/>
      <c r="CJ2483" s="319"/>
      <c r="CK2483" s="342"/>
      <c r="CL2483" s="333"/>
      <c r="CM2483" s="1079"/>
      <c r="CN2483" s="1005"/>
      <c r="CO2483" s="1005"/>
      <c r="CP2483" s="1005"/>
    </row>
    <row r="2484">
      <c r="A2484" s="1257"/>
      <c r="B2484" s="1113"/>
      <c r="C2484" s="1107"/>
      <c r="D2484" s="103"/>
      <c r="E2484" s="1137"/>
      <c r="F2484" s="112"/>
      <c r="G2484" s="1110"/>
      <c r="H2484" s="1138"/>
      <c r="I2484" s="1138"/>
      <c r="J2484" s="1139"/>
      <c r="K2484" s="1111"/>
      <c r="L2484" s="1112"/>
      <c r="M2484" s="1113"/>
      <c r="N2484" s="110"/>
      <c r="O2484" s="1140"/>
      <c r="P2484" s="1115"/>
      <c r="Q2484" s="1116"/>
      <c r="R2484" s="1141"/>
      <c r="S2484" s="1113"/>
      <c r="T2484" s="1143"/>
      <c r="U2484" s="1108"/>
      <c r="V2484" s="1108"/>
      <c r="W2484" s="1108"/>
      <c r="X2484" s="1108"/>
      <c r="Y2484" s="1108"/>
      <c r="Z2484" s="1114"/>
      <c r="AA2484" s="1114"/>
      <c r="AB2484" s="1114"/>
      <c r="AC2484" s="1117"/>
      <c r="AD2484" s="1115"/>
      <c r="AE2484" s="1115"/>
      <c r="AF2484" s="1115"/>
      <c r="AG2484" s="1115"/>
      <c r="AH2484" s="1115"/>
      <c r="AI2484" s="1115"/>
      <c r="AJ2484" s="1117"/>
      <c r="AK2484" s="1118"/>
      <c r="AL2484" s="1115"/>
      <c r="AM2484" s="1115"/>
      <c r="AN2484" s="1115"/>
      <c r="AO2484" s="1115"/>
      <c r="AP2484" s="1115"/>
      <c r="AQ2484" s="1115"/>
      <c r="AR2484" s="1115"/>
      <c r="AS2484" s="1117"/>
      <c r="AT2484" s="1075"/>
      <c r="AU2484" s="1193"/>
      <c r="AV2484" s="330"/>
      <c r="AW2484" s="331"/>
      <c r="AX2484" s="331"/>
      <c r="AY2484" s="331"/>
      <c r="AZ2484" s="331"/>
      <c r="BA2484" s="331"/>
      <c r="BB2484" s="331"/>
      <c r="BC2484" s="331"/>
      <c r="BD2484" s="331"/>
      <c r="BE2484" s="333"/>
      <c r="BF2484" s="330"/>
      <c r="BG2484" s="333"/>
      <c r="BH2484" s="1119"/>
      <c r="BI2484" s="319"/>
      <c r="BJ2484" s="319"/>
      <c r="BK2484" s="319"/>
      <c r="BL2484" s="319"/>
      <c r="BM2484" s="319"/>
      <c r="BN2484" s="319"/>
      <c r="BO2484" s="319"/>
      <c r="BP2484" s="953"/>
      <c r="BQ2484" s="319"/>
      <c r="BR2484" s="319"/>
      <c r="BS2484" s="330"/>
      <c r="BT2484" s="331"/>
      <c r="BU2484" s="920"/>
      <c r="BV2484" s="903"/>
      <c r="BW2484" s="908"/>
      <c r="BX2484" s="908"/>
      <c r="BY2484" s="331"/>
      <c r="BZ2484" s="331"/>
      <c r="CA2484" s="462"/>
      <c r="CB2484" s="319"/>
      <c r="CC2484" s="319"/>
      <c r="CD2484" s="319"/>
      <c r="CE2484" s="319"/>
      <c r="CF2484" s="319"/>
      <c r="CG2484" s="319"/>
      <c r="CH2484" s="318"/>
      <c r="CI2484" s="319"/>
      <c r="CJ2484" s="319"/>
      <c r="CK2484" s="342"/>
      <c r="CL2484" s="333"/>
      <c r="CM2484" s="1079"/>
      <c r="CN2484" s="1005"/>
      <c r="CO2484" s="1005"/>
      <c r="CP2484" s="1005"/>
    </row>
    <row r="2485">
      <c r="A2485" s="1257"/>
      <c r="B2485" s="1113"/>
      <c r="C2485" s="1107"/>
      <c r="D2485" s="103"/>
      <c r="E2485" s="1137"/>
      <c r="F2485" s="112"/>
      <c r="G2485" s="1110"/>
      <c r="H2485" s="1138"/>
      <c r="I2485" s="1138"/>
      <c r="J2485" s="1139"/>
      <c r="K2485" s="1111"/>
      <c r="L2485" s="1112"/>
      <c r="M2485" s="1113"/>
      <c r="N2485" s="110"/>
      <c r="O2485" s="1140"/>
      <c r="P2485" s="1115"/>
      <c r="Q2485" s="1116"/>
      <c r="R2485" s="1141"/>
      <c r="S2485" s="1113"/>
      <c r="T2485" s="1143"/>
      <c r="U2485" s="1108"/>
      <c r="V2485" s="1108"/>
      <c r="W2485" s="1108"/>
      <c r="X2485" s="1108"/>
      <c r="Y2485" s="1108"/>
      <c r="Z2485" s="1114"/>
      <c r="AA2485" s="1114"/>
      <c r="AB2485" s="1114"/>
      <c r="AC2485" s="1117"/>
      <c r="AD2485" s="1115"/>
      <c r="AE2485" s="1115"/>
      <c r="AF2485" s="1115"/>
      <c r="AG2485" s="1115"/>
      <c r="AH2485" s="1115"/>
      <c r="AI2485" s="1115"/>
      <c r="AJ2485" s="1117"/>
      <c r="AK2485" s="1118"/>
      <c r="AL2485" s="1115"/>
      <c r="AM2485" s="1115"/>
      <c r="AN2485" s="1115"/>
      <c r="AO2485" s="1115"/>
      <c r="AP2485" s="1115"/>
      <c r="AQ2485" s="1115"/>
      <c r="AR2485" s="1115"/>
      <c r="AS2485" s="1117"/>
      <c r="AT2485" s="1075"/>
      <c r="AU2485" s="1193"/>
      <c r="AV2485" s="330"/>
      <c r="AW2485" s="331"/>
      <c r="AX2485" s="331"/>
      <c r="AY2485" s="331"/>
      <c r="AZ2485" s="331"/>
      <c r="BA2485" s="331"/>
      <c r="BB2485" s="331"/>
      <c r="BC2485" s="331"/>
      <c r="BD2485" s="331"/>
      <c r="BE2485" s="333"/>
      <c r="BF2485" s="330"/>
      <c r="BG2485" s="333"/>
      <c r="BH2485" s="1119"/>
      <c r="BI2485" s="319"/>
      <c r="BJ2485" s="319"/>
      <c r="BK2485" s="319"/>
      <c r="BL2485" s="319"/>
      <c r="BM2485" s="319"/>
      <c r="BN2485" s="319"/>
      <c r="BO2485" s="319"/>
      <c r="BP2485" s="953"/>
      <c r="BQ2485" s="319"/>
      <c r="BR2485" s="319"/>
      <c r="BS2485" s="330"/>
      <c r="BT2485" s="331"/>
      <c r="BU2485" s="920"/>
      <c r="BV2485" s="903"/>
      <c r="BW2485" s="908"/>
      <c r="BX2485" s="908"/>
      <c r="BY2485" s="331"/>
      <c r="BZ2485" s="331"/>
      <c r="CA2485" s="462"/>
      <c r="CB2485" s="319"/>
      <c r="CC2485" s="319"/>
      <c r="CD2485" s="319"/>
      <c r="CE2485" s="319"/>
      <c r="CF2485" s="319"/>
      <c r="CG2485" s="319"/>
      <c r="CH2485" s="318"/>
      <c r="CI2485" s="319"/>
      <c r="CJ2485" s="319"/>
      <c r="CK2485" s="342"/>
      <c r="CL2485" s="333"/>
      <c r="CM2485" s="1079"/>
      <c r="CN2485" s="1005"/>
      <c r="CO2485" s="1005"/>
      <c r="CP2485" s="1005"/>
    </row>
    <row r="2486">
      <c r="A2486" s="1257"/>
      <c r="B2486" s="1113"/>
      <c r="C2486" s="1107"/>
      <c r="D2486" s="103"/>
      <c r="E2486" s="1137"/>
      <c r="F2486" s="112"/>
      <c r="G2486" s="1110"/>
      <c r="H2486" s="1138"/>
      <c r="I2486" s="1138"/>
      <c r="J2486" s="1139"/>
      <c r="K2486" s="1111"/>
      <c r="L2486" s="1112"/>
      <c r="M2486" s="1113"/>
      <c r="N2486" s="110"/>
      <c r="O2486" s="1140"/>
      <c r="P2486" s="1115"/>
      <c r="Q2486" s="1116"/>
      <c r="R2486" s="1141"/>
      <c r="S2486" s="1113"/>
      <c r="T2486" s="1143"/>
      <c r="U2486" s="1108"/>
      <c r="V2486" s="1108"/>
      <c r="W2486" s="1108"/>
      <c r="X2486" s="1108"/>
      <c r="Y2486" s="1108"/>
      <c r="Z2486" s="1114"/>
      <c r="AA2486" s="1114"/>
      <c r="AB2486" s="1114"/>
      <c r="AC2486" s="1117"/>
      <c r="AD2486" s="1115"/>
      <c r="AE2486" s="1115"/>
      <c r="AF2486" s="1115"/>
      <c r="AG2486" s="1115"/>
      <c r="AH2486" s="1115"/>
      <c r="AI2486" s="1115"/>
      <c r="AJ2486" s="1117"/>
      <c r="AK2486" s="1118"/>
      <c r="AL2486" s="1115"/>
      <c r="AM2486" s="1115"/>
      <c r="AN2486" s="1115"/>
      <c r="AO2486" s="1115"/>
      <c r="AP2486" s="1115"/>
      <c r="AQ2486" s="1115"/>
      <c r="AR2486" s="1115"/>
      <c r="AS2486" s="1117"/>
      <c r="AT2486" s="1075"/>
      <c r="AU2486" s="1193"/>
      <c r="AV2486" s="330"/>
      <c r="AW2486" s="331"/>
      <c r="AX2486" s="331"/>
      <c r="AY2486" s="331"/>
      <c r="AZ2486" s="331"/>
      <c r="BA2486" s="331"/>
      <c r="BB2486" s="331"/>
      <c r="BC2486" s="331"/>
      <c r="BD2486" s="331"/>
      <c r="BE2486" s="333"/>
      <c r="BF2486" s="330"/>
      <c r="BG2486" s="333"/>
      <c r="BH2486" s="1119"/>
      <c r="BI2486" s="319"/>
      <c r="BJ2486" s="319"/>
      <c r="BK2486" s="319"/>
      <c r="BL2486" s="319"/>
      <c r="BM2486" s="319"/>
      <c r="BN2486" s="319"/>
      <c r="BO2486" s="319"/>
      <c r="BP2486" s="953"/>
      <c r="BQ2486" s="319"/>
      <c r="BR2486" s="319"/>
      <c r="BS2486" s="330"/>
      <c r="BT2486" s="331"/>
      <c r="BU2486" s="920"/>
      <c r="BV2486" s="903"/>
      <c r="BW2486" s="908"/>
      <c r="BX2486" s="908"/>
      <c r="BY2486" s="331"/>
      <c r="BZ2486" s="331"/>
      <c r="CA2486" s="462"/>
      <c r="CB2486" s="319"/>
      <c r="CC2486" s="319"/>
      <c r="CD2486" s="319"/>
      <c r="CE2486" s="319"/>
      <c r="CF2486" s="319"/>
      <c r="CG2486" s="319"/>
      <c r="CH2486" s="318"/>
      <c r="CI2486" s="319"/>
      <c r="CJ2486" s="319"/>
      <c r="CK2486" s="342"/>
      <c r="CL2486" s="333"/>
      <c r="CM2486" s="1079"/>
      <c r="CN2486" s="1005"/>
      <c r="CO2486" s="1005"/>
      <c r="CP2486" s="1005"/>
    </row>
    <row r="2487">
      <c r="A2487" s="1257"/>
      <c r="B2487" s="1113"/>
      <c r="C2487" s="1107"/>
      <c r="D2487" s="103"/>
      <c r="E2487" s="1137"/>
      <c r="F2487" s="112"/>
      <c r="G2487" s="1110"/>
      <c r="H2487" s="1138"/>
      <c r="I2487" s="1138"/>
      <c r="J2487" s="1139"/>
      <c r="K2487" s="1111"/>
      <c r="L2487" s="1112"/>
      <c r="M2487" s="1113"/>
      <c r="N2487" s="110"/>
      <c r="O2487" s="1140"/>
      <c r="P2487" s="1115"/>
      <c r="Q2487" s="1116"/>
      <c r="R2487" s="1141"/>
      <c r="S2487" s="1113"/>
      <c r="T2487" s="1143"/>
      <c r="U2487" s="1108"/>
      <c r="V2487" s="1108"/>
      <c r="W2487" s="1108"/>
      <c r="X2487" s="1108"/>
      <c r="Y2487" s="1108"/>
      <c r="Z2487" s="1114"/>
      <c r="AA2487" s="1114"/>
      <c r="AB2487" s="1114"/>
      <c r="AC2487" s="1117"/>
      <c r="AD2487" s="1115"/>
      <c r="AE2487" s="1115"/>
      <c r="AF2487" s="1115"/>
      <c r="AG2487" s="1115"/>
      <c r="AH2487" s="1115"/>
      <c r="AI2487" s="1115"/>
      <c r="AJ2487" s="1117"/>
      <c r="AK2487" s="1118"/>
      <c r="AL2487" s="1115"/>
      <c r="AM2487" s="1115"/>
      <c r="AN2487" s="1115"/>
      <c r="AO2487" s="1115"/>
      <c r="AP2487" s="1115"/>
      <c r="AQ2487" s="1115"/>
      <c r="AR2487" s="1115"/>
      <c r="AS2487" s="1117"/>
      <c r="AT2487" s="1075"/>
      <c r="AU2487" s="1193"/>
      <c r="AV2487" s="330"/>
      <c r="AW2487" s="331"/>
      <c r="AX2487" s="331"/>
      <c r="AY2487" s="331"/>
      <c r="AZ2487" s="331"/>
      <c r="BA2487" s="331"/>
      <c r="BB2487" s="331"/>
      <c r="BC2487" s="331"/>
      <c r="BD2487" s="331"/>
      <c r="BE2487" s="333"/>
      <c r="BF2487" s="330"/>
      <c r="BG2487" s="333"/>
      <c r="BH2487" s="1119"/>
      <c r="BI2487" s="319"/>
      <c r="BJ2487" s="319"/>
      <c r="BK2487" s="319"/>
      <c r="BL2487" s="319"/>
      <c r="BM2487" s="319"/>
      <c r="BN2487" s="319"/>
      <c r="BO2487" s="319"/>
      <c r="BP2487" s="953"/>
      <c r="BQ2487" s="319"/>
      <c r="BR2487" s="319"/>
      <c r="BS2487" s="330"/>
      <c r="BT2487" s="331"/>
      <c r="BU2487" s="920"/>
      <c r="BV2487" s="903"/>
      <c r="BW2487" s="908"/>
      <c r="BX2487" s="908"/>
      <c r="BY2487" s="331"/>
      <c r="BZ2487" s="331"/>
      <c r="CA2487" s="462"/>
      <c r="CB2487" s="319"/>
      <c r="CC2487" s="319"/>
      <c r="CD2487" s="319"/>
      <c r="CE2487" s="319"/>
      <c r="CF2487" s="319"/>
      <c r="CG2487" s="319"/>
      <c r="CH2487" s="318"/>
      <c r="CI2487" s="319"/>
      <c r="CJ2487" s="319"/>
      <c r="CK2487" s="342"/>
      <c r="CL2487" s="333"/>
      <c r="CM2487" s="1079"/>
      <c r="CN2487" s="1005"/>
      <c r="CO2487" s="1005"/>
      <c r="CP2487" s="1005"/>
    </row>
    <row r="2488">
      <c r="A2488" s="1257"/>
      <c r="B2488" s="1113"/>
      <c r="C2488" s="1107"/>
      <c r="D2488" s="103"/>
      <c r="E2488" s="1137"/>
      <c r="F2488" s="112"/>
      <c r="G2488" s="1110"/>
      <c r="H2488" s="1138"/>
      <c r="I2488" s="1138"/>
      <c r="J2488" s="1139"/>
      <c r="K2488" s="1111"/>
      <c r="L2488" s="1112"/>
      <c r="M2488" s="1113"/>
      <c r="N2488" s="110"/>
      <c r="O2488" s="1140"/>
      <c r="P2488" s="1115"/>
      <c r="Q2488" s="1116"/>
      <c r="R2488" s="1141"/>
      <c r="S2488" s="1113"/>
      <c r="T2488" s="1143"/>
      <c r="U2488" s="1108"/>
      <c r="V2488" s="1108"/>
      <c r="W2488" s="1108"/>
      <c r="X2488" s="1108"/>
      <c r="Y2488" s="1108"/>
      <c r="Z2488" s="1114"/>
      <c r="AA2488" s="1114"/>
      <c r="AB2488" s="1114"/>
      <c r="AC2488" s="1117"/>
      <c r="AD2488" s="1115"/>
      <c r="AE2488" s="1115"/>
      <c r="AF2488" s="1115"/>
      <c r="AG2488" s="1115"/>
      <c r="AH2488" s="1115"/>
      <c r="AI2488" s="1115"/>
      <c r="AJ2488" s="1117"/>
      <c r="AK2488" s="1118"/>
      <c r="AL2488" s="1115"/>
      <c r="AM2488" s="1115"/>
      <c r="AN2488" s="1115"/>
      <c r="AO2488" s="1115"/>
      <c r="AP2488" s="1115"/>
      <c r="AQ2488" s="1115"/>
      <c r="AR2488" s="1115"/>
      <c r="AS2488" s="1117"/>
      <c r="AT2488" s="1075"/>
      <c r="AU2488" s="1193"/>
      <c r="AV2488" s="330"/>
      <c r="AW2488" s="331"/>
      <c r="AX2488" s="331"/>
      <c r="AY2488" s="331"/>
      <c r="AZ2488" s="331"/>
      <c r="BA2488" s="331"/>
      <c r="BB2488" s="331"/>
      <c r="BC2488" s="331"/>
      <c r="BD2488" s="331"/>
      <c r="BE2488" s="333"/>
      <c r="BF2488" s="330"/>
      <c r="BG2488" s="333"/>
      <c r="BH2488" s="1119"/>
      <c r="BI2488" s="319"/>
      <c r="BJ2488" s="319"/>
      <c r="BK2488" s="319"/>
      <c r="BL2488" s="319"/>
      <c r="BM2488" s="319"/>
      <c r="BN2488" s="319"/>
      <c r="BO2488" s="319"/>
      <c r="BP2488" s="953"/>
      <c r="BQ2488" s="319"/>
      <c r="BR2488" s="319"/>
      <c r="BS2488" s="330"/>
      <c r="BT2488" s="331"/>
      <c r="BU2488" s="920"/>
      <c r="BV2488" s="903"/>
      <c r="BW2488" s="908"/>
      <c r="BX2488" s="908"/>
      <c r="BY2488" s="331"/>
      <c r="BZ2488" s="331"/>
      <c r="CA2488" s="462"/>
      <c r="CB2488" s="319"/>
      <c r="CC2488" s="319"/>
      <c r="CD2488" s="319"/>
      <c r="CE2488" s="319"/>
      <c r="CF2488" s="319"/>
      <c r="CG2488" s="319"/>
      <c r="CH2488" s="318"/>
      <c r="CI2488" s="319"/>
      <c r="CJ2488" s="319"/>
      <c r="CK2488" s="342"/>
      <c r="CL2488" s="333"/>
      <c r="CM2488" s="1079"/>
      <c r="CN2488" s="1005"/>
      <c r="CO2488" s="1005"/>
      <c r="CP2488" s="1005"/>
    </row>
    <row r="2489">
      <c r="A2489" s="1257"/>
      <c r="B2489" s="1113"/>
      <c r="C2489" s="1107"/>
      <c r="D2489" s="103"/>
      <c r="E2489" s="1137"/>
      <c r="F2489" s="112"/>
      <c r="G2489" s="1110"/>
      <c r="H2489" s="1138"/>
      <c r="I2489" s="1138"/>
      <c r="J2489" s="1139"/>
      <c r="K2489" s="1111"/>
      <c r="L2489" s="1112"/>
      <c r="M2489" s="1113"/>
      <c r="N2489" s="110"/>
      <c r="O2489" s="1140"/>
      <c r="P2489" s="1115"/>
      <c r="Q2489" s="1116"/>
      <c r="R2489" s="1141"/>
      <c r="S2489" s="1113"/>
      <c r="T2489" s="1143"/>
      <c r="U2489" s="1108"/>
      <c r="V2489" s="1108"/>
      <c r="W2489" s="1108"/>
      <c r="X2489" s="1108"/>
      <c r="Y2489" s="1108"/>
      <c r="Z2489" s="1114"/>
      <c r="AA2489" s="1114"/>
      <c r="AB2489" s="1114"/>
      <c r="AC2489" s="1117"/>
      <c r="AD2489" s="1115"/>
      <c r="AE2489" s="1115"/>
      <c r="AF2489" s="1115"/>
      <c r="AG2489" s="1115"/>
      <c r="AH2489" s="1115"/>
      <c r="AI2489" s="1115"/>
      <c r="AJ2489" s="1117"/>
      <c r="AK2489" s="1118"/>
      <c r="AL2489" s="1115"/>
      <c r="AM2489" s="1115"/>
      <c r="AN2489" s="1115"/>
      <c r="AO2489" s="1115"/>
      <c r="AP2489" s="1115"/>
      <c r="AQ2489" s="1115"/>
      <c r="AR2489" s="1115"/>
      <c r="AS2489" s="1117"/>
      <c r="AT2489" s="1075"/>
      <c r="AU2489" s="1193"/>
      <c r="AV2489" s="330"/>
      <c r="AW2489" s="331"/>
      <c r="AX2489" s="331"/>
      <c r="AY2489" s="331"/>
      <c r="AZ2489" s="331"/>
      <c r="BA2489" s="331"/>
      <c r="BB2489" s="331"/>
      <c r="BC2489" s="331"/>
      <c r="BD2489" s="331"/>
      <c r="BE2489" s="333"/>
      <c r="BF2489" s="330"/>
      <c r="BG2489" s="333"/>
      <c r="BH2489" s="1119"/>
      <c r="BI2489" s="319"/>
      <c r="BJ2489" s="319"/>
      <c r="BK2489" s="319"/>
      <c r="BL2489" s="319"/>
      <c r="BM2489" s="319"/>
      <c r="BN2489" s="319"/>
      <c r="BO2489" s="319"/>
      <c r="BP2489" s="953"/>
      <c r="BQ2489" s="319"/>
      <c r="BR2489" s="319"/>
      <c r="BS2489" s="330"/>
      <c r="BT2489" s="331"/>
      <c r="BU2489" s="920"/>
      <c r="BV2489" s="903"/>
      <c r="BW2489" s="908"/>
      <c r="BX2489" s="908"/>
      <c r="BY2489" s="331"/>
      <c r="BZ2489" s="331"/>
      <c r="CA2489" s="462"/>
      <c r="CB2489" s="319"/>
      <c r="CC2489" s="319"/>
      <c r="CD2489" s="319"/>
      <c r="CE2489" s="319"/>
      <c r="CF2489" s="319"/>
      <c r="CG2489" s="319"/>
      <c r="CH2489" s="318"/>
      <c r="CI2489" s="319"/>
      <c r="CJ2489" s="319"/>
      <c r="CK2489" s="342"/>
      <c r="CL2489" s="333"/>
      <c r="CM2489" s="1079"/>
      <c r="CN2489" s="1005"/>
      <c r="CO2489" s="1005"/>
      <c r="CP2489" s="1005"/>
    </row>
    <row r="2490">
      <c r="A2490" s="1257"/>
      <c r="B2490" s="1113"/>
      <c r="C2490" s="1107"/>
      <c r="D2490" s="103"/>
      <c r="E2490" s="1137"/>
      <c r="F2490" s="112"/>
      <c r="G2490" s="1110"/>
      <c r="H2490" s="1138"/>
      <c r="I2490" s="1138"/>
      <c r="J2490" s="1139"/>
      <c r="K2490" s="1111"/>
      <c r="L2490" s="1112"/>
      <c r="M2490" s="1113"/>
      <c r="N2490" s="110"/>
      <c r="O2490" s="1140"/>
      <c r="P2490" s="1115"/>
      <c r="Q2490" s="1116"/>
      <c r="R2490" s="1141"/>
      <c r="S2490" s="1113"/>
      <c r="T2490" s="1143"/>
      <c r="U2490" s="1108"/>
      <c r="V2490" s="1108"/>
      <c r="W2490" s="1108"/>
      <c r="X2490" s="1108"/>
      <c r="Y2490" s="1108"/>
      <c r="Z2490" s="1114"/>
      <c r="AA2490" s="1114"/>
      <c r="AB2490" s="1114"/>
      <c r="AC2490" s="1117"/>
      <c r="AD2490" s="1115"/>
      <c r="AE2490" s="1115"/>
      <c r="AF2490" s="1115"/>
      <c r="AG2490" s="1115"/>
      <c r="AH2490" s="1115"/>
      <c r="AI2490" s="1115"/>
      <c r="AJ2490" s="1117"/>
      <c r="AK2490" s="1118"/>
      <c r="AL2490" s="1115"/>
      <c r="AM2490" s="1115"/>
      <c r="AN2490" s="1115"/>
      <c r="AO2490" s="1115"/>
      <c r="AP2490" s="1115"/>
      <c r="AQ2490" s="1115"/>
      <c r="AR2490" s="1115"/>
      <c r="AS2490" s="1117"/>
      <c r="AT2490" s="1075"/>
      <c r="AU2490" s="1193"/>
      <c r="AV2490" s="330"/>
      <c r="AW2490" s="331"/>
      <c r="AX2490" s="331"/>
      <c r="AY2490" s="331"/>
      <c r="AZ2490" s="331"/>
      <c r="BA2490" s="331"/>
      <c r="BB2490" s="331"/>
      <c r="BC2490" s="331"/>
      <c r="BD2490" s="331"/>
      <c r="BE2490" s="333"/>
      <c r="BF2490" s="330"/>
      <c r="BG2490" s="333"/>
      <c r="BH2490" s="1119"/>
      <c r="BI2490" s="319"/>
      <c r="BJ2490" s="319"/>
      <c r="BK2490" s="319"/>
      <c r="BL2490" s="319"/>
      <c r="BM2490" s="319"/>
      <c r="BN2490" s="319"/>
      <c r="BO2490" s="319"/>
      <c r="BP2490" s="953"/>
      <c r="BQ2490" s="319"/>
      <c r="BR2490" s="319"/>
      <c r="BS2490" s="330"/>
      <c r="BT2490" s="331"/>
      <c r="BU2490" s="920"/>
      <c r="BV2490" s="903"/>
      <c r="BW2490" s="908"/>
      <c r="BX2490" s="908"/>
      <c r="BY2490" s="331"/>
      <c r="BZ2490" s="331"/>
      <c r="CA2490" s="462"/>
      <c r="CB2490" s="319"/>
      <c r="CC2490" s="319"/>
      <c r="CD2490" s="319"/>
      <c r="CE2490" s="319"/>
      <c r="CF2490" s="319"/>
      <c r="CG2490" s="319"/>
      <c r="CH2490" s="318"/>
      <c r="CI2490" s="319"/>
      <c r="CJ2490" s="319"/>
      <c r="CK2490" s="342"/>
      <c r="CL2490" s="333"/>
      <c r="CM2490" s="1079"/>
      <c r="CN2490" s="1005"/>
      <c r="CO2490" s="1005"/>
      <c r="CP2490" s="1005"/>
    </row>
    <row r="2491">
      <c r="A2491" s="1257"/>
      <c r="B2491" s="1113"/>
      <c r="C2491" s="1107"/>
      <c r="D2491" s="103"/>
      <c r="E2491" s="1137"/>
      <c r="F2491" s="112"/>
      <c r="G2491" s="1110"/>
      <c r="H2491" s="1138"/>
      <c r="I2491" s="1138"/>
      <c r="J2491" s="1139"/>
      <c r="K2491" s="1111"/>
      <c r="L2491" s="1112"/>
      <c r="M2491" s="1113"/>
      <c r="N2491" s="110"/>
      <c r="O2491" s="1140"/>
      <c r="P2491" s="1115"/>
      <c r="Q2491" s="1116"/>
      <c r="R2491" s="1141"/>
      <c r="S2491" s="1113"/>
      <c r="T2491" s="1143"/>
      <c r="U2491" s="1108"/>
      <c r="V2491" s="1108"/>
      <c r="W2491" s="1108"/>
      <c r="X2491" s="1108"/>
      <c r="Y2491" s="1108"/>
      <c r="Z2491" s="1114"/>
      <c r="AA2491" s="1114"/>
      <c r="AB2491" s="1114"/>
      <c r="AC2491" s="1117"/>
      <c r="AD2491" s="1115"/>
      <c r="AE2491" s="1115"/>
      <c r="AF2491" s="1115"/>
      <c r="AG2491" s="1115"/>
      <c r="AH2491" s="1115"/>
      <c r="AI2491" s="1115"/>
      <c r="AJ2491" s="1117"/>
      <c r="AK2491" s="1118"/>
      <c r="AL2491" s="1115"/>
      <c r="AM2491" s="1115"/>
      <c r="AN2491" s="1115"/>
      <c r="AO2491" s="1115"/>
      <c r="AP2491" s="1115"/>
      <c r="AQ2491" s="1115"/>
      <c r="AR2491" s="1115"/>
      <c r="AS2491" s="1117"/>
      <c r="AT2491" s="1075"/>
      <c r="AU2491" s="1193"/>
      <c r="AV2491" s="330"/>
      <c r="AW2491" s="331"/>
      <c r="AX2491" s="331"/>
      <c r="AY2491" s="331"/>
      <c r="AZ2491" s="331"/>
      <c r="BA2491" s="331"/>
      <c r="BB2491" s="331"/>
      <c r="BC2491" s="331"/>
      <c r="BD2491" s="331"/>
      <c r="BE2491" s="333"/>
      <c r="BF2491" s="330"/>
      <c r="BG2491" s="333"/>
      <c r="BH2491" s="1119"/>
      <c r="BI2491" s="319"/>
      <c r="BJ2491" s="319"/>
      <c r="BK2491" s="319"/>
      <c r="BL2491" s="319"/>
      <c r="BM2491" s="319"/>
      <c r="BN2491" s="319"/>
      <c r="BO2491" s="319"/>
      <c r="BP2491" s="953"/>
      <c r="BQ2491" s="319"/>
      <c r="BR2491" s="319"/>
      <c r="BS2491" s="330"/>
      <c r="BT2491" s="331"/>
      <c r="BU2491" s="920"/>
      <c r="BV2491" s="903"/>
      <c r="BW2491" s="908"/>
      <c r="BX2491" s="908"/>
      <c r="BY2491" s="331"/>
      <c r="BZ2491" s="331"/>
      <c r="CA2491" s="462"/>
      <c r="CB2491" s="319"/>
      <c r="CC2491" s="319"/>
      <c r="CD2491" s="319"/>
      <c r="CE2491" s="319"/>
      <c r="CF2491" s="319"/>
      <c r="CG2491" s="319"/>
      <c r="CH2491" s="318"/>
      <c r="CI2491" s="319"/>
      <c r="CJ2491" s="319"/>
      <c r="CK2491" s="342"/>
      <c r="CL2491" s="333"/>
      <c r="CM2491" s="1079"/>
      <c r="CN2491" s="1005"/>
      <c r="CO2491" s="1005"/>
      <c r="CP2491" s="1005"/>
    </row>
    <row r="2492">
      <c r="A2492" s="1257"/>
      <c r="B2492" s="1113"/>
      <c r="C2492" s="1107"/>
      <c r="D2492" s="103"/>
      <c r="E2492" s="1137"/>
      <c r="F2492" s="112"/>
      <c r="G2492" s="1110"/>
      <c r="H2492" s="1138"/>
      <c r="I2492" s="1138"/>
      <c r="J2492" s="1139"/>
      <c r="K2492" s="1111"/>
      <c r="L2492" s="1112"/>
      <c r="M2492" s="1113"/>
      <c r="N2492" s="110"/>
      <c r="O2492" s="1140"/>
      <c r="P2492" s="1115"/>
      <c r="Q2492" s="1116"/>
      <c r="R2492" s="1141"/>
      <c r="S2492" s="1113"/>
      <c r="T2492" s="1143"/>
      <c r="U2492" s="1108"/>
      <c r="V2492" s="1108"/>
      <c r="W2492" s="1108"/>
      <c r="X2492" s="1108"/>
      <c r="Y2492" s="1108"/>
      <c r="Z2492" s="1114"/>
      <c r="AA2492" s="1114"/>
      <c r="AB2492" s="1114"/>
      <c r="AC2492" s="1117"/>
      <c r="AD2492" s="1115"/>
      <c r="AE2492" s="1115"/>
      <c r="AF2492" s="1115"/>
      <c r="AG2492" s="1115"/>
      <c r="AH2492" s="1115"/>
      <c r="AI2492" s="1115"/>
      <c r="AJ2492" s="1117"/>
      <c r="AK2492" s="1118"/>
      <c r="AL2492" s="1115"/>
      <c r="AM2492" s="1115"/>
      <c r="AN2492" s="1115"/>
      <c r="AO2492" s="1115"/>
      <c r="AP2492" s="1115"/>
      <c r="AQ2492" s="1115"/>
      <c r="AR2492" s="1115"/>
      <c r="AS2492" s="1117"/>
      <c r="AT2492" s="1075"/>
      <c r="AU2492" s="1193"/>
      <c r="AV2492" s="330"/>
      <c r="AW2492" s="331"/>
      <c r="AX2492" s="331"/>
      <c r="AY2492" s="331"/>
      <c r="AZ2492" s="331"/>
      <c r="BA2492" s="331"/>
      <c r="BB2492" s="331"/>
      <c r="BC2492" s="331"/>
      <c r="BD2492" s="331"/>
      <c r="BE2492" s="333"/>
      <c r="BF2492" s="330"/>
      <c r="BG2492" s="333"/>
      <c r="BH2492" s="1119"/>
      <c r="BI2492" s="319"/>
      <c r="BJ2492" s="319"/>
      <c r="BK2492" s="319"/>
      <c r="BL2492" s="319"/>
      <c r="BM2492" s="319"/>
      <c r="BN2492" s="319"/>
      <c r="BO2492" s="319"/>
      <c r="BP2492" s="953"/>
      <c r="BQ2492" s="319"/>
      <c r="BR2492" s="319"/>
      <c r="BS2492" s="330"/>
      <c r="BT2492" s="331"/>
      <c r="BU2492" s="920"/>
      <c r="BV2492" s="903"/>
      <c r="BW2492" s="908"/>
      <c r="BX2492" s="908"/>
      <c r="BY2492" s="331"/>
      <c r="BZ2492" s="331"/>
      <c r="CA2492" s="462"/>
      <c r="CB2492" s="319"/>
      <c r="CC2492" s="319"/>
      <c r="CD2492" s="319"/>
      <c r="CE2492" s="319"/>
      <c r="CF2492" s="319"/>
      <c r="CG2492" s="319"/>
      <c r="CH2492" s="318"/>
      <c r="CI2492" s="319"/>
      <c r="CJ2492" s="319"/>
      <c r="CK2492" s="342"/>
      <c r="CL2492" s="333"/>
      <c r="CM2492" s="1079"/>
      <c r="CN2492" s="1005"/>
      <c r="CO2492" s="1005"/>
      <c r="CP2492" s="1005"/>
    </row>
    <row r="2493">
      <c r="A2493" s="1257"/>
      <c r="B2493" s="1113"/>
      <c r="C2493" s="1107"/>
      <c r="D2493" s="103"/>
      <c r="E2493" s="1137"/>
      <c r="F2493" s="112"/>
      <c r="G2493" s="1110"/>
      <c r="H2493" s="1138"/>
      <c r="I2493" s="1138"/>
      <c r="J2493" s="1139"/>
      <c r="K2493" s="1111"/>
      <c r="L2493" s="1112"/>
      <c r="M2493" s="1113"/>
      <c r="N2493" s="110"/>
      <c r="O2493" s="1140"/>
      <c r="P2493" s="1115"/>
      <c r="Q2493" s="1116"/>
      <c r="R2493" s="1141"/>
      <c r="S2493" s="1113"/>
      <c r="T2493" s="1143"/>
      <c r="U2493" s="1108"/>
      <c r="V2493" s="1108"/>
      <c r="W2493" s="1108"/>
      <c r="X2493" s="1108"/>
      <c r="Y2493" s="1108"/>
      <c r="Z2493" s="1114"/>
      <c r="AA2493" s="1114"/>
      <c r="AB2493" s="1114"/>
      <c r="AC2493" s="1117"/>
      <c r="AD2493" s="1115"/>
      <c r="AE2493" s="1115"/>
      <c r="AF2493" s="1115"/>
      <c r="AG2493" s="1115"/>
      <c r="AH2493" s="1115"/>
      <c r="AI2493" s="1115"/>
      <c r="AJ2493" s="1117"/>
      <c r="AK2493" s="1118"/>
      <c r="AL2493" s="1115"/>
      <c r="AM2493" s="1115"/>
      <c r="AN2493" s="1115"/>
      <c r="AO2493" s="1115"/>
      <c r="AP2493" s="1115"/>
      <c r="AQ2493" s="1115"/>
      <c r="AR2493" s="1115"/>
      <c r="AS2493" s="1117"/>
      <c r="AT2493" s="1075"/>
      <c r="AU2493" s="1193"/>
      <c r="AV2493" s="330"/>
      <c r="AW2493" s="331"/>
      <c r="AX2493" s="331"/>
      <c r="AY2493" s="331"/>
      <c r="AZ2493" s="331"/>
      <c r="BA2493" s="331"/>
      <c r="BB2493" s="331"/>
      <c r="BC2493" s="331"/>
      <c r="BD2493" s="331"/>
      <c r="BE2493" s="333"/>
      <c r="BF2493" s="330"/>
      <c r="BG2493" s="333"/>
      <c r="BH2493" s="1119"/>
      <c r="BI2493" s="319"/>
      <c r="BJ2493" s="319"/>
      <c r="BK2493" s="319"/>
      <c r="BL2493" s="319"/>
      <c r="BM2493" s="319"/>
      <c r="BN2493" s="319"/>
      <c r="BO2493" s="319"/>
      <c r="BP2493" s="953"/>
      <c r="BQ2493" s="319"/>
      <c r="BR2493" s="319"/>
      <c r="BS2493" s="330"/>
      <c r="BT2493" s="331"/>
      <c r="BU2493" s="920"/>
      <c r="BV2493" s="903"/>
      <c r="BW2493" s="908"/>
      <c r="BX2493" s="908"/>
      <c r="BY2493" s="331"/>
      <c r="BZ2493" s="331"/>
      <c r="CA2493" s="462"/>
      <c r="CB2493" s="319"/>
      <c r="CC2493" s="319"/>
      <c r="CD2493" s="319"/>
      <c r="CE2493" s="319"/>
      <c r="CF2493" s="319"/>
      <c r="CG2493" s="319"/>
      <c r="CH2493" s="318"/>
      <c r="CI2493" s="319"/>
      <c r="CJ2493" s="319"/>
      <c r="CK2493" s="342"/>
      <c r="CL2493" s="333"/>
      <c r="CM2493" s="1079"/>
      <c r="CN2493" s="1005"/>
      <c r="CO2493" s="1005"/>
      <c r="CP2493" s="1005"/>
    </row>
    <row r="2494">
      <c r="A2494" s="1257"/>
      <c r="B2494" s="1113"/>
      <c r="C2494" s="1107"/>
      <c r="D2494" s="103"/>
      <c r="E2494" s="1137"/>
      <c r="F2494" s="112"/>
      <c r="G2494" s="1110"/>
      <c r="H2494" s="1138"/>
      <c r="I2494" s="1138"/>
      <c r="J2494" s="1139"/>
      <c r="K2494" s="1111"/>
      <c r="L2494" s="1112"/>
      <c r="M2494" s="1113"/>
      <c r="N2494" s="110"/>
      <c r="O2494" s="1140"/>
      <c r="P2494" s="1115"/>
      <c r="Q2494" s="1116"/>
      <c r="R2494" s="1141"/>
      <c r="S2494" s="1113"/>
      <c r="T2494" s="1143"/>
      <c r="U2494" s="1108"/>
      <c r="V2494" s="1108"/>
      <c r="W2494" s="1108"/>
      <c r="X2494" s="1108"/>
      <c r="Y2494" s="1108"/>
      <c r="Z2494" s="1114"/>
      <c r="AA2494" s="1114"/>
      <c r="AB2494" s="1114"/>
      <c r="AC2494" s="1117"/>
      <c r="AD2494" s="1115"/>
      <c r="AE2494" s="1115"/>
      <c r="AF2494" s="1115"/>
      <c r="AG2494" s="1115"/>
      <c r="AH2494" s="1115"/>
      <c r="AI2494" s="1115"/>
      <c r="AJ2494" s="1117"/>
      <c r="AK2494" s="1118"/>
      <c r="AL2494" s="1115"/>
      <c r="AM2494" s="1115"/>
      <c r="AN2494" s="1115"/>
      <c r="AO2494" s="1115"/>
      <c r="AP2494" s="1115"/>
      <c r="AQ2494" s="1115"/>
      <c r="AR2494" s="1115"/>
      <c r="AS2494" s="1117"/>
      <c r="AT2494" s="1075"/>
      <c r="AU2494" s="1193"/>
      <c r="AV2494" s="330"/>
      <c r="AW2494" s="331"/>
      <c r="AX2494" s="331"/>
      <c r="AY2494" s="331"/>
      <c r="AZ2494" s="331"/>
      <c r="BA2494" s="331"/>
      <c r="BB2494" s="331"/>
      <c r="BC2494" s="331"/>
      <c r="BD2494" s="331"/>
      <c r="BE2494" s="333"/>
      <c r="BF2494" s="330"/>
      <c r="BG2494" s="333"/>
      <c r="BH2494" s="1119"/>
      <c r="BI2494" s="319"/>
      <c r="BJ2494" s="319"/>
      <c r="BK2494" s="319"/>
      <c r="BL2494" s="319"/>
      <c r="BM2494" s="319"/>
      <c r="BN2494" s="319"/>
      <c r="BO2494" s="319"/>
      <c r="BP2494" s="953"/>
      <c r="BQ2494" s="319"/>
      <c r="BR2494" s="319"/>
      <c r="BS2494" s="330"/>
      <c r="BT2494" s="331"/>
      <c r="BU2494" s="920"/>
      <c r="BV2494" s="903"/>
      <c r="BW2494" s="908"/>
      <c r="BX2494" s="908"/>
      <c r="BY2494" s="331"/>
      <c r="BZ2494" s="331"/>
      <c r="CA2494" s="462"/>
      <c r="CB2494" s="319"/>
      <c r="CC2494" s="319"/>
      <c r="CD2494" s="319"/>
      <c r="CE2494" s="319"/>
      <c r="CF2494" s="319"/>
      <c r="CG2494" s="319"/>
      <c r="CH2494" s="318"/>
      <c r="CI2494" s="319"/>
      <c r="CJ2494" s="319"/>
      <c r="CK2494" s="342"/>
      <c r="CL2494" s="333"/>
      <c r="CM2494" s="1079"/>
      <c r="CN2494" s="1005"/>
      <c r="CO2494" s="1005"/>
      <c r="CP2494" s="1005"/>
    </row>
    <row r="2495">
      <c r="A2495" s="1257"/>
      <c r="B2495" s="1113"/>
      <c r="C2495" s="1107"/>
      <c r="D2495" s="103"/>
      <c r="E2495" s="1137"/>
      <c r="F2495" s="112"/>
      <c r="G2495" s="1110"/>
      <c r="H2495" s="1138"/>
      <c r="I2495" s="1138"/>
      <c r="J2495" s="1139"/>
      <c r="K2495" s="1111"/>
      <c r="L2495" s="1112"/>
      <c r="M2495" s="1113"/>
      <c r="N2495" s="110"/>
      <c r="O2495" s="1140"/>
      <c r="P2495" s="1115"/>
      <c r="Q2495" s="1116"/>
      <c r="R2495" s="1141"/>
      <c r="S2495" s="1113"/>
      <c r="T2495" s="1143"/>
      <c r="U2495" s="1108"/>
      <c r="V2495" s="1108"/>
      <c r="W2495" s="1108"/>
      <c r="X2495" s="1108"/>
      <c r="Y2495" s="1108"/>
      <c r="Z2495" s="1114"/>
      <c r="AA2495" s="1114"/>
      <c r="AB2495" s="1114"/>
      <c r="AC2495" s="1117"/>
      <c r="AD2495" s="1115"/>
      <c r="AE2495" s="1115"/>
      <c r="AF2495" s="1115"/>
      <c r="AG2495" s="1115"/>
      <c r="AH2495" s="1115"/>
      <c r="AI2495" s="1115"/>
      <c r="AJ2495" s="1117"/>
      <c r="AK2495" s="1118"/>
      <c r="AL2495" s="1115"/>
      <c r="AM2495" s="1115"/>
      <c r="AN2495" s="1115"/>
      <c r="AO2495" s="1115"/>
      <c r="AP2495" s="1115"/>
      <c r="AQ2495" s="1115"/>
      <c r="AR2495" s="1115"/>
      <c r="AS2495" s="1117"/>
      <c r="AT2495" s="1075"/>
      <c r="AU2495" s="1193"/>
      <c r="AV2495" s="330"/>
      <c r="AW2495" s="331"/>
      <c r="AX2495" s="331"/>
      <c r="AY2495" s="331"/>
      <c r="AZ2495" s="331"/>
      <c r="BA2495" s="331"/>
      <c r="BB2495" s="331"/>
      <c r="BC2495" s="331"/>
      <c r="BD2495" s="331"/>
      <c r="BE2495" s="333"/>
      <c r="BF2495" s="330"/>
      <c r="BG2495" s="333"/>
      <c r="BH2495" s="1119"/>
      <c r="BI2495" s="319"/>
      <c r="BJ2495" s="319"/>
      <c r="BK2495" s="319"/>
      <c r="BL2495" s="319"/>
      <c r="BM2495" s="319"/>
      <c r="BN2495" s="319"/>
      <c r="BO2495" s="319"/>
      <c r="BP2495" s="953"/>
      <c r="BQ2495" s="319"/>
      <c r="BR2495" s="319"/>
      <c r="BS2495" s="330"/>
      <c r="BT2495" s="331"/>
      <c r="BU2495" s="920"/>
      <c r="BV2495" s="903"/>
      <c r="BW2495" s="908"/>
      <c r="BX2495" s="908"/>
      <c r="BY2495" s="331"/>
      <c r="BZ2495" s="331"/>
      <c r="CA2495" s="462"/>
      <c r="CB2495" s="319"/>
      <c r="CC2495" s="319"/>
      <c r="CD2495" s="319"/>
      <c r="CE2495" s="319"/>
      <c r="CF2495" s="319"/>
      <c r="CG2495" s="319"/>
      <c r="CH2495" s="318"/>
      <c r="CI2495" s="319"/>
      <c r="CJ2495" s="319"/>
      <c r="CK2495" s="342"/>
      <c r="CL2495" s="333"/>
      <c r="CM2495" s="1079"/>
      <c r="CN2495" s="1005"/>
      <c r="CO2495" s="1005"/>
      <c r="CP2495" s="1005"/>
    </row>
    <row r="2496">
      <c r="A2496" s="1257"/>
      <c r="B2496" s="1113"/>
      <c r="C2496" s="1107"/>
      <c r="D2496" s="103"/>
      <c r="E2496" s="1137"/>
      <c r="F2496" s="112"/>
      <c r="G2496" s="1110"/>
      <c r="H2496" s="1138"/>
      <c r="I2496" s="1138"/>
      <c r="J2496" s="1139"/>
      <c r="K2496" s="1111"/>
      <c r="L2496" s="1112"/>
      <c r="M2496" s="1113"/>
      <c r="N2496" s="110"/>
      <c r="O2496" s="1140"/>
      <c r="P2496" s="1115"/>
      <c r="Q2496" s="1116"/>
      <c r="R2496" s="1141"/>
      <c r="S2496" s="1113"/>
      <c r="T2496" s="1143"/>
      <c r="U2496" s="1108"/>
      <c r="V2496" s="1108"/>
      <c r="W2496" s="1108"/>
      <c r="X2496" s="1108"/>
      <c r="Y2496" s="1108"/>
      <c r="Z2496" s="1114"/>
      <c r="AA2496" s="1114"/>
      <c r="AB2496" s="1114"/>
      <c r="AC2496" s="1117"/>
      <c r="AD2496" s="1115"/>
      <c r="AE2496" s="1115"/>
      <c r="AF2496" s="1115"/>
      <c r="AG2496" s="1115"/>
      <c r="AH2496" s="1115"/>
      <c r="AI2496" s="1115"/>
      <c r="AJ2496" s="1117"/>
      <c r="AK2496" s="1118"/>
      <c r="AL2496" s="1115"/>
      <c r="AM2496" s="1115"/>
      <c r="AN2496" s="1115"/>
      <c r="AO2496" s="1115"/>
      <c r="AP2496" s="1115"/>
      <c r="AQ2496" s="1115"/>
      <c r="AR2496" s="1115"/>
      <c r="AS2496" s="1117"/>
      <c r="AT2496" s="1075"/>
      <c r="AU2496" s="1193"/>
      <c r="AV2496" s="330"/>
      <c r="AW2496" s="331"/>
      <c r="AX2496" s="331"/>
      <c r="AY2496" s="331"/>
      <c r="AZ2496" s="331"/>
      <c r="BA2496" s="331"/>
      <c r="BB2496" s="331"/>
      <c r="BC2496" s="331"/>
      <c r="BD2496" s="331"/>
      <c r="BE2496" s="333"/>
      <c r="BF2496" s="330"/>
      <c r="BG2496" s="333"/>
      <c r="BH2496" s="1119"/>
      <c r="BI2496" s="319"/>
      <c r="BJ2496" s="319"/>
      <c r="BK2496" s="319"/>
      <c r="BL2496" s="319"/>
      <c r="BM2496" s="319"/>
      <c r="BN2496" s="319"/>
      <c r="BO2496" s="319"/>
      <c r="BP2496" s="953"/>
      <c r="BQ2496" s="319"/>
      <c r="BR2496" s="319"/>
      <c r="BS2496" s="330"/>
      <c r="BT2496" s="331"/>
      <c r="BU2496" s="920"/>
      <c r="BV2496" s="903"/>
      <c r="BW2496" s="908"/>
      <c r="BX2496" s="908"/>
      <c r="BY2496" s="331"/>
      <c r="BZ2496" s="331"/>
      <c r="CA2496" s="462"/>
      <c r="CB2496" s="319"/>
      <c r="CC2496" s="319"/>
      <c r="CD2496" s="319"/>
      <c r="CE2496" s="319"/>
      <c r="CF2496" s="319"/>
      <c r="CG2496" s="319"/>
      <c r="CH2496" s="318"/>
      <c r="CI2496" s="319"/>
      <c r="CJ2496" s="319"/>
      <c r="CK2496" s="342"/>
      <c r="CL2496" s="333"/>
      <c r="CM2496" s="1079"/>
      <c r="CN2496" s="1005"/>
      <c r="CO2496" s="1005"/>
      <c r="CP2496" s="1005"/>
    </row>
    <row r="2497">
      <c r="A2497" s="1257"/>
      <c r="B2497" s="1113"/>
      <c r="C2497" s="1107"/>
      <c r="D2497" s="103"/>
      <c r="E2497" s="1137"/>
      <c r="F2497" s="112"/>
      <c r="G2497" s="1110"/>
      <c r="H2497" s="1138"/>
      <c r="I2497" s="1138"/>
      <c r="J2497" s="1139"/>
      <c r="K2497" s="1111"/>
      <c r="L2497" s="1112"/>
      <c r="M2497" s="1113"/>
      <c r="N2497" s="110"/>
      <c r="O2497" s="1140"/>
      <c r="P2497" s="1115"/>
      <c r="Q2497" s="1116"/>
      <c r="R2497" s="1141"/>
      <c r="S2497" s="1113"/>
      <c r="T2497" s="1143"/>
      <c r="U2497" s="1108"/>
      <c r="V2497" s="1108"/>
      <c r="W2497" s="1108"/>
      <c r="X2497" s="1108"/>
      <c r="Y2497" s="1108"/>
      <c r="Z2497" s="1114"/>
      <c r="AA2497" s="1114"/>
      <c r="AB2497" s="1114"/>
      <c r="AC2497" s="1117"/>
      <c r="AD2497" s="1115"/>
      <c r="AE2497" s="1115"/>
      <c r="AF2497" s="1115"/>
      <c r="AG2497" s="1115"/>
      <c r="AH2497" s="1115"/>
      <c r="AI2497" s="1115"/>
      <c r="AJ2497" s="1117"/>
      <c r="AK2497" s="1118"/>
      <c r="AL2497" s="1115"/>
      <c r="AM2497" s="1115"/>
      <c r="AN2497" s="1115"/>
      <c r="AO2497" s="1115"/>
      <c r="AP2497" s="1115"/>
      <c r="AQ2497" s="1115"/>
      <c r="AR2497" s="1115"/>
      <c r="AS2497" s="1117"/>
      <c r="AT2497" s="1075"/>
      <c r="AU2497" s="1193"/>
      <c r="AV2497" s="330"/>
      <c r="AW2497" s="331"/>
      <c r="AX2497" s="331"/>
      <c r="AY2497" s="331"/>
      <c r="AZ2497" s="331"/>
      <c r="BA2497" s="331"/>
      <c r="BB2497" s="331"/>
      <c r="BC2497" s="331"/>
      <c r="BD2497" s="331"/>
      <c r="BE2497" s="333"/>
      <c r="BF2497" s="330"/>
      <c r="BG2497" s="333"/>
      <c r="BH2497" s="1119"/>
      <c r="BI2497" s="319"/>
      <c r="BJ2497" s="319"/>
      <c r="BK2497" s="319"/>
      <c r="BL2497" s="319"/>
      <c r="BM2497" s="319"/>
      <c r="BN2497" s="319"/>
      <c r="BO2497" s="319"/>
      <c r="BP2497" s="953"/>
      <c r="BQ2497" s="319"/>
      <c r="BR2497" s="319"/>
      <c r="BS2497" s="330"/>
      <c r="BT2497" s="331"/>
      <c r="BU2497" s="920"/>
      <c r="BV2497" s="903"/>
      <c r="BW2497" s="908"/>
      <c r="BX2497" s="908"/>
      <c r="BY2497" s="331"/>
      <c r="BZ2497" s="331"/>
      <c r="CA2497" s="462"/>
      <c r="CB2497" s="319"/>
      <c r="CC2497" s="319"/>
      <c r="CD2497" s="319"/>
      <c r="CE2497" s="319"/>
      <c r="CF2497" s="319"/>
      <c r="CG2497" s="319"/>
      <c r="CH2497" s="318"/>
      <c r="CI2497" s="319"/>
      <c r="CJ2497" s="319"/>
      <c r="CK2497" s="342"/>
      <c r="CL2497" s="333"/>
      <c r="CM2497" s="1079"/>
      <c r="CN2497" s="1005"/>
      <c r="CO2497" s="1005"/>
      <c r="CP2497" s="1005"/>
    </row>
    <row r="2498">
      <c r="A2498" s="1257"/>
      <c r="B2498" s="1113"/>
      <c r="C2498" s="1107"/>
      <c r="D2498" s="103"/>
      <c r="E2498" s="1137"/>
      <c r="F2498" s="112"/>
      <c r="G2498" s="1110"/>
      <c r="H2498" s="1138"/>
      <c r="I2498" s="1138"/>
      <c r="J2498" s="1139"/>
      <c r="K2498" s="1111"/>
      <c r="L2498" s="1112"/>
      <c r="M2498" s="1113"/>
      <c r="N2498" s="110"/>
      <c r="O2498" s="1140"/>
      <c r="P2498" s="1115"/>
      <c r="Q2498" s="1116"/>
      <c r="R2498" s="1141"/>
      <c r="S2498" s="1113"/>
      <c r="T2498" s="1143"/>
      <c r="U2498" s="1108"/>
      <c r="V2498" s="1108"/>
      <c r="W2498" s="1108"/>
      <c r="X2498" s="1108"/>
      <c r="Y2498" s="1108"/>
      <c r="Z2498" s="1114"/>
      <c r="AA2498" s="1114"/>
      <c r="AB2498" s="1114"/>
      <c r="AC2498" s="1117"/>
      <c r="AD2498" s="1115"/>
      <c r="AE2498" s="1115"/>
      <c r="AF2498" s="1115"/>
      <c r="AG2498" s="1115"/>
      <c r="AH2498" s="1115"/>
      <c r="AI2498" s="1115"/>
      <c r="AJ2498" s="1117"/>
      <c r="AK2498" s="1118"/>
      <c r="AL2498" s="1115"/>
      <c r="AM2498" s="1115"/>
      <c r="AN2498" s="1115"/>
      <c r="AO2498" s="1115"/>
      <c r="AP2498" s="1115"/>
      <c r="AQ2498" s="1115"/>
      <c r="AR2498" s="1115"/>
      <c r="AS2498" s="1117"/>
      <c r="AT2498" s="1075"/>
      <c r="AU2498" s="1193"/>
      <c r="AV2498" s="330"/>
      <c r="AW2498" s="331"/>
      <c r="AX2498" s="331"/>
      <c r="AY2498" s="331"/>
      <c r="AZ2498" s="331"/>
      <c r="BA2498" s="331"/>
      <c r="BB2498" s="331"/>
      <c r="BC2498" s="331"/>
      <c r="BD2498" s="331"/>
      <c r="BE2498" s="333"/>
      <c r="BF2498" s="330"/>
      <c r="BG2498" s="333"/>
      <c r="BH2498" s="1119"/>
      <c r="BI2498" s="319"/>
      <c r="BJ2498" s="319"/>
      <c r="BK2498" s="319"/>
      <c r="BL2498" s="319"/>
      <c r="BM2498" s="319"/>
      <c r="BN2498" s="319"/>
      <c r="BO2498" s="319"/>
      <c r="BP2498" s="953"/>
      <c r="BQ2498" s="319"/>
      <c r="BR2498" s="319"/>
      <c r="BS2498" s="330"/>
      <c r="BT2498" s="331"/>
      <c r="BU2498" s="920"/>
      <c r="BV2498" s="903"/>
      <c r="BW2498" s="908"/>
      <c r="BX2498" s="908"/>
      <c r="BY2498" s="331"/>
      <c r="BZ2498" s="331"/>
      <c r="CA2498" s="462"/>
      <c r="CB2498" s="319"/>
      <c r="CC2498" s="319"/>
      <c r="CD2498" s="319"/>
      <c r="CE2498" s="319"/>
      <c r="CF2498" s="319"/>
      <c r="CG2498" s="319"/>
      <c r="CH2498" s="318"/>
      <c r="CI2498" s="319"/>
      <c r="CJ2498" s="319"/>
      <c r="CK2498" s="342"/>
      <c r="CL2498" s="333"/>
      <c r="CM2498" s="1079"/>
      <c r="CN2498" s="1005"/>
      <c r="CO2498" s="1005"/>
      <c r="CP2498" s="1005"/>
    </row>
    <row r="2499">
      <c r="A2499" s="1257"/>
      <c r="B2499" s="1113"/>
      <c r="C2499" s="1107"/>
      <c r="D2499" s="103"/>
      <c r="E2499" s="1137"/>
      <c r="F2499" s="112"/>
      <c r="G2499" s="1110"/>
      <c r="H2499" s="1138"/>
      <c r="I2499" s="1138"/>
      <c r="J2499" s="1139"/>
      <c r="K2499" s="1111"/>
      <c r="L2499" s="1112"/>
      <c r="M2499" s="1113"/>
      <c r="N2499" s="110"/>
      <c r="O2499" s="1140"/>
      <c r="P2499" s="1115"/>
      <c r="Q2499" s="1116"/>
      <c r="R2499" s="1141"/>
      <c r="S2499" s="1113"/>
      <c r="T2499" s="1143"/>
      <c r="U2499" s="1108"/>
      <c r="V2499" s="1108"/>
      <c r="W2499" s="1108"/>
      <c r="X2499" s="1108"/>
      <c r="Y2499" s="1108"/>
      <c r="Z2499" s="1114"/>
      <c r="AA2499" s="1114"/>
      <c r="AB2499" s="1114"/>
      <c r="AC2499" s="1117"/>
      <c r="AD2499" s="1115"/>
      <c r="AE2499" s="1115"/>
      <c r="AF2499" s="1115"/>
      <c r="AG2499" s="1115"/>
      <c r="AH2499" s="1115"/>
      <c r="AI2499" s="1115"/>
      <c r="AJ2499" s="1117"/>
      <c r="AK2499" s="1118"/>
      <c r="AL2499" s="1115"/>
      <c r="AM2499" s="1115"/>
      <c r="AN2499" s="1115"/>
      <c r="AO2499" s="1115"/>
      <c r="AP2499" s="1115"/>
      <c r="AQ2499" s="1115"/>
      <c r="AR2499" s="1115"/>
      <c r="AS2499" s="1117"/>
      <c r="AT2499" s="1075"/>
      <c r="AU2499" s="1193"/>
      <c r="AV2499" s="330"/>
      <c r="AW2499" s="331"/>
      <c r="AX2499" s="331"/>
      <c r="AY2499" s="331"/>
      <c r="AZ2499" s="331"/>
      <c r="BA2499" s="331"/>
      <c r="BB2499" s="331"/>
      <c r="BC2499" s="331"/>
      <c r="BD2499" s="331"/>
      <c r="BE2499" s="333"/>
      <c r="BF2499" s="330"/>
      <c r="BG2499" s="333"/>
      <c r="BH2499" s="1119"/>
      <c r="BI2499" s="319"/>
      <c r="BJ2499" s="319"/>
      <c r="BK2499" s="319"/>
      <c r="BL2499" s="319"/>
      <c r="BM2499" s="319"/>
      <c r="BN2499" s="319"/>
      <c r="BO2499" s="319"/>
      <c r="BP2499" s="953"/>
      <c r="BQ2499" s="319"/>
      <c r="BR2499" s="319"/>
      <c r="BS2499" s="330"/>
      <c r="BT2499" s="331"/>
      <c r="BU2499" s="920"/>
      <c r="BV2499" s="903"/>
      <c r="BW2499" s="908"/>
      <c r="BX2499" s="908"/>
      <c r="BY2499" s="331"/>
      <c r="BZ2499" s="331"/>
      <c r="CA2499" s="462"/>
      <c r="CB2499" s="319"/>
      <c r="CC2499" s="319"/>
      <c r="CD2499" s="319"/>
      <c r="CE2499" s="319"/>
      <c r="CF2499" s="319"/>
      <c r="CG2499" s="319"/>
      <c r="CH2499" s="318"/>
      <c r="CI2499" s="319"/>
      <c r="CJ2499" s="319"/>
      <c r="CK2499" s="342"/>
      <c r="CL2499" s="333"/>
      <c r="CM2499" s="1079"/>
      <c r="CN2499" s="1005"/>
      <c r="CO2499" s="1005"/>
      <c r="CP2499" s="1005"/>
    </row>
    <row r="2500">
      <c r="A2500" s="1257"/>
      <c r="B2500" s="1113"/>
      <c r="C2500" s="1107"/>
      <c r="D2500" s="103"/>
      <c r="E2500" s="1137"/>
      <c r="F2500" s="112"/>
      <c r="G2500" s="1110"/>
      <c r="H2500" s="1138"/>
      <c r="I2500" s="1138"/>
      <c r="J2500" s="1139"/>
      <c r="K2500" s="1111"/>
      <c r="L2500" s="1112"/>
      <c r="M2500" s="1113"/>
      <c r="N2500" s="110"/>
      <c r="O2500" s="1140"/>
      <c r="P2500" s="1115"/>
      <c r="Q2500" s="1116"/>
      <c r="R2500" s="1141"/>
      <c r="S2500" s="1113"/>
      <c r="T2500" s="1143"/>
      <c r="U2500" s="1108"/>
      <c r="V2500" s="1108"/>
      <c r="W2500" s="1108"/>
      <c r="X2500" s="1108"/>
      <c r="Y2500" s="1108"/>
      <c r="Z2500" s="1114"/>
      <c r="AA2500" s="1114"/>
      <c r="AB2500" s="1114"/>
      <c r="AC2500" s="1117"/>
      <c r="AD2500" s="1115"/>
      <c r="AE2500" s="1115"/>
      <c r="AF2500" s="1115"/>
      <c r="AG2500" s="1115"/>
      <c r="AH2500" s="1115"/>
      <c r="AI2500" s="1115"/>
      <c r="AJ2500" s="1117"/>
      <c r="AK2500" s="1118"/>
      <c r="AL2500" s="1115"/>
      <c r="AM2500" s="1115"/>
      <c r="AN2500" s="1115"/>
      <c r="AO2500" s="1115"/>
      <c r="AP2500" s="1115"/>
      <c r="AQ2500" s="1115"/>
      <c r="AR2500" s="1115"/>
      <c r="AS2500" s="1117"/>
      <c r="AT2500" s="1075"/>
      <c r="AU2500" s="1193"/>
      <c r="AV2500" s="330"/>
      <c r="AW2500" s="331"/>
      <c r="AX2500" s="331"/>
      <c r="AY2500" s="331"/>
      <c r="AZ2500" s="331"/>
      <c r="BA2500" s="331"/>
      <c r="BB2500" s="331"/>
      <c r="BC2500" s="331"/>
      <c r="BD2500" s="331"/>
      <c r="BE2500" s="333"/>
      <c r="BF2500" s="330"/>
      <c r="BG2500" s="333"/>
      <c r="BH2500" s="1119"/>
      <c r="BI2500" s="319"/>
      <c r="BJ2500" s="319"/>
      <c r="BK2500" s="319"/>
      <c r="BL2500" s="319"/>
      <c r="BM2500" s="319"/>
      <c r="BN2500" s="319"/>
      <c r="BO2500" s="319"/>
      <c r="BP2500" s="953"/>
      <c r="BQ2500" s="319"/>
      <c r="BR2500" s="319"/>
      <c r="BS2500" s="330"/>
      <c r="BT2500" s="331"/>
      <c r="BU2500" s="920"/>
      <c r="BV2500" s="903"/>
      <c r="BW2500" s="908"/>
      <c r="BX2500" s="908"/>
      <c r="BY2500" s="331"/>
      <c r="BZ2500" s="331"/>
      <c r="CA2500" s="462"/>
      <c r="CB2500" s="319"/>
      <c r="CC2500" s="319"/>
      <c r="CD2500" s="319"/>
      <c r="CE2500" s="319"/>
      <c r="CF2500" s="319"/>
      <c r="CG2500" s="319"/>
      <c r="CH2500" s="318"/>
      <c r="CI2500" s="319"/>
      <c r="CJ2500" s="319"/>
      <c r="CK2500" s="342"/>
      <c r="CL2500" s="333"/>
      <c r="CM2500" s="1079"/>
      <c r="CN2500" s="1005"/>
      <c r="CO2500" s="1005"/>
      <c r="CP2500" s="1005"/>
    </row>
    <row r="2501">
      <c r="A2501" s="1257"/>
      <c r="B2501" s="1113"/>
      <c r="C2501" s="1107"/>
      <c r="D2501" s="103"/>
      <c r="E2501" s="1137"/>
      <c r="F2501" s="112"/>
      <c r="G2501" s="1110"/>
      <c r="H2501" s="1138"/>
      <c r="I2501" s="1138"/>
      <c r="J2501" s="1139"/>
      <c r="K2501" s="1111"/>
      <c r="L2501" s="1112"/>
      <c r="M2501" s="1113"/>
      <c r="N2501" s="110"/>
      <c r="O2501" s="1140"/>
      <c r="P2501" s="1115"/>
      <c r="Q2501" s="1116"/>
      <c r="R2501" s="1141"/>
      <c r="S2501" s="1113"/>
      <c r="T2501" s="1143"/>
      <c r="U2501" s="1108"/>
      <c r="V2501" s="1108"/>
      <c r="W2501" s="1108"/>
      <c r="X2501" s="1108"/>
      <c r="Y2501" s="1108"/>
      <c r="Z2501" s="1114"/>
      <c r="AA2501" s="1114"/>
      <c r="AB2501" s="1114"/>
      <c r="AC2501" s="1117"/>
      <c r="AD2501" s="1115"/>
      <c r="AE2501" s="1115"/>
      <c r="AF2501" s="1115"/>
      <c r="AG2501" s="1115"/>
      <c r="AH2501" s="1115"/>
      <c r="AI2501" s="1115"/>
      <c r="AJ2501" s="1117"/>
      <c r="AK2501" s="1118"/>
      <c r="AL2501" s="1115"/>
      <c r="AM2501" s="1115"/>
      <c r="AN2501" s="1115"/>
      <c r="AO2501" s="1115"/>
      <c r="AP2501" s="1115"/>
      <c r="AQ2501" s="1115"/>
      <c r="AR2501" s="1115"/>
      <c r="AS2501" s="1117"/>
      <c r="AT2501" s="1075"/>
      <c r="AU2501" s="1193"/>
      <c r="AV2501" s="330"/>
      <c r="AW2501" s="331"/>
      <c r="AX2501" s="331"/>
      <c r="AY2501" s="331"/>
      <c r="AZ2501" s="331"/>
      <c r="BA2501" s="331"/>
      <c r="BB2501" s="331"/>
      <c r="BC2501" s="331"/>
      <c r="BD2501" s="331"/>
      <c r="BE2501" s="333"/>
      <c r="BF2501" s="330"/>
      <c r="BG2501" s="333"/>
      <c r="BH2501" s="1119"/>
      <c r="BI2501" s="319"/>
      <c r="BJ2501" s="319"/>
      <c r="BK2501" s="319"/>
      <c r="BL2501" s="319"/>
      <c r="BM2501" s="319"/>
      <c r="BN2501" s="319"/>
      <c r="BO2501" s="319"/>
      <c r="BP2501" s="953"/>
      <c r="BQ2501" s="319"/>
      <c r="BR2501" s="319"/>
      <c r="BS2501" s="330"/>
      <c r="BT2501" s="331"/>
      <c r="BU2501" s="920"/>
      <c r="BV2501" s="903"/>
      <c r="BW2501" s="908"/>
      <c r="BX2501" s="908"/>
      <c r="BY2501" s="331"/>
      <c r="BZ2501" s="331"/>
      <c r="CA2501" s="462"/>
      <c r="CB2501" s="319"/>
      <c r="CC2501" s="319"/>
      <c r="CD2501" s="319"/>
      <c r="CE2501" s="319"/>
      <c r="CF2501" s="319"/>
      <c r="CG2501" s="319"/>
      <c r="CH2501" s="318"/>
      <c r="CI2501" s="319"/>
      <c r="CJ2501" s="319"/>
      <c r="CK2501" s="342"/>
      <c r="CL2501" s="333"/>
      <c r="CM2501" s="1079"/>
      <c r="CN2501" s="1005"/>
      <c r="CO2501" s="1005"/>
      <c r="CP2501" s="1005"/>
    </row>
    <row r="2502">
      <c r="A2502" s="1257"/>
      <c r="B2502" s="1113"/>
      <c r="C2502" s="1107"/>
      <c r="D2502" s="103"/>
      <c r="E2502" s="1137"/>
      <c r="F2502" s="112"/>
      <c r="G2502" s="1110"/>
      <c r="H2502" s="1138"/>
      <c r="I2502" s="1138"/>
      <c r="J2502" s="1139"/>
      <c r="K2502" s="1111"/>
      <c r="L2502" s="1112"/>
      <c r="M2502" s="1113"/>
      <c r="N2502" s="110"/>
      <c r="O2502" s="1140"/>
      <c r="P2502" s="1115"/>
      <c r="Q2502" s="1116"/>
      <c r="R2502" s="1141"/>
      <c r="S2502" s="1113"/>
      <c r="T2502" s="1143"/>
      <c r="U2502" s="1108"/>
      <c r="V2502" s="1108"/>
      <c r="W2502" s="1108"/>
      <c r="X2502" s="1108"/>
      <c r="Y2502" s="1108"/>
      <c r="Z2502" s="1114"/>
      <c r="AA2502" s="1114"/>
      <c r="AB2502" s="1114"/>
      <c r="AC2502" s="1117"/>
      <c r="AD2502" s="1115"/>
      <c r="AE2502" s="1115"/>
      <c r="AF2502" s="1115"/>
      <c r="AG2502" s="1115"/>
      <c r="AH2502" s="1115"/>
      <c r="AI2502" s="1115"/>
      <c r="AJ2502" s="1117"/>
      <c r="AK2502" s="1118"/>
      <c r="AL2502" s="1115"/>
      <c r="AM2502" s="1115"/>
      <c r="AN2502" s="1115"/>
      <c r="AO2502" s="1115"/>
      <c r="AP2502" s="1115"/>
      <c r="AQ2502" s="1115"/>
      <c r="AR2502" s="1115"/>
      <c r="AS2502" s="1117"/>
      <c r="AT2502" s="1075"/>
      <c r="AU2502" s="1193"/>
      <c r="AV2502" s="330"/>
      <c r="AW2502" s="331"/>
      <c r="AX2502" s="331"/>
      <c r="AY2502" s="331"/>
      <c r="AZ2502" s="331"/>
      <c r="BA2502" s="331"/>
      <c r="BB2502" s="331"/>
      <c r="BC2502" s="331"/>
      <c r="BD2502" s="331"/>
      <c r="BE2502" s="333"/>
      <c r="BF2502" s="330"/>
      <c r="BG2502" s="333"/>
      <c r="BH2502" s="1119"/>
      <c r="BI2502" s="319"/>
      <c r="BJ2502" s="319"/>
      <c r="BK2502" s="319"/>
      <c r="BL2502" s="319"/>
      <c r="BM2502" s="319"/>
      <c r="BN2502" s="319"/>
      <c r="BO2502" s="319"/>
      <c r="BP2502" s="953"/>
      <c r="BQ2502" s="319"/>
      <c r="BR2502" s="319"/>
      <c r="BS2502" s="330"/>
      <c r="BT2502" s="331"/>
      <c r="BU2502" s="920"/>
      <c r="BV2502" s="903"/>
      <c r="BW2502" s="908"/>
      <c r="BX2502" s="908"/>
      <c r="BY2502" s="331"/>
      <c r="BZ2502" s="331"/>
      <c r="CA2502" s="462"/>
      <c r="CB2502" s="319"/>
      <c r="CC2502" s="319"/>
      <c r="CD2502" s="319"/>
      <c r="CE2502" s="319"/>
      <c r="CF2502" s="319"/>
      <c r="CG2502" s="319"/>
      <c r="CH2502" s="318"/>
      <c r="CI2502" s="319"/>
      <c r="CJ2502" s="319"/>
      <c r="CK2502" s="342"/>
      <c r="CL2502" s="333"/>
      <c r="CM2502" s="1079"/>
      <c r="CN2502" s="1005"/>
      <c r="CO2502" s="1005"/>
      <c r="CP2502" s="1005"/>
    </row>
    <row r="2503">
      <c r="A2503" s="1257"/>
      <c r="B2503" s="1113"/>
      <c r="C2503" s="1107"/>
      <c r="D2503" s="103"/>
      <c r="E2503" s="1137"/>
      <c r="F2503" s="112"/>
      <c r="G2503" s="1110"/>
      <c r="H2503" s="1138"/>
      <c r="I2503" s="1138"/>
      <c r="J2503" s="1139"/>
      <c r="K2503" s="1111"/>
      <c r="L2503" s="1112"/>
      <c r="M2503" s="1113"/>
      <c r="N2503" s="110"/>
      <c r="O2503" s="1140"/>
      <c r="P2503" s="1115"/>
      <c r="Q2503" s="1116"/>
      <c r="R2503" s="1141"/>
      <c r="S2503" s="1113"/>
      <c r="T2503" s="1143"/>
      <c r="U2503" s="1108"/>
      <c r="V2503" s="1108"/>
      <c r="W2503" s="1108"/>
      <c r="X2503" s="1108"/>
      <c r="Y2503" s="1108"/>
      <c r="Z2503" s="1114"/>
      <c r="AA2503" s="1114"/>
      <c r="AB2503" s="1114"/>
      <c r="AC2503" s="1117"/>
      <c r="AD2503" s="1115"/>
      <c r="AE2503" s="1115"/>
      <c r="AF2503" s="1115"/>
      <c r="AG2503" s="1115"/>
      <c r="AH2503" s="1115"/>
      <c r="AI2503" s="1115"/>
      <c r="AJ2503" s="1117"/>
      <c r="AK2503" s="1118"/>
      <c r="AL2503" s="1115"/>
      <c r="AM2503" s="1115"/>
      <c r="AN2503" s="1115"/>
      <c r="AO2503" s="1115"/>
      <c r="AP2503" s="1115"/>
      <c r="AQ2503" s="1115"/>
      <c r="AR2503" s="1115"/>
      <c r="AS2503" s="1117"/>
      <c r="AT2503" s="1075"/>
      <c r="AU2503" s="1193"/>
      <c r="AV2503" s="330"/>
      <c r="AW2503" s="331"/>
      <c r="AX2503" s="331"/>
      <c r="AY2503" s="331"/>
      <c r="AZ2503" s="331"/>
      <c r="BA2503" s="331"/>
      <c r="BB2503" s="331"/>
      <c r="BC2503" s="331"/>
      <c r="BD2503" s="331"/>
      <c r="BE2503" s="333"/>
      <c r="BF2503" s="330"/>
      <c r="BG2503" s="333"/>
      <c r="BH2503" s="1119"/>
      <c r="BI2503" s="319"/>
      <c r="BJ2503" s="319"/>
      <c r="BK2503" s="319"/>
      <c r="BL2503" s="319"/>
      <c r="BM2503" s="319"/>
      <c r="BN2503" s="319"/>
      <c r="BO2503" s="319"/>
      <c r="BP2503" s="953"/>
      <c r="BQ2503" s="319"/>
      <c r="BR2503" s="319"/>
      <c r="BS2503" s="330"/>
      <c r="BT2503" s="331"/>
      <c r="BU2503" s="920"/>
      <c r="BV2503" s="903"/>
      <c r="BW2503" s="908"/>
      <c r="BX2503" s="908"/>
      <c r="BY2503" s="331"/>
      <c r="BZ2503" s="331"/>
      <c r="CA2503" s="462"/>
      <c r="CB2503" s="319"/>
      <c r="CC2503" s="319"/>
      <c r="CD2503" s="319"/>
      <c r="CE2503" s="319"/>
      <c r="CF2503" s="319"/>
      <c r="CG2503" s="319"/>
      <c r="CH2503" s="318"/>
      <c r="CI2503" s="319"/>
      <c r="CJ2503" s="319"/>
      <c r="CK2503" s="342"/>
      <c r="CL2503" s="333"/>
      <c r="CM2503" s="1079"/>
      <c r="CN2503" s="1005"/>
      <c r="CO2503" s="1005"/>
      <c r="CP2503" s="1005"/>
    </row>
    <row r="2504">
      <c r="A2504" s="1257"/>
      <c r="B2504" s="1113"/>
      <c r="C2504" s="1107"/>
      <c r="D2504" s="103"/>
      <c r="E2504" s="1137"/>
      <c r="F2504" s="112"/>
      <c r="G2504" s="1110"/>
      <c r="H2504" s="1138"/>
      <c r="I2504" s="1138"/>
      <c r="J2504" s="1139"/>
      <c r="K2504" s="1111"/>
      <c r="L2504" s="1112"/>
      <c r="M2504" s="1113"/>
      <c r="N2504" s="110"/>
      <c r="O2504" s="1140"/>
      <c r="P2504" s="1115"/>
      <c r="Q2504" s="1116"/>
      <c r="R2504" s="1141"/>
      <c r="S2504" s="1113"/>
      <c r="T2504" s="1143"/>
      <c r="U2504" s="1108"/>
      <c r="V2504" s="1108"/>
      <c r="W2504" s="1108"/>
      <c r="X2504" s="1108"/>
      <c r="Y2504" s="1108"/>
      <c r="Z2504" s="1114"/>
      <c r="AA2504" s="1114"/>
      <c r="AB2504" s="1114"/>
      <c r="AC2504" s="1117"/>
      <c r="AD2504" s="1115"/>
      <c r="AE2504" s="1115"/>
      <c r="AF2504" s="1115"/>
      <c r="AG2504" s="1115"/>
      <c r="AH2504" s="1115"/>
      <c r="AI2504" s="1115"/>
      <c r="AJ2504" s="1117"/>
      <c r="AK2504" s="1118"/>
      <c r="AL2504" s="1115"/>
      <c r="AM2504" s="1115"/>
      <c r="AN2504" s="1115"/>
      <c r="AO2504" s="1115"/>
      <c r="AP2504" s="1115"/>
      <c r="AQ2504" s="1115"/>
      <c r="AR2504" s="1115"/>
      <c r="AS2504" s="1117"/>
      <c r="AT2504" s="1075"/>
      <c r="AU2504" s="1193"/>
      <c r="AV2504" s="330"/>
      <c r="AW2504" s="331"/>
      <c r="AX2504" s="331"/>
      <c r="AY2504" s="331"/>
      <c r="AZ2504" s="331"/>
      <c r="BA2504" s="331"/>
      <c r="BB2504" s="331"/>
      <c r="BC2504" s="331"/>
      <c r="BD2504" s="331"/>
      <c r="BE2504" s="333"/>
      <c r="BF2504" s="330"/>
      <c r="BG2504" s="333"/>
      <c r="BH2504" s="1119"/>
      <c r="BI2504" s="319"/>
      <c r="BJ2504" s="319"/>
      <c r="BK2504" s="319"/>
      <c r="BL2504" s="319"/>
      <c r="BM2504" s="319"/>
      <c r="BN2504" s="319"/>
      <c r="BO2504" s="319"/>
      <c r="BP2504" s="953"/>
      <c r="BQ2504" s="319"/>
      <c r="BR2504" s="319"/>
      <c r="BS2504" s="330"/>
      <c r="BT2504" s="331"/>
      <c r="BU2504" s="920"/>
      <c r="BV2504" s="903"/>
      <c r="BW2504" s="908"/>
      <c r="BX2504" s="908"/>
      <c r="BY2504" s="331"/>
      <c r="BZ2504" s="331"/>
      <c r="CA2504" s="462"/>
      <c r="CB2504" s="319"/>
      <c r="CC2504" s="319"/>
      <c r="CD2504" s="319"/>
      <c r="CE2504" s="319"/>
      <c r="CF2504" s="319"/>
      <c r="CG2504" s="319"/>
      <c r="CH2504" s="318"/>
      <c r="CI2504" s="319"/>
      <c r="CJ2504" s="319"/>
      <c r="CK2504" s="342"/>
      <c r="CL2504" s="333"/>
      <c r="CM2504" s="1079"/>
      <c r="CN2504" s="1005"/>
      <c r="CO2504" s="1005"/>
      <c r="CP2504" s="1005"/>
    </row>
    <row r="2505">
      <c r="A2505" s="1257"/>
      <c r="B2505" s="1113"/>
      <c r="C2505" s="1107"/>
      <c r="D2505" s="103"/>
      <c r="E2505" s="1137"/>
      <c r="F2505" s="112"/>
      <c r="G2505" s="1110"/>
      <c r="H2505" s="1138"/>
      <c r="I2505" s="1138"/>
      <c r="J2505" s="1139"/>
      <c r="K2505" s="1111"/>
      <c r="L2505" s="1112"/>
      <c r="M2505" s="1113"/>
      <c r="N2505" s="110"/>
      <c r="O2505" s="1140"/>
      <c r="P2505" s="1115"/>
      <c r="Q2505" s="1116"/>
      <c r="R2505" s="1141"/>
      <c r="S2505" s="1113"/>
      <c r="T2505" s="1143"/>
      <c r="U2505" s="1108"/>
      <c r="V2505" s="1108"/>
      <c r="W2505" s="1108"/>
      <c r="X2505" s="1108"/>
      <c r="Y2505" s="1108"/>
      <c r="Z2505" s="1114"/>
      <c r="AA2505" s="1114"/>
      <c r="AB2505" s="1114"/>
      <c r="AC2505" s="1117"/>
      <c r="AD2505" s="1115"/>
      <c r="AE2505" s="1115"/>
      <c r="AF2505" s="1115"/>
      <c r="AG2505" s="1115"/>
      <c r="AH2505" s="1115"/>
      <c r="AI2505" s="1115"/>
      <c r="AJ2505" s="1117"/>
      <c r="AK2505" s="1118"/>
      <c r="AL2505" s="1115"/>
      <c r="AM2505" s="1115"/>
      <c r="AN2505" s="1115"/>
      <c r="AO2505" s="1115"/>
      <c r="AP2505" s="1115"/>
      <c r="AQ2505" s="1115"/>
      <c r="AR2505" s="1115"/>
      <c r="AS2505" s="1117"/>
      <c r="AT2505" s="1075"/>
      <c r="AU2505" s="1193"/>
      <c r="AV2505" s="330"/>
      <c r="AW2505" s="331"/>
      <c r="AX2505" s="331"/>
      <c r="AY2505" s="331"/>
      <c r="AZ2505" s="331"/>
      <c r="BA2505" s="331"/>
      <c r="BB2505" s="331"/>
      <c r="BC2505" s="331"/>
      <c r="BD2505" s="331"/>
      <c r="BE2505" s="333"/>
      <c r="BF2505" s="330"/>
      <c r="BG2505" s="333"/>
      <c r="BH2505" s="1119"/>
      <c r="BI2505" s="319"/>
      <c r="BJ2505" s="319"/>
      <c r="BK2505" s="319"/>
      <c r="BL2505" s="319"/>
      <c r="BM2505" s="319"/>
      <c r="BN2505" s="319"/>
      <c r="BO2505" s="319"/>
      <c r="BP2505" s="953"/>
      <c r="BQ2505" s="319"/>
      <c r="BR2505" s="319"/>
      <c r="BS2505" s="330"/>
      <c r="BT2505" s="331"/>
      <c r="BU2505" s="920"/>
      <c r="BV2505" s="903"/>
      <c r="BW2505" s="908"/>
      <c r="BX2505" s="908"/>
      <c r="BY2505" s="331"/>
      <c r="BZ2505" s="331"/>
      <c r="CA2505" s="462"/>
      <c r="CB2505" s="319"/>
      <c r="CC2505" s="319"/>
      <c r="CD2505" s="319"/>
      <c r="CE2505" s="319"/>
      <c r="CF2505" s="319"/>
      <c r="CG2505" s="319"/>
      <c r="CH2505" s="318"/>
      <c r="CI2505" s="319"/>
      <c r="CJ2505" s="319"/>
      <c r="CK2505" s="342"/>
      <c r="CL2505" s="333"/>
      <c r="CM2505" s="1079"/>
      <c r="CN2505" s="1005"/>
      <c r="CO2505" s="1005"/>
      <c r="CP2505" s="1005"/>
    </row>
    <row r="2506">
      <c r="A2506" s="1257"/>
      <c r="B2506" s="1113"/>
      <c r="C2506" s="1107"/>
      <c r="D2506" s="103"/>
      <c r="E2506" s="1137"/>
      <c r="F2506" s="112"/>
      <c r="G2506" s="1110"/>
      <c r="H2506" s="1138"/>
      <c r="I2506" s="1138"/>
      <c r="J2506" s="1139"/>
      <c r="K2506" s="1111"/>
      <c r="L2506" s="1112"/>
      <c r="M2506" s="1113"/>
      <c r="N2506" s="110"/>
      <c r="O2506" s="1140"/>
      <c r="P2506" s="1115"/>
      <c r="Q2506" s="1116"/>
      <c r="R2506" s="1141"/>
      <c r="S2506" s="1113"/>
      <c r="T2506" s="1143"/>
      <c r="U2506" s="1108"/>
      <c r="V2506" s="1108"/>
      <c r="W2506" s="1108"/>
      <c r="X2506" s="1108"/>
      <c r="Y2506" s="1108"/>
      <c r="Z2506" s="1114"/>
      <c r="AA2506" s="1114"/>
      <c r="AB2506" s="1114"/>
      <c r="AC2506" s="1117"/>
      <c r="AD2506" s="1115"/>
      <c r="AE2506" s="1115"/>
      <c r="AF2506" s="1115"/>
      <c r="AG2506" s="1115"/>
      <c r="AH2506" s="1115"/>
      <c r="AI2506" s="1115"/>
      <c r="AJ2506" s="1117"/>
      <c r="AK2506" s="1118"/>
      <c r="AL2506" s="1115"/>
      <c r="AM2506" s="1115"/>
      <c r="AN2506" s="1115"/>
      <c r="AO2506" s="1115"/>
      <c r="AP2506" s="1115"/>
      <c r="AQ2506" s="1115"/>
      <c r="AR2506" s="1115"/>
      <c r="AS2506" s="1117"/>
      <c r="AT2506" s="1075"/>
      <c r="AU2506" s="1193"/>
      <c r="AV2506" s="330"/>
      <c r="AW2506" s="331"/>
      <c r="AX2506" s="331"/>
      <c r="AY2506" s="331"/>
      <c r="AZ2506" s="331"/>
      <c r="BA2506" s="331"/>
      <c r="BB2506" s="331"/>
      <c r="BC2506" s="331"/>
      <c r="BD2506" s="331"/>
      <c r="BE2506" s="333"/>
      <c r="BF2506" s="330"/>
      <c r="BG2506" s="333"/>
      <c r="BH2506" s="1119"/>
      <c r="BI2506" s="319"/>
      <c r="BJ2506" s="319"/>
      <c r="BK2506" s="319"/>
      <c r="BL2506" s="319"/>
      <c r="BM2506" s="319"/>
      <c r="BN2506" s="319"/>
      <c r="BO2506" s="319"/>
      <c r="BP2506" s="953"/>
      <c r="BQ2506" s="319"/>
      <c r="BR2506" s="319"/>
      <c r="BS2506" s="330"/>
      <c r="BT2506" s="331"/>
      <c r="BU2506" s="920"/>
      <c r="BV2506" s="903"/>
      <c r="BW2506" s="908"/>
      <c r="BX2506" s="908"/>
      <c r="BY2506" s="331"/>
      <c r="BZ2506" s="331"/>
      <c r="CA2506" s="462"/>
      <c r="CB2506" s="319"/>
      <c r="CC2506" s="319"/>
      <c r="CD2506" s="319"/>
      <c r="CE2506" s="319"/>
      <c r="CF2506" s="319"/>
      <c r="CG2506" s="319"/>
      <c r="CH2506" s="318"/>
      <c r="CI2506" s="319"/>
      <c r="CJ2506" s="319"/>
      <c r="CK2506" s="342"/>
      <c r="CL2506" s="333"/>
      <c r="CM2506" s="1079"/>
      <c r="CN2506" s="1005"/>
      <c r="CO2506" s="1005"/>
      <c r="CP2506" s="1005"/>
    </row>
    <row r="2507">
      <c r="A2507" s="1257"/>
      <c r="B2507" s="1113"/>
      <c r="C2507" s="1107"/>
      <c r="D2507" s="103"/>
      <c r="E2507" s="1137"/>
      <c r="F2507" s="112"/>
      <c r="G2507" s="1110"/>
      <c r="H2507" s="1138"/>
      <c r="I2507" s="1138"/>
      <c r="J2507" s="1139"/>
      <c r="K2507" s="1111"/>
      <c r="L2507" s="1112"/>
      <c r="M2507" s="1113"/>
      <c r="N2507" s="110"/>
      <c r="O2507" s="1140"/>
      <c r="P2507" s="1115"/>
      <c r="Q2507" s="1116"/>
      <c r="R2507" s="1141"/>
      <c r="S2507" s="1113"/>
      <c r="T2507" s="1143"/>
      <c r="U2507" s="1108"/>
      <c r="V2507" s="1108"/>
      <c r="W2507" s="1108"/>
      <c r="X2507" s="1108"/>
      <c r="Y2507" s="1108"/>
      <c r="Z2507" s="1114"/>
      <c r="AA2507" s="1114"/>
      <c r="AB2507" s="1114"/>
      <c r="AC2507" s="1117"/>
      <c r="AD2507" s="1115"/>
      <c r="AE2507" s="1115"/>
      <c r="AF2507" s="1115"/>
      <c r="AG2507" s="1115"/>
      <c r="AH2507" s="1115"/>
      <c r="AI2507" s="1115"/>
      <c r="AJ2507" s="1117"/>
      <c r="AK2507" s="1118"/>
      <c r="AL2507" s="1115"/>
      <c r="AM2507" s="1115"/>
      <c r="AN2507" s="1115"/>
      <c r="AO2507" s="1115"/>
      <c r="AP2507" s="1115"/>
      <c r="AQ2507" s="1115"/>
      <c r="AR2507" s="1115"/>
      <c r="AS2507" s="1117"/>
      <c r="AT2507" s="1075"/>
      <c r="AU2507" s="1193"/>
      <c r="AV2507" s="330"/>
      <c r="AW2507" s="331"/>
      <c r="AX2507" s="331"/>
      <c r="AY2507" s="331"/>
      <c r="AZ2507" s="331"/>
      <c r="BA2507" s="331"/>
      <c r="BB2507" s="331"/>
      <c r="BC2507" s="331"/>
      <c r="BD2507" s="331"/>
      <c r="BE2507" s="333"/>
      <c r="BF2507" s="330"/>
      <c r="BG2507" s="333"/>
      <c r="BH2507" s="1119"/>
      <c r="BI2507" s="319"/>
      <c r="BJ2507" s="319"/>
      <c r="BK2507" s="319"/>
      <c r="BL2507" s="319"/>
      <c r="BM2507" s="319"/>
      <c r="BN2507" s="319"/>
      <c r="BO2507" s="319"/>
      <c r="BP2507" s="953"/>
      <c r="BQ2507" s="319"/>
      <c r="BR2507" s="319"/>
      <c r="BS2507" s="330"/>
      <c r="BT2507" s="331"/>
      <c r="BU2507" s="920"/>
      <c r="BV2507" s="903"/>
      <c r="BW2507" s="908"/>
      <c r="BX2507" s="908"/>
      <c r="BY2507" s="331"/>
      <c r="BZ2507" s="331"/>
      <c r="CA2507" s="462"/>
      <c r="CB2507" s="319"/>
      <c r="CC2507" s="319"/>
      <c r="CD2507" s="319"/>
      <c r="CE2507" s="319"/>
      <c r="CF2507" s="319"/>
      <c r="CG2507" s="319"/>
      <c r="CH2507" s="318"/>
      <c r="CI2507" s="319"/>
      <c r="CJ2507" s="319"/>
      <c r="CK2507" s="342"/>
      <c r="CL2507" s="333"/>
      <c r="CM2507" s="1079"/>
      <c r="CN2507" s="1005"/>
      <c r="CO2507" s="1005"/>
      <c r="CP2507" s="1005"/>
    </row>
    <row r="2508">
      <c r="A2508" s="1257"/>
      <c r="B2508" s="1113"/>
      <c r="C2508" s="1107"/>
      <c r="D2508" s="103"/>
      <c r="E2508" s="1137"/>
      <c r="F2508" s="112"/>
      <c r="G2508" s="1110"/>
      <c r="H2508" s="1138"/>
      <c r="I2508" s="1138"/>
      <c r="J2508" s="1139"/>
      <c r="K2508" s="1111"/>
      <c r="L2508" s="1112"/>
      <c r="M2508" s="1113"/>
      <c r="N2508" s="110"/>
      <c r="O2508" s="1140"/>
      <c r="P2508" s="1115"/>
      <c r="Q2508" s="1116"/>
      <c r="R2508" s="1141"/>
      <c r="S2508" s="1113"/>
      <c r="T2508" s="1143"/>
      <c r="U2508" s="1108"/>
      <c r="V2508" s="1108"/>
      <c r="W2508" s="1108"/>
      <c r="X2508" s="1108"/>
      <c r="Y2508" s="1108"/>
      <c r="Z2508" s="1114"/>
      <c r="AA2508" s="1114"/>
      <c r="AB2508" s="1114"/>
      <c r="AC2508" s="1117"/>
      <c r="AD2508" s="1115"/>
      <c r="AE2508" s="1115"/>
      <c r="AF2508" s="1115"/>
      <c r="AG2508" s="1115"/>
      <c r="AH2508" s="1115"/>
      <c r="AI2508" s="1115"/>
      <c r="AJ2508" s="1117"/>
      <c r="AK2508" s="1118"/>
      <c r="AL2508" s="1115"/>
      <c r="AM2508" s="1115"/>
      <c r="AN2508" s="1115"/>
      <c r="AO2508" s="1115"/>
      <c r="AP2508" s="1115"/>
      <c r="AQ2508" s="1115"/>
      <c r="AR2508" s="1115"/>
      <c r="AS2508" s="1117"/>
      <c r="AT2508" s="1075"/>
      <c r="AU2508" s="1193"/>
      <c r="AV2508" s="330"/>
      <c r="AW2508" s="331"/>
      <c r="AX2508" s="331"/>
      <c r="AY2508" s="331"/>
      <c r="AZ2508" s="331"/>
      <c r="BA2508" s="331"/>
      <c r="BB2508" s="331"/>
      <c r="BC2508" s="331"/>
      <c r="BD2508" s="331"/>
      <c r="BE2508" s="333"/>
      <c r="BF2508" s="330"/>
      <c r="BG2508" s="333"/>
      <c r="BH2508" s="1119"/>
      <c r="BI2508" s="319"/>
      <c r="BJ2508" s="319"/>
      <c r="BK2508" s="319"/>
      <c r="BL2508" s="319"/>
      <c r="BM2508" s="319"/>
      <c r="BN2508" s="319"/>
      <c r="BO2508" s="319"/>
      <c r="BP2508" s="953"/>
      <c r="BQ2508" s="319"/>
      <c r="BR2508" s="319"/>
      <c r="BS2508" s="330"/>
      <c r="BT2508" s="331"/>
      <c r="BU2508" s="920"/>
      <c r="BV2508" s="903"/>
      <c r="BW2508" s="908"/>
      <c r="BX2508" s="908"/>
      <c r="BY2508" s="331"/>
      <c r="BZ2508" s="331"/>
      <c r="CA2508" s="462"/>
      <c r="CB2508" s="319"/>
      <c r="CC2508" s="319"/>
      <c r="CD2508" s="319"/>
      <c r="CE2508" s="319"/>
      <c r="CF2508" s="319"/>
      <c r="CG2508" s="319"/>
      <c r="CH2508" s="318"/>
      <c r="CI2508" s="319"/>
      <c r="CJ2508" s="319"/>
      <c r="CK2508" s="342"/>
      <c r="CL2508" s="333"/>
      <c r="CM2508" s="1079"/>
      <c r="CN2508" s="1005"/>
      <c r="CO2508" s="1005"/>
      <c r="CP2508" s="1005"/>
    </row>
    <row r="2509">
      <c r="A2509" s="1257"/>
      <c r="B2509" s="1113"/>
      <c r="C2509" s="1107"/>
      <c r="D2509" s="103"/>
      <c r="E2509" s="1137"/>
      <c r="F2509" s="112"/>
      <c r="G2509" s="1110"/>
      <c r="H2509" s="1138"/>
      <c r="I2509" s="1138"/>
      <c r="J2509" s="1139"/>
      <c r="K2509" s="1111"/>
      <c r="L2509" s="1112"/>
      <c r="M2509" s="1113"/>
      <c r="N2509" s="110"/>
      <c r="O2509" s="1140"/>
      <c r="P2509" s="1115"/>
      <c r="Q2509" s="1116"/>
      <c r="R2509" s="1141"/>
      <c r="S2509" s="1113"/>
      <c r="T2509" s="1143"/>
      <c r="U2509" s="1108"/>
      <c r="V2509" s="1108"/>
      <c r="W2509" s="1108"/>
      <c r="X2509" s="1108"/>
      <c r="Y2509" s="1108"/>
      <c r="Z2509" s="1114"/>
      <c r="AA2509" s="1114"/>
      <c r="AB2509" s="1114"/>
      <c r="AC2509" s="1117"/>
      <c r="AD2509" s="1115"/>
      <c r="AE2509" s="1115"/>
      <c r="AF2509" s="1115"/>
      <c r="AG2509" s="1115"/>
      <c r="AH2509" s="1115"/>
      <c r="AI2509" s="1115"/>
      <c r="AJ2509" s="1117"/>
      <c r="AK2509" s="1118"/>
      <c r="AL2509" s="1115"/>
      <c r="AM2509" s="1115"/>
      <c r="AN2509" s="1115"/>
      <c r="AO2509" s="1115"/>
      <c r="AP2509" s="1115"/>
      <c r="AQ2509" s="1115"/>
      <c r="AR2509" s="1115"/>
      <c r="AS2509" s="1117"/>
      <c r="AT2509" s="1075"/>
      <c r="AU2509" s="1193"/>
      <c r="AV2509" s="330"/>
      <c r="AW2509" s="331"/>
      <c r="AX2509" s="331"/>
      <c r="AY2509" s="331"/>
      <c r="AZ2509" s="331"/>
      <c r="BA2509" s="331"/>
      <c r="BB2509" s="331"/>
      <c r="BC2509" s="331"/>
      <c r="BD2509" s="331"/>
      <c r="BE2509" s="333"/>
      <c r="BF2509" s="330"/>
      <c r="BG2509" s="333"/>
      <c r="BH2509" s="1119"/>
      <c r="BI2509" s="319"/>
      <c r="BJ2509" s="319"/>
      <c r="BK2509" s="319"/>
      <c r="BL2509" s="319"/>
      <c r="BM2509" s="319"/>
      <c r="BN2509" s="319"/>
      <c r="BO2509" s="319"/>
      <c r="BP2509" s="953"/>
      <c r="BQ2509" s="319"/>
      <c r="BR2509" s="319"/>
      <c r="BS2509" s="330"/>
      <c r="BT2509" s="331"/>
      <c r="BU2509" s="920"/>
      <c r="BV2509" s="903"/>
      <c r="BW2509" s="908"/>
      <c r="BX2509" s="908"/>
      <c r="BY2509" s="331"/>
      <c r="BZ2509" s="331"/>
      <c r="CA2509" s="462"/>
      <c r="CB2509" s="319"/>
      <c r="CC2509" s="319"/>
      <c r="CD2509" s="319"/>
      <c r="CE2509" s="319"/>
      <c r="CF2509" s="319"/>
      <c r="CG2509" s="319"/>
      <c r="CH2509" s="318"/>
      <c r="CI2509" s="319"/>
      <c r="CJ2509" s="319"/>
      <c r="CK2509" s="342"/>
      <c r="CL2509" s="333"/>
      <c r="CM2509" s="1079"/>
      <c r="CN2509" s="1005"/>
      <c r="CO2509" s="1005"/>
      <c r="CP2509" s="1005"/>
    </row>
    <row r="2510">
      <c r="A2510" s="1257"/>
      <c r="B2510" s="1113"/>
      <c r="C2510" s="1107"/>
      <c r="D2510" s="103"/>
      <c r="E2510" s="1137"/>
      <c r="F2510" s="112"/>
      <c r="G2510" s="1110"/>
      <c r="H2510" s="1138"/>
      <c r="I2510" s="1138"/>
      <c r="J2510" s="1139"/>
      <c r="K2510" s="1111"/>
      <c r="L2510" s="1112"/>
      <c r="M2510" s="1113"/>
      <c r="N2510" s="110"/>
      <c r="O2510" s="1140"/>
      <c r="P2510" s="1115"/>
      <c r="Q2510" s="1116"/>
      <c r="R2510" s="1141"/>
      <c r="S2510" s="1113"/>
      <c r="T2510" s="1143"/>
      <c r="U2510" s="1108"/>
      <c r="V2510" s="1108"/>
      <c r="W2510" s="1108"/>
      <c r="X2510" s="1108"/>
      <c r="Y2510" s="1108"/>
      <c r="Z2510" s="1114"/>
      <c r="AA2510" s="1114"/>
      <c r="AB2510" s="1114"/>
      <c r="AC2510" s="1117"/>
      <c r="AD2510" s="1115"/>
      <c r="AE2510" s="1115"/>
      <c r="AF2510" s="1115"/>
      <c r="AG2510" s="1115"/>
      <c r="AH2510" s="1115"/>
      <c r="AI2510" s="1115"/>
      <c r="AJ2510" s="1117"/>
      <c r="AK2510" s="1118"/>
      <c r="AL2510" s="1115"/>
      <c r="AM2510" s="1115"/>
      <c r="AN2510" s="1115"/>
      <c r="AO2510" s="1115"/>
      <c r="AP2510" s="1115"/>
      <c r="AQ2510" s="1115"/>
      <c r="AR2510" s="1115"/>
      <c r="AS2510" s="1117"/>
      <c r="AT2510" s="1075"/>
      <c r="AU2510" s="1193"/>
      <c r="AV2510" s="330"/>
      <c r="AW2510" s="331"/>
      <c r="AX2510" s="331"/>
      <c r="AY2510" s="331"/>
      <c r="AZ2510" s="331"/>
      <c r="BA2510" s="331"/>
      <c r="BB2510" s="331"/>
      <c r="BC2510" s="331"/>
      <c r="BD2510" s="331"/>
      <c r="BE2510" s="333"/>
      <c r="BF2510" s="330"/>
      <c r="BG2510" s="333"/>
      <c r="BH2510" s="1119"/>
      <c r="BI2510" s="319"/>
      <c r="BJ2510" s="319"/>
      <c r="BK2510" s="319"/>
      <c r="BL2510" s="319"/>
      <c r="BM2510" s="319"/>
      <c r="BN2510" s="319"/>
      <c r="BO2510" s="319"/>
      <c r="BP2510" s="953"/>
      <c r="BQ2510" s="319"/>
      <c r="BR2510" s="319"/>
      <c r="BS2510" s="330"/>
      <c r="BT2510" s="331"/>
      <c r="BU2510" s="920"/>
      <c r="BV2510" s="903"/>
      <c r="BW2510" s="908"/>
      <c r="BX2510" s="908"/>
      <c r="BY2510" s="331"/>
      <c r="BZ2510" s="331"/>
      <c r="CA2510" s="462"/>
      <c r="CB2510" s="319"/>
      <c r="CC2510" s="319"/>
      <c r="CD2510" s="319"/>
      <c r="CE2510" s="319"/>
      <c r="CF2510" s="319"/>
      <c r="CG2510" s="319"/>
      <c r="CH2510" s="318"/>
      <c r="CI2510" s="319"/>
      <c r="CJ2510" s="319"/>
      <c r="CK2510" s="342"/>
      <c r="CL2510" s="333"/>
      <c r="CM2510" s="1079"/>
      <c r="CN2510" s="1005"/>
      <c r="CO2510" s="1005"/>
      <c r="CP2510" s="1005"/>
    </row>
    <row r="2511">
      <c r="A2511" s="1257"/>
      <c r="B2511" s="1113"/>
      <c r="C2511" s="1107"/>
      <c r="D2511" s="103"/>
      <c r="E2511" s="1137"/>
      <c r="F2511" s="112"/>
      <c r="G2511" s="1110"/>
      <c r="H2511" s="1138"/>
      <c r="I2511" s="1138"/>
      <c r="J2511" s="1139"/>
      <c r="K2511" s="1111"/>
      <c r="L2511" s="1112"/>
      <c r="M2511" s="1113"/>
      <c r="N2511" s="110"/>
      <c r="O2511" s="1140"/>
      <c r="P2511" s="1115"/>
      <c r="Q2511" s="1116"/>
      <c r="R2511" s="1141"/>
      <c r="S2511" s="1113"/>
      <c r="T2511" s="1143"/>
      <c r="U2511" s="1108"/>
      <c r="V2511" s="1108"/>
      <c r="W2511" s="1108"/>
      <c r="X2511" s="1108"/>
      <c r="Y2511" s="1108"/>
      <c r="Z2511" s="1114"/>
      <c r="AA2511" s="1114"/>
      <c r="AB2511" s="1114"/>
      <c r="AC2511" s="1117"/>
      <c r="AD2511" s="1115"/>
      <c r="AE2511" s="1115"/>
      <c r="AF2511" s="1115"/>
      <c r="AG2511" s="1115"/>
      <c r="AH2511" s="1115"/>
      <c r="AI2511" s="1115"/>
      <c r="AJ2511" s="1117"/>
      <c r="AK2511" s="1118"/>
      <c r="AL2511" s="1115"/>
      <c r="AM2511" s="1115"/>
      <c r="AN2511" s="1115"/>
      <c r="AO2511" s="1115"/>
      <c r="AP2511" s="1115"/>
      <c r="AQ2511" s="1115"/>
      <c r="AR2511" s="1115"/>
      <c r="AS2511" s="1117"/>
      <c r="AT2511" s="1075"/>
      <c r="AU2511" s="1193"/>
      <c r="AV2511" s="330"/>
      <c r="AW2511" s="331"/>
      <c r="AX2511" s="331"/>
      <c r="AY2511" s="331"/>
      <c r="AZ2511" s="331"/>
      <c r="BA2511" s="331"/>
      <c r="BB2511" s="331"/>
      <c r="BC2511" s="331"/>
      <c r="BD2511" s="331"/>
      <c r="BE2511" s="333"/>
      <c r="BF2511" s="330"/>
      <c r="BG2511" s="333"/>
      <c r="BH2511" s="1119"/>
      <c r="BI2511" s="319"/>
      <c r="BJ2511" s="319"/>
      <c r="BK2511" s="319"/>
      <c r="BL2511" s="319"/>
      <c r="BM2511" s="319"/>
      <c r="BN2511" s="319"/>
      <c r="BO2511" s="319"/>
      <c r="BP2511" s="953"/>
      <c r="BQ2511" s="319"/>
      <c r="BR2511" s="319"/>
      <c r="BS2511" s="330"/>
      <c r="BT2511" s="331"/>
      <c r="BU2511" s="920"/>
      <c r="BV2511" s="903"/>
      <c r="BW2511" s="908"/>
      <c r="BX2511" s="908"/>
      <c r="BY2511" s="331"/>
      <c r="BZ2511" s="331"/>
      <c r="CA2511" s="462"/>
      <c r="CB2511" s="319"/>
      <c r="CC2511" s="319"/>
      <c r="CD2511" s="319"/>
      <c r="CE2511" s="319"/>
      <c r="CF2511" s="319"/>
      <c r="CG2511" s="319"/>
      <c r="CH2511" s="318"/>
      <c r="CI2511" s="319"/>
      <c r="CJ2511" s="319"/>
      <c r="CK2511" s="342"/>
      <c r="CL2511" s="333"/>
      <c r="CM2511" s="1079"/>
      <c r="CN2511" s="1005"/>
      <c r="CO2511" s="1005"/>
      <c r="CP2511" s="1005"/>
    </row>
    <row r="2512">
      <c r="A2512" s="1257"/>
      <c r="B2512" s="1113"/>
      <c r="C2512" s="1107"/>
      <c r="D2512" s="103"/>
      <c r="E2512" s="1137"/>
      <c r="F2512" s="112"/>
      <c r="G2512" s="1110"/>
      <c r="H2512" s="1138"/>
      <c r="I2512" s="1138"/>
      <c r="J2512" s="1139"/>
      <c r="K2512" s="1111"/>
      <c r="L2512" s="1112"/>
      <c r="M2512" s="1113"/>
      <c r="N2512" s="110"/>
      <c r="O2512" s="1140"/>
      <c r="P2512" s="1115"/>
      <c r="Q2512" s="1116"/>
      <c r="R2512" s="1141"/>
      <c r="S2512" s="1113"/>
      <c r="T2512" s="1143"/>
      <c r="U2512" s="1108"/>
      <c r="V2512" s="1108"/>
      <c r="W2512" s="1108"/>
      <c r="X2512" s="1108"/>
      <c r="Y2512" s="1108"/>
      <c r="Z2512" s="1114"/>
      <c r="AA2512" s="1114"/>
      <c r="AB2512" s="1114"/>
      <c r="AC2512" s="1117"/>
      <c r="AD2512" s="1115"/>
      <c r="AE2512" s="1115"/>
      <c r="AF2512" s="1115"/>
      <c r="AG2512" s="1115"/>
      <c r="AH2512" s="1115"/>
      <c r="AI2512" s="1115"/>
      <c r="AJ2512" s="1117"/>
      <c r="AK2512" s="1118"/>
      <c r="AL2512" s="1115"/>
      <c r="AM2512" s="1115"/>
      <c r="AN2512" s="1115"/>
      <c r="AO2512" s="1115"/>
      <c r="AP2512" s="1115"/>
      <c r="AQ2512" s="1115"/>
      <c r="AR2512" s="1115"/>
      <c r="AS2512" s="1117"/>
      <c r="AT2512" s="1075"/>
      <c r="AU2512" s="1193"/>
      <c r="AV2512" s="330"/>
      <c r="AW2512" s="331"/>
      <c r="AX2512" s="331"/>
      <c r="AY2512" s="331"/>
      <c r="AZ2512" s="331"/>
      <c r="BA2512" s="331"/>
      <c r="BB2512" s="331"/>
      <c r="BC2512" s="331"/>
      <c r="BD2512" s="331"/>
      <c r="BE2512" s="333"/>
      <c r="BF2512" s="330"/>
      <c r="BG2512" s="333"/>
      <c r="BH2512" s="1119"/>
      <c r="BI2512" s="319"/>
      <c r="BJ2512" s="319"/>
      <c r="BK2512" s="319"/>
      <c r="BL2512" s="319"/>
      <c r="BM2512" s="319"/>
      <c r="BN2512" s="319"/>
      <c r="BO2512" s="319"/>
      <c r="BP2512" s="953"/>
      <c r="BQ2512" s="319"/>
      <c r="BR2512" s="319"/>
      <c r="BS2512" s="330"/>
      <c r="BT2512" s="331"/>
      <c r="BU2512" s="920"/>
      <c r="BV2512" s="903"/>
      <c r="BW2512" s="908"/>
      <c r="BX2512" s="908"/>
      <c r="BY2512" s="331"/>
      <c r="BZ2512" s="331"/>
      <c r="CA2512" s="462"/>
      <c r="CB2512" s="319"/>
      <c r="CC2512" s="319"/>
      <c r="CD2512" s="319"/>
      <c r="CE2512" s="319"/>
      <c r="CF2512" s="319"/>
      <c r="CG2512" s="319"/>
      <c r="CH2512" s="318"/>
      <c r="CI2512" s="319"/>
      <c r="CJ2512" s="319"/>
      <c r="CK2512" s="342"/>
      <c r="CL2512" s="333"/>
      <c r="CM2512" s="1079"/>
      <c r="CN2512" s="1005"/>
      <c r="CO2512" s="1005"/>
      <c r="CP2512" s="1005"/>
    </row>
    <row r="2513">
      <c r="A2513" s="1257"/>
      <c r="B2513" s="1113"/>
      <c r="C2513" s="1107"/>
      <c r="D2513" s="103"/>
      <c r="E2513" s="1137"/>
      <c r="F2513" s="112"/>
      <c r="G2513" s="1110"/>
      <c r="H2513" s="1138"/>
      <c r="I2513" s="1138"/>
      <c r="J2513" s="1139"/>
      <c r="K2513" s="1111"/>
      <c r="L2513" s="1112"/>
      <c r="M2513" s="1113"/>
      <c r="N2513" s="110"/>
      <c r="O2513" s="1140"/>
      <c r="P2513" s="1115"/>
      <c r="Q2513" s="1116"/>
      <c r="R2513" s="1141"/>
      <c r="S2513" s="1113"/>
      <c r="T2513" s="1143"/>
      <c r="U2513" s="1108"/>
      <c r="V2513" s="1108"/>
      <c r="W2513" s="1108"/>
      <c r="X2513" s="1108"/>
      <c r="Y2513" s="1108"/>
      <c r="Z2513" s="1114"/>
      <c r="AA2513" s="1114"/>
      <c r="AB2513" s="1114"/>
      <c r="AC2513" s="1117"/>
      <c r="AD2513" s="1115"/>
      <c r="AE2513" s="1115"/>
      <c r="AF2513" s="1115"/>
      <c r="AG2513" s="1115"/>
      <c r="AH2513" s="1115"/>
      <c r="AI2513" s="1115"/>
      <c r="AJ2513" s="1117"/>
      <c r="AK2513" s="1118"/>
      <c r="AL2513" s="1115"/>
      <c r="AM2513" s="1115"/>
      <c r="AN2513" s="1115"/>
      <c r="AO2513" s="1115"/>
      <c r="AP2513" s="1115"/>
      <c r="AQ2513" s="1115"/>
      <c r="AR2513" s="1115"/>
      <c r="AS2513" s="1117"/>
      <c r="AT2513" s="1075"/>
      <c r="AU2513" s="1193"/>
      <c r="AV2513" s="330"/>
      <c r="AW2513" s="331"/>
      <c r="AX2513" s="331"/>
      <c r="AY2513" s="331"/>
      <c r="AZ2513" s="331"/>
      <c r="BA2513" s="331"/>
      <c r="BB2513" s="331"/>
      <c r="BC2513" s="331"/>
      <c r="BD2513" s="331"/>
      <c r="BE2513" s="333"/>
      <c r="BF2513" s="330"/>
      <c r="BG2513" s="333"/>
      <c r="BH2513" s="1119"/>
      <c r="BI2513" s="319"/>
      <c r="BJ2513" s="319"/>
      <c r="BK2513" s="319"/>
      <c r="BL2513" s="319"/>
      <c r="BM2513" s="319"/>
      <c r="BN2513" s="319"/>
      <c r="BO2513" s="319"/>
      <c r="BP2513" s="953"/>
      <c r="BQ2513" s="319"/>
      <c r="BR2513" s="319"/>
      <c r="BS2513" s="330"/>
      <c r="BT2513" s="331"/>
      <c r="BU2513" s="920"/>
      <c r="BV2513" s="903"/>
      <c r="BW2513" s="908"/>
      <c r="BX2513" s="908"/>
      <c r="BY2513" s="331"/>
      <c r="BZ2513" s="331"/>
      <c r="CA2513" s="462"/>
      <c r="CB2513" s="319"/>
      <c r="CC2513" s="319"/>
      <c r="CD2513" s="319"/>
      <c r="CE2513" s="319"/>
      <c r="CF2513" s="319"/>
      <c r="CG2513" s="319"/>
      <c r="CH2513" s="318"/>
      <c r="CI2513" s="319"/>
      <c r="CJ2513" s="319"/>
      <c r="CK2513" s="342"/>
      <c r="CL2513" s="333"/>
      <c r="CM2513" s="1079"/>
      <c r="CN2513" s="1005"/>
      <c r="CO2513" s="1005"/>
      <c r="CP2513" s="1005"/>
    </row>
    <row r="2514">
      <c r="A2514" s="1257"/>
      <c r="B2514" s="1113"/>
      <c r="C2514" s="1107"/>
      <c r="D2514" s="103"/>
      <c r="E2514" s="1137"/>
      <c r="F2514" s="112"/>
      <c r="G2514" s="1110"/>
      <c r="H2514" s="1138"/>
      <c r="I2514" s="1138"/>
      <c r="J2514" s="1139"/>
      <c r="K2514" s="1111"/>
      <c r="L2514" s="1112"/>
      <c r="M2514" s="1113"/>
      <c r="N2514" s="110"/>
      <c r="O2514" s="1140"/>
      <c r="P2514" s="1115"/>
      <c r="Q2514" s="1116"/>
      <c r="R2514" s="1141"/>
      <c r="S2514" s="1113"/>
      <c r="T2514" s="1143"/>
      <c r="U2514" s="1108"/>
      <c r="V2514" s="1108"/>
      <c r="W2514" s="1108"/>
      <c r="X2514" s="1108"/>
      <c r="Y2514" s="1108"/>
      <c r="Z2514" s="1114"/>
      <c r="AA2514" s="1114"/>
      <c r="AB2514" s="1114"/>
      <c r="AC2514" s="1117"/>
      <c r="AD2514" s="1115"/>
      <c r="AE2514" s="1115"/>
      <c r="AF2514" s="1115"/>
      <c r="AG2514" s="1115"/>
      <c r="AH2514" s="1115"/>
      <c r="AI2514" s="1115"/>
      <c r="AJ2514" s="1117"/>
      <c r="AK2514" s="1118"/>
      <c r="AL2514" s="1115"/>
      <c r="AM2514" s="1115"/>
      <c r="AN2514" s="1115"/>
      <c r="AO2514" s="1115"/>
      <c r="AP2514" s="1115"/>
      <c r="AQ2514" s="1115"/>
      <c r="AR2514" s="1115"/>
      <c r="AS2514" s="1117"/>
      <c r="AT2514" s="1075"/>
      <c r="AU2514" s="1193"/>
      <c r="AV2514" s="330"/>
      <c r="AW2514" s="331"/>
      <c r="AX2514" s="331"/>
      <c r="AY2514" s="331"/>
      <c r="AZ2514" s="331"/>
      <c r="BA2514" s="331"/>
      <c r="BB2514" s="331"/>
      <c r="BC2514" s="331"/>
      <c r="BD2514" s="331"/>
      <c r="BE2514" s="333"/>
      <c r="BF2514" s="330"/>
      <c r="BG2514" s="333"/>
      <c r="BH2514" s="1119"/>
      <c r="BI2514" s="319"/>
      <c r="BJ2514" s="319"/>
      <c r="BK2514" s="319"/>
      <c r="BL2514" s="319"/>
      <c r="BM2514" s="319"/>
      <c r="BN2514" s="319"/>
      <c r="BO2514" s="319"/>
      <c r="BP2514" s="953"/>
      <c r="BQ2514" s="319"/>
      <c r="BR2514" s="319"/>
      <c r="BS2514" s="330"/>
      <c r="BT2514" s="331"/>
      <c r="BU2514" s="920"/>
      <c r="BV2514" s="903"/>
      <c r="BW2514" s="908"/>
      <c r="BX2514" s="908"/>
      <c r="BY2514" s="331"/>
      <c r="BZ2514" s="331"/>
      <c r="CA2514" s="462"/>
      <c r="CB2514" s="319"/>
      <c r="CC2514" s="319"/>
      <c r="CD2514" s="319"/>
      <c r="CE2514" s="319"/>
      <c r="CF2514" s="319"/>
      <c r="CG2514" s="319"/>
      <c r="CH2514" s="318"/>
      <c r="CI2514" s="319"/>
      <c r="CJ2514" s="319"/>
      <c r="CK2514" s="342"/>
      <c r="CL2514" s="333"/>
      <c r="CM2514" s="1079"/>
      <c r="CN2514" s="1005"/>
      <c r="CO2514" s="1005"/>
      <c r="CP2514" s="1005"/>
    </row>
    <row r="2515">
      <c r="A2515" s="1257"/>
      <c r="B2515" s="1113"/>
      <c r="C2515" s="1107"/>
      <c r="D2515" s="103"/>
      <c r="E2515" s="1137"/>
      <c r="F2515" s="112"/>
      <c r="G2515" s="1110"/>
      <c r="H2515" s="1138"/>
      <c r="I2515" s="1138"/>
      <c r="J2515" s="1139"/>
      <c r="K2515" s="1111"/>
      <c r="L2515" s="1112"/>
      <c r="M2515" s="1113"/>
      <c r="N2515" s="110"/>
      <c r="O2515" s="1140"/>
      <c r="P2515" s="1115"/>
      <c r="Q2515" s="1116"/>
      <c r="R2515" s="1141"/>
      <c r="S2515" s="1113"/>
      <c r="T2515" s="1143"/>
      <c r="U2515" s="1108"/>
      <c r="V2515" s="1108"/>
      <c r="W2515" s="1108"/>
      <c r="X2515" s="1108"/>
      <c r="Y2515" s="1108"/>
      <c r="Z2515" s="1114"/>
      <c r="AA2515" s="1114"/>
      <c r="AB2515" s="1114"/>
      <c r="AC2515" s="1117"/>
      <c r="AD2515" s="1115"/>
      <c r="AE2515" s="1115"/>
      <c r="AF2515" s="1115"/>
      <c r="AG2515" s="1115"/>
      <c r="AH2515" s="1115"/>
      <c r="AI2515" s="1115"/>
      <c r="AJ2515" s="1117"/>
      <c r="AK2515" s="1118"/>
      <c r="AL2515" s="1115"/>
      <c r="AM2515" s="1115"/>
      <c r="AN2515" s="1115"/>
      <c r="AO2515" s="1115"/>
      <c r="AP2515" s="1115"/>
      <c r="AQ2515" s="1115"/>
      <c r="AR2515" s="1115"/>
      <c r="AS2515" s="1117"/>
      <c r="AT2515" s="1075"/>
      <c r="AU2515" s="1193"/>
      <c r="AV2515" s="330"/>
      <c r="AW2515" s="331"/>
      <c r="AX2515" s="331"/>
      <c r="AY2515" s="331"/>
      <c r="AZ2515" s="331"/>
      <c r="BA2515" s="331"/>
      <c r="BB2515" s="331"/>
      <c r="BC2515" s="331"/>
      <c r="BD2515" s="331"/>
      <c r="BE2515" s="333"/>
      <c r="BF2515" s="330"/>
      <c r="BG2515" s="333"/>
      <c r="BH2515" s="1119"/>
      <c r="BI2515" s="319"/>
      <c r="BJ2515" s="319"/>
      <c r="BK2515" s="319"/>
      <c r="BL2515" s="319"/>
      <c r="BM2515" s="319"/>
      <c r="BN2515" s="319"/>
      <c r="BO2515" s="319"/>
      <c r="BP2515" s="953"/>
      <c r="BQ2515" s="319"/>
      <c r="BR2515" s="319"/>
      <c r="BS2515" s="330"/>
      <c r="BT2515" s="331"/>
      <c r="BU2515" s="920"/>
      <c r="BV2515" s="903"/>
      <c r="BW2515" s="908"/>
      <c r="BX2515" s="908"/>
      <c r="BY2515" s="331"/>
      <c r="BZ2515" s="331"/>
      <c r="CA2515" s="462"/>
      <c r="CB2515" s="319"/>
      <c r="CC2515" s="319"/>
      <c r="CD2515" s="319"/>
      <c r="CE2515" s="319"/>
      <c r="CF2515" s="319"/>
      <c r="CG2515" s="319"/>
      <c r="CH2515" s="318"/>
      <c r="CI2515" s="319"/>
      <c r="CJ2515" s="319"/>
      <c r="CK2515" s="342"/>
      <c r="CL2515" s="333"/>
      <c r="CM2515" s="1079"/>
      <c r="CN2515" s="1005"/>
      <c r="CO2515" s="1005"/>
      <c r="CP2515" s="1005"/>
    </row>
    <row r="2516">
      <c r="A2516" s="1257"/>
      <c r="B2516" s="1113"/>
      <c r="C2516" s="1107"/>
      <c r="D2516" s="103"/>
      <c r="E2516" s="1137"/>
      <c r="F2516" s="112"/>
      <c r="G2516" s="1110"/>
      <c r="H2516" s="1138"/>
      <c r="I2516" s="1138"/>
      <c r="J2516" s="1139"/>
      <c r="K2516" s="1111"/>
      <c r="L2516" s="1112"/>
      <c r="M2516" s="1113"/>
      <c r="N2516" s="110"/>
      <c r="O2516" s="1140"/>
      <c r="P2516" s="1115"/>
      <c r="Q2516" s="1116"/>
      <c r="R2516" s="1141"/>
      <c r="S2516" s="1113"/>
      <c r="T2516" s="1143"/>
      <c r="U2516" s="1108"/>
      <c r="V2516" s="1108"/>
      <c r="W2516" s="1108"/>
      <c r="X2516" s="1108"/>
      <c r="Y2516" s="1108"/>
      <c r="Z2516" s="1114"/>
      <c r="AA2516" s="1114"/>
      <c r="AB2516" s="1114"/>
      <c r="AC2516" s="1117"/>
      <c r="AD2516" s="1115"/>
      <c r="AE2516" s="1115"/>
      <c r="AF2516" s="1115"/>
      <c r="AG2516" s="1115"/>
      <c r="AH2516" s="1115"/>
      <c r="AI2516" s="1115"/>
      <c r="AJ2516" s="1117"/>
      <c r="AK2516" s="1118"/>
      <c r="AL2516" s="1115"/>
      <c r="AM2516" s="1115"/>
      <c r="AN2516" s="1115"/>
      <c r="AO2516" s="1115"/>
      <c r="AP2516" s="1115"/>
      <c r="AQ2516" s="1115"/>
      <c r="AR2516" s="1115"/>
      <c r="AS2516" s="1117"/>
      <c r="AT2516" s="1075"/>
      <c r="AU2516" s="1193"/>
      <c r="AV2516" s="330"/>
      <c r="AW2516" s="331"/>
      <c r="AX2516" s="331"/>
      <c r="AY2516" s="331"/>
      <c r="AZ2516" s="331"/>
      <c r="BA2516" s="331"/>
      <c r="BB2516" s="331"/>
      <c r="BC2516" s="331"/>
      <c r="BD2516" s="331"/>
      <c r="BE2516" s="333"/>
      <c r="BF2516" s="330"/>
      <c r="BG2516" s="333"/>
      <c r="BH2516" s="1119"/>
      <c r="BI2516" s="319"/>
      <c r="BJ2516" s="319"/>
      <c r="BK2516" s="319"/>
      <c r="BL2516" s="319"/>
      <c r="BM2516" s="319"/>
      <c r="BN2516" s="319"/>
      <c r="BO2516" s="319"/>
      <c r="BP2516" s="953"/>
      <c r="BQ2516" s="319"/>
      <c r="BR2516" s="319"/>
      <c r="BS2516" s="330"/>
      <c r="BT2516" s="331"/>
      <c r="BU2516" s="920"/>
      <c r="BV2516" s="903"/>
      <c r="BW2516" s="908"/>
      <c r="BX2516" s="908"/>
      <c r="BY2516" s="331"/>
      <c r="BZ2516" s="331"/>
      <c r="CA2516" s="462"/>
      <c r="CB2516" s="319"/>
      <c r="CC2516" s="319"/>
      <c r="CD2516" s="319"/>
      <c r="CE2516" s="319"/>
      <c r="CF2516" s="319"/>
      <c r="CG2516" s="319"/>
      <c r="CH2516" s="318"/>
      <c r="CI2516" s="319"/>
      <c r="CJ2516" s="319"/>
      <c r="CK2516" s="342"/>
      <c r="CL2516" s="333"/>
      <c r="CM2516" s="1079"/>
      <c r="CN2516" s="1005"/>
      <c r="CO2516" s="1005"/>
      <c r="CP2516" s="1005"/>
    </row>
    <row r="2517">
      <c r="A2517" s="1257"/>
      <c r="B2517" s="1113"/>
      <c r="C2517" s="1107"/>
      <c r="D2517" s="103"/>
      <c r="E2517" s="1137"/>
      <c r="F2517" s="112"/>
      <c r="G2517" s="1110"/>
      <c r="H2517" s="1138"/>
      <c r="I2517" s="1138"/>
      <c r="J2517" s="1139"/>
      <c r="K2517" s="1111"/>
      <c r="L2517" s="1112"/>
      <c r="M2517" s="1113"/>
      <c r="N2517" s="110"/>
      <c r="O2517" s="1140"/>
      <c r="P2517" s="1115"/>
      <c r="Q2517" s="1116"/>
      <c r="R2517" s="1141"/>
      <c r="S2517" s="1113"/>
      <c r="T2517" s="1143"/>
      <c r="U2517" s="1108"/>
      <c r="V2517" s="1108"/>
      <c r="W2517" s="1108"/>
      <c r="X2517" s="1108"/>
      <c r="Y2517" s="1108"/>
      <c r="Z2517" s="1114"/>
      <c r="AA2517" s="1114"/>
      <c r="AB2517" s="1114"/>
      <c r="AC2517" s="1117"/>
      <c r="AD2517" s="1115"/>
      <c r="AE2517" s="1115"/>
      <c r="AF2517" s="1115"/>
      <c r="AG2517" s="1115"/>
      <c r="AH2517" s="1115"/>
      <c r="AI2517" s="1115"/>
      <c r="AJ2517" s="1117"/>
      <c r="AK2517" s="1118"/>
      <c r="AL2517" s="1115"/>
      <c r="AM2517" s="1115"/>
      <c r="AN2517" s="1115"/>
      <c r="AO2517" s="1115"/>
      <c r="AP2517" s="1115"/>
      <c r="AQ2517" s="1115"/>
      <c r="AR2517" s="1115"/>
      <c r="AS2517" s="1117"/>
      <c r="AT2517" s="1075"/>
      <c r="AU2517" s="1193"/>
      <c r="AV2517" s="330"/>
      <c r="AW2517" s="331"/>
      <c r="AX2517" s="331"/>
      <c r="AY2517" s="331"/>
      <c r="AZ2517" s="331"/>
      <c r="BA2517" s="331"/>
      <c r="BB2517" s="331"/>
      <c r="BC2517" s="331"/>
      <c r="BD2517" s="331"/>
      <c r="BE2517" s="333"/>
      <c r="BF2517" s="330"/>
      <c r="BG2517" s="333"/>
      <c r="BH2517" s="1119"/>
      <c r="BI2517" s="319"/>
      <c r="BJ2517" s="319"/>
      <c r="BK2517" s="319"/>
      <c r="BL2517" s="319"/>
      <c r="BM2517" s="319"/>
      <c r="BN2517" s="319"/>
      <c r="BO2517" s="319"/>
      <c r="BP2517" s="953"/>
      <c r="BQ2517" s="319"/>
      <c r="BR2517" s="319"/>
      <c r="BS2517" s="330"/>
      <c r="BT2517" s="331"/>
      <c r="BU2517" s="920"/>
      <c r="BV2517" s="903"/>
      <c r="BW2517" s="908"/>
      <c r="BX2517" s="908"/>
      <c r="BY2517" s="331"/>
      <c r="BZ2517" s="331"/>
      <c r="CA2517" s="462"/>
      <c r="CB2517" s="319"/>
      <c r="CC2517" s="319"/>
      <c r="CD2517" s="319"/>
      <c r="CE2517" s="319"/>
      <c r="CF2517" s="319"/>
      <c r="CG2517" s="319"/>
      <c r="CH2517" s="318"/>
      <c r="CI2517" s="319"/>
      <c r="CJ2517" s="319"/>
      <c r="CK2517" s="342"/>
      <c r="CL2517" s="333"/>
      <c r="CM2517" s="1079"/>
      <c r="CN2517" s="1005"/>
      <c r="CO2517" s="1005"/>
      <c r="CP2517" s="1005"/>
    </row>
    <row r="2518">
      <c r="A2518" s="1257"/>
      <c r="B2518" s="1113"/>
      <c r="C2518" s="1107"/>
      <c r="D2518" s="103"/>
      <c r="E2518" s="1137"/>
      <c r="F2518" s="112"/>
      <c r="G2518" s="1110"/>
      <c r="H2518" s="1138"/>
      <c r="I2518" s="1138"/>
      <c r="J2518" s="1139"/>
      <c r="K2518" s="1111"/>
      <c r="L2518" s="1112"/>
      <c r="M2518" s="1113"/>
      <c r="N2518" s="110"/>
      <c r="O2518" s="1140"/>
      <c r="P2518" s="1115"/>
      <c r="Q2518" s="1116"/>
      <c r="R2518" s="1141"/>
      <c r="S2518" s="1113"/>
      <c r="T2518" s="1143"/>
      <c r="U2518" s="1108"/>
      <c r="V2518" s="1108"/>
      <c r="W2518" s="1108"/>
      <c r="X2518" s="1108"/>
      <c r="Y2518" s="1108"/>
      <c r="Z2518" s="1114"/>
      <c r="AA2518" s="1114"/>
      <c r="AB2518" s="1114"/>
      <c r="AC2518" s="1117"/>
      <c r="AD2518" s="1115"/>
      <c r="AE2518" s="1115"/>
      <c r="AF2518" s="1115"/>
      <c r="AG2518" s="1115"/>
      <c r="AH2518" s="1115"/>
      <c r="AI2518" s="1115"/>
      <c r="AJ2518" s="1117"/>
      <c r="AK2518" s="1118"/>
      <c r="AL2518" s="1115"/>
      <c r="AM2518" s="1115"/>
      <c r="AN2518" s="1115"/>
      <c r="AO2518" s="1115"/>
      <c r="AP2518" s="1115"/>
      <c r="AQ2518" s="1115"/>
      <c r="AR2518" s="1115"/>
      <c r="AS2518" s="1117"/>
      <c r="AT2518" s="1075"/>
      <c r="AU2518" s="1193"/>
      <c r="AV2518" s="330"/>
      <c r="AW2518" s="331"/>
      <c r="AX2518" s="331"/>
      <c r="AY2518" s="331"/>
      <c r="AZ2518" s="331"/>
      <c r="BA2518" s="331"/>
      <c r="BB2518" s="331"/>
      <c r="BC2518" s="331"/>
      <c r="BD2518" s="331"/>
      <c r="BE2518" s="333"/>
      <c r="BF2518" s="330"/>
      <c r="BG2518" s="333"/>
      <c r="BH2518" s="1119"/>
      <c r="BI2518" s="319"/>
      <c r="BJ2518" s="319"/>
      <c r="BK2518" s="319"/>
      <c r="BL2518" s="319"/>
      <c r="BM2518" s="319"/>
      <c r="BN2518" s="319"/>
      <c r="BO2518" s="319"/>
      <c r="BP2518" s="953"/>
      <c r="BQ2518" s="319"/>
      <c r="BR2518" s="319"/>
      <c r="BS2518" s="330"/>
      <c r="BT2518" s="331"/>
      <c r="BU2518" s="920"/>
      <c r="BV2518" s="903"/>
      <c r="BW2518" s="908"/>
      <c r="BX2518" s="908"/>
      <c r="BY2518" s="331"/>
      <c r="BZ2518" s="331"/>
      <c r="CA2518" s="462"/>
      <c r="CB2518" s="319"/>
      <c r="CC2518" s="319"/>
      <c r="CD2518" s="319"/>
      <c r="CE2518" s="319"/>
      <c r="CF2518" s="319"/>
      <c r="CG2518" s="319"/>
      <c r="CH2518" s="318"/>
      <c r="CI2518" s="319"/>
      <c r="CJ2518" s="319"/>
      <c r="CK2518" s="342"/>
      <c r="CL2518" s="333"/>
      <c r="CM2518" s="1079"/>
      <c r="CN2518" s="1005"/>
      <c r="CO2518" s="1005"/>
      <c r="CP2518" s="1005"/>
    </row>
    <row r="2519">
      <c r="A2519" s="1257"/>
      <c r="B2519" s="1113"/>
      <c r="C2519" s="1107"/>
      <c r="D2519" s="103"/>
      <c r="E2519" s="1137"/>
      <c r="F2519" s="112"/>
      <c r="G2519" s="1110"/>
      <c r="H2519" s="1138"/>
      <c r="I2519" s="1138"/>
      <c r="J2519" s="1139"/>
      <c r="K2519" s="1111"/>
      <c r="L2519" s="1112"/>
      <c r="M2519" s="1113"/>
      <c r="N2519" s="110"/>
      <c r="O2519" s="1140"/>
      <c r="P2519" s="1115"/>
      <c r="Q2519" s="1116"/>
      <c r="R2519" s="1141"/>
      <c r="S2519" s="1113"/>
      <c r="T2519" s="1143"/>
      <c r="U2519" s="1108"/>
      <c r="V2519" s="1108"/>
      <c r="W2519" s="1108"/>
      <c r="X2519" s="1108"/>
      <c r="Y2519" s="1108"/>
      <c r="Z2519" s="1114"/>
      <c r="AA2519" s="1114"/>
      <c r="AB2519" s="1114"/>
      <c r="AC2519" s="1117"/>
      <c r="AD2519" s="1115"/>
      <c r="AE2519" s="1115"/>
      <c r="AF2519" s="1115"/>
      <c r="AG2519" s="1115"/>
      <c r="AH2519" s="1115"/>
      <c r="AI2519" s="1115"/>
      <c r="AJ2519" s="1117"/>
      <c r="AK2519" s="1118"/>
      <c r="AL2519" s="1115"/>
      <c r="AM2519" s="1115"/>
      <c r="AN2519" s="1115"/>
      <c r="AO2519" s="1115"/>
      <c r="AP2519" s="1115"/>
      <c r="AQ2519" s="1115"/>
      <c r="AR2519" s="1115"/>
      <c r="AS2519" s="1117"/>
      <c r="AT2519" s="1075"/>
      <c r="AU2519" s="1193"/>
      <c r="AV2519" s="330"/>
      <c r="AW2519" s="331"/>
      <c r="AX2519" s="331"/>
      <c r="AY2519" s="331"/>
      <c r="AZ2519" s="331"/>
      <c r="BA2519" s="331"/>
      <c r="BB2519" s="331"/>
      <c r="BC2519" s="331"/>
      <c r="BD2519" s="331"/>
      <c r="BE2519" s="333"/>
      <c r="BF2519" s="330"/>
      <c r="BG2519" s="333"/>
      <c r="BH2519" s="1119"/>
      <c r="BI2519" s="319"/>
      <c r="BJ2519" s="319"/>
      <c r="BK2519" s="319"/>
      <c r="BL2519" s="319"/>
      <c r="BM2519" s="319"/>
      <c r="BN2519" s="319"/>
      <c r="BO2519" s="319"/>
      <c r="BP2519" s="953"/>
      <c r="BQ2519" s="319"/>
      <c r="BR2519" s="319"/>
      <c r="BS2519" s="330"/>
      <c r="BT2519" s="331"/>
      <c r="BU2519" s="920"/>
      <c r="BV2519" s="903"/>
      <c r="BW2519" s="908"/>
      <c r="BX2519" s="908"/>
      <c r="BY2519" s="331"/>
      <c r="BZ2519" s="331"/>
      <c r="CA2519" s="462"/>
      <c r="CB2519" s="319"/>
      <c r="CC2519" s="319"/>
      <c r="CD2519" s="319"/>
      <c r="CE2519" s="319"/>
      <c r="CF2519" s="319"/>
      <c r="CG2519" s="319"/>
      <c r="CH2519" s="318"/>
      <c r="CI2519" s="319"/>
      <c r="CJ2519" s="319"/>
      <c r="CK2519" s="342"/>
      <c r="CL2519" s="333"/>
      <c r="CM2519" s="1079"/>
      <c r="CN2519" s="1005"/>
      <c r="CO2519" s="1005"/>
      <c r="CP2519" s="1005"/>
    </row>
    <row r="2520">
      <c r="A2520" s="1257"/>
      <c r="B2520" s="1113"/>
      <c r="C2520" s="1107"/>
      <c r="D2520" s="103"/>
      <c r="E2520" s="1137"/>
      <c r="F2520" s="112"/>
      <c r="G2520" s="1110"/>
      <c r="H2520" s="1138"/>
      <c r="I2520" s="1138"/>
      <c r="J2520" s="1139"/>
      <c r="K2520" s="1111"/>
      <c r="L2520" s="1112"/>
      <c r="M2520" s="1113"/>
      <c r="N2520" s="110"/>
      <c r="O2520" s="1140"/>
      <c r="P2520" s="1115"/>
      <c r="Q2520" s="1116"/>
      <c r="R2520" s="1141"/>
      <c r="S2520" s="1113"/>
      <c r="T2520" s="1143"/>
      <c r="U2520" s="1108"/>
      <c r="V2520" s="1108"/>
      <c r="W2520" s="1108"/>
      <c r="X2520" s="1108"/>
      <c r="Y2520" s="1108"/>
      <c r="Z2520" s="1114"/>
      <c r="AA2520" s="1114"/>
      <c r="AB2520" s="1114"/>
      <c r="AC2520" s="1117"/>
      <c r="AD2520" s="1115"/>
      <c r="AE2520" s="1115"/>
      <c r="AF2520" s="1115"/>
      <c r="AG2520" s="1115"/>
      <c r="AH2520" s="1115"/>
      <c r="AI2520" s="1115"/>
      <c r="AJ2520" s="1117"/>
      <c r="AK2520" s="1118"/>
      <c r="AL2520" s="1115"/>
      <c r="AM2520" s="1115"/>
      <c r="AN2520" s="1115"/>
      <c r="AO2520" s="1115"/>
      <c r="AP2520" s="1115"/>
      <c r="AQ2520" s="1115"/>
      <c r="AR2520" s="1115"/>
      <c r="AS2520" s="1117"/>
      <c r="AT2520" s="1075"/>
      <c r="AU2520" s="1193"/>
      <c r="AV2520" s="330"/>
      <c r="AW2520" s="331"/>
      <c r="AX2520" s="331"/>
      <c r="AY2520" s="331"/>
      <c r="AZ2520" s="331"/>
      <c r="BA2520" s="331"/>
      <c r="BB2520" s="331"/>
      <c r="BC2520" s="331"/>
      <c r="BD2520" s="331"/>
      <c r="BE2520" s="333"/>
      <c r="BF2520" s="330"/>
      <c r="BG2520" s="333"/>
      <c r="BH2520" s="1119"/>
      <c r="BI2520" s="319"/>
      <c r="BJ2520" s="319"/>
      <c r="BK2520" s="319"/>
      <c r="BL2520" s="319"/>
      <c r="BM2520" s="319"/>
      <c r="BN2520" s="319"/>
      <c r="BO2520" s="319"/>
      <c r="BP2520" s="953"/>
      <c r="BQ2520" s="319"/>
      <c r="BR2520" s="319"/>
      <c r="BS2520" s="330"/>
      <c r="BT2520" s="331"/>
      <c r="BU2520" s="920"/>
      <c r="BV2520" s="903"/>
      <c r="BW2520" s="908"/>
      <c r="BX2520" s="908"/>
      <c r="BY2520" s="331"/>
      <c r="BZ2520" s="331"/>
      <c r="CA2520" s="462"/>
      <c r="CB2520" s="319"/>
      <c r="CC2520" s="319"/>
      <c r="CD2520" s="319"/>
      <c r="CE2520" s="319"/>
      <c r="CF2520" s="319"/>
      <c r="CG2520" s="319"/>
      <c r="CH2520" s="318"/>
      <c r="CI2520" s="319"/>
      <c r="CJ2520" s="319"/>
      <c r="CK2520" s="342"/>
      <c r="CL2520" s="333"/>
      <c r="CM2520" s="1079"/>
      <c r="CN2520" s="1005"/>
      <c r="CO2520" s="1005"/>
      <c r="CP2520" s="1005"/>
    </row>
    <row r="2521">
      <c r="A2521" s="1257"/>
      <c r="B2521" s="1113"/>
      <c r="C2521" s="1107"/>
      <c r="D2521" s="103"/>
      <c r="E2521" s="1137"/>
      <c r="F2521" s="112"/>
      <c r="G2521" s="1110"/>
      <c r="H2521" s="1138"/>
      <c r="I2521" s="1138"/>
      <c r="J2521" s="1139"/>
      <c r="K2521" s="1111"/>
      <c r="L2521" s="1112"/>
      <c r="M2521" s="1113"/>
      <c r="N2521" s="110"/>
      <c r="O2521" s="1140"/>
      <c r="P2521" s="1115"/>
      <c r="Q2521" s="1116"/>
      <c r="R2521" s="1141"/>
      <c r="S2521" s="1113"/>
      <c r="T2521" s="1143"/>
      <c r="U2521" s="1108"/>
      <c r="V2521" s="1108"/>
      <c r="W2521" s="1108"/>
      <c r="X2521" s="1108"/>
      <c r="Y2521" s="1108"/>
      <c r="Z2521" s="1114"/>
      <c r="AA2521" s="1114"/>
      <c r="AB2521" s="1114"/>
      <c r="AC2521" s="1117"/>
      <c r="AD2521" s="1115"/>
      <c r="AE2521" s="1115"/>
      <c r="AF2521" s="1115"/>
      <c r="AG2521" s="1115"/>
      <c r="AH2521" s="1115"/>
      <c r="AI2521" s="1115"/>
      <c r="AJ2521" s="1117"/>
      <c r="AK2521" s="1118"/>
      <c r="AL2521" s="1115"/>
      <c r="AM2521" s="1115"/>
      <c r="AN2521" s="1115"/>
      <c r="AO2521" s="1115"/>
      <c r="AP2521" s="1115"/>
      <c r="AQ2521" s="1115"/>
      <c r="AR2521" s="1115"/>
      <c r="AS2521" s="1117"/>
      <c r="AT2521" s="1075"/>
      <c r="AU2521" s="1193"/>
      <c r="AV2521" s="330"/>
      <c r="AW2521" s="331"/>
      <c r="AX2521" s="331"/>
      <c r="AY2521" s="331"/>
      <c r="AZ2521" s="331"/>
      <c r="BA2521" s="331"/>
      <c r="BB2521" s="331"/>
      <c r="BC2521" s="331"/>
      <c r="BD2521" s="331"/>
      <c r="BE2521" s="333"/>
      <c r="BF2521" s="330"/>
      <c r="BG2521" s="333"/>
      <c r="BH2521" s="1119"/>
      <c r="BI2521" s="319"/>
      <c r="BJ2521" s="319"/>
      <c r="BK2521" s="319"/>
      <c r="BL2521" s="319"/>
      <c r="BM2521" s="319"/>
      <c r="BN2521" s="319"/>
      <c r="BO2521" s="319"/>
      <c r="BP2521" s="953"/>
      <c r="BQ2521" s="319"/>
      <c r="BR2521" s="319"/>
      <c r="BS2521" s="330"/>
      <c r="BT2521" s="331"/>
      <c r="BU2521" s="920"/>
      <c r="BV2521" s="903"/>
      <c r="BW2521" s="908"/>
      <c r="BX2521" s="908"/>
      <c r="BY2521" s="331"/>
      <c r="BZ2521" s="331"/>
      <c r="CA2521" s="462"/>
      <c r="CB2521" s="319"/>
      <c r="CC2521" s="319"/>
      <c r="CD2521" s="319"/>
      <c r="CE2521" s="319"/>
      <c r="CF2521" s="319"/>
      <c r="CG2521" s="319"/>
      <c r="CH2521" s="318"/>
      <c r="CI2521" s="319"/>
      <c r="CJ2521" s="319"/>
      <c r="CK2521" s="342"/>
      <c r="CL2521" s="333"/>
      <c r="CM2521" s="1079"/>
      <c r="CN2521" s="1005"/>
      <c r="CO2521" s="1005"/>
      <c r="CP2521" s="1005"/>
    </row>
    <row r="2522">
      <c r="A2522" s="1257"/>
      <c r="B2522" s="1113"/>
      <c r="C2522" s="1107"/>
      <c r="D2522" s="103"/>
      <c r="E2522" s="1137"/>
      <c r="F2522" s="112"/>
      <c r="G2522" s="1110"/>
      <c r="H2522" s="1138"/>
      <c r="I2522" s="1138"/>
      <c r="J2522" s="1139"/>
      <c r="K2522" s="1111"/>
      <c r="L2522" s="1112"/>
      <c r="M2522" s="1113"/>
      <c r="N2522" s="110"/>
      <c r="O2522" s="1140"/>
      <c r="P2522" s="1115"/>
      <c r="Q2522" s="1116"/>
      <c r="R2522" s="1141"/>
      <c r="S2522" s="1113"/>
      <c r="T2522" s="1143"/>
      <c r="U2522" s="1108"/>
      <c r="V2522" s="1108"/>
      <c r="W2522" s="1108"/>
      <c r="X2522" s="1108"/>
      <c r="Y2522" s="1108"/>
      <c r="Z2522" s="1114"/>
      <c r="AA2522" s="1114"/>
      <c r="AB2522" s="1114"/>
      <c r="AC2522" s="1117"/>
      <c r="AD2522" s="1115"/>
      <c r="AE2522" s="1115"/>
      <c r="AF2522" s="1115"/>
      <c r="AG2522" s="1115"/>
      <c r="AH2522" s="1115"/>
      <c r="AI2522" s="1115"/>
      <c r="AJ2522" s="1117"/>
      <c r="AK2522" s="1118"/>
      <c r="AL2522" s="1115"/>
      <c r="AM2522" s="1115"/>
      <c r="AN2522" s="1115"/>
      <c r="AO2522" s="1115"/>
      <c r="AP2522" s="1115"/>
      <c r="AQ2522" s="1115"/>
      <c r="AR2522" s="1115"/>
      <c r="AS2522" s="1117"/>
      <c r="AT2522" s="1075"/>
      <c r="AU2522" s="1193"/>
      <c r="AV2522" s="330"/>
      <c r="AW2522" s="331"/>
      <c r="AX2522" s="331"/>
      <c r="AY2522" s="331"/>
      <c r="AZ2522" s="331"/>
      <c r="BA2522" s="331"/>
      <c r="BB2522" s="331"/>
      <c r="BC2522" s="331"/>
      <c r="BD2522" s="331"/>
      <c r="BE2522" s="333"/>
      <c r="BF2522" s="330"/>
      <c r="BG2522" s="333"/>
      <c r="BH2522" s="1119"/>
      <c r="BI2522" s="319"/>
      <c r="BJ2522" s="319"/>
      <c r="BK2522" s="319"/>
      <c r="BL2522" s="319"/>
      <c r="BM2522" s="319"/>
      <c r="BN2522" s="319"/>
      <c r="BO2522" s="319"/>
      <c r="BP2522" s="953"/>
      <c r="BQ2522" s="319"/>
      <c r="BR2522" s="319"/>
      <c r="BS2522" s="330"/>
      <c r="BT2522" s="331"/>
      <c r="BU2522" s="920"/>
      <c r="BV2522" s="903"/>
      <c r="BW2522" s="908"/>
      <c r="BX2522" s="908"/>
      <c r="BY2522" s="331"/>
      <c r="BZ2522" s="331"/>
      <c r="CA2522" s="462"/>
      <c r="CB2522" s="319"/>
      <c r="CC2522" s="319"/>
      <c r="CD2522" s="319"/>
      <c r="CE2522" s="319"/>
      <c r="CF2522" s="319"/>
      <c r="CG2522" s="319"/>
      <c r="CH2522" s="318"/>
      <c r="CI2522" s="319"/>
      <c r="CJ2522" s="319"/>
      <c r="CK2522" s="342"/>
      <c r="CL2522" s="333"/>
      <c r="CM2522" s="1079"/>
      <c r="CN2522" s="1005"/>
      <c r="CO2522" s="1005"/>
      <c r="CP2522" s="1005"/>
    </row>
    <row r="2523">
      <c r="A2523" s="1257"/>
      <c r="B2523" s="1113"/>
      <c r="C2523" s="1107"/>
      <c r="D2523" s="103"/>
      <c r="E2523" s="1137"/>
      <c r="F2523" s="112"/>
      <c r="G2523" s="1110"/>
      <c r="H2523" s="1138"/>
      <c r="I2523" s="1138"/>
      <c r="J2523" s="1139"/>
      <c r="K2523" s="1111"/>
      <c r="L2523" s="1112"/>
      <c r="M2523" s="1113"/>
      <c r="N2523" s="110"/>
      <c r="O2523" s="1140"/>
      <c r="P2523" s="1115"/>
      <c r="Q2523" s="1116"/>
      <c r="R2523" s="1141"/>
      <c r="S2523" s="1113"/>
      <c r="T2523" s="1143"/>
      <c r="U2523" s="1108"/>
      <c r="V2523" s="1108"/>
      <c r="W2523" s="1108"/>
      <c r="X2523" s="1108"/>
      <c r="Y2523" s="1108"/>
      <c r="Z2523" s="1114"/>
      <c r="AA2523" s="1114"/>
      <c r="AB2523" s="1114"/>
      <c r="AC2523" s="1117"/>
      <c r="AD2523" s="1115"/>
      <c r="AE2523" s="1115"/>
      <c r="AF2523" s="1115"/>
      <c r="AG2523" s="1115"/>
      <c r="AH2523" s="1115"/>
      <c r="AI2523" s="1115"/>
      <c r="AJ2523" s="1117"/>
      <c r="AK2523" s="1118"/>
      <c r="AL2523" s="1115"/>
      <c r="AM2523" s="1115"/>
      <c r="AN2523" s="1115"/>
      <c r="AO2523" s="1115"/>
      <c r="AP2523" s="1115"/>
      <c r="AQ2523" s="1115"/>
      <c r="AR2523" s="1115"/>
      <c r="AS2523" s="1117"/>
      <c r="AT2523" s="1075"/>
      <c r="AU2523" s="1193"/>
      <c r="AV2523" s="330"/>
      <c r="AW2523" s="331"/>
      <c r="AX2523" s="331"/>
      <c r="AY2523" s="331"/>
      <c r="AZ2523" s="331"/>
      <c r="BA2523" s="331"/>
      <c r="BB2523" s="331"/>
      <c r="BC2523" s="331"/>
      <c r="BD2523" s="331"/>
      <c r="BE2523" s="333"/>
      <c r="BF2523" s="330"/>
      <c r="BG2523" s="333"/>
      <c r="BH2523" s="1119"/>
      <c r="BI2523" s="319"/>
      <c r="BJ2523" s="319"/>
      <c r="BK2523" s="319"/>
      <c r="BL2523" s="319"/>
      <c r="BM2523" s="319"/>
      <c r="BN2523" s="319"/>
      <c r="BO2523" s="319"/>
      <c r="BP2523" s="953"/>
      <c r="BQ2523" s="319"/>
      <c r="BR2523" s="319"/>
      <c r="BS2523" s="330"/>
      <c r="BT2523" s="331"/>
      <c r="BU2523" s="920"/>
      <c r="BV2523" s="903"/>
      <c r="BW2523" s="908"/>
      <c r="BX2523" s="908"/>
      <c r="BY2523" s="331"/>
      <c r="BZ2523" s="331"/>
      <c r="CA2523" s="462"/>
      <c r="CB2523" s="319"/>
      <c r="CC2523" s="319"/>
      <c r="CD2523" s="319"/>
      <c r="CE2523" s="319"/>
      <c r="CF2523" s="319"/>
      <c r="CG2523" s="319"/>
      <c r="CH2523" s="318"/>
      <c r="CI2523" s="319"/>
      <c r="CJ2523" s="319"/>
      <c r="CK2523" s="342"/>
      <c r="CL2523" s="333"/>
      <c r="CM2523" s="1079"/>
      <c r="CN2523" s="1005"/>
      <c r="CO2523" s="1005"/>
      <c r="CP2523" s="1005"/>
    </row>
    <row r="2524">
      <c r="A2524" s="1257"/>
      <c r="B2524" s="1113"/>
      <c r="C2524" s="1107"/>
      <c r="D2524" s="103"/>
      <c r="E2524" s="1137"/>
      <c r="F2524" s="112"/>
      <c r="G2524" s="1110"/>
      <c r="H2524" s="1138"/>
      <c r="I2524" s="1138"/>
      <c r="J2524" s="1139"/>
      <c r="K2524" s="1111"/>
      <c r="L2524" s="1112"/>
      <c r="M2524" s="1113"/>
      <c r="N2524" s="110"/>
      <c r="O2524" s="1140"/>
      <c r="P2524" s="1115"/>
      <c r="Q2524" s="1116"/>
      <c r="R2524" s="1141"/>
      <c r="S2524" s="1113"/>
      <c r="T2524" s="1143"/>
      <c r="U2524" s="1108"/>
      <c r="V2524" s="1108"/>
      <c r="W2524" s="1108"/>
      <c r="X2524" s="1108"/>
      <c r="Y2524" s="1108"/>
      <c r="Z2524" s="1114"/>
      <c r="AA2524" s="1114"/>
      <c r="AB2524" s="1114"/>
      <c r="AC2524" s="1117"/>
      <c r="AD2524" s="1115"/>
      <c r="AE2524" s="1115"/>
      <c r="AF2524" s="1115"/>
      <c r="AG2524" s="1115"/>
      <c r="AH2524" s="1115"/>
      <c r="AI2524" s="1115"/>
      <c r="AJ2524" s="1117"/>
      <c r="AK2524" s="1118"/>
      <c r="AL2524" s="1115"/>
      <c r="AM2524" s="1115"/>
      <c r="AN2524" s="1115"/>
      <c r="AO2524" s="1115"/>
      <c r="AP2524" s="1115"/>
      <c r="AQ2524" s="1115"/>
      <c r="AR2524" s="1115"/>
      <c r="AS2524" s="1117"/>
      <c r="AT2524" s="1075"/>
      <c r="AU2524" s="1193"/>
      <c r="AV2524" s="330"/>
      <c r="AW2524" s="331"/>
      <c r="AX2524" s="331"/>
      <c r="AY2524" s="331"/>
      <c r="AZ2524" s="331"/>
      <c r="BA2524" s="331"/>
      <c r="BB2524" s="331"/>
      <c r="BC2524" s="331"/>
      <c r="BD2524" s="331"/>
      <c r="BE2524" s="333"/>
      <c r="BF2524" s="330"/>
      <c r="BG2524" s="333"/>
      <c r="BH2524" s="1119"/>
      <c r="BI2524" s="319"/>
      <c r="BJ2524" s="319"/>
      <c r="BK2524" s="319"/>
      <c r="BL2524" s="319"/>
      <c r="BM2524" s="319"/>
      <c r="BN2524" s="319"/>
      <c r="BO2524" s="319"/>
      <c r="BP2524" s="953"/>
      <c r="BQ2524" s="319"/>
      <c r="BR2524" s="319"/>
      <c r="BS2524" s="330"/>
      <c r="BT2524" s="331"/>
      <c r="BU2524" s="920"/>
      <c r="BV2524" s="903"/>
      <c r="BW2524" s="908"/>
      <c r="BX2524" s="908"/>
      <c r="BY2524" s="331"/>
      <c r="BZ2524" s="331"/>
      <c r="CA2524" s="462"/>
      <c r="CB2524" s="319"/>
      <c r="CC2524" s="319"/>
      <c r="CD2524" s="319"/>
      <c r="CE2524" s="319"/>
      <c r="CF2524" s="319"/>
      <c r="CG2524" s="319"/>
      <c r="CH2524" s="318"/>
      <c r="CI2524" s="319"/>
      <c r="CJ2524" s="319"/>
      <c r="CK2524" s="342"/>
      <c r="CL2524" s="333"/>
      <c r="CM2524" s="1079"/>
      <c r="CN2524" s="1005"/>
      <c r="CO2524" s="1005"/>
      <c r="CP2524" s="1005"/>
    </row>
    <row r="2525">
      <c r="A2525" s="1257"/>
      <c r="B2525" s="1113"/>
      <c r="C2525" s="1107"/>
      <c r="D2525" s="103"/>
      <c r="E2525" s="1137"/>
      <c r="F2525" s="112"/>
      <c r="G2525" s="1110"/>
      <c r="H2525" s="1138"/>
      <c r="I2525" s="1138"/>
      <c r="J2525" s="1139"/>
      <c r="K2525" s="1111"/>
      <c r="L2525" s="1112"/>
      <c r="M2525" s="1113"/>
      <c r="N2525" s="110"/>
      <c r="O2525" s="1140"/>
      <c r="P2525" s="1115"/>
      <c r="Q2525" s="1116"/>
      <c r="R2525" s="1141"/>
      <c r="S2525" s="1113"/>
      <c r="T2525" s="1143"/>
      <c r="U2525" s="1108"/>
      <c r="V2525" s="1108"/>
      <c r="W2525" s="1108"/>
      <c r="X2525" s="1108"/>
      <c r="Y2525" s="1108"/>
      <c r="Z2525" s="1114"/>
      <c r="AA2525" s="1114"/>
      <c r="AB2525" s="1114"/>
      <c r="AC2525" s="1117"/>
      <c r="AD2525" s="1115"/>
      <c r="AE2525" s="1115"/>
      <c r="AF2525" s="1115"/>
      <c r="AG2525" s="1115"/>
      <c r="AH2525" s="1115"/>
      <c r="AI2525" s="1115"/>
      <c r="AJ2525" s="1117"/>
      <c r="AK2525" s="1118"/>
      <c r="AL2525" s="1115"/>
      <c r="AM2525" s="1115"/>
      <c r="AN2525" s="1115"/>
      <c r="AO2525" s="1115"/>
      <c r="AP2525" s="1115"/>
      <c r="AQ2525" s="1115"/>
      <c r="AR2525" s="1115"/>
      <c r="AS2525" s="1117"/>
      <c r="AT2525" s="1075"/>
      <c r="AU2525" s="1193"/>
      <c r="AV2525" s="330"/>
      <c r="AW2525" s="331"/>
      <c r="AX2525" s="331"/>
      <c r="AY2525" s="331"/>
      <c r="AZ2525" s="331"/>
      <c r="BA2525" s="331"/>
      <c r="BB2525" s="331"/>
      <c r="BC2525" s="331"/>
      <c r="BD2525" s="331"/>
      <c r="BE2525" s="333"/>
      <c r="BF2525" s="330"/>
      <c r="BG2525" s="333"/>
      <c r="BH2525" s="1119"/>
      <c r="BI2525" s="319"/>
      <c r="BJ2525" s="319"/>
      <c r="BK2525" s="319"/>
      <c r="BL2525" s="319"/>
      <c r="BM2525" s="319"/>
      <c r="BN2525" s="319"/>
      <c r="BO2525" s="319"/>
      <c r="BP2525" s="953"/>
      <c r="BQ2525" s="319"/>
      <c r="BR2525" s="319"/>
      <c r="BS2525" s="330"/>
      <c r="BT2525" s="331"/>
      <c r="BU2525" s="920"/>
      <c r="BV2525" s="903"/>
      <c r="BW2525" s="908"/>
      <c r="BX2525" s="908"/>
      <c r="BY2525" s="331"/>
      <c r="BZ2525" s="331"/>
      <c r="CA2525" s="462"/>
      <c r="CB2525" s="319"/>
      <c r="CC2525" s="319"/>
      <c r="CD2525" s="319"/>
      <c r="CE2525" s="319"/>
      <c r="CF2525" s="319"/>
      <c r="CG2525" s="319"/>
      <c r="CH2525" s="318"/>
      <c r="CI2525" s="319"/>
      <c r="CJ2525" s="319"/>
      <c r="CK2525" s="342"/>
      <c r="CL2525" s="333"/>
      <c r="CM2525" s="1079"/>
      <c r="CN2525" s="1005"/>
      <c r="CO2525" s="1005"/>
      <c r="CP2525" s="1005"/>
    </row>
    <row r="2526">
      <c r="A2526" s="1257"/>
      <c r="B2526" s="1113"/>
      <c r="C2526" s="1107"/>
      <c r="D2526" s="103"/>
      <c r="E2526" s="1137"/>
      <c r="F2526" s="112"/>
      <c r="G2526" s="1110"/>
      <c r="H2526" s="1138"/>
      <c r="I2526" s="1138"/>
      <c r="J2526" s="1139"/>
      <c r="K2526" s="1111"/>
      <c r="L2526" s="1112"/>
      <c r="M2526" s="1113"/>
      <c r="N2526" s="110"/>
      <c r="O2526" s="1140"/>
      <c r="P2526" s="1115"/>
      <c r="Q2526" s="1116"/>
      <c r="R2526" s="1141"/>
      <c r="S2526" s="1113"/>
      <c r="T2526" s="1143"/>
      <c r="U2526" s="1108"/>
      <c r="V2526" s="1108"/>
      <c r="W2526" s="1108"/>
      <c r="X2526" s="1108"/>
      <c r="Y2526" s="1108"/>
      <c r="Z2526" s="1114"/>
      <c r="AA2526" s="1114"/>
      <c r="AB2526" s="1114"/>
      <c r="AC2526" s="1117"/>
      <c r="AD2526" s="1115"/>
      <c r="AE2526" s="1115"/>
      <c r="AF2526" s="1115"/>
      <c r="AG2526" s="1115"/>
      <c r="AH2526" s="1115"/>
      <c r="AI2526" s="1115"/>
      <c r="AJ2526" s="1117"/>
      <c r="AK2526" s="1118"/>
      <c r="AL2526" s="1115"/>
      <c r="AM2526" s="1115"/>
      <c r="AN2526" s="1115"/>
      <c r="AO2526" s="1115"/>
      <c r="AP2526" s="1115"/>
      <c r="AQ2526" s="1115"/>
      <c r="AR2526" s="1115"/>
      <c r="AS2526" s="1117"/>
      <c r="AT2526" s="1075"/>
      <c r="AU2526" s="1193"/>
      <c r="AV2526" s="330"/>
      <c r="AW2526" s="331"/>
      <c r="AX2526" s="331"/>
      <c r="AY2526" s="331"/>
      <c r="AZ2526" s="331"/>
      <c r="BA2526" s="331"/>
      <c r="BB2526" s="331"/>
      <c r="BC2526" s="331"/>
      <c r="BD2526" s="331"/>
      <c r="BE2526" s="333"/>
      <c r="BF2526" s="330"/>
      <c r="BG2526" s="333"/>
      <c r="BH2526" s="1119"/>
      <c r="BI2526" s="319"/>
      <c r="BJ2526" s="319"/>
      <c r="BK2526" s="319"/>
      <c r="BL2526" s="319"/>
      <c r="BM2526" s="319"/>
      <c r="BN2526" s="319"/>
      <c r="BO2526" s="319"/>
      <c r="BP2526" s="953"/>
      <c r="BQ2526" s="319"/>
      <c r="BR2526" s="319"/>
      <c r="BS2526" s="330"/>
      <c r="BT2526" s="331"/>
      <c r="BU2526" s="920"/>
      <c r="BV2526" s="903"/>
      <c r="BW2526" s="908"/>
      <c r="BX2526" s="908"/>
      <c r="BY2526" s="331"/>
      <c r="BZ2526" s="331"/>
      <c r="CA2526" s="462"/>
      <c r="CB2526" s="319"/>
      <c r="CC2526" s="319"/>
      <c r="CD2526" s="319"/>
      <c r="CE2526" s="319"/>
      <c r="CF2526" s="319"/>
      <c r="CG2526" s="319"/>
      <c r="CH2526" s="318"/>
      <c r="CI2526" s="319"/>
      <c r="CJ2526" s="319"/>
      <c r="CK2526" s="342"/>
      <c r="CL2526" s="333"/>
      <c r="CM2526" s="1079"/>
      <c r="CN2526" s="1005"/>
      <c r="CO2526" s="1005"/>
      <c r="CP2526" s="1005"/>
    </row>
    <row r="2527">
      <c r="A2527" s="1257"/>
      <c r="B2527" s="1113"/>
      <c r="C2527" s="1107"/>
      <c r="D2527" s="103"/>
      <c r="E2527" s="1137"/>
      <c r="F2527" s="112"/>
      <c r="G2527" s="1110"/>
      <c r="H2527" s="1138"/>
      <c r="I2527" s="1138"/>
      <c r="J2527" s="1139"/>
      <c r="K2527" s="1111"/>
      <c r="L2527" s="1112"/>
      <c r="M2527" s="1113"/>
      <c r="N2527" s="110"/>
      <c r="O2527" s="1140"/>
      <c r="P2527" s="1115"/>
      <c r="Q2527" s="1116"/>
      <c r="R2527" s="1141"/>
      <c r="S2527" s="1113"/>
      <c r="T2527" s="1143"/>
      <c r="U2527" s="1108"/>
      <c r="V2527" s="1108"/>
      <c r="W2527" s="1108"/>
      <c r="X2527" s="1108"/>
      <c r="Y2527" s="1108"/>
      <c r="Z2527" s="1114"/>
      <c r="AA2527" s="1114"/>
      <c r="AB2527" s="1114"/>
      <c r="AC2527" s="1117"/>
      <c r="AD2527" s="1115"/>
      <c r="AE2527" s="1115"/>
      <c r="AF2527" s="1115"/>
      <c r="AG2527" s="1115"/>
      <c r="AH2527" s="1115"/>
      <c r="AI2527" s="1115"/>
      <c r="AJ2527" s="1117"/>
      <c r="AK2527" s="1118"/>
      <c r="AL2527" s="1115"/>
      <c r="AM2527" s="1115"/>
      <c r="AN2527" s="1115"/>
      <c r="AO2527" s="1115"/>
      <c r="AP2527" s="1115"/>
      <c r="AQ2527" s="1115"/>
      <c r="AR2527" s="1115"/>
      <c r="AS2527" s="1117"/>
      <c r="AT2527" s="1075"/>
      <c r="AU2527" s="1193"/>
      <c r="AV2527" s="330"/>
      <c r="AW2527" s="331"/>
      <c r="AX2527" s="331"/>
      <c r="AY2527" s="331"/>
      <c r="AZ2527" s="331"/>
      <c r="BA2527" s="331"/>
      <c r="BB2527" s="331"/>
      <c r="BC2527" s="331"/>
      <c r="BD2527" s="331"/>
      <c r="BE2527" s="333"/>
      <c r="BF2527" s="330"/>
      <c r="BG2527" s="333"/>
      <c r="BH2527" s="1119"/>
      <c r="BI2527" s="319"/>
      <c r="BJ2527" s="319"/>
      <c r="BK2527" s="319"/>
      <c r="BL2527" s="319"/>
      <c r="BM2527" s="319"/>
      <c r="BN2527" s="319"/>
      <c r="BO2527" s="319"/>
      <c r="BP2527" s="953"/>
      <c r="BQ2527" s="319"/>
      <c r="BR2527" s="319"/>
      <c r="BS2527" s="330"/>
      <c r="BT2527" s="331"/>
      <c r="BU2527" s="920"/>
      <c r="BV2527" s="903"/>
      <c r="BW2527" s="908"/>
      <c r="BX2527" s="908"/>
      <c r="BY2527" s="331"/>
      <c r="BZ2527" s="331"/>
      <c r="CA2527" s="462"/>
      <c r="CB2527" s="319"/>
      <c r="CC2527" s="319"/>
      <c r="CD2527" s="319"/>
      <c r="CE2527" s="319"/>
      <c r="CF2527" s="319"/>
      <c r="CG2527" s="319"/>
      <c r="CH2527" s="318"/>
      <c r="CI2527" s="319"/>
      <c r="CJ2527" s="319"/>
      <c r="CK2527" s="342"/>
      <c r="CL2527" s="333"/>
      <c r="CM2527" s="1079"/>
      <c r="CN2527" s="1005"/>
      <c r="CO2527" s="1005"/>
      <c r="CP2527" s="1005"/>
    </row>
    <row r="2528">
      <c r="A2528" s="1257"/>
      <c r="B2528" s="1113"/>
      <c r="C2528" s="1107"/>
      <c r="D2528" s="103"/>
      <c r="E2528" s="1137"/>
      <c r="F2528" s="112"/>
      <c r="G2528" s="1110"/>
      <c r="H2528" s="1138"/>
      <c r="I2528" s="1138"/>
      <c r="J2528" s="1139"/>
      <c r="K2528" s="1111"/>
      <c r="L2528" s="1112"/>
      <c r="M2528" s="1113"/>
      <c r="N2528" s="110"/>
      <c r="O2528" s="1140"/>
      <c r="P2528" s="1115"/>
      <c r="Q2528" s="1116"/>
      <c r="R2528" s="1141"/>
      <c r="S2528" s="1113"/>
      <c r="T2528" s="1143"/>
      <c r="U2528" s="1108"/>
      <c r="V2528" s="1108"/>
      <c r="W2528" s="1108"/>
      <c r="X2528" s="1108"/>
      <c r="Y2528" s="1108"/>
      <c r="Z2528" s="1114"/>
      <c r="AA2528" s="1114"/>
      <c r="AB2528" s="1114"/>
      <c r="AC2528" s="1117"/>
      <c r="AD2528" s="1115"/>
      <c r="AE2528" s="1115"/>
      <c r="AF2528" s="1115"/>
      <c r="AG2528" s="1115"/>
      <c r="AH2528" s="1115"/>
      <c r="AI2528" s="1115"/>
      <c r="AJ2528" s="1117"/>
      <c r="AK2528" s="1118"/>
      <c r="AL2528" s="1115"/>
      <c r="AM2528" s="1115"/>
      <c r="AN2528" s="1115"/>
      <c r="AO2528" s="1115"/>
      <c r="AP2528" s="1115"/>
      <c r="AQ2528" s="1115"/>
      <c r="AR2528" s="1115"/>
      <c r="AS2528" s="1117"/>
      <c r="AT2528" s="1075"/>
      <c r="AU2528" s="1193"/>
      <c r="AV2528" s="330"/>
      <c r="AW2528" s="331"/>
      <c r="AX2528" s="331"/>
      <c r="AY2528" s="331"/>
      <c r="AZ2528" s="331"/>
      <c r="BA2528" s="331"/>
      <c r="BB2528" s="331"/>
      <c r="BC2528" s="331"/>
      <c r="BD2528" s="331"/>
      <c r="BE2528" s="333"/>
      <c r="BF2528" s="330"/>
      <c r="BG2528" s="333"/>
      <c r="BH2528" s="1119"/>
      <c r="BI2528" s="319"/>
      <c r="BJ2528" s="319"/>
      <c r="BK2528" s="319"/>
      <c r="BL2528" s="319"/>
      <c r="BM2528" s="319"/>
      <c r="BN2528" s="319"/>
      <c r="BO2528" s="319"/>
      <c r="BP2528" s="953"/>
      <c r="BQ2528" s="319"/>
      <c r="BR2528" s="319"/>
      <c r="BS2528" s="330"/>
      <c r="BT2528" s="331"/>
      <c r="BU2528" s="920"/>
      <c r="BV2528" s="903"/>
      <c r="BW2528" s="908"/>
      <c r="BX2528" s="908"/>
      <c r="BY2528" s="331"/>
      <c r="BZ2528" s="331"/>
      <c r="CA2528" s="462"/>
      <c r="CB2528" s="319"/>
      <c r="CC2528" s="319"/>
      <c r="CD2528" s="319"/>
      <c r="CE2528" s="319"/>
      <c r="CF2528" s="319"/>
      <c r="CG2528" s="319"/>
      <c r="CH2528" s="318"/>
      <c r="CI2528" s="319"/>
      <c r="CJ2528" s="319"/>
      <c r="CK2528" s="342"/>
      <c r="CL2528" s="333"/>
      <c r="CM2528" s="1079"/>
      <c r="CN2528" s="1005"/>
      <c r="CO2528" s="1005"/>
      <c r="CP2528" s="1005"/>
    </row>
    <row r="2529">
      <c r="A2529" s="1257"/>
      <c r="B2529" s="1113"/>
      <c r="C2529" s="1107"/>
      <c r="D2529" s="103"/>
      <c r="E2529" s="1137"/>
      <c r="F2529" s="112"/>
      <c r="G2529" s="1110"/>
      <c r="H2529" s="1138"/>
      <c r="I2529" s="1138"/>
      <c r="J2529" s="1139"/>
      <c r="K2529" s="1111"/>
      <c r="L2529" s="1112"/>
      <c r="M2529" s="1113"/>
      <c r="N2529" s="110"/>
      <c r="O2529" s="1140"/>
      <c r="P2529" s="1115"/>
      <c r="Q2529" s="1116"/>
      <c r="R2529" s="1141"/>
      <c r="S2529" s="1113"/>
      <c r="T2529" s="1143"/>
      <c r="U2529" s="1108"/>
      <c r="V2529" s="1108"/>
      <c r="W2529" s="1108"/>
      <c r="X2529" s="1108"/>
      <c r="Y2529" s="1108"/>
      <c r="Z2529" s="1114"/>
      <c r="AA2529" s="1114"/>
      <c r="AB2529" s="1114"/>
      <c r="AC2529" s="1117"/>
      <c r="AD2529" s="1115"/>
      <c r="AE2529" s="1115"/>
      <c r="AF2529" s="1115"/>
      <c r="AG2529" s="1115"/>
      <c r="AH2529" s="1115"/>
      <c r="AI2529" s="1115"/>
      <c r="AJ2529" s="1117"/>
      <c r="AK2529" s="1118"/>
      <c r="AL2529" s="1115"/>
      <c r="AM2529" s="1115"/>
      <c r="AN2529" s="1115"/>
      <c r="AO2529" s="1115"/>
      <c r="AP2529" s="1115"/>
      <c r="AQ2529" s="1115"/>
      <c r="AR2529" s="1115"/>
      <c r="AS2529" s="1117"/>
      <c r="AT2529" s="1075"/>
      <c r="AU2529" s="1193"/>
      <c r="AV2529" s="330"/>
      <c r="AW2529" s="331"/>
      <c r="AX2529" s="331"/>
      <c r="AY2529" s="331"/>
      <c r="AZ2529" s="331"/>
      <c r="BA2529" s="331"/>
      <c r="BB2529" s="331"/>
      <c r="BC2529" s="331"/>
      <c r="BD2529" s="331"/>
      <c r="BE2529" s="333"/>
      <c r="BF2529" s="330"/>
      <c r="BG2529" s="333"/>
      <c r="BH2529" s="1119"/>
      <c r="BI2529" s="319"/>
      <c r="BJ2529" s="319"/>
      <c r="BK2529" s="319"/>
      <c r="BL2529" s="319"/>
      <c r="BM2529" s="319"/>
      <c r="BN2529" s="319"/>
      <c r="BO2529" s="319"/>
      <c r="BP2529" s="953"/>
      <c r="BQ2529" s="319"/>
      <c r="BR2529" s="319"/>
      <c r="BS2529" s="330"/>
      <c r="BT2529" s="331"/>
      <c r="BU2529" s="920"/>
      <c r="BV2529" s="903"/>
      <c r="BW2529" s="908"/>
      <c r="BX2529" s="908"/>
      <c r="BY2529" s="331"/>
      <c r="BZ2529" s="331"/>
      <c r="CA2529" s="462"/>
      <c r="CB2529" s="319"/>
      <c r="CC2529" s="319"/>
      <c r="CD2529" s="319"/>
      <c r="CE2529" s="319"/>
      <c r="CF2529" s="319"/>
      <c r="CG2529" s="319"/>
      <c r="CH2529" s="318"/>
      <c r="CI2529" s="319"/>
      <c r="CJ2529" s="319"/>
      <c r="CK2529" s="342"/>
      <c r="CL2529" s="333"/>
      <c r="CM2529" s="1079"/>
      <c r="CN2529" s="1005"/>
      <c r="CO2529" s="1005"/>
      <c r="CP2529" s="1005"/>
    </row>
    <row r="2530">
      <c r="A2530" s="1257"/>
      <c r="B2530" s="1113"/>
      <c r="C2530" s="1107"/>
      <c r="D2530" s="103"/>
      <c r="E2530" s="1137"/>
      <c r="F2530" s="112"/>
      <c r="G2530" s="1110"/>
      <c r="H2530" s="1138"/>
      <c r="I2530" s="1138"/>
      <c r="J2530" s="1139"/>
      <c r="K2530" s="1111"/>
      <c r="L2530" s="1112"/>
      <c r="M2530" s="1113"/>
      <c r="N2530" s="110"/>
      <c r="O2530" s="1140"/>
      <c r="P2530" s="1115"/>
      <c r="Q2530" s="1116"/>
      <c r="R2530" s="1141"/>
      <c r="S2530" s="1113"/>
      <c r="T2530" s="1143"/>
      <c r="U2530" s="1108"/>
      <c r="V2530" s="1108"/>
      <c r="W2530" s="1108"/>
      <c r="X2530" s="1108"/>
      <c r="Y2530" s="1108"/>
      <c r="Z2530" s="1114"/>
      <c r="AA2530" s="1114"/>
      <c r="AB2530" s="1114"/>
      <c r="AC2530" s="1117"/>
      <c r="AD2530" s="1115"/>
      <c r="AE2530" s="1115"/>
      <c r="AF2530" s="1115"/>
      <c r="AG2530" s="1115"/>
      <c r="AH2530" s="1115"/>
      <c r="AI2530" s="1115"/>
      <c r="AJ2530" s="1117"/>
      <c r="AK2530" s="1118"/>
      <c r="AL2530" s="1115"/>
      <c r="AM2530" s="1115"/>
      <c r="AN2530" s="1115"/>
      <c r="AO2530" s="1115"/>
      <c r="AP2530" s="1115"/>
      <c r="AQ2530" s="1115"/>
      <c r="AR2530" s="1115"/>
      <c r="AS2530" s="1117"/>
      <c r="AT2530" s="1075"/>
      <c r="AU2530" s="1193"/>
      <c r="AV2530" s="330"/>
      <c r="AW2530" s="331"/>
      <c r="AX2530" s="331"/>
      <c r="AY2530" s="331"/>
      <c r="AZ2530" s="331"/>
      <c r="BA2530" s="331"/>
      <c r="BB2530" s="331"/>
      <c r="BC2530" s="331"/>
      <c r="BD2530" s="331"/>
      <c r="BE2530" s="333"/>
      <c r="BF2530" s="330"/>
      <c r="BG2530" s="333"/>
      <c r="BH2530" s="1119"/>
      <c r="BI2530" s="319"/>
      <c r="BJ2530" s="319"/>
      <c r="BK2530" s="319"/>
      <c r="BL2530" s="319"/>
      <c r="BM2530" s="319"/>
      <c r="BN2530" s="319"/>
      <c r="BO2530" s="319"/>
      <c r="BP2530" s="953"/>
      <c r="BQ2530" s="319"/>
      <c r="BR2530" s="319"/>
      <c r="BS2530" s="330"/>
      <c r="BT2530" s="331"/>
      <c r="BU2530" s="920"/>
      <c r="BV2530" s="903"/>
      <c r="BW2530" s="908"/>
      <c r="BX2530" s="908"/>
      <c r="BY2530" s="331"/>
      <c r="BZ2530" s="331"/>
      <c r="CA2530" s="462"/>
      <c r="CB2530" s="319"/>
      <c r="CC2530" s="319"/>
      <c r="CD2530" s="319"/>
      <c r="CE2530" s="319"/>
      <c r="CF2530" s="319"/>
      <c r="CG2530" s="319"/>
      <c r="CH2530" s="318"/>
      <c r="CI2530" s="319"/>
      <c r="CJ2530" s="319"/>
      <c r="CK2530" s="342"/>
      <c r="CL2530" s="333"/>
      <c r="CM2530" s="1079"/>
      <c r="CN2530" s="1005"/>
      <c r="CO2530" s="1005"/>
      <c r="CP2530" s="1005"/>
    </row>
    <row r="2531">
      <c r="A2531" s="1257"/>
      <c r="B2531" s="1113"/>
      <c r="C2531" s="1107"/>
      <c r="D2531" s="103"/>
      <c r="E2531" s="1137"/>
      <c r="F2531" s="112"/>
      <c r="G2531" s="1110"/>
      <c r="H2531" s="1138"/>
      <c r="I2531" s="1138"/>
      <c r="J2531" s="1139"/>
      <c r="K2531" s="1111"/>
      <c r="L2531" s="1112"/>
      <c r="M2531" s="1113"/>
      <c r="N2531" s="110"/>
      <c r="O2531" s="1140"/>
      <c r="P2531" s="1115"/>
      <c r="Q2531" s="1116"/>
      <c r="R2531" s="1141"/>
      <c r="S2531" s="1113"/>
      <c r="T2531" s="1143"/>
      <c r="U2531" s="1108"/>
      <c r="V2531" s="1108"/>
      <c r="W2531" s="1108"/>
      <c r="X2531" s="1108"/>
      <c r="Y2531" s="1108"/>
      <c r="Z2531" s="1114"/>
      <c r="AA2531" s="1114"/>
      <c r="AB2531" s="1114"/>
      <c r="AC2531" s="1117"/>
      <c r="AD2531" s="1115"/>
      <c r="AE2531" s="1115"/>
      <c r="AF2531" s="1115"/>
      <c r="AG2531" s="1115"/>
      <c r="AH2531" s="1115"/>
      <c r="AI2531" s="1115"/>
      <c r="AJ2531" s="1117"/>
      <c r="AK2531" s="1118"/>
      <c r="AL2531" s="1115"/>
      <c r="AM2531" s="1115"/>
      <c r="AN2531" s="1115"/>
      <c r="AO2531" s="1115"/>
      <c r="AP2531" s="1115"/>
      <c r="AQ2531" s="1115"/>
      <c r="AR2531" s="1115"/>
      <c r="AS2531" s="1117"/>
      <c r="AT2531" s="1075"/>
      <c r="AU2531" s="1193"/>
      <c r="AV2531" s="330"/>
      <c r="AW2531" s="331"/>
      <c r="AX2531" s="331"/>
      <c r="AY2531" s="331"/>
      <c r="AZ2531" s="331"/>
      <c r="BA2531" s="331"/>
      <c r="BB2531" s="331"/>
      <c r="BC2531" s="331"/>
      <c r="BD2531" s="331"/>
      <c r="BE2531" s="333"/>
      <c r="BF2531" s="330"/>
      <c r="BG2531" s="333"/>
      <c r="BH2531" s="1119"/>
      <c r="BI2531" s="319"/>
      <c r="BJ2531" s="319"/>
      <c r="BK2531" s="319"/>
      <c r="BL2531" s="319"/>
      <c r="BM2531" s="319"/>
      <c r="BN2531" s="319"/>
      <c r="BO2531" s="319"/>
      <c r="BP2531" s="953"/>
      <c r="BQ2531" s="319"/>
      <c r="BR2531" s="319"/>
      <c r="BS2531" s="330"/>
      <c r="BT2531" s="331"/>
      <c r="BU2531" s="920"/>
      <c r="BV2531" s="903"/>
      <c r="BW2531" s="908"/>
      <c r="BX2531" s="908"/>
      <c r="BY2531" s="331"/>
      <c r="BZ2531" s="331"/>
      <c r="CA2531" s="462"/>
      <c r="CB2531" s="319"/>
      <c r="CC2531" s="319"/>
      <c r="CD2531" s="319"/>
      <c r="CE2531" s="319"/>
      <c r="CF2531" s="319"/>
      <c r="CG2531" s="319"/>
      <c r="CH2531" s="318"/>
      <c r="CI2531" s="319"/>
      <c r="CJ2531" s="319"/>
      <c r="CK2531" s="342"/>
      <c r="CL2531" s="333"/>
      <c r="CM2531" s="1079"/>
      <c r="CN2531" s="1005"/>
      <c r="CO2531" s="1005"/>
      <c r="CP2531" s="1005"/>
    </row>
    <row r="2532">
      <c r="A2532" s="1257"/>
      <c r="B2532" s="1113"/>
      <c r="C2532" s="1107"/>
      <c r="D2532" s="103"/>
      <c r="E2532" s="1137"/>
      <c r="F2532" s="112"/>
      <c r="G2532" s="1110"/>
      <c r="H2532" s="1138"/>
      <c r="I2532" s="1138"/>
      <c r="J2532" s="1139"/>
      <c r="K2532" s="1111"/>
      <c r="L2532" s="1112"/>
      <c r="M2532" s="1113"/>
      <c r="N2532" s="110"/>
      <c r="O2532" s="1140"/>
      <c r="P2532" s="1115"/>
      <c r="Q2532" s="1116"/>
      <c r="R2532" s="1141"/>
      <c r="S2532" s="1113"/>
      <c r="T2532" s="1143"/>
      <c r="U2532" s="1108"/>
      <c r="V2532" s="1108"/>
      <c r="W2532" s="1108"/>
      <c r="X2532" s="1108"/>
      <c r="Y2532" s="1108"/>
      <c r="Z2532" s="1114"/>
      <c r="AA2532" s="1114"/>
      <c r="AB2532" s="1114"/>
      <c r="AC2532" s="1117"/>
      <c r="AD2532" s="1115"/>
      <c r="AE2532" s="1115"/>
      <c r="AF2532" s="1115"/>
      <c r="AG2532" s="1115"/>
      <c r="AH2532" s="1115"/>
      <c r="AI2532" s="1115"/>
      <c r="AJ2532" s="1117"/>
      <c r="AK2532" s="1118"/>
      <c r="AL2532" s="1115"/>
      <c r="AM2532" s="1115"/>
      <c r="AN2532" s="1115"/>
      <c r="AO2532" s="1115"/>
      <c r="AP2532" s="1115"/>
      <c r="AQ2532" s="1115"/>
      <c r="AR2532" s="1115"/>
      <c r="AS2532" s="1117"/>
      <c r="AT2532" s="1075"/>
      <c r="AU2532" s="1193"/>
      <c r="AV2532" s="330"/>
      <c r="AW2532" s="331"/>
      <c r="AX2532" s="331"/>
      <c r="AY2532" s="331"/>
      <c r="AZ2532" s="331"/>
      <c r="BA2532" s="331"/>
      <c r="BB2532" s="331"/>
      <c r="BC2532" s="331"/>
      <c r="BD2532" s="331"/>
      <c r="BE2532" s="333"/>
      <c r="BF2532" s="330"/>
      <c r="BG2532" s="333"/>
      <c r="BH2532" s="1119"/>
      <c r="BI2532" s="319"/>
      <c r="BJ2532" s="319"/>
      <c r="BK2532" s="319"/>
      <c r="BL2532" s="319"/>
      <c r="BM2532" s="319"/>
      <c r="BN2532" s="319"/>
      <c r="BO2532" s="319"/>
      <c r="BP2532" s="953"/>
      <c r="BQ2532" s="319"/>
      <c r="BR2532" s="319"/>
      <c r="BS2532" s="330"/>
      <c r="BT2532" s="331"/>
      <c r="BU2532" s="920"/>
      <c r="BV2532" s="903"/>
      <c r="BW2532" s="908"/>
      <c r="BX2532" s="908"/>
      <c r="BY2532" s="331"/>
      <c r="BZ2532" s="331"/>
      <c r="CA2532" s="462"/>
      <c r="CB2532" s="319"/>
      <c r="CC2532" s="319"/>
      <c r="CD2532" s="319"/>
      <c r="CE2532" s="319"/>
      <c r="CF2532" s="319"/>
      <c r="CG2532" s="319"/>
      <c r="CH2532" s="318"/>
      <c r="CI2532" s="319"/>
      <c r="CJ2532" s="319"/>
      <c r="CK2532" s="342"/>
      <c r="CL2532" s="333"/>
      <c r="CM2532" s="1079"/>
      <c r="CN2532" s="1005"/>
      <c r="CO2532" s="1005"/>
      <c r="CP2532" s="1005"/>
    </row>
    <row r="2533">
      <c r="A2533" s="1257"/>
      <c r="B2533" s="1113"/>
      <c r="C2533" s="1107"/>
      <c r="D2533" s="103"/>
      <c r="E2533" s="1137"/>
      <c r="F2533" s="112"/>
      <c r="G2533" s="1110"/>
      <c r="H2533" s="1138"/>
      <c r="I2533" s="1138"/>
      <c r="J2533" s="1139"/>
      <c r="K2533" s="1111"/>
      <c r="L2533" s="1112"/>
      <c r="M2533" s="1113"/>
      <c r="N2533" s="110"/>
      <c r="O2533" s="1140"/>
      <c r="P2533" s="1115"/>
      <c r="Q2533" s="1116"/>
      <c r="R2533" s="1141"/>
      <c r="S2533" s="1113"/>
      <c r="T2533" s="1143"/>
      <c r="U2533" s="1108"/>
      <c r="V2533" s="1108"/>
      <c r="W2533" s="1108"/>
      <c r="X2533" s="1108"/>
      <c r="Y2533" s="1108"/>
      <c r="Z2533" s="1114"/>
      <c r="AA2533" s="1114"/>
      <c r="AB2533" s="1114"/>
      <c r="AC2533" s="1117"/>
      <c r="AD2533" s="1115"/>
      <c r="AE2533" s="1115"/>
      <c r="AF2533" s="1115"/>
      <c r="AG2533" s="1115"/>
      <c r="AH2533" s="1115"/>
      <c r="AI2533" s="1115"/>
      <c r="AJ2533" s="1117"/>
      <c r="AK2533" s="1118"/>
      <c r="AL2533" s="1115"/>
      <c r="AM2533" s="1115"/>
      <c r="AN2533" s="1115"/>
      <c r="AO2533" s="1115"/>
      <c r="AP2533" s="1115"/>
      <c r="AQ2533" s="1115"/>
      <c r="AR2533" s="1115"/>
      <c r="AS2533" s="1117"/>
      <c r="AT2533" s="1075"/>
      <c r="AU2533" s="1193"/>
      <c r="AV2533" s="330"/>
      <c r="AW2533" s="331"/>
      <c r="AX2533" s="331"/>
      <c r="AY2533" s="331"/>
      <c r="AZ2533" s="331"/>
      <c r="BA2533" s="331"/>
      <c r="BB2533" s="331"/>
      <c r="BC2533" s="331"/>
      <c r="BD2533" s="331"/>
      <c r="BE2533" s="333"/>
      <c r="BF2533" s="330"/>
      <c r="BG2533" s="333"/>
      <c r="BH2533" s="1119"/>
      <c r="BI2533" s="319"/>
      <c r="BJ2533" s="319"/>
      <c r="BK2533" s="319"/>
      <c r="BL2533" s="319"/>
      <c r="BM2533" s="319"/>
      <c r="BN2533" s="319"/>
      <c r="BO2533" s="319"/>
      <c r="BP2533" s="953"/>
      <c r="BQ2533" s="319"/>
      <c r="BR2533" s="319"/>
      <c r="BS2533" s="330"/>
      <c r="BT2533" s="331"/>
      <c r="BU2533" s="920"/>
      <c r="BV2533" s="903"/>
      <c r="BW2533" s="908"/>
      <c r="BX2533" s="908"/>
      <c r="BY2533" s="331"/>
      <c r="BZ2533" s="331"/>
      <c r="CA2533" s="462"/>
      <c r="CB2533" s="319"/>
      <c r="CC2533" s="319"/>
      <c r="CD2533" s="319"/>
      <c r="CE2533" s="319"/>
      <c r="CF2533" s="319"/>
      <c r="CG2533" s="319"/>
      <c r="CH2533" s="318"/>
      <c r="CI2533" s="319"/>
      <c r="CJ2533" s="319"/>
      <c r="CK2533" s="342"/>
      <c r="CL2533" s="333"/>
      <c r="CM2533" s="1079"/>
      <c r="CN2533" s="1005"/>
      <c r="CO2533" s="1005"/>
      <c r="CP2533" s="1005"/>
    </row>
    <row r="2534">
      <c r="A2534" s="1257"/>
      <c r="B2534" s="1113"/>
      <c r="C2534" s="1107"/>
      <c r="D2534" s="103"/>
      <c r="E2534" s="1137"/>
      <c r="F2534" s="112"/>
      <c r="G2534" s="1110"/>
      <c r="H2534" s="1138"/>
      <c r="I2534" s="1138"/>
      <c r="J2534" s="1139"/>
      <c r="K2534" s="1111"/>
      <c r="L2534" s="1112"/>
      <c r="M2534" s="1113"/>
      <c r="N2534" s="110"/>
      <c r="O2534" s="1140"/>
      <c r="P2534" s="1115"/>
      <c r="Q2534" s="1116"/>
      <c r="R2534" s="1141"/>
      <c r="S2534" s="1113"/>
      <c r="T2534" s="1143"/>
      <c r="U2534" s="1108"/>
      <c r="V2534" s="1108"/>
      <c r="W2534" s="1108"/>
      <c r="X2534" s="1108"/>
      <c r="Y2534" s="1108"/>
      <c r="Z2534" s="1114"/>
      <c r="AA2534" s="1114"/>
      <c r="AB2534" s="1114"/>
      <c r="AC2534" s="1117"/>
      <c r="AD2534" s="1115"/>
      <c r="AE2534" s="1115"/>
      <c r="AF2534" s="1115"/>
      <c r="AG2534" s="1115"/>
      <c r="AH2534" s="1115"/>
      <c r="AI2534" s="1115"/>
      <c r="AJ2534" s="1117"/>
      <c r="AK2534" s="1118"/>
      <c r="AL2534" s="1115"/>
      <c r="AM2534" s="1115"/>
      <c r="AN2534" s="1115"/>
      <c r="AO2534" s="1115"/>
      <c r="AP2534" s="1115"/>
      <c r="AQ2534" s="1115"/>
      <c r="AR2534" s="1115"/>
      <c r="AS2534" s="1117"/>
      <c r="AT2534" s="1075"/>
      <c r="AU2534" s="1193"/>
      <c r="AV2534" s="330"/>
      <c r="AW2534" s="331"/>
      <c r="AX2534" s="331"/>
      <c r="AY2534" s="331"/>
      <c r="AZ2534" s="331"/>
      <c r="BA2534" s="331"/>
      <c r="BB2534" s="331"/>
      <c r="BC2534" s="331"/>
      <c r="BD2534" s="331"/>
      <c r="BE2534" s="333"/>
      <c r="BF2534" s="330"/>
      <c r="BG2534" s="333"/>
      <c r="BH2534" s="1119"/>
      <c r="BI2534" s="319"/>
      <c r="BJ2534" s="319"/>
      <c r="BK2534" s="319"/>
      <c r="BL2534" s="319"/>
      <c r="BM2534" s="319"/>
      <c r="BN2534" s="319"/>
      <c r="BO2534" s="319"/>
      <c r="BP2534" s="953"/>
      <c r="BQ2534" s="319"/>
      <c r="BR2534" s="319"/>
      <c r="BS2534" s="330"/>
      <c r="BT2534" s="331"/>
      <c r="BU2534" s="920"/>
      <c r="BV2534" s="903"/>
      <c r="BW2534" s="908"/>
      <c r="BX2534" s="908"/>
      <c r="BY2534" s="331"/>
      <c r="BZ2534" s="331"/>
      <c r="CA2534" s="462"/>
      <c r="CB2534" s="319"/>
      <c r="CC2534" s="319"/>
      <c r="CD2534" s="319"/>
      <c r="CE2534" s="319"/>
      <c r="CF2534" s="319"/>
      <c r="CG2534" s="319"/>
      <c r="CH2534" s="318"/>
      <c r="CI2534" s="319"/>
      <c r="CJ2534" s="319"/>
      <c r="CK2534" s="342"/>
      <c r="CL2534" s="333"/>
      <c r="CM2534" s="1079"/>
      <c r="CN2534" s="1005"/>
      <c r="CO2534" s="1005"/>
      <c r="CP2534" s="1005"/>
    </row>
    <row r="2535">
      <c r="A2535" s="1257"/>
      <c r="B2535" s="1113"/>
      <c r="C2535" s="1107"/>
      <c r="D2535" s="103"/>
      <c r="E2535" s="1137"/>
      <c r="F2535" s="112"/>
      <c r="G2535" s="1110"/>
      <c r="H2535" s="1138"/>
      <c r="I2535" s="1138"/>
      <c r="J2535" s="1139"/>
      <c r="K2535" s="1111"/>
      <c r="L2535" s="1112"/>
      <c r="M2535" s="1113"/>
      <c r="N2535" s="110"/>
      <c r="O2535" s="1140"/>
      <c r="P2535" s="1115"/>
      <c r="Q2535" s="1116"/>
      <c r="R2535" s="1141"/>
      <c r="S2535" s="1113"/>
      <c r="T2535" s="1143"/>
      <c r="U2535" s="1108"/>
      <c r="V2535" s="1108"/>
      <c r="W2535" s="1108"/>
      <c r="X2535" s="1108"/>
      <c r="Y2535" s="1108"/>
      <c r="Z2535" s="1114"/>
      <c r="AA2535" s="1114"/>
      <c r="AB2535" s="1114"/>
      <c r="AC2535" s="1117"/>
      <c r="AD2535" s="1115"/>
      <c r="AE2535" s="1115"/>
      <c r="AF2535" s="1115"/>
      <c r="AG2535" s="1115"/>
      <c r="AH2535" s="1115"/>
      <c r="AI2535" s="1115"/>
      <c r="AJ2535" s="1117"/>
      <c r="AK2535" s="1118"/>
      <c r="AL2535" s="1115"/>
      <c r="AM2535" s="1115"/>
      <c r="AN2535" s="1115"/>
      <c r="AO2535" s="1115"/>
      <c r="AP2535" s="1115"/>
      <c r="AQ2535" s="1115"/>
      <c r="AR2535" s="1115"/>
      <c r="AS2535" s="1117"/>
      <c r="AT2535" s="1075"/>
      <c r="AU2535" s="1193"/>
      <c r="AV2535" s="330"/>
      <c r="AW2535" s="331"/>
      <c r="AX2535" s="331"/>
      <c r="AY2535" s="331"/>
      <c r="AZ2535" s="331"/>
      <c r="BA2535" s="331"/>
      <c r="BB2535" s="331"/>
      <c r="BC2535" s="331"/>
      <c r="BD2535" s="331"/>
      <c r="BE2535" s="333"/>
      <c r="BF2535" s="330"/>
      <c r="BG2535" s="333"/>
      <c r="BH2535" s="1119"/>
      <c r="BI2535" s="319"/>
      <c r="BJ2535" s="319"/>
      <c r="BK2535" s="319"/>
      <c r="BL2535" s="319"/>
      <c r="BM2535" s="319"/>
      <c r="BN2535" s="319"/>
      <c r="BO2535" s="319"/>
      <c r="BP2535" s="953"/>
      <c r="BQ2535" s="319"/>
      <c r="BR2535" s="319"/>
      <c r="BS2535" s="330"/>
      <c r="BT2535" s="331"/>
      <c r="BU2535" s="920"/>
      <c r="BV2535" s="903"/>
      <c r="BW2535" s="908"/>
      <c r="BX2535" s="908"/>
      <c r="BY2535" s="331"/>
      <c r="BZ2535" s="331"/>
      <c r="CA2535" s="462"/>
      <c r="CB2535" s="319"/>
      <c r="CC2535" s="319"/>
      <c r="CD2535" s="319"/>
      <c r="CE2535" s="319"/>
      <c r="CF2535" s="319"/>
      <c r="CG2535" s="319"/>
      <c r="CH2535" s="318"/>
      <c r="CI2535" s="319"/>
      <c r="CJ2535" s="319"/>
      <c r="CK2535" s="342"/>
      <c r="CL2535" s="333"/>
      <c r="CM2535" s="1079"/>
      <c r="CN2535" s="1005"/>
      <c r="CO2535" s="1005"/>
      <c r="CP2535" s="1005"/>
    </row>
    <row r="2536">
      <c r="A2536" s="1257"/>
      <c r="B2536" s="1113"/>
      <c r="C2536" s="1107"/>
      <c r="D2536" s="103"/>
      <c r="E2536" s="1137"/>
      <c r="F2536" s="112"/>
      <c r="G2536" s="1110"/>
      <c r="H2536" s="1138"/>
      <c r="I2536" s="1138"/>
      <c r="J2536" s="1139"/>
      <c r="K2536" s="1111"/>
      <c r="L2536" s="1112"/>
      <c r="M2536" s="1113"/>
      <c r="N2536" s="110"/>
      <c r="O2536" s="1140"/>
      <c r="P2536" s="1115"/>
      <c r="Q2536" s="1116"/>
      <c r="R2536" s="1141"/>
      <c r="S2536" s="1113"/>
      <c r="T2536" s="1143"/>
      <c r="U2536" s="1108"/>
      <c r="V2536" s="1108"/>
      <c r="W2536" s="1108"/>
      <c r="X2536" s="1108"/>
      <c r="Y2536" s="1108"/>
      <c r="Z2536" s="1114"/>
      <c r="AA2536" s="1114"/>
      <c r="AB2536" s="1114"/>
      <c r="AC2536" s="1117"/>
      <c r="AD2536" s="1115"/>
      <c r="AE2536" s="1115"/>
      <c r="AF2536" s="1115"/>
      <c r="AG2536" s="1115"/>
      <c r="AH2536" s="1115"/>
      <c r="AI2536" s="1115"/>
      <c r="AJ2536" s="1117"/>
      <c r="AK2536" s="1118"/>
      <c r="AL2536" s="1115"/>
      <c r="AM2536" s="1115"/>
      <c r="AN2536" s="1115"/>
      <c r="AO2536" s="1115"/>
      <c r="AP2536" s="1115"/>
      <c r="AQ2536" s="1115"/>
      <c r="AR2536" s="1115"/>
      <c r="AS2536" s="1117"/>
      <c r="AT2536" s="1075"/>
      <c r="AU2536" s="1193"/>
      <c r="AV2536" s="330"/>
      <c r="AW2536" s="331"/>
      <c r="AX2536" s="331"/>
      <c r="AY2536" s="331"/>
      <c r="AZ2536" s="331"/>
      <c r="BA2536" s="331"/>
      <c r="BB2536" s="331"/>
      <c r="BC2536" s="331"/>
      <c r="BD2536" s="331"/>
      <c r="BE2536" s="333"/>
      <c r="BF2536" s="330"/>
      <c r="BG2536" s="333"/>
      <c r="BH2536" s="1119"/>
      <c r="BI2536" s="319"/>
      <c r="BJ2536" s="319"/>
      <c r="BK2536" s="319"/>
      <c r="BL2536" s="319"/>
      <c r="BM2536" s="319"/>
      <c r="BN2536" s="319"/>
      <c r="BO2536" s="319"/>
      <c r="BP2536" s="953"/>
      <c r="BQ2536" s="319"/>
      <c r="BR2536" s="319"/>
      <c r="BS2536" s="330"/>
      <c r="BT2536" s="331"/>
      <c r="BU2536" s="920"/>
      <c r="BV2536" s="903"/>
      <c r="BW2536" s="908"/>
      <c r="BX2536" s="908"/>
      <c r="BY2536" s="331"/>
      <c r="BZ2536" s="331"/>
      <c r="CA2536" s="462"/>
      <c r="CB2536" s="319"/>
      <c r="CC2536" s="319"/>
      <c r="CD2536" s="319"/>
      <c r="CE2536" s="319"/>
      <c r="CF2536" s="319"/>
      <c r="CG2536" s="319"/>
      <c r="CH2536" s="318"/>
      <c r="CI2536" s="319"/>
      <c r="CJ2536" s="319"/>
      <c r="CK2536" s="342"/>
      <c r="CL2536" s="333"/>
      <c r="CM2536" s="1079"/>
      <c r="CN2536" s="1005"/>
      <c r="CO2536" s="1005"/>
      <c r="CP2536" s="1005"/>
    </row>
    <row r="2537">
      <c r="A2537" s="1257"/>
      <c r="B2537" s="1113"/>
      <c r="C2537" s="1107"/>
      <c r="D2537" s="103"/>
      <c r="E2537" s="1137"/>
      <c r="F2537" s="112"/>
      <c r="G2537" s="1110"/>
      <c r="H2537" s="1138"/>
      <c r="I2537" s="1138"/>
      <c r="J2537" s="1139"/>
      <c r="K2537" s="1111"/>
      <c r="L2537" s="1112"/>
      <c r="M2537" s="1113"/>
      <c r="N2537" s="110"/>
      <c r="O2537" s="1140"/>
      <c r="P2537" s="1115"/>
      <c r="Q2537" s="1116"/>
      <c r="R2537" s="1141"/>
      <c r="S2537" s="1113"/>
      <c r="T2537" s="1143"/>
      <c r="U2537" s="1108"/>
      <c r="V2537" s="1108"/>
      <c r="W2537" s="1108"/>
      <c r="X2537" s="1108"/>
      <c r="Y2537" s="1108"/>
      <c r="Z2537" s="1114"/>
      <c r="AA2537" s="1114"/>
      <c r="AB2537" s="1114"/>
      <c r="AC2537" s="1117"/>
      <c r="AD2537" s="1115"/>
      <c r="AE2537" s="1115"/>
      <c r="AF2537" s="1115"/>
      <c r="AG2537" s="1115"/>
      <c r="AH2537" s="1115"/>
      <c r="AI2537" s="1115"/>
      <c r="AJ2537" s="1117"/>
      <c r="AK2537" s="1118"/>
      <c r="AL2537" s="1115"/>
      <c r="AM2537" s="1115"/>
      <c r="AN2537" s="1115"/>
      <c r="AO2537" s="1115"/>
      <c r="AP2537" s="1115"/>
      <c r="AQ2537" s="1115"/>
      <c r="AR2537" s="1115"/>
      <c r="AS2537" s="1117"/>
      <c r="AT2537" s="1075"/>
      <c r="AU2537" s="1193"/>
      <c r="AV2537" s="330"/>
      <c r="AW2537" s="331"/>
      <c r="AX2537" s="331"/>
      <c r="AY2537" s="331"/>
      <c r="AZ2537" s="331"/>
      <c r="BA2537" s="331"/>
      <c r="BB2537" s="331"/>
      <c r="BC2537" s="331"/>
      <c r="BD2537" s="331"/>
      <c r="BE2537" s="333"/>
      <c r="BF2537" s="330"/>
      <c r="BG2537" s="333"/>
      <c r="BH2537" s="1119"/>
      <c r="BI2537" s="319"/>
      <c r="BJ2537" s="319"/>
      <c r="BK2537" s="319"/>
      <c r="BL2537" s="319"/>
      <c r="BM2537" s="319"/>
      <c r="BN2537" s="319"/>
      <c r="BO2537" s="319"/>
      <c r="BP2537" s="953"/>
      <c r="BQ2537" s="319"/>
      <c r="BR2537" s="319"/>
      <c r="BS2537" s="330"/>
      <c r="BT2537" s="331"/>
      <c r="BU2537" s="920"/>
      <c r="BV2537" s="903"/>
      <c r="BW2537" s="908"/>
      <c r="BX2537" s="908"/>
      <c r="BY2537" s="331"/>
      <c r="BZ2537" s="331"/>
      <c r="CA2537" s="462"/>
      <c r="CB2537" s="319"/>
      <c r="CC2537" s="319"/>
      <c r="CD2537" s="319"/>
      <c r="CE2537" s="319"/>
      <c r="CF2537" s="319"/>
      <c r="CG2537" s="319"/>
      <c r="CH2537" s="318"/>
      <c r="CI2537" s="319"/>
      <c r="CJ2537" s="319"/>
      <c r="CK2537" s="342"/>
      <c r="CL2537" s="333"/>
      <c r="CM2537" s="1079"/>
      <c r="CN2537" s="1005"/>
      <c r="CO2537" s="1005"/>
      <c r="CP2537" s="1005"/>
    </row>
    <row r="2538">
      <c r="A2538" s="1257"/>
      <c r="B2538" s="1113"/>
      <c r="C2538" s="1107"/>
      <c r="D2538" s="103"/>
      <c r="E2538" s="1137"/>
      <c r="F2538" s="112"/>
      <c r="G2538" s="1110"/>
      <c r="H2538" s="1138"/>
      <c r="I2538" s="1138"/>
      <c r="J2538" s="1139"/>
      <c r="K2538" s="1111"/>
      <c r="L2538" s="1112"/>
      <c r="M2538" s="1113"/>
      <c r="N2538" s="110"/>
      <c r="O2538" s="1140"/>
      <c r="P2538" s="1115"/>
      <c r="Q2538" s="1116"/>
      <c r="R2538" s="1141"/>
      <c r="S2538" s="1113"/>
      <c r="T2538" s="1143"/>
      <c r="U2538" s="1108"/>
      <c r="V2538" s="1108"/>
      <c r="W2538" s="1108"/>
      <c r="X2538" s="1108"/>
      <c r="Y2538" s="1108"/>
      <c r="Z2538" s="1114"/>
      <c r="AA2538" s="1114"/>
      <c r="AB2538" s="1114"/>
      <c r="AC2538" s="1117"/>
      <c r="AD2538" s="1115"/>
      <c r="AE2538" s="1115"/>
      <c r="AF2538" s="1115"/>
      <c r="AG2538" s="1115"/>
      <c r="AH2538" s="1115"/>
      <c r="AI2538" s="1115"/>
      <c r="AJ2538" s="1117"/>
      <c r="AK2538" s="1118"/>
      <c r="AL2538" s="1115"/>
      <c r="AM2538" s="1115"/>
      <c r="AN2538" s="1115"/>
      <c r="AO2538" s="1115"/>
      <c r="AP2538" s="1115"/>
      <c r="AQ2538" s="1115"/>
      <c r="AR2538" s="1115"/>
      <c r="AS2538" s="1117"/>
      <c r="AT2538" s="1075"/>
      <c r="AU2538" s="1193"/>
      <c r="AV2538" s="330"/>
      <c r="AW2538" s="331"/>
      <c r="AX2538" s="331"/>
      <c r="AY2538" s="331"/>
      <c r="AZ2538" s="331"/>
      <c r="BA2538" s="331"/>
      <c r="BB2538" s="331"/>
      <c r="BC2538" s="331"/>
      <c r="BD2538" s="331"/>
      <c r="BE2538" s="333"/>
      <c r="BF2538" s="330"/>
      <c r="BG2538" s="333"/>
      <c r="BH2538" s="1119"/>
      <c r="BI2538" s="319"/>
      <c r="BJ2538" s="319"/>
      <c r="BK2538" s="319"/>
      <c r="BL2538" s="319"/>
      <c r="BM2538" s="319"/>
      <c r="BN2538" s="319"/>
      <c r="BO2538" s="319"/>
      <c r="BP2538" s="953"/>
      <c r="BQ2538" s="319"/>
      <c r="BR2538" s="319"/>
      <c r="BS2538" s="330"/>
      <c r="BT2538" s="331"/>
      <c r="BU2538" s="920"/>
      <c r="BV2538" s="903"/>
      <c r="BW2538" s="908"/>
      <c r="BX2538" s="908"/>
      <c r="BY2538" s="331"/>
      <c r="BZ2538" s="331"/>
      <c r="CA2538" s="462"/>
      <c r="CB2538" s="319"/>
      <c r="CC2538" s="319"/>
      <c r="CD2538" s="319"/>
      <c r="CE2538" s="319"/>
      <c r="CF2538" s="319"/>
      <c r="CG2538" s="319"/>
      <c r="CH2538" s="318"/>
      <c r="CI2538" s="319"/>
      <c r="CJ2538" s="319"/>
      <c r="CK2538" s="342"/>
      <c r="CL2538" s="333"/>
      <c r="CM2538" s="1079"/>
      <c r="CN2538" s="1005"/>
      <c r="CO2538" s="1005"/>
      <c r="CP2538" s="1005"/>
    </row>
    <row r="2539">
      <c r="A2539" s="1257"/>
      <c r="B2539" s="1113"/>
      <c r="C2539" s="1107"/>
      <c r="D2539" s="103"/>
      <c r="E2539" s="1137"/>
      <c r="F2539" s="112"/>
      <c r="G2539" s="1110"/>
      <c r="H2539" s="1138"/>
      <c r="I2539" s="1138"/>
      <c r="J2539" s="1139"/>
      <c r="K2539" s="1111"/>
      <c r="L2539" s="1112"/>
      <c r="M2539" s="1113"/>
      <c r="N2539" s="110"/>
      <c r="O2539" s="1140"/>
      <c r="P2539" s="1115"/>
      <c r="Q2539" s="1116"/>
      <c r="R2539" s="1141"/>
      <c r="S2539" s="1113"/>
      <c r="T2539" s="1143"/>
      <c r="U2539" s="1108"/>
      <c r="V2539" s="1108"/>
      <c r="W2539" s="1108"/>
      <c r="X2539" s="1108"/>
      <c r="Y2539" s="1108"/>
      <c r="Z2539" s="1114"/>
      <c r="AA2539" s="1114"/>
      <c r="AB2539" s="1114"/>
      <c r="AC2539" s="1117"/>
      <c r="AD2539" s="1115"/>
      <c r="AE2539" s="1115"/>
      <c r="AF2539" s="1115"/>
      <c r="AG2539" s="1115"/>
      <c r="AH2539" s="1115"/>
      <c r="AI2539" s="1115"/>
      <c r="AJ2539" s="1117"/>
      <c r="AK2539" s="1118"/>
      <c r="AL2539" s="1115"/>
      <c r="AM2539" s="1115"/>
      <c r="AN2539" s="1115"/>
      <c r="AO2539" s="1115"/>
      <c r="AP2539" s="1115"/>
      <c r="AQ2539" s="1115"/>
      <c r="AR2539" s="1115"/>
      <c r="AS2539" s="1117"/>
      <c r="AT2539" s="1075"/>
      <c r="AU2539" s="1193"/>
      <c r="AV2539" s="330"/>
      <c r="AW2539" s="331"/>
      <c r="AX2539" s="331"/>
      <c r="AY2539" s="331"/>
      <c r="AZ2539" s="331"/>
      <c r="BA2539" s="331"/>
      <c r="BB2539" s="331"/>
      <c r="BC2539" s="331"/>
      <c r="BD2539" s="331"/>
      <c r="BE2539" s="333"/>
      <c r="BF2539" s="330"/>
      <c r="BG2539" s="333"/>
      <c r="BH2539" s="1119"/>
      <c r="BI2539" s="319"/>
      <c r="BJ2539" s="319"/>
      <c r="BK2539" s="319"/>
      <c r="BL2539" s="319"/>
      <c r="BM2539" s="319"/>
      <c r="BN2539" s="319"/>
      <c r="BO2539" s="319"/>
      <c r="BP2539" s="953"/>
      <c r="BQ2539" s="319"/>
      <c r="BR2539" s="319"/>
      <c r="BS2539" s="330"/>
      <c r="BT2539" s="331"/>
      <c r="BU2539" s="920"/>
      <c r="BV2539" s="903"/>
      <c r="BW2539" s="908"/>
      <c r="BX2539" s="908"/>
      <c r="BY2539" s="331"/>
      <c r="BZ2539" s="331"/>
      <c r="CA2539" s="462"/>
      <c r="CB2539" s="319"/>
      <c r="CC2539" s="319"/>
      <c r="CD2539" s="319"/>
      <c r="CE2539" s="319"/>
      <c r="CF2539" s="319"/>
      <c r="CG2539" s="319"/>
      <c r="CH2539" s="318"/>
      <c r="CI2539" s="319"/>
      <c r="CJ2539" s="319"/>
      <c r="CK2539" s="342"/>
      <c r="CL2539" s="333"/>
      <c r="CM2539" s="1079"/>
      <c r="CN2539" s="1005"/>
      <c r="CO2539" s="1005"/>
      <c r="CP2539" s="1005"/>
    </row>
    <row r="2540">
      <c r="A2540" s="1257"/>
      <c r="B2540" s="1113"/>
      <c r="C2540" s="1107"/>
      <c r="D2540" s="103"/>
      <c r="E2540" s="1137"/>
      <c r="F2540" s="112"/>
      <c r="G2540" s="1110"/>
      <c r="H2540" s="1138"/>
      <c r="I2540" s="1138"/>
      <c r="J2540" s="1139"/>
      <c r="K2540" s="1111"/>
      <c r="L2540" s="1112"/>
      <c r="M2540" s="1113"/>
      <c r="N2540" s="110"/>
      <c r="O2540" s="1140"/>
      <c r="P2540" s="1115"/>
      <c r="Q2540" s="1116"/>
      <c r="R2540" s="1141"/>
      <c r="S2540" s="1113"/>
      <c r="T2540" s="1143"/>
      <c r="U2540" s="1108"/>
      <c r="V2540" s="1108"/>
      <c r="W2540" s="1108"/>
      <c r="X2540" s="1108"/>
      <c r="Y2540" s="1108"/>
      <c r="Z2540" s="1114"/>
      <c r="AA2540" s="1114"/>
      <c r="AB2540" s="1114"/>
      <c r="AC2540" s="1117"/>
      <c r="AD2540" s="1115"/>
      <c r="AE2540" s="1115"/>
      <c r="AF2540" s="1115"/>
      <c r="AG2540" s="1115"/>
      <c r="AH2540" s="1115"/>
      <c r="AI2540" s="1115"/>
      <c r="AJ2540" s="1117"/>
      <c r="AK2540" s="1118"/>
      <c r="AL2540" s="1115"/>
      <c r="AM2540" s="1115"/>
      <c r="AN2540" s="1115"/>
      <c r="AO2540" s="1115"/>
      <c r="AP2540" s="1115"/>
      <c r="AQ2540" s="1115"/>
      <c r="AR2540" s="1115"/>
      <c r="AS2540" s="1117"/>
      <c r="AT2540" s="1075"/>
      <c r="AU2540" s="1193"/>
      <c r="AV2540" s="330"/>
      <c r="AW2540" s="331"/>
      <c r="AX2540" s="331"/>
      <c r="AY2540" s="331"/>
      <c r="AZ2540" s="331"/>
      <c r="BA2540" s="331"/>
      <c r="BB2540" s="331"/>
      <c r="BC2540" s="331"/>
      <c r="BD2540" s="331"/>
      <c r="BE2540" s="333"/>
      <c r="BF2540" s="330"/>
      <c r="BG2540" s="333"/>
      <c r="BH2540" s="1119"/>
      <c r="BI2540" s="319"/>
      <c r="BJ2540" s="319"/>
      <c r="BK2540" s="319"/>
      <c r="BL2540" s="319"/>
      <c r="BM2540" s="319"/>
      <c r="BN2540" s="319"/>
      <c r="BO2540" s="319"/>
      <c r="BP2540" s="953"/>
      <c r="BQ2540" s="319"/>
      <c r="BR2540" s="319"/>
      <c r="BS2540" s="330"/>
      <c r="BT2540" s="331"/>
      <c r="BU2540" s="920"/>
      <c r="BV2540" s="903"/>
      <c r="BW2540" s="908"/>
      <c r="BX2540" s="908"/>
      <c r="BY2540" s="331"/>
      <c r="BZ2540" s="331"/>
      <c r="CA2540" s="462"/>
      <c r="CB2540" s="319"/>
      <c r="CC2540" s="319"/>
      <c r="CD2540" s="319"/>
      <c r="CE2540" s="319"/>
      <c r="CF2540" s="319"/>
      <c r="CG2540" s="319"/>
      <c r="CH2540" s="318"/>
      <c r="CI2540" s="319"/>
      <c r="CJ2540" s="319"/>
      <c r="CK2540" s="342"/>
      <c r="CL2540" s="333"/>
      <c r="CM2540" s="1079"/>
      <c r="CN2540" s="1005"/>
      <c r="CO2540" s="1005"/>
      <c r="CP2540" s="1005"/>
    </row>
    <row r="2541">
      <c r="A2541" s="1257"/>
      <c r="B2541" s="1113"/>
      <c r="C2541" s="1107"/>
      <c r="D2541" s="103"/>
      <c r="E2541" s="1137"/>
      <c r="F2541" s="112"/>
      <c r="G2541" s="1110"/>
      <c r="H2541" s="1138"/>
      <c r="I2541" s="1138"/>
      <c r="J2541" s="1139"/>
      <c r="K2541" s="1111"/>
      <c r="L2541" s="1112"/>
      <c r="M2541" s="1113"/>
      <c r="N2541" s="110"/>
      <c r="O2541" s="1140"/>
      <c r="P2541" s="1115"/>
      <c r="Q2541" s="1116"/>
      <c r="R2541" s="1141"/>
      <c r="S2541" s="1113"/>
      <c r="T2541" s="1143"/>
      <c r="U2541" s="1108"/>
      <c r="V2541" s="1108"/>
      <c r="W2541" s="1108"/>
      <c r="X2541" s="1108"/>
      <c r="Y2541" s="1108"/>
      <c r="Z2541" s="1114"/>
      <c r="AA2541" s="1114"/>
      <c r="AB2541" s="1114"/>
      <c r="AC2541" s="1117"/>
      <c r="AD2541" s="1115"/>
      <c r="AE2541" s="1115"/>
      <c r="AF2541" s="1115"/>
      <c r="AG2541" s="1115"/>
      <c r="AH2541" s="1115"/>
      <c r="AI2541" s="1115"/>
      <c r="AJ2541" s="1117"/>
      <c r="AK2541" s="1118"/>
      <c r="AL2541" s="1115"/>
      <c r="AM2541" s="1115"/>
      <c r="AN2541" s="1115"/>
      <c r="AO2541" s="1115"/>
      <c r="AP2541" s="1115"/>
      <c r="AQ2541" s="1115"/>
      <c r="AR2541" s="1115"/>
      <c r="AS2541" s="1117"/>
      <c r="AT2541" s="1075"/>
      <c r="AU2541" s="1193"/>
      <c r="AV2541" s="330"/>
      <c r="AW2541" s="331"/>
      <c r="AX2541" s="331"/>
      <c r="AY2541" s="331"/>
      <c r="AZ2541" s="331"/>
      <c r="BA2541" s="331"/>
      <c r="BB2541" s="331"/>
      <c r="BC2541" s="331"/>
      <c r="BD2541" s="331"/>
      <c r="BE2541" s="333"/>
      <c r="BF2541" s="330"/>
      <c r="BG2541" s="333"/>
      <c r="BH2541" s="1119"/>
      <c r="BI2541" s="319"/>
      <c r="BJ2541" s="319"/>
      <c r="BK2541" s="319"/>
      <c r="BL2541" s="319"/>
      <c r="BM2541" s="319"/>
      <c r="BN2541" s="319"/>
      <c r="BO2541" s="319"/>
      <c r="BP2541" s="953"/>
      <c r="BQ2541" s="319"/>
      <c r="BR2541" s="319"/>
      <c r="BS2541" s="330"/>
      <c r="BT2541" s="331"/>
      <c r="BU2541" s="920"/>
      <c r="BV2541" s="903"/>
      <c r="BW2541" s="908"/>
      <c r="BX2541" s="908"/>
      <c r="BY2541" s="331"/>
      <c r="BZ2541" s="331"/>
      <c r="CA2541" s="462"/>
      <c r="CB2541" s="319"/>
      <c r="CC2541" s="319"/>
      <c r="CD2541" s="319"/>
      <c r="CE2541" s="319"/>
      <c r="CF2541" s="319"/>
      <c r="CG2541" s="319"/>
      <c r="CH2541" s="318"/>
      <c r="CI2541" s="319"/>
      <c r="CJ2541" s="319"/>
      <c r="CK2541" s="342"/>
      <c r="CL2541" s="333"/>
      <c r="CM2541" s="1079"/>
      <c r="CN2541" s="1005"/>
      <c r="CO2541" s="1005"/>
      <c r="CP2541" s="1005"/>
    </row>
    <row r="2542">
      <c r="A2542" s="1257"/>
      <c r="B2542" s="1113"/>
      <c r="C2542" s="1107"/>
      <c r="D2542" s="103"/>
      <c r="E2542" s="1137"/>
      <c r="F2542" s="112"/>
      <c r="G2542" s="1110"/>
      <c r="H2542" s="1138"/>
      <c r="I2542" s="1138"/>
      <c r="J2542" s="1139"/>
      <c r="K2542" s="1111"/>
      <c r="L2542" s="1112"/>
      <c r="M2542" s="1113"/>
      <c r="N2542" s="110"/>
      <c r="O2542" s="1140"/>
      <c r="P2542" s="1115"/>
      <c r="Q2542" s="1116"/>
      <c r="R2542" s="1141"/>
      <c r="S2542" s="1113"/>
      <c r="T2542" s="1143"/>
      <c r="U2542" s="1108"/>
      <c r="V2542" s="1108"/>
      <c r="W2542" s="1108"/>
      <c r="X2542" s="1108"/>
      <c r="Y2542" s="1108"/>
      <c r="Z2542" s="1114"/>
      <c r="AA2542" s="1114"/>
      <c r="AB2542" s="1114"/>
      <c r="AC2542" s="1117"/>
      <c r="AD2542" s="1115"/>
      <c r="AE2542" s="1115"/>
      <c r="AF2542" s="1115"/>
      <c r="AG2542" s="1115"/>
      <c r="AH2542" s="1115"/>
      <c r="AI2542" s="1115"/>
      <c r="AJ2542" s="1117"/>
      <c r="AK2542" s="1118"/>
      <c r="AL2542" s="1115"/>
      <c r="AM2542" s="1115"/>
      <c r="AN2542" s="1115"/>
      <c r="AO2542" s="1115"/>
      <c r="AP2542" s="1115"/>
      <c r="AQ2542" s="1115"/>
      <c r="AR2542" s="1115"/>
      <c r="AS2542" s="1117"/>
      <c r="AT2542" s="1075"/>
      <c r="AU2542" s="1193"/>
      <c r="AV2542" s="330"/>
      <c r="AW2542" s="331"/>
      <c r="AX2542" s="331"/>
      <c r="AY2542" s="331"/>
      <c r="AZ2542" s="331"/>
      <c r="BA2542" s="331"/>
      <c r="BB2542" s="331"/>
      <c r="BC2542" s="331"/>
      <c r="BD2542" s="331"/>
      <c r="BE2542" s="333"/>
      <c r="BF2542" s="330"/>
      <c r="BG2542" s="333"/>
      <c r="BH2542" s="1119"/>
      <c r="BI2542" s="319"/>
      <c r="BJ2542" s="319"/>
      <c r="BK2542" s="319"/>
      <c r="BL2542" s="319"/>
      <c r="BM2542" s="319"/>
      <c r="BN2542" s="319"/>
      <c r="BO2542" s="319"/>
      <c r="BP2542" s="953"/>
      <c r="BQ2542" s="319"/>
      <c r="BR2542" s="319"/>
      <c r="BS2542" s="330"/>
      <c r="BT2542" s="331"/>
      <c r="BU2542" s="920"/>
      <c r="BV2542" s="903"/>
      <c r="BW2542" s="908"/>
      <c r="BX2542" s="908"/>
      <c r="BY2542" s="331"/>
      <c r="BZ2542" s="331"/>
      <c r="CA2542" s="462"/>
      <c r="CB2542" s="319"/>
      <c r="CC2542" s="319"/>
      <c r="CD2542" s="319"/>
      <c r="CE2542" s="319"/>
      <c r="CF2542" s="319"/>
      <c r="CG2542" s="319"/>
      <c r="CH2542" s="318"/>
      <c r="CI2542" s="319"/>
      <c r="CJ2542" s="319"/>
      <c r="CK2542" s="342"/>
      <c r="CL2542" s="333"/>
      <c r="CM2542" s="1079"/>
      <c r="CN2542" s="1005"/>
      <c r="CO2542" s="1005"/>
      <c r="CP2542" s="1005"/>
    </row>
    <row r="2543">
      <c r="A2543" s="1257"/>
      <c r="B2543" s="1113"/>
      <c r="C2543" s="1107"/>
      <c r="D2543" s="103"/>
      <c r="E2543" s="1137"/>
      <c r="F2543" s="112"/>
      <c r="G2543" s="1110"/>
      <c r="H2543" s="1138"/>
      <c r="I2543" s="1138"/>
      <c r="J2543" s="1139"/>
      <c r="K2543" s="1111"/>
      <c r="L2543" s="1112"/>
      <c r="M2543" s="1113"/>
      <c r="N2543" s="110"/>
      <c r="O2543" s="1140"/>
      <c r="P2543" s="1115"/>
      <c r="Q2543" s="1116"/>
      <c r="R2543" s="1141"/>
      <c r="S2543" s="1113"/>
      <c r="T2543" s="1143"/>
      <c r="U2543" s="1108"/>
      <c r="V2543" s="1108"/>
      <c r="W2543" s="1108"/>
      <c r="X2543" s="1108"/>
      <c r="Y2543" s="1108"/>
      <c r="Z2543" s="1114"/>
      <c r="AA2543" s="1114"/>
      <c r="AB2543" s="1114"/>
      <c r="AC2543" s="1117"/>
      <c r="AD2543" s="1115"/>
      <c r="AE2543" s="1115"/>
      <c r="AF2543" s="1115"/>
      <c r="AG2543" s="1115"/>
      <c r="AH2543" s="1115"/>
      <c r="AI2543" s="1115"/>
      <c r="AJ2543" s="1117"/>
      <c r="AK2543" s="1118"/>
      <c r="AL2543" s="1115"/>
      <c r="AM2543" s="1115"/>
      <c r="AN2543" s="1115"/>
      <c r="AO2543" s="1115"/>
      <c r="AP2543" s="1115"/>
      <c r="AQ2543" s="1115"/>
      <c r="AR2543" s="1115"/>
      <c r="AS2543" s="1117"/>
      <c r="AT2543" s="1075"/>
      <c r="AU2543" s="1193"/>
      <c r="AV2543" s="330"/>
      <c r="AW2543" s="331"/>
      <c r="AX2543" s="331"/>
      <c r="AY2543" s="331"/>
      <c r="AZ2543" s="331"/>
      <c r="BA2543" s="331"/>
      <c r="BB2543" s="331"/>
      <c r="BC2543" s="331"/>
      <c r="BD2543" s="331"/>
      <c r="BE2543" s="333"/>
      <c r="BF2543" s="330"/>
      <c r="BG2543" s="333"/>
      <c r="BH2543" s="1119"/>
      <c r="BI2543" s="319"/>
      <c r="BJ2543" s="319"/>
      <c r="BK2543" s="319"/>
      <c r="BL2543" s="319"/>
      <c r="BM2543" s="319"/>
      <c r="BN2543" s="319"/>
      <c r="BO2543" s="319"/>
      <c r="BP2543" s="953"/>
      <c r="BQ2543" s="319"/>
      <c r="BR2543" s="319"/>
      <c r="BS2543" s="330"/>
      <c r="BT2543" s="331"/>
      <c r="BU2543" s="920"/>
      <c r="BV2543" s="903"/>
      <c r="BW2543" s="908"/>
      <c r="BX2543" s="908"/>
      <c r="BY2543" s="331"/>
      <c r="BZ2543" s="331"/>
      <c r="CA2543" s="462"/>
      <c r="CB2543" s="319"/>
      <c r="CC2543" s="319"/>
      <c r="CD2543" s="319"/>
      <c r="CE2543" s="319"/>
      <c r="CF2543" s="319"/>
      <c r="CG2543" s="319"/>
      <c r="CH2543" s="318"/>
      <c r="CI2543" s="319"/>
      <c r="CJ2543" s="319"/>
      <c r="CK2543" s="342"/>
      <c r="CL2543" s="333"/>
      <c r="CM2543" s="1079"/>
      <c r="CN2543" s="1005"/>
      <c r="CO2543" s="1005"/>
      <c r="CP2543" s="1005"/>
    </row>
    <row r="2544">
      <c r="A2544" s="1257"/>
      <c r="B2544" s="1113"/>
      <c r="C2544" s="1107"/>
      <c r="D2544" s="103"/>
      <c r="E2544" s="1137"/>
      <c r="F2544" s="112"/>
      <c r="G2544" s="1110"/>
      <c r="H2544" s="1138"/>
      <c r="I2544" s="1138"/>
      <c r="J2544" s="1139"/>
      <c r="K2544" s="1111"/>
      <c r="L2544" s="1112"/>
      <c r="M2544" s="1113"/>
      <c r="N2544" s="110"/>
      <c r="O2544" s="1140"/>
      <c r="P2544" s="1115"/>
      <c r="Q2544" s="1116"/>
      <c r="R2544" s="1141"/>
      <c r="S2544" s="1113"/>
      <c r="T2544" s="1143"/>
      <c r="U2544" s="1108"/>
      <c r="V2544" s="1108"/>
      <c r="W2544" s="1108"/>
      <c r="X2544" s="1108"/>
      <c r="Y2544" s="1108"/>
      <c r="Z2544" s="1114"/>
      <c r="AA2544" s="1114"/>
      <c r="AB2544" s="1114"/>
      <c r="AC2544" s="1117"/>
      <c r="AD2544" s="1115"/>
      <c r="AE2544" s="1115"/>
      <c r="AF2544" s="1115"/>
      <c r="AG2544" s="1115"/>
      <c r="AH2544" s="1115"/>
      <c r="AI2544" s="1115"/>
      <c r="AJ2544" s="1117"/>
      <c r="AK2544" s="1118"/>
      <c r="AL2544" s="1115"/>
      <c r="AM2544" s="1115"/>
      <c r="AN2544" s="1115"/>
      <c r="AO2544" s="1115"/>
      <c r="AP2544" s="1115"/>
      <c r="AQ2544" s="1115"/>
      <c r="AR2544" s="1115"/>
      <c r="AS2544" s="1117"/>
      <c r="AT2544" s="1075"/>
      <c r="AU2544" s="1193"/>
      <c r="AV2544" s="330"/>
      <c r="AW2544" s="331"/>
      <c r="AX2544" s="331"/>
      <c r="AY2544" s="331"/>
      <c r="AZ2544" s="331"/>
      <c r="BA2544" s="331"/>
      <c r="BB2544" s="331"/>
      <c r="BC2544" s="331"/>
      <c r="BD2544" s="331"/>
      <c r="BE2544" s="333"/>
      <c r="BF2544" s="330"/>
      <c r="BG2544" s="333"/>
      <c r="BH2544" s="1119"/>
      <c r="BI2544" s="319"/>
      <c r="BJ2544" s="319"/>
      <c r="BK2544" s="319"/>
      <c r="BL2544" s="319"/>
      <c r="BM2544" s="319"/>
      <c r="BN2544" s="319"/>
      <c r="BO2544" s="319"/>
      <c r="BP2544" s="953"/>
      <c r="BQ2544" s="319"/>
      <c r="BR2544" s="319"/>
      <c r="BS2544" s="330"/>
      <c r="BT2544" s="331"/>
      <c r="BU2544" s="920"/>
      <c r="BV2544" s="903"/>
      <c r="BW2544" s="908"/>
      <c r="BX2544" s="908"/>
      <c r="BY2544" s="331"/>
      <c r="BZ2544" s="331"/>
      <c r="CA2544" s="462"/>
      <c r="CB2544" s="319"/>
      <c r="CC2544" s="319"/>
      <c r="CD2544" s="319"/>
      <c r="CE2544" s="319"/>
      <c r="CF2544" s="319"/>
      <c r="CG2544" s="319"/>
      <c r="CH2544" s="318"/>
      <c r="CI2544" s="319"/>
      <c r="CJ2544" s="319"/>
      <c r="CK2544" s="342"/>
      <c r="CL2544" s="333"/>
      <c r="CM2544" s="1079"/>
      <c r="CN2544" s="1005"/>
      <c r="CO2544" s="1005"/>
      <c r="CP2544" s="1005"/>
    </row>
    <row r="2545">
      <c r="A2545" s="1257"/>
      <c r="B2545" s="1113"/>
      <c r="C2545" s="1107"/>
      <c r="D2545" s="103"/>
      <c r="E2545" s="1137"/>
      <c r="F2545" s="112"/>
      <c r="G2545" s="1110"/>
      <c r="H2545" s="1138"/>
      <c r="I2545" s="1138"/>
      <c r="J2545" s="1139"/>
      <c r="K2545" s="1111"/>
      <c r="L2545" s="1112"/>
      <c r="M2545" s="1113"/>
      <c r="N2545" s="110"/>
      <c r="O2545" s="1140"/>
      <c r="P2545" s="1115"/>
      <c r="Q2545" s="1116"/>
      <c r="R2545" s="1141"/>
      <c r="S2545" s="1113"/>
      <c r="T2545" s="1143"/>
      <c r="U2545" s="1108"/>
      <c r="V2545" s="1108"/>
      <c r="W2545" s="1108"/>
      <c r="X2545" s="1108"/>
      <c r="Y2545" s="1108"/>
      <c r="Z2545" s="1114"/>
      <c r="AA2545" s="1114"/>
      <c r="AB2545" s="1114"/>
      <c r="AC2545" s="1117"/>
      <c r="AD2545" s="1115"/>
      <c r="AE2545" s="1115"/>
      <c r="AF2545" s="1115"/>
      <c r="AG2545" s="1115"/>
      <c r="AH2545" s="1115"/>
      <c r="AI2545" s="1115"/>
      <c r="AJ2545" s="1117"/>
      <c r="AK2545" s="1118"/>
      <c r="AL2545" s="1115"/>
      <c r="AM2545" s="1115"/>
      <c r="AN2545" s="1115"/>
      <c r="AO2545" s="1115"/>
      <c r="AP2545" s="1115"/>
      <c r="AQ2545" s="1115"/>
      <c r="AR2545" s="1115"/>
      <c r="AS2545" s="1117"/>
      <c r="AT2545" s="1075"/>
      <c r="AU2545" s="1193"/>
      <c r="AV2545" s="330"/>
      <c r="AW2545" s="331"/>
      <c r="AX2545" s="331"/>
      <c r="AY2545" s="331"/>
      <c r="AZ2545" s="331"/>
      <c r="BA2545" s="331"/>
      <c r="BB2545" s="331"/>
      <c r="BC2545" s="331"/>
      <c r="BD2545" s="331"/>
      <c r="BE2545" s="333"/>
      <c r="BF2545" s="330"/>
      <c r="BG2545" s="333"/>
      <c r="BH2545" s="1119"/>
      <c r="BI2545" s="319"/>
      <c r="BJ2545" s="319"/>
      <c r="BK2545" s="319"/>
      <c r="BL2545" s="319"/>
      <c r="BM2545" s="319"/>
      <c r="BN2545" s="319"/>
      <c r="BO2545" s="319"/>
      <c r="BP2545" s="953"/>
      <c r="BQ2545" s="319"/>
      <c r="BR2545" s="319"/>
      <c r="BS2545" s="330"/>
      <c r="BT2545" s="331"/>
      <c r="BU2545" s="920"/>
      <c r="BV2545" s="903"/>
      <c r="BW2545" s="908"/>
      <c r="BX2545" s="908"/>
      <c r="BY2545" s="331"/>
      <c r="BZ2545" s="331"/>
      <c r="CA2545" s="462"/>
      <c r="CB2545" s="319"/>
      <c r="CC2545" s="319"/>
      <c r="CD2545" s="319"/>
      <c r="CE2545" s="319"/>
      <c r="CF2545" s="319"/>
      <c r="CG2545" s="319"/>
      <c r="CH2545" s="318"/>
      <c r="CI2545" s="319"/>
      <c r="CJ2545" s="319"/>
      <c r="CK2545" s="342"/>
      <c r="CL2545" s="333"/>
      <c r="CM2545" s="1079"/>
      <c r="CN2545" s="1005"/>
      <c r="CO2545" s="1005"/>
      <c r="CP2545" s="1005"/>
    </row>
    <row r="2546">
      <c r="A2546" s="1257"/>
      <c r="B2546" s="1113"/>
      <c r="C2546" s="1107"/>
      <c r="D2546" s="103"/>
      <c r="E2546" s="1137"/>
      <c r="F2546" s="112"/>
      <c r="G2546" s="1110"/>
      <c r="H2546" s="1138"/>
      <c r="I2546" s="1138"/>
      <c r="J2546" s="1139"/>
      <c r="K2546" s="1111"/>
      <c r="L2546" s="1112"/>
      <c r="M2546" s="1113"/>
      <c r="N2546" s="110"/>
      <c r="O2546" s="1140"/>
      <c r="P2546" s="1115"/>
      <c r="Q2546" s="1116"/>
      <c r="R2546" s="1141"/>
      <c r="S2546" s="1113"/>
      <c r="T2546" s="1143"/>
      <c r="U2546" s="1108"/>
      <c r="V2546" s="1108"/>
      <c r="W2546" s="1108"/>
      <c r="X2546" s="1108"/>
      <c r="Y2546" s="1108"/>
      <c r="Z2546" s="1114"/>
      <c r="AA2546" s="1114"/>
      <c r="AB2546" s="1114"/>
      <c r="AC2546" s="1117"/>
      <c r="AD2546" s="1115"/>
      <c r="AE2546" s="1115"/>
      <c r="AF2546" s="1115"/>
      <c r="AG2546" s="1115"/>
      <c r="AH2546" s="1115"/>
      <c r="AI2546" s="1115"/>
      <c r="AJ2546" s="1117"/>
      <c r="AK2546" s="1118"/>
      <c r="AL2546" s="1115"/>
      <c r="AM2546" s="1115"/>
      <c r="AN2546" s="1115"/>
      <c r="AO2546" s="1115"/>
      <c r="AP2546" s="1115"/>
      <c r="AQ2546" s="1115"/>
      <c r="AR2546" s="1115"/>
      <c r="AS2546" s="1117"/>
      <c r="AT2546" s="1075"/>
      <c r="AU2546" s="1193"/>
      <c r="AV2546" s="330"/>
      <c r="AW2546" s="331"/>
      <c r="AX2546" s="331"/>
      <c r="AY2546" s="331"/>
      <c r="AZ2546" s="331"/>
      <c r="BA2546" s="331"/>
      <c r="BB2546" s="331"/>
      <c r="BC2546" s="331"/>
      <c r="BD2546" s="331"/>
      <c r="BE2546" s="333"/>
      <c r="BF2546" s="330"/>
      <c r="BG2546" s="333"/>
      <c r="BH2546" s="1119"/>
      <c r="BI2546" s="319"/>
      <c r="BJ2546" s="319"/>
      <c r="BK2546" s="319"/>
      <c r="BL2546" s="319"/>
      <c r="BM2546" s="319"/>
      <c r="BN2546" s="319"/>
      <c r="BO2546" s="319"/>
      <c r="BP2546" s="953"/>
      <c r="BQ2546" s="319"/>
      <c r="BR2546" s="319"/>
      <c r="BS2546" s="330"/>
      <c r="BT2546" s="331"/>
      <c r="BU2546" s="920"/>
      <c r="BV2546" s="903"/>
      <c r="BW2546" s="908"/>
      <c r="BX2546" s="908"/>
      <c r="BY2546" s="331"/>
      <c r="BZ2546" s="331"/>
      <c r="CA2546" s="462"/>
      <c r="CB2546" s="319"/>
      <c r="CC2546" s="319"/>
      <c r="CD2546" s="319"/>
      <c r="CE2546" s="319"/>
      <c r="CF2546" s="319"/>
      <c r="CG2546" s="319"/>
      <c r="CH2546" s="318"/>
      <c r="CI2546" s="319"/>
      <c r="CJ2546" s="319"/>
      <c r="CK2546" s="342"/>
      <c r="CL2546" s="333"/>
      <c r="CM2546" s="1079"/>
      <c r="CN2546" s="1005"/>
      <c r="CO2546" s="1005"/>
      <c r="CP2546" s="1005"/>
    </row>
    <row r="2547">
      <c r="A2547" s="1257"/>
      <c r="B2547" s="1113"/>
      <c r="C2547" s="1107"/>
      <c r="D2547" s="103"/>
      <c r="E2547" s="1137"/>
      <c r="F2547" s="112"/>
      <c r="G2547" s="1110"/>
      <c r="H2547" s="1138"/>
      <c r="I2547" s="1138"/>
      <c r="J2547" s="1139"/>
      <c r="K2547" s="1111"/>
      <c r="L2547" s="1112"/>
      <c r="M2547" s="1113"/>
      <c r="N2547" s="110"/>
      <c r="O2547" s="1140"/>
      <c r="P2547" s="1115"/>
      <c r="Q2547" s="1116"/>
      <c r="R2547" s="1141"/>
      <c r="S2547" s="1113"/>
      <c r="T2547" s="1143"/>
      <c r="U2547" s="1108"/>
      <c r="V2547" s="1108"/>
      <c r="W2547" s="1108"/>
      <c r="X2547" s="1108"/>
      <c r="Y2547" s="1108"/>
      <c r="Z2547" s="1114"/>
      <c r="AA2547" s="1114"/>
      <c r="AB2547" s="1114"/>
      <c r="AC2547" s="1117"/>
      <c r="AD2547" s="1115"/>
      <c r="AE2547" s="1115"/>
      <c r="AF2547" s="1115"/>
      <c r="AG2547" s="1115"/>
      <c r="AH2547" s="1115"/>
      <c r="AI2547" s="1115"/>
      <c r="AJ2547" s="1117"/>
      <c r="AK2547" s="1118"/>
      <c r="AL2547" s="1115"/>
      <c r="AM2547" s="1115"/>
      <c r="AN2547" s="1115"/>
      <c r="AO2547" s="1115"/>
      <c r="AP2547" s="1115"/>
      <c r="AQ2547" s="1115"/>
      <c r="AR2547" s="1115"/>
      <c r="AS2547" s="1117"/>
      <c r="AT2547" s="1075"/>
      <c r="AU2547" s="1193"/>
      <c r="AV2547" s="330"/>
      <c r="AW2547" s="331"/>
      <c r="AX2547" s="331"/>
      <c r="AY2547" s="331"/>
      <c r="AZ2547" s="331"/>
      <c r="BA2547" s="331"/>
      <c r="BB2547" s="331"/>
      <c r="BC2547" s="331"/>
      <c r="BD2547" s="331"/>
      <c r="BE2547" s="333"/>
      <c r="BF2547" s="330"/>
      <c r="BG2547" s="333"/>
      <c r="BH2547" s="1119"/>
      <c r="BI2547" s="319"/>
      <c r="BJ2547" s="319"/>
      <c r="BK2547" s="319"/>
      <c r="BL2547" s="319"/>
      <c r="BM2547" s="319"/>
      <c r="BN2547" s="319"/>
      <c r="BO2547" s="319"/>
      <c r="BP2547" s="953"/>
      <c r="BQ2547" s="319"/>
      <c r="BR2547" s="319"/>
      <c r="BS2547" s="330"/>
      <c r="BT2547" s="331"/>
      <c r="BU2547" s="920"/>
      <c r="BV2547" s="903"/>
      <c r="BW2547" s="908"/>
      <c r="BX2547" s="908"/>
      <c r="BY2547" s="331"/>
      <c r="BZ2547" s="331"/>
      <c r="CA2547" s="462"/>
      <c r="CB2547" s="319"/>
      <c r="CC2547" s="319"/>
      <c r="CD2547" s="319"/>
      <c r="CE2547" s="319"/>
      <c r="CF2547" s="319"/>
      <c r="CG2547" s="319"/>
      <c r="CH2547" s="318"/>
      <c r="CI2547" s="319"/>
      <c r="CJ2547" s="319"/>
      <c r="CK2547" s="342"/>
      <c r="CL2547" s="333"/>
      <c r="CM2547" s="1079"/>
      <c r="CN2547" s="1005"/>
      <c r="CO2547" s="1005"/>
      <c r="CP2547" s="1005"/>
    </row>
    <row r="2548">
      <c r="A2548" s="1257"/>
      <c r="B2548" s="1113"/>
      <c r="C2548" s="1107"/>
      <c r="D2548" s="103"/>
      <c r="E2548" s="1137"/>
      <c r="F2548" s="112"/>
      <c r="G2548" s="1110"/>
      <c r="H2548" s="1138"/>
      <c r="I2548" s="1138"/>
      <c r="J2548" s="1139"/>
      <c r="K2548" s="1111"/>
      <c r="L2548" s="1112"/>
      <c r="M2548" s="1113"/>
      <c r="N2548" s="110"/>
      <c r="O2548" s="1140"/>
      <c r="P2548" s="1115"/>
      <c r="Q2548" s="1116"/>
      <c r="R2548" s="1141"/>
      <c r="S2548" s="1113"/>
      <c r="T2548" s="1143"/>
      <c r="U2548" s="1108"/>
      <c r="V2548" s="1108"/>
      <c r="W2548" s="1108"/>
      <c r="X2548" s="1108"/>
      <c r="Y2548" s="1108"/>
      <c r="Z2548" s="1114"/>
      <c r="AA2548" s="1114"/>
      <c r="AB2548" s="1114"/>
      <c r="AC2548" s="1117"/>
      <c r="AD2548" s="1115"/>
      <c r="AE2548" s="1115"/>
      <c r="AF2548" s="1115"/>
      <c r="AG2548" s="1115"/>
      <c r="AH2548" s="1115"/>
      <c r="AI2548" s="1115"/>
      <c r="AJ2548" s="1117"/>
      <c r="AK2548" s="1118"/>
      <c r="AL2548" s="1115"/>
      <c r="AM2548" s="1115"/>
      <c r="AN2548" s="1115"/>
      <c r="AO2548" s="1115"/>
      <c r="AP2548" s="1115"/>
      <c r="AQ2548" s="1115"/>
      <c r="AR2548" s="1115"/>
      <c r="AS2548" s="1117"/>
      <c r="AT2548" s="1075"/>
      <c r="AU2548" s="1193"/>
      <c r="AV2548" s="330"/>
      <c r="AW2548" s="331"/>
      <c r="AX2548" s="331"/>
      <c r="AY2548" s="331"/>
      <c r="AZ2548" s="331"/>
      <c r="BA2548" s="331"/>
      <c r="BB2548" s="331"/>
      <c r="BC2548" s="331"/>
      <c r="BD2548" s="331"/>
      <c r="BE2548" s="333"/>
      <c r="BF2548" s="330"/>
      <c r="BG2548" s="333"/>
      <c r="BH2548" s="1119"/>
      <c r="BI2548" s="319"/>
      <c r="BJ2548" s="319"/>
      <c r="BK2548" s="319"/>
      <c r="BL2548" s="319"/>
      <c r="BM2548" s="319"/>
      <c r="BN2548" s="319"/>
      <c r="BO2548" s="319"/>
      <c r="BP2548" s="953"/>
      <c r="BQ2548" s="319"/>
      <c r="BR2548" s="319"/>
      <c r="BS2548" s="330"/>
      <c r="BT2548" s="331"/>
      <c r="BU2548" s="920"/>
      <c r="BV2548" s="903"/>
      <c r="BW2548" s="908"/>
      <c r="BX2548" s="908"/>
      <c r="BY2548" s="331"/>
      <c r="BZ2548" s="331"/>
      <c r="CA2548" s="462"/>
      <c r="CB2548" s="319"/>
      <c r="CC2548" s="319"/>
      <c r="CD2548" s="319"/>
      <c r="CE2548" s="319"/>
      <c r="CF2548" s="319"/>
      <c r="CG2548" s="319"/>
      <c r="CH2548" s="318"/>
      <c r="CI2548" s="319"/>
      <c r="CJ2548" s="319"/>
      <c r="CK2548" s="342"/>
      <c r="CL2548" s="333"/>
      <c r="CM2548" s="1079"/>
      <c r="CN2548" s="1005"/>
      <c r="CO2548" s="1005"/>
      <c r="CP2548" s="1005"/>
    </row>
    <row r="2549">
      <c r="A2549" s="1257"/>
      <c r="B2549" s="1113"/>
      <c r="C2549" s="1107"/>
      <c r="D2549" s="103"/>
      <c r="E2549" s="1137"/>
      <c r="F2549" s="112"/>
      <c r="G2549" s="1110"/>
      <c r="H2549" s="1138"/>
      <c r="I2549" s="1138"/>
      <c r="J2549" s="1139"/>
      <c r="K2549" s="1111"/>
      <c r="L2549" s="1112"/>
      <c r="M2549" s="1113"/>
      <c r="N2549" s="110"/>
      <c r="O2549" s="1140"/>
      <c r="P2549" s="1115"/>
      <c r="Q2549" s="1116"/>
      <c r="R2549" s="1141"/>
      <c r="S2549" s="1113"/>
      <c r="T2549" s="1143"/>
      <c r="U2549" s="1108"/>
      <c r="V2549" s="1108"/>
      <c r="W2549" s="1108"/>
      <c r="X2549" s="1108"/>
      <c r="Y2549" s="1108"/>
      <c r="Z2549" s="1114"/>
      <c r="AA2549" s="1114"/>
      <c r="AB2549" s="1114"/>
      <c r="AC2549" s="1117"/>
      <c r="AD2549" s="1115"/>
      <c r="AE2549" s="1115"/>
      <c r="AF2549" s="1115"/>
      <c r="AG2549" s="1115"/>
      <c r="AH2549" s="1115"/>
      <c r="AI2549" s="1115"/>
      <c r="AJ2549" s="1117"/>
      <c r="AK2549" s="1118"/>
      <c r="AL2549" s="1115"/>
      <c r="AM2549" s="1115"/>
      <c r="AN2549" s="1115"/>
      <c r="AO2549" s="1115"/>
      <c r="AP2549" s="1115"/>
      <c r="AQ2549" s="1115"/>
      <c r="AR2549" s="1115"/>
      <c r="AS2549" s="1117"/>
      <c r="AT2549" s="1075"/>
      <c r="AU2549" s="1193"/>
      <c r="AV2549" s="330"/>
      <c r="AW2549" s="331"/>
      <c r="AX2549" s="331"/>
      <c r="AY2549" s="331"/>
      <c r="AZ2549" s="331"/>
      <c r="BA2549" s="331"/>
      <c r="BB2549" s="331"/>
      <c r="BC2549" s="331"/>
      <c r="BD2549" s="331"/>
      <c r="BE2549" s="333"/>
      <c r="BF2549" s="330"/>
      <c r="BG2549" s="333"/>
      <c r="BH2549" s="1119"/>
      <c r="BI2549" s="319"/>
      <c r="BJ2549" s="319"/>
      <c r="BK2549" s="319"/>
      <c r="BL2549" s="319"/>
      <c r="BM2549" s="319"/>
      <c r="BN2549" s="319"/>
      <c r="BO2549" s="319"/>
      <c r="BP2549" s="953"/>
      <c r="BQ2549" s="319"/>
      <c r="BR2549" s="319"/>
      <c r="BS2549" s="330"/>
      <c r="BT2549" s="331"/>
      <c r="BU2549" s="920"/>
      <c r="BV2549" s="903"/>
      <c r="BW2549" s="908"/>
      <c r="BX2549" s="908"/>
      <c r="BY2549" s="331"/>
      <c r="BZ2549" s="331"/>
      <c r="CA2549" s="462"/>
      <c r="CB2549" s="319"/>
      <c r="CC2549" s="319"/>
      <c r="CD2549" s="319"/>
      <c r="CE2549" s="319"/>
      <c r="CF2549" s="319"/>
      <c r="CG2549" s="319"/>
      <c r="CH2549" s="318"/>
      <c r="CI2549" s="319"/>
      <c r="CJ2549" s="319"/>
      <c r="CK2549" s="342"/>
      <c r="CL2549" s="333"/>
      <c r="CM2549" s="1079"/>
      <c r="CN2549" s="1005"/>
      <c r="CO2549" s="1005"/>
      <c r="CP2549" s="1005"/>
    </row>
    <row r="2550">
      <c r="A2550" s="1257"/>
      <c r="B2550" s="1113"/>
      <c r="C2550" s="1107"/>
      <c r="D2550" s="103"/>
      <c r="E2550" s="1137"/>
      <c r="F2550" s="112"/>
      <c r="G2550" s="1110"/>
      <c r="H2550" s="1138"/>
      <c r="I2550" s="1138"/>
      <c r="J2550" s="1139"/>
      <c r="K2550" s="1111"/>
      <c r="L2550" s="1112"/>
      <c r="M2550" s="1113"/>
      <c r="N2550" s="110"/>
      <c r="O2550" s="1140"/>
      <c r="P2550" s="1115"/>
      <c r="Q2550" s="1116"/>
      <c r="R2550" s="1141"/>
      <c r="S2550" s="1113"/>
      <c r="T2550" s="1143"/>
      <c r="U2550" s="1108"/>
      <c r="V2550" s="1108"/>
      <c r="W2550" s="1108"/>
      <c r="X2550" s="1108"/>
      <c r="Y2550" s="1108"/>
      <c r="Z2550" s="1114"/>
      <c r="AA2550" s="1114"/>
      <c r="AB2550" s="1114"/>
      <c r="AC2550" s="1117"/>
      <c r="AD2550" s="1115"/>
      <c r="AE2550" s="1115"/>
      <c r="AF2550" s="1115"/>
      <c r="AG2550" s="1115"/>
      <c r="AH2550" s="1115"/>
      <c r="AI2550" s="1115"/>
      <c r="AJ2550" s="1117"/>
      <c r="AK2550" s="1118"/>
      <c r="AL2550" s="1115"/>
      <c r="AM2550" s="1115"/>
      <c r="AN2550" s="1115"/>
      <c r="AO2550" s="1115"/>
      <c r="AP2550" s="1115"/>
      <c r="AQ2550" s="1115"/>
      <c r="AR2550" s="1115"/>
      <c r="AS2550" s="1117"/>
      <c r="AT2550" s="1075"/>
      <c r="AU2550" s="1193"/>
      <c r="AV2550" s="330"/>
      <c r="AW2550" s="331"/>
      <c r="AX2550" s="331"/>
      <c r="AY2550" s="331"/>
      <c r="AZ2550" s="331"/>
      <c r="BA2550" s="331"/>
      <c r="BB2550" s="331"/>
      <c r="BC2550" s="331"/>
      <c r="BD2550" s="331"/>
      <c r="BE2550" s="333"/>
      <c r="BF2550" s="330"/>
      <c r="BG2550" s="333"/>
      <c r="BH2550" s="1119"/>
      <c r="BI2550" s="319"/>
      <c r="BJ2550" s="319"/>
      <c r="BK2550" s="319"/>
      <c r="BL2550" s="319"/>
      <c r="BM2550" s="319"/>
      <c r="BN2550" s="319"/>
      <c r="BO2550" s="319"/>
      <c r="BP2550" s="953"/>
      <c r="BQ2550" s="319"/>
      <c r="BR2550" s="319"/>
      <c r="BS2550" s="330"/>
      <c r="BT2550" s="331"/>
      <c r="BU2550" s="920"/>
      <c r="BV2550" s="903"/>
      <c r="BW2550" s="908"/>
      <c r="BX2550" s="908"/>
      <c r="BY2550" s="331"/>
      <c r="BZ2550" s="331"/>
      <c r="CA2550" s="462"/>
      <c r="CB2550" s="319"/>
      <c r="CC2550" s="319"/>
      <c r="CD2550" s="319"/>
      <c r="CE2550" s="319"/>
      <c r="CF2550" s="319"/>
      <c r="CG2550" s="319"/>
      <c r="CH2550" s="318"/>
      <c r="CI2550" s="319"/>
      <c r="CJ2550" s="319"/>
      <c r="CK2550" s="342"/>
      <c r="CL2550" s="333"/>
      <c r="CM2550" s="1079"/>
      <c r="CN2550" s="1005"/>
      <c r="CO2550" s="1005"/>
      <c r="CP2550" s="1005"/>
    </row>
    <row r="2551">
      <c r="A2551" s="1257"/>
      <c r="B2551" s="1113"/>
      <c r="C2551" s="1107"/>
      <c r="D2551" s="103"/>
      <c r="E2551" s="1137"/>
      <c r="F2551" s="112"/>
      <c r="G2551" s="1110"/>
      <c r="H2551" s="1138"/>
      <c r="I2551" s="1138"/>
      <c r="J2551" s="1139"/>
      <c r="K2551" s="1111"/>
      <c r="L2551" s="1112"/>
      <c r="M2551" s="1113"/>
      <c r="N2551" s="110"/>
      <c r="O2551" s="1140"/>
      <c r="P2551" s="1115"/>
      <c r="Q2551" s="1116"/>
      <c r="R2551" s="1141"/>
      <c r="S2551" s="1113"/>
      <c r="T2551" s="1143"/>
      <c r="U2551" s="1108"/>
      <c r="V2551" s="1108"/>
      <c r="W2551" s="1108"/>
      <c r="X2551" s="1108"/>
      <c r="Y2551" s="1108"/>
      <c r="Z2551" s="1114"/>
      <c r="AA2551" s="1114"/>
      <c r="AB2551" s="1114"/>
      <c r="AC2551" s="1117"/>
      <c r="AD2551" s="1115"/>
      <c r="AE2551" s="1115"/>
      <c r="AF2551" s="1115"/>
      <c r="AG2551" s="1115"/>
      <c r="AH2551" s="1115"/>
      <c r="AI2551" s="1115"/>
      <c r="AJ2551" s="1117"/>
      <c r="AK2551" s="1118"/>
      <c r="AL2551" s="1115"/>
      <c r="AM2551" s="1115"/>
      <c r="AN2551" s="1115"/>
      <c r="AO2551" s="1115"/>
      <c r="AP2551" s="1115"/>
      <c r="AQ2551" s="1115"/>
      <c r="AR2551" s="1115"/>
      <c r="AS2551" s="1117"/>
      <c r="AT2551" s="1075"/>
      <c r="AU2551" s="1193"/>
      <c r="AV2551" s="330"/>
      <c r="AW2551" s="331"/>
      <c r="AX2551" s="331"/>
      <c r="AY2551" s="331"/>
      <c r="AZ2551" s="331"/>
      <c r="BA2551" s="331"/>
      <c r="BB2551" s="331"/>
      <c r="BC2551" s="331"/>
      <c r="BD2551" s="331"/>
      <c r="BE2551" s="333"/>
      <c r="BF2551" s="330"/>
      <c r="BG2551" s="333"/>
      <c r="BH2551" s="1119"/>
      <c r="BI2551" s="319"/>
      <c r="BJ2551" s="319"/>
      <c r="BK2551" s="319"/>
      <c r="BL2551" s="319"/>
      <c r="BM2551" s="319"/>
      <c r="BN2551" s="319"/>
      <c r="BO2551" s="319"/>
      <c r="BP2551" s="953"/>
      <c r="BQ2551" s="319"/>
      <c r="BR2551" s="319"/>
      <c r="BS2551" s="330"/>
      <c r="BT2551" s="331"/>
      <c r="BU2551" s="920"/>
      <c r="BV2551" s="903"/>
      <c r="BW2551" s="908"/>
      <c r="BX2551" s="908"/>
      <c r="BY2551" s="331"/>
      <c r="BZ2551" s="331"/>
      <c r="CA2551" s="462"/>
      <c r="CB2551" s="319"/>
      <c r="CC2551" s="319"/>
      <c r="CD2551" s="319"/>
      <c r="CE2551" s="319"/>
      <c r="CF2551" s="319"/>
      <c r="CG2551" s="319"/>
      <c r="CH2551" s="318"/>
      <c r="CI2551" s="319"/>
      <c r="CJ2551" s="319"/>
      <c r="CK2551" s="342"/>
      <c r="CL2551" s="333"/>
      <c r="CM2551" s="1079"/>
      <c r="CN2551" s="1005"/>
      <c r="CO2551" s="1005"/>
      <c r="CP2551" s="1005"/>
    </row>
    <row r="2552">
      <c r="A2552" s="1257"/>
      <c r="B2552" s="1113"/>
      <c r="C2552" s="1107"/>
      <c r="D2552" s="103"/>
      <c r="E2552" s="1137"/>
      <c r="F2552" s="112"/>
      <c r="G2552" s="1110"/>
      <c r="H2552" s="1138"/>
      <c r="I2552" s="1138"/>
      <c r="J2552" s="1139"/>
      <c r="K2552" s="1111"/>
      <c r="L2552" s="1112"/>
      <c r="M2552" s="1113"/>
      <c r="N2552" s="110"/>
      <c r="O2552" s="1140"/>
      <c r="P2552" s="1115"/>
      <c r="Q2552" s="1116"/>
      <c r="R2552" s="1141"/>
      <c r="S2552" s="1113"/>
      <c r="T2552" s="1143"/>
      <c r="U2552" s="1108"/>
      <c r="V2552" s="1108"/>
      <c r="W2552" s="1108"/>
      <c r="X2552" s="1108"/>
      <c r="Y2552" s="1108"/>
      <c r="Z2552" s="1114"/>
      <c r="AA2552" s="1114"/>
      <c r="AB2552" s="1114"/>
      <c r="AC2552" s="1117"/>
      <c r="AD2552" s="1115"/>
      <c r="AE2552" s="1115"/>
      <c r="AF2552" s="1115"/>
      <c r="AG2552" s="1115"/>
      <c r="AH2552" s="1115"/>
      <c r="AI2552" s="1115"/>
      <c r="AJ2552" s="1117"/>
      <c r="AK2552" s="1118"/>
      <c r="AL2552" s="1115"/>
      <c r="AM2552" s="1115"/>
      <c r="AN2552" s="1115"/>
      <c r="AO2552" s="1115"/>
      <c r="AP2552" s="1115"/>
      <c r="AQ2552" s="1115"/>
      <c r="AR2552" s="1115"/>
      <c r="AS2552" s="1117"/>
      <c r="AT2552" s="1075"/>
      <c r="AU2552" s="1193"/>
      <c r="AV2552" s="330"/>
      <c r="AW2552" s="331"/>
      <c r="AX2552" s="331"/>
      <c r="AY2552" s="331"/>
      <c r="AZ2552" s="331"/>
      <c r="BA2552" s="331"/>
      <c r="BB2552" s="331"/>
      <c r="BC2552" s="331"/>
      <c r="BD2552" s="331"/>
      <c r="BE2552" s="333"/>
      <c r="BF2552" s="330"/>
      <c r="BG2552" s="333"/>
      <c r="BH2552" s="1119"/>
      <c r="BI2552" s="319"/>
      <c r="BJ2552" s="319"/>
      <c r="BK2552" s="319"/>
      <c r="BL2552" s="319"/>
      <c r="BM2552" s="319"/>
      <c r="BN2552" s="319"/>
      <c r="BO2552" s="319"/>
      <c r="BP2552" s="953"/>
      <c r="BQ2552" s="319"/>
      <c r="BR2552" s="319"/>
      <c r="BS2552" s="330"/>
      <c r="BT2552" s="331"/>
      <c r="BU2552" s="920"/>
      <c r="BV2552" s="903"/>
      <c r="BW2552" s="908"/>
      <c r="BX2552" s="908"/>
      <c r="BY2552" s="331"/>
      <c r="BZ2552" s="331"/>
      <c r="CA2552" s="462"/>
      <c r="CB2552" s="319"/>
      <c r="CC2552" s="319"/>
      <c r="CD2552" s="319"/>
      <c r="CE2552" s="319"/>
      <c r="CF2552" s="319"/>
      <c r="CG2552" s="319"/>
      <c r="CH2552" s="318"/>
      <c r="CI2552" s="319"/>
      <c r="CJ2552" s="319"/>
      <c r="CK2552" s="342"/>
      <c r="CL2552" s="333"/>
      <c r="CM2552" s="1079"/>
      <c r="CN2552" s="1005"/>
      <c r="CO2552" s="1005"/>
      <c r="CP2552" s="1005"/>
    </row>
    <row r="2553">
      <c r="A2553" s="1257"/>
      <c r="B2553" s="1113"/>
      <c r="C2553" s="1107"/>
      <c r="D2553" s="103"/>
      <c r="E2553" s="1137"/>
      <c r="F2553" s="112"/>
      <c r="G2553" s="1110"/>
      <c r="H2553" s="1138"/>
      <c r="I2553" s="1138"/>
      <c r="J2553" s="1139"/>
      <c r="K2553" s="1111"/>
      <c r="L2553" s="1112"/>
      <c r="M2553" s="1113"/>
      <c r="N2553" s="110"/>
      <c r="O2553" s="1140"/>
      <c r="P2553" s="1115"/>
      <c r="Q2553" s="1116"/>
      <c r="R2553" s="1141"/>
      <c r="S2553" s="1113"/>
      <c r="T2553" s="1143"/>
      <c r="U2553" s="1108"/>
      <c r="V2553" s="1108"/>
      <c r="W2553" s="1108"/>
      <c r="X2553" s="1108"/>
      <c r="Y2553" s="1108"/>
      <c r="Z2553" s="1114"/>
      <c r="AA2553" s="1114"/>
      <c r="AB2553" s="1114"/>
      <c r="AC2553" s="1117"/>
      <c r="AD2553" s="1115"/>
      <c r="AE2553" s="1115"/>
      <c r="AF2553" s="1115"/>
      <c r="AG2553" s="1115"/>
      <c r="AH2553" s="1115"/>
      <c r="AI2553" s="1115"/>
      <c r="AJ2553" s="1117"/>
      <c r="AK2553" s="1118"/>
      <c r="AL2553" s="1115"/>
      <c r="AM2553" s="1115"/>
      <c r="AN2553" s="1115"/>
      <c r="AO2553" s="1115"/>
      <c r="AP2553" s="1115"/>
      <c r="AQ2553" s="1115"/>
      <c r="AR2553" s="1115"/>
      <c r="AS2553" s="1117"/>
      <c r="AT2553" s="1075"/>
      <c r="AU2553" s="1193"/>
      <c r="AV2553" s="330"/>
      <c r="AW2553" s="331"/>
      <c r="AX2553" s="331"/>
      <c r="AY2553" s="331"/>
      <c r="AZ2553" s="331"/>
      <c r="BA2553" s="331"/>
      <c r="BB2553" s="331"/>
      <c r="BC2553" s="331"/>
      <c r="BD2553" s="331"/>
      <c r="BE2553" s="333"/>
      <c r="BF2553" s="330"/>
      <c r="BG2553" s="333"/>
      <c r="BH2553" s="1119"/>
      <c r="BI2553" s="319"/>
      <c r="BJ2553" s="319"/>
      <c r="BK2553" s="319"/>
      <c r="BL2553" s="319"/>
      <c r="BM2553" s="319"/>
      <c r="BN2553" s="319"/>
      <c r="BO2553" s="319"/>
      <c r="BP2553" s="953"/>
      <c r="BQ2553" s="319"/>
      <c r="BR2553" s="319"/>
      <c r="BS2553" s="330"/>
      <c r="BT2553" s="331"/>
      <c r="BU2553" s="920"/>
      <c r="BV2553" s="903"/>
      <c r="BW2553" s="908"/>
      <c r="BX2553" s="908"/>
      <c r="BY2553" s="331"/>
      <c r="BZ2553" s="331"/>
      <c r="CA2553" s="462"/>
      <c r="CB2553" s="319"/>
      <c r="CC2553" s="319"/>
      <c r="CD2553" s="319"/>
      <c r="CE2553" s="319"/>
      <c r="CF2553" s="319"/>
      <c r="CG2553" s="319"/>
      <c r="CH2553" s="318"/>
      <c r="CI2553" s="319"/>
      <c r="CJ2553" s="319"/>
      <c r="CK2553" s="342"/>
      <c r="CL2553" s="333"/>
      <c r="CM2553" s="1079"/>
      <c r="CN2553" s="1005"/>
      <c r="CO2553" s="1005"/>
      <c r="CP2553" s="1005"/>
    </row>
    <row r="2554">
      <c r="A2554" s="1257"/>
      <c r="B2554" s="1113"/>
      <c r="C2554" s="1107"/>
      <c r="D2554" s="103"/>
      <c r="E2554" s="1137"/>
      <c r="F2554" s="112"/>
      <c r="G2554" s="1110"/>
      <c r="H2554" s="1138"/>
      <c r="I2554" s="1138"/>
      <c r="J2554" s="1139"/>
      <c r="K2554" s="1111"/>
      <c r="L2554" s="1112"/>
      <c r="M2554" s="1113"/>
      <c r="N2554" s="110"/>
      <c r="O2554" s="1140"/>
      <c r="P2554" s="1115"/>
      <c r="Q2554" s="1116"/>
      <c r="R2554" s="1141"/>
      <c r="S2554" s="1113"/>
      <c r="T2554" s="1143"/>
      <c r="U2554" s="1108"/>
      <c r="V2554" s="1108"/>
      <c r="W2554" s="1108"/>
      <c r="X2554" s="1108"/>
      <c r="Y2554" s="1108"/>
      <c r="Z2554" s="1114"/>
      <c r="AA2554" s="1114"/>
      <c r="AB2554" s="1114"/>
      <c r="AC2554" s="1117"/>
      <c r="AD2554" s="1115"/>
      <c r="AE2554" s="1115"/>
      <c r="AF2554" s="1115"/>
      <c r="AG2554" s="1115"/>
      <c r="AH2554" s="1115"/>
      <c r="AI2554" s="1115"/>
      <c r="AJ2554" s="1117"/>
      <c r="AK2554" s="1118"/>
      <c r="AL2554" s="1115"/>
      <c r="AM2554" s="1115"/>
      <c r="AN2554" s="1115"/>
      <c r="AO2554" s="1115"/>
      <c r="AP2554" s="1115"/>
      <c r="AQ2554" s="1115"/>
      <c r="AR2554" s="1115"/>
      <c r="AS2554" s="1117"/>
      <c r="AT2554" s="1075"/>
      <c r="AU2554" s="1193"/>
      <c r="AV2554" s="330"/>
      <c r="AW2554" s="331"/>
      <c r="AX2554" s="331"/>
      <c r="AY2554" s="331"/>
      <c r="AZ2554" s="331"/>
      <c r="BA2554" s="331"/>
      <c r="BB2554" s="331"/>
      <c r="BC2554" s="331"/>
      <c r="BD2554" s="331"/>
      <c r="BE2554" s="333"/>
      <c r="BF2554" s="330"/>
      <c r="BG2554" s="333"/>
      <c r="BH2554" s="1119"/>
      <c r="BI2554" s="319"/>
      <c r="BJ2554" s="319"/>
      <c r="BK2554" s="319"/>
      <c r="BL2554" s="319"/>
      <c r="BM2554" s="319"/>
      <c r="BN2554" s="319"/>
      <c r="BO2554" s="319"/>
      <c r="BP2554" s="953"/>
      <c r="BQ2554" s="319"/>
      <c r="BR2554" s="319"/>
      <c r="BS2554" s="330"/>
      <c r="BT2554" s="331"/>
      <c r="BU2554" s="920"/>
      <c r="BV2554" s="903"/>
      <c r="BW2554" s="908"/>
      <c r="BX2554" s="908"/>
      <c r="BY2554" s="331"/>
      <c r="BZ2554" s="331"/>
      <c r="CA2554" s="462"/>
      <c r="CB2554" s="319"/>
      <c r="CC2554" s="319"/>
      <c r="CD2554" s="319"/>
      <c r="CE2554" s="319"/>
      <c r="CF2554" s="319"/>
      <c r="CG2554" s="319"/>
      <c r="CH2554" s="318"/>
      <c r="CI2554" s="319"/>
      <c r="CJ2554" s="319"/>
      <c r="CK2554" s="342"/>
      <c r="CL2554" s="333"/>
      <c r="CM2554" s="1079"/>
      <c r="CN2554" s="1005"/>
      <c r="CO2554" s="1005"/>
      <c r="CP2554" s="1005"/>
    </row>
    <row r="2555">
      <c r="A2555" s="1257"/>
      <c r="B2555" s="1113"/>
      <c r="C2555" s="1107"/>
      <c r="D2555" s="103"/>
      <c r="E2555" s="1137"/>
      <c r="F2555" s="112"/>
      <c r="G2555" s="1110"/>
      <c r="H2555" s="1138"/>
      <c r="I2555" s="1138"/>
      <c r="J2555" s="1139"/>
      <c r="K2555" s="1111"/>
      <c r="L2555" s="1112"/>
      <c r="M2555" s="1113"/>
      <c r="N2555" s="110"/>
      <c r="O2555" s="1140"/>
      <c r="P2555" s="1115"/>
      <c r="Q2555" s="1116"/>
      <c r="R2555" s="1141"/>
      <c r="S2555" s="1113"/>
      <c r="T2555" s="1143"/>
      <c r="U2555" s="1108"/>
      <c r="V2555" s="1108"/>
      <c r="W2555" s="1108"/>
      <c r="X2555" s="1108"/>
      <c r="Y2555" s="1108"/>
      <c r="Z2555" s="1114"/>
      <c r="AA2555" s="1114"/>
      <c r="AB2555" s="1114"/>
      <c r="AC2555" s="1117"/>
      <c r="AD2555" s="1115"/>
      <c r="AE2555" s="1115"/>
      <c r="AF2555" s="1115"/>
      <c r="AG2555" s="1115"/>
      <c r="AH2555" s="1115"/>
      <c r="AI2555" s="1115"/>
      <c r="AJ2555" s="1117"/>
      <c r="AK2555" s="1118"/>
      <c r="AL2555" s="1115"/>
      <c r="AM2555" s="1115"/>
      <c r="AN2555" s="1115"/>
      <c r="AO2555" s="1115"/>
      <c r="AP2555" s="1115"/>
      <c r="AQ2555" s="1115"/>
      <c r="AR2555" s="1115"/>
      <c r="AS2555" s="1117"/>
      <c r="AT2555" s="1075"/>
      <c r="AU2555" s="1193"/>
      <c r="AV2555" s="330"/>
      <c r="AW2555" s="331"/>
      <c r="AX2555" s="331"/>
      <c r="AY2555" s="331"/>
      <c r="AZ2555" s="331"/>
      <c r="BA2555" s="331"/>
      <c r="BB2555" s="331"/>
      <c r="BC2555" s="331"/>
      <c r="BD2555" s="331"/>
      <c r="BE2555" s="333"/>
      <c r="BF2555" s="330"/>
      <c r="BG2555" s="333"/>
      <c r="BH2555" s="1119"/>
      <c r="BI2555" s="319"/>
      <c r="BJ2555" s="319"/>
      <c r="BK2555" s="319"/>
      <c r="BL2555" s="319"/>
      <c r="BM2555" s="319"/>
      <c r="BN2555" s="319"/>
      <c r="BO2555" s="319"/>
      <c r="BP2555" s="953"/>
      <c r="BQ2555" s="319"/>
      <c r="BR2555" s="319"/>
      <c r="BS2555" s="330"/>
      <c r="BT2555" s="331"/>
      <c r="BU2555" s="920"/>
      <c r="BV2555" s="903"/>
      <c r="BW2555" s="908"/>
      <c r="BX2555" s="908"/>
      <c r="BY2555" s="331"/>
      <c r="BZ2555" s="331"/>
      <c r="CA2555" s="462"/>
      <c r="CB2555" s="319"/>
      <c r="CC2555" s="319"/>
      <c r="CD2555" s="319"/>
      <c r="CE2555" s="319"/>
      <c r="CF2555" s="319"/>
      <c r="CG2555" s="319"/>
      <c r="CH2555" s="318"/>
      <c r="CI2555" s="319"/>
      <c r="CJ2555" s="319"/>
      <c r="CK2555" s="342"/>
      <c r="CL2555" s="333"/>
      <c r="CM2555" s="1079"/>
      <c r="CN2555" s="1005"/>
      <c r="CO2555" s="1005"/>
      <c r="CP2555" s="1005"/>
    </row>
    <row r="2556">
      <c r="A2556" s="1257"/>
      <c r="B2556" s="1113"/>
      <c r="C2556" s="1107"/>
      <c r="D2556" s="103"/>
      <c r="E2556" s="1137"/>
      <c r="F2556" s="112"/>
      <c r="G2556" s="1110"/>
      <c r="H2556" s="1138"/>
      <c r="I2556" s="1138"/>
      <c r="J2556" s="1139"/>
      <c r="K2556" s="1111"/>
      <c r="L2556" s="1112"/>
      <c r="M2556" s="1113"/>
      <c r="N2556" s="110"/>
      <c r="O2556" s="1140"/>
      <c r="P2556" s="1115"/>
      <c r="Q2556" s="1116"/>
      <c r="R2556" s="1141"/>
      <c r="S2556" s="1113"/>
      <c r="T2556" s="1143"/>
      <c r="U2556" s="1108"/>
      <c r="V2556" s="1108"/>
      <c r="W2556" s="1108"/>
      <c r="X2556" s="1108"/>
      <c r="Y2556" s="1108"/>
      <c r="Z2556" s="1114"/>
      <c r="AA2556" s="1114"/>
      <c r="AB2556" s="1114"/>
      <c r="AC2556" s="1117"/>
      <c r="AD2556" s="1115"/>
      <c r="AE2556" s="1115"/>
      <c r="AF2556" s="1115"/>
      <c r="AG2556" s="1115"/>
      <c r="AH2556" s="1115"/>
      <c r="AI2556" s="1115"/>
      <c r="AJ2556" s="1117"/>
      <c r="AK2556" s="1118"/>
      <c r="AL2556" s="1115"/>
      <c r="AM2556" s="1115"/>
      <c r="AN2556" s="1115"/>
      <c r="AO2556" s="1115"/>
      <c r="AP2556" s="1115"/>
      <c r="AQ2556" s="1115"/>
      <c r="AR2556" s="1115"/>
      <c r="AS2556" s="1117"/>
      <c r="AT2556" s="1075"/>
      <c r="AU2556" s="1193"/>
      <c r="AV2556" s="330"/>
      <c r="AW2556" s="331"/>
      <c r="AX2556" s="331"/>
      <c r="AY2556" s="331"/>
      <c r="AZ2556" s="331"/>
      <c r="BA2556" s="331"/>
      <c r="BB2556" s="331"/>
      <c r="BC2556" s="331"/>
      <c r="BD2556" s="331"/>
      <c r="BE2556" s="333"/>
      <c r="BF2556" s="330"/>
      <c r="BG2556" s="333"/>
      <c r="BH2556" s="1119"/>
      <c r="BI2556" s="319"/>
      <c r="BJ2556" s="319"/>
      <c r="BK2556" s="319"/>
      <c r="BL2556" s="319"/>
      <c r="BM2556" s="319"/>
      <c r="BN2556" s="319"/>
      <c r="BO2556" s="319"/>
      <c r="BP2556" s="953"/>
      <c r="BQ2556" s="319"/>
      <c r="BR2556" s="319"/>
      <c r="BS2556" s="330"/>
      <c r="BT2556" s="331"/>
      <c r="BU2556" s="920"/>
      <c r="BV2556" s="903"/>
      <c r="BW2556" s="908"/>
      <c r="BX2556" s="908"/>
      <c r="BY2556" s="331"/>
      <c r="BZ2556" s="331"/>
      <c r="CA2556" s="462"/>
      <c r="CB2556" s="319"/>
      <c r="CC2556" s="319"/>
      <c r="CD2556" s="319"/>
      <c r="CE2556" s="319"/>
      <c r="CF2556" s="319"/>
      <c r="CG2556" s="319"/>
      <c r="CH2556" s="318"/>
      <c r="CI2556" s="319"/>
      <c r="CJ2556" s="319"/>
      <c r="CK2556" s="342"/>
      <c r="CL2556" s="333"/>
      <c r="CM2556" s="1079"/>
      <c r="CN2556" s="1005"/>
      <c r="CO2556" s="1005"/>
      <c r="CP2556" s="1005"/>
    </row>
    <row r="2557">
      <c r="A2557" s="1257"/>
      <c r="B2557" s="1113"/>
      <c r="C2557" s="1107"/>
      <c r="D2557" s="103"/>
      <c r="E2557" s="1137"/>
      <c r="F2557" s="112"/>
      <c r="G2557" s="1110"/>
      <c r="H2557" s="1138"/>
      <c r="I2557" s="1138"/>
      <c r="J2557" s="1139"/>
      <c r="K2557" s="1111"/>
      <c r="L2557" s="1112"/>
      <c r="M2557" s="1113"/>
      <c r="N2557" s="110"/>
      <c r="O2557" s="1140"/>
      <c r="P2557" s="1115"/>
      <c r="Q2557" s="1116"/>
      <c r="R2557" s="1141"/>
      <c r="S2557" s="1113"/>
      <c r="T2557" s="1143"/>
      <c r="U2557" s="1108"/>
      <c r="V2557" s="1108"/>
      <c r="W2557" s="1108"/>
      <c r="X2557" s="1108"/>
      <c r="Y2557" s="1108"/>
      <c r="Z2557" s="1114"/>
      <c r="AA2557" s="1114"/>
      <c r="AB2557" s="1114"/>
      <c r="AC2557" s="1117"/>
      <c r="AD2557" s="1115"/>
      <c r="AE2557" s="1115"/>
      <c r="AF2557" s="1115"/>
      <c r="AG2557" s="1115"/>
      <c r="AH2557" s="1115"/>
      <c r="AI2557" s="1115"/>
      <c r="AJ2557" s="1117"/>
      <c r="AK2557" s="1118"/>
      <c r="AL2557" s="1115"/>
      <c r="AM2557" s="1115"/>
      <c r="AN2557" s="1115"/>
      <c r="AO2557" s="1115"/>
      <c r="AP2557" s="1115"/>
      <c r="AQ2557" s="1115"/>
      <c r="AR2557" s="1115"/>
      <c r="AS2557" s="1117"/>
      <c r="AT2557" s="1075"/>
      <c r="AU2557" s="1193"/>
      <c r="AV2557" s="330"/>
      <c r="AW2557" s="331"/>
      <c r="AX2557" s="331"/>
      <c r="AY2557" s="331"/>
      <c r="AZ2557" s="331"/>
      <c r="BA2557" s="331"/>
      <c r="BB2557" s="331"/>
      <c r="BC2557" s="331"/>
      <c r="BD2557" s="331"/>
      <c r="BE2557" s="333"/>
      <c r="BF2557" s="330"/>
      <c r="BG2557" s="333"/>
      <c r="BH2557" s="1119"/>
      <c r="BI2557" s="319"/>
      <c r="BJ2557" s="319"/>
      <c r="BK2557" s="319"/>
      <c r="BL2557" s="319"/>
      <c r="BM2557" s="319"/>
      <c r="BN2557" s="319"/>
      <c r="BO2557" s="319"/>
      <c r="BP2557" s="953"/>
      <c r="BQ2557" s="319"/>
      <c r="BR2557" s="319"/>
      <c r="BS2557" s="330"/>
      <c r="BT2557" s="331"/>
      <c r="BU2557" s="920"/>
      <c r="BV2557" s="903"/>
      <c r="BW2557" s="908"/>
      <c r="BX2557" s="908"/>
      <c r="BY2557" s="331"/>
      <c r="BZ2557" s="331"/>
      <c r="CA2557" s="462"/>
      <c r="CB2557" s="319"/>
      <c r="CC2557" s="319"/>
      <c r="CD2557" s="319"/>
      <c r="CE2557" s="319"/>
      <c r="CF2557" s="319"/>
      <c r="CG2557" s="319"/>
      <c r="CH2557" s="318"/>
      <c r="CI2557" s="319"/>
      <c r="CJ2557" s="319"/>
      <c r="CK2557" s="342"/>
      <c r="CL2557" s="333"/>
      <c r="CM2557" s="1079"/>
      <c r="CN2557" s="1005"/>
      <c r="CO2557" s="1005"/>
      <c r="CP2557" s="1005"/>
    </row>
    <row r="2558">
      <c r="A2558" s="1257"/>
      <c r="B2558" s="1113"/>
      <c r="C2558" s="1107"/>
      <c r="D2558" s="103"/>
      <c r="E2558" s="1137"/>
      <c r="F2558" s="112"/>
      <c r="G2558" s="1110"/>
      <c r="H2558" s="1138"/>
      <c r="I2558" s="1138"/>
      <c r="J2558" s="1139"/>
      <c r="K2558" s="1111"/>
      <c r="L2558" s="1112"/>
      <c r="M2558" s="1113"/>
      <c r="N2558" s="110"/>
      <c r="O2558" s="1140"/>
      <c r="P2558" s="1115"/>
      <c r="Q2558" s="1116"/>
      <c r="R2558" s="1141"/>
      <c r="S2558" s="1113"/>
      <c r="T2558" s="1143"/>
      <c r="U2558" s="1108"/>
      <c r="V2558" s="1108"/>
      <c r="W2558" s="1108"/>
      <c r="X2558" s="1108"/>
      <c r="Y2558" s="1108"/>
      <c r="Z2558" s="1114"/>
      <c r="AA2558" s="1114"/>
      <c r="AB2558" s="1114"/>
      <c r="AC2558" s="1117"/>
      <c r="AD2558" s="1115"/>
      <c r="AE2558" s="1115"/>
      <c r="AF2558" s="1115"/>
      <c r="AG2558" s="1115"/>
      <c r="AH2558" s="1115"/>
      <c r="AI2558" s="1115"/>
      <c r="AJ2558" s="1117"/>
      <c r="AK2558" s="1118"/>
      <c r="AL2558" s="1115"/>
      <c r="AM2558" s="1115"/>
      <c r="AN2558" s="1115"/>
      <c r="AO2558" s="1115"/>
      <c r="AP2558" s="1115"/>
      <c r="AQ2558" s="1115"/>
      <c r="AR2558" s="1115"/>
      <c r="AS2558" s="1117"/>
      <c r="AT2558" s="1075"/>
      <c r="AU2558" s="1193"/>
      <c r="AV2558" s="330"/>
      <c r="AW2558" s="331"/>
      <c r="AX2558" s="331"/>
      <c r="AY2558" s="331"/>
      <c r="AZ2558" s="331"/>
      <c r="BA2558" s="331"/>
      <c r="BB2558" s="331"/>
      <c r="BC2558" s="331"/>
      <c r="BD2558" s="331"/>
      <c r="BE2558" s="333"/>
      <c r="BF2558" s="330"/>
      <c r="BG2558" s="333"/>
      <c r="BH2558" s="1119"/>
      <c r="BI2558" s="319"/>
      <c r="BJ2558" s="319"/>
      <c r="BK2558" s="319"/>
      <c r="BL2558" s="319"/>
      <c r="BM2558" s="319"/>
      <c r="BN2558" s="319"/>
      <c r="BO2558" s="319"/>
      <c r="BP2558" s="953"/>
      <c r="BQ2558" s="319"/>
      <c r="BR2558" s="319"/>
      <c r="BS2558" s="330"/>
      <c r="BT2558" s="331"/>
      <c r="BU2558" s="920"/>
      <c r="BV2558" s="903"/>
      <c r="BW2558" s="908"/>
      <c r="BX2558" s="908"/>
      <c r="BY2558" s="331"/>
      <c r="BZ2558" s="331"/>
      <c r="CA2558" s="462"/>
      <c r="CB2558" s="319"/>
      <c r="CC2558" s="319"/>
      <c r="CD2558" s="319"/>
      <c r="CE2558" s="319"/>
      <c r="CF2558" s="319"/>
      <c r="CG2558" s="319"/>
      <c r="CH2558" s="318"/>
      <c r="CI2558" s="319"/>
      <c r="CJ2558" s="319"/>
      <c r="CK2558" s="342"/>
      <c r="CL2558" s="333"/>
      <c r="CM2558" s="1079"/>
      <c r="CN2558" s="1005"/>
      <c r="CO2558" s="1005"/>
      <c r="CP2558" s="1005"/>
    </row>
    <row r="2559">
      <c r="A2559" s="1257"/>
      <c r="B2559" s="1113"/>
      <c r="C2559" s="1107"/>
      <c r="D2559" s="103"/>
      <c r="E2559" s="1137"/>
      <c r="F2559" s="112"/>
      <c r="G2559" s="1110"/>
      <c r="H2559" s="1138"/>
      <c r="I2559" s="1138"/>
      <c r="J2559" s="1139"/>
      <c r="K2559" s="1111"/>
      <c r="L2559" s="1112"/>
      <c r="M2559" s="1113"/>
      <c r="N2559" s="110"/>
      <c r="O2559" s="1140"/>
      <c r="P2559" s="1115"/>
      <c r="Q2559" s="1116"/>
      <c r="R2559" s="1141"/>
      <c r="S2559" s="1113"/>
      <c r="T2559" s="1143"/>
      <c r="U2559" s="1108"/>
      <c r="V2559" s="1108"/>
      <c r="W2559" s="1108"/>
      <c r="X2559" s="1108"/>
      <c r="Y2559" s="1108"/>
      <c r="Z2559" s="1114"/>
      <c r="AA2559" s="1114"/>
      <c r="AB2559" s="1114"/>
      <c r="AC2559" s="1117"/>
      <c r="AD2559" s="1115"/>
      <c r="AE2559" s="1115"/>
      <c r="AF2559" s="1115"/>
      <c r="AG2559" s="1115"/>
      <c r="AH2559" s="1115"/>
      <c r="AI2559" s="1115"/>
      <c r="AJ2559" s="1117"/>
      <c r="AK2559" s="1118"/>
      <c r="AL2559" s="1115"/>
      <c r="AM2559" s="1115"/>
      <c r="AN2559" s="1115"/>
      <c r="AO2559" s="1115"/>
      <c r="AP2559" s="1115"/>
      <c r="AQ2559" s="1115"/>
      <c r="AR2559" s="1115"/>
      <c r="AS2559" s="1117"/>
      <c r="AT2559" s="1075"/>
      <c r="AU2559" s="1193"/>
      <c r="AV2559" s="330"/>
      <c r="AW2559" s="331"/>
      <c r="AX2559" s="331"/>
      <c r="AY2559" s="331"/>
      <c r="AZ2559" s="331"/>
      <c r="BA2559" s="331"/>
      <c r="BB2559" s="331"/>
      <c r="BC2559" s="331"/>
      <c r="BD2559" s="331"/>
      <c r="BE2559" s="333"/>
      <c r="BF2559" s="330"/>
      <c r="BG2559" s="333"/>
      <c r="BH2559" s="1119"/>
      <c r="BI2559" s="319"/>
      <c r="BJ2559" s="319"/>
      <c r="BK2559" s="319"/>
      <c r="BL2559" s="319"/>
      <c r="BM2559" s="319"/>
      <c r="BN2559" s="319"/>
      <c r="BO2559" s="319"/>
      <c r="BP2559" s="953"/>
      <c r="BQ2559" s="319"/>
      <c r="BR2559" s="319"/>
      <c r="BS2559" s="330"/>
      <c r="BT2559" s="331"/>
      <c r="BU2559" s="920"/>
      <c r="BV2559" s="903"/>
      <c r="BW2559" s="908"/>
      <c r="BX2559" s="908"/>
      <c r="BY2559" s="331"/>
      <c r="BZ2559" s="331"/>
      <c r="CA2559" s="462"/>
      <c r="CB2559" s="319"/>
      <c r="CC2559" s="319"/>
      <c r="CD2559" s="319"/>
      <c r="CE2559" s="319"/>
      <c r="CF2559" s="319"/>
      <c r="CG2559" s="319"/>
      <c r="CH2559" s="318"/>
      <c r="CI2559" s="319"/>
      <c r="CJ2559" s="319"/>
      <c r="CK2559" s="342"/>
      <c r="CL2559" s="333"/>
      <c r="CM2559" s="1079"/>
      <c r="CN2559" s="1005"/>
      <c r="CO2559" s="1005"/>
      <c r="CP2559" s="1005"/>
    </row>
    <row r="2560">
      <c r="A2560" s="1257"/>
      <c r="B2560" s="1113"/>
      <c r="C2560" s="1107"/>
      <c r="D2560" s="103"/>
      <c r="E2560" s="1137"/>
      <c r="F2560" s="112"/>
      <c r="G2560" s="1110"/>
      <c r="H2560" s="1138"/>
      <c r="I2560" s="1138"/>
      <c r="J2560" s="1139"/>
      <c r="K2560" s="1111"/>
      <c r="L2560" s="1112"/>
      <c r="M2560" s="1113"/>
      <c r="N2560" s="110"/>
      <c r="O2560" s="1140"/>
      <c r="P2560" s="1115"/>
      <c r="Q2560" s="1116"/>
      <c r="R2560" s="1141"/>
      <c r="S2560" s="1113"/>
      <c r="T2560" s="1143"/>
      <c r="U2560" s="1108"/>
      <c r="V2560" s="1108"/>
      <c r="W2560" s="1108"/>
      <c r="X2560" s="1108"/>
      <c r="Y2560" s="1108"/>
      <c r="Z2560" s="1114"/>
      <c r="AA2560" s="1114"/>
      <c r="AB2560" s="1114"/>
      <c r="AC2560" s="1117"/>
      <c r="AD2560" s="1115"/>
      <c r="AE2560" s="1115"/>
      <c r="AF2560" s="1115"/>
      <c r="AG2560" s="1115"/>
      <c r="AH2560" s="1115"/>
      <c r="AI2560" s="1115"/>
      <c r="AJ2560" s="1117"/>
      <c r="AK2560" s="1118"/>
      <c r="AL2560" s="1115"/>
      <c r="AM2560" s="1115"/>
      <c r="AN2560" s="1115"/>
      <c r="AO2560" s="1115"/>
      <c r="AP2560" s="1115"/>
      <c r="AQ2560" s="1115"/>
      <c r="AR2560" s="1115"/>
      <c r="AS2560" s="1117"/>
      <c r="AT2560" s="1075"/>
      <c r="AU2560" s="1193"/>
      <c r="AV2560" s="330"/>
      <c r="AW2560" s="331"/>
      <c r="AX2560" s="331"/>
      <c r="AY2560" s="331"/>
      <c r="AZ2560" s="331"/>
      <c r="BA2560" s="331"/>
      <c r="BB2560" s="331"/>
      <c r="BC2560" s="331"/>
      <c r="BD2560" s="331"/>
      <c r="BE2560" s="333"/>
      <c r="BF2560" s="330"/>
      <c r="BG2560" s="333"/>
      <c r="BH2560" s="1119"/>
      <c r="BI2560" s="319"/>
      <c r="BJ2560" s="319"/>
      <c r="BK2560" s="319"/>
      <c r="BL2560" s="319"/>
      <c r="BM2560" s="319"/>
      <c r="BN2560" s="319"/>
      <c r="BO2560" s="319"/>
      <c r="BP2560" s="953"/>
      <c r="BQ2560" s="319"/>
      <c r="BR2560" s="319"/>
      <c r="BS2560" s="330"/>
      <c r="BT2560" s="331"/>
      <c r="BU2560" s="920"/>
      <c r="BV2560" s="903"/>
      <c r="BW2560" s="908"/>
      <c r="BX2560" s="908"/>
      <c r="BY2560" s="331"/>
      <c r="BZ2560" s="331"/>
      <c r="CA2560" s="462"/>
      <c r="CB2560" s="319"/>
      <c r="CC2560" s="319"/>
      <c r="CD2560" s="319"/>
      <c r="CE2560" s="319"/>
      <c r="CF2560" s="319"/>
      <c r="CG2560" s="319"/>
      <c r="CH2560" s="318"/>
      <c r="CI2560" s="319"/>
      <c r="CJ2560" s="319"/>
      <c r="CK2560" s="342"/>
      <c r="CL2560" s="333"/>
      <c r="CM2560" s="1079"/>
      <c r="CN2560" s="1005"/>
      <c r="CO2560" s="1005"/>
      <c r="CP2560" s="1005"/>
    </row>
    <row r="2561">
      <c r="A2561" s="1257"/>
      <c r="B2561" s="1113"/>
      <c r="C2561" s="1107"/>
      <c r="D2561" s="103"/>
      <c r="E2561" s="1137"/>
      <c r="F2561" s="112"/>
      <c r="G2561" s="1110"/>
      <c r="H2561" s="1138"/>
      <c r="I2561" s="1138"/>
      <c r="J2561" s="1139"/>
      <c r="K2561" s="1111"/>
      <c r="L2561" s="1112"/>
      <c r="M2561" s="1113"/>
      <c r="N2561" s="110"/>
      <c r="O2561" s="1140"/>
      <c r="P2561" s="1115"/>
      <c r="Q2561" s="1116"/>
      <c r="R2561" s="1141"/>
      <c r="S2561" s="1113"/>
      <c r="T2561" s="1143"/>
      <c r="U2561" s="1108"/>
      <c r="V2561" s="1108"/>
      <c r="W2561" s="1108"/>
      <c r="X2561" s="1108"/>
      <c r="Y2561" s="1108"/>
      <c r="Z2561" s="1114"/>
      <c r="AA2561" s="1114"/>
      <c r="AB2561" s="1114"/>
      <c r="AC2561" s="1117"/>
      <c r="AD2561" s="1115"/>
      <c r="AE2561" s="1115"/>
      <c r="AF2561" s="1115"/>
      <c r="AG2561" s="1115"/>
      <c r="AH2561" s="1115"/>
      <c r="AI2561" s="1115"/>
      <c r="AJ2561" s="1117"/>
      <c r="AK2561" s="1118"/>
      <c r="AL2561" s="1115"/>
      <c r="AM2561" s="1115"/>
      <c r="AN2561" s="1115"/>
      <c r="AO2561" s="1115"/>
      <c r="AP2561" s="1115"/>
      <c r="AQ2561" s="1115"/>
      <c r="AR2561" s="1115"/>
      <c r="AS2561" s="1117"/>
      <c r="AT2561" s="1075"/>
      <c r="AU2561" s="1193"/>
      <c r="AV2561" s="330"/>
      <c r="AW2561" s="331"/>
      <c r="AX2561" s="331"/>
      <c r="AY2561" s="331"/>
      <c r="AZ2561" s="331"/>
      <c r="BA2561" s="331"/>
      <c r="BB2561" s="331"/>
      <c r="BC2561" s="331"/>
      <c r="BD2561" s="331"/>
      <c r="BE2561" s="333"/>
      <c r="BF2561" s="330"/>
      <c r="BG2561" s="333"/>
      <c r="BH2561" s="1119"/>
      <c r="BI2561" s="319"/>
      <c r="BJ2561" s="319"/>
      <c r="BK2561" s="319"/>
      <c r="BL2561" s="319"/>
      <c r="BM2561" s="319"/>
      <c r="BN2561" s="319"/>
      <c r="BO2561" s="319"/>
      <c r="BP2561" s="953"/>
      <c r="BQ2561" s="319"/>
      <c r="BR2561" s="319"/>
      <c r="BS2561" s="330"/>
      <c r="BT2561" s="331"/>
      <c r="BU2561" s="920"/>
      <c r="BV2561" s="903"/>
      <c r="BW2561" s="908"/>
      <c r="BX2561" s="908"/>
      <c r="BY2561" s="331"/>
      <c r="BZ2561" s="331"/>
      <c r="CA2561" s="462"/>
      <c r="CB2561" s="319"/>
      <c r="CC2561" s="319"/>
      <c r="CD2561" s="319"/>
      <c r="CE2561" s="319"/>
      <c r="CF2561" s="319"/>
      <c r="CG2561" s="319"/>
      <c r="CH2561" s="318"/>
      <c r="CI2561" s="319"/>
      <c r="CJ2561" s="319"/>
      <c r="CK2561" s="342"/>
      <c r="CL2561" s="333"/>
      <c r="CM2561" s="1079"/>
      <c r="CN2561" s="1005"/>
      <c r="CO2561" s="1005"/>
      <c r="CP2561" s="1005"/>
    </row>
    <row r="2562">
      <c r="A2562" s="1257"/>
      <c r="B2562" s="1113"/>
      <c r="C2562" s="1107"/>
      <c r="D2562" s="103"/>
      <c r="E2562" s="1137"/>
      <c r="F2562" s="112"/>
      <c r="G2562" s="1110"/>
      <c r="H2562" s="1138"/>
      <c r="I2562" s="1138"/>
      <c r="J2562" s="1139"/>
      <c r="K2562" s="1111"/>
      <c r="L2562" s="1112"/>
      <c r="M2562" s="1113"/>
      <c r="N2562" s="110"/>
      <c r="O2562" s="1140"/>
      <c r="P2562" s="1115"/>
      <c r="Q2562" s="1116"/>
      <c r="R2562" s="1141"/>
      <c r="S2562" s="1113"/>
      <c r="T2562" s="1143"/>
      <c r="U2562" s="1108"/>
      <c r="V2562" s="1108"/>
      <c r="W2562" s="1108"/>
      <c r="X2562" s="1108"/>
      <c r="Y2562" s="1108"/>
      <c r="Z2562" s="1114"/>
      <c r="AA2562" s="1114"/>
      <c r="AB2562" s="1114"/>
      <c r="AC2562" s="1117"/>
      <c r="AD2562" s="1115"/>
      <c r="AE2562" s="1115"/>
      <c r="AF2562" s="1115"/>
      <c r="AG2562" s="1115"/>
      <c r="AH2562" s="1115"/>
      <c r="AI2562" s="1115"/>
      <c r="AJ2562" s="1117"/>
      <c r="AK2562" s="1118"/>
      <c r="AL2562" s="1115"/>
      <c r="AM2562" s="1115"/>
      <c r="AN2562" s="1115"/>
      <c r="AO2562" s="1115"/>
      <c r="AP2562" s="1115"/>
      <c r="AQ2562" s="1115"/>
      <c r="AR2562" s="1115"/>
      <c r="AS2562" s="1117"/>
      <c r="AT2562" s="1075"/>
      <c r="AU2562" s="1193"/>
      <c r="AV2562" s="330"/>
      <c r="AW2562" s="331"/>
      <c r="AX2562" s="331"/>
      <c r="AY2562" s="331"/>
      <c r="AZ2562" s="331"/>
      <c r="BA2562" s="331"/>
      <c r="BB2562" s="331"/>
      <c r="BC2562" s="331"/>
      <c r="BD2562" s="331"/>
      <c r="BE2562" s="333"/>
      <c r="BF2562" s="330"/>
      <c r="BG2562" s="333"/>
      <c r="BH2562" s="1119"/>
      <c r="BI2562" s="319"/>
      <c r="BJ2562" s="319"/>
      <c r="BK2562" s="319"/>
      <c r="BL2562" s="319"/>
      <c r="BM2562" s="319"/>
      <c r="BN2562" s="319"/>
      <c r="BO2562" s="319"/>
      <c r="BP2562" s="953"/>
      <c r="BQ2562" s="319"/>
      <c r="BR2562" s="319"/>
      <c r="BS2562" s="330"/>
      <c r="BT2562" s="331"/>
      <c r="BU2562" s="920"/>
      <c r="BV2562" s="903"/>
      <c r="BW2562" s="908"/>
      <c r="BX2562" s="908"/>
      <c r="BY2562" s="331"/>
      <c r="BZ2562" s="331"/>
      <c r="CA2562" s="462"/>
      <c r="CB2562" s="319"/>
      <c r="CC2562" s="319"/>
      <c r="CD2562" s="319"/>
      <c r="CE2562" s="319"/>
      <c r="CF2562" s="319"/>
      <c r="CG2562" s="319"/>
      <c r="CH2562" s="318"/>
      <c r="CI2562" s="319"/>
      <c r="CJ2562" s="319"/>
      <c r="CK2562" s="342"/>
      <c r="CL2562" s="333"/>
      <c r="CM2562" s="1079"/>
      <c r="CN2562" s="1005"/>
      <c r="CO2562" s="1005"/>
      <c r="CP2562" s="1005"/>
    </row>
    <row r="2563">
      <c r="A2563" s="1257"/>
      <c r="B2563" s="1113"/>
      <c r="C2563" s="1107"/>
      <c r="D2563" s="103"/>
      <c r="E2563" s="1137"/>
      <c r="F2563" s="112"/>
      <c r="G2563" s="1110"/>
      <c r="H2563" s="1138"/>
      <c r="I2563" s="1138"/>
      <c r="J2563" s="1139"/>
      <c r="K2563" s="1111"/>
      <c r="L2563" s="1112"/>
      <c r="M2563" s="1113"/>
      <c r="N2563" s="110"/>
      <c r="O2563" s="1140"/>
      <c r="P2563" s="1115"/>
      <c r="Q2563" s="1116"/>
      <c r="R2563" s="1141"/>
      <c r="S2563" s="1113"/>
      <c r="T2563" s="1143"/>
      <c r="U2563" s="1108"/>
      <c r="V2563" s="1108"/>
      <c r="W2563" s="1108"/>
      <c r="X2563" s="1108"/>
      <c r="Y2563" s="1108"/>
      <c r="Z2563" s="1114"/>
      <c r="AA2563" s="1114"/>
      <c r="AB2563" s="1114"/>
      <c r="AC2563" s="1117"/>
      <c r="AD2563" s="1115"/>
      <c r="AE2563" s="1115"/>
      <c r="AF2563" s="1115"/>
      <c r="AG2563" s="1115"/>
      <c r="AH2563" s="1115"/>
      <c r="AI2563" s="1115"/>
      <c r="AJ2563" s="1117"/>
      <c r="AK2563" s="1118"/>
      <c r="AL2563" s="1115"/>
      <c r="AM2563" s="1115"/>
      <c r="AN2563" s="1115"/>
      <c r="AO2563" s="1115"/>
      <c r="AP2563" s="1115"/>
      <c r="AQ2563" s="1115"/>
      <c r="AR2563" s="1115"/>
      <c r="AS2563" s="1117"/>
      <c r="AT2563" s="1075"/>
      <c r="AU2563" s="1193"/>
      <c r="AV2563" s="330"/>
      <c r="AW2563" s="331"/>
      <c r="AX2563" s="331"/>
      <c r="AY2563" s="331"/>
      <c r="AZ2563" s="331"/>
      <c r="BA2563" s="331"/>
      <c r="BB2563" s="331"/>
      <c r="BC2563" s="331"/>
      <c r="BD2563" s="331"/>
      <c r="BE2563" s="333"/>
      <c r="BF2563" s="330"/>
      <c r="BG2563" s="333"/>
      <c r="BH2563" s="1119"/>
      <c r="BI2563" s="319"/>
      <c r="BJ2563" s="319"/>
      <c r="BK2563" s="319"/>
      <c r="BL2563" s="319"/>
      <c r="BM2563" s="319"/>
      <c r="BN2563" s="319"/>
      <c r="BO2563" s="319"/>
      <c r="BP2563" s="953"/>
      <c r="BQ2563" s="319"/>
      <c r="BR2563" s="319"/>
      <c r="BS2563" s="330"/>
      <c r="BT2563" s="331"/>
      <c r="BU2563" s="920"/>
      <c r="BV2563" s="903"/>
      <c r="BW2563" s="908"/>
      <c r="BX2563" s="908"/>
      <c r="BY2563" s="331"/>
      <c r="BZ2563" s="331"/>
      <c r="CA2563" s="462"/>
      <c r="CB2563" s="319"/>
      <c r="CC2563" s="319"/>
      <c r="CD2563" s="319"/>
      <c r="CE2563" s="319"/>
      <c r="CF2563" s="319"/>
      <c r="CG2563" s="319"/>
      <c r="CH2563" s="318"/>
      <c r="CI2563" s="319"/>
      <c r="CJ2563" s="319"/>
      <c r="CK2563" s="342"/>
      <c r="CL2563" s="333"/>
      <c r="CM2563" s="1079"/>
      <c r="CN2563" s="1005"/>
      <c r="CO2563" s="1005"/>
      <c r="CP2563" s="1005"/>
    </row>
    <row r="2564">
      <c r="A2564" s="1257"/>
      <c r="B2564" s="1113"/>
      <c r="C2564" s="1107"/>
      <c r="D2564" s="103"/>
      <c r="E2564" s="1137"/>
      <c r="F2564" s="112"/>
      <c r="G2564" s="1110"/>
      <c r="H2564" s="1138"/>
      <c r="I2564" s="1138"/>
      <c r="J2564" s="1139"/>
      <c r="K2564" s="1111"/>
      <c r="L2564" s="1112"/>
      <c r="M2564" s="1113"/>
      <c r="N2564" s="110"/>
      <c r="O2564" s="1140"/>
      <c r="P2564" s="1115"/>
      <c r="Q2564" s="1116"/>
      <c r="R2564" s="1141"/>
      <c r="S2564" s="1113"/>
      <c r="T2564" s="1143"/>
      <c r="U2564" s="1108"/>
      <c r="V2564" s="1108"/>
      <c r="W2564" s="1108"/>
      <c r="X2564" s="1108"/>
      <c r="Y2564" s="1108"/>
      <c r="Z2564" s="1114"/>
      <c r="AA2564" s="1114"/>
      <c r="AB2564" s="1114"/>
      <c r="AC2564" s="1117"/>
      <c r="AD2564" s="1115"/>
      <c r="AE2564" s="1115"/>
      <c r="AF2564" s="1115"/>
      <c r="AG2564" s="1115"/>
      <c r="AH2564" s="1115"/>
      <c r="AI2564" s="1115"/>
      <c r="AJ2564" s="1117"/>
      <c r="AK2564" s="1118"/>
      <c r="AL2564" s="1115"/>
      <c r="AM2564" s="1115"/>
      <c r="AN2564" s="1115"/>
      <c r="AO2564" s="1115"/>
      <c r="AP2564" s="1115"/>
      <c r="AQ2564" s="1115"/>
      <c r="AR2564" s="1115"/>
      <c r="AS2564" s="1117"/>
      <c r="AT2564" s="1075"/>
      <c r="AU2564" s="1193"/>
      <c r="AV2564" s="330"/>
      <c r="AW2564" s="331"/>
      <c r="AX2564" s="331"/>
      <c r="AY2564" s="331"/>
      <c r="AZ2564" s="331"/>
      <c r="BA2564" s="331"/>
      <c r="BB2564" s="331"/>
      <c r="BC2564" s="331"/>
      <c r="BD2564" s="331"/>
      <c r="BE2564" s="333"/>
      <c r="BF2564" s="330"/>
      <c r="BG2564" s="333"/>
      <c r="BH2564" s="1119"/>
      <c r="BI2564" s="319"/>
      <c r="BJ2564" s="319"/>
      <c r="BK2564" s="319"/>
      <c r="BL2564" s="319"/>
      <c r="BM2564" s="319"/>
      <c r="BN2564" s="319"/>
      <c r="BO2564" s="319"/>
      <c r="BP2564" s="953"/>
      <c r="BQ2564" s="319"/>
      <c r="BR2564" s="319"/>
      <c r="BS2564" s="330"/>
      <c r="BT2564" s="331"/>
      <c r="BU2564" s="920"/>
      <c r="BV2564" s="903"/>
      <c r="BW2564" s="908"/>
      <c r="BX2564" s="908"/>
      <c r="BY2564" s="331"/>
      <c r="BZ2564" s="331"/>
      <c r="CA2564" s="462"/>
      <c r="CB2564" s="319"/>
      <c r="CC2564" s="319"/>
      <c r="CD2564" s="319"/>
      <c r="CE2564" s="319"/>
      <c r="CF2564" s="319"/>
      <c r="CG2564" s="319"/>
      <c r="CH2564" s="318"/>
      <c r="CI2564" s="319"/>
      <c r="CJ2564" s="319"/>
      <c r="CK2564" s="342"/>
      <c r="CL2564" s="333"/>
      <c r="CM2564" s="1079"/>
      <c r="CN2564" s="1005"/>
      <c r="CO2564" s="1005"/>
      <c r="CP2564" s="1005"/>
    </row>
    <row r="2565">
      <c r="A2565" s="1257"/>
      <c r="B2565" s="1113"/>
      <c r="C2565" s="1107"/>
      <c r="D2565" s="103"/>
      <c r="E2565" s="1137"/>
      <c r="F2565" s="112"/>
      <c r="G2565" s="1110"/>
      <c r="H2565" s="1138"/>
      <c r="I2565" s="1138"/>
      <c r="J2565" s="1139"/>
      <c r="K2565" s="1111"/>
      <c r="L2565" s="1112"/>
      <c r="M2565" s="1113"/>
      <c r="N2565" s="110"/>
      <c r="O2565" s="1140"/>
      <c r="P2565" s="1115"/>
      <c r="Q2565" s="1116"/>
      <c r="R2565" s="1141"/>
      <c r="S2565" s="1113"/>
      <c r="T2565" s="1143"/>
      <c r="U2565" s="1108"/>
      <c r="V2565" s="1108"/>
      <c r="W2565" s="1108"/>
      <c r="X2565" s="1108"/>
      <c r="Y2565" s="1108"/>
      <c r="Z2565" s="1114"/>
      <c r="AA2565" s="1114"/>
      <c r="AB2565" s="1114"/>
      <c r="AC2565" s="1117"/>
      <c r="AD2565" s="1115"/>
      <c r="AE2565" s="1115"/>
      <c r="AF2565" s="1115"/>
      <c r="AG2565" s="1115"/>
      <c r="AH2565" s="1115"/>
      <c r="AI2565" s="1115"/>
      <c r="AJ2565" s="1117"/>
      <c r="AK2565" s="1118"/>
      <c r="AL2565" s="1115"/>
      <c r="AM2565" s="1115"/>
      <c r="AN2565" s="1115"/>
      <c r="AO2565" s="1115"/>
      <c r="AP2565" s="1115"/>
      <c r="AQ2565" s="1115"/>
      <c r="AR2565" s="1115"/>
      <c r="AS2565" s="1117"/>
      <c r="AT2565" s="1075"/>
      <c r="AU2565" s="1193"/>
      <c r="AV2565" s="330"/>
      <c r="AW2565" s="331"/>
      <c r="AX2565" s="331"/>
      <c r="AY2565" s="331"/>
      <c r="AZ2565" s="331"/>
      <c r="BA2565" s="331"/>
      <c r="BB2565" s="331"/>
      <c r="BC2565" s="331"/>
      <c r="BD2565" s="331"/>
      <c r="BE2565" s="333"/>
      <c r="BF2565" s="330"/>
      <c r="BG2565" s="333"/>
      <c r="BH2565" s="1119"/>
      <c r="BI2565" s="319"/>
      <c r="BJ2565" s="319"/>
      <c r="BK2565" s="319"/>
      <c r="BL2565" s="319"/>
      <c r="BM2565" s="319"/>
      <c r="BN2565" s="319"/>
      <c r="BO2565" s="319"/>
      <c r="BP2565" s="953"/>
      <c r="BQ2565" s="319"/>
      <c r="BR2565" s="319"/>
      <c r="BS2565" s="330"/>
      <c r="BT2565" s="331"/>
      <c r="BU2565" s="920"/>
      <c r="BV2565" s="903"/>
      <c r="BW2565" s="908"/>
      <c r="BX2565" s="908"/>
      <c r="BY2565" s="331"/>
      <c r="BZ2565" s="331"/>
      <c r="CA2565" s="462"/>
      <c r="CB2565" s="319"/>
      <c r="CC2565" s="319"/>
      <c r="CD2565" s="319"/>
      <c r="CE2565" s="319"/>
      <c r="CF2565" s="319"/>
      <c r="CG2565" s="319"/>
      <c r="CH2565" s="318"/>
      <c r="CI2565" s="319"/>
      <c r="CJ2565" s="319"/>
      <c r="CK2565" s="342"/>
      <c r="CL2565" s="333"/>
      <c r="CM2565" s="1079"/>
      <c r="CN2565" s="1005"/>
      <c r="CO2565" s="1005"/>
      <c r="CP2565" s="1005"/>
    </row>
    <row r="2566">
      <c r="A2566" s="1257"/>
      <c r="B2566" s="1113"/>
      <c r="C2566" s="1107"/>
      <c r="D2566" s="103"/>
      <c r="E2566" s="1137"/>
      <c r="F2566" s="112"/>
      <c r="G2566" s="1110"/>
      <c r="H2566" s="1138"/>
      <c r="I2566" s="1138"/>
      <c r="J2566" s="1139"/>
      <c r="K2566" s="1111"/>
      <c r="L2566" s="1112"/>
      <c r="M2566" s="1113"/>
      <c r="N2566" s="110"/>
      <c r="O2566" s="1140"/>
      <c r="P2566" s="1115"/>
      <c r="Q2566" s="1116"/>
      <c r="R2566" s="1141"/>
      <c r="S2566" s="1113"/>
      <c r="T2566" s="1143"/>
      <c r="U2566" s="1108"/>
      <c r="V2566" s="1108"/>
      <c r="W2566" s="1108"/>
      <c r="X2566" s="1108"/>
      <c r="Y2566" s="1108"/>
      <c r="Z2566" s="1114"/>
      <c r="AA2566" s="1114"/>
      <c r="AB2566" s="1114"/>
      <c r="AC2566" s="1117"/>
      <c r="AD2566" s="1115"/>
      <c r="AE2566" s="1115"/>
      <c r="AF2566" s="1115"/>
      <c r="AG2566" s="1115"/>
      <c r="AH2566" s="1115"/>
      <c r="AI2566" s="1115"/>
      <c r="AJ2566" s="1117"/>
      <c r="AK2566" s="1118"/>
      <c r="AL2566" s="1115"/>
      <c r="AM2566" s="1115"/>
      <c r="AN2566" s="1115"/>
      <c r="AO2566" s="1115"/>
      <c r="AP2566" s="1115"/>
      <c r="AQ2566" s="1115"/>
      <c r="AR2566" s="1115"/>
      <c r="AS2566" s="1117"/>
      <c r="AT2566" s="1075"/>
      <c r="AU2566" s="1193"/>
      <c r="AV2566" s="330"/>
      <c r="AW2566" s="331"/>
      <c r="AX2566" s="331"/>
      <c r="AY2566" s="331"/>
      <c r="AZ2566" s="331"/>
      <c r="BA2566" s="331"/>
      <c r="BB2566" s="331"/>
      <c r="BC2566" s="331"/>
      <c r="BD2566" s="331"/>
      <c r="BE2566" s="333"/>
      <c r="BF2566" s="330"/>
      <c r="BG2566" s="333"/>
      <c r="BH2566" s="1119"/>
      <c r="BI2566" s="319"/>
      <c r="BJ2566" s="319"/>
      <c r="BK2566" s="319"/>
      <c r="BL2566" s="319"/>
      <c r="BM2566" s="319"/>
      <c r="BN2566" s="319"/>
      <c r="BO2566" s="319"/>
      <c r="BP2566" s="953"/>
      <c r="BQ2566" s="319"/>
      <c r="BR2566" s="319"/>
      <c r="BS2566" s="330"/>
      <c r="BT2566" s="331"/>
      <c r="BU2566" s="920"/>
      <c r="BV2566" s="903"/>
      <c r="BW2566" s="908"/>
      <c r="BX2566" s="908"/>
      <c r="BY2566" s="331"/>
      <c r="BZ2566" s="331"/>
      <c r="CA2566" s="462"/>
      <c r="CB2566" s="319"/>
      <c r="CC2566" s="319"/>
      <c r="CD2566" s="319"/>
      <c r="CE2566" s="319"/>
      <c r="CF2566" s="319"/>
      <c r="CG2566" s="319"/>
      <c r="CH2566" s="318"/>
      <c r="CI2566" s="319"/>
      <c r="CJ2566" s="319"/>
      <c r="CK2566" s="342"/>
      <c r="CL2566" s="333"/>
      <c r="CM2566" s="1079"/>
      <c r="CN2566" s="1005"/>
      <c r="CO2566" s="1005"/>
      <c r="CP2566" s="1005"/>
    </row>
    <row r="2567">
      <c r="A2567" s="1257"/>
      <c r="B2567" s="1113"/>
      <c r="C2567" s="1107"/>
      <c r="D2567" s="103"/>
      <c r="E2567" s="1137"/>
      <c r="F2567" s="112"/>
      <c r="G2567" s="1110"/>
      <c r="H2567" s="1138"/>
      <c r="I2567" s="1138"/>
      <c r="J2567" s="1139"/>
      <c r="K2567" s="1111"/>
      <c r="L2567" s="1112"/>
      <c r="M2567" s="1113"/>
      <c r="N2567" s="110"/>
      <c r="O2567" s="1140"/>
      <c r="P2567" s="1115"/>
      <c r="Q2567" s="1116"/>
      <c r="R2567" s="1141"/>
      <c r="S2567" s="1113"/>
      <c r="T2567" s="1143"/>
      <c r="U2567" s="1108"/>
      <c r="V2567" s="1108"/>
      <c r="W2567" s="1108"/>
      <c r="X2567" s="1108"/>
      <c r="Y2567" s="1108"/>
      <c r="Z2567" s="1114"/>
      <c r="AA2567" s="1114"/>
      <c r="AB2567" s="1114"/>
      <c r="AC2567" s="1117"/>
      <c r="AD2567" s="1115"/>
      <c r="AE2567" s="1115"/>
      <c r="AF2567" s="1115"/>
      <c r="AG2567" s="1115"/>
      <c r="AH2567" s="1115"/>
      <c r="AI2567" s="1115"/>
      <c r="AJ2567" s="1117"/>
      <c r="AK2567" s="1118"/>
      <c r="AL2567" s="1115"/>
      <c r="AM2567" s="1115"/>
      <c r="AN2567" s="1115"/>
      <c r="AO2567" s="1115"/>
      <c r="AP2567" s="1115"/>
      <c r="AQ2567" s="1115"/>
      <c r="AR2567" s="1115"/>
      <c r="AS2567" s="1117"/>
      <c r="AT2567" s="1075"/>
      <c r="AU2567" s="1193"/>
      <c r="AV2567" s="330"/>
      <c r="AW2567" s="331"/>
      <c r="AX2567" s="331"/>
      <c r="AY2567" s="331"/>
      <c r="AZ2567" s="331"/>
      <c r="BA2567" s="331"/>
      <c r="BB2567" s="331"/>
      <c r="BC2567" s="331"/>
      <c r="BD2567" s="331"/>
      <c r="BE2567" s="333"/>
      <c r="BF2567" s="330"/>
      <c r="BG2567" s="333"/>
      <c r="BH2567" s="1119"/>
      <c r="BI2567" s="319"/>
      <c r="BJ2567" s="319"/>
      <c r="BK2567" s="319"/>
      <c r="BL2567" s="319"/>
      <c r="BM2567" s="319"/>
      <c r="BN2567" s="319"/>
      <c r="BO2567" s="319"/>
      <c r="BP2567" s="953"/>
      <c r="BQ2567" s="319"/>
      <c r="BR2567" s="319"/>
      <c r="BS2567" s="330"/>
      <c r="BT2567" s="331"/>
      <c r="BU2567" s="920"/>
      <c r="BV2567" s="903"/>
      <c r="BW2567" s="908"/>
      <c r="BX2567" s="908"/>
      <c r="BY2567" s="331"/>
      <c r="BZ2567" s="331"/>
      <c r="CA2567" s="462"/>
      <c r="CB2567" s="319"/>
      <c r="CC2567" s="319"/>
      <c r="CD2567" s="319"/>
      <c r="CE2567" s="319"/>
      <c r="CF2567" s="319"/>
      <c r="CG2567" s="319"/>
      <c r="CH2567" s="318"/>
      <c r="CI2567" s="319"/>
      <c r="CJ2567" s="319"/>
      <c r="CK2567" s="342"/>
      <c r="CL2567" s="333"/>
      <c r="CM2567" s="1079"/>
      <c r="CN2567" s="1005"/>
      <c r="CO2567" s="1005"/>
      <c r="CP2567" s="1005"/>
    </row>
    <row r="2568">
      <c r="A2568" s="1257"/>
      <c r="B2568" s="1113"/>
      <c r="C2568" s="1107"/>
      <c r="D2568" s="103"/>
      <c r="E2568" s="1137"/>
      <c r="F2568" s="112"/>
      <c r="G2568" s="1110"/>
      <c r="H2568" s="1138"/>
      <c r="I2568" s="1138"/>
      <c r="J2568" s="1139"/>
      <c r="K2568" s="1111"/>
      <c r="L2568" s="1112"/>
      <c r="M2568" s="1113"/>
      <c r="N2568" s="110"/>
      <c r="O2568" s="1140"/>
      <c r="P2568" s="1115"/>
      <c r="Q2568" s="1116"/>
      <c r="R2568" s="1141"/>
      <c r="S2568" s="1113"/>
      <c r="T2568" s="1143"/>
      <c r="U2568" s="1108"/>
      <c r="V2568" s="1108"/>
      <c r="W2568" s="1108"/>
      <c r="X2568" s="1108"/>
      <c r="Y2568" s="1108"/>
      <c r="Z2568" s="1114"/>
      <c r="AA2568" s="1114"/>
      <c r="AB2568" s="1114"/>
      <c r="AC2568" s="1117"/>
      <c r="AD2568" s="1115"/>
      <c r="AE2568" s="1115"/>
      <c r="AF2568" s="1115"/>
      <c r="AG2568" s="1115"/>
      <c r="AH2568" s="1115"/>
      <c r="AI2568" s="1115"/>
      <c r="AJ2568" s="1117"/>
      <c r="AK2568" s="1118"/>
      <c r="AL2568" s="1115"/>
      <c r="AM2568" s="1115"/>
      <c r="AN2568" s="1115"/>
      <c r="AO2568" s="1115"/>
      <c r="AP2568" s="1115"/>
      <c r="AQ2568" s="1115"/>
      <c r="AR2568" s="1115"/>
      <c r="AS2568" s="1117"/>
      <c r="AT2568" s="1075"/>
      <c r="AU2568" s="1193"/>
      <c r="AV2568" s="330"/>
      <c r="AW2568" s="331"/>
      <c r="AX2568" s="331"/>
      <c r="AY2568" s="331"/>
      <c r="AZ2568" s="331"/>
      <c r="BA2568" s="331"/>
      <c r="BB2568" s="331"/>
      <c r="BC2568" s="331"/>
      <c r="BD2568" s="331"/>
      <c r="BE2568" s="333"/>
      <c r="BF2568" s="330"/>
      <c r="BG2568" s="333"/>
      <c r="BH2568" s="1119"/>
      <c r="BI2568" s="319"/>
      <c r="BJ2568" s="319"/>
      <c r="BK2568" s="319"/>
      <c r="BL2568" s="319"/>
      <c r="BM2568" s="319"/>
      <c r="BN2568" s="319"/>
      <c r="BO2568" s="319"/>
      <c r="BP2568" s="953"/>
      <c r="BQ2568" s="319"/>
      <c r="BR2568" s="319"/>
      <c r="BS2568" s="330"/>
      <c r="BT2568" s="331"/>
      <c r="BU2568" s="920"/>
      <c r="BV2568" s="903"/>
      <c r="BW2568" s="908"/>
      <c r="BX2568" s="908"/>
      <c r="BY2568" s="331"/>
      <c r="BZ2568" s="331"/>
      <c r="CA2568" s="462"/>
      <c r="CB2568" s="319"/>
      <c r="CC2568" s="319"/>
      <c r="CD2568" s="319"/>
      <c r="CE2568" s="319"/>
      <c r="CF2568" s="319"/>
      <c r="CG2568" s="319"/>
      <c r="CH2568" s="318"/>
      <c r="CI2568" s="319"/>
      <c r="CJ2568" s="319"/>
      <c r="CK2568" s="342"/>
      <c r="CL2568" s="333"/>
      <c r="CM2568" s="1079"/>
      <c r="CN2568" s="1005"/>
      <c r="CO2568" s="1005"/>
      <c r="CP2568" s="1005"/>
    </row>
    <row r="2569">
      <c r="A2569" s="1257"/>
      <c r="B2569" s="1113"/>
      <c r="C2569" s="1107"/>
      <c r="D2569" s="103"/>
      <c r="E2569" s="1137"/>
      <c r="F2569" s="112"/>
      <c r="G2569" s="1110"/>
      <c r="H2569" s="1138"/>
      <c r="I2569" s="1138"/>
      <c r="J2569" s="1139"/>
      <c r="K2569" s="1111"/>
      <c r="L2569" s="1112"/>
      <c r="M2569" s="1113"/>
      <c r="N2569" s="110"/>
      <c r="O2569" s="1140"/>
      <c r="P2569" s="1115"/>
      <c r="Q2569" s="1116"/>
      <c r="R2569" s="1141"/>
      <c r="S2569" s="1113"/>
      <c r="T2569" s="1143"/>
      <c r="U2569" s="1108"/>
      <c r="V2569" s="1108"/>
      <c r="W2569" s="1108"/>
      <c r="X2569" s="1108"/>
      <c r="Y2569" s="1108"/>
      <c r="Z2569" s="1114"/>
      <c r="AA2569" s="1114"/>
      <c r="AB2569" s="1114"/>
      <c r="AC2569" s="1117"/>
      <c r="AD2569" s="1115"/>
      <c r="AE2569" s="1115"/>
      <c r="AF2569" s="1115"/>
      <c r="AG2569" s="1115"/>
      <c r="AH2569" s="1115"/>
      <c r="AI2569" s="1115"/>
      <c r="AJ2569" s="1117"/>
      <c r="AK2569" s="1118"/>
      <c r="AL2569" s="1115"/>
      <c r="AM2569" s="1115"/>
      <c r="AN2569" s="1115"/>
      <c r="AO2569" s="1115"/>
      <c r="AP2569" s="1115"/>
      <c r="AQ2569" s="1115"/>
      <c r="AR2569" s="1115"/>
      <c r="AS2569" s="1117"/>
      <c r="AT2569" s="1075"/>
      <c r="AU2569" s="1193"/>
      <c r="AV2569" s="330"/>
      <c r="AW2569" s="331"/>
      <c r="AX2569" s="331"/>
      <c r="AY2569" s="331"/>
      <c r="AZ2569" s="331"/>
      <c r="BA2569" s="331"/>
      <c r="BB2569" s="331"/>
      <c r="BC2569" s="331"/>
      <c r="BD2569" s="331"/>
      <c r="BE2569" s="333"/>
      <c r="BF2569" s="330"/>
      <c r="BG2569" s="333"/>
      <c r="BH2569" s="1119"/>
      <c r="BI2569" s="319"/>
      <c r="BJ2569" s="319"/>
      <c r="BK2569" s="319"/>
      <c r="BL2569" s="319"/>
      <c r="BM2569" s="319"/>
      <c r="BN2569" s="319"/>
      <c r="BO2569" s="319"/>
      <c r="BP2569" s="953"/>
      <c r="BQ2569" s="319"/>
      <c r="BR2569" s="319"/>
      <c r="BS2569" s="330"/>
      <c r="BT2569" s="331"/>
      <c r="BU2569" s="920"/>
      <c r="BV2569" s="903"/>
      <c r="BW2569" s="908"/>
      <c r="BX2569" s="908"/>
      <c r="BY2569" s="331"/>
      <c r="BZ2569" s="331"/>
      <c r="CA2569" s="462"/>
      <c r="CB2569" s="319"/>
      <c r="CC2569" s="319"/>
      <c r="CD2569" s="319"/>
      <c r="CE2569" s="319"/>
      <c r="CF2569" s="319"/>
      <c r="CG2569" s="319"/>
      <c r="CH2569" s="318"/>
      <c r="CI2569" s="319"/>
      <c r="CJ2569" s="319"/>
      <c r="CK2569" s="342"/>
      <c r="CL2569" s="333"/>
      <c r="CM2569" s="1079"/>
      <c r="CN2569" s="1005"/>
      <c r="CO2569" s="1005"/>
      <c r="CP2569" s="1005"/>
    </row>
    <row r="2570">
      <c r="A2570" s="1257"/>
      <c r="B2570" s="1113"/>
      <c r="C2570" s="1107"/>
      <c r="D2570" s="103"/>
      <c r="E2570" s="1137"/>
      <c r="F2570" s="112"/>
      <c r="G2570" s="1110"/>
      <c r="H2570" s="1138"/>
      <c r="I2570" s="1138"/>
      <c r="J2570" s="1139"/>
      <c r="K2570" s="1111"/>
      <c r="L2570" s="1112"/>
      <c r="M2570" s="1113"/>
      <c r="N2570" s="110"/>
      <c r="O2570" s="1140"/>
      <c r="P2570" s="1115"/>
      <c r="Q2570" s="1116"/>
      <c r="R2570" s="1141"/>
      <c r="S2570" s="1113"/>
      <c r="T2570" s="1143"/>
      <c r="U2570" s="1108"/>
      <c r="V2570" s="1108"/>
      <c r="W2570" s="1108"/>
      <c r="X2570" s="1108"/>
      <c r="Y2570" s="1108"/>
      <c r="Z2570" s="1114"/>
      <c r="AA2570" s="1114"/>
      <c r="AB2570" s="1114"/>
      <c r="AC2570" s="1117"/>
      <c r="AD2570" s="1115"/>
      <c r="AE2570" s="1115"/>
      <c r="AF2570" s="1115"/>
      <c r="AG2570" s="1115"/>
      <c r="AH2570" s="1115"/>
      <c r="AI2570" s="1115"/>
      <c r="AJ2570" s="1117"/>
      <c r="AK2570" s="1118"/>
      <c r="AL2570" s="1115"/>
      <c r="AM2570" s="1115"/>
      <c r="AN2570" s="1115"/>
      <c r="AO2570" s="1115"/>
      <c r="AP2570" s="1115"/>
      <c r="AQ2570" s="1115"/>
      <c r="AR2570" s="1115"/>
      <c r="AS2570" s="1117"/>
      <c r="AT2570" s="1075"/>
      <c r="AU2570" s="1193"/>
      <c r="AV2570" s="330"/>
      <c r="AW2570" s="331"/>
      <c r="AX2570" s="331"/>
      <c r="AY2570" s="331"/>
      <c r="AZ2570" s="331"/>
      <c r="BA2570" s="331"/>
      <c r="BB2570" s="331"/>
      <c r="BC2570" s="331"/>
      <c r="BD2570" s="331"/>
      <c r="BE2570" s="333"/>
      <c r="BF2570" s="330"/>
      <c r="BG2570" s="333"/>
      <c r="BH2570" s="1119"/>
      <c r="BI2570" s="319"/>
      <c r="BJ2570" s="319"/>
      <c r="BK2570" s="319"/>
      <c r="BL2570" s="319"/>
      <c r="BM2570" s="319"/>
      <c r="BN2570" s="319"/>
      <c r="BO2570" s="319"/>
      <c r="BP2570" s="953"/>
      <c r="BQ2570" s="319"/>
      <c r="BR2570" s="319"/>
      <c r="BS2570" s="330"/>
      <c r="BT2570" s="331"/>
      <c r="BU2570" s="920"/>
      <c r="BV2570" s="903"/>
      <c r="BW2570" s="908"/>
      <c r="BX2570" s="908"/>
      <c r="BY2570" s="331"/>
      <c r="BZ2570" s="331"/>
      <c r="CA2570" s="462"/>
      <c r="CB2570" s="319"/>
      <c r="CC2570" s="319"/>
      <c r="CD2570" s="319"/>
      <c r="CE2570" s="319"/>
      <c r="CF2570" s="319"/>
      <c r="CG2570" s="319"/>
      <c r="CH2570" s="318"/>
      <c r="CI2570" s="319"/>
      <c r="CJ2570" s="319"/>
      <c r="CK2570" s="342"/>
      <c r="CL2570" s="333"/>
      <c r="CM2570" s="1079"/>
      <c r="CN2570" s="1005"/>
      <c r="CO2570" s="1005"/>
      <c r="CP2570" s="1005"/>
    </row>
    <row r="2571">
      <c r="A2571" s="1257"/>
      <c r="B2571" s="1113"/>
      <c r="C2571" s="1107"/>
      <c r="D2571" s="103"/>
      <c r="E2571" s="1137"/>
      <c r="F2571" s="112"/>
      <c r="G2571" s="1110"/>
      <c r="H2571" s="1138"/>
      <c r="I2571" s="1138"/>
      <c r="J2571" s="1139"/>
      <c r="K2571" s="1111"/>
      <c r="L2571" s="1112"/>
      <c r="M2571" s="1113"/>
      <c r="N2571" s="110"/>
      <c r="O2571" s="1140"/>
      <c r="P2571" s="1115"/>
      <c r="Q2571" s="1116"/>
      <c r="R2571" s="1141"/>
      <c r="S2571" s="1113"/>
      <c r="T2571" s="1143"/>
      <c r="U2571" s="1108"/>
      <c r="V2571" s="1108"/>
      <c r="W2571" s="1108"/>
      <c r="X2571" s="1108"/>
      <c r="Y2571" s="1108"/>
      <c r="Z2571" s="1114"/>
      <c r="AA2571" s="1114"/>
      <c r="AB2571" s="1114"/>
      <c r="AC2571" s="1117"/>
      <c r="AD2571" s="1115"/>
      <c r="AE2571" s="1115"/>
      <c r="AF2571" s="1115"/>
      <c r="AG2571" s="1115"/>
      <c r="AH2571" s="1115"/>
      <c r="AI2571" s="1115"/>
      <c r="AJ2571" s="1117"/>
      <c r="AK2571" s="1118"/>
      <c r="AL2571" s="1115"/>
      <c r="AM2571" s="1115"/>
      <c r="AN2571" s="1115"/>
      <c r="AO2571" s="1115"/>
      <c r="AP2571" s="1115"/>
      <c r="AQ2571" s="1115"/>
      <c r="AR2571" s="1115"/>
      <c r="AS2571" s="1117"/>
      <c r="AT2571" s="1075"/>
      <c r="AU2571" s="1193"/>
      <c r="AV2571" s="330"/>
      <c r="AW2571" s="331"/>
      <c r="AX2571" s="331"/>
      <c r="AY2571" s="331"/>
      <c r="AZ2571" s="331"/>
      <c r="BA2571" s="331"/>
      <c r="BB2571" s="331"/>
      <c r="BC2571" s="331"/>
      <c r="BD2571" s="331"/>
      <c r="BE2571" s="333"/>
      <c r="BF2571" s="330"/>
      <c r="BG2571" s="333"/>
      <c r="BH2571" s="1119"/>
      <c r="BI2571" s="319"/>
      <c r="BJ2571" s="319"/>
      <c r="BK2571" s="319"/>
      <c r="BL2571" s="319"/>
      <c r="BM2571" s="319"/>
      <c r="BN2571" s="319"/>
      <c r="BO2571" s="319"/>
      <c r="BP2571" s="953"/>
      <c r="BQ2571" s="319"/>
      <c r="BR2571" s="319"/>
      <c r="BS2571" s="330"/>
      <c r="BT2571" s="331"/>
      <c r="BU2571" s="920"/>
      <c r="BV2571" s="903"/>
      <c r="BW2571" s="908"/>
      <c r="BX2571" s="908"/>
      <c r="BY2571" s="331"/>
      <c r="BZ2571" s="331"/>
      <c r="CA2571" s="462"/>
      <c r="CB2571" s="319"/>
      <c r="CC2571" s="319"/>
      <c r="CD2571" s="319"/>
      <c r="CE2571" s="319"/>
      <c r="CF2571" s="319"/>
      <c r="CG2571" s="319"/>
      <c r="CH2571" s="318"/>
      <c r="CI2571" s="319"/>
      <c r="CJ2571" s="319"/>
      <c r="CK2571" s="342"/>
      <c r="CL2571" s="333"/>
      <c r="CM2571" s="1079"/>
      <c r="CN2571" s="1005"/>
      <c r="CO2571" s="1005"/>
      <c r="CP2571" s="1005"/>
    </row>
    <row r="2572">
      <c r="A2572" s="1257"/>
      <c r="B2572" s="1113"/>
      <c r="C2572" s="1107"/>
      <c r="D2572" s="103"/>
      <c r="E2572" s="1137"/>
      <c r="F2572" s="112"/>
      <c r="G2572" s="1110"/>
      <c r="H2572" s="1138"/>
      <c r="I2572" s="1138"/>
      <c r="J2572" s="1139"/>
      <c r="K2572" s="1111"/>
      <c r="L2572" s="1112"/>
      <c r="M2572" s="1113"/>
      <c r="N2572" s="110"/>
      <c r="O2572" s="1140"/>
      <c r="P2572" s="1115"/>
      <c r="Q2572" s="1116"/>
      <c r="R2572" s="1141"/>
      <c r="S2572" s="1113"/>
      <c r="T2572" s="1143"/>
      <c r="U2572" s="1108"/>
      <c r="V2572" s="1108"/>
      <c r="W2572" s="1108"/>
      <c r="X2572" s="1108"/>
      <c r="Y2572" s="1108"/>
      <c r="Z2572" s="1114"/>
      <c r="AA2572" s="1114"/>
      <c r="AB2572" s="1114"/>
      <c r="AC2572" s="1117"/>
      <c r="AD2572" s="1115"/>
      <c r="AE2572" s="1115"/>
      <c r="AF2572" s="1115"/>
      <c r="AG2572" s="1115"/>
      <c r="AH2572" s="1115"/>
      <c r="AI2572" s="1115"/>
      <c r="AJ2572" s="1117"/>
      <c r="AK2572" s="1118"/>
      <c r="AL2572" s="1115"/>
      <c r="AM2572" s="1115"/>
      <c r="AN2572" s="1115"/>
      <c r="AO2572" s="1115"/>
      <c r="AP2572" s="1115"/>
      <c r="AQ2572" s="1115"/>
      <c r="AR2572" s="1115"/>
      <c r="AS2572" s="1117"/>
      <c r="AT2572" s="1075"/>
      <c r="AU2572" s="1193"/>
      <c r="AV2572" s="330"/>
      <c r="AW2572" s="331"/>
      <c r="AX2572" s="331"/>
      <c r="AY2572" s="331"/>
      <c r="AZ2572" s="331"/>
      <c r="BA2572" s="331"/>
      <c r="BB2572" s="331"/>
      <c r="BC2572" s="331"/>
      <c r="BD2572" s="331"/>
      <c r="BE2572" s="333"/>
      <c r="BF2572" s="330"/>
      <c r="BG2572" s="333"/>
      <c r="BH2572" s="1119"/>
      <c r="BI2572" s="319"/>
      <c r="BJ2572" s="319"/>
      <c r="BK2572" s="319"/>
      <c r="BL2572" s="319"/>
      <c r="BM2572" s="319"/>
      <c r="BN2572" s="319"/>
      <c r="BO2572" s="319"/>
      <c r="BP2572" s="953"/>
      <c r="BQ2572" s="319"/>
      <c r="BR2572" s="319"/>
      <c r="BS2572" s="330"/>
      <c r="BT2572" s="331"/>
      <c r="BU2572" s="920"/>
      <c r="BV2572" s="903"/>
      <c r="BW2572" s="908"/>
      <c r="BX2572" s="908"/>
      <c r="BY2572" s="331"/>
      <c r="BZ2572" s="331"/>
      <c r="CA2572" s="462"/>
      <c r="CB2572" s="319"/>
      <c r="CC2572" s="319"/>
      <c r="CD2572" s="319"/>
      <c r="CE2572" s="319"/>
      <c r="CF2572" s="319"/>
      <c r="CG2572" s="319"/>
      <c r="CH2572" s="318"/>
      <c r="CI2572" s="319"/>
      <c r="CJ2572" s="319"/>
      <c r="CK2572" s="342"/>
      <c r="CL2572" s="333"/>
      <c r="CM2572" s="1079"/>
      <c r="CN2572" s="1005"/>
      <c r="CO2572" s="1005"/>
      <c r="CP2572" s="1005"/>
    </row>
    <row r="2573">
      <c r="A2573" s="1257"/>
      <c r="B2573" s="1113"/>
      <c r="C2573" s="1107"/>
      <c r="D2573" s="103"/>
      <c r="E2573" s="1137"/>
      <c r="F2573" s="112"/>
      <c r="G2573" s="1110"/>
      <c r="H2573" s="1138"/>
      <c r="I2573" s="1138"/>
      <c r="J2573" s="1139"/>
      <c r="K2573" s="1111"/>
      <c r="L2573" s="1112"/>
      <c r="M2573" s="1113"/>
      <c r="N2573" s="110"/>
      <c r="O2573" s="1140"/>
      <c r="P2573" s="1115"/>
      <c r="Q2573" s="1116"/>
      <c r="R2573" s="1141"/>
      <c r="S2573" s="1113"/>
      <c r="T2573" s="1143"/>
      <c r="U2573" s="1108"/>
      <c r="V2573" s="1108"/>
      <c r="W2573" s="1108"/>
      <c r="X2573" s="1108"/>
      <c r="Y2573" s="1108"/>
      <c r="Z2573" s="1114"/>
      <c r="AA2573" s="1114"/>
      <c r="AB2573" s="1114"/>
      <c r="AC2573" s="1117"/>
      <c r="AD2573" s="1115"/>
      <c r="AE2573" s="1115"/>
      <c r="AF2573" s="1115"/>
      <c r="AG2573" s="1115"/>
      <c r="AH2573" s="1115"/>
      <c r="AI2573" s="1115"/>
      <c r="AJ2573" s="1117"/>
      <c r="AK2573" s="1118"/>
      <c r="AL2573" s="1115"/>
      <c r="AM2573" s="1115"/>
      <c r="AN2573" s="1115"/>
      <c r="AO2573" s="1115"/>
      <c r="AP2573" s="1115"/>
      <c r="AQ2573" s="1115"/>
      <c r="AR2573" s="1115"/>
      <c r="AS2573" s="1117"/>
      <c r="AT2573" s="1075"/>
      <c r="AU2573" s="1193"/>
      <c r="AV2573" s="330"/>
      <c r="AW2573" s="331"/>
      <c r="AX2573" s="331"/>
      <c r="AY2573" s="331"/>
      <c r="AZ2573" s="331"/>
      <c r="BA2573" s="331"/>
      <c r="BB2573" s="331"/>
      <c r="BC2573" s="331"/>
      <c r="BD2573" s="331"/>
      <c r="BE2573" s="333"/>
      <c r="BF2573" s="330"/>
      <c r="BG2573" s="333"/>
      <c r="BH2573" s="1119"/>
      <c r="BI2573" s="319"/>
      <c r="BJ2573" s="319"/>
      <c r="BK2573" s="319"/>
      <c r="BL2573" s="319"/>
      <c r="BM2573" s="319"/>
      <c r="BN2573" s="319"/>
      <c r="BO2573" s="319"/>
      <c r="BP2573" s="953"/>
      <c r="BQ2573" s="319"/>
      <c r="BR2573" s="319"/>
      <c r="BS2573" s="330"/>
      <c r="BT2573" s="331"/>
      <c r="BU2573" s="920"/>
      <c r="BV2573" s="903"/>
      <c r="BW2573" s="908"/>
      <c r="BX2573" s="908"/>
      <c r="BY2573" s="331"/>
      <c r="BZ2573" s="331"/>
      <c r="CA2573" s="462"/>
      <c r="CB2573" s="319"/>
      <c r="CC2573" s="319"/>
      <c r="CD2573" s="319"/>
      <c r="CE2573" s="319"/>
      <c r="CF2573" s="319"/>
      <c r="CG2573" s="319"/>
      <c r="CH2573" s="318"/>
      <c r="CI2573" s="319"/>
      <c r="CJ2573" s="319"/>
      <c r="CK2573" s="342"/>
      <c r="CL2573" s="333"/>
      <c r="CM2573" s="1079"/>
      <c r="CN2573" s="1005"/>
      <c r="CO2573" s="1005"/>
      <c r="CP2573" s="1005"/>
    </row>
    <row r="2574">
      <c r="A2574" s="1257"/>
      <c r="B2574" s="1113"/>
      <c r="C2574" s="1107"/>
      <c r="D2574" s="103"/>
      <c r="E2574" s="1137"/>
      <c r="F2574" s="112"/>
      <c r="G2574" s="1110"/>
      <c r="H2574" s="1138"/>
      <c r="I2574" s="1138"/>
      <c r="J2574" s="1139"/>
      <c r="K2574" s="1111"/>
      <c r="L2574" s="1112"/>
      <c r="M2574" s="1113"/>
      <c r="N2574" s="110"/>
      <c r="O2574" s="1140"/>
      <c r="P2574" s="1115"/>
      <c r="Q2574" s="1116"/>
      <c r="R2574" s="1141"/>
      <c r="S2574" s="1113"/>
      <c r="T2574" s="1143"/>
      <c r="U2574" s="1108"/>
      <c r="V2574" s="1108"/>
      <c r="W2574" s="1108"/>
      <c r="X2574" s="1108"/>
      <c r="Y2574" s="1108"/>
      <c r="Z2574" s="1114"/>
      <c r="AA2574" s="1114"/>
      <c r="AB2574" s="1114"/>
      <c r="AC2574" s="1117"/>
      <c r="AD2574" s="1115"/>
      <c r="AE2574" s="1115"/>
      <c r="AF2574" s="1115"/>
      <c r="AG2574" s="1115"/>
      <c r="AH2574" s="1115"/>
      <c r="AI2574" s="1115"/>
      <c r="AJ2574" s="1117"/>
      <c r="AK2574" s="1118"/>
      <c r="AL2574" s="1115"/>
      <c r="AM2574" s="1115"/>
      <c r="AN2574" s="1115"/>
      <c r="AO2574" s="1115"/>
      <c r="AP2574" s="1115"/>
      <c r="AQ2574" s="1115"/>
      <c r="AR2574" s="1115"/>
      <c r="AS2574" s="1117"/>
      <c r="AT2574" s="1075"/>
      <c r="AU2574" s="1193"/>
      <c r="AV2574" s="330"/>
      <c r="AW2574" s="331"/>
      <c r="AX2574" s="331"/>
      <c r="AY2574" s="331"/>
      <c r="AZ2574" s="331"/>
      <c r="BA2574" s="331"/>
      <c r="BB2574" s="331"/>
      <c r="BC2574" s="331"/>
      <c r="BD2574" s="331"/>
      <c r="BE2574" s="333"/>
      <c r="BF2574" s="330"/>
      <c r="BG2574" s="333"/>
      <c r="BH2574" s="1119"/>
      <c r="BI2574" s="319"/>
      <c r="BJ2574" s="319"/>
      <c r="BK2574" s="319"/>
      <c r="BL2574" s="319"/>
      <c r="BM2574" s="319"/>
      <c r="BN2574" s="319"/>
      <c r="BO2574" s="319"/>
      <c r="BP2574" s="953"/>
      <c r="BQ2574" s="319"/>
      <c r="BR2574" s="319"/>
      <c r="BS2574" s="330"/>
      <c r="BT2574" s="331"/>
      <c r="BU2574" s="920"/>
      <c r="BV2574" s="903"/>
      <c r="BW2574" s="908"/>
      <c r="BX2574" s="908"/>
      <c r="BY2574" s="331"/>
      <c r="BZ2574" s="331"/>
      <c r="CA2574" s="462"/>
      <c r="CB2574" s="319"/>
      <c r="CC2574" s="319"/>
      <c r="CD2574" s="319"/>
      <c r="CE2574" s="319"/>
      <c r="CF2574" s="319"/>
      <c r="CG2574" s="319"/>
      <c r="CH2574" s="318"/>
      <c r="CI2574" s="319"/>
      <c r="CJ2574" s="319"/>
      <c r="CK2574" s="342"/>
      <c r="CL2574" s="333"/>
      <c r="CM2574" s="1079"/>
      <c r="CN2574" s="1005"/>
      <c r="CO2574" s="1005"/>
      <c r="CP2574" s="1005"/>
    </row>
    <row r="2575">
      <c r="A2575" s="1257"/>
      <c r="B2575" s="1113"/>
      <c r="C2575" s="1107"/>
      <c r="D2575" s="103"/>
      <c r="E2575" s="1137"/>
      <c r="F2575" s="112"/>
      <c r="G2575" s="1110"/>
      <c r="H2575" s="1138"/>
      <c r="I2575" s="1138"/>
      <c r="J2575" s="1139"/>
      <c r="K2575" s="1111"/>
      <c r="L2575" s="1112"/>
      <c r="M2575" s="1113"/>
      <c r="N2575" s="110"/>
      <c r="O2575" s="1140"/>
      <c r="P2575" s="1115"/>
      <c r="Q2575" s="1116"/>
      <c r="R2575" s="1141"/>
      <c r="S2575" s="1113"/>
      <c r="T2575" s="1143"/>
      <c r="U2575" s="1108"/>
      <c r="V2575" s="1108"/>
      <c r="W2575" s="1108"/>
      <c r="X2575" s="1108"/>
      <c r="Y2575" s="1108"/>
      <c r="Z2575" s="1114"/>
      <c r="AA2575" s="1114"/>
      <c r="AB2575" s="1114"/>
      <c r="AC2575" s="1117"/>
      <c r="AD2575" s="1115"/>
      <c r="AE2575" s="1115"/>
      <c r="AF2575" s="1115"/>
      <c r="AG2575" s="1115"/>
      <c r="AH2575" s="1115"/>
      <c r="AI2575" s="1115"/>
      <c r="AJ2575" s="1117"/>
      <c r="AK2575" s="1118"/>
      <c r="AL2575" s="1115"/>
      <c r="AM2575" s="1115"/>
      <c r="AN2575" s="1115"/>
      <c r="AO2575" s="1115"/>
      <c r="AP2575" s="1115"/>
      <c r="AQ2575" s="1115"/>
      <c r="AR2575" s="1115"/>
      <c r="AS2575" s="1117"/>
      <c r="AT2575" s="1075"/>
      <c r="AU2575" s="1193"/>
      <c r="AV2575" s="330"/>
      <c r="AW2575" s="331"/>
      <c r="AX2575" s="331"/>
      <c r="AY2575" s="331"/>
      <c r="AZ2575" s="331"/>
      <c r="BA2575" s="331"/>
      <c r="BB2575" s="331"/>
      <c r="BC2575" s="331"/>
      <c r="BD2575" s="331"/>
      <c r="BE2575" s="333"/>
      <c r="BF2575" s="330"/>
      <c r="BG2575" s="333"/>
      <c r="BH2575" s="1119"/>
      <c r="BI2575" s="319"/>
      <c r="BJ2575" s="319"/>
      <c r="BK2575" s="319"/>
      <c r="BL2575" s="319"/>
      <c r="BM2575" s="319"/>
      <c r="BN2575" s="319"/>
      <c r="BO2575" s="319"/>
      <c r="BP2575" s="953"/>
      <c r="BQ2575" s="319"/>
      <c r="BR2575" s="319"/>
      <c r="BS2575" s="330"/>
      <c r="BT2575" s="331"/>
      <c r="BU2575" s="920"/>
      <c r="BV2575" s="903"/>
      <c r="BW2575" s="908"/>
      <c r="BX2575" s="908"/>
      <c r="BY2575" s="331"/>
      <c r="BZ2575" s="331"/>
      <c r="CA2575" s="462"/>
      <c r="CB2575" s="319"/>
      <c r="CC2575" s="319"/>
      <c r="CD2575" s="319"/>
      <c r="CE2575" s="319"/>
      <c r="CF2575" s="319"/>
      <c r="CG2575" s="319"/>
      <c r="CH2575" s="318"/>
      <c r="CI2575" s="319"/>
      <c r="CJ2575" s="319"/>
      <c r="CK2575" s="342"/>
      <c r="CL2575" s="333"/>
      <c r="CM2575" s="1079"/>
      <c r="CN2575" s="1005"/>
      <c r="CO2575" s="1005"/>
      <c r="CP2575" s="1005"/>
    </row>
    <row r="2576">
      <c r="A2576" s="1257"/>
      <c r="B2576" s="1113"/>
      <c r="C2576" s="1107"/>
      <c r="D2576" s="103"/>
      <c r="E2576" s="1137"/>
      <c r="F2576" s="112"/>
      <c r="G2576" s="1110"/>
      <c r="H2576" s="1138"/>
      <c r="I2576" s="1138"/>
      <c r="J2576" s="1139"/>
      <c r="K2576" s="1111"/>
      <c r="L2576" s="1112"/>
      <c r="M2576" s="1113"/>
      <c r="N2576" s="110"/>
      <c r="O2576" s="1140"/>
      <c r="P2576" s="1115"/>
      <c r="Q2576" s="1116"/>
      <c r="R2576" s="1141"/>
      <c r="S2576" s="1113"/>
      <c r="T2576" s="1143"/>
      <c r="U2576" s="1108"/>
      <c r="V2576" s="1108"/>
      <c r="W2576" s="1108"/>
      <c r="X2576" s="1108"/>
      <c r="Y2576" s="1108"/>
      <c r="Z2576" s="1114"/>
      <c r="AA2576" s="1114"/>
      <c r="AB2576" s="1114"/>
      <c r="AC2576" s="1117"/>
      <c r="AD2576" s="1115"/>
      <c r="AE2576" s="1115"/>
      <c r="AF2576" s="1115"/>
      <c r="AG2576" s="1115"/>
      <c r="AH2576" s="1115"/>
      <c r="AI2576" s="1115"/>
      <c r="AJ2576" s="1117"/>
      <c r="AK2576" s="1118"/>
      <c r="AL2576" s="1115"/>
      <c r="AM2576" s="1115"/>
      <c r="AN2576" s="1115"/>
      <c r="AO2576" s="1115"/>
      <c r="AP2576" s="1115"/>
      <c r="AQ2576" s="1115"/>
      <c r="AR2576" s="1115"/>
      <c r="AS2576" s="1117"/>
      <c r="AT2576" s="1075"/>
      <c r="AU2576" s="1193"/>
      <c r="AV2576" s="330"/>
      <c r="AW2576" s="331"/>
      <c r="AX2576" s="331"/>
      <c r="AY2576" s="331"/>
      <c r="AZ2576" s="331"/>
      <c r="BA2576" s="331"/>
      <c r="BB2576" s="331"/>
      <c r="BC2576" s="331"/>
      <c r="BD2576" s="331"/>
      <c r="BE2576" s="333"/>
      <c r="BF2576" s="330"/>
      <c r="BG2576" s="333"/>
      <c r="BH2576" s="1119"/>
      <c r="BI2576" s="319"/>
      <c r="BJ2576" s="319"/>
      <c r="BK2576" s="319"/>
      <c r="BL2576" s="319"/>
      <c r="BM2576" s="319"/>
      <c r="BN2576" s="319"/>
      <c r="BO2576" s="319"/>
      <c r="BP2576" s="953"/>
      <c r="BQ2576" s="319"/>
      <c r="BR2576" s="319"/>
      <c r="BS2576" s="330"/>
      <c r="BT2576" s="331"/>
      <c r="BU2576" s="920"/>
      <c r="BV2576" s="903"/>
      <c r="BW2576" s="908"/>
      <c r="BX2576" s="908"/>
      <c r="BY2576" s="331"/>
      <c r="BZ2576" s="331"/>
      <c r="CA2576" s="462"/>
      <c r="CB2576" s="319"/>
      <c r="CC2576" s="319"/>
      <c r="CD2576" s="319"/>
      <c r="CE2576" s="319"/>
      <c r="CF2576" s="319"/>
      <c r="CG2576" s="319"/>
      <c r="CH2576" s="318"/>
      <c r="CI2576" s="319"/>
      <c r="CJ2576" s="319"/>
      <c r="CK2576" s="342"/>
      <c r="CL2576" s="333"/>
      <c r="CM2576" s="1079"/>
      <c r="CN2576" s="1005"/>
      <c r="CO2576" s="1005"/>
      <c r="CP2576" s="1005"/>
    </row>
    <row r="2577">
      <c r="A2577" s="1257"/>
      <c r="B2577" s="1113"/>
      <c r="C2577" s="1107"/>
      <c r="D2577" s="103"/>
      <c r="E2577" s="1137"/>
      <c r="F2577" s="112"/>
      <c r="G2577" s="1110"/>
      <c r="H2577" s="1138"/>
      <c r="I2577" s="1138"/>
      <c r="J2577" s="1139"/>
      <c r="K2577" s="1111"/>
      <c r="L2577" s="1112"/>
      <c r="M2577" s="1113"/>
      <c r="N2577" s="110"/>
      <c r="O2577" s="1140"/>
      <c r="P2577" s="1115"/>
      <c r="Q2577" s="1116"/>
      <c r="R2577" s="1141"/>
      <c r="S2577" s="1113"/>
      <c r="T2577" s="1143"/>
      <c r="U2577" s="1108"/>
      <c r="V2577" s="1108"/>
      <c r="W2577" s="1108"/>
      <c r="X2577" s="1108"/>
      <c r="Y2577" s="1108"/>
      <c r="Z2577" s="1114"/>
      <c r="AA2577" s="1114"/>
      <c r="AB2577" s="1114"/>
      <c r="AC2577" s="1117"/>
      <c r="AD2577" s="1115"/>
      <c r="AE2577" s="1115"/>
      <c r="AF2577" s="1115"/>
      <c r="AG2577" s="1115"/>
      <c r="AH2577" s="1115"/>
      <c r="AI2577" s="1115"/>
      <c r="AJ2577" s="1117"/>
      <c r="AK2577" s="1118"/>
      <c r="AL2577" s="1115"/>
      <c r="AM2577" s="1115"/>
      <c r="AN2577" s="1115"/>
      <c r="AO2577" s="1115"/>
      <c r="AP2577" s="1115"/>
      <c r="AQ2577" s="1115"/>
      <c r="AR2577" s="1115"/>
      <c r="AS2577" s="1117"/>
      <c r="AT2577" s="1075"/>
      <c r="AU2577" s="1193"/>
      <c r="AV2577" s="330"/>
      <c r="AW2577" s="331"/>
      <c r="AX2577" s="331"/>
      <c r="AY2577" s="331"/>
      <c r="AZ2577" s="331"/>
      <c r="BA2577" s="331"/>
      <c r="BB2577" s="331"/>
      <c r="BC2577" s="331"/>
      <c r="BD2577" s="331"/>
      <c r="BE2577" s="333"/>
      <c r="BF2577" s="330"/>
      <c r="BG2577" s="333"/>
      <c r="BH2577" s="1119"/>
      <c r="BI2577" s="319"/>
      <c r="BJ2577" s="319"/>
      <c r="BK2577" s="319"/>
      <c r="BL2577" s="319"/>
      <c r="BM2577" s="319"/>
      <c r="BN2577" s="319"/>
      <c r="BO2577" s="319"/>
      <c r="BP2577" s="953"/>
      <c r="BQ2577" s="319"/>
      <c r="BR2577" s="319"/>
      <c r="BS2577" s="330"/>
      <c r="BT2577" s="331"/>
      <c r="BU2577" s="920"/>
      <c r="BV2577" s="903"/>
      <c r="BW2577" s="908"/>
      <c r="BX2577" s="908"/>
      <c r="BY2577" s="331"/>
      <c r="BZ2577" s="331"/>
      <c r="CA2577" s="462"/>
      <c r="CB2577" s="319"/>
      <c r="CC2577" s="319"/>
      <c r="CD2577" s="319"/>
      <c r="CE2577" s="319"/>
      <c r="CF2577" s="319"/>
      <c r="CG2577" s="319"/>
      <c r="CH2577" s="318"/>
      <c r="CI2577" s="319"/>
      <c r="CJ2577" s="319"/>
      <c r="CK2577" s="342"/>
      <c r="CL2577" s="333"/>
      <c r="CM2577" s="1079"/>
      <c r="CN2577" s="1005"/>
      <c r="CO2577" s="1005"/>
      <c r="CP2577" s="1005"/>
    </row>
    <row r="2578">
      <c r="A2578" s="1257"/>
      <c r="B2578" s="1113"/>
      <c r="C2578" s="1107"/>
      <c r="D2578" s="103"/>
      <c r="E2578" s="1137"/>
      <c r="F2578" s="112"/>
      <c r="G2578" s="1110"/>
      <c r="H2578" s="1138"/>
      <c r="I2578" s="1138"/>
      <c r="J2578" s="1139"/>
      <c r="K2578" s="1111"/>
      <c r="L2578" s="1112"/>
      <c r="M2578" s="1113"/>
      <c r="N2578" s="110"/>
      <c r="O2578" s="1140"/>
      <c r="P2578" s="1115"/>
      <c r="Q2578" s="1116"/>
      <c r="R2578" s="1141"/>
      <c r="S2578" s="1113"/>
      <c r="T2578" s="1143"/>
      <c r="U2578" s="1108"/>
      <c r="V2578" s="1108"/>
      <c r="W2578" s="1108"/>
      <c r="X2578" s="1108"/>
      <c r="Y2578" s="1108"/>
      <c r="Z2578" s="1114"/>
      <c r="AA2578" s="1114"/>
      <c r="AB2578" s="1114"/>
      <c r="AC2578" s="1117"/>
      <c r="AD2578" s="1115"/>
      <c r="AE2578" s="1115"/>
      <c r="AF2578" s="1115"/>
      <c r="AG2578" s="1115"/>
      <c r="AH2578" s="1115"/>
      <c r="AI2578" s="1115"/>
      <c r="AJ2578" s="1117"/>
      <c r="AK2578" s="1118"/>
      <c r="AL2578" s="1115"/>
      <c r="AM2578" s="1115"/>
      <c r="AN2578" s="1115"/>
      <c r="AO2578" s="1115"/>
      <c r="AP2578" s="1115"/>
      <c r="AQ2578" s="1115"/>
      <c r="AR2578" s="1115"/>
      <c r="AS2578" s="1117"/>
      <c r="AT2578" s="1075"/>
      <c r="AU2578" s="1193"/>
      <c r="AV2578" s="330"/>
      <c r="AW2578" s="331"/>
      <c r="AX2578" s="331"/>
      <c r="AY2578" s="331"/>
      <c r="AZ2578" s="331"/>
      <c r="BA2578" s="331"/>
      <c r="BB2578" s="331"/>
      <c r="BC2578" s="331"/>
      <c r="BD2578" s="331"/>
      <c r="BE2578" s="333"/>
      <c r="BF2578" s="330"/>
      <c r="BG2578" s="333"/>
      <c r="BH2578" s="1119"/>
      <c r="BI2578" s="319"/>
      <c r="BJ2578" s="319"/>
      <c r="BK2578" s="319"/>
      <c r="BL2578" s="319"/>
      <c r="BM2578" s="319"/>
      <c r="BN2578" s="319"/>
      <c r="BO2578" s="319"/>
      <c r="BP2578" s="953"/>
      <c r="BQ2578" s="319"/>
      <c r="BR2578" s="319"/>
      <c r="BS2578" s="330"/>
      <c r="BT2578" s="331"/>
      <c r="BU2578" s="920"/>
      <c r="BV2578" s="903"/>
      <c r="BW2578" s="908"/>
      <c r="BX2578" s="908"/>
      <c r="BY2578" s="331"/>
      <c r="BZ2578" s="331"/>
      <c r="CA2578" s="462"/>
      <c r="CB2578" s="319"/>
      <c r="CC2578" s="319"/>
      <c r="CD2578" s="319"/>
      <c r="CE2578" s="319"/>
      <c r="CF2578" s="319"/>
      <c r="CG2578" s="319"/>
      <c r="CH2578" s="318"/>
      <c r="CI2578" s="319"/>
      <c r="CJ2578" s="319"/>
      <c r="CK2578" s="342"/>
      <c r="CL2578" s="333"/>
      <c r="CM2578" s="1079"/>
      <c r="CN2578" s="1005"/>
      <c r="CO2578" s="1005"/>
      <c r="CP2578" s="1005"/>
    </row>
    <row r="2579">
      <c r="A2579" s="1257"/>
      <c r="B2579" s="1113"/>
      <c r="C2579" s="1107"/>
      <c r="D2579" s="103"/>
      <c r="E2579" s="1137"/>
      <c r="F2579" s="112"/>
      <c r="G2579" s="1110"/>
      <c r="H2579" s="1138"/>
      <c r="I2579" s="1138"/>
      <c r="J2579" s="1139"/>
      <c r="K2579" s="1111"/>
      <c r="L2579" s="1112"/>
      <c r="M2579" s="1113"/>
      <c r="N2579" s="110"/>
      <c r="O2579" s="1140"/>
      <c r="P2579" s="1115"/>
      <c r="Q2579" s="1116"/>
      <c r="R2579" s="1141"/>
      <c r="S2579" s="1113"/>
      <c r="T2579" s="1143"/>
      <c r="U2579" s="1108"/>
      <c r="V2579" s="1108"/>
      <c r="W2579" s="1108"/>
      <c r="X2579" s="1108"/>
      <c r="Y2579" s="1108"/>
      <c r="Z2579" s="1114"/>
      <c r="AA2579" s="1114"/>
      <c r="AB2579" s="1114"/>
      <c r="AC2579" s="1117"/>
      <c r="AD2579" s="1115"/>
      <c r="AE2579" s="1115"/>
      <c r="AF2579" s="1115"/>
      <c r="AG2579" s="1115"/>
      <c r="AH2579" s="1115"/>
      <c r="AI2579" s="1115"/>
      <c r="AJ2579" s="1117"/>
      <c r="AK2579" s="1118"/>
      <c r="AL2579" s="1115"/>
      <c r="AM2579" s="1115"/>
      <c r="AN2579" s="1115"/>
      <c r="AO2579" s="1115"/>
      <c r="AP2579" s="1115"/>
      <c r="AQ2579" s="1115"/>
      <c r="AR2579" s="1115"/>
      <c r="AS2579" s="1117"/>
      <c r="AT2579" s="1075"/>
      <c r="AU2579" s="1193"/>
      <c r="AV2579" s="330"/>
      <c r="AW2579" s="331"/>
      <c r="AX2579" s="331"/>
      <c r="AY2579" s="331"/>
      <c r="AZ2579" s="331"/>
      <c r="BA2579" s="331"/>
      <c r="BB2579" s="331"/>
      <c r="BC2579" s="331"/>
      <c r="BD2579" s="331"/>
      <c r="BE2579" s="333"/>
      <c r="BF2579" s="330"/>
      <c r="BG2579" s="333"/>
      <c r="BH2579" s="1119"/>
      <c r="BI2579" s="319"/>
      <c r="BJ2579" s="319"/>
      <c r="BK2579" s="319"/>
      <c r="BL2579" s="319"/>
      <c r="BM2579" s="319"/>
      <c r="BN2579" s="319"/>
      <c r="BO2579" s="319"/>
      <c r="BP2579" s="953"/>
      <c r="BQ2579" s="319"/>
      <c r="BR2579" s="319"/>
      <c r="BS2579" s="330"/>
      <c r="BT2579" s="331"/>
      <c r="BU2579" s="920"/>
      <c r="BV2579" s="903"/>
      <c r="BW2579" s="908"/>
      <c r="BX2579" s="908"/>
      <c r="BY2579" s="331"/>
      <c r="BZ2579" s="331"/>
      <c r="CA2579" s="462"/>
      <c r="CB2579" s="319"/>
      <c r="CC2579" s="319"/>
      <c r="CD2579" s="319"/>
      <c r="CE2579" s="319"/>
      <c r="CF2579" s="319"/>
      <c r="CG2579" s="319"/>
      <c r="CH2579" s="318"/>
      <c r="CI2579" s="319"/>
      <c r="CJ2579" s="319"/>
      <c r="CK2579" s="342"/>
      <c r="CL2579" s="333"/>
      <c r="CM2579" s="1079"/>
      <c r="CN2579" s="1005"/>
      <c r="CO2579" s="1005"/>
      <c r="CP2579" s="1005"/>
    </row>
    <row r="2580">
      <c r="A2580" s="1257"/>
      <c r="B2580" s="1113"/>
      <c r="C2580" s="1107"/>
      <c r="D2580" s="103"/>
      <c r="E2580" s="1137"/>
      <c r="F2580" s="112"/>
      <c r="G2580" s="1110"/>
      <c r="H2580" s="1138"/>
      <c r="I2580" s="1138"/>
      <c r="J2580" s="1139"/>
      <c r="K2580" s="1111"/>
      <c r="L2580" s="1112"/>
      <c r="M2580" s="1113"/>
      <c r="N2580" s="110"/>
      <c r="O2580" s="1140"/>
      <c r="P2580" s="1115"/>
      <c r="Q2580" s="1116"/>
      <c r="R2580" s="1141"/>
      <c r="S2580" s="1113"/>
      <c r="T2580" s="1143"/>
      <c r="U2580" s="1108"/>
      <c r="V2580" s="1108"/>
      <c r="W2580" s="1108"/>
      <c r="X2580" s="1108"/>
      <c r="Y2580" s="1108"/>
      <c r="Z2580" s="1114"/>
      <c r="AA2580" s="1114"/>
      <c r="AB2580" s="1114"/>
      <c r="AC2580" s="1117"/>
      <c r="AD2580" s="1115"/>
      <c r="AE2580" s="1115"/>
      <c r="AF2580" s="1115"/>
      <c r="AG2580" s="1115"/>
      <c r="AH2580" s="1115"/>
      <c r="AI2580" s="1115"/>
      <c r="AJ2580" s="1117"/>
      <c r="AK2580" s="1118"/>
      <c r="AL2580" s="1115"/>
      <c r="AM2580" s="1115"/>
      <c r="AN2580" s="1115"/>
      <c r="AO2580" s="1115"/>
      <c r="AP2580" s="1115"/>
      <c r="AQ2580" s="1115"/>
      <c r="AR2580" s="1115"/>
      <c r="AS2580" s="1117"/>
      <c r="AT2580" s="1075"/>
      <c r="AU2580" s="1193"/>
      <c r="AV2580" s="330"/>
      <c r="AW2580" s="331"/>
      <c r="AX2580" s="331"/>
      <c r="AY2580" s="331"/>
      <c r="AZ2580" s="331"/>
      <c r="BA2580" s="331"/>
      <c r="BB2580" s="331"/>
      <c r="BC2580" s="331"/>
      <c r="BD2580" s="331"/>
      <c r="BE2580" s="333"/>
      <c r="BF2580" s="330"/>
      <c r="BG2580" s="333"/>
      <c r="BH2580" s="1119"/>
      <c r="BI2580" s="319"/>
      <c r="BJ2580" s="319"/>
      <c r="BK2580" s="319"/>
      <c r="BL2580" s="319"/>
      <c r="BM2580" s="319"/>
      <c r="BN2580" s="319"/>
      <c r="BO2580" s="319"/>
      <c r="BP2580" s="953"/>
      <c r="BQ2580" s="319"/>
      <c r="BR2580" s="319"/>
      <c r="BS2580" s="330"/>
      <c r="BT2580" s="331"/>
      <c r="BU2580" s="920"/>
      <c r="BV2580" s="903"/>
      <c r="BW2580" s="908"/>
      <c r="BX2580" s="908"/>
      <c r="BY2580" s="331"/>
      <c r="BZ2580" s="331"/>
      <c r="CA2580" s="462"/>
      <c r="CB2580" s="319"/>
      <c r="CC2580" s="319"/>
      <c r="CD2580" s="319"/>
      <c r="CE2580" s="319"/>
      <c r="CF2580" s="319"/>
      <c r="CG2580" s="319"/>
      <c r="CH2580" s="318"/>
      <c r="CI2580" s="319"/>
      <c r="CJ2580" s="319"/>
      <c r="CK2580" s="342"/>
      <c r="CL2580" s="333"/>
      <c r="CM2580" s="1079"/>
      <c r="CN2580" s="1005"/>
      <c r="CO2580" s="1005"/>
      <c r="CP2580" s="1005"/>
    </row>
    <row r="2581">
      <c r="A2581" s="1257"/>
      <c r="B2581" s="1113"/>
      <c r="C2581" s="1107"/>
      <c r="D2581" s="103"/>
      <c r="E2581" s="1137"/>
      <c r="F2581" s="112"/>
      <c r="G2581" s="1110"/>
      <c r="H2581" s="1138"/>
      <c r="I2581" s="1138"/>
      <c r="J2581" s="1139"/>
      <c r="K2581" s="1111"/>
      <c r="L2581" s="1112"/>
      <c r="M2581" s="1113"/>
      <c r="N2581" s="110"/>
      <c r="O2581" s="1140"/>
      <c r="P2581" s="1115"/>
      <c r="Q2581" s="1116"/>
      <c r="R2581" s="1141"/>
      <c r="S2581" s="1113"/>
      <c r="T2581" s="1143"/>
      <c r="U2581" s="1108"/>
      <c r="V2581" s="1108"/>
      <c r="W2581" s="1108"/>
      <c r="X2581" s="1108"/>
      <c r="Y2581" s="1108"/>
      <c r="Z2581" s="1114"/>
      <c r="AA2581" s="1114"/>
      <c r="AB2581" s="1114"/>
      <c r="AC2581" s="1117"/>
      <c r="AD2581" s="1115"/>
      <c r="AE2581" s="1115"/>
      <c r="AF2581" s="1115"/>
      <c r="AG2581" s="1115"/>
      <c r="AH2581" s="1115"/>
      <c r="AI2581" s="1115"/>
      <c r="AJ2581" s="1117"/>
      <c r="AK2581" s="1118"/>
      <c r="AL2581" s="1115"/>
      <c r="AM2581" s="1115"/>
      <c r="AN2581" s="1115"/>
      <c r="AO2581" s="1115"/>
      <c r="AP2581" s="1115"/>
      <c r="AQ2581" s="1115"/>
      <c r="AR2581" s="1115"/>
      <c r="AS2581" s="1117"/>
      <c r="AT2581" s="1075"/>
      <c r="AU2581" s="1193"/>
      <c r="AV2581" s="330"/>
      <c r="AW2581" s="331"/>
      <c r="AX2581" s="331"/>
      <c r="AY2581" s="331"/>
      <c r="AZ2581" s="331"/>
      <c r="BA2581" s="331"/>
      <c r="BB2581" s="331"/>
      <c r="BC2581" s="331"/>
      <c r="BD2581" s="331"/>
      <c r="BE2581" s="333"/>
      <c r="BF2581" s="330"/>
      <c r="BG2581" s="333"/>
      <c r="BH2581" s="1119"/>
      <c r="BI2581" s="319"/>
      <c r="BJ2581" s="319"/>
      <c r="BK2581" s="319"/>
      <c r="BL2581" s="319"/>
      <c r="BM2581" s="319"/>
      <c r="BN2581" s="319"/>
      <c r="BO2581" s="319"/>
      <c r="BP2581" s="953"/>
      <c r="BQ2581" s="319"/>
      <c r="BR2581" s="319"/>
      <c r="BS2581" s="330"/>
      <c r="BT2581" s="331"/>
      <c r="BU2581" s="920"/>
      <c r="BV2581" s="903"/>
      <c r="BW2581" s="908"/>
      <c r="BX2581" s="908"/>
      <c r="BY2581" s="331"/>
      <c r="BZ2581" s="331"/>
      <c r="CA2581" s="462"/>
      <c r="CB2581" s="319"/>
      <c r="CC2581" s="319"/>
      <c r="CD2581" s="319"/>
      <c r="CE2581" s="319"/>
      <c r="CF2581" s="319"/>
      <c r="CG2581" s="319"/>
      <c r="CH2581" s="318"/>
      <c r="CI2581" s="319"/>
      <c r="CJ2581" s="319"/>
      <c r="CK2581" s="342"/>
      <c r="CL2581" s="333"/>
      <c r="CM2581" s="1079"/>
      <c r="CN2581" s="1005"/>
      <c r="CO2581" s="1005"/>
      <c r="CP2581" s="1005"/>
    </row>
    <row r="2582">
      <c r="A2582" s="1257"/>
      <c r="B2582" s="1113"/>
      <c r="C2582" s="1107"/>
      <c r="D2582" s="103"/>
      <c r="E2582" s="1137"/>
      <c r="F2582" s="112"/>
      <c r="G2582" s="1110"/>
      <c r="H2582" s="1138"/>
      <c r="I2582" s="1138"/>
      <c r="J2582" s="1139"/>
      <c r="K2582" s="1111"/>
      <c r="L2582" s="1112"/>
      <c r="M2582" s="1113"/>
      <c r="N2582" s="110"/>
      <c r="O2582" s="1140"/>
      <c r="P2582" s="1115"/>
      <c r="Q2582" s="1116"/>
      <c r="R2582" s="1141"/>
      <c r="S2582" s="1113"/>
      <c r="T2582" s="1143"/>
      <c r="U2582" s="1108"/>
      <c r="V2582" s="1108"/>
      <c r="W2582" s="1108"/>
      <c r="X2582" s="1108"/>
      <c r="Y2582" s="1108"/>
      <c r="Z2582" s="1114"/>
      <c r="AA2582" s="1114"/>
      <c r="AB2582" s="1114"/>
      <c r="AC2582" s="1117"/>
      <c r="AD2582" s="1115"/>
      <c r="AE2582" s="1115"/>
      <c r="AF2582" s="1115"/>
      <c r="AG2582" s="1115"/>
      <c r="AH2582" s="1115"/>
      <c r="AI2582" s="1115"/>
      <c r="AJ2582" s="1117"/>
      <c r="AK2582" s="1118"/>
      <c r="AL2582" s="1115"/>
      <c r="AM2582" s="1115"/>
      <c r="AN2582" s="1115"/>
      <c r="AO2582" s="1115"/>
      <c r="AP2582" s="1115"/>
      <c r="AQ2582" s="1115"/>
      <c r="AR2582" s="1115"/>
      <c r="AS2582" s="1117"/>
      <c r="AT2582" s="1075"/>
      <c r="AU2582" s="1193"/>
      <c r="AV2582" s="330"/>
      <c r="AW2582" s="331"/>
      <c r="AX2582" s="331"/>
      <c r="AY2582" s="331"/>
      <c r="AZ2582" s="331"/>
      <c r="BA2582" s="331"/>
      <c r="BB2582" s="331"/>
      <c r="BC2582" s="331"/>
      <c r="BD2582" s="331"/>
      <c r="BE2582" s="333"/>
      <c r="BF2582" s="330"/>
      <c r="BG2582" s="333"/>
      <c r="BH2582" s="1119"/>
      <c r="BI2582" s="319"/>
      <c r="BJ2582" s="319"/>
      <c r="BK2582" s="319"/>
      <c r="BL2582" s="319"/>
      <c r="BM2582" s="319"/>
      <c r="BN2582" s="319"/>
      <c r="BO2582" s="319"/>
      <c r="BP2582" s="953"/>
      <c r="BQ2582" s="319"/>
      <c r="BR2582" s="319"/>
      <c r="BS2582" s="330"/>
      <c r="BT2582" s="331"/>
      <c r="BU2582" s="920"/>
      <c r="BV2582" s="903"/>
      <c r="BW2582" s="908"/>
      <c r="BX2582" s="908"/>
      <c r="BY2582" s="331"/>
      <c r="BZ2582" s="331"/>
      <c r="CA2582" s="462"/>
      <c r="CB2582" s="319"/>
      <c r="CC2582" s="319"/>
      <c r="CD2582" s="319"/>
      <c r="CE2582" s="319"/>
      <c r="CF2582" s="319"/>
      <c r="CG2582" s="319"/>
      <c r="CH2582" s="318"/>
      <c r="CI2582" s="319"/>
      <c r="CJ2582" s="319"/>
      <c r="CK2582" s="342"/>
      <c r="CL2582" s="333"/>
      <c r="CM2582" s="1079"/>
      <c r="CN2582" s="1005"/>
      <c r="CO2582" s="1005"/>
      <c r="CP2582" s="1005"/>
    </row>
    <row r="2583">
      <c r="A2583" s="1257"/>
      <c r="B2583" s="1113"/>
      <c r="C2583" s="1107"/>
      <c r="D2583" s="103"/>
      <c r="E2583" s="1137"/>
      <c r="F2583" s="112"/>
      <c r="G2583" s="1110"/>
      <c r="H2583" s="1138"/>
      <c r="I2583" s="1138"/>
      <c r="J2583" s="1139"/>
      <c r="K2583" s="1111"/>
      <c r="L2583" s="1112"/>
      <c r="M2583" s="1113"/>
      <c r="N2583" s="110"/>
      <c r="O2583" s="1140"/>
      <c r="P2583" s="1115"/>
      <c r="Q2583" s="1116"/>
      <c r="R2583" s="1141"/>
      <c r="S2583" s="1113"/>
      <c r="T2583" s="1143"/>
      <c r="U2583" s="1108"/>
      <c r="V2583" s="1108"/>
      <c r="W2583" s="1108"/>
      <c r="X2583" s="1108"/>
      <c r="Y2583" s="1108"/>
      <c r="Z2583" s="1114"/>
      <c r="AA2583" s="1114"/>
      <c r="AB2583" s="1114"/>
      <c r="AC2583" s="1117"/>
      <c r="AD2583" s="1115"/>
      <c r="AE2583" s="1115"/>
      <c r="AF2583" s="1115"/>
      <c r="AG2583" s="1115"/>
      <c r="AH2583" s="1115"/>
      <c r="AI2583" s="1115"/>
      <c r="AJ2583" s="1117"/>
      <c r="AK2583" s="1118"/>
      <c r="AL2583" s="1115"/>
      <c r="AM2583" s="1115"/>
      <c r="AN2583" s="1115"/>
      <c r="AO2583" s="1115"/>
      <c r="AP2583" s="1115"/>
      <c r="AQ2583" s="1115"/>
      <c r="AR2583" s="1115"/>
      <c r="AS2583" s="1117"/>
      <c r="AT2583" s="1075"/>
      <c r="AU2583" s="1193"/>
      <c r="AV2583" s="330"/>
      <c r="AW2583" s="331"/>
      <c r="AX2583" s="331"/>
      <c r="AY2583" s="331"/>
      <c r="AZ2583" s="331"/>
      <c r="BA2583" s="331"/>
      <c r="BB2583" s="331"/>
      <c r="BC2583" s="331"/>
      <c r="BD2583" s="331"/>
      <c r="BE2583" s="333"/>
      <c r="BF2583" s="330"/>
      <c r="BG2583" s="333"/>
      <c r="BH2583" s="1119"/>
      <c r="BI2583" s="319"/>
      <c r="BJ2583" s="319"/>
      <c r="BK2583" s="319"/>
      <c r="BL2583" s="319"/>
      <c r="BM2583" s="319"/>
      <c r="BN2583" s="319"/>
      <c r="BO2583" s="319"/>
      <c r="BP2583" s="953"/>
      <c r="BQ2583" s="319"/>
      <c r="BR2583" s="319"/>
      <c r="BS2583" s="330"/>
      <c r="BT2583" s="331"/>
      <c r="BU2583" s="920"/>
      <c r="BV2583" s="903"/>
      <c r="BW2583" s="908"/>
      <c r="BX2583" s="908"/>
      <c r="BY2583" s="331"/>
      <c r="BZ2583" s="331"/>
      <c r="CA2583" s="462"/>
      <c r="CB2583" s="319"/>
      <c r="CC2583" s="319"/>
      <c r="CD2583" s="319"/>
      <c r="CE2583" s="319"/>
      <c r="CF2583" s="319"/>
      <c r="CG2583" s="319"/>
      <c r="CH2583" s="318"/>
      <c r="CI2583" s="319"/>
      <c r="CJ2583" s="319"/>
      <c r="CK2583" s="342"/>
      <c r="CL2583" s="333"/>
      <c r="CM2583" s="1079"/>
      <c r="CN2583" s="1005"/>
      <c r="CO2583" s="1005"/>
      <c r="CP2583" s="1005"/>
    </row>
    <row r="2584">
      <c r="A2584" s="1257"/>
      <c r="B2584" s="1113"/>
      <c r="C2584" s="1107"/>
      <c r="D2584" s="103"/>
      <c r="E2584" s="1137"/>
      <c r="F2584" s="112"/>
      <c r="G2584" s="1110"/>
      <c r="H2584" s="1138"/>
      <c r="I2584" s="1138"/>
      <c r="J2584" s="1139"/>
      <c r="K2584" s="1111"/>
      <c r="L2584" s="1112"/>
      <c r="M2584" s="1113"/>
      <c r="N2584" s="110"/>
      <c r="O2584" s="1140"/>
      <c r="P2584" s="1115"/>
      <c r="Q2584" s="1116"/>
      <c r="R2584" s="1141"/>
      <c r="S2584" s="1113"/>
      <c r="T2584" s="1143"/>
      <c r="U2584" s="1108"/>
      <c r="V2584" s="1108"/>
      <c r="W2584" s="1108"/>
      <c r="X2584" s="1108"/>
      <c r="Y2584" s="1108"/>
      <c r="Z2584" s="1114"/>
      <c r="AA2584" s="1114"/>
      <c r="AB2584" s="1114"/>
      <c r="AC2584" s="1117"/>
      <c r="AD2584" s="1115"/>
      <c r="AE2584" s="1115"/>
      <c r="AF2584" s="1115"/>
      <c r="AG2584" s="1115"/>
      <c r="AH2584" s="1115"/>
      <c r="AI2584" s="1115"/>
      <c r="AJ2584" s="1117"/>
      <c r="AK2584" s="1118"/>
      <c r="AL2584" s="1115"/>
      <c r="AM2584" s="1115"/>
      <c r="AN2584" s="1115"/>
      <c r="AO2584" s="1115"/>
      <c r="AP2584" s="1115"/>
      <c r="AQ2584" s="1115"/>
      <c r="AR2584" s="1115"/>
      <c r="AS2584" s="1117"/>
      <c r="AT2584" s="1075"/>
      <c r="AU2584" s="1193"/>
      <c r="AV2584" s="330"/>
      <c r="AW2584" s="331"/>
      <c r="AX2584" s="331"/>
      <c r="AY2584" s="331"/>
      <c r="AZ2584" s="331"/>
      <c r="BA2584" s="331"/>
      <c r="BB2584" s="331"/>
      <c r="BC2584" s="331"/>
      <c r="BD2584" s="331"/>
      <c r="BE2584" s="333"/>
      <c r="BF2584" s="330"/>
      <c r="BG2584" s="333"/>
      <c r="BH2584" s="1119"/>
      <c r="BI2584" s="319"/>
      <c r="BJ2584" s="319"/>
      <c r="BK2584" s="319"/>
      <c r="BL2584" s="319"/>
      <c r="BM2584" s="319"/>
      <c r="BN2584" s="319"/>
      <c r="BO2584" s="319"/>
      <c r="BP2584" s="953"/>
      <c r="BQ2584" s="319"/>
      <c r="BR2584" s="319"/>
      <c r="BS2584" s="330"/>
      <c r="BT2584" s="331"/>
      <c r="BU2584" s="920"/>
      <c r="BV2584" s="903"/>
      <c r="BW2584" s="908"/>
      <c r="BX2584" s="908"/>
      <c r="BY2584" s="331"/>
      <c r="BZ2584" s="331"/>
      <c r="CA2584" s="462"/>
      <c r="CB2584" s="319"/>
      <c r="CC2584" s="319"/>
      <c r="CD2584" s="319"/>
      <c r="CE2584" s="319"/>
      <c r="CF2584" s="319"/>
      <c r="CG2584" s="319"/>
      <c r="CH2584" s="318"/>
      <c r="CI2584" s="319"/>
      <c r="CJ2584" s="319"/>
      <c r="CK2584" s="342"/>
      <c r="CL2584" s="333"/>
      <c r="CM2584" s="1079"/>
      <c r="CN2584" s="1005"/>
      <c r="CO2584" s="1005"/>
      <c r="CP2584" s="1005"/>
    </row>
    <row r="2585">
      <c r="A2585" s="1257"/>
      <c r="B2585" s="1113"/>
      <c r="C2585" s="1107"/>
      <c r="D2585" s="103"/>
      <c r="E2585" s="1137"/>
      <c r="F2585" s="112"/>
      <c r="G2585" s="1110"/>
      <c r="H2585" s="1138"/>
      <c r="I2585" s="1138"/>
      <c r="J2585" s="1139"/>
      <c r="K2585" s="1111"/>
      <c r="L2585" s="1112"/>
      <c r="M2585" s="1113"/>
      <c r="N2585" s="110"/>
      <c r="O2585" s="1140"/>
      <c r="P2585" s="1115"/>
      <c r="Q2585" s="1116"/>
      <c r="R2585" s="1141"/>
      <c r="S2585" s="1113"/>
      <c r="T2585" s="1143"/>
      <c r="U2585" s="1108"/>
      <c r="V2585" s="1108"/>
      <c r="W2585" s="1108"/>
      <c r="X2585" s="1108"/>
      <c r="Y2585" s="1108"/>
      <c r="Z2585" s="1114"/>
      <c r="AA2585" s="1114"/>
      <c r="AB2585" s="1114"/>
      <c r="AC2585" s="1117"/>
      <c r="AD2585" s="1115"/>
      <c r="AE2585" s="1115"/>
      <c r="AF2585" s="1115"/>
      <c r="AG2585" s="1115"/>
      <c r="AH2585" s="1115"/>
      <c r="AI2585" s="1115"/>
      <c r="AJ2585" s="1117"/>
      <c r="AK2585" s="1118"/>
      <c r="AL2585" s="1115"/>
      <c r="AM2585" s="1115"/>
      <c r="AN2585" s="1115"/>
      <c r="AO2585" s="1115"/>
      <c r="AP2585" s="1115"/>
      <c r="AQ2585" s="1115"/>
      <c r="AR2585" s="1115"/>
      <c r="AS2585" s="1117"/>
      <c r="AT2585" s="1075"/>
      <c r="AU2585" s="1193"/>
      <c r="AV2585" s="330"/>
      <c r="AW2585" s="331"/>
      <c r="AX2585" s="331"/>
      <c r="AY2585" s="331"/>
      <c r="AZ2585" s="331"/>
      <c r="BA2585" s="331"/>
      <c r="BB2585" s="331"/>
      <c r="BC2585" s="331"/>
      <c r="BD2585" s="331"/>
      <c r="BE2585" s="333"/>
      <c r="BF2585" s="330"/>
      <c r="BG2585" s="333"/>
      <c r="BH2585" s="1119"/>
      <c r="BI2585" s="319"/>
      <c r="BJ2585" s="319"/>
      <c r="BK2585" s="319"/>
      <c r="BL2585" s="319"/>
      <c r="BM2585" s="319"/>
      <c r="BN2585" s="319"/>
      <c r="BO2585" s="319"/>
      <c r="BP2585" s="953"/>
      <c r="BQ2585" s="319"/>
      <c r="BR2585" s="319"/>
      <c r="BS2585" s="330"/>
      <c r="BT2585" s="331"/>
      <c r="BU2585" s="920"/>
      <c r="BV2585" s="903"/>
      <c r="BW2585" s="908"/>
      <c r="BX2585" s="908"/>
      <c r="BY2585" s="331"/>
      <c r="BZ2585" s="331"/>
      <c r="CA2585" s="462"/>
      <c r="CB2585" s="319"/>
      <c r="CC2585" s="319"/>
      <c r="CD2585" s="319"/>
      <c r="CE2585" s="319"/>
      <c r="CF2585" s="319"/>
      <c r="CG2585" s="319"/>
      <c r="CH2585" s="318"/>
      <c r="CI2585" s="319"/>
      <c r="CJ2585" s="319"/>
      <c r="CK2585" s="342"/>
      <c r="CL2585" s="333"/>
      <c r="CM2585" s="1079"/>
      <c r="CN2585" s="1005"/>
      <c r="CO2585" s="1005"/>
      <c r="CP2585" s="1005"/>
    </row>
    <row r="2586">
      <c r="A2586" s="1257"/>
      <c r="B2586" s="1113"/>
      <c r="C2586" s="1107"/>
      <c r="D2586" s="103"/>
      <c r="E2586" s="1137"/>
      <c r="F2586" s="112"/>
      <c r="G2586" s="1110"/>
      <c r="H2586" s="1138"/>
      <c r="I2586" s="1138"/>
      <c r="J2586" s="1139"/>
      <c r="K2586" s="1111"/>
      <c r="L2586" s="1112"/>
      <c r="M2586" s="1113"/>
      <c r="N2586" s="110"/>
      <c r="O2586" s="1140"/>
      <c r="P2586" s="1115"/>
      <c r="Q2586" s="1116"/>
      <c r="R2586" s="1141"/>
      <c r="S2586" s="1113"/>
      <c r="T2586" s="1143"/>
      <c r="U2586" s="1108"/>
      <c r="V2586" s="1108"/>
      <c r="W2586" s="1108"/>
      <c r="X2586" s="1108"/>
      <c r="Y2586" s="1108"/>
      <c r="Z2586" s="1114"/>
      <c r="AA2586" s="1114"/>
      <c r="AB2586" s="1114"/>
      <c r="AC2586" s="1117"/>
      <c r="AD2586" s="1115"/>
      <c r="AE2586" s="1115"/>
      <c r="AF2586" s="1115"/>
      <c r="AG2586" s="1115"/>
      <c r="AH2586" s="1115"/>
      <c r="AI2586" s="1115"/>
      <c r="AJ2586" s="1117"/>
      <c r="AK2586" s="1118"/>
      <c r="AL2586" s="1115"/>
      <c r="AM2586" s="1115"/>
      <c r="AN2586" s="1115"/>
      <c r="AO2586" s="1115"/>
      <c r="AP2586" s="1115"/>
      <c r="AQ2586" s="1115"/>
      <c r="AR2586" s="1115"/>
      <c r="AS2586" s="1117"/>
      <c r="AT2586" s="1075"/>
      <c r="AU2586" s="1193"/>
      <c r="AV2586" s="330"/>
      <c r="AW2586" s="331"/>
      <c r="AX2586" s="331"/>
      <c r="AY2586" s="331"/>
      <c r="AZ2586" s="331"/>
      <c r="BA2586" s="331"/>
      <c r="BB2586" s="331"/>
      <c r="BC2586" s="331"/>
      <c r="BD2586" s="331"/>
      <c r="BE2586" s="333"/>
      <c r="BF2586" s="330"/>
      <c r="BG2586" s="333"/>
      <c r="BH2586" s="1119"/>
      <c r="BI2586" s="319"/>
      <c r="BJ2586" s="319"/>
      <c r="BK2586" s="319"/>
      <c r="BL2586" s="319"/>
      <c r="BM2586" s="319"/>
      <c r="BN2586" s="319"/>
      <c r="BO2586" s="319"/>
      <c r="BP2586" s="953"/>
      <c r="BQ2586" s="319"/>
      <c r="BR2586" s="319"/>
      <c r="BS2586" s="330"/>
      <c r="BT2586" s="331"/>
      <c r="BU2586" s="920"/>
      <c r="BV2586" s="903"/>
      <c r="BW2586" s="908"/>
      <c r="BX2586" s="908"/>
      <c r="BY2586" s="331"/>
      <c r="BZ2586" s="331"/>
      <c r="CA2586" s="462"/>
      <c r="CB2586" s="319"/>
      <c r="CC2586" s="319"/>
      <c r="CD2586" s="319"/>
      <c r="CE2586" s="319"/>
      <c r="CF2586" s="319"/>
      <c r="CG2586" s="319"/>
      <c r="CH2586" s="318"/>
      <c r="CI2586" s="319"/>
      <c r="CJ2586" s="319"/>
      <c r="CK2586" s="342"/>
      <c r="CL2586" s="333"/>
      <c r="CM2586" s="1079"/>
      <c r="CN2586" s="1005"/>
      <c r="CO2586" s="1005"/>
      <c r="CP2586" s="1005"/>
    </row>
    <row r="2587">
      <c r="A2587" s="1257"/>
      <c r="B2587" s="1113"/>
      <c r="C2587" s="1107"/>
      <c r="D2587" s="103"/>
      <c r="E2587" s="1137"/>
      <c r="F2587" s="112"/>
      <c r="G2587" s="1110"/>
      <c r="H2587" s="1138"/>
      <c r="I2587" s="1138"/>
      <c r="J2587" s="1139"/>
      <c r="K2587" s="1111"/>
      <c r="L2587" s="1112"/>
      <c r="M2587" s="1113"/>
      <c r="N2587" s="110"/>
      <c r="O2587" s="1140"/>
      <c r="P2587" s="1115"/>
      <c r="Q2587" s="1116"/>
      <c r="R2587" s="1141"/>
      <c r="S2587" s="1113"/>
      <c r="T2587" s="1143"/>
      <c r="U2587" s="1108"/>
      <c r="V2587" s="1108"/>
      <c r="W2587" s="1108"/>
      <c r="X2587" s="1108"/>
      <c r="Y2587" s="1108"/>
      <c r="Z2587" s="1114"/>
      <c r="AA2587" s="1114"/>
      <c r="AB2587" s="1114"/>
      <c r="AC2587" s="1117"/>
      <c r="AD2587" s="1115"/>
      <c r="AE2587" s="1115"/>
      <c r="AF2587" s="1115"/>
      <c r="AG2587" s="1115"/>
      <c r="AH2587" s="1115"/>
      <c r="AI2587" s="1115"/>
      <c r="AJ2587" s="1117"/>
      <c r="AK2587" s="1118"/>
      <c r="AL2587" s="1115"/>
      <c r="AM2587" s="1115"/>
      <c r="AN2587" s="1115"/>
      <c r="AO2587" s="1115"/>
      <c r="AP2587" s="1115"/>
      <c r="AQ2587" s="1115"/>
      <c r="AR2587" s="1115"/>
      <c r="AS2587" s="1117"/>
      <c r="AT2587" s="1075"/>
      <c r="AU2587" s="1193"/>
      <c r="AV2587" s="330"/>
      <c r="AW2587" s="331"/>
      <c r="AX2587" s="331"/>
      <c r="AY2587" s="331"/>
      <c r="AZ2587" s="331"/>
      <c r="BA2587" s="331"/>
      <c r="BB2587" s="331"/>
      <c r="BC2587" s="331"/>
      <c r="BD2587" s="331"/>
      <c r="BE2587" s="333"/>
      <c r="BF2587" s="330"/>
      <c r="BG2587" s="333"/>
      <c r="BH2587" s="1119"/>
      <c r="BI2587" s="319"/>
      <c r="BJ2587" s="319"/>
      <c r="BK2587" s="319"/>
      <c r="BL2587" s="319"/>
      <c r="BM2587" s="319"/>
      <c r="BN2587" s="319"/>
      <c r="BO2587" s="319"/>
      <c r="BP2587" s="953"/>
      <c r="BQ2587" s="319"/>
      <c r="BR2587" s="319"/>
      <c r="BS2587" s="330"/>
      <c r="BT2587" s="331"/>
      <c r="BU2587" s="920"/>
      <c r="BV2587" s="903"/>
      <c r="BW2587" s="908"/>
      <c r="BX2587" s="908"/>
      <c r="BY2587" s="331"/>
      <c r="BZ2587" s="331"/>
      <c r="CA2587" s="462"/>
      <c r="CB2587" s="319"/>
      <c r="CC2587" s="319"/>
      <c r="CD2587" s="319"/>
      <c r="CE2587" s="319"/>
      <c r="CF2587" s="319"/>
      <c r="CG2587" s="319"/>
      <c r="CH2587" s="318"/>
      <c r="CI2587" s="319"/>
      <c r="CJ2587" s="319"/>
      <c r="CK2587" s="342"/>
      <c r="CL2587" s="333"/>
      <c r="CM2587" s="1079"/>
      <c r="CN2587" s="1005"/>
      <c r="CO2587" s="1005"/>
      <c r="CP2587" s="1005"/>
    </row>
    <row r="2588">
      <c r="A2588" s="1257"/>
      <c r="B2588" s="1113"/>
      <c r="C2588" s="1107"/>
      <c r="D2588" s="103"/>
      <c r="E2588" s="1137"/>
      <c r="F2588" s="112"/>
      <c r="G2588" s="1110"/>
      <c r="H2588" s="1138"/>
      <c r="I2588" s="1138"/>
      <c r="J2588" s="1139"/>
      <c r="K2588" s="1111"/>
      <c r="L2588" s="1112"/>
      <c r="M2588" s="1113"/>
      <c r="N2588" s="110"/>
      <c r="O2588" s="1140"/>
      <c r="P2588" s="1115"/>
      <c r="Q2588" s="1116"/>
      <c r="R2588" s="1141"/>
      <c r="S2588" s="1113"/>
      <c r="T2588" s="1143"/>
      <c r="U2588" s="1108"/>
      <c r="V2588" s="1108"/>
      <c r="W2588" s="1108"/>
      <c r="X2588" s="1108"/>
      <c r="Y2588" s="1108"/>
      <c r="Z2588" s="1114"/>
      <c r="AA2588" s="1114"/>
      <c r="AB2588" s="1114"/>
      <c r="AC2588" s="1117"/>
      <c r="AD2588" s="1115"/>
      <c r="AE2588" s="1115"/>
      <c r="AF2588" s="1115"/>
      <c r="AG2588" s="1115"/>
      <c r="AH2588" s="1115"/>
      <c r="AI2588" s="1115"/>
      <c r="AJ2588" s="1117"/>
      <c r="AK2588" s="1118"/>
      <c r="AL2588" s="1115"/>
      <c r="AM2588" s="1115"/>
      <c r="AN2588" s="1115"/>
      <c r="AO2588" s="1115"/>
      <c r="AP2588" s="1115"/>
      <c r="AQ2588" s="1115"/>
      <c r="AR2588" s="1115"/>
      <c r="AS2588" s="1117"/>
      <c r="AT2588" s="1075"/>
      <c r="AU2588" s="1193"/>
      <c r="AV2588" s="330"/>
      <c r="AW2588" s="331"/>
      <c r="AX2588" s="331"/>
      <c r="AY2588" s="331"/>
      <c r="AZ2588" s="331"/>
      <c r="BA2588" s="331"/>
      <c r="BB2588" s="331"/>
      <c r="BC2588" s="331"/>
      <c r="BD2588" s="331"/>
      <c r="BE2588" s="333"/>
      <c r="BF2588" s="330"/>
      <c r="BG2588" s="333"/>
      <c r="BH2588" s="1119"/>
      <c r="BI2588" s="319"/>
      <c r="BJ2588" s="319"/>
      <c r="BK2588" s="319"/>
      <c r="BL2588" s="319"/>
      <c r="BM2588" s="319"/>
      <c r="BN2588" s="319"/>
      <c r="BO2588" s="319"/>
      <c r="BP2588" s="953"/>
      <c r="BQ2588" s="319"/>
      <c r="BR2588" s="319"/>
      <c r="BS2588" s="330"/>
      <c r="BT2588" s="331"/>
      <c r="BU2588" s="920"/>
      <c r="BV2588" s="903"/>
      <c r="BW2588" s="908"/>
      <c r="BX2588" s="908"/>
      <c r="BY2588" s="331"/>
      <c r="BZ2588" s="331"/>
      <c r="CA2588" s="462"/>
      <c r="CB2588" s="319"/>
      <c r="CC2588" s="319"/>
      <c r="CD2588" s="319"/>
      <c r="CE2588" s="319"/>
      <c r="CF2588" s="319"/>
      <c r="CG2588" s="319"/>
      <c r="CH2588" s="318"/>
      <c r="CI2588" s="319"/>
      <c r="CJ2588" s="319"/>
      <c r="CK2588" s="342"/>
      <c r="CL2588" s="333"/>
      <c r="CM2588" s="1079"/>
      <c r="CN2588" s="1005"/>
      <c r="CO2588" s="1005"/>
      <c r="CP2588" s="1005"/>
    </row>
    <row r="2589">
      <c r="A2589" s="1257"/>
      <c r="B2589" s="1113"/>
      <c r="C2589" s="1107"/>
      <c r="D2589" s="103"/>
      <c r="E2589" s="1137"/>
      <c r="F2589" s="112"/>
      <c r="G2589" s="1110"/>
      <c r="H2589" s="1138"/>
      <c r="I2589" s="1138"/>
      <c r="J2589" s="1139"/>
      <c r="K2589" s="1111"/>
      <c r="L2589" s="1112"/>
      <c r="M2589" s="1113"/>
      <c r="N2589" s="110"/>
      <c r="O2589" s="1140"/>
      <c r="P2589" s="1115"/>
      <c r="Q2589" s="1116"/>
      <c r="R2589" s="1141"/>
      <c r="S2589" s="1113"/>
      <c r="T2589" s="1143"/>
      <c r="U2589" s="1108"/>
      <c r="V2589" s="1108"/>
      <c r="W2589" s="1108"/>
      <c r="X2589" s="1108"/>
      <c r="Y2589" s="1108"/>
      <c r="Z2589" s="1114"/>
      <c r="AA2589" s="1114"/>
      <c r="AB2589" s="1114"/>
      <c r="AC2589" s="1117"/>
      <c r="AD2589" s="1115"/>
      <c r="AE2589" s="1115"/>
      <c r="AF2589" s="1115"/>
      <c r="AG2589" s="1115"/>
      <c r="AH2589" s="1115"/>
      <c r="AI2589" s="1115"/>
      <c r="AJ2589" s="1117"/>
      <c r="AK2589" s="1118"/>
      <c r="AL2589" s="1115"/>
      <c r="AM2589" s="1115"/>
      <c r="AN2589" s="1115"/>
      <c r="AO2589" s="1115"/>
      <c r="AP2589" s="1115"/>
      <c r="AQ2589" s="1115"/>
      <c r="AR2589" s="1115"/>
      <c r="AS2589" s="1117"/>
      <c r="AT2589" s="1075"/>
      <c r="AU2589" s="1193"/>
      <c r="AV2589" s="330"/>
      <c r="AW2589" s="331"/>
      <c r="AX2589" s="331"/>
      <c r="AY2589" s="331"/>
      <c r="AZ2589" s="331"/>
      <c r="BA2589" s="331"/>
      <c r="BB2589" s="331"/>
      <c r="BC2589" s="331"/>
      <c r="BD2589" s="331"/>
      <c r="BE2589" s="333"/>
      <c r="BF2589" s="330"/>
      <c r="BG2589" s="333"/>
      <c r="BH2589" s="1119"/>
      <c r="BI2589" s="319"/>
      <c r="BJ2589" s="319"/>
      <c r="BK2589" s="319"/>
      <c r="BL2589" s="319"/>
      <c r="BM2589" s="319"/>
      <c r="BN2589" s="319"/>
      <c r="BO2589" s="319"/>
      <c r="BP2589" s="953"/>
      <c r="BQ2589" s="319"/>
      <c r="BR2589" s="319"/>
      <c r="BS2589" s="330"/>
      <c r="BT2589" s="331"/>
      <c r="BU2589" s="920"/>
      <c r="BV2589" s="903"/>
      <c r="BW2589" s="908"/>
      <c r="BX2589" s="908"/>
      <c r="BY2589" s="331"/>
      <c r="BZ2589" s="331"/>
      <c r="CA2589" s="462"/>
      <c r="CB2589" s="319"/>
      <c r="CC2589" s="319"/>
      <c r="CD2589" s="319"/>
      <c r="CE2589" s="319"/>
      <c r="CF2589" s="319"/>
      <c r="CG2589" s="319"/>
      <c r="CH2589" s="318"/>
      <c r="CI2589" s="319"/>
      <c r="CJ2589" s="319"/>
      <c r="CK2589" s="342"/>
      <c r="CL2589" s="333"/>
      <c r="CM2589" s="1079"/>
      <c r="CN2589" s="1005"/>
      <c r="CO2589" s="1005"/>
      <c r="CP2589" s="1005"/>
    </row>
    <row r="2590">
      <c r="A2590" s="1257"/>
      <c r="B2590" s="1113"/>
      <c r="C2590" s="1107"/>
      <c r="D2590" s="103"/>
      <c r="E2590" s="1137"/>
      <c r="F2590" s="112"/>
      <c r="G2590" s="1110"/>
      <c r="H2590" s="1138"/>
      <c r="I2590" s="1138"/>
      <c r="J2590" s="1139"/>
      <c r="K2590" s="1111"/>
      <c r="L2590" s="1112"/>
      <c r="M2590" s="1113"/>
      <c r="N2590" s="110"/>
      <c r="O2590" s="1140"/>
      <c r="P2590" s="1115"/>
      <c r="Q2590" s="1116"/>
      <c r="R2590" s="1141"/>
      <c r="S2590" s="1113"/>
      <c r="T2590" s="1143"/>
      <c r="U2590" s="1108"/>
      <c r="V2590" s="1108"/>
      <c r="W2590" s="1108"/>
      <c r="X2590" s="1108"/>
      <c r="Y2590" s="1108"/>
      <c r="Z2590" s="1114"/>
      <c r="AA2590" s="1114"/>
      <c r="AB2590" s="1114"/>
      <c r="AC2590" s="1117"/>
      <c r="AD2590" s="1115"/>
      <c r="AE2590" s="1115"/>
      <c r="AF2590" s="1115"/>
      <c r="AG2590" s="1115"/>
      <c r="AH2590" s="1115"/>
      <c r="AI2590" s="1115"/>
      <c r="AJ2590" s="1117"/>
      <c r="AK2590" s="1118"/>
      <c r="AL2590" s="1115"/>
      <c r="AM2590" s="1115"/>
      <c r="AN2590" s="1115"/>
      <c r="AO2590" s="1115"/>
      <c r="AP2590" s="1115"/>
      <c r="AQ2590" s="1115"/>
      <c r="AR2590" s="1115"/>
      <c r="AS2590" s="1117"/>
      <c r="AT2590" s="1075"/>
      <c r="AU2590" s="1193"/>
      <c r="AV2590" s="330"/>
      <c r="AW2590" s="331"/>
      <c r="AX2590" s="331"/>
      <c r="AY2590" s="331"/>
      <c r="AZ2590" s="331"/>
      <c r="BA2590" s="331"/>
      <c r="BB2590" s="331"/>
      <c r="BC2590" s="331"/>
      <c r="BD2590" s="331"/>
      <c r="BE2590" s="333"/>
      <c r="BF2590" s="330"/>
      <c r="BG2590" s="333"/>
      <c r="BH2590" s="1119"/>
      <c r="BI2590" s="319"/>
      <c r="BJ2590" s="319"/>
      <c r="BK2590" s="319"/>
      <c r="BL2590" s="319"/>
      <c r="BM2590" s="319"/>
      <c r="BN2590" s="319"/>
      <c r="BO2590" s="319"/>
      <c r="BP2590" s="953"/>
      <c r="BQ2590" s="319"/>
      <c r="BR2590" s="319"/>
      <c r="BS2590" s="330"/>
      <c r="BT2590" s="331"/>
      <c r="BU2590" s="920"/>
      <c r="BV2590" s="903"/>
      <c r="BW2590" s="908"/>
      <c r="BX2590" s="908"/>
      <c r="BY2590" s="331"/>
      <c r="BZ2590" s="331"/>
      <c r="CA2590" s="462"/>
      <c r="CB2590" s="319"/>
      <c r="CC2590" s="319"/>
      <c r="CD2590" s="319"/>
      <c r="CE2590" s="319"/>
      <c r="CF2590" s="319"/>
      <c r="CG2590" s="319"/>
      <c r="CH2590" s="318"/>
      <c r="CI2590" s="319"/>
      <c r="CJ2590" s="319"/>
      <c r="CK2590" s="342"/>
      <c r="CL2590" s="333"/>
      <c r="CM2590" s="1079"/>
      <c r="CN2590" s="1005"/>
      <c r="CO2590" s="1005"/>
      <c r="CP2590" s="1005"/>
    </row>
    <row r="2591">
      <c r="A2591" s="1257"/>
      <c r="B2591" s="1113"/>
      <c r="C2591" s="1107"/>
      <c r="D2591" s="103"/>
      <c r="E2591" s="1137"/>
      <c r="F2591" s="112"/>
      <c r="G2591" s="1110"/>
      <c r="H2591" s="1138"/>
      <c r="I2591" s="1138"/>
      <c r="J2591" s="1139"/>
      <c r="K2591" s="1111"/>
      <c r="L2591" s="1112"/>
      <c r="M2591" s="1113"/>
      <c r="N2591" s="110"/>
      <c r="O2591" s="1140"/>
      <c r="P2591" s="1115"/>
      <c r="Q2591" s="1116"/>
      <c r="R2591" s="1141"/>
      <c r="S2591" s="1113"/>
      <c r="T2591" s="1143"/>
      <c r="U2591" s="1108"/>
      <c r="V2591" s="1108"/>
      <c r="W2591" s="1108"/>
      <c r="X2591" s="1108"/>
      <c r="Y2591" s="1108"/>
      <c r="Z2591" s="1114"/>
      <c r="AA2591" s="1114"/>
      <c r="AB2591" s="1114"/>
      <c r="AC2591" s="1117"/>
      <c r="AD2591" s="1115"/>
      <c r="AE2591" s="1115"/>
      <c r="AF2591" s="1115"/>
      <c r="AG2591" s="1115"/>
      <c r="AH2591" s="1115"/>
      <c r="AI2591" s="1115"/>
      <c r="AJ2591" s="1117"/>
      <c r="AK2591" s="1118"/>
      <c r="AL2591" s="1115"/>
      <c r="AM2591" s="1115"/>
      <c r="AN2591" s="1115"/>
      <c r="AO2591" s="1115"/>
      <c r="AP2591" s="1115"/>
      <c r="AQ2591" s="1115"/>
      <c r="AR2591" s="1115"/>
      <c r="AS2591" s="1117"/>
      <c r="AT2591" s="1075"/>
      <c r="AU2591" s="1193"/>
      <c r="AV2591" s="330"/>
      <c r="AW2591" s="331"/>
      <c r="AX2591" s="331"/>
      <c r="AY2591" s="331"/>
      <c r="AZ2591" s="331"/>
      <c r="BA2591" s="331"/>
      <c r="BB2591" s="331"/>
      <c r="BC2591" s="331"/>
      <c r="BD2591" s="331"/>
      <c r="BE2591" s="333"/>
      <c r="BF2591" s="330"/>
      <c r="BG2591" s="333"/>
      <c r="BH2591" s="1119"/>
      <c r="BI2591" s="319"/>
      <c r="BJ2591" s="319"/>
      <c r="BK2591" s="319"/>
      <c r="BL2591" s="319"/>
      <c r="BM2591" s="319"/>
      <c r="BN2591" s="319"/>
      <c r="BO2591" s="319"/>
      <c r="BP2591" s="953"/>
      <c r="BQ2591" s="319"/>
      <c r="BR2591" s="319"/>
      <c r="BS2591" s="330"/>
      <c r="BT2591" s="331"/>
      <c r="BU2591" s="920"/>
      <c r="BV2591" s="903"/>
      <c r="BW2591" s="908"/>
      <c r="BX2591" s="908"/>
      <c r="BY2591" s="331"/>
      <c r="BZ2591" s="331"/>
      <c r="CA2591" s="462"/>
      <c r="CB2591" s="319"/>
      <c r="CC2591" s="319"/>
      <c r="CD2591" s="319"/>
      <c r="CE2591" s="319"/>
      <c r="CF2591" s="319"/>
      <c r="CG2591" s="319"/>
      <c r="CH2591" s="318"/>
      <c r="CI2591" s="319"/>
      <c r="CJ2591" s="319"/>
      <c r="CK2591" s="342"/>
      <c r="CL2591" s="333"/>
      <c r="CM2591" s="1079"/>
      <c r="CN2591" s="1005"/>
      <c r="CO2591" s="1005"/>
      <c r="CP2591" s="1005"/>
    </row>
    <row r="2592">
      <c r="A2592" s="1257"/>
      <c r="B2592" s="1113"/>
      <c r="C2592" s="1107"/>
      <c r="D2592" s="103"/>
      <c r="E2592" s="1137"/>
      <c r="F2592" s="112"/>
      <c r="G2592" s="1110"/>
      <c r="H2592" s="1138"/>
      <c r="I2592" s="1138"/>
      <c r="J2592" s="1139"/>
      <c r="K2592" s="1111"/>
      <c r="L2592" s="1112"/>
      <c r="M2592" s="1113"/>
      <c r="N2592" s="110"/>
      <c r="O2592" s="1140"/>
      <c r="P2592" s="1115"/>
      <c r="Q2592" s="1116"/>
      <c r="R2592" s="1141"/>
      <c r="S2592" s="1113"/>
      <c r="T2592" s="1143"/>
      <c r="U2592" s="1108"/>
      <c r="V2592" s="1108"/>
      <c r="W2592" s="1108"/>
      <c r="X2592" s="1108"/>
      <c r="Y2592" s="1108"/>
      <c r="Z2592" s="1114"/>
      <c r="AA2592" s="1114"/>
      <c r="AB2592" s="1114"/>
      <c r="AC2592" s="1117"/>
      <c r="AD2592" s="1115"/>
      <c r="AE2592" s="1115"/>
      <c r="AF2592" s="1115"/>
      <c r="AG2592" s="1115"/>
      <c r="AH2592" s="1115"/>
      <c r="AI2592" s="1115"/>
      <c r="AJ2592" s="1117"/>
      <c r="AK2592" s="1118"/>
      <c r="AL2592" s="1115"/>
      <c r="AM2592" s="1115"/>
      <c r="AN2592" s="1115"/>
      <c r="AO2592" s="1115"/>
      <c r="AP2592" s="1115"/>
      <c r="AQ2592" s="1115"/>
      <c r="AR2592" s="1115"/>
      <c r="AS2592" s="1117"/>
      <c r="AT2592" s="1075"/>
      <c r="AU2592" s="1193"/>
      <c r="AV2592" s="330"/>
      <c r="AW2592" s="331"/>
      <c r="AX2592" s="331"/>
      <c r="AY2592" s="331"/>
      <c r="AZ2592" s="331"/>
      <c r="BA2592" s="331"/>
      <c r="BB2592" s="331"/>
      <c r="BC2592" s="331"/>
      <c r="BD2592" s="331"/>
      <c r="BE2592" s="333"/>
      <c r="BF2592" s="330"/>
      <c r="BG2592" s="333"/>
      <c r="BH2592" s="1119"/>
      <c r="BI2592" s="319"/>
      <c r="BJ2592" s="319"/>
      <c r="BK2592" s="319"/>
      <c r="BL2592" s="319"/>
      <c r="BM2592" s="319"/>
      <c r="BN2592" s="319"/>
      <c r="BO2592" s="319"/>
      <c r="BP2592" s="953"/>
      <c r="BQ2592" s="319"/>
      <c r="BR2592" s="319"/>
      <c r="BS2592" s="330"/>
      <c r="BT2592" s="331"/>
      <c r="BU2592" s="920"/>
      <c r="BV2592" s="903"/>
      <c r="BW2592" s="908"/>
      <c r="BX2592" s="908"/>
      <c r="BY2592" s="331"/>
      <c r="BZ2592" s="331"/>
      <c r="CA2592" s="462"/>
      <c r="CB2592" s="319"/>
      <c r="CC2592" s="319"/>
      <c r="CD2592" s="319"/>
      <c r="CE2592" s="319"/>
      <c r="CF2592" s="319"/>
      <c r="CG2592" s="319"/>
      <c r="CH2592" s="318"/>
      <c r="CI2592" s="319"/>
      <c r="CJ2592" s="319"/>
      <c r="CK2592" s="342"/>
      <c r="CL2592" s="333"/>
      <c r="CM2592" s="1079"/>
      <c r="CN2592" s="1005"/>
      <c r="CO2592" s="1005"/>
      <c r="CP2592" s="1005"/>
    </row>
    <row r="2593">
      <c r="A2593" s="1257"/>
      <c r="B2593" s="1113"/>
      <c r="C2593" s="1107"/>
      <c r="D2593" s="103"/>
      <c r="E2593" s="1137"/>
      <c r="F2593" s="112"/>
      <c r="G2593" s="1110"/>
      <c r="H2593" s="1138"/>
      <c r="I2593" s="1138"/>
      <c r="J2593" s="1139"/>
      <c r="K2593" s="1111"/>
      <c r="L2593" s="1112"/>
      <c r="M2593" s="1113"/>
      <c r="N2593" s="110"/>
      <c r="O2593" s="1140"/>
      <c r="P2593" s="1115"/>
      <c r="Q2593" s="1116"/>
      <c r="R2593" s="1141"/>
      <c r="S2593" s="1113"/>
      <c r="T2593" s="1143"/>
      <c r="U2593" s="1108"/>
      <c r="V2593" s="1108"/>
      <c r="W2593" s="1108"/>
      <c r="X2593" s="1108"/>
      <c r="Y2593" s="1108"/>
      <c r="Z2593" s="1114"/>
      <c r="AA2593" s="1114"/>
      <c r="AB2593" s="1114"/>
      <c r="AC2593" s="1117"/>
      <c r="AD2593" s="1115"/>
      <c r="AE2593" s="1115"/>
      <c r="AF2593" s="1115"/>
      <c r="AG2593" s="1115"/>
      <c r="AH2593" s="1115"/>
      <c r="AI2593" s="1115"/>
      <c r="AJ2593" s="1117"/>
      <c r="AK2593" s="1118"/>
      <c r="AL2593" s="1115"/>
      <c r="AM2593" s="1115"/>
      <c r="AN2593" s="1115"/>
      <c r="AO2593" s="1115"/>
      <c r="AP2593" s="1115"/>
      <c r="AQ2593" s="1115"/>
      <c r="AR2593" s="1115"/>
      <c r="AS2593" s="1117"/>
      <c r="AT2593" s="1075"/>
      <c r="AU2593" s="1193"/>
      <c r="AV2593" s="330"/>
      <c r="AW2593" s="331"/>
      <c r="AX2593" s="331"/>
      <c r="AY2593" s="331"/>
      <c r="AZ2593" s="331"/>
      <c r="BA2593" s="331"/>
      <c r="BB2593" s="331"/>
      <c r="BC2593" s="331"/>
      <c r="BD2593" s="331"/>
      <c r="BE2593" s="333"/>
      <c r="BF2593" s="330"/>
      <c r="BG2593" s="333"/>
      <c r="BH2593" s="1119"/>
      <c r="BI2593" s="319"/>
      <c r="BJ2593" s="319"/>
      <c r="BK2593" s="319"/>
      <c r="BL2593" s="319"/>
      <c r="BM2593" s="319"/>
      <c r="BN2593" s="319"/>
      <c r="BO2593" s="319"/>
      <c r="BP2593" s="953"/>
      <c r="BQ2593" s="319"/>
      <c r="BR2593" s="319"/>
      <c r="BS2593" s="330"/>
      <c r="BT2593" s="331"/>
      <c r="BU2593" s="920"/>
      <c r="BV2593" s="903"/>
      <c r="BW2593" s="908"/>
      <c r="BX2593" s="908"/>
      <c r="BY2593" s="331"/>
      <c r="BZ2593" s="331"/>
      <c r="CA2593" s="462"/>
      <c r="CB2593" s="319"/>
      <c r="CC2593" s="319"/>
      <c r="CD2593" s="319"/>
      <c r="CE2593" s="319"/>
      <c r="CF2593" s="319"/>
      <c r="CG2593" s="319"/>
      <c r="CH2593" s="318"/>
      <c r="CI2593" s="319"/>
      <c r="CJ2593" s="319"/>
      <c r="CK2593" s="342"/>
      <c r="CL2593" s="333"/>
      <c r="CM2593" s="1079"/>
      <c r="CN2593" s="1005"/>
      <c r="CO2593" s="1005"/>
      <c r="CP2593" s="1005"/>
    </row>
    <row r="2594">
      <c r="A2594" s="1257"/>
      <c r="B2594" s="1113"/>
      <c r="C2594" s="1107"/>
      <c r="D2594" s="103"/>
      <c r="E2594" s="1137"/>
      <c r="F2594" s="112"/>
      <c r="G2594" s="1110"/>
      <c r="H2594" s="1138"/>
      <c r="I2594" s="1138"/>
      <c r="J2594" s="1139"/>
      <c r="K2594" s="1111"/>
      <c r="L2594" s="1112"/>
      <c r="M2594" s="1113"/>
      <c r="N2594" s="110"/>
      <c r="O2594" s="1140"/>
      <c r="P2594" s="1115"/>
      <c r="Q2594" s="1116"/>
      <c r="R2594" s="1141"/>
      <c r="S2594" s="1113"/>
      <c r="T2594" s="1143"/>
      <c r="U2594" s="1108"/>
      <c r="V2594" s="1108"/>
      <c r="W2594" s="1108"/>
      <c r="X2594" s="1108"/>
      <c r="Y2594" s="1108"/>
      <c r="Z2594" s="1114"/>
      <c r="AA2594" s="1114"/>
      <c r="AB2594" s="1114"/>
      <c r="AC2594" s="1117"/>
      <c r="AD2594" s="1115"/>
      <c r="AE2594" s="1115"/>
      <c r="AF2594" s="1115"/>
      <c r="AG2594" s="1115"/>
      <c r="AH2594" s="1115"/>
      <c r="AI2594" s="1115"/>
      <c r="AJ2594" s="1117"/>
      <c r="AK2594" s="1118"/>
      <c r="AL2594" s="1115"/>
      <c r="AM2594" s="1115"/>
      <c r="AN2594" s="1115"/>
      <c r="AO2594" s="1115"/>
      <c r="AP2594" s="1115"/>
      <c r="AQ2594" s="1115"/>
      <c r="AR2594" s="1115"/>
      <c r="AS2594" s="1117"/>
      <c r="AT2594" s="1075"/>
      <c r="AU2594" s="1193"/>
      <c r="AV2594" s="330"/>
      <c r="AW2594" s="331"/>
      <c r="AX2594" s="331"/>
      <c r="AY2594" s="331"/>
      <c r="AZ2594" s="331"/>
      <c r="BA2594" s="331"/>
      <c r="BB2594" s="331"/>
      <c r="BC2594" s="331"/>
      <c r="BD2594" s="331"/>
      <c r="BE2594" s="333"/>
      <c r="BF2594" s="330"/>
      <c r="BG2594" s="333"/>
      <c r="BH2594" s="1119"/>
      <c r="BI2594" s="319"/>
      <c r="BJ2594" s="319"/>
      <c r="BK2594" s="319"/>
      <c r="BL2594" s="319"/>
      <c r="BM2594" s="319"/>
      <c r="BN2594" s="319"/>
      <c r="BO2594" s="319"/>
      <c r="BP2594" s="953"/>
      <c r="BQ2594" s="319"/>
      <c r="BR2594" s="319"/>
      <c r="BS2594" s="330"/>
      <c r="BT2594" s="331"/>
      <c r="BU2594" s="920"/>
      <c r="BV2594" s="903"/>
      <c r="BW2594" s="908"/>
      <c r="BX2594" s="908"/>
      <c r="BY2594" s="331"/>
      <c r="BZ2594" s="331"/>
      <c r="CA2594" s="462"/>
      <c r="CB2594" s="319"/>
      <c r="CC2594" s="319"/>
      <c r="CD2594" s="319"/>
      <c r="CE2594" s="319"/>
      <c r="CF2594" s="319"/>
      <c r="CG2594" s="319"/>
      <c r="CH2594" s="318"/>
      <c r="CI2594" s="319"/>
      <c r="CJ2594" s="319"/>
      <c r="CK2594" s="342"/>
      <c r="CL2594" s="333"/>
      <c r="CM2594" s="1079"/>
      <c r="CN2594" s="1005"/>
      <c r="CO2594" s="1005"/>
      <c r="CP2594" s="1005"/>
    </row>
    <row r="2595">
      <c r="A2595" s="1257"/>
      <c r="B2595" s="1113"/>
      <c r="C2595" s="1107"/>
      <c r="D2595" s="103"/>
      <c r="E2595" s="1137"/>
      <c r="F2595" s="112"/>
      <c r="G2595" s="1110"/>
      <c r="H2595" s="1138"/>
      <c r="I2595" s="1138"/>
      <c r="J2595" s="1139"/>
      <c r="K2595" s="1111"/>
      <c r="L2595" s="1112"/>
      <c r="M2595" s="1113"/>
      <c r="N2595" s="110"/>
      <c r="O2595" s="1140"/>
      <c r="P2595" s="1115"/>
      <c r="Q2595" s="1116"/>
      <c r="R2595" s="1141"/>
      <c r="S2595" s="1113"/>
      <c r="T2595" s="1143"/>
      <c r="U2595" s="1108"/>
      <c r="V2595" s="1108"/>
      <c r="W2595" s="1108"/>
      <c r="X2595" s="1108"/>
      <c r="Y2595" s="1108"/>
      <c r="Z2595" s="1114"/>
      <c r="AA2595" s="1114"/>
      <c r="AB2595" s="1114"/>
      <c r="AC2595" s="1117"/>
      <c r="AD2595" s="1115"/>
      <c r="AE2595" s="1115"/>
      <c r="AF2595" s="1115"/>
      <c r="AG2595" s="1115"/>
      <c r="AH2595" s="1115"/>
      <c r="AI2595" s="1115"/>
      <c r="AJ2595" s="1117"/>
      <c r="AK2595" s="1118"/>
      <c r="AL2595" s="1115"/>
      <c r="AM2595" s="1115"/>
      <c r="AN2595" s="1115"/>
      <c r="AO2595" s="1115"/>
      <c r="AP2595" s="1115"/>
      <c r="AQ2595" s="1115"/>
      <c r="AR2595" s="1115"/>
      <c r="AS2595" s="1117"/>
      <c r="AT2595" s="1075"/>
      <c r="AU2595" s="1193"/>
      <c r="AV2595" s="330"/>
      <c r="AW2595" s="331"/>
      <c r="AX2595" s="331"/>
      <c r="AY2595" s="331"/>
      <c r="AZ2595" s="331"/>
      <c r="BA2595" s="331"/>
      <c r="BB2595" s="331"/>
      <c r="BC2595" s="331"/>
      <c r="BD2595" s="331"/>
      <c r="BE2595" s="333"/>
      <c r="BF2595" s="330"/>
      <c r="BG2595" s="333"/>
      <c r="BH2595" s="1119"/>
      <c r="BI2595" s="319"/>
      <c r="BJ2595" s="319"/>
      <c r="BK2595" s="319"/>
      <c r="BL2595" s="319"/>
      <c r="BM2595" s="319"/>
      <c r="BN2595" s="319"/>
      <c r="BO2595" s="319"/>
      <c r="BP2595" s="953"/>
      <c r="BQ2595" s="319"/>
      <c r="BR2595" s="319"/>
      <c r="BS2595" s="330"/>
      <c r="BT2595" s="331"/>
      <c r="BU2595" s="920"/>
      <c r="BV2595" s="903"/>
      <c r="BW2595" s="908"/>
      <c r="BX2595" s="908"/>
      <c r="BY2595" s="331"/>
      <c r="BZ2595" s="331"/>
      <c r="CA2595" s="462"/>
      <c r="CB2595" s="319"/>
      <c r="CC2595" s="319"/>
      <c r="CD2595" s="319"/>
      <c r="CE2595" s="319"/>
      <c r="CF2595" s="319"/>
      <c r="CG2595" s="319"/>
      <c r="CH2595" s="318"/>
      <c r="CI2595" s="319"/>
      <c r="CJ2595" s="319"/>
      <c r="CK2595" s="342"/>
      <c r="CL2595" s="333"/>
      <c r="CM2595" s="1079"/>
      <c r="CN2595" s="1005"/>
      <c r="CO2595" s="1005"/>
      <c r="CP2595" s="1005"/>
    </row>
    <row r="2596">
      <c r="A2596" s="1257"/>
      <c r="B2596" s="1113"/>
      <c r="C2596" s="1107"/>
      <c r="D2596" s="103"/>
      <c r="E2596" s="1137"/>
      <c r="F2596" s="112"/>
      <c r="G2596" s="1110"/>
      <c r="H2596" s="1138"/>
      <c r="I2596" s="1138"/>
      <c r="J2596" s="1139"/>
      <c r="K2596" s="1111"/>
      <c r="L2596" s="1112"/>
      <c r="M2596" s="1113"/>
      <c r="N2596" s="110"/>
      <c r="O2596" s="1140"/>
      <c r="P2596" s="1115"/>
      <c r="Q2596" s="1116"/>
      <c r="R2596" s="1141"/>
      <c r="S2596" s="1113"/>
      <c r="T2596" s="1143"/>
      <c r="U2596" s="1108"/>
      <c r="V2596" s="1108"/>
      <c r="W2596" s="1108"/>
      <c r="X2596" s="1108"/>
      <c r="Y2596" s="1108"/>
      <c r="Z2596" s="1114"/>
      <c r="AA2596" s="1114"/>
      <c r="AB2596" s="1114"/>
      <c r="AC2596" s="1117"/>
      <c r="AD2596" s="1115"/>
      <c r="AE2596" s="1115"/>
      <c r="AF2596" s="1115"/>
      <c r="AG2596" s="1115"/>
      <c r="AH2596" s="1115"/>
      <c r="AI2596" s="1115"/>
      <c r="AJ2596" s="1117"/>
      <c r="AK2596" s="1118"/>
      <c r="AL2596" s="1115"/>
      <c r="AM2596" s="1115"/>
      <c r="AN2596" s="1115"/>
      <c r="AO2596" s="1115"/>
      <c r="AP2596" s="1115"/>
      <c r="AQ2596" s="1115"/>
      <c r="AR2596" s="1115"/>
      <c r="AS2596" s="1117"/>
      <c r="AT2596" s="1075"/>
      <c r="AU2596" s="1193"/>
      <c r="AV2596" s="330"/>
      <c r="AW2596" s="331"/>
      <c r="AX2596" s="331"/>
      <c r="AY2596" s="331"/>
      <c r="AZ2596" s="331"/>
      <c r="BA2596" s="331"/>
      <c r="BB2596" s="331"/>
      <c r="BC2596" s="331"/>
      <c r="BD2596" s="331"/>
      <c r="BE2596" s="333"/>
      <c r="BF2596" s="330"/>
      <c r="BG2596" s="333"/>
      <c r="BH2596" s="1119"/>
      <c r="BI2596" s="319"/>
      <c r="BJ2596" s="319"/>
      <c r="BK2596" s="319"/>
      <c r="BL2596" s="319"/>
      <c r="BM2596" s="319"/>
      <c r="BN2596" s="319"/>
      <c r="BO2596" s="319"/>
      <c r="BP2596" s="953"/>
      <c r="BQ2596" s="319"/>
      <c r="BR2596" s="319"/>
      <c r="BS2596" s="330"/>
      <c r="BT2596" s="331"/>
      <c r="BU2596" s="920"/>
      <c r="BV2596" s="903"/>
      <c r="BW2596" s="908"/>
      <c r="BX2596" s="908"/>
      <c r="BY2596" s="331"/>
      <c r="BZ2596" s="331"/>
      <c r="CA2596" s="462"/>
      <c r="CB2596" s="319"/>
      <c r="CC2596" s="319"/>
      <c r="CD2596" s="319"/>
      <c r="CE2596" s="319"/>
      <c r="CF2596" s="319"/>
      <c r="CG2596" s="319"/>
      <c r="CH2596" s="318"/>
      <c r="CI2596" s="319"/>
      <c r="CJ2596" s="319"/>
      <c r="CK2596" s="342"/>
      <c r="CL2596" s="333"/>
      <c r="CM2596" s="1079"/>
      <c r="CN2596" s="1005"/>
      <c r="CO2596" s="1005"/>
      <c r="CP2596" s="1005"/>
    </row>
    <row r="2597">
      <c r="A2597" s="1257"/>
      <c r="B2597" s="1113"/>
      <c r="C2597" s="1107"/>
      <c r="D2597" s="103"/>
      <c r="E2597" s="1137"/>
      <c r="F2597" s="112"/>
      <c r="G2597" s="1110"/>
      <c r="H2597" s="1138"/>
      <c r="I2597" s="1138"/>
      <c r="J2597" s="1139"/>
      <c r="K2597" s="1111"/>
      <c r="L2597" s="1112"/>
      <c r="M2597" s="1113"/>
      <c r="N2597" s="110"/>
      <c r="O2597" s="1140"/>
      <c r="P2597" s="1115"/>
      <c r="Q2597" s="1116"/>
      <c r="R2597" s="1141"/>
      <c r="S2597" s="1113"/>
      <c r="T2597" s="1143"/>
      <c r="U2597" s="1108"/>
      <c r="V2597" s="1108"/>
      <c r="W2597" s="1108"/>
      <c r="X2597" s="1108"/>
      <c r="Y2597" s="1108"/>
      <c r="Z2597" s="1114"/>
      <c r="AA2597" s="1114"/>
      <c r="AB2597" s="1114"/>
      <c r="AC2597" s="1117"/>
      <c r="AD2597" s="1115"/>
      <c r="AE2597" s="1115"/>
      <c r="AF2597" s="1115"/>
      <c r="AG2597" s="1115"/>
      <c r="AH2597" s="1115"/>
      <c r="AI2597" s="1115"/>
      <c r="AJ2597" s="1117"/>
      <c r="AK2597" s="1118"/>
      <c r="AL2597" s="1115"/>
      <c r="AM2597" s="1115"/>
      <c r="AN2597" s="1115"/>
      <c r="AO2597" s="1115"/>
      <c r="AP2597" s="1115"/>
      <c r="AQ2597" s="1115"/>
      <c r="AR2597" s="1115"/>
      <c r="AS2597" s="1117"/>
      <c r="AT2597" s="1075"/>
      <c r="AU2597" s="1193"/>
      <c r="AV2597" s="330"/>
      <c r="AW2597" s="331"/>
      <c r="AX2597" s="331"/>
      <c r="AY2597" s="331"/>
      <c r="AZ2597" s="331"/>
      <c r="BA2597" s="331"/>
      <c r="BB2597" s="331"/>
      <c r="BC2597" s="331"/>
      <c r="BD2597" s="331"/>
      <c r="BE2597" s="333"/>
      <c r="BF2597" s="330"/>
      <c r="BG2597" s="333"/>
      <c r="BH2597" s="1119"/>
      <c r="BI2597" s="319"/>
      <c r="BJ2597" s="319"/>
      <c r="BK2597" s="319"/>
      <c r="BL2597" s="319"/>
      <c r="BM2597" s="319"/>
      <c r="BN2597" s="319"/>
      <c r="BO2597" s="319"/>
      <c r="BP2597" s="953"/>
      <c r="BQ2597" s="319"/>
      <c r="BR2597" s="319"/>
      <c r="BS2597" s="330"/>
      <c r="BT2597" s="331"/>
      <c r="BU2597" s="920"/>
      <c r="BV2597" s="903"/>
      <c r="BW2597" s="908"/>
      <c r="BX2597" s="908"/>
      <c r="BY2597" s="331"/>
      <c r="BZ2597" s="331"/>
      <c r="CA2597" s="462"/>
      <c r="CB2597" s="319"/>
      <c r="CC2597" s="319"/>
      <c r="CD2597" s="319"/>
      <c r="CE2597" s="319"/>
      <c r="CF2597" s="319"/>
      <c r="CG2597" s="319"/>
      <c r="CH2597" s="318"/>
      <c r="CI2597" s="319"/>
      <c r="CJ2597" s="319"/>
      <c r="CK2597" s="342"/>
      <c r="CL2597" s="333"/>
      <c r="CM2597" s="1079"/>
      <c r="CN2597" s="1005"/>
      <c r="CO2597" s="1005"/>
      <c r="CP2597" s="1005"/>
    </row>
    <row r="2598">
      <c r="A2598" s="1257"/>
      <c r="B2598" s="1113"/>
      <c r="C2598" s="1107"/>
      <c r="D2598" s="103"/>
      <c r="E2598" s="1137"/>
      <c r="F2598" s="112"/>
      <c r="G2598" s="1110"/>
      <c r="H2598" s="1138"/>
      <c r="I2598" s="1138"/>
      <c r="J2598" s="1139"/>
      <c r="K2598" s="1111"/>
      <c r="L2598" s="1112"/>
      <c r="M2598" s="1113"/>
      <c r="N2598" s="110"/>
      <c r="O2598" s="1140"/>
      <c r="P2598" s="1115"/>
      <c r="Q2598" s="1116"/>
      <c r="R2598" s="1141"/>
      <c r="S2598" s="1113"/>
      <c r="T2598" s="1143"/>
      <c r="U2598" s="1108"/>
      <c r="V2598" s="1108"/>
      <c r="W2598" s="1108"/>
      <c r="X2598" s="1108"/>
      <c r="Y2598" s="1108"/>
      <c r="Z2598" s="1114"/>
      <c r="AA2598" s="1114"/>
      <c r="AB2598" s="1114"/>
      <c r="AC2598" s="1117"/>
      <c r="AD2598" s="1115"/>
      <c r="AE2598" s="1115"/>
      <c r="AF2598" s="1115"/>
      <c r="AG2598" s="1115"/>
      <c r="AH2598" s="1115"/>
      <c r="AI2598" s="1115"/>
      <c r="AJ2598" s="1117"/>
      <c r="AK2598" s="1118"/>
      <c r="AL2598" s="1115"/>
      <c r="AM2598" s="1115"/>
      <c r="AN2598" s="1115"/>
      <c r="AO2598" s="1115"/>
      <c r="AP2598" s="1115"/>
      <c r="AQ2598" s="1115"/>
      <c r="AR2598" s="1115"/>
      <c r="AS2598" s="1117"/>
      <c r="AT2598" s="1075"/>
      <c r="AU2598" s="1193"/>
      <c r="AV2598" s="330"/>
      <c r="AW2598" s="331"/>
      <c r="AX2598" s="331"/>
      <c r="AY2598" s="331"/>
      <c r="AZ2598" s="331"/>
      <c r="BA2598" s="331"/>
      <c r="BB2598" s="331"/>
      <c r="BC2598" s="331"/>
      <c r="BD2598" s="331"/>
      <c r="BE2598" s="333"/>
      <c r="BF2598" s="330"/>
      <c r="BG2598" s="333"/>
      <c r="BH2598" s="1119"/>
      <c r="BI2598" s="319"/>
      <c r="BJ2598" s="319"/>
      <c r="BK2598" s="319"/>
      <c r="BL2598" s="319"/>
      <c r="BM2598" s="319"/>
      <c r="BN2598" s="319"/>
      <c r="BO2598" s="319"/>
      <c r="BP2598" s="953"/>
      <c r="BQ2598" s="319"/>
      <c r="BR2598" s="319"/>
      <c r="BS2598" s="330"/>
      <c r="BT2598" s="331"/>
      <c r="BU2598" s="920"/>
      <c r="BV2598" s="903"/>
      <c r="BW2598" s="908"/>
      <c r="BX2598" s="908"/>
      <c r="BY2598" s="331"/>
      <c r="BZ2598" s="331"/>
      <c r="CA2598" s="462"/>
      <c r="CB2598" s="319"/>
      <c r="CC2598" s="319"/>
      <c r="CD2598" s="319"/>
      <c r="CE2598" s="319"/>
      <c r="CF2598" s="319"/>
      <c r="CG2598" s="319"/>
      <c r="CH2598" s="318"/>
      <c r="CI2598" s="319"/>
      <c r="CJ2598" s="319"/>
      <c r="CK2598" s="342"/>
      <c r="CL2598" s="333"/>
      <c r="CM2598" s="1079"/>
      <c r="CN2598" s="1005"/>
      <c r="CO2598" s="1005"/>
      <c r="CP2598" s="1005"/>
    </row>
    <row r="2599">
      <c r="A2599" s="1257"/>
      <c r="B2599" s="1113"/>
      <c r="C2599" s="1107"/>
      <c r="D2599" s="103"/>
      <c r="E2599" s="1137"/>
      <c r="F2599" s="112"/>
      <c r="G2599" s="1110"/>
      <c r="H2599" s="1138"/>
      <c r="I2599" s="1138"/>
      <c r="J2599" s="1139"/>
      <c r="K2599" s="1111"/>
      <c r="L2599" s="1112"/>
      <c r="M2599" s="1113"/>
      <c r="N2599" s="110"/>
      <c r="O2599" s="1140"/>
      <c r="P2599" s="1115"/>
      <c r="Q2599" s="1116"/>
      <c r="R2599" s="1141"/>
      <c r="S2599" s="1113"/>
      <c r="T2599" s="1143"/>
      <c r="U2599" s="1108"/>
      <c r="V2599" s="1108"/>
      <c r="W2599" s="1108"/>
      <c r="X2599" s="1108"/>
      <c r="Y2599" s="1108"/>
      <c r="Z2599" s="1114"/>
      <c r="AA2599" s="1114"/>
      <c r="AB2599" s="1114"/>
      <c r="AC2599" s="1117"/>
      <c r="AD2599" s="1115"/>
      <c r="AE2599" s="1115"/>
      <c r="AF2599" s="1115"/>
      <c r="AG2599" s="1115"/>
      <c r="AH2599" s="1115"/>
      <c r="AI2599" s="1115"/>
      <c r="AJ2599" s="1117"/>
      <c r="AK2599" s="1118"/>
      <c r="AL2599" s="1115"/>
      <c r="AM2599" s="1115"/>
      <c r="AN2599" s="1115"/>
      <c r="AO2599" s="1115"/>
      <c r="AP2599" s="1115"/>
      <c r="AQ2599" s="1115"/>
      <c r="AR2599" s="1115"/>
      <c r="AS2599" s="1117"/>
      <c r="AT2599" s="1075"/>
      <c r="AU2599" s="1193"/>
      <c r="AV2599" s="330"/>
      <c r="AW2599" s="331"/>
      <c r="AX2599" s="331"/>
      <c r="AY2599" s="331"/>
      <c r="AZ2599" s="331"/>
      <c r="BA2599" s="331"/>
      <c r="BB2599" s="331"/>
      <c r="BC2599" s="331"/>
      <c r="BD2599" s="331"/>
      <c r="BE2599" s="333"/>
      <c r="BF2599" s="330"/>
      <c r="BG2599" s="333"/>
      <c r="BH2599" s="1119"/>
      <c r="BI2599" s="319"/>
      <c r="BJ2599" s="319"/>
      <c r="BK2599" s="319"/>
      <c r="BL2599" s="319"/>
      <c r="BM2599" s="319"/>
      <c r="BN2599" s="319"/>
      <c r="BO2599" s="319"/>
      <c r="BP2599" s="953"/>
      <c r="BQ2599" s="319"/>
      <c r="BR2599" s="319"/>
      <c r="BS2599" s="330"/>
      <c r="BT2599" s="331"/>
      <c r="BU2599" s="920"/>
      <c r="BV2599" s="903"/>
      <c r="BW2599" s="908"/>
      <c r="BX2599" s="908"/>
      <c r="BY2599" s="331"/>
      <c r="BZ2599" s="331"/>
      <c r="CA2599" s="462"/>
      <c r="CB2599" s="319"/>
      <c r="CC2599" s="319"/>
      <c r="CD2599" s="319"/>
      <c r="CE2599" s="319"/>
      <c r="CF2599" s="319"/>
      <c r="CG2599" s="319"/>
      <c r="CH2599" s="318"/>
      <c r="CI2599" s="319"/>
      <c r="CJ2599" s="319"/>
      <c r="CK2599" s="342"/>
      <c r="CL2599" s="333"/>
      <c r="CM2599" s="1079"/>
      <c r="CN2599" s="1005"/>
      <c r="CO2599" s="1005"/>
      <c r="CP2599" s="1005"/>
    </row>
    <row r="2600">
      <c r="A2600" s="1257"/>
      <c r="B2600" s="1113"/>
      <c r="C2600" s="1107"/>
      <c r="D2600" s="103"/>
      <c r="E2600" s="1137"/>
      <c r="F2600" s="112"/>
      <c r="G2600" s="1110"/>
      <c r="H2600" s="1138"/>
      <c r="I2600" s="1138"/>
      <c r="J2600" s="1139"/>
      <c r="K2600" s="1111"/>
      <c r="L2600" s="1112"/>
      <c r="M2600" s="1113"/>
      <c r="N2600" s="110"/>
      <c r="O2600" s="1140"/>
      <c r="P2600" s="1115"/>
      <c r="Q2600" s="1116"/>
      <c r="R2600" s="1141"/>
      <c r="S2600" s="1113"/>
      <c r="T2600" s="1143"/>
      <c r="U2600" s="1108"/>
      <c r="V2600" s="1108"/>
      <c r="W2600" s="1108"/>
      <c r="X2600" s="1108"/>
      <c r="Y2600" s="1108"/>
      <c r="Z2600" s="1114"/>
      <c r="AA2600" s="1114"/>
      <c r="AB2600" s="1114"/>
      <c r="AC2600" s="1117"/>
      <c r="AD2600" s="1115"/>
      <c r="AE2600" s="1115"/>
      <c r="AF2600" s="1115"/>
      <c r="AG2600" s="1115"/>
      <c r="AH2600" s="1115"/>
      <c r="AI2600" s="1115"/>
      <c r="AJ2600" s="1117"/>
      <c r="AK2600" s="1118"/>
      <c r="AL2600" s="1115"/>
      <c r="AM2600" s="1115"/>
      <c r="AN2600" s="1115"/>
      <c r="AO2600" s="1115"/>
      <c r="AP2600" s="1115"/>
      <c r="AQ2600" s="1115"/>
      <c r="AR2600" s="1115"/>
      <c r="AS2600" s="1117"/>
      <c r="AT2600" s="1075"/>
      <c r="AU2600" s="1193"/>
      <c r="AV2600" s="330"/>
      <c r="AW2600" s="331"/>
      <c r="AX2600" s="331"/>
      <c r="AY2600" s="331"/>
      <c r="AZ2600" s="331"/>
      <c r="BA2600" s="331"/>
      <c r="BB2600" s="331"/>
      <c r="BC2600" s="331"/>
      <c r="BD2600" s="331"/>
      <c r="BE2600" s="333"/>
      <c r="BF2600" s="330"/>
      <c r="BG2600" s="333"/>
      <c r="BH2600" s="1119"/>
      <c r="BI2600" s="319"/>
      <c r="BJ2600" s="319"/>
      <c r="BK2600" s="319"/>
      <c r="BL2600" s="319"/>
      <c r="BM2600" s="319"/>
      <c r="BN2600" s="319"/>
      <c r="BO2600" s="319"/>
      <c r="BP2600" s="953"/>
      <c r="BQ2600" s="319"/>
      <c r="BR2600" s="319"/>
      <c r="BS2600" s="330"/>
      <c r="BT2600" s="331"/>
      <c r="BU2600" s="920"/>
      <c r="BV2600" s="903"/>
      <c r="BW2600" s="908"/>
      <c r="BX2600" s="908"/>
      <c r="BY2600" s="331"/>
      <c r="BZ2600" s="331"/>
      <c r="CA2600" s="462"/>
      <c r="CB2600" s="319"/>
      <c r="CC2600" s="319"/>
      <c r="CD2600" s="319"/>
      <c r="CE2600" s="319"/>
      <c r="CF2600" s="319"/>
      <c r="CG2600" s="319"/>
      <c r="CH2600" s="318"/>
      <c r="CI2600" s="319"/>
      <c r="CJ2600" s="319"/>
      <c r="CK2600" s="342"/>
      <c r="CL2600" s="333"/>
      <c r="CM2600" s="1079"/>
      <c r="CN2600" s="1005"/>
      <c r="CO2600" s="1005"/>
      <c r="CP2600" s="1005"/>
    </row>
    <row r="2601">
      <c r="A2601" s="1257"/>
      <c r="B2601" s="1113"/>
      <c r="C2601" s="1107"/>
      <c r="D2601" s="103"/>
      <c r="E2601" s="1137"/>
      <c r="F2601" s="112"/>
      <c r="G2601" s="1110"/>
      <c r="H2601" s="1138"/>
      <c r="I2601" s="1138"/>
      <c r="J2601" s="1139"/>
      <c r="K2601" s="1111"/>
      <c r="L2601" s="1112"/>
      <c r="M2601" s="1113"/>
      <c r="N2601" s="110"/>
      <c r="O2601" s="1140"/>
      <c r="P2601" s="1115"/>
      <c r="Q2601" s="1116"/>
      <c r="R2601" s="1141"/>
      <c r="S2601" s="1113"/>
      <c r="T2601" s="1143"/>
      <c r="U2601" s="1108"/>
      <c r="V2601" s="1108"/>
      <c r="W2601" s="1108"/>
      <c r="X2601" s="1108"/>
      <c r="Y2601" s="1108"/>
      <c r="Z2601" s="1114"/>
      <c r="AA2601" s="1114"/>
      <c r="AB2601" s="1114"/>
      <c r="AC2601" s="1117"/>
      <c r="AD2601" s="1115"/>
      <c r="AE2601" s="1115"/>
      <c r="AF2601" s="1115"/>
      <c r="AG2601" s="1115"/>
      <c r="AH2601" s="1115"/>
      <c r="AI2601" s="1115"/>
      <c r="AJ2601" s="1117"/>
      <c r="AK2601" s="1118"/>
      <c r="AL2601" s="1115"/>
      <c r="AM2601" s="1115"/>
      <c r="AN2601" s="1115"/>
      <c r="AO2601" s="1115"/>
      <c r="AP2601" s="1115"/>
      <c r="AQ2601" s="1115"/>
      <c r="AR2601" s="1115"/>
      <c r="AS2601" s="1117"/>
      <c r="AT2601" s="1075"/>
      <c r="AU2601" s="1193"/>
      <c r="AV2601" s="330"/>
      <c r="AW2601" s="331"/>
      <c r="AX2601" s="331"/>
      <c r="AY2601" s="331"/>
      <c r="AZ2601" s="331"/>
      <c r="BA2601" s="331"/>
      <c r="BB2601" s="331"/>
      <c r="BC2601" s="331"/>
      <c r="BD2601" s="331"/>
      <c r="BE2601" s="333"/>
      <c r="BF2601" s="330"/>
      <c r="BG2601" s="333"/>
      <c r="BH2601" s="1119"/>
      <c r="BI2601" s="319"/>
      <c r="BJ2601" s="319"/>
      <c r="BK2601" s="319"/>
      <c r="BL2601" s="319"/>
      <c r="BM2601" s="319"/>
      <c r="BN2601" s="319"/>
      <c r="BO2601" s="319"/>
      <c r="BP2601" s="953"/>
      <c r="BQ2601" s="319"/>
      <c r="BR2601" s="319"/>
      <c r="BS2601" s="330"/>
      <c r="BT2601" s="331"/>
      <c r="BU2601" s="920"/>
      <c r="BV2601" s="903"/>
      <c r="BW2601" s="908"/>
      <c r="BX2601" s="908"/>
      <c r="BY2601" s="331"/>
      <c r="BZ2601" s="331"/>
      <c r="CA2601" s="462"/>
      <c r="CB2601" s="319"/>
      <c r="CC2601" s="319"/>
      <c r="CD2601" s="319"/>
      <c r="CE2601" s="319"/>
      <c r="CF2601" s="319"/>
      <c r="CG2601" s="319"/>
      <c r="CH2601" s="318"/>
      <c r="CI2601" s="319"/>
      <c r="CJ2601" s="319"/>
      <c r="CK2601" s="342"/>
      <c r="CL2601" s="333"/>
      <c r="CM2601" s="1079"/>
      <c r="CN2601" s="1005"/>
      <c r="CO2601" s="1005"/>
      <c r="CP2601" s="1005"/>
    </row>
    <row r="2602">
      <c r="A2602" s="1257"/>
      <c r="B2602" s="1113"/>
      <c r="C2602" s="1107"/>
      <c r="D2602" s="103"/>
      <c r="E2602" s="1137"/>
      <c r="F2602" s="112"/>
      <c r="G2602" s="1110"/>
      <c r="H2602" s="1138"/>
      <c r="I2602" s="1138"/>
      <c r="J2602" s="1139"/>
      <c r="K2602" s="1111"/>
      <c r="L2602" s="1112"/>
      <c r="M2602" s="1113"/>
      <c r="N2602" s="110"/>
      <c r="O2602" s="1140"/>
      <c r="P2602" s="1115"/>
      <c r="Q2602" s="1116"/>
      <c r="R2602" s="1141"/>
      <c r="S2602" s="1113"/>
      <c r="T2602" s="1143"/>
      <c r="U2602" s="1108"/>
      <c r="V2602" s="1108"/>
      <c r="W2602" s="1108"/>
      <c r="X2602" s="1108"/>
      <c r="Y2602" s="1108"/>
      <c r="Z2602" s="1114"/>
      <c r="AA2602" s="1114"/>
      <c r="AB2602" s="1114"/>
      <c r="AC2602" s="1117"/>
      <c r="AD2602" s="1115"/>
      <c r="AE2602" s="1115"/>
      <c r="AF2602" s="1115"/>
      <c r="AG2602" s="1115"/>
      <c r="AH2602" s="1115"/>
      <c r="AI2602" s="1115"/>
      <c r="AJ2602" s="1117"/>
      <c r="AK2602" s="1118"/>
      <c r="AL2602" s="1115"/>
      <c r="AM2602" s="1115"/>
      <c r="AN2602" s="1115"/>
      <c r="AO2602" s="1115"/>
      <c r="AP2602" s="1115"/>
      <c r="AQ2602" s="1115"/>
      <c r="AR2602" s="1115"/>
      <c r="AS2602" s="1117"/>
      <c r="AT2602" s="1075"/>
      <c r="AU2602" s="1193"/>
      <c r="AV2602" s="330"/>
      <c r="AW2602" s="331"/>
      <c r="AX2602" s="331"/>
      <c r="AY2602" s="331"/>
      <c r="AZ2602" s="331"/>
      <c r="BA2602" s="331"/>
      <c r="BB2602" s="331"/>
      <c r="BC2602" s="331"/>
      <c r="BD2602" s="331"/>
      <c r="BE2602" s="333"/>
      <c r="BF2602" s="330"/>
      <c r="BG2602" s="333"/>
      <c r="BH2602" s="1119"/>
      <c r="BI2602" s="319"/>
      <c r="BJ2602" s="319"/>
      <c r="BK2602" s="319"/>
      <c r="BL2602" s="319"/>
      <c r="BM2602" s="319"/>
      <c r="BN2602" s="319"/>
      <c r="BO2602" s="319"/>
      <c r="BP2602" s="953"/>
      <c r="BQ2602" s="319"/>
      <c r="BR2602" s="319"/>
      <c r="BS2602" s="330"/>
      <c r="BT2602" s="331"/>
      <c r="BU2602" s="920"/>
      <c r="BV2602" s="903"/>
      <c r="BW2602" s="908"/>
      <c r="BX2602" s="908"/>
      <c r="BY2602" s="331"/>
      <c r="BZ2602" s="331"/>
      <c r="CA2602" s="462"/>
      <c r="CB2602" s="319"/>
      <c r="CC2602" s="319"/>
      <c r="CD2602" s="319"/>
      <c r="CE2602" s="319"/>
      <c r="CF2602" s="319"/>
      <c r="CG2602" s="319"/>
      <c r="CH2602" s="318"/>
      <c r="CI2602" s="319"/>
      <c r="CJ2602" s="319"/>
      <c r="CK2602" s="342"/>
      <c r="CL2602" s="333"/>
      <c r="CM2602" s="1079"/>
      <c r="CN2602" s="1005"/>
      <c r="CO2602" s="1005"/>
      <c r="CP2602" s="1005"/>
    </row>
    <row r="2603">
      <c r="A2603" s="1257"/>
      <c r="B2603" s="1113"/>
      <c r="C2603" s="1107"/>
      <c r="D2603" s="103"/>
      <c r="E2603" s="1137"/>
      <c r="F2603" s="112"/>
      <c r="G2603" s="1110"/>
      <c r="H2603" s="1138"/>
      <c r="I2603" s="1138"/>
      <c r="J2603" s="1139"/>
      <c r="K2603" s="1111"/>
      <c r="L2603" s="1112"/>
      <c r="M2603" s="1113"/>
      <c r="N2603" s="110"/>
      <c r="O2603" s="1140"/>
      <c r="P2603" s="1115"/>
      <c r="Q2603" s="1116"/>
      <c r="R2603" s="1141"/>
      <c r="S2603" s="1113"/>
      <c r="T2603" s="1143"/>
      <c r="U2603" s="1108"/>
      <c r="V2603" s="1108"/>
      <c r="W2603" s="1108"/>
      <c r="X2603" s="1108"/>
      <c r="Y2603" s="1108"/>
      <c r="Z2603" s="1114"/>
      <c r="AA2603" s="1114"/>
      <c r="AB2603" s="1114"/>
      <c r="AC2603" s="1117"/>
      <c r="AD2603" s="1115"/>
      <c r="AE2603" s="1115"/>
      <c r="AF2603" s="1115"/>
      <c r="AG2603" s="1115"/>
      <c r="AH2603" s="1115"/>
      <c r="AI2603" s="1115"/>
      <c r="AJ2603" s="1117"/>
      <c r="AK2603" s="1118"/>
      <c r="AL2603" s="1115"/>
      <c r="AM2603" s="1115"/>
      <c r="AN2603" s="1115"/>
      <c r="AO2603" s="1115"/>
      <c r="AP2603" s="1115"/>
      <c r="AQ2603" s="1115"/>
      <c r="AR2603" s="1115"/>
      <c r="AS2603" s="1117"/>
      <c r="AT2603" s="1075"/>
      <c r="AU2603" s="1193"/>
      <c r="AV2603" s="330"/>
      <c r="AW2603" s="331"/>
      <c r="AX2603" s="331"/>
      <c r="AY2603" s="331"/>
      <c r="AZ2603" s="331"/>
      <c r="BA2603" s="331"/>
      <c r="BB2603" s="331"/>
      <c r="BC2603" s="331"/>
      <c r="BD2603" s="331"/>
      <c r="BE2603" s="333"/>
      <c r="BF2603" s="330"/>
      <c r="BG2603" s="333"/>
      <c r="BH2603" s="1119"/>
      <c r="BI2603" s="319"/>
      <c r="BJ2603" s="319"/>
      <c r="BK2603" s="319"/>
      <c r="BL2603" s="319"/>
      <c r="BM2603" s="319"/>
      <c r="BN2603" s="319"/>
      <c r="BO2603" s="319"/>
      <c r="BP2603" s="953"/>
      <c r="BQ2603" s="319"/>
      <c r="BR2603" s="319"/>
      <c r="BS2603" s="330"/>
      <c r="BT2603" s="331"/>
      <c r="BU2603" s="920"/>
      <c r="BV2603" s="903"/>
      <c r="BW2603" s="908"/>
      <c r="BX2603" s="908"/>
      <c r="BY2603" s="331"/>
      <c r="BZ2603" s="331"/>
      <c r="CA2603" s="462"/>
      <c r="CB2603" s="319"/>
      <c r="CC2603" s="319"/>
      <c r="CD2603" s="319"/>
      <c r="CE2603" s="319"/>
      <c r="CF2603" s="319"/>
      <c r="CG2603" s="319"/>
      <c r="CH2603" s="318"/>
      <c r="CI2603" s="319"/>
      <c r="CJ2603" s="319"/>
      <c r="CK2603" s="342"/>
      <c r="CL2603" s="333"/>
      <c r="CM2603" s="1079"/>
      <c r="CN2603" s="1005"/>
      <c r="CO2603" s="1005"/>
      <c r="CP2603" s="1005"/>
    </row>
    <row r="2604">
      <c r="A2604" s="1257"/>
      <c r="B2604" s="1113"/>
      <c r="C2604" s="1107"/>
      <c r="D2604" s="103"/>
      <c r="E2604" s="1137"/>
      <c r="F2604" s="112"/>
      <c r="G2604" s="1110"/>
      <c r="H2604" s="1138"/>
      <c r="I2604" s="1138"/>
      <c r="J2604" s="1139"/>
      <c r="K2604" s="1111"/>
      <c r="L2604" s="1112"/>
      <c r="M2604" s="1113"/>
      <c r="N2604" s="110"/>
      <c r="O2604" s="1140"/>
      <c r="P2604" s="1115"/>
      <c r="Q2604" s="1116"/>
      <c r="R2604" s="1141"/>
      <c r="S2604" s="1113"/>
      <c r="T2604" s="1143"/>
      <c r="U2604" s="1108"/>
      <c r="V2604" s="1108"/>
      <c r="W2604" s="1108"/>
      <c r="X2604" s="1108"/>
      <c r="Y2604" s="1108"/>
      <c r="Z2604" s="1114"/>
      <c r="AA2604" s="1114"/>
      <c r="AB2604" s="1114"/>
      <c r="AC2604" s="1117"/>
      <c r="AD2604" s="1115"/>
      <c r="AE2604" s="1115"/>
      <c r="AF2604" s="1115"/>
      <c r="AG2604" s="1115"/>
      <c r="AH2604" s="1115"/>
      <c r="AI2604" s="1115"/>
      <c r="AJ2604" s="1117"/>
      <c r="AK2604" s="1118"/>
      <c r="AL2604" s="1115"/>
      <c r="AM2604" s="1115"/>
      <c r="AN2604" s="1115"/>
      <c r="AO2604" s="1115"/>
      <c r="AP2604" s="1115"/>
      <c r="AQ2604" s="1115"/>
      <c r="AR2604" s="1115"/>
      <c r="AS2604" s="1117"/>
      <c r="AT2604" s="1075"/>
      <c r="AU2604" s="1193"/>
      <c r="AV2604" s="330"/>
      <c r="AW2604" s="331"/>
      <c r="AX2604" s="331"/>
      <c r="AY2604" s="331"/>
      <c r="AZ2604" s="331"/>
      <c r="BA2604" s="331"/>
      <c r="BB2604" s="331"/>
      <c r="BC2604" s="331"/>
      <c r="BD2604" s="331"/>
      <c r="BE2604" s="333"/>
      <c r="BF2604" s="330"/>
      <c r="BG2604" s="333"/>
      <c r="BH2604" s="1119"/>
      <c r="BI2604" s="319"/>
      <c r="BJ2604" s="319"/>
      <c r="BK2604" s="319"/>
      <c r="BL2604" s="319"/>
      <c r="BM2604" s="319"/>
      <c r="BN2604" s="319"/>
      <c r="BO2604" s="319"/>
      <c r="BP2604" s="953"/>
      <c r="BQ2604" s="319"/>
      <c r="BR2604" s="319"/>
      <c r="BS2604" s="330"/>
      <c r="BT2604" s="331"/>
      <c r="BU2604" s="920"/>
      <c r="BV2604" s="903"/>
      <c r="BW2604" s="908"/>
      <c r="BX2604" s="908"/>
      <c r="BY2604" s="331"/>
      <c r="BZ2604" s="331"/>
      <c r="CA2604" s="462"/>
      <c r="CB2604" s="319"/>
      <c r="CC2604" s="319"/>
      <c r="CD2604" s="319"/>
      <c r="CE2604" s="319"/>
      <c r="CF2604" s="319"/>
      <c r="CG2604" s="319"/>
      <c r="CH2604" s="318"/>
      <c r="CI2604" s="319"/>
      <c r="CJ2604" s="319"/>
      <c r="CK2604" s="342"/>
      <c r="CL2604" s="333"/>
      <c r="CM2604" s="1079"/>
      <c r="CN2604" s="1005"/>
      <c r="CO2604" s="1005"/>
      <c r="CP2604" s="1005"/>
    </row>
    <row r="2605">
      <c r="A2605" s="1257"/>
      <c r="B2605" s="1113"/>
      <c r="C2605" s="1107"/>
      <c r="D2605" s="103"/>
      <c r="E2605" s="1137"/>
      <c r="F2605" s="112"/>
      <c r="G2605" s="1110"/>
      <c r="H2605" s="1138"/>
      <c r="I2605" s="1138"/>
      <c r="J2605" s="1139"/>
      <c r="K2605" s="1111"/>
      <c r="L2605" s="1112"/>
      <c r="M2605" s="1113"/>
      <c r="N2605" s="110"/>
      <c r="O2605" s="1140"/>
      <c r="P2605" s="1115"/>
      <c r="Q2605" s="1116"/>
      <c r="R2605" s="1141"/>
      <c r="S2605" s="1113"/>
      <c r="T2605" s="1143"/>
      <c r="U2605" s="1108"/>
      <c r="V2605" s="1108"/>
      <c r="W2605" s="1108"/>
      <c r="X2605" s="1108"/>
      <c r="Y2605" s="1108"/>
      <c r="Z2605" s="1114"/>
      <c r="AA2605" s="1114"/>
      <c r="AB2605" s="1114"/>
      <c r="AC2605" s="1117"/>
      <c r="AD2605" s="1115"/>
      <c r="AE2605" s="1115"/>
      <c r="AF2605" s="1115"/>
      <c r="AG2605" s="1115"/>
      <c r="AH2605" s="1115"/>
      <c r="AI2605" s="1115"/>
      <c r="AJ2605" s="1117"/>
      <c r="AK2605" s="1118"/>
      <c r="AL2605" s="1115"/>
      <c r="AM2605" s="1115"/>
      <c r="AN2605" s="1115"/>
      <c r="AO2605" s="1115"/>
      <c r="AP2605" s="1115"/>
      <c r="AQ2605" s="1115"/>
      <c r="AR2605" s="1115"/>
      <c r="AS2605" s="1117"/>
      <c r="AT2605" s="1075"/>
      <c r="AU2605" s="1193"/>
      <c r="AV2605" s="330"/>
      <c r="AW2605" s="331"/>
      <c r="AX2605" s="331"/>
      <c r="AY2605" s="331"/>
      <c r="AZ2605" s="331"/>
      <c r="BA2605" s="331"/>
      <c r="BB2605" s="331"/>
      <c r="BC2605" s="331"/>
      <c r="BD2605" s="331"/>
      <c r="BE2605" s="333"/>
      <c r="BF2605" s="330"/>
      <c r="BG2605" s="333"/>
      <c r="BH2605" s="1119"/>
      <c r="BI2605" s="319"/>
      <c r="BJ2605" s="319"/>
      <c r="BK2605" s="319"/>
      <c r="BL2605" s="319"/>
      <c r="BM2605" s="319"/>
      <c r="BN2605" s="319"/>
      <c r="BO2605" s="319"/>
      <c r="BP2605" s="953"/>
      <c r="BQ2605" s="319"/>
      <c r="BR2605" s="319"/>
      <c r="BS2605" s="330"/>
      <c r="BT2605" s="331"/>
      <c r="BU2605" s="920"/>
      <c r="BV2605" s="903"/>
      <c r="BW2605" s="908"/>
      <c r="BX2605" s="908"/>
      <c r="BY2605" s="331"/>
      <c r="BZ2605" s="331"/>
      <c r="CA2605" s="462"/>
      <c r="CB2605" s="319"/>
      <c r="CC2605" s="319"/>
      <c r="CD2605" s="319"/>
      <c r="CE2605" s="319"/>
      <c r="CF2605" s="319"/>
      <c r="CG2605" s="319"/>
      <c r="CH2605" s="318"/>
      <c r="CI2605" s="319"/>
      <c r="CJ2605" s="319"/>
      <c r="CK2605" s="342"/>
      <c r="CL2605" s="333"/>
      <c r="CM2605" s="1079"/>
      <c r="CN2605" s="1005"/>
      <c r="CO2605" s="1005"/>
      <c r="CP2605" s="1005"/>
    </row>
    <row r="2606">
      <c r="A2606" s="1257"/>
      <c r="B2606" s="1113"/>
      <c r="C2606" s="1107"/>
      <c r="D2606" s="103"/>
      <c r="E2606" s="1137"/>
      <c r="F2606" s="112"/>
      <c r="G2606" s="1110"/>
      <c r="H2606" s="1138"/>
      <c r="I2606" s="1138"/>
      <c r="J2606" s="1139"/>
      <c r="K2606" s="1111"/>
      <c r="L2606" s="1112"/>
      <c r="M2606" s="1113"/>
      <c r="N2606" s="110"/>
      <c r="O2606" s="1140"/>
      <c r="P2606" s="1115"/>
      <c r="Q2606" s="1116"/>
      <c r="R2606" s="1141"/>
      <c r="S2606" s="1113"/>
      <c r="T2606" s="1143"/>
      <c r="U2606" s="1108"/>
      <c r="V2606" s="1108"/>
      <c r="W2606" s="1108"/>
      <c r="X2606" s="1108"/>
      <c r="Y2606" s="1108"/>
      <c r="Z2606" s="1114"/>
      <c r="AA2606" s="1114"/>
      <c r="AB2606" s="1114"/>
      <c r="AC2606" s="1117"/>
      <c r="AD2606" s="1115"/>
      <c r="AE2606" s="1115"/>
      <c r="AF2606" s="1115"/>
      <c r="AG2606" s="1115"/>
      <c r="AH2606" s="1115"/>
      <c r="AI2606" s="1115"/>
      <c r="AJ2606" s="1117"/>
      <c r="AK2606" s="1118"/>
      <c r="AL2606" s="1115"/>
      <c r="AM2606" s="1115"/>
      <c r="AN2606" s="1115"/>
      <c r="AO2606" s="1115"/>
      <c r="AP2606" s="1115"/>
      <c r="AQ2606" s="1115"/>
      <c r="AR2606" s="1115"/>
      <c r="AS2606" s="1117"/>
      <c r="AT2606" s="1075"/>
      <c r="AU2606" s="1193"/>
      <c r="AV2606" s="330"/>
      <c r="AW2606" s="331"/>
      <c r="AX2606" s="331"/>
      <c r="AY2606" s="331"/>
      <c r="AZ2606" s="331"/>
      <c r="BA2606" s="331"/>
      <c r="BB2606" s="331"/>
      <c r="BC2606" s="331"/>
      <c r="BD2606" s="331"/>
      <c r="BE2606" s="333"/>
      <c r="BF2606" s="330"/>
      <c r="BG2606" s="333"/>
      <c r="BH2606" s="1119"/>
      <c r="BI2606" s="319"/>
      <c r="BJ2606" s="319"/>
      <c r="BK2606" s="319"/>
      <c r="BL2606" s="319"/>
      <c r="BM2606" s="319"/>
      <c r="BN2606" s="319"/>
      <c r="BO2606" s="319"/>
      <c r="BP2606" s="953"/>
      <c r="BQ2606" s="319"/>
      <c r="BR2606" s="319"/>
      <c r="BS2606" s="330"/>
      <c r="BT2606" s="331"/>
      <c r="BU2606" s="920"/>
      <c r="BV2606" s="903"/>
      <c r="BW2606" s="908"/>
      <c r="BX2606" s="908"/>
      <c r="BY2606" s="331"/>
      <c r="BZ2606" s="331"/>
      <c r="CA2606" s="462"/>
      <c r="CB2606" s="319"/>
      <c r="CC2606" s="319"/>
      <c r="CD2606" s="319"/>
      <c r="CE2606" s="319"/>
      <c r="CF2606" s="319"/>
      <c r="CG2606" s="319"/>
      <c r="CH2606" s="318"/>
      <c r="CI2606" s="319"/>
      <c r="CJ2606" s="319"/>
      <c r="CK2606" s="342"/>
      <c r="CL2606" s="333"/>
      <c r="CM2606" s="1079"/>
      <c r="CN2606" s="1005"/>
      <c r="CO2606" s="1005"/>
      <c r="CP2606" s="1005"/>
    </row>
    <row r="2607">
      <c r="A2607" s="1257"/>
      <c r="B2607" s="1113"/>
      <c r="C2607" s="1107"/>
      <c r="D2607" s="103"/>
      <c r="E2607" s="1137"/>
      <c r="F2607" s="112"/>
      <c r="G2607" s="1110"/>
      <c r="H2607" s="1138"/>
      <c r="I2607" s="1138"/>
      <c r="J2607" s="1139"/>
      <c r="K2607" s="1111"/>
      <c r="L2607" s="1112"/>
      <c r="M2607" s="1113"/>
      <c r="N2607" s="110"/>
      <c r="O2607" s="1140"/>
      <c r="P2607" s="1115"/>
      <c r="Q2607" s="1116"/>
      <c r="R2607" s="1141"/>
      <c r="S2607" s="1113"/>
      <c r="T2607" s="1143"/>
      <c r="U2607" s="1108"/>
      <c r="V2607" s="1108"/>
      <c r="W2607" s="1108"/>
      <c r="X2607" s="1108"/>
      <c r="Y2607" s="1108"/>
      <c r="Z2607" s="1114"/>
      <c r="AA2607" s="1114"/>
      <c r="AB2607" s="1114"/>
      <c r="AC2607" s="1117"/>
      <c r="AD2607" s="1115"/>
      <c r="AE2607" s="1115"/>
      <c r="AF2607" s="1115"/>
      <c r="AG2607" s="1115"/>
      <c r="AH2607" s="1115"/>
      <c r="AI2607" s="1115"/>
      <c r="AJ2607" s="1117"/>
      <c r="AK2607" s="1118"/>
      <c r="AL2607" s="1115"/>
      <c r="AM2607" s="1115"/>
      <c r="AN2607" s="1115"/>
      <c r="AO2607" s="1115"/>
      <c r="AP2607" s="1115"/>
      <c r="AQ2607" s="1115"/>
      <c r="AR2607" s="1115"/>
      <c r="AS2607" s="1117"/>
      <c r="AT2607" s="1075"/>
      <c r="AU2607" s="1193"/>
      <c r="AV2607" s="330"/>
      <c r="AW2607" s="331"/>
      <c r="AX2607" s="331"/>
      <c r="AY2607" s="331"/>
      <c r="AZ2607" s="331"/>
      <c r="BA2607" s="331"/>
      <c r="BB2607" s="331"/>
      <c r="BC2607" s="331"/>
      <c r="BD2607" s="331"/>
      <c r="BE2607" s="333"/>
      <c r="BF2607" s="330"/>
      <c r="BG2607" s="333"/>
      <c r="BH2607" s="1119"/>
      <c r="BI2607" s="319"/>
      <c r="BJ2607" s="319"/>
      <c r="BK2607" s="319"/>
      <c r="BL2607" s="319"/>
      <c r="BM2607" s="319"/>
      <c r="BN2607" s="319"/>
      <c r="BO2607" s="319"/>
      <c r="BP2607" s="953"/>
      <c r="BQ2607" s="319"/>
      <c r="BR2607" s="319"/>
      <c r="BS2607" s="330"/>
      <c r="BT2607" s="331"/>
      <c r="BU2607" s="920"/>
      <c r="BV2607" s="903"/>
      <c r="BW2607" s="908"/>
      <c r="BX2607" s="908"/>
      <c r="BY2607" s="331"/>
      <c r="BZ2607" s="331"/>
      <c r="CA2607" s="462"/>
      <c r="CB2607" s="319"/>
      <c r="CC2607" s="319"/>
      <c r="CD2607" s="319"/>
      <c r="CE2607" s="319"/>
      <c r="CF2607" s="319"/>
      <c r="CG2607" s="319"/>
      <c r="CH2607" s="318"/>
      <c r="CI2607" s="319"/>
      <c r="CJ2607" s="319"/>
      <c r="CK2607" s="342"/>
      <c r="CL2607" s="333"/>
      <c r="CM2607" s="1079"/>
      <c r="CN2607" s="1005"/>
      <c r="CO2607" s="1005"/>
      <c r="CP2607" s="1005"/>
    </row>
    <row r="2608">
      <c r="A2608" s="1257"/>
      <c r="B2608" s="1113"/>
      <c r="C2608" s="1107"/>
      <c r="D2608" s="103"/>
      <c r="E2608" s="1137"/>
      <c r="F2608" s="112"/>
      <c r="G2608" s="1110"/>
      <c r="H2608" s="1138"/>
      <c r="I2608" s="1138"/>
      <c r="J2608" s="1139"/>
      <c r="K2608" s="1111"/>
      <c r="L2608" s="1112"/>
      <c r="M2608" s="1113"/>
      <c r="N2608" s="110"/>
      <c r="O2608" s="1140"/>
      <c r="P2608" s="1115"/>
      <c r="Q2608" s="1116"/>
      <c r="R2608" s="1141"/>
      <c r="S2608" s="1113"/>
      <c r="T2608" s="1143"/>
      <c r="U2608" s="1108"/>
      <c r="V2608" s="1108"/>
      <c r="W2608" s="1108"/>
      <c r="X2608" s="1108"/>
      <c r="Y2608" s="1108"/>
      <c r="Z2608" s="1114"/>
      <c r="AA2608" s="1114"/>
      <c r="AB2608" s="1114"/>
      <c r="AC2608" s="1117"/>
      <c r="AD2608" s="1115"/>
      <c r="AE2608" s="1115"/>
      <c r="AF2608" s="1115"/>
      <c r="AG2608" s="1115"/>
      <c r="AH2608" s="1115"/>
      <c r="AI2608" s="1115"/>
      <c r="AJ2608" s="1117"/>
      <c r="AK2608" s="1118"/>
      <c r="AL2608" s="1115"/>
      <c r="AM2608" s="1115"/>
      <c r="AN2608" s="1115"/>
      <c r="AO2608" s="1115"/>
      <c r="AP2608" s="1115"/>
      <c r="AQ2608" s="1115"/>
      <c r="AR2608" s="1115"/>
      <c r="AS2608" s="1117"/>
      <c r="AT2608" s="1075"/>
      <c r="AU2608" s="1193"/>
      <c r="AV2608" s="330"/>
      <c r="AW2608" s="331"/>
      <c r="AX2608" s="331"/>
      <c r="AY2608" s="331"/>
      <c r="AZ2608" s="331"/>
      <c r="BA2608" s="331"/>
      <c r="BB2608" s="331"/>
      <c r="BC2608" s="331"/>
      <c r="BD2608" s="331"/>
      <c r="BE2608" s="333"/>
      <c r="BF2608" s="330"/>
      <c r="BG2608" s="333"/>
      <c r="BH2608" s="1119"/>
      <c r="BI2608" s="319"/>
      <c r="BJ2608" s="319"/>
      <c r="BK2608" s="319"/>
      <c r="BL2608" s="319"/>
      <c r="BM2608" s="319"/>
      <c r="BN2608" s="319"/>
      <c r="BO2608" s="319"/>
      <c r="BP2608" s="953"/>
      <c r="BQ2608" s="319"/>
      <c r="BR2608" s="319"/>
      <c r="BS2608" s="330"/>
      <c r="BT2608" s="331"/>
      <c r="BU2608" s="920"/>
      <c r="BV2608" s="903"/>
      <c r="BW2608" s="908"/>
      <c r="BX2608" s="908"/>
      <c r="BY2608" s="331"/>
      <c r="BZ2608" s="331"/>
      <c r="CA2608" s="462"/>
      <c r="CB2608" s="319"/>
      <c r="CC2608" s="319"/>
      <c r="CD2608" s="319"/>
      <c r="CE2608" s="319"/>
      <c r="CF2608" s="319"/>
      <c r="CG2608" s="319"/>
      <c r="CH2608" s="318"/>
      <c r="CI2608" s="319"/>
      <c r="CJ2608" s="319"/>
      <c r="CK2608" s="342"/>
      <c r="CL2608" s="333"/>
      <c r="CM2608" s="1079"/>
      <c r="CN2608" s="1005"/>
      <c r="CO2608" s="1005"/>
      <c r="CP2608" s="1005"/>
    </row>
    <row r="2609">
      <c r="A2609" s="1257"/>
      <c r="B2609" s="1113"/>
      <c r="C2609" s="1107"/>
      <c r="D2609" s="103"/>
      <c r="E2609" s="1137"/>
      <c r="F2609" s="112"/>
      <c r="G2609" s="1110"/>
      <c r="H2609" s="1138"/>
      <c r="I2609" s="1138"/>
      <c r="J2609" s="1139"/>
      <c r="K2609" s="1111"/>
      <c r="L2609" s="1112"/>
      <c r="M2609" s="1113"/>
      <c r="N2609" s="110"/>
      <c r="O2609" s="1140"/>
      <c r="P2609" s="1115"/>
      <c r="Q2609" s="1116"/>
      <c r="R2609" s="1141"/>
      <c r="S2609" s="1113"/>
      <c r="T2609" s="1143"/>
      <c r="U2609" s="1108"/>
      <c r="V2609" s="1108"/>
      <c r="W2609" s="1108"/>
      <c r="X2609" s="1108"/>
      <c r="Y2609" s="1108"/>
      <c r="Z2609" s="1114"/>
      <c r="AA2609" s="1114"/>
      <c r="AB2609" s="1114"/>
      <c r="AC2609" s="1117"/>
      <c r="AD2609" s="1115"/>
      <c r="AE2609" s="1115"/>
      <c r="AF2609" s="1115"/>
      <c r="AG2609" s="1115"/>
      <c r="AH2609" s="1115"/>
      <c r="AI2609" s="1115"/>
      <c r="AJ2609" s="1117"/>
      <c r="AK2609" s="1118"/>
      <c r="AL2609" s="1115"/>
      <c r="AM2609" s="1115"/>
      <c r="AN2609" s="1115"/>
      <c r="AO2609" s="1115"/>
      <c r="AP2609" s="1115"/>
      <c r="AQ2609" s="1115"/>
      <c r="AR2609" s="1115"/>
      <c r="AS2609" s="1117"/>
      <c r="AT2609" s="1075"/>
      <c r="AU2609" s="1193"/>
      <c r="AV2609" s="330"/>
      <c r="AW2609" s="331"/>
      <c r="AX2609" s="331"/>
      <c r="AY2609" s="331"/>
      <c r="AZ2609" s="331"/>
      <c r="BA2609" s="331"/>
      <c r="BB2609" s="331"/>
      <c r="BC2609" s="331"/>
      <c r="BD2609" s="331"/>
      <c r="BE2609" s="333"/>
      <c r="BF2609" s="330"/>
      <c r="BG2609" s="333"/>
      <c r="BH2609" s="1119"/>
      <c r="BI2609" s="319"/>
      <c r="BJ2609" s="319"/>
      <c r="BK2609" s="319"/>
      <c r="BL2609" s="319"/>
      <c r="BM2609" s="319"/>
      <c r="BN2609" s="319"/>
      <c r="BO2609" s="319"/>
      <c r="BP2609" s="953"/>
      <c r="BQ2609" s="319"/>
      <c r="BR2609" s="319"/>
      <c r="BS2609" s="330"/>
      <c r="BT2609" s="331"/>
      <c r="BU2609" s="920"/>
      <c r="BV2609" s="903"/>
      <c r="BW2609" s="908"/>
      <c r="BX2609" s="908"/>
      <c r="BY2609" s="331"/>
      <c r="BZ2609" s="331"/>
      <c r="CA2609" s="462"/>
      <c r="CB2609" s="319"/>
      <c r="CC2609" s="319"/>
      <c r="CD2609" s="319"/>
      <c r="CE2609" s="319"/>
      <c r="CF2609" s="319"/>
      <c r="CG2609" s="319"/>
      <c r="CH2609" s="318"/>
      <c r="CI2609" s="319"/>
      <c r="CJ2609" s="319"/>
      <c r="CK2609" s="342"/>
      <c r="CL2609" s="333"/>
      <c r="CM2609" s="1079"/>
      <c r="CN2609" s="1005"/>
      <c r="CO2609" s="1005"/>
      <c r="CP2609" s="1005"/>
    </row>
    <row r="2610">
      <c r="A2610" s="1257"/>
      <c r="B2610" s="1113"/>
      <c r="C2610" s="1107"/>
      <c r="D2610" s="103"/>
      <c r="E2610" s="1137"/>
      <c r="F2610" s="112"/>
      <c r="G2610" s="1110"/>
      <c r="H2610" s="1138"/>
      <c r="I2610" s="1138"/>
      <c r="J2610" s="1139"/>
      <c r="K2610" s="1111"/>
      <c r="L2610" s="1112"/>
      <c r="M2610" s="1113"/>
      <c r="N2610" s="110"/>
      <c r="O2610" s="1140"/>
      <c r="P2610" s="1115"/>
      <c r="Q2610" s="1116"/>
      <c r="R2610" s="1141"/>
      <c r="S2610" s="1113"/>
      <c r="T2610" s="1143"/>
      <c r="U2610" s="1108"/>
      <c r="V2610" s="1108"/>
      <c r="W2610" s="1108"/>
      <c r="X2610" s="1108"/>
      <c r="Y2610" s="1108"/>
      <c r="Z2610" s="1114"/>
      <c r="AA2610" s="1114"/>
      <c r="AB2610" s="1114"/>
      <c r="AC2610" s="1117"/>
      <c r="AD2610" s="1115"/>
      <c r="AE2610" s="1115"/>
      <c r="AF2610" s="1115"/>
      <c r="AG2610" s="1115"/>
      <c r="AH2610" s="1115"/>
      <c r="AI2610" s="1115"/>
      <c r="AJ2610" s="1117"/>
      <c r="AK2610" s="1118"/>
      <c r="AL2610" s="1115"/>
      <c r="AM2610" s="1115"/>
      <c r="AN2610" s="1115"/>
      <c r="AO2610" s="1115"/>
      <c r="AP2610" s="1115"/>
      <c r="AQ2610" s="1115"/>
      <c r="AR2610" s="1115"/>
      <c r="AS2610" s="1117"/>
      <c r="AT2610" s="1075"/>
      <c r="AU2610" s="1193"/>
      <c r="AV2610" s="330"/>
      <c r="AW2610" s="331"/>
      <c r="AX2610" s="331"/>
      <c r="AY2610" s="331"/>
      <c r="AZ2610" s="331"/>
      <c r="BA2610" s="331"/>
      <c r="BB2610" s="331"/>
      <c r="BC2610" s="331"/>
      <c r="BD2610" s="331"/>
      <c r="BE2610" s="333"/>
      <c r="BF2610" s="330"/>
      <c r="BG2610" s="333"/>
      <c r="BH2610" s="1119"/>
      <c r="BI2610" s="319"/>
      <c r="BJ2610" s="319"/>
      <c r="BK2610" s="319"/>
      <c r="BL2610" s="319"/>
      <c r="BM2610" s="319"/>
      <c r="BN2610" s="319"/>
      <c r="BO2610" s="319"/>
      <c r="BP2610" s="953"/>
      <c r="BQ2610" s="319"/>
      <c r="BR2610" s="319"/>
      <c r="BS2610" s="330"/>
      <c r="BT2610" s="331"/>
      <c r="BU2610" s="920"/>
      <c r="BV2610" s="903"/>
      <c r="BW2610" s="908"/>
      <c r="BX2610" s="908"/>
      <c r="BY2610" s="331"/>
      <c r="BZ2610" s="331"/>
      <c r="CA2610" s="462"/>
      <c r="CB2610" s="319"/>
      <c r="CC2610" s="319"/>
      <c r="CD2610" s="319"/>
      <c r="CE2610" s="319"/>
      <c r="CF2610" s="319"/>
      <c r="CG2610" s="319"/>
      <c r="CH2610" s="318"/>
      <c r="CI2610" s="319"/>
      <c r="CJ2610" s="319"/>
      <c r="CK2610" s="342"/>
      <c r="CL2610" s="333"/>
      <c r="CM2610" s="1079"/>
      <c r="CN2610" s="1005"/>
      <c r="CO2610" s="1005"/>
      <c r="CP2610" s="1005"/>
    </row>
    <row r="2611">
      <c r="A2611" s="1257"/>
      <c r="B2611" s="1113"/>
      <c r="C2611" s="1107"/>
      <c r="D2611" s="103"/>
      <c r="E2611" s="1137"/>
      <c r="F2611" s="112"/>
      <c r="G2611" s="1110"/>
      <c r="H2611" s="1138"/>
      <c r="I2611" s="1138"/>
      <c r="J2611" s="1139"/>
      <c r="K2611" s="1111"/>
      <c r="L2611" s="1112"/>
      <c r="M2611" s="1113"/>
      <c r="N2611" s="110"/>
      <c r="O2611" s="1140"/>
      <c r="P2611" s="1115"/>
      <c r="Q2611" s="1116"/>
      <c r="R2611" s="1141"/>
      <c r="S2611" s="1113"/>
      <c r="T2611" s="1143"/>
      <c r="U2611" s="1108"/>
      <c r="V2611" s="1108"/>
      <c r="W2611" s="1108"/>
      <c r="X2611" s="1108"/>
      <c r="Y2611" s="1108"/>
      <c r="Z2611" s="1114"/>
      <c r="AA2611" s="1114"/>
      <c r="AB2611" s="1114"/>
      <c r="AC2611" s="1117"/>
      <c r="AD2611" s="1115"/>
      <c r="AE2611" s="1115"/>
      <c r="AF2611" s="1115"/>
      <c r="AG2611" s="1115"/>
      <c r="AH2611" s="1115"/>
      <c r="AI2611" s="1115"/>
      <c r="AJ2611" s="1117"/>
      <c r="AK2611" s="1118"/>
      <c r="AL2611" s="1115"/>
      <c r="AM2611" s="1115"/>
      <c r="AN2611" s="1115"/>
      <c r="AO2611" s="1115"/>
      <c r="AP2611" s="1115"/>
      <c r="AQ2611" s="1115"/>
      <c r="AR2611" s="1115"/>
      <c r="AS2611" s="1117"/>
      <c r="AT2611" s="1075"/>
      <c r="AU2611" s="1193"/>
      <c r="AV2611" s="330"/>
      <c r="AW2611" s="331"/>
      <c r="AX2611" s="331"/>
      <c r="AY2611" s="331"/>
      <c r="AZ2611" s="331"/>
      <c r="BA2611" s="331"/>
      <c r="BB2611" s="331"/>
      <c r="BC2611" s="331"/>
      <c r="BD2611" s="331"/>
      <c r="BE2611" s="333"/>
      <c r="BF2611" s="330"/>
      <c r="BG2611" s="333"/>
      <c r="BH2611" s="1119"/>
      <c r="BI2611" s="319"/>
      <c r="BJ2611" s="319"/>
      <c r="BK2611" s="319"/>
      <c r="BL2611" s="319"/>
      <c r="BM2611" s="319"/>
      <c r="BN2611" s="319"/>
      <c r="BO2611" s="319"/>
      <c r="BP2611" s="953"/>
      <c r="BQ2611" s="319"/>
      <c r="BR2611" s="319"/>
      <c r="BS2611" s="330"/>
      <c r="BT2611" s="331"/>
      <c r="BU2611" s="920"/>
      <c r="BV2611" s="903"/>
      <c r="BW2611" s="908"/>
      <c r="BX2611" s="908"/>
      <c r="BY2611" s="331"/>
      <c r="BZ2611" s="331"/>
      <c r="CA2611" s="462"/>
      <c r="CB2611" s="319"/>
      <c r="CC2611" s="319"/>
      <c r="CD2611" s="319"/>
      <c r="CE2611" s="319"/>
      <c r="CF2611" s="319"/>
      <c r="CG2611" s="319"/>
      <c r="CH2611" s="318"/>
      <c r="CI2611" s="319"/>
      <c r="CJ2611" s="319"/>
      <c r="CK2611" s="342"/>
      <c r="CL2611" s="333"/>
      <c r="CM2611" s="1079"/>
      <c r="CN2611" s="1005"/>
      <c r="CO2611" s="1005"/>
      <c r="CP2611" s="1005"/>
    </row>
    <row r="2612">
      <c r="A2612" s="1257"/>
      <c r="B2612" s="1113"/>
      <c r="C2612" s="1107"/>
      <c r="D2612" s="103"/>
      <c r="E2612" s="1137"/>
      <c r="F2612" s="112"/>
      <c r="G2612" s="1110"/>
      <c r="H2612" s="1138"/>
      <c r="I2612" s="1138"/>
      <c r="J2612" s="1139"/>
      <c r="K2612" s="1111"/>
      <c r="L2612" s="1112"/>
      <c r="M2612" s="1113"/>
      <c r="N2612" s="110"/>
      <c r="O2612" s="1140"/>
      <c r="P2612" s="1115"/>
      <c r="Q2612" s="1116"/>
      <c r="R2612" s="1141"/>
      <c r="S2612" s="1113"/>
      <c r="T2612" s="1143"/>
      <c r="U2612" s="1108"/>
      <c r="V2612" s="1108"/>
      <c r="W2612" s="1108"/>
      <c r="X2612" s="1108"/>
      <c r="Y2612" s="1108"/>
      <c r="Z2612" s="1114"/>
      <c r="AA2612" s="1114"/>
      <c r="AB2612" s="1114"/>
      <c r="AC2612" s="1117"/>
      <c r="AD2612" s="1115"/>
      <c r="AE2612" s="1115"/>
      <c r="AF2612" s="1115"/>
      <c r="AG2612" s="1115"/>
      <c r="AH2612" s="1115"/>
      <c r="AI2612" s="1115"/>
      <c r="AJ2612" s="1117"/>
      <c r="AK2612" s="1118"/>
      <c r="AL2612" s="1115"/>
      <c r="AM2612" s="1115"/>
      <c r="AN2612" s="1115"/>
      <c r="AO2612" s="1115"/>
      <c r="AP2612" s="1115"/>
      <c r="AQ2612" s="1115"/>
      <c r="AR2612" s="1115"/>
      <c r="AS2612" s="1117"/>
      <c r="AT2612" s="1075"/>
      <c r="AU2612" s="1193"/>
      <c r="AV2612" s="330"/>
      <c r="AW2612" s="331"/>
      <c r="AX2612" s="331"/>
      <c r="AY2612" s="331"/>
      <c r="AZ2612" s="331"/>
      <c r="BA2612" s="331"/>
      <c r="BB2612" s="331"/>
      <c r="BC2612" s="331"/>
      <c r="BD2612" s="331"/>
      <c r="BE2612" s="333"/>
      <c r="BF2612" s="330"/>
      <c r="BG2612" s="333"/>
      <c r="BH2612" s="1119"/>
      <c r="BI2612" s="319"/>
      <c r="BJ2612" s="319"/>
      <c r="BK2612" s="319"/>
      <c r="BL2612" s="319"/>
      <c r="BM2612" s="319"/>
      <c r="BN2612" s="319"/>
      <c r="BO2612" s="319"/>
      <c r="BP2612" s="953"/>
      <c r="BQ2612" s="319"/>
      <c r="BR2612" s="319"/>
      <c r="BS2612" s="330"/>
      <c r="BT2612" s="331"/>
      <c r="BU2612" s="920"/>
      <c r="BV2612" s="903"/>
      <c r="BW2612" s="908"/>
      <c r="BX2612" s="908"/>
      <c r="BY2612" s="331"/>
      <c r="BZ2612" s="331"/>
      <c r="CA2612" s="462"/>
      <c r="CB2612" s="319"/>
      <c r="CC2612" s="319"/>
      <c r="CD2612" s="319"/>
      <c r="CE2612" s="319"/>
      <c r="CF2612" s="319"/>
      <c r="CG2612" s="319"/>
      <c r="CH2612" s="318"/>
      <c r="CI2612" s="319"/>
      <c r="CJ2612" s="319"/>
      <c r="CK2612" s="342"/>
      <c r="CL2612" s="333"/>
      <c r="CM2612" s="1079"/>
      <c r="CN2612" s="1005"/>
      <c r="CO2612" s="1005"/>
      <c r="CP2612" s="1005"/>
    </row>
    <row r="2613">
      <c r="A2613" s="1257"/>
      <c r="B2613" s="1113"/>
      <c r="C2613" s="1107"/>
      <c r="D2613" s="103"/>
      <c r="E2613" s="1137"/>
      <c r="F2613" s="112"/>
      <c r="G2613" s="1110"/>
      <c r="H2613" s="1138"/>
      <c r="I2613" s="1138"/>
      <c r="J2613" s="1139"/>
      <c r="K2613" s="1111"/>
      <c r="L2613" s="1112"/>
      <c r="M2613" s="1113"/>
      <c r="N2613" s="110"/>
      <c r="O2613" s="1140"/>
      <c r="P2613" s="1115"/>
      <c r="Q2613" s="1116"/>
      <c r="R2613" s="1141"/>
      <c r="S2613" s="1113"/>
      <c r="T2613" s="1143"/>
      <c r="U2613" s="1108"/>
      <c r="V2613" s="1108"/>
      <c r="W2613" s="1108"/>
      <c r="X2613" s="1108"/>
      <c r="Y2613" s="1108"/>
      <c r="Z2613" s="1114"/>
      <c r="AA2613" s="1114"/>
      <c r="AB2613" s="1114"/>
      <c r="AC2613" s="1117"/>
      <c r="AD2613" s="1115"/>
      <c r="AE2613" s="1115"/>
      <c r="AF2613" s="1115"/>
      <c r="AG2613" s="1115"/>
      <c r="AH2613" s="1115"/>
      <c r="AI2613" s="1115"/>
      <c r="AJ2613" s="1117"/>
      <c r="AK2613" s="1118"/>
      <c r="AL2613" s="1115"/>
      <c r="AM2613" s="1115"/>
      <c r="AN2613" s="1115"/>
      <c r="AO2613" s="1115"/>
      <c r="AP2613" s="1115"/>
      <c r="AQ2613" s="1115"/>
      <c r="AR2613" s="1115"/>
      <c r="AS2613" s="1117"/>
      <c r="AT2613" s="1075"/>
      <c r="AU2613" s="1193"/>
      <c r="AV2613" s="330"/>
      <c r="AW2613" s="331"/>
      <c r="AX2613" s="331"/>
      <c r="AY2613" s="331"/>
      <c r="AZ2613" s="331"/>
      <c r="BA2613" s="331"/>
      <c r="BB2613" s="331"/>
      <c r="BC2613" s="331"/>
      <c r="BD2613" s="331"/>
      <c r="BE2613" s="333"/>
      <c r="BF2613" s="330"/>
      <c r="BG2613" s="333"/>
      <c r="BH2613" s="1119"/>
      <c r="BI2613" s="319"/>
      <c r="BJ2613" s="319"/>
      <c r="BK2613" s="319"/>
      <c r="BL2613" s="319"/>
      <c r="BM2613" s="319"/>
      <c r="BN2613" s="319"/>
      <c r="BO2613" s="319"/>
      <c r="BP2613" s="953"/>
      <c r="BQ2613" s="319"/>
      <c r="BR2613" s="319"/>
      <c r="BS2613" s="330"/>
      <c r="BT2613" s="331"/>
      <c r="BU2613" s="920"/>
      <c r="BV2613" s="903"/>
      <c r="BW2613" s="908"/>
      <c r="BX2613" s="908"/>
      <c r="BY2613" s="331"/>
      <c r="BZ2613" s="331"/>
      <c r="CA2613" s="462"/>
      <c r="CB2613" s="319"/>
      <c r="CC2613" s="319"/>
      <c r="CD2613" s="319"/>
      <c r="CE2613" s="319"/>
      <c r="CF2613" s="319"/>
      <c r="CG2613" s="319"/>
      <c r="CH2613" s="318"/>
      <c r="CI2613" s="319"/>
      <c r="CJ2613" s="319"/>
      <c r="CK2613" s="342"/>
      <c r="CL2613" s="333"/>
      <c r="CM2613" s="1079"/>
      <c r="CN2613" s="1005"/>
      <c r="CO2613" s="1005"/>
      <c r="CP2613" s="1005"/>
    </row>
    <row r="2614">
      <c r="A2614" s="1257"/>
      <c r="B2614" s="1113"/>
      <c r="C2614" s="1107"/>
      <c r="D2614" s="103"/>
      <c r="E2614" s="1137"/>
      <c r="F2614" s="112"/>
      <c r="G2614" s="1110"/>
      <c r="H2614" s="1138"/>
      <c r="I2614" s="1138"/>
      <c r="J2614" s="1139"/>
      <c r="K2614" s="1111"/>
      <c r="L2614" s="1112"/>
      <c r="M2614" s="1113"/>
      <c r="N2614" s="110"/>
      <c r="O2614" s="1140"/>
      <c r="P2614" s="1115"/>
      <c r="Q2614" s="1116"/>
      <c r="R2614" s="1141"/>
      <c r="S2614" s="1113"/>
      <c r="T2614" s="1143"/>
      <c r="U2614" s="1108"/>
      <c r="V2614" s="1108"/>
      <c r="W2614" s="1108"/>
      <c r="X2614" s="1108"/>
      <c r="Y2614" s="1108"/>
      <c r="Z2614" s="1114"/>
      <c r="AA2614" s="1114"/>
      <c r="AB2614" s="1114"/>
      <c r="AC2614" s="1117"/>
      <c r="AD2614" s="1115"/>
      <c r="AE2614" s="1115"/>
      <c r="AF2614" s="1115"/>
      <c r="AG2614" s="1115"/>
      <c r="AH2614" s="1115"/>
      <c r="AI2614" s="1115"/>
      <c r="AJ2614" s="1117"/>
      <c r="AK2614" s="1118"/>
      <c r="AL2614" s="1115"/>
      <c r="AM2614" s="1115"/>
      <c r="AN2614" s="1115"/>
      <c r="AO2614" s="1115"/>
      <c r="AP2614" s="1115"/>
      <c r="AQ2614" s="1115"/>
      <c r="AR2614" s="1115"/>
      <c r="AS2614" s="1117"/>
      <c r="AT2614" s="1075"/>
      <c r="AU2614" s="1193"/>
      <c r="AV2614" s="330"/>
      <c r="AW2614" s="331"/>
      <c r="AX2614" s="331"/>
      <c r="AY2614" s="331"/>
      <c r="AZ2614" s="331"/>
      <c r="BA2614" s="331"/>
      <c r="BB2614" s="331"/>
      <c r="BC2614" s="331"/>
      <c r="BD2614" s="331"/>
      <c r="BE2614" s="333"/>
      <c r="BF2614" s="330"/>
      <c r="BG2614" s="333"/>
      <c r="BH2614" s="1119"/>
      <c r="BI2614" s="319"/>
      <c r="BJ2614" s="319"/>
      <c r="BK2614" s="319"/>
      <c r="BL2614" s="319"/>
      <c r="BM2614" s="319"/>
      <c r="BN2614" s="319"/>
      <c r="BO2614" s="319"/>
      <c r="BP2614" s="953"/>
      <c r="BQ2614" s="319"/>
      <c r="BR2614" s="319"/>
      <c r="BS2614" s="330"/>
      <c r="BT2614" s="331"/>
      <c r="BU2614" s="920"/>
      <c r="BV2614" s="903"/>
      <c r="BW2614" s="908"/>
      <c r="BX2614" s="908"/>
      <c r="BY2614" s="331"/>
      <c r="BZ2614" s="331"/>
      <c r="CA2614" s="462"/>
      <c r="CB2614" s="319"/>
      <c r="CC2614" s="319"/>
      <c r="CD2614" s="319"/>
      <c r="CE2614" s="319"/>
      <c r="CF2614" s="319"/>
      <c r="CG2614" s="319"/>
      <c r="CH2614" s="318"/>
      <c r="CI2614" s="319"/>
      <c r="CJ2614" s="319"/>
      <c r="CK2614" s="342"/>
      <c r="CL2614" s="333"/>
      <c r="CM2614" s="1079"/>
      <c r="CN2614" s="1005"/>
      <c r="CO2614" s="1005"/>
      <c r="CP2614" s="1005"/>
    </row>
    <row r="2615">
      <c r="A2615" s="1257"/>
      <c r="B2615" s="1113"/>
      <c r="C2615" s="1107"/>
      <c r="D2615" s="103"/>
      <c r="E2615" s="1137"/>
      <c r="F2615" s="112"/>
      <c r="G2615" s="1110"/>
      <c r="H2615" s="1138"/>
      <c r="I2615" s="1138"/>
      <c r="J2615" s="1139"/>
      <c r="K2615" s="1111"/>
      <c r="L2615" s="1112"/>
      <c r="M2615" s="1113"/>
      <c r="N2615" s="110"/>
      <c r="O2615" s="1140"/>
      <c r="P2615" s="1115"/>
      <c r="Q2615" s="1116"/>
      <c r="R2615" s="1141"/>
      <c r="S2615" s="1113"/>
      <c r="T2615" s="1143"/>
      <c r="U2615" s="1108"/>
      <c r="V2615" s="1108"/>
      <c r="W2615" s="1108"/>
      <c r="X2615" s="1108"/>
      <c r="Y2615" s="1108"/>
      <c r="Z2615" s="1114"/>
      <c r="AA2615" s="1114"/>
      <c r="AB2615" s="1114"/>
      <c r="AC2615" s="1117"/>
      <c r="AD2615" s="1115"/>
      <c r="AE2615" s="1115"/>
      <c r="AF2615" s="1115"/>
      <c r="AG2615" s="1115"/>
      <c r="AH2615" s="1115"/>
      <c r="AI2615" s="1115"/>
      <c r="AJ2615" s="1117"/>
      <c r="AK2615" s="1118"/>
      <c r="AL2615" s="1115"/>
      <c r="AM2615" s="1115"/>
      <c r="AN2615" s="1115"/>
      <c r="AO2615" s="1115"/>
      <c r="AP2615" s="1115"/>
      <c r="AQ2615" s="1115"/>
      <c r="AR2615" s="1115"/>
      <c r="AS2615" s="1117"/>
      <c r="AT2615" s="1075"/>
      <c r="AU2615" s="1193"/>
      <c r="AV2615" s="330"/>
      <c r="AW2615" s="331"/>
      <c r="AX2615" s="331"/>
      <c r="AY2615" s="331"/>
      <c r="AZ2615" s="331"/>
      <c r="BA2615" s="331"/>
      <c r="BB2615" s="331"/>
      <c r="BC2615" s="331"/>
      <c r="BD2615" s="331"/>
      <c r="BE2615" s="333"/>
      <c r="BF2615" s="330"/>
      <c r="BG2615" s="333"/>
      <c r="BH2615" s="1119"/>
      <c r="BI2615" s="319"/>
      <c r="BJ2615" s="319"/>
      <c r="BK2615" s="319"/>
      <c r="BL2615" s="319"/>
      <c r="BM2615" s="319"/>
      <c r="BN2615" s="319"/>
      <c r="BO2615" s="319"/>
      <c r="BP2615" s="953"/>
      <c r="BQ2615" s="319"/>
      <c r="BR2615" s="319"/>
      <c r="BS2615" s="330"/>
      <c r="BT2615" s="331"/>
      <c r="BU2615" s="920"/>
      <c r="BV2615" s="903"/>
      <c r="BW2615" s="908"/>
      <c r="BX2615" s="908"/>
      <c r="BY2615" s="331"/>
      <c r="BZ2615" s="331"/>
      <c r="CA2615" s="462"/>
      <c r="CB2615" s="319"/>
      <c r="CC2615" s="319"/>
      <c r="CD2615" s="319"/>
      <c r="CE2615" s="319"/>
      <c r="CF2615" s="319"/>
      <c r="CG2615" s="319"/>
      <c r="CH2615" s="318"/>
      <c r="CI2615" s="319"/>
      <c r="CJ2615" s="319"/>
      <c r="CK2615" s="342"/>
      <c r="CL2615" s="333"/>
      <c r="CM2615" s="1079"/>
      <c r="CN2615" s="1005"/>
      <c r="CO2615" s="1005"/>
      <c r="CP2615" s="1005"/>
    </row>
    <row r="2616">
      <c r="A2616" s="1257"/>
      <c r="B2616" s="1113"/>
      <c r="C2616" s="1107"/>
      <c r="D2616" s="103"/>
      <c r="E2616" s="1137"/>
      <c r="F2616" s="112"/>
      <c r="G2616" s="1110"/>
      <c r="H2616" s="1138"/>
      <c r="I2616" s="1138"/>
      <c r="J2616" s="1139"/>
      <c r="K2616" s="1111"/>
      <c r="L2616" s="1112"/>
      <c r="M2616" s="1113"/>
      <c r="N2616" s="110"/>
      <c r="O2616" s="1140"/>
      <c r="P2616" s="1115"/>
      <c r="Q2616" s="1116"/>
      <c r="R2616" s="1141"/>
      <c r="S2616" s="1113"/>
      <c r="T2616" s="1143"/>
      <c r="U2616" s="1108"/>
      <c r="V2616" s="1108"/>
      <c r="W2616" s="1108"/>
      <c r="X2616" s="1108"/>
      <c r="Y2616" s="1108"/>
      <c r="Z2616" s="1114"/>
      <c r="AA2616" s="1114"/>
      <c r="AB2616" s="1114"/>
      <c r="AC2616" s="1117"/>
      <c r="AD2616" s="1115"/>
      <c r="AE2616" s="1115"/>
      <c r="AF2616" s="1115"/>
      <c r="AG2616" s="1115"/>
      <c r="AH2616" s="1115"/>
      <c r="AI2616" s="1115"/>
      <c r="AJ2616" s="1117"/>
      <c r="AK2616" s="1118"/>
      <c r="AL2616" s="1115"/>
      <c r="AM2616" s="1115"/>
      <c r="AN2616" s="1115"/>
      <c r="AO2616" s="1115"/>
      <c r="AP2616" s="1115"/>
      <c r="AQ2616" s="1115"/>
      <c r="AR2616" s="1115"/>
      <c r="AS2616" s="1117"/>
      <c r="AT2616" s="1075"/>
      <c r="AU2616" s="1193"/>
      <c r="AV2616" s="330"/>
      <c r="AW2616" s="331"/>
      <c r="AX2616" s="331"/>
      <c r="AY2616" s="331"/>
      <c r="AZ2616" s="331"/>
      <c r="BA2616" s="331"/>
      <c r="BB2616" s="331"/>
      <c r="BC2616" s="331"/>
      <c r="BD2616" s="331"/>
      <c r="BE2616" s="333"/>
      <c r="BF2616" s="330"/>
      <c r="BG2616" s="333"/>
      <c r="BH2616" s="1119"/>
      <c r="BI2616" s="319"/>
      <c r="BJ2616" s="319"/>
      <c r="BK2616" s="319"/>
      <c r="BL2616" s="319"/>
      <c r="BM2616" s="319"/>
      <c r="BN2616" s="319"/>
      <c r="BO2616" s="319"/>
      <c r="BP2616" s="953"/>
      <c r="BQ2616" s="319"/>
      <c r="BR2616" s="319"/>
      <c r="BS2616" s="330"/>
      <c r="BT2616" s="331"/>
      <c r="BU2616" s="920"/>
      <c r="BV2616" s="903"/>
      <c r="BW2616" s="908"/>
      <c r="BX2616" s="908"/>
      <c r="BY2616" s="331"/>
      <c r="BZ2616" s="331"/>
      <c r="CA2616" s="462"/>
      <c r="CB2616" s="319"/>
      <c r="CC2616" s="319"/>
      <c r="CD2616" s="319"/>
      <c r="CE2616" s="319"/>
      <c r="CF2616" s="319"/>
      <c r="CG2616" s="319"/>
      <c r="CH2616" s="318"/>
      <c r="CI2616" s="319"/>
      <c r="CJ2616" s="319"/>
      <c r="CK2616" s="342"/>
      <c r="CL2616" s="333"/>
      <c r="CM2616" s="1079"/>
      <c r="CN2616" s="1005"/>
      <c r="CO2616" s="1005"/>
      <c r="CP2616" s="1005"/>
    </row>
    <row r="2617">
      <c r="A2617" s="1257"/>
      <c r="B2617" s="1113"/>
      <c r="C2617" s="1107"/>
      <c r="D2617" s="103"/>
      <c r="E2617" s="1137"/>
      <c r="F2617" s="112"/>
      <c r="G2617" s="1110"/>
      <c r="H2617" s="1138"/>
      <c r="I2617" s="1138"/>
      <c r="J2617" s="1139"/>
      <c r="K2617" s="1111"/>
      <c r="L2617" s="1112"/>
      <c r="M2617" s="1113"/>
      <c r="N2617" s="110"/>
      <c r="O2617" s="1140"/>
      <c r="P2617" s="1115"/>
      <c r="Q2617" s="1116"/>
      <c r="R2617" s="1141"/>
      <c r="S2617" s="1113"/>
      <c r="T2617" s="1143"/>
      <c r="U2617" s="1108"/>
      <c r="V2617" s="1108"/>
      <c r="W2617" s="1108"/>
      <c r="X2617" s="1108"/>
      <c r="Y2617" s="1108"/>
      <c r="Z2617" s="1114"/>
      <c r="AA2617" s="1114"/>
      <c r="AB2617" s="1114"/>
      <c r="AC2617" s="1117"/>
      <c r="AD2617" s="1115"/>
      <c r="AE2617" s="1115"/>
      <c r="AF2617" s="1115"/>
      <c r="AG2617" s="1115"/>
      <c r="AH2617" s="1115"/>
      <c r="AI2617" s="1115"/>
      <c r="AJ2617" s="1117"/>
      <c r="AK2617" s="1118"/>
      <c r="AL2617" s="1115"/>
      <c r="AM2617" s="1115"/>
      <c r="AN2617" s="1115"/>
      <c r="AO2617" s="1115"/>
      <c r="AP2617" s="1115"/>
      <c r="AQ2617" s="1115"/>
      <c r="AR2617" s="1115"/>
      <c r="AS2617" s="1117"/>
      <c r="AT2617" s="1075"/>
      <c r="AU2617" s="1193"/>
      <c r="AV2617" s="330"/>
      <c r="AW2617" s="331"/>
      <c r="AX2617" s="331"/>
      <c r="AY2617" s="331"/>
      <c r="AZ2617" s="331"/>
      <c r="BA2617" s="331"/>
      <c r="BB2617" s="331"/>
      <c r="BC2617" s="331"/>
      <c r="BD2617" s="331"/>
      <c r="BE2617" s="333"/>
      <c r="BF2617" s="330"/>
      <c r="BG2617" s="333"/>
      <c r="BH2617" s="1119"/>
      <c r="BI2617" s="319"/>
      <c r="BJ2617" s="319"/>
      <c r="BK2617" s="319"/>
      <c r="BL2617" s="319"/>
      <c r="BM2617" s="319"/>
      <c r="BN2617" s="319"/>
      <c r="BO2617" s="319"/>
      <c r="BP2617" s="953"/>
      <c r="BQ2617" s="319"/>
      <c r="BR2617" s="319"/>
      <c r="BS2617" s="330"/>
      <c r="BT2617" s="331"/>
      <c r="BU2617" s="920"/>
      <c r="BV2617" s="903"/>
      <c r="BW2617" s="908"/>
      <c r="BX2617" s="908"/>
      <c r="BY2617" s="331"/>
      <c r="BZ2617" s="331"/>
      <c r="CA2617" s="462"/>
      <c r="CB2617" s="319"/>
      <c r="CC2617" s="319"/>
      <c r="CD2617" s="319"/>
      <c r="CE2617" s="319"/>
      <c r="CF2617" s="319"/>
      <c r="CG2617" s="319"/>
      <c r="CH2617" s="318"/>
      <c r="CI2617" s="319"/>
      <c r="CJ2617" s="319"/>
      <c r="CK2617" s="342"/>
      <c r="CL2617" s="333"/>
      <c r="CM2617" s="1079"/>
      <c r="CN2617" s="1005"/>
      <c r="CO2617" s="1005"/>
      <c r="CP2617" s="1005"/>
    </row>
    <row r="2618">
      <c r="A2618" s="1257"/>
      <c r="B2618" s="1113"/>
      <c r="C2618" s="1107"/>
      <c r="D2618" s="103"/>
      <c r="E2618" s="1137"/>
      <c r="F2618" s="112"/>
      <c r="G2618" s="1110"/>
      <c r="H2618" s="1138"/>
      <c r="I2618" s="1138"/>
      <c r="J2618" s="1139"/>
      <c r="K2618" s="1111"/>
      <c r="L2618" s="1112"/>
      <c r="M2618" s="1113"/>
      <c r="N2618" s="110"/>
      <c r="O2618" s="1140"/>
      <c r="P2618" s="1115"/>
      <c r="Q2618" s="1116"/>
      <c r="R2618" s="1141"/>
      <c r="S2618" s="1113"/>
      <c r="T2618" s="1143"/>
      <c r="U2618" s="1108"/>
      <c r="V2618" s="1108"/>
      <c r="W2618" s="1108"/>
      <c r="X2618" s="1108"/>
      <c r="Y2618" s="1108"/>
      <c r="Z2618" s="1114"/>
      <c r="AA2618" s="1114"/>
      <c r="AB2618" s="1114"/>
      <c r="AC2618" s="1117"/>
      <c r="AD2618" s="1115"/>
      <c r="AE2618" s="1115"/>
      <c r="AF2618" s="1115"/>
      <c r="AG2618" s="1115"/>
      <c r="AH2618" s="1115"/>
      <c r="AI2618" s="1115"/>
      <c r="AJ2618" s="1117"/>
      <c r="AK2618" s="1118"/>
      <c r="AL2618" s="1115"/>
      <c r="AM2618" s="1115"/>
      <c r="AN2618" s="1115"/>
      <c r="AO2618" s="1115"/>
      <c r="AP2618" s="1115"/>
      <c r="AQ2618" s="1115"/>
      <c r="AR2618" s="1115"/>
      <c r="AS2618" s="1117"/>
      <c r="AT2618" s="1075"/>
      <c r="AU2618" s="1193"/>
      <c r="AV2618" s="330"/>
      <c r="AW2618" s="331"/>
      <c r="AX2618" s="331"/>
      <c r="AY2618" s="331"/>
      <c r="AZ2618" s="331"/>
      <c r="BA2618" s="331"/>
      <c r="BB2618" s="331"/>
      <c r="BC2618" s="331"/>
      <c r="BD2618" s="331"/>
      <c r="BE2618" s="333"/>
      <c r="BF2618" s="330"/>
      <c r="BG2618" s="333"/>
      <c r="BH2618" s="1119"/>
      <c r="BI2618" s="319"/>
      <c r="BJ2618" s="319"/>
      <c r="BK2618" s="319"/>
      <c r="BL2618" s="319"/>
      <c r="BM2618" s="319"/>
      <c r="BN2618" s="319"/>
      <c r="BO2618" s="319"/>
      <c r="BP2618" s="953"/>
      <c r="BQ2618" s="319"/>
      <c r="BR2618" s="319"/>
      <c r="BS2618" s="330"/>
      <c r="BT2618" s="331"/>
      <c r="BU2618" s="920"/>
      <c r="BV2618" s="903"/>
      <c r="BW2618" s="908"/>
      <c r="BX2618" s="908"/>
      <c r="BY2618" s="331"/>
      <c r="BZ2618" s="331"/>
      <c r="CA2618" s="462"/>
      <c r="CB2618" s="319"/>
      <c r="CC2618" s="319"/>
      <c r="CD2618" s="319"/>
      <c r="CE2618" s="319"/>
      <c r="CF2618" s="319"/>
      <c r="CG2618" s="319"/>
      <c r="CH2618" s="318"/>
      <c r="CI2618" s="319"/>
      <c r="CJ2618" s="319"/>
      <c r="CK2618" s="342"/>
      <c r="CL2618" s="333"/>
      <c r="CM2618" s="1079"/>
      <c r="CN2618" s="1005"/>
      <c r="CO2618" s="1005"/>
      <c r="CP2618" s="1005"/>
    </row>
    <row r="2619">
      <c r="A2619" s="1257"/>
      <c r="B2619" s="1113"/>
      <c r="C2619" s="1107"/>
      <c r="D2619" s="103"/>
      <c r="E2619" s="1137"/>
      <c r="F2619" s="112"/>
      <c r="G2619" s="1110"/>
      <c r="H2619" s="1138"/>
      <c r="I2619" s="1138"/>
      <c r="J2619" s="1139"/>
      <c r="K2619" s="1111"/>
      <c r="L2619" s="1112"/>
      <c r="M2619" s="1113"/>
      <c r="N2619" s="110"/>
      <c r="O2619" s="1140"/>
      <c r="P2619" s="1115"/>
      <c r="Q2619" s="1116"/>
      <c r="R2619" s="1141"/>
      <c r="S2619" s="1113"/>
      <c r="T2619" s="1143"/>
      <c r="U2619" s="1108"/>
      <c r="V2619" s="1108"/>
      <c r="W2619" s="1108"/>
      <c r="X2619" s="1108"/>
      <c r="Y2619" s="1108"/>
      <c r="Z2619" s="1114"/>
      <c r="AA2619" s="1114"/>
      <c r="AB2619" s="1114"/>
      <c r="AC2619" s="1117"/>
      <c r="AD2619" s="1115"/>
      <c r="AE2619" s="1115"/>
      <c r="AF2619" s="1115"/>
      <c r="AG2619" s="1115"/>
      <c r="AH2619" s="1115"/>
      <c r="AI2619" s="1115"/>
      <c r="AJ2619" s="1117"/>
      <c r="AK2619" s="1118"/>
      <c r="AL2619" s="1115"/>
      <c r="AM2619" s="1115"/>
      <c r="AN2619" s="1115"/>
      <c r="AO2619" s="1115"/>
      <c r="AP2619" s="1115"/>
      <c r="AQ2619" s="1115"/>
      <c r="AR2619" s="1115"/>
      <c r="AS2619" s="1117"/>
      <c r="AT2619" s="1075"/>
      <c r="AU2619" s="1193"/>
      <c r="AV2619" s="330"/>
      <c r="AW2619" s="331"/>
      <c r="AX2619" s="331"/>
      <c r="AY2619" s="331"/>
      <c r="AZ2619" s="331"/>
      <c r="BA2619" s="331"/>
      <c r="BB2619" s="331"/>
      <c r="BC2619" s="331"/>
      <c r="BD2619" s="331"/>
      <c r="BE2619" s="333"/>
      <c r="BF2619" s="330"/>
      <c r="BG2619" s="333"/>
      <c r="BH2619" s="1119"/>
      <c r="BI2619" s="319"/>
      <c r="BJ2619" s="319"/>
      <c r="BK2619" s="319"/>
      <c r="BL2619" s="319"/>
      <c r="BM2619" s="319"/>
      <c r="BN2619" s="319"/>
      <c r="BO2619" s="319"/>
      <c r="BP2619" s="953"/>
      <c r="BQ2619" s="319"/>
      <c r="BR2619" s="319"/>
      <c r="BS2619" s="330"/>
      <c r="BT2619" s="331"/>
      <c r="BU2619" s="920"/>
      <c r="BV2619" s="903"/>
      <c r="BW2619" s="908"/>
      <c r="BX2619" s="908"/>
      <c r="BY2619" s="331"/>
      <c r="BZ2619" s="331"/>
      <c r="CA2619" s="462"/>
      <c r="CB2619" s="319"/>
      <c r="CC2619" s="319"/>
      <c r="CD2619" s="319"/>
      <c r="CE2619" s="319"/>
      <c r="CF2619" s="319"/>
      <c r="CG2619" s="319"/>
      <c r="CH2619" s="318"/>
      <c r="CI2619" s="319"/>
      <c r="CJ2619" s="319"/>
      <c r="CK2619" s="342"/>
      <c r="CL2619" s="333"/>
      <c r="CM2619" s="1079"/>
      <c r="CN2619" s="1005"/>
      <c r="CO2619" s="1005"/>
      <c r="CP2619" s="1005"/>
    </row>
    <row r="2620">
      <c r="A2620" s="1257"/>
      <c r="B2620" s="1113"/>
      <c r="C2620" s="1107"/>
      <c r="D2620" s="103"/>
      <c r="E2620" s="1137"/>
      <c r="F2620" s="112"/>
      <c r="G2620" s="1110"/>
      <c r="H2620" s="1138"/>
      <c r="I2620" s="1138"/>
      <c r="J2620" s="1139"/>
      <c r="K2620" s="1111"/>
      <c r="L2620" s="1112"/>
      <c r="M2620" s="1113"/>
      <c r="N2620" s="110"/>
      <c r="O2620" s="1140"/>
      <c r="P2620" s="1115"/>
      <c r="Q2620" s="1116"/>
      <c r="R2620" s="1141"/>
      <c r="S2620" s="1113"/>
      <c r="T2620" s="1143"/>
      <c r="U2620" s="1108"/>
      <c r="V2620" s="1108"/>
      <c r="W2620" s="1108"/>
      <c r="X2620" s="1108"/>
      <c r="Y2620" s="1108"/>
      <c r="Z2620" s="1114"/>
      <c r="AA2620" s="1114"/>
      <c r="AB2620" s="1114"/>
      <c r="AC2620" s="1117"/>
      <c r="AD2620" s="1115"/>
      <c r="AE2620" s="1115"/>
      <c r="AF2620" s="1115"/>
      <c r="AG2620" s="1115"/>
      <c r="AH2620" s="1115"/>
      <c r="AI2620" s="1115"/>
      <c r="AJ2620" s="1117"/>
      <c r="AK2620" s="1118"/>
      <c r="AL2620" s="1115"/>
      <c r="AM2620" s="1115"/>
      <c r="AN2620" s="1115"/>
      <c r="AO2620" s="1115"/>
      <c r="AP2620" s="1115"/>
      <c r="AQ2620" s="1115"/>
      <c r="AR2620" s="1115"/>
      <c r="AS2620" s="1117"/>
      <c r="AT2620" s="1075"/>
      <c r="AU2620" s="1193"/>
      <c r="AV2620" s="330"/>
      <c r="AW2620" s="331"/>
      <c r="AX2620" s="331"/>
      <c r="AY2620" s="331"/>
      <c r="AZ2620" s="331"/>
      <c r="BA2620" s="331"/>
      <c r="BB2620" s="331"/>
      <c r="BC2620" s="331"/>
      <c r="BD2620" s="331"/>
      <c r="BE2620" s="333"/>
      <c r="BF2620" s="330"/>
      <c r="BG2620" s="333"/>
      <c r="BH2620" s="1119"/>
      <c r="BI2620" s="319"/>
      <c r="BJ2620" s="319"/>
      <c r="BK2620" s="319"/>
      <c r="BL2620" s="319"/>
      <c r="BM2620" s="319"/>
      <c r="BN2620" s="319"/>
      <c r="BO2620" s="319"/>
      <c r="BP2620" s="953"/>
      <c r="BQ2620" s="319"/>
      <c r="BR2620" s="319"/>
      <c r="BS2620" s="330"/>
      <c r="BT2620" s="331"/>
      <c r="BU2620" s="920"/>
      <c r="BV2620" s="903"/>
      <c r="BW2620" s="908"/>
      <c r="BX2620" s="908"/>
      <c r="BY2620" s="331"/>
      <c r="BZ2620" s="331"/>
      <c r="CA2620" s="462"/>
      <c r="CB2620" s="319"/>
      <c r="CC2620" s="319"/>
      <c r="CD2620" s="319"/>
      <c r="CE2620" s="319"/>
      <c r="CF2620" s="319"/>
      <c r="CG2620" s="319"/>
      <c r="CH2620" s="318"/>
      <c r="CI2620" s="319"/>
      <c r="CJ2620" s="319"/>
      <c r="CK2620" s="342"/>
      <c r="CL2620" s="333"/>
      <c r="CM2620" s="1079"/>
      <c r="CN2620" s="1005"/>
      <c r="CO2620" s="1005"/>
      <c r="CP2620" s="1005"/>
    </row>
    <row r="2621">
      <c r="A2621" s="1257"/>
      <c r="B2621" s="1113"/>
      <c r="C2621" s="1107"/>
      <c r="D2621" s="103"/>
      <c r="E2621" s="1137"/>
      <c r="F2621" s="112"/>
      <c r="G2621" s="1110"/>
      <c r="H2621" s="1138"/>
      <c r="I2621" s="1138"/>
      <c r="J2621" s="1139"/>
      <c r="K2621" s="1111"/>
      <c r="L2621" s="1112"/>
      <c r="M2621" s="1113"/>
      <c r="N2621" s="110"/>
      <c r="O2621" s="1140"/>
      <c r="P2621" s="1115"/>
      <c r="Q2621" s="1116"/>
      <c r="R2621" s="1141"/>
      <c r="S2621" s="1113"/>
      <c r="T2621" s="1143"/>
      <c r="U2621" s="1108"/>
      <c r="V2621" s="1108"/>
      <c r="W2621" s="1108"/>
      <c r="X2621" s="1108"/>
      <c r="Y2621" s="1108"/>
      <c r="Z2621" s="1114"/>
      <c r="AA2621" s="1114"/>
      <c r="AB2621" s="1114"/>
      <c r="AC2621" s="1117"/>
      <c r="AD2621" s="1115"/>
      <c r="AE2621" s="1115"/>
      <c r="AF2621" s="1115"/>
      <c r="AG2621" s="1115"/>
      <c r="AH2621" s="1115"/>
      <c r="AI2621" s="1115"/>
      <c r="AJ2621" s="1117"/>
      <c r="AK2621" s="1118"/>
      <c r="AL2621" s="1115"/>
      <c r="AM2621" s="1115"/>
      <c r="AN2621" s="1115"/>
      <c r="AO2621" s="1115"/>
      <c r="AP2621" s="1115"/>
      <c r="AQ2621" s="1115"/>
      <c r="AR2621" s="1115"/>
      <c r="AS2621" s="1117"/>
      <c r="AT2621" s="1075"/>
      <c r="AU2621" s="1193"/>
      <c r="AV2621" s="330"/>
      <c r="AW2621" s="331"/>
      <c r="AX2621" s="331"/>
      <c r="AY2621" s="331"/>
      <c r="AZ2621" s="331"/>
      <c r="BA2621" s="331"/>
      <c r="BB2621" s="331"/>
      <c r="BC2621" s="331"/>
      <c r="BD2621" s="331"/>
      <c r="BE2621" s="333"/>
      <c r="BF2621" s="330"/>
      <c r="BG2621" s="333"/>
      <c r="BH2621" s="1119"/>
      <c r="BI2621" s="319"/>
      <c r="BJ2621" s="319"/>
      <c r="BK2621" s="319"/>
      <c r="BL2621" s="319"/>
      <c r="BM2621" s="319"/>
      <c r="BN2621" s="319"/>
      <c r="BO2621" s="319"/>
      <c r="BP2621" s="953"/>
      <c r="BQ2621" s="319"/>
      <c r="BR2621" s="319"/>
      <c r="BS2621" s="330"/>
      <c r="BT2621" s="331"/>
      <c r="BU2621" s="920"/>
      <c r="BV2621" s="903"/>
      <c r="BW2621" s="908"/>
      <c r="BX2621" s="908"/>
      <c r="BY2621" s="331"/>
      <c r="BZ2621" s="331"/>
      <c r="CA2621" s="462"/>
      <c r="CB2621" s="319"/>
      <c r="CC2621" s="319"/>
      <c r="CD2621" s="319"/>
      <c r="CE2621" s="319"/>
      <c r="CF2621" s="319"/>
      <c r="CG2621" s="319"/>
      <c r="CH2621" s="318"/>
      <c r="CI2621" s="319"/>
      <c r="CJ2621" s="319"/>
      <c r="CK2621" s="342"/>
      <c r="CL2621" s="333"/>
      <c r="CM2621" s="1079"/>
      <c r="CN2621" s="1005"/>
      <c r="CO2621" s="1005"/>
      <c r="CP2621" s="1005"/>
    </row>
    <row r="2622">
      <c r="A2622" s="1257"/>
      <c r="B2622" s="1113"/>
      <c r="C2622" s="1107"/>
      <c r="D2622" s="103"/>
      <c r="E2622" s="1137"/>
      <c r="F2622" s="112"/>
      <c r="G2622" s="1110"/>
      <c r="H2622" s="1138"/>
      <c r="I2622" s="1138"/>
      <c r="J2622" s="1139"/>
      <c r="K2622" s="1111"/>
      <c r="L2622" s="1112"/>
      <c r="M2622" s="1113"/>
      <c r="N2622" s="110"/>
      <c r="O2622" s="1140"/>
      <c r="P2622" s="1115"/>
      <c r="Q2622" s="1116"/>
      <c r="R2622" s="1141"/>
      <c r="S2622" s="1113"/>
      <c r="T2622" s="1143"/>
      <c r="U2622" s="1108"/>
      <c r="V2622" s="1108"/>
      <c r="W2622" s="1108"/>
      <c r="X2622" s="1108"/>
      <c r="Y2622" s="1108"/>
      <c r="Z2622" s="1114"/>
      <c r="AA2622" s="1114"/>
      <c r="AB2622" s="1114"/>
      <c r="AC2622" s="1117"/>
      <c r="AD2622" s="1115"/>
      <c r="AE2622" s="1115"/>
      <c r="AF2622" s="1115"/>
      <c r="AG2622" s="1115"/>
      <c r="AH2622" s="1115"/>
      <c r="AI2622" s="1115"/>
      <c r="AJ2622" s="1117"/>
      <c r="AK2622" s="1118"/>
      <c r="AL2622" s="1115"/>
      <c r="AM2622" s="1115"/>
      <c r="AN2622" s="1115"/>
      <c r="AO2622" s="1115"/>
      <c r="AP2622" s="1115"/>
      <c r="AQ2622" s="1115"/>
      <c r="AR2622" s="1115"/>
      <c r="AS2622" s="1117"/>
      <c r="AT2622" s="1075"/>
      <c r="AU2622" s="1193"/>
      <c r="AV2622" s="330"/>
      <c r="AW2622" s="331"/>
      <c r="AX2622" s="331"/>
      <c r="AY2622" s="331"/>
      <c r="AZ2622" s="331"/>
      <c r="BA2622" s="331"/>
      <c r="BB2622" s="331"/>
      <c r="BC2622" s="331"/>
      <c r="BD2622" s="331"/>
      <c r="BE2622" s="333"/>
      <c r="BF2622" s="330"/>
      <c r="BG2622" s="333"/>
      <c r="BH2622" s="1119"/>
      <c r="BI2622" s="319"/>
      <c r="BJ2622" s="319"/>
      <c r="BK2622" s="319"/>
      <c r="BL2622" s="319"/>
      <c r="BM2622" s="319"/>
      <c r="BN2622" s="319"/>
      <c r="BO2622" s="319"/>
      <c r="BP2622" s="953"/>
      <c r="BQ2622" s="319"/>
      <c r="BR2622" s="319"/>
      <c r="BS2622" s="330"/>
      <c r="BT2622" s="331"/>
      <c r="BU2622" s="920"/>
      <c r="BV2622" s="903"/>
      <c r="BW2622" s="908"/>
      <c r="BX2622" s="908"/>
      <c r="BY2622" s="331"/>
      <c r="BZ2622" s="331"/>
      <c r="CA2622" s="462"/>
      <c r="CB2622" s="319"/>
      <c r="CC2622" s="319"/>
      <c r="CD2622" s="319"/>
      <c r="CE2622" s="319"/>
      <c r="CF2622" s="319"/>
      <c r="CG2622" s="319"/>
      <c r="CH2622" s="318"/>
      <c r="CI2622" s="319"/>
      <c r="CJ2622" s="319"/>
      <c r="CK2622" s="342"/>
      <c r="CL2622" s="333"/>
      <c r="CM2622" s="1079"/>
      <c r="CN2622" s="1005"/>
      <c r="CO2622" s="1005"/>
      <c r="CP2622" s="1005"/>
    </row>
    <row r="2623">
      <c r="A2623" s="1257"/>
      <c r="B2623" s="1113"/>
      <c r="C2623" s="1107"/>
      <c r="D2623" s="103"/>
      <c r="E2623" s="1137"/>
      <c r="F2623" s="112"/>
      <c r="G2623" s="1110"/>
      <c r="H2623" s="1138"/>
      <c r="I2623" s="1138"/>
      <c r="J2623" s="1139"/>
      <c r="K2623" s="1111"/>
      <c r="L2623" s="1112"/>
      <c r="M2623" s="1113"/>
      <c r="N2623" s="110"/>
      <c r="O2623" s="1140"/>
      <c r="P2623" s="1115"/>
      <c r="Q2623" s="1116"/>
      <c r="R2623" s="1141"/>
      <c r="S2623" s="1113"/>
      <c r="T2623" s="1143"/>
      <c r="U2623" s="1108"/>
      <c r="V2623" s="1108"/>
      <c r="W2623" s="1108"/>
      <c r="X2623" s="1108"/>
      <c r="Y2623" s="1108"/>
      <c r="Z2623" s="1114"/>
      <c r="AA2623" s="1114"/>
      <c r="AB2623" s="1114"/>
      <c r="AC2623" s="1117"/>
      <c r="AD2623" s="1115"/>
      <c r="AE2623" s="1115"/>
      <c r="AF2623" s="1115"/>
      <c r="AG2623" s="1115"/>
      <c r="AH2623" s="1115"/>
      <c r="AI2623" s="1115"/>
      <c r="AJ2623" s="1117"/>
      <c r="AK2623" s="1118"/>
      <c r="AL2623" s="1115"/>
      <c r="AM2623" s="1115"/>
      <c r="AN2623" s="1115"/>
      <c r="AO2623" s="1115"/>
      <c r="AP2623" s="1115"/>
      <c r="AQ2623" s="1115"/>
      <c r="AR2623" s="1115"/>
      <c r="AS2623" s="1117"/>
      <c r="AT2623" s="1075"/>
      <c r="AU2623" s="1193"/>
      <c r="AV2623" s="330"/>
      <c r="AW2623" s="331"/>
      <c r="AX2623" s="331"/>
      <c r="AY2623" s="331"/>
      <c r="AZ2623" s="331"/>
      <c r="BA2623" s="331"/>
      <c r="BB2623" s="331"/>
      <c r="BC2623" s="331"/>
      <c r="BD2623" s="331"/>
      <c r="BE2623" s="333"/>
      <c r="BF2623" s="330"/>
      <c r="BG2623" s="333"/>
      <c r="BH2623" s="1119"/>
      <c r="BI2623" s="319"/>
      <c r="BJ2623" s="319"/>
      <c r="BK2623" s="319"/>
      <c r="BL2623" s="319"/>
      <c r="BM2623" s="319"/>
      <c r="BN2623" s="319"/>
      <c r="BO2623" s="319"/>
      <c r="BP2623" s="953"/>
      <c r="BQ2623" s="319"/>
      <c r="BR2623" s="319"/>
      <c r="BS2623" s="330"/>
      <c r="BT2623" s="331"/>
      <c r="BU2623" s="920"/>
      <c r="BV2623" s="903"/>
      <c r="BW2623" s="908"/>
      <c r="BX2623" s="908"/>
      <c r="BY2623" s="331"/>
      <c r="BZ2623" s="331"/>
      <c r="CA2623" s="462"/>
      <c r="CB2623" s="319"/>
      <c r="CC2623" s="319"/>
      <c r="CD2623" s="319"/>
      <c r="CE2623" s="319"/>
      <c r="CF2623" s="319"/>
      <c r="CG2623" s="319"/>
      <c r="CH2623" s="318"/>
      <c r="CI2623" s="319"/>
      <c r="CJ2623" s="319"/>
      <c r="CK2623" s="342"/>
      <c r="CL2623" s="333"/>
      <c r="CM2623" s="1079"/>
      <c r="CN2623" s="1005"/>
      <c r="CO2623" s="1005"/>
      <c r="CP2623" s="1005"/>
    </row>
    <row r="2624">
      <c r="A2624" s="1257"/>
      <c r="B2624" s="1113"/>
      <c r="C2624" s="1107"/>
      <c r="D2624" s="103"/>
      <c r="E2624" s="1137"/>
      <c r="F2624" s="112"/>
      <c r="G2624" s="1110"/>
      <c r="H2624" s="1138"/>
      <c r="I2624" s="1138"/>
      <c r="J2624" s="1139"/>
      <c r="K2624" s="1111"/>
      <c r="L2624" s="1112"/>
      <c r="M2624" s="1113"/>
      <c r="N2624" s="110"/>
      <c r="O2624" s="1140"/>
      <c r="P2624" s="1115"/>
      <c r="Q2624" s="1116"/>
      <c r="R2624" s="1141"/>
      <c r="S2624" s="1113"/>
      <c r="T2624" s="1143"/>
      <c r="U2624" s="1108"/>
      <c r="V2624" s="1108"/>
      <c r="W2624" s="1108"/>
      <c r="X2624" s="1108"/>
      <c r="Y2624" s="1108"/>
      <c r="Z2624" s="1114"/>
      <c r="AA2624" s="1114"/>
      <c r="AB2624" s="1114"/>
      <c r="AC2624" s="1117"/>
      <c r="AD2624" s="1115"/>
      <c r="AE2624" s="1115"/>
      <c r="AF2624" s="1115"/>
      <c r="AG2624" s="1115"/>
      <c r="AH2624" s="1115"/>
      <c r="AI2624" s="1115"/>
      <c r="AJ2624" s="1117"/>
      <c r="AK2624" s="1118"/>
      <c r="AL2624" s="1115"/>
      <c r="AM2624" s="1115"/>
      <c r="AN2624" s="1115"/>
      <c r="AO2624" s="1115"/>
      <c r="AP2624" s="1115"/>
      <c r="AQ2624" s="1115"/>
      <c r="AR2624" s="1115"/>
      <c r="AS2624" s="1117"/>
      <c r="AT2624" s="1075"/>
      <c r="AU2624" s="1193"/>
      <c r="AV2624" s="330"/>
      <c r="AW2624" s="331"/>
      <c r="AX2624" s="331"/>
      <c r="AY2624" s="331"/>
      <c r="AZ2624" s="331"/>
      <c r="BA2624" s="331"/>
      <c r="BB2624" s="331"/>
      <c r="BC2624" s="331"/>
      <c r="BD2624" s="331"/>
      <c r="BE2624" s="333"/>
      <c r="BF2624" s="330"/>
      <c r="BG2624" s="333"/>
      <c r="BH2624" s="1119"/>
      <c r="BI2624" s="319"/>
      <c r="BJ2624" s="319"/>
      <c r="BK2624" s="319"/>
      <c r="BL2624" s="319"/>
      <c r="BM2624" s="319"/>
      <c r="BN2624" s="319"/>
      <c r="BO2624" s="319"/>
      <c r="BP2624" s="953"/>
      <c r="BQ2624" s="319"/>
      <c r="BR2624" s="319"/>
      <c r="BS2624" s="330"/>
      <c r="BT2624" s="331"/>
      <c r="BU2624" s="920"/>
      <c r="BV2624" s="903"/>
      <c r="BW2624" s="908"/>
      <c r="BX2624" s="908"/>
      <c r="BY2624" s="331"/>
      <c r="BZ2624" s="331"/>
      <c r="CA2624" s="462"/>
      <c r="CB2624" s="319"/>
      <c r="CC2624" s="319"/>
      <c r="CD2624" s="319"/>
      <c r="CE2624" s="319"/>
      <c r="CF2624" s="319"/>
      <c r="CG2624" s="319"/>
      <c r="CH2624" s="318"/>
      <c r="CI2624" s="319"/>
      <c r="CJ2624" s="319"/>
      <c r="CK2624" s="342"/>
      <c r="CL2624" s="333"/>
      <c r="CM2624" s="1079"/>
      <c r="CN2624" s="1005"/>
      <c r="CO2624" s="1005"/>
      <c r="CP2624" s="1005"/>
    </row>
    <row r="2625">
      <c r="A2625" s="1257"/>
      <c r="B2625" s="1113"/>
      <c r="C2625" s="1107"/>
      <c r="D2625" s="103"/>
      <c r="E2625" s="1137"/>
      <c r="F2625" s="112"/>
      <c r="G2625" s="1110"/>
      <c r="H2625" s="1138"/>
      <c r="I2625" s="1138"/>
      <c r="J2625" s="1139"/>
      <c r="K2625" s="1111"/>
      <c r="L2625" s="1112"/>
      <c r="M2625" s="1113"/>
      <c r="N2625" s="110"/>
      <c r="O2625" s="1140"/>
      <c r="P2625" s="1115"/>
      <c r="Q2625" s="1116"/>
      <c r="R2625" s="1141"/>
      <c r="S2625" s="1113"/>
      <c r="T2625" s="1143"/>
      <c r="U2625" s="1108"/>
      <c r="V2625" s="1108"/>
      <c r="W2625" s="1108"/>
      <c r="X2625" s="1108"/>
      <c r="Y2625" s="1108"/>
      <c r="Z2625" s="1114"/>
      <c r="AA2625" s="1114"/>
      <c r="AB2625" s="1114"/>
      <c r="AC2625" s="1117"/>
      <c r="AD2625" s="1115"/>
      <c r="AE2625" s="1115"/>
      <c r="AF2625" s="1115"/>
      <c r="AG2625" s="1115"/>
      <c r="AH2625" s="1115"/>
      <c r="AI2625" s="1115"/>
      <c r="AJ2625" s="1117"/>
      <c r="AK2625" s="1118"/>
      <c r="AL2625" s="1115"/>
      <c r="AM2625" s="1115"/>
      <c r="AN2625" s="1115"/>
      <c r="AO2625" s="1115"/>
      <c r="AP2625" s="1115"/>
      <c r="AQ2625" s="1115"/>
      <c r="AR2625" s="1115"/>
      <c r="AS2625" s="1117"/>
      <c r="AT2625" s="1075"/>
      <c r="AU2625" s="1193"/>
      <c r="AV2625" s="330"/>
      <c r="AW2625" s="331"/>
      <c r="AX2625" s="331"/>
      <c r="AY2625" s="331"/>
      <c r="AZ2625" s="331"/>
      <c r="BA2625" s="331"/>
      <c r="BB2625" s="331"/>
      <c r="BC2625" s="331"/>
      <c r="BD2625" s="331"/>
      <c r="BE2625" s="333"/>
      <c r="BF2625" s="330"/>
      <c r="BG2625" s="333"/>
      <c r="BH2625" s="1119"/>
      <c r="BI2625" s="319"/>
      <c r="BJ2625" s="319"/>
      <c r="BK2625" s="319"/>
      <c r="BL2625" s="319"/>
      <c r="BM2625" s="319"/>
      <c r="BN2625" s="319"/>
      <c r="BO2625" s="319"/>
      <c r="BP2625" s="953"/>
      <c r="BQ2625" s="319"/>
      <c r="BR2625" s="319"/>
      <c r="BS2625" s="330"/>
      <c r="BT2625" s="331"/>
      <c r="BU2625" s="920"/>
      <c r="BV2625" s="903"/>
      <c r="BW2625" s="908"/>
      <c r="BX2625" s="908"/>
      <c r="BY2625" s="331"/>
      <c r="BZ2625" s="331"/>
      <c r="CA2625" s="462"/>
      <c r="CB2625" s="319"/>
      <c r="CC2625" s="319"/>
      <c r="CD2625" s="319"/>
      <c r="CE2625" s="319"/>
      <c r="CF2625" s="319"/>
      <c r="CG2625" s="319"/>
      <c r="CH2625" s="318"/>
      <c r="CI2625" s="319"/>
      <c r="CJ2625" s="319"/>
      <c r="CK2625" s="342"/>
      <c r="CL2625" s="333"/>
      <c r="CM2625" s="1079"/>
      <c r="CN2625" s="1005"/>
      <c r="CO2625" s="1005"/>
      <c r="CP2625" s="1005"/>
    </row>
    <row r="2626">
      <c r="A2626" s="1257"/>
      <c r="B2626" s="1113"/>
      <c r="C2626" s="1107"/>
      <c r="D2626" s="103"/>
      <c r="E2626" s="1137"/>
      <c r="F2626" s="112"/>
      <c r="G2626" s="1110"/>
      <c r="H2626" s="1138"/>
      <c r="I2626" s="1138"/>
      <c r="J2626" s="1139"/>
      <c r="K2626" s="1111"/>
      <c r="L2626" s="1112"/>
      <c r="M2626" s="1113"/>
      <c r="N2626" s="110"/>
      <c r="O2626" s="1140"/>
      <c r="P2626" s="1115"/>
      <c r="Q2626" s="1116"/>
      <c r="R2626" s="1141"/>
      <c r="S2626" s="1113"/>
      <c r="T2626" s="1143"/>
      <c r="U2626" s="1108"/>
      <c r="V2626" s="1108"/>
      <c r="W2626" s="1108"/>
      <c r="X2626" s="1108"/>
      <c r="Y2626" s="1108"/>
      <c r="Z2626" s="1114"/>
      <c r="AA2626" s="1114"/>
      <c r="AB2626" s="1114"/>
      <c r="AC2626" s="1117"/>
      <c r="AD2626" s="1115"/>
      <c r="AE2626" s="1115"/>
      <c r="AF2626" s="1115"/>
      <c r="AG2626" s="1115"/>
      <c r="AH2626" s="1115"/>
      <c r="AI2626" s="1115"/>
      <c r="AJ2626" s="1117"/>
      <c r="AK2626" s="1118"/>
      <c r="AL2626" s="1115"/>
      <c r="AM2626" s="1115"/>
      <c r="AN2626" s="1115"/>
      <c r="AO2626" s="1115"/>
      <c r="AP2626" s="1115"/>
      <c r="AQ2626" s="1115"/>
      <c r="AR2626" s="1115"/>
      <c r="AS2626" s="1117"/>
      <c r="AT2626" s="1075"/>
      <c r="AU2626" s="1193"/>
      <c r="AV2626" s="330"/>
      <c r="AW2626" s="331"/>
      <c r="AX2626" s="331"/>
      <c r="AY2626" s="331"/>
      <c r="AZ2626" s="331"/>
      <c r="BA2626" s="331"/>
      <c r="BB2626" s="331"/>
      <c r="BC2626" s="331"/>
      <c r="BD2626" s="331"/>
      <c r="BE2626" s="333"/>
      <c r="BF2626" s="330"/>
      <c r="BG2626" s="333"/>
      <c r="BH2626" s="1119"/>
      <c r="BI2626" s="319"/>
      <c r="BJ2626" s="319"/>
      <c r="BK2626" s="319"/>
      <c r="BL2626" s="319"/>
      <c r="BM2626" s="319"/>
      <c r="BN2626" s="319"/>
      <c r="BO2626" s="319"/>
      <c r="BP2626" s="953"/>
      <c r="BQ2626" s="319"/>
      <c r="BR2626" s="319"/>
      <c r="BS2626" s="330"/>
      <c r="BT2626" s="331"/>
      <c r="BU2626" s="920"/>
      <c r="BV2626" s="903"/>
      <c r="BW2626" s="908"/>
      <c r="BX2626" s="908"/>
      <c r="BY2626" s="331"/>
      <c r="BZ2626" s="331"/>
      <c r="CA2626" s="462"/>
      <c r="CB2626" s="319"/>
      <c r="CC2626" s="319"/>
      <c r="CD2626" s="319"/>
      <c r="CE2626" s="319"/>
      <c r="CF2626" s="319"/>
      <c r="CG2626" s="319"/>
      <c r="CH2626" s="318"/>
      <c r="CI2626" s="319"/>
      <c r="CJ2626" s="319"/>
      <c r="CK2626" s="342"/>
      <c r="CL2626" s="333"/>
      <c r="CM2626" s="1079"/>
      <c r="CN2626" s="1005"/>
      <c r="CO2626" s="1005"/>
      <c r="CP2626" s="1005"/>
    </row>
    <row r="2627">
      <c r="A2627" s="1257"/>
      <c r="B2627" s="1113"/>
      <c r="C2627" s="1107"/>
      <c r="D2627" s="103"/>
      <c r="E2627" s="1137"/>
      <c r="F2627" s="112"/>
      <c r="G2627" s="1110"/>
      <c r="H2627" s="1138"/>
      <c r="I2627" s="1138"/>
      <c r="J2627" s="1139"/>
      <c r="K2627" s="1111"/>
      <c r="L2627" s="1112"/>
      <c r="M2627" s="1113"/>
      <c r="N2627" s="110"/>
      <c r="O2627" s="1140"/>
      <c r="P2627" s="1115"/>
      <c r="Q2627" s="1116"/>
      <c r="R2627" s="1141"/>
      <c r="S2627" s="1113"/>
      <c r="T2627" s="1143"/>
      <c r="U2627" s="1108"/>
      <c r="V2627" s="1108"/>
      <c r="W2627" s="1108"/>
      <c r="X2627" s="1108"/>
      <c r="Y2627" s="1108"/>
      <c r="Z2627" s="1114"/>
      <c r="AA2627" s="1114"/>
      <c r="AB2627" s="1114"/>
      <c r="AC2627" s="1117"/>
      <c r="AD2627" s="1115"/>
      <c r="AE2627" s="1115"/>
      <c r="AF2627" s="1115"/>
      <c r="AG2627" s="1115"/>
      <c r="AH2627" s="1115"/>
      <c r="AI2627" s="1115"/>
      <c r="AJ2627" s="1117"/>
      <c r="AK2627" s="1118"/>
      <c r="AL2627" s="1115"/>
      <c r="AM2627" s="1115"/>
      <c r="AN2627" s="1115"/>
      <c r="AO2627" s="1115"/>
      <c r="AP2627" s="1115"/>
      <c r="AQ2627" s="1115"/>
      <c r="AR2627" s="1115"/>
      <c r="AS2627" s="1117"/>
      <c r="AT2627" s="1075"/>
      <c r="AU2627" s="1193"/>
      <c r="AV2627" s="330"/>
      <c r="AW2627" s="331"/>
      <c r="AX2627" s="331"/>
      <c r="AY2627" s="331"/>
      <c r="AZ2627" s="331"/>
      <c r="BA2627" s="331"/>
      <c r="BB2627" s="331"/>
      <c r="BC2627" s="331"/>
      <c r="BD2627" s="331"/>
      <c r="BE2627" s="333"/>
      <c r="BF2627" s="330"/>
      <c r="BG2627" s="333"/>
      <c r="BH2627" s="1119"/>
      <c r="BI2627" s="319"/>
      <c r="BJ2627" s="319"/>
      <c r="BK2627" s="319"/>
      <c r="BL2627" s="319"/>
      <c r="BM2627" s="319"/>
      <c r="BN2627" s="319"/>
      <c r="BO2627" s="319"/>
      <c r="BP2627" s="953"/>
      <c r="BQ2627" s="319"/>
      <c r="BR2627" s="319"/>
      <c r="BS2627" s="330"/>
      <c r="BT2627" s="331"/>
      <c r="BU2627" s="920"/>
      <c r="BV2627" s="903"/>
      <c r="BW2627" s="908"/>
      <c r="BX2627" s="908"/>
      <c r="BY2627" s="331"/>
      <c r="BZ2627" s="331"/>
      <c r="CA2627" s="462"/>
      <c r="CB2627" s="319"/>
      <c r="CC2627" s="319"/>
      <c r="CD2627" s="319"/>
      <c r="CE2627" s="319"/>
      <c r="CF2627" s="319"/>
      <c r="CG2627" s="319"/>
      <c r="CH2627" s="318"/>
      <c r="CI2627" s="319"/>
      <c r="CJ2627" s="319"/>
      <c r="CK2627" s="342"/>
      <c r="CL2627" s="333"/>
      <c r="CM2627" s="1079"/>
      <c r="CN2627" s="1005"/>
      <c r="CO2627" s="1005"/>
      <c r="CP2627" s="1005"/>
    </row>
    <row r="2628">
      <c r="A2628" s="1257"/>
      <c r="B2628" s="1113"/>
      <c r="C2628" s="1107"/>
      <c r="D2628" s="103"/>
      <c r="E2628" s="1137"/>
      <c r="F2628" s="112"/>
      <c r="G2628" s="1110"/>
      <c r="H2628" s="1138"/>
      <c r="I2628" s="1138"/>
      <c r="J2628" s="1139"/>
      <c r="K2628" s="1111"/>
      <c r="L2628" s="1112"/>
      <c r="M2628" s="1113"/>
      <c r="N2628" s="110"/>
      <c r="O2628" s="1140"/>
      <c r="P2628" s="1115"/>
      <c r="Q2628" s="1116"/>
      <c r="R2628" s="1141"/>
      <c r="S2628" s="1113"/>
      <c r="T2628" s="1143"/>
      <c r="U2628" s="1108"/>
      <c r="V2628" s="1108"/>
      <c r="W2628" s="1108"/>
      <c r="X2628" s="1108"/>
      <c r="Y2628" s="1108"/>
      <c r="Z2628" s="1114"/>
      <c r="AA2628" s="1114"/>
      <c r="AB2628" s="1114"/>
      <c r="AC2628" s="1117"/>
      <c r="AD2628" s="1115"/>
      <c r="AE2628" s="1115"/>
      <c r="AF2628" s="1115"/>
      <c r="AG2628" s="1115"/>
      <c r="AH2628" s="1115"/>
      <c r="AI2628" s="1115"/>
      <c r="AJ2628" s="1117"/>
      <c r="AK2628" s="1118"/>
      <c r="AL2628" s="1115"/>
      <c r="AM2628" s="1115"/>
      <c r="AN2628" s="1115"/>
      <c r="AO2628" s="1115"/>
      <c r="AP2628" s="1115"/>
      <c r="AQ2628" s="1115"/>
      <c r="AR2628" s="1115"/>
      <c r="AS2628" s="1117"/>
      <c r="AT2628" s="1075"/>
      <c r="AU2628" s="1193"/>
      <c r="AV2628" s="330"/>
      <c r="AW2628" s="331"/>
      <c r="AX2628" s="331"/>
      <c r="AY2628" s="331"/>
      <c r="AZ2628" s="331"/>
      <c r="BA2628" s="331"/>
      <c r="BB2628" s="331"/>
      <c r="BC2628" s="331"/>
      <c r="BD2628" s="331"/>
      <c r="BE2628" s="333"/>
      <c r="BF2628" s="330"/>
      <c r="BG2628" s="333"/>
      <c r="BH2628" s="1119"/>
      <c r="BI2628" s="319"/>
      <c r="BJ2628" s="319"/>
      <c r="BK2628" s="319"/>
      <c r="BL2628" s="319"/>
      <c r="BM2628" s="319"/>
      <c r="BN2628" s="319"/>
      <c r="BO2628" s="319"/>
      <c r="BP2628" s="953"/>
      <c r="BQ2628" s="319"/>
      <c r="BR2628" s="319"/>
      <c r="BS2628" s="330"/>
      <c r="BT2628" s="331"/>
      <c r="BU2628" s="920"/>
      <c r="BV2628" s="903"/>
      <c r="BW2628" s="908"/>
      <c r="BX2628" s="908"/>
      <c r="BY2628" s="331"/>
      <c r="BZ2628" s="331"/>
      <c r="CA2628" s="462"/>
      <c r="CB2628" s="319"/>
      <c r="CC2628" s="319"/>
      <c r="CD2628" s="319"/>
      <c r="CE2628" s="319"/>
      <c r="CF2628" s="319"/>
      <c r="CG2628" s="319"/>
      <c r="CH2628" s="318"/>
      <c r="CI2628" s="319"/>
      <c r="CJ2628" s="319"/>
      <c r="CK2628" s="342"/>
      <c r="CL2628" s="333"/>
      <c r="CM2628" s="1079"/>
      <c r="CN2628" s="1005"/>
      <c r="CO2628" s="1005"/>
      <c r="CP2628" s="1005"/>
    </row>
    <row r="2629">
      <c r="A2629" s="1257"/>
      <c r="B2629" s="1113"/>
      <c r="C2629" s="1107"/>
      <c r="D2629" s="103"/>
      <c r="E2629" s="1137"/>
      <c r="F2629" s="112"/>
      <c r="G2629" s="1110"/>
      <c r="H2629" s="1138"/>
      <c r="I2629" s="1138"/>
      <c r="J2629" s="1139"/>
      <c r="K2629" s="1111"/>
      <c r="L2629" s="1112"/>
      <c r="M2629" s="1113"/>
      <c r="N2629" s="110"/>
      <c r="O2629" s="1140"/>
      <c r="P2629" s="1115"/>
      <c r="Q2629" s="1116"/>
      <c r="R2629" s="1141"/>
      <c r="S2629" s="1113"/>
      <c r="T2629" s="1143"/>
      <c r="U2629" s="1108"/>
      <c r="V2629" s="1108"/>
      <c r="W2629" s="1108"/>
      <c r="X2629" s="1108"/>
      <c r="Y2629" s="1108"/>
      <c r="Z2629" s="1114"/>
      <c r="AA2629" s="1114"/>
      <c r="AB2629" s="1114"/>
      <c r="AC2629" s="1117"/>
      <c r="AD2629" s="1115"/>
      <c r="AE2629" s="1115"/>
      <c r="AF2629" s="1115"/>
      <c r="AG2629" s="1115"/>
      <c r="AH2629" s="1115"/>
      <c r="AI2629" s="1115"/>
      <c r="AJ2629" s="1117"/>
      <c r="AK2629" s="1118"/>
      <c r="AL2629" s="1115"/>
      <c r="AM2629" s="1115"/>
      <c r="AN2629" s="1115"/>
      <c r="AO2629" s="1115"/>
      <c r="AP2629" s="1115"/>
      <c r="AQ2629" s="1115"/>
      <c r="AR2629" s="1115"/>
      <c r="AS2629" s="1117"/>
      <c r="AT2629" s="1075"/>
      <c r="AU2629" s="1193"/>
      <c r="AV2629" s="330"/>
      <c r="AW2629" s="331"/>
      <c r="AX2629" s="331"/>
      <c r="AY2629" s="331"/>
      <c r="AZ2629" s="331"/>
      <c r="BA2629" s="331"/>
      <c r="BB2629" s="331"/>
      <c r="BC2629" s="331"/>
      <c r="BD2629" s="331"/>
      <c r="BE2629" s="333"/>
      <c r="BF2629" s="330"/>
      <c r="BG2629" s="333"/>
      <c r="BH2629" s="1119"/>
      <c r="BI2629" s="319"/>
      <c r="BJ2629" s="319"/>
      <c r="BK2629" s="319"/>
      <c r="BL2629" s="319"/>
      <c r="BM2629" s="319"/>
      <c r="BN2629" s="319"/>
      <c r="BO2629" s="319"/>
      <c r="BP2629" s="953"/>
      <c r="BQ2629" s="319"/>
      <c r="BR2629" s="319"/>
      <c r="BS2629" s="330"/>
      <c r="BT2629" s="331"/>
      <c r="BU2629" s="920"/>
      <c r="BV2629" s="903"/>
      <c r="BW2629" s="908"/>
      <c r="BX2629" s="908"/>
      <c r="BY2629" s="331"/>
      <c r="BZ2629" s="331"/>
      <c r="CA2629" s="462"/>
      <c r="CB2629" s="319"/>
      <c r="CC2629" s="319"/>
      <c r="CD2629" s="319"/>
      <c r="CE2629" s="319"/>
      <c r="CF2629" s="319"/>
      <c r="CG2629" s="319"/>
      <c r="CH2629" s="318"/>
      <c r="CI2629" s="319"/>
      <c r="CJ2629" s="319"/>
      <c r="CK2629" s="342"/>
      <c r="CL2629" s="333"/>
      <c r="CM2629" s="1079"/>
      <c r="CN2629" s="1005"/>
      <c r="CO2629" s="1005"/>
      <c r="CP2629" s="1005"/>
    </row>
    <row r="2630">
      <c r="A2630" s="1257"/>
      <c r="B2630" s="1113"/>
      <c r="C2630" s="1107"/>
      <c r="D2630" s="103"/>
      <c r="E2630" s="1137"/>
      <c r="F2630" s="112"/>
      <c r="G2630" s="1110"/>
      <c r="H2630" s="1138"/>
      <c r="I2630" s="1138"/>
      <c r="J2630" s="1139"/>
      <c r="K2630" s="1111"/>
      <c r="L2630" s="1112"/>
      <c r="M2630" s="1113"/>
      <c r="N2630" s="110"/>
      <c r="O2630" s="1140"/>
      <c r="P2630" s="1115"/>
      <c r="Q2630" s="1116"/>
      <c r="R2630" s="1141"/>
      <c r="S2630" s="1113"/>
      <c r="T2630" s="1143"/>
      <c r="U2630" s="1108"/>
      <c r="V2630" s="1108"/>
      <c r="W2630" s="1108"/>
      <c r="X2630" s="1108"/>
      <c r="Y2630" s="1108"/>
      <c r="Z2630" s="1114"/>
      <c r="AA2630" s="1114"/>
      <c r="AB2630" s="1114"/>
      <c r="AC2630" s="1117"/>
      <c r="AD2630" s="1115"/>
      <c r="AE2630" s="1115"/>
      <c r="AF2630" s="1115"/>
      <c r="AG2630" s="1115"/>
      <c r="AH2630" s="1115"/>
      <c r="AI2630" s="1115"/>
      <c r="AJ2630" s="1117"/>
      <c r="AK2630" s="1118"/>
      <c r="AL2630" s="1115"/>
      <c r="AM2630" s="1115"/>
      <c r="AN2630" s="1115"/>
      <c r="AO2630" s="1115"/>
      <c r="AP2630" s="1115"/>
      <c r="AQ2630" s="1115"/>
      <c r="AR2630" s="1115"/>
      <c r="AS2630" s="1117"/>
      <c r="AT2630" s="1075"/>
      <c r="AU2630" s="1193"/>
      <c r="AV2630" s="330"/>
      <c r="AW2630" s="331"/>
      <c r="AX2630" s="331"/>
      <c r="AY2630" s="331"/>
      <c r="AZ2630" s="331"/>
      <c r="BA2630" s="331"/>
      <c r="BB2630" s="331"/>
      <c r="BC2630" s="331"/>
      <c r="BD2630" s="331"/>
      <c r="BE2630" s="333"/>
      <c r="BF2630" s="330"/>
      <c r="BG2630" s="333"/>
      <c r="BH2630" s="1119"/>
      <c r="BI2630" s="319"/>
      <c r="BJ2630" s="319"/>
      <c r="BK2630" s="319"/>
      <c r="BL2630" s="319"/>
      <c r="BM2630" s="319"/>
      <c r="BN2630" s="319"/>
      <c r="BO2630" s="319"/>
      <c r="BP2630" s="953"/>
      <c r="BQ2630" s="319"/>
      <c r="BR2630" s="319"/>
      <c r="BS2630" s="330"/>
      <c r="BT2630" s="331"/>
      <c r="BU2630" s="920"/>
      <c r="BV2630" s="903"/>
      <c r="BW2630" s="908"/>
      <c r="BX2630" s="908"/>
      <c r="BY2630" s="331"/>
      <c r="BZ2630" s="331"/>
      <c r="CA2630" s="462"/>
      <c r="CB2630" s="319"/>
      <c r="CC2630" s="319"/>
      <c r="CD2630" s="319"/>
      <c r="CE2630" s="319"/>
      <c r="CF2630" s="319"/>
      <c r="CG2630" s="319"/>
      <c r="CH2630" s="318"/>
      <c r="CI2630" s="319"/>
      <c r="CJ2630" s="319"/>
      <c r="CK2630" s="342"/>
      <c r="CL2630" s="333"/>
      <c r="CM2630" s="1079"/>
      <c r="CN2630" s="1005"/>
      <c r="CO2630" s="1005"/>
      <c r="CP2630" s="1005"/>
    </row>
    <row r="2631">
      <c r="A2631" s="1257"/>
      <c r="B2631" s="1113"/>
      <c r="C2631" s="1107"/>
      <c r="D2631" s="103"/>
      <c r="E2631" s="1137"/>
      <c r="F2631" s="112"/>
      <c r="G2631" s="1110"/>
      <c r="H2631" s="1138"/>
      <c r="I2631" s="1138"/>
      <c r="J2631" s="1139"/>
      <c r="K2631" s="1111"/>
      <c r="L2631" s="1112"/>
      <c r="M2631" s="1113"/>
      <c r="N2631" s="110"/>
      <c r="O2631" s="1140"/>
      <c r="P2631" s="1115"/>
      <c r="Q2631" s="1116"/>
      <c r="R2631" s="1141"/>
      <c r="S2631" s="1113"/>
      <c r="T2631" s="1143"/>
      <c r="U2631" s="1108"/>
      <c r="V2631" s="1108"/>
      <c r="W2631" s="1108"/>
      <c r="X2631" s="1108"/>
      <c r="Y2631" s="1108"/>
      <c r="Z2631" s="1114"/>
      <c r="AA2631" s="1114"/>
      <c r="AB2631" s="1114"/>
      <c r="AC2631" s="1117"/>
      <c r="AD2631" s="1115"/>
      <c r="AE2631" s="1115"/>
      <c r="AF2631" s="1115"/>
      <c r="AG2631" s="1115"/>
      <c r="AH2631" s="1115"/>
      <c r="AI2631" s="1115"/>
      <c r="AJ2631" s="1117"/>
      <c r="AK2631" s="1118"/>
      <c r="AL2631" s="1115"/>
      <c r="AM2631" s="1115"/>
      <c r="AN2631" s="1115"/>
      <c r="AO2631" s="1115"/>
      <c r="AP2631" s="1115"/>
      <c r="AQ2631" s="1115"/>
      <c r="AR2631" s="1115"/>
      <c r="AS2631" s="1117"/>
      <c r="AT2631" s="1075"/>
      <c r="AU2631" s="1193"/>
      <c r="AV2631" s="330"/>
      <c r="AW2631" s="331"/>
      <c r="AX2631" s="331"/>
      <c r="AY2631" s="331"/>
      <c r="AZ2631" s="331"/>
      <c r="BA2631" s="331"/>
      <c r="BB2631" s="331"/>
      <c r="BC2631" s="331"/>
      <c r="BD2631" s="331"/>
      <c r="BE2631" s="333"/>
      <c r="BF2631" s="330"/>
      <c r="BG2631" s="333"/>
      <c r="BH2631" s="1119"/>
      <c r="BI2631" s="319"/>
      <c r="BJ2631" s="319"/>
      <c r="BK2631" s="319"/>
      <c r="BL2631" s="319"/>
      <c r="BM2631" s="319"/>
      <c r="BN2631" s="319"/>
      <c r="BO2631" s="319"/>
      <c r="BP2631" s="953"/>
      <c r="BQ2631" s="319"/>
      <c r="BR2631" s="319"/>
      <c r="BS2631" s="330"/>
      <c r="BT2631" s="331"/>
      <c r="BU2631" s="920"/>
      <c r="BV2631" s="903"/>
      <c r="BW2631" s="908"/>
      <c r="BX2631" s="908"/>
      <c r="BY2631" s="331"/>
      <c r="BZ2631" s="331"/>
      <c r="CA2631" s="462"/>
      <c r="CB2631" s="319"/>
      <c r="CC2631" s="319"/>
      <c r="CD2631" s="319"/>
      <c r="CE2631" s="319"/>
      <c r="CF2631" s="319"/>
      <c r="CG2631" s="319"/>
      <c r="CH2631" s="318"/>
      <c r="CI2631" s="319"/>
      <c r="CJ2631" s="319"/>
      <c r="CK2631" s="342"/>
      <c r="CL2631" s="333"/>
      <c r="CM2631" s="1079"/>
      <c r="CN2631" s="1005"/>
      <c r="CO2631" s="1005"/>
      <c r="CP2631" s="1005"/>
    </row>
    <row r="2632">
      <c r="A2632" s="1257"/>
      <c r="B2632" s="1113"/>
      <c r="C2632" s="1107"/>
      <c r="D2632" s="103"/>
      <c r="E2632" s="1137"/>
      <c r="F2632" s="112"/>
      <c r="G2632" s="1110"/>
      <c r="H2632" s="1138"/>
      <c r="I2632" s="1138"/>
      <c r="J2632" s="1139"/>
      <c r="K2632" s="1111"/>
      <c r="L2632" s="1112"/>
      <c r="M2632" s="1113"/>
      <c r="N2632" s="110"/>
      <c r="O2632" s="1140"/>
      <c r="P2632" s="1115"/>
      <c r="Q2632" s="1116"/>
      <c r="R2632" s="1141"/>
      <c r="S2632" s="1113"/>
      <c r="T2632" s="1143"/>
      <c r="U2632" s="1108"/>
      <c r="V2632" s="1108"/>
      <c r="W2632" s="1108"/>
      <c r="X2632" s="1108"/>
      <c r="Y2632" s="1108"/>
      <c r="Z2632" s="1114"/>
      <c r="AA2632" s="1114"/>
      <c r="AB2632" s="1114"/>
      <c r="AC2632" s="1117"/>
      <c r="AD2632" s="1115"/>
      <c r="AE2632" s="1115"/>
      <c r="AF2632" s="1115"/>
      <c r="AG2632" s="1115"/>
      <c r="AH2632" s="1115"/>
      <c r="AI2632" s="1115"/>
      <c r="AJ2632" s="1117"/>
      <c r="AK2632" s="1118"/>
      <c r="AL2632" s="1115"/>
      <c r="AM2632" s="1115"/>
      <c r="AN2632" s="1115"/>
      <c r="AO2632" s="1115"/>
      <c r="AP2632" s="1115"/>
      <c r="AQ2632" s="1115"/>
      <c r="AR2632" s="1115"/>
      <c r="AS2632" s="1117"/>
      <c r="AT2632" s="1075"/>
      <c r="AU2632" s="1193"/>
      <c r="AV2632" s="330"/>
      <c r="AW2632" s="331"/>
      <c r="AX2632" s="331"/>
      <c r="AY2632" s="331"/>
      <c r="AZ2632" s="331"/>
      <c r="BA2632" s="331"/>
      <c r="BB2632" s="331"/>
      <c r="BC2632" s="331"/>
      <c r="BD2632" s="331"/>
      <c r="BE2632" s="333"/>
      <c r="BF2632" s="330"/>
      <c r="BG2632" s="333"/>
      <c r="BH2632" s="1119"/>
      <c r="BI2632" s="319"/>
      <c r="BJ2632" s="319"/>
      <c r="BK2632" s="319"/>
      <c r="BL2632" s="319"/>
      <c r="BM2632" s="319"/>
      <c r="BN2632" s="319"/>
      <c r="BO2632" s="319"/>
      <c r="BP2632" s="953"/>
      <c r="BQ2632" s="319"/>
      <c r="BR2632" s="319"/>
      <c r="BS2632" s="330"/>
      <c r="BT2632" s="331"/>
      <c r="BU2632" s="920"/>
      <c r="BV2632" s="903"/>
      <c r="BW2632" s="908"/>
      <c r="BX2632" s="908"/>
      <c r="BY2632" s="331"/>
      <c r="BZ2632" s="331"/>
      <c r="CA2632" s="462"/>
      <c r="CB2632" s="319"/>
      <c r="CC2632" s="319"/>
      <c r="CD2632" s="319"/>
      <c r="CE2632" s="319"/>
      <c r="CF2632" s="319"/>
      <c r="CG2632" s="319"/>
      <c r="CH2632" s="318"/>
      <c r="CI2632" s="319"/>
      <c r="CJ2632" s="319"/>
      <c r="CK2632" s="342"/>
      <c r="CL2632" s="333"/>
      <c r="CM2632" s="1079"/>
      <c r="CN2632" s="1005"/>
      <c r="CO2632" s="1005"/>
      <c r="CP2632" s="1005"/>
    </row>
    <row r="2633">
      <c r="A2633" s="1257"/>
      <c r="B2633" s="1113"/>
      <c r="C2633" s="1107"/>
      <c r="D2633" s="103"/>
      <c r="E2633" s="1137"/>
      <c r="F2633" s="112"/>
      <c r="G2633" s="1110"/>
      <c r="H2633" s="1138"/>
      <c r="I2633" s="1138"/>
      <c r="J2633" s="1139"/>
      <c r="K2633" s="1111"/>
      <c r="L2633" s="1112"/>
      <c r="M2633" s="1113"/>
      <c r="N2633" s="110"/>
      <c r="O2633" s="1140"/>
      <c r="P2633" s="1115"/>
      <c r="Q2633" s="1116"/>
      <c r="R2633" s="1141"/>
      <c r="S2633" s="1113"/>
      <c r="T2633" s="1143"/>
      <c r="U2633" s="1108"/>
      <c r="V2633" s="1108"/>
      <c r="W2633" s="1108"/>
      <c r="X2633" s="1108"/>
      <c r="Y2633" s="1108"/>
      <c r="Z2633" s="1114"/>
      <c r="AA2633" s="1114"/>
      <c r="AB2633" s="1114"/>
      <c r="AC2633" s="1117"/>
      <c r="AD2633" s="1115"/>
      <c r="AE2633" s="1115"/>
      <c r="AF2633" s="1115"/>
      <c r="AG2633" s="1115"/>
      <c r="AH2633" s="1115"/>
      <c r="AI2633" s="1115"/>
      <c r="AJ2633" s="1117"/>
      <c r="AK2633" s="1118"/>
      <c r="AL2633" s="1115"/>
      <c r="AM2633" s="1115"/>
      <c r="AN2633" s="1115"/>
      <c r="AO2633" s="1115"/>
      <c r="AP2633" s="1115"/>
      <c r="AQ2633" s="1115"/>
      <c r="AR2633" s="1115"/>
      <c r="AS2633" s="1117"/>
      <c r="AT2633" s="1075"/>
      <c r="AU2633" s="1193"/>
      <c r="AV2633" s="330"/>
      <c r="AW2633" s="331"/>
      <c r="AX2633" s="331"/>
      <c r="AY2633" s="331"/>
      <c r="AZ2633" s="331"/>
      <c r="BA2633" s="331"/>
      <c r="BB2633" s="331"/>
      <c r="BC2633" s="331"/>
      <c r="BD2633" s="331"/>
      <c r="BE2633" s="333"/>
      <c r="BF2633" s="330"/>
      <c r="BG2633" s="333"/>
      <c r="BH2633" s="1119"/>
      <c r="BI2633" s="319"/>
      <c r="BJ2633" s="319"/>
      <c r="BK2633" s="319"/>
      <c r="BL2633" s="319"/>
      <c r="BM2633" s="319"/>
      <c r="BN2633" s="319"/>
      <c r="BO2633" s="319"/>
      <c r="BP2633" s="953"/>
      <c r="BQ2633" s="319"/>
      <c r="BR2633" s="319"/>
      <c r="BS2633" s="330"/>
      <c r="BT2633" s="331"/>
      <c r="BU2633" s="920"/>
      <c r="BV2633" s="903"/>
      <c r="BW2633" s="908"/>
      <c r="BX2633" s="908"/>
      <c r="BY2633" s="331"/>
      <c r="BZ2633" s="331"/>
      <c r="CA2633" s="462"/>
      <c r="CB2633" s="319"/>
      <c r="CC2633" s="319"/>
      <c r="CD2633" s="319"/>
      <c r="CE2633" s="319"/>
      <c r="CF2633" s="319"/>
      <c r="CG2633" s="319"/>
      <c r="CH2633" s="318"/>
      <c r="CI2633" s="319"/>
      <c r="CJ2633" s="319"/>
      <c r="CK2633" s="342"/>
      <c r="CL2633" s="333"/>
      <c r="CM2633" s="1079"/>
      <c r="CN2633" s="1005"/>
      <c r="CO2633" s="1005"/>
      <c r="CP2633" s="1005"/>
    </row>
    <row r="2634">
      <c r="A2634" s="1257"/>
      <c r="B2634" s="1113"/>
      <c r="C2634" s="1107"/>
      <c r="D2634" s="103"/>
      <c r="E2634" s="1137"/>
      <c r="F2634" s="112"/>
      <c r="G2634" s="1110"/>
      <c r="H2634" s="1138"/>
      <c r="I2634" s="1138"/>
      <c r="J2634" s="1139"/>
      <c r="K2634" s="1111"/>
      <c r="L2634" s="1112"/>
      <c r="M2634" s="1113"/>
      <c r="N2634" s="110"/>
      <c r="O2634" s="1140"/>
      <c r="P2634" s="1115"/>
      <c r="Q2634" s="1116"/>
      <c r="R2634" s="1141"/>
      <c r="S2634" s="1113"/>
      <c r="T2634" s="1143"/>
      <c r="U2634" s="1108"/>
      <c r="V2634" s="1108"/>
      <c r="W2634" s="1108"/>
      <c r="X2634" s="1108"/>
      <c r="Y2634" s="1108"/>
      <c r="Z2634" s="1114"/>
      <c r="AA2634" s="1114"/>
      <c r="AB2634" s="1114"/>
      <c r="AC2634" s="1117"/>
      <c r="AD2634" s="1115"/>
      <c r="AE2634" s="1115"/>
      <c r="AF2634" s="1115"/>
      <c r="AG2634" s="1115"/>
      <c r="AH2634" s="1115"/>
      <c r="AI2634" s="1115"/>
      <c r="AJ2634" s="1117"/>
      <c r="AK2634" s="1118"/>
      <c r="AL2634" s="1115"/>
      <c r="AM2634" s="1115"/>
      <c r="AN2634" s="1115"/>
      <c r="AO2634" s="1115"/>
      <c r="AP2634" s="1115"/>
      <c r="AQ2634" s="1115"/>
      <c r="AR2634" s="1115"/>
      <c r="AS2634" s="1117"/>
      <c r="AT2634" s="1075"/>
      <c r="AU2634" s="1193"/>
      <c r="AV2634" s="330"/>
      <c r="AW2634" s="331"/>
      <c r="AX2634" s="331"/>
      <c r="AY2634" s="331"/>
      <c r="AZ2634" s="331"/>
      <c r="BA2634" s="331"/>
      <c r="BB2634" s="331"/>
      <c r="BC2634" s="331"/>
      <c r="BD2634" s="331"/>
      <c r="BE2634" s="333"/>
      <c r="BF2634" s="330"/>
      <c r="BG2634" s="333"/>
      <c r="BH2634" s="1119"/>
      <c r="BI2634" s="319"/>
      <c r="BJ2634" s="319"/>
      <c r="BK2634" s="319"/>
      <c r="BL2634" s="319"/>
      <c r="BM2634" s="319"/>
      <c r="BN2634" s="319"/>
      <c r="BO2634" s="319"/>
      <c r="BP2634" s="953"/>
      <c r="BQ2634" s="319"/>
      <c r="BR2634" s="319"/>
      <c r="BS2634" s="330"/>
      <c r="BT2634" s="331"/>
      <c r="BU2634" s="920"/>
      <c r="BV2634" s="903"/>
      <c r="BW2634" s="908"/>
      <c r="BX2634" s="908"/>
      <c r="BY2634" s="331"/>
      <c r="BZ2634" s="331"/>
      <c r="CA2634" s="462"/>
      <c r="CB2634" s="319"/>
      <c r="CC2634" s="319"/>
      <c r="CD2634" s="319"/>
      <c r="CE2634" s="319"/>
      <c r="CF2634" s="319"/>
      <c r="CG2634" s="319"/>
      <c r="CH2634" s="318"/>
      <c r="CI2634" s="319"/>
      <c r="CJ2634" s="319"/>
      <c r="CK2634" s="342"/>
      <c r="CL2634" s="333"/>
      <c r="CM2634" s="1079"/>
      <c r="CN2634" s="1005"/>
      <c r="CO2634" s="1005"/>
      <c r="CP2634" s="1005"/>
    </row>
    <row r="2635">
      <c r="A2635" s="1257"/>
      <c r="B2635" s="1113"/>
      <c r="C2635" s="1107"/>
      <c r="D2635" s="103"/>
      <c r="E2635" s="1137"/>
      <c r="F2635" s="112"/>
      <c r="G2635" s="1110"/>
      <c r="H2635" s="1138"/>
      <c r="I2635" s="1138"/>
      <c r="J2635" s="1139"/>
      <c r="K2635" s="1111"/>
      <c r="L2635" s="1112"/>
      <c r="M2635" s="1113"/>
      <c r="N2635" s="110"/>
      <c r="O2635" s="1140"/>
      <c r="P2635" s="1115"/>
      <c r="Q2635" s="1116"/>
      <c r="R2635" s="1141"/>
      <c r="S2635" s="1113"/>
      <c r="T2635" s="1143"/>
      <c r="U2635" s="1108"/>
      <c r="V2635" s="1108"/>
      <c r="W2635" s="1108"/>
      <c r="X2635" s="1108"/>
      <c r="Y2635" s="1108"/>
      <c r="Z2635" s="1114"/>
      <c r="AA2635" s="1114"/>
      <c r="AB2635" s="1114"/>
      <c r="AC2635" s="1117"/>
      <c r="AD2635" s="1115"/>
      <c r="AE2635" s="1115"/>
      <c r="AF2635" s="1115"/>
      <c r="AG2635" s="1115"/>
      <c r="AH2635" s="1115"/>
      <c r="AI2635" s="1115"/>
      <c r="AJ2635" s="1117"/>
      <c r="AK2635" s="1118"/>
      <c r="AL2635" s="1115"/>
      <c r="AM2635" s="1115"/>
      <c r="AN2635" s="1115"/>
      <c r="AO2635" s="1115"/>
      <c r="AP2635" s="1115"/>
      <c r="AQ2635" s="1115"/>
      <c r="AR2635" s="1115"/>
      <c r="AS2635" s="1117"/>
      <c r="AT2635" s="1075"/>
      <c r="AU2635" s="1193"/>
      <c r="AV2635" s="330"/>
      <c r="AW2635" s="331"/>
      <c r="AX2635" s="331"/>
      <c r="AY2635" s="331"/>
      <c r="AZ2635" s="331"/>
      <c r="BA2635" s="331"/>
      <c r="BB2635" s="331"/>
      <c r="BC2635" s="331"/>
      <c r="BD2635" s="331"/>
      <c r="BE2635" s="333"/>
      <c r="BF2635" s="330"/>
      <c r="BG2635" s="333"/>
      <c r="BH2635" s="1119"/>
      <c r="BI2635" s="319"/>
      <c r="BJ2635" s="319"/>
      <c r="BK2635" s="319"/>
      <c r="BL2635" s="319"/>
      <c r="BM2635" s="319"/>
      <c r="BN2635" s="319"/>
      <c r="BO2635" s="319"/>
      <c r="BP2635" s="953"/>
      <c r="BQ2635" s="319"/>
      <c r="BR2635" s="319"/>
      <c r="BS2635" s="330"/>
      <c r="BT2635" s="331"/>
      <c r="BU2635" s="920"/>
      <c r="BV2635" s="903"/>
      <c r="BW2635" s="908"/>
      <c r="BX2635" s="908"/>
      <c r="BY2635" s="331"/>
      <c r="BZ2635" s="331"/>
      <c r="CA2635" s="462"/>
      <c r="CB2635" s="319"/>
      <c r="CC2635" s="319"/>
      <c r="CD2635" s="319"/>
      <c r="CE2635" s="319"/>
      <c r="CF2635" s="319"/>
      <c r="CG2635" s="319"/>
      <c r="CH2635" s="318"/>
      <c r="CI2635" s="319"/>
      <c r="CJ2635" s="319"/>
      <c r="CK2635" s="342"/>
      <c r="CL2635" s="333"/>
      <c r="CM2635" s="1079"/>
      <c r="CN2635" s="1005"/>
      <c r="CO2635" s="1005"/>
      <c r="CP2635" s="1005"/>
    </row>
    <row r="2636">
      <c r="A2636" s="1257"/>
      <c r="B2636" s="1113"/>
      <c r="C2636" s="1107"/>
      <c r="D2636" s="103"/>
      <c r="E2636" s="1137"/>
      <c r="F2636" s="112"/>
      <c r="G2636" s="1110"/>
      <c r="H2636" s="1138"/>
      <c r="I2636" s="1138"/>
      <c r="J2636" s="1139"/>
      <c r="K2636" s="1111"/>
      <c r="L2636" s="1112"/>
      <c r="M2636" s="1113"/>
      <c r="N2636" s="110"/>
      <c r="O2636" s="1140"/>
      <c r="P2636" s="1115"/>
      <c r="Q2636" s="1116"/>
      <c r="R2636" s="1141"/>
      <c r="S2636" s="1113"/>
      <c r="T2636" s="1143"/>
      <c r="U2636" s="1108"/>
      <c r="V2636" s="1108"/>
      <c r="W2636" s="1108"/>
      <c r="X2636" s="1108"/>
      <c r="Y2636" s="1108"/>
      <c r="Z2636" s="1114"/>
      <c r="AA2636" s="1114"/>
      <c r="AB2636" s="1114"/>
      <c r="AC2636" s="1117"/>
      <c r="AD2636" s="1115"/>
      <c r="AE2636" s="1115"/>
      <c r="AF2636" s="1115"/>
      <c r="AG2636" s="1115"/>
      <c r="AH2636" s="1115"/>
      <c r="AI2636" s="1115"/>
      <c r="AJ2636" s="1117"/>
      <c r="AK2636" s="1118"/>
      <c r="AL2636" s="1115"/>
      <c r="AM2636" s="1115"/>
      <c r="AN2636" s="1115"/>
      <c r="AO2636" s="1115"/>
      <c r="AP2636" s="1115"/>
      <c r="AQ2636" s="1115"/>
      <c r="AR2636" s="1115"/>
      <c r="AS2636" s="1117"/>
      <c r="AT2636" s="1075"/>
      <c r="AU2636" s="1193"/>
      <c r="AV2636" s="330"/>
      <c r="AW2636" s="331"/>
      <c r="AX2636" s="331"/>
      <c r="AY2636" s="331"/>
      <c r="AZ2636" s="331"/>
      <c r="BA2636" s="331"/>
      <c r="BB2636" s="331"/>
      <c r="BC2636" s="331"/>
      <c r="BD2636" s="331"/>
      <c r="BE2636" s="333"/>
      <c r="BF2636" s="330"/>
      <c r="BG2636" s="333"/>
      <c r="BH2636" s="1119"/>
      <c r="BI2636" s="319"/>
      <c r="BJ2636" s="319"/>
      <c r="BK2636" s="319"/>
      <c r="BL2636" s="319"/>
      <c r="BM2636" s="319"/>
      <c r="BN2636" s="319"/>
      <c r="BO2636" s="319"/>
      <c r="BP2636" s="953"/>
      <c r="BQ2636" s="319"/>
      <c r="BR2636" s="319"/>
      <c r="BS2636" s="330"/>
      <c r="BT2636" s="331"/>
      <c r="BU2636" s="920"/>
      <c r="BV2636" s="903"/>
      <c r="BW2636" s="908"/>
      <c r="BX2636" s="908"/>
      <c r="BY2636" s="331"/>
      <c r="BZ2636" s="331"/>
      <c r="CA2636" s="462"/>
      <c r="CB2636" s="319"/>
      <c r="CC2636" s="319"/>
      <c r="CD2636" s="319"/>
      <c r="CE2636" s="319"/>
      <c r="CF2636" s="319"/>
      <c r="CG2636" s="319"/>
      <c r="CH2636" s="318"/>
      <c r="CI2636" s="319"/>
      <c r="CJ2636" s="319"/>
      <c r="CK2636" s="342"/>
      <c r="CL2636" s="333"/>
      <c r="CM2636" s="1079"/>
      <c r="CN2636" s="1005"/>
      <c r="CO2636" s="1005"/>
      <c r="CP2636" s="1005"/>
    </row>
    <row r="2637">
      <c r="A2637" s="1257"/>
      <c r="B2637" s="1113"/>
      <c r="C2637" s="1107"/>
      <c r="D2637" s="103"/>
      <c r="E2637" s="1137"/>
      <c r="F2637" s="112"/>
      <c r="G2637" s="1110"/>
      <c r="H2637" s="1138"/>
      <c r="I2637" s="1138"/>
      <c r="J2637" s="1139"/>
      <c r="K2637" s="1111"/>
      <c r="L2637" s="1112"/>
      <c r="M2637" s="1113"/>
      <c r="N2637" s="110"/>
      <c r="O2637" s="1140"/>
      <c r="P2637" s="1115"/>
      <c r="Q2637" s="1116"/>
      <c r="R2637" s="1141"/>
      <c r="S2637" s="1113"/>
      <c r="T2637" s="1143"/>
      <c r="U2637" s="1108"/>
      <c r="V2637" s="1108"/>
      <c r="W2637" s="1108"/>
      <c r="X2637" s="1108"/>
      <c r="Y2637" s="1108"/>
      <c r="Z2637" s="1114"/>
      <c r="AA2637" s="1114"/>
      <c r="AB2637" s="1114"/>
      <c r="AC2637" s="1117"/>
      <c r="AD2637" s="1115"/>
      <c r="AE2637" s="1115"/>
      <c r="AF2637" s="1115"/>
      <c r="AG2637" s="1115"/>
      <c r="AH2637" s="1115"/>
      <c r="AI2637" s="1115"/>
      <c r="AJ2637" s="1117"/>
      <c r="AK2637" s="1118"/>
      <c r="AL2637" s="1115"/>
      <c r="AM2637" s="1115"/>
      <c r="AN2637" s="1115"/>
      <c r="AO2637" s="1115"/>
      <c r="AP2637" s="1115"/>
      <c r="AQ2637" s="1115"/>
      <c r="AR2637" s="1115"/>
      <c r="AS2637" s="1117"/>
      <c r="AT2637" s="1075"/>
      <c r="AU2637" s="1193"/>
      <c r="AV2637" s="330"/>
      <c r="AW2637" s="331"/>
      <c r="AX2637" s="331"/>
      <c r="AY2637" s="331"/>
      <c r="AZ2637" s="331"/>
      <c r="BA2637" s="331"/>
      <c r="BB2637" s="331"/>
      <c r="BC2637" s="331"/>
      <c r="BD2637" s="331"/>
      <c r="BE2637" s="333"/>
      <c r="BF2637" s="330"/>
      <c r="BG2637" s="333"/>
      <c r="BH2637" s="1119"/>
      <c r="BI2637" s="319"/>
      <c r="BJ2637" s="319"/>
      <c r="BK2637" s="319"/>
      <c r="BL2637" s="319"/>
      <c r="BM2637" s="319"/>
      <c r="BN2637" s="319"/>
      <c r="BO2637" s="319"/>
      <c r="BP2637" s="953"/>
      <c r="BQ2637" s="319"/>
      <c r="BR2637" s="319"/>
      <c r="BS2637" s="330"/>
      <c r="BT2637" s="331"/>
      <c r="BU2637" s="920"/>
      <c r="BV2637" s="903"/>
      <c r="BW2637" s="908"/>
      <c r="BX2637" s="908"/>
      <c r="BY2637" s="331"/>
      <c r="BZ2637" s="331"/>
      <c r="CA2637" s="462"/>
      <c r="CB2637" s="319"/>
      <c r="CC2637" s="319"/>
      <c r="CD2637" s="319"/>
      <c r="CE2637" s="319"/>
      <c r="CF2637" s="319"/>
      <c r="CG2637" s="319"/>
      <c r="CH2637" s="318"/>
      <c r="CI2637" s="319"/>
      <c r="CJ2637" s="319"/>
      <c r="CK2637" s="342"/>
      <c r="CL2637" s="333"/>
      <c r="CM2637" s="1079"/>
      <c r="CN2637" s="1005"/>
      <c r="CO2637" s="1005"/>
      <c r="CP2637" s="1005"/>
    </row>
    <row r="2638">
      <c r="A2638" s="1257"/>
      <c r="B2638" s="1113"/>
      <c r="C2638" s="1107"/>
      <c r="D2638" s="103"/>
      <c r="E2638" s="1137"/>
      <c r="F2638" s="112"/>
      <c r="G2638" s="1110"/>
      <c r="H2638" s="1138"/>
      <c r="I2638" s="1138"/>
      <c r="J2638" s="1139"/>
      <c r="K2638" s="1111"/>
      <c r="L2638" s="1112"/>
      <c r="M2638" s="1113"/>
      <c r="N2638" s="110"/>
      <c r="O2638" s="1140"/>
      <c r="P2638" s="1115"/>
      <c r="Q2638" s="1116"/>
      <c r="R2638" s="1141"/>
      <c r="S2638" s="1113"/>
      <c r="T2638" s="1143"/>
      <c r="U2638" s="1108"/>
      <c r="V2638" s="1108"/>
      <c r="W2638" s="1108"/>
      <c r="X2638" s="1108"/>
      <c r="Y2638" s="1108"/>
      <c r="Z2638" s="1114"/>
      <c r="AA2638" s="1114"/>
      <c r="AB2638" s="1114"/>
      <c r="AC2638" s="1117"/>
      <c r="AD2638" s="1115"/>
      <c r="AE2638" s="1115"/>
      <c r="AF2638" s="1115"/>
      <c r="AG2638" s="1115"/>
      <c r="AH2638" s="1115"/>
      <c r="AI2638" s="1115"/>
      <c r="AJ2638" s="1117"/>
      <c r="AK2638" s="1118"/>
      <c r="AL2638" s="1115"/>
      <c r="AM2638" s="1115"/>
      <c r="AN2638" s="1115"/>
      <c r="AO2638" s="1115"/>
      <c r="AP2638" s="1115"/>
      <c r="AQ2638" s="1115"/>
      <c r="AR2638" s="1115"/>
      <c r="AS2638" s="1117"/>
      <c r="AT2638" s="1075"/>
      <c r="AU2638" s="1193"/>
      <c r="AV2638" s="330"/>
      <c r="AW2638" s="331"/>
      <c r="AX2638" s="331"/>
      <c r="AY2638" s="331"/>
      <c r="AZ2638" s="331"/>
      <c r="BA2638" s="331"/>
      <c r="BB2638" s="331"/>
      <c r="BC2638" s="331"/>
      <c r="BD2638" s="331"/>
      <c r="BE2638" s="333"/>
      <c r="BF2638" s="330"/>
      <c r="BG2638" s="333"/>
      <c r="BH2638" s="1119"/>
      <c r="BI2638" s="319"/>
      <c r="BJ2638" s="319"/>
      <c r="BK2638" s="319"/>
      <c r="BL2638" s="319"/>
      <c r="BM2638" s="319"/>
      <c r="BN2638" s="319"/>
      <c r="BO2638" s="319"/>
      <c r="BP2638" s="953"/>
      <c r="BQ2638" s="319"/>
      <c r="BR2638" s="319"/>
      <c r="BS2638" s="330"/>
      <c r="BT2638" s="331"/>
      <c r="BU2638" s="920"/>
      <c r="BV2638" s="903"/>
      <c r="BW2638" s="908"/>
      <c r="BX2638" s="908"/>
      <c r="BY2638" s="331"/>
      <c r="BZ2638" s="331"/>
      <c r="CA2638" s="462"/>
      <c r="CB2638" s="319"/>
      <c r="CC2638" s="319"/>
      <c r="CD2638" s="319"/>
      <c r="CE2638" s="319"/>
      <c r="CF2638" s="319"/>
      <c r="CG2638" s="319"/>
      <c r="CH2638" s="318"/>
      <c r="CI2638" s="319"/>
      <c r="CJ2638" s="319"/>
      <c r="CK2638" s="342"/>
      <c r="CL2638" s="333"/>
      <c r="CM2638" s="1079"/>
      <c r="CN2638" s="1005"/>
      <c r="CO2638" s="1005"/>
      <c r="CP2638" s="1005"/>
    </row>
    <row r="2639">
      <c r="A2639" s="1257"/>
      <c r="B2639" s="1113"/>
      <c r="C2639" s="1107"/>
      <c r="D2639" s="103"/>
      <c r="E2639" s="1137"/>
      <c r="F2639" s="112"/>
      <c r="G2639" s="1110"/>
      <c r="H2639" s="1138"/>
      <c r="I2639" s="1138"/>
      <c r="J2639" s="1139"/>
      <c r="K2639" s="1111"/>
      <c r="L2639" s="1112"/>
      <c r="M2639" s="1113"/>
      <c r="N2639" s="110"/>
      <c r="O2639" s="1140"/>
      <c r="P2639" s="1115"/>
      <c r="Q2639" s="1116"/>
      <c r="R2639" s="1141"/>
      <c r="S2639" s="1113"/>
      <c r="T2639" s="1143"/>
      <c r="U2639" s="1108"/>
      <c r="V2639" s="1108"/>
      <c r="W2639" s="1108"/>
      <c r="X2639" s="1108"/>
      <c r="Y2639" s="1108"/>
      <c r="Z2639" s="1114"/>
      <c r="AA2639" s="1114"/>
      <c r="AB2639" s="1114"/>
      <c r="AC2639" s="1117"/>
      <c r="AD2639" s="1115"/>
      <c r="AE2639" s="1115"/>
      <c r="AF2639" s="1115"/>
      <c r="AG2639" s="1115"/>
      <c r="AH2639" s="1115"/>
      <c r="AI2639" s="1115"/>
      <c r="AJ2639" s="1117"/>
      <c r="AK2639" s="1118"/>
      <c r="AL2639" s="1115"/>
      <c r="AM2639" s="1115"/>
      <c r="AN2639" s="1115"/>
      <c r="AO2639" s="1115"/>
      <c r="AP2639" s="1115"/>
      <c r="AQ2639" s="1115"/>
      <c r="AR2639" s="1115"/>
      <c r="AS2639" s="1117"/>
      <c r="AT2639" s="1075"/>
      <c r="AU2639" s="1193"/>
      <c r="AV2639" s="330"/>
      <c r="AW2639" s="331"/>
      <c r="AX2639" s="331"/>
      <c r="AY2639" s="331"/>
      <c r="AZ2639" s="331"/>
      <c r="BA2639" s="331"/>
      <c r="BB2639" s="331"/>
      <c r="BC2639" s="331"/>
      <c r="BD2639" s="331"/>
      <c r="BE2639" s="333"/>
      <c r="BF2639" s="330"/>
      <c r="BG2639" s="333"/>
      <c r="BH2639" s="1119"/>
      <c r="BI2639" s="319"/>
      <c r="BJ2639" s="319"/>
      <c r="BK2639" s="319"/>
      <c r="BL2639" s="319"/>
      <c r="BM2639" s="319"/>
      <c r="BN2639" s="319"/>
      <c r="BO2639" s="319"/>
      <c r="BP2639" s="953"/>
      <c r="BQ2639" s="319"/>
      <c r="BR2639" s="319"/>
      <c r="BS2639" s="330"/>
      <c r="BT2639" s="331"/>
      <c r="BU2639" s="920"/>
      <c r="BV2639" s="903"/>
      <c r="BW2639" s="908"/>
      <c r="BX2639" s="908"/>
      <c r="BY2639" s="331"/>
      <c r="BZ2639" s="331"/>
      <c r="CA2639" s="462"/>
      <c r="CB2639" s="319"/>
      <c r="CC2639" s="319"/>
      <c r="CD2639" s="319"/>
      <c r="CE2639" s="319"/>
      <c r="CF2639" s="319"/>
      <c r="CG2639" s="319"/>
      <c r="CH2639" s="318"/>
      <c r="CI2639" s="319"/>
      <c r="CJ2639" s="319"/>
      <c r="CK2639" s="342"/>
      <c r="CL2639" s="333"/>
      <c r="CM2639" s="1079"/>
      <c r="CN2639" s="1005"/>
      <c r="CO2639" s="1005"/>
      <c r="CP2639" s="1005"/>
    </row>
    <row r="2640">
      <c r="A2640" s="1257"/>
      <c r="B2640" s="1113"/>
      <c r="C2640" s="1107"/>
      <c r="D2640" s="103"/>
      <c r="E2640" s="1137"/>
      <c r="F2640" s="112"/>
      <c r="G2640" s="1110"/>
      <c r="H2640" s="1138"/>
      <c r="I2640" s="1138"/>
      <c r="J2640" s="1139"/>
      <c r="K2640" s="1111"/>
      <c r="L2640" s="1112"/>
      <c r="M2640" s="1113"/>
      <c r="N2640" s="110"/>
      <c r="O2640" s="1140"/>
      <c r="P2640" s="1115"/>
      <c r="Q2640" s="1116"/>
      <c r="R2640" s="1141"/>
      <c r="S2640" s="1113"/>
      <c r="T2640" s="1143"/>
      <c r="U2640" s="1108"/>
      <c r="V2640" s="1108"/>
      <c r="W2640" s="1108"/>
      <c r="X2640" s="1108"/>
      <c r="Y2640" s="1108"/>
      <c r="Z2640" s="1114"/>
      <c r="AA2640" s="1114"/>
      <c r="AB2640" s="1114"/>
      <c r="AC2640" s="1117"/>
      <c r="AD2640" s="1115"/>
      <c r="AE2640" s="1115"/>
      <c r="AF2640" s="1115"/>
      <c r="AG2640" s="1115"/>
      <c r="AH2640" s="1115"/>
      <c r="AI2640" s="1115"/>
      <c r="AJ2640" s="1117"/>
      <c r="AK2640" s="1118"/>
      <c r="AL2640" s="1115"/>
      <c r="AM2640" s="1115"/>
      <c r="AN2640" s="1115"/>
      <c r="AO2640" s="1115"/>
      <c r="AP2640" s="1115"/>
      <c r="AQ2640" s="1115"/>
      <c r="AR2640" s="1115"/>
      <c r="AS2640" s="1117"/>
      <c r="AT2640" s="1075"/>
      <c r="AU2640" s="1193"/>
      <c r="AV2640" s="330"/>
      <c r="AW2640" s="331"/>
      <c r="AX2640" s="331"/>
      <c r="AY2640" s="331"/>
      <c r="AZ2640" s="331"/>
      <c r="BA2640" s="331"/>
      <c r="BB2640" s="331"/>
      <c r="BC2640" s="331"/>
      <c r="BD2640" s="331"/>
      <c r="BE2640" s="333"/>
      <c r="BF2640" s="330"/>
      <c r="BG2640" s="333"/>
      <c r="BH2640" s="1119"/>
      <c r="BI2640" s="319"/>
      <c r="BJ2640" s="319"/>
      <c r="BK2640" s="319"/>
      <c r="BL2640" s="319"/>
      <c r="BM2640" s="319"/>
      <c r="BN2640" s="319"/>
      <c r="BO2640" s="319"/>
      <c r="BP2640" s="953"/>
      <c r="BQ2640" s="319"/>
      <c r="BR2640" s="319"/>
      <c r="BS2640" s="330"/>
      <c r="BT2640" s="331"/>
      <c r="BU2640" s="920"/>
      <c r="BV2640" s="903"/>
      <c r="BW2640" s="908"/>
      <c r="BX2640" s="908"/>
      <c r="BY2640" s="331"/>
      <c r="BZ2640" s="331"/>
      <c r="CA2640" s="462"/>
      <c r="CB2640" s="319"/>
      <c r="CC2640" s="319"/>
      <c r="CD2640" s="319"/>
      <c r="CE2640" s="319"/>
      <c r="CF2640" s="319"/>
      <c r="CG2640" s="319"/>
      <c r="CH2640" s="318"/>
      <c r="CI2640" s="319"/>
      <c r="CJ2640" s="319"/>
      <c r="CK2640" s="342"/>
      <c r="CL2640" s="333"/>
      <c r="CM2640" s="1079"/>
      <c r="CN2640" s="1005"/>
      <c r="CO2640" s="1005"/>
      <c r="CP2640" s="1005"/>
    </row>
    <row r="2641">
      <c r="A2641" s="1257"/>
      <c r="B2641" s="1113"/>
      <c r="C2641" s="1107"/>
      <c r="D2641" s="103"/>
      <c r="E2641" s="1137"/>
      <c r="F2641" s="112"/>
      <c r="G2641" s="1110"/>
      <c r="H2641" s="1138"/>
      <c r="I2641" s="1138"/>
      <c r="J2641" s="1139"/>
      <c r="K2641" s="1111"/>
      <c r="L2641" s="1112"/>
      <c r="M2641" s="1113"/>
      <c r="N2641" s="110"/>
      <c r="O2641" s="1140"/>
      <c r="P2641" s="1115"/>
      <c r="Q2641" s="1116"/>
      <c r="R2641" s="1141"/>
      <c r="S2641" s="1113"/>
      <c r="T2641" s="1143"/>
      <c r="U2641" s="1108"/>
      <c r="V2641" s="1108"/>
      <c r="W2641" s="1108"/>
      <c r="X2641" s="1108"/>
      <c r="Y2641" s="1108"/>
      <c r="Z2641" s="1114"/>
      <c r="AA2641" s="1114"/>
      <c r="AB2641" s="1114"/>
      <c r="AC2641" s="1117"/>
      <c r="AD2641" s="1115"/>
      <c r="AE2641" s="1115"/>
      <c r="AF2641" s="1115"/>
      <c r="AG2641" s="1115"/>
      <c r="AH2641" s="1115"/>
      <c r="AI2641" s="1115"/>
      <c r="AJ2641" s="1117"/>
      <c r="AK2641" s="1118"/>
      <c r="AL2641" s="1115"/>
      <c r="AM2641" s="1115"/>
      <c r="AN2641" s="1115"/>
      <c r="AO2641" s="1115"/>
      <c r="AP2641" s="1115"/>
      <c r="AQ2641" s="1115"/>
      <c r="AR2641" s="1115"/>
      <c r="AS2641" s="1117"/>
      <c r="AT2641" s="1075"/>
      <c r="AU2641" s="1193"/>
      <c r="AV2641" s="330"/>
      <c r="AW2641" s="331"/>
      <c r="AX2641" s="331"/>
      <c r="AY2641" s="331"/>
      <c r="AZ2641" s="331"/>
      <c r="BA2641" s="331"/>
      <c r="BB2641" s="331"/>
      <c r="BC2641" s="331"/>
      <c r="BD2641" s="331"/>
      <c r="BE2641" s="333"/>
      <c r="BF2641" s="330"/>
      <c r="BG2641" s="333"/>
      <c r="BH2641" s="1119"/>
      <c r="BI2641" s="319"/>
      <c r="BJ2641" s="319"/>
      <c r="BK2641" s="319"/>
      <c r="BL2641" s="319"/>
      <c r="BM2641" s="319"/>
      <c r="BN2641" s="319"/>
      <c r="BO2641" s="319"/>
      <c r="BP2641" s="953"/>
      <c r="BQ2641" s="319"/>
      <c r="BR2641" s="319"/>
      <c r="BS2641" s="330"/>
      <c r="BT2641" s="331"/>
      <c r="BU2641" s="920"/>
      <c r="BV2641" s="903"/>
      <c r="BW2641" s="908"/>
      <c r="BX2641" s="908"/>
      <c r="BY2641" s="331"/>
      <c r="BZ2641" s="331"/>
      <c r="CA2641" s="462"/>
      <c r="CB2641" s="319"/>
      <c r="CC2641" s="319"/>
      <c r="CD2641" s="319"/>
      <c r="CE2641" s="319"/>
      <c r="CF2641" s="319"/>
      <c r="CG2641" s="319"/>
      <c r="CH2641" s="318"/>
      <c r="CI2641" s="319"/>
      <c r="CJ2641" s="319"/>
      <c r="CK2641" s="342"/>
      <c r="CL2641" s="333"/>
      <c r="CM2641" s="1079"/>
      <c r="CN2641" s="1005"/>
      <c r="CO2641" s="1005"/>
      <c r="CP2641" s="1005"/>
    </row>
    <row r="2642">
      <c r="A2642" s="1257"/>
      <c r="B2642" s="1113"/>
      <c r="C2642" s="1107"/>
      <c r="D2642" s="103"/>
      <c r="E2642" s="1137"/>
      <c r="F2642" s="112"/>
      <c r="G2642" s="1110"/>
      <c r="H2642" s="1138"/>
      <c r="I2642" s="1138"/>
      <c r="J2642" s="1139"/>
      <c r="K2642" s="1111"/>
      <c r="L2642" s="1112"/>
      <c r="M2642" s="1113"/>
      <c r="N2642" s="110"/>
      <c r="O2642" s="1140"/>
      <c r="P2642" s="1115"/>
      <c r="Q2642" s="1116"/>
      <c r="R2642" s="1141"/>
      <c r="S2642" s="1113"/>
      <c r="T2642" s="1143"/>
      <c r="U2642" s="1108"/>
      <c r="V2642" s="1108"/>
      <c r="W2642" s="1108"/>
      <c r="X2642" s="1108"/>
      <c r="Y2642" s="1108"/>
      <c r="Z2642" s="1114"/>
      <c r="AA2642" s="1114"/>
      <c r="AB2642" s="1114"/>
      <c r="AC2642" s="1117"/>
      <c r="AD2642" s="1115"/>
      <c r="AE2642" s="1115"/>
      <c r="AF2642" s="1115"/>
      <c r="AG2642" s="1115"/>
      <c r="AH2642" s="1115"/>
      <c r="AI2642" s="1115"/>
      <c r="AJ2642" s="1117"/>
      <c r="AK2642" s="1118"/>
      <c r="AL2642" s="1115"/>
      <c r="AM2642" s="1115"/>
      <c r="AN2642" s="1115"/>
      <c r="AO2642" s="1115"/>
      <c r="AP2642" s="1115"/>
      <c r="AQ2642" s="1115"/>
      <c r="AR2642" s="1115"/>
      <c r="AS2642" s="1117"/>
      <c r="AT2642" s="1075"/>
      <c r="AU2642" s="1193"/>
      <c r="AV2642" s="330"/>
      <c r="AW2642" s="331"/>
      <c r="AX2642" s="331"/>
      <c r="AY2642" s="331"/>
      <c r="AZ2642" s="331"/>
      <c r="BA2642" s="331"/>
      <c r="BB2642" s="331"/>
      <c r="BC2642" s="331"/>
      <c r="BD2642" s="331"/>
      <c r="BE2642" s="333"/>
      <c r="BF2642" s="330"/>
      <c r="BG2642" s="333"/>
      <c r="BH2642" s="1119"/>
      <c r="BI2642" s="319"/>
      <c r="BJ2642" s="319"/>
      <c r="BK2642" s="319"/>
      <c r="BL2642" s="319"/>
      <c r="BM2642" s="319"/>
      <c r="BN2642" s="319"/>
      <c r="BO2642" s="319"/>
      <c r="BP2642" s="953"/>
      <c r="BQ2642" s="319"/>
      <c r="BR2642" s="319"/>
      <c r="BS2642" s="330"/>
      <c r="BT2642" s="331"/>
      <c r="BU2642" s="920"/>
      <c r="BV2642" s="903"/>
      <c r="BW2642" s="908"/>
      <c r="BX2642" s="908"/>
      <c r="BY2642" s="331"/>
      <c r="BZ2642" s="331"/>
      <c r="CA2642" s="462"/>
      <c r="CB2642" s="319"/>
      <c r="CC2642" s="319"/>
      <c r="CD2642" s="319"/>
      <c r="CE2642" s="319"/>
      <c r="CF2642" s="319"/>
      <c r="CG2642" s="319"/>
      <c r="CH2642" s="318"/>
      <c r="CI2642" s="319"/>
      <c r="CJ2642" s="319"/>
      <c r="CK2642" s="342"/>
      <c r="CL2642" s="333"/>
      <c r="CM2642" s="1079"/>
      <c r="CN2642" s="1005"/>
      <c r="CO2642" s="1005"/>
      <c r="CP2642" s="1005"/>
    </row>
    <row r="2643">
      <c r="A2643" s="1257"/>
      <c r="B2643" s="1113"/>
      <c r="C2643" s="1107"/>
      <c r="D2643" s="103"/>
      <c r="E2643" s="1137"/>
      <c r="F2643" s="112"/>
      <c r="G2643" s="1110"/>
      <c r="H2643" s="1138"/>
      <c r="I2643" s="1138"/>
      <c r="J2643" s="1139"/>
      <c r="K2643" s="1111"/>
      <c r="L2643" s="1112"/>
      <c r="M2643" s="1113"/>
      <c r="N2643" s="110"/>
      <c r="O2643" s="1140"/>
      <c r="P2643" s="1115"/>
      <c r="Q2643" s="1116"/>
      <c r="R2643" s="1141"/>
      <c r="S2643" s="1113"/>
      <c r="T2643" s="1143"/>
      <c r="U2643" s="1108"/>
      <c r="V2643" s="1108"/>
      <c r="W2643" s="1108"/>
      <c r="X2643" s="1108"/>
      <c r="Y2643" s="1108"/>
      <c r="Z2643" s="1114"/>
      <c r="AA2643" s="1114"/>
      <c r="AB2643" s="1114"/>
      <c r="AC2643" s="1117"/>
      <c r="AD2643" s="1115"/>
      <c r="AE2643" s="1115"/>
      <c r="AF2643" s="1115"/>
      <c r="AG2643" s="1115"/>
      <c r="AH2643" s="1115"/>
      <c r="AI2643" s="1115"/>
      <c r="AJ2643" s="1117"/>
      <c r="AK2643" s="1118"/>
      <c r="AL2643" s="1115"/>
      <c r="AM2643" s="1115"/>
      <c r="AN2643" s="1115"/>
      <c r="AO2643" s="1115"/>
      <c r="AP2643" s="1115"/>
      <c r="AQ2643" s="1115"/>
      <c r="AR2643" s="1115"/>
      <c r="AS2643" s="1117"/>
      <c r="AT2643" s="1075"/>
      <c r="AU2643" s="1193"/>
      <c r="AV2643" s="330"/>
      <c r="AW2643" s="331"/>
      <c r="AX2643" s="331"/>
      <c r="AY2643" s="331"/>
      <c r="AZ2643" s="331"/>
      <c r="BA2643" s="331"/>
      <c r="BB2643" s="331"/>
      <c r="BC2643" s="331"/>
      <c r="BD2643" s="331"/>
      <c r="BE2643" s="333"/>
      <c r="BF2643" s="330"/>
      <c r="BG2643" s="333"/>
      <c r="BH2643" s="1119"/>
      <c r="BI2643" s="319"/>
      <c r="BJ2643" s="319"/>
      <c r="BK2643" s="319"/>
      <c r="BL2643" s="319"/>
      <c r="BM2643" s="319"/>
      <c r="BN2643" s="319"/>
      <c r="BO2643" s="319"/>
      <c r="BP2643" s="953"/>
      <c r="BQ2643" s="319"/>
      <c r="BR2643" s="319"/>
      <c r="BS2643" s="330"/>
      <c r="BT2643" s="331"/>
      <c r="BU2643" s="920"/>
      <c r="BV2643" s="903"/>
      <c r="BW2643" s="908"/>
      <c r="BX2643" s="908"/>
      <c r="BY2643" s="331"/>
      <c r="BZ2643" s="331"/>
      <c r="CA2643" s="462"/>
      <c r="CB2643" s="319"/>
      <c r="CC2643" s="319"/>
      <c r="CD2643" s="319"/>
      <c r="CE2643" s="319"/>
      <c r="CF2643" s="319"/>
      <c r="CG2643" s="319"/>
      <c r="CH2643" s="318"/>
      <c r="CI2643" s="319"/>
      <c r="CJ2643" s="319"/>
      <c r="CK2643" s="342"/>
      <c r="CL2643" s="333"/>
      <c r="CM2643" s="1079"/>
      <c r="CN2643" s="1005"/>
      <c r="CO2643" s="1005"/>
      <c r="CP2643" s="1005"/>
    </row>
    <row r="2644">
      <c r="A2644" s="1257"/>
      <c r="B2644" s="1113"/>
      <c r="C2644" s="1107"/>
      <c r="D2644" s="103"/>
      <c r="E2644" s="1137"/>
      <c r="F2644" s="112"/>
      <c r="G2644" s="1110"/>
      <c r="H2644" s="1138"/>
      <c r="I2644" s="1138"/>
      <c r="J2644" s="1139"/>
      <c r="K2644" s="1111"/>
      <c r="L2644" s="1112"/>
      <c r="M2644" s="1113"/>
      <c r="N2644" s="110"/>
      <c r="O2644" s="1140"/>
      <c r="P2644" s="1115"/>
      <c r="Q2644" s="1116"/>
      <c r="R2644" s="1141"/>
      <c r="S2644" s="1113"/>
      <c r="T2644" s="1143"/>
      <c r="U2644" s="1108"/>
      <c r="V2644" s="1108"/>
      <c r="W2644" s="1108"/>
      <c r="X2644" s="1108"/>
      <c r="Y2644" s="1108"/>
      <c r="Z2644" s="1114"/>
      <c r="AA2644" s="1114"/>
      <c r="AB2644" s="1114"/>
      <c r="AC2644" s="1117"/>
      <c r="AD2644" s="1115"/>
      <c r="AE2644" s="1115"/>
      <c r="AF2644" s="1115"/>
      <c r="AG2644" s="1115"/>
      <c r="AH2644" s="1115"/>
      <c r="AI2644" s="1115"/>
      <c r="AJ2644" s="1117"/>
      <c r="AK2644" s="1118"/>
      <c r="AL2644" s="1115"/>
      <c r="AM2644" s="1115"/>
      <c r="AN2644" s="1115"/>
      <c r="AO2644" s="1115"/>
      <c r="AP2644" s="1115"/>
      <c r="AQ2644" s="1115"/>
      <c r="AR2644" s="1115"/>
      <c r="AS2644" s="1117"/>
      <c r="AT2644" s="1075"/>
      <c r="AU2644" s="1193"/>
      <c r="AV2644" s="330"/>
      <c r="AW2644" s="331"/>
      <c r="AX2644" s="331"/>
      <c r="AY2644" s="331"/>
      <c r="AZ2644" s="331"/>
      <c r="BA2644" s="331"/>
      <c r="BB2644" s="331"/>
      <c r="BC2644" s="331"/>
      <c r="BD2644" s="331"/>
      <c r="BE2644" s="333"/>
      <c r="BF2644" s="330"/>
      <c r="BG2644" s="333"/>
      <c r="BH2644" s="1119"/>
      <c r="BI2644" s="319"/>
      <c r="BJ2644" s="319"/>
      <c r="BK2644" s="319"/>
      <c r="BL2644" s="319"/>
      <c r="BM2644" s="319"/>
      <c r="BN2644" s="319"/>
      <c r="BO2644" s="319"/>
      <c r="BP2644" s="953"/>
      <c r="BQ2644" s="319"/>
      <c r="BR2644" s="319"/>
      <c r="BS2644" s="330"/>
      <c r="BT2644" s="331"/>
      <c r="BU2644" s="920"/>
      <c r="BV2644" s="903"/>
      <c r="BW2644" s="908"/>
      <c r="BX2644" s="908"/>
      <c r="BY2644" s="331"/>
      <c r="BZ2644" s="331"/>
      <c r="CA2644" s="462"/>
      <c r="CB2644" s="319"/>
      <c r="CC2644" s="319"/>
      <c r="CD2644" s="319"/>
      <c r="CE2644" s="319"/>
      <c r="CF2644" s="319"/>
      <c r="CG2644" s="319"/>
      <c r="CH2644" s="318"/>
      <c r="CI2644" s="319"/>
      <c r="CJ2644" s="319"/>
      <c r="CK2644" s="342"/>
      <c r="CL2644" s="333"/>
      <c r="CM2644" s="1079"/>
      <c r="CN2644" s="1005"/>
      <c r="CO2644" s="1005"/>
      <c r="CP2644" s="1005"/>
    </row>
    <row r="2645">
      <c r="A2645" s="1257"/>
      <c r="B2645" s="1113"/>
      <c r="C2645" s="1107"/>
      <c r="D2645" s="103"/>
      <c r="E2645" s="1137"/>
      <c r="F2645" s="112"/>
      <c r="G2645" s="1110"/>
      <c r="H2645" s="1138"/>
      <c r="I2645" s="1138"/>
      <c r="J2645" s="1139"/>
      <c r="K2645" s="1111"/>
      <c r="L2645" s="1112"/>
      <c r="M2645" s="1113"/>
      <c r="N2645" s="110"/>
      <c r="O2645" s="1140"/>
      <c r="P2645" s="1115"/>
      <c r="Q2645" s="1116"/>
      <c r="R2645" s="1141"/>
      <c r="S2645" s="1113"/>
      <c r="T2645" s="1143"/>
      <c r="U2645" s="1108"/>
      <c r="V2645" s="1108"/>
      <c r="W2645" s="1108"/>
      <c r="X2645" s="1108"/>
      <c r="Y2645" s="1108"/>
      <c r="Z2645" s="1114"/>
      <c r="AA2645" s="1114"/>
      <c r="AB2645" s="1114"/>
      <c r="AC2645" s="1117"/>
      <c r="AD2645" s="1115"/>
      <c r="AE2645" s="1115"/>
      <c r="AF2645" s="1115"/>
      <c r="AG2645" s="1115"/>
      <c r="AH2645" s="1115"/>
      <c r="AI2645" s="1115"/>
      <c r="AJ2645" s="1117"/>
      <c r="AK2645" s="1118"/>
      <c r="AL2645" s="1115"/>
      <c r="AM2645" s="1115"/>
      <c r="AN2645" s="1115"/>
      <c r="AO2645" s="1115"/>
      <c r="AP2645" s="1115"/>
      <c r="AQ2645" s="1115"/>
      <c r="AR2645" s="1115"/>
      <c r="AS2645" s="1117"/>
      <c r="AT2645" s="1075"/>
      <c r="AU2645" s="1193"/>
      <c r="AV2645" s="330"/>
      <c r="AW2645" s="331"/>
      <c r="AX2645" s="331"/>
      <c r="AY2645" s="331"/>
      <c r="AZ2645" s="331"/>
      <c r="BA2645" s="331"/>
      <c r="BB2645" s="331"/>
      <c r="BC2645" s="331"/>
      <c r="BD2645" s="331"/>
      <c r="BE2645" s="333"/>
      <c r="BF2645" s="330"/>
      <c r="BG2645" s="333"/>
      <c r="BH2645" s="1119"/>
      <c r="BI2645" s="319"/>
      <c r="BJ2645" s="319"/>
      <c r="BK2645" s="319"/>
      <c r="BL2645" s="319"/>
      <c r="BM2645" s="319"/>
      <c r="BN2645" s="319"/>
      <c r="BO2645" s="319"/>
      <c r="BP2645" s="953"/>
      <c r="BQ2645" s="319"/>
      <c r="BR2645" s="319"/>
      <c r="BS2645" s="330"/>
      <c r="BT2645" s="331"/>
      <c r="BU2645" s="920"/>
      <c r="BV2645" s="903"/>
      <c r="BW2645" s="908"/>
      <c r="BX2645" s="908"/>
      <c r="BY2645" s="331"/>
      <c r="BZ2645" s="331"/>
      <c r="CA2645" s="462"/>
      <c r="CB2645" s="319"/>
      <c r="CC2645" s="319"/>
      <c r="CD2645" s="319"/>
      <c r="CE2645" s="319"/>
      <c r="CF2645" s="319"/>
      <c r="CG2645" s="319"/>
      <c r="CH2645" s="318"/>
      <c r="CI2645" s="319"/>
      <c r="CJ2645" s="319"/>
      <c r="CK2645" s="342"/>
      <c r="CL2645" s="333"/>
      <c r="CM2645" s="1079"/>
      <c r="CN2645" s="1005"/>
      <c r="CO2645" s="1005"/>
      <c r="CP2645" s="1005"/>
    </row>
    <row r="2646">
      <c r="A2646" s="1257"/>
      <c r="B2646" s="1113"/>
      <c r="C2646" s="1107"/>
      <c r="D2646" s="103"/>
      <c r="E2646" s="1137"/>
      <c r="F2646" s="112"/>
      <c r="G2646" s="1110"/>
      <c r="H2646" s="1138"/>
      <c r="I2646" s="1138"/>
      <c r="J2646" s="1139"/>
      <c r="K2646" s="1111"/>
      <c r="L2646" s="1112"/>
      <c r="M2646" s="1113"/>
      <c r="N2646" s="110"/>
      <c r="O2646" s="1140"/>
      <c r="P2646" s="1115"/>
      <c r="Q2646" s="1116"/>
      <c r="R2646" s="1141"/>
      <c r="S2646" s="1113"/>
      <c r="T2646" s="1143"/>
      <c r="U2646" s="1108"/>
      <c r="V2646" s="1108"/>
      <c r="W2646" s="1108"/>
      <c r="X2646" s="1108"/>
      <c r="Y2646" s="1108"/>
      <c r="Z2646" s="1114"/>
      <c r="AA2646" s="1114"/>
      <c r="AB2646" s="1114"/>
      <c r="AC2646" s="1117"/>
      <c r="AD2646" s="1115"/>
      <c r="AE2646" s="1115"/>
      <c r="AF2646" s="1115"/>
      <c r="AG2646" s="1115"/>
      <c r="AH2646" s="1115"/>
      <c r="AI2646" s="1115"/>
      <c r="AJ2646" s="1117"/>
      <c r="AK2646" s="1118"/>
      <c r="AL2646" s="1115"/>
      <c r="AM2646" s="1115"/>
      <c r="AN2646" s="1115"/>
      <c r="AO2646" s="1115"/>
      <c r="AP2646" s="1115"/>
      <c r="AQ2646" s="1115"/>
      <c r="AR2646" s="1115"/>
      <c r="AS2646" s="1117"/>
      <c r="AT2646" s="1075"/>
      <c r="AU2646" s="1193"/>
      <c r="AV2646" s="330"/>
      <c r="AW2646" s="331"/>
      <c r="AX2646" s="331"/>
      <c r="AY2646" s="331"/>
      <c r="AZ2646" s="331"/>
      <c r="BA2646" s="331"/>
      <c r="BB2646" s="331"/>
      <c r="BC2646" s="331"/>
      <c r="BD2646" s="331"/>
      <c r="BE2646" s="333"/>
      <c r="BF2646" s="330"/>
      <c r="BG2646" s="333"/>
      <c r="BH2646" s="1119"/>
      <c r="BI2646" s="319"/>
      <c r="BJ2646" s="319"/>
      <c r="BK2646" s="319"/>
      <c r="BL2646" s="319"/>
      <c r="BM2646" s="319"/>
      <c r="BN2646" s="319"/>
      <c r="BO2646" s="319"/>
      <c r="BP2646" s="953"/>
      <c r="BQ2646" s="319"/>
      <c r="BR2646" s="319"/>
      <c r="BS2646" s="330"/>
      <c r="BT2646" s="331"/>
      <c r="BU2646" s="920"/>
      <c r="BV2646" s="903"/>
      <c r="BW2646" s="908"/>
      <c r="BX2646" s="908"/>
      <c r="BY2646" s="331"/>
      <c r="BZ2646" s="331"/>
      <c r="CA2646" s="462"/>
      <c r="CB2646" s="319"/>
      <c r="CC2646" s="319"/>
      <c r="CD2646" s="319"/>
      <c r="CE2646" s="319"/>
      <c r="CF2646" s="319"/>
      <c r="CG2646" s="319"/>
      <c r="CH2646" s="318"/>
      <c r="CI2646" s="319"/>
      <c r="CJ2646" s="319"/>
      <c r="CK2646" s="342"/>
      <c r="CL2646" s="333"/>
      <c r="CM2646" s="1079"/>
      <c r="CN2646" s="1005"/>
      <c r="CO2646" s="1005"/>
      <c r="CP2646" s="1005"/>
    </row>
    <row r="2647">
      <c r="A2647" s="1257"/>
      <c r="B2647" s="1113"/>
      <c r="C2647" s="1107"/>
      <c r="D2647" s="103"/>
      <c r="E2647" s="1137"/>
      <c r="F2647" s="112"/>
      <c r="G2647" s="1110"/>
      <c r="H2647" s="1138"/>
      <c r="I2647" s="1138"/>
      <c r="J2647" s="1139"/>
      <c r="K2647" s="1111"/>
      <c r="L2647" s="1112"/>
      <c r="M2647" s="1113"/>
      <c r="N2647" s="110"/>
      <c r="O2647" s="1140"/>
      <c r="P2647" s="1115"/>
      <c r="Q2647" s="1116"/>
      <c r="R2647" s="1141"/>
      <c r="S2647" s="1113"/>
      <c r="T2647" s="1143"/>
      <c r="U2647" s="1108"/>
      <c r="V2647" s="1108"/>
      <c r="W2647" s="1108"/>
      <c r="X2647" s="1108"/>
      <c r="Y2647" s="1108"/>
      <c r="Z2647" s="1114"/>
      <c r="AA2647" s="1114"/>
      <c r="AB2647" s="1114"/>
      <c r="AC2647" s="1117"/>
      <c r="AD2647" s="1115"/>
      <c r="AE2647" s="1115"/>
      <c r="AF2647" s="1115"/>
      <c r="AG2647" s="1115"/>
      <c r="AH2647" s="1115"/>
      <c r="AI2647" s="1115"/>
      <c r="AJ2647" s="1117"/>
      <c r="AK2647" s="1118"/>
      <c r="AL2647" s="1115"/>
      <c r="AM2647" s="1115"/>
      <c r="AN2647" s="1115"/>
      <c r="AO2647" s="1115"/>
      <c r="AP2647" s="1115"/>
      <c r="AQ2647" s="1115"/>
      <c r="AR2647" s="1115"/>
      <c r="AS2647" s="1117"/>
      <c r="AT2647" s="1075"/>
      <c r="AU2647" s="1193"/>
      <c r="AV2647" s="330"/>
      <c r="AW2647" s="331"/>
      <c r="AX2647" s="331"/>
      <c r="AY2647" s="331"/>
      <c r="AZ2647" s="331"/>
      <c r="BA2647" s="331"/>
      <c r="BB2647" s="331"/>
      <c r="BC2647" s="331"/>
      <c r="BD2647" s="331"/>
      <c r="BE2647" s="333"/>
      <c r="BF2647" s="330"/>
      <c r="BG2647" s="333"/>
      <c r="BH2647" s="1119"/>
      <c r="BI2647" s="319"/>
      <c r="BJ2647" s="319"/>
      <c r="BK2647" s="319"/>
      <c r="BL2647" s="319"/>
      <c r="BM2647" s="319"/>
      <c r="BN2647" s="319"/>
      <c r="BO2647" s="319"/>
      <c r="BP2647" s="953"/>
      <c r="BQ2647" s="319"/>
      <c r="BR2647" s="319"/>
      <c r="BS2647" s="330"/>
      <c r="BT2647" s="331"/>
      <c r="BU2647" s="920"/>
      <c r="BV2647" s="903"/>
      <c r="BW2647" s="908"/>
      <c r="BX2647" s="908"/>
      <c r="BY2647" s="331"/>
      <c r="BZ2647" s="331"/>
      <c r="CA2647" s="462"/>
      <c r="CB2647" s="319"/>
      <c r="CC2647" s="319"/>
      <c r="CD2647" s="319"/>
      <c r="CE2647" s="319"/>
      <c r="CF2647" s="319"/>
      <c r="CG2647" s="319"/>
      <c r="CH2647" s="318"/>
      <c r="CI2647" s="319"/>
      <c r="CJ2647" s="319"/>
      <c r="CK2647" s="342"/>
      <c r="CL2647" s="333"/>
      <c r="CM2647" s="1079"/>
      <c r="CN2647" s="1005"/>
      <c r="CO2647" s="1005"/>
      <c r="CP2647" s="1005"/>
    </row>
    <row r="2648">
      <c r="A2648" s="1257"/>
      <c r="B2648" s="1113"/>
      <c r="C2648" s="1107"/>
      <c r="D2648" s="103"/>
      <c r="E2648" s="1137"/>
      <c r="F2648" s="112"/>
      <c r="G2648" s="1110"/>
      <c r="H2648" s="1138"/>
      <c r="I2648" s="1138"/>
      <c r="J2648" s="1139"/>
      <c r="K2648" s="1111"/>
      <c r="L2648" s="1112"/>
      <c r="M2648" s="1113"/>
      <c r="N2648" s="110"/>
      <c r="O2648" s="1140"/>
      <c r="P2648" s="1115"/>
      <c r="Q2648" s="1116"/>
      <c r="R2648" s="1141"/>
      <c r="S2648" s="1113"/>
      <c r="T2648" s="1143"/>
      <c r="U2648" s="1108"/>
      <c r="V2648" s="1108"/>
      <c r="W2648" s="1108"/>
      <c r="X2648" s="1108"/>
      <c r="Y2648" s="1108"/>
      <c r="Z2648" s="1114"/>
      <c r="AA2648" s="1114"/>
      <c r="AB2648" s="1114"/>
      <c r="AC2648" s="1117"/>
      <c r="AD2648" s="1115"/>
      <c r="AE2648" s="1115"/>
      <c r="AF2648" s="1115"/>
      <c r="AG2648" s="1115"/>
      <c r="AH2648" s="1115"/>
      <c r="AI2648" s="1115"/>
      <c r="AJ2648" s="1117"/>
      <c r="AK2648" s="1118"/>
      <c r="AL2648" s="1115"/>
      <c r="AM2648" s="1115"/>
      <c r="AN2648" s="1115"/>
      <c r="AO2648" s="1115"/>
      <c r="AP2648" s="1115"/>
      <c r="AQ2648" s="1115"/>
      <c r="AR2648" s="1115"/>
      <c r="AS2648" s="1117"/>
      <c r="AT2648" s="1075"/>
      <c r="AU2648" s="1193"/>
      <c r="AV2648" s="330"/>
      <c r="AW2648" s="331"/>
      <c r="AX2648" s="331"/>
      <c r="AY2648" s="331"/>
      <c r="AZ2648" s="331"/>
      <c r="BA2648" s="331"/>
      <c r="BB2648" s="331"/>
      <c r="BC2648" s="331"/>
      <c r="BD2648" s="331"/>
      <c r="BE2648" s="333"/>
      <c r="BF2648" s="330"/>
      <c r="BG2648" s="333"/>
      <c r="BH2648" s="1119"/>
      <c r="BI2648" s="319"/>
      <c r="BJ2648" s="319"/>
      <c r="BK2648" s="319"/>
      <c r="BL2648" s="319"/>
      <c r="BM2648" s="319"/>
      <c r="BN2648" s="319"/>
      <c r="BO2648" s="319"/>
      <c r="BP2648" s="953"/>
      <c r="BQ2648" s="319"/>
      <c r="BR2648" s="319"/>
      <c r="BS2648" s="330"/>
      <c r="BT2648" s="331"/>
      <c r="BU2648" s="920"/>
      <c r="BV2648" s="903"/>
      <c r="BW2648" s="908"/>
      <c r="BX2648" s="908"/>
      <c r="BY2648" s="331"/>
      <c r="BZ2648" s="331"/>
      <c r="CA2648" s="462"/>
      <c r="CB2648" s="319"/>
      <c r="CC2648" s="319"/>
      <c r="CD2648" s="319"/>
      <c r="CE2648" s="319"/>
      <c r="CF2648" s="319"/>
      <c r="CG2648" s="319"/>
      <c r="CH2648" s="318"/>
      <c r="CI2648" s="319"/>
      <c r="CJ2648" s="319"/>
      <c r="CK2648" s="342"/>
      <c r="CL2648" s="333"/>
      <c r="CM2648" s="1079"/>
      <c r="CN2648" s="1005"/>
      <c r="CO2648" s="1005"/>
      <c r="CP2648" s="1005"/>
    </row>
    <row r="2649">
      <c r="A2649" s="1257"/>
      <c r="B2649" s="1113"/>
      <c r="C2649" s="1107"/>
      <c r="D2649" s="103"/>
      <c r="E2649" s="1137"/>
      <c r="F2649" s="112"/>
      <c r="G2649" s="1110"/>
      <c r="H2649" s="1138"/>
      <c r="I2649" s="1138"/>
      <c r="J2649" s="1139"/>
      <c r="K2649" s="1111"/>
      <c r="L2649" s="1112"/>
      <c r="M2649" s="1113"/>
      <c r="N2649" s="110"/>
      <c r="O2649" s="1140"/>
      <c r="P2649" s="1115"/>
      <c r="Q2649" s="1116"/>
      <c r="R2649" s="1141"/>
      <c r="S2649" s="1113"/>
      <c r="T2649" s="1143"/>
      <c r="U2649" s="1108"/>
      <c r="V2649" s="1108"/>
      <c r="W2649" s="1108"/>
      <c r="X2649" s="1108"/>
      <c r="Y2649" s="1108"/>
      <c r="Z2649" s="1114"/>
      <c r="AA2649" s="1114"/>
      <c r="AB2649" s="1114"/>
      <c r="AC2649" s="1117"/>
      <c r="AD2649" s="1115"/>
      <c r="AE2649" s="1115"/>
      <c r="AF2649" s="1115"/>
      <c r="AG2649" s="1115"/>
      <c r="AH2649" s="1115"/>
      <c r="AI2649" s="1115"/>
      <c r="AJ2649" s="1117"/>
      <c r="AK2649" s="1118"/>
      <c r="AL2649" s="1115"/>
      <c r="AM2649" s="1115"/>
      <c r="AN2649" s="1115"/>
      <c r="AO2649" s="1115"/>
      <c r="AP2649" s="1115"/>
      <c r="AQ2649" s="1115"/>
      <c r="AR2649" s="1115"/>
      <c r="AS2649" s="1117"/>
      <c r="AT2649" s="1075"/>
      <c r="AU2649" s="1193"/>
      <c r="AV2649" s="330"/>
      <c r="AW2649" s="331"/>
      <c r="AX2649" s="331"/>
      <c r="AY2649" s="331"/>
      <c r="AZ2649" s="331"/>
      <c r="BA2649" s="331"/>
      <c r="BB2649" s="331"/>
      <c r="BC2649" s="331"/>
      <c r="BD2649" s="331"/>
      <c r="BE2649" s="333"/>
      <c r="BF2649" s="330"/>
      <c r="BG2649" s="333"/>
      <c r="BH2649" s="1119"/>
      <c r="BI2649" s="319"/>
      <c r="BJ2649" s="319"/>
      <c r="BK2649" s="319"/>
      <c r="BL2649" s="319"/>
      <c r="BM2649" s="319"/>
      <c r="BN2649" s="319"/>
      <c r="BO2649" s="319"/>
      <c r="BP2649" s="953"/>
      <c r="BQ2649" s="319"/>
      <c r="BR2649" s="319"/>
      <c r="BS2649" s="330"/>
      <c r="BT2649" s="331"/>
      <c r="BU2649" s="920"/>
      <c r="BV2649" s="903"/>
      <c r="BW2649" s="908"/>
      <c r="BX2649" s="908"/>
      <c r="BY2649" s="331"/>
      <c r="BZ2649" s="331"/>
      <c r="CA2649" s="462"/>
      <c r="CB2649" s="319"/>
      <c r="CC2649" s="319"/>
      <c r="CD2649" s="319"/>
      <c r="CE2649" s="319"/>
      <c r="CF2649" s="319"/>
      <c r="CG2649" s="319"/>
      <c r="CH2649" s="318"/>
      <c r="CI2649" s="319"/>
      <c r="CJ2649" s="319"/>
      <c r="CK2649" s="342"/>
      <c r="CL2649" s="333"/>
      <c r="CM2649" s="1079"/>
      <c r="CN2649" s="1005"/>
      <c r="CO2649" s="1005"/>
      <c r="CP2649" s="1005"/>
    </row>
    <row r="2650">
      <c r="A2650" s="1257"/>
      <c r="B2650" s="1113"/>
      <c r="C2650" s="1107"/>
      <c r="D2650" s="103"/>
      <c r="E2650" s="1137"/>
      <c r="F2650" s="112"/>
      <c r="G2650" s="1110"/>
      <c r="H2650" s="1138"/>
      <c r="I2650" s="1138"/>
      <c r="J2650" s="1139"/>
      <c r="K2650" s="1111"/>
      <c r="L2650" s="1112"/>
      <c r="M2650" s="1113"/>
      <c r="N2650" s="110"/>
      <c r="O2650" s="1140"/>
      <c r="P2650" s="1115"/>
      <c r="Q2650" s="1116"/>
      <c r="R2650" s="1141"/>
      <c r="S2650" s="1113"/>
      <c r="T2650" s="1143"/>
      <c r="U2650" s="1108"/>
      <c r="V2650" s="1108"/>
      <c r="W2650" s="1108"/>
      <c r="X2650" s="1108"/>
      <c r="Y2650" s="1108"/>
      <c r="Z2650" s="1114"/>
      <c r="AA2650" s="1114"/>
      <c r="AB2650" s="1114"/>
      <c r="AC2650" s="1117"/>
      <c r="AD2650" s="1115"/>
      <c r="AE2650" s="1115"/>
      <c r="AF2650" s="1115"/>
      <c r="AG2650" s="1115"/>
      <c r="AH2650" s="1115"/>
      <c r="AI2650" s="1115"/>
      <c r="AJ2650" s="1117"/>
      <c r="AK2650" s="1118"/>
      <c r="AL2650" s="1115"/>
      <c r="AM2650" s="1115"/>
      <c r="AN2650" s="1115"/>
      <c r="AO2650" s="1115"/>
      <c r="AP2650" s="1115"/>
      <c r="AQ2650" s="1115"/>
      <c r="AR2650" s="1115"/>
      <c r="AS2650" s="1117"/>
      <c r="AT2650" s="1075"/>
      <c r="AU2650" s="1193"/>
      <c r="AV2650" s="330"/>
      <c r="AW2650" s="331"/>
      <c r="AX2650" s="331"/>
      <c r="AY2650" s="331"/>
      <c r="AZ2650" s="331"/>
      <c r="BA2650" s="331"/>
      <c r="BB2650" s="331"/>
      <c r="BC2650" s="331"/>
      <c r="BD2650" s="331"/>
      <c r="BE2650" s="333"/>
      <c r="BF2650" s="330"/>
      <c r="BG2650" s="333"/>
      <c r="BH2650" s="1119"/>
      <c r="BI2650" s="319"/>
      <c r="BJ2650" s="319"/>
      <c r="BK2650" s="319"/>
      <c r="BL2650" s="319"/>
      <c r="BM2650" s="319"/>
      <c r="BN2650" s="319"/>
      <c r="BO2650" s="319"/>
      <c r="BP2650" s="953"/>
      <c r="BQ2650" s="319"/>
      <c r="BR2650" s="319"/>
      <c r="BS2650" s="330"/>
      <c r="BT2650" s="331"/>
      <c r="BU2650" s="920"/>
      <c r="BV2650" s="903"/>
      <c r="BW2650" s="908"/>
      <c r="BX2650" s="908"/>
      <c r="BY2650" s="331"/>
      <c r="BZ2650" s="331"/>
      <c r="CA2650" s="462"/>
      <c r="CB2650" s="319"/>
      <c r="CC2650" s="319"/>
      <c r="CD2650" s="319"/>
      <c r="CE2650" s="319"/>
      <c r="CF2650" s="319"/>
      <c r="CG2650" s="319"/>
      <c r="CH2650" s="318"/>
      <c r="CI2650" s="319"/>
      <c r="CJ2650" s="319"/>
      <c r="CK2650" s="342"/>
      <c r="CL2650" s="333"/>
      <c r="CM2650" s="1079"/>
      <c r="CN2650" s="1005"/>
      <c r="CO2650" s="1005"/>
      <c r="CP2650" s="1005"/>
    </row>
    <row r="2651">
      <c r="A2651" s="1257"/>
      <c r="B2651" s="1113"/>
      <c r="C2651" s="1107"/>
      <c r="D2651" s="103"/>
      <c r="E2651" s="1137"/>
      <c r="F2651" s="112"/>
      <c r="G2651" s="1110"/>
      <c r="H2651" s="1138"/>
      <c r="I2651" s="1138"/>
      <c r="J2651" s="1139"/>
      <c r="K2651" s="1111"/>
      <c r="L2651" s="1112"/>
      <c r="M2651" s="1113"/>
      <c r="N2651" s="110"/>
      <c r="O2651" s="1140"/>
      <c r="P2651" s="1115"/>
      <c r="Q2651" s="1116"/>
      <c r="R2651" s="1141"/>
      <c r="S2651" s="1113"/>
      <c r="T2651" s="1143"/>
      <c r="U2651" s="1108"/>
      <c r="V2651" s="1108"/>
      <c r="W2651" s="1108"/>
      <c r="X2651" s="1108"/>
      <c r="Y2651" s="1108"/>
      <c r="Z2651" s="1114"/>
      <c r="AA2651" s="1114"/>
      <c r="AB2651" s="1114"/>
      <c r="AC2651" s="1117"/>
      <c r="AD2651" s="1115"/>
      <c r="AE2651" s="1115"/>
      <c r="AF2651" s="1115"/>
      <c r="AG2651" s="1115"/>
      <c r="AH2651" s="1115"/>
      <c r="AI2651" s="1115"/>
      <c r="AJ2651" s="1117"/>
      <c r="AK2651" s="1118"/>
      <c r="AL2651" s="1115"/>
      <c r="AM2651" s="1115"/>
      <c r="AN2651" s="1115"/>
      <c r="AO2651" s="1115"/>
      <c r="AP2651" s="1115"/>
      <c r="AQ2651" s="1115"/>
      <c r="AR2651" s="1115"/>
      <c r="AS2651" s="1117"/>
      <c r="AT2651" s="1075"/>
      <c r="AU2651" s="1193"/>
      <c r="AV2651" s="330"/>
      <c r="AW2651" s="331"/>
      <c r="AX2651" s="331"/>
      <c r="AY2651" s="331"/>
      <c r="AZ2651" s="331"/>
      <c r="BA2651" s="331"/>
      <c r="BB2651" s="331"/>
      <c r="BC2651" s="331"/>
      <c r="BD2651" s="331"/>
      <c r="BE2651" s="333"/>
      <c r="BF2651" s="330"/>
      <c r="BG2651" s="333"/>
      <c r="BH2651" s="1119"/>
      <c r="BI2651" s="319"/>
      <c r="BJ2651" s="319"/>
      <c r="BK2651" s="319"/>
      <c r="BL2651" s="319"/>
      <c r="BM2651" s="319"/>
      <c r="BN2651" s="319"/>
      <c r="BO2651" s="319"/>
      <c r="BP2651" s="953"/>
      <c r="BQ2651" s="319"/>
      <c r="BR2651" s="319"/>
      <c r="BS2651" s="330"/>
      <c r="BT2651" s="331"/>
      <c r="BU2651" s="920"/>
      <c r="BV2651" s="903"/>
      <c r="BW2651" s="908"/>
      <c r="BX2651" s="908"/>
      <c r="BY2651" s="331"/>
      <c r="BZ2651" s="331"/>
      <c r="CA2651" s="462"/>
      <c r="CB2651" s="319"/>
      <c r="CC2651" s="319"/>
      <c r="CD2651" s="319"/>
      <c r="CE2651" s="319"/>
      <c r="CF2651" s="319"/>
      <c r="CG2651" s="319"/>
      <c r="CH2651" s="318"/>
      <c r="CI2651" s="319"/>
      <c r="CJ2651" s="319"/>
      <c r="CK2651" s="342"/>
      <c r="CL2651" s="333"/>
      <c r="CM2651" s="1079"/>
      <c r="CN2651" s="1005"/>
      <c r="CO2651" s="1005"/>
      <c r="CP2651" s="1005"/>
    </row>
    <row r="2652">
      <c r="A2652" s="1257"/>
      <c r="B2652" s="1113"/>
      <c r="C2652" s="1107"/>
      <c r="D2652" s="103"/>
      <c r="E2652" s="1137"/>
      <c r="F2652" s="112"/>
      <c r="G2652" s="1110"/>
      <c r="H2652" s="1138"/>
      <c r="I2652" s="1138"/>
      <c r="J2652" s="1139"/>
      <c r="K2652" s="1111"/>
      <c r="L2652" s="1112"/>
      <c r="M2652" s="1113"/>
      <c r="N2652" s="110"/>
      <c r="O2652" s="1140"/>
      <c r="P2652" s="1115"/>
      <c r="Q2652" s="1116"/>
      <c r="R2652" s="1141"/>
      <c r="S2652" s="1113"/>
      <c r="T2652" s="1143"/>
      <c r="U2652" s="1108"/>
      <c r="V2652" s="1108"/>
      <c r="W2652" s="1108"/>
      <c r="X2652" s="1108"/>
      <c r="Y2652" s="1108"/>
      <c r="Z2652" s="1114"/>
      <c r="AA2652" s="1114"/>
      <c r="AB2652" s="1114"/>
      <c r="AC2652" s="1117"/>
      <c r="AD2652" s="1115"/>
      <c r="AE2652" s="1115"/>
      <c r="AF2652" s="1115"/>
      <c r="AG2652" s="1115"/>
      <c r="AH2652" s="1115"/>
      <c r="AI2652" s="1115"/>
      <c r="AJ2652" s="1117"/>
      <c r="AK2652" s="1118"/>
      <c r="AL2652" s="1115"/>
      <c r="AM2652" s="1115"/>
      <c r="AN2652" s="1115"/>
      <c r="AO2652" s="1115"/>
      <c r="AP2652" s="1115"/>
      <c r="AQ2652" s="1115"/>
      <c r="AR2652" s="1115"/>
      <c r="AS2652" s="1117"/>
      <c r="AT2652" s="1075"/>
      <c r="AU2652" s="1193"/>
      <c r="AV2652" s="330"/>
      <c r="AW2652" s="331"/>
      <c r="AX2652" s="331"/>
      <c r="AY2652" s="331"/>
      <c r="AZ2652" s="331"/>
      <c r="BA2652" s="331"/>
      <c r="BB2652" s="331"/>
      <c r="BC2652" s="331"/>
      <c r="BD2652" s="331"/>
      <c r="BE2652" s="333"/>
      <c r="BF2652" s="330"/>
      <c r="BG2652" s="333"/>
      <c r="BH2652" s="1119"/>
      <c r="BI2652" s="319"/>
      <c r="BJ2652" s="319"/>
      <c r="BK2652" s="319"/>
      <c r="BL2652" s="319"/>
      <c r="BM2652" s="319"/>
      <c r="BN2652" s="319"/>
      <c r="BO2652" s="319"/>
      <c r="BP2652" s="953"/>
      <c r="BQ2652" s="319"/>
      <c r="BR2652" s="319"/>
      <c r="BS2652" s="330"/>
      <c r="BT2652" s="331"/>
      <c r="BU2652" s="920"/>
      <c r="BV2652" s="903"/>
      <c r="BW2652" s="908"/>
      <c r="BX2652" s="908"/>
      <c r="BY2652" s="331"/>
      <c r="BZ2652" s="331"/>
      <c r="CA2652" s="462"/>
      <c r="CB2652" s="319"/>
      <c r="CC2652" s="319"/>
      <c r="CD2652" s="319"/>
      <c r="CE2652" s="319"/>
      <c r="CF2652" s="319"/>
      <c r="CG2652" s="319"/>
      <c r="CH2652" s="318"/>
      <c r="CI2652" s="319"/>
      <c r="CJ2652" s="319"/>
      <c r="CK2652" s="342"/>
      <c r="CL2652" s="333"/>
      <c r="CM2652" s="1079"/>
      <c r="CN2652" s="1005"/>
      <c r="CO2652" s="1005"/>
      <c r="CP2652" s="1005"/>
    </row>
    <row r="2653">
      <c r="A2653" s="1257"/>
      <c r="B2653" s="1113"/>
      <c r="C2653" s="1107"/>
      <c r="D2653" s="103"/>
      <c r="E2653" s="1137"/>
      <c r="F2653" s="112"/>
      <c r="G2653" s="1110"/>
      <c r="H2653" s="1138"/>
      <c r="I2653" s="1138"/>
      <c r="J2653" s="1139"/>
      <c r="K2653" s="1111"/>
      <c r="L2653" s="1112"/>
      <c r="M2653" s="1113"/>
      <c r="N2653" s="110"/>
      <c r="O2653" s="1140"/>
      <c r="P2653" s="1115"/>
      <c r="Q2653" s="1116"/>
      <c r="R2653" s="1141"/>
      <c r="S2653" s="1113"/>
      <c r="T2653" s="1143"/>
      <c r="U2653" s="1108"/>
      <c r="V2653" s="1108"/>
      <c r="W2653" s="1108"/>
      <c r="X2653" s="1108"/>
      <c r="Y2653" s="1108"/>
      <c r="Z2653" s="1114"/>
      <c r="AA2653" s="1114"/>
      <c r="AB2653" s="1114"/>
      <c r="AC2653" s="1117"/>
      <c r="AD2653" s="1115"/>
      <c r="AE2653" s="1115"/>
      <c r="AF2653" s="1115"/>
      <c r="AG2653" s="1115"/>
      <c r="AH2653" s="1115"/>
      <c r="AI2653" s="1115"/>
      <c r="AJ2653" s="1117"/>
      <c r="AK2653" s="1118"/>
      <c r="AL2653" s="1115"/>
      <c r="AM2653" s="1115"/>
      <c r="AN2653" s="1115"/>
      <c r="AO2653" s="1115"/>
      <c r="AP2653" s="1115"/>
      <c r="AQ2653" s="1115"/>
      <c r="AR2653" s="1115"/>
      <c r="AS2653" s="1117"/>
      <c r="AT2653" s="1075"/>
      <c r="AU2653" s="1193"/>
      <c r="AV2653" s="330"/>
      <c r="AW2653" s="331"/>
      <c r="AX2653" s="331"/>
      <c r="AY2653" s="331"/>
      <c r="AZ2653" s="331"/>
      <c r="BA2653" s="331"/>
      <c r="BB2653" s="331"/>
      <c r="BC2653" s="331"/>
      <c r="BD2653" s="331"/>
      <c r="BE2653" s="333"/>
      <c r="BF2653" s="330"/>
      <c r="BG2653" s="333"/>
      <c r="BH2653" s="1119"/>
      <c r="BI2653" s="319"/>
      <c r="BJ2653" s="319"/>
      <c r="BK2653" s="319"/>
      <c r="BL2653" s="319"/>
      <c r="BM2653" s="319"/>
      <c r="BN2653" s="319"/>
      <c r="BO2653" s="319"/>
      <c r="BP2653" s="953"/>
      <c r="BQ2653" s="319"/>
      <c r="BR2653" s="319"/>
      <c r="BS2653" s="330"/>
      <c r="BT2653" s="331"/>
      <c r="BU2653" s="920"/>
      <c r="BV2653" s="903"/>
      <c r="BW2653" s="908"/>
      <c r="BX2653" s="908"/>
      <c r="BY2653" s="331"/>
      <c r="BZ2653" s="331"/>
      <c r="CA2653" s="462"/>
      <c r="CB2653" s="319"/>
      <c r="CC2653" s="319"/>
      <c r="CD2653" s="319"/>
      <c r="CE2653" s="319"/>
      <c r="CF2653" s="319"/>
      <c r="CG2653" s="319"/>
      <c r="CH2653" s="318"/>
      <c r="CI2653" s="319"/>
      <c r="CJ2653" s="319"/>
      <c r="CK2653" s="342"/>
      <c r="CL2653" s="333"/>
      <c r="CM2653" s="1079"/>
      <c r="CN2653" s="1005"/>
      <c r="CO2653" s="1005"/>
      <c r="CP2653" s="1005"/>
    </row>
    <row r="2654">
      <c r="A2654" s="1257"/>
      <c r="B2654" s="1113"/>
      <c r="C2654" s="1107"/>
      <c r="D2654" s="103"/>
      <c r="E2654" s="1137"/>
      <c r="F2654" s="112"/>
      <c r="G2654" s="1110"/>
      <c r="H2654" s="1138"/>
      <c r="I2654" s="1138"/>
      <c r="J2654" s="1139"/>
      <c r="K2654" s="1111"/>
      <c r="L2654" s="1112"/>
      <c r="M2654" s="1113"/>
      <c r="N2654" s="110"/>
      <c r="O2654" s="1140"/>
      <c r="P2654" s="1115"/>
      <c r="Q2654" s="1116"/>
      <c r="R2654" s="1141"/>
      <c r="S2654" s="1113"/>
      <c r="T2654" s="1143"/>
      <c r="U2654" s="1108"/>
      <c r="V2654" s="1108"/>
      <c r="W2654" s="1108"/>
      <c r="X2654" s="1108"/>
      <c r="Y2654" s="1108"/>
      <c r="Z2654" s="1114"/>
      <c r="AA2654" s="1114"/>
      <c r="AB2654" s="1114"/>
      <c r="AC2654" s="1117"/>
      <c r="AD2654" s="1115"/>
      <c r="AE2654" s="1115"/>
      <c r="AF2654" s="1115"/>
      <c r="AG2654" s="1115"/>
      <c r="AH2654" s="1115"/>
      <c r="AI2654" s="1115"/>
      <c r="AJ2654" s="1117"/>
      <c r="AK2654" s="1118"/>
      <c r="AL2654" s="1115"/>
      <c r="AM2654" s="1115"/>
      <c r="AN2654" s="1115"/>
      <c r="AO2654" s="1115"/>
      <c r="AP2654" s="1115"/>
      <c r="AQ2654" s="1115"/>
      <c r="AR2654" s="1115"/>
      <c r="AS2654" s="1117"/>
      <c r="AT2654" s="1075"/>
      <c r="AU2654" s="1193"/>
      <c r="AV2654" s="330"/>
      <c r="AW2654" s="331"/>
      <c r="AX2654" s="331"/>
      <c r="AY2654" s="331"/>
      <c r="AZ2654" s="331"/>
      <c r="BA2654" s="331"/>
      <c r="BB2654" s="331"/>
      <c r="BC2654" s="331"/>
      <c r="BD2654" s="331"/>
      <c r="BE2654" s="333"/>
      <c r="BF2654" s="330"/>
      <c r="BG2654" s="333"/>
      <c r="BH2654" s="1119"/>
      <c r="BI2654" s="319"/>
      <c r="BJ2654" s="319"/>
      <c r="BK2654" s="319"/>
      <c r="BL2654" s="319"/>
      <c r="BM2654" s="319"/>
      <c r="BN2654" s="319"/>
      <c r="BO2654" s="319"/>
      <c r="BP2654" s="953"/>
      <c r="BQ2654" s="319"/>
      <c r="BR2654" s="319"/>
      <c r="BS2654" s="330"/>
      <c r="BT2654" s="331"/>
      <c r="BU2654" s="920"/>
      <c r="BV2654" s="903"/>
      <c r="BW2654" s="908"/>
      <c r="BX2654" s="908"/>
      <c r="BY2654" s="331"/>
      <c r="BZ2654" s="331"/>
      <c r="CA2654" s="462"/>
      <c r="CB2654" s="319"/>
      <c r="CC2654" s="319"/>
      <c r="CD2654" s="319"/>
      <c r="CE2654" s="319"/>
      <c r="CF2654" s="319"/>
      <c r="CG2654" s="319"/>
      <c r="CH2654" s="318"/>
      <c r="CI2654" s="319"/>
      <c r="CJ2654" s="319"/>
      <c r="CK2654" s="342"/>
      <c r="CL2654" s="333"/>
      <c r="CM2654" s="1079"/>
      <c r="CN2654" s="1005"/>
      <c r="CO2654" s="1005"/>
      <c r="CP2654" s="1005"/>
    </row>
    <row r="2655">
      <c r="A2655" s="1257"/>
      <c r="B2655" s="1113"/>
      <c r="C2655" s="1107"/>
      <c r="D2655" s="103"/>
      <c r="E2655" s="1137"/>
      <c r="F2655" s="112"/>
      <c r="G2655" s="1110"/>
      <c r="H2655" s="1138"/>
      <c r="I2655" s="1138"/>
      <c r="J2655" s="1139"/>
      <c r="K2655" s="1111"/>
      <c r="L2655" s="1112"/>
      <c r="M2655" s="1113"/>
      <c r="N2655" s="110"/>
      <c r="O2655" s="1140"/>
      <c r="P2655" s="1115"/>
      <c r="Q2655" s="1116"/>
      <c r="R2655" s="1141"/>
      <c r="S2655" s="1113"/>
      <c r="T2655" s="1143"/>
      <c r="U2655" s="1108"/>
      <c r="V2655" s="1108"/>
      <c r="W2655" s="1108"/>
      <c r="X2655" s="1108"/>
      <c r="Y2655" s="1108"/>
      <c r="Z2655" s="1114"/>
      <c r="AA2655" s="1114"/>
      <c r="AB2655" s="1114"/>
      <c r="AC2655" s="1117"/>
      <c r="AD2655" s="1115"/>
      <c r="AE2655" s="1115"/>
      <c r="AF2655" s="1115"/>
      <c r="AG2655" s="1115"/>
      <c r="AH2655" s="1115"/>
      <c r="AI2655" s="1115"/>
      <c r="AJ2655" s="1117"/>
      <c r="AK2655" s="1118"/>
      <c r="AL2655" s="1115"/>
      <c r="AM2655" s="1115"/>
      <c r="AN2655" s="1115"/>
      <c r="AO2655" s="1115"/>
      <c r="AP2655" s="1115"/>
      <c r="AQ2655" s="1115"/>
      <c r="AR2655" s="1115"/>
      <c r="AS2655" s="1117"/>
      <c r="AT2655" s="1075"/>
      <c r="AU2655" s="1193"/>
      <c r="AV2655" s="330"/>
      <c r="AW2655" s="331"/>
      <c r="AX2655" s="331"/>
      <c r="AY2655" s="331"/>
      <c r="AZ2655" s="331"/>
      <c r="BA2655" s="331"/>
      <c r="BB2655" s="331"/>
      <c r="BC2655" s="331"/>
      <c r="BD2655" s="331"/>
      <c r="BE2655" s="333"/>
      <c r="BF2655" s="330"/>
      <c r="BG2655" s="333"/>
      <c r="BH2655" s="1119"/>
      <c r="BI2655" s="319"/>
      <c r="BJ2655" s="319"/>
      <c r="BK2655" s="319"/>
      <c r="BL2655" s="319"/>
      <c r="BM2655" s="319"/>
      <c r="BN2655" s="319"/>
      <c r="BO2655" s="319"/>
      <c r="BP2655" s="953"/>
      <c r="BQ2655" s="319"/>
      <c r="BR2655" s="319"/>
      <c r="BS2655" s="330"/>
      <c r="BT2655" s="331"/>
      <c r="BU2655" s="920"/>
      <c r="BV2655" s="903"/>
      <c r="BW2655" s="908"/>
      <c r="BX2655" s="908"/>
      <c r="BY2655" s="331"/>
      <c r="BZ2655" s="331"/>
      <c r="CA2655" s="462"/>
      <c r="CB2655" s="319"/>
      <c r="CC2655" s="319"/>
      <c r="CD2655" s="319"/>
      <c r="CE2655" s="319"/>
      <c r="CF2655" s="319"/>
      <c r="CG2655" s="319"/>
      <c r="CH2655" s="318"/>
      <c r="CI2655" s="319"/>
      <c r="CJ2655" s="319"/>
      <c r="CK2655" s="342"/>
      <c r="CL2655" s="333"/>
      <c r="CM2655" s="1079"/>
      <c r="CN2655" s="1005"/>
      <c r="CO2655" s="1005"/>
      <c r="CP2655" s="1005"/>
    </row>
    <row r="2656">
      <c r="A2656" s="1257"/>
      <c r="B2656" s="1113"/>
      <c r="C2656" s="1107"/>
      <c r="D2656" s="103"/>
      <c r="E2656" s="1137"/>
      <c r="F2656" s="112"/>
      <c r="G2656" s="1110"/>
      <c r="H2656" s="1138"/>
      <c r="I2656" s="1138"/>
      <c r="J2656" s="1139"/>
      <c r="K2656" s="1111"/>
      <c r="L2656" s="1112"/>
      <c r="M2656" s="1113"/>
      <c r="N2656" s="110"/>
      <c r="O2656" s="1140"/>
      <c r="P2656" s="1115"/>
      <c r="Q2656" s="1116"/>
      <c r="R2656" s="1141"/>
      <c r="S2656" s="1113"/>
      <c r="T2656" s="1143"/>
      <c r="U2656" s="1108"/>
      <c r="V2656" s="1108"/>
      <c r="W2656" s="1108"/>
      <c r="X2656" s="1108"/>
      <c r="Y2656" s="1108"/>
      <c r="Z2656" s="1114"/>
      <c r="AA2656" s="1114"/>
      <c r="AB2656" s="1114"/>
      <c r="AC2656" s="1117"/>
      <c r="AD2656" s="1115"/>
      <c r="AE2656" s="1115"/>
      <c r="AF2656" s="1115"/>
      <c r="AG2656" s="1115"/>
      <c r="AH2656" s="1115"/>
      <c r="AI2656" s="1115"/>
      <c r="AJ2656" s="1117"/>
      <c r="AK2656" s="1118"/>
      <c r="AL2656" s="1115"/>
      <c r="AM2656" s="1115"/>
      <c r="AN2656" s="1115"/>
      <c r="AO2656" s="1115"/>
      <c r="AP2656" s="1115"/>
      <c r="AQ2656" s="1115"/>
      <c r="AR2656" s="1115"/>
      <c r="AS2656" s="1117"/>
      <c r="AT2656" s="1075"/>
      <c r="AU2656" s="1193"/>
      <c r="AV2656" s="330"/>
      <c r="AW2656" s="331"/>
      <c r="AX2656" s="331"/>
      <c r="AY2656" s="331"/>
      <c r="AZ2656" s="331"/>
      <c r="BA2656" s="331"/>
      <c r="BB2656" s="331"/>
      <c r="BC2656" s="331"/>
      <c r="BD2656" s="331"/>
      <c r="BE2656" s="333"/>
      <c r="BF2656" s="330"/>
      <c r="BG2656" s="333"/>
      <c r="BH2656" s="1119"/>
      <c r="BI2656" s="319"/>
      <c r="BJ2656" s="319"/>
      <c r="BK2656" s="319"/>
      <c r="BL2656" s="319"/>
      <c r="BM2656" s="319"/>
      <c r="BN2656" s="319"/>
      <c r="BO2656" s="319"/>
      <c r="BP2656" s="953"/>
      <c r="BQ2656" s="319"/>
      <c r="BR2656" s="319"/>
      <c r="BS2656" s="330"/>
      <c r="BT2656" s="331"/>
      <c r="BU2656" s="920"/>
      <c r="BV2656" s="903"/>
      <c r="BW2656" s="908"/>
      <c r="BX2656" s="908"/>
      <c r="BY2656" s="331"/>
      <c r="BZ2656" s="331"/>
      <c r="CA2656" s="462"/>
      <c r="CB2656" s="319"/>
      <c r="CC2656" s="319"/>
      <c r="CD2656" s="319"/>
      <c r="CE2656" s="319"/>
      <c r="CF2656" s="319"/>
      <c r="CG2656" s="319"/>
      <c r="CH2656" s="318"/>
      <c r="CI2656" s="319"/>
      <c r="CJ2656" s="319"/>
      <c r="CK2656" s="342"/>
      <c r="CL2656" s="333"/>
      <c r="CM2656" s="1079"/>
      <c r="CN2656" s="1005"/>
      <c r="CO2656" s="1005"/>
      <c r="CP2656" s="1005"/>
    </row>
    <row r="2657">
      <c r="A2657" s="1257"/>
      <c r="B2657" s="1113"/>
      <c r="C2657" s="1107"/>
      <c r="D2657" s="103"/>
      <c r="E2657" s="1137"/>
      <c r="F2657" s="112"/>
      <c r="G2657" s="1110"/>
      <c r="H2657" s="1138"/>
      <c r="I2657" s="1138"/>
      <c r="J2657" s="1139"/>
      <c r="K2657" s="1111"/>
      <c r="L2657" s="1112"/>
      <c r="M2657" s="1113"/>
      <c r="N2657" s="110"/>
      <c r="O2657" s="1140"/>
      <c r="P2657" s="1115"/>
      <c r="Q2657" s="1116"/>
      <c r="R2657" s="1141"/>
      <c r="S2657" s="1113"/>
      <c r="T2657" s="1143"/>
      <c r="U2657" s="1108"/>
      <c r="V2657" s="1108"/>
      <c r="W2657" s="1108"/>
      <c r="X2657" s="1108"/>
      <c r="Y2657" s="1108"/>
      <c r="Z2657" s="1114"/>
      <c r="AA2657" s="1114"/>
      <c r="AB2657" s="1114"/>
      <c r="AC2657" s="1117"/>
      <c r="AD2657" s="1115"/>
      <c r="AE2657" s="1115"/>
      <c r="AF2657" s="1115"/>
      <c r="AG2657" s="1115"/>
      <c r="AH2657" s="1115"/>
      <c r="AI2657" s="1115"/>
      <c r="AJ2657" s="1117"/>
      <c r="AK2657" s="1118"/>
      <c r="AL2657" s="1115"/>
      <c r="AM2657" s="1115"/>
      <c r="AN2657" s="1115"/>
      <c r="AO2657" s="1115"/>
      <c r="AP2657" s="1115"/>
      <c r="AQ2657" s="1115"/>
      <c r="AR2657" s="1115"/>
      <c r="AS2657" s="1117"/>
      <c r="AT2657" s="1075"/>
      <c r="AU2657" s="1193"/>
      <c r="AV2657" s="330"/>
      <c r="AW2657" s="331"/>
      <c r="AX2657" s="331"/>
      <c r="AY2657" s="331"/>
      <c r="AZ2657" s="331"/>
      <c r="BA2657" s="331"/>
      <c r="BB2657" s="331"/>
      <c r="BC2657" s="331"/>
      <c r="BD2657" s="331"/>
      <c r="BE2657" s="333"/>
      <c r="BF2657" s="330"/>
      <c r="BG2657" s="333"/>
      <c r="BH2657" s="1119"/>
      <c r="BI2657" s="319"/>
      <c r="BJ2657" s="319"/>
      <c r="BK2657" s="319"/>
      <c r="BL2657" s="319"/>
      <c r="BM2657" s="319"/>
      <c r="BN2657" s="319"/>
      <c r="BO2657" s="319"/>
      <c r="BP2657" s="953"/>
      <c r="BQ2657" s="319"/>
      <c r="BR2657" s="319"/>
      <c r="BS2657" s="330"/>
      <c r="BT2657" s="331"/>
      <c r="BU2657" s="920"/>
      <c r="BV2657" s="903"/>
      <c r="BW2657" s="908"/>
      <c r="BX2657" s="908"/>
      <c r="BY2657" s="331"/>
      <c r="BZ2657" s="331"/>
      <c r="CA2657" s="462"/>
      <c r="CB2657" s="319"/>
      <c r="CC2657" s="319"/>
      <c r="CD2657" s="319"/>
      <c r="CE2657" s="319"/>
      <c r="CF2657" s="319"/>
      <c r="CG2657" s="319"/>
      <c r="CH2657" s="318"/>
      <c r="CI2657" s="319"/>
      <c r="CJ2657" s="319"/>
      <c r="CK2657" s="342"/>
      <c r="CL2657" s="333"/>
      <c r="CM2657" s="1079"/>
      <c r="CN2657" s="1005"/>
      <c r="CO2657" s="1005"/>
      <c r="CP2657" s="1005"/>
    </row>
    <row r="2658">
      <c r="A2658" s="1257"/>
      <c r="B2658" s="1113"/>
      <c r="C2658" s="1107"/>
      <c r="D2658" s="103"/>
      <c r="E2658" s="1137"/>
      <c r="F2658" s="112"/>
      <c r="G2658" s="1110"/>
      <c r="H2658" s="1138"/>
      <c r="I2658" s="1138"/>
      <c r="J2658" s="1139"/>
      <c r="K2658" s="1111"/>
      <c r="L2658" s="1112"/>
      <c r="M2658" s="1113"/>
      <c r="N2658" s="110"/>
      <c r="O2658" s="1140"/>
      <c r="P2658" s="1115"/>
      <c r="Q2658" s="1116"/>
      <c r="R2658" s="1141"/>
      <c r="S2658" s="1113"/>
      <c r="T2658" s="1143"/>
      <c r="U2658" s="1108"/>
      <c r="V2658" s="1108"/>
      <c r="W2658" s="1108"/>
      <c r="X2658" s="1108"/>
      <c r="Y2658" s="1108"/>
      <c r="Z2658" s="1114"/>
      <c r="AA2658" s="1114"/>
      <c r="AB2658" s="1114"/>
      <c r="AC2658" s="1117"/>
      <c r="AD2658" s="1115"/>
      <c r="AE2658" s="1115"/>
      <c r="AF2658" s="1115"/>
      <c r="AG2658" s="1115"/>
      <c r="AH2658" s="1115"/>
      <c r="AI2658" s="1115"/>
      <c r="AJ2658" s="1117"/>
      <c r="AK2658" s="1118"/>
      <c r="AL2658" s="1115"/>
      <c r="AM2658" s="1115"/>
      <c r="AN2658" s="1115"/>
      <c r="AO2658" s="1115"/>
      <c r="AP2658" s="1115"/>
      <c r="AQ2658" s="1115"/>
      <c r="AR2658" s="1115"/>
      <c r="AS2658" s="1117"/>
      <c r="AT2658" s="1075"/>
      <c r="AU2658" s="1193"/>
      <c r="AV2658" s="330"/>
      <c r="AW2658" s="331"/>
      <c r="AX2658" s="331"/>
      <c r="AY2658" s="331"/>
      <c r="AZ2658" s="331"/>
      <c r="BA2658" s="331"/>
      <c r="BB2658" s="331"/>
      <c r="BC2658" s="331"/>
      <c r="BD2658" s="331"/>
      <c r="BE2658" s="333"/>
      <c r="BF2658" s="330"/>
      <c r="BG2658" s="333"/>
      <c r="BH2658" s="1119"/>
      <c r="BI2658" s="319"/>
      <c r="BJ2658" s="319"/>
      <c r="BK2658" s="319"/>
      <c r="BL2658" s="319"/>
      <c r="BM2658" s="319"/>
      <c r="BN2658" s="319"/>
      <c r="BO2658" s="319"/>
      <c r="BP2658" s="953"/>
      <c r="BQ2658" s="319"/>
      <c r="BR2658" s="319"/>
      <c r="BS2658" s="330"/>
      <c r="BT2658" s="331"/>
      <c r="BU2658" s="920"/>
      <c r="BV2658" s="903"/>
      <c r="BW2658" s="908"/>
      <c r="BX2658" s="908"/>
      <c r="BY2658" s="331"/>
      <c r="BZ2658" s="331"/>
      <c r="CA2658" s="462"/>
      <c r="CB2658" s="319"/>
      <c r="CC2658" s="319"/>
      <c r="CD2658" s="319"/>
      <c r="CE2658" s="319"/>
      <c r="CF2658" s="319"/>
      <c r="CG2658" s="319"/>
      <c r="CH2658" s="318"/>
      <c r="CI2658" s="319"/>
      <c r="CJ2658" s="319"/>
      <c r="CK2658" s="342"/>
      <c r="CL2658" s="333"/>
      <c r="CM2658" s="1079"/>
      <c r="CN2658" s="1005"/>
      <c r="CO2658" s="1005"/>
      <c r="CP2658" s="1005"/>
    </row>
    <row r="2659">
      <c r="A2659" s="1257"/>
      <c r="B2659" s="1113"/>
      <c r="C2659" s="1107"/>
      <c r="D2659" s="103"/>
      <c r="E2659" s="1137"/>
      <c r="F2659" s="112"/>
      <c r="G2659" s="1110"/>
      <c r="H2659" s="1138"/>
      <c r="I2659" s="1138"/>
      <c r="J2659" s="1139"/>
      <c r="K2659" s="1111"/>
      <c r="L2659" s="1112"/>
      <c r="M2659" s="1113"/>
      <c r="N2659" s="110"/>
      <c r="O2659" s="1140"/>
      <c r="P2659" s="1115"/>
      <c r="Q2659" s="1116"/>
      <c r="R2659" s="1141"/>
      <c r="S2659" s="1113"/>
      <c r="T2659" s="1143"/>
      <c r="U2659" s="1108"/>
      <c r="V2659" s="1108"/>
      <c r="W2659" s="1108"/>
      <c r="X2659" s="1108"/>
      <c r="Y2659" s="1108"/>
      <c r="Z2659" s="1114"/>
      <c r="AA2659" s="1114"/>
      <c r="AB2659" s="1114"/>
      <c r="AC2659" s="1117"/>
      <c r="AD2659" s="1115"/>
      <c r="AE2659" s="1115"/>
      <c r="AF2659" s="1115"/>
      <c r="AG2659" s="1115"/>
      <c r="AH2659" s="1115"/>
      <c r="AI2659" s="1115"/>
      <c r="AJ2659" s="1117"/>
      <c r="AK2659" s="1118"/>
      <c r="AL2659" s="1115"/>
      <c r="AM2659" s="1115"/>
      <c r="AN2659" s="1115"/>
      <c r="AO2659" s="1115"/>
      <c r="AP2659" s="1115"/>
      <c r="AQ2659" s="1115"/>
      <c r="AR2659" s="1115"/>
      <c r="AS2659" s="1117"/>
      <c r="AT2659" s="1075"/>
      <c r="AU2659" s="1193"/>
      <c r="AV2659" s="330"/>
      <c r="AW2659" s="331"/>
      <c r="AX2659" s="331"/>
      <c r="AY2659" s="331"/>
      <c r="AZ2659" s="331"/>
      <c r="BA2659" s="331"/>
      <c r="BB2659" s="331"/>
      <c r="BC2659" s="331"/>
      <c r="BD2659" s="331"/>
      <c r="BE2659" s="333"/>
      <c r="BF2659" s="330"/>
      <c r="BG2659" s="333"/>
      <c r="BH2659" s="1119"/>
      <c r="BI2659" s="319"/>
      <c r="BJ2659" s="319"/>
      <c r="BK2659" s="319"/>
      <c r="BL2659" s="319"/>
      <c r="BM2659" s="319"/>
      <c r="BN2659" s="319"/>
      <c r="BO2659" s="319"/>
      <c r="BP2659" s="953"/>
      <c r="BQ2659" s="319"/>
      <c r="BR2659" s="319"/>
      <c r="BS2659" s="330"/>
      <c r="BT2659" s="331"/>
      <c r="BU2659" s="920"/>
      <c r="BV2659" s="903"/>
      <c r="BW2659" s="908"/>
      <c r="BX2659" s="908"/>
      <c r="BY2659" s="331"/>
      <c r="BZ2659" s="331"/>
      <c r="CA2659" s="462"/>
      <c r="CB2659" s="319"/>
      <c r="CC2659" s="319"/>
      <c r="CD2659" s="319"/>
      <c r="CE2659" s="319"/>
      <c r="CF2659" s="319"/>
      <c r="CG2659" s="319"/>
      <c r="CH2659" s="318"/>
      <c r="CI2659" s="319"/>
      <c r="CJ2659" s="319"/>
      <c r="CK2659" s="342"/>
      <c r="CL2659" s="333"/>
      <c r="CM2659" s="1079"/>
      <c r="CN2659" s="1005"/>
      <c r="CO2659" s="1005"/>
      <c r="CP2659" s="1005"/>
    </row>
    <row r="2660">
      <c r="A2660" s="1257"/>
      <c r="B2660" s="1113"/>
      <c r="C2660" s="1107"/>
      <c r="D2660" s="103"/>
      <c r="E2660" s="1137"/>
      <c r="F2660" s="112"/>
      <c r="G2660" s="1110"/>
      <c r="H2660" s="1138"/>
      <c r="I2660" s="1138"/>
      <c r="J2660" s="1139"/>
      <c r="K2660" s="1111"/>
      <c r="L2660" s="1112"/>
      <c r="M2660" s="1113"/>
      <c r="N2660" s="110"/>
      <c r="O2660" s="1140"/>
      <c r="P2660" s="1115"/>
      <c r="Q2660" s="1116"/>
      <c r="R2660" s="1141"/>
      <c r="S2660" s="1113"/>
      <c r="T2660" s="1143"/>
      <c r="U2660" s="1108"/>
      <c r="V2660" s="1108"/>
      <c r="W2660" s="1108"/>
      <c r="X2660" s="1108"/>
      <c r="Y2660" s="1108"/>
      <c r="Z2660" s="1114"/>
      <c r="AA2660" s="1114"/>
      <c r="AB2660" s="1114"/>
      <c r="AC2660" s="1117"/>
      <c r="AD2660" s="1115"/>
      <c r="AE2660" s="1115"/>
      <c r="AF2660" s="1115"/>
      <c r="AG2660" s="1115"/>
      <c r="AH2660" s="1115"/>
      <c r="AI2660" s="1115"/>
      <c r="AJ2660" s="1117"/>
      <c r="AK2660" s="1118"/>
      <c r="AL2660" s="1115"/>
      <c r="AM2660" s="1115"/>
      <c r="AN2660" s="1115"/>
      <c r="AO2660" s="1115"/>
      <c r="AP2660" s="1115"/>
      <c r="AQ2660" s="1115"/>
      <c r="AR2660" s="1115"/>
      <c r="AS2660" s="1117"/>
      <c r="AT2660" s="1075"/>
      <c r="AU2660" s="1193"/>
      <c r="AV2660" s="330"/>
      <c r="AW2660" s="331"/>
      <c r="AX2660" s="331"/>
      <c r="AY2660" s="331"/>
      <c r="AZ2660" s="331"/>
      <c r="BA2660" s="331"/>
      <c r="BB2660" s="331"/>
      <c r="BC2660" s="331"/>
      <c r="BD2660" s="331"/>
      <c r="BE2660" s="333"/>
      <c r="BF2660" s="330"/>
      <c r="BG2660" s="333"/>
      <c r="BH2660" s="1119"/>
      <c r="BI2660" s="319"/>
      <c r="BJ2660" s="319"/>
      <c r="BK2660" s="319"/>
      <c r="BL2660" s="319"/>
      <c r="BM2660" s="319"/>
      <c r="BN2660" s="319"/>
      <c r="BO2660" s="319"/>
      <c r="BP2660" s="953"/>
      <c r="BQ2660" s="319"/>
      <c r="BR2660" s="319"/>
      <c r="BS2660" s="330"/>
      <c r="BT2660" s="331"/>
      <c r="BU2660" s="920"/>
      <c r="BV2660" s="903"/>
      <c r="BW2660" s="908"/>
      <c r="BX2660" s="908"/>
      <c r="BY2660" s="331"/>
      <c r="BZ2660" s="331"/>
      <c r="CA2660" s="462"/>
      <c r="CB2660" s="319"/>
      <c r="CC2660" s="319"/>
      <c r="CD2660" s="319"/>
      <c r="CE2660" s="319"/>
      <c r="CF2660" s="319"/>
      <c r="CG2660" s="319"/>
      <c r="CH2660" s="318"/>
      <c r="CI2660" s="319"/>
      <c r="CJ2660" s="319"/>
      <c r="CK2660" s="342"/>
      <c r="CL2660" s="333"/>
      <c r="CM2660" s="1079"/>
      <c r="CN2660" s="1005"/>
      <c r="CO2660" s="1005"/>
      <c r="CP2660" s="1005"/>
    </row>
    <row r="2661">
      <c r="A2661" s="1257"/>
      <c r="B2661" s="1113"/>
      <c r="C2661" s="1107"/>
      <c r="D2661" s="103"/>
      <c r="E2661" s="1137"/>
      <c r="F2661" s="112"/>
      <c r="G2661" s="1110"/>
      <c r="H2661" s="1138"/>
      <c r="I2661" s="1138"/>
      <c r="J2661" s="1139"/>
      <c r="K2661" s="1111"/>
      <c r="L2661" s="1112"/>
      <c r="M2661" s="1113"/>
      <c r="N2661" s="110"/>
      <c r="O2661" s="1140"/>
      <c r="P2661" s="1115"/>
      <c r="Q2661" s="1116"/>
      <c r="R2661" s="1141"/>
      <c r="S2661" s="1113"/>
      <c r="T2661" s="1143"/>
      <c r="U2661" s="1108"/>
      <c r="V2661" s="1108"/>
      <c r="W2661" s="1108"/>
      <c r="X2661" s="1108"/>
      <c r="Y2661" s="1108"/>
      <c r="Z2661" s="1114"/>
      <c r="AA2661" s="1114"/>
      <c r="AB2661" s="1114"/>
      <c r="AC2661" s="1117"/>
      <c r="AD2661" s="1115"/>
      <c r="AE2661" s="1115"/>
      <c r="AF2661" s="1115"/>
      <c r="AG2661" s="1115"/>
      <c r="AH2661" s="1115"/>
      <c r="AI2661" s="1115"/>
      <c r="AJ2661" s="1117"/>
      <c r="AK2661" s="1118"/>
      <c r="AL2661" s="1115"/>
      <c r="AM2661" s="1115"/>
      <c r="AN2661" s="1115"/>
      <c r="AO2661" s="1115"/>
      <c r="AP2661" s="1115"/>
      <c r="AQ2661" s="1115"/>
      <c r="AR2661" s="1115"/>
      <c r="AS2661" s="1117"/>
      <c r="AT2661" s="1075"/>
      <c r="AU2661" s="1193"/>
      <c r="AV2661" s="330"/>
      <c r="AW2661" s="331"/>
      <c r="AX2661" s="331"/>
      <c r="AY2661" s="331"/>
      <c r="AZ2661" s="331"/>
      <c r="BA2661" s="331"/>
      <c r="BB2661" s="331"/>
      <c r="BC2661" s="331"/>
      <c r="BD2661" s="331"/>
      <c r="BE2661" s="333"/>
      <c r="BF2661" s="330"/>
      <c r="BG2661" s="333"/>
      <c r="BH2661" s="1119"/>
      <c r="BI2661" s="319"/>
      <c r="BJ2661" s="319"/>
      <c r="BK2661" s="319"/>
      <c r="BL2661" s="319"/>
      <c r="BM2661" s="319"/>
      <c r="BN2661" s="319"/>
      <c r="BO2661" s="319"/>
      <c r="BP2661" s="953"/>
      <c r="BQ2661" s="319"/>
      <c r="BR2661" s="319"/>
      <c r="BS2661" s="330"/>
      <c r="BT2661" s="331"/>
      <c r="BU2661" s="920"/>
      <c r="BV2661" s="903"/>
      <c r="BW2661" s="908"/>
      <c r="BX2661" s="908"/>
      <c r="BY2661" s="331"/>
      <c r="BZ2661" s="331"/>
      <c r="CA2661" s="462"/>
      <c r="CB2661" s="319"/>
      <c r="CC2661" s="319"/>
      <c r="CD2661" s="319"/>
      <c r="CE2661" s="319"/>
      <c r="CF2661" s="319"/>
      <c r="CG2661" s="319"/>
      <c r="CH2661" s="318"/>
      <c r="CI2661" s="319"/>
      <c r="CJ2661" s="319"/>
      <c r="CK2661" s="342"/>
      <c r="CL2661" s="333"/>
      <c r="CM2661" s="1079"/>
      <c r="CN2661" s="1005"/>
      <c r="CO2661" s="1005"/>
      <c r="CP2661" s="1005"/>
    </row>
    <row r="2662">
      <c r="A2662" s="1257"/>
      <c r="B2662" s="1113"/>
      <c r="C2662" s="1107"/>
      <c r="D2662" s="103"/>
      <c r="E2662" s="1137"/>
      <c r="F2662" s="112"/>
      <c r="G2662" s="1110"/>
      <c r="H2662" s="1138"/>
      <c r="I2662" s="1138"/>
      <c r="J2662" s="1139"/>
      <c r="K2662" s="1111"/>
      <c r="L2662" s="1112"/>
      <c r="M2662" s="1113"/>
      <c r="N2662" s="110"/>
      <c r="O2662" s="1140"/>
      <c r="P2662" s="1115"/>
      <c r="Q2662" s="1116"/>
      <c r="R2662" s="1141"/>
      <c r="S2662" s="1113"/>
      <c r="T2662" s="1143"/>
      <c r="U2662" s="1108"/>
      <c r="V2662" s="1108"/>
      <c r="W2662" s="1108"/>
      <c r="X2662" s="1108"/>
      <c r="Y2662" s="1108"/>
      <c r="Z2662" s="1114"/>
      <c r="AA2662" s="1114"/>
      <c r="AB2662" s="1114"/>
      <c r="AC2662" s="1117"/>
      <c r="AD2662" s="1115"/>
      <c r="AE2662" s="1115"/>
      <c r="AF2662" s="1115"/>
      <c r="AG2662" s="1115"/>
      <c r="AH2662" s="1115"/>
      <c r="AI2662" s="1115"/>
      <c r="AJ2662" s="1117"/>
      <c r="AK2662" s="1118"/>
      <c r="AL2662" s="1115"/>
      <c r="AM2662" s="1115"/>
      <c r="AN2662" s="1115"/>
      <c r="AO2662" s="1115"/>
      <c r="AP2662" s="1115"/>
      <c r="AQ2662" s="1115"/>
      <c r="AR2662" s="1115"/>
      <c r="AS2662" s="1117"/>
      <c r="AT2662" s="1075"/>
      <c r="AU2662" s="1193"/>
      <c r="AV2662" s="330"/>
      <c r="AW2662" s="331"/>
      <c r="AX2662" s="331"/>
      <c r="AY2662" s="331"/>
      <c r="AZ2662" s="331"/>
      <c r="BA2662" s="331"/>
      <c r="BB2662" s="331"/>
      <c r="BC2662" s="331"/>
      <c r="BD2662" s="331"/>
      <c r="BE2662" s="333"/>
      <c r="BF2662" s="330"/>
      <c r="BG2662" s="333"/>
      <c r="BH2662" s="1119"/>
      <c r="BI2662" s="319"/>
      <c r="BJ2662" s="319"/>
      <c r="BK2662" s="319"/>
      <c r="BL2662" s="319"/>
      <c r="BM2662" s="319"/>
      <c r="BN2662" s="319"/>
      <c r="BO2662" s="319"/>
      <c r="BP2662" s="953"/>
      <c r="BQ2662" s="319"/>
      <c r="BR2662" s="319"/>
      <c r="BS2662" s="330"/>
      <c r="BT2662" s="331"/>
      <c r="BU2662" s="920"/>
      <c r="BV2662" s="903"/>
      <c r="BW2662" s="908"/>
      <c r="BX2662" s="908"/>
      <c r="BY2662" s="331"/>
      <c r="BZ2662" s="331"/>
      <c r="CA2662" s="462"/>
      <c r="CB2662" s="319"/>
      <c r="CC2662" s="319"/>
      <c r="CD2662" s="319"/>
      <c r="CE2662" s="319"/>
      <c r="CF2662" s="319"/>
      <c r="CG2662" s="319"/>
      <c r="CH2662" s="318"/>
      <c r="CI2662" s="319"/>
      <c r="CJ2662" s="319"/>
      <c r="CK2662" s="342"/>
      <c r="CL2662" s="333"/>
      <c r="CM2662" s="1079"/>
      <c r="CN2662" s="1005"/>
      <c r="CO2662" s="1005"/>
      <c r="CP2662" s="1005"/>
    </row>
    <row r="2663">
      <c r="A2663" s="1257"/>
      <c r="B2663" s="1113"/>
      <c r="C2663" s="1107"/>
      <c r="D2663" s="103"/>
      <c r="E2663" s="1137"/>
      <c r="F2663" s="112"/>
      <c r="G2663" s="1110"/>
      <c r="H2663" s="1138"/>
      <c r="I2663" s="1138"/>
      <c r="J2663" s="1139"/>
      <c r="K2663" s="1111"/>
      <c r="L2663" s="1112"/>
      <c r="M2663" s="1113"/>
      <c r="N2663" s="110"/>
      <c r="O2663" s="1140"/>
      <c r="P2663" s="1115"/>
      <c r="Q2663" s="1116"/>
      <c r="R2663" s="1141"/>
      <c r="S2663" s="1113"/>
      <c r="T2663" s="1143"/>
      <c r="U2663" s="1108"/>
      <c r="V2663" s="1108"/>
      <c r="W2663" s="1108"/>
      <c r="X2663" s="1108"/>
      <c r="Y2663" s="1108"/>
      <c r="Z2663" s="1114"/>
      <c r="AA2663" s="1114"/>
      <c r="AB2663" s="1114"/>
      <c r="AC2663" s="1117"/>
      <c r="AD2663" s="1115"/>
      <c r="AE2663" s="1115"/>
      <c r="AF2663" s="1115"/>
      <c r="AG2663" s="1115"/>
      <c r="AH2663" s="1115"/>
      <c r="AI2663" s="1115"/>
      <c r="AJ2663" s="1117"/>
      <c r="AK2663" s="1118"/>
      <c r="AL2663" s="1115"/>
      <c r="AM2663" s="1115"/>
      <c r="AN2663" s="1115"/>
      <c r="AO2663" s="1115"/>
      <c r="AP2663" s="1115"/>
      <c r="AQ2663" s="1115"/>
      <c r="AR2663" s="1115"/>
      <c r="AS2663" s="1117"/>
      <c r="AT2663" s="1075"/>
      <c r="AU2663" s="1193"/>
      <c r="AV2663" s="330"/>
      <c r="AW2663" s="331"/>
      <c r="AX2663" s="331"/>
      <c r="AY2663" s="331"/>
      <c r="AZ2663" s="331"/>
      <c r="BA2663" s="331"/>
      <c r="BB2663" s="331"/>
      <c r="BC2663" s="331"/>
      <c r="BD2663" s="331"/>
      <c r="BE2663" s="333"/>
      <c r="BF2663" s="330"/>
      <c r="BG2663" s="333"/>
      <c r="BH2663" s="1119"/>
      <c r="BI2663" s="319"/>
      <c r="BJ2663" s="319"/>
      <c r="BK2663" s="319"/>
      <c r="BL2663" s="319"/>
      <c r="BM2663" s="319"/>
      <c r="BN2663" s="319"/>
      <c r="BO2663" s="319"/>
      <c r="BP2663" s="953"/>
      <c r="BQ2663" s="319"/>
      <c r="BR2663" s="319"/>
      <c r="BS2663" s="330"/>
      <c r="BT2663" s="331"/>
      <c r="BU2663" s="920"/>
      <c r="BV2663" s="903"/>
      <c r="BW2663" s="908"/>
      <c r="BX2663" s="908"/>
      <c r="BY2663" s="331"/>
      <c r="BZ2663" s="331"/>
      <c r="CA2663" s="462"/>
      <c r="CB2663" s="319"/>
      <c r="CC2663" s="319"/>
      <c r="CD2663" s="319"/>
      <c r="CE2663" s="319"/>
      <c r="CF2663" s="319"/>
      <c r="CG2663" s="319"/>
      <c r="CH2663" s="318"/>
      <c r="CI2663" s="319"/>
      <c r="CJ2663" s="319"/>
      <c r="CK2663" s="342"/>
      <c r="CL2663" s="333"/>
      <c r="CM2663" s="1079"/>
      <c r="CN2663" s="1005"/>
      <c r="CO2663" s="1005"/>
      <c r="CP2663" s="1005"/>
    </row>
    <row r="2664">
      <c r="A2664" s="1257"/>
      <c r="B2664" s="1113"/>
      <c r="C2664" s="1107"/>
      <c r="D2664" s="103"/>
      <c r="E2664" s="1137"/>
      <c r="F2664" s="112"/>
      <c r="G2664" s="1110"/>
      <c r="H2664" s="1138"/>
      <c r="I2664" s="1138"/>
      <c r="J2664" s="1139"/>
      <c r="K2664" s="1111"/>
      <c r="L2664" s="1112"/>
      <c r="M2664" s="1113"/>
      <c r="N2664" s="110"/>
      <c r="O2664" s="1140"/>
      <c r="P2664" s="1115"/>
      <c r="Q2664" s="1116"/>
      <c r="R2664" s="1141"/>
      <c r="S2664" s="1113"/>
      <c r="T2664" s="1143"/>
      <c r="U2664" s="1108"/>
      <c r="V2664" s="1108"/>
      <c r="W2664" s="1108"/>
      <c r="X2664" s="1108"/>
      <c r="Y2664" s="1108"/>
      <c r="Z2664" s="1114"/>
      <c r="AA2664" s="1114"/>
      <c r="AB2664" s="1114"/>
      <c r="AC2664" s="1117"/>
      <c r="AD2664" s="1115"/>
      <c r="AE2664" s="1115"/>
      <c r="AF2664" s="1115"/>
      <c r="AG2664" s="1115"/>
      <c r="AH2664" s="1115"/>
      <c r="AI2664" s="1115"/>
      <c r="AJ2664" s="1117"/>
      <c r="AK2664" s="1118"/>
      <c r="AL2664" s="1115"/>
      <c r="AM2664" s="1115"/>
      <c r="AN2664" s="1115"/>
      <c r="AO2664" s="1115"/>
      <c r="AP2664" s="1115"/>
      <c r="AQ2664" s="1115"/>
      <c r="AR2664" s="1115"/>
      <c r="AS2664" s="1117"/>
      <c r="AT2664" s="1075"/>
      <c r="AU2664" s="1193"/>
      <c r="AV2664" s="330"/>
      <c r="AW2664" s="331"/>
      <c r="AX2664" s="331"/>
      <c r="AY2664" s="331"/>
      <c r="AZ2664" s="331"/>
      <c r="BA2664" s="331"/>
      <c r="BB2664" s="331"/>
      <c r="BC2664" s="331"/>
      <c r="BD2664" s="331"/>
      <c r="BE2664" s="333"/>
      <c r="BF2664" s="330"/>
      <c r="BG2664" s="333"/>
      <c r="BH2664" s="1119"/>
      <c r="BI2664" s="319"/>
      <c r="BJ2664" s="319"/>
      <c r="BK2664" s="319"/>
      <c r="BL2664" s="319"/>
      <c r="BM2664" s="319"/>
      <c r="BN2664" s="319"/>
      <c r="BO2664" s="319"/>
      <c r="BP2664" s="953"/>
      <c r="BQ2664" s="319"/>
      <c r="BR2664" s="319"/>
      <c r="BS2664" s="330"/>
      <c r="BT2664" s="331"/>
      <c r="BU2664" s="920"/>
      <c r="BV2664" s="903"/>
      <c r="BW2664" s="908"/>
      <c r="BX2664" s="908"/>
      <c r="BY2664" s="331"/>
      <c r="BZ2664" s="331"/>
      <c r="CA2664" s="462"/>
      <c r="CB2664" s="319"/>
      <c r="CC2664" s="319"/>
      <c r="CD2664" s="319"/>
      <c r="CE2664" s="319"/>
      <c r="CF2664" s="319"/>
      <c r="CG2664" s="319"/>
      <c r="CH2664" s="318"/>
      <c r="CI2664" s="319"/>
      <c r="CJ2664" s="319"/>
      <c r="CK2664" s="342"/>
      <c r="CL2664" s="333"/>
      <c r="CM2664" s="1079"/>
      <c r="CN2664" s="1005"/>
      <c r="CO2664" s="1005"/>
      <c r="CP2664" s="1005"/>
    </row>
    <row r="2665">
      <c r="A2665" s="1257"/>
      <c r="B2665" s="1113"/>
      <c r="C2665" s="1107"/>
      <c r="D2665" s="103"/>
      <c r="E2665" s="1137"/>
      <c r="F2665" s="112"/>
      <c r="G2665" s="1110"/>
      <c r="H2665" s="1138"/>
      <c r="I2665" s="1138"/>
      <c r="J2665" s="1139"/>
      <c r="K2665" s="1111"/>
      <c r="L2665" s="1112"/>
      <c r="M2665" s="1113"/>
      <c r="N2665" s="110"/>
      <c r="O2665" s="1140"/>
      <c r="P2665" s="1115"/>
      <c r="Q2665" s="1116"/>
      <c r="R2665" s="1141"/>
      <c r="S2665" s="1113"/>
      <c r="T2665" s="1143"/>
      <c r="U2665" s="1108"/>
      <c r="V2665" s="1108"/>
      <c r="W2665" s="1108"/>
      <c r="X2665" s="1108"/>
      <c r="Y2665" s="1108"/>
      <c r="Z2665" s="1114"/>
      <c r="AA2665" s="1114"/>
      <c r="AB2665" s="1114"/>
      <c r="AC2665" s="1117"/>
      <c r="AD2665" s="1115"/>
      <c r="AE2665" s="1115"/>
      <c r="AF2665" s="1115"/>
      <c r="AG2665" s="1115"/>
      <c r="AH2665" s="1115"/>
      <c r="AI2665" s="1115"/>
      <c r="AJ2665" s="1117"/>
      <c r="AK2665" s="1118"/>
      <c r="AL2665" s="1115"/>
      <c r="AM2665" s="1115"/>
      <c r="AN2665" s="1115"/>
      <c r="AO2665" s="1115"/>
      <c r="AP2665" s="1115"/>
      <c r="AQ2665" s="1115"/>
      <c r="AR2665" s="1115"/>
      <c r="AS2665" s="1117"/>
      <c r="AT2665" s="1075"/>
      <c r="AU2665" s="1193"/>
      <c r="AV2665" s="330"/>
      <c r="AW2665" s="331"/>
      <c r="AX2665" s="331"/>
      <c r="AY2665" s="331"/>
      <c r="AZ2665" s="331"/>
      <c r="BA2665" s="331"/>
      <c r="BB2665" s="331"/>
      <c r="BC2665" s="331"/>
      <c r="BD2665" s="331"/>
      <c r="BE2665" s="333"/>
      <c r="BF2665" s="330"/>
      <c r="BG2665" s="333"/>
      <c r="BH2665" s="1119"/>
      <c r="BI2665" s="319"/>
      <c r="BJ2665" s="319"/>
      <c r="BK2665" s="319"/>
      <c r="BL2665" s="319"/>
      <c r="BM2665" s="319"/>
      <c r="BN2665" s="319"/>
      <c r="BO2665" s="319"/>
      <c r="BP2665" s="953"/>
      <c r="BQ2665" s="319"/>
      <c r="BR2665" s="319"/>
      <c r="BS2665" s="330"/>
      <c r="BT2665" s="331"/>
      <c r="BU2665" s="920"/>
      <c r="BV2665" s="903"/>
      <c r="BW2665" s="908"/>
      <c r="BX2665" s="908"/>
      <c r="BY2665" s="331"/>
      <c r="BZ2665" s="331"/>
      <c r="CA2665" s="462"/>
      <c r="CB2665" s="319"/>
      <c r="CC2665" s="319"/>
      <c r="CD2665" s="319"/>
      <c r="CE2665" s="319"/>
      <c r="CF2665" s="319"/>
      <c r="CG2665" s="319"/>
      <c r="CH2665" s="318"/>
      <c r="CI2665" s="319"/>
      <c r="CJ2665" s="319"/>
      <c r="CK2665" s="342"/>
      <c r="CL2665" s="333"/>
      <c r="CM2665" s="1079"/>
      <c r="CN2665" s="1005"/>
      <c r="CO2665" s="1005"/>
      <c r="CP2665" s="1005"/>
    </row>
    <row r="2666">
      <c r="A2666" s="1257"/>
      <c r="B2666" s="1113"/>
      <c r="C2666" s="1107"/>
      <c r="D2666" s="103"/>
      <c r="E2666" s="1137"/>
      <c r="F2666" s="112"/>
      <c r="G2666" s="1110"/>
      <c r="H2666" s="1138"/>
      <c r="I2666" s="1138"/>
      <c r="J2666" s="1139"/>
      <c r="K2666" s="1111"/>
      <c r="L2666" s="1112"/>
      <c r="M2666" s="1113"/>
      <c r="N2666" s="110"/>
      <c r="O2666" s="1140"/>
      <c r="P2666" s="1115"/>
      <c r="Q2666" s="1116"/>
      <c r="R2666" s="1141"/>
      <c r="S2666" s="1113"/>
      <c r="T2666" s="1143"/>
      <c r="U2666" s="1108"/>
      <c r="V2666" s="1108"/>
      <c r="W2666" s="1108"/>
      <c r="X2666" s="1108"/>
      <c r="Y2666" s="1108"/>
      <c r="Z2666" s="1114"/>
      <c r="AA2666" s="1114"/>
      <c r="AB2666" s="1114"/>
      <c r="AC2666" s="1117"/>
      <c r="AD2666" s="1115"/>
      <c r="AE2666" s="1115"/>
      <c r="AF2666" s="1115"/>
      <c r="AG2666" s="1115"/>
      <c r="AH2666" s="1115"/>
      <c r="AI2666" s="1115"/>
      <c r="AJ2666" s="1117"/>
      <c r="AK2666" s="1118"/>
      <c r="AL2666" s="1115"/>
      <c r="AM2666" s="1115"/>
      <c r="AN2666" s="1115"/>
      <c r="AO2666" s="1115"/>
      <c r="AP2666" s="1115"/>
      <c r="AQ2666" s="1115"/>
      <c r="AR2666" s="1115"/>
      <c r="AS2666" s="1117"/>
      <c r="AT2666" s="1075"/>
      <c r="AU2666" s="1193"/>
      <c r="AV2666" s="330"/>
      <c r="AW2666" s="331"/>
      <c r="AX2666" s="331"/>
      <c r="AY2666" s="331"/>
      <c r="AZ2666" s="331"/>
      <c r="BA2666" s="331"/>
      <c r="BB2666" s="331"/>
      <c r="BC2666" s="331"/>
      <c r="BD2666" s="331"/>
      <c r="BE2666" s="333"/>
      <c r="BF2666" s="330"/>
      <c r="BG2666" s="333"/>
      <c r="BH2666" s="1119"/>
      <c r="BI2666" s="319"/>
      <c r="BJ2666" s="319"/>
      <c r="BK2666" s="319"/>
      <c r="BL2666" s="319"/>
      <c r="BM2666" s="319"/>
      <c r="BN2666" s="319"/>
      <c r="BO2666" s="319"/>
      <c r="BP2666" s="953"/>
      <c r="BQ2666" s="319"/>
      <c r="BR2666" s="319"/>
      <c r="BS2666" s="330"/>
      <c r="BT2666" s="331"/>
      <c r="BU2666" s="920"/>
      <c r="BV2666" s="903"/>
      <c r="BW2666" s="908"/>
      <c r="BX2666" s="908"/>
      <c r="BY2666" s="331"/>
      <c r="BZ2666" s="331"/>
      <c r="CA2666" s="462"/>
      <c r="CB2666" s="319"/>
      <c r="CC2666" s="319"/>
      <c r="CD2666" s="319"/>
      <c r="CE2666" s="319"/>
      <c r="CF2666" s="319"/>
      <c r="CG2666" s="319"/>
      <c r="CH2666" s="318"/>
      <c r="CI2666" s="319"/>
      <c r="CJ2666" s="319"/>
      <c r="CK2666" s="342"/>
      <c r="CL2666" s="333"/>
      <c r="CM2666" s="1079"/>
      <c r="CN2666" s="1005"/>
      <c r="CO2666" s="1005"/>
      <c r="CP2666" s="1005"/>
    </row>
    <row r="2667">
      <c r="A2667" s="1257"/>
      <c r="B2667" s="1113"/>
      <c r="C2667" s="1107"/>
      <c r="D2667" s="103"/>
      <c r="E2667" s="1137"/>
      <c r="F2667" s="112"/>
      <c r="G2667" s="1110"/>
      <c r="H2667" s="1138"/>
      <c r="I2667" s="1138"/>
      <c r="J2667" s="1139"/>
      <c r="K2667" s="1111"/>
      <c r="L2667" s="1112"/>
      <c r="M2667" s="1113"/>
      <c r="N2667" s="110"/>
      <c r="O2667" s="1140"/>
      <c r="P2667" s="1115"/>
      <c r="Q2667" s="1116"/>
      <c r="R2667" s="1141"/>
      <c r="S2667" s="1113"/>
      <c r="T2667" s="1143"/>
      <c r="U2667" s="1108"/>
      <c r="V2667" s="1108"/>
      <c r="W2667" s="1108"/>
      <c r="X2667" s="1108"/>
      <c r="Y2667" s="1108"/>
      <c r="Z2667" s="1114"/>
      <c r="AA2667" s="1114"/>
      <c r="AB2667" s="1114"/>
      <c r="AC2667" s="1117"/>
      <c r="AD2667" s="1115"/>
      <c r="AE2667" s="1115"/>
      <c r="AF2667" s="1115"/>
      <c r="AG2667" s="1115"/>
      <c r="AH2667" s="1115"/>
      <c r="AI2667" s="1115"/>
      <c r="AJ2667" s="1117"/>
      <c r="AK2667" s="1118"/>
      <c r="AL2667" s="1115"/>
      <c r="AM2667" s="1115"/>
      <c r="AN2667" s="1115"/>
      <c r="AO2667" s="1115"/>
      <c r="AP2667" s="1115"/>
      <c r="AQ2667" s="1115"/>
      <c r="AR2667" s="1115"/>
      <c r="AS2667" s="1117"/>
      <c r="AT2667" s="1075"/>
      <c r="AU2667" s="1193"/>
      <c r="AV2667" s="330"/>
      <c r="AW2667" s="331"/>
      <c r="AX2667" s="331"/>
      <c r="AY2667" s="331"/>
      <c r="AZ2667" s="331"/>
      <c r="BA2667" s="331"/>
      <c r="BB2667" s="331"/>
      <c r="BC2667" s="331"/>
      <c r="BD2667" s="331"/>
      <c r="BE2667" s="333"/>
      <c r="BF2667" s="330"/>
      <c r="BG2667" s="333"/>
      <c r="BH2667" s="1119"/>
      <c r="BI2667" s="319"/>
      <c r="BJ2667" s="319"/>
      <c r="BK2667" s="319"/>
      <c r="BL2667" s="319"/>
      <c r="BM2667" s="319"/>
      <c r="BN2667" s="319"/>
      <c r="BO2667" s="319"/>
      <c r="BP2667" s="953"/>
      <c r="BQ2667" s="319"/>
      <c r="BR2667" s="319"/>
      <c r="BS2667" s="330"/>
      <c r="BT2667" s="331"/>
      <c r="BU2667" s="920"/>
      <c r="BV2667" s="903"/>
      <c r="BW2667" s="908"/>
      <c r="BX2667" s="908"/>
      <c r="BY2667" s="331"/>
      <c r="BZ2667" s="331"/>
      <c r="CA2667" s="462"/>
      <c r="CB2667" s="319"/>
      <c r="CC2667" s="319"/>
      <c r="CD2667" s="319"/>
      <c r="CE2667" s="319"/>
      <c r="CF2667" s="319"/>
      <c r="CG2667" s="319"/>
      <c r="CH2667" s="318"/>
      <c r="CI2667" s="319"/>
      <c r="CJ2667" s="319"/>
      <c r="CK2667" s="342"/>
      <c r="CL2667" s="333"/>
      <c r="CM2667" s="1079"/>
      <c r="CN2667" s="1005"/>
      <c r="CO2667" s="1005"/>
      <c r="CP2667" s="1005"/>
    </row>
    <row r="2668">
      <c r="A2668" s="1257"/>
      <c r="B2668" s="1113"/>
      <c r="C2668" s="1107"/>
      <c r="D2668" s="103"/>
      <c r="E2668" s="1137"/>
      <c r="F2668" s="112"/>
      <c r="G2668" s="1110"/>
      <c r="H2668" s="1138"/>
      <c r="I2668" s="1138"/>
      <c r="J2668" s="1139"/>
      <c r="K2668" s="1111"/>
      <c r="L2668" s="1112"/>
      <c r="M2668" s="1113"/>
      <c r="N2668" s="110"/>
      <c r="O2668" s="1140"/>
      <c r="P2668" s="1115"/>
      <c r="Q2668" s="1116"/>
      <c r="R2668" s="1141"/>
      <c r="S2668" s="1113"/>
      <c r="T2668" s="1143"/>
      <c r="U2668" s="1108"/>
      <c r="V2668" s="1108"/>
      <c r="W2668" s="1108"/>
      <c r="X2668" s="1108"/>
      <c r="Y2668" s="1108"/>
      <c r="Z2668" s="1114"/>
      <c r="AA2668" s="1114"/>
      <c r="AB2668" s="1114"/>
      <c r="AC2668" s="1117"/>
      <c r="AD2668" s="1115"/>
      <c r="AE2668" s="1115"/>
      <c r="AF2668" s="1115"/>
      <c r="AG2668" s="1115"/>
      <c r="AH2668" s="1115"/>
      <c r="AI2668" s="1115"/>
      <c r="AJ2668" s="1117"/>
      <c r="AK2668" s="1118"/>
      <c r="AL2668" s="1115"/>
      <c r="AM2668" s="1115"/>
      <c r="AN2668" s="1115"/>
      <c r="AO2668" s="1115"/>
      <c r="AP2668" s="1115"/>
      <c r="AQ2668" s="1115"/>
      <c r="AR2668" s="1115"/>
      <c r="AS2668" s="1117"/>
      <c r="AT2668" s="1075"/>
      <c r="AU2668" s="1193"/>
      <c r="AV2668" s="330"/>
      <c r="AW2668" s="331"/>
      <c r="AX2668" s="331"/>
      <c r="AY2668" s="331"/>
      <c r="AZ2668" s="331"/>
      <c r="BA2668" s="331"/>
      <c r="BB2668" s="331"/>
      <c r="BC2668" s="331"/>
      <c r="BD2668" s="331"/>
      <c r="BE2668" s="333"/>
      <c r="BF2668" s="330"/>
      <c r="BG2668" s="333"/>
      <c r="BH2668" s="1119"/>
      <c r="BI2668" s="319"/>
      <c r="BJ2668" s="319"/>
      <c r="BK2668" s="319"/>
      <c r="BL2668" s="319"/>
      <c r="BM2668" s="319"/>
      <c r="BN2668" s="319"/>
      <c r="BO2668" s="319"/>
      <c r="BP2668" s="953"/>
      <c r="BQ2668" s="319"/>
      <c r="BR2668" s="319"/>
      <c r="BS2668" s="330"/>
      <c r="BT2668" s="331"/>
      <c r="BU2668" s="920"/>
      <c r="BV2668" s="903"/>
      <c r="BW2668" s="908"/>
      <c r="BX2668" s="908"/>
      <c r="BY2668" s="331"/>
      <c r="BZ2668" s="331"/>
      <c r="CA2668" s="462"/>
      <c r="CB2668" s="319"/>
      <c r="CC2668" s="319"/>
      <c r="CD2668" s="319"/>
      <c r="CE2668" s="319"/>
      <c r="CF2668" s="319"/>
      <c r="CG2668" s="319"/>
      <c r="CH2668" s="318"/>
      <c r="CI2668" s="319"/>
      <c r="CJ2668" s="319"/>
      <c r="CK2668" s="342"/>
      <c r="CL2668" s="333"/>
      <c r="CM2668" s="1079"/>
      <c r="CN2668" s="1005"/>
      <c r="CO2668" s="1005"/>
      <c r="CP2668" s="1005"/>
    </row>
    <row r="2669">
      <c r="A2669" s="1257"/>
      <c r="B2669" s="1113"/>
      <c r="C2669" s="1107"/>
      <c r="D2669" s="103"/>
      <c r="E2669" s="1137"/>
      <c r="F2669" s="112"/>
      <c r="G2669" s="1110"/>
      <c r="H2669" s="1138"/>
      <c r="I2669" s="1138"/>
      <c r="J2669" s="1139"/>
      <c r="K2669" s="1111"/>
      <c r="L2669" s="1112"/>
      <c r="M2669" s="1113"/>
      <c r="N2669" s="110"/>
      <c r="O2669" s="1140"/>
      <c r="P2669" s="1115"/>
      <c r="Q2669" s="1116"/>
      <c r="R2669" s="1141"/>
      <c r="S2669" s="1113"/>
      <c r="T2669" s="1143"/>
      <c r="U2669" s="1108"/>
      <c r="V2669" s="1108"/>
      <c r="W2669" s="1108"/>
      <c r="X2669" s="1108"/>
      <c r="Y2669" s="1108"/>
      <c r="Z2669" s="1114"/>
      <c r="AA2669" s="1114"/>
      <c r="AB2669" s="1114"/>
      <c r="AC2669" s="1117"/>
      <c r="AD2669" s="1115"/>
      <c r="AE2669" s="1115"/>
      <c r="AF2669" s="1115"/>
      <c r="AG2669" s="1115"/>
      <c r="AH2669" s="1115"/>
      <c r="AI2669" s="1115"/>
      <c r="AJ2669" s="1117"/>
      <c r="AK2669" s="1118"/>
      <c r="AL2669" s="1115"/>
      <c r="AM2669" s="1115"/>
      <c r="AN2669" s="1115"/>
      <c r="AO2669" s="1115"/>
      <c r="AP2669" s="1115"/>
      <c r="AQ2669" s="1115"/>
      <c r="AR2669" s="1115"/>
      <c r="AS2669" s="1117"/>
      <c r="AT2669" s="1075"/>
      <c r="AU2669" s="1193"/>
      <c r="AV2669" s="330"/>
      <c r="AW2669" s="331"/>
      <c r="AX2669" s="331"/>
      <c r="AY2669" s="331"/>
      <c r="AZ2669" s="331"/>
      <c r="BA2669" s="331"/>
      <c r="BB2669" s="331"/>
      <c r="BC2669" s="331"/>
      <c r="BD2669" s="331"/>
      <c r="BE2669" s="333"/>
      <c r="BF2669" s="330"/>
      <c r="BG2669" s="333"/>
      <c r="BH2669" s="1119"/>
      <c r="BI2669" s="319"/>
      <c r="BJ2669" s="319"/>
      <c r="BK2669" s="319"/>
      <c r="BL2669" s="319"/>
      <c r="BM2669" s="319"/>
      <c r="BN2669" s="319"/>
      <c r="BO2669" s="319"/>
      <c r="BP2669" s="953"/>
      <c r="BQ2669" s="319"/>
      <c r="BR2669" s="319"/>
      <c r="BS2669" s="330"/>
      <c r="BT2669" s="331"/>
      <c r="BU2669" s="920"/>
      <c r="BV2669" s="903"/>
      <c r="BW2669" s="908"/>
      <c r="BX2669" s="908"/>
      <c r="BY2669" s="331"/>
      <c r="BZ2669" s="331"/>
      <c r="CA2669" s="462"/>
      <c r="CB2669" s="319"/>
      <c r="CC2669" s="319"/>
      <c r="CD2669" s="319"/>
      <c r="CE2669" s="319"/>
      <c r="CF2669" s="319"/>
      <c r="CG2669" s="319"/>
      <c r="CH2669" s="318"/>
      <c r="CI2669" s="319"/>
      <c r="CJ2669" s="319"/>
      <c r="CK2669" s="342"/>
      <c r="CL2669" s="333"/>
      <c r="CM2669" s="1079"/>
      <c r="CN2669" s="1005"/>
      <c r="CO2669" s="1005"/>
      <c r="CP2669" s="1005"/>
    </row>
    <row r="2670">
      <c r="A2670" s="1257"/>
      <c r="B2670" s="1113"/>
      <c r="C2670" s="1107"/>
      <c r="D2670" s="103"/>
      <c r="E2670" s="1137"/>
      <c r="F2670" s="112"/>
      <c r="G2670" s="1110"/>
      <c r="H2670" s="1138"/>
      <c r="I2670" s="1138"/>
      <c r="J2670" s="1139"/>
      <c r="K2670" s="1111"/>
      <c r="L2670" s="1112"/>
      <c r="M2670" s="1113"/>
      <c r="N2670" s="110"/>
      <c r="O2670" s="1140"/>
      <c r="P2670" s="1115"/>
      <c r="Q2670" s="1116"/>
      <c r="R2670" s="1141"/>
      <c r="S2670" s="1113"/>
      <c r="T2670" s="1143"/>
      <c r="U2670" s="1108"/>
      <c r="V2670" s="1108"/>
      <c r="W2670" s="1108"/>
      <c r="X2670" s="1108"/>
      <c r="Y2670" s="1108"/>
      <c r="Z2670" s="1114"/>
      <c r="AA2670" s="1114"/>
      <c r="AB2670" s="1114"/>
      <c r="AC2670" s="1117"/>
      <c r="AD2670" s="1115"/>
      <c r="AE2670" s="1115"/>
      <c r="AF2670" s="1115"/>
      <c r="AG2670" s="1115"/>
      <c r="AH2670" s="1115"/>
      <c r="AI2670" s="1115"/>
      <c r="AJ2670" s="1117"/>
      <c r="AK2670" s="1118"/>
      <c r="AL2670" s="1115"/>
      <c r="AM2670" s="1115"/>
      <c r="AN2670" s="1115"/>
      <c r="AO2670" s="1115"/>
      <c r="AP2670" s="1115"/>
      <c r="AQ2670" s="1115"/>
      <c r="AR2670" s="1115"/>
      <c r="AS2670" s="1117"/>
      <c r="AT2670" s="1075"/>
      <c r="AU2670" s="1193"/>
      <c r="AV2670" s="330"/>
      <c r="AW2670" s="331"/>
      <c r="AX2670" s="331"/>
      <c r="AY2670" s="331"/>
      <c r="AZ2670" s="331"/>
      <c r="BA2670" s="331"/>
      <c r="BB2670" s="331"/>
      <c r="BC2670" s="331"/>
      <c r="BD2670" s="331"/>
      <c r="BE2670" s="333"/>
      <c r="BF2670" s="330"/>
      <c r="BG2670" s="333"/>
      <c r="BH2670" s="1119"/>
      <c r="BI2670" s="319"/>
      <c r="BJ2670" s="319"/>
      <c r="BK2670" s="319"/>
      <c r="BL2670" s="319"/>
      <c r="BM2670" s="319"/>
      <c r="BN2670" s="319"/>
      <c r="BO2670" s="319"/>
      <c r="BP2670" s="953"/>
      <c r="BQ2670" s="319"/>
      <c r="BR2670" s="319"/>
      <c r="BS2670" s="330"/>
      <c r="BT2670" s="331"/>
      <c r="BU2670" s="920"/>
      <c r="BV2670" s="903"/>
      <c r="BW2670" s="908"/>
      <c r="BX2670" s="908"/>
      <c r="BY2670" s="331"/>
      <c r="BZ2670" s="331"/>
      <c r="CA2670" s="462"/>
      <c r="CB2670" s="319"/>
      <c r="CC2670" s="319"/>
      <c r="CD2670" s="319"/>
      <c r="CE2670" s="319"/>
      <c r="CF2670" s="319"/>
      <c r="CG2670" s="319"/>
      <c r="CH2670" s="318"/>
      <c r="CI2670" s="319"/>
      <c r="CJ2670" s="319"/>
      <c r="CK2670" s="342"/>
      <c r="CL2670" s="333"/>
      <c r="CM2670" s="1079"/>
      <c r="CN2670" s="1005"/>
      <c r="CO2670" s="1005"/>
      <c r="CP2670" s="1005"/>
    </row>
    <row r="2671">
      <c r="A2671" s="1257"/>
      <c r="B2671" s="1113"/>
      <c r="C2671" s="1107"/>
      <c r="D2671" s="103"/>
      <c r="E2671" s="1137"/>
      <c r="F2671" s="112"/>
      <c r="G2671" s="1110"/>
      <c r="H2671" s="1138"/>
      <c r="I2671" s="1138"/>
      <c r="J2671" s="1139"/>
      <c r="K2671" s="1111"/>
      <c r="L2671" s="1112"/>
      <c r="M2671" s="1113"/>
      <c r="N2671" s="110"/>
      <c r="O2671" s="1140"/>
      <c r="P2671" s="1115"/>
      <c r="Q2671" s="1116"/>
      <c r="R2671" s="1141"/>
      <c r="S2671" s="1113"/>
      <c r="T2671" s="1143"/>
      <c r="U2671" s="1108"/>
      <c r="V2671" s="1108"/>
      <c r="W2671" s="1108"/>
      <c r="X2671" s="1108"/>
      <c r="Y2671" s="1108"/>
      <c r="Z2671" s="1114"/>
      <c r="AA2671" s="1114"/>
      <c r="AB2671" s="1114"/>
      <c r="AC2671" s="1117"/>
      <c r="AD2671" s="1115"/>
      <c r="AE2671" s="1115"/>
      <c r="AF2671" s="1115"/>
      <c r="AG2671" s="1115"/>
      <c r="AH2671" s="1115"/>
      <c r="AI2671" s="1115"/>
      <c r="AJ2671" s="1117"/>
      <c r="AK2671" s="1118"/>
      <c r="AL2671" s="1115"/>
      <c r="AM2671" s="1115"/>
      <c r="AN2671" s="1115"/>
      <c r="AO2671" s="1115"/>
      <c r="AP2671" s="1115"/>
      <c r="AQ2671" s="1115"/>
      <c r="AR2671" s="1115"/>
      <c r="AS2671" s="1117"/>
      <c r="AT2671" s="1075"/>
      <c r="AU2671" s="1193"/>
      <c r="AV2671" s="330"/>
      <c r="AW2671" s="331"/>
      <c r="AX2671" s="331"/>
      <c r="AY2671" s="331"/>
      <c r="AZ2671" s="331"/>
      <c r="BA2671" s="331"/>
      <c r="BB2671" s="331"/>
      <c r="BC2671" s="331"/>
      <c r="BD2671" s="331"/>
      <c r="BE2671" s="333"/>
      <c r="BF2671" s="330"/>
      <c r="BG2671" s="333"/>
      <c r="BH2671" s="1119"/>
      <c r="BI2671" s="319"/>
      <c r="BJ2671" s="319"/>
      <c r="BK2671" s="319"/>
      <c r="BL2671" s="319"/>
      <c r="BM2671" s="319"/>
      <c r="BN2671" s="319"/>
      <c r="BO2671" s="319"/>
      <c r="BP2671" s="953"/>
      <c r="BQ2671" s="319"/>
      <c r="BR2671" s="319"/>
      <c r="BS2671" s="330"/>
      <c r="BT2671" s="331"/>
      <c r="BU2671" s="920"/>
      <c r="BV2671" s="903"/>
      <c r="BW2671" s="908"/>
      <c r="BX2671" s="908"/>
      <c r="BY2671" s="331"/>
      <c r="BZ2671" s="331"/>
      <c r="CA2671" s="462"/>
      <c r="CB2671" s="319"/>
      <c r="CC2671" s="319"/>
      <c r="CD2671" s="319"/>
      <c r="CE2671" s="319"/>
      <c r="CF2671" s="319"/>
      <c r="CG2671" s="319"/>
      <c r="CH2671" s="318"/>
      <c r="CI2671" s="319"/>
      <c r="CJ2671" s="319"/>
      <c r="CK2671" s="342"/>
      <c r="CL2671" s="333"/>
      <c r="CM2671" s="1079"/>
      <c r="CN2671" s="1005"/>
      <c r="CO2671" s="1005"/>
      <c r="CP2671" s="1005"/>
    </row>
    <row r="2672">
      <c r="A2672" s="1257"/>
      <c r="B2672" s="1113"/>
      <c r="C2672" s="1107"/>
      <c r="D2672" s="103"/>
      <c r="E2672" s="1137"/>
      <c r="F2672" s="112"/>
      <c r="G2672" s="1110"/>
      <c r="H2672" s="1138"/>
      <c r="I2672" s="1138"/>
      <c r="J2672" s="1139"/>
      <c r="K2672" s="1111"/>
      <c r="L2672" s="1112"/>
      <c r="M2672" s="1113"/>
      <c r="N2672" s="110"/>
      <c r="O2672" s="1140"/>
      <c r="P2672" s="1115"/>
      <c r="Q2672" s="1116"/>
      <c r="R2672" s="1141"/>
      <c r="S2672" s="1113"/>
      <c r="T2672" s="1143"/>
      <c r="U2672" s="1108"/>
      <c r="V2672" s="1108"/>
      <c r="W2672" s="1108"/>
      <c r="X2672" s="1108"/>
      <c r="Y2672" s="1108"/>
      <c r="Z2672" s="1114"/>
      <c r="AA2672" s="1114"/>
      <c r="AB2672" s="1114"/>
      <c r="AC2672" s="1117"/>
      <c r="AD2672" s="1115"/>
      <c r="AE2672" s="1115"/>
      <c r="AF2672" s="1115"/>
      <c r="AG2672" s="1115"/>
      <c r="AH2672" s="1115"/>
      <c r="AI2672" s="1115"/>
      <c r="AJ2672" s="1117"/>
      <c r="AK2672" s="1118"/>
      <c r="AL2672" s="1115"/>
      <c r="AM2672" s="1115"/>
      <c r="AN2672" s="1115"/>
      <c r="AO2672" s="1115"/>
      <c r="AP2672" s="1115"/>
      <c r="AQ2672" s="1115"/>
      <c r="AR2672" s="1115"/>
      <c r="AS2672" s="1117"/>
      <c r="AT2672" s="1075"/>
      <c r="AU2672" s="1193"/>
      <c r="AV2672" s="330"/>
      <c r="AW2672" s="331"/>
      <c r="AX2672" s="331"/>
      <c r="AY2672" s="331"/>
      <c r="AZ2672" s="331"/>
      <c r="BA2672" s="331"/>
      <c r="BB2672" s="331"/>
      <c r="BC2672" s="331"/>
      <c r="BD2672" s="331"/>
      <c r="BE2672" s="333"/>
      <c r="BF2672" s="330"/>
      <c r="BG2672" s="333"/>
      <c r="BH2672" s="1119"/>
      <c r="BI2672" s="319"/>
      <c r="BJ2672" s="319"/>
      <c r="BK2672" s="319"/>
      <c r="BL2672" s="319"/>
      <c r="BM2672" s="319"/>
      <c r="BN2672" s="319"/>
      <c r="BO2672" s="319"/>
      <c r="BP2672" s="953"/>
      <c r="BQ2672" s="319"/>
      <c r="BR2672" s="319"/>
      <c r="BS2672" s="330"/>
      <c r="BT2672" s="331"/>
      <c r="BU2672" s="920"/>
      <c r="BV2672" s="903"/>
      <c r="BW2672" s="908"/>
      <c r="BX2672" s="908"/>
      <c r="BY2672" s="331"/>
      <c r="BZ2672" s="331"/>
      <c r="CA2672" s="462"/>
      <c r="CB2672" s="319"/>
      <c r="CC2672" s="319"/>
      <c r="CD2672" s="319"/>
      <c r="CE2672" s="319"/>
      <c r="CF2672" s="319"/>
      <c r="CG2672" s="319"/>
      <c r="CH2672" s="318"/>
      <c r="CI2672" s="319"/>
      <c r="CJ2672" s="319"/>
      <c r="CK2672" s="342"/>
      <c r="CL2672" s="333"/>
      <c r="CM2672" s="1079"/>
      <c r="CN2672" s="1005"/>
      <c r="CO2672" s="1005"/>
      <c r="CP2672" s="1005"/>
    </row>
    <row r="2673">
      <c r="A2673" s="1257"/>
      <c r="B2673" s="1113"/>
      <c r="C2673" s="1107"/>
      <c r="D2673" s="103"/>
      <c r="E2673" s="1137"/>
      <c r="F2673" s="112"/>
      <c r="G2673" s="1110"/>
      <c r="H2673" s="1138"/>
      <c r="I2673" s="1138"/>
      <c r="J2673" s="1139"/>
      <c r="K2673" s="1111"/>
      <c r="L2673" s="1112"/>
      <c r="M2673" s="1113"/>
      <c r="N2673" s="110"/>
      <c r="O2673" s="1140"/>
      <c r="P2673" s="1115"/>
      <c r="Q2673" s="1116"/>
      <c r="R2673" s="1141"/>
      <c r="S2673" s="1113"/>
      <c r="T2673" s="1143"/>
      <c r="U2673" s="1108"/>
      <c r="V2673" s="1108"/>
      <c r="W2673" s="1108"/>
      <c r="X2673" s="1108"/>
      <c r="Y2673" s="1108"/>
      <c r="Z2673" s="1114"/>
      <c r="AA2673" s="1114"/>
      <c r="AB2673" s="1114"/>
      <c r="AC2673" s="1117"/>
      <c r="AD2673" s="1115"/>
      <c r="AE2673" s="1115"/>
      <c r="AF2673" s="1115"/>
      <c r="AG2673" s="1115"/>
      <c r="AH2673" s="1115"/>
      <c r="AI2673" s="1115"/>
      <c r="AJ2673" s="1117"/>
      <c r="AK2673" s="1118"/>
      <c r="AL2673" s="1115"/>
      <c r="AM2673" s="1115"/>
      <c r="AN2673" s="1115"/>
      <c r="AO2673" s="1115"/>
      <c r="AP2673" s="1115"/>
      <c r="AQ2673" s="1115"/>
      <c r="AR2673" s="1115"/>
      <c r="AS2673" s="1117"/>
      <c r="AT2673" s="1075"/>
      <c r="AU2673" s="1193"/>
      <c r="AV2673" s="330"/>
      <c r="AW2673" s="331"/>
      <c r="AX2673" s="331"/>
      <c r="AY2673" s="331"/>
      <c r="AZ2673" s="331"/>
      <c r="BA2673" s="331"/>
      <c r="BB2673" s="331"/>
      <c r="BC2673" s="331"/>
      <c r="BD2673" s="331"/>
      <c r="BE2673" s="333"/>
      <c r="BF2673" s="330"/>
      <c r="BG2673" s="333"/>
      <c r="BH2673" s="1119"/>
      <c r="BI2673" s="319"/>
      <c r="BJ2673" s="319"/>
      <c r="BK2673" s="319"/>
      <c r="BL2673" s="319"/>
      <c r="BM2673" s="319"/>
      <c r="BN2673" s="319"/>
      <c r="BO2673" s="319"/>
      <c r="BP2673" s="953"/>
      <c r="BQ2673" s="319"/>
      <c r="BR2673" s="319"/>
      <c r="BS2673" s="330"/>
      <c r="BT2673" s="331"/>
      <c r="BU2673" s="920"/>
      <c r="BV2673" s="903"/>
      <c r="BW2673" s="908"/>
      <c r="BX2673" s="908"/>
      <c r="BY2673" s="331"/>
      <c r="BZ2673" s="331"/>
      <c r="CA2673" s="462"/>
      <c r="CB2673" s="319"/>
      <c r="CC2673" s="319"/>
      <c r="CD2673" s="319"/>
      <c r="CE2673" s="319"/>
      <c r="CF2673" s="319"/>
      <c r="CG2673" s="319"/>
      <c r="CH2673" s="318"/>
      <c r="CI2673" s="319"/>
      <c r="CJ2673" s="319"/>
      <c r="CK2673" s="342"/>
      <c r="CL2673" s="333"/>
      <c r="CM2673" s="1079"/>
      <c r="CN2673" s="1005"/>
      <c r="CO2673" s="1005"/>
      <c r="CP2673" s="1005"/>
    </row>
    <row r="2674">
      <c r="A2674" s="1257"/>
      <c r="B2674" s="1113"/>
      <c r="C2674" s="1107"/>
      <c r="D2674" s="103"/>
      <c r="E2674" s="1137"/>
      <c r="F2674" s="112"/>
      <c r="G2674" s="1110"/>
      <c r="H2674" s="1138"/>
      <c r="I2674" s="1138"/>
      <c r="J2674" s="1139"/>
      <c r="K2674" s="1111"/>
      <c r="L2674" s="1112"/>
      <c r="M2674" s="1113"/>
      <c r="N2674" s="110"/>
      <c r="O2674" s="1140"/>
      <c r="P2674" s="1115"/>
      <c r="Q2674" s="1116"/>
      <c r="R2674" s="1141"/>
      <c r="S2674" s="1113"/>
      <c r="T2674" s="1143"/>
      <c r="U2674" s="1108"/>
      <c r="V2674" s="1108"/>
      <c r="W2674" s="1108"/>
      <c r="X2674" s="1108"/>
      <c r="Y2674" s="1108"/>
      <c r="Z2674" s="1114"/>
      <c r="AA2674" s="1114"/>
      <c r="AB2674" s="1114"/>
      <c r="AC2674" s="1117"/>
      <c r="AD2674" s="1115"/>
      <c r="AE2674" s="1115"/>
      <c r="AF2674" s="1115"/>
      <c r="AG2674" s="1115"/>
      <c r="AH2674" s="1115"/>
      <c r="AI2674" s="1115"/>
      <c r="AJ2674" s="1117"/>
      <c r="AK2674" s="1118"/>
      <c r="AL2674" s="1115"/>
      <c r="AM2674" s="1115"/>
      <c r="AN2674" s="1115"/>
      <c r="AO2674" s="1115"/>
      <c r="AP2674" s="1115"/>
      <c r="AQ2674" s="1115"/>
      <c r="AR2674" s="1115"/>
      <c r="AS2674" s="1117"/>
      <c r="AT2674" s="1075"/>
      <c r="AU2674" s="1193"/>
      <c r="AV2674" s="330"/>
      <c r="AW2674" s="331"/>
      <c r="AX2674" s="331"/>
      <c r="AY2674" s="331"/>
      <c r="AZ2674" s="331"/>
      <c r="BA2674" s="331"/>
      <c r="BB2674" s="331"/>
      <c r="BC2674" s="331"/>
      <c r="BD2674" s="331"/>
      <c r="BE2674" s="333"/>
      <c r="BF2674" s="330"/>
      <c r="BG2674" s="333"/>
      <c r="BH2674" s="1119"/>
      <c r="BI2674" s="319"/>
      <c r="BJ2674" s="319"/>
      <c r="BK2674" s="319"/>
      <c r="BL2674" s="319"/>
      <c r="BM2674" s="319"/>
      <c r="BN2674" s="319"/>
      <c r="BO2674" s="319"/>
      <c r="BP2674" s="953"/>
      <c r="BQ2674" s="319"/>
      <c r="BR2674" s="319"/>
      <c r="BS2674" s="330"/>
      <c r="BT2674" s="331"/>
      <c r="BU2674" s="920"/>
      <c r="BV2674" s="903"/>
      <c r="BW2674" s="908"/>
      <c r="BX2674" s="908"/>
      <c r="BY2674" s="331"/>
      <c r="BZ2674" s="331"/>
      <c r="CA2674" s="462"/>
      <c r="CB2674" s="319"/>
      <c r="CC2674" s="319"/>
      <c r="CD2674" s="319"/>
      <c r="CE2674" s="319"/>
      <c r="CF2674" s="319"/>
      <c r="CG2674" s="319"/>
      <c r="CH2674" s="318"/>
      <c r="CI2674" s="319"/>
      <c r="CJ2674" s="319"/>
      <c r="CK2674" s="342"/>
      <c r="CL2674" s="333"/>
      <c r="CM2674" s="1079"/>
      <c r="CN2674" s="1005"/>
      <c r="CO2674" s="1005"/>
      <c r="CP2674" s="1005"/>
    </row>
    <row r="2675">
      <c r="A2675" s="1257"/>
      <c r="B2675" s="1113"/>
      <c r="C2675" s="1107"/>
      <c r="D2675" s="103"/>
      <c r="E2675" s="1137"/>
      <c r="F2675" s="112"/>
      <c r="G2675" s="1110"/>
      <c r="H2675" s="1138"/>
      <c r="I2675" s="1138"/>
      <c r="J2675" s="1139"/>
      <c r="K2675" s="1111"/>
      <c r="L2675" s="1112"/>
      <c r="M2675" s="1113"/>
      <c r="N2675" s="110"/>
      <c r="O2675" s="1140"/>
      <c r="P2675" s="1115"/>
      <c r="Q2675" s="1116"/>
      <c r="R2675" s="1141"/>
      <c r="S2675" s="1113"/>
      <c r="T2675" s="1143"/>
      <c r="U2675" s="1108"/>
      <c r="V2675" s="1108"/>
      <c r="W2675" s="1108"/>
      <c r="X2675" s="1108"/>
      <c r="Y2675" s="1108"/>
      <c r="Z2675" s="1114"/>
      <c r="AA2675" s="1114"/>
      <c r="AB2675" s="1114"/>
      <c r="AC2675" s="1117"/>
      <c r="AD2675" s="1115"/>
      <c r="AE2675" s="1115"/>
      <c r="AF2675" s="1115"/>
      <c r="AG2675" s="1115"/>
      <c r="AH2675" s="1115"/>
      <c r="AI2675" s="1115"/>
      <c r="AJ2675" s="1117"/>
      <c r="AK2675" s="1118"/>
      <c r="AL2675" s="1115"/>
      <c r="AM2675" s="1115"/>
      <c r="AN2675" s="1115"/>
      <c r="AO2675" s="1115"/>
      <c r="AP2675" s="1115"/>
      <c r="AQ2675" s="1115"/>
      <c r="AR2675" s="1115"/>
      <c r="AS2675" s="1117"/>
      <c r="AT2675" s="1075"/>
      <c r="AU2675" s="1193"/>
      <c r="AV2675" s="330"/>
      <c r="AW2675" s="331"/>
      <c r="AX2675" s="331"/>
      <c r="AY2675" s="331"/>
      <c r="AZ2675" s="331"/>
      <c r="BA2675" s="331"/>
      <c r="BB2675" s="331"/>
      <c r="BC2675" s="331"/>
      <c r="BD2675" s="331"/>
      <c r="BE2675" s="333"/>
      <c r="BF2675" s="330"/>
      <c r="BG2675" s="333"/>
      <c r="BH2675" s="1119"/>
      <c r="BI2675" s="319"/>
      <c r="BJ2675" s="319"/>
      <c r="BK2675" s="319"/>
      <c r="BL2675" s="319"/>
      <c r="BM2675" s="319"/>
      <c r="BN2675" s="319"/>
      <c r="BO2675" s="319"/>
      <c r="BP2675" s="953"/>
      <c r="BQ2675" s="319"/>
      <c r="BR2675" s="319"/>
      <c r="BS2675" s="330"/>
      <c r="BT2675" s="331"/>
      <c r="BU2675" s="920"/>
      <c r="BV2675" s="903"/>
      <c r="BW2675" s="908"/>
      <c r="BX2675" s="908"/>
      <c r="BY2675" s="331"/>
      <c r="BZ2675" s="331"/>
      <c r="CA2675" s="462"/>
      <c r="CB2675" s="319"/>
      <c r="CC2675" s="319"/>
      <c r="CD2675" s="319"/>
      <c r="CE2675" s="319"/>
      <c r="CF2675" s="319"/>
      <c r="CG2675" s="319"/>
      <c r="CH2675" s="318"/>
      <c r="CI2675" s="319"/>
      <c r="CJ2675" s="319"/>
      <c r="CK2675" s="342"/>
      <c r="CL2675" s="333"/>
      <c r="CM2675" s="1079"/>
      <c r="CN2675" s="1005"/>
      <c r="CO2675" s="1005"/>
      <c r="CP2675" s="1005"/>
    </row>
    <row r="2676">
      <c r="A2676" s="1257"/>
      <c r="B2676" s="1113"/>
      <c r="C2676" s="1107"/>
      <c r="D2676" s="103"/>
      <c r="E2676" s="1137"/>
      <c r="F2676" s="112"/>
      <c r="G2676" s="1110"/>
      <c r="H2676" s="1138"/>
      <c r="I2676" s="1138"/>
      <c r="J2676" s="1139"/>
      <c r="K2676" s="1111"/>
      <c r="L2676" s="1112"/>
      <c r="M2676" s="1113"/>
      <c r="N2676" s="110"/>
      <c r="O2676" s="1140"/>
      <c r="P2676" s="1115"/>
      <c r="Q2676" s="1116"/>
      <c r="R2676" s="1141"/>
      <c r="S2676" s="1113"/>
      <c r="T2676" s="1143"/>
      <c r="U2676" s="1108"/>
      <c r="V2676" s="1108"/>
      <c r="W2676" s="1108"/>
      <c r="X2676" s="1108"/>
      <c r="Y2676" s="1108"/>
      <c r="Z2676" s="1114"/>
      <c r="AA2676" s="1114"/>
      <c r="AB2676" s="1114"/>
      <c r="AC2676" s="1117"/>
      <c r="AD2676" s="1115"/>
      <c r="AE2676" s="1115"/>
      <c r="AF2676" s="1115"/>
      <c r="AG2676" s="1115"/>
      <c r="AH2676" s="1115"/>
      <c r="AI2676" s="1115"/>
      <c r="AJ2676" s="1117"/>
      <c r="AK2676" s="1118"/>
      <c r="AL2676" s="1115"/>
      <c r="AM2676" s="1115"/>
      <c r="AN2676" s="1115"/>
      <c r="AO2676" s="1115"/>
      <c r="AP2676" s="1115"/>
      <c r="AQ2676" s="1115"/>
      <c r="AR2676" s="1115"/>
      <c r="AS2676" s="1117"/>
      <c r="AT2676" s="1075"/>
      <c r="AU2676" s="1193"/>
      <c r="AV2676" s="330"/>
      <c r="AW2676" s="331"/>
      <c r="AX2676" s="331"/>
      <c r="AY2676" s="331"/>
      <c r="AZ2676" s="331"/>
      <c r="BA2676" s="331"/>
      <c r="BB2676" s="331"/>
      <c r="BC2676" s="331"/>
      <c r="BD2676" s="331"/>
      <c r="BE2676" s="333"/>
      <c r="BF2676" s="330"/>
      <c r="BG2676" s="333"/>
      <c r="BH2676" s="1119"/>
      <c r="BI2676" s="319"/>
      <c r="BJ2676" s="319"/>
      <c r="BK2676" s="319"/>
      <c r="BL2676" s="319"/>
      <c r="BM2676" s="319"/>
      <c r="BN2676" s="319"/>
      <c r="BO2676" s="319"/>
      <c r="BP2676" s="953"/>
      <c r="BQ2676" s="319"/>
      <c r="BR2676" s="319"/>
      <c r="BS2676" s="330"/>
      <c r="BT2676" s="331"/>
      <c r="BU2676" s="920"/>
      <c r="BV2676" s="903"/>
      <c r="BW2676" s="908"/>
      <c r="BX2676" s="908"/>
      <c r="BY2676" s="331"/>
      <c r="BZ2676" s="331"/>
      <c r="CA2676" s="462"/>
      <c r="CB2676" s="319"/>
      <c r="CC2676" s="319"/>
      <c r="CD2676" s="319"/>
      <c r="CE2676" s="319"/>
      <c r="CF2676" s="319"/>
      <c r="CG2676" s="319"/>
      <c r="CH2676" s="318"/>
      <c r="CI2676" s="319"/>
      <c r="CJ2676" s="319"/>
      <c r="CK2676" s="342"/>
      <c r="CL2676" s="333"/>
      <c r="CM2676" s="1079"/>
      <c r="CN2676" s="1005"/>
      <c r="CO2676" s="1005"/>
      <c r="CP2676" s="1005"/>
    </row>
    <row r="2677">
      <c r="A2677" s="1257"/>
      <c r="B2677" s="1113"/>
      <c r="C2677" s="1107"/>
      <c r="D2677" s="103"/>
      <c r="E2677" s="1137"/>
      <c r="F2677" s="112"/>
      <c r="G2677" s="1110"/>
      <c r="H2677" s="1138"/>
      <c r="I2677" s="1138"/>
      <c r="J2677" s="1139"/>
      <c r="K2677" s="1111"/>
      <c r="L2677" s="1112"/>
      <c r="M2677" s="1113"/>
      <c r="N2677" s="110"/>
      <c r="O2677" s="1140"/>
      <c r="P2677" s="1115"/>
      <c r="Q2677" s="1116"/>
      <c r="R2677" s="1141"/>
      <c r="S2677" s="1113"/>
      <c r="T2677" s="1143"/>
      <c r="U2677" s="1108"/>
      <c r="V2677" s="1108"/>
      <c r="W2677" s="1108"/>
      <c r="X2677" s="1108"/>
      <c r="Y2677" s="1108"/>
      <c r="Z2677" s="1114"/>
      <c r="AA2677" s="1114"/>
      <c r="AB2677" s="1114"/>
      <c r="AC2677" s="1117"/>
      <c r="AD2677" s="1115"/>
      <c r="AE2677" s="1115"/>
      <c r="AF2677" s="1115"/>
      <c r="AG2677" s="1115"/>
      <c r="AH2677" s="1115"/>
      <c r="AI2677" s="1115"/>
      <c r="AJ2677" s="1117"/>
      <c r="AK2677" s="1118"/>
      <c r="AL2677" s="1115"/>
      <c r="AM2677" s="1115"/>
      <c r="AN2677" s="1115"/>
      <c r="AO2677" s="1115"/>
      <c r="AP2677" s="1115"/>
      <c r="AQ2677" s="1115"/>
      <c r="AR2677" s="1115"/>
      <c r="AS2677" s="1117"/>
      <c r="AT2677" s="1075"/>
      <c r="AU2677" s="1193"/>
      <c r="AV2677" s="330"/>
      <c r="AW2677" s="331"/>
      <c r="AX2677" s="331"/>
      <c r="AY2677" s="331"/>
      <c r="AZ2677" s="331"/>
      <c r="BA2677" s="331"/>
      <c r="BB2677" s="331"/>
      <c r="BC2677" s="331"/>
      <c r="BD2677" s="331"/>
      <c r="BE2677" s="333"/>
      <c r="BF2677" s="330"/>
      <c r="BG2677" s="333"/>
      <c r="BH2677" s="1119"/>
      <c r="BI2677" s="319"/>
      <c r="BJ2677" s="319"/>
      <c r="BK2677" s="319"/>
      <c r="BL2677" s="319"/>
      <c r="BM2677" s="319"/>
      <c r="BN2677" s="319"/>
      <c r="BO2677" s="319"/>
      <c r="BP2677" s="953"/>
      <c r="BQ2677" s="319"/>
      <c r="BR2677" s="319"/>
      <c r="BS2677" s="330"/>
      <c r="BT2677" s="331"/>
      <c r="BU2677" s="920"/>
      <c r="BV2677" s="903"/>
      <c r="BW2677" s="908"/>
      <c r="BX2677" s="908"/>
      <c r="BY2677" s="331"/>
      <c r="BZ2677" s="331"/>
      <c r="CA2677" s="462"/>
      <c r="CB2677" s="319"/>
      <c r="CC2677" s="319"/>
      <c r="CD2677" s="319"/>
      <c r="CE2677" s="319"/>
      <c r="CF2677" s="319"/>
      <c r="CG2677" s="319"/>
      <c r="CH2677" s="318"/>
      <c r="CI2677" s="319"/>
      <c r="CJ2677" s="319"/>
      <c r="CK2677" s="342"/>
      <c r="CL2677" s="333"/>
      <c r="CM2677" s="1079"/>
      <c r="CN2677" s="1005"/>
      <c r="CO2677" s="1005"/>
      <c r="CP2677" s="1005"/>
    </row>
    <row r="2678">
      <c r="A2678" s="1257"/>
      <c r="B2678" s="1113"/>
      <c r="C2678" s="1107"/>
      <c r="D2678" s="103"/>
      <c r="E2678" s="1137"/>
      <c r="F2678" s="112"/>
      <c r="G2678" s="1110"/>
      <c r="H2678" s="1138"/>
      <c r="I2678" s="1138"/>
      <c r="J2678" s="1139"/>
      <c r="K2678" s="1111"/>
      <c r="L2678" s="1112"/>
      <c r="M2678" s="1113"/>
      <c r="N2678" s="110"/>
      <c r="O2678" s="1140"/>
      <c r="P2678" s="1115"/>
      <c r="Q2678" s="1116"/>
      <c r="R2678" s="1141"/>
      <c r="S2678" s="1113"/>
      <c r="T2678" s="1143"/>
      <c r="U2678" s="1108"/>
      <c r="V2678" s="1108"/>
      <c r="W2678" s="1108"/>
      <c r="X2678" s="1108"/>
      <c r="Y2678" s="1108"/>
      <c r="Z2678" s="1114"/>
      <c r="AA2678" s="1114"/>
      <c r="AB2678" s="1114"/>
      <c r="AC2678" s="1117"/>
      <c r="AD2678" s="1115"/>
      <c r="AE2678" s="1115"/>
      <c r="AF2678" s="1115"/>
      <c r="AG2678" s="1115"/>
      <c r="AH2678" s="1115"/>
      <c r="AI2678" s="1115"/>
      <c r="AJ2678" s="1117"/>
      <c r="AK2678" s="1118"/>
      <c r="AL2678" s="1115"/>
      <c r="AM2678" s="1115"/>
      <c r="AN2678" s="1115"/>
      <c r="AO2678" s="1115"/>
      <c r="AP2678" s="1115"/>
      <c r="AQ2678" s="1115"/>
      <c r="AR2678" s="1115"/>
      <c r="AS2678" s="1117"/>
      <c r="AT2678" s="1075"/>
      <c r="AU2678" s="1193"/>
      <c r="AV2678" s="330"/>
      <c r="AW2678" s="331"/>
      <c r="AX2678" s="331"/>
      <c r="AY2678" s="331"/>
      <c r="AZ2678" s="331"/>
      <c r="BA2678" s="331"/>
      <c r="BB2678" s="331"/>
      <c r="BC2678" s="331"/>
      <c r="BD2678" s="331"/>
      <c r="BE2678" s="333"/>
      <c r="BF2678" s="330"/>
      <c r="BG2678" s="333"/>
      <c r="BH2678" s="1119"/>
      <c r="BI2678" s="319"/>
      <c r="BJ2678" s="319"/>
      <c r="BK2678" s="319"/>
      <c r="BL2678" s="319"/>
      <c r="BM2678" s="319"/>
      <c r="BN2678" s="319"/>
      <c r="BO2678" s="319"/>
      <c r="BP2678" s="953"/>
      <c r="BQ2678" s="319"/>
      <c r="BR2678" s="319"/>
      <c r="BS2678" s="330"/>
      <c r="BT2678" s="331"/>
      <c r="BU2678" s="920"/>
      <c r="BV2678" s="903"/>
      <c r="BW2678" s="908"/>
      <c r="BX2678" s="908"/>
      <c r="BY2678" s="331"/>
      <c r="BZ2678" s="331"/>
      <c r="CA2678" s="462"/>
      <c r="CB2678" s="319"/>
      <c r="CC2678" s="319"/>
      <c r="CD2678" s="319"/>
      <c r="CE2678" s="319"/>
      <c r="CF2678" s="319"/>
      <c r="CG2678" s="319"/>
      <c r="CH2678" s="318"/>
      <c r="CI2678" s="319"/>
      <c r="CJ2678" s="319"/>
      <c r="CK2678" s="342"/>
      <c r="CL2678" s="333"/>
      <c r="CM2678" s="1079"/>
      <c r="CN2678" s="1005"/>
      <c r="CO2678" s="1005"/>
      <c r="CP2678" s="1005"/>
    </row>
    <row r="2679">
      <c r="A2679" s="1257"/>
      <c r="B2679" s="1113"/>
      <c r="C2679" s="1107"/>
      <c r="D2679" s="103"/>
      <c r="E2679" s="1137"/>
      <c r="F2679" s="112"/>
      <c r="G2679" s="1110"/>
      <c r="H2679" s="1138"/>
      <c r="I2679" s="1138"/>
      <c r="J2679" s="1139"/>
      <c r="K2679" s="1111"/>
      <c r="L2679" s="1112"/>
      <c r="M2679" s="1113"/>
      <c r="N2679" s="110"/>
      <c r="O2679" s="1140"/>
      <c r="P2679" s="1115"/>
      <c r="Q2679" s="1116"/>
      <c r="R2679" s="1141"/>
      <c r="S2679" s="1113"/>
      <c r="T2679" s="1143"/>
      <c r="U2679" s="1108"/>
      <c r="V2679" s="1108"/>
      <c r="W2679" s="1108"/>
      <c r="X2679" s="1108"/>
      <c r="Y2679" s="1108"/>
      <c r="Z2679" s="1114"/>
      <c r="AA2679" s="1114"/>
      <c r="AB2679" s="1114"/>
      <c r="AC2679" s="1117"/>
      <c r="AD2679" s="1115"/>
      <c r="AE2679" s="1115"/>
      <c r="AF2679" s="1115"/>
      <c r="AG2679" s="1115"/>
      <c r="AH2679" s="1115"/>
      <c r="AI2679" s="1115"/>
      <c r="AJ2679" s="1117"/>
      <c r="AK2679" s="1118"/>
      <c r="AL2679" s="1115"/>
      <c r="AM2679" s="1115"/>
      <c r="AN2679" s="1115"/>
      <c r="AO2679" s="1115"/>
      <c r="AP2679" s="1115"/>
      <c r="AQ2679" s="1115"/>
      <c r="AR2679" s="1115"/>
      <c r="AS2679" s="1117"/>
      <c r="AT2679" s="1075"/>
      <c r="AU2679" s="1193"/>
      <c r="AV2679" s="330"/>
      <c r="AW2679" s="331"/>
      <c r="AX2679" s="331"/>
      <c r="AY2679" s="331"/>
      <c r="AZ2679" s="331"/>
      <c r="BA2679" s="331"/>
      <c r="BB2679" s="331"/>
      <c r="BC2679" s="331"/>
      <c r="BD2679" s="331"/>
      <c r="BE2679" s="333"/>
      <c r="BF2679" s="330"/>
      <c r="BG2679" s="333"/>
      <c r="BH2679" s="1119"/>
      <c r="BI2679" s="319"/>
      <c r="BJ2679" s="319"/>
      <c r="BK2679" s="319"/>
      <c r="BL2679" s="319"/>
      <c r="BM2679" s="319"/>
      <c r="BN2679" s="319"/>
      <c r="BO2679" s="319"/>
      <c r="BP2679" s="953"/>
      <c r="BQ2679" s="319"/>
      <c r="BR2679" s="319"/>
      <c r="BS2679" s="330"/>
      <c r="BT2679" s="331"/>
      <c r="BU2679" s="920"/>
      <c r="BV2679" s="903"/>
      <c r="BW2679" s="908"/>
      <c r="BX2679" s="908"/>
      <c r="BY2679" s="331"/>
      <c r="BZ2679" s="331"/>
      <c r="CA2679" s="462"/>
      <c r="CB2679" s="319"/>
      <c r="CC2679" s="319"/>
      <c r="CD2679" s="319"/>
      <c r="CE2679" s="319"/>
      <c r="CF2679" s="319"/>
      <c r="CG2679" s="319"/>
      <c r="CH2679" s="318"/>
      <c r="CI2679" s="319"/>
      <c r="CJ2679" s="319"/>
      <c r="CK2679" s="342"/>
      <c r="CL2679" s="333"/>
      <c r="CM2679" s="1079"/>
      <c r="CN2679" s="1005"/>
      <c r="CO2679" s="1005"/>
      <c r="CP2679" s="1005"/>
    </row>
    <row r="2680">
      <c r="A2680" s="1257"/>
      <c r="B2680" s="1113"/>
      <c r="C2680" s="1107"/>
      <c r="D2680" s="103"/>
      <c r="E2680" s="1137"/>
      <c r="F2680" s="112"/>
      <c r="G2680" s="1110"/>
      <c r="H2680" s="1138"/>
      <c r="I2680" s="1138"/>
      <c r="J2680" s="1139"/>
      <c r="K2680" s="1111"/>
      <c r="L2680" s="1112"/>
      <c r="M2680" s="1113"/>
      <c r="N2680" s="110"/>
      <c r="O2680" s="1140"/>
      <c r="P2680" s="1115"/>
      <c r="Q2680" s="1116"/>
      <c r="R2680" s="1141"/>
      <c r="S2680" s="1113"/>
      <c r="T2680" s="1143"/>
      <c r="U2680" s="1108"/>
      <c r="V2680" s="1108"/>
      <c r="W2680" s="1108"/>
      <c r="X2680" s="1108"/>
      <c r="Y2680" s="1108"/>
      <c r="Z2680" s="1114"/>
      <c r="AA2680" s="1114"/>
      <c r="AB2680" s="1114"/>
      <c r="AC2680" s="1117"/>
      <c r="AD2680" s="1115"/>
      <c r="AE2680" s="1115"/>
      <c r="AF2680" s="1115"/>
      <c r="AG2680" s="1115"/>
      <c r="AH2680" s="1115"/>
      <c r="AI2680" s="1115"/>
      <c r="AJ2680" s="1117"/>
      <c r="AK2680" s="1118"/>
      <c r="AL2680" s="1115"/>
      <c r="AM2680" s="1115"/>
      <c r="AN2680" s="1115"/>
      <c r="AO2680" s="1115"/>
      <c r="AP2680" s="1115"/>
      <c r="AQ2680" s="1115"/>
      <c r="AR2680" s="1115"/>
      <c r="AS2680" s="1117"/>
      <c r="AT2680" s="1075"/>
      <c r="AU2680" s="1193"/>
      <c r="AV2680" s="330"/>
      <c r="AW2680" s="331"/>
      <c r="AX2680" s="331"/>
      <c r="AY2680" s="331"/>
      <c r="AZ2680" s="331"/>
      <c r="BA2680" s="331"/>
      <c r="BB2680" s="331"/>
      <c r="BC2680" s="331"/>
      <c r="BD2680" s="331"/>
      <c r="BE2680" s="333"/>
      <c r="BF2680" s="330"/>
      <c r="BG2680" s="333"/>
      <c r="BH2680" s="1119"/>
      <c r="BI2680" s="319"/>
      <c r="BJ2680" s="319"/>
      <c r="BK2680" s="319"/>
      <c r="BL2680" s="319"/>
      <c r="BM2680" s="319"/>
      <c r="BN2680" s="319"/>
      <c r="BO2680" s="319"/>
      <c r="BP2680" s="953"/>
      <c r="BQ2680" s="319"/>
      <c r="BR2680" s="319"/>
      <c r="BS2680" s="330"/>
      <c r="BT2680" s="331"/>
      <c r="BU2680" s="920"/>
      <c r="BV2680" s="903"/>
      <c r="BW2680" s="908"/>
      <c r="BX2680" s="908"/>
      <c r="BY2680" s="331"/>
      <c r="BZ2680" s="331"/>
      <c r="CA2680" s="462"/>
      <c r="CB2680" s="319"/>
      <c r="CC2680" s="319"/>
      <c r="CD2680" s="319"/>
      <c r="CE2680" s="319"/>
      <c r="CF2680" s="319"/>
      <c r="CG2680" s="319"/>
      <c r="CH2680" s="318"/>
      <c r="CI2680" s="319"/>
      <c r="CJ2680" s="319"/>
      <c r="CK2680" s="342"/>
      <c r="CL2680" s="333"/>
      <c r="CM2680" s="1079"/>
      <c r="CN2680" s="1005"/>
      <c r="CO2680" s="1005"/>
      <c r="CP2680" s="1005"/>
    </row>
    <row r="2681">
      <c r="A2681" s="1257"/>
      <c r="B2681" s="1113"/>
      <c r="C2681" s="1107"/>
      <c r="D2681" s="103"/>
      <c r="E2681" s="1137"/>
      <c r="F2681" s="112"/>
      <c r="G2681" s="1110"/>
      <c r="H2681" s="1138"/>
      <c r="I2681" s="1138"/>
      <c r="J2681" s="1139"/>
      <c r="K2681" s="1111"/>
      <c r="L2681" s="1112"/>
      <c r="M2681" s="1113"/>
      <c r="N2681" s="110"/>
      <c r="O2681" s="1140"/>
      <c r="P2681" s="1115"/>
      <c r="Q2681" s="1116"/>
      <c r="R2681" s="1141"/>
      <c r="S2681" s="1113"/>
      <c r="T2681" s="1143"/>
      <c r="U2681" s="1108"/>
      <c r="V2681" s="1108"/>
      <c r="W2681" s="1108"/>
      <c r="X2681" s="1108"/>
      <c r="Y2681" s="1108"/>
      <c r="Z2681" s="1114"/>
      <c r="AA2681" s="1114"/>
      <c r="AB2681" s="1114"/>
      <c r="AC2681" s="1117"/>
      <c r="AD2681" s="1115"/>
      <c r="AE2681" s="1115"/>
      <c r="AF2681" s="1115"/>
      <c r="AG2681" s="1115"/>
      <c r="AH2681" s="1115"/>
      <c r="AI2681" s="1115"/>
      <c r="AJ2681" s="1117"/>
      <c r="AK2681" s="1118"/>
      <c r="AL2681" s="1115"/>
      <c r="AM2681" s="1115"/>
      <c r="AN2681" s="1115"/>
      <c r="AO2681" s="1115"/>
      <c r="AP2681" s="1115"/>
      <c r="AQ2681" s="1115"/>
      <c r="AR2681" s="1115"/>
      <c r="AS2681" s="1117"/>
      <c r="AT2681" s="1075"/>
      <c r="AU2681" s="1193"/>
      <c r="AV2681" s="330"/>
      <c r="AW2681" s="331"/>
      <c r="AX2681" s="331"/>
      <c r="AY2681" s="331"/>
      <c r="AZ2681" s="331"/>
      <c r="BA2681" s="331"/>
      <c r="BB2681" s="331"/>
      <c r="BC2681" s="331"/>
      <c r="BD2681" s="331"/>
      <c r="BE2681" s="333"/>
      <c r="BF2681" s="330"/>
      <c r="BG2681" s="333"/>
      <c r="BH2681" s="1119"/>
      <c r="BI2681" s="319"/>
      <c r="BJ2681" s="319"/>
      <c r="BK2681" s="319"/>
      <c r="BL2681" s="319"/>
      <c r="BM2681" s="319"/>
      <c r="BN2681" s="319"/>
      <c r="BO2681" s="319"/>
      <c r="BP2681" s="953"/>
      <c r="BQ2681" s="319"/>
      <c r="BR2681" s="319"/>
      <c r="BS2681" s="330"/>
      <c r="BT2681" s="331"/>
      <c r="BU2681" s="920"/>
      <c r="BV2681" s="903"/>
      <c r="BW2681" s="908"/>
      <c r="BX2681" s="908"/>
      <c r="BY2681" s="331"/>
      <c r="BZ2681" s="331"/>
      <c r="CA2681" s="462"/>
      <c r="CB2681" s="319"/>
      <c r="CC2681" s="319"/>
      <c r="CD2681" s="319"/>
      <c r="CE2681" s="319"/>
      <c r="CF2681" s="319"/>
      <c r="CG2681" s="319"/>
      <c r="CH2681" s="318"/>
      <c r="CI2681" s="319"/>
      <c r="CJ2681" s="319"/>
      <c r="CK2681" s="342"/>
      <c r="CL2681" s="333"/>
      <c r="CM2681" s="1079"/>
      <c r="CN2681" s="1005"/>
      <c r="CO2681" s="1005"/>
      <c r="CP2681" s="1005"/>
    </row>
    <row r="2682">
      <c r="A2682" s="1257"/>
      <c r="B2682" s="1113"/>
      <c r="C2682" s="1107"/>
      <c r="D2682" s="103"/>
      <c r="E2682" s="1137"/>
      <c r="F2682" s="112"/>
      <c r="G2682" s="1110"/>
      <c r="H2682" s="1138"/>
      <c r="I2682" s="1138"/>
      <c r="J2682" s="1139"/>
      <c r="K2682" s="1111"/>
      <c r="L2682" s="1112"/>
      <c r="M2682" s="1113"/>
      <c r="N2682" s="110"/>
      <c r="O2682" s="1140"/>
      <c r="P2682" s="1115"/>
      <c r="Q2682" s="1116"/>
      <c r="R2682" s="1141"/>
      <c r="S2682" s="1113"/>
      <c r="T2682" s="1143"/>
      <c r="U2682" s="1108"/>
      <c r="V2682" s="1108"/>
      <c r="W2682" s="1108"/>
      <c r="X2682" s="1108"/>
      <c r="Y2682" s="1108"/>
      <c r="Z2682" s="1114"/>
      <c r="AA2682" s="1114"/>
      <c r="AB2682" s="1114"/>
      <c r="AC2682" s="1117"/>
      <c r="AD2682" s="1115"/>
      <c r="AE2682" s="1115"/>
      <c r="AF2682" s="1115"/>
      <c r="AG2682" s="1115"/>
      <c r="AH2682" s="1115"/>
      <c r="AI2682" s="1115"/>
      <c r="AJ2682" s="1117"/>
      <c r="AK2682" s="1118"/>
      <c r="AL2682" s="1115"/>
      <c r="AM2682" s="1115"/>
      <c r="AN2682" s="1115"/>
      <c r="AO2682" s="1115"/>
      <c r="AP2682" s="1115"/>
      <c r="AQ2682" s="1115"/>
      <c r="AR2682" s="1115"/>
      <c r="AS2682" s="1117"/>
      <c r="AT2682" s="1075"/>
      <c r="AU2682" s="1193"/>
      <c r="AV2682" s="330"/>
      <c r="AW2682" s="331"/>
      <c r="AX2682" s="331"/>
      <c r="AY2682" s="331"/>
      <c r="AZ2682" s="331"/>
      <c r="BA2682" s="331"/>
      <c r="BB2682" s="331"/>
      <c r="BC2682" s="331"/>
      <c r="BD2682" s="331"/>
      <c r="BE2682" s="333"/>
      <c r="BF2682" s="330"/>
      <c r="BG2682" s="333"/>
      <c r="BH2682" s="1119"/>
      <c r="BI2682" s="319"/>
      <c r="BJ2682" s="319"/>
      <c r="BK2682" s="319"/>
      <c r="BL2682" s="319"/>
      <c r="BM2682" s="319"/>
      <c r="BN2682" s="319"/>
      <c r="BO2682" s="319"/>
      <c r="BP2682" s="953"/>
      <c r="BQ2682" s="319"/>
      <c r="BR2682" s="319"/>
      <c r="BS2682" s="330"/>
      <c r="BT2682" s="331"/>
      <c r="BU2682" s="920"/>
      <c r="BV2682" s="903"/>
      <c r="BW2682" s="908"/>
      <c r="BX2682" s="908"/>
      <c r="BY2682" s="331"/>
      <c r="BZ2682" s="331"/>
      <c r="CA2682" s="462"/>
      <c r="CB2682" s="319"/>
      <c r="CC2682" s="319"/>
      <c r="CD2682" s="319"/>
      <c r="CE2682" s="319"/>
      <c r="CF2682" s="319"/>
      <c r="CG2682" s="319"/>
      <c r="CH2682" s="318"/>
      <c r="CI2682" s="319"/>
      <c r="CJ2682" s="319"/>
      <c r="CK2682" s="342"/>
      <c r="CL2682" s="333"/>
      <c r="CM2682" s="1079"/>
      <c r="CN2682" s="1005"/>
      <c r="CO2682" s="1005"/>
      <c r="CP2682" s="1005"/>
    </row>
    <row r="2683">
      <c r="A2683" s="1257"/>
      <c r="B2683" s="1113"/>
      <c r="C2683" s="1107"/>
      <c r="D2683" s="103"/>
      <c r="E2683" s="1137"/>
      <c r="F2683" s="112"/>
      <c r="G2683" s="1110"/>
      <c r="H2683" s="1138"/>
      <c r="I2683" s="1138"/>
      <c r="J2683" s="1139"/>
      <c r="K2683" s="1111"/>
      <c r="L2683" s="1112"/>
      <c r="M2683" s="1113"/>
      <c r="N2683" s="110"/>
      <c r="O2683" s="1140"/>
      <c r="P2683" s="1115"/>
      <c r="Q2683" s="1116"/>
      <c r="R2683" s="1141"/>
      <c r="S2683" s="1113"/>
      <c r="T2683" s="1143"/>
      <c r="U2683" s="1108"/>
      <c r="V2683" s="1108"/>
      <c r="W2683" s="1108"/>
      <c r="X2683" s="1108"/>
      <c r="Y2683" s="1108"/>
      <c r="Z2683" s="1114"/>
      <c r="AA2683" s="1114"/>
      <c r="AB2683" s="1114"/>
      <c r="AC2683" s="1117"/>
      <c r="AD2683" s="1115"/>
      <c r="AE2683" s="1115"/>
      <c r="AF2683" s="1115"/>
      <c r="AG2683" s="1115"/>
      <c r="AH2683" s="1115"/>
      <c r="AI2683" s="1115"/>
      <c r="AJ2683" s="1117"/>
      <c r="AK2683" s="1118"/>
      <c r="AL2683" s="1115"/>
      <c r="AM2683" s="1115"/>
      <c r="AN2683" s="1115"/>
      <c r="AO2683" s="1115"/>
      <c r="AP2683" s="1115"/>
      <c r="AQ2683" s="1115"/>
      <c r="AR2683" s="1115"/>
      <c r="AS2683" s="1117"/>
      <c r="AT2683" s="1075"/>
      <c r="AU2683" s="1193"/>
      <c r="AV2683" s="330"/>
      <c r="AW2683" s="331"/>
      <c r="AX2683" s="331"/>
      <c r="AY2683" s="331"/>
      <c r="AZ2683" s="331"/>
      <c r="BA2683" s="331"/>
      <c r="BB2683" s="331"/>
      <c r="BC2683" s="331"/>
      <c r="BD2683" s="331"/>
      <c r="BE2683" s="333"/>
      <c r="BF2683" s="330"/>
      <c r="BG2683" s="333"/>
      <c r="BH2683" s="1119"/>
      <c r="BI2683" s="319"/>
      <c r="BJ2683" s="319"/>
      <c r="BK2683" s="319"/>
      <c r="BL2683" s="319"/>
      <c r="BM2683" s="319"/>
      <c r="BN2683" s="319"/>
      <c r="BO2683" s="319"/>
      <c r="BP2683" s="953"/>
      <c r="BQ2683" s="319"/>
      <c r="BR2683" s="319"/>
      <c r="BS2683" s="330"/>
      <c r="BT2683" s="331"/>
      <c r="BU2683" s="920"/>
      <c r="BV2683" s="903"/>
      <c r="BW2683" s="908"/>
      <c r="BX2683" s="908"/>
      <c r="BY2683" s="331"/>
      <c r="BZ2683" s="331"/>
      <c r="CA2683" s="462"/>
      <c r="CB2683" s="319"/>
      <c r="CC2683" s="319"/>
      <c r="CD2683" s="319"/>
      <c r="CE2683" s="319"/>
      <c r="CF2683" s="319"/>
      <c r="CG2683" s="319"/>
      <c r="CH2683" s="318"/>
      <c r="CI2683" s="319"/>
      <c r="CJ2683" s="319"/>
      <c r="CK2683" s="342"/>
      <c r="CL2683" s="333"/>
      <c r="CM2683" s="1079"/>
      <c r="CN2683" s="1005"/>
      <c r="CO2683" s="1005"/>
      <c r="CP2683" s="1005"/>
    </row>
    <row r="2684">
      <c r="A2684" s="1257"/>
      <c r="B2684" s="1113"/>
      <c r="C2684" s="1107"/>
      <c r="D2684" s="103"/>
      <c r="E2684" s="1137"/>
      <c r="F2684" s="112"/>
      <c r="G2684" s="1110"/>
      <c r="H2684" s="1138"/>
      <c r="I2684" s="1138"/>
      <c r="J2684" s="1139"/>
      <c r="K2684" s="1111"/>
      <c r="L2684" s="1112"/>
      <c r="M2684" s="1113"/>
      <c r="N2684" s="110"/>
      <c r="O2684" s="1140"/>
      <c r="P2684" s="1115"/>
      <c r="Q2684" s="1116"/>
      <c r="R2684" s="1141"/>
      <c r="S2684" s="1113"/>
      <c r="T2684" s="1143"/>
      <c r="U2684" s="1108"/>
      <c r="V2684" s="1108"/>
      <c r="W2684" s="1108"/>
      <c r="X2684" s="1108"/>
      <c r="Y2684" s="1108"/>
      <c r="Z2684" s="1114"/>
      <c r="AA2684" s="1114"/>
      <c r="AB2684" s="1114"/>
      <c r="AC2684" s="1117"/>
      <c r="AD2684" s="1115"/>
      <c r="AE2684" s="1115"/>
      <c r="AF2684" s="1115"/>
      <c r="AG2684" s="1115"/>
      <c r="AH2684" s="1115"/>
      <c r="AI2684" s="1115"/>
      <c r="AJ2684" s="1117"/>
      <c r="AK2684" s="1118"/>
      <c r="AL2684" s="1115"/>
      <c r="AM2684" s="1115"/>
      <c r="AN2684" s="1115"/>
      <c r="AO2684" s="1115"/>
      <c r="AP2684" s="1115"/>
      <c r="AQ2684" s="1115"/>
      <c r="AR2684" s="1115"/>
      <c r="AS2684" s="1117"/>
      <c r="AT2684" s="1075"/>
      <c r="AU2684" s="1193"/>
      <c r="AV2684" s="330"/>
      <c r="AW2684" s="331"/>
      <c r="AX2684" s="331"/>
      <c r="AY2684" s="331"/>
      <c r="AZ2684" s="331"/>
      <c r="BA2684" s="331"/>
      <c r="BB2684" s="331"/>
      <c r="BC2684" s="331"/>
      <c r="BD2684" s="331"/>
      <c r="BE2684" s="333"/>
      <c r="BF2684" s="330"/>
      <c r="BG2684" s="333"/>
      <c r="BH2684" s="1119"/>
      <c r="BI2684" s="319"/>
      <c r="BJ2684" s="319"/>
      <c r="BK2684" s="319"/>
      <c r="BL2684" s="319"/>
      <c r="BM2684" s="319"/>
      <c r="BN2684" s="319"/>
      <c r="BO2684" s="319"/>
      <c r="BP2684" s="953"/>
      <c r="BQ2684" s="319"/>
      <c r="BR2684" s="319"/>
      <c r="BS2684" s="330"/>
      <c r="BT2684" s="331"/>
      <c r="BU2684" s="920"/>
      <c r="BV2684" s="903"/>
      <c r="BW2684" s="908"/>
      <c r="BX2684" s="908"/>
      <c r="BY2684" s="331"/>
      <c r="BZ2684" s="331"/>
      <c r="CA2684" s="462"/>
      <c r="CB2684" s="319"/>
      <c r="CC2684" s="319"/>
      <c r="CD2684" s="319"/>
      <c r="CE2684" s="319"/>
      <c r="CF2684" s="319"/>
      <c r="CG2684" s="319"/>
      <c r="CH2684" s="318"/>
      <c r="CI2684" s="319"/>
      <c r="CJ2684" s="319"/>
      <c r="CK2684" s="342"/>
      <c r="CL2684" s="333"/>
      <c r="CM2684" s="1079"/>
      <c r="CN2684" s="1005"/>
      <c r="CO2684" s="1005"/>
      <c r="CP2684" s="1005"/>
    </row>
    <row r="2685">
      <c r="A2685" s="1257"/>
      <c r="B2685" s="1113"/>
      <c r="C2685" s="1107"/>
      <c r="D2685" s="103"/>
      <c r="E2685" s="1137"/>
      <c r="F2685" s="112"/>
      <c r="G2685" s="1110"/>
      <c r="H2685" s="1138"/>
      <c r="I2685" s="1138"/>
      <c r="J2685" s="1139"/>
      <c r="K2685" s="1111"/>
      <c r="L2685" s="1112"/>
      <c r="M2685" s="1113"/>
      <c r="N2685" s="110"/>
      <c r="O2685" s="1140"/>
      <c r="P2685" s="1115"/>
      <c r="Q2685" s="1116"/>
      <c r="R2685" s="1141"/>
      <c r="S2685" s="1113"/>
      <c r="T2685" s="1143"/>
      <c r="U2685" s="1108"/>
      <c r="V2685" s="1108"/>
      <c r="W2685" s="1108"/>
      <c r="X2685" s="1108"/>
      <c r="Y2685" s="1108"/>
      <c r="Z2685" s="1114"/>
      <c r="AA2685" s="1114"/>
      <c r="AB2685" s="1114"/>
      <c r="AC2685" s="1117"/>
      <c r="AD2685" s="1115"/>
      <c r="AE2685" s="1115"/>
      <c r="AF2685" s="1115"/>
      <c r="AG2685" s="1115"/>
      <c r="AH2685" s="1115"/>
      <c r="AI2685" s="1115"/>
      <c r="AJ2685" s="1117"/>
      <c r="AK2685" s="1118"/>
      <c r="AL2685" s="1115"/>
      <c r="AM2685" s="1115"/>
      <c r="AN2685" s="1115"/>
      <c r="AO2685" s="1115"/>
      <c r="AP2685" s="1115"/>
      <c r="AQ2685" s="1115"/>
      <c r="AR2685" s="1115"/>
      <c r="AS2685" s="1117"/>
      <c r="AT2685" s="1075"/>
      <c r="AU2685" s="1193"/>
      <c r="AV2685" s="330"/>
      <c r="AW2685" s="331"/>
      <c r="AX2685" s="331"/>
      <c r="AY2685" s="331"/>
      <c r="AZ2685" s="331"/>
      <c r="BA2685" s="331"/>
      <c r="BB2685" s="331"/>
      <c r="BC2685" s="331"/>
      <c r="BD2685" s="331"/>
      <c r="BE2685" s="333"/>
      <c r="BF2685" s="330"/>
      <c r="BG2685" s="333"/>
      <c r="BH2685" s="1119"/>
      <c r="BI2685" s="319"/>
      <c r="BJ2685" s="319"/>
      <c r="BK2685" s="319"/>
      <c r="BL2685" s="319"/>
      <c r="BM2685" s="319"/>
      <c r="BN2685" s="319"/>
      <c r="BO2685" s="319"/>
      <c r="BP2685" s="953"/>
      <c r="BQ2685" s="319"/>
      <c r="BR2685" s="319"/>
      <c r="BS2685" s="330"/>
      <c r="BT2685" s="331"/>
      <c r="BU2685" s="920"/>
      <c r="BV2685" s="903"/>
      <c r="BW2685" s="908"/>
      <c r="BX2685" s="908"/>
      <c r="BY2685" s="331"/>
      <c r="BZ2685" s="331"/>
      <c r="CA2685" s="462"/>
      <c r="CB2685" s="319"/>
      <c r="CC2685" s="319"/>
      <c r="CD2685" s="319"/>
      <c r="CE2685" s="319"/>
      <c r="CF2685" s="319"/>
      <c r="CG2685" s="319"/>
      <c r="CH2685" s="318"/>
      <c r="CI2685" s="319"/>
      <c r="CJ2685" s="319"/>
      <c r="CK2685" s="342"/>
      <c r="CL2685" s="333"/>
      <c r="CM2685" s="1079"/>
      <c r="CN2685" s="1005"/>
      <c r="CO2685" s="1005"/>
      <c r="CP2685" s="1005"/>
    </row>
    <row r="2686">
      <c r="A2686" s="1257"/>
      <c r="B2686" s="1113"/>
      <c r="C2686" s="1107"/>
      <c r="D2686" s="103"/>
      <c r="E2686" s="1137"/>
      <c r="F2686" s="112"/>
      <c r="G2686" s="1110"/>
      <c r="H2686" s="1138"/>
      <c r="I2686" s="1138"/>
      <c r="J2686" s="1139"/>
      <c r="K2686" s="1111"/>
      <c r="L2686" s="1112"/>
      <c r="M2686" s="1113"/>
      <c r="N2686" s="110"/>
      <c r="O2686" s="1140"/>
      <c r="P2686" s="1115"/>
      <c r="Q2686" s="1116"/>
      <c r="R2686" s="1141"/>
      <c r="S2686" s="1113"/>
      <c r="T2686" s="1143"/>
      <c r="U2686" s="1108"/>
      <c r="V2686" s="1108"/>
      <c r="W2686" s="1108"/>
      <c r="X2686" s="1108"/>
      <c r="Y2686" s="1108"/>
      <c r="Z2686" s="1114"/>
      <c r="AA2686" s="1114"/>
      <c r="AB2686" s="1114"/>
      <c r="AC2686" s="1117"/>
      <c r="AD2686" s="1115"/>
      <c r="AE2686" s="1115"/>
      <c r="AF2686" s="1115"/>
      <c r="AG2686" s="1115"/>
      <c r="AH2686" s="1115"/>
      <c r="AI2686" s="1115"/>
      <c r="AJ2686" s="1117"/>
      <c r="AK2686" s="1118"/>
      <c r="AL2686" s="1115"/>
      <c r="AM2686" s="1115"/>
      <c r="AN2686" s="1115"/>
      <c r="AO2686" s="1115"/>
      <c r="AP2686" s="1115"/>
      <c r="AQ2686" s="1115"/>
      <c r="AR2686" s="1115"/>
      <c r="AS2686" s="1117"/>
      <c r="AT2686" s="1075"/>
      <c r="AU2686" s="1193"/>
      <c r="AV2686" s="330"/>
      <c r="AW2686" s="331"/>
      <c r="AX2686" s="331"/>
      <c r="AY2686" s="331"/>
      <c r="AZ2686" s="331"/>
      <c r="BA2686" s="331"/>
      <c r="BB2686" s="331"/>
      <c r="BC2686" s="331"/>
      <c r="BD2686" s="331"/>
      <c r="BE2686" s="333"/>
      <c r="BF2686" s="330"/>
      <c r="BG2686" s="333"/>
      <c r="BH2686" s="1119"/>
      <c r="BI2686" s="319"/>
      <c r="BJ2686" s="319"/>
      <c r="BK2686" s="319"/>
      <c r="BL2686" s="319"/>
      <c r="BM2686" s="319"/>
      <c r="BN2686" s="319"/>
      <c r="BO2686" s="319"/>
      <c r="BP2686" s="953"/>
      <c r="BQ2686" s="319"/>
      <c r="BR2686" s="319"/>
      <c r="BS2686" s="330"/>
      <c r="BT2686" s="331"/>
      <c r="BU2686" s="920"/>
      <c r="BV2686" s="903"/>
      <c r="BW2686" s="908"/>
      <c r="BX2686" s="908"/>
      <c r="BY2686" s="331"/>
      <c r="BZ2686" s="331"/>
      <c r="CA2686" s="462"/>
      <c r="CB2686" s="319"/>
      <c r="CC2686" s="319"/>
      <c r="CD2686" s="319"/>
      <c r="CE2686" s="319"/>
      <c r="CF2686" s="319"/>
      <c r="CG2686" s="319"/>
      <c r="CH2686" s="318"/>
      <c r="CI2686" s="319"/>
      <c r="CJ2686" s="319"/>
      <c r="CK2686" s="342"/>
      <c r="CL2686" s="333"/>
      <c r="CM2686" s="1079"/>
      <c r="CN2686" s="1005"/>
      <c r="CO2686" s="1005"/>
      <c r="CP2686" s="1005"/>
    </row>
    <row r="2687">
      <c r="A2687" s="1257"/>
      <c r="B2687" s="1113"/>
      <c r="C2687" s="1107"/>
      <c r="D2687" s="103"/>
      <c r="E2687" s="1137"/>
      <c r="F2687" s="112"/>
      <c r="G2687" s="1110"/>
      <c r="H2687" s="1138"/>
      <c r="I2687" s="1138"/>
      <c r="J2687" s="1139"/>
      <c r="K2687" s="1111"/>
      <c r="L2687" s="1112"/>
      <c r="M2687" s="1113"/>
      <c r="N2687" s="110"/>
      <c r="O2687" s="1140"/>
      <c r="P2687" s="1115"/>
      <c r="Q2687" s="1116"/>
      <c r="R2687" s="1141"/>
      <c r="S2687" s="1113"/>
      <c r="T2687" s="1143"/>
      <c r="U2687" s="1108"/>
      <c r="V2687" s="1108"/>
      <c r="W2687" s="1108"/>
      <c r="X2687" s="1108"/>
      <c r="Y2687" s="1108"/>
      <c r="Z2687" s="1114"/>
      <c r="AA2687" s="1114"/>
      <c r="AB2687" s="1114"/>
      <c r="AC2687" s="1117"/>
      <c r="AD2687" s="1115"/>
      <c r="AE2687" s="1115"/>
      <c r="AF2687" s="1115"/>
      <c r="AG2687" s="1115"/>
      <c r="AH2687" s="1115"/>
      <c r="AI2687" s="1115"/>
      <c r="AJ2687" s="1117"/>
      <c r="AK2687" s="1118"/>
      <c r="AL2687" s="1115"/>
      <c r="AM2687" s="1115"/>
      <c r="AN2687" s="1115"/>
      <c r="AO2687" s="1115"/>
      <c r="AP2687" s="1115"/>
      <c r="AQ2687" s="1115"/>
      <c r="AR2687" s="1115"/>
      <c r="AS2687" s="1117"/>
      <c r="AT2687" s="1075"/>
      <c r="AU2687" s="1193"/>
      <c r="AV2687" s="330"/>
      <c r="AW2687" s="331"/>
      <c r="AX2687" s="331"/>
      <c r="AY2687" s="331"/>
      <c r="AZ2687" s="331"/>
      <c r="BA2687" s="331"/>
      <c r="BB2687" s="331"/>
      <c r="BC2687" s="331"/>
      <c r="BD2687" s="331"/>
      <c r="BE2687" s="333"/>
      <c r="BF2687" s="330"/>
      <c r="BG2687" s="333"/>
      <c r="BH2687" s="1119"/>
      <c r="BI2687" s="319"/>
      <c r="BJ2687" s="319"/>
      <c r="BK2687" s="319"/>
      <c r="BL2687" s="319"/>
      <c r="BM2687" s="319"/>
      <c r="BN2687" s="319"/>
      <c r="BO2687" s="319"/>
      <c r="BP2687" s="953"/>
      <c r="BQ2687" s="319"/>
      <c r="BR2687" s="319"/>
      <c r="BS2687" s="330"/>
      <c r="BT2687" s="331"/>
      <c r="BU2687" s="920"/>
      <c r="BV2687" s="903"/>
      <c r="BW2687" s="908"/>
      <c r="BX2687" s="908"/>
      <c r="BY2687" s="331"/>
      <c r="BZ2687" s="331"/>
      <c r="CA2687" s="462"/>
      <c r="CB2687" s="319"/>
      <c r="CC2687" s="319"/>
      <c r="CD2687" s="319"/>
      <c r="CE2687" s="319"/>
      <c r="CF2687" s="319"/>
      <c r="CG2687" s="319"/>
      <c r="CH2687" s="318"/>
      <c r="CI2687" s="319"/>
      <c r="CJ2687" s="319"/>
      <c r="CK2687" s="342"/>
      <c r="CL2687" s="333"/>
      <c r="CM2687" s="1079"/>
      <c r="CN2687" s="1005"/>
      <c r="CO2687" s="1005"/>
      <c r="CP2687" s="1005"/>
    </row>
    <row r="2688">
      <c r="A2688" s="1257"/>
      <c r="B2688" s="1113"/>
      <c r="C2688" s="1107"/>
      <c r="D2688" s="103"/>
      <c r="E2688" s="1137"/>
      <c r="F2688" s="112"/>
      <c r="G2688" s="1110"/>
      <c r="H2688" s="1138"/>
      <c r="I2688" s="1138"/>
      <c r="J2688" s="1139"/>
      <c r="K2688" s="1111"/>
      <c r="L2688" s="1112"/>
      <c r="M2688" s="1113"/>
      <c r="N2688" s="110"/>
      <c r="O2688" s="1140"/>
      <c r="P2688" s="1115"/>
      <c r="Q2688" s="1116"/>
      <c r="R2688" s="1141"/>
      <c r="S2688" s="1113"/>
      <c r="T2688" s="1143"/>
      <c r="U2688" s="1108"/>
      <c r="V2688" s="1108"/>
      <c r="W2688" s="1108"/>
      <c r="X2688" s="1108"/>
      <c r="Y2688" s="1108"/>
      <c r="Z2688" s="1114"/>
      <c r="AA2688" s="1114"/>
      <c r="AB2688" s="1114"/>
      <c r="AC2688" s="1117"/>
      <c r="AD2688" s="1115"/>
      <c r="AE2688" s="1115"/>
      <c r="AF2688" s="1115"/>
      <c r="AG2688" s="1115"/>
      <c r="AH2688" s="1115"/>
      <c r="AI2688" s="1115"/>
      <c r="AJ2688" s="1117"/>
      <c r="AK2688" s="1118"/>
      <c r="AL2688" s="1115"/>
      <c r="AM2688" s="1115"/>
      <c r="AN2688" s="1115"/>
      <c r="AO2688" s="1115"/>
      <c r="AP2688" s="1115"/>
      <c r="AQ2688" s="1115"/>
      <c r="AR2688" s="1115"/>
      <c r="AS2688" s="1117"/>
      <c r="AT2688" s="1075"/>
      <c r="AU2688" s="1193"/>
      <c r="AV2688" s="330"/>
      <c r="AW2688" s="331"/>
      <c r="AX2688" s="331"/>
      <c r="AY2688" s="331"/>
      <c r="AZ2688" s="331"/>
      <c r="BA2688" s="331"/>
      <c r="BB2688" s="331"/>
      <c r="BC2688" s="331"/>
      <c r="BD2688" s="331"/>
      <c r="BE2688" s="333"/>
      <c r="BF2688" s="330"/>
      <c r="BG2688" s="333"/>
      <c r="BH2688" s="1119"/>
      <c r="BI2688" s="319"/>
      <c r="BJ2688" s="319"/>
      <c r="BK2688" s="319"/>
      <c r="BL2688" s="319"/>
      <c r="BM2688" s="319"/>
      <c r="BN2688" s="319"/>
      <c r="BO2688" s="319"/>
      <c r="BP2688" s="953"/>
      <c r="BQ2688" s="319"/>
      <c r="BR2688" s="319"/>
      <c r="BS2688" s="330"/>
      <c r="BT2688" s="331"/>
      <c r="BU2688" s="920"/>
      <c r="BV2688" s="903"/>
      <c r="BW2688" s="908"/>
      <c r="BX2688" s="908"/>
      <c r="BY2688" s="331"/>
      <c r="BZ2688" s="331"/>
      <c r="CA2688" s="462"/>
      <c r="CB2688" s="319"/>
      <c r="CC2688" s="319"/>
      <c r="CD2688" s="319"/>
      <c r="CE2688" s="319"/>
      <c r="CF2688" s="319"/>
      <c r="CG2688" s="319"/>
      <c r="CH2688" s="318"/>
      <c r="CI2688" s="319"/>
      <c r="CJ2688" s="319"/>
      <c r="CK2688" s="342"/>
      <c r="CL2688" s="333"/>
      <c r="CM2688" s="1079"/>
      <c r="CN2688" s="1005"/>
      <c r="CO2688" s="1005"/>
      <c r="CP2688" s="1005"/>
    </row>
    <row r="2689">
      <c r="A2689" s="1257"/>
      <c r="B2689" s="1113"/>
      <c r="C2689" s="1107"/>
      <c r="D2689" s="103"/>
      <c r="E2689" s="1137"/>
      <c r="F2689" s="112"/>
      <c r="G2689" s="1110"/>
      <c r="H2689" s="1138"/>
      <c r="I2689" s="1138"/>
      <c r="J2689" s="1139"/>
      <c r="K2689" s="1111"/>
      <c r="L2689" s="1112"/>
      <c r="M2689" s="1113"/>
      <c r="N2689" s="110"/>
      <c r="O2689" s="1140"/>
      <c r="P2689" s="1115"/>
      <c r="Q2689" s="1116"/>
      <c r="R2689" s="1141"/>
      <c r="S2689" s="1113"/>
      <c r="T2689" s="1143"/>
      <c r="U2689" s="1108"/>
      <c r="V2689" s="1108"/>
      <c r="W2689" s="1108"/>
      <c r="X2689" s="1108"/>
      <c r="Y2689" s="1108"/>
      <c r="Z2689" s="1114"/>
      <c r="AA2689" s="1114"/>
      <c r="AB2689" s="1114"/>
      <c r="AC2689" s="1117"/>
      <c r="AD2689" s="1115"/>
      <c r="AE2689" s="1115"/>
      <c r="AF2689" s="1115"/>
      <c r="AG2689" s="1115"/>
      <c r="AH2689" s="1115"/>
      <c r="AI2689" s="1115"/>
      <c r="AJ2689" s="1117"/>
      <c r="AK2689" s="1118"/>
      <c r="AL2689" s="1115"/>
      <c r="AM2689" s="1115"/>
      <c r="AN2689" s="1115"/>
      <c r="AO2689" s="1115"/>
      <c r="AP2689" s="1115"/>
      <c r="AQ2689" s="1115"/>
      <c r="AR2689" s="1115"/>
      <c r="AS2689" s="1117"/>
      <c r="AT2689" s="1075"/>
      <c r="AU2689" s="1193"/>
      <c r="AV2689" s="330"/>
      <c r="AW2689" s="331"/>
      <c r="AX2689" s="331"/>
      <c r="AY2689" s="331"/>
      <c r="AZ2689" s="331"/>
      <c r="BA2689" s="331"/>
      <c r="BB2689" s="331"/>
      <c r="BC2689" s="331"/>
      <c r="BD2689" s="331"/>
      <c r="BE2689" s="333"/>
      <c r="BF2689" s="330"/>
      <c r="BG2689" s="333"/>
      <c r="BH2689" s="1119"/>
      <c r="BI2689" s="319"/>
      <c r="BJ2689" s="319"/>
      <c r="BK2689" s="319"/>
      <c r="BL2689" s="319"/>
      <c r="BM2689" s="319"/>
      <c r="BN2689" s="319"/>
      <c r="BO2689" s="319"/>
      <c r="BP2689" s="953"/>
      <c r="BQ2689" s="319"/>
      <c r="BR2689" s="319"/>
      <c r="BS2689" s="330"/>
      <c r="BT2689" s="331"/>
      <c r="BU2689" s="920"/>
      <c r="BV2689" s="903"/>
      <c r="BW2689" s="908"/>
      <c r="BX2689" s="908"/>
      <c r="BY2689" s="331"/>
      <c r="BZ2689" s="331"/>
      <c r="CA2689" s="462"/>
      <c r="CB2689" s="319"/>
      <c r="CC2689" s="319"/>
      <c r="CD2689" s="319"/>
      <c r="CE2689" s="319"/>
      <c r="CF2689" s="319"/>
      <c r="CG2689" s="319"/>
      <c r="CH2689" s="318"/>
      <c r="CI2689" s="319"/>
      <c r="CJ2689" s="319"/>
      <c r="CK2689" s="342"/>
      <c r="CL2689" s="333"/>
      <c r="CM2689" s="1079"/>
      <c r="CN2689" s="1005"/>
      <c r="CO2689" s="1005"/>
      <c r="CP2689" s="1005"/>
    </row>
    <row r="2690">
      <c r="A2690" s="1257"/>
      <c r="B2690" s="1113"/>
      <c r="C2690" s="1107"/>
      <c r="D2690" s="103"/>
      <c r="E2690" s="1137"/>
      <c r="F2690" s="112"/>
      <c r="G2690" s="1110"/>
      <c r="H2690" s="1138"/>
      <c r="I2690" s="1138"/>
      <c r="J2690" s="1139"/>
      <c r="K2690" s="1111"/>
      <c r="L2690" s="1112"/>
      <c r="M2690" s="1113"/>
      <c r="N2690" s="110"/>
      <c r="O2690" s="1140"/>
      <c r="P2690" s="1115"/>
      <c r="Q2690" s="1116"/>
      <c r="R2690" s="1141"/>
      <c r="S2690" s="1113"/>
      <c r="T2690" s="1143"/>
      <c r="U2690" s="1108"/>
      <c r="V2690" s="1108"/>
      <c r="W2690" s="1108"/>
      <c r="X2690" s="1108"/>
      <c r="Y2690" s="1108"/>
      <c r="Z2690" s="1114"/>
      <c r="AA2690" s="1114"/>
      <c r="AB2690" s="1114"/>
      <c r="AC2690" s="1117"/>
      <c r="AD2690" s="1115"/>
      <c r="AE2690" s="1115"/>
      <c r="AF2690" s="1115"/>
      <c r="AG2690" s="1115"/>
      <c r="AH2690" s="1115"/>
      <c r="AI2690" s="1115"/>
      <c r="AJ2690" s="1117"/>
      <c r="AK2690" s="1118"/>
      <c r="AL2690" s="1115"/>
      <c r="AM2690" s="1115"/>
      <c r="AN2690" s="1115"/>
      <c r="AO2690" s="1115"/>
      <c r="AP2690" s="1115"/>
      <c r="AQ2690" s="1115"/>
      <c r="AR2690" s="1115"/>
      <c r="AS2690" s="1117"/>
      <c r="AT2690" s="1075"/>
      <c r="AU2690" s="1193"/>
      <c r="AV2690" s="330"/>
      <c r="AW2690" s="331"/>
      <c r="AX2690" s="331"/>
      <c r="AY2690" s="331"/>
      <c r="AZ2690" s="331"/>
      <c r="BA2690" s="331"/>
      <c r="BB2690" s="331"/>
      <c r="BC2690" s="331"/>
      <c r="BD2690" s="331"/>
      <c r="BE2690" s="333"/>
      <c r="BF2690" s="330"/>
      <c r="BG2690" s="333"/>
      <c r="BH2690" s="1119"/>
      <c r="BI2690" s="319"/>
      <c r="BJ2690" s="319"/>
      <c r="BK2690" s="319"/>
      <c r="BL2690" s="319"/>
      <c r="BM2690" s="319"/>
      <c r="BN2690" s="319"/>
      <c r="BO2690" s="319"/>
      <c r="BP2690" s="953"/>
      <c r="BQ2690" s="319"/>
      <c r="BR2690" s="319"/>
      <c r="BS2690" s="330"/>
      <c r="BT2690" s="331"/>
      <c r="BU2690" s="920"/>
      <c r="BV2690" s="903"/>
      <c r="BW2690" s="908"/>
      <c r="BX2690" s="908"/>
      <c r="BY2690" s="331"/>
      <c r="BZ2690" s="331"/>
      <c r="CA2690" s="462"/>
      <c r="CB2690" s="319"/>
      <c r="CC2690" s="319"/>
      <c r="CD2690" s="319"/>
      <c r="CE2690" s="319"/>
      <c r="CF2690" s="319"/>
      <c r="CG2690" s="319"/>
      <c r="CH2690" s="318"/>
      <c r="CI2690" s="319"/>
      <c r="CJ2690" s="319"/>
      <c r="CK2690" s="342"/>
      <c r="CL2690" s="333"/>
      <c r="CM2690" s="1079"/>
      <c r="CN2690" s="1005"/>
      <c r="CO2690" s="1005"/>
      <c r="CP2690" s="1005"/>
    </row>
    <row r="2691">
      <c r="A2691" s="1257"/>
      <c r="B2691" s="1113"/>
      <c r="C2691" s="1107"/>
      <c r="D2691" s="103"/>
      <c r="E2691" s="1137"/>
      <c r="F2691" s="112"/>
      <c r="G2691" s="1110"/>
      <c r="H2691" s="1138"/>
      <c r="I2691" s="1138"/>
      <c r="J2691" s="1139"/>
      <c r="K2691" s="1111"/>
      <c r="L2691" s="1112"/>
      <c r="M2691" s="1113"/>
      <c r="N2691" s="110"/>
      <c r="O2691" s="1140"/>
      <c r="P2691" s="1115"/>
      <c r="Q2691" s="1116"/>
      <c r="R2691" s="1141"/>
      <c r="S2691" s="1113"/>
      <c r="T2691" s="1143"/>
      <c r="U2691" s="1108"/>
      <c r="V2691" s="1108"/>
      <c r="W2691" s="1108"/>
      <c r="X2691" s="1108"/>
      <c r="Y2691" s="1108"/>
      <c r="Z2691" s="1114"/>
      <c r="AA2691" s="1114"/>
      <c r="AB2691" s="1114"/>
      <c r="AC2691" s="1117"/>
      <c r="AD2691" s="1115"/>
      <c r="AE2691" s="1115"/>
      <c r="AF2691" s="1115"/>
      <c r="AG2691" s="1115"/>
      <c r="AH2691" s="1115"/>
      <c r="AI2691" s="1115"/>
      <c r="AJ2691" s="1117"/>
      <c r="AK2691" s="1118"/>
      <c r="AL2691" s="1115"/>
      <c r="AM2691" s="1115"/>
      <c r="AN2691" s="1115"/>
      <c r="AO2691" s="1115"/>
      <c r="AP2691" s="1115"/>
      <c r="AQ2691" s="1115"/>
      <c r="AR2691" s="1115"/>
      <c r="AS2691" s="1117"/>
      <c r="AT2691" s="1075"/>
      <c r="AU2691" s="1193"/>
      <c r="AV2691" s="330"/>
      <c r="AW2691" s="331"/>
      <c r="AX2691" s="331"/>
      <c r="AY2691" s="331"/>
      <c r="AZ2691" s="331"/>
      <c r="BA2691" s="331"/>
      <c r="BB2691" s="331"/>
      <c r="BC2691" s="331"/>
      <c r="BD2691" s="331"/>
      <c r="BE2691" s="333"/>
      <c r="BF2691" s="330"/>
      <c r="BG2691" s="333"/>
      <c r="BH2691" s="1119"/>
      <c r="BI2691" s="319"/>
      <c r="BJ2691" s="319"/>
      <c r="BK2691" s="319"/>
      <c r="BL2691" s="319"/>
      <c r="BM2691" s="319"/>
      <c r="BN2691" s="319"/>
      <c r="BO2691" s="319"/>
      <c r="BP2691" s="953"/>
      <c r="BQ2691" s="319"/>
      <c r="BR2691" s="319"/>
      <c r="BS2691" s="330"/>
      <c r="BT2691" s="331"/>
      <c r="BU2691" s="920"/>
      <c r="BV2691" s="903"/>
      <c r="BW2691" s="908"/>
      <c r="BX2691" s="908"/>
      <c r="BY2691" s="331"/>
      <c r="BZ2691" s="331"/>
      <c r="CA2691" s="462"/>
      <c r="CB2691" s="319"/>
      <c r="CC2691" s="319"/>
      <c r="CD2691" s="319"/>
      <c r="CE2691" s="319"/>
      <c r="CF2691" s="319"/>
      <c r="CG2691" s="319"/>
      <c r="CH2691" s="318"/>
      <c r="CI2691" s="319"/>
      <c r="CJ2691" s="319"/>
      <c r="CK2691" s="342"/>
      <c r="CL2691" s="333"/>
      <c r="CM2691" s="1079"/>
      <c r="CN2691" s="1005"/>
      <c r="CO2691" s="1005"/>
      <c r="CP2691" s="1005"/>
    </row>
    <row r="2692">
      <c r="A2692" s="1257"/>
      <c r="B2692" s="1113"/>
      <c r="C2692" s="1107"/>
      <c r="D2692" s="103"/>
      <c r="E2692" s="1137"/>
      <c r="F2692" s="112"/>
      <c r="G2692" s="1110"/>
      <c r="H2692" s="1138"/>
      <c r="I2692" s="1138"/>
      <c r="J2692" s="1139"/>
      <c r="K2692" s="1111"/>
      <c r="L2692" s="1112"/>
      <c r="M2692" s="1113"/>
      <c r="N2692" s="110"/>
      <c r="O2692" s="1140"/>
      <c r="P2692" s="1115"/>
      <c r="Q2692" s="1116"/>
      <c r="R2692" s="1141"/>
      <c r="S2692" s="1113"/>
      <c r="T2692" s="1143"/>
      <c r="U2692" s="1108"/>
      <c r="V2692" s="1108"/>
      <c r="W2692" s="1108"/>
      <c r="X2692" s="1108"/>
      <c r="Y2692" s="1108"/>
      <c r="Z2692" s="1114"/>
      <c r="AA2692" s="1114"/>
      <c r="AB2692" s="1114"/>
      <c r="AC2692" s="1117"/>
      <c r="AD2692" s="1115"/>
      <c r="AE2692" s="1115"/>
      <c r="AF2692" s="1115"/>
      <c r="AG2692" s="1115"/>
      <c r="AH2692" s="1115"/>
      <c r="AI2692" s="1115"/>
      <c r="AJ2692" s="1117"/>
      <c r="AK2692" s="1118"/>
      <c r="AL2692" s="1115"/>
      <c r="AM2692" s="1115"/>
      <c r="AN2692" s="1115"/>
      <c r="AO2692" s="1115"/>
      <c r="AP2692" s="1115"/>
      <c r="AQ2692" s="1115"/>
      <c r="AR2692" s="1115"/>
      <c r="AS2692" s="1117"/>
      <c r="AT2692" s="1075"/>
      <c r="AU2692" s="1193"/>
      <c r="AV2692" s="330"/>
      <c r="AW2692" s="331"/>
      <c r="AX2692" s="331"/>
      <c r="AY2692" s="331"/>
      <c r="AZ2692" s="331"/>
      <c r="BA2692" s="331"/>
      <c r="BB2692" s="331"/>
      <c r="BC2692" s="331"/>
      <c r="BD2692" s="331"/>
      <c r="BE2692" s="333"/>
      <c r="BF2692" s="330"/>
      <c r="BG2692" s="333"/>
      <c r="BH2692" s="1119"/>
      <c r="BI2692" s="319"/>
      <c r="BJ2692" s="319"/>
      <c r="BK2692" s="319"/>
      <c r="BL2692" s="319"/>
      <c r="BM2692" s="319"/>
      <c r="BN2692" s="319"/>
      <c r="BO2692" s="319"/>
      <c r="BP2692" s="953"/>
      <c r="BQ2692" s="319"/>
      <c r="BR2692" s="319"/>
      <c r="BS2692" s="330"/>
      <c r="BT2692" s="331"/>
      <c r="BU2692" s="920"/>
      <c r="BV2692" s="903"/>
      <c r="BW2692" s="908"/>
      <c r="BX2692" s="908"/>
      <c r="BY2692" s="331"/>
      <c r="BZ2692" s="331"/>
      <c r="CA2692" s="462"/>
      <c r="CB2692" s="319"/>
      <c r="CC2692" s="319"/>
      <c r="CD2692" s="319"/>
      <c r="CE2692" s="319"/>
      <c r="CF2692" s="319"/>
      <c r="CG2692" s="319"/>
      <c r="CH2692" s="318"/>
      <c r="CI2692" s="319"/>
      <c r="CJ2692" s="319"/>
      <c r="CK2692" s="342"/>
      <c r="CL2692" s="333"/>
      <c r="CM2692" s="1079"/>
      <c r="CN2692" s="1005"/>
      <c r="CO2692" s="1005"/>
      <c r="CP2692" s="1005"/>
    </row>
    <row r="2693">
      <c r="A2693" s="1257"/>
      <c r="B2693" s="1113"/>
      <c r="C2693" s="1107"/>
      <c r="D2693" s="103"/>
      <c r="E2693" s="1137"/>
      <c r="F2693" s="112"/>
      <c r="G2693" s="1110"/>
      <c r="H2693" s="1138"/>
      <c r="I2693" s="1138"/>
      <c r="J2693" s="1139"/>
      <c r="K2693" s="1111"/>
      <c r="L2693" s="1112"/>
      <c r="M2693" s="1113"/>
      <c r="N2693" s="110"/>
      <c r="O2693" s="1140"/>
      <c r="P2693" s="1115"/>
      <c r="Q2693" s="1116"/>
      <c r="R2693" s="1141"/>
      <c r="S2693" s="1113"/>
      <c r="T2693" s="1143"/>
      <c r="U2693" s="1108"/>
      <c r="V2693" s="1108"/>
      <c r="W2693" s="1108"/>
      <c r="X2693" s="1108"/>
      <c r="Y2693" s="1108"/>
      <c r="Z2693" s="1114"/>
      <c r="AA2693" s="1114"/>
      <c r="AB2693" s="1114"/>
      <c r="AC2693" s="1117"/>
      <c r="AD2693" s="1115"/>
      <c r="AE2693" s="1115"/>
      <c r="AF2693" s="1115"/>
      <c r="AG2693" s="1115"/>
      <c r="AH2693" s="1115"/>
      <c r="AI2693" s="1115"/>
      <c r="AJ2693" s="1117"/>
      <c r="AK2693" s="1118"/>
      <c r="AL2693" s="1115"/>
      <c r="AM2693" s="1115"/>
      <c r="AN2693" s="1115"/>
      <c r="AO2693" s="1115"/>
      <c r="AP2693" s="1115"/>
      <c r="AQ2693" s="1115"/>
      <c r="AR2693" s="1115"/>
      <c r="AS2693" s="1117"/>
      <c r="AT2693" s="1075"/>
      <c r="AU2693" s="1193"/>
      <c r="AV2693" s="330"/>
      <c r="AW2693" s="331"/>
      <c r="AX2693" s="331"/>
      <c r="AY2693" s="331"/>
      <c r="AZ2693" s="331"/>
      <c r="BA2693" s="331"/>
      <c r="BB2693" s="331"/>
      <c r="BC2693" s="331"/>
      <c r="BD2693" s="331"/>
      <c r="BE2693" s="333"/>
      <c r="BF2693" s="330"/>
      <c r="BG2693" s="333"/>
      <c r="BH2693" s="1119"/>
      <c r="BI2693" s="319"/>
      <c r="BJ2693" s="319"/>
      <c r="BK2693" s="319"/>
      <c r="BL2693" s="319"/>
      <c r="BM2693" s="319"/>
      <c r="BN2693" s="319"/>
      <c r="BO2693" s="319"/>
      <c r="BP2693" s="953"/>
      <c r="BQ2693" s="319"/>
      <c r="BR2693" s="319"/>
      <c r="BS2693" s="330"/>
      <c r="BT2693" s="331"/>
      <c r="BU2693" s="920"/>
      <c r="BV2693" s="903"/>
      <c r="BW2693" s="908"/>
      <c r="BX2693" s="908"/>
      <c r="BY2693" s="331"/>
      <c r="BZ2693" s="331"/>
      <c r="CA2693" s="462"/>
      <c r="CB2693" s="319"/>
      <c r="CC2693" s="319"/>
      <c r="CD2693" s="319"/>
      <c r="CE2693" s="319"/>
      <c r="CF2693" s="319"/>
      <c r="CG2693" s="319"/>
      <c r="CH2693" s="318"/>
      <c r="CI2693" s="319"/>
      <c r="CJ2693" s="319"/>
      <c r="CK2693" s="342"/>
      <c r="CL2693" s="333"/>
      <c r="CM2693" s="1079"/>
      <c r="CN2693" s="1005"/>
      <c r="CO2693" s="1005"/>
      <c r="CP2693" s="1005"/>
    </row>
    <row r="2694">
      <c r="A2694" s="1257"/>
      <c r="B2694" s="1113"/>
      <c r="C2694" s="1107"/>
      <c r="D2694" s="103"/>
      <c r="E2694" s="1137"/>
      <c r="F2694" s="112"/>
      <c r="G2694" s="1110"/>
      <c r="H2694" s="1138"/>
      <c r="I2694" s="1138"/>
      <c r="J2694" s="1139"/>
      <c r="K2694" s="1111"/>
      <c r="L2694" s="1112"/>
      <c r="M2694" s="1113"/>
      <c r="N2694" s="110"/>
      <c r="O2694" s="1140"/>
      <c r="P2694" s="1115"/>
      <c r="Q2694" s="1116"/>
      <c r="R2694" s="1141"/>
      <c r="S2694" s="1113"/>
      <c r="T2694" s="1143"/>
      <c r="U2694" s="1108"/>
      <c r="V2694" s="1108"/>
      <c r="W2694" s="1108"/>
      <c r="X2694" s="1108"/>
      <c r="Y2694" s="1108"/>
      <c r="Z2694" s="1114"/>
      <c r="AA2694" s="1114"/>
      <c r="AB2694" s="1114"/>
      <c r="AC2694" s="1117"/>
      <c r="AD2694" s="1115"/>
      <c r="AE2694" s="1115"/>
      <c r="AF2694" s="1115"/>
      <c r="AG2694" s="1115"/>
      <c r="AH2694" s="1115"/>
      <c r="AI2694" s="1115"/>
      <c r="AJ2694" s="1117"/>
      <c r="AK2694" s="1118"/>
      <c r="AL2694" s="1115"/>
      <c r="AM2694" s="1115"/>
      <c r="AN2694" s="1115"/>
      <c r="AO2694" s="1115"/>
      <c r="AP2694" s="1115"/>
      <c r="AQ2694" s="1115"/>
      <c r="AR2694" s="1115"/>
      <c r="AS2694" s="1117"/>
      <c r="AT2694" s="1075"/>
      <c r="AU2694" s="1193"/>
      <c r="AV2694" s="330"/>
      <c r="AW2694" s="331"/>
      <c r="AX2694" s="331"/>
      <c r="AY2694" s="331"/>
      <c r="AZ2694" s="331"/>
      <c r="BA2694" s="331"/>
      <c r="BB2694" s="331"/>
      <c r="BC2694" s="331"/>
      <c r="BD2694" s="331"/>
      <c r="BE2694" s="333"/>
      <c r="BF2694" s="330"/>
      <c r="BG2694" s="333"/>
      <c r="BH2694" s="1119"/>
      <c r="BI2694" s="319"/>
      <c r="BJ2694" s="319"/>
      <c r="BK2694" s="319"/>
      <c r="BL2694" s="319"/>
      <c r="BM2694" s="319"/>
      <c r="BN2694" s="319"/>
      <c r="BO2694" s="319"/>
      <c r="BP2694" s="953"/>
      <c r="BQ2694" s="319"/>
      <c r="BR2694" s="319"/>
      <c r="BS2694" s="330"/>
      <c r="BT2694" s="331"/>
      <c r="BU2694" s="920"/>
      <c r="BV2694" s="903"/>
      <c r="BW2694" s="908"/>
      <c r="BX2694" s="908"/>
      <c r="BY2694" s="331"/>
      <c r="BZ2694" s="331"/>
      <c r="CA2694" s="462"/>
      <c r="CB2694" s="319"/>
      <c r="CC2694" s="319"/>
      <c r="CD2694" s="319"/>
      <c r="CE2694" s="319"/>
      <c r="CF2694" s="319"/>
      <c r="CG2694" s="319"/>
      <c r="CH2694" s="318"/>
      <c r="CI2694" s="319"/>
      <c r="CJ2694" s="319"/>
      <c r="CK2694" s="342"/>
      <c r="CL2694" s="333"/>
      <c r="CM2694" s="1079"/>
      <c r="CN2694" s="1005"/>
      <c r="CO2694" s="1005"/>
      <c r="CP2694" s="1005"/>
    </row>
    <row r="2695">
      <c r="A2695" s="1257"/>
      <c r="B2695" s="1113"/>
      <c r="C2695" s="1107"/>
      <c r="D2695" s="103"/>
      <c r="E2695" s="1137"/>
      <c r="F2695" s="112"/>
      <c r="G2695" s="1110"/>
      <c r="H2695" s="1138"/>
      <c r="I2695" s="1138"/>
      <c r="J2695" s="1139"/>
      <c r="K2695" s="1111"/>
      <c r="L2695" s="1112"/>
      <c r="M2695" s="1113"/>
      <c r="N2695" s="110"/>
      <c r="O2695" s="1140"/>
      <c r="P2695" s="1115"/>
      <c r="Q2695" s="1116"/>
      <c r="R2695" s="1141"/>
      <c r="S2695" s="1113"/>
      <c r="T2695" s="1143"/>
      <c r="U2695" s="1108"/>
      <c r="V2695" s="1108"/>
      <c r="W2695" s="1108"/>
      <c r="X2695" s="1108"/>
      <c r="Y2695" s="1108"/>
      <c r="Z2695" s="1114"/>
      <c r="AA2695" s="1114"/>
      <c r="AB2695" s="1114"/>
      <c r="AC2695" s="1117"/>
      <c r="AD2695" s="1115"/>
      <c r="AE2695" s="1115"/>
      <c r="AF2695" s="1115"/>
      <c r="AG2695" s="1115"/>
      <c r="AH2695" s="1115"/>
      <c r="AI2695" s="1115"/>
      <c r="AJ2695" s="1117"/>
      <c r="AK2695" s="1118"/>
      <c r="AL2695" s="1115"/>
      <c r="AM2695" s="1115"/>
      <c r="AN2695" s="1115"/>
      <c r="AO2695" s="1115"/>
      <c r="AP2695" s="1115"/>
      <c r="AQ2695" s="1115"/>
      <c r="AR2695" s="1115"/>
      <c r="AS2695" s="1117"/>
      <c r="AT2695" s="1075"/>
      <c r="AU2695" s="1193"/>
      <c r="AV2695" s="330"/>
      <c r="AW2695" s="331"/>
      <c r="AX2695" s="331"/>
      <c r="AY2695" s="331"/>
      <c r="AZ2695" s="331"/>
      <c r="BA2695" s="331"/>
      <c r="BB2695" s="331"/>
      <c r="BC2695" s="331"/>
      <c r="BD2695" s="331"/>
      <c r="BE2695" s="333"/>
      <c r="BF2695" s="330"/>
      <c r="BG2695" s="333"/>
      <c r="BH2695" s="1119"/>
      <c r="BI2695" s="319"/>
      <c r="BJ2695" s="319"/>
      <c r="BK2695" s="319"/>
      <c r="BL2695" s="319"/>
      <c r="BM2695" s="319"/>
      <c r="BN2695" s="319"/>
      <c r="BO2695" s="319"/>
      <c r="BP2695" s="953"/>
      <c r="BQ2695" s="319"/>
      <c r="BR2695" s="319"/>
      <c r="BS2695" s="330"/>
      <c r="BT2695" s="331"/>
      <c r="BU2695" s="920"/>
      <c r="BV2695" s="903"/>
      <c r="BW2695" s="908"/>
      <c r="BX2695" s="908"/>
      <c r="BY2695" s="331"/>
      <c r="BZ2695" s="331"/>
      <c r="CA2695" s="462"/>
      <c r="CB2695" s="319"/>
      <c r="CC2695" s="319"/>
      <c r="CD2695" s="319"/>
      <c r="CE2695" s="319"/>
      <c r="CF2695" s="319"/>
      <c r="CG2695" s="319"/>
      <c r="CH2695" s="318"/>
      <c r="CI2695" s="319"/>
      <c r="CJ2695" s="319"/>
      <c r="CK2695" s="342"/>
      <c r="CL2695" s="333"/>
      <c r="CM2695" s="1079"/>
      <c r="CN2695" s="1005"/>
      <c r="CO2695" s="1005"/>
      <c r="CP2695" s="1005"/>
    </row>
    <row r="2696">
      <c r="A2696" s="1257"/>
      <c r="B2696" s="1113"/>
      <c r="C2696" s="1107"/>
      <c r="D2696" s="103"/>
      <c r="E2696" s="1137"/>
      <c r="F2696" s="112"/>
      <c r="G2696" s="1110"/>
      <c r="H2696" s="1138"/>
      <c r="I2696" s="1138"/>
      <c r="J2696" s="1139"/>
      <c r="K2696" s="1111"/>
      <c r="L2696" s="1112"/>
      <c r="M2696" s="1113"/>
      <c r="N2696" s="110"/>
      <c r="O2696" s="1140"/>
      <c r="P2696" s="1115"/>
      <c r="Q2696" s="1116"/>
      <c r="R2696" s="1141"/>
      <c r="S2696" s="1113"/>
      <c r="T2696" s="1143"/>
      <c r="U2696" s="1108"/>
      <c r="V2696" s="1108"/>
      <c r="W2696" s="1108"/>
      <c r="X2696" s="1108"/>
      <c r="Y2696" s="1108"/>
      <c r="Z2696" s="1114"/>
      <c r="AA2696" s="1114"/>
      <c r="AB2696" s="1114"/>
      <c r="AC2696" s="1117"/>
      <c r="AD2696" s="1115"/>
      <c r="AE2696" s="1115"/>
      <c r="AF2696" s="1115"/>
      <c r="AG2696" s="1115"/>
      <c r="AH2696" s="1115"/>
      <c r="AI2696" s="1115"/>
      <c r="AJ2696" s="1117"/>
      <c r="AK2696" s="1118"/>
      <c r="AL2696" s="1115"/>
      <c r="AM2696" s="1115"/>
      <c r="AN2696" s="1115"/>
      <c r="AO2696" s="1115"/>
      <c r="AP2696" s="1115"/>
      <c r="AQ2696" s="1115"/>
      <c r="AR2696" s="1115"/>
      <c r="AS2696" s="1117"/>
      <c r="AT2696" s="1075"/>
      <c r="AU2696" s="1193"/>
      <c r="AV2696" s="330"/>
      <c r="AW2696" s="331"/>
      <c r="AX2696" s="331"/>
      <c r="AY2696" s="331"/>
      <c r="AZ2696" s="331"/>
      <c r="BA2696" s="331"/>
      <c r="BB2696" s="331"/>
      <c r="BC2696" s="331"/>
      <c r="BD2696" s="331"/>
      <c r="BE2696" s="333"/>
      <c r="BF2696" s="330"/>
      <c r="BG2696" s="333"/>
      <c r="BH2696" s="1119"/>
      <c r="BI2696" s="319"/>
      <c r="BJ2696" s="319"/>
      <c r="BK2696" s="319"/>
      <c r="BL2696" s="319"/>
      <c r="BM2696" s="319"/>
      <c r="BN2696" s="319"/>
      <c r="BO2696" s="319"/>
      <c r="BP2696" s="953"/>
      <c r="BQ2696" s="319"/>
      <c r="BR2696" s="319"/>
      <c r="BS2696" s="330"/>
      <c r="BT2696" s="331"/>
      <c r="BU2696" s="920"/>
      <c r="BV2696" s="903"/>
      <c r="BW2696" s="908"/>
      <c r="BX2696" s="908"/>
      <c r="BY2696" s="331"/>
      <c r="BZ2696" s="331"/>
      <c r="CA2696" s="462"/>
      <c r="CB2696" s="319"/>
      <c r="CC2696" s="319"/>
      <c r="CD2696" s="319"/>
      <c r="CE2696" s="319"/>
      <c r="CF2696" s="319"/>
      <c r="CG2696" s="319"/>
      <c r="CH2696" s="318"/>
      <c r="CI2696" s="319"/>
      <c r="CJ2696" s="319"/>
      <c r="CK2696" s="342"/>
      <c r="CL2696" s="333"/>
      <c r="CM2696" s="1079"/>
      <c r="CN2696" s="1005"/>
      <c r="CO2696" s="1005"/>
      <c r="CP2696" s="1005"/>
    </row>
    <row r="2697">
      <c r="A2697" s="1257"/>
      <c r="B2697" s="1113"/>
      <c r="C2697" s="1107"/>
      <c r="D2697" s="103"/>
      <c r="E2697" s="1137"/>
      <c r="F2697" s="112"/>
      <c r="G2697" s="1110"/>
      <c r="H2697" s="1138"/>
      <c r="I2697" s="1138"/>
      <c r="J2697" s="1139"/>
      <c r="K2697" s="1111"/>
      <c r="L2697" s="1112"/>
      <c r="M2697" s="1113"/>
      <c r="N2697" s="110"/>
      <c r="O2697" s="1140"/>
      <c r="P2697" s="1115"/>
      <c r="Q2697" s="1116"/>
      <c r="R2697" s="1141"/>
      <c r="S2697" s="1113"/>
      <c r="T2697" s="1143"/>
      <c r="U2697" s="1108"/>
      <c r="V2697" s="1108"/>
      <c r="W2697" s="1108"/>
      <c r="X2697" s="1108"/>
      <c r="Y2697" s="1108"/>
      <c r="Z2697" s="1114"/>
      <c r="AA2697" s="1114"/>
      <c r="AB2697" s="1114"/>
      <c r="AC2697" s="1117"/>
      <c r="AD2697" s="1115"/>
      <c r="AE2697" s="1115"/>
      <c r="AF2697" s="1115"/>
      <c r="AG2697" s="1115"/>
      <c r="AH2697" s="1115"/>
      <c r="AI2697" s="1115"/>
      <c r="AJ2697" s="1117"/>
      <c r="AK2697" s="1118"/>
      <c r="AL2697" s="1115"/>
      <c r="AM2697" s="1115"/>
      <c r="AN2697" s="1115"/>
      <c r="AO2697" s="1115"/>
      <c r="AP2697" s="1115"/>
      <c r="AQ2697" s="1115"/>
      <c r="AR2697" s="1115"/>
      <c r="AS2697" s="1117"/>
      <c r="AT2697" s="1075"/>
      <c r="AU2697" s="1193"/>
      <c r="AV2697" s="330"/>
      <c r="AW2697" s="331"/>
      <c r="AX2697" s="331"/>
      <c r="AY2697" s="331"/>
      <c r="AZ2697" s="331"/>
      <c r="BA2697" s="331"/>
      <c r="BB2697" s="331"/>
      <c r="BC2697" s="331"/>
      <c r="BD2697" s="331"/>
      <c r="BE2697" s="333"/>
      <c r="BF2697" s="330"/>
      <c r="BG2697" s="333"/>
      <c r="BH2697" s="1119"/>
      <c r="BI2697" s="319"/>
      <c r="BJ2697" s="319"/>
      <c r="BK2697" s="319"/>
      <c r="BL2697" s="319"/>
      <c r="BM2697" s="319"/>
      <c r="BN2697" s="319"/>
      <c r="BO2697" s="319"/>
      <c r="BP2697" s="953"/>
      <c r="BQ2697" s="319"/>
      <c r="BR2697" s="319"/>
      <c r="BS2697" s="330"/>
      <c r="BT2697" s="331"/>
      <c r="BU2697" s="920"/>
      <c r="BV2697" s="903"/>
      <c r="BW2697" s="908"/>
      <c r="BX2697" s="908"/>
      <c r="BY2697" s="331"/>
      <c r="BZ2697" s="331"/>
      <c r="CA2697" s="462"/>
      <c r="CB2697" s="319"/>
      <c r="CC2697" s="319"/>
      <c r="CD2697" s="319"/>
      <c r="CE2697" s="319"/>
      <c r="CF2697" s="319"/>
      <c r="CG2697" s="319"/>
      <c r="CH2697" s="318"/>
      <c r="CI2697" s="319"/>
      <c r="CJ2697" s="319"/>
      <c r="CK2697" s="342"/>
      <c r="CL2697" s="333"/>
      <c r="CM2697" s="1079"/>
      <c r="CN2697" s="1005"/>
      <c r="CO2697" s="1005"/>
      <c r="CP2697" s="1005"/>
    </row>
    <row r="2698">
      <c r="A2698" s="1257"/>
      <c r="B2698" s="1113"/>
      <c r="C2698" s="1107"/>
      <c r="D2698" s="103"/>
      <c r="E2698" s="1137"/>
      <c r="F2698" s="112"/>
      <c r="G2698" s="1110"/>
      <c r="H2698" s="1138"/>
      <c r="I2698" s="1138"/>
      <c r="J2698" s="1139"/>
      <c r="K2698" s="1111"/>
      <c r="L2698" s="1112"/>
      <c r="M2698" s="1113"/>
      <c r="N2698" s="110"/>
      <c r="O2698" s="1140"/>
      <c r="P2698" s="1115"/>
      <c r="Q2698" s="1116"/>
      <c r="R2698" s="1141"/>
      <c r="S2698" s="1113"/>
      <c r="T2698" s="1143"/>
      <c r="U2698" s="1108"/>
      <c r="V2698" s="1108"/>
      <c r="W2698" s="1108"/>
      <c r="X2698" s="1108"/>
      <c r="Y2698" s="1108"/>
      <c r="Z2698" s="1114"/>
      <c r="AA2698" s="1114"/>
      <c r="AB2698" s="1114"/>
      <c r="AC2698" s="1117"/>
      <c r="AD2698" s="1115"/>
      <c r="AE2698" s="1115"/>
      <c r="AF2698" s="1115"/>
      <c r="AG2698" s="1115"/>
      <c r="AH2698" s="1115"/>
      <c r="AI2698" s="1115"/>
      <c r="AJ2698" s="1117"/>
      <c r="AK2698" s="1118"/>
      <c r="AL2698" s="1115"/>
      <c r="AM2698" s="1115"/>
      <c r="AN2698" s="1115"/>
      <c r="AO2698" s="1115"/>
      <c r="AP2698" s="1115"/>
      <c r="AQ2698" s="1115"/>
      <c r="AR2698" s="1115"/>
      <c r="AS2698" s="1117"/>
      <c r="AT2698" s="1075"/>
      <c r="AU2698" s="1193"/>
      <c r="AV2698" s="330"/>
      <c r="AW2698" s="331"/>
      <c r="AX2698" s="331"/>
      <c r="AY2698" s="331"/>
      <c r="AZ2698" s="331"/>
      <c r="BA2698" s="331"/>
      <c r="BB2698" s="331"/>
      <c r="BC2698" s="331"/>
      <c r="BD2698" s="331"/>
      <c r="BE2698" s="333"/>
      <c r="BF2698" s="330"/>
      <c r="BG2698" s="333"/>
      <c r="BH2698" s="1119"/>
      <c r="BI2698" s="319"/>
      <c r="BJ2698" s="319"/>
      <c r="BK2698" s="319"/>
      <c r="BL2698" s="319"/>
      <c r="BM2698" s="319"/>
      <c r="BN2698" s="319"/>
      <c r="BO2698" s="319"/>
      <c r="BP2698" s="953"/>
      <c r="BQ2698" s="319"/>
      <c r="BR2698" s="319"/>
      <c r="BS2698" s="330"/>
      <c r="BT2698" s="331"/>
      <c r="BU2698" s="920"/>
      <c r="BV2698" s="903"/>
      <c r="BW2698" s="908"/>
      <c r="BX2698" s="908"/>
      <c r="BY2698" s="331"/>
      <c r="BZ2698" s="331"/>
      <c r="CA2698" s="462"/>
      <c r="CB2698" s="319"/>
      <c r="CC2698" s="319"/>
      <c r="CD2698" s="319"/>
      <c r="CE2698" s="319"/>
      <c r="CF2698" s="319"/>
      <c r="CG2698" s="319"/>
      <c r="CH2698" s="318"/>
      <c r="CI2698" s="319"/>
      <c r="CJ2698" s="319"/>
      <c r="CK2698" s="342"/>
      <c r="CL2698" s="333"/>
      <c r="CM2698" s="1079"/>
      <c r="CN2698" s="1005"/>
      <c r="CO2698" s="1005"/>
      <c r="CP2698" s="1005"/>
    </row>
    <row r="2699">
      <c r="A2699" s="1257"/>
      <c r="B2699" s="1113"/>
      <c r="C2699" s="1107"/>
      <c r="D2699" s="103"/>
      <c r="E2699" s="1137"/>
      <c r="F2699" s="112"/>
      <c r="G2699" s="1110"/>
      <c r="H2699" s="1138"/>
      <c r="I2699" s="1138"/>
      <c r="J2699" s="1139"/>
      <c r="K2699" s="1111"/>
      <c r="L2699" s="1112"/>
      <c r="M2699" s="1113"/>
      <c r="N2699" s="110"/>
      <c r="O2699" s="1140"/>
      <c r="P2699" s="1115"/>
      <c r="Q2699" s="1116"/>
      <c r="R2699" s="1141"/>
      <c r="S2699" s="1113"/>
      <c r="T2699" s="1143"/>
      <c r="U2699" s="1108"/>
      <c r="V2699" s="1108"/>
      <c r="W2699" s="1108"/>
      <c r="X2699" s="1108"/>
      <c r="Y2699" s="1108"/>
      <c r="Z2699" s="1114"/>
      <c r="AA2699" s="1114"/>
      <c r="AB2699" s="1114"/>
      <c r="AC2699" s="1117"/>
      <c r="AD2699" s="1115"/>
      <c r="AE2699" s="1115"/>
      <c r="AF2699" s="1115"/>
      <c r="AG2699" s="1115"/>
      <c r="AH2699" s="1115"/>
      <c r="AI2699" s="1115"/>
      <c r="AJ2699" s="1117"/>
      <c r="AK2699" s="1118"/>
      <c r="AL2699" s="1115"/>
      <c r="AM2699" s="1115"/>
      <c r="AN2699" s="1115"/>
      <c r="AO2699" s="1115"/>
      <c r="AP2699" s="1115"/>
      <c r="AQ2699" s="1115"/>
      <c r="AR2699" s="1115"/>
      <c r="AS2699" s="1117"/>
      <c r="AT2699" s="1075"/>
      <c r="AU2699" s="1193"/>
      <c r="AV2699" s="330"/>
      <c r="AW2699" s="331"/>
      <c r="AX2699" s="331"/>
      <c r="AY2699" s="331"/>
      <c r="AZ2699" s="331"/>
      <c r="BA2699" s="331"/>
      <c r="BB2699" s="331"/>
      <c r="BC2699" s="331"/>
      <c r="BD2699" s="331"/>
      <c r="BE2699" s="333"/>
      <c r="BF2699" s="330"/>
      <c r="BG2699" s="333"/>
      <c r="BH2699" s="1119"/>
      <c r="BI2699" s="319"/>
      <c r="BJ2699" s="319"/>
      <c r="BK2699" s="319"/>
      <c r="BL2699" s="319"/>
      <c r="BM2699" s="319"/>
      <c r="BN2699" s="319"/>
      <c r="BO2699" s="319"/>
      <c r="BP2699" s="953"/>
      <c r="BQ2699" s="319"/>
      <c r="BR2699" s="319"/>
      <c r="BS2699" s="330"/>
      <c r="BT2699" s="331"/>
      <c r="BU2699" s="920"/>
      <c r="BV2699" s="903"/>
      <c r="BW2699" s="908"/>
      <c r="BX2699" s="908"/>
      <c r="BY2699" s="331"/>
      <c r="BZ2699" s="331"/>
      <c r="CA2699" s="462"/>
      <c r="CB2699" s="319"/>
      <c r="CC2699" s="319"/>
      <c r="CD2699" s="319"/>
      <c r="CE2699" s="319"/>
      <c r="CF2699" s="319"/>
      <c r="CG2699" s="319"/>
      <c r="CH2699" s="318"/>
      <c r="CI2699" s="319"/>
      <c r="CJ2699" s="319"/>
      <c r="CK2699" s="342"/>
      <c r="CL2699" s="333"/>
      <c r="CM2699" s="1079"/>
      <c r="CN2699" s="1005"/>
      <c r="CO2699" s="1005"/>
      <c r="CP2699" s="1005"/>
    </row>
    <row r="2700">
      <c r="A2700" s="1257"/>
      <c r="B2700" s="1113"/>
      <c r="C2700" s="1107"/>
      <c r="D2700" s="103"/>
      <c r="E2700" s="1137"/>
      <c r="F2700" s="112"/>
      <c r="G2700" s="1110"/>
      <c r="H2700" s="1138"/>
      <c r="I2700" s="1138"/>
      <c r="J2700" s="1139"/>
      <c r="K2700" s="1111"/>
      <c r="L2700" s="1112"/>
      <c r="M2700" s="1113"/>
      <c r="N2700" s="110"/>
      <c r="O2700" s="1140"/>
      <c r="P2700" s="1115"/>
      <c r="Q2700" s="1116"/>
      <c r="R2700" s="1141"/>
      <c r="S2700" s="1113"/>
      <c r="T2700" s="1143"/>
      <c r="U2700" s="1108"/>
      <c r="V2700" s="1108"/>
      <c r="W2700" s="1108"/>
      <c r="X2700" s="1108"/>
      <c r="Y2700" s="1108"/>
      <c r="Z2700" s="1114"/>
      <c r="AA2700" s="1114"/>
      <c r="AB2700" s="1114"/>
      <c r="AC2700" s="1117"/>
      <c r="AD2700" s="1115"/>
      <c r="AE2700" s="1115"/>
      <c r="AF2700" s="1115"/>
      <c r="AG2700" s="1115"/>
      <c r="AH2700" s="1115"/>
      <c r="AI2700" s="1115"/>
      <c r="AJ2700" s="1117"/>
      <c r="AK2700" s="1118"/>
      <c r="AL2700" s="1115"/>
      <c r="AM2700" s="1115"/>
      <c r="AN2700" s="1115"/>
      <c r="AO2700" s="1115"/>
      <c r="AP2700" s="1115"/>
      <c r="AQ2700" s="1115"/>
      <c r="AR2700" s="1115"/>
      <c r="AS2700" s="1117"/>
      <c r="AT2700" s="1075"/>
      <c r="AU2700" s="1193"/>
      <c r="AV2700" s="330"/>
      <c r="AW2700" s="331"/>
      <c r="AX2700" s="331"/>
      <c r="AY2700" s="331"/>
      <c r="AZ2700" s="331"/>
      <c r="BA2700" s="331"/>
      <c r="BB2700" s="331"/>
      <c r="BC2700" s="331"/>
      <c r="BD2700" s="331"/>
      <c r="BE2700" s="333"/>
      <c r="BF2700" s="330"/>
      <c r="BG2700" s="333"/>
      <c r="BH2700" s="1119"/>
      <c r="BI2700" s="319"/>
      <c r="BJ2700" s="319"/>
      <c r="BK2700" s="319"/>
      <c r="BL2700" s="319"/>
      <c r="BM2700" s="319"/>
      <c r="BN2700" s="319"/>
      <c r="BO2700" s="319"/>
      <c r="BP2700" s="953"/>
      <c r="BQ2700" s="319"/>
      <c r="BR2700" s="319"/>
      <c r="BS2700" s="330"/>
      <c r="BT2700" s="331"/>
      <c r="BU2700" s="920"/>
      <c r="BV2700" s="903"/>
      <c r="BW2700" s="908"/>
      <c r="BX2700" s="908"/>
      <c r="BY2700" s="331"/>
      <c r="BZ2700" s="331"/>
      <c r="CA2700" s="462"/>
      <c r="CB2700" s="319"/>
      <c r="CC2700" s="319"/>
      <c r="CD2700" s="319"/>
      <c r="CE2700" s="319"/>
      <c r="CF2700" s="319"/>
      <c r="CG2700" s="319"/>
      <c r="CH2700" s="318"/>
      <c r="CI2700" s="319"/>
      <c r="CJ2700" s="319"/>
      <c r="CK2700" s="342"/>
      <c r="CL2700" s="333"/>
      <c r="CM2700" s="1079"/>
      <c r="CN2700" s="1005"/>
      <c r="CO2700" s="1005"/>
      <c r="CP2700" s="1005"/>
    </row>
    <row r="2701">
      <c r="A2701" s="1257"/>
      <c r="B2701" s="1113"/>
      <c r="C2701" s="1107"/>
      <c r="D2701" s="103"/>
      <c r="E2701" s="1137"/>
      <c r="F2701" s="112"/>
      <c r="G2701" s="1110"/>
      <c r="H2701" s="1138"/>
      <c r="I2701" s="1138"/>
      <c r="J2701" s="1139"/>
      <c r="K2701" s="1111"/>
      <c r="L2701" s="1112"/>
      <c r="M2701" s="1113"/>
      <c r="N2701" s="110"/>
      <c r="O2701" s="1140"/>
      <c r="P2701" s="1115"/>
      <c r="Q2701" s="1116"/>
      <c r="R2701" s="1141"/>
      <c r="S2701" s="1113"/>
      <c r="T2701" s="1143"/>
      <c r="U2701" s="1108"/>
      <c r="V2701" s="1108"/>
      <c r="W2701" s="1108"/>
      <c r="X2701" s="1108"/>
      <c r="Y2701" s="1108"/>
      <c r="Z2701" s="1114"/>
      <c r="AA2701" s="1114"/>
      <c r="AB2701" s="1114"/>
      <c r="AC2701" s="1117"/>
      <c r="AD2701" s="1115"/>
      <c r="AE2701" s="1115"/>
      <c r="AF2701" s="1115"/>
      <c r="AG2701" s="1115"/>
      <c r="AH2701" s="1115"/>
      <c r="AI2701" s="1115"/>
      <c r="AJ2701" s="1117"/>
      <c r="AK2701" s="1118"/>
      <c r="AL2701" s="1115"/>
      <c r="AM2701" s="1115"/>
      <c r="AN2701" s="1115"/>
      <c r="AO2701" s="1115"/>
      <c r="AP2701" s="1115"/>
      <c r="AQ2701" s="1115"/>
      <c r="AR2701" s="1115"/>
      <c r="AS2701" s="1117"/>
      <c r="AT2701" s="1075"/>
      <c r="AU2701" s="1193"/>
      <c r="AV2701" s="330"/>
      <c r="AW2701" s="331"/>
      <c r="AX2701" s="331"/>
      <c r="AY2701" s="331"/>
      <c r="AZ2701" s="331"/>
      <c r="BA2701" s="331"/>
      <c r="BB2701" s="331"/>
      <c r="BC2701" s="331"/>
      <c r="BD2701" s="331"/>
      <c r="BE2701" s="333"/>
      <c r="BF2701" s="330"/>
      <c r="BG2701" s="333"/>
      <c r="BH2701" s="1119"/>
      <c r="BI2701" s="319"/>
      <c r="BJ2701" s="319"/>
      <c r="BK2701" s="319"/>
      <c r="BL2701" s="319"/>
      <c r="BM2701" s="319"/>
      <c r="BN2701" s="319"/>
      <c r="BO2701" s="319"/>
      <c r="BP2701" s="953"/>
      <c r="BQ2701" s="319"/>
      <c r="BR2701" s="319"/>
      <c r="BS2701" s="330"/>
      <c r="BT2701" s="331"/>
      <c r="BU2701" s="920"/>
      <c r="BV2701" s="903"/>
      <c r="BW2701" s="908"/>
      <c r="BX2701" s="908"/>
      <c r="BY2701" s="331"/>
      <c r="BZ2701" s="331"/>
      <c r="CA2701" s="462"/>
      <c r="CB2701" s="319"/>
      <c r="CC2701" s="319"/>
      <c r="CD2701" s="319"/>
      <c r="CE2701" s="319"/>
      <c r="CF2701" s="319"/>
      <c r="CG2701" s="319"/>
      <c r="CH2701" s="318"/>
      <c r="CI2701" s="319"/>
      <c r="CJ2701" s="319"/>
      <c r="CK2701" s="342"/>
      <c r="CL2701" s="333"/>
      <c r="CM2701" s="1079"/>
      <c r="CN2701" s="1005"/>
      <c r="CO2701" s="1005"/>
      <c r="CP2701" s="1005"/>
    </row>
    <row r="2702">
      <c r="A2702" s="1257"/>
      <c r="B2702" s="1113"/>
      <c r="C2702" s="1107"/>
      <c r="D2702" s="103"/>
      <c r="E2702" s="1137"/>
      <c r="F2702" s="112"/>
      <c r="G2702" s="1110"/>
      <c r="H2702" s="1138"/>
      <c r="I2702" s="1138"/>
      <c r="J2702" s="1139"/>
      <c r="K2702" s="1111"/>
      <c r="L2702" s="1112"/>
      <c r="M2702" s="1113"/>
      <c r="N2702" s="110"/>
      <c r="O2702" s="1140"/>
      <c r="P2702" s="1115"/>
      <c r="Q2702" s="1116"/>
      <c r="R2702" s="1141"/>
      <c r="S2702" s="1113"/>
      <c r="T2702" s="1143"/>
      <c r="U2702" s="1108"/>
      <c r="V2702" s="1108"/>
      <c r="W2702" s="1108"/>
      <c r="X2702" s="1108"/>
      <c r="Y2702" s="1108"/>
      <c r="Z2702" s="1114"/>
      <c r="AA2702" s="1114"/>
      <c r="AB2702" s="1114"/>
      <c r="AC2702" s="1117"/>
      <c r="AD2702" s="1115"/>
      <c r="AE2702" s="1115"/>
      <c r="AF2702" s="1115"/>
      <c r="AG2702" s="1115"/>
      <c r="AH2702" s="1115"/>
      <c r="AI2702" s="1115"/>
      <c r="AJ2702" s="1117"/>
      <c r="AK2702" s="1118"/>
      <c r="AL2702" s="1115"/>
      <c r="AM2702" s="1115"/>
      <c r="AN2702" s="1115"/>
      <c r="AO2702" s="1115"/>
      <c r="AP2702" s="1115"/>
      <c r="AQ2702" s="1115"/>
      <c r="AR2702" s="1115"/>
      <c r="AS2702" s="1117"/>
      <c r="AT2702" s="1075"/>
      <c r="AU2702" s="1193"/>
      <c r="AV2702" s="330"/>
      <c r="AW2702" s="331"/>
      <c r="AX2702" s="331"/>
      <c r="AY2702" s="331"/>
      <c r="AZ2702" s="331"/>
      <c r="BA2702" s="331"/>
      <c r="BB2702" s="331"/>
      <c r="BC2702" s="331"/>
      <c r="BD2702" s="331"/>
      <c r="BE2702" s="333"/>
      <c r="BF2702" s="330"/>
      <c r="BG2702" s="333"/>
      <c r="BH2702" s="1119"/>
      <c r="BI2702" s="319"/>
      <c r="BJ2702" s="319"/>
      <c r="BK2702" s="319"/>
      <c r="BL2702" s="319"/>
      <c r="BM2702" s="319"/>
      <c r="BN2702" s="319"/>
      <c r="BO2702" s="319"/>
      <c r="BP2702" s="953"/>
      <c r="BQ2702" s="319"/>
      <c r="BR2702" s="319"/>
      <c r="BS2702" s="330"/>
      <c r="BT2702" s="331"/>
      <c r="BU2702" s="920"/>
      <c r="BV2702" s="903"/>
      <c r="BW2702" s="908"/>
      <c r="BX2702" s="908"/>
      <c r="BY2702" s="331"/>
      <c r="BZ2702" s="331"/>
      <c r="CA2702" s="462"/>
      <c r="CB2702" s="319"/>
      <c r="CC2702" s="319"/>
      <c r="CD2702" s="319"/>
      <c r="CE2702" s="319"/>
      <c r="CF2702" s="319"/>
      <c r="CG2702" s="319"/>
      <c r="CH2702" s="318"/>
      <c r="CI2702" s="319"/>
      <c r="CJ2702" s="319"/>
      <c r="CK2702" s="342"/>
      <c r="CL2702" s="333"/>
      <c r="CM2702" s="1079"/>
      <c r="CN2702" s="1005"/>
      <c r="CO2702" s="1005"/>
      <c r="CP2702" s="1005"/>
    </row>
    <row r="2703">
      <c r="A2703" s="1257"/>
      <c r="B2703" s="1113"/>
      <c r="C2703" s="1107"/>
      <c r="D2703" s="103"/>
      <c r="E2703" s="1137"/>
      <c r="F2703" s="112"/>
      <c r="G2703" s="1110"/>
      <c r="H2703" s="1138"/>
      <c r="I2703" s="1138"/>
      <c r="J2703" s="1139"/>
      <c r="K2703" s="1111"/>
      <c r="L2703" s="1112"/>
      <c r="M2703" s="1113"/>
      <c r="N2703" s="110"/>
      <c r="O2703" s="1140"/>
      <c r="P2703" s="1115"/>
      <c r="Q2703" s="1116"/>
      <c r="R2703" s="1141"/>
      <c r="S2703" s="1113"/>
      <c r="T2703" s="1143"/>
      <c r="U2703" s="1108"/>
      <c r="V2703" s="1108"/>
      <c r="W2703" s="1108"/>
      <c r="X2703" s="1108"/>
      <c r="Y2703" s="1108"/>
      <c r="Z2703" s="1114"/>
      <c r="AA2703" s="1114"/>
      <c r="AB2703" s="1114"/>
      <c r="AC2703" s="1117"/>
      <c r="AD2703" s="1115"/>
      <c r="AE2703" s="1115"/>
      <c r="AF2703" s="1115"/>
      <c r="AG2703" s="1115"/>
      <c r="AH2703" s="1115"/>
      <c r="AI2703" s="1115"/>
      <c r="AJ2703" s="1117"/>
      <c r="AK2703" s="1118"/>
      <c r="AL2703" s="1115"/>
      <c r="AM2703" s="1115"/>
      <c r="AN2703" s="1115"/>
      <c r="AO2703" s="1115"/>
      <c r="AP2703" s="1115"/>
      <c r="AQ2703" s="1115"/>
      <c r="AR2703" s="1115"/>
      <c r="AS2703" s="1117"/>
      <c r="AT2703" s="1075"/>
      <c r="AU2703" s="1193"/>
      <c r="AV2703" s="330"/>
      <c r="AW2703" s="331"/>
      <c r="AX2703" s="331"/>
      <c r="AY2703" s="331"/>
      <c r="AZ2703" s="331"/>
      <c r="BA2703" s="331"/>
      <c r="BB2703" s="331"/>
      <c r="BC2703" s="331"/>
      <c r="BD2703" s="331"/>
      <c r="BE2703" s="333"/>
      <c r="BF2703" s="330"/>
      <c r="BG2703" s="333"/>
      <c r="BH2703" s="1119"/>
      <c r="BI2703" s="319"/>
      <c r="BJ2703" s="319"/>
      <c r="BK2703" s="319"/>
      <c r="BL2703" s="319"/>
      <c r="BM2703" s="319"/>
      <c r="BN2703" s="319"/>
      <c r="BO2703" s="319"/>
      <c r="BP2703" s="953"/>
      <c r="BQ2703" s="319"/>
      <c r="BR2703" s="319"/>
      <c r="BS2703" s="330"/>
      <c r="BT2703" s="331"/>
      <c r="BU2703" s="920"/>
      <c r="BV2703" s="903"/>
      <c r="BW2703" s="908"/>
      <c r="BX2703" s="908"/>
      <c r="BY2703" s="331"/>
      <c r="BZ2703" s="331"/>
      <c r="CA2703" s="462"/>
      <c r="CB2703" s="319"/>
      <c r="CC2703" s="319"/>
      <c r="CD2703" s="319"/>
      <c r="CE2703" s="319"/>
      <c r="CF2703" s="319"/>
      <c r="CG2703" s="319"/>
      <c r="CH2703" s="318"/>
      <c r="CI2703" s="319"/>
      <c r="CJ2703" s="319"/>
      <c r="CK2703" s="342"/>
      <c r="CL2703" s="333"/>
      <c r="CM2703" s="1079"/>
      <c r="CN2703" s="1005"/>
      <c r="CO2703" s="1005"/>
      <c r="CP2703" s="1005"/>
    </row>
    <row r="2704">
      <c r="A2704" s="1257"/>
      <c r="B2704" s="1113"/>
      <c r="C2704" s="1107"/>
      <c r="D2704" s="103"/>
      <c r="E2704" s="1137"/>
      <c r="F2704" s="112"/>
      <c r="G2704" s="1110"/>
      <c r="H2704" s="1138"/>
      <c r="I2704" s="1138"/>
      <c r="J2704" s="1139"/>
      <c r="K2704" s="1111"/>
      <c r="L2704" s="1112"/>
      <c r="M2704" s="1113"/>
      <c r="N2704" s="110"/>
      <c r="O2704" s="1140"/>
      <c r="P2704" s="1115"/>
      <c r="Q2704" s="1116"/>
      <c r="R2704" s="1141"/>
      <c r="S2704" s="1113"/>
      <c r="T2704" s="1143"/>
      <c r="U2704" s="1108"/>
      <c r="V2704" s="1108"/>
      <c r="W2704" s="1108"/>
      <c r="X2704" s="1108"/>
      <c r="Y2704" s="1108"/>
      <c r="Z2704" s="1114"/>
      <c r="AA2704" s="1114"/>
      <c r="AB2704" s="1114"/>
      <c r="AC2704" s="1117"/>
      <c r="AD2704" s="1115"/>
      <c r="AE2704" s="1115"/>
      <c r="AF2704" s="1115"/>
      <c r="AG2704" s="1115"/>
      <c r="AH2704" s="1115"/>
      <c r="AI2704" s="1115"/>
      <c r="AJ2704" s="1117"/>
      <c r="AK2704" s="1118"/>
      <c r="AL2704" s="1115"/>
      <c r="AM2704" s="1115"/>
      <c r="AN2704" s="1115"/>
      <c r="AO2704" s="1115"/>
      <c r="AP2704" s="1115"/>
      <c r="AQ2704" s="1115"/>
      <c r="AR2704" s="1115"/>
      <c r="AS2704" s="1117"/>
      <c r="AT2704" s="1075"/>
      <c r="AU2704" s="1193"/>
      <c r="AV2704" s="330"/>
      <c r="AW2704" s="331"/>
      <c r="AX2704" s="331"/>
      <c r="AY2704" s="331"/>
      <c r="AZ2704" s="331"/>
      <c r="BA2704" s="331"/>
      <c r="BB2704" s="331"/>
      <c r="BC2704" s="331"/>
      <c r="BD2704" s="331"/>
      <c r="BE2704" s="333"/>
      <c r="BF2704" s="330"/>
      <c r="BG2704" s="333"/>
      <c r="BH2704" s="1119"/>
      <c r="BI2704" s="319"/>
      <c r="BJ2704" s="319"/>
      <c r="BK2704" s="319"/>
      <c r="BL2704" s="319"/>
      <c r="BM2704" s="319"/>
      <c r="BN2704" s="319"/>
      <c r="BO2704" s="319"/>
      <c r="BP2704" s="953"/>
      <c r="BQ2704" s="319"/>
      <c r="BR2704" s="319"/>
      <c r="BS2704" s="330"/>
      <c r="BT2704" s="331"/>
      <c r="BU2704" s="920"/>
      <c r="BV2704" s="903"/>
      <c r="BW2704" s="908"/>
      <c r="BX2704" s="908"/>
      <c r="BY2704" s="331"/>
      <c r="BZ2704" s="331"/>
      <c r="CA2704" s="462"/>
      <c r="CB2704" s="319"/>
      <c r="CC2704" s="319"/>
      <c r="CD2704" s="319"/>
      <c r="CE2704" s="319"/>
      <c r="CF2704" s="319"/>
      <c r="CG2704" s="319"/>
      <c r="CH2704" s="318"/>
      <c r="CI2704" s="319"/>
      <c r="CJ2704" s="319"/>
      <c r="CK2704" s="342"/>
      <c r="CL2704" s="333"/>
      <c r="CM2704" s="1079"/>
      <c r="CN2704" s="1005"/>
      <c r="CO2704" s="1005"/>
      <c r="CP2704" s="1005"/>
    </row>
    <row r="2705">
      <c r="A2705" s="1257"/>
      <c r="B2705" s="1113"/>
      <c r="C2705" s="1107"/>
      <c r="D2705" s="103"/>
      <c r="E2705" s="1137"/>
      <c r="F2705" s="112"/>
      <c r="G2705" s="1110"/>
      <c r="H2705" s="1138"/>
      <c r="I2705" s="1138"/>
      <c r="J2705" s="1139"/>
      <c r="K2705" s="1111"/>
      <c r="L2705" s="1112"/>
      <c r="M2705" s="1113"/>
      <c r="N2705" s="110"/>
      <c r="O2705" s="1140"/>
      <c r="P2705" s="1115"/>
      <c r="Q2705" s="1116"/>
      <c r="R2705" s="1141"/>
      <c r="S2705" s="1113"/>
      <c r="T2705" s="1143"/>
      <c r="U2705" s="1108"/>
      <c r="V2705" s="1108"/>
      <c r="W2705" s="1108"/>
      <c r="X2705" s="1108"/>
      <c r="Y2705" s="1108"/>
      <c r="Z2705" s="1114"/>
      <c r="AA2705" s="1114"/>
      <c r="AB2705" s="1114"/>
      <c r="AC2705" s="1117"/>
      <c r="AD2705" s="1115"/>
      <c r="AE2705" s="1115"/>
      <c r="AF2705" s="1115"/>
      <c r="AG2705" s="1115"/>
      <c r="AH2705" s="1115"/>
      <c r="AI2705" s="1115"/>
      <c r="AJ2705" s="1117"/>
      <c r="AK2705" s="1118"/>
      <c r="AL2705" s="1115"/>
      <c r="AM2705" s="1115"/>
      <c r="AN2705" s="1115"/>
      <c r="AO2705" s="1115"/>
      <c r="AP2705" s="1115"/>
      <c r="AQ2705" s="1115"/>
      <c r="AR2705" s="1115"/>
      <c r="AS2705" s="1117"/>
      <c r="AT2705" s="1075"/>
      <c r="AU2705" s="1193"/>
      <c r="AV2705" s="330"/>
      <c r="AW2705" s="331"/>
      <c r="AX2705" s="331"/>
      <c r="AY2705" s="331"/>
      <c r="AZ2705" s="331"/>
      <c r="BA2705" s="331"/>
      <c r="BB2705" s="331"/>
      <c r="BC2705" s="331"/>
      <c r="BD2705" s="331"/>
      <c r="BE2705" s="333"/>
      <c r="BF2705" s="330"/>
      <c r="BG2705" s="333"/>
      <c r="BH2705" s="1119"/>
      <c r="BI2705" s="319"/>
      <c r="BJ2705" s="319"/>
      <c r="BK2705" s="319"/>
      <c r="BL2705" s="319"/>
      <c r="BM2705" s="319"/>
      <c r="BN2705" s="319"/>
      <c r="BO2705" s="319"/>
      <c r="BP2705" s="953"/>
      <c r="BQ2705" s="319"/>
      <c r="BR2705" s="319"/>
      <c r="BS2705" s="330"/>
      <c r="BT2705" s="331"/>
      <c r="BU2705" s="920"/>
      <c r="BV2705" s="903"/>
      <c r="BW2705" s="908"/>
      <c r="BX2705" s="908"/>
      <c r="BY2705" s="331"/>
      <c r="BZ2705" s="331"/>
      <c r="CA2705" s="462"/>
      <c r="CB2705" s="319"/>
      <c r="CC2705" s="319"/>
      <c r="CD2705" s="319"/>
      <c r="CE2705" s="319"/>
      <c r="CF2705" s="319"/>
      <c r="CG2705" s="319"/>
      <c r="CH2705" s="318"/>
      <c r="CI2705" s="319"/>
      <c r="CJ2705" s="319"/>
      <c r="CK2705" s="342"/>
      <c r="CL2705" s="333"/>
      <c r="CM2705" s="1079"/>
      <c r="CN2705" s="1005"/>
      <c r="CO2705" s="1005"/>
      <c r="CP2705" s="1005"/>
    </row>
    <row r="2706">
      <c r="A2706" s="1257"/>
      <c r="B2706" s="1113"/>
      <c r="C2706" s="1107"/>
      <c r="D2706" s="103"/>
      <c r="E2706" s="1137"/>
      <c r="F2706" s="112"/>
      <c r="G2706" s="1110"/>
      <c r="H2706" s="1138"/>
      <c r="I2706" s="1138"/>
      <c r="J2706" s="1139"/>
      <c r="K2706" s="1111"/>
      <c r="L2706" s="1112"/>
      <c r="M2706" s="1113"/>
      <c r="N2706" s="110"/>
      <c r="O2706" s="1140"/>
      <c r="P2706" s="1115"/>
      <c r="Q2706" s="1116"/>
      <c r="R2706" s="1141"/>
      <c r="S2706" s="1113"/>
      <c r="T2706" s="1143"/>
      <c r="U2706" s="1108"/>
      <c r="V2706" s="1108"/>
      <c r="W2706" s="1108"/>
      <c r="X2706" s="1108"/>
      <c r="Y2706" s="1108"/>
      <c r="Z2706" s="1114"/>
      <c r="AA2706" s="1114"/>
      <c r="AB2706" s="1114"/>
      <c r="AC2706" s="1117"/>
      <c r="AD2706" s="1115"/>
      <c r="AE2706" s="1115"/>
      <c r="AF2706" s="1115"/>
      <c r="AG2706" s="1115"/>
      <c r="AH2706" s="1115"/>
      <c r="AI2706" s="1115"/>
      <c r="AJ2706" s="1117"/>
      <c r="AK2706" s="1118"/>
      <c r="AL2706" s="1115"/>
      <c r="AM2706" s="1115"/>
      <c r="AN2706" s="1115"/>
      <c r="AO2706" s="1115"/>
      <c r="AP2706" s="1115"/>
      <c r="AQ2706" s="1115"/>
      <c r="AR2706" s="1115"/>
      <c r="AS2706" s="1117"/>
      <c r="AT2706" s="1075"/>
      <c r="AU2706" s="1193"/>
      <c r="AV2706" s="330"/>
      <c r="AW2706" s="331"/>
      <c r="AX2706" s="331"/>
      <c r="AY2706" s="331"/>
      <c r="AZ2706" s="331"/>
      <c r="BA2706" s="331"/>
      <c r="BB2706" s="331"/>
      <c r="BC2706" s="331"/>
      <c r="BD2706" s="331"/>
      <c r="BE2706" s="333"/>
      <c r="BF2706" s="330"/>
      <c r="BG2706" s="333"/>
      <c r="BH2706" s="1119"/>
      <c r="BI2706" s="319"/>
      <c r="BJ2706" s="319"/>
      <c r="BK2706" s="319"/>
      <c r="BL2706" s="319"/>
      <c r="BM2706" s="319"/>
      <c r="BN2706" s="319"/>
      <c r="BO2706" s="319"/>
      <c r="BP2706" s="953"/>
      <c r="BQ2706" s="319"/>
      <c r="BR2706" s="319"/>
      <c r="BS2706" s="330"/>
      <c r="BT2706" s="331"/>
      <c r="BU2706" s="920"/>
      <c r="BV2706" s="903"/>
      <c r="BW2706" s="908"/>
      <c r="BX2706" s="908"/>
      <c r="BY2706" s="331"/>
      <c r="BZ2706" s="331"/>
      <c r="CA2706" s="462"/>
      <c r="CB2706" s="319"/>
      <c r="CC2706" s="319"/>
      <c r="CD2706" s="319"/>
      <c r="CE2706" s="319"/>
      <c r="CF2706" s="319"/>
      <c r="CG2706" s="319"/>
      <c r="CH2706" s="318"/>
      <c r="CI2706" s="319"/>
      <c r="CJ2706" s="319"/>
      <c r="CK2706" s="342"/>
      <c r="CL2706" s="333"/>
      <c r="CM2706" s="1079"/>
      <c r="CN2706" s="1005"/>
      <c r="CO2706" s="1005"/>
      <c r="CP2706" s="1005"/>
    </row>
    <row r="2707">
      <c r="A2707" s="1257"/>
      <c r="B2707" s="1113"/>
      <c r="C2707" s="1107"/>
      <c r="D2707" s="103"/>
      <c r="E2707" s="1137"/>
      <c r="F2707" s="112"/>
      <c r="G2707" s="1110"/>
      <c r="H2707" s="1138"/>
      <c r="I2707" s="1138"/>
      <c r="J2707" s="1139"/>
      <c r="K2707" s="1111"/>
      <c r="L2707" s="1112"/>
      <c r="M2707" s="1113"/>
      <c r="N2707" s="110"/>
      <c r="O2707" s="1140"/>
      <c r="P2707" s="1115"/>
      <c r="Q2707" s="1116"/>
      <c r="R2707" s="1141"/>
      <c r="S2707" s="1113"/>
      <c r="T2707" s="1143"/>
      <c r="U2707" s="1108"/>
      <c r="V2707" s="1108"/>
      <c r="W2707" s="1108"/>
      <c r="X2707" s="1108"/>
      <c r="Y2707" s="1108"/>
      <c r="Z2707" s="1114"/>
      <c r="AA2707" s="1114"/>
      <c r="AB2707" s="1114"/>
      <c r="AC2707" s="1117"/>
      <c r="AD2707" s="1115"/>
      <c r="AE2707" s="1115"/>
      <c r="AF2707" s="1115"/>
      <c r="AG2707" s="1115"/>
      <c r="AH2707" s="1115"/>
      <c r="AI2707" s="1115"/>
      <c r="AJ2707" s="1117"/>
      <c r="AK2707" s="1118"/>
      <c r="AL2707" s="1115"/>
      <c r="AM2707" s="1115"/>
      <c r="AN2707" s="1115"/>
      <c r="AO2707" s="1115"/>
      <c r="AP2707" s="1115"/>
      <c r="AQ2707" s="1115"/>
      <c r="AR2707" s="1115"/>
      <c r="AS2707" s="1117"/>
      <c r="AT2707" s="1075"/>
      <c r="AU2707" s="1193"/>
      <c r="AV2707" s="330"/>
      <c r="AW2707" s="331"/>
      <c r="AX2707" s="331"/>
      <c r="AY2707" s="331"/>
      <c r="AZ2707" s="331"/>
      <c r="BA2707" s="331"/>
      <c r="BB2707" s="331"/>
      <c r="BC2707" s="331"/>
      <c r="BD2707" s="331"/>
      <c r="BE2707" s="333"/>
      <c r="BF2707" s="330"/>
      <c r="BG2707" s="333"/>
      <c r="BH2707" s="1119"/>
      <c r="BI2707" s="319"/>
      <c r="BJ2707" s="319"/>
      <c r="BK2707" s="319"/>
      <c r="BL2707" s="319"/>
      <c r="BM2707" s="319"/>
      <c r="BN2707" s="319"/>
      <c r="BO2707" s="319"/>
      <c r="BP2707" s="953"/>
      <c r="BQ2707" s="319"/>
      <c r="BR2707" s="319"/>
      <c r="BS2707" s="330"/>
      <c r="BT2707" s="331"/>
      <c r="BU2707" s="920"/>
      <c r="BV2707" s="903"/>
      <c r="BW2707" s="908"/>
      <c r="BX2707" s="908"/>
      <c r="BY2707" s="331"/>
      <c r="BZ2707" s="331"/>
      <c r="CA2707" s="462"/>
      <c r="CB2707" s="319"/>
      <c r="CC2707" s="319"/>
      <c r="CD2707" s="319"/>
      <c r="CE2707" s="319"/>
      <c r="CF2707" s="319"/>
      <c r="CG2707" s="319"/>
      <c r="CH2707" s="318"/>
      <c r="CI2707" s="319"/>
      <c r="CJ2707" s="319"/>
      <c r="CK2707" s="342"/>
      <c r="CL2707" s="333"/>
      <c r="CM2707" s="1079"/>
      <c r="CN2707" s="1005"/>
      <c r="CO2707" s="1005"/>
      <c r="CP2707" s="1005"/>
    </row>
    <row r="2708">
      <c r="A2708" s="1257"/>
      <c r="B2708" s="1113"/>
      <c r="C2708" s="1107"/>
      <c r="D2708" s="103"/>
      <c r="E2708" s="1137"/>
      <c r="F2708" s="112"/>
      <c r="G2708" s="1110"/>
      <c r="H2708" s="1138"/>
      <c r="I2708" s="1138"/>
      <c r="J2708" s="1139"/>
      <c r="K2708" s="1111"/>
      <c r="L2708" s="1112"/>
      <c r="M2708" s="1113"/>
      <c r="N2708" s="110"/>
      <c r="O2708" s="1140"/>
      <c r="P2708" s="1115"/>
      <c r="Q2708" s="1116"/>
      <c r="R2708" s="1141"/>
      <c r="S2708" s="1113"/>
      <c r="T2708" s="1143"/>
      <c r="U2708" s="1108"/>
      <c r="V2708" s="1108"/>
      <c r="W2708" s="1108"/>
      <c r="X2708" s="1108"/>
      <c r="Y2708" s="1108"/>
      <c r="Z2708" s="1114"/>
      <c r="AA2708" s="1114"/>
      <c r="AB2708" s="1114"/>
      <c r="AC2708" s="1117"/>
      <c r="AD2708" s="1115"/>
      <c r="AE2708" s="1115"/>
      <c r="AF2708" s="1115"/>
      <c r="AG2708" s="1115"/>
      <c r="AH2708" s="1115"/>
      <c r="AI2708" s="1115"/>
      <c r="AJ2708" s="1117"/>
      <c r="AK2708" s="1118"/>
      <c r="AL2708" s="1115"/>
      <c r="AM2708" s="1115"/>
      <c r="AN2708" s="1115"/>
      <c r="AO2708" s="1115"/>
      <c r="AP2708" s="1115"/>
      <c r="AQ2708" s="1115"/>
      <c r="AR2708" s="1115"/>
      <c r="AS2708" s="1117"/>
      <c r="AT2708" s="1075"/>
      <c r="AU2708" s="1193"/>
      <c r="AV2708" s="330"/>
      <c r="AW2708" s="331"/>
      <c r="AX2708" s="331"/>
      <c r="AY2708" s="331"/>
      <c r="AZ2708" s="331"/>
      <c r="BA2708" s="331"/>
      <c r="BB2708" s="331"/>
      <c r="BC2708" s="331"/>
      <c r="BD2708" s="331"/>
      <c r="BE2708" s="333"/>
      <c r="BF2708" s="330"/>
      <c r="BG2708" s="333"/>
      <c r="BH2708" s="1119"/>
      <c r="BI2708" s="319"/>
      <c r="BJ2708" s="319"/>
      <c r="BK2708" s="319"/>
      <c r="BL2708" s="319"/>
      <c r="BM2708" s="319"/>
      <c r="BN2708" s="319"/>
      <c r="BO2708" s="319"/>
      <c r="BP2708" s="953"/>
      <c r="BQ2708" s="319"/>
      <c r="BR2708" s="319"/>
      <c r="BS2708" s="330"/>
      <c r="BT2708" s="331"/>
      <c r="BU2708" s="920"/>
      <c r="BV2708" s="903"/>
      <c r="BW2708" s="908"/>
      <c r="BX2708" s="908"/>
      <c r="BY2708" s="331"/>
      <c r="BZ2708" s="331"/>
      <c r="CA2708" s="462"/>
      <c r="CB2708" s="319"/>
      <c r="CC2708" s="319"/>
      <c r="CD2708" s="319"/>
      <c r="CE2708" s="319"/>
      <c r="CF2708" s="319"/>
      <c r="CG2708" s="319"/>
      <c r="CH2708" s="318"/>
      <c r="CI2708" s="319"/>
      <c r="CJ2708" s="319"/>
      <c r="CK2708" s="342"/>
      <c r="CL2708" s="333"/>
      <c r="CM2708" s="1079"/>
      <c r="CN2708" s="1005"/>
      <c r="CO2708" s="1005"/>
      <c r="CP2708" s="1005"/>
    </row>
    <row r="2709">
      <c r="A2709" s="1257"/>
      <c r="B2709" s="1113"/>
      <c r="C2709" s="1107"/>
      <c r="D2709" s="103"/>
      <c r="E2709" s="1137"/>
      <c r="F2709" s="112"/>
      <c r="G2709" s="1110"/>
      <c r="H2709" s="1138"/>
      <c r="I2709" s="1138"/>
      <c r="J2709" s="1139"/>
      <c r="K2709" s="1111"/>
      <c r="L2709" s="1112"/>
      <c r="M2709" s="1113"/>
      <c r="N2709" s="110"/>
      <c r="O2709" s="1140"/>
      <c r="P2709" s="1115"/>
      <c r="Q2709" s="1116"/>
      <c r="R2709" s="1141"/>
      <c r="S2709" s="1113"/>
      <c r="T2709" s="1143"/>
      <c r="U2709" s="1108"/>
      <c r="V2709" s="1108"/>
      <c r="W2709" s="1108"/>
      <c r="X2709" s="1108"/>
      <c r="Y2709" s="1108"/>
      <c r="Z2709" s="1114"/>
      <c r="AA2709" s="1114"/>
      <c r="AB2709" s="1114"/>
      <c r="AC2709" s="1117"/>
      <c r="AD2709" s="1115"/>
      <c r="AE2709" s="1115"/>
      <c r="AF2709" s="1115"/>
      <c r="AG2709" s="1115"/>
      <c r="AH2709" s="1115"/>
      <c r="AI2709" s="1115"/>
      <c r="AJ2709" s="1117"/>
      <c r="AK2709" s="1118"/>
      <c r="AL2709" s="1115"/>
      <c r="AM2709" s="1115"/>
      <c r="AN2709" s="1115"/>
      <c r="AO2709" s="1115"/>
      <c r="AP2709" s="1115"/>
      <c r="AQ2709" s="1115"/>
      <c r="AR2709" s="1115"/>
      <c r="AS2709" s="1117"/>
      <c r="AT2709" s="1075"/>
      <c r="AU2709" s="1193"/>
      <c r="AV2709" s="330"/>
      <c r="AW2709" s="331"/>
      <c r="AX2709" s="331"/>
      <c r="AY2709" s="331"/>
      <c r="AZ2709" s="331"/>
      <c r="BA2709" s="331"/>
      <c r="BB2709" s="331"/>
      <c r="BC2709" s="331"/>
      <c r="BD2709" s="331"/>
      <c r="BE2709" s="333"/>
      <c r="BF2709" s="330"/>
      <c r="BG2709" s="333"/>
      <c r="BH2709" s="1119"/>
      <c r="BI2709" s="319"/>
      <c r="BJ2709" s="319"/>
      <c r="BK2709" s="319"/>
      <c r="BL2709" s="319"/>
      <c r="BM2709" s="319"/>
      <c r="BN2709" s="319"/>
      <c r="BO2709" s="319"/>
      <c r="BP2709" s="953"/>
      <c r="BQ2709" s="319"/>
      <c r="BR2709" s="319"/>
      <c r="BS2709" s="330"/>
      <c r="BT2709" s="331"/>
      <c r="BU2709" s="920"/>
      <c r="BV2709" s="903"/>
      <c r="BW2709" s="908"/>
      <c r="BX2709" s="908"/>
      <c r="BY2709" s="331"/>
      <c r="BZ2709" s="331"/>
      <c r="CA2709" s="462"/>
      <c r="CB2709" s="319"/>
      <c r="CC2709" s="319"/>
      <c r="CD2709" s="319"/>
      <c r="CE2709" s="319"/>
      <c r="CF2709" s="319"/>
      <c r="CG2709" s="319"/>
      <c r="CH2709" s="318"/>
      <c r="CI2709" s="319"/>
      <c r="CJ2709" s="319"/>
      <c r="CK2709" s="342"/>
      <c r="CL2709" s="333"/>
      <c r="CM2709" s="1079"/>
      <c r="CN2709" s="1005"/>
      <c r="CO2709" s="1005"/>
      <c r="CP2709" s="1005"/>
    </row>
    <row r="2710">
      <c r="A2710" s="1257"/>
      <c r="B2710" s="1113"/>
      <c r="C2710" s="1107"/>
      <c r="D2710" s="103"/>
      <c r="E2710" s="1137"/>
      <c r="F2710" s="112"/>
      <c r="G2710" s="1110"/>
      <c r="H2710" s="1138"/>
      <c r="I2710" s="1138"/>
      <c r="J2710" s="1139"/>
      <c r="K2710" s="1111"/>
      <c r="L2710" s="1112"/>
      <c r="M2710" s="1113"/>
      <c r="N2710" s="110"/>
      <c r="O2710" s="1140"/>
      <c r="P2710" s="1115"/>
      <c r="Q2710" s="1116"/>
      <c r="R2710" s="1141"/>
      <c r="S2710" s="1113"/>
      <c r="T2710" s="1143"/>
      <c r="U2710" s="1108"/>
      <c r="V2710" s="1108"/>
      <c r="W2710" s="1108"/>
      <c r="X2710" s="1108"/>
      <c r="Y2710" s="1108"/>
      <c r="Z2710" s="1114"/>
      <c r="AA2710" s="1114"/>
      <c r="AB2710" s="1114"/>
      <c r="AC2710" s="1117"/>
      <c r="AD2710" s="1115"/>
      <c r="AE2710" s="1115"/>
      <c r="AF2710" s="1115"/>
      <c r="AG2710" s="1115"/>
      <c r="AH2710" s="1115"/>
      <c r="AI2710" s="1115"/>
      <c r="AJ2710" s="1117"/>
      <c r="AK2710" s="1118"/>
      <c r="AL2710" s="1115"/>
      <c r="AM2710" s="1115"/>
      <c r="AN2710" s="1115"/>
      <c r="AO2710" s="1115"/>
      <c r="AP2710" s="1115"/>
      <c r="AQ2710" s="1115"/>
      <c r="AR2710" s="1115"/>
      <c r="AS2710" s="1117"/>
      <c r="AT2710" s="1075"/>
      <c r="AU2710" s="1193"/>
      <c r="AV2710" s="330"/>
      <c r="AW2710" s="331"/>
      <c r="AX2710" s="331"/>
      <c r="AY2710" s="331"/>
      <c r="AZ2710" s="331"/>
      <c r="BA2710" s="331"/>
      <c r="BB2710" s="331"/>
      <c r="BC2710" s="331"/>
      <c r="BD2710" s="331"/>
      <c r="BE2710" s="333"/>
      <c r="BF2710" s="330"/>
      <c r="BG2710" s="333"/>
      <c r="BH2710" s="1119"/>
      <c r="BI2710" s="319"/>
      <c r="BJ2710" s="319"/>
      <c r="BK2710" s="319"/>
      <c r="BL2710" s="319"/>
      <c r="BM2710" s="319"/>
      <c r="BN2710" s="319"/>
      <c r="BO2710" s="319"/>
      <c r="BP2710" s="953"/>
      <c r="BQ2710" s="319"/>
      <c r="BR2710" s="319"/>
      <c r="BS2710" s="330"/>
      <c r="BT2710" s="331"/>
      <c r="BU2710" s="920"/>
      <c r="BV2710" s="903"/>
      <c r="BW2710" s="908"/>
      <c r="BX2710" s="908"/>
      <c r="BY2710" s="331"/>
      <c r="BZ2710" s="331"/>
      <c r="CA2710" s="462"/>
      <c r="CB2710" s="319"/>
      <c r="CC2710" s="319"/>
      <c r="CD2710" s="319"/>
      <c r="CE2710" s="319"/>
      <c r="CF2710" s="319"/>
      <c r="CG2710" s="319"/>
      <c r="CH2710" s="318"/>
      <c r="CI2710" s="319"/>
      <c r="CJ2710" s="319"/>
      <c r="CK2710" s="342"/>
      <c r="CL2710" s="333"/>
      <c r="CM2710" s="1079"/>
      <c r="CN2710" s="1005"/>
      <c r="CO2710" s="1005"/>
      <c r="CP2710" s="1005"/>
    </row>
    <row r="2711">
      <c r="A2711" s="1257"/>
      <c r="B2711" s="1113"/>
      <c r="C2711" s="1107"/>
      <c r="D2711" s="103"/>
      <c r="E2711" s="1137"/>
      <c r="F2711" s="112"/>
      <c r="G2711" s="1110"/>
      <c r="H2711" s="1138"/>
      <c r="I2711" s="1138"/>
      <c r="J2711" s="1139"/>
      <c r="K2711" s="1111"/>
      <c r="L2711" s="1112"/>
      <c r="M2711" s="1113"/>
      <c r="N2711" s="110"/>
      <c r="O2711" s="1140"/>
      <c r="P2711" s="1115"/>
      <c r="Q2711" s="1116"/>
      <c r="R2711" s="1141"/>
      <c r="S2711" s="1113"/>
      <c r="T2711" s="1143"/>
      <c r="U2711" s="1108"/>
      <c r="V2711" s="1108"/>
      <c r="W2711" s="1108"/>
      <c r="X2711" s="1108"/>
      <c r="Y2711" s="1108"/>
      <c r="Z2711" s="1114"/>
      <c r="AA2711" s="1114"/>
      <c r="AB2711" s="1114"/>
      <c r="AC2711" s="1117"/>
      <c r="AD2711" s="1115"/>
      <c r="AE2711" s="1115"/>
      <c r="AF2711" s="1115"/>
      <c r="AG2711" s="1115"/>
      <c r="AH2711" s="1115"/>
      <c r="AI2711" s="1115"/>
      <c r="AJ2711" s="1117"/>
      <c r="AK2711" s="1118"/>
      <c r="AL2711" s="1115"/>
      <c r="AM2711" s="1115"/>
      <c r="AN2711" s="1115"/>
      <c r="AO2711" s="1115"/>
      <c r="AP2711" s="1115"/>
      <c r="AQ2711" s="1115"/>
      <c r="AR2711" s="1115"/>
      <c r="AS2711" s="1117"/>
      <c r="AT2711" s="1075"/>
      <c r="AU2711" s="1193"/>
      <c r="AV2711" s="330"/>
      <c r="AW2711" s="331"/>
      <c r="AX2711" s="331"/>
      <c r="AY2711" s="331"/>
      <c r="AZ2711" s="331"/>
      <c r="BA2711" s="331"/>
      <c r="BB2711" s="331"/>
      <c r="BC2711" s="331"/>
      <c r="BD2711" s="331"/>
      <c r="BE2711" s="333"/>
      <c r="BF2711" s="330"/>
      <c r="BG2711" s="333"/>
      <c r="BH2711" s="1119"/>
      <c r="BI2711" s="319"/>
      <c r="BJ2711" s="319"/>
      <c r="BK2711" s="319"/>
      <c r="BL2711" s="319"/>
      <c r="BM2711" s="319"/>
      <c r="BN2711" s="319"/>
      <c r="BO2711" s="319"/>
      <c r="BP2711" s="953"/>
      <c r="BQ2711" s="319"/>
      <c r="BR2711" s="319"/>
      <c r="BS2711" s="330"/>
      <c r="BT2711" s="331"/>
      <c r="BU2711" s="920"/>
      <c r="BV2711" s="903"/>
      <c r="BW2711" s="908"/>
      <c r="BX2711" s="908"/>
      <c r="BY2711" s="331"/>
      <c r="BZ2711" s="331"/>
      <c r="CA2711" s="462"/>
      <c r="CB2711" s="319"/>
      <c r="CC2711" s="319"/>
      <c r="CD2711" s="319"/>
      <c r="CE2711" s="319"/>
      <c r="CF2711" s="319"/>
      <c r="CG2711" s="319"/>
      <c r="CH2711" s="318"/>
      <c r="CI2711" s="319"/>
      <c r="CJ2711" s="319"/>
      <c r="CK2711" s="342"/>
      <c r="CL2711" s="333"/>
      <c r="CM2711" s="1079"/>
      <c r="CN2711" s="1005"/>
      <c r="CO2711" s="1005"/>
      <c r="CP2711" s="1005"/>
    </row>
    <row r="2712">
      <c r="A2712" s="1257"/>
      <c r="B2712" s="1113"/>
      <c r="C2712" s="1107"/>
      <c r="D2712" s="103"/>
      <c r="E2712" s="1137"/>
      <c r="F2712" s="112"/>
      <c r="G2712" s="1110"/>
      <c r="H2712" s="1138"/>
      <c r="I2712" s="1138"/>
      <c r="J2712" s="1139"/>
      <c r="K2712" s="1111"/>
      <c r="L2712" s="1112"/>
      <c r="M2712" s="1113"/>
      <c r="N2712" s="110"/>
      <c r="O2712" s="1140"/>
      <c r="P2712" s="1115"/>
      <c r="Q2712" s="1116"/>
      <c r="R2712" s="1141"/>
      <c r="S2712" s="1113"/>
      <c r="T2712" s="1143"/>
      <c r="U2712" s="1108"/>
      <c r="V2712" s="1108"/>
      <c r="W2712" s="1108"/>
      <c r="X2712" s="1108"/>
      <c r="Y2712" s="1108"/>
      <c r="Z2712" s="1114"/>
      <c r="AA2712" s="1114"/>
      <c r="AB2712" s="1114"/>
      <c r="AC2712" s="1117"/>
      <c r="AD2712" s="1115"/>
      <c r="AE2712" s="1115"/>
      <c r="AF2712" s="1115"/>
      <c r="AG2712" s="1115"/>
      <c r="AH2712" s="1115"/>
      <c r="AI2712" s="1115"/>
      <c r="AJ2712" s="1117"/>
      <c r="AK2712" s="1118"/>
      <c r="AL2712" s="1115"/>
      <c r="AM2712" s="1115"/>
      <c r="AN2712" s="1115"/>
      <c r="AO2712" s="1115"/>
      <c r="AP2712" s="1115"/>
      <c r="AQ2712" s="1115"/>
      <c r="AR2712" s="1115"/>
      <c r="AS2712" s="1117"/>
      <c r="AT2712" s="1075"/>
      <c r="AU2712" s="1193"/>
      <c r="AV2712" s="330"/>
      <c r="AW2712" s="331"/>
      <c r="AX2712" s="331"/>
      <c r="AY2712" s="331"/>
      <c r="AZ2712" s="331"/>
      <c r="BA2712" s="331"/>
      <c r="BB2712" s="331"/>
      <c r="BC2712" s="331"/>
      <c r="BD2712" s="331"/>
      <c r="BE2712" s="333"/>
      <c r="BF2712" s="330"/>
      <c r="BG2712" s="333"/>
      <c r="BH2712" s="1119"/>
      <c r="BI2712" s="319"/>
      <c r="BJ2712" s="319"/>
      <c r="BK2712" s="319"/>
      <c r="BL2712" s="319"/>
      <c r="BM2712" s="319"/>
      <c r="BN2712" s="319"/>
      <c r="BO2712" s="319"/>
      <c r="BP2712" s="953"/>
      <c r="BQ2712" s="319"/>
      <c r="BR2712" s="319"/>
      <c r="BS2712" s="330"/>
      <c r="BT2712" s="331"/>
      <c r="BU2712" s="920"/>
      <c r="BV2712" s="903"/>
      <c r="BW2712" s="908"/>
      <c r="BX2712" s="908"/>
      <c r="BY2712" s="331"/>
      <c r="BZ2712" s="331"/>
      <c r="CA2712" s="462"/>
      <c r="CB2712" s="319"/>
      <c r="CC2712" s="319"/>
      <c r="CD2712" s="319"/>
      <c r="CE2712" s="319"/>
      <c r="CF2712" s="319"/>
      <c r="CG2712" s="319"/>
      <c r="CH2712" s="318"/>
      <c r="CI2712" s="319"/>
      <c r="CJ2712" s="319"/>
      <c r="CK2712" s="342"/>
      <c r="CL2712" s="333"/>
      <c r="CM2712" s="1079"/>
      <c r="CN2712" s="1005"/>
      <c r="CO2712" s="1005"/>
      <c r="CP2712" s="1005"/>
    </row>
    <row r="2713">
      <c r="A2713" s="1257"/>
      <c r="B2713" s="1113"/>
      <c r="C2713" s="1107"/>
      <c r="D2713" s="103"/>
      <c r="E2713" s="1137"/>
      <c r="F2713" s="112"/>
      <c r="G2713" s="1110"/>
      <c r="H2713" s="1138"/>
      <c r="I2713" s="1138"/>
      <c r="J2713" s="1139"/>
      <c r="K2713" s="1111"/>
      <c r="L2713" s="1112"/>
      <c r="M2713" s="1113"/>
      <c r="N2713" s="110"/>
      <c r="O2713" s="1140"/>
      <c r="P2713" s="1115"/>
      <c r="Q2713" s="1116"/>
      <c r="R2713" s="1141"/>
      <c r="S2713" s="1113"/>
      <c r="T2713" s="1143"/>
      <c r="U2713" s="1108"/>
      <c r="V2713" s="1108"/>
      <c r="W2713" s="1108"/>
      <c r="X2713" s="1108"/>
      <c r="Y2713" s="1108"/>
      <c r="Z2713" s="1114"/>
      <c r="AA2713" s="1114"/>
      <c r="AB2713" s="1114"/>
      <c r="AC2713" s="1117"/>
      <c r="AD2713" s="1115"/>
      <c r="AE2713" s="1115"/>
      <c r="AF2713" s="1115"/>
      <c r="AG2713" s="1115"/>
      <c r="AH2713" s="1115"/>
      <c r="AI2713" s="1115"/>
      <c r="AJ2713" s="1117"/>
      <c r="AK2713" s="1118"/>
      <c r="AL2713" s="1115"/>
      <c r="AM2713" s="1115"/>
      <c r="AN2713" s="1115"/>
      <c r="AO2713" s="1115"/>
      <c r="AP2713" s="1115"/>
      <c r="AQ2713" s="1115"/>
      <c r="AR2713" s="1115"/>
      <c r="AS2713" s="1117"/>
      <c r="AT2713" s="1075"/>
      <c r="AU2713" s="1193"/>
      <c r="AV2713" s="330"/>
      <c r="AW2713" s="331"/>
      <c r="AX2713" s="331"/>
      <c r="AY2713" s="331"/>
      <c r="AZ2713" s="331"/>
      <c r="BA2713" s="331"/>
      <c r="BB2713" s="331"/>
      <c r="BC2713" s="331"/>
      <c r="BD2713" s="331"/>
      <c r="BE2713" s="333"/>
      <c r="BF2713" s="330"/>
      <c r="BG2713" s="333"/>
      <c r="BH2713" s="1119"/>
      <c r="BI2713" s="319"/>
      <c r="BJ2713" s="319"/>
      <c r="BK2713" s="319"/>
      <c r="BL2713" s="319"/>
      <c r="BM2713" s="319"/>
      <c r="BN2713" s="319"/>
      <c r="BO2713" s="319"/>
      <c r="BP2713" s="953"/>
      <c r="BQ2713" s="319"/>
      <c r="BR2713" s="319"/>
      <c r="BS2713" s="330"/>
      <c r="BT2713" s="331"/>
      <c r="BU2713" s="920"/>
      <c r="BV2713" s="903"/>
      <c r="BW2713" s="908"/>
      <c r="BX2713" s="908"/>
      <c r="BY2713" s="331"/>
      <c r="BZ2713" s="331"/>
      <c r="CA2713" s="462"/>
      <c r="CB2713" s="319"/>
      <c r="CC2713" s="319"/>
      <c r="CD2713" s="319"/>
      <c r="CE2713" s="319"/>
      <c r="CF2713" s="319"/>
      <c r="CG2713" s="319"/>
      <c r="CH2713" s="318"/>
      <c r="CI2713" s="319"/>
      <c r="CJ2713" s="319"/>
      <c r="CK2713" s="342"/>
      <c r="CL2713" s="333"/>
      <c r="CM2713" s="1079"/>
      <c r="CN2713" s="1005"/>
      <c r="CO2713" s="1005"/>
      <c r="CP2713" s="1005"/>
    </row>
    <row r="2714">
      <c r="A2714" s="1257"/>
      <c r="B2714" s="1113"/>
      <c r="C2714" s="1107"/>
      <c r="D2714" s="103"/>
      <c r="E2714" s="1137"/>
      <c r="F2714" s="112"/>
      <c r="G2714" s="1110"/>
      <c r="H2714" s="1138"/>
      <c r="I2714" s="1138"/>
      <c r="J2714" s="1139"/>
      <c r="K2714" s="1111"/>
      <c r="L2714" s="1112"/>
      <c r="M2714" s="1113"/>
      <c r="N2714" s="110"/>
      <c r="O2714" s="1140"/>
      <c r="P2714" s="1115"/>
      <c r="Q2714" s="1116"/>
      <c r="R2714" s="1141"/>
      <c r="S2714" s="1113"/>
      <c r="T2714" s="1143"/>
      <c r="U2714" s="1108"/>
      <c r="V2714" s="1108"/>
      <c r="W2714" s="1108"/>
      <c r="X2714" s="1108"/>
      <c r="Y2714" s="1108"/>
      <c r="Z2714" s="1114"/>
      <c r="AA2714" s="1114"/>
      <c r="AB2714" s="1114"/>
      <c r="AC2714" s="1117"/>
      <c r="AD2714" s="1115"/>
      <c r="AE2714" s="1115"/>
      <c r="AF2714" s="1115"/>
      <c r="AG2714" s="1115"/>
      <c r="AH2714" s="1115"/>
      <c r="AI2714" s="1115"/>
      <c r="AJ2714" s="1117"/>
      <c r="AK2714" s="1118"/>
      <c r="AL2714" s="1115"/>
      <c r="AM2714" s="1115"/>
      <c r="AN2714" s="1115"/>
      <c r="AO2714" s="1115"/>
      <c r="AP2714" s="1115"/>
      <c r="AQ2714" s="1115"/>
      <c r="AR2714" s="1115"/>
      <c r="AS2714" s="1117"/>
      <c r="AT2714" s="1075"/>
      <c r="AU2714" s="1193"/>
      <c r="AV2714" s="330"/>
      <c r="AW2714" s="331"/>
      <c r="AX2714" s="331"/>
      <c r="AY2714" s="331"/>
      <c r="AZ2714" s="331"/>
      <c r="BA2714" s="331"/>
      <c r="BB2714" s="331"/>
      <c r="BC2714" s="331"/>
      <c r="BD2714" s="331"/>
      <c r="BE2714" s="333"/>
      <c r="BF2714" s="330"/>
      <c r="BG2714" s="333"/>
      <c r="BH2714" s="1119"/>
      <c r="BI2714" s="319"/>
      <c r="BJ2714" s="319"/>
      <c r="BK2714" s="319"/>
      <c r="BL2714" s="319"/>
      <c r="BM2714" s="319"/>
      <c r="BN2714" s="319"/>
      <c r="BO2714" s="319"/>
      <c r="BP2714" s="953"/>
      <c r="BQ2714" s="319"/>
      <c r="BR2714" s="319"/>
      <c r="BS2714" s="330"/>
      <c r="BT2714" s="331"/>
      <c r="BU2714" s="920"/>
      <c r="BV2714" s="903"/>
      <c r="BW2714" s="908"/>
      <c r="BX2714" s="908"/>
      <c r="BY2714" s="331"/>
      <c r="BZ2714" s="331"/>
      <c r="CA2714" s="462"/>
      <c r="CB2714" s="319"/>
      <c r="CC2714" s="319"/>
      <c r="CD2714" s="319"/>
      <c r="CE2714" s="319"/>
      <c r="CF2714" s="319"/>
      <c r="CG2714" s="319"/>
      <c r="CH2714" s="318"/>
      <c r="CI2714" s="319"/>
      <c r="CJ2714" s="319"/>
      <c r="CK2714" s="342"/>
      <c r="CL2714" s="333"/>
      <c r="CM2714" s="1079"/>
      <c r="CN2714" s="1005"/>
      <c r="CO2714" s="1005"/>
      <c r="CP2714" s="1005"/>
    </row>
    <row r="2715">
      <c r="A2715" s="1257"/>
      <c r="B2715" s="1113"/>
      <c r="C2715" s="1107"/>
      <c r="D2715" s="103"/>
      <c r="E2715" s="1137"/>
      <c r="F2715" s="112"/>
      <c r="G2715" s="1110"/>
      <c r="H2715" s="1138"/>
      <c r="I2715" s="1138"/>
      <c r="J2715" s="1139"/>
      <c r="K2715" s="1111"/>
      <c r="L2715" s="1112"/>
      <c r="M2715" s="1113"/>
      <c r="N2715" s="110"/>
      <c r="O2715" s="1140"/>
      <c r="P2715" s="1115"/>
      <c r="Q2715" s="1116"/>
      <c r="R2715" s="1141"/>
      <c r="S2715" s="1113"/>
      <c r="T2715" s="1143"/>
      <c r="U2715" s="1108"/>
      <c r="V2715" s="1108"/>
      <c r="W2715" s="1108"/>
      <c r="X2715" s="1108"/>
      <c r="Y2715" s="1108"/>
      <c r="Z2715" s="1114"/>
      <c r="AA2715" s="1114"/>
      <c r="AB2715" s="1114"/>
      <c r="AC2715" s="1117"/>
      <c r="AD2715" s="1115"/>
      <c r="AE2715" s="1115"/>
      <c r="AF2715" s="1115"/>
      <c r="AG2715" s="1115"/>
      <c r="AH2715" s="1115"/>
      <c r="AI2715" s="1115"/>
      <c r="AJ2715" s="1117"/>
      <c r="AK2715" s="1118"/>
      <c r="AL2715" s="1115"/>
      <c r="AM2715" s="1115"/>
      <c r="AN2715" s="1115"/>
      <c r="AO2715" s="1115"/>
      <c r="AP2715" s="1115"/>
      <c r="AQ2715" s="1115"/>
      <c r="AR2715" s="1115"/>
      <c r="AS2715" s="1117"/>
      <c r="AT2715" s="1075"/>
      <c r="AU2715" s="1193"/>
      <c r="AV2715" s="330"/>
      <c r="AW2715" s="331"/>
      <c r="AX2715" s="331"/>
      <c r="AY2715" s="331"/>
      <c r="AZ2715" s="331"/>
      <c r="BA2715" s="331"/>
      <c r="BB2715" s="331"/>
      <c r="BC2715" s="331"/>
      <c r="BD2715" s="331"/>
      <c r="BE2715" s="333"/>
      <c r="BF2715" s="330"/>
      <c r="BG2715" s="333"/>
      <c r="BH2715" s="1119"/>
      <c r="BI2715" s="319"/>
      <c r="BJ2715" s="319"/>
      <c r="BK2715" s="319"/>
      <c r="BL2715" s="319"/>
      <c r="BM2715" s="319"/>
      <c r="BN2715" s="319"/>
      <c r="BO2715" s="319"/>
      <c r="BP2715" s="953"/>
      <c r="BQ2715" s="319"/>
      <c r="BR2715" s="319"/>
      <c r="BS2715" s="330"/>
      <c r="BT2715" s="331"/>
      <c r="BU2715" s="920"/>
      <c r="BV2715" s="903"/>
      <c r="BW2715" s="908"/>
      <c r="BX2715" s="908"/>
      <c r="BY2715" s="331"/>
      <c r="BZ2715" s="331"/>
      <c r="CA2715" s="462"/>
      <c r="CB2715" s="319"/>
      <c r="CC2715" s="319"/>
      <c r="CD2715" s="319"/>
      <c r="CE2715" s="319"/>
      <c r="CF2715" s="319"/>
      <c r="CG2715" s="319"/>
      <c r="CH2715" s="318"/>
      <c r="CI2715" s="319"/>
      <c r="CJ2715" s="319"/>
      <c r="CK2715" s="342"/>
      <c r="CL2715" s="333"/>
      <c r="CM2715" s="1079"/>
      <c r="CN2715" s="1005"/>
      <c r="CO2715" s="1005"/>
      <c r="CP2715" s="1005"/>
    </row>
    <row r="2716">
      <c r="A2716" s="1257"/>
      <c r="B2716" s="1113"/>
      <c r="C2716" s="1107"/>
      <c r="D2716" s="103"/>
      <c r="E2716" s="1137"/>
      <c r="F2716" s="112"/>
      <c r="G2716" s="1110"/>
      <c r="H2716" s="1138"/>
      <c r="I2716" s="1138"/>
      <c r="J2716" s="1139"/>
      <c r="K2716" s="1111"/>
      <c r="L2716" s="1112"/>
      <c r="M2716" s="1113"/>
      <c r="N2716" s="110"/>
      <c r="O2716" s="1140"/>
      <c r="P2716" s="1115"/>
      <c r="Q2716" s="1116"/>
      <c r="R2716" s="1141"/>
      <c r="S2716" s="1113"/>
      <c r="T2716" s="1143"/>
      <c r="U2716" s="1108"/>
      <c r="V2716" s="1108"/>
      <c r="W2716" s="1108"/>
      <c r="X2716" s="1108"/>
      <c r="Y2716" s="1108"/>
      <c r="Z2716" s="1114"/>
      <c r="AA2716" s="1114"/>
      <c r="AB2716" s="1114"/>
      <c r="AC2716" s="1117"/>
      <c r="AD2716" s="1115"/>
      <c r="AE2716" s="1115"/>
      <c r="AF2716" s="1115"/>
      <c r="AG2716" s="1115"/>
      <c r="AH2716" s="1115"/>
      <c r="AI2716" s="1115"/>
      <c r="AJ2716" s="1117"/>
      <c r="AK2716" s="1118"/>
      <c r="AL2716" s="1115"/>
      <c r="AM2716" s="1115"/>
      <c r="AN2716" s="1115"/>
      <c r="AO2716" s="1115"/>
      <c r="AP2716" s="1115"/>
      <c r="AQ2716" s="1115"/>
      <c r="AR2716" s="1115"/>
      <c r="AS2716" s="1117"/>
      <c r="AT2716" s="1075"/>
      <c r="AU2716" s="1193"/>
      <c r="AV2716" s="330"/>
      <c r="AW2716" s="331"/>
      <c r="AX2716" s="331"/>
      <c r="AY2716" s="331"/>
      <c r="AZ2716" s="331"/>
      <c r="BA2716" s="331"/>
      <c r="BB2716" s="331"/>
      <c r="BC2716" s="331"/>
      <c r="BD2716" s="331"/>
      <c r="BE2716" s="333"/>
      <c r="BF2716" s="330"/>
      <c r="BG2716" s="333"/>
      <c r="BH2716" s="1119"/>
      <c r="BI2716" s="319"/>
      <c r="BJ2716" s="319"/>
      <c r="BK2716" s="319"/>
      <c r="BL2716" s="319"/>
      <c r="BM2716" s="319"/>
      <c r="BN2716" s="319"/>
      <c r="BO2716" s="319"/>
      <c r="BP2716" s="953"/>
      <c r="BQ2716" s="319"/>
      <c r="BR2716" s="319"/>
      <c r="BS2716" s="330"/>
      <c r="BT2716" s="331"/>
      <c r="BU2716" s="920"/>
      <c r="BV2716" s="903"/>
      <c r="BW2716" s="908"/>
      <c r="BX2716" s="908"/>
      <c r="BY2716" s="331"/>
      <c r="BZ2716" s="331"/>
      <c r="CA2716" s="462"/>
      <c r="CB2716" s="319"/>
      <c r="CC2716" s="319"/>
      <c r="CD2716" s="319"/>
      <c r="CE2716" s="319"/>
      <c r="CF2716" s="319"/>
      <c r="CG2716" s="319"/>
      <c r="CH2716" s="318"/>
      <c r="CI2716" s="319"/>
      <c r="CJ2716" s="319"/>
      <c r="CK2716" s="342"/>
      <c r="CL2716" s="333"/>
      <c r="CM2716" s="1079"/>
      <c r="CN2716" s="1005"/>
      <c r="CO2716" s="1005"/>
      <c r="CP2716" s="1005"/>
    </row>
    <row r="2717">
      <c r="A2717" s="1257"/>
      <c r="B2717" s="1113"/>
      <c r="C2717" s="1107"/>
      <c r="D2717" s="103"/>
      <c r="E2717" s="1137"/>
      <c r="F2717" s="112"/>
      <c r="G2717" s="1110"/>
      <c r="H2717" s="1138"/>
      <c r="I2717" s="1138"/>
      <c r="J2717" s="1139"/>
      <c r="K2717" s="1111"/>
      <c r="L2717" s="1112"/>
      <c r="M2717" s="1113"/>
      <c r="N2717" s="110"/>
      <c r="O2717" s="1140"/>
      <c r="P2717" s="1115"/>
      <c r="Q2717" s="1116"/>
      <c r="R2717" s="1141"/>
      <c r="S2717" s="1113"/>
      <c r="T2717" s="1143"/>
      <c r="U2717" s="1108"/>
      <c r="V2717" s="1108"/>
      <c r="W2717" s="1108"/>
      <c r="X2717" s="1108"/>
      <c r="Y2717" s="1108"/>
      <c r="Z2717" s="1114"/>
      <c r="AA2717" s="1114"/>
      <c r="AB2717" s="1114"/>
      <c r="AC2717" s="1117"/>
      <c r="AD2717" s="1115"/>
      <c r="AE2717" s="1115"/>
      <c r="AF2717" s="1115"/>
      <c r="AG2717" s="1115"/>
      <c r="AH2717" s="1115"/>
      <c r="AI2717" s="1115"/>
      <c r="AJ2717" s="1117"/>
      <c r="AK2717" s="1118"/>
      <c r="AL2717" s="1115"/>
      <c r="AM2717" s="1115"/>
      <c r="AN2717" s="1115"/>
      <c r="AO2717" s="1115"/>
      <c r="AP2717" s="1115"/>
      <c r="AQ2717" s="1115"/>
      <c r="AR2717" s="1115"/>
      <c r="AS2717" s="1117"/>
      <c r="AT2717" s="1075"/>
      <c r="AU2717" s="1193"/>
      <c r="AV2717" s="330"/>
      <c r="AW2717" s="331"/>
      <c r="AX2717" s="331"/>
      <c r="AY2717" s="331"/>
      <c r="AZ2717" s="331"/>
      <c r="BA2717" s="331"/>
      <c r="BB2717" s="331"/>
      <c r="BC2717" s="331"/>
      <c r="BD2717" s="331"/>
      <c r="BE2717" s="333"/>
      <c r="BF2717" s="330"/>
      <c r="BG2717" s="333"/>
      <c r="BH2717" s="1119"/>
      <c r="BI2717" s="319"/>
      <c r="BJ2717" s="319"/>
      <c r="BK2717" s="319"/>
      <c r="BL2717" s="319"/>
      <c r="BM2717" s="319"/>
      <c r="BN2717" s="319"/>
      <c r="BO2717" s="319"/>
      <c r="BP2717" s="953"/>
      <c r="BQ2717" s="319"/>
      <c r="BR2717" s="319"/>
      <c r="BS2717" s="330"/>
      <c r="BT2717" s="331"/>
      <c r="BU2717" s="920"/>
      <c r="BV2717" s="903"/>
      <c r="BW2717" s="908"/>
      <c r="BX2717" s="908"/>
      <c r="BY2717" s="331"/>
      <c r="BZ2717" s="331"/>
      <c r="CA2717" s="462"/>
      <c r="CB2717" s="319"/>
      <c r="CC2717" s="319"/>
      <c r="CD2717" s="319"/>
      <c r="CE2717" s="319"/>
      <c r="CF2717" s="319"/>
      <c r="CG2717" s="319"/>
      <c r="CH2717" s="318"/>
      <c r="CI2717" s="319"/>
      <c r="CJ2717" s="319"/>
      <c r="CK2717" s="342"/>
      <c r="CL2717" s="333"/>
      <c r="CM2717" s="1079"/>
      <c r="CN2717" s="1005"/>
      <c r="CO2717" s="1005"/>
      <c r="CP2717" s="1005"/>
    </row>
    <row r="2718">
      <c r="A2718" s="1257"/>
      <c r="B2718" s="1113"/>
      <c r="C2718" s="1107"/>
      <c r="D2718" s="103"/>
      <c r="E2718" s="1137"/>
      <c r="F2718" s="112"/>
      <c r="G2718" s="1110"/>
      <c r="H2718" s="1138"/>
      <c r="I2718" s="1138"/>
      <c r="J2718" s="1139"/>
      <c r="K2718" s="1111"/>
      <c r="L2718" s="1112"/>
      <c r="M2718" s="1113"/>
      <c r="N2718" s="110"/>
      <c r="O2718" s="1140"/>
      <c r="P2718" s="1115"/>
      <c r="Q2718" s="1116"/>
      <c r="R2718" s="1141"/>
      <c r="S2718" s="1113"/>
      <c r="T2718" s="1143"/>
      <c r="U2718" s="1108"/>
      <c r="V2718" s="1108"/>
      <c r="W2718" s="1108"/>
      <c r="X2718" s="1108"/>
      <c r="Y2718" s="1108"/>
      <c r="Z2718" s="1114"/>
      <c r="AA2718" s="1114"/>
      <c r="AB2718" s="1114"/>
      <c r="AC2718" s="1117"/>
      <c r="AD2718" s="1115"/>
      <c r="AE2718" s="1115"/>
      <c r="AF2718" s="1115"/>
      <c r="AG2718" s="1115"/>
      <c r="AH2718" s="1115"/>
      <c r="AI2718" s="1115"/>
      <c r="AJ2718" s="1117"/>
      <c r="AK2718" s="1118"/>
      <c r="AL2718" s="1115"/>
      <c r="AM2718" s="1115"/>
      <c r="AN2718" s="1115"/>
      <c r="AO2718" s="1115"/>
      <c r="AP2718" s="1115"/>
      <c r="AQ2718" s="1115"/>
      <c r="AR2718" s="1115"/>
      <c r="AS2718" s="1117"/>
      <c r="AT2718" s="1075"/>
      <c r="AU2718" s="1193"/>
      <c r="AV2718" s="330"/>
      <c r="AW2718" s="331"/>
      <c r="AX2718" s="331"/>
      <c r="AY2718" s="331"/>
      <c r="AZ2718" s="331"/>
      <c r="BA2718" s="331"/>
      <c r="BB2718" s="331"/>
      <c r="BC2718" s="331"/>
      <c r="BD2718" s="331"/>
      <c r="BE2718" s="333"/>
      <c r="BF2718" s="330"/>
      <c r="BG2718" s="333"/>
      <c r="BH2718" s="1119"/>
      <c r="BI2718" s="319"/>
      <c r="BJ2718" s="319"/>
      <c r="BK2718" s="319"/>
      <c r="BL2718" s="319"/>
      <c r="BM2718" s="319"/>
      <c r="BN2718" s="319"/>
      <c r="BO2718" s="319"/>
      <c r="BP2718" s="953"/>
      <c r="BQ2718" s="319"/>
      <c r="BR2718" s="319"/>
      <c r="BS2718" s="330"/>
      <c r="BT2718" s="331"/>
      <c r="BU2718" s="920"/>
      <c r="BV2718" s="903"/>
      <c r="BW2718" s="908"/>
      <c r="BX2718" s="908"/>
      <c r="BY2718" s="331"/>
      <c r="BZ2718" s="331"/>
      <c r="CA2718" s="462"/>
      <c r="CB2718" s="319"/>
      <c r="CC2718" s="319"/>
      <c r="CD2718" s="319"/>
      <c r="CE2718" s="319"/>
      <c r="CF2718" s="319"/>
      <c r="CG2718" s="319"/>
      <c r="CH2718" s="318"/>
      <c r="CI2718" s="319"/>
      <c r="CJ2718" s="319"/>
      <c r="CK2718" s="342"/>
      <c r="CL2718" s="333"/>
      <c r="CM2718" s="1079"/>
      <c r="CN2718" s="1005"/>
      <c r="CO2718" s="1005"/>
      <c r="CP2718" s="1005"/>
    </row>
    <row r="2719">
      <c r="A2719" s="1257"/>
      <c r="B2719" s="1113"/>
      <c r="C2719" s="1107"/>
      <c r="D2719" s="103"/>
      <c r="E2719" s="1137"/>
      <c r="F2719" s="112"/>
      <c r="G2719" s="1110"/>
      <c r="H2719" s="1138"/>
      <c r="I2719" s="1138"/>
      <c r="J2719" s="1139"/>
      <c r="K2719" s="1111"/>
      <c r="L2719" s="1112"/>
      <c r="M2719" s="1113"/>
      <c r="N2719" s="110"/>
      <c r="O2719" s="1140"/>
      <c r="P2719" s="1115"/>
      <c r="Q2719" s="1116"/>
      <c r="R2719" s="1141"/>
      <c r="S2719" s="1113"/>
      <c r="T2719" s="1143"/>
      <c r="U2719" s="1108"/>
      <c r="V2719" s="1108"/>
      <c r="W2719" s="1108"/>
      <c r="X2719" s="1108"/>
      <c r="Y2719" s="1108"/>
      <c r="Z2719" s="1114"/>
      <c r="AA2719" s="1114"/>
      <c r="AB2719" s="1114"/>
      <c r="AC2719" s="1117"/>
      <c r="AD2719" s="1115"/>
      <c r="AE2719" s="1115"/>
      <c r="AF2719" s="1115"/>
      <c r="AG2719" s="1115"/>
      <c r="AH2719" s="1115"/>
      <c r="AI2719" s="1115"/>
      <c r="AJ2719" s="1117"/>
      <c r="AK2719" s="1118"/>
      <c r="AL2719" s="1115"/>
      <c r="AM2719" s="1115"/>
      <c r="AN2719" s="1115"/>
      <c r="AO2719" s="1115"/>
      <c r="AP2719" s="1115"/>
      <c r="AQ2719" s="1115"/>
      <c r="AR2719" s="1115"/>
      <c r="AS2719" s="1117"/>
      <c r="AT2719" s="1075"/>
      <c r="AU2719" s="1193"/>
      <c r="AV2719" s="330"/>
      <c r="AW2719" s="331"/>
      <c r="AX2719" s="331"/>
      <c r="AY2719" s="331"/>
      <c r="AZ2719" s="331"/>
      <c r="BA2719" s="331"/>
      <c r="BB2719" s="331"/>
      <c r="BC2719" s="331"/>
      <c r="BD2719" s="331"/>
      <c r="BE2719" s="333"/>
      <c r="BF2719" s="330"/>
      <c r="BG2719" s="333"/>
      <c r="BH2719" s="1119"/>
      <c r="BI2719" s="319"/>
      <c r="BJ2719" s="319"/>
      <c r="BK2719" s="319"/>
      <c r="BL2719" s="319"/>
      <c r="BM2719" s="319"/>
      <c r="BN2719" s="319"/>
      <c r="BO2719" s="319"/>
      <c r="BP2719" s="953"/>
      <c r="BQ2719" s="319"/>
      <c r="BR2719" s="319"/>
      <c r="BS2719" s="330"/>
      <c r="BT2719" s="331"/>
      <c r="BU2719" s="920"/>
      <c r="BV2719" s="903"/>
      <c r="BW2719" s="908"/>
      <c r="BX2719" s="908"/>
      <c r="BY2719" s="331"/>
      <c r="BZ2719" s="331"/>
      <c r="CA2719" s="462"/>
      <c r="CB2719" s="319"/>
      <c r="CC2719" s="319"/>
      <c r="CD2719" s="319"/>
      <c r="CE2719" s="319"/>
      <c r="CF2719" s="319"/>
      <c r="CG2719" s="319"/>
      <c r="CH2719" s="318"/>
      <c r="CI2719" s="319"/>
      <c r="CJ2719" s="319"/>
      <c r="CK2719" s="342"/>
      <c r="CL2719" s="333"/>
      <c r="CM2719" s="1079"/>
      <c r="CN2719" s="1005"/>
      <c r="CO2719" s="1005"/>
      <c r="CP2719" s="1005"/>
    </row>
    <row r="2720">
      <c r="A2720" s="1257"/>
      <c r="B2720" s="1113"/>
      <c r="C2720" s="1107"/>
      <c r="D2720" s="103"/>
      <c r="E2720" s="1137"/>
      <c r="F2720" s="112"/>
      <c r="G2720" s="1110"/>
      <c r="H2720" s="1138"/>
      <c r="I2720" s="1138"/>
      <c r="J2720" s="1139"/>
      <c r="K2720" s="1111"/>
      <c r="L2720" s="1112"/>
      <c r="M2720" s="1113"/>
      <c r="N2720" s="110"/>
      <c r="O2720" s="1140"/>
      <c r="P2720" s="1115"/>
      <c r="Q2720" s="1116"/>
      <c r="R2720" s="1141"/>
      <c r="S2720" s="1113"/>
      <c r="T2720" s="1143"/>
      <c r="U2720" s="1108"/>
      <c r="V2720" s="1108"/>
      <c r="W2720" s="1108"/>
      <c r="X2720" s="1108"/>
      <c r="Y2720" s="1108"/>
      <c r="Z2720" s="1114"/>
      <c r="AA2720" s="1114"/>
      <c r="AB2720" s="1114"/>
      <c r="AC2720" s="1117"/>
      <c r="AD2720" s="1115"/>
      <c r="AE2720" s="1115"/>
      <c r="AF2720" s="1115"/>
      <c r="AG2720" s="1115"/>
      <c r="AH2720" s="1115"/>
      <c r="AI2720" s="1115"/>
      <c r="AJ2720" s="1117"/>
      <c r="AK2720" s="1118"/>
      <c r="AL2720" s="1115"/>
      <c r="AM2720" s="1115"/>
      <c r="AN2720" s="1115"/>
      <c r="AO2720" s="1115"/>
      <c r="AP2720" s="1115"/>
      <c r="AQ2720" s="1115"/>
      <c r="AR2720" s="1115"/>
      <c r="AS2720" s="1117"/>
      <c r="AT2720" s="1075"/>
      <c r="AU2720" s="1193"/>
      <c r="AV2720" s="330"/>
      <c r="AW2720" s="331"/>
      <c r="AX2720" s="331"/>
      <c r="AY2720" s="331"/>
      <c r="AZ2720" s="331"/>
      <c r="BA2720" s="331"/>
      <c r="BB2720" s="331"/>
      <c r="BC2720" s="331"/>
      <c r="BD2720" s="331"/>
      <c r="BE2720" s="333"/>
      <c r="BF2720" s="330"/>
      <c r="BG2720" s="333"/>
      <c r="BH2720" s="1119"/>
      <c r="BI2720" s="319"/>
      <c r="BJ2720" s="319"/>
      <c r="BK2720" s="319"/>
      <c r="BL2720" s="319"/>
      <c r="BM2720" s="319"/>
      <c r="BN2720" s="319"/>
      <c r="BO2720" s="319"/>
      <c r="BP2720" s="953"/>
      <c r="BQ2720" s="319"/>
      <c r="BR2720" s="319"/>
      <c r="BS2720" s="330"/>
      <c r="BT2720" s="331"/>
      <c r="BU2720" s="920"/>
      <c r="BV2720" s="903"/>
      <c r="BW2720" s="908"/>
      <c r="BX2720" s="908"/>
      <c r="BY2720" s="331"/>
      <c r="BZ2720" s="331"/>
      <c r="CA2720" s="462"/>
      <c r="CB2720" s="319"/>
      <c r="CC2720" s="319"/>
      <c r="CD2720" s="319"/>
      <c r="CE2720" s="319"/>
      <c r="CF2720" s="319"/>
      <c r="CG2720" s="319"/>
      <c r="CH2720" s="318"/>
      <c r="CI2720" s="319"/>
      <c r="CJ2720" s="319"/>
      <c r="CK2720" s="342"/>
      <c r="CL2720" s="333"/>
      <c r="CM2720" s="1079"/>
      <c r="CN2720" s="1005"/>
      <c r="CO2720" s="1005"/>
      <c r="CP2720" s="1005"/>
    </row>
    <row r="2721">
      <c r="A2721" s="1257"/>
      <c r="B2721" s="1113"/>
      <c r="C2721" s="1107"/>
      <c r="D2721" s="103"/>
      <c r="E2721" s="1137"/>
      <c r="F2721" s="112"/>
      <c r="G2721" s="1110"/>
      <c r="H2721" s="1138"/>
      <c r="I2721" s="1138"/>
      <c r="J2721" s="1139"/>
      <c r="K2721" s="1111"/>
      <c r="L2721" s="1112"/>
      <c r="M2721" s="1113"/>
      <c r="N2721" s="110"/>
      <c r="O2721" s="1140"/>
      <c r="P2721" s="1115"/>
      <c r="Q2721" s="1116"/>
      <c r="R2721" s="1141"/>
      <c r="S2721" s="1113"/>
      <c r="T2721" s="1143"/>
      <c r="U2721" s="1108"/>
      <c r="V2721" s="1108"/>
      <c r="W2721" s="1108"/>
      <c r="X2721" s="1108"/>
      <c r="Y2721" s="1108"/>
      <c r="Z2721" s="1114"/>
      <c r="AA2721" s="1114"/>
      <c r="AB2721" s="1114"/>
      <c r="AC2721" s="1117"/>
      <c r="AD2721" s="1115"/>
      <c r="AE2721" s="1115"/>
      <c r="AF2721" s="1115"/>
      <c r="AG2721" s="1115"/>
      <c r="AH2721" s="1115"/>
      <c r="AI2721" s="1115"/>
      <c r="AJ2721" s="1117"/>
      <c r="AK2721" s="1118"/>
      <c r="AL2721" s="1115"/>
      <c r="AM2721" s="1115"/>
      <c r="AN2721" s="1115"/>
      <c r="AO2721" s="1115"/>
      <c r="AP2721" s="1115"/>
      <c r="AQ2721" s="1115"/>
      <c r="AR2721" s="1115"/>
      <c r="AS2721" s="1117"/>
      <c r="AT2721" s="1075"/>
      <c r="AU2721" s="1193"/>
      <c r="AV2721" s="330"/>
      <c r="AW2721" s="331"/>
      <c r="AX2721" s="331"/>
      <c r="AY2721" s="331"/>
      <c r="AZ2721" s="331"/>
      <c r="BA2721" s="331"/>
      <c r="BB2721" s="331"/>
      <c r="BC2721" s="331"/>
      <c r="BD2721" s="331"/>
      <c r="BE2721" s="333"/>
      <c r="BF2721" s="330"/>
      <c r="BG2721" s="333"/>
      <c r="BH2721" s="1119"/>
      <c r="BI2721" s="319"/>
      <c r="BJ2721" s="319"/>
      <c r="BK2721" s="319"/>
      <c r="BL2721" s="319"/>
      <c r="BM2721" s="319"/>
      <c r="BN2721" s="319"/>
      <c r="BO2721" s="319"/>
      <c r="BP2721" s="953"/>
      <c r="BQ2721" s="319"/>
      <c r="BR2721" s="319"/>
      <c r="BS2721" s="330"/>
      <c r="BT2721" s="331"/>
      <c r="BU2721" s="920"/>
      <c r="BV2721" s="903"/>
      <c r="BW2721" s="908"/>
      <c r="BX2721" s="908"/>
      <c r="BY2721" s="331"/>
      <c r="BZ2721" s="331"/>
      <c r="CA2721" s="462"/>
      <c r="CB2721" s="319"/>
      <c r="CC2721" s="319"/>
      <c r="CD2721" s="319"/>
      <c r="CE2721" s="319"/>
      <c r="CF2721" s="319"/>
      <c r="CG2721" s="319"/>
      <c r="CH2721" s="318"/>
      <c r="CI2721" s="319"/>
      <c r="CJ2721" s="319"/>
      <c r="CK2721" s="342"/>
      <c r="CL2721" s="333"/>
      <c r="CM2721" s="1079"/>
      <c r="CN2721" s="1005"/>
      <c r="CO2721" s="1005"/>
      <c r="CP2721" s="1005"/>
    </row>
    <row r="2722">
      <c r="A2722" s="1257"/>
      <c r="B2722" s="1113"/>
      <c r="C2722" s="1107"/>
      <c r="D2722" s="103"/>
      <c r="E2722" s="1137"/>
      <c r="F2722" s="112"/>
      <c r="G2722" s="1110"/>
      <c r="H2722" s="1138"/>
      <c r="I2722" s="1138"/>
      <c r="J2722" s="1139"/>
      <c r="K2722" s="1111"/>
      <c r="L2722" s="1112"/>
      <c r="M2722" s="1113"/>
      <c r="N2722" s="110"/>
      <c r="O2722" s="1140"/>
      <c r="P2722" s="1115"/>
      <c r="Q2722" s="1116"/>
      <c r="R2722" s="1141"/>
      <c r="S2722" s="1113"/>
      <c r="T2722" s="1143"/>
      <c r="U2722" s="1108"/>
      <c r="V2722" s="1108"/>
      <c r="W2722" s="1108"/>
      <c r="X2722" s="1108"/>
      <c r="Y2722" s="1108"/>
      <c r="Z2722" s="1114"/>
      <c r="AA2722" s="1114"/>
      <c r="AB2722" s="1114"/>
      <c r="AC2722" s="1117"/>
      <c r="AD2722" s="1115"/>
      <c r="AE2722" s="1115"/>
      <c r="AF2722" s="1115"/>
      <c r="AG2722" s="1115"/>
      <c r="AH2722" s="1115"/>
      <c r="AI2722" s="1115"/>
      <c r="AJ2722" s="1117"/>
      <c r="AK2722" s="1118"/>
      <c r="AL2722" s="1115"/>
      <c r="AM2722" s="1115"/>
      <c r="AN2722" s="1115"/>
      <c r="AO2722" s="1115"/>
      <c r="AP2722" s="1115"/>
      <c r="AQ2722" s="1115"/>
      <c r="AR2722" s="1115"/>
      <c r="AS2722" s="1117"/>
      <c r="AT2722" s="1075"/>
      <c r="AU2722" s="1193"/>
      <c r="AV2722" s="330"/>
      <c r="AW2722" s="331"/>
      <c r="AX2722" s="331"/>
      <c r="AY2722" s="331"/>
      <c r="AZ2722" s="331"/>
      <c r="BA2722" s="331"/>
      <c r="BB2722" s="331"/>
      <c r="BC2722" s="331"/>
      <c r="BD2722" s="331"/>
      <c r="BE2722" s="333"/>
      <c r="BF2722" s="330"/>
      <c r="BG2722" s="333"/>
      <c r="BH2722" s="1119"/>
      <c r="BI2722" s="319"/>
      <c r="BJ2722" s="319"/>
      <c r="BK2722" s="319"/>
      <c r="BL2722" s="319"/>
      <c r="BM2722" s="319"/>
      <c r="BN2722" s="319"/>
      <c r="BO2722" s="319"/>
      <c r="BP2722" s="953"/>
      <c r="BQ2722" s="319"/>
      <c r="BR2722" s="319"/>
      <c r="BS2722" s="330"/>
      <c r="BT2722" s="331"/>
      <c r="BU2722" s="920"/>
      <c r="BV2722" s="903"/>
      <c r="BW2722" s="908"/>
      <c r="BX2722" s="908"/>
      <c r="BY2722" s="331"/>
      <c r="BZ2722" s="331"/>
      <c r="CA2722" s="462"/>
      <c r="CB2722" s="319"/>
      <c r="CC2722" s="319"/>
      <c r="CD2722" s="319"/>
      <c r="CE2722" s="319"/>
      <c r="CF2722" s="319"/>
      <c r="CG2722" s="319"/>
      <c r="CH2722" s="318"/>
      <c r="CI2722" s="319"/>
      <c r="CJ2722" s="319"/>
      <c r="CK2722" s="342"/>
      <c r="CL2722" s="333"/>
      <c r="CM2722" s="1079"/>
      <c r="CN2722" s="1005"/>
      <c r="CO2722" s="1005"/>
      <c r="CP2722" s="1005"/>
    </row>
    <row r="2723">
      <c r="A2723" s="1257"/>
      <c r="B2723" s="1113"/>
      <c r="C2723" s="1107"/>
      <c r="D2723" s="103"/>
      <c r="E2723" s="1137"/>
      <c r="F2723" s="112"/>
      <c r="G2723" s="1110"/>
      <c r="H2723" s="1138"/>
      <c r="I2723" s="1138"/>
      <c r="J2723" s="1139"/>
      <c r="K2723" s="1111"/>
      <c r="L2723" s="1112"/>
      <c r="M2723" s="1113"/>
      <c r="N2723" s="110"/>
      <c r="O2723" s="1140"/>
      <c r="P2723" s="1115"/>
      <c r="Q2723" s="1116"/>
      <c r="R2723" s="1141"/>
      <c r="S2723" s="1113"/>
      <c r="T2723" s="1143"/>
      <c r="U2723" s="1108"/>
      <c r="V2723" s="1108"/>
      <c r="W2723" s="1108"/>
      <c r="X2723" s="1108"/>
      <c r="Y2723" s="1108"/>
      <c r="Z2723" s="1114"/>
      <c r="AA2723" s="1114"/>
      <c r="AB2723" s="1114"/>
      <c r="AC2723" s="1117"/>
      <c r="AD2723" s="1115"/>
      <c r="AE2723" s="1115"/>
      <c r="AF2723" s="1115"/>
      <c r="AG2723" s="1115"/>
      <c r="AH2723" s="1115"/>
      <c r="AI2723" s="1115"/>
      <c r="AJ2723" s="1117"/>
      <c r="AK2723" s="1118"/>
      <c r="AL2723" s="1115"/>
      <c r="AM2723" s="1115"/>
      <c r="AN2723" s="1115"/>
      <c r="AO2723" s="1115"/>
      <c r="AP2723" s="1115"/>
      <c r="AQ2723" s="1115"/>
      <c r="AR2723" s="1115"/>
      <c r="AS2723" s="1117"/>
      <c r="AT2723" s="1075"/>
      <c r="AU2723" s="1193"/>
      <c r="AV2723" s="330"/>
      <c r="AW2723" s="331"/>
      <c r="AX2723" s="331"/>
      <c r="AY2723" s="331"/>
      <c r="AZ2723" s="331"/>
      <c r="BA2723" s="331"/>
      <c r="BB2723" s="331"/>
      <c r="BC2723" s="331"/>
      <c r="BD2723" s="331"/>
      <c r="BE2723" s="333"/>
      <c r="BF2723" s="330"/>
      <c r="BG2723" s="333"/>
      <c r="BH2723" s="1119"/>
      <c r="BI2723" s="319"/>
      <c r="BJ2723" s="319"/>
      <c r="BK2723" s="319"/>
      <c r="BL2723" s="319"/>
      <c r="BM2723" s="319"/>
      <c r="BN2723" s="319"/>
      <c r="BO2723" s="319"/>
      <c r="BP2723" s="953"/>
      <c r="BQ2723" s="319"/>
      <c r="BR2723" s="319"/>
      <c r="BS2723" s="330"/>
      <c r="BT2723" s="331"/>
      <c r="BU2723" s="920"/>
      <c r="BV2723" s="903"/>
      <c r="BW2723" s="908"/>
      <c r="BX2723" s="908"/>
      <c r="BY2723" s="331"/>
      <c r="BZ2723" s="331"/>
      <c r="CA2723" s="462"/>
      <c r="CB2723" s="319"/>
      <c r="CC2723" s="319"/>
      <c r="CD2723" s="319"/>
      <c r="CE2723" s="319"/>
      <c r="CF2723" s="319"/>
      <c r="CG2723" s="319"/>
      <c r="CH2723" s="318"/>
      <c r="CI2723" s="319"/>
      <c r="CJ2723" s="319"/>
      <c r="CK2723" s="342"/>
      <c r="CL2723" s="333"/>
      <c r="CM2723" s="1079"/>
      <c r="CN2723" s="1005"/>
      <c r="CO2723" s="1005"/>
      <c r="CP2723" s="1005"/>
    </row>
    <row r="2724">
      <c r="A2724" s="1257"/>
      <c r="B2724" s="1113"/>
      <c r="C2724" s="1107"/>
      <c r="D2724" s="103"/>
      <c r="E2724" s="1137"/>
      <c r="F2724" s="112"/>
      <c r="G2724" s="1110"/>
      <c r="H2724" s="1138"/>
      <c r="I2724" s="1138"/>
      <c r="J2724" s="1139"/>
      <c r="K2724" s="1111"/>
      <c r="L2724" s="1112"/>
      <c r="M2724" s="1113"/>
      <c r="N2724" s="110"/>
      <c r="O2724" s="1140"/>
      <c r="P2724" s="1115"/>
      <c r="Q2724" s="1116"/>
      <c r="R2724" s="1141"/>
      <c r="S2724" s="1113"/>
      <c r="T2724" s="1143"/>
      <c r="U2724" s="1108"/>
      <c r="V2724" s="1108"/>
      <c r="W2724" s="1108"/>
      <c r="X2724" s="1108"/>
      <c r="Y2724" s="1108"/>
      <c r="Z2724" s="1114"/>
      <c r="AA2724" s="1114"/>
      <c r="AB2724" s="1114"/>
      <c r="AC2724" s="1117"/>
      <c r="AD2724" s="1115"/>
      <c r="AE2724" s="1115"/>
      <c r="AF2724" s="1115"/>
      <c r="AG2724" s="1115"/>
      <c r="AH2724" s="1115"/>
      <c r="AI2724" s="1115"/>
      <c r="AJ2724" s="1117"/>
      <c r="AK2724" s="1118"/>
      <c r="AL2724" s="1115"/>
      <c r="AM2724" s="1115"/>
      <c r="AN2724" s="1115"/>
      <c r="AO2724" s="1115"/>
      <c r="AP2724" s="1115"/>
      <c r="AQ2724" s="1115"/>
      <c r="AR2724" s="1115"/>
      <c r="AS2724" s="1117"/>
      <c r="AT2724" s="1075"/>
      <c r="AU2724" s="1193"/>
      <c r="AV2724" s="330"/>
      <c r="AW2724" s="331"/>
      <c r="AX2724" s="331"/>
      <c r="AY2724" s="331"/>
      <c r="AZ2724" s="331"/>
      <c r="BA2724" s="331"/>
      <c r="BB2724" s="331"/>
      <c r="BC2724" s="331"/>
      <c r="BD2724" s="331"/>
      <c r="BE2724" s="333"/>
      <c r="BF2724" s="330"/>
      <c r="BG2724" s="333"/>
      <c r="BH2724" s="1119"/>
      <c r="BI2724" s="319"/>
      <c r="BJ2724" s="319"/>
      <c r="BK2724" s="319"/>
      <c r="BL2724" s="319"/>
      <c r="BM2724" s="319"/>
      <c r="BN2724" s="319"/>
      <c r="BO2724" s="319"/>
      <c r="BP2724" s="953"/>
      <c r="BQ2724" s="319"/>
      <c r="BR2724" s="319"/>
      <c r="BS2724" s="330"/>
      <c r="BT2724" s="331"/>
      <c r="BU2724" s="920"/>
      <c r="BV2724" s="903"/>
      <c r="BW2724" s="908"/>
      <c r="BX2724" s="908"/>
      <c r="BY2724" s="331"/>
      <c r="BZ2724" s="331"/>
      <c r="CA2724" s="462"/>
      <c r="CB2724" s="319"/>
      <c r="CC2724" s="319"/>
      <c r="CD2724" s="319"/>
      <c r="CE2724" s="319"/>
      <c r="CF2724" s="319"/>
      <c r="CG2724" s="319"/>
      <c r="CH2724" s="318"/>
      <c r="CI2724" s="319"/>
      <c r="CJ2724" s="319"/>
      <c r="CK2724" s="342"/>
      <c r="CL2724" s="333"/>
      <c r="CM2724" s="1079"/>
      <c r="CN2724" s="1005"/>
      <c r="CO2724" s="1005"/>
      <c r="CP2724" s="1005"/>
    </row>
    <row r="2725">
      <c r="A2725" s="1257"/>
      <c r="B2725" s="1113"/>
      <c r="C2725" s="1107"/>
      <c r="D2725" s="103"/>
      <c r="E2725" s="1137"/>
      <c r="F2725" s="112"/>
      <c r="G2725" s="1110"/>
      <c r="H2725" s="1138"/>
      <c r="I2725" s="1138"/>
      <c r="J2725" s="1139"/>
      <c r="K2725" s="1111"/>
      <c r="L2725" s="1112"/>
      <c r="M2725" s="1113"/>
      <c r="N2725" s="110"/>
      <c r="O2725" s="1140"/>
      <c r="P2725" s="1115"/>
      <c r="Q2725" s="1116"/>
      <c r="R2725" s="1141"/>
      <c r="S2725" s="1113"/>
      <c r="T2725" s="1143"/>
      <c r="U2725" s="1108"/>
      <c r="V2725" s="1108"/>
      <c r="W2725" s="1108"/>
      <c r="X2725" s="1108"/>
      <c r="Y2725" s="1108"/>
      <c r="Z2725" s="1114"/>
      <c r="AA2725" s="1114"/>
      <c r="AB2725" s="1114"/>
      <c r="AC2725" s="1117"/>
      <c r="AD2725" s="1115"/>
      <c r="AE2725" s="1115"/>
      <c r="AF2725" s="1115"/>
      <c r="AG2725" s="1115"/>
      <c r="AH2725" s="1115"/>
      <c r="AI2725" s="1115"/>
      <c r="AJ2725" s="1117"/>
      <c r="AK2725" s="1118"/>
      <c r="AL2725" s="1115"/>
      <c r="AM2725" s="1115"/>
      <c r="AN2725" s="1115"/>
      <c r="AO2725" s="1115"/>
      <c r="AP2725" s="1115"/>
      <c r="AQ2725" s="1115"/>
      <c r="AR2725" s="1115"/>
      <c r="AS2725" s="1117"/>
      <c r="AT2725" s="1075"/>
      <c r="AU2725" s="1193"/>
      <c r="AV2725" s="330"/>
      <c r="AW2725" s="331"/>
      <c r="AX2725" s="331"/>
      <c r="AY2725" s="331"/>
      <c r="AZ2725" s="331"/>
      <c r="BA2725" s="331"/>
      <c r="BB2725" s="331"/>
      <c r="BC2725" s="331"/>
      <c r="BD2725" s="331"/>
      <c r="BE2725" s="333"/>
      <c r="BF2725" s="330"/>
      <c r="BG2725" s="333"/>
      <c r="BH2725" s="1119"/>
      <c r="BI2725" s="319"/>
      <c r="BJ2725" s="319"/>
      <c r="BK2725" s="319"/>
      <c r="BL2725" s="319"/>
      <c r="BM2725" s="319"/>
      <c r="BN2725" s="319"/>
      <c r="BO2725" s="319"/>
      <c r="BP2725" s="953"/>
      <c r="BQ2725" s="319"/>
      <c r="BR2725" s="319"/>
      <c r="BS2725" s="330"/>
      <c r="BT2725" s="331"/>
      <c r="BU2725" s="920"/>
      <c r="BV2725" s="903"/>
      <c r="BW2725" s="908"/>
      <c r="BX2725" s="908"/>
      <c r="BY2725" s="331"/>
      <c r="BZ2725" s="331"/>
      <c r="CA2725" s="462"/>
      <c r="CB2725" s="319"/>
      <c r="CC2725" s="319"/>
      <c r="CD2725" s="319"/>
      <c r="CE2725" s="319"/>
      <c r="CF2725" s="319"/>
      <c r="CG2725" s="319"/>
      <c r="CH2725" s="318"/>
      <c r="CI2725" s="319"/>
      <c r="CJ2725" s="319"/>
      <c r="CK2725" s="342"/>
      <c r="CL2725" s="333"/>
      <c r="CM2725" s="1079"/>
      <c r="CN2725" s="1005"/>
      <c r="CO2725" s="1005"/>
      <c r="CP2725" s="1005"/>
    </row>
    <row r="2726">
      <c r="A2726" s="1257"/>
      <c r="B2726" s="1113"/>
      <c r="C2726" s="1107"/>
      <c r="D2726" s="103"/>
      <c r="E2726" s="1137"/>
      <c r="F2726" s="112"/>
      <c r="G2726" s="1110"/>
      <c r="H2726" s="1138"/>
      <c r="I2726" s="1138"/>
      <c r="J2726" s="1139"/>
      <c r="K2726" s="1111"/>
      <c r="L2726" s="1112"/>
      <c r="M2726" s="1113"/>
      <c r="N2726" s="110"/>
      <c r="O2726" s="1140"/>
      <c r="P2726" s="1115"/>
      <c r="Q2726" s="1116"/>
      <c r="R2726" s="1141"/>
      <c r="S2726" s="1113"/>
      <c r="T2726" s="1143"/>
      <c r="U2726" s="1108"/>
      <c r="V2726" s="1108"/>
      <c r="W2726" s="1108"/>
      <c r="X2726" s="1108"/>
      <c r="Y2726" s="1108"/>
      <c r="Z2726" s="1114"/>
      <c r="AA2726" s="1114"/>
      <c r="AB2726" s="1114"/>
      <c r="AC2726" s="1117"/>
      <c r="AD2726" s="1115"/>
      <c r="AE2726" s="1115"/>
      <c r="AF2726" s="1115"/>
      <c r="AG2726" s="1115"/>
      <c r="AH2726" s="1115"/>
      <c r="AI2726" s="1115"/>
      <c r="AJ2726" s="1117"/>
      <c r="AK2726" s="1118"/>
      <c r="AL2726" s="1115"/>
      <c r="AM2726" s="1115"/>
      <c r="AN2726" s="1115"/>
      <c r="AO2726" s="1115"/>
      <c r="AP2726" s="1115"/>
      <c r="AQ2726" s="1115"/>
      <c r="AR2726" s="1115"/>
      <c r="AS2726" s="1117"/>
      <c r="AT2726" s="1075"/>
      <c r="AU2726" s="1193"/>
      <c r="AV2726" s="330"/>
      <c r="AW2726" s="331"/>
      <c r="AX2726" s="331"/>
      <c r="AY2726" s="331"/>
      <c r="AZ2726" s="331"/>
      <c r="BA2726" s="331"/>
      <c r="BB2726" s="331"/>
      <c r="BC2726" s="331"/>
      <c r="BD2726" s="331"/>
      <c r="BE2726" s="333"/>
      <c r="BF2726" s="330"/>
      <c r="BG2726" s="333"/>
      <c r="BH2726" s="1119"/>
      <c r="BI2726" s="319"/>
      <c r="BJ2726" s="319"/>
      <c r="BK2726" s="319"/>
      <c r="BL2726" s="319"/>
      <c r="BM2726" s="319"/>
      <c r="BN2726" s="319"/>
      <c r="BO2726" s="319"/>
      <c r="BP2726" s="953"/>
      <c r="BQ2726" s="319"/>
      <c r="BR2726" s="319"/>
      <c r="BS2726" s="330"/>
      <c r="BT2726" s="331"/>
      <c r="BU2726" s="920"/>
      <c r="BV2726" s="903"/>
      <c r="BW2726" s="908"/>
      <c r="BX2726" s="908"/>
      <c r="BY2726" s="331"/>
      <c r="BZ2726" s="331"/>
      <c r="CA2726" s="462"/>
      <c r="CB2726" s="319"/>
      <c r="CC2726" s="319"/>
      <c r="CD2726" s="319"/>
      <c r="CE2726" s="319"/>
      <c r="CF2726" s="319"/>
      <c r="CG2726" s="319"/>
      <c r="CH2726" s="318"/>
      <c r="CI2726" s="319"/>
      <c r="CJ2726" s="319"/>
      <c r="CK2726" s="342"/>
      <c r="CL2726" s="333"/>
      <c r="CM2726" s="1079"/>
      <c r="CN2726" s="1005"/>
      <c r="CO2726" s="1005"/>
      <c r="CP2726" s="1005"/>
    </row>
    <row r="2727">
      <c r="A2727" s="1257"/>
      <c r="B2727" s="1113"/>
      <c r="C2727" s="1107"/>
      <c r="D2727" s="103"/>
      <c r="E2727" s="1137"/>
      <c r="F2727" s="112"/>
      <c r="G2727" s="1110"/>
      <c r="H2727" s="1138"/>
      <c r="I2727" s="1138"/>
      <c r="J2727" s="1139"/>
      <c r="K2727" s="1111"/>
      <c r="L2727" s="1112"/>
      <c r="M2727" s="1113"/>
      <c r="N2727" s="110"/>
      <c r="O2727" s="1140"/>
      <c r="P2727" s="1115"/>
      <c r="Q2727" s="1116"/>
      <c r="R2727" s="1141"/>
      <c r="S2727" s="1113"/>
      <c r="T2727" s="1143"/>
      <c r="U2727" s="1108"/>
      <c r="V2727" s="1108"/>
      <c r="W2727" s="1108"/>
      <c r="X2727" s="1108"/>
      <c r="Y2727" s="1108"/>
      <c r="Z2727" s="1114"/>
      <c r="AA2727" s="1114"/>
      <c r="AB2727" s="1114"/>
      <c r="AC2727" s="1117"/>
      <c r="AD2727" s="1115"/>
      <c r="AE2727" s="1115"/>
      <c r="AF2727" s="1115"/>
      <c r="AG2727" s="1115"/>
      <c r="AH2727" s="1115"/>
      <c r="AI2727" s="1115"/>
      <c r="AJ2727" s="1117"/>
      <c r="AK2727" s="1118"/>
      <c r="AL2727" s="1115"/>
      <c r="AM2727" s="1115"/>
      <c r="AN2727" s="1115"/>
      <c r="AO2727" s="1115"/>
      <c r="AP2727" s="1115"/>
      <c r="AQ2727" s="1115"/>
      <c r="AR2727" s="1115"/>
      <c r="AS2727" s="1117"/>
      <c r="AT2727" s="1075"/>
      <c r="AU2727" s="1193"/>
      <c r="AV2727" s="330"/>
      <c r="AW2727" s="331"/>
      <c r="AX2727" s="331"/>
      <c r="AY2727" s="331"/>
      <c r="AZ2727" s="331"/>
      <c r="BA2727" s="331"/>
      <c r="BB2727" s="331"/>
      <c r="BC2727" s="331"/>
      <c r="BD2727" s="331"/>
      <c r="BE2727" s="333"/>
      <c r="BF2727" s="330"/>
      <c r="BG2727" s="333"/>
      <c r="BH2727" s="1119"/>
      <c r="BI2727" s="319"/>
      <c r="BJ2727" s="319"/>
      <c r="BK2727" s="319"/>
      <c r="BL2727" s="319"/>
      <c r="BM2727" s="319"/>
      <c r="BN2727" s="319"/>
      <c r="BO2727" s="319"/>
      <c r="BP2727" s="953"/>
      <c r="BQ2727" s="319"/>
      <c r="BR2727" s="319"/>
      <c r="BS2727" s="330"/>
      <c r="BT2727" s="331"/>
      <c r="BU2727" s="920"/>
      <c r="BV2727" s="903"/>
      <c r="BW2727" s="908"/>
      <c r="BX2727" s="908"/>
      <c r="BY2727" s="331"/>
      <c r="BZ2727" s="331"/>
      <c r="CA2727" s="462"/>
      <c r="CB2727" s="319"/>
      <c r="CC2727" s="319"/>
      <c r="CD2727" s="319"/>
      <c r="CE2727" s="319"/>
      <c r="CF2727" s="319"/>
      <c r="CG2727" s="319"/>
      <c r="CH2727" s="318"/>
      <c r="CI2727" s="319"/>
      <c r="CJ2727" s="319"/>
      <c r="CK2727" s="342"/>
      <c r="CL2727" s="333"/>
      <c r="CM2727" s="1079"/>
      <c r="CN2727" s="1005"/>
      <c r="CO2727" s="1005"/>
      <c r="CP2727" s="1005"/>
    </row>
    <row r="2728">
      <c r="A2728" s="1257"/>
      <c r="B2728" s="1113"/>
      <c r="C2728" s="1107"/>
      <c r="D2728" s="103"/>
      <c r="E2728" s="1137"/>
      <c r="F2728" s="112"/>
      <c r="G2728" s="1110"/>
      <c r="H2728" s="1138"/>
      <c r="I2728" s="1138"/>
      <c r="J2728" s="1139"/>
      <c r="K2728" s="1111"/>
      <c r="L2728" s="1112"/>
      <c r="M2728" s="1113"/>
      <c r="N2728" s="110"/>
      <c r="O2728" s="1140"/>
      <c r="P2728" s="1115"/>
      <c r="Q2728" s="1116"/>
      <c r="R2728" s="1141"/>
      <c r="S2728" s="1113"/>
      <c r="T2728" s="1143"/>
      <c r="U2728" s="1108"/>
      <c r="V2728" s="1108"/>
      <c r="W2728" s="1108"/>
      <c r="X2728" s="1108"/>
      <c r="Y2728" s="1108"/>
      <c r="Z2728" s="1114"/>
      <c r="AA2728" s="1114"/>
      <c r="AB2728" s="1114"/>
      <c r="AC2728" s="1117"/>
      <c r="AD2728" s="1115"/>
      <c r="AE2728" s="1115"/>
      <c r="AF2728" s="1115"/>
      <c r="AG2728" s="1115"/>
      <c r="AH2728" s="1115"/>
      <c r="AI2728" s="1115"/>
      <c r="AJ2728" s="1117"/>
      <c r="AK2728" s="1118"/>
      <c r="AL2728" s="1115"/>
      <c r="AM2728" s="1115"/>
      <c r="AN2728" s="1115"/>
      <c r="AO2728" s="1115"/>
      <c r="AP2728" s="1115"/>
      <c r="AQ2728" s="1115"/>
      <c r="AR2728" s="1115"/>
      <c r="AS2728" s="1117"/>
      <c r="AT2728" s="1075"/>
      <c r="AU2728" s="1193"/>
      <c r="AV2728" s="330"/>
      <c r="AW2728" s="331"/>
      <c r="AX2728" s="331"/>
      <c r="AY2728" s="331"/>
      <c r="AZ2728" s="331"/>
      <c r="BA2728" s="331"/>
      <c r="BB2728" s="331"/>
      <c r="BC2728" s="331"/>
      <c r="BD2728" s="331"/>
      <c r="BE2728" s="333"/>
      <c r="BF2728" s="330"/>
      <c r="BG2728" s="333"/>
      <c r="BH2728" s="1119"/>
      <c r="BI2728" s="319"/>
      <c r="BJ2728" s="319"/>
      <c r="BK2728" s="319"/>
      <c r="BL2728" s="319"/>
      <c r="BM2728" s="319"/>
      <c r="BN2728" s="319"/>
      <c r="BO2728" s="319"/>
      <c r="BP2728" s="953"/>
      <c r="BQ2728" s="319"/>
      <c r="BR2728" s="319"/>
      <c r="BS2728" s="330"/>
      <c r="BT2728" s="331"/>
      <c r="BU2728" s="920"/>
      <c r="BV2728" s="903"/>
      <c r="BW2728" s="908"/>
      <c r="BX2728" s="908"/>
      <c r="BY2728" s="331"/>
      <c r="BZ2728" s="331"/>
      <c r="CA2728" s="462"/>
      <c r="CB2728" s="319"/>
      <c r="CC2728" s="319"/>
      <c r="CD2728" s="319"/>
      <c r="CE2728" s="319"/>
      <c r="CF2728" s="319"/>
      <c r="CG2728" s="319"/>
      <c r="CH2728" s="318"/>
      <c r="CI2728" s="319"/>
      <c r="CJ2728" s="319"/>
      <c r="CK2728" s="342"/>
      <c r="CL2728" s="333"/>
      <c r="CM2728" s="1079"/>
      <c r="CN2728" s="1005"/>
      <c r="CO2728" s="1005"/>
      <c r="CP2728" s="1005"/>
    </row>
    <row r="2729">
      <c r="A2729" s="1257"/>
      <c r="B2729" s="1113"/>
      <c r="C2729" s="1107"/>
      <c r="D2729" s="103"/>
      <c r="E2729" s="1137"/>
      <c r="F2729" s="112"/>
      <c r="G2729" s="1110"/>
      <c r="H2729" s="1138"/>
      <c r="I2729" s="1138"/>
      <c r="J2729" s="1139"/>
      <c r="K2729" s="1111"/>
      <c r="L2729" s="1112"/>
      <c r="M2729" s="1113"/>
      <c r="N2729" s="110"/>
      <c r="O2729" s="1140"/>
      <c r="P2729" s="1115"/>
      <c r="Q2729" s="1116"/>
      <c r="R2729" s="1141"/>
      <c r="S2729" s="1113"/>
      <c r="T2729" s="1143"/>
      <c r="U2729" s="1108"/>
      <c r="V2729" s="1108"/>
      <c r="W2729" s="1108"/>
      <c r="X2729" s="1108"/>
      <c r="Y2729" s="1108"/>
      <c r="Z2729" s="1114"/>
      <c r="AA2729" s="1114"/>
      <c r="AB2729" s="1114"/>
      <c r="AC2729" s="1117"/>
      <c r="AD2729" s="1115"/>
      <c r="AE2729" s="1115"/>
      <c r="AF2729" s="1115"/>
      <c r="AG2729" s="1115"/>
      <c r="AH2729" s="1115"/>
      <c r="AI2729" s="1115"/>
      <c r="AJ2729" s="1117"/>
      <c r="AK2729" s="1118"/>
      <c r="AL2729" s="1115"/>
      <c r="AM2729" s="1115"/>
      <c r="AN2729" s="1115"/>
      <c r="AO2729" s="1115"/>
      <c r="AP2729" s="1115"/>
      <c r="AQ2729" s="1115"/>
      <c r="AR2729" s="1115"/>
      <c r="AS2729" s="1117"/>
      <c r="AT2729" s="1075"/>
      <c r="AU2729" s="1193"/>
      <c r="AV2729" s="330"/>
      <c r="AW2729" s="331"/>
      <c r="AX2729" s="331"/>
      <c r="AY2729" s="331"/>
      <c r="AZ2729" s="331"/>
      <c r="BA2729" s="331"/>
      <c r="BB2729" s="331"/>
      <c r="BC2729" s="331"/>
      <c r="BD2729" s="331"/>
      <c r="BE2729" s="333"/>
      <c r="BF2729" s="330"/>
      <c r="BG2729" s="333"/>
      <c r="BH2729" s="1119"/>
      <c r="BI2729" s="319"/>
      <c r="BJ2729" s="319"/>
      <c r="BK2729" s="319"/>
      <c r="BL2729" s="319"/>
      <c r="BM2729" s="319"/>
      <c r="BN2729" s="319"/>
      <c r="BO2729" s="319"/>
      <c r="BP2729" s="953"/>
      <c r="BQ2729" s="319"/>
      <c r="BR2729" s="319"/>
      <c r="BS2729" s="330"/>
      <c r="BT2729" s="331"/>
      <c r="BU2729" s="920"/>
      <c r="BV2729" s="903"/>
      <c r="BW2729" s="908"/>
      <c r="BX2729" s="908"/>
      <c r="BY2729" s="331"/>
      <c r="BZ2729" s="331"/>
      <c r="CA2729" s="462"/>
      <c r="CB2729" s="319"/>
      <c r="CC2729" s="319"/>
      <c r="CD2729" s="319"/>
      <c r="CE2729" s="319"/>
      <c r="CF2729" s="319"/>
      <c r="CG2729" s="319"/>
      <c r="CH2729" s="318"/>
      <c r="CI2729" s="319"/>
      <c r="CJ2729" s="319"/>
      <c r="CK2729" s="342"/>
      <c r="CL2729" s="333"/>
      <c r="CM2729" s="1079"/>
      <c r="CN2729" s="1005"/>
      <c r="CO2729" s="1005"/>
      <c r="CP2729" s="1005"/>
    </row>
    <row r="2730">
      <c r="A2730" s="1257"/>
      <c r="B2730" s="1113"/>
      <c r="C2730" s="1107"/>
      <c r="D2730" s="103"/>
      <c r="E2730" s="1137"/>
      <c r="F2730" s="112"/>
      <c r="G2730" s="1110"/>
      <c r="H2730" s="1138"/>
      <c r="I2730" s="1138"/>
      <c r="J2730" s="1139"/>
      <c r="K2730" s="1111"/>
      <c r="L2730" s="1112"/>
      <c r="M2730" s="1113"/>
      <c r="N2730" s="110"/>
      <c r="O2730" s="1140"/>
      <c r="P2730" s="1115"/>
      <c r="Q2730" s="1116"/>
      <c r="R2730" s="1141"/>
      <c r="S2730" s="1113"/>
      <c r="T2730" s="1143"/>
      <c r="U2730" s="1108"/>
      <c r="V2730" s="1108"/>
      <c r="W2730" s="1108"/>
      <c r="X2730" s="1108"/>
      <c r="Y2730" s="1108"/>
      <c r="Z2730" s="1114"/>
      <c r="AA2730" s="1114"/>
      <c r="AB2730" s="1114"/>
      <c r="AC2730" s="1117"/>
      <c r="AD2730" s="1115"/>
      <c r="AE2730" s="1115"/>
      <c r="AF2730" s="1115"/>
      <c r="AG2730" s="1115"/>
      <c r="AH2730" s="1115"/>
      <c r="AI2730" s="1115"/>
      <c r="AJ2730" s="1117"/>
      <c r="AK2730" s="1118"/>
      <c r="AL2730" s="1115"/>
      <c r="AM2730" s="1115"/>
      <c r="AN2730" s="1115"/>
      <c r="AO2730" s="1115"/>
      <c r="AP2730" s="1115"/>
      <c r="AQ2730" s="1115"/>
      <c r="AR2730" s="1115"/>
      <c r="AS2730" s="1117"/>
      <c r="AT2730" s="1075"/>
      <c r="AU2730" s="1193"/>
      <c r="AV2730" s="330"/>
      <c r="AW2730" s="331"/>
      <c r="AX2730" s="331"/>
      <c r="AY2730" s="331"/>
      <c r="AZ2730" s="331"/>
      <c r="BA2730" s="331"/>
      <c r="BB2730" s="331"/>
      <c r="BC2730" s="331"/>
      <c r="BD2730" s="331"/>
      <c r="BE2730" s="333"/>
      <c r="BF2730" s="330"/>
      <c r="BG2730" s="333"/>
      <c r="BH2730" s="1119"/>
      <c r="BI2730" s="319"/>
      <c r="BJ2730" s="319"/>
      <c r="BK2730" s="319"/>
      <c r="BL2730" s="319"/>
      <c r="BM2730" s="319"/>
      <c r="BN2730" s="319"/>
      <c r="BO2730" s="319"/>
      <c r="BP2730" s="953"/>
      <c r="BQ2730" s="319"/>
      <c r="BR2730" s="319"/>
      <c r="BS2730" s="330"/>
      <c r="BT2730" s="331"/>
      <c r="BU2730" s="920"/>
      <c r="BV2730" s="903"/>
      <c r="BW2730" s="908"/>
      <c r="BX2730" s="908"/>
      <c r="BY2730" s="331"/>
      <c r="BZ2730" s="331"/>
      <c r="CA2730" s="462"/>
      <c r="CB2730" s="319"/>
      <c r="CC2730" s="319"/>
      <c r="CD2730" s="319"/>
      <c r="CE2730" s="319"/>
      <c r="CF2730" s="319"/>
      <c r="CG2730" s="319"/>
      <c r="CH2730" s="318"/>
      <c r="CI2730" s="319"/>
      <c r="CJ2730" s="319"/>
      <c r="CK2730" s="342"/>
      <c r="CL2730" s="333"/>
      <c r="CM2730" s="1079"/>
      <c r="CN2730" s="1005"/>
      <c r="CO2730" s="1005"/>
      <c r="CP2730" s="1005"/>
    </row>
    <row r="2731">
      <c r="A2731" s="1257"/>
      <c r="B2731" s="1113"/>
      <c r="C2731" s="1107"/>
      <c r="D2731" s="103"/>
      <c r="E2731" s="1137"/>
      <c r="F2731" s="112"/>
      <c r="G2731" s="1110"/>
      <c r="H2731" s="1138"/>
      <c r="I2731" s="1138"/>
      <c r="J2731" s="1139"/>
      <c r="K2731" s="1111"/>
      <c r="L2731" s="1112"/>
      <c r="M2731" s="1113"/>
      <c r="N2731" s="110"/>
      <c r="O2731" s="1140"/>
      <c r="P2731" s="1115"/>
      <c r="Q2731" s="1116"/>
      <c r="R2731" s="1141"/>
      <c r="S2731" s="1113"/>
      <c r="T2731" s="1143"/>
      <c r="U2731" s="1108"/>
      <c r="V2731" s="1108"/>
      <c r="W2731" s="1108"/>
      <c r="X2731" s="1108"/>
      <c r="Y2731" s="1108"/>
      <c r="Z2731" s="1114"/>
      <c r="AA2731" s="1114"/>
      <c r="AB2731" s="1114"/>
      <c r="AC2731" s="1117"/>
      <c r="AD2731" s="1115"/>
      <c r="AE2731" s="1115"/>
      <c r="AF2731" s="1115"/>
      <c r="AG2731" s="1115"/>
      <c r="AH2731" s="1115"/>
      <c r="AI2731" s="1115"/>
      <c r="AJ2731" s="1117"/>
      <c r="AK2731" s="1118"/>
      <c r="AL2731" s="1115"/>
      <c r="AM2731" s="1115"/>
      <c r="AN2731" s="1115"/>
      <c r="AO2731" s="1115"/>
      <c r="AP2731" s="1115"/>
      <c r="AQ2731" s="1115"/>
      <c r="AR2731" s="1115"/>
      <c r="AS2731" s="1117"/>
      <c r="AT2731" s="1075"/>
      <c r="AU2731" s="1193"/>
      <c r="AV2731" s="330"/>
      <c r="AW2731" s="331"/>
      <c r="AX2731" s="331"/>
      <c r="AY2731" s="331"/>
      <c r="AZ2731" s="331"/>
      <c r="BA2731" s="331"/>
      <c r="BB2731" s="331"/>
      <c r="BC2731" s="331"/>
      <c r="BD2731" s="331"/>
      <c r="BE2731" s="333"/>
      <c r="BF2731" s="330"/>
      <c r="BG2731" s="333"/>
      <c r="BH2731" s="1119"/>
      <c r="BI2731" s="319"/>
      <c r="BJ2731" s="319"/>
      <c r="BK2731" s="319"/>
      <c r="BL2731" s="319"/>
      <c r="BM2731" s="319"/>
      <c r="BN2731" s="319"/>
      <c r="BO2731" s="319"/>
      <c r="BP2731" s="953"/>
      <c r="BQ2731" s="319"/>
      <c r="BR2731" s="319"/>
      <c r="BS2731" s="330"/>
      <c r="BT2731" s="331"/>
      <c r="BU2731" s="920"/>
      <c r="BV2731" s="903"/>
      <c r="BW2731" s="908"/>
      <c r="BX2731" s="908"/>
      <c r="BY2731" s="331"/>
      <c r="BZ2731" s="331"/>
      <c r="CA2731" s="462"/>
      <c r="CB2731" s="319"/>
      <c r="CC2731" s="319"/>
      <c r="CD2731" s="319"/>
      <c r="CE2731" s="319"/>
      <c r="CF2731" s="319"/>
      <c r="CG2731" s="319"/>
      <c r="CH2731" s="318"/>
      <c r="CI2731" s="319"/>
      <c r="CJ2731" s="319"/>
      <c r="CK2731" s="342"/>
      <c r="CL2731" s="333"/>
      <c r="CM2731" s="1079"/>
      <c r="CN2731" s="1005"/>
      <c r="CO2731" s="1005"/>
      <c r="CP2731" s="1005"/>
    </row>
    <row r="2732">
      <c r="A2732" s="1257"/>
      <c r="B2732" s="1113"/>
      <c r="C2732" s="1107"/>
      <c r="D2732" s="103"/>
      <c r="E2732" s="1137"/>
      <c r="F2732" s="112"/>
      <c r="G2732" s="1110"/>
      <c r="H2732" s="1138"/>
      <c r="I2732" s="1138"/>
      <c r="J2732" s="1139"/>
      <c r="K2732" s="1111"/>
      <c r="L2732" s="1112"/>
      <c r="M2732" s="1113"/>
      <c r="N2732" s="110"/>
      <c r="O2732" s="1140"/>
      <c r="P2732" s="1115"/>
      <c r="Q2732" s="1116"/>
      <c r="R2732" s="1141"/>
      <c r="S2732" s="1113"/>
      <c r="T2732" s="1143"/>
      <c r="U2732" s="1108"/>
      <c r="V2732" s="1108"/>
      <c r="W2732" s="1108"/>
      <c r="X2732" s="1108"/>
      <c r="Y2732" s="1108"/>
      <c r="Z2732" s="1114"/>
      <c r="AA2732" s="1114"/>
      <c r="AB2732" s="1114"/>
      <c r="AC2732" s="1117"/>
      <c r="AD2732" s="1115"/>
      <c r="AE2732" s="1115"/>
      <c r="AF2732" s="1115"/>
      <c r="AG2732" s="1115"/>
      <c r="AH2732" s="1115"/>
      <c r="AI2732" s="1115"/>
      <c r="AJ2732" s="1117"/>
      <c r="AK2732" s="1118"/>
      <c r="AL2732" s="1115"/>
      <c r="AM2732" s="1115"/>
      <c r="AN2732" s="1115"/>
      <c r="AO2732" s="1115"/>
      <c r="AP2732" s="1115"/>
      <c r="AQ2732" s="1115"/>
      <c r="AR2732" s="1115"/>
      <c r="AS2732" s="1117"/>
      <c r="AT2732" s="1075"/>
      <c r="AU2732" s="1193"/>
      <c r="AV2732" s="330"/>
      <c r="AW2732" s="331"/>
      <c r="AX2732" s="331"/>
      <c r="AY2732" s="331"/>
      <c r="AZ2732" s="331"/>
      <c r="BA2732" s="331"/>
      <c r="BB2732" s="331"/>
      <c r="BC2732" s="331"/>
      <c r="BD2732" s="331"/>
      <c r="BE2732" s="333"/>
      <c r="BF2732" s="330"/>
      <c r="BG2732" s="333"/>
      <c r="BH2732" s="1119"/>
      <c r="BI2732" s="319"/>
      <c r="BJ2732" s="319"/>
      <c r="BK2732" s="319"/>
      <c r="BL2732" s="319"/>
      <c r="BM2732" s="319"/>
      <c r="BN2732" s="319"/>
      <c r="BO2732" s="319"/>
      <c r="BP2732" s="953"/>
      <c r="BQ2732" s="319"/>
      <c r="BR2732" s="319"/>
      <c r="BS2732" s="330"/>
      <c r="BT2732" s="331"/>
      <c r="BU2732" s="920"/>
      <c r="BV2732" s="903"/>
      <c r="BW2732" s="908"/>
      <c r="BX2732" s="908"/>
      <c r="BY2732" s="331"/>
      <c r="BZ2732" s="331"/>
      <c r="CA2732" s="462"/>
      <c r="CB2732" s="319"/>
      <c r="CC2732" s="319"/>
      <c r="CD2732" s="319"/>
      <c r="CE2732" s="319"/>
      <c r="CF2732" s="319"/>
      <c r="CG2732" s="319"/>
      <c r="CH2732" s="318"/>
      <c r="CI2732" s="319"/>
      <c r="CJ2732" s="319"/>
      <c r="CK2732" s="342"/>
      <c r="CL2732" s="333"/>
      <c r="CM2732" s="1079"/>
      <c r="CN2732" s="1005"/>
      <c r="CO2732" s="1005"/>
      <c r="CP2732" s="1005"/>
    </row>
    <row r="2733">
      <c r="A2733" s="1257"/>
      <c r="B2733" s="1113"/>
      <c r="C2733" s="1107"/>
      <c r="D2733" s="103"/>
      <c r="E2733" s="1137"/>
      <c r="F2733" s="112"/>
      <c r="G2733" s="1110"/>
      <c r="H2733" s="1138"/>
      <c r="I2733" s="1138"/>
      <c r="J2733" s="1139"/>
      <c r="K2733" s="1111"/>
      <c r="L2733" s="1112"/>
      <c r="M2733" s="1113"/>
      <c r="N2733" s="110"/>
      <c r="O2733" s="1140"/>
      <c r="P2733" s="1115"/>
      <c r="Q2733" s="1116"/>
      <c r="R2733" s="1141"/>
      <c r="S2733" s="1113"/>
      <c r="T2733" s="1143"/>
      <c r="U2733" s="1108"/>
      <c r="V2733" s="1108"/>
      <c r="W2733" s="1108"/>
      <c r="X2733" s="1108"/>
      <c r="Y2733" s="1108"/>
      <c r="Z2733" s="1114"/>
      <c r="AA2733" s="1114"/>
      <c r="AB2733" s="1114"/>
      <c r="AC2733" s="1117"/>
      <c r="AD2733" s="1115"/>
      <c r="AE2733" s="1115"/>
      <c r="AF2733" s="1115"/>
      <c r="AG2733" s="1115"/>
      <c r="AH2733" s="1115"/>
      <c r="AI2733" s="1115"/>
      <c r="AJ2733" s="1117"/>
      <c r="AK2733" s="1118"/>
      <c r="AL2733" s="1115"/>
      <c r="AM2733" s="1115"/>
      <c r="AN2733" s="1115"/>
      <c r="AO2733" s="1115"/>
      <c r="AP2733" s="1115"/>
      <c r="AQ2733" s="1115"/>
      <c r="AR2733" s="1115"/>
      <c r="AS2733" s="1117"/>
      <c r="AT2733" s="1075"/>
      <c r="AU2733" s="1193"/>
      <c r="AV2733" s="330"/>
      <c r="AW2733" s="331"/>
      <c r="AX2733" s="331"/>
      <c r="AY2733" s="331"/>
      <c r="AZ2733" s="331"/>
      <c r="BA2733" s="331"/>
      <c r="BB2733" s="331"/>
      <c r="BC2733" s="331"/>
      <c r="BD2733" s="331"/>
      <c r="BE2733" s="333"/>
      <c r="BF2733" s="330"/>
      <c r="BG2733" s="333"/>
      <c r="BH2733" s="1119"/>
      <c r="BI2733" s="319"/>
      <c r="BJ2733" s="319"/>
      <c r="BK2733" s="319"/>
      <c r="BL2733" s="319"/>
      <c r="BM2733" s="319"/>
      <c r="BN2733" s="319"/>
      <c r="BO2733" s="319"/>
      <c r="BP2733" s="953"/>
      <c r="BQ2733" s="319"/>
      <c r="BR2733" s="319"/>
      <c r="BS2733" s="330"/>
      <c r="BT2733" s="331"/>
      <c r="BU2733" s="920"/>
      <c r="BV2733" s="903"/>
      <c r="BW2733" s="908"/>
      <c r="BX2733" s="908"/>
      <c r="BY2733" s="331"/>
      <c r="BZ2733" s="331"/>
      <c r="CA2733" s="462"/>
      <c r="CB2733" s="319"/>
      <c r="CC2733" s="319"/>
      <c r="CD2733" s="319"/>
      <c r="CE2733" s="319"/>
      <c r="CF2733" s="319"/>
      <c r="CG2733" s="319"/>
      <c r="CH2733" s="318"/>
      <c r="CI2733" s="319"/>
      <c r="CJ2733" s="319"/>
      <c r="CK2733" s="342"/>
      <c r="CL2733" s="333"/>
      <c r="CM2733" s="1079"/>
      <c r="CN2733" s="1005"/>
      <c r="CO2733" s="1005"/>
      <c r="CP2733" s="1005"/>
    </row>
    <row r="2734">
      <c r="A2734" s="1257"/>
      <c r="B2734" s="1113"/>
      <c r="C2734" s="1107"/>
      <c r="D2734" s="103"/>
      <c r="E2734" s="1137"/>
      <c r="F2734" s="112"/>
      <c r="G2734" s="1110"/>
      <c r="H2734" s="1138"/>
      <c r="I2734" s="1138"/>
      <c r="J2734" s="1139"/>
      <c r="K2734" s="1111"/>
      <c r="L2734" s="1112"/>
      <c r="M2734" s="1113"/>
      <c r="N2734" s="110"/>
      <c r="O2734" s="1140"/>
      <c r="P2734" s="1115"/>
      <c r="Q2734" s="1116"/>
      <c r="R2734" s="1141"/>
      <c r="S2734" s="1113"/>
      <c r="T2734" s="1143"/>
      <c r="U2734" s="1108"/>
      <c r="V2734" s="1108"/>
      <c r="W2734" s="1108"/>
      <c r="X2734" s="1108"/>
      <c r="Y2734" s="1108"/>
      <c r="Z2734" s="1114"/>
      <c r="AA2734" s="1114"/>
      <c r="AB2734" s="1114"/>
      <c r="AC2734" s="1117"/>
      <c r="AD2734" s="1115"/>
      <c r="AE2734" s="1115"/>
      <c r="AF2734" s="1115"/>
      <c r="AG2734" s="1115"/>
      <c r="AH2734" s="1115"/>
      <c r="AI2734" s="1115"/>
      <c r="AJ2734" s="1117"/>
      <c r="AK2734" s="1118"/>
      <c r="AL2734" s="1115"/>
      <c r="AM2734" s="1115"/>
      <c r="AN2734" s="1115"/>
      <c r="AO2734" s="1115"/>
      <c r="AP2734" s="1115"/>
      <c r="AQ2734" s="1115"/>
      <c r="AR2734" s="1115"/>
      <c r="AS2734" s="1117"/>
      <c r="AT2734" s="1075"/>
      <c r="AU2734" s="1193"/>
      <c r="AV2734" s="330"/>
      <c r="AW2734" s="331"/>
      <c r="AX2734" s="331"/>
      <c r="AY2734" s="331"/>
      <c r="AZ2734" s="331"/>
      <c r="BA2734" s="331"/>
      <c r="BB2734" s="331"/>
      <c r="BC2734" s="331"/>
      <c r="BD2734" s="331"/>
      <c r="BE2734" s="333"/>
      <c r="BF2734" s="330"/>
      <c r="BG2734" s="333"/>
      <c r="BH2734" s="1119"/>
      <c r="BI2734" s="319"/>
      <c r="BJ2734" s="319"/>
      <c r="BK2734" s="319"/>
      <c r="BL2734" s="319"/>
      <c r="BM2734" s="319"/>
      <c r="BN2734" s="319"/>
      <c r="BO2734" s="319"/>
      <c r="BP2734" s="953"/>
      <c r="BQ2734" s="319"/>
      <c r="BR2734" s="319"/>
      <c r="BS2734" s="330"/>
      <c r="BT2734" s="331"/>
      <c r="BU2734" s="920"/>
      <c r="BV2734" s="903"/>
      <c r="BW2734" s="908"/>
      <c r="BX2734" s="908"/>
      <c r="BY2734" s="331"/>
      <c r="BZ2734" s="331"/>
      <c r="CA2734" s="462"/>
      <c r="CB2734" s="319"/>
      <c r="CC2734" s="319"/>
      <c r="CD2734" s="319"/>
      <c r="CE2734" s="319"/>
      <c r="CF2734" s="319"/>
      <c r="CG2734" s="319"/>
      <c r="CH2734" s="318"/>
      <c r="CI2734" s="319"/>
      <c r="CJ2734" s="319"/>
      <c r="CK2734" s="342"/>
      <c r="CL2734" s="333"/>
      <c r="CM2734" s="1079"/>
      <c r="CN2734" s="1005"/>
      <c r="CO2734" s="1005"/>
      <c r="CP2734" s="1005"/>
    </row>
    <row r="2735">
      <c r="A2735" s="1257"/>
      <c r="B2735" s="1113"/>
      <c r="C2735" s="1107"/>
      <c r="D2735" s="103"/>
      <c r="E2735" s="1137"/>
      <c r="F2735" s="112"/>
      <c r="G2735" s="1110"/>
      <c r="H2735" s="1138"/>
      <c r="I2735" s="1138"/>
      <c r="J2735" s="1139"/>
      <c r="K2735" s="1111"/>
      <c r="L2735" s="1112"/>
      <c r="M2735" s="1113"/>
      <c r="N2735" s="110"/>
      <c r="O2735" s="1140"/>
      <c r="P2735" s="1115"/>
      <c r="Q2735" s="1116"/>
      <c r="R2735" s="1141"/>
      <c r="S2735" s="1113"/>
      <c r="T2735" s="1143"/>
      <c r="U2735" s="1108"/>
      <c r="V2735" s="1108"/>
      <c r="W2735" s="1108"/>
      <c r="X2735" s="1108"/>
      <c r="Y2735" s="1108"/>
      <c r="Z2735" s="1114"/>
      <c r="AA2735" s="1114"/>
      <c r="AB2735" s="1114"/>
      <c r="AC2735" s="1117"/>
      <c r="AD2735" s="1115"/>
      <c r="AE2735" s="1115"/>
      <c r="AF2735" s="1115"/>
      <c r="AG2735" s="1115"/>
      <c r="AH2735" s="1115"/>
      <c r="AI2735" s="1115"/>
      <c r="AJ2735" s="1117"/>
      <c r="AK2735" s="1118"/>
      <c r="AL2735" s="1115"/>
      <c r="AM2735" s="1115"/>
      <c r="AN2735" s="1115"/>
      <c r="AO2735" s="1115"/>
      <c r="AP2735" s="1115"/>
      <c r="AQ2735" s="1115"/>
      <c r="AR2735" s="1115"/>
      <c r="AS2735" s="1117"/>
      <c r="AT2735" s="1075"/>
      <c r="AU2735" s="1193"/>
      <c r="AV2735" s="330"/>
      <c r="AW2735" s="331"/>
      <c r="AX2735" s="331"/>
      <c r="AY2735" s="331"/>
      <c r="AZ2735" s="331"/>
      <c r="BA2735" s="331"/>
      <c r="BB2735" s="331"/>
      <c r="BC2735" s="331"/>
      <c r="BD2735" s="331"/>
      <c r="BE2735" s="333"/>
      <c r="BF2735" s="330"/>
      <c r="BG2735" s="333"/>
      <c r="BH2735" s="1119"/>
      <c r="BI2735" s="319"/>
      <c r="BJ2735" s="319"/>
      <c r="BK2735" s="319"/>
      <c r="BL2735" s="319"/>
      <c r="BM2735" s="319"/>
      <c r="BN2735" s="319"/>
      <c r="BO2735" s="319"/>
      <c r="BP2735" s="953"/>
      <c r="BQ2735" s="319"/>
      <c r="BR2735" s="319"/>
      <c r="BS2735" s="330"/>
      <c r="BT2735" s="331"/>
      <c r="BU2735" s="920"/>
      <c r="BV2735" s="903"/>
      <c r="BW2735" s="908"/>
      <c r="BX2735" s="908"/>
      <c r="BY2735" s="331"/>
      <c r="BZ2735" s="331"/>
      <c r="CA2735" s="462"/>
      <c r="CB2735" s="319"/>
      <c r="CC2735" s="319"/>
      <c r="CD2735" s="319"/>
      <c r="CE2735" s="319"/>
      <c r="CF2735" s="319"/>
      <c r="CG2735" s="319"/>
      <c r="CH2735" s="318"/>
      <c r="CI2735" s="319"/>
      <c r="CJ2735" s="319"/>
      <c r="CK2735" s="342"/>
      <c r="CL2735" s="333"/>
      <c r="CM2735" s="1079"/>
      <c r="CN2735" s="1005"/>
      <c r="CO2735" s="1005"/>
      <c r="CP2735" s="1005"/>
    </row>
    <row r="2736">
      <c r="A2736" s="1257"/>
      <c r="B2736" s="1113"/>
      <c r="C2736" s="1107"/>
      <c r="D2736" s="103"/>
      <c r="E2736" s="1137"/>
      <c r="F2736" s="112"/>
      <c r="G2736" s="1110"/>
      <c r="H2736" s="1138"/>
      <c r="I2736" s="1138"/>
      <c r="J2736" s="1139"/>
      <c r="K2736" s="1111"/>
      <c r="L2736" s="1112"/>
      <c r="M2736" s="1113"/>
      <c r="N2736" s="110"/>
      <c r="O2736" s="1140"/>
      <c r="P2736" s="1115"/>
      <c r="Q2736" s="1116"/>
      <c r="R2736" s="1141"/>
      <c r="S2736" s="1113"/>
      <c r="T2736" s="1143"/>
      <c r="U2736" s="1108"/>
      <c r="V2736" s="1108"/>
      <c r="W2736" s="1108"/>
      <c r="X2736" s="1108"/>
      <c r="Y2736" s="1108"/>
      <c r="Z2736" s="1114"/>
      <c r="AA2736" s="1114"/>
      <c r="AB2736" s="1114"/>
      <c r="AC2736" s="1117"/>
      <c r="AD2736" s="1115"/>
      <c r="AE2736" s="1115"/>
      <c r="AF2736" s="1115"/>
      <c r="AG2736" s="1115"/>
      <c r="AH2736" s="1115"/>
      <c r="AI2736" s="1115"/>
      <c r="AJ2736" s="1117"/>
      <c r="AK2736" s="1118"/>
      <c r="AL2736" s="1115"/>
      <c r="AM2736" s="1115"/>
      <c r="AN2736" s="1115"/>
      <c r="AO2736" s="1115"/>
      <c r="AP2736" s="1115"/>
      <c r="AQ2736" s="1115"/>
      <c r="AR2736" s="1115"/>
      <c r="AS2736" s="1117"/>
      <c r="AT2736" s="1075"/>
      <c r="AU2736" s="1193"/>
      <c r="AV2736" s="330"/>
      <c r="AW2736" s="331"/>
      <c r="AX2736" s="331"/>
      <c r="AY2736" s="331"/>
      <c r="AZ2736" s="331"/>
      <c r="BA2736" s="331"/>
      <c r="BB2736" s="331"/>
      <c r="BC2736" s="331"/>
      <c r="BD2736" s="331"/>
      <c r="BE2736" s="333"/>
      <c r="BF2736" s="330"/>
      <c r="BG2736" s="333"/>
      <c r="BH2736" s="1119"/>
      <c r="BI2736" s="319"/>
      <c r="BJ2736" s="319"/>
      <c r="BK2736" s="319"/>
      <c r="BL2736" s="319"/>
      <c r="BM2736" s="319"/>
      <c r="BN2736" s="319"/>
      <c r="BO2736" s="319"/>
      <c r="BP2736" s="953"/>
      <c r="BQ2736" s="319"/>
      <c r="BR2736" s="319"/>
      <c r="BS2736" s="330"/>
      <c r="BT2736" s="331"/>
      <c r="BU2736" s="920"/>
      <c r="BV2736" s="903"/>
      <c r="BW2736" s="908"/>
      <c r="BX2736" s="908"/>
      <c r="BY2736" s="331"/>
      <c r="BZ2736" s="331"/>
      <c r="CA2736" s="462"/>
      <c r="CB2736" s="319"/>
      <c r="CC2736" s="319"/>
      <c r="CD2736" s="319"/>
      <c r="CE2736" s="319"/>
      <c r="CF2736" s="319"/>
      <c r="CG2736" s="319"/>
      <c r="CH2736" s="318"/>
      <c r="CI2736" s="319"/>
      <c r="CJ2736" s="319"/>
      <c r="CK2736" s="342"/>
      <c r="CL2736" s="333"/>
      <c r="CM2736" s="1079"/>
      <c r="CN2736" s="1005"/>
      <c r="CO2736" s="1005"/>
      <c r="CP2736" s="1005"/>
    </row>
    <row r="2737">
      <c r="A2737" s="1257"/>
      <c r="B2737" s="1113"/>
      <c r="C2737" s="1107"/>
      <c r="D2737" s="103"/>
      <c r="E2737" s="1137"/>
      <c r="F2737" s="112"/>
      <c r="G2737" s="1110"/>
      <c r="H2737" s="1138"/>
      <c r="I2737" s="1138"/>
      <c r="J2737" s="1139"/>
      <c r="K2737" s="1111"/>
      <c r="L2737" s="1112"/>
      <c r="M2737" s="1113"/>
      <c r="N2737" s="110"/>
      <c r="O2737" s="1140"/>
      <c r="P2737" s="1115"/>
      <c r="Q2737" s="1116"/>
      <c r="R2737" s="1141"/>
      <c r="S2737" s="1113"/>
      <c r="T2737" s="1143"/>
      <c r="U2737" s="1108"/>
      <c r="V2737" s="1108"/>
      <c r="W2737" s="1108"/>
      <c r="X2737" s="1108"/>
      <c r="Y2737" s="1108"/>
      <c r="Z2737" s="1114"/>
      <c r="AA2737" s="1114"/>
      <c r="AB2737" s="1114"/>
      <c r="AC2737" s="1117"/>
      <c r="AD2737" s="1115"/>
      <c r="AE2737" s="1115"/>
      <c r="AF2737" s="1115"/>
      <c r="AG2737" s="1115"/>
      <c r="AH2737" s="1115"/>
      <c r="AI2737" s="1115"/>
      <c r="AJ2737" s="1117"/>
      <c r="AK2737" s="1118"/>
      <c r="AL2737" s="1115"/>
      <c r="AM2737" s="1115"/>
      <c r="AN2737" s="1115"/>
      <c r="AO2737" s="1115"/>
      <c r="AP2737" s="1115"/>
      <c r="AQ2737" s="1115"/>
      <c r="AR2737" s="1115"/>
      <c r="AS2737" s="1117"/>
      <c r="AT2737" s="1075"/>
      <c r="AU2737" s="1193"/>
      <c r="AV2737" s="330"/>
      <c r="AW2737" s="331"/>
      <c r="AX2737" s="331"/>
      <c r="AY2737" s="331"/>
      <c r="AZ2737" s="331"/>
      <c r="BA2737" s="331"/>
      <c r="BB2737" s="331"/>
      <c r="BC2737" s="331"/>
      <c r="BD2737" s="331"/>
      <c r="BE2737" s="333"/>
      <c r="BF2737" s="330"/>
      <c r="BG2737" s="333"/>
      <c r="BH2737" s="1119"/>
      <c r="BI2737" s="319"/>
      <c r="BJ2737" s="319"/>
      <c r="BK2737" s="319"/>
      <c r="BL2737" s="319"/>
      <c r="BM2737" s="319"/>
      <c r="BN2737" s="319"/>
      <c r="BO2737" s="319"/>
      <c r="BP2737" s="953"/>
      <c r="BQ2737" s="319"/>
      <c r="BR2737" s="319"/>
      <c r="BS2737" s="330"/>
      <c r="BT2737" s="331"/>
      <c r="BU2737" s="920"/>
      <c r="BV2737" s="903"/>
      <c r="BW2737" s="908"/>
      <c r="BX2737" s="908"/>
      <c r="BY2737" s="331"/>
      <c r="BZ2737" s="331"/>
      <c r="CA2737" s="462"/>
      <c r="CB2737" s="319"/>
      <c r="CC2737" s="319"/>
      <c r="CD2737" s="319"/>
      <c r="CE2737" s="319"/>
      <c r="CF2737" s="319"/>
      <c r="CG2737" s="319"/>
      <c r="CH2737" s="318"/>
      <c r="CI2737" s="319"/>
      <c r="CJ2737" s="319"/>
      <c r="CK2737" s="342"/>
      <c r="CL2737" s="333"/>
      <c r="CM2737" s="1079"/>
      <c r="CN2737" s="1005"/>
      <c r="CO2737" s="1005"/>
      <c r="CP2737" s="1005"/>
    </row>
    <row r="2738">
      <c r="A2738" s="1257"/>
      <c r="B2738" s="1113"/>
      <c r="C2738" s="1107"/>
      <c r="D2738" s="103"/>
      <c r="E2738" s="1137"/>
      <c r="F2738" s="112"/>
      <c r="G2738" s="1110"/>
      <c r="H2738" s="1138"/>
      <c r="I2738" s="1138"/>
      <c r="J2738" s="1139"/>
      <c r="K2738" s="1111"/>
      <c r="L2738" s="1112"/>
      <c r="M2738" s="1113"/>
      <c r="N2738" s="110"/>
      <c r="O2738" s="1140"/>
      <c r="P2738" s="1115"/>
      <c r="Q2738" s="1116"/>
      <c r="R2738" s="1141"/>
      <c r="S2738" s="1113"/>
      <c r="T2738" s="1143"/>
      <c r="U2738" s="1108"/>
      <c r="V2738" s="1108"/>
      <c r="W2738" s="1108"/>
      <c r="X2738" s="1108"/>
      <c r="Y2738" s="1108"/>
      <c r="Z2738" s="1114"/>
      <c r="AA2738" s="1114"/>
      <c r="AB2738" s="1114"/>
      <c r="AC2738" s="1117"/>
      <c r="AD2738" s="1115"/>
      <c r="AE2738" s="1115"/>
      <c r="AF2738" s="1115"/>
      <c r="AG2738" s="1115"/>
      <c r="AH2738" s="1115"/>
      <c r="AI2738" s="1115"/>
      <c r="AJ2738" s="1117"/>
      <c r="AK2738" s="1118"/>
      <c r="AL2738" s="1115"/>
      <c r="AM2738" s="1115"/>
      <c r="AN2738" s="1115"/>
      <c r="AO2738" s="1115"/>
      <c r="AP2738" s="1115"/>
      <c r="AQ2738" s="1115"/>
      <c r="AR2738" s="1115"/>
      <c r="AS2738" s="1117"/>
      <c r="AT2738" s="1075"/>
      <c r="AU2738" s="1193"/>
      <c r="AV2738" s="330"/>
      <c r="AW2738" s="331"/>
      <c r="AX2738" s="331"/>
      <c r="AY2738" s="331"/>
      <c r="AZ2738" s="331"/>
      <c r="BA2738" s="331"/>
      <c r="BB2738" s="331"/>
      <c r="BC2738" s="331"/>
      <c r="BD2738" s="331"/>
      <c r="BE2738" s="333"/>
      <c r="BF2738" s="330"/>
      <c r="BG2738" s="333"/>
      <c r="BH2738" s="1119"/>
      <c r="BI2738" s="319"/>
      <c r="BJ2738" s="319"/>
      <c r="BK2738" s="319"/>
      <c r="BL2738" s="319"/>
      <c r="BM2738" s="319"/>
      <c r="BN2738" s="319"/>
      <c r="BO2738" s="319"/>
      <c r="BP2738" s="953"/>
      <c r="BQ2738" s="319"/>
      <c r="BR2738" s="319"/>
      <c r="BS2738" s="330"/>
      <c r="BT2738" s="331"/>
      <c r="BU2738" s="920"/>
      <c r="BV2738" s="903"/>
      <c r="BW2738" s="908"/>
      <c r="BX2738" s="908"/>
      <c r="BY2738" s="331"/>
      <c r="BZ2738" s="331"/>
      <c r="CA2738" s="462"/>
      <c r="CB2738" s="319"/>
      <c r="CC2738" s="319"/>
      <c r="CD2738" s="319"/>
      <c r="CE2738" s="319"/>
      <c r="CF2738" s="319"/>
      <c r="CG2738" s="319"/>
      <c r="CH2738" s="318"/>
      <c r="CI2738" s="319"/>
      <c r="CJ2738" s="319"/>
      <c r="CK2738" s="342"/>
      <c r="CL2738" s="333"/>
      <c r="CM2738" s="1079"/>
      <c r="CN2738" s="1005"/>
      <c r="CO2738" s="1005"/>
      <c r="CP2738" s="1005"/>
    </row>
    <row r="2739">
      <c r="A2739" s="1257"/>
      <c r="B2739" s="1113"/>
      <c r="C2739" s="1107"/>
      <c r="D2739" s="103"/>
      <c r="E2739" s="1137"/>
      <c r="F2739" s="112"/>
      <c r="G2739" s="1110"/>
      <c r="H2739" s="1138"/>
      <c r="I2739" s="1138"/>
      <c r="J2739" s="1139"/>
      <c r="K2739" s="1111"/>
      <c r="L2739" s="1112"/>
      <c r="M2739" s="1113"/>
      <c r="N2739" s="110"/>
      <c r="O2739" s="1140"/>
      <c r="P2739" s="1115"/>
      <c r="Q2739" s="1116"/>
      <c r="R2739" s="1141"/>
      <c r="S2739" s="1113"/>
      <c r="T2739" s="1143"/>
      <c r="U2739" s="1108"/>
      <c r="V2739" s="1108"/>
      <c r="W2739" s="1108"/>
      <c r="X2739" s="1108"/>
      <c r="Y2739" s="1108"/>
      <c r="Z2739" s="1114"/>
      <c r="AA2739" s="1114"/>
      <c r="AB2739" s="1114"/>
      <c r="AC2739" s="1117"/>
      <c r="AD2739" s="1115"/>
      <c r="AE2739" s="1115"/>
      <c r="AF2739" s="1115"/>
      <c r="AG2739" s="1115"/>
      <c r="AH2739" s="1115"/>
      <c r="AI2739" s="1115"/>
      <c r="AJ2739" s="1117"/>
      <c r="AK2739" s="1118"/>
      <c r="AL2739" s="1115"/>
      <c r="AM2739" s="1115"/>
      <c r="AN2739" s="1115"/>
      <c r="AO2739" s="1115"/>
      <c r="AP2739" s="1115"/>
      <c r="AQ2739" s="1115"/>
      <c r="AR2739" s="1115"/>
      <c r="AS2739" s="1117"/>
      <c r="AT2739" s="1075"/>
      <c r="AU2739" s="1193"/>
      <c r="AV2739" s="330"/>
      <c r="AW2739" s="331"/>
      <c r="AX2739" s="331"/>
      <c r="AY2739" s="331"/>
      <c r="AZ2739" s="331"/>
      <c r="BA2739" s="331"/>
      <c r="BB2739" s="331"/>
      <c r="BC2739" s="331"/>
      <c r="BD2739" s="331"/>
      <c r="BE2739" s="333"/>
      <c r="BF2739" s="330"/>
      <c r="BG2739" s="333"/>
      <c r="BH2739" s="1119"/>
      <c r="BI2739" s="319"/>
      <c r="BJ2739" s="319"/>
      <c r="BK2739" s="319"/>
      <c r="BL2739" s="319"/>
      <c r="BM2739" s="319"/>
      <c r="BN2739" s="319"/>
      <c r="BO2739" s="319"/>
      <c r="BP2739" s="953"/>
      <c r="BQ2739" s="319"/>
      <c r="BR2739" s="319"/>
      <c r="BS2739" s="330"/>
      <c r="BT2739" s="331"/>
      <c r="BU2739" s="920"/>
      <c r="BV2739" s="903"/>
      <c r="BW2739" s="908"/>
      <c r="BX2739" s="908"/>
      <c r="BY2739" s="331"/>
      <c r="BZ2739" s="331"/>
      <c r="CA2739" s="462"/>
      <c r="CB2739" s="319"/>
      <c r="CC2739" s="319"/>
      <c r="CD2739" s="319"/>
      <c r="CE2739" s="319"/>
      <c r="CF2739" s="319"/>
      <c r="CG2739" s="319"/>
      <c r="CH2739" s="318"/>
      <c r="CI2739" s="319"/>
      <c r="CJ2739" s="319"/>
      <c r="CK2739" s="342"/>
      <c r="CL2739" s="333"/>
      <c r="CM2739" s="1079"/>
      <c r="CN2739" s="1005"/>
      <c r="CO2739" s="1005"/>
      <c r="CP2739" s="1005"/>
    </row>
    <row r="2740">
      <c r="A2740" s="1257"/>
      <c r="B2740" s="1113"/>
      <c r="C2740" s="1107"/>
      <c r="D2740" s="103"/>
      <c r="E2740" s="1137"/>
      <c r="F2740" s="112"/>
      <c r="G2740" s="1110"/>
      <c r="H2740" s="1138"/>
      <c r="I2740" s="1138"/>
      <c r="J2740" s="1139"/>
      <c r="K2740" s="1111"/>
      <c r="L2740" s="1112"/>
      <c r="M2740" s="1113"/>
      <c r="N2740" s="110"/>
      <c r="O2740" s="1140"/>
      <c r="P2740" s="1115"/>
      <c r="Q2740" s="1116"/>
      <c r="R2740" s="1141"/>
      <c r="S2740" s="1113"/>
      <c r="T2740" s="1143"/>
      <c r="U2740" s="1108"/>
      <c r="V2740" s="1108"/>
      <c r="W2740" s="1108"/>
      <c r="X2740" s="1108"/>
      <c r="Y2740" s="1108"/>
      <c r="Z2740" s="1114"/>
      <c r="AA2740" s="1114"/>
      <c r="AB2740" s="1114"/>
      <c r="AC2740" s="1117"/>
      <c r="AD2740" s="1115"/>
      <c r="AE2740" s="1115"/>
      <c r="AF2740" s="1115"/>
      <c r="AG2740" s="1115"/>
      <c r="AH2740" s="1115"/>
      <c r="AI2740" s="1115"/>
      <c r="AJ2740" s="1117"/>
      <c r="AK2740" s="1118"/>
      <c r="AL2740" s="1115"/>
      <c r="AM2740" s="1115"/>
      <c r="AN2740" s="1115"/>
      <c r="AO2740" s="1115"/>
      <c r="AP2740" s="1115"/>
      <c r="AQ2740" s="1115"/>
      <c r="AR2740" s="1115"/>
      <c r="AS2740" s="1117"/>
      <c r="AT2740" s="1075"/>
      <c r="AU2740" s="1193"/>
      <c r="AV2740" s="330"/>
      <c r="AW2740" s="331"/>
      <c r="AX2740" s="331"/>
      <c r="AY2740" s="331"/>
      <c r="AZ2740" s="331"/>
      <c r="BA2740" s="331"/>
      <c r="BB2740" s="331"/>
      <c r="BC2740" s="331"/>
      <c r="BD2740" s="331"/>
      <c r="BE2740" s="333"/>
      <c r="BF2740" s="330"/>
      <c r="BG2740" s="333"/>
      <c r="BH2740" s="1119"/>
      <c r="BI2740" s="319"/>
      <c r="BJ2740" s="319"/>
      <c r="BK2740" s="319"/>
      <c r="BL2740" s="319"/>
      <c r="BM2740" s="319"/>
      <c r="BN2740" s="319"/>
      <c r="BO2740" s="319"/>
      <c r="BP2740" s="953"/>
      <c r="BQ2740" s="319"/>
      <c r="BR2740" s="319"/>
      <c r="BS2740" s="330"/>
      <c r="BT2740" s="331"/>
      <c r="BU2740" s="920"/>
      <c r="BV2740" s="903"/>
      <c r="BW2740" s="908"/>
      <c r="BX2740" s="908"/>
      <c r="BY2740" s="331"/>
      <c r="BZ2740" s="331"/>
      <c r="CA2740" s="462"/>
      <c r="CB2740" s="319"/>
      <c r="CC2740" s="319"/>
      <c r="CD2740" s="319"/>
      <c r="CE2740" s="319"/>
      <c r="CF2740" s="319"/>
      <c r="CG2740" s="319"/>
      <c r="CH2740" s="318"/>
      <c r="CI2740" s="319"/>
      <c r="CJ2740" s="319"/>
      <c r="CK2740" s="342"/>
      <c r="CL2740" s="333"/>
      <c r="CM2740" s="1079"/>
      <c r="CN2740" s="1005"/>
      <c r="CO2740" s="1005"/>
      <c r="CP2740" s="1005"/>
    </row>
    <row r="2741">
      <c r="A2741" s="1257"/>
      <c r="B2741" s="1113"/>
      <c r="C2741" s="1107"/>
      <c r="D2741" s="103"/>
      <c r="E2741" s="1137"/>
      <c r="F2741" s="112"/>
      <c r="G2741" s="1110"/>
      <c r="H2741" s="1138"/>
      <c r="I2741" s="1138"/>
      <c r="J2741" s="1139"/>
      <c r="K2741" s="1111"/>
      <c r="L2741" s="1112"/>
      <c r="M2741" s="1113"/>
      <c r="N2741" s="110"/>
      <c r="O2741" s="1140"/>
      <c r="P2741" s="1115"/>
      <c r="Q2741" s="1116"/>
      <c r="R2741" s="1141"/>
      <c r="S2741" s="1113"/>
      <c r="T2741" s="1143"/>
      <c r="U2741" s="1108"/>
      <c r="V2741" s="1108"/>
      <c r="W2741" s="1108"/>
      <c r="X2741" s="1108"/>
      <c r="Y2741" s="1108"/>
      <c r="Z2741" s="1114"/>
      <c r="AA2741" s="1114"/>
      <c r="AB2741" s="1114"/>
      <c r="AC2741" s="1117"/>
      <c r="AD2741" s="1115"/>
      <c r="AE2741" s="1115"/>
      <c r="AF2741" s="1115"/>
      <c r="AG2741" s="1115"/>
      <c r="AH2741" s="1115"/>
      <c r="AI2741" s="1115"/>
      <c r="AJ2741" s="1117"/>
      <c r="AK2741" s="1118"/>
      <c r="AL2741" s="1115"/>
      <c r="AM2741" s="1115"/>
      <c r="AN2741" s="1115"/>
      <c r="AO2741" s="1115"/>
      <c r="AP2741" s="1115"/>
      <c r="AQ2741" s="1115"/>
      <c r="AR2741" s="1115"/>
      <c r="AS2741" s="1117"/>
      <c r="AT2741" s="1075"/>
      <c r="AU2741" s="1193"/>
      <c r="AV2741" s="330"/>
      <c r="AW2741" s="331"/>
      <c r="AX2741" s="331"/>
      <c r="AY2741" s="331"/>
      <c r="AZ2741" s="331"/>
      <c r="BA2741" s="331"/>
      <c r="BB2741" s="331"/>
      <c r="BC2741" s="331"/>
      <c r="BD2741" s="331"/>
      <c r="BE2741" s="333"/>
      <c r="BF2741" s="330"/>
      <c r="BG2741" s="333"/>
      <c r="BH2741" s="1119"/>
      <c r="BI2741" s="319"/>
      <c r="BJ2741" s="319"/>
      <c r="BK2741" s="319"/>
      <c r="BL2741" s="319"/>
      <c r="BM2741" s="319"/>
      <c r="BN2741" s="319"/>
      <c r="BO2741" s="319"/>
      <c r="BP2741" s="953"/>
      <c r="BQ2741" s="319"/>
      <c r="BR2741" s="319"/>
      <c r="BS2741" s="330"/>
      <c r="BT2741" s="331"/>
      <c r="BU2741" s="920"/>
      <c r="BV2741" s="903"/>
      <c r="BW2741" s="908"/>
      <c r="BX2741" s="908"/>
      <c r="BY2741" s="331"/>
      <c r="BZ2741" s="331"/>
      <c r="CA2741" s="462"/>
      <c r="CB2741" s="319"/>
      <c r="CC2741" s="319"/>
      <c r="CD2741" s="319"/>
      <c r="CE2741" s="319"/>
      <c r="CF2741" s="319"/>
      <c r="CG2741" s="319"/>
      <c r="CH2741" s="318"/>
      <c r="CI2741" s="319"/>
      <c r="CJ2741" s="319"/>
      <c r="CK2741" s="342"/>
      <c r="CL2741" s="333"/>
      <c r="CM2741" s="1079"/>
      <c r="CN2741" s="1005"/>
      <c r="CO2741" s="1005"/>
      <c r="CP2741" s="1005"/>
    </row>
    <row r="2742">
      <c r="A2742" s="1257"/>
      <c r="B2742" s="1113"/>
      <c r="C2742" s="1107"/>
      <c r="D2742" s="103"/>
      <c r="E2742" s="1137"/>
      <c r="F2742" s="112"/>
      <c r="G2742" s="1110"/>
      <c r="H2742" s="1138"/>
      <c r="I2742" s="1138"/>
      <c r="J2742" s="1139"/>
      <c r="K2742" s="1111"/>
      <c r="L2742" s="1112"/>
      <c r="M2742" s="1113"/>
      <c r="N2742" s="110"/>
      <c r="O2742" s="1140"/>
      <c r="P2742" s="1115"/>
      <c r="Q2742" s="1116"/>
      <c r="R2742" s="1141"/>
      <c r="S2742" s="1113"/>
      <c r="T2742" s="1143"/>
      <c r="U2742" s="1108"/>
      <c r="V2742" s="1108"/>
      <c r="W2742" s="1108"/>
      <c r="X2742" s="1108"/>
      <c r="Y2742" s="1108"/>
      <c r="Z2742" s="1114"/>
      <c r="AA2742" s="1114"/>
      <c r="AB2742" s="1114"/>
      <c r="AC2742" s="1117"/>
      <c r="AD2742" s="1115"/>
      <c r="AE2742" s="1115"/>
      <c r="AF2742" s="1115"/>
      <c r="AG2742" s="1115"/>
      <c r="AH2742" s="1115"/>
      <c r="AI2742" s="1115"/>
      <c r="AJ2742" s="1117"/>
      <c r="AK2742" s="1118"/>
      <c r="AL2742" s="1115"/>
      <c r="AM2742" s="1115"/>
      <c r="AN2742" s="1115"/>
      <c r="AO2742" s="1115"/>
      <c r="AP2742" s="1115"/>
      <c r="AQ2742" s="1115"/>
      <c r="AR2742" s="1115"/>
      <c r="AS2742" s="1117"/>
      <c r="AT2742" s="1075"/>
      <c r="AU2742" s="1193"/>
      <c r="AV2742" s="330"/>
      <c r="AW2742" s="331"/>
      <c r="AX2742" s="331"/>
      <c r="AY2742" s="331"/>
      <c r="AZ2742" s="331"/>
      <c r="BA2742" s="331"/>
      <c r="BB2742" s="331"/>
      <c r="BC2742" s="331"/>
      <c r="BD2742" s="331"/>
      <c r="BE2742" s="333"/>
      <c r="BF2742" s="330"/>
      <c r="BG2742" s="333"/>
      <c r="BH2742" s="1119"/>
      <c r="BI2742" s="319"/>
      <c r="BJ2742" s="319"/>
      <c r="BK2742" s="319"/>
      <c r="BL2742" s="319"/>
      <c r="BM2742" s="319"/>
      <c r="BN2742" s="319"/>
      <c r="BO2742" s="319"/>
      <c r="BP2742" s="953"/>
      <c r="BQ2742" s="319"/>
      <c r="BR2742" s="319"/>
      <c r="BS2742" s="330"/>
      <c r="BT2742" s="331"/>
      <c r="BU2742" s="920"/>
      <c r="BV2742" s="903"/>
      <c r="BW2742" s="908"/>
      <c r="BX2742" s="908"/>
      <c r="BY2742" s="331"/>
      <c r="BZ2742" s="331"/>
      <c r="CA2742" s="462"/>
      <c r="CB2742" s="319"/>
      <c r="CC2742" s="319"/>
      <c r="CD2742" s="319"/>
      <c r="CE2742" s="319"/>
      <c r="CF2742" s="319"/>
      <c r="CG2742" s="319"/>
      <c r="CH2742" s="318"/>
      <c r="CI2742" s="319"/>
      <c r="CJ2742" s="319"/>
      <c r="CK2742" s="342"/>
      <c r="CL2742" s="333"/>
      <c r="CM2742" s="1079"/>
      <c r="CN2742" s="1005"/>
      <c r="CO2742" s="1005"/>
      <c r="CP2742" s="1005"/>
    </row>
    <row r="2743">
      <c r="A2743" s="1257"/>
      <c r="B2743" s="1113"/>
      <c r="C2743" s="1107"/>
      <c r="D2743" s="103"/>
      <c r="E2743" s="1137"/>
      <c r="F2743" s="112"/>
      <c r="G2743" s="1110"/>
      <c r="H2743" s="1138"/>
      <c r="I2743" s="1138"/>
      <c r="J2743" s="1139"/>
      <c r="K2743" s="1111"/>
      <c r="L2743" s="1112"/>
      <c r="M2743" s="1113"/>
      <c r="N2743" s="110"/>
      <c r="O2743" s="1140"/>
      <c r="P2743" s="1115"/>
      <c r="Q2743" s="1116"/>
      <c r="R2743" s="1141"/>
      <c r="S2743" s="1113"/>
      <c r="T2743" s="1143"/>
      <c r="U2743" s="1108"/>
      <c r="V2743" s="1108"/>
      <c r="W2743" s="1108"/>
      <c r="X2743" s="1108"/>
      <c r="Y2743" s="1108"/>
      <c r="Z2743" s="1114"/>
      <c r="AA2743" s="1114"/>
      <c r="AB2743" s="1114"/>
      <c r="AC2743" s="1117"/>
      <c r="AD2743" s="1115"/>
      <c r="AE2743" s="1115"/>
      <c r="AF2743" s="1115"/>
      <c r="AG2743" s="1115"/>
      <c r="AH2743" s="1115"/>
      <c r="AI2743" s="1115"/>
      <c r="AJ2743" s="1117"/>
      <c r="AK2743" s="1118"/>
      <c r="AL2743" s="1115"/>
      <c r="AM2743" s="1115"/>
      <c r="AN2743" s="1115"/>
      <c r="AO2743" s="1115"/>
      <c r="AP2743" s="1115"/>
      <c r="AQ2743" s="1115"/>
      <c r="AR2743" s="1115"/>
      <c r="AS2743" s="1117"/>
      <c r="AT2743" s="1075"/>
      <c r="AU2743" s="1193"/>
      <c r="AV2743" s="330"/>
      <c r="AW2743" s="331"/>
      <c r="AX2743" s="331"/>
      <c r="AY2743" s="331"/>
      <c r="AZ2743" s="331"/>
      <c r="BA2743" s="331"/>
      <c r="BB2743" s="331"/>
      <c r="BC2743" s="331"/>
      <c r="BD2743" s="331"/>
      <c r="BE2743" s="333"/>
      <c r="BF2743" s="330"/>
      <c r="BG2743" s="333"/>
      <c r="BH2743" s="1119"/>
      <c r="BI2743" s="319"/>
      <c r="BJ2743" s="319"/>
      <c r="BK2743" s="319"/>
      <c r="BL2743" s="319"/>
      <c r="BM2743" s="319"/>
      <c r="BN2743" s="319"/>
      <c r="BO2743" s="319"/>
      <c r="BP2743" s="953"/>
      <c r="BQ2743" s="319"/>
      <c r="BR2743" s="319"/>
      <c r="BS2743" s="330"/>
      <c r="BT2743" s="331"/>
      <c r="BU2743" s="920"/>
      <c r="BV2743" s="903"/>
      <c r="BW2743" s="908"/>
      <c r="BX2743" s="908"/>
      <c r="BY2743" s="331"/>
      <c r="BZ2743" s="331"/>
      <c r="CA2743" s="462"/>
      <c r="CB2743" s="319"/>
      <c r="CC2743" s="319"/>
      <c r="CD2743" s="319"/>
      <c r="CE2743" s="319"/>
      <c r="CF2743" s="319"/>
      <c r="CG2743" s="319"/>
      <c r="CH2743" s="318"/>
      <c r="CI2743" s="319"/>
      <c r="CJ2743" s="319"/>
      <c r="CK2743" s="342"/>
      <c r="CL2743" s="333"/>
      <c r="CM2743" s="1079"/>
      <c r="CN2743" s="1005"/>
      <c r="CO2743" s="1005"/>
      <c r="CP2743" s="1005"/>
    </row>
    <row r="2744">
      <c r="A2744" s="1257"/>
      <c r="B2744" s="1113"/>
      <c r="C2744" s="1107"/>
      <c r="D2744" s="103"/>
      <c r="E2744" s="1137"/>
      <c r="F2744" s="112"/>
      <c r="G2744" s="1110"/>
      <c r="H2744" s="1138"/>
      <c r="I2744" s="1138"/>
      <c r="J2744" s="1139"/>
      <c r="K2744" s="1111"/>
      <c r="L2744" s="1112"/>
      <c r="M2744" s="1113"/>
      <c r="N2744" s="110"/>
      <c r="O2744" s="1140"/>
      <c r="P2744" s="1115"/>
      <c r="Q2744" s="1116"/>
      <c r="R2744" s="1141"/>
      <c r="S2744" s="1113"/>
      <c r="T2744" s="1143"/>
      <c r="U2744" s="1108"/>
      <c r="V2744" s="1108"/>
      <c r="W2744" s="1108"/>
      <c r="X2744" s="1108"/>
      <c r="Y2744" s="1108"/>
      <c r="Z2744" s="1114"/>
      <c r="AA2744" s="1114"/>
      <c r="AB2744" s="1114"/>
      <c r="AC2744" s="1117"/>
      <c r="AD2744" s="1115"/>
      <c r="AE2744" s="1115"/>
      <c r="AF2744" s="1115"/>
      <c r="AG2744" s="1115"/>
      <c r="AH2744" s="1115"/>
      <c r="AI2744" s="1115"/>
      <c r="AJ2744" s="1117"/>
      <c r="AK2744" s="1118"/>
      <c r="AL2744" s="1115"/>
      <c r="AM2744" s="1115"/>
      <c r="AN2744" s="1115"/>
      <c r="AO2744" s="1115"/>
      <c r="AP2744" s="1115"/>
      <c r="AQ2744" s="1115"/>
      <c r="AR2744" s="1115"/>
      <c r="AS2744" s="1117"/>
      <c r="AT2744" s="1075"/>
      <c r="AU2744" s="1193"/>
      <c r="AV2744" s="330"/>
      <c r="AW2744" s="331"/>
      <c r="AX2744" s="331"/>
      <c r="AY2744" s="331"/>
      <c r="AZ2744" s="331"/>
      <c r="BA2744" s="331"/>
      <c r="BB2744" s="331"/>
      <c r="BC2744" s="331"/>
      <c r="BD2744" s="331"/>
      <c r="BE2744" s="333"/>
      <c r="BF2744" s="330"/>
      <c r="BG2744" s="333"/>
      <c r="BH2744" s="1119"/>
      <c r="BI2744" s="319"/>
      <c r="BJ2744" s="319"/>
      <c r="BK2744" s="319"/>
      <c r="BL2744" s="319"/>
      <c r="BM2744" s="319"/>
      <c r="BN2744" s="319"/>
      <c r="BO2744" s="319"/>
      <c r="BP2744" s="953"/>
      <c r="BQ2744" s="319"/>
      <c r="BR2744" s="319"/>
      <c r="BS2744" s="330"/>
      <c r="BT2744" s="331"/>
      <c r="BU2744" s="920"/>
      <c r="BV2744" s="903"/>
      <c r="BW2744" s="908"/>
      <c r="BX2744" s="908"/>
      <c r="BY2744" s="331"/>
      <c r="BZ2744" s="331"/>
      <c r="CA2744" s="462"/>
      <c r="CB2744" s="319"/>
      <c r="CC2744" s="319"/>
      <c r="CD2744" s="319"/>
      <c r="CE2744" s="319"/>
      <c r="CF2744" s="319"/>
      <c r="CG2744" s="319"/>
      <c r="CH2744" s="318"/>
      <c r="CI2744" s="319"/>
      <c r="CJ2744" s="319"/>
      <c r="CK2744" s="342"/>
      <c r="CL2744" s="333"/>
      <c r="CM2744" s="1079"/>
      <c r="CN2744" s="1005"/>
      <c r="CO2744" s="1005"/>
      <c r="CP2744" s="1005"/>
    </row>
    <row r="2745">
      <c r="A2745" s="1257"/>
      <c r="B2745" s="1113"/>
      <c r="C2745" s="1107"/>
      <c r="D2745" s="103"/>
      <c r="E2745" s="1137"/>
      <c r="F2745" s="112"/>
      <c r="G2745" s="1110"/>
      <c r="H2745" s="1138"/>
      <c r="I2745" s="1138"/>
      <c r="J2745" s="1139"/>
      <c r="K2745" s="1111"/>
      <c r="L2745" s="1112"/>
      <c r="M2745" s="1113"/>
      <c r="N2745" s="110"/>
      <c r="O2745" s="1140"/>
      <c r="P2745" s="1115"/>
      <c r="Q2745" s="1116"/>
      <c r="R2745" s="1141"/>
      <c r="S2745" s="1113"/>
      <c r="T2745" s="1143"/>
      <c r="U2745" s="1108"/>
      <c r="V2745" s="1108"/>
      <c r="W2745" s="1108"/>
      <c r="X2745" s="1108"/>
      <c r="Y2745" s="1108"/>
      <c r="Z2745" s="1114"/>
      <c r="AA2745" s="1114"/>
      <c r="AB2745" s="1114"/>
      <c r="AC2745" s="1117"/>
      <c r="AD2745" s="1115"/>
      <c r="AE2745" s="1115"/>
      <c r="AF2745" s="1115"/>
      <c r="AG2745" s="1115"/>
      <c r="AH2745" s="1115"/>
      <c r="AI2745" s="1115"/>
      <c r="AJ2745" s="1117"/>
      <c r="AK2745" s="1118"/>
      <c r="AL2745" s="1115"/>
      <c r="AM2745" s="1115"/>
      <c r="AN2745" s="1115"/>
      <c r="AO2745" s="1115"/>
      <c r="AP2745" s="1115"/>
      <c r="AQ2745" s="1115"/>
      <c r="AR2745" s="1115"/>
      <c r="AS2745" s="1117"/>
      <c r="AT2745" s="1075"/>
      <c r="AU2745" s="1193"/>
      <c r="AV2745" s="330"/>
      <c r="AW2745" s="331"/>
      <c r="AX2745" s="331"/>
      <c r="AY2745" s="331"/>
      <c r="AZ2745" s="331"/>
      <c r="BA2745" s="331"/>
      <c r="BB2745" s="331"/>
      <c r="BC2745" s="331"/>
      <c r="BD2745" s="331"/>
      <c r="BE2745" s="333"/>
      <c r="BF2745" s="330"/>
      <c r="BG2745" s="333"/>
      <c r="BH2745" s="1119"/>
      <c r="BI2745" s="319"/>
      <c r="BJ2745" s="319"/>
      <c r="BK2745" s="319"/>
      <c r="BL2745" s="319"/>
      <c r="BM2745" s="319"/>
      <c r="BN2745" s="319"/>
      <c r="BO2745" s="319"/>
      <c r="BP2745" s="953"/>
      <c r="BQ2745" s="319"/>
      <c r="BR2745" s="319"/>
      <c r="BS2745" s="330"/>
      <c r="BT2745" s="331"/>
      <c r="BU2745" s="920"/>
      <c r="BV2745" s="903"/>
      <c r="BW2745" s="908"/>
      <c r="BX2745" s="908"/>
      <c r="BY2745" s="331"/>
      <c r="BZ2745" s="331"/>
      <c r="CA2745" s="462"/>
      <c r="CB2745" s="319"/>
      <c r="CC2745" s="319"/>
      <c r="CD2745" s="319"/>
      <c r="CE2745" s="319"/>
      <c r="CF2745" s="319"/>
      <c r="CG2745" s="319"/>
      <c r="CH2745" s="318"/>
      <c r="CI2745" s="319"/>
      <c r="CJ2745" s="319"/>
      <c r="CK2745" s="342"/>
      <c r="CL2745" s="333"/>
      <c r="CM2745" s="1079"/>
      <c r="CN2745" s="1005"/>
      <c r="CO2745" s="1005"/>
      <c r="CP2745" s="1005"/>
    </row>
    <row r="2746">
      <c r="A2746" s="1257"/>
      <c r="B2746" s="1113"/>
      <c r="C2746" s="1107"/>
      <c r="D2746" s="103"/>
      <c r="E2746" s="1137"/>
      <c r="F2746" s="112"/>
      <c r="G2746" s="1110"/>
      <c r="H2746" s="1138"/>
      <c r="I2746" s="1138"/>
      <c r="J2746" s="1139"/>
      <c r="K2746" s="1111"/>
      <c r="L2746" s="1112"/>
      <c r="M2746" s="1113"/>
      <c r="N2746" s="110"/>
      <c r="O2746" s="1140"/>
      <c r="P2746" s="1115"/>
      <c r="Q2746" s="1116"/>
      <c r="R2746" s="1141"/>
      <c r="S2746" s="1113"/>
      <c r="T2746" s="1143"/>
      <c r="U2746" s="1108"/>
      <c r="V2746" s="1108"/>
      <c r="W2746" s="1108"/>
      <c r="X2746" s="1108"/>
      <c r="Y2746" s="1108"/>
      <c r="Z2746" s="1114"/>
      <c r="AA2746" s="1114"/>
      <c r="AB2746" s="1114"/>
      <c r="AC2746" s="1117"/>
      <c r="AD2746" s="1115"/>
      <c r="AE2746" s="1115"/>
      <c r="AF2746" s="1115"/>
      <c r="AG2746" s="1115"/>
      <c r="AH2746" s="1115"/>
      <c r="AI2746" s="1115"/>
      <c r="AJ2746" s="1117"/>
      <c r="AK2746" s="1118"/>
      <c r="AL2746" s="1115"/>
      <c r="AM2746" s="1115"/>
      <c r="AN2746" s="1115"/>
      <c r="AO2746" s="1115"/>
      <c r="AP2746" s="1115"/>
      <c r="AQ2746" s="1115"/>
      <c r="AR2746" s="1115"/>
      <c r="AS2746" s="1117"/>
      <c r="AT2746" s="1075"/>
      <c r="AU2746" s="1193"/>
      <c r="AV2746" s="330"/>
      <c r="AW2746" s="331"/>
      <c r="AX2746" s="331"/>
      <c r="AY2746" s="331"/>
      <c r="AZ2746" s="331"/>
      <c r="BA2746" s="331"/>
      <c r="BB2746" s="331"/>
      <c r="BC2746" s="331"/>
      <c r="BD2746" s="331"/>
      <c r="BE2746" s="333"/>
      <c r="BF2746" s="330"/>
      <c r="BG2746" s="333"/>
      <c r="BH2746" s="1119"/>
      <c r="BI2746" s="319"/>
      <c r="BJ2746" s="319"/>
      <c r="BK2746" s="319"/>
      <c r="BL2746" s="319"/>
      <c r="BM2746" s="319"/>
      <c r="BN2746" s="319"/>
      <c r="BO2746" s="319"/>
      <c r="BP2746" s="953"/>
      <c r="BQ2746" s="319"/>
      <c r="BR2746" s="319"/>
      <c r="BS2746" s="330"/>
      <c r="BT2746" s="331"/>
      <c r="BU2746" s="920"/>
      <c r="BV2746" s="903"/>
      <c r="BW2746" s="908"/>
      <c r="BX2746" s="908"/>
      <c r="BY2746" s="331"/>
      <c r="BZ2746" s="331"/>
      <c r="CA2746" s="462"/>
      <c r="CB2746" s="319"/>
      <c r="CC2746" s="319"/>
      <c r="CD2746" s="319"/>
      <c r="CE2746" s="319"/>
      <c r="CF2746" s="319"/>
      <c r="CG2746" s="319"/>
      <c r="CH2746" s="318"/>
      <c r="CI2746" s="319"/>
      <c r="CJ2746" s="319"/>
      <c r="CK2746" s="342"/>
      <c r="CL2746" s="333"/>
      <c r="CM2746" s="1079"/>
      <c r="CN2746" s="1005"/>
      <c r="CO2746" s="1005"/>
      <c r="CP2746" s="1005"/>
    </row>
    <row r="2747">
      <c r="A2747" s="1257"/>
      <c r="B2747" s="1113"/>
      <c r="C2747" s="1107"/>
      <c r="D2747" s="103"/>
      <c r="E2747" s="1137"/>
      <c r="F2747" s="112"/>
      <c r="G2747" s="1110"/>
      <c r="H2747" s="1138"/>
      <c r="I2747" s="1138"/>
      <c r="J2747" s="1139"/>
      <c r="K2747" s="1111"/>
      <c r="L2747" s="1112"/>
      <c r="M2747" s="1113"/>
      <c r="N2747" s="110"/>
      <c r="O2747" s="1140"/>
      <c r="P2747" s="1115"/>
      <c r="Q2747" s="1116"/>
      <c r="R2747" s="1141"/>
      <c r="S2747" s="1113"/>
      <c r="T2747" s="1143"/>
      <c r="U2747" s="1108"/>
      <c r="V2747" s="1108"/>
      <c r="W2747" s="1108"/>
      <c r="X2747" s="1108"/>
      <c r="Y2747" s="1108"/>
      <c r="Z2747" s="1114"/>
      <c r="AA2747" s="1114"/>
      <c r="AB2747" s="1114"/>
      <c r="AC2747" s="1117"/>
      <c r="AD2747" s="1115"/>
      <c r="AE2747" s="1115"/>
      <c r="AF2747" s="1115"/>
      <c r="AG2747" s="1115"/>
      <c r="AH2747" s="1115"/>
      <c r="AI2747" s="1115"/>
      <c r="AJ2747" s="1117"/>
      <c r="AK2747" s="1118"/>
      <c r="AL2747" s="1115"/>
      <c r="AM2747" s="1115"/>
      <c r="AN2747" s="1115"/>
      <c r="AO2747" s="1115"/>
      <c r="AP2747" s="1115"/>
      <c r="AQ2747" s="1115"/>
      <c r="AR2747" s="1115"/>
      <c r="AS2747" s="1117"/>
      <c r="AT2747" s="1075"/>
      <c r="AU2747" s="1193"/>
      <c r="AV2747" s="330"/>
      <c r="AW2747" s="331"/>
      <c r="AX2747" s="331"/>
      <c r="AY2747" s="331"/>
      <c r="AZ2747" s="331"/>
      <c r="BA2747" s="331"/>
      <c r="BB2747" s="331"/>
      <c r="BC2747" s="331"/>
      <c r="BD2747" s="331"/>
      <c r="BE2747" s="333"/>
      <c r="BF2747" s="330"/>
      <c r="BG2747" s="333"/>
      <c r="BH2747" s="1119"/>
      <c r="BI2747" s="319"/>
      <c r="BJ2747" s="319"/>
      <c r="BK2747" s="319"/>
      <c r="BL2747" s="319"/>
      <c r="BM2747" s="319"/>
      <c r="BN2747" s="319"/>
      <c r="BO2747" s="319"/>
      <c r="BP2747" s="953"/>
      <c r="BQ2747" s="319"/>
      <c r="BR2747" s="319"/>
      <c r="BS2747" s="330"/>
      <c r="BT2747" s="331"/>
      <c r="BU2747" s="920"/>
      <c r="BV2747" s="903"/>
      <c r="BW2747" s="908"/>
      <c r="BX2747" s="908"/>
      <c r="BY2747" s="331"/>
      <c r="BZ2747" s="331"/>
      <c r="CA2747" s="462"/>
      <c r="CB2747" s="319"/>
      <c r="CC2747" s="319"/>
      <c r="CD2747" s="319"/>
      <c r="CE2747" s="319"/>
      <c r="CF2747" s="319"/>
      <c r="CG2747" s="319"/>
      <c r="CH2747" s="318"/>
      <c r="CI2747" s="319"/>
      <c r="CJ2747" s="319"/>
      <c r="CK2747" s="342"/>
      <c r="CL2747" s="333"/>
      <c r="CM2747" s="1079"/>
      <c r="CN2747" s="1005"/>
      <c r="CO2747" s="1005"/>
      <c r="CP2747" s="1005"/>
    </row>
    <row r="2748">
      <c r="A2748" s="1257"/>
      <c r="B2748" s="1113"/>
      <c r="C2748" s="1107"/>
      <c r="D2748" s="103"/>
      <c r="E2748" s="1137"/>
      <c r="F2748" s="112"/>
      <c r="G2748" s="1110"/>
      <c r="H2748" s="1138"/>
      <c r="I2748" s="1138"/>
      <c r="J2748" s="1139"/>
      <c r="K2748" s="1111"/>
      <c r="L2748" s="1112"/>
      <c r="M2748" s="1113"/>
      <c r="N2748" s="110"/>
      <c r="O2748" s="1140"/>
      <c r="P2748" s="1115"/>
      <c r="Q2748" s="1116"/>
      <c r="R2748" s="1141"/>
      <c r="S2748" s="1113"/>
      <c r="T2748" s="1143"/>
      <c r="U2748" s="1108"/>
      <c r="V2748" s="1108"/>
      <c r="W2748" s="1108"/>
      <c r="X2748" s="1108"/>
      <c r="Y2748" s="1108"/>
      <c r="Z2748" s="1114"/>
      <c r="AA2748" s="1114"/>
      <c r="AB2748" s="1114"/>
      <c r="AC2748" s="1117"/>
      <c r="AD2748" s="1115"/>
      <c r="AE2748" s="1115"/>
      <c r="AF2748" s="1115"/>
      <c r="AG2748" s="1115"/>
      <c r="AH2748" s="1115"/>
      <c r="AI2748" s="1115"/>
      <c r="AJ2748" s="1117"/>
      <c r="AK2748" s="1118"/>
      <c r="AL2748" s="1115"/>
      <c r="AM2748" s="1115"/>
      <c r="AN2748" s="1115"/>
      <c r="AO2748" s="1115"/>
      <c r="AP2748" s="1115"/>
      <c r="AQ2748" s="1115"/>
      <c r="AR2748" s="1115"/>
      <c r="AS2748" s="1117"/>
      <c r="AT2748" s="1075"/>
      <c r="AU2748" s="1193"/>
      <c r="AV2748" s="330"/>
      <c r="AW2748" s="331"/>
      <c r="AX2748" s="331"/>
      <c r="AY2748" s="331"/>
      <c r="AZ2748" s="331"/>
      <c r="BA2748" s="331"/>
      <c r="BB2748" s="331"/>
      <c r="BC2748" s="331"/>
      <c r="BD2748" s="331"/>
      <c r="BE2748" s="333"/>
      <c r="BF2748" s="330"/>
      <c r="BG2748" s="333"/>
      <c r="BH2748" s="1119"/>
      <c r="BI2748" s="319"/>
      <c r="BJ2748" s="319"/>
      <c r="BK2748" s="319"/>
      <c r="BL2748" s="319"/>
      <c r="BM2748" s="319"/>
      <c r="BN2748" s="319"/>
      <c r="BO2748" s="319"/>
      <c r="BP2748" s="953"/>
      <c r="BQ2748" s="319"/>
      <c r="BR2748" s="319"/>
      <c r="BS2748" s="330"/>
      <c r="BT2748" s="331"/>
      <c r="BU2748" s="920"/>
      <c r="BV2748" s="903"/>
      <c r="BW2748" s="908"/>
      <c r="BX2748" s="908"/>
      <c r="BY2748" s="331"/>
      <c r="BZ2748" s="331"/>
      <c r="CA2748" s="462"/>
      <c r="CB2748" s="319"/>
      <c r="CC2748" s="319"/>
      <c r="CD2748" s="319"/>
      <c r="CE2748" s="319"/>
      <c r="CF2748" s="319"/>
      <c r="CG2748" s="319"/>
      <c r="CH2748" s="318"/>
      <c r="CI2748" s="319"/>
      <c r="CJ2748" s="319"/>
      <c r="CK2748" s="342"/>
      <c r="CL2748" s="333"/>
      <c r="CM2748" s="1079"/>
      <c r="CN2748" s="1005"/>
      <c r="CO2748" s="1005"/>
      <c r="CP2748" s="1005"/>
    </row>
    <row r="2749">
      <c r="A2749" s="1257"/>
      <c r="B2749" s="1113"/>
      <c r="C2749" s="1107"/>
      <c r="D2749" s="103"/>
      <c r="E2749" s="1137"/>
      <c r="F2749" s="112"/>
      <c r="G2749" s="1110"/>
      <c r="H2749" s="1138"/>
      <c r="I2749" s="1138"/>
      <c r="J2749" s="1139"/>
      <c r="K2749" s="1111"/>
      <c r="L2749" s="1112"/>
      <c r="M2749" s="1113"/>
      <c r="N2749" s="110"/>
      <c r="O2749" s="1140"/>
      <c r="P2749" s="1115"/>
      <c r="Q2749" s="1116"/>
      <c r="R2749" s="1141"/>
      <c r="S2749" s="1113"/>
      <c r="T2749" s="1143"/>
      <c r="U2749" s="1108"/>
      <c r="V2749" s="1108"/>
      <c r="W2749" s="1108"/>
      <c r="X2749" s="1108"/>
      <c r="Y2749" s="1108"/>
      <c r="Z2749" s="1114"/>
      <c r="AA2749" s="1114"/>
      <c r="AB2749" s="1114"/>
      <c r="AC2749" s="1117"/>
      <c r="AD2749" s="1115"/>
      <c r="AE2749" s="1115"/>
      <c r="AF2749" s="1115"/>
      <c r="AG2749" s="1115"/>
      <c r="AH2749" s="1115"/>
      <c r="AI2749" s="1115"/>
      <c r="AJ2749" s="1117"/>
      <c r="AK2749" s="1118"/>
      <c r="AL2749" s="1115"/>
      <c r="AM2749" s="1115"/>
      <c r="AN2749" s="1115"/>
      <c r="AO2749" s="1115"/>
      <c r="AP2749" s="1115"/>
      <c r="AQ2749" s="1115"/>
      <c r="AR2749" s="1115"/>
      <c r="AS2749" s="1117"/>
      <c r="AT2749" s="1075"/>
      <c r="AU2749" s="1193"/>
      <c r="AV2749" s="330"/>
      <c r="AW2749" s="331"/>
      <c r="AX2749" s="331"/>
      <c r="AY2749" s="331"/>
      <c r="AZ2749" s="331"/>
      <c r="BA2749" s="331"/>
      <c r="BB2749" s="331"/>
      <c r="BC2749" s="331"/>
      <c r="BD2749" s="331"/>
      <c r="BE2749" s="333"/>
      <c r="BF2749" s="330"/>
      <c r="BG2749" s="333"/>
      <c r="BH2749" s="1119"/>
      <c r="BI2749" s="319"/>
      <c r="BJ2749" s="319"/>
      <c r="BK2749" s="319"/>
      <c r="BL2749" s="319"/>
      <c r="BM2749" s="319"/>
      <c r="BN2749" s="319"/>
      <c r="BO2749" s="319"/>
      <c r="BP2749" s="953"/>
      <c r="BQ2749" s="319"/>
      <c r="BR2749" s="319"/>
      <c r="BS2749" s="330"/>
      <c r="BT2749" s="331"/>
      <c r="BU2749" s="920"/>
      <c r="BV2749" s="903"/>
      <c r="BW2749" s="908"/>
      <c r="BX2749" s="908"/>
      <c r="BY2749" s="331"/>
      <c r="BZ2749" s="331"/>
      <c r="CA2749" s="462"/>
      <c r="CB2749" s="319"/>
      <c r="CC2749" s="319"/>
      <c r="CD2749" s="319"/>
      <c r="CE2749" s="319"/>
      <c r="CF2749" s="319"/>
      <c r="CG2749" s="319"/>
      <c r="CH2749" s="318"/>
      <c r="CI2749" s="319"/>
      <c r="CJ2749" s="319"/>
      <c r="CK2749" s="342"/>
      <c r="CL2749" s="333"/>
      <c r="CM2749" s="1079"/>
      <c r="CN2749" s="1005"/>
      <c r="CO2749" s="1005"/>
      <c r="CP2749" s="1005"/>
    </row>
    <row r="2750">
      <c r="A2750" s="1257"/>
      <c r="B2750" s="1113"/>
      <c r="C2750" s="1107"/>
      <c r="D2750" s="103"/>
      <c r="E2750" s="1137"/>
      <c r="F2750" s="112"/>
      <c r="G2750" s="1110"/>
      <c r="H2750" s="1138"/>
      <c r="I2750" s="1138"/>
      <c r="J2750" s="1139"/>
      <c r="K2750" s="1111"/>
      <c r="L2750" s="1112"/>
      <c r="M2750" s="1113"/>
      <c r="N2750" s="110"/>
      <c r="O2750" s="1140"/>
      <c r="P2750" s="1115"/>
      <c r="Q2750" s="1116"/>
      <c r="R2750" s="1141"/>
      <c r="S2750" s="1113"/>
      <c r="T2750" s="1143"/>
      <c r="U2750" s="1108"/>
      <c r="V2750" s="1108"/>
      <c r="W2750" s="1108"/>
      <c r="X2750" s="1108"/>
      <c r="Y2750" s="1108"/>
      <c r="Z2750" s="1114"/>
      <c r="AA2750" s="1114"/>
      <c r="AB2750" s="1114"/>
      <c r="AC2750" s="1117"/>
      <c r="AD2750" s="1115"/>
      <c r="AE2750" s="1115"/>
      <c r="AF2750" s="1115"/>
      <c r="AG2750" s="1115"/>
      <c r="AH2750" s="1115"/>
      <c r="AI2750" s="1115"/>
      <c r="AJ2750" s="1117"/>
      <c r="AK2750" s="1118"/>
      <c r="AL2750" s="1115"/>
      <c r="AM2750" s="1115"/>
      <c r="AN2750" s="1115"/>
      <c r="AO2750" s="1115"/>
      <c r="AP2750" s="1115"/>
      <c r="AQ2750" s="1115"/>
      <c r="AR2750" s="1115"/>
      <c r="AS2750" s="1117"/>
      <c r="AT2750" s="1075"/>
      <c r="AU2750" s="1193"/>
      <c r="AV2750" s="330"/>
      <c r="AW2750" s="331"/>
      <c r="AX2750" s="331"/>
      <c r="AY2750" s="331"/>
      <c r="AZ2750" s="331"/>
      <c r="BA2750" s="331"/>
      <c r="BB2750" s="331"/>
      <c r="BC2750" s="331"/>
      <c r="BD2750" s="331"/>
      <c r="BE2750" s="333"/>
      <c r="BF2750" s="330"/>
      <c r="BG2750" s="333"/>
      <c r="BH2750" s="1119"/>
      <c r="BI2750" s="319"/>
      <c r="BJ2750" s="319"/>
      <c r="BK2750" s="319"/>
      <c r="BL2750" s="319"/>
      <c r="BM2750" s="319"/>
      <c r="BN2750" s="319"/>
      <c r="BO2750" s="319"/>
      <c r="BP2750" s="953"/>
      <c r="BQ2750" s="319"/>
      <c r="BR2750" s="319"/>
      <c r="BS2750" s="330"/>
      <c r="BT2750" s="331"/>
      <c r="BU2750" s="920"/>
      <c r="BV2750" s="903"/>
      <c r="BW2750" s="908"/>
      <c r="BX2750" s="908"/>
      <c r="BY2750" s="331"/>
      <c r="BZ2750" s="331"/>
      <c r="CA2750" s="462"/>
      <c r="CB2750" s="319"/>
      <c r="CC2750" s="319"/>
      <c r="CD2750" s="319"/>
      <c r="CE2750" s="319"/>
      <c r="CF2750" s="319"/>
      <c r="CG2750" s="319"/>
      <c r="CH2750" s="318"/>
      <c r="CI2750" s="319"/>
      <c r="CJ2750" s="319"/>
      <c r="CK2750" s="342"/>
      <c r="CL2750" s="333"/>
      <c r="CM2750" s="1079"/>
      <c r="CN2750" s="1005"/>
      <c r="CO2750" s="1005"/>
      <c r="CP2750" s="1005"/>
    </row>
    <row r="2751">
      <c r="A2751" s="1257"/>
      <c r="B2751" s="1113"/>
      <c r="C2751" s="1107"/>
      <c r="D2751" s="103"/>
      <c r="E2751" s="1137"/>
      <c r="F2751" s="112"/>
      <c r="G2751" s="1110"/>
      <c r="H2751" s="1138"/>
      <c r="I2751" s="1138"/>
      <c r="J2751" s="1139"/>
      <c r="K2751" s="1111"/>
      <c r="L2751" s="1112"/>
      <c r="M2751" s="1113"/>
      <c r="N2751" s="110"/>
      <c r="O2751" s="1140"/>
      <c r="P2751" s="1115"/>
      <c r="Q2751" s="1116"/>
      <c r="R2751" s="1141"/>
      <c r="S2751" s="1113"/>
      <c r="T2751" s="1143"/>
      <c r="U2751" s="1108"/>
      <c r="V2751" s="1108"/>
      <c r="W2751" s="1108"/>
      <c r="X2751" s="1108"/>
      <c r="Y2751" s="1108"/>
      <c r="Z2751" s="1114"/>
      <c r="AA2751" s="1114"/>
      <c r="AB2751" s="1114"/>
      <c r="AC2751" s="1117"/>
      <c r="AD2751" s="1115"/>
      <c r="AE2751" s="1115"/>
      <c r="AF2751" s="1115"/>
      <c r="AG2751" s="1115"/>
      <c r="AH2751" s="1115"/>
      <c r="AI2751" s="1115"/>
      <c r="AJ2751" s="1117"/>
      <c r="AK2751" s="1118"/>
      <c r="AL2751" s="1115"/>
      <c r="AM2751" s="1115"/>
      <c r="AN2751" s="1115"/>
      <c r="AO2751" s="1115"/>
      <c r="AP2751" s="1115"/>
      <c r="AQ2751" s="1115"/>
      <c r="AR2751" s="1115"/>
      <c r="AS2751" s="1117"/>
      <c r="AT2751" s="1075"/>
      <c r="AU2751" s="1193"/>
      <c r="AV2751" s="330"/>
      <c r="AW2751" s="331"/>
      <c r="AX2751" s="331"/>
      <c r="AY2751" s="331"/>
      <c r="AZ2751" s="331"/>
      <c r="BA2751" s="331"/>
      <c r="BB2751" s="331"/>
      <c r="BC2751" s="331"/>
      <c r="BD2751" s="331"/>
      <c r="BE2751" s="333"/>
      <c r="BF2751" s="330"/>
      <c r="BG2751" s="333"/>
      <c r="BH2751" s="1119"/>
      <c r="BI2751" s="319"/>
      <c r="BJ2751" s="319"/>
      <c r="BK2751" s="319"/>
      <c r="BL2751" s="319"/>
      <c r="BM2751" s="319"/>
      <c r="BN2751" s="319"/>
      <c r="BO2751" s="319"/>
      <c r="BP2751" s="953"/>
      <c r="BQ2751" s="319"/>
      <c r="BR2751" s="319"/>
      <c r="BS2751" s="330"/>
      <c r="BT2751" s="331"/>
      <c r="BU2751" s="920"/>
      <c r="BV2751" s="903"/>
      <c r="BW2751" s="908"/>
      <c r="BX2751" s="908"/>
      <c r="BY2751" s="331"/>
      <c r="BZ2751" s="331"/>
      <c r="CA2751" s="462"/>
      <c r="CB2751" s="319"/>
      <c r="CC2751" s="319"/>
      <c r="CD2751" s="319"/>
      <c r="CE2751" s="319"/>
      <c r="CF2751" s="319"/>
      <c r="CG2751" s="319"/>
      <c r="CH2751" s="318"/>
      <c r="CI2751" s="319"/>
      <c r="CJ2751" s="319"/>
      <c r="CK2751" s="342"/>
      <c r="CL2751" s="333"/>
      <c r="CM2751" s="1079"/>
      <c r="CN2751" s="1005"/>
      <c r="CO2751" s="1005"/>
      <c r="CP2751" s="1005"/>
    </row>
    <row r="2752">
      <c r="A2752" s="1257"/>
      <c r="B2752" s="1113"/>
      <c r="C2752" s="1107"/>
      <c r="D2752" s="103"/>
      <c r="E2752" s="1137"/>
      <c r="F2752" s="112"/>
      <c r="G2752" s="1110"/>
      <c r="H2752" s="1138"/>
      <c r="I2752" s="1138"/>
      <c r="J2752" s="1139"/>
      <c r="K2752" s="1111"/>
      <c r="L2752" s="1112"/>
      <c r="M2752" s="1113"/>
      <c r="N2752" s="110"/>
      <c r="O2752" s="1140"/>
      <c r="P2752" s="1115"/>
      <c r="Q2752" s="1116"/>
      <c r="R2752" s="1141"/>
      <c r="S2752" s="1113"/>
      <c r="T2752" s="1143"/>
      <c r="U2752" s="1108"/>
      <c r="V2752" s="1108"/>
      <c r="W2752" s="1108"/>
      <c r="X2752" s="1108"/>
      <c r="Y2752" s="1108"/>
      <c r="Z2752" s="1114"/>
      <c r="AA2752" s="1114"/>
      <c r="AB2752" s="1114"/>
      <c r="AC2752" s="1117"/>
      <c r="AD2752" s="1115"/>
      <c r="AE2752" s="1115"/>
      <c r="AF2752" s="1115"/>
      <c r="AG2752" s="1115"/>
      <c r="AH2752" s="1115"/>
      <c r="AI2752" s="1115"/>
      <c r="AJ2752" s="1117"/>
      <c r="AK2752" s="1118"/>
      <c r="AL2752" s="1115"/>
      <c r="AM2752" s="1115"/>
      <c r="AN2752" s="1115"/>
      <c r="AO2752" s="1115"/>
      <c r="AP2752" s="1115"/>
      <c r="AQ2752" s="1115"/>
      <c r="AR2752" s="1115"/>
      <c r="AS2752" s="1117"/>
      <c r="AT2752" s="1075"/>
      <c r="AU2752" s="1193"/>
      <c r="AV2752" s="330"/>
      <c r="AW2752" s="331"/>
      <c r="AX2752" s="331"/>
      <c r="AY2752" s="331"/>
      <c r="AZ2752" s="331"/>
      <c r="BA2752" s="331"/>
      <c r="BB2752" s="331"/>
      <c r="BC2752" s="331"/>
      <c r="BD2752" s="331"/>
      <c r="BE2752" s="333"/>
      <c r="BF2752" s="330"/>
      <c r="BG2752" s="333"/>
      <c r="BH2752" s="1119"/>
      <c r="BI2752" s="319"/>
      <c r="BJ2752" s="319"/>
      <c r="BK2752" s="319"/>
      <c r="BL2752" s="319"/>
      <c r="BM2752" s="319"/>
      <c r="BN2752" s="319"/>
      <c r="BO2752" s="319"/>
      <c r="BP2752" s="953"/>
      <c r="BQ2752" s="319"/>
      <c r="BR2752" s="319"/>
      <c r="BS2752" s="330"/>
      <c r="BT2752" s="331"/>
      <c r="BU2752" s="920"/>
      <c r="BV2752" s="903"/>
      <c r="BW2752" s="908"/>
      <c r="BX2752" s="908"/>
      <c r="BY2752" s="331"/>
      <c r="BZ2752" s="331"/>
      <c r="CA2752" s="462"/>
      <c r="CB2752" s="319"/>
      <c r="CC2752" s="319"/>
      <c r="CD2752" s="319"/>
      <c r="CE2752" s="319"/>
      <c r="CF2752" s="319"/>
      <c r="CG2752" s="319"/>
      <c r="CH2752" s="318"/>
      <c r="CI2752" s="319"/>
      <c r="CJ2752" s="319"/>
      <c r="CK2752" s="342"/>
      <c r="CL2752" s="333"/>
      <c r="CM2752" s="1079"/>
      <c r="CN2752" s="1005"/>
      <c r="CO2752" s="1005"/>
      <c r="CP2752" s="1005"/>
    </row>
    <row r="2753">
      <c r="A2753" s="1257"/>
      <c r="B2753" s="1113"/>
      <c r="C2753" s="1107"/>
      <c r="D2753" s="103"/>
      <c r="E2753" s="1137"/>
      <c r="F2753" s="112"/>
      <c r="G2753" s="1110"/>
      <c r="H2753" s="1138"/>
      <c r="I2753" s="1138"/>
      <c r="J2753" s="1139"/>
      <c r="K2753" s="1111"/>
      <c r="L2753" s="1112"/>
      <c r="M2753" s="1113"/>
      <c r="N2753" s="110"/>
      <c r="O2753" s="1140"/>
      <c r="P2753" s="1115"/>
      <c r="Q2753" s="1116"/>
      <c r="R2753" s="1141"/>
      <c r="S2753" s="1113"/>
      <c r="T2753" s="1143"/>
      <c r="U2753" s="1108"/>
      <c r="V2753" s="1108"/>
      <c r="W2753" s="1108"/>
      <c r="X2753" s="1108"/>
      <c r="Y2753" s="1108"/>
      <c r="Z2753" s="1114"/>
      <c r="AA2753" s="1114"/>
      <c r="AB2753" s="1114"/>
      <c r="AC2753" s="1117"/>
      <c r="AD2753" s="1115"/>
      <c r="AE2753" s="1115"/>
      <c r="AF2753" s="1115"/>
      <c r="AG2753" s="1115"/>
      <c r="AH2753" s="1115"/>
      <c r="AI2753" s="1115"/>
      <c r="AJ2753" s="1117"/>
      <c r="AK2753" s="1118"/>
      <c r="AL2753" s="1115"/>
      <c r="AM2753" s="1115"/>
      <c r="AN2753" s="1115"/>
      <c r="AO2753" s="1115"/>
      <c r="AP2753" s="1115"/>
      <c r="AQ2753" s="1115"/>
      <c r="AR2753" s="1115"/>
      <c r="AS2753" s="1117"/>
      <c r="AT2753" s="1075"/>
      <c r="AU2753" s="1193"/>
      <c r="AV2753" s="330"/>
      <c r="AW2753" s="331"/>
      <c r="AX2753" s="331"/>
      <c r="AY2753" s="331"/>
      <c r="AZ2753" s="331"/>
      <c r="BA2753" s="331"/>
      <c r="BB2753" s="331"/>
      <c r="BC2753" s="331"/>
      <c r="BD2753" s="331"/>
      <c r="BE2753" s="333"/>
      <c r="BF2753" s="330"/>
      <c r="BG2753" s="333"/>
      <c r="BH2753" s="1119"/>
      <c r="BI2753" s="319"/>
      <c r="BJ2753" s="319"/>
      <c r="BK2753" s="319"/>
      <c r="BL2753" s="319"/>
      <c r="BM2753" s="319"/>
      <c r="BN2753" s="319"/>
      <c r="BO2753" s="319"/>
      <c r="BP2753" s="953"/>
      <c r="BQ2753" s="319"/>
      <c r="BR2753" s="319"/>
      <c r="BS2753" s="330"/>
      <c r="BT2753" s="331"/>
      <c r="BU2753" s="920"/>
      <c r="BV2753" s="903"/>
      <c r="BW2753" s="908"/>
      <c r="BX2753" s="908"/>
      <c r="BY2753" s="331"/>
      <c r="BZ2753" s="331"/>
      <c r="CA2753" s="462"/>
      <c r="CB2753" s="319"/>
      <c r="CC2753" s="319"/>
      <c r="CD2753" s="319"/>
      <c r="CE2753" s="319"/>
      <c r="CF2753" s="319"/>
      <c r="CG2753" s="319"/>
      <c r="CH2753" s="318"/>
      <c r="CI2753" s="319"/>
      <c r="CJ2753" s="319"/>
      <c r="CK2753" s="342"/>
      <c r="CL2753" s="333"/>
      <c r="CM2753" s="1079"/>
      <c r="CN2753" s="1005"/>
      <c r="CO2753" s="1005"/>
      <c r="CP2753" s="1005"/>
    </row>
    <row r="2754">
      <c r="A2754" s="1257"/>
      <c r="B2754" s="1113"/>
      <c r="C2754" s="1107"/>
      <c r="D2754" s="103"/>
      <c r="E2754" s="1137"/>
      <c r="F2754" s="112"/>
      <c r="G2754" s="1110"/>
      <c r="H2754" s="1138"/>
      <c r="I2754" s="1138"/>
      <c r="J2754" s="1139"/>
      <c r="K2754" s="1111"/>
      <c r="L2754" s="1112"/>
      <c r="M2754" s="1113"/>
      <c r="N2754" s="110"/>
      <c r="O2754" s="1140"/>
      <c r="P2754" s="1115"/>
      <c r="Q2754" s="1116"/>
      <c r="R2754" s="1141"/>
      <c r="S2754" s="1113"/>
      <c r="T2754" s="1143"/>
      <c r="U2754" s="1108"/>
      <c r="V2754" s="1108"/>
      <c r="W2754" s="1108"/>
      <c r="X2754" s="1108"/>
      <c r="Y2754" s="1108"/>
      <c r="Z2754" s="1114"/>
      <c r="AA2754" s="1114"/>
      <c r="AB2754" s="1114"/>
      <c r="AC2754" s="1117"/>
      <c r="AD2754" s="1115"/>
      <c r="AE2754" s="1115"/>
      <c r="AF2754" s="1115"/>
      <c r="AG2754" s="1115"/>
      <c r="AH2754" s="1115"/>
      <c r="AI2754" s="1115"/>
      <c r="AJ2754" s="1117"/>
      <c r="AK2754" s="1118"/>
      <c r="AL2754" s="1115"/>
      <c r="AM2754" s="1115"/>
      <c r="AN2754" s="1115"/>
      <c r="AO2754" s="1115"/>
      <c r="AP2754" s="1115"/>
      <c r="AQ2754" s="1115"/>
      <c r="AR2754" s="1115"/>
      <c r="AS2754" s="1117"/>
      <c r="AT2754" s="1075"/>
      <c r="AU2754" s="1193"/>
      <c r="AV2754" s="330"/>
      <c r="AW2754" s="331"/>
      <c r="AX2754" s="331"/>
      <c r="AY2754" s="331"/>
      <c r="AZ2754" s="331"/>
      <c r="BA2754" s="331"/>
      <c r="BB2754" s="331"/>
      <c r="BC2754" s="331"/>
      <c r="BD2754" s="331"/>
      <c r="BE2754" s="333"/>
      <c r="BF2754" s="330"/>
      <c r="BG2754" s="333"/>
      <c r="BH2754" s="1119"/>
      <c r="BI2754" s="319"/>
      <c r="BJ2754" s="319"/>
      <c r="BK2754" s="319"/>
      <c r="BL2754" s="319"/>
      <c r="BM2754" s="319"/>
      <c r="BN2754" s="319"/>
      <c r="BO2754" s="319"/>
      <c r="BP2754" s="953"/>
      <c r="BQ2754" s="319"/>
      <c r="BR2754" s="319"/>
      <c r="BS2754" s="330"/>
      <c r="BT2754" s="331"/>
      <c r="BU2754" s="920"/>
      <c r="BV2754" s="903"/>
      <c r="BW2754" s="908"/>
      <c r="BX2754" s="908"/>
      <c r="BY2754" s="331"/>
      <c r="BZ2754" s="331"/>
      <c r="CA2754" s="462"/>
      <c r="CB2754" s="319"/>
      <c r="CC2754" s="319"/>
      <c r="CD2754" s="319"/>
      <c r="CE2754" s="319"/>
      <c r="CF2754" s="319"/>
      <c r="CG2754" s="319"/>
      <c r="CH2754" s="318"/>
      <c r="CI2754" s="319"/>
      <c r="CJ2754" s="319"/>
      <c r="CK2754" s="342"/>
      <c r="CL2754" s="333"/>
      <c r="CM2754" s="1079"/>
      <c r="CN2754" s="1005"/>
      <c r="CO2754" s="1005"/>
      <c r="CP2754" s="1005"/>
    </row>
    <row r="2755">
      <c r="A2755" s="1257"/>
      <c r="B2755" s="1113"/>
      <c r="C2755" s="1107"/>
      <c r="D2755" s="103"/>
      <c r="E2755" s="1137"/>
      <c r="F2755" s="112"/>
      <c r="G2755" s="1110"/>
      <c r="H2755" s="1138"/>
      <c r="I2755" s="1138"/>
      <c r="J2755" s="1139"/>
      <c r="K2755" s="1111"/>
      <c r="L2755" s="1112"/>
      <c r="M2755" s="1113"/>
      <c r="N2755" s="110"/>
      <c r="O2755" s="1140"/>
      <c r="P2755" s="1115"/>
      <c r="Q2755" s="1116"/>
      <c r="R2755" s="1141"/>
      <c r="S2755" s="1113"/>
      <c r="T2755" s="1143"/>
      <c r="U2755" s="1108"/>
      <c r="V2755" s="1108"/>
      <c r="W2755" s="1108"/>
      <c r="X2755" s="1108"/>
      <c r="Y2755" s="1108"/>
      <c r="Z2755" s="1114"/>
      <c r="AA2755" s="1114"/>
      <c r="AB2755" s="1114"/>
      <c r="AC2755" s="1117"/>
      <c r="AD2755" s="1115"/>
      <c r="AE2755" s="1115"/>
      <c r="AF2755" s="1115"/>
      <c r="AG2755" s="1115"/>
      <c r="AH2755" s="1115"/>
      <c r="AI2755" s="1115"/>
      <c r="AJ2755" s="1117"/>
      <c r="AK2755" s="1118"/>
      <c r="AL2755" s="1115"/>
      <c r="AM2755" s="1115"/>
      <c r="AN2755" s="1115"/>
      <c r="AO2755" s="1115"/>
      <c r="AP2755" s="1115"/>
      <c r="AQ2755" s="1115"/>
      <c r="AR2755" s="1115"/>
      <c r="AS2755" s="1117"/>
      <c r="AT2755" s="1075"/>
      <c r="AU2755" s="1193"/>
      <c r="AV2755" s="330"/>
      <c r="AW2755" s="331"/>
      <c r="AX2755" s="331"/>
      <c r="AY2755" s="331"/>
      <c r="AZ2755" s="331"/>
      <c r="BA2755" s="331"/>
      <c r="BB2755" s="331"/>
      <c r="BC2755" s="331"/>
      <c r="BD2755" s="331"/>
      <c r="BE2755" s="333"/>
      <c r="BF2755" s="330"/>
      <c r="BG2755" s="333"/>
      <c r="BH2755" s="1119"/>
      <c r="BI2755" s="319"/>
      <c r="BJ2755" s="319"/>
      <c r="BK2755" s="319"/>
      <c r="BL2755" s="319"/>
      <c r="BM2755" s="319"/>
      <c r="BN2755" s="319"/>
      <c r="BO2755" s="319"/>
      <c r="BP2755" s="953"/>
      <c r="BQ2755" s="319"/>
      <c r="BR2755" s="319"/>
      <c r="BS2755" s="330"/>
      <c r="BT2755" s="331"/>
      <c r="BU2755" s="920"/>
      <c r="BV2755" s="903"/>
      <c r="BW2755" s="908"/>
      <c r="BX2755" s="908"/>
      <c r="BY2755" s="331"/>
      <c r="BZ2755" s="331"/>
      <c r="CA2755" s="462"/>
      <c r="CB2755" s="319"/>
      <c r="CC2755" s="319"/>
      <c r="CD2755" s="319"/>
      <c r="CE2755" s="319"/>
      <c r="CF2755" s="319"/>
      <c r="CG2755" s="319"/>
      <c r="CH2755" s="318"/>
      <c r="CI2755" s="319"/>
      <c r="CJ2755" s="319"/>
      <c r="CK2755" s="342"/>
      <c r="CL2755" s="333"/>
      <c r="CM2755" s="1079"/>
      <c r="CN2755" s="1005"/>
      <c r="CO2755" s="1005"/>
      <c r="CP2755" s="1005"/>
    </row>
    <row r="2756">
      <c r="A2756" s="1257"/>
      <c r="B2756" s="1113"/>
      <c r="C2756" s="1107"/>
      <c r="D2756" s="103"/>
      <c r="E2756" s="1137"/>
      <c r="F2756" s="112"/>
      <c r="G2756" s="1110"/>
      <c r="H2756" s="1138"/>
      <c r="I2756" s="1138"/>
      <c r="J2756" s="1139"/>
      <c r="K2756" s="1111"/>
      <c r="L2756" s="1112"/>
      <c r="M2756" s="1113"/>
      <c r="N2756" s="110"/>
      <c r="O2756" s="1140"/>
      <c r="P2756" s="1115"/>
      <c r="Q2756" s="1116"/>
      <c r="R2756" s="1141"/>
      <c r="S2756" s="1113"/>
      <c r="T2756" s="1143"/>
      <c r="U2756" s="1108"/>
      <c r="V2756" s="1108"/>
      <c r="W2756" s="1108"/>
      <c r="X2756" s="1108"/>
      <c r="Y2756" s="1108"/>
      <c r="Z2756" s="1114"/>
      <c r="AA2756" s="1114"/>
      <c r="AB2756" s="1114"/>
      <c r="AC2756" s="1117"/>
      <c r="AD2756" s="1115"/>
      <c r="AE2756" s="1115"/>
      <c r="AF2756" s="1115"/>
      <c r="AG2756" s="1115"/>
      <c r="AH2756" s="1115"/>
      <c r="AI2756" s="1115"/>
      <c r="AJ2756" s="1117"/>
      <c r="AK2756" s="1118"/>
      <c r="AL2756" s="1115"/>
      <c r="AM2756" s="1115"/>
      <c r="AN2756" s="1115"/>
      <c r="AO2756" s="1115"/>
      <c r="AP2756" s="1115"/>
      <c r="AQ2756" s="1115"/>
      <c r="AR2756" s="1115"/>
      <c r="AS2756" s="1117"/>
      <c r="AT2756" s="1075"/>
      <c r="AU2756" s="1193"/>
      <c r="AV2756" s="330"/>
      <c r="AW2756" s="331"/>
      <c r="AX2756" s="331"/>
      <c r="AY2756" s="331"/>
      <c r="AZ2756" s="331"/>
      <c r="BA2756" s="331"/>
      <c r="BB2756" s="331"/>
      <c r="BC2756" s="331"/>
      <c r="BD2756" s="331"/>
      <c r="BE2756" s="333"/>
      <c r="BF2756" s="330"/>
      <c r="BG2756" s="333"/>
      <c r="BH2756" s="1119"/>
      <c r="BI2756" s="319"/>
      <c r="BJ2756" s="319"/>
      <c r="BK2756" s="319"/>
      <c r="BL2756" s="319"/>
      <c r="BM2756" s="319"/>
      <c r="BN2756" s="319"/>
      <c r="BO2756" s="319"/>
      <c r="BP2756" s="953"/>
      <c r="BQ2756" s="319"/>
      <c r="BR2756" s="319"/>
      <c r="BS2756" s="330"/>
      <c r="BT2756" s="331"/>
      <c r="BU2756" s="920"/>
      <c r="BV2756" s="903"/>
      <c r="BW2756" s="908"/>
      <c r="BX2756" s="908"/>
      <c r="BY2756" s="331"/>
      <c r="BZ2756" s="331"/>
      <c r="CA2756" s="462"/>
      <c r="CB2756" s="319"/>
      <c r="CC2756" s="319"/>
      <c r="CD2756" s="319"/>
      <c r="CE2756" s="319"/>
      <c r="CF2756" s="319"/>
      <c r="CG2756" s="319"/>
      <c r="CH2756" s="318"/>
      <c r="CI2756" s="319"/>
      <c r="CJ2756" s="319"/>
      <c r="CK2756" s="342"/>
      <c r="CL2756" s="333"/>
      <c r="CM2756" s="1079"/>
      <c r="CN2756" s="1005"/>
      <c r="CO2756" s="1005"/>
      <c r="CP2756" s="1005"/>
    </row>
    <row r="2757">
      <c r="A2757" s="1257"/>
      <c r="B2757" s="1113"/>
      <c r="C2757" s="1107"/>
      <c r="D2757" s="103"/>
      <c r="E2757" s="1137"/>
      <c r="F2757" s="112"/>
      <c r="G2757" s="1110"/>
      <c r="H2757" s="1138"/>
      <c r="I2757" s="1138"/>
      <c r="J2757" s="1139"/>
      <c r="K2757" s="1111"/>
      <c r="L2757" s="1112"/>
      <c r="M2757" s="1113"/>
      <c r="N2757" s="110"/>
      <c r="O2757" s="1140"/>
      <c r="P2757" s="1115"/>
      <c r="Q2757" s="1116"/>
      <c r="R2757" s="1141"/>
      <c r="S2757" s="1113"/>
      <c r="T2757" s="1143"/>
      <c r="U2757" s="1108"/>
      <c r="V2757" s="1108"/>
      <c r="W2757" s="1108"/>
      <c r="X2757" s="1108"/>
      <c r="Y2757" s="1108"/>
      <c r="Z2757" s="1114"/>
      <c r="AA2757" s="1114"/>
      <c r="AB2757" s="1114"/>
      <c r="AC2757" s="1117"/>
      <c r="AD2757" s="1115"/>
      <c r="AE2757" s="1115"/>
      <c r="AF2757" s="1115"/>
      <c r="AG2757" s="1115"/>
      <c r="AH2757" s="1115"/>
      <c r="AI2757" s="1115"/>
      <c r="AJ2757" s="1117"/>
      <c r="AK2757" s="1118"/>
      <c r="AL2757" s="1115"/>
      <c r="AM2757" s="1115"/>
      <c r="AN2757" s="1115"/>
      <c r="AO2757" s="1115"/>
      <c r="AP2757" s="1115"/>
      <c r="AQ2757" s="1115"/>
      <c r="AR2757" s="1115"/>
      <c r="AS2757" s="1117"/>
      <c r="AT2757" s="1075"/>
      <c r="AU2757" s="1193"/>
      <c r="AV2757" s="330"/>
      <c r="AW2757" s="331"/>
      <c r="AX2757" s="331"/>
      <c r="AY2757" s="331"/>
      <c r="AZ2757" s="331"/>
      <c r="BA2757" s="331"/>
      <c r="BB2757" s="331"/>
      <c r="BC2757" s="331"/>
      <c r="BD2757" s="331"/>
      <c r="BE2757" s="333"/>
      <c r="BF2757" s="330"/>
      <c r="BG2757" s="333"/>
      <c r="BH2757" s="1119"/>
      <c r="BI2757" s="319"/>
      <c r="BJ2757" s="319"/>
      <c r="BK2757" s="319"/>
      <c r="BL2757" s="319"/>
      <c r="BM2757" s="319"/>
      <c r="BN2757" s="319"/>
      <c r="BO2757" s="319"/>
      <c r="BP2757" s="953"/>
      <c r="BQ2757" s="319"/>
      <c r="BR2757" s="319"/>
      <c r="BS2757" s="330"/>
      <c r="BT2757" s="331"/>
      <c r="BU2757" s="920"/>
      <c r="BV2757" s="903"/>
      <c r="BW2757" s="908"/>
      <c r="BX2757" s="908"/>
      <c r="BY2757" s="331"/>
      <c r="BZ2757" s="331"/>
      <c r="CA2757" s="462"/>
      <c r="CB2757" s="319"/>
      <c r="CC2757" s="319"/>
      <c r="CD2757" s="319"/>
      <c r="CE2757" s="319"/>
      <c r="CF2757" s="319"/>
      <c r="CG2757" s="319"/>
      <c r="CH2757" s="318"/>
      <c r="CI2757" s="319"/>
      <c r="CJ2757" s="319"/>
      <c r="CK2757" s="342"/>
      <c r="CL2757" s="333"/>
      <c r="CM2757" s="1079"/>
      <c r="CN2757" s="1005"/>
      <c r="CO2757" s="1005"/>
      <c r="CP2757" s="1005"/>
    </row>
    <row r="2758">
      <c r="A2758" s="1257"/>
      <c r="B2758" s="1113"/>
      <c r="C2758" s="1107"/>
      <c r="D2758" s="103"/>
      <c r="E2758" s="1137"/>
      <c r="F2758" s="112"/>
      <c r="G2758" s="1110"/>
      <c r="H2758" s="1138"/>
      <c r="I2758" s="1138"/>
      <c r="J2758" s="1139"/>
      <c r="K2758" s="1111"/>
      <c r="L2758" s="1112"/>
      <c r="M2758" s="1113"/>
      <c r="N2758" s="110"/>
      <c r="O2758" s="1140"/>
      <c r="P2758" s="1115"/>
      <c r="Q2758" s="1116"/>
      <c r="R2758" s="1141"/>
      <c r="S2758" s="1113"/>
      <c r="T2758" s="1143"/>
      <c r="U2758" s="1108"/>
      <c r="V2758" s="1108"/>
      <c r="W2758" s="1108"/>
      <c r="X2758" s="1108"/>
      <c r="Y2758" s="1108"/>
      <c r="Z2758" s="1114"/>
      <c r="AA2758" s="1114"/>
      <c r="AB2758" s="1114"/>
      <c r="AC2758" s="1117"/>
      <c r="AD2758" s="1115"/>
      <c r="AE2758" s="1115"/>
      <c r="AF2758" s="1115"/>
      <c r="AG2758" s="1115"/>
      <c r="AH2758" s="1115"/>
      <c r="AI2758" s="1115"/>
      <c r="AJ2758" s="1117"/>
      <c r="AK2758" s="1118"/>
      <c r="AL2758" s="1115"/>
      <c r="AM2758" s="1115"/>
      <c r="AN2758" s="1115"/>
      <c r="AO2758" s="1115"/>
      <c r="AP2758" s="1115"/>
      <c r="AQ2758" s="1115"/>
      <c r="AR2758" s="1115"/>
      <c r="AS2758" s="1117"/>
      <c r="AT2758" s="1075"/>
      <c r="AU2758" s="1193"/>
      <c r="AV2758" s="330"/>
      <c r="AW2758" s="331"/>
      <c r="AX2758" s="331"/>
      <c r="AY2758" s="331"/>
      <c r="AZ2758" s="331"/>
      <c r="BA2758" s="331"/>
      <c r="BB2758" s="331"/>
      <c r="BC2758" s="331"/>
      <c r="BD2758" s="331"/>
      <c r="BE2758" s="333"/>
      <c r="BF2758" s="330"/>
      <c r="BG2758" s="333"/>
      <c r="BH2758" s="1119"/>
      <c r="BI2758" s="319"/>
      <c r="BJ2758" s="319"/>
      <c r="BK2758" s="319"/>
      <c r="BL2758" s="319"/>
      <c r="BM2758" s="319"/>
      <c r="BN2758" s="319"/>
      <c r="BO2758" s="319"/>
      <c r="BP2758" s="953"/>
      <c r="BQ2758" s="319"/>
      <c r="BR2758" s="319"/>
      <c r="BS2758" s="330"/>
      <c r="BT2758" s="331"/>
      <c r="BU2758" s="920"/>
      <c r="BV2758" s="903"/>
      <c r="BW2758" s="908"/>
      <c r="BX2758" s="908"/>
      <c r="BY2758" s="331"/>
      <c r="BZ2758" s="331"/>
      <c r="CA2758" s="462"/>
      <c r="CB2758" s="319"/>
      <c r="CC2758" s="319"/>
      <c r="CD2758" s="319"/>
      <c r="CE2758" s="319"/>
      <c r="CF2758" s="319"/>
      <c r="CG2758" s="319"/>
      <c r="CH2758" s="318"/>
      <c r="CI2758" s="319"/>
      <c r="CJ2758" s="319"/>
      <c r="CK2758" s="342"/>
      <c r="CL2758" s="333"/>
      <c r="CM2758" s="1079"/>
      <c r="CN2758" s="1005"/>
      <c r="CO2758" s="1005"/>
      <c r="CP2758" s="1005"/>
    </row>
    <row r="2759">
      <c r="A2759" s="1257"/>
      <c r="B2759" s="1113"/>
      <c r="C2759" s="1107"/>
      <c r="D2759" s="103"/>
      <c r="E2759" s="1137"/>
      <c r="F2759" s="112"/>
      <c r="G2759" s="1110"/>
      <c r="H2759" s="1138"/>
      <c r="I2759" s="1138"/>
      <c r="J2759" s="1139"/>
      <c r="K2759" s="1111"/>
      <c r="L2759" s="1112"/>
      <c r="M2759" s="1113"/>
      <c r="N2759" s="110"/>
      <c r="O2759" s="1140"/>
      <c r="P2759" s="1115"/>
      <c r="Q2759" s="1116"/>
      <c r="R2759" s="1141"/>
      <c r="S2759" s="1113"/>
      <c r="T2759" s="1143"/>
      <c r="U2759" s="1108"/>
      <c r="V2759" s="1108"/>
      <c r="W2759" s="1108"/>
      <c r="X2759" s="1108"/>
      <c r="Y2759" s="1108"/>
      <c r="Z2759" s="1114"/>
      <c r="AA2759" s="1114"/>
      <c r="AB2759" s="1114"/>
      <c r="AC2759" s="1117"/>
      <c r="AD2759" s="1115"/>
      <c r="AE2759" s="1115"/>
      <c r="AF2759" s="1115"/>
      <c r="AG2759" s="1115"/>
      <c r="AH2759" s="1115"/>
      <c r="AI2759" s="1115"/>
      <c r="AJ2759" s="1117"/>
      <c r="AK2759" s="1118"/>
      <c r="AL2759" s="1115"/>
      <c r="AM2759" s="1115"/>
      <c r="AN2759" s="1115"/>
      <c r="AO2759" s="1115"/>
      <c r="AP2759" s="1115"/>
      <c r="AQ2759" s="1115"/>
      <c r="AR2759" s="1115"/>
      <c r="AS2759" s="1117"/>
      <c r="AT2759" s="1075"/>
      <c r="AU2759" s="1193"/>
      <c r="AV2759" s="330"/>
      <c r="AW2759" s="331"/>
      <c r="AX2759" s="331"/>
      <c r="AY2759" s="331"/>
      <c r="AZ2759" s="331"/>
      <c r="BA2759" s="331"/>
      <c r="BB2759" s="331"/>
      <c r="BC2759" s="331"/>
      <c r="BD2759" s="331"/>
      <c r="BE2759" s="333"/>
      <c r="BF2759" s="330"/>
      <c r="BG2759" s="333"/>
      <c r="BH2759" s="1119"/>
      <c r="BI2759" s="319"/>
      <c r="BJ2759" s="319"/>
      <c r="BK2759" s="319"/>
      <c r="BL2759" s="319"/>
      <c r="BM2759" s="319"/>
      <c r="BN2759" s="319"/>
      <c r="BO2759" s="319"/>
      <c r="BP2759" s="953"/>
      <c r="BQ2759" s="319"/>
      <c r="BR2759" s="319"/>
      <c r="BS2759" s="330"/>
      <c r="BT2759" s="331"/>
      <c r="BU2759" s="920"/>
      <c r="BV2759" s="903"/>
      <c r="BW2759" s="908"/>
      <c r="BX2759" s="908"/>
      <c r="BY2759" s="331"/>
      <c r="BZ2759" s="331"/>
      <c r="CA2759" s="462"/>
      <c r="CB2759" s="319"/>
      <c r="CC2759" s="319"/>
      <c r="CD2759" s="319"/>
      <c r="CE2759" s="319"/>
      <c r="CF2759" s="319"/>
      <c r="CG2759" s="319"/>
      <c r="CH2759" s="318"/>
      <c r="CI2759" s="319"/>
      <c r="CJ2759" s="319"/>
      <c r="CK2759" s="342"/>
      <c r="CL2759" s="333"/>
      <c r="CM2759" s="1079"/>
      <c r="CN2759" s="1005"/>
      <c r="CO2759" s="1005"/>
      <c r="CP2759" s="1005"/>
    </row>
    <row r="2760">
      <c r="A2760" s="1257"/>
      <c r="B2760" s="1113"/>
      <c r="C2760" s="1107"/>
      <c r="D2760" s="103"/>
      <c r="E2760" s="1137"/>
      <c r="F2760" s="112"/>
      <c r="G2760" s="1110"/>
      <c r="H2760" s="1138"/>
      <c r="I2760" s="1138"/>
      <c r="J2760" s="1139"/>
      <c r="K2760" s="1111"/>
      <c r="L2760" s="1112"/>
      <c r="M2760" s="1113"/>
      <c r="N2760" s="110"/>
      <c r="O2760" s="1140"/>
      <c r="P2760" s="1115"/>
      <c r="Q2760" s="1116"/>
      <c r="R2760" s="1141"/>
      <c r="S2760" s="1113"/>
      <c r="T2760" s="1143"/>
      <c r="U2760" s="1108"/>
      <c r="V2760" s="1108"/>
      <c r="W2760" s="1108"/>
      <c r="X2760" s="1108"/>
      <c r="Y2760" s="1108"/>
      <c r="Z2760" s="1114"/>
      <c r="AA2760" s="1114"/>
      <c r="AB2760" s="1114"/>
      <c r="AC2760" s="1117"/>
      <c r="AD2760" s="1115"/>
      <c r="AE2760" s="1115"/>
      <c r="AF2760" s="1115"/>
      <c r="AG2760" s="1115"/>
      <c r="AH2760" s="1115"/>
      <c r="AI2760" s="1115"/>
      <c r="AJ2760" s="1117"/>
      <c r="AK2760" s="1118"/>
      <c r="AL2760" s="1115"/>
      <c r="AM2760" s="1115"/>
      <c r="AN2760" s="1115"/>
      <c r="AO2760" s="1115"/>
      <c r="AP2760" s="1115"/>
      <c r="AQ2760" s="1115"/>
      <c r="AR2760" s="1115"/>
      <c r="AS2760" s="1117"/>
      <c r="AT2760" s="1075"/>
      <c r="AU2760" s="1193"/>
      <c r="AV2760" s="330"/>
      <c r="AW2760" s="331"/>
      <c r="AX2760" s="331"/>
      <c r="AY2760" s="331"/>
      <c r="AZ2760" s="331"/>
      <c r="BA2760" s="331"/>
      <c r="BB2760" s="331"/>
      <c r="BC2760" s="331"/>
      <c r="BD2760" s="331"/>
      <c r="BE2760" s="333"/>
      <c r="BF2760" s="330"/>
      <c r="BG2760" s="333"/>
      <c r="BH2760" s="1119"/>
      <c r="BI2760" s="319"/>
      <c r="BJ2760" s="319"/>
      <c r="BK2760" s="319"/>
      <c r="BL2760" s="319"/>
      <c r="BM2760" s="319"/>
      <c r="BN2760" s="319"/>
      <c r="BO2760" s="319"/>
      <c r="BP2760" s="953"/>
      <c r="BQ2760" s="319"/>
      <c r="BR2760" s="319"/>
      <c r="BS2760" s="330"/>
      <c r="BT2760" s="331"/>
      <c r="BU2760" s="920"/>
      <c r="BV2760" s="903"/>
      <c r="BW2760" s="908"/>
      <c r="BX2760" s="908"/>
      <c r="BY2760" s="331"/>
      <c r="BZ2760" s="331"/>
      <c r="CA2760" s="462"/>
      <c r="CB2760" s="319"/>
      <c r="CC2760" s="319"/>
      <c r="CD2760" s="319"/>
      <c r="CE2760" s="319"/>
      <c r="CF2760" s="319"/>
      <c r="CG2760" s="319"/>
      <c r="CH2760" s="318"/>
      <c r="CI2760" s="319"/>
      <c r="CJ2760" s="319"/>
      <c r="CK2760" s="342"/>
      <c r="CL2760" s="333"/>
      <c r="CM2760" s="1079"/>
      <c r="CN2760" s="1005"/>
      <c r="CO2760" s="1005"/>
      <c r="CP2760" s="1005"/>
    </row>
    <row r="2761">
      <c r="A2761" s="1257"/>
      <c r="B2761" s="1113"/>
      <c r="C2761" s="1107"/>
      <c r="D2761" s="103"/>
      <c r="E2761" s="1137"/>
      <c r="F2761" s="112"/>
      <c r="G2761" s="1110"/>
      <c r="H2761" s="1138"/>
      <c r="I2761" s="1138"/>
      <c r="J2761" s="1139"/>
      <c r="K2761" s="1111"/>
      <c r="L2761" s="1112"/>
      <c r="M2761" s="1113"/>
      <c r="N2761" s="110"/>
      <c r="O2761" s="1140"/>
      <c r="P2761" s="1115"/>
      <c r="Q2761" s="1116"/>
      <c r="R2761" s="1141"/>
      <c r="S2761" s="1113"/>
      <c r="T2761" s="1143"/>
      <c r="U2761" s="1108"/>
      <c r="V2761" s="1108"/>
      <c r="W2761" s="1108"/>
      <c r="X2761" s="1108"/>
      <c r="Y2761" s="1108"/>
      <c r="Z2761" s="1114"/>
      <c r="AA2761" s="1114"/>
      <c r="AB2761" s="1114"/>
      <c r="AC2761" s="1117"/>
      <c r="AD2761" s="1115"/>
      <c r="AE2761" s="1115"/>
      <c r="AF2761" s="1115"/>
      <c r="AG2761" s="1115"/>
      <c r="AH2761" s="1115"/>
      <c r="AI2761" s="1115"/>
      <c r="AJ2761" s="1117"/>
      <c r="AK2761" s="1118"/>
      <c r="AL2761" s="1115"/>
      <c r="AM2761" s="1115"/>
      <c r="AN2761" s="1115"/>
      <c r="AO2761" s="1115"/>
      <c r="AP2761" s="1115"/>
      <c r="AQ2761" s="1115"/>
      <c r="AR2761" s="1115"/>
      <c r="AS2761" s="1117"/>
      <c r="AT2761" s="1075"/>
      <c r="AU2761" s="1193"/>
      <c r="AV2761" s="330"/>
      <c r="AW2761" s="331"/>
      <c r="AX2761" s="331"/>
      <c r="AY2761" s="331"/>
      <c r="AZ2761" s="331"/>
      <c r="BA2761" s="331"/>
      <c r="BB2761" s="331"/>
      <c r="BC2761" s="331"/>
      <c r="BD2761" s="331"/>
      <c r="BE2761" s="333"/>
      <c r="BF2761" s="330"/>
      <c r="BG2761" s="333"/>
      <c r="BH2761" s="1119"/>
      <c r="BI2761" s="319"/>
      <c r="BJ2761" s="319"/>
      <c r="BK2761" s="319"/>
      <c r="BL2761" s="319"/>
      <c r="BM2761" s="319"/>
      <c r="BN2761" s="319"/>
      <c r="BO2761" s="319"/>
      <c r="BP2761" s="953"/>
      <c r="BQ2761" s="319"/>
      <c r="BR2761" s="319"/>
      <c r="BS2761" s="330"/>
      <c r="BT2761" s="331"/>
      <c r="BU2761" s="920"/>
      <c r="BV2761" s="903"/>
      <c r="BW2761" s="908"/>
      <c r="BX2761" s="908"/>
      <c r="BY2761" s="331"/>
      <c r="BZ2761" s="331"/>
      <c r="CA2761" s="462"/>
      <c r="CB2761" s="319"/>
      <c r="CC2761" s="319"/>
      <c r="CD2761" s="319"/>
      <c r="CE2761" s="319"/>
      <c r="CF2761" s="319"/>
      <c r="CG2761" s="319"/>
      <c r="CH2761" s="318"/>
      <c r="CI2761" s="319"/>
      <c r="CJ2761" s="319"/>
      <c r="CK2761" s="342"/>
      <c r="CL2761" s="333"/>
      <c r="CM2761" s="1079"/>
      <c r="CN2761" s="1005"/>
      <c r="CO2761" s="1005"/>
      <c r="CP2761" s="1005"/>
    </row>
    <row r="2762">
      <c r="A2762" s="1257"/>
      <c r="B2762" s="1113"/>
      <c r="C2762" s="1107"/>
      <c r="D2762" s="103"/>
      <c r="E2762" s="1137"/>
      <c r="F2762" s="112"/>
      <c r="G2762" s="1110"/>
      <c r="H2762" s="1138"/>
      <c r="I2762" s="1138"/>
      <c r="J2762" s="1139"/>
      <c r="K2762" s="1111"/>
      <c r="L2762" s="1112"/>
      <c r="M2762" s="1113"/>
      <c r="N2762" s="110"/>
      <c r="O2762" s="1140"/>
      <c r="P2762" s="1115"/>
      <c r="Q2762" s="1116"/>
      <c r="R2762" s="1141"/>
      <c r="S2762" s="1113"/>
      <c r="T2762" s="1143"/>
      <c r="U2762" s="1108"/>
      <c r="V2762" s="1108"/>
      <c r="W2762" s="1108"/>
      <c r="X2762" s="1108"/>
      <c r="Y2762" s="1108"/>
      <c r="Z2762" s="1114"/>
      <c r="AA2762" s="1114"/>
      <c r="AB2762" s="1114"/>
      <c r="AC2762" s="1117"/>
      <c r="AD2762" s="1115"/>
      <c r="AE2762" s="1115"/>
      <c r="AF2762" s="1115"/>
      <c r="AG2762" s="1115"/>
      <c r="AH2762" s="1115"/>
      <c r="AI2762" s="1115"/>
      <c r="AJ2762" s="1117"/>
      <c r="AK2762" s="1118"/>
      <c r="AL2762" s="1115"/>
      <c r="AM2762" s="1115"/>
      <c r="AN2762" s="1115"/>
      <c r="AO2762" s="1115"/>
      <c r="AP2762" s="1115"/>
      <c r="AQ2762" s="1115"/>
      <c r="AR2762" s="1115"/>
      <c r="AS2762" s="1117"/>
      <c r="AT2762" s="1075"/>
      <c r="AU2762" s="1193"/>
      <c r="AV2762" s="330"/>
      <c r="AW2762" s="331"/>
      <c r="AX2762" s="331"/>
      <c r="AY2762" s="331"/>
      <c r="AZ2762" s="331"/>
      <c r="BA2762" s="331"/>
      <c r="BB2762" s="331"/>
      <c r="BC2762" s="331"/>
      <c r="BD2762" s="331"/>
      <c r="BE2762" s="333"/>
      <c r="BF2762" s="330"/>
      <c r="BG2762" s="333"/>
      <c r="BH2762" s="1119"/>
      <c r="BI2762" s="319"/>
      <c r="BJ2762" s="319"/>
      <c r="BK2762" s="319"/>
      <c r="BL2762" s="319"/>
      <c r="BM2762" s="319"/>
      <c r="BN2762" s="319"/>
      <c r="BO2762" s="319"/>
      <c r="BP2762" s="953"/>
      <c r="BQ2762" s="319"/>
      <c r="BR2762" s="319"/>
      <c r="BS2762" s="330"/>
      <c r="BT2762" s="331"/>
      <c r="BU2762" s="920"/>
      <c r="BV2762" s="903"/>
      <c r="BW2762" s="908"/>
      <c r="BX2762" s="908"/>
      <c r="BY2762" s="331"/>
      <c r="BZ2762" s="331"/>
      <c r="CA2762" s="462"/>
      <c r="CB2762" s="319"/>
      <c r="CC2762" s="319"/>
      <c r="CD2762" s="319"/>
      <c r="CE2762" s="319"/>
      <c r="CF2762" s="319"/>
      <c r="CG2762" s="319"/>
      <c r="CH2762" s="318"/>
      <c r="CI2762" s="319"/>
      <c r="CJ2762" s="319"/>
      <c r="CK2762" s="342"/>
      <c r="CL2762" s="333"/>
      <c r="CM2762" s="1079"/>
      <c r="CN2762" s="1005"/>
      <c r="CO2762" s="1005"/>
      <c r="CP2762" s="1005"/>
    </row>
    <row r="2763">
      <c r="A2763" s="1257"/>
      <c r="B2763" s="1113"/>
      <c r="C2763" s="1107"/>
      <c r="D2763" s="103"/>
      <c r="E2763" s="1137"/>
      <c r="F2763" s="112"/>
      <c r="G2763" s="1110"/>
      <c r="H2763" s="1138"/>
      <c r="I2763" s="1138"/>
      <c r="J2763" s="1139"/>
      <c r="K2763" s="1111"/>
      <c r="L2763" s="1112"/>
      <c r="M2763" s="1113"/>
      <c r="N2763" s="110"/>
      <c r="O2763" s="1140"/>
      <c r="P2763" s="1115"/>
      <c r="Q2763" s="1116"/>
      <c r="R2763" s="1141"/>
      <c r="S2763" s="1113"/>
      <c r="T2763" s="1143"/>
      <c r="U2763" s="1108"/>
      <c r="V2763" s="1108"/>
      <c r="W2763" s="1108"/>
      <c r="X2763" s="1108"/>
      <c r="Y2763" s="1108"/>
      <c r="Z2763" s="1114"/>
      <c r="AA2763" s="1114"/>
      <c r="AB2763" s="1114"/>
      <c r="AC2763" s="1117"/>
      <c r="AD2763" s="1115"/>
      <c r="AE2763" s="1115"/>
      <c r="AF2763" s="1115"/>
      <c r="AG2763" s="1115"/>
      <c r="AH2763" s="1115"/>
      <c r="AI2763" s="1115"/>
      <c r="AJ2763" s="1117"/>
      <c r="AK2763" s="1118"/>
      <c r="AL2763" s="1115"/>
      <c r="AM2763" s="1115"/>
      <c r="AN2763" s="1115"/>
      <c r="AO2763" s="1115"/>
      <c r="AP2763" s="1115"/>
      <c r="AQ2763" s="1115"/>
      <c r="AR2763" s="1115"/>
      <c r="AS2763" s="1117"/>
      <c r="AT2763" s="1075"/>
      <c r="AU2763" s="1193"/>
      <c r="AV2763" s="330"/>
      <c r="AW2763" s="331"/>
      <c r="AX2763" s="331"/>
      <c r="AY2763" s="331"/>
      <c r="AZ2763" s="331"/>
      <c r="BA2763" s="331"/>
      <c r="BB2763" s="331"/>
      <c r="BC2763" s="331"/>
      <c r="BD2763" s="331"/>
      <c r="BE2763" s="333"/>
      <c r="BF2763" s="330"/>
      <c r="BG2763" s="333"/>
      <c r="BH2763" s="1119"/>
      <c r="BI2763" s="319"/>
      <c r="BJ2763" s="319"/>
      <c r="BK2763" s="319"/>
      <c r="BL2763" s="319"/>
      <c r="BM2763" s="319"/>
      <c r="BN2763" s="319"/>
      <c r="BO2763" s="319"/>
      <c r="BP2763" s="953"/>
      <c r="BQ2763" s="319"/>
      <c r="BR2763" s="319"/>
      <c r="BS2763" s="330"/>
      <c r="BT2763" s="331"/>
      <c r="BU2763" s="920"/>
      <c r="BV2763" s="903"/>
      <c r="BW2763" s="908"/>
      <c r="BX2763" s="908"/>
      <c r="BY2763" s="331"/>
      <c r="BZ2763" s="331"/>
      <c r="CA2763" s="462"/>
      <c r="CB2763" s="319"/>
      <c r="CC2763" s="319"/>
      <c r="CD2763" s="319"/>
      <c r="CE2763" s="319"/>
      <c r="CF2763" s="319"/>
      <c r="CG2763" s="319"/>
      <c r="CH2763" s="318"/>
      <c r="CI2763" s="319"/>
      <c r="CJ2763" s="319"/>
      <c r="CK2763" s="342"/>
      <c r="CL2763" s="333"/>
      <c r="CM2763" s="1079"/>
      <c r="CN2763" s="1005"/>
      <c r="CO2763" s="1005"/>
      <c r="CP2763" s="1005"/>
    </row>
    <row r="2764">
      <c r="A2764" s="1257"/>
      <c r="B2764" s="1113"/>
      <c r="C2764" s="1107"/>
      <c r="D2764" s="103"/>
      <c r="E2764" s="1137"/>
      <c r="F2764" s="112"/>
      <c r="G2764" s="1110"/>
      <c r="H2764" s="1138"/>
      <c r="I2764" s="1138"/>
      <c r="J2764" s="1139"/>
      <c r="K2764" s="1111"/>
      <c r="L2764" s="1112"/>
      <c r="M2764" s="1113"/>
      <c r="N2764" s="110"/>
      <c r="O2764" s="1140"/>
      <c r="P2764" s="1115"/>
      <c r="Q2764" s="1116"/>
      <c r="R2764" s="1141"/>
      <c r="S2764" s="1113"/>
      <c r="T2764" s="1143"/>
      <c r="U2764" s="1108"/>
      <c r="V2764" s="1108"/>
      <c r="W2764" s="1108"/>
      <c r="X2764" s="1108"/>
      <c r="Y2764" s="1108"/>
      <c r="Z2764" s="1114"/>
      <c r="AA2764" s="1114"/>
      <c r="AB2764" s="1114"/>
      <c r="AC2764" s="1117"/>
      <c r="AD2764" s="1115"/>
      <c r="AE2764" s="1115"/>
      <c r="AF2764" s="1115"/>
      <c r="AG2764" s="1115"/>
      <c r="AH2764" s="1115"/>
      <c r="AI2764" s="1115"/>
      <c r="AJ2764" s="1117"/>
      <c r="AK2764" s="1118"/>
      <c r="AL2764" s="1115"/>
      <c r="AM2764" s="1115"/>
      <c r="AN2764" s="1115"/>
      <c r="AO2764" s="1115"/>
      <c r="AP2764" s="1115"/>
      <c r="AQ2764" s="1115"/>
      <c r="AR2764" s="1115"/>
      <c r="AS2764" s="1117"/>
      <c r="AT2764" s="1075"/>
      <c r="AU2764" s="1193"/>
      <c r="AV2764" s="330"/>
      <c r="AW2764" s="331"/>
      <c r="AX2764" s="331"/>
      <c r="AY2764" s="331"/>
      <c r="AZ2764" s="331"/>
      <c r="BA2764" s="331"/>
      <c r="BB2764" s="331"/>
      <c r="BC2764" s="331"/>
      <c r="BD2764" s="331"/>
      <c r="BE2764" s="333"/>
      <c r="BF2764" s="330"/>
      <c r="BG2764" s="333"/>
      <c r="BH2764" s="1119"/>
      <c r="BI2764" s="319"/>
      <c r="BJ2764" s="319"/>
      <c r="BK2764" s="319"/>
      <c r="BL2764" s="319"/>
      <c r="BM2764" s="319"/>
      <c r="BN2764" s="319"/>
      <c r="BO2764" s="319"/>
      <c r="BP2764" s="953"/>
      <c r="BQ2764" s="319"/>
      <c r="BR2764" s="319"/>
      <c r="BS2764" s="330"/>
      <c r="BT2764" s="331"/>
      <c r="BU2764" s="920"/>
      <c r="BV2764" s="903"/>
      <c r="BW2764" s="908"/>
      <c r="BX2764" s="908"/>
      <c r="BY2764" s="331"/>
      <c r="BZ2764" s="331"/>
      <c r="CA2764" s="462"/>
      <c r="CB2764" s="319"/>
      <c r="CC2764" s="319"/>
      <c r="CD2764" s="319"/>
      <c r="CE2764" s="319"/>
      <c r="CF2764" s="319"/>
      <c r="CG2764" s="319"/>
      <c r="CH2764" s="318"/>
      <c r="CI2764" s="319"/>
      <c r="CJ2764" s="319"/>
      <c r="CK2764" s="342"/>
      <c r="CL2764" s="333"/>
      <c r="CM2764" s="1079"/>
      <c r="CN2764" s="1005"/>
      <c r="CO2764" s="1005"/>
      <c r="CP2764" s="1005"/>
    </row>
    <row r="2765">
      <c r="A2765" s="1257"/>
      <c r="B2765" s="1113"/>
      <c r="C2765" s="1107"/>
      <c r="D2765" s="103"/>
      <c r="E2765" s="1137"/>
      <c r="F2765" s="112"/>
      <c r="G2765" s="1110"/>
      <c r="H2765" s="1138"/>
      <c r="I2765" s="1138"/>
      <c r="J2765" s="1139"/>
      <c r="K2765" s="1111"/>
      <c r="L2765" s="1112"/>
      <c r="M2765" s="1113"/>
      <c r="N2765" s="110"/>
      <c r="O2765" s="1140"/>
      <c r="P2765" s="1115"/>
      <c r="Q2765" s="1116"/>
      <c r="R2765" s="1141"/>
      <c r="S2765" s="1113"/>
      <c r="T2765" s="1143"/>
      <c r="U2765" s="1108"/>
      <c r="V2765" s="1108"/>
      <c r="W2765" s="1108"/>
      <c r="X2765" s="1108"/>
      <c r="Y2765" s="1108"/>
      <c r="Z2765" s="1114"/>
      <c r="AA2765" s="1114"/>
      <c r="AB2765" s="1114"/>
      <c r="AC2765" s="1117"/>
      <c r="AD2765" s="1115"/>
      <c r="AE2765" s="1115"/>
      <c r="AF2765" s="1115"/>
      <c r="AG2765" s="1115"/>
      <c r="AH2765" s="1115"/>
      <c r="AI2765" s="1115"/>
      <c r="AJ2765" s="1117"/>
      <c r="AK2765" s="1118"/>
      <c r="AL2765" s="1115"/>
      <c r="AM2765" s="1115"/>
      <c r="AN2765" s="1115"/>
      <c r="AO2765" s="1115"/>
      <c r="AP2765" s="1115"/>
      <c r="AQ2765" s="1115"/>
      <c r="AR2765" s="1115"/>
      <c r="AS2765" s="1117"/>
      <c r="AT2765" s="1075"/>
      <c r="AU2765" s="1193"/>
      <c r="AV2765" s="330"/>
      <c r="AW2765" s="331"/>
      <c r="AX2765" s="331"/>
      <c r="AY2765" s="331"/>
      <c r="AZ2765" s="331"/>
      <c r="BA2765" s="331"/>
      <c r="BB2765" s="331"/>
      <c r="BC2765" s="331"/>
      <c r="BD2765" s="331"/>
      <c r="BE2765" s="333"/>
      <c r="BF2765" s="330"/>
      <c r="BG2765" s="333"/>
      <c r="BH2765" s="1119"/>
      <c r="BI2765" s="319"/>
      <c r="BJ2765" s="319"/>
      <c r="BK2765" s="319"/>
      <c r="BL2765" s="319"/>
      <c r="BM2765" s="319"/>
      <c r="BN2765" s="319"/>
      <c r="BO2765" s="319"/>
      <c r="BP2765" s="953"/>
      <c r="BQ2765" s="319"/>
      <c r="BR2765" s="319"/>
      <c r="BS2765" s="330"/>
      <c r="BT2765" s="331"/>
      <c r="BU2765" s="920"/>
      <c r="BV2765" s="903"/>
      <c r="BW2765" s="908"/>
      <c r="BX2765" s="908"/>
      <c r="BY2765" s="331"/>
      <c r="BZ2765" s="331"/>
      <c r="CA2765" s="462"/>
      <c r="CB2765" s="319"/>
      <c r="CC2765" s="319"/>
      <c r="CD2765" s="319"/>
      <c r="CE2765" s="319"/>
      <c r="CF2765" s="319"/>
      <c r="CG2765" s="319"/>
      <c r="CH2765" s="318"/>
      <c r="CI2765" s="319"/>
      <c r="CJ2765" s="319"/>
      <c r="CK2765" s="342"/>
      <c r="CL2765" s="333"/>
      <c r="CM2765" s="1079"/>
      <c r="CN2765" s="1005"/>
      <c r="CO2765" s="1005"/>
      <c r="CP2765" s="1005"/>
    </row>
    <row r="2766">
      <c r="A2766" s="1257"/>
      <c r="B2766" s="1113"/>
      <c r="C2766" s="1107"/>
      <c r="D2766" s="103"/>
      <c r="E2766" s="1137"/>
      <c r="F2766" s="112"/>
      <c r="G2766" s="1110"/>
      <c r="H2766" s="1138"/>
      <c r="I2766" s="1138"/>
      <c r="J2766" s="1139"/>
      <c r="K2766" s="1111"/>
      <c r="L2766" s="1112"/>
      <c r="M2766" s="1113"/>
      <c r="N2766" s="110"/>
      <c r="O2766" s="1140"/>
      <c r="P2766" s="1115"/>
      <c r="Q2766" s="1116"/>
      <c r="R2766" s="1141"/>
      <c r="S2766" s="1113"/>
      <c r="T2766" s="1143"/>
      <c r="U2766" s="1108"/>
      <c r="V2766" s="1108"/>
      <c r="W2766" s="1108"/>
      <c r="X2766" s="1108"/>
      <c r="Y2766" s="1108"/>
      <c r="Z2766" s="1114"/>
      <c r="AA2766" s="1114"/>
      <c r="AB2766" s="1114"/>
      <c r="AC2766" s="1117"/>
      <c r="AD2766" s="1115"/>
      <c r="AE2766" s="1115"/>
      <c r="AF2766" s="1115"/>
      <c r="AG2766" s="1115"/>
      <c r="AH2766" s="1115"/>
      <c r="AI2766" s="1115"/>
      <c r="AJ2766" s="1117"/>
      <c r="AK2766" s="1118"/>
      <c r="AL2766" s="1115"/>
      <c r="AM2766" s="1115"/>
      <c r="AN2766" s="1115"/>
      <c r="AO2766" s="1115"/>
      <c r="AP2766" s="1115"/>
      <c r="AQ2766" s="1115"/>
      <c r="AR2766" s="1115"/>
      <c r="AS2766" s="1117"/>
      <c r="AT2766" s="1075"/>
      <c r="AU2766" s="1193"/>
      <c r="AV2766" s="330"/>
      <c r="AW2766" s="331"/>
      <c r="AX2766" s="331"/>
      <c r="AY2766" s="331"/>
      <c r="AZ2766" s="331"/>
      <c r="BA2766" s="331"/>
      <c r="BB2766" s="331"/>
      <c r="BC2766" s="331"/>
      <c r="BD2766" s="331"/>
      <c r="BE2766" s="333"/>
      <c r="BF2766" s="330"/>
      <c r="BG2766" s="333"/>
      <c r="BH2766" s="1119"/>
      <c r="BI2766" s="319"/>
      <c r="BJ2766" s="319"/>
      <c r="BK2766" s="319"/>
      <c r="BL2766" s="319"/>
      <c r="BM2766" s="319"/>
      <c r="BN2766" s="319"/>
      <c r="BO2766" s="319"/>
      <c r="BP2766" s="953"/>
      <c r="BQ2766" s="319"/>
      <c r="BR2766" s="319"/>
      <c r="BS2766" s="330"/>
      <c r="BT2766" s="331"/>
      <c r="BU2766" s="920"/>
      <c r="BV2766" s="903"/>
      <c r="BW2766" s="908"/>
      <c r="BX2766" s="908"/>
      <c r="BY2766" s="331"/>
      <c r="BZ2766" s="331"/>
      <c r="CA2766" s="462"/>
      <c r="CB2766" s="319"/>
      <c r="CC2766" s="319"/>
      <c r="CD2766" s="319"/>
      <c r="CE2766" s="319"/>
      <c r="CF2766" s="319"/>
      <c r="CG2766" s="319"/>
      <c r="CH2766" s="318"/>
      <c r="CI2766" s="319"/>
      <c r="CJ2766" s="319"/>
      <c r="CK2766" s="342"/>
      <c r="CL2766" s="333"/>
      <c r="CM2766" s="1079"/>
      <c r="CN2766" s="1005"/>
      <c r="CO2766" s="1005"/>
      <c r="CP2766" s="1005"/>
    </row>
    <row r="2767">
      <c r="A2767" s="1257"/>
      <c r="B2767" s="1113"/>
      <c r="C2767" s="1107"/>
      <c r="D2767" s="103"/>
      <c r="E2767" s="1137"/>
      <c r="F2767" s="112"/>
      <c r="G2767" s="1110"/>
      <c r="H2767" s="1138"/>
      <c r="I2767" s="1138"/>
      <c r="J2767" s="1139"/>
      <c r="K2767" s="1111"/>
      <c r="L2767" s="1112"/>
      <c r="M2767" s="1113"/>
      <c r="N2767" s="110"/>
      <c r="O2767" s="1140"/>
      <c r="P2767" s="1115"/>
      <c r="Q2767" s="1116"/>
      <c r="R2767" s="1141"/>
      <c r="S2767" s="1113"/>
      <c r="T2767" s="1143"/>
      <c r="U2767" s="1108"/>
      <c r="V2767" s="1108"/>
      <c r="W2767" s="1108"/>
      <c r="X2767" s="1108"/>
      <c r="Y2767" s="1108"/>
      <c r="Z2767" s="1114"/>
      <c r="AA2767" s="1114"/>
      <c r="AB2767" s="1114"/>
      <c r="AC2767" s="1117"/>
      <c r="AD2767" s="1115"/>
      <c r="AE2767" s="1115"/>
      <c r="AF2767" s="1115"/>
      <c r="AG2767" s="1115"/>
      <c r="AH2767" s="1115"/>
      <c r="AI2767" s="1115"/>
      <c r="AJ2767" s="1117"/>
      <c r="AK2767" s="1118"/>
      <c r="AL2767" s="1115"/>
      <c r="AM2767" s="1115"/>
      <c r="AN2767" s="1115"/>
      <c r="AO2767" s="1115"/>
      <c r="AP2767" s="1115"/>
      <c r="AQ2767" s="1115"/>
      <c r="AR2767" s="1115"/>
      <c r="AS2767" s="1117"/>
      <c r="AT2767" s="1075"/>
      <c r="AU2767" s="1193"/>
      <c r="AV2767" s="330"/>
      <c r="AW2767" s="331"/>
      <c r="AX2767" s="331"/>
      <c r="AY2767" s="331"/>
      <c r="AZ2767" s="331"/>
      <c r="BA2767" s="331"/>
      <c r="BB2767" s="331"/>
      <c r="BC2767" s="331"/>
      <c r="BD2767" s="331"/>
      <c r="BE2767" s="333"/>
      <c r="BF2767" s="330"/>
      <c r="BG2767" s="333"/>
      <c r="BH2767" s="1119"/>
      <c r="BI2767" s="319"/>
      <c r="BJ2767" s="319"/>
      <c r="BK2767" s="319"/>
      <c r="BL2767" s="319"/>
      <c r="BM2767" s="319"/>
      <c r="BN2767" s="319"/>
      <c r="BO2767" s="319"/>
      <c r="BP2767" s="953"/>
      <c r="BQ2767" s="319"/>
      <c r="BR2767" s="319"/>
      <c r="BS2767" s="330"/>
      <c r="BT2767" s="331"/>
      <c r="BU2767" s="920"/>
      <c r="BV2767" s="903"/>
      <c r="BW2767" s="908"/>
      <c r="BX2767" s="908"/>
      <c r="BY2767" s="331"/>
      <c r="BZ2767" s="331"/>
      <c r="CA2767" s="462"/>
      <c r="CB2767" s="319"/>
      <c r="CC2767" s="319"/>
      <c r="CD2767" s="319"/>
      <c r="CE2767" s="319"/>
      <c r="CF2767" s="319"/>
      <c r="CG2767" s="319"/>
      <c r="CH2767" s="318"/>
      <c r="CI2767" s="319"/>
      <c r="CJ2767" s="319"/>
      <c r="CK2767" s="342"/>
      <c r="CL2767" s="333"/>
      <c r="CM2767" s="1079"/>
      <c r="CN2767" s="1005"/>
      <c r="CO2767" s="1005"/>
      <c r="CP2767" s="1005"/>
    </row>
    <row r="2768">
      <c r="A2768" s="1257"/>
      <c r="B2768" s="1113"/>
      <c r="C2768" s="1107"/>
      <c r="D2768" s="103"/>
      <c r="E2768" s="1137"/>
      <c r="F2768" s="112"/>
      <c r="G2768" s="1110"/>
      <c r="H2768" s="1138"/>
      <c r="I2768" s="1138"/>
      <c r="J2768" s="1139"/>
      <c r="K2768" s="1111"/>
      <c r="L2768" s="1112"/>
      <c r="M2768" s="1113"/>
      <c r="N2768" s="110"/>
      <c r="O2768" s="1140"/>
      <c r="P2768" s="1115"/>
      <c r="Q2768" s="1116"/>
      <c r="R2768" s="1141"/>
      <c r="S2768" s="1113"/>
      <c r="T2768" s="1143"/>
      <c r="U2768" s="1108"/>
      <c r="V2768" s="1108"/>
      <c r="W2768" s="1108"/>
      <c r="X2768" s="1108"/>
      <c r="Y2768" s="1108"/>
      <c r="Z2768" s="1114"/>
      <c r="AA2768" s="1114"/>
      <c r="AB2768" s="1114"/>
      <c r="AC2768" s="1117"/>
      <c r="AD2768" s="1115"/>
      <c r="AE2768" s="1115"/>
      <c r="AF2768" s="1115"/>
      <c r="AG2768" s="1115"/>
      <c r="AH2768" s="1115"/>
      <c r="AI2768" s="1115"/>
      <c r="AJ2768" s="1117"/>
      <c r="AK2768" s="1118"/>
      <c r="AL2768" s="1115"/>
      <c r="AM2768" s="1115"/>
      <c r="AN2768" s="1115"/>
      <c r="AO2768" s="1115"/>
      <c r="AP2768" s="1115"/>
      <c r="AQ2768" s="1115"/>
      <c r="AR2768" s="1115"/>
      <c r="AS2768" s="1117"/>
      <c r="AT2768" s="1075"/>
      <c r="AU2768" s="1193"/>
      <c r="AV2768" s="330"/>
      <c r="AW2768" s="331"/>
      <c r="AX2768" s="331"/>
      <c r="AY2768" s="331"/>
      <c r="AZ2768" s="331"/>
      <c r="BA2768" s="331"/>
      <c r="BB2768" s="331"/>
      <c r="BC2768" s="331"/>
      <c r="BD2768" s="331"/>
      <c r="BE2768" s="333"/>
      <c r="BF2768" s="330"/>
      <c r="BG2768" s="333"/>
      <c r="BH2768" s="1119"/>
      <c r="BI2768" s="319"/>
      <c r="BJ2768" s="319"/>
      <c r="BK2768" s="319"/>
      <c r="BL2768" s="319"/>
      <c r="BM2768" s="319"/>
      <c r="BN2768" s="319"/>
      <c r="BO2768" s="319"/>
      <c r="BP2768" s="953"/>
      <c r="BQ2768" s="319"/>
      <c r="BR2768" s="319"/>
      <c r="BS2768" s="330"/>
      <c r="BT2768" s="331"/>
      <c r="BU2768" s="920"/>
      <c r="BV2768" s="903"/>
      <c r="BW2768" s="908"/>
      <c r="BX2768" s="908"/>
      <c r="BY2768" s="331"/>
      <c r="BZ2768" s="331"/>
      <c r="CA2768" s="462"/>
      <c r="CB2768" s="319"/>
      <c r="CC2768" s="319"/>
      <c r="CD2768" s="319"/>
      <c r="CE2768" s="319"/>
      <c r="CF2768" s="319"/>
      <c r="CG2768" s="319"/>
      <c r="CH2768" s="318"/>
      <c r="CI2768" s="319"/>
      <c r="CJ2768" s="319"/>
      <c r="CK2768" s="342"/>
      <c r="CL2768" s="333"/>
      <c r="CM2768" s="1079"/>
      <c r="CN2768" s="1005"/>
      <c r="CO2768" s="1005"/>
      <c r="CP2768" s="1005"/>
    </row>
    <row r="2769">
      <c r="A2769" s="1257"/>
      <c r="B2769" s="1113"/>
      <c r="C2769" s="1107"/>
      <c r="D2769" s="103"/>
      <c r="E2769" s="1137"/>
      <c r="F2769" s="112"/>
      <c r="G2769" s="1110"/>
      <c r="H2769" s="1138"/>
      <c r="I2769" s="1138"/>
      <c r="J2769" s="1139"/>
      <c r="K2769" s="1111"/>
      <c r="L2769" s="1112"/>
      <c r="M2769" s="1113"/>
      <c r="N2769" s="110"/>
      <c r="O2769" s="1140"/>
      <c r="P2769" s="1115"/>
      <c r="Q2769" s="1116"/>
      <c r="R2769" s="1141"/>
      <c r="S2769" s="1113"/>
      <c r="T2769" s="1143"/>
      <c r="U2769" s="1108"/>
      <c r="V2769" s="1108"/>
      <c r="W2769" s="1108"/>
      <c r="X2769" s="1108"/>
      <c r="Y2769" s="1108"/>
      <c r="Z2769" s="1114"/>
      <c r="AA2769" s="1114"/>
      <c r="AB2769" s="1114"/>
      <c r="AC2769" s="1117"/>
      <c r="AD2769" s="1115"/>
      <c r="AE2769" s="1115"/>
      <c r="AF2769" s="1115"/>
      <c r="AG2769" s="1115"/>
      <c r="AH2769" s="1115"/>
      <c r="AI2769" s="1115"/>
      <c r="AJ2769" s="1117"/>
      <c r="AK2769" s="1118"/>
      <c r="AL2769" s="1115"/>
      <c r="AM2769" s="1115"/>
      <c r="AN2769" s="1115"/>
      <c r="AO2769" s="1115"/>
      <c r="AP2769" s="1115"/>
      <c r="AQ2769" s="1115"/>
      <c r="AR2769" s="1115"/>
      <c r="AS2769" s="1117"/>
      <c r="AT2769" s="1075"/>
      <c r="AU2769" s="1193"/>
      <c r="AV2769" s="330"/>
      <c r="AW2769" s="331"/>
      <c r="AX2769" s="331"/>
      <c r="AY2769" s="331"/>
      <c r="AZ2769" s="331"/>
      <c r="BA2769" s="331"/>
      <c r="BB2769" s="331"/>
      <c r="BC2769" s="331"/>
      <c r="BD2769" s="331"/>
      <c r="BE2769" s="333"/>
      <c r="BF2769" s="330"/>
      <c r="BG2769" s="333"/>
      <c r="BH2769" s="1119"/>
      <c r="BI2769" s="319"/>
      <c r="BJ2769" s="319"/>
      <c r="BK2769" s="319"/>
      <c r="BL2769" s="319"/>
      <c r="BM2769" s="319"/>
      <c r="BN2769" s="319"/>
      <c r="BO2769" s="319"/>
      <c r="BP2769" s="953"/>
      <c r="BQ2769" s="319"/>
      <c r="BR2769" s="319"/>
      <c r="BS2769" s="330"/>
      <c r="BT2769" s="331"/>
      <c r="BU2769" s="920"/>
      <c r="BV2769" s="903"/>
      <c r="BW2769" s="908"/>
      <c r="BX2769" s="908"/>
      <c r="BY2769" s="331"/>
      <c r="BZ2769" s="331"/>
      <c r="CA2769" s="462"/>
      <c r="CB2769" s="319"/>
      <c r="CC2769" s="319"/>
      <c r="CD2769" s="319"/>
      <c r="CE2769" s="319"/>
      <c r="CF2769" s="319"/>
      <c r="CG2769" s="319"/>
      <c r="CH2769" s="318"/>
      <c r="CI2769" s="319"/>
      <c r="CJ2769" s="319"/>
      <c r="CK2769" s="342"/>
      <c r="CL2769" s="333"/>
      <c r="CM2769" s="1079"/>
      <c r="CN2769" s="1005"/>
      <c r="CO2769" s="1005"/>
      <c r="CP2769" s="1005"/>
    </row>
    <row r="2770">
      <c r="A2770" s="1257"/>
      <c r="B2770" s="1113"/>
      <c r="C2770" s="1107"/>
      <c r="D2770" s="103"/>
      <c r="E2770" s="1137"/>
      <c r="F2770" s="112"/>
      <c r="G2770" s="1110"/>
      <c r="H2770" s="1138"/>
      <c r="I2770" s="1138"/>
      <c r="J2770" s="1139"/>
      <c r="K2770" s="1111"/>
      <c r="L2770" s="1112"/>
      <c r="M2770" s="1113"/>
      <c r="N2770" s="110"/>
      <c r="O2770" s="1140"/>
      <c r="P2770" s="1115"/>
      <c r="Q2770" s="1116"/>
      <c r="R2770" s="1141"/>
      <c r="S2770" s="1113"/>
      <c r="T2770" s="1143"/>
      <c r="U2770" s="1108"/>
      <c r="V2770" s="1108"/>
      <c r="W2770" s="1108"/>
      <c r="X2770" s="1108"/>
      <c r="Y2770" s="1108"/>
      <c r="Z2770" s="1114"/>
      <c r="AA2770" s="1114"/>
      <c r="AB2770" s="1114"/>
      <c r="AC2770" s="1117"/>
      <c r="AD2770" s="1115"/>
      <c r="AE2770" s="1115"/>
      <c r="AF2770" s="1115"/>
      <c r="AG2770" s="1115"/>
      <c r="AH2770" s="1115"/>
      <c r="AI2770" s="1115"/>
      <c r="AJ2770" s="1117"/>
      <c r="AK2770" s="1118"/>
      <c r="AL2770" s="1115"/>
      <c r="AM2770" s="1115"/>
      <c r="AN2770" s="1115"/>
      <c r="AO2770" s="1115"/>
      <c r="AP2770" s="1115"/>
      <c r="AQ2770" s="1115"/>
      <c r="AR2770" s="1115"/>
      <c r="AS2770" s="1117"/>
      <c r="AT2770" s="1075"/>
      <c r="AU2770" s="1193"/>
      <c r="AV2770" s="330"/>
      <c r="AW2770" s="331"/>
      <c r="AX2770" s="331"/>
      <c r="AY2770" s="331"/>
      <c r="AZ2770" s="331"/>
      <c r="BA2770" s="331"/>
      <c r="BB2770" s="331"/>
      <c r="BC2770" s="331"/>
      <c r="BD2770" s="331"/>
      <c r="BE2770" s="333"/>
      <c r="BF2770" s="330"/>
      <c r="BG2770" s="333"/>
      <c r="BH2770" s="1119"/>
      <c r="BI2770" s="319"/>
      <c r="BJ2770" s="319"/>
      <c r="BK2770" s="319"/>
      <c r="BL2770" s="319"/>
      <c r="BM2770" s="319"/>
      <c r="BN2770" s="319"/>
      <c r="BO2770" s="319"/>
      <c r="BP2770" s="953"/>
      <c r="BQ2770" s="319"/>
      <c r="BR2770" s="319"/>
      <c r="BS2770" s="330"/>
      <c r="BT2770" s="331"/>
      <c r="BU2770" s="920"/>
      <c r="BV2770" s="903"/>
      <c r="BW2770" s="908"/>
      <c r="BX2770" s="908"/>
      <c r="BY2770" s="331"/>
      <c r="BZ2770" s="331"/>
      <c r="CA2770" s="462"/>
      <c r="CB2770" s="319"/>
      <c r="CC2770" s="319"/>
      <c r="CD2770" s="319"/>
      <c r="CE2770" s="319"/>
      <c r="CF2770" s="319"/>
      <c r="CG2770" s="319"/>
      <c r="CH2770" s="318"/>
      <c r="CI2770" s="319"/>
      <c r="CJ2770" s="319"/>
      <c r="CK2770" s="342"/>
      <c r="CL2770" s="333"/>
      <c r="CM2770" s="1079"/>
      <c r="CN2770" s="1005"/>
      <c r="CO2770" s="1005"/>
      <c r="CP2770" s="1005"/>
    </row>
    <row r="2771">
      <c r="A2771" s="1257"/>
      <c r="B2771" s="1113"/>
      <c r="C2771" s="1107"/>
      <c r="D2771" s="103"/>
      <c r="E2771" s="1137"/>
      <c r="F2771" s="112"/>
      <c r="G2771" s="1110"/>
      <c r="H2771" s="1138"/>
      <c r="I2771" s="1138"/>
      <c r="J2771" s="1139"/>
      <c r="K2771" s="1111"/>
      <c r="L2771" s="1112"/>
      <c r="M2771" s="1113"/>
      <c r="N2771" s="110"/>
      <c r="O2771" s="1140"/>
      <c r="P2771" s="1115"/>
      <c r="Q2771" s="1116"/>
      <c r="R2771" s="1141"/>
      <c r="S2771" s="1113"/>
      <c r="T2771" s="1143"/>
      <c r="U2771" s="1108"/>
      <c r="V2771" s="1108"/>
      <c r="W2771" s="1108"/>
      <c r="X2771" s="1108"/>
      <c r="Y2771" s="1108"/>
      <c r="Z2771" s="1114"/>
      <c r="AA2771" s="1114"/>
      <c r="AB2771" s="1114"/>
      <c r="AC2771" s="1117"/>
      <c r="AD2771" s="1115"/>
      <c r="AE2771" s="1115"/>
      <c r="AF2771" s="1115"/>
      <c r="AG2771" s="1115"/>
      <c r="AH2771" s="1115"/>
      <c r="AI2771" s="1115"/>
      <c r="AJ2771" s="1117"/>
      <c r="AK2771" s="1118"/>
      <c r="AL2771" s="1115"/>
      <c r="AM2771" s="1115"/>
      <c r="AN2771" s="1115"/>
      <c r="AO2771" s="1115"/>
      <c r="AP2771" s="1115"/>
      <c r="AQ2771" s="1115"/>
      <c r="AR2771" s="1115"/>
      <c r="AS2771" s="1117"/>
      <c r="AT2771" s="1075"/>
      <c r="AU2771" s="1193"/>
      <c r="AV2771" s="330"/>
      <c r="AW2771" s="331"/>
      <c r="AX2771" s="331"/>
      <c r="AY2771" s="331"/>
      <c r="AZ2771" s="331"/>
      <c r="BA2771" s="331"/>
      <c r="BB2771" s="331"/>
      <c r="BC2771" s="331"/>
      <c r="BD2771" s="331"/>
      <c r="BE2771" s="333"/>
      <c r="BF2771" s="330"/>
      <c r="BG2771" s="333"/>
      <c r="BH2771" s="1119"/>
      <c r="BI2771" s="319"/>
      <c r="BJ2771" s="319"/>
      <c r="BK2771" s="319"/>
      <c r="BL2771" s="319"/>
      <c r="BM2771" s="319"/>
      <c r="BN2771" s="319"/>
      <c r="BO2771" s="319"/>
      <c r="BP2771" s="953"/>
      <c r="BQ2771" s="319"/>
      <c r="BR2771" s="319"/>
      <c r="BS2771" s="330"/>
      <c r="BT2771" s="331"/>
      <c r="BU2771" s="920"/>
      <c r="BV2771" s="903"/>
      <c r="BW2771" s="908"/>
      <c r="BX2771" s="908"/>
      <c r="BY2771" s="331"/>
      <c r="BZ2771" s="331"/>
      <c r="CA2771" s="462"/>
      <c r="CB2771" s="319"/>
      <c r="CC2771" s="319"/>
      <c r="CD2771" s="319"/>
      <c r="CE2771" s="319"/>
      <c r="CF2771" s="319"/>
      <c r="CG2771" s="319"/>
      <c r="CH2771" s="318"/>
      <c r="CI2771" s="319"/>
      <c r="CJ2771" s="319"/>
      <c r="CK2771" s="342"/>
      <c r="CL2771" s="333"/>
      <c r="CM2771" s="1079"/>
      <c r="CN2771" s="1005"/>
      <c r="CO2771" s="1005"/>
      <c r="CP2771" s="1005"/>
    </row>
    <row r="2772">
      <c r="A2772" s="1257"/>
      <c r="B2772" s="1113"/>
      <c r="C2772" s="1107"/>
      <c r="D2772" s="103"/>
      <c r="E2772" s="1137"/>
      <c r="F2772" s="112"/>
      <c r="G2772" s="1110"/>
      <c r="H2772" s="1138"/>
      <c r="I2772" s="1138"/>
      <c r="J2772" s="1139"/>
      <c r="K2772" s="1111"/>
      <c r="L2772" s="1112"/>
      <c r="M2772" s="1113"/>
      <c r="N2772" s="110"/>
      <c r="O2772" s="1140"/>
      <c r="P2772" s="1115"/>
      <c r="Q2772" s="1116"/>
      <c r="R2772" s="1141"/>
      <c r="S2772" s="1113"/>
      <c r="T2772" s="1143"/>
      <c r="U2772" s="1108"/>
      <c r="V2772" s="1108"/>
      <c r="W2772" s="1108"/>
      <c r="X2772" s="1108"/>
      <c r="Y2772" s="1108"/>
      <c r="Z2772" s="1114"/>
      <c r="AA2772" s="1114"/>
      <c r="AB2772" s="1114"/>
      <c r="AC2772" s="1117"/>
      <c r="AD2772" s="1115"/>
      <c r="AE2772" s="1115"/>
      <c r="AF2772" s="1115"/>
      <c r="AG2772" s="1115"/>
      <c r="AH2772" s="1115"/>
      <c r="AI2772" s="1115"/>
      <c r="AJ2772" s="1117"/>
      <c r="AK2772" s="1118"/>
      <c r="AL2772" s="1115"/>
      <c r="AM2772" s="1115"/>
      <c r="AN2772" s="1115"/>
      <c r="AO2772" s="1115"/>
      <c r="AP2772" s="1115"/>
      <c r="AQ2772" s="1115"/>
      <c r="AR2772" s="1115"/>
      <c r="AS2772" s="1117"/>
      <c r="AT2772" s="1075"/>
      <c r="AU2772" s="1193"/>
      <c r="AV2772" s="330"/>
      <c r="AW2772" s="331"/>
      <c r="AX2772" s="331"/>
      <c r="AY2772" s="331"/>
      <c r="AZ2772" s="331"/>
      <c r="BA2772" s="331"/>
      <c r="BB2772" s="331"/>
      <c r="BC2772" s="331"/>
      <c r="BD2772" s="331"/>
      <c r="BE2772" s="333"/>
      <c r="BF2772" s="330"/>
      <c r="BG2772" s="333"/>
      <c r="BH2772" s="1119"/>
      <c r="BI2772" s="319"/>
      <c r="BJ2772" s="319"/>
      <c r="BK2772" s="319"/>
      <c r="BL2772" s="319"/>
      <c r="BM2772" s="319"/>
      <c r="BN2772" s="319"/>
      <c r="BO2772" s="319"/>
      <c r="BP2772" s="953"/>
      <c r="BQ2772" s="319"/>
      <c r="BR2772" s="319"/>
      <c r="BS2772" s="330"/>
      <c r="BT2772" s="331"/>
      <c r="BU2772" s="920"/>
      <c r="BV2772" s="903"/>
      <c r="BW2772" s="908"/>
      <c r="BX2772" s="908"/>
      <c r="BY2772" s="331"/>
      <c r="BZ2772" s="331"/>
      <c r="CA2772" s="462"/>
      <c r="CB2772" s="319"/>
      <c r="CC2772" s="319"/>
      <c r="CD2772" s="319"/>
      <c r="CE2772" s="319"/>
      <c r="CF2772" s="319"/>
      <c r="CG2772" s="319"/>
      <c r="CH2772" s="318"/>
      <c r="CI2772" s="319"/>
      <c r="CJ2772" s="319"/>
      <c r="CK2772" s="342"/>
      <c r="CL2772" s="333"/>
      <c r="CM2772" s="1079"/>
      <c r="CN2772" s="1005"/>
      <c r="CO2772" s="1005"/>
      <c r="CP2772" s="1005"/>
    </row>
    <row r="2773">
      <c r="A2773" s="1257"/>
      <c r="B2773" s="1113"/>
      <c r="C2773" s="1107"/>
      <c r="D2773" s="103"/>
      <c r="E2773" s="1137"/>
      <c r="F2773" s="112"/>
      <c r="G2773" s="1110"/>
      <c r="H2773" s="1138"/>
      <c r="I2773" s="1138"/>
      <c r="J2773" s="1139"/>
      <c r="K2773" s="1111"/>
      <c r="L2773" s="1112"/>
      <c r="M2773" s="1113"/>
      <c r="N2773" s="110"/>
      <c r="O2773" s="1140"/>
      <c r="P2773" s="1115"/>
      <c r="Q2773" s="1116"/>
      <c r="R2773" s="1141"/>
      <c r="S2773" s="1113"/>
      <c r="T2773" s="1143"/>
      <c r="U2773" s="1108"/>
      <c r="V2773" s="1108"/>
      <c r="W2773" s="1108"/>
      <c r="X2773" s="1108"/>
      <c r="Y2773" s="1108"/>
      <c r="Z2773" s="1114"/>
      <c r="AA2773" s="1114"/>
      <c r="AB2773" s="1114"/>
      <c r="AC2773" s="1117"/>
      <c r="AD2773" s="1115"/>
      <c r="AE2773" s="1115"/>
      <c r="AF2773" s="1115"/>
      <c r="AG2773" s="1115"/>
      <c r="AH2773" s="1115"/>
      <c r="AI2773" s="1115"/>
      <c r="AJ2773" s="1117"/>
      <c r="AK2773" s="1118"/>
      <c r="AL2773" s="1115"/>
      <c r="AM2773" s="1115"/>
      <c r="AN2773" s="1115"/>
      <c r="AO2773" s="1115"/>
      <c r="AP2773" s="1115"/>
      <c r="AQ2773" s="1115"/>
      <c r="AR2773" s="1115"/>
      <c r="AS2773" s="1117"/>
      <c r="AT2773" s="1075"/>
      <c r="AU2773" s="1193"/>
      <c r="AV2773" s="330"/>
      <c r="AW2773" s="331"/>
      <c r="AX2773" s="331"/>
      <c r="AY2773" s="331"/>
      <c r="AZ2773" s="331"/>
      <c r="BA2773" s="331"/>
      <c r="BB2773" s="331"/>
      <c r="BC2773" s="331"/>
      <c r="BD2773" s="331"/>
      <c r="BE2773" s="333"/>
      <c r="BF2773" s="330"/>
      <c r="BG2773" s="333"/>
      <c r="BH2773" s="1119"/>
      <c r="BI2773" s="319"/>
      <c r="BJ2773" s="319"/>
      <c r="BK2773" s="319"/>
      <c r="BL2773" s="319"/>
      <c r="BM2773" s="319"/>
      <c r="BN2773" s="319"/>
      <c r="BO2773" s="319"/>
      <c r="BP2773" s="953"/>
      <c r="BQ2773" s="319"/>
      <c r="BR2773" s="319"/>
      <c r="BS2773" s="330"/>
      <c r="BT2773" s="331"/>
      <c r="BU2773" s="920"/>
      <c r="BV2773" s="903"/>
      <c r="BW2773" s="908"/>
      <c r="BX2773" s="908"/>
      <c r="BY2773" s="331"/>
      <c r="BZ2773" s="331"/>
      <c r="CA2773" s="462"/>
      <c r="CB2773" s="319"/>
      <c r="CC2773" s="319"/>
      <c r="CD2773" s="319"/>
      <c r="CE2773" s="319"/>
      <c r="CF2773" s="319"/>
      <c r="CG2773" s="319"/>
      <c r="CH2773" s="318"/>
      <c r="CI2773" s="319"/>
      <c r="CJ2773" s="319"/>
      <c r="CK2773" s="342"/>
      <c r="CL2773" s="333"/>
      <c r="CM2773" s="1079"/>
      <c r="CN2773" s="1005"/>
      <c r="CO2773" s="1005"/>
      <c r="CP2773" s="1005"/>
    </row>
    <row r="2774">
      <c r="A2774" s="1257"/>
      <c r="B2774" s="1113"/>
      <c r="C2774" s="1107"/>
      <c r="D2774" s="103"/>
      <c r="E2774" s="1137"/>
      <c r="F2774" s="112"/>
      <c r="G2774" s="1110"/>
      <c r="H2774" s="1138"/>
      <c r="I2774" s="1138"/>
      <c r="J2774" s="1139"/>
      <c r="K2774" s="1111"/>
      <c r="L2774" s="1112"/>
      <c r="M2774" s="1113"/>
      <c r="N2774" s="110"/>
      <c r="O2774" s="1140"/>
      <c r="P2774" s="1115"/>
      <c r="Q2774" s="1116"/>
      <c r="R2774" s="1141"/>
      <c r="S2774" s="1113"/>
      <c r="T2774" s="1143"/>
      <c r="U2774" s="1108"/>
      <c r="V2774" s="1108"/>
      <c r="W2774" s="1108"/>
      <c r="X2774" s="1108"/>
      <c r="Y2774" s="1108"/>
      <c r="Z2774" s="1114"/>
      <c r="AA2774" s="1114"/>
      <c r="AB2774" s="1114"/>
      <c r="AC2774" s="1117"/>
      <c r="AD2774" s="1115"/>
      <c r="AE2774" s="1115"/>
      <c r="AF2774" s="1115"/>
      <c r="AG2774" s="1115"/>
      <c r="AH2774" s="1115"/>
      <c r="AI2774" s="1115"/>
      <c r="AJ2774" s="1117"/>
      <c r="AK2774" s="1118"/>
      <c r="AL2774" s="1115"/>
      <c r="AM2774" s="1115"/>
      <c r="AN2774" s="1115"/>
      <c r="AO2774" s="1115"/>
      <c r="AP2774" s="1115"/>
      <c r="AQ2774" s="1115"/>
      <c r="AR2774" s="1115"/>
      <c r="AS2774" s="1117"/>
      <c r="AT2774" s="1075"/>
      <c r="AU2774" s="1193"/>
      <c r="AV2774" s="330"/>
      <c r="AW2774" s="331"/>
      <c r="AX2774" s="331"/>
      <c r="AY2774" s="331"/>
      <c r="AZ2774" s="331"/>
      <c r="BA2774" s="331"/>
      <c r="BB2774" s="331"/>
      <c r="BC2774" s="331"/>
      <c r="BD2774" s="331"/>
      <c r="BE2774" s="333"/>
      <c r="BF2774" s="330"/>
      <c r="BG2774" s="333"/>
      <c r="BH2774" s="1119"/>
      <c r="BI2774" s="319"/>
      <c r="BJ2774" s="319"/>
      <c r="BK2774" s="319"/>
      <c r="BL2774" s="319"/>
      <c r="BM2774" s="319"/>
      <c r="BN2774" s="319"/>
      <c r="BO2774" s="319"/>
      <c r="BP2774" s="953"/>
      <c r="BQ2774" s="319"/>
      <c r="BR2774" s="319"/>
      <c r="BS2774" s="330"/>
      <c r="BT2774" s="331"/>
      <c r="BU2774" s="920"/>
      <c r="BV2774" s="903"/>
      <c r="BW2774" s="908"/>
      <c r="BX2774" s="908"/>
      <c r="BY2774" s="331"/>
      <c r="BZ2774" s="331"/>
      <c r="CA2774" s="462"/>
      <c r="CB2774" s="319"/>
      <c r="CC2774" s="319"/>
      <c r="CD2774" s="319"/>
      <c r="CE2774" s="319"/>
      <c r="CF2774" s="319"/>
      <c r="CG2774" s="319"/>
      <c r="CH2774" s="318"/>
      <c r="CI2774" s="319"/>
      <c r="CJ2774" s="319"/>
      <c r="CK2774" s="342"/>
      <c r="CL2774" s="333"/>
      <c r="CM2774" s="1079"/>
      <c r="CN2774" s="1005"/>
      <c r="CO2774" s="1005"/>
      <c r="CP2774" s="1005"/>
    </row>
    <row r="2775">
      <c r="A2775" s="1257"/>
      <c r="B2775" s="1113"/>
      <c r="C2775" s="1107"/>
      <c r="D2775" s="103"/>
      <c r="E2775" s="1137"/>
      <c r="F2775" s="112"/>
      <c r="G2775" s="1110"/>
      <c r="H2775" s="1138"/>
      <c r="I2775" s="1138"/>
      <c r="J2775" s="1139"/>
      <c r="K2775" s="1111"/>
      <c r="L2775" s="1112"/>
      <c r="M2775" s="1113"/>
      <c r="N2775" s="110"/>
      <c r="O2775" s="1140"/>
      <c r="P2775" s="1115"/>
      <c r="Q2775" s="1116"/>
      <c r="R2775" s="1141"/>
      <c r="S2775" s="1113"/>
      <c r="T2775" s="1143"/>
      <c r="U2775" s="1108"/>
      <c r="V2775" s="1108"/>
      <c r="W2775" s="1108"/>
      <c r="X2775" s="1108"/>
      <c r="Y2775" s="1108"/>
      <c r="Z2775" s="1114"/>
      <c r="AA2775" s="1114"/>
      <c r="AB2775" s="1114"/>
      <c r="AC2775" s="1117"/>
      <c r="AD2775" s="1115"/>
      <c r="AE2775" s="1115"/>
      <c r="AF2775" s="1115"/>
      <c r="AG2775" s="1115"/>
      <c r="AH2775" s="1115"/>
      <c r="AI2775" s="1115"/>
      <c r="AJ2775" s="1117"/>
      <c r="AK2775" s="1118"/>
      <c r="AL2775" s="1115"/>
      <c r="AM2775" s="1115"/>
      <c r="AN2775" s="1115"/>
      <c r="AO2775" s="1115"/>
      <c r="AP2775" s="1115"/>
      <c r="AQ2775" s="1115"/>
      <c r="AR2775" s="1115"/>
      <c r="AS2775" s="1117"/>
      <c r="AT2775" s="1075"/>
      <c r="AU2775" s="1193"/>
      <c r="AV2775" s="330"/>
      <c r="AW2775" s="331"/>
      <c r="AX2775" s="331"/>
      <c r="AY2775" s="331"/>
      <c r="AZ2775" s="331"/>
      <c r="BA2775" s="331"/>
      <c r="BB2775" s="331"/>
      <c r="BC2775" s="331"/>
      <c r="BD2775" s="331"/>
      <c r="BE2775" s="333"/>
      <c r="BF2775" s="330"/>
      <c r="BG2775" s="333"/>
      <c r="BH2775" s="1119"/>
      <c r="BI2775" s="319"/>
      <c r="BJ2775" s="319"/>
      <c r="BK2775" s="319"/>
      <c r="BL2775" s="319"/>
      <c r="BM2775" s="319"/>
      <c r="BN2775" s="319"/>
      <c r="BO2775" s="319"/>
      <c r="BP2775" s="953"/>
      <c r="BQ2775" s="319"/>
      <c r="BR2775" s="319"/>
      <c r="BS2775" s="330"/>
      <c r="BT2775" s="331"/>
      <c r="BU2775" s="920"/>
      <c r="BV2775" s="903"/>
      <c r="BW2775" s="908"/>
      <c r="BX2775" s="908"/>
      <c r="BY2775" s="331"/>
      <c r="BZ2775" s="331"/>
      <c r="CA2775" s="462"/>
      <c r="CB2775" s="319"/>
      <c r="CC2775" s="319"/>
      <c r="CD2775" s="319"/>
      <c r="CE2775" s="319"/>
      <c r="CF2775" s="319"/>
      <c r="CG2775" s="319"/>
      <c r="CH2775" s="318"/>
      <c r="CI2775" s="319"/>
      <c r="CJ2775" s="319"/>
      <c r="CK2775" s="342"/>
      <c r="CL2775" s="333"/>
      <c r="CM2775" s="1079"/>
      <c r="CN2775" s="1005"/>
      <c r="CO2775" s="1005"/>
      <c r="CP2775" s="1005"/>
    </row>
    <row r="2776">
      <c r="A2776" s="1257"/>
      <c r="B2776" s="1113"/>
      <c r="C2776" s="1107"/>
      <c r="D2776" s="103"/>
      <c r="E2776" s="1137"/>
      <c r="F2776" s="112"/>
      <c r="G2776" s="1110"/>
      <c r="H2776" s="1138"/>
      <c r="I2776" s="1138"/>
      <c r="J2776" s="1139"/>
      <c r="K2776" s="1111"/>
      <c r="L2776" s="1112"/>
      <c r="M2776" s="1113"/>
      <c r="N2776" s="110"/>
      <c r="O2776" s="1140"/>
      <c r="P2776" s="1115"/>
      <c r="Q2776" s="1116"/>
      <c r="R2776" s="1141"/>
      <c r="S2776" s="1113"/>
      <c r="T2776" s="1143"/>
      <c r="U2776" s="1108"/>
      <c r="V2776" s="1108"/>
      <c r="W2776" s="1108"/>
      <c r="X2776" s="1108"/>
      <c r="Y2776" s="1108"/>
      <c r="Z2776" s="1114"/>
      <c r="AA2776" s="1114"/>
      <c r="AB2776" s="1114"/>
      <c r="AC2776" s="1117"/>
      <c r="AD2776" s="1115"/>
      <c r="AE2776" s="1115"/>
      <c r="AF2776" s="1115"/>
      <c r="AG2776" s="1115"/>
      <c r="AH2776" s="1115"/>
      <c r="AI2776" s="1115"/>
      <c r="AJ2776" s="1117"/>
      <c r="AK2776" s="1118"/>
      <c r="AL2776" s="1115"/>
      <c r="AM2776" s="1115"/>
      <c r="AN2776" s="1115"/>
      <c r="AO2776" s="1115"/>
      <c r="AP2776" s="1115"/>
      <c r="AQ2776" s="1115"/>
      <c r="AR2776" s="1115"/>
      <c r="AS2776" s="1117"/>
      <c r="AT2776" s="1075"/>
      <c r="AU2776" s="1193"/>
      <c r="AV2776" s="330"/>
      <c r="AW2776" s="331"/>
      <c r="AX2776" s="331"/>
      <c r="AY2776" s="331"/>
      <c r="AZ2776" s="331"/>
      <c r="BA2776" s="331"/>
      <c r="BB2776" s="331"/>
      <c r="BC2776" s="331"/>
      <c r="BD2776" s="331"/>
      <c r="BE2776" s="333"/>
      <c r="BF2776" s="330"/>
      <c r="BG2776" s="333"/>
      <c r="BH2776" s="1119"/>
      <c r="BI2776" s="319"/>
      <c r="BJ2776" s="319"/>
      <c r="BK2776" s="319"/>
      <c r="BL2776" s="319"/>
      <c r="BM2776" s="319"/>
      <c r="BN2776" s="319"/>
      <c r="BO2776" s="319"/>
      <c r="BP2776" s="953"/>
      <c r="BQ2776" s="319"/>
      <c r="BR2776" s="319"/>
      <c r="BS2776" s="330"/>
      <c r="BT2776" s="331"/>
      <c r="BU2776" s="920"/>
      <c r="BV2776" s="903"/>
      <c r="BW2776" s="908"/>
      <c r="BX2776" s="908"/>
      <c r="BY2776" s="331"/>
      <c r="BZ2776" s="331"/>
      <c r="CA2776" s="462"/>
      <c r="CB2776" s="319"/>
      <c r="CC2776" s="319"/>
      <c r="CD2776" s="319"/>
      <c r="CE2776" s="319"/>
      <c r="CF2776" s="319"/>
      <c r="CG2776" s="319"/>
      <c r="CH2776" s="318"/>
      <c r="CI2776" s="319"/>
      <c r="CJ2776" s="319"/>
      <c r="CK2776" s="342"/>
      <c r="CL2776" s="333"/>
      <c r="CM2776" s="1079"/>
      <c r="CN2776" s="1005"/>
      <c r="CO2776" s="1005"/>
      <c r="CP2776" s="1005"/>
    </row>
    <row r="2777">
      <c r="A2777" s="1257"/>
      <c r="B2777" s="1113"/>
      <c r="C2777" s="1107"/>
      <c r="D2777" s="103"/>
      <c r="E2777" s="1137"/>
      <c r="F2777" s="112"/>
      <c r="G2777" s="1110"/>
      <c r="H2777" s="1138"/>
      <c r="I2777" s="1138"/>
      <c r="J2777" s="1139"/>
      <c r="K2777" s="1111"/>
      <c r="L2777" s="1112"/>
      <c r="M2777" s="1113"/>
      <c r="N2777" s="110"/>
      <c r="O2777" s="1140"/>
      <c r="P2777" s="1115"/>
      <c r="Q2777" s="1116"/>
      <c r="R2777" s="1141"/>
      <c r="S2777" s="1113"/>
      <c r="T2777" s="1143"/>
      <c r="U2777" s="1108"/>
      <c r="V2777" s="1108"/>
      <c r="W2777" s="1108"/>
      <c r="X2777" s="1108"/>
      <c r="Y2777" s="1108"/>
      <c r="Z2777" s="1114"/>
      <c r="AA2777" s="1114"/>
      <c r="AB2777" s="1114"/>
      <c r="AC2777" s="1117"/>
      <c r="AD2777" s="1115"/>
      <c r="AE2777" s="1115"/>
      <c r="AF2777" s="1115"/>
      <c r="AG2777" s="1115"/>
      <c r="AH2777" s="1115"/>
      <c r="AI2777" s="1115"/>
      <c r="AJ2777" s="1117"/>
      <c r="AK2777" s="1118"/>
      <c r="AL2777" s="1115"/>
      <c r="AM2777" s="1115"/>
      <c r="AN2777" s="1115"/>
      <c r="AO2777" s="1115"/>
      <c r="AP2777" s="1115"/>
      <c r="AQ2777" s="1115"/>
      <c r="AR2777" s="1115"/>
      <c r="AS2777" s="1117"/>
      <c r="AT2777" s="1075"/>
      <c r="AU2777" s="1193"/>
      <c r="AV2777" s="330"/>
      <c r="AW2777" s="331"/>
      <c r="AX2777" s="331"/>
      <c r="AY2777" s="331"/>
      <c r="AZ2777" s="331"/>
      <c r="BA2777" s="331"/>
      <c r="BB2777" s="331"/>
      <c r="BC2777" s="331"/>
      <c r="BD2777" s="331"/>
      <c r="BE2777" s="333"/>
      <c r="BF2777" s="330"/>
      <c r="BG2777" s="333"/>
      <c r="BH2777" s="1119"/>
      <c r="BI2777" s="319"/>
      <c r="BJ2777" s="319"/>
      <c r="BK2777" s="319"/>
      <c r="BL2777" s="319"/>
      <c r="BM2777" s="319"/>
      <c r="BN2777" s="319"/>
      <c r="BO2777" s="319"/>
      <c r="BP2777" s="953"/>
      <c r="BQ2777" s="319"/>
      <c r="BR2777" s="319"/>
      <c r="BS2777" s="330"/>
      <c r="BT2777" s="331"/>
      <c r="BU2777" s="920"/>
      <c r="BV2777" s="903"/>
      <c r="BW2777" s="908"/>
      <c r="BX2777" s="908"/>
      <c r="BY2777" s="331"/>
      <c r="BZ2777" s="331"/>
      <c r="CA2777" s="462"/>
      <c r="CB2777" s="319"/>
      <c r="CC2777" s="319"/>
      <c r="CD2777" s="319"/>
      <c r="CE2777" s="319"/>
      <c r="CF2777" s="319"/>
      <c r="CG2777" s="319"/>
      <c r="CH2777" s="318"/>
      <c r="CI2777" s="319"/>
      <c r="CJ2777" s="319"/>
      <c r="CK2777" s="342"/>
      <c r="CL2777" s="333"/>
      <c r="CM2777" s="1079"/>
      <c r="CN2777" s="1005"/>
      <c r="CO2777" s="1005"/>
      <c r="CP2777" s="1005"/>
    </row>
    <row r="2778">
      <c r="A2778" s="1257"/>
      <c r="B2778" s="1113"/>
      <c r="C2778" s="1107"/>
      <c r="D2778" s="103"/>
      <c r="E2778" s="1137"/>
      <c r="F2778" s="112"/>
      <c r="G2778" s="1110"/>
      <c r="H2778" s="1138"/>
      <c r="I2778" s="1138"/>
      <c r="J2778" s="1139"/>
      <c r="K2778" s="1111"/>
      <c r="L2778" s="1112"/>
      <c r="M2778" s="1113"/>
      <c r="N2778" s="110"/>
      <c r="O2778" s="1140"/>
      <c r="P2778" s="1115"/>
      <c r="Q2778" s="1116"/>
      <c r="R2778" s="1141"/>
      <c r="S2778" s="1113"/>
      <c r="T2778" s="1143"/>
      <c r="U2778" s="1108"/>
      <c r="V2778" s="1108"/>
      <c r="W2778" s="1108"/>
      <c r="X2778" s="1108"/>
      <c r="Y2778" s="1108"/>
      <c r="Z2778" s="1114"/>
      <c r="AA2778" s="1114"/>
      <c r="AB2778" s="1114"/>
      <c r="AC2778" s="1117"/>
      <c r="AD2778" s="1115"/>
      <c r="AE2778" s="1115"/>
      <c r="AF2778" s="1115"/>
      <c r="AG2778" s="1115"/>
      <c r="AH2778" s="1115"/>
      <c r="AI2778" s="1115"/>
      <c r="AJ2778" s="1117"/>
      <c r="AK2778" s="1118"/>
      <c r="AL2778" s="1115"/>
      <c r="AM2778" s="1115"/>
      <c r="AN2778" s="1115"/>
      <c r="AO2778" s="1115"/>
      <c r="AP2778" s="1115"/>
      <c r="AQ2778" s="1115"/>
      <c r="AR2778" s="1115"/>
      <c r="AS2778" s="1117"/>
      <c r="AT2778" s="1075"/>
      <c r="AU2778" s="1193"/>
      <c r="AV2778" s="330"/>
      <c r="AW2778" s="331"/>
      <c r="AX2778" s="331"/>
      <c r="AY2778" s="331"/>
      <c r="AZ2778" s="331"/>
      <c r="BA2778" s="331"/>
      <c r="BB2778" s="331"/>
      <c r="BC2778" s="331"/>
      <c r="BD2778" s="331"/>
      <c r="BE2778" s="333"/>
      <c r="BF2778" s="330"/>
      <c r="BG2778" s="333"/>
      <c r="BH2778" s="1119"/>
      <c r="BI2778" s="319"/>
      <c r="BJ2778" s="319"/>
      <c r="BK2778" s="319"/>
      <c r="BL2778" s="319"/>
      <c r="BM2778" s="319"/>
      <c r="BN2778" s="319"/>
      <c r="BO2778" s="319"/>
      <c r="BP2778" s="953"/>
      <c r="BQ2778" s="319"/>
      <c r="BR2778" s="319"/>
      <c r="BS2778" s="330"/>
      <c r="BT2778" s="331"/>
      <c r="BU2778" s="920"/>
      <c r="BV2778" s="903"/>
      <c r="BW2778" s="908"/>
      <c r="BX2778" s="908"/>
      <c r="BY2778" s="331"/>
      <c r="BZ2778" s="331"/>
      <c r="CA2778" s="462"/>
      <c r="CB2778" s="319"/>
      <c r="CC2778" s="319"/>
      <c r="CD2778" s="319"/>
      <c r="CE2778" s="319"/>
      <c r="CF2778" s="319"/>
      <c r="CG2778" s="319"/>
      <c r="CH2778" s="318"/>
      <c r="CI2778" s="319"/>
      <c r="CJ2778" s="319"/>
      <c r="CK2778" s="342"/>
      <c r="CL2778" s="333"/>
      <c r="CM2778" s="1079"/>
      <c r="CN2778" s="1005"/>
      <c r="CO2778" s="1005"/>
      <c r="CP2778" s="1005"/>
    </row>
    <row r="2779">
      <c r="A2779" s="1257"/>
      <c r="B2779" s="1113"/>
      <c r="C2779" s="1107"/>
      <c r="D2779" s="103"/>
      <c r="E2779" s="1137"/>
      <c r="F2779" s="112"/>
      <c r="G2779" s="1110"/>
      <c r="H2779" s="1138"/>
      <c r="I2779" s="1138"/>
      <c r="J2779" s="1139"/>
      <c r="K2779" s="1111"/>
      <c r="L2779" s="1112"/>
      <c r="M2779" s="1113"/>
      <c r="N2779" s="110"/>
      <c r="O2779" s="1140"/>
      <c r="P2779" s="1115"/>
      <c r="Q2779" s="1116"/>
      <c r="R2779" s="1141"/>
      <c r="S2779" s="1113"/>
      <c r="T2779" s="1143"/>
      <c r="U2779" s="1108"/>
      <c r="V2779" s="1108"/>
      <c r="W2779" s="1108"/>
      <c r="X2779" s="1108"/>
      <c r="Y2779" s="1108"/>
      <c r="Z2779" s="1114"/>
      <c r="AA2779" s="1114"/>
      <c r="AB2779" s="1114"/>
      <c r="AC2779" s="1117"/>
      <c r="AD2779" s="1115"/>
      <c r="AE2779" s="1115"/>
      <c r="AF2779" s="1115"/>
      <c r="AG2779" s="1115"/>
      <c r="AH2779" s="1115"/>
      <c r="AI2779" s="1115"/>
      <c r="AJ2779" s="1117"/>
      <c r="AK2779" s="1118"/>
      <c r="AL2779" s="1115"/>
      <c r="AM2779" s="1115"/>
      <c r="AN2779" s="1115"/>
      <c r="AO2779" s="1115"/>
      <c r="AP2779" s="1115"/>
      <c r="AQ2779" s="1115"/>
      <c r="AR2779" s="1115"/>
      <c r="AS2779" s="1117"/>
      <c r="AT2779" s="1075"/>
      <c r="AU2779" s="1193"/>
      <c r="AV2779" s="330"/>
      <c r="AW2779" s="331"/>
      <c r="AX2779" s="331"/>
      <c r="AY2779" s="331"/>
      <c r="AZ2779" s="331"/>
      <c r="BA2779" s="331"/>
      <c r="BB2779" s="331"/>
      <c r="BC2779" s="331"/>
      <c r="BD2779" s="331"/>
      <c r="BE2779" s="333"/>
      <c r="BF2779" s="330"/>
      <c r="BG2779" s="333"/>
      <c r="BH2779" s="1119"/>
      <c r="BI2779" s="319"/>
      <c r="BJ2779" s="319"/>
      <c r="BK2779" s="319"/>
      <c r="BL2779" s="319"/>
      <c r="BM2779" s="319"/>
      <c r="BN2779" s="319"/>
      <c r="BO2779" s="319"/>
      <c r="BP2779" s="953"/>
      <c r="BQ2779" s="319"/>
      <c r="BR2779" s="319"/>
      <c r="BS2779" s="330"/>
      <c r="BT2779" s="331"/>
      <c r="BU2779" s="920"/>
      <c r="BV2779" s="903"/>
      <c r="BW2779" s="908"/>
      <c r="BX2779" s="908"/>
      <c r="BY2779" s="331"/>
      <c r="BZ2779" s="331"/>
      <c r="CA2779" s="462"/>
      <c r="CB2779" s="319"/>
      <c r="CC2779" s="319"/>
      <c r="CD2779" s="319"/>
      <c r="CE2779" s="319"/>
      <c r="CF2779" s="319"/>
      <c r="CG2779" s="319"/>
      <c r="CH2779" s="318"/>
      <c r="CI2779" s="319"/>
      <c r="CJ2779" s="319"/>
      <c r="CK2779" s="342"/>
      <c r="CL2779" s="333"/>
      <c r="CM2779" s="1079"/>
      <c r="CN2779" s="1005"/>
      <c r="CO2779" s="1005"/>
      <c r="CP2779" s="1005"/>
    </row>
    <row r="2780">
      <c r="A2780" s="1257"/>
      <c r="B2780" s="1113"/>
      <c r="C2780" s="1107"/>
      <c r="D2780" s="103"/>
      <c r="E2780" s="1137"/>
      <c r="F2780" s="112"/>
      <c r="G2780" s="1110"/>
      <c r="H2780" s="1138"/>
      <c r="I2780" s="1138"/>
      <c r="J2780" s="1139"/>
      <c r="K2780" s="1111"/>
      <c r="L2780" s="1112"/>
      <c r="M2780" s="1113"/>
      <c r="N2780" s="110"/>
      <c r="O2780" s="1140"/>
      <c r="P2780" s="1115"/>
      <c r="Q2780" s="1116"/>
      <c r="R2780" s="1141"/>
      <c r="S2780" s="1113"/>
      <c r="T2780" s="1143"/>
      <c r="U2780" s="1108"/>
      <c r="V2780" s="1108"/>
      <c r="W2780" s="1108"/>
      <c r="X2780" s="1108"/>
      <c r="Y2780" s="1108"/>
      <c r="Z2780" s="1114"/>
      <c r="AA2780" s="1114"/>
      <c r="AB2780" s="1114"/>
      <c r="AC2780" s="1117"/>
      <c r="AD2780" s="1115"/>
      <c r="AE2780" s="1115"/>
      <c r="AF2780" s="1115"/>
      <c r="AG2780" s="1115"/>
      <c r="AH2780" s="1115"/>
      <c r="AI2780" s="1115"/>
      <c r="AJ2780" s="1117"/>
      <c r="AK2780" s="1118"/>
      <c r="AL2780" s="1115"/>
      <c r="AM2780" s="1115"/>
      <c r="AN2780" s="1115"/>
      <c r="AO2780" s="1115"/>
      <c r="AP2780" s="1115"/>
      <c r="AQ2780" s="1115"/>
      <c r="AR2780" s="1115"/>
      <c r="AS2780" s="1117"/>
      <c r="AT2780" s="1075"/>
      <c r="AU2780" s="1193"/>
      <c r="AV2780" s="330"/>
      <c r="AW2780" s="331"/>
      <c r="AX2780" s="331"/>
      <c r="AY2780" s="331"/>
      <c r="AZ2780" s="331"/>
      <c r="BA2780" s="331"/>
      <c r="BB2780" s="331"/>
      <c r="BC2780" s="331"/>
      <c r="BD2780" s="331"/>
      <c r="BE2780" s="333"/>
      <c r="BF2780" s="330"/>
      <c r="BG2780" s="333"/>
      <c r="BH2780" s="1119"/>
      <c r="BI2780" s="319"/>
      <c r="BJ2780" s="319"/>
      <c r="BK2780" s="319"/>
      <c r="BL2780" s="319"/>
      <c r="BM2780" s="319"/>
      <c r="BN2780" s="319"/>
      <c r="BO2780" s="319"/>
      <c r="BP2780" s="953"/>
      <c r="BQ2780" s="319"/>
      <c r="BR2780" s="319"/>
      <c r="BS2780" s="330"/>
      <c r="BT2780" s="331"/>
      <c r="BU2780" s="920"/>
      <c r="BV2780" s="903"/>
      <c r="BW2780" s="908"/>
      <c r="BX2780" s="908"/>
      <c r="BY2780" s="331"/>
      <c r="BZ2780" s="331"/>
      <c r="CA2780" s="462"/>
      <c r="CB2780" s="319"/>
      <c r="CC2780" s="319"/>
      <c r="CD2780" s="319"/>
      <c r="CE2780" s="319"/>
      <c r="CF2780" s="319"/>
      <c r="CG2780" s="319"/>
      <c r="CH2780" s="318"/>
      <c r="CI2780" s="319"/>
      <c r="CJ2780" s="319"/>
      <c r="CK2780" s="342"/>
      <c r="CL2780" s="333"/>
      <c r="CM2780" s="1079"/>
      <c r="CN2780" s="1005"/>
      <c r="CO2780" s="1005"/>
      <c r="CP2780" s="1005"/>
    </row>
    <row r="2781">
      <c r="A2781" s="1257"/>
      <c r="B2781" s="1113"/>
      <c r="C2781" s="1107"/>
      <c r="D2781" s="103"/>
      <c r="E2781" s="1137"/>
      <c r="F2781" s="112"/>
      <c r="G2781" s="1110"/>
      <c r="H2781" s="1138"/>
      <c r="I2781" s="1138"/>
      <c r="J2781" s="1139"/>
      <c r="K2781" s="1111"/>
      <c r="L2781" s="1112"/>
      <c r="M2781" s="1113"/>
      <c r="N2781" s="110"/>
      <c r="O2781" s="1140"/>
      <c r="P2781" s="1115"/>
      <c r="Q2781" s="1116"/>
      <c r="R2781" s="1141"/>
      <c r="S2781" s="1113"/>
      <c r="T2781" s="1143"/>
      <c r="U2781" s="1108"/>
      <c r="V2781" s="1108"/>
      <c r="W2781" s="1108"/>
      <c r="X2781" s="1108"/>
      <c r="Y2781" s="1108"/>
      <c r="Z2781" s="1114"/>
      <c r="AA2781" s="1114"/>
      <c r="AB2781" s="1114"/>
      <c r="AC2781" s="1117"/>
      <c r="AD2781" s="1115"/>
      <c r="AE2781" s="1115"/>
      <c r="AF2781" s="1115"/>
      <c r="AG2781" s="1115"/>
      <c r="AH2781" s="1115"/>
      <c r="AI2781" s="1115"/>
      <c r="AJ2781" s="1117"/>
      <c r="AK2781" s="1118"/>
      <c r="AL2781" s="1115"/>
      <c r="AM2781" s="1115"/>
      <c r="AN2781" s="1115"/>
      <c r="AO2781" s="1115"/>
      <c r="AP2781" s="1115"/>
      <c r="AQ2781" s="1115"/>
      <c r="AR2781" s="1115"/>
      <c r="AS2781" s="1117"/>
      <c r="AT2781" s="1075"/>
      <c r="AU2781" s="1193"/>
      <c r="AV2781" s="330"/>
      <c r="AW2781" s="331"/>
      <c r="AX2781" s="331"/>
      <c r="AY2781" s="331"/>
      <c r="AZ2781" s="331"/>
      <c r="BA2781" s="331"/>
      <c r="BB2781" s="331"/>
      <c r="BC2781" s="331"/>
      <c r="BD2781" s="331"/>
      <c r="BE2781" s="333"/>
      <c r="BF2781" s="330"/>
      <c r="BG2781" s="333"/>
      <c r="BH2781" s="1119"/>
      <c r="BI2781" s="319"/>
      <c r="BJ2781" s="319"/>
      <c r="BK2781" s="319"/>
      <c r="BL2781" s="319"/>
      <c r="BM2781" s="319"/>
      <c r="BN2781" s="319"/>
      <c r="BO2781" s="319"/>
      <c r="BP2781" s="953"/>
      <c r="BQ2781" s="319"/>
      <c r="BR2781" s="319"/>
      <c r="BS2781" s="330"/>
      <c r="BT2781" s="331"/>
      <c r="BU2781" s="920"/>
      <c r="BV2781" s="903"/>
      <c r="BW2781" s="908"/>
      <c r="BX2781" s="908"/>
      <c r="BY2781" s="331"/>
      <c r="BZ2781" s="331"/>
      <c r="CA2781" s="462"/>
      <c r="CB2781" s="319"/>
      <c r="CC2781" s="319"/>
      <c r="CD2781" s="319"/>
      <c r="CE2781" s="319"/>
      <c r="CF2781" s="319"/>
      <c r="CG2781" s="319"/>
      <c r="CH2781" s="318"/>
      <c r="CI2781" s="319"/>
      <c r="CJ2781" s="319"/>
      <c r="CK2781" s="342"/>
      <c r="CL2781" s="333"/>
      <c r="CM2781" s="1079"/>
      <c r="CN2781" s="1005"/>
      <c r="CO2781" s="1005"/>
      <c r="CP2781" s="1005"/>
    </row>
    <row r="2782">
      <c r="A2782" s="1257"/>
      <c r="B2782" s="1113"/>
      <c r="C2782" s="1107"/>
      <c r="D2782" s="103"/>
      <c r="E2782" s="1137"/>
      <c r="F2782" s="112"/>
      <c r="G2782" s="1110"/>
      <c r="H2782" s="1138"/>
      <c r="I2782" s="1138"/>
      <c r="J2782" s="1139"/>
      <c r="K2782" s="1111"/>
      <c r="L2782" s="1112"/>
      <c r="M2782" s="1113"/>
      <c r="N2782" s="110"/>
      <c r="O2782" s="1140"/>
      <c r="P2782" s="1115"/>
      <c r="Q2782" s="1116"/>
      <c r="R2782" s="1141"/>
      <c r="S2782" s="1113"/>
      <c r="T2782" s="1143"/>
      <c r="U2782" s="1108"/>
      <c r="V2782" s="1108"/>
      <c r="W2782" s="1108"/>
      <c r="X2782" s="1108"/>
      <c r="Y2782" s="1108"/>
      <c r="Z2782" s="1114"/>
      <c r="AA2782" s="1114"/>
      <c r="AB2782" s="1114"/>
      <c r="AC2782" s="1117"/>
      <c r="AD2782" s="1115"/>
      <c r="AE2782" s="1115"/>
      <c r="AF2782" s="1115"/>
      <c r="AG2782" s="1115"/>
      <c r="AH2782" s="1115"/>
      <c r="AI2782" s="1115"/>
      <c r="AJ2782" s="1117"/>
      <c r="AK2782" s="1118"/>
      <c r="AL2782" s="1115"/>
      <c r="AM2782" s="1115"/>
      <c r="AN2782" s="1115"/>
      <c r="AO2782" s="1115"/>
      <c r="AP2782" s="1115"/>
      <c r="AQ2782" s="1115"/>
      <c r="AR2782" s="1115"/>
      <c r="AS2782" s="1117"/>
      <c r="AT2782" s="1075"/>
      <c r="AU2782" s="1193"/>
      <c r="AV2782" s="330"/>
      <c r="AW2782" s="331"/>
      <c r="AX2782" s="331"/>
      <c r="AY2782" s="331"/>
      <c r="AZ2782" s="331"/>
      <c r="BA2782" s="331"/>
      <c r="BB2782" s="331"/>
      <c r="BC2782" s="331"/>
      <c r="BD2782" s="331"/>
      <c r="BE2782" s="333"/>
      <c r="BF2782" s="330"/>
      <c r="BG2782" s="333"/>
      <c r="BH2782" s="1119"/>
      <c r="BI2782" s="319"/>
      <c r="BJ2782" s="319"/>
      <c r="BK2782" s="319"/>
      <c r="BL2782" s="319"/>
      <c r="BM2782" s="319"/>
      <c r="BN2782" s="319"/>
      <c r="BO2782" s="319"/>
      <c r="BP2782" s="953"/>
      <c r="BQ2782" s="319"/>
      <c r="BR2782" s="319"/>
      <c r="BS2782" s="330"/>
      <c r="BT2782" s="331"/>
      <c r="BU2782" s="920"/>
      <c r="BV2782" s="903"/>
      <c r="BW2782" s="908"/>
      <c r="BX2782" s="908"/>
      <c r="BY2782" s="331"/>
      <c r="BZ2782" s="331"/>
      <c r="CA2782" s="462"/>
      <c r="CB2782" s="319"/>
      <c r="CC2782" s="319"/>
      <c r="CD2782" s="319"/>
      <c r="CE2782" s="319"/>
      <c r="CF2782" s="319"/>
      <c r="CG2782" s="319"/>
      <c r="CH2782" s="318"/>
      <c r="CI2782" s="319"/>
      <c r="CJ2782" s="319"/>
      <c r="CK2782" s="342"/>
      <c r="CL2782" s="333"/>
      <c r="CM2782" s="1079"/>
      <c r="CN2782" s="1005"/>
      <c r="CO2782" s="1005"/>
      <c r="CP2782" s="1005"/>
    </row>
    <row r="2783">
      <c r="A2783" s="1257"/>
      <c r="B2783" s="1113"/>
      <c r="C2783" s="1107"/>
      <c r="D2783" s="103"/>
      <c r="E2783" s="1137"/>
      <c r="F2783" s="112"/>
      <c r="G2783" s="1110"/>
      <c r="H2783" s="1138"/>
      <c r="I2783" s="1138"/>
      <c r="J2783" s="1139"/>
      <c r="K2783" s="1111"/>
      <c r="L2783" s="1112"/>
      <c r="M2783" s="1113"/>
      <c r="N2783" s="110"/>
      <c r="O2783" s="1140"/>
      <c r="P2783" s="1115"/>
      <c r="Q2783" s="1116"/>
      <c r="R2783" s="1141"/>
      <c r="S2783" s="1113"/>
      <c r="T2783" s="1143"/>
      <c r="U2783" s="1108"/>
      <c r="V2783" s="1108"/>
      <c r="W2783" s="1108"/>
      <c r="X2783" s="1108"/>
      <c r="Y2783" s="1108"/>
      <c r="Z2783" s="1114"/>
      <c r="AA2783" s="1114"/>
      <c r="AB2783" s="1114"/>
      <c r="AC2783" s="1117"/>
      <c r="AD2783" s="1115"/>
      <c r="AE2783" s="1115"/>
      <c r="AF2783" s="1115"/>
      <c r="AG2783" s="1115"/>
      <c r="AH2783" s="1115"/>
      <c r="AI2783" s="1115"/>
      <c r="AJ2783" s="1117"/>
      <c r="AK2783" s="1118"/>
      <c r="AL2783" s="1115"/>
      <c r="AM2783" s="1115"/>
      <c r="AN2783" s="1115"/>
      <c r="AO2783" s="1115"/>
      <c r="AP2783" s="1115"/>
      <c r="AQ2783" s="1115"/>
      <c r="AR2783" s="1115"/>
      <c r="AS2783" s="1117"/>
      <c r="AT2783" s="1075"/>
      <c r="AU2783" s="1193"/>
      <c r="AV2783" s="330"/>
      <c r="AW2783" s="331"/>
      <c r="AX2783" s="331"/>
      <c r="AY2783" s="331"/>
      <c r="AZ2783" s="331"/>
      <c r="BA2783" s="331"/>
      <c r="BB2783" s="331"/>
      <c r="BC2783" s="331"/>
      <c r="BD2783" s="331"/>
      <c r="BE2783" s="333"/>
      <c r="BF2783" s="330"/>
      <c r="BG2783" s="333"/>
      <c r="BH2783" s="1119"/>
      <c r="BI2783" s="319"/>
      <c r="BJ2783" s="319"/>
      <c r="BK2783" s="319"/>
      <c r="BL2783" s="319"/>
      <c r="BM2783" s="319"/>
      <c r="BN2783" s="319"/>
      <c r="BO2783" s="319"/>
      <c r="BP2783" s="953"/>
      <c r="BQ2783" s="319"/>
      <c r="BR2783" s="319"/>
      <c r="BS2783" s="330"/>
      <c r="BT2783" s="331"/>
      <c r="BU2783" s="920"/>
      <c r="BV2783" s="903"/>
      <c r="BW2783" s="908"/>
      <c r="BX2783" s="908"/>
      <c r="BY2783" s="331"/>
      <c r="BZ2783" s="331"/>
      <c r="CA2783" s="462"/>
      <c r="CB2783" s="319"/>
      <c r="CC2783" s="319"/>
      <c r="CD2783" s="319"/>
      <c r="CE2783" s="319"/>
      <c r="CF2783" s="319"/>
      <c r="CG2783" s="319"/>
      <c r="CH2783" s="318"/>
      <c r="CI2783" s="319"/>
      <c r="CJ2783" s="319"/>
      <c r="CK2783" s="342"/>
      <c r="CL2783" s="333"/>
      <c r="CM2783" s="1079"/>
      <c r="CN2783" s="1005"/>
      <c r="CO2783" s="1005"/>
      <c r="CP2783" s="1005"/>
    </row>
    <row r="2784">
      <c r="A2784" s="1257"/>
      <c r="B2784" s="1113"/>
      <c r="C2784" s="1107"/>
      <c r="D2784" s="103"/>
      <c r="E2784" s="1137"/>
      <c r="F2784" s="112"/>
      <c r="G2784" s="1110"/>
      <c r="H2784" s="1138"/>
      <c r="I2784" s="1138"/>
      <c r="J2784" s="1139"/>
      <c r="K2784" s="1111"/>
      <c r="L2784" s="1112"/>
      <c r="M2784" s="1113"/>
      <c r="N2784" s="110"/>
      <c r="O2784" s="1140"/>
      <c r="P2784" s="1115"/>
      <c r="Q2784" s="1116"/>
      <c r="R2784" s="1141"/>
      <c r="S2784" s="1113"/>
      <c r="T2784" s="1143"/>
      <c r="U2784" s="1108"/>
      <c r="V2784" s="1108"/>
      <c r="W2784" s="1108"/>
      <c r="X2784" s="1108"/>
      <c r="Y2784" s="1108"/>
      <c r="Z2784" s="1114"/>
      <c r="AA2784" s="1114"/>
      <c r="AB2784" s="1114"/>
      <c r="AC2784" s="1117"/>
      <c r="AD2784" s="1115"/>
      <c r="AE2784" s="1115"/>
      <c r="AF2784" s="1115"/>
      <c r="AG2784" s="1115"/>
      <c r="AH2784" s="1115"/>
      <c r="AI2784" s="1115"/>
      <c r="AJ2784" s="1117"/>
      <c r="AK2784" s="1118"/>
      <c r="AL2784" s="1115"/>
      <c r="AM2784" s="1115"/>
      <c r="AN2784" s="1115"/>
      <c r="AO2784" s="1115"/>
      <c r="AP2784" s="1115"/>
      <c r="AQ2784" s="1115"/>
      <c r="AR2784" s="1115"/>
      <c r="AS2784" s="1117"/>
      <c r="AT2784" s="1075"/>
      <c r="AU2784" s="1193"/>
      <c r="AV2784" s="330"/>
      <c r="AW2784" s="331"/>
      <c r="AX2784" s="331"/>
      <c r="AY2784" s="331"/>
      <c r="AZ2784" s="331"/>
      <c r="BA2784" s="331"/>
      <c r="BB2784" s="331"/>
      <c r="BC2784" s="331"/>
      <c r="BD2784" s="331"/>
      <c r="BE2784" s="333"/>
      <c r="BF2784" s="330"/>
      <c r="BG2784" s="333"/>
      <c r="BH2784" s="1119"/>
      <c r="BI2784" s="319"/>
      <c r="BJ2784" s="319"/>
      <c r="BK2784" s="319"/>
      <c r="BL2784" s="319"/>
      <c r="BM2784" s="319"/>
      <c r="BN2784" s="319"/>
      <c r="BO2784" s="319"/>
      <c r="BP2784" s="953"/>
      <c r="BQ2784" s="319"/>
      <c r="BR2784" s="319"/>
      <c r="BS2784" s="330"/>
      <c r="BT2784" s="331"/>
      <c r="BU2784" s="920"/>
      <c r="BV2784" s="903"/>
      <c r="BW2784" s="908"/>
      <c r="BX2784" s="908"/>
      <c r="BY2784" s="331"/>
      <c r="BZ2784" s="331"/>
      <c r="CA2784" s="462"/>
      <c r="CB2784" s="319"/>
      <c r="CC2784" s="319"/>
      <c r="CD2784" s="319"/>
      <c r="CE2784" s="319"/>
      <c r="CF2784" s="319"/>
      <c r="CG2784" s="319"/>
      <c r="CH2784" s="318"/>
      <c r="CI2784" s="319"/>
      <c r="CJ2784" s="319"/>
      <c r="CK2784" s="342"/>
      <c r="CL2784" s="333"/>
      <c r="CM2784" s="1079"/>
      <c r="CN2784" s="1005"/>
      <c r="CO2784" s="1005"/>
      <c r="CP2784" s="1005"/>
    </row>
    <row r="2785">
      <c r="A2785" s="1257"/>
      <c r="B2785" s="1113"/>
      <c r="C2785" s="1107"/>
      <c r="D2785" s="103"/>
      <c r="E2785" s="1137"/>
      <c r="F2785" s="112"/>
      <c r="G2785" s="1110"/>
      <c r="H2785" s="1138"/>
      <c r="I2785" s="1138"/>
      <c r="J2785" s="1139"/>
      <c r="K2785" s="1111"/>
      <c r="L2785" s="1112"/>
      <c r="M2785" s="1113"/>
      <c r="N2785" s="110"/>
      <c r="O2785" s="1140"/>
      <c r="P2785" s="1115"/>
      <c r="Q2785" s="1116"/>
      <c r="R2785" s="1141"/>
      <c r="S2785" s="1113"/>
      <c r="T2785" s="1143"/>
      <c r="U2785" s="1108"/>
      <c r="V2785" s="1108"/>
      <c r="W2785" s="1108"/>
      <c r="X2785" s="1108"/>
      <c r="Y2785" s="1108"/>
      <c r="Z2785" s="1114"/>
      <c r="AA2785" s="1114"/>
      <c r="AB2785" s="1114"/>
      <c r="AC2785" s="1117"/>
      <c r="AD2785" s="1115"/>
      <c r="AE2785" s="1115"/>
      <c r="AF2785" s="1115"/>
      <c r="AG2785" s="1115"/>
      <c r="AH2785" s="1115"/>
      <c r="AI2785" s="1115"/>
      <c r="AJ2785" s="1117"/>
      <c r="AK2785" s="1118"/>
      <c r="AL2785" s="1115"/>
      <c r="AM2785" s="1115"/>
      <c r="AN2785" s="1115"/>
      <c r="AO2785" s="1115"/>
      <c r="AP2785" s="1115"/>
      <c r="AQ2785" s="1115"/>
      <c r="AR2785" s="1115"/>
      <c r="AS2785" s="1117"/>
      <c r="AT2785" s="1075"/>
      <c r="AU2785" s="1193"/>
      <c r="AV2785" s="330"/>
      <c r="AW2785" s="331"/>
      <c r="AX2785" s="331"/>
      <c r="AY2785" s="331"/>
      <c r="AZ2785" s="331"/>
      <c r="BA2785" s="331"/>
      <c r="BB2785" s="331"/>
      <c r="BC2785" s="331"/>
      <c r="BD2785" s="331"/>
      <c r="BE2785" s="333"/>
      <c r="BF2785" s="330"/>
      <c r="BG2785" s="333"/>
      <c r="BH2785" s="1119"/>
      <c r="BI2785" s="319"/>
      <c r="BJ2785" s="319"/>
      <c r="BK2785" s="319"/>
      <c r="BL2785" s="319"/>
      <c r="BM2785" s="319"/>
      <c r="BN2785" s="319"/>
      <c r="BO2785" s="319"/>
      <c r="BP2785" s="953"/>
      <c r="BQ2785" s="319"/>
      <c r="BR2785" s="319"/>
      <c r="BS2785" s="330"/>
      <c r="BT2785" s="331"/>
      <c r="BU2785" s="920"/>
      <c r="BV2785" s="903"/>
      <c r="BW2785" s="908"/>
      <c r="BX2785" s="908"/>
      <c r="BY2785" s="331"/>
      <c r="BZ2785" s="331"/>
      <c r="CA2785" s="462"/>
      <c r="CB2785" s="319"/>
      <c r="CC2785" s="319"/>
      <c r="CD2785" s="319"/>
      <c r="CE2785" s="319"/>
      <c r="CF2785" s="319"/>
      <c r="CG2785" s="319"/>
      <c r="CH2785" s="318"/>
      <c r="CI2785" s="319"/>
      <c r="CJ2785" s="319"/>
      <c r="CK2785" s="342"/>
      <c r="CL2785" s="333"/>
      <c r="CM2785" s="1079"/>
      <c r="CN2785" s="1005"/>
      <c r="CO2785" s="1005"/>
      <c r="CP2785" s="1005"/>
    </row>
    <row r="2786">
      <c r="A2786" s="1257"/>
      <c r="B2786" s="1113"/>
      <c r="C2786" s="1107"/>
      <c r="D2786" s="103"/>
      <c r="E2786" s="1137"/>
      <c r="F2786" s="112"/>
      <c r="G2786" s="1110"/>
      <c r="H2786" s="1138"/>
      <c r="I2786" s="1138"/>
      <c r="J2786" s="1139"/>
      <c r="K2786" s="1111"/>
      <c r="L2786" s="1112"/>
      <c r="M2786" s="1113"/>
      <c r="N2786" s="110"/>
      <c r="O2786" s="1140"/>
      <c r="P2786" s="1115"/>
      <c r="Q2786" s="1116"/>
      <c r="R2786" s="1141"/>
      <c r="S2786" s="1113"/>
      <c r="T2786" s="1143"/>
      <c r="U2786" s="1108"/>
      <c r="V2786" s="1108"/>
      <c r="W2786" s="1108"/>
      <c r="X2786" s="1108"/>
      <c r="Y2786" s="1108"/>
      <c r="Z2786" s="1114"/>
      <c r="AA2786" s="1114"/>
      <c r="AB2786" s="1114"/>
      <c r="AC2786" s="1117"/>
      <c r="AD2786" s="1115"/>
      <c r="AE2786" s="1115"/>
      <c r="AF2786" s="1115"/>
      <c r="AG2786" s="1115"/>
      <c r="AH2786" s="1115"/>
      <c r="AI2786" s="1115"/>
      <c r="AJ2786" s="1117"/>
      <c r="AK2786" s="1118"/>
      <c r="AL2786" s="1115"/>
      <c r="AM2786" s="1115"/>
      <c r="AN2786" s="1115"/>
      <c r="AO2786" s="1115"/>
      <c r="AP2786" s="1115"/>
      <c r="AQ2786" s="1115"/>
      <c r="AR2786" s="1115"/>
      <c r="AS2786" s="1117"/>
      <c r="AT2786" s="1075"/>
      <c r="AU2786" s="1193"/>
      <c r="AV2786" s="330"/>
      <c r="AW2786" s="331"/>
      <c r="AX2786" s="331"/>
      <c r="AY2786" s="331"/>
      <c r="AZ2786" s="331"/>
      <c r="BA2786" s="331"/>
      <c r="BB2786" s="331"/>
      <c r="BC2786" s="331"/>
      <c r="BD2786" s="331"/>
      <c r="BE2786" s="333"/>
      <c r="BF2786" s="330"/>
      <c r="BG2786" s="333"/>
      <c r="BH2786" s="1119"/>
      <c r="BI2786" s="319"/>
      <c r="BJ2786" s="319"/>
      <c r="BK2786" s="319"/>
      <c r="BL2786" s="319"/>
      <c r="BM2786" s="319"/>
      <c r="BN2786" s="319"/>
      <c r="BO2786" s="319"/>
      <c r="BP2786" s="953"/>
      <c r="BQ2786" s="319"/>
      <c r="BR2786" s="319"/>
      <c r="BS2786" s="330"/>
      <c r="BT2786" s="331"/>
      <c r="BU2786" s="920"/>
      <c r="BV2786" s="903"/>
      <c r="BW2786" s="908"/>
      <c r="BX2786" s="908"/>
      <c r="BY2786" s="331"/>
      <c r="BZ2786" s="331"/>
      <c r="CA2786" s="462"/>
      <c r="CB2786" s="319"/>
      <c r="CC2786" s="319"/>
      <c r="CD2786" s="319"/>
      <c r="CE2786" s="319"/>
      <c r="CF2786" s="319"/>
      <c r="CG2786" s="319"/>
      <c r="CH2786" s="318"/>
      <c r="CI2786" s="319"/>
      <c r="CJ2786" s="319"/>
      <c r="CK2786" s="342"/>
      <c r="CL2786" s="333"/>
      <c r="CM2786" s="1079"/>
      <c r="CN2786" s="1005"/>
      <c r="CO2786" s="1005"/>
      <c r="CP2786" s="1005"/>
    </row>
    <row r="2787">
      <c r="A2787" s="1257"/>
      <c r="B2787" s="1113"/>
      <c r="C2787" s="1107"/>
      <c r="D2787" s="103"/>
      <c r="E2787" s="1137"/>
      <c r="F2787" s="112"/>
      <c r="G2787" s="1110"/>
      <c r="H2787" s="1138"/>
      <c r="I2787" s="1138"/>
      <c r="J2787" s="1139"/>
      <c r="K2787" s="1111"/>
      <c r="L2787" s="1112"/>
      <c r="M2787" s="1113"/>
      <c r="N2787" s="110"/>
      <c r="O2787" s="1140"/>
      <c r="P2787" s="1115"/>
      <c r="Q2787" s="1116"/>
      <c r="R2787" s="1141"/>
      <c r="S2787" s="1113"/>
      <c r="T2787" s="1143"/>
      <c r="U2787" s="1108"/>
      <c r="V2787" s="1108"/>
      <c r="W2787" s="1108"/>
      <c r="X2787" s="1108"/>
      <c r="Y2787" s="1108"/>
      <c r="Z2787" s="1114"/>
      <c r="AA2787" s="1114"/>
      <c r="AB2787" s="1114"/>
      <c r="AC2787" s="1117"/>
      <c r="AD2787" s="1115"/>
      <c r="AE2787" s="1115"/>
      <c r="AF2787" s="1115"/>
      <c r="AG2787" s="1115"/>
      <c r="AH2787" s="1115"/>
      <c r="AI2787" s="1115"/>
      <c r="AJ2787" s="1117"/>
      <c r="AK2787" s="1118"/>
      <c r="AL2787" s="1115"/>
      <c r="AM2787" s="1115"/>
      <c r="AN2787" s="1115"/>
      <c r="AO2787" s="1115"/>
      <c r="AP2787" s="1115"/>
      <c r="AQ2787" s="1115"/>
      <c r="AR2787" s="1115"/>
      <c r="AS2787" s="1117"/>
      <c r="AT2787" s="1075"/>
      <c r="AU2787" s="1193"/>
      <c r="AV2787" s="330"/>
      <c r="AW2787" s="331"/>
      <c r="AX2787" s="331"/>
      <c r="AY2787" s="331"/>
      <c r="AZ2787" s="331"/>
      <c r="BA2787" s="331"/>
      <c r="BB2787" s="331"/>
      <c r="BC2787" s="331"/>
      <c r="BD2787" s="331"/>
      <c r="BE2787" s="333"/>
      <c r="BF2787" s="330"/>
      <c r="BG2787" s="333"/>
      <c r="BH2787" s="1119"/>
      <c r="BI2787" s="319"/>
      <c r="BJ2787" s="319"/>
      <c r="BK2787" s="319"/>
      <c r="BL2787" s="319"/>
      <c r="BM2787" s="319"/>
      <c r="BN2787" s="319"/>
      <c r="BO2787" s="319"/>
      <c r="BP2787" s="953"/>
      <c r="BQ2787" s="319"/>
      <c r="BR2787" s="319"/>
      <c r="BS2787" s="330"/>
      <c r="BT2787" s="331"/>
      <c r="BU2787" s="920"/>
      <c r="BV2787" s="903"/>
      <c r="BW2787" s="908"/>
      <c r="BX2787" s="908"/>
      <c r="BY2787" s="331"/>
      <c r="BZ2787" s="331"/>
      <c r="CA2787" s="462"/>
      <c r="CB2787" s="319"/>
      <c r="CC2787" s="319"/>
      <c r="CD2787" s="319"/>
      <c r="CE2787" s="319"/>
      <c r="CF2787" s="319"/>
      <c r="CG2787" s="319"/>
      <c r="CH2787" s="318"/>
      <c r="CI2787" s="319"/>
      <c r="CJ2787" s="319"/>
      <c r="CK2787" s="342"/>
      <c r="CL2787" s="333"/>
      <c r="CM2787" s="1079"/>
      <c r="CN2787" s="1005"/>
      <c r="CO2787" s="1005"/>
      <c r="CP2787" s="1005"/>
    </row>
    <row r="2788">
      <c r="A2788" s="1257"/>
      <c r="B2788" s="1113"/>
      <c r="C2788" s="1107"/>
      <c r="D2788" s="103"/>
      <c r="E2788" s="1137"/>
      <c r="F2788" s="112"/>
      <c r="G2788" s="1110"/>
      <c r="H2788" s="1138"/>
      <c r="I2788" s="1138"/>
      <c r="J2788" s="1139"/>
      <c r="K2788" s="1111"/>
      <c r="L2788" s="1112"/>
      <c r="M2788" s="1113"/>
      <c r="N2788" s="110"/>
      <c r="O2788" s="1140"/>
      <c r="P2788" s="1115"/>
      <c r="Q2788" s="1116"/>
      <c r="R2788" s="1141"/>
      <c r="S2788" s="1113"/>
      <c r="T2788" s="1143"/>
      <c r="U2788" s="1108"/>
      <c r="V2788" s="1108"/>
      <c r="W2788" s="1108"/>
      <c r="X2788" s="1108"/>
      <c r="Y2788" s="1108"/>
      <c r="Z2788" s="1114"/>
      <c r="AA2788" s="1114"/>
      <c r="AB2788" s="1114"/>
      <c r="AC2788" s="1117"/>
      <c r="AD2788" s="1115"/>
      <c r="AE2788" s="1115"/>
      <c r="AF2788" s="1115"/>
      <c r="AG2788" s="1115"/>
      <c r="AH2788" s="1115"/>
      <c r="AI2788" s="1115"/>
      <c r="AJ2788" s="1117"/>
      <c r="AK2788" s="1118"/>
      <c r="AL2788" s="1115"/>
      <c r="AM2788" s="1115"/>
      <c r="AN2788" s="1115"/>
      <c r="AO2788" s="1115"/>
      <c r="AP2788" s="1115"/>
      <c r="AQ2788" s="1115"/>
      <c r="AR2788" s="1115"/>
      <c r="AS2788" s="1117"/>
      <c r="AT2788" s="1075"/>
      <c r="AU2788" s="1193"/>
      <c r="AV2788" s="330"/>
      <c r="AW2788" s="331"/>
      <c r="AX2788" s="331"/>
      <c r="AY2788" s="331"/>
      <c r="AZ2788" s="331"/>
      <c r="BA2788" s="331"/>
      <c r="BB2788" s="331"/>
      <c r="BC2788" s="331"/>
      <c r="BD2788" s="331"/>
      <c r="BE2788" s="333"/>
      <c r="BF2788" s="330"/>
      <c r="BG2788" s="333"/>
      <c r="BH2788" s="1119"/>
      <c r="BI2788" s="319"/>
      <c r="BJ2788" s="319"/>
      <c r="BK2788" s="319"/>
      <c r="BL2788" s="319"/>
      <c r="BM2788" s="319"/>
      <c r="BN2788" s="319"/>
      <c r="BO2788" s="319"/>
      <c r="BP2788" s="953"/>
      <c r="BQ2788" s="319"/>
      <c r="BR2788" s="319"/>
      <c r="BS2788" s="330"/>
      <c r="BT2788" s="331"/>
      <c r="BU2788" s="920"/>
      <c r="BV2788" s="903"/>
      <c r="BW2788" s="908"/>
      <c r="BX2788" s="908"/>
      <c r="BY2788" s="331"/>
      <c r="BZ2788" s="331"/>
      <c r="CA2788" s="462"/>
      <c r="CB2788" s="319"/>
      <c r="CC2788" s="319"/>
      <c r="CD2788" s="319"/>
      <c r="CE2788" s="319"/>
      <c r="CF2788" s="319"/>
      <c r="CG2788" s="319"/>
      <c r="CH2788" s="318"/>
      <c r="CI2788" s="319"/>
      <c r="CJ2788" s="319"/>
      <c r="CK2788" s="342"/>
      <c r="CL2788" s="333"/>
      <c r="CM2788" s="1079"/>
      <c r="CN2788" s="1005"/>
      <c r="CO2788" s="1005"/>
      <c r="CP2788" s="1005"/>
    </row>
    <row r="2789">
      <c r="A2789" s="1257"/>
      <c r="B2789" s="1113"/>
      <c r="C2789" s="1107"/>
      <c r="D2789" s="103"/>
      <c r="E2789" s="1137"/>
      <c r="F2789" s="112"/>
      <c r="G2789" s="1110"/>
      <c r="H2789" s="1138"/>
      <c r="I2789" s="1138"/>
      <c r="J2789" s="1139"/>
      <c r="K2789" s="1111"/>
      <c r="L2789" s="1112"/>
      <c r="M2789" s="1113"/>
      <c r="N2789" s="110"/>
      <c r="O2789" s="1140"/>
      <c r="P2789" s="1115"/>
      <c r="Q2789" s="1116"/>
      <c r="R2789" s="1141"/>
      <c r="S2789" s="1113"/>
      <c r="T2789" s="1143"/>
      <c r="U2789" s="1108"/>
      <c r="V2789" s="1108"/>
      <c r="W2789" s="1108"/>
      <c r="X2789" s="1108"/>
      <c r="Y2789" s="1108"/>
      <c r="Z2789" s="1114"/>
      <c r="AA2789" s="1114"/>
      <c r="AB2789" s="1114"/>
      <c r="AC2789" s="1117"/>
      <c r="AD2789" s="1115"/>
      <c r="AE2789" s="1115"/>
      <c r="AF2789" s="1115"/>
      <c r="AG2789" s="1115"/>
      <c r="AH2789" s="1115"/>
      <c r="AI2789" s="1115"/>
      <c r="AJ2789" s="1117"/>
      <c r="AK2789" s="1118"/>
      <c r="AL2789" s="1115"/>
      <c r="AM2789" s="1115"/>
      <c r="AN2789" s="1115"/>
      <c r="AO2789" s="1115"/>
      <c r="AP2789" s="1115"/>
      <c r="AQ2789" s="1115"/>
      <c r="AR2789" s="1115"/>
      <c r="AS2789" s="1117"/>
      <c r="AT2789" s="1075"/>
      <c r="AU2789" s="1193"/>
      <c r="AV2789" s="330"/>
      <c r="AW2789" s="331"/>
      <c r="AX2789" s="331"/>
      <c r="AY2789" s="331"/>
      <c r="AZ2789" s="331"/>
      <c r="BA2789" s="331"/>
      <c r="BB2789" s="331"/>
      <c r="BC2789" s="331"/>
      <c r="BD2789" s="331"/>
      <c r="BE2789" s="333"/>
      <c r="BF2789" s="330"/>
      <c r="BG2789" s="333"/>
      <c r="BH2789" s="1119"/>
      <c r="BI2789" s="319"/>
      <c r="BJ2789" s="319"/>
      <c r="BK2789" s="319"/>
      <c r="BL2789" s="319"/>
      <c r="BM2789" s="319"/>
      <c r="BN2789" s="319"/>
      <c r="BO2789" s="319"/>
      <c r="BP2789" s="953"/>
      <c r="BQ2789" s="319"/>
      <c r="BR2789" s="319"/>
      <c r="BS2789" s="330"/>
      <c r="BT2789" s="331"/>
      <c r="BU2789" s="920"/>
      <c r="BV2789" s="903"/>
      <c r="BW2789" s="908"/>
      <c r="BX2789" s="908"/>
      <c r="BY2789" s="331"/>
      <c r="BZ2789" s="331"/>
      <c r="CA2789" s="462"/>
      <c r="CB2789" s="319"/>
      <c r="CC2789" s="319"/>
      <c r="CD2789" s="319"/>
      <c r="CE2789" s="319"/>
      <c r="CF2789" s="319"/>
      <c r="CG2789" s="319"/>
      <c r="CH2789" s="318"/>
      <c r="CI2789" s="319"/>
      <c r="CJ2789" s="319"/>
      <c r="CK2789" s="342"/>
      <c r="CL2789" s="333"/>
      <c r="CM2789" s="1079"/>
      <c r="CN2789" s="1005"/>
      <c r="CO2789" s="1005"/>
      <c r="CP2789" s="1005"/>
    </row>
    <row r="2790">
      <c r="A2790" s="1257"/>
      <c r="B2790" s="1113"/>
      <c r="C2790" s="1107"/>
      <c r="D2790" s="103"/>
      <c r="E2790" s="1137"/>
      <c r="F2790" s="112"/>
      <c r="G2790" s="1110"/>
      <c r="H2790" s="1138"/>
      <c r="I2790" s="1138"/>
      <c r="J2790" s="1139"/>
      <c r="K2790" s="1111"/>
      <c r="L2790" s="1112"/>
      <c r="M2790" s="1113"/>
      <c r="N2790" s="110"/>
      <c r="O2790" s="1140"/>
      <c r="P2790" s="1115"/>
      <c r="Q2790" s="1116"/>
      <c r="R2790" s="1141"/>
      <c r="S2790" s="1113"/>
      <c r="T2790" s="1143"/>
      <c r="U2790" s="1108"/>
      <c r="V2790" s="1108"/>
      <c r="W2790" s="1108"/>
      <c r="X2790" s="1108"/>
      <c r="Y2790" s="1108"/>
      <c r="Z2790" s="1114"/>
      <c r="AA2790" s="1114"/>
      <c r="AB2790" s="1114"/>
      <c r="AC2790" s="1117"/>
      <c r="AD2790" s="1115"/>
      <c r="AE2790" s="1115"/>
      <c r="AF2790" s="1115"/>
      <c r="AG2790" s="1115"/>
      <c r="AH2790" s="1115"/>
      <c r="AI2790" s="1115"/>
      <c r="AJ2790" s="1117"/>
      <c r="AK2790" s="1118"/>
      <c r="AL2790" s="1115"/>
      <c r="AM2790" s="1115"/>
      <c r="AN2790" s="1115"/>
      <c r="AO2790" s="1115"/>
      <c r="AP2790" s="1115"/>
      <c r="AQ2790" s="1115"/>
      <c r="AR2790" s="1115"/>
      <c r="AS2790" s="1117"/>
      <c r="AT2790" s="1075"/>
      <c r="AU2790" s="1193"/>
      <c r="AV2790" s="330"/>
      <c r="AW2790" s="331"/>
      <c r="AX2790" s="331"/>
      <c r="AY2790" s="331"/>
      <c r="AZ2790" s="331"/>
      <c r="BA2790" s="331"/>
      <c r="BB2790" s="331"/>
      <c r="BC2790" s="331"/>
      <c r="BD2790" s="331"/>
      <c r="BE2790" s="333"/>
      <c r="BF2790" s="330"/>
      <c r="BG2790" s="333"/>
      <c r="BH2790" s="1119"/>
      <c r="BI2790" s="319"/>
      <c r="BJ2790" s="319"/>
      <c r="BK2790" s="319"/>
      <c r="BL2790" s="319"/>
      <c r="BM2790" s="319"/>
      <c r="BN2790" s="319"/>
      <c r="BO2790" s="319"/>
      <c r="BP2790" s="953"/>
      <c r="BQ2790" s="319"/>
      <c r="BR2790" s="319"/>
      <c r="BS2790" s="330"/>
      <c r="BT2790" s="331"/>
      <c r="BU2790" s="920"/>
      <c r="BV2790" s="903"/>
      <c r="BW2790" s="908"/>
      <c r="BX2790" s="908"/>
      <c r="BY2790" s="331"/>
      <c r="BZ2790" s="331"/>
      <c r="CA2790" s="462"/>
      <c r="CB2790" s="319"/>
      <c r="CC2790" s="319"/>
      <c r="CD2790" s="319"/>
      <c r="CE2790" s="319"/>
      <c r="CF2790" s="319"/>
      <c r="CG2790" s="319"/>
      <c r="CH2790" s="318"/>
      <c r="CI2790" s="319"/>
      <c r="CJ2790" s="319"/>
      <c r="CK2790" s="342"/>
      <c r="CL2790" s="333"/>
      <c r="CM2790" s="1079"/>
      <c r="CN2790" s="1005"/>
      <c r="CO2790" s="1005"/>
      <c r="CP2790" s="1005"/>
    </row>
    <row r="2791">
      <c r="A2791" s="1257"/>
      <c r="B2791" s="1113"/>
      <c r="C2791" s="1107"/>
      <c r="D2791" s="103"/>
      <c r="E2791" s="1137"/>
      <c r="F2791" s="112"/>
      <c r="G2791" s="1110"/>
      <c r="H2791" s="1138"/>
      <c r="I2791" s="1138"/>
      <c r="J2791" s="1139"/>
      <c r="K2791" s="1111"/>
      <c r="L2791" s="1112"/>
      <c r="M2791" s="1113"/>
      <c r="N2791" s="110"/>
      <c r="O2791" s="1140"/>
      <c r="P2791" s="1115"/>
      <c r="Q2791" s="1116"/>
      <c r="R2791" s="1141"/>
      <c r="S2791" s="1113"/>
      <c r="T2791" s="1143"/>
      <c r="U2791" s="1108"/>
      <c r="V2791" s="1108"/>
      <c r="W2791" s="1108"/>
      <c r="X2791" s="1108"/>
      <c r="Y2791" s="1108"/>
      <c r="Z2791" s="1114"/>
      <c r="AA2791" s="1114"/>
      <c r="AB2791" s="1114"/>
      <c r="AC2791" s="1117"/>
      <c r="AD2791" s="1115"/>
      <c r="AE2791" s="1115"/>
      <c r="AF2791" s="1115"/>
      <c r="AG2791" s="1115"/>
      <c r="AH2791" s="1115"/>
      <c r="AI2791" s="1115"/>
      <c r="AJ2791" s="1117"/>
      <c r="AK2791" s="1118"/>
      <c r="AL2791" s="1115"/>
      <c r="AM2791" s="1115"/>
      <c r="AN2791" s="1115"/>
      <c r="AO2791" s="1115"/>
      <c r="AP2791" s="1115"/>
      <c r="AQ2791" s="1115"/>
      <c r="AR2791" s="1115"/>
      <c r="AS2791" s="1117"/>
      <c r="AT2791" s="1075"/>
      <c r="AU2791" s="1193"/>
      <c r="AV2791" s="330"/>
      <c r="AW2791" s="331"/>
      <c r="AX2791" s="331"/>
      <c r="AY2791" s="331"/>
      <c r="AZ2791" s="331"/>
      <c r="BA2791" s="331"/>
      <c r="BB2791" s="331"/>
      <c r="BC2791" s="331"/>
      <c r="BD2791" s="331"/>
      <c r="BE2791" s="333"/>
      <c r="BF2791" s="330"/>
      <c r="BG2791" s="333"/>
      <c r="BH2791" s="1119"/>
      <c r="BI2791" s="319"/>
      <c r="BJ2791" s="319"/>
      <c r="BK2791" s="319"/>
      <c r="BL2791" s="319"/>
      <c r="BM2791" s="319"/>
      <c r="BN2791" s="319"/>
      <c r="BO2791" s="319"/>
      <c r="BP2791" s="953"/>
      <c r="BQ2791" s="319"/>
      <c r="BR2791" s="319"/>
      <c r="BS2791" s="330"/>
      <c r="BT2791" s="331"/>
      <c r="BU2791" s="920"/>
      <c r="BV2791" s="903"/>
      <c r="BW2791" s="908"/>
      <c r="BX2791" s="908"/>
      <c r="BY2791" s="331"/>
      <c r="BZ2791" s="331"/>
      <c r="CA2791" s="462"/>
      <c r="CB2791" s="319"/>
      <c r="CC2791" s="319"/>
      <c r="CD2791" s="319"/>
      <c r="CE2791" s="319"/>
      <c r="CF2791" s="319"/>
      <c r="CG2791" s="319"/>
      <c r="CH2791" s="318"/>
      <c r="CI2791" s="319"/>
      <c r="CJ2791" s="319"/>
      <c r="CK2791" s="342"/>
      <c r="CL2791" s="333"/>
      <c r="CM2791" s="1079"/>
      <c r="CN2791" s="1005"/>
      <c r="CO2791" s="1005"/>
      <c r="CP2791" s="1005"/>
    </row>
    <row r="2792">
      <c r="A2792" s="1257"/>
      <c r="B2792" s="1113"/>
      <c r="C2792" s="1107"/>
      <c r="D2792" s="103"/>
      <c r="E2792" s="1137"/>
      <c r="F2792" s="112"/>
      <c r="G2792" s="1110"/>
      <c r="H2792" s="1138"/>
      <c r="I2792" s="1138"/>
      <c r="J2792" s="1139"/>
      <c r="K2792" s="1111"/>
      <c r="L2792" s="1112"/>
      <c r="M2792" s="1113"/>
      <c r="N2792" s="110"/>
      <c r="O2792" s="1140"/>
      <c r="P2792" s="1115"/>
      <c r="Q2792" s="1116"/>
      <c r="R2792" s="1141"/>
      <c r="S2792" s="1113"/>
      <c r="T2792" s="1143"/>
      <c r="U2792" s="1108"/>
      <c r="V2792" s="1108"/>
      <c r="W2792" s="1108"/>
      <c r="X2792" s="1108"/>
      <c r="Y2792" s="1108"/>
      <c r="Z2792" s="1114"/>
      <c r="AA2792" s="1114"/>
      <c r="AB2792" s="1114"/>
      <c r="AC2792" s="1117"/>
      <c r="AD2792" s="1115"/>
      <c r="AE2792" s="1115"/>
      <c r="AF2792" s="1115"/>
      <c r="AG2792" s="1115"/>
      <c r="AH2792" s="1115"/>
      <c r="AI2792" s="1115"/>
      <c r="AJ2792" s="1117"/>
      <c r="AK2792" s="1118"/>
      <c r="AL2792" s="1115"/>
      <c r="AM2792" s="1115"/>
      <c r="AN2792" s="1115"/>
      <c r="AO2792" s="1115"/>
      <c r="AP2792" s="1115"/>
      <c r="AQ2792" s="1115"/>
      <c r="AR2792" s="1115"/>
      <c r="AS2792" s="1117"/>
      <c r="AT2792" s="1075"/>
      <c r="AU2792" s="1193"/>
      <c r="AV2792" s="330"/>
      <c r="AW2792" s="331"/>
      <c r="AX2792" s="331"/>
      <c r="AY2792" s="331"/>
      <c r="AZ2792" s="331"/>
      <c r="BA2792" s="331"/>
      <c r="BB2792" s="331"/>
      <c r="BC2792" s="331"/>
      <c r="BD2792" s="331"/>
      <c r="BE2792" s="333"/>
      <c r="BF2792" s="330"/>
      <c r="BG2792" s="333"/>
      <c r="BH2792" s="1119"/>
      <c r="BI2792" s="319"/>
      <c r="BJ2792" s="319"/>
      <c r="BK2792" s="319"/>
      <c r="BL2792" s="319"/>
      <c r="BM2792" s="319"/>
      <c r="BN2792" s="319"/>
      <c r="BO2792" s="319"/>
      <c r="BP2792" s="953"/>
      <c r="BQ2792" s="319"/>
      <c r="BR2792" s="319"/>
      <c r="BS2792" s="330"/>
      <c r="BT2792" s="331"/>
      <c r="BU2792" s="920"/>
      <c r="BV2792" s="903"/>
      <c r="BW2792" s="908"/>
      <c r="BX2792" s="908"/>
      <c r="BY2792" s="331"/>
      <c r="BZ2792" s="331"/>
      <c r="CA2792" s="462"/>
      <c r="CB2792" s="319"/>
      <c r="CC2792" s="319"/>
      <c r="CD2792" s="319"/>
      <c r="CE2792" s="319"/>
      <c r="CF2792" s="319"/>
      <c r="CG2792" s="319"/>
      <c r="CH2792" s="318"/>
      <c r="CI2792" s="319"/>
      <c r="CJ2792" s="319"/>
      <c r="CK2792" s="342"/>
      <c r="CL2792" s="333"/>
      <c r="CM2792" s="1079"/>
      <c r="CN2792" s="1005"/>
      <c r="CO2792" s="1005"/>
      <c r="CP2792" s="1005"/>
    </row>
    <row r="2793">
      <c r="A2793" s="1257"/>
      <c r="B2793" s="1113"/>
      <c r="C2793" s="1107"/>
      <c r="D2793" s="103"/>
      <c r="E2793" s="1137"/>
      <c r="F2793" s="112"/>
      <c r="G2793" s="1110"/>
      <c r="H2793" s="1138"/>
      <c r="I2793" s="1138"/>
      <c r="J2793" s="1139"/>
      <c r="K2793" s="1111"/>
      <c r="L2793" s="1112"/>
      <c r="M2793" s="1113"/>
      <c r="N2793" s="110"/>
      <c r="O2793" s="1140"/>
      <c r="P2793" s="1115"/>
      <c r="Q2793" s="1116"/>
      <c r="R2793" s="1141"/>
      <c r="S2793" s="1113"/>
      <c r="T2793" s="1143"/>
      <c r="U2793" s="1108"/>
      <c r="V2793" s="1108"/>
      <c r="W2793" s="1108"/>
      <c r="X2793" s="1108"/>
      <c r="Y2793" s="1108"/>
      <c r="Z2793" s="1114"/>
      <c r="AA2793" s="1114"/>
      <c r="AB2793" s="1114"/>
      <c r="AC2793" s="1117"/>
      <c r="AD2793" s="1115"/>
      <c r="AE2793" s="1115"/>
      <c r="AF2793" s="1115"/>
      <c r="AG2793" s="1115"/>
      <c r="AH2793" s="1115"/>
      <c r="AI2793" s="1115"/>
      <c r="AJ2793" s="1117"/>
      <c r="AK2793" s="1118"/>
      <c r="AL2793" s="1115"/>
      <c r="AM2793" s="1115"/>
      <c r="AN2793" s="1115"/>
      <c r="AO2793" s="1115"/>
      <c r="AP2793" s="1115"/>
      <c r="AQ2793" s="1115"/>
      <c r="AR2793" s="1115"/>
      <c r="AS2793" s="1117"/>
      <c r="AT2793" s="1075"/>
      <c r="AU2793" s="1193"/>
      <c r="AV2793" s="330"/>
      <c r="AW2793" s="331"/>
      <c r="AX2793" s="331"/>
      <c r="AY2793" s="331"/>
      <c r="AZ2793" s="331"/>
      <c r="BA2793" s="331"/>
      <c r="BB2793" s="331"/>
      <c r="BC2793" s="331"/>
      <c r="BD2793" s="331"/>
      <c r="BE2793" s="333"/>
      <c r="BF2793" s="330"/>
      <c r="BG2793" s="333"/>
      <c r="BH2793" s="1119"/>
      <c r="BI2793" s="319"/>
      <c r="BJ2793" s="319"/>
      <c r="BK2793" s="319"/>
      <c r="BL2793" s="319"/>
      <c r="BM2793" s="319"/>
      <c r="BN2793" s="319"/>
      <c r="BO2793" s="319"/>
      <c r="BP2793" s="953"/>
      <c r="BQ2793" s="319"/>
      <c r="BR2793" s="319"/>
      <c r="BS2793" s="330"/>
      <c r="BT2793" s="331"/>
      <c r="BU2793" s="920"/>
      <c r="BV2793" s="903"/>
      <c r="BW2793" s="908"/>
      <c r="BX2793" s="908"/>
      <c r="BY2793" s="331"/>
      <c r="BZ2793" s="331"/>
      <c r="CA2793" s="462"/>
      <c r="CB2793" s="319"/>
      <c r="CC2793" s="319"/>
      <c r="CD2793" s="319"/>
      <c r="CE2793" s="319"/>
      <c r="CF2793" s="319"/>
      <c r="CG2793" s="319"/>
      <c r="CH2793" s="318"/>
      <c r="CI2793" s="319"/>
      <c r="CJ2793" s="319"/>
      <c r="CK2793" s="342"/>
      <c r="CL2793" s="333"/>
      <c r="CM2793" s="1079"/>
      <c r="CN2793" s="1005"/>
      <c r="CO2793" s="1005"/>
      <c r="CP2793" s="1005"/>
    </row>
    <row r="2794">
      <c r="A2794" s="1257"/>
      <c r="B2794" s="1113"/>
      <c r="C2794" s="1107"/>
      <c r="D2794" s="103"/>
      <c r="E2794" s="1137"/>
      <c r="F2794" s="112"/>
      <c r="G2794" s="1110"/>
      <c r="H2794" s="1138"/>
      <c r="I2794" s="1138"/>
      <c r="J2794" s="1139"/>
      <c r="K2794" s="1111"/>
      <c r="L2794" s="1112"/>
      <c r="M2794" s="1113"/>
      <c r="N2794" s="110"/>
      <c r="O2794" s="1140"/>
      <c r="P2794" s="1115"/>
      <c r="Q2794" s="1116"/>
      <c r="R2794" s="1141"/>
      <c r="S2794" s="1113"/>
      <c r="T2794" s="1143"/>
      <c r="U2794" s="1108"/>
      <c r="V2794" s="1108"/>
      <c r="W2794" s="1108"/>
      <c r="X2794" s="1108"/>
      <c r="Y2794" s="1108"/>
      <c r="Z2794" s="1114"/>
      <c r="AA2794" s="1114"/>
      <c r="AB2794" s="1114"/>
      <c r="AC2794" s="1117"/>
      <c r="AD2794" s="1115"/>
      <c r="AE2794" s="1115"/>
      <c r="AF2794" s="1115"/>
      <c r="AG2794" s="1115"/>
      <c r="AH2794" s="1115"/>
      <c r="AI2794" s="1115"/>
      <c r="AJ2794" s="1117"/>
      <c r="AK2794" s="1118"/>
      <c r="AL2794" s="1115"/>
      <c r="AM2794" s="1115"/>
      <c r="AN2794" s="1115"/>
      <c r="AO2794" s="1115"/>
      <c r="AP2794" s="1115"/>
      <c r="AQ2794" s="1115"/>
      <c r="AR2794" s="1115"/>
      <c r="AS2794" s="1117"/>
      <c r="AT2794" s="1075"/>
      <c r="AU2794" s="1193"/>
      <c r="AV2794" s="330"/>
      <c r="AW2794" s="331"/>
      <c r="AX2794" s="331"/>
      <c r="AY2794" s="331"/>
      <c r="AZ2794" s="331"/>
      <c r="BA2794" s="331"/>
      <c r="BB2794" s="331"/>
      <c r="BC2794" s="331"/>
      <c r="BD2794" s="331"/>
      <c r="BE2794" s="333"/>
      <c r="BF2794" s="330"/>
      <c r="BG2794" s="333"/>
      <c r="BH2794" s="1119"/>
      <c r="BI2794" s="319"/>
      <c r="BJ2794" s="319"/>
      <c r="BK2794" s="319"/>
      <c r="BL2794" s="319"/>
      <c r="BM2794" s="319"/>
      <c r="BN2794" s="319"/>
      <c r="BO2794" s="319"/>
      <c r="BP2794" s="953"/>
      <c r="BQ2794" s="319"/>
      <c r="BR2794" s="319"/>
      <c r="BS2794" s="330"/>
      <c r="BT2794" s="331"/>
      <c r="BU2794" s="920"/>
      <c r="BV2794" s="903"/>
      <c r="BW2794" s="908"/>
      <c r="BX2794" s="908"/>
      <c r="BY2794" s="331"/>
      <c r="BZ2794" s="331"/>
      <c r="CA2794" s="462"/>
      <c r="CB2794" s="319"/>
      <c r="CC2794" s="319"/>
      <c r="CD2794" s="319"/>
      <c r="CE2794" s="319"/>
      <c r="CF2794" s="319"/>
      <c r="CG2794" s="319"/>
      <c r="CH2794" s="318"/>
      <c r="CI2794" s="319"/>
      <c r="CJ2794" s="319"/>
      <c r="CK2794" s="342"/>
      <c r="CL2794" s="333"/>
      <c r="CM2794" s="1079"/>
      <c r="CN2794" s="1005"/>
      <c r="CO2794" s="1005"/>
      <c r="CP2794" s="1005"/>
    </row>
    <row r="2795">
      <c r="A2795" s="1257"/>
      <c r="B2795" s="1113"/>
      <c r="C2795" s="1107"/>
      <c r="D2795" s="103"/>
      <c r="E2795" s="1137"/>
      <c r="F2795" s="112"/>
      <c r="G2795" s="1110"/>
      <c r="H2795" s="1138"/>
      <c r="I2795" s="1138"/>
      <c r="J2795" s="1139"/>
      <c r="K2795" s="1111"/>
      <c r="L2795" s="1112"/>
      <c r="M2795" s="1113"/>
      <c r="N2795" s="110"/>
      <c r="O2795" s="1140"/>
      <c r="P2795" s="1115"/>
      <c r="Q2795" s="1116"/>
      <c r="R2795" s="1141"/>
      <c r="S2795" s="1113"/>
      <c r="T2795" s="1143"/>
      <c r="U2795" s="1108"/>
      <c r="V2795" s="1108"/>
      <c r="W2795" s="1108"/>
      <c r="X2795" s="1108"/>
      <c r="Y2795" s="1108"/>
      <c r="Z2795" s="1114"/>
      <c r="AA2795" s="1114"/>
      <c r="AB2795" s="1114"/>
      <c r="AC2795" s="1117"/>
      <c r="AD2795" s="1115"/>
      <c r="AE2795" s="1115"/>
      <c r="AF2795" s="1115"/>
      <c r="AG2795" s="1115"/>
      <c r="AH2795" s="1115"/>
      <c r="AI2795" s="1115"/>
      <c r="AJ2795" s="1117"/>
      <c r="AK2795" s="1118"/>
      <c r="AL2795" s="1115"/>
      <c r="AM2795" s="1115"/>
      <c r="AN2795" s="1115"/>
      <c r="AO2795" s="1115"/>
      <c r="AP2795" s="1115"/>
      <c r="AQ2795" s="1115"/>
      <c r="AR2795" s="1115"/>
      <c r="AS2795" s="1117"/>
      <c r="AT2795" s="1075"/>
      <c r="AU2795" s="1193"/>
      <c r="AV2795" s="330"/>
      <c r="AW2795" s="331"/>
      <c r="AX2795" s="331"/>
      <c r="AY2795" s="331"/>
      <c r="AZ2795" s="331"/>
      <c r="BA2795" s="331"/>
      <c r="BB2795" s="331"/>
      <c r="BC2795" s="331"/>
      <c r="BD2795" s="331"/>
      <c r="BE2795" s="333"/>
      <c r="BF2795" s="330"/>
      <c r="BG2795" s="333"/>
      <c r="BH2795" s="1119"/>
      <c r="BI2795" s="319"/>
      <c r="BJ2795" s="319"/>
      <c r="BK2795" s="319"/>
      <c r="BL2795" s="319"/>
      <c r="BM2795" s="319"/>
      <c r="BN2795" s="319"/>
      <c r="BO2795" s="319"/>
      <c r="BP2795" s="953"/>
      <c r="BQ2795" s="319"/>
      <c r="BR2795" s="319"/>
      <c r="BS2795" s="330"/>
      <c r="BT2795" s="331"/>
      <c r="BU2795" s="920"/>
      <c r="BV2795" s="903"/>
      <c r="BW2795" s="908"/>
      <c r="BX2795" s="908"/>
      <c r="BY2795" s="331"/>
      <c r="BZ2795" s="331"/>
      <c r="CA2795" s="462"/>
      <c r="CB2795" s="319"/>
      <c r="CC2795" s="319"/>
      <c r="CD2795" s="319"/>
      <c r="CE2795" s="319"/>
      <c r="CF2795" s="319"/>
      <c r="CG2795" s="319"/>
      <c r="CH2795" s="318"/>
      <c r="CI2795" s="319"/>
      <c r="CJ2795" s="319"/>
      <c r="CK2795" s="342"/>
      <c r="CL2795" s="333"/>
      <c r="CM2795" s="1079"/>
      <c r="CN2795" s="1005"/>
      <c r="CO2795" s="1005"/>
      <c r="CP2795" s="1005"/>
    </row>
    <row r="2796">
      <c r="A2796" s="1257"/>
      <c r="B2796" s="1113"/>
      <c r="C2796" s="1107"/>
      <c r="D2796" s="103"/>
      <c r="E2796" s="1137"/>
      <c r="F2796" s="112"/>
      <c r="G2796" s="1110"/>
      <c r="H2796" s="1138"/>
      <c r="I2796" s="1138"/>
      <c r="J2796" s="1139"/>
      <c r="K2796" s="1111"/>
      <c r="L2796" s="1112"/>
      <c r="M2796" s="1113"/>
      <c r="N2796" s="110"/>
      <c r="O2796" s="1140"/>
      <c r="P2796" s="1115"/>
      <c r="Q2796" s="1116"/>
      <c r="R2796" s="1141"/>
      <c r="S2796" s="1113"/>
      <c r="T2796" s="1143"/>
      <c r="U2796" s="1108"/>
      <c r="V2796" s="1108"/>
      <c r="W2796" s="1108"/>
      <c r="X2796" s="1108"/>
      <c r="Y2796" s="1108"/>
      <c r="Z2796" s="1114"/>
      <c r="AA2796" s="1114"/>
      <c r="AB2796" s="1114"/>
      <c r="AC2796" s="1117"/>
      <c r="AD2796" s="1115"/>
      <c r="AE2796" s="1115"/>
      <c r="AF2796" s="1115"/>
      <c r="AG2796" s="1115"/>
      <c r="AH2796" s="1115"/>
      <c r="AI2796" s="1115"/>
      <c r="AJ2796" s="1117"/>
      <c r="AK2796" s="1118"/>
      <c r="AL2796" s="1115"/>
      <c r="AM2796" s="1115"/>
      <c r="AN2796" s="1115"/>
      <c r="AO2796" s="1115"/>
      <c r="AP2796" s="1115"/>
      <c r="AQ2796" s="1115"/>
      <c r="AR2796" s="1115"/>
      <c r="AS2796" s="1117"/>
      <c r="AT2796" s="1075"/>
      <c r="AU2796" s="1193"/>
      <c r="AV2796" s="330"/>
      <c r="AW2796" s="331"/>
      <c r="AX2796" s="331"/>
      <c r="AY2796" s="331"/>
      <c r="AZ2796" s="331"/>
      <c r="BA2796" s="331"/>
      <c r="BB2796" s="331"/>
      <c r="BC2796" s="331"/>
      <c r="BD2796" s="331"/>
      <c r="BE2796" s="333"/>
      <c r="BF2796" s="330"/>
      <c r="BG2796" s="333"/>
      <c r="BH2796" s="1119"/>
      <c r="BI2796" s="319"/>
      <c r="BJ2796" s="319"/>
      <c r="BK2796" s="319"/>
      <c r="BL2796" s="319"/>
      <c r="BM2796" s="319"/>
      <c r="BN2796" s="319"/>
      <c r="BO2796" s="319"/>
      <c r="BP2796" s="953"/>
      <c r="BQ2796" s="319"/>
      <c r="BR2796" s="319"/>
      <c r="BS2796" s="330"/>
      <c r="BT2796" s="331"/>
      <c r="BU2796" s="920"/>
      <c r="BV2796" s="903"/>
      <c r="BW2796" s="908"/>
      <c r="BX2796" s="908"/>
      <c r="BY2796" s="331"/>
      <c r="BZ2796" s="331"/>
      <c r="CA2796" s="462"/>
      <c r="CB2796" s="319"/>
      <c r="CC2796" s="319"/>
      <c r="CD2796" s="319"/>
      <c r="CE2796" s="319"/>
      <c r="CF2796" s="319"/>
      <c r="CG2796" s="319"/>
      <c r="CH2796" s="318"/>
      <c r="CI2796" s="319"/>
      <c r="CJ2796" s="319"/>
      <c r="CK2796" s="342"/>
      <c r="CL2796" s="333"/>
      <c r="CM2796" s="1079"/>
      <c r="CN2796" s="1005"/>
      <c r="CO2796" s="1005"/>
      <c r="CP2796" s="1005"/>
    </row>
    <row r="2797">
      <c r="A2797" s="1257"/>
      <c r="B2797" s="1113"/>
      <c r="C2797" s="1107"/>
      <c r="D2797" s="103"/>
      <c r="E2797" s="1137"/>
      <c r="F2797" s="112"/>
      <c r="G2797" s="1110"/>
      <c r="H2797" s="1138"/>
      <c r="I2797" s="1138"/>
      <c r="J2797" s="1139"/>
      <c r="K2797" s="1111"/>
      <c r="L2797" s="1112"/>
      <c r="M2797" s="1113"/>
      <c r="N2797" s="110"/>
      <c r="O2797" s="1140"/>
      <c r="P2797" s="1115"/>
      <c r="Q2797" s="1116"/>
      <c r="R2797" s="1141"/>
      <c r="S2797" s="1113"/>
      <c r="T2797" s="1143"/>
      <c r="U2797" s="1108"/>
      <c r="V2797" s="1108"/>
      <c r="W2797" s="1108"/>
      <c r="X2797" s="1108"/>
      <c r="Y2797" s="1108"/>
      <c r="Z2797" s="1114"/>
      <c r="AA2797" s="1114"/>
      <c r="AB2797" s="1114"/>
      <c r="AC2797" s="1117"/>
      <c r="AD2797" s="1115"/>
      <c r="AE2797" s="1115"/>
      <c r="AF2797" s="1115"/>
      <c r="AG2797" s="1115"/>
      <c r="AH2797" s="1115"/>
      <c r="AI2797" s="1115"/>
      <c r="AJ2797" s="1117"/>
      <c r="AK2797" s="1118"/>
      <c r="AL2797" s="1115"/>
      <c r="AM2797" s="1115"/>
      <c r="AN2797" s="1115"/>
      <c r="AO2797" s="1115"/>
      <c r="AP2797" s="1115"/>
      <c r="AQ2797" s="1115"/>
      <c r="AR2797" s="1115"/>
      <c r="AS2797" s="1117"/>
      <c r="AT2797" s="1075"/>
      <c r="AU2797" s="1193"/>
      <c r="AV2797" s="330"/>
      <c r="AW2797" s="331"/>
      <c r="AX2797" s="331"/>
      <c r="AY2797" s="331"/>
      <c r="AZ2797" s="331"/>
      <c r="BA2797" s="331"/>
      <c r="BB2797" s="331"/>
      <c r="BC2797" s="331"/>
      <c r="BD2797" s="331"/>
      <c r="BE2797" s="333"/>
      <c r="BF2797" s="330"/>
      <c r="BG2797" s="333"/>
      <c r="BH2797" s="1119"/>
      <c r="BI2797" s="319"/>
      <c r="BJ2797" s="319"/>
      <c r="BK2797" s="319"/>
      <c r="BL2797" s="319"/>
      <c r="BM2797" s="319"/>
      <c r="BN2797" s="319"/>
      <c r="BO2797" s="319"/>
      <c r="BP2797" s="953"/>
      <c r="BQ2797" s="319"/>
      <c r="BR2797" s="319"/>
      <c r="BS2797" s="330"/>
      <c r="BT2797" s="331"/>
      <c r="BU2797" s="920"/>
      <c r="BV2797" s="903"/>
      <c r="BW2797" s="908"/>
      <c r="BX2797" s="908"/>
      <c r="BY2797" s="331"/>
      <c r="BZ2797" s="331"/>
      <c r="CA2797" s="462"/>
      <c r="CB2797" s="319"/>
      <c r="CC2797" s="319"/>
      <c r="CD2797" s="319"/>
      <c r="CE2797" s="319"/>
      <c r="CF2797" s="319"/>
      <c r="CG2797" s="319"/>
      <c r="CH2797" s="318"/>
      <c r="CI2797" s="319"/>
      <c r="CJ2797" s="319"/>
      <c r="CK2797" s="342"/>
      <c r="CL2797" s="333"/>
      <c r="CM2797" s="1079"/>
      <c r="CN2797" s="1005"/>
      <c r="CO2797" s="1005"/>
      <c r="CP2797" s="1005"/>
    </row>
    <row r="2798">
      <c r="A2798" s="1257"/>
      <c r="B2798" s="1113"/>
      <c r="C2798" s="1107"/>
      <c r="D2798" s="103"/>
      <c r="E2798" s="1137"/>
      <c r="F2798" s="112"/>
      <c r="G2798" s="1110"/>
      <c r="H2798" s="1138"/>
      <c r="I2798" s="1138"/>
      <c r="J2798" s="1139"/>
      <c r="K2798" s="1111"/>
      <c r="L2798" s="1112"/>
      <c r="M2798" s="1113"/>
      <c r="N2798" s="110"/>
      <c r="O2798" s="1140"/>
      <c r="P2798" s="1115"/>
      <c r="Q2798" s="1116"/>
      <c r="R2798" s="1141"/>
      <c r="S2798" s="1113"/>
      <c r="T2798" s="1143"/>
      <c r="U2798" s="1108"/>
      <c r="V2798" s="1108"/>
      <c r="W2798" s="1108"/>
      <c r="X2798" s="1108"/>
      <c r="Y2798" s="1108"/>
      <c r="Z2798" s="1114"/>
      <c r="AA2798" s="1114"/>
      <c r="AB2798" s="1114"/>
      <c r="AC2798" s="1117"/>
      <c r="AD2798" s="1115"/>
      <c r="AE2798" s="1115"/>
      <c r="AF2798" s="1115"/>
      <c r="AG2798" s="1115"/>
      <c r="AH2798" s="1115"/>
      <c r="AI2798" s="1115"/>
      <c r="AJ2798" s="1117"/>
      <c r="AK2798" s="1118"/>
      <c r="AL2798" s="1115"/>
      <c r="AM2798" s="1115"/>
      <c r="AN2798" s="1115"/>
      <c r="AO2798" s="1115"/>
      <c r="AP2798" s="1115"/>
      <c r="AQ2798" s="1115"/>
      <c r="AR2798" s="1115"/>
      <c r="AS2798" s="1117"/>
      <c r="AT2798" s="1075"/>
      <c r="AU2798" s="1193"/>
      <c r="AV2798" s="330"/>
      <c r="AW2798" s="331"/>
      <c r="AX2798" s="331"/>
      <c r="AY2798" s="331"/>
      <c r="AZ2798" s="331"/>
      <c r="BA2798" s="331"/>
      <c r="BB2798" s="331"/>
      <c r="BC2798" s="331"/>
      <c r="BD2798" s="331"/>
      <c r="BE2798" s="333"/>
      <c r="BF2798" s="330"/>
      <c r="BG2798" s="333"/>
      <c r="BH2798" s="1119"/>
      <c r="BI2798" s="319"/>
      <c r="BJ2798" s="319"/>
      <c r="BK2798" s="319"/>
      <c r="BL2798" s="319"/>
      <c r="BM2798" s="319"/>
      <c r="BN2798" s="319"/>
      <c r="BO2798" s="319"/>
      <c r="BP2798" s="953"/>
      <c r="BQ2798" s="319"/>
      <c r="BR2798" s="319"/>
      <c r="BS2798" s="330"/>
      <c r="BT2798" s="331"/>
      <c r="BU2798" s="920"/>
      <c r="BV2798" s="903"/>
      <c r="BW2798" s="908"/>
      <c r="BX2798" s="908"/>
      <c r="BY2798" s="331"/>
      <c r="BZ2798" s="331"/>
      <c r="CA2798" s="462"/>
      <c r="CB2798" s="319"/>
      <c r="CC2798" s="319"/>
      <c r="CD2798" s="319"/>
      <c r="CE2798" s="319"/>
      <c r="CF2798" s="319"/>
      <c r="CG2798" s="319"/>
      <c r="CH2798" s="318"/>
      <c r="CI2798" s="319"/>
      <c r="CJ2798" s="319"/>
      <c r="CK2798" s="342"/>
      <c r="CL2798" s="333"/>
      <c r="CM2798" s="1079"/>
      <c r="CN2798" s="1005"/>
      <c r="CO2798" s="1005"/>
      <c r="CP2798" s="1005"/>
    </row>
    <row r="2799">
      <c r="A2799" s="1257"/>
      <c r="B2799" s="1113"/>
      <c r="C2799" s="1107"/>
      <c r="D2799" s="103"/>
      <c r="E2799" s="1137"/>
      <c r="F2799" s="112"/>
      <c r="G2799" s="1110"/>
      <c r="H2799" s="1138"/>
      <c r="I2799" s="1138"/>
      <c r="J2799" s="1139"/>
      <c r="K2799" s="1111"/>
      <c r="L2799" s="1112"/>
      <c r="M2799" s="1113"/>
      <c r="N2799" s="110"/>
      <c r="O2799" s="1140"/>
      <c r="P2799" s="1115"/>
      <c r="Q2799" s="1116"/>
      <c r="R2799" s="1141"/>
      <c r="S2799" s="1113"/>
      <c r="T2799" s="1143"/>
      <c r="U2799" s="1108"/>
      <c r="V2799" s="1108"/>
      <c r="W2799" s="1108"/>
      <c r="X2799" s="1108"/>
      <c r="Y2799" s="1108"/>
      <c r="Z2799" s="1114"/>
      <c r="AA2799" s="1114"/>
      <c r="AB2799" s="1114"/>
      <c r="AC2799" s="1117"/>
      <c r="AD2799" s="1115"/>
      <c r="AE2799" s="1115"/>
      <c r="AF2799" s="1115"/>
      <c r="AG2799" s="1115"/>
      <c r="AH2799" s="1115"/>
      <c r="AI2799" s="1115"/>
      <c r="AJ2799" s="1117"/>
      <c r="AK2799" s="1118"/>
      <c r="AL2799" s="1115"/>
      <c r="AM2799" s="1115"/>
      <c r="AN2799" s="1115"/>
      <c r="AO2799" s="1115"/>
      <c r="AP2799" s="1115"/>
      <c r="AQ2799" s="1115"/>
      <c r="AR2799" s="1115"/>
      <c r="AS2799" s="1117"/>
      <c r="AT2799" s="1075"/>
      <c r="AU2799" s="1193"/>
      <c r="AV2799" s="330"/>
      <c r="AW2799" s="331"/>
      <c r="AX2799" s="331"/>
      <c r="AY2799" s="331"/>
      <c r="AZ2799" s="331"/>
      <c r="BA2799" s="331"/>
      <c r="BB2799" s="331"/>
      <c r="BC2799" s="331"/>
      <c r="BD2799" s="331"/>
      <c r="BE2799" s="333"/>
      <c r="BF2799" s="330"/>
      <c r="BG2799" s="333"/>
      <c r="BH2799" s="1119"/>
      <c r="BI2799" s="319"/>
      <c r="BJ2799" s="319"/>
      <c r="BK2799" s="319"/>
      <c r="BL2799" s="319"/>
      <c r="BM2799" s="319"/>
      <c r="BN2799" s="319"/>
      <c r="BO2799" s="319"/>
      <c r="BP2799" s="953"/>
      <c r="BQ2799" s="319"/>
      <c r="BR2799" s="319"/>
      <c r="BS2799" s="330"/>
      <c r="BT2799" s="331"/>
      <c r="BU2799" s="920"/>
      <c r="BV2799" s="903"/>
      <c r="BW2799" s="908"/>
      <c r="BX2799" s="908"/>
      <c r="BY2799" s="331"/>
      <c r="BZ2799" s="331"/>
      <c r="CA2799" s="462"/>
      <c r="CB2799" s="319"/>
      <c r="CC2799" s="319"/>
      <c r="CD2799" s="319"/>
      <c r="CE2799" s="319"/>
      <c r="CF2799" s="319"/>
      <c r="CG2799" s="319"/>
      <c r="CH2799" s="318"/>
      <c r="CI2799" s="319"/>
      <c r="CJ2799" s="319"/>
      <c r="CK2799" s="342"/>
      <c r="CL2799" s="333"/>
      <c r="CM2799" s="1079"/>
      <c r="CN2799" s="1005"/>
      <c r="CO2799" s="1005"/>
      <c r="CP2799" s="1005"/>
    </row>
    <row r="2800">
      <c r="A2800" s="1257"/>
      <c r="B2800" s="1113"/>
      <c r="C2800" s="1107"/>
      <c r="D2800" s="103"/>
      <c r="E2800" s="1137"/>
      <c r="F2800" s="112"/>
      <c r="G2800" s="1110"/>
      <c r="H2800" s="1138"/>
      <c r="I2800" s="1138"/>
      <c r="J2800" s="1139"/>
      <c r="K2800" s="1111"/>
      <c r="L2800" s="1112"/>
      <c r="M2800" s="1113"/>
      <c r="N2800" s="110"/>
      <c r="O2800" s="1140"/>
      <c r="P2800" s="1115"/>
      <c r="Q2800" s="1116"/>
      <c r="R2800" s="1141"/>
      <c r="S2800" s="1113"/>
      <c r="T2800" s="1143"/>
      <c r="U2800" s="1108"/>
      <c r="V2800" s="1108"/>
      <c r="W2800" s="1108"/>
      <c r="X2800" s="1108"/>
      <c r="Y2800" s="1108"/>
      <c r="Z2800" s="1114"/>
      <c r="AA2800" s="1114"/>
      <c r="AB2800" s="1114"/>
      <c r="AC2800" s="1117"/>
      <c r="AD2800" s="1115"/>
      <c r="AE2800" s="1115"/>
      <c r="AF2800" s="1115"/>
      <c r="AG2800" s="1115"/>
      <c r="AH2800" s="1115"/>
      <c r="AI2800" s="1115"/>
      <c r="AJ2800" s="1117"/>
      <c r="AK2800" s="1118"/>
      <c r="AL2800" s="1115"/>
      <c r="AM2800" s="1115"/>
      <c r="AN2800" s="1115"/>
      <c r="AO2800" s="1115"/>
      <c r="AP2800" s="1115"/>
      <c r="AQ2800" s="1115"/>
      <c r="AR2800" s="1115"/>
      <c r="AS2800" s="1117"/>
      <c r="AT2800" s="1075"/>
      <c r="AU2800" s="1193"/>
      <c r="AV2800" s="330"/>
      <c r="AW2800" s="331"/>
      <c r="AX2800" s="331"/>
      <c r="AY2800" s="331"/>
      <c r="AZ2800" s="331"/>
      <c r="BA2800" s="331"/>
      <c r="BB2800" s="331"/>
      <c r="BC2800" s="331"/>
      <c r="BD2800" s="331"/>
      <c r="BE2800" s="333"/>
      <c r="BF2800" s="330"/>
      <c r="BG2800" s="333"/>
      <c r="BH2800" s="1119"/>
      <c r="BI2800" s="319"/>
      <c r="BJ2800" s="319"/>
      <c r="BK2800" s="319"/>
      <c r="BL2800" s="319"/>
      <c r="BM2800" s="319"/>
      <c r="BN2800" s="319"/>
      <c r="BO2800" s="319"/>
      <c r="BP2800" s="953"/>
      <c r="BQ2800" s="319"/>
      <c r="BR2800" s="319"/>
      <c r="BS2800" s="330"/>
      <c r="BT2800" s="331"/>
      <c r="BU2800" s="920"/>
      <c r="BV2800" s="903"/>
      <c r="BW2800" s="908"/>
      <c r="BX2800" s="908"/>
      <c r="BY2800" s="331"/>
      <c r="BZ2800" s="331"/>
      <c r="CA2800" s="462"/>
      <c r="CB2800" s="319"/>
      <c r="CC2800" s="319"/>
      <c r="CD2800" s="319"/>
      <c r="CE2800" s="319"/>
      <c r="CF2800" s="319"/>
      <c r="CG2800" s="319"/>
      <c r="CH2800" s="318"/>
      <c r="CI2800" s="319"/>
      <c r="CJ2800" s="319"/>
      <c r="CK2800" s="342"/>
      <c r="CL2800" s="333"/>
      <c r="CM2800" s="1079"/>
      <c r="CN2800" s="1005"/>
      <c r="CO2800" s="1005"/>
      <c r="CP2800" s="1005"/>
    </row>
    <row r="2801">
      <c r="A2801" s="1257"/>
      <c r="B2801" s="1113"/>
      <c r="C2801" s="1107"/>
      <c r="D2801" s="103"/>
      <c r="E2801" s="1137"/>
      <c r="F2801" s="112"/>
      <c r="G2801" s="1110"/>
      <c r="H2801" s="1138"/>
      <c r="I2801" s="1138"/>
      <c r="J2801" s="1139"/>
      <c r="K2801" s="1111"/>
      <c r="L2801" s="1112"/>
      <c r="M2801" s="1113"/>
      <c r="N2801" s="110"/>
      <c r="O2801" s="1140"/>
      <c r="P2801" s="1115"/>
      <c r="Q2801" s="1116"/>
      <c r="R2801" s="1141"/>
      <c r="S2801" s="1113"/>
      <c r="T2801" s="1143"/>
      <c r="U2801" s="1108"/>
      <c r="V2801" s="1108"/>
      <c r="W2801" s="1108"/>
      <c r="X2801" s="1108"/>
      <c r="Y2801" s="1108"/>
      <c r="Z2801" s="1114"/>
      <c r="AA2801" s="1114"/>
      <c r="AB2801" s="1114"/>
      <c r="AC2801" s="1117"/>
      <c r="AD2801" s="1115"/>
      <c r="AE2801" s="1115"/>
      <c r="AF2801" s="1115"/>
      <c r="AG2801" s="1115"/>
      <c r="AH2801" s="1115"/>
      <c r="AI2801" s="1115"/>
      <c r="AJ2801" s="1117"/>
      <c r="AK2801" s="1118"/>
      <c r="AL2801" s="1115"/>
      <c r="AM2801" s="1115"/>
      <c r="AN2801" s="1115"/>
      <c r="AO2801" s="1115"/>
      <c r="AP2801" s="1115"/>
      <c r="AQ2801" s="1115"/>
      <c r="AR2801" s="1115"/>
      <c r="AS2801" s="1117"/>
      <c r="AT2801" s="1075"/>
      <c r="AU2801" s="1193"/>
      <c r="AV2801" s="330"/>
      <c r="AW2801" s="331"/>
      <c r="AX2801" s="331"/>
      <c r="AY2801" s="331"/>
      <c r="AZ2801" s="331"/>
      <c r="BA2801" s="331"/>
      <c r="BB2801" s="331"/>
      <c r="BC2801" s="331"/>
      <c r="BD2801" s="331"/>
      <c r="BE2801" s="333"/>
      <c r="BF2801" s="330"/>
      <c r="BG2801" s="333"/>
      <c r="BH2801" s="1119"/>
      <c r="BI2801" s="319"/>
      <c r="BJ2801" s="319"/>
      <c r="BK2801" s="319"/>
      <c r="BL2801" s="319"/>
      <c r="BM2801" s="319"/>
      <c r="BN2801" s="319"/>
      <c r="BO2801" s="319"/>
      <c r="BP2801" s="953"/>
      <c r="BQ2801" s="319"/>
      <c r="BR2801" s="319"/>
      <c r="BS2801" s="330"/>
      <c r="BT2801" s="331"/>
      <c r="BU2801" s="920"/>
      <c r="BV2801" s="903"/>
      <c r="BW2801" s="908"/>
      <c r="BX2801" s="908"/>
      <c r="BY2801" s="331"/>
      <c r="BZ2801" s="331"/>
      <c r="CA2801" s="462"/>
      <c r="CB2801" s="319"/>
      <c r="CC2801" s="319"/>
      <c r="CD2801" s="319"/>
      <c r="CE2801" s="319"/>
      <c r="CF2801" s="319"/>
      <c r="CG2801" s="319"/>
      <c r="CH2801" s="318"/>
      <c r="CI2801" s="319"/>
      <c r="CJ2801" s="319"/>
      <c r="CK2801" s="342"/>
      <c r="CL2801" s="333"/>
      <c r="CM2801" s="1079"/>
      <c r="CN2801" s="1005"/>
      <c r="CO2801" s="1005"/>
      <c r="CP2801" s="1005"/>
    </row>
    <row r="2802">
      <c r="A2802" s="1257"/>
      <c r="B2802" s="1113"/>
      <c r="C2802" s="1107"/>
      <c r="D2802" s="103"/>
      <c r="E2802" s="1137"/>
      <c r="F2802" s="112"/>
      <c r="G2802" s="1110"/>
      <c r="H2802" s="1138"/>
      <c r="I2802" s="1138"/>
      <c r="J2802" s="1139"/>
      <c r="K2802" s="1111"/>
      <c r="L2802" s="1112"/>
      <c r="M2802" s="1113"/>
      <c r="N2802" s="110"/>
      <c r="O2802" s="1140"/>
      <c r="P2802" s="1115"/>
      <c r="Q2802" s="1116"/>
      <c r="R2802" s="1141"/>
      <c r="S2802" s="1113"/>
      <c r="T2802" s="1143"/>
      <c r="U2802" s="1108"/>
      <c r="V2802" s="1108"/>
      <c r="W2802" s="1108"/>
      <c r="X2802" s="1108"/>
      <c r="Y2802" s="1108"/>
      <c r="Z2802" s="1114"/>
      <c r="AA2802" s="1114"/>
      <c r="AB2802" s="1114"/>
      <c r="AC2802" s="1117"/>
      <c r="AD2802" s="1115"/>
      <c r="AE2802" s="1115"/>
      <c r="AF2802" s="1115"/>
      <c r="AG2802" s="1115"/>
      <c r="AH2802" s="1115"/>
      <c r="AI2802" s="1115"/>
      <c r="AJ2802" s="1117"/>
      <c r="AK2802" s="1118"/>
      <c r="AL2802" s="1115"/>
      <c r="AM2802" s="1115"/>
      <c r="AN2802" s="1115"/>
      <c r="AO2802" s="1115"/>
      <c r="AP2802" s="1115"/>
      <c r="AQ2802" s="1115"/>
      <c r="AR2802" s="1115"/>
      <c r="AS2802" s="1117"/>
      <c r="AT2802" s="1075"/>
      <c r="AU2802" s="1193"/>
      <c r="AV2802" s="330"/>
      <c r="AW2802" s="331"/>
      <c r="AX2802" s="331"/>
      <c r="AY2802" s="331"/>
      <c r="AZ2802" s="331"/>
      <c r="BA2802" s="331"/>
      <c r="BB2802" s="331"/>
      <c r="BC2802" s="331"/>
      <c r="BD2802" s="331"/>
      <c r="BE2802" s="333"/>
      <c r="BF2802" s="330"/>
      <c r="BG2802" s="333"/>
      <c r="BH2802" s="1119"/>
      <c r="BI2802" s="319"/>
      <c r="BJ2802" s="319"/>
      <c r="BK2802" s="319"/>
      <c r="BL2802" s="319"/>
      <c r="BM2802" s="319"/>
      <c r="BN2802" s="319"/>
      <c r="BO2802" s="319"/>
      <c r="BP2802" s="953"/>
      <c r="BQ2802" s="319"/>
      <c r="BR2802" s="319"/>
      <c r="BS2802" s="330"/>
      <c r="BT2802" s="331"/>
      <c r="BU2802" s="920"/>
      <c r="BV2802" s="903"/>
      <c r="BW2802" s="908"/>
      <c r="BX2802" s="908"/>
      <c r="BY2802" s="331"/>
      <c r="BZ2802" s="331"/>
      <c r="CA2802" s="462"/>
      <c r="CB2802" s="319"/>
      <c r="CC2802" s="319"/>
      <c r="CD2802" s="319"/>
      <c r="CE2802" s="319"/>
      <c r="CF2802" s="319"/>
      <c r="CG2802" s="319"/>
      <c r="CH2802" s="318"/>
      <c r="CI2802" s="319"/>
      <c r="CJ2802" s="319"/>
      <c r="CK2802" s="342"/>
      <c r="CL2802" s="333"/>
      <c r="CM2802" s="1079"/>
      <c r="CN2802" s="1005"/>
      <c r="CO2802" s="1005"/>
      <c r="CP2802" s="1005"/>
    </row>
    <row r="2803">
      <c r="A2803" s="1257"/>
      <c r="B2803" s="1113"/>
      <c r="C2803" s="1107"/>
      <c r="D2803" s="103"/>
      <c r="E2803" s="1137"/>
      <c r="F2803" s="112"/>
      <c r="G2803" s="1110"/>
      <c r="H2803" s="1138"/>
      <c r="I2803" s="1138"/>
      <c r="J2803" s="1139"/>
      <c r="K2803" s="1111"/>
      <c r="L2803" s="1112"/>
      <c r="M2803" s="1113"/>
      <c r="N2803" s="110"/>
      <c r="O2803" s="1140"/>
      <c r="P2803" s="1115"/>
      <c r="Q2803" s="1116"/>
      <c r="R2803" s="1141"/>
      <c r="S2803" s="1113"/>
      <c r="T2803" s="1143"/>
      <c r="U2803" s="1108"/>
      <c r="V2803" s="1108"/>
      <c r="W2803" s="1108"/>
      <c r="X2803" s="1108"/>
      <c r="Y2803" s="1108"/>
      <c r="Z2803" s="1114"/>
      <c r="AA2803" s="1114"/>
      <c r="AB2803" s="1114"/>
      <c r="AC2803" s="1117"/>
      <c r="AD2803" s="1115"/>
      <c r="AE2803" s="1115"/>
      <c r="AF2803" s="1115"/>
      <c r="AG2803" s="1115"/>
      <c r="AH2803" s="1115"/>
      <c r="AI2803" s="1115"/>
      <c r="AJ2803" s="1117"/>
      <c r="AK2803" s="1118"/>
      <c r="AL2803" s="1115"/>
      <c r="AM2803" s="1115"/>
      <c r="AN2803" s="1115"/>
      <c r="AO2803" s="1115"/>
      <c r="AP2803" s="1115"/>
      <c r="AQ2803" s="1115"/>
      <c r="AR2803" s="1115"/>
      <c r="AS2803" s="1117"/>
      <c r="AT2803" s="1075"/>
      <c r="AU2803" s="1193"/>
      <c r="AV2803" s="330"/>
      <c r="AW2803" s="331"/>
      <c r="AX2803" s="331"/>
      <c r="AY2803" s="331"/>
      <c r="AZ2803" s="331"/>
      <c r="BA2803" s="331"/>
      <c r="BB2803" s="331"/>
      <c r="BC2803" s="331"/>
      <c r="BD2803" s="331"/>
      <c r="BE2803" s="333"/>
      <c r="BF2803" s="330"/>
      <c r="BG2803" s="333"/>
      <c r="BH2803" s="1119"/>
      <c r="BI2803" s="319"/>
      <c r="BJ2803" s="319"/>
      <c r="BK2803" s="319"/>
      <c r="BL2803" s="319"/>
      <c r="BM2803" s="319"/>
      <c r="BN2803" s="319"/>
      <c r="BO2803" s="319"/>
      <c r="BP2803" s="953"/>
      <c r="BQ2803" s="319"/>
      <c r="BR2803" s="319"/>
      <c r="BS2803" s="330"/>
      <c r="BT2803" s="331"/>
      <c r="BU2803" s="920"/>
      <c r="BV2803" s="903"/>
      <c r="BW2803" s="908"/>
      <c r="BX2803" s="908"/>
      <c r="BY2803" s="331"/>
      <c r="BZ2803" s="331"/>
      <c r="CA2803" s="462"/>
      <c r="CB2803" s="319"/>
      <c r="CC2803" s="319"/>
      <c r="CD2803" s="319"/>
      <c r="CE2803" s="319"/>
      <c r="CF2803" s="319"/>
      <c r="CG2803" s="319"/>
      <c r="CH2803" s="318"/>
      <c r="CI2803" s="319"/>
      <c r="CJ2803" s="319"/>
      <c r="CK2803" s="342"/>
      <c r="CL2803" s="333"/>
      <c r="CM2803" s="1079"/>
      <c r="CN2803" s="1005"/>
      <c r="CO2803" s="1005"/>
      <c r="CP2803" s="1005"/>
    </row>
    <row r="2804">
      <c r="A2804" s="1257"/>
      <c r="B2804" s="1113"/>
      <c r="C2804" s="1107"/>
      <c r="D2804" s="103"/>
      <c r="E2804" s="1137"/>
      <c r="F2804" s="112"/>
      <c r="G2804" s="1110"/>
      <c r="H2804" s="1138"/>
      <c r="I2804" s="1138"/>
      <c r="J2804" s="1139"/>
      <c r="K2804" s="1111"/>
      <c r="L2804" s="1112"/>
      <c r="M2804" s="1113"/>
      <c r="N2804" s="110"/>
      <c r="O2804" s="1140"/>
      <c r="P2804" s="1115"/>
      <c r="Q2804" s="1116"/>
      <c r="R2804" s="1141"/>
      <c r="S2804" s="1113"/>
      <c r="T2804" s="1143"/>
      <c r="U2804" s="1108"/>
      <c r="V2804" s="1108"/>
      <c r="W2804" s="1108"/>
      <c r="X2804" s="1108"/>
      <c r="Y2804" s="1108"/>
      <c r="Z2804" s="1114"/>
      <c r="AA2804" s="1114"/>
      <c r="AB2804" s="1114"/>
      <c r="AC2804" s="1117"/>
      <c r="AD2804" s="1115"/>
      <c r="AE2804" s="1115"/>
      <c r="AF2804" s="1115"/>
      <c r="AG2804" s="1115"/>
      <c r="AH2804" s="1115"/>
      <c r="AI2804" s="1115"/>
      <c r="AJ2804" s="1117"/>
      <c r="AK2804" s="1118"/>
      <c r="AL2804" s="1115"/>
      <c r="AM2804" s="1115"/>
      <c r="AN2804" s="1115"/>
      <c r="AO2804" s="1115"/>
      <c r="AP2804" s="1115"/>
      <c r="AQ2804" s="1115"/>
      <c r="AR2804" s="1115"/>
      <c r="AS2804" s="1117"/>
      <c r="AT2804" s="1075"/>
      <c r="AU2804" s="1193"/>
      <c r="AV2804" s="330"/>
      <c r="AW2804" s="331"/>
      <c r="AX2804" s="331"/>
      <c r="AY2804" s="331"/>
      <c r="AZ2804" s="331"/>
      <c r="BA2804" s="331"/>
      <c r="BB2804" s="331"/>
      <c r="BC2804" s="331"/>
      <c r="BD2804" s="331"/>
      <c r="BE2804" s="333"/>
      <c r="BF2804" s="330"/>
      <c r="BG2804" s="333"/>
      <c r="BH2804" s="1119"/>
      <c r="BI2804" s="319"/>
      <c r="BJ2804" s="319"/>
      <c r="BK2804" s="319"/>
      <c r="BL2804" s="319"/>
      <c r="BM2804" s="319"/>
      <c r="BN2804" s="319"/>
      <c r="BO2804" s="319"/>
      <c r="BP2804" s="953"/>
      <c r="BQ2804" s="319"/>
      <c r="BR2804" s="319"/>
      <c r="BS2804" s="330"/>
      <c r="BT2804" s="331"/>
      <c r="BU2804" s="920"/>
      <c r="BV2804" s="903"/>
      <c r="BW2804" s="908"/>
      <c r="BX2804" s="908"/>
      <c r="BY2804" s="331"/>
      <c r="BZ2804" s="331"/>
      <c r="CA2804" s="462"/>
      <c r="CB2804" s="319"/>
      <c r="CC2804" s="319"/>
      <c r="CD2804" s="319"/>
      <c r="CE2804" s="319"/>
      <c r="CF2804" s="319"/>
      <c r="CG2804" s="319"/>
      <c r="CH2804" s="318"/>
      <c r="CI2804" s="319"/>
      <c r="CJ2804" s="319"/>
      <c r="CK2804" s="342"/>
      <c r="CL2804" s="333"/>
      <c r="CM2804" s="1079"/>
      <c r="CN2804" s="1005"/>
      <c r="CO2804" s="1005"/>
      <c r="CP2804" s="1005"/>
    </row>
    <row r="2805">
      <c r="A2805" s="1257"/>
      <c r="B2805" s="1113"/>
      <c r="C2805" s="1107"/>
      <c r="D2805" s="103"/>
      <c r="E2805" s="1137"/>
      <c r="F2805" s="112"/>
      <c r="G2805" s="1110"/>
      <c r="H2805" s="1138"/>
      <c r="I2805" s="1138"/>
      <c r="J2805" s="1139"/>
      <c r="K2805" s="1111"/>
      <c r="L2805" s="1112"/>
      <c r="M2805" s="1113"/>
      <c r="N2805" s="110"/>
      <c r="O2805" s="1140"/>
      <c r="P2805" s="1115"/>
      <c r="Q2805" s="1116"/>
      <c r="R2805" s="1141"/>
      <c r="S2805" s="1113"/>
      <c r="T2805" s="1143"/>
      <c r="U2805" s="1108"/>
      <c r="V2805" s="1108"/>
      <c r="W2805" s="1108"/>
      <c r="X2805" s="1108"/>
      <c r="Y2805" s="1108"/>
      <c r="Z2805" s="1114"/>
      <c r="AA2805" s="1114"/>
      <c r="AB2805" s="1114"/>
      <c r="AC2805" s="1117"/>
      <c r="AD2805" s="1115"/>
      <c r="AE2805" s="1115"/>
      <c r="AF2805" s="1115"/>
      <c r="AG2805" s="1115"/>
      <c r="AH2805" s="1115"/>
      <c r="AI2805" s="1115"/>
      <c r="AJ2805" s="1117"/>
      <c r="AK2805" s="1118"/>
      <c r="AL2805" s="1115"/>
      <c r="AM2805" s="1115"/>
      <c r="AN2805" s="1115"/>
      <c r="AO2805" s="1115"/>
      <c r="AP2805" s="1115"/>
      <c r="AQ2805" s="1115"/>
      <c r="AR2805" s="1115"/>
      <c r="AS2805" s="1117"/>
      <c r="AT2805" s="1075"/>
      <c r="AU2805" s="1193"/>
      <c r="AV2805" s="330"/>
      <c r="AW2805" s="331"/>
      <c r="AX2805" s="331"/>
      <c r="AY2805" s="331"/>
      <c r="AZ2805" s="331"/>
      <c r="BA2805" s="331"/>
      <c r="BB2805" s="331"/>
      <c r="BC2805" s="331"/>
      <c r="BD2805" s="331"/>
      <c r="BE2805" s="333"/>
      <c r="BF2805" s="330"/>
      <c r="BG2805" s="333"/>
      <c r="BH2805" s="1119"/>
      <c r="BI2805" s="319"/>
      <c r="BJ2805" s="319"/>
      <c r="BK2805" s="319"/>
      <c r="BL2805" s="319"/>
      <c r="BM2805" s="319"/>
      <c r="BN2805" s="319"/>
      <c r="BO2805" s="319"/>
      <c r="BP2805" s="953"/>
      <c r="BQ2805" s="319"/>
      <c r="BR2805" s="319"/>
      <c r="BS2805" s="330"/>
      <c r="BT2805" s="331"/>
      <c r="BU2805" s="920"/>
      <c r="BV2805" s="903"/>
      <c r="BW2805" s="908"/>
      <c r="BX2805" s="908"/>
      <c r="BY2805" s="331"/>
      <c r="BZ2805" s="331"/>
      <c r="CA2805" s="462"/>
      <c r="CB2805" s="319"/>
      <c r="CC2805" s="319"/>
      <c r="CD2805" s="319"/>
      <c r="CE2805" s="319"/>
      <c r="CF2805" s="319"/>
      <c r="CG2805" s="319"/>
      <c r="CH2805" s="318"/>
      <c r="CI2805" s="319"/>
      <c r="CJ2805" s="319"/>
      <c r="CK2805" s="342"/>
      <c r="CL2805" s="333"/>
      <c r="CM2805" s="1079"/>
      <c r="CN2805" s="1005"/>
      <c r="CO2805" s="1005"/>
      <c r="CP2805" s="1005"/>
    </row>
    <row r="2806">
      <c r="A2806" s="1257"/>
      <c r="B2806" s="1113"/>
      <c r="C2806" s="1107"/>
      <c r="D2806" s="103"/>
      <c r="E2806" s="1137"/>
      <c r="F2806" s="112"/>
      <c r="G2806" s="1110"/>
      <c r="H2806" s="1138"/>
      <c r="I2806" s="1138"/>
      <c r="J2806" s="1139"/>
      <c r="K2806" s="1111"/>
      <c r="L2806" s="1112"/>
      <c r="M2806" s="1113"/>
      <c r="N2806" s="110"/>
      <c r="O2806" s="1140"/>
      <c r="P2806" s="1115"/>
      <c r="Q2806" s="1116"/>
      <c r="R2806" s="1141"/>
      <c r="S2806" s="1113"/>
      <c r="T2806" s="1143"/>
      <c r="U2806" s="1108"/>
      <c r="V2806" s="1108"/>
      <c r="W2806" s="1108"/>
      <c r="X2806" s="1108"/>
      <c r="Y2806" s="1108"/>
      <c r="Z2806" s="1114"/>
      <c r="AA2806" s="1114"/>
      <c r="AB2806" s="1114"/>
      <c r="AC2806" s="1117"/>
      <c r="AD2806" s="1115"/>
      <c r="AE2806" s="1115"/>
      <c r="AF2806" s="1115"/>
      <c r="AG2806" s="1115"/>
      <c r="AH2806" s="1115"/>
      <c r="AI2806" s="1115"/>
      <c r="AJ2806" s="1117"/>
      <c r="AK2806" s="1118"/>
      <c r="AL2806" s="1115"/>
      <c r="AM2806" s="1115"/>
      <c r="AN2806" s="1115"/>
      <c r="AO2806" s="1115"/>
      <c r="AP2806" s="1115"/>
      <c r="AQ2806" s="1115"/>
      <c r="AR2806" s="1115"/>
      <c r="AS2806" s="1117"/>
      <c r="AT2806" s="1075"/>
      <c r="AU2806" s="1193"/>
      <c r="AV2806" s="330"/>
      <c r="AW2806" s="331"/>
      <c r="AX2806" s="331"/>
      <c r="AY2806" s="331"/>
      <c r="AZ2806" s="331"/>
      <c r="BA2806" s="331"/>
      <c r="BB2806" s="331"/>
      <c r="BC2806" s="331"/>
      <c r="BD2806" s="331"/>
      <c r="BE2806" s="333"/>
      <c r="BF2806" s="330"/>
      <c r="BG2806" s="333"/>
      <c r="BH2806" s="1119"/>
      <c r="BI2806" s="319"/>
      <c r="BJ2806" s="319"/>
      <c r="BK2806" s="319"/>
      <c r="BL2806" s="319"/>
      <c r="BM2806" s="319"/>
      <c r="BN2806" s="319"/>
      <c r="BO2806" s="319"/>
      <c r="BP2806" s="953"/>
      <c r="BQ2806" s="319"/>
      <c r="BR2806" s="319"/>
      <c r="BS2806" s="330"/>
      <c r="BT2806" s="331"/>
      <c r="BU2806" s="920"/>
      <c r="BV2806" s="903"/>
      <c r="BW2806" s="908"/>
      <c r="BX2806" s="908"/>
      <c r="BY2806" s="331"/>
      <c r="BZ2806" s="331"/>
      <c r="CA2806" s="462"/>
      <c r="CB2806" s="319"/>
      <c r="CC2806" s="319"/>
      <c r="CD2806" s="319"/>
      <c r="CE2806" s="319"/>
      <c r="CF2806" s="319"/>
      <c r="CG2806" s="319"/>
      <c r="CH2806" s="318"/>
      <c r="CI2806" s="319"/>
      <c r="CJ2806" s="319"/>
      <c r="CK2806" s="342"/>
      <c r="CL2806" s="333"/>
      <c r="CM2806" s="1079"/>
      <c r="CN2806" s="1005"/>
      <c r="CO2806" s="1005"/>
      <c r="CP2806" s="1005"/>
    </row>
    <row r="2807">
      <c r="A2807" s="1257"/>
      <c r="B2807" s="1113"/>
      <c r="C2807" s="1107"/>
      <c r="D2807" s="103"/>
      <c r="E2807" s="1137"/>
      <c r="F2807" s="112"/>
      <c r="G2807" s="1110"/>
      <c r="H2807" s="1138"/>
      <c r="I2807" s="1138"/>
      <c r="J2807" s="1139"/>
      <c r="K2807" s="1111"/>
      <c r="L2807" s="1112"/>
      <c r="M2807" s="1113"/>
      <c r="N2807" s="110"/>
      <c r="O2807" s="1140"/>
      <c r="P2807" s="1115"/>
      <c r="Q2807" s="1116"/>
      <c r="R2807" s="1141"/>
      <c r="S2807" s="1113"/>
      <c r="T2807" s="1143"/>
      <c r="U2807" s="1108"/>
      <c r="V2807" s="1108"/>
      <c r="W2807" s="1108"/>
      <c r="X2807" s="1108"/>
      <c r="Y2807" s="1108"/>
      <c r="Z2807" s="1114"/>
      <c r="AA2807" s="1114"/>
      <c r="AB2807" s="1114"/>
      <c r="AC2807" s="1117"/>
      <c r="AD2807" s="1115"/>
      <c r="AE2807" s="1115"/>
      <c r="AF2807" s="1115"/>
      <c r="AG2807" s="1115"/>
      <c r="AH2807" s="1115"/>
      <c r="AI2807" s="1115"/>
      <c r="AJ2807" s="1117"/>
      <c r="AK2807" s="1118"/>
      <c r="AL2807" s="1115"/>
      <c r="AM2807" s="1115"/>
      <c r="AN2807" s="1115"/>
      <c r="AO2807" s="1115"/>
      <c r="AP2807" s="1115"/>
      <c r="AQ2807" s="1115"/>
      <c r="AR2807" s="1115"/>
      <c r="AS2807" s="1117"/>
      <c r="AT2807" s="1075"/>
      <c r="AU2807" s="1193"/>
      <c r="AV2807" s="330"/>
      <c r="AW2807" s="331"/>
      <c r="AX2807" s="331"/>
      <c r="AY2807" s="331"/>
      <c r="AZ2807" s="331"/>
      <c r="BA2807" s="331"/>
      <c r="BB2807" s="331"/>
      <c r="BC2807" s="331"/>
      <c r="BD2807" s="331"/>
      <c r="BE2807" s="333"/>
      <c r="BF2807" s="330"/>
      <c r="BG2807" s="333"/>
      <c r="BH2807" s="1119"/>
      <c r="BI2807" s="319"/>
      <c r="BJ2807" s="319"/>
      <c r="BK2807" s="319"/>
      <c r="BL2807" s="319"/>
      <c r="BM2807" s="319"/>
      <c r="BN2807" s="319"/>
      <c r="BO2807" s="319"/>
      <c r="BP2807" s="953"/>
      <c r="BQ2807" s="319"/>
      <c r="BR2807" s="319"/>
      <c r="BS2807" s="330"/>
      <c r="BT2807" s="331"/>
      <c r="BU2807" s="920"/>
      <c r="BV2807" s="903"/>
      <c r="BW2807" s="908"/>
      <c r="BX2807" s="908"/>
      <c r="BY2807" s="331"/>
      <c r="BZ2807" s="331"/>
      <c r="CA2807" s="462"/>
      <c r="CB2807" s="319"/>
      <c r="CC2807" s="319"/>
      <c r="CD2807" s="319"/>
      <c r="CE2807" s="319"/>
      <c r="CF2807" s="319"/>
      <c r="CG2807" s="319"/>
      <c r="CH2807" s="318"/>
      <c r="CI2807" s="319"/>
      <c r="CJ2807" s="319"/>
      <c r="CK2807" s="342"/>
      <c r="CL2807" s="333"/>
      <c r="CM2807" s="1079"/>
      <c r="CN2807" s="1005"/>
      <c r="CO2807" s="1005"/>
      <c r="CP2807" s="1005"/>
    </row>
    <row r="2808">
      <c r="A2808" s="1257"/>
      <c r="B2808" s="1113"/>
      <c r="C2808" s="1107"/>
      <c r="D2808" s="103"/>
      <c r="E2808" s="1137"/>
      <c r="F2808" s="112"/>
      <c r="G2808" s="1110"/>
      <c r="H2808" s="1138"/>
      <c r="I2808" s="1138"/>
      <c r="J2808" s="1139"/>
      <c r="K2808" s="1111"/>
      <c r="L2808" s="1112"/>
      <c r="M2808" s="1113"/>
      <c r="N2808" s="110"/>
      <c r="O2808" s="1140"/>
      <c r="P2808" s="1115"/>
      <c r="Q2808" s="1116"/>
      <c r="R2808" s="1141"/>
      <c r="S2808" s="1113"/>
      <c r="T2808" s="1143"/>
      <c r="U2808" s="1108"/>
      <c r="V2808" s="1108"/>
      <c r="W2808" s="1108"/>
      <c r="X2808" s="1108"/>
      <c r="Y2808" s="1108"/>
      <c r="Z2808" s="1114"/>
      <c r="AA2808" s="1114"/>
      <c r="AB2808" s="1114"/>
      <c r="AC2808" s="1117"/>
      <c r="AD2808" s="1115"/>
      <c r="AE2808" s="1115"/>
      <c r="AF2808" s="1115"/>
      <c r="AG2808" s="1115"/>
      <c r="AH2808" s="1115"/>
      <c r="AI2808" s="1115"/>
      <c r="AJ2808" s="1117"/>
      <c r="AK2808" s="1118"/>
      <c r="AL2808" s="1115"/>
      <c r="AM2808" s="1115"/>
      <c r="AN2808" s="1115"/>
      <c r="AO2808" s="1115"/>
      <c r="AP2808" s="1115"/>
      <c r="AQ2808" s="1115"/>
      <c r="AR2808" s="1115"/>
      <c r="AS2808" s="1117"/>
      <c r="AT2808" s="1075"/>
      <c r="AU2808" s="1193"/>
      <c r="AV2808" s="330"/>
      <c r="AW2808" s="331"/>
      <c r="AX2808" s="331"/>
      <c r="AY2808" s="331"/>
      <c r="AZ2808" s="331"/>
      <c r="BA2808" s="331"/>
      <c r="BB2808" s="331"/>
      <c r="BC2808" s="331"/>
      <c r="BD2808" s="331"/>
      <c r="BE2808" s="333"/>
      <c r="BF2808" s="330"/>
      <c r="BG2808" s="333"/>
      <c r="BH2808" s="1119"/>
      <c r="BI2808" s="319"/>
      <c r="BJ2808" s="319"/>
      <c r="BK2808" s="319"/>
      <c r="BL2808" s="319"/>
      <c r="BM2808" s="319"/>
      <c r="BN2808" s="319"/>
      <c r="BO2808" s="319"/>
      <c r="BP2808" s="953"/>
      <c r="BQ2808" s="319"/>
      <c r="BR2808" s="319"/>
      <c r="BS2808" s="330"/>
      <c r="BT2808" s="331"/>
      <c r="BU2808" s="920"/>
      <c r="BV2808" s="903"/>
      <c r="BW2808" s="908"/>
      <c r="BX2808" s="908"/>
      <c r="BY2808" s="331"/>
      <c r="BZ2808" s="331"/>
      <c r="CA2808" s="462"/>
      <c r="CB2808" s="319"/>
      <c r="CC2808" s="319"/>
      <c r="CD2808" s="319"/>
      <c r="CE2808" s="319"/>
      <c r="CF2808" s="319"/>
      <c r="CG2808" s="319"/>
      <c r="CH2808" s="318"/>
      <c r="CI2808" s="319"/>
      <c r="CJ2808" s="319"/>
      <c r="CK2808" s="342"/>
      <c r="CL2808" s="333"/>
      <c r="CM2808" s="1079"/>
      <c r="CN2808" s="1005"/>
      <c r="CO2808" s="1005"/>
      <c r="CP2808" s="1005"/>
    </row>
    <row r="2809">
      <c r="A2809" s="1257"/>
      <c r="B2809" s="1113"/>
      <c r="C2809" s="1107"/>
      <c r="D2809" s="103"/>
      <c r="E2809" s="1137"/>
      <c r="F2809" s="112"/>
      <c r="G2809" s="1110"/>
      <c r="H2809" s="1138"/>
      <c r="I2809" s="1138"/>
      <c r="J2809" s="1139"/>
      <c r="K2809" s="1111"/>
      <c r="L2809" s="1112"/>
      <c r="M2809" s="1113"/>
      <c r="N2809" s="110"/>
      <c r="O2809" s="1140"/>
      <c r="P2809" s="1115"/>
      <c r="Q2809" s="1116"/>
      <c r="R2809" s="1141"/>
      <c r="S2809" s="1113"/>
      <c r="T2809" s="1143"/>
      <c r="U2809" s="1108"/>
      <c r="V2809" s="1108"/>
      <c r="W2809" s="1108"/>
      <c r="X2809" s="1108"/>
      <c r="Y2809" s="1108"/>
      <c r="Z2809" s="1114"/>
      <c r="AA2809" s="1114"/>
      <c r="AB2809" s="1114"/>
      <c r="AC2809" s="1117"/>
      <c r="AD2809" s="1115"/>
      <c r="AE2809" s="1115"/>
      <c r="AF2809" s="1115"/>
      <c r="AG2809" s="1115"/>
      <c r="AH2809" s="1115"/>
      <c r="AI2809" s="1115"/>
      <c r="AJ2809" s="1117"/>
      <c r="AK2809" s="1118"/>
      <c r="AL2809" s="1115"/>
      <c r="AM2809" s="1115"/>
      <c r="AN2809" s="1115"/>
      <c r="AO2809" s="1115"/>
      <c r="AP2809" s="1115"/>
      <c r="AQ2809" s="1115"/>
      <c r="AR2809" s="1115"/>
      <c r="AS2809" s="1117"/>
      <c r="AT2809" s="1075"/>
      <c r="AU2809" s="1193"/>
      <c r="AV2809" s="330"/>
      <c r="AW2809" s="331"/>
      <c r="AX2809" s="331"/>
      <c r="AY2809" s="331"/>
      <c r="AZ2809" s="331"/>
      <c r="BA2809" s="331"/>
      <c r="BB2809" s="331"/>
      <c r="BC2809" s="331"/>
      <c r="BD2809" s="331"/>
      <c r="BE2809" s="333"/>
      <c r="BF2809" s="330"/>
      <c r="BG2809" s="333"/>
      <c r="BH2809" s="1119"/>
      <c r="BI2809" s="319"/>
      <c r="BJ2809" s="319"/>
      <c r="BK2809" s="319"/>
      <c r="BL2809" s="319"/>
      <c r="BM2809" s="319"/>
      <c r="BN2809" s="319"/>
      <c r="BO2809" s="319"/>
      <c r="BP2809" s="953"/>
      <c r="BQ2809" s="319"/>
      <c r="BR2809" s="319"/>
      <c r="BS2809" s="330"/>
      <c r="BT2809" s="331"/>
      <c r="BU2809" s="920"/>
      <c r="BV2809" s="903"/>
      <c r="BW2809" s="908"/>
      <c r="BX2809" s="908"/>
      <c r="BY2809" s="331"/>
      <c r="BZ2809" s="331"/>
      <c r="CA2809" s="462"/>
      <c r="CB2809" s="319"/>
      <c r="CC2809" s="319"/>
      <c r="CD2809" s="319"/>
      <c r="CE2809" s="319"/>
      <c r="CF2809" s="319"/>
      <c r="CG2809" s="319"/>
      <c r="CH2809" s="318"/>
      <c r="CI2809" s="319"/>
      <c r="CJ2809" s="319"/>
      <c r="CK2809" s="342"/>
      <c r="CL2809" s="333"/>
      <c r="CM2809" s="1079"/>
      <c r="CN2809" s="1005"/>
      <c r="CO2809" s="1005"/>
      <c r="CP2809" s="1005"/>
    </row>
    <row r="2810">
      <c r="A2810" s="1257"/>
      <c r="B2810" s="1113"/>
      <c r="C2810" s="1107"/>
      <c r="D2810" s="103"/>
      <c r="E2810" s="1137"/>
      <c r="F2810" s="112"/>
      <c r="G2810" s="1110"/>
      <c r="H2810" s="1138"/>
      <c r="I2810" s="1138"/>
      <c r="J2810" s="1139"/>
      <c r="K2810" s="1111"/>
      <c r="L2810" s="1112"/>
      <c r="M2810" s="1113"/>
      <c r="N2810" s="110"/>
      <c r="O2810" s="1140"/>
      <c r="P2810" s="1115"/>
      <c r="Q2810" s="1116"/>
      <c r="R2810" s="1141"/>
      <c r="S2810" s="1113"/>
      <c r="T2810" s="1143"/>
      <c r="U2810" s="1108"/>
      <c r="V2810" s="1108"/>
      <c r="W2810" s="1108"/>
      <c r="X2810" s="1108"/>
      <c r="Y2810" s="1108"/>
      <c r="Z2810" s="1114"/>
      <c r="AA2810" s="1114"/>
      <c r="AB2810" s="1114"/>
      <c r="AC2810" s="1117"/>
      <c r="AD2810" s="1115"/>
      <c r="AE2810" s="1115"/>
      <c r="AF2810" s="1115"/>
      <c r="AG2810" s="1115"/>
      <c r="AH2810" s="1115"/>
      <c r="AI2810" s="1115"/>
      <c r="AJ2810" s="1117"/>
      <c r="AK2810" s="1118"/>
      <c r="AL2810" s="1115"/>
      <c r="AM2810" s="1115"/>
      <c r="AN2810" s="1115"/>
      <c r="AO2810" s="1115"/>
      <c r="AP2810" s="1115"/>
      <c r="AQ2810" s="1115"/>
      <c r="AR2810" s="1115"/>
      <c r="AS2810" s="1117"/>
      <c r="AT2810" s="1075"/>
      <c r="AU2810" s="1193"/>
      <c r="AV2810" s="330"/>
      <c r="AW2810" s="331"/>
      <c r="AX2810" s="331"/>
      <c r="AY2810" s="331"/>
      <c r="AZ2810" s="331"/>
      <c r="BA2810" s="331"/>
      <c r="BB2810" s="331"/>
      <c r="BC2810" s="331"/>
      <c r="BD2810" s="331"/>
      <c r="BE2810" s="333"/>
      <c r="BF2810" s="330"/>
      <c r="BG2810" s="333"/>
      <c r="BH2810" s="1119"/>
      <c r="BI2810" s="319"/>
      <c r="BJ2810" s="319"/>
      <c r="BK2810" s="319"/>
      <c r="BL2810" s="319"/>
      <c r="BM2810" s="319"/>
      <c r="BN2810" s="319"/>
      <c r="BO2810" s="319"/>
      <c r="BP2810" s="953"/>
      <c r="BQ2810" s="319"/>
      <c r="BR2810" s="319"/>
      <c r="BS2810" s="330"/>
      <c r="BT2810" s="331"/>
      <c r="BU2810" s="920"/>
      <c r="BV2810" s="903"/>
      <c r="BW2810" s="908"/>
      <c r="BX2810" s="908"/>
      <c r="BY2810" s="331"/>
      <c r="BZ2810" s="331"/>
      <c r="CA2810" s="462"/>
      <c r="CB2810" s="319"/>
      <c r="CC2810" s="319"/>
      <c r="CD2810" s="319"/>
      <c r="CE2810" s="319"/>
      <c r="CF2810" s="319"/>
      <c r="CG2810" s="319"/>
      <c r="CH2810" s="318"/>
      <c r="CI2810" s="319"/>
      <c r="CJ2810" s="319"/>
      <c r="CK2810" s="342"/>
      <c r="CL2810" s="333"/>
      <c r="CM2810" s="1079"/>
      <c r="CN2810" s="1005"/>
      <c r="CO2810" s="1005"/>
      <c r="CP2810" s="1005"/>
    </row>
    <row r="2811">
      <c r="A2811" s="1257"/>
      <c r="B2811" s="1113"/>
      <c r="C2811" s="1107"/>
      <c r="D2811" s="103"/>
      <c r="E2811" s="1137"/>
      <c r="F2811" s="112"/>
      <c r="G2811" s="1110"/>
      <c r="H2811" s="1138"/>
      <c r="I2811" s="1138"/>
      <c r="J2811" s="1139"/>
      <c r="K2811" s="1111"/>
      <c r="L2811" s="1112"/>
      <c r="M2811" s="1113"/>
      <c r="N2811" s="110"/>
      <c r="O2811" s="1140"/>
      <c r="P2811" s="1115"/>
      <c r="Q2811" s="1116"/>
      <c r="R2811" s="1141"/>
      <c r="S2811" s="1113"/>
      <c r="T2811" s="1143"/>
      <c r="U2811" s="1108"/>
      <c r="V2811" s="1108"/>
      <c r="W2811" s="1108"/>
      <c r="X2811" s="1108"/>
      <c r="Y2811" s="1108"/>
      <c r="Z2811" s="1114"/>
      <c r="AA2811" s="1114"/>
      <c r="AB2811" s="1114"/>
      <c r="AC2811" s="1117"/>
      <c r="AD2811" s="1115"/>
      <c r="AE2811" s="1115"/>
      <c r="AF2811" s="1115"/>
      <c r="AG2811" s="1115"/>
      <c r="AH2811" s="1115"/>
      <c r="AI2811" s="1115"/>
      <c r="AJ2811" s="1117"/>
      <c r="AK2811" s="1118"/>
      <c r="AL2811" s="1115"/>
      <c r="AM2811" s="1115"/>
      <c r="AN2811" s="1115"/>
      <c r="AO2811" s="1115"/>
      <c r="AP2811" s="1115"/>
      <c r="AQ2811" s="1115"/>
      <c r="AR2811" s="1115"/>
      <c r="AS2811" s="1117"/>
      <c r="AT2811" s="1075"/>
      <c r="AU2811" s="1193"/>
      <c r="AV2811" s="330"/>
      <c r="AW2811" s="331"/>
      <c r="AX2811" s="331"/>
      <c r="AY2811" s="331"/>
      <c r="AZ2811" s="331"/>
      <c r="BA2811" s="331"/>
      <c r="BB2811" s="331"/>
      <c r="BC2811" s="331"/>
      <c r="BD2811" s="331"/>
      <c r="BE2811" s="333"/>
      <c r="BF2811" s="330"/>
      <c r="BG2811" s="333"/>
      <c r="BH2811" s="1119"/>
      <c r="BI2811" s="319"/>
      <c r="BJ2811" s="319"/>
      <c r="BK2811" s="319"/>
      <c r="BL2811" s="319"/>
      <c r="BM2811" s="319"/>
      <c r="BN2811" s="319"/>
      <c r="BO2811" s="319"/>
      <c r="BP2811" s="953"/>
      <c r="BQ2811" s="319"/>
      <c r="BR2811" s="319"/>
      <c r="BS2811" s="330"/>
      <c r="BT2811" s="331"/>
      <c r="BU2811" s="920"/>
      <c r="BV2811" s="903"/>
      <c r="BW2811" s="908"/>
      <c r="BX2811" s="908"/>
      <c r="BY2811" s="331"/>
      <c r="BZ2811" s="331"/>
      <c r="CA2811" s="462"/>
      <c r="CB2811" s="319"/>
      <c r="CC2811" s="319"/>
      <c r="CD2811" s="319"/>
      <c r="CE2811" s="319"/>
      <c r="CF2811" s="319"/>
      <c r="CG2811" s="319"/>
      <c r="CH2811" s="318"/>
      <c r="CI2811" s="319"/>
      <c r="CJ2811" s="319"/>
      <c r="CK2811" s="342"/>
      <c r="CL2811" s="333"/>
      <c r="CM2811" s="1079"/>
      <c r="CN2811" s="1005"/>
      <c r="CO2811" s="1005"/>
      <c r="CP2811" s="1005"/>
    </row>
    <row r="2812">
      <c r="A2812" s="1257"/>
      <c r="B2812" s="1113"/>
      <c r="C2812" s="1107"/>
      <c r="D2812" s="103"/>
      <c r="E2812" s="1137"/>
      <c r="F2812" s="112"/>
      <c r="G2812" s="1110"/>
      <c r="H2812" s="1138"/>
      <c r="I2812" s="1138"/>
      <c r="J2812" s="1139"/>
      <c r="K2812" s="1111"/>
      <c r="L2812" s="1112"/>
      <c r="M2812" s="1113"/>
      <c r="N2812" s="110"/>
      <c r="O2812" s="1140"/>
      <c r="P2812" s="1115"/>
      <c r="Q2812" s="1116"/>
      <c r="R2812" s="1141"/>
      <c r="S2812" s="1113"/>
      <c r="T2812" s="1143"/>
      <c r="U2812" s="1108"/>
      <c r="V2812" s="1108"/>
      <c r="W2812" s="1108"/>
      <c r="X2812" s="1108"/>
      <c r="Y2812" s="1108"/>
      <c r="Z2812" s="1114"/>
      <c r="AA2812" s="1114"/>
      <c r="AB2812" s="1114"/>
      <c r="AC2812" s="1117"/>
      <c r="AD2812" s="1115"/>
      <c r="AE2812" s="1115"/>
      <c r="AF2812" s="1115"/>
      <c r="AG2812" s="1115"/>
      <c r="AH2812" s="1115"/>
      <c r="AI2812" s="1115"/>
      <c r="AJ2812" s="1117"/>
      <c r="AK2812" s="1118"/>
      <c r="AL2812" s="1115"/>
      <c r="AM2812" s="1115"/>
      <c r="AN2812" s="1115"/>
      <c r="AO2812" s="1115"/>
      <c r="AP2812" s="1115"/>
      <c r="AQ2812" s="1115"/>
      <c r="AR2812" s="1115"/>
      <c r="AS2812" s="1117"/>
      <c r="AT2812" s="1075"/>
      <c r="AU2812" s="1193"/>
      <c r="AV2812" s="330"/>
      <c r="AW2812" s="331"/>
      <c r="AX2812" s="331"/>
      <c r="AY2812" s="331"/>
      <c r="AZ2812" s="331"/>
      <c r="BA2812" s="331"/>
      <c r="BB2812" s="331"/>
      <c r="BC2812" s="331"/>
      <c r="BD2812" s="331"/>
      <c r="BE2812" s="333"/>
      <c r="BF2812" s="330"/>
      <c r="BG2812" s="333"/>
      <c r="BH2812" s="1119"/>
      <c r="BI2812" s="319"/>
      <c r="BJ2812" s="319"/>
      <c r="BK2812" s="319"/>
      <c r="BL2812" s="319"/>
      <c r="BM2812" s="319"/>
      <c r="BN2812" s="319"/>
      <c r="BO2812" s="319"/>
      <c r="BP2812" s="953"/>
      <c r="BQ2812" s="319"/>
      <c r="BR2812" s="319"/>
      <c r="BS2812" s="330"/>
      <c r="BT2812" s="331"/>
      <c r="BU2812" s="920"/>
      <c r="BV2812" s="903"/>
      <c r="BW2812" s="908"/>
      <c r="BX2812" s="908"/>
      <c r="BY2812" s="331"/>
      <c r="BZ2812" s="331"/>
      <c r="CA2812" s="462"/>
      <c r="CB2812" s="319"/>
      <c r="CC2812" s="319"/>
      <c r="CD2812" s="319"/>
      <c r="CE2812" s="319"/>
      <c r="CF2812" s="319"/>
      <c r="CG2812" s="319"/>
      <c r="CH2812" s="318"/>
      <c r="CI2812" s="319"/>
      <c r="CJ2812" s="319"/>
      <c r="CK2812" s="342"/>
      <c r="CL2812" s="333"/>
      <c r="CM2812" s="1079"/>
      <c r="CN2812" s="1005"/>
      <c r="CO2812" s="1005"/>
      <c r="CP2812" s="1005"/>
    </row>
    <row r="2813">
      <c r="A2813" s="1257"/>
      <c r="B2813" s="1113"/>
      <c r="C2813" s="1107"/>
      <c r="D2813" s="103"/>
      <c r="E2813" s="1137"/>
      <c r="F2813" s="112"/>
      <c r="G2813" s="1110"/>
      <c r="H2813" s="1138"/>
      <c r="I2813" s="1138"/>
      <c r="J2813" s="1139"/>
      <c r="K2813" s="1111"/>
      <c r="L2813" s="1112"/>
      <c r="M2813" s="1113"/>
      <c r="N2813" s="110"/>
      <c r="O2813" s="1140"/>
      <c r="P2813" s="1115"/>
      <c r="Q2813" s="1116"/>
      <c r="R2813" s="1141"/>
      <c r="S2813" s="1113"/>
      <c r="T2813" s="1143"/>
      <c r="U2813" s="1108"/>
      <c r="V2813" s="1108"/>
      <c r="W2813" s="1108"/>
      <c r="X2813" s="1108"/>
      <c r="Y2813" s="1108"/>
      <c r="Z2813" s="1114"/>
      <c r="AA2813" s="1114"/>
      <c r="AB2813" s="1114"/>
      <c r="AC2813" s="1117"/>
      <c r="AD2813" s="1115"/>
      <c r="AE2813" s="1115"/>
      <c r="AF2813" s="1115"/>
      <c r="AG2813" s="1115"/>
      <c r="AH2813" s="1115"/>
      <c r="AI2813" s="1115"/>
      <c r="AJ2813" s="1117"/>
      <c r="AK2813" s="1118"/>
      <c r="AL2813" s="1115"/>
      <c r="AM2813" s="1115"/>
      <c r="AN2813" s="1115"/>
      <c r="AO2813" s="1115"/>
      <c r="AP2813" s="1115"/>
      <c r="AQ2813" s="1115"/>
      <c r="AR2813" s="1115"/>
      <c r="AS2813" s="1117"/>
      <c r="AT2813" s="1075"/>
      <c r="AU2813" s="1193"/>
      <c r="AV2813" s="330"/>
      <c r="AW2813" s="331"/>
      <c r="AX2813" s="331"/>
      <c r="AY2813" s="331"/>
      <c r="AZ2813" s="331"/>
      <c r="BA2813" s="331"/>
      <c r="BB2813" s="331"/>
      <c r="BC2813" s="331"/>
      <c r="BD2813" s="331"/>
      <c r="BE2813" s="333"/>
      <c r="BF2813" s="330"/>
      <c r="BG2813" s="333"/>
      <c r="BH2813" s="1119"/>
      <c r="BI2813" s="319"/>
      <c r="BJ2813" s="319"/>
      <c r="BK2813" s="319"/>
      <c r="BL2813" s="319"/>
      <c r="BM2813" s="319"/>
      <c r="BN2813" s="319"/>
      <c r="BO2813" s="319"/>
      <c r="BP2813" s="953"/>
      <c r="BQ2813" s="319"/>
      <c r="BR2813" s="319"/>
      <c r="BS2813" s="330"/>
      <c r="BT2813" s="331"/>
      <c r="BU2813" s="920"/>
      <c r="BV2813" s="903"/>
      <c r="BW2813" s="908"/>
      <c r="BX2813" s="908"/>
      <c r="BY2813" s="331"/>
      <c r="BZ2813" s="331"/>
      <c r="CA2813" s="462"/>
      <c r="CB2813" s="319"/>
      <c r="CC2813" s="319"/>
      <c r="CD2813" s="319"/>
      <c r="CE2813" s="319"/>
      <c r="CF2813" s="319"/>
      <c r="CG2813" s="319"/>
      <c r="CH2813" s="318"/>
      <c r="CI2813" s="319"/>
      <c r="CJ2813" s="319"/>
      <c r="CK2813" s="342"/>
      <c r="CL2813" s="333"/>
      <c r="CM2813" s="1079"/>
      <c r="CN2813" s="1005"/>
      <c r="CO2813" s="1005"/>
      <c r="CP2813" s="1005"/>
    </row>
    <row r="2814">
      <c r="A2814" s="1257"/>
      <c r="B2814" s="1113"/>
      <c r="C2814" s="1107"/>
      <c r="D2814" s="103"/>
      <c r="E2814" s="1137"/>
      <c r="F2814" s="112"/>
      <c r="G2814" s="1110"/>
      <c r="H2814" s="1138"/>
      <c r="I2814" s="1138"/>
      <c r="J2814" s="1139"/>
      <c r="K2814" s="1111"/>
      <c r="L2814" s="1112"/>
      <c r="M2814" s="1113"/>
      <c r="N2814" s="110"/>
      <c r="O2814" s="1140"/>
      <c r="P2814" s="1115"/>
      <c r="Q2814" s="1116"/>
      <c r="R2814" s="1141"/>
      <c r="S2814" s="1113"/>
      <c r="T2814" s="1143"/>
      <c r="U2814" s="1108"/>
      <c r="V2814" s="1108"/>
      <c r="W2814" s="1108"/>
      <c r="X2814" s="1108"/>
      <c r="Y2814" s="1108"/>
      <c r="Z2814" s="1114"/>
      <c r="AA2814" s="1114"/>
      <c r="AB2814" s="1114"/>
      <c r="AC2814" s="1117"/>
      <c r="AD2814" s="1115"/>
      <c r="AE2814" s="1115"/>
      <c r="AF2814" s="1115"/>
      <c r="AG2814" s="1115"/>
      <c r="AH2814" s="1115"/>
      <c r="AI2814" s="1115"/>
      <c r="AJ2814" s="1117"/>
      <c r="AK2814" s="1118"/>
      <c r="AL2814" s="1115"/>
      <c r="AM2814" s="1115"/>
      <c r="AN2814" s="1115"/>
      <c r="AO2814" s="1115"/>
      <c r="AP2814" s="1115"/>
      <c r="AQ2814" s="1115"/>
      <c r="AR2814" s="1115"/>
      <c r="AS2814" s="1117"/>
      <c r="AT2814" s="1075"/>
      <c r="AU2814" s="1193"/>
      <c r="AV2814" s="330"/>
      <c r="AW2814" s="331"/>
      <c r="AX2814" s="331"/>
      <c r="AY2814" s="331"/>
      <c r="AZ2814" s="331"/>
      <c r="BA2814" s="331"/>
      <c r="BB2814" s="331"/>
      <c r="BC2814" s="331"/>
      <c r="BD2814" s="331"/>
      <c r="BE2814" s="333"/>
      <c r="BF2814" s="330"/>
      <c r="BG2814" s="333"/>
      <c r="BH2814" s="1119"/>
      <c r="BI2814" s="319"/>
      <c r="BJ2814" s="319"/>
      <c r="BK2814" s="319"/>
      <c r="BL2814" s="319"/>
      <c r="BM2814" s="319"/>
      <c r="BN2814" s="319"/>
      <c r="BO2814" s="319"/>
      <c r="BP2814" s="953"/>
      <c r="BQ2814" s="319"/>
      <c r="BR2814" s="319"/>
      <c r="BS2814" s="330"/>
      <c r="BT2814" s="331"/>
      <c r="BU2814" s="920"/>
      <c r="BV2814" s="903"/>
      <c r="BW2814" s="908"/>
      <c r="BX2814" s="908"/>
      <c r="BY2814" s="331"/>
      <c r="BZ2814" s="331"/>
      <c r="CA2814" s="462"/>
      <c r="CB2814" s="319"/>
      <c r="CC2814" s="319"/>
      <c r="CD2814" s="319"/>
      <c r="CE2814" s="319"/>
      <c r="CF2814" s="319"/>
      <c r="CG2814" s="319"/>
      <c r="CH2814" s="318"/>
      <c r="CI2814" s="319"/>
      <c r="CJ2814" s="319"/>
      <c r="CK2814" s="342"/>
      <c r="CL2814" s="333"/>
      <c r="CM2814" s="1079"/>
      <c r="CN2814" s="1005"/>
      <c r="CO2814" s="1005"/>
      <c r="CP2814" s="1005"/>
    </row>
    <row r="2815">
      <c r="A2815" s="1257"/>
      <c r="B2815" s="1113"/>
      <c r="C2815" s="1107"/>
      <c r="D2815" s="103"/>
      <c r="E2815" s="1137"/>
      <c r="F2815" s="112"/>
      <c r="G2815" s="1110"/>
      <c r="H2815" s="1138"/>
      <c r="I2815" s="1138"/>
      <c r="J2815" s="1139"/>
      <c r="K2815" s="1111"/>
      <c r="L2815" s="1112"/>
      <c r="M2815" s="1113"/>
      <c r="N2815" s="110"/>
      <c r="O2815" s="1140"/>
      <c r="P2815" s="1115"/>
      <c r="Q2815" s="1116"/>
      <c r="R2815" s="1141"/>
      <c r="S2815" s="1113"/>
      <c r="T2815" s="1143"/>
      <c r="U2815" s="1108"/>
      <c r="V2815" s="1108"/>
      <c r="W2815" s="1108"/>
      <c r="X2815" s="1108"/>
      <c r="Y2815" s="1108"/>
      <c r="Z2815" s="1114"/>
      <c r="AA2815" s="1114"/>
      <c r="AB2815" s="1114"/>
      <c r="AC2815" s="1117"/>
      <c r="AD2815" s="1115"/>
      <c r="AE2815" s="1115"/>
      <c r="AF2815" s="1115"/>
      <c r="AG2815" s="1115"/>
      <c r="AH2815" s="1115"/>
      <c r="AI2815" s="1115"/>
      <c r="AJ2815" s="1117"/>
      <c r="AK2815" s="1118"/>
      <c r="AL2815" s="1115"/>
      <c r="AM2815" s="1115"/>
      <c r="AN2815" s="1115"/>
      <c r="AO2815" s="1115"/>
      <c r="AP2815" s="1115"/>
      <c r="AQ2815" s="1115"/>
      <c r="AR2815" s="1115"/>
      <c r="AS2815" s="1117"/>
      <c r="AT2815" s="1075"/>
      <c r="AU2815" s="1193"/>
      <c r="AV2815" s="330"/>
      <c r="AW2815" s="331"/>
      <c r="AX2815" s="331"/>
      <c r="AY2815" s="331"/>
      <c r="AZ2815" s="331"/>
      <c r="BA2815" s="331"/>
      <c r="BB2815" s="331"/>
      <c r="BC2815" s="331"/>
      <c r="BD2815" s="331"/>
      <c r="BE2815" s="333"/>
      <c r="BF2815" s="330"/>
      <c r="BG2815" s="333"/>
      <c r="BH2815" s="1119"/>
      <c r="BI2815" s="319"/>
      <c r="BJ2815" s="319"/>
      <c r="BK2815" s="319"/>
      <c r="BL2815" s="319"/>
      <c r="BM2815" s="319"/>
      <c r="BN2815" s="319"/>
      <c r="BO2815" s="319"/>
      <c r="BP2815" s="953"/>
      <c r="BQ2815" s="319"/>
      <c r="BR2815" s="319"/>
      <c r="BS2815" s="330"/>
      <c r="BT2815" s="331"/>
      <c r="BU2815" s="920"/>
      <c r="BV2815" s="903"/>
      <c r="BW2815" s="908"/>
      <c r="BX2815" s="908"/>
      <c r="BY2815" s="331"/>
      <c r="BZ2815" s="331"/>
      <c r="CA2815" s="462"/>
      <c r="CB2815" s="319"/>
      <c r="CC2815" s="319"/>
      <c r="CD2815" s="319"/>
      <c r="CE2815" s="319"/>
      <c r="CF2815" s="319"/>
      <c r="CG2815" s="319"/>
      <c r="CH2815" s="318"/>
      <c r="CI2815" s="319"/>
      <c r="CJ2815" s="319"/>
      <c r="CK2815" s="342"/>
      <c r="CL2815" s="333"/>
      <c r="CM2815" s="1079"/>
      <c r="CN2815" s="1005"/>
      <c r="CO2815" s="1005"/>
      <c r="CP2815" s="1005"/>
    </row>
    <row r="2816">
      <c r="A2816" s="1257"/>
      <c r="B2816" s="1113"/>
      <c r="C2816" s="1107"/>
      <c r="D2816" s="103"/>
      <c r="E2816" s="1137"/>
      <c r="F2816" s="112"/>
      <c r="G2816" s="1110"/>
      <c r="H2816" s="1138"/>
      <c r="I2816" s="1138"/>
      <c r="J2816" s="1139"/>
      <c r="K2816" s="1111"/>
      <c r="L2816" s="1112"/>
      <c r="M2816" s="1113"/>
      <c r="N2816" s="110"/>
      <c r="O2816" s="1140"/>
      <c r="P2816" s="1115"/>
      <c r="Q2816" s="1116"/>
      <c r="R2816" s="1141"/>
      <c r="S2816" s="1113"/>
      <c r="T2816" s="1143"/>
      <c r="U2816" s="1108"/>
      <c r="V2816" s="1108"/>
      <c r="W2816" s="1108"/>
      <c r="X2816" s="1108"/>
      <c r="Y2816" s="1108"/>
      <c r="Z2816" s="1114"/>
      <c r="AA2816" s="1114"/>
      <c r="AB2816" s="1114"/>
      <c r="AC2816" s="1117"/>
      <c r="AD2816" s="1115"/>
      <c r="AE2816" s="1115"/>
      <c r="AF2816" s="1115"/>
      <c r="AG2816" s="1115"/>
      <c r="AH2816" s="1115"/>
      <c r="AI2816" s="1115"/>
      <c r="AJ2816" s="1117"/>
      <c r="AK2816" s="1118"/>
      <c r="AL2816" s="1115"/>
      <c r="AM2816" s="1115"/>
      <c r="AN2816" s="1115"/>
      <c r="AO2816" s="1115"/>
      <c r="AP2816" s="1115"/>
      <c r="AQ2816" s="1115"/>
      <c r="AR2816" s="1115"/>
      <c r="AS2816" s="1117"/>
      <c r="AT2816" s="1075"/>
      <c r="AU2816" s="1193"/>
      <c r="AV2816" s="330"/>
      <c r="AW2816" s="331"/>
      <c r="AX2816" s="331"/>
      <c r="AY2816" s="331"/>
      <c r="AZ2816" s="331"/>
      <c r="BA2816" s="331"/>
      <c r="BB2816" s="331"/>
      <c r="BC2816" s="331"/>
      <c r="BD2816" s="331"/>
      <c r="BE2816" s="333"/>
      <c r="BF2816" s="330"/>
      <c r="BG2816" s="333"/>
      <c r="BH2816" s="1119"/>
      <c r="BI2816" s="319"/>
      <c r="BJ2816" s="319"/>
      <c r="BK2816" s="319"/>
      <c r="BL2816" s="319"/>
      <c r="BM2816" s="319"/>
      <c r="BN2816" s="319"/>
      <c r="BO2816" s="319"/>
      <c r="BP2816" s="953"/>
      <c r="BQ2816" s="319"/>
      <c r="BR2816" s="319"/>
      <c r="BS2816" s="330"/>
      <c r="BT2816" s="331"/>
      <c r="BU2816" s="920"/>
      <c r="BV2816" s="903"/>
      <c r="BW2816" s="908"/>
      <c r="BX2816" s="908"/>
      <c r="BY2816" s="331"/>
      <c r="BZ2816" s="331"/>
      <c r="CA2816" s="462"/>
      <c r="CB2816" s="319"/>
      <c r="CC2816" s="319"/>
      <c r="CD2816" s="319"/>
      <c r="CE2816" s="319"/>
      <c r="CF2816" s="319"/>
      <c r="CG2816" s="319"/>
      <c r="CH2816" s="318"/>
      <c r="CI2816" s="319"/>
      <c r="CJ2816" s="319"/>
      <c r="CK2816" s="342"/>
      <c r="CL2816" s="333"/>
      <c r="CM2816" s="1079"/>
      <c r="CN2816" s="1005"/>
      <c r="CO2816" s="1005"/>
      <c r="CP2816" s="1005"/>
    </row>
    <row r="2817">
      <c r="A2817" s="1257"/>
      <c r="B2817" s="1113"/>
      <c r="C2817" s="1107"/>
      <c r="D2817" s="103"/>
      <c r="E2817" s="1137"/>
      <c r="F2817" s="112"/>
      <c r="G2817" s="1110"/>
      <c r="H2817" s="1138"/>
      <c r="I2817" s="1138"/>
      <c r="J2817" s="1139"/>
      <c r="K2817" s="1111"/>
      <c r="L2817" s="1112"/>
      <c r="M2817" s="1113"/>
      <c r="N2817" s="110"/>
      <c r="O2817" s="1140"/>
      <c r="P2817" s="1115"/>
      <c r="Q2817" s="1116"/>
      <c r="R2817" s="1141"/>
      <c r="S2817" s="1113"/>
      <c r="T2817" s="1143"/>
      <c r="U2817" s="1108"/>
      <c r="V2817" s="1108"/>
      <c r="W2817" s="1108"/>
      <c r="X2817" s="1108"/>
      <c r="Y2817" s="1108"/>
      <c r="Z2817" s="1114"/>
      <c r="AA2817" s="1114"/>
      <c r="AB2817" s="1114"/>
      <c r="AC2817" s="1117"/>
      <c r="AD2817" s="1115"/>
      <c r="AE2817" s="1115"/>
      <c r="AF2817" s="1115"/>
      <c r="AG2817" s="1115"/>
      <c r="AH2817" s="1115"/>
      <c r="AI2817" s="1115"/>
      <c r="AJ2817" s="1117"/>
      <c r="AK2817" s="1118"/>
      <c r="AL2817" s="1115"/>
      <c r="AM2817" s="1115"/>
      <c r="AN2817" s="1115"/>
      <c r="AO2817" s="1115"/>
      <c r="AP2817" s="1115"/>
      <c r="AQ2817" s="1115"/>
      <c r="AR2817" s="1115"/>
      <c r="AS2817" s="1117"/>
      <c r="AT2817" s="1075"/>
      <c r="AU2817" s="1193"/>
      <c r="AV2817" s="330"/>
      <c r="AW2817" s="331"/>
      <c r="AX2817" s="331"/>
      <c r="AY2817" s="331"/>
      <c r="AZ2817" s="331"/>
      <c r="BA2817" s="331"/>
      <c r="BB2817" s="331"/>
      <c r="BC2817" s="331"/>
      <c r="BD2817" s="331"/>
      <c r="BE2817" s="333"/>
      <c r="BF2817" s="330"/>
      <c r="BG2817" s="333"/>
      <c r="BH2817" s="1119"/>
      <c r="BI2817" s="319"/>
      <c r="BJ2817" s="319"/>
      <c r="BK2817" s="319"/>
      <c r="BL2817" s="319"/>
      <c r="BM2817" s="319"/>
      <c r="BN2817" s="319"/>
      <c r="BO2817" s="319"/>
      <c r="BP2817" s="953"/>
      <c r="BQ2817" s="319"/>
      <c r="BR2817" s="319"/>
      <c r="BS2817" s="330"/>
      <c r="BT2817" s="331"/>
      <c r="BU2817" s="920"/>
      <c r="BV2817" s="903"/>
      <c r="BW2817" s="908"/>
      <c r="BX2817" s="908"/>
      <c r="BY2817" s="331"/>
      <c r="BZ2817" s="331"/>
      <c r="CA2817" s="462"/>
      <c r="CB2817" s="319"/>
      <c r="CC2817" s="319"/>
      <c r="CD2817" s="319"/>
      <c r="CE2817" s="319"/>
      <c r="CF2817" s="319"/>
      <c r="CG2817" s="319"/>
      <c r="CH2817" s="318"/>
      <c r="CI2817" s="319"/>
      <c r="CJ2817" s="319"/>
      <c r="CK2817" s="342"/>
      <c r="CL2817" s="333"/>
      <c r="CM2817" s="1079"/>
      <c r="CN2817" s="1005"/>
      <c r="CO2817" s="1005"/>
      <c r="CP2817" s="1005"/>
    </row>
    <row r="2818">
      <c r="A2818" s="1257"/>
      <c r="B2818" s="1113"/>
      <c r="C2818" s="1107"/>
      <c r="D2818" s="103"/>
      <c r="E2818" s="1137"/>
      <c r="F2818" s="112"/>
      <c r="G2818" s="1110"/>
      <c r="H2818" s="1138"/>
      <c r="I2818" s="1138"/>
      <c r="J2818" s="1139"/>
      <c r="K2818" s="1111"/>
      <c r="L2818" s="1112"/>
      <c r="M2818" s="1113"/>
      <c r="N2818" s="110"/>
      <c r="O2818" s="1140"/>
      <c r="P2818" s="1115"/>
      <c r="Q2818" s="1116"/>
      <c r="R2818" s="1141"/>
      <c r="S2818" s="1113"/>
      <c r="T2818" s="1143"/>
      <c r="U2818" s="1108"/>
      <c r="V2818" s="1108"/>
      <c r="W2818" s="1108"/>
      <c r="X2818" s="1108"/>
      <c r="Y2818" s="1108"/>
      <c r="Z2818" s="1114"/>
      <c r="AA2818" s="1114"/>
      <c r="AB2818" s="1114"/>
      <c r="AC2818" s="1117"/>
      <c r="AD2818" s="1115"/>
      <c r="AE2818" s="1115"/>
      <c r="AF2818" s="1115"/>
      <c r="AG2818" s="1115"/>
      <c r="AH2818" s="1115"/>
      <c r="AI2818" s="1115"/>
      <c r="AJ2818" s="1117"/>
      <c r="AK2818" s="1118"/>
      <c r="AL2818" s="1115"/>
      <c r="AM2818" s="1115"/>
      <c r="AN2818" s="1115"/>
      <c r="AO2818" s="1115"/>
      <c r="AP2818" s="1115"/>
      <c r="AQ2818" s="1115"/>
      <c r="AR2818" s="1115"/>
      <c r="AS2818" s="1117"/>
      <c r="AT2818" s="1075"/>
      <c r="AU2818" s="1193"/>
      <c r="AV2818" s="330"/>
      <c r="AW2818" s="331"/>
      <c r="AX2818" s="331"/>
      <c r="AY2818" s="331"/>
      <c r="AZ2818" s="331"/>
      <c r="BA2818" s="331"/>
      <c r="BB2818" s="331"/>
      <c r="BC2818" s="331"/>
      <c r="BD2818" s="331"/>
      <c r="BE2818" s="333"/>
      <c r="BF2818" s="330"/>
      <c r="BG2818" s="333"/>
      <c r="BH2818" s="1119"/>
      <c r="BI2818" s="319"/>
      <c r="BJ2818" s="319"/>
      <c r="BK2818" s="319"/>
      <c r="BL2818" s="319"/>
      <c r="BM2818" s="319"/>
      <c r="BN2818" s="319"/>
      <c r="BO2818" s="319"/>
      <c r="BP2818" s="953"/>
      <c r="BQ2818" s="319"/>
      <c r="BR2818" s="319"/>
      <c r="BS2818" s="330"/>
      <c r="BT2818" s="331"/>
      <c r="BU2818" s="920"/>
      <c r="BV2818" s="903"/>
      <c r="BW2818" s="908"/>
      <c r="BX2818" s="908"/>
      <c r="BY2818" s="331"/>
      <c r="BZ2818" s="331"/>
      <c r="CA2818" s="462"/>
      <c r="CB2818" s="319"/>
      <c r="CC2818" s="319"/>
      <c r="CD2818" s="319"/>
      <c r="CE2818" s="319"/>
      <c r="CF2818" s="319"/>
      <c r="CG2818" s="319"/>
      <c r="CH2818" s="318"/>
      <c r="CI2818" s="319"/>
      <c r="CJ2818" s="319"/>
      <c r="CK2818" s="342"/>
      <c r="CL2818" s="333"/>
      <c r="CM2818" s="1079"/>
      <c r="CN2818" s="1005"/>
      <c r="CO2818" s="1005"/>
      <c r="CP2818" s="1005"/>
    </row>
    <row r="2819">
      <c r="A2819" s="1257"/>
      <c r="B2819" s="1113"/>
      <c r="C2819" s="1107"/>
      <c r="D2819" s="103"/>
      <c r="E2819" s="1137"/>
      <c r="F2819" s="112"/>
      <c r="G2819" s="1110"/>
      <c r="H2819" s="1138"/>
      <c r="I2819" s="1138"/>
      <c r="J2819" s="1139"/>
      <c r="K2819" s="1111"/>
      <c r="L2819" s="1112"/>
      <c r="M2819" s="1113"/>
      <c r="N2819" s="110"/>
      <c r="O2819" s="1140"/>
      <c r="P2819" s="1115"/>
      <c r="Q2819" s="1116"/>
      <c r="R2819" s="1141"/>
      <c r="S2819" s="1113"/>
      <c r="T2819" s="1143"/>
      <c r="U2819" s="1108"/>
      <c r="V2819" s="1108"/>
      <c r="W2819" s="1108"/>
      <c r="X2819" s="1108"/>
      <c r="Y2819" s="1108"/>
      <c r="Z2819" s="1114"/>
      <c r="AA2819" s="1114"/>
      <c r="AB2819" s="1114"/>
      <c r="AC2819" s="1117"/>
      <c r="AD2819" s="1115"/>
      <c r="AE2819" s="1115"/>
      <c r="AF2819" s="1115"/>
      <c r="AG2819" s="1115"/>
      <c r="AH2819" s="1115"/>
      <c r="AI2819" s="1115"/>
      <c r="AJ2819" s="1117"/>
      <c r="AK2819" s="1118"/>
      <c r="AL2819" s="1115"/>
      <c r="AM2819" s="1115"/>
      <c r="AN2819" s="1115"/>
      <c r="AO2819" s="1115"/>
      <c r="AP2819" s="1115"/>
      <c r="AQ2819" s="1115"/>
      <c r="AR2819" s="1115"/>
      <c r="AS2819" s="1117"/>
      <c r="AT2819" s="1075"/>
      <c r="AU2819" s="1193"/>
      <c r="AV2819" s="330"/>
      <c r="AW2819" s="331"/>
      <c r="AX2819" s="331"/>
      <c r="AY2819" s="331"/>
      <c r="AZ2819" s="331"/>
      <c r="BA2819" s="331"/>
      <c r="BB2819" s="331"/>
      <c r="BC2819" s="331"/>
      <c r="BD2819" s="331"/>
      <c r="BE2819" s="333"/>
      <c r="BF2819" s="330"/>
      <c r="BG2819" s="333"/>
      <c r="BH2819" s="1119"/>
      <c r="BI2819" s="319"/>
      <c r="BJ2819" s="319"/>
      <c r="BK2819" s="319"/>
      <c r="BL2819" s="319"/>
      <c r="BM2819" s="319"/>
      <c r="BN2819" s="319"/>
      <c r="BO2819" s="319"/>
      <c r="BP2819" s="953"/>
      <c r="BQ2819" s="319"/>
      <c r="BR2819" s="319"/>
      <c r="BS2819" s="330"/>
      <c r="BT2819" s="331"/>
      <c r="BU2819" s="920"/>
      <c r="BV2819" s="903"/>
      <c r="BW2819" s="908"/>
      <c r="BX2819" s="908"/>
      <c r="BY2819" s="331"/>
      <c r="BZ2819" s="331"/>
      <c r="CA2819" s="462"/>
      <c r="CB2819" s="319"/>
      <c r="CC2819" s="319"/>
      <c r="CD2819" s="319"/>
      <c r="CE2819" s="319"/>
      <c r="CF2819" s="319"/>
      <c r="CG2819" s="319"/>
      <c r="CH2819" s="318"/>
      <c r="CI2819" s="319"/>
      <c r="CJ2819" s="319"/>
      <c r="CK2819" s="342"/>
      <c r="CL2819" s="333"/>
      <c r="CM2819" s="1079"/>
      <c r="CN2819" s="1005"/>
      <c r="CO2819" s="1005"/>
      <c r="CP2819" s="1005"/>
    </row>
    <row r="2820">
      <c r="A2820" s="1257"/>
      <c r="B2820" s="1113"/>
      <c r="C2820" s="1107"/>
      <c r="D2820" s="103"/>
      <c r="E2820" s="1137"/>
      <c r="F2820" s="112"/>
      <c r="G2820" s="1110"/>
      <c r="H2820" s="1138"/>
      <c r="I2820" s="1138"/>
      <c r="J2820" s="1139"/>
      <c r="K2820" s="1111"/>
      <c r="L2820" s="1112"/>
      <c r="M2820" s="1113"/>
      <c r="N2820" s="110"/>
      <c r="O2820" s="1140"/>
      <c r="P2820" s="1115"/>
      <c r="Q2820" s="1116"/>
      <c r="R2820" s="1141"/>
      <c r="S2820" s="1113"/>
      <c r="T2820" s="1143"/>
      <c r="U2820" s="1108"/>
      <c r="V2820" s="1108"/>
      <c r="W2820" s="1108"/>
      <c r="X2820" s="1108"/>
      <c r="Y2820" s="1108"/>
      <c r="Z2820" s="1114"/>
      <c r="AA2820" s="1114"/>
      <c r="AB2820" s="1114"/>
      <c r="AC2820" s="1117"/>
      <c r="AD2820" s="1115"/>
      <c r="AE2820" s="1115"/>
      <c r="AF2820" s="1115"/>
      <c r="AG2820" s="1115"/>
      <c r="AH2820" s="1115"/>
      <c r="AI2820" s="1115"/>
      <c r="AJ2820" s="1117"/>
      <c r="AK2820" s="1118"/>
      <c r="AL2820" s="1115"/>
      <c r="AM2820" s="1115"/>
      <c r="AN2820" s="1115"/>
      <c r="AO2820" s="1115"/>
      <c r="AP2820" s="1115"/>
      <c r="AQ2820" s="1115"/>
      <c r="AR2820" s="1115"/>
      <c r="AS2820" s="1117"/>
      <c r="AT2820" s="1075"/>
      <c r="AU2820" s="1193"/>
      <c r="AV2820" s="330"/>
      <c r="AW2820" s="331"/>
      <c r="AX2820" s="331"/>
      <c r="AY2820" s="331"/>
      <c r="AZ2820" s="331"/>
      <c r="BA2820" s="331"/>
      <c r="BB2820" s="331"/>
      <c r="BC2820" s="331"/>
      <c r="BD2820" s="331"/>
      <c r="BE2820" s="333"/>
      <c r="BF2820" s="330"/>
      <c r="BG2820" s="333"/>
      <c r="BH2820" s="1119"/>
      <c r="BI2820" s="319"/>
      <c r="BJ2820" s="319"/>
      <c r="BK2820" s="319"/>
      <c r="BL2820" s="319"/>
      <c r="BM2820" s="319"/>
      <c r="BN2820" s="319"/>
      <c r="BO2820" s="319"/>
      <c r="BP2820" s="953"/>
      <c r="BQ2820" s="319"/>
      <c r="BR2820" s="319"/>
      <c r="BS2820" s="330"/>
      <c r="BT2820" s="331"/>
      <c r="BU2820" s="920"/>
      <c r="BV2820" s="903"/>
      <c r="BW2820" s="908"/>
      <c r="BX2820" s="908"/>
      <c r="BY2820" s="331"/>
      <c r="BZ2820" s="331"/>
      <c r="CA2820" s="462"/>
      <c r="CB2820" s="319"/>
      <c r="CC2820" s="319"/>
      <c r="CD2820" s="319"/>
      <c r="CE2820" s="319"/>
      <c r="CF2820" s="319"/>
      <c r="CG2820" s="319"/>
      <c r="CH2820" s="318"/>
      <c r="CI2820" s="319"/>
      <c r="CJ2820" s="319"/>
      <c r="CK2820" s="342"/>
      <c r="CL2820" s="333"/>
      <c r="CM2820" s="1079"/>
      <c r="CN2820" s="1005"/>
      <c r="CO2820" s="1005"/>
      <c r="CP2820" s="1005"/>
    </row>
    <row r="2821">
      <c r="A2821" s="1257"/>
      <c r="B2821" s="1113"/>
      <c r="C2821" s="1107"/>
      <c r="D2821" s="103"/>
      <c r="E2821" s="1137"/>
      <c r="F2821" s="112"/>
      <c r="G2821" s="1110"/>
      <c r="H2821" s="1138"/>
      <c r="I2821" s="1138"/>
      <c r="J2821" s="1139"/>
      <c r="K2821" s="1111"/>
      <c r="L2821" s="1112"/>
      <c r="M2821" s="1113"/>
      <c r="N2821" s="110"/>
      <c r="O2821" s="1140"/>
      <c r="P2821" s="1115"/>
      <c r="Q2821" s="1116"/>
      <c r="R2821" s="1141"/>
      <c r="S2821" s="1113"/>
      <c r="T2821" s="1143"/>
      <c r="U2821" s="1108"/>
      <c r="V2821" s="1108"/>
      <c r="W2821" s="1108"/>
      <c r="X2821" s="1108"/>
      <c r="Y2821" s="1108"/>
      <c r="Z2821" s="1114"/>
      <c r="AA2821" s="1114"/>
      <c r="AB2821" s="1114"/>
      <c r="AC2821" s="1117"/>
      <c r="AD2821" s="1115"/>
      <c r="AE2821" s="1115"/>
      <c r="AF2821" s="1115"/>
      <c r="AG2821" s="1115"/>
      <c r="AH2821" s="1115"/>
      <c r="AI2821" s="1115"/>
      <c r="AJ2821" s="1117"/>
      <c r="AK2821" s="1118"/>
      <c r="AL2821" s="1115"/>
      <c r="AM2821" s="1115"/>
      <c r="AN2821" s="1115"/>
      <c r="AO2821" s="1115"/>
      <c r="AP2821" s="1115"/>
      <c r="AQ2821" s="1115"/>
      <c r="AR2821" s="1115"/>
      <c r="AS2821" s="1117"/>
      <c r="AT2821" s="1075"/>
      <c r="AU2821" s="1193"/>
      <c r="AV2821" s="330"/>
      <c r="AW2821" s="331"/>
      <c r="AX2821" s="331"/>
      <c r="AY2821" s="331"/>
      <c r="AZ2821" s="331"/>
      <c r="BA2821" s="331"/>
      <c r="BB2821" s="331"/>
      <c r="BC2821" s="331"/>
      <c r="BD2821" s="331"/>
      <c r="BE2821" s="333"/>
      <c r="BF2821" s="330"/>
      <c r="BG2821" s="333"/>
      <c r="BH2821" s="1119"/>
      <c r="BI2821" s="319"/>
      <c r="BJ2821" s="319"/>
      <c r="BK2821" s="319"/>
      <c r="BL2821" s="319"/>
      <c r="BM2821" s="319"/>
      <c r="BN2821" s="319"/>
      <c r="BO2821" s="319"/>
      <c r="BP2821" s="953"/>
      <c r="BQ2821" s="319"/>
      <c r="BR2821" s="319"/>
      <c r="BS2821" s="330"/>
      <c r="BT2821" s="331"/>
      <c r="BU2821" s="920"/>
      <c r="BV2821" s="903"/>
      <c r="BW2821" s="908"/>
      <c r="BX2821" s="908"/>
      <c r="BY2821" s="331"/>
      <c r="BZ2821" s="331"/>
      <c r="CA2821" s="462"/>
      <c r="CB2821" s="319"/>
      <c r="CC2821" s="319"/>
      <c r="CD2821" s="319"/>
      <c r="CE2821" s="319"/>
      <c r="CF2821" s="319"/>
      <c r="CG2821" s="319"/>
      <c r="CH2821" s="318"/>
      <c r="CI2821" s="319"/>
      <c r="CJ2821" s="319"/>
      <c r="CK2821" s="342"/>
      <c r="CL2821" s="333"/>
      <c r="CM2821" s="1079"/>
      <c r="CN2821" s="1005"/>
      <c r="CO2821" s="1005"/>
      <c r="CP2821" s="1005"/>
    </row>
    <row r="2822">
      <c r="A2822" s="1257"/>
      <c r="B2822" s="1113"/>
      <c r="C2822" s="1107"/>
      <c r="D2822" s="103"/>
      <c r="E2822" s="1137"/>
      <c r="F2822" s="112"/>
      <c r="G2822" s="1110"/>
      <c r="H2822" s="1138"/>
      <c r="I2822" s="1138"/>
      <c r="J2822" s="1139"/>
      <c r="K2822" s="1111"/>
      <c r="L2822" s="1112"/>
      <c r="M2822" s="1113"/>
      <c r="N2822" s="110"/>
      <c r="O2822" s="1140"/>
      <c r="P2822" s="1115"/>
      <c r="Q2822" s="1116"/>
      <c r="R2822" s="1141"/>
      <c r="S2822" s="1113"/>
      <c r="T2822" s="1143"/>
      <c r="U2822" s="1108"/>
      <c r="V2822" s="1108"/>
      <c r="W2822" s="1108"/>
      <c r="X2822" s="1108"/>
      <c r="Y2822" s="1108"/>
      <c r="Z2822" s="1114"/>
      <c r="AA2822" s="1114"/>
      <c r="AB2822" s="1114"/>
      <c r="AC2822" s="1117"/>
      <c r="AD2822" s="1115"/>
      <c r="AE2822" s="1115"/>
      <c r="AF2822" s="1115"/>
      <c r="AG2822" s="1115"/>
      <c r="AH2822" s="1115"/>
      <c r="AI2822" s="1115"/>
      <c r="AJ2822" s="1117"/>
      <c r="AK2822" s="1118"/>
      <c r="AL2822" s="1115"/>
      <c r="AM2822" s="1115"/>
      <c r="AN2822" s="1115"/>
      <c r="AO2822" s="1115"/>
      <c r="AP2822" s="1115"/>
      <c r="AQ2822" s="1115"/>
      <c r="AR2822" s="1115"/>
      <c r="AS2822" s="1117"/>
      <c r="AT2822" s="1075"/>
      <c r="AU2822" s="1193"/>
      <c r="AV2822" s="330"/>
      <c r="AW2822" s="331"/>
      <c r="AX2822" s="331"/>
      <c r="AY2822" s="331"/>
      <c r="AZ2822" s="331"/>
      <c r="BA2822" s="331"/>
      <c r="BB2822" s="331"/>
      <c r="BC2822" s="331"/>
      <c r="BD2822" s="331"/>
      <c r="BE2822" s="333"/>
      <c r="BF2822" s="330"/>
      <c r="BG2822" s="333"/>
      <c r="BH2822" s="1119"/>
      <c r="BI2822" s="319"/>
      <c r="BJ2822" s="319"/>
      <c r="BK2822" s="319"/>
      <c r="BL2822" s="319"/>
      <c r="BM2822" s="319"/>
      <c r="BN2822" s="319"/>
      <c r="BO2822" s="319"/>
      <c r="BP2822" s="953"/>
      <c r="BQ2822" s="319"/>
      <c r="BR2822" s="319"/>
      <c r="BS2822" s="330"/>
      <c r="BT2822" s="331"/>
      <c r="BU2822" s="920"/>
      <c r="BV2822" s="903"/>
      <c r="BW2822" s="908"/>
      <c r="BX2822" s="908"/>
      <c r="BY2822" s="331"/>
      <c r="BZ2822" s="331"/>
      <c r="CA2822" s="462"/>
      <c r="CB2822" s="319"/>
      <c r="CC2822" s="319"/>
      <c r="CD2822" s="319"/>
      <c r="CE2822" s="319"/>
      <c r="CF2822" s="319"/>
      <c r="CG2822" s="319"/>
      <c r="CH2822" s="318"/>
      <c r="CI2822" s="319"/>
      <c r="CJ2822" s="319"/>
      <c r="CK2822" s="342"/>
      <c r="CL2822" s="333"/>
      <c r="CM2822" s="1079"/>
      <c r="CN2822" s="1005"/>
      <c r="CO2822" s="1005"/>
      <c r="CP2822" s="1005"/>
    </row>
    <row r="2823">
      <c r="A2823" s="1257"/>
      <c r="B2823" s="1113"/>
      <c r="C2823" s="1107"/>
      <c r="D2823" s="103"/>
      <c r="E2823" s="1137"/>
      <c r="F2823" s="112"/>
      <c r="G2823" s="1110"/>
      <c r="H2823" s="1138"/>
      <c r="I2823" s="1138"/>
      <c r="J2823" s="1139"/>
      <c r="K2823" s="1111"/>
      <c r="L2823" s="1112"/>
      <c r="M2823" s="1113"/>
      <c r="N2823" s="110"/>
      <c r="O2823" s="1140"/>
      <c r="P2823" s="1115"/>
      <c r="Q2823" s="1116"/>
      <c r="R2823" s="1141"/>
      <c r="S2823" s="1113"/>
      <c r="T2823" s="1143"/>
      <c r="U2823" s="1108"/>
      <c r="V2823" s="1108"/>
      <c r="W2823" s="1108"/>
      <c r="X2823" s="1108"/>
      <c r="Y2823" s="1108"/>
      <c r="Z2823" s="1114"/>
      <c r="AA2823" s="1114"/>
      <c r="AB2823" s="1114"/>
      <c r="AC2823" s="1117"/>
      <c r="AD2823" s="1115"/>
      <c r="AE2823" s="1115"/>
      <c r="AF2823" s="1115"/>
      <c r="AG2823" s="1115"/>
      <c r="AH2823" s="1115"/>
      <c r="AI2823" s="1115"/>
      <c r="AJ2823" s="1117"/>
      <c r="AK2823" s="1118"/>
      <c r="AL2823" s="1115"/>
      <c r="AM2823" s="1115"/>
      <c r="AN2823" s="1115"/>
      <c r="AO2823" s="1115"/>
      <c r="AP2823" s="1115"/>
      <c r="AQ2823" s="1115"/>
      <c r="AR2823" s="1115"/>
      <c r="AS2823" s="1117"/>
      <c r="AT2823" s="1075"/>
      <c r="AU2823" s="1193"/>
      <c r="AV2823" s="330"/>
      <c r="AW2823" s="331"/>
      <c r="AX2823" s="331"/>
      <c r="AY2823" s="331"/>
      <c r="AZ2823" s="331"/>
      <c r="BA2823" s="331"/>
      <c r="BB2823" s="331"/>
      <c r="BC2823" s="331"/>
      <c r="BD2823" s="331"/>
      <c r="BE2823" s="333"/>
      <c r="BF2823" s="330"/>
      <c r="BG2823" s="333"/>
      <c r="BH2823" s="1119"/>
      <c r="BI2823" s="319"/>
      <c r="BJ2823" s="319"/>
      <c r="BK2823" s="319"/>
      <c r="BL2823" s="319"/>
      <c r="BM2823" s="319"/>
      <c r="BN2823" s="319"/>
      <c r="BO2823" s="319"/>
      <c r="BP2823" s="953"/>
      <c r="BQ2823" s="319"/>
      <c r="BR2823" s="319"/>
      <c r="BS2823" s="330"/>
      <c r="BT2823" s="331"/>
      <c r="BU2823" s="920"/>
      <c r="BV2823" s="903"/>
      <c r="BW2823" s="908"/>
      <c r="BX2823" s="908"/>
      <c r="BY2823" s="331"/>
      <c r="BZ2823" s="331"/>
      <c r="CA2823" s="462"/>
      <c r="CB2823" s="319"/>
      <c r="CC2823" s="319"/>
      <c r="CD2823" s="319"/>
      <c r="CE2823" s="319"/>
      <c r="CF2823" s="319"/>
      <c r="CG2823" s="319"/>
      <c r="CH2823" s="318"/>
      <c r="CI2823" s="319"/>
      <c r="CJ2823" s="319"/>
      <c r="CK2823" s="342"/>
      <c r="CL2823" s="333"/>
      <c r="CM2823" s="1079"/>
      <c r="CN2823" s="1005"/>
      <c r="CO2823" s="1005"/>
      <c r="CP2823" s="1005"/>
    </row>
    <row r="2824">
      <c r="A2824" s="1257"/>
      <c r="B2824" s="1113"/>
      <c r="C2824" s="1107"/>
      <c r="D2824" s="103"/>
      <c r="E2824" s="1137"/>
      <c r="F2824" s="112"/>
      <c r="G2824" s="1110"/>
      <c r="H2824" s="1138"/>
      <c r="I2824" s="1138"/>
      <c r="J2824" s="1139"/>
      <c r="K2824" s="1111"/>
      <c r="L2824" s="1112"/>
      <c r="M2824" s="1113"/>
      <c r="N2824" s="110"/>
      <c r="O2824" s="1140"/>
      <c r="P2824" s="1115"/>
      <c r="Q2824" s="1116"/>
      <c r="R2824" s="1141"/>
      <c r="S2824" s="1113"/>
      <c r="T2824" s="1143"/>
      <c r="U2824" s="1108"/>
      <c r="V2824" s="1108"/>
      <c r="W2824" s="1108"/>
      <c r="X2824" s="1108"/>
      <c r="Y2824" s="1108"/>
      <c r="Z2824" s="1114"/>
      <c r="AA2824" s="1114"/>
      <c r="AB2824" s="1114"/>
      <c r="AC2824" s="1117"/>
      <c r="AD2824" s="1115"/>
      <c r="AE2824" s="1115"/>
      <c r="AF2824" s="1115"/>
      <c r="AG2824" s="1115"/>
      <c r="AH2824" s="1115"/>
      <c r="AI2824" s="1115"/>
      <c r="AJ2824" s="1117"/>
      <c r="AK2824" s="1118"/>
      <c r="AL2824" s="1115"/>
      <c r="AM2824" s="1115"/>
      <c r="AN2824" s="1115"/>
      <c r="AO2824" s="1115"/>
      <c r="AP2824" s="1115"/>
      <c r="AQ2824" s="1115"/>
      <c r="AR2824" s="1115"/>
      <c r="AS2824" s="1117"/>
      <c r="AT2824" s="1075"/>
      <c r="AU2824" s="1193"/>
      <c r="AV2824" s="330"/>
      <c r="AW2824" s="331"/>
      <c r="AX2824" s="331"/>
      <c r="AY2824" s="331"/>
      <c r="AZ2824" s="331"/>
      <c r="BA2824" s="331"/>
      <c r="BB2824" s="331"/>
      <c r="BC2824" s="331"/>
      <c r="BD2824" s="331"/>
      <c r="BE2824" s="333"/>
      <c r="BF2824" s="330"/>
      <c r="BG2824" s="333"/>
      <c r="BH2824" s="1119"/>
      <c r="BI2824" s="319"/>
      <c r="BJ2824" s="319"/>
      <c r="BK2824" s="319"/>
      <c r="BL2824" s="319"/>
      <c r="BM2824" s="319"/>
      <c r="BN2824" s="319"/>
      <c r="BO2824" s="319"/>
      <c r="BP2824" s="953"/>
      <c r="BQ2824" s="319"/>
      <c r="BR2824" s="319"/>
      <c r="BS2824" s="330"/>
      <c r="BT2824" s="331"/>
      <c r="BU2824" s="920"/>
      <c r="BV2824" s="903"/>
      <c r="BW2824" s="908"/>
      <c r="BX2824" s="908"/>
      <c r="BY2824" s="331"/>
      <c r="BZ2824" s="331"/>
      <c r="CA2824" s="462"/>
      <c r="CB2824" s="319"/>
      <c r="CC2824" s="319"/>
      <c r="CD2824" s="319"/>
      <c r="CE2824" s="319"/>
      <c r="CF2824" s="319"/>
      <c r="CG2824" s="319"/>
      <c r="CH2824" s="318"/>
      <c r="CI2824" s="319"/>
      <c r="CJ2824" s="319"/>
      <c r="CK2824" s="342"/>
      <c r="CL2824" s="333"/>
      <c r="CM2824" s="1079"/>
      <c r="CN2824" s="1005"/>
      <c r="CO2824" s="1005"/>
      <c r="CP2824" s="1005"/>
    </row>
    <row r="2825">
      <c r="A2825" s="1257"/>
      <c r="B2825" s="1113"/>
      <c r="C2825" s="1107"/>
      <c r="D2825" s="103"/>
      <c r="E2825" s="1137"/>
      <c r="F2825" s="112"/>
      <c r="G2825" s="1110"/>
      <c r="H2825" s="1138"/>
      <c r="I2825" s="1138"/>
      <c r="J2825" s="1139"/>
      <c r="K2825" s="1111"/>
      <c r="L2825" s="1112"/>
      <c r="M2825" s="1113"/>
      <c r="N2825" s="110"/>
      <c r="O2825" s="1140"/>
      <c r="P2825" s="1115"/>
      <c r="Q2825" s="1116"/>
      <c r="R2825" s="1141"/>
      <c r="S2825" s="1113"/>
      <c r="T2825" s="1143"/>
      <c r="U2825" s="1108"/>
      <c r="V2825" s="1108"/>
      <c r="W2825" s="1108"/>
      <c r="X2825" s="1108"/>
      <c r="Y2825" s="1108"/>
      <c r="Z2825" s="1114"/>
      <c r="AA2825" s="1114"/>
      <c r="AB2825" s="1114"/>
      <c r="AC2825" s="1117"/>
      <c r="AD2825" s="1115"/>
      <c r="AE2825" s="1115"/>
      <c r="AF2825" s="1115"/>
      <c r="AG2825" s="1115"/>
      <c r="AH2825" s="1115"/>
      <c r="AI2825" s="1115"/>
      <c r="AJ2825" s="1117"/>
      <c r="AK2825" s="1118"/>
      <c r="AL2825" s="1115"/>
      <c r="AM2825" s="1115"/>
      <c r="AN2825" s="1115"/>
      <c r="AO2825" s="1115"/>
      <c r="AP2825" s="1115"/>
      <c r="AQ2825" s="1115"/>
      <c r="AR2825" s="1115"/>
      <c r="AS2825" s="1117"/>
      <c r="AT2825" s="1075"/>
      <c r="AU2825" s="1193"/>
      <c r="AV2825" s="330"/>
      <c r="AW2825" s="331"/>
      <c r="AX2825" s="331"/>
      <c r="AY2825" s="331"/>
      <c r="AZ2825" s="331"/>
      <c r="BA2825" s="331"/>
      <c r="BB2825" s="331"/>
      <c r="BC2825" s="331"/>
      <c r="BD2825" s="331"/>
      <c r="BE2825" s="333"/>
      <c r="BF2825" s="330"/>
      <c r="BG2825" s="333"/>
      <c r="BH2825" s="1119"/>
      <c r="BI2825" s="319"/>
      <c r="BJ2825" s="319"/>
      <c r="BK2825" s="319"/>
      <c r="BL2825" s="319"/>
      <c r="BM2825" s="319"/>
      <c r="BN2825" s="319"/>
      <c r="BO2825" s="319"/>
      <c r="BP2825" s="953"/>
      <c r="BQ2825" s="319"/>
      <c r="BR2825" s="319"/>
      <c r="BS2825" s="330"/>
      <c r="BT2825" s="331"/>
      <c r="BU2825" s="920"/>
      <c r="BV2825" s="903"/>
      <c r="BW2825" s="908"/>
      <c r="BX2825" s="908"/>
      <c r="BY2825" s="331"/>
      <c r="BZ2825" s="331"/>
      <c r="CA2825" s="462"/>
      <c r="CB2825" s="319"/>
      <c r="CC2825" s="319"/>
      <c r="CD2825" s="319"/>
      <c r="CE2825" s="319"/>
      <c r="CF2825" s="319"/>
      <c r="CG2825" s="319"/>
      <c r="CH2825" s="318"/>
      <c r="CI2825" s="319"/>
      <c r="CJ2825" s="319"/>
      <c r="CK2825" s="342"/>
      <c r="CL2825" s="333"/>
      <c r="CM2825" s="1079"/>
      <c r="CN2825" s="1005"/>
      <c r="CO2825" s="1005"/>
      <c r="CP2825" s="1005"/>
    </row>
    <row r="2826">
      <c r="A2826" s="1257"/>
      <c r="B2826" s="1113"/>
      <c r="C2826" s="1107"/>
      <c r="D2826" s="103"/>
      <c r="E2826" s="1137"/>
      <c r="F2826" s="112"/>
      <c r="G2826" s="1110"/>
      <c r="H2826" s="1138"/>
      <c r="I2826" s="1138"/>
      <c r="J2826" s="1139"/>
      <c r="K2826" s="1111"/>
      <c r="L2826" s="1112"/>
      <c r="M2826" s="1113"/>
      <c r="N2826" s="110"/>
      <c r="O2826" s="1140"/>
      <c r="P2826" s="1115"/>
      <c r="Q2826" s="1116"/>
      <c r="R2826" s="1141"/>
      <c r="S2826" s="1113"/>
      <c r="T2826" s="1143"/>
      <c r="U2826" s="1108"/>
      <c r="V2826" s="1108"/>
      <c r="W2826" s="1108"/>
      <c r="X2826" s="1108"/>
      <c r="Y2826" s="1108"/>
      <c r="Z2826" s="1114"/>
      <c r="AA2826" s="1114"/>
      <c r="AB2826" s="1114"/>
      <c r="AC2826" s="1117"/>
      <c r="AD2826" s="1115"/>
      <c r="AE2826" s="1115"/>
      <c r="AF2826" s="1115"/>
      <c r="AG2826" s="1115"/>
      <c r="AH2826" s="1115"/>
      <c r="AI2826" s="1115"/>
      <c r="AJ2826" s="1117"/>
      <c r="AK2826" s="1118"/>
      <c r="AL2826" s="1115"/>
      <c r="AM2826" s="1115"/>
      <c r="AN2826" s="1115"/>
      <c r="AO2826" s="1115"/>
      <c r="AP2826" s="1115"/>
      <c r="AQ2826" s="1115"/>
      <c r="AR2826" s="1115"/>
      <c r="AS2826" s="1117"/>
      <c r="AT2826" s="1075"/>
      <c r="AU2826" s="1193"/>
      <c r="AV2826" s="330"/>
      <c r="AW2826" s="331"/>
      <c r="AX2826" s="331"/>
      <c r="AY2826" s="331"/>
      <c r="AZ2826" s="331"/>
      <c r="BA2826" s="331"/>
      <c r="BB2826" s="331"/>
      <c r="BC2826" s="331"/>
      <c r="BD2826" s="331"/>
      <c r="BE2826" s="333"/>
      <c r="BF2826" s="330"/>
      <c r="BG2826" s="333"/>
      <c r="BH2826" s="1119"/>
      <c r="BI2826" s="319"/>
      <c r="BJ2826" s="319"/>
      <c r="BK2826" s="319"/>
      <c r="BL2826" s="319"/>
      <c r="BM2826" s="319"/>
      <c r="BN2826" s="319"/>
      <c r="BO2826" s="319"/>
      <c r="BP2826" s="953"/>
      <c r="BQ2826" s="319"/>
      <c r="BR2826" s="319"/>
      <c r="BS2826" s="330"/>
      <c r="BT2826" s="331"/>
      <c r="BU2826" s="920"/>
      <c r="BV2826" s="903"/>
      <c r="BW2826" s="908"/>
      <c r="BX2826" s="908"/>
      <c r="BY2826" s="331"/>
      <c r="BZ2826" s="331"/>
      <c r="CA2826" s="462"/>
      <c r="CB2826" s="319"/>
      <c r="CC2826" s="319"/>
      <c r="CD2826" s="319"/>
      <c r="CE2826" s="319"/>
      <c r="CF2826" s="319"/>
      <c r="CG2826" s="319"/>
      <c r="CH2826" s="318"/>
      <c r="CI2826" s="319"/>
      <c r="CJ2826" s="319"/>
      <c r="CK2826" s="342"/>
      <c r="CL2826" s="333"/>
      <c r="CM2826" s="1079"/>
      <c r="CN2826" s="1005"/>
      <c r="CO2826" s="1005"/>
      <c r="CP2826" s="1005"/>
    </row>
    <row r="2827">
      <c r="A2827" s="1257"/>
      <c r="B2827" s="1113"/>
      <c r="C2827" s="1107"/>
      <c r="D2827" s="103"/>
      <c r="E2827" s="1137"/>
      <c r="F2827" s="112"/>
      <c r="G2827" s="1110"/>
      <c r="H2827" s="1138"/>
      <c r="I2827" s="1138"/>
      <c r="J2827" s="1139"/>
      <c r="K2827" s="1111"/>
      <c r="L2827" s="1112"/>
      <c r="M2827" s="1113"/>
      <c r="N2827" s="110"/>
      <c r="O2827" s="1140"/>
      <c r="P2827" s="1115"/>
      <c r="Q2827" s="1116"/>
      <c r="R2827" s="1141"/>
      <c r="S2827" s="1113"/>
      <c r="T2827" s="1143"/>
      <c r="U2827" s="1108"/>
      <c r="V2827" s="1108"/>
      <c r="W2827" s="1108"/>
      <c r="X2827" s="1108"/>
      <c r="Y2827" s="1108"/>
      <c r="Z2827" s="1114"/>
      <c r="AA2827" s="1114"/>
      <c r="AB2827" s="1114"/>
      <c r="AC2827" s="1117"/>
      <c r="AD2827" s="1115"/>
      <c r="AE2827" s="1115"/>
      <c r="AF2827" s="1115"/>
      <c r="AG2827" s="1115"/>
      <c r="AH2827" s="1115"/>
      <c r="AI2827" s="1115"/>
      <c r="AJ2827" s="1117"/>
      <c r="AK2827" s="1118"/>
      <c r="AL2827" s="1115"/>
      <c r="AM2827" s="1115"/>
      <c r="AN2827" s="1115"/>
      <c r="AO2827" s="1115"/>
      <c r="AP2827" s="1115"/>
      <c r="AQ2827" s="1115"/>
      <c r="AR2827" s="1115"/>
      <c r="AS2827" s="1117"/>
      <c r="AT2827" s="1075"/>
      <c r="AU2827" s="1193"/>
      <c r="AV2827" s="330"/>
      <c r="AW2827" s="331"/>
      <c r="AX2827" s="331"/>
      <c r="AY2827" s="331"/>
      <c r="AZ2827" s="331"/>
      <c r="BA2827" s="331"/>
      <c r="BB2827" s="331"/>
      <c r="BC2827" s="331"/>
      <c r="BD2827" s="331"/>
      <c r="BE2827" s="333"/>
      <c r="BF2827" s="330"/>
      <c r="BG2827" s="333"/>
      <c r="BH2827" s="1119"/>
      <c r="BI2827" s="319"/>
      <c r="BJ2827" s="319"/>
      <c r="BK2827" s="319"/>
      <c r="BL2827" s="319"/>
      <c r="BM2827" s="319"/>
      <c r="BN2827" s="319"/>
      <c r="BO2827" s="319"/>
      <c r="BP2827" s="953"/>
      <c r="BQ2827" s="319"/>
      <c r="BR2827" s="319"/>
      <c r="BS2827" s="330"/>
      <c r="BT2827" s="331"/>
      <c r="BU2827" s="920"/>
      <c r="BV2827" s="903"/>
      <c r="BW2827" s="908"/>
      <c r="BX2827" s="908"/>
      <c r="BY2827" s="331"/>
      <c r="BZ2827" s="331"/>
      <c r="CA2827" s="462"/>
      <c r="CB2827" s="319"/>
      <c r="CC2827" s="319"/>
      <c r="CD2827" s="319"/>
      <c r="CE2827" s="319"/>
      <c r="CF2827" s="319"/>
      <c r="CG2827" s="319"/>
      <c r="CH2827" s="318"/>
      <c r="CI2827" s="319"/>
      <c r="CJ2827" s="319"/>
      <c r="CK2827" s="342"/>
      <c r="CL2827" s="333"/>
      <c r="CM2827" s="1079"/>
      <c r="CN2827" s="1005"/>
      <c r="CO2827" s="1005"/>
      <c r="CP2827" s="1005"/>
    </row>
    <row r="2828">
      <c r="A2828" s="1257"/>
      <c r="B2828" s="1113"/>
      <c r="C2828" s="1107"/>
      <c r="D2828" s="103"/>
      <c r="E2828" s="1137"/>
      <c r="F2828" s="112"/>
      <c r="G2828" s="1110"/>
      <c r="H2828" s="1138"/>
      <c r="I2828" s="1138"/>
      <c r="J2828" s="1139"/>
      <c r="K2828" s="1111"/>
      <c r="L2828" s="1112"/>
      <c r="M2828" s="1113"/>
      <c r="N2828" s="110"/>
      <c r="O2828" s="1140"/>
      <c r="P2828" s="1115"/>
      <c r="Q2828" s="1116"/>
      <c r="R2828" s="1141"/>
      <c r="S2828" s="1113"/>
      <c r="T2828" s="1143"/>
      <c r="U2828" s="1108"/>
      <c r="V2828" s="1108"/>
      <c r="W2828" s="1108"/>
      <c r="X2828" s="1108"/>
      <c r="Y2828" s="1108"/>
      <c r="Z2828" s="1114"/>
      <c r="AA2828" s="1114"/>
      <c r="AB2828" s="1114"/>
      <c r="AC2828" s="1117"/>
      <c r="AD2828" s="1115"/>
      <c r="AE2828" s="1115"/>
      <c r="AF2828" s="1115"/>
      <c r="AG2828" s="1115"/>
      <c r="AH2828" s="1115"/>
      <c r="AI2828" s="1115"/>
      <c r="AJ2828" s="1117"/>
      <c r="AK2828" s="1118"/>
      <c r="AL2828" s="1115"/>
      <c r="AM2828" s="1115"/>
      <c r="AN2828" s="1115"/>
      <c r="AO2828" s="1115"/>
      <c r="AP2828" s="1115"/>
      <c r="AQ2828" s="1115"/>
      <c r="AR2828" s="1115"/>
      <c r="AS2828" s="1117"/>
      <c r="AT2828" s="1075"/>
      <c r="AU2828" s="1193"/>
      <c r="AV2828" s="330"/>
      <c r="AW2828" s="331"/>
      <c r="AX2828" s="331"/>
      <c r="AY2828" s="331"/>
      <c r="AZ2828" s="331"/>
      <c r="BA2828" s="331"/>
      <c r="BB2828" s="331"/>
      <c r="BC2828" s="331"/>
      <c r="BD2828" s="331"/>
      <c r="BE2828" s="333"/>
      <c r="BF2828" s="330"/>
      <c r="BG2828" s="333"/>
      <c r="BH2828" s="1119"/>
      <c r="BI2828" s="319"/>
      <c r="BJ2828" s="319"/>
      <c r="BK2828" s="319"/>
      <c r="BL2828" s="319"/>
      <c r="BM2828" s="319"/>
      <c r="BN2828" s="319"/>
      <c r="BO2828" s="319"/>
      <c r="BP2828" s="953"/>
      <c r="BQ2828" s="319"/>
      <c r="BR2828" s="319"/>
      <c r="BS2828" s="330"/>
      <c r="BT2828" s="331"/>
      <c r="BU2828" s="920"/>
      <c r="BV2828" s="903"/>
      <c r="BW2828" s="908"/>
      <c r="BX2828" s="908"/>
      <c r="BY2828" s="331"/>
      <c r="BZ2828" s="331"/>
      <c r="CA2828" s="462"/>
      <c r="CB2828" s="319"/>
      <c r="CC2828" s="319"/>
      <c r="CD2828" s="319"/>
      <c r="CE2828" s="319"/>
      <c r="CF2828" s="319"/>
      <c r="CG2828" s="319"/>
      <c r="CH2828" s="318"/>
      <c r="CI2828" s="319"/>
      <c r="CJ2828" s="319"/>
      <c r="CK2828" s="342"/>
      <c r="CL2828" s="333"/>
      <c r="CM2828" s="1079"/>
      <c r="CN2828" s="1005"/>
      <c r="CO2828" s="1005"/>
      <c r="CP2828" s="1005"/>
    </row>
    <row r="2829">
      <c r="A2829" s="1257"/>
      <c r="B2829" s="1113"/>
      <c r="C2829" s="1107"/>
      <c r="D2829" s="103"/>
      <c r="E2829" s="1137"/>
      <c r="F2829" s="112"/>
      <c r="G2829" s="1110"/>
      <c r="H2829" s="1138"/>
      <c r="I2829" s="1138"/>
      <c r="J2829" s="1139"/>
      <c r="K2829" s="1111"/>
      <c r="L2829" s="1112"/>
      <c r="M2829" s="1113"/>
      <c r="N2829" s="110"/>
      <c r="O2829" s="1140"/>
      <c r="P2829" s="1115"/>
      <c r="Q2829" s="1116"/>
      <c r="R2829" s="1141"/>
      <c r="S2829" s="1113"/>
      <c r="T2829" s="1143"/>
      <c r="U2829" s="1108"/>
      <c r="V2829" s="1108"/>
      <c r="W2829" s="1108"/>
      <c r="X2829" s="1108"/>
      <c r="Y2829" s="1108"/>
      <c r="Z2829" s="1114"/>
      <c r="AA2829" s="1114"/>
      <c r="AB2829" s="1114"/>
      <c r="AC2829" s="1117"/>
      <c r="AD2829" s="1115"/>
      <c r="AE2829" s="1115"/>
      <c r="AF2829" s="1115"/>
      <c r="AG2829" s="1115"/>
      <c r="AH2829" s="1115"/>
      <c r="AI2829" s="1115"/>
      <c r="AJ2829" s="1117"/>
      <c r="AK2829" s="1118"/>
      <c r="AL2829" s="1115"/>
      <c r="AM2829" s="1115"/>
      <c r="AN2829" s="1115"/>
      <c r="AO2829" s="1115"/>
      <c r="AP2829" s="1115"/>
      <c r="AQ2829" s="1115"/>
      <c r="AR2829" s="1115"/>
      <c r="AS2829" s="1117"/>
      <c r="AT2829" s="1075"/>
      <c r="AU2829" s="1193"/>
      <c r="AV2829" s="330"/>
      <c r="AW2829" s="331"/>
      <c r="AX2829" s="331"/>
      <c r="AY2829" s="331"/>
      <c r="AZ2829" s="331"/>
      <c r="BA2829" s="331"/>
      <c r="BB2829" s="331"/>
      <c r="BC2829" s="331"/>
      <c r="BD2829" s="331"/>
      <c r="BE2829" s="333"/>
      <c r="BF2829" s="330"/>
      <c r="BG2829" s="333"/>
      <c r="BH2829" s="1119"/>
      <c r="BI2829" s="319"/>
      <c r="BJ2829" s="319"/>
      <c r="BK2829" s="319"/>
      <c r="BL2829" s="319"/>
      <c r="BM2829" s="319"/>
      <c r="BN2829" s="319"/>
      <c r="BO2829" s="319"/>
      <c r="BP2829" s="953"/>
      <c r="BQ2829" s="319"/>
      <c r="BR2829" s="319"/>
      <c r="BS2829" s="330"/>
      <c r="BT2829" s="331"/>
      <c r="BU2829" s="920"/>
      <c r="BV2829" s="903"/>
      <c r="BW2829" s="908"/>
      <c r="BX2829" s="908"/>
      <c r="BY2829" s="331"/>
      <c r="BZ2829" s="331"/>
      <c r="CA2829" s="462"/>
      <c r="CB2829" s="319"/>
      <c r="CC2829" s="319"/>
      <c r="CD2829" s="319"/>
      <c r="CE2829" s="319"/>
      <c r="CF2829" s="319"/>
      <c r="CG2829" s="319"/>
      <c r="CH2829" s="318"/>
      <c r="CI2829" s="319"/>
      <c r="CJ2829" s="319"/>
      <c r="CK2829" s="342"/>
      <c r="CL2829" s="333"/>
      <c r="CM2829" s="1079"/>
      <c r="CN2829" s="1005"/>
      <c r="CO2829" s="1005"/>
      <c r="CP2829" s="1005"/>
    </row>
    <row r="2830">
      <c r="A2830" s="1257"/>
      <c r="B2830" s="1113"/>
      <c r="C2830" s="1107"/>
      <c r="D2830" s="103"/>
      <c r="E2830" s="1137"/>
      <c r="F2830" s="112"/>
      <c r="G2830" s="1110"/>
      <c r="H2830" s="1138"/>
      <c r="I2830" s="1138"/>
      <c r="J2830" s="1139"/>
      <c r="K2830" s="1111"/>
      <c r="L2830" s="1112"/>
      <c r="M2830" s="1113"/>
      <c r="N2830" s="110"/>
      <c r="O2830" s="1140"/>
      <c r="P2830" s="1115"/>
      <c r="Q2830" s="1116"/>
      <c r="R2830" s="1141"/>
      <c r="S2830" s="1113"/>
      <c r="T2830" s="1143"/>
      <c r="U2830" s="1108"/>
      <c r="V2830" s="1108"/>
      <c r="W2830" s="1108"/>
      <c r="X2830" s="1108"/>
      <c r="Y2830" s="1108"/>
      <c r="Z2830" s="1114"/>
      <c r="AA2830" s="1114"/>
      <c r="AB2830" s="1114"/>
      <c r="AC2830" s="1117"/>
      <c r="AD2830" s="1115"/>
      <c r="AE2830" s="1115"/>
      <c r="AF2830" s="1115"/>
      <c r="AG2830" s="1115"/>
      <c r="AH2830" s="1115"/>
      <c r="AI2830" s="1115"/>
      <c r="AJ2830" s="1117"/>
      <c r="AK2830" s="1118"/>
      <c r="AL2830" s="1115"/>
      <c r="AM2830" s="1115"/>
      <c r="AN2830" s="1115"/>
      <c r="AO2830" s="1115"/>
      <c r="AP2830" s="1115"/>
      <c r="AQ2830" s="1115"/>
      <c r="AR2830" s="1115"/>
      <c r="AS2830" s="1117"/>
      <c r="AT2830" s="1075"/>
      <c r="AU2830" s="1193"/>
      <c r="AV2830" s="330"/>
      <c r="AW2830" s="331"/>
      <c r="AX2830" s="331"/>
      <c r="AY2830" s="331"/>
      <c r="AZ2830" s="331"/>
      <c r="BA2830" s="331"/>
      <c r="BB2830" s="331"/>
      <c r="BC2830" s="331"/>
      <c r="BD2830" s="331"/>
      <c r="BE2830" s="333"/>
      <c r="BF2830" s="330"/>
      <c r="BG2830" s="333"/>
      <c r="BH2830" s="1119"/>
      <c r="BI2830" s="319"/>
      <c r="BJ2830" s="319"/>
      <c r="BK2830" s="319"/>
      <c r="BL2830" s="319"/>
      <c r="BM2830" s="319"/>
      <c r="BN2830" s="319"/>
      <c r="BO2830" s="319"/>
      <c r="BP2830" s="953"/>
      <c r="BQ2830" s="319"/>
      <c r="BR2830" s="319"/>
      <c r="BS2830" s="330"/>
      <c r="BT2830" s="331"/>
      <c r="BU2830" s="920"/>
      <c r="BV2830" s="903"/>
      <c r="BW2830" s="908"/>
      <c r="BX2830" s="908"/>
      <c r="BY2830" s="331"/>
      <c r="BZ2830" s="331"/>
      <c r="CA2830" s="462"/>
      <c r="CB2830" s="319"/>
      <c r="CC2830" s="319"/>
      <c r="CD2830" s="319"/>
      <c r="CE2830" s="319"/>
      <c r="CF2830" s="319"/>
      <c r="CG2830" s="319"/>
      <c r="CH2830" s="318"/>
      <c r="CI2830" s="319"/>
      <c r="CJ2830" s="319"/>
      <c r="CK2830" s="342"/>
      <c r="CL2830" s="333"/>
      <c r="CM2830" s="1079"/>
      <c r="CN2830" s="1005"/>
      <c r="CO2830" s="1005"/>
      <c r="CP2830" s="1005"/>
    </row>
    <row r="2831">
      <c r="A2831" s="1257"/>
      <c r="B2831" s="1113"/>
      <c r="C2831" s="1107"/>
      <c r="D2831" s="103"/>
      <c r="E2831" s="1137"/>
      <c r="F2831" s="112"/>
      <c r="G2831" s="1110"/>
      <c r="H2831" s="1138"/>
      <c r="I2831" s="1138"/>
      <c r="J2831" s="1139"/>
      <c r="K2831" s="1111"/>
      <c r="L2831" s="1112"/>
      <c r="M2831" s="1113"/>
      <c r="N2831" s="110"/>
      <c r="O2831" s="1140"/>
      <c r="P2831" s="1115"/>
      <c r="Q2831" s="1116"/>
      <c r="R2831" s="1141"/>
      <c r="S2831" s="1113"/>
      <c r="T2831" s="1143"/>
      <c r="U2831" s="1108"/>
      <c r="V2831" s="1108"/>
      <c r="W2831" s="1108"/>
      <c r="X2831" s="1108"/>
      <c r="Y2831" s="1108"/>
      <c r="Z2831" s="1114"/>
      <c r="AA2831" s="1114"/>
      <c r="AB2831" s="1114"/>
      <c r="AC2831" s="1117"/>
      <c r="AD2831" s="1115"/>
      <c r="AE2831" s="1115"/>
      <c r="AF2831" s="1115"/>
      <c r="AG2831" s="1115"/>
      <c r="AH2831" s="1115"/>
      <c r="AI2831" s="1115"/>
      <c r="AJ2831" s="1117"/>
      <c r="AK2831" s="1118"/>
      <c r="AL2831" s="1115"/>
      <c r="AM2831" s="1115"/>
      <c r="AN2831" s="1115"/>
      <c r="AO2831" s="1115"/>
      <c r="AP2831" s="1115"/>
      <c r="AQ2831" s="1115"/>
      <c r="AR2831" s="1115"/>
      <c r="AS2831" s="1117"/>
      <c r="AT2831" s="1075"/>
      <c r="AU2831" s="1193"/>
      <c r="AV2831" s="330"/>
      <c r="AW2831" s="331"/>
      <c r="AX2831" s="331"/>
      <c r="AY2831" s="331"/>
      <c r="AZ2831" s="331"/>
      <c r="BA2831" s="331"/>
      <c r="BB2831" s="331"/>
      <c r="BC2831" s="331"/>
      <c r="BD2831" s="331"/>
      <c r="BE2831" s="333"/>
      <c r="BF2831" s="330"/>
      <c r="BG2831" s="333"/>
      <c r="BH2831" s="1119"/>
      <c r="BI2831" s="319"/>
      <c r="BJ2831" s="319"/>
      <c r="BK2831" s="319"/>
      <c r="BL2831" s="319"/>
      <c r="BM2831" s="319"/>
      <c r="BN2831" s="319"/>
      <c r="BO2831" s="319"/>
      <c r="BP2831" s="953"/>
      <c r="BQ2831" s="319"/>
      <c r="BR2831" s="319"/>
      <c r="BS2831" s="330"/>
      <c r="BT2831" s="331"/>
      <c r="BU2831" s="920"/>
      <c r="BV2831" s="903"/>
      <c r="BW2831" s="908"/>
      <c r="BX2831" s="908"/>
      <c r="BY2831" s="331"/>
      <c r="BZ2831" s="331"/>
      <c r="CA2831" s="462"/>
      <c r="CB2831" s="319"/>
      <c r="CC2831" s="319"/>
      <c r="CD2831" s="319"/>
      <c r="CE2831" s="319"/>
      <c r="CF2831" s="319"/>
      <c r="CG2831" s="319"/>
      <c r="CH2831" s="318"/>
      <c r="CI2831" s="319"/>
      <c r="CJ2831" s="319"/>
      <c r="CK2831" s="342"/>
      <c r="CL2831" s="333"/>
      <c r="CM2831" s="1079"/>
      <c r="CN2831" s="1005"/>
      <c r="CO2831" s="1005"/>
      <c r="CP2831" s="1005"/>
    </row>
    <row r="2832">
      <c r="A2832" s="1257"/>
      <c r="B2832" s="1113"/>
      <c r="C2832" s="1107"/>
      <c r="D2832" s="103"/>
      <c r="E2832" s="1137"/>
      <c r="F2832" s="112"/>
      <c r="G2832" s="1110"/>
      <c r="H2832" s="1138"/>
      <c r="I2832" s="1138"/>
      <c r="J2832" s="1139"/>
      <c r="K2832" s="1111"/>
      <c r="L2832" s="1112"/>
      <c r="M2832" s="1113"/>
      <c r="N2832" s="110"/>
      <c r="O2832" s="1140"/>
      <c r="P2832" s="1115"/>
      <c r="Q2832" s="1116"/>
      <c r="R2832" s="1141"/>
      <c r="S2832" s="1113"/>
      <c r="T2832" s="1143"/>
      <c r="U2832" s="1108"/>
      <c r="V2832" s="1108"/>
      <c r="W2832" s="1108"/>
      <c r="X2832" s="1108"/>
      <c r="Y2832" s="1108"/>
      <c r="Z2832" s="1114"/>
      <c r="AA2832" s="1114"/>
      <c r="AB2832" s="1114"/>
      <c r="AC2832" s="1117"/>
      <c r="AD2832" s="1115"/>
      <c r="AE2832" s="1115"/>
      <c r="AF2832" s="1115"/>
      <c r="AG2832" s="1115"/>
      <c r="AH2832" s="1115"/>
      <c r="AI2832" s="1115"/>
      <c r="AJ2832" s="1117"/>
      <c r="AK2832" s="1118"/>
      <c r="AL2832" s="1115"/>
      <c r="AM2832" s="1115"/>
      <c r="AN2832" s="1115"/>
      <c r="AO2832" s="1115"/>
      <c r="AP2832" s="1115"/>
      <c r="AQ2832" s="1115"/>
      <c r="AR2832" s="1115"/>
      <c r="AS2832" s="1117"/>
      <c r="AT2832" s="1075"/>
      <c r="AU2832" s="1193"/>
      <c r="AV2832" s="330"/>
      <c r="AW2832" s="331"/>
      <c r="AX2832" s="331"/>
      <c r="AY2832" s="331"/>
      <c r="AZ2832" s="331"/>
      <c r="BA2832" s="331"/>
      <c r="BB2832" s="331"/>
      <c r="BC2832" s="331"/>
      <c r="BD2832" s="331"/>
      <c r="BE2832" s="333"/>
      <c r="BF2832" s="330"/>
      <c r="BG2832" s="333"/>
      <c r="BH2832" s="1119"/>
      <c r="BI2832" s="319"/>
      <c r="BJ2832" s="319"/>
      <c r="BK2832" s="319"/>
      <c r="BL2832" s="319"/>
      <c r="BM2832" s="319"/>
      <c r="BN2832" s="319"/>
      <c r="BO2832" s="319"/>
      <c r="BP2832" s="953"/>
      <c r="BQ2832" s="319"/>
      <c r="BR2832" s="319"/>
      <c r="BS2832" s="330"/>
      <c r="BT2832" s="331"/>
      <c r="BU2832" s="920"/>
      <c r="BV2832" s="903"/>
      <c r="BW2832" s="908"/>
      <c r="BX2832" s="908"/>
      <c r="BY2832" s="331"/>
      <c r="BZ2832" s="331"/>
      <c r="CA2832" s="462"/>
      <c r="CB2832" s="319"/>
      <c r="CC2832" s="319"/>
      <c r="CD2832" s="319"/>
      <c r="CE2832" s="319"/>
      <c r="CF2832" s="319"/>
      <c r="CG2832" s="319"/>
      <c r="CH2832" s="318"/>
      <c r="CI2832" s="319"/>
      <c r="CJ2832" s="319"/>
      <c r="CK2832" s="342"/>
      <c r="CL2832" s="333"/>
      <c r="CM2832" s="1079"/>
      <c r="CN2832" s="1005"/>
      <c r="CO2832" s="1005"/>
      <c r="CP2832" s="1005"/>
    </row>
    <row r="2833">
      <c r="A2833" s="1257"/>
      <c r="B2833" s="1113"/>
      <c r="C2833" s="1107"/>
      <c r="D2833" s="103"/>
      <c r="E2833" s="1137"/>
      <c r="F2833" s="112"/>
      <c r="G2833" s="1110"/>
      <c r="H2833" s="1138"/>
      <c r="I2833" s="1138"/>
      <c r="J2833" s="1139"/>
      <c r="K2833" s="1111"/>
      <c r="L2833" s="1112"/>
      <c r="M2833" s="1113"/>
      <c r="N2833" s="110"/>
      <c r="O2833" s="1140"/>
      <c r="P2833" s="1115"/>
      <c r="Q2833" s="1116"/>
      <c r="R2833" s="1141"/>
      <c r="S2833" s="1113"/>
      <c r="T2833" s="1143"/>
      <c r="U2833" s="1108"/>
      <c r="V2833" s="1108"/>
      <c r="W2833" s="1108"/>
      <c r="X2833" s="1108"/>
      <c r="Y2833" s="1108"/>
      <c r="Z2833" s="1114"/>
      <c r="AA2833" s="1114"/>
      <c r="AB2833" s="1114"/>
      <c r="AC2833" s="1117"/>
      <c r="AD2833" s="1115"/>
      <c r="AE2833" s="1115"/>
      <c r="AF2833" s="1115"/>
      <c r="AG2833" s="1115"/>
      <c r="AH2833" s="1115"/>
      <c r="AI2833" s="1115"/>
      <c r="AJ2833" s="1117"/>
      <c r="AK2833" s="1118"/>
      <c r="AL2833" s="1115"/>
      <c r="AM2833" s="1115"/>
      <c r="AN2833" s="1115"/>
      <c r="AO2833" s="1115"/>
      <c r="AP2833" s="1115"/>
      <c r="AQ2833" s="1115"/>
      <c r="AR2833" s="1115"/>
      <c r="AS2833" s="1117"/>
      <c r="AT2833" s="1075"/>
      <c r="AU2833" s="1193"/>
      <c r="AV2833" s="330"/>
      <c r="AW2833" s="331"/>
      <c r="AX2833" s="331"/>
      <c r="AY2833" s="331"/>
      <c r="AZ2833" s="331"/>
      <c r="BA2833" s="331"/>
      <c r="BB2833" s="331"/>
      <c r="BC2833" s="331"/>
      <c r="BD2833" s="331"/>
      <c r="BE2833" s="333"/>
      <c r="BF2833" s="330"/>
      <c r="BG2833" s="333"/>
      <c r="BH2833" s="1119"/>
      <c r="BI2833" s="319"/>
      <c r="BJ2833" s="319"/>
      <c r="BK2833" s="319"/>
      <c r="BL2833" s="319"/>
      <c r="BM2833" s="319"/>
      <c r="BN2833" s="319"/>
      <c r="BO2833" s="319"/>
      <c r="BP2833" s="953"/>
      <c r="BQ2833" s="319"/>
      <c r="BR2833" s="319"/>
      <c r="BS2833" s="330"/>
      <c r="BT2833" s="331"/>
      <c r="BU2833" s="920"/>
      <c r="BV2833" s="903"/>
      <c r="BW2833" s="908"/>
      <c r="BX2833" s="908"/>
      <c r="BY2833" s="331"/>
      <c r="BZ2833" s="331"/>
      <c r="CA2833" s="462"/>
      <c r="CB2833" s="319"/>
      <c r="CC2833" s="319"/>
      <c r="CD2833" s="319"/>
      <c r="CE2833" s="319"/>
      <c r="CF2833" s="319"/>
      <c r="CG2833" s="319"/>
      <c r="CH2833" s="318"/>
      <c r="CI2833" s="319"/>
      <c r="CJ2833" s="319"/>
      <c r="CK2833" s="342"/>
      <c r="CL2833" s="333"/>
      <c r="CM2833" s="1079"/>
      <c r="CN2833" s="1005"/>
      <c r="CO2833" s="1005"/>
      <c r="CP2833" s="1005"/>
    </row>
    <row r="2834">
      <c r="A2834" s="1257"/>
      <c r="B2834" s="1113"/>
      <c r="C2834" s="1107"/>
      <c r="D2834" s="103"/>
      <c r="E2834" s="1137"/>
      <c r="F2834" s="112"/>
      <c r="G2834" s="1110"/>
      <c r="H2834" s="1138"/>
      <c r="I2834" s="1138"/>
      <c r="J2834" s="1139"/>
      <c r="K2834" s="1111"/>
      <c r="L2834" s="1112"/>
      <c r="M2834" s="1113"/>
      <c r="N2834" s="110"/>
      <c r="O2834" s="1140"/>
      <c r="P2834" s="1115"/>
      <c r="Q2834" s="1116"/>
      <c r="R2834" s="1141"/>
      <c r="S2834" s="1113"/>
      <c r="T2834" s="1143"/>
      <c r="U2834" s="1108"/>
      <c r="V2834" s="1108"/>
      <c r="W2834" s="1108"/>
      <c r="X2834" s="1108"/>
      <c r="Y2834" s="1108"/>
      <c r="Z2834" s="1114"/>
      <c r="AA2834" s="1114"/>
      <c r="AB2834" s="1114"/>
      <c r="AC2834" s="1117"/>
      <c r="AD2834" s="1115"/>
      <c r="AE2834" s="1115"/>
      <c r="AF2834" s="1115"/>
      <c r="AG2834" s="1115"/>
      <c r="AH2834" s="1115"/>
      <c r="AI2834" s="1115"/>
      <c r="AJ2834" s="1117"/>
      <c r="AK2834" s="1118"/>
      <c r="AL2834" s="1115"/>
      <c r="AM2834" s="1115"/>
      <c r="AN2834" s="1115"/>
      <c r="AO2834" s="1115"/>
      <c r="AP2834" s="1115"/>
      <c r="AQ2834" s="1115"/>
      <c r="AR2834" s="1115"/>
      <c r="AS2834" s="1117"/>
      <c r="AT2834" s="1075"/>
      <c r="AU2834" s="1193"/>
      <c r="AV2834" s="330"/>
      <c r="AW2834" s="331"/>
      <c r="AX2834" s="331"/>
      <c r="AY2834" s="331"/>
      <c r="AZ2834" s="331"/>
      <c r="BA2834" s="331"/>
      <c r="BB2834" s="331"/>
      <c r="BC2834" s="331"/>
      <c r="BD2834" s="331"/>
      <c r="BE2834" s="333"/>
      <c r="BF2834" s="330"/>
      <c r="BG2834" s="333"/>
      <c r="BH2834" s="1119"/>
      <c r="BI2834" s="319"/>
      <c r="BJ2834" s="319"/>
      <c r="BK2834" s="319"/>
      <c r="BL2834" s="319"/>
      <c r="BM2834" s="319"/>
      <c r="BN2834" s="319"/>
      <c r="BO2834" s="319"/>
      <c r="BP2834" s="953"/>
      <c r="BQ2834" s="319"/>
      <c r="BR2834" s="319"/>
      <c r="BS2834" s="330"/>
      <c r="BT2834" s="331"/>
      <c r="BU2834" s="920"/>
      <c r="BV2834" s="903"/>
      <c r="BW2834" s="908"/>
      <c r="BX2834" s="908"/>
      <c r="BY2834" s="331"/>
      <c r="BZ2834" s="331"/>
      <c r="CA2834" s="462"/>
      <c r="CB2834" s="319"/>
      <c r="CC2834" s="319"/>
      <c r="CD2834" s="319"/>
      <c r="CE2834" s="319"/>
      <c r="CF2834" s="319"/>
      <c r="CG2834" s="319"/>
      <c r="CH2834" s="318"/>
      <c r="CI2834" s="319"/>
      <c r="CJ2834" s="319"/>
      <c r="CK2834" s="342"/>
      <c r="CL2834" s="333"/>
      <c r="CM2834" s="1079"/>
      <c r="CN2834" s="1005"/>
      <c r="CO2834" s="1005"/>
      <c r="CP2834" s="1005"/>
    </row>
    <row r="2835">
      <c r="A2835" s="1257"/>
      <c r="B2835" s="1113"/>
      <c r="C2835" s="1107"/>
      <c r="D2835" s="103"/>
      <c r="E2835" s="1137"/>
      <c r="F2835" s="112"/>
      <c r="G2835" s="1110"/>
      <c r="H2835" s="1138"/>
      <c r="I2835" s="1138"/>
      <c r="J2835" s="1139"/>
      <c r="K2835" s="1111"/>
      <c r="L2835" s="1112"/>
      <c r="M2835" s="1113"/>
      <c r="N2835" s="110"/>
      <c r="O2835" s="1140"/>
      <c r="P2835" s="1115"/>
      <c r="Q2835" s="1116"/>
      <c r="R2835" s="1141"/>
      <c r="S2835" s="1113"/>
      <c r="T2835" s="1143"/>
      <c r="U2835" s="1108"/>
      <c r="V2835" s="1108"/>
      <c r="W2835" s="1108"/>
      <c r="X2835" s="1108"/>
      <c r="Y2835" s="1108"/>
      <c r="Z2835" s="1114"/>
      <c r="AA2835" s="1114"/>
      <c r="AB2835" s="1114"/>
      <c r="AC2835" s="1117"/>
      <c r="AD2835" s="1115"/>
      <c r="AE2835" s="1115"/>
      <c r="AF2835" s="1115"/>
      <c r="AG2835" s="1115"/>
      <c r="AH2835" s="1115"/>
      <c r="AI2835" s="1115"/>
      <c r="AJ2835" s="1117"/>
      <c r="AK2835" s="1118"/>
      <c r="AL2835" s="1115"/>
      <c r="AM2835" s="1115"/>
      <c r="AN2835" s="1115"/>
      <c r="AO2835" s="1115"/>
      <c r="AP2835" s="1115"/>
      <c r="AQ2835" s="1115"/>
      <c r="AR2835" s="1115"/>
      <c r="AS2835" s="1117"/>
      <c r="AT2835" s="1075"/>
      <c r="AU2835" s="1193"/>
      <c r="AV2835" s="330"/>
      <c r="AW2835" s="331"/>
      <c r="AX2835" s="331"/>
      <c r="AY2835" s="331"/>
      <c r="AZ2835" s="331"/>
      <c r="BA2835" s="331"/>
      <c r="BB2835" s="331"/>
      <c r="BC2835" s="331"/>
      <c r="BD2835" s="331"/>
      <c r="BE2835" s="333"/>
      <c r="BF2835" s="330"/>
      <c r="BG2835" s="333"/>
      <c r="BH2835" s="1119"/>
      <c r="BI2835" s="319"/>
      <c r="BJ2835" s="319"/>
      <c r="BK2835" s="319"/>
      <c r="BL2835" s="319"/>
      <c r="BM2835" s="319"/>
      <c r="BN2835" s="319"/>
      <c r="BO2835" s="319"/>
      <c r="BP2835" s="953"/>
      <c r="BQ2835" s="319"/>
      <c r="BR2835" s="319"/>
      <c r="BS2835" s="330"/>
      <c r="BT2835" s="331"/>
      <c r="BU2835" s="920"/>
      <c r="BV2835" s="903"/>
      <c r="BW2835" s="908"/>
      <c r="BX2835" s="908"/>
      <c r="BY2835" s="331"/>
      <c r="BZ2835" s="331"/>
      <c r="CA2835" s="462"/>
      <c r="CB2835" s="319"/>
      <c r="CC2835" s="319"/>
      <c r="CD2835" s="319"/>
      <c r="CE2835" s="319"/>
      <c r="CF2835" s="319"/>
      <c r="CG2835" s="319"/>
      <c r="CH2835" s="318"/>
      <c r="CI2835" s="319"/>
      <c r="CJ2835" s="319"/>
      <c r="CK2835" s="342"/>
      <c r="CL2835" s="333"/>
      <c r="CM2835" s="1079"/>
      <c r="CN2835" s="1005"/>
      <c r="CO2835" s="1005"/>
      <c r="CP2835" s="1005"/>
    </row>
    <row r="2836">
      <c r="A2836" s="1257"/>
      <c r="B2836" s="1113"/>
      <c r="C2836" s="1107"/>
      <c r="D2836" s="103"/>
      <c r="E2836" s="1137"/>
      <c r="F2836" s="112"/>
      <c r="G2836" s="1110"/>
      <c r="H2836" s="1138"/>
      <c r="I2836" s="1138"/>
      <c r="J2836" s="1139"/>
      <c r="K2836" s="1111"/>
      <c r="L2836" s="1112"/>
      <c r="M2836" s="1113"/>
      <c r="N2836" s="110"/>
      <c r="O2836" s="1140"/>
      <c r="P2836" s="1115"/>
      <c r="Q2836" s="1116"/>
      <c r="R2836" s="1141"/>
      <c r="S2836" s="1113"/>
      <c r="T2836" s="1143"/>
      <c r="U2836" s="1108"/>
      <c r="V2836" s="1108"/>
      <c r="W2836" s="1108"/>
      <c r="X2836" s="1108"/>
      <c r="Y2836" s="1108"/>
      <c r="Z2836" s="1114"/>
      <c r="AA2836" s="1114"/>
      <c r="AB2836" s="1114"/>
      <c r="AC2836" s="1117"/>
      <c r="AD2836" s="1115"/>
      <c r="AE2836" s="1115"/>
      <c r="AF2836" s="1115"/>
      <c r="AG2836" s="1115"/>
      <c r="AH2836" s="1115"/>
      <c r="AI2836" s="1115"/>
      <c r="AJ2836" s="1117"/>
      <c r="AK2836" s="1118"/>
      <c r="AL2836" s="1115"/>
      <c r="AM2836" s="1115"/>
      <c r="AN2836" s="1115"/>
      <c r="AO2836" s="1115"/>
      <c r="AP2836" s="1115"/>
      <c r="AQ2836" s="1115"/>
      <c r="AR2836" s="1115"/>
      <c r="AS2836" s="1117"/>
      <c r="AT2836" s="1075"/>
      <c r="AU2836" s="1193"/>
      <c r="AV2836" s="330"/>
      <c r="AW2836" s="331"/>
      <c r="AX2836" s="331"/>
      <c r="AY2836" s="331"/>
      <c r="AZ2836" s="331"/>
      <c r="BA2836" s="331"/>
      <c r="BB2836" s="331"/>
      <c r="BC2836" s="331"/>
      <c r="BD2836" s="331"/>
      <c r="BE2836" s="333"/>
      <c r="BF2836" s="330"/>
      <c r="BG2836" s="333"/>
      <c r="BH2836" s="1119"/>
      <c r="BI2836" s="319"/>
      <c r="BJ2836" s="319"/>
      <c r="BK2836" s="319"/>
      <c r="BL2836" s="319"/>
      <c r="BM2836" s="319"/>
      <c r="BN2836" s="319"/>
      <c r="BO2836" s="319"/>
      <c r="BP2836" s="953"/>
      <c r="BQ2836" s="319"/>
      <c r="BR2836" s="319"/>
      <c r="BS2836" s="330"/>
      <c r="BT2836" s="331"/>
      <c r="BU2836" s="920"/>
      <c r="BV2836" s="903"/>
      <c r="BW2836" s="908"/>
      <c r="BX2836" s="908"/>
      <c r="BY2836" s="331"/>
      <c r="BZ2836" s="331"/>
      <c r="CA2836" s="462"/>
      <c r="CB2836" s="319"/>
      <c r="CC2836" s="319"/>
      <c r="CD2836" s="319"/>
      <c r="CE2836" s="319"/>
      <c r="CF2836" s="319"/>
      <c r="CG2836" s="319"/>
      <c r="CH2836" s="318"/>
      <c r="CI2836" s="319"/>
      <c r="CJ2836" s="319"/>
      <c r="CK2836" s="342"/>
      <c r="CL2836" s="333"/>
      <c r="CM2836" s="1079"/>
      <c r="CN2836" s="1005"/>
      <c r="CO2836" s="1005"/>
      <c r="CP2836" s="1005"/>
    </row>
    <row r="2837">
      <c r="A2837" s="1257"/>
      <c r="B2837" s="1113"/>
      <c r="C2837" s="1107"/>
      <c r="D2837" s="103"/>
      <c r="E2837" s="1137"/>
      <c r="F2837" s="112"/>
      <c r="G2837" s="1110"/>
      <c r="H2837" s="1138"/>
      <c r="I2837" s="1138"/>
      <c r="J2837" s="1139"/>
      <c r="K2837" s="1111"/>
      <c r="L2837" s="1112"/>
      <c r="M2837" s="1113"/>
      <c r="N2837" s="110"/>
      <c r="O2837" s="1140"/>
      <c r="P2837" s="1115"/>
      <c r="Q2837" s="1116"/>
      <c r="R2837" s="1141"/>
      <c r="S2837" s="1113"/>
      <c r="T2837" s="1143"/>
      <c r="U2837" s="1108"/>
      <c r="V2837" s="1108"/>
      <c r="W2837" s="1108"/>
      <c r="X2837" s="1108"/>
      <c r="Y2837" s="1108"/>
      <c r="Z2837" s="1114"/>
      <c r="AA2837" s="1114"/>
      <c r="AB2837" s="1114"/>
      <c r="AC2837" s="1117"/>
      <c r="AD2837" s="1115"/>
      <c r="AE2837" s="1115"/>
      <c r="AF2837" s="1115"/>
      <c r="AG2837" s="1115"/>
      <c r="AH2837" s="1115"/>
      <c r="AI2837" s="1115"/>
      <c r="AJ2837" s="1117"/>
      <c r="AK2837" s="1118"/>
      <c r="AL2837" s="1115"/>
      <c r="AM2837" s="1115"/>
      <c r="AN2837" s="1115"/>
      <c r="AO2837" s="1115"/>
      <c r="AP2837" s="1115"/>
      <c r="AQ2837" s="1115"/>
      <c r="AR2837" s="1115"/>
      <c r="AS2837" s="1117"/>
      <c r="AT2837" s="1075"/>
      <c r="AU2837" s="1193"/>
      <c r="AV2837" s="330"/>
      <c r="AW2837" s="331"/>
      <c r="AX2837" s="331"/>
      <c r="AY2837" s="331"/>
      <c r="AZ2837" s="331"/>
      <c r="BA2837" s="331"/>
      <c r="BB2837" s="331"/>
      <c r="BC2837" s="331"/>
      <c r="BD2837" s="331"/>
      <c r="BE2837" s="333"/>
      <c r="BF2837" s="330"/>
      <c r="BG2837" s="333"/>
      <c r="BH2837" s="1119"/>
      <c r="BI2837" s="319"/>
      <c r="BJ2837" s="319"/>
      <c r="BK2837" s="319"/>
      <c r="BL2837" s="319"/>
      <c r="BM2837" s="319"/>
      <c r="BN2837" s="319"/>
      <c r="BO2837" s="319"/>
      <c r="BP2837" s="953"/>
      <c r="BQ2837" s="319"/>
      <c r="BR2837" s="319"/>
      <c r="BS2837" s="330"/>
      <c r="BT2837" s="331"/>
      <c r="BU2837" s="920"/>
      <c r="BV2837" s="903"/>
      <c r="BW2837" s="908"/>
      <c r="BX2837" s="908"/>
      <c r="BY2837" s="331"/>
      <c r="BZ2837" s="331"/>
      <c r="CA2837" s="462"/>
      <c r="CB2837" s="319"/>
      <c r="CC2837" s="319"/>
      <c r="CD2837" s="319"/>
      <c r="CE2837" s="319"/>
      <c r="CF2837" s="319"/>
      <c r="CG2837" s="319"/>
      <c r="CH2837" s="318"/>
      <c r="CI2837" s="319"/>
      <c r="CJ2837" s="319"/>
      <c r="CK2837" s="342"/>
      <c r="CL2837" s="333"/>
      <c r="CM2837" s="1079"/>
      <c r="CN2837" s="1005"/>
      <c r="CO2837" s="1005"/>
      <c r="CP2837" s="1005"/>
    </row>
    <row r="2838">
      <c r="A2838" s="1257"/>
      <c r="B2838" s="1113"/>
      <c r="C2838" s="1107"/>
      <c r="D2838" s="103"/>
      <c r="E2838" s="1137"/>
      <c r="F2838" s="112"/>
      <c r="G2838" s="1110"/>
      <c r="H2838" s="1138"/>
      <c r="I2838" s="1138"/>
      <c r="J2838" s="1139"/>
      <c r="K2838" s="1111"/>
      <c r="L2838" s="1112"/>
      <c r="M2838" s="1113"/>
      <c r="N2838" s="110"/>
      <c r="O2838" s="1140"/>
      <c r="P2838" s="1115"/>
      <c r="Q2838" s="1116"/>
      <c r="R2838" s="1141"/>
      <c r="S2838" s="1113"/>
      <c r="T2838" s="1143"/>
      <c r="U2838" s="1108"/>
      <c r="V2838" s="1108"/>
      <c r="W2838" s="1108"/>
      <c r="X2838" s="1108"/>
      <c r="Y2838" s="1108"/>
      <c r="Z2838" s="1114"/>
      <c r="AA2838" s="1114"/>
      <c r="AB2838" s="1114"/>
      <c r="AC2838" s="1117"/>
      <c r="AD2838" s="1115"/>
      <c r="AE2838" s="1115"/>
      <c r="AF2838" s="1115"/>
      <c r="AG2838" s="1115"/>
      <c r="AH2838" s="1115"/>
      <c r="AI2838" s="1115"/>
      <c r="AJ2838" s="1117"/>
      <c r="AK2838" s="1118"/>
      <c r="AL2838" s="1115"/>
      <c r="AM2838" s="1115"/>
      <c r="AN2838" s="1115"/>
      <c r="AO2838" s="1115"/>
      <c r="AP2838" s="1115"/>
      <c r="AQ2838" s="1115"/>
      <c r="AR2838" s="1115"/>
      <c r="AS2838" s="1117"/>
      <c r="AT2838" s="1075"/>
      <c r="AU2838" s="1193"/>
      <c r="AV2838" s="330"/>
      <c r="AW2838" s="331"/>
      <c r="AX2838" s="331"/>
      <c r="AY2838" s="331"/>
      <c r="AZ2838" s="331"/>
      <c r="BA2838" s="331"/>
      <c r="BB2838" s="331"/>
      <c r="BC2838" s="331"/>
      <c r="BD2838" s="331"/>
      <c r="BE2838" s="333"/>
      <c r="BF2838" s="330"/>
      <c r="BG2838" s="333"/>
      <c r="BH2838" s="1119"/>
      <c r="BI2838" s="319"/>
      <c r="BJ2838" s="319"/>
      <c r="BK2838" s="319"/>
      <c r="BL2838" s="319"/>
      <c r="BM2838" s="319"/>
      <c r="BN2838" s="319"/>
      <c r="BO2838" s="319"/>
      <c r="BP2838" s="953"/>
      <c r="BQ2838" s="319"/>
      <c r="BR2838" s="319"/>
      <c r="BS2838" s="330"/>
      <c r="BT2838" s="331"/>
      <c r="BU2838" s="920"/>
      <c r="BV2838" s="903"/>
      <c r="BW2838" s="908"/>
      <c r="BX2838" s="908"/>
      <c r="BY2838" s="331"/>
      <c r="BZ2838" s="331"/>
      <c r="CA2838" s="462"/>
      <c r="CB2838" s="319"/>
      <c r="CC2838" s="319"/>
      <c r="CD2838" s="319"/>
      <c r="CE2838" s="319"/>
      <c r="CF2838" s="319"/>
      <c r="CG2838" s="319"/>
      <c r="CH2838" s="318"/>
      <c r="CI2838" s="319"/>
      <c r="CJ2838" s="319"/>
      <c r="CK2838" s="342"/>
      <c r="CL2838" s="333"/>
      <c r="CM2838" s="1079"/>
      <c r="CN2838" s="1005"/>
      <c r="CO2838" s="1005"/>
      <c r="CP2838" s="1005"/>
    </row>
    <row r="2839">
      <c r="A2839" s="1257"/>
      <c r="B2839" s="1113"/>
      <c r="C2839" s="1107"/>
      <c r="D2839" s="103"/>
      <c r="E2839" s="1137"/>
      <c r="F2839" s="112"/>
      <c r="G2839" s="1110"/>
      <c r="H2839" s="1138"/>
      <c r="I2839" s="1138"/>
      <c r="J2839" s="1139"/>
      <c r="K2839" s="1111"/>
      <c r="L2839" s="1112"/>
      <c r="M2839" s="1113"/>
      <c r="N2839" s="110"/>
      <c r="O2839" s="1140"/>
      <c r="P2839" s="1115"/>
      <c r="Q2839" s="1116"/>
      <c r="R2839" s="1141"/>
      <c r="S2839" s="1113"/>
      <c r="T2839" s="1143"/>
      <c r="U2839" s="1108"/>
      <c r="V2839" s="1108"/>
      <c r="W2839" s="1108"/>
      <c r="X2839" s="1108"/>
      <c r="Y2839" s="1108"/>
      <c r="Z2839" s="1114"/>
      <c r="AA2839" s="1114"/>
      <c r="AB2839" s="1114"/>
      <c r="AC2839" s="1117"/>
      <c r="AD2839" s="1115"/>
      <c r="AE2839" s="1115"/>
      <c r="AF2839" s="1115"/>
      <c r="AG2839" s="1115"/>
      <c r="AH2839" s="1115"/>
      <c r="AI2839" s="1115"/>
      <c r="AJ2839" s="1117"/>
      <c r="AK2839" s="1118"/>
      <c r="AL2839" s="1115"/>
      <c r="AM2839" s="1115"/>
      <c r="AN2839" s="1115"/>
      <c r="AO2839" s="1115"/>
      <c r="AP2839" s="1115"/>
      <c r="AQ2839" s="1115"/>
      <c r="AR2839" s="1115"/>
      <c r="AS2839" s="1117"/>
      <c r="AT2839" s="1075"/>
      <c r="AU2839" s="1193"/>
      <c r="AV2839" s="330"/>
      <c r="AW2839" s="331"/>
      <c r="AX2839" s="331"/>
      <c r="AY2839" s="331"/>
      <c r="AZ2839" s="331"/>
      <c r="BA2839" s="331"/>
      <c r="BB2839" s="331"/>
      <c r="BC2839" s="331"/>
      <c r="BD2839" s="331"/>
      <c r="BE2839" s="333"/>
      <c r="BF2839" s="330"/>
      <c r="BG2839" s="333"/>
      <c r="BH2839" s="1119"/>
      <c r="BI2839" s="319"/>
      <c r="BJ2839" s="319"/>
      <c r="BK2839" s="319"/>
      <c r="BL2839" s="319"/>
      <c r="BM2839" s="319"/>
      <c r="BN2839" s="319"/>
      <c r="BO2839" s="319"/>
      <c r="BP2839" s="953"/>
      <c r="BQ2839" s="319"/>
      <c r="BR2839" s="319"/>
      <c r="BS2839" s="330"/>
      <c r="BT2839" s="331"/>
      <c r="BU2839" s="920"/>
      <c r="BV2839" s="903"/>
      <c r="BW2839" s="908"/>
      <c r="BX2839" s="908"/>
      <c r="BY2839" s="331"/>
      <c r="BZ2839" s="331"/>
      <c r="CA2839" s="462"/>
      <c r="CB2839" s="319"/>
      <c r="CC2839" s="319"/>
      <c r="CD2839" s="319"/>
      <c r="CE2839" s="319"/>
      <c r="CF2839" s="319"/>
      <c r="CG2839" s="319"/>
      <c r="CH2839" s="318"/>
      <c r="CI2839" s="319"/>
      <c r="CJ2839" s="319"/>
      <c r="CK2839" s="342"/>
      <c r="CL2839" s="333"/>
      <c r="CM2839" s="1079"/>
      <c r="CN2839" s="1005"/>
      <c r="CO2839" s="1005"/>
      <c r="CP2839" s="1005"/>
    </row>
    <row r="2840">
      <c r="A2840" s="1257"/>
      <c r="B2840" s="1113"/>
      <c r="C2840" s="1107"/>
      <c r="D2840" s="103"/>
      <c r="E2840" s="1137"/>
      <c r="F2840" s="112"/>
      <c r="G2840" s="1110"/>
      <c r="H2840" s="1138"/>
      <c r="I2840" s="1138"/>
      <c r="J2840" s="1139"/>
      <c r="K2840" s="1111"/>
      <c r="L2840" s="1112"/>
      <c r="M2840" s="1113"/>
      <c r="N2840" s="110"/>
      <c r="O2840" s="1140"/>
      <c r="P2840" s="1115"/>
      <c r="Q2840" s="1116"/>
      <c r="R2840" s="1141"/>
      <c r="S2840" s="1113"/>
      <c r="T2840" s="1143"/>
      <c r="U2840" s="1108"/>
      <c r="V2840" s="1108"/>
      <c r="W2840" s="1108"/>
      <c r="X2840" s="1108"/>
      <c r="Y2840" s="1108"/>
      <c r="Z2840" s="1114"/>
      <c r="AA2840" s="1114"/>
      <c r="AB2840" s="1114"/>
      <c r="AC2840" s="1117"/>
      <c r="AD2840" s="1115"/>
      <c r="AE2840" s="1115"/>
      <c r="AF2840" s="1115"/>
      <c r="AG2840" s="1115"/>
      <c r="AH2840" s="1115"/>
      <c r="AI2840" s="1115"/>
      <c r="AJ2840" s="1117"/>
      <c r="AK2840" s="1118"/>
      <c r="AL2840" s="1115"/>
      <c r="AM2840" s="1115"/>
      <c r="AN2840" s="1115"/>
      <c r="AO2840" s="1115"/>
      <c r="AP2840" s="1115"/>
      <c r="AQ2840" s="1115"/>
      <c r="AR2840" s="1115"/>
      <c r="AS2840" s="1117"/>
      <c r="AT2840" s="1075"/>
      <c r="AU2840" s="1193"/>
      <c r="AV2840" s="330"/>
      <c r="AW2840" s="331"/>
      <c r="AX2840" s="331"/>
      <c r="AY2840" s="331"/>
      <c r="AZ2840" s="331"/>
      <c r="BA2840" s="331"/>
      <c r="BB2840" s="331"/>
      <c r="BC2840" s="331"/>
      <c r="BD2840" s="331"/>
      <c r="BE2840" s="333"/>
      <c r="BF2840" s="330"/>
      <c r="BG2840" s="333"/>
      <c r="BH2840" s="1119"/>
      <c r="BI2840" s="319"/>
      <c r="BJ2840" s="319"/>
      <c r="BK2840" s="319"/>
      <c r="BL2840" s="319"/>
      <c r="BM2840" s="319"/>
      <c r="BN2840" s="319"/>
      <c r="BO2840" s="319"/>
      <c r="BP2840" s="953"/>
      <c r="BQ2840" s="319"/>
      <c r="BR2840" s="319"/>
      <c r="BS2840" s="330"/>
      <c r="BT2840" s="331"/>
      <c r="BU2840" s="920"/>
      <c r="BV2840" s="903"/>
      <c r="BW2840" s="908"/>
      <c r="BX2840" s="908"/>
      <c r="BY2840" s="331"/>
      <c r="BZ2840" s="331"/>
      <c r="CA2840" s="462"/>
      <c r="CB2840" s="319"/>
      <c r="CC2840" s="319"/>
      <c r="CD2840" s="319"/>
      <c r="CE2840" s="319"/>
      <c r="CF2840" s="319"/>
      <c r="CG2840" s="319"/>
      <c r="CH2840" s="318"/>
      <c r="CI2840" s="319"/>
      <c r="CJ2840" s="319"/>
      <c r="CK2840" s="342"/>
      <c r="CL2840" s="333"/>
      <c r="CM2840" s="1079"/>
      <c r="CN2840" s="1005"/>
      <c r="CO2840" s="1005"/>
      <c r="CP2840" s="1005"/>
    </row>
    <row r="2841">
      <c r="A2841" s="1257"/>
      <c r="B2841" s="1113"/>
      <c r="C2841" s="1107"/>
      <c r="D2841" s="103"/>
      <c r="E2841" s="1137"/>
      <c r="F2841" s="112"/>
      <c r="G2841" s="1110"/>
      <c r="H2841" s="1138"/>
      <c r="I2841" s="1138"/>
      <c r="J2841" s="1139"/>
      <c r="K2841" s="1111"/>
      <c r="L2841" s="1112"/>
      <c r="M2841" s="1113"/>
      <c r="N2841" s="110"/>
      <c r="O2841" s="1140"/>
      <c r="P2841" s="1115"/>
      <c r="Q2841" s="1116"/>
      <c r="R2841" s="1141"/>
      <c r="S2841" s="1113"/>
      <c r="T2841" s="1143"/>
      <c r="U2841" s="1108"/>
      <c r="V2841" s="1108"/>
      <c r="W2841" s="1108"/>
      <c r="X2841" s="1108"/>
      <c r="Y2841" s="1108"/>
      <c r="Z2841" s="1114"/>
      <c r="AA2841" s="1114"/>
      <c r="AB2841" s="1114"/>
      <c r="AC2841" s="1117"/>
      <c r="AD2841" s="1115"/>
      <c r="AE2841" s="1115"/>
      <c r="AF2841" s="1115"/>
      <c r="AG2841" s="1115"/>
      <c r="AH2841" s="1115"/>
      <c r="AI2841" s="1115"/>
      <c r="AJ2841" s="1117"/>
      <c r="AK2841" s="1118"/>
      <c r="AL2841" s="1115"/>
      <c r="AM2841" s="1115"/>
      <c r="AN2841" s="1115"/>
      <c r="AO2841" s="1115"/>
      <c r="AP2841" s="1115"/>
      <c r="AQ2841" s="1115"/>
      <c r="AR2841" s="1115"/>
      <c r="AS2841" s="1117"/>
      <c r="AT2841" s="1075"/>
      <c r="AU2841" s="1193"/>
      <c r="AV2841" s="330"/>
      <c r="AW2841" s="331"/>
      <c r="AX2841" s="331"/>
      <c r="AY2841" s="331"/>
      <c r="AZ2841" s="331"/>
      <c r="BA2841" s="331"/>
      <c r="BB2841" s="331"/>
      <c r="BC2841" s="331"/>
      <c r="BD2841" s="331"/>
      <c r="BE2841" s="333"/>
      <c r="BF2841" s="330"/>
      <c r="BG2841" s="333"/>
      <c r="BH2841" s="1119"/>
      <c r="BI2841" s="319"/>
      <c r="BJ2841" s="319"/>
      <c r="BK2841" s="319"/>
      <c r="BL2841" s="319"/>
      <c r="BM2841" s="319"/>
      <c r="BN2841" s="319"/>
      <c r="BO2841" s="319"/>
      <c r="BP2841" s="953"/>
      <c r="BQ2841" s="319"/>
      <c r="BR2841" s="319"/>
      <c r="BS2841" s="330"/>
      <c r="BT2841" s="331"/>
      <c r="BU2841" s="920"/>
      <c r="BV2841" s="903"/>
      <c r="BW2841" s="908"/>
      <c r="BX2841" s="908"/>
      <c r="BY2841" s="331"/>
      <c r="BZ2841" s="331"/>
      <c r="CA2841" s="462"/>
      <c r="CB2841" s="319"/>
      <c r="CC2841" s="319"/>
      <c r="CD2841" s="319"/>
      <c r="CE2841" s="319"/>
      <c r="CF2841" s="319"/>
      <c r="CG2841" s="319"/>
      <c r="CH2841" s="318"/>
      <c r="CI2841" s="319"/>
      <c r="CJ2841" s="319"/>
      <c r="CK2841" s="342"/>
      <c r="CL2841" s="333"/>
      <c r="CM2841" s="1079"/>
      <c r="CN2841" s="1005"/>
      <c r="CO2841" s="1005"/>
      <c r="CP2841" s="1005"/>
    </row>
    <row r="2842">
      <c r="A2842" s="1257"/>
      <c r="B2842" s="1113"/>
      <c r="C2842" s="1107"/>
      <c r="D2842" s="103"/>
      <c r="E2842" s="1137"/>
      <c r="F2842" s="112"/>
      <c r="G2842" s="1110"/>
      <c r="H2842" s="1138"/>
      <c r="I2842" s="1138"/>
      <c r="J2842" s="1139"/>
      <c r="K2842" s="1111"/>
      <c r="L2842" s="1112"/>
      <c r="M2842" s="1113"/>
      <c r="N2842" s="110"/>
      <c r="O2842" s="1140"/>
      <c r="P2842" s="1115"/>
      <c r="Q2842" s="1116"/>
      <c r="R2842" s="1141"/>
      <c r="S2842" s="1113"/>
      <c r="T2842" s="1143"/>
      <c r="U2842" s="1108"/>
      <c r="V2842" s="1108"/>
      <c r="W2842" s="1108"/>
      <c r="X2842" s="1108"/>
      <c r="Y2842" s="1108"/>
      <c r="Z2842" s="1114"/>
      <c r="AA2842" s="1114"/>
      <c r="AB2842" s="1114"/>
      <c r="AC2842" s="1117"/>
      <c r="AD2842" s="1115"/>
      <c r="AE2842" s="1115"/>
      <c r="AF2842" s="1115"/>
      <c r="AG2842" s="1115"/>
      <c r="AH2842" s="1115"/>
      <c r="AI2842" s="1115"/>
      <c r="AJ2842" s="1117"/>
      <c r="AK2842" s="1118"/>
      <c r="AL2842" s="1115"/>
      <c r="AM2842" s="1115"/>
      <c r="AN2842" s="1115"/>
      <c r="AO2842" s="1115"/>
      <c r="AP2842" s="1115"/>
      <c r="AQ2842" s="1115"/>
      <c r="AR2842" s="1115"/>
      <c r="AS2842" s="1117"/>
      <c r="AT2842" s="1075"/>
      <c r="AU2842" s="1193"/>
      <c r="AV2842" s="330"/>
      <c r="AW2842" s="331"/>
      <c r="AX2842" s="331"/>
      <c r="AY2842" s="331"/>
      <c r="AZ2842" s="331"/>
      <c r="BA2842" s="331"/>
      <c r="BB2842" s="331"/>
      <c r="BC2842" s="331"/>
      <c r="BD2842" s="331"/>
      <c r="BE2842" s="333"/>
      <c r="BF2842" s="330"/>
      <c r="BG2842" s="333"/>
      <c r="BH2842" s="1119"/>
      <c r="BI2842" s="319"/>
      <c r="BJ2842" s="319"/>
      <c r="BK2842" s="319"/>
      <c r="BL2842" s="319"/>
      <c r="BM2842" s="319"/>
      <c r="BN2842" s="319"/>
      <c r="BO2842" s="319"/>
      <c r="BP2842" s="953"/>
      <c r="BQ2842" s="319"/>
      <c r="BR2842" s="319"/>
      <c r="BS2842" s="330"/>
      <c r="BT2842" s="331"/>
      <c r="BU2842" s="920"/>
      <c r="BV2842" s="903"/>
      <c r="BW2842" s="908"/>
      <c r="BX2842" s="908"/>
      <c r="BY2842" s="331"/>
      <c r="BZ2842" s="331"/>
      <c r="CA2842" s="462"/>
      <c r="CB2842" s="319"/>
      <c r="CC2842" s="319"/>
      <c r="CD2842" s="319"/>
      <c r="CE2842" s="319"/>
      <c r="CF2842" s="319"/>
      <c r="CG2842" s="319"/>
      <c r="CH2842" s="318"/>
      <c r="CI2842" s="319"/>
      <c r="CJ2842" s="319"/>
      <c r="CK2842" s="342"/>
      <c r="CL2842" s="333"/>
      <c r="CM2842" s="1079"/>
      <c r="CN2842" s="1005"/>
      <c r="CO2842" s="1005"/>
      <c r="CP2842" s="1005"/>
    </row>
    <row r="2843">
      <c r="A2843" s="1257"/>
      <c r="B2843" s="1113"/>
      <c r="C2843" s="1107"/>
      <c r="D2843" s="103"/>
      <c r="E2843" s="1137"/>
      <c r="F2843" s="112"/>
      <c r="G2843" s="1110"/>
      <c r="H2843" s="1138"/>
      <c r="I2843" s="1138"/>
      <c r="J2843" s="1139"/>
      <c r="K2843" s="1111"/>
      <c r="L2843" s="1112"/>
      <c r="M2843" s="1113"/>
      <c r="N2843" s="110"/>
      <c r="O2843" s="1140"/>
      <c r="P2843" s="1115"/>
      <c r="Q2843" s="1116"/>
      <c r="R2843" s="1141"/>
      <c r="S2843" s="1113"/>
      <c r="T2843" s="1143"/>
      <c r="U2843" s="1108"/>
      <c r="V2843" s="1108"/>
      <c r="W2843" s="1108"/>
      <c r="X2843" s="1108"/>
      <c r="Y2843" s="1108"/>
      <c r="Z2843" s="1114"/>
      <c r="AA2843" s="1114"/>
      <c r="AB2843" s="1114"/>
      <c r="AC2843" s="1117"/>
      <c r="AD2843" s="1115"/>
      <c r="AE2843" s="1115"/>
      <c r="AF2843" s="1115"/>
      <c r="AG2843" s="1115"/>
      <c r="AH2843" s="1115"/>
      <c r="AI2843" s="1115"/>
      <c r="AJ2843" s="1117"/>
      <c r="AK2843" s="1118"/>
      <c r="AL2843" s="1115"/>
      <c r="AM2843" s="1115"/>
      <c r="AN2843" s="1115"/>
      <c r="AO2843" s="1115"/>
      <c r="AP2843" s="1115"/>
      <c r="AQ2843" s="1115"/>
      <c r="AR2843" s="1115"/>
      <c r="AS2843" s="1117"/>
      <c r="AT2843" s="1075"/>
      <c r="AU2843" s="1193"/>
      <c r="AV2843" s="330"/>
      <c r="AW2843" s="331"/>
      <c r="AX2843" s="331"/>
      <c r="AY2843" s="331"/>
      <c r="AZ2843" s="331"/>
      <c r="BA2843" s="331"/>
      <c r="BB2843" s="331"/>
      <c r="BC2843" s="331"/>
      <c r="BD2843" s="331"/>
      <c r="BE2843" s="333"/>
      <c r="BF2843" s="330"/>
      <c r="BG2843" s="333"/>
      <c r="BH2843" s="1119"/>
      <c r="BI2843" s="319"/>
      <c r="BJ2843" s="319"/>
      <c r="BK2843" s="319"/>
      <c r="BL2843" s="319"/>
      <c r="BM2843" s="319"/>
      <c r="BN2843" s="319"/>
      <c r="BO2843" s="319"/>
      <c r="BP2843" s="953"/>
      <c r="BQ2843" s="319"/>
      <c r="BR2843" s="319"/>
      <c r="BS2843" s="330"/>
      <c r="BT2843" s="331"/>
      <c r="BU2843" s="920"/>
      <c r="BV2843" s="903"/>
      <c r="BW2843" s="908"/>
      <c r="BX2843" s="908"/>
      <c r="BY2843" s="331"/>
      <c r="BZ2843" s="331"/>
      <c r="CA2843" s="462"/>
      <c r="CB2843" s="319"/>
      <c r="CC2843" s="319"/>
      <c r="CD2843" s="319"/>
      <c r="CE2843" s="319"/>
      <c r="CF2843" s="319"/>
      <c r="CG2843" s="319"/>
      <c r="CH2843" s="318"/>
      <c r="CI2843" s="319"/>
      <c r="CJ2843" s="319"/>
      <c r="CK2843" s="342"/>
      <c r="CL2843" s="333"/>
      <c r="CM2843" s="1079"/>
      <c r="CN2843" s="1005"/>
      <c r="CO2843" s="1005"/>
      <c r="CP2843" s="1005"/>
    </row>
    <row r="2844">
      <c r="A2844" s="1257"/>
      <c r="B2844" s="1113"/>
      <c r="C2844" s="1107"/>
      <c r="D2844" s="103"/>
      <c r="E2844" s="1137"/>
      <c r="F2844" s="112"/>
      <c r="G2844" s="1110"/>
      <c r="H2844" s="1138"/>
      <c r="I2844" s="1138"/>
      <c r="J2844" s="1139"/>
      <c r="K2844" s="1111"/>
      <c r="L2844" s="1112"/>
      <c r="M2844" s="1113"/>
      <c r="N2844" s="110"/>
      <c r="O2844" s="1140"/>
      <c r="P2844" s="1115"/>
      <c r="Q2844" s="1116"/>
      <c r="R2844" s="1141"/>
      <c r="S2844" s="1113"/>
      <c r="T2844" s="1143"/>
      <c r="U2844" s="1108"/>
      <c r="V2844" s="1108"/>
      <c r="W2844" s="1108"/>
      <c r="X2844" s="1108"/>
      <c r="Y2844" s="1108"/>
      <c r="Z2844" s="1114"/>
      <c r="AA2844" s="1114"/>
      <c r="AB2844" s="1114"/>
      <c r="AC2844" s="1117"/>
      <c r="AD2844" s="1115"/>
      <c r="AE2844" s="1115"/>
      <c r="AF2844" s="1115"/>
      <c r="AG2844" s="1115"/>
      <c r="AH2844" s="1115"/>
      <c r="AI2844" s="1115"/>
      <c r="AJ2844" s="1117"/>
      <c r="AK2844" s="1118"/>
      <c r="AL2844" s="1115"/>
      <c r="AM2844" s="1115"/>
      <c r="AN2844" s="1115"/>
      <c r="AO2844" s="1115"/>
      <c r="AP2844" s="1115"/>
      <c r="AQ2844" s="1115"/>
      <c r="AR2844" s="1115"/>
      <c r="AS2844" s="1117"/>
      <c r="AT2844" s="1075"/>
      <c r="AU2844" s="1193"/>
      <c r="AV2844" s="330"/>
      <c r="AW2844" s="331"/>
      <c r="AX2844" s="331"/>
      <c r="AY2844" s="331"/>
      <c r="AZ2844" s="331"/>
      <c r="BA2844" s="331"/>
      <c r="BB2844" s="331"/>
      <c r="BC2844" s="331"/>
      <c r="BD2844" s="331"/>
      <c r="BE2844" s="333"/>
      <c r="BF2844" s="330"/>
      <c r="BG2844" s="333"/>
      <c r="BH2844" s="1119"/>
      <c r="BI2844" s="319"/>
      <c r="BJ2844" s="319"/>
      <c r="BK2844" s="319"/>
      <c r="BL2844" s="319"/>
      <c r="BM2844" s="319"/>
      <c r="BN2844" s="319"/>
      <c r="BO2844" s="319"/>
      <c r="BP2844" s="953"/>
      <c r="BQ2844" s="319"/>
      <c r="BR2844" s="319"/>
      <c r="BS2844" s="330"/>
      <c r="BT2844" s="331"/>
      <c r="BU2844" s="920"/>
      <c r="BV2844" s="903"/>
      <c r="BW2844" s="908"/>
      <c r="BX2844" s="908"/>
      <c r="BY2844" s="331"/>
      <c r="BZ2844" s="331"/>
      <c r="CA2844" s="462"/>
      <c r="CB2844" s="319"/>
      <c r="CC2844" s="319"/>
      <c r="CD2844" s="319"/>
      <c r="CE2844" s="319"/>
      <c r="CF2844" s="319"/>
      <c r="CG2844" s="319"/>
      <c r="CH2844" s="318"/>
      <c r="CI2844" s="319"/>
      <c r="CJ2844" s="319"/>
      <c r="CK2844" s="342"/>
      <c r="CL2844" s="333"/>
      <c r="CM2844" s="1079"/>
      <c r="CN2844" s="1005"/>
      <c r="CO2844" s="1005"/>
      <c r="CP2844" s="1005"/>
    </row>
    <row r="2845">
      <c r="A2845" s="1257"/>
      <c r="B2845" s="1113"/>
      <c r="C2845" s="1107"/>
      <c r="D2845" s="103"/>
      <c r="E2845" s="1137"/>
      <c r="F2845" s="112"/>
      <c r="G2845" s="1110"/>
      <c r="H2845" s="1138"/>
      <c r="I2845" s="1138"/>
      <c r="J2845" s="1139"/>
      <c r="K2845" s="1111"/>
      <c r="L2845" s="1112"/>
      <c r="M2845" s="1113"/>
      <c r="N2845" s="110"/>
      <c r="O2845" s="1140"/>
      <c r="P2845" s="1115"/>
      <c r="Q2845" s="1116"/>
      <c r="R2845" s="1141"/>
      <c r="S2845" s="1113"/>
      <c r="T2845" s="1143"/>
      <c r="U2845" s="1108"/>
      <c r="V2845" s="1108"/>
      <c r="W2845" s="1108"/>
      <c r="X2845" s="1108"/>
      <c r="Y2845" s="1108"/>
      <c r="Z2845" s="1114"/>
      <c r="AA2845" s="1114"/>
      <c r="AB2845" s="1114"/>
      <c r="AC2845" s="1117"/>
      <c r="AD2845" s="1115"/>
      <c r="AE2845" s="1115"/>
      <c r="AF2845" s="1115"/>
      <c r="AG2845" s="1115"/>
      <c r="AH2845" s="1115"/>
      <c r="AI2845" s="1115"/>
      <c r="AJ2845" s="1117"/>
      <c r="AK2845" s="1118"/>
      <c r="AL2845" s="1115"/>
      <c r="AM2845" s="1115"/>
      <c r="AN2845" s="1115"/>
      <c r="AO2845" s="1115"/>
      <c r="AP2845" s="1115"/>
      <c r="AQ2845" s="1115"/>
      <c r="AR2845" s="1115"/>
      <c r="AS2845" s="1117"/>
      <c r="AT2845" s="1075"/>
      <c r="AU2845" s="1193"/>
      <c r="AV2845" s="330"/>
      <c r="AW2845" s="331"/>
      <c r="AX2845" s="331"/>
      <c r="AY2845" s="331"/>
      <c r="AZ2845" s="331"/>
      <c r="BA2845" s="331"/>
      <c r="BB2845" s="331"/>
      <c r="BC2845" s="331"/>
      <c r="BD2845" s="331"/>
      <c r="BE2845" s="333"/>
      <c r="BF2845" s="330"/>
      <c r="BG2845" s="333"/>
      <c r="BH2845" s="1119"/>
      <c r="BI2845" s="319"/>
      <c r="BJ2845" s="319"/>
      <c r="BK2845" s="319"/>
      <c r="BL2845" s="319"/>
      <c r="BM2845" s="319"/>
      <c r="BN2845" s="319"/>
      <c r="BO2845" s="319"/>
      <c r="BP2845" s="953"/>
      <c r="BQ2845" s="319"/>
      <c r="BR2845" s="319"/>
      <c r="BS2845" s="330"/>
      <c r="BT2845" s="331"/>
      <c r="BU2845" s="920"/>
      <c r="BV2845" s="903"/>
      <c r="BW2845" s="908"/>
      <c r="BX2845" s="908"/>
      <c r="BY2845" s="331"/>
      <c r="BZ2845" s="331"/>
      <c r="CA2845" s="462"/>
      <c r="CB2845" s="319"/>
      <c r="CC2845" s="319"/>
      <c r="CD2845" s="319"/>
      <c r="CE2845" s="319"/>
      <c r="CF2845" s="319"/>
      <c r="CG2845" s="319"/>
      <c r="CH2845" s="318"/>
      <c r="CI2845" s="319"/>
      <c r="CJ2845" s="319"/>
      <c r="CK2845" s="342"/>
      <c r="CL2845" s="333"/>
      <c r="CM2845" s="1079"/>
      <c r="CN2845" s="1005"/>
      <c r="CO2845" s="1005"/>
      <c r="CP2845" s="1005"/>
    </row>
    <row r="2846">
      <c r="A2846" s="1257"/>
      <c r="B2846" s="1113"/>
      <c r="C2846" s="1107"/>
      <c r="D2846" s="103"/>
      <c r="E2846" s="1137"/>
      <c r="F2846" s="112"/>
      <c r="G2846" s="1110"/>
      <c r="H2846" s="1138"/>
      <c r="I2846" s="1138"/>
      <c r="J2846" s="1139"/>
      <c r="K2846" s="1111"/>
      <c r="L2846" s="1112"/>
      <c r="M2846" s="1113"/>
      <c r="N2846" s="110"/>
      <c r="O2846" s="1140"/>
      <c r="P2846" s="1115"/>
      <c r="Q2846" s="1116"/>
      <c r="R2846" s="1141"/>
      <c r="S2846" s="1113"/>
      <c r="T2846" s="1143"/>
      <c r="U2846" s="1108"/>
      <c r="V2846" s="1108"/>
      <c r="W2846" s="1108"/>
      <c r="X2846" s="1108"/>
      <c r="Y2846" s="1108"/>
      <c r="Z2846" s="1114"/>
      <c r="AA2846" s="1114"/>
      <c r="AB2846" s="1114"/>
      <c r="AC2846" s="1117"/>
      <c r="AD2846" s="1115"/>
      <c r="AE2846" s="1115"/>
      <c r="AF2846" s="1115"/>
      <c r="AG2846" s="1115"/>
      <c r="AH2846" s="1115"/>
      <c r="AI2846" s="1115"/>
      <c r="AJ2846" s="1117"/>
      <c r="AK2846" s="1118"/>
      <c r="AL2846" s="1115"/>
      <c r="AM2846" s="1115"/>
      <c r="AN2846" s="1115"/>
      <c r="AO2846" s="1115"/>
      <c r="AP2846" s="1115"/>
      <c r="AQ2846" s="1115"/>
      <c r="AR2846" s="1115"/>
      <c r="AS2846" s="1117"/>
      <c r="AT2846" s="1075"/>
      <c r="AU2846" s="1193"/>
      <c r="AV2846" s="330"/>
      <c r="AW2846" s="331"/>
      <c r="AX2846" s="331"/>
      <c r="AY2846" s="331"/>
      <c r="AZ2846" s="331"/>
      <c r="BA2846" s="331"/>
      <c r="BB2846" s="331"/>
      <c r="BC2846" s="331"/>
      <c r="BD2846" s="331"/>
      <c r="BE2846" s="333"/>
      <c r="BF2846" s="330"/>
      <c r="BG2846" s="333"/>
      <c r="BH2846" s="1119"/>
      <c r="BI2846" s="319"/>
      <c r="BJ2846" s="319"/>
      <c r="BK2846" s="319"/>
      <c r="BL2846" s="319"/>
      <c r="BM2846" s="319"/>
      <c r="BN2846" s="319"/>
      <c r="BO2846" s="319"/>
      <c r="BP2846" s="953"/>
      <c r="BQ2846" s="319"/>
      <c r="BR2846" s="319"/>
      <c r="BS2846" s="330"/>
      <c r="BT2846" s="331"/>
      <c r="BU2846" s="920"/>
      <c r="BV2846" s="903"/>
      <c r="BW2846" s="908"/>
      <c r="BX2846" s="908"/>
      <c r="BY2846" s="331"/>
      <c r="BZ2846" s="331"/>
      <c r="CA2846" s="462"/>
      <c r="CB2846" s="319"/>
      <c r="CC2846" s="319"/>
      <c r="CD2846" s="319"/>
      <c r="CE2846" s="319"/>
      <c r="CF2846" s="319"/>
      <c r="CG2846" s="319"/>
      <c r="CH2846" s="318"/>
      <c r="CI2846" s="319"/>
      <c r="CJ2846" s="319"/>
      <c r="CK2846" s="342"/>
      <c r="CL2846" s="333"/>
      <c r="CM2846" s="1079"/>
      <c r="CN2846" s="1005"/>
      <c r="CO2846" s="1005"/>
      <c r="CP2846" s="1005"/>
    </row>
    <row r="2847">
      <c r="A2847" s="1257"/>
      <c r="B2847" s="1113"/>
      <c r="C2847" s="1107"/>
      <c r="D2847" s="103"/>
      <c r="E2847" s="1137"/>
      <c r="F2847" s="112"/>
      <c r="G2847" s="1110"/>
      <c r="H2847" s="1138"/>
      <c r="I2847" s="1138"/>
      <c r="J2847" s="1139"/>
      <c r="K2847" s="1111"/>
      <c r="L2847" s="1112"/>
      <c r="M2847" s="1113"/>
      <c r="N2847" s="110"/>
      <c r="O2847" s="1140"/>
      <c r="P2847" s="1115"/>
      <c r="Q2847" s="1116"/>
      <c r="R2847" s="1141"/>
      <c r="S2847" s="1113"/>
      <c r="T2847" s="1143"/>
      <c r="U2847" s="1108"/>
      <c r="V2847" s="1108"/>
      <c r="W2847" s="1108"/>
      <c r="X2847" s="1108"/>
      <c r="Y2847" s="1108"/>
      <c r="Z2847" s="1114"/>
      <c r="AA2847" s="1114"/>
      <c r="AB2847" s="1114"/>
      <c r="AC2847" s="1117"/>
      <c r="AD2847" s="1115"/>
      <c r="AE2847" s="1115"/>
      <c r="AF2847" s="1115"/>
      <c r="AG2847" s="1115"/>
      <c r="AH2847" s="1115"/>
      <c r="AI2847" s="1115"/>
      <c r="AJ2847" s="1117"/>
      <c r="AK2847" s="1118"/>
      <c r="AL2847" s="1115"/>
      <c r="AM2847" s="1115"/>
      <c r="AN2847" s="1115"/>
      <c r="AO2847" s="1115"/>
      <c r="AP2847" s="1115"/>
      <c r="AQ2847" s="1115"/>
      <c r="AR2847" s="1115"/>
      <c r="AS2847" s="1117"/>
      <c r="AT2847" s="1075"/>
      <c r="AU2847" s="1193"/>
      <c r="AV2847" s="330"/>
      <c r="AW2847" s="331"/>
      <c r="AX2847" s="331"/>
      <c r="AY2847" s="331"/>
      <c r="AZ2847" s="331"/>
      <c r="BA2847" s="331"/>
      <c r="BB2847" s="331"/>
      <c r="BC2847" s="331"/>
      <c r="BD2847" s="331"/>
      <c r="BE2847" s="333"/>
      <c r="BF2847" s="330"/>
      <c r="BG2847" s="333"/>
      <c r="BH2847" s="1119"/>
      <c r="BI2847" s="319"/>
      <c r="BJ2847" s="319"/>
      <c r="BK2847" s="319"/>
      <c r="BL2847" s="319"/>
      <c r="BM2847" s="319"/>
      <c r="BN2847" s="319"/>
      <c r="BO2847" s="319"/>
      <c r="BP2847" s="953"/>
      <c r="BQ2847" s="319"/>
      <c r="BR2847" s="319"/>
      <c r="BS2847" s="330"/>
      <c r="BT2847" s="331"/>
      <c r="BU2847" s="920"/>
      <c r="BV2847" s="903"/>
      <c r="BW2847" s="908"/>
      <c r="BX2847" s="908"/>
      <c r="BY2847" s="331"/>
      <c r="BZ2847" s="331"/>
      <c r="CA2847" s="462"/>
      <c r="CB2847" s="319"/>
      <c r="CC2847" s="319"/>
      <c r="CD2847" s="319"/>
      <c r="CE2847" s="319"/>
      <c r="CF2847" s="319"/>
      <c r="CG2847" s="319"/>
      <c r="CH2847" s="318"/>
      <c r="CI2847" s="319"/>
      <c r="CJ2847" s="319"/>
      <c r="CK2847" s="342"/>
      <c r="CL2847" s="333"/>
      <c r="CM2847" s="1079"/>
      <c r="CN2847" s="1005"/>
      <c r="CO2847" s="1005"/>
      <c r="CP2847" s="1005"/>
    </row>
    <row r="2848">
      <c r="A2848" s="1257"/>
      <c r="B2848" s="1113"/>
      <c r="C2848" s="1107"/>
      <c r="D2848" s="103"/>
      <c r="E2848" s="1137"/>
      <c r="F2848" s="112"/>
      <c r="G2848" s="1110"/>
      <c r="H2848" s="1138"/>
      <c r="I2848" s="1138"/>
      <c r="J2848" s="1139"/>
      <c r="K2848" s="1111"/>
      <c r="L2848" s="1112"/>
      <c r="M2848" s="1113"/>
      <c r="N2848" s="110"/>
      <c r="O2848" s="1140"/>
      <c r="P2848" s="1115"/>
      <c r="Q2848" s="1116"/>
      <c r="R2848" s="1141"/>
      <c r="S2848" s="1113"/>
      <c r="T2848" s="1143"/>
      <c r="U2848" s="1108"/>
      <c r="V2848" s="1108"/>
      <c r="W2848" s="1108"/>
      <c r="X2848" s="1108"/>
      <c r="Y2848" s="1108"/>
      <c r="Z2848" s="1114"/>
      <c r="AA2848" s="1114"/>
      <c r="AB2848" s="1114"/>
      <c r="AC2848" s="1117"/>
      <c r="AD2848" s="1115"/>
      <c r="AE2848" s="1115"/>
      <c r="AF2848" s="1115"/>
      <c r="AG2848" s="1115"/>
      <c r="AH2848" s="1115"/>
      <c r="AI2848" s="1115"/>
      <c r="AJ2848" s="1117"/>
      <c r="AK2848" s="1118"/>
      <c r="AL2848" s="1115"/>
      <c r="AM2848" s="1115"/>
      <c r="AN2848" s="1115"/>
      <c r="AO2848" s="1115"/>
      <c r="AP2848" s="1115"/>
      <c r="AQ2848" s="1115"/>
      <c r="AR2848" s="1115"/>
      <c r="AS2848" s="1117"/>
      <c r="AT2848" s="1075"/>
      <c r="AU2848" s="1193"/>
      <c r="AV2848" s="330"/>
      <c r="AW2848" s="331"/>
      <c r="AX2848" s="331"/>
      <c r="AY2848" s="331"/>
      <c r="AZ2848" s="331"/>
      <c r="BA2848" s="331"/>
      <c r="BB2848" s="331"/>
      <c r="BC2848" s="331"/>
      <c r="BD2848" s="331"/>
      <c r="BE2848" s="333"/>
      <c r="BF2848" s="330"/>
      <c r="BG2848" s="333"/>
      <c r="BH2848" s="1119"/>
      <c r="BI2848" s="319"/>
      <c r="BJ2848" s="319"/>
      <c r="BK2848" s="319"/>
      <c r="BL2848" s="319"/>
      <c r="BM2848" s="319"/>
      <c r="BN2848" s="319"/>
      <c r="BO2848" s="319"/>
      <c r="BP2848" s="953"/>
      <c r="BQ2848" s="319"/>
      <c r="BR2848" s="319"/>
      <c r="BS2848" s="330"/>
      <c r="BT2848" s="331"/>
      <c r="BU2848" s="920"/>
      <c r="BV2848" s="903"/>
      <c r="BW2848" s="908"/>
      <c r="BX2848" s="908"/>
      <c r="BY2848" s="331"/>
      <c r="BZ2848" s="331"/>
      <c r="CA2848" s="462"/>
      <c r="CB2848" s="319"/>
      <c r="CC2848" s="319"/>
      <c r="CD2848" s="319"/>
      <c r="CE2848" s="319"/>
      <c r="CF2848" s="319"/>
      <c r="CG2848" s="319"/>
      <c r="CH2848" s="318"/>
      <c r="CI2848" s="319"/>
      <c r="CJ2848" s="319"/>
      <c r="CK2848" s="342"/>
      <c r="CL2848" s="333"/>
      <c r="CM2848" s="1079"/>
      <c r="CN2848" s="1005"/>
      <c r="CO2848" s="1005"/>
      <c r="CP2848" s="1005"/>
    </row>
    <row r="2849">
      <c r="A2849" s="1257"/>
      <c r="B2849" s="1113"/>
      <c r="C2849" s="1107"/>
      <c r="D2849" s="103"/>
      <c r="E2849" s="1137"/>
      <c r="F2849" s="112"/>
      <c r="G2849" s="1110"/>
      <c r="H2849" s="1138"/>
      <c r="I2849" s="1138"/>
      <c r="J2849" s="1139"/>
      <c r="K2849" s="1111"/>
      <c r="L2849" s="1112"/>
      <c r="M2849" s="1113"/>
      <c r="N2849" s="110"/>
      <c r="O2849" s="1140"/>
      <c r="P2849" s="1115"/>
      <c r="Q2849" s="1116"/>
      <c r="R2849" s="1141"/>
      <c r="S2849" s="1113"/>
      <c r="T2849" s="1143"/>
      <c r="U2849" s="1108"/>
      <c r="V2849" s="1108"/>
      <c r="W2849" s="1108"/>
      <c r="X2849" s="1108"/>
      <c r="Y2849" s="1108"/>
      <c r="Z2849" s="1114"/>
      <c r="AA2849" s="1114"/>
      <c r="AB2849" s="1114"/>
      <c r="AC2849" s="1117"/>
      <c r="AD2849" s="1115"/>
      <c r="AE2849" s="1115"/>
      <c r="AF2849" s="1115"/>
      <c r="AG2849" s="1115"/>
      <c r="AH2849" s="1115"/>
      <c r="AI2849" s="1115"/>
      <c r="AJ2849" s="1117"/>
      <c r="AK2849" s="1118"/>
      <c r="AL2849" s="1115"/>
      <c r="AM2849" s="1115"/>
      <c r="AN2849" s="1115"/>
      <c r="AO2849" s="1115"/>
      <c r="AP2849" s="1115"/>
      <c r="AQ2849" s="1115"/>
      <c r="AR2849" s="1115"/>
      <c r="AS2849" s="1117"/>
      <c r="AT2849" s="1075"/>
      <c r="AU2849" s="1193"/>
      <c r="AV2849" s="330"/>
      <c r="AW2849" s="331"/>
      <c r="AX2849" s="331"/>
      <c r="AY2849" s="331"/>
      <c r="AZ2849" s="331"/>
      <c r="BA2849" s="331"/>
      <c r="BB2849" s="331"/>
      <c r="BC2849" s="331"/>
      <c r="BD2849" s="331"/>
      <c r="BE2849" s="333"/>
      <c r="BF2849" s="330"/>
      <c r="BG2849" s="333"/>
      <c r="BH2849" s="1119"/>
      <c r="BI2849" s="319"/>
      <c r="BJ2849" s="319"/>
      <c r="BK2849" s="319"/>
      <c r="BL2849" s="319"/>
      <c r="BM2849" s="319"/>
      <c r="BN2849" s="319"/>
      <c r="BO2849" s="319"/>
      <c r="BP2849" s="953"/>
      <c r="BQ2849" s="319"/>
      <c r="BR2849" s="319"/>
      <c r="BS2849" s="330"/>
      <c r="BT2849" s="331"/>
      <c r="BU2849" s="920"/>
      <c r="BV2849" s="903"/>
      <c r="BW2849" s="908"/>
      <c r="BX2849" s="908"/>
      <c r="BY2849" s="331"/>
      <c r="BZ2849" s="331"/>
      <c r="CA2849" s="462"/>
      <c r="CB2849" s="319"/>
      <c r="CC2849" s="319"/>
      <c r="CD2849" s="319"/>
      <c r="CE2849" s="319"/>
      <c r="CF2849" s="319"/>
      <c r="CG2849" s="319"/>
      <c r="CH2849" s="318"/>
      <c r="CI2849" s="319"/>
      <c r="CJ2849" s="319"/>
      <c r="CK2849" s="342"/>
      <c r="CL2849" s="333"/>
      <c r="CM2849" s="1079"/>
      <c r="CN2849" s="1005"/>
      <c r="CO2849" s="1005"/>
      <c r="CP2849" s="1005"/>
    </row>
    <row r="2850">
      <c r="A2850" s="1257"/>
      <c r="B2850" s="1113"/>
      <c r="C2850" s="1107"/>
      <c r="D2850" s="103"/>
      <c r="E2850" s="1137"/>
      <c r="F2850" s="112"/>
      <c r="G2850" s="1110"/>
      <c r="H2850" s="1138"/>
      <c r="I2850" s="1138"/>
      <c r="J2850" s="1139"/>
      <c r="K2850" s="1111"/>
      <c r="L2850" s="1112"/>
      <c r="M2850" s="1113"/>
      <c r="N2850" s="110"/>
      <c r="O2850" s="1140"/>
      <c r="P2850" s="1115"/>
      <c r="Q2850" s="1116"/>
      <c r="R2850" s="1141"/>
      <c r="S2850" s="1113"/>
      <c r="T2850" s="1143"/>
      <c r="U2850" s="1108"/>
      <c r="V2850" s="1108"/>
      <c r="W2850" s="1108"/>
      <c r="X2850" s="1108"/>
      <c r="Y2850" s="1108"/>
      <c r="Z2850" s="1114"/>
      <c r="AA2850" s="1114"/>
      <c r="AB2850" s="1114"/>
      <c r="AC2850" s="1117"/>
      <c r="AD2850" s="1115"/>
      <c r="AE2850" s="1115"/>
      <c r="AF2850" s="1115"/>
      <c r="AG2850" s="1115"/>
      <c r="AH2850" s="1115"/>
      <c r="AI2850" s="1115"/>
      <c r="AJ2850" s="1117"/>
      <c r="AK2850" s="1118"/>
      <c r="AL2850" s="1115"/>
      <c r="AM2850" s="1115"/>
      <c r="AN2850" s="1115"/>
      <c r="AO2850" s="1115"/>
      <c r="AP2850" s="1115"/>
      <c r="AQ2850" s="1115"/>
      <c r="AR2850" s="1115"/>
      <c r="AS2850" s="1117"/>
      <c r="AT2850" s="1075"/>
      <c r="AU2850" s="1193"/>
      <c r="AV2850" s="330"/>
      <c r="AW2850" s="331"/>
      <c r="AX2850" s="331"/>
      <c r="AY2850" s="331"/>
      <c r="AZ2850" s="331"/>
      <c r="BA2850" s="331"/>
      <c r="BB2850" s="331"/>
      <c r="BC2850" s="331"/>
      <c r="BD2850" s="331"/>
      <c r="BE2850" s="333"/>
      <c r="BF2850" s="330"/>
      <c r="BG2850" s="333"/>
      <c r="BH2850" s="1119"/>
      <c r="BI2850" s="319"/>
      <c r="BJ2850" s="319"/>
      <c r="BK2850" s="319"/>
      <c r="BL2850" s="319"/>
      <c r="BM2850" s="319"/>
      <c r="BN2850" s="319"/>
      <c r="BO2850" s="319"/>
      <c r="BP2850" s="953"/>
      <c r="BQ2850" s="319"/>
      <c r="BR2850" s="319"/>
      <c r="BS2850" s="330"/>
      <c r="BT2850" s="331"/>
      <c r="BU2850" s="920"/>
      <c r="BV2850" s="903"/>
      <c r="BW2850" s="908"/>
      <c r="BX2850" s="908"/>
      <c r="BY2850" s="331"/>
      <c r="BZ2850" s="331"/>
      <c r="CA2850" s="462"/>
      <c r="CB2850" s="319"/>
      <c r="CC2850" s="319"/>
      <c r="CD2850" s="319"/>
      <c r="CE2850" s="319"/>
      <c r="CF2850" s="319"/>
      <c r="CG2850" s="319"/>
      <c r="CH2850" s="318"/>
      <c r="CI2850" s="319"/>
      <c r="CJ2850" s="319"/>
      <c r="CK2850" s="342"/>
      <c r="CL2850" s="333"/>
      <c r="CM2850" s="1079"/>
      <c r="CN2850" s="1005"/>
      <c r="CO2850" s="1005"/>
      <c r="CP2850" s="1005"/>
    </row>
    <row r="2851">
      <c r="A2851" s="1257"/>
      <c r="B2851" s="1113"/>
      <c r="C2851" s="1107"/>
      <c r="D2851" s="103"/>
      <c r="E2851" s="1137"/>
      <c r="F2851" s="112"/>
      <c r="G2851" s="1110"/>
      <c r="H2851" s="1138"/>
      <c r="I2851" s="1138"/>
      <c r="J2851" s="1139"/>
      <c r="K2851" s="1111"/>
      <c r="L2851" s="1112"/>
      <c r="M2851" s="1113"/>
      <c r="N2851" s="110"/>
      <c r="O2851" s="1140"/>
      <c r="P2851" s="1115"/>
      <c r="Q2851" s="1116"/>
      <c r="R2851" s="1141"/>
      <c r="S2851" s="1113"/>
      <c r="T2851" s="1143"/>
      <c r="U2851" s="1108"/>
      <c r="V2851" s="1108"/>
      <c r="W2851" s="1108"/>
      <c r="X2851" s="1108"/>
      <c r="Y2851" s="1108"/>
      <c r="Z2851" s="1114"/>
      <c r="AA2851" s="1114"/>
      <c r="AB2851" s="1114"/>
      <c r="AC2851" s="1117"/>
      <c r="AD2851" s="1115"/>
      <c r="AE2851" s="1115"/>
      <c r="AF2851" s="1115"/>
      <c r="AG2851" s="1115"/>
      <c r="AH2851" s="1115"/>
      <c r="AI2851" s="1115"/>
      <c r="AJ2851" s="1117"/>
      <c r="AK2851" s="1118"/>
      <c r="AL2851" s="1115"/>
      <c r="AM2851" s="1115"/>
      <c r="AN2851" s="1115"/>
      <c r="AO2851" s="1115"/>
      <c r="AP2851" s="1115"/>
      <c r="AQ2851" s="1115"/>
      <c r="AR2851" s="1115"/>
      <c r="AS2851" s="1117"/>
      <c r="AT2851" s="1075"/>
      <c r="AU2851" s="1193"/>
      <c r="AV2851" s="330"/>
      <c r="AW2851" s="331"/>
      <c r="AX2851" s="331"/>
      <c r="AY2851" s="331"/>
      <c r="AZ2851" s="331"/>
      <c r="BA2851" s="331"/>
      <c r="BB2851" s="331"/>
      <c r="BC2851" s="331"/>
      <c r="BD2851" s="331"/>
      <c r="BE2851" s="333"/>
      <c r="BF2851" s="330"/>
      <c r="BG2851" s="333"/>
      <c r="BH2851" s="1119"/>
      <c r="BI2851" s="319"/>
      <c r="BJ2851" s="319"/>
      <c r="BK2851" s="319"/>
      <c r="BL2851" s="319"/>
      <c r="BM2851" s="319"/>
      <c r="BN2851" s="319"/>
      <c r="BO2851" s="319"/>
      <c r="BP2851" s="953"/>
      <c r="BQ2851" s="319"/>
      <c r="BR2851" s="319"/>
      <c r="BS2851" s="330"/>
      <c r="BT2851" s="331"/>
      <c r="BU2851" s="920"/>
      <c r="BV2851" s="903"/>
      <c r="BW2851" s="908"/>
      <c r="BX2851" s="908"/>
      <c r="BY2851" s="331"/>
      <c r="BZ2851" s="331"/>
      <c r="CA2851" s="462"/>
      <c r="CB2851" s="319"/>
      <c r="CC2851" s="319"/>
      <c r="CD2851" s="319"/>
      <c r="CE2851" s="319"/>
      <c r="CF2851" s="319"/>
      <c r="CG2851" s="319"/>
      <c r="CH2851" s="318"/>
      <c r="CI2851" s="319"/>
      <c r="CJ2851" s="319"/>
      <c r="CK2851" s="342"/>
      <c r="CL2851" s="333"/>
      <c r="CM2851" s="1079"/>
      <c r="CN2851" s="1005"/>
      <c r="CO2851" s="1005"/>
      <c r="CP2851" s="1005"/>
    </row>
    <row r="2852">
      <c r="A2852" s="1257"/>
      <c r="B2852" s="1113"/>
      <c r="C2852" s="1107"/>
      <c r="D2852" s="103"/>
      <c r="E2852" s="1137"/>
      <c r="F2852" s="112"/>
      <c r="G2852" s="1110"/>
      <c r="H2852" s="1138"/>
      <c r="I2852" s="1138"/>
      <c r="J2852" s="1139"/>
      <c r="K2852" s="1111"/>
      <c r="L2852" s="1112"/>
      <c r="M2852" s="1113"/>
      <c r="N2852" s="110"/>
      <c r="O2852" s="1140"/>
      <c r="P2852" s="1115"/>
      <c r="Q2852" s="1116"/>
      <c r="R2852" s="1141"/>
      <c r="S2852" s="1113"/>
      <c r="T2852" s="1143"/>
      <c r="U2852" s="1108"/>
      <c r="V2852" s="1108"/>
      <c r="W2852" s="1108"/>
      <c r="X2852" s="1108"/>
      <c r="Y2852" s="1108"/>
      <c r="Z2852" s="1114"/>
      <c r="AA2852" s="1114"/>
      <c r="AB2852" s="1114"/>
      <c r="AC2852" s="1117"/>
      <c r="AD2852" s="1115"/>
      <c r="AE2852" s="1115"/>
      <c r="AF2852" s="1115"/>
      <c r="AG2852" s="1115"/>
      <c r="AH2852" s="1115"/>
      <c r="AI2852" s="1115"/>
      <c r="AJ2852" s="1117"/>
      <c r="AK2852" s="1118"/>
      <c r="AL2852" s="1115"/>
      <c r="AM2852" s="1115"/>
      <c r="AN2852" s="1115"/>
      <c r="AO2852" s="1115"/>
      <c r="AP2852" s="1115"/>
      <c r="AQ2852" s="1115"/>
      <c r="AR2852" s="1115"/>
      <c r="AS2852" s="1117"/>
      <c r="AT2852" s="1075"/>
      <c r="AU2852" s="1193"/>
      <c r="AV2852" s="330"/>
      <c r="AW2852" s="331"/>
      <c r="AX2852" s="331"/>
      <c r="AY2852" s="331"/>
      <c r="AZ2852" s="331"/>
      <c r="BA2852" s="331"/>
      <c r="BB2852" s="331"/>
      <c r="BC2852" s="331"/>
      <c r="BD2852" s="331"/>
      <c r="BE2852" s="333"/>
      <c r="BF2852" s="330"/>
      <c r="BG2852" s="333"/>
      <c r="BH2852" s="1119"/>
      <c r="BI2852" s="319"/>
      <c r="BJ2852" s="319"/>
      <c r="BK2852" s="319"/>
      <c r="BL2852" s="319"/>
      <c r="BM2852" s="319"/>
      <c r="BN2852" s="319"/>
      <c r="BO2852" s="319"/>
      <c r="BP2852" s="953"/>
      <c r="BQ2852" s="319"/>
      <c r="BR2852" s="319"/>
      <c r="BS2852" s="330"/>
      <c r="BT2852" s="331"/>
      <c r="BU2852" s="920"/>
      <c r="BV2852" s="903"/>
      <c r="BW2852" s="908"/>
      <c r="BX2852" s="908"/>
      <c r="BY2852" s="331"/>
      <c r="BZ2852" s="331"/>
      <c r="CA2852" s="462"/>
      <c r="CB2852" s="319"/>
      <c r="CC2852" s="319"/>
      <c r="CD2852" s="319"/>
      <c r="CE2852" s="319"/>
      <c r="CF2852" s="319"/>
      <c r="CG2852" s="319"/>
      <c r="CH2852" s="318"/>
      <c r="CI2852" s="319"/>
      <c r="CJ2852" s="319"/>
      <c r="CK2852" s="342"/>
      <c r="CL2852" s="333"/>
      <c r="CM2852" s="1079"/>
      <c r="CN2852" s="1005"/>
      <c r="CO2852" s="1005"/>
      <c r="CP2852" s="1005"/>
    </row>
    <row r="2853">
      <c r="A2853" s="1257"/>
      <c r="B2853" s="1113"/>
      <c r="C2853" s="1107"/>
      <c r="D2853" s="103"/>
      <c r="E2853" s="1137"/>
      <c r="F2853" s="112"/>
      <c r="G2853" s="1110"/>
      <c r="H2853" s="1138"/>
      <c r="I2853" s="1138"/>
      <c r="J2853" s="1139"/>
      <c r="K2853" s="1111"/>
      <c r="L2853" s="1112"/>
      <c r="M2853" s="1113"/>
      <c r="N2853" s="110"/>
      <c r="O2853" s="1140"/>
      <c r="P2853" s="1115"/>
      <c r="Q2853" s="1116"/>
      <c r="R2853" s="1141"/>
      <c r="S2853" s="1113"/>
      <c r="T2853" s="1143"/>
      <c r="U2853" s="1108"/>
      <c r="V2853" s="1108"/>
      <c r="W2853" s="1108"/>
      <c r="X2853" s="1108"/>
      <c r="Y2853" s="1108"/>
      <c r="Z2853" s="1114"/>
      <c r="AA2853" s="1114"/>
      <c r="AB2853" s="1114"/>
      <c r="AC2853" s="1117"/>
      <c r="AD2853" s="1115"/>
      <c r="AE2853" s="1115"/>
      <c r="AF2853" s="1115"/>
      <c r="AG2853" s="1115"/>
      <c r="AH2853" s="1115"/>
      <c r="AI2853" s="1115"/>
      <c r="AJ2853" s="1117"/>
      <c r="AK2853" s="1118"/>
      <c r="AL2853" s="1115"/>
      <c r="AM2853" s="1115"/>
      <c r="AN2853" s="1115"/>
      <c r="AO2853" s="1115"/>
      <c r="AP2853" s="1115"/>
      <c r="AQ2853" s="1115"/>
      <c r="AR2853" s="1115"/>
      <c r="AS2853" s="1117"/>
      <c r="AT2853" s="1075"/>
      <c r="AU2853" s="1193"/>
      <c r="AV2853" s="330"/>
      <c r="AW2853" s="331"/>
      <c r="AX2853" s="331"/>
      <c r="AY2853" s="331"/>
      <c r="AZ2853" s="331"/>
      <c r="BA2853" s="331"/>
      <c r="BB2853" s="331"/>
      <c r="BC2853" s="331"/>
      <c r="BD2853" s="331"/>
      <c r="BE2853" s="333"/>
      <c r="BF2853" s="330"/>
      <c r="BG2853" s="333"/>
      <c r="BH2853" s="1119"/>
      <c r="BI2853" s="319"/>
      <c r="BJ2853" s="319"/>
      <c r="BK2853" s="319"/>
      <c r="BL2853" s="319"/>
      <c r="BM2853" s="319"/>
      <c r="BN2853" s="319"/>
      <c r="BO2853" s="319"/>
      <c r="BP2853" s="953"/>
      <c r="BQ2853" s="319"/>
      <c r="BR2853" s="319"/>
      <c r="BS2853" s="330"/>
      <c r="BT2853" s="331"/>
      <c r="BU2853" s="920"/>
      <c r="BV2853" s="903"/>
      <c r="BW2853" s="908"/>
      <c r="BX2853" s="908"/>
      <c r="BY2853" s="331"/>
      <c r="BZ2853" s="331"/>
      <c r="CA2853" s="462"/>
      <c r="CB2853" s="319"/>
      <c r="CC2853" s="319"/>
      <c r="CD2853" s="319"/>
      <c r="CE2853" s="319"/>
      <c r="CF2853" s="319"/>
      <c r="CG2853" s="319"/>
      <c r="CH2853" s="318"/>
      <c r="CI2853" s="319"/>
      <c r="CJ2853" s="319"/>
      <c r="CK2853" s="342"/>
      <c r="CL2853" s="333"/>
      <c r="CM2853" s="1079"/>
      <c r="CN2853" s="1005"/>
      <c r="CO2853" s="1005"/>
      <c r="CP2853" s="1005"/>
    </row>
    <row r="2854">
      <c r="A2854" s="1257"/>
      <c r="B2854" s="1113"/>
      <c r="C2854" s="1107"/>
      <c r="D2854" s="103"/>
      <c r="E2854" s="1137"/>
      <c r="F2854" s="112"/>
      <c r="G2854" s="1110"/>
      <c r="H2854" s="1138"/>
      <c r="I2854" s="1138"/>
      <c r="J2854" s="1139"/>
      <c r="K2854" s="1111"/>
      <c r="L2854" s="1112"/>
      <c r="M2854" s="1113"/>
      <c r="N2854" s="110"/>
      <c r="O2854" s="1140"/>
      <c r="P2854" s="1115"/>
      <c r="Q2854" s="1116"/>
      <c r="R2854" s="1141"/>
      <c r="S2854" s="1113"/>
      <c r="T2854" s="1143"/>
      <c r="U2854" s="1108"/>
      <c r="V2854" s="1108"/>
      <c r="W2854" s="1108"/>
      <c r="X2854" s="1108"/>
      <c r="Y2854" s="1108"/>
      <c r="Z2854" s="1114"/>
      <c r="AA2854" s="1114"/>
      <c r="AB2854" s="1114"/>
      <c r="AC2854" s="1117"/>
      <c r="AD2854" s="1115"/>
      <c r="AE2854" s="1115"/>
      <c r="AF2854" s="1115"/>
      <c r="AG2854" s="1115"/>
      <c r="AH2854" s="1115"/>
      <c r="AI2854" s="1115"/>
      <c r="AJ2854" s="1117"/>
      <c r="AK2854" s="1118"/>
      <c r="AL2854" s="1115"/>
      <c r="AM2854" s="1115"/>
      <c r="AN2854" s="1115"/>
      <c r="AO2854" s="1115"/>
      <c r="AP2854" s="1115"/>
      <c r="AQ2854" s="1115"/>
      <c r="AR2854" s="1115"/>
      <c r="AS2854" s="1117"/>
      <c r="AT2854" s="1075"/>
      <c r="AU2854" s="1193"/>
      <c r="AV2854" s="330"/>
      <c r="AW2854" s="331"/>
      <c r="AX2854" s="331"/>
      <c r="AY2854" s="331"/>
      <c r="AZ2854" s="331"/>
      <c r="BA2854" s="331"/>
      <c r="BB2854" s="331"/>
      <c r="BC2854" s="331"/>
      <c r="BD2854" s="331"/>
      <c r="BE2854" s="333"/>
      <c r="BF2854" s="330"/>
      <c r="BG2854" s="333"/>
      <c r="BH2854" s="1119"/>
      <c r="BI2854" s="319"/>
      <c r="BJ2854" s="319"/>
      <c r="BK2854" s="319"/>
      <c r="BL2854" s="319"/>
      <c r="BM2854" s="319"/>
      <c r="BN2854" s="319"/>
      <c r="BO2854" s="319"/>
      <c r="BP2854" s="953"/>
      <c r="BQ2854" s="319"/>
      <c r="BR2854" s="319"/>
      <c r="BS2854" s="330"/>
      <c r="BT2854" s="331"/>
      <c r="BU2854" s="920"/>
      <c r="BV2854" s="903"/>
      <c r="BW2854" s="908"/>
      <c r="BX2854" s="908"/>
      <c r="BY2854" s="331"/>
      <c r="BZ2854" s="331"/>
      <c r="CA2854" s="462"/>
      <c r="CB2854" s="319"/>
      <c r="CC2854" s="319"/>
      <c r="CD2854" s="319"/>
      <c r="CE2854" s="319"/>
      <c r="CF2854" s="319"/>
      <c r="CG2854" s="319"/>
      <c r="CH2854" s="318"/>
      <c r="CI2854" s="319"/>
      <c r="CJ2854" s="319"/>
      <c r="CK2854" s="342"/>
      <c r="CL2854" s="333"/>
      <c r="CM2854" s="1079"/>
      <c r="CN2854" s="1005"/>
      <c r="CO2854" s="1005"/>
      <c r="CP2854" s="1005"/>
    </row>
    <row r="2855">
      <c r="A2855" s="1257"/>
      <c r="B2855" s="1113"/>
      <c r="C2855" s="1107"/>
      <c r="D2855" s="103"/>
      <c r="E2855" s="1137"/>
      <c r="F2855" s="112"/>
      <c r="G2855" s="1110"/>
      <c r="H2855" s="1138"/>
      <c r="I2855" s="1138"/>
      <c r="J2855" s="1139"/>
      <c r="K2855" s="1111"/>
      <c r="L2855" s="1112"/>
      <c r="M2855" s="1113"/>
      <c r="N2855" s="110"/>
      <c r="O2855" s="1140"/>
      <c r="P2855" s="1115"/>
      <c r="Q2855" s="1116"/>
      <c r="R2855" s="1141"/>
      <c r="S2855" s="1113"/>
      <c r="T2855" s="1143"/>
      <c r="U2855" s="1108"/>
      <c r="V2855" s="1108"/>
      <c r="W2855" s="1108"/>
      <c r="X2855" s="1108"/>
      <c r="Y2855" s="1108"/>
      <c r="Z2855" s="1114"/>
      <c r="AA2855" s="1114"/>
      <c r="AB2855" s="1114"/>
      <c r="AC2855" s="1117"/>
      <c r="AD2855" s="1115"/>
      <c r="AE2855" s="1115"/>
      <c r="AF2855" s="1115"/>
      <c r="AG2855" s="1115"/>
      <c r="AH2855" s="1115"/>
      <c r="AI2855" s="1115"/>
      <c r="AJ2855" s="1117"/>
      <c r="AK2855" s="1118"/>
      <c r="AL2855" s="1115"/>
      <c r="AM2855" s="1115"/>
      <c r="AN2855" s="1115"/>
      <c r="AO2855" s="1115"/>
      <c r="AP2855" s="1115"/>
      <c r="AQ2855" s="1115"/>
      <c r="AR2855" s="1115"/>
      <c r="AS2855" s="1117"/>
      <c r="AT2855" s="1075"/>
      <c r="AU2855" s="1193"/>
      <c r="AV2855" s="330"/>
      <c r="AW2855" s="331"/>
      <c r="AX2855" s="331"/>
      <c r="AY2855" s="331"/>
      <c r="AZ2855" s="331"/>
      <c r="BA2855" s="331"/>
      <c r="BB2855" s="331"/>
      <c r="BC2855" s="331"/>
      <c r="BD2855" s="331"/>
      <c r="BE2855" s="333"/>
      <c r="BF2855" s="330"/>
      <c r="BG2855" s="333"/>
      <c r="BH2855" s="1119"/>
      <c r="BI2855" s="319"/>
      <c r="BJ2855" s="319"/>
      <c r="BK2855" s="319"/>
      <c r="BL2855" s="319"/>
      <c r="BM2855" s="319"/>
      <c r="BN2855" s="319"/>
      <c r="BO2855" s="319"/>
      <c r="BP2855" s="953"/>
      <c r="BQ2855" s="319"/>
      <c r="BR2855" s="319"/>
      <c r="BS2855" s="330"/>
      <c r="BT2855" s="331"/>
      <c r="BU2855" s="920"/>
      <c r="BV2855" s="903"/>
      <c r="BW2855" s="908"/>
      <c r="BX2855" s="908"/>
      <c r="BY2855" s="331"/>
      <c r="BZ2855" s="331"/>
      <c r="CA2855" s="462"/>
      <c r="CB2855" s="319"/>
      <c r="CC2855" s="319"/>
      <c r="CD2855" s="319"/>
      <c r="CE2855" s="319"/>
      <c r="CF2855" s="319"/>
      <c r="CG2855" s="319"/>
      <c r="CH2855" s="318"/>
      <c r="CI2855" s="319"/>
      <c r="CJ2855" s="319"/>
      <c r="CK2855" s="342"/>
      <c r="CL2855" s="333"/>
      <c r="CM2855" s="1079"/>
      <c r="CN2855" s="1005"/>
      <c r="CO2855" s="1005"/>
      <c r="CP2855" s="1005"/>
    </row>
    <row r="2856">
      <c r="A2856" s="1257"/>
      <c r="B2856" s="1113"/>
      <c r="C2856" s="1107"/>
      <c r="D2856" s="103"/>
      <c r="E2856" s="1137"/>
      <c r="F2856" s="112"/>
      <c r="G2856" s="1110"/>
      <c r="H2856" s="1138"/>
      <c r="I2856" s="1138"/>
      <c r="J2856" s="1139"/>
      <c r="K2856" s="1111"/>
      <c r="L2856" s="1112"/>
      <c r="M2856" s="1113"/>
      <c r="N2856" s="110"/>
      <c r="O2856" s="1140"/>
      <c r="P2856" s="1115"/>
      <c r="Q2856" s="1116"/>
      <c r="R2856" s="1141"/>
      <c r="S2856" s="1113"/>
      <c r="T2856" s="1143"/>
      <c r="U2856" s="1108"/>
      <c r="V2856" s="1108"/>
      <c r="W2856" s="1108"/>
      <c r="X2856" s="1108"/>
      <c r="Y2856" s="1108"/>
      <c r="Z2856" s="1114"/>
      <c r="AA2856" s="1114"/>
      <c r="AB2856" s="1114"/>
      <c r="AC2856" s="1117"/>
      <c r="AD2856" s="1115"/>
      <c r="AE2856" s="1115"/>
      <c r="AF2856" s="1115"/>
      <c r="AG2856" s="1115"/>
      <c r="AH2856" s="1115"/>
      <c r="AI2856" s="1115"/>
      <c r="AJ2856" s="1117"/>
      <c r="AK2856" s="1118"/>
      <c r="AL2856" s="1115"/>
      <c r="AM2856" s="1115"/>
      <c r="AN2856" s="1115"/>
      <c r="AO2856" s="1115"/>
      <c r="AP2856" s="1115"/>
      <c r="AQ2856" s="1115"/>
      <c r="AR2856" s="1115"/>
      <c r="AS2856" s="1117"/>
      <c r="AT2856" s="1075"/>
      <c r="AU2856" s="1193"/>
      <c r="AV2856" s="330"/>
      <c r="AW2856" s="331"/>
      <c r="AX2856" s="331"/>
      <c r="AY2856" s="331"/>
      <c r="AZ2856" s="331"/>
      <c r="BA2856" s="331"/>
      <c r="BB2856" s="331"/>
      <c r="BC2856" s="331"/>
      <c r="BD2856" s="331"/>
      <c r="BE2856" s="333"/>
      <c r="BF2856" s="330"/>
      <c r="BG2856" s="333"/>
      <c r="BH2856" s="1119"/>
      <c r="BI2856" s="319"/>
      <c r="BJ2856" s="319"/>
      <c r="BK2856" s="319"/>
      <c r="BL2856" s="319"/>
      <c r="BM2856" s="319"/>
      <c r="BN2856" s="319"/>
      <c r="BO2856" s="319"/>
      <c r="BP2856" s="953"/>
      <c r="BQ2856" s="319"/>
      <c r="BR2856" s="319"/>
      <c r="BS2856" s="330"/>
      <c r="BT2856" s="331"/>
      <c r="BU2856" s="920"/>
      <c r="BV2856" s="903"/>
      <c r="BW2856" s="908"/>
      <c r="BX2856" s="908"/>
      <c r="BY2856" s="331"/>
      <c r="BZ2856" s="331"/>
      <c r="CA2856" s="462"/>
      <c r="CB2856" s="319"/>
      <c r="CC2856" s="319"/>
      <c r="CD2856" s="319"/>
      <c r="CE2856" s="319"/>
      <c r="CF2856" s="319"/>
      <c r="CG2856" s="319"/>
      <c r="CH2856" s="318"/>
      <c r="CI2856" s="319"/>
      <c r="CJ2856" s="319"/>
      <c r="CK2856" s="342"/>
      <c r="CL2856" s="333"/>
      <c r="CM2856" s="1079"/>
      <c r="CN2856" s="1005"/>
      <c r="CO2856" s="1005"/>
      <c r="CP2856" s="1005"/>
    </row>
    <row r="2857">
      <c r="A2857" s="1257"/>
      <c r="B2857" s="1113"/>
      <c r="C2857" s="1107"/>
      <c r="D2857" s="103"/>
      <c r="E2857" s="1137"/>
      <c r="F2857" s="112"/>
      <c r="G2857" s="1110"/>
      <c r="H2857" s="1138"/>
      <c r="I2857" s="1138"/>
      <c r="J2857" s="1139"/>
      <c r="K2857" s="1111"/>
      <c r="L2857" s="1112"/>
      <c r="M2857" s="1113"/>
      <c r="N2857" s="110"/>
      <c r="O2857" s="1140"/>
      <c r="P2857" s="1115"/>
      <c r="Q2857" s="1116"/>
      <c r="R2857" s="1141"/>
      <c r="S2857" s="1113"/>
      <c r="T2857" s="1143"/>
      <c r="U2857" s="1108"/>
      <c r="V2857" s="1108"/>
      <c r="W2857" s="1108"/>
      <c r="X2857" s="1108"/>
      <c r="Y2857" s="1108"/>
      <c r="Z2857" s="1114"/>
      <c r="AA2857" s="1114"/>
      <c r="AB2857" s="1114"/>
      <c r="AC2857" s="1117"/>
      <c r="AD2857" s="1115"/>
      <c r="AE2857" s="1115"/>
      <c r="AF2857" s="1115"/>
      <c r="AG2857" s="1115"/>
      <c r="AH2857" s="1115"/>
      <c r="AI2857" s="1115"/>
      <c r="AJ2857" s="1117"/>
      <c r="AK2857" s="1118"/>
      <c r="AL2857" s="1115"/>
      <c r="AM2857" s="1115"/>
      <c r="AN2857" s="1115"/>
      <c r="AO2857" s="1115"/>
      <c r="AP2857" s="1115"/>
      <c r="AQ2857" s="1115"/>
      <c r="AR2857" s="1115"/>
      <c r="AS2857" s="1117"/>
      <c r="AT2857" s="1075"/>
      <c r="AU2857" s="1193"/>
      <c r="AV2857" s="330"/>
      <c r="AW2857" s="331"/>
      <c r="AX2857" s="331"/>
      <c r="AY2857" s="331"/>
      <c r="AZ2857" s="331"/>
      <c r="BA2857" s="331"/>
      <c r="BB2857" s="331"/>
      <c r="BC2857" s="331"/>
      <c r="BD2857" s="331"/>
      <c r="BE2857" s="333"/>
      <c r="BF2857" s="330"/>
      <c r="BG2857" s="333"/>
      <c r="BH2857" s="1119"/>
      <c r="BI2857" s="319"/>
      <c r="BJ2857" s="319"/>
      <c r="BK2857" s="319"/>
      <c r="BL2857" s="319"/>
      <c r="BM2857" s="319"/>
      <c r="BN2857" s="319"/>
      <c r="BO2857" s="319"/>
      <c r="BP2857" s="953"/>
      <c r="BQ2857" s="319"/>
      <c r="BR2857" s="319"/>
      <c r="BS2857" s="330"/>
      <c r="BT2857" s="331"/>
      <c r="BU2857" s="920"/>
      <c r="BV2857" s="903"/>
      <c r="BW2857" s="908"/>
      <c r="BX2857" s="908"/>
      <c r="BY2857" s="331"/>
      <c r="BZ2857" s="331"/>
      <c r="CA2857" s="462"/>
      <c r="CB2857" s="319"/>
      <c r="CC2857" s="319"/>
      <c r="CD2857" s="319"/>
      <c r="CE2857" s="319"/>
      <c r="CF2857" s="319"/>
      <c r="CG2857" s="319"/>
      <c r="CH2857" s="318"/>
      <c r="CI2857" s="319"/>
      <c r="CJ2857" s="319"/>
      <c r="CK2857" s="342"/>
      <c r="CL2857" s="333"/>
      <c r="CM2857" s="1079"/>
      <c r="CN2857" s="1005"/>
      <c r="CO2857" s="1005"/>
      <c r="CP2857" s="1005"/>
    </row>
    <row r="2858">
      <c r="A2858" s="1257"/>
      <c r="B2858" s="1113"/>
      <c r="C2858" s="1107"/>
      <c r="D2858" s="103"/>
      <c r="E2858" s="1137"/>
      <c r="F2858" s="112"/>
      <c r="G2858" s="1110"/>
      <c r="H2858" s="1138"/>
      <c r="I2858" s="1138"/>
      <c r="J2858" s="1139"/>
      <c r="K2858" s="1111"/>
      <c r="L2858" s="1112"/>
      <c r="M2858" s="1113"/>
      <c r="N2858" s="110"/>
      <c r="O2858" s="1140"/>
      <c r="P2858" s="1115"/>
      <c r="Q2858" s="1116"/>
      <c r="R2858" s="1141"/>
      <c r="S2858" s="1113"/>
      <c r="T2858" s="1143"/>
      <c r="U2858" s="1108"/>
      <c r="V2858" s="1108"/>
      <c r="W2858" s="1108"/>
      <c r="X2858" s="1108"/>
      <c r="Y2858" s="1108"/>
      <c r="Z2858" s="1114"/>
      <c r="AA2858" s="1114"/>
      <c r="AB2858" s="1114"/>
      <c r="AC2858" s="1117"/>
      <c r="AD2858" s="1115"/>
      <c r="AE2858" s="1115"/>
      <c r="AF2858" s="1115"/>
      <c r="AG2858" s="1115"/>
      <c r="AH2858" s="1115"/>
      <c r="AI2858" s="1115"/>
      <c r="AJ2858" s="1117"/>
      <c r="AK2858" s="1118"/>
      <c r="AL2858" s="1115"/>
      <c r="AM2858" s="1115"/>
      <c r="AN2858" s="1115"/>
      <c r="AO2858" s="1115"/>
      <c r="AP2858" s="1115"/>
      <c r="AQ2858" s="1115"/>
      <c r="AR2858" s="1115"/>
      <c r="AS2858" s="1117"/>
      <c r="AT2858" s="1075"/>
      <c r="AU2858" s="1193"/>
      <c r="AV2858" s="330"/>
      <c r="AW2858" s="331"/>
      <c r="AX2858" s="331"/>
      <c r="AY2858" s="331"/>
      <c r="AZ2858" s="331"/>
      <c r="BA2858" s="331"/>
      <c r="BB2858" s="331"/>
      <c r="BC2858" s="331"/>
      <c r="BD2858" s="331"/>
      <c r="BE2858" s="333"/>
      <c r="BF2858" s="330"/>
      <c r="BG2858" s="333"/>
      <c r="BH2858" s="1119"/>
      <c r="BI2858" s="319"/>
      <c r="BJ2858" s="319"/>
      <c r="BK2858" s="319"/>
      <c r="BL2858" s="319"/>
      <c r="BM2858" s="319"/>
      <c r="BN2858" s="319"/>
      <c r="BO2858" s="319"/>
      <c r="BP2858" s="953"/>
      <c r="BQ2858" s="319"/>
      <c r="BR2858" s="319"/>
      <c r="BS2858" s="330"/>
      <c r="BT2858" s="331"/>
      <c r="BU2858" s="920"/>
      <c r="BV2858" s="903"/>
      <c r="BW2858" s="908"/>
      <c r="BX2858" s="908"/>
      <c r="BY2858" s="331"/>
      <c r="BZ2858" s="331"/>
      <c r="CA2858" s="462"/>
      <c r="CB2858" s="319"/>
      <c r="CC2858" s="319"/>
      <c r="CD2858" s="319"/>
      <c r="CE2858" s="319"/>
      <c r="CF2858" s="319"/>
      <c r="CG2858" s="319"/>
      <c r="CH2858" s="318"/>
      <c r="CI2858" s="319"/>
      <c r="CJ2858" s="319"/>
      <c r="CK2858" s="342"/>
      <c r="CL2858" s="333"/>
      <c r="CM2858" s="1079"/>
      <c r="CN2858" s="1005"/>
      <c r="CO2858" s="1005"/>
      <c r="CP2858" s="1005"/>
    </row>
    <row r="2859">
      <c r="A2859" s="1257"/>
      <c r="B2859" s="1113"/>
      <c r="C2859" s="1107"/>
      <c r="D2859" s="103"/>
      <c r="E2859" s="1137"/>
      <c r="F2859" s="112"/>
      <c r="G2859" s="1110"/>
      <c r="H2859" s="1138"/>
      <c r="I2859" s="1138"/>
      <c r="J2859" s="1139"/>
      <c r="K2859" s="1111"/>
      <c r="L2859" s="1112"/>
      <c r="M2859" s="1113"/>
      <c r="N2859" s="110"/>
      <c r="O2859" s="1140"/>
      <c r="P2859" s="1115"/>
      <c r="Q2859" s="1116"/>
      <c r="R2859" s="1141"/>
      <c r="S2859" s="1113"/>
      <c r="T2859" s="1143"/>
      <c r="U2859" s="1108"/>
      <c r="V2859" s="1108"/>
      <c r="W2859" s="1108"/>
      <c r="X2859" s="1108"/>
      <c r="Y2859" s="1108"/>
      <c r="Z2859" s="1114"/>
      <c r="AA2859" s="1114"/>
      <c r="AB2859" s="1114"/>
      <c r="AC2859" s="1117"/>
      <c r="AD2859" s="1115"/>
      <c r="AE2859" s="1115"/>
      <c r="AF2859" s="1115"/>
      <c r="AG2859" s="1115"/>
      <c r="AH2859" s="1115"/>
      <c r="AI2859" s="1115"/>
      <c r="AJ2859" s="1117"/>
      <c r="AK2859" s="1118"/>
      <c r="AL2859" s="1115"/>
      <c r="AM2859" s="1115"/>
      <c r="AN2859" s="1115"/>
      <c r="AO2859" s="1115"/>
      <c r="AP2859" s="1115"/>
      <c r="AQ2859" s="1115"/>
      <c r="AR2859" s="1115"/>
      <c r="AS2859" s="1117"/>
      <c r="AT2859" s="1075"/>
      <c r="AU2859" s="1193"/>
      <c r="AV2859" s="330"/>
      <c r="AW2859" s="331"/>
      <c r="AX2859" s="331"/>
      <c r="AY2859" s="331"/>
      <c r="AZ2859" s="331"/>
      <c r="BA2859" s="331"/>
      <c r="BB2859" s="331"/>
      <c r="BC2859" s="331"/>
      <c r="BD2859" s="331"/>
      <c r="BE2859" s="333"/>
      <c r="BF2859" s="330"/>
      <c r="BG2859" s="333"/>
      <c r="BH2859" s="1119"/>
      <c r="BI2859" s="319"/>
      <c r="BJ2859" s="319"/>
      <c r="BK2859" s="319"/>
      <c r="BL2859" s="319"/>
      <c r="BM2859" s="319"/>
      <c r="BN2859" s="319"/>
      <c r="BO2859" s="319"/>
      <c r="BP2859" s="953"/>
      <c r="BQ2859" s="319"/>
      <c r="BR2859" s="319"/>
      <c r="BS2859" s="330"/>
      <c r="BT2859" s="331"/>
      <c r="BU2859" s="920"/>
      <c r="BV2859" s="903"/>
      <c r="BW2859" s="908"/>
      <c r="BX2859" s="908"/>
      <c r="BY2859" s="331"/>
      <c r="BZ2859" s="331"/>
      <c r="CA2859" s="462"/>
      <c r="CB2859" s="319"/>
      <c r="CC2859" s="319"/>
      <c r="CD2859" s="319"/>
      <c r="CE2859" s="319"/>
      <c r="CF2859" s="319"/>
      <c r="CG2859" s="319"/>
      <c r="CH2859" s="318"/>
      <c r="CI2859" s="319"/>
      <c r="CJ2859" s="319"/>
      <c r="CK2859" s="342"/>
      <c r="CL2859" s="333"/>
      <c r="CM2859" s="1079"/>
      <c r="CN2859" s="1005"/>
      <c r="CO2859" s="1005"/>
      <c r="CP2859" s="1005"/>
    </row>
    <row r="2860">
      <c r="A2860" s="1257"/>
      <c r="B2860" s="1113"/>
      <c r="C2860" s="1107"/>
      <c r="D2860" s="103"/>
      <c r="E2860" s="1137"/>
      <c r="F2860" s="112"/>
      <c r="G2860" s="1110"/>
      <c r="H2860" s="1138"/>
      <c r="I2860" s="1138"/>
      <c r="J2860" s="1139"/>
      <c r="K2860" s="1111"/>
      <c r="L2860" s="1112"/>
      <c r="M2860" s="1113"/>
      <c r="N2860" s="110"/>
      <c r="O2860" s="1140"/>
      <c r="P2860" s="1115"/>
      <c r="Q2860" s="1116"/>
      <c r="R2860" s="1141"/>
      <c r="S2860" s="1113"/>
      <c r="T2860" s="1143"/>
      <c r="U2860" s="1108"/>
      <c r="V2860" s="1108"/>
      <c r="W2860" s="1108"/>
      <c r="X2860" s="1108"/>
      <c r="Y2860" s="1108"/>
      <c r="Z2860" s="1114"/>
      <c r="AA2860" s="1114"/>
      <c r="AB2860" s="1114"/>
      <c r="AC2860" s="1117"/>
      <c r="AD2860" s="1115"/>
      <c r="AE2860" s="1115"/>
      <c r="AF2860" s="1115"/>
      <c r="AG2860" s="1115"/>
      <c r="AH2860" s="1115"/>
      <c r="AI2860" s="1115"/>
      <c r="AJ2860" s="1117"/>
      <c r="AK2860" s="1118"/>
      <c r="AL2860" s="1115"/>
      <c r="AM2860" s="1115"/>
      <c r="AN2860" s="1115"/>
      <c r="AO2860" s="1115"/>
      <c r="AP2860" s="1115"/>
      <c r="AQ2860" s="1115"/>
      <c r="AR2860" s="1115"/>
      <c r="AS2860" s="1117"/>
      <c r="AT2860" s="1075"/>
      <c r="AU2860" s="1193"/>
      <c r="AV2860" s="330"/>
      <c r="AW2860" s="331"/>
      <c r="AX2860" s="331"/>
      <c r="AY2860" s="331"/>
      <c r="AZ2860" s="331"/>
      <c r="BA2860" s="331"/>
      <c r="BB2860" s="331"/>
      <c r="BC2860" s="331"/>
      <c r="BD2860" s="331"/>
      <c r="BE2860" s="333"/>
      <c r="BF2860" s="330"/>
      <c r="BG2860" s="333"/>
      <c r="BH2860" s="1119"/>
      <c r="BI2860" s="319"/>
      <c r="BJ2860" s="319"/>
      <c r="BK2860" s="319"/>
      <c r="BL2860" s="319"/>
      <c r="BM2860" s="319"/>
      <c r="BN2860" s="319"/>
      <c r="BO2860" s="319"/>
      <c r="BP2860" s="953"/>
      <c r="BQ2860" s="319"/>
      <c r="BR2860" s="319"/>
      <c r="BS2860" s="330"/>
      <c r="BT2860" s="331"/>
      <c r="BU2860" s="920"/>
      <c r="BV2860" s="903"/>
      <c r="BW2860" s="908"/>
      <c r="BX2860" s="908"/>
      <c r="BY2860" s="331"/>
      <c r="BZ2860" s="331"/>
      <c r="CA2860" s="462"/>
      <c r="CB2860" s="319"/>
      <c r="CC2860" s="319"/>
      <c r="CD2860" s="319"/>
      <c r="CE2860" s="319"/>
      <c r="CF2860" s="319"/>
      <c r="CG2860" s="319"/>
      <c r="CH2860" s="318"/>
      <c r="CI2860" s="319"/>
      <c r="CJ2860" s="319"/>
      <c r="CK2860" s="342"/>
      <c r="CL2860" s="333"/>
      <c r="CM2860" s="1079"/>
      <c r="CN2860" s="1005"/>
      <c r="CO2860" s="1005"/>
      <c r="CP2860" s="1005"/>
    </row>
    <row r="2861">
      <c r="A2861" s="1257"/>
      <c r="B2861" s="1113"/>
      <c r="C2861" s="1107"/>
      <c r="D2861" s="103"/>
      <c r="E2861" s="1137"/>
      <c r="F2861" s="112"/>
      <c r="G2861" s="1110"/>
      <c r="H2861" s="1138"/>
      <c r="I2861" s="1138"/>
      <c r="J2861" s="1139"/>
      <c r="K2861" s="1111"/>
      <c r="L2861" s="1112"/>
      <c r="M2861" s="1113"/>
      <c r="N2861" s="110"/>
      <c r="O2861" s="1140"/>
      <c r="P2861" s="1115"/>
      <c r="Q2861" s="1116"/>
      <c r="R2861" s="1141"/>
      <c r="S2861" s="1113"/>
      <c r="T2861" s="1143"/>
      <c r="U2861" s="1108"/>
      <c r="V2861" s="1108"/>
      <c r="W2861" s="1108"/>
      <c r="X2861" s="1108"/>
      <c r="Y2861" s="1108"/>
      <c r="Z2861" s="1114"/>
      <c r="AA2861" s="1114"/>
      <c r="AB2861" s="1114"/>
      <c r="AC2861" s="1117"/>
      <c r="AD2861" s="1115"/>
      <c r="AE2861" s="1115"/>
      <c r="AF2861" s="1115"/>
      <c r="AG2861" s="1115"/>
      <c r="AH2861" s="1115"/>
      <c r="AI2861" s="1115"/>
      <c r="AJ2861" s="1117"/>
      <c r="AK2861" s="1118"/>
      <c r="AL2861" s="1115"/>
      <c r="AM2861" s="1115"/>
      <c r="AN2861" s="1115"/>
      <c r="AO2861" s="1115"/>
      <c r="AP2861" s="1115"/>
      <c r="AQ2861" s="1115"/>
      <c r="AR2861" s="1115"/>
      <c r="AS2861" s="1117"/>
      <c r="AT2861" s="1075"/>
      <c r="AU2861" s="1193"/>
      <c r="AV2861" s="330"/>
      <c r="AW2861" s="331"/>
      <c r="AX2861" s="331"/>
      <c r="AY2861" s="331"/>
      <c r="AZ2861" s="331"/>
      <c r="BA2861" s="331"/>
      <c r="BB2861" s="331"/>
      <c r="BC2861" s="331"/>
      <c r="BD2861" s="331"/>
      <c r="BE2861" s="333"/>
      <c r="BF2861" s="330"/>
      <c r="BG2861" s="333"/>
      <c r="BH2861" s="1119"/>
      <c r="BI2861" s="319"/>
      <c r="BJ2861" s="319"/>
      <c r="BK2861" s="319"/>
      <c r="BL2861" s="319"/>
      <c r="BM2861" s="319"/>
      <c r="BN2861" s="319"/>
      <c r="BO2861" s="319"/>
      <c r="BP2861" s="953"/>
      <c r="BQ2861" s="319"/>
      <c r="BR2861" s="319"/>
      <c r="BS2861" s="330"/>
      <c r="BT2861" s="331"/>
      <c r="BU2861" s="920"/>
      <c r="BV2861" s="903"/>
      <c r="BW2861" s="908"/>
      <c r="BX2861" s="908"/>
      <c r="BY2861" s="331"/>
      <c r="BZ2861" s="331"/>
      <c r="CA2861" s="462"/>
      <c r="CB2861" s="319"/>
      <c r="CC2861" s="319"/>
      <c r="CD2861" s="319"/>
      <c r="CE2861" s="319"/>
      <c r="CF2861" s="319"/>
      <c r="CG2861" s="319"/>
      <c r="CH2861" s="318"/>
      <c r="CI2861" s="319"/>
      <c r="CJ2861" s="319"/>
      <c r="CK2861" s="342"/>
      <c r="CL2861" s="333"/>
      <c r="CM2861" s="1079"/>
      <c r="CN2861" s="1005"/>
      <c r="CO2861" s="1005"/>
      <c r="CP2861" s="1005"/>
    </row>
    <row r="2862">
      <c r="A2862" s="1257"/>
      <c r="B2862" s="1113"/>
      <c r="C2862" s="1107"/>
      <c r="D2862" s="103"/>
      <c r="E2862" s="1137"/>
      <c r="F2862" s="112"/>
      <c r="G2862" s="1110"/>
      <c r="H2862" s="1138"/>
      <c r="I2862" s="1138"/>
      <c r="J2862" s="1139"/>
      <c r="K2862" s="1111"/>
      <c r="L2862" s="1112"/>
      <c r="M2862" s="1113"/>
      <c r="N2862" s="110"/>
      <c r="O2862" s="1140"/>
      <c r="P2862" s="1115"/>
      <c r="Q2862" s="1116"/>
      <c r="R2862" s="1141"/>
      <c r="S2862" s="1113"/>
      <c r="T2862" s="1143"/>
      <c r="U2862" s="1108"/>
      <c r="V2862" s="1108"/>
      <c r="W2862" s="1108"/>
      <c r="X2862" s="1108"/>
      <c r="Y2862" s="1108"/>
      <c r="Z2862" s="1114"/>
      <c r="AA2862" s="1114"/>
      <c r="AB2862" s="1114"/>
      <c r="AC2862" s="1117"/>
      <c r="AD2862" s="1115"/>
      <c r="AE2862" s="1115"/>
      <c r="AF2862" s="1115"/>
      <c r="AG2862" s="1115"/>
      <c r="AH2862" s="1115"/>
      <c r="AI2862" s="1115"/>
      <c r="AJ2862" s="1117"/>
      <c r="AK2862" s="1118"/>
      <c r="AL2862" s="1115"/>
      <c r="AM2862" s="1115"/>
      <c r="AN2862" s="1115"/>
      <c r="AO2862" s="1115"/>
      <c r="AP2862" s="1115"/>
      <c r="AQ2862" s="1115"/>
      <c r="AR2862" s="1115"/>
      <c r="AS2862" s="1117"/>
      <c r="AT2862" s="1075"/>
      <c r="AU2862" s="1193"/>
      <c r="AV2862" s="330"/>
      <c r="AW2862" s="331"/>
      <c r="AX2862" s="331"/>
      <c r="AY2862" s="331"/>
      <c r="AZ2862" s="331"/>
      <c r="BA2862" s="331"/>
      <c r="BB2862" s="331"/>
      <c r="BC2862" s="331"/>
      <c r="BD2862" s="331"/>
      <c r="BE2862" s="333"/>
      <c r="BF2862" s="330"/>
      <c r="BG2862" s="333"/>
      <c r="BH2862" s="1119"/>
      <c r="BI2862" s="319"/>
      <c r="BJ2862" s="319"/>
      <c r="BK2862" s="319"/>
      <c r="BL2862" s="319"/>
      <c r="BM2862" s="319"/>
      <c r="BN2862" s="319"/>
      <c r="BO2862" s="319"/>
      <c r="BP2862" s="953"/>
      <c r="BQ2862" s="319"/>
      <c r="BR2862" s="319"/>
      <c r="BS2862" s="330"/>
      <c r="BT2862" s="331"/>
      <c r="BU2862" s="920"/>
      <c r="BV2862" s="903"/>
      <c r="BW2862" s="908"/>
      <c r="BX2862" s="908"/>
      <c r="BY2862" s="331"/>
      <c r="BZ2862" s="331"/>
      <c r="CA2862" s="462"/>
      <c r="CB2862" s="319"/>
      <c r="CC2862" s="319"/>
      <c r="CD2862" s="319"/>
      <c r="CE2862" s="319"/>
      <c r="CF2862" s="319"/>
      <c r="CG2862" s="319"/>
      <c r="CH2862" s="318"/>
      <c r="CI2862" s="319"/>
      <c r="CJ2862" s="319"/>
      <c r="CK2862" s="342"/>
      <c r="CL2862" s="333"/>
      <c r="CM2862" s="1079"/>
      <c r="CN2862" s="1005"/>
      <c r="CO2862" s="1005"/>
      <c r="CP2862" s="1005"/>
    </row>
    <row r="2863">
      <c r="A2863" s="1257"/>
      <c r="B2863" s="1113"/>
      <c r="C2863" s="1107"/>
      <c r="D2863" s="103"/>
      <c r="E2863" s="1137"/>
      <c r="F2863" s="112"/>
      <c r="G2863" s="1110"/>
      <c r="H2863" s="1138"/>
      <c r="I2863" s="1138"/>
      <c r="J2863" s="1139"/>
      <c r="K2863" s="1111"/>
      <c r="L2863" s="1112"/>
      <c r="M2863" s="1113"/>
      <c r="N2863" s="110"/>
      <c r="O2863" s="1140"/>
      <c r="P2863" s="1115"/>
      <c r="Q2863" s="1116"/>
      <c r="R2863" s="1141"/>
      <c r="S2863" s="1113"/>
      <c r="T2863" s="1143"/>
      <c r="U2863" s="1108"/>
      <c r="V2863" s="1108"/>
      <c r="W2863" s="1108"/>
      <c r="X2863" s="1108"/>
      <c r="Y2863" s="1108"/>
      <c r="Z2863" s="1114"/>
      <c r="AA2863" s="1114"/>
      <c r="AB2863" s="1114"/>
      <c r="AC2863" s="1117"/>
      <c r="AD2863" s="1115"/>
      <c r="AE2863" s="1115"/>
      <c r="AF2863" s="1115"/>
      <c r="AG2863" s="1115"/>
      <c r="AH2863" s="1115"/>
      <c r="AI2863" s="1115"/>
      <c r="AJ2863" s="1117"/>
      <c r="AK2863" s="1118"/>
      <c r="AL2863" s="1115"/>
      <c r="AM2863" s="1115"/>
      <c r="AN2863" s="1115"/>
      <c r="AO2863" s="1115"/>
      <c r="AP2863" s="1115"/>
      <c r="AQ2863" s="1115"/>
      <c r="AR2863" s="1115"/>
      <c r="AS2863" s="1117"/>
      <c r="AT2863" s="1075"/>
      <c r="AU2863" s="1193"/>
      <c r="AV2863" s="330"/>
      <c r="AW2863" s="331"/>
      <c r="AX2863" s="331"/>
      <c r="AY2863" s="331"/>
      <c r="AZ2863" s="331"/>
      <c r="BA2863" s="331"/>
      <c r="BB2863" s="331"/>
      <c r="BC2863" s="331"/>
      <c r="BD2863" s="331"/>
      <c r="BE2863" s="333"/>
      <c r="BF2863" s="330"/>
      <c r="BG2863" s="333"/>
      <c r="BH2863" s="1119"/>
      <c r="BI2863" s="319"/>
      <c r="BJ2863" s="319"/>
      <c r="BK2863" s="319"/>
      <c r="BL2863" s="319"/>
      <c r="BM2863" s="319"/>
      <c r="BN2863" s="319"/>
      <c r="BO2863" s="319"/>
      <c r="BP2863" s="953"/>
      <c r="BQ2863" s="319"/>
      <c r="BR2863" s="319"/>
      <c r="BS2863" s="330"/>
      <c r="BT2863" s="331"/>
      <c r="BU2863" s="920"/>
      <c r="BV2863" s="903"/>
      <c r="BW2863" s="908"/>
      <c r="BX2863" s="908"/>
      <c r="BY2863" s="331"/>
      <c r="BZ2863" s="331"/>
      <c r="CA2863" s="462"/>
      <c r="CB2863" s="319"/>
      <c r="CC2863" s="319"/>
      <c r="CD2863" s="319"/>
      <c r="CE2863" s="319"/>
      <c r="CF2863" s="319"/>
      <c r="CG2863" s="319"/>
      <c r="CH2863" s="318"/>
      <c r="CI2863" s="319"/>
      <c r="CJ2863" s="319"/>
      <c r="CK2863" s="342"/>
      <c r="CL2863" s="333"/>
      <c r="CM2863" s="1079"/>
      <c r="CN2863" s="1005"/>
      <c r="CO2863" s="1005"/>
      <c r="CP2863" s="1005"/>
    </row>
    <row r="2864">
      <c r="A2864" s="1257"/>
      <c r="B2864" s="1113"/>
      <c r="C2864" s="1107"/>
      <c r="D2864" s="103"/>
      <c r="E2864" s="1137"/>
      <c r="F2864" s="112"/>
      <c r="G2864" s="1110"/>
      <c r="H2864" s="1138"/>
      <c r="I2864" s="1138"/>
      <c r="J2864" s="1139"/>
      <c r="K2864" s="1111"/>
      <c r="L2864" s="1112"/>
      <c r="M2864" s="1113"/>
      <c r="N2864" s="110"/>
      <c r="O2864" s="1140"/>
      <c r="P2864" s="1115"/>
      <c r="Q2864" s="1116"/>
      <c r="R2864" s="1141"/>
      <c r="S2864" s="1113"/>
      <c r="T2864" s="1143"/>
      <c r="U2864" s="1108"/>
      <c r="V2864" s="1108"/>
      <c r="W2864" s="1108"/>
      <c r="X2864" s="1108"/>
      <c r="Y2864" s="1108"/>
      <c r="Z2864" s="1114"/>
      <c r="AA2864" s="1114"/>
      <c r="AB2864" s="1114"/>
      <c r="AC2864" s="1117"/>
      <c r="AD2864" s="1115"/>
      <c r="AE2864" s="1115"/>
      <c r="AF2864" s="1115"/>
      <c r="AG2864" s="1115"/>
      <c r="AH2864" s="1115"/>
      <c r="AI2864" s="1115"/>
      <c r="AJ2864" s="1117"/>
      <c r="AK2864" s="1118"/>
      <c r="AL2864" s="1115"/>
      <c r="AM2864" s="1115"/>
      <c r="AN2864" s="1115"/>
      <c r="AO2864" s="1115"/>
      <c r="AP2864" s="1115"/>
      <c r="AQ2864" s="1115"/>
      <c r="AR2864" s="1115"/>
      <c r="AS2864" s="1117"/>
      <c r="AT2864" s="1075"/>
      <c r="AU2864" s="1193"/>
      <c r="AV2864" s="330"/>
      <c r="AW2864" s="331"/>
      <c r="AX2864" s="331"/>
      <c r="AY2864" s="331"/>
      <c r="AZ2864" s="331"/>
      <c r="BA2864" s="331"/>
      <c r="BB2864" s="331"/>
      <c r="BC2864" s="331"/>
      <c r="BD2864" s="331"/>
      <c r="BE2864" s="333"/>
      <c r="BF2864" s="330"/>
      <c r="BG2864" s="333"/>
      <c r="BH2864" s="1119"/>
      <c r="BI2864" s="319"/>
      <c r="BJ2864" s="319"/>
      <c r="BK2864" s="319"/>
      <c r="BL2864" s="319"/>
      <c r="BM2864" s="319"/>
      <c r="BN2864" s="319"/>
      <c r="BO2864" s="319"/>
      <c r="BP2864" s="953"/>
      <c r="BQ2864" s="319"/>
      <c r="BR2864" s="319"/>
      <c r="BS2864" s="330"/>
      <c r="BT2864" s="331"/>
      <c r="BU2864" s="920"/>
      <c r="BV2864" s="903"/>
      <c r="BW2864" s="908"/>
      <c r="BX2864" s="908"/>
      <c r="BY2864" s="331"/>
      <c r="BZ2864" s="331"/>
      <c r="CA2864" s="462"/>
      <c r="CB2864" s="319"/>
      <c r="CC2864" s="319"/>
      <c r="CD2864" s="319"/>
      <c r="CE2864" s="319"/>
      <c r="CF2864" s="319"/>
      <c r="CG2864" s="319"/>
      <c r="CH2864" s="318"/>
      <c r="CI2864" s="319"/>
      <c r="CJ2864" s="319"/>
      <c r="CK2864" s="342"/>
      <c r="CL2864" s="333"/>
      <c r="CM2864" s="1079"/>
      <c r="CN2864" s="1005"/>
      <c r="CO2864" s="1005"/>
      <c r="CP2864" s="1005"/>
    </row>
    <row r="2865">
      <c r="A2865" s="1257"/>
      <c r="B2865" s="1113"/>
      <c r="C2865" s="1107"/>
      <c r="D2865" s="103"/>
      <c r="E2865" s="1137"/>
      <c r="F2865" s="112"/>
      <c r="G2865" s="1110"/>
      <c r="H2865" s="1138"/>
      <c r="I2865" s="1138"/>
      <c r="J2865" s="1139"/>
      <c r="K2865" s="1111"/>
      <c r="L2865" s="1112"/>
      <c r="M2865" s="1113"/>
      <c r="N2865" s="110"/>
      <c r="O2865" s="1140"/>
      <c r="P2865" s="1115"/>
      <c r="Q2865" s="1116"/>
      <c r="R2865" s="1141"/>
      <c r="S2865" s="1113"/>
      <c r="T2865" s="1143"/>
      <c r="U2865" s="1108"/>
      <c r="V2865" s="1108"/>
      <c r="W2865" s="1108"/>
      <c r="X2865" s="1108"/>
      <c r="Y2865" s="1108"/>
      <c r="Z2865" s="1114"/>
      <c r="AA2865" s="1114"/>
      <c r="AB2865" s="1114"/>
      <c r="AC2865" s="1117"/>
      <c r="AD2865" s="1115"/>
      <c r="AE2865" s="1115"/>
      <c r="AF2865" s="1115"/>
      <c r="AG2865" s="1115"/>
      <c r="AH2865" s="1115"/>
      <c r="AI2865" s="1115"/>
      <c r="AJ2865" s="1117"/>
      <c r="AK2865" s="1118"/>
      <c r="AL2865" s="1115"/>
      <c r="AM2865" s="1115"/>
      <c r="AN2865" s="1115"/>
      <c r="AO2865" s="1115"/>
      <c r="AP2865" s="1115"/>
      <c r="AQ2865" s="1115"/>
      <c r="AR2865" s="1115"/>
      <c r="AS2865" s="1117"/>
      <c r="AT2865" s="1075"/>
      <c r="AU2865" s="1193"/>
      <c r="AV2865" s="330"/>
      <c r="AW2865" s="331"/>
      <c r="AX2865" s="331"/>
      <c r="AY2865" s="331"/>
      <c r="AZ2865" s="331"/>
      <c r="BA2865" s="331"/>
      <c r="BB2865" s="331"/>
      <c r="BC2865" s="331"/>
      <c r="BD2865" s="331"/>
      <c r="BE2865" s="333"/>
      <c r="BF2865" s="330"/>
      <c r="BG2865" s="333"/>
      <c r="BH2865" s="1119"/>
      <c r="BI2865" s="319"/>
      <c r="BJ2865" s="319"/>
      <c r="BK2865" s="319"/>
      <c r="BL2865" s="319"/>
      <c r="BM2865" s="319"/>
      <c r="BN2865" s="319"/>
      <c r="BO2865" s="319"/>
      <c r="BP2865" s="953"/>
      <c r="BQ2865" s="319"/>
      <c r="BR2865" s="319"/>
      <c r="BS2865" s="330"/>
      <c r="BT2865" s="331"/>
      <c r="BU2865" s="920"/>
      <c r="BV2865" s="903"/>
      <c r="BW2865" s="908"/>
      <c r="BX2865" s="908"/>
      <c r="BY2865" s="331"/>
      <c r="BZ2865" s="331"/>
      <c r="CA2865" s="462"/>
      <c r="CB2865" s="319"/>
      <c r="CC2865" s="319"/>
      <c r="CD2865" s="319"/>
      <c r="CE2865" s="319"/>
      <c r="CF2865" s="319"/>
      <c r="CG2865" s="319"/>
      <c r="CH2865" s="318"/>
      <c r="CI2865" s="319"/>
      <c r="CJ2865" s="319"/>
      <c r="CK2865" s="342"/>
      <c r="CL2865" s="333"/>
      <c r="CM2865" s="1079"/>
      <c r="CN2865" s="1005"/>
      <c r="CO2865" s="1005"/>
      <c r="CP2865" s="1005"/>
    </row>
    <row r="2866">
      <c r="A2866" s="1257"/>
      <c r="B2866" s="1113"/>
      <c r="C2866" s="1107"/>
      <c r="D2866" s="103"/>
      <c r="E2866" s="1137"/>
      <c r="F2866" s="112"/>
      <c r="G2866" s="1110"/>
      <c r="H2866" s="1138"/>
      <c r="I2866" s="1138"/>
      <c r="J2866" s="1139"/>
      <c r="K2866" s="1111"/>
      <c r="L2866" s="1112"/>
      <c r="M2866" s="1113"/>
      <c r="N2866" s="110"/>
      <c r="O2866" s="1140"/>
      <c r="P2866" s="1115"/>
      <c r="Q2866" s="1116"/>
      <c r="R2866" s="1141"/>
      <c r="S2866" s="1113"/>
      <c r="T2866" s="1143"/>
      <c r="U2866" s="1108"/>
      <c r="V2866" s="1108"/>
      <c r="W2866" s="1108"/>
      <c r="X2866" s="1108"/>
      <c r="Y2866" s="1108"/>
      <c r="Z2866" s="1114"/>
      <c r="AA2866" s="1114"/>
      <c r="AB2866" s="1114"/>
      <c r="AC2866" s="1117"/>
      <c r="AD2866" s="1115"/>
      <c r="AE2866" s="1115"/>
      <c r="AF2866" s="1115"/>
      <c r="AG2866" s="1115"/>
      <c r="AH2866" s="1115"/>
      <c r="AI2866" s="1115"/>
      <c r="AJ2866" s="1117"/>
      <c r="AK2866" s="1118"/>
      <c r="AL2866" s="1115"/>
      <c r="AM2866" s="1115"/>
      <c r="AN2866" s="1115"/>
      <c r="AO2866" s="1115"/>
      <c r="AP2866" s="1115"/>
      <c r="AQ2866" s="1115"/>
      <c r="AR2866" s="1115"/>
      <c r="AS2866" s="1117"/>
      <c r="AT2866" s="1075"/>
      <c r="AU2866" s="1193"/>
      <c r="AV2866" s="330"/>
      <c r="AW2866" s="331"/>
      <c r="AX2866" s="331"/>
      <c r="AY2866" s="331"/>
      <c r="AZ2866" s="331"/>
      <c r="BA2866" s="331"/>
      <c r="BB2866" s="331"/>
      <c r="BC2866" s="331"/>
      <c r="BD2866" s="331"/>
      <c r="BE2866" s="333"/>
      <c r="BF2866" s="330"/>
      <c r="BG2866" s="333"/>
      <c r="BH2866" s="1119"/>
      <c r="BI2866" s="319"/>
      <c r="BJ2866" s="319"/>
      <c r="BK2866" s="319"/>
      <c r="BL2866" s="319"/>
      <c r="BM2866" s="319"/>
      <c r="BN2866" s="319"/>
      <c r="BO2866" s="319"/>
      <c r="BP2866" s="953"/>
      <c r="BQ2866" s="319"/>
      <c r="BR2866" s="319"/>
      <c r="BS2866" s="330"/>
      <c r="BT2866" s="331"/>
      <c r="BU2866" s="920"/>
      <c r="BV2866" s="903"/>
      <c r="BW2866" s="908"/>
      <c r="BX2866" s="908"/>
      <c r="BY2866" s="331"/>
      <c r="BZ2866" s="331"/>
      <c r="CA2866" s="462"/>
      <c r="CB2866" s="319"/>
      <c r="CC2866" s="319"/>
      <c r="CD2866" s="319"/>
      <c r="CE2866" s="319"/>
      <c r="CF2866" s="319"/>
      <c r="CG2866" s="319"/>
      <c r="CH2866" s="318"/>
      <c r="CI2866" s="319"/>
      <c r="CJ2866" s="319"/>
      <c r="CK2866" s="342"/>
      <c r="CL2866" s="333"/>
      <c r="CM2866" s="1079"/>
      <c r="CN2866" s="1005"/>
      <c r="CO2866" s="1005"/>
      <c r="CP2866" s="1005"/>
    </row>
    <row r="2867">
      <c r="A2867" s="1257"/>
      <c r="B2867" s="1113"/>
      <c r="C2867" s="1107"/>
      <c r="D2867" s="103"/>
      <c r="E2867" s="1137"/>
      <c r="F2867" s="112"/>
      <c r="G2867" s="1110"/>
      <c r="H2867" s="1138"/>
      <c r="I2867" s="1138"/>
      <c r="J2867" s="1139"/>
      <c r="K2867" s="1111"/>
      <c r="L2867" s="1112"/>
      <c r="M2867" s="1113"/>
      <c r="N2867" s="110"/>
      <c r="O2867" s="1140"/>
      <c r="P2867" s="1115"/>
      <c r="Q2867" s="1116"/>
      <c r="R2867" s="1141"/>
      <c r="S2867" s="1113"/>
      <c r="T2867" s="1143"/>
      <c r="U2867" s="1108"/>
      <c r="V2867" s="1108"/>
      <c r="W2867" s="1108"/>
      <c r="X2867" s="1108"/>
      <c r="Y2867" s="1108"/>
      <c r="Z2867" s="1114"/>
      <c r="AA2867" s="1114"/>
      <c r="AB2867" s="1114"/>
      <c r="AC2867" s="1117"/>
      <c r="AD2867" s="1115"/>
      <c r="AE2867" s="1115"/>
      <c r="AF2867" s="1115"/>
      <c r="AG2867" s="1115"/>
      <c r="AH2867" s="1115"/>
      <c r="AI2867" s="1115"/>
      <c r="AJ2867" s="1117"/>
      <c r="AK2867" s="1118"/>
      <c r="AL2867" s="1115"/>
      <c r="AM2867" s="1115"/>
      <c r="AN2867" s="1115"/>
      <c r="AO2867" s="1115"/>
      <c r="AP2867" s="1115"/>
      <c r="AQ2867" s="1115"/>
      <c r="AR2867" s="1115"/>
      <c r="AS2867" s="1117"/>
      <c r="AT2867" s="1075"/>
      <c r="AU2867" s="1193"/>
      <c r="AV2867" s="330"/>
      <c r="AW2867" s="331"/>
      <c r="AX2867" s="331"/>
      <c r="AY2867" s="331"/>
      <c r="AZ2867" s="331"/>
      <c r="BA2867" s="331"/>
      <c r="BB2867" s="331"/>
      <c r="BC2867" s="331"/>
      <c r="BD2867" s="331"/>
      <c r="BE2867" s="333"/>
      <c r="BF2867" s="330"/>
      <c r="BG2867" s="333"/>
      <c r="BH2867" s="1119"/>
      <c r="BI2867" s="319"/>
      <c r="BJ2867" s="319"/>
      <c r="BK2867" s="319"/>
      <c r="BL2867" s="319"/>
      <c r="BM2867" s="319"/>
      <c r="BN2867" s="319"/>
      <c r="BO2867" s="319"/>
      <c r="BP2867" s="953"/>
      <c r="BQ2867" s="319"/>
      <c r="BR2867" s="319"/>
      <c r="BS2867" s="330"/>
      <c r="BT2867" s="331"/>
      <c r="BU2867" s="920"/>
      <c r="BV2867" s="903"/>
      <c r="BW2867" s="908"/>
      <c r="BX2867" s="908"/>
      <c r="BY2867" s="331"/>
      <c r="BZ2867" s="331"/>
      <c r="CA2867" s="462"/>
      <c r="CB2867" s="319"/>
      <c r="CC2867" s="319"/>
      <c r="CD2867" s="319"/>
      <c r="CE2867" s="319"/>
      <c r="CF2867" s="319"/>
      <c r="CG2867" s="319"/>
      <c r="CH2867" s="318"/>
      <c r="CI2867" s="319"/>
      <c r="CJ2867" s="319"/>
      <c r="CK2867" s="342"/>
      <c r="CL2867" s="333"/>
      <c r="CM2867" s="1079"/>
      <c r="CN2867" s="1005"/>
      <c r="CO2867" s="1005"/>
      <c r="CP2867" s="1005"/>
    </row>
    <row r="2868">
      <c r="A2868" s="1257"/>
      <c r="B2868" s="1113"/>
      <c r="C2868" s="1107"/>
      <c r="D2868" s="103"/>
      <c r="E2868" s="1137"/>
      <c r="F2868" s="112"/>
      <c r="G2868" s="1110"/>
      <c r="H2868" s="1138"/>
      <c r="I2868" s="1138"/>
      <c r="J2868" s="1139"/>
      <c r="K2868" s="1111"/>
      <c r="L2868" s="1112"/>
      <c r="M2868" s="1113"/>
      <c r="N2868" s="110"/>
      <c r="O2868" s="1140"/>
      <c r="P2868" s="1115"/>
      <c r="Q2868" s="1116"/>
      <c r="R2868" s="1141"/>
      <c r="S2868" s="1113"/>
      <c r="T2868" s="1143"/>
      <c r="U2868" s="1108"/>
      <c r="V2868" s="1108"/>
      <c r="W2868" s="1108"/>
      <c r="X2868" s="1108"/>
      <c r="Y2868" s="1108"/>
      <c r="Z2868" s="1114"/>
      <c r="AA2868" s="1114"/>
      <c r="AB2868" s="1114"/>
      <c r="AC2868" s="1117"/>
      <c r="AD2868" s="1115"/>
      <c r="AE2868" s="1115"/>
      <c r="AF2868" s="1115"/>
      <c r="AG2868" s="1115"/>
      <c r="AH2868" s="1115"/>
      <c r="AI2868" s="1115"/>
      <c r="AJ2868" s="1117"/>
      <c r="AK2868" s="1118"/>
      <c r="AL2868" s="1115"/>
      <c r="AM2868" s="1115"/>
      <c r="AN2868" s="1115"/>
      <c r="AO2868" s="1115"/>
      <c r="AP2868" s="1115"/>
      <c r="AQ2868" s="1115"/>
      <c r="AR2868" s="1115"/>
      <c r="AS2868" s="1117"/>
      <c r="AT2868" s="1075"/>
      <c r="AU2868" s="1193"/>
      <c r="AV2868" s="330"/>
      <c r="AW2868" s="331"/>
      <c r="AX2868" s="331"/>
      <c r="AY2868" s="331"/>
      <c r="AZ2868" s="331"/>
      <c r="BA2868" s="331"/>
      <c r="BB2868" s="331"/>
      <c r="BC2868" s="331"/>
      <c r="BD2868" s="331"/>
      <c r="BE2868" s="333"/>
      <c r="BF2868" s="330"/>
      <c r="BG2868" s="333"/>
      <c r="BH2868" s="1119"/>
      <c r="BI2868" s="319"/>
      <c r="BJ2868" s="319"/>
      <c r="BK2868" s="319"/>
      <c r="BL2868" s="319"/>
      <c r="BM2868" s="319"/>
      <c r="BN2868" s="319"/>
      <c r="BO2868" s="319"/>
      <c r="BP2868" s="953"/>
      <c r="BQ2868" s="319"/>
      <c r="BR2868" s="319"/>
      <c r="BS2868" s="330"/>
      <c r="BT2868" s="331"/>
      <c r="BU2868" s="920"/>
      <c r="BV2868" s="903"/>
      <c r="BW2868" s="908"/>
      <c r="BX2868" s="908"/>
      <c r="BY2868" s="331"/>
      <c r="BZ2868" s="331"/>
      <c r="CA2868" s="462"/>
      <c r="CB2868" s="319"/>
      <c r="CC2868" s="319"/>
      <c r="CD2868" s="319"/>
      <c r="CE2868" s="319"/>
      <c r="CF2868" s="319"/>
      <c r="CG2868" s="319"/>
      <c r="CH2868" s="318"/>
      <c r="CI2868" s="319"/>
      <c r="CJ2868" s="319"/>
      <c r="CK2868" s="342"/>
      <c r="CL2868" s="333"/>
      <c r="CM2868" s="1079"/>
      <c r="CN2868" s="1005"/>
      <c r="CO2868" s="1005"/>
      <c r="CP2868" s="1005"/>
    </row>
    <row r="2869">
      <c r="A2869" s="1257"/>
      <c r="B2869" s="1113"/>
      <c r="C2869" s="1107"/>
      <c r="D2869" s="103"/>
      <c r="E2869" s="1137"/>
      <c r="F2869" s="112"/>
      <c r="G2869" s="1110"/>
      <c r="H2869" s="1138"/>
      <c r="I2869" s="1138"/>
      <c r="J2869" s="1139"/>
      <c r="K2869" s="1111"/>
      <c r="L2869" s="1112"/>
      <c r="M2869" s="1113"/>
      <c r="N2869" s="110"/>
      <c r="O2869" s="1140"/>
      <c r="P2869" s="1115"/>
      <c r="Q2869" s="1116"/>
      <c r="R2869" s="1141"/>
      <c r="S2869" s="1113"/>
      <c r="T2869" s="1143"/>
      <c r="U2869" s="1108"/>
      <c r="V2869" s="1108"/>
      <c r="W2869" s="1108"/>
      <c r="X2869" s="1108"/>
      <c r="Y2869" s="1108"/>
      <c r="Z2869" s="1114"/>
      <c r="AA2869" s="1114"/>
      <c r="AB2869" s="1114"/>
      <c r="AC2869" s="1117"/>
      <c r="AD2869" s="1115"/>
      <c r="AE2869" s="1115"/>
      <c r="AF2869" s="1115"/>
      <c r="AG2869" s="1115"/>
      <c r="AH2869" s="1115"/>
      <c r="AI2869" s="1115"/>
      <c r="AJ2869" s="1117"/>
      <c r="AK2869" s="1118"/>
      <c r="AL2869" s="1115"/>
      <c r="AM2869" s="1115"/>
      <c r="AN2869" s="1115"/>
      <c r="AO2869" s="1115"/>
      <c r="AP2869" s="1115"/>
      <c r="AQ2869" s="1115"/>
      <c r="AR2869" s="1115"/>
      <c r="AS2869" s="1117"/>
      <c r="AT2869" s="1075"/>
      <c r="AU2869" s="1193"/>
      <c r="AV2869" s="330"/>
      <c r="AW2869" s="331"/>
      <c r="AX2869" s="331"/>
      <c r="AY2869" s="331"/>
      <c r="AZ2869" s="331"/>
      <c r="BA2869" s="331"/>
      <c r="BB2869" s="331"/>
      <c r="BC2869" s="331"/>
      <c r="BD2869" s="331"/>
      <c r="BE2869" s="333"/>
      <c r="BF2869" s="330"/>
      <c r="BG2869" s="333"/>
      <c r="BH2869" s="1119"/>
      <c r="BI2869" s="319"/>
      <c r="BJ2869" s="319"/>
      <c r="BK2869" s="319"/>
      <c r="BL2869" s="319"/>
      <c r="BM2869" s="319"/>
      <c r="BN2869" s="319"/>
      <c r="BO2869" s="319"/>
      <c r="BP2869" s="953"/>
      <c r="BQ2869" s="319"/>
      <c r="BR2869" s="319"/>
      <c r="BS2869" s="330"/>
      <c r="BT2869" s="331"/>
      <c r="BU2869" s="920"/>
      <c r="BV2869" s="903"/>
      <c r="BW2869" s="908"/>
      <c r="BX2869" s="908"/>
      <c r="BY2869" s="331"/>
      <c r="BZ2869" s="331"/>
      <c r="CA2869" s="462"/>
      <c r="CB2869" s="319"/>
      <c r="CC2869" s="319"/>
      <c r="CD2869" s="319"/>
      <c r="CE2869" s="319"/>
      <c r="CF2869" s="319"/>
      <c r="CG2869" s="319"/>
      <c r="CH2869" s="318"/>
      <c r="CI2869" s="319"/>
      <c r="CJ2869" s="319"/>
      <c r="CK2869" s="342"/>
      <c r="CL2869" s="333"/>
      <c r="CM2869" s="1079"/>
      <c r="CN2869" s="1005"/>
      <c r="CO2869" s="1005"/>
      <c r="CP2869" s="1005"/>
    </row>
    <row r="2870">
      <c r="A2870" s="1257"/>
      <c r="B2870" s="1113"/>
      <c r="C2870" s="1107"/>
      <c r="D2870" s="103"/>
      <c r="E2870" s="1137"/>
      <c r="F2870" s="112"/>
      <c r="G2870" s="1110"/>
      <c r="H2870" s="1138"/>
      <c r="I2870" s="1138"/>
      <c r="J2870" s="1139"/>
      <c r="K2870" s="1111"/>
      <c r="L2870" s="1112"/>
      <c r="M2870" s="1113"/>
      <c r="N2870" s="110"/>
      <c r="O2870" s="1140"/>
      <c r="P2870" s="1115"/>
      <c r="Q2870" s="1116"/>
      <c r="R2870" s="1141"/>
      <c r="S2870" s="1113"/>
      <c r="T2870" s="1143"/>
      <c r="U2870" s="1108"/>
      <c r="V2870" s="1108"/>
      <c r="W2870" s="1108"/>
      <c r="X2870" s="1108"/>
      <c r="Y2870" s="1108"/>
      <c r="Z2870" s="1114"/>
      <c r="AA2870" s="1114"/>
      <c r="AB2870" s="1114"/>
      <c r="AC2870" s="1117"/>
      <c r="AD2870" s="1115"/>
      <c r="AE2870" s="1115"/>
      <c r="AF2870" s="1115"/>
      <c r="AG2870" s="1115"/>
      <c r="AH2870" s="1115"/>
      <c r="AI2870" s="1115"/>
      <c r="AJ2870" s="1117"/>
      <c r="AK2870" s="1118"/>
      <c r="AL2870" s="1115"/>
      <c r="AM2870" s="1115"/>
      <c r="AN2870" s="1115"/>
      <c r="AO2870" s="1115"/>
      <c r="AP2870" s="1115"/>
      <c r="AQ2870" s="1115"/>
      <c r="AR2870" s="1115"/>
      <c r="AS2870" s="1117"/>
      <c r="AT2870" s="1075"/>
      <c r="AU2870" s="1193"/>
      <c r="AV2870" s="330"/>
      <c r="AW2870" s="331"/>
      <c r="AX2870" s="331"/>
      <c r="AY2870" s="331"/>
      <c r="AZ2870" s="331"/>
      <c r="BA2870" s="331"/>
      <c r="BB2870" s="331"/>
      <c r="BC2870" s="331"/>
      <c r="BD2870" s="331"/>
      <c r="BE2870" s="333"/>
      <c r="BF2870" s="330"/>
      <c r="BG2870" s="333"/>
      <c r="BH2870" s="1119"/>
      <c r="BI2870" s="319"/>
      <c r="BJ2870" s="319"/>
      <c r="BK2870" s="319"/>
      <c r="BL2870" s="319"/>
      <c r="BM2870" s="319"/>
      <c r="BN2870" s="319"/>
      <c r="BO2870" s="319"/>
      <c r="BP2870" s="953"/>
      <c r="BQ2870" s="319"/>
      <c r="BR2870" s="319"/>
      <c r="BS2870" s="330"/>
      <c r="BT2870" s="331"/>
      <c r="BU2870" s="920"/>
      <c r="BV2870" s="903"/>
      <c r="BW2870" s="908"/>
      <c r="BX2870" s="908"/>
      <c r="BY2870" s="331"/>
      <c r="BZ2870" s="331"/>
      <c r="CA2870" s="462"/>
      <c r="CB2870" s="319"/>
      <c r="CC2870" s="319"/>
      <c r="CD2870" s="319"/>
      <c r="CE2870" s="319"/>
      <c r="CF2870" s="319"/>
      <c r="CG2870" s="319"/>
      <c r="CH2870" s="318"/>
      <c r="CI2870" s="319"/>
      <c r="CJ2870" s="319"/>
      <c r="CK2870" s="342"/>
      <c r="CL2870" s="333"/>
      <c r="CM2870" s="1079"/>
      <c r="CN2870" s="1005"/>
      <c r="CO2870" s="1005"/>
      <c r="CP2870" s="1005"/>
    </row>
    <row r="2871">
      <c r="A2871" s="1257"/>
      <c r="B2871" s="1113"/>
      <c r="C2871" s="1107"/>
      <c r="D2871" s="103"/>
      <c r="E2871" s="1137"/>
      <c r="F2871" s="112"/>
      <c r="G2871" s="1110"/>
      <c r="H2871" s="1138"/>
      <c r="I2871" s="1138"/>
      <c r="J2871" s="1139"/>
      <c r="K2871" s="1111"/>
      <c r="L2871" s="1112"/>
      <c r="M2871" s="1113"/>
      <c r="N2871" s="110"/>
      <c r="O2871" s="1140"/>
      <c r="P2871" s="1115"/>
      <c r="Q2871" s="1116"/>
      <c r="R2871" s="1141"/>
      <c r="S2871" s="1113"/>
      <c r="T2871" s="1143"/>
      <c r="U2871" s="1108"/>
      <c r="V2871" s="1108"/>
      <c r="W2871" s="1108"/>
      <c r="X2871" s="1108"/>
      <c r="Y2871" s="1108"/>
      <c r="Z2871" s="1114"/>
      <c r="AA2871" s="1114"/>
      <c r="AB2871" s="1114"/>
      <c r="AC2871" s="1117"/>
      <c r="AD2871" s="1115"/>
      <c r="AE2871" s="1115"/>
      <c r="AF2871" s="1115"/>
      <c r="AG2871" s="1115"/>
      <c r="AH2871" s="1115"/>
      <c r="AI2871" s="1115"/>
      <c r="AJ2871" s="1117"/>
      <c r="AK2871" s="1118"/>
      <c r="AL2871" s="1115"/>
      <c r="AM2871" s="1115"/>
      <c r="AN2871" s="1115"/>
      <c r="AO2871" s="1115"/>
      <c r="AP2871" s="1115"/>
      <c r="AQ2871" s="1115"/>
      <c r="AR2871" s="1115"/>
      <c r="AS2871" s="1117"/>
      <c r="AT2871" s="1075"/>
      <c r="AU2871" s="1193"/>
      <c r="AV2871" s="330"/>
      <c r="AW2871" s="331"/>
      <c r="AX2871" s="331"/>
      <c r="AY2871" s="331"/>
      <c r="AZ2871" s="331"/>
      <c r="BA2871" s="331"/>
      <c r="BB2871" s="331"/>
      <c r="BC2871" s="331"/>
      <c r="BD2871" s="331"/>
      <c r="BE2871" s="333"/>
      <c r="BF2871" s="330"/>
      <c r="BG2871" s="333"/>
      <c r="BH2871" s="1119"/>
      <c r="BI2871" s="319"/>
      <c r="BJ2871" s="319"/>
      <c r="BK2871" s="319"/>
      <c r="BL2871" s="319"/>
      <c r="BM2871" s="319"/>
      <c r="BN2871" s="319"/>
      <c r="BO2871" s="319"/>
      <c r="BP2871" s="953"/>
      <c r="BQ2871" s="319"/>
      <c r="BR2871" s="319"/>
      <c r="BS2871" s="330"/>
      <c r="BT2871" s="331"/>
      <c r="BU2871" s="920"/>
      <c r="BV2871" s="903"/>
      <c r="BW2871" s="908"/>
      <c r="BX2871" s="908"/>
      <c r="BY2871" s="331"/>
      <c r="BZ2871" s="331"/>
      <c r="CA2871" s="462"/>
      <c r="CB2871" s="319"/>
      <c r="CC2871" s="319"/>
      <c r="CD2871" s="319"/>
      <c r="CE2871" s="319"/>
      <c r="CF2871" s="319"/>
      <c r="CG2871" s="319"/>
      <c r="CH2871" s="318"/>
      <c r="CI2871" s="319"/>
      <c r="CJ2871" s="319"/>
      <c r="CK2871" s="342"/>
      <c r="CL2871" s="333"/>
      <c r="CM2871" s="1079"/>
      <c r="CN2871" s="1005"/>
      <c r="CO2871" s="1005"/>
      <c r="CP2871" s="1005"/>
    </row>
    <row r="2872">
      <c r="A2872" s="1257"/>
      <c r="B2872" s="1113"/>
      <c r="C2872" s="1107"/>
      <c r="D2872" s="103"/>
      <c r="E2872" s="1137"/>
      <c r="F2872" s="112"/>
      <c r="G2872" s="1110"/>
      <c r="H2872" s="1138"/>
      <c r="I2872" s="1138"/>
      <c r="J2872" s="1139"/>
      <c r="K2872" s="1111"/>
      <c r="L2872" s="1112"/>
      <c r="M2872" s="1113"/>
      <c r="N2872" s="110"/>
      <c r="O2872" s="1140"/>
      <c r="P2872" s="1115"/>
      <c r="Q2872" s="1116"/>
      <c r="R2872" s="1141"/>
      <c r="S2872" s="1113"/>
      <c r="T2872" s="1143"/>
      <c r="U2872" s="1108"/>
      <c r="V2872" s="1108"/>
      <c r="W2872" s="1108"/>
      <c r="X2872" s="1108"/>
      <c r="Y2872" s="1108"/>
      <c r="Z2872" s="1114"/>
      <c r="AA2872" s="1114"/>
      <c r="AB2872" s="1114"/>
      <c r="AC2872" s="1117"/>
      <c r="AD2872" s="1115"/>
      <c r="AE2872" s="1115"/>
      <c r="AF2872" s="1115"/>
      <c r="AG2872" s="1115"/>
      <c r="AH2872" s="1115"/>
      <c r="AI2872" s="1115"/>
      <c r="AJ2872" s="1117"/>
      <c r="AK2872" s="1118"/>
      <c r="AL2872" s="1115"/>
      <c r="AM2872" s="1115"/>
      <c r="AN2872" s="1115"/>
      <c r="AO2872" s="1115"/>
      <c r="AP2872" s="1115"/>
      <c r="AQ2872" s="1115"/>
      <c r="AR2872" s="1115"/>
      <c r="AS2872" s="1117"/>
      <c r="AT2872" s="1075"/>
      <c r="AU2872" s="1193"/>
      <c r="AV2872" s="330"/>
      <c r="AW2872" s="331"/>
      <c r="AX2872" s="331"/>
      <c r="AY2872" s="331"/>
      <c r="AZ2872" s="331"/>
      <c r="BA2872" s="331"/>
      <c r="BB2872" s="331"/>
      <c r="BC2872" s="331"/>
      <c r="BD2872" s="331"/>
      <c r="BE2872" s="333"/>
      <c r="BF2872" s="330"/>
      <c r="BG2872" s="333"/>
      <c r="BH2872" s="1119"/>
      <c r="BI2872" s="319"/>
      <c r="BJ2872" s="319"/>
      <c r="BK2872" s="319"/>
      <c r="BL2872" s="319"/>
      <c r="BM2872" s="319"/>
      <c r="BN2872" s="319"/>
      <c r="BO2872" s="319"/>
      <c r="BP2872" s="953"/>
      <c r="BQ2872" s="319"/>
      <c r="BR2872" s="319"/>
      <c r="BS2872" s="330"/>
      <c r="BT2872" s="331"/>
      <c r="BU2872" s="920"/>
      <c r="BV2872" s="903"/>
      <c r="BW2872" s="908"/>
      <c r="BX2872" s="908"/>
      <c r="BY2872" s="331"/>
      <c r="BZ2872" s="331"/>
      <c r="CA2872" s="462"/>
      <c r="CB2872" s="319"/>
      <c r="CC2872" s="319"/>
      <c r="CD2872" s="319"/>
      <c r="CE2872" s="319"/>
      <c r="CF2872" s="319"/>
      <c r="CG2872" s="319"/>
      <c r="CH2872" s="318"/>
      <c r="CI2872" s="319"/>
      <c r="CJ2872" s="319"/>
      <c r="CK2872" s="342"/>
      <c r="CL2872" s="333"/>
      <c r="CM2872" s="1079"/>
      <c r="CN2872" s="1005"/>
      <c r="CO2872" s="1005"/>
      <c r="CP2872" s="1005"/>
    </row>
    <row r="2873">
      <c r="A2873" s="1257"/>
      <c r="B2873" s="1113"/>
      <c r="C2873" s="1107"/>
      <c r="D2873" s="103"/>
      <c r="E2873" s="1137"/>
      <c r="F2873" s="112"/>
      <c r="G2873" s="1110"/>
      <c r="H2873" s="1138"/>
      <c r="I2873" s="1138"/>
      <c r="J2873" s="1139"/>
      <c r="K2873" s="1111"/>
      <c r="L2873" s="1112"/>
      <c r="M2873" s="1113"/>
      <c r="N2873" s="110"/>
      <c r="O2873" s="1140"/>
      <c r="P2873" s="1115"/>
      <c r="Q2873" s="1116"/>
      <c r="R2873" s="1141"/>
      <c r="S2873" s="1113"/>
      <c r="T2873" s="1143"/>
      <c r="U2873" s="1108"/>
      <c r="V2873" s="1108"/>
      <c r="W2873" s="1108"/>
      <c r="X2873" s="1108"/>
      <c r="Y2873" s="1108"/>
      <c r="Z2873" s="1114"/>
      <c r="AA2873" s="1114"/>
      <c r="AB2873" s="1114"/>
      <c r="AC2873" s="1117"/>
      <c r="AD2873" s="1115"/>
      <c r="AE2873" s="1115"/>
      <c r="AF2873" s="1115"/>
      <c r="AG2873" s="1115"/>
      <c r="AH2873" s="1115"/>
      <c r="AI2873" s="1115"/>
      <c r="AJ2873" s="1117"/>
      <c r="AK2873" s="1118"/>
      <c r="AL2873" s="1115"/>
      <c r="AM2873" s="1115"/>
      <c r="AN2873" s="1115"/>
      <c r="AO2873" s="1115"/>
      <c r="AP2873" s="1115"/>
      <c r="AQ2873" s="1115"/>
      <c r="AR2873" s="1115"/>
      <c r="AS2873" s="1117"/>
      <c r="AT2873" s="1075"/>
      <c r="AU2873" s="1193"/>
      <c r="AV2873" s="330"/>
      <c r="AW2873" s="331"/>
      <c r="AX2873" s="331"/>
      <c r="AY2873" s="331"/>
      <c r="AZ2873" s="331"/>
      <c r="BA2873" s="331"/>
      <c r="BB2873" s="331"/>
      <c r="BC2873" s="331"/>
      <c r="BD2873" s="331"/>
      <c r="BE2873" s="333"/>
      <c r="BF2873" s="330"/>
      <c r="BG2873" s="333"/>
      <c r="BH2873" s="1119"/>
      <c r="BI2873" s="319"/>
      <c r="BJ2873" s="319"/>
      <c r="BK2873" s="319"/>
      <c r="BL2873" s="319"/>
      <c r="BM2873" s="319"/>
      <c r="BN2873" s="319"/>
      <c r="BO2873" s="319"/>
      <c r="BP2873" s="953"/>
      <c r="BQ2873" s="319"/>
      <c r="BR2873" s="319"/>
      <c r="BS2873" s="330"/>
      <c r="BT2873" s="331"/>
      <c r="BU2873" s="920"/>
      <c r="BV2873" s="903"/>
      <c r="BW2873" s="908"/>
      <c r="BX2873" s="908"/>
      <c r="BY2873" s="331"/>
      <c r="BZ2873" s="331"/>
      <c r="CA2873" s="462"/>
      <c r="CB2873" s="319"/>
      <c r="CC2873" s="319"/>
      <c r="CD2873" s="319"/>
      <c r="CE2873" s="319"/>
      <c r="CF2873" s="319"/>
      <c r="CG2873" s="319"/>
      <c r="CH2873" s="318"/>
      <c r="CI2873" s="319"/>
      <c r="CJ2873" s="319"/>
      <c r="CK2873" s="342"/>
      <c r="CL2873" s="333"/>
      <c r="CM2873" s="1079"/>
      <c r="CN2873" s="1005"/>
      <c r="CO2873" s="1005"/>
      <c r="CP2873" s="1005"/>
    </row>
    <row r="2874">
      <c r="A2874" s="1257"/>
      <c r="B2874" s="1113"/>
      <c r="C2874" s="1107"/>
      <c r="D2874" s="103"/>
      <c r="E2874" s="1137"/>
      <c r="F2874" s="112"/>
      <c r="G2874" s="1110"/>
      <c r="H2874" s="1138"/>
      <c r="I2874" s="1138"/>
      <c r="J2874" s="1139"/>
      <c r="K2874" s="1111"/>
      <c r="L2874" s="1112"/>
      <c r="M2874" s="1113"/>
      <c r="N2874" s="110"/>
      <c r="O2874" s="1140"/>
      <c r="P2874" s="1115"/>
      <c r="Q2874" s="1116"/>
      <c r="R2874" s="1141"/>
      <c r="S2874" s="1113"/>
      <c r="T2874" s="1143"/>
      <c r="U2874" s="1108"/>
      <c r="V2874" s="1108"/>
      <c r="W2874" s="1108"/>
      <c r="X2874" s="1108"/>
      <c r="Y2874" s="1108"/>
      <c r="Z2874" s="1114"/>
      <c r="AA2874" s="1114"/>
      <c r="AB2874" s="1114"/>
      <c r="AC2874" s="1117"/>
      <c r="AD2874" s="1115"/>
      <c r="AE2874" s="1115"/>
      <c r="AF2874" s="1115"/>
      <c r="AG2874" s="1115"/>
      <c r="AH2874" s="1115"/>
      <c r="AI2874" s="1115"/>
      <c r="AJ2874" s="1117"/>
      <c r="AK2874" s="1118"/>
      <c r="AL2874" s="1115"/>
      <c r="AM2874" s="1115"/>
      <c r="AN2874" s="1115"/>
      <c r="AO2874" s="1115"/>
      <c r="AP2874" s="1115"/>
      <c r="AQ2874" s="1115"/>
      <c r="AR2874" s="1115"/>
      <c r="AS2874" s="1117"/>
      <c r="AT2874" s="1075"/>
      <c r="AU2874" s="1193"/>
      <c r="AV2874" s="330"/>
      <c r="AW2874" s="331"/>
      <c r="AX2874" s="331"/>
      <c r="AY2874" s="331"/>
      <c r="AZ2874" s="331"/>
      <c r="BA2874" s="331"/>
      <c r="BB2874" s="331"/>
      <c r="BC2874" s="331"/>
      <c r="BD2874" s="331"/>
      <c r="BE2874" s="333"/>
      <c r="BF2874" s="330"/>
      <c r="BG2874" s="333"/>
      <c r="BH2874" s="1119"/>
      <c r="BI2874" s="319"/>
      <c r="BJ2874" s="319"/>
      <c r="BK2874" s="319"/>
      <c r="BL2874" s="319"/>
      <c r="BM2874" s="319"/>
      <c r="BN2874" s="319"/>
      <c r="BO2874" s="319"/>
      <c r="BP2874" s="953"/>
      <c r="BQ2874" s="319"/>
      <c r="BR2874" s="319"/>
      <c r="BS2874" s="330"/>
      <c r="BT2874" s="331"/>
      <c r="BU2874" s="920"/>
      <c r="BV2874" s="903"/>
      <c r="BW2874" s="908"/>
      <c r="BX2874" s="908"/>
      <c r="BY2874" s="331"/>
      <c r="BZ2874" s="331"/>
      <c r="CA2874" s="462"/>
      <c r="CB2874" s="319"/>
      <c r="CC2874" s="319"/>
      <c r="CD2874" s="319"/>
      <c r="CE2874" s="319"/>
      <c r="CF2874" s="319"/>
      <c r="CG2874" s="319"/>
      <c r="CH2874" s="318"/>
      <c r="CI2874" s="319"/>
      <c r="CJ2874" s="319"/>
      <c r="CK2874" s="342"/>
      <c r="CL2874" s="333"/>
      <c r="CM2874" s="1079"/>
      <c r="CN2874" s="1005"/>
      <c r="CO2874" s="1005"/>
      <c r="CP2874" s="1005"/>
    </row>
    <row r="2875">
      <c r="A2875" s="1257"/>
      <c r="B2875" s="1113"/>
      <c r="C2875" s="1107"/>
      <c r="D2875" s="103"/>
      <c r="E2875" s="1137"/>
      <c r="F2875" s="112"/>
      <c r="G2875" s="1110"/>
      <c r="H2875" s="1138"/>
      <c r="I2875" s="1138"/>
      <c r="J2875" s="1139"/>
      <c r="K2875" s="1111"/>
      <c r="L2875" s="1112"/>
      <c r="M2875" s="1113"/>
      <c r="N2875" s="110"/>
      <c r="O2875" s="1140"/>
      <c r="P2875" s="1115"/>
      <c r="Q2875" s="1116"/>
      <c r="R2875" s="1141"/>
      <c r="S2875" s="1113"/>
      <c r="T2875" s="1143"/>
      <c r="U2875" s="1108"/>
      <c r="V2875" s="1108"/>
      <c r="W2875" s="1108"/>
      <c r="X2875" s="1108"/>
      <c r="Y2875" s="1108"/>
      <c r="Z2875" s="1114"/>
      <c r="AA2875" s="1114"/>
      <c r="AB2875" s="1114"/>
      <c r="AC2875" s="1117"/>
      <c r="AD2875" s="1115"/>
      <c r="AE2875" s="1115"/>
      <c r="AF2875" s="1115"/>
      <c r="AG2875" s="1115"/>
      <c r="AH2875" s="1115"/>
      <c r="AI2875" s="1115"/>
      <c r="AJ2875" s="1117"/>
      <c r="AK2875" s="1118"/>
      <c r="AL2875" s="1115"/>
      <c r="AM2875" s="1115"/>
      <c r="AN2875" s="1115"/>
      <c r="AO2875" s="1115"/>
      <c r="AP2875" s="1115"/>
      <c r="AQ2875" s="1115"/>
      <c r="AR2875" s="1115"/>
      <c r="AS2875" s="1117"/>
      <c r="AT2875" s="1075"/>
      <c r="AU2875" s="1193"/>
      <c r="AV2875" s="330"/>
      <c r="AW2875" s="331"/>
      <c r="AX2875" s="331"/>
      <c r="AY2875" s="331"/>
      <c r="AZ2875" s="331"/>
      <c r="BA2875" s="331"/>
      <c r="BB2875" s="331"/>
      <c r="BC2875" s="331"/>
      <c r="BD2875" s="331"/>
      <c r="BE2875" s="333"/>
      <c r="BF2875" s="330"/>
      <c r="BG2875" s="333"/>
      <c r="BH2875" s="1119"/>
      <c r="BI2875" s="319"/>
      <c r="BJ2875" s="319"/>
      <c r="BK2875" s="319"/>
      <c r="BL2875" s="319"/>
      <c r="BM2875" s="319"/>
      <c r="BN2875" s="319"/>
      <c r="BO2875" s="319"/>
      <c r="BP2875" s="953"/>
      <c r="BQ2875" s="319"/>
      <c r="BR2875" s="319"/>
      <c r="BS2875" s="330"/>
      <c r="BT2875" s="331"/>
      <c r="BU2875" s="920"/>
      <c r="BV2875" s="903"/>
      <c r="BW2875" s="908"/>
      <c r="BX2875" s="908"/>
      <c r="BY2875" s="331"/>
      <c r="BZ2875" s="331"/>
      <c r="CA2875" s="462"/>
      <c r="CB2875" s="319"/>
      <c r="CC2875" s="319"/>
      <c r="CD2875" s="319"/>
      <c r="CE2875" s="319"/>
      <c r="CF2875" s="319"/>
      <c r="CG2875" s="319"/>
      <c r="CH2875" s="318"/>
      <c r="CI2875" s="319"/>
      <c r="CJ2875" s="319"/>
      <c r="CK2875" s="342"/>
      <c r="CL2875" s="333"/>
      <c r="CM2875" s="1079"/>
      <c r="CN2875" s="1005"/>
      <c r="CO2875" s="1005"/>
      <c r="CP2875" s="1005"/>
    </row>
    <row r="2876">
      <c r="A2876" s="1257"/>
      <c r="B2876" s="1113"/>
      <c r="C2876" s="1107"/>
      <c r="D2876" s="103"/>
      <c r="E2876" s="1137"/>
      <c r="F2876" s="112"/>
      <c r="G2876" s="1110"/>
      <c r="H2876" s="1138"/>
      <c r="I2876" s="1138"/>
      <c r="J2876" s="1139"/>
      <c r="K2876" s="1111"/>
      <c r="L2876" s="1112"/>
      <c r="M2876" s="1113"/>
      <c r="N2876" s="110"/>
      <c r="O2876" s="1140"/>
      <c r="P2876" s="1115"/>
      <c r="Q2876" s="1116"/>
      <c r="R2876" s="1141"/>
      <c r="S2876" s="1113"/>
      <c r="T2876" s="1143"/>
      <c r="U2876" s="1108"/>
      <c r="V2876" s="1108"/>
      <c r="W2876" s="1108"/>
      <c r="X2876" s="1108"/>
      <c r="Y2876" s="1108"/>
      <c r="Z2876" s="1114"/>
      <c r="AA2876" s="1114"/>
      <c r="AB2876" s="1114"/>
      <c r="AC2876" s="1117"/>
      <c r="AD2876" s="1115"/>
      <c r="AE2876" s="1115"/>
      <c r="AF2876" s="1115"/>
      <c r="AG2876" s="1115"/>
      <c r="AH2876" s="1115"/>
      <c r="AI2876" s="1115"/>
      <c r="AJ2876" s="1117"/>
      <c r="AK2876" s="1118"/>
      <c r="AL2876" s="1115"/>
      <c r="AM2876" s="1115"/>
      <c r="AN2876" s="1115"/>
      <c r="AO2876" s="1115"/>
      <c r="AP2876" s="1115"/>
      <c r="AQ2876" s="1115"/>
      <c r="AR2876" s="1115"/>
      <c r="AS2876" s="1117"/>
      <c r="AT2876" s="1075"/>
      <c r="AU2876" s="1193"/>
      <c r="AV2876" s="330"/>
      <c r="AW2876" s="331"/>
      <c r="AX2876" s="331"/>
      <c r="AY2876" s="331"/>
      <c r="AZ2876" s="331"/>
      <c r="BA2876" s="331"/>
      <c r="BB2876" s="331"/>
      <c r="BC2876" s="331"/>
      <c r="BD2876" s="331"/>
      <c r="BE2876" s="333"/>
      <c r="BF2876" s="330"/>
      <c r="BG2876" s="333"/>
      <c r="BH2876" s="1119"/>
      <c r="BI2876" s="319"/>
      <c r="BJ2876" s="319"/>
      <c r="BK2876" s="319"/>
      <c r="BL2876" s="319"/>
      <c r="BM2876" s="319"/>
      <c r="BN2876" s="319"/>
      <c r="BO2876" s="319"/>
      <c r="BP2876" s="953"/>
      <c r="BQ2876" s="319"/>
      <c r="BR2876" s="319"/>
      <c r="BS2876" s="330"/>
      <c r="BT2876" s="331"/>
      <c r="BU2876" s="920"/>
      <c r="BV2876" s="903"/>
      <c r="BW2876" s="908"/>
      <c r="BX2876" s="908"/>
      <c r="BY2876" s="331"/>
      <c r="BZ2876" s="331"/>
      <c r="CA2876" s="462"/>
      <c r="CB2876" s="319"/>
      <c r="CC2876" s="319"/>
      <c r="CD2876" s="319"/>
      <c r="CE2876" s="319"/>
      <c r="CF2876" s="319"/>
      <c r="CG2876" s="319"/>
      <c r="CH2876" s="318"/>
      <c r="CI2876" s="319"/>
      <c r="CJ2876" s="319"/>
      <c r="CK2876" s="342"/>
      <c r="CL2876" s="333"/>
      <c r="CM2876" s="1079"/>
      <c r="CN2876" s="1005"/>
      <c r="CO2876" s="1005"/>
      <c r="CP2876" s="1005"/>
    </row>
    <row r="2877">
      <c r="A2877" s="1257"/>
      <c r="B2877" s="1113"/>
      <c r="C2877" s="1107"/>
      <c r="D2877" s="103"/>
      <c r="E2877" s="1137"/>
      <c r="F2877" s="112"/>
      <c r="G2877" s="1110"/>
      <c r="H2877" s="1138"/>
      <c r="I2877" s="1138"/>
      <c r="J2877" s="1139"/>
      <c r="K2877" s="1111"/>
      <c r="L2877" s="1112"/>
      <c r="M2877" s="1113"/>
      <c r="N2877" s="110"/>
      <c r="O2877" s="1140"/>
      <c r="P2877" s="1115"/>
      <c r="Q2877" s="1116"/>
      <c r="R2877" s="1141"/>
      <c r="S2877" s="1113"/>
      <c r="T2877" s="1143"/>
      <c r="U2877" s="1108"/>
      <c r="V2877" s="1108"/>
      <c r="W2877" s="1108"/>
      <c r="X2877" s="1108"/>
      <c r="Y2877" s="1108"/>
      <c r="Z2877" s="1114"/>
      <c r="AA2877" s="1114"/>
      <c r="AB2877" s="1114"/>
      <c r="AC2877" s="1117"/>
      <c r="AD2877" s="1115"/>
      <c r="AE2877" s="1115"/>
      <c r="AF2877" s="1115"/>
      <c r="AG2877" s="1115"/>
      <c r="AH2877" s="1115"/>
      <c r="AI2877" s="1115"/>
      <c r="AJ2877" s="1117"/>
      <c r="AK2877" s="1118"/>
      <c r="AL2877" s="1115"/>
      <c r="AM2877" s="1115"/>
      <c r="AN2877" s="1115"/>
      <c r="AO2877" s="1115"/>
      <c r="AP2877" s="1115"/>
      <c r="AQ2877" s="1115"/>
      <c r="AR2877" s="1115"/>
      <c r="AS2877" s="1117"/>
      <c r="AT2877" s="1075"/>
      <c r="AU2877" s="1193"/>
      <c r="AV2877" s="330"/>
      <c r="AW2877" s="331"/>
      <c r="AX2877" s="331"/>
      <c r="AY2877" s="331"/>
      <c r="AZ2877" s="331"/>
      <c r="BA2877" s="331"/>
      <c r="BB2877" s="331"/>
      <c r="BC2877" s="331"/>
      <c r="BD2877" s="331"/>
      <c r="BE2877" s="333"/>
      <c r="BF2877" s="330"/>
      <c r="BG2877" s="333"/>
      <c r="BH2877" s="1119"/>
      <c r="BI2877" s="319"/>
      <c r="BJ2877" s="319"/>
      <c r="BK2877" s="319"/>
      <c r="BL2877" s="319"/>
      <c r="BM2877" s="319"/>
      <c r="BN2877" s="319"/>
      <c r="BO2877" s="319"/>
      <c r="BP2877" s="953"/>
      <c r="BQ2877" s="319"/>
      <c r="BR2877" s="319"/>
      <c r="BS2877" s="330"/>
      <c r="BT2877" s="331"/>
      <c r="BU2877" s="920"/>
      <c r="BV2877" s="903"/>
      <c r="BW2877" s="908"/>
      <c r="BX2877" s="908"/>
      <c r="BY2877" s="331"/>
      <c r="BZ2877" s="331"/>
      <c r="CA2877" s="462"/>
      <c r="CB2877" s="319"/>
      <c r="CC2877" s="319"/>
      <c r="CD2877" s="319"/>
      <c r="CE2877" s="319"/>
      <c r="CF2877" s="319"/>
      <c r="CG2877" s="319"/>
      <c r="CH2877" s="318"/>
      <c r="CI2877" s="319"/>
      <c r="CJ2877" s="319"/>
      <c r="CK2877" s="342"/>
      <c r="CL2877" s="333"/>
      <c r="CM2877" s="1079"/>
      <c r="CN2877" s="1005"/>
      <c r="CO2877" s="1005"/>
      <c r="CP2877" s="1005"/>
    </row>
    <row r="2878">
      <c r="A2878" s="1257"/>
      <c r="B2878" s="1113"/>
      <c r="C2878" s="1107"/>
      <c r="D2878" s="103"/>
      <c r="E2878" s="1137"/>
      <c r="F2878" s="112"/>
      <c r="G2878" s="1110"/>
      <c r="H2878" s="1138"/>
      <c r="I2878" s="1138"/>
      <c r="J2878" s="1139"/>
      <c r="K2878" s="1111"/>
      <c r="L2878" s="1112"/>
      <c r="M2878" s="1113"/>
      <c r="N2878" s="110"/>
      <c r="O2878" s="1140"/>
      <c r="P2878" s="1115"/>
      <c r="Q2878" s="1116"/>
      <c r="R2878" s="1141"/>
      <c r="S2878" s="1113"/>
      <c r="T2878" s="1143"/>
      <c r="U2878" s="1108"/>
      <c r="V2878" s="1108"/>
      <c r="W2878" s="1108"/>
      <c r="X2878" s="1108"/>
      <c r="Y2878" s="1108"/>
      <c r="Z2878" s="1114"/>
      <c r="AA2878" s="1114"/>
      <c r="AB2878" s="1114"/>
      <c r="AC2878" s="1117"/>
      <c r="AD2878" s="1115"/>
      <c r="AE2878" s="1115"/>
      <c r="AF2878" s="1115"/>
      <c r="AG2878" s="1115"/>
      <c r="AH2878" s="1115"/>
      <c r="AI2878" s="1115"/>
      <c r="AJ2878" s="1117"/>
      <c r="AK2878" s="1118"/>
      <c r="AL2878" s="1115"/>
      <c r="AM2878" s="1115"/>
      <c r="AN2878" s="1115"/>
      <c r="AO2878" s="1115"/>
      <c r="AP2878" s="1115"/>
      <c r="AQ2878" s="1115"/>
      <c r="AR2878" s="1115"/>
      <c r="AS2878" s="1117"/>
      <c r="AT2878" s="1075"/>
      <c r="AU2878" s="1193"/>
      <c r="AV2878" s="330"/>
      <c r="AW2878" s="331"/>
      <c r="AX2878" s="331"/>
      <c r="AY2878" s="331"/>
      <c r="AZ2878" s="331"/>
      <c r="BA2878" s="331"/>
      <c r="BB2878" s="331"/>
      <c r="BC2878" s="331"/>
      <c r="BD2878" s="331"/>
      <c r="BE2878" s="333"/>
      <c r="BF2878" s="330"/>
      <c r="BG2878" s="333"/>
      <c r="BH2878" s="1119"/>
      <c r="BI2878" s="319"/>
      <c r="BJ2878" s="319"/>
      <c r="BK2878" s="319"/>
      <c r="BL2878" s="319"/>
      <c r="BM2878" s="319"/>
      <c r="BN2878" s="319"/>
      <c r="BO2878" s="319"/>
      <c r="BP2878" s="953"/>
      <c r="BQ2878" s="319"/>
      <c r="BR2878" s="319"/>
      <c r="BS2878" s="330"/>
      <c r="BT2878" s="331"/>
      <c r="BU2878" s="920"/>
      <c r="BV2878" s="903"/>
      <c r="BW2878" s="908"/>
      <c r="BX2878" s="908"/>
      <c r="BY2878" s="331"/>
      <c r="BZ2878" s="331"/>
      <c r="CA2878" s="462"/>
      <c r="CB2878" s="319"/>
      <c r="CC2878" s="319"/>
      <c r="CD2878" s="319"/>
      <c r="CE2878" s="319"/>
      <c r="CF2878" s="319"/>
      <c r="CG2878" s="319"/>
      <c r="CH2878" s="318"/>
      <c r="CI2878" s="319"/>
      <c r="CJ2878" s="319"/>
      <c r="CK2878" s="342"/>
      <c r="CL2878" s="333"/>
      <c r="CM2878" s="1079"/>
      <c r="CN2878" s="1005"/>
      <c r="CO2878" s="1005"/>
      <c r="CP2878" s="1005"/>
    </row>
    <row r="2879">
      <c r="A2879" s="1257"/>
      <c r="B2879" s="1113"/>
      <c r="C2879" s="1107"/>
      <c r="D2879" s="103"/>
      <c r="E2879" s="1137"/>
      <c r="F2879" s="112"/>
      <c r="G2879" s="1110"/>
      <c r="H2879" s="1138"/>
      <c r="I2879" s="1138"/>
      <c r="J2879" s="1139"/>
      <c r="K2879" s="1111"/>
      <c r="L2879" s="1112"/>
      <c r="M2879" s="1113"/>
      <c r="N2879" s="110"/>
      <c r="O2879" s="1140"/>
      <c r="P2879" s="1115"/>
      <c r="Q2879" s="1116"/>
      <c r="R2879" s="1141"/>
      <c r="S2879" s="1113"/>
      <c r="T2879" s="1143"/>
      <c r="U2879" s="1108"/>
      <c r="V2879" s="1108"/>
      <c r="W2879" s="1108"/>
      <c r="X2879" s="1108"/>
      <c r="Y2879" s="1108"/>
      <c r="Z2879" s="1114"/>
      <c r="AA2879" s="1114"/>
      <c r="AB2879" s="1114"/>
      <c r="AC2879" s="1117"/>
      <c r="AD2879" s="1115"/>
      <c r="AE2879" s="1115"/>
      <c r="AF2879" s="1115"/>
      <c r="AG2879" s="1115"/>
      <c r="AH2879" s="1115"/>
      <c r="AI2879" s="1115"/>
      <c r="AJ2879" s="1117"/>
      <c r="AK2879" s="1118"/>
      <c r="AL2879" s="1115"/>
      <c r="AM2879" s="1115"/>
      <c r="AN2879" s="1115"/>
      <c r="AO2879" s="1115"/>
      <c r="AP2879" s="1115"/>
      <c r="AQ2879" s="1115"/>
      <c r="AR2879" s="1115"/>
      <c r="AS2879" s="1117"/>
      <c r="AT2879" s="1075"/>
      <c r="AU2879" s="1193"/>
      <c r="AV2879" s="330"/>
      <c r="AW2879" s="331"/>
      <c r="AX2879" s="331"/>
      <c r="AY2879" s="331"/>
      <c r="AZ2879" s="331"/>
      <c r="BA2879" s="331"/>
      <c r="BB2879" s="331"/>
      <c r="BC2879" s="331"/>
      <c r="BD2879" s="331"/>
      <c r="BE2879" s="333"/>
      <c r="BF2879" s="330"/>
      <c r="BG2879" s="333"/>
      <c r="BH2879" s="1119"/>
      <c r="BI2879" s="319"/>
      <c r="BJ2879" s="319"/>
      <c r="BK2879" s="319"/>
      <c r="BL2879" s="319"/>
      <c r="BM2879" s="319"/>
      <c r="BN2879" s="319"/>
      <c r="BO2879" s="319"/>
      <c r="BP2879" s="953"/>
      <c r="BQ2879" s="319"/>
      <c r="BR2879" s="319"/>
      <c r="BS2879" s="330"/>
      <c r="BT2879" s="331"/>
      <c r="BU2879" s="920"/>
      <c r="BV2879" s="903"/>
      <c r="BW2879" s="908"/>
      <c r="BX2879" s="908"/>
      <c r="BY2879" s="331"/>
      <c r="BZ2879" s="331"/>
      <c r="CA2879" s="462"/>
      <c r="CB2879" s="319"/>
      <c r="CC2879" s="319"/>
      <c r="CD2879" s="319"/>
      <c r="CE2879" s="319"/>
      <c r="CF2879" s="319"/>
      <c r="CG2879" s="319"/>
      <c r="CH2879" s="318"/>
      <c r="CI2879" s="319"/>
      <c r="CJ2879" s="319"/>
      <c r="CK2879" s="342"/>
      <c r="CL2879" s="333"/>
      <c r="CM2879" s="1079"/>
      <c r="CN2879" s="1005"/>
      <c r="CO2879" s="1005"/>
      <c r="CP2879" s="1005"/>
    </row>
    <row r="2880">
      <c r="A2880" s="1257"/>
      <c r="B2880" s="1113"/>
      <c r="C2880" s="1107"/>
      <c r="D2880" s="103"/>
      <c r="E2880" s="1137"/>
      <c r="F2880" s="112"/>
      <c r="G2880" s="1110"/>
      <c r="H2880" s="1138"/>
      <c r="I2880" s="1138"/>
      <c r="J2880" s="1139"/>
      <c r="K2880" s="1111"/>
      <c r="L2880" s="1112"/>
      <c r="M2880" s="1113"/>
      <c r="N2880" s="110"/>
      <c r="O2880" s="1140"/>
      <c r="P2880" s="1115"/>
      <c r="Q2880" s="1116"/>
      <c r="R2880" s="1141"/>
      <c r="S2880" s="1113"/>
      <c r="T2880" s="1143"/>
      <c r="U2880" s="1108"/>
      <c r="V2880" s="1108"/>
      <c r="W2880" s="1108"/>
      <c r="X2880" s="1108"/>
      <c r="Y2880" s="1108"/>
      <c r="Z2880" s="1114"/>
      <c r="AA2880" s="1114"/>
      <c r="AB2880" s="1114"/>
      <c r="AC2880" s="1117"/>
      <c r="AD2880" s="1115"/>
      <c r="AE2880" s="1115"/>
      <c r="AF2880" s="1115"/>
      <c r="AG2880" s="1115"/>
      <c r="AH2880" s="1115"/>
      <c r="AI2880" s="1115"/>
      <c r="AJ2880" s="1117"/>
      <c r="AK2880" s="1118"/>
      <c r="AL2880" s="1115"/>
      <c r="AM2880" s="1115"/>
      <c r="AN2880" s="1115"/>
      <c r="AO2880" s="1115"/>
      <c r="AP2880" s="1115"/>
      <c r="AQ2880" s="1115"/>
      <c r="AR2880" s="1115"/>
      <c r="AS2880" s="1117"/>
      <c r="AT2880" s="1075"/>
      <c r="AU2880" s="1193"/>
      <c r="AV2880" s="330"/>
      <c r="AW2880" s="331"/>
      <c r="AX2880" s="331"/>
      <c r="AY2880" s="331"/>
      <c r="AZ2880" s="331"/>
      <c r="BA2880" s="331"/>
      <c r="BB2880" s="331"/>
      <c r="BC2880" s="331"/>
      <c r="BD2880" s="331"/>
      <c r="BE2880" s="333"/>
      <c r="BF2880" s="330"/>
      <c r="BG2880" s="333"/>
      <c r="BH2880" s="1119"/>
      <c r="BI2880" s="319"/>
      <c r="BJ2880" s="319"/>
      <c r="BK2880" s="319"/>
      <c r="BL2880" s="319"/>
      <c r="BM2880" s="319"/>
      <c r="BN2880" s="319"/>
      <c r="BO2880" s="319"/>
      <c r="BP2880" s="953"/>
      <c r="BQ2880" s="319"/>
      <c r="BR2880" s="319"/>
      <c r="BS2880" s="330"/>
      <c r="BT2880" s="331"/>
      <c r="BU2880" s="920"/>
      <c r="BV2880" s="903"/>
      <c r="BW2880" s="908"/>
      <c r="BX2880" s="908"/>
      <c r="BY2880" s="331"/>
      <c r="BZ2880" s="331"/>
      <c r="CA2880" s="462"/>
      <c r="CB2880" s="319"/>
      <c r="CC2880" s="319"/>
      <c r="CD2880" s="319"/>
      <c r="CE2880" s="319"/>
      <c r="CF2880" s="319"/>
      <c r="CG2880" s="319"/>
      <c r="CH2880" s="318"/>
      <c r="CI2880" s="319"/>
      <c r="CJ2880" s="319"/>
      <c r="CK2880" s="342"/>
      <c r="CL2880" s="333"/>
      <c r="CM2880" s="1079"/>
      <c r="CN2880" s="1005"/>
      <c r="CO2880" s="1005"/>
      <c r="CP2880" s="1005"/>
    </row>
    <row r="2881">
      <c r="A2881" s="1257"/>
      <c r="B2881" s="1113"/>
      <c r="C2881" s="1107"/>
      <c r="D2881" s="103"/>
      <c r="E2881" s="1137"/>
      <c r="F2881" s="112"/>
      <c r="G2881" s="1110"/>
      <c r="H2881" s="1138"/>
      <c r="I2881" s="1138"/>
      <c r="J2881" s="1139"/>
      <c r="K2881" s="1111"/>
      <c r="L2881" s="1112"/>
      <c r="M2881" s="1113"/>
      <c r="N2881" s="110"/>
      <c r="O2881" s="1140"/>
      <c r="P2881" s="1115"/>
      <c r="Q2881" s="1116"/>
      <c r="R2881" s="1141"/>
      <c r="S2881" s="1113"/>
      <c r="T2881" s="1143"/>
      <c r="U2881" s="1108"/>
      <c r="V2881" s="1108"/>
      <c r="W2881" s="1108"/>
      <c r="X2881" s="1108"/>
      <c r="Y2881" s="1108"/>
      <c r="Z2881" s="1114"/>
      <c r="AA2881" s="1114"/>
      <c r="AB2881" s="1114"/>
      <c r="AC2881" s="1117"/>
      <c r="AD2881" s="1115"/>
      <c r="AE2881" s="1115"/>
      <c r="AF2881" s="1115"/>
      <c r="AG2881" s="1115"/>
      <c r="AH2881" s="1115"/>
      <c r="AI2881" s="1115"/>
      <c r="AJ2881" s="1117"/>
      <c r="AK2881" s="1118"/>
      <c r="AL2881" s="1115"/>
      <c r="AM2881" s="1115"/>
      <c r="AN2881" s="1115"/>
      <c r="AO2881" s="1115"/>
      <c r="AP2881" s="1115"/>
      <c r="AQ2881" s="1115"/>
      <c r="AR2881" s="1115"/>
      <c r="AS2881" s="1117"/>
      <c r="AT2881" s="1075"/>
      <c r="AU2881" s="1193"/>
      <c r="AV2881" s="330"/>
      <c r="AW2881" s="331"/>
      <c r="AX2881" s="331"/>
      <c r="AY2881" s="331"/>
      <c r="AZ2881" s="331"/>
      <c r="BA2881" s="331"/>
      <c r="BB2881" s="331"/>
      <c r="BC2881" s="331"/>
      <c r="BD2881" s="331"/>
      <c r="BE2881" s="333"/>
      <c r="BF2881" s="330"/>
      <c r="BG2881" s="333"/>
      <c r="BH2881" s="1119"/>
      <c r="BI2881" s="319"/>
      <c r="BJ2881" s="319"/>
      <c r="BK2881" s="319"/>
      <c r="BL2881" s="319"/>
      <c r="BM2881" s="319"/>
      <c r="BN2881" s="319"/>
      <c r="BO2881" s="319"/>
      <c r="BP2881" s="953"/>
      <c r="BQ2881" s="319"/>
      <c r="BR2881" s="319"/>
      <c r="BS2881" s="330"/>
      <c r="BT2881" s="331"/>
      <c r="BU2881" s="920"/>
      <c r="BV2881" s="903"/>
      <c r="BW2881" s="908"/>
      <c r="BX2881" s="908"/>
      <c r="BY2881" s="331"/>
      <c r="BZ2881" s="331"/>
      <c r="CA2881" s="462"/>
      <c r="CB2881" s="319"/>
      <c r="CC2881" s="319"/>
      <c r="CD2881" s="319"/>
      <c r="CE2881" s="319"/>
      <c r="CF2881" s="319"/>
      <c r="CG2881" s="319"/>
      <c r="CH2881" s="318"/>
      <c r="CI2881" s="319"/>
      <c r="CJ2881" s="319"/>
      <c r="CK2881" s="342"/>
      <c r="CL2881" s="333"/>
      <c r="CM2881" s="1079"/>
      <c r="CN2881" s="1005"/>
      <c r="CO2881" s="1005"/>
      <c r="CP2881" s="1005"/>
    </row>
    <row r="2882">
      <c r="A2882" s="1257"/>
      <c r="B2882" s="1113"/>
      <c r="C2882" s="1107"/>
      <c r="D2882" s="103"/>
      <c r="E2882" s="1137"/>
      <c r="F2882" s="112"/>
      <c r="G2882" s="1110"/>
      <c r="H2882" s="1138"/>
      <c r="I2882" s="1138"/>
      <c r="J2882" s="1139"/>
      <c r="K2882" s="1111"/>
      <c r="L2882" s="1112"/>
      <c r="M2882" s="1113"/>
      <c r="N2882" s="110"/>
      <c r="O2882" s="1140"/>
      <c r="P2882" s="1115"/>
      <c r="Q2882" s="1116"/>
      <c r="R2882" s="1141"/>
      <c r="S2882" s="1113"/>
      <c r="T2882" s="1143"/>
      <c r="U2882" s="1108"/>
      <c r="V2882" s="1108"/>
      <c r="W2882" s="1108"/>
      <c r="X2882" s="1108"/>
      <c r="Y2882" s="1108"/>
      <c r="Z2882" s="1114"/>
      <c r="AA2882" s="1114"/>
      <c r="AB2882" s="1114"/>
      <c r="AC2882" s="1117"/>
      <c r="AD2882" s="1115"/>
      <c r="AE2882" s="1115"/>
      <c r="AF2882" s="1115"/>
      <c r="AG2882" s="1115"/>
      <c r="AH2882" s="1115"/>
      <c r="AI2882" s="1115"/>
      <c r="AJ2882" s="1117"/>
      <c r="AK2882" s="1118"/>
      <c r="AL2882" s="1115"/>
      <c r="AM2882" s="1115"/>
      <c r="AN2882" s="1115"/>
      <c r="AO2882" s="1115"/>
      <c r="AP2882" s="1115"/>
      <c r="AQ2882" s="1115"/>
      <c r="AR2882" s="1115"/>
      <c r="AS2882" s="1117"/>
      <c r="AT2882" s="1075"/>
      <c r="AU2882" s="1193"/>
      <c r="AV2882" s="330"/>
      <c r="AW2882" s="331"/>
      <c r="AX2882" s="331"/>
      <c r="AY2882" s="331"/>
      <c r="AZ2882" s="331"/>
      <c r="BA2882" s="331"/>
      <c r="BB2882" s="331"/>
      <c r="BC2882" s="331"/>
      <c r="BD2882" s="331"/>
      <c r="BE2882" s="333"/>
      <c r="BF2882" s="330"/>
      <c r="BG2882" s="333"/>
      <c r="BH2882" s="1119"/>
      <c r="BI2882" s="319"/>
      <c r="BJ2882" s="319"/>
      <c r="BK2882" s="319"/>
      <c r="BL2882" s="319"/>
      <c r="BM2882" s="319"/>
      <c r="BN2882" s="319"/>
      <c r="BO2882" s="319"/>
      <c r="BP2882" s="953"/>
      <c r="BQ2882" s="319"/>
      <c r="BR2882" s="319"/>
      <c r="BS2882" s="330"/>
      <c r="BT2882" s="331"/>
      <c r="BU2882" s="920"/>
      <c r="BV2882" s="903"/>
      <c r="BW2882" s="908"/>
      <c r="BX2882" s="908"/>
      <c r="BY2882" s="331"/>
      <c r="BZ2882" s="331"/>
      <c r="CA2882" s="462"/>
      <c r="CB2882" s="319"/>
      <c r="CC2882" s="319"/>
      <c r="CD2882" s="319"/>
      <c r="CE2882" s="319"/>
      <c r="CF2882" s="319"/>
      <c r="CG2882" s="319"/>
      <c r="CH2882" s="318"/>
      <c r="CI2882" s="319"/>
      <c r="CJ2882" s="319"/>
      <c r="CK2882" s="342"/>
      <c r="CL2882" s="333"/>
      <c r="CM2882" s="1079"/>
      <c r="CN2882" s="1005"/>
      <c r="CO2882" s="1005"/>
      <c r="CP2882" s="1005"/>
    </row>
    <row r="2883">
      <c r="A2883" s="1257"/>
      <c r="B2883" s="1113"/>
      <c r="C2883" s="1107"/>
      <c r="D2883" s="103"/>
      <c r="E2883" s="1137"/>
      <c r="F2883" s="112"/>
      <c r="G2883" s="1110"/>
      <c r="H2883" s="1138"/>
      <c r="I2883" s="1138"/>
      <c r="J2883" s="1139"/>
      <c r="K2883" s="1111"/>
      <c r="L2883" s="1112"/>
      <c r="M2883" s="1113"/>
      <c r="N2883" s="110"/>
      <c r="O2883" s="1140"/>
      <c r="P2883" s="1115"/>
      <c r="Q2883" s="1116"/>
      <c r="R2883" s="1141"/>
      <c r="S2883" s="1113"/>
      <c r="T2883" s="1143"/>
      <c r="U2883" s="1108"/>
      <c r="V2883" s="1108"/>
      <c r="W2883" s="1108"/>
      <c r="X2883" s="1108"/>
      <c r="Y2883" s="1108"/>
      <c r="Z2883" s="1114"/>
      <c r="AA2883" s="1114"/>
      <c r="AB2883" s="1114"/>
      <c r="AC2883" s="1117"/>
      <c r="AD2883" s="1115"/>
      <c r="AE2883" s="1115"/>
      <c r="AF2883" s="1115"/>
      <c r="AG2883" s="1115"/>
      <c r="AH2883" s="1115"/>
      <c r="AI2883" s="1115"/>
      <c r="AJ2883" s="1117"/>
      <c r="AK2883" s="1118"/>
      <c r="AL2883" s="1115"/>
      <c r="AM2883" s="1115"/>
      <c r="AN2883" s="1115"/>
      <c r="AO2883" s="1115"/>
      <c r="AP2883" s="1115"/>
      <c r="AQ2883" s="1115"/>
      <c r="AR2883" s="1115"/>
      <c r="AS2883" s="1117"/>
      <c r="AT2883" s="1075"/>
      <c r="AU2883" s="1193"/>
      <c r="AV2883" s="330"/>
      <c r="AW2883" s="331"/>
      <c r="AX2883" s="331"/>
      <c r="AY2883" s="331"/>
      <c r="AZ2883" s="331"/>
      <c r="BA2883" s="331"/>
      <c r="BB2883" s="331"/>
      <c r="BC2883" s="331"/>
      <c r="BD2883" s="331"/>
      <c r="BE2883" s="333"/>
      <c r="BF2883" s="330"/>
      <c r="BG2883" s="333"/>
      <c r="BH2883" s="1119"/>
      <c r="BI2883" s="319"/>
      <c r="BJ2883" s="319"/>
      <c r="BK2883" s="319"/>
      <c r="BL2883" s="319"/>
      <c r="BM2883" s="319"/>
      <c r="BN2883" s="319"/>
      <c r="BO2883" s="319"/>
      <c r="BP2883" s="953"/>
      <c r="BQ2883" s="319"/>
      <c r="BR2883" s="319"/>
      <c r="BS2883" s="330"/>
      <c r="BT2883" s="331"/>
      <c r="BU2883" s="920"/>
      <c r="BV2883" s="903"/>
      <c r="BW2883" s="908"/>
      <c r="BX2883" s="908"/>
      <c r="BY2883" s="331"/>
      <c r="BZ2883" s="331"/>
      <c r="CA2883" s="462"/>
      <c r="CB2883" s="319"/>
      <c r="CC2883" s="319"/>
      <c r="CD2883" s="319"/>
      <c r="CE2883" s="319"/>
      <c r="CF2883" s="319"/>
      <c r="CG2883" s="319"/>
      <c r="CH2883" s="318"/>
      <c r="CI2883" s="319"/>
      <c r="CJ2883" s="319"/>
      <c r="CK2883" s="342"/>
      <c r="CL2883" s="333"/>
      <c r="CM2883" s="1079"/>
      <c r="CN2883" s="1005"/>
      <c r="CO2883" s="1005"/>
      <c r="CP2883" s="1005"/>
    </row>
    <row r="2884">
      <c r="A2884" s="1257"/>
      <c r="B2884" s="1113"/>
      <c r="C2884" s="1107"/>
      <c r="D2884" s="103"/>
      <c r="E2884" s="1137"/>
      <c r="F2884" s="112"/>
      <c r="G2884" s="1110"/>
      <c r="H2884" s="1138"/>
      <c r="I2884" s="1138"/>
      <c r="J2884" s="1139"/>
      <c r="K2884" s="1111"/>
      <c r="L2884" s="1112"/>
      <c r="M2884" s="1113"/>
      <c r="N2884" s="110"/>
      <c r="O2884" s="1140"/>
      <c r="P2884" s="1115"/>
      <c r="Q2884" s="1116"/>
      <c r="R2884" s="1141"/>
      <c r="S2884" s="1113"/>
      <c r="T2884" s="1143"/>
      <c r="U2884" s="1108"/>
      <c r="V2884" s="1108"/>
      <c r="W2884" s="1108"/>
      <c r="X2884" s="1108"/>
      <c r="Y2884" s="1108"/>
      <c r="Z2884" s="1114"/>
      <c r="AA2884" s="1114"/>
      <c r="AB2884" s="1114"/>
      <c r="AC2884" s="1117"/>
      <c r="AD2884" s="1115"/>
      <c r="AE2884" s="1115"/>
      <c r="AF2884" s="1115"/>
      <c r="AG2884" s="1115"/>
      <c r="AH2884" s="1115"/>
      <c r="AI2884" s="1115"/>
      <c r="AJ2884" s="1117"/>
      <c r="AK2884" s="1118"/>
      <c r="AL2884" s="1115"/>
      <c r="AM2884" s="1115"/>
      <c r="AN2884" s="1115"/>
      <c r="AO2884" s="1115"/>
      <c r="AP2884" s="1115"/>
      <c r="AQ2884" s="1115"/>
      <c r="AR2884" s="1115"/>
      <c r="AS2884" s="1117"/>
      <c r="AT2884" s="1075"/>
      <c r="AU2884" s="1193"/>
      <c r="AV2884" s="330"/>
      <c r="AW2884" s="331"/>
      <c r="AX2884" s="331"/>
      <c r="AY2884" s="331"/>
      <c r="AZ2884" s="331"/>
      <c r="BA2884" s="331"/>
      <c r="BB2884" s="331"/>
      <c r="BC2884" s="331"/>
      <c r="BD2884" s="331"/>
      <c r="BE2884" s="333"/>
      <c r="BF2884" s="330"/>
      <c r="BG2884" s="333"/>
      <c r="BH2884" s="1119"/>
      <c r="BI2884" s="319"/>
      <c r="BJ2884" s="319"/>
      <c r="BK2884" s="319"/>
      <c r="BL2884" s="319"/>
      <c r="BM2884" s="319"/>
      <c r="BN2884" s="319"/>
      <c r="BO2884" s="319"/>
      <c r="BP2884" s="953"/>
      <c r="BQ2884" s="319"/>
      <c r="BR2884" s="319"/>
      <c r="BS2884" s="330"/>
      <c r="BT2884" s="331"/>
      <c r="BU2884" s="920"/>
      <c r="BV2884" s="903"/>
      <c r="BW2884" s="908"/>
      <c r="BX2884" s="908"/>
      <c r="BY2884" s="331"/>
      <c r="BZ2884" s="331"/>
      <c r="CA2884" s="462"/>
      <c r="CB2884" s="319"/>
      <c r="CC2884" s="319"/>
      <c r="CD2884" s="319"/>
      <c r="CE2884" s="319"/>
      <c r="CF2884" s="319"/>
      <c r="CG2884" s="319"/>
      <c r="CH2884" s="318"/>
      <c r="CI2884" s="319"/>
      <c r="CJ2884" s="319"/>
      <c r="CK2884" s="342"/>
      <c r="CL2884" s="333"/>
      <c r="CM2884" s="1079"/>
      <c r="CN2884" s="1005"/>
      <c r="CO2884" s="1005"/>
      <c r="CP2884" s="1005"/>
    </row>
    <row r="2885">
      <c r="A2885" s="1257"/>
      <c r="B2885" s="1113"/>
      <c r="C2885" s="1107"/>
      <c r="D2885" s="103"/>
      <c r="E2885" s="1137"/>
      <c r="F2885" s="112"/>
      <c r="G2885" s="1110"/>
      <c r="H2885" s="1138"/>
      <c r="I2885" s="1138"/>
      <c r="J2885" s="1139"/>
      <c r="K2885" s="1111"/>
      <c r="L2885" s="1112"/>
      <c r="M2885" s="1113"/>
      <c r="N2885" s="110"/>
      <c r="O2885" s="1140"/>
      <c r="P2885" s="1115"/>
      <c r="Q2885" s="1116"/>
      <c r="R2885" s="1141"/>
      <c r="S2885" s="1113"/>
      <c r="T2885" s="1143"/>
      <c r="U2885" s="1108"/>
      <c r="V2885" s="1108"/>
      <c r="W2885" s="1108"/>
      <c r="X2885" s="1108"/>
      <c r="Y2885" s="1108"/>
      <c r="Z2885" s="1114"/>
      <c r="AA2885" s="1114"/>
      <c r="AB2885" s="1114"/>
      <c r="AC2885" s="1117"/>
      <c r="AD2885" s="1115"/>
      <c r="AE2885" s="1115"/>
      <c r="AF2885" s="1115"/>
      <c r="AG2885" s="1115"/>
      <c r="AH2885" s="1115"/>
      <c r="AI2885" s="1115"/>
      <c r="AJ2885" s="1117"/>
      <c r="AK2885" s="1118"/>
      <c r="AL2885" s="1115"/>
      <c r="AM2885" s="1115"/>
      <c r="AN2885" s="1115"/>
      <c r="AO2885" s="1115"/>
      <c r="AP2885" s="1115"/>
      <c r="AQ2885" s="1115"/>
      <c r="AR2885" s="1115"/>
      <c r="AS2885" s="1117"/>
      <c r="AT2885" s="1075"/>
      <c r="AU2885" s="1193"/>
      <c r="AV2885" s="330"/>
      <c r="AW2885" s="331"/>
      <c r="AX2885" s="331"/>
      <c r="AY2885" s="331"/>
      <c r="AZ2885" s="331"/>
      <c r="BA2885" s="331"/>
      <c r="BB2885" s="331"/>
      <c r="BC2885" s="331"/>
      <c r="BD2885" s="331"/>
      <c r="BE2885" s="333"/>
      <c r="BF2885" s="330"/>
      <c r="BG2885" s="333"/>
      <c r="BH2885" s="1119"/>
      <c r="BI2885" s="319"/>
      <c r="BJ2885" s="319"/>
      <c r="BK2885" s="319"/>
      <c r="BL2885" s="319"/>
      <c r="BM2885" s="319"/>
      <c r="BN2885" s="319"/>
      <c r="BO2885" s="319"/>
      <c r="BP2885" s="953"/>
      <c r="BQ2885" s="319"/>
      <c r="BR2885" s="319"/>
      <c r="BS2885" s="330"/>
      <c r="BT2885" s="331"/>
      <c r="BU2885" s="920"/>
      <c r="BV2885" s="903"/>
      <c r="BW2885" s="908"/>
      <c r="BX2885" s="908"/>
      <c r="BY2885" s="331"/>
      <c r="BZ2885" s="331"/>
      <c r="CA2885" s="462"/>
      <c r="CB2885" s="319"/>
      <c r="CC2885" s="319"/>
      <c r="CD2885" s="319"/>
      <c r="CE2885" s="319"/>
      <c r="CF2885" s="319"/>
      <c r="CG2885" s="319"/>
      <c r="CH2885" s="318"/>
      <c r="CI2885" s="319"/>
      <c r="CJ2885" s="319"/>
      <c r="CK2885" s="342"/>
      <c r="CL2885" s="333"/>
      <c r="CM2885" s="1079"/>
      <c r="CN2885" s="1005"/>
      <c r="CO2885" s="1005"/>
      <c r="CP2885" s="1005"/>
    </row>
    <row r="2886">
      <c r="A2886" s="1257"/>
      <c r="B2886" s="1113"/>
      <c r="C2886" s="1107"/>
      <c r="D2886" s="103"/>
      <c r="E2886" s="1137"/>
      <c r="F2886" s="112"/>
      <c r="G2886" s="1110"/>
      <c r="H2886" s="1138"/>
      <c r="I2886" s="1138"/>
      <c r="J2886" s="1139"/>
      <c r="K2886" s="1111"/>
      <c r="L2886" s="1112"/>
      <c r="M2886" s="1113"/>
      <c r="N2886" s="110"/>
      <c r="O2886" s="1140"/>
      <c r="P2886" s="1115"/>
      <c r="Q2886" s="1116"/>
      <c r="R2886" s="1141"/>
      <c r="S2886" s="1113"/>
      <c r="T2886" s="1143"/>
      <c r="U2886" s="1108"/>
      <c r="V2886" s="1108"/>
      <c r="W2886" s="1108"/>
      <c r="X2886" s="1108"/>
      <c r="Y2886" s="1108"/>
      <c r="Z2886" s="1114"/>
      <c r="AA2886" s="1114"/>
      <c r="AB2886" s="1114"/>
      <c r="AC2886" s="1117"/>
      <c r="AD2886" s="1115"/>
      <c r="AE2886" s="1115"/>
      <c r="AF2886" s="1115"/>
      <c r="AG2886" s="1115"/>
      <c r="AH2886" s="1115"/>
      <c r="AI2886" s="1115"/>
      <c r="AJ2886" s="1117"/>
      <c r="AK2886" s="1118"/>
      <c r="AL2886" s="1115"/>
      <c r="AM2886" s="1115"/>
      <c r="AN2886" s="1115"/>
      <c r="AO2886" s="1115"/>
      <c r="AP2886" s="1115"/>
      <c r="AQ2886" s="1115"/>
      <c r="AR2886" s="1115"/>
      <c r="AS2886" s="1117"/>
      <c r="AT2886" s="1075"/>
      <c r="AU2886" s="1193"/>
      <c r="AV2886" s="330"/>
      <c r="AW2886" s="331"/>
      <c r="AX2886" s="331"/>
      <c r="AY2886" s="331"/>
      <c r="AZ2886" s="331"/>
      <c r="BA2886" s="331"/>
      <c r="BB2886" s="331"/>
      <c r="BC2886" s="331"/>
      <c r="BD2886" s="331"/>
      <c r="BE2886" s="333"/>
      <c r="BF2886" s="330"/>
      <c r="BG2886" s="333"/>
      <c r="BH2886" s="1119"/>
      <c r="BI2886" s="319"/>
      <c r="BJ2886" s="319"/>
      <c r="BK2886" s="319"/>
      <c r="BL2886" s="319"/>
      <c r="BM2886" s="319"/>
      <c r="BN2886" s="319"/>
      <c r="BO2886" s="319"/>
      <c r="BP2886" s="953"/>
      <c r="BQ2886" s="319"/>
      <c r="BR2886" s="319"/>
      <c r="BS2886" s="330"/>
      <c r="BT2886" s="331"/>
      <c r="BU2886" s="920"/>
      <c r="BV2886" s="903"/>
      <c r="BW2886" s="908"/>
      <c r="BX2886" s="908"/>
      <c r="BY2886" s="331"/>
      <c r="BZ2886" s="331"/>
      <c r="CA2886" s="462"/>
      <c r="CB2886" s="319"/>
      <c r="CC2886" s="319"/>
      <c r="CD2886" s="319"/>
      <c r="CE2886" s="319"/>
      <c r="CF2886" s="319"/>
      <c r="CG2886" s="319"/>
      <c r="CH2886" s="318"/>
      <c r="CI2886" s="319"/>
      <c r="CJ2886" s="319"/>
      <c r="CK2886" s="342"/>
      <c r="CL2886" s="333"/>
      <c r="CM2886" s="1079"/>
      <c r="CN2886" s="1005"/>
      <c r="CO2886" s="1005"/>
      <c r="CP2886" s="1005"/>
    </row>
    <row r="2887">
      <c r="A2887" s="1257"/>
      <c r="B2887" s="1113"/>
      <c r="C2887" s="1107"/>
      <c r="D2887" s="103"/>
      <c r="E2887" s="1137"/>
      <c r="F2887" s="112"/>
      <c r="G2887" s="1110"/>
      <c r="H2887" s="1138"/>
      <c r="I2887" s="1138"/>
      <c r="J2887" s="1139"/>
      <c r="K2887" s="1111"/>
      <c r="L2887" s="1112"/>
      <c r="M2887" s="1113"/>
      <c r="N2887" s="110"/>
      <c r="O2887" s="1140"/>
      <c r="P2887" s="1115"/>
      <c r="Q2887" s="1116"/>
      <c r="R2887" s="1141"/>
      <c r="S2887" s="1113"/>
      <c r="T2887" s="1143"/>
      <c r="U2887" s="1108"/>
      <c r="V2887" s="1108"/>
      <c r="W2887" s="1108"/>
      <c r="X2887" s="1108"/>
      <c r="Y2887" s="1108"/>
      <c r="Z2887" s="1114"/>
      <c r="AA2887" s="1114"/>
      <c r="AB2887" s="1114"/>
      <c r="AC2887" s="1117"/>
      <c r="AD2887" s="1115"/>
      <c r="AE2887" s="1115"/>
      <c r="AF2887" s="1115"/>
      <c r="AG2887" s="1115"/>
      <c r="AH2887" s="1115"/>
      <c r="AI2887" s="1115"/>
      <c r="AJ2887" s="1117"/>
      <c r="AK2887" s="1118"/>
      <c r="AL2887" s="1115"/>
      <c r="AM2887" s="1115"/>
      <c r="AN2887" s="1115"/>
      <c r="AO2887" s="1115"/>
      <c r="AP2887" s="1115"/>
      <c r="AQ2887" s="1115"/>
      <c r="AR2887" s="1115"/>
      <c r="AS2887" s="1117"/>
      <c r="AT2887" s="1075"/>
      <c r="AU2887" s="1193"/>
      <c r="AV2887" s="330"/>
      <c r="AW2887" s="331"/>
      <c r="AX2887" s="331"/>
      <c r="AY2887" s="331"/>
      <c r="AZ2887" s="331"/>
      <c r="BA2887" s="331"/>
      <c r="BB2887" s="331"/>
      <c r="BC2887" s="331"/>
      <c r="BD2887" s="331"/>
      <c r="BE2887" s="333"/>
      <c r="BF2887" s="330"/>
      <c r="BG2887" s="333"/>
      <c r="BH2887" s="1119"/>
      <c r="BI2887" s="319"/>
      <c r="BJ2887" s="319"/>
      <c r="BK2887" s="319"/>
      <c r="BL2887" s="319"/>
      <c r="BM2887" s="319"/>
      <c r="BN2887" s="319"/>
      <c r="BO2887" s="319"/>
      <c r="BP2887" s="953"/>
      <c r="BQ2887" s="319"/>
      <c r="BR2887" s="319"/>
      <c r="BS2887" s="330"/>
      <c r="BT2887" s="331"/>
      <c r="BU2887" s="920"/>
      <c r="BV2887" s="903"/>
      <c r="BW2887" s="908"/>
      <c r="BX2887" s="908"/>
      <c r="BY2887" s="331"/>
      <c r="BZ2887" s="331"/>
      <c r="CA2887" s="462"/>
      <c r="CB2887" s="319"/>
      <c r="CC2887" s="319"/>
      <c r="CD2887" s="319"/>
      <c r="CE2887" s="319"/>
      <c r="CF2887" s="319"/>
      <c r="CG2887" s="319"/>
      <c r="CH2887" s="318"/>
      <c r="CI2887" s="319"/>
      <c r="CJ2887" s="319"/>
      <c r="CK2887" s="342"/>
      <c r="CL2887" s="333"/>
      <c r="CM2887" s="1079"/>
      <c r="CN2887" s="1005"/>
      <c r="CO2887" s="1005"/>
      <c r="CP2887" s="1005"/>
    </row>
    <row r="2888">
      <c r="A2888" s="1257"/>
      <c r="B2888" s="1113"/>
      <c r="C2888" s="1107"/>
      <c r="D2888" s="103"/>
      <c r="E2888" s="1137"/>
      <c r="F2888" s="112"/>
      <c r="G2888" s="1110"/>
      <c r="H2888" s="1138"/>
      <c r="I2888" s="1138"/>
      <c r="J2888" s="1139"/>
      <c r="K2888" s="1111"/>
      <c r="L2888" s="1112"/>
      <c r="M2888" s="1113"/>
      <c r="N2888" s="110"/>
      <c r="O2888" s="1140"/>
      <c r="P2888" s="1115"/>
      <c r="Q2888" s="1116"/>
      <c r="R2888" s="1141"/>
      <c r="S2888" s="1113"/>
      <c r="T2888" s="1143"/>
      <c r="U2888" s="1108"/>
      <c r="V2888" s="1108"/>
      <c r="W2888" s="1108"/>
      <c r="X2888" s="1108"/>
      <c r="Y2888" s="1108"/>
      <c r="Z2888" s="1114"/>
      <c r="AA2888" s="1114"/>
      <c r="AB2888" s="1114"/>
      <c r="AC2888" s="1117"/>
      <c r="AD2888" s="1115"/>
      <c r="AE2888" s="1115"/>
      <c r="AF2888" s="1115"/>
      <c r="AG2888" s="1115"/>
      <c r="AH2888" s="1115"/>
      <c r="AI2888" s="1115"/>
      <c r="AJ2888" s="1117"/>
      <c r="AK2888" s="1118"/>
      <c r="AL2888" s="1115"/>
      <c r="AM2888" s="1115"/>
      <c r="AN2888" s="1115"/>
      <c r="AO2888" s="1115"/>
      <c r="AP2888" s="1115"/>
      <c r="AQ2888" s="1115"/>
      <c r="AR2888" s="1115"/>
      <c r="AS2888" s="1117"/>
      <c r="AT2888" s="1075"/>
      <c r="AU2888" s="1193"/>
      <c r="AV2888" s="330"/>
      <c r="AW2888" s="331"/>
      <c r="AX2888" s="331"/>
      <c r="AY2888" s="331"/>
      <c r="AZ2888" s="331"/>
      <c r="BA2888" s="331"/>
      <c r="BB2888" s="331"/>
      <c r="BC2888" s="331"/>
      <c r="BD2888" s="331"/>
      <c r="BE2888" s="333"/>
      <c r="BF2888" s="330"/>
      <c r="BG2888" s="333"/>
      <c r="BH2888" s="1119"/>
      <c r="BI2888" s="319"/>
      <c r="BJ2888" s="319"/>
      <c r="BK2888" s="319"/>
      <c r="BL2888" s="319"/>
      <c r="BM2888" s="319"/>
      <c r="BN2888" s="319"/>
      <c r="BO2888" s="319"/>
      <c r="BP2888" s="953"/>
      <c r="BQ2888" s="319"/>
      <c r="BR2888" s="319"/>
      <c r="BS2888" s="330"/>
      <c r="BT2888" s="331"/>
      <c r="BU2888" s="920"/>
      <c r="BV2888" s="903"/>
      <c r="BW2888" s="908"/>
      <c r="BX2888" s="908"/>
      <c r="BY2888" s="331"/>
      <c r="BZ2888" s="331"/>
      <c r="CA2888" s="462"/>
      <c r="CB2888" s="319"/>
      <c r="CC2888" s="319"/>
      <c r="CD2888" s="319"/>
      <c r="CE2888" s="319"/>
      <c r="CF2888" s="319"/>
      <c r="CG2888" s="319"/>
      <c r="CH2888" s="318"/>
      <c r="CI2888" s="319"/>
      <c r="CJ2888" s="319"/>
      <c r="CK2888" s="342"/>
      <c r="CL2888" s="333"/>
      <c r="CM2888" s="1079"/>
      <c r="CN2888" s="1005"/>
      <c r="CO2888" s="1005"/>
      <c r="CP2888" s="1005"/>
    </row>
    <row r="2889">
      <c r="A2889" s="1257"/>
      <c r="B2889" s="1113"/>
      <c r="C2889" s="1107"/>
      <c r="D2889" s="103"/>
      <c r="E2889" s="1137"/>
      <c r="F2889" s="112"/>
      <c r="G2889" s="1110"/>
      <c r="H2889" s="1138"/>
      <c r="I2889" s="1138"/>
      <c r="J2889" s="1139"/>
      <c r="K2889" s="1111"/>
      <c r="L2889" s="1112"/>
      <c r="M2889" s="1113"/>
      <c r="N2889" s="110"/>
      <c r="O2889" s="1140"/>
      <c r="P2889" s="1115"/>
      <c r="Q2889" s="1116"/>
      <c r="R2889" s="1141"/>
      <c r="S2889" s="1113"/>
      <c r="T2889" s="1143"/>
      <c r="U2889" s="1108"/>
      <c r="V2889" s="1108"/>
      <c r="W2889" s="1108"/>
      <c r="X2889" s="1108"/>
      <c r="Y2889" s="1108"/>
      <c r="Z2889" s="1114"/>
      <c r="AA2889" s="1114"/>
      <c r="AB2889" s="1114"/>
      <c r="AC2889" s="1117"/>
      <c r="AD2889" s="1115"/>
      <c r="AE2889" s="1115"/>
      <c r="AF2889" s="1115"/>
      <c r="AG2889" s="1115"/>
      <c r="AH2889" s="1115"/>
      <c r="AI2889" s="1115"/>
      <c r="AJ2889" s="1117"/>
      <c r="AK2889" s="1118"/>
      <c r="AL2889" s="1115"/>
      <c r="AM2889" s="1115"/>
      <c r="AN2889" s="1115"/>
      <c r="AO2889" s="1115"/>
      <c r="AP2889" s="1115"/>
      <c r="AQ2889" s="1115"/>
      <c r="AR2889" s="1115"/>
      <c r="AS2889" s="1117"/>
      <c r="AT2889" s="1075"/>
      <c r="AU2889" s="1193"/>
      <c r="AV2889" s="330"/>
      <c r="AW2889" s="331"/>
      <c r="AX2889" s="331"/>
      <c r="AY2889" s="331"/>
      <c r="AZ2889" s="331"/>
      <c r="BA2889" s="331"/>
      <c r="BB2889" s="331"/>
      <c r="BC2889" s="331"/>
      <c r="BD2889" s="331"/>
      <c r="BE2889" s="333"/>
      <c r="BF2889" s="330"/>
      <c r="BG2889" s="333"/>
      <c r="BH2889" s="1119"/>
      <c r="BI2889" s="319"/>
      <c r="BJ2889" s="319"/>
      <c r="BK2889" s="319"/>
      <c r="BL2889" s="319"/>
      <c r="BM2889" s="319"/>
      <c r="BN2889" s="319"/>
      <c r="BO2889" s="319"/>
      <c r="BP2889" s="953"/>
      <c r="BQ2889" s="319"/>
      <c r="BR2889" s="319"/>
      <c r="BS2889" s="330"/>
      <c r="BT2889" s="331"/>
      <c r="BU2889" s="920"/>
      <c r="BV2889" s="903"/>
      <c r="BW2889" s="908"/>
      <c r="BX2889" s="908"/>
      <c r="BY2889" s="331"/>
      <c r="BZ2889" s="331"/>
      <c r="CA2889" s="462"/>
      <c r="CB2889" s="319"/>
      <c r="CC2889" s="319"/>
      <c r="CD2889" s="319"/>
      <c r="CE2889" s="319"/>
      <c r="CF2889" s="319"/>
      <c r="CG2889" s="319"/>
      <c r="CH2889" s="318"/>
      <c r="CI2889" s="319"/>
      <c r="CJ2889" s="319"/>
      <c r="CK2889" s="342"/>
      <c r="CL2889" s="333"/>
      <c r="CM2889" s="1079"/>
      <c r="CN2889" s="1005"/>
      <c r="CO2889" s="1005"/>
      <c r="CP2889" s="1005"/>
    </row>
    <row r="2890">
      <c r="A2890" s="1257"/>
      <c r="B2890" s="1113"/>
      <c r="C2890" s="1107"/>
      <c r="D2890" s="103"/>
      <c r="E2890" s="1137"/>
      <c r="F2890" s="112"/>
      <c r="G2890" s="1110"/>
      <c r="H2890" s="1138"/>
      <c r="I2890" s="1138"/>
      <c r="J2890" s="1139"/>
      <c r="K2890" s="1111"/>
      <c r="L2890" s="1112"/>
      <c r="M2890" s="1113"/>
      <c r="N2890" s="110"/>
      <c r="O2890" s="1140"/>
      <c r="P2890" s="1115"/>
      <c r="Q2890" s="1116"/>
      <c r="R2890" s="1141"/>
      <c r="S2890" s="1113"/>
      <c r="T2890" s="1143"/>
      <c r="U2890" s="1108"/>
      <c r="V2890" s="1108"/>
      <c r="W2890" s="1108"/>
      <c r="X2890" s="1108"/>
      <c r="Y2890" s="1108"/>
      <c r="Z2890" s="1114"/>
      <c r="AA2890" s="1114"/>
      <c r="AB2890" s="1114"/>
      <c r="AC2890" s="1117"/>
      <c r="AD2890" s="1115"/>
      <c r="AE2890" s="1115"/>
      <c r="AF2890" s="1115"/>
      <c r="AG2890" s="1115"/>
      <c r="AH2890" s="1115"/>
      <c r="AI2890" s="1115"/>
      <c r="AJ2890" s="1117"/>
      <c r="AK2890" s="1118"/>
      <c r="AL2890" s="1115"/>
      <c r="AM2890" s="1115"/>
      <c r="AN2890" s="1115"/>
      <c r="AO2890" s="1115"/>
      <c r="AP2890" s="1115"/>
      <c r="AQ2890" s="1115"/>
      <c r="AR2890" s="1115"/>
      <c r="AS2890" s="1117"/>
      <c r="AT2890" s="1075"/>
      <c r="AU2890" s="1193"/>
      <c r="AV2890" s="330"/>
      <c r="AW2890" s="331"/>
      <c r="AX2890" s="331"/>
      <c r="AY2890" s="331"/>
      <c r="AZ2890" s="331"/>
      <c r="BA2890" s="331"/>
      <c r="BB2890" s="331"/>
      <c r="BC2890" s="331"/>
      <c r="BD2890" s="331"/>
      <c r="BE2890" s="333"/>
      <c r="BF2890" s="330"/>
      <c r="BG2890" s="333"/>
      <c r="BH2890" s="1119"/>
      <c r="BI2890" s="319"/>
      <c r="BJ2890" s="319"/>
      <c r="BK2890" s="319"/>
      <c r="BL2890" s="319"/>
      <c r="BM2890" s="319"/>
      <c r="BN2890" s="319"/>
      <c r="BO2890" s="319"/>
      <c r="BP2890" s="953"/>
      <c r="BQ2890" s="319"/>
      <c r="BR2890" s="319"/>
      <c r="BS2890" s="330"/>
      <c r="BT2890" s="331"/>
      <c r="BU2890" s="920"/>
      <c r="BV2890" s="903"/>
      <c r="BW2890" s="908"/>
      <c r="BX2890" s="908"/>
      <c r="BY2890" s="331"/>
      <c r="BZ2890" s="331"/>
      <c r="CA2890" s="462"/>
      <c r="CB2890" s="319"/>
      <c r="CC2890" s="319"/>
      <c r="CD2890" s="319"/>
      <c r="CE2890" s="319"/>
      <c r="CF2890" s="319"/>
      <c r="CG2890" s="319"/>
      <c r="CH2890" s="318"/>
      <c r="CI2890" s="319"/>
      <c r="CJ2890" s="319"/>
      <c r="CK2890" s="342"/>
      <c r="CL2890" s="333"/>
      <c r="CM2890" s="1079"/>
      <c r="CN2890" s="1005"/>
      <c r="CO2890" s="1005"/>
      <c r="CP2890" s="1005"/>
    </row>
    <row r="2891">
      <c r="A2891" s="1257"/>
      <c r="B2891" s="1113"/>
      <c r="C2891" s="1107"/>
      <c r="D2891" s="103"/>
      <c r="E2891" s="1137"/>
      <c r="F2891" s="112"/>
      <c r="G2891" s="1110"/>
      <c r="H2891" s="1138"/>
      <c r="I2891" s="1138"/>
      <c r="J2891" s="1139"/>
      <c r="K2891" s="1111"/>
      <c r="L2891" s="1112"/>
      <c r="M2891" s="1113"/>
      <c r="N2891" s="110"/>
      <c r="O2891" s="1140"/>
      <c r="P2891" s="1115"/>
      <c r="Q2891" s="1116"/>
      <c r="R2891" s="1141"/>
      <c r="S2891" s="1113"/>
      <c r="T2891" s="1143"/>
      <c r="U2891" s="1108"/>
      <c r="V2891" s="1108"/>
      <c r="W2891" s="1108"/>
      <c r="X2891" s="1108"/>
      <c r="Y2891" s="1108"/>
      <c r="Z2891" s="1114"/>
      <c r="AA2891" s="1114"/>
      <c r="AB2891" s="1114"/>
      <c r="AC2891" s="1117"/>
      <c r="AD2891" s="1115"/>
      <c r="AE2891" s="1115"/>
      <c r="AF2891" s="1115"/>
      <c r="AG2891" s="1115"/>
      <c r="AH2891" s="1115"/>
      <c r="AI2891" s="1115"/>
      <c r="AJ2891" s="1117"/>
      <c r="AK2891" s="1118"/>
      <c r="AL2891" s="1115"/>
      <c r="AM2891" s="1115"/>
      <c r="AN2891" s="1115"/>
      <c r="AO2891" s="1115"/>
      <c r="AP2891" s="1115"/>
      <c r="AQ2891" s="1115"/>
      <c r="AR2891" s="1115"/>
      <c r="AS2891" s="1117"/>
      <c r="AT2891" s="1075"/>
      <c r="AU2891" s="1193"/>
      <c r="AV2891" s="330"/>
      <c r="AW2891" s="331"/>
      <c r="AX2891" s="331"/>
      <c r="AY2891" s="331"/>
      <c r="AZ2891" s="331"/>
      <c r="BA2891" s="331"/>
      <c r="BB2891" s="331"/>
      <c r="BC2891" s="331"/>
      <c r="BD2891" s="331"/>
      <c r="BE2891" s="333"/>
      <c r="BF2891" s="330"/>
      <c r="BG2891" s="333"/>
      <c r="BH2891" s="1119"/>
      <c r="BI2891" s="319"/>
      <c r="BJ2891" s="319"/>
      <c r="BK2891" s="319"/>
      <c r="BL2891" s="319"/>
      <c r="BM2891" s="319"/>
      <c r="BN2891" s="319"/>
      <c r="BO2891" s="319"/>
      <c r="BP2891" s="953"/>
      <c r="BQ2891" s="319"/>
      <c r="BR2891" s="319"/>
      <c r="BS2891" s="330"/>
      <c r="BT2891" s="331"/>
      <c r="BU2891" s="920"/>
      <c r="BV2891" s="903"/>
      <c r="BW2891" s="908"/>
      <c r="BX2891" s="908"/>
      <c r="BY2891" s="331"/>
      <c r="BZ2891" s="331"/>
      <c r="CA2891" s="462"/>
      <c r="CB2891" s="319"/>
      <c r="CC2891" s="319"/>
      <c r="CD2891" s="319"/>
      <c r="CE2891" s="319"/>
      <c r="CF2891" s="319"/>
      <c r="CG2891" s="319"/>
      <c r="CH2891" s="318"/>
      <c r="CI2891" s="319"/>
      <c r="CJ2891" s="319"/>
      <c r="CK2891" s="342"/>
      <c r="CL2891" s="333"/>
      <c r="CM2891" s="1079"/>
      <c r="CN2891" s="1005"/>
      <c r="CO2891" s="1005"/>
      <c r="CP2891" s="1005"/>
    </row>
    <row r="2892">
      <c r="A2892" s="1257"/>
      <c r="B2892" s="1113"/>
      <c r="C2892" s="1107"/>
      <c r="D2892" s="103"/>
      <c r="E2892" s="1137"/>
      <c r="F2892" s="112"/>
      <c r="G2892" s="1110"/>
      <c r="H2892" s="1138"/>
      <c r="I2892" s="1138"/>
      <c r="J2892" s="1139"/>
      <c r="K2892" s="1111"/>
      <c r="L2892" s="1112"/>
      <c r="M2892" s="1113"/>
      <c r="N2892" s="110"/>
      <c r="O2892" s="1140"/>
      <c r="P2892" s="1115"/>
      <c r="Q2892" s="1116"/>
      <c r="R2892" s="1141"/>
      <c r="S2892" s="1113"/>
      <c r="T2892" s="1143"/>
      <c r="U2892" s="1108"/>
      <c r="V2892" s="1108"/>
      <c r="W2892" s="1108"/>
      <c r="X2892" s="1108"/>
      <c r="Y2892" s="1108"/>
      <c r="Z2892" s="1114"/>
      <c r="AA2892" s="1114"/>
      <c r="AB2892" s="1114"/>
      <c r="AC2892" s="1117"/>
      <c r="AD2892" s="1115"/>
      <c r="AE2892" s="1115"/>
      <c r="AF2892" s="1115"/>
      <c r="AG2892" s="1115"/>
      <c r="AH2892" s="1115"/>
      <c r="AI2892" s="1115"/>
      <c r="AJ2892" s="1117"/>
      <c r="AK2892" s="1118"/>
      <c r="AL2892" s="1115"/>
      <c r="AM2892" s="1115"/>
      <c r="AN2892" s="1115"/>
      <c r="AO2892" s="1115"/>
      <c r="AP2892" s="1115"/>
      <c r="AQ2892" s="1115"/>
      <c r="AR2892" s="1115"/>
      <c r="AS2892" s="1117"/>
      <c r="AT2892" s="1075"/>
      <c r="AU2892" s="1193"/>
      <c r="AV2892" s="330"/>
      <c r="AW2892" s="331"/>
      <c r="AX2892" s="331"/>
      <c r="AY2892" s="331"/>
      <c r="AZ2892" s="331"/>
      <c r="BA2892" s="331"/>
      <c r="BB2892" s="331"/>
      <c r="BC2892" s="331"/>
      <c r="BD2892" s="331"/>
      <c r="BE2892" s="333"/>
      <c r="BF2892" s="330"/>
      <c r="BG2892" s="333"/>
      <c r="BH2892" s="1119"/>
      <c r="BI2892" s="319"/>
      <c r="BJ2892" s="319"/>
      <c r="BK2892" s="319"/>
      <c r="BL2892" s="319"/>
      <c r="BM2892" s="319"/>
      <c r="BN2892" s="319"/>
      <c r="BO2892" s="319"/>
      <c r="BP2892" s="953"/>
      <c r="BQ2892" s="319"/>
      <c r="BR2892" s="319"/>
      <c r="BS2892" s="330"/>
      <c r="BT2892" s="331"/>
      <c r="BU2892" s="920"/>
      <c r="BV2892" s="903"/>
      <c r="BW2892" s="908"/>
      <c r="BX2892" s="908"/>
      <c r="BY2892" s="331"/>
      <c r="BZ2892" s="331"/>
      <c r="CA2892" s="462"/>
      <c r="CB2892" s="319"/>
      <c r="CC2892" s="319"/>
      <c r="CD2892" s="319"/>
      <c r="CE2892" s="319"/>
      <c r="CF2892" s="319"/>
      <c r="CG2892" s="319"/>
      <c r="CH2892" s="318"/>
      <c r="CI2892" s="319"/>
      <c r="CJ2892" s="319"/>
      <c r="CK2892" s="342"/>
      <c r="CL2892" s="333"/>
      <c r="CM2892" s="1079"/>
      <c r="CN2892" s="1005"/>
      <c r="CO2892" s="1005"/>
      <c r="CP2892" s="1005"/>
    </row>
    <row r="2893">
      <c r="A2893" s="1257"/>
      <c r="B2893" s="1113"/>
      <c r="C2893" s="1107"/>
      <c r="D2893" s="103"/>
      <c r="E2893" s="1137"/>
      <c r="F2893" s="112"/>
      <c r="G2893" s="1110"/>
      <c r="H2893" s="1138"/>
      <c r="I2893" s="1138"/>
      <c r="J2893" s="1139"/>
      <c r="K2893" s="1111"/>
      <c r="L2893" s="1112"/>
      <c r="M2893" s="1113"/>
      <c r="N2893" s="110"/>
      <c r="O2893" s="1140"/>
      <c r="P2893" s="1115"/>
      <c r="Q2893" s="1116"/>
      <c r="R2893" s="1141"/>
      <c r="S2893" s="1113"/>
      <c r="T2893" s="1143"/>
      <c r="U2893" s="1108"/>
      <c r="V2893" s="1108"/>
      <c r="W2893" s="1108"/>
      <c r="X2893" s="1108"/>
      <c r="Y2893" s="1108"/>
      <c r="Z2893" s="1114"/>
      <c r="AA2893" s="1114"/>
      <c r="AB2893" s="1114"/>
      <c r="AC2893" s="1117"/>
      <c r="AD2893" s="1115"/>
      <c r="AE2893" s="1115"/>
      <c r="AF2893" s="1115"/>
      <c r="AG2893" s="1115"/>
      <c r="AH2893" s="1115"/>
      <c r="AI2893" s="1115"/>
      <c r="AJ2893" s="1117"/>
      <c r="AK2893" s="1118"/>
      <c r="AL2893" s="1115"/>
      <c r="AM2893" s="1115"/>
      <c r="AN2893" s="1115"/>
      <c r="AO2893" s="1115"/>
      <c r="AP2893" s="1115"/>
      <c r="AQ2893" s="1115"/>
      <c r="AR2893" s="1115"/>
      <c r="AS2893" s="1117"/>
      <c r="AT2893" s="1075"/>
      <c r="AU2893" s="1193"/>
      <c r="AV2893" s="330"/>
      <c r="AW2893" s="331"/>
      <c r="AX2893" s="331"/>
      <c r="AY2893" s="331"/>
      <c r="AZ2893" s="331"/>
      <c r="BA2893" s="331"/>
      <c r="BB2893" s="331"/>
      <c r="BC2893" s="331"/>
      <c r="BD2893" s="331"/>
      <c r="BE2893" s="333"/>
      <c r="BF2893" s="330"/>
      <c r="BG2893" s="333"/>
      <c r="BH2893" s="1119"/>
      <c r="BI2893" s="319"/>
      <c r="BJ2893" s="319"/>
      <c r="BK2893" s="319"/>
      <c r="BL2893" s="319"/>
      <c r="BM2893" s="319"/>
      <c r="BN2893" s="319"/>
      <c r="BO2893" s="319"/>
      <c r="BP2893" s="953"/>
      <c r="BQ2893" s="319"/>
      <c r="BR2893" s="319"/>
      <c r="BS2893" s="330"/>
      <c r="BT2893" s="331"/>
      <c r="BU2893" s="920"/>
      <c r="BV2893" s="903"/>
      <c r="BW2893" s="908"/>
      <c r="BX2893" s="908"/>
      <c r="BY2893" s="331"/>
      <c r="BZ2893" s="331"/>
      <c r="CA2893" s="462"/>
      <c r="CB2893" s="319"/>
      <c r="CC2893" s="319"/>
      <c r="CD2893" s="319"/>
      <c r="CE2893" s="319"/>
      <c r="CF2893" s="319"/>
      <c r="CG2893" s="319"/>
      <c r="CH2893" s="318"/>
      <c r="CI2893" s="319"/>
      <c r="CJ2893" s="319"/>
      <c r="CK2893" s="342"/>
      <c r="CL2893" s="333"/>
      <c r="CM2893" s="1079"/>
      <c r="CN2893" s="1005"/>
      <c r="CO2893" s="1005"/>
      <c r="CP2893" s="1005"/>
    </row>
    <row r="2894">
      <c r="A2894" s="1257"/>
      <c r="B2894" s="1113"/>
      <c r="C2894" s="1107"/>
      <c r="D2894" s="103"/>
      <c r="E2894" s="1137"/>
      <c r="F2894" s="112"/>
      <c r="G2894" s="1110"/>
      <c r="H2894" s="1138"/>
      <c r="I2894" s="1138"/>
      <c r="J2894" s="1139"/>
      <c r="K2894" s="1111"/>
      <c r="L2894" s="1112"/>
      <c r="M2894" s="1113"/>
      <c r="N2894" s="110"/>
      <c r="O2894" s="1140"/>
      <c r="P2894" s="1115"/>
      <c r="Q2894" s="1116"/>
      <c r="R2894" s="1141"/>
      <c r="S2894" s="1113"/>
      <c r="T2894" s="1143"/>
      <c r="U2894" s="1108"/>
      <c r="V2894" s="1108"/>
      <c r="W2894" s="1108"/>
      <c r="X2894" s="1108"/>
      <c r="Y2894" s="1108"/>
      <c r="Z2894" s="1114"/>
      <c r="AA2894" s="1114"/>
      <c r="AB2894" s="1114"/>
      <c r="AC2894" s="1117"/>
      <c r="AD2894" s="1115"/>
      <c r="AE2894" s="1115"/>
      <c r="AF2894" s="1115"/>
      <c r="AG2894" s="1115"/>
      <c r="AH2894" s="1115"/>
      <c r="AI2894" s="1115"/>
      <c r="AJ2894" s="1117"/>
      <c r="AK2894" s="1118"/>
      <c r="AL2894" s="1115"/>
      <c r="AM2894" s="1115"/>
      <c r="AN2894" s="1115"/>
      <c r="AO2894" s="1115"/>
      <c r="AP2894" s="1115"/>
      <c r="AQ2894" s="1115"/>
      <c r="AR2894" s="1115"/>
      <c r="AS2894" s="1117"/>
      <c r="AT2894" s="1075"/>
      <c r="AU2894" s="1193"/>
      <c r="AV2894" s="330"/>
      <c r="AW2894" s="331"/>
      <c r="AX2894" s="331"/>
      <c r="AY2894" s="331"/>
      <c r="AZ2894" s="331"/>
      <c r="BA2894" s="331"/>
      <c r="BB2894" s="331"/>
      <c r="BC2894" s="331"/>
      <c r="BD2894" s="331"/>
      <c r="BE2894" s="333"/>
      <c r="BF2894" s="330"/>
      <c r="BG2894" s="333"/>
      <c r="BH2894" s="1119"/>
      <c r="BI2894" s="319"/>
      <c r="BJ2894" s="319"/>
      <c r="BK2894" s="319"/>
      <c r="BL2894" s="319"/>
      <c r="BM2894" s="319"/>
      <c r="BN2894" s="319"/>
      <c r="BO2894" s="319"/>
      <c r="BP2894" s="953"/>
      <c r="BQ2894" s="319"/>
      <c r="BR2894" s="319"/>
      <c r="BS2894" s="330"/>
      <c r="BT2894" s="331"/>
      <c r="BU2894" s="920"/>
      <c r="BV2894" s="903"/>
      <c r="BW2894" s="908"/>
      <c r="BX2894" s="908"/>
      <c r="BY2894" s="331"/>
      <c r="BZ2894" s="331"/>
      <c r="CA2894" s="462"/>
      <c r="CB2894" s="319"/>
      <c r="CC2894" s="319"/>
      <c r="CD2894" s="319"/>
      <c r="CE2894" s="319"/>
      <c r="CF2894" s="319"/>
      <c r="CG2894" s="319"/>
      <c r="CH2894" s="318"/>
      <c r="CI2894" s="319"/>
      <c r="CJ2894" s="319"/>
      <c r="CK2894" s="342"/>
      <c r="CL2894" s="333"/>
      <c r="CM2894" s="1079"/>
      <c r="CN2894" s="1005"/>
      <c r="CO2894" s="1005"/>
      <c r="CP2894" s="1005"/>
    </row>
    <row r="2895">
      <c r="A2895" s="1257"/>
      <c r="B2895" s="1113"/>
      <c r="C2895" s="1107"/>
      <c r="D2895" s="103"/>
      <c r="E2895" s="1137"/>
      <c r="F2895" s="112"/>
      <c r="G2895" s="1110"/>
      <c r="H2895" s="1138"/>
      <c r="I2895" s="1138"/>
      <c r="J2895" s="1139"/>
      <c r="K2895" s="1111"/>
      <c r="L2895" s="1112"/>
      <c r="M2895" s="1113"/>
      <c r="N2895" s="110"/>
      <c r="O2895" s="1140"/>
      <c r="P2895" s="1115"/>
      <c r="Q2895" s="1116"/>
      <c r="R2895" s="1141"/>
      <c r="S2895" s="1113"/>
      <c r="T2895" s="1143"/>
      <c r="U2895" s="1108"/>
      <c r="V2895" s="1108"/>
      <c r="W2895" s="1108"/>
      <c r="X2895" s="1108"/>
      <c r="Y2895" s="1108"/>
      <c r="Z2895" s="1114"/>
      <c r="AA2895" s="1114"/>
      <c r="AB2895" s="1114"/>
      <c r="AC2895" s="1117"/>
      <c r="AD2895" s="1115"/>
      <c r="AE2895" s="1115"/>
      <c r="AF2895" s="1115"/>
      <c r="AG2895" s="1115"/>
      <c r="AH2895" s="1115"/>
      <c r="AI2895" s="1115"/>
      <c r="AJ2895" s="1117"/>
      <c r="AK2895" s="1118"/>
      <c r="AL2895" s="1115"/>
      <c r="AM2895" s="1115"/>
      <c r="AN2895" s="1115"/>
      <c r="AO2895" s="1115"/>
      <c r="AP2895" s="1115"/>
      <c r="AQ2895" s="1115"/>
      <c r="AR2895" s="1115"/>
      <c r="AS2895" s="1117"/>
      <c r="AT2895" s="1075"/>
      <c r="AU2895" s="1193"/>
      <c r="AV2895" s="330"/>
      <c r="AW2895" s="331"/>
      <c r="AX2895" s="331"/>
      <c r="AY2895" s="331"/>
      <c r="AZ2895" s="331"/>
      <c r="BA2895" s="331"/>
      <c r="BB2895" s="331"/>
      <c r="BC2895" s="331"/>
      <c r="BD2895" s="331"/>
      <c r="BE2895" s="333"/>
      <c r="BF2895" s="330"/>
      <c r="BG2895" s="333"/>
      <c r="BH2895" s="1119"/>
      <c r="BI2895" s="319"/>
      <c r="BJ2895" s="319"/>
      <c r="BK2895" s="319"/>
      <c r="BL2895" s="319"/>
      <c r="BM2895" s="319"/>
      <c r="BN2895" s="319"/>
      <c r="BO2895" s="319"/>
      <c r="BP2895" s="953"/>
      <c r="BQ2895" s="319"/>
      <c r="BR2895" s="319"/>
      <c r="BS2895" s="330"/>
      <c r="BT2895" s="331"/>
      <c r="BU2895" s="920"/>
      <c r="BV2895" s="903"/>
      <c r="BW2895" s="908"/>
      <c r="BX2895" s="908"/>
      <c r="BY2895" s="331"/>
      <c r="BZ2895" s="331"/>
      <c r="CA2895" s="462"/>
      <c r="CB2895" s="319"/>
      <c r="CC2895" s="319"/>
      <c r="CD2895" s="319"/>
      <c r="CE2895" s="319"/>
      <c r="CF2895" s="319"/>
      <c r="CG2895" s="319"/>
      <c r="CH2895" s="318"/>
      <c r="CI2895" s="319"/>
      <c r="CJ2895" s="319"/>
      <c r="CK2895" s="342"/>
      <c r="CL2895" s="333"/>
      <c r="CM2895" s="1079"/>
      <c r="CN2895" s="1005"/>
      <c r="CO2895" s="1005"/>
      <c r="CP2895" s="1005"/>
    </row>
    <row r="2896">
      <c r="A2896" s="1257"/>
      <c r="B2896" s="1113"/>
      <c r="C2896" s="1107"/>
      <c r="D2896" s="103"/>
      <c r="E2896" s="1137"/>
      <c r="F2896" s="112"/>
      <c r="G2896" s="1110"/>
      <c r="H2896" s="1138"/>
      <c r="I2896" s="1138"/>
      <c r="J2896" s="1139"/>
      <c r="K2896" s="1111"/>
      <c r="L2896" s="1112"/>
      <c r="M2896" s="1113"/>
      <c r="N2896" s="110"/>
      <c r="O2896" s="1140"/>
      <c r="P2896" s="1115"/>
      <c r="Q2896" s="1116"/>
      <c r="R2896" s="1141"/>
      <c r="S2896" s="1113"/>
      <c r="T2896" s="1143"/>
      <c r="U2896" s="1108"/>
      <c r="V2896" s="1108"/>
      <c r="W2896" s="1108"/>
      <c r="X2896" s="1108"/>
      <c r="Y2896" s="1108"/>
      <c r="Z2896" s="1114"/>
      <c r="AA2896" s="1114"/>
      <c r="AB2896" s="1114"/>
      <c r="AC2896" s="1117"/>
      <c r="AD2896" s="1115"/>
      <c r="AE2896" s="1115"/>
      <c r="AF2896" s="1115"/>
      <c r="AG2896" s="1115"/>
      <c r="AH2896" s="1115"/>
      <c r="AI2896" s="1115"/>
      <c r="AJ2896" s="1117"/>
      <c r="AK2896" s="1118"/>
      <c r="AL2896" s="1115"/>
      <c r="AM2896" s="1115"/>
      <c r="AN2896" s="1115"/>
      <c r="AO2896" s="1115"/>
      <c r="AP2896" s="1115"/>
      <c r="AQ2896" s="1115"/>
      <c r="AR2896" s="1115"/>
      <c r="AS2896" s="1117"/>
      <c r="AT2896" s="1075"/>
      <c r="AU2896" s="1193"/>
      <c r="AV2896" s="330"/>
      <c r="AW2896" s="331"/>
      <c r="AX2896" s="331"/>
      <c r="AY2896" s="331"/>
      <c r="AZ2896" s="331"/>
      <c r="BA2896" s="331"/>
      <c r="BB2896" s="331"/>
      <c r="BC2896" s="331"/>
      <c r="BD2896" s="331"/>
      <c r="BE2896" s="333"/>
      <c r="BF2896" s="330"/>
      <c r="BG2896" s="333"/>
      <c r="BH2896" s="1119"/>
      <c r="BI2896" s="319"/>
      <c r="BJ2896" s="319"/>
      <c r="BK2896" s="319"/>
      <c r="BL2896" s="319"/>
      <c r="BM2896" s="319"/>
      <c r="BN2896" s="319"/>
      <c r="BO2896" s="319"/>
      <c r="BP2896" s="953"/>
      <c r="BQ2896" s="319"/>
      <c r="BR2896" s="319"/>
      <c r="BS2896" s="330"/>
      <c r="BT2896" s="331"/>
      <c r="BU2896" s="920"/>
      <c r="BV2896" s="903"/>
      <c r="BW2896" s="908"/>
      <c r="BX2896" s="908"/>
      <c r="BY2896" s="331"/>
      <c r="BZ2896" s="331"/>
      <c r="CA2896" s="462"/>
      <c r="CB2896" s="319"/>
      <c r="CC2896" s="319"/>
      <c r="CD2896" s="319"/>
      <c r="CE2896" s="319"/>
      <c r="CF2896" s="319"/>
      <c r="CG2896" s="319"/>
      <c r="CH2896" s="318"/>
      <c r="CI2896" s="319"/>
      <c r="CJ2896" s="319"/>
      <c r="CK2896" s="342"/>
      <c r="CL2896" s="333"/>
      <c r="CM2896" s="1079"/>
      <c r="CN2896" s="1005"/>
      <c r="CO2896" s="1005"/>
      <c r="CP2896" s="1005"/>
    </row>
    <row r="2897">
      <c r="A2897" s="1257"/>
      <c r="B2897" s="1113"/>
      <c r="C2897" s="1107"/>
      <c r="D2897" s="103"/>
      <c r="E2897" s="1137"/>
      <c r="F2897" s="112"/>
      <c r="G2897" s="1110"/>
      <c r="H2897" s="1138"/>
      <c r="I2897" s="1138"/>
      <c r="J2897" s="1139"/>
      <c r="K2897" s="1111"/>
      <c r="L2897" s="1112"/>
      <c r="M2897" s="1113"/>
      <c r="N2897" s="110"/>
      <c r="O2897" s="1140"/>
      <c r="P2897" s="1115"/>
      <c r="Q2897" s="1116"/>
      <c r="R2897" s="1141"/>
      <c r="S2897" s="1113"/>
      <c r="T2897" s="1143"/>
      <c r="U2897" s="1108"/>
      <c r="V2897" s="1108"/>
      <c r="W2897" s="1108"/>
      <c r="X2897" s="1108"/>
      <c r="Y2897" s="1108"/>
      <c r="Z2897" s="1114"/>
      <c r="AA2897" s="1114"/>
      <c r="AB2897" s="1114"/>
      <c r="AC2897" s="1117"/>
      <c r="AD2897" s="1115"/>
      <c r="AE2897" s="1115"/>
      <c r="AF2897" s="1115"/>
      <c r="AG2897" s="1115"/>
      <c r="AH2897" s="1115"/>
      <c r="AI2897" s="1115"/>
      <c r="AJ2897" s="1117"/>
      <c r="AK2897" s="1118"/>
      <c r="AL2897" s="1115"/>
      <c r="AM2897" s="1115"/>
      <c r="AN2897" s="1115"/>
      <c r="AO2897" s="1115"/>
      <c r="AP2897" s="1115"/>
      <c r="AQ2897" s="1115"/>
      <c r="AR2897" s="1115"/>
      <c r="AS2897" s="1117"/>
      <c r="AT2897" s="1075"/>
      <c r="AU2897" s="1193"/>
      <c r="AV2897" s="330"/>
      <c r="AW2897" s="331"/>
      <c r="AX2897" s="331"/>
      <c r="AY2897" s="331"/>
      <c r="AZ2897" s="331"/>
      <c r="BA2897" s="331"/>
      <c r="BB2897" s="331"/>
      <c r="BC2897" s="331"/>
      <c r="BD2897" s="331"/>
      <c r="BE2897" s="333"/>
      <c r="BF2897" s="330"/>
      <c r="BG2897" s="333"/>
      <c r="BH2897" s="1119"/>
      <c r="BI2897" s="319"/>
      <c r="BJ2897" s="319"/>
      <c r="BK2897" s="319"/>
      <c r="BL2897" s="319"/>
      <c r="BM2897" s="319"/>
      <c r="BN2897" s="319"/>
      <c r="BO2897" s="319"/>
      <c r="BP2897" s="953"/>
      <c r="BQ2897" s="319"/>
      <c r="BR2897" s="319"/>
      <c r="BS2897" s="330"/>
      <c r="BT2897" s="331"/>
      <c r="BU2897" s="920"/>
      <c r="BV2897" s="903"/>
      <c r="BW2897" s="908"/>
      <c r="BX2897" s="908"/>
      <c r="BY2897" s="331"/>
      <c r="BZ2897" s="331"/>
      <c r="CA2897" s="462"/>
      <c r="CB2897" s="319"/>
      <c r="CC2897" s="319"/>
      <c r="CD2897" s="319"/>
      <c r="CE2897" s="319"/>
      <c r="CF2897" s="319"/>
      <c r="CG2897" s="319"/>
      <c r="CH2897" s="318"/>
      <c r="CI2897" s="319"/>
      <c r="CJ2897" s="319"/>
      <c r="CK2897" s="342"/>
      <c r="CL2897" s="333"/>
      <c r="CM2897" s="1079"/>
      <c r="CN2897" s="1005"/>
      <c r="CO2897" s="1005"/>
      <c r="CP2897" s="1005"/>
    </row>
    <row r="2898">
      <c r="A2898" s="1257"/>
      <c r="B2898" s="1113"/>
      <c r="C2898" s="1107"/>
      <c r="D2898" s="103"/>
      <c r="E2898" s="1137"/>
      <c r="F2898" s="112"/>
      <c r="G2898" s="1110"/>
      <c r="H2898" s="1138"/>
      <c r="I2898" s="1138"/>
      <c r="J2898" s="1139"/>
      <c r="K2898" s="1111"/>
      <c r="L2898" s="1112"/>
      <c r="M2898" s="1113"/>
      <c r="N2898" s="110"/>
      <c r="O2898" s="1140"/>
      <c r="P2898" s="1115"/>
      <c r="Q2898" s="1116"/>
      <c r="R2898" s="1141"/>
      <c r="S2898" s="1113"/>
      <c r="T2898" s="1143"/>
      <c r="U2898" s="1108"/>
      <c r="V2898" s="1108"/>
      <c r="W2898" s="1108"/>
      <c r="X2898" s="1108"/>
      <c r="Y2898" s="1108"/>
      <c r="Z2898" s="1114"/>
      <c r="AA2898" s="1114"/>
      <c r="AB2898" s="1114"/>
      <c r="AC2898" s="1117"/>
      <c r="AD2898" s="1115"/>
      <c r="AE2898" s="1115"/>
      <c r="AF2898" s="1115"/>
      <c r="AG2898" s="1115"/>
      <c r="AH2898" s="1115"/>
      <c r="AI2898" s="1115"/>
      <c r="AJ2898" s="1117"/>
      <c r="AK2898" s="1118"/>
      <c r="AL2898" s="1115"/>
      <c r="AM2898" s="1115"/>
      <c r="AN2898" s="1115"/>
      <c r="AO2898" s="1115"/>
      <c r="AP2898" s="1115"/>
      <c r="AQ2898" s="1115"/>
      <c r="AR2898" s="1115"/>
      <c r="AS2898" s="1117"/>
      <c r="AT2898" s="1075"/>
      <c r="AU2898" s="1193"/>
      <c r="AV2898" s="330"/>
      <c r="AW2898" s="331"/>
      <c r="AX2898" s="331"/>
      <c r="AY2898" s="331"/>
      <c r="AZ2898" s="331"/>
      <c r="BA2898" s="331"/>
      <c r="BB2898" s="331"/>
      <c r="BC2898" s="331"/>
      <c r="BD2898" s="331"/>
      <c r="BE2898" s="333"/>
      <c r="BF2898" s="330"/>
      <c r="BG2898" s="333"/>
      <c r="BH2898" s="1119"/>
      <c r="BI2898" s="319"/>
      <c r="BJ2898" s="319"/>
      <c r="BK2898" s="319"/>
      <c r="BL2898" s="319"/>
      <c r="BM2898" s="319"/>
      <c r="BN2898" s="319"/>
      <c r="BO2898" s="319"/>
      <c r="BP2898" s="953"/>
      <c r="BQ2898" s="319"/>
      <c r="BR2898" s="319"/>
      <c r="BS2898" s="330"/>
      <c r="BT2898" s="331"/>
      <c r="BU2898" s="920"/>
      <c r="BV2898" s="903"/>
      <c r="BW2898" s="908"/>
      <c r="BX2898" s="908"/>
      <c r="BY2898" s="331"/>
      <c r="BZ2898" s="331"/>
      <c r="CA2898" s="462"/>
      <c r="CB2898" s="319"/>
      <c r="CC2898" s="319"/>
      <c r="CD2898" s="319"/>
      <c r="CE2898" s="319"/>
      <c r="CF2898" s="319"/>
      <c r="CG2898" s="319"/>
      <c r="CH2898" s="318"/>
      <c r="CI2898" s="319"/>
      <c r="CJ2898" s="319"/>
      <c r="CK2898" s="342"/>
      <c r="CL2898" s="333"/>
      <c r="CM2898" s="1079"/>
      <c r="CN2898" s="1005"/>
      <c r="CO2898" s="1005"/>
      <c r="CP2898" s="1005"/>
    </row>
    <row r="2899">
      <c r="A2899" s="1257"/>
      <c r="B2899" s="1113"/>
      <c r="C2899" s="1107"/>
      <c r="D2899" s="103"/>
      <c r="E2899" s="1137"/>
      <c r="F2899" s="112"/>
      <c r="G2899" s="1110"/>
      <c r="H2899" s="1138"/>
      <c r="I2899" s="1138"/>
      <c r="J2899" s="1139"/>
      <c r="K2899" s="1111"/>
      <c r="L2899" s="1112"/>
      <c r="M2899" s="1113"/>
      <c r="N2899" s="110"/>
      <c r="O2899" s="1140"/>
      <c r="P2899" s="1115"/>
      <c r="Q2899" s="1116"/>
      <c r="R2899" s="1141"/>
      <c r="S2899" s="1113"/>
      <c r="T2899" s="1143"/>
      <c r="U2899" s="1108"/>
      <c r="V2899" s="1108"/>
      <c r="W2899" s="1108"/>
      <c r="X2899" s="1108"/>
      <c r="Y2899" s="1108"/>
      <c r="Z2899" s="1114"/>
      <c r="AA2899" s="1114"/>
      <c r="AB2899" s="1114"/>
      <c r="AC2899" s="1117"/>
      <c r="AD2899" s="1115"/>
      <c r="AE2899" s="1115"/>
      <c r="AF2899" s="1115"/>
      <c r="AG2899" s="1115"/>
      <c r="AH2899" s="1115"/>
      <c r="AI2899" s="1115"/>
      <c r="AJ2899" s="1117"/>
      <c r="AK2899" s="1118"/>
      <c r="AL2899" s="1115"/>
      <c r="AM2899" s="1115"/>
      <c r="AN2899" s="1115"/>
      <c r="AO2899" s="1115"/>
      <c r="AP2899" s="1115"/>
      <c r="AQ2899" s="1115"/>
      <c r="AR2899" s="1115"/>
      <c r="AS2899" s="1117"/>
      <c r="AT2899" s="1075"/>
      <c r="AU2899" s="1193"/>
      <c r="AV2899" s="330"/>
      <c r="AW2899" s="331"/>
      <c r="AX2899" s="331"/>
      <c r="AY2899" s="331"/>
      <c r="AZ2899" s="331"/>
      <c r="BA2899" s="331"/>
      <c r="BB2899" s="331"/>
      <c r="BC2899" s="331"/>
      <c r="BD2899" s="331"/>
      <c r="BE2899" s="333"/>
      <c r="BF2899" s="330"/>
      <c r="BG2899" s="333"/>
      <c r="BH2899" s="1119"/>
      <c r="BI2899" s="319"/>
      <c r="BJ2899" s="319"/>
      <c r="BK2899" s="319"/>
      <c r="BL2899" s="319"/>
      <c r="BM2899" s="319"/>
      <c r="BN2899" s="319"/>
      <c r="BO2899" s="319"/>
      <c r="BP2899" s="953"/>
      <c r="BQ2899" s="319"/>
      <c r="BR2899" s="319"/>
      <c r="BS2899" s="330"/>
      <c r="BT2899" s="331"/>
      <c r="BU2899" s="920"/>
      <c r="BV2899" s="903"/>
      <c r="BW2899" s="908"/>
      <c r="BX2899" s="908"/>
      <c r="BY2899" s="331"/>
      <c r="BZ2899" s="331"/>
      <c r="CA2899" s="462"/>
      <c r="CB2899" s="319"/>
      <c r="CC2899" s="319"/>
      <c r="CD2899" s="319"/>
      <c r="CE2899" s="319"/>
      <c r="CF2899" s="319"/>
      <c r="CG2899" s="319"/>
      <c r="CH2899" s="318"/>
      <c r="CI2899" s="319"/>
      <c r="CJ2899" s="319"/>
      <c r="CK2899" s="342"/>
      <c r="CL2899" s="333"/>
      <c r="CM2899" s="1079"/>
      <c r="CN2899" s="1005"/>
      <c r="CO2899" s="1005"/>
      <c r="CP2899" s="1005"/>
    </row>
    <row r="2900">
      <c r="A2900" s="1257"/>
      <c r="B2900" s="1113"/>
      <c r="C2900" s="1107"/>
      <c r="D2900" s="103"/>
      <c r="E2900" s="1137"/>
      <c r="F2900" s="112"/>
      <c r="G2900" s="1110"/>
      <c r="H2900" s="1138"/>
      <c r="I2900" s="1138"/>
      <c r="J2900" s="1139"/>
      <c r="K2900" s="1111"/>
      <c r="L2900" s="1112"/>
      <c r="M2900" s="1113"/>
      <c r="N2900" s="110"/>
      <c r="O2900" s="1140"/>
      <c r="P2900" s="1115"/>
      <c r="Q2900" s="1116"/>
      <c r="R2900" s="1141"/>
      <c r="S2900" s="1113"/>
      <c r="T2900" s="1143"/>
      <c r="U2900" s="1108"/>
      <c r="V2900" s="1108"/>
      <c r="W2900" s="1108"/>
      <c r="X2900" s="1108"/>
      <c r="Y2900" s="1108"/>
      <c r="Z2900" s="1114"/>
      <c r="AA2900" s="1114"/>
      <c r="AB2900" s="1114"/>
      <c r="AC2900" s="1117"/>
      <c r="AD2900" s="1115"/>
      <c r="AE2900" s="1115"/>
      <c r="AF2900" s="1115"/>
      <c r="AG2900" s="1115"/>
      <c r="AH2900" s="1115"/>
      <c r="AI2900" s="1115"/>
      <c r="AJ2900" s="1117"/>
      <c r="AK2900" s="1118"/>
      <c r="AL2900" s="1115"/>
      <c r="AM2900" s="1115"/>
      <c r="AN2900" s="1115"/>
      <c r="AO2900" s="1115"/>
      <c r="AP2900" s="1115"/>
      <c r="AQ2900" s="1115"/>
      <c r="AR2900" s="1115"/>
      <c r="AS2900" s="1117"/>
      <c r="AT2900" s="1075"/>
      <c r="AU2900" s="1193"/>
      <c r="AV2900" s="330"/>
      <c r="AW2900" s="331"/>
      <c r="AX2900" s="331"/>
      <c r="AY2900" s="331"/>
      <c r="AZ2900" s="331"/>
      <c r="BA2900" s="331"/>
      <c r="BB2900" s="331"/>
      <c r="BC2900" s="331"/>
      <c r="BD2900" s="331"/>
      <c r="BE2900" s="333"/>
      <c r="BF2900" s="330"/>
      <c r="BG2900" s="333"/>
      <c r="BH2900" s="1119"/>
      <c r="BI2900" s="319"/>
      <c r="BJ2900" s="319"/>
      <c r="BK2900" s="319"/>
      <c r="BL2900" s="319"/>
      <c r="BM2900" s="319"/>
      <c r="BN2900" s="319"/>
      <c r="BO2900" s="319"/>
      <c r="BP2900" s="953"/>
      <c r="BQ2900" s="319"/>
      <c r="BR2900" s="319"/>
      <c r="BS2900" s="330"/>
      <c r="BT2900" s="331"/>
      <c r="BU2900" s="920"/>
      <c r="BV2900" s="903"/>
      <c r="BW2900" s="908"/>
      <c r="BX2900" s="908"/>
      <c r="BY2900" s="331"/>
      <c r="BZ2900" s="331"/>
      <c r="CA2900" s="462"/>
      <c r="CB2900" s="319"/>
      <c r="CC2900" s="319"/>
      <c r="CD2900" s="319"/>
      <c r="CE2900" s="319"/>
      <c r="CF2900" s="319"/>
      <c r="CG2900" s="319"/>
      <c r="CH2900" s="318"/>
      <c r="CI2900" s="319"/>
      <c r="CJ2900" s="319"/>
      <c r="CK2900" s="342"/>
      <c r="CL2900" s="333"/>
      <c r="CM2900" s="1079"/>
      <c r="CN2900" s="1005"/>
      <c r="CO2900" s="1005"/>
      <c r="CP2900" s="1005"/>
    </row>
    <row r="2901">
      <c r="A2901" s="1257"/>
      <c r="B2901" s="1113"/>
      <c r="C2901" s="1107"/>
      <c r="D2901" s="103"/>
      <c r="E2901" s="1137"/>
      <c r="F2901" s="112"/>
      <c r="G2901" s="1110"/>
      <c r="H2901" s="1138"/>
      <c r="I2901" s="1138"/>
      <c r="J2901" s="1139"/>
      <c r="K2901" s="1111"/>
      <c r="L2901" s="1112"/>
      <c r="M2901" s="1113"/>
      <c r="N2901" s="110"/>
      <c r="O2901" s="1140"/>
      <c r="P2901" s="1115"/>
      <c r="Q2901" s="1116"/>
      <c r="R2901" s="1141"/>
      <c r="S2901" s="1113"/>
      <c r="T2901" s="1143"/>
      <c r="U2901" s="1108"/>
      <c r="V2901" s="1108"/>
      <c r="W2901" s="1108"/>
      <c r="X2901" s="1108"/>
      <c r="Y2901" s="1108"/>
      <c r="Z2901" s="1114"/>
      <c r="AA2901" s="1114"/>
      <c r="AB2901" s="1114"/>
      <c r="AC2901" s="1117"/>
      <c r="AD2901" s="1115"/>
      <c r="AE2901" s="1115"/>
      <c r="AF2901" s="1115"/>
      <c r="AG2901" s="1115"/>
      <c r="AH2901" s="1115"/>
      <c r="AI2901" s="1115"/>
      <c r="AJ2901" s="1117"/>
      <c r="AK2901" s="1118"/>
      <c r="AL2901" s="1115"/>
      <c r="AM2901" s="1115"/>
      <c r="AN2901" s="1115"/>
      <c r="AO2901" s="1115"/>
      <c r="AP2901" s="1115"/>
      <c r="AQ2901" s="1115"/>
      <c r="AR2901" s="1115"/>
      <c r="AS2901" s="1117"/>
      <c r="AT2901" s="1075"/>
      <c r="AU2901" s="1193"/>
      <c r="AV2901" s="330"/>
      <c r="AW2901" s="331"/>
      <c r="AX2901" s="331"/>
      <c r="AY2901" s="331"/>
      <c r="AZ2901" s="331"/>
      <c r="BA2901" s="331"/>
      <c r="BB2901" s="331"/>
      <c r="BC2901" s="331"/>
      <c r="BD2901" s="331"/>
      <c r="BE2901" s="333"/>
      <c r="BF2901" s="330"/>
      <c r="BG2901" s="333"/>
      <c r="BH2901" s="1119"/>
      <c r="BI2901" s="319"/>
      <c r="BJ2901" s="319"/>
      <c r="BK2901" s="319"/>
      <c r="BL2901" s="319"/>
      <c r="BM2901" s="319"/>
      <c r="BN2901" s="319"/>
      <c r="BO2901" s="319"/>
      <c r="BP2901" s="953"/>
      <c r="BQ2901" s="319"/>
      <c r="BR2901" s="319"/>
      <c r="BS2901" s="330"/>
      <c r="BT2901" s="331"/>
      <c r="BU2901" s="920"/>
      <c r="BV2901" s="903"/>
      <c r="BW2901" s="908"/>
      <c r="BX2901" s="908"/>
      <c r="BY2901" s="331"/>
      <c r="BZ2901" s="331"/>
      <c r="CA2901" s="462"/>
      <c r="CB2901" s="319"/>
      <c r="CC2901" s="319"/>
      <c r="CD2901" s="319"/>
      <c r="CE2901" s="319"/>
      <c r="CF2901" s="319"/>
      <c r="CG2901" s="319"/>
      <c r="CH2901" s="318"/>
      <c r="CI2901" s="319"/>
      <c r="CJ2901" s="319"/>
      <c r="CK2901" s="342"/>
      <c r="CL2901" s="333"/>
      <c r="CM2901" s="1079"/>
      <c r="CN2901" s="1005"/>
      <c r="CO2901" s="1005"/>
      <c r="CP2901" s="1005"/>
    </row>
    <row r="2902">
      <c r="A2902" s="1257"/>
      <c r="B2902" s="1113"/>
      <c r="C2902" s="1107"/>
      <c r="D2902" s="103"/>
      <c r="E2902" s="1137"/>
      <c r="F2902" s="112"/>
      <c r="G2902" s="1110"/>
      <c r="H2902" s="1138"/>
      <c r="I2902" s="1138"/>
      <c r="J2902" s="1139"/>
      <c r="K2902" s="1111"/>
      <c r="L2902" s="1112"/>
      <c r="M2902" s="1113"/>
      <c r="N2902" s="110"/>
      <c r="O2902" s="1140"/>
      <c r="P2902" s="1115"/>
      <c r="Q2902" s="1116"/>
      <c r="R2902" s="1141"/>
      <c r="S2902" s="1113"/>
      <c r="T2902" s="1143"/>
      <c r="U2902" s="1108"/>
      <c r="V2902" s="1108"/>
      <c r="W2902" s="1108"/>
      <c r="X2902" s="1108"/>
      <c r="Y2902" s="1108"/>
      <c r="Z2902" s="1114"/>
      <c r="AA2902" s="1114"/>
      <c r="AB2902" s="1114"/>
      <c r="AC2902" s="1117"/>
      <c r="AD2902" s="1115"/>
      <c r="AE2902" s="1115"/>
      <c r="AF2902" s="1115"/>
      <c r="AG2902" s="1115"/>
      <c r="AH2902" s="1115"/>
      <c r="AI2902" s="1115"/>
      <c r="AJ2902" s="1117"/>
      <c r="AK2902" s="1118"/>
      <c r="AL2902" s="1115"/>
      <c r="AM2902" s="1115"/>
      <c r="AN2902" s="1115"/>
      <c r="AO2902" s="1115"/>
      <c r="AP2902" s="1115"/>
      <c r="AQ2902" s="1115"/>
      <c r="AR2902" s="1115"/>
      <c r="AS2902" s="1117"/>
      <c r="AT2902" s="1075"/>
      <c r="AU2902" s="1193"/>
      <c r="AV2902" s="330"/>
      <c r="AW2902" s="331"/>
      <c r="AX2902" s="331"/>
      <c r="AY2902" s="331"/>
      <c r="AZ2902" s="331"/>
      <c r="BA2902" s="331"/>
      <c r="BB2902" s="331"/>
      <c r="BC2902" s="331"/>
      <c r="BD2902" s="331"/>
      <c r="BE2902" s="333"/>
      <c r="BF2902" s="330"/>
      <c r="BG2902" s="333"/>
      <c r="BH2902" s="1119"/>
      <c r="BI2902" s="319"/>
      <c r="BJ2902" s="319"/>
      <c r="BK2902" s="319"/>
      <c r="BL2902" s="319"/>
      <c r="BM2902" s="319"/>
      <c r="BN2902" s="319"/>
      <c r="BO2902" s="319"/>
      <c r="BP2902" s="953"/>
      <c r="BQ2902" s="319"/>
      <c r="BR2902" s="319"/>
      <c r="BS2902" s="330"/>
      <c r="BT2902" s="331"/>
      <c r="BU2902" s="920"/>
      <c r="BV2902" s="903"/>
      <c r="BW2902" s="908"/>
      <c r="BX2902" s="908"/>
      <c r="BY2902" s="331"/>
      <c r="BZ2902" s="331"/>
      <c r="CA2902" s="462"/>
      <c r="CB2902" s="319"/>
      <c r="CC2902" s="319"/>
      <c r="CD2902" s="319"/>
      <c r="CE2902" s="319"/>
      <c r="CF2902" s="319"/>
      <c r="CG2902" s="319"/>
      <c r="CH2902" s="318"/>
      <c r="CI2902" s="319"/>
      <c r="CJ2902" s="319"/>
      <c r="CK2902" s="342"/>
      <c r="CL2902" s="333"/>
      <c r="CM2902" s="1079"/>
      <c r="CN2902" s="1005"/>
      <c r="CO2902" s="1005"/>
      <c r="CP2902" s="1005"/>
    </row>
    <row r="2903">
      <c r="A2903" s="1257"/>
      <c r="B2903" s="1113"/>
      <c r="C2903" s="1107"/>
      <c r="D2903" s="103"/>
      <c r="E2903" s="1137"/>
      <c r="F2903" s="112"/>
      <c r="G2903" s="1110"/>
      <c r="H2903" s="1138"/>
      <c r="I2903" s="1138"/>
      <c r="J2903" s="1139"/>
      <c r="K2903" s="1111"/>
      <c r="L2903" s="1112"/>
      <c r="M2903" s="1113"/>
      <c r="N2903" s="110"/>
      <c r="O2903" s="1140"/>
      <c r="P2903" s="1115"/>
      <c r="Q2903" s="1116"/>
      <c r="R2903" s="1141"/>
      <c r="S2903" s="1113"/>
      <c r="T2903" s="1143"/>
      <c r="U2903" s="1108"/>
      <c r="V2903" s="1108"/>
      <c r="W2903" s="1108"/>
      <c r="X2903" s="1108"/>
      <c r="Y2903" s="1108"/>
      <c r="Z2903" s="1114"/>
      <c r="AA2903" s="1114"/>
      <c r="AB2903" s="1114"/>
      <c r="AC2903" s="1117"/>
      <c r="AD2903" s="1115"/>
      <c r="AE2903" s="1115"/>
      <c r="AF2903" s="1115"/>
      <c r="AG2903" s="1115"/>
      <c r="AH2903" s="1115"/>
      <c r="AI2903" s="1115"/>
      <c r="AJ2903" s="1117"/>
      <c r="AK2903" s="1118"/>
      <c r="AL2903" s="1115"/>
      <c r="AM2903" s="1115"/>
      <c r="AN2903" s="1115"/>
      <c r="AO2903" s="1115"/>
      <c r="AP2903" s="1115"/>
      <c r="AQ2903" s="1115"/>
      <c r="AR2903" s="1115"/>
      <c r="AS2903" s="1117"/>
      <c r="AT2903" s="1075"/>
      <c r="AU2903" s="1193"/>
      <c r="AV2903" s="330"/>
      <c r="AW2903" s="331"/>
      <c r="AX2903" s="331"/>
      <c r="AY2903" s="331"/>
      <c r="AZ2903" s="331"/>
      <c r="BA2903" s="331"/>
      <c r="BB2903" s="331"/>
      <c r="BC2903" s="331"/>
      <c r="BD2903" s="331"/>
      <c r="BE2903" s="333"/>
      <c r="BF2903" s="330"/>
      <c r="BG2903" s="333"/>
      <c r="BH2903" s="1119"/>
      <c r="BI2903" s="319"/>
      <c r="BJ2903" s="319"/>
      <c r="BK2903" s="319"/>
      <c r="BL2903" s="319"/>
      <c r="BM2903" s="319"/>
      <c r="BN2903" s="319"/>
      <c r="BO2903" s="319"/>
      <c r="BP2903" s="953"/>
      <c r="BQ2903" s="319"/>
      <c r="BR2903" s="319"/>
      <c r="BS2903" s="330"/>
      <c r="BT2903" s="331"/>
      <c r="BU2903" s="920"/>
      <c r="BV2903" s="903"/>
      <c r="BW2903" s="908"/>
      <c r="BX2903" s="908"/>
      <c r="BY2903" s="331"/>
      <c r="BZ2903" s="331"/>
      <c r="CA2903" s="462"/>
      <c r="CB2903" s="319"/>
      <c r="CC2903" s="319"/>
      <c r="CD2903" s="319"/>
      <c r="CE2903" s="319"/>
      <c r="CF2903" s="319"/>
      <c r="CG2903" s="319"/>
      <c r="CH2903" s="318"/>
      <c r="CI2903" s="319"/>
      <c r="CJ2903" s="319"/>
      <c r="CK2903" s="342"/>
      <c r="CL2903" s="333"/>
      <c r="CM2903" s="1079"/>
      <c r="CN2903" s="1005"/>
      <c r="CO2903" s="1005"/>
      <c r="CP2903" s="1005"/>
    </row>
    <row r="2904">
      <c r="A2904" s="1257"/>
      <c r="B2904" s="1113"/>
      <c r="C2904" s="1107"/>
      <c r="D2904" s="103"/>
      <c r="E2904" s="1137"/>
      <c r="F2904" s="112"/>
      <c r="G2904" s="1110"/>
      <c r="H2904" s="1138"/>
      <c r="I2904" s="1138"/>
      <c r="J2904" s="1139"/>
      <c r="K2904" s="1111"/>
      <c r="L2904" s="1112"/>
      <c r="M2904" s="1113"/>
      <c r="N2904" s="110"/>
      <c r="O2904" s="1140"/>
      <c r="P2904" s="1115"/>
      <c r="Q2904" s="1116"/>
      <c r="R2904" s="1141"/>
      <c r="S2904" s="1113"/>
      <c r="T2904" s="1143"/>
      <c r="U2904" s="1108"/>
      <c r="V2904" s="1108"/>
      <c r="W2904" s="1108"/>
      <c r="X2904" s="1108"/>
      <c r="Y2904" s="1108"/>
      <c r="Z2904" s="1114"/>
      <c r="AA2904" s="1114"/>
      <c r="AB2904" s="1114"/>
      <c r="AC2904" s="1117"/>
      <c r="AD2904" s="1115"/>
      <c r="AE2904" s="1115"/>
      <c r="AF2904" s="1115"/>
      <c r="AG2904" s="1115"/>
      <c r="AH2904" s="1115"/>
      <c r="AI2904" s="1115"/>
      <c r="AJ2904" s="1117"/>
      <c r="AK2904" s="1118"/>
      <c r="AL2904" s="1115"/>
      <c r="AM2904" s="1115"/>
      <c r="AN2904" s="1115"/>
      <c r="AO2904" s="1115"/>
      <c r="AP2904" s="1115"/>
      <c r="AQ2904" s="1115"/>
      <c r="AR2904" s="1115"/>
      <c r="AS2904" s="1117"/>
      <c r="AT2904" s="1075"/>
      <c r="AU2904" s="1193"/>
      <c r="AV2904" s="330"/>
      <c r="AW2904" s="331"/>
      <c r="AX2904" s="331"/>
      <c r="AY2904" s="331"/>
      <c r="AZ2904" s="331"/>
      <c r="BA2904" s="331"/>
      <c r="BB2904" s="331"/>
      <c r="BC2904" s="331"/>
      <c r="BD2904" s="331"/>
      <c r="BE2904" s="333"/>
      <c r="BF2904" s="330"/>
      <c r="BG2904" s="333"/>
      <c r="BH2904" s="1119"/>
      <c r="BI2904" s="319"/>
      <c r="BJ2904" s="319"/>
      <c r="BK2904" s="319"/>
      <c r="BL2904" s="319"/>
      <c r="BM2904" s="319"/>
      <c r="BN2904" s="319"/>
      <c r="BO2904" s="319"/>
      <c r="BP2904" s="953"/>
      <c r="BQ2904" s="319"/>
      <c r="BR2904" s="319"/>
      <c r="BS2904" s="330"/>
      <c r="BT2904" s="331"/>
      <c r="BU2904" s="920"/>
      <c r="BV2904" s="903"/>
      <c r="BW2904" s="908"/>
      <c r="BX2904" s="908"/>
      <c r="BY2904" s="331"/>
      <c r="BZ2904" s="331"/>
      <c r="CA2904" s="462"/>
      <c r="CB2904" s="319"/>
      <c r="CC2904" s="319"/>
      <c r="CD2904" s="319"/>
      <c r="CE2904" s="319"/>
      <c r="CF2904" s="319"/>
      <c r="CG2904" s="319"/>
      <c r="CH2904" s="318"/>
      <c r="CI2904" s="319"/>
      <c r="CJ2904" s="319"/>
      <c r="CK2904" s="342"/>
      <c r="CL2904" s="333"/>
      <c r="CM2904" s="1079"/>
      <c r="CN2904" s="1005"/>
      <c r="CO2904" s="1005"/>
      <c r="CP2904" s="1005"/>
    </row>
    <row r="2905">
      <c r="A2905" s="1257"/>
      <c r="B2905" s="1113"/>
      <c r="C2905" s="1107"/>
      <c r="D2905" s="103"/>
      <c r="E2905" s="1137"/>
      <c r="F2905" s="112"/>
      <c r="G2905" s="1110"/>
      <c r="H2905" s="1138"/>
      <c r="I2905" s="1138"/>
      <c r="J2905" s="1139"/>
      <c r="K2905" s="1111"/>
      <c r="L2905" s="1112"/>
      <c r="M2905" s="1113"/>
      <c r="N2905" s="110"/>
      <c r="O2905" s="1140"/>
      <c r="P2905" s="1115"/>
      <c r="Q2905" s="1116"/>
      <c r="R2905" s="1141"/>
      <c r="S2905" s="1113"/>
      <c r="T2905" s="1143"/>
      <c r="U2905" s="1108"/>
      <c r="V2905" s="1108"/>
      <c r="W2905" s="1108"/>
      <c r="X2905" s="1108"/>
      <c r="Y2905" s="1108"/>
      <c r="Z2905" s="1114"/>
      <c r="AA2905" s="1114"/>
      <c r="AB2905" s="1114"/>
      <c r="AC2905" s="1117"/>
      <c r="AD2905" s="1115"/>
      <c r="AE2905" s="1115"/>
      <c r="AF2905" s="1115"/>
      <c r="AG2905" s="1115"/>
      <c r="AH2905" s="1115"/>
      <c r="AI2905" s="1115"/>
      <c r="AJ2905" s="1117"/>
      <c r="AK2905" s="1118"/>
      <c r="AL2905" s="1115"/>
      <c r="AM2905" s="1115"/>
      <c r="AN2905" s="1115"/>
      <c r="AO2905" s="1115"/>
      <c r="AP2905" s="1115"/>
      <c r="AQ2905" s="1115"/>
      <c r="AR2905" s="1115"/>
      <c r="AS2905" s="1117"/>
      <c r="AT2905" s="1075"/>
      <c r="AU2905" s="1193"/>
      <c r="AV2905" s="330"/>
      <c r="AW2905" s="331"/>
      <c r="AX2905" s="331"/>
      <c r="AY2905" s="331"/>
      <c r="AZ2905" s="331"/>
      <c r="BA2905" s="331"/>
      <c r="BB2905" s="331"/>
      <c r="BC2905" s="331"/>
      <c r="BD2905" s="331"/>
      <c r="BE2905" s="333"/>
      <c r="BF2905" s="330"/>
      <c r="BG2905" s="333"/>
      <c r="BH2905" s="1119"/>
      <c r="BI2905" s="319"/>
      <c r="BJ2905" s="319"/>
      <c r="BK2905" s="319"/>
      <c r="BL2905" s="319"/>
      <c r="BM2905" s="319"/>
      <c r="BN2905" s="319"/>
      <c r="BO2905" s="319"/>
      <c r="BP2905" s="953"/>
      <c r="BQ2905" s="319"/>
      <c r="BR2905" s="319"/>
      <c r="BS2905" s="330"/>
      <c r="BT2905" s="331"/>
      <c r="BU2905" s="920"/>
      <c r="BV2905" s="903"/>
      <c r="BW2905" s="908"/>
      <c r="BX2905" s="908"/>
      <c r="BY2905" s="331"/>
      <c r="BZ2905" s="331"/>
      <c r="CA2905" s="462"/>
      <c r="CB2905" s="319"/>
      <c r="CC2905" s="319"/>
      <c r="CD2905" s="319"/>
      <c r="CE2905" s="319"/>
      <c r="CF2905" s="319"/>
      <c r="CG2905" s="319"/>
      <c r="CH2905" s="318"/>
      <c r="CI2905" s="319"/>
      <c r="CJ2905" s="319"/>
      <c r="CK2905" s="342"/>
      <c r="CL2905" s="333"/>
      <c r="CM2905" s="1079"/>
      <c r="CN2905" s="1005"/>
      <c r="CO2905" s="1005"/>
      <c r="CP2905" s="1005"/>
    </row>
    <row r="2906">
      <c r="A2906" s="1257"/>
      <c r="B2906" s="1113"/>
      <c r="C2906" s="1107"/>
      <c r="D2906" s="103"/>
      <c r="E2906" s="1137"/>
      <c r="F2906" s="112"/>
      <c r="G2906" s="1110"/>
      <c r="H2906" s="1138"/>
      <c r="I2906" s="1138"/>
      <c r="J2906" s="1139"/>
      <c r="K2906" s="1111"/>
      <c r="L2906" s="1112"/>
      <c r="M2906" s="1113"/>
      <c r="N2906" s="110"/>
      <c r="O2906" s="1140"/>
      <c r="P2906" s="1115"/>
      <c r="Q2906" s="1116"/>
      <c r="R2906" s="1141"/>
      <c r="S2906" s="1113"/>
      <c r="T2906" s="1143"/>
      <c r="U2906" s="1108"/>
      <c r="V2906" s="1108"/>
      <c r="W2906" s="1108"/>
      <c r="X2906" s="1108"/>
      <c r="Y2906" s="1108"/>
      <c r="Z2906" s="1114"/>
      <c r="AA2906" s="1114"/>
      <c r="AB2906" s="1114"/>
      <c r="AC2906" s="1117"/>
      <c r="AD2906" s="1115"/>
      <c r="AE2906" s="1115"/>
      <c r="AF2906" s="1115"/>
      <c r="AG2906" s="1115"/>
      <c r="AH2906" s="1115"/>
      <c r="AI2906" s="1115"/>
      <c r="AJ2906" s="1117"/>
      <c r="AK2906" s="1118"/>
      <c r="AL2906" s="1115"/>
      <c r="AM2906" s="1115"/>
      <c r="AN2906" s="1115"/>
      <c r="AO2906" s="1115"/>
      <c r="AP2906" s="1115"/>
      <c r="AQ2906" s="1115"/>
      <c r="AR2906" s="1115"/>
      <c r="AS2906" s="1117"/>
      <c r="AT2906" s="1075"/>
      <c r="AU2906" s="1193"/>
      <c r="AV2906" s="330"/>
      <c r="AW2906" s="331"/>
      <c r="AX2906" s="331"/>
      <c r="AY2906" s="331"/>
      <c r="AZ2906" s="331"/>
      <c r="BA2906" s="331"/>
      <c r="BB2906" s="331"/>
      <c r="BC2906" s="331"/>
      <c r="BD2906" s="331"/>
      <c r="BE2906" s="333"/>
      <c r="BF2906" s="330"/>
      <c r="BG2906" s="333"/>
      <c r="BH2906" s="1119"/>
      <c r="BI2906" s="319"/>
      <c r="BJ2906" s="319"/>
      <c r="BK2906" s="319"/>
      <c r="BL2906" s="319"/>
      <c r="BM2906" s="319"/>
      <c r="BN2906" s="319"/>
      <c r="BO2906" s="319"/>
      <c r="BP2906" s="953"/>
      <c r="BQ2906" s="319"/>
      <c r="BR2906" s="319"/>
      <c r="BS2906" s="330"/>
      <c r="BT2906" s="331"/>
      <c r="BU2906" s="920"/>
      <c r="BV2906" s="903"/>
      <c r="BW2906" s="908"/>
      <c r="BX2906" s="908"/>
      <c r="BY2906" s="331"/>
      <c r="BZ2906" s="331"/>
      <c r="CA2906" s="462"/>
      <c r="CB2906" s="319"/>
      <c r="CC2906" s="319"/>
      <c r="CD2906" s="319"/>
      <c r="CE2906" s="319"/>
      <c r="CF2906" s="319"/>
      <c r="CG2906" s="319"/>
      <c r="CH2906" s="318"/>
      <c r="CI2906" s="319"/>
      <c r="CJ2906" s="319"/>
      <c r="CK2906" s="342"/>
      <c r="CL2906" s="333"/>
      <c r="CM2906" s="1079"/>
      <c r="CN2906" s="1005"/>
      <c r="CO2906" s="1005"/>
      <c r="CP2906" s="1005"/>
    </row>
    <row r="2907">
      <c r="A2907" s="1257"/>
      <c r="B2907" s="1113"/>
      <c r="C2907" s="1107"/>
      <c r="D2907" s="103"/>
      <c r="E2907" s="1137"/>
      <c r="F2907" s="112"/>
      <c r="G2907" s="1110"/>
      <c r="H2907" s="1138"/>
      <c r="I2907" s="1138"/>
      <c r="J2907" s="1139"/>
      <c r="K2907" s="1111"/>
      <c r="L2907" s="1112"/>
      <c r="M2907" s="1113"/>
      <c r="N2907" s="110"/>
      <c r="O2907" s="1140"/>
      <c r="P2907" s="1115"/>
      <c r="Q2907" s="1116"/>
      <c r="R2907" s="1141"/>
      <c r="S2907" s="1113"/>
      <c r="T2907" s="1143"/>
      <c r="U2907" s="1108"/>
      <c r="V2907" s="1108"/>
      <c r="W2907" s="1108"/>
      <c r="X2907" s="1108"/>
      <c r="Y2907" s="1108"/>
      <c r="Z2907" s="1114"/>
      <c r="AA2907" s="1114"/>
      <c r="AB2907" s="1114"/>
      <c r="AC2907" s="1117"/>
      <c r="AD2907" s="1115"/>
      <c r="AE2907" s="1115"/>
      <c r="AF2907" s="1115"/>
      <c r="AG2907" s="1115"/>
      <c r="AH2907" s="1115"/>
      <c r="AI2907" s="1115"/>
      <c r="AJ2907" s="1117"/>
      <c r="AK2907" s="1118"/>
      <c r="AL2907" s="1115"/>
      <c r="AM2907" s="1115"/>
      <c r="AN2907" s="1115"/>
      <c r="AO2907" s="1115"/>
      <c r="AP2907" s="1115"/>
      <c r="AQ2907" s="1115"/>
      <c r="AR2907" s="1115"/>
      <c r="AS2907" s="1117"/>
      <c r="AT2907" s="1075"/>
      <c r="AU2907" s="1193"/>
      <c r="AV2907" s="330"/>
      <c r="AW2907" s="331"/>
      <c r="AX2907" s="331"/>
      <c r="AY2907" s="331"/>
      <c r="AZ2907" s="331"/>
      <c r="BA2907" s="331"/>
      <c r="BB2907" s="331"/>
      <c r="BC2907" s="331"/>
      <c r="BD2907" s="331"/>
      <c r="BE2907" s="333"/>
      <c r="BF2907" s="330"/>
      <c r="BG2907" s="333"/>
      <c r="BH2907" s="1119"/>
      <c r="BI2907" s="319"/>
      <c r="BJ2907" s="319"/>
      <c r="BK2907" s="319"/>
      <c r="BL2907" s="319"/>
      <c r="BM2907" s="319"/>
      <c r="BN2907" s="319"/>
      <c r="BO2907" s="319"/>
      <c r="BP2907" s="953"/>
      <c r="BQ2907" s="319"/>
      <c r="BR2907" s="319"/>
      <c r="BS2907" s="330"/>
      <c r="BT2907" s="331"/>
      <c r="BU2907" s="920"/>
      <c r="BV2907" s="903"/>
      <c r="BW2907" s="908"/>
      <c r="BX2907" s="908"/>
      <c r="BY2907" s="331"/>
      <c r="BZ2907" s="331"/>
      <c r="CA2907" s="462"/>
      <c r="CB2907" s="319"/>
      <c r="CC2907" s="319"/>
      <c r="CD2907" s="319"/>
      <c r="CE2907" s="319"/>
      <c r="CF2907" s="319"/>
      <c r="CG2907" s="319"/>
      <c r="CH2907" s="318"/>
      <c r="CI2907" s="319"/>
      <c r="CJ2907" s="319"/>
      <c r="CK2907" s="342"/>
      <c r="CL2907" s="333"/>
      <c r="CM2907" s="1079"/>
      <c r="CN2907" s="1005"/>
      <c r="CO2907" s="1005"/>
      <c r="CP2907" s="1005"/>
    </row>
    <row r="2908">
      <c r="A2908" s="1257"/>
      <c r="B2908" s="1113"/>
      <c r="C2908" s="1107"/>
      <c r="D2908" s="103"/>
      <c r="E2908" s="1137"/>
      <c r="F2908" s="112"/>
      <c r="G2908" s="1110"/>
      <c r="H2908" s="1138"/>
      <c r="I2908" s="1138"/>
      <c r="J2908" s="1139"/>
      <c r="K2908" s="1111"/>
      <c r="L2908" s="1112"/>
      <c r="M2908" s="1113"/>
      <c r="N2908" s="110"/>
      <c r="O2908" s="1140"/>
      <c r="P2908" s="1115"/>
      <c r="Q2908" s="1116"/>
      <c r="R2908" s="1141"/>
      <c r="S2908" s="1113"/>
      <c r="T2908" s="1143"/>
      <c r="U2908" s="1108"/>
      <c r="V2908" s="1108"/>
      <c r="W2908" s="1108"/>
      <c r="X2908" s="1108"/>
      <c r="Y2908" s="1108"/>
      <c r="Z2908" s="1114"/>
      <c r="AA2908" s="1114"/>
      <c r="AB2908" s="1114"/>
      <c r="AC2908" s="1117"/>
      <c r="AD2908" s="1115"/>
      <c r="AE2908" s="1115"/>
      <c r="AF2908" s="1115"/>
      <c r="AG2908" s="1115"/>
      <c r="AH2908" s="1115"/>
      <c r="AI2908" s="1115"/>
      <c r="AJ2908" s="1117"/>
      <c r="AK2908" s="1118"/>
      <c r="AL2908" s="1115"/>
      <c r="AM2908" s="1115"/>
      <c r="AN2908" s="1115"/>
      <c r="AO2908" s="1115"/>
      <c r="AP2908" s="1115"/>
      <c r="AQ2908" s="1115"/>
      <c r="AR2908" s="1115"/>
      <c r="AS2908" s="1117"/>
      <c r="AT2908" s="1075"/>
      <c r="AU2908" s="1193"/>
      <c r="AV2908" s="330"/>
      <c r="AW2908" s="331"/>
      <c r="AX2908" s="331"/>
      <c r="AY2908" s="331"/>
      <c r="AZ2908" s="331"/>
      <c r="BA2908" s="331"/>
      <c r="BB2908" s="331"/>
      <c r="BC2908" s="331"/>
      <c r="BD2908" s="331"/>
      <c r="BE2908" s="333"/>
      <c r="BF2908" s="330"/>
      <c r="BG2908" s="333"/>
      <c r="BH2908" s="1119"/>
      <c r="BI2908" s="319"/>
      <c r="BJ2908" s="319"/>
      <c r="BK2908" s="319"/>
      <c r="BL2908" s="319"/>
      <c r="BM2908" s="319"/>
      <c r="BN2908" s="319"/>
      <c r="BO2908" s="319"/>
      <c r="BP2908" s="953"/>
      <c r="BQ2908" s="319"/>
      <c r="BR2908" s="319"/>
      <c r="BS2908" s="330"/>
      <c r="BT2908" s="331"/>
      <c r="BU2908" s="920"/>
      <c r="BV2908" s="903"/>
      <c r="BW2908" s="908"/>
      <c r="BX2908" s="908"/>
      <c r="BY2908" s="331"/>
      <c r="BZ2908" s="331"/>
      <c r="CA2908" s="462"/>
      <c r="CB2908" s="319"/>
      <c r="CC2908" s="319"/>
      <c r="CD2908" s="319"/>
      <c r="CE2908" s="319"/>
      <c r="CF2908" s="319"/>
      <c r="CG2908" s="319"/>
      <c r="CH2908" s="318"/>
      <c r="CI2908" s="319"/>
      <c r="CJ2908" s="319"/>
      <c r="CK2908" s="342"/>
      <c r="CL2908" s="333"/>
      <c r="CM2908" s="1079"/>
      <c r="CN2908" s="1005"/>
      <c r="CO2908" s="1005"/>
      <c r="CP2908" s="1005"/>
    </row>
    <row r="2909">
      <c r="A2909" s="1257"/>
      <c r="B2909" s="1113"/>
      <c r="C2909" s="1107"/>
      <c r="D2909" s="103"/>
      <c r="E2909" s="1137"/>
      <c r="F2909" s="112"/>
      <c r="G2909" s="1110"/>
      <c r="H2909" s="1138"/>
      <c r="I2909" s="1138"/>
      <c r="J2909" s="1139"/>
      <c r="K2909" s="1111"/>
      <c r="L2909" s="1112"/>
      <c r="M2909" s="1113"/>
      <c r="N2909" s="110"/>
      <c r="O2909" s="1140"/>
      <c r="P2909" s="1115"/>
      <c r="Q2909" s="1116"/>
      <c r="R2909" s="1141"/>
      <c r="S2909" s="1113"/>
      <c r="T2909" s="1143"/>
      <c r="U2909" s="1108"/>
      <c r="V2909" s="1108"/>
      <c r="W2909" s="1108"/>
      <c r="X2909" s="1108"/>
      <c r="Y2909" s="1108"/>
      <c r="Z2909" s="1114"/>
      <c r="AA2909" s="1114"/>
      <c r="AB2909" s="1114"/>
      <c r="AC2909" s="1117"/>
      <c r="AD2909" s="1115"/>
      <c r="AE2909" s="1115"/>
      <c r="AF2909" s="1115"/>
      <c r="AG2909" s="1115"/>
      <c r="AH2909" s="1115"/>
      <c r="AI2909" s="1115"/>
      <c r="AJ2909" s="1117"/>
      <c r="AK2909" s="1118"/>
      <c r="AL2909" s="1115"/>
      <c r="AM2909" s="1115"/>
      <c r="AN2909" s="1115"/>
      <c r="AO2909" s="1115"/>
      <c r="AP2909" s="1115"/>
      <c r="AQ2909" s="1115"/>
      <c r="AR2909" s="1115"/>
      <c r="AS2909" s="1117"/>
      <c r="AT2909" s="1075"/>
      <c r="AU2909" s="1193"/>
      <c r="AV2909" s="330"/>
      <c r="AW2909" s="331"/>
      <c r="AX2909" s="331"/>
      <c r="AY2909" s="331"/>
      <c r="AZ2909" s="331"/>
      <c r="BA2909" s="331"/>
      <c r="BB2909" s="331"/>
      <c r="BC2909" s="331"/>
      <c r="BD2909" s="331"/>
      <c r="BE2909" s="333"/>
      <c r="BF2909" s="330"/>
      <c r="BG2909" s="333"/>
      <c r="BH2909" s="1119"/>
      <c r="BI2909" s="319"/>
      <c r="BJ2909" s="319"/>
      <c r="BK2909" s="319"/>
      <c r="BL2909" s="319"/>
      <c r="BM2909" s="319"/>
      <c r="BN2909" s="319"/>
      <c r="BO2909" s="319"/>
      <c r="BP2909" s="953"/>
      <c r="BQ2909" s="319"/>
      <c r="BR2909" s="319"/>
      <c r="BS2909" s="330"/>
      <c r="BT2909" s="331"/>
      <c r="BU2909" s="920"/>
      <c r="BV2909" s="903"/>
      <c r="BW2909" s="908"/>
      <c r="BX2909" s="908"/>
      <c r="BY2909" s="331"/>
      <c r="BZ2909" s="331"/>
      <c r="CA2909" s="462"/>
      <c r="CB2909" s="319"/>
      <c r="CC2909" s="319"/>
      <c r="CD2909" s="319"/>
      <c r="CE2909" s="319"/>
      <c r="CF2909" s="319"/>
      <c r="CG2909" s="319"/>
      <c r="CH2909" s="318"/>
      <c r="CI2909" s="319"/>
      <c r="CJ2909" s="319"/>
      <c r="CK2909" s="342"/>
      <c r="CL2909" s="333"/>
      <c r="CM2909" s="1079"/>
      <c r="CN2909" s="1005"/>
      <c r="CO2909" s="1005"/>
      <c r="CP2909" s="1005"/>
    </row>
    <row r="2910">
      <c r="A2910" s="1257"/>
      <c r="B2910" s="1113"/>
      <c r="C2910" s="1107"/>
      <c r="D2910" s="103"/>
      <c r="E2910" s="1137"/>
      <c r="F2910" s="112"/>
      <c r="G2910" s="1110"/>
      <c r="H2910" s="1138"/>
      <c r="I2910" s="1138"/>
      <c r="J2910" s="1139"/>
      <c r="K2910" s="1111"/>
      <c r="L2910" s="1112"/>
      <c r="M2910" s="1113"/>
      <c r="N2910" s="110"/>
      <c r="O2910" s="1140"/>
      <c r="P2910" s="1115"/>
      <c r="Q2910" s="1116"/>
      <c r="R2910" s="1141"/>
      <c r="S2910" s="1113"/>
      <c r="T2910" s="1143"/>
      <c r="U2910" s="1108"/>
      <c r="V2910" s="1108"/>
      <c r="W2910" s="1108"/>
      <c r="X2910" s="1108"/>
      <c r="Y2910" s="1108"/>
      <c r="Z2910" s="1114"/>
      <c r="AA2910" s="1114"/>
      <c r="AB2910" s="1114"/>
      <c r="AC2910" s="1117"/>
      <c r="AD2910" s="1115"/>
      <c r="AE2910" s="1115"/>
      <c r="AF2910" s="1115"/>
      <c r="AG2910" s="1115"/>
      <c r="AH2910" s="1115"/>
      <c r="AI2910" s="1115"/>
      <c r="AJ2910" s="1117"/>
      <c r="AK2910" s="1118"/>
      <c r="AL2910" s="1115"/>
      <c r="AM2910" s="1115"/>
      <c r="AN2910" s="1115"/>
      <c r="AO2910" s="1115"/>
      <c r="AP2910" s="1115"/>
      <c r="AQ2910" s="1115"/>
      <c r="AR2910" s="1115"/>
      <c r="AS2910" s="1117"/>
      <c r="AT2910" s="1075"/>
      <c r="AU2910" s="1193"/>
      <c r="AV2910" s="330"/>
      <c r="AW2910" s="331"/>
      <c r="AX2910" s="331"/>
      <c r="AY2910" s="331"/>
      <c r="AZ2910" s="331"/>
      <c r="BA2910" s="331"/>
      <c r="BB2910" s="331"/>
      <c r="BC2910" s="331"/>
      <c r="BD2910" s="331"/>
      <c r="BE2910" s="333"/>
      <c r="BF2910" s="330"/>
      <c r="BG2910" s="333"/>
      <c r="BH2910" s="1119"/>
      <c r="BI2910" s="319"/>
      <c r="BJ2910" s="319"/>
      <c r="BK2910" s="319"/>
      <c r="BL2910" s="319"/>
      <c r="BM2910" s="319"/>
      <c r="BN2910" s="319"/>
      <c r="BO2910" s="319"/>
      <c r="BP2910" s="953"/>
      <c r="BQ2910" s="319"/>
      <c r="BR2910" s="319"/>
      <c r="BS2910" s="330"/>
      <c r="BT2910" s="331"/>
      <c r="BU2910" s="920"/>
      <c r="BV2910" s="903"/>
      <c r="BW2910" s="908"/>
      <c r="BX2910" s="908"/>
      <c r="BY2910" s="331"/>
      <c r="BZ2910" s="331"/>
      <c r="CA2910" s="462"/>
      <c r="CB2910" s="319"/>
      <c r="CC2910" s="319"/>
      <c r="CD2910" s="319"/>
      <c r="CE2910" s="319"/>
      <c r="CF2910" s="319"/>
      <c r="CG2910" s="319"/>
      <c r="CH2910" s="318"/>
      <c r="CI2910" s="319"/>
      <c r="CJ2910" s="319"/>
      <c r="CK2910" s="342"/>
      <c r="CL2910" s="333"/>
      <c r="CM2910" s="1079"/>
      <c r="CN2910" s="1005"/>
      <c r="CO2910" s="1005"/>
      <c r="CP2910" s="1005"/>
    </row>
    <row r="2911">
      <c r="A2911" s="1257"/>
      <c r="B2911" s="1113"/>
      <c r="C2911" s="1107"/>
      <c r="D2911" s="103"/>
      <c r="E2911" s="1137"/>
      <c r="F2911" s="112"/>
      <c r="G2911" s="1110"/>
      <c r="H2911" s="1138"/>
      <c r="I2911" s="1138"/>
      <c r="J2911" s="1139"/>
      <c r="K2911" s="1111"/>
      <c r="L2911" s="1112"/>
      <c r="M2911" s="1113"/>
      <c r="N2911" s="110"/>
      <c r="O2911" s="1140"/>
      <c r="P2911" s="1115"/>
      <c r="Q2911" s="1116"/>
      <c r="R2911" s="1141"/>
      <c r="S2911" s="1113"/>
      <c r="T2911" s="1143"/>
      <c r="U2911" s="1108"/>
      <c r="V2911" s="1108"/>
      <c r="W2911" s="1108"/>
      <c r="X2911" s="1108"/>
      <c r="Y2911" s="1108"/>
      <c r="Z2911" s="1114"/>
      <c r="AA2911" s="1114"/>
      <c r="AB2911" s="1114"/>
      <c r="AC2911" s="1117"/>
      <c r="AD2911" s="1115"/>
      <c r="AE2911" s="1115"/>
      <c r="AF2911" s="1115"/>
      <c r="AG2911" s="1115"/>
      <c r="AH2911" s="1115"/>
      <c r="AI2911" s="1115"/>
      <c r="AJ2911" s="1117"/>
      <c r="AK2911" s="1118"/>
      <c r="AL2911" s="1115"/>
      <c r="AM2911" s="1115"/>
      <c r="AN2911" s="1115"/>
      <c r="AO2911" s="1115"/>
      <c r="AP2911" s="1115"/>
      <c r="AQ2911" s="1115"/>
      <c r="AR2911" s="1115"/>
      <c r="AS2911" s="1117"/>
      <c r="AT2911" s="1075"/>
      <c r="AU2911" s="1193"/>
      <c r="AV2911" s="330"/>
      <c r="AW2911" s="331"/>
      <c r="AX2911" s="331"/>
      <c r="AY2911" s="331"/>
      <c r="AZ2911" s="331"/>
      <c r="BA2911" s="331"/>
      <c r="BB2911" s="331"/>
      <c r="BC2911" s="331"/>
      <c r="BD2911" s="331"/>
      <c r="BE2911" s="333"/>
      <c r="BF2911" s="330"/>
      <c r="BG2911" s="333"/>
      <c r="BH2911" s="1119"/>
      <c r="BI2911" s="319"/>
      <c r="BJ2911" s="319"/>
      <c r="BK2911" s="319"/>
      <c r="BL2911" s="319"/>
      <c r="BM2911" s="319"/>
      <c r="BN2911" s="319"/>
      <c r="BO2911" s="319"/>
      <c r="BP2911" s="953"/>
      <c r="BQ2911" s="319"/>
      <c r="BR2911" s="319"/>
      <c r="BS2911" s="330"/>
      <c r="BT2911" s="331"/>
      <c r="BU2911" s="920"/>
      <c r="BV2911" s="903"/>
      <c r="BW2911" s="908"/>
      <c r="BX2911" s="908"/>
      <c r="BY2911" s="331"/>
      <c r="BZ2911" s="331"/>
      <c r="CA2911" s="462"/>
      <c r="CB2911" s="319"/>
      <c r="CC2911" s="319"/>
      <c r="CD2911" s="319"/>
      <c r="CE2911" s="319"/>
      <c r="CF2911" s="319"/>
      <c r="CG2911" s="319"/>
      <c r="CH2911" s="318"/>
      <c r="CI2911" s="319"/>
      <c r="CJ2911" s="319"/>
      <c r="CK2911" s="342"/>
      <c r="CL2911" s="333"/>
      <c r="CM2911" s="1079"/>
      <c r="CN2911" s="1005"/>
      <c r="CO2911" s="1005"/>
      <c r="CP2911" s="1005"/>
    </row>
    <row r="2912">
      <c r="A2912" s="1257"/>
      <c r="B2912" s="1113"/>
      <c r="C2912" s="1107"/>
      <c r="D2912" s="103"/>
      <c r="E2912" s="1137"/>
      <c r="F2912" s="112"/>
      <c r="G2912" s="1110"/>
      <c r="H2912" s="1138"/>
      <c r="I2912" s="1138"/>
      <c r="J2912" s="1139"/>
      <c r="K2912" s="1111"/>
      <c r="L2912" s="1112"/>
      <c r="M2912" s="1113"/>
      <c r="N2912" s="110"/>
      <c r="O2912" s="1140"/>
      <c r="P2912" s="1115"/>
      <c r="Q2912" s="1116"/>
      <c r="R2912" s="1141"/>
      <c r="S2912" s="1113"/>
      <c r="T2912" s="1143"/>
      <c r="U2912" s="1108"/>
      <c r="V2912" s="1108"/>
      <c r="W2912" s="1108"/>
      <c r="X2912" s="1108"/>
      <c r="Y2912" s="1108"/>
      <c r="Z2912" s="1114"/>
      <c r="AA2912" s="1114"/>
      <c r="AB2912" s="1114"/>
      <c r="AC2912" s="1117"/>
      <c r="AD2912" s="1115"/>
      <c r="AE2912" s="1115"/>
      <c r="AF2912" s="1115"/>
      <c r="AG2912" s="1115"/>
      <c r="AH2912" s="1115"/>
      <c r="AI2912" s="1115"/>
      <c r="AJ2912" s="1117"/>
      <c r="AK2912" s="1118"/>
      <c r="AL2912" s="1115"/>
      <c r="AM2912" s="1115"/>
      <c r="AN2912" s="1115"/>
      <c r="AO2912" s="1115"/>
      <c r="AP2912" s="1115"/>
      <c r="AQ2912" s="1115"/>
      <c r="AR2912" s="1115"/>
      <c r="AS2912" s="1117"/>
      <c r="AT2912" s="1075"/>
      <c r="AU2912" s="1193"/>
      <c r="AV2912" s="330"/>
      <c r="AW2912" s="331"/>
      <c r="AX2912" s="331"/>
      <c r="AY2912" s="331"/>
      <c r="AZ2912" s="331"/>
      <c r="BA2912" s="331"/>
      <c r="BB2912" s="331"/>
      <c r="BC2912" s="331"/>
      <c r="BD2912" s="331"/>
      <c r="BE2912" s="333"/>
      <c r="BF2912" s="330"/>
      <c r="BG2912" s="333"/>
      <c r="BH2912" s="1119"/>
      <c r="BI2912" s="319"/>
      <c r="BJ2912" s="319"/>
      <c r="BK2912" s="319"/>
      <c r="BL2912" s="319"/>
      <c r="BM2912" s="319"/>
      <c r="BN2912" s="319"/>
      <c r="BO2912" s="319"/>
      <c r="BP2912" s="953"/>
      <c r="BQ2912" s="319"/>
      <c r="BR2912" s="319"/>
      <c r="BS2912" s="330"/>
      <c r="BT2912" s="331"/>
      <c r="BU2912" s="920"/>
      <c r="BV2912" s="903"/>
      <c r="BW2912" s="908"/>
      <c r="BX2912" s="908"/>
      <c r="BY2912" s="331"/>
      <c r="BZ2912" s="331"/>
      <c r="CA2912" s="462"/>
      <c r="CB2912" s="319"/>
      <c r="CC2912" s="319"/>
      <c r="CD2912" s="319"/>
      <c r="CE2912" s="319"/>
      <c r="CF2912" s="319"/>
      <c r="CG2912" s="319"/>
      <c r="CH2912" s="318"/>
      <c r="CI2912" s="319"/>
      <c r="CJ2912" s="319"/>
      <c r="CK2912" s="342"/>
      <c r="CL2912" s="333"/>
      <c r="CM2912" s="1079"/>
      <c r="CN2912" s="1005"/>
      <c r="CO2912" s="1005"/>
      <c r="CP2912" s="1005"/>
    </row>
    <row r="2913">
      <c r="A2913" s="1257"/>
      <c r="B2913" s="1113"/>
      <c r="C2913" s="1107"/>
      <c r="D2913" s="103"/>
      <c r="E2913" s="1137"/>
      <c r="F2913" s="112"/>
      <c r="G2913" s="1110"/>
      <c r="H2913" s="1138"/>
      <c r="I2913" s="1138"/>
      <c r="J2913" s="1139"/>
      <c r="K2913" s="1111"/>
      <c r="L2913" s="1112"/>
      <c r="M2913" s="1113"/>
      <c r="N2913" s="110"/>
      <c r="O2913" s="1140"/>
      <c r="P2913" s="1115"/>
      <c r="Q2913" s="1116"/>
      <c r="R2913" s="1141"/>
      <c r="S2913" s="1113"/>
      <c r="T2913" s="1143"/>
      <c r="U2913" s="1108"/>
      <c r="V2913" s="1108"/>
      <c r="W2913" s="1108"/>
      <c r="X2913" s="1108"/>
      <c r="Y2913" s="1108"/>
      <c r="Z2913" s="1114"/>
      <c r="AA2913" s="1114"/>
      <c r="AB2913" s="1114"/>
      <c r="AC2913" s="1117"/>
      <c r="AD2913" s="1115"/>
      <c r="AE2913" s="1115"/>
      <c r="AF2913" s="1115"/>
      <c r="AG2913" s="1115"/>
      <c r="AH2913" s="1115"/>
      <c r="AI2913" s="1115"/>
      <c r="AJ2913" s="1117"/>
      <c r="AK2913" s="1118"/>
      <c r="AL2913" s="1115"/>
      <c r="AM2913" s="1115"/>
      <c r="AN2913" s="1115"/>
      <c r="AO2913" s="1115"/>
      <c r="AP2913" s="1115"/>
      <c r="AQ2913" s="1115"/>
      <c r="AR2913" s="1115"/>
      <c r="AS2913" s="1117"/>
      <c r="AT2913" s="1075"/>
      <c r="AU2913" s="1193"/>
      <c r="AV2913" s="330"/>
      <c r="AW2913" s="331"/>
      <c r="AX2913" s="331"/>
      <c r="AY2913" s="331"/>
      <c r="AZ2913" s="331"/>
      <c r="BA2913" s="331"/>
      <c r="BB2913" s="331"/>
      <c r="BC2913" s="331"/>
      <c r="BD2913" s="331"/>
      <c r="BE2913" s="333"/>
      <c r="BF2913" s="330"/>
      <c r="BG2913" s="333"/>
      <c r="BH2913" s="1119"/>
      <c r="BI2913" s="319"/>
      <c r="BJ2913" s="319"/>
      <c r="BK2913" s="319"/>
      <c r="BL2913" s="319"/>
      <c r="BM2913" s="319"/>
      <c r="BN2913" s="319"/>
      <c r="BO2913" s="319"/>
      <c r="BP2913" s="953"/>
      <c r="BQ2913" s="319"/>
      <c r="BR2913" s="319"/>
      <c r="BS2913" s="330"/>
      <c r="BT2913" s="331"/>
      <c r="BU2913" s="920"/>
      <c r="BV2913" s="903"/>
      <c r="BW2913" s="908"/>
      <c r="BX2913" s="908"/>
      <c r="BY2913" s="331"/>
      <c r="BZ2913" s="331"/>
      <c r="CA2913" s="462"/>
      <c r="CB2913" s="319"/>
      <c r="CC2913" s="319"/>
      <c r="CD2913" s="319"/>
      <c r="CE2913" s="319"/>
      <c r="CF2913" s="319"/>
      <c r="CG2913" s="319"/>
      <c r="CH2913" s="318"/>
      <c r="CI2913" s="319"/>
      <c r="CJ2913" s="319"/>
      <c r="CK2913" s="342"/>
      <c r="CL2913" s="333"/>
      <c r="CM2913" s="1079"/>
      <c r="CN2913" s="1005"/>
      <c r="CO2913" s="1005"/>
      <c r="CP2913" s="1005"/>
    </row>
    <row r="2914">
      <c r="A2914" s="1257"/>
      <c r="B2914" s="1113"/>
      <c r="C2914" s="1107"/>
      <c r="D2914" s="103"/>
      <c r="E2914" s="1137"/>
      <c r="F2914" s="112"/>
      <c r="G2914" s="1110"/>
      <c r="H2914" s="1138"/>
      <c r="I2914" s="1138"/>
      <c r="J2914" s="1139"/>
      <c r="K2914" s="1111"/>
      <c r="L2914" s="1112"/>
      <c r="M2914" s="1113"/>
      <c r="N2914" s="110"/>
      <c r="O2914" s="1140"/>
      <c r="P2914" s="1115"/>
      <c r="Q2914" s="1116"/>
      <c r="R2914" s="1141"/>
      <c r="S2914" s="1113"/>
      <c r="T2914" s="1143"/>
      <c r="U2914" s="1108"/>
      <c r="V2914" s="1108"/>
      <c r="W2914" s="1108"/>
      <c r="X2914" s="1108"/>
      <c r="Y2914" s="1108"/>
      <c r="Z2914" s="1114"/>
      <c r="AA2914" s="1114"/>
      <c r="AB2914" s="1114"/>
      <c r="AC2914" s="1117"/>
      <c r="AD2914" s="1115"/>
      <c r="AE2914" s="1115"/>
      <c r="AF2914" s="1115"/>
      <c r="AG2914" s="1115"/>
      <c r="AH2914" s="1115"/>
      <c r="AI2914" s="1115"/>
      <c r="AJ2914" s="1117"/>
      <c r="AK2914" s="1118"/>
      <c r="AL2914" s="1115"/>
      <c r="AM2914" s="1115"/>
      <c r="AN2914" s="1115"/>
      <c r="AO2914" s="1115"/>
      <c r="AP2914" s="1115"/>
      <c r="AQ2914" s="1115"/>
      <c r="AR2914" s="1115"/>
      <c r="AS2914" s="1117"/>
      <c r="AT2914" s="1075"/>
      <c r="AU2914" s="1193"/>
      <c r="AV2914" s="330"/>
      <c r="AW2914" s="331"/>
      <c r="AX2914" s="331"/>
      <c r="AY2914" s="331"/>
      <c r="AZ2914" s="331"/>
      <c r="BA2914" s="331"/>
      <c r="BB2914" s="331"/>
      <c r="BC2914" s="331"/>
      <c r="BD2914" s="331"/>
      <c r="BE2914" s="333"/>
      <c r="BF2914" s="330"/>
      <c r="BG2914" s="333"/>
      <c r="BH2914" s="1119"/>
      <c r="BI2914" s="319"/>
      <c r="BJ2914" s="319"/>
      <c r="BK2914" s="319"/>
      <c r="BL2914" s="319"/>
      <c r="BM2914" s="319"/>
      <c r="BN2914" s="319"/>
      <c r="BO2914" s="319"/>
      <c r="BP2914" s="953"/>
      <c r="BQ2914" s="319"/>
      <c r="BR2914" s="319"/>
      <c r="BS2914" s="330"/>
      <c r="BT2914" s="331"/>
      <c r="BU2914" s="920"/>
      <c r="BV2914" s="903"/>
      <c r="BW2914" s="908"/>
      <c r="BX2914" s="908"/>
      <c r="BY2914" s="331"/>
      <c r="BZ2914" s="331"/>
      <c r="CA2914" s="462"/>
      <c r="CB2914" s="319"/>
      <c r="CC2914" s="319"/>
      <c r="CD2914" s="319"/>
      <c r="CE2914" s="319"/>
      <c r="CF2914" s="319"/>
      <c r="CG2914" s="319"/>
      <c r="CH2914" s="318"/>
      <c r="CI2914" s="319"/>
      <c r="CJ2914" s="319"/>
      <c r="CK2914" s="342"/>
      <c r="CL2914" s="333"/>
      <c r="CM2914" s="1079"/>
      <c r="CN2914" s="1005"/>
      <c r="CO2914" s="1005"/>
      <c r="CP2914" s="1005"/>
    </row>
    <row r="2915">
      <c r="A2915" s="1257"/>
      <c r="B2915" s="1113"/>
      <c r="C2915" s="1107"/>
      <c r="D2915" s="103"/>
      <c r="E2915" s="1137"/>
      <c r="F2915" s="112"/>
      <c r="G2915" s="1110"/>
      <c r="H2915" s="1138"/>
      <c r="I2915" s="1138"/>
      <c r="J2915" s="1139"/>
      <c r="K2915" s="1111"/>
      <c r="L2915" s="1112"/>
      <c r="M2915" s="1113"/>
      <c r="N2915" s="110"/>
      <c r="O2915" s="1140"/>
      <c r="P2915" s="1115"/>
      <c r="Q2915" s="1116"/>
      <c r="R2915" s="1141"/>
      <c r="S2915" s="1113"/>
      <c r="T2915" s="1143"/>
      <c r="U2915" s="1108"/>
      <c r="V2915" s="1108"/>
      <c r="W2915" s="1108"/>
      <c r="X2915" s="1108"/>
      <c r="Y2915" s="1108"/>
      <c r="Z2915" s="1114"/>
      <c r="AA2915" s="1114"/>
      <c r="AB2915" s="1114"/>
      <c r="AC2915" s="1117"/>
      <c r="AD2915" s="1115"/>
      <c r="AE2915" s="1115"/>
      <c r="AF2915" s="1115"/>
      <c r="AG2915" s="1115"/>
      <c r="AH2915" s="1115"/>
      <c r="AI2915" s="1115"/>
      <c r="AJ2915" s="1117"/>
      <c r="AK2915" s="1118"/>
      <c r="AL2915" s="1115"/>
      <c r="AM2915" s="1115"/>
      <c r="AN2915" s="1115"/>
      <c r="AO2915" s="1115"/>
      <c r="AP2915" s="1115"/>
      <c r="AQ2915" s="1115"/>
      <c r="AR2915" s="1115"/>
      <c r="AS2915" s="1117"/>
      <c r="AT2915" s="1075"/>
      <c r="AU2915" s="1193"/>
      <c r="AV2915" s="330"/>
      <c r="AW2915" s="331"/>
      <c r="AX2915" s="331"/>
      <c r="AY2915" s="331"/>
      <c r="AZ2915" s="331"/>
      <c r="BA2915" s="331"/>
      <c r="BB2915" s="331"/>
      <c r="BC2915" s="331"/>
      <c r="BD2915" s="331"/>
      <c r="BE2915" s="333"/>
      <c r="BF2915" s="330"/>
      <c r="BG2915" s="333"/>
      <c r="BH2915" s="1119"/>
      <c r="BI2915" s="319"/>
      <c r="BJ2915" s="319"/>
      <c r="BK2915" s="319"/>
      <c r="BL2915" s="319"/>
      <c r="BM2915" s="319"/>
      <c r="BN2915" s="319"/>
      <c r="BO2915" s="319"/>
      <c r="BP2915" s="953"/>
      <c r="BQ2915" s="319"/>
      <c r="BR2915" s="319"/>
      <c r="BS2915" s="330"/>
      <c r="BT2915" s="331"/>
      <c r="BU2915" s="920"/>
      <c r="BV2915" s="903"/>
      <c r="BW2915" s="908"/>
      <c r="BX2915" s="908"/>
      <c r="BY2915" s="331"/>
      <c r="BZ2915" s="331"/>
      <c r="CA2915" s="462"/>
      <c r="CB2915" s="319"/>
      <c r="CC2915" s="319"/>
      <c r="CD2915" s="319"/>
      <c r="CE2915" s="319"/>
      <c r="CF2915" s="319"/>
      <c r="CG2915" s="319"/>
      <c r="CH2915" s="318"/>
      <c r="CI2915" s="319"/>
      <c r="CJ2915" s="319"/>
      <c r="CK2915" s="342"/>
      <c r="CL2915" s="333"/>
      <c r="CM2915" s="1079"/>
      <c r="CN2915" s="1005"/>
      <c r="CO2915" s="1005"/>
      <c r="CP2915" s="1005"/>
    </row>
    <row r="2916">
      <c r="A2916" s="1257"/>
      <c r="B2916" s="1113"/>
      <c r="C2916" s="1107"/>
      <c r="D2916" s="103"/>
      <c r="E2916" s="1137"/>
      <c r="F2916" s="112"/>
      <c r="G2916" s="1110"/>
      <c r="H2916" s="1138"/>
      <c r="I2916" s="1138"/>
      <c r="J2916" s="1139"/>
      <c r="K2916" s="1111"/>
      <c r="L2916" s="1112"/>
      <c r="M2916" s="1113"/>
      <c r="N2916" s="110"/>
      <c r="O2916" s="1140"/>
      <c r="P2916" s="1115"/>
      <c r="Q2916" s="1116"/>
      <c r="R2916" s="1141"/>
      <c r="S2916" s="1113"/>
      <c r="T2916" s="1143"/>
      <c r="U2916" s="1108"/>
      <c r="V2916" s="1108"/>
      <c r="W2916" s="1108"/>
      <c r="X2916" s="1108"/>
      <c r="Y2916" s="1108"/>
      <c r="Z2916" s="1114"/>
      <c r="AA2916" s="1114"/>
      <c r="AB2916" s="1114"/>
      <c r="AC2916" s="1117"/>
      <c r="AD2916" s="1115"/>
      <c r="AE2916" s="1115"/>
      <c r="AF2916" s="1115"/>
      <c r="AG2916" s="1115"/>
      <c r="AH2916" s="1115"/>
      <c r="AI2916" s="1115"/>
      <c r="AJ2916" s="1117"/>
      <c r="AK2916" s="1118"/>
      <c r="AL2916" s="1115"/>
      <c r="AM2916" s="1115"/>
      <c r="AN2916" s="1115"/>
      <c r="AO2916" s="1115"/>
      <c r="AP2916" s="1115"/>
      <c r="AQ2916" s="1115"/>
      <c r="AR2916" s="1115"/>
      <c r="AS2916" s="1117"/>
      <c r="AT2916" s="1075"/>
      <c r="AU2916" s="1193"/>
      <c r="AV2916" s="330"/>
      <c r="AW2916" s="331"/>
      <c r="AX2916" s="331"/>
      <c r="AY2916" s="331"/>
      <c r="AZ2916" s="331"/>
      <c r="BA2916" s="331"/>
      <c r="BB2916" s="331"/>
      <c r="BC2916" s="331"/>
      <c r="BD2916" s="331"/>
      <c r="BE2916" s="333"/>
      <c r="BF2916" s="330"/>
      <c r="BG2916" s="333"/>
      <c r="BH2916" s="1119"/>
      <c r="BI2916" s="319"/>
      <c r="BJ2916" s="319"/>
      <c r="BK2916" s="319"/>
      <c r="BL2916" s="319"/>
      <c r="BM2916" s="319"/>
      <c r="BN2916" s="319"/>
      <c r="BO2916" s="319"/>
      <c r="BP2916" s="953"/>
      <c r="BQ2916" s="319"/>
      <c r="BR2916" s="319"/>
      <c r="BS2916" s="330"/>
      <c r="BT2916" s="331"/>
      <c r="BU2916" s="920"/>
      <c r="BV2916" s="903"/>
      <c r="BW2916" s="908"/>
      <c r="BX2916" s="908"/>
      <c r="BY2916" s="331"/>
      <c r="BZ2916" s="331"/>
      <c r="CA2916" s="462"/>
      <c r="CB2916" s="319"/>
      <c r="CC2916" s="319"/>
      <c r="CD2916" s="319"/>
      <c r="CE2916" s="319"/>
      <c r="CF2916" s="319"/>
      <c r="CG2916" s="319"/>
      <c r="CH2916" s="318"/>
      <c r="CI2916" s="319"/>
      <c r="CJ2916" s="319"/>
      <c r="CK2916" s="342"/>
      <c r="CL2916" s="333"/>
      <c r="CM2916" s="1079"/>
      <c r="CN2916" s="1005"/>
      <c r="CO2916" s="1005"/>
      <c r="CP2916" s="1005"/>
    </row>
    <row r="2917">
      <c r="A2917" s="1257"/>
      <c r="B2917" s="1113"/>
      <c r="C2917" s="1107"/>
      <c r="D2917" s="103"/>
      <c r="E2917" s="1137"/>
      <c r="F2917" s="112"/>
      <c r="G2917" s="1110"/>
      <c r="H2917" s="1138"/>
      <c r="I2917" s="1138"/>
      <c r="J2917" s="1139"/>
      <c r="K2917" s="1111"/>
      <c r="L2917" s="1112"/>
      <c r="M2917" s="1113"/>
      <c r="N2917" s="110"/>
      <c r="O2917" s="1140"/>
      <c r="P2917" s="1115"/>
      <c r="Q2917" s="1116"/>
      <c r="R2917" s="1141"/>
      <c r="S2917" s="1113"/>
      <c r="T2917" s="1143"/>
      <c r="U2917" s="1108"/>
      <c r="V2917" s="1108"/>
      <c r="W2917" s="1108"/>
      <c r="X2917" s="1108"/>
      <c r="Y2917" s="1108"/>
      <c r="Z2917" s="1114"/>
      <c r="AA2917" s="1114"/>
      <c r="AB2917" s="1114"/>
      <c r="AC2917" s="1117"/>
      <c r="AD2917" s="1115"/>
      <c r="AE2917" s="1115"/>
      <c r="AF2917" s="1115"/>
      <c r="AG2917" s="1115"/>
      <c r="AH2917" s="1115"/>
      <c r="AI2917" s="1115"/>
      <c r="AJ2917" s="1117"/>
      <c r="AK2917" s="1118"/>
      <c r="AL2917" s="1115"/>
      <c r="AM2917" s="1115"/>
      <c r="AN2917" s="1115"/>
      <c r="AO2917" s="1115"/>
      <c r="AP2917" s="1115"/>
      <c r="AQ2917" s="1115"/>
      <c r="AR2917" s="1115"/>
      <c r="AS2917" s="1117"/>
      <c r="AT2917" s="1075"/>
      <c r="AU2917" s="1193"/>
      <c r="AV2917" s="330"/>
      <c r="AW2917" s="331"/>
      <c r="AX2917" s="331"/>
      <c r="AY2917" s="331"/>
      <c r="AZ2917" s="331"/>
      <c r="BA2917" s="331"/>
      <c r="BB2917" s="331"/>
      <c r="BC2917" s="331"/>
      <c r="BD2917" s="331"/>
      <c r="BE2917" s="333"/>
      <c r="BF2917" s="330"/>
      <c r="BG2917" s="333"/>
      <c r="BH2917" s="1119"/>
      <c r="BI2917" s="319"/>
      <c r="BJ2917" s="319"/>
      <c r="BK2917" s="319"/>
      <c r="BL2917" s="319"/>
      <c r="BM2917" s="319"/>
      <c r="BN2917" s="319"/>
      <c r="BO2917" s="319"/>
      <c r="BP2917" s="953"/>
      <c r="BQ2917" s="319"/>
      <c r="BR2917" s="319"/>
      <c r="BS2917" s="330"/>
      <c r="BT2917" s="331"/>
      <c r="BU2917" s="920"/>
      <c r="BV2917" s="903"/>
      <c r="BW2917" s="908"/>
      <c r="BX2917" s="908"/>
      <c r="BY2917" s="331"/>
      <c r="BZ2917" s="331"/>
      <c r="CA2917" s="462"/>
      <c r="CB2917" s="319"/>
      <c r="CC2917" s="319"/>
      <c r="CD2917" s="319"/>
      <c r="CE2917" s="319"/>
      <c r="CF2917" s="319"/>
      <c r="CG2917" s="319"/>
      <c r="CH2917" s="318"/>
      <c r="CI2917" s="319"/>
      <c r="CJ2917" s="319"/>
      <c r="CK2917" s="342"/>
      <c r="CL2917" s="333"/>
      <c r="CM2917" s="1079"/>
      <c r="CN2917" s="1005"/>
      <c r="CO2917" s="1005"/>
      <c r="CP2917" s="1005"/>
    </row>
    <row r="2918">
      <c r="A2918" s="1257"/>
      <c r="B2918" s="1113"/>
      <c r="C2918" s="1107"/>
      <c r="D2918" s="103"/>
      <c r="E2918" s="1137"/>
      <c r="F2918" s="112"/>
      <c r="G2918" s="1110"/>
      <c r="H2918" s="1138"/>
      <c r="I2918" s="1138"/>
      <c r="J2918" s="1139"/>
      <c r="K2918" s="1111"/>
      <c r="L2918" s="1112"/>
      <c r="M2918" s="1113"/>
      <c r="N2918" s="110"/>
      <c r="O2918" s="1140"/>
      <c r="P2918" s="1115"/>
      <c r="Q2918" s="1116"/>
      <c r="R2918" s="1141"/>
      <c r="S2918" s="1113"/>
      <c r="T2918" s="1143"/>
      <c r="U2918" s="1108"/>
      <c r="V2918" s="1108"/>
      <c r="W2918" s="1108"/>
      <c r="X2918" s="1108"/>
      <c r="Y2918" s="1108"/>
      <c r="Z2918" s="1114"/>
      <c r="AA2918" s="1114"/>
      <c r="AB2918" s="1114"/>
      <c r="AC2918" s="1117"/>
      <c r="AD2918" s="1115"/>
      <c r="AE2918" s="1115"/>
      <c r="AF2918" s="1115"/>
      <c r="AG2918" s="1115"/>
      <c r="AH2918" s="1115"/>
      <c r="AI2918" s="1115"/>
      <c r="AJ2918" s="1117"/>
      <c r="AK2918" s="1118"/>
      <c r="AL2918" s="1115"/>
      <c r="AM2918" s="1115"/>
      <c r="AN2918" s="1115"/>
      <c r="AO2918" s="1115"/>
      <c r="AP2918" s="1115"/>
      <c r="AQ2918" s="1115"/>
      <c r="AR2918" s="1115"/>
      <c r="AS2918" s="1117"/>
      <c r="AT2918" s="1075"/>
      <c r="AU2918" s="1193"/>
      <c r="AV2918" s="330"/>
      <c r="AW2918" s="331"/>
      <c r="AX2918" s="331"/>
      <c r="AY2918" s="331"/>
      <c r="AZ2918" s="331"/>
      <c r="BA2918" s="331"/>
      <c r="BB2918" s="331"/>
      <c r="BC2918" s="331"/>
      <c r="BD2918" s="331"/>
      <c r="BE2918" s="333"/>
      <c r="BF2918" s="330"/>
      <c r="BG2918" s="333"/>
      <c r="BH2918" s="1119"/>
      <c r="BI2918" s="319"/>
      <c r="BJ2918" s="319"/>
      <c r="BK2918" s="319"/>
      <c r="BL2918" s="319"/>
      <c r="BM2918" s="319"/>
      <c r="BN2918" s="319"/>
      <c r="BO2918" s="319"/>
      <c r="BP2918" s="953"/>
      <c r="BQ2918" s="319"/>
      <c r="BR2918" s="319"/>
      <c r="BS2918" s="330"/>
      <c r="BT2918" s="331"/>
      <c r="BU2918" s="920"/>
      <c r="BV2918" s="903"/>
      <c r="BW2918" s="908"/>
      <c r="BX2918" s="908"/>
      <c r="BY2918" s="331"/>
      <c r="BZ2918" s="331"/>
      <c r="CA2918" s="462"/>
      <c r="CB2918" s="319"/>
      <c r="CC2918" s="319"/>
      <c r="CD2918" s="319"/>
      <c r="CE2918" s="319"/>
      <c r="CF2918" s="319"/>
      <c r="CG2918" s="319"/>
      <c r="CH2918" s="318"/>
      <c r="CI2918" s="319"/>
      <c r="CJ2918" s="319"/>
      <c r="CK2918" s="342"/>
      <c r="CL2918" s="333"/>
      <c r="CM2918" s="1079"/>
      <c r="CN2918" s="1005"/>
      <c r="CO2918" s="1005"/>
      <c r="CP2918" s="1005"/>
    </row>
    <row r="2919">
      <c r="A2919" s="1257"/>
      <c r="B2919" s="1113"/>
      <c r="C2919" s="1107"/>
      <c r="D2919" s="103"/>
      <c r="E2919" s="1137"/>
      <c r="F2919" s="112"/>
      <c r="G2919" s="1110"/>
      <c r="H2919" s="1138"/>
      <c r="I2919" s="1138"/>
      <c r="J2919" s="1139"/>
      <c r="K2919" s="1111"/>
      <c r="L2919" s="1112"/>
      <c r="M2919" s="1113"/>
      <c r="N2919" s="110"/>
      <c r="O2919" s="1140"/>
      <c r="P2919" s="1115"/>
      <c r="Q2919" s="1116"/>
      <c r="R2919" s="1141"/>
      <c r="S2919" s="1113"/>
      <c r="T2919" s="1143"/>
      <c r="U2919" s="1108"/>
      <c r="V2919" s="1108"/>
      <c r="W2919" s="1108"/>
      <c r="X2919" s="1108"/>
      <c r="Y2919" s="1108"/>
      <c r="Z2919" s="1114"/>
      <c r="AA2919" s="1114"/>
      <c r="AB2919" s="1114"/>
      <c r="AC2919" s="1117"/>
      <c r="AD2919" s="1115"/>
      <c r="AE2919" s="1115"/>
      <c r="AF2919" s="1115"/>
      <c r="AG2919" s="1115"/>
      <c r="AH2919" s="1115"/>
      <c r="AI2919" s="1115"/>
      <c r="AJ2919" s="1117"/>
      <c r="AK2919" s="1118"/>
      <c r="AL2919" s="1115"/>
      <c r="AM2919" s="1115"/>
      <c r="AN2919" s="1115"/>
      <c r="AO2919" s="1115"/>
      <c r="AP2919" s="1115"/>
      <c r="AQ2919" s="1115"/>
      <c r="AR2919" s="1115"/>
      <c r="AS2919" s="1117"/>
      <c r="AT2919" s="1075"/>
      <c r="AU2919" s="1193"/>
      <c r="AV2919" s="330"/>
      <c r="AW2919" s="331"/>
      <c r="AX2919" s="331"/>
      <c r="AY2919" s="331"/>
      <c r="AZ2919" s="331"/>
      <c r="BA2919" s="331"/>
      <c r="BB2919" s="331"/>
      <c r="BC2919" s="331"/>
      <c r="BD2919" s="331"/>
      <c r="BE2919" s="333"/>
      <c r="BF2919" s="330"/>
      <c r="BG2919" s="333"/>
      <c r="BH2919" s="1119"/>
      <c r="BI2919" s="319"/>
      <c r="BJ2919" s="319"/>
      <c r="BK2919" s="319"/>
      <c r="BL2919" s="319"/>
      <c r="BM2919" s="319"/>
      <c r="BN2919" s="319"/>
      <c r="BO2919" s="319"/>
      <c r="BP2919" s="953"/>
      <c r="BQ2919" s="319"/>
      <c r="BR2919" s="319"/>
      <c r="BS2919" s="330"/>
      <c r="BT2919" s="331"/>
      <c r="BU2919" s="920"/>
      <c r="BV2919" s="903"/>
      <c r="BW2919" s="908"/>
      <c r="BX2919" s="908"/>
      <c r="BY2919" s="331"/>
      <c r="BZ2919" s="331"/>
      <c r="CA2919" s="462"/>
      <c r="CB2919" s="319"/>
      <c r="CC2919" s="319"/>
      <c r="CD2919" s="319"/>
      <c r="CE2919" s="319"/>
      <c r="CF2919" s="319"/>
      <c r="CG2919" s="319"/>
      <c r="CH2919" s="318"/>
      <c r="CI2919" s="319"/>
      <c r="CJ2919" s="319"/>
      <c r="CK2919" s="342"/>
      <c r="CL2919" s="333"/>
      <c r="CM2919" s="1079"/>
      <c r="CN2919" s="1005"/>
      <c r="CO2919" s="1005"/>
      <c r="CP2919" s="1005"/>
    </row>
    <row r="2920">
      <c r="A2920" s="1257"/>
      <c r="B2920" s="1113"/>
      <c r="C2920" s="1107"/>
      <c r="D2920" s="103"/>
      <c r="E2920" s="1137"/>
      <c r="F2920" s="112"/>
      <c r="G2920" s="1110"/>
      <c r="H2920" s="1138"/>
      <c r="I2920" s="1138"/>
      <c r="J2920" s="1139"/>
      <c r="K2920" s="1111"/>
      <c r="L2920" s="1112"/>
      <c r="M2920" s="1113"/>
      <c r="N2920" s="110"/>
      <c r="O2920" s="1140"/>
      <c r="P2920" s="1115"/>
      <c r="Q2920" s="1116"/>
      <c r="R2920" s="1141"/>
      <c r="S2920" s="1113"/>
      <c r="T2920" s="1143"/>
      <c r="U2920" s="1108"/>
      <c r="V2920" s="1108"/>
      <c r="W2920" s="1108"/>
      <c r="X2920" s="1108"/>
      <c r="Y2920" s="1108"/>
      <c r="Z2920" s="1114"/>
      <c r="AA2920" s="1114"/>
      <c r="AB2920" s="1114"/>
      <c r="AC2920" s="1117"/>
      <c r="AD2920" s="1115"/>
      <c r="AE2920" s="1115"/>
      <c r="AF2920" s="1115"/>
      <c r="AG2920" s="1115"/>
      <c r="AH2920" s="1115"/>
      <c r="AI2920" s="1115"/>
      <c r="AJ2920" s="1117"/>
      <c r="AK2920" s="1118"/>
      <c r="AL2920" s="1115"/>
      <c r="AM2920" s="1115"/>
      <c r="AN2920" s="1115"/>
      <c r="AO2920" s="1115"/>
      <c r="AP2920" s="1115"/>
      <c r="AQ2920" s="1115"/>
      <c r="AR2920" s="1115"/>
      <c r="AS2920" s="1117"/>
      <c r="AT2920" s="1075"/>
      <c r="AU2920" s="1193"/>
      <c r="AV2920" s="330"/>
      <c r="AW2920" s="331"/>
      <c r="AX2920" s="331"/>
      <c r="AY2920" s="331"/>
      <c r="AZ2920" s="331"/>
      <c r="BA2920" s="331"/>
      <c r="BB2920" s="331"/>
      <c r="BC2920" s="331"/>
      <c r="BD2920" s="331"/>
      <c r="BE2920" s="333"/>
      <c r="BF2920" s="330"/>
      <c r="BG2920" s="333"/>
      <c r="BH2920" s="1119"/>
      <c r="BI2920" s="319"/>
      <c r="BJ2920" s="319"/>
      <c r="BK2920" s="319"/>
      <c r="BL2920" s="319"/>
      <c r="BM2920" s="319"/>
      <c r="BN2920" s="319"/>
      <c r="BO2920" s="319"/>
      <c r="BP2920" s="953"/>
      <c r="BQ2920" s="319"/>
      <c r="BR2920" s="319"/>
      <c r="BS2920" s="330"/>
      <c r="BT2920" s="331"/>
      <c r="BU2920" s="920"/>
      <c r="BV2920" s="903"/>
      <c r="BW2920" s="908"/>
      <c r="BX2920" s="908"/>
      <c r="BY2920" s="331"/>
      <c r="BZ2920" s="331"/>
      <c r="CA2920" s="462"/>
      <c r="CB2920" s="319"/>
      <c r="CC2920" s="319"/>
      <c r="CD2920" s="319"/>
      <c r="CE2920" s="319"/>
      <c r="CF2920" s="319"/>
      <c r="CG2920" s="319"/>
      <c r="CH2920" s="318"/>
      <c r="CI2920" s="319"/>
      <c r="CJ2920" s="319"/>
      <c r="CK2920" s="342"/>
      <c r="CL2920" s="333"/>
      <c r="CM2920" s="1079"/>
      <c r="CN2920" s="1005"/>
      <c r="CO2920" s="1005"/>
      <c r="CP2920" s="1005"/>
    </row>
    <row r="2921">
      <c r="A2921" s="1257"/>
      <c r="B2921" s="1113"/>
      <c r="C2921" s="1107"/>
      <c r="D2921" s="103"/>
      <c r="E2921" s="1137"/>
      <c r="F2921" s="112"/>
      <c r="G2921" s="1110"/>
      <c r="H2921" s="1138"/>
      <c r="I2921" s="1138"/>
      <c r="J2921" s="1139"/>
      <c r="K2921" s="1111"/>
      <c r="L2921" s="1112"/>
      <c r="M2921" s="1113"/>
      <c r="N2921" s="110"/>
      <c r="O2921" s="1140"/>
      <c r="P2921" s="1115"/>
      <c r="Q2921" s="1116"/>
      <c r="R2921" s="1141"/>
      <c r="S2921" s="1113"/>
      <c r="T2921" s="1143"/>
      <c r="U2921" s="1108"/>
      <c r="V2921" s="1108"/>
      <c r="W2921" s="1108"/>
      <c r="X2921" s="1108"/>
      <c r="Y2921" s="1108"/>
      <c r="Z2921" s="1114"/>
      <c r="AA2921" s="1114"/>
      <c r="AB2921" s="1114"/>
      <c r="AC2921" s="1117"/>
      <c r="AD2921" s="1115"/>
      <c r="AE2921" s="1115"/>
      <c r="AF2921" s="1115"/>
      <c r="AG2921" s="1115"/>
      <c r="AH2921" s="1115"/>
      <c r="AI2921" s="1115"/>
      <c r="AJ2921" s="1117"/>
      <c r="AK2921" s="1118"/>
      <c r="AL2921" s="1115"/>
      <c r="AM2921" s="1115"/>
      <c r="AN2921" s="1115"/>
      <c r="AO2921" s="1115"/>
      <c r="AP2921" s="1115"/>
      <c r="AQ2921" s="1115"/>
      <c r="AR2921" s="1115"/>
      <c r="AS2921" s="1117"/>
      <c r="AT2921" s="1075"/>
      <c r="AU2921" s="1193"/>
      <c r="AV2921" s="330"/>
      <c r="AW2921" s="331"/>
      <c r="AX2921" s="331"/>
      <c r="AY2921" s="331"/>
      <c r="AZ2921" s="331"/>
      <c r="BA2921" s="331"/>
      <c r="BB2921" s="331"/>
      <c r="BC2921" s="331"/>
      <c r="BD2921" s="331"/>
      <c r="BE2921" s="333"/>
      <c r="BF2921" s="330"/>
      <c r="BG2921" s="333"/>
      <c r="BH2921" s="1119"/>
      <c r="BI2921" s="319"/>
      <c r="BJ2921" s="319"/>
      <c r="BK2921" s="319"/>
      <c r="BL2921" s="319"/>
      <c r="BM2921" s="319"/>
      <c r="BN2921" s="319"/>
      <c r="BO2921" s="319"/>
      <c r="BP2921" s="953"/>
      <c r="BQ2921" s="319"/>
      <c r="BR2921" s="319"/>
      <c r="BS2921" s="330"/>
      <c r="BT2921" s="331"/>
      <c r="BU2921" s="920"/>
      <c r="BV2921" s="903"/>
      <c r="BW2921" s="908"/>
      <c r="BX2921" s="908"/>
      <c r="BY2921" s="331"/>
      <c r="BZ2921" s="331"/>
      <c r="CA2921" s="462"/>
      <c r="CB2921" s="319"/>
      <c r="CC2921" s="319"/>
      <c r="CD2921" s="319"/>
      <c r="CE2921" s="319"/>
      <c r="CF2921" s="319"/>
      <c r="CG2921" s="319"/>
      <c r="CH2921" s="318"/>
      <c r="CI2921" s="319"/>
      <c r="CJ2921" s="319"/>
      <c r="CK2921" s="342"/>
      <c r="CL2921" s="333"/>
      <c r="CM2921" s="1079"/>
      <c r="CN2921" s="1005"/>
      <c r="CO2921" s="1005"/>
      <c r="CP2921" s="1005"/>
    </row>
    <row r="2922">
      <c r="A2922" s="1257"/>
      <c r="B2922" s="1113"/>
      <c r="C2922" s="1107"/>
      <c r="D2922" s="103"/>
      <c r="E2922" s="1137"/>
      <c r="F2922" s="112"/>
      <c r="G2922" s="1110"/>
      <c r="H2922" s="1138"/>
      <c r="I2922" s="1138"/>
      <c r="J2922" s="1139"/>
      <c r="K2922" s="1111"/>
      <c r="L2922" s="1112"/>
      <c r="M2922" s="1113"/>
      <c r="N2922" s="110"/>
      <c r="O2922" s="1140"/>
      <c r="P2922" s="1115"/>
      <c r="Q2922" s="1116"/>
      <c r="R2922" s="1141"/>
      <c r="S2922" s="1113"/>
      <c r="T2922" s="1143"/>
      <c r="U2922" s="1108"/>
      <c r="V2922" s="1108"/>
      <c r="W2922" s="1108"/>
      <c r="X2922" s="1108"/>
      <c r="Y2922" s="1108"/>
      <c r="Z2922" s="1114"/>
      <c r="AA2922" s="1114"/>
      <c r="AB2922" s="1114"/>
      <c r="AC2922" s="1117"/>
      <c r="AD2922" s="1115"/>
      <c r="AE2922" s="1115"/>
      <c r="AF2922" s="1115"/>
      <c r="AG2922" s="1115"/>
      <c r="AH2922" s="1115"/>
      <c r="AI2922" s="1115"/>
      <c r="AJ2922" s="1117"/>
      <c r="AK2922" s="1118"/>
      <c r="AL2922" s="1115"/>
      <c r="AM2922" s="1115"/>
      <c r="AN2922" s="1115"/>
      <c r="AO2922" s="1115"/>
      <c r="AP2922" s="1115"/>
      <c r="AQ2922" s="1115"/>
      <c r="AR2922" s="1115"/>
      <c r="AS2922" s="1117"/>
      <c r="AT2922" s="1075"/>
      <c r="AU2922" s="1193"/>
      <c r="AV2922" s="330"/>
      <c r="AW2922" s="331"/>
      <c r="AX2922" s="331"/>
      <c r="AY2922" s="331"/>
      <c r="AZ2922" s="331"/>
      <c r="BA2922" s="331"/>
      <c r="BB2922" s="331"/>
      <c r="BC2922" s="331"/>
      <c r="BD2922" s="331"/>
      <c r="BE2922" s="333"/>
      <c r="BF2922" s="330"/>
      <c r="BG2922" s="333"/>
      <c r="BH2922" s="1119"/>
      <c r="BI2922" s="319"/>
      <c r="BJ2922" s="319"/>
      <c r="BK2922" s="319"/>
      <c r="BL2922" s="319"/>
      <c r="BM2922" s="319"/>
      <c r="BN2922" s="319"/>
      <c r="BO2922" s="319"/>
      <c r="BP2922" s="953"/>
      <c r="BQ2922" s="319"/>
      <c r="BR2922" s="319"/>
      <c r="BS2922" s="330"/>
      <c r="BT2922" s="331"/>
      <c r="BU2922" s="920"/>
      <c r="BV2922" s="903"/>
      <c r="BW2922" s="908"/>
      <c r="BX2922" s="908"/>
      <c r="BY2922" s="331"/>
      <c r="BZ2922" s="331"/>
      <c r="CA2922" s="462"/>
      <c r="CB2922" s="319"/>
      <c r="CC2922" s="319"/>
      <c r="CD2922" s="319"/>
      <c r="CE2922" s="319"/>
      <c r="CF2922" s="319"/>
      <c r="CG2922" s="319"/>
      <c r="CH2922" s="318"/>
      <c r="CI2922" s="319"/>
      <c r="CJ2922" s="319"/>
      <c r="CK2922" s="342"/>
      <c r="CL2922" s="333"/>
      <c r="CM2922" s="1079"/>
      <c r="CN2922" s="1005"/>
      <c r="CO2922" s="1005"/>
      <c r="CP2922" s="1005"/>
    </row>
    <row r="2923">
      <c r="A2923" s="1257"/>
      <c r="B2923" s="1113"/>
      <c r="C2923" s="1107"/>
      <c r="D2923" s="103"/>
      <c r="E2923" s="1137"/>
      <c r="F2923" s="112"/>
      <c r="G2923" s="1110"/>
      <c r="H2923" s="1138"/>
      <c r="I2923" s="1138"/>
      <c r="J2923" s="1139"/>
      <c r="K2923" s="1111"/>
      <c r="L2923" s="1112"/>
      <c r="M2923" s="1113"/>
      <c r="N2923" s="110"/>
      <c r="O2923" s="1140"/>
      <c r="P2923" s="1115"/>
      <c r="Q2923" s="1116"/>
      <c r="R2923" s="1141"/>
      <c r="S2923" s="1113"/>
      <c r="T2923" s="1143"/>
      <c r="U2923" s="1108"/>
      <c r="V2923" s="1108"/>
      <c r="W2923" s="1108"/>
      <c r="X2923" s="1108"/>
      <c r="Y2923" s="1108"/>
      <c r="Z2923" s="1114"/>
      <c r="AA2923" s="1114"/>
      <c r="AB2923" s="1114"/>
      <c r="AC2923" s="1117"/>
      <c r="AD2923" s="1115"/>
      <c r="AE2923" s="1115"/>
      <c r="AF2923" s="1115"/>
      <c r="AG2923" s="1115"/>
      <c r="AH2923" s="1115"/>
      <c r="AI2923" s="1115"/>
      <c r="AJ2923" s="1117"/>
      <c r="AK2923" s="1118"/>
      <c r="AL2923" s="1115"/>
      <c r="AM2923" s="1115"/>
      <c r="AN2923" s="1115"/>
      <c r="AO2923" s="1115"/>
      <c r="AP2923" s="1115"/>
      <c r="AQ2923" s="1115"/>
      <c r="AR2923" s="1115"/>
      <c r="AS2923" s="1117"/>
      <c r="AT2923" s="1075"/>
      <c r="AU2923" s="1193"/>
      <c r="AV2923" s="330"/>
      <c r="AW2923" s="331"/>
      <c r="AX2923" s="331"/>
      <c r="AY2923" s="331"/>
      <c r="AZ2923" s="331"/>
      <c r="BA2923" s="331"/>
      <c r="BB2923" s="331"/>
      <c r="BC2923" s="331"/>
      <c r="BD2923" s="331"/>
      <c r="BE2923" s="333"/>
      <c r="BF2923" s="330"/>
      <c r="BG2923" s="333"/>
      <c r="BH2923" s="1119"/>
      <c r="BI2923" s="319"/>
      <c r="BJ2923" s="319"/>
      <c r="BK2923" s="319"/>
      <c r="BL2923" s="319"/>
      <c r="BM2923" s="319"/>
      <c r="BN2923" s="319"/>
      <c r="BO2923" s="319"/>
      <c r="BP2923" s="953"/>
      <c r="BQ2923" s="319"/>
      <c r="BR2923" s="319"/>
      <c r="BS2923" s="330"/>
      <c r="BT2923" s="331"/>
      <c r="BU2923" s="920"/>
      <c r="BV2923" s="903"/>
      <c r="BW2923" s="908"/>
      <c r="BX2923" s="908"/>
      <c r="BY2923" s="331"/>
      <c r="BZ2923" s="331"/>
      <c r="CA2923" s="462"/>
      <c r="CB2923" s="319"/>
      <c r="CC2923" s="319"/>
      <c r="CD2923" s="319"/>
      <c r="CE2923" s="319"/>
      <c r="CF2923" s="319"/>
      <c r="CG2923" s="319"/>
      <c r="CH2923" s="318"/>
      <c r="CI2923" s="319"/>
      <c r="CJ2923" s="319"/>
      <c r="CK2923" s="342"/>
      <c r="CL2923" s="333"/>
      <c r="CM2923" s="1079"/>
      <c r="CN2923" s="1005"/>
      <c r="CO2923" s="1005"/>
      <c r="CP2923" s="1005"/>
    </row>
    <row r="2924">
      <c r="A2924" s="1257"/>
      <c r="B2924" s="1113"/>
      <c r="C2924" s="1107"/>
      <c r="D2924" s="103"/>
      <c r="E2924" s="1137"/>
      <c r="F2924" s="112"/>
      <c r="G2924" s="1110"/>
      <c r="H2924" s="1138"/>
      <c r="I2924" s="1138"/>
      <c r="J2924" s="1139"/>
      <c r="K2924" s="1111"/>
      <c r="L2924" s="1112"/>
      <c r="M2924" s="1113"/>
      <c r="N2924" s="110"/>
      <c r="O2924" s="1140"/>
      <c r="P2924" s="1115"/>
      <c r="Q2924" s="1116"/>
      <c r="R2924" s="1141"/>
      <c r="S2924" s="1113"/>
      <c r="T2924" s="1143"/>
      <c r="U2924" s="1108"/>
      <c r="V2924" s="1108"/>
      <c r="W2924" s="1108"/>
      <c r="X2924" s="1108"/>
      <c r="Y2924" s="1108"/>
      <c r="Z2924" s="1114"/>
      <c r="AA2924" s="1114"/>
      <c r="AB2924" s="1114"/>
      <c r="AC2924" s="1117"/>
      <c r="AD2924" s="1115"/>
      <c r="AE2924" s="1115"/>
      <c r="AF2924" s="1115"/>
      <c r="AG2924" s="1115"/>
      <c r="AH2924" s="1115"/>
      <c r="AI2924" s="1115"/>
      <c r="AJ2924" s="1117"/>
      <c r="AK2924" s="1118"/>
      <c r="AL2924" s="1115"/>
      <c r="AM2924" s="1115"/>
      <c r="AN2924" s="1115"/>
      <c r="AO2924" s="1115"/>
      <c r="AP2924" s="1115"/>
      <c r="AQ2924" s="1115"/>
      <c r="AR2924" s="1115"/>
      <c r="AS2924" s="1117"/>
      <c r="AT2924" s="1075"/>
      <c r="AU2924" s="1193"/>
      <c r="AV2924" s="330"/>
      <c r="AW2924" s="331"/>
      <c r="AX2924" s="331"/>
      <c r="AY2924" s="331"/>
      <c r="AZ2924" s="331"/>
      <c r="BA2924" s="331"/>
      <c r="BB2924" s="331"/>
      <c r="BC2924" s="331"/>
      <c r="BD2924" s="331"/>
      <c r="BE2924" s="333"/>
      <c r="BF2924" s="330"/>
      <c r="BG2924" s="333"/>
      <c r="BH2924" s="1119"/>
      <c r="BI2924" s="319"/>
      <c r="BJ2924" s="319"/>
      <c r="BK2924" s="319"/>
      <c r="BL2924" s="319"/>
      <c r="BM2924" s="319"/>
      <c r="BN2924" s="319"/>
      <c r="BO2924" s="319"/>
      <c r="BP2924" s="953"/>
      <c r="BQ2924" s="319"/>
      <c r="BR2924" s="319"/>
      <c r="BS2924" s="330"/>
      <c r="BT2924" s="331"/>
      <c r="BU2924" s="920"/>
      <c r="BV2924" s="903"/>
      <c r="BW2924" s="908"/>
      <c r="BX2924" s="908"/>
      <c r="BY2924" s="331"/>
      <c r="BZ2924" s="331"/>
      <c r="CA2924" s="462"/>
      <c r="CB2924" s="319"/>
      <c r="CC2924" s="319"/>
      <c r="CD2924" s="319"/>
      <c r="CE2924" s="319"/>
      <c r="CF2924" s="319"/>
      <c r="CG2924" s="319"/>
      <c r="CH2924" s="318"/>
      <c r="CI2924" s="319"/>
      <c r="CJ2924" s="319"/>
      <c r="CK2924" s="342"/>
      <c r="CL2924" s="333"/>
      <c r="CM2924" s="1079"/>
      <c r="CN2924" s="1005"/>
      <c r="CO2924" s="1005"/>
      <c r="CP2924" s="1005"/>
    </row>
    <row r="2925">
      <c r="A2925" s="1257"/>
      <c r="B2925" s="1113"/>
      <c r="C2925" s="1107"/>
      <c r="D2925" s="103"/>
      <c r="E2925" s="1137"/>
      <c r="F2925" s="112"/>
      <c r="G2925" s="1110"/>
      <c r="H2925" s="1138"/>
      <c r="I2925" s="1138"/>
      <c r="J2925" s="1139"/>
      <c r="K2925" s="1111"/>
      <c r="L2925" s="1112"/>
      <c r="M2925" s="1113"/>
      <c r="N2925" s="110"/>
      <c r="O2925" s="1140"/>
      <c r="P2925" s="1115"/>
      <c r="Q2925" s="1116"/>
      <c r="R2925" s="1141"/>
      <c r="S2925" s="1113"/>
      <c r="T2925" s="1143"/>
      <c r="U2925" s="1108"/>
      <c r="V2925" s="1108"/>
      <c r="W2925" s="1108"/>
      <c r="X2925" s="1108"/>
      <c r="Y2925" s="1108"/>
      <c r="Z2925" s="1114"/>
      <c r="AA2925" s="1114"/>
      <c r="AB2925" s="1114"/>
      <c r="AC2925" s="1117"/>
      <c r="AD2925" s="1115"/>
      <c r="AE2925" s="1115"/>
      <c r="AF2925" s="1115"/>
      <c r="AG2925" s="1115"/>
      <c r="AH2925" s="1115"/>
      <c r="AI2925" s="1115"/>
      <c r="AJ2925" s="1117"/>
      <c r="AK2925" s="1118"/>
      <c r="AL2925" s="1115"/>
      <c r="AM2925" s="1115"/>
      <c r="AN2925" s="1115"/>
      <c r="AO2925" s="1115"/>
      <c r="AP2925" s="1115"/>
      <c r="AQ2925" s="1115"/>
      <c r="AR2925" s="1115"/>
      <c r="AS2925" s="1117"/>
      <c r="AT2925" s="1075"/>
      <c r="AU2925" s="1193"/>
      <c r="AV2925" s="330"/>
      <c r="AW2925" s="331"/>
      <c r="AX2925" s="331"/>
      <c r="AY2925" s="331"/>
      <c r="AZ2925" s="331"/>
      <c r="BA2925" s="331"/>
      <c r="BB2925" s="331"/>
      <c r="BC2925" s="331"/>
      <c r="BD2925" s="331"/>
      <c r="BE2925" s="333"/>
      <c r="BF2925" s="330"/>
      <c r="BG2925" s="333"/>
      <c r="BH2925" s="1119"/>
      <c r="BI2925" s="319"/>
      <c r="BJ2925" s="319"/>
      <c r="BK2925" s="319"/>
      <c r="BL2925" s="319"/>
      <c r="BM2925" s="319"/>
      <c r="BN2925" s="319"/>
      <c r="BO2925" s="319"/>
      <c r="BP2925" s="953"/>
      <c r="BQ2925" s="319"/>
      <c r="BR2925" s="319"/>
      <c r="BS2925" s="330"/>
      <c r="BT2925" s="331"/>
      <c r="BU2925" s="920"/>
      <c r="BV2925" s="903"/>
      <c r="BW2925" s="908"/>
      <c r="BX2925" s="908"/>
      <c r="BY2925" s="331"/>
      <c r="BZ2925" s="331"/>
      <c r="CA2925" s="462"/>
      <c r="CB2925" s="319"/>
      <c r="CC2925" s="319"/>
      <c r="CD2925" s="319"/>
      <c r="CE2925" s="319"/>
      <c r="CF2925" s="319"/>
      <c r="CG2925" s="319"/>
      <c r="CH2925" s="318"/>
      <c r="CI2925" s="319"/>
      <c r="CJ2925" s="319"/>
      <c r="CK2925" s="342"/>
      <c r="CL2925" s="333"/>
      <c r="CM2925" s="1079"/>
      <c r="CN2925" s="1005"/>
      <c r="CO2925" s="1005"/>
      <c r="CP2925" s="1005"/>
    </row>
    <row r="2926">
      <c r="A2926" s="1257"/>
      <c r="B2926" s="1113"/>
      <c r="C2926" s="1107"/>
      <c r="D2926" s="103"/>
      <c r="E2926" s="1137"/>
      <c r="F2926" s="112"/>
      <c r="G2926" s="1110"/>
      <c r="H2926" s="1138"/>
      <c r="I2926" s="1138"/>
      <c r="J2926" s="1139"/>
      <c r="K2926" s="1111"/>
      <c r="L2926" s="1112"/>
      <c r="M2926" s="1113"/>
      <c r="N2926" s="110"/>
      <c r="O2926" s="1140"/>
      <c r="P2926" s="1115"/>
      <c r="Q2926" s="1116"/>
      <c r="R2926" s="1141"/>
      <c r="S2926" s="1113"/>
      <c r="T2926" s="1143"/>
      <c r="U2926" s="1108"/>
      <c r="V2926" s="1108"/>
      <c r="W2926" s="1108"/>
      <c r="X2926" s="1108"/>
      <c r="Y2926" s="1108"/>
      <c r="Z2926" s="1114"/>
      <c r="AA2926" s="1114"/>
      <c r="AB2926" s="1114"/>
      <c r="AC2926" s="1117"/>
      <c r="AD2926" s="1115"/>
      <c r="AE2926" s="1115"/>
      <c r="AF2926" s="1115"/>
      <c r="AG2926" s="1115"/>
      <c r="AH2926" s="1115"/>
      <c r="AI2926" s="1115"/>
      <c r="AJ2926" s="1117"/>
      <c r="AK2926" s="1118"/>
      <c r="AL2926" s="1115"/>
      <c r="AM2926" s="1115"/>
      <c r="AN2926" s="1115"/>
      <c r="AO2926" s="1115"/>
      <c r="AP2926" s="1115"/>
      <c r="AQ2926" s="1115"/>
      <c r="AR2926" s="1115"/>
      <c r="AS2926" s="1117"/>
      <c r="AT2926" s="1075"/>
      <c r="AU2926" s="1193"/>
      <c r="AV2926" s="330"/>
      <c r="AW2926" s="331"/>
      <c r="AX2926" s="331"/>
      <c r="AY2926" s="331"/>
      <c r="AZ2926" s="331"/>
      <c r="BA2926" s="331"/>
      <c r="BB2926" s="331"/>
      <c r="BC2926" s="331"/>
      <c r="BD2926" s="331"/>
      <c r="BE2926" s="333"/>
      <c r="BF2926" s="330"/>
      <c r="BG2926" s="333"/>
      <c r="BH2926" s="1119"/>
      <c r="BI2926" s="319"/>
      <c r="BJ2926" s="319"/>
      <c r="BK2926" s="319"/>
      <c r="BL2926" s="319"/>
      <c r="BM2926" s="319"/>
      <c r="BN2926" s="319"/>
      <c r="BO2926" s="319"/>
      <c r="BP2926" s="953"/>
      <c r="BQ2926" s="319"/>
      <c r="BR2926" s="319"/>
      <c r="BS2926" s="330"/>
      <c r="BT2926" s="331"/>
      <c r="BU2926" s="920"/>
      <c r="BV2926" s="903"/>
      <c r="BW2926" s="908"/>
      <c r="BX2926" s="908"/>
      <c r="BY2926" s="331"/>
      <c r="BZ2926" s="331"/>
      <c r="CA2926" s="462"/>
      <c r="CB2926" s="319"/>
      <c r="CC2926" s="319"/>
      <c r="CD2926" s="319"/>
      <c r="CE2926" s="319"/>
      <c r="CF2926" s="319"/>
      <c r="CG2926" s="319"/>
      <c r="CH2926" s="318"/>
      <c r="CI2926" s="319"/>
      <c r="CJ2926" s="319"/>
      <c r="CK2926" s="342"/>
      <c r="CL2926" s="333"/>
      <c r="CM2926" s="1079"/>
      <c r="CN2926" s="1005"/>
      <c r="CO2926" s="1005"/>
      <c r="CP2926" s="1005"/>
    </row>
    <row r="2927">
      <c r="A2927" s="1257"/>
      <c r="B2927" s="1113"/>
      <c r="C2927" s="1107"/>
      <c r="D2927" s="103"/>
      <c r="E2927" s="1137"/>
      <c r="F2927" s="112"/>
      <c r="G2927" s="1110"/>
      <c r="H2927" s="1138"/>
      <c r="I2927" s="1138"/>
      <c r="J2927" s="1139"/>
      <c r="K2927" s="1111"/>
      <c r="L2927" s="1112"/>
      <c r="M2927" s="1113"/>
      <c r="N2927" s="110"/>
      <c r="O2927" s="1140"/>
      <c r="P2927" s="1115"/>
      <c r="Q2927" s="1116"/>
      <c r="R2927" s="1141"/>
      <c r="S2927" s="1113"/>
      <c r="T2927" s="1143"/>
      <c r="U2927" s="1108"/>
      <c r="V2927" s="1108"/>
      <c r="W2927" s="1108"/>
      <c r="X2927" s="1108"/>
      <c r="Y2927" s="1108"/>
      <c r="Z2927" s="1114"/>
      <c r="AA2927" s="1114"/>
      <c r="AB2927" s="1114"/>
      <c r="AC2927" s="1117"/>
      <c r="AD2927" s="1115"/>
      <c r="AE2927" s="1115"/>
      <c r="AF2927" s="1115"/>
      <c r="AG2927" s="1115"/>
      <c r="AH2927" s="1115"/>
      <c r="AI2927" s="1115"/>
      <c r="AJ2927" s="1117"/>
      <c r="AK2927" s="1118"/>
      <c r="AL2927" s="1115"/>
      <c r="AM2927" s="1115"/>
      <c r="AN2927" s="1115"/>
      <c r="AO2927" s="1115"/>
      <c r="AP2927" s="1115"/>
      <c r="AQ2927" s="1115"/>
      <c r="AR2927" s="1115"/>
      <c r="AS2927" s="1117"/>
      <c r="AT2927" s="1075"/>
      <c r="AU2927" s="1193"/>
      <c r="AV2927" s="330"/>
      <c r="AW2927" s="331"/>
      <c r="AX2927" s="331"/>
      <c r="AY2927" s="331"/>
      <c r="AZ2927" s="331"/>
      <c r="BA2927" s="331"/>
      <c r="BB2927" s="331"/>
      <c r="BC2927" s="331"/>
      <c r="BD2927" s="331"/>
      <c r="BE2927" s="333"/>
      <c r="BF2927" s="330"/>
      <c r="BG2927" s="333"/>
      <c r="BH2927" s="1119"/>
      <c r="BI2927" s="319"/>
      <c r="BJ2927" s="319"/>
      <c r="BK2927" s="319"/>
      <c r="BL2927" s="319"/>
      <c r="BM2927" s="319"/>
      <c r="BN2927" s="319"/>
      <c r="BO2927" s="319"/>
      <c r="BP2927" s="953"/>
      <c r="BQ2927" s="319"/>
      <c r="BR2927" s="319"/>
      <c r="BS2927" s="330"/>
      <c r="BT2927" s="331"/>
      <c r="BU2927" s="920"/>
      <c r="BV2927" s="903"/>
      <c r="BW2927" s="908"/>
      <c r="BX2927" s="908"/>
      <c r="BY2927" s="331"/>
      <c r="BZ2927" s="331"/>
      <c r="CA2927" s="462"/>
      <c r="CB2927" s="319"/>
      <c r="CC2927" s="319"/>
      <c r="CD2927" s="319"/>
      <c r="CE2927" s="319"/>
      <c r="CF2927" s="319"/>
      <c r="CG2927" s="319"/>
      <c r="CH2927" s="318"/>
      <c r="CI2927" s="319"/>
      <c r="CJ2927" s="319"/>
      <c r="CK2927" s="342"/>
      <c r="CL2927" s="333"/>
      <c r="CM2927" s="1079"/>
      <c r="CN2927" s="1005"/>
      <c r="CO2927" s="1005"/>
      <c r="CP2927" s="1005"/>
    </row>
    <row r="2928">
      <c r="A2928" s="1257"/>
      <c r="B2928" s="1113"/>
      <c r="C2928" s="1107"/>
      <c r="D2928" s="103"/>
      <c r="E2928" s="1137"/>
      <c r="F2928" s="112"/>
      <c r="G2928" s="1110"/>
      <c r="H2928" s="1138"/>
      <c r="I2928" s="1138"/>
      <c r="J2928" s="1139"/>
      <c r="K2928" s="1111"/>
      <c r="L2928" s="1112"/>
      <c r="M2928" s="1113"/>
      <c r="N2928" s="110"/>
      <c r="O2928" s="1140"/>
      <c r="P2928" s="1115"/>
      <c r="Q2928" s="1116"/>
      <c r="R2928" s="1141"/>
      <c r="S2928" s="1113"/>
      <c r="T2928" s="1143"/>
      <c r="U2928" s="1108"/>
      <c r="V2928" s="1108"/>
      <c r="W2928" s="1108"/>
      <c r="X2928" s="1108"/>
      <c r="Y2928" s="1108"/>
      <c r="Z2928" s="1114"/>
      <c r="AA2928" s="1114"/>
      <c r="AB2928" s="1114"/>
      <c r="AC2928" s="1117"/>
      <c r="AD2928" s="1115"/>
      <c r="AE2928" s="1115"/>
      <c r="AF2928" s="1115"/>
      <c r="AG2928" s="1115"/>
      <c r="AH2928" s="1115"/>
      <c r="AI2928" s="1115"/>
      <c r="AJ2928" s="1117"/>
      <c r="AK2928" s="1118"/>
      <c r="AL2928" s="1115"/>
      <c r="AM2928" s="1115"/>
      <c r="AN2928" s="1115"/>
      <c r="AO2928" s="1115"/>
      <c r="AP2928" s="1115"/>
      <c r="AQ2928" s="1115"/>
      <c r="AR2928" s="1115"/>
      <c r="AS2928" s="1117"/>
      <c r="AT2928" s="1075"/>
      <c r="AU2928" s="1193"/>
      <c r="AV2928" s="330"/>
      <c r="AW2928" s="331"/>
      <c r="AX2928" s="331"/>
      <c r="AY2928" s="331"/>
      <c r="AZ2928" s="331"/>
      <c r="BA2928" s="331"/>
      <c r="BB2928" s="331"/>
      <c r="BC2928" s="331"/>
      <c r="BD2928" s="331"/>
      <c r="BE2928" s="333"/>
      <c r="BF2928" s="330"/>
      <c r="BG2928" s="333"/>
      <c r="BH2928" s="1119"/>
      <c r="BI2928" s="319"/>
      <c r="BJ2928" s="319"/>
      <c r="BK2928" s="319"/>
      <c r="BL2928" s="319"/>
      <c r="BM2928" s="319"/>
      <c r="BN2928" s="319"/>
      <c r="BO2928" s="319"/>
      <c r="BP2928" s="953"/>
      <c r="BQ2928" s="319"/>
      <c r="BR2928" s="319"/>
      <c r="BS2928" s="330"/>
      <c r="BT2928" s="331"/>
      <c r="BU2928" s="920"/>
      <c r="BV2928" s="903"/>
      <c r="BW2928" s="908"/>
      <c r="BX2928" s="908"/>
      <c r="BY2928" s="331"/>
      <c r="BZ2928" s="331"/>
      <c r="CA2928" s="462"/>
      <c r="CB2928" s="319"/>
      <c r="CC2928" s="319"/>
      <c r="CD2928" s="319"/>
      <c r="CE2928" s="319"/>
      <c r="CF2928" s="319"/>
      <c r="CG2928" s="319"/>
      <c r="CH2928" s="318"/>
      <c r="CI2928" s="319"/>
      <c r="CJ2928" s="319"/>
      <c r="CK2928" s="342"/>
      <c r="CL2928" s="333"/>
      <c r="CM2928" s="1079"/>
      <c r="CN2928" s="1005"/>
      <c r="CO2928" s="1005"/>
      <c r="CP2928" s="1005"/>
    </row>
    <row r="2929">
      <c r="A2929" s="1257"/>
      <c r="B2929" s="1113"/>
      <c r="C2929" s="1107"/>
      <c r="D2929" s="103"/>
      <c r="E2929" s="1137"/>
      <c r="F2929" s="112"/>
      <c r="G2929" s="1110"/>
      <c r="H2929" s="1138"/>
      <c r="I2929" s="1138"/>
      <c r="J2929" s="1139"/>
      <c r="K2929" s="1111"/>
      <c r="L2929" s="1112"/>
      <c r="M2929" s="1113"/>
      <c r="N2929" s="110"/>
      <c r="O2929" s="1140"/>
      <c r="P2929" s="1115"/>
      <c r="Q2929" s="1116"/>
      <c r="R2929" s="1141"/>
      <c r="S2929" s="1113"/>
      <c r="T2929" s="1143"/>
      <c r="U2929" s="1108"/>
      <c r="V2929" s="1108"/>
      <c r="W2929" s="1108"/>
      <c r="X2929" s="1108"/>
      <c r="Y2929" s="1108"/>
      <c r="Z2929" s="1114"/>
      <c r="AA2929" s="1114"/>
      <c r="AB2929" s="1114"/>
      <c r="AC2929" s="1117"/>
      <c r="AD2929" s="1115"/>
      <c r="AE2929" s="1115"/>
      <c r="AF2929" s="1115"/>
      <c r="AG2929" s="1115"/>
      <c r="AH2929" s="1115"/>
      <c r="AI2929" s="1115"/>
      <c r="AJ2929" s="1117"/>
      <c r="AK2929" s="1118"/>
      <c r="AL2929" s="1115"/>
      <c r="AM2929" s="1115"/>
      <c r="AN2929" s="1115"/>
      <c r="AO2929" s="1115"/>
      <c r="AP2929" s="1115"/>
      <c r="AQ2929" s="1115"/>
      <c r="AR2929" s="1115"/>
      <c r="AS2929" s="1117"/>
      <c r="AT2929" s="1075"/>
      <c r="AU2929" s="1193"/>
      <c r="AV2929" s="330"/>
      <c r="AW2929" s="331"/>
      <c r="AX2929" s="331"/>
      <c r="AY2929" s="331"/>
      <c r="AZ2929" s="331"/>
      <c r="BA2929" s="331"/>
      <c r="BB2929" s="331"/>
      <c r="BC2929" s="331"/>
      <c r="BD2929" s="331"/>
      <c r="BE2929" s="333"/>
      <c r="BF2929" s="330"/>
      <c r="BG2929" s="333"/>
      <c r="BH2929" s="1119"/>
      <c r="BI2929" s="319"/>
      <c r="BJ2929" s="319"/>
      <c r="BK2929" s="319"/>
      <c r="BL2929" s="319"/>
      <c r="BM2929" s="319"/>
      <c r="BN2929" s="319"/>
      <c r="BO2929" s="319"/>
      <c r="BP2929" s="953"/>
      <c r="BQ2929" s="319"/>
      <c r="BR2929" s="319"/>
      <c r="BS2929" s="330"/>
      <c r="BT2929" s="331"/>
      <c r="BU2929" s="920"/>
      <c r="BV2929" s="903"/>
      <c r="BW2929" s="908"/>
      <c r="BX2929" s="908"/>
      <c r="BY2929" s="331"/>
      <c r="BZ2929" s="331"/>
      <c r="CA2929" s="462"/>
      <c r="CB2929" s="319"/>
      <c r="CC2929" s="319"/>
      <c r="CD2929" s="319"/>
      <c r="CE2929" s="319"/>
      <c r="CF2929" s="319"/>
      <c r="CG2929" s="319"/>
      <c r="CH2929" s="318"/>
      <c r="CI2929" s="319"/>
      <c r="CJ2929" s="319"/>
      <c r="CK2929" s="342"/>
      <c r="CL2929" s="333"/>
      <c r="CM2929" s="1079"/>
      <c r="CN2929" s="1005"/>
      <c r="CO2929" s="1005"/>
      <c r="CP2929" s="1005"/>
    </row>
    <row r="2930">
      <c r="A2930" s="1257"/>
      <c r="B2930" s="1113"/>
      <c r="C2930" s="1107"/>
      <c r="D2930" s="103"/>
      <c r="E2930" s="1137"/>
      <c r="F2930" s="112"/>
      <c r="G2930" s="1110"/>
      <c r="H2930" s="1138"/>
      <c r="I2930" s="1138"/>
      <c r="J2930" s="1139"/>
      <c r="K2930" s="1111"/>
      <c r="L2930" s="1112"/>
      <c r="M2930" s="1113"/>
      <c r="N2930" s="110"/>
      <c r="O2930" s="1140"/>
      <c r="P2930" s="1115"/>
      <c r="Q2930" s="1116"/>
      <c r="R2930" s="1141"/>
      <c r="S2930" s="1113"/>
      <c r="T2930" s="1143"/>
      <c r="U2930" s="1108"/>
      <c r="V2930" s="1108"/>
      <c r="W2930" s="1108"/>
      <c r="X2930" s="1108"/>
      <c r="Y2930" s="1108"/>
      <c r="Z2930" s="1114"/>
      <c r="AA2930" s="1114"/>
      <c r="AB2930" s="1114"/>
      <c r="AC2930" s="1117"/>
      <c r="AD2930" s="1115"/>
      <c r="AE2930" s="1115"/>
      <c r="AF2930" s="1115"/>
      <c r="AG2930" s="1115"/>
      <c r="AH2930" s="1115"/>
      <c r="AI2930" s="1115"/>
      <c r="AJ2930" s="1117"/>
      <c r="AK2930" s="1118"/>
      <c r="AL2930" s="1115"/>
      <c r="AM2930" s="1115"/>
      <c r="AN2930" s="1115"/>
      <c r="AO2930" s="1115"/>
      <c r="AP2930" s="1115"/>
      <c r="AQ2930" s="1115"/>
      <c r="AR2930" s="1115"/>
      <c r="AS2930" s="1117"/>
      <c r="AT2930" s="1075"/>
      <c r="AU2930" s="1193"/>
      <c r="AV2930" s="330"/>
      <c r="AW2930" s="331"/>
      <c r="AX2930" s="331"/>
      <c r="AY2930" s="331"/>
      <c r="AZ2930" s="331"/>
      <c r="BA2930" s="331"/>
      <c r="BB2930" s="331"/>
      <c r="BC2930" s="331"/>
      <c r="BD2930" s="331"/>
      <c r="BE2930" s="333"/>
      <c r="BF2930" s="330"/>
      <c r="BG2930" s="333"/>
      <c r="BH2930" s="1119"/>
      <c r="BI2930" s="319"/>
      <c r="BJ2930" s="319"/>
      <c r="BK2930" s="319"/>
      <c r="BL2930" s="319"/>
      <c r="BM2930" s="319"/>
      <c r="BN2930" s="319"/>
      <c r="BO2930" s="319"/>
      <c r="BP2930" s="953"/>
      <c r="BQ2930" s="319"/>
      <c r="BR2930" s="319"/>
      <c r="BS2930" s="330"/>
      <c r="BT2930" s="331"/>
      <c r="BU2930" s="920"/>
      <c r="BV2930" s="903"/>
      <c r="BW2930" s="908"/>
      <c r="BX2930" s="908"/>
      <c r="BY2930" s="331"/>
      <c r="BZ2930" s="331"/>
      <c r="CA2930" s="462"/>
      <c r="CB2930" s="319"/>
      <c r="CC2930" s="319"/>
      <c r="CD2930" s="319"/>
      <c r="CE2930" s="319"/>
      <c r="CF2930" s="319"/>
      <c r="CG2930" s="319"/>
      <c r="CH2930" s="318"/>
      <c r="CI2930" s="319"/>
      <c r="CJ2930" s="319"/>
      <c r="CK2930" s="342"/>
      <c r="CL2930" s="333"/>
      <c r="CM2930" s="1079"/>
      <c r="CN2930" s="1005"/>
      <c r="CO2930" s="1005"/>
      <c r="CP2930" s="1005"/>
    </row>
    <row r="2931">
      <c r="A2931" s="1257"/>
      <c r="B2931" s="1113"/>
      <c r="C2931" s="1107"/>
      <c r="D2931" s="103"/>
      <c r="E2931" s="1137"/>
      <c r="F2931" s="112"/>
      <c r="G2931" s="1110"/>
      <c r="H2931" s="1138"/>
      <c r="I2931" s="1138"/>
      <c r="J2931" s="1139"/>
      <c r="K2931" s="1111"/>
      <c r="L2931" s="1112"/>
      <c r="M2931" s="1113"/>
      <c r="N2931" s="110"/>
      <c r="O2931" s="1140"/>
      <c r="P2931" s="1115"/>
      <c r="Q2931" s="1116"/>
      <c r="R2931" s="1141"/>
      <c r="S2931" s="1113"/>
      <c r="T2931" s="1143"/>
      <c r="U2931" s="1108"/>
      <c r="V2931" s="1108"/>
      <c r="W2931" s="1108"/>
      <c r="X2931" s="1108"/>
      <c r="Y2931" s="1108"/>
      <c r="Z2931" s="1114"/>
      <c r="AA2931" s="1114"/>
      <c r="AB2931" s="1114"/>
      <c r="AC2931" s="1117"/>
      <c r="AD2931" s="1115"/>
      <c r="AE2931" s="1115"/>
      <c r="AF2931" s="1115"/>
      <c r="AG2931" s="1115"/>
      <c r="AH2931" s="1115"/>
      <c r="AI2931" s="1115"/>
      <c r="AJ2931" s="1117"/>
      <c r="AK2931" s="1118"/>
      <c r="AL2931" s="1115"/>
      <c r="AM2931" s="1115"/>
      <c r="AN2931" s="1115"/>
      <c r="AO2931" s="1115"/>
      <c r="AP2931" s="1115"/>
      <c r="AQ2931" s="1115"/>
      <c r="AR2931" s="1115"/>
      <c r="AS2931" s="1117"/>
      <c r="AT2931" s="1075"/>
      <c r="AU2931" s="1193"/>
      <c r="AV2931" s="330"/>
      <c r="AW2931" s="331"/>
      <c r="AX2931" s="331"/>
      <c r="AY2931" s="331"/>
      <c r="AZ2931" s="331"/>
      <c r="BA2931" s="331"/>
      <c r="BB2931" s="331"/>
      <c r="BC2931" s="331"/>
      <c r="BD2931" s="331"/>
      <c r="BE2931" s="333"/>
      <c r="BF2931" s="330"/>
      <c r="BG2931" s="333"/>
      <c r="BH2931" s="1119"/>
      <c r="BI2931" s="319"/>
      <c r="BJ2931" s="319"/>
      <c r="BK2931" s="319"/>
      <c r="BL2931" s="319"/>
      <c r="BM2931" s="319"/>
      <c r="BN2931" s="319"/>
      <c r="BO2931" s="319"/>
      <c r="BP2931" s="953"/>
      <c r="BQ2931" s="319"/>
      <c r="BR2931" s="319"/>
      <c r="BS2931" s="330"/>
      <c r="BT2931" s="331"/>
      <c r="BU2931" s="920"/>
      <c r="BV2931" s="903"/>
      <c r="BW2931" s="908"/>
      <c r="BX2931" s="908"/>
      <c r="BY2931" s="331"/>
      <c r="BZ2931" s="331"/>
      <c r="CA2931" s="462"/>
      <c r="CB2931" s="319"/>
      <c r="CC2931" s="319"/>
      <c r="CD2931" s="319"/>
      <c r="CE2931" s="319"/>
      <c r="CF2931" s="319"/>
      <c r="CG2931" s="319"/>
      <c r="CH2931" s="318"/>
      <c r="CI2931" s="319"/>
      <c r="CJ2931" s="319"/>
      <c r="CK2931" s="342"/>
      <c r="CL2931" s="333"/>
      <c r="CM2931" s="1079"/>
      <c r="CN2931" s="1005"/>
      <c r="CO2931" s="1005"/>
      <c r="CP2931" s="1005"/>
    </row>
    <row r="2932">
      <c r="A2932" s="1257"/>
      <c r="B2932" s="1113"/>
      <c r="C2932" s="1107"/>
      <c r="D2932" s="103"/>
      <c r="E2932" s="1137"/>
      <c r="F2932" s="112"/>
      <c r="G2932" s="1110"/>
      <c r="H2932" s="1138"/>
      <c r="I2932" s="1138"/>
      <c r="J2932" s="1139"/>
      <c r="K2932" s="1111"/>
      <c r="L2932" s="1112"/>
      <c r="M2932" s="1113"/>
      <c r="N2932" s="110"/>
      <c r="O2932" s="1140"/>
      <c r="P2932" s="1115"/>
      <c r="Q2932" s="1116"/>
      <c r="R2932" s="1141"/>
      <c r="S2932" s="1113"/>
      <c r="T2932" s="1143"/>
      <c r="U2932" s="1108"/>
      <c r="V2932" s="1108"/>
      <c r="W2932" s="1108"/>
      <c r="X2932" s="1108"/>
      <c r="Y2932" s="1108"/>
      <c r="Z2932" s="1114"/>
      <c r="AA2932" s="1114"/>
      <c r="AB2932" s="1114"/>
      <c r="AC2932" s="1117"/>
      <c r="AD2932" s="1115"/>
      <c r="AE2932" s="1115"/>
      <c r="AF2932" s="1115"/>
      <c r="AG2932" s="1115"/>
      <c r="AH2932" s="1115"/>
      <c r="AI2932" s="1115"/>
      <c r="AJ2932" s="1117"/>
      <c r="AK2932" s="1118"/>
      <c r="AL2932" s="1115"/>
      <c r="AM2932" s="1115"/>
      <c r="AN2932" s="1115"/>
      <c r="AO2932" s="1115"/>
      <c r="AP2932" s="1115"/>
      <c r="AQ2932" s="1115"/>
      <c r="AR2932" s="1115"/>
      <c r="AS2932" s="1117"/>
      <c r="AT2932" s="1075"/>
      <c r="AU2932" s="1193"/>
      <c r="AV2932" s="330"/>
      <c r="AW2932" s="331"/>
      <c r="AX2932" s="331"/>
      <c r="AY2932" s="331"/>
      <c r="AZ2932" s="331"/>
      <c r="BA2932" s="331"/>
      <c r="BB2932" s="331"/>
      <c r="BC2932" s="331"/>
      <c r="BD2932" s="331"/>
      <c r="BE2932" s="333"/>
      <c r="BF2932" s="330"/>
      <c r="BG2932" s="333"/>
      <c r="BH2932" s="1119"/>
      <c r="BI2932" s="319"/>
      <c r="BJ2932" s="319"/>
      <c r="BK2932" s="319"/>
      <c r="BL2932" s="319"/>
      <c r="BM2932" s="319"/>
      <c r="BN2932" s="319"/>
      <c r="BO2932" s="319"/>
      <c r="BP2932" s="953"/>
      <c r="BQ2932" s="319"/>
      <c r="BR2932" s="319"/>
      <c r="BS2932" s="330"/>
      <c r="BT2932" s="331"/>
      <c r="BU2932" s="920"/>
      <c r="BV2932" s="903"/>
      <c r="BW2932" s="908"/>
      <c r="BX2932" s="908"/>
      <c r="BY2932" s="331"/>
      <c r="BZ2932" s="331"/>
      <c r="CA2932" s="462"/>
      <c r="CB2932" s="319"/>
      <c r="CC2932" s="319"/>
      <c r="CD2932" s="319"/>
      <c r="CE2932" s="319"/>
      <c r="CF2932" s="319"/>
      <c r="CG2932" s="319"/>
      <c r="CH2932" s="318"/>
      <c r="CI2932" s="319"/>
      <c r="CJ2932" s="319"/>
      <c r="CK2932" s="342"/>
      <c r="CL2932" s="333"/>
      <c r="CM2932" s="1079"/>
      <c r="CN2932" s="1005"/>
      <c r="CO2932" s="1005"/>
      <c r="CP2932" s="1005"/>
    </row>
    <row r="2933">
      <c r="A2933" s="1257"/>
      <c r="B2933" s="1113"/>
      <c r="C2933" s="1107"/>
      <c r="D2933" s="103"/>
      <c r="E2933" s="1137"/>
      <c r="F2933" s="112"/>
      <c r="G2933" s="1110"/>
      <c r="H2933" s="1138"/>
      <c r="I2933" s="1138"/>
      <c r="J2933" s="1139"/>
      <c r="K2933" s="1111"/>
      <c r="L2933" s="1112"/>
      <c r="M2933" s="1113"/>
      <c r="N2933" s="110"/>
      <c r="O2933" s="1140"/>
      <c r="P2933" s="1115"/>
      <c r="Q2933" s="1116"/>
      <c r="R2933" s="1141"/>
      <c r="S2933" s="1113"/>
      <c r="T2933" s="1143"/>
      <c r="U2933" s="1108"/>
      <c r="V2933" s="1108"/>
      <c r="W2933" s="1108"/>
      <c r="X2933" s="1108"/>
      <c r="Y2933" s="1108"/>
      <c r="Z2933" s="1114"/>
      <c r="AA2933" s="1114"/>
      <c r="AB2933" s="1114"/>
      <c r="AC2933" s="1117"/>
      <c r="AD2933" s="1115"/>
      <c r="AE2933" s="1115"/>
      <c r="AF2933" s="1115"/>
      <c r="AG2933" s="1115"/>
      <c r="AH2933" s="1115"/>
      <c r="AI2933" s="1115"/>
      <c r="AJ2933" s="1117"/>
      <c r="AK2933" s="1118"/>
      <c r="AL2933" s="1115"/>
      <c r="AM2933" s="1115"/>
      <c r="AN2933" s="1115"/>
      <c r="AO2933" s="1115"/>
      <c r="AP2933" s="1115"/>
      <c r="AQ2933" s="1115"/>
      <c r="AR2933" s="1115"/>
      <c r="AS2933" s="1117"/>
      <c r="AT2933" s="1075"/>
      <c r="AU2933" s="1193"/>
      <c r="AV2933" s="330"/>
      <c r="AW2933" s="331"/>
      <c r="AX2933" s="331"/>
      <c r="AY2933" s="331"/>
      <c r="AZ2933" s="331"/>
      <c r="BA2933" s="331"/>
      <c r="BB2933" s="331"/>
      <c r="BC2933" s="331"/>
      <c r="BD2933" s="331"/>
      <c r="BE2933" s="333"/>
      <c r="BF2933" s="330"/>
      <c r="BG2933" s="333"/>
      <c r="BH2933" s="1119"/>
      <c r="BI2933" s="319"/>
      <c r="BJ2933" s="319"/>
      <c r="BK2933" s="319"/>
      <c r="BL2933" s="319"/>
      <c r="BM2933" s="319"/>
      <c r="BN2933" s="319"/>
      <c r="BO2933" s="319"/>
      <c r="BP2933" s="953"/>
      <c r="BQ2933" s="319"/>
      <c r="BR2933" s="319"/>
      <c r="BS2933" s="330"/>
      <c r="BT2933" s="331"/>
      <c r="BU2933" s="920"/>
      <c r="BV2933" s="903"/>
      <c r="BW2933" s="908"/>
      <c r="BX2933" s="908"/>
      <c r="BY2933" s="331"/>
      <c r="BZ2933" s="331"/>
      <c r="CA2933" s="462"/>
      <c r="CB2933" s="319"/>
      <c r="CC2933" s="319"/>
      <c r="CD2933" s="319"/>
      <c r="CE2933" s="319"/>
      <c r="CF2933" s="319"/>
      <c r="CG2933" s="319"/>
      <c r="CH2933" s="318"/>
      <c r="CI2933" s="319"/>
      <c r="CJ2933" s="319"/>
      <c r="CK2933" s="342"/>
      <c r="CL2933" s="333"/>
      <c r="CM2933" s="1079"/>
      <c r="CN2933" s="1005"/>
      <c r="CO2933" s="1005"/>
      <c r="CP2933" s="1005"/>
    </row>
    <row r="2934">
      <c r="A2934" s="1257"/>
      <c r="B2934" s="1113"/>
      <c r="C2934" s="1107"/>
      <c r="D2934" s="103"/>
      <c r="E2934" s="1137"/>
      <c r="F2934" s="112"/>
      <c r="G2934" s="1110"/>
      <c r="H2934" s="1138"/>
      <c r="I2934" s="1138"/>
      <c r="J2934" s="1139"/>
      <c r="K2934" s="1111"/>
      <c r="L2934" s="1112"/>
      <c r="M2934" s="1113"/>
      <c r="N2934" s="110"/>
      <c r="O2934" s="1140"/>
      <c r="P2934" s="1115"/>
      <c r="Q2934" s="1116"/>
      <c r="R2934" s="1141"/>
      <c r="S2934" s="1113"/>
      <c r="T2934" s="1143"/>
      <c r="U2934" s="1108"/>
      <c r="V2934" s="1108"/>
      <c r="W2934" s="1108"/>
      <c r="X2934" s="1108"/>
      <c r="Y2934" s="1108"/>
      <c r="Z2934" s="1114"/>
      <c r="AA2934" s="1114"/>
      <c r="AB2934" s="1114"/>
      <c r="AC2934" s="1117"/>
      <c r="AD2934" s="1115"/>
      <c r="AE2934" s="1115"/>
      <c r="AF2934" s="1115"/>
      <c r="AG2934" s="1115"/>
      <c r="AH2934" s="1115"/>
      <c r="AI2934" s="1115"/>
      <c r="AJ2934" s="1117"/>
      <c r="AK2934" s="1118"/>
      <c r="AL2934" s="1115"/>
      <c r="AM2934" s="1115"/>
      <c r="AN2934" s="1115"/>
      <c r="AO2934" s="1115"/>
      <c r="AP2934" s="1115"/>
      <c r="AQ2934" s="1115"/>
      <c r="AR2934" s="1115"/>
      <c r="AS2934" s="1117"/>
      <c r="AT2934" s="1075"/>
      <c r="AU2934" s="1193"/>
      <c r="AV2934" s="330"/>
      <c r="AW2934" s="331"/>
      <c r="AX2934" s="331"/>
      <c r="AY2934" s="331"/>
      <c r="AZ2934" s="331"/>
      <c r="BA2934" s="331"/>
      <c r="BB2934" s="331"/>
      <c r="BC2934" s="331"/>
      <c r="BD2934" s="331"/>
      <c r="BE2934" s="333"/>
      <c r="BF2934" s="330"/>
      <c r="BG2934" s="333"/>
      <c r="BH2934" s="1119"/>
      <c r="BI2934" s="319"/>
      <c r="BJ2934" s="319"/>
      <c r="BK2934" s="319"/>
      <c r="BL2934" s="319"/>
      <c r="BM2934" s="319"/>
      <c r="BN2934" s="319"/>
      <c r="BO2934" s="319"/>
      <c r="BP2934" s="953"/>
      <c r="BQ2934" s="319"/>
      <c r="BR2934" s="319"/>
      <c r="BS2934" s="330"/>
      <c r="BT2934" s="331"/>
      <c r="BU2934" s="920"/>
      <c r="BV2934" s="903"/>
      <c r="BW2934" s="908"/>
      <c r="BX2934" s="908"/>
      <c r="BY2934" s="331"/>
      <c r="BZ2934" s="331"/>
      <c r="CA2934" s="462"/>
      <c r="CB2934" s="319"/>
      <c r="CC2934" s="319"/>
      <c r="CD2934" s="319"/>
      <c r="CE2934" s="319"/>
      <c r="CF2934" s="319"/>
      <c r="CG2934" s="319"/>
      <c r="CH2934" s="318"/>
      <c r="CI2934" s="319"/>
      <c r="CJ2934" s="319"/>
      <c r="CK2934" s="342"/>
      <c r="CL2934" s="333"/>
      <c r="CM2934" s="1079"/>
      <c r="CN2934" s="1005"/>
      <c r="CO2934" s="1005"/>
      <c r="CP2934" s="1005"/>
    </row>
    <row r="2935">
      <c r="A2935" s="1257"/>
      <c r="B2935" s="1113"/>
      <c r="C2935" s="1107"/>
      <c r="D2935" s="103"/>
      <c r="E2935" s="1137"/>
      <c r="F2935" s="112"/>
      <c r="G2935" s="1110"/>
      <c r="H2935" s="1138"/>
      <c r="I2935" s="1138"/>
      <c r="J2935" s="1139"/>
      <c r="K2935" s="1111"/>
      <c r="L2935" s="1112"/>
      <c r="M2935" s="1113"/>
      <c r="N2935" s="110"/>
      <c r="O2935" s="1140"/>
      <c r="P2935" s="1115"/>
      <c r="Q2935" s="1116"/>
      <c r="R2935" s="1141"/>
      <c r="S2935" s="1113"/>
      <c r="T2935" s="1143"/>
      <c r="U2935" s="1108"/>
      <c r="V2935" s="1108"/>
      <c r="W2935" s="1108"/>
      <c r="X2935" s="1108"/>
      <c r="Y2935" s="1108"/>
      <c r="Z2935" s="1114"/>
      <c r="AA2935" s="1114"/>
      <c r="AB2935" s="1114"/>
      <c r="AC2935" s="1117"/>
      <c r="AD2935" s="1115"/>
      <c r="AE2935" s="1115"/>
      <c r="AF2935" s="1115"/>
      <c r="AG2935" s="1115"/>
      <c r="AH2935" s="1115"/>
      <c r="AI2935" s="1115"/>
      <c r="AJ2935" s="1117"/>
      <c r="AK2935" s="1118"/>
      <c r="AL2935" s="1115"/>
      <c r="AM2935" s="1115"/>
      <c r="AN2935" s="1115"/>
      <c r="AO2935" s="1115"/>
      <c r="AP2935" s="1115"/>
      <c r="AQ2935" s="1115"/>
      <c r="AR2935" s="1115"/>
      <c r="AS2935" s="1117"/>
      <c r="AT2935" s="1075"/>
      <c r="AU2935" s="1193"/>
      <c r="AV2935" s="330"/>
      <c r="AW2935" s="331"/>
      <c r="AX2935" s="331"/>
      <c r="AY2935" s="331"/>
      <c r="AZ2935" s="331"/>
      <c r="BA2935" s="331"/>
      <c r="BB2935" s="331"/>
      <c r="BC2935" s="331"/>
      <c r="BD2935" s="331"/>
      <c r="BE2935" s="333"/>
      <c r="BF2935" s="330"/>
      <c r="BG2935" s="333"/>
      <c r="BH2935" s="1119"/>
      <c r="BI2935" s="319"/>
      <c r="BJ2935" s="319"/>
      <c r="BK2935" s="319"/>
      <c r="BL2935" s="319"/>
      <c r="BM2935" s="319"/>
      <c r="BN2935" s="319"/>
      <c r="BO2935" s="319"/>
      <c r="BP2935" s="953"/>
      <c r="BQ2935" s="319"/>
      <c r="BR2935" s="319"/>
      <c r="BS2935" s="330"/>
      <c r="BT2935" s="331"/>
      <c r="BU2935" s="920"/>
      <c r="BV2935" s="903"/>
      <c r="BW2935" s="908"/>
      <c r="BX2935" s="908"/>
      <c r="BY2935" s="331"/>
      <c r="BZ2935" s="331"/>
      <c r="CA2935" s="462"/>
      <c r="CB2935" s="319"/>
      <c r="CC2935" s="319"/>
      <c r="CD2935" s="319"/>
      <c r="CE2935" s="319"/>
      <c r="CF2935" s="319"/>
      <c r="CG2935" s="319"/>
      <c r="CH2935" s="318"/>
      <c r="CI2935" s="319"/>
      <c r="CJ2935" s="319"/>
      <c r="CK2935" s="342"/>
      <c r="CL2935" s="333"/>
      <c r="CM2935" s="1079"/>
      <c r="CN2935" s="1005"/>
      <c r="CO2935" s="1005"/>
      <c r="CP2935" s="1005"/>
    </row>
    <row r="2936">
      <c r="A2936" s="1257"/>
      <c r="B2936" s="1113"/>
      <c r="C2936" s="1107"/>
      <c r="D2936" s="103"/>
      <c r="E2936" s="1137"/>
      <c r="F2936" s="112"/>
      <c r="G2936" s="1110"/>
      <c r="H2936" s="1138"/>
      <c r="I2936" s="1138"/>
      <c r="J2936" s="1139"/>
      <c r="K2936" s="1111"/>
      <c r="L2936" s="1112"/>
      <c r="M2936" s="1113"/>
      <c r="N2936" s="110"/>
      <c r="O2936" s="1140"/>
      <c r="P2936" s="1115"/>
      <c r="Q2936" s="1116"/>
      <c r="R2936" s="1141"/>
      <c r="S2936" s="1113"/>
      <c r="T2936" s="1143"/>
      <c r="U2936" s="1108"/>
      <c r="V2936" s="1108"/>
      <c r="W2936" s="1108"/>
      <c r="X2936" s="1108"/>
      <c r="Y2936" s="1108"/>
      <c r="Z2936" s="1114"/>
      <c r="AA2936" s="1114"/>
      <c r="AB2936" s="1114"/>
      <c r="AC2936" s="1117"/>
      <c r="AD2936" s="1115"/>
      <c r="AE2936" s="1115"/>
      <c r="AF2936" s="1115"/>
      <c r="AG2936" s="1115"/>
      <c r="AH2936" s="1115"/>
      <c r="AI2936" s="1115"/>
      <c r="AJ2936" s="1117"/>
      <c r="AK2936" s="1118"/>
      <c r="AL2936" s="1115"/>
      <c r="AM2936" s="1115"/>
      <c r="AN2936" s="1115"/>
      <c r="AO2936" s="1115"/>
      <c r="AP2936" s="1115"/>
      <c r="AQ2936" s="1115"/>
      <c r="AR2936" s="1115"/>
      <c r="AS2936" s="1117"/>
      <c r="AT2936" s="1075"/>
      <c r="AU2936" s="1193"/>
      <c r="AV2936" s="330"/>
      <c r="AW2936" s="331"/>
      <c r="AX2936" s="331"/>
      <c r="AY2936" s="331"/>
      <c r="AZ2936" s="331"/>
      <c r="BA2936" s="331"/>
      <c r="BB2936" s="331"/>
      <c r="BC2936" s="331"/>
      <c r="BD2936" s="331"/>
      <c r="BE2936" s="333"/>
      <c r="BF2936" s="330"/>
      <c r="BG2936" s="333"/>
      <c r="BH2936" s="1119"/>
      <c r="BI2936" s="319"/>
      <c r="BJ2936" s="319"/>
      <c r="BK2936" s="319"/>
      <c r="BL2936" s="319"/>
      <c r="BM2936" s="319"/>
      <c r="BN2936" s="319"/>
      <c r="BO2936" s="319"/>
      <c r="BP2936" s="953"/>
      <c r="BQ2936" s="319"/>
      <c r="BR2936" s="319"/>
      <c r="BS2936" s="330"/>
      <c r="BT2936" s="331"/>
      <c r="BU2936" s="920"/>
      <c r="BV2936" s="903"/>
      <c r="BW2936" s="908"/>
      <c r="BX2936" s="908"/>
      <c r="BY2936" s="331"/>
      <c r="BZ2936" s="331"/>
      <c r="CA2936" s="462"/>
      <c r="CB2936" s="319"/>
      <c r="CC2936" s="319"/>
      <c r="CD2936" s="319"/>
      <c r="CE2936" s="319"/>
      <c r="CF2936" s="319"/>
      <c r="CG2936" s="319"/>
      <c r="CH2936" s="318"/>
      <c r="CI2936" s="319"/>
      <c r="CJ2936" s="319"/>
      <c r="CK2936" s="342"/>
      <c r="CL2936" s="333"/>
      <c r="CM2936" s="1079"/>
      <c r="CN2936" s="1005"/>
      <c r="CO2936" s="1005"/>
      <c r="CP2936" s="1005"/>
    </row>
    <row r="2937">
      <c r="A2937" s="1257"/>
      <c r="B2937" s="1113"/>
      <c r="C2937" s="1107"/>
      <c r="D2937" s="103"/>
      <c r="E2937" s="1137"/>
      <c r="F2937" s="112"/>
      <c r="G2937" s="1110"/>
      <c r="H2937" s="1138"/>
      <c r="I2937" s="1138"/>
      <c r="J2937" s="1139"/>
      <c r="K2937" s="1111"/>
      <c r="L2937" s="1112"/>
      <c r="M2937" s="1113"/>
      <c r="N2937" s="110"/>
      <c r="O2937" s="1140"/>
      <c r="P2937" s="1115"/>
      <c r="Q2937" s="1116"/>
      <c r="R2937" s="1141"/>
      <c r="S2937" s="1113"/>
      <c r="T2937" s="1143"/>
      <c r="U2937" s="1108"/>
      <c r="V2937" s="1108"/>
      <c r="W2937" s="1108"/>
      <c r="X2937" s="1108"/>
      <c r="Y2937" s="1108"/>
      <c r="Z2937" s="1114"/>
      <c r="AA2937" s="1114"/>
      <c r="AB2937" s="1114"/>
      <c r="AC2937" s="1117"/>
      <c r="AD2937" s="1115"/>
      <c r="AE2937" s="1115"/>
      <c r="AF2937" s="1115"/>
      <c r="AG2937" s="1115"/>
      <c r="AH2937" s="1115"/>
      <c r="AI2937" s="1115"/>
      <c r="AJ2937" s="1117"/>
      <c r="AK2937" s="1118"/>
      <c r="AL2937" s="1115"/>
      <c r="AM2937" s="1115"/>
      <c r="AN2937" s="1115"/>
      <c r="AO2937" s="1115"/>
      <c r="AP2937" s="1115"/>
      <c r="AQ2937" s="1115"/>
      <c r="AR2937" s="1115"/>
      <c r="AS2937" s="1117"/>
      <c r="AT2937" s="1075"/>
      <c r="AU2937" s="1193"/>
      <c r="AV2937" s="330"/>
      <c r="AW2937" s="331"/>
      <c r="AX2937" s="331"/>
      <c r="AY2937" s="331"/>
      <c r="AZ2937" s="331"/>
      <c r="BA2937" s="331"/>
      <c r="BB2937" s="331"/>
      <c r="BC2937" s="331"/>
      <c r="BD2937" s="331"/>
      <c r="BE2937" s="333"/>
      <c r="BF2937" s="330"/>
      <c r="BG2937" s="333"/>
      <c r="BH2937" s="1119"/>
      <c r="BI2937" s="319"/>
      <c r="BJ2937" s="319"/>
      <c r="BK2937" s="319"/>
      <c r="BL2937" s="319"/>
      <c r="BM2937" s="319"/>
      <c r="BN2937" s="319"/>
      <c r="BO2937" s="319"/>
      <c r="BP2937" s="953"/>
      <c r="BQ2937" s="319"/>
      <c r="BR2937" s="319"/>
      <c r="BS2937" s="330"/>
      <c r="BT2937" s="331"/>
      <c r="BU2937" s="920"/>
      <c r="BV2937" s="903"/>
      <c r="BW2937" s="908"/>
      <c r="BX2937" s="908"/>
      <c r="BY2937" s="331"/>
      <c r="BZ2937" s="331"/>
      <c r="CA2937" s="462"/>
      <c r="CB2937" s="319"/>
      <c r="CC2937" s="319"/>
      <c r="CD2937" s="319"/>
      <c r="CE2937" s="319"/>
      <c r="CF2937" s="319"/>
      <c r="CG2937" s="319"/>
      <c r="CH2937" s="318"/>
      <c r="CI2937" s="319"/>
      <c r="CJ2937" s="319"/>
      <c r="CK2937" s="342"/>
      <c r="CL2937" s="333"/>
      <c r="CM2937" s="1079"/>
      <c r="CN2937" s="1005"/>
      <c r="CO2937" s="1005"/>
      <c r="CP2937" s="1005"/>
    </row>
    <row r="2938">
      <c r="A2938" s="1257"/>
      <c r="B2938" s="1113"/>
      <c r="C2938" s="1107"/>
      <c r="D2938" s="103"/>
      <c r="E2938" s="1137"/>
      <c r="F2938" s="112"/>
      <c r="G2938" s="1110"/>
      <c r="H2938" s="1138"/>
      <c r="I2938" s="1138"/>
      <c r="J2938" s="1139"/>
      <c r="K2938" s="1111"/>
      <c r="L2938" s="1112"/>
      <c r="M2938" s="1113"/>
      <c r="N2938" s="110"/>
      <c r="O2938" s="1140"/>
      <c r="P2938" s="1115"/>
      <c r="Q2938" s="1116"/>
      <c r="R2938" s="1141"/>
      <c r="S2938" s="1113"/>
      <c r="T2938" s="1143"/>
      <c r="U2938" s="1108"/>
      <c r="V2938" s="1108"/>
      <c r="W2938" s="1108"/>
      <c r="X2938" s="1108"/>
      <c r="Y2938" s="1108"/>
      <c r="Z2938" s="1114"/>
      <c r="AA2938" s="1114"/>
      <c r="AB2938" s="1114"/>
      <c r="AC2938" s="1117"/>
      <c r="AD2938" s="1115"/>
      <c r="AE2938" s="1115"/>
      <c r="AF2938" s="1115"/>
      <c r="AG2938" s="1115"/>
      <c r="AH2938" s="1115"/>
      <c r="AI2938" s="1115"/>
      <c r="AJ2938" s="1117"/>
      <c r="AK2938" s="1118"/>
      <c r="AL2938" s="1115"/>
      <c r="AM2938" s="1115"/>
      <c r="AN2938" s="1115"/>
      <c r="AO2938" s="1115"/>
      <c r="AP2938" s="1115"/>
      <c r="AQ2938" s="1115"/>
      <c r="AR2938" s="1115"/>
      <c r="AS2938" s="1117"/>
      <c r="AT2938" s="1075"/>
      <c r="AU2938" s="1193"/>
      <c r="AV2938" s="330"/>
      <c r="AW2938" s="331"/>
      <c r="AX2938" s="331"/>
      <c r="AY2938" s="331"/>
      <c r="AZ2938" s="331"/>
      <c r="BA2938" s="331"/>
      <c r="BB2938" s="331"/>
      <c r="BC2938" s="331"/>
      <c r="BD2938" s="331"/>
      <c r="BE2938" s="333"/>
      <c r="BF2938" s="330"/>
      <c r="BG2938" s="333"/>
      <c r="BH2938" s="1119"/>
      <c r="BI2938" s="319"/>
      <c r="BJ2938" s="319"/>
      <c r="BK2938" s="319"/>
      <c r="BL2938" s="319"/>
      <c r="BM2938" s="319"/>
      <c r="BN2938" s="319"/>
      <c r="BO2938" s="319"/>
      <c r="BP2938" s="953"/>
      <c r="BQ2938" s="319"/>
      <c r="BR2938" s="319"/>
      <c r="BS2938" s="330"/>
      <c r="BT2938" s="331"/>
      <c r="BU2938" s="920"/>
      <c r="BV2938" s="903"/>
      <c r="BW2938" s="908"/>
      <c r="BX2938" s="908"/>
      <c r="BY2938" s="331"/>
      <c r="BZ2938" s="331"/>
      <c r="CA2938" s="462"/>
      <c r="CB2938" s="319"/>
      <c r="CC2938" s="319"/>
      <c r="CD2938" s="319"/>
      <c r="CE2938" s="319"/>
      <c r="CF2938" s="319"/>
      <c r="CG2938" s="319"/>
      <c r="CH2938" s="318"/>
      <c r="CI2938" s="319"/>
      <c r="CJ2938" s="319"/>
      <c r="CK2938" s="342"/>
      <c r="CL2938" s="333"/>
      <c r="CM2938" s="1079"/>
      <c r="CN2938" s="1005"/>
      <c r="CO2938" s="1005"/>
      <c r="CP2938" s="1005"/>
    </row>
    <row r="2939">
      <c r="A2939" s="1257"/>
      <c r="B2939" s="1113"/>
      <c r="C2939" s="1107"/>
      <c r="D2939" s="103"/>
      <c r="E2939" s="1137"/>
      <c r="F2939" s="112"/>
      <c r="G2939" s="1110"/>
      <c r="H2939" s="1138"/>
      <c r="I2939" s="1138"/>
      <c r="J2939" s="1139"/>
      <c r="K2939" s="1111"/>
      <c r="L2939" s="1112"/>
      <c r="M2939" s="1113"/>
      <c r="N2939" s="110"/>
      <c r="O2939" s="1140"/>
      <c r="P2939" s="1115"/>
      <c r="Q2939" s="1116"/>
      <c r="R2939" s="1141"/>
      <c r="S2939" s="1113"/>
      <c r="T2939" s="1143"/>
      <c r="U2939" s="1108"/>
      <c r="V2939" s="1108"/>
      <c r="W2939" s="1108"/>
      <c r="X2939" s="1108"/>
      <c r="Y2939" s="1108"/>
      <c r="Z2939" s="1114"/>
      <c r="AA2939" s="1114"/>
      <c r="AB2939" s="1114"/>
      <c r="AC2939" s="1117"/>
      <c r="AD2939" s="1115"/>
      <c r="AE2939" s="1115"/>
      <c r="AF2939" s="1115"/>
      <c r="AG2939" s="1115"/>
      <c r="AH2939" s="1115"/>
      <c r="AI2939" s="1115"/>
      <c r="AJ2939" s="1117"/>
      <c r="AK2939" s="1118"/>
      <c r="AL2939" s="1115"/>
      <c r="AM2939" s="1115"/>
      <c r="AN2939" s="1115"/>
      <c r="AO2939" s="1115"/>
      <c r="AP2939" s="1115"/>
      <c r="AQ2939" s="1115"/>
      <c r="AR2939" s="1115"/>
      <c r="AS2939" s="1117"/>
      <c r="AT2939" s="1075"/>
      <c r="AU2939" s="1193"/>
      <c r="AV2939" s="330"/>
      <c r="AW2939" s="331"/>
      <c r="AX2939" s="331"/>
      <c r="AY2939" s="331"/>
      <c r="AZ2939" s="331"/>
      <c r="BA2939" s="331"/>
      <c r="BB2939" s="331"/>
      <c r="BC2939" s="331"/>
      <c r="BD2939" s="331"/>
      <c r="BE2939" s="333"/>
      <c r="BF2939" s="330"/>
      <c r="BG2939" s="333"/>
      <c r="BH2939" s="1119"/>
      <c r="BI2939" s="319"/>
      <c r="BJ2939" s="319"/>
      <c r="BK2939" s="319"/>
      <c r="BL2939" s="319"/>
      <c r="BM2939" s="319"/>
      <c r="BN2939" s="319"/>
      <c r="BO2939" s="319"/>
      <c r="BP2939" s="953"/>
      <c r="BQ2939" s="319"/>
      <c r="BR2939" s="319"/>
      <c r="BS2939" s="330"/>
      <c r="BT2939" s="331"/>
      <c r="BU2939" s="920"/>
      <c r="BV2939" s="903"/>
      <c r="BW2939" s="908"/>
      <c r="BX2939" s="908"/>
      <c r="BY2939" s="331"/>
      <c r="BZ2939" s="331"/>
      <c r="CA2939" s="462"/>
      <c r="CB2939" s="319"/>
      <c r="CC2939" s="319"/>
      <c r="CD2939" s="319"/>
      <c r="CE2939" s="319"/>
      <c r="CF2939" s="319"/>
      <c r="CG2939" s="319"/>
      <c r="CH2939" s="318"/>
      <c r="CI2939" s="319"/>
      <c r="CJ2939" s="319"/>
      <c r="CK2939" s="342"/>
      <c r="CL2939" s="333"/>
      <c r="CM2939" s="1079"/>
      <c r="CN2939" s="1005"/>
      <c r="CO2939" s="1005"/>
      <c r="CP2939" s="1005"/>
    </row>
    <row r="2940">
      <c r="A2940" s="1257"/>
      <c r="B2940" s="1113"/>
      <c r="C2940" s="1107"/>
      <c r="D2940" s="103"/>
      <c r="E2940" s="1137"/>
      <c r="F2940" s="112"/>
      <c r="G2940" s="1110"/>
      <c r="H2940" s="1138"/>
      <c r="I2940" s="1138"/>
      <c r="J2940" s="1139"/>
      <c r="K2940" s="1111"/>
      <c r="L2940" s="1112"/>
      <c r="M2940" s="1113"/>
      <c r="N2940" s="110"/>
      <c r="O2940" s="1140"/>
      <c r="P2940" s="1115"/>
      <c r="Q2940" s="1116"/>
      <c r="R2940" s="1141"/>
      <c r="S2940" s="1113"/>
      <c r="T2940" s="1143"/>
      <c r="U2940" s="1108"/>
      <c r="V2940" s="1108"/>
      <c r="W2940" s="1108"/>
      <c r="X2940" s="1108"/>
      <c r="Y2940" s="1108"/>
      <c r="Z2940" s="1114"/>
      <c r="AA2940" s="1114"/>
      <c r="AB2940" s="1114"/>
      <c r="AC2940" s="1117"/>
      <c r="AD2940" s="1115"/>
      <c r="AE2940" s="1115"/>
      <c r="AF2940" s="1115"/>
      <c r="AG2940" s="1115"/>
      <c r="AH2940" s="1115"/>
      <c r="AI2940" s="1115"/>
      <c r="AJ2940" s="1117"/>
      <c r="AK2940" s="1118"/>
      <c r="AL2940" s="1115"/>
      <c r="AM2940" s="1115"/>
      <c r="AN2940" s="1115"/>
      <c r="AO2940" s="1115"/>
      <c r="AP2940" s="1115"/>
      <c r="AQ2940" s="1115"/>
      <c r="AR2940" s="1115"/>
      <c r="AS2940" s="1117"/>
      <c r="AT2940" s="1075"/>
      <c r="AU2940" s="1193"/>
      <c r="AV2940" s="330"/>
      <c r="AW2940" s="331"/>
      <c r="AX2940" s="331"/>
      <c r="AY2940" s="331"/>
      <c r="AZ2940" s="331"/>
      <c r="BA2940" s="331"/>
      <c r="BB2940" s="331"/>
      <c r="BC2940" s="331"/>
      <c r="BD2940" s="331"/>
      <c r="BE2940" s="333"/>
      <c r="BF2940" s="330"/>
      <c r="BG2940" s="333"/>
      <c r="BH2940" s="1119"/>
      <c r="BI2940" s="319"/>
      <c r="BJ2940" s="319"/>
      <c r="BK2940" s="319"/>
      <c r="BL2940" s="319"/>
      <c r="BM2940" s="319"/>
      <c r="BN2940" s="319"/>
      <c r="BO2940" s="319"/>
      <c r="BP2940" s="953"/>
      <c r="BQ2940" s="319"/>
      <c r="BR2940" s="319"/>
      <c r="BS2940" s="330"/>
      <c r="BT2940" s="331"/>
      <c r="BU2940" s="920"/>
      <c r="BV2940" s="903"/>
      <c r="BW2940" s="908"/>
      <c r="BX2940" s="908"/>
      <c r="BY2940" s="331"/>
      <c r="BZ2940" s="331"/>
      <c r="CA2940" s="462"/>
      <c r="CB2940" s="319"/>
      <c r="CC2940" s="319"/>
      <c r="CD2940" s="319"/>
      <c r="CE2940" s="319"/>
      <c r="CF2940" s="319"/>
      <c r="CG2940" s="319"/>
      <c r="CH2940" s="318"/>
      <c r="CI2940" s="319"/>
      <c r="CJ2940" s="319"/>
      <c r="CK2940" s="342"/>
      <c r="CL2940" s="333"/>
      <c r="CM2940" s="1079"/>
      <c r="CN2940" s="1005"/>
      <c r="CO2940" s="1005"/>
      <c r="CP2940" s="1005"/>
    </row>
    <row r="2941">
      <c r="A2941" s="1257"/>
      <c r="B2941" s="1113"/>
      <c r="C2941" s="1107"/>
      <c r="D2941" s="103"/>
      <c r="E2941" s="1137"/>
      <c r="F2941" s="112"/>
      <c r="G2941" s="1110"/>
      <c r="H2941" s="1138"/>
      <c r="I2941" s="1138"/>
      <c r="J2941" s="1139"/>
      <c r="K2941" s="1111"/>
      <c r="L2941" s="1112"/>
      <c r="M2941" s="1113"/>
      <c r="N2941" s="110"/>
      <c r="O2941" s="1140"/>
      <c r="P2941" s="1115"/>
      <c r="Q2941" s="1116"/>
      <c r="R2941" s="1141"/>
      <c r="S2941" s="1113"/>
      <c r="T2941" s="1143"/>
      <c r="U2941" s="1108"/>
      <c r="V2941" s="1108"/>
      <c r="W2941" s="1108"/>
      <c r="X2941" s="1108"/>
      <c r="Y2941" s="1108"/>
      <c r="Z2941" s="1114"/>
      <c r="AA2941" s="1114"/>
      <c r="AB2941" s="1114"/>
      <c r="AC2941" s="1117"/>
      <c r="AD2941" s="1115"/>
      <c r="AE2941" s="1115"/>
      <c r="AF2941" s="1115"/>
      <c r="AG2941" s="1115"/>
      <c r="AH2941" s="1115"/>
      <c r="AI2941" s="1115"/>
      <c r="AJ2941" s="1117"/>
      <c r="AK2941" s="1118"/>
      <c r="AL2941" s="1115"/>
      <c r="AM2941" s="1115"/>
      <c r="AN2941" s="1115"/>
      <c r="AO2941" s="1115"/>
      <c r="AP2941" s="1115"/>
      <c r="AQ2941" s="1115"/>
      <c r="AR2941" s="1115"/>
      <c r="AS2941" s="1117"/>
      <c r="AT2941" s="1075"/>
      <c r="AU2941" s="1193"/>
      <c r="AV2941" s="330"/>
      <c r="AW2941" s="331"/>
      <c r="AX2941" s="331"/>
      <c r="AY2941" s="331"/>
      <c r="AZ2941" s="331"/>
      <c r="BA2941" s="331"/>
      <c r="BB2941" s="331"/>
      <c r="BC2941" s="331"/>
      <c r="BD2941" s="331"/>
      <c r="BE2941" s="333"/>
      <c r="BF2941" s="330"/>
      <c r="BG2941" s="333"/>
      <c r="BH2941" s="1119"/>
      <c r="BI2941" s="319"/>
      <c r="BJ2941" s="319"/>
      <c r="BK2941" s="319"/>
      <c r="BL2941" s="319"/>
      <c r="BM2941" s="319"/>
      <c r="BN2941" s="319"/>
      <c r="BO2941" s="319"/>
      <c r="BP2941" s="953"/>
      <c r="BQ2941" s="319"/>
      <c r="BR2941" s="319"/>
      <c r="BS2941" s="330"/>
      <c r="BT2941" s="331"/>
      <c r="BU2941" s="920"/>
      <c r="BV2941" s="903"/>
      <c r="BW2941" s="908"/>
      <c r="BX2941" s="908"/>
      <c r="BY2941" s="331"/>
      <c r="BZ2941" s="331"/>
      <c r="CA2941" s="462"/>
      <c r="CB2941" s="319"/>
      <c r="CC2941" s="319"/>
      <c r="CD2941" s="319"/>
      <c r="CE2941" s="319"/>
      <c r="CF2941" s="319"/>
      <c r="CG2941" s="319"/>
      <c r="CH2941" s="318"/>
      <c r="CI2941" s="319"/>
      <c r="CJ2941" s="319"/>
      <c r="CK2941" s="342"/>
      <c r="CL2941" s="333"/>
      <c r="CM2941" s="1079"/>
      <c r="CN2941" s="1005"/>
      <c r="CO2941" s="1005"/>
      <c r="CP2941" s="1005"/>
    </row>
    <row r="2942">
      <c r="A2942" s="1257"/>
      <c r="B2942" s="1113"/>
      <c r="C2942" s="1107"/>
      <c r="D2942" s="103"/>
      <c r="E2942" s="1137"/>
      <c r="F2942" s="112"/>
      <c r="G2942" s="1110"/>
      <c r="H2942" s="1138"/>
      <c r="I2942" s="1138"/>
      <c r="J2942" s="1139"/>
      <c r="K2942" s="1111"/>
      <c r="L2942" s="1112"/>
      <c r="M2942" s="1113"/>
      <c r="N2942" s="110"/>
      <c r="O2942" s="1140"/>
      <c r="P2942" s="1115"/>
      <c r="Q2942" s="1116"/>
      <c r="R2942" s="1141"/>
      <c r="S2942" s="1113"/>
      <c r="T2942" s="1143"/>
      <c r="U2942" s="1108"/>
      <c r="V2942" s="1108"/>
      <c r="W2942" s="1108"/>
      <c r="X2942" s="1108"/>
      <c r="Y2942" s="1108"/>
      <c r="Z2942" s="1114"/>
      <c r="AA2942" s="1114"/>
      <c r="AB2942" s="1114"/>
      <c r="AC2942" s="1117"/>
      <c r="AD2942" s="1115"/>
      <c r="AE2942" s="1115"/>
      <c r="AF2942" s="1115"/>
      <c r="AG2942" s="1115"/>
      <c r="AH2942" s="1115"/>
      <c r="AI2942" s="1115"/>
      <c r="AJ2942" s="1117"/>
      <c r="AK2942" s="1118"/>
      <c r="AL2942" s="1115"/>
      <c r="AM2942" s="1115"/>
      <c r="AN2942" s="1115"/>
      <c r="AO2942" s="1115"/>
      <c r="AP2942" s="1115"/>
      <c r="AQ2942" s="1115"/>
      <c r="AR2942" s="1115"/>
      <c r="AS2942" s="1117"/>
      <c r="AT2942" s="1075"/>
      <c r="AU2942" s="1193"/>
      <c r="AV2942" s="330"/>
      <c r="AW2942" s="331"/>
      <c r="AX2942" s="331"/>
      <c r="AY2942" s="331"/>
      <c r="AZ2942" s="331"/>
      <c r="BA2942" s="331"/>
      <c r="BB2942" s="331"/>
      <c r="BC2942" s="331"/>
      <c r="BD2942" s="331"/>
      <c r="BE2942" s="333"/>
      <c r="BF2942" s="330"/>
      <c r="BG2942" s="333"/>
      <c r="BH2942" s="1119"/>
      <c r="BI2942" s="319"/>
      <c r="BJ2942" s="319"/>
      <c r="BK2942" s="319"/>
      <c r="BL2942" s="319"/>
      <c r="BM2942" s="319"/>
      <c r="BN2942" s="319"/>
      <c r="BO2942" s="319"/>
      <c r="BP2942" s="953"/>
      <c r="BQ2942" s="319"/>
      <c r="BR2942" s="319"/>
      <c r="BS2942" s="330"/>
      <c r="BT2942" s="331"/>
      <c r="BU2942" s="920"/>
      <c r="BV2942" s="903"/>
      <c r="BW2942" s="908"/>
      <c r="BX2942" s="908"/>
      <c r="BY2942" s="331"/>
      <c r="BZ2942" s="331"/>
      <c r="CA2942" s="462"/>
      <c r="CB2942" s="319"/>
      <c r="CC2942" s="319"/>
      <c r="CD2942" s="319"/>
      <c r="CE2942" s="319"/>
      <c r="CF2942" s="319"/>
      <c r="CG2942" s="319"/>
      <c r="CH2942" s="318"/>
      <c r="CI2942" s="319"/>
      <c r="CJ2942" s="319"/>
      <c r="CK2942" s="342"/>
      <c r="CL2942" s="333"/>
      <c r="CM2942" s="1079"/>
      <c r="CN2942" s="1005"/>
      <c r="CO2942" s="1005"/>
      <c r="CP2942" s="1005"/>
    </row>
    <row r="2943">
      <c r="A2943" s="1257"/>
      <c r="B2943" s="1113"/>
      <c r="C2943" s="1107"/>
      <c r="D2943" s="103"/>
      <c r="E2943" s="1137"/>
      <c r="F2943" s="112"/>
      <c r="G2943" s="1110"/>
      <c r="H2943" s="1138"/>
      <c r="I2943" s="1138"/>
      <c r="J2943" s="1139"/>
      <c r="K2943" s="1111"/>
      <c r="L2943" s="1112"/>
      <c r="M2943" s="1113"/>
      <c r="N2943" s="110"/>
      <c r="O2943" s="1140"/>
      <c r="P2943" s="1115"/>
      <c r="Q2943" s="1116"/>
      <c r="R2943" s="1141"/>
      <c r="S2943" s="1113"/>
      <c r="T2943" s="1143"/>
      <c r="U2943" s="1108"/>
      <c r="V2943" s="1108"/>
      <c r="W2943" s="1108"/>
      <c r="X2943" s="1108"/>
      <c r="Y2943" s="1108"/>
      <c r="Z2943" s="1114"/>
      <c r="AA2943" s="1114"/>
      <c r="AB2943" s="1114"/>
      <c r="AC2943" s="1117"/>
      <c r="AD2943" s="1115"/>
      <c r="AE2943" s="1115"/>
      <c r="AF2943" s="1115"/>
      <c r="AG2943" s="1115"/>
      <c r="AH2943" s="1115"/>
      <c r="AI2943" s="1115"/>
      <c r="AJ2943" s="1117"/>
      <c r="AK2943" s="1118"/>
      <c r="AL2943" s="1115"/>
      <c r="AM2943" s="1115"/>
      <c r="AN2943" s="1115"/>
      <c r="AO2943" s="1115"/>
      <c r="AP2943" s="1115"/>
      <c r="AQ2943" s="1115"/>
      <c r="AR2943" s="1115"/>
      <c r="AS2943" s="1117"/>
      <c r="AT2943" s="1075"/>
      <c r="AU2943" s="1193"/>
      <c r="AV2943" s="330"/>
      <c r="AW2943" s="331"/>
      <c r="AX2943" s="331"/>
      <c r="AY2943" s="331"/>
      <c r="AZ2943" s="331"/>
      <c r="BA2943" s="331"/>
      <c r="BB2943" s="331"/>
      <c r="BC2943" s="331"/>
      <c r="BD2943" s="331"/>
      <c r="BE2943" s="333"/>
      <c r="BF2943" s="330"/>
      <c r="BG2943" s="333"/>
      <c r="BH2943" s="1119"/>
      <c r="BI2943" s="319"/>
      <c r="BJ2943" s="319"/>
      <c r="BK2943" s="319"/>
      <c r="BL2943" s="319"/>
      <c r="BM2943" s="319"/>
      <c r="BN2943" s="319"/>
      <c r="BO2943" s="319"/>
      <c r="BP2943" s="953"/>
      <c r="BQ2943" s="319"/>
      <c r="BR2943" s="319"/>
      <c r="BS2943" s="330"/>
      <c r="BT2943" s="331"/>
      <c r="BU2943" s="920"/>
      <c r="BV2943" s="903"/>
      <c r="BW2943" s="908"/>
      <c r="BX2943" s="908"/>
      <c r="BY2943" s="331"/>
      <c r="BZ2943" s="331"/>
      <c r="CA2943" s="462"/>
      <c r="CB2943" s="319"/>
      <c r="CC2943" s="319"/>
      <c r="CD2943" s="319"/>
      <c r="CE2943" s="319"/>
      <c r="CF2943" s="319"/>
      <c r="CG2943" s="319"/>
      <c r="CH2943" s="318"/>
      <c r="CI2943" s="319"/>
      <c r="CJ2943" s="319"/>
      <c r="CK2943" s="342"/>
      <c r="CL2943" s="333"/>
      <c r="CM2943" s="1079"/>
      <c r="CN2943" s="1005"/>
      <c r="CO2943" s="1005"/>
      <c r="CP2943" s="1005"/>
    </row>
    <row r="2944">
      <c r="A2944" s="1257"/>
      <c r="B2944" s="1113"/>
      <c r="C2944" s="1107"/>
      <c r="D2944" s="103"/>
      <c r="E2944" s="1137"/>
      <c r="F2944" s="112"/>
      <c r="G2944" s="1110"/>
      <c r="H2944" s="1138"/>
      <c r="I2944" s="1138"/>
      <c r="J2944" s="1139"/>
      <c r="K2944" s="1111"/>
      <c r="L2944" s="1112"/>
      <c r="M2944" s="1113"/>
      <c r="N2944" s="110"/>
      <c r="O2944" s="1140"/>
      <c r="P2944" s="1115"/>
      <c r="Q2944" s="1116"/>
      <c r="R2944" s="1141"/>
      <c r="S2944" s="1113"/>
      <c r="T2944" s="1143"/>
      <c r="U2944" s="1108"/>
      <c r="V2944" s="1108"/>
      <c r="W2944" s="1108"/>
      <c r="X2944" s="1108"/>
      <c r="Y2944" s="1108"/>
      <c r="Z2944" s="1114"/>
      <c r="AA2944" s="1114"/>
      <c r="AB2944" s="1114"/>
      <c r="AC2944" s="1117"/>
      <c r="AD2944" s="1115"/>
      <c r="AE2944" s="1115"/>
      <c r="AF2944" s="1115"/>
      <c r="AG2944" s="1115"/>
      <c r="AH2944" s="1115"/>
      <c r="AI2944" s="1115"/>
      <c r="AJ2944" s="1117"/>
      <c r="AK2944" s="1118"/>
      <c r="AL2944" s="1115"/>
      <c r="AM2944" s="1115"/>
      <c r="AN2944" s="1115"/>
      <c r="AO2944" s="1115"/>
      <c r="AP2944" s="1115"/>
      <c r="AQ2944" s="1115"/>
      <c r="AR2944" s="1115"/>
      <c r="AS2944" s="1117"/>
      <c r="AT2944" s="1075"/>
      <c r="AU2944" s="1193"/>
      <c r="AV2944" s="330"/>
      <c r="AW2944" s="331"/>
      <c r="AX2944" s="331"/>
      <c r="AY2944" s="331"/>
      <c r="AZ2944" s="331"/>
      <c r="BA2944" s="331"/>
      <c r="BB2944" s="331"/>
      <c r="BC2944" s="331"/>
      <c r="BD2944" s="331"/>
      <c r="BE2944" s="333"/>
      <c r="BF2944" s="330"/>
      <c r="BG2944" s="333"/>
      <c r="BH2944" s="1119"/>
      <c r="BI2944" s="319"/>
      <c r="BJ2944" s="319"/>
      <c r="BK2944" s="319"/>
      <c r="BL2944" s="319"/>
      <c r="BM2944" s="319"/>
      <c r="BN2944" s="319"/>
      <c r="BO2944" s="319"/>
      <c r="BP2944" s="953"/>
      <c r="BQ2944" s="319"/>
      <c r="BR2944" s="319"/>
      <c r="BS2944" s="330"/>
      <c r="BT2944" s="331"/>
      <c r="BU2944" s="920"/>
      <c r="BV2944" s="903"/>
      <c r="BW2944" s="908"/>
      <c r="BX2944" s="908"/>
      <c r="BY2944" s="331"/>
      <c r="BZ2944" s="331"/>
      <c r="CA2944" s="462"/>
      <c r="CB2944" s="319"/>
      <c r="CC2944" s="319"/>
      <c r="CD2944" s="319"/>
      <c r="CE2944" s="319"/>
      <c r="CF2944" s="319"/>
      <c r="CG2944" s="319"/>
      <c r="CH2944" s="318"/>
      <c r="CI2944" s="319"/>
      <c r="CJ2944" s="319"/>
      <c r="CK2944" s="342"/>
      <c r="CL2944" s="333"/>
      <c r="CM2944" s="1079"/>
      <c r="CN2944" s="1005"/>
      <c r="CO2944" s="1005"/>
      <c r="CP2944" s="1005"/>
    </row>
    <row r="2945">
      <c r="A2945" s="1257"/>
      <c r="B2945" s="1113"/>
      <c r="C2945" s="1107"/>
      <c r="D2945" s="103"/>
      <c r="E2945" s="1137"/>
      <c r="F2945" s="112"/>
      <c r="G2945" s="1110"/>
      <c r="H2945" s="1138"/>
      <c r="I2945" s="1138"/>
      <c r="J2945" s="1139"/>
      <c r="K2945" s="1111"/>
      <c r="L2945" s="1112"/>
      <c r="M2945" s="1113"/>
      <c r="N2945" s="110"/>
      <c r="O2945" s="1140"/>
      <c r="P2945" s="1115"/>
      <c r="Q2945" s="1116"/>
      <c r="R2945" s="1141"/>
      <c r="S2945" s="1113"/>
      <c r="T2945" s="1143"/>
      <c r="U2945" s="1108"/>
      <c r="V2945" s="1108"/>
      <c r="W2945" s="1108"/>
      <c r="X2945" s="1108"/>
      <c r="Y2945" s="1108"/>
      <c r="Z2945" s="1114"/>
      <c r="AA2945" s="1114"/>
      <c r="AB2945" s="1114"/>
      <c r="AC2945" s="1117"/>
      <c r="AD2945" s="1115"/>
      <c r="AE2945" s="1115"/>
      <c r="AF2945" s="1115"/>
      <c r="AG2945" s="1115"/>
      <c r="AH2945" s="1115"/>
      <c r="AI2945" s="1115"/>
      <c r="AJ2945" s="1117"/>
      <c r="AK2945" s="1118"/>
      <c r="AL2945" s="1115"/>
      <c r="AM2945" s="1115"/>
      <c r="AN2945" s="1115"/>
      <c r="AO2945" s="1115"/>
      <c r="AP2945" s="1115"/>
      <c r="AQ2945" s="1115"/>
      <c r="AR2945" s="1115"/>
      <c r="AS2945" s="1117"/>
      <c r="AT2945" s="1075"/>
      <c r="AU2945" s="1193"/>
      <c r="AV2945" s="330"/>
      <c r="AW2945" s="331"/>
      <c r="AX2945" s="331"/>
      <c r="AY2945" s="331"/>
      <c r="AZ2945" s="331"/>
      <c r="BA2945" s="331"/>
      <c r="BB2945" s="331"/>
      <c r="BC2945" s="331"/>
      <c r="BD2945" s="331"/>
      <c r="BE2945" s="333"/>
      <c r="BF2945" s="330"/>
      <c r="BG2945" s="333"/>
      <c r="BH2945" s="1119"/>
      <c r="BI2945" s="319"/>
      <c r="BJ2945" s="319"/>
      <c r="BK2945" s="319"/>
      <c r="BL2945" s="319"/>
      <c r="BM2945" s="319"/>
      <c r="BN2945" s="319"/>
      <c r="BO2945" s="319"/>
      <c r="BP2945" s="953"/>
      <c r="BQ2945" s="319"/>
      <c r="BR2945" s="319"/>
      <c r="BS2945" s="330"/>
      <c r="BT2945" s="331"/>
      <c r="BU2945" s="920"/>
      <c r="BV2945" s="903"/>
      <c r="BW2945" s="908"/>
      <c r="BX2945" s="908"/>
      <c r="BY2945" s="331"/>
      <c r="BZ2945" s="331"/>
      <c r="CA2945" s="462"/>
      <c r="CB2945" s="319"/>
      <c r="CC2945" s="319"/>
      <c r="CD2945" s="319"/>
      <c r="CE2945" s="319"/>
      <c r="CF2945" s="319"/>
      <c r="CG2945" s="319"/>
      <c r="CH2945" s="318"/>
      <c r="CI2945" s="319"/>
      <c r="CJ2945" s="319"/>
      <c r="CK2945" s="342"/>
      <c r="CL2945" s="333"/>
      <c r="CM2945" s="1079"/>
      <c r="CN2945" s="1005"/>
      <c r="CO2945" s="1005"/>
      <c r="CP2945" s="1005"/>
    </row>
    <row r="2946">
      <c r="A2946" s="1257"/>
      <c r="B2946" s="1113"/>
      <c r="C2946" s="1107"/>
      <c r="D2946" s="103"/>
      <c r="E2946" s="1137"/>
      <c r="F2946" s="112"/>
      <c r="G2946" s="1110"/>
      <c r="H2946" s="1138"/>
      <c r="I2946" s="1138"/>
      <c r="J2946" s="1139"/>
      <c r="K2946" s="1111"/>
      <c r="L2946" s="1112"/>
      <c r="M2946" s="1113"/>
      <c r="N2946" s="110"/>
      <c r="O2946" s="1140"/>
      <c r="P2946" s="1115"/>
      <c r="Q2946" s="1116"/>
      <c r="R2946" s="1141"/>
      <c r="S2946" s="1113"/>
      <c r="T2946" s="1143"/>
      <c r="U2946" s="1108"/>
      <c r="V2946" s="1108"/>
      <c r="W2946" s="1108"/>
      <c r="X2946" s="1108"/>
      <c r="Y2946" s="1108"/>
      <c r="Z2946" s="1114"/>
      <c r="AA2946" s="1114"/>
      <c r="AB2946" s="1114"/>
      <c r="AC2946" s="1117"/>
      <c r="AD2946" s="1115"/>
      <c r="AE2946" s="1115"/>
      <c r="AF2946" s="1115"/>
      <c r="AG2946" s="1115"/>
      <c r="AH2946" s="1115"/>
      <c r="AI2946" s="1115"/>
      <c r="AJ2946" s="1117"/>
      <c r="AK2946" s="1118"/>
      <c r="AL2946" s="1115"/>
      <c r="AM2946" s="1115"/>
      <c r="AN2946" s="1115"/>
      <c r="AO2946" s="1115"/>
      <c r="AP2946" s="1115"/>
      <c r="AQ2946" s="1115"/>
      <c r="AR2946" s="1115"/>
      <c r="AS2946" s="1117"/>
      <c r="AT2946" s="1075"/>
      <c r="AU2946" s="1193"/>
      <c r="AV2946" s="330"/>
      <c r="AW2946" s="331"/>
      <c r="AX2946" s="331"/>
      <c r="AY2946" s="331"/>
      <c r="AZ2946" s="331"/>
      <c r="BA2946" s="331"/>
      <c r="BB2946" s="331"/>
      <c r="BC2946" s="331"/>
      <c r="BD2946" s="331"/>
      <c r="BE2946" s="333"/>
      <c r="BF2946" s="330"/>
      <c r="BG2946" s="333"/>
      <c r="BH2946" s="1119"/>
      <c r="BI2946" s="319"/>
      <c r="BJ2946" s="319"/>
      <c r="BK2946" s="319"/>
      <c r="BL2946" s="319"/>
      <c r="BM2946" s="319"/>
      <c r="BN2946" s="319"/>
      <c r="BO2946" s="319"/>
      <c r="BP2946" s="953"/>
      <c r="BQ2946" s="319"/>
      <c r="BR2946" s="319"/>
      <c r="BS2946" s="330"/>
      <c r="BT2946" s="331"/>
      <c r="BU2946" s="920"/>
      <c r="BV2946" s="903"/>
      <c r="BW2946" s="908"/>
      <c r="BX2946" s="908"/>
      <c r="BY2946" s="331"/>
      <c r="BZ2946" s="331"/>
      <c r="CA2946" s="462"/>
      <c r="CB2946" s="319"/>
      <c r="CC2946" s="319"/>
      <c r="CD2946" s="319"/>
      <c r="CE2946" s="319"/>
      <c r="CF2946" s="319"/>
      <c r="CG2946" s="319"/>
      <c r="CH2946" s="318"/>
      <c r="CI2946" s="319"/>
      <c r="CJ2946" s="319"/>
      <c r="CK2946" s="342"/>
      <c r="CL2946" s="333"/>
      <c r="CM2946" s="1079"/>
      <c r="CN2946" s="1005"/>
      <c r="CO2946" s="1005"/>
      <c r="CP2946" s="1005"/>
    </row>
    <row r="2947">
      <c r="A2947" s="1257"/>
      <c r="B2947" s="1113"/>
      <c r="C2947" s="1107"/>
      <c r="D2947" s="103"/>
      <c r="E2947" s="1137"/>
      <c r="F2947" s="112"/>
      <c r="G2947" s="1110"/>
      <c r="H2947" s="1138"/>
      <c r="I2947" s="1138"/>
      <c r="J2947" s="1139"/>
      <c r="K2947" s="1111"/>
      <c r="L2947" s="1112"/>
      <c r="M2947" s="1113"/>
      <c r="N2947" s="110"/>
      <c r="O2947" s="1140"/>
      <c r="P2947" s="1115"/>
      <c r="Q2947" s="1116"/>
      <c r="R2947" s="1141"/>
      <c r="S2947" s="1113"/>
      <c r="T2947" s="1143"/>
      <c r="U2947" s="1108"/>
      <c r="V2947" s="1108"/>
      <c r="W2947" s="1108"/>
      <c r="X2947" s="1108"/>
      <c r="Y2947" s="1108"/>
      <c r="Z2947" s="1114"/>
      <c r="AA2947" s="1114"/>
      <c r="AB2947" s="1114"/>
      <c r="AC2947" s="1117"/>
      <c r="AD2947" s="1115"/>
      <c r="AE2947" s="1115"/>
      <c r="AF2947" s="1115"/>
      <c r="AG2947" s="1115"/>
      <c r="AH2947" s="1115"/>
      <c r="AI2947" s="1115"/>
      <c r="AJ2947" s="1117"/>
      <c r="AK2947" s="1118"/>
      <c r="AL2947" s="1115"/>
      <c r="AM2947" s="1115"/>
      <c r="AN2947" s="1115"/>
      <c r="AO2947" s="1115"/>
      <c r="AP2947" s="1115"/>
      <c r="AQ2947" s="1115"/>
      <c r="AR2947" s="1115"/>
      <c r="AS2947" s="1117"/>
      <c r="AT2947" s="1075"/>
      <c r="AU2947" s="1193"/>
      <c r="AV2947" s="330"/>
      <c r="AW2947" s="331"/>
      <c r="AX2947" s="331"/>
      <c r="AY2947" s="331"/>
      <c r="AZ2947" s="331"/>
      <c r="BA2947" s="331"/>
      <c r="BB2947" s="331"/>
      <c r="BC2947" s="331"/>
      <c r="BD2947" s="331"/>
      <c r="BE2947" s="333"/>
      <c r="BF2947" s="330"/>
      <c r="BG2947" s="333"/>
      <c r="BH2947" s="1119"/>
      <c r="BI2947" s="319"/>
      <c r="BJ2947" s="319"/>
      <c r="BK2947" s="319"/>
      <c r="BL2947" s="319"/>
      <c r="BM2947" s="319"/>
      <c r="BN2947" s="319"/>
      <c r="BO2947" s="319"/>
      <c r="BP2947" s="953"/>
      <c r="BQ2947" s="319"/>
      <c r="BR2947" s="319"/>
      <c r="BS2947" s="330"/>
      <c r="BT2947" s="331"/>
      <c r="BU2947" s="920"/>
      <c r="BV2947" s="903"/>
      <c r="BW2947" s="908"/>
      <c r="BX2947" s="908"/>
      <c r="BY2947" s="331"/>
      <c r="BZ2947" s="331"/>
      <c r="CA2947" s="462"/>
      <c r="CB2947" s="319"/>
      <c r="CC2947" s="319"/>
      <c r="CD2947" s="319"/>
      <c r="CE2947" s="319"/>
      <c r="CF2947" s="319"/>
      <c r="CG2947" s="319"/>
      <c r="CH2947" s="318"/>
      <c r="CI2947" s="319"/>
      <c r="CJ2947" s="319"/>
      <c r="CK2947" s="342"/>
      <c r="CL2947" s="333"/>
      <c r="CM2947" s="1079"/>
      <c r="CN2947" s="1005"/>
      <c r="CO2947" s="1005"/>
      <c r="CP2947" s="1005"/>
    </row>
    <row r="2948">
      <c r="A2948" s="1257"/>
      <c r="B2948" s="1113"/>
      <c r="C2948" s="1107"/>
      <c r="D2948" s="103"/>
      <c r="E2948" s="1137"/>
      <c r="F2948" s="112"/>
      <c r="G2948" s="1110"/>
      <c r="H2948" s="1138"/>
      <c r="I2948" s="1138"/>
      <c r="J2948" s="1139"/>
      <c r="K2948" s="1111"/>
      <c r="L2948" s="1112"/>
      <c r="M2948" s="1113"/>
      <c r="N2948" s="110"/>
      <c r="O2948" s="1140"/>
      <c r="P2948" s="1115"/>
      <c r="Q2948" s="1116"/>
      <c r="R2948" s="1141"/>
      <c r="S2948" s="1113"/>
      <c r="T2948" s="1143"/>
      <c r="U2948" s="1108"/>
      <c r="V2948" s="1108"/>
      <c r="W2948" s="1108"/>
      <c r="X2948" s="1108"/>
      <c r="Y2948" s="1108"/>
      <c r="Z2948" s="1114"/>
      <c r="AA2948" s="1114"/>
      <c r="AB2948" s="1114"/>
      <c r="AC2948" s="1117"/>
      <c r="AD2948" s="1115"/>
      <c r="AE2948" s="1115"/>
      <c r="AF2948" s="1115"/>
      <c r="AG2948" s="1115"/>
      <c r="AH2948" s="1115"/>
      <c r="AI2948" s="1115"/>
      <c r="AJ2948" s="1117"/>
      <c r="AK2948" s="1118"/>
      <c r="AL2948" s="1115"/>
      <c r="AM2948" s="1115"/>
      <c r="AN2948" s="1115"/>
      <c r="AO2948" s="1115"/>
      <c r="AP2948" s="1115"/>
      <c r="AQ2948" s="1115"/>
      <c r="AR2948" s="1115"/>
      <c r="AS2948" s="1117"/>
      <c r="AT2948" s="1075"/>
      <c r="AU2948" s="1193"/>
      <c r="AV2948" s="330"/>
      <c r="AW2948" s="331"/>
      <c r="AX2948" s="331"/>
      <c r="AY2948" s="331"/>
      <c r="AZ2948" s="331"/>
      <c r="BA2948" s="331"/>
      <c r="BB2948" s="331"/>
      <c r="BC2948" s="331"/>
      <c r="BD2948" s="331"/>
      <c r="BE2948" s="333"/>
      <c r="BF2948" s="330"/>
      <c r="BG2948" s="333"/>
      <c r="BH2948" s="1119"/>
      <c r="BI2948" s="319"/>
      <c r="BJ2948" s="319"/>
      <c r="BK2948" s="319"/>
      <c r="BL2948" s="319"/>
      <c r="BM2948" s="319"/>
      <c r="BN2948" s="319"/>
      <c r="BO2948" s="319"/>
      <c r="BP2948" s="953"/>
      <c r="BQ2948" s="319"/>
      <c r="BR2948" s="319"/>
      <c r="BS2948" s="330"/>
      <c r="BT2948" s="331"/>
      <c r="BU2948" s="920"/>
      <c r="BV2948" s="903"/>
      <c r="BW2948" s="908"/>
      <c r="BX2948" s="908"/>
      <c r="BY2948" s="331"/>
      <c r="BZ2948" s="331"/>
      <c r="CA2948" s="462"/>
      <c r="CB2948" s="319"/>
      <c r="CC2948" s="319"/>
      <c r="CD2948" s="319"/>
      <c r="CE2948" s="319"/>
      <c r="CF2948" s="319"/>
      <c r="CG2948" s="319"/>
      <c r="CH2948" s="318"/>
      <c r="CI2948" s="319"/>
      <c r="CJ2948" s="319"/>
      <c r="CK2948" s="342"/>
      <c r="CL2948" s="333"/>
      <c r="CM2948" s="1079"/>
      <c r="CN2948" s="1005"/>
      <c r="CO2948" s="1005"/>
      <c r="CP2948" s="1005"/>
    </row>
    <row r="2949">
      <c r="A2949" s="1257"/>
      <c r="B2949" s="1113"/>
      <c r="C2949" s="1107"/>
      <c r="D2949" s="103"/>
      <c r="E2949" s="1137"/>
      <c r="F2949" s="112"/>
      <c r="G2949" s="1110"/>
      <c r="H2949" s="1138"/>
      <c r="I2949" s="1138"/>
      <c r="J2949" s="1139"/>
      <c r="K2949" s="1111"/>
      <c r="L2949" s="1112"/>
      <c r="M2949" s="1113"/>
      <c r="N2949" s="110"/>
      <c r="O2949" s="1140"/>
      <c r="P2949" s="1115"/>
      <c r="Q2949" s="1116"/>
      <c r="R2949" s="1141"/>
      <c r="S2949" s="1113"/>
      <c r="T2949" s="1143"/>
      <c r="U2949" s="1108"/>
      <c r="V2949" s="1108"/>
      <c r="W2949" s="1108"/>
      <c r="X2949" s="1108"/>
      <c r="Y2949" s="1108"/>
      <c r="Z2949" s="1114"/>
      <c r="AA2949" s="1114"/>
      <c r="AB2949" s="1114"/>
      <c r="AC2949" s="1117"/>
      <c r="AD2949" s="1115"/>
      <c r="AE2949" s="1115"/>
      <c r="AF2949" s="1115"/>
      <c r="AG2949" s="1115"/>
      <c r="AH2949" s="1115"/>
      <c r="AI2949" s="1115"/>
      <c r="AJ2949" s="1117"/>
      <c r="AK2949" s="1118"/>
      <c r="AL2949" s="1115"/>
      <c r="AM2949" s="1115"/>
      <c r="AN2949" s="1115"/>
      <c r="AO2949" s="1115"/>
      <c r="AP2949" s="1115"/>
      <c r="AQ2949" s="1115"/>
      <c r="AR2949" s="1115"/>
      <c r="AS2949" s="1117"/>
      <c r="AT2949" s="1075"/>
      <c r="AU2949" s="1193"/>
      <c r="AV2949" s="330"/>
      <c r="AW2949" s="331"/>
      <c r="AX2949" s="331"/>
      <c r="AY2949" s="331"/>
      <c r="AZ2949" s="331"/>
      <c r="BA2949" s="331"/>
      <c r="BB2949" s="331"/>
      <c r="BC2949" s="331"/>
      <c r="BD2949" s="331"/>
      <c r="BE2949" s="333"/>
      <c r="BF2949" s="330"/>
      <c r="BG2949" s="333"/>
      <c r="BH2949" s="1119"/>
      <c r="BI2949" s="319"/>
      <c r="BJ2949" s="319"/>
      <c r="BK2949" s="319"/>
      <c r="BL2949" s="319"/>
      <c r="BM2949" s="319"/>
      <c r="BN2949" s="319"/>
      <c r="BO2949" s="319"/>
      <c r="BP2949" s="953"/>
      <c r="BQ2949" s="319"/>
      <c r="BR2949" s="319"/>
      <c r="BS2949" s="330"/>
      <c r="BT2949" s="331"/>
      <c r="BU2949" s="920"/>
      <c r="BV2949" s="903"/>
      <c r="BW2949" s="908"/>
      <c r="BX2949" s="908"/>
      <c r="BY2949" s="331"/>
      <c r="BZ2949" s="331"/>
      <c r="CA2949" s="462"/>
      <c r="CB2949" s="319"/>
      <c r="CC2949" s="319"/>
      <c r="CD2949" s="319"/>
      <c r="CE2949" s="319"/>
      <c r="CF2949" s="319"/>
      <c r="CG2949" s="319"/>
      <c r="CH2949" s="318"/>
      <c r="CI2949" s="319"/>
      <c r="CJ2949" s="319"/>
      <c r="CK2949" s="342"/>
      <c r="CL2949" s="333"/>
      <c r="CM2949" s="1079"/>
      <c r="CN2949" s="1005"/>
      <c r="CO2949" s="1005"/>
      <c r="CP2949" s="1005"/>
    </row>
    <row r="2950">
      <c r="A2950" s="1257"/>
      <c r="B2950" s="1113"/>
      <c r="C2950" s="1107"/>
      <c r="D2950" s="103"/>
      <c r="E2950" s="1137"/>
      <c r="F2950" s="112"/>
      <c r="G2950" s="1110"/>
      <c r="H2950" s="1138"/>
      <c r="I2950" s="1138"/>
      <c r="J2950" s="1139"/>
      <c r="K2950" s="1111"/>
      <c r="L2950" s="1112"/>
      <c r="M2950" s="1113"/>
      <c r="N2950" s="110"/>
      <c r="O2950" s="1140"/>
      <c r="P2950" s="1115"/>
      <c r="Q2950" s="1116"/>
      <c r="R2950" s="1141"/>
      <c r="S2950" s="1113"/>
      <c r="T2950" s="1143"/>
      <c r="U2950" s="1108"/>
      <c r="V2950" s="1108"/>
      <c r="W2950" s="1108"/>
      <c r="X2950" s="1108"/>
      <c r="Y2950" s="1108"/>
      <c r="Z2950" s="1114"/>
      <c r="AA2950" s="1114"/>
      <c r="AB2950" s="1114"/>
      <c r="AC2950" s="1117"/>
      <c r="AD2950" s="1115"/>
      <c r="AE2950" s="1115"/>
      <c r="AF2950" s="1115"/>
      <c r="AG2950" s="1115"/>
      <c r="AH2950" s="1115"/>
      <c r="AI2950" s="1115"/>
      <c r="AJ2950" s="1117"/>
      <c r="AK2950" s="1118"/>
      <c r="AL2950" s="1115"/>
      <c r="AM2950" s="1115"/>
      <c r="AN2950" s="1115"/>
      <c r="AO2950" s="1115"/>
      <c r="AP2950" s="1115"/>
      <c r="AQ2950" s="1115"/>
      <c r="AR2950" s="1115"/>
      <c r="AS2950" s="1117"/>
      <c r="AT2950" s="1075"/>
      <c r="AU2950" s="1193"/>
      <c r="AV2950" s="330"/>
      <c r="AW2950" s="331"/>
      <c r="AX2950" s="331"/>
      <c r="AY2950" s="331"/>
      <c r="AZ2950" s="331"/>
      <c r="BA2950" s="331"/>
      <c r="BB2950" s="331"/>
      <c r="BC2950" s="331"/>
      <c r="BD2950" s="331"/>
      <c r="BE2950" s="333"/>
      <c r="BF2950" s="330"/>
      <c r="BG2950" s="333"/>
      <c r="BH2950" s="1119"/>
      <c r="BI2950" s="319"/>
      <c r="BJ2950" s="319"/>
      <c r="BK2950" s="319"/>
      <c r="BL2950" s="319"/>
      <c r="BM2950" s="319"/>
      <c r="BN2950" s="319"/>
      <c r="BO2950" s="319"/>
      <c r="BP2950" s="953"/>
      <c r="BQ2950" s="319"/>
      <c r="BR2950" s="319"/>
      <c r="BS2950" s="330"/>
      <c r="BT2950" s="331"/>
      <c r="BU2950" s="920"/>
      <c r="BV2950" s="903"/>
      <c r="BW2950" s="908"/>
      <c r="BX2950" s="908"/>
      <c r="BY2950" s="331"/>
      <c r="BZ2950" s="331"/>
      <c r="CA2950" s="462"/>
      <c r="CB2950" s="319"/>
      <c r="CC2950" s="319"/>
      <c r="CD2950" s="319"/>
      <c r="CE2950" s="319"/>
      <c r="CF2950" s="319"/>
      <c r="CG2950" s="319"/>
      <c r="CH2950" s="318"/>
      <c r="CI2950" s="319"/>
      <c r="CJ2950" s="319"/>
      <c r="CK2950" s="342"/>
      <c r="CL2950" s="333"/>
      <c r="CM2950" s="1079"/>
      <c r="CN2950" s="1005"/>
      <c r="CO2950" s="1005"/>
      <c r="CP2950" s="1005"/>
    </row>
    <row r="2951">
      <c r="A2951" s="1257"/>
      <c r="B2951" s="1113"/>
      <c r="C2951" s="1107"/>
      <c r="D2951" s="103"/>
      <c r="E2951" s="1137"/>
      <c r="F2951" s="112"/>
      <c r="G2951" s="1110"/>
      <c r="H2951" s="1138"/>
      <c r="I2951" s="1138"/>
      <c r="J2951" s="1139"/>
      <c r="K2951" s="1111"/>
      <c r="L2951" s="1112"/>
      <c r="M2951" s="1113"/>
      <c r="N2951" s="110"/>
      <c r="O2951" s="1140"/>
      <c r="P2951" s="1115"/>
      <c r="Q2951" s="1116"/>
      <c r="R2951" s="1141"/>
      <c r="S2951" s="1113"/>
      <c r="T2951" s="1143"/>
      <c r="U2951" s="1108"/>
      <c r="V2951" s="1108"/>
      <c r="W2951" s="1108"/>
      <c r="X2951" s="1108"/>
      <c r="Y2951" s="1108"/>
      <c r="Z2951" s="1114"/>
      <c r="AA2951" s="1114"/>
      <c r="AB2951" s="1114"/>
      <c r="AC2951" s="1117"/>
      <c r="AD2951" s="1115"/>
      <c r="AE2951" s="1115"/>
      <c r="AF2951" s="1115"/>
      <c r="AG2951" s="1115"/>
      <c r="AH2951" s="1115"/>
      <c r="AI2951" s="1115"/>
      <c r="AJ2951" s="1117"/>
      <c r="AK2951" s="1118"/>
      <c r="AL2951" s="1115"/>
      <c r="AM2951" s="1115"/>
      <c r="AN2951" s="1115"/>
      <c r="AO2951" s="1115"/>
      <c r="AP2951" s="1115"/>
      <c r="AQ2951" s="1115"/>
      <c r="AR2951" s="1115"/>
      <c r="AS2951" s="1117"/>
      <c r="AT2951" s="1075"/>
      <c r="AU2951" s="1193"/>
      <c r="AV2951" s="330"/>
      <c r="AW2951" s="331"/>
      <c r="AX2951" s="331"/>
      <c r="AY2951" s="331"/>
      <c r="AZ2951" s="331"/>
      <c r="BA2951" s="331"/>
      <c r="BB2951" s="331"/>
      <c r="BC2951" s="331"/>
      <c r="BD2951" s="331"/>
      <c r="BE2951" s="333"/>
      <c r="BF2951" s="330"/>
      <c r="BG2951" s="333"/>
      <c r="BH2951" s="1119"/>
      <c r="BI2951" s="319"/>
      <c r="BJ2951" s="319"/>
      <c r="BK2951" s="319"/>
      <c r="BL2951" s="319"/>
      <c r="BM2951" s="319"/>
      <c r="BN2951" s="319"/>
      <c r="BO2951" s="319"/>
      <c r="BP2951" s="953"/>
      <c r="BQ2951" s="319"/>
      <c r="BR2951" s="319"/>
      <c r="BS2951" s="330"/>
      <c r="BT2951" s="331"/>
      <c r="BU2951" s="920"/>
      <c r="BV2951" s="903"/>
      <c r="BW2951" s="908"/>
      <c r="BX2951" s="908"/>
      <c r="BY2951" s="331"/>
      <c r="BZ2951" s="331"/>
      <c r="CA2951" s="462"/>
      <c r="CB2951" s="319"/>
      <c r="CC2951" s="319"/>
      <c r="CD2951" s="319"/>
      <c r="CE2951" s="319"/>
      <c r="CF2951" s="319"/>
      <c r="CG2951" s="319"/>
      <c r="CH2951" s="318"/>
      <c r="CI2951" s="319"/>
      <c r="CJ2951" s="319"/>
      <c r="CK2951" s="342"/>
      <c r="CL2951" s="333"/>
      <c r="CM2951" s="1079"/>
      <c r="CN2951" s="1005"/>
      <c r="CO2951" s="1005"/>
      <c r="CP2951" s="1005"/>
    </row>
    <row r="2952">
      <c r="A2952" s="1257"/>
      <c r="B2952" s="1113"/>
      <c r="C2952" s="1107"/>
      <c r="D2952" s="103"/>
      <c r="E2952" s="1137"/>
      <c r="F2952" s="112"/>
      <c r="G2952" s="1110"/>
      <c r="H2952" s="1138"/>
      <c r="I2952" s="1138"/>
      <c r="J2952" s="1139"/>
      <c r="K2952" s="1111"/>
      <c r="L2952" s="1112"/>
      <c r="M2952" s="1113"/>
      <c r="N2952" s="110"/>
      <c r="O2952" s="1140"/>
      <c r="P2952" s="1115"/>
      <c r="Q2952" s="1116"/>
      <c r="R2952" s="1141"/>
      <c r="S2952" s="1113"/>
      <c r="T2952" s="1143"/>
      <c r="U2952" s="1108"/>
      <c r="V2952" s="1108"/>
      <c r="W2952" s="1108"/>
      <c r="X2952" s="1108"/>
      <c r="Y2952" s="1108"/>
      <c r="Z2952" s="1114"/>
      <c r="AA2952" s="1114"/>
      <c r="AB2952" s="1114"/>
      <c r="AC2952" s="1117"/>
      <c r="AD2952" s="1115"/>
      <c r="AE2952" s="1115"/>
      <c r="AF2952" s="1115"/>
      <c r="AG2952" s="1115"/>
      <c r="AH2952" s="1115"/>
      <c r="AI2952" s="1115"/>
      <c r="AJ2952" s="1117"/>
      <c r="AK2952" s="1118"/>
      <c r="AL2952" s="1115"/>
      <c r="AM2952" s="1115"/>
      <c r="AN2952" s="1115"/>
      <c r="AO2952" s="1115"/>
      <c r="AP2952" s="1115"/>
      <c r="AQ2952" s="1115"/>
      <c r="AR2952" s="1115"/>
      <c r="AS2952" s="1117"/>
      <c r="AT2952" s="1075"/>
      <c r="AU2952" s="1193"/>
      <c r="AV2952" s="330"/>
      <c r="AW2952" s="331"/>
      <c r="AX2952" s="331"/>
      <c r="AY2952" s="331"/>
      <c r="AZ2952" s="331"/>
      <c r="BA2952" s="331"/>
      <c r="BB2952" s="331"/>
      <c r="BC2952" s="331"/>
      <c r="BD2952" s="331"/>
      <c r="BE2952" s="333"/>
      <c r="BF2952" s="330"/>
      <c r="BG2952" s="333"/>
      <c r="BH2952" s="1119"/>
      <c r="BI2952" s="319"/>
      <c r="BJ2952" s="319"/>
      <c r="BK2952" s="319"/>
      <c r="BL2952" s="319"/>
      <c r="BM2952" s="319"/>
      <c r="BN2952" s="319"/>
      <c r="BO2952" s="319"/>
      <c r="BP2952" s="953"/>
      <c r="BQ2952" s="319"/>
      <c r="BR2952" s="319"/>
      <c r="BS2952" s="330"/>
      <c r="BT2952" s="331"/>
      <c r="BU2952" s="920"/>
      <c r="BV2952" s="903"/>
      <c r="BW2952" s="908"/>
      <c r="BX2952" s="908"/>
      <c r="BY2952" s="331"/>
      <c r="BZ2952" s="331"/>
      <c r="CA2952" s="462"/>
      <c r="CB2952" s="319"/>
      <c r="CC2952" s="319"/>
      <c r="CD2952" s="319"/>
      <c r="CE2952" s="319"/>
      <c r="CF2952" s="319"/>
      <c r="CG2952" s="319"/>
      <c r="CH2952" s="318"/>
      <c r="CI2952" s="319"/>
      <c r="CJ2952" s="319"/>
      <c r="CK2952" s="342"/>
      <c r="CL2952" s="333"/>
      <c r="CM2952" s="1079"/>
      <c r="CN2952" s="1005"/>
      <c r="CO2952" s="1005"/>
      <c r="CP2952" s="1005"/>
    </row>
    <row r="2953">
      <c r="A2953" s="1257"/>
      <c r="B2953" s="1113"/>
      <c r="C2953" s="1107"/>
      <c r="D2953" s="103"/>
      <c r="E2953" s="1137"/>
      <c r="F2953" s="112"/>
      <c r="G2953" s="1110"/>
      <c r="H2953" s="1138"/>
      <c r="I2953" s="1138"/>
      <c r="J2953" s="1139"/>
      <c r="K2953" s="1111"/>
      <c r="L2953" s="1112"/>
      <c r="M2953" s="1113"/>
      <c r="N2953" s="110"/>
      <c r="O2953" s="1140"/>
      <c r="P2953" s="1115"/>
      <c r="Q2953" s="1116"/>
      <c r="R2953" s="1141"/>
      <c r="S2953" s="1113"/>
      <c r="T2953" s="1143"/>
      <c r="U2953" s="1108"/>
      <c r="V2953" s="1108"/>
      <c r="W2953" s="1108"/>
      <c r="X2953" s="1108"/>
      <c r="Y2953" s="1108"/>
      <c r="Z2953" s="1114"/>
      <c r="AA2953" s="1114"/>
      <c r="AB2953" s="1114"/>
      <c r="AC2953" s="1117"/>
      <c r="AD2953" s="1115"/>
      <c r="AE2953" s="1115"/>
      <c r="AF2953" s="1115"/>
      <c r="AG2953" s="1115"/>
      <c r="AH2953" s="1115"/>
      <c r="AI2953" s="1115"/>
      <c r="AJ2953" s="1117"/>
      <c r="AK2953" s="1118"/>
      <c r="AL2953" s="1115"/>
      <c r="AM2953" s="1115"/>
      <c r="AN2953" s="1115"/>
      <c r="AO2953" s="1115"/>
      <c r="AP2953" s="1115"/>
      <c r="AQ2953" s="1115"/>
      <c r="AR2953" s="1115"/>
      <c r="AS2953" s="1117"/>
      <c r="AT2953" s="1075"/>
      <c r="AU2953" s="1193"/>
      <c r="AV2953" s="330"/>
      <c r="AW2953" s="331"/>
      <c r="AX2953" s="331"/>
      <c r="AY2953" s="331"/>
      <c r="AZ2953" s="331"/>
      <c r="BA2953" s="331"/>
      <c r="BB2953" s="331"/>
      <c r="BC2953" s="331"/>
      <c r="BD2953" s="331"/>
      <c r="BE2953" s="333"/>
      <c r="BF2953" s="330"/>
      <c r="BG2953" s="333"/>
      <c r="BH2953" s="1119"/>
      <c r="BI2953" s="319"/>
      <c r="BJ2953" s="319"/>
      <c r="BK2953" s="319"/>
      <c r="BL2953" s="319"/>
      <c r="BM2953" s="319"/>
      <c r="BN2953" s="319"/>
      <c r="BO2953" s="319"/>
      <c r="BP2953" s="953"/>
      <c r="BQ2953" s="319"/>
      <c r="BR2953" s="319"/>
      <c r="BS2953" s="330"/>
      <c r="BT2953" s="331"/>
      <c r="BU2953" s="920"/>
      <c r="BV2953" s="903"/>
      <c r="BW2953" s="908"/>
      <c r="BX2953" s="908"/>
      <c r="BY2953" s="331"/>
      <c r="BZ2953" s="331"/>
      <c r="CA2953" s="462"/>
      <c r="CB2953" s="319"/>
      <c r="CC2953" s="319"/>
      <c r="CD2953" s="319"/>
      <c r="CE2953" s="319"/>
      <c r="CF2953" s="319"/>
      <c r="CG2953" s="319"/>
      <c r="CH2953" s="318"/>
      <c r="CI2953" s="319"/>
      <c r="CJ2953" s="319"/>
      <c r="CK2953" s="342"/>
      <c r="CL2953" s="333"/>
      <c r="CM2953" s="1079"/>
      <c r="CN2953" s="1005"/>
      <c r="CO2953" s="1005"/>
      <c r="CP2953" s="1005"/>
    </row>
    <row r="2954">
      <c r="A2954" s="1257"/>
      <c r="B2954" s="1113"/>
      <c r="C2954" s="1107"/>
      <c r="D2954" s="103"/>
      <c r="E2954" s="1137"/>
      <c r="F2954" s="112"/>
      <c r="G2954" s="1110"/>
      <c r="H2954" s="1138"/>
      <c r="I2954" s="1138"/>
      <c r="J2954" s="1139"/>
      <c r="K2954" s="1111"/>
      <c r="L2954" s="1112"/>
      <c r="M2954" s="1113"/>
      <c r="N2954" s="110"/>
      <c r="O2954" s="1140"/>
      <c r="P2954" s="1115"/>
      <c r="Q2954" s="1116"/>
      <c r="R2954" s="1141"/>
      <c r="S2954" s="1113"/>
      <c r="T2954" s="1143"/>
      <c r="U2954" s="1108"/>
      <c r="V2954" s="1108"/>
      <c r="W2954" s="1108"/>
      <c r="X2954" s="1108"/>
      <c r="Y2954" s="1108"/>
      <c r="Z2954" s="1114"/>
      <c r="AA2954" s="1114"/>
      <c r="AB2954" s="1114"/>
      <c r="AC2954" s="1117"/>
      <c r="AD2954" s="1115"/>
      <c r="AE2954" s="1115"/>
      <c r="AF2954" s="1115"/>
      <c r="AG2954" s="1115"/>
      <c r="AH2954" s="1115"/>
      <c r="AI2954" s="1115"/>
      <c r="AJ2954" s="1117"/>
      <c r="AK2954" s="1118"/>
      <c r="AL2954" s="1115"/>
      <c r="AM2954" s="1115"/>
      <c r="AN2954" s="1115"/>
      <c r="AO2954" s="1115"/>
      <c r="AP2954" s="1115"/>
      <c r="AQ2954" s="1115"/>
      <c r="AR2954" s="1115"/>
      <c r="AS2954" s="1117"/>
      <c r="AT2954" s="1075"/>
      <c r="AU2954" s="1193"/>
      <c r="AV2954" s="330"/>
      <c r="AW2954" s="331"/>
      <c r="AX2954" s="331"/>
      <c r="AY2954" s="331"/>
      <c r="AZ2954" s="331"/>
      <c r="BA2954" s="331"/>
      <c r="BB2954" s="331"/>
      <c r="BC2954" s="331"/>
      <c r="BD2954" s="331"/>
      <c r="BE2954" s="333"/>
      <c r="BF2954" s="330"/>
      <c r="BG2954" s="333"/>
      <c r="BH2954" s="1119"/>
      <c r="BI2954" s="319"/>
      <c r="BJ2954" s="319"/>
      <c r="BK2954" s="319"/>
      <c r="BL2954" s="319"/>
      <c r="BM2954" s="319"/>
      <c r="BN2954" s="319"/>
      <c r="BO2954" s="319"/>
      <c r="BP2954" s="953"/>
      <c r="BQ2954" s="319"/>
      <c r="BR2954" s="319"/>
      <c r="BS2954" s="330"/>
      <c r="BT2954" s="331"/>
      <c r="BU2954" s="920"/>
      <c r="BV2954" s="903"/>
      <c r="BW2954" s="908"/>
      <c r="BX2954" s="908"/>
      <c r="BY2954" s="331"/>
      <c r="BZ2954" s="331"/>
      <c r="CA2954" s="462"/>
      <c r="CB2954" s="319"/>
      <c r="CC2954" s="319"/>
      <c r="CD2954" s="319"/>
      <c r="CE2954" s="319"/>
      <c r="CF2954" s="319"/>
      <c r="CG2954" s="319"/>
      <c r="CH2954" s="318"/>
      <c r="CI2954" s="319"/>
      <c r="CJ2954" s="319"/>
      <c r="CK2954" s="342"/>
      <c r="CL2954" s="333"/>
      <c r="CM2954" s="1079"/>
      <c r="CN2954" s="1005"/>
      <c r="CO2954" s="1005"/>
      <c r="CP2954" s="1005"/>
    </row>
    <row r="2955">
      <c r="A2955" s="1257"/>
      <c r="B2955" s="1113"/>
      <c r="C2955" s="1107"/>
      <c r="D2955" s="103"/>
      <c r="E2955" s="1137"/>
      <c r="F2955" s="112"/>
      <c r="G2955" s="1110"/>
      <c r="H2955" s="1138"/>
      <c r="I2955" s="1138"/>
      <c r="J2955" s="1139"/>
      <c r="K2955" s="1111"/>
      <c r="L2955" s="1112"/>
      <c r="M2955" s="1113"/>
      <c r="N2955" s="110"/>
      <c r="O2955" s="1140"/>
      <c r="P2955" s="1115"/>
      <c r="Q2955" s="1116"/>
      <c r="R2955" s="1141"/>
      <c r="S2955" s="1113"/>
      <c r="T2955" s="1143"/>
      <c r="U2955" s="1108"/>
      <c r="V2955" s="1108"/>
      <c r="W2955" s="1108"/>
      <c r="X2955" s="1108"/>
      <c r="Y2955" s="1108"/>
      <c r="Z2955" s="1114"/>
      <c r="AA2955" s="1114"/>
      <c r="AB2955" s="1114"/>
      <c r="AC2955" s="1117"/>
      <c r="AD2955" s="1115"/>
      <c r="AE2955" s="1115"/>
      <c r="AF2955" s="1115"/>
      <c r="AG2955" s="1115"/>
      <c r="AH2955" s="1115"/>
      <c r="AI2955" s="1115"/>
      <c r="AJ2955" s="1117"/>
      <c r="AK2955" s="1118"/>
      <c r="AL2955" s="1115"/>
      <c r="AM2955" s="1115"/>
      <c r="AN2955" s="1115"/>
      <c r="AO2955" s="1115"/>
      <c r="AP2955" s="1115"/>
      <c r="AQ2955" s="1115"/>
      <c r="AR2955" s="1115"/>
      <c r="AS2955" s="1117"/>
      <c r="AT2955" s="1075"/>
      <c r="AU2955" s="1193"/>
      <c r="AV2955" s="330"/>
      <c r="AW2955" s="331"/>
      <c r="AX2955" s="331"/>
      <c r="AY2955" s="331"/>
      <c r="AZ2955" s="331"/>
      <c r="BA2955" s="331"/>
      <c r="BB2955" s="331"/>
      <c r="BC2955" s="331"/>
      <c r="BD2955" s="331"/>
      <c r="BE2955" s="333"/>
      <c r="BF2955" s="330"/>
      <c r="BG2955" s="333"/>
      <c r="BH2955" s="1119"/>
      <c r="BI2955" s="319"/>
      <c r="BJ2955" s="319"/>
      <c r="BK2955" s="319"/>
      <c r="BL2955" s="319"/>
      <c r="BM2955" s="319"/>
      <c r="BN2955" s="319"/>
      <c r="BO2955" s="319"/>
      <c r="BP2955" s="953"/>
      <c r="BQ2955" s="319"/>
      <c r="BR2955" s="319"/>
      <c r="BS2955" s="330"/>
      <c r="BT2955" s="331"/>
      <c r="BU2955" s="920"/>
      <c r="BV2955" s="903"/>
      <c r="BW2955" s="908"/>
      <c r="BX2955" s="908"/>
      <c r="BY2955" s="331"/>
      <c r="BZ2955" s="331"/>
      <c r="CA2955" s="462"/>
      <c r="CB2955" s="319"/>
      <c r="CC2955" s="319"/>
      <c r="CD2955" s="319"/>
      <c r="CE2955" s="319"/>
      <c r="CF2955" s="319"/>
      <c r="CG2955" s="319"/>
      <c r="CH2955" s="318"/>
      <c r="CI2955" s="319"/>
      <c r="CJ2955" s="319"/>
      <c r="CK2955" s="342"/>
      <c r="CL2955" s="333"/>
      <c r="CM2955" s="1079"/>
      <c r="CN2955" s="1005"/>
      <c r="CO2955" s="1005"/>
      <c r="CP2955" s="1005"/>
    </row>
    <row r="2956">
      <c r="A2956" s="1257"/>
      <c r="B2956" s="1113"/>
      <c r="C2956" s="1107"/>
      <c r="D2956" s="103"/>
      <c r="E2956" s="1137"/>
      <c r="F2956" s="112"/>
      <c r="G2956" s="1110"/>
      <c r="H2956" s="1138"/>
      <c r="I2956" s="1138"/>
      <c r="J2956" s="1139"/>
      <c r="K2956" s="1111"/>
      <c r="L2956" s="1112"/>
      <c r="M2956" s="1113"/>
      <c r="N2956" s="110"/>
      <c r="O2956" s="1140"/>
      <c r="P2956" s="1115"/>
      <c r="Q2956" s="1116"/>
      <c r="R2956" s="1141"/>
      <c r="S2956" s="1113"/>
      <c r="T2956" s="1143"/>
      <c r="U2956" s="1108"/>
      <c r="V2956" s="1108"/>
      <c r="W2956" s="1108"/>
      <c r="X2956" s="1108"/>
      <c r="Y2956" s="1108"/>
      <c r="Z2956" s="1114"/>
      <c r="AA2956" s="1114"/>
      <c r="AB2956" s="1114"/>
      <c r="AC2956" s="1117"/>
      <c r="AD2956" s="1115"/>
      <c r="AE2956" s="1115"/>
      <c r="AF2956" s="1115"/>
      <c r="AG2956" s="1115"/>
      <c r="AH2956" s="1115"/>
      <c r="AI2956" s="1115"/>
      <c r="AJ2956" s="1117"/>
      <c r="AK2956" s="1118"/>
      <c r="AL2956" s="1115"/>
      <c r="AM2956" s="1115"/>
      <c r="AN2956" s="1115"/>
      <c r="AO2956" s="1115"/>
      <c r="AP2956" s="1115"/>
      <c r="AQ2956" s="1115"/>
      <c r="AR2956" s="1115"/>
      <c r="AS2956" s="1117"/>
      <c r="AT2956" s="1075"/>
      <c r="AU2956" s="1193"/>
      <c r="AV2956" s="330"/>
      <c r="AW2956" s="331"/>
      <c r="AX2956" s="331"/>
      <c r="AY2956" s="331"/>
      <c r="AZ2956" s="331"/>
      <c r="BA2956" s="331"/>
      <c r="BB2956" s="331"/>
      <c r="BC2956" s="331"/>
      <c r="BD2956" s="331"/>
      <c r="BE2956" s="333"/>
      <c r="BF2956" s="330"/>
      <c r="BG2956" s="333"/>
      <c r="BH2956" s="1119"/>
      <c r="BI2956" s="319"/>
      <c r="BJ2956" s="319"/>
      <c r="BK2956" s="319"/>
      <c r="BL2956" s="319"/>
      <c r="BM2956" s="319"/>
      <c r="BN2956" s="319"/>
      <c r="BO2956" s="319"/>
      <c r="BP2956" s="953"/>
      <c r="BQ2956" s="319"/>
      <c r="BR2956" s="319"/>
      <c r="BS2956" s="330"/>
      <c r="BT2956" s="331"/>
      <c r="BU2956" s="920"/>
      <c r="BV2956" s="903"/>
      <c r="BW2956" s="908"/>
      <c r="BX2956" s="908"/>
      <c r="BY2956" s="331"/>
      <c r="BZ2956" s="331"/>
      <c r="CA2956" s="462"/>
      <c r="CB2956" s="319"/>
      <c r="CC2956" s="319"/>
      <c r="CD2956" s="319"/>
      <c r="CE2956" s="319"/>
      <c r="CF2956" s="319"/>
      <c r="CG2956" s="319"/>
      <c r="CH2956" s="318"/>
      <c r="CI2956" s="319"/>
      <c r="CJ2956" s="319"/>
      <c r="CK2956" s="342"/>
      <c r="CL2956" s="333"/>
      <c r="CM2956" s="1079"/>
      <c r="CN2956" s="1005"/>
      <c r="CO2956" s="1005"/>
      <c r="CP2956" s="1005"/>
    </row>
    <row r="2957">
      <c r="A2957" s="1257"/>
      <c r="B2957" s="1113"/>
      <c r="C2957" s="1107"/>
      <c r="D2957" s="103"/>
      <c r="E2957" s="1137"/>
      <c r="F2957" s="112"/>
      <c r="G2957" s="1110"/>
      <c r="H2957" s="1138"/>
      <c r="I2957" s="1138"/>
      <c r="J2957" s="1139"/>
      <c r="K2957" s="1111"/>
      <c r="L2957" s="1112"/>
      <c r="M2957" s="1113"/>
      <c r="N2957" s="110"/>
      <c r="O2957" s="1140"/>
      <c r="P2957" s="1115"/>
      <c r="Q2957" s="1116"/>
      <c r="R2957" s="1141"/>
      <c r="S2957" s="1113"/>
      <c r="T2957" s="1143"/>
      <c r="U2957" s="1108"/>
      <c r="V2957" s="1108"/>
      <c r="W2957" s="1108"/>
      <c r="X2957" s="1108"/>
      <c r="Y2957" s="1108"/>
      <c r="Z2957" s="1114"/>
      <c r="AA2957" s="1114"/>
      <c r="AB2957" s="1114"/>
      <c r="AC2957" s="1117"/>
      <c r="AD2957" s="1115"/>
      <c r="AE2957" s="1115"/>
      <c r="AF2957" s="1115"/>
      <c r="AG2957" s="1115"/>
      <c r="AH2957" s="1115"/>
      <c r="AI2957" s="1115"/>
      <c r="AJ2957" s="1117"/>
      <c r="AK2957" s="1118"/>
      <c r="AL2957" s="1115"/>
      <c r="AM2957" s="1115"/>
      <c r="AN2957" s="1115"/>
      <c r="AO2957" s="1115"/>
      <c r="AP2957" s="1115"/>
      <c r="AQ2957" s="1115"/>
      <c r="AR2957" s="1115"/>
      <c r="AS2957" s="1117"/>
      <c r="AT2957" s="1075"/>
      <c r="AU2957" s="1193"/>
      <c r="AV2957" s="330"/>
      <c r="AW2957" s="331"/>
      <c r="AX2957" s="331"/>
      <c r="AY2957" s="331"/>
      <c r="AZ2957" s="331"/>
      <c r="BA2957" s="331"/>
      <c r="BB2957" s="331"/>
      <c r="BC2957" s="331"/>
      <c r="BD2957" s="331"/>
      <c r="BE2957" s="333"/>
      <c r="BF2957" s="330"/>
      <c r="BG2957" s="333"/>
      <c r="BH2957" s="1119"/>
      <c r="BI2957" s="319"/>
      <c r="BJ2957" s="319"/>
      <c r="BK2957" s="319"/>
      <c r="BL2957" s="319"/>
      <c r="BM2957" s="319"/>
      <c r="BN2957" s="319"/>
      <c r="BO2957" s="319"/>
      <c r="BP2957" s="953"/>
      <c r="BQ2957" s="319"/>
      <c r="BR2957" s="319"/>
      <c r="BS2957" s="330"/>
      <c r="BT2957" s="331"/>
      <c r="BU2957" s="920"/>
      <c r="BV2957" s="903"/>
      <c r="BW2957" s="908"/>
      <c r="BX2957" s="908"/>
      <c r="BY2957" s="331"/>
      <c r="BZ2957" s="331"/>
      <c r="CA2957" s="462"/>
      <c r="CB2957" s="319"/>
      <c r="CC2957" s="319"/>
      <c r="CD2957" s="319"/>
      <c r="CE2957" s="319"/>
      <c r="CF2957" s="319"/>
      <c r="CG2957" s="319"/>
      <c r="CH2957" s="318"/>
      <c r="CI2957" s="319"/>
      <c r="CJ2957" s="319"/>
      <c r="CK2957" s="342"/>
      <c r="CL2957" s="333"/>
      <c r="CM2957" s="1079"/>
      <c r="CN2957" s="1005"/>
      <c r="CO2957" s="1005"/>
      <c r="CP2957" s="1005"/>
    </row>
    <row r="2958">
      <c r="A2958" s="1257"/>
      <c r="B2958" s="1113"/>
      <c r="C2958" s="1107"/>
      <c r="D2958" s="103"/>
      <c r="E2958" s="1137"/>
      <c r="F2958" s="112"/>
      <c r="G2958" s="1110"/>
      <c r="H2958" s="1138"/>
      <c r="I2958" s="1138"/>
      <c r="J2958" s="1139"/>
      <c r="K2958" s="1111"/>
      <c r="L2958" s="1112"/>
      <c r="M2958" s="1113"/>
      <c r="N2958" s="110"/>
      <c r="O2958" s="1140"/>
      <c r="P2958" s="1115"/>
      <c r="Q2958" s="1116"/>
      <c r="R2958" s="1141"/>
      <c r="S2958" s="1113"/>
      <c r="T2958" s="1143"/>
      <c r="U2958" s="1108"/>
      <c r="V2958" s="1108"/>
      <c r="W2958" s="1108"/>
      <c r="X2958" s="1108"/>
      <c r="Y2958" s="1108"/>
      <c r="Z2958" s="1114"/>
      <c r="AA2958" s="1114"/>
      <c r="AB2958" s="1114"/>
      <c r="AC2958" s="1117"/>
      <c r="AD2958" s="1115"/>
      <c r="AE2958" s="1115"/>
      <c r="AF2958" s="1115"/>
      <c r="AG2958" s="1115"/>
      <c r="AH2958" s="1115"/>
      <c r="AI2958" s="1115"/>
      <c r="AJ2958" s="1117"/>
      <c r="AK2958" s="1118"/>
      <c r="AL2958" s="1115"/>
      <c r="AM2958" s="1115"/>
      <c r="AN2958" s="1115"/>
      <c r="AO2958" s="1115"/>
      <c r="AP2958" s="1115"/>
      <c r="AQ2958" s="1115"/>
      <c r="AR2958" s="1115"/>
      <c r="AS2958" s="1117"/>
      <c r="AT2958" s="1075"/>
      <c r="AU2958" s="1193"/>
      <c r="AV2958" s="330"/>
      <c r="AW2958" s="331"/>
      <c r="AX2958" s="331"/>
      <c r="AY2958" s="331"/>
      <c r="AZ2958" s="331"/>
      <c r="BA2958" s="331"/>
      <c r="BB2958" s="331"/>
      <c r="BC2958" s="331"/>
      <c r="BD2958" s="331"/>
      <c r="BE2958" s="333"/>
      <c r="BF2958" s="330"/>
      <c r="BG2958" s="333"/>
      <c r="BH2958" s="1119"/>
      <c r="BI2958" s="319"/>
      <c r="BJ2958" s="319"/>
      <c r="BK2958" s="319"/>
      <c r="BL2958" s="319"/>
      <c r="BM2958" s="319"/>
      <c r="BN2958" s="319"/>
      <c r="BO2958" s="319"/>
      <c r="BP2958" s="953"/>
      <c r="BQ2958" s="319"/>
      <c r="BR2958" s="319"/>
      <c r="BS2958" s="330"/>
      <c r="BT2958" s="331"/>
      <c r="BU2958" s="920"/>
      <c r="BV2958" s="903"/>
      <c r="BW2958" s="908"/>
      <c r="BX2958" s="908"/>
      <c r="BY2958" s="331"/>
      <c r="BZ2958" s="331"/>
      <c r="CA2958" s="462"/>
      <c r="CB2958" s="319"/>
      <c r="CC2958" s="319"/>
      <c r="CD2958" s="319"/>
      <c r="CE2958" s="319"/>
      <c r="CF2958" s="319"/>
      <c r="CG2958" s="319"/>
      <c r="CH2958" s="318"/>
      <c r="CI2958" s="319"/>
      <c r="CJ2958" s="319"/>
      <c r="CK2958" s="342"/>
      <c r="CL2958" s="333"/>
      <c r="CM2958" s="1079"/>
      <c r="CN2958" s="1005"/>
      <c r="CO2958" s="1005"/>
      <c r="CP2958" s="1005"/>
    </row>
    <row r="2959">
      <c r="A2959" s="1257"/>
      <c r="B2959" s="1113"/>
      <c r="C2959" s="1107"/>
      <c r="D2959" s="103"/>
      <c r="E2959" s="1137"/>
      <c r="F2959" s="112"/>
      <c r="G2959" s="1110"/>
      <c r="H2959" s="1138"/>
      <c r="I2959" s="1138"/>
      <c r="J2959" s="1139"/>
      <c r="K2959" s="1111"/>
      <c r="L2959" s="1112"/>
      <c r="M2959" s="1113"/>
      <c r="N2959" s="110"/>
      <c r="O2959" s="1140"/>
      <c r="P2959" s="1115"/>
      <c r="Q2959" s="1116"/>
      <c r="R2959" s="1141"/>
      <c r="S2959" s="1113"/>
      <c r="T2959" s="1143"/>
      <c r="U2959" s="1108"/>
      <c r="V2959" s="1108"/>
      <c r="W2959" s="1108"/>
      <c r="X2959" s="1108"/>
      <c r="Y2959" s="1108"/>
      <c r="Z2959" s="1114"/>
      <c r="AA2959" s="1114"/>
      <c r="AB2959" s="1114"/>
      <c r="AC2959" s="1117"/>
      <c r="AD2959" s="1115"/>
      <c r="AE2959" s="1115"/>
      <c r="AF2959" s="1115"/>
      <c r="AG2959" s="1115"/>
      <c r="AH2959" s="1115"/>
      <c r="AI2959" s="1115"/>
      <c r="AJ2959" s="1117"/>
      <c r="AK2959" s="1118"/>
      <c r="AL2959" s="1115"/>
      <c r="AM2959" s="1115"/>
      <c r="AN2959" s="1115"/>
      <c r="AO2959" s="1115"/>
      <c r="AP2959" s="1115"/>
      <c r="AQ2959" s="1115"/>
      <c r="AR2959" s="1115"/>
      <c r="AS2959" s="1117"/>
      <c r="AT2959" s="1075"/>
      <c r="AU2959" s="1193"/>
      <c r="AV2959" s="330"/>
      <c r="AW2959" s="331"/>
      <c r="AX2959" s="331"/>
      <c r="AY2959" s="331"/>
      <c r="AZ2959" s="331"/>
      <c r="BA2959" s="331"/>
      <c r="BB2959" s="331"/>
      <c r="BC2959" s="331"/>
      <c r="BD2959" s="331"/>
      <c r="BE2959" s="333"/>
      <c r="BF2959" s="330"/>
      <c r="BG2959" s="333"/>
      <c r="BH2959" s="1119"/>
      <c r="BI2959" s="319"/>
      <c r="BJ2959" s="319"/>
      <c r="BK2959" s="319"/>
      <c r="BL2959" s="319"/>
      <c r="BM2959" s="319"/>
      <c r="BN2959" s="319"/>
      <c r="BO2959" s="319"/>
      <c r="BP2959" s="953"/>
      <c r="BQ2959" s="319"/>
      <c r="BR2959" s="319"/>
      <c r="BS2959" s="330"/>
      <c r="BT2959" s="331"/>
      <c r="BU2959" s="920"/>
      <c r="BV2959" s="903"/>
      <c r="BW2959" s="908"/>
      <c r="BX2959" s="908"/>
      <c r="BY2959" s="331"/>
      <c r="BZ2959" s="331"/>
      <c r="CA2959" s="462"/>
      <c r="CB2959" s="319"/>
      <c r="CC2959" s="319"/>
      <c r="CD2959" s="319"/>
      <c r="CE2959" s="319"/>
      <c r="CF2959" s="319"/>
      <c r="CG2959" s="319"/>
      <c r="CH2959" s="318"/>
      <c r="CI2959" s="319"/>
      <c r="CJ2959" s="319"/>
      <c r="CK2959" s="342"/>
      <c r="CL2959" s="333"/>
      <c r="CM2959" s="1079"/>
      <c r="CN2959" s="1005"/>
      <c r="CO2959" s="1005"/>
      <c r="CP2959" s="1005"/>
    </row>
    <row r="2960">
      <c r="A2960" s="1257"/>
      <c r="B2960" s="1113"/>
      <c r="C2960" s="1107"/>
      <c r="D2960" s="103"/>
      <c r="E2960" s="1137"/>
      <c r="F2960" s="112"/>
      <c r="G2960" s="1110"/>
      <c r="H2960" s="1138"/>
      <c r="I2960" s="1138"/>
      <c r="J2960" s="1139"/>
      <c r="K2960" s="1111"/>
      <c r="L2960" s="1112"/>
      <c r="M2960" s="1113"/>
      <c r="N2960" s="110"/>
      <c r="O2960" s="1140"/>
      <c r="P2960" s="1115"/>
      <c r="Q2960" s="1116"/>
      <c r="R2960" s="1141"/>
      <c r="S2960" s="1113"/>
      <c r="T2960" s="1143"/>
      <c r="U2960" s="1108"/>
      <c r="V2960" s="1108"/>
      <c r="W2960" s="1108"/>
      <c r="X2960" s="1108"/>
      <c r="Y2960" s="1108"/>
      <c r="Z2960" s="1114"/>
      <c r="AA2960" s="1114"/>
      <c r="AB2960" s="1114"/>
      <c r="AC2960" s="1117"/>
      <c r="AD2960" s="1115"/>
      <c r="AE2960" s="1115"/>
      <c r="AF2960" s="1115"/>
      <c r="AG2960" s="1115"/>
      <c r="AH2960" s="1115"/>
      <c r="AI2960" s="1115"/>
      <c r="AJ2960" s="1117"/>
      <c r="AK2960" s="1118"/>
      <c r="AL2960" s="1115"/>
      <c r="AM2960" s="1115"/>
      <c r="AN2960" s="1115"/>
      <c r="AO2960" s="1115"/>
      <c r="AP2960" s="1115"/>
      <c r="AQ2960" s="1115"/>
      <c r="AR2960" s="1115"/>
      <c r="AS2960" s="1117"/>
      <c r="AT2960" s="1075"/>
      <c r="AU2960" s="1193"/>
      <c r="AV2960" s="330"/>
      <c r="AW2960" s="331"/>
      <c r="AX2960" s="331"/>
      <c r="AY2960" s="331"/>
      <c r="AZ2960" s="331"/>
      <c r="BA2960" s="331"/>
      <c r="BB2960" s="331"/>
      <c r="BC2960" s="331"/>
      <c r="BD2960" s="331"/>
      <c r="BE2960" s="333"/>
      <c r="BF2960" s="330"/>
      <c r="BG2960" s="333"/>
      <c r="BH2960" s="1119"/>
      <c r="BI2960" s="319"/>
      <c r="BJ2960" s="319"/>
      <c r="BK2960" s="319"/>
      <c r="BL2960" s="319"/>
      <c r="BM2960" s="319"/>
      <c r="BN2960" s="319"/>
      <c r="BO2960" s="319"/>
      <c r="BP2960" s="953"/>
      <c r="BQ2960" s="319"/>
      <c r="BR2960" s="319"/>
      <c r="BS2960" s="330"/>
      <c r="BT2960" s="331"/>
      <c r="BU2960" s="920"/>
      <c r="BV2960" s="903"/>
      <c r="BW2960" s="908"/>
      <c r="BX2960" s="908"/>
      <c r="BY2960" s="331"/>
      <c r="BZ2960" s="331"/>
      <c r="CA2960" s="462"/>
      <c r="CB2960" s="319"/>
      <c r="CC2960" s="319"/>
      <c r="CD2960" s="319"/>
      <c r="CE2960" s="319"/>
      <c r="CF2960" s="319"/>
      <c r="CG2960" s="319"/>
      <c r="CH2960" s="318"/>
      <c r="CI2960" s="319"/>
      <c r="CJ2960" s="319"/>
      <c r="CK2960" s="342"/>
      <c r="CL2960" s="333"/>
      <c r="CM2960" s="1079"/>
      <c r="CN2960" s="1005"/>
      <c r="CO2960" s="1005"/>
      <c r="CP2960" s="1005"/>
    </row>
    <row r="2961">
      <c r="A2961" s="1257"/>
      <c r="B2961" s="1113"/>
      <c r="C2961" s="1107"/>
      <c r="D2961" s="103"/>
      <c r="E2961" s="1137"/>
      <c r="F2961" s="112"/>
      <c r="G2961" s="1110"/>
      <c r="H2961" s="1138"/>
      <c r="I2961" s="1138"/>
      <c r="J2961" s="1139"/>
      <c r="K2961" s="1111"/>
      <c r="L2961" s="1112"/>
      <c r="M2961" s="1113"/>
      <c r="N2961" s="110"/>
      <c r="O2961" s="1140"/>
      <c r="P2961" s="1115"/>
      <c r="Q2961" s="1116"/>
      <c r="R2961" s="1141"/>
      <c r="S2961" s="1113"/>
      <c r="T2961" s="1143"/>
      <c r="U2961" s="1108"/>
      <c r="V2961" s="1108"/>
      <c r="W2961" s="1108"/>
      <c r="X2961" s="1108"/>
      <c r="Y2961" s="1108"/>
      <c r="Z2961" s="1114"/>
      <c r="AA2961" s="1114"/>
      <c r="AB2961" s="1114"/>
      <c r="AC2961" s="1117"/>
      <c r="AD2961" s="1115"/>
      <c r="AE2961" s="1115"/>
      <c r="AF2961" s="1115"/>
      <c r="AG2961" s="1115"/>
      <c r="AH2961" s="1115"/>
      <c r="AI2961" s="1115"/>
      <c r="AJ2961" s="1117"/>
      <c r="AK2961" s="1118"/>
      <c r="AL2961" s="1115"/>
      <c r="AM2961" s="1115"/>
      <c r="AN2961" s="1115"/>
      <c r="AO2961" s="1115"/>
      <c r="AP2961" s="1115"/>
      <c r="AQ2961" s="1115"/>
      <c r="AR2961" s="1115"/>
      <c r="AS2961" s="1117"/>
      <c r="AT2961" s="1075"/>
      <c r="AU2961" s="1193"/>
      <c r="AV2961" s="330"/>
      <c r="AW2961" s="331"/>
      <c r="AX2961" s="331"/>
      <c r="AY2961" s="331"/>
      <c r="AZ2961" s="331"/>
      <c r="BA2961" s="331"/>
      <c r="BB2961" s="331"/>
      <c r="BC2961" s="331"/>
      <c r="BD2961" s="331"/>
      <c r="BE2961" s="333"/>
      <c r="BF2961" s="330"/>
      <c r="BG2961" s="333"/>
      <c r="BH2961" s="1119"/>
      <c r="BI2961" s="319"/>
      <c r="BJ2961" s="319"/>
      <c r="BK2961" s="319"/>
      <c r="BL2961" s="319"/>
      <c r="BM2961" s="319"/>
      <c r="BN2961" s="319"/>
      <c r="BO2961" s="319"/>
      <c r="BP2961" s="953"/>
      <c r="BQ2961" s="319"/>
      <c r="BR2961" s="319"/>
      <c r="BS2961" s="330"/>
      <c r="BT2961" s="331"/>
      <c r="BU2961" s="920"/>
      <c r="BV2961" s="903"/>
      <c r="BW2961" s="908"/>
      <c r="BX2961" s="908"/>
      <c r="BY2961" s="331"/>
      <c r="BZ2961" s="331"/>
      <c r="CA2961" s="462"/>
      <c r="CB2961" s="319"/>
      <c r="CC2961" s="319"/>
      <c r="CD2961" s="319"/>
      <c r="CE2961" s="319"/>
      <c r="CF2961" s="319"/>
      <c r="CG2961" s="319"/>
      <c r="CH2961" s="318"/>
      <c r="CI2961" s="319"/>
      <c r="CJ2961" s="319"/>
      <c r="CK2961" s="342"/>
      <c r="CL2961" s="333"/>
      <c r="CM2961" s="1079"/>
      <c r="CN2961" s="1005"/>
      <c r="CO2961" s="1005"/>
      <c r="CP2961" s="1005"/>
    </row>
    <row r="2962">
      <c r="A2962" s="1257"/>
      <c r="B2962" s="1113"/>
      <c r="C2962" s="1107"/>
      <c r="D2962" s="103"/>
      <c r="E2962" s="1137"/>
      <c r="F2962" s="112"/>
      <c r="G2962" s="1110"/>
      <c r="H2962" s="1138"/>
      <c r="I2962" s="1138"/>
      <c r="J2962" s="1139"/>
      <c r="K2962" s="1111"/>
      <c r="L2962" s="1112"/>
      <c r="M2962" s="1113"/>
      <c r="N2962" s="110"/>
      <c r="O2962" s="1140"/>
      <c r="P2962" s="1115"/>
      <c r="Q2962" s="1116"/>
      <c r="R2962" s="1141"/>
      <c r="S2962" s="1113"/>
      <c r="T2962" s="1143"/>
      <c r="U2962" s="1108"/>
      <c r="V2962" s="1108"/>
      <c r="W2962" s="1108"/>
      <c r="X2962" s="1108"/>
      <c r="Y2962" s="1108"/>
      <c r="Z2962" s="1114"/>
      <c r="AA2962" s="1114"/>
      <c r="AB2962" s="1114"/>
      <c r="AC2962" s="1117"/>
      <c r="AD2962" s="1115"/>
      <c r="AE2962" s="1115"/>
      <c r="AF2962" s="1115"/>
      <c r="AG2962" s="1115"/>
      <c r="AH2962" s="1115"/>
      <c r="AI2962" s="1115"/>
      <c r="AJ2962" s="1117"/>
      <c r="AK2962" s="1118"/>
      <c r="AL2962" s="1115"/>
      <c r="AM2962" s="1115"/>
      <c r="AN2962" s="1115"/>
      <c r="AO2962" s="1115"/>
      <c r="AP2962" s="1115"/>
      <c r="AQ2962" s="1115"/>
      <c r="AR2962" s="1115"/>
      <c r="AS2962" s="1117"/>
      <c r="AT2962" s="1075"/>
      <c r="AU2962" s="1193"/>
      <c r="AV2962" s="330"/>
      <c r="AW2962" s="331"/>
      <c r="AX2962" s="331"/>
      <c r="AY2962" s="331"/>
      <c r="AZ2962" s="331"/>
      <c r="BA2962" s="331"/>
      <c r="BB2962" s="331"/>
      <c r="BC2962" s="331"/>
      <c r="BD2962" s="331"/>
      <c r="BE2962" s="333"/>
      <c r="BF2962" s="330"/>
      <c r="BG2962" s="333"/>
      <c r="BH2962" s="1119"/>
      <c r="BI2962" s="319"/>
      <c r="BJ2962" s="319"/>
      <c r="BK2962" s="319"/>
      <c r="BL2962" s="319"/>
      <c r="BM2962" s="319"/>
      <c r="BN2962" s="319"/>
      <c r="BO2962" s="319"/>
      <c r="BP2962" s="953"/>
      <c r="BQ2962" s="319"/>
      <c r="BR2962" s="319"/>
      <c r="BS2962" s="330"/>
      <c r="BT2962" s="331"/>
      <c r="BU2962" s="920"/>
      <c r="BV2962" s="903"/>
      <c r="BW2962" s="908"/>
      <c r="BX2962" s="908"/>
      <c r="BY2962" s="331"/>
      <c r="BZ2962" s="331"/>
      <c r="CA2962" s="462"/>
      <c r="CB2962" s="319"/>
      <c r="CC2962" s="319"/>
      <c r="CD2962" s="319"/>
      <c r="CE2962" s="319"/>
      <c r="CF2962" s="319"/>
      <c r="CG2962" s="319"/>
      <c r="CH2962" s="318"/>
      <c r="CI2962" s="319"/>
      <c r="CJ2962" s="319"/>
      <c r="CK2962" s="342"/>
      <c r="CL2962" s="333"/>
      <c r="CM2962" s="1079"/>
      <c r="CN2962" s="1005"/>
      <c r="CO2962" s="1005"/>
      <c r="CP2962" s="1005"/>
    </row>
    <row r="2963">
      <c r="A2963" s="1257"/>
      <c r="B2963" s="1113"/>
      <c r="C2963" s="1107"/>
      <c r="D2963" s="103"/>
      <c r="E2963" s="1137"/>
      <c r="F2963" s="112"/>
      <c r="G2963" s="1110"/>
      <c r="H2963" s="1138"/>
      <c r="I2963" s="1138"/>
      <c r="J2963" s="1139"/>
      <c r="K2963" s="1111"/>
      <c r="L2963" s="1112"/>
      <c r="M2963" s="1113"/>
      <c r="N2963" s="110"/>
      <c r="O2963" s="1140"/>
      <c r="P2963" s="1115"/>
      <c r="Q2963" s="1116"/>
      <c r="R2963" s="1141"/>
      <c r="S2963" s="1113"/>
      <c r="T2963" s="1143"/>
      <c r="U2963" s="1108"/>
      <c r="V2963" s="1108"/>
      <c r="W2963" s="1108"/>
      <c r="X2963" s="1108"/>
      <c r="Y2963" s="1108"/>
      <c r="Z2963" s="1114"/>
      <c r="AA2963" s="1114"/>
      <c r="AB2963" s="1114"/>
      <c r="AC2963" s="1117"/>
      <c r="AD2963" s="1115"/>
      <c r="AE2963" s="1115"/>
      <c r="AF2963" s="1115"/>
      <c r="AG2963" s="1115"/>
      <c r="AH2963" s="1115"/>
      <c r="AI2963" s="1115"/>
      <c r="AJ2963" s="1117"/>
      <c r="AK2963" s="1118"/>
      <c r="AL2963" s="1115"/>
      <c r="AM2963" s="1115"/>
      <c r="AN2963" s="1115"/>
      <c r="AO2963" s="1115"/>
      <c r="AP2963" s="1115"/>
      <c r="AQ2963" s="1115"/>
      <c r="AR2963" s="1115"/>
      <c r="AS2963" s="1117"/>
      <c r="AT2963" s="1075"/>
      <c r="AU2963" s="1193"/>
      <c r="AV2963" s="330"/>
      <c r="AW2963" s="331"/>
      <c r="AX2963" s="331"/>
      <c r="AY2963" s="331"/>
      <c r="AZ2963" s="331"/>
      <c r="BA2963" s="331"/>
      <c r="BB2963" s="331"/>
      <c r="BC2963" s="331"/>
      <c r="BD2963" s="331"/>
      <c r="BE2963" s="333"/>
      <c r="BF2963" s="330"/>
      <c r="BG2963" s="333"/>
      <c r="BH2963" s="1119"/>
      <c r="BI2963" s="319"/>
      <c r="BJ2963" s="319"/>
      <c r="BK2963" s="319"/>
      <c r="BL2963" s="319"/>
      <c r="BM2963" s="319"/>
      <c r="BN2963" s="319"/>
      <c r="BO2963" s="319"/>
      <c r="BP2963" s="953"/>
      <c r="BQ2963" s="319"/>
      <c r="BR2963" s="319"/>
      <c r="BS2963" s="330"/>
      <c r="BT2963" s="331"/>
      <c r="BU2963" s="920"/>
      <c r="BV2963" s="903"/>
      <c r="BW2963" s="908"/>
      <c r="BX2963" s="908"/>
      <c r="BY2963" s="331"/>
      <c r="BZ2963" s="331"/>
      <c r="CA2963" s="462"/>
      <c r="CB2963" s="319"/>
      <c r="CC2963" s="319"/>
      <c r="CD2963" s="319"/>
      <c r="CE2963" s="319"/>
      <c r="CF2963" s="319"/>
      <c r="CG2963" s="319"/>
      <c r="CH2963" s="318"/>
      <c r="CI2963" s="319"/>
      <c r="CJ2963" s="319"/>
      <c r="CK2963" s="342"/>
      <c r="CL2963" s="333"/>
      <c r="CM2963" s="1079"/>
      <c r="CN2963" s="1005"/>
      <c r="CO2963" s="1005"/>
      <c r="CP2963" s="1005"/>
    </row>
    <row r="2964">
      <c r="A2964" s="1257"/>
      <c r="B2964" s="1113"/>
      <c r="C2964" s="1107"/>
      <c r="D2964" s="103"/>
      <c r="E2964" s="1137"/>
      <c r="F2964" s="112"/>
      <c r="G2964" s="1110"/>
      <c r="H2964" s="1138"/>
      <c r="I2964" s="1138"/>
      <c r="J2964" s="1139"/>
      <c r="K2964" s="1111"/>
      <c r="L2964" s="1112"/>
      <c r="M2964" s="1113"/>
      <c r="N2964" s="110"/>
      <c r="O2964" s="1140"/>
      <c r="P2964" s="1115"/>
      <c r="Q2964" s="1116"/>
      <c r="R2964" s="1141"/>
      <c r="S2964" s="1113"/>
      <c r="T2964" s="1143"/>
      <c r="U2964" s="1108"/>
      <c r="V2964" s="1108"/>
      <c r="W2964" s="1108"/>
      <c r="X2964" s="1108"/>
      <c r="Y2964" s="1108"/>
      <c r="Z2964" s="1114"/>
      <c r="AA2964" s="1114"/>
      <c r="AB2964" s="1114"/>
      <c r="AC2964" s="1117"/>
      <c r="AD2964" s="1115"/>
      <c r="AE2964" s="1115"/>
      <c r="AF2964" s="1115"/>
      <c r="AG2964" s="1115"/>
      <c r="AH2964" s="1115"/>
      <c r="AI2964" s="1115"/>
      <c r="AJ2964" s="1117"/>
      <c r="AK2964" s="1118"/>
      <c r="AL2964" s="1115"/>
      <c r="AM2964" s="1115"/>
      <c r="AN2964" s="1115"/>
      <c r="AO2964" s="1115"/>
      <c r="AP2964" s="1115"/>
      <c r="AQ2964" s="1115"/>
      <c r="AR2964" s="1115"/>
      <c r="AS2964" s="1117"/>
      <c r="AT2964" s="1075"/>
      <c r="AU2964" s="1193"/>
      <c r="AV2964" s="330"/>
      <c r="AW2964" s="331"/>
      <c r="AX2964" s="331"/>
      <c r="AY2964" s="331"/>
      <c r="AZ2964" s="331"/>
      <c r="BA2964" s="331"/>
      <c r="BB2964" s="331"/>
      <c r="BC2964" s="331"/>
      <c r="BD2964" s="331"/>
      <c r="BE2964" s="333"/>
      <c r="BF2964" s="330"/>
      <c r="BG2964" s="333"/>
      <c r="BH2964" s="1119"/>
      <c r="BI2964" s="319"/>
      <c r="BJ2964" s="319"/>
      <c r="BK2964" s="319"/>
      <c r="BL2964" s="319"/>
      <c r="BM2964" s="319"/>
      <c r="BN2964" s="319"/>
      <c r="BO2964" s="319"/>
      <c r="BP2964" s="953"/>
      <c r="BQ2964" s="319"/>
      <c r="BR2964" s="319"/>
      <c r="BS2964" s="330"/>
      <c r="BT2964" s="331"/>
      <c r="BU2964" s="920"/>
      <c r="BV2964" s="903"/>
      <c r="BW2964" s="908"/>
      <c r="BX2964" s="908"/>
      <c r="BY2964" s="331"/>
      <c r="BZ2964" s="331"/>
      <c r="CA2964" s="462"/>
      <c r="CB2964" s="319"/>
      <c r="CC2964" s="319"/>
      <c r="CD2964" s="319"/>
      <c r="CE2964" s="319"/>
      <c r="CF2964" s="319"/>
      <c r="CG2964" s="319"/>
      <c r="CH2964" s="318"/>
      <c r="CI2964" s="319"/>
      <c r="CJ2964" s="319"/>
      <c r="CK2964" s="342"/>
      <c r="CL2964" s="333"/>
      <c r="CM2964" s="1079"/>
      <c r="CN2964" s="1005"/>
      <c r="CO2964" s="1005"/>
      <c r="CP2964" s="1005"/>
    </row>
    <row r="2965">
      <c r="A2965" s="1257"/>
      <c r="B2965" s="1113"/>
      <c r="C2965" s="1107"/>
      <c r="D2965" s="103"/>
      <c r="E2965" s="1137"/>
      <c r="F2965" s="112"/>
      <c r="G2965" s="1110"/>
      <c r="H2965" s="1138"/>
      <c r="I2965" s="1138"/>
      <c r="J2965" s="1139"/>
      <c r="K2965" s="1111"/>
      <c r="L2965" s="1112"/>
      <c r="M2965" s="1113"/>
      <c r="N2965" s="110"/>
      <c r="O2965" s="1140"/>
      <c r="P2965" s="1115"/>
      <c r="Q2965" s="1116"/>
      <c r="R2965" s="1141"/>
      <c r="S2965" s="1113"/>
      <c r="T2965" s="1143"/>
      <c r="U2965" s="1108"/>
      <c r="V2965" s="1108"/>
      <c r="W2965" s="1108"/>
      <c r="X2965" s="1108"/>
      <c r="Y2965" s="1108"/>
      <c r="Z2965" s="1114"/>
      <c r="AA2965" s="1114"/>
      <c r="AB2965" s="1114"/>
      <c r="AC2965" s="1117"/>
      <c r="AD2965" s="1115"/>
      <c r="AE2965" s="1115"/>
      <c r="AF2965" s="1115"/>
      <c r="AG2965" s="1115"/>
      <c r="AH2965" s="1115"/>
      <c r="AI2965" s="1115"/>
      <c r="AJ2965" s="1117"/>
      <c r="AK2965" s="1118"/>
      <c r="AL2965" s="1115"/>
      <c r="AM2965" s="1115"/>
      <c r="AN2965" s="1115"/>
      <c r="AO2965" s="1115"/>
      <c r="AP2965" s="1115"/>
      <c r="AQ2965" s="1115"/>
      <c r="AR2965" s="1115"/>
      <c r="AS2965" s="1117"/>
      <c r="AT2965" s="1075"/>
      <c r="AU2965" s="1193"/>
      <c r="AV2965" s="330"/>
      <c r="AW2965" s="331"/>
      <c r="AX2965" s="331"/>
      <c r="AY2965" s="331"/>
      <c r="AZ2965" s="331"/>
      <c r="BA2965" s="331"/>
      <c r="BB2965" s="331"/>
      <c r="BC2965" s="331"/>
      <c r="BD2965" s="331"/>
      <c r="BE2965" s="333"/>
      <c r="BF2965" s="330"/>
      <c r="BG2965" s="333"/>
      <c r="BH2965" s="1119"/>
      <c r="BI2965" s="319"/>
      <c r="BJ2965" s="319"/>
      <c r="BK2965" s="319"/>
      <c r="BL2965" s="319"/>
      <c r="BM2965" s="319"/>
      <c r="BN2965" s="319"/>
      <c r="BO2965" s="319"/>
      <c r="BP2965" s="953"/>
      <c r="BQ2965" s="319"/>
      <c r="BR2965" s="319"/>
      <c r="BS2965" s="330"/>
      <c r="BT2965" s="331"/>
      <c r="BU2965" s="920"/>
      <c r="BV2965" s="903"/>
      <c r="BW2965" s="908"/>
      <c r="BX2965" s="908"/>
      <c r="BY2965" s="331"/>
      <c r="BZ2965" s="331"/>
      <c r="CA2965" s="462"/>
      <c r="CB2965" s="319"/>
      <c r="CC2965" s="319"/>
      <c r="CD2965" s="319"/>
      <c r="CE2965" s="319"/>
      <c r="CF2965" s="319"/>
      <c r="CG2965" s="319"/>
      <c r="CH2965" s="318"/>
      <c r="CI2965" s="319"/>
      <c r="CJ2965" s="319"/>
      <c r="CK2965" s="342"/>
      <c r="CL2965" s="333"/>
      <c r="CM2965" s="1079"/>
      <c r="CN2965" s="1005"/>
      <c r="CO2965" s="1005"/>
      <c r="CP2965" s="1005"/>
    </row>
    <row r="2966">
      <c r="A2966" s="1257"/>
      <c r="B2966" s="1113"/>
      <c r="C2966" s="1107"/>
      <c r="D2966" s="103"/>
      <c r="E2966" s="1137"/>
      <c r="F2966" s="112"/>
      <c r="G2966" s="1110"/>
      <c r="H2966" s="1138"/>
      <c r="I2966" s="1138"/>
      <c r="J2966" s="1139"/>
      <c r="K2966" s="1111"/>
      <c r="L2966" s="1112"/>
      <c r="M2966" s="1113"/>
      <c r="N2966" s="110"/>
      <c r="O2966" s="1140"/>
      <c r="P2966" s="1115"/>
      <c r="Q2966" s="1116"/>
      <c r="R2966" s="1141"/>
      <c r="S2966" s="1113"/>
      <c r="T2966" s="1143"/>
      <c r="U2966" s="1108"/>
      <c r="V2966" s="1108"/>
      <c r="W2966" s="1108"/>
      <c r="X2966" s="1108"/>
      <c r="Y2966" s="1108"/>
      <c r="Z2966" s="1114"/>
      <c r="AA2966" s="1114"/>
      <c r="AB2966" s="1114"/>
      <c r="AC2966" s="1117"/>
      <c r="AD2966" s="1115"/>
      <c r="AE2966" s="1115"/>
      <c r="AF2966" s="1115"/>
      <c r="AG2966" s="1115"/>
      <c r="AH2966" s="1115"/>
      <c r="AI2966" s="1115"/>
      <c r="AJ2966" s="1117"/>
      <c r="AK2966" s="1118"/>
      <c r="AL2966" s="1115"/>
      <c r="AM2966" s="1115"/>
      <c r="AN2966" s="1115"/>
      <c r="AO2966" s="1115"/>
      <c r="AP2966" s="1115"/>
      <c r="AQ2966" s="1115"/>
      <c r="AR2966" s="1115"/>
      <c r="AS2966" s="1117"/>
      <c r="AT2966" s="1075"/>
      <c r="AU2966" s="1193"/>
      <c r="AV2966" s="330"/>
      <c r="AW2966" s="331"/>
      <c r="AX2966" s="331"/>
      <c r="AY2966" s="331"/>
      <c r="AZ2966" s="331"/>
      <c r="BA2966" s="331"/>
      <c r="BB2966" s="331"/>
      <c r="BC2966" s="331"/>
      <c r="BD2966" s="331"/>
      <c r="BE2966" s="333"/>
      <c r="BF2966" s="330"/>
      <c r="BG2966" s="333"/>
      <c r="BH2966" s="1119"/>
      <c r="BI2966" s="319"/>
      <c r="BJ2966" s="319"/>
      <c r="BK2966" s="319"/>
      <c r="BL2966" s="319"/>
      <c r="BM2966" s="319"/>
      <c r="BN2966" s="319"/>
      <c r="BO2966" s="319"/>
      <c r="BP2966" s="953"/>
      <c r="BQ2966" s="319"/>
      <c r="BR2966" s="319"/>
      <c r="BS2966" s="330"/>
      <c r="BT2966" s="331"/>
      <c r="BU2966" s="920"/>
      <c r="BV2966" s="903"/>
      <c r="BW2966" s="908"/>
      <c r="BX2966" s="908"/>
      <c r="BY2966" s="331"/>
      <c r="BZ2966" s="331"/>
      <c r="CA2966" s="462"/>
      <c r="CB2966" s="319"/>
      <c r="CC2966" s="319"/>
      <c r="CD2966" s="319"/>
      <c r="CE2966" s="319"/>
      <c r="CF2966" s="319"/>
      <c r="CG2966" s="319"/>
      <c r="CH2966" s="318"/>
      <c r="CI2966" s="319"/>
      <c r="CJ2966" s="319"/>
      <c r="CK2966" s="342"/>
      <c r="CL2966" s="333"/>
      <c r="CM2966" s="1079"/>
      <c r="CN2966" s="1005"/>
      <c r="CO2966" s="1005"/>
      <c r="CP2966" s="1005"/>
    </row>
    <row r="2967">
      <c r="A2967" s="1257"/>
      <c r="B2967" s="1113"/>
      <c r="C2967" s="1107"/>
      <c r="D2967" s="103"/>
      <c r="E2967" s="1137"/>
      <c r="F2967" s="112"/>
      <c r="G2967" s="1110"/>
      <c r="H2967" s="1138"/>
      <c r="I2967" s="1138"/>
      <c r="J2967" s="1139"/>
      <c r="K2967" s="1111"/>
      <c r="L2967" s="1112"/>
      <c r="M2967" s="1113"/>
      <c r="N2967" s="110"/>
      <c r="O2967" s="1140"/>
      <c r="P2967" s="1115"/>
      <c r="Q2967" s="1116"/>
      <c r="R2967" s="1141"/>
      <c r="S2967" s="1113"/>
      <c r="T2967" s="1143"/>
      <c r="U2967" s="1108"/>
      <c r="V2967" s="1108"/>
      <c r="W2967" s="1108"/>
      <c r="X2967" s="1108"/>
      <c r="Y2967" s="1108"/>
      <c r="Z2967" s="1114"/>
      <c r="AA2967" s="1114"/>
      <c r="AB2967" s="1114"/>
      <c r="AC2967" s="1117"/>
      <c r="AD2967" s="1115"/>
      <c r="AE2967" s="1115"/>
      <c r="AF2967" s="1115"/>
      <c r="AG2967" s="1115"/>
      <c r="AH2967" s="1115"/>
      <c r="AI2967" s="1115"/>
      <c r="AJ2967" s="1117"/>
      <c r="AK2967" s="1118"/>
      <c r="AL2967" s="1115"/>
      <c r="AM2967" s="1115"/>
      <c r="AN2967" s="1115"/>
      <c r="AO2967" s="1115"/>
      <c r="AP2967" s="1115"/>
      <c r="AQ2967" s="1115"/>
      <c r="AR2967" s="1115"/>
      <c r="AS2967" s="1117"/>
      <c r="AT2967" s="1075"/>
      <c r="AU2967" s="1193"/>
      <c r="AV2967" s="330"/>
      <c r="AW2967" s="331"/>
      <c r="AX2967" s="331"/>
      <c r="AY2967" s="331"/>
      <c r="AZ2967" s="331"/>
      <c r="BA2967" s="331"/>
      <c r="BB2967" s="331"/>
      <c r="BC2967" s="331"/>
      <c r="BD2967" s="331"/>
      <c r="BE2967" s="333"/>
      <c r="BF2967" s="330"/>
      <c r="BG2967" s="333"/>
      <c r="BH2967" s="1119"/>
      <c r="BI2967" s="319"/>
      <c r="BJ2967" s="319"/>
      <c r="BK2967" s="319"/>
      <c r="BL2967" s="319"/>
      <c r="BM2967" s="319"/>
      <c r="BN2967" s="319"/>
      <c r="BO2967" s="319"/>
      <c r="BP2967" s="953"/>
      <c r="BQ2967" s="319"/>
      <c r="BR2967" s="319"/>
      <c r="BS2967" s="330"/>
      <c r="BT2967" s="331"/>
      <c r="BU2967" s="920"/>
      <c r="BV2967" s="903"/>
      <c r="BW2967" s="908"/>
      <c r="BX2967" s="908"/>
      <c r="BY2967" s="331"/>
      <c r="BZ2967" s="331"/>
      <c r="CA2967" s="462"/>
      <c r="CB2967" s="319"/>
      <c r="CC2967" s="319"/>
      <c r="CD2967" s="319"/>
      <c r="CE2967" s="319"/>
      <c r="CF2967" s="319"/>
      <c r="CG2967" s="319"/>
      <c r="CH2967" s="318"/>
      <c r="CI2967" s="319"/>
      <c r="CJ2967" s="319"/>
      <c r="CK2967" s="342"/>
      <c r="CL2967" s="333"/>
      <c r="CM2967" s="1079"/>
      <c r="CN2967" s="1005"/>
      <c r="CO2967" s="1005"/>
      <c r="CP2967" s="1005"/>
    </row>
    <row r="2968">
      <c r="A2968" s="1257"/>
      <c r="B2968" s="1113"/>
      <c r="C2968" s="1107"/>
      <c r="D2968" s="103"/>
      <c r="E2968" s="1137"/>
      <c r="F2968" s="112"/>
      <c r="G2968" s="1110"/>
      <c r="H2968" s="1138"/>
      <c r="I2968" s="1138"/>
      <c r="J2968" s="1139"/>
      <c r="K2968" s="1111"/>
      <c r="L2968" s="1112"/>
      <c r="M2968" s="1113"/>
      <c r="N2968" s="110"/>
      <c r="O2968" s="1140"/>
      <c r="P2968" s="1115"/>
      <c r="Q2968" s="1116"/>
      <c r="R2968" s="1141"/>
      <c r="S2968" s="1113"/>
      <c r="T2968" s="1143"/>
      <c r="U2968" s="1108"/>
      <c r="V2968" s="1108"/>
      <c r="W2968" s="1108"/>
      <c r="X2968" s="1108"/>
      <c r="Y2968" s="1108"/>
      <c r="Z2968" s="1114"/>
      <c r="AA2968" s="1114"/>
      <c r="AB2968" s="1114"/>
      <c r="AC2968" s="1117"/>
      <c r="AD2968" s="1115"/>
      <c r="AE2968" s="1115"/>
      <c r="AF2968" s="1115"/>
      <c r="AG2968" s="1115"/>
      <c r="AH2968" s="1115"/>
      <c r="AI2968" s="1115"/>
      <c r="AJ2968" s="1117"/>
      <c r="AK2968" s="1118"/>
      <c r="AL2968" s="1115"/>
      <c r="AM2968" s="1115"/>
      <c r="AN2968" s="1115"/>
      <c r="AO2968" s="1115"/>
      <c r="AP2968" s="1115"/>
      <c r="AQ2968" s="1115"/>
      <c r="AR2968" s="1115"/>
      <c r="AS2968" s="1117"/>
      <c r="AT2968" s="1075"/>
      <c r="AU2968" s="1193"/>
      <c r="AV2968" s="330"/>
      <c r="AW2968" s="331"/>
      <c r="AX2968" s="331"/>
      <c r="AY2968" s="331"/>
      <c r="AZ2968" s="331"/>
      <c r="BA2968" s="331"/>
      <c r="BB2968" s="331"/>
      <c r="BC2968" s="331"/>
      <c r="BD2968" s="331"/>
      <c r="BE2968" s="333"/>
      <c r="BF2968" s="330"/>
      <c r="BG2968" s="333"/>
      <c r="BH2968" s="1119"/>
      <c r="BI2968" s="319"/>
      <c r="BJ2968" s="319"/>
      <c r="BK2968" s="319"/>
      <c r="BL2968" s="319"/>
      <c r="BM2968" s="319"/>
      <c r="BN2968" s="319"/>
      <c r="BO2968" s="319"/>
      <c r="BP2968" s="953"/>
      <c r="BQ2968" s="319"/>
      <c r="BR2968" s="319"/>
      <c r="BS2968" s="330"/>
      <c r="BT2968" s="331"/>
      <c r="BU2968" s="920"/>
      <c r="BV2968" s="903"/>
      <c r="BW2968" s="908"/>
      <c r="BX2968" s="908"/>
      <c r="BY2968" s="331"/>
      <c r="BZ2968" s="331"/>
      <c r="CA2968" s="462"/>
      <c r="CB2968" s="319"/>
      <c r="CC2968" s="319"/>
      <c r="CD2968" s="319"/>
      <c r="CE2968" s="319"/>
      <c r="CF2968" s="319"/>
      <c r="CG2968" s="319"/>
      <c r="CH2968" s="318"/>
      <c r="CI2968" s="319"/>
      <c r="CJ2968" s="319"/>
      <c r="CK2968" s="342"/>
      <c r="CL2968" s="333"/>
      <c r="CM2968" s="1079"/>
      <c r="CN2968" s="1005"/>
      <c r="CO2968" s="1005"/>
      <c r="CP2968" s="1005"/>
    </row>
    <row r="2969">
      <c r="A2969" s="1257"/>
      <c r="B2969" s="1113"/>
      <c r="C2969" s="1107"/>
      <c r="D2969" s="103"/>
      <c r="E2969" s="1137"/>
      <c r="F2969" s="112"/>
      <c r="G2969" s="1110"/>
      <c r="H2969" s="1138"/>
      <c r="I2969" s="1138"/>
      <c r="J2969" s="1139"/>
      <c r="K2969" s="1111"/>
      <c r="L2969" s="1112"/>
      <c r="M2969" s="1113"/>
      <c r="N2969" s="110"/>
      <c r="O2969" s="1140"/>
      <c r="P2969" s="1115"/>
      <c r="Q2969" s="1116"/>
      <c r="R2969" s="1141"/>
      <c r="S2969" s="1113"/>
      <c r="T2969" s="1143"/>
      <c r="U2969" s="1108"/>
      <c r="V2969" s="1108"/>
      <c r="W2969" s="1108"/>
      <c r="X2969" s="1108"/>
      <c r="Y2969" s="1108"/>
      <c r="Z2969" s="1114"/>
      <c r="AA2969" s="1114"/>
      <c r="AB2969" s="1114"/>
      <c r="AC2969" s="1117"/>
      <c r="AD2969" s="1115"/>
      <c r="AE2969" s="1115"/>
      <c r="AF2969" s="1115"/>
      <c r="AG2969" s="1115"/>
      <c r="AH2969" s="1115"/>
      <c r="AI2969" s="1115"/>
      <c r="AJ2969" s="1117"/>
      <c r="AK2969" s="1118"/>
      <c r="AL2969" s="1115"/>
      <c r="AM2969" s="1115"/>
      <c r="AN2969" s="1115"/>
      <c r="AO2969" s="1115"/>
      <c r="AP2969" s="1115"/>
      <c r="AQ2969" s="1115"/>
      <c r="AR2969" s="1115"/>
      <c r="AS2969" s="1117"/>
      <c r="AT2969" s="1075"/>
      <c r="AU2969" s="1193"/>
      <c r="AV2969" s="330"/>
      <c r="AW2969" s="331"/>
      <c r="AX2969" s="331"/>
      <c r="AY2969" s="331"/>
      <c r="AZ2969" s="331"/>
      <c r="BA2969" s="331"/>
      <c r="BB2969" s="331"/>
      <c r="BC2969" s="331"/>
      <c r="BD2969" s="331"/>
      <c r="BE2969" s="333"/>
      <c r="BF2969" s="330"/>
      <c r="BG2969" s="333"/>
      <c r="BH2969" s="1119"/>
      <c r="BI2969" s="319"/>
      <c r="BJ2969" s="319"/>
      <c r="BK2969" s="319"/>
      <c r="BL2969" s="319"/>
      <c r="BM2969" s="319"/>
      <c r="BN2969" s="319"/>
      <c r="BO2969" s="319"/>
      <c r="BP2969" s="953"/>
      <c r="BQ2969" s="319"/>
      <c r="BR2969" s="319"/>
      <c r="BS2969" s="330"/>
      <c r="BT2969" s="331"/>
      <c r="BU2969" s="920"/>
      <c r="BV2969" s="903"/>
      <c r="BW2969" s="908"/>
      <c r="BX2969" s="908"/>
      <c r="BY2969" s="331"/>
      <c r="BZ2969" s="331"/>
      <c r="CA2969" s="462"/>
      <c r="CB2969" s="319"/>
      <c r="CC2969" s="319"/>
      <c r="CD2969" s="319"/>
      <c r="CE2969" s="319"/>
      <c r="CF2969" s="319"/>
      <c r="CG2969" s="319"/>
      <c r="CH2969" s="318"/>
      <c r="CI2969" s="319"/>
      <c r="CJ2969" s="319"/>
      <c r="CK2969" s="342"/>
      <c r="CL2969" s="333"/>
      <c r="CM2969" s="1079"/>
      <c r="CN2969" s="1005"/>
      <c r="CO2969" s="1005"/>
      <c r="CP2969" s="1005"/>
    </row>
    <row r="2970">
      <c r="A2970" s="1257"/>
      <c r="B2970" s="1113"/>
      <c r="C2970" s="1107"/>
      <c r="D2970" s="103"/>
      <c r="E2970" s="1137"/>
      <c r="F2970" s="112"/>
      <c r="G2970" s="1110"/>
      <c r="H2970" s="1138"/>
      <c r="I2970" s="1138"/>
      <c r="J2970" s="1139"/>
      <c r="K2970" s="1111"/>
      <c r="L2970" s="1112"/>
      <c r="M2970" s="1113"/>
      <c r="N2970" s="110"/>
      <c r="O2970" s="1140"/>
      <c r="P2970" s="1115"/>
      <c r="Q2970" s="1116"/>
      <c r="R2970" s="1141"/>
      <c r="S2970" s="1113"/>
      <c r="T2970" s="1143"/>
      <c r="U2970" s="1108"/>
      <c r="V2970" s="1108"/>
      <c r="W2970" s="1108"/>
      <c r="X2970" s="1108"/>
      <c r="Y2970" s="1108"/>
      <c r="Z2970" s="1114"/>
      <c r="AA2970" s="1114"/>
      <c r="AB2970" s="1114"/>
      <c r="AC2970" s="1117"/>
      <c r="AD2970" s="1115"/>
      <c r="AE2970" s="1115"/>
      <c r="AF2970" s="1115"/>
      <c r="AG2970" s="1115"/>
      <c r="AH2970" s="1115"/>
      <c r="AI2970" s="1115"/>
      <c r="AJ2970" s="1117"/>
      <c r="AK2970" s="1118"/>
      <c r="AL2970" s="1115"/>
      <c r="AM2970" s="1115"/>
      <c r="AN2970" s="1115"/>
      <c r="AO2970" s="1115"/>
      <c r="AP2970" s="1115"/>
      <c r="AQ2970" s="1115"/>
      <c r="AR2970" s="1115"/>
      <c r="AS2970" s="1117"/>
      <c r="AT2970" s="1075"/>
      <c r="AU2970" s="1193"/>
      <c r="AV2970" s="330"/>
      <c r="AW2970" s="331"/>
      <c r="AX2970" s="331"/>
      <c r="AY2970" s="331"/>
      <c r="AZ2970" s="331"/>
      <c r="BA2970" s="331"/>
      <c r="BB2970" s="331"/>
      <c r="BC2970" s="331"/>
      <c r="BD2970" s="331"/>
      <c r="BE2970" s="333"/>
      <c r="BF2970" s="330"/>
      <c r="BG2970" s="333"/>
      <c r="BH2970" s="1119"/>
      <c r="BI2970" s="319"/>
      <c r="BJ2970" s="319"/>
      <c r="BK2970" s="319"/>
      <c r="BL2970" s="319"/>
      <c r="BM2970" s="319"/>
      <c r="BN2970" s="319"/>
      <c r="BO2970" s="319"/>
      <c r="BP2970" s="953"/>
      <c r="BQ2970" s="319"/>
      <c r="BR2970" s="319"/>
      <c r="BS2970" s="330"/>
      <c r="BT2970" s="331"/>
      <c r="BU2970" s="920"/>
      <c r="BV2970" s="903"/>
      <c r="BW2970" s="908"/>
      <c r="BX2970" s="908"/>
      <c r="BY2970" s="331"/>
      <c r="BZ2970" s="331"/>
      <c r="CA2970" s="462"/>
      <c r="CB2970" s="319"/>
      <c r="CC2970" s="319"/>
      <c r="CD2970" s="319"/>
      <c r="CE2970" s="319"/>
      <c r="CF2970" s="319"/>
      <c r="CG2970" s="319"/>
      <c r="CH2970" s="318"/>
      <c r="CI2970" s="319"/>
      <c r="CJ2970" s="319"/>
      <c r="CK2970" s="342"/>
      <c r="CL2970" s="333"/>
      <c r="CM2970" s="1079"/>
      <c r="CN2970" s="1005"/>
      <c r="CO2970" s="1005"/>
      <c r="CP2970" s="1005"/>
    </row>
    <row r="2971">
      <c r="A2971" s="1257"/>
      <c r="B2971" s="1113"/>
      <c r="C2971" s="1107"/>
      <c r="D2971" s="103"/>
      <c r="E2971" s="1137"/>
      <c r="F2971" s="112"/>
      <c r="G2971" s="1110"/>
      <c r="H2971" s="1138"/>
      <c r="I2971" s="1138"/>
      <c r="J2971" s="1139"/>
      <c r="K2971" s="1111"/>
      <c r="L2971" s="1112"/>
      <c r="M2971" s="1113"/>
      <c r="N2971" s="110"/>
      <c r="O2971" s="1140"/>
      <c r="P2971" s="1115"/>
      <c r="Q2971" s="1116"/>
      <c r="R2971" s="1141"/>
      <c r="S2971" s="1113"/>
      <c r="T2971" s="1143"/>
      <c r="U2971" s="1108"/>
      <c r="V2971" s="1108"/>
      <c r="W2971" s="1108"/>
      <c r="X2971" s="1108"/>
      <c r="Y2971" s="1108"/>
      <c r="Z2971" s="1114"/>
      <c r="AA2971" s="1114"/>
      <c r="AB2971" s="1114"/>
      <c r="AC2971" s="1117"/>
      <c r="AD2971" s="1115"/>
      <c r="AE2971" s="1115"/>
      <c r="AF2971" s="1115"/>
      <c r="AG2971" s="1115"/>
      <c r="AH2971" s="1115"/>
      <c r="AI2971" s="1115"/>
      <c r="AJ2971" s="1117"/>
      <c r="AK2971" s="1118"/>
      <c r="AL2971" s="1115"/>
      <c r="AM2971" s="1115"/>
      <c r="AN2971" s="1115"/>
      <c r="AO2971" s="1115"/>
      <c r="AP2971" s="1115"/>
      <c r="AQ2971" s="1115"/>
      <c r="AR2971" s="1115"/>
      <c r="AS2971" s="1117"/>
      <c r="AT2971" s="1075"/>
      <c r="AU2971" s="1193"/>
      <c r="AV2971" s="330"/>
      <c r="AW2971" s="331"/>
      <c r="AX2971" s="331"/>
      <c r="AY2971" s="331"/>
      <c r="AZ2971" s="331"/>
      <c r="BA2971" s="331"/>
      <c r="BB2971" s="331"/>
      <c r="BC2971" s="331"/>
      <c r="BD2971" s="331"/>
      <c r="BE2971" s="333"/>
      <c r="BF2971" s="330"/>
      <c r="BG2971" s="333"/>
      <c r="BH2971" s="1119"/>
      <c r="BI2971" s="319"/>
      <c r="BJ2971" s="319"/>
      <c r="BK2971" s="319"/>
      <c r="BL2971" s="319"/>
      <c r="BM2971" s="319"/>
      <c r="BN2971" s="319"/>
      <c r="BO2971" s="319"/>
      <c r="BP2971" s="953"/>
      <c r="BQ2971" s="319"/>
      <c r="BR2971" s="319"/>
      <c r="BS2971" s="330"/>
      <c r="BT2971" s="331"/>
      <c r="BU2971" s="920"/>
      <c r="BV2971" s="903"/>
      <c r="BW2971" s="908"/>
      <c r="BX2971" s="908"/>
      <c r="BY2971" s="331"/>
      <c r="BZ2971" s="331"/>
      <c r="CA2971" s="462"/>
      <c r="CB2971" s="319"/>
      <c r="CC2971" s="319"/>
      <c r="CD2971" s="319"/>
      <c r="CE2971" s="319"/>
      <c r="CF2971" s="319"/>
      <c r="CG2971" s="319"/>
      <c r="CH2971" s="318"/>
      <c r="CI2971" s="319"/>
      <c r="CJ2971" s="319"/>
      <c r="CK2971" s="342"/>
      <c r="CL2971" s="333"/>
      <c r="CM2971" s="1079"/>
      <c r="CN2971" s="1005"/>
      <c r="CO2971" s="1005"/>
      <c r="CP2971" s="1005"/>
    </row>
    <row r="2972">
      <c r="A2972" s="1257"/>
      <c r="B2972" s="1113"/>
      <c r="C2972" s="1107"/>
      <c r="D2972" s="103"/>
      <c r="E2972" s="1137"/>
      <c r="F2972" s="112"/>
      <c r="G2972" s="1110"/>
      <c r="H2972" s="1138"/>
      <c r="I2972" s="1138"/>
      <c r="J2972" s="1139"/>
      <c r="K2972" s="1111"/>
      <c r="L2972" s="1112"/>
      <c r="M2972" s="1113"/>
      <c r="N2972" s="110"/>
      <c r="O2972" s="1140"/>
      <c r="P2972" s="1115"/>
      <c r="Q2972" s="1116"/>
      <c r="R2972" s="1141"/>
      <c r="S2972" s="1113"/>
      <c r="T2972" s="1143"/>
      <c r="U2972" s="1108"/>
      <c r="V2972" s="1108"/>
      <c r="W2972" s="1108"/>
      <c r="X2972" s="1108"/>
      <c r="Y2972" s="1108"/>
      <c r="Z2972" s="1114"/>
      <c r="AA2972" s="1114"/>
      <c r="AB2972" s="1114"/>
      <c r="AC2972" s="1117"/>
      <c r="AD2972" s="1115"/>
      <c r="AE2972" s="1115"/>
      <c r="AF2972" s="1115"/>
      <c r="AG2972" s="1115"/>
      <c r="AH2972" s="1115"/>
      <c r="AI2972" s="1115"/>
      <c r="AJ2972" s="1117"/>
      <c r="AK2972" s="1118"/>
      <c r="AL2972" s="1115"/>
      <c r="AM2972" s="1115"/>
      <c r="AN2972" s="1115"/>
      <c r="AO2972" s="1115"/>
      <c r="AP2972" s="1115"/>
      <c r="AQ2972" s="1115"/>
      <c r="AR2972" s="1115"/>
      <c r="AS2972" s="1117"/>
      <c r="AT2972" s="1075"/>
      <c r="AU2972" s="1193"/>
      <c r="AV2972" s="330"/>
      <c r="AW2972" s="331"/>
      <c r="AX2972" s="331"/>
      <c r="AY2972" s="331"/>
      <c r="AZ2972" s="331"/>
      <c r="BA2972" s="331"/>
      <c r="BB2972" s="331"/>
      <c r="BC2972" s="331"/>
      <c r="BD2972" s="331"/>
      <c r="BE2972" s="333"/>
      <c r="BF2972" s="330"/>
      <c r="BG2972" s="333"/>
      <c r="BH2972" s="1119"/>
      <c r="BI2972" s="319"/>
      <c r="BJ2972" s="319"/>
      <c r="BK2972" s="319"/>
      <c r="BL2972" s="319"/>
      <c r="BM2972" s="319"/>
      <c r="BN2972" s="319"/>
      <c r="BO2972" s="319"/>
      <c r="BP2972" s="953"/>
      <c r="BQ2972" s="319"/>
      <c r="BR2972" s="319"/>
      <c r="BS2972" s="330"/>
      <c r="BT2972" s="331"/>
      <c r="BU2972" s="920"/>
      <c r="BV2972" s="903"/>
      <c r="BW2972" s="908"/>
      <c r="BX2972" s="908"/>
      <c r="BY2972" s="331"/>
      <c r="BZ2972" s="331"/>
      <c r="CA2972" s="462"/>
      <c r="CB2972" s="319"/>
      <c r="CC2972" s="319"/>
      <c r="CD2972" s="319"/>
      <c r="CE2972" s="319"/>
      <c r="CF2972" s="319"/>
      <c r="CG2972" s="319"/>
      <c r="CH2972" s="318"/>
      <c r="CI2972" s="319"/>
      <c r="CJ2972" s="319"/>
      <c r="CK2972" s="342"/>
      <c r="CL2972" s="333"/>
      <c r="CM2972" s="1079"/>
      <c r="CN2972" s="1005"/>
      <c r="CO2972" s="1005"/>
      <c r="CP2972" s="1005"/>
    </row>
    <row r="2973">
      <c r="A2973" s="1257"/>
      <c r="B2973" s="1113"/>
      <c r="C2973" s="1107"/>
      <c r="D2973" s="103"/>
      <c r="E2973" s="1137"/>
      <c r="F2973" s="112"/>
      <c r="G2973" s="1110"/>
      <c r="H2973" s="1138"/>
      <c r="I2973" s="1138"/>
      <c r="J2973" s="1139"/>
      <c r="K2973" s="1111"/>
      <c r="L2973" s="1112"/>
      <c r="M2973" s="1113"/>
      <c r="N2973" s="110"/>
      <c r="O2973" s="1140"/>
      <c r="P2973" s="1115"/>
      <c r="Q2973" s="1116"/>
      <c r="R2973" s="1141"/>
      <c r="S2973" s="1113"/>
      <c r="T2973" s="1143"/>
      <c r="U2973" s="1108"/>
      <c r="V2973" s="1108"/>
      <c r="W2973" s="1108"/>
      <c r="X2973" s="1108"/>
      <c r="Y2973" s="1108"/>
      <c r="Z2973" s="1114"/>
      <c r="AA2973" s="1114"/>
      <c r="AB2973" s="1114"/>
      <c r="AC2973" s="1117"/>
      <c r="AD2973" s="1115"/>
      <c r="AE2973" s="1115"/>
      <c r="AF2973" s="1115"/>
      <c r="AG2973" s="1115"/>
      <c r="AH2973" s="1115"/>
      <c r="AI2973" s="1115"/>
      <c r="AJ2973" s="1117"/>
      <c r="AK2973" s="1118"/>
      <c r="AL2973" s="1115"/>
      <c r="AM2973" s="1115"/>
      <c r="AN2973" s="1115"/>
      <c r="AO2973" s="1115"/>
      <c r="AP2973" s="1115"/>
      <c r="AQ2973" s="1115"/>
      <c r="AR2973" s="1115"/>
      <c r="AS2973" s="1117"/>
      <c r="AT2973" s="1075"/>
      <c r="AU2973" s="1193"/>
      <c r="AV2973" s="330"/>
      <c r="AW2973" s="331"/>
      <c r="AX2973" s="331"/>
      <c r="AY2973" s="331"/>
      <c r="AZ2973" s="331"/>
      <c r="BA2973" s="331"/>
      <c r="BB2973" s="331"/>
      <c r="BC2973" s="331"/>
      <c r="BD2973" s="331"/>
      <c r="BE2973" s="333"/>
      <c r="BF2973" s="330"/>
      <c r="BG2973" s="333"/>
      <c r="BH2973" s="1119"/>
      <c r="BI2973" s="319"/>
      <c r="BJ2973" s="319"/>
      <c r="BK2973" s="319"/>
      <c r="BL2973" s="319"/>
      <c r="BM2973" s="319"/>
      <c r="BN2973" s="319"/>
      <c r="BO2973" s="319"/>
      <c r="BP2973" s="953"/>
      <c r="BQ2973" s="319"/>
      <c r="BR2973" s="319"/>
      <c r="BS2973" s="330"/>
      <c r="BT2973" s="331"/>
      <c r="BU2973" s="920"/>
      <c r="BV2973" s="903"/>
      <c r="BW2973" s="908"/>
      <c r="BX2973" s="908"/>
      <c r="BY2973" s="331"/>
      <c r="BZ2973" s="331"/>
      <c r="CA2973" s="462"/>
      <c r="CB2973" s="319"/>
      <c r="CC2973" s="319"/>
      <c r="CD2973" s="319"/>
      <c r="CE2973" s="319"/>
      <c r="CF2973" s="319"/>
      <c r="CG2973" s="319"/>
      <c r="CH2973" s="318"/>
      <c r="CI2973" s="319"/>
      <c r="CJ2973" s="319"/>
      <c r="CK2973" s="342"/>
      <c r="CL2973" s="333"/>
      <c r="CM2973" s="1079"/>
      <c r="CN2973" s="1005"/>
      <c r="CO2973" s="1005"/>
      <c r="CP2973" s="1005"/>
    </row>
    <row r="2974">
      <c r="A2974" s="1257"/>
      <c r="B2974" s="1113"/>
      <c r="C2974" s="1107"/>
      <c r="D2974" s="103"/>
      <c r="E2974" s="1137"/>
      <c r="F2974" s="112"/>
      <c r="G2974" s="1110"/>
      <c r="H2974" s="1138"/>
      <c r="I2974" s="1138"/>
      <c r="J2974" s="1139"/>
      <c r="K2974" s="1111"/>
      <c r="L2974" s="1112"/>
      <c r="M2974" s="1113"/>
      <c r="N2974" s="110"/>
      <c r="O2974" s="1140"/>
      <c r="P2974" s="1115"/>
      <c r="Q2974" s="1116"/>
      <c r="R2974" s="1141"/>
      <c r="S2974" s="1113"/>
      <c r="T2974" s="1143"/>
      <c r="U2974" s="1108"/>
      <c r="V2974" s="1108"/>
      <c r="W2974" s="1108"/>
      <c r="X2974" s="1108"/>
      <c r="Y2974" s="1108"/>
      <c r="Z2974" s="1114"/>
      <c r="AA2974" s="1114"/>
      <c r="AB2974" s="1114"/>
      <c r="AC2974" s="1117"/>
      <c r="AD2974" s="1115"/>
      <c r="AE2974" s="1115"/>
      <c r="AF2974" s="1115"/>
      <c r="AG2974" s="1115"/>
      <c r="AH2974" s="1115"/>
      <c r="AI2974" s="1115"/>
      <c r="AJ2974" s="1117"/>
      <c r="AK2974" s="1118"/>
      <c r="AL2974" s="1115"/>
      <c r="AM2974" s="1115"/>
      <c r="AN2974" s="1115"/>
      <c r="AO2974" s="1115"/>
      <c r="AP2974" s="1115"/>
      <c r="AQ2974" s="1115"/>
      <c r="AR2974" s="1115"/>
      <c r="AS2974" s="1117"/>
      <c r="AT2974" s="1075"/>
      <c r="AU2974" s="1193"/>
      <c r="AV2974" s="330"/>
      <c r="AW2974" s="331"/>
      <c r="AX2974" s="331"/>
      <c r="AY2974" s="331"/>
      <c r="AZ2974" s="331"/>
      <c r="BA2974" s="331"/>
      <c r="BB2974" s="331"/>
      <c r="BC2974" s="331"/>
      <c r="BD2974" s="331"/>
      <c r="BE2974" s="333"/>
      <c r="BF2974" s="330"/>
      <c r="BG2974" s="333"/>
      <c r="BH2974" s="1119"/>
      <c r="BI2974" s="319"/>
      <c r="BJ2974" s="319"/>
      <c r="BK2974" s="319"/>
      <c r="BL2974" s="319"/>
      <c r="BM2974" s="319"/>
      <c r="BN2974" s="319"/>
      <c r="BO2974" s="319"/>
      <c r="BP2974" s="953"/>
      <c r="BQ2974" s="319"/>
      <c r="BR2974" s="319"/>
      <c r="BS2974" s="330"/>
      <c r="BT2974" s="331"/>
      <c r="BU2974" s="920"/>
      <c r="BV2974" s="903"/>
      <c r="BW2974" s="908"/>
      <c r="BX2974" s="908"/>
      <c r="BY2974" s="331"/>
      <c r="BZ2974" s="331"/>
      <c r="CA2974" s="462"/>
      <c r="CB2974" s="319"/>
      <c r="CC2974" s="319"/>
      <c r="CD2974" s="319"/>
      <c r="CE2974" s="319"/>
      <c r="CF2974" s="319"/>
      <c r="CG2974" s="319"/>
      <c r="CH2974" s="318"/>
      <c r="CI2974" s="319"/>
      <c r="CJ2974" s="319"/>
      <c r="CK2974" s="342"/>
      <c r="CL2974" s="333"/>
      <c r="CM2974" s="1079"/>
      <c r="CN2974" s="1005"/>
      <c r="CO2974" s="1005"/>
      <c r="CP2974" s="1005"/>
    </row>
    <row r="2975">
      <c r="A2975" s="1257"/>
      <c r="B2975" s="1113"/>
      <c r="C2975" s="1107"/>
      <c r="D2975" s="103"/>
      <c r="E2975" s="1137"/>
      <c r="F2975" s="112"/>
      <c r="G2975" s="1110"/>
      <c r="H2975" s="1138"/>
      <c r="I2975" s="1138"/>
      <c r="J2975" s="1139"/>
      <c r="K2975" s="1111"/>
      <c r="L2975" s="1112"/>
      <c r="M2975" s="1113"/>
      <c r="N2975" s="110"/>
      <c r="O2975" s="1140"/>
      <c r="P2975" s="1115"/>
      <c r="Q2975" s="1116"/>
      <c r="R2975" s="1141"/>
      <c r="S2975" s="1113"/>
      <c r="T2975" s="1143"/>
      <c r="U2975" s="1108"/>
      <c r="V2975" s="1108"/>
      <c r="W2975" s="1108"/>
      <c r="X2975" s="1108"/>
      <c r="Y2975" s="1108"/>
      <c r="Z2975" s="1114"/>
      <c r="AA2975" s="1114"/>
      <c r="AB2975" s="1114"/>
      <c r="AC2975" s="1117"/>
      <c r="AD2975" s="1115"/>
      <c r="AE2975" s="1115"/>
      <c r="AF2975" s="1115"/>
      <c r="AG2975" s="1115"/>
      <c r="AH2975" s="1115"/>
      <c r="AI2975" s="1115"/>
      <c r="AJ2975" s="1117"/>
      <c r="AK2975" s="1118"/>
      <c r="AL2975" s="1115"/>
      <c r="AM2975" s="1115"/>
      <c r="AN2975" s="1115"/>
      <c r="AO2975" s="1115"/>
      <c r="AP2975" s="1115"/>
      <c r="AQ2975" s="1115"/>
      <c r="AR2975" s="1115"/>
      <c r="AS2975" s="1117"/>
      <c r="AT2975" s="1075"/>
      <c r="AU2975" s="1193"/>
      <c r="AV2975" s="330"/>
      <c r="AW2975" s="331"/>
      <c r="AX2975" s="331"/>
      <c r="AY2975" s="331"/>
      <c r="AZ2975" s="331"/>
      <c r="BA2975" s="331"/>
      <c r="BB2975" s="331"/>
      <c r="BC2975" s="331"/>
      <c r="BD2975" s="331"/>
      <c r="BE2975" s="333"/>
      <c r="BF2975" s="330"/>
      <c r="BG2975" s="333"/>
      <c r="BH2975" s="1119"/>
      <c r="BI2975" s="319"/>
      <c r="BJ2975" s="319"/>
      <c r="BK2975" s="319"/>
      <c r="BL2975" s="319"/>
      <c r="BM2975" s="319"/>
      <c r="BN2975" s="319"/>
      <c r="BO2975" s="319"/>
      <c r="BP2975" s="953"/>
      <c r="BQ2975" s="319"/>
      <c r="BR2975" s="319"/>
      <c r="BS2975" s="330"/>
      <c r="BT2975" s="331"/>
      <c r="BU2975" s="920"/>
      <c r="BV2975" s="903"/>
      <c r="BW2975" s="908"/>
      <c r="BX2975" s="908"/>
      <c r="BY2975" s="331"/>
      <c r="BZ2975" s="331"/>
      <c r="CA2975" s="462"/>
      <c r="CB2975" s="319"/>
      <c r="CC2975" s="319"/>
      <c r="CD2975" s="319"/>
      <c r="CE2975" s="319"/>
      <c r="CF2975" s="319"/>
      <c r="CG2975" s="319"/>
      <c r="CH2975" s="318"/>
      <c r="CI2975" s="319"/>
      <c r="CJ2975" s="319"/>
      <c r="CK2975" s="342"/>
      <c r="CL2975" s="333"/>
      <c r="CM2975" s="1079"/>
      <c r="CN2975" s="1005"/>
      <c r="CO2975" s="1005"/>
      <c r="CP2975" s="1005"/>
    </row>
    <row r="2976">
      <c r="A2976" s="1257"/>
      <c r="B2976" s="1113"/>
      <c r="C2976" s="1107"/>
      <c r="D2976" s="103"/>
      <c r="E2976" s="1137"/>
      <c r="F2976" s="112"/>
      <c r="G2976" s="1110"/>
      <c r="H2976" s="1138"/>
      <c r="I2976" s="1138"/>
      <c r="J2976" s="1139"/>
      <c r="K2976" s="1111"/>
      <c r="L2976" s="1112"/>
      <c r="M2976" s="1113"/>
      <c r="N2976" s="110"/>
      <c r="O2976" s="1140"/>
      <c r="P2976" s="1115"/>
      <c r="Q2976" s="1116"/>
      <c r="R2976" s="1141"/>
      <c r="S2976" s="1113"/>
      <c r="T2976" s="1143"/>
      <c r="U2976" s="1108"/>
      <c r="V2976" s="1108"/>
      <c r="W2976" s="1108"/>
      <c r="X2976" s="1108"/>
      <c r="Y2976" s="1108"/>
      <c r="Z2976" s="1114"/>
      <c r="AA2976" s="1114"/>
      <c r="AB2976" s="1114"/>
      <c r="AC2976" s="1117"/>
      <c r="AD2976" s="1115"/>
      <c r="AE2976" s="1115"/>
      <c r="AF2976" s="1115"/>
      <c r="AG2976" s="1115"/>
      <c r="AH2976" s="1115"/>
      <c r="AI2976" s="1115"/>
      <c r="AJ2976" s="1117"/>
      <c r="AK2976" s="1118"/>
      <c r="AL2976" s="1115"/>
      <c r="AM2976" s="1115"/>
      <c r="AN2976" s="1115"/>
      <c r="AO2976" s="1115"/>
      <c r="AP2976" s="1115"/>
      <c r="AQ2976" s="1115"/>
      <c r="AR2976" s="1115"/>
      <c r="AS2976" s="1117"/>
      <c r="AT2976" s="1075"/>
      <c r="AU2976" s="1193"/>
      <c r="AV2976" s="330"/>
      <c r="AW2976" s="331"/>
      <c r="AX2976" s="331"/>
      <c r="AY2976" s="331"/>
      <c r="AZ2976" s="331"/>
      <c r="BA2976" s="331"/>
      <c r="BB2976" s="331"/>
      <c r="BC2976" s="331"/>
      <c r="BD2976" s="331"/>
      <c r="BE2976" s="333"/>
      <c r="BF2976" s="330"/>
      <c r="BG2976" s="333"/>
      <c r="BH2976" s="1119"/>
      <c r="BI2976" s="319"/>
      <c r="BJ2976" s="319"/>
      <c r="BK2976" s="319"/>
      <c r="BL2976" s="319"/>
      <c r="BM2976" s="319"/>
      <c r="BN2976" s="319"/>
      <c r="BO2976" s="319"/>
      <c r="BP2976" s="953"/>
      <c r="BQ2976" s="319"/>
      <c r="BR2976" s="319"/>
      <c r="BS2976" s="330"/>
      <c r="BT2976" s="331"/>
      <c r="BU2976" s="920"/>
      <c r="BV2976" s="903"/>
      <c r="BW2976" s="908"/>
      <c r="BX2976" s="908"/>
      <c r="BY2976" s="331"/>
      <c r="BZ2976" s="331"/>
      <c r="CA2976" s="462"/>
      <c r="CB2976" s="319"/>
      <c r="CC2976" s="319"/>
      <c r="CD2976" s="319"/>
      <c r="CE2976" s="319"/>
      <c r="CF2976" s="319"/>
      <c r="CG2976" s="319"/>
      <c r="CH2976" s="318"/>
      <c r="CI2976" s="319"/>
      <c r="CJ2976" s="319"/>
      <c r="CK2976" s="342"/>
      <c r="CL2976" s="333"/>
      <c r="CM2976" s="1079"/>
      <c r="CN2976" s="1005"/>
      <c r="CO2976" s="1005"/>
      <c r="CP2976" s="1005"/>
    </row>
    <row r="2977">
      <c r="A2977" s="1257"/>
      <c r="B2977" s="1113"/>
      <c r="C2977" s="1107"/>
      <c r="D2977" s="103"/>
      <c r="E2977" s="1137"/>
      <c r="F2977" s="112"/>
      <c r="G2977" s="1110"/>
      <c r="H2977" s="1138"/>
      <c r="I2977" s="1138"/>
      <c r="J2977" s="1139"/>
      <c r="K2977" s="1111"/>
      <c r="L2977" s="1112"/>
      <c r="M2977" s="1113"/>
      <c r="N2977" s="110"/>
      <c r="O2977" s="1140"/>
      <c r="P2977" s="1115"/>
      <c r="Q2977" s="1116"/>
      <c r="R2977" s="1141"/>
      <c r="S2977" s="1113"/>
      <c r="T2977" s="1143"/>
      <c r="U2977" s="1108"/>
      <c r="V2977" s="1108"/>
      <c r="W2977" s="1108"/>
      <c r="X2977" s="1108"/>
      <c r="Y2977" s="1108"/>
      <c r="Z2977" s="1114"/>
      <c r="AA2977" s="1114"/>
      <c r="AB2977" s="1114"/>
      <c r="AC2977" s="1117"/>
      <c r="AD2977" s="1115"/>
      <c r="AE2977" s="1115"/>
      <c r="AF2977" s="1115"/>
      <c r="AG2977" s="1115"/>
      <c r="AH2977" s="1115"/>
      <c r="AI2977" s="1115"/>
      <c r="AJ2977" s="1117"/>
      <c r="AK2977" s="1118"/>
      <c r="AL2977" s="1115"/>
      <c r="AM2977" s="1115"/>
      <c r="AN2977" s="1115"/>
      <c r="AO2977" s="1115"/>
      <c r="AP2977" s="1115"/>
      <c r="AQ2977" s="1115"/>
      <c r="AR2977" s="1115"/>
      <c r="AS2977" s="1117"/>
      <c r="AT2977" s="1075"/>
      <c r="AU2977" s="1193"/>
      <c r="AV2977" s="330"/>
      <c r="AW2977" s="331"/>
      <c r="AX2977" s="331"/>
      <c r="AY2977" s="331"/>
      <c r="AZ2977" s="331"/>
      <c r="BA2977" s="331"/>
      <c r="BB2977" s="331"/>
      <c r="BC2977" s="331"/>
      <c r="BD2977" s="331"/>
      <c r="BE2977" s="333"/>
      <c r="BF2977" s="330"/>
      <c r="BG2977" s="333"/>
      <c r="BH2977" s="1119"/>
      <c r="BI2977" s="319"/>
      <c r="BJ2977" s="319"/>
      <c r="BK2977" s="319"/>
      <c r="BL2977" s="319"/>
      <c r="BM2977" s="319"/>
      <c r="BN2977" s="319"/>
      <c r="BO2977" s="319"/>
      <c r="BP2977" s="953"/>
      <c r="BQ2977" s="319"/>
      <c r="BR2977" s="319"/>
      <c r="BS2977" s="330"/>
      <c r="BT2977" s="331"/>
      <c r="BU2977" s="920"/>
      <c r="BV2977" s="903"/>
      <c r="BW2977" s="908"/>
      <c r="BX2977" s="908"/>
      <c r="BY2977" s="331"/>
      <c r="BZ2977" s="331"/>
      <c r="CA2977" s="462"/>
      <c r="CB2977" s="319"/>
      <c r="CC2977" s="319"/>
      <c r="CD2977" s="319"/>
      <c r="CE2977" s="319"/>
      <c r="CF2977" s="319"/>
      <c r="CG2977" s="319"/>
      <c r="CH2977" s="318"/>
      <c r="CI2977" s="319"/>
      <c r="CJ2977" s="319"/>
      <c r="CK2977" s="342"/>
      <c r="CL2977" s="333"/>
      <c r="CM2977" s="1079"/>
      <c r="CN2977" s="1005"/>
      <c r="CO2977" s="1005"/>
      <c r="CP2977" s="1005"/>
    </row>
    <row r="2978">
      <c r="A2978" s="1257"/>
      <c r="B2978" s="1113"/>
      <c r="C2978" s="1107"/>
      <c r="D2978" s="103"/>
      <c r="E2978" s="1137"/>
      <c r="F2978" s="112"/>
      <c r="G2978" s="1110"/>
      <c r="H2978" s="1138"/>
      <c r="I2978" s="1138"/>
      <c r="J2978" s="1139"/>
      <c r="K2978" s="1111"/>
      <c r="L2978" s="1112"/>
      <c r="M2978" s="1113"/>
      <c r="N2978" s="110"/>
      <c r="O2978" s="1140"/>
      <c r="P2978" s="1115"/>
      <c r="Q2978" s="1116"/>
      <c r="R2978" s="1141"/>
      <c r="S2978" s="1113"/>
      <c r="T2978" s="1143"/>
      <c r="U2978" s="1108"/>
      <c r="V2978" s="1108"/>
      <c r="W2978" s="1108"/>
      <c r="X2978" s="1108"/>
      <c r="Y2978" s="1108"/>
      <c r="Z2978" s="1114"/>
      <c r="AA2978" s="1114"/>
      <c r="AB2978" s="1114"/>
      <c r="AC2978" s="1117"/>
      <c r="AD2978" s="1115"/>
      <c r="AE2978" s="1115"/>
      <c r="AF2978" s="1115"/>
      <c r="AG2978" s="1115"/>
      <c r="AH2978" s="1115"/>
      <c r="AI2978" s="1115"/>
      <c r="AJ2978" s="1117"/>
      <c r="AK2978" s="1118"/>
      <c r="AL2978" s="1115"/>
      <c r="AM2978" s="1115"/>
      <c r="AN2978" s="1115"/>
      <c r="AO2978" s="1115"/>
      <c r="AP2978" s="1115"/>
      <c r="AQ2978" s="1115"/>
      <c r="AR2978" s="1115"/>
      <c r="AS2978" s="1117"/>
      <c r="AT2978" s="1075"/>
      <c r="AU2978" s="1193"/>
      <c r="AV2978" s="330"/>
      <c r="AW2978" s="331"/>
      <c r="AX2978" s="331"/>
      <c r="AY2978" s="331"/>
      <c r="AZ2978" s="331"/>
      <c r="BA2978" s="331"/>
      <c r="BB2978" s="331"/>
      <c r="BC2978" s="331"/>
      <c r="BD2978" s="331"/>
      <c r="BE2978" s="333"/>
      <c r="BF2978" s="330"/>
      <c r="BG2978" s="333"/>
      <c r="BH2978" s="1119"/>
      <c r="BI2978" s="319"/>
      <c r="BJ2978" s="319"/>
      <c r="BK2978" s="319"/>
      <c r="BL2978" s="319"/>
      <c r="BM2978" s="319"/>
      <c r="BN2978" s="319"/>
      <c r="BO2978" s="319"/>
      <c r="BP2978" s="953"/>
      <c r="BQ2978" s="319"/>
      <c r="BR2978" s="319"/>
      <c r="BS2978" s="330"/>
      <c r="BT2978" s="331"/>
      <c r="BU2978" s="920"/>
      <c r="BV2978" s="903"/>
      <c r="BW2978" s="908"/>
      <c r="BX2978" s="908"/>
      <c r="BY2978" s="331"/>
      <c r="BZ2978" s="331"/>
      <c r="CA2978" s="462"/>
      <c r="CB2978" s="319"/>
      <c r="CC2978" s="319"/>
      <c r="CD2978" s="319"/>
      <c r="CE2978" s="319"/>
      <c r="CF2978" s="319"/>
      <c r="CG2978" s="319"/>
      <c r="CH2978" s="318"/>
      <c r="CI2978" s="319"/>
      <c r="CJ2978" s="319"/>
      <c r="CK2978" s="342"/>
      <c r="CL2978" s="333"/>
      <c r="CM2978" s="1079"/>
      <c r="CN2978" s="1005"/>
      <c r="CO2978" s="1005"/>
      <c r="CP2978" s="1005"/>
    </row>
    <row r="2979">
      <c r="A2979" s="1257"/>
      <c r="B2979" s="1113"/>
      <c r="C2979" s="1107"/>
      <c r="D2979" s="103"/>
      <c r="E2979" s="1137"/>
      <c r="F2979" s="112"/>
      <c r="G2979" s="1110"/>
      <c r="H2979" s="1138"/>
      <c r="I2979" s="1138"/>
      <c r="J2979" s="1139"/>
      <c r="K2979" s="1111"/>
      <c r="L2979" s="1112"/>
      <c r="M2979" s="1113"/>
      <c r="N2979" s="110"/>
      <c r="O2979" s="1140"/>
      <c r="P2979" s="1115"/>
      <c r="Q2979" s="1116"/>
      <c r="R2979" s="1141"/>
      <c r="S2979" s="1113"/>
      <c r="T2979" s="1143"/>
      <c r="U2979" s="1108"/>
      <c r="V2979" s="1108"/>
      <c r="W2979" s="1108"/>
      <c r="X2979" s="1108"/>
      <c r="Y2979" s="1108"/>
      <c r="Z2979" s="1114"/>
      <c r="AA2979" s="1114"/>
      <c r="AB2979" s="1114"/>
      <c r="AC2979" s="1117"/>
      <c r="AD2979" s="1115"/>
      <c r="AE2979" s="1115"/>
      <c r="AF2979" s="1115"/>
      <c r="AG2979" s="1115"/>
      <c r="AH2979" s="1115"/>
      <c r="AI2979" s="1115"/>
      <c r="AJ2979" s="1117"/>
      <c r="AK2979" s="1118"/>
      <c r="AL2979" s="1115"/>
      <c r="AM2979" s="1115"/>
      <c r="AN2979" s="1115"/>
      <c r="AO2979" s="1115"/>
      <c r="AP2979" s="1115"/>
      <c r="AQ2979" s="1115"/>
      <c r="AR2979" s="1115"/>
      <c r="AS2979" s="1117"/>
      <c r="AT2979" s="1075"/>
      <c r="AU2979" s="1193"/>
      <c r="AV2979" s="330"/>
      <c r="AW2979" s="331"/>
      <c r="AX2979" s="331"/>
      <c r="AY2979" s="331"/>
      <c r="AZ2979" s="331"/>
      <c r="BA2979" s="331"/>
      <c r="BB2979" s="331"/>
      <c r="BC2979" s="331"/>
      <c r="BD2979" s="331"/>
      <c r="BE2979" s="333"/>
      <c r="BF2979" s="330"/>
      <c r="BG2979" s="333"/>
      <c r="BH2979" s="1119"/>
      <c r="BI2979" s="319"/>
      <c r="BJ2979" s="319"/>
      <c r="BK2979" s="319"/>
      <c r="BL2979" s="319"/>
      <c r="BM2979" s="319"/>
      <c r="BN2979" s="319"/>
      <c r="BO2979" s="319"/>
      <c r="BP2979" s="953"/>
      <c r="BQ2979" s="319"/>
      <c r="BR2979" s="319"/>
      <c r="BS2979" s="330"/>
      <c r="BT2979" s="331"/>
      <c r="BU2979" s="920"/>
      <c r="BV2979" s="903"/>
      <c r="BW2979" s="908"/>
      <c r="BX2979" s="908"/>
      <c r="BY2979" s="331"/>
      <c r="BZ2979" s="331"/>
      <c r="CA2979" s="462"/>
      <c r="CB2979" s="319"/>
      <c r="CC2979" s="319"/>
      <c r="CD2979" s="319"/>
      <c r="CE2979" s="319"/>
      <c r="CF2979" s="319"/>
      <c r="CG2979" s="319"/>
      <c r="CH2979" s="318"/>
      <c r="CI2979" s="319"/>
      <c r="CJ2979" s="319"/>
      <c r="CK2979" s="342"/>
      <c r="CL2979" s="333"/>
      <c r="CM2979" s="1079"/>
      <c r="CN2979" s="1005"/>
      <c r="CO2979" s="1005"/>
      <c r="CP2979" s="1005"/>
    </row>
    <row r="2980">
      <c r="A2980" s="1257"/>
      <c r="B2980" s="1113"/>
      <c r="C2980" s="1107"/>
      <c r="D2980" s="103"/>
      <c r="E2980" s="1137"/>
      <c r="F2980" s="112"/>
      <c r="G2980" s="1110"/>
      <c r="H2980" s="1138"/>
      <c r="I2980" s="1138"/>
      <c r="J2980" s="1139"/>
      <c r="K2980" s="1111"/>
      <c r="L2980" s="1112"/>
      <c r="M2980" s="1113"/>
      <c r="N2980" s="110"/>
      <c r="O2980" s="1140"/>
      <c r="P2980" s="1115"/>
      <c r="Q2980" s="1116"/>
      <c r="R2980" s="1141"/>
      <c r="S2980" s="1113"/>
      <c r="T2980" s="1143"/>
      <c r="U2980" s="1108"/>
      <c r="V2980" s="1108"/>
      <c r="W2980" s="1108"/>
      <c r="X2980" s="1108"/>
      <c r="Y2980" s="1108"/>
      <c r="Z2980" s="1114"/>
      <c r="AA2980" s="1114"/>
      <c r="AB2980" s="1114"/>
      <c r="AC2980" s="1117"/>
      <c r="AD2980" s="1115"/>
      <c r="AE2980" s="1115"/>
      <c r="AF2980" s="1115"/>
      <c r="AG2980" s="1115"/>
      <c r="AH2980" s="1115"/>
      <c r="AI2980" s="1115"/>
      <c r="AJ2980" s="1117"/>
      <c r="AK2980" s="1118"/>
      <c r="AL2980" s="1115"/>
      <c r="AM2980" s="1115"/>
      <c r="AN2980" s="1115"/>
      <c r="AO2980" s="1115"/>
      <c r="AP2980" s="1115"/>
      <c r="AQ2980" s="1115"/>
      <c r="AR2980" s="1115"/>
      <c r="AS2980" s="1117"/>
      <c r="AT2980" s="1075"/>
      <c r="AU2980" s="1193"/>
      <c r="AV2980" s="330"/>
      <c r="AW2980" s="331"/>
      <c r="AX2980" s="331"/>
      <c r="AY2980" s="331"/>
      <c r="AZ2980" s="331"/>
      <c r="BA2980" s="331"/>
      <c r="BB2980" s="331"/>
      <c r="BC2980" s="331"/>
      <c r="BD2980" s="331"/>
      <c r="BE2980" s="333"/>
      <c r="BF2980" s="330"/>
      <c r="BG2980" s="333"/>
      <c r="BH2980" s="1119"/>
      <c r="BI2980" s="319"/>
      <c r="BJ2980" s="319"/>
      <c r="BK2980" s="319"/>
      <c r="BL2980" s="319"/>
      <c r="BM2980" s="319"/>
      <c r="BN2980" s="319"/>
      <c r="BO2980" s="319"/>
      <c r="BP2980" s="953"/>
      <c r="BQ2980" s="319"/>
      <c r="BR2980" s="319"/>
      <c r="BS2980" s="330"/>
      <c r="BT2980" s="331"/>
      <c r="BU2980" s="920"/>
      <c r="BV2980" s="903"/>
      <c r="BW2980" s="908"/>
      <c r="BX2980" s="908"/>
      <c r="BY2980" s="331"/>
      <c r="BZ2980" s="331"/>
      <c r="CA2980" s="462"/>
      <c r="CB2980" s="319"/>
      <c r="CC2980" s="319"/>
      <c r="CD2980" s="319"/>
      <c r="CE2980" s="319"/>
      <c r="CF2980" s="319"/>
      <c r="CG2980" s="319"/>
      <c r="CH2980" s="318"/>
      <c r="CI2980" s="319"/>
      <c r="CJ2980" s="319"/>
      <c r="CK2980" s="342"/>
      <c r="CL2980" s="333"/>
      <c r="CM2980" s="1079"/>
      <c r="CN2980" s="1005"/>
      <c r="CO2980" s="1005"/>
      <c r="CP2980" s="1005"/>
    </row>
    <row r="2981">
      <c r="A2981" s="1257"/>
      <c r="B2981" s="1113"/>
      <c r="C2981" s="1107"/>
      <c r="D2981" s="103"/>
      <c r="E2981" s="1137"/>
      <c r="F2981" s="112"/>
      <c r="G2981" s="1110"/>
      <c r="H2981" s="1138"/>
      <c r="I2981" s="1138"/>
      <c r="J2981" s="1139"/>
      <c r="K2981" s="1111"/>
      <c r="L2981" s="1112"/>
      <c r="M2981" s="1113"/>
      <c r="N2981" s="110"/>
      <c r="O2981" s="1140"/>
      <c r="P2981" s="1115"/>
      <c r="Q2981" s="1116"/>
      <c r="R2981" s="1141"/>
      <c r="S2981" s="1113"/>
      <c r="T2981" s="1143"/>
      <c r="U2981" s="1108"/>
      <c r="V2981" s="1108"/>
      <c r="W2981" s="1108"/>
      <c r="X2981" s="1108"/>
      <c r="Y2981" s="1108"/>
      <c r="Z2981" s="1114"/>
      <c r="AA2981" s="1114"/>
      <c r="AB2981" s="1114"/>
      <c r="AC2981" s="1117"/>
      <c r="AD2981" s="1115"/>
      <c r="AE2981" s="1115"/>
      <c r="AF2981" s="1115"/>
      <c r="AG2981" s="1115"/>
      <c r="AH2981" s="1115"/>
      <c r="AI2981" s="1115"/>
      <c r="AJ2981" s="1117"/>
      <c r="AK2981" s="1118"/>
      <c r="AL2981" s="1115"/>
      <c r="AM2981" s="1115"/>
      <c r="AN2981" s="1115"/>
      <c r="AO2981" s="1115"/>
      <c r="AP2981" s="1115"/>
      <c r="AQ2981" s="1115"/>
      <c r="AR2981" s="1115"/>
      <c r="AS2981" s="1117"/>
      <c r="AT2981" s="1075"/>
      <c r="AU2981" s="1193"/>
      <c r="AV2981" s="330"/>
      <c r="AW2981" s="331"/>
      <c r="AX2981" s="331"/>
      <c r="AY2981" s="331"/>
      <c r="AZ2981" s="331"/>
      <c r="BA2981" s="331"/>
      <c r="BB2981" s="331"/>
      <c r="BC2981" s="331"/>
      <c r="BD2981" s="331"/>
      <c r="BE2981" s="333"/>
      <c r="BF2981" s="330"/>
      <c r="BG2981" s="333"/>
      <c r="BH2981" s="1119"/>
      <c r="BI2981" s="319"/>
      <c r="BJ2981" s="319"/>
      <c r="BK2981" s="319"/>
      <c r="BL2981" s="319"/>
      <c r="BM2981" s="319"/>
      <c r="BN2981" s="319"/>
      <c r="BO2981" s="319"/>
      <c r="BP2981" s="953"/>
      <c r="BQ2981" s="319"/>
      <c r="BR2981" s="319"/>
      <c r="BS2981" s="330"/>
      <c r="BT2981" s="331"/>
      <c r="BU2981" s="920"/>
      <c r="BV2981" s="903"/>
      <c r="BW2981" s="908"/>
      <c r="BX2981" s="908"/>
      <c r="BY2981" s="331"/>
      <c r="BZ2981" s="331"/>
      <c r="CA2981" s="462"/>
      <c r="CB2981" s="319"/>
      <c r="CC2981" s="319"/>
      <c r="CD2981" s="319"/>
      <c r="CE2981" s="319"/>
      <c r="CF2981" s="319"/>
      <c r="CG2981" s="319"/>
      <c r="CH2981" s="318"/>
      <c r="CI2981" s="319"/>
      <c r="CJ2981" s="319"/>
      <c r="CK2981" s="342"/>
      <c r="CL2981" s="333"/>
      <c r="CM2981" s="1079"/>
      <c r="CN2981" s="1005"/>
      <c r="CO2981" s="1005"/>
      <c r="CP2981" s="1005"/>
    </row>
    <row r="2982">
      <c r="A2982" s="1257"/>
      <c r="B2982" s="1113"/>
      <c r="C2982" s="1107"/>
      <c r="D2982" s="103"/>
      <c r="E2982" s="1137"/>
      <c r="F2982" s="112"/>
      <c r="G2982" s="1110"/>
      <c r="H2982" s="1138"/>
      <c r="I2982" s="1138"/>
      <c r="J2982" s="1139"/>
      <c r="K2982" s="1111"/>
      <c r="L2982" s="1112"/>
      <c r="M2982" s="1113"/>
      <c r="N2982" s="110"/>
      <c r="O2982" s="1140"/>
      <c r="P2982" s="1115"/>
      <c r="Q2982" s="1116"/>
      <c r="R2982" s="1141"/>
      <c r="S2982" s="1113"/>
      <c r="T2982" s="1143"/>
      <c r="U2982" s="1108"/>
      <c r="V2982" s="1108"/>
      <c r="W2982" s="1108"/>
      <c r="X2982" s="1108"/>
      <c r="Y2982" s="1108"/>
      <c r="Z2982" s="1114"/>
      <c r="AA2982" s="1114"/>
      <c r="AB2982" s="1114"/>
      <c r="AC2982" s="1117"/>
      <c r="AD2982" s="1115"/>
      <c r="AE2982" s="1115"/>
      <c r="AF2982" s="1115"/>
      <c r="AG2982" s="1115"/>
      <c r="AH2982" s="1115"/>
      <c r="AI2982" s="1115"/>
      <c r="AJ2982" s="1117"/>
      <c r="AK2982" s="1118"/>
      <c r="AL2982" s="1115"/>
      <c r="AM2982" s="1115"/>
      <c r="AN2982" s="1115"/>
      <c r="AO2982" s="1115"/>
      <c r="AP2982" s="1115"/>
      <c r="AQ2982" s="1115"/>
      <c r="AR2982" s="1115"/>
      <c r="AS2982" s="1117"/>
      <c r="AT2982" s="1075"/>
      <c r="AU2982" s="1193"/>
      <c r="AV2982" s="330"/>
      <c r="AW2982" s="331"/>
      <c r="AX2982" s="331"/>
      <c r="AY2982" s="331"/>
      <c r="AZ2982" s="331"/>
      <c r="BA2982" s="331"/>
      <c r="BB2982" s="331"/>
      <c r="BC2982" s="331"/>
      <c r="BD2982" s="331"/>
      <c r="BE2982" s="333"/>
      <c r="BF2982" s="330"/>
      <c r="BG2982" s="333"/>
      <c r="BH2982" s="1119"/>
      <c r="BI2982" s="319"/>
      <c r="BJ2982" s="319"/>
      <c r="BK2982" s="319"/>
      <c r="BL2982" s="319"/>
      <c r="BM2982" s="319"/>
      <c r="BN2982" s="319"/>
      <c r="BO2982" s="319"/>
      <c r="BP2982" s="953"/>
      <c r="BQ2982" s="319"/>
      <c r="BR2982" s="319"/>
      <c r="BS2982" s="330"/>
      <c r="BT2982" s="331"/>
      <c r="BU2982" s="920"/>
      <c r="BV2982" s="903"/>
      <c r="BW2982" s="908"/>
      <c r="BX2982" s="908"/>
      <c r="BY2982" s="331"/>
      <c r="BZ2982" s="331"/>
      <c r="CA2982" s="462"/>
      <c r="CB2982" s="319"/>
      <c r="CC2982" s="319"/>
      <c r="CD2982" s="319"/>
      <c r="CE2982" s="319"/>
      <c r="CF2982" s="319"/>
      <c r="CG2982" s="319"/>
      <c r="CH2982" s="318"/>
      <c r="CI2982" s="319"/>
      <c r="CJ2982" s="319"/>
      <c r="CK2982" s="342"/>
      <c r="CL2982" s="333"/>
      <c r="CM2982" s="1079"/>
      <c r="CN2982" s="1005"/>
      <c r="CO2982" s="1005"/>
      <c r="CP2982" s="1005"/>
    </row>
    <row r="2983">
      <c r="A2983" s="1257"/>
      <c r="B2983" s="1113"/>
      <c r="C2983" s="1107"/>
      <c r="D2983" s="103"/>
      <c r="E2983" s="1137"/>
      <c r="F2983" s="112"/>
      <c r="G2983" s="1110"/>
      <c r="H2983" s="1138"/>
      <c r="I2983" s="1138"/>
      <c r="J2983" s="1139"/>
      <c r="K2983" s="1111"/>
      <c r="L2983" s="1112"/>
      <c r="M2983" s="1113"/>
      <c r="N2983" s="110"/>
      <c r="O2983" s="1140"/>
      <c r="P2983" s="1115"/>
      <c r="Q2983" s="1116"/>
      <c r="R2983" s="1141"/>
      <c r="S2983" s="1113"/>
      <c r="T2983" s="1143"/>
      <c r="U2983" s="1108"/>
      <c r="V2983" s="1108"/>
      <c r="W2983" s="1108"/>
      <c r="X2983" s="1108"/>
      <c r="Y2983" s="1108"/>
      <c r="Z2983" s="1114"/>
      <c r="AA2983" s="1114"/>
      <c r="AB2983" s="1114"/>
      <c r="AC2983" s="1117"/>
      <c r="AD2983" s="1115"/>
      <c r="AE2983" s="1115"/>
      <c r="AF2983" s="1115"/>
      <c r="AG2983" s="1115"/>
      <c r="AH2983" s="1115"/>
      <c r="AI2983" s="1115"/>
      <c r="AJ2983" s="1117"/>
      <c r="AK2983" s="1118"/>
      <c r="AL2983" s="1115"/>
      <c r="AM2983" s="1115"/>
      <c r="AN2983" s="1115"/>
      <c r="AO2983" s="1115"/>
      <c r="AP2983" s="1115"/>
      <c r="AQ2983" s="1115"/>
      <c r="AR2983" s="1115"/>
      <c r="AS2983" s="1117"/>
      <c r="AT2983" s="1075"/>
      <c r="AU2983" s="1193"/>
      <c r="AV2983" s="330"/>
      <c r="AW2983" s="331"/>
      <c r="AX2983" s="331"/>
      <c r="AY2983" s="331"/>
      <c r="AZ2983" s="331"/>
      <c r="BA2983" s="331"/>
      <c r="BB2983" s="331"/>
      <c r="BC2983" s="331"/>
      <c r="BD2983" s="331"/>
      <c r="BE2983" s="333"/>
      <c r="BF2983" s="330"/>
      <c r="BG2983" s="333"/>
      <c r="BH2983" s="1119"/>
      <c r="BI2983" s="319"/>
      <c r="BJ2983" s="319"/>
      <c r="BK2983" s="319"/>
      <c r="BL2983" s="319"/>
      <c r="BM2983" s="319"/>
      <c r="BN2983" s="319"/>
      <c r="BO2983" s="319"/>
      <c r="BP2983" s="953"/>
      <c r="BQ2983" s="319"/>
      <c r="BR2983" s="319"/>
      <c r="BS2983" s="330"/>
      <c r="BT2983" s="331"/>
      <c r="BU2983" s="920"/>
      <c r="BV2983" s="903"/>
      <c r="BW2983" s="908"/>
      <c r="BX2983" s="908"/>
      <c r="BY2983" s="331"/>
      <c r="BZ2983" s="331"/>
      <c r="CA2983" s="462"/>
      <c r="CB2983" s="319"/>
      <c r="CC2983" s="319"/>
      <c r="CD2983" s="319"/>
      <c r="CE2983" s="319"/>
      <c r="CF2983" s="319"/>
      <c r="CG2983" s="319"/>
      <c r="CH2983" s="318"/>
      <c r="CI2983" s="319"/>
      <c r="CJ2983" s="319"/>
      <c r="CK2983" s="342"/>
      <c r="CL2983" s="333"/>
      <c r="CM2983" s="1079"/>
      <c r="CN2983" s="1005"/>
      <c r="CO2983" s="1005"/>
      <c r="CP2983" s="1005"/>
    </row>
    <row r="2984">
      <c r="A2984" s="1257"/>
      <c r="B2984" s="1113"/>
      <c r="C2984" s="1107"/>
      <c r="D2984" s="103"/>
      <c r="E2984" s="1137"/>
      <c r="F2984" s="112"/>
      <c r="G2984" s="1110"/>
      <c r="H2984" s="1138"/>
      <c r="I2984" s="1138"/>
      <c r="J2984" s="1139"/>
      <c r="K2984" s="1111"/>
      <c r="L2984" s="1112"/>
      <c r="M2984" s="1113"/>
      <c r="N2984" s="110"/>
      <c r="O2984" s="1140"/>
      <c r="P2984" s="1115"/>
      <c r="Q2984" s="1116"/>
      <c r="R2984" s="1141"/>
      <c r="S2984" s="1113"/>
      <c r="T2984" s="1143"/>
      <c r="U2984" s="1108"/>
      <c r="V2984" s="1108"/>
      <c r="W2984" s="1108"/>
      <c r="X2984" s="1108"/>
      <c r="Y2984" s="1108"/>
      <c r="Z2984" s="1114"/>
      <c r="AA2984" s="1114"/>
      <c r="AB2984" s="1114"/>
      <c r="AC2984" s="1117"/>
      <c r="AD2984" s="1115"/>
      <c r="AE2984" s="1115"/>
      <c r="AF2984" s="1115"/>
      <c r="AG2984" s="1115"/>
      <c r="AH2984" s="1115"/>
      <c r="AI2984" s="1115"/>
      <c r="AJ2984" s="1117"/>
      <c r="AK2984" s="1118"/>
      <c r="AL2984" s="1115"/>
      <c r="AM2984" s="1115"/>
      <c r="AN2984" s="1115"/>
      <c r="AO2984" s="1115"/>
      <c r="AP2984" s="1115"/>
      <c r="AQ2984" s="1115"/>
      <c r="AR2984" s="1115"/>
      <c r="AS2984" s="1117"/>
      <c r="AT2984" s="1075"/>
      <c r="AU2984" s="1193"/>
      <c r="AV2984" s="330"/>
      <c r="AW2984" s="331"/>
      <c r="AX2984" s="331"/>
      <c r="AY2984" s="331"/>
      <c r="AZ2984" s="331"/>
      <c r="BA2984" s="331"/>
      <c r="BB2984" s="331"/>
      <c r="BC2984" s="331"/>
      <c r="BD2984" s="331"/>
      <c r="BE2984" s="333"/>
      <c r="BF2984" s="330"/>
      <c r="BG2984" s="333"/>
      <c r="BH2984" s="1119"/>
      <c r="BI2984" s="319"/>
      <c r="BJ2984" s="319"/>
      <c r="BK2984" s="319"/>
      <c r="BL2984" s="319"/>
      <c r="BM2984" s="319"/>
      <c r="BN2984" s="319"/>
      <c r="BO2984" s="319"/>
      <c r="BP2984" s="953"/>
      <c r="BQ2984" s="319"/>
      <c r="BR2984" s="319"/>
      <c r="BS2984" s="330"/>
      <c r="BT2984" s="331"/>
      <c r="BU2984" s="920"/>
      <c r="BV2984" s="903"/>
      <c r="BW2984" s="908"/>
      <c r="BX2984" s="908"/>
      <c r="BY2984" s="331"/>
      <c r="BZ2984" s="331"/>
      <c r="CA2984" s="462"/>
      <c r="CB2984" s="319"/>
      <c r="CC2984" s="319"/>
      <c r="CD2984" s="319"/>
      <c r="CE2984" s="319"/>
      <c r="CF2984" s="319"/>
      <c r="CG2984" s="319"/>
      <c r="CH2984" s="318"/>
      <c r="CI2984" s="319"/>
      <c r="CJ2984" s="319"/>
      <c r="CK2984" s="342"/>
      <c r="CL2984" s="333"/>
      <c r="CM2984" s="1079"/>
      <c r="CN2984" s="1005"/>
      <c r="CO2984" s="1005"/>
      <c r="CP2984" s="1005"/>
    </row>
    <row r="2985">
      <c r="A2985" s="1257"/>
      <c r="B2985" s="1113"/>
      <c r="C2985" s="1107"/>
      <c r="D2985" s="103"/>
      <c r="E2985" s="1137"/>
      <c r="F2985" s="112"/>
      <c r="G2985" s="1110"/>
      <c r="H2985" s="1138"/>
      <c r="I2985" s="1138"/>
      <c r="J2985" s="1139"/>
      <c r="K2985" s="1111"/>
      <c r="L2985" s="1112"/>
      <c r="M2985" s="1113"/>
      <c r="N2985" s="110"/>
      <c r="O2985" s="1140"/>
      <c r="P2985" s="1115"/>
      <c r="Q2985" s="1116"/>
      <c r="R2985" s="1141"/>
      <c r="S2985" s="1113"/>
      <c r="T2985" s="1143"/>
      <c r="U2985" s="1108"/>
      <c r="V2985" s="1108"/>
      <c r="W2985" s="1108"/>
      <c r="X2985" s="1108"/>
      <c r="Y2985" s="1108"/>
      <c r="Z2985" s="1114"/>
      <c r="AA2985" s="1114"/>
      <c r="AB2985" s="1114"/>
      <c r="AC2985" s="1117"/>
      <c r="AD2985" s="1115"/>
      <c r="AE2985" s="1115"/>
      <c r="AF2985" s="1115"/>
      <c r="AG2985" s="1115"/>
      <c r="AH2985" s="1115"/>
      <c r="AI2985" s="1115"/>
      <c r="AJ2985" s="1117"/>
      <c r="AK2985" s="1118"/>
      <c r="AL2985" s="1115"/>
      <c r="AM2985" s="1115"/>
      <c r="AN2985" s="1115"/>
      <c r="AO2985" s="1115"/>
      <c r="AP2985" s="1115"/>
      <c r="AQ2985" s="1115"/>
      <c r="AR2985" s="1115"/>
      <c r="AS2985" s="1117"/>
      <c r="AT2985" s="1075"/>
      <c r="AU2985" s="1193"/>
      <c r="AV2985" s="330"/>
      <c r="AW2985" s="331"/>
      <c r="AX2985" s="331"/>
      <c r="AY2985" s="331"/>
      <c r="AZ2985" s="331"/>
      <c r="BA2985" s="331"/>
      <c r="BB2985" s="331"/>
      <c r="BC2985" s="331"/>
      <c r="BD2985" s="331"/>
      <c r="BE2985" s="333"/>
      <c r="BF2985" s="330"/>
      <c r="BG2985" s="333"/>
      <c r="BH2985" s="1119"/>
      <c r="BI2985" s="319"/>
      <c r="BJ2985" s="319"/>
      <c r="BK2985" s="319"/>
      <c r="BL2985" s="319"/>
      <c r="BM2985" s="319"/>
      <c r="BN2985" s="319"/>
      <c r="BO2985" s="319"/>
      <c r="BP2985" s="953"/>
      <c r="BQ2985" s="319"/>
      <c r="BR2985" s="319"/>
      <c r="BS2985" s="330"/>
      <c r="BT2985" s="331"/>
      <c r="BU2985" s="920"/>
      <c r="BV2985" s="903"/>
      <c r="BW2985" s="908"/>
      <c r="BX2985" s="908"/>
      <c r="BY2985" s="331"/>
      <c r="BZ2985" s="331"/>
      <c r="CA2985" s="462"/>
      <c r="CB2985" s="319"/>
      <c r="CC2985" s="319"/>
      <c r="CD2985" s="319"/>
      <c r="CE2985" s="319"/>
      <c r="CF2985" s="319"/>
      <c r="CG2985" s="319"/>
      <c r="CH2985" s="318"/>
      <c r="CI2985" s="319"/>
      <c r="CJ2985" s="319"/>
      <c r="CK2985" s="342"/>
      <c r="CL2985" s="333"/>
      <c r="CM2985" s="1079"/>
      <c r="CN2985" s="1005"/>
      <c r="CO2985" s="1005"/>
      <c r="CP2985" s="1005"/>
    </row>
    <row r="2986">
      <c r="A2986" s="1257"/>
      <c r="B2986" s="1113"/>
      <c r="C2986" s="1107"/>
      <c r="D2986" s="103"/>
      <c r="E2986" s="1137"/>
      <c r="F2986" s="112"/>
      <c r="G2986" s="1110"/>
      <c r="H2986" s="1138"/>
      <c r="I2986" s="1138"/>
      <c r="J2986" s="1139"/>
      <c r="K2986" s="1111"/>
      <c r="L2986" s="1112"/>
      <c r="M2986" s="1113"/>
      <c r="N2986" s="110"/>
      <c r="O2986" s="1140"/>
      <c r="P2986" s="1115"/>
      <c r="Q2986" s="1116"/>
      <c r="R2986" s="1141"/>
      <c r="S2986" s="1113"/>
      <c r="T2986" s="1143"/>
      <c r="U2986" s="1108"/>
      <c r="V2986" s="1108"/>
      <c r="W2986" s="1108"/>
      <c r="X2986" s="1108"/>
      <c r="Y2986" s="1108"/>
      <c r="Z2986" s="1114"/>
      <c r="AA2986" s="1114"/>
      <c r="AB2986" s="1114"/>
      <c r="AC2986" s="1117"/>
      <c r="AD2986" s="1115"/>
      <c r="AE2986" s="1115"/>
      <c r="AF2986" s="1115"/>
      <c r="AG2986" s="1115"/>
      <c r="AH2986" s="1115"/>
      <c r="AI2986" s="1115"/>
      <c r="AJ2986" s="1117"/>
      <c r="AK2986" s="1118"/>
      <c r="AL2986" s="1115"/>
      <c r="AM2986" s="1115"/>
      <c r="AN2986" s="1115"/>
      <c r="AO2986" s="1115"/>
      <c r="AP2986" s="1115"/>
      <c r="AQ2986" s="1115"/>
      <c r="AR2986" s="1115"/>
      <c r="AS2986" s="1117"/>
      <c r="AT2986" s="1075"/>
      <c r="AU2986" s="1193"/>
      <c r="AV2986" s="330"/>
      <c r="AW2986" s="331"/>
      <c r="AX2986" s="331"/>
      <c r="AY2986" s="331"/>
      <c r="AZ2986" s="331"/>
      <c r="BA2986" s="331"/>
      <c r="BB2986" s="331"/>
      <c r="BC2986" s="331"/>
      <c r="BD2986" s="331"/>
      <c r="BE2986" s="333"/>
      <c r="BF2986" s="330"/>
      <c r="BG2986" s="333"/>
      <c r="BH2986" s="1119"/>
      <c r="BI2986" s="319"/>
      <c r="BJ2986" s="319"/>
      <c r="BK2986" s="319"/>
      <c r="BL2986" s="319"/>
      <c r="BM2986" s="319"/>
      <c r="BN2986" s="319"/>
      <c r="BO2986" s="319"/>
      <c r="BP2986" s="953"/>
      <c r="BQ2986" s="319"/>
      <c r="BR2986" s="319"/>
      <c r="BS2986" s="330"/>
      <c r="BT2986" s="331"/>
      <c r="BU2986" s="920"/>
      <c r="BV2986" s="903"/>
      <c r="BW2986" s="908"/>
      <c r="BX2986" s="908"/>
      <c r="BY2986" s="331"/>
      <c r="BZ2986" s="331"/>
      <c r="CA2986" s="462"/>
      <c r="CB2986" s="319"/>
      <c r="CC2986" s="319"/>
      <c r="CD2986" s="319"/>
      <c r="CE2986" s="319"/>
      <c r="CF2986" s="319"/>
      <c r="CG2986" s="319"/>
      <c r="CH2986" s="318"/>
      <c r="CI2986" s="319"/>
      <c r="CJ2986" s="319"/>
      <c r="CK2986" s="342"/>
      <c r="CL2986" s="333"/>
      <c r="CM2986" s="1079"/>
      <c r="CN2986" s="1005"/>
      <c r="CO2986" s="1005"/>
      <c r="CP2986" s="1005"/>
    </row>
    <row r="2987">
      <c r="A2987" s="1257"/>
      <c r="B2987" s="1113"/>
      <c r="C2987" s="1107"/>
      <c r="D2987" s="103"/>
      <c r="E2987" s="1137"/>
      <c r="F2987" s="112"/>
      <c r="G2987" s="1110"/>
      <c r="H2987" s="1138"/>
      <c r="I2987" s="1138"/>
      <c r="J2987" s="1139"/>
      <c r="K2987" s="1111"/>
      <c r="L2987" s="1112"/>
      <c r="M2987" s="1113"/>
      <c r="N2987" s="110"/>
      <c r="O2987" s="1140"/>
      <c r="P2987" s="1115"/>
      <c r="Q2987" s="1116"/>
      <c r="R2987" s="1141"/>
      <c r="S2987" s="1113"/>
      <c r="T2987" s="1143"/>
      <c r="U2987" s="1108"/>
      <c r="V2987" s="1108"/>
      <c r="W2987" s="1108"/>
      <c r="X2987" s="1108"/>
      <c r="Y2987" s="1108"/>
      <c r="Z2987" s="1114"/>
      <c r="AA2987" s="1114"/>
      <c r="AB2987" s="1114"/>
      <c r="AC2987" s="1117"/>
      <c r="AD2987" s="1115"/>
      <c r="AE2987" s="1115"/>
      <c r="AF2987" s="1115"/>
      <c r="AG2987" s="1115"/>
      <c r="AH2987" s="1115"/>
      <c r="AI2987" s="1115"/>
      <c r="AJ2987" s="1117"/>
      <c r="AK2987" s="1118"/>
      <c r="AL2987" s="1115"/>
      <c r="AM2987" s="1115"/>
      <c r="AN2987" s="1115"/>
      <c r="AO2987" s="1115"/>
      <c r="AP2987" s="1115"/>
      <c r="AQ2987" s="1115"/>
      <c r="AR2987" s="1115"/>
      <c r="AS2987" s="1117"/>
      <c r="AT2987" s="1075"/>
      <c r="AU2987" s="1193"/>
      <c r="AV2987" s="330"/>
      <c r="AW2987" s="331"/>
      <c r="AX2987" s="331"/>
      <c r="AY2987" s="331"/>
      <c r="AZ2987" s="331"/>
      <c r="BA2987" s="331"/>
      <c r="BB2987" s="331"/>
      <c r="BC2987" s="331"/>
      <c r="BD2987" s="331"/>
      <c r="BE2987" s="333"/>
      <c r="BF2987" s="330"/>
      <c r="BG2987" s="333"/>
      <c r="BH2987" s="1119"/>
      <c r="BI2987" s="319"/>
      <c r="BJ2987" s="319"/>
      <c r="BK2987" s="319"/>
      <c r="BL2987" s="319"/>
      <c r="BM2987" s="319"/>
      <c r="BN2987" s="319"/>
      <c r="BO2987" s="319"/>
      <c r="BP2987" s="953"/>
      <c r="BQ2987" s="319"/>
      <c r="BR2987" s="319"/>
      <c r="BS2987" s="330"/>
      <c r="BT2987" s="331"/>
      <c r="BU2987" s="920"/>
      <c r="BV2987" s="903"/>
      <c r="BW2987" s="908"/>
      <c r="BX2987" s="908"/>
      <c r="BY2987" s="331"/>
      <c r="BZ2987" s="331"/>
      <c r="CA2987" s="462"/>
      <c r="CB2987" s="319"/>
      <c r="CC2987" s="319"/>
      <c r="CD2987" s="319"/>
      <c r="CE2987" s="319"/>
      <c r="CF2987" s="319"/>
      <c r="CG2987" s="319"/>
      <c r="CH2987" s="318"/>
      <c r="CI2987" s="319"/>
      <c r="CJ2987" s="319"/>
      <c r="CK2987" s="342"/>
      <c r="CL2987" s="333"/>
      <c r="CM2987" s="1079"/>
      <c r="CN2987" s="1005"/>
      <c r="CO2987" s="1005"/>
      <c r="CP2987" s="1005"/>
    </row>
    <row r="2988">
      <c r="A2988" s="1257"/>
      <c r="B2988" s="1113"/>
      <c r="C2988" s="1107"/>
      <c r="D2988" s="103"/>
      <c r="E2988" s="1137"/>
      <c r="F2988" s="112"/>
      <c r="G2988" s="1110"/>
      <c r="H2988" s="1138"/>
      <c r="I2988" s="1138"/>
      <c r="J2988" s="1139"/>
      <c r="K2988" s="1111"/>
      <c r="L2988" s="1112"/>
      <c r="M2988" s="1113"/>
      <c r="N2988" s="110"/>
      <c r="O2988" s="1140"/>
      <c r="P2988" s="1115"/>
      <c r="Q2988" s="1116"/>
      <c r="R2988" s="1141"/>
      <c r="S2988" s="1113"/>
      <c r="T2988" s="1143"/>
      <c r="U2988" s="1108"/>
      <c r="V2988" s="1108"/>
      <c r="W2988" s="1108"/>
      <c r="X2988" s="1108"/>
      <c r="Y2988" s="1108"/>
      <c r="Z2988" s="1114"/>
      <c r="AA2988" s="1114"/>
      <c r="AB2988" s="1114"/>
      <c r="AC2988" s="1117"/>
      <c r="AD2988" s="1115"/>
      <c r="AE2988" s="1115"/>
      <c r="AF2988" s="1115"/>
      <c r="AG2988" s="1115"/>
      <c r="AH2988" s="1115"/>
      <c r="AI2988" s="1115"/>
      <c r="AJ2988" s="1117"/>
      <c r="AK2988" s="1118"/>
      <c r="AL2988" s="1115"/>
      <c r="AM2988" s="1115"/>
      <c r="AN2988" s="1115"/>
      <c r="AO2988" s="1115"/>
      <c r="AP2988" s="1115"/>
      <c r="AQ2988" s="1115"/>
      <c r="AR2988" s="1115"/>
      <c r="AS2988" s="1117"/>
      <c r="AT2988" s="1075"/>
      <c r="AU2988" s="1193"/>
      <c r="AV2988" s="330"/>
      <c r="AW2988" s="331"/>
      <c r="AX2988" s="331"/>
      <c r="AY2988" s="331"/>
      <c r="AZ2988" s="331"/>
      <c r="BA2988" s="331"/>
      <c r="BB2988" s="331"/>
      <c r="BC2988" s="331"/>
      <c r="BD2988" s="331"/>
      <c r="BE2988" s="333"/>
      <c r="BF2988" s="330"/>
      <c r="BG2988" s="333"/>
      <c r="BH2988" s="1119"/>
      <c r="BI2988" s="319"/>
      <c r="BJ2988" s="319"/>
      <c r="BK2988" s="319"/>
      <c r="BL2988" s="319"/>
      <c r="BM2988" s="319"/>
      <c r="BN2988" s="319"/>
      <c r="BO2988" s="319"/>
      <c r="BP2988" s="953"/>
      <c r="BQ2988" s="319"/>
      <c r="BR2988" s="319"/>
      <c r="BS2988" s="330"/>
      <c r="BT2988" s="331"/>
      <c r="BU2988" s="920"/>
      <c r="BV2988" s="903"/>
      <c r="BW2988" s="908"/>
      <c r="BX2988" s="908"/>
      <c r="BY2988" s="331"/>
      <c r="BZ2988" s="331"/>
      <c r="CA2988" s="462"/>
      <c r="CB2988" s="319"/>
      <c r="CC2988" s="319"/>
      <c r="CD2988" s="319"/>
      <c r="CE2988" s="319"/>
      <c r="CF2988" s="319"/>
      <c r="CG2988" s="319"/>
      <c r="CH2988" s="318"/>
      <c r="CI2988" s="319"/>
      <c r="CJ2988" s="319"/>
      <c r="CK2988" s="342"/>
      <c r="CL2988" s="333"/>
      <c r="CM2988" s="1079"/>
      <c r="CN2988" s="1005"/>
      <c r="CO2988" s="1005"/>
      <c r="CP2988" s="1005"/>
    </row>
    <row r="2989">
      <c r="A2989" s="1257"/>
      <c r="B2989" s="1113"/>
      <c r="C2989" s="1107"/>
      <c r="D2989" s="103"/>
      <c r="E2989" s="1137"/>
      <c r="F2989" s="112"/>
      <c r="G2989" s="1110"/>
      <c r="H2989" s="1138"/>
      <c r="I2989" s="1138"/>
      <c r="J2989" s="1139"/>
      <c r="K2989" s="1111"/>
      <c r="L2989" s="1112"/>
      <c r="M2989" s="1113"/>
      <c r="N2989" s="110"/>
      <c r="O2989" s="1140"/>
      <c r="P2989" s="1115"/>
      <c r="Q2989" s="1116"/>
      <c r="R2989" s="1141"/>
      <c r="S2989" s="1113"/>
      <c r="T2989" s="1143"/>
      <c r="U2989" s="1108"/>
      <c r="V2989" s="1108"/>
      <c r="W2989" s="1108"/>
      <c r="X2989" s="1108"/>
      <c r="Y2989" s="1108"/>
      <c r="Z2989" s="1114"/>
      <c r="AA2989" s="1114"/>
      <c r="AB2989" s="1114"/>
      <c r="AC2989" s="1117"/>
      <c r="AD2989" s="1115"/>
      <c r="AE2989" s="1115"/>
      <c r="AF2989" s="1115"/>
      <c r="AG2989" s="1115"/>
      <c r="AH2989" s="1115"/>
      <c r="AI2989" s="1115"/>
      <c r="AJ2989" s="1117"/>
      <c r="AK2989" s="1118"/>
      <c r="AL2989" s="1115"/>
      <c r="AM2989" s="1115"/>
      <c r="AN2989" s="1115"/>
      <c r="AO2989" s="1115"/>
      <c r="AP2989" s="1115"/>
      <c r="AQ2989" s="1115"/>
      <c r="AR2989" s="1115"/>
      <c r="AS2989" s="1117"/>
      <c r="AT2989" s="1075"/>
      <c r="AU2989" s="1193"/>
      <c r="AV2989" s="330"/>
      <c r="AW2989" s="331"/>
      <c r="AX2989" s="331"/>
      <c r="AY2989" s="331"/>
      <c r="AZ2989" s="331"/>
      <c r="BA2989" s="331"/>
      <c r="BB2989" s="331"/>
      <c r="BC2989" s="331"/>
      <c r="BD2989" s="331"/>
      <c r="BE2989" s="333"/>
      <c r="BF2989" s="330"/>
      <c r="BG2989" s="333"/>
      <c r="BH2989" s="1119"/>
      <c r="BI2989" s="319"/>
      <c r="BJ2989" s="319"/>
      <c r="BK2989" s="319"/>
      <c r="BL2989" s="319"/>
      <c r="BM2989" s="319"/>
      <c r="BN2989" s="319"/>
      <c r="BO2989" s="319"/>
      <c r="BP2989" s="953"/>
      <c r="BQ2989" s="319"/>
      <c r="BR2989" s="319"/>
      <c r="BS2989" s="330"/>
      <c r="BT2989" s="331"/>
      <c r="BU2989" s="920"/>
      <c r="BV2989" s="903"/>
      <c r="BW2989" s="908"/>
      <c r="BX2989" s="908"/>
      <c r="BY2989" s="331"/>
      <c r="BZ2989" s="331"/>
      <c r="CA2989" s="462"/>
      <c r="CB2989" s="319"/>
      <c r="CC2989" s="319"/>
      <c r="CD2989" s="319"/>
      <c r="CE2989" s="319"/>
      <c r="CF2989" s="319"/>
      <c r="CG2989" s="319"/>
      <c r="CH2989" s="318"/>
      <c r="CI2989" s="319"/>
      <c r="CJ2989" s="319"/>
      <c r="CK2989" s="342"/>
      <c r="CL2989" s="333"/>
      <c r="CM2989" s="1079"/>
      <c r="CN2989" s="1005"/>
      <c r="CO2989" s="1005"/>
      <c r="CP2989" s="1005"/>
    </row>
    <row r="2990">
      <c r="A2990" s="1257"/>
      <c r="B2990" s="1113"/>
      <c r="C2990" s="1107"/>
      <c r="D2990" s="103"/>
      <c r="E2990" s="1137"/>
      <c r="F2990" s="112"/>
      <c r="G2990" s="1110"/>
      <c r="H2990" s="1138"/>
      <c r="I2990" s="1138"/>
      <c r="J2990" s="1139"/>
      <c r="K2990" s="1111"/>
      <c r="L2990" s="1112"/>
      <c r="M2990" s="1113"/>
      <c r="N2990" s="110"/>
      <c r="O2990" s="1140"/>
      <c r="P2990" s="1115"/>
      <c r="Q2990" s="1116"/>
      <c r="R2990" s="1141"/>
      <c r="S2990" s="1113"/>
      <c r="T2990" s="1143"/>
      <c r="U2990" s="1108"/>
      <c r="V2990" s="1108"/>
      <c r="W2990" s="1108"/>
      <c r="X2990" s="1108"/>
      <c r="Y2990" s="1108"/>
      <c r="Z2990" s="1114"/>
      <c r="AA2990" s="1114"/>
      <c r="AB2990" s="1114"/>
      <c r="AC2990" s="1117"/>
      <c r="AD2990" s="1115"/>
      <c r="AE2990" s="1115"/>
      <c r="AF2990" s="1115"/>
      <c r="AG2990" s="1115"/>
      <c r="AH2990" s="1115"/>
      <c r="AI2990" s="1115"/>
      <c r="AJ2990" s="1117"/>
      <c r="AK2990" s="1118"/>
      <c r="AL2990" s="1115"/>
      <c r="AM2990" s="1115"/>
      <c r="AN2990" s="1115"/>
      <c r="AO2990" s="1115"/>
      <c r="AP2990" s="1115"/>
      <c r="AQ2990" s="1115"/>
      <c r="AR2990" s="1115"/>
      <c r="AS2990" s="1117"/>
      <c r="AT2990" s="1075"/>
      <c r="AU2990" s="1193"/>
      <c r="AV2990" s="330"/>
      <c r="AW2990" s="331"/>
      <c r="AX2990" s="331"/>
      <c r="AY2990" s="331"/>
      <c r="AZ2990" s="331"/>
      <c r="BA2990" s="331"/>
      <c r="BB2990" s="331"/>
      <c r="BC2990" s="331"/>
      <c r="BD2990" s="331"/>
      <c r="BE2990" s="333"/>
      <c r="BF2990" s="330"/>
      <c r="BG2990" s="333"/>
      <c r="BH2990" s="1119"/>
      <c r="BI2990" s="319"/>
      <c r="BJ2990" s="319"/>
      <c r="BK2990" s="319"/>
      <c r="BL2990" s="319"/>
      <c r="BM2990" s="319"/>
      <c r="BN2990" s="319"/>
      <c r="BO2990" s="319"/>
      <c r="BP2990" s="953"/>
      <c r="BQ2990" s="319"/>
      <c r="BR2990" s="319"/>
      <c r="BS2990" s="330"/>
      <c r="BT2990" s="331"/>
      <c r="BU2990" s="920"/>
      <c r="BV2990" s="903"/>
      <c r="BW2990" s="908"/>
      <c r="BX2990" s="908"/>
      <c r="BY2990" s="331"/>
      <c r="BZ2990" s="331"/>
      <c r="CA2990" s="462"/>
      <c r="CB2990" s="319"/>
      <c r="CC2990" s="319"/>
      <c r="CD2990" s="319"/>
      <c r="CE2990" s="319"/>
      <c r="CF2990" s="319"/>
      <c r="CG2990" s="319"/>
      <c r="CH2990" s="318"/>
      <c r="CI2990" s="319"/>
      <c r="CJ2990" s="319"/>
      <c r="CK2990" s="342"/>
      <c r="CL2990" s="333"/>
      <c r="CM2990" s="1079"/>
      <c r="CN2990" s="1005"/>
      <c r="CO2990" s="1005"/>
      <c r="CP2990" s="1005"/>
    </row>
    <row r="2991">
      <c r="A2991" s="1257"/>
      <c r="B2991" s="1113"/>
      <c r="C2991" s="1107"/>
      <c r="D2991" s="103"/>
      <c r="E2991" s="1137"/>
      <c r="F2991" s="112"/>
      <c r="G2991" s="1110"/>
      <c r="H2991" s="1138"/>
      <c r="I2991" s="1138"/>
      <c r="J2991" s="1139"/>
      <c r="K2991" s="1111"/>
      <c r="L2991" s="1112"/>
      <c r="M2991" s="1113"/>
      <c r="N2991" s="110"/>
      <c r="O2991" s="1140"/>
      <c r="P2991" s="1115"/>
      <c r="Q2991" s="1116"/>
      <c r="R2991" s="1141"/>
      <c r="S2991" s="1113"/>
      <c r="T2991" s="1143"/>
      <c r="U2991" s="1108"/>
      <c r="V2991" s="1108"/>
      <c r="W2991" s="1108"/>
      <c r="X2991" s="1108"/>
      <c r="Y2991" s="1108"/>
      <c r="Z2991" s="1114"/>
      <c r="AA2991" s="1114"/>
      <c r="AB2991" s="1114"/>
      <c r="AC2991" s="1117"/>
      <c r="AD2991" s="1115"/>
      <c r="AE2991" s="1115"/>
      <c r="AF2991" s="1115"/>
      <c r="AG2991" s="1115"/>
      <c r="AH2991" s="1115"/>
      <c r="AI2991" s="1115"/>
      <c r="AJ2991" s="1117"/>
      <c r="AK2991" s="1118"/>
      <c r="AL2991" s="1115"/>
      <c r="AM2991" s="1115"/>
      <c r="AN2991" s="1115"/>
      <c r="AO2991" s="1115"/>
      <c r="AP2991" s="1115"/>
      <c r="AQ2991" s="1115"/>
      <c r="AR2991" s="1115"/>
      <c r="AS2991" s="1117"/>
      <c r="AT2991" s="1075"/>
      <c r="AU2991" s="1193"/>
      <c r="AV2991" s="330"/>
      <c r="AW2991" s="331"/>
      <c r="AX2991" s="331"/>
      <c r="AY2991" s="331"/>
      <c r="AZ2991" s="331"/>
      <c r="BA2991" s="331"/>
      <c r="BB2991" s="331"/>
      <c r="BC2991" s="331"/>
      <c r="BD2991" s="331"/>
      <c r="BE2991" s="333"/>
      <c r="BF2991" s="330"/>
      <c r="BG2991" s="333"/>
      <c r="BH2991" s="1119"/>
      <c r="BI2991" s="319"/>
      <c r="BJ2991" s="319"/>
      <c r="BK2991" s="319"/>
      <c r="BL2991" s="319"/>
      <c r="BM2991" s="319"/>
      <c r="BN2991" s="319"/>
      <c r="BO2991" s="319"/>
      <c r="BP2991" s="953"/>
      <c r="BQ2991" s="319"/>
      <c r="BR2991" s="319"/>
      <c r="BS2991" s="330"/>
      <c r="BT2991" s="331"/>
      <c r="BU2991" s="920"/>
      <c r="BV2991" s="903"/>
      <c r="BW2991" s="908"/>
      <c r="BX2991" s="908"/>
      <c r="BY2991" s="331"/>
      <c r="BZ2991" s="331"/>
      <c r="CA2991" s="462"/>
      <c r="CB2991" s="319"/>
      <c r="CC2991" s="319"/>
      <c r="CD2991" s="319"/>
      <c r="CE2991" s="319"/>
      <c r="CF2991" s="319"/>
      <c r="CG2991" s="319"/>
      <c r="CH2991" s="318"/>
      <c r="CI2991" s="319"/>
      <c r="CJ2991" s="319"/>
      <c r="CK2991" s="342"/>
      <c r="CL2991" s="333"/>
      <c r="CM2991" s="1079"/>
      <c r="CN2991" s="1005"/>
      <c r="CO2991" s="1005"/>
      <c r="CP2991" s="1005"/>
    </row>
    <row r="2992">
      <c r="A2992" s="1257"/>
      <c r="B2992" s="1113"/>
      <c r="C2992" s="1107"/>
      <c r="D2992" s="103"/>
      <c r="E2992" s="1137"/>
      <c r="F2992" s="112"/>
      <c r="G2992" s="1110"/>
      <c r="H2992" s="1138"/>
      <c r="I2992" s="1138"/>
      <c r="J2992" s="1139"/>
      <c r="K2992" s="1111"/>
      <c r="L2992" s="1112"/>
      <c r="M2992" s="1113"/>
      <c r="N2992" s="110"/>
      <c r="O2992" s="1140"/>
      <c r="P2992" s="1115"/>
      <c r="Q2992" s="1116"/>
      <c r="R2992" s="1141"/>
      <c r="S2992" s="1113"/>
      <c r="T2992" s="1143"/>
      <c r="U2992" s="1108"/>
      <c r="V2992" s="1108"/>
      <c r="W2992" s="1108"/>
      <c r="X2992" s="1108"/>
      <c r="Y2992" s="1108"/>
      <c r="Z2992" s="1114"/>
      <c r="AA2992" s="1114"/>
      <c r="AB2992" s="1114"/>
      <c r="AC2992" s="1117"/>
      <c r="AD2992" s="1115"/>
      <c r="AE2992" s="1115"/>
      <c r="AF2992" s="1115"/>
      <c r="AG2992" s="1115"/>
      <c r="AH2992" s="1115"/>
      <c r="AI2992" s="1115"/>
      <c r="AJ2992" s="1117"/>
      <c r="AK2992" s="1118"/>
      <c r="AL2992" s="1115"/>
      <c r="AM2992" s="1115"/>
      <c r="AN2992" s="1115"/>
      <c r="AO2992" s="1115"/>
      <c r="AP2992" s="1115"/>
      <c r="AQ2992" s="1115"/>
      <c r="AR2992" s="1115"/>
      <c r="AS2992" s="1117"/>
      <c r="AT2992" s="1075"/>
      <c r="AU2992" s="1193"/>
      <c r="AV2992" s="330"/>
      <c r="AW2992" s="331"/>
      <c r="AX2992" s="331"/>
      <c r="AY2992" s="331"/>
      <c r="AZ2992" s="331"/>
      <c r="BA2992" s="331"/>
      <c r="BB2992" s="331"/>
      <c r="BC2992" s="331"/>
      <c r="BD2992" s="331"/>
      <c r="BE2992" s="333"/>
      <c r="BF2992" s="330"/>
      <c r="BG2992" s="333"/>
      <c r="BH2992" s="1119"/>
      <c r="BI2992" s="319"/>
      <c r="BJ2992" s="319"/>
      <c r="BK2992" s="319"/>
      <c r="BL2992" s="319"/>
      <c r="BM2992" s="319"/>
      <c r="BN2992" s="319"/>
      <c r="BO2992" s="319"/>
      <c r="BP2992" s="953"/>
      <c r="BQ2992" s="319"/>
      <c r="BR2992" s="319"/>
      <c r="BS2992" s="330"/>
      <c r="BT2992" s="331"/>
      <c r="BU2992" s="920"/>
      <c r="BV2992" s="903"/>
      <c r="BW2992" s="908"/>
      <c r="BX2992" s="908"/>
      <c r="BY2992" s="331"/>
      <c r="BZ2992" s="331"/>
      <c r="CA2992" s="462"/>
      <c r="CB2992" s="319"/>
      <c r="CC2992" s="319"/>
      <c r="CD2992" s="319"/>
      <c r="CE2992" s="319"/>
      <c r="CF2992" s="319"/>
      <c r="CG2992" s="319"/>
      <c r="CH2992" s="318"/>
      <c r="CI2992" s="319"/>
      <c r="CJ2992" s="319"/>
      <c r="CK2992" s="342"/>
      <c r="CL2992" s="333"/>
      <c r="CM2992" s="1079"/>
      <c r="CN2992" s="1005"/>
      <c r="CO2992" s="1005"/>
      <c r="CP2992" s="1005"/>
    </row>
    <row r="2993">
      <c r="A2993" s="1257"/>
      <c r="B2993" s="1113"/>
      <c r="C2993" s="1107"/>
      <c r="D2993" s="103"/>
      <c r="E2993" s="1137"/>
      <c r="F2993" s="112"/>
      <c r="G2993" s="1110"/>
      <c r="H2993" s="1138"/>
      <c r="I2993" s="1138"/>
      <c r="J2993" s="1139"/>
      <c r="K2993" s="1111"/>
      <c r="L2993" s="1112"/>
      <c r="M2993" s="1113"/>
      <c r="N2993" s="110"/>
      <c r="O2993" s="1140"/>
      <c r="P2993" s="1115"/>
      <c r="Q2993" s="1116"/>
      <c r="R2993" s="1141"/>
      <c r="S2993" s="1113"/>
      <c r="T2993" s="1143"/>
      <c r="U2993" s="1108"/>
      <c r="V2993" s="1108"/>
      <c r="W2993" s="1108"/>
      <c r="X2993" s="1108"/>
      <c r="Y2993" s="1108"/>
      <c r="Z2993" s="1114"/>
      <c r="AA2993" s="1114"/>
      <c r="AB2993" s="1114"/>
      <c r="AC2993" s="1117"/>
      <c r="AD2993" s="1115"/>
      <c r="AE2993" s="1115"/>
      <c r="AF2993" s="1115"/>
      <c r="AG2993" s="1115"/>
      <c r="AH2993" s="1115"/>
      <c r="AI2993" s="1115"/>
      <c r="AJ2993" s="1117"/>
      <c r="AK2993" s="1118"/>
      <c r="AL2993" s="1115"/>
      <c r="AM2993" s="1115"/>
      <c r="AN2993" s="1115"/>
      <c r="AO2993" s="1115"/>
      <c r="AP2993" s="1115"/>
      <c r="AQ2993" s="1115"/>
      <c r="AR2993" s="1115"/>
      <c r="AS2993" s="1117"/>
      <c r="AT2993" s="1075"/>
      <c r="AU2993" s="1193"/>
      <c r="AV2993" s="330"/>
      <c r="AW2993" s="331"/>
      <c r="AX2993" s="331"/>
      <c r="AY2993" s="331"/>
      <c r="AZ2993" s="331"/>
      <c r="BA2993" s="331"/>
      <c r="BB2993" s="331"/>
      <c r="BC2993" s="331"/>
      <c r="BD2993" s="331"/>
      <c r="BE2993" s="333"/>
      <c r="BF2993" s="330"/>
      <c r="BG2993" s="333"/>
      <c r="BH2993" s="1119"/>
      <c r="BI2993" s="319"/>
      <c r="BJ2993" s="319"/>
      <c r="BK2993" s="319"/>
      <c r="BL2993" s="319"/>
      <c r="BM2993" s="319"/>
      <c r="BN2993" s="319"/>
      <c r="BO2993" s="319"/>
      <c r="BP2993" s="953"/>
      <c r="BQ2993" s="319"/>
      <c r="BR2993" s="319"/>
      <c r="BS2993" s="330"/>
      <c r="BT2993" s="331"/>
      <c r="BU2993" s="920"/>
      <c r="BV2993" s="903"/>
      <c r="BW2993" s="908"/>
      <c r="BX2993" s="908"/>
      <c r="BY2993" s="331"/>
      <c r="BZ2993" s="331"/>
      <c r="CA2993" s="462"/>
      <c r="CB2993" s="319"/>
      <c r="CC2993" s="319"/>
      <c r="CD2993" s="319"/>
      <c r="CE2993" s="319"/>
      <c r="CF2993" s="319"/>
      <c r="CG2993" s="319"/>
      <c r="CH2993" s="318"/>
      <c r="CI2993" s="319"/>
      <c r="CJ2993" s="319"/>
      <c r="CK2993" s="342"/>
      <c r="CL2993" s="333"/>
      <c r="CM2993" s="1079"/>
      <c r="CN2993" s="1005"/>
      <c r="CO2993" s="1005"/>
      <c r="CP2993" s="1005"/>
    </row>
    <row r="2994">
      <c r="A2994" s="1257"/>
      <c r="B2994" s="1113"/>
      <c r="C2994" s="1107"/>
      <c r="D2994" s="103"/>
      <c r="E2994" s="1137"/>
      <c r="F2994" s="112"/>
      <c r="G2994" s="1110"/>
      <c r="H2994" s="1138"/>
      <c r="I2994" s="1138"/>
      <c r="J2994" s="1139"/>
      <c r="K2994" s="1111"/>
      <c r="L2994" s="1112"/>
      <c r="M2994" s="1113"/>
      <c r="N2994" s="110"/>
      <c r="O2994" s="1140"/>
      <c r="P2994" s="1115"/>
      <c r="Q2994" s="1116"/>
      <c r="R2994" s="1141"/>
      <c r="S2994" s="1113"/>
      <c r="T2994" s="1143"/>
      <c r="U2994" s="1108"/>
      <c r="V2994" s="1108"/>
      <c r="W2994" s="1108"/>
      <c r="X2994" s="1108"/>
      <c r="Y2994" s="1108"/>
      <c r="Z2994" s="1114"/>
      <c r="AA2994" s="1114"/>
      <c r="AB2994" s="1114"/>
      <c r="AC2994" s="1117"/>
      <c r="AD2994" s="1115"/>
      <c r="AE2994" s="1115"/>
      <c r="AF2994" s="1115"/>
      <c r="AG2994" s="1115"/>
      <c r="AH2994" s="1115"/>
      <c r="AI2994" s="1115"/>
      <c r="AJ2994" s="1117"/>
      <c r="AK2994" s="1118"/>
      <c r="AL2994" s="1115"/>
      <c r="AM2994" s="1115"/>
      <c r="AN2994" s="1115"/>
      <c r="AO2994" s="1115"/>
      <c r="AP2994" s="1115"/>
      <c r="AQ2994" s="1115"/>
      <c r="AR2994" s="1115"/>
      <c r="AS2994" s="1117"/>
      <c r="AT2994" s="1075"/>
      <c r="AU2994" s="1193"/>
      <c r="AV2994" s="330"/>
      <c r="AW2994" s="331"/>
      <c r="AX2994" s="331"/>
      <c r="AY2994" s="331"/>
      <c r="AZ2994" s="331"/>
      <c r="BA2994" s="331"/>
      <c r="BB2994" s="331"/>
      <c r="BC2994" s="331"/>
      <c r="BD2994" s="331"/>
      <c r="BE2994" s="333"/>
      <c r="BF2994" s="330"/>
      <c r="BG2994" s="333"/>
      <c r="BH2994" s="1119"/>
      <c r="BI2994" s="319"/>
      <c r="BJ2994" s="319"/>
      <c r="BK2994" s="319"/>
      <c r="BL2994" s="319"/>
      <c r="BM2994" s="319"/>
      <c r="BN2994" s="319"/>
      <c r="BO2994" s="319"/>
      <c r="BP2994" s="953"/>
      <c r="BQ2994" s="319"/>
      <c r="BR2994" s="319"/>
      <c r="BS2994" s="330"/>
      <c r="BT2994" s="331"/>
      <c r="BU2994" s="920"/>
      <c r="BV2994" s="903"/>
      <c r="BW2994" s="908"/>
      <c r="BX2994" s="908"/>
      <c r="BY2994" s="331"/>
      <c r="BZ2994" s="331"/>
      <c r="CA2994" s="462"/>
      <c r="CB2994" s="319"/>
      <c r="CC2994" s="319"/>
      <c r="CD2994" s="319"/>
      <c r="CE2994" s="319"/>
      <c r="CF2994" s="319"/>
      <c r="CG2994" s="319"/>
      <c r="CH2994" s="318"/>
      <c r="CI2994" s="319"/>
      <c r="CJ2994" s="319"/>
      <c r="CK2994" s="342"/>
      <c r="CL2994" s="333"/>
      <c r="CM2994" s="1079"/>
      <c r="CN2994" s="1005"/>
      <c r="CO2994" s="1005"/>
      <c r="CP2994" s="1005"/>
    </row>
    <row r="2995">
      <c r="A2995" s="1257"/>
      <c r="B2995" s="1113"/>
      <c r="C2995" s="1107"/>
      <c r="D2995" s="103"/>
      <c r="E2995" s="1137"/>
      <c r="F2995" s="112"/>
      <c r="G2995" s="1110"/>
      <c r="H2995" s="1138"/>
      <c r="I2995" s="1138"/>
      <c r="J2995" s="1139"/>
      <c r="K2995" s="1111"/>
      <c r="L2995" s="1112"/>
      <c r="M2995" s="1113"/>
      <c r="N2995" s="110"/>
      <c r="O2995" s="1140"/>
      <c r="P2995" s="1115"/>
      <c r="Q2995" s="1116"/>
      <c r="R2995" s="1141"/>
      <c r="S2995" s="1113"/>
      <c r="T2995" s="1143"/>
      <c r="U2995" s="1108"/>
      <c r="V2995" s="1108"/>
      <c r="W2995" s="1108"/>
      <c r="X2995" s="1108"/>
      <c r="Y2995" s="1108"/>
      <c r="Z2995" s="1114"/>
      <c r="AA2995" s="1114"/>
      <c r="AB2995" s="1114"/>
      <c r="AC2995" s="1117"/>
      <c r="AD2995" s="1115"/>
      <c r="AE2995" s="1115"/>
      <c r="AF2995" s="1115"/>
      <c r="AG2995" s="1115"/>
      <c r="AH2995" s="1115"/>
      <c r="AI2995" s="1115"/>
      <c r="AJ2995" s="1117"/>
      <c r="AK2995" s="1118"/>
      <c r="AL2995" s="1115"/>
      <c r="AM2995" s="1115"/>
      <c r="AN2995" s="1115"/>
      <c r="AO2995" s="1115"/>
      <c r="AP2995" s="1115"/>
      <c r="AQ2995" s="1115"/>
      <c r="AR2995" s="1115"/>
      <c r="AS2995" s="1117"/>
      <c r="AT2995" s="1075"/>
      <c r="AU2995" s="1193"/>
      <c r="AV2995" s="330"/>
      <c r="AW2995" s="331"/>
      <c r="AX2995" s="331"/>
      <c r="AY2995" s="331"/>
      <c r="AZ2995" s="331"/>
      <c r="BA2995" s="331"/>
      <c r="BB2995" s="331"/>
      <c r="BC2995" s="331"/>
      <c r="BD2995" s="331"/>
      <c r="BE2995" s="333"/>
      <c r="BF2995" s="330"/>
      <c r="BG2995" s="333"/>
      <c r="BH2995" s="1119"/>
      <c r="BI2995" s="319"/>
      <c r="BJ2995" s="319"/>
      <c r="BK2995" s="319"/>
      <c r="BL2995" s="319"/>
      <c r="BM2995" s="319"/>
      <c r="BN2995" s="319"/>
      <c r="BO2995" s="319"/>
      <c r="BP2995" s="953"/>
      <c r="BQ2995" s="319"/>
      <c r="BR2995" s="319"/>
      <c r="BS2995" s="330"/>
      <c r="BT2995" s="331"/>
      <c r="BU2995" s="920"/>
      <c r="BV2995" s="903"/>
      <c r="BW2995" s="908"/>
      <c r="BX2995" s="908"/>
      <c r="BY2995" s="331"/>
      <c r="BZ2995" s="331"/>
      <c r="CA2995" s="462"/>
      <c r="CB2995" s="319"/>
      <c r="CC2995" s="319"/>
      <c r="CD2995" s="319"/>
      <c r="CE2995" s="319"/>
      <c r="CF2995" s="319"/>
      <c r="CG2995" s="319"/>
      <c r="CH2995" s="318"/>
      <c r="CI2995" s="319"/>
      <c r="CJ2995" s="319"/>
      <c r="CK2995" s="342"/>
      <c r="CL2995" s="333"/>
      <c r="CM2995" s="1079"/>
      <c r="CN2995" s="1005"/>
      <c r="CO2995" s="1005"/>
      <c r="CP2995" s="1005"/>
    </row>
    <row r="2996">
      <c r="A2996" s="1257"/>
      <c r="B2996" s="1113"/>
      <c r="C2996" s="1107"/>
      <c r="D2996" s="103"/>
      <c r="E2996" s="1137"/>
      <c r="F2996" s="112"/>
      <c r="G2996" s="1110"/>
      <c r="H2996" s="1138"/>
      <c r="I2996" s="1138"/>
      <c r="J2996" s="1139"/>
      <c r="K2996" s="1111"/>
      <c r="L2996" s="1112"/>
      <c r="M2996" s="1113"/>
      <c r="N2996" s="110"/>
      <c r="O2996" s="1140"/>
      <c r="P2996" s="1115"/>
      <c r="Q2996" s="1116"/>
      <c r="R2996" s="1141"/>
      <c r="S2996" s="1113"/>
      <c r="T2996" s="1143"/>
      <c r="U2996" s="1108"/>
      <c r="V2996" s="1108"/>
      <c r="W2996" s="1108"/>
      <c r="X2996" s="1108"/>
      <c r="Y2996" s="1108"/>
      <c r="Z2996" s="1114"/>
      <c r="AA2996" s="1114"/>
      <c r="AB2996" s="1114"/>
      <c r="AC2996" s="1117"/>
      <c r="AD2996" s="1115"/>
      <c r="AE2996" s="1115"/>
      <c r="AF2996" s="1115"/>
      <c r="AG2996" s="1115"/>
      <c r="AH2996" s="1115"/>
      <c r="AI2996" s="1115"/>
      <c r="AJ2996" s="1117"/>
      <c r="AK2996" s="1118"/>
      <c r="AL2996" s="1115"/>
      <c r="AM2996" s="1115"/>
      <c r="AN2996" s="1115"/>
      <c r="AO2996" s="1115"/>
      <c r="AP2996" s="1115"/>
      <c r="AQ2996" s="1115"/>
      <c r="AR2996" s="1115"/>
      <c r="AS2996" s="1117"/>
      <c r="AT2996" s="1075"/>
      <c r="AU2996" s="1193"/>
      <c r="AV2996" s="330"/>
      <c r="AW2996" s="331"/>
      <c r="AX2996" s="331"/>
      <c r="AY2996" s="331"/>
      <c r="AZ2996" s="331"/>
      <c r="BA2996" s="331"/>
      <c r="BB2996" s="331"/>
      <c r="BC2996" s="331"/>
      <c r="BD2996" s="331"/>
      <c r="BE2996" s="333"/>
      <c r="BF2996" s="330"/>
      <c r="BG2996" s="333"/>
      <c r="BH2996" s="1119"/>
      <c r="BI2996" s="319"/>
      <c r="BJ2996" s="319"/>
      <c r="BK2996" s="319"/>
      <c r="BL2996" s="319"/>
      <c r="BM2996" s="319"/>
      <c r="BN2996" s="319"/>
      <c r="BO2996" s="319"/>
      <c r="BP2996" s="953"/>
      <c r="BQ2996" s="319"/>
      <c r="BR2996" s="319"/>
      <c r="BS2996" s="330"/>
      <c r="BT2996" s="331"/>
      <c r="BU2996" s="920"/>
      <c r="BV2996" s="903"/>
      <c r="BW2996" s="908"/>
      <c r="BX2996" s="908"/>
      <c r="BY2996" s="331"/>
      <c r="BZ2996" s="331"/>
      <c r="CA2996" s="462"/>
      <c r="CB2996" s="319"/>
      <c r="CC2996" s="319"/>
      <c r="CD2996" s="319"/>
      <c r="CE2996" s="319"/>
      <c r="CF2996" s="319"/>
      <c r="CG2996" s="319"/>
      <c r="CH2996" s="318"/>
      <c r="CI2996" s="319"/>
      <c r="CJ2996" s="319"/>
      <c r="CK2996" s="342"/>
      <c r="CL2996" s="333"/>
      <c r="CM2996" s="1079"/>
      <c r="CN2996" s="1005"/>
      <c r="CO2996" s="1005"/>
      <c r="CP2996" s="1005"/>
    </row>
    <row r="2997">
      <c r="A2997" s="1257"/>
      <c r="B2997" s="1113"/>
      <c r="C2997" s="1107"/>
      <c r="D2997" s="103"/>
      <c r="E2997" s="1137"/>
      <c r="F2997" s="112"/>
      <c r="G2997" s="1110"/>
      <c r="H2997" s="1138"/>
      <c r="I2997" s="1138"/>
      <c r="J2997" s="1139"/>
      <c r="K2997" s="1111"/>
      <c r="L2997" s="1112"/>
      <c r="M2997" s="1113"/>
      <c r="N2997" s="110"/>
      <c r="O2997" s="1140"/>
      <c r="P2997" s="1115"/>
      <c r="Q2997" s="1116"/>
      <c r="R2997" s="1141"/>
      <c r="S2997" s="1113"/>
      <c r="T2997" s="1143"/>
      <c r="U2997" s="1108"/>
      <c r="V2997" s="1108"/>
      <c r="W2997" s="1108"/>
      <c r="X2997" s="1108"/>
      <c r="Y2997" s="1108"/>
      <c r="Z2997" s="1114"/>
      <c r="AA2997" s="1114"/>
      <c r="AB2997" s="1114"/>
      <c r="AC2997" s="1117"/>
      <c r="AD2997" s="1115"/>
      <c r="AE2997" s="1115"/>
      <c r="AF2997" s="1115"/>
      <c r="AG2997" s="1115"/>
      <c r="AH2997" s="1115"/>
      <c r="AI2997" s="1115"/>
      <c r="AJ2997" s="1117"/>
      <c r="AK2997" s="1118"/>
      <c r="AL2997" s="1115"/>
      <c r="AM2997" s="1115"/>
      <c r="AN2997" s="1115"/>
      <c r="AO2997" s="1115"/>
      <c r="AP2997" s="1115"/>
      <c r="AQ2997" s="1115"/>
      <c r="AR2997" s="1115"/>
      <c r="AS2997" s="1117"/>
      <c r="AT2997" s="1075"/>
      <c r="AU2997" s="1193"/>
      <c r="AV2997" s="330"/>
      <c r="AW2997" s="331"/>
      <c r="AX2997" s="331"/>
      <c r="AY2997" s="331"/>
      <c r="AZ2997" s="331"/>
      <c r="BA2997" s="331"/>
      <c r="BB2997" s="331"/>
      <c r="BC2997" s="331"/>
      <c r="BD2997" s="331"/>
      <c r="BE2997" s="333"/>
      <c r="BF2997" s="330"/>
      <c r="BG2997" s="333"/>
      <c r="BH2997" s="1119"/>
      <c r="BI2997" s="319"/>
      <c r="BJ2997" s="319"/>
      <c r="BK2997" s="319"/>
      <c r="BL2997" s="319"/>
      <c r="BM2997" s="319"/>
      <c r="BN2997" s="319"/>
      <c r="BO2997" s="319"/>
      <c r="BP2997" s="953"/>
      <c r="BQ2997" s="319"/>
      <c r="BR2997" s="319"/>
      <c r="BS2997" s="330"/>
      <c r="BT2997" s="331"/>
      <c r="BU2997" s="920"/>
      <c r="BV2997" s="903"/>
      <c r="BW2997" s="908"/>
      <c r="BX2997" s="908"/>
      <c r="BY2997" s="331"/>
      <c r="BZ2997" s="331"/>
      <c r="CA2997" s="462"/>
      <c r="CB2997" s="319"/>
      <c r="CC2997" s="319"/>
      <c r="CD2997" s="319"/>
      <c r="CE2997" s="319"/>
      <c r="CF2997" s="319"/>
      <c r="CG2997" s="319"/>
      <c r="CH2997" s="318"/>
      <c r="CI2997" s="319"/>
      <c r="CJ2997" s="319"/>
      <c r="CK2997" s="342"/>
      <c r="CL2997" s="333"/>
      <c r="CM2997" s="1079"/>
      <c r="CN2997" s="1005"/>
      <c r="CO2997" s="1005"/>
      <c r="CP2997" s="1005"/>
    </row>
    <row r="2998">
      <c r="A2998" s="1257"/>
      <c r="B2998" s="1113"/>
      <c r="C2998" s="1107"/>
      <c r="D2998" s="103"/>
      <c r="E2998" s="1137"/>
      <c r="F2998" s="112"/>
      <c r="G2998" s="1110"/>
      <c r="H2998" s="1138"/>
      <c r="I2998" s="1138"/>
      <c r="J2998" s="1139"/>
      <c r="K2998" s="1111"/>
      <c r="L2998" s="1112"/>
      <c r="M2998" s="1113"/>
      <c r="N2998" s="110"/>
      <c r="O2998" s="1140"/>
      <c r="P2998" s="1115"/>
      <c r="Q2998" s="1116"/>
      <c r="R2998" s="1141"/>
      <c r="S2998" s="1113"/>
      <c r="T2998" s="1143"/>
      <c r="U2998" s="1108"/>
      <c r="V2998" s="1108"/>
      <c r="W2998" s="1108"/>
      <c r="X2998" s="1108"/>
      <c r="Y2998" s="1108"/>
      <c r="Z2998" s="1114"/>
      <c r="AA2998" s="1114"/>
      <c r="AB2998" s="1114"/>
      <c r="AC2998" s="1117"/>
      <c r="AD2998" s="1115"/>
      <c r="AE2998" s="1115"/>
      <c r="AF2998" s="1115"/>
      <c r="AG2998" s="1115"/>
      <c r="AH2998" s="1115"/>
      <c r="AI2998" s="1115"/>
      <c r="AJ2998" s="1117"/>
      <c r="AK2998" s="1118"/>
      <c r="AL2998" s="1115"/>
      <c r="AM2998" s="1115"/>
      <c r="AN2998" s="1115"/>
      <c r="AO2998" s="1115"/>
      <c r="AP2998" s="1115"/>
      <c r="AQ2998" s="1115"/>
      <c r="AR2998" s="1115"/>
      <c r="AS2998" s="1117"/>
      <c r="AT2998" s="1075"/>
      <c r="AU2998" s="1193"/>
      <c r="AV2998" s="330"/>
      <c r="AW2998" s="331"/>
      <c r="AX2998" s="331"/>
      <c r="AY2998" s="331"/>
      <c r="AZ2998" s="331"/>
      <c r="BA2998" s="331"/>
      <c r="BB2998" s="331"/>
      <c r="BC2998" s="331"/>
      <c r="BD2998" s="331"/>
      <c r="BE2998" s="333"/>
      <c r="BF2998" s="330"/>
      <c r="BG2998" s="333"/>
      <c r="BH2998" s="1119"/>
      <c r="BI2998" s="319"/>
      <c r="BJ2998" s="319"/>
      <c r="BK2998" s="319"/>
      <c r="BL2998" s="319"/>
      <c r="BM2998" s="319"/>
      <c r="BN2998" s="319"/>
      <c r="BO2998" s="319"/>
      <c r="BP2998" s="953"/>
      <c r="BQ2998" s="319"/>
      <c r="BR2998" s="319"/>
      <c r="BS2998" s="330"/>
      <c r="BT2998" s="331"/>
      <c r="BU2998" s="920"/>
      <c r="BV2998" s="903"/>
      <c r="BW2998" s="908"/>
      <c r="BX2998" s="908"/>
      <c r="BY2998" s="331"/>
      <c r="BZ2998" s="331"/>
      <c r="CA2998" s="462"/>
      <c r="CB2998" s="319"/>
      <c r="CC2998" s="319"/>
      <c r="CD2998" s="319"/>
      <c r="CE2998" s="319"/>
      <c r="CF2998" s="319"/>
      <c r="CG2998" s="319"/>
      <c r="CH2998" s="318"/>
      <c r="CI2998" s="319"/>
      <c r="CJ2998" s="319"/>
      <c r="CK2998" s="342"/>
      <c r="CL2998" s="333"/>
      <c r="CM2998" s="1079"/>
      <c r="CN2998" s="1005"/>
      <c r="CO2998" s="1005"/>
      <c r="CP2998" s="1005"/>
    </row>
    <row r="2999">
      <c r="A2999" s="1257"/>
      <c r="B2999" s="1113"/>
      <c r="C2999" s="1107"/>
      <c r="D2999" s="103"/>
      <c r="E2999" s="1137"/>
      <c r="F2999" s="112"/>
      <c r="G2999" s="1110"/>
      <c r="H2999" s="1138"/>
      <c r="I2999" s="1138"/>
      <c r="J2999" s="1139"/>
      <c r="K2999" s="1111"/>
      <c r="L2999" s="1112"/>
      <c r="M2999" s="1113"/>
      <c r="N2999" s="110"/>
      <c r="O2999" s="1140"/>
      <c r="P2999" s="1115"/>
      <c r="Q2999" s="1116"/>
      <c r="R2999" s="1141"/>
      <c r="S2999" s="1113"/>
      <c r="T2999" s="1143"/>
      <c r="U2999" s="1108"/>
      <c r="V2999" s="1108"/>
      <c r="W2999" s="1108"/>
      <c r="X2999" s="1108"/>
      <c r="Y2999" s="1108"/>
      <c r="Z2999" s="1114"/>
      <c r="AA2999" s="1114"/>
      <c r="AB2999" s="1114"/>
      <c r="AC2999" s="1117"/>
      <c r="AD2999" s="1115"/>
      <c r="AE2999" s="1115"/>
      <c r="AF2999" s="1115"/>
      <c r="AG2999" s="1115"/>
      <c r="AH2999" s="1115"/>
      <c r="AI2999" s="1115"/>
      <c r="AJ2999" s="1117"/>
      <c r="AK2999" s="1118"/>
      <c r="AL2999" s="1115"/>
      <c r="AM2999" s="1115"/>
      <c r="AN2999" s="1115"/>
      <c r="AO2999" s="1115"/>
      <c r="AP2999" s="1115"/>
      <c r="AQ2999" s="1115"/>
      <c r="AR2999" s="1115"/>
      <c r="AS2999" s="1117"/>
      <c r="AT2999" s="1075"/>
      <c r="AU2999" s="1193"/>
      <c r="AV2999" s="330"/>
      <c r="AW2999" s="331"/>
      <c r="AX2999" s="331"/>
      <c r="AY2999" s="331"/>
      <c r="AZ2999" s="331"/>
      <c r="BA2999" s="331"/>
      <c r="BB2999" s="331"/>
      <c r="BC2999" s="331"/>
      <c r="BD2999" s="331"/>
      <c r="BE2999" s="333"/>
      <c r="BF2999" s="330"/>
      <c r="BG2999" s="333"/>
      <c r="BH2999" s="1119"/>
      <c r="BI2999" s="319"/>
      <c r="BJ2999" s="319"/>
      <c r="BK2999" s="319"/>
      <c r="BL2999" s="319"/>
      <c r="BM2999" s="319"/>
      <c r="BN2999" s="319"/>
      <c r="BO2999" s="319"/>
      <c r="BP2999" s="953"/>
      <c r="BQ2999" s="319"/>
      <c r="BR2999" s="319"/>
      <c r="BS2999" s="330"/>
      <c r="BT2999" s="331"/>
      <c r="BU2999" s="920"/>
      <c r="BV2999" s="903"/>
      <c r="BW2999" s="908"/>
      <c r="BX2999" s="908"/>
      <c r="BY2999" s="331"/>
      <c r="BZ2999" s="331"/>
      <c r="CA2999" s="462"/>
      <c r="CB2999" s="319"/>
      <c r="CC2999" s="319"/>
      <c r="CD2999" s="319"/>
      <c r="CE2999" s="319"/>
      <c r="CF2999" s="319"/>
      <c r="CG2999" s="319"/>
      <c r="CH2999" s="318"/>
      <c r="CI2999" s="319"/>
      <c r="CJ2999" s="319"/>
      <c r="CK2999" s="342"/>
      <c r="CL2999" s="333"/>
      <c r="CM2999" s="1079"/>
      <c r="CN2999" s="1005"/>
      <c r="CO2999" s="1005"/>
      <c r="CP2999" s="1005"/>
    </row>
    <row r="3000">
      <c r="A3000" s="1257"/>
      <c r="B3000" s="1113"/>
      <c r="C3000" s="1107"/>
      <c r="D3000" s="103"/>
      <c r="E3000" s="1137"/>
      <c r="F3000" s="112"/>
      <c r="G3000" s="1110"/>
      <c r="H3000" s="1138"/>
      <c r="I3000" s="1138"/>
      <c r="J3000" s="1139"/>
      <c r="K3000" s="1111"/>
      <c r="L3000" s="1112"/>
      <c r="M3000" s="1113"/>
      <c r="N3000" s="110"/>
      <c r="O3000" s="1140"/>
      <c r="P3000" s="1115"/>
      <c r="Q3000" s="1116"/>
      <c r="R3000" s="1141"/>
      <c r="S3000" s="1113"/>
      <c r="T3000" s="1143"/>
      <c r="U3000" s="1108"/>
      <c r="V3000" s="1108"/>
      <c r="W3000" s="1108"/>
      <c r="X3000" s="1108"/>
      <c r="Y3000" s="1108"/>
      <c r="Z3000" s="1114"/>
      <c r="AA3000" s="1114"/>
      <c r="AB3000" s="1114"/>
      <c r="AC3000" s="1117"/>
      <c r="AD3000" s="1115"/>
      <c r="AE3000" s="1115"/>
      <c r="AF3000" s="1115"/>
      <c r="AG3000" s="1115"/>
      <c r="AH3000" s="1115"/>
      <c r="AI3000" s="1115"/>
      <c r="AJ3000" s="1117"/>
      <c r="AK3000" s="1118"/>
      <c r="AL3000" s="1115"/>
      <c r="AM3000" s="1115"/>
      <c r="AN3000" s="1115"/>
      <c r="AO3000" s="1115"/>
      <c r="AP3000" s="1115"/>
      <c r="AQ3000" s="1115"/>
      <c r="AR3000" s="1115"/>
      <c r="AS3000" s="1117"/>
      <c r="AT3000" s="1075"/>
      <c r="AU3000" s="1193"/>
      <c r="AV3000" s="330"/>
      <c r="AW3000" s="331"/>
      <c r="AX3000" s="331"/>
      <c r="AY3000" s="331"/>
      <c r="AZ3000" s="331"/>
      <c r="BA3000" s="331"/>
      <c r="BB3000" s="331"/>
      <c r="BC3000" s="331"/>
      <c r="BD3000" s="331"/>
      <c r="BE3000" s="333"/>
      <c r="BF3000" s="330"/>
      <c r="BG3000" s="333"/>
      <c r="BH3000" s="1119"/>
      <c r="BI3000" s="319"/>
      <c r="BJ3000" s="319"/>
      <c r="BK3000" s="319"/>
      <c r="BL3000" s="319"/>
      <c r="BM3000" s="319"/>
      <c r="BN3000" s="319"/>
      <c r="BO3000" s="319"/>
      <c r="BP3000" s="953"/>
      <c r="BQ3000" s="319"/>
      <c r="BR3000" s="319"/>
      <c r="BS3000" s="330"/>
      <c r="BT3000" s="331"/>
      <c r="BU3000" s="920"/>
      <c r="BV3000" s="903"/>
      <c r="BW3000" s="908"/>
      <c r="BX3000" s="908"/>
      <c r="BY3000" s="331"/>
      <c r="BZ3000" s="331"/>
      <c r="CA3000" s="462"/>
      <c r="CB3000" s="319"/>
      <c r="CC3000" s="319"/>
      <c r="CD3000" s="319"/>
      <c r="CE3000" s="319"/>
      <c r="CF3000" s="319"/>
      <c r="CG3000" s="319"/>
      <c r="CH3000" s="318"/>
      <c r="CI3000" s="319"/>
      <c r="CJ3000" s="319"/>
      <c r="CK3000" s="342"/>
      <c r="CL3000" s="333"/>
      <c r="CM3000" s="1079"/>
      <c r="CN3000" s="1005"/>
      <c r="CO3000" s="1005"/>
      <c r="CP3000" s="1005"/>
    </row>
    <row r="3001">
      <c r="A3001" s="1257"/>
      <c r="B3001" s="1113"/>
      <c r="C3001" s="1107"/>
      <c r="D3001" s="103"/>
      <c r="E3001" s="1137"/>
      <c r="F3001" s="112"/>
      <c r="G3001" s="1110"/>
      <c r="H3001" s="1138"/>
      <c r="I3001" s="1138"/>
      <c r="J3001" s="1139"/>
      <c r="K3001" s="1111"/>
      <c r="L3001" s="1112"/>
      <c r="M3001" s="1113"/>
      <c r="N3001" s="110"/>
      <c r="O3001" s="1140"/>
      <c r="P3001" s="1115"/>
      <c r="Q3001" s="1116"/>
      <c r="R3001" s="1141"/>
      <c r="S3001" s="1113"/>
      <c r="T3001" s="1143"/>
      <c r="U3001" s="1108"/>
      <c r="V3001" s="1108"/>
      <c r="W3001" s="1108"/>
      <c r="X3001" s="1108"/>
      <c r="Y3001" s="1108"/>
      <c r="Z3001" s="1114"/>
      <c r="AA3001" s="1114"/>
      <c r="AB3001" s="1114"/>
      <c r="AC3001" s="1117"/>
      <c r="AD3001" s="1115"/>
      <c r="AE3001" s="1115"/>
      <c r="AF3001" s="1115"/>
      <c r="AG3001" s="1115"/>
      <c r="AH3001" s="1115"/>
      <c r="AI3001" s="1115"/>
      <c r="AJ3001" s="1117"/>
      <c r="AK3001" s="1118"/>
      <c r="AL3001" s="1115"/>
      <c r="AM3001" s="1115"/>
      <c r="AN3001" s="1115"/>
      <c r="AO3001" s="1115"/>
      <c r="AP3001" s="1115"/>
      <c r="AQ3001" s="1115"/>
      <c r="AR3001" s="1115"/>
      <c r="AS3001" s="1117"/>
      <c r="AT3001" s="1075"/>
      <c r="AU3001" s="1193"/>
      <c r="AV3001" s="330"/>
      <c r="AW3001" s="331"/>
      <c r="AX3001" s="331"/>
      <c r="AY3001" s="331"/>
      <c r="AZ3001" s="331"/>
      <c r="BA3001" s="331"/>
      <c r="BB3001" s="331"/>
      <c r="BC3001" s="331"/>
      <c r="BD3001" s="331"/>
      <c r="BE3001" s="333"/>
      <c r="BF3001" s="330"/>
      <c r="BG3001" s="333"/>
      <c r="BH3001" s="1119"/>
      <c r="BI3001" s="319"/>
      <c r="BJ3001" s="319"/>
      <c r="BK3001" s="319"/>
      <c r="BL3001" s="319"/>
      <c r="BM3001" s="319"/>
      <c r="BN3001" s="319"/>
      <c r="BO3001" s="319"/>
      <c r="BP3001" s="953"/>
      <c r="BQ3001" s="319"/>
      <c r="BR3001" s="319"/>
      <c r="BS3001" s="330"/>
      <c r="BT3001" s="331"/>
      <c r="BU3001" s="920"/>
      <c r="BV3001" s="903"/>
      <c r="BW3001" s="908"/>
      <c r="BX3001" s="908"/>
      <c r="BY3001" s="331"/>
      <c r="BZ3001" s="331"/>
      <c r="CA3001" s="462"/>
      <c r="CB3001" s="319"/>
      <c r="CC3001" s="319"/>
      <c r="CD3001" s="319"/>
      <c r="CE3001" s="319"/>
      <c r="CF3001" s="319"/>
      <c r="CG3001" s="319"/>
      <c r="CH3001" s="318"/>
      <c r="CI3001" s="319"/>
      <c r="CJ3001" s="319"/>
      <c r="CK3001" s="342"/>
      <c r="CL3001" s="333"/>
      <c r="CM3001" s="1079"/>
      <c r="CN3001" s="1005"/>
      <c r="CO3001" s="1005"/>
      <c r="CP3001" s="1005"/>
    </row>
    <row r="3002">
      <c r="A3002" s="1257"/>
      <c r="B3002" s="1113"/>
      <c r="C3002" s="1107"/>
      <c r="D3002" s="103"/>
      <c r="E3002" s="1137"/>
      <c r="F3002" s="112"/>
      <c r="G3002" s="1110"/>
      <c r="H3002" s="1138"/>
      <c r="I3002" s="1138"/>
      <c r="J3002" s="1139"/>
      <c r="K3002" s="1111"/>
      <c r="L3002" s="1112"/>
      <c r="M3002" s="1113"/>
      <c r="N3002" s="110"/>
      <c r="O3002" s="1140"/>
      <c r="P3002" s="1115"/>
      <c r="Q3002" s="1116"/>
      <c r="R3002" s="1141"/>
      <c r="S3002" s="1113"/>
      <c r="T3002" s="1143"/>
      <c r="U3002" s="1108"/>
      <c r="V3002" s="1108"/>
      <c r="W3002" s="1108"/>
      <c r="X3002" s="1108"/>
      <c r="Y3002" s="1108"/>
      <c r="Z3002" s="1114"/>
      <c r="AA3002" s="1114"/>
      <c r="AB3002" s="1114"/>
      <c r="AC3002" s="1117"/>
      <c r="AD3002" s="1115"/>
      <c r="AE3002" s="1115"/>
      <c r="AF3002" s="1115"/>
      <c r="AG3002" s="1115"/>
      <c r="AH3002" s="1115"/>
      <c r="AI3002" s="1115"/>
      <c r="AJ3002" s="1117"/>
      <c r="AK3002" s="1118"/>
      <c r="AL3002" s="1115"/>
      <c r="AM3002" s="1115"/>
      <c r="AN3002" s="1115"/>
      <c r="AO3002" s="1115"/>
      <c r="AP3002" s="1115"/>
      <c r="AQ3002" s="1115"/>
      <c r="AR3002" s="1115"/>
      <c r="AS3002" s="1117"/>
      <c r="AT3002" s="1075"/>
      <c r="AU3002" s="1193"/>
      <c r="AV3002" s="330"/>
      <c r="AW3002" s="331"/>
      <c r="AX3002" s="331"/>
      <c r="AY3002" s="331"/>
      <c r="AZ3002" s="331"/>
      <c r="BA3002" s="331"/>
      <c r="BB3002" s="331"/>
      <c r="BC3002" s="331"/>
      <c r="BD3002" s="331"/>
      <c r="BE3002" s="333"/>
      <c r="BF3002" s="330"/>
      <c r="BG3002" s="333"/>
      <c r="BH3002" s="1119"/>
      <c r="BI3002" s="319"/>
      <c r="BJ3002" s="319"/>
      <c r="BK3002" s="319"/>
      <c r="BL3002" s="319"/>
      <c r="BM3002" s="319"/>
      <c r="BN3002" s="319"/>
      <c r="BO3002" s="319"/>
      <c r="BP3002" s="953"/>
      <c r="BQ3002" s="319"/>
      <c r="BR3002" s="319"/>
      <c r="BS3002" s="330"/>
      <c r="BT3002" s="331"/>
      <c r="BU3002" s="920"/>
      <c r="BV3002" s="903"/>
      <c r="BW3002" s="908"/>
      <c r="BX3002" s="908"/>
      <c r="BY3002" s="331"/>
      <c r="BZ3002" s="331"/>
      <c r="CA3002" s="462"/>
      <c r="CB3002" s="319"/>
      <c r="CC3002" s="319"/>
      <c r="CD3002" s="319"/>
      <c r="CE3002" s="319"/>
      <c r="CF3002" s="319"/>
      <c r="CG3002" s="319"/>
      <c r="CH3002" s="318"/>
      <c r="CI3002" s="319"/>
      <c r="CJ3002" s="319"/>
      <c r="CK3002" s="342"/>
      <c r="CL3002" s="333"/>
      <c r="CM3002" s="1079"/>
      <c r="CN3002" s="1005"/>
      <c r="CO3002" s="1005"/>
      <c r="CP3002" s="1005"/>
    </row>
    <row r="3003">
      <c r="A3003" s="1257"/>
      <c r="B3003" s="1113"/>
      <c r="C3003" s="1107"/>
      <c r="D3003" s="103"/>
      <c r="E3003" s="1137"/>
      <c r="F3003" s="112"/>
      <c r="G3003" s="1110"/>
      <c r="H3003" s="1138"/>
      <c r="I3003" s="1138"/>
      <c r="J3003" s="1139"/>
      <c r="K3003" s="1111"/>
      <c r="L3003" s="1112"/>
      <c r="M3003" s="1113"/>
      <c r="N3003" s="110"/>
      <c r="O3003" s="1140"/>
      <c r="P3003" s="1115"/>
      <c r="Q3003" s="1116"/>
      <c r="R3003" s="1141"/>
      <c r="S3003" s="1113"/>
      <c r="T3003" s="1143"/>
      <c r="U3003" s="1108"/>
      <c r="V3003" s="1108"/>
      <c r="W3003" s="1108"/>
      <c r="X3003" s="1108"/>
      <c r="Y3003" s="1108"/>
      <c r="Z3003" s="1114"/>
      <c r="AA3003" s="1114"/>
      <c r="AB3003" s="1114"/>
      <c r="AC3003" s="1117"/>
      <c r="AD3003" s="1115"/>
      <c r="AE3003" s="1115"/>
      <c r="AF3003" s="1115"/>
      <c r="AG3003" s="1115"/>
      <c r="AH3003" s="1115"/>
      <c r="AI3003" s="1115"/>
      <c r="AJ3003" s="1117"/>
      <c r="AK3003" s="1118"/>
      <c r="AL3003" s="1115"/>
      <c r="AM3003" s="1115"/>
      <c r="AN3003" s="1115"/>
      <c r="AO3003" s="1115"/>
      <c r="AP3003" s="1115"/>
      <c r="AQ3003" s="1115"/>
      <c r="AR3003" s="1115"/>
      <c r="AS3003" s="1117"/>
      <c r="AT3003" s="1075"/>
      <c r="AU3003" s="1193"/>
      <c r="AV3003" s="330"/>
      <c r="AW3003" s="331"/>
      <c r="AX3003" s="331"/>
      <c r="AY3003" s="331"/>
      <c r="AZ3003" s="331"/>
      <c r="BA3003" s="331"/>
      <c r="BB3003" s="331"/>
      <c r="BC3003" s="331"/>
      <c r="BD3003" s="331"/>
      <c r="BE3003" s="333"/>
      <c r="BF3003" s="330"/>
      <c r="BG3003" s="333"/>
      <c r="BH3003" s="1119"/>
      <c r="BI3003" s="319"/>
      <c r="BJ3003" s="319"/>
      <c r="BK3003" s="319"/>
      <c r="BL3003" s="319"/>
      <c r="BM3003" s="319"/>
      <c r="BN3003" s="319"/>
      <c r="BO3003" s="319"/>
      <c r="BP3003" s="953"/>
      <c r="BQ3003" s="319"/>
      <c r="BR3003" s="319"/>
      <c r="BS3003" s="330"/>
      <c r="BT3003" s="331"/>
      <c r="BU3003" s="920"/>
      <c r="BV3003" s="903"/>
      <c r="BW3003" s="908"/>
      <c r="BX3003" s="908"/>
      <c r="BY3003" s="331"/>
      <c r="BZ3003" s="331"/>
      <c r="CA3003" s="462"/>
      <c r="CB3003" s="319"/>
      <c r="CC3003" s="319"/>
      <c r="CD3003" s="319"/>
      <c r="CE3003" s="319"/>
      <c r="CF3003" s="319"/>
      <c r="CG3003" s="319"/>
      <c r="CH3003" s="318"/>
      <c r="CI3003" s="319"/>
      <c r="CJ3003" s="319"/>
      <c r="CK3003" s="342"/>
      <c r="CL3003" s="333"/>
      <c r="CM3003" s="1079"/>
      <c r="CN3003" s="1005"/>
      <c r="CO3003" s="1005"/>
      <c r="CP3003" s="1005"/>
    </row>
    <row r="3004">
      <c r="A3004" s="1257"/>
      <c r="B3004" s="1113"/>
      <c r="C3004" s="1107"/>
      <c r="D3004" s="103"/>
      <c r="E3004" s="1137"/>
      <c r="F3004" s="112"/>
      <c r="G3004" s="1110"/>
      <c r="H3004" s="1138"/>
      <c r="I3004" s="1138"/>
      <c r="J3004" s="1139"/>
      <c r="K3004" s="1111"/>
      <c r="L3004" s="1112"/>
      <c r="M3004" s="1113"/>
      <c r="N3004" s="110"/>
      <c r="O3004" s="1140"/>
      <c r="P3004" s="1115"/>
      <c r="Q3004" s="1116"/>
      <c r="R3004" s="1141"/>
      <c r="S3004" s="1113"/>
      <c r="T3004" s="1143"/>
      <c r="U3004" s="1108"/>
      <c r="V3004" s="1108"/>
      <c r="W3004" s="1108"/>
      <c r="X3004" s="1108"/>
      <c r="Y3004" s="1108"/>
      <c r="Z3004" s="1114"/>
      <c r="AA3004" s="1114"/>
      <c r="AB3004" s="1114"/>
      <c r="AC3004" s="1117"/>
      <c r="AD3004" s="1115"/>
      <c r="AE3004" s="1115"/>
      <c r="AF3004" s="1115"/>
      <c r="AG3004" s="1115"/>
      <c r="AH3004" s="1115"/>
      <c r="AI3004" s="1115"/>
      <c r="AJ3004" s="1117"/>
      <c r="AK3004" s="1118"/>
      <c r="AL3004" s="1115"/>
      <c r="AM3004" s="1115"/>
      <c r="AN3004" s="1115"/>
      <c r="AO3004" s="1115"/>
      <c r="AP3004" s="1115"/>
      <c r="AQ3004" s="1115"/>
      <c r="AR3004" s="1115"/>
      <c r="AS3004" s="1117"/>
      <c r="AT3004" s="1075"/>
      <c r="AU3004" s="1193"/>
      <c r="AV3004" s="330"/>
      <c r="AW3004" s="331"/>
      <c r="AX3004" s="331"/>
      <c r="AY3004" s="331"/>
      <c r="AZ3004" s="331"/>
      <c r="BA3004" s="331"/>
      <c r="BB3004" s="331"/>
      <c r="BC3004" s="331"/>
      <c r="BD3004" s="331"/>
      <c r="BE3004" s="333"/>
      <c r="BF3004" s="330"/>
      <c r="BG3004" s="333"/>
      <c r="BH3004" s="1119"/>
      <c r="BI3004" s="319"/>
      <c r="BJ3004" s="319"/>
      <c r="BK3004" s="319"/>
      <c r="BL3004" s="319"/>
      <c r="BM3004" s="319"/>
      <c r="BN3004" s="319"/>
      <c r="BO3004" s="319"/>
      <c r="BP3004" s="953"/>
      <c r="BQ3004" s="319"/>
      <c r="BR3004" s="319"/>
      <c r="BS3004" s="330"/>
      <c r="BT3004" s="331"/>
      <c r="BU3004" s="920"/>
      <c r="BV3004" s="903"/>
      <c r="BW3004" s="908"/>
      <c r="BX3004" s="908"/>
      <c r="BY3004" s="331"/>
      <c r="BZ3004" s="331"/>
      <c r="CA3004" s="462"/>
      <c r="CB3004" s="319"/>
      <c r="CC3004" s="319"/>
      <c r="CD3004" s="319"/>
      <c r="CE3004" s="319"/>
      <c r="CF3004" s="319"/>
      <c r="CG3004" s="319"/>
      <c r="CH3004" s="318"/>
      <c r="CI3004" s="319"/>
      <c r="CJ3004" s="319"/>
      <c r="CK3004" s="342"/>
      <c r="CL3004" s="333"/>
      <c r="CM3004" s="1079"/>
      <c r="CN3004" s="1005"/>
      <c r="CO3004" s="1005"/>
      <c r="CP3004" s="1005"/>
    </row>
    <row r="3005">
      <c r="A3005" s="1257"/>
      <c r="B3005" s="1113"/>
      <c r="C3005" s="1107"/>
      <c r="D3005" s="103"/>
      <c r="E3005" s="1137"/>
      <c r="F3005" s="112"/>
      <c r="G3005" s="1110"/>
      <c r="H3005" s="1138"/>
      <c r="I3005" s="1138"/>
      <c r="J3005" s="1139"/>
      <c r="K3005" s="1111"/>
      <c r="L3005" s="1112"/>
      <c r="M3005" s="1113"/>
      <c r="N3005" s="110"/>
      <c r="O3005" s="1140"/>
      <c r="P3005" s="1115"/>
      <c r="Q3005" s="1116"/>
      <c r="R3005" s="1141"/>
      <c r="S3005" s="1113"/>
      <c r="T3005" s="1143"/>
      <c r="U3005" s="1108"/>
      <c r="V3005" s="1108"/>
      <c r="W3005" s="1108"/>
      <c r="X3005" s="1108"/>
      <c r="Y3005" s="1108"/>
      <c r="Z3005" s="1114"/>
      <c r="AA3005" s="1114"/>
      <c r="AB3005" s="1114"/>
      <c r="AC3005" s="1117"/>
      <c r="AD3005" s="1115"/>
      <c r="AE3005" s="1115"/>
      <c r="AF3005" s="1115"/>
      <c r="AG3005" s="1115"/>
      <c r="AH3005" s="1115"/>
      <c r="AI3005" s="1115"/>
      <c r="AJ3005" s="1117"/>
      <c r="AK3005" s="1118"/>
      <c r="AL3005" s="1115"/>
      <c r="AM3005" s="1115"/>
      <c r="AN3005" s="1115"/>
      <c r="AO3005" s="1115"/>
      <c r="AP3005" s="1115"/>
      <c r="AQ3005" s="1115"/>
      <c r="AR3005" s="1115"/>
      <c r="AS3005" s="1117"/>
      <c r="AT3005" s="1075"/>
      <c r="AU3005" s="1193"/>
      <c r="AV3005" s="330"/>
      <c r="AW3005" s="331"/>
      <c r="AX3005" s="331"/>
      <c r="AY3005" s="331"/>
      <c r="AZ3005" s="331"/>
      <c r="BA3005" s="331"/>
      <c r="BB3005" s="331"/>
      <c r="BC3005" s="331"/>
      <c r="BD3005" s="331"/>
      <c r="BE3005" s="333"/>
      <c r="BF3005" s="330"/>
      <c r="BG3005" s="333"/>
      <c r="BH3005" s="1119"/>
      <c r="BI3005" s="319"/>
      <c r="BJ3005" s="319"/>
      <c r="BK3005" s="319"/>
      <c r="BL3005" s="319"/>
      <c r="BM3005" s="319"/>
      <c r="BN3005" s="319"/>
      <c r="BO3005" s="319"/>
      <c r="BP3005" s="953"/>
      <c r="BQ3005" s="319"/>
      <c r="BR3005" s="319"/>
      <c r="BS3005" s="330"/>
      <c r="BT3005" s="331"/>
      <c r="BU3005" s="920"/>
      <c r="BV3005" s="903"/>
      <c r="BW3005" s="908"/>
      <c r="BX3005" s="908"/>
      <c r="BY3005" s="331"/>
      <c r="BZ3005" s="331"/>
      <c r="CA3005" s="462"/>
      <c r="CB3005" s="319"/>
      <c r="CC3005" s="319"/>
      <c r="CD3005" s="319"/>
      <c r="CE3005" s="319"/>
      <c r="CF3005" s="319"/>
      <c r="CG3005" s="319"/>
      <c r="CH3005" s="318"/>
      <c r="CI3005" s="319"/>
      <c r="CJ3005" s="319"/>
      <c r="CK3005" s="342"/>
      <c r="CL3005" s="333"/>
      <c r="CM3005" s="1079"/>
      <c r="CN3005" s="1005"/>
      <c r="CO3005" s="1005"/>
      <c r="CP3005" s="1005"/>
    </row>
    <row r="3006">
      <c r="A3006" s="1257"/>
      <c r="B3006" s="1113"/>
      <c r="C3006" s="1107"/>
      <c r="D3006" s="103"/>
      <c r="E3006" s="1137"/>
      <c r="F3006" s="112"/>
      <c r="G3006" s="1110"/>
      <c r="H3006" s="1138"/>
      <c r="I3006" s="1138"/>
      <c r="J3006" s="1139"/>
      <c r="K3006" s="1111"/>
      <c r="L3006" s="1112"/>
      <c r="M3006" s="1113"/>
      <c r="N3006" s="110"/>
      <c r="O3006" s="1140"/>
      <c r="P3006" s="1115"/>
      <c r="Q3006" s="1116"/>
      <c r="R3006" s="1141"/>
      <c r="S3006" s="1113"/>
      <c r="T3006" s="1143"/>
      <c r="U3006" s="1108"/>
      <c r="V3006" s="1108"/>
      <c r="W3006" s="1108"/>
      <c r="X3006" s="1108"/>
      <c r="Y3006" s="1108"/>
      <c r="Z3006" s="1114"/>
      <c r="AA3006" s="1114"/>
      <c r="AB3006" s="1114"/>
      <c r="AC3006" s="1117"/>
      <c r="AD3006" s="1115"/>
      <c r="AE3006" s="1115"/>
      <c r="AF3006" s="1115"/>
      <c r="AG3006" s="1115"/>
      <c r="AH3006" s="1115"/>
      <c r="AI3006" s="1115"/>
      <c r="AJ3006" s="1117"/>
      <c r="AK3006" s="1118"/>
      <c r="AL3006" s="1115"/>
      <c r="AM3006" s="1115"/>
      <c r="AN3006" s="1115"/>
      <c r="AO3006" s="1115"/>
      <c r="AP3006" s="1115"/>
      <c r="AQ3006" s="1115"/>
      <c r="AR3006" s="1115"/>
      <c r="AS3006" s="1117"/>
      <c r="AT3006" s="1075"/>
      <c r="AU3006" s="1193"/>
      <c r="AV3006" s="330"/>
      <c r="AW3006" s="331"/>
      <c r="AX3006" s="331"/>
      <c r="AY3006" s="331"/>
      <c r="AZ3006" s="331"/>
      <c r="BA3006" s="331"/>
      <c r="BB3006" s="331"/>
      <c r="BC3006" s="331"/>
      <c r="BD3006" s="331"/>
      <c r="BE3006" s="333"/>
      <c r="BF3006" s="330"/>
      <c r="BG3006" s="333"/>
      <c r="BH3006" s="1119"/>
      <c r="BI3006" s="319"/>
      <c r="BJ3006" s="319"/>
      <c r="BK3006" s="319"/>
      <c r="BL3006" s="319"/>
      <c r="BM3006" s="319"/>
      <c r="BN3006" s="319"/>
      <c r="BO3006" s="319"/>
      <c r="BP3006" s="953"/>
      <c r="BQ3006" s="319"/>
      <c r="BR3006" s="319"/>
      <c r="BS3006" s="330"/>
      <c r="BT3006" s="331"/>
      <c r="BU3006" s="920"/>
      <c r="BV3006" s="903"/>
      <c r="BW3006" s="908"/>
      <c r="BX3006" s="908"/>
      <c r="BY3006" s="331"/>
      <c r="BZ3006" s="331"/>
      <c r="CA3006" s="462"/>
      <c r="CB3006" s="319"/>
      <c r="CC3006" s="319"/>
      <c r="CD3006" s="319"/>
      <c r="CE3006" s="319"/>
      <c r="CF3006" s="319"/>
      <c r="CG3006" s="319"/>
      <c r="CH3006" s="318"/>
      <c r="CI3006" s="319"/>
      <c r="CJ3006" s="319"/>
      <c r="CK3006" s="342"/>
      <c r="CL3006" s="333"/>
      <c r="CM3006" s="1079"/>
      <c r="CN3006" s="1005"/>
      <c r="CO3006" s="1005"/>
      <c r="CP3006" s="1005"/>
    </row>
    <row r="3007">
      <c r="A3007" s="1257"/>
      <c r="B3007" s="1113"/>
      <c r="C3007" s="1107"/>
      <c r="D3007" s="103"/>
      <c r="E3007" s="1137"/>
      <c r="F3007" s="112"/>
      <c r="G3007" s="1110"/>
      <c r="H3007" s="1138"/>
      <c r="I3007" s="1138"/>
      <c r="J3007" s="1139"/>
      <c r="K3007" s="1111"/>
      <c r="L3007" s="1112"/>
      <c r="M3007" s="1113"/>
      <c r="N3007" s="110"/>
      <c r="O3007" s="1140"/>
      <c r="P3007" s="1115"/>
      <c r="Q3007" s="1116"/>
      <c r="R3007" s="1141"/>
      <c r="S3007" s="1113"/>
      <c r="T3007" s="1143"/>
      <c r="U3007" s="1108"/>
      <c r="V3007" s="1108"/>
      <c r="W3007" s="1108"/>
      <c r="X3007" s="1108"/>
      <c r="Y3007" s="1108"/>
      <c r="Z3007" s="1114"/>
      <c r="AA3007" s="1114"/>
      <c r="AB3007" s="1114"/>
      <c r="AC3007" s="1117"/>
      <c r="AD3007" s="1115"/>
      <c r="AE3007" s="1115"/>
      <c r="AF3007" s="1115"/>
      <c r="AG3007" s="1115"/>
      <c r="AH3007" s="1115"/>
      <c r="AI3007" s="1115"/>
      <c r="AJ3007" s="1117"/>
      <c r="AK3007" s="1118"/>
      <c r="AL3007" s="1115"/>
      <c r="AM3007" s="1115"/>
      <c r="AN3007" s="1115"/>
      <c r="AO3007" s="1115"/>
      <c r="AP3007" s="1115"/>
      <c r="AQ3007" s="1115"/>
      <c r="AR3007" s="1115"/>
      <c r="AS3007" s="1117"/>
      <c r="AT3007" s="1075"/>
      <c r="AU3007" s="1193"/>
      <c r="AV3007" s="330"/>
      <c r="AW3007" s="331"/>
      <c r="AX3007" s="331"/>
      <c r="AY3007" s="331"/>
      <c r="AZ3007" s="331"/>
      <c r="BA3007" s="331"/>
      <c r="BB3007" s="331"/>
      <c r="BC3007" s="331"/>
      <c r="BD3007" s="331"/>
      <c r="BE3007" s="333"/>
      <c r="BF3007" s="330"/>
      <c r="BG3007" s="333"/>
      <c r="BH3007" s="1119"/>
      <c r="BI3007" s="319"/>
      <c r="BJ3007" s="319"/>
      <c r="BK3007" s="319"/>
      <c r="BL3007" s="319"/>
      <c r="BM3007" s="319"/>
      <c r="BN3007" s="319"/>
      <c r="BO3007" s="319"/>
      <c r="BP3007" s="953"/>
      <c r="BQ3007" s="319"/>
      <c r="BR3007" s="319"/>
      <c r="BS3007" s="330"/>
      <c r="BT3007" s="331"/>
      <c r="BU3007" s="920"/>
      <c r="BV3007" s="903"/>
      <c r="BW3007" s="908"/>
      <c r="BX3007" s="908"/>
      <c r="BY3007" s="331"/>
      <c r="BZ3007" s="331"/>
      <c r="CA3007" s="462"/>
      <c r="CB3007" s="319"/>
      <c r="CC3007" s="319"/>
      <c r="CD3007" s="319"/>
      <c r="CE3007" s="319"/>
      <c r="CF3007" s="319"/>
      <c r="CG3007" s="319"/>
      <c r="CH3007" s="318"/>
      <c r="CI3007" s="319"/>
      <c r="CJ3007" s="319"/>
      <c r="CK3007" s="342"/>
      <c r="CL3007" s="333"/>
      <c r="CM3007" s="1079"/>
      <c r="CN3007" s="1005"/>
      <c r="CO3007" s="1005"/>
      <c r="CP3007" s="1005"/>
    </row>
    <row r="3008">
      <c r="A3008" s="1257"/>
      <c r="B3008" s="1113"/>
      <c r="C3008" s="1107"/>
      <c r="D3008" s="103"/>
      <c r="E3008" s="1137"/>
      <c r="F3008" s="112"/>
      <c r="G3008" s="1110"/>
      <c r="H3008" s="1138"/>
      <c r="I3008" s="1138"/>
      <c r="J3008" s="1139"/>
      <c r="K3008" s="1111"/>
      <c r="L3008" s="1112"/>
      <c r="M3008" s="1113"/>
      <c r="N3008" s="110"/>
      <c r="O3008" s="1140"/>
      <c r="P3008" s="1115"/>
      <c r="Q3008" s="1116"/>
      <c r="R3008" s="1141"/>
      <c r="S3008" s="1113"/>
      <c r="T3008" s="1143"/>
      <c r="U3008" s="1108"/>
      <c r="V3008" s="1108"/>
      <c r="W3008" s="1108"/>
      <c r="X3008" s="1108"/>
      <c r="Y3008" s="1108"/>
      <c r="Z3008" s="1114"/>
      <c r="AA3008" s="1114"/>
      <c r="AB3008" s="1114"/>
      <c r="AC3008" s="1117"/>
      <c r="AD3008" s="1115"/>
      <c r="AE3008" s="1115"/>
      <c r="AF3008" s="1115"/>
      <c r="AG3008" s="1115"/>
      <c r="AH3008" s="1115"/>
      <c r="AI3008" s="1115"/>
      <c r="AJ3008" s="1117"/>
      <c r="AK3008" s="1118"/>
      <c r="AL3008" s="1115"/>
      <c r="AM3008" s="1115"/>
      <c r="AN3008" s="1115"/>
      <c r="AO3008" s="1115"/>
      <c r="AP3008" s="1115"/>
      <c r="AQ3008" s="1115"/>
      <c r="AR3008" s="1115"/>
      <c r="AS3008" s="1117"/>
      <c r="AT3008" s="1075"/>
      <c r="AU3008" s="1193"/>
      <c r="AV3008" s="330"/>
      <c r="AW3008" s="331"/>
      <c r="AX3008" s="331"/>
      <c r="AY3008" s="331"/>
      <c r="AZ3008" s="331"/>
      <c r="BA3008" s="331"/>
      <c r="BB3008" s="331"/>
      <c r="BC3008" s="331"/>
      <c r="BD3008" s="331"/>
      <c r="BE3008" s="333"/>
      <c r="BF3008" s="330"/>
      <c r="BG3008" s="333"/>
      <c r="BH3008" s="1119"/>
      <c r="BI3008" s="319"/>
      <c r="BJ3008" s="319"/>
      <c r="BK3008" s="319"/>
      <c r="BL3008" s="319"/>
      <c r="BM3008" s="319"/>
      <c r="BN3008" s="319"/>
      <c r="BO3008" s="319"/>
      <c r="BP3008" s="953"/>
      <c r="BQ3008" s="319"/>
      <c r="BR3008" s="319"/>
      <c r="BS3008" s="330"/>
      <c r="BT3008" s="331"/>
      <c r="BU3008" s="920"/>
      <c r="BV3008" s="903"/>
      <c r="BW3008" s="908"/>
      <c r="BX3008" s="908"/>
      <c r="BY3008" s="331"/>
      <c r="BZ3008" s="331"/>
      <c r="CA3008" s="462"/>
      <c r="CB3008" s="319"/>
      <c r="CC3008" s="319"/>
      <c r="CD3008" s="319"/>
      <c r="CE3008" s="319"/>
      <c r="CF3008" s="319"/>
      <c r="CG3008" s="319"/>
      <c r="CH3008" s="318"/>
      <c r="CI3008" s="319"/>
      <c r="CJ3008" s="319"/>
      <c r="CK3008" s="342"/>
      <c r="CL3008" s="333"/>
      <c r="CM3008" s="1079"/>
      <c r="CN3008" s="1005"/>
      <c r="CO3008" s="1005"/>
      <c r="CP3008" s="1005"/>
    </row>
    <row r="3009">
      <c r="A3009" s="1257"/>
      <c r="B3009" s="1113"/>
      <c r="C3009" s="1107"/>
      <c r="D3009" s="103"/>
      <c r="E3009" s="1137"/>
      <c r="F3009" s="112"/>
      <c r="G3009" s="1110"/>
      <c r="H3009" s="1138"/>
      <c r="I3009" s="1138"/>
      <c r="J3009" s="1139"/>
      <c r="K3009" s="1111"/>
      <c r="L3009" s="1112"/>
      <c r="M3009" s="1113"/>
      <c r="N3009" s="110"/>
      <c r="O3009" s="1140"/>
      <c r="P3009" s="1115"/>
      <c r="Q3009" s="1116"/>
      <c r="R3009" s="1141"/>
      <c r="S3009" s="1113"/>
      <c r="T3009" s="1143"/>
      <c r="U3009" s="1108"/>
      <c r="V3009" s="1108"/>
      <c r="W3009" s="1108"/>
      <c r="X3009" s="1108"/>
      <c r="Y3009" s="1108"/>
      <c r="Z3009" s="1114"/>
      <c r="AA3009" s="1114"/>
      <c r="AB3009" s="1114"/>
      <c r="AC3009" s="1117"/>
      <c r="AD3009" s="1115"/>
      <c r="AE3009" s="1115"/>
      <c r="AF3009" s="1115"/>
      <c r="AG3009" s="1115"/>
      <c r="AH3009" s="1115"/>
      <c r="AI3009" s="1115"/>
      <c r="AJ3009" s="1117"/>
      <c r="AK3009" s="1118"/>
      <c r="AL3009" s="1115"/>
      <c r="AM3009" s="1115"/>
      <c r="AN3009" s="1115"/>
      <c r="AO3009" s="1115"/>
      <c r="AP3009" s="1115"/>
      <c r="AQ3009" s="1115"/>
      <c r="AR3009" s="1115"/>
      <c r="AS3009" s="1117"/>
      <c r="AT3009" s="1075"/>
      <c r="AU3009" s="1193"/>
      <c r="AV3009" s="330"/>
      <c r="AW3009" s="331"/>
      <c r="AX3009" s="331"/>
      <c r="AY3009" s="331"/>
      <c r="AZ3009" s="331"/>
      <c r="BA3009" s="331"/>
      <c r="BB3009" s="331"/>
      <c r="BC3009" s="331"/>
      <c r="BD3009" s="331"/>
      <c r="BE3009" s="333"/>
      <c r="BF3009" s="330"/>
      <c r="BG3009" s="333"/>
      <c r="BH3009" s="1119"/>
      <c r="BI3009" s="319"/>
      <c r="BJ3009" s="319"/>
      <c r="BK3009" s="319"/>
      <c r="BL3009" s="319"/>
      <c r="BM3009" s="319"/>
      <c r="BN3009" s="319"/>
      <c r="BO3009" s="319"/>
      <c r="BP3009" s="953"/>
      <c r="BQ3009" s="319"/>
      <c r="BR3009" s="319"/>
      <c r="BS3009" s="330"/>
      <c r="BT3009" s="331"/>
      <c r="BU3009" s="920"/>
      <c r="BV3009" s="903"/>
      <c r="BW3009" s="908"/>
      <c r="BX3009" s="908"/>
      <c r="BY3009" s="331"/>
      <c r="BZ3009" s="331"/>
      <c r="CA3009" s="462"/>
      <c r="CB3009" s="319"/>
      <c r="CC3009" s="319"/>
      <c r="CD3009" s="319"/>
      <c r="CE3009" s="319"/>
      <c r="CF3009" s="319"/>
      <c r="CG3009" s="319"/>
      <c r="CH3009" s="318"/>
      <c r="CI3009" s="319"/>
      <c r="CJ3009" s="319"/>
      <c r="CK3009" s="342"/>
      <c r="CL3009" s="333"/>
      <c r="CM3009" s="1079"/>
      <c r="CN3009" s="1005"/>
      <c r="CO3009" s="1005"/>
      <c r="CP3009" s="1005"/>
    </row>
    <row r="3010">
      <c r="A3010" s="1257"/>
      <c r="B3010" s="1113"/>
      <c r="C3010" s="1107"/>
      <c r="D3010" s="103"/>
      <c r="E3010" s="1137"/>
      <c r="F3010" s="112"/>
      <c r="G3010" s="1110"/>
      <c r="H3010" s="1138"/>
      <c r="I3010" s="1138"/>
      <c r="J3010" s="1139"/>
      <c r="K3010" s="1111"/>
      <c r="L3010" s="1112"/>
      <c r="M3010" s="1113"/>
      <c r="N3010" s="110"/>
      <c r="O3010" s="1140"/>
      <c r="P3010" s="1115"/>
      <c r="Q3010" s="1116"/>
      <c r="R3010" s="1141"/>
      <c r="S3010" s="1113"/>
      <c r="T3010" s="1143"/>
      <c r="U3010" s="1108"/>
      <c r="V3010" s="1108"/>
      <c r="W3010" s="1108"/>
      <c r="X3010" s="1108"/>
      <c r="Y3010" s="1108"/>
      <c r="Z3010" s="1114"/>
      <c r="AA3010" s="1114"/>
      <c r="AB3010" s="1114"/>
      <c r="AC3010" s="1117"/>
      <c r="AD3010" s="1115"/>
      <c r="AE3010" s="1115"/>
      <c r="AF3010" s="1115"/>
      <c r="AG3010" s="1115"/>
      <c r="AH3010" s="1115"/>
      <c r="AI3010" s="1115"/>
      <c r="AJ3010" s="1117"/>
      <c r="AK3010" s="1118"/>
      <c r="AL3010" s="1115"/>
      <c r="AM3010" s="1115"/>
      <c r="AN3010" s="1115"/>
      <c r="AO3010" s="1115"/>
      <c r="AP3010" s="1115"/>
      <c r="AQ3010" s="1115"/>
      <c r="AR3010" s="1115"/>
      <c r="AS3010" s="1117"/>
      <c r="AT3010" s="1075"/>
      <c r="AU3010" s="1193"/>
      <c r="AV3010" s="330"/>
      <c r="AW3010" s="331"/>
      <c r="AX3010" s="331"/>
      <c r="AY3010" s="331"/>
      <c r="AZ3010" s="331"/>
      <c r="BA3010" s="331"/>
      <c r="BB3010" s="331"/>
      <c r="BC3010" s="331"/>
      <c r="BD3010" s="331"/>
      <c r="BE3010" s="333"/>
      <c r="BF3010" s="330"/>
      <c r="BG3010" s="333"/>
      <c r="BH3010" s="1119"/>
      <c r="BI3010" s="319"/>
      <c r="BJ3010" s="319"/>
      <c r="BK3010" s="319"/>
      <c r="BL3010" s="319"/>
      <c r="BM3010" s="319"/>
      <c r="BN3010" s="319"/>
      <c r="BO3010" s="319"/>
      <c r="BP3010" s="953"/>
      <c r="BQ3010" s="319"/>
      <c r="BR3010" s="319"/>
      <c r="BS3010" s="330"/>
      <c r="BT3010" s="331"/>
      <c r="BU3010" s="920"/>
      <c r="BV3010" s="903"/>
      <c r="BW3010" s="908"/>
      <c r="BX3010" s="908"/>
      <c r="BY3010" s="331"/>
      <c r="BZ3010" s="331"/>
      <c r="CA3010" s="462"/>
      <c r="CB3010" s="319"/>
      <c r="CC3010" s="319"/>
      <c r="CD3010" s="319"/>
      <c r="CE3010" s="319"/>
      <c r="CF3010" s="319"/>
      <c r="CG3010" s="319"/>
      <c r="CH3010" s="318"/>
      <c r="CI3010" s="319"/>
      <c r="CJ3010" s="319"/>
      <c r="CK3010" s="342"/>
      <c r="CL3010" s="333"/>
      <c r="CM3010" s="1079"/>
      <c r="CN3010" s="1005"/>
      <c r="CO3010" s="1005"/>
      <c r="CP3010" s="1005"/>
    </row>
    <row r="3011">
      <c r="A3011" s="1257"/>
      <c r="B3011" s="1113"/>
      <c r="C3011" s="1107"/>
      <c r="D3011" s="103"/>
      <c r="E3011" s="1137"/>
      <c r="F3011" s="112"/>
      <c r="G3011" s="1110"/>
      <c r="H3011" s="1138"/>
      <c r="I3011" s="1138"/>
      <c r="J3011" s="1139"/>
      <c r="K3011" s="1111"/>
      <c r="L3011" s="1112"/>
      <c r="M3011" s="1113"/>
      <c r="N3011" s="110"/>
      <c r="O3011" s="1140"/>
      <c r="P3011" s="1115"/>
      <c r="Q3011" s="1116"/>
      <c r="R3011" s="1141"/>
      <c r="S3011" s="1113"/>
      <c r="T3011" s="1143"/>
      <c r="U3011" s="1108"/>
      <c r="V3011" s="1108"/>
      <c r="W3011" s="1108"/>
      <c r="X3011" s="1108"/>
      <c r="Y3011" s="1108"/>
      <c r="Z3011" s="1114"/>
      <c r="AA3011" s="1114"/>
      <c r="AB3011" s="1114"/>
      <c r="AC3011" s="1117"/>
      <c r="AD3011" s="1115"/>
      <c r="AE3011" s="1115"/>
      <c r="AF3011" s="1115"/>
      <c r="AG3011" s="1115"/>
      <c r="AH3011" s="1115"/>
      <c r="AI3011" s="1115"/>
      <c r="AJ3011" s="1117"/>
      <c r="AK3011" s="1118"/>
      <c r="AL3011" s="1115"/>
      <c r="AM3011" s="1115"/>
      <c r="AN3011" s="1115"/>
      <c r="AO3011" s="1115"/>
      <c r="AP3011" s="1115"/>
      <c r="AQ3011" s="1115"/>
      <c r="AR3011" s="1115"/>
      <c r="AS3011" s="1117"/>
      <c r="AT3011" s="1075"/>
      <c r="AU3011" s="1193"/>
      <c r="AV3011" s="330"/>
      <c r="AW3011" s="331"/>
      <c r="AX3011" s="331"/>
      <c r="AY3011" s="331"/>
      <c r="AZ3011" s="331"/>
      <c r="BA3011" s="331"/>
      <c r="BB3011" s="331"/>
      <c r="BC3011" s="331"/>
      <c r="BD3011" s="331"/>
      <c r="BE3011" s="333"/>
      <c r="BF3011" s="330"/>
      <c r="BG3011" s="333"/>
      <c r="BH3011" s="1119"/>
      <c r="BI3011" s="319"/>
      <c r="BJ3011" s="319"/>
      <c r="BK3011" s="319"/>
      <c r="BL3011" s="319"/>
      <c r="BM3011" s="319"/>
      <c r="BN3011" s="319"/>
      <c r="BO3011" s="319"/>
      <c r="BP3011" s="953"/>
      <c r="BQ3011" s="319"/>
      <c r="BR3011" s="319"/>
      <c r="BS3011" s="330"/>
      <c r="BT3011" s="331"/>
      <c r="BU3011" s="920"/>
      <c r="BV3011" s="903"/>
      <c r="BW3011" s="908"/>
      <c r="BX3011" s="908"/>
      <c r="BY3011" s="331"/>
      <c r="BZ3011" s="331"/>
      <c r="CA3011" s="462"/>
      <c r="CB3011" s="319"/>
      <c r="CC3011" s="319"/>
      <c r="CD3011" s="319"/>
      <c r="CE3011" s="319"/>
      <c r="CF3011" s="319"/>
      <c r="CG3011" s="319"/>
      <c r="CH3011" s="318"/>
      <c r="CI3011" s="319"/>
      <c r="CJ3011" s="319"/>
      <c r="CK3011" s="342"/>
      <c r="CL3011" s="333"/>
      <c r="CM3011" s="1079"/>
      <c r="CN3011" s="1005"/>
      <c r="CO3011" s="1005"/>
      <c r="CP3011" s="1005"/>
    </row>
    <row r="3012">
      <c r="A3012" s="1257"/>
      <c r="B3012" s="1113"/>
      <c r="C3012" s="1107"/>
      <c r="D3012" s="103"/>
      <c r="E3012" s="1137"/>
      <c r="F3012" s="112"/>
      <c r="G3012" s="1110"/>
      <c r="H3012" s="1138"/>
      <c r="I3012" s="1138"/>
      <c r="J3012" s="1139"/>
      <c r="K3012" s="1111"/>
      <c r="L3012" s="1112"/>
      <c r="M3012" s="1113"/>
      <c r="N3012" s="110"/>
      <c r="O3012" s="1140"/>
      <c r="P3012" s="1115"/>
      <c r="Q3012" s="1116"/>
      <c r="R3012" s="1141"/>
      <c r="S3012" s="1113"/>
      <c r="T3012" s="1143"/>
      <c r="U3012" s="1108"/>
      <c r="V3012" s="1108"/>
      <c r="W3012" s="1108"/>
      <c r="X3012" s="1108"/>
      <c r="Y3012" s="1108"/>
      <c r="Z3012" s="1114"/>
      <c r="AA3012" s="1114"/>
      <c r="AB3012" s="1114"/>
      <c r="AC3012" s="1117"/>
      <c r="AD3012" s="1115"/>
      <c r="AE3012" s="1115"/>
      <c r="AF3012" s="1115"/>
      <c r="AG3012" s="1115"/>
      <c r="AH3012" s="1115"/>
      <c r="AI3012" s="1115"/>
      <c r="AJ3012" s="1117"/>
      <c r="AK3012" s="1118"/>
      <c r="AL3012" s="1115"/>
      <c r="AM3012" s="1115"/>
      <c r="AN3012" s="1115"/>
      <c r="AO3012" s="1115"/>
      <c r="AP3012" s="1115"/>
      <c r="AQ3012" s="1115"/>
      <c r="AR3012" s="1115"/>
      <c r="AS3012" s="1117"/>
      <c r="AT3012" s="1075"/>
      <c r="AU3012" s="1193"/>
      <c r="AV3012" s="330"/>
      <c r="AW3012" s="331"/>
      <c r="AX3012" s="331"/>
      <c r="AY3012" s="331"/>
      <c r="AZ3012" s="331"/>
      <c r="BA3012" s="331"/>
      <c r="BB3012" s="331"/>
      <c r="BC3012" s="331"/>
      <c r="BD3012" s="331"/>
      <c r="BE3012" s="333"/>
      <c r="BF3012" s="330"/>
      <c r="BG3012" s="333"/>
      <c r="BH3012" s="1119"/>
      <c r="BI3012" s="319"/>
      <c r="BJ3012" s="319"/>
      <c r="BK3012" s="319"/>
      <c r="BL3012" s="319"/>
      <c r="BM3012" s="319"/>
      <c r="BN3012" s="319"/>
      <c r="BO3012" s="319"/>
      <c r="BP3012" s="953"/>
      <c r="BQ3012" s="319"/>
      <c r="BR3012" s="319"/>
      <c r="BS3012" s="330"/>
      <c r="BT3012" s="331"/>
      <c r="BU3012" s="920"/>
      <c r="BV3012" s="903"/>
      <c r="BW3012" s="908"/>
      <c r="BX3012" s="908"/>
      <c r="BY3012" s="331"/>
      <c r="BZ3012" s="331"/>
      <c r="CA3012" s="462"/>
      <c r="CB3012" s="319"/>
      <c r="CC3012" s="319"/>
      <c r="CD3012" s="319"/>
      <c r="CE3012" s="319"/>
      <c r="CF3012" s="319"/>
      <c r="CG3012" s="319"/>
      <c r="CH3012" s="318"/>
      <c r="CI3012" s="319"/>
      <c r="CJ3012" s="319"/>
      <c r="CK3012" s="342"/>
      <c r="CL3012" s="333"/>
      <c r="CM3012" s="1079"/>
      <c r="CN3012" s="1005"/>
      <c r="CO3012" s="1005"/>
      <c r="CP3012" s="1005"/>
    </row>
    <row r="3013">
      <c r="A3013" s="1257"/>
      <c r="B3013" s="1113"/>
      <c r="C3013" s="1107"/>
      <c r="D3013" s="103"/>
      <c r="E3013" s="1137"/>
      <c r="F3013" s="112"/>
      <c r="G3013" s="1110"/>
      <c r="H3013" s="1138"/>
      <c r="I3013" s="1138"/>
      <c r="J3013" s="1139"/>
      <c r="K3013" s="1111"/>
      <c r="L3013" s="1112"/>
      <c r="M3013" s="1113"/>
      <c r="N3013" s="110"/>
      <c r="O3013" s="1140"/>
      <c r="P3013" s="1115"/>
      <c r="Q3013" s="1116"/>
      <c r="R3013" s="1141"/>
      <c r="S3013" s="1113"/>
      <c r="T3013" s="1143"/>
      <c r="U3013" s="1108"/>
      <c r="V3013" s="1108"/>
      <c r="W3013" s="1108"/>
      <c r="X3013" s="1108"/>
      <c r="Y3013" s="1108"/>
      <c r="Z3013" s="1114"/>
      <c r="AA3013" s="1114"/>
      <c r="AB3013" s="1114"/>
      <c r="AC3013" s="1117"/>
      <c r="AD3013" s="1115"/>
      <c r="AE3013" s="1115"/>
      <c r="AF3013" s="1115"/>
      <c r="AG3013" s="1115"/>
      <c r="AH3013" s="1115"/>
      <c r="AI3013" s="1115"/>
      <c r="AJ3013" s="1117"/>
      <c r="AK3013" s="1118"/>
      <c r="AL3013" s="1115"/>
      <c r="AM3013" s="1115"/>
      <c r="AN3013" s="1115"/>
      <c r="AO3013" s="1115"/>
      <c r="AP3013" s="1115"/>
      <c r="AQ3013" s="1115"/>
      <c r="AR3013" s="1115"/>
      <c r="AS3013" s="1117"/>
      <c r="AT3013" s="1075"/>
      <c r="AU3013" s="1193"/>
      <c r="AV3013" s="330"/>
      <c r="AW3013" s="331"/>
      <c r="AX3013" s="331"/>
      <c r="AY3013" s="331"/>
      <c r="AZ3013" s="331"/>
      <c r="BA3013" s="331"/>
      <c r="BB3013" s="331"/>
      <c r="BC3013" s="331"/>
      <c r="BD3013" s="331"/>
      <c r="BE3013" s="333"/>
      <c r="BF3013" s="330"/>
      <c r="BG3013" s="333"/>
      <c r="BH3013" s="1119"/>
      <c r="BI3013" s="319"/>
      <c r="BJ3013" s="319"/>
      <c r="BK3013" s="319"/>
      <c r="BL3013" s="319"/>
      <c r="BM3013" s="319"/>
      <c r="BN3013" s="319"/>
      <c r="BO3013" s="319"/>
      <c r="BP3013" s="953"/>
      <c r="BQ3013" s="319"/>
      <c r="BR3013" s="319"/>
      <c r="BS3013" s="330"/>
      <c r="BT3013" s="331"/>
      <c r="BU3013" s="920"/>
      <c r="BV3013" s="903"/>
      <c r="BW3013" s="908"/>
      <c r="BX3013" s="908"/>
      <c r="BY3013" s="331"/>
      <c r="BZ3013" s="331"/>
      <c r="CA3013" s="462"/>
      <c r="CB3013" s="319"/>
      <c r="CC3013" s="319"/>
      <c r="CD3013" s="319"/>
      <c r="CE3013" s="319"/>
      <c r="CF3013" s="319"/>
      <c r="CG3013" s="319"/>
      <c r="CH3013" s="318"/>
      <c r="CI3013" s="319"/>
      <c r="CJ3013" s="319"/>
      <c r="CK3013" s="342"/>
      <c r="CL3013" s="333"/>
      <c r="CM3013" s="1079"/>
      <c r="CN3013" s="1005"/>
      <c r="CO3013" s="1005"/>
      <c r="CP3013" s="1005"/>
    </row>
    <row r="3014">
      <c r="A3014" s="1257"/>
      <c r="B3014" s="1113"/>
      <c r="C3014" s="1107"/>
      <c r="D3014" s="103"/>
      <c r="E3014" s="1137"/>
      <c r="F3014" s="112"/>
      <c r="G3014" s="1110"/>
      <c r="H3014" s="1138"/>
      <c r="I3014" s="1138"/>
      <c r="J3014" s="1139"/>
      <c r="K3014" s="1111"/>
      <c r="L3014" s="1112"/>
      <c r="M3014" s="1113"/>
      <c r="N3014" s="110"/>
      <c r="O3014" s="1140"/>
      <c r="P3014" s="1115"/>
      <c r="Q3014" s="1116"/>
      <c r="R3014" s="1141"/>
      <c r="S3014" s="1113"/>
      <c r="T3014" s="1143"/>
      <c r="U3014" s="1108"/>
      <c r="V3014" s="1108"/>
      <c r="W3014" s="1108"/>
      <c r="X3014" s="1108"/>
      <c r="Y3014" s="1108"/>
      <c r="Z3014" s="1114"/>
      <c r="AA3014" s="1114"/>
      <c r="AB3014" s="1114"/>
      <c r="AC3014" s="1117"/>
      <c r="AD3014" s="1115"/>
      <c r="AE3014" s="1115"/>
      <c r="AF3014" s="1115"/>
      <c r="AG3014" s="1115"/>
      <c r="AH3014" s="1115"/>
      <c r="AI3014" s="1115"/>
      <c r="AJ3014" s="1117"/>
      <c r="AK3014" s="1118"/>
      <c r="AL3014" s="1115"/>
      <c r="AM3014" s="1115"/>
      <c r="AN3014" s="1115"/>
      <c r="AO3014" s="1115"/>
      <c r="AP3014" s="1115"/>
      <c r="AQ3014" s="1115"/>
      <c r="AR3014" s="1115"/>
      <c r="AS3014" s="1117"/>
      <c r="AT3014" s="1075"/>
      <c r="AU3014" s="1193"/>
      <c r="AV3014" s="330"/>
      <c r="AW3014" s="331"/>
      <c r="AX3014" s="331"/>
      <c r="AY3014" s="331"/>
      <c r="AZ3014" s="331"/>
      <c r="BA3014" s="331"/>
      <c r="BB3014" s="331"/>
      <c r="BC3014" s="331"/>
      <c r="BD3014" s="331"/>
      <c r="BE3014" s="333"/>
      <c r="BF3014" s="330"/>
      <c r="BG3014" s="333"/>
      <c r="BH3014" s="1119"/>
      <c r="BI3014" s="319"/>
      <c r="BJ3014" s="319"/>
      <c r="BK3014" s="319"/>
      <c r="BL3014" s="319"/>
      <c r="BM3014" s="319"/>
      <c r="BN3014" s="319"/>
      <c r="BO3014" s="319"/>
      <c r="BP3014" s="953"/>
      <c r="BQ3014" s="319"/>
      <c r="BR3014" s="319"/>
      <c r="BS3014" s="330"/>
      <c r="BT3014" s="331"/>
      <c r="BU3014" s="920"/>
      <c r="BV3014" s="903"/>
      <c r="BW3014" s="908"/>
      <c r="BX3014" s="908"/>
      <c r="BY3014" s="331"/>
      <c r="BZ3014" s="331"/>
      <c r="CA3014" s="462"/>
      <c r="CB3014" s="319"/>
      <c r="CC3014" s="319"/>
      <c r="CD3014" s="319"/>
      <c r="CE3014" s="319"/>
      <c r="CF3014" s="319"/>
      <c r="CG3014" s="319"/>
      <c r="CH3014" s="318"/>
      <c r="CI3014" s="319"/>
      <c r="CJ3014" s="319"/>
      <c r="CK3014" s="342"/>
      <c r="CL3014" s="333"/>
      <c r="CM3014" s="1079"/>
      <c r="CN3014" s="1005"/>
      <c r="CO3014" s="1005"/>
      <c r="CP3014" s="1005"/>
    </row>
    <row r="3015">
      <c r="A3015" s="1257"/>
      <c r="B3015" s="1113"/>
      <c r="C3015" s="1107"/>
      <c r="D3015" s="103"/>
      <c r="E3015" s="1137"/>
      <c r="F3015" s="112"/>
      <c r="G3015" s="1110"/>
      <c r="H3015" s="1138"/>
      <c r="I3015" s="1138"/>
      <c r="J3015" s="1139"/>
      <c r="K3015" s="1111"/>
      <c r="L3015" s="1112"/>
      <c r="M3015" s="1113"/>
      <c r="N3015" s="110"/>
      <c r="O3015" s="1140"/>
      <c r="P3015" s="1115"/>
      <c r="Q3015" s="1116"/>
      <c r="R3015" s="1141"/>
      <c r="S3015" s="1113"/>
      <c r="T3015" s="1143"/>
      <c r="U3015" s="1108"/>
      <c r="V3015" s="1108"/>
      <c r="W3015" s="1108"/>
      <c r="X3015" s="1108"/>
      <c r="Y3015" s="1108"/>
      <c r="Z3015" s="1114"/>
      <c r="AA3015" s="1114"/>
      <c r="AB3015" s="1114"/>
      <c r="AC3015" s="1117"/>
      <c r="AD3015" s="1115"/>
      <c r="AE3015" s="1115"/>
      <c r="AF3015" s="1115"/>
      <c r="AG3015" s="1115"/>
      <c r="AH3015" s="1115"/>
      <c r="AI3015" s="1115"/>
      <c r="AJ3015" s="1117"/>
      <c r="AK3015" s="1118"/>
      <c r="AL3015" s="1115"/>
      <c r="AM3015" s="1115"/>
      <c r="AN3015" s="1115"/>
      <c r="AO3015" s="1115"/>
      <c r="AP3015" s="1115"/>
      <c r="AQ3015" s="1115"/>
      <c r="AR3015" s="1115"/>
      <c r="AS3015" s="1117"/>
      <c r="AT3015" s="1075"/>
      <c r="AU3015" s="1193"/>
      <c r="AV3015" s="330"/>
      <c r="AW3015" s="331"/>
      <c r="AX3015" s="331"/>
      <c r="AY3015" s="331"/>
      <c r="AZ3015" s="331"/>
      <c r="BA3015" s="331"/>
      <c r="BB3015" s="331"/>
      <c r="BC3015" s="331"/>
      <c r="BD3015" s="331"/>
      <c r="BE3015" s="333"/>
      <c r="BF3015" s="330"/>
      <c r="BG3015" s="333"/>
      <c r="BH3015" s="1119"/>
      <c r="BI3015" s="319"/>
      <c r="BJ3015" s="319"/>
      <c r="BK3015" s="319"/>
      <c r="BL3015" s="319"/>
      <c r="BM3015" s="319"/>
      <c r="BN3015" s="319"/>
      <c r="BO3015" s="319"/>
      <c r="BP3015" s="953"/>
      <c r="BQ3015" s="319"/>
      <c r="BR3015" s="319"/>
      <c r="BS3015" s="330"/>
      <c r="BT3015" s="331"/>
      <c r="BU3015" s="920"/>
      <c r="BV3015" s="903"/>
      <c r="BW3015" s="908"/>
      <c r="BX3015" s="908"/>
      <c r="BY3015" s="331"/>
      <c r="BZ3015" s="331"/>
      <c r="CA3015" s="462"/>
      <c r="CB3015" s="319"/>
      <c r="CC3015" s="319"/>
      <c r="CD3015" s="319"/>
      <c r="CE3015" s="319"/>
      <c r="CF3015" s="319"/>
      <c r="CG3015" s="319"/>
      <c r="CH3015" s="318"/>
      <c r="CI3015" s="319"/>
      <c r="CJ3015" s="319"/>
      <c r="CK3015" s="342"/>
      <c r="CL3015" s="333"/>
      <c r="CM3015" s="1079"/>
      <c r="CN3015" s="1005"/>
      <c r="CO3015" s="1005"/>
      <c r="CP3015" s="1005"/>
    </row>
    <row r="3016">
      <c r="A3016" s="1257"/>
      <c r="B3016" s="1113"/>
      <c r="C3016" s="1107"/>
      <c r="D3016" s="103"/>
      <c r="E3016" s="1137"/>
      <c r="F3016" s="112"/>
      <c r="G3016" s="1110"/>
      <c r="H3016" s="1138"/>
      <c r="I3016" s="1138"/>
      <c r="J3016" s="1139"/>
      <c r="K3016" s="1111"/>
      <c r="L3016" s="1112"/>
      <c r="M3016" s="1113"/>
      <c r="N3016" s="110"/>
      <c r="O3016" s="1140"/>
      <c r="P3016" s="1115"/>
      <c r="Q3016" s="1116"/>
      <c r="R3016" s="1141"/>
      <c r="S3016" s="1113"/>
      <c r="T3016" s="1143"/>
      <c r="U3016" s="1108"/>
      <c r="V3016" s="1108"/>
      <c r="W3016" s="1108"/>
      <c r="X3016" s="1108"/>
      <c r="Y3016" s="1108"/>
      <c r="Z3016" s="1114"/>
      <c r="AA3016" s="1114"/>
      <c r="AB3016" s="1114"/>
      <c r="AC3016" s="1117"/>
      <c r="AD3016" s="1115"/>
      <c r="AE3016" s="1115"/>
      <c r="AF3016" s="1115"/>
      <c r="AG3016" s="1115"/>
      <c r="AH3016" s="1115"/>
      <c r="AI3016" s="1115"/>
      <c r="AJ3016" s="1117"/>
      <c r="AK3016" s="1118"/>
      <c r="AL3016" s="1115"/>
      <c r="AM3016" s="1115"/>
      <c r="AN3016" s="1115"/>
      <c r="AO3016" s="1115"/>
      <c r="AP3016" s="1115"/>
      <c r="AQ3016" s="1115"/>
      <c r="AR3016" s="1115"/>
      <c r="AS3016" s="1117"/>
      <c r="AT3016" s="1075"/>
      <c r="AU3016" s="1193"/>
      <c r="AV3016" s="330"/>
      <c r="AW3016" s="331"/>
      <c r="AX3016" s="331"/>
      <c r="AY3016" s="331"/>
      <c r="AZ3016" s="331"/>
      <c r="BA3016" s="331"/>
      <c r="BB3016" s="331"/>
      <c r="BC3016" s="331"/>
      <c r="BD3016" s="331"/>
      <c r="BE3016" s="333"/>
      <c r="BF3016" s="330"/>
      <c r="BG3016" s="333"/>
      <c r="BH3016" s="1119"/>
      <c r="BI3016" s="319"/>
      <c r="BJ3016" s="319"/>
      <c r="BK3016" s="319"/>
      <c r="BL3016" s="319"/>
      <c r="BM3016" s="319"/>
      <c r="BN3016" s="319"/>
      <c r="BO3016" s="319"/>
      <c r="BP3016" s="953"/>
      <c r="BQ3016" s="319"/>
      <c r="BR3016" s="319"/>
      <c r="BS3016" s="330"/>
      <c r="BT3016" s="331"/>
      <c r="BU3016" s="920"/>
      <c r="BV3016" s="903"/>
      <c r="BW3016" s="908"/>
      <c r="BX3016" s="908"/>
      <c r="BY3016" s="331"/>
      <c r="BZ3016" s="331"/>
      <c r="CA3016" s="462"/>
      <c r="CB3016" s="319"/>
      <c r="CC3016" s="319"/>
      <c r="CD3016" s="319"/>
      <c r="CE3016" s="319"/>
      <c r="CF3016" s="319"/>
      <c r="CG3016" s="319"/>
      <c r="CH3016" s="318"/>
      <c r="CI3016" s="319"/>
      <c r="CJ3016" s="319"/>
      <c r="CK3016" s="342"/>
      <c r="CL3016" s="333"/>
      <c r="CM3016" s="1079"/>
      <c r="CN3016" s="1005"/>
      <c r="CO3016" s="1005"/>
      <c r="CP3016" s="1005"/>
    </row>
    <row r="3017">
      <c r="A3017" s="1257"/>
      <c r="B3017" s="1113"/>
      <c r="C3017" s="1107"/>
      <c r="D3017" s="103"/>
      <c r="E3017" s="1137"/>
      <c r="F3017" s="112"/>
      <c r="G3017" s="1110"/>
      <c r="H3017" s="1138"/>
      <c r="I3017" s="1138"/>
      <c r="J3017" s="1139"/>
      <c r="K3017" s="1111"/>
      <c r="L3017" s="1112"/>
      <c r="M3017" s="1113"/>
      <c r="N3017" s="110"/>
      <c r="O3017" s="1140"/>
      <c r="P3017" s="1115"/>
      <c r="Q3017" s="1116"/>
      <c r="R3017" s="1141"/>
      <c r="S3017" s="1113"/>
      <c r="T3017" s="1143"/>
      <c r="U3017" s="1108"/>
      <c r="V3017" s="1108"/>
      <c r="W3017" s="1108"/>
      <c r="X3017" s="1108"/>
      <c r="Y3017" s="1108"/>
      <c r="Z3017" s="1114"/>
      <c r="AA3017" s="1114"/>
      <c r="AB3017" s="1114"/>
      <c r="AC3017" s="1117"/>
      <c r="AD3017" s="1115"/>
      <c r="AE3017" s="1115"/>
      <c r="AF3017" s="1115"/>
      <c r="AG3017" s="1115"/>
      <c r="AH3017" s="1115"/>
      <c r="AI3017" s="1115"/>
      <c r="AJ3017" s="1117"/>
      <c r="AK3017" s="1118"/>
      <c r="AL3017" s="1115"/>
      <c r="AM3017" s="1115"/>
      <c r="AN3017" s="1115"/>
      <c r="AO3017" s="1115"/>
      <c r="AP3017" s="1115"/>
      <c r="AQ3017" s="1115"/>
      <c r="AR3017" s="1115"/>
      <c r="AS3017" s="1117"/>
      <c r="AT3017" s="1075"/>
      <c r="AU3017" s="1193"/>
      <c r="AV3017" s="330"/>
      <c r="AW3017" s="331"/>
      <c r="AX3017" s="331"/>
      <c r="AY3017" s="331"/>
      <c r="AZ3017" s="331"/>
      <c r="BA3017" s="331"/>
      <c r="BB3017" s="331"/>
      <c r="BC3017" s="331"/>
      <c r="BD3017" s="331"/>
      <c r="BE3017" s="333"/>
      <c r="BF3017" s="330"/>
      <c r="BG3017" s="333"/>
      <c r="BH3017" s="1119"/>
      <c r="BI3017" s="319"/>
      <c r="BJ3017" s="319"/>
      <c r="BK3017" s="319"/>
      <c r="BL3017" s="319"/>
      <c r="BM3017" s="319"/>
      <c r="BN3017" s="319"/>
      <c r="BO3017" s="319"/>
      <c r="BP3017" s="953"/>
      <c r="BQ3017" s="319"/>
      <c r="BR3017" s="319"/>
      <c r="BS3017" s="330"/>
      <c r="BT3017" s="331"/>
      <c r="BU3017" s="920"/>
      <c r="BV3017" s="903"/>
      <c r="BW3017" s="908"/>
      <c r="BX3017" s="908"/>
      <c r="BY3017" s="331"/>
      <c r="BZ3017" s="331"/>
      <c r="CA3017" s="462"/>
      <c r="CB3017" s="319"/>
      <c r="CC3017" s="319"/>
      <c r="CD3017" s="319"/>
      <c r="CE3017" s="319"/>
      <c r="CF3017" s="319"/>
      <c r="CG3017" s="319"/>
      <c r="CH3017" s="318"/>
      <c r="CI3017" s="319"/>
      <c r="CJ3017" s="319"/>
      <c r="CK3017" s="342"/>
      <c r="CL3017" s="333"/>
      <c r="CM3017" s="1079"/>
      <c r="CN3017" s="1005"/>
      <c r="CO3017" s="1005"/>
      <c r="CP3017" s="1005"/>
    </row>
    <row r="3018">
      <c r="A3018" s="1257"/>
      <c r="B3018" s="1113"/>
      <c r="C3018" s="1107"/>
      <c r="D3018" s="103"/>
      <c r="E3018" s="1137"/>
      <c r="F3018" s="112"/>
      <c r="G3018" s="1110"/>
      <c r="H3018" s="1138"/>
      <c r="I3018" s="1138"/>
      <c r="J3018" s="1139"/>
      <c r="K3018" s="1111"/>
      <c r="L3018" s="1112"/>
      <c r="M3018" s="1113"/>
      <c r="N3018" s="110"/>
      <c r="O3018" s="1140"/>
      <c r="P3018" s="1115"/>
      <c r="Q3018" s="1116"/>
      <c r="R3018" s="1141"/>
      <c r="S3018" s="1113"/>
      <c r="T3018" s="1143"/>
      <c r="U3018" s="1108"/>
      <c r="V3018" s="1108"/>
      <c r="W3018" s="1108"/>
      <c r="X3018" s="1108"/>
      <c r="Y3018" s="1108"/>
      <c r="Z3018" s="1114"/>
      <c r="AA3018" s="1114"/>
      <c r="AB3018" s="1114"/>
      <c r="AC3018" s="1117"/>
      <c r="AD3018" s="1115"/>
      <c r="AE3018" s="1115"/>
      <c r="AF3018" s="1115"/>
      <c r="AG3018" s="1115"/>
      <c r="AH3018" s="1115"/>
      <c r="AI3018" s="1115"/>
      <c r="AJ3018" s="1117"/>
      <c r="AK3018" s="1118"/>
      <c r="AL3018" s="1115"/>
      <c r="AM3018" s="1115"/>
      <c r="AN3018" s="1115"/>
      <c r="AO3018" s="1115"/>
      <c r="AP3018" s="1115"/>
      <c r="AQ3018" s="1115"/>
      <c r="AR3018" s="1115"/>
      <c r="AS3018" s="1117"/>
      <c r="AT3018" s="1075"/>
      <c r="AU3018" s="1193"/>
      <c r="AV3018" s="330"/>
      <c r="AW3018" s="331"/>
      <c r="AX3018" s="331"/>
      <c r="AY3018" s="331"/>
      <c r="AZ3018" s="331"/>
      <c r="BA3018" s="331"/>
      <c r="BB3018" s="331"/>
      <c r="BC3018" s="331"/>
      <c r="BD3018" s="331"/>
      <c r="BE3018" s="333"/>
      <c r="BF3018" s="330"/>
      <c r="BG3018" s="333"/>
      <c r="BH3018" s="1119"/>
      <c r="BI3018" s="319"/>
      <c r="BJ3018" s="319"/>
      <c r="BK3018" s="319"/>
      <c r="BL3018" s="319"/>
      <c r="BM3018" s="319"/>
      <c r="BN3018" s="319"/>
      <c r="BO3018" s="319"/>
      <c r="BP3018" s="953"/>
      <c r="BQ3018" s="319"/>
      <c r="BR3018" s="319"/>
      <c r="BS3018" s="330"/>
      <c r="BT3018" s="331"/>
      <c r="BU3018" s="920"/>
      <c r="BV3018" s="903"/>
      <c r="BW3018" s="908"/>
      <c r="BX3018" s="908"/>
      <c r="BY3018" s="331"/>
      <c r="BZ3018" s="331"/>
      <c r="CA3018" s="462"/>
      <c r="CB3018" s="319"/>
      <c r="CC3018" s="319"/>
      <c r="CD3018" s="319"/>
      <c r="CE3018" s="319"/>
      <c r="CF3018" s="319"/>
      <c r="CG3018" s="319"/>
      <c r="CH3018" s="318"/>
      <c r="CI3018" s="319"/>
      <c r="CJ3018" s="319"/>
      <c r="CK3018" s="342"/>
      <c r="CL3018" s="333"/>
      <c r="CM3018" s="1079"/>
      <c r="CN3018" s="1005"/>
      <c r="CO3018" s="1005"/>
      <c r="CP3018" s="1005"/>
    </row>
    <row r="3019">
      <c r="A3019" s="1257"/>
      <c r="B3019" s="1113"/>
      <c r="C3019" s="1107"/>
      <c r="D3019" s="103"/>
      <c r="E3019" s="1137"/>
      <c r="F3019" s="112"/>
      <c r="G3019" s="1110"/>
      <c r="H3019" s="1138"/>
      <c r="I3019" s="1138"/>
      <c r="J3019" s="1139"/>
      <c r="K3019" s="1111"/>
      <c r="L3019" s="1112"/>
      <c r="M3019" s="1113"/>
      <c r="N3019" s="110"/>
      <c r="O3019" s="1140"/>
      <c r="P3019" s="1115"/>
      <c r="Q3019" s="1116"/>
      <c r="R3019" s="1141"/>
      <c r="S3019" s="1113"/>
      <c r="T3019" s="1143"/>
      <c r="U3019" s="1108"/>
      <c r="V3019" s="1108"/>
      <c r="W3019" s="1108"/>
      <c r="X3019" s="1108"/>
      <c r="Y3019" s="1108"/>
      <c r="Z3019" s="1114"/>
      <c r="AA3019" s="1114"/>
      <c r="AB3019" s="1114"/>
      <c r="AC3019" s="1117"/>
      <c r="AD3019" s="1115"/>
      <c r="AE3019" s="1115"/>
      <c r="AF3019" s="1115"/>
      <c r="AG3019" s="1115"/>
      <c r="AH3019" s="1115"/>
      <c r="AI3019" s="1115"/>
      <c r="AJ3019" s="1117"/>
      <c r="AK3019" s="1118"/>
      <c r="AL3019" s="1115"/>
      <c r="AM3019" s="1115"/>
      <c r="AN3019" s="1115"/>
      <c r="AO3019" s="1115"/>
      <c r="AP3019" s="1115"/>
      <c r="AQ3019" s="1115"/>
      <c r="AR3019" s="1115"/>
      <c r="AS3019" s="1117"/>
      <c r="AT3019" s="1075"/>
      <c r="AU3019" s="1193"/>
      <c r="AV3019" s="330"/>
      <c r="AW3019" s="331"/>
      <c r="AX3019" s="331"/>
      <c r="AY3019" s="331"/>
      <c r="AZ3019" s="331"/>
      <c r="BA3019" s="331"/>
      <c r="BB3019" s="331"/>
      <c r="BC3019" s="331"/>
      <c r="BD3019" s="331"/>
      <c r="BE3019" s="333"/>
      <c r="BF3019" s="330"/>
      <c r="BG3019" s="333"/>
      <c r="BH3019" s="1119"/>
      <c r="BI3019" s="319"/>
      <c r="BJ3019" s="319"/>
      <c r="BK3019" s="319"/>
      <c r="BL3019" s="319"/>
      <c r="BM3019" s="319"/>
      <c r="BN3019" s="319"/>
      <c r="BO3019" s="319"/>
      <c r="BP3019" s="953"/>
      <c r="BQ3019" s="319"/>
      <c r="BR3019" s="319"/>
      <c r="BS3019" s="330"/>
      <c r="BT3019" s="331"/>
      <c r="BU3019" s="920"/>
      <c r="BV3019" s="903"/>
      <c r="BW3019" s="908"/>
      <c r="BX3019" s="908"/>
      <c r="BY3019" s="331"/>
      <c r="BZ3019" s="331"/>
      <c r="CA3019" s="462"/>
      <c r="CB3019" s="319"/>
      <c r="CC3019" s="319"/>
      <c r="CD3019" s="319"/>
      <c r="CE3019" s="319"/>
      <c r="CF3019" s="319"/>
      <c r="CG3019" s="319"/>
      <c r="CH3019" s="318"/>
      <c r="CI3019" s="319"/>
      <c r="CJ3019" s="319"/>
      <c r="CK3019" s="342"/>
      <c r="CL3019" s="333"/>
      <c r="CM3019" s="1079"/>
      <c r="CN3019" s="1005"/>
      <c r="CO3019" s="1005"/>
      <c r="CP3019" s="1005"/>
    </row>
    <row r="3020">
      <c r="A3020" s="1257"/>
      <c r="B3020" s="1113"/>
      <c r="C3020" s="1107"/>
      <c r="D3020" s="103"/>
      <c r="E3020" s="1137"/>
      <c r="F3020" s="112"/>
      <c r="G3020" s="1110"/>
      <c r="H3020" s="1138"/>
      <c r="I3020" s="1138"/>
      <c r="J3020" s="1139"/>
      <c r="K3020" s="1111"/>
      <c r="L3020" s="1112"/>
      <c r="M3020" s="1113"/>
      <c r="N3020" s="110"/>
      <c r="O3020" s="1140"/>
      <c r="P3020" s="1115"/>
      <c r="Q3020" s="1116"/>
      <c r="R3020" s="1141"/>
      <c r="S3020" s="1113"/>
      <c r="T3020" s="1143"/>
      <c r="U3020" s="1108"/>
      <c r="V3020" s="1108"/>
      <c r="W3020" s="1108"/>
      <c r="X3020" s="1108"/>
      <c r="Y3020" s="1108"/>
      <c r="Z3020" s="1114"/>
      <c r="AA3020" s="1114"/>
      <c r="AB3020" s="1114"/>
      <c r="AC3020" s="1117"/>
      <c r="AD3020" s="1115"/>
      <c r="AE3020" s="1115"/>
      <c r="AF3020" s="1115"/>
      <c r="AG3020" s="1115"/>
      <c r="AH3020" s="1115"/>
      <c r="AI3020" s="1115"/>
      <c r="AJ3020" s="1117"/>
      <c r="AK3020" s="1118"/>
      <c r="AL3020" s="1115"/>
      <c r="AM3020" s="1115"/>
      <c r="AN3020" s="1115"/>
      <c r="AO3020" s="1115"/>
      <c r="AP3020" s="1115"/>
      <c r="AQ3020" s="1115"/>
      <c r="AR3020" s="1115"/>
      <c r="AS3020" s="1117"/>
      <c r="AT3020" s="1075"/>
      <c r="AU3020" s="1193"/>
      <c r="AV3020" s="330"/>
      <c r="AW3020" s="331"/>
      <c r="AX3020" s="331"/>
      <c r="AY3020" s="331"/>
      <c r="AZ3020" s="331"/>
      <c r="BA3020" s="331"/>
      <c r="BB3020" s="331"/>
      <c r="BC3020" s="331"/>
      <c r="BD3020" s="331"/>
      <c r="BE3020" s="333"/>
      <c r="BF3020" s="330"/>
      <c r="BG3020" s="333"/>
      <c r="BH3020" s="1119"/>
      <c r="BI3020" s="319"/>
      <c r="BJ3020" s="319"/>
      <c r="BK3020" s="319"/>
      <c r="BL3020" s="319"/>
      <c r="BM3020" s="319"/>
      <c r="BN3020" s="319"/>
      <c r="BO3020" s="319"/>
      <c r="BP3020" s="953"/>
      <c r="BQ3020" s="319"/>
      <c r="BR3020" s="319"/>
      <c r="BS3020" s="330"/>
      <c r="BT3020" s="331"/>
      <c r="BU3020" s="920"/>
      <c r="BV3020" s="903"/>
      <c r="BW3020" s="908"/>
      <c r="BX3020" s="908"/>
      <c r="BY3020" s="331"/>
      <c r="BZ3020" s="331"/>
      <c r="CA3020" s="462"/>
      <c r="CB3020" s="319"/>
      <c r="CC3020" s="319"/>
      <c r="CD3020" s="319"/>
      <c r="CE3020" s="319"/>
      <c r="CF3020" s="319"/>
      <c r="CG3020" s="319"/>
      <c r="CH3020" s="318"/>
      <c r="CI3020" s="319"/>
      <c r="CJ3020" s="319"/>
      <c r="CK3020" s="342"/>
      <c r="CL3020" s="333"/>
      <c r="CM3020" s="1079"/>
      <c r="CN3020" s="1005"/>
      <c r="CO3020" s="1005"/>
      <c r="CP3020" s="1005"/>
    </row>
    <row r="3021">
      <c r="A3021" s="1257"/>
      <c r="B3021" s="1113"/>
      <c r="C3021" s="1107"/>
      <c r="D3021" s="103"/>
      <c r="E3021" s="1137"/>
      <c r="F3021" s="112"/>
      <c r="G3021" s="1110"/>
      <c r="H3021" s="1138"/>
      <c r="I3021" s="1138"/>
      <c r="J3021" s="1139"/>
      <c r="K3021" s="1111"/>
      <c r="L3021" s="1112"/>
      <c r="M3021" s="1113"/>
      <c r="N3021" s="110"/>
      <c r="O3021" s="1140"/>
      <c r="P3021" s="1115"/>
      <c r="Q3021" s="1116"/>
      <c r="R3021" s="1141"/>
      <c r="S3021" s="1113"/>
      <c r="T3021" s="1143"/>
      <c r="U3021" s="1108"/>
      <c r="V3021" s="1108"/>
      <c r="W3021" s="1108"/>
      <c r="X3021" s="1108"/>
      <c r="Y3021" s="1108"/>
      <c r="Z3021" s="1114"/>
      <c r="AA3021" s="1114"/>
      <c r="AB3021" s="1114"/>
      <c r="AC3021" s="1117"/>
      <c r="AD3021" s="1115"/>
      <c r="AE3021" s="1115"/>
      <c r="AF3021" s="1115"/>
      <c r="AG3021" s="1115"/>
      <c r="AH3021" s="1115"/>
      <c r="AI3021" s="1115"/>
      <c r="AJ3021" s="1117"/>
      <c r="AK3021" s="1118"/>
      <c r="AL3021" s="1115"/>
      <c r="AM3021" s="1115"/>
      <c r="AN3021" s="1115"/>
      <c r="AO3021" s="1115"/>
      <c r="AP3021" s="1115"/>
      <c r="AQ3021" s="1115"/>
      <c r="AR3021" s="1115"/>
      <c r="AS3021" s="1117"/>
      <c r="AT3021" s="1075"/>
      <c r="AU3021" s="1193"/>
      <c r="AV3021" s="330"/>
      <c r="AW3021" s="331"/>
      <c r="AX3021" s="331"/>
      <c r="AY3021" s="331"/>
      <c r="AZ3021" s="331"/>
      <c r="BA3021" s="331"/>
      <c r="BB3021" s="331"/>
      <c r="BC3021" s="331"/>
      <c r="BD3021" s="331"/>
      <c r="BE3021" s="333"/>
      <c r="BF3021" s="330"/>
      <c r="BG3021" s="333"/>
      <c r="BH3021" s="1119"/>
      <c r="BI3021" s="319"/>
      <c r="BJ3021" s="319"/>
      <c r="BK3021" s="319"/>
      <c r="BL3021" s="319"/>
      <c r="BM3021" s="319"/>
      <c r="BN3021" s="319"/>
      <c r="BO3021" s="319"/>
      <c r="BP3021" s="953"/>
      <c r="BQ3021" s="319"/>
      <c r="BR3021" s="319"/>
      <c r="BS3021" s="330"/>
      <c r="BT3021" s="331"/>
      <c r="BU3021" s="920"/>
      <c r="BV3021" s="903"/>
      <c r="BW3021" s="908"/>
      <c r="BX3021" s="908"/>
      <c r="BY3021" s="331"/>
      <c r="BZ3021" s="331"/>
      <c r="CA3021" s="462"/>
      <c r="CB3021" s="319"/>
      <c r="CC3021" s="319"/>
      <c r="CD3021" s="319"/>
      <c r="CE3021" s="319"/>
      <c r="CF3021" s="319"/>
      <c r="CG3021" s="319"/>
      <c r="CH3021" s="318"/>
      <c r="CI3021" s="319"/>
      <c r="CJ3021" s="319"/>
      <c r="CK3021" s="342"/>
      <c r="CL3021" s="333"/>
      <c r="CM3021" s="1079"/>
      <c r="CN3021" s="1005"/>
      <c r="CO3021" s="1005"/>
      <c r="CP3021" s="1005"/>
    </row>
    <row r="3022">
      <c r="A3022" s="1257"/>
      <c r="B3022" s="1113"/>
      <c r="C3022" s="1107"/>
      <c r="D3022" s="103"/>
      <c r="E3022" s="1137"/>
      <c r="F3022" s="112"/>
      <c r="G3022" s="1110"/>
      <c r="H3022" s="1138"/>
      <c r="I3022" s="1138"/>
      <c r="J3022" s="1139"/>
      <c r="K3022" s="1111"/>
      <c r="L3022" s="1112"/>
      <c r="M3022" s="1113"/>
      <c r="N3022" s="110"/>
      <c r="O3022" s="1140"/>
      <c r="P3022" s="1115"/>
      <c r="Q3022" s="1116"/>
      <c r="R3022" s="1141"/>
      <c r="S3022" s="1113"/>
      <c r="T3022" s="1143"/>
      <c r="U3022" s="1108"/>
      <c r="V3022" s="1108"/>
      <c r="W3022" s="1108"/>
      <c r="X3022" s="1108"/>
      <c r="Y3022" s="1108"/>
      <c r="Z3022" s="1114"/>
      <c r="AA3022" s="1114"/>
      <c r="AB3022" s="1114"/>
      <c r="AC3022" s="1117"/>
      <c r="AD3022" s="1115"/>
      <c r="AE3022" s="1115"/>
      <c r="AF3022" s="1115"/>
      <c r="AG3022" s="1115"/>
      <c r="AH3022" s="1115"/>
      <c r="AI3022" s="1115"/>
      <c r="AJ3022" s="1117"/>
      <c r="AK3022" s="1118"/>
      <c r="AL3022" s="1115"/>
      <c r="AM3022" s="1115"/>
      <c r="AN3022" s="1115"/>
      <c r="AO3022" s="1115"/>
      <c r="AP3022" s="1115"/>
      <c r="AQ3022" s="1115"/>
      <c r="AR3022" s="1115"/>
      <c r="AS3022" s="1117"/>
      <c r="AT3022" s="1075"/>
      <c r="AU3022" s="1193"/>
      <c r="AV3022" s="330"/>
      <c r="AW3022" s="331"/>
      <c r="AX3022" s="331"/>
      <c r="AY3022" s="331"/>
      <c r="AZ3022" s="331"/>
      <c r="BA3022" s="331"/>
      <c r="BB3022" s="331"/>
      <c r="BC3022" s="331"/>
      <c r="BD3022" s="331"/>
      <c r="BE3022" s="333"/>
      <c r="BF3022" s="330"/>
      <c r="BG3022" s="333"/>
      <c r="BH3022" s="1119"/>
      <c r="BI3022" s="319"/>
      <c r="BJ3022" s="319"/>
      <c r="BK3022" s="319"/>
      <c r="BL3022" s="319"/>
      <c r="BM3022" s="319"/>
      <c r="BN3022" s="319"/>
      <c r="BO3022" s="319"/>
      <c r="BP3022" s="953"/>
      <c r="BQ3022" s="319"/>
      <c r="BR3022" s="319"/>
      <c r="BS3022" s="330"/>
      <c r="BT3022" s="331"/>
      <c r="BU3022" s="920"/>
      <c r="BV3022" s="903"/>
      <c r="BW3022" s="908"/>
      <c r="BX3022" s="908"/>
      <c r="BY3022" s="331"/>
      <c r="BZ3022" s="331"/>
      <c r="CA3022" s="462"/>
      <c r="CB3022" s="319"/>
      <c r="CC3022" s="319"/>
      <c r="CD3022" s="319"/>
      <c r="CE3022" s="319"/>
      <c r="CF3022" s="319"/>
      <c r="CG3022" s="319"/>
      <c r="CH3022" s="318"/>
      <c r="CI3022" s="319"/>
      <c r="CJ3022" s="319"/>
      <c r="CK3022" s="342"/>
      <c r="CL3022" s="333"/>
      <c r="CM3022" s="1079"/>
      <c r="CN3022" s="1005"/>
      <c r="CO3022" s="1005"/>
      <c r="CP3022" s="1005"/>
    </row>
    <row r="3023">
      <c r="A3023" s="1257"/>
      <c r="B3023" s="1113"/>
      <c r="C3023" s="1107"/>
      <c r="D3023" s="103"/>
      <c r="E3023" s="1137"/>
      <c r="F3023" s="112"/>
      <c r="G3023" s="1110"/>
      <c r="H3023" s="1138"/>
      <c r="I3023" s="1138"/>
      <c r="J3023" s="1139"/>
      <c r="K3023" s="1111"/>
      <c r="L3023" s="1112"/>
      <c r="M3023" s="1113"/>
      <c r="N3023" s="110"/>
      <c r="O3023" s="1140"/>
      <c r="P3023" s="1115"/>
      <c r="Q3023" s="1116"/>
      <c r="R3023" s="1141"/>
      <c r="S3023" s="1113"/>
      <c r="T3023" s="1143"/>
      <c r="U3023" s="1108"/>
      <c r="V3023" s="1108"/>
      <c r="W3023" s="1108"/>
      <c r="X3023" s="1108"/>
      <c r="Y3023" s="1108"/>
      <c r="Z3023" s="1114"/>
      <c r="AA3023" s="1114"/>
      <c r="AB3023" s="1114"/>
      <c r="AC3023" s="1117"/>
      <c r="AD3023" s="1115"/>
      <c r="AE3023" s="1115"/>
      <c r="AF3023" s="1115"/>
      <c r="AG3023" s="1115"/>
      <c r="AH3023" s="1115"/>
      <c r="AI3023" s="1115"/>
      <c r="AJ3023" s="1117"/>
      <c r="AK3023" s="1118"/>
      <c r="AL3023" s="1115"/>
      <c r="AM3023" s="1115"/>
      <c r="AN3023" s="1115"/>
      <c r="AO3023" s="1115"/>
      <c r="AP3023" s="1115"/>
      <c r="AQ3023" s="1115"/>
      <c r="AR3023" s="1115"/>
      <c r="AS3023" s="1117"/>
      <c r="AT3023" s="1075"/>
      <c r="AU3023" s="1193"/>
      <c r="AV3023" s="330"/>
      <c r="AW3023" s="331"/>
      <c r="AX3023" s="331"/>
      <c r="AY3023" s="331"/>
      <c r="AZ3023" s="331"/>
      <c r="BA3023" s="331"/>
      <c r="BB3023" s="331"/>
      <c r="BC3023" s="331"/>
      <c r="BD3023" s="331"/>
      <c r="BE3023" s="333"/>
      <c r="BF3023" s="330"/>
      <c r="BG3023" s="333"/>
      <c r="BH3023" s="1119"/>
      <c r="BI3023" s="319"/>
      <c r="BJ3023" s="319"/>
      <c r="BK3023" s="319"/>
      <c r="BL3023" s="319"/>
      <c r="BM3023" s="319"/>
      <c r="BN3023" s="319"/>
      <c r="BO3023" s="319"/>
      <c r="BP3023" s="953"/>
      <c r="BQ3023" s="319"/>
      <c r="BR3023" s="319"/>
      <c r="BS3023" s="330"/>
      <c r="BT3023" s="331"/>
      <c r="BU3023" s="920"/>
      <c r="BV3023" s="903"/>
      <c r="BW3023" s="908"/>
      <c r="BX3023" s="908"/>
      <c r="BY3023" s="331"/>
      <c r="BZ3023" s="331"/>
      <c r="CA3023" s="462"/>
      <c r="CB3023" s="319"/>
      <c r="CC3023" s="319"/>
      <c r="CD3023" s="319"/>
      <c r="CE3023" s="319"/>
      <c r="CF3023" s="319"/>
      <c r="CG3023" s="319"/>
      <c r="CH3023" s="318"/>
      <c r="CI3023" s="319"/>
      <c r="CJ3023" s="319"/>
      <c r="CK3023" s="342"/>
      <c r="CL3023" s="333"/>
      <c r="CM3023" s="1079"/>
      <c r="CN3023" s="1005"/>
      <c r="CO3023" s="1005"/>
      <c r="CP3023" s="1005"/>
    </row>
    <row r="3024">
      <c r="A3024" s="1257"/>
      <c r="B3024" s="1113"/>
      <c r="C3024" s="1107"/>
      <c r="D3024" s="103"/>
      <c r="E3024" s="1137"/>
      <c r="F3024" s="112"/>
      <c r="G3024" s="1110"/>
      <c r="H3024" s="1138"/>
      <c r="I3024" s="1138"/>
      <c r="J3024" s="1139"/>
      <c r="K3024" s="1111"/>
      <c r="L3024" s="1112"/>
      <c r="M3024" s="1113"/>
      <c r="N3024" s="110"/>
      <c r="O3024" s="1140"/>
      <c r="P3024" s="1115"/>
      <c r="Q3024" s="1116"/>
      <c r="R3024" s="1141"/>
      <c r="S3024" s="1113"/>
      <c r="T3024" s="1143"/>
      <c r="U3024" s="1108"/>
      <c r="V3024" s="1108"/>
      <c r="W3024" s="1108"/>
      <c r="X3024" s="1108"/>
      <c r="Y3024" s="1108"/>
      <c r="Z3024" s="1114"/>
      <c r="AA3024" s="1114"/>
      <c r="AB3024" s="1114"/>
      <c r="AC3024" s="1117"/>
      <c r="AD3024" s="1115"/>
      <c r="AE3024" s="1115"/>
      <c r="AF3024" s="1115"/>
      <c r="AG3024" s="1115"/>
      <c r="AH3024" s="1115"/>
      <c r="AI3024" s="1115"/>
      <c r="AJ3024" s="1117"/>
      <c r="AK3024" s="1118"/>
      <c r="AL3024" s="1115"/>
      <c r="AM3024" s="1115"/>
      <c r="AN3024" s="1115"/>
      <c r="AO3024" s="1115"/>
      <c r="AP3024" s="1115"/>
      <c r="AQ3024" s="1115"/>
      <c r="AR3024" s="1115"/>
      <c r="AS3024" s="1117"/>
      <c r="AT3024" s="1075"/>
      <c r="AU3024" s="1193"/>
      <c r="AV3024" s="330"/>
      <c r="AW3024" s="331"/>
      <c r="AX3024" s="331"/>
      <c r="AY3024" s="331"/>
      <c r="AZ3024" s="331"/>
      <c r="BA3024" s="331"/>
      <c r="BB3024" s="331"/>
      <c r="BC3024" s="331"/>
      <c r="BD3024" s="331"/>
      <c r="BE3024" s="333"/>
      <c r="BF3024" s="330"/>
      <c r="BG3024" s="333"/>
      <c r="BH3024" s="1119"/>
      <c r="BI3024" s="319"/>
      <c r="BJ3024" s="319"/>
      <c r="BK3024" s="319"/>
      <c r="BL3024" s="319"/>
      <c r="BM3024" s="319"/>
      <c r="BN3024" s="319"/>
      <c r="BO3024" s="319"/>
      <c r="BP3024" s="953"/>
      <c r="BQ3024" s="319"/>
      <c r="BR3024" s="319"/>
      <c r="BS3024" s="330"/>
      <c r="BT3024" s="331"/>
      <c r="BU3024" s="920"/>
      <c r="BV3024" s="903"/>
      <c r="BW3024" s="908"/>
      <c r="BX3024" s="908"/>
      <c r="BY3024" s="331"/>
      <c r="BZ3024" s="331"/>
      <c r="CA3024" s="462"/>
      <c r="CB3024" s="319"/>
      <c r="CC3024" s="319"/>
      <c r="CD3024" s="319"/>
      <c r="CE3024" s="319"/>
      <c r="CF3024" s="319"/>
      <c r="CG3024" s="319"/>
      <c r="CH3024" s="318"/>
      <c r="CI3024" s="319"/>
      <c r="CJ3024" s="319"/>
      <c r="CK3024" s="342"/>
      <c r="CL3024" s="333"/>
      <c r="CM3024" s="1079"/>
      <c r="CN3024" s="1005"/>
      <c r="CO3024" s="1005"/>
      <c r="CP3024" s="1005"/>
    </row>
    <row r="3025">
      <c r="A3025" s="1257"/>
      <c r="B3025" s="1113"/>
      <c r="C3025" s="1107"/>
      <c r="D3025" s="103"/>
      <c r="E3025" s="1137"/>
      <c r="F3025" s="112"/>
      <c r="G3025" s="1110"/>
      <c r="H3025" s="1138"/>
      <c r="I3025" s="1138"/>
      <c r="J3025" s="1139"/>
      <c r="K3025" s="1111"/>
      <c r="L3025" s="1112"/>
      <c r="M3025" s="1113"/>
      <c r="N3025" s="110"/>
      <c r="O3025" s="1140"/>
      <c r="P3025" s="1115"/>
      <c r="Q3025" s="1116"/>
      <c r="R3025" s="1141"/>
      <c r="S3025" s="1113"/>
      <c r="T3025" s="1143"/>
      <c r="U3025" s="1108"/>
      <c r="V3025" s="1108"/>
      <c r="W3025" s="1108"/>
      <c r="X3025" s="1108"/>
      <c r="Y3025" s="1108"/>
      <c r="Z3025" s="1114"/>
      <c r="AA3025" s="1114"/>
      <c r="AB3025" s="1114"/>
      <c r="AC3025" s="1117"/>
      <c r="AD3025" s="1115"/>
      <c r="AE3025" s="1115"/>
      <c r="AF3025" s="1115"/>
      <c r="AG3025" s="1115"/>
      <c r="AH3025" s="1115"/>
      <c r="AI3025" s="1115"/>
      <c r="AJ3025" s="1117"/>
      <c r="AK3025" s="1118"/>
      <c r="AL3025" s="1115"/>
      <c r="AM3025" s="1115"/>
      <c r="AN3025" s="1115"/>
      <c r="AO3025" s="1115"/>
      <c r="AP3025" s="1115"/>
      <c r="AQ3025" s="1115"/>
      <c r="AR3025" s="1115"/>
      <c r="AS3025" s="1117"/>
      <c r="AT3025" s="1075"/>
      <c r="AU3025" s="1193"/>
      <c r="AV3025" s="330"/>
      <c r="AW3025" s="331"/>
      <c r="AX3025" s="331"/>
      <c r="AY3025" s="331"/>
      <c r="AZ3025" s="331"/>
      <c r="BA3025" s="331"/>
      <c r="BB3025" s="331"/>
      <c r="BC3025" s="331"/>
      <c r="BD3025" s="331"/>
      <c r="BE3025" s="333"/>
      <c r="BF3025" s="330"/>
      <c r="BG3025" s="333"/>
      <c r="BH3025" s="1119"/>
      <c r="BI3025" s="319"/>
      <c r="BJ3025" s="319"/>
      <c r="BK3025" s="319"/>
      <c r="BL3025" s="319"/>
      <c r="BM3025" s="319"/>
      <c r="BN3025" s="319"/>
      <c r="BO3025" s="319"/>
      <c r="BP3025" s="953"/>
      <c r="BQ3025" s="319"/>
      <c r="BR3025" s="319"/>
      <c r="BS3025" s="330"/>
      <c r="BT3025" s="331"/>
      <c r="BU3025" s="920"/>
      <c r="BV3025" s="903"/>
      <c r="BW3025" s="908"/>
      <c r="BX3025" s="908"/>
      <c r="BY3025" s="331"/>
      <c r="BZ3025" s="331"/>
      <c r="CA3025" s="462"/>
      <c r="CB3025" s="319"/>
      <c r="CC3025" s="319"/>
      <c r="CD3025" s="319"/>
      <c r="CE3025" s="319"/>
      <c r="CF3025" s="319"/>
      <c r="CG3025" s="319"/>
      <c r="CH3025" s="318"/>
      <c r="CI3025" s="319"/>
      <c r="CJ3025" s="319"/>
      <c r="CK3025" s="342"/>
      <c r="CL3025" s="333"/>
      <c r="CM3025" s="1079"/>
      <c r="CN3025" s="1005"/>
      <c r="CO3025" s="1005"/>
      <c r="CP3025" s="1005"/>
    </row>
    <row r="3026">
      <c r="A3026" s="1257"/>
      <c r="B3026" s="1113"/>
      <c r="C3026" s="1107"/>
      <c r="D3026" s="103"/>
      <c r="E3026" s="1137"/>
      <c r="F3026" s="112"/>
      <c r="G3026" s="1110"/>
      <c r="H3026" s="1138"/>
      <c r="I3026" s="1138"/>
      <c r="J3026" s="1139"/>
      <c r="K3026" s="1111"/>
      <c r="L3026" s="1112"/>
      <c r="M3026" s="1113"/>
      <c r="N3026" s="110"/>
      <c r="O3026" s="1140"/>
      <c r="P3026" s="1115"/>
      <c r="Q3026" s="1116"/>
      <c r="R3026" s="1141"/>
      <c r="S3026" s="1113"/>
      <c r="T3026" s="1143"/>
      <c r="U3026" s="1108"/>
      <c r="V3026" s="1108"/>
      <c r="W3026" s="1108"/>
      <c r="X3026" s="1108"/>
      <c r="Y3026" s="1108"/>
      <c r="Z3026" s="1114"/>
      <c r="AA3026" s="1114"/>
      <c r="AB3026" s="1114"/>
      <c r="AC3026" s="1117"/>
      <c r="AD3026" s="1115"/>
      <c r="AE3026" s="1115"/>
      <c r="AF3026" s="1115"/>
      <c r="AG3026" s="1115"/>
      <c r="AH3026" s="1115"/>
      <c r="AI3026" s="1115"/>
      <c r="AJ3026" s="1117"/>
      <c r="AK3026" s="1118"/>
      <c r="AL3026" s="1115"/>
      <c r="AM3026" s="1115"/>
      <c r="AN3026" s="1115"/>
      <c r="AO3026" s="1115"/>
      <c r="AP3026" s="1115"/>
      <c r="AQ3026" s="1115"/>
      <c r="AR3026" s="1115"/>
      <c r="AS3026" s="1117"/>
      <c r="AT3026" s="1075"/>
      <c r="AU3026" s="1193"/>
      <c r="AV3026" s="330"/>
      <c r="AW3026" s="331"/>
      <c r="AX3026" s="331"/>
      <c r="AY3026" s="331"/>
      <c r="AZ3026" s="331"/>
      <c r="BA3026" s="331"/>
      <c r="BB3026" s="331"/>
      <c r="BC3026" s="331"/>
      <c r="BD3026" s="331"/>
      <c r="BE3026" s="333"/>
      <c r="BF3026" s="330"/>
      <c r="BG3026" s="333"/>
      <c r="BH3026" s="1119"/>
      <c r="BI3026" s="319"/>
      <c r="BJ3026" s="319"/>
      <c r="BK3026" s="319"/>
      <c r="BL3026" s="319"/>
      <c r="BM3026" s="319"/>
      <c r="BN3026" s="319"/>
      <c r="BO3026" s="319"/>
      <c r="BP3026" s="953"/>
      <c r="BQ3026" s="319"/>
      <c r="BR3026" s="319"/>
      <c r="BS3026" s="330"/>
      <c r="BT3026" s="331"/>
      <c r="BU3026" s="920"/>
      <c r="BV3026" s="903"/>
      <c r="BW3026" s="908"/>
      <c r="BX3026" s="908"/>
      <c r="BY3026" s="331"/>
      <c r="BZ3026" s="331"/>
      <c r="CA3026" s="462"/>
      <c r="CB3026" s="319"/>
      <c r="CC3026" s="319"/>
      <c r="CD3026" s="319"/>
      <c r="CE3026" s="319"/>
      <c r="CF3026" s="319"/>
      <c r="CG3026" s="319"/>
      <c r="CH3026" s="318"/>
      <c r="CI3026" s="319"/>
      <c r="CJ3026" s="319"/>
      <c r="CK3026" s="342"/>
      <c r="CL3026" s="333"/>
      <c r="CM3026" s="1079"/>
      <c r="CN3026" s="1005"/>
      <c r="CO3026" s="1005"/>
      <c r="CP3026" s="1005"/>
    </row>
    <row r="3027">
      <c r="A3027" s="1257"/>
      <c r="B3027" s="1113"/>
      <c r="C3027" s="1107"/>
      <c r="D3027" s="103"/>
      <c r="E3027" s="1137"/>
      <c r="F3027" s="112"/>
      <c r="G3027" s="1110"/>
      <c r="H3027" s="1138"/>
      <c r="I3027" s="1138"/>
      <c r="J3027" s="1139"/>
      <c r="K3027" s="1111"/>
      <c r="L3027" s="1112"/>
      <c r="M3027" s="1113"/>
      <c r="N3027" s="110"/>
      <c r="O3027" s="1140"/>
      <c r="P3027" s="1115"/>
      <c r="Q3027" s="1116"/>
      <c r="R3027" s="1141"/>
      <c r="S3027" s="1113"/>
      <c r="T3027" s="1143"/>
      <c r="U3027" s="1108"/>
      <c r="V3027" s="1108"/>
      <c r="W3027" s="1108"/>
      <c r="X3027" s="1108"/>
      <c r="Y3027" s="1108"/>
      <c r="Z3027" s="1114"/>
      <c r="AA3027" s="1114"/>
      <c r="AB3027" s="1114"/>
      <c r="AC3027" s="1117"/>
      <c r="AD3027" s="1115"/>
      <c r="AE3027" s="1115"/>
      <c r="AF3027" s="1115"/>
      <c r="AG3027" s="1115"/>
      <c r="AH3027" s="1115"/>
      <c r="AI3027" s="1115"/>
      <c r="AJ3027" s="1117"/>
      <c r="AK3027" s="1118"/>
      <c r="AL3027" s="1115"/>
      <c r="AM3027" s="1115"/>
      <c r="AN3027" s="1115"/>
      <c r="AO3027" s="1115"/>
      <c r="AP3027" s="1115"/>
      <c r="AQ3027" s="1115"/>
      <c r="AR3027" s="1115"/>
      <c r="AS3027" s="1117"/>
      <c r="AT3027" s="1075"/>
      <c r="AU3027" s="1193"/>
      <c r="AV3027" s="330"/>
      <c r="AW3027" s="331"/>
      <c r="AX3027" s="331"/>
      <c r="AY3027" s="331"/>
      <c r="AZ3027" s="331"/>
      <c r="BA3027" s="331"/>
      <c r="BB3027" s="331"/>
      <c r="BC3027" s="331"/>
      <c r="BD3027" s="331"/>
      <c r="BE3027" s="333"/>
      <c r="BF3027" s="330"/>
      <c r="BG3027" s="333"/>
      <c r="BH3027" s="1119"/>
      <c r="BI3027" s="319"/>
      <c r="BJ3027" s="319"/>
      <c r="BK3027" s="319"/>
      <c r="BL3027" s="319"/>
      <c r="BM3027" s="319"/>
      <c r="BN3027" s="319"/>
      <c r="BO3027" s="319"/>
      <c r="BP3027" s="953"/>
      <c r="BQ3027" s="319"/>
      <c r="BR3027" s="319"/>
      <c r="BS3027" s="330"/>
      <c r="BT3027" s="331"/>
      <c r="BU3027" s="920"/>
      <c r="BV3027" s="903"/>
      <c r="BW3027" s="908"/>
      <c r="BX3027" s="908"/>
      <c r="BY3027" s="331"/>
      <c r="BZ3027" s="331"/>
      <c r="CA3027" s="462"/>
      <c r="CB3027" s="319"/>
      <c r="CC3027" s="319"/>
      <c r="CD3027" s="319"/>
      <c r="CE3027" s="319"/>
      <c r="CF3027" s="319"/>
      <c r="CG3027" s="319"/>
      <c r="CH3027" s="318"/>
      <c r="CI3027" s="319"/>
      <c r="CJ3027" s="319"/>
      <c r="CK3027" s="342"/>
      <c r="CL3027" s="333"/>
      <c r="CM3027" s="1079"/>
      <c r="CN3027" s="1005"/>
      <c r="CO3027" s="1005"/>
      <c r="CP3027" s="1005"/>
    </row>
    <row r="3028">
      <c r="A3028" s="1257"/>
      <c r="B3028" s="1113"/>
      <c r="C3028" s="1107"/>
      <c r="D3028" s="103"/>
      <c r="E3028" s="1137"/>
      <c r="F3028" s="112"/>
      <c r="G3028" s="1110"/>
      <c r="H3028" s="1138"/>
      <c r="I3028" s="1138"/>
      <c r="J3028" s="1139"/>
      <c r="K3028" s="1111"/>
      <c r="L3028" s="1112"/>
      <c r="M3028" s="1113"/>
      <c r="N3028" s="110"/>
      <c r="O3028" s="1140"/>
      <c r="P3028" s="1115"/>
      <c r="Q3028" s="1116"/>
      <c r="R3028" s="1141"/>
      <c r="S3028" s="1113"/>
      <c r="T3028" s="1143"/>
      <c r="U3028" s="1108"/>
      <c r="V3028" s="1108"/>
      <c r="W3028" s="1108"/>
      <c r="X3028" s="1108"/>
      <c r="Y3028" s="1108"/>
      <c r="Z3028" s="1114"/>
      <c r="AA3028" s="1114"/>
      <c r="AB3028" s="1114"/>
      <c r="AC3028" s="1117"/>
      <c r="AD3028" s="1115"/>
      <c r="AE3028" s="1115"/>
      <c r="AF3028" s="1115"/>
      <c r="AG3028" s="1115"/>
      <c r="AH3028" s="1115"/>
      <c r="AI3028" s="1115"/>
      <c r="AJ3028" s="1117"/>
      <c r="AK3028" s="1118"/>
      <c r="AL3028" s="1115"/>
      <c r="AM3028" s="1115"/>
      <c r="AN3028" s="1115"/>
      <c r="AO3028" s="1115"/>
      <c r="AP3028" s="1115"/>
      <c r="AQ3028" s="1115"/>
      <c r="AR3028" s="1115"/>
      <c r="AS3028" s="1117"/>
      <c r="AT3028" s="1075"/>
      <c r="AU3028" s="1193"/>
      <c r="AV3028" s="330"/>
      <c r="AW3028" s="331"/>
      <c r="AX3028" s="331"/>
      <c r="AY3028" s="331"/>
      <c r="AZ3028" s="331"/>
      <c r="BA3028" s="331"/>
      <c r="BB3028" s="331"/>
      <c r="BC3028" s="331"/>
      <c r="BD3028" s="331"/>
      <c r="BE3028" s="333"/>
      <c r="BF3028" s="330"/>
      <c r="BG3028" s="333"/>
      <c r="BH3028" s="1119"/>
      <c r="BI3028" s="319"/>
      <c r="BJ3028" s="319"/>
      <c r="BK3028" s="319"/>
      <c r="BL3028" s="319"/>
      <c r="BM3028" s="319"/>
      <c r="BN3028" s="319"/>
      <c r="BO3028" s="319"/>
      <c r="BP3028" s="953"/>
      <c r="BQ3028" s="319"/>
      <c r="BR3028" s="319"/>
      <c r="BS3028" s="330"/>
      <c r="BT3028" s="331"/>
      <c r="BU3028" s="920"/>
      <c r="BV3028" s="903"/>
      <c r="BW3028" s="908"/>
      <c r="BX3028" s="908"/>
      <c r="BY3028" s="331"/>
      <c r="BZ3028" s="331"/>
      <c r="CA3028" s="462"/>
      <c r="CB3028" s="319"/>
      <c r="CC3028" s="319"/>
      <c r="CD3028" s="319"/>
      <c r="CE3028" s="319"/>
      <c r="CF3028" s="319"/>
      <c r="CG3028" s="319"/>
      <c r="CH3028" s="318"/>
      <c r="CI3028" s="319"/>
      <c r="CJ3028" s="319"/>
      <c r="CK3028" s="342"/>
      <c r="CL3028" s="333"/>
      <c r="CM3028" s="1079"/>
      <c r="CN3028" s="1005"/>
      <c r="CO3028" s="1005"/>
      <c r="CP3028" s="1005"/>
    </row>
    <row r="3029">
      <c r="A3029" s="1257"/>
      <c r="B3029" s="1113"/>
      <c r="C3029" s="1107"/>
      <c r="D3029" s="103"/>
      <c r="E3029" s="1137"/>
      <c r="F3029" s="112"/>
      <c r="G3029" s="1110"/>
      <c r="H3029" s="1138"/>
      <c r="I3029" s="1138"/>
      <c r="J3029" s="1139"/>
      <c r="K3029" s="1111"/>
      <c r="L3029" s="1112"/>
      <c r="M3029" s="1113"/>
      <c r="N3029" s="110"/>
      <c r="O3029" s="1140"/>
      <c r="P3029" s="1115"/>
      <c r="Q3029" s="1116"/>
      <c r="R3029" s="1141"/>
      <c r="S3029" s="1113"/>
      <c r="T3029" s="1143"/>
      <c r="U3029" s="1108"/>
      <c r="V3029" s="1108"/>
      <c r="W3029" s="1108"/>
      <c r="X3029" s="1108"/>
      <c r="Y3029" s="1108"/>
      <c r="Z3029" s="1114"/>
      <c r="AA3029" s="1114"/>
      <c r="AB3029" s="1114"/>
      <c r="AC3029" s="1117"/>
      <c r="AD3029" s="1115"/>
      <c r="AE3029" s="1115"/>
      <c r="AF3029" s="1115"/>
      <c r="AG3029" s="1115"/>
      <c r="AH3029" s="1115"/>
      <c r="AI3029" s="1115"/>
      <c r="AJ3029" s="1117"/>
      <c r="AK3029" s="1118"/>
      <c r="AL3029" s="1115"/>
      <c r="AM3029" s="1115"/>
      <c r="AN3029" s="1115"/>
      <c r="AO3029" s="1115"/>
      <c r="AP3029" s="1115"/>
      <c r="AQ3029" s="1115"/>
      <c r="AR3029" s="1115"/>
      <c r="AS3029" s="1117"/>
      <c r="AT3029" s="1075"/>
      <c r="AU3029" s="1193"/>
      <c r="AV3029" s="330"/>
      <c r="AW3029" s="331"/>
      <c r="AX3029" s="331"/>
      <c r="AY3029" s="331"/>
      <c r="AZ3029" s="331"/>
      <c r="BA3029" s="331"/>
      <c r="BB3029" s="331"/>
      <c r="BC3029" s="331"/>
      <c r="BD3029" s="331"/>
      <c r="BE3029" s="333"/>
      <c r="BF3029" s="330"/>
      <c r="BG3029" s="333"/>
      <c r="BH3029" s="1119"/>
      <c r="BI3029" s="319"/>
      <c r="BJ3029" s="319"/>
      <c r="BK3029" s="319"/>
      <c r="BL3029" s="319"/>
      <c r="BM3029" s="319"/>
      <c r="BN3029" s="319"/>
      <c r="BO3029" s="319"/>
      <c r="BP3029" s="953"/>
      <c r="BQ3029" s="319"/>
      <c r="BR3029" s="319"/>
      <c r="BS3029" s="330"/>
      <c r="BT3029" s="331"/>
      <c r="BU3029" s="920"/>
      <c r="BV3029" s="903"/>
      <c r="BW3029" s="908"/>
      <c r="BX3029" s="908"/>
      <c r="BY3029" s="331"/>
      <c r="BZ3029" s="331"/>
      <c r="CA3029" s="462"/>
      <c r="CB3029" s="319"/>
      <c r="CC3029" s="319"/>
      <c r="CD3029" s="319"/>
      <c r="CE3029" s="319"/>
      <c r="CF3029" s="319"/>
      <c r="CG3029" s="319"/>
      <c r="CH3029" s="318"/>
      <c r="CI3029" s="319"/>
      <c r="CJ3029" s="319"/>
      <c r="CK3029" s="342"/>
      <c r="CL3029" s="333"/>
      <c r="CM3029" s="1079"/>
      <c r="CN3029" s="1005"/>
      <c r="CO3029" s="1005"/>
      <c r="CP3029" s="1005"/>
    </row>
    <row r="3030">
      <c r="A3030" s="1257"/>
      <c r="B3030" s="1113"/>
      <c r="C3030" s="1107"/>
      <c r="D3030" s="103"/>
      <c r="E3030" s="1137"/>
      <c r="F3030" s="112"/>
      <c r="G3030" s="1110"/>
      <c r="H3030" s="1138"/>
      <c r="I3030" s="1138"/>
      <c r="J3030" s="1139"/>
      <c r="K3030" s="1111"/>
      <c r="L3030" s="1112"/>
      <c r="M3030" s="1113"/>
      <c r="N3030" s="110"/>
      <c r="O3030" s="1140"/>
      <c r="P3030" s="1115"/>
      <c r="Q3030" s="1116"/>
      <c r="R3030" s="1141"/>
      <c r="S3030" s="1113"/>
      <c r="T3030" s="1143"/>
      <c r="U3030" s="1108"/>
      <c r="V3030" s="1108"/>
      <c r="W3030" s="1108"/>
      <c r="X3030" s="1108"/>
      <c r="Y3030" s="1108"/>
      <c r="Z3030" s="1114"/>
      <c r="AA3030" s="1114"/>
      <c r="AB3030" s="1114"/>
      <c r="AC3030" s="1117"/>
      <c r="AD3030" s="1115"/>
      <c r="AE3030" s="1115"/>
      <c r="AF3030" s="1115"/>
      <c r="AG3030" s="1115"/>
      <c r="AH3030" s="1115"/>
      <c r="AI3030" s="1115"/>
      <c r="AJ3030" s="1117"/>
      <c r="AK3030" s="1118"/>
      <c r="AL3030" s="1115"/>
      <c r="AM3030" s="1115"/>
      <c r="AN3030" s="1115"/>
      <c r="AO3030" s="1115"/>
      <c r="AP3030" s="1115"/>
      <c r="AQ3030" s="1115"/>
      <c r="AR3030" s="1115"/>
      <c r="AS3030" s="1117"/>
      <c r="AT3030" s="1075"/>
      <c r="AU3030" s="1193"/>
      <c r="AV3030" s="330"/>
      <c r="AW3030" s="331"/>
      <c r="AX3030" s="331"/>
      <c r="AY3030" s="331"/>
      <c r="AZ3030" s="331"/>
      <c r="BA3030" s="331"/>
      <c r="BB3030" s="331"/>
      <c r="BC3030" s="331"/>
      <c r="BD3030" s="331"/>
      <c r="BE3030" s="333"/>
      <c r="BF3030" s="330"/>
      <c r="BG3030" s="333"/>
      <c r="BH3030" s="1119"/>
      <c r="BI3030" s="319"/>
      <c r="BJ3030" s="319"/>
      <c r="BK3030" s="319"/>
      <c r="BL3030" s="319"/>
      <c r="BM3030" s="319"/>
      <c r="BN3030" s="319"/>
      <c r="BO3030" s="319"/>
      <c r="BP3030" s="953"/>
      <c r="BQ3030" s="319"/>
      <c r="BR3030" s="319"/>
      <c r="BS3030" s="330"/>
      <c r="BT3030" s="331"/>
      <c r="BU3030" s="920"/>
      <c r="BV3030" s="903"/>
      <c r="BW3030" s="908"/>
      <c r="BX3030" s="908"/>
      <c r="BY3030" s="331"/>
      <c r="BZ3030" s="331"/>
      <c r="CA3030" s="462"/>
      <c r="CB3030" s="319"/>
      <c r="CC3030" s="319"/>
      <c r="CD3030" s="319"/>
      <c r="CE3030" s="319"/>
      <c r="CF3030" s="319"/>
      <c r="CG3030" s="319"/>
      <c r="CH3030" s="318"/>
      <c r="CI3030" s="319"/>
      <c r="CJ3030" s="319"/>
      <c r="CK3030" s="342"/>
      <c r="CL3030" s="333"/>
      <c r="CM3030" s="1079"/>
      <c r="CN3030" s="1005"/>
      <c r="CO3030" s="1005"/>
      <c r="CP3030" s="1005"/>
    </row>
    <row r="3031">
      <c r="A3031" s="1257"/>
      <c r="B3031" s="1113"/>
      <c r="C3031" s="1107"/>
      <c r="D3031" s="103"/>
      <c r="E3031" s="1137"/>
      <c r="F3031" s="112"/>
      <c r="G3031" s="1110"/>
      <c r="H3031" s="1138"/>
      <c r="I3031" s="1138"/>
      <c r="J3031" s="1139"/>
      <c r="K3031" s="1111"/>
      <c r="L3031" s="1112"/>
      <c r="M3031" s="1113"/>
      <c r="N3031" s="110"/>
      <c r="O3031" s="1140"/>
      <c r="P3031" s="1115"/>
      <c r="Q3031" s="1116"/>
      <c r="R3031" s="1141"/>
      <c r="S3031" s="1113"/>
      <c r="T3031" s="1143"/>
      <c r="U3031" s="1108"/>
      <c r="V3031" s="1108"/>
      <c r="W3031" s="1108"/>
      <c r="X3031" s="1108"/>
      <c r="Y3031" s="1108"/>
      <c r="Z3031" s="1114"/>
      <c r="AA3031" s="1114"/>
      <c r="AB3031" s="1114"/>
      <c r="AC3031" s="1117"/>
      <c r="AD3031" s="1115"/>
      <c r="AE3031" s="1115"/>
      <c r="AF3031" s="1115"/>
      <c r="AG3031" s="1115"/>
      <c r="AH3031" s="1115"/>
      <c r="AI3031" s="1115"/>
      <c r="AJ3031" s="1117"/>
      <c r="AK3031" s="1118"/>
      <c r="AL3031" s="1115"/>
      <c r="AM3031" s="1115"/>
      <c r="AN3031" s="1115"/>
      <c r="AO3031" s="1115"/>
      <c r="AP3031" s="1115"/>
      <c r="AQ3031" s="1115"/>
      <c r="AR3031" s="1115"/>
      <c r="AS3031" s="1117"/>
      <c r="AT3031" s="1075"/>
      <c r="AU3031" s="1193"/>
      <c r="AV3031" s="330"/>
      <c r="AW3031" s="331"/>
      <c r="AX3031" s="331"/>
      <c r="AY3031" s="331"/>
      <c r="AZ3031" s="331"/>
      <c r="BA3031" s="331"/>
      <c r="BB3031" s="331"/>
      <c r="BC3031" s="331"/>
      <c r="BD3031" s="331"/>
      <c r="BE3031" s="333"/>
      <c r="BF3031" s="330"/>
      <c r="BG3031" s="333"/>
      <c r="BH3031" s="1119"/>
      <c r="BI3031" s="319"/>
      <c r="BJ3031" s="319"/>
      <c r="BK3031" s="319"/>
      <c r="BL3031" s="319"/>
      <c r="BM3031" s="319"/>
      <c r="BN3031" s="319"/>
      <c r="BO3031" s="319"/>
      <c r="BP3031" s="953"/>
      <c r="BQ3031" s="319"/>
      <c r="BR3031" s="319"/>
      <c r="BS3031" s="330"/>
      <c r="BT3031" s="331"/>
      <c r="BU3031" s="920"/>
      <c r="BV3031" s="903"/>
      <c r="BW3031" s="908"/>
      <c r="BX3031" s="908"/>
      <c r="BY3031" s="331"/>
      <c r="BZ3031" s="331"/>
      <c r="CA3031" s="462"/>
      <c r="CB3031" s="319"/>
      <c r="CC3031" s="319"/>
      <c r="CD3031" s="319"/>
      <c r="CE3031" s="319"/>
      <c r="CF3031" s="319"/>
      <c r="CG3031" s="319"/>
      <c r="CH3031" s="318"/>
      <c r="CI3031" s="319"/>
      <c r="CJ3031" s="319"/>
      <c r="CK3031" s="342"/>
      <c r="CL3031" s="333"/>
      <c r="CM3031" s="1079"/>
      <c r="CN3031" s="1005"/>
      <c r="CO3031" s="1005"/>
      <c r="CP3031" s="1005"/>
    </row>
    <row r="3032">
      <c r="A3032" s="1257"/>
      <c r="B3032" s="1113"/>
      <c r="C3032" s="1107"/>
      <c r="D3032" s="103"/>
      <c r="E3032" s="1137"/>
      <c r="F3032" s="112"/>
      <c r="G3032" s="1110"/>
      <c r="H3032" s="1138"/>
      <c r="I3032" s="1138"/>
      <c r="J3032" s="1139"/>
      <c r="K3032" s="1111"/>
      <c r="L3032" s="1112"/>
      <c r="M3032" s="1113"/>
      <c r="N3032" s="110"/>
      <c r="O3032" s="1140"/>
      <c r="P3032" s="1115"/>
      <c r="Q3032" s="1116"/>
      <c r="R3032" s="1141"/>
      <c r="S3032" s="1113"/>
      <c r="T3032" s="1143"/>
      <c r="U3032" s="1108"/>
      <c r="V3032" s="1108"/>
      <c r="W3032" s="1108"/>
      <c r="X3032" s="1108"/>
      <c r="Y3032" s="1108"/>
      <c r="Z3032" s="1114"/>
      <c r="AA3032" s="1114"/>
      <c r="AB3032" s="1114"/>
      <c r="AC3032" s="1117"/>
      <c r="AD3032" s="1115"/>
      <c r="AE3032" s="1115"/>
      <c r="AF3032" s="1115"/>
      <c r="AG3032" s="1115"/>
      <c r="AH3032" s="1115"/>
      <c r="AI3032" s="1115"/>
      <c r="AJ3032" s="1117"/>
      <c r="AK3032" s="1118"/>
      <c r="AL3032" s="1115"/>
      <c r="AM3032" s="1115"/>
      <c r="AN3032" s="1115"/>
      <c r="AO3032" s="1115"/>
      <c r="AP3032" s="1115"/>
      <c r="AQ3032" s="1115"/>
      <c r="AR3032" s="1115"/>
      <c r="AS3032" s="1117"/>
      <c r="AT3032" s="1075"/>
      <c r="AU3032" s="1193"/>
      <c r="AV3032" s="330"/>
      <c r="AW3032" s="331"/>
      <c r="AX3032" s="331"/>
      <c r="AY3032" s="331"/>
      <c r="AZ3032" s="331"/>
      <c r="BA3032" s="331"/>
      <c r="BB3032" s="331"/>
      <c r="BC3032" s="331"/>
      <c r="BD3032" s="331"/>
      <c r="BE3032" s="333"/>
      <c r="BF3032" s="330"/>
      <c r="BG3032" s="333"/>
      <c r="BH3032" s="1119"/>
      <c r="BI3032" s="319"/>
      <c r="BJ3032" s="319"/>
      <c r="BK3032" s="319"/>
      <c r="BL3032" s="319"/>
      <c r="BM3032" s="319"/>
      <c r="BN3032" s="319"/>
      <c r="BO3032" s="319"/>
      <c r="BP3032" s="953"/>
      <c r="BQ3032" s="319"/>
      <c r="BR3032" s="319"/>
      <c r="BS3032" s="330"/>
      <c r="BT3032" s="331"/>
      <c r="BU3032" s="920"/>
      <c r="BV3032" s="903"/>
      <c r="BW3032" s="908"/>
      <c r="BX3032" s="908"/>
      <c r="BY3032" s="331"/>
      <c r="BZ3032" s="331"/>
      <c r="CA3032" s="462"/>
      <c r="CB3032" s="319"/>
      <c r="CC3032" s="319"/>
      <c r="CD3032" s="319"/>
      <c r="CE3032" s="319"/>
      <c r="CF3032" s="319"/>
      <c r="CG3032" s="319"/>
      <c r="CH3032" s="318"/>
      <c r="CI3032" s="319"/>
      <c r="CJ3032" s="319"/>
      <c r="CK3032" s="342"/>
      <c r="CL3032" s="333"/>
      <c r="CM3032" s="1079"/>
      <c r="CN3032" s="1005"/>
      <c r="CO3032" s="1005"/>
      <c r="CP3032" s="1005"/>
    </row>
    <row r="3033">
      <c r="A3033" s="1257"/>
      <c r="B3033" s="1113"/>
      <c r="C3033" s="1107"/>
      <c r="D3033" s="103"/>
      <c r="E3033" s="1137"/>
      <c r="F3033" s="112"/>
      <c r="G3033" s="1110"/>
      <c r="H3033" s="1138"/>
      <c r="I3033" s="1138"/>
      <c r="J3033" s="1139"/>
      <c r="K3033" s="1111"/>
      <c r="L3033" s="1112"/>
      <c r="M3033" s="1113"/>
      <c r="N3033" s="110"/>
      <c r="O3033" s="1140"/>
      <c r="P3033" s="1115"/>
      <c r="Q3033" s="1116"/>
      <c r="R3033" s="1141"/>
      <c r="S3033" s="1113"/>
      <c r="T3033" s="1143"/>
      <c r="U3033" s="1108"/>
      <c r="V3033" s="1108"/>
      <c r="W3033" s="1108"/>
      <c r="X3033" s="1108"/>
      <c r="Y3033" s="1108"/>
      <c r="Z3033" s="1114"/>
      <c r="AA3033" s="1114"/>
      <c r="AB3033" s="1114"/>
      <c r="AC3033" s="1117"/>
      <c r="AD3033" s="1115"/>
      <c r="AE3033" s="1115"/>
      <c r="AF3033" s="1115"/>
      <c r="AG3033" s="1115"/>
      <c r="AH3033" s="1115"/>
      <c r="AI3033" s="1115"/>
      <c r="AJ3033" s="1117"/>
      <c r="AK3033" s="1118"/>
      <c r="AL3033" s="1115"/>
      <c r="AM3033" s="1115"/>
      <c r="AN3033" s="1115"/>
      <c r="AO3033" s="1115"/>
      <c r="AP3033" s="1115"/>
      <c r="AQ3033" s="1115"/>
      <c r="AR3033" s="1115"/>
      <c r="AS3033" s="1117"/>
      <c r="AT3033" s="1075"/>
      <c r="AU3033" s="1193"/>
      <c r="AV3033" s="330"/>
      <c r="AW3033" s="331"/>
      <c r="AX3033" s="331"/>
      <c r="AY3033" s="331"/>
      <c r="AZ3033" s="331"/>
      <c r="BA3033" s="331"/>
      <c r="BB3033" s="331"/>
      <c r="BC3033" s="331"/>
      <c r="BD3033" s="331"/>
      <c r="BE3033" s="333"/>
      <c r="BF3033" s="330"/>
      <c r="BG3033" s="333"/>
      <c r="BH3033" s="1119"/>
      <c r="BI3033" s="319"/>
      <c r="BJ3033" s="319"/>
      <c r="BK3033" s="319"/>
      <c r="BL3033" s="319"/>
      <c r="BM3033" s="319"/>
      <c r="BN3033" s="319"/>
      <c r="BO3033" s="319"/>
      <c r="BP3033" s="953"/>
      <c r="BQ3033" s="319"/>
      <c r="BR3033" s="319"/>
      <c r="BS3033" s="330"/>
      <c r="BT3033" s="331"/>
      <c r="BU3033" s="920"/>
      <c r="BV3033" s="903"/>
      <c r="BW3033" s="908"/>
      <c r="BX3033" s="908"/>
      <c r="BY3033" s="331"/>
      <c r="BZ3033" s="331"/>
      <c r="CA3033" s="462"/>
      <c r="CB3033" s="319"/>
      <c r="CC3033" s="319"/>
      <c r="CD3033" s="319"/>
      <c r="CE3033" s="319"/>
      <c r="CF3033" s="319"/>
      <c r="CG3033" s="319"/>
      <c r="CH3033" s="318"/>
      <c r="CI3033" s="319"/>
      <c r="CJ3033" s="319"/>
      <c r="CK3033" s="342"/>
      <c r="CL3033" s="333"/>
      <c r="CM3033" s="1079"/>
      <c r="CN3033" s="1005"/>
      <c r="CO3033" s="1005"/>
      <c r="CP3033" s="1005"/>
    </row>
    <row r="3034">
      <c r="A3034" s="1257"/>
      <c r="B3034" s="1113"/>
      <c r="C3034" s="1107"/>
      <c r="D3034" s="103"/>
      <c r="E3034" s="1137"/>
      <c r="F3034" s="112"/>
      <c r="G3034" s="1110"/>
      <c r="H3034" s="1138"/>
      <c r="I3034" s="1138"/>
      <c r="J3034" s="1139"/>
      <c r="K3034" s="1111"/>
      <c r="L3034" s="1112"/>
      <c r="M3034" s="1113"/>
      <c r="N3034" s="110"/>
      <c r="O3034" s="1140"/>
      <c r="P3034" s="1115"/>
      <c r="Q3034" s="1116"/>
      <c r="R3034" s="1141"/>
      <c r="S3034" s="1113"/>
      <c r="T3034" s="1143"/>
      <c r="U3034" s="1108"/>
      <c r="V3034" s="1108"/>
      <c r="W3034" s="1108"/>
      <c r="X3034" s="1108"/>
      <c r="Y3034" s="1108"/>
      <c r="Z3034" s="1114"/>
      <c r="AA3034" s="1114"/>
      <c r="AB3034" s="1114"/>
      <c r="AC3034" s="1117"/>
      <c r="AD3034" s="1115"/>
      <c r="AE3034" s="1115"/>
      <c r="AF3034" s="1115"/>
      <c r="AG3034" s="1115"/>
      <c r="AH3034" s="1115"/>
      <c r="AI3034" s="1115"/>
      <c r="AJ3034" s="1117"/>
      <c r="AK3034" s="1118"/>
      <c r="AL3034" s="1115"/>
      <c r="AM3034" s="1115"/>
      <c r="AN3034" s="1115"/>
      <c r="AO3034" s="1115"/>
      <c r="AP3034" s="1115"/>
      <c r="AQ3034" s="1115"/>
      <c r="AR3034" s="1115"/>
      <c r="AS3034" s="1117"/>
      <c r="AT3034" s="1075"/>
      <c r="AU3034" s="1193"/>
      <c r="AV3034" s="330"/>
      <c r="AW3034" s="331"/>
      <c r="AX3034" s="331"/>
      <c r="AY3034" s="331"/>
      <c r="AZ3034" s="331"/>
      <c r="BA3034" s="331"/>
      <c r="BB3034" s="331"/>
      <c r="BC3034" s="331"/>
      <c r="BD3034" s="331"/>
      <c r="BE3034" s="333"/>
      <c r="BF3034" s="330"/>
      <c r="BG3034" s="333"/>
      <c r="BH3034" s="1119"/>
      <c r="BI3034" s="319"/>
      <c r="BJ3034" s="319"/>
      <c r="BK3034" s="319"/>
      <c r="BL3034" s="319"/>
      <c r="BM3034" s="319"/>
      <c r="BN3034" s="319"/>
      <c r="BO3034" s="319"/>
      <c r="BP3034" s="953"/>
      <c r="BQ3034" s="319"/>
      <c r="BR3034" s="319"/>
      <c r="BS3034" s="330"/>
      <c r="BT3034" s="331"/>
      <c r="BU3034" s="920"/>
      <c r="BV3034" s="903"/>
      <c r="BW3034" s="908"/>
      <c r="BX3034" s="908"/>
      <c r="BY3034" s="331"/>
      <c r="BZ3034" s="331"/>
      <c r="CA3034" s="462"/>
      <c r="CB3034" s="319"/>
      <c r="CC3034" s="319"/>
      <c r="CD3034" s="319"/>
      <c r="CE3034" s="319"/>
      <c r="CF3034" s="319"/>
      <c r="CG3034" s="319"/>
      <c r="CH3034" s="318"/>
      <c r="CI3034" s="319"/>
      <c r="CJ3034" s="319"/>
      <c r="CK3034" s="342"/>
      <c r="CL3034" s="333"/>
      <c r="CM3034" s="1079"/>
      <c r="CN3034" s="1005"/>
      <c r="CO3034" s="1005"/>
      <c r="CP3034" s="1005"/>
    </row>
    <row r="3035">
      <c r="A3035" s="1257"/>
      <c r="B3035" s="1113"/>
      <c r="C3035" s="1107"/>
      <c r="D3035" s="103"/>
      <c r="E3035" s="1137"/>
      <c r="F3035" s="112"/>
      <c r="G3035" s="1110"/>
      <c r="H3035" s="1138"/>
      <c r="I3035" s="1138"/>
      <c r="J3035" s="1139"/>
      <c r="K3035" s="1111"/>
      <c r="L3035" s="1112"/>
      <c r="M3035" s="1113"/>
      <c r="N3035" s="110"/>
      <c r="O3035" s="1140"/>
      <c r="P3035" s="1115"/>
      <c r="Q3035" s="1116"/>
      <c r="R3035" s="1141"/>
      <c r="S3035" s="1113"/>
      <c r="T3035" s="1143"/>
      <c r="U3035" s="1108"/>
      <c r="V3035" s="1108"/>
      <c r="W3035" s="1108"/>
      <c r="X3035" s="1108"/>
      <c r="Y3035" s="1108"/>
      <c r="Z3035" s="1114"/>
      <c r="AA3035" s="1114"/>
      <c r="AB3035" s="1114"/>
      <c r="AC3035" s="1117"/>
      <c r="AD3035" s="1115"/>
      <c r="AE3035" s="1115"/>
      <c r="AF3035" s="1115"/>
      <c r="AG3035" s="1115"/>
      <c r="AH3035" s="1115"/>
      <c r="AI3035" s="1115"/>
      <c r="AJ3035" s="1117"/>
      <c r="AK3035" s="1118"/>
      <c r="AL3035" s="1115"/>
      <c r="AM3035" s="1115"/>
      <c r="AN3035" s="1115"/>
      <c r="AO3035" s="1115"/>
      <c r="AP3035" s="1115"/>
      <c r="AQ3035" s="1115"/>
      <c r="AR3035" s="1115"/>
      <c r="AS3035" s="1117"/>
      <c r="AT3035" s="1075"/>
      <c r="AU3035" s="1193"/>
      <c r="AV3035" s="330"/>
      <c r="AW3035" s="331"/>
      <c r="AX3035" s="331"/>
      <c r="AY3035" s="331"/>
      <c r="AZ3035" s="331"/>
      <c r="BA3035" s="331"/>
      <c r="BB3035" s="331"/>
      <c r="BC3035" s="331"/>
      <c r="BD3035" s="331"/>
      <c r="BE3035" s="333"/>
      <c r="BF3035" s="330"/>
      <c r="BG3035" s="333"/>
      <c r="BH3035" s="1119"/>
      <c r="BI3035" s="319"/>
      <c r="BJ3035" s="319"/>
      <c r="BK3035" s="319"/>
      <c r="BL3035" s="319"/>
      <c r="BM3035" s="319"/>
      <c r="BN3035" s="319"/>
      <c r="BO3035" s="319"/>
      <c r="BP3035" s="953"/>
      <c r="BQ3035" s="319"/>
      <c r="BR3035" s="319"/>
      <c r="BS3035" s="330"/>
      <c r="BT3035" s="331"/>
      <c r="BU3035" s="920"/>
      <c r="BV3035" s="903"/>
      <c r="BW3035" s="908"/>
      <c r="BX3035" s="908"/>
      <c r="BY3035" s="331"/>
      <c r="BZ3035" s="331"/>
      <c r="CA3035" s="462"/>
      <c r="CB3035" s="319"/>
      <c r="CC3035" s="319"/>
      <c r="CD3035" s="319"/>
      <c r="CE3035" s="319"/>
      <c r="CF3035" s="319"/>
      <c r="CG3035" s="319"/>
      <c r="CH3035" s="318"/>
      <c r="CI3035" s="319"/>
      <c r="CJ3035" s="319"/>
      <c r="CK3035" s="342"/>
      <c r="CL3035" s="333"/>
      <c r="CM3035" s="1079"/>
      <c r="CN3035" s="1005"/>
      <c r="CO3035" s="1005"/>
      <c r="CP3035" s="1005"/>
    </row>
    <row r="3036">
      <c r="A3036" s="1257"/>
      <c r="B3036" s="1113"/>
      <c r="C3036" s="1107"/>
      <c r="D3036" s="103"/>
      <c r="E3036" s="1137"/>
      <c r="F3036" s="112"/>
      <c r="G3036" s="1110"/>
      <c r="H3036" s="1138"/>
      <c r="I3036" s="1138"/>
      <c r="J3036" s="1139"/>
      <c r="K3036" s="1111"/>
      <c r="L3036" s="1112"/>
      <c r="M3036" s="1113"/>
      <c r="N3036" s="110"/>
      <c r="O3036" s="1140"/>
      <c r="P3036" s="1115"/>
      <c r="Q3036" s="1116"/>
      <c r="R3036" s="1141"/>
      <c r="S3036" s="1113"/>
      <c r="T3036" s="1143"/>
      <c r="U3036" s="1108"/>
      <c r="V3036" s="1108"/>
      <c r="W3036" s="1108"/>
      <c r="X3036" s="1108"/>
      <c r="Y3036" s="1108"/>
      <c r="Z3036" s="1114"/>
      <c r="AA3036" s="1114"/>
      <c r="AB3036" s="1114"/>
      <c r="AC3036" s="1117"/>
      <c r="AD3036" s="1115"/>
      <c r="AE3036" s="1115"/>
      <c r="AF3036" s="1115"/>
      <c r="AG3036" s="1115"/>
      <c r="AH3036" s="1115"/>
      <c r="AI3036" s="1115"/>
      <c r="AJ3036" s="1117"/>
      <c r="AK3036" s="1118"/>
      <c r="AL3036" s="1115"/>
      <c r="AM3036" s="1115"/>
      <c r="AN3036" s="1115"/>
      <c r="AO3036" s="1115"/>
      <c r="AP3036" s="1115"/>
      <c r="AQ3036" s="1115"/>
      <c r="AR3036" s="1115"/>
      <c r="AS3036" s="1117"/>
      <c r="AT3036" s="1075"/>
      <c r="AU3036" s="1193"/>
      <c r="AV3036" s="330"/>
      <c r="AW3036" s="331"/>
      <c r="AX3036" s="331"/>
      <c r="AY3036" s="331"/>
      <c r="AZ3036" s="331"/>
      <c r="BA3036" s="331"/>
      <c r="BB3036" s="331"/>
      <c r="BC3036" s="331"/>
      <c r="BD3036" s="331"/>
      <c r="BE3036" s="333"/>
      <c r="BF3036" s="330"/>
      <c r="BG3036" s="333"/>
      <c r="BH3036" s="1119"/>
      <c r="BI3036" s="319"/>
      <c r="BJ3036" s="319"/>
      <c r="BK3036" s="319"/>
      <c r="BL3036" s="319"/>
      <c r="BM3036" s="319"/>
      <c r="BN3036" s="319"/>
      <c r="BO3036" s="319"/>
      <c r="BP3036" s="953"/>
      <c r="BQ3036" s="319"/>
      <c r="BR3036" s="319"/>
      <c r="BS3036" s="330"/>
      <c r="BT3036" s="331"/>
      <c r="BU3036" s="920"/>
      <c r="BV3036" s="903"/>
      <c r="BW3036" s="908"/>
      <c r="BX3036" s="908"/>
      <c r="BY3036" s="331"/>
      <c r="BZ3036" s="331"/>
      <c r="CA3036" s="462"/>
      <c r="CB3036" s="319"/>
      <c r="CC3036" s="319"/>
      <c r="CD3036" s="319"/>
      <c r="CE3036" s="319"/>
      <c r="CF3036" s="319"/>
      <c r="CG3036" s="319"/>
      <c r="CH3036" s="318"/>
      <c r="CI3036" s="319"/>
      <c r="CJ3036" s="319"/>
      <c r="CK3036" s="342"/>
      <c r="CL3036" s="333"/>
      <c r="CM3036" s="1079"/>
      <c r="CN3036" s="1005"/>
      <c r="CO3036" s="1005"/>
      <c r="CP3036" s="1005"/>
    </row>
    <row r="3037">
      <c r="A3037" s="1257"/>
      <c r="B3037" s="1113"/>
      <c r="C3037" s="1107"/>
      <c r="D3037" s="103"/>
      <c r="E3037" s="1137"/>
      <c r="F3037" s="112"/>
      <c r="G3037" s="1110"/>
      <c r="H3037" s="1138"/>
      <c r="I3037" s="1138"/>
      <c r="J3037" s="1139"/>
      <c r="K3037" s="1111"/>
      <c r="L3037" s="1112"/>
      <c r="M3037" s="1113"/>
      <c r="N3037" s="110"/>
      <c r="O3037" s="1140"/>
      <c r="P3037" s="1115"/>
      <c r="Q3037" s="1116"/>
      <c r="R3037" s="1141"/>
      <c r="S3037" s="1113"/>
      <c r="T3037" s="1143"/>
      <c r="U3037" s="1108"/>
      <c r="V3037" s="1108"/>
      <c r="W3037" s="1108"/>
      <c r="X3037" s="1108"/>
      <c r="Y3037" s="1108"/>
      <c r="Z3037" s="1114"/>
      <c r="AA3037" s="1114"/>
      <c r="AB3037" s="1114"/>
      <c r="AC3037" s="1117"/>
      <c r="AD3037" s="1115"/>
      <c r="AE3037" s="1115"/>
      <c r="AF3037" s="1115"/>
      <c r="AG3037" s="1115"/>
      <c r="AH3037" s="1115"/>
      <c r="AI3037" s="1115"/>
      <c r="AJ3037" s="1117"/>
      <c r="AK3037" s="1118"/>
      <c r="AL3037" s="1115"/>
      <c r="AM3037" s="1115"/>
      <c r="AN3037" s="1115"/>
      <c r="AO3037" s="1115"/>
      <c r="AP3037" s="1115"/>
      <c r="AQ3037" s="1115"/>
      <c r="AR3037" s="1115"/>
      <c r="AS3037" s="1117"/>
      <c r="AT3037" s="1075"/>
      <c r="AU3037" s="1193"/>
      <c r="AV3037" s="330"/>
      <c r="AW3037" s="331"/>
      <c r="AX3037" s="331"/>
      <c r="AY3037" s="331"/>
      <c r="AZ3037" s="331"/>
      <c r="BA3037" s="331"/>
      <c r="BB3037" s="331"/>
      <c r="BC3037" s="331"/>
      <c r="BD3037" s="331"/>
      <c r="BE3037" s="333"/>
      <c r="BF3037" s="330"/>
      <c r="BG3037" s="333"/>
      <c r="BH3037" s="1119"/>
      <c r="BI3037" s="319"/>
      <c r="BJ3037" s="319"/>
      <c r="BK3037" s="319"/>
      <c r="BL3037" s="319"/>
      <c r="BM3037" s="319"/>
      <c r="BN3037" s="319"/>
      <c r="BO3037" s="319"/>
      <c r="BP3037" s="953"/>
      <c r="BQ3037" s="319"/>
      <c r="BR3037" s="319"/>
      <c r="BS3037" s="330"/>
      <c r="BT3037" s="331"/>
      <c r="BU3037" s="920"/>
      <c r="BV3037" s="903"/>
      <c r="BW3037" s="908"/>
      <c r="BX3037" s="908"/>
      <c r="BY3037" s="331"/>
      <c r="BZ3037" s="331"/>
      <c r="CA3037" s="462"/>
      <c r="CB3037" s="319"/>
      <c r="CC3037" s="319"/>
      <c r="CD3037" s="319"/>
      <c r="CE3037" s="319"/>
      <c r="CF3037" s="319"/>
      <c r="CG3037" s="319"/>
      <c r="CH3037" s="318"/>
      <c r="CI3037" s="319"/>
      <c r="CJ3037" s="319"/>
      <c r="CK3037" s="342"/>
      <c r="CL3037" s="333"/>
      <c r="CM3037" s="1079"/>
      <c r="CN3037" s="1005"/>
      <c r="CO3037" s="1005"/>
      <c r="CP3037" s="1005"/>
    </row>
    <row r="3038">
      <c r="A3038" s="1257"/>
      <c r="B3038" s="1113"/>
      <c r="C3038" s="1107"/>
      <c r="D3038" s="103"/>
      <c r="E3038" s="1137"/>
      <c r="F3038" s="112"/>
      <c r="G3038" s="1110"/>
      <c r="H3038" s="1138"/>
      <c r="I3038" s="1138"/>
      <c r="J3038" s="1139"/>
      <c r="K3038" s="1111"/>
      <c r="L3038" s="1112"/>
      <c r="M3038" s="1113"/>
      <c r="N3038" s="110"/>
      <c r="O3038" s="1140"/>
      <c r="P3038" s="1115"/>
      <c r="Q3038" s="1116"/>
      <c r="R3038" s="1141"/>
      <c r="S3038" s="1113"/>
      <c r="T3038" s="1143"/>
      <c r="U3038" s="1108"/>
      <c r="V3038" s="1108"/>
      <c r="W3038" s="1108"/>
      <c r="X3038" s="1108"/>
      <c r="Y3038" s="1108"/>
      <c r="Z3038" s="1114"/>
      <c r="AA3038" s="1114"/>
      <c r="AB3038" s="1114"/>
      <c r="AC3038" s="1117"/>
      <c r="AD3038" s="1115"/>
      <c r="AE3038" s="1115"/>
      <c r="AF3038" s="1115"/>
      <c r="AG3038" s="1115"/>
      <c r="AH3038" s="1115"/>
      <c r="AI3038" s="1115"/>
      <c r="AJ3038" s="1117"/>
      <c r="AK3038" s="1118"/>
      <c r="AL3038" s="1115"/>
      <c r="AM3038" s="1115"/>
      <c r="AN3038" s="1115"/>
      <c r="AO3038" s="1115"/>
      <c r="AP3038" s="1115"/>
      <c r="AQ3038" s="1115"/>
      <c r="AR3038" s="1115"/>
      <c r="AS3038" s="1117"/>
      <c r="AT3038" s="1075"/>
      <c r="AU3038" s="1193"/>
      <c r="AV3038" s="330"/>
      <c r="AW3038" s="331"/>
      <c r="AX3038" s="331"/>
      <c r="AY3038" s="331"/>
      <c r="AZ3038" s="331"/>
      <c r="BA3038" s="331"/>
      <c r="BB3038" s="331"/>
      <c r="BC3038" s="331"/>
      <c r="BD3038" s="331"/>
      <c r="BE3038" s="333"/>
      <c r="BF3038" s="330"/>
      <c r="BG3038" s="333"/>
      <c r="BH3038" s="1119"/>
      <c r="BI3038" s="319"/>
      <c r="BJ3038" s="319"/>
      <c r="BK3038" s="319"/>
      <c r="BL3038" s="319"/>
      <c r="BM3038" s="319"/>
      <c r="BN3038" s="319"/>
      <c r="BO3038" s="319"/>
      <c r="BP3038" s="953"/>
      <c r="BQ3038" s="319"/>
      <c r="BR3038" s="319"/>
      <c r="BS3038" s="330"/>
      <c r="BT3038" s="331"/>
      <c r="BU3038" s="920"/>
      <c r="BV3038" s="903"/>
      <c r="BW3038" s="908"/>
      <c r="BX3038" s="908"/>
      <c r="BY3038" s="331"/>
      <c r="BZ3038" s="331"/>
      <c r="CA3038" s="462"/>
      <c r="CB3038" s="319"/>
      <c r="CC3038" s="319"/>
      <c r="CD3038" s="319"/>
      <c r="CE3038" s="319"/>
      <c r="CF3038" s="319"/>
      <c r="CG3038" s="319"/>
      <c r="CH3038" s="318"/>
      <c r="CI3038" s="319"/>
      <c r="CJ3038" s="319"/>
      <c r="CK3038" s="342"/>
      <c r="CL3038" s="333"/>
      <c r="CM3038" s="1079"/>
      <c r="CN3038" s="1005"/>
      <c r="CO3038" s="1005"/>
      <c r="CP3038" s="1005"/>
    </row>
    <row r="3039">
      <c r="A3039" s="1257"/>
      <c r="B3039" s="1113"/>
      <c r="C3039" s="1107"/>
      <c r="D3039" s="103"/>
      <c r="E3039" s="1137"/>
      <c r="F3039" s="112"/>
      <c r="G3039" s="1110"/>
      <c r="H3039" s="1138"/>
      <c r="I3039" s="1138"/>
      <c r="J3039" s="1139"/>
      <c r="K3039" s="1111"/>
      <c r="L3039" s="1112"/>
      <c r="M3039" s="1113"/>
      <c r="N3039" s="110"/>
      <c r="O3039" s="1140"/>
      <c r="P3039" s="1115"/>
      <c r="Q3039" s="1116"/>
      <c r="R3039" s="1141"/>
      <c r="S3039" s="1113"/>
      <c r="T3039" s="1143"/>
      <c r="U3039" s="1108"/>
      <c r="V3039" s="1108"/>
      <c r="W3039" s="1108"/>
      <c r="X3039" s="1108"/>
      <c r="Y3039" s="1108"/>
      <c r="Z3039" s="1114"/>
      <c r="AA3039" s="1114"/>
      <c r="AB3039" s="1114"/>
      <c r="AC3039" s="1117"/>
      <c r="AD3039" s="1115"/>
      <c r="AE3039" s="1115"/>
      <c r="AF3039" s="1115"/>
      <c r="AG3039" s="1115"/>
      <c r="AH3039" s="1115"/>
      <c r="AI3039" s="1115"/>
      <c r="AJ3039" s="1117"/>
      <c r="AK3039" s="1118"/>
      <c r="AL3039" s="1115"/>
      <c r="AM3039" s="1115"/>
      <c r="AN3039" s="1115"/>
      <c r="AO3039" s="1115"/>
      <c r="AP3039" s="1115"/>
      <c r="AQ3039" s="1115"/>
      <c r="AR3039" s="1115"/>
      <c r="AS3039" s="1117"/>
      <c r="AT3039" s="1075"/>
      <c r="AU3039" s="1193"/>
      <c r="AV3039" s="330"/>
      <c r="AW3039" s="331"/>
      <c r="AX3039" s="331"/>
      <c r="AY3039" s="331"/>
      <c r="AZ3039" s="331"/>
      <c r="BA3039" s="331"/>
      <c r="BB3039" s="331"/>
      <c r="BC3039" s="331"/>
      <c r="BD3039" s="331"/>
      <c r="BE3039" s="333"/>
      <c r="BF3039" s="330"/>
      <c r="BG3039" s="333"/>
      <c r="BH3039" s="1119"/>
      <c r="BI3039" s="319"/>
      <c r="BJ3039" s="319"/>
      <c r="BK3039" s="319"/>
      <c r="BL3039" s="319"/>
      <c r="BM3039" s="319"/>
      <c r="BN3039" s="319"/>
      <c r="BO3039" s="319"/>
      <c r="BP3039" s="953"/>
      <c r="BQ3039" s="319"/>
      <c r="BR3039" s="319"/>
      <c r="BS3039" s="330"/>
      <c r="BT3039" s="331"/>
      <c r="BU3039" s="920"/>
      <c r="BV3039" s="903"/>
      <c r="BW3039" s="908"/>
      <c r="BX3039" s="908"/>
      <c r="BY3039" s="331"/>
      <c r="BZ3039" s="331"/>
      <c r="CA3039" s="462"/>
      <c r="CB3039" s="319"/>
      <c r="CC3039" s="319"/>
      <c r="CD3039" s="319"/>
      <c r="CE3039" s="319"/>
      <c r="CF3039" s="319"/>
      <c r="CG3039" s="319"/>
      <c r="CH3039" s="318"/>
      <c r="CI3039" s="319"/>
      <c r="CJ3039" s="319"/>
      <c r="CK3039" s="342"/>
      <c r="CL3039" s="333"/>
      <c r="CM3039" s="1079"/>
      <c r="CN3039" s="1005"/>
      <c r="CO3039" s="1005"/>
      <c r="CP3039" s="1005"/>
    </row>
    <row r="3040">
      <c r="A3040" s="1257"/>
      <c r="B3040" s="1113"/>
      <c r="C3040" s="1107"/>
      <c r="D3040" s="103"/>
      <c r="E3040" s="1137"/>
      <c r="F3040" s="112"/>
      <c r="G3040" s="1110"/>
      <c r="H3040" s="1138"/>
      <c r="I3040" s="1138"/>
      <c r="J3040" s="1139"/>
      <c r="K3040" s="1111"/>
      <c r="L3040" s="1112"/>
      <c r="M3040" s="1113"/>
      <c r="N3040" s="110"/>
      <c r="O3040" s="1140"/>
      <c r="P3040" s="1115"/>
      <c r="Q3040" s="1116"/>
      <c r="R3040" s="1141"/>
      <c r="S3040" s="1113"/>
      <c r="T3040" s="1143"/>
      <c r="U3040" s="1108"/>
      <c r="V3040" s="1108"/>
      <c r="W3040" s="1108"/>
      <c r="X3040" s="1108"/>
      <c r="Y3040" s="1108"/>
      <c r="Z3040" s="1114"/>
      <c r="AA3040" s="1114"/>
      <c r="AB3040" s="1114"/>
      <c r="AC3040" s="1117"/>
      <c r="AD3040" s="1115"/>
      <c r="AE3040" s="1115"/>
      <c r="AF3040" s="1115"/>
      <c r="AG3040" s="1115"/>
      <c r="AH3040" s="1115"/>
      <c r="AI3040" s="1115"/>
      <c r="AJ3040" s="1117"/>
      <c r="AK3040" s="1118"/>
      <c r="AL3040" s="1115"/>
      <c r="AM3040" s="1115"/>
      <c r="AN3040" s="1115"/>
      <c r="AO3040" s="1115"/>
      <c r="AP3040" s="1115"/>
      <c r="AQ3040" s="1115"/>
      <c r="AR3040" s="1115"/>
      <c r="AS3040" s="1117"/>
      <c r="AT3040" s="1075"/>
      <c r="AU3040" s="1193"/>
      <c r="AV3040" s="330"/>
      <c r="AW3040" s="331"/>
      <c r="AX3040" s="331"/>
      <c r="AY3040" s="331"/>
      <c r="AZ3040" s="331"/>
      <c r="BA3040" s="331"/>
      <c r="BB3040" s="331"/>
      <c r="BC3040" s="331"/>
      <c r="BD3040" s="331"/>
      <c r="BE3040" s="333"/>
      <c r="BF3040" s="330"/>
      <c r="BG3040" s="333"/>
      <c r="BH3040" s="1119"/>
      <c r="BI3040" s="319"/>
      <c r="BJ3040" s="319"/>
      <c r="BK3040" s="319"/>
      <c r="BL3040" s="319"/>
      <c r="BM3040" s="319"/>
      <c r="BN3040" s="319"/>
      <c r="BO3040" s="319"/>
      <c r="BP3040" s="953"/>
      <c r="BQ3040" s="319"/>
      <c r="BR3040" s="319"/>
      <c r="BS3040" s="330"/>
      <c r="BT3040" s="331"/>
      <c r="BU3040" s="920"/>
      <c r="BV3040" s="903"/>
      <c r="BW3040" s="908"/>
      <c r="BX3040" s="908"/>
      <c r="BY3040" s="331"/>
      <c r="BZ3040" s="331"/>
      <c r="CA3040" s="462"/>
      <c r="CB3040" s="319"/>
      <c r="CC3040" s="319"/>
      <c r="CD3040" s="319"/>
      <c r="CE3040" s="319"/>
      <c r="CF3040" s="319"/>
      <c r="CG3040" s="319"/>
      <c r="CH3040" s="318"/>
      <c r="CI3040" s="319"/>
      <c r="CJ3040" s="319"/>
      <c r="CK3040" s="342"/>
      <c r="CL3040" s="333"/>
      <c r="CM3040" s="1079"/>
      <c r="CN3040" s="1005"/>
      <c r="CO3040" s="1005"/>
      <c r="CP3040" s="1005"/>
    </row>
    <row r="3041">
      <c r="A3041" s="1257"/>
      <c r="B3041" s="1113"/>
      <c r="C3041" s="1107"/>
      <c r="D3041" s="103"/>
      <c r="E3041" s="1137"/>
      <c r="F3041" s="112"/>
      <c r="G3041" s="1110"/>
      <c r="H3041" s="1138"/>
      <c r="I3041" s="1138"/>
      <c r="J3041" s="1139"/>
      <c r="K3041" s="1111"/>
      <c r="L3041" s="1112"/>
      <c r="M3041" s="1113"/>
      <c r="N3041" s="110"/>
      <c r="O3041" s="1140"/>
      <c r="P3041" s="1115"/>
      <c r="Q3041" s="1116"/>
      <c r="R3041" s="1141"/>
      <c r="S3041" s="1113"/>
      <c r="T3041" s="1143"/>
      <c r="U3041" s="1108"/>
      <c r="V3041" s="1108"/>
      <c r="W3041" s="1108"/>
      <c r="X3041" s="1108"/>
      <c r="Y3041" s="1108"/>
      <c r="Z3041" s="1114"/>
      <c r="AA3041" s="1114"/>
      <c r="AB3041" s="1114"/>
      <c r="AC3041" s="1117"/>
      <c r="AD3041" s="1115"/>
      <c r="AE3041" s="1115"/>
      <c r="AF3041" s="1115"/>
      <c r="AG3041" s="1115"/>
      <c r="AH3041" s="1115"/>
      <c r="AI3041" s="1115"/>
      <c r="AJ3041" s="1117"/>
      <c r="AK3041" s="1118"/>
      <c r="AL3041" s="1115"/>
      <c r="AM3041" s="1115"/>
      <c r="AN3041" s="1115"/>
      <c r="AO3041" s="1115"/>
      <c r="AP3041" s="1115"/>
      <c r="AQ3041" s="1115"/>
      <c r="AR3041" s="1115"/>
      <c r="AS3041" s="1117"/>
      <c r="AT3041" s="1075"/>
      <c r="AU3041" s="1193"/>
      <c r="AV3041" s="330"/>
      <c r="AW3041" s="331"/>
      <c r="AX3041" s="331"/>
      <c r="AY3041" s="331"/>
      <c r="AZ3041" s="331"/>
      <c r="BA3041" s="331"/>
      <c r="BB3041" s="331"/>
      <c r="BC3041" s="331"/>
      <c r="BD3041" s="331"/>
      <c r="BE3041" s="333"/>
      <c r="BF3041" s="330"/>
      <c r="BG3041" s="333"/>
      <c r="BH3041" s="1119"/>
      <c r="BI3041" s="319"/>
      <c r="BJ3041" s="319"/>
      <c r="BK3041" s="319"/>
      <c r="BL3041" s="319"/>
      <c r="BM3041" s="319"/>
      <c r="BN3041" s="319"/>
      <c r="BO3041" s="319"/>
      <c r="BP3041" s="953"/>
      <c r="BQ3041" s="319"/>
      <c r="BR3041" s="319"/>
      <c r="BS3041" s="330"/>
      <c r="BT3041" s="331"/>
      <c r="BU3041" s="920"/>
      <c r="BV3041" s="903"/>
      <c r="BW3041" s="908"/>
      <c r="BX3041" s="908"/>
      <c r="BY3041" s="331"/>
      <c r="BZ3041" s="331"/>
      <c r="CA3041" s="462"/>
      <c r="CB3041" s="319"/>
      <c r="CC3041" s="319"/>
      <c r="CD3041" s="319"/>
      <c r="CE3041" s="319"/>
      <c r="CF3041" s="319"/>
      <c r="CG3041" s="319"/>
      <c r="CH3041" s="318"/>
      <c r="CI3041" s="319"/>
      <c r="CJ3041" s="319"/>
      <c r="CK3041" s="342"/>
      <c r="CL3041" s="333"/>
      <c r="CM3041" s="1079"/>
      <c r="CN3041" s="1005"/>
      <c r="CO3041" s="1005"/>
      <c r="CP3041" s="1005"/>
    </row>
    <row r="3042">
      <c r="A3042" s="1257"/>
      <c r="B3042" s="1113"/>
      <c r="C3042" s="1107"/>
      <c r="D3042" s="103"/>
      <c r="E3042" s="1137"/>
      <c r="F3042" s="112"/>
      <c r="G3042" s="1110"/>
      <c r="H3042" s="1138"/>
      <c r="I3042" s="1138"/>
      <c r="J3042" s="1139"/>
      <c r="K3042" s="1111"/>
      <c r="L3042" s="1112"/>
      <c r="M3042" s="1113"/>
      <c r="N3042" s="110"/>
      <c r="O3042" s="1140"/>
      <c r="P3042" s="1115"/>
      <c r="Q3042" s="1116"/>
      <c r="R3042" s="1141"/>
      <c r="S3042" s="1113"/>
      <c r="T3042" s="1143"/>
      <c r="U3042" s="1108"/>
      <c r="V3042" s="1108"/>
      <c r="W3042" s="1108"/>
      <c r="X3042" s="1108"/>
      <c r="Y3042" s="1108"/>
      <c r="Z3042" s="1114"/>
      <c r="AA3042" s="1114"/>
      <c r="AB3042" s="1114"/>
      <c r="AC3042" s="1117"/>
      <c r="AD3042" s="1115"/>
      <c r="AE3042" s="1115"/>
      <c r="AF3042" s="1115"/>
      <c r="AG3042" s="1115"/>
      <c r="AH3042" s="1115"/>
      <c r="AI3042" s="1115"/>
      <c r="AJ3042" s="1117"/>
      <c r="AK3042" s="1118"/>
      <c r="AL3042" s="1115"/>
      <c r="AM3042" s="1115"/>
      <c r="AN3042" s="1115"/>
      <c r="AO3042" s="1115"/>
      <c r="AP3042" s="1115"/>
      <c r="AQ3042" s="1115"/>
      <c r="AR3042" s="1115"/>
      <c r="AS3042" s="1117"/>
      <c r="AT3042" s="1075"/>
      <c r="AU3042" s="1193"/>
      <c r="AV3042" s="330"/>
      <c r="AW3042" s="331"/>
      <c r="AX3042" s="331"/>
      <c r="AY3042" s="331"/>
      <c r="AZ3042" s="331"/>
      <c r="BA3042" s="331"/>
      <c r="BB3042" s="331"/>
      <c r="BC3042" s="331"/>
      <c r="BD3042" s="331"/>
      <c r="BE3042" s="333"/>
      <c r="BF3042" s="330"/>
      <c r="BG3042" s="333"/>
      <c r="BH3042" s="1119"/>
      <c r="BI3042" s="319"/>
      <c r="BJ3042" s="319"/>
      <c r="BK3042" s="319"/>
      <c r="BL3042" s="319"/>
      <c r="BM3042" s="319"/>
      <c r="BN3042" s="319"/>
      <c r="BO3042" s="319"/>
      <c r="BP3042" s="953"/>
      <c r="BQ3042" s="319"/>
      <c r="BR3042" s="319"/>
      <c r="BS3042" s="330"/>
      <c r="BT3042" s="331"/>
      <c r="BU3042" s="920"/>
      <c r="BV3042" s="903"/>
      <c r="BW3042" s="908"/>
      <c r="BX3042" s="908"/>
      <c r="BY3042" s="331"/>
      <c r="BZ3042" s="331"/>
      <c r="CA3042" s="462"/>
      <c r="CB3042" s="319"/>
      <c r="CC3042" s="319"/>
      <c r="CD3042" s="319"/>
      <c r="CE3042" s="319"/>
      <c r="CF3042" s="319"/>
      <c r="CG3042" s="319"/>
      <c r="CH3042" s="318"/>
      <c r="CI3042" s="319"/>
      <c r="CJ3042" s="319"/>
      <c r="CK3042" s="342"/>
      <c r="CL3042" s="333"/>
      <c r="CM3042" s="1079"/>
      <c r="CN3042" s="1005"/>
      <c r="CO3042" s="1005"/>
      <c r="CP3042" s="1005"/>
    </row>
    <row r="3043">
      <c r="A3043" s="1257"/>
      <c r="B3043" s="1113"/>
      <c r="C3043" s="1107"/>
      <c r="D3043" s="103"/>
      <c r="E3043" s="1137"/>
      <c r="F3043" s="112"/>
      <c r="G3043" s="1110"/>
      <c r="H3043" s="1138"/>
      <c r="I3043" s="1138"/>
      <c r="J3043" s="1139"/>
      <c r="K3043" s="1111"/>
      <c r="L3043" s="1112"/>
      <c r="M3043" s="1113"/>
      <c r="N3043" s="110"/>
      <c r="O3043" s="1140"/>
      <c r="P3043" s="1115"/>
      <c r="Q3043" s="1116"/>
      <c r="R3043" s="1141"/>
      <c r="S3043" s="1113"/>
      <c r="T3043" s="1143"/>
      <c r="U3043" s="1108"/>
      <c r="V3043" s="1108"/>
      <c r="W3043" s="1108"/>
      <c r="X3043" s="1108"/>
      <c r="Y3043" s="1108"/>
      <c r="Z3043" s="1114"/>
      <c r="AA3043" s="1114"/>
      <c r="AB3043" s="1114"/>
      <c r="AC3043" s="1117"/>
      <c r="AD3043" s="1115"/>
      <c r="AE3043" s="1115"/>
      <c r="AF3043" s="1115"/>
      <c r="AG3043" s="1115"/>
      <c r="AH3043" s="1115"/>
      <c r="AI3043" s="1115"/>
      <c r="AJ3043" s="1117"/>
      <c r="AK3043" s="1118"/>
      <c r="AL3043" s="1115"/>
      <c r="AM3043" s="1115"/>
      <c r="AN3043" s="1115"/>
      <c r="AO3043" s="1115"/>
      <c r="AP3043" s="1115"/>
      <c r="AQ3043" s="1115"/>
      <c r="AR3043" s="1115"/>
      <c r="AS3043" s="1117"/>
      <c r="AT3043" s="1075"/>
      <c r="AU3043" s="1193"/>
      <c r="AV3043" s="330"/>
      <c r="AW3043" s="331"/>
      <c r="AX3043" s="331"/>
      <c r="AY3043" s="331"/>
      <c r="AZ3043" s="331"/>
      <c r="BA3043" s="331"/>
      <c r="BB3043" s="331"/>
      <c r="BC3043" s="331"/>
      <c r="BD3043" s="331"/>
      <c r="BE3043" s="333"/>
      <c r="BF3043" s="330"/>
      <c r="BG3043" s="333"/>
      <c r="BH3043" s="1119"/>
      <c r="BI3043" s="319"/>
      <c r="BJ3043" s="319"/>
      <c r="BK3043" s="319"/>
      <c r="BL3043" s="319"/>
      <c r="BM3043" s="319"/>
      <c r="BN3043" s="319"/>
      <c r="BO3043" s="319"/>
      <c r="BP3043" s="953"/>
      <c r="BQ3043" s="319"/>
      <c r="BR3043" s="319"/>
      <c r="BS3043" s="330"/>
      <c r="BT3043" s="331"/>
      <c r="BU3043" s="920"/>
      <c r="BV3043" s="903"/>
      <c r="BW3043" s="908"/>
      <c r="BX3043" s="908"/>
      <c r="BY3043" s="331"/>
      <c r="BZ3043" s="331"/>
      <c r="CA3043" s="462"/>
      <c r="CB3043" s="319"/>
      <c r="CC3043" s="319"/>
      <c r="CD3043" s="319"/>
      <c r="CE3043" s="319"/>
      <c r="CF3043" s="319"/>
      <c r="CG3043" s="319"/>
      <c r="CH3043" s="318"/>
      <c r="CI3043" s="319"/>
      <c r="CJ3043" s="319"/>
      <c r="CK3043" s="342"/>
      <c r="CL3043" s="333"/>
      <c r="CM3043" s="1079"/>
      <c r="CN3043" s="1005"/>
      <c r="CO3043" s="1005"/>
      <c r="CP3043" s="1005"/>
    </row>
    <row r="3044">
      <c r="A3044" s="1257"/>
      <c r="B3044" s="1113"/>
      <c r="C3044" s="1107"/>
      <c r="D3044" s="103"/>
      <c r="E3044" s="1137"/>
      <c r="F3044" s="112"/>
      <c r="G3044" s="1110"/>
      <c r="H3044" s="1138"/>
      <c r="I3044" s="1138"/>
      <c r="J3044" s="1139"/>
      <c r="K3044" s="1111"/>
      <c r="L3044" s="1112"/>
      <c r="M3044" s="1113"/>
      <c r="N3044" s="110"/>
      <c r="O3044" s="1140"/>
      <c r="P3044" s="1115"/>
      <c r="Q3044" s="1116"/>
      <c r="R3044" s="1141"/>
      <c r="S3044" s="1113"/>
      <c r="T3044" s="1143"/>
      <c r="U3044" s="1108"/>
      <c r="V3044" s="1108"/>
      <c r="W3044" s="1108"/>
      <c r="X3044" s="1108"/>
      <c r="Y3044" s="1108"/>
      <c r="Z3044" s="1114"/>
      <c r="AA3044" s="1114"/>
      <c r="AB3044" s="1114"/>
      <c r="AC3044" s="1117"/>
      <c r="AD3044" s="1115"/>
      <c r="AE3044" s="1115"/>
      <c r="AF3044" s="1115"/>
      <c r="AG3044" s="1115"/>
      <c r="AH3044" s="1115"/>
      <c r="AI3044" s="1115"/>
      <c r="AJ3044" s="1117"/>
      <c r="AK3044" s="1118"/>
      <c r="AL3044" s="1115"/>
      <c r="AM3044" s="1115"/>
      <c r="AN3044" s="1115"/>
      <c r="AO3044" s="1115"/>
      <c r="AP3044" s="1115"/>
      <c r="AQ3044" s="1115"/>
      <c r="AR3044" s="1115"/>
      <c r="AS3044" s="1117"/>
      <c r="AT3044" s="1075"/>
      <c r="AU3044" s="1193"/>
      <c r="AV3044" s="330"/>
      <c r="AW3044" s="331"/>
      <c r="AX3044" s="331"/>
      <c r="AY3044" s="331"/>
      <c r="AZ3044" s="331"/>
      <c r="BA3044" s="331"/>
      <c r="BB3044" s="331"/>
      <c r="BC3044" s="331"/>
      <c r="BD3044" s="331"/>
      <c r="BE3044" s="333"/>
      <c r="BF3044" s="330"/>
      <c r="BG3044" s="333"/>
      <c r="BH3044" s="1119"/>
      <c r="BI3044" s="319"/>
      <c r="BJ3044" s="319"/>
      <c r="BK3044" s="319"/>
      <c r="BL3044" s="319"/>
      <c r="BM3044" s="319"/>
      <c r="BN3044" s="319"/>
      <c r="BO3044" s="319"/>
      <c r="BP3044" s="953"/>
      <c r="BQ3044" s="319"/>
      <c r="BR3044" s="319"/>
      <c r="BS3044" s="330"/>
      <c r="BT3044" s="331"/>
      <c r="BU3044" s="920"/>
      <c r="BV3044" s="903"/>
      <c r="BW3044" s="908"/>
      <c r="BX3044" s="908"/>
      <c r="BY3044" s="331"/>
      <c r="BZ3044" s="331"/>
      <c r="CA3044" s="462"/>
      <c r="CB3044" s="319"/>
      <c r="CC3044" s="319"/>
      <c r="CD3044" s="319"/>
      <c r="CE3044" s="319"/>
      <c r="CF3044" s="319"/>
      <c r="CG3044" s="319"/>
      <c r="CH3044" s="318"/>
      <c r="CI3044" s="319"/>
      <c r="CJ3044" s="319"/>
      <c r="CK3044" s="342"/>
      <c r="CL3044" s="333"/>
      <c r="CM3044" s="1079"/>
      <c r="CN3044" s="1005"/>
      <c r="CO3044" s="1005"/>
      <c r="CP3044" s="1005"/>
    </row>
    <row r="3045">
      <c r="A3045" s="1257"/>
      <c r="B3045" s="1113"/>
      <c r="C3045" s="1107"/>
      <c r="D3045" s="103"/>
      <c r="E3045" s="1137"/>
      <c r="F3045" s="112"/>
      <c r="G3045" s="1110"/>
      <c r="H3045" s="1138"/>
      <c r="I3045" s="1138"/>
      <c r="J3045" s="1139"/>
      <c r="K3045" s="1111"/>
      <c r="L3045" s="1112"/>
      <c r="M3045" s="1113"/>
      <c r="N3045" s="110"/>
      <c r="O3045" s="1140"/>
      <c r="P3045" s="1115"/>
      <c r="Q3045" s="1116"/>
      <c r="R3045" s="1141"/>
      <c r="S3045" s="1113"/>
      <c r="T3045" s="1143"/>
      <c r="U3045" s="1108"/>
      <c r="V3045" s="1108"/>
      <c r="W3045" s="1108"/>
      <c r="X3045" s="1108"/>
      <c r="Y3045" s="1108"/>
      <c r="Z3045" s="1114"/>
      <c r="AA3045" s="1114"/>
      <c r="AB3045" s="1114"/>
      <c r="AC3045" s="1117"/>
      <c r="AD3045" s="1115"/>
      <c r="AE3045" s="1115"/>
      <c r="AF3045" s="1115"/>
      <c r="AG3045" s="1115"/>
      <c r="AH3045" s="1115"/>
      <c r="AI3045" s="1115"/>
      <c r="AJ3045" s="1117"/>
      <c r="AK3045" s="1118"/>
      <c r="AL3045" s="1115"/>
      <c r="AM3045" s="1115"/>
      <c r="AN3045" s="1115"/>
      <c r="AO3045" s="1115"/>
      <c r="AP3045" s="1115"/>
      <c r="AQ3045" s="1115"/>
      <c r="AR3045" s="1115"/>
      <c r="AS3045" s="1117"/>
      <c r="AT3045" s="1075"/>
      <c r="AU3045" s="1193"/>
      <c r="AV3045" s="330"/>
      <c r="AW3045" s="331"/>
      <c r="AX3045" s="331"/>
      <c r="AY3045" s="331"/>
      <c r="AZ3045" s="331"/>
      <c r="BA3045" s="331"/>
      <c r="BB3045" s="331"/>
      <c r="BC3045" s="331"/>
      <c r="BD3045" s="331"/>
      <c r="BE3045" s="333"/>
      <c r="BF3045" s="330"/>
      <c r="BG3045" s="333"/>
      <c r="BH3045" s="1119"/>
      <c r="BI3045" s="319"/>
      <c r="BJ3045" s="319"/>
      <c r="BK3045" s="319"/>
      <c r="BL3045" s="319"/>
      <c r="BM3045" s="319"/>
      <c r="BN3045" s="319"/>
      <c r="BO3045" s="319"/>
      <c r="BP3045" s="953"/>
      <c r="BQ3045" s="319"/>
      <c r="BR3045" s="319"/>
      <c r="BS3045" s="330"/>
      <c r="BT3045" s="331"/>
      <c r="BU3045" s="920"/>
      <c r="BV3045" s="903"/>
      <c r="BW3045" s="908"/>
      <c r="BX3045" s="908"/>
      <c r="BY3045" s="331"/>
      <c r="BZ3045" s="331"/>
      <c r="CA3045" s="462"/>
      <c r="CB3045" s="319"/>
      <c r="CC3045" s="319"/>
      <c r="CD3045" s="319"/>
      <c r="CE3045" s="319"/>
      <c r="CF3045" s="319"/>
      <c r="CG3045" s="319"/>
      <c r="CH3045" s="318"/>
      <c r="CI3045" s="319"/>
      <c r="CJ3045" s="319"/>
      <c r="CK3045" s="342"/>
      <c r="CL3045" s="333"/>
      <c r="CM3045" s="1079"/>
      <c r="CN3045" s="1005"/>
      <c r="CO3045" s="1005"/>
      <c r="CP3045" s="1005"/>
    </row>
    <row r="3046">
      <c r="A3046" s="1257"/>
      <c r="B3046" s="1113"/>
      <c r="C3046" s="1107"/>
      <c r="D3046" s="103"/>
      <c r="E3046" s="1137"/>
      <c r="F3046" s="112"/>
      <c r="G3046" s="1110"/>
      <c r="H3046" s="1138"/>
      <c r="I3046" s="1138"/>
      <c r="J3046" s="1139"/>
      <c r="K3046" s="1111"/>
      <c r="L3046" s="1112"/>
      <c r="M3046" s="1113"/>
      <c r="N3046" s="110"/>
      <c r="O3046" s="1140"/>
      <c r="P3046" s="1115"/>
      <c r="Q3046" s="1116"/>
      <c r="R3046" s="1141"/>
      <c r="S3046" s="1113"/>
      <c r="T3046" s="1143"/>
      <c r="U3046" s="1108"/>
      <c r="V3046" s="1108"/>
      <c r="W3046" s="1108"/>
      <c r="X3046" s="1108"/>
      <c r="Y3046" s="1108"/>
      <c r="Z3046" s="1114"/>
      <c r="AA3046" s="1114"/>
      <c r="AB3046" s="1114"/>
      <c r="AC3046" s="1117"/>
      <c r="AD3046" s="1115"/>
      <c r="AE3046" s="1115"/>
      <c r="AF3046" s="1115"/>
      <c r="AG3046" s="1115"/>
      <c r="AH3046" s="1115"/>
      <c r="AI3046" s="1115"/>
      <c r="AJ3046" s="1117"/>
      <c r="AK3046" s="1118"/>
      <c r="AL3046" s="1115"/>
      <c r="AM3046" s="1115"/>
      <c r="AN3046" s="1115"/>
      <c r="AO3046" s="1115"/>
      <c r="AP3046" s="1115"/>
      <c r="AQ3046" s="1115"/>
      <c r="AR3046" s="1115"/>
      <c r="AS3046" s="1117"/>
      <c r="AT3046" s="1075"/>
      <c r="AU3046" s="1193"/>
      <c r="AV3046" s="330"/>
      <c r="AW3046" s="331"/>
      <c r="AX3046" s="331"/>
      <c r="AY3046" s="331"/>
      <c r="AZ3046" s="331"/>
      <c r="BA3046" s="331"/>
      <c r="BB3046" s="331"/>
      <c r="BC3046" s="331"/>
      <c r="BD3046" s="331"/>
      <c r="BE3046" s="333"/>
      <c r="BF3046" s="330"/>
      <c r="BG3046" s="333"/>
      <c r="BH3046" s="1119"/>
      <c r="BI3046" s="319"/>
      <c r="BJ3046" s="319"/>
      <c r="BK3046" s="319"/>
      <c r="BL3046" s="319"/>
      <c r="BM3046" s="319"/>
      <c r="BN3046" s="319"/>
      <c r="BO3046" s="319"/>
      <c r="BP3046" s="953"/>
      <c r="BQ3046" s="319"/>
      <c r="BR3046" s="319"/>
      <c r="BS3046" s="330"/>
      <c r="BT3046" s="331"/>
      <c r="BU3046" s="920"/>
      <c r="BV3046" s="903"/>
      <c r="BW3046" s="908"/>
      <c r="BX3046" s="908"/>
      <c r="BY3046" s="331"/>
      <c r="BZ3046" s="331"/>
      <c r="CA3046" s="462"/>
      <c r="CB3046" s="319"/>
      <c r="CC3046" s="319"/>
      <c r="CD3046" s="319"/>
      <c r="CE3046" s="319"/>
      <c r="CF3046" s="319"/>
      <c r="CG3046" s="319"/>
      <c r="CH3046" s="318"/>
      <c r="CI3046" s="319"/>
      <c r="CJ3046" s="319"/>
      <c r="CK3046" s="342"/>
      <c r="CL3046" s="333"/>
      <c r="CM3046" s="1079"/>
      <c r="CN3046" s="1005"/>
      <c r="CO3046" s="1005"/>
      <c r="CP3046" s="1005"/>
    </row>
    <row r="3047">
      <c r="A3047" s="1257"/>
      <c r="B3047" s="1113"/>
      <c r="C3047" s="1107"/>
      <c r="D3047" s="103"/>
      <c r="E3047" s="1137"/>
      <c r="F3047" s="112"/>
      <c r="G3047" s="1110"/>
      <c r="H3047" s="1138"/>
      <c r="I3047" s="1138"/>
      <c r="J3047" s="1139"/>
      <c r="K3047" s="1111"/>
      <c r="L3047" s="1112"/>
      <c r="M3047" s="1113"/>
      <c r="N3047" s="110"/>
      <c r="O3047" s="1140"/>
      <c r="P3047" s="1115"/>
      <c r="Q3047" s="1116"/>
      <c r="R3047" s="1141"/>
      <c r="S3047" s="1113"/>
      <c r="T3047" s="1143"/>
      <c r="U3047" s="1108"/>
      <c r="V3047" s="1108"/>
      <c r="W3047" s="1108"/>
      <c r="X3047" s="1108"/>
      <c r="Y3047" s="1108"/>
      <c r="Z3047" s="1114"/>
      <c r="AA3047" s="1114"/>
      <c r="AB3047" s="1114"/>
      <c r="AC3047" s="1117"/>
      <c r="AD3047" s="1115"/>
      <c r="AE3047" s="1115"/>
      <c r="AF3047" s="1115"/>
      <c r="AG3047" s="1115"/>
      <c r="AH3047" s="1115"/>
      <c r="AI3047" s="1115"/>
      <c r="AJ3047" s="1117"/>
      <c r="AK3047" s="1118"/>
      <c r="AL3047" s="1115"/>
      <c r="AM3047" s="1115"/>
      <c r="AN3047" s="1115"/>
      <c r="AO3047" s="1115"/>
      <c r="AP3047" s="1115"/>
      <c r="AQ3047" s="1115"/>
      <c r="AR3047" s="1115"/>
      <c r="AS3047" s="1117"/>
      <c r="AT3047" s="1075"/>
      <c r="AU3047" s="1193"/>
      <c r="AV3047" s="330"/>
      <c r="AW3047" s="331"/>
      <c r="AX3047" s="331"/>
      <c r="AY3047" s="331"/>
      <c r="AZ3047" s="331"/>
      <c r="BA3047" s="331"/>
      <c r="BB3047" s="331"/>
      <c r="BC3047" s="331"/>
      <c r="BD3047" s="331"/>
      <c r="BE3047" s="333"/>
      <c r="BF3047" s="330"/>
      <c r="BG3047" s="333"/>
      <c r="BH3047" s="1119"/>
      <c r="BI3047" s="319"/>
      <c r="BJ3047" s="319"/>
      <c r="BK3047" s="319"/>
      <c r="BL3047" s="319"/>
      <c r="BM3047" s="319"/>
      <c r="BN3047" s="319"/>
      <c r="BO3047" s="319"/>
      <c r="BP3047" s="953"/>
      <c r="BQ3047" s="319"/>
      <c r="BR3047" s="319"/>
      <c r="BS3047" s="330"/>
      <c r="BT3047" s="331"/>
      <c r="BU3047" s="920"/>
      <c r="BV3047" s="903"/>
      <c r="BW3047" s="908"/>
      <c r="BX3047" s="908"/>
      <c r="BY3047" s="331"/>
      <c r="BZ3047" s="331"/>
      <c r="CA3047" s="462"/>
      <c r="CB3047" s="319"/>
      <c r="CC3047" s="319"/>
      <c r="CD3047" s="319"/>
      <c r="CE3047" s="319"/>
      <c r="CF3047" s="319"/>
      <c r="CG3047" s="319"/>
      <c r="CH3047" s="318"/>
      <c r="CI3047" s="319"/>
      <c r="CJ3047" s="319"/>
      <c r="CK3047" s="342"/>
      <c r="CL3047" s="333"/>
      <c r="CM3047" s="1079"/>
      <c r="CN3047" s="1005"/>
      <c r="CO3047" s="1005"/>
      <c r="CP3047" s="1005"/>
    </row>
    <row r="3048">
      <c r="A3048" s="1257"/>
      <c r="B3048" s="1113"/>
      <c r="C3048" s="1107"/>
      <c r="D3048" s="103"/>
      <c r="E3048" s="1137"/>
      <c r="F3048" s="112"/>
      <c r="G3048" s="1110"/>
      <c r="H3048" s="1138"/>
      <c r="I3048" s="1138"/>
      <c r="J3048" s="1139"/>
      <c r="K3048" s="1111"/>
      <c r="L3048" s="1112"/>
      <c r="M3048" s="1113"/>
      <c r="N3048" s="110"/>
      <c r="O3048" s="1140"/>
      <c r="P3048" s="1115"/>
      <c r="Q3048" s="1116"/>
      <c r="R3048" s="1141"/>
      <c r="S3048" s="1113"/>
      <c r="T3048" s="1143"/>
      <c r="U3048" s="1108"/>
      <c r="V3048" s="1108"/>
      <c r="W3048" s="1108"/>
      <c r="X3048" s="1108"/>
      <c r="Y3048" s="1108"/>
      <c r="Z3048" s="1114"/>
      <c r="AA3048" s="1114"/>
      <c r="AB3048" s="1114"/>
      <c r="AC3048" s="1117"/>
      <c r="AD3048" s="1115"/>
      <c r="AE3048" s="1115"/>
      <c r="AF3048" s="1115"/>
      <c r="AG3048" s="1115"/>
      <c r="AH3048" s="1115"/>
      <c r="AI3048" s="1115"/>
      <c r="AJ3048" s="1117"/>
      <c r="AK3048" s="1118"/>
      <c r="AL3048" s="1115"/>
      <c r="AM3048" s="1115"/>
      <c r="AN3048" s="1115"/>
      <c r="AO3048" s="1115"/>
      <c r="AP3048" s="1115"/>
      <c r="AQ3048" s="1115"/>
      <c r="AR3048" s="1115"/>
      <c r="AS3048" s="1117"/>
      <c r="AT3048" s="1075"/>
      <c r="AU3048" s="1193"/>
      <c r="AV3048" s="330"/>
      <c r="AW3048" s="331"/>
      <c r="AX3048" s="331"/>
      <c r="AY3048" s="331"/>
      <c r="AZ3048" s="331"/>
      <c r="BA3048" s="331"/>
      <c r="BB3048" s="331"/>
      <c r="BC3048" s="331"/>
      <c r="BD3048" s="331"/>
      <c r="BE3048" s="333"/>
      <c r="BF3048" s="330"/>
      <c r="BG3048" s="333"/>
      <c r="BH3048" s="1119"/>
      <c r="BI3048" s="319"/>
      <c r="BJ3048" s="319"/>
      <c r="BK3048" s="319"/>
      <c r="BL3048" s="319"/>
      <c r="BM3048" s="319"/>
      <c r="BN3048" s="319"/>
      <c r="BO3048" s="319"/>
      <c r="BP3048" s="953"/>
      <c r="BQ3048" s="319"/>
      <c r="BR3048" s="319"/>
      <c r="BS3048" s="330"/>
      <c r="BT3048" s="331"/>
      <c r="BU3048" s="920"/>
      <c r="BV3048" s="903"/>
      <c r="BW3048" s="908"/>
      <c r="BX3048" s="908"/>
      <c r="BY3048" s="331"/>
      <c r="BZ3048" s="331"/>
      <c r="CA3048" s="462"/>
      <c r="CB3048" s="319"/>
      <c r="CC3048" s="319"/>
      <c r="CD3048" s="319"/>
      <c r="CE3048" s="319"/>
      <c r="CF3048" s="319"/>
      <c r="CG3048" s="319"/>
      <c r="CH3048" s="318"/>
      <c r="CI3048" s="319"/>
      <c r="CJ3048" s="319"/>
      <c r="CK3048" s="342"/>
      <c r="CL3048" s="333"/>
      <c r="CM3048" s="1079"/>
      <c r="CN3048" s="1005"/>
      <c r="CO3048" s="1005"/>
      <c r="CP3048" s="1005"/>
    </row>
    <row r="3049">
      <c r="A3049" s="1257"/>
      <c r="B3049" s="1113"/>
      <c r="C3049" s="1107"/>
      <c r="D3049" s="103"/>
      <c r="E3049" s="1137"/>
      <c r="F3049" s="112"/>
      <c r="G3049" s="1110"/>
      <c r="H3049" s="1138"/>
      <c r="I3049" s="1138"/>
      <c r="J3049" s="1139"/>
      <c r="K3049" s="1111"/>
      <c r="L3049" s="1112"/>
      <c r="M3049" s="1113"/>
      <c r="N3049" s="110"/>
      <c r="O3049" s="1140"/>
      <c r="P3049" s="1115"/>
      <c r="Q3049" s="1116"/>
      <c r="R3049" s="1141"/>
      <c r="S3049" s="1113"/>
      <c r="T3049" s="1143"/>
      <c r="U3049" s="1108"/>
      <c r="V3049" s="1108"/>
      <c r="W3049" s="1108"/>
      <c r="X3049" s="1108"/>
      <c r="Y3049" s="1108"/>
      <c r="Z3049" s="1114"/>
      <c r="AA3049" s="1114"/>
      <c r="AB3049" s="1114"/>
      <c r="AC3049" s="1117"/>
      <c r="AD3049" s="1115"/>
      <c r="AE3049" s="1115"/>
      <c r="AF3049" s="1115"/>
      <c r="AG3049" s="1115"/>
      <c r="AH3049" s="1115"/>
      <c r="AI3049" s="1115"/>
      <c r="AJ3049" s="1117"/>
      <c r="AK3049" s="1118"/>
      <c r="AL3049" s="1115"/>
      <c r="AM3049" s="1115"/>
      <c r="AN3049" s="1115"/>
      <c r="AO3049" s="1115"/>
      <c r="AP3049" s="1115"/>
      <c r="AQ3049" s="1115"/>
      <c r="AR3049" s="1115"/>
      <c r="AS3049" s="1117"/>
      <c r="AT3049" s="1075"/>
      <c r="AU3049" s="1193"/>
      <c r="AV3049" s="330"/>
      <c r="AW3049" s="331"/>
      <c r="AX3049" s="331"/>
      <c r="AY3049" s="331"/>
      <c r="AZ3049" s="331"/>
      <c r="BA3049" s="331"/>
      <c r="BB3049" s="331"/>
      <c r="BC3049" s="331"/>
      <c r="BD3049" s="331"/>
      <c r="BE3049" s="333"/>
      <c r="BF3049" s="330"/>
      <c r="BG3049" s="333"/>
      <c r="BH3049" s="1119"/>
      <c r="BI3049" s="319"/>
      <c r="BJ3049" s="319"/>
      <c r="BK3049" s="319"/>
      <c r="BL3049" s="319"/>
      <c r="BM3049" s="319"/>
      <c r="BN3049" s="319"/>
      <c r="BO3049" s="319"/>
      <c r="BP3049" s="953"/>
      <c r="BQ3049" s="319"/>
      <c r="BR3049" s="319"/>
      <c r="BS3049" s="330"/>
      <c r="BT3049" s="331"/>
      <c r="BU3049" s="920"/>
      <c r="BV3049" s="903"/>
      <c r="BW3049" s="908"/>
      <c r="BX3049" s="908"/>
      <c r="BY3049" s="331"/>
      <c r="BZ3049" s="331"/>
      <c r="CA3049" s="462"/>
      <c r="CB3049" s="319"/>
      <c r="CC3049" s="319"/>
      <c r="CD3049" s="319"/>
      <c r="CE3049" s="319"/>
      <c r="CF3049" s="319"/>
      <c r="CG3049" s="319"/>
      <c r="CH3049" s="318"/>
      <c r="CI3049" s="319"/>
      <c r="CJ3049" s="319"/>
      <c r="CK3049" s="342"/>
      <c r="CL3049" s="333"/>
      <c r="CM3049" s="1079"/>
      <c r="CN3049" s="1005"/>
      <c r="CO3049" s="1005"/>
      <c r="CP3049" s="1005"/>
    </row>
    <row r="3050">
      <c r="A3050" s="1257"/>
      <c r="B3050" s="1113"/>
      <c r="C3050" s="1107"/>
      <c r="D3050" s="103"/>
      <c r="E3050" s="1137"/>
      <c r="F3050" s="112"/>
      <c r="G3050" s="1110"/>
      <c r="H3050" s="1138"/>
      <c r="I3050" s="1138"/>
      <c r="J3050" s="1139"/>
      <c r="K3050" s="1111"/>
      <c r="L3050" s="1112"/>
      <c r="M3050" s="1113"/>
      <c r="N3050" s="110"/>
      <c r="O3050" s="1140"/>
      <c r="P3050" s="1115"/>
      <c r="Q3050" s="1116"/>
      <c r="R3050" s="1141"/>
      <c r="S3050" s="1113"/>
      <c r="T3050" s="1143"/>
      <c r="U3050" s="1108"/>
      <c r="V3050" s="1108"/>
      <c r="W3050" s="1108"/>
      <c r="X3050" s="1108"/>
      <c r="Y3050" s="1108"/>
      <c r="Z3050" s="1114"/>
      <c r="AA3050" s="1114"/>
      <c r="AB3050" s="1114"/>
      <c r="AC3050" s="1117"/>
      <c r="AD3050" s="1115"/>
      <c r="AE3050" s="1115"/>
      <c r="AF3050" s="1115"/>
      <c r="AG3050" s="1115"/>
      <c r="AH3050" s="1115"/>
      <c r="AI3050" s="1115"/>
      <c r="AJ3050" s="1117"/>
      <c r="AK3050" s="1118"/>
      <c r="AL3050" s="1115"/>
      <c r="AM3050" s="1115"/>
      <c r="AN3050" s="1115"/>
      <c r="AO3050" s="1115"/>
      <c r="AP3050" s="1115"/>
      <c r="AQ3050" s="1115"/>
      <c r="AR3050" s="1115"/>
      <c r="AS3050" s="1117"/>
      <c r="AT3050" s="1075"/>
      <c r="AU3050" s="1193"/>
      <c r="AV3050" s="330"/>
      <c r="AW3050" s="331"/>
      <c r="AX3050" s="331"/>
      <c r="AY3050" s="331"/>
      <c r="AZ3050" s="331"/>
      <c r="BA3050" s="331"/>
      <c r="BB3050" s="331"/>
      <c r="BC3050" s="331"/>
      <c r="BD3050" s="331"/>
      <c r="BE3050" s="333"/>
      <c r="BF3050" s="330"/>
      <c r="BG3050" s="333"/>
      <c r="BH3050" s="1119"/>
      <c r="BI3050" s="319"/>
      <c r="BJ3050" s="319"/>
      <c r="BK3050" s="319"/>
      <c r="BL3050" s="319"/>
      <c r="BM3050" s="319"/>
      <c r="BN3050" s="319"/>
      <c r="BO3050" s="319"/>
      <c r="BP3050" s="953"/>
      <c r="BQ3050" s="319"/>
      <c r="BR3050" s="319"/>
      <c r="BS3050" s="330"/>
      <c r="BT3050" s="331"/>
      <c r="BU3050" s="920"/>
      <c r="BV3050" s="903"/>
      <c r="BW3050" s="908"/>
      <c r="BX3050" s="908"/>
      <c r="BY3050" s="331"/>
      <c r="BZ3050" s="331"/>
      <c r="CA3050" s="462"/>
      <c r="CB3050" s="319"/>
      <c r="CC3050" s="319"/>
      <c r="CD3050" s="319"/>
      <c r="CE3050" s="319"/>
      <c r="CF3050" s="319"/>
      <c r="CG3050" s="319"/>
      <c r="CH3050" s="318"/>
      <c r="CI3050" s="319"/>
      <c r="CJ3050" s="319"/>
      <c r="CK3050" s="342"/>
      <c r="CL3050" s="333"/>
      <c r="CM3050" s="1079"/>
      <c r="CN3050" s="1005"/>
      <c r="CO3050" s="1005"/>
      <c r="CP3050" s="1005"/>
    </row>
    <row r="3051">
      <c r="A3051" s="1257"/>
      <c r="B3051" s="1113"/>
      <c r="C3051" s="1107"/>
      <c r="D3051" s="103"/>
      <c r="E3051" s="1137"/>
      <c r="F3051" s="112"/>
      <c r="G3051" s="1110"/>
      <c r="H3051" s="1138"/>
      <c r="I3051" s="1138"/>
      <c r="J3051" s="1139"/>
      <c r="K3051" s="1111"/>
      <c r="L3051" s="1112"/>
      <c r="M3051" s="1113"/>
      <c r="N3051" s="110"/>
      <c r="O3051" s="1140"/>
      <c r="P3051" s="1115"/>
      <c r="Q3051" s="1116"/>
      <c r="R3051" s="1141"/>
      <c r="S3051" s="1113"/>
      <c r="T3051" s="1143"/>
      <c r="U3051" s="1108"/>
      <c r="V3051" s="1108"/>
      <c r="W3051" s="1108"/>
      <c r="X3051" s="1108"/>
      <c r="Y3051" s="1108"/>
      <c r="Z3051" s="1114"/>
      <c r="AA3051" s="1114"/>
      <c r="AB3051" s="1114"/>
      <c r="AC3051" s="1117"/>
      <c r="AD3051" s="1115"/>
      <c r="AE3051" s="1115"/>
      <c r="AF3051" s="1115"/>
      <c r="AG3051" s="1115"/>
      <c r="AH3051" s="1115"/>
      <c r="AI3051" s="1115"/>
      <c r="AJ3051" s="1117"/>
      <c r="AK3051" s="1118"/>
      <c r="AL3051" s="1115"/>
      <c r="AM3051" s="1115"/>
      <c r="AN3051" s="1115"/>
      <c r="AO3051" s="1115"/>
      <c r="AP3051" s="1115"/>
      <c r="AQ3051" s="1115"/>
      <c r="AR3051" s="1115"/>
      <c r="AS3051" s="1117"/>
      <c r="AT3051" s="1075"/>
      <c r="AU3051" s="1193"/>
      <c r="AV3051" s="330"/>
      <c r="AW3051" s="331"/>
      <c r="AX3051" s="331"/>
      <c r="AY3051" s="331"/>
      <c r="AZ3051" s="331"/>
      <c r="BA3051" s="331"/>
      <c r="BB3051" s="331"/>
      <c r="BC3051" s="331"/>
      <c r="BD3051" s="331"/>
      <c r="BE3051" s="333"/>
      <c r="BF3051" s="330"/>
      <c r="BG3051" s="333"/>
      <c r="BH3051" s="1119"/>
      <c r="BI3051" s="319"/>
      <c r="BJ3051" s="319"/>
      <c r="BK3051" s="319"/>
      <c r="BL3051" s="319"/>
      <c r="BM3051" s="319"/>
      <c r="BN3051" s="319"/>
      <c r="BO3051" s="319"/>
      <c r="BP3051" s="953"/>
      <c r="BQ3051" s="319"/>
      <c r="BR3051" s="319"/>
      <c r="BS3051" s="330"/>
      <c r="BT3051" s="331"/>
      <c r="BU3051" s="920"/>
      <c r="BV3051" s="903"/>
      <c r="BW3051" s="908"/>
      <c r="BX3051" s="908"/>
      <c r="BY3051" s="331"/>
      <c r="BZ3051" s="331"/>
      <c r="CA3051" s="462"/>
      <c r="CB3051" s="319"/>
      <c r="CC3051" s="319"/>
      <c r="CD3051" s="319"/>
      <c r="CE3051" s="319"/>
      <c r="CF3051" s="319"/>
      <c r="CG3051" s="319"/>
      <c r="CH3051" s="318"/>
      <c r="CI3051" s="319"/>
      <c r="CJ3051" s="319"/>
      <c r="CK3051" s="342"/>
      <c r="CL3051" s="333"/>
      <c r="CM3051" s="1079"/>
      <c r="CN3051" s="1005"/>
      <c r="CO3051" s="1005"/>
      <c r="CP3051" s="1005"/>
    </row>
    <row r="3052">
      <c r="A3052" s="1257"/>
      <c r="B3052" s="1113"/>
      <c r="C3052" s="1107"/>
      <c r="D3052" s="103"/>
      <c r="E3052" s="1137"/>
      <c r="F3052" s="112"/>
      <c r="G3052" s="1110"/>
      <c r="H3052" s="1138"/>
      <c r="I3052" s="1138"/>
      <c r="J3052" s="1139"/>
      <c r="K3052" s="1111"/>
      <c r="L3052" s="1112"/>
      <c r="M3052" s="1113"/>
      <c r="N3052" s="110"/>
      <c r="O3052" s="1140"/>
      <c r="P3052" s="1115"/>
      <c r="Q3052" s="1116"/>
      <c r="R3052" s="1141"/>
      <c r="S3052" s="1113"/>
      <c r="T3052" s="1143"/>
      <c r="U3052" s="1108"/>
      <c r="V3052" s="1108"/>
      <c r="W3052" s="1108"/>
      <c r="X3052" s="1108"/>
      <c r="Y3052" s="1108"/>
      <c r="Z3052" s="1114"/>
      <c r="AA3052" s="1114"/>
      <c r="AB3052" s="1114"/>
      <c r="AC3052" s="1117"/>
      <c r="AD3052" s="1115"/>
      <c r="AE3052" s="1115"/>
      <c r="AF3052" s="1115"/>
      <c r="AG3052" s="1115"/>
      <c r="AH3052" s="1115"/>
      <c r="AI3052" s="1115"/>
      <c r="AJ3052" s="1117"/>
      <c r="AK3052" s="1118"/>
      <c r="AL3052" s="1115"/>
      <c r="AM3052" s="1115"/>
      <c r="AN3052" s="1115"/>
      <c r="AO3052" s="1115"/>
      <c r="AP3052" s="1115"/>
      <c r="AQ3052" s="1115"/>
      <c r="AR3052" s="1115"/>
      <c r="AS3052" s="1117"/>
      <c r="AT3052" s="1075"/>
      <c r="AU3052" s="1193"/>
      <c r="AV3052" s="330"/>
      <c r="AW3052" s="331"/>
      <c r="AX3052" s="331"/>
      <c r="AY3052" s="331"/>
      <c r="AZ3052" s="331"/>
      <c r="BA3052" s="331"/>
      <c r="BB3052" s="331"/>
      <c r="BC3052" s="331"/>
      <c r="BD3052" s="331"/>
      <c r="BE3052" s="333"/>
      <c r="BF3052" s="330"/>
      <c r="BG3052" s="333"/>
      <c r="BH3052" s="1119"/>
      <c r="BI3052" s="319"/>
      <c r="BJ3052" s="319"/>
      <c r="BK3052" s="319"/>
      <c r="BL3052" s="319"/>
      <c r="BM3052" s="319"/>
      <c r="BN3052" s="319"/>
      <c r="BO3052" s="319"/>
      <c r="BP3052" s="953"/>
      <c r="BQ3052" s="319"/>
      <c r="BR3052" s="319"/>
      <c r="BS3052" s="330"/>
      <c r="BT3052" s="331"/>
      <c r="BU3052" s="920"/>
      <c r="BV3052" s="903"/>
      <c r="BW3052" s="908"/>
      <c r="BX3052" s="908"/>
      <c r="BY3052" s="331"/>
      <c r="BZ3052" s="331"/>
      <c r="CA3052" s="462"/>
      <c r="CB3052" s="319"/>
      <c r="CC3052" s="319"/>
      <c r="CD3052" s="319"/>
      <c r="CE3052" s="319"/>
      <c r="CF3052" s="319"/>
      <c r="CG3052" s="319"/>
      <c r="CH3052" s="318"/>
      <c r="CI3052" s="319"/>
      <c r="CJ3052" s="319"/>
      <c r="CK3052" s="342"/>
      <c r="CL3052" s="333"/>
      <c r="CM3052" s="1079"/>
      <c r="CN3052" s="1005"/>
      <c r="CO3052" s="1005"/>
      <c r="CP3052" s="1005"/>
    </row>
    <row r="3053">
      <c r="A3053" s="1257"/>
      <c r="B3053" s="1113"/>
      <c r="C3053" s="1107"/>
      <c r="D3053" s="103"/>
      <c r="E3053" s="1137"/>
      <c r="F3053" s="112"/>
      <c r="G3053" s="1110"/>
      <c r="H3053" s="1138"/>
      <c r="I3053" s="1138"/>
      <c r="J3053" s="1139"/>
      <c r="K3053" s="1111"/>
      <c r="L3053" s="1112"/>
      <c r="M3053" s="1113"/>
      <c r="N3053" s="110"/>
      <c r="O3053" s="1140"/>
      <c r="P3053" s="1115"/>
      <c r="Q3053" s="1116"/>
      <c r="R3053" s="1141"/>
      <c r="S3053" s="1113"/>
      <c r="T3053" s="1143"/>
      <c r="U3053" s="1108"/>
      <c r="V3053" s="1108"/>
      <c r="W3053" s="1108"/>
      <c r="X3053" s="1108"/>
      <c r="Y3053" s="1108"/>
      <c r="Z3053" s="1114"/>
      <c r="AA3053" s="1114"/>
      <c r="AB3053" s="1114"/>
      <c r="AC3053" s="1117"/>
      <c r="AD3053" s="1115"/>
      <c r="AE3053" s="1115"/>
      <c r="AF3053" s="1115"/>
      <c r="AG3053" s="1115"/>
      <c r="AH3053" s="1115"/>
      <c r="AI3053" s="1115"/>
      <c r="AJ3053" s="1117"/>
      <c r="AK3053" s="1118"/>
      <c r="AL3053" s="1115"/>
      <c r="AM3053" s="1115"/>
      <c r="AN3053" s="1115"/>
      <c r="AO3053" s="1115"/>
      <c r="AP3053" s="1115"/>
      <c r="AQ3053" s="1115"/>
      <c r="AR3053" s="1115"/>
      <c r="AS3053" s="1117"/>
      <c r="AT3053" s="1075"/>
      <c r="AU3053" s="1193"/>
      <c r="AV3053" s="330"/>
      <c r="AW3053" s="331"/>
      <c r="AX3053" s="331"/>
      <c r="AY3053" s="331"/>
      <c r="AZ3053" s="331"/>
      <c r="BA3053" s="331"/>
      <c r="BB3053" s="331"/>
      <c r="BC3053" s="331"/>
      <c r="BD3053" s="331"/>
      <c r="BE3053" s="333"/>
      <c r="BF3053" s="330"/>
      <c r="BG3053" s="333"/>
      <c r="BH3053" s="1119"/>
      <c r="BI3053" s="319"/>
      <c r="BJ3053" s="319"/>
      <c r="BK3053" s="319"/>
      <c r="BL3053" s="319"/>
      <c r="BM3053" s="319"/>
      <c r="BN3053" s="319"/>
      <c r="BO3053" s="319"/>
      <c r="BP3053" s="953"/>
      <c r="BQ3053" s="319"/>
      <c r="BR3053" s="319"/>
      <c r="BS3053" s="330"/>
      <c r="BT3053" s="331"/>
      <c r="BU3053" s="920"/>
      <c r="BV3053" s="903"/>
      <c r="BW3053" s="908"/>
      <c r="BX3053" s="908"/>
      <c r="BY3053" s="331"/>
      <c r="BZ3053" s="331"/>
      <c r="CA3053" s="462"/>
      <c r="CB3053" s="319"/>
      <c r="CC3053" s="319"/>
      <c r="CD3053" s="319"/>
      <c r="CE3053" s="319"/>
      <c r="CF3053" s="319"/>
      <c r="CG3053" s="319"/>
      <c r="CH3053" s="318"/>
      <c r="CI3053" s="319"/>
      <c r="CJ3053" s="319"/>
      <c r="CK3053" s="342"/>
      <c r="CL3053" s="333"/>
      <c r="CM3053" s="1079"/>
      <c r="CN3053" s="1005"/>
      <c r="CO3053" s="1005"/>
      <c r="CP3053" s="1005"/>
    </row>
    <row r="3054">
      <c r="A3054" s="1257"/>
      <c r="B3054" s="1113"/>
      <c r="C3054" s="1107"/>
      <c r="D3054" s="103"/>
      <c r="E3054" s="1137"/>
      <c r="F3054" s="112"/>
      <c r="G3054" s="1110"/>
      <c r="H3054" s="1138"/>
      <c r="I3054" s="1138"/>
      <c r="J3054" s="1139"/>
      <c r="K3054" s="1111"/>
      <c r="L3054" s="1112"/>
      <c r="M3054" s="1113"/>
      <c r="N3054" s="110"/>
      <c r="O3054" s="1140"/>
      <c r="P3054" s="1115"/>
      <c r="Q3054" s="1116"/>
      <c r="R3054" s="1141"/>
      <c r="S3054" s="1113"/>
      <c r="T3054" s="1143"/>
      <c r="U3054" s="1108"/>
      <c r="V3054" s="1108"/>
      <c r="W3054" s="1108"/>
      <c r="X3054" s="1108"/>
      <c r="Y3054" s="1108"/>
      <c r="Z3054" s="1114"/>
      <c r="AA3054" s="1114"/>
      <c r="AB3054" s="1114"/>
      <c r="AC3054" s="1117"/>
      <c r="AD3054" s="1115"/>
      <c r="AE3054" s="1115"/>
      <c r="AF3054" s="1115"/>
      <c r="AG3054" s="1115"/>
      <c r="AH3054" s="1115"/>
      <c r="AI3054" s="1115"/>
      <c r="AJ3054" s="1117"/>
      <c r="AK3054" s="1118"/>
      <c r="AL3054" s="1115"/>
      <c r="AM3054" s="1115"/>
      <c r="AN3054" s="1115"/>
      <c r="AO3054" s="1115"/>
      <c r="AP3054" s="1115"/>
      <c r="AQ3054" s="1115"/>
      <c r="AR3054" s="1115"/>
      <c r="AS3054" s="1117"/>
      <c r="AT3054" s="1075"/>
      <c r="AU3054" s="1193"/>
      <c r="AV3054" s="330"/>
      <c r="AW3054" s="331"/>
      <c r="AX3054" s="331"/>
      <c r="AY3054" s="331"/>
      <c r="AZ3054" s="331"/>
      <c r="BA3054" s="331"/>
      <c r="BB3054" s="331"/>
      <c r="BC3054" s="331"/>
      <c r="BD3054" s="331"/>
      <c r="BE3054" s="333"/>
      <c r="BF3054" s="330"/>
      <c r="BG3054" s="333"/>
      <c r="BH3054" s="1119"/>
      <c r="BI3054" s="319"/>
      <c r="BJ3054" s="319"/>
      <c r="BK3054" s="319"/>
      <c r="BL3054" s="319"/>
      <c r="BM3054" s="319"/>
      <c r="BN3054" s="319"/>
      <c r="BO3054" s="319"/>
      <c r="BP3054" s="953"/>
      <c r="BQ3054" s="319"/>
      <c r="BR3054" s="319"/>
      <c r="BS3054" s="330"/>
      <c r="BT3054" s="331"/>
      <c r="BU3054" s="920"/>
      <c r="BV3054" s="903"/>
      <c r="BW3054" s="908"/>
      <c r="BX3054" s="908"/>
      <c r="BY3054" s="331"/>
      <c r="BZ3054" s="331"/>
      <c r="CA3054" s="462"/>
      <c r="CB3054" s="319"/>
      <c r="CC3054" s="319"/>
      <c r="CD3054" s="319"/>
      <c r="CE3054" s="319"/>
      <c r="CF3054" s="319"/>
      <c r="CG3054" s="319"/>
      <c r="CH3054" s="318"/>
      <c r="CI3054" s="319"/>
      <c r="CJ3054" s="319"/>
      <c r="CK3054" s="342"/>
      <c r="CL3054" s="333"/>
      <c r="CM3054" s="1079"/>
      <c r="CN3054" s="1005"/>
      <c r="CO3054" s="1005"/>
      <c r="CP3054" s="1005"/>
    </row>
    <row r="3055">
      <c r="A3055" s="1257"/>
      <c r="B3055" s="1113"/>
      <c r="C3055" s="1107"/>
      <c r="D3055" s="103"/>
      <c r="E3055" s="1137"/>
      <c r="F3055" s="112"/>
      <c r="G3055" s="1110"/>
      <c r="H3055" s="1138"/>
      <c r="I3055" s="1138"/>
      <c r="J3055" s="1139"/>
      <c r="K3055" s="1111"/>
      <c r="L3055" s="1112"/>
      <c r="M3055" s="1113"/>
      <c r="N3055" s="110"/>
      <c r="O3055" s="1140"/>
      <c r="P3055" s="1115"/>
      <c r="Q3055" s="1116"/>
      <c r="R3055" s="1141"/>
      <c r="S3055" s="1113"/>
      <c r="T3055" s="1143"/>
      <c r="U3055" s="1108"/>
      <c r="V3055" s="1108"/>
      <c r="W3055" s="1108"/>
      <c r="X3055" s="1108"/>
      <c r="Y3055" s="1108"/>
      <c r="Z3055" s="1114"/>
      <c r="AA3055" s="1114"/>
      <c r="AB3055" s="1114"/>
      <c r="AC3055" s="1117"/>
      <c r="AD3055" s="1115"/>
      <c r="AE3055" s="1115"/>
      <c r="AF3055" s="1115"/>
      <c r="AG3055" s="1115"/>
      <c r="AH3055" s="1115"/>
      <c r="AI3055" s="1115"/>
      <c r="AJ3055" s="1117"/>
      <c r="AK3055" s="1118"/>
      <c r="AL3055" s="1115"/>
      <c r="AM3055" s="1115"/>
      <c r="AN3055" s="1115"/>
      <c r="AO3055" s="1115"/>
      <c r="AP3055" s="1115"/>
      <c r="AQ3055" s="1115"/>
      <c r="AR3055" s="1115"/>
      <c r="AS3055" s="1117"/>
      <c r="AT3055" s="1075"/>
      <c r="AU3055" s="1193"/>
      <c r="AV3055" s="330"/>
      <c r="AW3055" s="331"/>
      <c r="AX3055" s="331"/>
      <c r="AY3055" s="331"/>
      <c r="AZ3055" s="331"/>
      <c r="BA3055" s="331"/>
      <c r="BB3055" s="331"/>
      <c r="BC3055" s="331"/>
      <c r="BD3055" s="331"/>
      <c r="BE3055" s="333"/>
      <c r="BF3055" s="330"/>
      <c r="BG3055" s="333"/>
      <c r="BH3055" s="1119"/>
      <c r="BI3055" s="319"/>
      <c r="BJ3055" s="319"/>
      <c r="BK3055" s="319"/>
      <c r="BL3055" s="319"/>
      <c r="BM3055" s="319"/>
      <c r="BN3055" s="319"/>
      <c r="BO3055" s="319"/>
      <c r="BP3055" s="953"/>
      <c r="BQ3055" s="319"/>
      <c r="BR3055" s="319"/>
      <c r="BS3055" s="330"/>
      <c r="BT3055" s="331"/>
      <c r="BU3055" s="920"/>
      <c r="BV3055" s="903"/>
      <c r="BW3055" s="908"/>
      <c r="BX3055" s="908"/>
      <c r="BY3055" s="331"/>
      <c r="BZ3055" s="331"/>
      <c r="CA3055" s="462"/>
      <c r="CB3055" s="319"/>
      <c r="CC3055" s="319"/>
      <c r="CD3055" s="319"/>
      <c r="CE3055" s="319"/>
      <c r="CF3055" s="319"/>
      <c r="CG3055" s="319"/>
      <c r="CH3055" s="318"/>
      <c r="CI3055" s="319"/>
      <c r="CJ3055" s="319"/>
      <c r="CK3055" s="342"/>
      <c r="CL3055" s="333"/>
      <c r="CM3055" s="1079"/>
      <c r="CN3055" s="1005"/>
      <c r="CO3055" s="1005"/>
      <c r="CP3055" s="1005"/>
    </row>
    <row r="3056">
      <c r="A3056" s="1257"/>
      <c r="B3056" s="1113"/>
      <c r="C3056" s="1107"/>
      <c r="D3056" s="103"/>
      <c r="E3056" s="1137"/>
      <c r="F3056" s="112"/>
      <c r="G3056" s="1110"/>
      <c r="H3056" s="1138"/>
      <c r="I3056" s="1138"/>
      <c r="J3056" s="1139"/>
      <c r="K3056" s="1111"/>
      <c r="L3056" s="1112"/>
      <c r="M3056" s="1113"/>
      <c r="N3056" s="110"/>
      <c r="O3056" s="1140"/>
      <c r="P3056" s="1115"/>
      <c r="Q3056" s="1116"/>
      <c r="R3056" s="1141"/>
      <c r="S3056" s="1113"/>
      <c r="T3056" s="1143"/>
      <c r="U3056" s="1108"/>
      <c r="V3056" s="1108"/>
      <c r="W3056" s="1108"/>
      <c r="X3056" s="1108"/>
      <c r="Y3056" s="1108"/>
      <c r="Z3056" s="1114"/>
      <c r="AA3056" s="1114"/>
      <c r="AB3056" s="1114"/>
      <c r="AC3056" s="1117"/>
      <c r="AD3056" s="1115"/>
      <c r="AE3056" s="1115"/>
      <c r="AF3056" s="1115"/>
      <c r="AG3056" s="1115"/>
      <c r="AH3056" s="1115"/>
      <c r="AI3056" s="1115"/>
      <c r="AJ3056" s="1117"/>
      <c r="AK3056" s="1118"/>
      <c r="AL3056" s="1115"/>
      <c r="AM3056" s="1115"/>
      <c r="AN3056" s="1115"/>
      <c r="AO3056" s="1115"/>
      <c r="AP3056" s="1115"/>
      <c r="AQ3056" s="1115"/>
      <c r="AR3056" s="1115"/>
      <c r="AS3056" s="1117"/>
      <c r="AT3056" s="1075"/>
      <c r="AU3056" s="1193"/>
      <c r="AV3056" s="330"/>
      <c r="AW3056" s="331"/>
      <c r="AX3056" s="331"/>
      <c r="AY3056" s="331"/>
      <c r="AZ3056" s="331"/>
      <c r="BA3056" s="331"/>
      <c r="BB3056" s="331"/>
      <c r="BC3056" s="331"/>
      <c r="BD3056" s="331"/>
      <c r="BE3056" s="333"/>
      <c r="BF3056" s="330"/>
      <c r="BG3056" s="333"/>
      <c r="BH3056" s="1119"/>
      <c r="BI3056" s="319"/>
      <c r="BJ3056" s="319"/>
      <c r="BK3056" s="319"/>
      <c r="BL3056" s="319"/>
      <c r="BM3056" s="319"/>
      <c r="BN3056" s="319"/>
      <c r="BO3056" s="319"/>
      <c r="BP3056" s="953"/>
      <c r="BQ3056" s="319"/>
      <c r="BR3056" s="319"/>
      <c r="BS3056" s="330"/>
      <c r="BT3056" s="331"/>
      <c r="BU3056" s="920"/>
      <c r="BV3056" s="903"/>
      <c r="BW3056" s="908"/>
      <c r="BX3056" s="908"/>
      <c r="BY3056" s="331"/>
      <c r="BZ3056" s="331"/>
      <c r="CA3056" s="462"/>
      <c r="CB3056" s="319"/>
      <c r="CC3056" s="319"/>
      <c r="CD3056" s="319"/>
      <c r="CE3056" s="319"/>
      <c r="CF3056" s="319"/>
      <c r="CG3056" s="319"/>
      <c r="CH3056" s="318"/>
      <c r="CI3056" s="319"/>
      <c r="CJ3056" s="319"/>
      <c r="CK3056" s="342"/>
      <c r="CL3056" s="333"/>
      <c r="CM3056" s="1079"/>
      <c r="CN3056" s="1005"/>
      <c r="CO3056" s="1005"/>
      <c r="CP3056" s="1005"/>
    </row>
    <row r="3057">
      <c r="A3057" s="1257"/>
      <c r="B3057" s="1113"/>
      <c r="C3057" s="1107"/>
      <c r="D3057" s="103"/>
      <c r="E3057" s="1137"/>
      <c r="F3057" s="112"/>
      <c r="G3057" s="1110"/>
      <c r="H3057" s="1138"/>
      <c r="I3057" s="1138"/>
      <c r="J3057" s="1139"/>
      <c r="K3057" s="1111"/>
      <c r="L3057" s="1112"/>
      <c r="M3057" s="1113"/>
      <c r="N3057" s="110"/>
      <c r="O3057" s="1140"/>
      <c r="P3057" s="1115"/>
      <c r="Q3057" s="1116"/>
      <c r="R3057" s="1141"/>
      <c r="S3057" s="1113"/>
      <c r="T3057" s="1143"/>
      <c r="U3057" s="1108"/>
      <c r="V3057" s="1108"/>
      <c r="W3057" s="1108"/>
      <c r="X3057" s="1108"/>
      <c r="Y3057" s="1108"/>
      <c r="Z3057" s="1114"/>
      <c r="AA3057" s="1114"/>
      <c r="AB3057" s="1114"/>
      <c r="AC3057" s="1117"/>
      <c r="AD3057" s="1115"/>
      <c r="AE3057" s="1115"/>
      <c r="AF3057" s="1115"/>
      <c r="AG3057" s="1115"/>
      <c r="AH3057" s="1115"/>
      <c r="AI3057" s="1115"/>
      <c r="AJ3057" s="1117"/>
      <c r="AK3057" s="1118"/>
      <c r="AL3057" s="1115"/>
      <c r="AM3057" s="1115"/>
      <c r="AN3057" s="1115"/>
      <c r="AO3057" s="1115"/>
      <c r="AP3057" s="1115"/>
      <c r="AQ3057" s="1115"/>
      <c r="AR3057" s="1115"/>
      <c r="AS3057" s="1117"/>
      <c r="AT3057" s="1075"/>
      <c r="AU3057" s="1193"/>
      <c r="AV3057" s="330"/>
      <c r="AW3057" s="331"/>
      <c r="AX3057" s="331"/>
      <c r="AY3057" s="331"/>
      <c r="AZ3057" s="331"/>
      <c r="BA3057" s="331"/>
      <c r="BB3057" s="331"/>
      <c r="BC3057" s="331"/>
      <c r="BD3057" s="331"/>
      <c r="BE3057" s="333"/>
      <c r="BF3057" s="330"/>
      <c r="BG3057" s="333"/>
      <c r="BH3057" s="1119"/>
      <c r="BI3057" s="319"/>
      <c r="BJ3057" s="319"/>
      <c r="BK3057" s="319"/>
      <c r="BL3057" s="319"/>
      <c r="BM3057" s="319"/>
      <c r="BN3057" s="319"/>
      <c r="BO3057" s="319"/>
      <c r="BP3057" s="953"/>
      <c r="BQ3057" s="319"/>
      <c r="BR3057" s="319"/>
      <c r="BS3057" s="330"/>
      <c r="BT3057" s="331"/>
      <c r="BU3057" s="920"/>
      <c r="BV3057" s="903"/>
      <c r="BW3057" s="908"/>
      <c r="BX3057" s="908"/>
      <c r="BY3057" s="331"/>
      <c r="BZ3057" s="331"/>
      <c r="CA3057" s="462"/>
      <c r="CB3057" s="319"/>
      <c r="CC3057" s="319"/>
      <c r="CD3057" s="319"/>
      <c r="CE3057" s="319"/>
      <c r="CF3057" s="319"/>
      <c r="CG3057" s="319"/>
      <c r="CH3057" s="318"/>
      <c r="CI3057" s="319"/>
      <c r="CJ3057" s="319"/>
      <c r="CK3057" s="342"/>
      <c r="CL3057" s="333"/>
      <c r="CM3057" s="1079"/>
      <c r="CN3057" s="1005"/>
      <c r="CO3057" s="1005"/>
      <c r="CP3057" s="1005"/>
    </row>
    <row r="3058">
      <c r="A3058" s="1257"/>
      <c r="B3058" s="1113"/>
      <c r="C3058" s="1107"/>
      <c r="D3058" s="103"/>
      <c r="E3058" s="1137"/>
      <c r="F3058" s="112"/>
      <c r="G3058" s="1110"/>
      <c r="H3058" s="1138"/>
      <c r="I3058" s="1138"/>
      <c r="J3058" s="1139"/>
      <c r="K3058" s="1111"/>
      <c r="L3058" s="1112"/>
      <c r="M3058" s="1113"/>
      <c r="N3058" s="110"/>
      <c r="O3058" s="1140"/>
      <c r="P3058" s="1115"/>
      <c r="Q3058" s="1116"/>
      <c r="R3058" s="1141"/>
      <c r="S3058" s="1113"/>
      <c r="T3058" s="1143"/>
      <c r="U3058" s="1108"/>
      <c r="V3058" s="1108"/>
      <c r="W3058" s="1108"/>
      <c r="X3058" s="1108"/>
      <c r="Y3058" s="1108"/>
      <c r="Z3058" s="1114"/>
      <c r="AA3058" s="1114"/>
      <c r="AB3058" s="1114"/>
      <c r="AC3058" s="1117"/>
      <c r="AD3058" s="1115"/>
      <c r="AE3058" s="1115"/>
      <c r="AF3058" s="1115"/>
      <c r="AG3058" s="1115"/>
      <c r="AH3058" s="1115"/>
      <c r="AI3058" s="1115"/>
      <c r="AJ3058" s="1117"/>
      <c r="AK3058" s="1118"/>
      <c r="AL3058" s="1115"/>
      <c r="AM3058" s="1115"/>
      <c r="AN3058" s="1115"/>
      <c r="AO3058" s="1115"/>
      <c r="AP3058" s="1115"/>
      <c r="AQ3058" s="1115"/>
      <c r="AR3058" s="1115"/>
      <c r="AS3058" s="1117"/>
      <c r="AT3058" s="1075"/>
      <c r="AU3058" s="1193"/>
      <c r="AV3058" s="330"/>
      <c r="AW3058" s="331"/>
      <c r="AX3058" s="331"/>
      <c r="AY3058" s="331"/>
      <c r="AZ3058" s="331"/>
      <c r="BA3058" s="331"/>
      <c r="BB3058" s="331"/>
      <c r="BC3058" s="331"/>
      <c r="BD3058" s="331"/>
      <c r="BE3058" s="333"/>
      <c r="BF3058" s="330"/>
      <c r="BG3058" s="333"/>
      <c r="BH3058" s="1119"/>
      <c r="BI3058" s="319"/>
      <c r="BJ3058" s="319"/>
      <c r="BK3058" s="319"/>
      <c r="BL3058" s="319"/>
      <c r="BM3058" s="319"/>
      <c r="BN3058" s="319"/>
      <c r="BO3058" s="319"/>
      <c r="BP3058" s="953"/>
      <c r="BQ3058" s="319"/>
      <c r="BR3058" s="319"/>
      <c r="BS3058" s="330"/>
      <c r="BT3058" s="331"/>
      <c r="BU3058" s="920"/>
      <c r="BV3058" s="903"/>
      <c r="BW3058" s="908"/>
      <c r="BX3058" s="908"/>
      <c r="BY3058" s="331"/>
      <c r="BZ3058" s="331"/>
      <c r="CA3058" s="462"/>
      <c r="CB3058" s="319"/>
      <c r="CC3058" s="319"/>
      <c r="CD3058" s="319"/>
      <c r="CE3058" s="319"/>
      <c r="CF3058" s="319"/>
      <c r="CG3058" s="319"/>
      <c r="CH3058" s="318"/>
      <c r="CI3058" s="319"/>
      <c r="CJ3058" s="319"/>
      <c r="CK3058" s="342"/>
      <c r="CL3058" s="333"/>
      <c r="CM3058" s="1079"/>
      <c r="CN3058" s="1005"/>
      <c r="CO3058" s="1005"/>
      <c r="CP3058" s="1005"/>
    </row>
    <row r="3059">
      <c r="A3059" s="1257"/>
      <c r="B3059" s="1113"/>
      <c r="C3059" s="1107"/>
      <c r="D3059" s="103"/>
      <c r="E3059" s="1137"/>
      <c r="F3059" s="112"/>
      <c r="G3059" s="1110"/>
      <c r="H3059" s="1138"/>
      <c r="I3059" s="1138"/>
      <c r="J3059" s="1139"/>
      <c r="K3059" s="1111"/>
      <c r="L3059" s="1112"/>
      <c r="M3059" s="1113"/>
      <c r="N3059" s="110"/>
      <c r="O3059" s="1140"/>
      <c r="P3059" s="1115"/>
      <c r="Q3059" s="1116"/>
      <c r="R3059" s="1141"/>
      <c r="S3059" s="1113"/>
      <c r="T3059" s="1143"/>
      <c r="U3059" s="1108"/>
      <c r="V3059" s="1108"/>
      <c r="W3059" s="1108"/>
      <c r="X3059" s="1108"/>
      <c r="Y3059" s="1108"/>
      <c r="Z3059" s="1114"/>
      <c r="AA3059" s="1114"/>
      <c r="AB3059" s="1114"/>
      <c r="AC3059" s="1117"/>
      <c r="AD3059" s="1115"/>
      <c r="AE3059" s="1115"/>
      <c r="AF3059" s="1115"/>
      <c r="AG3059" s="1115"/>
      <c r="AH3059" s="1115"/>
      <c r="AI3059" s="1115"/>
      <c r="AJ3059" s="1117"/>
      <c r="AK3059" s="1118"/>
      <c r="AL3059" s="1115"/>
      <c r="AM3059" s="1115"/>
      <c r="AN3059" s="1115"/>
      <c r="AO3059" s="1115"/>
      <c r="AP3059" s="1115"/>
      <c r="AQ3059" s="1115"/>
      <c r="AR3059" s="1115"/>
      <c r="AS3059" s="1117"/>
      <c r="AT3059" s="1075"/>
      <c r="AU3059" s="1193"/>
      <c r="AV3059" s="330"/>
      <c r="AW3059" s="331"/>
      <c r="AX3059" s="331"/>
      <c r="AY3059" s="331"/>
      <c r="AZ3059" s="331"/>
      <c r="BA3059" s="331"/>
      <c r="BB3059" s="331"/>
      <c r="BC3059" s="331"/>
      <c r="BD3059" s="331"/>
      <c r="BE3059" s="333"/>
      <c r="BF3059" s="330"/>
      <c r="BG3059" s="333"/>
      <c r="BH3059" s="1119"/>
      <c r="BI3059" s="319"/>
      <c r="BJ3059" s="319"/>
      <c r="BK3059" s="319"/>
      <c r="BL3059" s="319"/>
      <c r="BM3059" s="319"/>
      <c r="BN3059" s="319"/>
      <c r="BO3059" s="319"/>
      <c r="BP3059" s="953"/>
      <c r="BQ3059" s="319"/>
      <c r="BR3059" s="319"/>
      <c r="BS3059" s="330"/>
      <c r="BT3059" s="331"/>
      <c r="BU3059" s="920"/>
      <c r="BV3059" s="903"/>
      <c r="BW3059" s="908"/>
      <c r="BX3059" s="908"/>
      <c r="BY3059" s="331"/>
      <c r="BZ3059" s="331"/>
      <c r="CA3059" s="462"/>
      <c r="CB3059" s="319"/>
      <c r="CC3059" s="319"/>
      <c r="CD3059" s="319"/>
      <c r="CE3059" s="319"/>
      <c r="CF3059" s="319"/>
      <c r="CG3059" s="319"/>
      <c r="CH3059" s="318"/>
      <c r="CI3059" s="319"/>
      <c r="CJ3059" s="319"/>
      <c r="CK3059" s="342"/>
      <c r="CL3059" s="333"/>
      <c r="CM3059" s="1079"/>
      <c r="CN3059" s="1005"/>
      <c r="CO3059" s="1005"/>
      <c r="CP3059" s="1005"/>
    </row>
    <row r="3060">
      <c r="A3060" s="1257"/>
      <c r="B3060" s="1113"/>
      <c r="C3060" s="1107"/>
      <c r="D3060" s="103"/>
      <c r="E3060" s="1137"/>
      <c r="F3060" s="112"/>
      <c r="G3060" s="1110"/>
      <c r="H3060" s="1138"/>
      <c r="I3060" s="1138"/>
      <c r="J3060" s="1139"/>
      <c r="K3060" s="1111"/>
      <c r="L3060" s="1112"/>
      <c r="M3060" s="1113"/>
      <c r="N3060" s="110"/>
      <c r="O3060" s="1140"/>
      <c r="P3060" s="1115"/>
      <c r="Q3060" s="1116"/>
      <c r="R3060" s="1141"/>
      <c r="S3060" s="1113"/>
      <c r="T3060" s="1143"/>
      <c r="U3060" s="1108"/>
      <c r="V3060" s="1108"/>
      <c r="W3060" s="1108"/>
      <c r="X3060" s="1108"/>
      <c r="Y3060" s="1108"/>
      <c r="Z3060" s="1114"/>
      <c r="AA3060" s="1114"/>
      <c r="AB3060" s="1114"/>
      <c r="AC3060" s="1117"/>
      <c r="AD3060" s="1115"/>
      <c r="AE3060" s="1115"/>
      <c r="AF3060" s="1115"/>
      <c r="AG3060" s="1115"/>
      <c r="AH3060" s="1115"/>
      <c r="AI3060" s="1115"/>
      <c r="AJ3060" s="1117"/>
      <c r="AK3060" s="1118"/>
      <c r="AL3060" s="1115"/>
      <c r="AM3060" s="1115"/>
      <c r="AN3060" s="1115"/>
      <c r="AO3060" s="1115"/>
      <c r="AP3060" s="1115"/>
      <c r="AQ3060" s="1115"/>
      <c r="AR3060" s="1115"/>
      <c r="AS3060" s="1117"/>
      <c r="AT3060" s="1075"/>
      <c r="AU3060" s="1193"/>
      <c r="AV3060" s="330"/>
      <c r="AW3060" s="331"/>
      <c r="AX3060" s="331"/>
      <c r="AY3060" s="331"/>
      <c r="AZ3060" s="331"/>
      <c r="BA3060" s="331"/>
      <c r="BB3060" s="331"/>
      <c r="BC3060" s="331"/>
      <c r="BD3060" s="331"/>
      <c r="BE3060" s="333"/>
      <c r="BF3060" s="330"/>
      <c r="BG3060" s="333"/>
      <c r="BH3060" s="1119"/>
      <c r="BI3060" s="319"/>
      <c r="BJ3060" s="319"/>
      <c r="BK3060" s="319"/>
      <c r="BL3060" s="319"/>
      <c r="BM3060" s="319"/>
      <c r="BN3060" s="319"/>
      <c r="BO3060" s="319"/>
      <c r="BP3060" s="953"/>
      <c r="BQ3060" s="319"/>
      <c r="BR3060" s="319"/>
      <c r="BS3060" s="330"/>
      <c r="BT3060" s="331"/>
      <c r="BU3060" s="920"/>
      <c r="BV3060" s="903"/>
      <c r="BW3060" s="908"/>
      <c r="BX3060" s="908"/>
      <c r="BY3060" s="331"/>
      <c r="BZ3060" s="331"/>
      <c r="CA3060" s="462"/>
      <c r="CB3060" s="319"/>
      <c r="CC3060" s="319"/>
      <c r="CD3060" s="319"/>
      <c r="CE3060" s="319"/>
      <c r="CF3060" s="319"/>
      <c r="CG3060" s="319"/>
      <c r="CH3060" s="318"/>
      <c r="CI3060" s="319"/>
      <c r="CJ3060" s="319"/>
      <c r="CK3060" s="342"/>
      <c r="CL3060" s="333"/>
      <c r="CM3060" s="1079"/>
      <c r="CN3060" s="1005"/>
      <c r="CO3060" s="1005"/>
      <c r="CP3060" s="1005"/>
    </row>
    <row r="3061">
      <c r="A3061" s="1257"/>
      <c r="B3061" s="1113"/>
      <c r="C3061" s="1107"/>
      <c r="D3061" s="103"/>
      <c r="E3061" s="1137"/>
      <c r="F3061" s="112"/>
      <c r="G3061" s="1110"/>
      <c r="H3061" s="1138"/>
      <c r="I3061" s="1138"/>
      <c r="J3061" s="1139"/>
      <c r="K3061" s="1111"/>
      <c r="L3061" s="1112"/>
      <c r="M3061" s="1113"/>
      <c r="N3061" s="110"/>
      <c r="O3061" s="1140"/>
      <c r="P3061" s="1115"/>
      <c r="Q3061" s="1116"/>
      <c r="R3061" s="1141"/>
      <c r="S3061" s="1113"/>
      <c r="T3061" s="1143"/>
      <c r="U3061" s="1108"/>
      <c r="V3061" s="1108"/>
      <c r="W3061" s="1108"/>
      <c r="X3061" s="1108"/>
      <c r="Y3061" s="1108"/>
      <c r="Z3061" s="1114"/>
      <c r="AA3061" s="1114"/>
      <c r="AB3061" s="1114"/>
      <c r="AC3061" s="1117"/>
      <c r="AD3061" s="1115"/>
      <c r="AE3061" s="1115"/>
      <c r="AF3061" s="1115"/>
      <c r="AG3061" s="1115"/>
      <c r="AH3061" s="1115"/>
      <c r="AI3061" s="1115"/>
      <c r="AJ3061" s="1117"/>
      <c r="AK3061" s="1118"/>
      <c r="AL3061" s="1115"/>
      <c r="AM3061" s="1115"/>
      <c r="AN3061" s="1115"/>
      <c r="AO3061" s="1115"/>
      <c r="AP3061" s="1115"/>
      <c r="AQ3061" s="1115"/>
      <c r="AR3061" s="1115"/>
      <c r="AS3061" s="1117"/>
      <c r="AT3061" s="1075"/>
      <c r="AU3061" s="1193"/>
      <c r="AV3061" s="330"/>
      <c r="AW3061" s="331"/>
      <c r="AX3061" s="331"/>
      <c r="AY3061" s="331"/>
      <c r="AZ3061" s="331"/>
      <c r="BA3061" s="331"/>
      <c r="BB3061" s="331"/>
      <c r="BC3061" s="331"/>
      <c r="BD3061" s="331"/>
      <c r="BE3061" s="333"/>
      <c r="BF3061" s="330"/>
      <c r="BG3061" s="333"/>
      <c r="BH3061" s="1119"/>
      <c r="BI3061" s="319"/>
      <c r="BJ3061" s="319"/>
      <c r="BK3061" s="319"/>
      <c r="BL3061" s="319"/>
      <c r="BM3061" s="319"/>
      <c r="BN3061" s="319"/>
      <c r="BO3061" s="319"/>
      <c r="BP3061" s="953"/>
      <c r="BQ3061" s="319"/>
      <c r="BR3061" s="319"/>
      <c r="BS3061" s="330"/>
      <c r="BT3061" s="331"/>
      <c r="BU3061" s="920"/>
      <c r="BV3061" s="903"/>
      <c r="BW3061" s="908"/>
      <c r="BX3061" s="908"/>
      <c r="BY3061" s="331"/>
      <c r="BZ3061" s="331"/>
      <c r="CA3061" s="462"/>
      <c r="CB3061" s="319"/>
      <c r="CC3061" s="319"/>
      <c r="CD3061" s="319"/>
      <c r="CE3061" s="319"/>
      <c r="CF3061" s="319"/>
      <c r="CG3061" s="319"/>
      <c r="CH3061" s="318"/>
      <c r="CI3061" s="319"/>
      <c r="CJ3061" s="319"/>
      <c r="CK3061" s="342"/>
      <c r="CL3061" s="333"/>
      <c r="CM3061" s="1079"/>
      <c r="CN3061" s="1005"/>
      <c r="CO3061" s="1005"/>
      <c r="CP3061" s="1005"/>
    </row>
    <row r="3062">
      <c r="A3062" s="1257"/>
      <c r="B3062" s="1113"/>
      <c r="C3062" s="1107"/>
      <c r="D3062" s="103"/>
      <c r="E3062" s="1137"/>
      <c r="F3062" s="112"/>
      <c r="G3062" s="1110"/>
      <c r="H3062" s="1138"/>
      <c r="I3062" s="1138"/>
      <c r="J3062" s="1139"/>
      <c r="K3062" s="1111"/>
      <c r="L3062" s="1112"/>
      <c r="M3062" s="1113"/>
      <c r="N3062" s="110"/>
      <c r="O3062" s="1140"/>
      <c r="P3062" s="1115"/>
      <c r="Q3062" s="1116"/>
      <c r="R3062" s="1141"/>
      <c r="S3062" s="1113"/>
      <c r="T3062" s="1143"/>
      <c r="U3062" s="1108"/>
      <c r="V3062" s="1108"/>
      <c r="W3062" s="1108"/>
      <c r="X3062" s="1108"/>
      <c r="Y3062" s="1108"/>
      <c r="Z3062" s="1114"/>
      <c r="AA3062" s="1114"/>
      <c r="AB3062" s="1114"/>
      <c r="AC3062" s="1117"/>
      <c r="AD3062" s="1115"/>
      <c r="AE3062" s="1115"/>
      <c r="AF3062" s="1115"/>
      <c r="AG3062" s="1115"/>
      <c r="AH3062" s="1115"/>
      <c r="AI3062" s="1115"/>
      <c r="AJ3062" s="1117"/>
      <c r="AK3062" s="1118"/>
      <c r="AL3062" s="1115"/>
      <c r="AM3062" s="1115"/>
      <c r="AN3062" s="1115"/>
      <c r="AO3062" s="1115"/>
      <c r="AP3062" s="1115"/>
      <c r="AQ3062" s="1115"/>
      <c r="AR3062" s="1115"/>
      <c r="AS3062" s="1117"/>
      <c r="AT3062" s="1075"/>
      <c r="AU3062" s="1193"/>
      <c r="AV3062" s="330"/>
      <c r="AW3062" s="331"/>
      <c r="AX3062" s="331"/>
      <c r="AY3062" s="331"/>
      <c r="AZ3062" s="331"/>
      <c r="BA3062" s="331"/>
      <c r="BB3062" s="331"/>
      <c r="BC3062" s="331"/>
      <c r="BD3062" s="331"/>
      <c r="BE3062" s="333"/>
      <c r="BF3062" s="330"/>
      <c r="BG3062" s="333"/>
      <c r="BH3062" s="1119"/>
      <c r="BI3062" s="319"/>
      <c r="BJ3062" s="319"/>
      <c r="BK3062" s="319"/>
      <c r="BL3062" s="319"/>
      <c r="BM3062" s="319"/>
      <c r="BN3062" s="319"/>
      <c r="BO3062" s="319"/>
      <c r="BP3062" s="953"/>
      <c r="BQ3062" s="319"/>
      <c r="BR3062" s="319"/>
      <c r="BS3062" s="330"/>
      <c r="BT3062" s="331"/>
      <c r="BU3062" s="920"/>
      <c r="BV3062" s="903"/>
      <c r="BW3062" s="908"/>
      <c r="BX3062" s="908"/>
      <c r="BY3062" s="331"/>
      <c r="BZ3062" s="331"/>
      <c r="CA3062" s="462"/>
      <c r="CB3062" s="319"/>
      <c r="CC3062" s="319"/>
      <c r="CD3062" s="319"/>
      <c r="CE3062" s="319"/>
      <c r="CF3062" s="319"/>
      <c r="CG3062" s="319"/>
      <c r="CH3062" s="318"/>
      <c r="CI3062" s="319"/>
      <c r="CJ3062" s="319"/>
      <c r="CK3062" s="342"/>
      <c r="CL3062" s="333"/>
      <c r="CM3062" s="1079"/>
      <c r="CN3062" s="1005"/>
      <c r="CO3062" s="1005"/>
      <c r="CP3062" s="1005"/>
    </row>
    <row r="3063">
      <c r="A3063" s="1257"/>
      <c r="B3063" s="1113"/>
      <c r="C3063" s="1107"/>
      <c r="D3063" s="103"/>
      <c r="E3063" s="1137"/>
      <c r="F3063" s="112"/>
      <c r="G3063" s="1110"/>
      <c r="H3063" s="1138"/>
      <c r="I3063" s="1138"/>
      <c r="J3063" s="1139"/>
      <c r="K3063" s="1111"/>
      <c r="L3063" s="1112"/>
      <c r="M3063" s="1113"/>
      <c r="N3063" s="110"/>
      <c r="O3063" s="1140"/>
      <c r="P3063" s="1115"/>
      <c r="Q3063" s="1116"/>
      <c r="R3063" s="1141"/>
      <c r="S3063" s="1113"/>
      <c r="T3063" s="1143"/>
      <c r="U3063" s="1108"/>
      <c r="V3063" s="1108"/>
      <c r="W3063" s="1108"/>
      <c r="X3063" s="1108"/>
      <c r="Y3063" s="1108"/>
      <c r="Z3063" s="1114"/>
      <c r="AA3063" s="1114"/>
      <c r="AB3063" s="1114"/>
      <c r="AC3063" s="1117"/>
      <c r="AD3063" s="1115"/>
      <c r="AE3063" s="1115"/>
      <c r="AF3063" s="1115"/>
      <c r="AG3063" s="1115"/>
      <c r="AH3063" s="1115"/>
      <c r="AI3063" s="1115"/>
      <c r="AJ3063" s="1117"/>
      <c r="AK3063" s="1118"/>
      <c r="AL3063" s="1115"/>
      <c r="AM3063" s="1115"/>
      <c r="AN3063" s="1115"/>
      <c r="AO3063" s="1115"/>
      <c r="AP3063" s="1115"/>
      <c r="AQ3063" s="1115"/>
      <c r="AR3063" s="1115"/>
      <c r="AS3063" s="1117"/>
      <c r="AT3063" s="1075"/>
      <c r="AU3063" s="1193"/>
      <c r="AV3063" s="330"/>
      <c r="AW3063" s="331"/>
      <c r="AX3063" s="331"/>
      <c r="AY3063" s="331"/>
      <c r="AZ3063" s="331"/>
      <c r="BA3063" s="331"/>
      <c r="BB3063" s="331"/>
      <c r="BC3063" s="331"/>
      <c r="BD3063" s="331"/>
      <c r="BE3063" s="333"/>
      <c r="BF3063" s="330"/>
      <c r="BG3063" s="333"/>
      <c r="BH3063" s="1119"/>
      <c r="BI3063" s="319"/>
      <c r="BJ3063" s="319"/>
      <c r="BK3063" s="319"/>
      <c r="BL3063" s="319"/>
      <c r="BM3063" s="319"/>
      <c r="BN3063" s="319"/>
      <c r="BO3063" s="319"/>
      <c r="BP3063" s="953"/>
      <c r="BQ3063" s="319"/>
      <c r="BR3063" s="319"/>
      <c r="BS3063" s="330"/>
      <c r="BT3063" s="331"/>
      <c r="BU3063" s="920"/>
      <c r="BV3063" s="903"/>
      <c r="BW3063" s="908"/>
      <c r="BX3063" s="908"/>
      <c r="BY3063" s="331"/>
      <c r="BZ3063" s="331"/>
      <c r="CA3063" s="462"/>
      <c r="CB3063" s="319"/>
      <c r="CC3063" s="319"/>
      <c r="CD3063" s="319"/>
      <c r="CE3063" s="319"/>
      <c r="CF3063" s="319"/>
      <c r="CG3063" s="319"/>
      <c r="CH3063" s="318"/>
      <c r="CI3063" s="319"/>
      <c r="CJ3063" s="319"/>
      <c r="CK3063" s="342"/>
      <c r="CL3063" s="333"/>
      <c r="CM3063" s="1079"/>
      <c r="CN3063" s="1005"/>
      <c r="CO3063" s="1005"/>
      <c r="CP3063" s="1005"/>
    </row>
    <row r="3064">
      <c r="A3064" s="1257"/>
      <c r="B3064" s="1113"/>
      <c r="C3064" s="1107"/>
      <c r="D3064" s="103"/>
      <c r="E3064" s="1137"/>
      <c r="F3064" s="112"/>
      <c r="G3064" s="1110"/>
      <c r="H3064" s="1138"/>
      <c r="I3064" s="1138"/>
      <c r="J3064" s="1139"/>
      <c r="K3064" s="1111"/>
      <c r="L3064" s="1112"/>
      <c r="M3064" s="1113"/>
      <c r="N3064" s="110"/>
      <c r="O3064" s="1140"/>
      <c r="P3064" s="1115"/>
      <c r="Q3064" s="1116"/>
      <c r="R3064" s="1141"/>
      <c r="S3064" s="1113"/>
      <c r="T3064" s="1143"/>
      <c r="U3064" s="1108"/>
      <c r="V3064" s="1108"/>
      <c r="W3064" s="1108"/>
      <c r="X3064" s="1108"/>
      <c r="Y3064" s="1108"/>
      <c r="Z3064" s="1114"/>
      <c r="AA3064" s="1114"/>
      <c r="AB3064" s="1114"/>
      <c r="AC3064" s="1117"/>
      <c r="AD3064" s="1115"/>
      <c r="AE3064" s="1115"/>
      <c r="AF3064" s="1115"/>
      <c r="AG3064" s="1115"/>
      <c r="AH3064" s="1115"/>
      <c r="AI3064" s="1115"/>
      <c r="AJ3064" s="1117"/>
      <c r="AK3064" s="1118"/>
      <c r="AL3064" s="1115"/>
      <c r="AM3064" s="1115"/>
      <c r="AN3064" s="1115"/>
      <c r="AO3064" s="1115"/>
      <c r="AP3064" s="1115"/>
      <c r="AQ3064" s="1115"/>
      <c r="AR3064" s="1115"/>
      <c r="AS3064" s="1117"/>
      <c r="AT3064" s="1075"/>
      <c r="AU3064" s="1193"/>
      <c r="AV3064" s="330"/>
      <c r="AW3064" s="331"/>
      <c r="AX3064" s="331"/>
      <c r="AY3064" s="331"/>
      <c r="AZ3064" s="331"/>
      <c r="BA3064" s="331"/>
      <c r="BB3064" s="331"/>
      <c r="BC3064" s="331"/>
      <c r="BD3064" s="331"/>
      <c r="BE3064" s="333"/>
      <c r="BF3064" s="330"/>
      <c r="BG3064" s="333"/>
      <c r="BH3064" s="1119"/>
      <c r="BI3064" s="319"/>
      <c r="BJ3064" s="319"/>
      <c r="BK3064" s="319"/>
      <c r="BL3064" s="319"/>
      <c r="BM3064" s="319"/>
      <c r="BN3064" s="319"/>
      <c r="BO3064" s="319"/>
      <c r="BP3064" s="953"/>
      <c r="BQ3064" s="319"/>
      <c r="BR3064" s="319"/>
      <c r="BS3064" s="330"/>
      <c r="BT3064" s="331"/>
      <c r="BU3064" s="920"/>
      <c r="BV3064" s="903"/>
      <c r="BW3064" s="908"/>
      <c r="BX3064" s="908"/>
      <c r="BY3064" s="331"/>
      <c r="BZ3064" s="331"/>
      <c r="CA3064" s="462"/>
      <c r="CB3064" s="319"/>
      <c r="CC3064" s="319"/>
      <c r="CD3064" s="319"/>
      <c r="CE3064" s="319"/>
      <c r="CF3064" s="319"/>
      <c r="CG3064" s="319"/>
      <c r="CH3064" s="318"/>
      <c r="CI3064" s="319"/>
      <c r="CJ3064" s="319"/>
      <c r="CK3064" s="342"/>
      <c r="CL3064" s="333"/>
      <c r="CM3064" s="1079"/>
      <c r="CN3064" s="1005"/>
      <c r="CO3064" s="1005"/>
      <c r="CP3064" s="1005"/>
    </row>
    <row r="3065">
      <c r="A3065" s="1257"/>
      <c r="B3065" s="1113"/>
      <c r="C3065" s="1107"/>
      <c r="D3065" s="103"/>
      <c r="E3065" s="1137"/>
      <c r="F3065" s="112"/>
      <c r="G3065" s="1110"/>
      <c r="H3065" s="1138"/>
      <c r="I3065" s="1138"/>
      <c r="J3065" s="1139"/>
      <c r="K3065" s="1111"/>
      <c r="L3065" s="1112"/>
      <c r="M3065" s="1113"/>
      <c r="N3065" s="110"/>
      <c r="O3065" s="1140"/>
      <c r="P3065" s="1115"/>
      <c r="Q3065" s="1116"/>
      <c r="R3065" s="1141"/>
      <c r="S3065" s="1113"/>
      <c r="T3065" s="1143"/>
      <c r="U3065" s="1108"/>
      <c r="V3065" s="1108"/>
      <c r="W3065" s="1108"/>
      <c r="X3065" s="1108"/>
      <c r="Y3065" s="1108"/>
      <c r="Z3065" s="1114"/>
      <c r="AA3065" s="1114"/>
      <c r="AB3065" s="1114"/>
      <c r="AC3065" s="1117"/>
      <c r="AD3065" s="1115"/>
      <c r="AE3065" s="1115"/>
      <c r="AF3065" s="1115"/>
      <c r="AG3065" s="1115"/>
      <c r="AH3065" s="1115"/>
      <c r="AI3065" s="1115"/>
      <c r="AJ3065" s="1117"/>
      <c r="AK3065" s="1118"/>
      <c r="AL3065" s="1115"/>
      <c r="AM3065" s="1115"/>
      <c r="AN3065" s="1115"/>
      <c r="AO3065" s="1115"/>
      <c r="AP3065" s="1115"/>
      <c r="AQ3065" s="1115"/>
      <c r="AR3065" s="1115"/>
      <c r="AS3065" s="1117"/>
      <c r="AT3065" s="1075"/>
      <c r="AU3065" s="1193"/>
      <c r="AV3065" s="330"/>
      <c r="AW3065" s="331"/>
      <c r="AX3065" s="331"/>
      <c r="AY3065" s="331"/>
      <c r="AZ3065" s="331"/>
      <c r="BA3065" s="331"/>
      <c r="BB3065" s="331"/>
      <c r="BC3065" s="331"/>
      <c r="BD3065" s="331"/>
      <c r="BE3065" s="333"/>
      <c r="BF3065" s="330"/>
      <c r="BG3065" s="333"/>
      <c r="BH3065" s="1119"/>
      <c r="BI3065" s="319"/>
      <c r="BJ3065" s="319"/>
      <c r="BK3065" s="319"/>
      <c r="BL3065" s="319"/>
      <c r="BM3065" s="319"/>
      <c r="BN3065" s="319"/>
      <c r="BO3065" s="319"/>
      <c r="BP3065" s="953"/>
      <c r="BQ3065" s="319"/>
      <c r="BR3065" s="319"/>
      <c r="BS3065" s="330"/>
      <c r="BT3065" s="331"/>
      <c r="BU3065" s="920"/>
      <c r="BV3065" s="903"/>
      <c r="BW3065" s="908"/>
      <c r="BX3065" s="908"/>
      <c r="BY3065" s="331"/>
      <c r="BZ3065" s="331"/>
      <c r="CA3065" s="462"/>
      <c r="CB3065" s="319"/>
      <c r="CC3065" s="319"/>
      <c r="CD3065" s="319"/>
      <c r="CE3065" s="319"/>
      <c r="CF3065" s="319"/>
      <c r="CG3065" s="319"/>
      <c r="CH3065" s="318"/>
      <c r="CI3065" s="319"/>
      <c r="CJ3065" s="319"/>
      <c r="CK3065" s="342"/>
      <c r="CL3065" s="333"/>
      <c r="CM3065" s="1079"/>
      <c r="CN3065" s="1005"/>
      <c r="CO3065" s="1005"/>
      <c r="CP3065" s="1005"/>
    </row>
    <row r="3066">
      <c r="A3066" s="1257"/>
      <c r="B3066" s="1113"/>
      <c r="C3066" s="1107"/>
      <c r="D3066" s="103"/>
      <c r="E3066" s="1137"/>
      <c r="F3066" s="112"/>
      <c r="G3066" s="1110"/>
      <c r="H3066" s="1138"/>
      <c r="I3066" s="1138"/>
      <c r="J3066" s="1139"/>
      <c r="K3066" s="1111"/>
      <c r="L3066" s="1112"/>
      <c r="M3066" s="1113"/>
      <c r="N3066" s="110"/>
      <c r="O3066" s="1140"/>
      <c r="P3066" s="1115"/>
      <c r="Q3066" s="1116"/>
      <c r="R3066" s="1141"/>
      <c r="S3066" s="1113"/>
      <c r="T3066" s="1143"/>
      <c r="U3066" s="1108"/>
      <c r="V3066" s="1108"/>
      <c r="W3066" s="1108"/>
      <c r="X3066" s="1108"/>
      <c r="Y3066" s="1108"/>
      <c r="Z3066" s="1114"/>
      <c r="AA3066" s="1114"/>
      <c r="AB3066" s="1114"/>
      <c r="AC3066" s="1117"/>
      <c r="AD3066" s="1115"/>
      <c r="AE3066" s="1115"/>
      <c r="AF3066" s="1115"/>
      <c r="AG3066" s="1115"/>
      <c r="AH3066" s="1115"/>
      <c r="AI3066" s="1115"/>
      <c r="AJ3066" s="1117"/>
      <c r="AK3066" s="1118"/>
      <c r="AL3066" s="1115"/>
      <c r="AM3066" s="1115"/>
      <c r="AN3066" s="1115"/>
      <c r="AO3066" s="1115"/>
      <c r="AP3066" s="1115"/>
      <c r="AQ3066" s="1115"/>
      <c r="AR3066" s="1115"/>
      <c r="AS3066" s="1117"/>
      <c r="AT3066" s="1075"/>
      <c r="AU3066" s="1193"/>
      <c r="AV3066" s="330"/>
      <c r="AW3066" s="331"/>
      <c r="AX3066" s="331"/>
      <c r="AY3066" s="331"/>
      <c r="AZ3066" s="331"/>
      <c r="BA3066" s="331"/>
      <c r="BB3066" s="331"/>
      <c r="BC3066" s="331"/>
      <c r="BD3066" s="331"/>
      <c r="BE3066" s="333"/>
      <c r="BF3066" s="330"/>
      <c r="BG3066" s="333"/>
      <c r="BH3066" s="1119"/>
      <c r="BI3066" s="319"/>
      <c r="BJ3066" s="319"/>
      <c r="BK3066" s="319"/>
      <c r="BL3066" s="319"/>
      <c r="BM3066" s="319"/>
      <c r="BN3066" s="319"/>
      <c r="BO3066" s="319"/>
      <c r="BP3066" s="953"/>
      <c r="BQ3066" s="319"/>
      <c r="BR3066" s="319"/>
      <c r="BS3066" s="330"/>
      <c r="BT3066" s="331"/>
      <c r="BU3066" s="920"/>
      <c r="BV3066" s="903"/>
      <c r="BW3066" s="908"/>
      <c r="BX3066" s="908"/>
      <c r="BY3066" s="331"/>
      <c r="BZ3066" s="331"/>
      <c r="CA3066" s="462"/>
      <c r="CB3066" s="319"/>
      <c r="CC3066" s="319"/>
      <c r="CD3066" s="319"/>
      <c r="CE3066" s="319"/>
      <c r="CF3066" s="319"/>
      <c r="CG3066" s="319"/>
      <c r="CH3066" s="318"/>
      <c r="CI3066" s="319"/>
      <c r="CJ3066" s="319"/>
      <c r="CK3066" s="342"/>
      <c r="CL3066" s="333"/>
      <c r="CM3066" s="1079"/>
      <c r="CN3066" s="1005"/>
      <c r="CO3066" s="1005"/>
      <c r="CP3066" s="1005"/>
    </row>
    <row r="3067">
      <c r="A3067" s="1257"/>
      <c r="B3067" s="1113"/>
      <c r="C3067" s="1107"/>
      <c r="D3067" s="103"/>
      <c r="E3067" s="1137"/>
      <c r="F3067" s="112"/>
      <c r="G3067" s="1110"/>
      <c r="H3067" s="1138"/>
      <c r="I3067" s="1138"/>
      <c r="J3067" s="1139"/>
      <c r="K3067" s="1111"/>
      <c r="L3067" s="1112"/>
      <c r="M3067" s="1113"/>
      <c r="N3067" s="110"/>
      <c r="O3067" s="1140"/>
      <c r="P3067" s="1115"/>
      <c r="Q3067" s="1116"/>
      <c r="R3067" s="1141"/>
      <c r="S3067" s="1113"/>
      <c r="T3067" s="1143"/>
      <c r="U3067" s="1108"/>
      <c r="V3067" s="1108"/>
      <c r="W3067" s="1108"/>
      <c r="X3067" s="1108"/>
      <c r="Y3067" s="1108"/>
      <c r="Z3067" s="1114"/>
      <c r="AA3067" s="1114"/>
      <c r="AB3067" s="1114"/>
      <c r="AC3067" s="1117"/>
      <c r="AD3067" s="1115"/>
      <c r="AE3067" s="1115"/>
      <c r="AF3067" s="1115"/>
      <c r="AG3067" s="1115"/>
      <c r="AH3067" s="1115"/>
      <c r="AI3067" s="1115"/>
      <c r="AJ3067" s="1117"/>
      <c r="AK3067" s="1118"/>
      <c r="AL3067" s="1115"/>
      <c r="AM3067" s="1115"/>
      <c r="AN3067" s="1115"/>
      <c r="AO3067" s="1115"/>
      <c r="AP3067" s="1115"/>
      <c r="AQ3067" s="1115"/>
      <c r="AR3067" s="1115"/>
      <c r="AS3067" s="1117"/>
      <c r="AT3067" s="1075"/>
      <c r="AU3067" s="1193"/>
      <c r="AV3067" s="330"/>
      <c r="AW3067" s="331"/>
      <c r="AX3067" s="331"/>
      <c r="AY3067" s="331"/>
      <c r="AZ3067" s="331"/>
      <c r="BA3067" s="331"/>
      <c r="BB3067" s="331"/>
      <c r="BC3067" s="331"/>
      <c r="BD3067" s="331"/>
      <c r="BE3067" s="333"/>
      <c r="BF3067" s="330"/>
      <c r="BG3067" s="333"/>
      <c r="BH3067" s="1119"/>
      <c r="BI3067" s="319"/>
      <c r="BJ3067" s="319"/>
      <c r="BK3067" s="319"/>
      <c r="BL3067" s="319"/>
      <c r="BM3067" s="319"/>
      <c r="BN3067" s="319"/>
      <c r="BO3067" s="319"/>
      <c r="BP3067" s="953"/>
      <c r="BQ3067" s="319"/>
      <c r="BR3067" s="319"/>
      <c r="BS3067" s="330"/>
      <c r="BT3067" s="331"/>
      <c r="BU3067" s="920"/>
      <c r="BV3067" s="903"/>
      <c r="BW3067" s="908"/>
      <c r="BX3067" s="908"/>
      <c r="BY3067" s="331"/>
      <c r="BZ3067" s="331"/>
      <c r="CA3067" s="462"/>
      <c r="CB3067" s="319"/>
      <c r="CC3067" s="319"/>
      <c r="CD3067" s="319"/>
      <c r="CE3067" s="319"/>
      <c r="CF3067" s="319"/>
      <c r="CG3067" s="319"/>
      <c r="CH3067" s="318"/>
      <c r="CI3067" s="319"/>
      <c r="CJ3067" s="319"/>
      <c r="CK3067" s="342"/>
      <c r="CL3067" s="333"/>
      <c r="CM3067" s="1079"/>
      <c r="CN3067" s="1005"/>
      <c r="CO3067" s="1005"/>
      <c r="CP3067" s="1005"/>
    </row>
    <row r="3068">
      <c r="A3068" s="1257"/>
      <c r="B3068" s="1113"/>
      <c r="C3068" s="1107"/>
      <c r="D3068" s="103"/>
      <c r="E3068" s="1137"/>
      <c r="F3068" s="112"/>
      <c r="G3068" s="1110"/>
      <c r="H3068" s="1138"/>
      <c r="I3068" s="1138"/>
      <c r="J3068" s="1139"/>
      <c r="K3068" s="1111"/>
      <c r="L3068" s="1112"/>
      <c r="M3068" s="1113"/>
      <c r="N3068" s="110"/>
      <c r="O3068" s="1140"/>
      <c r="P3068" s="1115"/>
      <c r="Q3068" s="1116"/>
      <c r="R3068" s="1141"/>
      <c r="S3068" s="1113"/>
      <c r="T3068" s="1143"/>
      <c r="U3068" s="1108"/>
      <c r="V3068" s="1108"/>
      <c r="W3068" s="1108"/>
      <c r="X3068" s="1108"/>
      <c r="Y3068" s="1108"/>
      <c r="Z3068" s="1114"/>
      <c r="AA3068" s="1114"/>
      <c r="AB3068" s="1114"/>
      <c r="AC3068" s="1117"/>
      <c r="AD3068" s="1115"/>
      <c r="AE3068" s="1115"/>
      <c r="AF3068" s="1115"/>
      <c r="AG3068" s="1115"/>
      <c r="AH3068" s="1115"/>
      <c r="AI3068" s="1115"/>
      <c r="AJ3068" s="1117"/>
      <c r="AK3068" s="1118"/>
      <c r="AL3068" s="1115"/>
      <c r="AM3068" s="1115"/>
      <c r="AN3068" s="1115"/>
      <c r="AO3068" s="1115"/>
      <c r="AP3068" s="1115"/>
      <c r="AQ3068" s="1115"/>
      <c r="AR3068" s="1115"/>
      <c r="AS3068" s="1117"/>
      <c r="AT3068" s="1075"/>
      <c r="AU3068" s="1193"/>
      <c r="AV3068" s="330"/>
      <c r="AW3068" s="331"/>
      <c r="AX3068" s="331"/>
      <c r="AY3068" s="331"/>
      <c r="AZ3068" s="331"/>
      <c r="BA3068" s="331"/>
      <c r="BB3068" s="331"/>
      <c r="BC3068" s="331"/>
      <c r="BD3068" s="331"/>
      <c r="BE3068" s="333"/>
      <c r="BF3068" s="330"/>
      <c r="BG3068" s="333"/>
      <c r="BH3068" s="1119"/>
      <c r="BI3068" s="319"/>
      <c r="BJ3068" s="319"/>
      <c r="BK3068" s="319"/>
      <c r="BL3068" s="319"/>
      <c r="BM3068" s="319"/>
      <c r="BN3068" s="319"/>
      <c r="BO3068" s="319"/>
      <c r="BP3068" s="953"/>
      <c r="BQ3068" s="319"/>
      <c r="BR3068" s="319"/>
      <c r="BS3068" s="330"/>
      <c r="BT3068" s="331"/>
      <c r="BU3068" s="920"/>
      <c r="BV3068" s="903"/>
      <c r="BW3068" s="908"/>
      <c r="BX3068" s="908"/>
      <c r="BY3068" s="331"/>
      <c r="BZ3068" s="331"/>
      <c r="CA3068" s="462"/>
      <c r="CB3068" s="319"/>
      <c r="CC3068" s="319"/>
      <c r="CD3068" s="319"/>
      <c r="CE3068" s="319"/>
      <c r="CF3068" s="319"/>
      <c r="CG3068" s="319"/>
      <c r="CH3068" s="318"/>
      <c r="CI3068" s="319"/>
      <c r="CJ3068" s="319"/>
      <c r="CK3068" s="342"/>
      <c r="CL3068" s="333"/>
      <c r="CM3068" s="1079"/>
      <c r="CN3068" s="1005"/>
      <c r="CO3068" s="1005"/>
      <c r="CP3068" s="1005"/>
    </row>
    <row r="3069">
      <c r="A3069" s="1257"/>
      <c r="B3069" s="1113"/>
      <c r="C3069" s="1107"/>
      <c r="D3069" s="103"/>
      <c r="E3069" s="1137"/>
      <c r="F3069" s="112"/>
      <c r="G3069" s="1110"/>
      <c r="H3069" s="1138"/>
      <c r="I3069" s="1138"/>
      <c r="J3069" s="1139"/>
      <c r="K3069" s="1111"/>
      <c r="L3069" s="1112"/>
      <c r="M3069" s="1113"/>
      <c r="N3069" s="110"/>
      <c r="O3069" s="1140"/>
      <c r="P3069" s="1115"/>
      <c r="Q3069" s="1116"/>
      <c r="R3069" s="1141"/>
      <c r="S3069" s="1113"/>
      <c r="T3069" s="1143"/>
      <c r="U3069" s="1108"/>
      <c r="V3069" s="1108"/>
      <c r="W3069" s="1108"/>
      <c r="X3069" s="1108"/>
      <c r="Y3069" s="1108"/>
      <c r="Z3069" s="1114"/>
      <c r="AA3069" s="1114"/>
      <c r="AB3069" s="1114"/>
      <c r="AC3069" s="1117"/>
      <c r="AD3069" s="1115"/>
      <c r="AE3069" s="1115"/>
      <c r="AF3069" s="1115"/>
      <c r="AG3069" s="1115"/>
      <c r="AH3069" s="1115"/>
      <c r="AI3069" s="1115"/>
      <c r="AJ3069" s="1117"/>
      <c r="AK3069" s="1118"/>
      <c r="AL3069" s="1115"/>
      <c r="AM3069" s="1115"/>
      <c r="AN3069" s="1115"/>
      <c r="AO3069" s="1115"/>
      <c r="AP3069" s="1115"/>
      <c r="AQ3069" s="1115"/>
      <c r="AR3069" s="1115"/>
      <c r="AS3069" s="1117"/>
      <c r="AT3069" s="1075"/>
      <c r="AU3069" s="1193"/>
      <c r="AV3069" s="330"/>
      <c r="AW3069" s="331"/>
      <c r="AX3069" s="331"/>
      <c r="AY3069" s="331"/>
      <c r="AZ3069" s="331"/>
      <c r="BA3069" s="331"/>
      <c r="BB3069" s="331"/>
      <c r="BC3069" s="331"/>
      <c r="BD3069" s="331"/>
      <c r="BE3069" s="333"/>
      <c r="BF3069" s="330"/>
      <c r="BG3069" s="333"/>
      <c r="BH3069" s="1119"/>
      <c r="BI3069" s="319"/>
      <c r="BJ3069" s="319"/>
      <c r="BK3069" s="319"/>
      <c r="BL3069" s="319"/>
      <c r="BM3069" s="319"/>
      <c r="BN3069" s="319"/>
      <c r="BO3069" s="319"/>
      <c r="BP3069" s="953"/>
      <c r="BQ3069" s="319"/>
      <c r="BR3069" s="319"/>
      <c r="BS3069" s="330"/>
      <c r="BT3069" s="331"/>
      <c r="BU3069" s="920"/>
      <c r="BV3069" s="903"/>
      <c r="BW3069" s="908"/>
      <c r="BX3069" s="908"/>
      <c r="BY3069" s="331"/>
      <c r="BZ3069" s="331"/>
      <c r="CA3069" s="462"/>
      <c r="CB3069" s="319"/>
      <c r="CC3069" s="319"/>
      <c r="CD3069" s="319"/>
      <c r="CE3069" s="319"/>
      <c r="CF3069" s="319"/>
      <c r="CG3069" s="319"/>
      <c r="CH3069" s="318"/>
      <c r="CI3069" s="319"/>
      <c r="CJ3069" s="319"/>
      <c r="CK3069" s="342"/>
      <c r="CL3069" s="333"/>
      <c r="CM3069" s="1079"/>
      <c r="CN3069" s="1005"/>
      <c r="CO3069" s="1005"/>
      <c r="CP3069" s="1005"/>
    </row>
    <row r="3070">
      <c r="A3070" s="1257"/>
      <c r="B3070" s="1113"/>
      <c r="C3070" s="1107"/>
      <c r="D3070" s="103"/>
      <c r="E3070" s="1137"/>
      <c r="F3070" s="112"/>
      <c r="G3070" s="1110"/>
      <c r="H3070" s="1138"/>
      <c r="I3070" s="1138"/>
      <c r="J3070" s="1139"/>
      <c r="K3070" s="1111"/>
      <c r="L3070" s="1112"/>
      <c r="M3070" s="1113"/>
      <c r="N3070" s="110"/>
      <c r="O3070" s="1140"/>
      <c r="P3070" s="1115"/>
      <c r="Q3070" s="1116"/>
      <c r="R3070" s="1141"/>
      <c r="S3070" s="1113"/>
      <c r="T3070" s="1143"/>
      <c r="U3070" s="1108"/>
      <c r="V3070" s="1108"/>
      <c r="W3070" s="1108"/>
      <c r="X3070" s="1108"/>
      <c r="Y3070" s="1108"/>
      <c r="Z3070" s="1114"/>
      <c r="AA3070" s="1114"/>
      <c r="AB3070" s="1114"/>
      <c r="AC3070" s="1117"/>
      <c r="AD3070" s="1115"/>
      <c r="AE3070" s="1115"/>
      <c r="AF3070" s="1115"/>
      <c r="AG3070" s="1115"/>
      <c r="AH3070" s="1115"/>
      <c r="AI3070" s="1115"/>
      <c r="AJ3070" s="1117"/>
      <c r="AK3070" s="1118"/>
      <c r="AL3070" s="1115"/>
      <c r="AM3070" s="1115"/>
      <c r="AN3070" s="1115"/>
      <c r="AO3070" s="1115"/>
      <c r="AP3070" s="1115"/>
      <c r="AQ3070" s="1115"/>
      <c r="AR3070" s="1115"/>
      <c r="AS3070" s="1117"/>
      <c r="AT3070" s="1075"/>
      <c r="AU3070" s="1193"/>
      <c r="AV3070" s="330"/>
      <c r="AW3070" s="331"/>
      <c r="AX3070" s="331"/>
      <c r="AY3070" s="331"/>
      <c r="AZ3070" s="331"/>
      <c r="BA3070" s="331"/>
      <c r="BB3070" s="331"/>
      <c r="BC3070" s="331"/>
      <c r="BD3070" s="331"/>
      <c r="BE3070" s="333"/>
      <c r="BF3070" s="330"/>
      <c r="BG3070" s="333"/>
      <c r="BH3070" s="1119"/>
      <c r="BI3070" s="319"/>
      <c r="BJ3070" s="319"/>
      <c r="BK3070" s="319"/>
      <c r="BL3070" s="319"/>
      <c r="BM3070" s="319"/>
      <c r="BN3070" s="319"/>
      <c r="BO3070" s="319"/>
      <c r="BP3070" s="953"/>
      <c r="BQ3070" s="319"/>
      <c r="BR3070" s="319"/>
      <c r="BS3070" s="330"/>
      <c r="BT3070" s="331"/>
      <c r="BU3070" s="920"/>
      <c r="BV3070" s="903"/>
      <c r="BW3070" s="908"/>
      <c r="BX3070" s="908"/>
      <c r="BY3070" s="331"/>
      <c r="BZ3070" s="331"/>
      <c r="CA3070" s="462"/>
      <c r="CB3070" s="319"/>
      <c r="CC3070" s="319"/>
      <c r="CD3070" s="319"/>
      <c r="CE3070" s="319"/>
      <c r="CF3070" s="319"/>
      <c r="CG3070" s="319"/>
      <c r="CH3070" s="318"/>
      <c r="CI3070" s="319"/>
      <c r="CJ3070" s="319"/>
      <c r="CK3070" s="342"/>
      <c r="CL3070" s="333"/>
      <c r="CM3070" s="1079"/>
      <c r="CN3070" s="1005"/>
      <c r="CO3070" s="1005"/>
      <c r="CP3070" s="1005"/>
    </row>
    <row r="3071">
      <c r="A3071" s="1257"/>
      <c r="B3071" s="1113"/>
      <c r="C3071" s="1107"/>
      <c r="D3071" s="103"/>
      <c r="E3071" s="1137"/>
      <c r="F3071" s="112"/>
      <c r="G3071" s="1110"/>
      <c r="H3071" s="1138"/>
      <c r="I3071" s="1138"/>
      <c r="J3071" s="1139"/>
      <c r="K3071" s="1111"/>
      <c r="L3071" s="1112"/>
      <c r="M3071" s="1113"/>
      <c r="N3071" s="110"/>
      <c r="O3071" s="1140"/>
      <c r="P3071" s="1115"/>
      <c r="Q3071" s="1116"/>
      <c r="R3071" s="1141"/>
      <c r="S3071" s="1113"/>
      <c r="T3071" s="1143"/>
      <c r="U3071" s="1108"/>
      <c r="V3071" s="1108"/>
      <c r="W3071" s="1108"/>
      <c r="X3071" s="1108"/>
      <c r="Y3071" s="1108"/>
      <c r="Z3071" s="1114"/>
      <c r="AA3071" s="1114"/>
      <c r="AB3071" s="1114"/>
      <c r="AC3071" s="1117"/>
      <c r="AD3071" s="1115"/>
      <c r="AE3071" s="1115"/>
      <c r="AF3071" s="1115"/>
      <c r="AG3071" s="1115"/>
      <c r="AH3071" s="1115"/>
      <c r="AI3071" s="1115"/>
      <c r="AJ3071" s="1117"/>
      <c r="AK3071" s="1118"/>
      <c r="AL3071" s="1115"/>
      <c r="AM3071" s="1115"/>
      <c r="AN3071" s="1115"/>
      <c r="AO3071" s="1115"/>
      <c r="AP3071" s="1115"/>
      <c r="AQ3071" s="1115"/>
      <c r="AR3071" s="1115"/>
      <c r="AS3071" s="1117"/>
      <c r="AT3071" s="1075"/>
      <c r="AU3071" s="1193"/>
      <c r="AV3071" s="330"/>
      <c r="AW3071" s="331"/>
      <c r="AX3071" s="331"/>
      <c r="AY3071" s="331"/>
      <c r="AZ3071" s="331"/>
      <c r="BA3071" s="331"/>
      <c r="BB3071" s="331"/>
      <c r="BC3071" s="331"/>
      <c r="BD3071" s="331"/>
      <c r="BE3071" s="333"/>
      <c r="BF3071" s="330"/>
      <c r="BG3071" s="333"/>
      <c r="BH3071" s="1119"/>
      <c r="BI3071" s="319"/>
      <c r="BJ3071" s="319"/>
      <c r="BK3071" s="319"/>
      <c r="BL3071" s="319"/>
      <c r="BM3071" s="319"/>
      <c r="BN3071" s="319"/>
      <c r="BO3071" s="319"/>
      <c r="BP3071" s="953"/>
      <c r="BQ3071" s="319"/>
      <c r="BR3071" s="319"/>
      <c r="BS3071" s="330"/>
      <c r="BT3071" s="331"/>
      <c r="BU3071" s="920"/>
      <c r="BV3071" s="903"/>
      <c r="BW3071" s="908"/>
      <c r="BX3071" s="908"/>
      <c r="BY3071" s="331"/>
      <c r="BZ3071" s="331"/>
      <c r="CA3071" s="462"/>
      <c r="CB3071" s="319"/>
      <c r="CC3071" s="319"/>
      <c r="CD3071" s="319"/>
      <c r="CE3071" s="319"/>
      <c r="CF3071" s="319"/>
      <c r="CG3071" s="319"/>
      <c r="CH3071" s="318"/>
      <c r="CI3071" s="319"/>
      <c r="CJ3071" s="319"/>
      <c r="CK3071" s="342"/>
      <c r="CL3071" s="333"/>
      <c r="CM3071" s="1079"/>
      <c r="CN3071" s="1005"/>
      <c r="CO3071" s="1005"/>
      <c r="CP3071" s="1005"/>
    </row>
    <row r="3072">
      <c r="A3072" s="1257"/>
      <c r="B3072" s="1113"/>
      <c r="C3072" s="1107"/>
      <c r="D3072" s="103"/>
      <c r="E3072" s="1137"/>
      <c r="F3072" s="112"/>
      <c r="G3072" s="1110"/>
      <c r="H3072" s="1138"/>
      <c r="I3072" s="1138"/>
      <c r="J3072" s="1139"/>
      <c r="K3072" s="1111"/>
      <c r="L3072" s="1112"/>
      <c r="M3072" s="1113"/>
      <c r="N3072" s="110"/>
      <c r="O3072" s="1140"/>
      <c r="P3072" s="1115"/>
      <c r="Q3072" s="1116"/>
      <c r="R3072" s="1141"/>
      <c r="S3072" s="1113"/>
      <c r="T3072" s="1143"/>
      <c r="U3072" s="1108"/>
      <c r="V3072" s="1108"/>
      <c r="W3072" s="1108"/>
      <c r="X3072" s="1108"/>
      <c r="Y3072" s="1108"/>
      <c r="Z3072" s="1114"/>
      <c r="AA3072" s="1114"/>
      <c r="AB3072" s="1114"/>
      <c r="AC3072" s="1117"/>
      <c r="AD3072" s="1115"/>
      <c r="AE3072" s="1115"/>
      <c r="AF3072" s="1115"/>
      <c r="AG3072" s="1115"/>
      <c r="AH3072" s="1115"/>
      <c r="AI3072" s="1115"/>
      <c r="AJ3072" s="1117"/>
      <c r="AK3072" s="1118"/>
      <c r="AL3072" s="1115"/>
      <c r="AM3072" s="1115"/>
      <c r="AN3072" s="1115"/>
      <c r="AO3072" s="1115"/>
      <c r="AP3072" s="1115"/>
      <c r="AQ3072" s="1115"/>
      <c r="AR3072" s="1115"/>
      <c r="AS3072" s="1117"/>
      <c r="AT3072" s="1075"/>
      <c r="AU3072" s="1193"/>
      <c r="AV3072" s="330"/>
      <c r="AW3072" s="331"/>
      <c r="AX3072" s="331"/>
      <c r="AY3072" s="331"/>
      <c r="AZ3072" s="331"/>
      <c r="BA3072" s="331"/>
      <c r="BB3072" s="331"/>
      <c r="BC3072" s="331"/>
      <c r="BD3072" s="331"/>
      <c r="BE3072" s="333"/>
      <c r="BF3072" s="330"/>
      <c r="BG3072" s="333"/>
      <c r="BH3072" s="1119"/>
      <c r="BI3072" s="319"/>
      <c r="BJ3072" s="319"/>
      <c r="BK3072" s="319"/>
      <c r="BL3072" s="319"/>
      <c r="BM3072" s="319"/>
      <c r="BN3072" s="319"/>
      <c r="BO3072" s="319"/>
      <c r="BP3072" s="953"/>
      <c r="BQ3072" s="319"/>
      <c r="BR3072" s="319"/>
      <c r="BS3072" s="330"/>
      <c r="BT3072" s="331"/>
      <c r="BU3072" s="920"/>
      <c r="BV3072" s="903"/>
      <c r="BW3072" s="908"/>
      <c r="BX3072" s="908"/>
      <c r="BY3072" s="331"/>
      <c r="BZ3072" s="331"/>
      <c r="CA3072" s="462"/>
      <c r="CB3072" s="319"/>
      <c r="CC3072" s="319"/>
      <c r="CD3072" s="319"/>
      <c r="CE3072" s="319"/>
      <c r="CF3072" s="319"/>
      <c r="CG3072" s="319"/>
      <c r="CH3072" s="318"/>
      <c r="CI3072" s="319"/>
      <c r="CJ3072" s="319"/>
      <c r="CK3072" s="342"/>
      <c r="CL3072" s="333"/>
      <c r="CM3072" s="1079"/>
      <c r="CN3072" s="1005"/>
      <c r="CO3072" s="1005"/>
      <c r="CP3072" s="1005"/>
    </row>
    <row r="3073">
      <c r="A3073" s="1257"/>
      <c r="B3073" s="1113"/>
      <c r="C3073" s="1107"/>
      <c r="D3073" s="103"/>
      <c r="E3073" s="1137"/>
      <c r="F3073" s="112"/>
      <c r="G3073" s="1110"/>
      <c r="H3073" s="1138"/>
      <c r="I3073" s="1138"/>
      <c r="J3073" s="1139"/>
      <c r="K3073" s="1111"/>
      <c r="L3073" s="1112"/>
      <c r="M3073" s="1113"/>
      <c r="N3073" s="110"/>
      <c r="O3073" s="1140"/>
      <c r="P3073" s="1115"/>
      <c r="Q3073" s="1116"/>
      <c r="R3073" s="1141"/>
      <c r="S3073" s="1113"/>
      <c r="T3073" s="1143"/>
      <c r="U3073" s="1108"/>
      <c r="V3073" s="1108"/>
      <c r="W3073" s="1108"/>
      <c r="X3073" s="1108"/>
      <c r="Y3073" s="1108"/>
      <c r="Z3073" s="1114"/>
      <c r="AA3073" s="1114"/>
      <c r="AB3073" s="1114"/>
      <c r="AC3073" s="1117"/>
      <c r="AD3073" s="1115"/>
      <c r="AE3073" s="1115"/>
      <c r="AF3073" s="1115"/>
      <c r="AG3073" s="1115"/>
      <c r="AH3073" s="1115"/>
      <c r="AI3073" s="1115"/>
      <c r="AJ3073" s="1117"/>
      <c r="AK3073" s="1118"/>
      <c r="AL3073" s="1115"/>
      <c r="AM3073" s="1115"/>
      <c r="AN3073" s="1115"/>
      <c r="AO3073" s="1115"/>
      <c r="AP3073" s="1115"/>
      <c r="AQ3073" s="1115"/>
      <c r="AR3073" s="1115"/>
      <c r="AS3073" s="1117"/>
      <c r="AT3073" s="1075"/>
      <c r="AU3073" s="1193"/>
      <c r="AV3073" s="330"/>
      <c r="AW3073" s="331"/>
      <c r="AX3073" s="331"/>
      <c r="AY3073" s="331"/>
      <c r="AZ3073" s="331"/>
      <c r="BA3073" s="331"/>
      <c r="BB3073" s="331"/>
      <c r="BC3073" s="331"/>
      <c r="BD3073" s="331"/>
      <c r="BE3073" s="333"/>
      <c r="BF3073" s="330"/>
      <c r="BG3073" s="333"/>
      <c r="BH3073" s="1119"/>
      <c r="BI3073" s="319"/>
      <c r="BJ3073" s="319"/>
      <c r="BK3073" s="319"/>
      <c r="BL3073" s="319"/>
      <c r="BM3073" s="319"/>
      <c r="BN3073" s="319"/>
      <c r="BO3073" s="319"/>
      <c r="BP3073" s="953"/>
      <c r="BQ3073" s="319"/>
      <c r="BR3073" s="319"/>
      <c r="BS3073" s="330"/>
      <c r="BT3073" s="331"/>
      <c r="BU3073" s="920"/>
      <c r="BV3073" s="903"/>
      <c r="BW3073" s="908"/>
      <c r="BX3073" s="908"/>
      <c r="BY3073" s="331"/>
      <c r="BZ3073" s="331"/>
      <c r="CA3073" s="462"/>
      <c r="CB3073" s="319"/>
      <c r="CC3073" s="319"/>
      <c r="CD3073" s="319"/>
      <c r="CE3073" s="319"/>
      <c r="CF3073" s="319"/>
      <c r="CG3073" s="319"/>
      <c r="CH3073" s="318"/>
      <c r="CI3073" s="319"/>
      <c r="CJ3073" s="319"/>
      <c r="CK3073" s="342"/>
      <c r="CL3073" s="333"/>
      <c r="CM3073" s="1079"/>
      <c r="CN3073" s="1005"/>
      <c r="CO3073" s="1005"/>
      <c r="CP3073" s="1005"/>
    </row>
    <row r="3074">
      <c r="A3074" s="1257"/>
      <c r="B3074" s="1113"/>
      <c r="C3074" s="1107"/>
      <c r="D3074" s="103"/>
      <c r="E3074" s="1137"/>
      <c r="F3074" s="112"/>
      <c r="G3074" s="1110"/>
      <c r="H3074" s="1138"/>
      <c r="I3074" s="1138"/>
      <c r="J3074" s="1139"/>
      <c r="K3074" s="1111"/>
      <c r="L3074" s="1112"/>
      <c r="M3074" s="1113"/>
      <c r="N3074" s="110"/>
      <c r="O3074" s="1140"/>
      <c r="P3074" s="1115"/>
      <c r="Q3074" s="1116"/>
      <c r="R3074" s="1141"/>
      <c r="S3074" s="1113"/>
      <c r="T3074" s="1143"/>
      <c r="U3074" s="1108"/>
      <c r="V3074" s="1108"/>
      <c r="W3074" s="1108"/>
      <c r="X3074" s="1108"/>
      <c r="Y3074" s="1108"/>
      <c r="Z3074" s="1114"/>
      <c r="AA3074" s="1114"/>
      <c r="AB3074" s="1114"/>
      <c r="AC3074" s="1117"/>
      <c r="AD3074" s="1115"/>
      <c r="AE3074" s="1115"/>
      <c r="AF3074" s="1115"/>
      <c r="AG3074" s="1115"/>
      <c r="AH3074" s="1115"/>
      <c r="AI3074" s="1115"/>
      <c r="AJ3074" s="1117"/>
      <c r="AK3074" s="1118"/>
      <c r="AL3074" s="1115"/>
      <c r="AM3074" s="1115"/>
      <c r="AN3074" s="1115"/>
      <c r="AO3074" s="1115"/>
      <c r="AP3074" s="1115"/>
      <c r="AQ3074" s="1115"/>
      <c r="AR3074" s="1115"/>
      <c r="AS3074" s="1117"/>
      <c r="AT3074" s="1075"/>
      <c r="AU3074" s="1193"/>
      <c r="AV3074" s="330"/>
      <c r="AW3074" s="331"/>
      <c r="AX3074" s="331"/>
      <c r="AY3074" s="331"/>
      <c r="AZ3074" s="331"/>
      <c r="BA3074" s="331"/>
      <c r="BB3074" s="331"/>
      <c r="BC3074" s="331"/>
      <c r="BD3074" s="331"/>
      <c r="BE3074" s="333"/>
      <c r="BF3074" s="330"/>
      <c r="BG3074" s="333"/>
      <c r="BH3074" s="1119"/>
      <c r="BI3074" s="319"/>
      <c r="BJ3074" s="319"/>
      <c r="BK3074" s="319"/>
      <c r="BL3074" s="319"/>
      <c r="BM3074" s="319"/>
      <c r="BN3074" s="319"/>
      <c r="BO3074" s="319"/>
      <c r="BP3074" s="953"/>
      <c r="BQ3074" s="319"/>
      <c r="BR3074" s="319"/>
      <c r="BS3074" s="330"/>
      <c r="BT3074" s="331"/>
      <c r="BU3074" s="920"/>
      <c r="BV3074" s="903"/>
      <c r="BW3074" s="908"/>
      <c r="BX3074" s="908"/>
      <c r="BY3074" s="331"/>
      <c r="BZ3074" s="331"/>
      <c r="CA3074" s="462"/>
      <c r="CB3074" s="319"/>
      <c r="CC3074" s="319"/>
      <c r="CD3074" s="319"/>
      <c r="CE3074" s="319"/>
      <c r="CF3074" s="319"/>
      <c r="CG3074" s="319"/>
      <c r="CH3074" s="318"/>
      <c r="CI3074" s="319"/>
      <c r="CJ3074" s="319"/>
      <c r="CK3074" s="342"/>
      <c r="CL3074" s="333"/>
      <c r="CM3074" s="1079"/>
      <c r="CN3074" s="1005"/>
      <c r="CO3074" s="1005"/>
      <c r="CP3074" s="1005"/>
    </row>
    <row r="3075">
      <c r="A3075" s="1257"/>
      <c r="B3075" s="1113"/>
      <c r="C3075" s="1107"/>
      <c r="D3075" s="103"/>
      <c r="E3075" s="1137"/>
      <c r="F3075" s="112"/>
      <c r="G3075" s="1110"/>
      <c r="H3075" s="1138"/>
      <c r="I3075" s="1138"/>
      <c r="J3075" s="1139"/>
      <c r="K3075" s="1111"/>
      <c r="L3075" s="1112"/>
      <c r="M3075" s="1113"/>
      <c r="N3075" s="110"/>
      <c r="O3075" s="1140"/>
      <c r="P3075" s="1115"/>
      <c r="Q3075" s="1116"/>
      <c r="R3075" s="1141"/>
      <c r="S3075" s="1113"/>
      <c r="T3075" s="1143"/>
      <c r="U3075" s="1108"/>
      <c r="V3075" s="1108"/>
      <c r="W3075" s="1108"/>
      <c r="X3075" s="1108"/>
      <c r="Y3075" s="1108"/>
      <c r="Z3075" s="1114"/>
      <c r="AA3075" s="1114"/>
      <c r="AB3075" s="1114"/>
      <c r="AC3075" s="1117"/>
      <c r="AD3075" s="1115"/>
      <c r="AE3075" s="1115"/>
      <c r="AF3075" s="1115"/>
      <c r="AG3075" s="1115"/>
      <c r="AH3075" s="1115"/>
      <c r="AI3075" s="1115"/>
      <c r="AJ3075" s="1117"/>
      <c r="AK3075" s="1118"/>
      <c r="AL3075" s="1115"/>
      <c r="AM3075" s="1115"/>
      <c r="AN3075" s="1115"/>
      <c r="AO3075" s="1115"/>
      <c r="AP3075" s="1115"/>
      <c r="AQ3075" s="1115"/>
      <c r="AR3075" s="1115"/>
      <c r="AS3075" s="1117"/>
      <c r="AT3075" s="1075"/>
      <c r="AU3075" s="1193"/>
      <c r="AV3075" s="330"/>
      <c r="AW3075" s="331"/>
      <c r="AX3075" s="331"/>
      <c r="AY3075" s="331"/>
      <c r="AZ3075" s="331"/>
      <c r="BA3075" s="331"/>
      <c r="BB3075" s="331"/>
      <c r="BC3075" s="331"/>
      <c r="BD3075" s="331"/>
      <c r="BE3075" s="333"/>
      <c r="BF3075" s="330"/>
      <c r="BG3075" s="333"/>
      <c r="BH3075" s="1119"/>
      <c r="BI3075" s="319"/>
      <c r="BJ3075" s="319"/>
      <c r="BK3075" s="319"/>
      <c r="BL3075" s="319"/>
      <c r="BM3075" s="319"/>
      <c r="BN3075" s="319"/>
      <c r="BO3075" s="319"/>
      <c r="BP3075" s="953"/>
      <c r="BQ3075" s="319"/>
      <c r="BR3075" s="319"/>
      <c r="BS3075" s="330"/>
      <c r="BT3075" s="331"/>
      <c r="BU3075" s="920"/>
      <c r="BV3075" s="903"/>
      <c r="BW3075" s="908"/>
      <c r="BX3075" s="908"/>
      <c r="BY3075" s="331"/>
      <c r="BZ3075" s="331"/>
      <c r="CA3075" s="462"/>
      <c r="CB3075" s="319"/>
      <c r="CC3075" s="319"/>
      <c r="CD3075" s="319"/>
      <c r="CE3075" s="319"/>
      <c r="CF3075" s="319"/>
      <c r="CG3075" s="319"/>
      <c r="CH3075" s="318"/>
      <c r="CI3075" s="319"/>
      <c r="CJ3075" s="319"/>
      <c r="CK3075" s="342"/>
      <c r="CL3075" s="333"/>
      <c r="CM3075" s="1079"/>
      <c r="CN3075" s="1005"/>
      <c r="CO3075" s="1005"/>
      <c r="CP3075" s="1005"/>
    </row>
    <row r="3076">
      <c r="A3076" s="1257"/>
      <c r="B3076" s="1113"/>
      <c r="C3076" s="1107"/>
      <c r="D3076" s="103"/>
      <c r="E3076" s="1137"/>
      <c r="F3076" s="112"/>
      <c r="G3076" s="1110"/>
      <c r="H3076" s="1138"/>
      <c r="I3076" s="1138"/>
      <c r="J3076" s="1139"/>
      <c r="K3076" s="1111"/>
      <c r="L3076" s="1112"/>
      <c r="M3076" s="1113"/>
      <c r="N3076" s="110"/>
      <c r="O3076" s="1140"/>
      <c r="P3076" s="1115"/>
      <c r="Q3076" s="1116"/>
      <c r="R3076" s="1141"/>
      <c r="S3076" s="1113"/>
      <c r="T3076" s="1143"/>
      <c r="U3076" s="1108"/>
      <c r="V3076" s="1108"/>
      <c r="W3076" s="1108"/>
      <c r="X3076" s="1108"/>
      <c r="Y3076" s="1108"/>
      <c r="Z3076" s="1114"/>
      <c r="AA3076" s="1114"/>
      <c r="AB3076" s="1114"/>
      <c r="AC3076" s="1117"/>
      <c r="AD3076" s="1115"/>
      <c r="AE3076" s="1115"/>
      <c r="AF3076" s="1115"/>
      <c r="AG3076" s="1115"/>
      <c r="AH3076" s="1115"/>
      <c r="AI3076" s="1115"/>
      <c r="AJ3076" s="1117"/>
      <c r="AK3076" s="1118"/>
      <c r="AL3076" s="1115"/>
      <c r="AM3076" s="1115"/>
      <c r="AN3076" s="1115"/>
      <c r="AO3076" s="1115"/>
      <c r="AP3076" s="1115"/>
      <c r="AQ3076" s="1115"/>
      <c r="AR3076" s="1115"/>
      <c r="AS3076" s="1117"/>
      <c r="AT3076" s="1075"/>
      <c r="AU3076" s="1193"/>
      <c r="AV3076" s="330"/>
      <c r="AW3076" s="331"/>
      <c r="AX3076" s="331"/>
      <c r="AY3076" s="331"/>
      <c r="AZ3076" s="331"/>
      <c r="BA3076" s="331"/>
      <c r="BB3076" s="331"/>
      <c r="BC3076" s="331"/>
      <c r="BD3076" s="331"/>
      <c r="BE3076" s="333"/>
      <c r="BF3076" s="330"/>
      <c r="BG3076" s="333"/>
      <c r="BH3076" s="1119"/>
      <c r="BI3076" s="319"/>
      <c r="BJ3076" s="319"/>
      <c r="BK3076" s="319"/>
      <c r="BL3076" s="319"/>
      <c r="BM3076" s="319"/>
      <c r="BN3076" s="319"/>
      <c r="BO3076" s="319"/>
      <c r="BP3076" s="953"/>
      <c r="BQ3076" s="319"/>
      <c r="BR3076" s="319"/>
      <c r="BS3076" s="330"/>
      <c r="BT3076" s="331"/>
      <c r="BU3076" s="920"/>
      <c r="BV3076" s="903"/>
      <c r="BW3076" s="908"/>
      <c r="BX3076" s="908"/>
      <c r="BY3076" s="331"/>
      <c r="BZ3076" s="331"/>
      <c r="CA3076" s="462"/>
      <c r="CB3076" s="319"/>
      <c r="CC3076" s="319"/>
      <c r="CD3076" s="319"/>
      <c r="CE3076" s="319"/>
      <c r="CF3076" s="319"/>
      <c r="CG3076" s="319"/>
      <c r="CH3076" s="318"/>
      <c r="CI3076" s="319"/>
      <c r="CJ3076" s="319"/>
      <c r="CK3076" s="342"/>
      <c r="CL3076" s="333"/>
      <c r="CM3076" s="1079"/>
      <c r="CN3076" s="1005"/>
      <c r="CO3076" s="1005"/>
      <c r="CP3076" s="1005"/>
    </row>
    <row r="3077">
      <c r="A3077" s="1257"/>
      <c r="B3077" s="1113"/>
      <c r="C3077" s="1107"/>
      <c r="D3077" s="103"/>
      <c r="E3077" s="1137"/>
      <c r="F3077" s="112"/>
      <c r="G3077" s="1110"/>
      <c r="H3077" s="1138"/>
      <c r="I3077" s="1138"/>
      <c r="J3077" s="1139"/>
      <c r="K3077" s="1111"/>
      <c r="L3077" s="1112"/>
      <c r="M3077" s="1113"/>
      <c r="N3077" s="110"/>
      <c r="O3077" s="1140"/>
      <c r="P3077" s="1115"/>
      <c r="Q3077" s="1116"/>
      <c r="R3077" s="1141"/>
      <c r="S3077" s="1113"/>
      <c r="T3077" s="1143"/>
      <c r="U3077" s="1108"/>
      <c r="V3077" s="1108"/>
      <c r="W3077" s="1108"/>
      <c r="X3077" s="1108"/>
      <c r="Y3077" s="1108"/>
      <c r="Z3077" s="1114"/>
      <c r="AA3077" s="1114"/>
      <c r="AB3077" s="1114"/>
      <c r="AC3077" s="1117"/>
      <c r="AD3077" s="1115"/>
      <c r="AE3077" s="1115"/>
      <c r="AF3077" s="1115"/>
      <c r="AG3077" s="1115"/>
      <c r="AH3077" s="1115"/>
      <c r="AI3077" s="1115"/>
      <c r="AJ3077" s="1117"/>
      <c r="AK3077" s="1118"/>
      <c r="AL3077" s="1115"/>
      <c r="AM3077" s="1115"/>
      <c r="AN3077" s="1115"/>
      <c r="AO3077" s="1115"/>
      <c r="AP3077" s="1115"/>
      <c r="AQ3077" s="1115"/>
      <c r="AR3077" s="1115"/>
      <c r="AS3077" s="1117"/>
      <c r="AT3077" s="1075"/>
      <c r="AU3077" s="1193"/>
      <c r="AV3077" s="330"/>
      <c r="AW3077" s="331"/>
      <c r="AX3077" s="331"/>
      <c r="AY3077" s="331"/>
      <c r="AZ3077" s="331"/>
      <c r="BA3077" s="331"/>
      <c r="BB3077" s="331"/>
      <c r="BC3077" s="331"/>
      <c r="BD3077" s="331"/>
      <c r="BE3077" s="333"/>
      <c r="BF3077" s="330"/>
      <c r="BG3077" s="333"/>
      <c r="BH3077" s="1119"/>
      <c r="BI3077" s="319"/>
      <c r="BJ3077" s="319"/>
      <c r="BK3077" s="319"/>
      <c r="BL3077" s="319"/>
      <c r="BM3077" s="319"/>
      <c r="BN3077" s="319"/>
      <c r="BO3077" s="319"/>
      <c r="BP3077" s="953"/>
      <c r="BQ3077" s="319"/>
      <c r="BR3077" s="319"/>
      <c r="BS3077" s="330"/>
      <c r="BT3077" s="331"/>
      <c r="BU3077" s="920"/>
      <c r="BV3077" s="903"/>
      <c r="BW3077" s="908"/>
      <c r="BX3077" s="908"/>
      <c r="BY3077" s="331"/>
      <c r="BZ3077" s="331"/>
      <c r="CA3077" s="462"/>
      <c r="CB3077" s="319"/>
      <c r="CC3077" s="319"/>
      <c r="CD3077" s="319"/>
      <c r="CE3077" s="319"/>
      <c r="CF3077" s="319"/>
      <c r="CG3077" s="319"/>
      <c r="CH3077" s="318"/>
      <c r="CI3077" s="319"/>
      <c r="CJ3077" s="319"/>
      <c r="CK3077" s="342"/>
      <c r="CL3077" s="333"/>
      <c r="CM3077" s="1079"/>
      <c r="CN3077" s="1005"/>
      <c r="CO3077" s="1005"/>
      <c r="CP3077" s="1005"/>
    </row>
    <row r="3078">
      <c r="A3078" s="1257"/>
      <c r="B3078" s="1113"/>
      <c r="C3078" s="1107"/>
      <c r="D3078" s="103"/>
      <c r="E3078" s="1137"/>
      <c r="F3078" s="112"/>
      <c r="G3078" s="1110"/>
      <c r="H3078" s="1138"/>
      <c r="I3078" s="1138"/>
      <c r="J3078" s="1139"/>
      <c r="K3078" s="1111"/>
      <c r="L3078" s="1112"/>
      <c r="M3078" s="1113"/>
      <c r="N3078" s="110"/>
      <c r="O3078" s="1140"/>
      <c r="P3078" s="1115"/>
      <c r="Q3078" s="1116"/>
      <c r="R3078" s="1141"/>
      <c r="S3078" s="1113"/>
      <c r="T3078" s="1143"/>
      <c r="U3078" s="1108"/>
      <c r="V3078" s="1108"/>
      <c r="W3078" s="1108"/>
      <c r="X3078" s="1108"/>
      <c r="Y3078" s="1108"/>
      <c r="Z3078" s="1114"/>
      <c r="AA3078" s="1114"/>
      <c r="AB3078" s="1114"/>
      <c r="AC3078" s="1117"/>
      <c r="AD3078" s="1115"/>
      <c r="AE3078" s="1115"/>
      <c r="AF3078" s="1115"/>
      <c r="AG3078" s="1115"/>
      <c r="AH3078" s="1115"/>
      <c r="AI3078" s="1115"/>
      <c r="AJ3078" s="1117"/>
      <c r="AK3078" s="1118"/>
      <c r="AL3078" s="1115"/>
      <c r="AM3078" s="1115"/>
      <c r="AN3078" s="1115"/>
      <c r="AO3078" s="1115"/>
      <c r="AP3078" s="1115"/>
      <c r="AQ3078" s="1115"/>
      <c r="AR3078" s="1115"/>
      <c r="AS3078" s="1117"/>
      <c r="AT3078" s="1075"/>
      <c r="AU3078" s="1193"/>
      <c r="AV3078" s="330"/>
      <c r="AW3078" s="331"/>
      <c r="AX3078" s="331"/>
      <c r="AY3078" s="331"/>
      <c r="AZ3078" s="331"/>
      <c r="BA3078" s="331"/>
      <c r="BB3078" s="331"/>
      <c r="BC3078" s="331"/>
      <c r="BD3078" s="331"/>
      <c r="BE3078" s="333"/>
      <c r="BF3078" s="330"/>
      <c r="BG3078" s="333"/>
      <c r="BH3078" s="1119"/>
      <c r="BI3078" s="319"/>
      <c r="BJ3078" s="319"/>
      <c r="BK3078" s="319"/>
      <c r="BL3078" s="319"/>
      <c r="BM3078" s="319"/>
      <c r="BN3078" s="319"/>
      <c r="BO3078" s="319"/>
      <c r="BP3078" s="953"/>
      <c r="BQ3078" s="319"/>
      <c r="BR3078" s="319"/>
      <c r="BS3078" s="330"/>
      <c r="BT3078" s="331"/>
      <c r="BU3078" s="920"/>
      <c r="BV3078" s="903"/>
      <c r="BW3078" s="908"/>
      <c r="BX3078" s="908"/>
      <c r="BY3078" s="331"/>
      <c r="BZ3078" s="331"/>
      <c r="CA3078" s="462"/>
      <c r="CB3078" s="319"/>
      <c r="CC3078" s="319"/>
      <c r="CD3078" s="319"/>
      <c r="CE3078" s="319"/>
      <c r="CF3078" s="319"/>
      <c r="CG3078" s="319"/>
      <c r="CH3078" s="318"/>
      <c r="CI3078" s="319"/>
      <c r="CJ3078" s="319"/>
      <c r="CK3078" s="342"/>
      <c r="CL3078" s="333"/>
      <c r="CM3078" s="1079"/>
      <c r="CN3078" s="1005"/>
      <c r="CO3078" s="1005"/>
      <c r="CP3078" s="1005"/>
    </row>
    <row r="3079">
      <c r="A3079" s="1257"/>
      <c r="B3079" s="1113"/>
      <c r="C3079" s="1107"/>
      <c r="D3079" s="103"/>
      <c r="E3079" s="1137"/>
      <c r="F3079" s="112"/>
      <c r="G3079" s="1110"/>
      <c r="H3079" s="1138"/>
      <c r="I3079" s="1138"/>
      <c r="J3079" s="1139"/>
      <c r="K3079" s="1111"/>
      <c r="L3079" s="1112"/>
      <c r="M3079" s="1113"/>
      <c r="N3079" s="110"/>
      <c r="O3079" s="1140"/>
      <c r="P3079" s="1115"/>
      <c r="Q3079" s="1116"/>
      <c r="R3079" s="1141"/>
      <c r="S3079" s="1113"/>
      <c r="T3079" s="1143"/>
      <c r="U3079" s="1108"/>
      <c r="V3079" s="1108"/>
      <c r="W3079" s="1108"/>
      <c r="X3079" s="1108"/>
      <c r="Y3079" s="1108"/>
      <c r="Z3079" s="1114"/>
      <c r="AA3079" s="1114"/>
      <c r="AB3079" s="1114"/>
      <c r="AC3079" s="1117"/>
      <c r="AD3079" s="1115"/>
      <c r="AE3079" s="1115"/>
      <c r="AF3079" s="1115"/>
      <c r="AG3079" s="1115"/>
      <c r="AH3079" s="1115"/>
      <c r="AI3079" s="1115"/>
      <c r="AJ3079" s="1117"/>
      <c r="AK3079" s="1118"/>
      <c r="AL3079" s="1115"/>
      <c r="AM3079" s="1115"/>
      <c r="AN3079" s="1115"/>
      <c r="AO3079" s="1115"/>
      <c r="AP3079" s="1115"/>
      <c r="AQ3079" s="1115"/>
      <c r="AR3079" s="1115"/>
      <c r="AS3079" s="1117"/>
      <c r="AT3079" s="1075"/>
      <c r="AU3079" s="1193"/>
      <c r="AV3079" s="330"/>
      <c r="AW3079" s="331"/>
      <c r="AX3079" s="331"/>
      <c r="AY3079" s="331"/>
      <c r="AZ3079" s="331"/>
      <c r="BA3079" s="331"/>
      <c r="BB3079" s="331"/>
      <c r="BC3079" s="331"/>
      <c r="BD3079" s="331"/>
      <c r="BE3079" s="333"/>
      <c r="BF3079" s="330"/>
      <c r="BG3079" s="333"/>
      <c r="BH3079" s="1119"/>
      <c r="BI3079" s="319"/>
      <c r="BJ3079" s="319"/>
      <c r="BK3079" s="319"/>
      <c r="BL3079" s="319"/>
      <c r="BM3079" s="319"/>
      <c r="BN3079" s="319"/>
      <c r="BO3079" s="319"/>
      <c r="BP3079" s="953"/>
      <c r="BQ3079" s="319"/>
      <c r="BR3079" s="319"/>
      <c r="BS3079" s="330"/>
      <c r="BT3079" s="331"/>
      <c r="BU3079" s="920"/>
      <c r="BV3079" s="903"/>
      <c r="BW3079" s="908"/>
      <c r="BX3079" s="908"/>
      <c r="BY3079" s="331"/>
      <c r="BZ3079" s="331"/>
      <c r="CA3079" s="462"/>
      <c r="CB3079" s="319"/>
      <c r="CC3079" s="319"/>
      <c r="CD3079" s="319"/>
      <c r="CE3079" s="319"/>
      <c r="CF3079" s="319"/>
      <c r="CG3079" s="319"/>
      <c r="CH3079" s="318"/>
      <c r="CI3079" s="319"/>
      <c r="CJ3079" s="319"/>
      <c r="CK3079" s="342"/>
      <c r="CL3079" s="333"/>
      <c r="CM3079" s="1079"/>
      <c r="CN3079" s="1005"/>
      <c r="CO3079" s="1005"/>
      <c r="CP3079" s="1005"/>
    </row>
    <row r="3080">
      <c r="A3080" s="1257"/>
      <c r="B3080" s="1113"/>
      <c r="C3080" s="1107"/>
      <c r="D3080" s="103"/>
      <c r="E3080" s="1137"/>
      <c r="F3080" s="112"/>
      <c r="G3080" s="1110"/>
      <c r="H3080" s="1138"/>
      <c r="I3080" s="1138"/>
      <c r="J3080" s="1139"/>
      <c r="K3080" s="1111"/>
      <c r="L3080" s="1112"/>
      <c r="M3080" s="1113"/>
      <c r="N3080" s="110"/>
      <c r="O3080" s="1140"/>
      <c r="P3080" s="1115"/>
      <c r="Q3080" s="1116"/>
      <c r="R3080" s="1141"/>
      <c r="S3080" s="1113"/>
      <c r="T3080" s="1143"/>
      <c r="U3080" s="1108"/>
      <c r="V3080" s="1108"/>
      <c r="W3080" s="1108"/>
      <c r="X3080" s="1108"/>
      <c r="Y3080" s="1108"/>
      <c r="Z3080" s="1114"/>
      <c r="AA3080" s="1114"/>
      <c r="AB3080" s="1114"/>
      <c r="AC3080" s="1117"/>
      <c r="AD3080" s="1115"/>
      <c r="AE3080" s="1115"/>
      <c r="AF3080" s="1115"/>
      <c r="AG3080" s="1115"/>
      <c r="AH3080" s="1115"/>
      <c r="AI3080" s="1115"/>
      <c r="AJ3080" s="1117"/>
      <c r="AK3080" s="1118"/>
      <c r="AL3080" s="1115"/>
      <c r="AM3080" s="1115"/>
      <c r="AN3080" s="1115"/>
      <c r="AO3080" s="1115"/>
      <c r="AP3080" s="1115"/>
      <c r="AQ3080" s="1115"/>
      <c r="AR3080" s="1115"/>
      <c r="AS3080" s="1117"/>
      <c r="AT3080" s="1075"/>
      <c r="AU3080" s="1193"/>
      <c r="AV3080" s="330"/>
      <c r="AW3080" s="331"/>
      <c r="AX3080" s="331"/>
      <c r="AY3080" s="331"/>
      <c r="AZ3080" s="331"/>
      <c r="BA3080" s="331"/>
      <c r="BB3080" s="331"/>
      <c r="BC3080" s="331"/>
      <c r="BD3080" s="331"/>
      <c r="BE3080" s="333"/>
      <c r="BF3080" s="330"/>
      <c r="BG3080" s="333"/>
      <c r="BH3080" s="1119"/>
      <c r="BI3080" s="319"/>
      <c r="BJ3080" s="319"/>
      <c r="BK3080" s="319"/>
      <c r="BL3080" s="319"/>
      <c r="BM3080" s="319"/>
      <c r="BN3080" s="319"/>
      <c r="BO3080" s="319"/>
      <c r="BP3080" s="953"/>
      <c r="BQ3080" s="319"/>
      <c r="BR3080" s="319"/>
      <c r="BS3080" s="330"/>
      <c r="BT3080" s="331"/>
      <c r="BU3080" s="920"/>
      <c r="BV3080" s="903"/>
      <c r="BW3080" s="908"/>
      <c r="BX3080" s="908"/>
      <c r="BY3080" s="331"/>
      <c r="BZ3080" s="331"/>
      <c r="CA3080" s="462"/>
      <c r="CB3080" s="319"/>
      <c r="CC3080" s="319"/>
      <c r="CD3080" s="319"/>
      <c r="CE3080" s="319"/>
      <c r="CF3080" s="319"/>
      <c r="CG3080" s="319"/>
      <c r="CH3080" s="318"/>
      <c r="CI3080" s="319"/>
      <c r="CJ3080" s="319"/>
      <c r="CK3080" s="342"/>
      <c r="CL3080" s="333"/>
      <c r="CM3080" s="1079"/>
      <c r="CN3080" s="1005"/>
      <c r="CO3080" s="1005"/>
      <c r="CP3080" s="1005"/>
    </row>
    <row r="3081">
      <c r="A3081" s="1257"/>
      <c r="B3081" s="1113"/>
      <c r="C3081" s="1107"/>
      <c r="D3081" s="103"/>
      <c r="E3081" s="1137"/>
      <c r="F3081" s="112"/>
      <c r="G3081" s="1110"/>
      <c r="H3081" s="1138"/>
      <c r="I3081" s="1138"/>
      <c r="J3081" s="1139"/>
      <c r="K3081" s="1111"/>
      <c r="L3081" s="1112"/>
      <c r="M3081" s="1113"/>
      <c r="N3081" s="110"/>
      <c r="O3081" s="1140"/>
      <c r="P3081" s="1115"/>
      <c r="Q3081" s="1116"/>
      <c r="R3081" s="1141"/>
      <c r="S3081" s="1113"/>
      <c r="T3081" s="1143"/>
      <c r="U3081" s="1108"/>
      <c r="V3081" s="1108"/>
      <c r="W3081" s="1108"/>
      <c r="X3081" s="1108"/>
      <c r="Y3081" s="1108"/>
      <c r="Z3081" s="1114"/>
      <c r="AA3081" s="1114"/>
      <c r="AB3081" s="1114"/>
      <c r="AC3081" s="1117"/>
      <c r="AD3081" s="1115"/>
      <c r="AE3081" s="1115"/>
      <c r="AF3081" s="1115"/>
      <c r="AG3081" s="1115"/>
      <c r="AH3081" s="1115"/>
      <c r="AI3081" s="1115"/>
      <c r="AJ3081" s="1117"/>
      <c r="AK3081" s="1118"/>
      <c r="AL3081" s="1115"/>
      <c r="AM3081" s="1115"/>
      <c r="AN3081" s="1115"/>
      <c r="AO3081" s="1115"/>
      <c r="AP3081" s="1115"/>
      <c r="AQ3081" s="1115"/>
      <c r="AR3081" s="1115"/>
      <c r="AS3081" s="1117"/>
      <c r="AT3081" s="1075"/>
      <c r="AU3081" s="1193"/>
      <c r="AV3081" s="330"/>
      <c r="AW3081" s="331"/>
      <c r="AX3081" s="331"/>
      <c r="AY3081" s="331"/>
      <c r="AZ3081" s="331"/>
      <c r="BA3081" s="331"/>
      <c r="BB3081" s="331"/>
      <c r="BC3081" s="331"/>
      <c r="BD3081" s="331"/>
      <c r="BE3081" s="333"/>
      <c r="BF3081" s="330"/>
      <c r="BG3081" s="333"/>
      <c r="BH3081" s="1119"/>
      <c r="BI3081" s="319"/>
      <c r="BJ3081" s="319"/>
      <c r="BK3081" s="319"/>
      <c r="BL3081" s="319"/>
      <c r="BM3081" s="319"/>
      <c r="BN3081" s="319"/>
      <c r="BO3081" s="319"/>
      <c r="BP3081" s="953"/>
      <c r="BQ3081" s="319"/>
      <c r="BR3081" s="319"/>
      <c r="BS3081" s="330"/>
      <c r="BT3081" s="331"/>
      <c r="BU3081" s="920"/>
      <c r="BV3081" s="903"/>
      <c r="BW3081" s="908"/>
      <c r="BX3081" s="908"/>
      <c r="BY3081" s="331"/>
      <c r="BZ3081" s="331"/>
      <c r="CA3081" s="462"/>
      <c r="CB3081" s="319"/>
      <c r="CC3081" s="319"/>
      <c r="CD3081" s="319"/>
      <c r="CE3081" s="319"/>
      <c r="CF3081" s="319"/>
      <c r="CG3081" s="319"/>
      <c r="CH3081" s="318"/>
      <c r="CI3081" s="319"/>
      <c r="CJ3081" s="319"/>
      <c r="CK3081" s="342"/>
      <c r="CL3081" s="333"/>
      <c r="CM3081" s="1079"/>
      <c r="CN3081" s="1005"/>
      <c r="CO3081" s="1005"/>
      <c r="CP3081" s="1005"/>
    </row>
    <row r="3082">
      <c r="A3082" s="1257"/>
      <c r="B3082" s="1113"/>
      <c r="C3082" s="1107"/>
      <c r="D3082" s="103"/>
      <c r="E3082" s="1137"/>
      <c r="F3082" s="112"/>
      <c r="G3082" s="1110"/>
      <c r="H3082" s="1138"/>
      <c r="I3082" s="1138"/>
      <c r="J3082" s="1139"/>
      <c r="K3082" s="1111"/>
      <c r="L3082" s="1112"/>
      <c r="M3082" s="1113"/>
      <c r="N3082" s="110"/>
      <c r="O3082" s="1140"/>
      <c r="P3082" s="1115"/>
      <c r="Q3082" s="1116"/>
      <c r="R3082" s="1141"/>
      <c r="S3082" s="1113"/>
      <c r="T3082" s="1143"/>
      <c r="U3082" s="1108"/>
      <c r="V3082" s="1108"/>
      <c r="W3082" s="1108"/>
      <c r="X3082" s="1108"/>
      <c r="Y3082" s="1108"/>
      <c r="Z3082" s="1114"/>
      <c r="AA3082" s="1114"/>
      <c r="AB3082" s="1114"/>
      <c r="AC3082" s="1117"/>
      <c r="AD3082" s="1115"/>
      <c r="AE3082" s="1115"/>
      <c r="AF3082" s="1115"/>
      <c r="AG3082" s="1115"/>
      <c r="AH3082" s="1115"/>
      <c r="AI3082" s="1115"/>
      <c r="AJ3082" s="1117"/>
      <c r="AK3082" s="1118"/>
      <c r="AL3082" s="1115"/>
      <c r="AM3082" s="1115"/>
      <c r="AN3082" s="1115"/>
      <c r="AO3082" s="1115"/>
      <c r="AP3082" s="1115"/>
      <c r="AQ3082" s="1115"/>
      <c r="AR3082" s="1115"/>
      <c r="AS3082" s="1117"/>
      <c r="AT3082" s="1075"/>
      <c r="AU3082" s="1193"/>
      <c r="AV3082" s="330"/>
      <c r="AW3082" s="331"/>
      <c r="AX3082" s="331"/>
      <c r="AY3082" s="331"/>
      <c r="AZ3082" s="331"/>
      <c r="BA3082" s="331"/>
      <c r="BB3082" s="331"/>
      <c r="BC3082" s="331"/>
      <c r="BD3082" s="331"/>
      <c r="BE3082" s="333"/>
      <c r="BF3082" s="330"/>
      <c r="BG3082" s="333"/>
      <c r="BH3082" s="1119"/>
      <c r="BI3082" s="319"/>
      <c r="BJ3082" s="319"/>
      <c r="BK3082" s="319"/>
      <c r="BL3082" s="319"/>
      <c r="BM3082" s="319"/>
      <c r="BN3082" s="319"/>
      <c r="BO3082" s="319"/>
      <c r="BP3082" s="953"/>
      <c r="BQ3082" s="319"/>
      <c r="BR3082" s="319"/>
      <c r="BS3082" s="330"/>
      <c r="BT3082" s="331"/>
      <c r="BU3082" s="920"/>
      <c r="BV3082" s="903"/>
      <c r="BW3082" s="908"/>
      <c r="BX3082" s="908"/>
      <c r="BY3082" s="331"/>
      <c r="BZ3082" s="331"/>
      <c r="CA3082" s="462"/>
      <c r="CB3082" s="319"/>
      <c r="CC3082" s="319"/>
      <c r="CD3082" s="319"/>
      <c r="CE3082" s="319"/>
      <c r="CF3082" s="319"/>
      <c r="CG3082" s="319"/>
      <c r="CH3082" s="318"/>
      <c r="CI3082" s="319"/>
      <c r="CJ3082" s="319"/>
      <c r="CK3082" s="342"/>
      <c r="CL3082" s="333"/>
      <c r="CM3082" s="1079"/>
      <c r="CN3082" s="1005"/>
      <c r="CO3082" s="1005"/>
      <c r="CP3082" s="1005"/>
    </row>
    <row r="3083">
      <c r="A3083" s="1257"/>
      <c r="B3083" s="1113"/>
      <c r="C3083" s="1107"/>
      <c r="D3083" s="103"/>
      <c r="E3083" s="1137"/>
      <c r="F3083" s="112"/>
      <c r="G3083" s="1110"/>
      <c r="H3083" s="1138"/>
      <c r="I3083" s="1138"/>
      <c r="J3083" s="1139"/>
      <c r="K3083" s="1111"/>
      <c r="L3083" s="1112"/>
      <c r="M3083" s="1113"/>
      <c r="N3083" s="110"/>
      <c r="O3083" s="1140"/>
      <c r="P3083" s="1115"/>
      <c r="Q3083" s="1116"/>
      <c r="R3083" s="1141"/>
      <c r="S3083" s="1113"/>
      <c r="T3083" s="1143"/>
      <c r="U3083" s="1108"/>
      <c r="V3083" s="1108"/>
      <c r="W3083" s="1108"/>
      <c r="X3083" s="1108"/>
      <c r="Y3083" s="1108"/>
      <c r="Z3083" s="1114"/>
      <c r="AA3083" s="1114"/>
      <c r="AB3083" s="1114"/>
      <c r="AC3083" s="1117"/>
      <c r="AD3083" s="1115"/>
      <c r="AE3083" s="1115"/>
      <c r="AF3083" s="1115"/>
      <c r="AG3083" s="1115"/>
      <c r="AH3083" s="1115"/>
      <c r="AI3083" s="1115"/>
      <c r="AJ3083" s="1117"/>
      <c r="AK3083" s="1118"/>
      <c r="AL3083" s="1115"/>
      <c r="AM3083" s="1115"/>
      <c r="AN3083" s="1115"/>
      <c r="AO3083" s="1115"/>
      <c r="AP3083" s="1115"/>
      <c r="AQ3083" s="1115"/>
      <c r="AR3083" s="1115"/>
      <c r="AS3083" s="1117"/>
      <c r="AT3083" s="1075"/>
      <c r="AU3083" s="1193"/>
      <c r="AV3083" s="330"/>
      <c r="AW3083" s="331"/>
      <c r="AX3083" s="331"/>
      <c r="AY3083" s="331"/>
      <c r="AZ3083" s="331"/>
      <c r="BA3083" s="331"/>
      <c r="BB3083" s="331"/>
      <c r="BC3083" s="331"/>
      <c r="BD3083" s="331"/>
      <c r="BE3083" s="333"/>
      <c r="BF3083" s="330"/>
      <c r="BG3083" s="333"/>
      <c r="BH3083" s="1119"/>
      <c r="BI3083" s="319"/>
      <c r="BJ3083" s="319"/>
      <c r="BK3083" s="319"/>
      <c r="BL3083" s="319"/>
      <c r="BM3083" s="319"/>
      <c r="BN3083" s="319"/>
      <c r="BO3083" s="319"/>
      <c r="BP3083" s="953"/>
      <c r="BQ3083" s="319"/>
      <c r="BR3083" s="319"/>
      <c r="BS3083" s="330"/>
      <c r="BT3083" s="331"/>
      <c r="BU3083" s="920"/>
      <c r="BV3083" s="903"/>
      <c r="BW3083" s="908"/>
      <c r="BX3083" s="908"/>
      <c r="BY3083" s="331"/>
      <c r="BZ3083" s="331"/>
      <c r="CA3083" s="462"/>
      <c r="CB3083" s="319"/>
      <c r="CC3083" s="319"/>
      <c r="CD3083" s="319"/>
      <c r="CE3083" s="319"/>
      <c r="CF3083" s="319"/>
      <c r="CG3083" s="319"/>
      <c r="CH3083" s="318"/>
      <c r="CI3083" s="319"/>
      <c r="CJ3083" s="319"/>
      <c r="CK3083" s="342"/>
      <c r="CL3083" s="333"/>
      <c r="CM3083" s="1079"/>
      <c r="CN3083" s="1005"/>
      <c r="CO3083" s="1005"/>
      <c r="CP3083" s="1005"/>
    </row>
    <row r="3084">
      <c r="A3084" s="1257"/>
      <c r="B3084" s="1113"/>
      <c r="C3084" s="1107"/>
      <c r="D3084" s="103"/>
      <c r="E3084" s="1137"/>
      <c r="F3084" s="112"/>
      <c r="G3084" s="1110"/>
      <c r="H3084" s="1138"/>
      <c r="I3084" s="1138"/>
      <c r="J3084" s="1139"/>
      <c r="K3084" s="1111"/>
      <c r="L3084" s="1112"/>
      <c r="M3084" s="1113"/>
      <c r="N3084" s="110"/>
      <c r="O3084" s="1140"/>
      <c r="P3084" s="1115"/>
      <c r="Q3084" s="1116"/>
      <c r="R3084" s="1141"/>
      <c r="S3084" s="1113"/>
      <c r="T3084" s="1143"/>
      <c r="U3084" s="1108"/>
      <c r="V3084" s="1108"/>
      <c r="W3084" s="1108"/>
      <c r="X3084" s="1108"/>
      <c r="Y3084" s="1108"/>
      <c r="Z3084" s="1114"/>
      <c r="AA3084" s="1114"/>
      <c r="AB3084" s="1114"/>
      <c r="AC3084" s="1117"/>
      <c r="AD3084" s="1115"/>
      <c r="AE3084" s="1115"/>
      <c r="AF3084" s="1115"/>
      <c r="AG3084" s="1115"/>
      <c r="AH3084" s="1115"/>
      <c r="AI3084" s="1115"/>
      <c r="AJ3084" s="1117"/>
      <c r="AK3084" s="1118"/>
      <c r="AL3084" s="1115"/>
      <c r="AM3084" s="1115"/>
      <c r="AN3084" s="1115"/>
      <c r="AO3084" s="1115"/>
      <c r="AP3084" s="1115"/>
      <c r="AQ3084" s="1115"/>
      <c r="AR3084" s="1115"/>
      <c r="AS3084" s="1117"/>
      <c r="AT3084" s="1075"/>
      <c r="AU3084" s="1193"/>
      <c r="AV3084" s="330"/>
      <c r="AW3084" s="331"/>
      <c r="AX3084" s="331"/>
      <c r="AY3084" s="331"/>
      <c r="AZ3084" s="331"/>
      <c r="BA3084" s="331"/>
      <c r="BB3084" s="331"/>
      <c r="BC3084" s="331"/>
      <c r="BD3084" s="331"/>
      <c r="BE3084" s="333"/>
      <c r="BF3084" s="330"/>
      <c r="BG3084" s="333"/>
      <c r="BH3084" s="1119"/>
      <c r="BI3084" s="319"/>
      <c r="BJ3084" s="319"/>
      <c r="BK3084" s="319"/>
      <c r="BL3084" s="319"/>
      <c r="BM3084" s="319"/>
      <c r="BN3084" s="319"/>
      <c r="BO3084" s="319"/>
      <c r="BP3084" s="953"/>
      <c r="BQ3084" s="319"/>
      <c r="BR3084" s="319"/>
      <c r="BS3084" s="330"/>
      <c r="BT3084" s="331"/>
      <c r="BU3084" s="920"/>
      <c r="BV3084" s="903"/>
      <c r="BW3084" s="908"/>
      <c r="BX3084" s="908"/>
      <c r="BY3084" s="331"/>
      <c r="BZ3084" s="331"/>
      <c r="CA3084" s="462"/>
      <c r="CB3084" s="319"/>
      <c r="CC3084" s="319"/>
      <c r="CD3084" s="319"/>
      <c r="CE3084" s="319"/>
      <c r="CF3084" s="319"/>
      <c r="CG3084" s="319"/>
      <c r="CH3084" s="318"/>
      <c r="CI3084" s="319"/>
      <c r="CJ3084" s="319"/>
      <c r="CK3084" s="342"/>
      <c r="CL3084" s="333"/>
      <c r="CM3084" s="1079"/>
      <c r="CN3084" s="1005"/>
      <c r="CO3084" s="1005"/>
      <c r="CP3084" s="1005"/>
    </row>
    <row r="3085">
      <c r="A3085" s="1257"/>
      <c r="B3085" s="1113"/>
      <c r="C3085" s="1107"/>
      <c r="D3085" s="103"/>
      <c r="E3085" s="1137"/>
      <c r="F3085" s="112"/>
      <c r="G3085" s="1110"/>
      <c r="H3085" s="1138"/>
      <c r="I3085" s="1138"/>
      <c r="J3085" s="1139"/>
      <c r="K3085" s="1111"/>
      <c r="L3085" s="1112"/>
      <c r="M3085" s="1113"/>
      <c r="N3085" s="110"/>
      <c r="O3085" s="1140"/>
      <c r="P3085" s="1115"/>
      <c r="Q3085" s="1116"/>
      <c r="R3085" s="1141"/>
      <c r="S3085" s="1113"/>
      <c r="T3085" s="1143"/>
      <c r="U3085" s="1108"/>
      <c r="V3085" s="1108"/>
      <c r="W3085" s="1108"/>
      <c r="X3085" s="1108"/>
      <c r="Y3085" s="1108"/>
      <c r="Z3085" s="1114"/>
      <c r="AA3085" s="1114"/>
      <c r="AB3085" s="1114"/>
      <c r="AC3085" s="1117"/>
      <c r="AD3085" s="1115"/>
      <c r="AE3085" s="1115"/>
      <c r="AF3085" s="1115"/>
      <c r="AG3085" s="1115"/>
      <c r="AH3085" s="1115"/>
      <c r="AI3085" s="1115"/>
      <c r="AJ3085" s="1117"/>
      <c r="AK3085" s="1118"/>
      <c r="AL3085" s="1115"/>
      <c r="AM3085" s="1115"/>
      <c r="AN3085" s="1115"/>
      <c r="AO3085" s="1115"/>
      <c r="AP3085" s="1115"/>
      <c r="AQ3085" s="1115"/>
      <c r="AR3085" s="1115"/>
      <c r="AS3085" s="1117"/>
      <c r="AT3085" s="1075"/>
      <c r="AU3085" s="1193"/>
      <c r="AV3085" s="330"/>
      <c r="AW3085" s="331"/>
      <c r="AX3085" s="331"/>
      <c r="AY3085" s="331"/>
      <c r="AZ3085" s="331"/>
      <c r="BA3085" s="331"/>
      <c r="BB3085" s="331"/>
      <c r="BC3085" s="331"/>
      <c r="BD3085" s="331"/>
      <c r="BE3085" s="333"/>
      <c r="BF3085" s="330"/>
      <c r="BG3085" s="333"/>
      <c r="BH3085" s="1119"/>
      <c r="BI3085" s="319"/>
      <c r="BJ3085" s="319"/>
      <c r="BK3085" s="319"/>
      <c r="BL3085" s="319"/>
      <c r="BM3085" s="319"/>
      <c r="BN3085" s="319"/>
      <c r="BO3085" s="319"/>
      <c r="BP3085" s="953"/>
      <c r="BQ3085" s="319"/>
      <c r="BR3085" s="319"/>
      <c r="BS3085" s="330"/>
      <c r="BT3085" s="331"/>
      <c r="BU3085" s="920"/>
      <c r="BV3085" s="903"/>
      <c r="BW3085" s="908"/>
      <c r="BX3085" s="908"/>
      <c r="BY3085" s="331"/>
      <c r="BZ3085" s="331"/>
      <c r="CA3085" s="462"/>
      <c r="CB3085" s="319"/>
      <c r="CC3085" s="319"/>
      <c r="CD3085" s="319"/>
      <c r="CE3085" s="319"/>
      <c r="CF3085" s="319"/>
      <c r="CG3085" s="319"/>
      <c r="CH3085" s="318"/>
      <c r="CI3085" s="319"/>
      <c r="CJ3085" s="319"/>
      <c r="CK3085" s="342"/>
      <c r="CL3085" s="333"/>
      <c r="CM3085" s="1079"/>
      <c r="CN3085" s="1005"/>
      <c r="CO3085" s="1005"/>
      <c r="CP3085" s="1005"/>
    </row>
    <row r="3086">
      <c r="A3086" s="1257"/>
      <c r="B3086" s="1113"/>
      <c r="C3086" s="1107"/>
      <c r="D3086" s="103"/>
      <c r="E3086" s="1137"/>
      <c r="F3086" s="112"/>
      <c r="G3086" s="1110"/>
      <c r="H3086" s="1138"/>
      <c r="I3086" s="1138"/>
      <c r="J3086" s="1139"/>
      <c r="K3086" s="1111"/>
      <c r="L3086" s="1112"/>
      <c r="M3086" s="1113"/>
      <c r="N3086" s="110"/>
      <c r="O3086" s="1140"/>
      <c r="P3086" s="1115"/>
      <c r="Q3086" s="1116"/>
      <c r="R3086" s="1141"/>
      <c r="S3086" s="1113"/>
      <c r="T3086" s="1143"/>
      <c r="U3086" s="1108"/>
      <c r="V3086" s="1108"/>
      <c r="W3086" s="1108"/>
      <c r="X3086" s="1108"/>
      <c r="Y3086" s="1108"/>
      <c r="Z3086" s="1114"/>
      <c r="AA3086" s="1114"/>
      <c r="AB3086" s="1114"/>
      <c r="AC3086" s="1117"/>
      <c r="AD3086" s="1115"/>
      <c r="AE3086" s="1115"/>
      <c r="AF3086" s="1115"/>
      <c r="AG3086" s="1115"/>
      <c r="AH3086" s="1115"/>
      <c r="AI3086" s="1115"/>
      <c r="AJ3086" s="1117"/>
      <c r="AK3086" s="1118"/>
      <c r="AL3086" s="1115"/>
      <c r="AM3086" s="1115"/>
      <c r="AN3086" s="1115"/>
      <c r="AO3086" s="1115"/>
      <c r="AP3086" s="1115"/>
      <c r="AQ3086" s="1115"/>
      <c r="AR3086" s="1115"/>
      <c r="AS3086" s="1117"/>
      <c r="AT3086" s="1075"/>
      <c r="AU3086" s="1193"/>
      <c r="AV3086" s="330"/>
      <c r="AW3086" s="331"/>
      <c r="AX3086" s="331"/>
      <c r="AY3086" s="331"/>
      <c r="AZ3086" s="331"/>
      <c r="BA3086" s="331"/>
      <c r="BB3086" s="331"/>
      <c r="BC3086" s="331"/>
      <c r="BD3086" s="331"/>
      <c r="BE3086" s="333"/>
      <c r="BF3086" s="330"/>
      <c r="BG3086" s="333"/>
      <c r="BH3086" s="1119"/>
      <c r="BI3086" s="319"/>
      <c r="BJ3086" s="319"/>
      <c r="BK3086" s="319"/>
      <c r="BL3086" s="319"/>
      <c r="BM3086" s="319"/>
      <c r="BN3086" s="319"/>
      <c r="BO3086" s="319"/>
      <c r="BP3086" s="953"/>
      <c r="BQ3086" s="319"/>
      <c r="BR3086" s="319"/>
      <c r="BS3086" s="330"/>
      <c r="BT3086" s="331"/>
      <c r="BU3086" s="920"/>
      <c r="BV3086" s="903"/>
      <c r="BW3086" s="908"/>
      <c r="BX3086" s="908"/>
      <c r="BY3086" s="331"/>
      <c r="BZ3086" s="331"/>
      <c r="CA3086" s="462"/>
      <c r="CB3086" s="319"/>
      <c r="CC3086" s="319"/>
      <c r="CD3086" s="319"/>
      <c r="CE3086" s="319"/>
      <c r="CF3086" s="319"/>
      <c r="CG3086" s="319"/>
      <c r="CH3086" s="318"/>
      <c r="CI3086" s="319"/>
      <c r="CJ3086" s="319"/>
      <c r="CK3086" s="342"/>
      <c r="CL3086" s="333"/>
      <c r="CM3086" s="1079"/>
      <c r="CN3086" s="1005"/>
      <c r="CO3086" s="1005"/>
      <c r="CP3086" s="1005"/>
    </row>
    <row r="3087">
      <c r="A3087" s="1257"/>
      <c r="B3087" s="1113"/>
      <c r="C3087" s="1107"/>
      <c r="D3087" s="103"/>
      <c r="E3087" s="1137"/>
      <c r="F3087" s="112"/>
      <c r="G3087" s="1110"/>
      <c r="H3087" s="1138"/>
      <c r="I3087" s="1138"/>
      <c r="J3087" s="1139"/>
      <c r="K3087" s="1111"/>
      <c r="L3087" s="1112"/>
      <c r="M3087" s="1113"/>
      <c r="N3087" s="110"/>
      <c r="O3087" s="1140"/>
      <c r="P3087" s="1115"/>
      <c r="Q3087" s="1116"/>
      <c r="R3087" s="1141"/>
      <c r="S3087" s="1113"/>
      <c r="T3087" s="1143"/>
      <c r="U3087" s="1108"/>
      <c r="V3087" s="1108"/>
      <c r="W3087" s="1108"/>
      <c r="X3087" s="1108"/>
      <c r="Y3087" s="1108"/>
      <c r="Z3087" s="1114"/>
      <c r="AA3087" s="1114"/>
      <c r="AB3087" s="1114"/>
      <c r="AC3087" s="1117"/>
      <c r="AD3087" s="1115"/>
      <c r="AE3087" s="1115"/>
      <c r="AF3087" s="1115"/>
      <c r="AG3087" s="1115"/>
      <c r="AH3087" s="1115"/>
      <c r="AI3087" s="1115"/>
      <c r="AJ3087" s="1117"/>
      <c r="AK3087" s="1118"/>
      <c r="AL3087" s="1115"/>
      <c r="AM3087" s="1115"/>
      <c r="AN3087" s="1115"/>
      <c r="AO3087" s="1115"/>
      <c r="AP3087" s="1115"/>
      <c r="AQ3087" s="1115"/>
      <c r="AR3087" s="1115"/>
      <c r="AS3087" s="1117"/>
      <c r="AT3087" s="1075"/>
      <c r="AU3087" s="1193"/>
      <c r="AV3087" s="330"/>
      <c r="AW3087" s="331"/>
      <c r="AX3087" s="331"/>
      <c r="AY3087" s="331"/>
      <c r="AZ3087" s="331"/>
      <c r="BA3087" s="331"/>
      <c r="BB3087" s="331"/>
      <c r="BC3087" s="331"/>
      <c r="BD3087" s="331"/>
      <c r="BE3087" s="333"/>
      <c r="BF3087" s="330"/>
      <c r="BG3087" s="333"/>
      <c r="BH3087" s="1119"/>
      <c r="BI3087" s="319"/>
      <c r="BJ3087" s="319"/>
      <c r="BK3087" s="319"/>
      <c r="BL3087" s="319"/>
      <c r="BM3087" s="319"/>
      <c r="BN3087" s="319"/>
      <c r="BO3087" s="319"/>
      <c r="BP3087" s="953"/>
      <c r="BQ3087" s="319"/>
      <c r="BR3087" s="319"/>
      <c r="BS3087" s="330"/>
      <c r="BT3087" s="331"/>
      <c r="BU3087" s="920"/>
      <c r="BV3087" s="903"/>
      <c r="BW3087" s="908"/>
      <c r="BX3087" s="908"/>
      <c r="BY3087" s="331"/>
      <c r="BZ3087" s="331"/>
      <c r="CA3087" s="462"/>
      <c r="CB3087" s="319"/>
      <c r="CC3087" s="319"/>
      <c r="CD3087" s="319"/>
      <c r="CE3087" s="319"/>
      <c r="CF3087" s="319"/>
      <c r="CG3087" s="319"/>
      <c r="CH3087" s="318"/>
      <c r="CI3087" s="319"/>
      <c r="CJ3087" s="319"/>
      <c r="CK3087" s="342"/>
      <c r="CL3087" s="333"/>
      <c r="CM3087" s="1079"/>
      <c r="CN3087" s="1005"/>
      <c r="CO3087" s="1005"/>
      <c r="CP3087" s="1005"/>
    </row>
    <row r="3088">
      <c r="A3088" s="1257"/>
      <c r="B3088" s="1113"/>
      <c r="C3088" s="1107"/>
      <c r="D3088" s="103"/>
      <c r="E3088" s="1137"/>
      <c r="F3088" s="112"/>
      <c r="G3088" s="1110"/>
      <c r="H3088" s="1138"/>
      <c r="I3088" s="1138"/>
      <c r="J3088" s="1139"/>
      <c r="K3088" s="1111"/>
      <c r="L3088" s="1112"/>
      <c r="M3088" s="1113"/>
      <c r="N3088" s="110"/>
      <c r="O3088" s="1140"/>
      <c r="P3088" s="1115"/>
      <c r="Q3088" s="1116"/>
      <c r="R3088" s="1141"/>
      <c r="S3088" s="1113"/>
      <c r="T3088" s="1143"/>
      <c r="U3088" s="1108"/>
      <c r="V3088" s="1108"/>
      <c r="W3088" s="1108"/>
      <c r="X3088" s="1108"/>
      <c r="Y3088" s="1108"/>
      <c r="Z3088" s="1114"/>
      <c r="AA3088" s="1114"/>
      <c r="AB3088" s="1114"/>
      <c r="AC3088" s="1117"/>
      <c r="AD3088" s="1115"/>
      <c r="AE3088" s="1115"/>
      <c r="AF3088" s="1115"/>
      <c r="AG3088" s="1115"/>
      <c r="AH3088" s="1115"/>
      <c r="AI3088" s="1115"/>
      <c r="AJ3088" s="1117"/>
      <c r="AK3088" s="1118"/>
      <c r="AL3088" s="1115"/>
      <c r="AM3088" s="1115"/>
      <c r="AN3088" s="1115"/>
      <c r="AO3088" s="1115"/>
      <c r="AP3088" s="1115"/>
      <c r="AQ3088" s="1115"/>
      <c r="AR3088" s="1115"/>
      <c r="AS3088" s="1117"/>
      <c r="AT3088" s="1075"/>
      <c r="AU3088" s="1193"/>
      <c r="AV3088" s="330"/>
      <c r="AW3088" s="331"/>
      <c r="AX3088" s="331"/>
      <c r="AY3088" s="331"/>
      <c r="AZ3088" s="331"/>
      <c r="BA3088" s="331"/>
      <c r="BB3088" s="331"/>
      <c r="BC3088" s="331"/>
      <c r="BD3088" s="331"/>
      <c r="BE3088" s="333"/>
      <c r="BF3088" s="330"/>
      <c r="BG3088" s="333"/>
      <c r="BH3088" s="1119"/>
      <c r="BI3088" s="319"/>
      <c r="BJ3088" s="319"/>
      <c r="BK3088" s="319"/>
      <c r="BL3088" s="319"/>
      <c r="BM3088" s="319"/>
      <c r="BN3088" s="319"/>
      <c r="BO3088" s="319"/>
      <c r="BP3088" s="953"/>
      <c r="BQ3088" s="319"/>
      <c r="BR3088" s="319"/>
      <c r="BS3088" s="330"/>
      <c r="BT3088" s="331"/>
      <c r="BU3088" s="920"/>
      <c r="BV3088" s="903"/>
      <c r="BW3088" s="908"/>
      <c r="BX3088" s="908"/>
      <c r="BY3088" s="331"/>
      <c r="BZ3088" s="331"/>
      <c r="CA3088" s="462"/>
      <c r="CB3088" s="319"/>
      <c r="CC3088" s="319"/>
      <c r="CD3088" s="319"/>
      <c r="CE3088" s="319"/>
      <c r="CF3088" s="319"/>
      <c r="CG3088" s="319"/>
      <c r="CH3088" s="318"/>
      <c r="CI3088" s="319"/>
      <c r="CJ3088" s="319"/>
      <c r="CK3088" s="342"/>
      <c r="CL3088" s="333"/>
      <c r="CM3088" s="1079"/>
      <c r="CN3088" s="1005"/>
      <c r="CO3088" s="1005"/>
      <c r="CP3088" s="1005"/>
    </row>
    <row r="3089">
      <c r="A3089" s="1257"/>
      <c r="B3089" s="1113"/>
      <c r="C3089" s="1107"/>
      <c r="D3089" s="103"/>
      <c r="E3089" s="1137"/>
      <c r="F3089" s="112"/>
      <c r="G3089" s="1110"/>
      <c r="H3089" s="1138"/>
      <c r="I3089" s="1138"/>
      <c r="J3089" s="1139"/>
      <c r="K3089" s="1111"/>
      <c r="L3089" s="1112"/>
      <c r="M3089" s="1113"/>
      <c r="N3089" s="110"/>
      <c r="O3089" s="1140"/>
      <c r="P3089" s="1115"/>
      <c r="Q3089" s="1116"/>
      <c r="R3089" s="1141"/>
      <c r="S3089" s="1113"/>
      <c r="T3089" s="1143"/>
      <c r="U3089" s="1108"/>
      <c r="V3089" s="1108"/>
      <c r="W3089" s="1108"/>
      <c r="X3089" s="1108"/>
      <c r="Y3089" s="1108"/>
      <c r="Z3089" s="1114"/>
      <c r="AA3089" s="1114"/>
      <c r="AB3089" s="1114"/>
      <c r="AC3089" s="1117"/>
      <c r="AD3089" s="1115"/>
      <c r="AE3089" s="1115"/>
      <c r="AF3089" s="1115"/>
      <c r="AG3089" s="1115"/>
      <c r="AH3089" s="1115"/>
      <c r="AI3089" s="1115"/>
      <c r="AJ3089" s="1117"/>
      <c r="AK3089" s="1118"/>
      <c r="AL3089" s="1115"/>
      <c r="AM3089" s="1115"/>
      <c r="AN3089" s="1115"/>
      <c r="AO3089" s="1115"/>
      <c r="AP3089" s="1115"/>
      <c r="AQ3089" s="1115"/>
      <c r="AR3089" s="1115"/>
      <c r="AS3089" s="1117"/>
      <c r="AT3089" s="1075"/>
      <c r="AU3089" s="1193"/>
      <c r="AV3089" s="330"/>
      <c r="AW3089" s="331"/>
      <c r="AX3089" s="331"/>
      <c r="AY3089" s="331"/>
      <c r="AZ3089" s="331"/>
      <c r="BA3089" s="331"/>
      <c r="BB3089" s="331"/>
      <c r="BC3089" s="331"/>
      <c r="BD3089" s="331"/>
      <c r="BE3089" s="333"/>
      <c r="BF3089" s="330"/>
      <c r="BG3089" s="333"/>
      <c r="BH3089" s="1119"/>
      <c r="BI3089" s="319"/>
      <c r="BJ3089" s="319"/>
      <c r="BK3089" s="319"/>
      <c r="BL3089" s="319"/>
      <c r="BM3089" s="319"/>
      <c r="BN3089" s="319"/>
      <c r="BO3089" s="319"/>
      <c r="BP3089" s="953"/>
      <c r="BQ3089" s="319"/>
      <c r="BR3089" s="319"/>
      <c r="BS3089" s="330"/>
      <c r="BT3089" s="331"/>
      <c r="BU3089" s="920"/>
      <c r="BV3089" s="903"/>
      <c r="BW3089" s="908"/>
      <c r="BX3089" s="908"/>
      <c r="BY3089" s="331"/>
      <c r="BZ3089" s="331"/>
      <c r="CA3089" s="462"/>
      <c r="CB3089" s="319"/>
      <c r="CC3089" s="319"/>
      <c r="CD3089" s="319"/>
      <c r="CE3089" s="319"/>
      <c r="CF3089" s="319"/>
      <c r="CG3089" s="319"/>
      <c r="CH3089" s="318"/>
      <c r="CI3089" s="319"/>
      <c r="CJ3089" s="319"/>
      <c r="CK3089" s="342"/>
      <c r="CL3089" s="333"/>
      <c r="CM3089" s="1079"/>
      <c r="CN3089" s="1005"/>
      <c r="CO3089" s="1005"/>
      <c r="CP3089" s="1005"/>
    </row>
    <row r="3090">
      <c r="A3090" s="1257"/>
      <c r="B3090" s="1113"/>
      <c r="C3090" s="1107"/>
      <c r="D3090" s="103"/>
      <c r="E3090" s="1137"/>
      <c r="F3090" s="112"/>
      <c r="G3090" s="1110"/>
      <c r="H3090" s="1138"/>
      <c r="I3090" s="1138"/>
      <c r="J3090" s="1139"/>
      <c r="K3090" s="1111"/>
      <c r="L3090" s="1112"/>
      <c r="M3090" s="1113"/>
      <c r="N3090" s="110"/>
      <c r="O3090" s="1140"/>
      <c r="P3090" s="1115"/>
      <c r="Q3090" s="1116"/>
      <c r="R3090" s="1141"/>
      <c r="S3090" s="1113"/>
      <c r="T3090" s="1143"/>
      <c r="U3090" s="1108"/>
      <c r="V3090" s="1108"/>
      <c r="W3090" s="1108"/>
      <c r="X3090" s="1108"/>
      <c r="Y3090" s="1108"/>
      <c r="Z3090" s="1114"/>
      <c r="AA3090" s="1114"/>
      <c r="AB3090" s="1114"/>
      <c r="AC3090" s="1117"/>
      <c r="AD3090" s="1115"/>
      <c r="AE3090" s="1115"/>
      <c r="AF3090" s="1115"/>
      <c r="AG3090" s="1115"/>
      <c r="AH3090" s="1115"/>
      <c r="AI3090" s="1115"/>
      <c r="AJ3090" s="1117"/>
      <c r="AK3090" s="1118"/>
      <c r="AL3090" s="1115"/>
      <c r="AM3090" s="1115"/>
      <c r="AN3090" s="1115"/>
      <c r="AO3090" s="1115"/>
      <c r="AP3090" s="1115"/>
      <c r="AQ3090" s="1115"/>
      <c r="AR3090" s="1115"/>
      <c r="AS3090" s="1117"/>
      <c r="AT3090" s="1075"/>
      <c r="AU3090" s="1193"/>
      <c r="AV3090" s="330"/>
      <c r="AW3090" s="331"/>
      <c r="AX3090" s="331"/>
      <c r="AY3090" s="331"/>
      <c r="AZ3090" s="331"/>
      <c r="BA3090" s="331"/>
      <c r="BB3090" s="331"/>
      <c r="BC3090" s="331"/>
      <c r="BD3090" s="331"/>
      <c r="BE3090" s="333"/>
      <c r="BF3090" s="330"/>
      <c r="BG3090" s="333"/>
      <c r="BH3090" s="1119"/>
      <c r="BI3090" s="319"/>
      <c r="BJ3090" s="319"/>
      <c r="BK3090" s="319"/>
      <c r="BL3090" s="319"/>
      <c r="BM3090" s="319"/>
      <c r="BN3090" s="319"/>
      <c r="BO3090" s="319"/>
      <c r="BP3090" s="953"/>
      <c r="BQ3090" s="319"/>
      <c r="BR3090" s="319"/>
      <c r="BS3090" s="330"/>
      <c r="BT3090" s="331"/>
      <c r="BU3090" s="920"/>
      <c r="BV3090" s="903"/>
      <c r="BW3090" s="908"/>
      <c r="BX3090" s="908"/>
      <c r="BY3090" s="331"/>
      <c r="BZ3090" s="331"/>
      <c r="CA3090" s="462"/>
      <c r="CB3090" s="319"/>
      <c r="CC3090" s="319"/>
      <c r="CD3090" s="319"/>
      <c r="CE3090" s="319"/>
      <c r="CF3090" s="319"/>
      <c r="CG3090" s="319"/>
      <c r="CH3090" s="318"/>
      <c r="CI3090" s="319"/>
      <c r="CJ3090" s="319"/>
      <c r="CK3090" s="342"/>
      <c r="CL3090" s="333"/>
      <c r="CM3090" s="1079"/>
      <c r="CN3090" s="1005"/>
      <c r="CO3090" s="1005"/>
      <c r="CP3090" s="1005"/>
    </row>
    <row r="3091">
      <c r="A3091" s="1257"/>
      <c r="B3091" s="1113"/>
      <c r="C3091" s="1107"/>
      <c r="D3091" s="103"/>
      <c r="E3091" s="1137"/>
      <c r="F3091" s="112"/>
      <c r="G3091" s="1110"/>
      <c r="H3091" s="1138"/>
      <c r="I3091" s="1138"/>
      <c r="J3091" s="1139"/>
      <c r="K3091" s="1111"/>
      <c r="L3091" s="1112"/>
      <c r="M3091" s="1113"/>
      <c r="N3091" s="110"/>
      <c r="O3091" s="1140"/>
      <c r="P3091" s="1115"/>
      <c r="Q3091" s="1116"/>
      <c r="R3091" s="1141"/>
      <c r="S3091" s="1113"/>
      <c r="T3091" s="1143"/>
      <c r="U3091" s="1108"/>
      <c r="V3091" s="1108"/>
      <c r="W3091" s="1108"/>
      <c r="X3091" s="1108"/>
      <c r="Y3091" s="1108"/>
      <c r="Z3091" s="1114"/>
      <c r="AA3091" s="1114"/>
      <c r="AB3091" s="1114"/>
      <c r="AC3091" s="1117"/>
      <c r="AD3091" s="1115"/>
      <c r="AE3091" s="1115"/>
      <c r="AF3091" s="1115"/>
      <c r="AG3091" s="1115"/>
      <c r="AH3091" s="1115"/>
      <c r="AI3091" s="1115"/>
      <c r="AJ3091" s="1117"/>
      <c r="AK3091" s="1118"/>
      <c r="AL3091" s="1115"/>
      <c r="AM3091" s="1115"/>
      <c r="AN3091" s="1115"/>
      <c r="AO3091" s="1115"/>
      <c r="AP3091" s="1115"/>
      <c r="AQ3091" s="1115"/>
      <c r="AR3091" s="1115"/>
      <c r="AS3091" s="1117"/>
      <c r="AT3091" s="1075"/>
      <c r="AU3091" s="1193"/>
      <c r="AV3091" s="330"/>
      <c r="AW3091" s="331"/>
      <c r="AX3091" s="331"/>
      <c r="AY3091" s="331"/>
      <c r="AZ3091" s="331"/>
      <c r="BA3091" s="331"/>
      <c r="BB3091" s="331"/>
      <c r="BC3091" s="331"/>
      <c r="BD3091" s="331"/>
      <c r="BE3091" s="333"/>
      <c r="BF3091" s="330"/>
      <c r="BG3091" s="333"/>
      <c r="BH3091" s="1119"/>
      <c r="BI3091" s="319"/>
      <c r="BJ3091" s="319"/>
      <c r="BK3091" s="319"/>
      <c r="BL3091" s="319"/>
      <c r="BM3091" s="319"/>
      <c r="BN3091" s="319"/>
      <c r="BO3091" s="319"/>
      <c r="BP3091" s="953"/>
      <c r="BQ3091" s="319"/>
      <c r="BR3091" s="319"/>
      <c r="BS3091" s="330"/>
      <c r="BT3091" s="331"/>
      <c r="BU3091" s="920"/>
      <c r="BV3091" s="903"/>
      <c r="BW3091" s="908"/>
      <c r="BX3091" s="908"/>
      <c r="BY3091" s="331"/>
      <c r="BZ3091" s="331"/>
      <c r="CA3091" s="462"/>
      <c r="CB3091" s="319"/>
      <c r="CC3091" s="319"/>
      <c r="CD3091" s="319"/>
      <c r="CE3091" s="319"/>
      <c r="CF3091" s="319"/>
      <c r="CG3091" s="319"/>
      <c r="CH3091" s="318"/>
      <c r="CI3091" s="319"/>
      <c r="CJ3091" s="319"/>
      <c r="CK3091" s="342"/>
      <c r="CL3091" s="333"/>
      <c r="CM3091" s="1079"/>
      <c r="CN3091" s="1005"/>
      <c r="CO3091" s="1005"/>
      <c r="CP3091" s="1005"/>
    </row>
    <row r="3092">
      <c r="A3092" s="1257"/>
      <c r="B3092" s="1113"/>
      <c r="C3092" s="1107"/>
      <c r="D3092" s="103"/>
      <c r="E3092" s="1137"/>
      <c r="F3092" s="112"/>
      <c r="G3092" s="1110"/>
      <c r="H3092" s="1138"/>
      <c r="I3092" s="1138"/>
      <c r="J3092" s="1139"/>
      <c r="K3092" s="1111"/>
      <c r="L3092" s="1112"/>
      <c r="M3092" s="1113"/>
      <c r="N3092" s="110"/>
      <c r="O3092" s="1140"/>
      <c r="P3092" s="1115"/>
      <c r="Q3092" s="1116"/>
      <c r="R3092" s="1141"/>
      <c r="S3092" s="1113"/>
      <c r="T3092" s="1143"/>
      <c r="U3092" s="1108"/>
      <c r="V3092" s="1108"/>
      <c r="W3092" s="1108"/>
      <c r="X3092" s="1108"/>
      <c r="Y3092" s="1108"/>
      <c r="Z3092" s="1114"/>
      <c r="AA3092" s="1114"/>
      <c r="AB3092" s="1114"/>
      <c r="AC3092" s="1117"/>
      <c r="AD3092" s="1115"/>
      <c r="AE3092" s="1115"/>
      <c r="AF3092" s="1115"/>
      <c r="AG3092" s="1115"/>
      <c r="AH3092" s="1115"/>
      <c r="AI3092" s="1115"/>
      <c r="AJ3092" s="1117"/>
      <c r="AK3092" s="1118"/>
      <c r="AL3092" s="1115"/>
      <c r="AM3092" s="1115"/>
      <c r="AN3092" s="1115"/>
      <c r="AO3092" s="1115"/>
      <c r="AP3092" s="1115"/>
      <c r="AQ3092" s="1115"/>
      <c r="AR3092" s="1115"/>
      <c r="AS3092" s="1117"/>
      <c r="AT3092" s="1075"/>
      <c r="AU3092" s="1193"/>
      <c r="AV3092" s="330"/>
      <c r="AW3092" s="331"/>
      <c r="AX3092" s="331"/>
      <c r="AY3092" s="331"/>
      <c r="AZ3092" s="331"/>
      <c r="BA3092" s="331"/>
      <c r="BB3092" s="331"/>
      <c r="BC3092" s="331"/>
      <c r="BD3092" s="331"/>
      <c r="BE3092" s="333"/>
      <c r="BF3092" s="330"/>
      <c r="BG3092" s="333"/>
      <c r="BH3092" s="1119"/>
      <c r="BI3092" s="319"/>
      <c r="BJ3092" s="319"/>
      <c r="BK3092" s="319"/>
      <c r="BL3092" s="319"/>
      <c r="BM3092" s="319"/>
      <c r="BN3092" s="319"/>
      <c r="BO3092" s="319"/>
      <c r="BP3092" s="953"/>
      <c r="BQ3092" s="319"/>
      <c r="BR3092" s="319"/>
      <c r="BS3092" s="330"/>
      <c r="BT3092" s="331"/>
      <c r="BU3092" s="920"/>
      <c r="BV3092" s="903"/>
      <c r="BW3092" s="908"/>
      <c r="BX3092" s="908"/>
      <c r="BY3092" s="331"/>
      <c r="BZ3092" s="331"/>
      <c r="CA3092" s="462"/>
      <c r="CB3092" s="319"/>
      <c r="CC3092" s="319"/>
      <c r="CD3092" s="319"/>
      <c r="CE3092" s="319"/>
      <c r="CF3092" s="319"/>
      <c r="CG3092" s="319"/>
      <c r="CH3092" s="318"/>
      <c r="CI3092" s="319"/>
      <c r="CJ3092" s="319"/>
      <c r="CK3092" s="342"/>
      <c r="CL3092" s="333"/>
      <c r="CM3092" s="1079"/>
      <c r="CN3092" s="1005"/>
      <c r="CO3092" s="1005"/>
      <c r="CP3092" s="1005"/>
    </row>
    <row r="3093">
      <c r="A3093" s="1257"/>
      <c r="B3093" s="1113"/>
      <c r="C3093" s="1107"/>
      <c r="D3093" s="103"/>
      <c r="E3093" s="1137"/>
      <c r="F3093" s="112"/>
      <c r="G3093" s="1110"/>
      <c r="H3093" s="1138"/>
      <c r="I3093" s="1138"/>
      <c r="J3093" s="1139"/>
      <c r="K3093" s="1111"/>
      <c r="L3093" s="1112"/>
      <c r="M3093" s="1113"/>
      <c r="N3093" s="110"/>
      <c r="O3093" s="1140"/>
      <c r="P3093" s="1115"/>
      <c r="Q3093" s="1116"/>
      <c r="R3093" s="1141"/>
      <c r="S3093" s="1113"/>
      <c r="T3093" s="1143"/>
      <c r="U3093" s="1108"/>
      <c r="V3093" s="1108"/>
      <c r="W3093" s="1108"/>
      <c r="X3093" s="1108"/>
      <c r="Y3093" s="1108"/>
      <c r="Z3093" s="1114"/>
      <c r="AA3093" s="1114"/>
      <c r="AB3093" s="1114"/>
      <c r="AC3093" s="1117"/>
      <c r="AD3093" s="1115"/>
      <c r="AE3093" s="1115"/>
      <c r="AF3093" s="1115"/>
      <c r="AG3093" s="1115"/>
      <c r="AH3093" s="1115"/>
      <c r="AI3093" s="1115"/>
      <c r="AJ3093" s="1117"/>
      <c r="AK3093" s="1118"/>
      <c r="AL3093" s="1115"/>
      <c r="AM3093" s="1115"/>
      <c r="AN3093" s="1115"/>
      <c r="AO3093" s="1115"/>
      <c r="AP3093" s="1115"/>
      <c r="AQ3093" s="1115"/>
      <c r="AR3093" s="1115"/>
      <c r="AS3093" s="1117"/>
      <c r="AT3093" s="1075"/>
      <c r="AU3093" s="1193"/>
      <c r="AV3093" s="330"/>
      <c r="AW3093" s="331"/>
      <c r="AX3093" s="331"/>
      <c r="AY3093" s="331"/>
      <c r="AZ3093" s="331"/>
      <c r="BA3093" s="331"/>
      <c r="BB3093" s="331"/>
      <c r="BC3093" s="331"/>
      <c r="BD3093" s="331"/>
      <c r="BE3093" s="333"/>
      <c r="BF3093" s="330"/>
      <c r="BG3093" s="333"/>
      <c r="BH3093" s="1119"/>
      <c r="BI3093" s="319"/>
      <c r="BJ3093" s="319"/>
      <c r="BK3093" s="319"/>
      <c r="BL3093" s="319"/>
      <c r="BM3093" s="319"/>
      <c r="BN3093" s="319"/>
      <c r="BO3093" s="319"/>
      <c r="BP3093" s="953"/>
      <c r="BQ3093" s="319"/>
      <c r="BR3093" s="319"/>
      <c r="BS3093" s="330"/>
      <c r="BT3093" s="331"/>
      <c r="BU3093" s="920"/>
      <c r="BV3093" s="903"/>
      <c r="BW3093" s="908"/>
      <c r="BX3093" s="908"/>
      <c r="BY3093" s="331"/>
      <c r="BZ3093" s="331"/>
      <c r="CA3093" s="462"/>
      <c r="CB3093" s="319"/>
      <c r="CC3093" s="319"/>
      <c r="CD3093" s="319"/>
      <c r="CE3093" s="319"/>
      <c r="CF3093" s="319"/>
      <c r="CG3093" s="319"/>
      <c r="CH3093" s="318"/>
      <c r="CI3093" s="319"/>
      <c r="CJ3093" s="319"/>
      <c r="CK3093" s="342"/>
      <c r="CL3093" s="333"/>
      <c r="CM3093" s="1079"/>
      <c r="CN3093" s="1005"/>
      <c r="CO3093" s="1005"/>
      <c r="CP3093" s="1005"/>
    </row>
    <row r="3094">
      <c r="A3094" s="1257"/>
      <c r="B3094" s="1113"/>
      <c r="C3094" s="1107"/>
      <c r="D3094" s="103"/>
      <c r="E3094" s="1137"/>
      <c r="F3094" s="112"/>
      <c r="G3094" s="1110"/>
      <c r="H3094" s="1138"/>
      <c r="I3094" s="1138"/>
      <c r="J3094" s="1139"/>
      <c r="K3094" s="1111"/>
      <c r="L3094" s="1112"/>
      <c r="M3094" s="1113"/>
      <c r="N3094" s="110"/>
      <c r="O3094" s="1140"/>
      <c r="P3094" s="1115"/>
      <c r="Q3094" s="1116"/>
      <c r="R3094" s="1141"/>
      <c r="S3094" s="1113"/>
      <c r="T3094" s="1143"/>
      <c r="U3094" s="1108"/>
      <c r="V3094" s="1108"/>
      <c r="W3094" s="1108"/>
      <c r="X3094" s="1108"/>
      <c r="Y3094" s="1108"/>
      <c r="Z3094" s="1114"/>
      <c r="AA3094" s="1114"/>
      <c r="AB3094" s="1114"/>
      <c r="AC3094" s="1117"/>
      <c r="AD3094" s="1115"/>
      <c r="AE3094" s="1115"/>
      <c r="AF3094" s="1115"/>
      <c r="AG3094" s="1115"/>
      <c r="AH3094" s="1115"/>
      <c r="AI3094" s="1115"/>
      <c r="AJ3094" s="1117"/>
      <c r="AK3094" s="1118"/>
      <c r="AL3094" s="1115"/>
      <c r="AM3094" s="1115"/>
      <c r="AN3094" s="1115"/>
      <c r="AO3094" s="1115"/>
      <c r="AP3094" s="1115"/>
      <c r="AQ3094" s="1115"/>
      <c r="AR3094" s="1115"/>
      <c r="AS3094" s="1117"/>
      <c r="AT3094" s="1075"/>
      <c r="AU3094" s="1193"/>
      <c r="AV3094" s="330"/>
      <c r="AW3094" s="331"/>
      <c r="AX3094" s="331"/>
      <c r="AY3094" s="331"/>
      <c r="AZ3094" s="331"/>
      <c r="BA3094" s="331"/>
      <c r="BB3094" s="331"/>
      <c r="BC3094" s="331"/>
      <c r="BD3094" s="331"/>
      <c r="BE3094" s="333"/>
      <c r="BF3094" s="330"/>
      <c r="BG3094" s="333"/>
      <c r="BH3094" s="1119"/>
      <c r="BI3094" s="319"/>
      <c r="BJ3094" s="319"/>
      <c r="BK3094" s="319"/>
      <c r="BL3094" s="319"/>
      <c r="BM3094" s="319"/>
      <c r="BN3094" s="319"/>
      <c r="BO3094" s="319"/>
      <c r="BP3094" s="953"/>
      <c r="BQ3094" s="319"/>
      <c r="BR3094" s="319"/>
      <c r="BS3094" s="330"/>
      <c r="BT3094" s="331"/>
      <c r="BU3094" s="920"/>
      <c r="BV3094" s="903"/>
      <c r="BW3094" s="908"/>
      <c r="BX3094" s="908"/>
      <c r="BY3094" s="331"/>
      <c r="BZ3094" s="331"/>
      <c r="CA3094" s="462"/>
      <c r="CB3094" s="319"/>
      <c r="CC3094" s="319"/>
      <c r="CD3094" s="319"/>
      <c r="CE3094" s="319"/>
      <c r="CF3094" s="319"/>
      <c r="CG3094" s="319"/>
      <c r="CH3094" s="318"/>
      <c r="CI3094" s="319"/>
      <c r="CJ3094" s="319"/>
      <c r="CK3094" s="342"/>
      <c r="CL3094" s="333"/>
      <c r="CM3094" s="1079"/>
      <c r="CN3094" s="1005"/>
      <c r="CO3094" s="1005"/>
      <c r="CP3094" s="1005"/>
    </row>
    <row r="3095">
      <c r="A3095" s="1257"/>
      <c r="B3095" s="1113"/>
      <c r="C3095" s="1107"/>
      <c r="D3095" s="103"/>
      <c r="E3095" s="1137"/>
      <c r="F3095" s="112"/>
      <c r="G3095" s="1110"/>
      <c r="H3095" s="1138"/>
      <c r="I3095" s="1138"/>
      <c r="J3095" s="1139"/>
      <c r="K3095" s="1111"/>
      <c r="L3095" s="1112"/>
      <c r="M3095" s="1113"/>
      <c r="N3095" s="110"/>
      <c r="O3095" s="1140"/>
      <c r="P3095" s="1115"/>
      <c r="Q3095" s="1116"/>
      <c r="R3095" s="1141"/>
      <c r="S3095" s="1113"/>
      <c r="T3095" s="1143"/>
      <c r="U3095" s="1108"/>
      <c r="V3095" s="1108"/>
      <c r="W3095" s="1108"/>
      <c r="X3095" s="1108"/>
      <c r="Y3095" s="1108"/>
      <c r="Z3095" s="1114"/>
      <c r="AA3095" s="1114"/>
      <c r="AB3095" s="1114"/>
      <c r="AC3095" s="1117"/>
      <c r="AD3095" s="1115"/>
      <c r="AE3095" s="1115"/>
      <c r="AF3095" s="1115"/>
      <c r="AG3095" s="1115"/>
      <c r="AH3095" s="1115"/>
      <c r="AI3095" s="1115"/>
      <c r="AJ3095" s="1117"/>
      <c r="AK3095" s="1118"/>
      <c r="AL3095" s="1115"/>
      <c r="AM3095" s="1115"/>
      <c r="AN3095" s="1115"/>
      <c r="AO3095" s="1115"/>
      <c r="AP3095" s="1115"/>
      <c r="AQ3095" s="1115"/>
      <c r="AR3095" s="1115"/>
      <c r="AS3095" s="1117"/>
      <c r="AT3095" s="1075"/>
      <c r="AU3095" s="1193"/>
      <c r="AV3095" s="330"/>
      <c r="AW3095" s="331"/>
      <c r="AX3095" s="331"/>
      <c r="AY3095" s="331"/>
      <c r="AZ3095" s="331"/>
      <c r="BA3095" s="331"/>
      <c r="BB3095" s="331"/>
      <c r="BC3095" s="331"/>
      <c r="BD3095" s="331"/>
      <c r="BE3095" s="333"/>
      <c r="BF3095" s="330"/>
      <c r="BG3095" s="333"/>
      <c r="BH3095" s="1119"/>
      <c r="BI3095" s="319"/>
      <c r="BJ3095" s="319"/>
      <c r="BK3095" s="319"/>
      <c r="BL3095" s="319"/>
      <c r="BM3095" s="319"/>
      <c r="BN3095" s="319"/>
      <c r="BO3095" s="319"/>
      <c r="BP3095" s="953"/>
      <c r="BQ3095" s="319"/>
      <c r="BR3095" s="319"/>
      <c r="BS3095" s="330"/>
      <c r="BT3095" s="331"/>
      <c r="BU3095" s="920"/>
      <c r="BV3095" s="903"/>
      <c r="BW3095" s="908"/>
      <c r="BX3095" s="908"/>
      <c r="BY3095" s="331"/>
      <c r="BZ3095" s="331"/>
      <c r="CA3095" s="462"/>
      <c r="CB3095" s="319"/>
      <c r="CC3095" s="319"/>
      <c r="CD3095" s="319"/>
      <c r="CE3095" s="319"/>
      <c r="CF3095" s="319"/>
      <c r="CG3095" s="319"/>
      <c r="CH3095" s="318"/>
      <c r="CI3095" s="319"/>
      <c r="CJ3095" s="319"/>
      <c r="CK3095" s="342"/>
      <c r="CL3095" s="333"/>
      <c r="CM3095" s="1079"/>
      <c r="CN3095" s="1005"/>
      <c r="CO3095" s="1005"/>
      <c r="CP3095" s="1005"/>
    </row>
    <row r="3096">
      <c r="A3096" s="1257"/>
      <c r="B3096" s="1113"/>
      <c r="C3096" s="1107"/>
      <c r="D3096" s="103"/>
      <c r="E3096" s="1137"/>
      <c r="F3096" s="112"/>
      <c r="G3096" s="1110"/>
      <c r="H3096" s="1138"/>
      <c r="I3096" s="1138"/>
      <c r="J3096" s="1139"/>
      <c r="K3096" s="1111"/>
      <c r="L3096" s="1112"/>
      <c r="M3096" s="1113"/>
      <c r="N3096" s="110"/>
      <c r="O3096" s="1140"/>
      <c r="P3096" s="1115"/>
      <c r="Q3096" s="1116"/>
      <c r="R3096" s="1141"/>
      <c r="S3096" s="1113"/>
      <c r="T3096" s="1143"/>
      <c r="U3096" s="1108"/>
      <c r="V3096" s="1108"/>
      <c r="W3096" s="1108"/>
      <c r="X3096" s="1108"/>
      <c r="Y3096" s="1108"/>
      <c r="Z3096" s="1114"/>
      <c r="AA3096" s="1114"/>
      <c r="AB3096" s="1114"/>
      <c r="AC3096" s="1117"/>
      <c r="AD3096" s="1115"/>
      <c r="AE3096" s="1115"/>
      <c r="AF3096" s="1115"/>
      <c r="AG3096" s="1115"/>
      <c r="AH3096" s="1115"/>
      <c r="AI3096" s="1115"/>
      <c r="AJ3096" s="1117"/>
      <c r="AK3096" s="1118"/>
      <c r="AL3096" s="1115"/>
      <c r="AM3096" s="1115"/>
      <c r="AN3096" s="1115"/>
      <c r="AO3096" s="1115"/>
      <c r="AP3096" s="1115"/>
      <c r="AQ3096" s="1115"/>
      <c r="AR3096" s="1115"/>
      <c r="AS3096" s="1117"/>
      <c r="AT3096" s="1075"/>
      <c r="AU3096" s="1193"/>
      <c r="AV3096" s="330"/>
      <c r="AW3096" s="331"/>
      <c r="AX3096" s="331"/>
      <c r="AY3096" s="331"/>
      <c r="AZ3096" s="331"/>
      <c r="BA3096" s="331"/>
      <c r="BB3096" s="331"/>
      <c r="BC3096" s="331"/>
      <c r="BD3096" s="331"/>
      <c r="BE3096" s="333"/>
      <c r="BF3096" s="330"/>
      <c r="BG3096" s="333"/>
      <c r="BH3096" s="1119"/>
      <c r="BI3096" s="319"/>
      <c r="BJ3096" s="319"/>
      <c r="BK3096" s="319"/>
      <c r="BL3096" s="319"/>
      <c r="BM3096" s="319"/>
      <c r="BN3096" s="319"/>
      <c r="BO3096" s="319"/>
      <c r="BP3096" s="953"/>
      <c r="BQ3096" s="319"/>
      <c r="BR3096" s="319"/>
      <c r="BS3096" s="330"/>
      <c r="BT3096" s="331"/>
      <c r="BU3096" s="920"/>
      <c r="BV3096" s="903"/>
      <c r="BW3096" s="908"/>
      <c r="BX3096" s="908"/>
      <c r="BY3096" s="331"/>
      <c r="BZ3096" s="331"/>
      <c r="CA3096" s="462"/>
      <c r="CB3096" s="319"/>
      <c r="CC3096" s="319"/>
      <c r="CD3096" s="319"/>
      <c r="CE3096" s="319"/>
      <c r="CF3096" s="319"/>
      <c r="CG3096" s="319"/>
      <c r="CH3096" s="318"/>
      <c r="CI3096" s="319"/>
      <c r="CJ3096" s="319"/>
      <c r="CK3096" s="342"/>
      <c r="CL3096" s="333"/>
      <c r="CM3096" s="1079"/>
      <c r="CN3096" s="1005"/>
      <c r="CO3096" s="1005"/>
      <c r="CP3096" s="1005"/>
    </row>
    <row r="3097">
      <c r="A3097" s="1257"/>
      <c r="B3097" s="1113"/>
      <c r="C3097" s="1107"/>
      <c r="D3097" s="103"/>
      <c r="E3097" s="1137"/>
      <c r="F3097" s="112"/>
      <c r="G3097" s="1110"/>
      <c r="H3097" s="1138"/>
      <c r="I3097" s="1138"/>
      <c r="J3097" s="1139"/>
      <c r="K3097" s="1111"/>
      <c r="L3097" s="1112"/>
      <c r="M3097" s="1113"/>
      <c r="N3097" s="110"/>
      <c r="O3097" s="1140"/>
      <c r="P3097" s="1115"/>
      <c r="Q3097" s="1116"/>
      <c r="R3097" s="1141"/>
      <c r="S3097" s="1113"/>
      <c r="T3097" s="1143"/>
      <c r="U3097" s="1108"/>
      <c r="V3097" s="1108"/>
      <c r="W3097" s="1108"/>
      <c r="X3097" s="1108"/>
      <c r="Y3097" s="1108"/>
      <c r="Z3097" s="1114"/>
      <c r="AA3097" s="1114"/>
      <c r="AB3097" s="1114"/>
      <c r="AC3097" s="1117"/>
      <c r="AD3097" s="1115"/>
      <c r="AE3097" s="1115"/>
      <c r="AF3097" s="1115"/>
      <c r="AG3097" s="1115"/>
      <c r="AH3097" s="1115"/>
      <c r="AI3097" s="1115"/>
      <c r="AJ3097" s="1117"/>
      <c r="AK3097" s="1118"/>
      <c r="AL3097" s="1115"/>
      <c r="AM3097" s="1115"/>
      <c r="AN3097" s="1115"/>
      <c r="AO3097" s="1115"/>
      <c r="AP3097" s="1115"/>
      <c r="AQ3097" s="1115"/>
      <c r="AR3097" s="1115"/>
      <c r="AS3097" s="1117"/>
      <c r="AT3097" s="1075"/>
      <c r="AU3097" s="1193"/>
      <c r="AV3097" s="330"/>
      <c r="AW3097" s="331"/>
      <c r="AX3097" s="331"/>
      <c r="AY3097" s="331"/>
      <c r="AZ3097" s="331"/>
      <c r="BA3097" s="331"/>
      <c r="BB3097" s="331"/>
      <c r="BC3097" s="331"/>
      <c r="BD3097" s="331"/>
      <c r="BE3097" s="333"/>
      <c r="BF3097" s="330"/>
      <c r="BG3097" s="333"/>
      <c r="BH3097" s="1119"/>
      <c r="BI3097" s="319"/>
      <c r="BJ3097" s="319"/>
      <c r="BK3097" s="319"/>
      <c r="BL3097" s="319"/>
      <c r="BM3097" s="319"/>
      <c r="BN3097" s="319"/>
      <c r="BO3097" s="319"/>
      <c r="BP3097" s="953"/>
      <c r="BQ3097" s="319"/>
      <c r="BR3097" s="319"/>
      <c r="BS3097" s="330"/>
      <c r="BT3097" s="331"/>
      <c r="BU3097" s="920"/>
      <c r="BV3097" s="903"/>
      <c r="BW3097" s="908"/>
      <c r="BX3097" s="908"/>
      <c r="BY3097" s="331"/>
      <c r="BZ3097" s="331"/>
      <c r="CA3097" s="462"/>
      <c r="CB3097" s="319"/>
      <c r="CC3097" s="319"/>
      <c r="CD3097" s="319"/>
      <c r="CE3097" s="319"/>
      <c r="CF3097" s="319"/>
      <c r="CG3097" s="319"/>
      <c r="CH3097" s="318"/>
      <c r="CI3097" s="319"/>
      <c r="CJ3097" s="319"/>
      <c r="CK3097" s="342"/>
      <c r="CL3097" s="333"/>
      <c r="CM3097" s="1079"/>
      <c r="CN3097" s="1005"/>
      <c r="CO3097" s="1005"/>
      <c r="CP3097" s="1005"/>
    </row>
    <row r="3098">
      <c r="A3098" s="1257"/>
      <c r="B3098" s="1113"/>
      <c r="C3098" s="1107"/>
      <c r="D3098" s="103"/>
      <c r="E3098" s="1137"/>
      <c r="F3098" s="112"/>
      <c r="G3098" s="1110"/>
      <c r="H3098" s="1138"/>
      <c r="I3098" s="1138"/>
      <c r="J3098" s="1139"/>
      <c r="K3098" s="1111"/>
      <c r="L3098" s="1112"/>
      <c r="M3098" s="1113"/>
      <c r="N3098" s="110"/>
      <c r="O3098" s="1140"/>
      <c r="P3098" s="1115"/>
      <c r="Q3098" s="1116"/>
      <c r="R3098" s="1141"/>
      <c r="S3098" s="1113"/>
      <c r="T3098" s="1143"/>
      <c r="U3098" s="1108"/>
      <c r="V3098" s="1108"/>
      <c r="W3098" s="1108"/>
      <c r="X3098" s="1108"/>
      <c r="Y3098" s="1108"/>
      <c r="Z3098" s="1114"/>
      <c r="AA3098" s="1114"/>
      <c r="AB3098" s="1114"/>
      <c r="AC3098" s="1117"/>
      <c r="AD3098" s="1115"/>
      <c r="AE3098" s="1115"/>
      <c r="AF3098" s="1115"/>
      <c r="AG3098" s="1115"/>
      <c r="AH3098" s="1115"/>
      <c r="AI3098" s="1115"/>
      <c r="AJ3098" s="1117"/>
      <c r="AK3098" s="1118"/>
      <c r="AL3098" s="1115"/>
      <c r="AM3098" s="1115"/>
      <c r="AN3098" s="1115"/>
      <c r="AO3098" s="1115"/>
      <c r="AP3098" s="1115"/>
      <c r="AQ3098" s="1115"/>
      <c r="AR3098" s="1115"/>
      <c r="AS3098" s="1117"/>
      <c r="AT3098" s="1075"/>
      <c r="AU3098" s="1193"/>
      <c r="AV3098" s="330"/>
      <c r="AW3098" s="331"/>
      <c r="AX3098" s="331"/>
      <c r="AY3098" s="331"/>
      <c r="AZ3098" s="331"/>
      <c r="BA3098" s="331"/>
      <c r="BB3098" s="331"/>
      <c r="BC3098" s="331"/>
      <c r="BD3098" s="331"/>
      <c r="BE3098" s="333"/>
      <c r="BF3098" s="330"/>
      <c r="BG3098" s="333"/>
      <c r="BH3098" s="1119"/>
      <c r="BI3098" s="319"/>
      <c r="BJ3098" s="319"/>
      <c r="BK3098" s="319"/>
      <c r="BL3098" s="319"/>
      <c r="BM3098" s="319"/>
      <c r="BN3098" s="319"/>
      <c r="BO3098" s="319"/>
      <c r="BP3098" s="953"/>
      <c r="BQ3098" s="319"/>
      <c r="BR3098" s="319"/>
      <c r="BS3098" s="330"/>
      <c r="BT3098" s="331"/>
      <c r="BU3098" s="920"/>
      <c r="BV3098" s="903"/>
      <c r="BW3098" s="908"/>
      <c r="BX3098" s="908"/>
      <c r="BY3098" s="331"/>
      <c r="BZ3098" s="331"/>
      <c r="CA3098" s="462"/>
      <c r="CB3098" s="319"/>
      <c r="CC3098" s="319"/>
      <c r="CD3098" s="319"/>
      <c r="CE3098" s="319"/>
      <c r="CF3098" s="319"/>
      <c r="CG3098" s="319"/>
      <c r="CH3098" s="318"/>
      <c r="CI3098" s="319"/>
      <c r="CJ3098" s="319"/>
      <c r="CK3098" s="342"/>
      <c r="CL3098" s="333"/>
      <c r="CM3098" s="1079"/>
      <c r="CN3098" s="1005"/>
      <c r="CO3098" s="1005"/>
      <c r="CP3098" s="1005"/>
    </row>
    <row r="3099">
      <c r="A3099" s="1257"/>
      <c r="B3099" s="1113"/>
      <c r="C3099" s="1107"/>
      <c r="D3099" s="103"/>
      <c r="E3099" s="1137"/>
      <c r="F3099" s="112"/>
      <c r="G3099" s="1110"/>
      <c r="H3099" s="1138"/>
      <c r="I3099" s="1138"/>
      <c r="J3099" s="1139"/>
      <c r="K3099" s="1111"/>
      <c r="L3099" s="1112"/>
      <c r="M3099" s="1113"/>
      <c r="N3099" s="110"/>
      <c r="O3099" s="1140"/>
      <c r="P3099" s="1115"/>
      <c r="Q3099" s="1116"/>
      <c r="R3099" s="1141"/>
      <c r="S3099" s="1113"/>
      <c r="T3099" s="1143"/>
      <c r="U3099" s="1108"/>
      <c r="V3099" s="1108"/>
      <c r="W3099" s="1108"/>
      <c r="X3099" s="1108"/>
      <c r="Y3099" s="1108"/>
      <c r="Z3099" s="1114"/>
      <c r="AA3099" s="1114"/>
      <c r="AB3099" s="1114"/>
      <c r="AC3099" s="1117"/>
      <c r="AD3099" s="1115"/>
      <c r="AE3099" s="1115"/>
      <c r="AF3099" s="1115"/>
      <c r="AG3099" s="1115"/>
      <c r="AH3099" s="1115"/>
      <c r="AI3099" s="1115"/>
      <c r="AJ3099" s="1117"/>
      <c r="AK3099" s="1118"/>
      <c r="AL3099" s="1115"/>
      <c r="AM3099" s="1115"/>
      <c r="AN3099" s="1115"/>
      <c r="AO3099" s="1115"/>
      <c r="AP3099" s="1115"/>
      <c r="AQ3099" s="1115"/>
      <c r="AR3099" s="1115"/>
      <c r="AS3099" s="1117"/>
      <c r="AT3099" s="1075"/>
      <c r="AU3099" s="1193"/>
      <c r="AV3099" s="330"/>
      <c r="AW3099" s="331"/>
      <c r="AX3099" s="331"/>
      <c r="AY3099" s="331"/>
      <c r="AZ3099" s="331"/>
      <c r="BA3099" s="331"/>
      <c r="BB3099" s="331"/>
      <c r="BC3099" s="331"/>
      <c r="BD3099" s="331"/>
      <c r="BE3099" s="333"/>
      <c r="BF3099" s="330"/>
      <c r="BG3099" s="333"/>
      <c r="BH3099" s="1119"/>
      <c r="BI3099" s="319"/>
      <c r="BJ3099" s="319"/>
      <c r="BK3099" s="319"/>
      <c r="BL3099" s="319"/>
      <c r="BM3099" s="319"/>
      <c r="BN3099" s="319"/>
      <c r="BO3099" s="319"/>
      <c r="BP3099" s="953"/>
      <c r="BQ3099" s="319"/>
      <c r="BR3099" s="319"/>
      <c r="BS3099" s="330"/>
      <c r="BT3099" s="331"/>
      <c r="BU3099" s="920"/>
      <c r="BV3099" s="903"/>
      <c r="BW3099" s="908"/>
      <c r="BX3099" s="908"/>
      <c r="BY3099" s="331"/>
      <c r="BZ3099" s="331"/>
      <c r="CA3099" s="462"/>
      <c r="CB3099" s="319"/>
      <c r="CC3099" s="319"/>
      <c r="CD3099" s="319"/>
      <c r="CE3099" s="319"/>
      <c r="CF3099" s="319"/>
      <c r="CG3099" s="319"/>
      <c r="CH3099" s="318"/>
      <c r="CI3099" s="319"/>
      <c r="CJ3099" s="319"/>
      <c r="CK3099" s="342"/>
      <c r="CL3099" s="333"/>
      <c r="CM3099" s="1079"/>
      <c r="CN3099" s="1005"/>
      <c r="CO3099" s="1005"/>
      <c r="CP3099" s="1005"/>
    </row>
    <row r="3100">
      <c r="A3100" s="1257"/>
      <c r="B3100" s="1113"/>
      <c r="C3100" s="1107"/>
      <c r="D3100" s="103"/>
      <c r="E3100" s="1137"/>
      <c r="F3100" s="112"/>
      <c r="G3100" s="1110"/>
      <c r="H3100" s="1138"/>
      <c r="I3100" s="1138"/>
      <c r="J3100" s="1139"/>
      <c r="K3100" s="1111"/>
      <c r="L3100" s="1112"/>
      <c r="M3100" s="1113"/>
      <c r="N3100" s="110"/>
      <c r="O3100" s="1140"/>
      <c r="P3100" s="1115"/>
      <c r="Q3100" s="1116"/>
      <c r="R3100" s="1141"/>
      <c r="S3100" s="1113"/>
      <c r="T3100" s="1143"/>
      <c r="U3100" s="1108"/>
      <c r="V3100" s="1108"/>
      <c r="W3100" s="1108"/>
      <c r="X3100" s="1108"/>
      <c r="Y3100" s="1108"/>
      <c r="Z3100" s="1114"/>
      <c r="AA3100" s="1114"/>
      <c r="AB3100" s="1114"/>
      <c r="AC3100" s="1117"/>
      <c r="AD3100" s="1115"/>
      <c r="AE3100" s="1115"/>
      <c r="AF3100" s="1115"/>
      <c r="AG3100" s="1115"/>
      <c r="AH3100" s="1115"/>
      <c r="AI3100" s="1115"/>
      <c r="AJ3100" s="1117"/>
      <c r="AK3100" s="1118"/>
      <c r="AL3100" s="1115"/>
      <c r="AM3100" s="1115"/>
      <c r="AN3100" s="1115"/>
      <c r="AO3100" s="1115"/>
      <c r="AP3100" s="1115"/>
      <c r="AQ3100" s="1115"/>
      <c r="AR3100" s="1115"/>
      <c r="AS3100" s="1117"/>
      <c r="AT3100" s="1075"/>
      <c r="AU3100" s="1193"/>
      <c r="AV3100" s="330"/>
      <c r="AW3100" s="331"/>
      <c r="AX3100" s="331"/>
      <c r="AY3100" s="331"/>
      <c r="AZ3100" s="331"/>
      <c r="BA3100" s="331"/>
      <c r="BB3100" s="331"/>
      <c r="BC3100" s="331"/>
      <c r="BD3100" s="331"/>
      <c r="BE3100" s="333"/>
      <c r="BF3100" s="330"/>
      <c r="BG3100" s="333"/>
      <c r="BH3100" s="1119"/>
      <c r="BI3100" s="319"/>
      <c r="BJ3100" s="319"/>
      <c r="BK3100" s="319"/>
      <c r="BL3100" s="319"/>
      <c r="BM3100" s="319"/>
      <c r="BN3100" s="319"/>
      <c r="BO3100" s="319"/>
      <c r="BP3100" s="953"/>
      <c r="BQ3100" s="319"/>
      <c r="BR3100" s="319"/>
      <c r="BS3100" s="330"/>
      <c r="BT3100" s="331"/>
      <c r="BU3100" s="920"/>
      <c r="BV3100" s="903"/>
      <c r="BW3100" s="908"/>
      <c r="BX3100" s="908"/>
      <c r="BY3100" s="331"/>
      <c r="BZ3100" s="331"/>
      <c r="CA3100" s="462"/>
      <c r="CB3100" s="319"/>
      <c r="CC3100" s="319"/>
      <c r="CD3100" s="319"/>
      <c r="CE3100" s="319"/>
      <c r="CF3100" s="319"/>
      <c r="CG3100" s="319"/>
      <c r="CH3100" s="318"/>
      <c r="CI3100" s="319"/>
      <c r="CJ3100" s="319"/>
      <c r="CK3100" s="342"/>
      <c r="CL3100" s="333"/>
      <c r="CM3100" s="1079"/>
      <c r="CN3100" s="1005"/>
      <c r="CO3100" s="1005"/>
      <c r="CP3100" s="1005"/>
    </row>
    <row r="3101">
      <c r="A3101" s="1257"/>
      <c r="B3101" s="1113"/>
      <c r="C3101" s="1107"/>
      <c r="D3101" s="103"/>
      <c r="E3101" s="1137"/>
      <c r="F3101" s="112"/>
      <c r="G3101" s="1110"/>
      <c r="H3101" s="1138"/>
      <c r="I3101" s="1138"/>
      <c r="J3101" s="1139"/>
      <c r="K3101" s="1111"/>
      <c r="L3101" s="1112"/>
      <c r="M3101" s="1113"/>
      <c r="N3101" s="110"/>
      <c r="O3101" s="1140"/>
      <c r="P3101" s="1115"/>
      <c r="Q3101" s="1116"/>
      <c r="R3101" s="1141"/>
      <c r="S3101" s="1113"/>
      <c r="T3101" s="1143"/>
      <c r="U3101" s="1108"/>
      <c r="V3101" s="1108"/>
      <c r="W3101" s="1108"/>
      <c r="X3101" s="1108"/>
      <c r="Y3101" s="1108"/>
      <c r="Z3101" s="1114"/>
      <c r="AA3101" s="1114"/>
      <c r="AB3101" s="1114"/>
      <c r="AC3101" s="1117"/>
      <c r="AD3101" s="1115"/>
      <c r="AE3101" s="1115"/>
      <c r="AF3101" s="1115"/>
      <c r="AG3101" s="1115"/>
      <c r="AH3101" s="1115"/>
      <c r="AI3101" s="1115"/>
      <c r="AJ3101" s="1117"/>
      <c r="AK3101" s="1118"/>
      <c r="AL3101" s="1115"/>
      <c r="AM3101" s="1115"/>
      <c r="AN3101" s="1115"/>
      <c r="AO3101" s="1115"/>
      <c r="AP3101" s="1115"/>
      <c r="AQ3101" s="1115"/>
      <c r="AR3101" s="1115"/>
      <c r="AS3101" s="1117"/>
      <c r="AT3101" s="1075"/>
      <c r="AU3101" s="1193"/>
      <c r="AV3101" s="330"/>
      <c r="AW3101" s="331"/>
      <c r="AX3101" s="331"/>
      <c r="AY3101" s="331"/>
      <c r="AZ3101" s="331"/>
      <c r="BA3101" s="331"/>
      <c r="BB3101" s="331"/>
      <c r="BC3101" s="331"/>
      <c r="BD3101" s="331"/>
      <c r="BE3101" s="333"/>
      <c r="BF3101" s="330"/>
      <c r="BG3101" s="333"/>
      <c r="BH3101" s="1119"/>
      <c r="BI3101" s="319"/>
      <c r="BJ3101" s="319"/>
      <c r="BK3101" s="319"/>
      <c r="BL3101" s="319"/>
      <c r="BM3101" s="319"/>
      <c r="BN3101" s="319"/>
      <c r="BO3101" s="319"/>
      <c r="BP3101" s="953"/>
      <c r="BQ3101" s="319"/>
      <c r="BR3101" s="319"/>
      <c r="BS3101" s="330"/>
      <c r="BT3101" s="331"/>
      <c r="BU3101" s="920"/>
      <c r="BV3101" s="903"/>
      <c r="BW3101" s="908"/>
      <c r="BX3101" s="908"/>
      <c r="BY3101" s="331"/>
      <c r="BZ3101" s="331"/>
      <c r="CA3101" s="462"/>
      <c r="CB3101" s="319"/>
      <c r="CC3101" s="319"/>
      <c r="CD3101" s="319"/>
      <c r="CE3101" s="319"/>
      <c r="CF3101" s="319"/>
      <c r="CG3101" s="319"/>
      <c r="CH3101" s="318"/>
      <c r="CI3101" s="319"/>
      <c r="CJ3101" s="319"/>
      <c r="CK3101" s="342"/>
      <c r="CL3101" s="333"/>
      <c r="CM3101" s="1079"/>
      <c r="CN3101" s="1005"/>
      <c r="CO3101" s="1005"/>
      <c r="CP3101" s="1005"/>
    </row>
    <row r="3102">
      <c r="A3102" s="1257"/>
      <c r="B3102" s="1113"/>
      <c r="C3102" s="1107"/>
      <c r="D3102" s="103"/>
      <c r="E3102" s="1137"/>
      <c r="F3102" s="112"/>
      <c r="G3102" s="1110"/>
      <c r="H3102" s="1138"/>
      <c r="I3102" s="1138"/>
      <c r="J3102" s="1139"/>
      <c r="K3102" s="1111"/>
      <c r="L3102" s="1112"/>
      <c r="M3102" s="1113"/>
      <c r="N3102" s="110"/>
      <c r="O3102" s="1140"/>
      <c r="P3102" s="1115"/>
      <c r="Q3102" s="1116"/>
      <c r="R3102" s="1141"/>
      <c r="S3102" s="1113"/>
      <c r="T3102" s="1143"/>
      <c r="U3102" s="1108"/>
      <c r="V3102" s="1108"/>
      <c r="W3102" s="1108"/>
      <c r="X3102" s="1108"/>
      <c r="Y3102" s="1108"/>
      <c r="Z3102" s="1114"/>
      <c r="AA3102" s="1114"/>
      <c r="AB3102" s="1114"/>
      <c r="AC3102" s="1117"/>
      <c r="AD3102" s="1115"/>
      <c r="AE3102" s="1115"/>
      <c r="AF3102" s="1115"/>
      <c r="AG3102" s="1115"/>
      <c r="AH3102" s="1115"/>
      <c r="AI3102" s="1115"/>
      <c r="AJ3102" s="1117"/>
      <c r="AK3102" s="1118"/>
      <c r="AL3102" s="1115"/>
      <c r="AM3102" s="1115"/>
      <c r="AN3102" s="1115"/>
      <c r="AO3102" s="1115"/>
      <c r="AP3102" s="1115"/>
      <c r="AQ3102" s="1115"/>
      <c r="AR3102" s="1115"/>
      <c r="AS3102" s="1117"/>
      <c r="AT3102" s="1075"/>
      <c r="AU3102" s="1193"/>
      <c r="AV3102" s="330"/>
      <c r="AW3102" s="331"/>
      <c r="AX3102" s="331"/>
      <c r="AY3102" s="331"/>
      <c r="AZ3102" s="331"/>
      <c r="BA3102" s="331"/>
      <c r="BB3102" s="331"/>
      <c r="BC3102" s="331"/>
      <c r="BD3102" s="331"/>
      <c r="BE3102" s="333"/>
      <c r="BF3102" s="330"/>
      <c r="BG3102" s="333"/>
      <c r="BH3102" s="1119"/>
      <c r="BI3102" s="319"/>
      <c r="BJ3102" s="319"/>
      <c r="BK3102" s="319"/>
      <c r="BL3102" s="319"/>
      <c r="BM3102" s="319"/>
      <c r="BN3102" s="319"/>
      <c r="BO3102" s="319"/>
      <c r="BP3102" s="953"/>
      <c r="BQ3102" s="319"/>
      <c r="BR3102" s="319"/>
      <c r="BS3102" s="330"/>
      <c r="BT3102" s="331"/>
      <c r="BU3102" s="920"/>
      <c r="BV3102" s="903"/>
      <c r="BW3102" s="908"/>
      <c r="BX3102" s="908"/>
      <c r="BY3102" s="331"/>
      <c r="BZ3102" s="331"/>
      <c r="CA3102" s="462"/>
      <c r="CB3102" s="319"/>
      <c r="CC3102" s="319"/>
      <c r="CD3102" s="319"/>
      <c r="CE3102" s="319"/>
      <c r="CF3102" s="319"/>
      <c r="CG3102" s="319"/>
      <c r="CH3102" s="318"/>
      <c r="CI3102" s="319"/>
      <c r="CJ3102" s="319"/>
      <c r="CK3102" s="342"/>
      <c r="CL3102" s="333"/>
      <c r="CM3102" s="1079"/>
      <c r="CN3102" s="1005"/>
      <c r="CO3102" s="1005"/>
      <c r="CP3102" s="1005"/>
    </row>
    <row r="3103">
      <c r="A3103" s="1257"/>
      <c r="B3103" s="1113"/>
      <c r="C3103" s="1107"/>
      <c r="D3103" s="103"/>
      <c r="E3103" s="1137"/>
      <c r="F3103" s="112"/>
      <c r="G3103" s="1110"/>
      <c r="H3103" s="1138"/>
      <c r="I3103" s="1138"/>
      <c r="J3103" s="1139"/>
      <c r="K3103" s="1111"/>
      <c r="L3103" s="1112"/>
      <c r="M3103" s="1113"/>
      <c r="N3103" s="110"/>
      <c r="O3103" s="1140"/>
      <c r="P3103" s="1115"/>
      <c r="Q3103" s="1116"/>
      <c r="R3103" s="1141"/>
      <c r="S3103" s="1113"/>
      <c r="T3103" s="1143"/>
      <c r="U3103" s="1108"/>
      <c r="V3103" s="1108"/>
      <c r="W3103" s="1108"/>
      <c r="X3103" s="1108"/>
      <c r="Y3103" s="1108"/>
      <c r="Z3103" s="1114"/>
      <c r="AA3103" s="1114"/>
      <c r="AB3103" s="1114"/>
      <c r="AC3103" s="1117"/>
      <c r="AD3103" s="1115"/>
      <c r="AE3103" s="1115"/>
      <c r="AF3103" s="1115"/>
      <c r="AG3103" s="1115"/>
      <c r="AH3103" s="1115"/>
      <c r="AI3103" s="1115"/>
      <c r="AJ3103" s="1117"/>
      <c r="AK3103" s="1118"/>
      <c r="AL3103" s="1115"/>
      <c r="AM3103" s="1115"/>
      <c r="AN3103" s="1115"/>
      <c r="AO3103" s="1115"/>
      <c r="AP3103" s="1115"/>
      <c r="AQ3103" s="1115"/>
      <c r="AR3103" s="1115"/>
      <c r="AS3103" s="1117"/>
      <c r="AT3103" s="1075"/>
      <c r="AU3103" s="1193"/>
      <c r="AV3103" s="330"/>
      <c r="AW3103" s="331"/>
      <c r="AX3103" s="331"/>
      <c r="AY3103" s="331"/>
      <c r="AZ3103" s="331"/>
      <c r="BA3103" s="331"/>
      <c r="BB3103" s="331"/>
      <c r="BC3103" s="331"/>
      <c r="BD3103" s="331"/>
      <c r="BE3103" s="333"/>
      <c r="BF3103" s="330"/>
      <c r="BG3103" s="333"/>
      <c r="BH3103" s="1119"/>
      <c r="BI3103" s="319"/>
      <c r="BJ3103" s="319"/>
      <c r="BK3103" s="319"/>
      <c r="BL3103" s="319"/>
      <c r="BM3103" s="319"/>
      <c r="BN3103" s="319"/>
      <c r="BO3103" s="319"/>
      <c r="BP3103" s="953"/>
      <c r="BQ3103" s="319"/>
      <c r="BR3103" s="319"/>
      <c r="BS3103" s="330"/>
      <c r="BT3103" s="331"/>
      <c r="BU3103" s="920"/>
      <c r="BV3103" s="903"/>
      <c r="BW3103" s="908"/>
      <c r="BX3103" s="908"/>
      <c r="BY3103" s="331"/>
      <c r="BZ3103" s="331"/>
      <c r="CA3103" s="462"/>
      <c r="CB3103" s="319"/>
      <c r="CC3103" s="319"/>
      <c r="CD3103" s="319"/>
      <c r="CE3103" s="319"/>
      <c r="CF3103" s="319"/>
      <c r="CG3103" s="319"/>
      <c r="CH3103" s="318"/>
      <c r="CI3103" s="319"/>
      <c r="CJ3103" s="319"/>
      <c r="CK3103" s="342"/>
      <c r="CL3103" s="333"/>
      <c r="CM3103" s="1079"/>
      <c r="CN3103" s="1005"/>
      <c r="CO3103" s="1005"/>
      <c r="CP3103" s="1005"/>
    </row>
    <row r="3104">
      <c r="A3104" s="1257"/>
      <c r="B3104" s="1113"/>
      <c r="C3104" s="1107"/>
      <c r="D3104" s="103"/>
      <c r="E3104" s="1137"/>
      <c r="F3104" s="112"/>
      <c r="G3104" s="1110"/>
      <c r="H3104" s="1138"/>
      <c r="I3104" s="1138"/>
      <c r="J3104" s="1139"/>
      <c r="K3104" s="1111"/>
      <c r="L3104" s="1112"/>
      <c r="M3104" s="1113"/>
      <c r="N3104" s="110"/>
      <c r="O3104" s="1140"/>
      <c r="P3104" s="1115"/>
      <c r="Q3104" s="1116"/>
      <c r="R3104" s="1141"/>
      <c r="S3104" s="1113"/>
      <c r="T3104" s="1143"/>
      <c r="U3104" s="1108"/>
      <c r="V3104" s="1108"/>
      <c r="W3104" s="1108"/>
      <c r="X3104" s="1108"/>
      <c r="Y3104" s="1108"/>
      <c r="Z3104" s="1114"/>
      <c r="AA3104" s="1114"/>
      <c r="AB3104" s="1114"/>
      <c r="AC3104" s="1117"/>
      <c r="AD3104" s="1115"/>
      <c r="AE3104" s="1115"/>
      <c r="AF3104" s="1115"/>
      <c r="AG3104" s="1115"/>
      <c r="AH3104" s="1115"/>
      <c r="AI3104" s="1115"/>
      <c r="AJ3104" s="1117"/>
      <c r="AK3104" s="1118"/>
      <c r="AL3104" s="1115"/>
      <c r="AM3104" s="1115"/>
      <c r="AN3104" s="1115"/>
      <c r="AO3104" s="1115"/>
      <c r="AP3104" s="1115"/>
      <c r="AQ3104" s="1115"/>
      <c r="AR3104" s="1115"/>
      <c r="AS3104" s="1117"/>
      <c r="AT3104" s="1075"/>
      <c r="AU3104" s="1193"/>
      <c r="AV3104" s="330"/>
      <c r="AW3104" s="331"/>
      <c r="AX3104" s="331"/>
      <c r="AY3104" s="331"/>
      <c r="AZ3104" s="331"/>
      <c r="BA3104" s="331"/>
      <c r="BB3104" s="331"/>
      <c r="BC3104" s="331"/>
      <c r="BD3104" s="331"/>
      <c r="BE3104" s="333"/>
      <c r="BF3104" s="330"/>
      <c r="BG3104" s="333"/>
      <c r="BH3104" s="1119"/>
      <c r="BI3104" s="319"/>
      <c r="BJ3104" s="319"/>
      <c r="BK3104" s="319"/>
      <c r="BL3104" s="319"/>
      <c r="BM3104" s="319"/>
      <c r="BN3104" s="319"/>
      <c r="BO3104" s="319"/>
      <c r="BP3104" s="953"/>
      <c r="BQ3104" s="319"/>
      <c r="BR3104" s="319"/>
      <c r="BS3104" s="330"/>
      <c r="BT3104" s="331"/>
      <c r="BU3104" s="920"/>
      <c r="BV3104" s="903"/>
      <c r="BW3104" s="908"/>
      <c r="BX3104" s="908"/>
      <c r="BY3104" s="331"/>
      <c r="BZ3104" s="331"/>
      <c r="CA3104" s="462"/>
      <c r="CB3104" s="319"/>
      <c r="CC3104" s="319"/>
      <c r="CD3104" s="319"/>
      <c r="CE3104" s="319"/>
      <c r="CF3104" s="319"/>
      <c r="CG3104" s="319"/>
      <c r="CH3104" s="318"/>
      <c r="CI3104" s="319"/>
      <c r="CJ3104" s="319"/>
      <c r="CK3104" s="342"/>
      <c r="CL3104" s="333"/>
      <c r="CM3104" s="1079"/>
      <c r="CN3104" s="1005"/>
      <c r="CO3104" s="1005"/>
      <c r="CP3104" s="1005"/>
    </row>
    <row r="3105">
      <c r="A3105" s="1257"/>
      <c r="B3105" s="1113"/>
      <c r="C3105" s="1107"/>
      <c r="D3105" s="103"/>
      <c r="E3105" s="1137"/>
      <c r="F3105" s="112"/>
      <c r="G3105" s="1110"/>
      <c r="H3105" s="1138"/>
      <c r="I3105" s="1138"/>
      <c r="J3105" s="1139"/>
      <c r="K3105" s="1111"/>
      <c r="L3105" s="1112"/>
      <c r="M3105" s="1113"/>
      <c r="N3105" s="110"/>
      <c r="O3105" s="1140"/>
      <c r="P3105" s="1115"/>
      <c r="Q3105" s="1116"/>
      <c r="R3105" s="1141"/>
      <c r="S3105" s="1113"/>
      <c r="T3105" s="1143"/>
      <c r="U3105" s="1108"/>
      <c r="V3105" s="1108"/>
      <c r="W3105" s="1108"/>
      <c r="X3105" s="1108"/>
      <c r="Y3105" s="1108"/>
      <c r="Z3105" s="1114"/>
      <c r="AA3105" s="1114"/>
      <c r="AB3105" s="1114"/>
      <c r="AC3105" s="1117"/>
      <c r="AD3105" s="1115"/>
      <c r="AE3105" s="1115"/>
      <c r="AF3105" s="1115"/>
      <c r="AG3105" s="1115"/>
      <c r="AH3105" s="1115"/>
      <c r="AI3105" s="1115"/>
      <c r="AJ3105" s="1117"/>
      <c r="AK3105" s="1118"/>
      <c r="AL3105" s="1115"/>
      <c r="AM3105" s="1115"/>
      <c r="AN3105" s="1115"/>
      <c r="AO3105" s="1115"/>
      <c r="AP3105" s="1115"/>
      <c r="AQ3105" s="1115"/>
      <c r="AR3105" s="1115"/>
      <c r="AS3105" s="1117"/>
      <c r="AT3105" s="1075"/>
      <c r="AU3105" s="1193"/>
      <c r="AV3105" s="330"/>
      <c r="AW3105" s="331"/>
      <c r="AX3105" s="331"/>
      <c r="AY3105" s="331"/>
      <c r="AZ3105" s="331"/>
      <c r="BA3105" s="331"/>
      <c r="BB3105" s="331"/>
      <c r="BC3105" s="331"/>
      <c r="BD3105" s="331"/>
      <c r="BE3105" s="333"/>
      <c r="BF3105" s="330"/>
      <c r="BG3105" s="333"/>
      <c r="BH3105" s="1119"/>
      <c r="BI3105" s="319"/>
      <c r="BJ3105" s="319"/>
      <c r="BK3105" s="319"/>
      <c r="BL3105" s="319"/>
      <c r="BM3105" s="319"/>
      <c r="BN3105" s="319"/>
      <c r="BO3105" s="319"/>
      <c r="BP3105" s="953"/>
      <c r="BQ3105" s="319"/>
      <c r="BR3105" s="319"/>
      <c r="BS3105" s="330"/>
      <c r="BT3105" s="331"/>
      <c r="BU3105" s="920"/>
      <c r="BV3105" s="903"/>
      <c r="BW3105" s="908"/>
      <c r="BX3105" s="908"/>
      <c r="BY3105" s="331"/>
      <c r="BZ3105" s="331"/>
      <c r="CA3105" s="462"/>
      <c r="CB3105" s="319"/>
      <c r="CC3105" s="319"/>
      <c r="CD3105" s="319"/>
      <c r="CE3105" s="319"/>
      <c r="CF3105" s="319"/>
      <c r="CG3105" s="319"/>
      <c r="CH3105" s="318"/>
      <c r="CI3105" s="319"/>
      <c r="CJ3105" s="319"/>
      <c r="CK3105" s="342"/>
      <c r="CL3105" s="333"/>
      <c r="CM3105" s="1079"/>
      <c r="CN3105" s="1005"/>
      <c r="CO3105" s="1005"/>
      <c r="CP3105" s="1005"/>
    </row>
    <row r="3106">
      <c r="A3106" s="1257"/>
      <c r="B3106" s="1113"/>
      <c r="C3106" s="1107"/>
      <c r="D3106" s="103"/>
      <c r="E3106" s="1137"/>
      <c r="F3106" s="112"/>
      <c r="G3106" s="1110"/>
      <c r="H3106" s="1138"/>
      <c r="I3106" s="1138"/>
      <c r="J3106" s="1139"/>
      <c r="K3106" s="1111"/>
      <c r="L3106" s="1112"/>
      <c r="M3106" s="1113"/>
      <c r="N3106" s="110"/>
      <c r="O3106" s="1140"/>
      <c r="P3106" s="1115"/>
      <c r="Q3106" s="1116"/>
      <c r="R3106" s="1141"/>
      <c r="S3106" s="1113"/>
      <c r="T3106" s="1143"/>
      <c r="U3106" s="1108"/>
      <c r="V3106" s="1108"/>
      <c r="W3106" s="1108"/>
      <c r="X3106" s="1108"/>
      <c r="Y3106" s="1108"/>
      <c r="Z3106" s="1114"/>
      <c r="AA3106" s="1114"/>
      <c r="AB3106" s="1114"/>
      <c r="AC3106" s="1117"/>
      <c r="AD3106" s="1115"/>
      <c r="AE3106" s="1115"/>
      <c r="AF3106" s="1115"/>
      <c r="AG3106" s="1115"/>
      <c r="AH3106" s="1115"/>
      <c r="AI3106" s="1115"/>
      <c r="AJ3106" s="1117"/>
      <c r="AK3106" s="1118"/>
      <c r="AL3106" s="1115"/>
      <c r="AM3106" s="1115"/>
      <c r="AN3106" s="1115"/>
      <c r="AO3106" s="1115"/>
      <c r="AP3106" s="1115"/>
      <c r="AQ3106" s="1115"/>
      <c r="AR3106" s="1115"/>
      <c r="AS3106" s="1117"/>
      <c r="AT3106" s="1075"/>
      <c r="AU3106" s="1193"/>
      <c r="AV3106" s="330"/>
      <c r="AW3106" s="331"/>
      <c r="AX3106" s="331"/>
      <c r="AY3106" s="331"/>
      <c r="AZ3106" s="331"/>
      <c r="BA3106" s="331"/>
      <c r="BB3106" s="331"/>
      <c r="BC3106" s="331"/>
      <c r="BD3106" s="331"/>
      <c r="BE3106" s="333"/>
      <c r="BF3106" s="330"/>
      <c r="BG3106" s="333"/>
      <c r="BH3106" s="1119"/>
      <c r="BI3106" s="319"/>
      <c r="BJ3106" s="319"/>
      <c r="BK3106" s="319"/>
      <c r="BL3106" s="319"/>
      <c r="BM3106" s="319"/>
      <c r="BN3106" s="319"/>
      <c r="BO3106" s="319"/>
      <c r="BP3106" s="953"/>
      <c r="BQ3106" s="319"/>
      <c r="BR3106" s="319"/>
      <c r="BS3106" s="330"/>
      <c r="BT3106" s="331"/>
      <c r="BU3106" s="920"/>
      <c r="BV3106" s="903"/>
      <c r="BW3106" s="908"/>
      <c r="BX3106" s="908"/>
      <c r="BY3106" s="331"/>
      <c r="BZ3106" s="331"/>
      <c r="CA3106" s="462"/>
      <c r="CB3106" s="319"/>
      <c r="CC3106" s="319"/>
      <c r="CD3106" s="319"/>
      <c r="CE3106" s="319"/>
      <c r="CF3106" s="319"/>
      <c r="CG3106" s="319"/>
      <c r="CH3106" s="318"/>
      <c r="CI3106" s="319"/>
      <c r="CJ3106" s="319"/>
      <c r="CK3106" s="342"/>
      <c r="CL3106" s="333"/>
      <c r="CM3106" s="1079"/>
      <c r="CN3106" s="1005"/>
      <c r="CO3106" s="1005"/>
      <c r="CP3106" s="1005"/>
    </row>
    <row r="3107">
      <c r="A3107" s="1257"/>
      <c r="B3107" s="1113"/>
      <c r="C3107" s="1107"/>
      <c r="D3107" s="103"/>
      <c r="E3107" s="1137"/>
      <c r="F3107" s="112"/>
      <c r="G3107" s="1110"/>
      <c r="H3107" s="1138"/>
      <c r="I3107" s="1138"/>
      <c r="J3107" s="1139"/>
      <c r="K3107" s="1111"/>
      <c r="L3107" s="1112"/>
      <c r="M3107" s="1113"/>
      <c r="N3107" s="110"/>
      <c r="O3107" s="1140"/>
      <c r="P3107" s="1115"/>
      <c r="Q3107" s="1116"/>
      <c r="R3107" s="1141"/>
      <c r="S3107" s="1113"/>
      <c r="T3107" s="1143"/>
      <c r="U3107" s="1108"/>
      <c r="V3107" s="1108"/>
      <c r="W3107" s="1108"/>
      <c r="X3107" s="1108"/>
      <c r="Y3107" s="1108"/>
      <c r="Z3107" s="1114"/>
      <c r="AA3107" s="1114"/>
      <c r="AB3107" s="1114"/>
      <c r="AC3107" s="1117"/>
      <c r="AD3107" s="1115"/>
      <c r="AE3107" s="1115"/>
      <c r="AF3107" s="1115"/>
      <c r="AG3107" s="1115"/>
      <c r="AH3107" s="1115"/>
      <c r="AI3107" s="1115"/>
      <c r="AJ3107" s="1117"/>
      <c r="AK3107" s="1118"/>
      <c r="AL3107" s="1115"/>
      <c r="AM3107" s="1115"/>
      <c r="AN3107" s="1115"/>
      <c r="AO3107" s="1115"/>
      <c r="AP3107" s="1115"/>
      <c r="AQ3107" s="1115"/>
      <c r="AR3107" s="1115"/>
      <c r="AS3107" s="1117"/>
      <c r="AT3107" s="1075"/>
      <c r="AU3107" s="1193"/>
      <c r="AV3107" s="330"/>
      <c r="AW3107" s="331"/>
      <c r="AX3107" s="331"/>
      <c r="AY3107" s="331"/>
      <c r="AZ3107" s="331"/>
      <c r="BA3107" s="331"/>
      <c r="BB3107" s="331"/>
      <c r="BC3107" s="331"/>
      <c r="BD3107" s="331"/>
      <c r="BE3107" s="333"/>
      <c r="BF3107" s="330"/>
      <c r="BG3107" s="333"/>
      <c r="BH3107" s="1119"/>
      <c r="BI3107" s="319"/>
      <c r="BJ3107" s="319"/>
      <c r="BK3107" s="319"/>
      <c r="BL3107" s="319"/>
      <c r="BM3107" s="319"/>
      <c r="BN3107" s="319"/>
      <c r="BO3107" s="319"/>
      <c r="BP3107" s="953"/>
      <c r="BQ3107" s="319"/>
      <c r="BR3107" s="319"/>
      <c r="BS3107" s="330"/>
      <c r="BT3107" s="331"/>
      <c r="BU3107" s="920"/>
      <c r="BV3107" s="903"/>
      <c r="BW3107" s="908"/>
      <c r="BX3107" s="908"/>
      <c r="BY3107" s="331"/>
      <c r="BZ3107" s="331"/>
      <c r="CA3107" s="462"/>
      <c r="CB3107" s="319"/>
      <c r="CC3107" s="319"/>
      <c r="CD3107" s="319"/>
      <c r="CE3107" s="319"/>
      <c r="CF3107" s="319"/>
      <c r="CG3107" s="319"/>
      <c r="CH3107" s="318"/>
      <c r="CI3107" s="319"/>
      <c r="CJ3107" s="319"/>
      <c r="CK3107" s="342"/>
      <c r="CL3107" s="333"/>
      <c r="CM3107" s="1079"/>
      <c r="CN3107" s="1005"/>
      <c r="CO3107" s="1005"/>
      <c r="CP3107" s="1005"/>
    </row>
    <row r="3108">
      <c r="A3108" s="1257"/>
      <c r="B3108" s="1113"/>
      <c r="C3108" s="1107"/>
      <c r="D3108" s="103"/>
      <c r="E3108" s="1137"/>
      <c r="F3108" s="112"/>
      <c r="G3108" s="1110"/>
      <c r="H3108" s="1138"/>
      <c r="I3108" s="1138"/>
      <c r="J3108" s="1139"/>
      <c r="K3108" s="1111"/>
      <c r="L3108" s="1112"/>
      <c r="M3108" s="1113"/>
      <c r="N3108" s="110"/>
      <c r="O3108" s="1140"/>
      <c r="P3108" s="1115"/>
      <c r="Q3108" s="1116"/>
      <c r="R3108" s="1141"/>
      <c r="S3108" s="1113"/>
      <c r="T3108" s="1143"/>
      <c r="U3108" s="1108"/>
      <c r="V3108" s="1108"/>
      <c r="W3108" s="1108"/>
      <c r="X3108" s="1108"/>
      <c r="Y3108" s="1108"/>
      <c r="Z3108" s="1114"/>
      <c r="AA3108" s="1114"/>
      <c r="AB3108" s="1114"/>
      <c r="AC3108" s="1117"/>
      <c r="AD3108" s="1115"/>
      <c r="AE3108" s="1115"/>
      <c r="AF3108" s="1115"/>
      <c r="AG3108" s="1115"/>
      <c r="AH3108" s="1115"/>
      <c r="AI3108" s="1115"/>
      <c r="AJ3108" s="1117"/>
      <c r="AK3108" s="1118"/>
      <c r="AL3108" s="1115"/>
      <c r="AM3108" s="1115"/>
      <c r="AN3108" s="1115"/>
      <c r="AO3108" s="1115"/>
      <c r="AP3108" s="1115"/>
      <c r="AQ3108" s="1115"/>
      <c r="AR3108" s="1115"/>
      <c r="AS3108" s="1117"/>
      <c r="AT3108" s="1075"/>
      <c r="AU3108" s="1193"/>
      <c r="AV3108" s="330"/>
      <c r="AW3108" s="331"/>
      <c r="AX3108" s="331"/>
      <c r="AY3108" s="331"/>
      <c r="AZ3108" s="331"/>
      <c r="BA3108" s="331"/>
      <c r="BB3108" s="331"/>
      <c r="BC3108" s="331"/>
      <c r="BD3108" s="331"/>
      <c r="BE3108" s="333"/>
      <c r="BF3108" s="330"/>
      <c r="BG3108" s="333"/>
      <c r="BH3108" s="1119"/>
      <c r="BI3108" s="319"/>
      <c r="BJ3108" s="319"/>
      <c r="BK3108" s="319"/>
      <c r="BL3108" s="319"/>
      <c r="BM3108" s="319"/>
      <c r="BN3108" s="319"/>
      <c r="BO3108" s="319"/>
      <c r="BP3108" s="953"/>
      <c r="BQ3108" s="319"/>
      <c r="BR3108" s="319"/>
      <c r="BS3108" s="330"/>
      <c r="BT3108" s="331"/>
      <c r="BU3108" s="920"/>
      <c r="BV3108" s="903"/>
      <c r="BW3108" s="908"/>
      <c r="BX3108" s="908"/>
      <c r="BY3108" s="331"/>
      <c r="BZ3108" s="331"/>
      <c r="CA3108" s="462"/>
      <c r="CB3108" s="319"/>
      <c r="CC3108" s="319"/>
      <c r="CD3108" s="319"/>
      <c r="CE3108" s="319"/>
      <c r="CF3108" s="319"/>
      <c r="CG3108" s="319"/>
      <c r="CH3108" s="318"/>
      <c r="CI3108" s="319"/>
      <c r="CJ3108" s="319"/>
      <c r="CK3108" s="342"/>
      <c r="CL3108" s="333"/>
      <c r="CM3108" s="1079"/>
      <c r="CN3108" s="1005"/>
      <c r="CO3108" s="1005"/>
      <c r="CP3108" s="1005"/>
    </row>
    <row r="3109">
      <c r="A3109" s="1257"/>
      <c r="B3109" s="1113"/>
      <c r="C3109" s="1107"/>
      <c r="D3109" s="103"/>
      <c r="E3109" s="1137"/>
      <c r="F3109" s="112"/>
      <c r="G3109" s="1110"/>
      <c r="H3109" s="1138"/>
      <c r="I3109" s="1138"/>
      <c r="J3109" s="1139"/>
      <c r="K3109" s="1111"/>
      <c r="L3109" s="1112"/>
      <c r="M3109" s="1113"/>
      <c r="N3109" s="110"/>
      <c r="O3109" s="1140"/>
      <c r="P3109" s="1115"/>
      <c r="Q3109" s="1116"/>
      <c r="R3109" s="1141"/>
      <c r="S3109" s="1113"/>
      <c r="T3109" s="1143"/>
      <c r="U3109" s="1108"/>
      <c r="V3109" s="1108"/>
      <c r="W3109" s="1108"/>
      <c r="X3109" s="1108"/>
      <c r="Y3109" s="1108"/>
      <c r="Z3109" s="1114"/>
      <c r="AA3109" s="1114"/>
      <c r="AB3109" s="1114"/>
      <c r="AC3109" s="1117"/>
      <c r="AD3109" s="1115"/>
      <c r="AE3109" s="1115"/>
      <c r="AF3109" s="1115"/>
      <c r="AG3109" s="1115"/>
      <c r="AH3109" s="1115"/>
      <c r="AI3109" s="1115"/>
      <c r="AJ3109" s="1117"/>
      <c r="AK3109" s="1118"/>
      <c r="AL3109" s="1115"/>
      <c r="AM3109" s="1115"/>
      <c r="AN3109" s="1115"/>
      <c r="AO3109" s="1115"/>
      <c r="AP3109" s="1115"/>
      <c r="AQ3109" s="1115"/>
      <c r="AR3109" s="1115"/>
      <c r="AS3109" s="1117"/>
      <c r="AT3109" s="1075"/>
      <c r="AU3109" s="1193"/>
      <c r="AV3109" s="330"/>
      <c r="AW3109" s="331"/>
      <c r="AX3109" s="331"/>
      <c r="AY3109" s="331"/>
      <c r="AZ3109" s="331"/>
      <c r="BA3109" s="331"/>
      <c r="BB3109" s="331"/>
      <c r="BC3109" s="331"/>
      <c r="BD3109" s="331"/>
      <c r="BE3109" s="333"/>
      <c r="BF3109" s="330"/>
      <c r="BG3109" s="333"/>
      <c r="BH3109" s="1119"/>
      <c r="BI3109" s="319"/>
      <c r="BJ3109" s="319"/>
      <c r="BK3109" s="319"/>
      <c r="BL3109" s="319"/>
      <c r="BM3109" s="319"/>
      <c r="BN3109" s="319"/>
      <c r="BO3109" s="319"/>
      <c r="BP3109" s="953"/>
      <c r="BQ3109" s="319"/>
      <c r="BR3109" s="319"/>
      <c r="BS3109" s="330"/>
      <c r="BT3109" s="331"/>
      <c r="BU3109" s="920"/>
      <c r="BV3109" s="903"/>
      <c r="BW3109" s="908"/>
      <c r="BX3109" s="908"/>
      <c r="BY3109" s="331"/>
      <c r="BZ3109" s="331"/>
      <c r="CA3109" s="462"/>
      <c r="CB3109" s="319"/>
      <c r="CC3109" s="319"/>
      <c r="CD3109" s="319"/>
      <c r="CE3109" s="319"/>
      <c r="CF3109" s="319"/>
      <c r="CG3109" s="319"/>
      <c r="CH3109" s="318"/>
      <c r="CI3109" s="319"/>
      <c r="CJ3109" s="319"/>
      <c r="CK3109" s="342"/>
      <c r="CL3109" s="333"/>
      <c r="CM3109" s="1079"/>
      <c r="CN3109" s="1005"/>
      <c r="CO3109" s="1005"/>
      <c r="CP3109" s="1005"/>
    </row>
    <row r="3110">
      <c r="A3110" s="1257"/>
      <c r="B3110" s="1113"/>
      <c r="C3110" s="1107"/>
      <c r="D3110" s="103"/>
      <c r="E3110" s="1137"/>
      <c r="F3110" s="112"/>
      <c r="G3110" s="1110"/>
      <c r="H3110" s="1138"/>
      <c r="I3110" s="1138"/>
      <c r="J3110" s="1139"/>
      <c r="K3110" s="1111"/>
      <c r="L3110" s="1112"/>
      <c r="M3110" s="1113"/>
      <c r="N3110" s="110"/>
      <c r="O3110" s="1140"/>
      <c r="P3110" s="1115"/>
      <c r="Q3110" s="1116"/>
      <c r="R3110" s="1141"/>
      <c r="S3110" s="1113"/>
      <c r="T3110" s="1143"/>
      <c r="U3110" s="1108"/>
      <c r="V3110" s="1108"/>
      <c r="W3110" s="1108"/>
      <c r="X3110" s="1108"/>
      <c r="Y3110" s="1108"/>
      <c r="Z3110" s="1114"/>
      <c r="AA3110" s="1114"/>
      <c r="AB3110" s="1114"/>
      <c r="AC3110" s="1117"/>
      <c r="AD3110" s="1115"/>
      <c r="AE3110" s="1115"/>
      <c r="AF3110" s="1115"/>
      <c r="AG3110" s="1115"/>
      <c r="AH3110" s="1115"/>
      <c r="AI3110" s="1115"/>
      <c r="AJ3110" s="1117"/>
      <c r="AK3110" s="1118"/>
      <c r="AL3110" s="1115"/>
      <c r="AM3110" s="1115"/>
      <c r="AN3110" s="1115"/>
      <c r="AO3110" s="1115"/>
      <c r="AP3110" s="1115"/>
      <c r="AQ3110" s="1115"/>
      <c r="AR3110" s="1115"/>
      <c r="AS3110" s="1117"/>
      <c r="AT3110" s="1075"/>
      <c r="AU3110" s="1193"/>
      <c r="AV3110" s="330"/>
      <c r="AW3110" s="331"/>
      <c r="AX3110" s="331"/>
      <c r="AY3110" s="331"/>
      <c r="AZ3110" s="331"/>
      <c r="BA3110" s="331"/>
      <c r="BB3110" s="331"/>
      <c r="BC3110" s="331"/>
      <c r="BD3110" s="331"/>
      <c r="BE3110" s="333"/>
      <c r="BF3110" s="330"/>
      <c r="BG3110" s="333"/>
      <c r="BH3110" s="1119"/>
      <c r="BI3110" s="319"/>
      <c r="BJ3110" s="319"/>
      <c r="BK3110" s="319"/>
      <c r="BL3110" s="319"/>
      <c r="BM3110" s="319"/>
      <c r="BN3110" s="319"/>
      <c r="BO3110" s="319"/>
      <c r="BP3110" s="953"/>
      <c r="BQ3110" s="319"/>
      <c r="BR3110" s="319"/>
      <c r="BS3110" s="330"/>
      <c r="BT3110" s="331"/>
      <c r="BU3110" s="920"/>
      <c r="BV3110" s="903"/>
      <c r="BW3110" s="908"/>
      <c r="BX3110" s="908"/>
      <c r="BY3110" s="331"/>
      <c r="BZ3110" s="331"/>
      <c r="CA3110" s="462"/>
      <c r="CB3110" s="319"/>
      <c r="CC3110" s="319"/>
      <c r="CD3110" s="319"/>
      <c r="CE3110" s="319"/>
      <c r="CF3110" s="319"/>
      <c r="CG3110" s="319"/>
      <c r="CH3110" s="318"/>
      <c r="CI3110" s="319"/>
      <c r="CJ3110" s="319"/>
      <c r="CK3110" s="342"/>
      <c r="CL3110" s="333"/>
      <c r="CM3110" s="1079"/>
      <c r="CN3110" s="1005"/>
      <c r="CO3110" s="1005"/>
      <c r="CP3110" s="1005"/>
    </row>
    <row r="3111">
      <c r="A3111" s="1257"/>
      <c r="B3111" s="1113"/>
      <c r="C3111" s="1107"/>
      <c r="D3111" s="103"/>
      <c r="E3111" s="1137"/>
      <c r="F3111" s="112"/>
      <c r="G3111" s="1110"/>
      <c r="H3111" s="1138"/>
      <c r="I3111" s="1138"/>
      <c r="J3111" s="1139"/>
      <c r="K3111" s="1111"/>
      <c r="L3111" s="1112"/>
      <c r="M3111" s="1113"/>
      <c r="N3111" s="110"/>
      <c r="O3111" s="1140"/>
      <c r="P3111" s="1115"/>
      <c r="Q3111" s="1116"/>
      <c r="R3111" s="1141"/>
      <c r="S3111" s="1113"/>
      <c r="T3111" s="1143"/>
      <c r="U3111" s="1108"/>
      <c r="V3111" s="1108"/>
      <c r="W3111" s="1108"/>
      <c r="X3111" s="1108"/>
      <c r="Y3111" s="1108"/>
      <c r="Z3111" s="1114"/>
      <c r="AA3111" s="1114"/>
      <c r="AB3111" s="1114"/>
      <c r="AC3111" s="1117"/>
      <c r="AD3111" s="1115"/>
      <c r="AE3111" s="1115"/>
      <c r="AF3111" s="1115"/>
      <c r="AG3111" s="1115"/>
      <c r="AH3111" s="1115"/>
      <c r="AI3111" s="1115"/>
      <c r="AJ3111" s="1117"/>
      <c r="AK3111" s="1118"/>
      <c r="AL3111" s="1115"/>
      <c r="AM3111" s="1115"/>
      <c r="AN3111" s="1115"/>
      <c r="AO3111" s="1115"/>
      <c r="AP3111" s="1115"/>
      <c r="AQ3111" s="1115"/>
      <c r="AR3111" s="1115"/>
      <c r="AS3111" s="1117"/>
      <c r="AT3111" s="1075"/>
      <c r="AU3111" s="1193"/>
      <c r="AV3111" s="330"/>
      <c r="AW3111" s="331"/>
      <c r="AX3111" s="331"/>
      <c r="AY3111" s="331"/>
      <c r="AZ3111" s="331"/>
      <c r="BA3111" s="331"/>
      <c r="BB3111" s="331"/>
      <c r="BC3111" s="331"/>
      <c r="BD3111" s="331"/>
      <c r="BE3111" s="333"/>
      <c r="BF3111" s="330"/>
      <c r="BG3111" s="333"/>
      <c r="BH3111" s="1119"/>
      <c r="BI3111" s="319"/>
      <c r="BJ3111" s="319"/>
      <c r="BK3111" s="319"/>
      <c r="BL3111" s="319"/>
      <c r="BM3111" s="319"/>
      <c r="BN3111" s="319"/>
      <c r="BO3111" s="319"/>
      <c r="BP3111" s="953"/>
      <c r="BQ3111" s="319"/>
      <c r="BR3111" s="319"/>
      <c r="BS3111" s="330"/>
      <c r="BT3111" s="331"/>
      <c r="BU3111" s="920"/>
      <c r="BV3111" s="903"/>
      <c r="BW3111" s="908"/>
      <c r="BX3111" s="908"/>
      <c r="BY3111" s="331"/>
      <c r="BZ3111" s="331"/>
      <c r="CA3111" s="462"/>
      <c r="CB3111" s="319"/>
      <c r="CC3111" s="319"/>
      <c r="CD3111" s="319"/>
      <c r="CE3111" s="319"/>
      <c r="CF3111" s="319"/>
      <c r="CG3111" s="319"/>
      <c r="CH3111" s="318"/>
      <c r="CI3111" s="319"/>
      <c r="CJ3111" s="319"/>
      <c r="CK3111" s="342"/>
      <c r="CL3111" s="333"/>
      <c r="CM3111" s="1079"/>
      <c r="CN3111" s="1005"/>
      <c r="CO3111" s="1005"/>
      <c r="CP3111" s="1005"/>
    </row>
    <row r="3112">
      <c r="A3112" s="1257"/>
      <c r="B3112" s="1113"/>
      <c r="C3112" s="1107"/>
      <c r="D3112" s="103"/>
      <c r="E3112" s="1137"/>
      <c r="F3112" s="112"/>
      <c r="G3112" s="1110"/>
      <c r="H3112" s="1138"/>
      <c r="I3112" s="1138"/>
      <c r="J3112" s="1139"/>
      <c r="K3112" s="1111"/>
      <c r="L3112" s="1112"/>
      <c r="M3112" s="1113"/>
      <c r="N3112" s="110"/>
      <c r="O3112" s="1140"/>
      <c r="P3112" s="1115"/>
      <c r="Q3112" s="1116"/>
      <c r="R3112" s="1141"/>
      <c r="S3112" s="1113"/>
      <c r="T3112" s="1143"/>
      <c r="U3112" s="1108"/>
      <c r="V3112" s="1108"/>
      <c r="W3112" s="1108"/>
      <c r="X3112" s="1108"/>
      <c r="Y3112" s="1108"/>
      <c r="Z3112" s="1114"/>
      <c r="AA3112" s="1114"/>
      <c r="AB3112" s="1114"/>
      <c r="AC3112" s="1117"/>
      <c r="AD3112" s="1115"/>
      <c r="AE3112" s="1115"/>
      <c r="AF3112" s="1115"/>
      <c r="AG3112" s="1115"/>
      <c r="AH3112" s="1115"/>
      <c r="AI3112" s="1115"/>
      <c r="AJ3112" s="1117"/>
      <c r="AK3112" s="1118"/>
      <c r="AL3112" s="1115"/>
      <c r="AM3112" s="1115"/>
      <c r="AN3112" s="1115"/>
      <c r="AO3112" s="1115"/>
      <c r="AP3112" s="1115"/>
      <c r="AQ3112" s="1115"/>
      <c r="AR3112" s="1115"/>
      <c r="AS3112" s="1117"/>
      <c r="AT3112" s="1075"/>
      <c r="AU3112" s="1193"/>
      <c r="AV3112" s="330"/>
      <c r="AW3112" s="331"/>
      <c r="AX3112" s="331"/>
      <c r="AY3112" s="331"/>
      <c r="AZ3112" s="331"/>
      <c r="BA3112" s="331"/>
      <c r="BB3112" s="331"/>
      <c r="BC3112" s="331"/>
      <c r="BD3112" s="331"/>
      <c r="BE3112" s="333"/>
      <c r="BF3112" s="330"/>
      <c r="BG3112" s="333"/>
      <c r="BH3112" s="1119"/>
      <c r="BI3112" s="319"/>
      <c r="BJ3112" s="319"/>
      <c r="BK3112" s="319"/>
      <c r="BL3112" s="319"/>
      <c r="BM3112" s="319"/>
      <c r="BN3112" s="319"/>
      <c r="BO3112" s="319"/>
      <c r="BP3112" s="953"/>
      <c r="BQ3112" s="319"/>
      <c r="BR3112" s="319"/>
      <c r="BS3112" s="330"/>
      <c r="BT3112" s="331"/>
      <c r="BU3112" s="920"/>
      <c r="BV3112" s="903"/>
      <c r="BW3112" s="908"/>
      <c r="BX3112" s="908"/>
      <c r="BY3112" s="331"/>
      <c r="BZ3112" s="331"/>
      <c r="CA3112" s="462"/>
      <c r="CB3112" s="319"/>
      <c r="CC3112" s="319"/>
      <c r="CD3112" s="319"/>
      <c r="CE3112" s="319"/>
      <c r="CF3112" s="319"/>
      <c r="CG3112" s="319"/>
      <c r="CH3112" s="318"/>
      <c r="CI3112" s="319"/>
      <c r="CJ3112" s="319"/>
      <c r="CK3112" s="342"/>
      <c r="CL3112" s="333"/>
      <c r="CM3112" s="1079"/>
      <c r="CN3112" s="1005"/>
      <c r="CO3112" s="1005"/>
      <c r="CP3112" s="1005"/>
    </row>
    <row r="3113">
      <c r="A3113" s="1257"/>
      <c r="B3113" s="1113"/>
      <c r="C3113" s="1107"/>
      <c r="D3113" s="103"/>
      <c r="E3113" s="1137"/>
      <c r="F3113" s="112"/>
      <c r="G3113" s="1110"/>
      <c r="H3113" s="1138"/>
      <c r="I3113" s="1138"/>
      <c r="J3113" s="1139"/>
      <c r="K3113" s="1111"/>
      <c r="L3113" s="1112"/>
      <c r="M3113" s="1113"/>
      <c r="N3113" s="110"/>
      <c r="O3113" s="1140"/>
      <c r="P3113" s="1115"/>
      <c r="Q3113" s="1116"/>
      <c r="R3113" s="1141"/>
      <c r="S3113" s="1113"/>
      <c r="T3113" s="1143"/>
      <c r="U3113" s="1108"/>
      <c r="V3113" s="1108"/>
      <c r="W3113" s="1108"/>
      <c r="X3113" s="1108"/>
      <c r="Y3113" s="1108"/>
      <c r="Z3113" s="1114"/>
      <c r="AA3113" s="1114"/>
      <c r="AB3113" s="1114"/>
      <c r="AC3113" s="1117"/>
      <c r="AD3113" s="1115"/>
      <c r="AE3113" s="1115"/>
      <c r="AF3113" s="1115"/>
      <c r="AG3113" s="1115"/>
      <c r="AH3113" s="1115"/>
      <c r="AI3113" s="1115"/>
      <c r="AJ3113" s="1117"/>
      <c r="AK3113" s="1118"/>
      <c r="AL3113" s="1115"/>
      <c r="AM3113" s="1115"/>
      <c r="AN3113" s="1115"/>
      <c r="AO3113" s="1115"/>
      <c r="AP3113" s="1115"/>
      <c r="AQ3113" s="1115"/>
      <c r="AR3113" s="1115"/>
      <c r="AS3113" s="1117"/>
      <c r="AT3113" s="1075"/>
      <c r="AU3113" s="1193"/>
      <c r="AV3113" s="330"/>
      <c r="AW3113" s="331"/>
      <c r="AX3113" s="331"/>
      <c r="AY3113" s="331"/>
      <c r="AZ3113" s="331"/>
      <c r="BA3113" s="331"/>
      <c r="BB3113" s="331"/>
      <c r="BC3113" s="331"/>
      <c r="BD3113" s="331"/>
      <c r="BE3113" s="333"/>
      <c r="BF3113" s="330"/>
      <c r="BG3113" s="333"/>
      <c r="BH3113" s="1119"/>
      <c r="BI3113" s="319"/>
      <c r="BJ3113" s="319"/>
      <c r="BK3113" s="319"/>
      <c r="BL3113" s="319"/>
      <c r="BM3113" s="319"/>
      <c r="BN3113" s="319"/>
      <c r="BO3113" s="319"/>
      <c r="BP3113" s="953"/>
      <c r="BQ3113" s="319"/>
      <c r="BR3113" s="319"/>
      <c r="BS3113" s="330"/>
      <c r="BT3113" s="331"/>
      <c r="BU3113" s="920"/>
      <c r="BV3113" s="903"/>
      <c r="BW3113" s="908"/>
      <c r="BX3113" s="908"/>
      <c r="BY3113" s="331"/>
      <c r="BZ3113" s="331"/>
      <c r="CA3113" s="462"/>
      <c r="CB3113" s="319"/>
      <c r="CC3113" s="319"/>
      <c r="CD3113" s="319"/>
      <c r="CE3113" s="319"/>
      <c r="CF3113" s="319"/>
      <c r="CG3113" s="319"/>
      <c r="CH3113" s="318"/>
      <c r="CI3113" s="319"/>
      <c r="CJ3113" s="319"/>
      <c r="CK3113" s="342"/>
      <c r="CL3113" s="333"/>
      <c r="CM3113" s="1079"/>
      <c r="CN3113" s="1005"/>
      <c r="CO3113" s="1005"/>
      <c r="CP3113" s="1005"/>
    </row>
    <row r="3114">
      <c r="A3114" s="1257"/>
      <c r="B3114" s="1113"/>
      <c r="C3114" s="1107"/>
      <c r="D3114" s="103"/>
      <c r="E3114" s="1137"/>
      <c r="F3114" s="112"/>
      <c r="G3114" s="1110"/>
      <c r="H3114" s="1138"/>
      <c r="I3114" s="1138"/>
      <c r="J3114" s="1139"/>
      <c r="K3114" s="1111"/>
      <c r="L3114" s="1112"/>
      <c r="M3114" s="1113"/>
      <c r="N3114" s="110"/>
      <c r="O3114" s="1140"/>
      <c r="P3114" s="1115"/>
      <c r="Q3114" s="1116"/>
      <c r="R3114" s="1141"/>
      <c r="S3114" s="1113"/>
      <c r="T3114" s="1143"/>
      <c r="U3114" s="1108"/>
      <c r="V3114" s="1108"/>
      <c r="W3114" s="1108"/>
      <c r="X3114" s="1108"/>
      <c r="Y3114" s="1108"/>
      <c r="Z3114" s="1114"/>
      <c r="AA3114" s="1114"/>
      <c r="AB3114" s="1114"/>
      <c r="AC3114" s="1117"/>
      <c r="AD3114" s="1115"/>
      <c r="AE3114" s="1115"/>
      <c r="AF3114" s="1115"/>
      <c r="AG3114" s="1115"/>
      <c r="AH3114" s="1115"/>
      <c r="AI3114" s="1115"/>
      <c r="AJ3114" s="1117"/>
      <c r="AK3114" s="1118"/>
      <c r="AL3114" s="1115"/>
      <c r="AM3114" s="1115"/>
      <c r="AN3114" s="1115"/>
      <c r="AO3114" s="1115"/>
      <c r="AP3114" s="1115"/>
      <c r="AQ3114" s="1115"/>
      <c r="AR3114" s="1115"/>
      <c r="AS3114" s="1117"/>
      <c r="AT3114" s="1075"/>
      <c r="AU3114" s="1193"/>
      <c r="AV3114" s="330"/>
      <c r="AW3114" s="331"/>
      <c r="AX3114" s="331"/>
      <c r="AY3114" s="331"/>
      <c r="AZ3114" s="331"/>
      <c r="BA3114" s="331"/>
      <c r="BB3114" s="331"/>
      <c r="BC3114" s="331"/>
      <c r="BD3114" s="331"/>
      <c r="BE3114" s="333"/>
      <c r="BF3114" s="330"/>
      <c r="BG3114" s="333"/>
      <c r="BH3114" s="1119"/>
      <c r="BI3114" s="319"/>
      <c r="BJ3114" s="319"/>
      <c r="BK3114" s="319"/>
      <c r="BL3114" s="319"/>
      <c r="BM3114" s="319"/>
      <c r="BN3114" s="319"/>
      <c r="BO3114" s="319"/>
      <c r="BP3114" s="953"/>
      <c r="BQ3114" s="319"/>
      <c r="BR3114" s="319"/>
      <c r="BS3114" s="330"/>
      <c r="BT3114" s="331"/>
      <c r="BU3114" s="920"/>
      <c r="BV3114" s="903"/>
      <c r="BW3114" s="908"/>
      <c r="BX3114" s="908"/>
      <c r="BY3114" s="331"/>
      <c r="BZ3114" s="331"/>
      <c r="CA3114" s="462"/>
      <c r="CB3114" s="319"/>
      <c r="CC3114" s="319"/>
      <c r="CD3114" s="319"/>
      <c r="CE3114" s="319"/>
      <c r="CF3114" s="319"/>
      <c r="CG3114" s="319"/>
      <c r="CH3114" s="318"/>
      <c r="CI3114" s="319"/>
      <c r="CJ3114" s="319"/>
      <c r="CK3114" s="342"/>
      <c r="CL3114" s="333"/>
      <c r="CM3114" s="1079"/>
      <c r="CN3114" s="1005"/>
      <c r="CO3114" s="1005"/>
      <c r="CP3114" s="1005"/>
    </row>
    <row r="3115">
      <c r="A3115" s="1257"/>
      <c r="B3115" s="1113"/>
      <c r="C3115" s="1107"/>
      <c r="D3115" s="103"/>
      <c r="E3115" s="1137"/>
      <c r="F3115" s="112"/>
      <c r="G3115" s="1110"/>
      <c r="H3115" s="1138"/>
      <c r="I3115" s="1138"/>
      <c r="J3115" s="1139"/>
      <c r="K3115" s="1111"/>
      <c r="L3115" s="1112"/>
      <c r="M3115" s="1113"/>
      <c r="N3115" s="110"/>
      <c r="O3115" s="1140"/>
      <c r="P3115" s="1115"/>
      <c r="Q3115" s="1116"/>
      <c r="R3115" s="1141"/>
      <c r="S3115" s="1113"/>
      <c r="T3115" s="1143"/>
      <c r="U3115" s="1108"/>
      <c r="V3115" s="1108"/>
      <c r="W3115" s="1108"/>
      <c r="X3115" s="1108"/>
      <c r="Y3115" s="1108"/>
      <c r="Z3115" s="1114"/>
      <c r="AA3115" s="1114"/>
      <c r="AB3115" s="1114"/>
      <c r="AC3115" s="1117"/>
      <c r="AD3115" s="1115"/>
      <c r="AE3115" s="1115"/>
      <c r="AF3115" s="1115"/>
      <c r="AG3115" s="1115"/>
      <c r="AH3115" s="1115"/>
      <c r="AI3115" s="1115"/>
      <c r="AJ3115" s="1117"/>
      <c r="AK3115" s="1118"/>
      <c r="AL3115" s="1115"/>
      <c r="AM3115" s="1115"/>
      <c r="AN3115" s="1115"/>
      <c r="AO3115" s="1115"/>
      <c r="AP3115" s="1115"/>
      <c r="AQ3115" s="1115"/>
      <c r="AR3115" s="1115"/>
      <c r="AS3115" s="1117"/>
      <c r="AT3115" s="1075"/>
      <c r="AU3115" s="1193"/>
      <c r="AV3115" s="330"/>
      <c r="AW3115" s="331"/>
      <c r="AX3115" s="331"/>
      <c r="AY3115" s="331"/>
      <c r="AZ3115" s="331"/>
      <c r="BA3115" s="331"/>
      <c r="BB3115" s="331"/>
      <c r="BC3115" s="331"/>
      <c r="BD3115" s="331"/>
      <c r="BE3115" s="333"/>
      <c r="BF3115" s="330"/>
      <c r="BG3115" s="333"/>
      <c r="BH3115" s="1119"/>
      <c r="BI3115" s="319"/>
      <c r="BJ3115" s="319"/>
      <c r="BK3115" s="319"/>
      <c r="BL3115" s="319"/>
      <c r="BM3115" s="319"/>
      <c r="BN3115" s="319"/>
      <c r="BO3115" s="319"/>
      <c r="BP3115" s="953"/>
      <c r="BQ3115" s="319"/>
      <c r="BR3115" s="319"/>
      <c r="BS3115" s="330"/>
      <c r="BT3115" s="331"/>
      <c r="BU3115" s="920"/>
      <c r="BV3115" s="903"/>
      <c r="BW3115" s="908"/>
      <c r="BX3115" s="908"/>
      <c r="BY3115" s="331"/>
      <c r="BZ3115" s="331"/>
      <c r="CA3115" s="462"/>
      <c r="CB3115" s="319"/>
      <c r="CC3115" s="319"/>
      <c r="CD3115" s="319"/>
      <c r="CE3115" s="319"/>
      <c r="CF3115" s="319"/>
      <c r="CG3115" s="319"/>
      <c r="CH3115" s="318"/>
      <c r="CI3115" s="319"/>
      <c r="CJ3115" s="319"/>
      <c r="CK3115" s="342"/>
      <c r="CL3115" s="333"/>
      <c r="CM3115" s="1079"/>
      <c r="CN3115" s="1005"/>
      <c r="CO3115" s="1005"/>
      <c r="CP3115" s="1005"/>
    </row>
    <row r="3116">
      <c r="A3116" s="1257"/>
      <c r="B3116" s="1113"/>
      <c r="C3116" s="1107"/>
      <c r="D3116" s="103"/>
      <c r="E3116" s="1137"/>
      <c r="F3116" s="112"/>
      <c r="G3116" s="1110"/>
      <c r="H3116" s="1138"/>
      <c r="I3116" s="1138"/>
      <c r="J3116" s="1139"/>
      <c r="K3116" s="1111"/>
      <c r="L3116" s="1112"/>
      <c r="M3116" s="1113"/>
      <c r="N3116" s="110"/>
      <c r="O3116" s="1140"/>
      <c r="P3116" s="1115"/>
      <c r="Q3116" s="1116"/>
      <c r="R3116" s="1141"/>
      <c r="S3116" s="1113"/>
      <c r="T3116" s="1143"/>
      <c r="U3116" s="1108"/>
      <c r="V3116" s="1108"/>
      <c r="W3116" s="1108"/>
      <c r="X3116" s="1108"/>
      <c r="Y3116" s="1108"/>
      <c r="Z3116" s="1114"/>
      <c r="AA3116" s="1114"/>
      <c r="AB3116" s="1114"/>
      <c r="AC3116" s="1117"/>
      <c r="AD3116" s="1115"/>
      <c r="AE3116" s="1115"/>
      <c r="AF3116" s="1115"/>
      <c r="AG3116" s="1115"/>
      <c r="AH3116" s="1115"/>
      <c r="AI3116" s="1115"/>
      <c r="AJ3116" s="1117"/>
      <c r="AK3116" s="1118"/>
      <c r="AL3116" s="1115"/>
      <c r="AM3116" s="1115"/>
      <c r="AN3116" s="1115"/>
      <c r="AO3116" s="1115"/>
      <c r="AP3116" s="1115"/>
      <c r="AQ3116" s="1115"/>
      <c r="AR3116" s="1115"/>
      <c r="AS3116" s="1117"/>
      <c r="AT3116" s="1075"/>
      <c r="AU3116" s="1193"/>
      <c r="AV3116" s="330"/>
      <c r="AW3116" s="331"/>
      <c r="AX3116" s="331"/>
      <c r="AY3116" s="331"/>
      <c r="AZ3116" s="331"/>
      <c r="BA3116" s="331"/>
      <c r="BB3116" s="331"/>
      <c r="BC3116" s="331"/>
      <c r="BD3116" s="331"/>
      <c r="BE3116" s="333"/>
      <c r="BF3116" s="330"/>
      <c r="BG3116" s="333"/>
      <c r="BH3116" s="1119"/>
      <c r="BI3116" s="319"/>
      <c r="BJ3116" s="319"/>
      <c r="BK3116" s="319"/>
      <c r="BL3116" s="319"/>
      <c r="BM3116" s="319"/>
      <c r="BN3116" s="319"/>
      <c r="BO3116" s="319"/>
      <c r="BP3116" s="953"/>
      <c r="BQ3116" s="319"/>
      <c r="BR3116" s="319"/>
      <c r="BS3116" s="330"/>
      <c r="BT3116" s="331"/>
      <c r="BU3116" s="920"/>
      <c r="BV3116" s="903"/>
      <c r="BW3116" s="908"/>
      <c r="BX3116" s="908"/>
      <c r="BY3116" s="331"/>
      <c r="BZ3116" s="331"/>
      <c r="CA3116" s="462"/>
      <c r="CB3116" s="319"/>
      <c r="CC3116" s="319"/>
      <c r="CD3116" s="319"/>
      <c r="CE3116" s="319"/>
      <c r="CF3116" s="319"/>
      <c r="CG3116" s="319"/>
      <c r="CH3116" s="318"/>
      <c r="CI3116" s="319"/>
      <c r="CJ3116" s="319"/>
      <c r="CK3116" s="342"/>
      <c r="CL3116" s="333"/>
      <c r="CM3116" s="1079"/>
      <c r="CN3116" s="1005"/>
      <c r="CO3116" s="1005"/>
      <c r="CP3116" s="1005"/>
    </row>
    <row r="3117">
      <c r="A3117" s="1257"/>
      <c r="B3117" s="1113"/>
      <c r="C3117" s="1107"/>
      <c r="D3117" s="103"/>
      <c r="E3117" s="1137"/>
      <c r="F3117" s="112"/>
      <c r="G3117" s="1110"/>
      <c r="H3117" s="1138"/>
      <c r="I3117" s="1138"/>
      <c r="J3117" s="1139"/>
      <c r="K3117" s="1111"/>
      <c r="L3117" s="1112"/>
      <c r="M3117" s="1113"/>
      <c r="N3117" s="110"/>
      <c r="O3117" s="1140"/>
      <c r="P3117" s="1115"/>
      <c r="Q3117" s="1116"/>
      <c r="R3117" s="1141"/>
      <c r="S3117" s="1113"/>
      <c r="T3117" s="1143"/>
      <c r="U3117" s="1108"/>
      <c r="V3117" s="1108"/>
      <c r="W3117" s="1108"/>
      <c r="X3117" s="1108"/>
      <c r="Y3117" s="1108"/>
      <c r="Z3117" s="1114"/>
      <c r="AA3117" s="1114"/>
      <c r="AB3117" s="1114"/>
      <c r="AC3117" s="1117"/>
      <c r="AD3117" s="1115"/>
      <c r="AE3117" s="1115"/>
      <c r="AF3117" s="1115"/>
      <c r="AG3117" s="1115"/>
      <c r="AH3117" s="1115"/>
      <c r="AI3117" s="1115"/>
      <c r="AJ3117" s="1117"/>
      <c r="AK3117" s="1118"/>
      <c r="AL3117" s="1115"/>
      <c r="AM3117" s="1115"/>
      <c r="AN3117" s="1115"/>
      <c r="AO3117" s="1115"/>
      <c r="AP3117" s="1115"/>
      <c r="AQ3117" s="1115"/>
      <c r="AR3117" s="1115"/>
      <c r="AS3117" s="1117"/>
      <c r="AT3117" s="1075"/>
      <c r="AU3117" s="1193"/>
      <c r="AV3117" s="330"/>
      <c r="AW3117" s="331"/>
      <c r="AX3117" s="331"/>
      <c r="AY3117" s="331"/>
      <c r="AZ3117" s="331"/>
      <c r="BA3117" s="331"/>
      <c r="BB3117" s="331"/>
      <c r="BC3117" s="331"/>
      <c r="BD3117" s="331"/>
      <c r="BE3117" s="333"/>
      <c r="BF3117" s="330"/>
      <c r="BG3117" s="333"/>
      <c r="BH3117" s="1119"/>
      <c r="BI3117" s="319"/>
      <c r="BJ3117" s="319"/>
      <c r="BK3117" s="319"/>
      <c r="BL3117" s="319"/>
      <c r="BM3117" s="319"/>
      <c r="BN3117" s="319"/>
      <c r="BO3117" s="319"/>
      <c r="BP3117" s="953"/>
      <c r="BQ3117" s="319"/>
      <c r="BR3117" s="319"/>
      <c r="BS3117" s="330"/>
      <c r="BT3117" s="331"/>
      <c r="BU3117" s="920"/>
      <c r="BV3117" s="903"/>
      <c r="BW3117" s="908"/>
      <c r="BX3117" s="908"/>
      <c r="BY3117" s="331"/>
      <c r="BZ3117" s="331"/>
      <c r="CA3117" s="462"/>
      <c r="CB3117" s="319"/>
      <c r="CC3117" s="319"/>
      <c r="CD3117" s="319"/>
      <c r="CE3117" s="319"/>
      <c r="CF3117" s="319"/>
      <c r="CG3117" s="319"/>
      <c r="CH3117" s="318"/>
      <c r="CI3117" s="319"/>
      <c r="CJ3117" s="319"/>
      <c r="CK3117" s="342"/>
      <c r="CL3117" s="333"/>
      <c r="CM3117" s="1079"/>
      <c r="CN3117" s="1005"/>
      <c r="CO3117" s="1005"/>
      <c r="CP3117" s="1005"/>
    </row>
    <row r="3118">
      <c r="A3118" s="1257"/>
      <c r="B3118" s="1113"/>
      <c r="C3118" s="1107"/>
      <c r="D3118" s="103"/>
      <c r="E3118" s="1137"/>
      <c r="F3118" s="112"/>
      <c r="G3118" s="1110"/>
      <c r="H3118" s="1138"/>
      <c r="I3118" s="1138"/>
      <c r="J3118" s="1139"/>
      <c r="K3118" s="1111"/>
      <c r="L3118" s="1112"/>
      <c r="M3118" s="1113"/>
      <c r="N3118" s="110"/>
      <c r="O3118" s="1140"/>
      <c r="P3118" s="1115"/>
      <c r="Q3118" s="1116"/>
      <c r="R3118" s="1141"/>
      <c r="S3118" s="1113"/>
      <c r="T3118" s="1143"/>
      <c r="U3118" s="1108"/>
      <c r="V3118" s="1108"/>
      <c r="W3118" s="1108"/>
      <c r="X3118" s="1108"/>
      <c r="Y3118" s="1108"/>
      <c r="Z3118" s="1114"/>
      <c r="AA3118" s="1114"/>
      <c r="AB3118" s="1114"/>
      <c r="AC3118" s="1117"/>
      <c r="AD3118" s="1115"/>
      <c r="AE3118" s="1115"/>
      <c r="AF3118" s="1115"/>
      <c r="AG3118" s="1115"/>
      <c r="AH3118" s="1115"/>
      <c r="AI3118" s="1115"/>
      <c r="AJ3118" s="1117"/>
      <c r="AK3118" s="1118"/>
      <c r="AL3118" s="1115"/>
      <c r="AM3118" s="1115"/>
      <c r="AN3118" s="1115"/>
      <c r="AO3118" s="1115"/>
      <c r="AP3118" s="1115"/>
      <c r="AQ3118" s="1115"/>
      <c r="AR3118" s="1115"/>
      <c r="AS3118" s="1117"/>
      <c r="AT3118" s="1075"/>
      <c r="AU3118" s="1193"/>
      <c r="AV3118" s="330"/>
      <c r="AW3118" s="331"/>
      <c r="AX3118" s="331"/>
      <c r="AY3118" s="331"/>
      <c r="AZ3118" s="331"/>
      <c r="BA3118" s="331"/>
      <c r="BB3118" s="331"/>
      <c r="BC3118" s="331"/>
      <c r="BD3118" s="331"/>
      <c r="BE3118" s="333"/>
      <c r="BF3118" s="330"/>
      <c r="BG3118" s="333"/>
      <c r="BH3118" s="1119"/>
      <c r="BI3118" s="319"/>
      <c r="BJ3118" s="319"/>
      <c r="BK3118" s="319"/>
      <c r="BL3118" s="319"/>
      <c r="BM3118" s="319"/>
      <c r="BN3118" s="319"/>
      <c r="BO3118" s="319"/>
      <c r="BP3118" s="953"/>
      <c r="BQ3118" s="319"/>
      <c r="BR3118" s="319"/>
      <c r="BS3118" s="330"/>
      <c r="BT3118" s="331"/>
      <c r="BU3118" s="920"/>
      <c r="BV3118" s="903"/>
      <c r="BW3118" s="908"/>
      <c r="BX3118" s="908"/>
      <c r="BY3118" s="331"/>
      <c r="BZ3118" s="331"/>
      <c r="CA3118" s="462"/>
      <c r="CB3118" s="319"/>
      <c r="CC3118" s="319"/>
      <c r="CD3118" s="319"/>
      <c r="CE3118" s="319"/>
      <c r="CF3118" s="319"/>
      <c r="CG3118" s="319"/>
      <c r="CH3118" s="318"/>
      <c r="CI3118" s="319"/>
      <c r="CJ3118" s="319"/>
      <c r="CK3118" s="342"/>
      <c r="CL3118" s="333"/>
      <c r="CM3118" s="1079"/>
      <c r="CN3118" s="1005"/>
      <c r="CO3118" s="1005"/>
      <c r="CP3118" s="1005"/>
    </row>
    <row r="3119">
      <c r="A3119" s="1257"/>
      <c r="B3119" s="1113"/>
      <c r="C3119" s="1107"/>
      <c r="D3119" s="103"/>
      <c r="E3119" s="1137"/>
      <c r="F3119" s="112"/>
      <c r="G3119" s="1110"/>
      <c r="H3119" s="1138"/>
      <c r="I3119" s="1138"/>
      <c r="J3119" s="1139"/>
      <c r="K3119" s="1111"/>
      <c r="L3119" s="1112"/>
      <c r="M3119" s="1113"/>
      <c r="N3119" s="110"/>
      <c r="O3119" s="1140"/>
      <c r="P3119" s="1115"/>
      <c r="Q3119" s="1116"/>
      <c r="R3119" s="1141"/>
      <c r="S3119" s="1113"/>
      <c r="T3119" s="1143"/>
      <c r="U3119" s="1108"/>
      <c r="V3119" s="1108"/>
      <c r="W3119" s="1108"/>
      <c r="X3119" s="1108"/>
      <c r="Y3119" s="1108"/>
      <c r="Z3119" s="1114"/>
      <c r="AA3119" s="1114"/>
      <c r="AB3119" s="1114"/>
      <c r="AC3119" s="1117"/>
      <c r="AD3119" s="1115"/>
      <c r="AE3119" s="1115"/>
      <c r="AF3119" s="1115"/>
      <c r="AG3119" s="1115"/>
      <c r="AH3119" s="1115"/>
      <c r="AI3119" s="1115"/>
      <c r="AJ3119" s="1117"/>
      <c r="AK3119" s="1118"/>
      <c r="AL3119" s="1115"/>
      <c r="AM3119" s="1115"/>
      <c r="AN3119" s="1115"/>
      <c r="AO3119" s="1115"/>
      <c r="AP3119" s="1115"/>
      <c r="AQ3119" s="1115"/>
      <c r="AR3119" s="1115"/>
      <c r="AS3119" s="1117"/>
      <c r="AT3119" s="1075"/>
      <c r="AU3119" s="1193"/>
      <c r="AV3119" s="330"/>
      <c r="AW3119" s="331"/>
      <c r="AX3119" s="331"/>
      <c r="AY3119" s="331"/>
      <c r="AZ3119" s="331"/>
      <c r="BA3119" s="331"/>
      <c r="BB3119" s="331"/>
      <c r="BC3119" s="331"/>
      <c r="BD3119" s="331"/>
      <c r="BE3119" s="333"/>
      <c r="BF3119" s="330"/>
      <c r="BG3119" s="333"/>
      <c r="BH3119" s="1119"/>
      <c r="BI3119" s="319"/>
      <c r="BJ3119" s="319"/>
      <c r="BK3119" s="319"/>
      <c r="BL3119" s="319"/>
      <c r="BM3119" s="319"/>
      <c r="BN3119" s="319"/>
      <c r="BO3119" s="319"/>
      <c r="BP3119" s="953"/>
      <c r="BQ3119" s="319"/>
      <c r="BR3119" s="319"/>
      <c r="BS3119" s="330"/>
      <c r="BT3119" s="331"/>
      <c r="BU3119" s="920"/>
      <c r="BV3119" s="903"/>
      <c r="BW3119" s="908"/>
      <c r="BX3119" s="908"/>
      <c r="BY3119" s="331"/>
      <c r="BZ3119" s="331"/>
      <c r="CA3119" s="462"/>
      <c r="CB3119" s="319"/>
      <c r="CC3119" s="319"/>
      <c r="CD3119" s="319"/>
      <c r="CE3119" s="319"/>
      <c r="CF3119" s="319"/>
      <c r="CG3119" s="319"/>
      <c r="CH3119" s="318"/>
      <c r="CI3119" s="319"/>
      <c r="CJ3119" s="319"/>
      <c r="CK3119" s="342"/>
      <c r="CL3119" s="333"/>
      <c r="CM3119" s="1079"/>
      <c r="CN3119" s="1005"/>
      <c r="CO3119" s="1005"/>
      <c r="CP3119" s="1005"/>
    </row>
    <row r="3120">
      <c r="A3120" s="1257"/>
      <c r="B3120" s="1113"/>
      <c r="C3120" s="1107"/>
      <c r="D3120" s="103"/>
      <c r="E3120" s="1137"/>
      <c r="F3120" s="112"/>
      <c r="G3120" s="1110"/>
      <c r="H3120" s="1138"/>
      <c r="I3120" s="1138"/>
      <c r="J3120" s="1139"/>
      <c r="K3120" s="1111"/>
      <c r="L3120" s="1112"/>
      <c r="M3120" s="1113"/>
      <c r="N3120" s="110"/>
      <c r="O3120" s="1140"/>
      <c r="P3120" s="1115"/>
      <c r="Q3120" s="1116"/>
      <c r="R3120" s="1141"/>
      <c r="S3120" s="1113"/>
      <c r="T3120" s="1143"/>
      <c r="U3120" s="1108"/>
      <c r="V3120" s="1108"/>
      <c r="W3120" s="1108"/>
      <c r="X3120" s="1108"/>
      <c r="Y3120" s="1108"/>
      <c r="Z3120" s="1114"/>
      <c r="AA3120" s="1114"/>
      <c r="AB3120" s="1114"/>
      <c r="AC3120" s="1117"/>
      <c r="AD3120" s="1115"/>
      <c r="AE3120" s="1115"/>
      <c r="AF3120" s="1115"/>
      <c r="AG3120" s="1115"/>
      <c r="AH3120" s="1115"/>
      <c r="AI3120" s="1115"/>
      <c r="AJ3120" s="1117"/>
      <c r="AK3120" s="1118"/>
      <c r="AL3120" s="1115"/>
      <c r="AM3120" s="1115"/>
      <c r="AN3120" s="1115"/>
      <c r="AO3120" s="1115"/>
      <c r="AP3120" s="1115"/>
      <c r="AQ3120" s="1115"/>
      <c r="AR3120" s="1115"/>
      <c r="AS3120" s="1117"/>
      <c r="AT3120" s="1075"/>
      <c r="AU3120" s="1193"/>
      <c r="AV3120" s="330"/>
      <c r="AW3120" s="331"/>
      <c r="AX3120" s="331"/>
      <c r="AY3120" s="331"/>
      <c r="AZ3120" s="331"/>
      <c r="BA3120" s="331"/>
      <c r="BB3120" s="331"/>
      <c r="BC3120" s="331"/>
      <c r="BD3120" s="331"/>
      <c r="BE3120" s="333"/>
      <c r="BF3120" s="330"/>
      <c r="BG3120" s="333"/>
      <c r="BH3120" s="1119"/>
      <c r="BI3120" s="319"/>
      <c r="BJ3120" s="319"/>
      <c r="BK3120" s="319"/>
      <c r="BL3120" s="319"/>
      <c r="BM3120" s="319"/>
      <c r="BN3120" s="319"/>
      <c r="BO3120" s="319"/>
      <c r="BP3120" s="953"/>
      <c r="BQ3120" s="319"/>
      <c r="BR3120" s="319"/>
      <c r="BS3120" s="330"/>
      <c r="BT3120" s="331"/>
      <c r="BU3120" s="920"/>
      <c r="BV3120" s="903"/>
      <c r="BW3120" s="908"/>
      <c r="BX3120" s="908"/>
      <c r="BY3120" s="331"/>
      <c r="BZ3120" s="331"/>
      <c r="CA3120" s="462"/>
      <c r="CB3120" s="319"/>
      <c r="CC3120" s="319"/>
      <c r="CD3120" s="319"/>
      <c r="CE3120" s="319"/>
      <c r="CF3120" s="319"/>
      <c r="CG3120" s="319"/>
      <c r="CH3120" s="318"/>
      <c r="CI3120" s="319"/>
      <c r="CJ3120" s="319"/>
      <c r="CK3120" s="342"/>
      <c r="CL3120" s="333"/>
      <c r="CM3120" s="1079"/>
      <c r="CN3120" s="1005"/>
      <c r="CO3120" s="1005"/>
      <c r="CP3120" s="1005"/>
    </row>
    <row r="3121">
      <c r="A3121" s="1257"/>
      <c r="B3121" s="1113"/>
      <c r="C3121" s="1107"/>
      <c r="D3121" s="103"/>
      <c r="E3121" s="1137"/>
      <c r="F3121" s="112"/>
      <c r="G3121" s="1110"/>
      <c r="H3121" s="1138"/>
      <c r="I3121" s="1138"/>
      <c r="J3121" s="1139"/>
      <c r="K3121" s="1111"/>
      <c r="L3121" s="1112"/>
      <c r="M3121" s="1113"/>
      <c r="N3121" s="110"/>
      <c r="O3121" s="1140"/>
      <c r="P3121" s="1115"/>
      <c r="Q3121" s="1116"/>
      <c r="R3121" s="1141"/>
      <c r="S3121" s="1113"/>
      <c r="T3121" s="1143"/>
      <c r="U3121" s="1108"/>
      <c r="V3121" s="1108"/>
      <c r="W3121" s="1108"/>
      <c r="X3121" s="1108"/>
      <c r="Y3121" s="1108"/>
      <c r="Z3121" s="1114"/>
      <c r="AA3121" s="1114"/>
      <c r="AB3121" s="1114"/>
      <c r="AC3121" s="1117"/>
      <c r="AD3121" s="1115"/>
      <c r="AE3121" s="1115"/>
      <c r="AF3121" s="1115"/>
      <c r="AG3121" s="1115"/>
      <c r="AH3121" s="1115"/>
      <c r="AI3121" s="1115"/>
      <c r="AJ3121" s="1117"/>
      <c r="AK3121" s="1118"/>
      <c r="AL3121" s="1115"/>
      <c r="AM3121" s="1115"/>
      <c r="AN3121" s="1115"/>
      <c r="AO3121" s="1115"/>
      <c r="AP3121" s="1115"/>
      <c r="AQ3121" s="1115"/>
      <c r="AR3121" s="1115"/>
      <c r="AS3121" s="1117"/>
      <c r="AT3121" s="1075"/>
      <c r="AU3121" s="1193"/>
      <c r="AV3121" s="330"/>
      <c r="AW3121" s="331"/>
      <c r="AX3121" s="331"/>
      <c r="AY3121" s="331"/>
      <c r="AZ3121" s="331"/>
      <c r="BA3121" s="331"/>
      <c r="BB3121" s="331"/>
      <c r="BC3121" s="331"/>
      <c r="BD3121" s="331"/>
      <c r="BE3121" s="333"/>
      <c r="BF3121" s="330"/>
      <c r="BG3121" s="333"/>
      <c r="BH3121" s="1119"/>
      <c r="BI3121" s="319"/>
      <c r="BJ3121" s="319"/>
      <c r="BK3121" s="319"/>
      <c r="BL3121" s="319"/>
      <c r="BM3121" s="319"/>
      <c r="BN3121" s="319"/>
      <c r="BO3121" s="319"/>
      <c r="BP3121" s="953"/>
      <c r="BQ3121" s="319"/>
      <c r="BR3121" s="319"/>
      <c r="BS3121" s="330"/>
      <c r="BT3121" s="331"/>
      <c r="BU3121" s="920"/>
      <c r="BV3121" s="903"/>
      <c r="BW3121" s="908"/>
      <c r="BX3121" s="908"/>
      <c r="BY3121" s="331"/>
      <c r="BZ3121" s="331"/>
      <c r="CA3121" s="462"/>
      <c r="CB3121" s="319"/>
      <c r="CC3121" s="319"/>
      <c r="CD3121" s="319"/>
      <c r="CE3121" s="319"/>
      <c r="CF3121" s="319"/>
      <c r="CG3121" s="319"/>
      <c r="CH3121" s="318"/>
      <c r="CI3121" s="319"/>
      <c r="CJ3121" s="319"/>
      <c r="CK3121" s="342"/>
      <c r="CL3121" s="333"/>
      <c r="CM3121" s="1079"/>
      <c r="CN3121" s="1005"/>
      <c r="CO3121" s="1005"/>
      <c r="CP3121" s="1005"/>
    </row>
    <row r="3122">
      <c r="A3122" s="1257"/>
      <c r="B3122" s="1113"/>
      <c r="C3122" s="1107"/>
      <c r="D3122" s="103"/>
      <c r="E3122" s="1137"/>
      <c r="F3122" s="112"/>
      <c r="G3122" s="1110"/>
      <c r="H3122" s="1138"/>
      <c r="I3122" s="1138"/>
      <c r="J3122" s="1139"/>
      <c r="K3122" s="1111"/>
      <c r="L3122" s="1112"/>
      <c r="M3122" s="1113"/>
      <c r="N3122" s="110"/>
      <c r="O3122" s="1140"/>
      <c r="P3122" s="1115"/>
      <c r="Q3122" s="1116"/>
      <c r="R3122" s="1141"/>
      <c r="S3122" s="1113"/>
      <c r="T3122" s="1143"/>
      <c r="U3122" s="1108"/>
      <c r="V3122" s="1108"/>
      <c r="W3122" s="1108"/>
      <c r="X3122" s="1108"/>
      <c r="Y3122" s="1108"/>
      <c r="Z3122" s="1114"/>
      <c r="AA3122" s="1114"/>
      <c r="AB3122" s="1114"/>
      <c r="AC3122" s="1117"/>
      <c r="AD3122" s="1115"/>
      <c r="AE3122" s="1115"/>
      <c r="AF3122" s="1115"/>
      <c r="AG3122" s="1115"/>
      <c r="AH3122" s="1115"/>
      <c r="AI3122" s="1115"/>
      <c r="AJ3122" s="1117"/>
      <c r="AK3122" s="1118"/>
      <c r="AL3122" s="1115"/>
      <c r="AM3122" s="1115"/>
      <c r="AN3122" s="1115"/>
      <c r="AO3122" s="1115"/>
      <c r="AP3122" s="1115"/>
      <c r="AQ3122" s="1115"/>
      <c r="AR3122" s="1115"/>
      <c r="AS3122" s="1117"/>
      <c r="AT3122" s="1075"/>
      <c r="AU3122" s="1193"/>
      <c r="AV3122" s="330"/>
      <c r="AW3122" s="331"/>
      <c r="AX3122" s="331"/>
      <c r="AY3122" s="331"/>
      <c r="AZ3122" s="331"/>
      <c r="BA3122" s="331"/>
      <c r="BB3122" s="331"/>
      <c r="BC3122" s="331"/>
      <c r="BD3122" s="331"/>
      <c r="BE3122" s="333"/>
      <c r="BF3122" s="330"/>
      <c r="BG3122" s="333"/>
      <c r="BH3122" s="1119"/>
      <c r="BI3122" s="319"/>
      <c r="BJ3122" s="319"/>
      <c r="BK3122" s="319"/>
      <c r="BL3122" s="319"/>
      <c r="BM3122" s="319"/>
      <c r="BN3122" s="319"/>
      <c r="BO3122" s="319"/>
      <c r="BP3122" s="953"/>
      <c r="BQ3122" s="319"/>
      <c r="BR3122" s="319"/>
      <c r="BS3122" s="330"/>
      <c r="BT3122" s="331"/>
      <c r="BU3122" s="920"/>
      <c r="BV3122" s="903"/>
      <c r="BW3122" s="908"/>
      <c r="BX3122" s="908"/>
      <c r="BY3122" s="331"/>
      <c r="BZ3122" s="331"/>
      <c r="CA3122" s="462"/>
      <c r="CB3122" s="319"/>
      <c r="CC3122" s="319"/>
      <c r="CD3122" s="319"/>
      <c r="CE3122" s="319"/>
      <c r="CF3122" s="319"/>
      <c r="CG3122" s="319"/>
      <c r="CH3122" s="318"/>
      <c r="CI3122" s="319"/>
      <c r="CJ3122" s="319"/>
      <c r="CK3122" s="342"/>
      <c r="CL3122" s="333"/>
      <c r="CM3122" s="1079"/>
      <c r="CN3122" s="1005"/>
      <c r="CO3122" s="1005"/>
      <c r="CP3122" s="1005"/>
    </row>
    <row r="3123">
      <c r="A3123" s="1257"/>
      <c r="B3123" s="1113"/>
      <c r="C3123" s="1107"/>
      <c r="D3123" s="103"/>
      <c r="E3123" s="1137"/>
      <c r="F3123" s="112"/>
      <c r="G3123" s="1110"/>
      <c r="H3123" s="1138"/>
      <c r="I3123" s="1138"/>
      <c r="J3123" s="1139"/>
      <c r="K3123" s="1111"/>
      <c r="L3123" s="1112"/>
      <c r="M3123" s="1113"/>
      <c r="N3123" s="110"/>
      <c r="O3123" s="1140"/>
      <c r="P3123" s="1115"/>
      <c r="Q3123" s="1116"/>
      <c r="R3123" s="1141"/>
      <c r="S3123" s="1113"/>
      <c r="T3123" s="1143"/>
      <c r="U3123" s="1108"/>
      <c r="V3123" s="1108"/>
      <c r="W3123" s="1108"/>
      <c r="X3123" s="1108"/>
      <c r="Y3123" s="1108"/>
      <c r="Z3123" s="1114"/>
      <c r="AA3123" s="1114"/>
      <c r="AB3123" s="1114"/>
      <c r="AC3123" s="1117"/>
      <c r="AD3123" s="1115"/>
      <c r="AE3123" s="1115"/>
      <c r="AF3123" s="1115"/>
      <c r="AG3123" s="1115"/>
      <c r="AH3123" s="1115"/>
      <c r="AI3123" s="1115"/>
      <c r="AJ3123" s="1117"/>
      <c r="AK3123" s="1118"/>
      <c r="AL3123" s="1115"/>
      <c r="AM3123" s="1115"/>
      <c r="AN3123" s="1115"/>
      <c r="AO3123" s="1115"/>
      <c r="AP3123" s="1115"/>
      <c r="AQ3123" s="1115"/>
      <c r="AR3123" s="1115"/>
      <c r="AS3123" s="1117"/>
      <c r="AT3123" s="1075"/>
      <c r="AU3123" s="1193"/>
      <c r="AV3123" s="330"/>
      <c r="AW3123" s="331"/>
      <c r="AX3123" s="331"/>
      <c r="AY3123" s="331"/>
      <c r="AZ3123" s="331"/>
      <c r="BA3123" s="331"/>
      <c r="BB3123" s="331"/>
      <c r="BC3123" s="331"/>
      <c r="BD3123" s="331"/>
      <c r="BE3123" s="333"/>
      <c r="BF3123" s="330"/>
      <c r="BG3123" s="333"/>
      <c r="BH3123" s="1119"/>
      <c r="BI3123" s="319"/>
      <c r="BJ3123" s="319"/>
      <c r="BK3123" s="319"/>
      <c r="BL3123" s="319"/>
      <c r="BM3123" s="319"/>
      <c r="BN3123" s="319"/>
      <c r="BO3123" s="319"/>
      <c r="BP3123" s="953"/>
      <c r="BQ3123" s="319"/>
      <c r="BR3123" s="319"/>
      <c r="BS3123" s="330"/>
      <c r="BT3123" s="331"/>
      <c r="BU3123" s="920"/>
      <c r="BV3123" s="903"/>
      <c r="BW3123" s="908"/>
      <c r="BX3123" s="908"/>
      <c r="BY3123" s="331"/>
      <c r="BZ3123" s="331"/>
      <c r="CA3123" s="462"/>
      <c r="CB3123" s="319"/>
      <c r="CC3123" s="319"/>
      <c r="CD3123" s="319"/>
      <c r="CE3123" s="319"/>
      <c r="CF3123" s="319"/>
      <c r="CG3123" s="319"/>
      <c r="CH3123" s="318"/>
      <c r="CI3123" s="319"/>
      <c r="CJ3123" s="319"/>
      <c r="CK3123" s="342"/>
      <c r="CL3123" s="333"/>
      <c r="CM3123" s="1079"/>
      <c r="CN3123" s="1005"/>
      <c r="CO3123" s="1005"/>
      <c r="CP3123" s="1005"/>
    </row>
    <row r="3124">
      <c r="A3124" s="1257"/>
      <c r="B3124" s="1113"/>
      <c r="C3124" s="1107"/>
      <c r="D3124" s="103"/>
      <c r="E3124" s="1137"/>
      <c r="F3124" s="112"/>
      <c r="G3124" s="1110"/>
      <c r="H3124" s="1138"/>
      <c r="I3124" s="1138"/>
      <c r="J3124" s="1139"/>
      <c r="K3124" s="1111"/>
      <c r="L3124" s="1112"/>
      <c r="M3124" s="1113"/>
      <c r="N3124" s="110"/>
      <c r="O3124" s="1140"/>
      <c r="P3124" s="1115"/>
      <c r="Q3124" s="1116"/>
      <c r="R3124" s="1141"/>
      <c r="S3124" s="1113"/>
      <c r="T3124" s="1143"/>
      <c r="U3124" s="1108"/>
      <c r="V3124" s="1108"/>
      <c r="W3124" s="1108"/>
      <c r="X3124" s="1108"/>
      <c r="Y3124" s="1108"/>
      <c r="Z3124" s="1114"/>
      <c r="AA3124" s="1114"/>
      <c r="AB3124" s="1114"/>
      <c r="AC3124" s="1117"/>
      <c r="AD3124" s="1115"/>
      <c r="AE3124" s="1115"/>
      <c r="AF3124" s="1115"/>
      <c r="AG3124" s="1115"/>
      <c r="AH3124" s="1115"/>
      <c r="AI3124" s="1115"/>
      <c r="AJ3124" s="1117"/>
      <c r="AK3124" s="1118"/>
      <c r="AL3124" s="1115"/>
      <c r="AM3124" s="1115"/>
      <c r="AN3124" s="1115"/>
      <c r="AO3124" s="1115"/>
      <c r="AP3124" s="1115"/>
      <c r="AQ3124" s="1115"/>
      <c r="AR3124" s="1115"/>
      <c r="AS3124" s="1117"/>
      <c r="AT3124" s="1075"/>
      <c r="AU3124" s="1193"/>
      <c r="AV3124" s="330"/>
      <c r="AW3124" s="331"/>
      <c r="AX3124" s="331"/>
      <c r="AY3124" s="331"/>
      <c r="AZ3124" s="331"/>
      <c r="BA3124" s="331"/>
      <c r="BB3124" s="331"/>
      <c r="BC3124" s="331"/>
      <c r="BD3124" s="331"/>
      <c r="BE3124" s="333"/>
      <c r="BF3124" s="330"/>
      <c r="BG3124" s="333"/>
      <c r="BH3124" s="1119"/>
      <c r="BI3124" s="319"/>
      <c r="BJ3124" s="319"/>
      <c r="BK3124" s="319"/>
      <c r="BL3124" s="319"/>
      <c r="BM3124" s="319"/>
      <c r="BN3124" s="319"/>
      <c r="BO3124" s="319"/>
      <c r="BP3124" s="953"/>
      <c r="BQ3124" s="319"/>
      <c r="BR3124" s="319"/>
      <c r="BS3124" s="330"/>
      <c r="BT3124" s="331"/>
      <c r="BU3124" s="920"/>
      <c r="BV3124" s="903"/>
      <c r="BW3124" s="908"/>
      <c r="BX3124" s="908"/>
      <c r="BY3124" s="331"/>
      <c r="BZ3124" s="331"/>
      <c r="CA3124" s="462"/>
      <c r="CB3124" s="319"/>
      <c r="CC3124" s="319"/>
      <c r="CD3124" s="319"/>
      <c r="CE3124" s="319"/>
      <c r="CF3124" s="319"/>
      <c r="CG3124" s="319"/>
      <c r="CH3124" s="318"/>
      <c r="CI3124" s="319"/>
      <c r="CJ3124" s="319"/>
      <c r="CK3124" s="342"/>
      <c r="CL3124" s="333"/>
      <c r="CM3124" s="1079"/>
      <c r="CN3124" s="1005"/>
      <c r="CO3124" s="1005"/>
      <c r="CP3124" s="1005"/>
    </row>
    <row r="3125">
      <c r="A3125" s="1257"/>
      <c r="B3125" s="1113"/>
      <c r="C3125" s="1107"/>
      <c r="D3125" s="103"/>
      <c r="E3125" s="1137"/>
      <c r="F3125" s="112"/>
      <c r="G3125" s="1110"/>
      <c r="H3125" s="1138"/>
      <c r="I3125" s="1138"/>
      <c r="J3125" s="1139"/>
      <c r="K3125" s="1111"/>
      <c r="L3125" s="1112"/>
      <c r="M3125" s="1113"/>
      <c r="N3125" s="110"/>
      <c r="O3125" s="1140"/>
      <c r="P3125" s="1115"/>
      <c r="Q3125" s="1116"/>
      <c r="R3125" s="1141"/>
      <c r="S3125" s="1113"/>
      <c r="T3125" s="1143"/>
      <c r="U3125" s="1108"/>
      <c r="V3125" s="1108"/>
      <c r="W3125" s="1108"/>
      <c r="X3125" s="1108"/>
      <c r="Y3125" s="1108"/>
      <c r="Z3125" s="1114"/>
      <c r="AA3125" s="1114"/>
      <c r="AB3125" s="1114"/>
      <c r="AC3125" s="1117"/>
      <c r="AD3125" s="1115"/>
      <c r="AE3125" s="1115"/>
      <c r="AF3125" s="1115"/>
      <c r="AG3125" s="1115"/>
      <c r="AH3125" s="1115"/>
      <c r="AI3125" s="1115"/>
      <c r="AJ3125" s="1117"/>
      <c r="AK3125" s="1118"/>
      <c r="AL3125" s="1115"/>
      <c r="AM3125" s="1115"/>
      <c r="AN3125" s="1115"/>
      <c r="AO3125" s="1115"/>
      <c r="AP3125" s="1115"/>
      <c r="AQ3125" s="1115"/>
      <c r="AR3125" s="1115"/>
      <c r="AS3125" s="1117"/>
      <c r="AT3125" s="1075"/>
      <c r="AU3125" s="1193"/>
      <c r="AV3125" s="330"/>
      <c r="AW3125" s="331"/>
      <c r="AX3125" s="331"/>
      <c r="AY3125" s="331"/>
      <c r="AZ3125" s="331"/>
      <c r="BA3125" s="331"/>
      <c r="BB3125" s="331"/>
      <c r="BC3125" s="331"/>
      <c r="BD3125" s="331"/>
      <c r="BE3125" s="333"/>
      <c r="BF3125" s="330"/>
      <c r="BG3125" s="333"/>
      <c r="BH3125" s="1119"/>
      <c r="BI3125" s="319"/>
      <c r="BJ3125" s="319"/>
      <c r="BK3125" s="319"/>
      <c r="BL3125" s="319"/>
      <c r="BM3125" s="319"/>
      <c r="BN3125" s="319"/>
      <c r="BO3125" s="319"/>
      <c r="BP3125" s="953"/>
      <c r="BQ3125" s="319"/>
      <c r="BR3125" s="319"/>
      <c r="BS3125" s="330"/>
      <c r="BT3125" s="331"/>
      <c r="BU3125" s="920"/>
      <c r="BV3125" s="903"/>
      <c r="BW3125" s="908"/>
      <c r="BX3125" s="908"/>
      <c r="BY3125" s="331"/>
      <c r="BZ3125" s="331"/>
      <c r="CA3125" s="462"/>
      <c r="CB3125" s="319"/>
      <c r="CC3125" s="319"/>
      <c r="CD3125" s="319"/>
      <c r="CE3125" s="319"/>
      <c r="CF3125" s="319"/>
      <c r="CG3125" s="319"/>
      <c r="CH3125" s="318"/>
      <c r="CI3125" s="319"/>
      <c r="CJ3125" s="319"/>
      <c r="CK3125" s="342"/>
      <c r="CL3125" s="333"/>
      <c r="CM3125" s="1079"/>
      <c r="CN3125" s="1005"/>
      <c r="CO3125" s="1005"/>
      <c r="CP3125" s="1005"/>
    </row>
    <row r="3126">
      <c r="A3126" s="1257"/>
      <c r="B3126" s="1113"/>
      <c r="C3126" s="1107"/>
      <c r="D3126" s="103"/>
      <c r="E3126" s="1137"/>
      <c r="F3126" s="112"/>
      <c r="G3126" s="1110"/>
      <c r="H3126" s="1138"/>
      <c r="I3126" s="1138"/>
      <c r="J3126" s="1139"/>
      <c r="K3126" s="1111"/>
      <c r="L3126" s="1112"/>
      <c r="M3126" s="1113"/>
      <c r="N3126" s="110"/>
      <c r="O3126" s="1140"/>
      <c r="P3126" s="1115"/>
      <c r="Q3126" s="1116"/>
      <c r="R3126" s="1141"/>
      <c r="S3126" s="1113"/>
      <c r="T3126" s="1143"/>
      <c r="U3126" s="1108"/>
      <c r="V3126" s="1108"/>
      <c r="W3126" s="1108"/>
      <c r="X3126" s="1108"/>
      <c r="Y3126" s="1108"/>
      <c r="Z3126" s="1114"/>
      <c r="AA3126" s="1114"/>
      <c r="AB3126" s="1114"/>
      <c r="AC3126" s="1117"/>
      <c r="AD3126" s="1115"/>
      <c r="AE3126" s="1115"/>
      <c r="AF3126" s="1115"/>
      <c r="AG3126" s="1115"/>
      <c r="AH3126" s="1115"/>
      <c r="AI3126" s="1115"/>
      <c r="AJ3126" s="1117"/>
      <c r="AK3126" s="1118"/>
      <c r="AL3126" s="1115"/>
      <c r="AM3126" s="1115"/>
      <c r="AN3126" s="1115"/>
      <c r="AO3126" s="1115"/>
      <c r="AP3126" s="1115"/>
      <c r="AQ3126" s="1115"/>
      <c r="AR3126" s="1115"/>
      <c r="AS3126" s="1117"/>
      <c r="AT3126" s="1075"/>
      <c r="AU3126" s="1193"/>
      <c r="AV3126" s="330"/>
      <c r="AW3126" s="331"/>
      <c r="AX3126" s="331"/>
      <c r="AY3126" s="331"/>
      <c r="AZ3126" s="331"/>
      <c r="BA3126" s="331"/>
      <c r="BB3126" s="331"/>
      <c r="BC3126" s="331"/>
      <c r="BD3126" s="331"/>
      <c r="BE3126" s="333"/>
      <c r="BF3126" s="330"/>
      <c r="BG3126" s="333"/>
      <c r="BH3126" s="1119"/>
      <c r="BI3126" s="319"/>
      <c r="BJ3126" s="319"/>
      <c r="BK3126" s="319"/>
      <c r="BL3126" s="319"/>
      <c r="BM3126" s="319"/>
      <c r="BN3126" s="319"/>
      <c r="BO3126" s="319"/>
      <c r="BP3126" s="953"/>
      <c r="BQ3126" s="319"/>
      <c r="BR3126" s="319"/>
      <c r="BS3126" s="330"/>
      <c r="BT3126" s="331"/>
      <c r="BU3126" s="920"/>
      <c r="BV3126" s="903"/>
      <c r="BW3126" s="908"/>
      <c r="BX3126" s="908"/>
      <c r="BY3126" s="331"/>
      <c r="BZ3126" s="331"/>
      <c r="CA3126" s="462"/>
      <c r="CB3126" s="319"/>
      <c r="CC3126" s="319"/>
      <c r="CD3126" s="319"/>
      <c r="CE3126" s="319"/>
      <c r="CF3126" s="319"/>
      <c r="CG3126" s="319"/>
      <c r="CH3126" s="318"/>
      <c r="CI3126" s="319"/>
      <c r="CJ3126" s="319"/>
      <c r="CK3126" s="342"/>
      <c r="CL3126" s="333"/>
      <c r="CM3126" s="1079"/>
      <c r="CN3126" s="1005"/>
      <c r="CO3126" s="1005"/>
      <c r="CP3126" s="1005"/>
    </row>
    <row r="3127">
      <c r="A3127" s="1257"/>
      <c r="B3127" s="1113"/>
      <c r="C3127" s="1107"/>
      <c r="D3127" s="103"/>
      <c r="E3127" s="1137"/>
      <c r="F3127" s="112"/>
      <c r="G3127" s="1110"/>
      <c r="H3127" s="1138"/>
      <c r="I3127" s="1138"/>
      <c r="J3127" s="1139"/>
      <c r="K3127" s="1111"/>
      <c r="L3127" s="1112"/>
      <c r="M3127" s="1113"/>
      <c r="N3127" s="110"/>
      <c r="O3127" s="1140"/>
      <c r="P3127" s="1115"/>
      <c r="Q3127" s="1116"/>
      <c r="R3127" s="1141"/>
      <c r="S3127" s="1113"/>
      <c r="T3127" s="1143"/>
      <c r="U3127" s="1108"/>
      <c r="V3127" s="1108"/>
      <c r="W3127" s="1108"/>
      <c r="X3127" s="1108"/>
      <c r="Y3127" s="1108"/>
      <c r="Z3127" s="1114"/>
      <c r="AA3127" s="1114"/>
      <c r="AB3127" s="1114"/>
      <c r="AC3127" s="1117"/>
      <c r="AD3127" s="1115"/>
      <c r="AE3127" s="1115"/>
      <c r="AF3127" s="1115"/>
      <c r="AG3127" s="1115"/>
      <c r="AH3127" s="1115"/>
      <c r="AI3127" s="1115"/>
      <c r="AJ3127" s="1117"/>
      <c r="AK3127" s="1118"/>
      <c r="AL3127" s="1115"/>
      <c r="AM3127" s="1115"/>
      <c r="AN3127" s="1115"/>
      <c r="AO3127" s="1115"/>
      <c r="AP3127" s="1115"/>
      <c r="AQ3127" s="1115"/>
      <c r="AR3127" s="1115"/>
      <c r="AS3127" s="1117"/>
      <c r="AT3127" s="1075"/>
      <c r="AU3127" s="1193"/>
      <c r="AV3127" s="330"/>
      <c r="AW3127" s="331"/>
      <c r="AX3127" s="331"/>
      <c r="AY3127" s="331"/>
      <c r="AZ3127" s="331"/>
      <c r="BA3127" s="331"/>
      <c r="BB3127" s="331"/>
      <c r="BC3127" s="331"/>
      <c r="BD3127" s="331"/>
      <c r="BE3127" s="333"/>
      <c r="BF3127" s="330"/>
      <c r="BG3127" s="333"/>
      <c r="BH3127" s="1119"/>
      <c r="BI3127" s="319"/>
      <c r="BJ3127" s="319"/>
      <c r="BK3127" s="319"/>
      <c r="BL3127" s="319"/>
      <c r="BM3127" s="319"/>
      <c r="BN3127" s="319"/>
      <c r="BO3127" s="319"/>
      <c r="BP3127" s="953"/>
      <c r="BQ3127" s="319"/>
      <c r="BR3127" s="319"/>
      <c r="BS3127" s="330"/>
      <c r="BT3127" s="331"/>
      <c r="BU3127" s="920"/>
      <c r="BV3127" s="903"/>
      <c r="BW3127" s="908"/>
      <c r="BX3127" s="908"/>
      <c r="BY3127" s="331"/>
      <c r="BZ3127" s="331"/>
      <c r="CA3127" s="462"/>
      <c r="CB3127" s="319"/>
      <c r="CC3127" s="319"/>
      <c r="CD3127" s="319"/>
      <c r="CE3127" s="319"/>
      <c r="CF3127" s="319"/>
      <c r="CG3127" s="319"/>
      <c r="CH3127" s="318"/>
      <c r="CI3127" s="319"/>
      <c r="CJ3127" s="319"/>
      <c r="CK3127" s="342"/>
      <c r="CL3127" s="333"/>
      <c r="CM3127" s="1079"/>
      <c r="CN3127" s="1005"/>
      <c r="CO3127" s="1005"/>
      <c r="CP3127" s="1005"/>
    </row>
    <row r="3128">
      <c r="A3128" s="1257"/>
      <c r="B3128" s="1113"/>
      <c r="C3128" s="1107"/>
      <c r="D3128" s="103"/>
      <c r="E3128" s="1137"/>
      <c r="F3128" s="112"/>
      <c r="G3128" s="1110"/>
      <c r="H3128" s="1138"/>
      <c r="I3128" s="1138"/>
      <c r="J3128" s="1139"/>
      <c r="K3128" s="1111"/>
      <c r="L3128" s="1112"/>
      <c r="M3128" s="1113"/>
      <c r="N3128" s="110"/>
      <c r="O3128" s="1140"/>
      <c r="P3128" s="1115"/>
      <c r="Q3128" s="1116"/>
      <c r="R3128" s="1141"/>
      <c r="S3128" s="1113"/>
      <c r="T3128" s="1143"/>
      <c r="U3128" s="1108"/>
      <c r="V3128" s="1108"/>
      <c r="W3128" s="1108"/>
      <c r="X3128" s="1108"/>
      <c r="Y3128" s="1108"/>
      <c r="Z3128" s="1114"/>
      <c r="AA3128" s="1114"/>
      <c r="AB3128" s="1114"/>
      <c r="AC3128" s="1117"/>
      <c r="AD3128" s="1115"/>
      <c r="AE3128" s="1115"/>
      <c r="AF3128" s="1115"/>
      <c r="AG3128" s="1115"/>
      <c r="AH3128" s="1115"/>
      <c r="AI3128" s="1115"/>
      <c r="AJ3128" s="1117"/>
      <c r="AK3128" s="1118"/>
      <c r="AL3128" s="1115"/>
      <c r="AM3128" s="1115"/>
      <c r="AN3128" s="1115"/>
      <c r="AO3128" s="1115"/>
      <c r="AP3128" s="1115"/>
      <c r="AQ3128" s="1115"/>
      <c r="AR3128" s="1115"/>
      <c r="AS3128" s="1117"/>
      <c r="AT3128" s="1075"/>
      <c r="AU3128" s="1193"/>
      <c r="AV3128" s="330"/>
      <c r="AW3128" s="331"/>
      <c r="AX3128" s="331"/>
      <c r="AY3128" s="331"/>
      <c r="AZ3128" s="331"/>
      <c r="BA3128" s="331"/>
      <c r="BB3128" s="331"/>
      <c r="BC3128" s="331"/>
      <c r="BD3128" s="331"/>
      <c r="BE3128" s="333"/>
      <c r="BF3128" s="330"/>
      <c r="BG3128" s="333"/>
      <c r="BH3128" s="1119"/>
      <c r="BI3128" s="319"/>
      <c r="BJ3128" s="319"/>
      <c r="BK3128" s="319"/>
      <c r="BL3128" s="319"/>
      <c r="BM3128" s="319"/>
      <c r="BN3128" s="319"/>
      <c r="BO3128" s="319"/>
      <c r="BP3128" s="953"/>
      <c r="BQ3128" s="319"/>
      <c r="BR3128" s="319"/>
      <c r="BS3128" s="330"/>
      <c r="BT3128" s="331"/>
      <c r="BU3128" s="920"/>
      <c r="BV3128" s="903"/>
      <c r="BW3128" s="908"/>
      <c r="BX3128" s="908"/>
      <c r="BY3128" s="331"/>
      <c r="BZ3128" s="331"/>
      <c r="CA3128" s="462"/>
      <c r="CB3128" s="319"/>
      <c r="CC3128" s="319"/>
      <c r="CD3128" s="319"/>
      <c r="CE3128" s="319"/>
      <c r="CF3128" s="319"/>
      <c r="CG3128" s="319"/>
      <c r="CH3128" s="318"/>
      <c r="CI3128" s="319"/>
      <c r="CJ3128" s="319"/>
      <c r="CK3128" s="342"/>
      <c r="CL3128" s="333"/>
      <c r="CM3128" s="1079"/>
      <c r="CN3128" s="1005"/>
      <c r="CO3128" s="1005"/>
      <c r="CP3128" s="1005"/>
    </row>
    <row r="3129">
      <c r="A3129" s="1257"/>
      <c r="B3129" s="1113"/>
      <c r="C3129" s="1107"/>
      <c r="D3129" s="103"/>
      <c r="E3129" s="1137"/>
      <c r="F3129" s="112"/>
      <c r="G3129" s="1110"/>
      <c r="H3129" s="1138"/>
      <c r="I3129" s="1138"/>
      <c r="J3129" s="1139"/>
      <c r="K3129" s="1111"/>
      <c r="L3129" s="1112"/>
      <c r="M3129" s="1113"/>
      <c r="N3129" s="110"/>
      <c r="O3129" s="1140"/>
      <c r="P3129" s="1115"/>
      <c r="Q3129" s="1116"/>
      <c r="R3129" s="1141"/>
      <c r="S3129" s="1113"/>
      <c r="T3129" s="1143"/>
      <c r="U3129" s="1108"/>
      <c r="V3129" s="1108"/>
      <c r="W3129" s="1108"/>
      <c r="X3129" s="1108"/>
      <c r="Y3129" s="1108"/>
      <c r="Z3129" s="1114"/>
      <c r="AA3129" s="1114"/>
      <c r="AB3129" s="1114"/>
      <c r="AC3129" s="1117"/>
      <c r="AD3129" s="1115"/>
      <c r="AE3129" s="1115"/>
      <c r="AF3129" s="1115"/>
      <c r="AG3129" s="1115"/>
      <c r="AH3129" s="1115"/>
      <c r="AI3129" s="1115"/>
      <c r="AJ3129" s="1117"/>
      <c r="AK3129" s="1118"/>
      <c r="AL3129" s="1115"/>
      <c r="AM3129" s="1115"/>
      <c r="AN3129" s="1115"/>
      <c r="AO3129" s="1115"/>
      <c r="AP3129" s="1115"/>
      <c r="AQ3129" s="1115"/>
      <c r="AR3129" s="1115"/>
      <c r="AS3129" s="1117"/>
      <c r="AT3129" s="1075"/>
      <c r="AU3129" s="1193"/>
      <c r="AV3129" s="330"/>
      <c r="AW3129" s="331"/>
      <c r="AX3129" s="331"/>
      <c r="AY3129" s="331"/>
      <c r="AZ3129" s="331"/>
      <c r="BA3129" s="331"/>
      <c r="BB3129" s="331"/>
      <c r="BC3129" s="331"/>
      <c r="BD3129" s="331"/>
      <c r="BE3129" s="333"/>
      <c r="BF3129" s="330"/>
      <c r="BG3129" s="333"/>
      <c r="BH3129" s="1119"/>
      <c r="BI3129" s="319"/>
      <c r="BJ3129" s="319"/>
      <c r="BK3129" s="319"/>
      <c r="BL3129" s="319"/>
      <c r="BM3129" s="319"/>
      <c r="BN3129" s="319"/>
      <c r="BO3129" s="319"/>
      <c r="BP3129" s="953"/>
      <c r="BQ3129" s="319"/>
      <c r="BR3129" s="319"/>
      <c r="BS3129" s="330"/>
      <c r="BT3129" s="331"/>
      <c r="BU3129" s="920"/>
      <c r="BV3129" s="903"/>
      <c r="BW3129" s="908"/>
      <c r="BX3129" s="908"/>
      <c r="BY3129" s="331"/>
      <c r="BZ3129" s="331"/>
      <c r="CA3129" s="462"/>
      <c r="CB3129" s="319"/>
      <c r="CC3129" s="319"/>
      <c r="CD3129" s="319"/>
      <c r="CE3129" s="319"/>
      <c r="CF3129" s="319"/>
      <c r="CG3129" s="319"/>
      <c r="CH3129" s="318"/>
      <c r="CI3129" s="319"/>
      <c r="CJ3129" s="319"/>
      <c r="CK3129" s="342"/>
      <c r="CL3129" s="333"/>
      <c r="CM3129" s="1079"/>
      <c r="CN3129" s="1005"/>
      <c r="CO3129" s="1005"/>
      <c r="CP3129" s="1005"/>
    </row>
    <row r="3130">
      <c r="A3130" s="1257"/>
      <c r="B3130" s="1113"/>
      <c r="C3130" s="1107"/>
      <c r="D3130" s="103"/>
      <c r="E3130" s="1137"/>
      <c r="F3130" s="112"/>
      <c r="G3130" s="1110"/>
      <c r="H3130" s="1138"/>
      <c r="I3130" s="1138"/>
      <c r="J3130" s="1139"/>
      <c r="K3130" s="1111"/>
      <c r="L3130" s="1112"/>
      <c r="M3130" s="1113"/>
      <c r="N3130" s="110"/>
      <c r="O3130" s="1140"/>
      <c r="P3130" s="1115"/>
      <c r="Q3130" s="1116"/>
      <c r="R3130" s="1141"/>
      <c r="S3130" s="1113"/>
      <c r="T3130" s="1143"/>
      <c r="U3130" s="1108"/>
      <c r="V3130" s="1108"/>
      <c r="W3130" s="1108"/>
      <c r="X3130" s="1108"/>
      <c r="Y3130" s="1108"/>
      <c r="Z3130" s="1114"/>
      <c r="AA3130" s="1114"/>
      <c r="AB3130" s="1114"/>
      <c r="AC3130" s="1117"/>
      <c r="AD3130" s="1115"/>
      <c r="AE3130" s="1115"/>
      <c r="AF3130" s="1115"/>
      <c r="AG3130" s="1115"/>
      <c r="AH3130" s="1115"/>
      <c r="AI3130" s="1115"/>
      <c r="AJ3130" s="1117"/>
      <c r="AK3130" s="1118"/>
      <c r="AL3130" s="1115"/>
      <c r="AM3130" s="1115"/>
      <c r="AN3130" s="1115"/>
      <c r="AO3130" s="1115"/>
      <c r="AP3130" s="1115"/>
      <c r="AQ3130" s="1115"/>
      <c r="AR3130" s="1115"/>
      <c r="AS3130" s="1117"/>
      <c r="AT3130" s="1075"/>
      <c r="AU3130" s="1193"/>
      <c r="AV3130" s="330"/>
      <c r="AW3130" s="331"/>
      <c r="AX3130" s="331"/>
      <c r="AY3130" s="331"/>
      <c r="AZ3130" s="331"/>
      <c r="BA3130" s="331"/>
      <c r="BB3130" s="331"/>
      <c r="BC3130" s="331"/>
      <c r="BD3130" s="331"/>
      <c r="BE3130" s="333"/>
      <c r="BF3130" s="330"/>
      <c r="BG3130" s="333"/>
      <c r="BH3130" s="1119"/>
      <c r="BI3130" s="319"/>
      <c r="BJ3130" s="319"/>
      <c r="BK3130" s="319"/>
      <c r="BL3130" s="319"/>
      <c r="BM3130" s="319"/>
      <c r="BN3130" s="319"/>
      <c r="BO3130" s="319"/>
      <c r="BP3130" s="953"/>
      <c r="BQ3130" s="319"/>
      <c r="BR3130" s="319"/>
      <c r="BS3130" s="330"/>
      <c r="BT3130" s="331"/>
      <c r="BU3130" s="920"/>
      <c r="BV3130" s="903"/>
      <c r="BW3130" s="908"/>
      <c r="BX3130" s="908"/>
      <c r="BY3130" s="331"/>
      <c r="BZ3130" s="331"/>
      <c r="CA3130" s="462"/>
      <c r="CB3130" s="319"/>
      <c r="CC3130" s="319"/>
      <c r="CD3130" s="319"/>
      <c r="CE3130" s="319"/>
      <c r="CF3130" s="319"/>
      <c r="CG3130" s="319"/>
      <c r="CH3130" s="318"/>
      <c r="CI3130" s="319"/>
      <c r="CJ3130" s="319"/>
      <c r="CK3130" s="342"/>
      <c r="CL3130" s="333"/>
      <c r="CM3130" s="1079"/>
      <c r="CN3130" s="1005"/>
      <c r="CO3130" s="1005"/>
      <c r="CP3130" s="1005"/>
    </row>
    <row r="3131">
      <c r="A3131" s="1257"/>
      <c r="B3131" s="1113"/>
      <c r="C3131" s="1107"/>
      <c r="D3131" s="103"/>
      <c r="E3131" s="1137"/>
      <c r="F3131" s="112"/>
      <c r="G3131" s="1110"/>
      <c r="H3131" s="1138"/>
      <c r="I3131" s="1138"/>
      <c r="J3131" s="1139"/>
      <c r="K3131" s="1111"/>
      <c r="L3131" s="1112"/>
      <c r="M3131" s="1113"/>
      <c r="N3131" s="110"/>
      <c r="O3131" s="1140"/>
      <c r="P3131" s="1115"/>
      <c r="Q3131" s="1116"/>
      <c r="R3131" s="1141"/>
      <c r="S3131" s="1113"/>
      <c r="T3131" s="1143"/>
      <c r="U3131" s="1108"/>
      <c r="V3131" s="1108"/>
      <c r="W3131" s="1108"/>
      <c r="X3131" s="1108"/>
      <c r="Y3131" s="1108"/>
      <c r="Z3131" s="1114"/>
      <c r="AA3131" s="1114"/>
      <c r="AB3131" s="1114"/>
      <c r="AC3131" s="1117"/>
      <c r="AD3131" s="1115"/>
      <c r="AE3131" s="1115"/>
      <c r="AF3131" s="1115"/>
      <c r="AG3131" s="1115"/>
      <c r="AH3131" s="1115"/>
      <c r="AI3131" s="1115"/>
      <c r="AJ3131" s="1117"/>
      <c r="AK3131" s="1118"/>
      <c r="AL3131" s="1115"/>
      <c r="AM3131" s="1115"/>
      <c r="AN3131" s="1115"/>
      <c r="AO3131" s="1115"/>
      <c r="AP3131" s="1115"/>
      <c r="AQ3131" s="1115"/>
      <c r="AR3131" s="1115"/>
      <c r="AS3131" s="1117"/>
      <c r="AT3131" s="1075"/>
      <c r="AU3131" s="1193"/>
      <c r="AV3131" s="330"/>
      <c r="AW3131" s="331"/>
      <c r="AX3131" s="331"/>
      <c r="AY3131" s="331"/>
      <c r="AZ3131" s="331"/>
      <c r="BA3131" s="331"/>
      <c r="BB3131" s="331"/>
      <c r="BC3131" s="331"/>
      <c r="BD3131" s="331"/>
      <c r="BE3131" s="333"/>
      <c r="BF3131" s="330"/>
      <c r="BG3131" s="333"/>
      <c r="BH3131" s="1119"/>
      <c r="BI3131" s="319"/>
      <c r="BJ3131" s="319"/>
      <c r="BK3131" s="319"/>
      <c r="BL3131" s="319"/>
      <c r="BM3131" s="319"/>
      <c r="BN3131" s="319"/>
      <c r="BO3131" s="319"/>
      <c r="BP3131" s="953"/>
      <c r="BQ3131" s="319"/>
      <c r="BR3131" s="319"/>
      <c r="BS3131" s="330"/>
      <c r="BT3131" s="331"/>
      <c r="BU3131" s="920"/>
      <c r="BV3131" s="903"/>
      <c r="BW3131" s="908"/>
      <c r="BX3131" s="908"/>
      <c r="BY3131" s="331"/>
      <c r="BZ3131" s="331"/>
      <c r="CA3131" s="462"/>
      <c r="CB3131" s="319"/>
      <c r="CC3131" s="319"/>
      <c r="CD3131" s="319"/>
      <c r="CE3131" s="319"/>
      <c r="CF3131" s="319"/>
      <c r="CG3131" s="319"/>
      <c r="CH3131" s="318"/>
      <c r="CI3131" s="319"/>
      <c r="CJ3131" s="319"/>
      <c r="CK3131" s="342"/>
      <c r="CL3131" s="333"/>
      <c r="CM3131" s="1079"/>
      <c r="CN3131" s="1005"/>
      <c r="CO3131" s="1005"/>
      <c r="CP3131" s="1005"/>
    </row>
    <row r="3132">
      <c r="A3132" s="1257"/>
      <c r="B3132" s="1113"/>
      <c r="C3132" s="1107"/>
      <c r="D3132" s="103"/>
      <c r="E3132" s="1137"/>
      <c r="F3132" s="112"/>
      <c r="G3132" s="1110"/>
      <c r="H3132" s="1138"/>
      <c r="I3132" s="1138"/>
      <c r="J3132" s="1139"/>
      <c r="K3132" s="1111"/>
      <c r="L3132" s="1112"/>
      <c r="M3132" s="1113"/>
      <c r="N3132" s="110"/>
      <c r="O3132" s="1140"/>
      <c r="P3132" s="1115"/>
      <c r="Q3132" s="1116"/>
      <c r="R3132" s="1141"/>
      <c r="S3132" s="1113"/>
      <c r="T3132" s="1143"/>
      <c r="U3132" s="1108"/>
      <c r="V3132" s="1108"/>
      <c r="W3132" s="1108"/>
      <c r="X3132" s="1108"/>
      <c r="Y3132" s="1108"/>
      <c r="Z3132" s="1114"/>
      <c r="AA3132" s="1114"/>
      <c r="AB3132" s="1114"/>
      <c r="AC3132" s="1117"/>
      <c r="AD3132" s="1115"/>
      <c r="AE3132" s="1115"/>
      <c r="AF3132" s="1115"/>
      <c r="AG3132" s="1115"/>
      <c r="AH3132" s="1115"/>
      <c r="AI3132" s="1115"/>
      <c r="AJ3132" s="1117"/>
      <c r="AK3132" s="1118"/>
      <c r="AL3132" s="1115"/>
      <c r="AM3132" s="1115"/>
      <c r="AN3132" s="1115"/>
      <c r="AO3132" s="1115"/>
      <c r="AP3132" s="1115"/>
      <c r="AQ3132" s="1115"/>
      <c r="AR3132" s="1115"/>
      <c r="AS3132" s="1117"/>
      <c r="AT3132" s="1075"/>
      <c r="AU3132" s="1193"/>
      <c r="AV3132" s="330"/>
      <c r="AW3132" s="331"/>
      <c r="AX3132" s="331"/>
      <c r="AY3132" s="331"/>
      <c r="AZ3132" s="331"/>
      <c r="BA3132" s="331"/>
      <c r="BB3132" s="331"/>
      <c r="BC3132" s="331"/>
      <c r="BD3132" s="331"/>
      <c r="BE3132" s="333"/>
      <c r="BF3132" s="330"/>
      <c r="BG3132" s="333"/>
      <c r="BH3132" s="1119"/>
      <c r="BI3132" s="319"/>
      <c r="BJ3132" s="319"/>
      <c r="BK3132" s="319"/>
      <c r="BL3132" s="319"/>
      <c r="BM3132" s="319"/>
      <c r="BN3132" s="319"/>
      <c r="BO3132" s="319"/>
      <c r="BP3132" s="953"/>
      <c r="BQ3132" s="319"/>
      <c r="BR3132" s="319"/>
      <c r="BS3132" s="330"/>
      <c r="BT3132" s="331"/>
      <c r="BU3132" s="920"/>
      <c r="BV3132" s="903"/>
      <c r="BW3132" s="908"/>
      <c r="BX3132" s="908"/>
      <c r="BY3132" s="331"/>
      <c r="BZ3132" s="331"/>
      <c r="CA3132" s="462"/>
      <c r="CB3132" s="319"/>
      <c r="CC3132" s="319"/>
      <c r="CD3132" s="319"/>
      <c r="CE3132" s="319"/>
      <c r="CF3132" s="319"/>
      <c r="CG3132" s="319"/>
      <c r="CH3132" s="318"/>
      <c r="CI3132" s="319"/>
      <c r="CJ3132" s="319"/>
      <c r="CK3132" s="342"/>
      <c r="CL3132" s="333"/>
      <c r="CM3132" s="1079"/>
      <c r="CN3132" s="1005"/>
      <c r="CO3132" s="1005"/>
      <c r="CP3132" s="1005"/>
    </row>
    <row r="3133">
      <c r="A3133" s="1257"/>
      <c r="B3133" s="1113"/>
      <c r="C3133" s="1107"/>
      <c r="D3133" s="103"/>
      <c r="E3133" s="1137"/>
      <c r="F3133" s="112"/>
      <c r="G3133" s="1110"/>
      <c r="H3133" s="1138"/>
      <c r="I3133" s="1138"/>
      <c r="J3133" s="1139"/>
      <c r="K3133" s="1111"/>
      <c r="L3133" s="1112"/>
      <c r="M3133" s="1113"/>
      <c r="N3133" s="110"/>
      <c r="O3133" s="1140"/>
      <c r="P3133" s="1115"/>
      <c r="Q3133" s="1116"/>
      <c r="R3133" s="1141"/>
      <c r="S3133" s="1113"/>
      <c r="T3133" s="1143"/>
      <c r="U3133" s="1108"/>
      <c r="V3133" s="1108"/>
      <c r="W3133" s="1108"/>
      <c r="X3133" s="1108"/>
      <c r="Y3133" s="1108"/>
      <c r="Z3133" s="1114"/>
      <c r="AA3133" s="1114"/>
      <c r="AB3133" s="1114"/>
      <c r="AC3133" s="1117"/>
      <c r="AD3133" s="1115"/>
      <c r="AE3133" s="1115"/>
      <c r="AF3133" s="1115"/>
      <c r="AG3133" s="1115"/>
      <c r="AH3133" s="1115"/>
      <c r="AI3133" s="1115"/>
      <c r="AJ3133" s="1117"/>
      <c r="AK3133" s="1118"/>
      <c r="AL3133" s="1115"/>
      <c r="AM3133" s="1115"/>
      <c r="AN3133" s="1115"/>
      <c r="AO3133" s="1115"/>
      <c r="AP3133" s="1115"/>
      <c r="AQ3133" s="1115"/>
      <c r="AR3133" s="1115"/>
      <c r="AS3133" s="1117"/>
      <c r="AT3133" s="1075"/>
      <c r="AU3133" s="1193"/>
      <c r="AV3133" s="330"/>
      <c r="AW3133" s="331"/>
      <c r="AX3133" s="331"/>
      <c r="AY3133" s="331"/>
      <c r="AZ3133" s="331"/>
      <c r="BA3133" s="331"/>
      <c r="BB3133" s="331"/>
      <c r="BC3133" s="331"/>
      <c r="BD3133" s="331"/>
      <c r="BE3133" s="333"/>
      <c r="BF3133" s="330"/>
      <c r="BG3133" s="333"/>
      <c r="BH3133" s="1119"/>
      <c r="BI3133" s="319"/>
      <c r="BJ3133" s="319"/>
      <c r="BK3133" s="319"/>
      <c r="BL3133" s="319"/>
      <c r="BM3133" s="319"/>
      <c r="BN3133" s="319"/>
      <c r="BO3133" s="319"/>
      <c r="BP3133" s="953"/>
      <c r="BQ3133" s="319"/>
      <c r="BR3133" s="319"/>
      <c r="BS3133" s="330"/>
      <c r="BT3133" s="331"/>
      <c r="BU3133" s="920"/>
      <c r="BV3133" s="903"/>
      <c r="BW3133" s="908"/>
      <c r="BX3133" s="908"/>
      <c r="BY3133" s="331"/>
      <c r="BZ3133" s="331"/>
      <c r="CA3133" s="462"/>
      <c r="CB3133" s="319"/>
      <c r="CC3133" s="319"/>
      <c r="CD3133" s="319"/>
      <c r="CE3133" s="319"/>
      <c r="CF3133" s="319"/>
      <c r="CG3133" s="319"/>
      <c r="CH3133" s="318"/>
      <c r="CI3133" s="319"/>
      <c r="CJ3133" s="319"/>
      <c r="CK3133" s="342"/>
      <c r="CL3133" s="333"/>
      <c r="CM3133" s="1079"/>
      <c r="CN3133" s="1005"/>
      <c r="CO3133" s="1005"/>
      <c r="CP3133" s="1005"/>
    </row>
    <row r="3134">
      <c r="A3134" s="1257"/>
      <c r="B3134" s="1113"/>
      <c r="C3134" s="1107"/>
      <c r="D3134" s="103"/>
      <c r="E3134" s="1137"/>
      <c r="F3134" s="112"/>
      <c r="G3134" s="1110"/>
      <c r="H3134" s="1138"/>
      <c r="I3134" s="1138"/>
      <c r="J3134" s="1139"/>
      <c r="K3134" s="1111"/>
      <c r="L3134" s="1112"/>
      <c r="M3134" s="1113"/>
      <c r="N3134" s="110"/>
      <c r="O3134" s="1140"/>
      <c r="P3134" s="1115"/>
      <c r="Q3134" s="1116"/>
      <c r="R3134" s="1141"/>
      <c r="S3134" s="1113"/>
      <c r="T3134" s="1143"/>
      <c r="U3134" s="1108"/>
      <c r="V3134" s="1108"/>
      <c r="W3134" s="1108"/>
      <c r="X3134" s="1108"/>
      <c r="Y3134" s="1108"/>
      <c r="Z3134" s="1114"/>
      <c r="AA3134" s="1114"/>
      <c r="AB3134" s="1114"/>
      <c r="AC3134" s="1117"/>
      <c r="AD3134" s="1115"/>
      <c r="AE3134" s="1115"/>
      <c r="AF3134" s="1115"/>
      <c r="AG3134" s="1115"/>
      <c r="AH3134" s="1115"/>
      <c r="AI3134" s="1115"/>
      <c r="AJ3134" s="1117"/>
      <c r="AK3134" s="1118"/>
      <c r="AL3134" s="1115"/>
      <c r="AM3134" s="1115"/>
      <c r="AN3134" s="1115"/>
      <c r="AO3134" s="1115"/>
      <c r="AP3134" s="1115"/>
      <c r="AQ3134" s="1115"/>
      <c r="AR3134" s="1115"/>
      <c r="AS3134" s="1117"/>
      <c r="AT3134" s="1075"/>
      <c r="AU3134" s="1193"/>
      <c r="AV3134" s="330"/>
      <c r="AW3134" s="331"/>
      <c r="AX3134" s="331"/>
      <c r="AY3134" s="331"/>
      <c r="AZ3134" s="331"/>
      <c r="BA3134" s="331"/>
      <c r="BB3134" s="331"/>
      <c r="BC3134" s="331"/>
      <c r="BD3134" s="331"/>
      <c r="BE3134" s="333"/>
      <c r="BF3134" s="330"/>
      <c r="BG3134" s="333"/>
      <c r="BH3134" s="1119"/>
      <c r="BI3134" s="319"/>
      <c r="BJ3134" s="319"/>
      <c r="BK3134" s="319"/>
      <c r="BL3134" s="319"/>
      <c r="BM3134" s="319"/>
      <c r="BN3134" s="319"/>
      <c r="BO3134" s="319"/>
      <c r="BP3134" s="953"/>
      <c r="BQ3134" s="319"/>
      <c r="BR3134" s="319"/>
      <c r="BS3134" s="330"/>
      <c r="BT3134" s="331"/>
      <c r="BU3134" s="920"/>
      <c r="BV3134" s="903"/>
      <c r="BW3134" s="908"/>
      <c r="BX3134" s="908"/>
      <c r="BY3134" s="331"/>
      <c r="BZ3134" s="331"/>
      <c r="CA3134" s="462"/>
      <c r="CB3134" s="319"/>
      <c r="CC3134" s="319"/>
      <c r="CD3134" s="319"/>
      <c r="CE3134" s="319"/>
      <c r="CF3134" s="319"/>
      <c r="CG3134" s="319"/>
      <c r="CH3134" s="318"/>
      <c r="CI3134" s="319"/>
      <c r="CJ3134" s="319"/>
      <c r="CK3134" s="342"/>
      <c r="CL3134" s="333"/>
      <c r="CM3134" s="1079"/>
      <c r="CN3134" s="1005"/>
      <c r="CO3134" s="1005"/>
      <c r="CP3134" s="1005"/>
    </row>
    <row r="3135">
      <c r="A3135" s="1257"/>
      <c r="B3135" s="1113"/>
      <c r="C3135" s="1107"/>
      <c r="D3135" s="103"/>
      <c r="E3135" s="1137"/>
      <c r="F3135" s="112"/>
      <c r="G3135" s="1110"/>
      <c r="H3135" s="1138"/>
      <c r="I3135" s="1138"/>
      <c r="J3135" s="1139"/>
      <c r="K3135" s="1111"/>
      <c r="L3135" s="1112"/>
      <c r="M3135" s="1113"/>
      <c r="N3135" s="110"/>
      <c r="O3135" s="1140"/>
      <c r="P3135" s="1115"/>
      <c r="Q3135" s="1116"/>
      <c r="R3135" s="1141"/>
      <c r="S3135" s="1113"/>
      <c r="T3135" s="1143"/>
      <c r="U3135" s="1108"/>
      <c r="V3135" s="1108"/>
      <c r="W3135" s="1108"/>
      <c r="X3135" s="1108"/>
      <c r="Y3135" s="1108"/>
      <c r="Z3135" s="1114"/>
      <c r="AA3135" s="1114"/>
      <c r="AB3135" s="1114"/>
      <c r="AC3135" s="1117"/>
      <c r="AD3135" s="1115"/>
      <c r="AE3135" s="1115"/>
      <c r="AF3135" s="1115"/>
      <c r="AG3135" s="1115"/>
      <c r="AH3135" s="1115"/>
      <c r="AI3135" s="1115"/>
      <c r="AJ3135" s="1117"/>
      <c r="AK3135" s="1118"/>
      <c r="AL3135" s="1115"/>
      <c r="AM3135" s="1115"/>
      <c r="AN3135" s="1115"/>
      <c r="AO3135" s="1115"/>
      <c r="AP3135" s="1115"/>
      <c r="AQ3135" s="1115"/>
      <c r="AR3135" s="1115"/>
      <c r="AS3135" s="1117"/>
      <c r="AT3135" s="1075"/>
      <c r="AU3135" s="1193"/>
      <c r="AV3135" s="330"/>
      <c r="AW3135" s="331"/>
      <c r="AX3135" s="331"/>
      <c r="AY3135" s="331"/>
      <c r="AZ3135" s="331"/>
      <c r="BA3135" s="331"/>
      <c r="BB3135" s="331"/>
      <c r="BC3135" s="331"/>
      <c r="BD3135" s="331"/>
      <c r="BE3135" s="333"/>
      <c r="BF3135" s="330"/>
      <c r="BG3135" s="333"/>
      <c r="BH3135" s="1119"/>
      <c r="BI3135" s="319"/>
      <c r="BJ3135" s="319"/>
      <c r="BK3135" s="319"/>
      <c r="BL3135" s="319"/>
      <c r="BM3135" s="319"/>
      <c r="BN3135" s="319"/>
      <c r="BO3135" s="319"/>
      <c r="BP3135" s="953"/>
      <c r="BQ3135" s="319"/>
      <c r="BR3135" s="319"/>
      <c r="BS3135" s="330"/>
      <c r="BT3135" s="331"/>
      <c r="BU3135" s="920"/>
      <c r="BV3135" s="903"/>
      <c r="BW3135" s="908"/>
      <c r="BX3135" s="908"/>
      <c r="BY3135" s="331"/>
      <c r="BZ3135" s="331"/>
      <c r="CA3135" s="462"/>
      <c r="CB3135" s="319"/>
      <c r="CC3135" s="319"/>
      <c r="CD3135" s="319"/>
      <c r="CE3135" s="319"/>
      <c r="CF3135" s="319"/>
      <c r="CG3135" s="319"/>
      <c r="CH3135" s="318"/>
      <c r="CI3135" s="319"/>
      <c r="CJ3135" s="319"/>
      <c r="CK3135" s="342"/>
      <c r="CL3135" s="333"/>
      <c r="CM3135" s="1079"/>
      <c r="CN3135" s="1005"/>
      <c r="CO3135" s="1005"/>
      <c r="CP3135" s="1005"/>
    </row>
    <row r="3136">
      <c r="A3136" s="1257"/>
      <c r="B3136" s="1113"/>
      <c r="C3136" s="1107"/>
      <c r="D3136" s="103"/>
      <c r="E3136" s="1137"/>
      <c r="F3136" s="112"/>
      <c r="G3136" s="1110"/>
      <c r="H3136" s="1138"/>
      <c r="I3136" s="1138"/>
      <c r="J3136" s="1139"/>
      <c r="K3136" s="1111"/>
      <c r="L3136" s="1112"/>
      <c r="M3136" s="1113"/>
      <c r="N3136" s="110"/>
      <c r="O3136" s="1140"/>
      <c r="P3136" s="1115"/>
      <c r="Q3136" s="1116"/>
      <c r="R3136" s="1141"/>
      <c r="S3136" s="1113"/>
      <c r="T3136" s="1143"/>
      <c r="U3136" s="1108"/>
      <c r="V3136" s="1108"/>
      <c r="W3136" s="1108"/>
      <c r="X3136" s="1108"/>
      <c r="Y3136" s="1108"/>
      <c r="Z3136" s="1114"/>
      <c r="AA3136" s="1114"/>
      <c r="AB3136" s="1114"/>
      <c r="AC3136" s="1117"/>
      <c r="AD3136" s="1115"/>
      <c r="AE3136" s="1115"/>
      <c r="AF3136" s="1115"/>
      <c r="AG3136" s="1115"/>
      <c r="AH3136" s="1115"/>
      <c r="AI3136" s="1115"/>
      <c r="AJ3136" s="1117"/>
      <c r="AK3136" s="1118"/>
      <c r="AL3136" s="1115"/>
      <c r="AM3136" s="1115"/>
      <c r="AN3136" s="1115"/>
      <c r="AO3136" s="1115"/>
      <c r="AP3136" s="1115"/>
      <c r="AQ3136" s="1115"/>
      <c r="AR3136" s="1115"/>
      <c r="AS3136" s="1117"/>
      <c r="AT3136" s="1075"/>
      <c r="AU3136" s="1193"/>
      <c r="AV3136" s="330"/>
      <c r="AW3136" s="331"/>
      <c r="AX3136" s="331"/>
      <c r="AY3136" s="331"/>
      <c r="AZ3136" s="331"/>
      <c r="BA3136" s="331"/>
      <c r="BB3136" s="331"/>
      <c r="BC3136" s="331"/>
      <c r="BD3136" s="331"/>
      <c r="BE3136" s="333"/>
      <c r="BF3136" s="330"/>
      <c r="BG3136" s="333"/>
      <c r="BH3136" s="1119"/>
      <c r="BI3136" s="319"/>
      <c r="BJ3136" s="319"/>
      <c r="BK3136" s="319"/>
      <c r="BL3136" s="319"/>
      <c r="BM3136" s="319"/>
      <c r="BN3136" s="319"/>
      <c r="BO3136" s="319"/>
      <c r="BP3136" s="953"/>
      <c r="BQ3136" s="319"/>
      <c r="BR3136" s="319"/>
      <c r="BS3136" s="330"/>
      <c r="BT3136" s="331"/>
      <c r="BU3136" s="920"/>
      <c r="BV3136" s="903"/>
      <c r="BW3136" s="908"/>
      <c r="BX3136" s="908"/>
      <c r="BY3136" s="331"/>
      <c r="BZ3136" s="331"/>
      <c r="CA3136" s="462"/>
      <c r="CB3136" s="319"/>
      <c r="CC3136" s="319"/>
      <c r="CD3136" s="319"/>
      <c r="CE3136" s="319"/>
      <c r="CF3136" s="319"/>
      <c r="CG3136" s="319"/>
      <c r="CH3136" s="318"/>
      <c r="CI3136" s="319"/>
      <c r="CJ3136" s="319"/>
      <c r="CK3136" s="342"/>
      <c r="CL3136" s="333"/>
      <c r="CM3136" s="1079"/>
      <c r="CN3136" s="1005"/>
      <c r="CO3136" s="1005"/>
      <c r="CP3136" s="1005"/>
    </row>
    <row r="3137">
      <c r="A3137" s="1257"/>
      <c r="B3137" s="1113"/>
      <c r="C3137" s="1107"/>
      <c r="D3137" s="103"/>
      <c r="E3137" s="1137"/>
      <c r="F3137" s="112"/>
      <c r="G3137" s="1110"/>
      <c r="H3137" s="1138"/>
      <c r="I3137" s="1138"/>
      <c r="J3137" s="1139"/>
      <c r="K3137" s="1111"/>
      <c r="L3137" s="1112"/>
      <c r="M3137" s="1113"/>
      <c r="N3137" s="110"/>
      <c r="O3137" s="1140"/>
      <c r="P3137" s="1115"/>
      <c r="Q3137" s="1116"/>
      <c r="R3137" s="1141"/>
      <c r="S3137" s="1113"/>
      <c r="T3137" s="1143"/>
      <c r="U3137" s="1108"/>
      <c r="V3137" s="1108"/>
      <c r="W3137" s="1108"/>
      <c r="X3137" s="1108"/>
      <c r="Y3137" s="1108"/>
      <c r="Z3137" s="1114"/>
      <c r="AA3137" s="1114"/>
      <c r="AB3137" s="1114"/>
      <c r="AC3137" s="1117"/>
      <c r="AD3137" s="1115"/>
      <c r="AE3137" s="1115"/>
      <c r="AF3137" s="1115"/>
      <c r="AG3137" s="1115"/>
      <c r="AH3137" s="1115"/>
      <c r="AI3137" s="1115"/>
      <c r="AJ3137" s="1117"/>
      <c r="AK3137" s="1118"/>
      <c r="AL3137" s="1115"/>
      <c r="AM3137" s="1115"/>
      <c r="AN3137" s="1115"/>
      <c r="AO3137" s="1115"/>
      <c r="AP3137" s="1115"/>
      <c r="AQ3137" s="1115"/>
      <c r="AR3137" s="1115"/>
      <c r="AS3137" s="1117"/>
      <c r="AT3137" s="1075"/>
      <c r="AU3137" s="1193"/>
      <c r="AV3137" s="330"/>
      <c r="AW3137" s="331"/>
      <c r="AX3137" s="331"/>
      <c r="AY3137" s="331"/>
      <c r="AZ3137" s="331"/>
      <c r="BA3137" s="331"/>
      <c r="BB3137" s="331"/>
      <c r="BC3137" s="331"/>
      <c r="BD3137" s="331"/>
      <c r="BE3137" s="333"/>
      <c r="BF3137" s="330"/>
      <c r="BG3137" s="333"/>
      <c r="BH3137" s="1119"/>
      <c r="BI3137" s="319"/>
      <c r="BJ3137" s="319"/>
      <c r="BK3137" s="319"/>
      <c r="BL3137" s="319"/>
      <c r="BM3137" s="319"/>
      <c r="BN3137" s="319"/>
      <c r="BO3137" s="319"/>
      <c r="BP3137" s="953"/>
      <c r="BQ3137" s="319"/>
      <c r="BR3137" s="319"/>
      <c r="BS3137" s="330"/>
      <c r="BT3137" s="331"/>
      <c r="BU3137" s="920"/>
      <c r="BV3137" s="903"/>
      <c r="BW3137" s="908"/>
      <c r="BX3137" s="908"/>
      <c r="BY3137" s="331"/>
      <c r="BZ3137" s="331"/>
      <c r="CA3137" s="462"/>
      <c r="CB3137" s="319"/>
      <c r="CC3137" s="319"/>
      <c r="CD3137" s="319"/>
      <c r="CE3137" s="319"/>
      <c r="CF3137" s="319"/>
      <c r="CG3137" s="319"/>
      <c r="CH3137" s="318"/>
      <c r="CI3137" s="319"/>
      <c r="CJ3137" s="319"/>
      <c r="CK3137" s="342"/>
      <c r="CL3137" s="333"/>
      <c r="CM3137" s="1079"/>
      <c r="CN3137" s="1005"/>
      <c r="CO3137" s="1005"/>
      <c r="CP3137" s="1005"/>
    </row>
    <row r="3138">
      <c r="A3138" s="1257"/>
      <c r="B3138" s="1113"/>
      <c r="C3138" s="1107"/>
      <c r="D3138" s="103"/>
      <c r="E3138" s="1137"/>
      <c r="F3138" s="112"/>
      <c r="G3138" s="1110"/>
      <c r="H3138" s="1138"/>
      <c r="I3138" s="1138"/>
      <c r="J3138" s="1139"/>
      <c r="K3138" s="1111"/>
      <c r="L3138" s="1112"/>
      <c r="M3138" s="1113"/>
      <c r="N3138" s="110"/>
      <c r="O3138" s="1140"/>
      <c r="P3138" s="1115"/>
      <c r="Q3138" s="1116"/>
      <c r="R3138" s="1141"/>
      <c r="S3138" s="1113"/>
      <c r="T3138" s="1143"/>
      <c r="U3138" s="1108"/>
      <c r="V3138" s="1108"/>
      <c r="W3138" s="1108"/>
      <c r="X3138" s="1108"/>
      <c r="Y3138" s="1108"/>
      <c r="Z3138" s="1114"/>
      <c r="AA3138" s="1114"/>
      <c r="AB3138" s="1114"/>
      <c r="AC3138" s="1117"/>
      <c r="AD3138" s="1115"/>
      <c r="AE3138" s="1115"/>
      <c r="AF3138" s="1115"/>
      <c r="AG3138" s="1115"/>
      <c r="AH3138" s="1115"/>
      <c r="AI3138" s="1115"/>
      <c r="AJ3138" s="1117"/>
      <c r="AK3138" s="1118"/>
      <c r="AL3138" s="1115"/>
      <c r="AM3138" s="1115"/>
      <c r="AN3138" s="1115"/>
      <c r="AO3138" s="1115"/>
      <c r="AP3138" s="1115"/>
      <c r="AQ3138" s="1115"/>
      <c r="AR3138" s="1115"/>
      <c r="AS3138" s="1117"/>
      <c r="AT3138" s="1075"/>
      <c r="AU3138" s="1193"/>
      <c r="AV3138" s="330"/>
      <c r="AW3138" s="331"/>
      <c r="AX3138" s="331"/>
      <c r="AY3138" s="331"/>
      <c r="AZ3138" s="331"/>
      <c r="BA3138" s="331"/>
      <c r="BB3138" s="331"/>
      <c r="BC3138" s="331"/>
      <c r="BD3138" s="331"/>
      <c r="BE3138" s="333"/>
      <c r="BF3138" s="330"/>
      <c r="BG3138" s="333"/>
      <c r="BH3138" s="1119"/>
      <c r="BI3138" s="319"/>
      <c r="BJ3138" s="319"/>
      <c r="BK3138" s="319"/>
      <c r="BL3138" s="319"/>
      <c r="BM3138" s="319"/>
      <c r="BN3138" s="319"/>
      <c r="BO3138" s="319"/>
      <c r="BP3138" s="953"/>
      <c r="BQ3138" s="319"/>
      <c r="BR3138" s="319"/>
      <c r="BS3138" s="330"/>
      <c r="BT3138" s="331"/>
      <c r="BU3138" s="920"/>
      <c r="BV3138" s="903"/>
      <c r="BW3138" s="908"/>
      <c r="BX3138" s="908"/>
      <c r="BY3138" s="331"/>
      <c r="BZ3138" s="331"/>
      <c r="CA3138" s="462"/>
      <c r="CB3138" s="319"/>
      <c r="CC3138" s="319"/>
      <c r="CD3138" s="319"/>
      <c r="CE3138" s="319"/>
      <c r="CF3138" s="319"/>
      <c r="CG3138" s="319"/>
      <c r="CH3138" s="318"/>
      <c r="CI3138" s="319"/>
      <c r="CJ3138" s="319"/>
      <c r="CK3138" s="342"/>
      <c r="CL3138" s="333"/>
      <c r="CM3138" s="1079"/>
      <c r="CN3138" s="1005"/>
      <c r="CO3138" s="1005"/>
      <c r="CP3138" s="1005"/>
    </row>
    <row r="3139">
      <c r="A3139" s="1257"/>
      <c r="B3139" s="1113"/>
      <c r="C3139" s="1107"/>
      <c r="D3139" s="103"/>
      <c r="E3139" s="1137"/>
      <c r="F3139" s="112"/>
      <c r="G3139" s="1110"/>
      <c r="H3139" s="1138"/>
      <c r="I3139" s="1138"/>
      <c r="J3139" s="1139"/>
      <c r="K3139" s="1111"/>
      <c r="L3139" s="1112"/>
      <c r="M3139" s="1113"/>
      <c r="N3139" s="110"/>
      <c r="O3139" s="1140"/>
      <c r="P3139" s="1115"/>
      <c r="Q3139" s="1116"/>
      <c r="R3139" s="1141"/>
      <c r="S3139" s="1113"/>
      <c r="T3139" s="1143"/>
      <c r="U3139" s="1108"/>
      <c r="V3139" s="1108"/>
      <c r="W3139" s="1108"/>
      <c r="X3139" s="1108"/>
      <c r="Y3139" s="1108"/>
      <c r="Z3139" s="1114"/>
      <c r="AA3139" s="1114"/>
      <c r="AB3139" s="1114"/>
      <c r="AC3139" s="1117"/>
      <c r="AD3139" s="1115"/>
      <c r="AE3139" s="1115"/>
      <c r="AF3139" s="1115"/>
      <c r="AG3139" s="1115"/>
      <c r="AH3139" s="1115"/>
      <c r="AI3139" s="1115"/>
      <c r="AJ3139" s="1117"/>
      <c r="AK3139" s="1118"/>
      <c r="AL3139" s="1115"/>
      <c r="AM3139" s="1115"/>
      <c r="AN3139" s="1115"/>
      <c r="AO3139" s="1115"/>
      <c r="AP3139" s="1115"/>
      <c r="AQ3139" s="1115"/>
      <c r="AR3139" s="1115"/>
      <c r="AS3139" s="1117"/>
      <c r="AT3139" s="1075"/>
      <c r="AU3139" s="1193"/>
      <c r="AV3139" s="330"/>
      <c r="AW3139" s="331"/>
      <c r="AX3139" s="331"/>
      <c r="AY3139" s="331"/>
      <c r="AZ3139" s="331"/>
      <c r="BA3139" s="331"/>
      <c r="BB3139" s="331"/>
      <c r="BC3139" s="331"/>
      <c r="BD3139" s="331"/>
      <c r="BE3139" s="333"/>
      <c r="BF3139" s="330"/>
      <c r="BG3139" s="333"/>
      <c r="BH3139" s="1119"/>
      <c r="BI3139" s="319"/>
      <c r="BJ3139" s="319"/>
      <c r="BK3139" s="319"/>
      <c r="BL3139" s="319"/>
      <c r="BM3139" s="319"/>
      <c r="BN3139" s="319"/>
      <c r="BO3139" s="319"/>
      <c r="BP3139" s="953"/>
      <c r="BQ3139" s="319"/>
      <c r="BR3139" s="319"/>
      <c r="BS3139" s="330"/>
      <c r="BT3139" s="331"/>
      <c r="BU3139" s="920"/>
      <c r="BV3139" s="903"/>
      <c r="BW3139" s="908"/>
      <c r="BX3139" s="908"/>
      <c r="BY3139" s="331"/>
      <c r="BZ3139" s="331"/>
      <c r="CA3139" s="462"/>
      <c r="CB3139" s="319"/>
      <c r="CC3139" s="319"/>
      <c r="CD3139" s="319"/>
      <c r="CE3139" s="319"/>
      <c r="CF3139" s="319"/>
      <c r="CG3139" s="319"/>
      <c r="CH3139" s="318"/>
      <c r="CI3139" s="319"/>
      <c r="CJ3139" s="319"/>
      <c r="CK3139" s="342"/>
      <c r="CL3139" s="333"/>
      <c r="CM3139" s="1079"/>
      <c r="CN3139" s="1005"/>
      <c r="CO3139" s="1005"/>
      <c r="CP3139" s="1005"/>
    </row>
    <row r="3140">
      <c r="A3140" s="1257"/>
      <c r="B3140" s="1113"/>
      <c r="C3140" s="1107"/>
      <c r="D3140" s="103"/>
      <c r="E3140" s="1137"/>
      <c r="F3140" s="112"/>
      <c r="G3140" s="1110"/>
      <c r="H3140" s="1138"/>
      <c r="I3140" s="1138"/>
      <c r="J3140" s="1139"/>
      <c r="K3140" s="1111"/>
      <c r="L3140" s="1112"/>
      <c r="M3140" s="1113"/>
      <c r="N3140" s="110"/>
      <c r="O3140" s="1140"/>
      <c r="P3140" s="1115"/>
      <c r="Q3140" s="1116"/>
      <c r="R3140" s="1141"/>
      <c r="S3140" s="1113"/>
      <c r="T3140" s="1143"/>
      <c r="U3140" s="1108"/>
      <c r="V3140" s="1108"/>
      <c r="W3140" s="1108"/>
      <c r="X3140" s="1108"/>
      <c r="Y3140" s="1108"/>
      <c r="Z3140" s="1114"/>
      <c r="AA3140" s="1114"/>
      <c r="AB3140" s="1114"/>
      <c r="AC3140" s="1117"/>
      <c r="AD3140" s="1115"/>
      <c r="AE3140" s="1115"/>
      <c r="AF3140" s="1115"/>
      <c r="AG3140" s="1115"/>
      <c r="AH3140" s="1115"/>
      <c r="AI3140" s="1115"/>
      <c r="AJ3140" s="1117"/>
      <c r="AK3140" s="1118"/>
      <c r="AL3140" s="1115"/>
      <c r="AM3140" s="1115"/>
      <c r="AN3140" s="1115"/>
      <c r="AO3140" s="1115"/>
      <c r="AP3140" s="1115"/>
      <c r="AQ3140" s="1115"/>
      <c r="AR3140" s="1115"/>
      <c r="AS3140" s="1117"/>
      <c r="AT3140" s="1075"/>
      <c r="AU3140" s="1193"/>
      <c r="AV3140" s="330"/>
      <c r="AW3140" s="331"/>
      <c r="AX3140" s="331"/>
      <c r="AY3140" s="331"/>
      <c r="AZ3140" s="331"/>
      <c r="BA3140" s="331"/>
      <c r="BB3140" s="331"/>
      <c r="BC3140" s="331"/>
      <c r="BD3140" s="331"/>
      <c r="BE3140" s="333"/>
      <c r="BF3140" s="330"/>
      <c r="BG3140" s="333"/>
      <c r="BH3140" s="1119"/>
      <c r="BI3140" s="319"/>
      <c r="BJ3140" s="319"/>
      <c r="BK3140" s="319"/>
      <c r="BL3140" s="319"/>
      <c r="BM3140" s="319"/>
      <c r="BN3140" s="319"/>
      <c r="BO3140" s="319"/>
      <c r="BP3140" s="953"/>
      <c r="BQ3140" s="319"/>
      <c r="BR3140" s="319"/>
      <c r="BS3140" s="330"/>
      <c r="BT3140" s="331"/>
      <c r="BU3140" s="920"/>
      <c r="BV3140" s="903"/>
      <c r="BW3140" s="908"/>
      <c r="BX3140" s="908"/>
      <c r="BY3140" s="331"/>
      <c r="BZ3140" s="331"/>
      <c r="CA3140" s="462"/>
      <c r="CB3140" s="319"/>
      <c r="CC3140" s="319"/>
      <c r="CD3140" s="319"/>
      <c r="CE3140" s="319"/>
      <c r="CF3140" s="319"/>
      <c r="CG3140" s="319"/>
      <c r="CH3140" s="318"/>
      <c r="CI3140" s="319"/>
      <c r="CJ3140" s="319"/>
      <c r="CK3140" s="342"/>
      <c r="CL3140" s="333"/>
      <c r="CM3140" s="1079"/>
      <c r="CN3140" s="1005"/>
      <c r="CO3140" s="1005"/>
      <c r="CP3140" s="1005"/>
    </row>
    <row r="3141">
      <c r="A3141" s="1257"/>
      <c r="B3141" s="1113"/>
      <c r="C3141" s="1107"/>
      <c r="D3141" s="103"/>
      <c r="E3141" s="1137"/>
      <c r="F3141" s="112"/>
      <c r="G3141" s="1110"/>
      <c r="H3141" s="1138"/>
      <c r="I3141" s="1138"/>
      <c r="J3141" s="1139"/>
      <c r="K3141" s="1111"/>
      <c r="L3141" s="1112"/>
      <c r="M3141" s="1113"/>
      <c r="N3141" s="110"/>
      <c r="O3141" s="1140"/>
      <c r="P3141" s="1115"/>
      <c r="Q3141" s="1116"/>
      <c r="R3141" s="1141"/>
      <c r="S3141" s="1113"/>
      <c r="T3141" s="1143"/>
      <c r="U3141" s="1108"/>
      <c r="V3141" s="1108"/>
      <c r="W3141" s="1108"/>
      <c r="X3141" s="1108"/>
      <c r="Y3141" s="1108"/>
      <c r="Z3141" s="1114"/>
      <c r="AA3141" s="1114"/>
      <c r="AB3141" s="1114"/>
      <c r="AC3141" s="1117"/>
      <c r="AD3141" s="1115"/>
      <c r="AE3141" s="1115"/>
      <c r="AF3141" s="1115"/>
      <c r="AG3141" s="1115"/>
      <c r="AH3141" s="1115"/>
      <c r="AI3141" s="1115"/>
      <c r="AJ3141" s="1117"/>
      <c r="AK3141" s="1118"/>
      <c r="AL3141" s="1115"/>
      <c r="AM3141" s="1115"/>
      <c r="AN3141" s="1115"/>
      <c r="AO3141" s="1115"/>
      <c r="AP3141" s="1115"/>
      <c r="AQ3141" s="1115"/>
      <c r="AR3141" s="1115"/>
      <c r="AS3141" s="1117"/>
      <c r="AT3141" s="1075"/>
      <c r="AU3141" s="1193"/>
      <c r="AV3141" s="330"/>
      <c r="AW3141" s="331"/>
      <c r="AX3141" s="331"/>
      <c r="AY3141" s="331"/>
      <c r="AZ3141" s="331"/>
      <c r="BA3141" s="331"/>
      <c r="BB3141" s="331"/>
      <c r="BC3141" s="331"/>
      <c r="BD3141" s="331"/>
      <c r="BE3141" s="333"/>
      <c r="BF3141" s="330"/>
      <c r="BG3141" s="333"/>
      <c r="BH3141" s="1119"/>
      <c r="BI3141" s="319"/>
      <c r="BJ3141" s="319"/>
      <c r="BK3141" s="319"/>
      <c r="BL3141" s="319"/>
      <c r="BM3141" s="319"/>
      <c r="BN3141" s="319"/>
      <c r="BO3141" s="319"/>
      <c r="BP3141" s="953"/>
      <c r="BQ3141" s="319"/>
      <c r="BR3141" s="319"/>
      <c r="BS3141" s="330"/>
      <c r="BT3141" s="331"/>
      <c r="BU3141" s="920"/>
      <c r="BV3141" s="903"/>
      <c r="BW3141" s="908"/>
      <c r="BX3141" s="908"/>
      <c r="BY3141" s="331"/>
      <c r="BZ3141" s="331"/>
      <c r="CA3141" s="462"/>
      <c r="CB3141" s="319"/>
      <c r="CC3141" s="319"/>
      <c r="CD3141" s="319"/>
      <c r="CE3141" s="319"/>
      <c r="CF3141" s="319"/>
      <c r="CG3141" s="319"/>
      <c r="CH3141" s="318"/>
      <c r="CI3141" s="319"/>
      <c r="CJ3141" s="319"/>
      <c r="CK3141" s="342"/>
      <c r="CL3141" s="333"/>
      <c r="CM3141" s="1079"/>
      <c r="CN3141" s="1005"/>
      <c r="CO3141" s="1005"/>
      <c r="CP3141" s="1005"/>
    </row>
    <row r="3142">
      <c r="A3142" s="1257"/>
      <c r="B3142" s="1113"/>
      <c r="C3142" s="1107"/>
      <c r="D3142" s="103"/>
      <c r="E3142" s="1137"/>
      <c r="F3142" s="112"/>
      <c r="G3142" s="1110"/>
      <c r="H3142" s="1138"/>
      <c r="I3142" s="1138"/>
      <c r="J3142" s="1139"/>
      <c r="K3142" s="1111"/>
      <c r="L3142" s="1112"/>
      <c r="M3142" s="1113"/>
      <c r="N3142" s="110"/>
      <c r="O3142" s="1140"/>
      <c r="P3142" s="1115"/>
      <c r="Q3142" s="1116"/>
      <c r="R3142" s="1141"/>
      <c r="S3142" s="1113"/>
      <c r="T3142" s="1143"/>
      <c r="U3142" s="1108"/>
      <c r="V3142" s="1108"/>
      <c r="W3142" s="1108"/>
      <c r="X3142" s="1108"/>
      <c r="Y3142" s="1108"/>
      <c r="Z3142" s="1114"/>
      <c r="AA3142" s="1114"/>
      <c r="AB3142" s="1114"/>
      <c r="AC3142" s="1117"/>
      <c r="AD3142" s="1115"/>
      <c r="AE3142" s="1115"/>
      <c r="AF3142" s="1115"/>
      <c r="AG3142" s="1115"/>
      <c r="AH3142" s="1115"/>
      <c r="AI3142" s="1115"/>
      <c r="AJ3142" s="1117"/>
      <c r="AK3142" s="1118"/>
      <c r="AL3142" s="1115"/>
      <c r="AM3142" s="1115"/>
      <c r="AN3142" s="1115"/>
      <c r="AO3142" s="1115"/>
      <c r="AP3142" s="1115"/>
      <c r="AQ3142" s="1115"/>
      <c r="AR3142" s="1115"/>
      <c r="AS3142" s="1117"/>
      <c r="AT3142" s="1075"/>
      <c r="AU3142" s="1193"/>
      <c r="AV3142" s="330"/>
      <c r="AW3142" s="331"/>
      <c r="AX3142" s="331"/>
      <c r="AY3142" s="331"/>
      <c r="AZ3142" s="331"/>
      <c r="BA3142" s="331"/>
      <c r="BB3142" s="331"/>
      <c r="BC3142" s="331"/>
      <c r="BD3142" s="331"/>
      <c r="BE3142" s="333"/>
      <c r="BF3142" s="330"/>
      <c r="BG3142" s="333"/>
      <c r="BH3142" s="1119"/>
      <c r="BI3142" s="319"/>
      <c r="BJ3142" s="319"/>
      <c r="BK3142" s="319"/>
      <c r="BL3142" s="319"/>
      <c r="BM3142" s="319"/>
      <c r="BN3142" s="319"/>
      <c r="BO3142" s="319"/>
      <c r="BP3142" s="953"/>
      <c r="BQ3142" s="319"/>
      <c r="BR3142" s="319"/>
      <c r="BS3142" s="330"/>
      <c r="BT3142" s="331"/>
      <c r="BU3142" s="920"/>
      <c r="BV3142" s="903"/>
      <c r="BW3142" s="908"/>
      <c r="BX3142" s="908"/>
      <c r="BY3142" s="331"/>
      <c r="BZ3142" s="331"/>
      <c r="CA3142" s="462"/>
      <c r="CB3142" s="319"/>
      <c r="CC3142" s="319"/>
      <c r="CD3142" s="319"/>
      <c r="CE3142" s="319"/>
      <c r="CF3142" s="319"/>
      <c r="CG3142" s="319"/>
      <c r="CH3142" s="318"/>
      <c r="CI3142" s="319"/>
      <c r="CJ3142" s="319"/>
      <c r="CK3142" s="342"/>
      <c r="CL3142" s="333"/>
      <c r="CM3142" s="1079"/>
      <c r="CN3142" s="1005"/>
      <c r="CO3142" s="1005"/>
      <c r="CP3142" s="1005"/>
    </row>
    <row r="3143">
      <c r="A3143" s="1257"/>
      <c r="B3143" s="1113"/>
      <c r="C3143" s="1107"/>
      <c r="D3143" s="103"/>
      <c r="E3143" s="1137"/>
      <c r="F3143" s="112"/>
      <c r="G3143" s="1110"/>
      <c r="H3143" s="1138"/>
      <c r="I3143" s="1138"/>
      <c r="J3143" s="1139"/>
      <c r="K3143" s="1111"/>
      <c r="L3143" s="1112"/>
      <c r="M3143" s="1113"/>
      <c r="N3143" s="110"/>
      <c r="O3143" s="1140"/>
      <c r="P3143" s="1115"/>
      <c r="Q3143" s="1116"/>
      <c r="R3143" s="1141"/>
      <c r="S3143" s="1113"/>
      <c r="T3143" s="1143"/>
      <c r="U3143" s="1108"/>
      <c r="V3143" s="1108"/>
      <c r="W3143" s="1108"/>
      <c r="X3143" s="1108"/>
      <c r="Y3143" s="1108"/>
      <c r="Z3143" s="1114"/>
      <c r="AA3143" s="1114"/>
      <c r="AB3143" s="1114"/>
      <c r="AC3143" s="1117"/>
      <c r="AD3143" s="1115"/>
      <c r="AE3143" s="1115"/>
      <c r="AF3143" s="1115"/>
      <c r="AG3143" s="1115"/>
      <c r="AH3143" s="1115"/>
      <c r="AI3143" s="1115"/>
      <c r="AJ3143" s="1117"/>
      <c r="AK3143" s="1118"/>
      <c r="AL3143" s="1115"/>
      <c r="AM3143" s="1115"/>
      <c r="AN3143" s="1115"/>
      <c r="AO3143" s="1115"/>
      <c r="AP3143" s="1115"/>
      <c r="AQ3143" s="1115"/>
      <c r="AR3143" s="1115"/>
      <c r="AS3143" s="1117"/>
      <c r="AT3143" s="1075"/>
      <c r="AU3143" s="1193"/>
      <c r="AV3143" s="330"/>
      <c r="AW3143" s="331"/>
      <c r="AX3143" s="331"/>
      <c r="AY3143" s="331"/>
      <c r="AZ3143" s="331"/>
      <c r="BA3143" s="331"/>
      <c r="BB3143" s="331"/>
      <c r="BC3143" s="331"/>
      <c r="BD3143" s="331"/>
      <c r="BE3143" s="333"/>
      <c r="BF3143" s="330"/>
      <c r="BG3143" s="333"/>
      <c r="BH3143" s="1119"/>
      <c r="BI3143" s="319"/>
      <c r="BJ3143" s="319"/>
      <c r="BK3143" s="319"/>
      <c r="BL3143" s="319"/>
      <c r="BM3143" s="319"/>
      <c r="BN3143" s="319"/>
      <c r="BO3143" s="319"/>
      <c r="BP3143" s="953"/>
      <c r="BQ3143" s="319"/>
      <c r="BR3143" s="319"/>
      <c r="BS3143" s="330"/>
      <c r="BT3143" s="331"/>
      <c r="BU3143" s="920"/>
      <c r="BV3143" s="903"/>
      <c r="BW3143" s="908"/>
      <c r="BX3143" s="908"/>
      <c r="BY3143" s="331"/>
      <c r="BZ3143" s="331"/>
      <c r="CA3143" s="462"/>
      <c r="CB3143" s="319"/>
      <c r="CC3143" s="319"/>
      <c r="CD3143" s="319"/>
      <c r="CE3143" s="319"/>
      <c r="CF3143" s="319"/>
      <c r="CG3143" s="319"/>
      <c r="CH3143" s="318"/>
      <c r="CI3143" s="319"/>
      <c r="CJ3143" s="319"/>
      <c r="CK3143" s="342"/>
      <c r="CL3143" s="333"/>
      <c r="CM3143" s="1079"/>
      <c r="CN3143" s="1005"/>
      <c r="CO3143" s="1005"/>
      <c r="CP3143" s="1005"/>
    </row>
    <row r="3144">
      <c r="A3144" s="1257"/>
      <c r="B3144" s="1113"/>
      <c r="C3144" s="1107"/>
      <c r="D3144" s="103"/>
      <c r="E3144" s="1137"/>
      <c r="F3144" s="112"/>
      <c r="G3144" s="1110"/>
      <c r="H3144" s="1138"/>
      <c r="I3144" s="1138"/>
      <c r="J3144" s="1139"/>
      <c r="K3144" s="1111"/>
      <c r="L3144" s="1112"/>
      <c r="M3144" s="1113"/>
      <c r="N3144" s="110"/>
      <c r="O3144" s="1140"/>
      <c r="P3144" s="1115"/>
      <c r="Q3144" s="1116"/>
      <c r="R3144" s="1141"/>
      <c r="S3144" s="1113"/>
      <c r="T3144" s="1143"/>
      <c r="U3144" s="1108"/>
      <c r="V3144" s="1108"/>
      <c r="W3144" s="1108"/>
      <c r="X3144" s="1108"/>
      <c r="Y3144" s="1108"/>
      <c r="Z3144" s="1114"/>
      <c r="AA3144" s="1114"/>
      <c r="AB3144" s="1114"/>
      <c r="AC3144" s="1117"/>
      <c r="AD3144" s="1115"/>
      <c r="AE3144" s="1115"/>
      <c r="AF3144" s="1115"/>
      <c r="AG3144" s="1115"/>
      <c r="AH3144" s="1115"/>
      <c r="AI3144" s="1115"/>
      <c r="AJ3144" s="1117"/>
      <c r="AK3144" s="1118"/>
      <c r="AL3144" s="1115"/>
      <c r="AM3144" s="1115"/>
      <c r="AN3144" s="1115"/>
      <c r="AO3144" s="1115"/>
      <c r="AP3144" s="1115"/>
      <c r="AQ3144" s="1115"/>
      <c r="AR3144" s="1115"/>
      <c r="AS3144" s="1117"/>
      <c r="AT3144" s="1075"/>
      <c r="AU3144" s="1193"/>
      <c r="AV3144" s="330"/>
      <c r="AW3144" s="331"/>
      <c r="AX3144" s="331"/>
      <c r="AY3144" s="331"/>
      <c r="AZ3144" s="331"/>
      <c r="BA3144" s="331"/>
      <c r="BB3144" s="331"/>
      <c r="BC3144" s="331"/>
      <c r="BD3144" s="331"/>
      <c r="BE3144" s="333"/>
      <c r="BF3144" s="330"/>
      <c r="BG3144" s="333"/>
      <c r="BH3144" s="1119"/>
      <c r="BI3144" s="319"/>
      <c r="BJ3144" s="319"/>
      <c r="BK3144" s="319"/>
      <c r="BL3144" s="319"/>
      <c r="BM3144" s="319"/>
      <c r="BN3144" s="319"/>
      <c r="BO3144" s="319"/>
      <c r="BP3144" s="953"/>
      <c r="BQ3144" s="319"/>
      <c r="BR3144" s="319"/>
      <c r="BS3144" s="330"/>
      <c r="BT3144" s="331"/>
      <c r="BU3144" s="920"/>
      <c r="BV3144" s="903"/>
      <c r="BW3144" s="908"/>
      <c r="BX3144" s="908"/>
      <c r="BY3144" s="331"/>
      <c r="BZ3144" s="331"/>
      <c r="CA3144" s="462"/>
      <c r="CB3144" s="319"/>
      <c r="CC3144" s="319"/>
      <c r="CD3144" s="319"/>
      <c r="CE3144" s="319"/>
      <c r="CF3144" s="319"/>
      <c r="CG3144" s="319"/>
      <c r="CH3144" s="318"/>
      <c r="CI3144" s="319"/>
      <c r="CJ3144" s="319"/>
      <c r="CK3144" s="342"/>
      <c r="CL3144" s="333"/>
      <c r="CM3144" s="1079"/>
      <c r="CN3144" s="1005"/>
      <c r="CO3144" s="1005"/>
      <c r="CP3144" s="1005"/>
    </row>
    <row r="3145">
      <c r="A3145" s="1257"/>
      <c r="B3145" s="1113"/>
      <c r="C3145" s="1107"/>
      <c r="D3145" s="103"/>
      <c r="E3145" s="1137"/>
      <c r="F3145" s="112"/>
      <c r="G3145" s="1110"/>
      <c r="H3145" s="1138"/>
      <c r="I3145" s="1138"/>
      <c r="J3145" s="1139"/>
      <c r="K3145" s="1111"/>
      <c r="L3145" s="1112"/>
      <c r="M3145" s="1113"/>
      <c r="N3145" s="110"/>
      <c r="O3145" s="1140"/>
      <c r="P3145" s="1115"/>
      <c r="Q3145" s="1116"/>
      <c r="R3145" s="1141"/>
      <c r="S3145" s="1113"/>
      <c r="T3145" s="1143"/>
      <c r="U3145" s="1108"/>
      <c r="V3145" s="1108"/>
      <c r="W3145" s="1108"/>
      <c r="X3145" s="1108"/>
      <c r="Y3145" s="1108"/>
      <c r="Z3145" s="1114"/>
      <c r="AA3145" s="1114"/>
      <c r="AB3145" s="1114"/>
      <c r="AC3145" s="1117"/>
      <c r="AD3145" s="1115"/>
      <c r="AE3145" s="1115"/>
      <c r="AF3145" s="1115"/>
      <c r="AG3145" s="1115"/>
      <c r="AH3145" s="1115"/>
      <c r="AI3145" s="1115"/>
      <c r="AJ3145" s="1117"/>
      <c r="AK3145" s="1118"/>
      <c r="AL3145" s="1115"/>
      <c r="AM3145" s="1115"/>
      <c r="AN3145" s="1115"/>
      <c r="AO3145" s="1115"/>
      <c r="AP3145" s="1115"/>
      <c r="AQ3145" s="1115"/>
      <c r="AR3145" s="1115"/>
      <c r="AS3145" s="1117"/>
      <c r="AT3145" s="1075"/>
      <c r="AU3145" s="1193"/>
      <c r="AV3145" s="330"/>
      <c r="AW3145" s="331"/>
      <c r="AX3145" s="331"/>
      <c r="AY3145" s="331"/>
      <c r="AZ3145" s="331"/>
      <c r="BA3145" s="331"/>
      <c r="BB3145" s="331"/>
      <c r="BC3145" s="331"/>
      <c r="BD3145" s="331"/>
      <c r="BE3145" s="333"/>
      <c r="BF3145" s="330"/>
      <c r="BG3145" s="333"/>
      <c r="BH3145" s="1119"/>
      <c r="BI3145" s="319"/>
      <c r="BJ3145" s="319"/>
      <c r="BK3145" s="319"/>
      <c r="BL3145" s="319"/>
      <c r="BM3145" s="319"/>
      <c r="BN3145" s="319"/>
      <c r="BO3145" s="319"/>
      <c r="BP3145" s="953"/>
      <c r="BQ3145" s="319"/>
      <c r="BR3145" s="319"/>
      <c r="BS3145" s="330"/>
      <c r="BT3145" s="331"/>
      <c r="BU3145" s="920"/>
      <c r="BV3145" s="903"/>
      <c r="BW3145" s="908"/>
      <c r="BX3145" s="908"/>
      <c r="BY3145" s="331"/>
      <c r="BZ3145" s="331"/>
      <c r="CA3145" s="462"/>
      <c r="CB3145" s="319"/>
      <c r="CC3145" s="319"/>
      <c r="CD3145" s="319"/>
      <c r="CE3145" s="319"/>
      <c r="CF3145" s="319"/>
      <c r="CG3145" s="319"/>
      <c r="CH3145" s="318"/>
      <c r="CI3145" s="319"/>
      <c r="CJ3145" s="319"/>
      <c r="CK3145" s="342"/>
      <c r="CL3145" s="333"/>
      <c r="CM3145" s="1079"/>
      <c r="CN3145" s="1005"/>
      <c r="CO3145" s="1005"/>
      <c r="CP3145" s="1005"/>
    </row>
    <row r="3146">
      <c r="A3146" s="1257"/>
      <c r="B3146" s="1113"/>
      <c r="C3146" s="1107"/>
      <c r="D3146" s="103"/>
      <c r="E3146" s="1137"/>
      <c r="F3146" s="112"/>
      <c r="G3146" s="1110"/>
      <c r="H3146" s="1138"/>
      <c r="I3146" s="1138"/>
      <c r="J3146" s="1139"/>
      <c r="K3146" s="1111"/>
      <c r="L3146" s="1112"/>
      <c r="M3146" s="1113"/>
      <c r="N3146" s="110"/>
      <c r="O3146" s="1140"/>
      <c r="P3146" s="1115"/>
      <c r="Q3146" s="1116"/>
      <c r="R3146" s="1141"/>
      <c r="S3146" s="1113"/>
      <c r="T3146" s="1143"/>
      <c r="U3146" s="1108"/>
      <c r="V3146" s="1108"/>
      <c r="W3146" s="1108"/>
      <c r="X3146" s="1108"/>
      <c r="Y3146" s="1108"/>
      <c r="Z3146" s="1114"/>
      <c r="AA3146" s="1114"/>
      <c r="AB3146" s="1114"/>
      <c r="AC3146" s="1117"/>
      <c r="AD3146" s="1115"/>
      <c r="AE3146" s="1115"/>
      <c r="AF3146" s="1115"/>
      <c r="AG3146" s="1115"/>
      <c r="AH3146" s="1115"/>
      <c r="AI3146" s="1115"/>
      <c r="AJ3146" s="1117"/>
      <c r="AK3146" s="1118"/>
      <c r="AL3146" s="1115"/>
      <c r="AM3146" s="1115"/>
      <c r="AN3146" s="1115"/>
      <c r="AO3146" s="1115"/>
      <c r="AP3146" s="1115"/>
      <c r="AQ3146" s="1115"/>
      <c r="AR3146" s="1115"/>
      <c r="AS3146" s="1117"/>
      <c r="AT3146" s="1075"/>
      <c r="AU3146" s="1193"/>
      <c r="AV3146" s="330"/>
      <c r="AW3146" s="331"/>
      <c r="AX3146" s="331"/>
      <c r="AY3146" s="331"/>
      <c r="AZ3146" s="331"/>
      <c r="BA3146" s="331"/>
      <c r="BB3146" s="331"/>
      <c r="BC3146" s="331"/>
      <c r="BD3146" s="331"/>
      <c r="BE3146" s="333"/>
      <c r="BF3146" s="330"/>
      <c r="BG3146" s="333"/>
      <c r="BH3146" s="1119"/>
      <c r="BI3146" s="319"/>
      <c r="BJ3146" s="319"/>
      <c r="BK3146" s="319"/>
      <c r="BL3146" s="319"/>
      <c r="BM3146" s="319"/>
      <c r="BN3146" s="319"/>
      <c r="BO3146" s="319"/>
      <c r="BP3146" s="953"/>
      <c r="BQ3146" s="319"/>
      <c r="BR3146" s="319"/>
      <c r="BS3146" s="330"/>
      <c r="BT3146" s="331"/>
      <c r="BU3146" s="920"/>
      <c r="BV3146" s="903"/>
      <c r="BW3146" s="908"/>
      <c r="BX3146" s="908"/>
      <c r="BY3146" s="331"/>
      <c r="BZ3146" s="331"/>
      <c r="CA3146" s="462"/>
      <c r="CB3146" s="319"/>
      <c r="CC3146" s="319"/>
      <c r="CD3146" s="319"/>
      <c r="CE3146" s="319"/>
      <c r="CF3146" s="319"/>
      <c r="CG3146" s="319"/>
      <c r="CH3146" s="318"/>
      <c r="CI3146" s="319"/>
      <c r="CJ3146" s="319"/>
      <c r="CK3146" s="342"/>
      <c r="CL3146" s="333"/>
      <c r="CM3146" s="1079"/>
      <c r="CN3146" s="1005"/>
      <c r="CO3146" s="1005"/>
      <c r="CP3146" s="1005"/>
    </row>
    <row r="3147">
      <c r="A3147" s="1257"/>
      <c r="B3147" s="1113"/>
      <c r="C3147" s="1107"/>
      <c r="D3147" s="103"/>
      <c r="E3147" s="1137"/>
      <c r="F3147" s="112"/>
      <c r="G3147" s="1110"/>
      <c r="H3147" s="1138"/>
      <c r="I3147" s="1138"/>
      <c r="J3147" s="1139"/>
      <c r="K3147" s="1111"/>
      <c r="L3147" s="1112"/>
      <c r="M3147" s="1113"/>
      <c r="N3147" s="110"/>
      <c r="O3147" s="1140"/>
      <c r="P3147" s="1115"/>
      <c r="Q3147" s="1116"/>
      <c r="R3147" s="1141"/>
      <c r="S3147" s="1113"/>
      <c r="T3147" s="1143"/>
      <c r="U3147" s="1108"/>
      <c r="V3147" s="1108"/>
      <c r="W3147" s="1108"/>
      <c r="X3147" s="1108"/>
      <c r="Y3147" s="1108"/>
      <c r="Z3147" s="1114"/>
      <c r="AA3147" s="1114"/>
      <c r="AB3147" s="1114"/>
      <c r="AC3147" s="1117"/>
      <c r="AD3147" s="1115"/>
      <c r="AE3147" s="1115"/>
      <c r="AF3147" s="1115"/>
      <c r="AG3147" s="1115"/>
      <c r="AH3147" s="1115"/>
      <c r="AI3147" s="1115"/>
      <c r="AJ3147" s="1117"/>
      <c r="AK3147" s="1118"/>
      <c r="AL3147" s="1115"/>
      <c r="AM3147" s="1115"/>
      <c r="AN3147" s="1115"/>
      <c r="AO3147" s="1115"/>
      <c r="AP3147" s="1115"/>
      <c r="AQ3147" s="1115"/>
      <c r="AR3147" s="1115"/>
      <c r="AS3147" s="1117"/>
      <c r="AT3147" s="1075"/>
      <c r="AU3147" s="1193"/>
      <c r="AV3147" s="330"/>
      <c r="AW3147" s="331"/>
      <c r="AX3147" s="331"/>
      <c r="AY3147" s="331"/>
      <c r="AZ3147" s="331"/>
      <c r="BA3147" s="331"/>
      <c r="BB3147" s="331"/>
      <c r="BC3147" s="331"/>
      <c r="BD3147" s="331"/>
      <c r="BE3147" s="333"/>
      <c r="BF3147" s="330"/>
      <c r="BG3147" s="333"/>
      <c r="BH3147" s="1119"/>
      <c r="BI3147" s="319"/>
      <c r="BJ3147" s="319"/>
      <c r="BK3147" s="319"/>
      <c r="BL3147" s="319"/>
      <c r="BM3147" s="319"/>
      <c r="BN3147" s="319"/>
      <c r="BO3147" s="319"/>
      <c r="BP3147" s="953"/>
      <c r="BQ3147" s="319"/>
      <c r="BR3147" s="319"/>
      <c r="BS3147" s="330"/>
      <c r="BT3147" s="331"/>
      <c r="BU3147" s="920"/>
      <c r="BV3147" s="903"/>
      <c r="BW3147" s="908"/>
      <c r="BX3147" s="908"/>
      <c r="BY3147" s="331"/>
      <c r="BZ3147" s="331"/>
      <c r="CA3147" s="462"/>
      <c r="CB3147" s="319"/>
      <c r="CC3147" s="319"/>
      <c r="CD3147" s="319"/>
      <c r="CE3147" s="319"/>
      <c r="CF3147" s="319"/>
      <c r="CG3147" s="319"/>
      <c r="CH3147" s="318"/>
      <c r="CI3147" s="319"/>
      <c r="CJ3147" s="319"/>
      <c r="CK3147" s="342"/>
      <c r="CL3147" s="333"/>
      <c r="CM3147" s="1079"/>
      <c r="CN3147" s="1005"/>
      <c r="CO3147" s="1005"/>
      <c r="CP3147" s="1005"/>
    </row>
    <row r="3148">
      <c r="A3148" s="1257"/>
      <c r="B3148" s="1113"/>
      <c r="C3148" s="1107"/>
      <c r="D3148" s="103"/>
      <c r="E3148" s="1137"/>
      <c r="F3148" s="112"/>
      <c r="G3148" s="1110"/>
      <c r="H3148" s="1138"/>
      <c r="I3148" s="1138"/>
      <c r="J3148" s="1139"/>
      <c r="K3148" s="1111"/>
      <c r="L3148" s="1112"/>
      <c r="M3148" s="1113"/>
      <c r="N3148" s="110"/>
      <c r="O3148" s="1140"/>
      <c r="P3148" s="1115"/>
      <c r="Q3148" s="1116"/>
      <c r="R3148" s="1141"/>
      <c r="S3148" s="1113"/>
      <c r="T3148" s="1143"/>
      <c r="U3148" s="1108"/>
      <c r="V3148" s="1108"/>
      <c r="W3148" s="1108"/>
      <c r="X3148" s="1108"/>
      <c r="Y3148" s="1108"/>
      <c r="Z3148" s="1114"/>
      <c r="AA3148" s="1114"/>
      <c r="AB3148" s="1114"/>
      <c r="AC3148" s="1117"/>
      <c r="AD3148" s="1115"/>
      <c r="AE3148" s="1115"/>
      <c r="AF3148" s="1115"/>
      <c r="AG3148" s="1115"/>
      <c r="AH3148" s="1115"/>
      <c r="AI3148" s="1115"/>
      <c r="AJ3148" s="1117"/>
      <c r="AK3148" s="1118"/>
      <c r="AL3148" s="1115"/>
      <c r="AM3148" s="1115"/>
      <c r="AN3148" s="1115"/>
      <c r="AO3148" s="1115"/>
      <c r="AP3148" s="1115"/>
      <c r="AQ3148" s="1115"/>
      <c r="AR3148" s="1115"/>
      <c r="AS3148" s="1117"/>
      <c r="AT3148" s="1075"/>
      <c r="AU3148" s="1193"/>
      <c r="AV3148" s="330"/>
      <c r="AW3148" s="331"/>
      <c r="AX3148" s="331"/>
      <c r="AY3148" s="331"/>
      <c r="AZ3148" s="331"/>
      <c r="BA3148" s="331"/>
      <c r="BB3148" s="331"/>
      <c r="BC3148" s="331"/>
      <c r="BD3148" s="331"/>
      <c r="BE3148" s="333"/>
      <c r="BF3148" s="330"/>
      <c r="BG3148" s="333"/>
      <c r="BH3148" s="1119"/>
      <c r="BI3148" s="319"/>
      <c r="BJ3148" s="319"/>
      <c r="BK3148" s="319"/>
      <c r="BL3148" s="319"/>
      <c r="BM3148" s="319"/>
      <c r="BN3148" s="319"/>
      <c r="BO3148" s="319"/>
      <c r="BP3148" s="953"/>
      <c r="BQ3148" s="319"/>
      <c r="BR3148" s="319"/>
      <c r="BS3148" s="330"/>
      <c r="BT3148" s="331"/>
      <c r="BU3148" s="920"/>
      <c r="BV3148" s="903"/>
      <c r="BW3148" s="908"/>
      <c r="BX3148" s="908"/>
      <c r="BY3148" s="331"/>
      <c r="BZ3148" s="331"/>
      <c r="CA3148" s="462"/>
      <c r="CB3148" s="319"/>
      <c r="CC3148" s="319"/>
      <c r="CD3148" s="319"/>
      <c r="CE3148" s="319"/>
      <c r="CF3148" s="319"/>
      <c r="CG3148" s="319"/>
      <c r="CH3148" s="318"/>
      <c r="CI3148" s="319"/>
      <c r="CJ3148" s="319"/>
      <c r="CK3148" s="342"/>
      <c r="CL3148" s="333"/>
      <c r="CM3148" s="1079"/>
      <c r="CN3148" s="1005"/>
      <c r="CO3148" s="1005"/>
      <c r="CP3148" s="1005"/>
    </row>
    <row r="3149">
      <c r="A3149" s="1257"/>
      <c r="B3149" s="1113"/>
      <c r="C3149" s="1107"/>
      <c r="D3149" s="103"/>
      <c r="E3149" s="1137"/>
      <c r="F3149" s="112"/>
      <c r="G3149" s="1110"/>
      <c r="H3149" s="1138"/>
      <c r="I3149" s="1138"/>
      <c r="J3149" s="1139"/>
      <c r="K3149" s="1111"/>
      <c r="L3149" s="1112"/>
      <c r="M3149" s="1113"/>
      <c r="N3149" s="110"/>
      <c r="O3149" s="1140"/>
      <c r="P3149" s="1115"/>
      <c r="Q3149" s="1116"/>
      <c r="R3149" s="1141"/>
      <c r="S3149" s="1113"/>
      <c r="T3149" s="1143"/>
      <c r="U3149" s="1108"/>
      <c r="V3149" s="1108"/>
      <c r="W3149" s="1108"/>
      <c r="X3149" s="1108"/>
      <c r="Y3149" s="1108"/>
      <c r="Z3149" s="1114"/>
      <c r="AA3149" s="1114"/>
      <c r="AB3149" s="1114"/>
      <c r="AC3149" s="1117"/>
      <c r="AD3149" s="1115"/>
      <c r="AE3149" s="1115"/>
      <c r="AF3149" s="1115"/>
      <c r="AG3149" s="1115"/>
      <c r="AH3149" s="1115"/>
      <c r="AI3149" s="1115"/>
      <c r="AJ3149" s="1117"/>
      <c r="AK3149" s="1118"/>
      <c r="AL3149" s="1115"/>
      <c r="AM3149" s="1115"/>
      <c r="AN3149" s="1115"/>
      <c r="AO3149" s="1115"/>
      <c r="AP3149" s="1115"/>
      <c r="AQ3149" s="1115"/>
      <c r="AR3149" s="1115"/>
      <c r="AS3149" s="1117"/>
      <c r="AT3149" s="1075"/>
      <c r="AU3149" s="1193"/>
      <c r="AV3149" s="330"/>
      <c r="AW3149" s="331"/>
      <c r="AX3149" s="331"/>
      <c r="AY3149" s="331"/>
      <c r="AZ3149" s="331"/>
      <c r="BA3149" s="331"/>
      <c r="BB3149" s="331"/>
      <c r="BC3149" s="331"/>
      <c r="BD3149" s="331"/>
      <c r="BE3149" s="333"/>
      <c r="BF3149" s="330"/>
      <c r="BG3149" s="333"/>
      <c r="BH3149" s="1119"/>
      <c r="BI3149" s="319"/>
      <c r="BJ3149" s="319"/>
      <c r="BK3149" s="319"/>
      <c r="BL3149" s="319"/>
      <c r="BM3149" s="319"/>
      <c r="BN3149" s="319"/>
      <c r="BO3149" s="319"/>
      <c r="BP3149" s="953"/>
      <c r="BQ3149" s="319"/>
      <c r="BR3149" s="319"/>
      <c r="BS3149" s="330"/>
      <c r="BT3149" s="331"/>
      <c r="BU3149" s="920"/>
      <c r="BV3149" s="903"/>
      <c r="BW3149" s="908"/>
      <c r="BX3149" s="908"/>
      <c r="BY3149" s="331"/>
      <c r="BZ3149" s="331"/>
      <c r="CA3149" s="462"/>
      <c r="CB3149" s="319"/>
      <c r="CC3149" s="319"/>
      <c r="CD3149" s="319"/>
      <c r="CE3149" s="319"/>
      <c r="CF3149" s="319"/>
      <c r="CG3149" s="319"/>
      <c r="CH3149" s="318"/>
      <c r="CI3149" s="319"/>
      <c r="CJ3149" s="319"/>
      <c r="CK3149" s="342"/>
      <c r="CL3149" s="333"/>
      <c r="CM3149" s="1079"/>
      <c r="CN3149" s="1005"/>
      <c r="CO3149" s="1005"/>
      <c r="CP3149" s="1005"/>
    </row>
    <row r="3150">
      <c r="A3150" s="1257"/>
      <c r="B3150" s="1113"/>
      <c r="C3150" s="1107"/>
      <c r="D3150" s="103"/>
      <c r="E3150" s="1137"/>
      <c r="F3150" s="112"/>
      <c r="G3150" s="1110"/>
      <c r="H3150" s="1138"/>
      <c r="I3150" s="1138"/>
      <c r="J3150" s="1139"/>
      <c r="K3150" s="1111"/>
      <c r="L3150" s="1112"/>
      <c r="M3150" s="1113"/>
      <c r="N3150" s="110"/>
      <c r="O3150" s="1140"/>
      <c r="P3150" s="1115"/>
      <c r="Q3150" s="1116"/>
      <c r="R3150" s="1141"/>
      <c r="S3150" s="1113"/>
      <c r="T3150" s="1143"/>
      <c r="U3150" s="1108"/>
      <c r="V3150" s="1108"/>
      <c r="W3150" s="1108"/>
      <c r="X3150" s="1108"/>
      <c r="Y3150" s="1108"/>
      <c r="Z3150" s="1114"/>
      <c r="AA3150" s="1114"/>
      <c r="AB3150" s="1114"/>
      <c r="AC3150" s="1117"/>
      <c r="AD3150" s="1115"/>
      <c r="AE3150" s="1115"/>
      <c r="AF3150" s="1115"/>
      <c r="AG3150" s="1115"/>
      <c r="AH3150" s="1115"/>
      <c r="AI3150" s="1115"/>
      <c r="AJ3150" s="1117"/>
      <c r="AK3150" s="1118"/>
      <c r="AL3150" s="1115"/>
      <c r="AM3150" s="1115"/>
      <c r="AN3150" s="1115"/>
      <c r="AO3150" s="1115"/>
      <c r="AP3150" s="1115"/>
      <c r="AQ3150" s="1115"/>
      <c r="AR3150" s="1115"/>
      <c r="AS3150" s="1117"/>
      <c r="AT3150" s="1075"/>
      <c r="AU3150" s="1193"/>
      <c r="AV3150" s="330"/>
      <c r="AW3150" s="331"/>
      <c r="AX3150" s="331"/>
      <c r="AY3150" s="331"/>
      <c r="AZ3150" s="331"/>
      <c r="BA3150" s="331"/>
      <c r="BB3150" s="331"/>
      <c r="BC3150" s="331"/>
      <c r="BD3150" s="331"/>
      <c r="BE3150" s="333"/>
      <c r="BF3150" s="330"/>
      <c r="BG3150" s="333"/>
      <c r="BH3150" s="1119"/>
      <c r="BI3150" s="319"/>
      <c r="BJ3150" s="319"/>
      <c r="BK3150" s="319"/>
      <c r="BL3150" s="319"/>
      <c r="BM3150" s="319"/>
      <c r="BN3150" s="319"/>
      <c r="BO3150" s="319"/>
      <c r="BP3150" s="953"/>
      <c r="BQ3150" s="319"/>
      <c r="BR3150" s="319"/>
      <c r="BS3150" s="330"/>
      <c r="BT3150" s="331"/>
      <c r="BU3150" s="920"/>
      <c r="BV3150" s="903"/>
      <c r="BW3150" s="908"/>
      <c r="BX3150" s="908"/>
      <c r="BY3150" s="331"/>
      <c r="BZ3150" s="331"/>
      <c r="CA3150" s="462"/>
      <c r="CB3150" s="319"/>
      <c r="CC3150" s="319"/>
      <c r="CD3150" s="319"/>
      <c r="CE3150" s="319"/>
      <c r="CF3150" s="319"/>
      <c r="CG3150" s="319"/>
      <c r="CH3150" s="318"/>
      <c r="CI3150" s="319"/>
      <c r="CJ3150" s="319"/>
      <c r="CK3150" s="342"/>
      <c r="CL3150" s="333"/>
      <c r="CM3150" s="1079"/>
      <c r="CN3150" s="1005"/>
      <c r="CO3150" s="1005"/>
      <c r="CP3150" s="1005"/>
    </row>
    <row r="3151">
      <c r="A3151" s="1257"/>
      <c r="B3151" s="1113"/>
      <c r="C3151" s="1107"/>
      <c r="D3151" s="103"/>
      <c r="E3151" s="1137"/>
      <c r="F3151" s="112"/>
      <c r="G3151" s="1110"/>
      <c r="H3151" s="1138"/>
      <c r="I3151" s="1138"/>
      <c r="J3151" s="1139"/>
      <c r="K3151" s="1111"/>
      <c r="L3151" s="1112"/>
      <c r="M3151" s="1113"/>
      <c r="N3151" s="110"/>
      <c r="O3151" s="1140"/>
      <c r="P3151" s="1115"/>
      <c r="Q3151" s="1116"/>
      <c r="R3151" s="1141"/>
      <c r="S3151" s="1113"/>
      <c r="T3151" s="1143"/>
      <c r="U3151" s="1108"/>
      <c r="V3151" s="1108"/>
      <c r="W3151" s="1108"/>
      <c r="X3151" s="1108"/>
      <c r="Y3151" s="1108"/>
      <c r="Z3151" s="1114"/>
      <c r="AA3151" s="1114"/>
      <c r="AB3151" s="1114"/>
      <c r="AC3151" s="1117"/>
      <c r="AD3151" s="1115"/>
      <c r="AE3151" s="1115"/>
      <c r="AF3151" s="1115"/>
      <c r="AG3151" s="1115"/>
      <c r="AH3151" s="1115"/>
      <c r="AI3151" s="1115"/>
      <c r="AJ3151" s="1117"/>
      <c r="AK3151" s="1118"/>
      <c r="AL3151" s="1115"/>
      <c r="AM3151" s="1115"/>
      <c r="AN3151" s="1115"/>
      <c r="AO3151" s="1115"/>
      <c r="AP3151" s="1115"/>
      <c r="AQ3151" s="1115"/>
      <c r="AR3151" s="1115"/>
      <c r="AS3151" s="1117"/>
      <c r="AT3151" s="1075"/>
      <c r="AU3151" s="1193"/>
      <c r="AV3151" s="330"/>
      <c r="AW3151" s="331"/>
      <c r="AX3151" s="331"/>
      <c r="AY3151" s="331"/>
      <c r="AZ3151" s="331"/>
      <c r="BA3151" s="331"/>
      <c r="BB3151" s="331"/>
      <c r="BC3151" s="331"/>
      <c r="BD3151" s="331"/>
      <c r="BE3151" s="333"/>
      <c r="BF3151" s="330"/>
      <c r="BG3151" s="333"/>
      <c r="BH3151" s="1119"/>
      <c r="BI3151" s="319"/>
      <c r="BJ3151" s="319"/>
      <c r="BK3151" s="319"/>
      <c r="BL3151" s="319"/>
      <c r="BM3151" s="319"/>
      <c r="BN3151" s="319"/>
      <c r="BO3151" s="319"/>
      <c r="BP3151" s="953"/>
      <c r="BQ3151" s="319"/>
      <c r="BR3151" s="319"/>
      <c r="BS3151" s="330"/>
      <c r="BT3151" s="331"/>
      <c r="BU3151" s="920"/>
      <c r="BV3151" s="903"/>
      <c r="BW3151" s="908"/>
      <c r="BX3151" s="908"/>
      <c r="BY3151" s="331"/>
      <c r="BZ3151" s="331"/>
      <c r="CA3151" s="462"/>
      <c r="CB3151" s="319"/>
      <c r="CC3151" s="319"/>
      <c r="CD3151" s="319"/>
      <c r="CE3151" s="319"/>
      <c r="CF3151" s="319"/>
      <c r="CG3151" s="319"/>
      <c r="CH3151" s="318"/>
      <c r="CI3151" s="319"/>
      <c r="CJ3151" s="319"/>
      <c r="CK3151" s="342"/>
      <c r="CL3151" s="333"/>
      <c r="CM3151" s="1079"/>
      <c r="CN3151" s="1005"/>
      <c r="CO3151" s="1005"/>
      <c r="CP3151" s="1005"/>
    </row>
    <row r="3152">
      <c r="A3152" s="1257"/>
      <c r="B3152" s="1113"/>
      <c r="C3152" s="1107"/>
      <c r="D3152" s="103"/>
      <c r="E3152" s="1137"/>
      <c r="F3152" s="112"/>
      <c r="G3152" s="1110"/>
      <c r="H3152" s="1138"/>
      <c r="I3152" s="1138"/>
      <c r="J3152" s="1139"/>
      <c r="K3152" s="1111"/>
      <c r="L3152" s="1112"/>
      <c r="M3152" s="1113"/>
      <c r="N3152" s="110"/>
      <c r="O3152" s="1140"/>
      <c r="P3152" s="1115"/>
      <c r="Q3152" s="1116"/>
      <c r="R3152" s="1141"/>
      <c r="S3152" s="1113"/>
      <c r="T3152" s="1143"/>
      <c r="U3152" s="1108"/>
      <c r="V3152" s="1108"/>
      <c r="W3152" s="1108"/>
      <c r="X3152" s="1108"/>
      <c r="Y3152" s="1108"/>
      <c r="Z3152" s="1114"/>
      <c r="AA3152" s="1114"/>
      <c r="AB3152" s="1114"/>
      <c r="AC3152" s="1117"/>
      <c r="AD3152" s="1115"/>
      <c r="AE3152" s="1115"/>
      <c r="AF3152" s="1115"/>
      <c r="AG3152" s="1115"/>
      <c r="AH3152" s="1115"/>
      <c r="AI3152" s="1115"/>
      <c r="AJ3152" s="1117"/>
      <c r="AK3152" s="1118"/>
      <c r="AL3152" s="1115"/>
      <c r="AM3152" s="1115"/>
      <c r="AN3152" s="1115"/>
      <c r="AO3152" s="1115"/>
      <c r="AP3152" s="1115"/>
      <c r="AQ3152" s="1115"/>
      <c r="AR3152" s="1115"/>
      <c r="AS3152" s="1117"/>
      <c r="AT3152" s="1075"/>
      <c r="AU3152" s="1193"/>
      <c r="AV3152" s="330"/>
      <c r="AW3152" s="331"/>
      <c r="AX3152" s="331"/>
      <c r="AY3152" s="331"/>
      <c r="AZ3152" s="331"/>
      <c r="BA3152" s="331"/>
      <c r="BB3152" s="331"/>
      <c r="BC3152" s="331"/>
      <c r="BD3152" s="331"/>
      <c r="BE3152" s="333"/>
      <c r="BF3152" s="330"/>
      <c r="BG3152" s="333"/>
      <c r="BH3152" s="1119"/>
      <c r="BI3152" s="319"/>
      <c r="BJ3152" s="319"/>
      <c r="BK3152" s="319"/>
      <c r="BL3152" s="319"/>
      <c r="BM3152" s="319"/>
      <c r="BN3152" s="319"/>
      <c r="BO3152" s="319"/>
      <c r="BP3152" s="953"/>
      <c r="BQ3152" s="319"/>
      <c r="BR3152" s="319"/>
      <c r="BS3152" s="330"/>
      <c r="BT3152" s="331"/>
      <c r="BU3152" s="920"/>
      <c r="BV3152" s="903"/>
      <c r="BW3152" s="908"/>
      <c r="BX3152" s="908"/>
      <c r="BY3152" s="331"/>
      <c r="BZ3152" s="331"/>
      <c r="CA3152" s="462"/>
      <c r="CB3152" s="319"/>
      <c r="CC3152" s="319"/>
      <c r="CD3152" s="319"/>
      <c r="CE3152" s="319"/>
      <c r="CF3152" s="319"/>
      <c r="CG3152" s="319"/>
      <c r="CH3152" s="318"/>
      <c r="CI3152" s="319"/>
      <c r="CJ3152" s="319"/>
      <c r="CK3152" s="342"/>
      <c r="CL3152" s="333"/>
      <c r="CM3152" s="1079"/>
      <c r="CN3152" s="1005"/>
      <c r="CO3152" s="1005"/>
      <c r="CP3152" s="1005"/>
    </row>
    <row r="3153">
      <c r="A3153" s="1257"/>
      <c r="B3153" s="1113"/>
      <c r="C3153" s="1107"/>
      <c r="D3153" s="103"/>
      <c r="E3153" s="1137"/>
      <c r="F3153" s="112"/>
      <c r="G3153" s="1110"/>
      <c r="H3153" s="1138"/>
      <c r="I3153" s="1138"/>
      <c r="J3153" s="1139"/>
      <c r="K3153" s="1111"/>
      <c r="L3153" s="1112"/>
      <c r="M3153" s="1113"/>
      <c r="N3153" s="110"/>
      <c r="O3153" s="1140"/>
      <c r="P3153" s="1115"/>
      <c r="Q3153" s="1116"/>
      <c r="R3153" s="1141"/>
      <c r="S3153" s="1113"/>
      <c r="T3153" s="1143"/>
      <c r="U3153" s="1108"/>
      <c r="V3153" s="1108"/>
      <c r="W3153" s="1108"/>
      <c r="X3153" s="1108"/>
      <c r="Y3153" s="1108"/>
      <c r="Z3153" s="1114"/>
      <c r="AA3153" s="1114"/>
      <c r="AB3153" s="1114"/>
      <c r="AC3153" s="1117"/>
      <c r="AD3153" s="1115"/>
      <c r="AE3153" s="1115"/>
      <c r="AF3153" s="1115"/>
      <c r="AG3153" s="1115"/>
      <c r="AH3153" s="1115"/>
      <c r="AI3153" s="1115"/>
      <c r="AJ3153" s="1117"/>
      <c r="AK3153" s="1118"/>
      <c r="AL3153" s="1115"/>
      <c r="AM3153" s="1115"/>
      <c r="AN3153" s="1115"/>
      <c r="AO3153" s="1115"/>
      <c r="AP3153" s="1115"/>
      <c r="AQ3153" s="1115"/>
      <c r="AR3153" s="1115"/>
      <c r="AS3153" s="1117"/>
      <c r="AT3153" s="1075"/>
      <c r="AU3153" s="1193"/>
      <c r="AV3153" s="330"/>
      <c r="AW3153" s="331"/>
      <c r="AX3153" s="331"/>
      <c r="AY3153" s="331"/>
      <c r="AZ3153" s="331"/>
      <c r="BA3153" s="331"/>
      <c r="BB3153" s="331"/>
      <c r="BC3153" s="331"/>
      <c r="BD3153" s="331"/>
      <c r="BE3153" s="333"/>
      <c r="BF3153" s="330"/>
      <c r="BG3153" s="333"/>
      <c r="BH3153" s="1119"/>
      <c r="BI3153" s="319"/>
      <c r="BJ3153" s="319"/>
      <c r="BK3153" s="319"/>
      <c r="BL3153" s="319"/>
      <c r="BM3153" s="319"/>
      <c r="BN3153" s="319"/>
      <c r="BO3153" s="319"/>
      <c r="BP3153" s="953"/>
      <c r="BQ3153" s="319"/>
      <c r="BR3153" s="319"/>
      <c r="BS3153" s="330"/>
      <c r="BT3153" s="331"/>
      <c r="BU3153" s="920"/>
      <c r="BV3153" s="903"/>
      <c r="BW3153" s="908"/>
      <c r="BX3153" s="908"/>
      <c r="BY3153" s="331"/>
      <c r="BZ3153" s="331"/>
      <c r="CA3153" s="462"/>
      <c r="CB3153" s="319"/>
      <c r="CC3153" s="319"/>
      <c r="CD3153" s="319"/>
      <c r="CE3153" s="319"/>
      <c r="CF3153" s="319"/>
      <c r="CG3153" s="319"/>
      <c r="CH3153" s="318"/>
      <c r="CI3153" s="319"/>
      <c r="CJ3153" s="319"/>
      <c r="CK3153" s="342"/>
      <c r="CL3153" s="333"/>
      <c r="CM3153" s="1079"/>
      <c r="CN3153" s="1005"/>
      <c r="CO3153" s="1005"/>
      <c r="CP3153" s="1005"/>
    </row>
    <row r="3154">
      <c r="A3154" s="1257"/>
      <c r="B3154" s="1113"/>
      <c r="C3154" s="1107"/>
      <c r="D3154" s="103"/>
      <c r="E3154" s="1137"/>
      <c r="F3154" s="112"/>
      <c r="G3154" s="1110"/>
      <c r="H3154" s="1138"/>
      <c r="I3154" s="1138"/>
      <c r="J3154" s="1139"/>
      <c r="K3154" s="1111"/>
      <c r="L3154" s="1112"/>
      <c r="M3154" s="1113"/>
      <c r="N3154" s="110"/>
      <c r="O3154" s="1140"/>
      <c r="P3154" s="1115"/>
      <c r="Q3154" s="1116"/>
      <c r="R3154" s="1141"/>
      <c r="S3154" s="1113"/>
      <c r="T3154" s="1143"/>
      <c r="U3154" s="1108"/>
      <c r="V3154" s="1108"/>
      <c r="W3154" s="1108"/>
      <c r="X3154" s="1108"/>
      <c r="Y3154" s="1108"/>
      <c r="Z3154" s="1114"/>
      <c r="AA3154" s="1114"/>
      <c r="AB3154" s="1114"/>
      <c r="AC3154" s="1117"/>
      <c r="AD3154" s="1115"/>
      <c r="AE3154" s="1115"/>
      <c r="AF3154" s="1115"/>
      <c r="AG3154" s="1115"/>
      <c r="AH3154" s="1115"/>
      <c r="AI3154" s="1115"/>
      <c r="AJ3154" s="1117"/>
      <c r="AK3154" s="1118"/>
      <c r="AL3154" s="1115"/>
      <c r="AM3154" s="1115"/>
      <c r="AN3154" s="1115"/>
      <c r="AO3154" s="1115"/>
      <c r="AP3154" s="1115"/>
      <c r="AQ3154" s="1115"/>
      <c r="AR3154" s="1115"/>
      <c r="AS3154" s="1117"/>
      <c r="AT3154" s="1075"/>
      <c r="AU3154" s="1193"/>
      <c r="AV3154" s="330"/>
      <c r="AW3154" s="331"/>
      <c r="AX3154" s="331"/>
      <c r="AY3154" s="331"/>
      <c r="AZ3154" s="331"/>
      <c r="BA3154" s="331"/>
      <c r="BB3154" s="331"/>
      <c r="BC3154" s="331"/>
      <c r="BD3154" s="331"/>
      <c r="BE3154" s="333"/>
      <c r="BF3154" s="330"/>
      <c r="BG3154" s="333"/>
      <c r="BH3154" s="1119"/>
      <c r="BI3154" s="319"/>
      <c r="BJ3154" s="319"/>
      <c r="BK3154" s="319"/>
      <c r="BL3154" s="319"/>
      <c r="BM3154" s="319"/>
      <c r="BN3154" s="319"/>
      <c r="BO3154" s="319"/>
      <c r="BP3154" s="953"/>
      <c r="BQ3154" s="319"/>
      <c r="BR3154" s="319"/>
      <c r="BS3154" s="330"/>
      <c r="BT3154" s="331"/>
      <c r="BU3154" s="920"/>
      <c r="BV3154" s="903"/>
      <c r="BW3154" s="908"/>
      <c r="BX3154" s="908"/>
      <c r="BY3154" s="331"/>
      <c r="BZ3154" s="331"/>
      <c r="CA3154" s="462"/>
      <c r="CB3154" s="319"/>
      <c r="CC3154" s="319"/>
      <c r="CD3154" s="319"/>
      <c r="CE3154" s="319"/>
      <c r="CF3154" s="319"/>
      <c r="CG3154" s="319"/>
      <c r="CH3154" s="318"/>
      <c r="CI3154" s="319"/>
      <c r="CJ3154" s="319"/>
      <c r="CK3154" s="342"/>
      <c r="CL3154" s="333"/>
      <c r="CM3154" s="1079"/>
      <c r="CN3154" s="1005"/>
      <c r="CO3154" s="1005"/>
      <c r="CP3154" s="1005"/>
    </row>
    <row r="3155">
      <c r="A3155" s="1257"/>
      <c r="B3155" s="1113"/>
      <c r="C3155" s="1107"/>
      <c r="D3155" s="103"/>
      <c r="E3155" s="1137"/>
      <c r="F3155" s="112"/>
      <c r="G3155" s="1110"/>
      <c r="H3155" s="1138"/>
      <c r="I3155" s="1138"/>
      <c r="J3155" s="1139"/>
      <c r="K3155" s="1111"/>
      <c r="L3155" s="1112"/>
      <c r="M3155" s="1113"/>
      <c r="N3155" s="110"/>
      <c r="O3155" s="1140"/>
      <c r="P3155" s="1115"/>
      <c r="Q3155" s="1116"/>
      <c r="R3155" s="1141"/>
      <c r="S3155" s="1113"/>
      <c r="T3155" s="1143"/>
      <c r="U3155" s="1108"/>
      <c r="V3155" s="1108"/>
      <c r="W3155" s="1108"/>
      <c r="X3155" s="1108"/>
      <c r="Y3155" s="1108"/>
      <c r="Z3155" s="1114"/>
      <c r="AA3155" s="1114"/>
      <c r="AB3155" s="1114"/>
      <c r="AC3155" s="1117"/>
      <c r="AD3155" s="1115"/>
      <c r="AE3155" s="1115"/>
      <c r="AF3155" s="1115"/>
      <c r="AG3155" s="1115"/>
      <c r="AH3155" s="1115"/>
      <c r="AI3155" s="1115"/>
      <c r="AJ3155" s="1117"/>
      <c r="AK3155" s="1118"/>
      <c r="AL3155" s="1115"/>
      <c r="AM3155" s="1115"/>
      <c r="AN3155" s="1115"/>
      <c r="AO3155" s="1115"/>
      <c r="AP3155" s="1115"/>
      <c r="AQ3155" s="1115"/>
      <c r="AR3155" s="1115"/>
      <c r="AS3155" s="1117"/>
      <c r="AT3155" s="1075"/>
      <c r="AU3155" s="1193"/>
      <c r="AV3155" s="330"/>
      <c r="AW3155" s="331"/>
      <c r="AX3155" s="331"/>
      <c r="AY3155" s="331"/>
      <c r="AZ3155" s="331"/>
      <c r="BA3155" s="331"/>
      <c r="BB3155" s="331"/>
      <c r="BC3155" s="331"/>
      <c r="BD3155" s="331"/>
      <c r="BE3155" s="333"/>
      <c r="BF3155" s="330"/>
      <c r="BG3155" s="333"/>
      <c r="BH3155" s="1119"/>
      <c r="BI3155" s="319"/>
      <c r="BJ3155" s="319"/>
      <c r="BK3155" s="319"/>
      <c r="BL3155" s="319"/>
      <c r="BM3155" s="319"/>
      <c r="BN3155" s="319"/>
      <c r="BO3155" s="319"/>
      <c r="BP3155" s="953"/>
      <c r="BQ3155" s="319"/>
      <c r="BR3155" s="319"/>
      <c r="BS3155" s="330"/>
      <c r="BT3155" s="331"/>
      <c r="BU3155" s="920"/>
      <c r="BV3155" s="903"/>
      <c r="BW3155" s="908"/>
      <c r="BX3155" s="908"/>
      <c r="BY3155" s="331"/>
      <c r="BZ3155" s="331"/>
      <c r="CA3155" s="462"/>
      <c r="CB3155" s="319"/>
      <c r="CC3155" s="319"/>
      <c r="CD3155" s="319"/>
      <c r="CE3155" s="319"/>
      <c r="CF3155" s="319"/>
      <c r="CG3155" s="319"/>
      <c r="CH3155" s="318"/>
      <c r="CI3155" s="319"/>
      <c r="CJ3155" s="319"/>
      <c r="CK3155" s="342"/>
      <c r="CL3155" s="333"/>
      <c r="CM3155" s="1079"/>
      <c r="CN3155" s="1005"/>
      <c r="CO3155" s="1005"/>
      <c r="CP3155" s="1005"/>
    </row>
    <row r="3156">
      <c r="A3156" s="1257"/>
      <c r="B3156" s="1113"/>
      <c r="C3156" s="1107"/>
      <c r="D3156" s="103"/>
      <c r="E3156" s="1137"/>
      <c r="F3156" s="112"/>
      <c r="G3156" s="1110"/>
      <c r="H3156" s="1138"/>
      <c r="I3156" s="1138"/>
      <c r="J3156" s="1139"/>
      <c r="K3156" s="1111"/>
      <c r="L3156" s="1112"/>
      <c r="M3156" s="1113"/>
      <c r="N3156" s="110"/>
      <c r="O3156" s="1140"/>
      <c r="P3156" s="1115"/>
      <c r="Q3156" s="1116"/>
      <c r="R3156" s="1141"/>
      <c r="S3156" s="1113"/>
      <c r="T3156" s="1143"/>
      <c r="U3156" s="1108"/>
      <c r="V3156" s="1108"/>
      <c r="W3156" s="1108"/>
      <c r="X3156" s="1108"/>
      <c r="Y3156" s="1108"/>
      <c r="Z3156" s="1114"/>
      <c r="AA3156" s="1114"/>
      <c r="AB3156" s="1114"/>
      <c r="AC3156" s="1117"/>
      <c r="AD3156" s="1115"/>
      <c r="AE3156" s="1115"/>
      <c r="AF3156" s="1115"/>
      <c r="AG3156" s="1115"/>
      <c r="AH3156" s="1115"/>
      <c r="AI3156" s="1115"/>
      <c r="AJ3156" s="1117"/>
      <c r="AK3156" s="1118"/>
      <c r="AL3156" s="1115"/>
      <c r="AM3156" s="1115"/>
      <c r="AN3156" s="1115"/>
      <c r="AO3156" s="1115"/>
      <c r="AP3156" s="1115"/>
      <c r="AQ3156" s="1115"/>
      <c r="AR3156" s="1115"/>
      <c r="AS3156" s="1117"/>
      <c r="AT3156" s="1075"/>
      <c r="AU3156" s="1193"/>
      <c r="AV3156" s="330"/>
      <c r="AW3156" s="331"/>
      <c r="AX3156" s="331"/>
      <c r="AY3156" s="331"/>
      <c r="AZ3156" s="331"/>
      <c r="BA3156" s="331"/>
      <c r="BB3156" s="331"/>
      <c r="BC3156" s="331"/>
      <c r="BD3156" s="331"/>
      <c r="BE3156" s="333"/>
      <c r="BF3156" s="330"/>
      <c r="BG3156" s="333"/>
      <c r="BH3156" s="1119"/>
      <c r="BI3156" s="319"/>
      <c r="BJ3156" s="319"/>
      <c r="BK3156" s="319"/>
      <c r="BL3156" s="319"/>
      <c r="BM3156" s="319"/>
      <c r="BN3156" s="319"/>
      <c r="BO3156" s="319"/>
      <c r="BP3156" s="953"/>
      <c r="BQ3156" s="319"/>
      <c r="BR3156" s="319"/>
      <c r="BS3156" s="330"/>
      <c r="BT3156" s="331"/>
      <c r="BU3156" s="920"/>
      <c r="BV3156" s="903"/>
      <c r="BW3156" s="908"/>
      <c r="BX3156" s="908"/>
      <c r="BY3156" s="331"/>
      <c r="BZ3156" s="331"/>
      <c r="CA3156" s="462"/>
      <c r="CB3156" s="319"/>
      <c r="CC3156" s="319"/>
      <c r="CD3156" s="319"/>
      <c r="CE3156" s="319"/>
      <c r="CF3156" s="319"/>
      <c r="CG3156" s="319"/>
      <c r="CH3156" s="318"/>
      <c r="CI3156" s="319"/>
      <c r="CJ3156" s="319"/>
      <c r="CK3156" s="342"/>
      <c r="CL3156" s="333"/>
      <c r="CM3156" s="1079"/>
      <c r="CN3156" s="1005"/>
      <c r="CO3156" s="1005"/>
      <c r="CP3156" s="1005"/>
    </row>
    <row r="3157">
      <c r="A3157" s="1257"/>
      <c r="B3157" s="1113"/>
      <c r="C3157" s="1107"/>
      <c r="D3157" s="103"/>
      <c r="E3157" s="1137"/>
      <c r="F3157" s="112"/>
      <c r="G3157" s="1110"/>
      <c r="H3157" s="1138"/>
      <c r="I3157" s="1138"/>
      <c r="J3157" s="1139"/>
      <c r="K3157" s="1111"/>
      <c r="L3157" s="1112"/>
      <c r="M3157" s="1113"/>
      <c r="N3157" s="110"/>
      <c r="O3157" s="1140"/>
      <c r="P3157" s="1115"/>
      <c r="Q3157" s="1116"/>
      <c r="R3157" s="1141"/>
      <c r="S3157" s="1113"/>
      <c r="T3157" s="1143"/>
      <c r="U3157" s="1108"/>
      <c r="V3157" s="1108"/>
      <c r="W3157" s="1108"/>
      <c r="X3157" s="1108"/>
      <c r="Y3157" s="1108"/>
      <c r="Z3157" s="1114"/>
      <c r="AA3157" s="1114"/>
      <c r="AB3157" s="1114"/>
      <c r="AC3157" s="1117"/>
      <c r="AD3157" s="1115"/>
      <c r="AE3157" s="1115"/>
      <c r="AF3157" s="1115"/>
      <c r="AG3157" s="1115"/>
      <c r="AH3157" s="1115"/>
      <c r="AI3157" s="1115"/>
      <c r="AJ3157" s="1117"/>
      <c r="AK3157" s="1118"/>
      <c r="AL3157" s="1115"/>
      <c r="AM3157" s="1115"/>
      <c r="AN3157" s="1115"/>
      <c r="AO3157" s="1115"/>
      <c r="AP3157" s="1115"/>
      <c r="AQ3157" s="1115"/>
      <c r="AR3157" s="1115"/>
      <c r="AS3157" s="1117"/>
      <c r="AT3157" s="1075"/>
      <c r="AU3157" s="1193"/>
      <c r="AV3157" s="330"/>
      <c r="AW3157" s="331"/>
      <c r="AX3157" s="331"/>
      <c r="AY3157" s="331"/>
      <c r="AZ3157" s="331"/>
      <c r="BA3157" s="331"/>
      <c r="BB3157" s="331"/>
      <c r="BC3157" s="331"/>
      <c r="BD3157" s="331"/>
      <c r="BE3157" s="333"/>
      <c r="BF3157" s="330"/>
      <c r="BG3157" s="333"/>
      <c r="BH3157" s="1119"/>
      <c r="BI3157" s="319"/>
      <c r="BJ3157" s="319"/>
      <c r="BK3157" s="319"/>
      <c r="BL3157" s="319"/>
      <c r="BM3157" s="319"/>
      <c r="BN3157" s="319"/>
      <c r="BO3157" s="319"/>
      <c r="BP3157" s="953"/>
      <c r="BQ3157" s="319"/>
      <c r="BR3157" s="319"/>
      <c r="BS3157" s="330"/>
      <c r="BT3157" s="331"/>
      <c r="BU3157" s="920"/>
      <c r="BV3157" s="903"/>
      <c r="BW3157" s="908"/>
      <c r="BX3157" s="908"/>
      <c r="BY3157" s="331"/>
      <c r="BZ3157" s="331"/>
      <c r="CA3157" s="462"/>
      <c r="CB3157" s="319"/>
      <c r="CC3157" s="319"/>
      <c r="CD3157" s="319"/>
      <c r="CE3157" s="319"/>
      <c r="CF3157" s="319"/>
      <c r="CG3157" s="319"/>
      <c r="CH3157" s="318"/>
      <c r="CI3157" s="319"/>
      <c r="CJ3157" s="319"/>
      <c r="CK3157" s="342"/>
      <c r="CL3157" s="333"/>
      <c r="CM3157" s="1079"/>
      <c r="CN3157" s="1005"/>
      <c r="CO3157" s="1005"/>
      <c r="CP3157" s="1005"/>
    </row>
    <row r="3158">
      <c r="A3158" s="1257"/>
      <c r="B3158" s="1113"/>
      <c r="C3158" s="1107"/>
      <c r="D3158" s="103"/>
      <c r="E3158" s="1137"/>
      <c r="F3158" s="112"/>
      <c r="G3158" s="1110"/>
      <c r="H3158" s="1138"/>
      <c r="I3158" s="1138"/>
      <c r="J3158" s="1139"/>
      <c r="K3158" s="1111"/>
      <c r="L3158" s="1112"/>
      <c r="M3158" s="1113"/>
      <c r="N3158" s="110"/>
      <c r="O3158" s="1140"/>
      <c r="P3158" s="1115"/>
      <c r="Q3158" s="1116"/>
      <c r="R3158" s="1141"/>
      <c r="S3158" s="1113"/>
      <c r="T3158" s="1143"/>
      <c r="U3158" s="1108"/>
      <c r="V3158" s="1108"/>
      <c r="W3158" s="1108"/>
      <c r="X3158" s="1108"/>
      <c r="Y3158" s="1108"/>
      <c r="Z3158" s="1114"/>
      <c r="AA3158" s="1114"/>
      <c r="AB3158" s="1114"/>
      <c r="AC3158" s="1117"/>
      <c r="AD3158" s="1115"/>
      <c r="AE3158" s="1115"/>
      <c r="AF3158" s="1115"/>
      <c r="AG3158" s="1115"/>
      <c r="AH3158" s="1115"/>
      <c r="AI3158" s="1115"/>
      <c r="AJ3158" s="1117"/>
      <c r="AK3158" s="1118"/>
      <c r="AL3158" s="1115"/>
      <c r="AM3158" s="1115"/>
      <c r="AN3158" s="1115"/>
      <c r="AO3158" s="1115"/>
      <c r="AP3158" s="1115"/>
      <c r="AQ3158" s="1115"/>
      <c r="AR3158" s="1115"/>
      <c r="AS3158" s="1117"/>
      <c r="AT3158" s="1075"/>
      <c r="AU3158" s="1193"/>
      <c r="AV3158" s="330"/>
      <c r="AW3158" s="331"/>
      <c r="AX3158" s="331"/>
      <c r="AY3158" s="331"/>
      <c r="AZ3158" s="331"/>
      <c r="BA3158" s="331"/>
      <c r="BB3158" s="331"/>
      <c r="BC3158" s="331"/>
      <c r="BD3158" s="331"/>
      <c r="BE3158" s="333"/>
      <c r="BF3158" s="330"/>
      <c r="BG3158" s="333"/>
      <c r="BH3158" s="1119"/>
      <c r="BI3158" s="319"/>
      <c r="BJ3158" s="319"/>
      <c r="BK3158" s="319"/>
      <c r="BL3158" s="319"/>
      <c r="BM3158" s="319"/>
      <c r="BN3158" s="319"/>
      <c r="BO3158" s="319"/>
      <c r="BP3158" s="953"/>
      <c r="BQ3158" s="319"/>
      <c r="BR3158" s="319"/>
      <c r="BS3158" s="330"/>
      <c r="BT3158" s="331"/>
      <c r="BU3158" s="920"/>
      <c r="BV3158" s="903"/>
      <c r="BW3158" s="908"/>
      <c r="BX3158" s="908"/>
      <c r="BY3158" s="331"/>
      <c r="BZ3158" s="331"/>
      <c r="CA3158" s="462"/>
      <c r="CB3158" s="319"/>
      <c r="CC3158" s="319"/>
      <c r="CD3158" s="319"/>
      <c r="CE3158" s="319"/>
      <c r="CF3158" s="319"/>
      <c r="CG3158" s="319"/>
      <c r="CH3158" s="318"/>
      <c r="CI3158" s="319"/>
      <c r="CJ3158" s="319"/>
      <c r="CK3158" s="342"/>
      <c r="CL3158" s="333"/>
      <c r="CM3158" s="1079"/>
      <c r="CN3158" s="1005"/>
      <c r="CO3158" s="1005"/>
      <c r="CP3158" s="1005"/>
    </row>
    <row r="3159">
      <c r="A3159" s="1257"/>
      <c r="B3159" s="1113"/>
      <c r="C3159" s="1107"/>
      <c r="D3159" s="103"/>
      <c r="E3159" s="1137"/>
      <c r="F3159" s="112"/>
      <c r="G3159" s="1110"/>
      <c r="H3159" s="1138"/>
      <c r="I3159" s="1138"/>
      <c r="J3159" s="1139"/>
      <c r="K3159" s="1111"/>
      <c r="L3159" s="1112"/>
      <c r="M3159" s="1113"/>
      <c r="N3159" s="110"/>
      <c r="O3159" s="1140"/>
      <c r="P3159" s="1115"/>
      <c r="Q3159" s="1116"/>
      <c r="R3159" s="1141"/>
      <c r="S3159" s="1113"/>
      <c r="T3159" s="1143"/>
      <c r="U3159" s="1108"/>
      <c r="V3159" s="1108"/>
      <c r="W3159" s="1108"/>
      <c r="X3159" s="1108"/>
      <c r="Y3159" s="1108"/>
      <c r="Z3159" s="1114"/>
      <c r="AA3159" s="1114"/>
      <c r="AB3159" s="1114"/>
      <c r="AC3159" s="1117"/>
      <c r="AD3159" s="1115"/>
      <c r="AE3159" s="1115"/>
      <c r="AF3159" s="1115"/>
      <c r="AG3159" s="1115"/>
      <c r="AH3159" s="1115"/>
      <c r="AI3159" s="1115"/>
      <c r="AJ3159" s="1117"/>
      <c r="AK3159" s="1118"/>
      <c r="AL3159" s="1115"/>
      <c r="AM3159" s="1115"/>
      <c r="AN3159" s="1115"/>
      <c r="AO3159" s="1115"/>
      <c r="AP3159" s="1115"/>
      <c r="AQ3159" s="1115"/>
      <c r="AR3159" s="1115"/>
      <c r="AS3159" s="1117"/>
      <c r="AT3159" s="1075"/>
      <c r="AU3159" s="1193"/>
      <c r="AV3159" s="330"/>
      <c r="AW3159" s="331"/>
      <c r="AX3159" s="331"/>
      <c r="AY3159" s="331"/>
      <c r="AZ3159" s="331"/>
      <c r="BA3159" s="331"/>
      <c r="BB3159" s="331"/>
      <c r="BC3159" s="331"/>
      <c r="BD3159" s="331"/>
      <c r="BE3159" s="333"/>
      <c r="BF3159" s="330"/>
      <c r="BG3159" s="333"/>
      <c r="BH3159" s="1119"/>
      <c r="BI3159" s="319"/>
      <c r="BJ3159" s="319"/>
      <c r="BK3159" s="319"/>
      <c r="BL3159" s="319"/>
      <c r="BM3159" s="319"/>
      <c r="BN3159" s="319"/>
      <c r="BO3159" s="319"/>
      <c r="BP3159" s="953"/>
      <c r="BQ3159" s="319"/>
      <c r="BR3159" s="319"/>
      <c r="BS3159" s="330"/>
      <c r="BT3159" s="331"/>
      <c r="BU3159" s="920"/>
      <c r="BV3159" s="903"/>
      <c r="BW3159" s="908"/>
      <c r="BX3159" s="908"/>
      <c r="BY3159" s="331"/>
      <c r="BZ3159" s="331"/>
      <c r="CA3159" s="462"/>
      <c r="CB3159" s="319"/>
      <c r="CC3159" s="319"/>
      <c r="CD3159" s="319"/>
      <c r="CE3159" s="319"/>
      <c r="CF3159" s="319"/>
      <c r="CG3159" s="319"/>
      <c r="CH3159" s="318"/>
      <c r="CI3159" s="319"/>
      <c r="CJ3159" s="319"/>
      <c r="CK3159" s="342"/>
      <c r="CL3159" s="333"/>
      <c r="CM3159" s="1079"/>
      <c r="CN3159" s="1005"/>
      <c r="CO3159" s="1005"/>
      <c r="CP3159" s="1005"/>
    </row>
    <row r="3160">
      <c r="A3160" s="1257"/>
      <c r="B3160" s="1113"/>
      <c r="C3160" s="1107"/>
      <c r="D3160" s="103"/>
      <c r="E3160" s="1137"/>
      <c r="F3160" s="112"/>
      <c r="G3160" s="1110"/>
      <c r="H3160" s="1138"/>
      <c r="I3160" s="1138"/>
      <c r="J3160" s="1139"/>
      <c r="K3160" s="1111"/>
      <c r="L3160" s="1112"/>
      <c r="M3160" s="1113"/>
      <c r="N3160" s="110"/>
      <c r="O3160" s="1140"/>
      <c r="P3160" s="1115"/>
      <c r="Q3160" s="1116"/>
      <c r="R3160" s="1141"/>
      <c r="S3160" s="1113"/>
      <c r="T3160" s="1143"/>
      <c r="U3160" s="1108"/>
      <c r="V3160" s="1108"/>
      <c r="W3160" s="1108"/>
      <c r="X3160" s="1108"/>
      <c r="Y3160" s="1108"/>
      <c r="Z3160" s="1114"/>
      <c r="AA3160" s="1114"/>
      <c r="AB3160" s="1114"/>
      <c r="AC3160" s="1117"/>
      <c r="AD3160" s="1115"/>
      <c r="AE3160" s="1115"/>
      <c r="AF3160" s="1115"/>
      <c r="AG3160" s="1115"/>
      <c r="AH3160" s="1115"/>
      <c r="AI3160" s="1115"/>
      <c r="AJ3160" s="1117"/>
      <c r="AK3160" s="1118"/>
      <c r="AL3160" s="1115"/>
      <c r="AM3160" s="1115"/>
      <c r="AN3160" s="1115"/>
      <c r="AO3160" s="1115"/>
      <c r="AP3160" s="1115"/>
      <c r="AQ3160" s="1115"/>
      <c r="AR3160" s="1115"/>
      <c r="AS3160" s="1117"/>
      <c r="AT3160" s="1075"/>
      <c r="AU3160" s="1193"/>
      <c r="AV3160" s="330"/>
      <c r="AW3160" s="331"/>
      <c r="AX3160" s="331"/>
      <c r="AY3160" s="331"/>
      <c r="AZ3160" s="331"/>
      <c r="BA3160" s="331"/>
      <c r="BB3160" s="331"/>
      <c r="BC3160" s="331"/>
      <c r="BD3160" s="331"/>
      <c r="BE3160" s="333"/>
      <c r="BF3160" s="330"/>
      <c r="BG3160" s="333"/>
      <c r="BH3160" s="1119"/>
      <c r="BI3160" s="319"/>
      <c r="BJ3160" s="319"/>
      <c r="BK3160" s="319"/>
      <c r="BL3160" s="319"/>
      <c r="BM3160" s="319"/>
      <c r="BN3160" s="319"/>
      <c r="BO3160" s="319"/>
      <c r="BP3160" s="953"/>
      <c r="BQ3160" s="319"/>
      <c r="BR3160" s="319"/>
      <c r="BS3160" s="330"/>
      <c r="BT3160" s="331"/>
      <c r="BU3160" s="920"/>
      <c r="BV3160" s="903"/>
      <c r="BW3160" s="908"/>
      <c r="BX3160" s="908"/>
      <c r="BY3160" s="331"/>
      <c r="BZ3160" s="331"/>
      <c r="CA3160" s="462"/>
      <c r="CB3160" s="319"/>
      <c r="CC3160" s="319"/>
      <c r="CD3160" s="319"/>
      <c r="CE3160" s="319"/>
      <c r="CF3160" s="319"/>
      <c r="CG3160" s="319"/>
      <c r="CH3160" s="318"/>
      <c r="CI3160" s="319"/>
      <c r="CJ3160" s="319"/>
      <c r="CK3160" s="342"/>
      <c r="CL3160" s="333"/>
      <c r="CM3160" s="1079"/>
      <c r="CN3160" s="1005"/>
      <c r="CO3160" s="1005"/>
      <c r="CP3160" s="1005"/>
    </row>
    <row r="3161">
      <c r="A3161" s="1257"/>
      <c r="B3161" s="1113"/>
      <c r="C3161" s="1107"/>
      <c r="D3161" s="103"/>
      <c r="E3161" s="1137"/>
      <c r="F3161" s="112"/>
      <c r="G3161" s="1110"/>
      <c r="H3161" s="1138"/>
      <c r="I3161" s="1138"/>
      <c r="J3161" s="1139"/>
      <c r="K3161" s="1111"/>
      <c r="L3161" s="1112"/>
      <c r="M3161" s="1113"/>
      <c r="N3161" s="110"/>
      <c r="O3161" s="1140"/>
      <c r="P3161" s="1115"/>
      <c r="Q3161" s="1116"/>
      <c r="R3161" s="1141"/>
      <c r="S3161" s="1113"/>
      <c r="T3161" s="1143"/>
      <c r="U3161" s="1108"/>
      <c r="V3161" s="1108"/>
      <c r="W3161" s="1108"/>
      <c r="X3161" s="1108"/>
      <c r="Y3161" s="1108"/>
      <c r="Z3161" s="1114"/>
      <c r="AA3161" s="1114"/>
      <c r="AB3161" s="1114"/>
      <c r="AC3161" s="1117"/>
      <c r="AD3161" s="1115"/>
      <c r="AE3161" s="1115"/>
      <c r="AF3161" s="1115"/>
      <c r="AG3161" s="1115"/>
      <c r="AH3161" s="1115"/>
      <c r="AI3161" s="1115"/>
      <c r="AJ3161" s="1117"/>
      <c r="AK3161" s="1118"/>
      <c r="AL3161" s="1115"/>
      <c r="AM3161" s="1115"/>
      <c r="AN3161" s="1115"/>
      <c r="AO3161" s="1115"/>
      <c r="AP3161" s="1115"/>
      <c r="AQ3161" s="1115"/>
      <c r="AR3161" s="1115"/>
      <c r="AS3161" s="1117"/>
      <c r="AT3161" s="1075"/>
      <c r="AU3161" s="1193"/>
      <c r="AV3161" s="330"/>
      <c r="AW3161" s="331"/>
      <c r="AX3161" s="331"/>
      <c r="AY3161" s="331"/>
      <c r="AZ3161" s="331"/>
      <c r="BA3161" s="331"/>
      <c r="BB3161" s="331"/>
      <c r="BC3161" s="331"/>
      <c r="BD3161" s="331"/>
      <c r="BE3161" s="333"/>
      <c r="BF3161" s="330"/>
      <c r="BG3161" s="333"/>
      <c r="BH3161" s="1119"/>
      <c r="BI3161" s="319"/>
      <c r="BJ3161" s="319"/>
      <c r="BK3161" s="319"/>
      <c r="BL3161" s="319"/>
      <c r="BM3161" s="319"/>
      <c r="BN3161" s="319"/>
      <c r="BO3161" s="319"/>
      <c r="BP3161" s="953"/>
      <c r="BQ3161" s="319"/>
      <c r="BR3161" s="319"/>
      <c r="BS3161" s="330"/>
      <c r="BT3161" s="331"/>
      <c r="BU3161" s="920"/>
      <c r="BV3161" s="903"/>
      <c r="BW3161" s="908"/>
      <c r="BX3161" s="908"/>
      <c r="BY3161" s="331"/>
      <c r="BZ3161" s="331"/>
      <c r="CA3161" s="462"/>
      <c r="CB3161" s="319"/>
      <c r="CC3161" s="319"/>
      <c r="CD3161" s="319"/>
      <c r="CE3161" s="319"/>
      <c r="CF3161" s="319"/>
      <c r="CG3161" s="319"/>
      <c r="CH3161" s="318"/>
      <c r="CI3161" s="319"/>
      <c r="CJ3161" s="319"/>
      <c r="CK3161" s="342"/>
      <c r="CL3161" s="333"/>
      <c r="CM3161" s="1079"/>
      <c r="CN3161" s="1005"/>
      <c r="CO3161" s="1005"/>
      <c r="CP3161" s="1005"/>
    </row>
    <row r="3162">
      <c r="A3162" s="1257"/>
      <c r="B3162" s="1113"/>
      <c r="C3162" s="1107"/>
      <c r="D3162" s="103"/>
      <c r="E3162" s="1137"/>
      <c r="F3162" s="112"/>
      <c r="G3162" s="1110"/>
      <c r="H3162" s="1138"/>
      <c r="I3162" s="1138"/>
      <c r="J3162" s="1139"/>
      <c r="K3162" s="1111"/>
      <c r="L3162" s="1112"/>
      <c r="M3162" s="1113"/>
      <c r="N3162" s="110"/>
      <c r="O3162" s="1140"/>
      <c r="P3162" s="1115"/>
      <c r="Q3162" s="1116"/>
      <c r="R3162" s="1141"/>
      <c r="S3162" s="1113"/>
      <c r="T3162" s="1143"/>
      <c r="U3162" s="1108"/>
      <c r="V3162" s="1108"/>
      <c r="W3162" s="1108"/>
      <c r="X3162" s="1108"/>
      <c r="Y3162" s="1108"/>
      <c r="Z3162" s="1114"/>
      <c r="AA3162" s="1114"/>
      <c r="AB3162" s="1114"/>
      <c r="AC3162" s="1117"/>
      <c r="AD3162" s="1115"/>
      <c r="AE3162" s="1115"/>
      <c r="AF3162" s="1115"/>
      <c r="AG3162" s="1115"/>
      <c r="AH3162" s="1115"/>
      <c r="AI3162" s="1115"/>
      <c r="AJ3162" s="1117"/>
      <c r="AK3162" s="1118"/>
      <c r="AL3162" s="1115"/>
      <c r="AM3162" s="1115"/>
      <c r="AN3162" s="1115"/>
      <c r="AO3162" s="1115"/>
      <c r="AP3162" s="1115"/>
      <c r="AQ3162" s="1115"/>
      <c r="AR3162" s="1115"/>
      <c r="AS3162" s="1117"/>
      <c r="AT3162" s="1075"/>
      <c r="AU3162" s="1193"/>
      <c r="AV3162" s="330"/>
      <c r="AW3162" s="331"/>
      <c r="AX3162" s="331"/>
      <c r="AY3162" s="331"/>
      <c r="AZ3162" s="331"/>
      <c r="BA3162" s="331"/>
      <c r="BB3162" s="331"/>
      <c r="BC3162" s="331"/>
      <c r="BD3162" s="331"/>
      <c r="BE3162" s="333"/>
      <c r="BF3162" s="330"/>
      <c r="BG3162" s="333"/>
      <c r="BH3162" s="1119"/>
      <c r="BI3162" s="319"/>
      <c r="BJ3162" s="319"/>
      <c r="BK3162" s="319"/>
      <c r="BL3162" s="319"/>
      <c r="BM3162" s="319"/>
      <c r="BN3162" s="319"/>
      <c r="BO3162" s="319"/>
      <c r="BP3162" s="953"/>
      <c r="BQ3162" s="319"/>
      <c r="BR3162" s="319"/>
      <c r="BS3162" s="330"/>
      <c r="BT3162" s="331"/>
      <c r="BU3162" s="920"/>
      <c r="BV3162" s="903"/>
      <c r="BW3162" s="908"/>
      <c r="BX3162" s="908"/>
      <c r="BY3162" s="331"/>
      <c r="BZ3162" s="331"/>
      <c r="CA3162" s="462"/>
      <c r="CB3162" s="319"/>
      <c r="CC3162" s="319"/>
      <c r="CD3162" s="319"/>
      <c r="CE3162" s="319"/>
      <c r="CF3162" s="319"/>
      <c r="CG3162" s="319"/>
      <c r="CH3162" s="318"/>
      <c r="CI3162" s="319"/>
      <c r="CJ3162" s="319"/>
      <c r="CK3162" s="342"/>
      <c r="CL3162" s="333"/>
      <c r="CM3162" s="1079"/>
      <c r="CN3162" s="1005"/>
      <c r="CO3162" s="1005"/>
      <c r="CP3162" s="1005"/>
    </row>
    <row r="3163">
      <c r="A3163" s="1257"/>
      <c r="B3163" s="1113"/>
      <c r="C3163" s="1107"/>
      <c r="D3163" s="103"/>
      <c r="E3163" s="1137"/>
      <c r="F3163" s="112"/>
      <c r="G3163" s="1110"/>
      <c r="H3163" s="1138"/>
      <c r="I3163" s="1138"/>
      <c r="J3163" s="1139"/>
      <c r="K3163" s="1111"/>
      <c r="L3163" s="1112"/>
      <c r="M3163" s="1113"/>
      <c r="N3163" s="110"/>
      <c r="O3163" s="1140"/>
      <c r="P3163" s="1115"/>
      <c r="Q3163" s="1116"/>
      <c r="R3163" s="1141"/>
      <c r="S3163" s="1113"/>
      <c r="T3163" s="1143"/>
      <c r="U3163" s="1108"/>
      <c r="V3163" s="1108"/>
      <c r="W3163" s="1108"/>
      <c r="X3163" s="1108"/>
      <c r="Y3163" s="1108"/>
      <c r="Z3163" s="1114"/>
      <c r="AA3163" s="1114"/>
      <c r="AB3163" s="1114"/>
      <c r="AC3163" s="1117"/>
      <c r="AD3163" s="1115"/>
      <c r="AE3163" s="1115"/>
      <c r="AF3163" s="1115"/>
      <c r="AG3163" s="1115"/>
      <c r="AH3163" s="1115"/>
      <c r="AI3163" s="1115"/>
      <c r="AJ3163" s="1117"/>
      <c r="AK3163" s="1118"/>
      <c r="AL3163" s="1115"/>
      <c r="AM3163" s="1115"/>
      <c r="AN3163" s="1115"/>
      <c r="AO3163" s="1115"/>
      <c r="AP3163" s="1115"/>
      <c r="AQ3163" s="1115"/>
      <c r="AR3163" s="1115"/>
      <c r="AS3163" s="1117"/>
      <c r="AT3163" s="1075"/>
      <c r="AU3163" s="1193"/>
      <c r="AV3163" s="330"/>
      <c r="AW3163" s="331"/>
      <c r="AX3163" s="331"/>
      <c r="AY3163" s="331"/>
      <c r="AZ3163" s="331"/>
      <c r="BA3163" s="331"/>
      <c r="BB3163" s="331"/>
      <c r="BC3163" s="331"/>
      <c r="BD3163" s="331"/>
      <c r="BE3163" s="333"/>
      <c r="BF3163" s="330"/>
      <c r="BG3163" s="333"/>
      <c r="BH3163" s="1119"/>
      <c r="BI3163" s="319"/>
      <c r="BJ3163" s="319"/>
      <c r="BK3163" s="319"/>
      <c r="BL3163" s="319"/>
      <c r="BM3163" s="319"/>
      <c r="BN3163" s="319"/>
      <c r="BO3163" s="319"/>
      <c r="BP3163" s="953"/>
      <c r="BQ3163" s="319"/>
      <c r="BR3163" s="319"/>
      <c r="BS3163" s="330"/>
      <c r="BT3163" s="331"/>
      <c r="BU3163" s="920"/>
      <c r="BV3163" s="903"/>
      <c r="BW3163" s="908"/>
      <c r="BX3163" s="908"/>
      <c r="BY3163" s="331"/>
      <c r="BZ3163" s="331"/>
      <c r="CA3163" s="462"/>
      <c r="CB3163" s="319"/>
      <c r="CC3163" s="319"/>
      <c r="CD3163" s="319"/>
      <c r="CE3163" s="319"/>
      <c r="CF3163" s="319"/>
      <c r="CG3163" s="319"/>
      <c r="CH3163" s="318"/>
      <c r="CI3163" s="319"/>
      <c r="CJ3163" s="319"/>
      <c r="CK3163" s="342"/>
      <c r="CL3163" s="333"/>
      <c r="CM3163" s="1079"/>
      <c r="CN3163" s="1005"/>
      <c r="CO3163" s="1005"/>
      <c r="CP3163" s="1005"/>
    </row>
    <row r="3164">
      <c r="A3164" s="1257"/>
      <c r="B3164" s="1113"/>
      <c r="C3164" s="1107"/>
      <c r="D3164" s="103"/>
      <c r="E3164" s="1137"/>
      <c r="F3164" s="112"/>
      <c r="G3164" s="1110"/>
      <c r="H3164" s="1138"/>
      <c r="I3164" s="1138"/>
      <c r="J3164" s="1139"/>
      <c r="K3164" s="1111"/>
      <c r="L3164" s="1112"/>
      <c r="M3164" s="1113"/>
      <c r="N3164" s="110"/>
      <c r="O3164" s="1140"/>
      <c r="P3164" s="1115"/>
      <c r="Q3164" s="1116"/>
      <c r="R3164" s="1141"/>
      <c r="S3164" s="1113"/>
      <c r="T3164" s="1143"/>
      <c r="U3164" s="1108"/>
      <c r="V3164" s="1108"/>
      <c r="W3164" s="1108"/>
      <c r="X3164" s="1108"/>
      <c r="Y3164" s="1108"/>
      <c r="Z3164" s="1114"/>
      <c r="AA3164" s="1114"/>
      <c r="AB3164" s="1114"/>
      <c r="AC3164" s="1117"/>
      <c r="AD3164" s="1115"/>
      <c r="AE3164" s="1115"/>
      <c r="AF3164" s="1115"/>
      <c r="AG3164" s="1115"/>
      <c r="AH3164" s="1115"/>
      <c r="AI3164" s="1115"/>
      <c r="AJ3164" s="1117"/>
      <c r="AK3164" s="1118"/>
      <c r="AL3164" s="1115"/>
      <c r="AM3164" s="1115"/>
      <c r="AN3164" s="1115"/>
      <c r="AO3164" s="1115"/>
      <c r="AP3164" s="1115"/>
      <c r="AQ3164" s="1115"/>
      <c r="AR3164" s="1115"/>
      <c r="AS3164" s="1117"/>
      <c r="AT3164" s="1075"/>
      <c r="AU3164" s="1193"/>
      <c r="AV3164" s="330"/>
      <c r="AW3164" s="331"/>
      <c r="AX3164" s="331"/>
      <c r="AY3164" s="331"/>
      <c r="AZ3164" s="331"/>
      <c r="BA3164" s="331"/>
      <c r="BB3164" s="331"/>
      <c r="BC3164" s="331"/>
      <c r="BD3164" s="331"/>
      <c r="BE3164" s="333"/>
      <c r="BF3164" s="330"/>
      <c r="BG3164" s="333"/>
      <c r="BH3164" s="1119"/>
      <c r="BI3164" s="319"/>
      <c r="BJ3164" s="319"/>
      <c r="BK3164" s="319"/>
      <c r="BL3164" s="319"/>
      <c r="BM3164" s="319"/>
      <c r="BN3164" s="319"/>
      <c r="BO3164" s="319"/>
      <c r="BP3164" s="953"/>
      <c r="BQ3164" s="319"/>
      <c r="BR3164" s="319"/>
      <c r="BS3164" s="330"/>
      <c r="BT3164" s="331"/>
      <c r="BU3164" s="920"/>
      <c r="BV3164" s="903"/>
      <c r="BW3164" s="908"/>
      <c r="BX3164" s="908"/>
      <c r="BY3164" s="331"/>
      <c r="BZ3164" s="331"/>
      <c r="CA3164" s="462"/>
      <c r="CB3164" s="319"/>
      <c r="CC3164" s="319"/>
      <c r="CD3164" s="319"/>
      <c r="CE3164" s="319"/>
      <c r="CF3164" s="319"/>
      <c r="CG3164" s="319"/>
      <c r="CH3164" s="318"/>
      <c r="CI3164" s="319"/>
      <c r="CJ3164" s="319"/>
      <c r="CK3164" s="342"/>
      <c r="CL3164" s="333"/>
      <c r="CM3164" s="1079"/>
      <c r="CN3164" s="1005"/>
      <c r="CO3164" s="1005"/>
      <c r="CP3164" s="1005"/>
    </row>
    <row r="3165">
      <c r="A3165" s="1257"/>
      <c r="B3165" s="1113"/>
      <c r="C3165" s="1107"/>
      <c r="D3165" s="103"/>
      <c r="E3165" s="1137"/>
      <c r="F3165" s="112"/>
      <c r="G3165" s="1110"/>
      <c r="H3165" s="1138"/>
      <c r="I3165" s="1138"/>
      <c r="J3165" s="1139"/>
      <c r="K3165" s="1111"/>
      <c r="L3165" s="1112"/>
      <c r="M3165" s="1113"/>
      <c r="N3165" s="110"/>
      <c r="O3165" s="1140"/>
      <c r="P3165" s="1115"/>
      <c r="Q3165" s="1116"/>
      <c r="R3165" s="1141"/>
      <c r="S3165" s="1113"/>
      <c r="T3165" s="1143"/>
      <c r="U3165" s="1108"/>
      <c r="V3165" s="1108"/>
      <c r="W3165" s="1108"/>
      <c r="X3165" s="1108"/>
      <c r="Y3165" s="1108"/>
      <c r="Z3165" s="1114"/>
      <c r="AA3165" s="1114"/>
      <c r="AB3165" s="1114"/>
      <c r="AC3165" s="1117"/>
      <c r="AD3165" s="1115"/>
      <c r="AE3165" s="1115"/>
      <c r="AF3165" s="1115"/>
      <c r="AG3165" s="1115"/>
      <c r="AH3165" s="1115"/>
      <c r="AI3165" s="1115"/>
      <c r="AJ3165" s="1117"/>
      <c r="AK3165" s="1118"/>
      <c r="AL3165" s="1115"/>
      <c r="AM3165" s="1115"/>
      <c r="AN3165" s="1115"/>
      <c r="AO3165" s="1115"/>
      <c r="AP3165" s="1115"/>
      <c r="AQ3165" s="1115"/>
      <c r="AR3165" s="1115"/>
      <c r="AS3165" s="1117"/>
      <c r="AT3165" s="1075"/>
      <c r="AU3165" s="1193"/>
      <c r="AV3165" s="330"/>
      <c r="AW3165" s="331"/>
      <c r="AX3165" s="331"/>
      <c r="AY3165" s="331"/>
      <c r="AZ3165" s="331"/>
      <c r="BA3165" s="331"/>
      <c r="BB3165" s="331"/>
      <c r="BC3165" s="331"/>
      <c r="BD3165" s="331"/>
      <c r="BE3165" s="333"/>
      <c r="BF3165" s="330"/>
      <c r="BG3165" s="333"/>
      <c r="BH3165" s="1119"/>
      <c r="BI3165" s="319"/>
      <c r="BJ3165" s="319"/>
      <c r="BK3165" s="319"/>
      <c r="BL3165" s="319"/>
      <c r="BM3165" s="319"/>
      <c r="BN3165" s="319"/>
      <c r="BO3165" s="319"/>
      <c r="BP3165" s="953"/>
      <c r="BQ3165" s="319"/>
      <c r="BR3165" s="319"/>
      <c r="BS3165" s="330"/>
      <c r="BT3165" s="331"/>
      <c r="BU3165" s="920"/>
      <c r="BV3165" s="903"/>
      <c r="BW3165" s="908"/>
      <c r="BX3165" s="908"/>
      <c r="BY3165" s="331"/>
      <c r="BZ3165" s="331"/>
      <c r="CA3165" s="462"/>
      <c r="CB3165" s="319"/>
      <c r="CC3165" s="319"/>
      <c r="CD3165" s="319"/>
      <c r="CE3165" s="319"/>
      <c r="CF3165" s="319"/>
      <c r="CG3165" s="319"/>
      <c r="CH3165" s="318"/>
      <c r="CI3165" s="319"/>
      <c r="CJ3165" s="319"/>
      <c r="CK3165" s="342"/>
      <c r="CL3165" s="333"/>
      <c r="CM3165" s="1079"/>
      <c r="CN3165" s="1005"/>
      <c r="CO3165" s="1005"/>
      <c r="CP3165" s="1005"/>
    </row>
    <row r="3166">
      <c r="A3166" s="1257"/>
      <c r="B3166" s="1113"/>
      <c r="C3166" s="1107"/>
      <c r="D3166" s="103"/>
      <c r="E3166" s="1137"/>
      <c r="F3166" s="112"/>
      <c r="G3166" s="1110"/>
      <c r="H3166" s="1138"/>
      <c r="I3166" s="1138"/>
      <c r="J3166" s="1139"/>
      <c r="K3166" s="1111"/>
      <c r="L3166" s="1112"/>
      <c r="M3166" s="1113"/>
      <c r="N3166" s="110"/>
      <c r="O3166" s="1140"/>
      <c r="P3166" s="1115"/>
      <c r="Q3166" s="1116"/>
      <c r="R3166" s="1141"/>
      <c r="S3166" s="1113"/>
      <c r="T3166" s="1143"/>
      <c r="U3166" s="1108"/>
      <c r="V3166" s="1108"/>
      <c r="W3166" s="1108"/>
      <c r="X3166" s="1108"/>
      <c r="Y3166" s="1108"/>
      <c r="Z3166" s="1114"/>
      <c r="AA3166" s="1114"/>
      <c r="AB3166" s="1114"/>
      <c r="AC3166" s="1117"/>
      <c r="AD3166" s="1115"/>
      <c r="AE3166" s="1115"/>
      <c r="AF3166" s="1115"/>
      <c r="AG3166" s="1115"/>
      <c r="AH3166" s="1115"/>
      <c r="AI3166" s="1115"/>
      <c r="AJ3166" s="1117"/>
      <c r="AK3166" s="1118"/>
      <c r="AL3166" s="1115"/>
      <c r="AM3166" s="1115"/>
      <c r="AN3166" s="1115"/>
      <c r="AO3166" s="1115"/>
      <c r="AP3166" s="1115"/>
      <c r="AQ3166" s="1115"/>
      <c r="AR3166" s="1115"/>
      <c r="AS3166" s="1117"/>
      <c r="AT3166" s="1075"/>
      <c r="AU3166" s="1193"/>
      <c r="AV3166" s="330"/>
      <c r="AW3166" s="331"/>
      <c r="AX3166" s="331"/>
      <c r="AY3166" s="331"/>
      <c r="AZ3166" s="331"/>
      <c r="BA3166" s="331"/>
      <c r="BB3166" s="331"/>
      <c r="BC3166" s="331"/>
      <c r="BD3166" s="331"/>
      <c r="BE3166" s="333"/>
      <c r="BF3166" s="330"/>
      <c r="BG3166" s="333"/>
      <c r="BH3166" s="1119"/>
      <c r="BI3166" s="319"/>
      <c r="BJ3166" s="319"/>
      <c r="BK3166" s="319"/>
      <c r="BL3166" s="319"/>
      <c r="BM3166" s="319"/>
      <c r="BN3166" s="319"/>
      <c r="BO3166" s="319"/>
      <c r="BP3166" s="953"/>
      <c r="BQ3166" s="319"/>
      <c r="BR3166" s="319"/>
      <c r="BS3166" s="330"/>
      <c r="BT3166" s="331"/>
      <c r="BU3166" s="920"/>
      <c r="BV3166" s="903"/>
      <c r="BW3166" s="908"/>
      <c r="BX3166" s="908"/>
      <c r="BY3166" s="331"/>
      <c r="BZ3166" s="331"/>
      <c r="CA3166" s="462"/>
      <c r="CB3166" s="319"/>
      <c r="CC3166" s="319"/>
      <c r="CD3166" s="319"/>
      <c r="CE3166" s="319"/>
      <c r="CF3166" s="319"/>
      <c r="CG3166" s="319"/>
      <c r="CH3166" s="318"/>
      <c r="CI3166" s="319"/>
      <c r="CJ3166" s="319"/>
      <c r="CK3166" s="342"/>
      <c r="CL3166" s="333"/>
      <c r="CM3166" s="1079"/>
      <c r="CN3166" s="1005"/>
      <c r="CO3166" s="1005"/>
      <c r="CP3166" s="1005"/>
    </row>
    <row r="3167">
      <c r="A3167" s="1257"/>
      <c r="B3167" s="1113"/>
      <c r="C3167" s="1107"/>
      <c r="D3167" s="103"/>
      <c r="E3167" s="1137"/>
      <c r="F3167" s="112"/>
      <c r="G3167" s="1110"/>
      <c r="H3167" s="1138"/>
      <c r="I3167" s="1138"/>
      <c r="J3167" s="1139"/>
      <c r="K3167" s="1111"/>
      <c r="L3167" s="1112"/>
      <c r="M3167" s="1113"/>
      <c r="N3167" s="110"/>
      <c r="O3167" s="1140"/>
      <c r="P3167" s="1115"/>
      <c r="Q3167" s="1116"/>
      <c r="R3167" s="1141"/>
      <c r="S3167" s="1113"/>
      <c r="T3167" s="1143"/>
      <c r="U3167" s="1108"/>
      <c r="V3167" s="1108"/>
      <c r="W3167" s="1108"/>
      <c r="X3167" s="1108"/>
      <c r="Y3167" s="1108"/>
      <c r="Z3167" s="1114"/>
      <c r="AA3167" s="1114"/>
      <c r="AB3167" s="1114"/>
      <c r="AC3167" s="1117"/>
      <c r="AD3167" s="1115"/>
      <c r="AE3167" s="1115"/>
      <c r="AF3167" s="1115"/>
      <c r="AG3167" s="1115"/>
      <c r="AH3167" s="1115"/>
      <c r="AI3167" s="1115"/>
      <c r="AJ3167" s="1117"/>
      <c r="AK3167" s="1118"/>
      <c r="AL3167" s="1115"/>
      <c r="AM3167" s="1115"/>
      <c r="AN3167" s="1115"/>
      <c r="AO3167" s="1115"/>
      <c r="AP3167" s="1115"/>
      <c r="AQ3167" s="1115"/>
      <c r="AR3167" s="1115"/>
      <c r="AS3167" s="1117"/>
      <c r="AT3167" s="1075"/>
      <c r="AU3167" s="1193"/>
      <c r="AV3167" s="330"/>
      <c r="AW3167" s="331"/>
      <c r="AX3167" s="331"/>
      <c r="AY3167" s="331"/>
      <c r="AZ3167" s="331"/>
      <c r="BA3167" s="331"/>
      <c r="BB3167" s="331"/>
      <c r="BC3167" s="331"/>
      <c r="BD3167" s="331"/>
      <c r="BE3167" s="333"/>
      <c r="BF3167" s="330"/>
      <c r="BG3167" s="333"/>
      <c r="BH3167" s="1119"/>
      <c r="BI3167" s="319"/>
      <c r="BJ3167" s="319"/>
      <c r="BK3167" s="319"/>
      <c r="BL3167" s="319"/>
      <c r="BM3167" s="319"/>
      <c r="BN3167" s="319"/>
      <c r="BO3167" s="319"/>
      <c r="BP3167" s="953"/>
      <c r="BQ3167" s="319"/>
      <c r="BR3167" s="319"/>
      <c r="BS3167" s="330"/>
      <c r="BT3167" s="331"/>
      <c r="BU3167" s="920"/>
      <c r="BV3167" s="903"/>
      <c r="BW3167" s="908"/>
      <c r="BX3167" s="908"/>
      <c r="BY3167" s="331"/>
      <c r="BZ3167" s="331"/>
      <c r="CA3167" s="462"/>
      <c r="CB3167" s="319"/>
      <c r="CC3167" s="319"/>
      <c r="CD3167" s="319"/>
      <c r="CE3167" s="319"/>
      <c r="CF3167" s="319"/>
      <c r="CG3167" s="319"/>
      <c r="CH3167" s="318"/>
      <c r="CI3167" s="319"/>
      <c r="CJ3167" s="319"/>
      <c r="CK3167" s="342"/>
      <c r="CL3167" s="333"/>
      <c r="CM3167" s="1079"/>
      <c r="CN3167" s="1005"/>
      <c r="CO3167" s="1005"/>
      <c r="CP3167" s="1005"/>
    </row>
    <row r="3168">
      <c r="A3168" s="1257"/>
      <c r="B3168" s="1113"/>
      <c r="C3168" s="1107"/>
      <c r="D3168" s="103"/>
      <c r="E3168" s="1137"/>
      <c r="F3168" s="112"/>
      <c r="G3168" s="1110"/>
      <c r="H3168" s="1138"/>
      <c r="I3168" s="1138"/>
      <c r="J3168" s="1139"/>
      <c r="K3168" s="1111"/>
      <c r="L3168" s="1112"/>
      <c r="M3168" s="1113"/>
      <c r="N3168" s="110"/>
      <c r="O3168" s="1140"/>
      <c r="P3168" s="1115"/>
      <c r="Q3168" s="1116"/>
      <c r="R3168" s="1141"/>
      <c r="S3168" s="1113"/>
      <c r="T3168" s="1143"/>
      <c r="U3168" s="1108"/>
      <c r="V3168" s="1108"/>
      <c r="W3168" s="1108"/>
      <c r="X3168" s="1108"/>
      <c r="Y3168" s="1108"/>
      <c r="Z3168" s="1114"/>
      <c r="AA3168" s="1114"/>
      <c r="AB3168" s="1114"/>
      <c r="AC3168" s="1117"/>
      <c r="AD3168" s="1115"/>
      <c r="AE3168" s="1115"/>
      <c r="AF3168" s="1115"/>
      <c r="AG3168" s="1115"/>
      <c r="AH3168" s="1115"/>
      <c r="AI3168" s="1115"/>
      <c r="AJ3168" s="1117"/>
      <c r="AK3168" s="1118"/>
      <c r="AL3168" s="1115"/>
      <c r="AM3168" s="1115"/>
      <c r="AN3168" s="1115"/>
      <c r="AO3168" s="1115"/>
      <c r="AP3168" s="1115"/>
      <c r="AQ3168" s="1115"/>
      <c r="AR3168" s="1115"/>
      <c r="AS3168" s="1117"/>
      <c r="AT3168" s="1075"/>
      <c r="AU3168" s="1193"/>
      <c r="AV3168" s="330"/>
      <c r="AW3168" s="331"/>
      <c r="AX3168" s="331"/>
      <c r="AY3168" s="331"/>
      <c r="AZ3168" s="331"/>
      <c r="BA3168" s="331"/>
      <c r="BB3168" s="331"/>
      <c r="BC3168" s="331"/>
      <c r="BD3168" s="331"/>
      <c r="BE3168" s="333"/>
      <c r="BF3168" s="330"/>
      <c r="BG3168" s="333"/>
      <c r="BH3168" s="1119"/>
      <c r="BI3168" s="319"/>
      <c r="BJ3168" s="319"/>
      <c r="BK3168" s="319"/>
      <c r="BL3168" s="319"/>
      <c r="BM3168" s="319"/>
      <c r="BN3168" s="319"/>
      <c r="BO3168" s="319"/>
      <c r="BP3168" s="953"/>
      <c r="BQ3168" s="319"/>
      <c r="BR3168" s="319"/>
      <c r="BS3168" s="330"/>
      <c r="BT3168" s="331"/>
      <c r="BU3168" s="920"/>
      <c r="BV3168" s="903"/>
      <c r="BW3168" s="908"/>
      <c r="BX3168" s="908"/>
      <c r="BY3168" s="331"/>
      <c r="BZ3168" s="331"/>
      <c r="CA3168" s="462"/>
      <c r="CB3168" s="319"/>
      <c r="CC3168" s="319"/>
      <c r="CD3168" s="319"/>
      <c r="CE3168" s="319"/>
      <c r="CF3168" s="319"/>
      <c r="CG3168" s="319"/>
      <c r="CH3168" s="318"/>
      <c r="CI3168" s="319"/>
      <c r="CJ3168" s="319"/>
      <c r="CK3168" s="342"/>
      <c r="CL3168" s="333"/>
      <c r="CM3168" s="1079"/>
      <c r="CN3168" s="1005"/>
      <c r="CO3168" s="1005"/>
      <c r="CP3168" s="1005"/>
    </row>
    <row r="3169">
      <c r="A3169" s="1257"/>
      <c r="B3169" s="1113"/>
      <c r="C3169" s="1107"/>
      <c r="D3169" s="103"/>
      <c r="E3169" s="1137"/>
      <c r="F3169" s="112"/>
      <c r="G3169" s="1110"/>
      <c r="H3169" s="1138"/>
      <c r="I3169" s="1138"/>
      <c r="J3169" s="1139"/>
      <c r="K3169" s="1111"/>
      <c r="L3169" s="1112"/>
      <c r="M3169" s="1113"/>
      <c r="N3169" s="110"/>
      <c r="O3169" s="1140"/>
      <c r="P3169" s="1115"/>
      <c r="Q3169" s="1116"/>
      <c r="R3169" s="1141"/>
      <c r="S3169" s="1113"/>
      <c r="T3169" s="1143"/>
      <c r="U3169" s="1108"/>
      <c r="V3169" s="1108"/>
      <c r="W3169" s="1108"/>
      <c r="X3169" s="1108"/>
      <c r="Y3169" s="1108"/>
      <c r="Z3169" s="1114"/>
      <c r="AA3169" s="1114"/>
      <c r="AB3169" s="1114"/>
      <c r="AC3169" s="1117"/>
      <c r="AD3169" s="1115"/>
      <c r="AE3169" s="1115"/>
      <c r="AF3169" s="1115"/>
      <c r="AG3169" s="1115"/>
      <c r="AH3169" s="1115"/>
      <c r="AI3169" s="1115"/>
      <c r="AJ3169" s="1117"/>
      <c r="AK3169" s="1118"/>
      <c r="AL3169" s="1115"/>
      <c r="AM3169" s="1115"/>
      <c r="AN3169" s="1115"/>
      <c r="AO3169" s="1115"/>
      <c r="AP3169" s="1115"/>
      <c r="AQ3169" s="1115"/>
      <c r="AR3169" s="1115"/>
      <c r="AS3169" s="1117"/>
      <c r="AT3169" s="1075"/>
      <c r="AU3169" s="1193"/>
      <c r="AV3169" s="330"/>
      <c r="AW3169" s="331"/>
      <c r="AX3169" s="331"/>
      <c r="AY3169" s="331"/>
      <c r="AZ3169" s="331"/>
      <c r="BA3169" s="331"/>
      <c r="BB3169" s="331"/>
      <c r="BC3169" s="331"/>
      <c r="BD3169" s="331"/>
      <c r="BE3169" s="333"/>
      <c r="BF3169" s="330"/>
      <c r="BG3169" s="333"/>
      <c r="BH3169" s="1119"/>
      <c r="BI3169" s="319"/>
      <c r="BJ3169" s="319"/>
      <c r="BK3169" s="319"/>
      <c r="BL3169" s="319"/>
      <c r="BM3169" s="319"/>
      <c r="BN3169" s="319"/>
      <c r="BO3169" s="319"/>
      <c r="BP3169" s="953"/>
      <c r="BQ3169" s="319"/>
      <c r="BR3169" s="319"/>
      <c r="BS3169" s="330"/>
      <c r="BT3169" s="331"/>
      <c r="BU3169" s="920"/>
      <c r="BV3169" s="903"/>
      <c r="BW3169" s="908"/>
      <c r="BX3169" s="908"/>
      <c r="BY3169" s="331"/>
      <c r="BZ3169" s="331"/>
      <c r="CA3169" s="462"/>
      <c r="CB3169" s="319"/>
      <c r="CC3169" s="319"/>
      <c r="CD3169" s="319"/>
      <c r="CE3169" s="319"/>
      <c r="CF3169" s="319"/>
      <c r="CG3169" s="319"/>
      <c r="CH3169" s="318"/>
      <c r="CI3169" s="319"/>
      <c r="CJ3169" s="319"/>
      <c r="CK3169" s="342"/>
      <c r="CL3169" s="333"/>
      <c r="CM3169" s="1079"/>
      <c r="CN3169" s="1005"/>
      <c r="CO3169" s="1005"/>
      <c r="CP3169" s="1005"/>
    </row>
    <row r="3170">
      <c r="A3170" s="1257"/>
      <c r="B3170" s="1113"/>
      <c r="C3170" s="1107"/>
      <c r="D3170" s="103"/>
      <c r="E3170" s="1137"/>
      <c r="F3170" s="112"/>
      <c r="G3170" s="1110"/>
      <c r="H3170" s="1138"/>
      <c r="I3170" s="1138"/>
      <c r="J3170" s="1139"/>
      <c r="K3170" s="1111"/>
      <c r="L3170" s="1112"/>
      <c r="M3170" s="1113"/>
      <c r="N3170" s="110"/>
      <c r="O3170" s="1140"/>
      <c r="P3170" s="1115"/>
      <c r="Q3170" s="1116"/>
      <c r="R3170" s="1141"/>
      <c r="S3170" s="1113"/>
      <c r="T3170" s="1143"/>
      <c r="U3170" s="1108"/>
      <c r="V3170" s="1108"/>
      <c r="W3170" s="1108"/>
      <c r="X3170" s="1108"/>
      <c r="Y3170" s="1108"/>
      <c r="Z3170" s="1114"/>
      <c r="AA3170" s="1114"/>
      <c r="AB3170" s="1114"/>
      <c r="AC3170" s="1117"/>
      <c r="AD3170" s="1115"/>
      <c r="AE3170" s="1115"/>
      <c r="AF3170" s="1115"/>
      <c r="AG3170" s="1115"/>
      <c r="AH3170" s="1115"/>
      <c r="AI3170" s="1115"/>
      <c r="AJ3170" s="1117"/>
      <c r="AK3170" s="1118"/>
      <c r="AL3170" s="1115"/>
      <c r="AM3170" s="1115"/>
      <c r="AN3170" s="1115"/>
      <c r="AO3170" s="1115"/>
      <c r="AP3170" s="1115"/>
      <c r="AQ3170" s="1115"/>
      <c r="AR3170" s="1115"/>
      <c r="AS3170" s="1117"/>
      <c r="AT3170" s="1075"/>
      <c r="AU3170" s="1193"/>
      <c r="AV3170" s="330"/>
      <c r="AW3170" s="331"/>
      <c r="AX3170" s="331"/>
      <c r="AY3170" s="331"/>
      <c r="AZ3170" s="331"/>
      <c r="BA3170" s="331"/>
      <c r="BB3170" s="331"/>
      <c r="BC3170" s="331"/>
      <c r="BD3170" s="331"/>
      <c r="BE3170" s="333"/>
      <c r="BF3170" s="330"/>
      <c r="BG3170" s="333"/>
      <c r="BH3170" s="1119"/>
      <c r="BI3170" s="319"/>
      <c r="BJ3170" s="319"/>
      <c r="BK3170" s="319"/>
      <c r="BL3170" s="319"/>
      <c r="BM3170" s="319"/>
      <c r="BN3170" s="319"/>
      <c r="BO3170" s="319"/>
      <c r="BP3170" s="953"/>
      <c r="BQ3170" s="319"/>
      <c r="BR3170" s="319"/>
      <c r="BS3170" s="330"/>
      <c r="BT3170" s="331"/>
      <c r="BU3170" s="920"/>
      <c r="BV3170" s="903"/>
      <c r="BW3170" s="908"/>
      <c r="BX3170" s="908"/>
      <c r="BY3170" s="331"/>
      <c r="BZ3170" s="331"/>
      <c r="CA3170" s="462"/>
      <c r="CB3170" s="319"/>
      <c r="CC3170" s="319"/>
      <c r="CD3170" s="319"/>
      <c r="CE3170" s="319"/>
      <c r="CF3170" s="319"/>
      <c r="CG3170" s="319"/>
      <c r="CH3170" s="318"/>
      <c r="CI3170" s="319"/>
      <c r="CJ3170" s="319"/>
      <c r="CK3170" s="342"/>
      <c r="CL3170" s="333"/>
      <c r="CM3170" s="1079"/>
      <c r="CN3170" s="1005"/>
      <c r="CO3170" s="1005"/>
      <c r="CP3170" s="1005"/>
    </row>
    <row r="3171">
      <c r="A3171" s="1257"/>
      <c r="B3171" s="1113"/>
      <c r="C3171" s="1107"/>
      <c r="D3171" s="103"/>
      <c r="E3171" s="1137"/>
      <c r="F3171" s="112"/>
      <c r="G3171" s="1110"/>
      <c r="H3171" s="1138"/>
      <c r="I3171" s="1138"/>
      <c r="J3171" s="1139"/>
      <c r="K3171" s="1111"/>
      <c r="L3171" s="1112"/>
      <c r="M3171" s="1113"/>
      <c r="N3171" s="110"/>
      <c r="O3171" s="1140"/>
      <c r="P3171" s="1115"/>
      <c r="Q3171" s="1116"/>
      <c r="R3171" s="1141"/>
      <c r="S3171" s="1113"/>
      <c r="T3171" s="1143"/>
      <c r="U3171" s="1108"/>
      <c r="V3171" s="1108"/>
      <c r="W3171" s="1108"/>
      <c r="X3171" s="1108"/>
      <c r="Y3171" s="1108"/>
      <c r="Z3171" s="1114"/>
      <c r="AA3171" s="1114"/>
      <c r="AB3171" s="1114"/>
      <c r="AC3171" s="1117"/>
      <c r="AD3171" s="1115"/>
      <c r="AE3171" s="1115"/>
      <c r="AF3171" s="1115"/>
      <c r="AG3171" s="1115"/>
      <c r="AH3171" s="1115"/>
      <c r="AI3171" s="1115"/>
      <c r="AJ3171" s="1117"/>
      <c r="AK3171" s="1118"/>
      <c r="AL3171" s="1115"/>
      <c r="AM3171" s="1115"/>
      <c r="AN3171" s="1115"/>
      <c r="AO3171" s="1115"/>
      <c r="AP3171" s="1115"/>
      <c r="AQ3171" s="1115"/>
      <c r="AR3171" s="1115"/>
      <c r="AS3171" s="1117"/>
      <c r="AT3171" s="1075"/>
      <c r="AU3171" s="1193"/>
      <c r="AV3171" s="330"/>
      <c r="AW3171" s="331"/>
      <c r="AX3171" s="331"/>
      <c r="AY3171" s="331"/>
      <c r="AZ3171" s="331"/>
      <c r="BA3171" s="331"/>
      <c r="BB3171" s="331"/>
      <c r="BC3171" s="331"/>
      <c r="BD3171" s="331"/>
      <c r="BE3171" s="333"/>
      <c r="BF3171" s="330"/>
      <c r="BG3171" s="333"/>
      <c r="BH3171" s="1119"/>
      <c r="BI3171" s="319"/>
      <c r="BJ3171" s="319"/>
      <c r="BK3171" s="319"/>
      <c r="BL3171" s="319"/>
      <c r="BM3171" s="319"/>
      <c r="BN3171" s="319"/>
      <c r="BO3171" s="319"/>
      <c r="BP3171" s="953"/>
      <c r="BQ3171" s="319"/>
      <c r="BR3171" s="319"/>
      <c r="BS3171" s="330"/>
      <c r="BT3171" s="331"/>
      <c r="BU3171" s="920"/>
      <c r="BV3171" s="903"/>
      <c r="BW3171" s="908"/>
      <c r="BX3171" s="908"/>
      <c r="BY3171" s="331"/>
      <c r="BZ3171" s="331"/>
      <c r="CA3171" s="462"/>
      <c r="CB3171" s="319"/>
      <c r="CC3171" s="319"/>
      <c r="CD3171" s="319"/>
      <c r="CE3171" s="319"/>
      <c r="CF3171" s="319"/>
      <c r="CG3171" s="319"/>
      <c r="CH3171" s="318"/>
      <c r="CI3171" s="319"/>
      <c r="CJ3171" s="319"/>
      <c r="CK3171" s="342"/>
      <c r="CL3171" s="333"/>
      <c r="CM3171" s="1079"/>
      <c r="CN3171" s="1005"/>
      <c r="CO3171" s="1005"/>
      <c r="CP3171" s="1005"/>
    </row>
    <row r="3172">
      <c r="A3172" s="1257"/>
      <c r="B3172" s="1113"/>
      <c r="C3172" s="1107"/>
      <c r="D3172" s="103"/>
      <c r="E3172" s="1137"/>
      <c r="F3172" s="112"/>
      <c r="G3172" s="1110"/>
      <c r="H3172" s="1138"/>
      <c r="I3172" s="1138"/>
      <c r="J3172" s="1139"/>
      <c r="K3172" s="1111"/>
      <c r="L3172" s="1112"/>
      <c r="M3172" s="1113"/>
      <c r="N3172" s="110"/>
      <c r="O3172" s="1140"/>
      <c r="P3172" s="1115"/>
      <c r="Q3172" s="1116"/>
      <c r="R3172" s="1141"/>
      <c r="S3172" s="1113"/>
      <c r="T3172" s="1143"/>
      <c r="U3172" s="1108"/>
      <c r="V3172" s="1108"/>
      <c r="W3172" s="1108"/>
      <c r="X3172" s="1108"/>
      <c r="Y3172" s="1108"/>
      <c r="Z3172" s="1114"/>
      <c r="AA3172" s="1114"/>
      <c r="AB3172" s="1114"/>
      <c r="AC3172" s="1117"/>
      <c r="AD3172" s="1115"/>
      <c r="AE3172" s="1115"/>
      <c r="AF3172" s="1115"/>
      <c r="AG3172" s="1115"/>
      <c r="AH3172" s="1115"/>
      <c r="AI3172" s="1115"/>
      <c r="AJ3172" s="1117"/>
      <c r="AK3172" s="1118"/>
      <c r="AL3172" s="1115"/>
      <c r="AM3172" s="1115"/>
      <c r="AN3172" s="1115"/>
      <c r="AO3172" s="1115"/>
      <c r="AP3172" s="1115"/>
      <c r="AQ3172" s="1115"/>
      <c r="AR3172" s="1115"/>
      <c r="AS3172" s="1117"/>
      <c r="AT3172" s="1075"/>
      <c r="AU3172" s="1193"/>
      <c r="AV3172" s="330"/>
      <c r="AW3172" s="331"/>
      <c r="AX3172" s="331"/>
      <c r="AY3172" s="331"/>
      <c r="AZ3172" s="331"/>
      <c r="BA3172" s="331"/>
      <c r="BB3172" s="331"/>
      <c r="BC3172" s="331"/>
      <c r="BD3172" s="331"/>
      <c r="BE3172" s="333"/>
      <c r="BF3172" s="330"/>
      <c r="BG3172" s="333"/>
      <c r="BH3172" s="1119"/>
      <c r="BI3172" s="319"/>
      <c r="BJ3172" s="319"/>
      <c r="BK3172" s="319"/>
      <c r="BL3172" s="319"/>
      <c r="BM3172" s="319"/>
      <c r="BN3172" s="319"/>
      <c r="BO3172" s="319"/>
      <c r="BP3172" s="953"/>
      <c r="BQ3172" s="319"/>
      <c r="BR3172" s="319"/>
      <c r="BS3172" s="330"/>
      <c r="BT3172" s="331"/>
      <c r="BU3172" s="920"/>
      <c r="BV3172" s="903"/>
      <c r="BW3172" s="908"/>
      <c r="BX3172" s="908"/>
      <c r="BY3172" s="331"/>
      <c r="BZ3172" s="331"/>
      <c r="CA3172" s="462"/>
      <c r="CB3172" s="319"/>
      <c r="CC3172" s="319"/>
      <c r="CD3172" s="319"/>
      <c r="CE3172" s="319"/>
      <c r="CF3172" s="319"/>
      <c r="CG3172" s="319"/>
      <c r="CH3172" s="318"/>
      <c r="CI3172" s="319"/>
      <c r="CJ3172" s="319"/>
      <c r="CK3172" s="342"/>
      <c r="CL3172" s="333"/>
      <c r="CM3172" s="1079"/>
      <c r="CN3172" s="1005"/>
      <c r="CO3172" s="1005"/>
      <c r="CP3172" s="1005"/>
    </row>
    <row r="3173">
      <c r="A3173" s="1257"/>
      <c r="B3173" s="1113"/>
      <c r="C3173" s="1107"/>
      <c r="D3173" s="103"/>
      <c r="E3173" s="1137"/>
      <c r="F3173" s="112"/>
      <c r="G3173" s="1110"/>
      <c r="H3173" s="1138"/>
      <c r="I3173" s="1138"/>
      <c r="J3173" s="1139"/>
      <c r="K3173" s="1111"/>
      <c r="L3173" s="1112"/>
      <c r="M3173" s="1113"/>
      <c r="N3173" s="110"/>
      <c r="O3173" s="1140"/>
      <c r="P3173" s="1115"/>
      <c r="Q3173" s="1116"/>
      <c r="R3173" s="1141"/>
      <c r="S3173" s="1113"/>
      <c r="T3173" s="1143"/>
      <c r="U3173" s="1108"/>
      <c r="V3173" s="1108"/>
      <c r="W3173" s="1108"/>
      <c r="X3173" s="1108"/>
      <c r="Y3173" s="1108"/>
      <c r="Z3173" s="1114"/>
      <c r="AA3173" s="1114"/>
      <c r="AB3173" s="1114"/>
      <c r="AC3173" s="1117"/>
      <c r="AD3173" s="1115"/>
      <c r="AE3173" s="1115"/>
      <c r="AF3173" s="1115"/>
      <c r="AG3173" s="1115"/>
      <c r="AH3173" s="1115"/>
      <c r="AI3173" s="1115"/>
      <c r="AJ3173" s="1117"/>
      <c r="AK3173" s="1118"/>
      <c r="AL3173" s="1115"/>
      <c r="AM3173" s="1115"/>
      <c r="AN3173" s="1115"/>
      <c r="AO3173" s="1115"/>
      <c r="AP3173" s="1115"/>
      <c r="AQ3173" s="1115"/>
      <c r="AR3173" s="1115"/>
      <c r="AS3173" s="1117"/>
      <c r="AT3173" s="1075"/>
      <c r="AU3173" s="1193"/>
      <c r="AV3173" s="330"/>
      <c r="AW3173" s="331"/>
      <c r="AX3173" s="331"/>
      <c r="AY3173" s="331"/>
      <c r="AZ3173" s="331"/>
      <c r="BA3173" s="331"/>
      <c r="BB3173" s="331"/>
      <c r="BC3173" s="331"/>
      <c r="BD3173" s="331"/>
      <c r="BE3173" s="333"/>
      <c r="BF3173" s="330"/>
      <c r="BG3173" s="333"/>
      <c r="BH3173" s="1119"/>
      <c r="BI3173" s="319"/>
      <c r="BJ3173" s="319"/>
      <c r="BK3173" s="319"/>
      <c r="BL3173" s="319"/>
      <c r="BM3173" s="319"/>
      <c r="BN3173" s="319"/>
      <c r="BO3173" s="319"/>
      <c r="BP3173" s="953"/>
      <c r="BQ3173" s="319"/>
      <c r="BR3173" s="319"/>
      <c r="BS3173" s="330"/>
      <c r="BT3173" s="331"/>
      <c r="BU3173" s="920"/>
      <c r="BV3173" s="903"/>
      <c r="BW3173" s="908"/>
      <c r="BX3173" s="908"/>
      <c r="BY3173" s="331"/>
      <c r="BZ3173" s="331"/>
      <c r="CA3173" s="462"/>
      <c r="CB3173" s="319"/>
      <c r="CC3173" s="319"/>
      <c r="CD3173" s="319"/>
      <c r="CE3173" s="319"/>
      <c r="CF3173" s="319"/>
      <c r="CG3173" s="319"/>
      <c r="CH3173" s="318"/>
      <c r="CI3173" s="319"/>
      <c r="CJ3173" s="319"/>
      <c r="CK3173" s="342"/>
      <c r="CL3173" s="333"/>
      <c r="CM3173" s="1079"/>
      <c r="CN3173" s="1005"/>
      <c r="CO3173" s="1005"/>
      <c r="CP3173" s="1005"/>
    </row>
    <row r="3174">
      <c r="A3174" s="1257"/>
      <c r="B3174" s="1113"/>
      <c r="C3174" s="1107"/>
      <c r="D3174" s="103"/>
      <c r="E3174" s="1137"/>
      <c r="F3174" s="112"/>
      <c r="G3174" s="1110"/>
      <c r="H3174" s="1138"/>
      <c r="I3174" s="1138"/>
      <c r="J3174" s="1139"/>
      <c r="K3174" s="1111"/>
      <c r="L3174" s="1112"/>
      <c r="M3174" s="1113"/>
      <c r="N3174" s="110"/>
      <c r="O3174" s="1140"/>
      <c r="P3174" s="1115"/>
      <c r="Q3174" s="1116"/>
      <c r="R3174" s="1141"/>
      <c r="S3174" s="1113"/>
      <c r="T3174" s="1143"/>
      <c r="U3174" s="1108"/>
      <c r="V3174" s="1108"/>
      <c r="W3174" s="1108"/>
      <c r="X3174" s="1108"/>
      <c r="Y3174" s="1108"/>
      <c r="Z3174" s="1114"/>
      <c r="AA3174" s="1114"/>
      <c r="AB3174" s="1114"/>
      <c r="AC3174" s="1117"/>
      <c r="AD3174" s="1115"/>
      <c r="AE3174" s="1115"/>
      <c r="AF3174" s="1115"/>
      <c r="AG3174" s="1115"/>
      <c r="AH3174" s="1115"/>
      <c r="AI3174" s="1115"/>
      <c r="AJ3174" s="1117"/>
      <c r="AK3174" s="1118"/>
      <c r="AL3174" s="1115"/>
      <c r="AM3174" s="1115"/>
      <c r="AN3174" s="1115"/>
      <c r="AO3174" s="1115"/>
      <c r="AP3174" s="1115"/>
      <c r="AQ3174" s="1115"/>
      <c r="AR3174" s="1115"/>
      <c r="AS3174" s="1117"/>
      <c r="AT3174" s="1075"/>
      <c r="AU3174" s="1193"/>
      <c r="AV3174" s="330"/>
      <c r="AW3174" s="331"/>
      <c r="AX3174" s="331"/>
      <c r="AY3174" s="331"/>
      <c r="AZ3174" s="331"/>
      <c r="BA3174" s="331"/>
      <c r="BB3174" s="331"/>
      <c r="BC3174" s="331"/>
      <c r="BD3174" s="331"/>
      <c r="BE3174" s="333"/>
      <c r="BF3174" s="330"/>
      <c r="BG3174" s="333"/>
      <c r="BH3174" s="1119"/>
      <c r="BI3174" s="319"/>
      <c r="BJ3174" s="319"/>
      <c r="BK3174" s="319"/>
      <c r="BL3174" s="319"/>
      <c r="BM3174" s="319"/>
      <c r="BN3174" s="319"/>
      <c r="BO3174" s="319"/>
      <c r="BP3174" s="953"/>
      <c r="BQ3174" s="319"/>
      <c r="BR3174" s="319"/>
      <c r="BS3174" s="330"/>
      <c r="BT3174" s="331"/>
      <c r="BU3174" s="920"/>
      <c r="BV3174" s="903"/>
      <c r="BW3174" s="908"/>
      <c r="BX3174" s="908"/>
      <c r="BY3174" s="331"/>
      <c r="BZ3174" s="331"/>
      <c r="CA3174" s="462"/>
      <c r="CB3174" s="319"/>
      <c r="CC3174" s="319"/>
      <c r="CD3174" s="319"/>
      <c r="CE3174" s="319"/>
      <c r="CF3174" s="319"/>
      <c r="CG3174" s="319"/>
      <c r="CH3174" s="318"/>
      <c r="CI3174" s="319"/>
      <c r="CJ3174" s="319"/>
      <c r="CK3174" s="342"/>
      <c r="CL3174" s="333"/>
      <c r="CM3174" s="1079"/>
      <c r="CN3174" s="1005"/>
      <c r="CO3174" s="1005"/>
      <c r="CP3174" s="1005"/>
    </row>
    <row r="3175">
      <c r="A3175" s="1257"/>
      <c r="B3175" s="1113"/>
      <c r="C3175" s="1107"/>
      <c r="D3175" s="103"/>
      <c r="E3175" s="1137"/>
      <c r="F3175" s="112"/>
      <c r="G3175" s="1110"/>
      <c r="H3175" s="1138"/>
      <c r="I3175" s="1138"/>
      <c r="J3175" s="1139"/>
      <c r="K3175" s="1111"/>
      <c r="L3175" s="1112"/>
      <c r="M3175" s="1113"/>
      <c r="N3175" s="110"/>
      <c r="O3175" s="1140"/>
      <c r="P3175" s="1115"/>
      <c r="Q3175" s="1116"/>
      <c r="R3175" s="1141"/>
      <c r="S3175" s="1113"/>
      <c r="T3175" s="1143"/>
      <c r="U3175" s="1108"/>
      <c r="V3175" s="1108"/>
      <c r="W3175" s="1108"/>
      <c r="X3175" s="1108"/>
      <c r="Y3175" s="1108"/>
      <c r="Z3175" s="1114"/>
      <c r="AA3175" s="1114"/>
      <c r="AB3175" s="1114"/>
      <c r="AC3175" s="1117"/>
      <c r="AD3175" s="1115"/>
      <c r="AE3175" s="1115"/>
      <c r="AF3175" s="1115"/>
      <c r="AG3175" s="1115"/>
      <c r="AH3175" s="1115"/>
      <c r="AI3175" s="1115"/>
      <c r="AJ3175" s="1117"/>
      <c r="AK3175" s="1118"/>
      <c r="AL3175" s="1115"/>
      <c r="AM3175" s="1115"/>
      <c r="AN3175" s="1115"/>
      <c r="AO3175" s="1115"/>
      <c r="AP3175" s="1115"/>
      <c r="AQ3175" s="1115"/>
      <c r="AR3175" s="1115"/>
      <c r="AS3175" s="1117"/>
      <c r="AT3175" s="1075"/>
      <c r="AU3175" s="1193"/>
      <c r="AV3175" s="330"/>
      <c r="AW3175" s="331"/>
      <c r="AX3175" s="331"/>
      <c r="AY3175" s="331"/>
      <c r="AZ3175" s="331"/>
      <c r="BA3175" s="331"/>
      <c r="BB3175" s="331"/>
      <c r="BC3175" s="331"/>
      <c r="BD3175" s="331"/>
      <c r="BE3175" s="333"/>
      <c r="BF3175" s="330"/>
      <c r="BG3175" s="333"/>
      <c r="BH3175" s="1119"/>
      <c r="BI3175" s="319"/>
      <c r="BJ3175" s="319"/>
      <c r="BK3175" s="319"/>
      <c r="BL3175" s="319"/>
      <c r="BM3175" s="319"/>
      <c r="BN3175" s="319"/>
      <c r="BO3175" s="319"/>
      <c r="BP3175" s="953"/>
      <c r="BQ3175" s="319"/>
      <c r="BR3175" s="319"/>
      <c r="BS3175" s="330"/>
      <c r="BT3175" s="331"/>
      <c r="BU3175" s="920"/>
      <c r="BV3175" s="903"/>
      <c r="BW3175" s="908"/>
      <c r="BX3175" s="908"/>
      <c r="BY3175" s="331"/>
      <c r="BZ3175" s="331"/>
      <c r="CA3175" s="462"/>
      <c r="CB3175" s="319"/>
      <c r="CC3175" s="319"/>
      <c r="CD3175" s="319"/>
      <c r="CE3175" s="319"/>
      <c r="CF3175" s="319"/>
      <c r="CG3175" s="319"/>
      <c r="CH3175" s="318"/>
      <c r="CI3175" s="319"/>
      <c r="CJ3175" s="319"/>
      <c r="CK3175" s="342"/>
      <c r="CL3175" s="333"/>
      <c r="CM3175" s="1079"/>
      <c r="CN3175" s="1005"/>
      <c r="CO3175" s="1005"/>
      <c r="CP3175" s="1005"/>
    </row>
    <row r="3176">
      <c r="A3176" s="1257"/>
      <c r="B3176" s="1113"/>
      <c r="C3176" s="1107"/>
      <c r="D3176" s="103"/>
      <c r="E3176" s="1137"/>
      <c r="F3176" s="112"/>
      <c r="G3176" s="1110"/>
      <c r="H3176" s="1138"/>
      <c r="I3176" s="1138"/>
      <c r="J3176" s="1139"/>
      <c r="K3176" s="1111"/>
      <c r="L3176" s="1112"/>
      <c r="M3176" s="1113"/>
      <c r="N3176" s="110"/>
      <c r="O3176" s="1140"/>
      <c r="P3176" s="1115"/>
      <c r="Q3176" s="1116"/>
      <c r="R3176" s="1141"/>
      <c r="S3176" s="1113"/>
      <c r="T3176" s="1143"/>
      <c r="U3176" s="1108"/>
      <c r="V3176" s="1108"/>
      <c r="W3176" s="1108"/>
      <c r="X3176" s="1108"/>
      <c r="Y3176" s="1108"/>
      <c r="Z3176" s="1114"/>
      <c r="AA3176" s="1114"/>
      <c r="AB3176" s="1114"/>
      <c r="AC3176" s="1117"/>
      <c r="AD3176" s="1115"/>
      <c r="AE3176" s="1115"/>
      <c r="AF3176" s="1115"/>
      <c r="AG3176" s="1115"/>
      <c r="AH3176" s="1115"/>
      <c r="AI3176" s="1115"/>
      <c r="AJ3176" s="1117"/>
      <c r="AK3176" s="1118"/>
      <c r="AL3176" s="1115"/>
      <c r="AM3176" s="1115"/>
      <c r="AN3176" s="1115"/>
      <c r="AO3176" s="1115"/>
      <c r="AP3176" s="1115"/>
      <c r="AQ3176" s="1115"/>
      <c r="AR3176" s="1115"/>
      <c r="AS3176" s="1117"/>
      <c r="AT3176" s="1075"/>
      <c r="AU3176" s="1193"/>
      <c r="AV3176" s="330"/>
      <c r="AW3176" s="331"/>
      <c r="AX3176" s="331"/>
      <c r="AY3176" s="331"/>
      <c r="AZ3176" s="331"/>
      <c r="BA3176" s="331"/>
      <c r="BB3176" s="331"/>
      <c r="BC3176" s="331"/>
      <c r="BD3176" s="331"/>
      <c r="BE3176" s="333"/>
      <c r="BF3176" s="330"/>
      <c r="BG3176" s="333"/>
      <c r="BH3176" s="1119"/>
      <c r="BI3176" s="319"/>
      <c r="BJ3176" s="319"/>
      <c r="BK3176" s="319"/>
      <c r="BL3176" s="319"/>
      <c r="BM3176" s="319"/>
      <c r="BN3176" s="319"/>
      <c r="BO3176" s="319"/>
      <c r="BP3176" s="953"/>
      <c r="BQ3176" s="319"/>
      <c r="BR3176" s="319"/>
      <c r="BS3176" s="330"/>
      <c r="BT3176" s="331"/>
      <c r="BU3176" s="920"/>
      <c r="BV3176" s="903"/>
      <c r="BW3176" s="908"/>
      <c r="BX3176" s="908"/>
      <c r="BY3176" s="331"/>
      <c r="BZ3176" s="331"/>
      <c r="CA3176" s="462"/>
      <c r="CB3176" s="319"/>
      <c r="CC3176" s="319"/>
      <c r="CD3176" s="319"/>
      <c r="CE3176" s="319"/>
      <c r="CF3176" s="319"/>
      <c r="CG3176" s="319"/>
      <c r="CH3176" s="318"/>
      <c r="CI3176" s="319"/>
      <c r="CJ3176" s="319"/>
      <c r="CK3176" s="342"/>
      <c r="CL3176" s="333"/>
      <c r="CM3176" s="1079"/>
      <c r="CN3176" s="1005"/>
      <c r="CO3176" s="1005"/>
      <c r="CP3176" s="1005"/>
    </row>
    <row r="3177">
      <c r="A3177" s="1257"/>
      <c r="B3177" s="1113"/>
      <c r="C3177" s="1107"/>
      <c r="D3177" s="103"/>
      <c r="E3177" s="1137"/>
      <c r="F3177" s="112"/>
      <c r="G3177" s="1110"/>
      <c r="H3177" s="1138"/>
      <c r="I3177" s="1138"/>
      <c r="J3177" s="1139"/>
      <c r="K3177" s="1111"/>
      <c r="L3177" s="1112"/>
      <c r="M3177" s="1113"/>
      <c r="N3177" s="110"/>
      <c r="O3177" s="1140"/>
      <c r="P3177" s="1115"/>
      <c r="Q3177" s="1116"/>
      <c r="R3177" s="1141"/>
      <c r="S3177" s="1113"/>
      <c r="T3177" s="1143"/>
      <c r="U3177" s="1108"/>
      <c r="V3177" s="1108"/>
      <c r="W3177" s="1108"/>
      <c r="X3177" s="1108"/>
      <c r="Y3177" s="1108"/>
      <c r="Z3177" s="1114"/>
      <c r="AA3177" s="1114"/>
      <c r="AB3177" s="1114"/>
      <c r="AC3177" s="1117"/>
      <c r="AD3177" s="1115"/>
      <c r="AE3177" s="1115"/>
      <c r="AF3177" s="1115"/>
      <c r="AG3177" s="1115"/>
      <c r="AH3177" s="1115"/>
      <c r="AI3177" s="1115"/>
      <c r="AJ3177" s="1117"/>
      <c r="AK3177" s="1118"/>
      <c r="AL3177" s="1115"/>
      <c r="AM3177" s="1115"/>
      <c r="AN3177" s="1115"/>
      <c r="AO3177" s="1115"/>
      <c r="AP3177" s="1115"/>
      <c r="AQ3177" s="1115"/>
      <c r="AR3177" s="1115"/>
      <c r="AS3177" s="1117"/>
      <c r="AT3177" s="1075"/>
      <c r="AU3177" s="1193"/>
      <c r="AV3177" s="330"/>
      <c r="AW3177" s="331"/>
      <c r="AX3177" s="331"/>
      <c r="AY3177" s="331"/>
      <c r="AZ3177" s="331"/>
      <c r="BA3177" s="331"/>
      <c r="BB3177" s="331"/>
      <c r="BC3177" s="331"/>
      <c r="BD3177" s="331"/>
      <c r="BE3177" s="333"/>
      <c r="BF3177" s="330"/>
      <c r="BG3177" s="333"/>
      <c r="BH3177" s="1119"/>
      <c r="BI3177" s="319"/>
      <c r="BJ3177" s="319"/>
      <c r="BK3177" s="319"/>
      <c r="BL3177" s="319"/>
      <c r="BM3177" s="319"/>
      <c r="BN3177" s="319"/>
      <c r="BO3177" s="319"/>
      <c r="BP3177" s="953"/>
      <c r="BQ3177" s="319"/>
      <c r="BR3177" s="319"/>
      <c r="BS3177" s="330"/>
      <c r="BT3177" s="331"/>
      <c r="BU3177" s="920"/>
      <c r="BV3177" s="903"/>
      <c r="BW3177" s="908"/>
      <c r="BX3177" s="908"/>
      <c r="BY3177" s="331"/>
      <c r="BZ3177" s="331"/>
      <c r="CA3177" s="462"/>
      <c r="CB3177" s="319"/>
      <c r="CC3177" s="319"/>
      <c r="CD3177" s="319"/>
      <c r="CE3177" s="319"/>
      <c r="CF3177" s="319"/>
      <c r="CG3177" s="319"/>
      <c r="CH3177" s="318"/>
      <c r="CI3177" s="319"/>
      <c r="CJ3177" s="319"/>
      <c r="CK3177" s="342"/>
      <c r="CL3177" s="333"/>
      <c r="CM3177" s="1079"/>
      <c r="CN3177" s="1005"/>
      <c r="CO3177" s="1005"/>
      <c r="CP3177" s="1005"/>
    </row>
    <row r="3178">
      <c r="A3178" s="1257"/>
      <c r="B3178" s="1113"/>
      <c r="C3178" s="1107"/>
      <c r="D3178" s="103"/>
      <c r="E3178" s="1137"/>
      <c r="F3178" s="112"/>
      <c r="G3178" s="1110"/>
      <c r="H3178" s="1138"/>
      <c r="I3178" s="1138"/>
      <c r="J3178" s="1139"/>
      <c r="K3178" s="1111"/>
      <c r="L3178" s="1112"/>
      <c r="M3178" s="1113"/>
      <c r="N3178" s="110"/>
      <c r="O3178" s="1140"/>
      <c r="P3178" s="1115"/>
      <c r="Q3178" s="1116"/>
      <c r="R3178" s="1141"/>
      <c r="S3178" s="1113"/>
      <c r="T3178" s="1143"/>
      <c r="U3178" s="1108"/>
      <c r="V3178" s="1108"/>
      <c r="W3178" s="1108"/>
      <c r="X3178" s="1108"/>
      <c r="Y3178" s="1108"/>
      <c r="Z3178" s="1114"/>
      <c r="AA3178" s="1114"/>
      <c r="AB3178" s="1114"/>
      <c r="AC3178" s="1117"/>
      <c r="AD3178" s="1115"/>
      <c r="AE3178" s="1115"/>
      <c r="AF3178" s="1115"/>
      <c r="AG3178" s="1115"/>
      <c r="AH3178" s="1115"/>
      <c r="AI3178" s="1115"/>
      <c r="AJ3178" s="1117"/>
      <c r="AK3178" s="1118"/>
      <c r="AL3178" s="1115"/>
      <c r="AM3178" s="1115"/>
      <c r="AN3178" s="1115"/>
      <c r="AO3178" s="1115"/>
      <c r="AP3178" s="1115"/>
      <c r="AQ3178" s="1115"/>
      <c r="AR3178" s="1115"/>
      <c r="AS3178" s="1117"/>
      <c r="AT3178" s="1075"/>
      <c r="AU3178" s="1193"/>
      <c r="AV3178" s="330"/>
      <c r="AW3178" s="331"/>
      <c r="AX3178" s="331"/>
      <c r="AY3178" s="331"/>
      <c r="AZ3178" s="331"/>
      <c r="BA3178" s="331"/>
      <c r="BB3178" s="331"/>
      <c r="BC3178" s="331"/>
      <c r="BD3178" s="331"/>
      <c r="BE3178" s="333"/>
      <c r="BF3178" s="330"/>
      <c r="BG3178" s="333"/>
      <c r="BH3178" s="1119"/>
      <c r="BI3178" s="319"/>
      <c r="BJ3178" s="319"/>
      <c r="BK3178" s="319"/>
      <c r="BL3178" s="319"/>
      <c r="BM3178" s="319"/>
      <c r="BN3178" s="319"/>
      <c r="BO3178" s="319"/>
      <c r="BP3178" s="953"/>
      <c r="BQ3178" s="319"/>
      <c r="BR3178" s="319"/>
      <c r="BS3178" s="330"/>
      <c r="BT3178" s="331"/>
      <c r="BU3178" s="920"/>
      <c r="BV3178" s="903"/>
      <c r="BW3178" s="908"/>
      <c r="BX3178" s="908"/>
      <c r="BY3178" s="331"/>
      <c r="BZ3178" s="331"/>
      <c r="CA3178" s="462"/>
      <c r="CB3178" s="319"/>
      <c r="CC3178" s="319"/>
      <c r="CD3178" s="319"/>
      <c r="CE3178" s="319"/>
      <c r="CF3178" s="319"/>
      <c r="CG3178" s="319"/>
      <c r="CH3178" s="318"/>
      <c r="CI3178" s="319"/>
      <c r="CJ3178" s="319"/>
      <c r="CK3178" s="342"/>
      <c r="CL3178" s="333"/>
      <c r="CM3178" s="1079"/>
      <c r="CN3178" s="1005"/>
      <c r="CO3178" s="1005"/>
      <c r="CP3178" s="1005"/>
    </row>
    <row r="3179">
      <c r="A3179" s="1257"/>
      <c r="B3179" s="1113"/>
      <c r="C3179" s="1107"/>
      <c r="D3179" s="103"/>
      <c r="E3179" s="1137"/>
      <c r="F3179" s="112"/>
      <c r="G3179" s="1110"/>
      <c r="H3179" s="1138"/>
      <c r="I3179" s="1138"/>
      <c r="J3179" s="1139"/>
      <c r="K3179" s="1111"/>
      <c r="L3179" s="1112"/>
      <c r="M3179" s="1113"/>
      <c r="N3179" s="110"/>
      <c r="O3179" s="1140"/>
      <c r="P3179" s="1115"/>
      <c r="Q3179" s="1116"/>
      <c r="R3179" s="1141"/>
      <c r="S3179" s="1113"/>
      <c r="T3179" s="1143"/>
      <c r="U3179" s="1108"/>
      <c r="V3179" s="1108"/>
      <c r="W3179" s="1108"/>
      <c r="X3179" s="1108"/>
      <c r="Y3179" s="1108"/>
      <c r="Z3179" s="1114"/>
      <c r="AA3179" s="1114"/>
      <c r="AB3179" s="1114"/>
      <c r="AC3179" s="1117"/>
      <c r="AD3179" s="1115"/>
      <c r="AE3179" s="1115"/>
      <c r="AF3179" s="1115"/>
      <c r="AG3179" s="1115"/>
      <c r="AH3179" s="1115"/>
      <c r="AI3179" s="1115"/>
      <c r="AJ3179" s="1117"/>
      <c r="AK3179" s="1118"/>
      <c r="AL3179" s="1115"/>
      <c r="AM3179" s="1115"/>
      <c r="AN3179" s="1115"/>
      <c r="AO3179" s="1115"/>
      <c r="AP3179" s="1115"/>
      <c r="AQ3179" s="1115"/>
      <c r="AR3179" s="1115"/>
      <c r="AS3179" s="1117"/>
      <c r="AT3179" s="1075"/>
      <c r="AU3179" s="1193"/>
      <c r="AV3179" s="330"/>
      <c r="AW3179" s="331"/>
      <c r="AX3179" s="331"/>
      <c r="AY3179" s="331"/>
      <c r="AZ3179" s="331"/>
      <c r="BA3179" s="331"/>
      <c r="BB3179" s="331"/>
      <c r="BC3179" s="331"/>
      <c r="BD3179" s="331"/>
      <c r="BE3179" s="333"/>
      <c r="BF3179" s="330"/>
      <c r="BG3179" s="333"/>
      <c r="BH3179" s="1119"/>
      <c r="BI3179" s="319"/>
      <c r="BJ3179" s="319"/>
      <c r="BK3179" s="319"/>
      <c r="BL3179" s="319"/>
      <c r="BM3179" s="319"/>
      <c r="BN3179" s="319"/>
      <c r="BO3179" s="319"/>
      <c r="BP3179" s="953"/>
      <c r="BQ3179" s="319"/>
      <c r="BR3179" s="319"/>
      <c r="BS3179" s="330"/>
      <c r="BT3179" s="331"/>
      <c r="BU3179" s="920"/>
      <c r="BV3179" s="903"/>
      <c r="BW3179" s="908"/>
      <c r="BX3179" s="908"/>
      <c r="BY3179" s="331"/>
      <c r="BZ3179" s="331"/>
      <c r="CA3179" s="462"/>
      <c r="CB3179" s="319"/>
      <c r="CC3179" s="319"/>
      <c r="CD3179" s="319"/>
      <c r="CE3179" s="319"/>
      <c r="CF3179" s="319"/>
      <c r="CG3179" s="319"/>
      <c r="CH3179" s="318"/>
      <c r="CI3179" s="319"/>
      <c r="CJ3179" s="319"/>
      <c r="CK3179" s="342"/>
      <c r="CL3179" s="333"/>
      <c r="CM3179" s="1079"/>
      <c r="CN3179" s="1005"/>
      <c r="CO3179" s="1005"/>
      <c r="CP3179" s="1005"/>
    </row>
    <row r="3180">
      <c r="A3180" s="1257"/>
      <c r="B3180" s="1113"/>
      <c r="C3180" s="1107"/>
      <c r="D3180" s="103"/>
      <c r="E3180" s="1137"/>
      <c r="F3180" s="112"/>
      <c r="G3180" s="1110"/>
      <c r="H3180" s="1138"/>
      <c r="I3180" s="1138"/>
      <c r="J3180" s="1139"/>
      <c r="K3180" s="1111"/>
      <c r="L3180" s="1112"/>
      <c r="M3180" s="1113"/>
      <c r="N3180" s="110"/>
      <c r="O3180" s="1140"/>
      <c r="P3180" s="1115"/>
      <c r="Q3180" s="1116"/>
      <c r="R3180" s="1141"/>
      <c r="S3180" s="1113"/>
      <c r="T3180" s="1143"/>
      <c r="U3180" s="1108"/>
      <c r="V3180" s="1108"/>
      <c r="W3180" s="1108"/>
      <c r="X3180" s="1108"/>
      <c r="Y3180" s="1108"/>
      <c r="Z3180" s="1114"/>
      <c r="AA3180" s="1114"/>
      <c r="AB3180" s="1114"/>
      <c r="AC3180" s="1117"/>
      <c r="AD3180" s="1115"/>
      <c r="AE3180" s="1115"/>
      <c r="AF3180" s="1115"/>
      <c r="AG3180" s="1115"/>
      <c r="AH3180" s="1115"/>
      <c r="AI3180" s="1115"/>
      <c r="AJ3180" s="1117"/>
      <c r="AK3180" s="1118"/>
      <c r="AL3180" s="1115"/>
      <c r="AM3180" s="1115"/>
      <c r="AN3180" s="1115"/>
      <c r="AO3180" s="1115"/>
      <c r="AP3180" s="1115"/>
      <c r="AQ3180" s="1115"/>
      <c r="AR3180" s="1115"/>
      <c r="AS3180" s="1117"/>
      <c r="AT3180" s="1075"/>
      <c r="AU3180" s="1193"/>
      <c r="AV3180" s="330"/>
      <c r="AW3180" s="331"/>
      <c r="AX3180" s="331"/>
      <c r="AY3180" s="331"/>
      <c r="AZ3180" s="331"/>
      <c r="BA3180" s="331"/>
      <c r="BB3180" s="331"/>
      <c r="BC3180" s="331"/>
      <c r="BD3180" s="331"/>
      <c r="BE3180" s="333"/>
      <c r="BF3180" s="330"/>
      <c r="BG3180" s="333"/>
      <c r="BH3180" s="1119"/>
      <c r="BI3180" s="319"/>
      <c r="BJ3180" s="319"/>
      <c r="BK3180" s="319"/>
      <c r="BL3180" s="319"/>
      <c r="BM3180" s="319"/>
      <c r="BN3180" s="319"/>
      <c r="BO3180" s="319"/>
      <c r="BP3180" s="953"/>
      <c r="BQ3180" s="319"/>
      <c r="BR3180" s="319"/>
      <c r="BS3180" s="330"/>
      <c r="BT3180" s="331"/>
      <c r="BU3180" s="920"/>
      <c r="BV3180" s="903"/>
      <c r="BW3180" s="908"/>
      <c r="BX3180" s="908"/>
      <c r="BY3180" s="331"/>
      <c r="BZ3180" s="331"/>
      <c r="CA3180" s="462"/>
      <c r="CB3180" s="319"/>
      <c r="CC3180" s="319"/>
      <c r="CD3180" s="319"/>
      <c r="CE3180" s="319"/>
      <c r="CF3180" s="319"/>
      <c r="CG3180" s="319"/>
      <c r="CH3180" s="318"/>
      <c r="CI3180" s="319"/>
      <c r="CJ3180" s="319"/>
      <c r="CK3180" s="342"/>
      <c r="CL3180" s="333"/>
      <c r="CM3180" s="1079"/>
      <c r="CN3180" s="1005"/>
      <c r="CO3180" s="1005"/>
      <c r="CP3180" s="1005"/>
    </row>
    <row r="3181">
      <c r="A3181" s="1257"/>
      <c r="B3181" s="1113"/>
      <c r="C3181" s="1107"/>
      <c r="D3181" s="103"/>
      <c r="E3181" s="1137"/>
      <c r="F3181" s="112"/>
      <c r="G3181" s="1110"/>
      <c r="H3181" s="1138"/>
      <c r="I3181" s="1138"/>
      <c r="J3181" s="1139"/>
      <c r="K3181" s="1111"/>
      <c r="L3181" s="1112"/>
      <c r="M3181" s="1113"/>
      <c r="N3181" s="110"/>
      <c r="O3181" s="1140"/>
      <c r="P3181" s="1115"/>
      <c r="Q3181" s="1116"/>
      <c r="R3181" s="1141"/>
      <c r="S3181" s="1113"/>
      <c r="T3181" s="1143"/>
      <c r="U3181" s="1108"/>
      <c r="V3181" s="1108"/>
      <c r="W3181" s="1108"/>
      <c r="X3181" s="1108"/>
      <c r="Y3181" s="1108"/>
      <c r="Z3181" s="1114"/>
      <c r="AA3181" s="1114"/>
      <c r="AB3181" s="1114"/>
      <c r="AC3181" s="1117"/>
      <c r="AD3181" s="1115"/>
      <c r="AE3181" s="1115"/>
      <c r="AF3181" s="1115"/>
      <c r="AG3181" s="1115"/>
      <c r="AH3181" s="1115"/>
      <c r="AI3181" s="1115"/>
      <c r="AJ3181" s="1117"/>
      <c r="AK3181" s="1118"/>
      <c r="AL3181" s="1115"/>
      <c r="AM3181" s="1115"/>
      <c r="AN3181" s="1115"/>
      <c r="AO3181" s="1115"/>
      <c r="AP3181" s="1115"/>
      <c r="AQ3181" s="1115"/>
      <c r="AR3181" s="1115"/>
      <c r="AS3181" s="1117"/>
      <c r="AT3181" s="1075"/>
      <c r="AU3181" s="1193"/>
      <c r="AV3181" s="330"/>
      <c r="AW3181" s="331"/>
      <c r="AX3181" s="331"/>
      <c r="AY3181" s="331"/>
      <c r="AZ3181" s="331"/>
      <c r="BA3181" s="331"/>
      <c r="BB3181" s="331"/>
      <c r="BC3181" s="331"/>
      <c r="BD3181" s="331"/>
      <c r="BE3181" s="333"/>
      <c r="BF3181" s="330"/>
      <c r="BG3181" s="333"/>
      <c r="BH3181" s="1119"/>
      <c r="BI3181" s="319"/>
      <c r="BJ3181" s="319"/>
      <c r="BK3181" s="319"/>
      <c r="BL3181" s="319"/>
      <c r="BM3181" s="319"/>
      <c r="BN3181" s="319"/>
      <c r="BO3181" s="319"/>
      <c r="BP3181" s="953"/>
      <c r="BQ3181" s="319"/>
      <c r="BR3181" s="319"/>
      <c r="BS3181" s="330"/>
      <c r="BT3181" s="331"/>
      <c r="BU3181" s="920"/>
      <c r="BV3181" s="903"/>
      <c r="BW3181" s="908"/>
      <c r="BX3181" s="908"/>
      <c r="BY3181" s="331"/>
      <c r="BZ3181" s="331"/>
      <c r="CA3181" s="462"/>
      <c r="CB3181" s="319"/>
      <c r="CC3181" s="319"/>
      <c r="CD3181" s="319"/>
      <c r="CE3181" s="319"/>
      <c r="CF3181" s="319"/>
      <c r="CG3181" s="319"/>
      <c r="CH3181" s="318"/>
      <c r="CI3181" s="319"/>
      <c r="CJ3181" s="319"/>
      <c r="CK3181" s="342"/>
      <c r="CL3181" s="333"/>
      <c r="CM3181" s="1079"/>
      <c r="CN3181" s="1005"/>
      <c r="CO3181" s="1005"/>
      <c r="CP3181" s="1005"/>
    </row>
    <row r="3182">
      <c r="A3182" s="1257"/>
      <c r="B3182" s="1113"/>
      <c r="C3182" s="1107"/>
      <c r="D3182" s="103"/>
      <c r="E3182" s="1137"/>
      <c r="F3182" s="112"/>
      <c r="G3182" s="1110"/>
      <c r="H3182" s="1138"/>
      <c r="I3182" s="1138"/>
      <c r="J3182" s="1139"/>
      <c r="K3182" s="1111"/>
      <c r="L3182" s="1112"/>
      <c r="M3182" s="1113"/>
      <c r="N3182" s="110"/>
      <c r="O3182" s="1140"/>
      <c r="P3182" s="1115"/>
      <c r="Q3182" s="1116"/>
      <c r="R3182" s="1141"/>
      <c r="S3182" s="1113"/>
      <c r="T3182" s="1143"/>
      <c r="U3182" s="1108"/>
      <c r="V3182" s="1108"/>
      <c r="W3182" s="1108"/>
      <c r="X3182" s="1108"/>
      <c r="Y3182" s="1108"/>
      <c r="Z3182" s="1114"/>
      <c r="AA3182" s="1114"/>
      <c r="AB3182" s="1114"/>
      <c r="AC3182" s="1117"/>
      <c r="AD3182" s="1115"/>
      <c r="AE3182" s="1115"/>
      <c r="AF3182" s="1115"/>
      <c r="AG3182" s="1115"/>
      <c r="AH3182" s="1115"/>
      <c r="AI3182" s="1115"/>
      <c r="AJ3182" s="1117"/>
      <c r="AK3182" s="1118"/>
      <c r="AL3182" s="1115"/>
      <c r="AM3182" s="1115"/>
      <c r="AN3182" s="1115"/>
      <c r="AO3182" s="1115"/>
      <c r="AP3182" s="1115"/>
      <c r="AQ3182" s="1115"/>
      <c r="AR3182" s="1115"/>
      <c r="AS3182" s="1117"/>
      <c r="AT3182" s="1075"/>
      <c r="AU3182" s="1193"/>
      <c r="AV3182" s="330"/>
      <c r="AW3182" s="331"/>
      <c r="AX3182" s="331"/>
      <c r="AY3182" s="331"/>
      <c r="AZ3182" s="331"/>
      <c r="BA3182" s="331"/>
      <c r="BB3182" s="331"/>
      <c r="BC3182" s="331"/>
      <c r="BD3182" s="331"/>
      <c r="BE3182" s="333"/>
      <c r="BF3182" s="330"/>
      <c r="BG3182" s="333"/>
      <c r="BH3182" s="1119"/>
      <c r="BI3182" s="319"/>
      <c r="BJ3182" s="319"/>
      <c r="BK3182" s="319"/>
      <c r="BL3182" s="319"/>
      <c r="BM3182" s="319"/>
      <c r="BN3182" s="319"/>
      <c r="BO3182" s="319"/>
      <c r="BP3182" s="953"/>
      <c r="BQ3182" s="319"/>
      <c r="BR3182" s="319"/>
      <c r="BS3182" s="330"/>
      <c r="BT3182" s="331"/>
      <c r="BU3182" s="920"/>
      <c r="BV3182" s="903"/>
      <c r="BW3182" s="908"/>
      <c r="BX3182" s="908"/>
      <c r="BY3182" s="331"/>
      <c r="BZ3182" s="331"/>
      <c r="CA3182" s="462"/>
      <c r="CB3182" s="319"/>
      <c r="CC3182" s="319"/>
      <c r="CD3182" s="319"/>
      <c r="CE3182" s="319"/>
      <c r="CF3182" s="319"/>
      <c r="CG3182" s="319"/>
      <c r="CH3182" s="318"/>
      <c r="CI3182" s="319"/>
      <c r="CJ3182" s="319"/>
      <c r="CK3182" s="342"/>
      <c r="CL3182" s="333"/>
      <c r="CM3182" s="1079"/>
      <c r="CN3182" s="1005"/>
      <c r="CO3182" s="1005"/>
      <c r="CP3182" s="1005"/>
    </row>
    <row r="3183">
      <c r="A3183" s="1257"/>
      <c r="B3183" s="1113"/>
      <c r="C3183" s="1107"/>
      <c r="D3183" s="103"/>
      <c r="E3183" s="1137"/>
      <c r="F3183" s="112"/>
      <c r="G3183" s="1110"/>
      <c r="H3183" s="1138"/>
      <c r="I3183" s="1138"/>
      <c r="J3183" s="1139"/>
      <c r="K3183" s="1111"/>
      <c r="L3183" s="1112"/>
      <c r="M3183" s="1113"/>
      <c r="N3183" s="110"/>
      <c r="O3183" s="1140"/>
      <c r="P3183" s="1115"/>
      <c r="Q3183" s="1116"/>
      <c r="R3183" s="1141"/>
      <c r="S3183" s="1113"/>
      <c r="T3183" s="1143"/>
      <c r="U3183" s="1108"/>
      <c r="V3183" s="1108"/>
      <c r="W3183" s="1108"/>
      <c r="X3183" s="1108"/>
      <c r="Y3183" s="1108"/>
      <c r="Z3183" s="1114"/>
      <c r="AA3183" s="1114"/>
      <c r="AB3183" s="1114"/>
      <c r="AC3183" s="1117"/>
      <c r="AD3183" s="1115"/>
      <c r="AE3183" s="1115"/>
      <c r="AF3183" s="1115"/>
      <c r="AG3183" s="1115"/>
      <c r="AH3183" s="1115"/>
      <c r="AI3183" s="1115"/>
      <c r="AJ3183" s="1117"/>
      <c r="AK3183" s="1118"/>
      <c r="AL3183" s="1115"/>
      <c r="AM3183" s="1115"/>
      <c r="AN3183" s="1115"/>
      <c r="AO3183" s="1115"/>
      <c r="AP3183" s="1115"/>
      <c r="AQ3183" s="1115"/>
      <c r="AR3183" s="1115"/>
      <c r="AS3183" s="1117"/>
      <c r="AT3183" s="1075"/>
      <c r="AU3183" s="1193"/>
      <c r="AV3183" s="330"/>
      <c r="AW3183" s="331"/>
      <c r="AX3183" s="331"/>
      <c r="AY3183" s="331"/>
      <c r="AZ3183" s="331"/>
      <c r="BA3183" s="331"/>
      <c r="BB3183" s="331"/>
      <c r="BC3183" s="331"/>
      <c r="BD3183" s="331"/>
      <c r="BE3183" s="333"/>
      <c r="BF3183" s="330"/>
      <c r="BG3183" s="333"/>
      <c r="BH3183" s="1119"/>
      <c r="BI3183" s="319"/>
      <c r="BJ3183" s="319"/>
      <c r="BK3183" s="319"/>
      <c r="BL3183" s="319"/>
      <c r="BM3183" s="319"/>
      <c r="BN3183" s="319"/>
      <c r="BO3183" s="319"/>
      <c r="BP3183" s="953"/>
      <c r="BQ3183" s="319"/>
      <c r="BR3183" s="319"/>
      <c r="BS3183" s="330"/>
      <c r="BT3183" s="331"/>
      <c r="BU3183" s="920"/>
      <c r="BV3183" s="903"/>
      <c r="BW3183" s="908"/>
      <c r="BX3183" s="908"/>
      <c r="BY3183" s="331"/>
      <c r="BZ3183" s="331"/>
      <c r="CA3183" s="462"/>
      <c r="CB3183" s="319"/>
      <c r="CC3183" s="319"/>
      <c r="CD3183" s="319"/>
      <c r="CE3183" s="319"/>
      <c r="CF3183" s="319"/>
      <c r="CG3183" s="319"/>
      <c r="CH3183" s="318"/>
      <c r="CI3183" s="319"/>
      <c r="CJ3183" s="319"/>
      <c r="CK3183" s="342"/>
      <c r="CL3183" s="333"/>
      <c r="CM3183" s="1079"/>
      <c r="CN3183" s="1005"/>
      <c r="CO3183" s="1005"/>
      <c r="CP3183" s="1005"/>
    </row>
    <row r="3184">
      <c r="A3184" s="1257"/>
      <c r="B3184" s="1113"/>
      <c r="C3184" s="1107"/>
      <c r="D3184" s="103"/>
      <c r="E3184" s="1137"/>
      <c r="F3184" s="112"/>
      <c r="G3184" s="1110"/>
      <c r="H3184" s="1138"/>
      <c r="I3184" s="1138"/>
      <c r="J3184" s="1139"/>
      <c r="K3184" s="1111"/>
      <c r="L3184" s="1112"/>
      <c r="M3184" s="1113"/>
      <c r="N3184" s="110"/>
      <c r="O3184" s="1140"/>
      <c r="P3184" s="1115"/>
      <c r="Q3184" s="1116"/>
      <c r="R3184" s="1141"/>
      <c r="S3184" s="1113"/>
      <c r="T3184" s="1143"/>
      <c r="U3184" s="1108"/>
      <c r="V3184" s="1108"/>
      <c r="W3184" s="1108"/>
      <c r="X3184" s="1108"/>
      <c r="Y3184" s="1108"/>
      <c r="Z3184" s="1114"/>
      <c r="AA3184" s="1114"/>
      <c r="AB3184" s="1114"/>
      <c r="AC3184" s="1117"/>
      <c r="AD3184" s="1115"/>
      <c r="AE3184" s="1115"/>
      <c r="AF3184" s="1115"/>
      <c r="AG3184" s="1115"/>
      <c r="AH3184" s="1115"/>
      <c r="AI3184" s="1115"/>
      <c r="AJ3184" s="1117"/>
      <c r="AK3184" s="1118"/>
      <c r="AL3184" s="1115"/>
      <c r="AM3184" s="1115"/>
      <c r="AN3184" s="1115"/>
      <c r="AO3184" s="1115"/>
      <c r="AP3184" s="1115"/>
      <c r="AQ3184" s="1115"/>
      <c r="AR3184" s="1115"/>
      <c r="AS3184" s="1117"/>
      <c r="AT3184" s="1075"/>
      <c r="AU3184" s="1193"/>
      <c r="AV3184" s="330"/>
      <c r="AW3184" s="331"/>
      <c r="AX3184" s="331"/>
      <c r="AY3184" s="331"/>
      <c r="AZ3184" s="331"/>
      <c r="BA3184" s="331"/>
      <c r="BB3184" s="331"/>
      <c r="BC3184" s="331"/>
      <c r="BD3184" s="331"/>
      <c r="BE3184" s="333"/>
      <c r="BF3184" s="330"/>
      <c r="BG3184" s="333"/>
      <c r="BH3184" s="1119"/>
      <c r="BI3184" s="319"/>
      <c r="BJ3184" s="319"/>
      <c r="BK3184" s="319"/>
      <c r="BL3184" s="319"/>
      <c r="BM3184" s="319"/>
      <c r="BN3184" s="319"/>
      <c r="BO3184" s="319"/>
      <c r="BP3184" s="953"/>
      <c r="BQ3184" s="319"/>
      <c r="BR3184" s="319"/>
      <c r="BS3184" s="330"/>
      <c r="BT3184" s="331"/>
      <c r="BU3184" s="920"/>
      <c r="BV3184" s="903"/>
      <c r="BW3184" s="908"/>
      <c r="BX3184" s="908"/>
      <c r="BY3184" s="331"/>
      <c r="BZ3184" s="331"/>
      <c r="CA3184" s="462"/>
      <c r="CB3184" s="319"/>
      <c r="CC3184" s="319"/>
      <c r="CD3184" s="319"/>
      <c r="CE3184" s="319"/>
      <c r="CF3184" s="319"/>
      <c r="CG3184" s="319"/>
      <c r="CH3184" s="318"/>
      <c r="CI3184" s="319"/>
      <c r="CJ3184" s="319"/>
      <c r="CK3184" s="342"/>
      <c r="CL3184" s="333"/>
      <c r="CM3184" s="1079"/>
      <c r="CN3184" s="1005"/>
      <c r="CO3184" s="1005"/>
      <c r="CP3184" s="1005"/>
    </row>
    <row r="3185">
      <c r="A3185" s="1257"/>
      <c r="B3185" s="1113"/>
      <c r="C3185" s="1107"/>
      <c r="D3185" s="103"/>
      <c r="E3185" s="1137"/>
      <c r="F3185" s="112"/>
      <c r="G3185" s="1110"/>
      <c r="H3185" s="1138"/>
      <c r="I3185" s="1138"/>
      <c r="J3185" s="1139"/>
      <c r="K3185" s="1111"/>
      <c r="L3185" s="1112"/>
      <c r="M3185" s="1113"/>
      <c r="N3185" s="110"/>
      <c r="O3185" s="1140"/>
      <c r="P3185" s="1115"/>
      <c r="Q3185" s="1116"/>
      <c r="R3185" s="1141"/>
      <c r="S3185" s="1113"/>
      <c r="T3185" s="1143"/>
      <c r="U3185" s="1108"/>
      <c r="V3185" s="1108"/>
      <c r="W3185" s="1108"/>
      <c r="X3185" s="1108"/>
      <c r="Y3185" s="1108"/>
      <c r="Z3185" s="1114"/>
      <c r="AA3185" s="1114"/>
      <c r="AB3185" s="1114"/>
      <c r="AC3185" s="1117"/>
      <c r="AD3185" s="1115"/>
      <c r="AE3185" s="1115"/>
      <c r="AF3185" s="1115"/>
      <c r="AG3185" s="1115"/>
      <c r="AH3185" s="1115"/>
      <c r="AI3185" s="1115"/>
      <c r="AJ3185" s="1117"/>
      <c r="AK3185" s="1118"/>
      <c r="AL3185" s="1115"/>
      <c r="AM3185" s="1115"/>
      <c r="AN3185" s="1115"/>
      <c r="AO3185" s="1115"/>
      <c r="AP3185" s="1115"/>
      <c r="AQ3185" s="1115"/>
      <c r="AR3185" s="1115"/>
      <c r="AS3185" s="1117"/>
      <c r="AT3185" s="1075"/>
      <c r="AU3185" s="1193"/>
      <c r="AV3185" s="330"/>
      <c r="AW3185" s="331"/>
      <c r="AX3185" s="331"/>
      <c r="AY3185" s="331"/>
      <c r="AZ3185" s="331"/>
      <c r="BA3185" s="331"/>
      <c r="BB3185" s="331"/>
      <c r="BC3185" s="331"/>
      <c r="BD3185" s="331"/>
      <c r="BE3185" s="333"/>
      <c r="BF3185" s="330"/>
      <c r="BG3185" s="333"/>
      <c r="BH3185" s="1119"/>
      <c r="BI3185" s="319"/>
      <c r="BJ3185" s="319"/>
      <c r="BK3185" s="319"/>
      <c r="BL3185" s="319"/>
      <c r="BM3185" s="319"/>
      <c r="BN3185" s="319"/>
      <c r="BO3185" s="319"/>
      <c r="BP3185" s="953"/>
      <c r="BQ3185" s="319"/>
      <c r="BR3185" s="319"/>
      <c r="BS3185" s="330"/>
      <c r="BT3185" s="331"/>
      <c r="BU3185" s="920"/>
      <c r="BV3185" s="903"/>
      <c r="BW3185" s="908"/>
      <c r="BX3185" s="908"/>
      <c r="BY3185" s="331"/>
      <c r="BZ3185" s="331"/>
      <c r="CA3185" s="462"/>
      <c r="CB3185" s="319"/>
      <c r="CC3185" s="319"/>
      <c r="CD3185" s="319"/>
      <c r="CE3185" s="319"/>
      <c r="CF3185" s="319"/>
      <c r="CG3185" s="319"/>
      <c r="CH3185" s="318"/>
      <c r="CI3185" s="319"/>
      <c r="CJ3185" s="319"/>
      <c r="CK3185" s="342"/>
      <c r="CL3185" s="333"/>
      <c r="CM3185" s="1079"/>
      <c r="CN3185" s="1005"/>
      <c r="CO3185" s="1005"/>
      <c r="CP3185" s="1005"/>
    </row>
    <row r="3186">
      <c r="A3186" s="1257"/>
      <c r="B3186" s="1113"/>
      <c r="C3186" s="1107"/>
      <c r="D3186" s="103"/>
      <c r="E3186" s="1137"/>
      <c r="F3186" s="112"/>
      <c r="G3186" s="1110"/>
      <c r="H3186" s="1138"/>
      <c r="I3186" s="1138"/>
      <c r="J3186" s="1139"/>
      <c r="K3186" s="1111"/>
      <c r="L3186" s="1112"/>
      <c r="M3186" s="1113"/>
      <c r="N3186" s="110"/>
      <c r="O3186" s="1140"/>
      <c r="P3186" s="1115"/>
      <c r="Q3186" s="1116"/>
      <c r="R3186" s="1141"/>
      <c r="S3186" s="1113"/>
      <c r="T3186" s="1143"/>
      <c r="U3186" s="1108"/>
      <c r="V3186" s="1108"/>
      <c r="W3186" s="1108"/>
      <c r="X3186" s="1108"/>
      <c r="Y3186" s="1108"/>
      <c r="Z3186" s="1114"/>
      <c r="AA3186" s="1114"/>
      <c r="AB3186" s="1114"/>
      <c r="AC3186" s="1117"/>
      <c r="AD3186" s="1115"/>
      <c r="AE3186" s="1115"/>
      <c r="AF3186" s="1115"/>
      <c r="AG3186" s="1115"/>
      <c r="AH3186" s="1115"/>
      <c r="AI3186" s="1115"/>
      <c r="AJ3186" s="1117"/>
      <c r="AK3186" s="1118"/>
      <c r="AL3186" s="1115"/>
      <c r="AM3186" s="1115"/>
      <c r="AN3186" s="1115"/>
      <c r="AO3186" s="1115"/>
      <c r="AP3186" s="1115"/>
      <c r="AQ3186" s="1115"/>
      <c r="AR3186" s="1115"/>
      <c r="AS3186" s="1117"/>
      <c r="AT3186" s="1075"/>
      <c r="AU3186" s="1193"/>
      <c r="AV3186" s="330"/>
      <c r="AW3186" s="331"/>
      <c r="AX3186" s="331"/>
      <c r="AY3186" s="331"/>
      <c r="AZ3186" s="331"/>
      <c r="BA3186" s="331"/>
      <c r="BB3186" s="331"/>
      <c r="BC3186" s="331"/>
      <c r="BD3186" s="331"/>
      <c r="BE3186" s="333"/>
      <c r="BF3186" s="330"/>
      <c r="BG3186" s="333"/>
      <c r="BH3186" s="1119"/>
      <c r="BI3186" s="319"/>
      <c r="BJ3186" s="319"/>
      <c r="BK3186" s="319"/>
      <c r="BL3186" s="319"/>
      <c r="BM3186" s="319"/>
      <c r="BN3186" s="319"/>
      <c r="BO3186" s="319"/>
      <c r="BP3186" s="953"/>
      <c r="BQ3186" s="319"/>
      <c r="BR3186" s="319"/>
      <c r="BS3186" s="330"/>
      <c r="BT3186" s="331"/>
      <c r="BU3186" s="920"/>
      <c r="BV3186" s="903"/>
      <c r="BW3186" s="908"/>
      <c r="BX3186" s="908"/>
      <c r="BY3186" s="331"/>
      <c r="BZ3186" s="331"/>
      <c r="CA3186" s="462"/>
      <c r="CB3186" s="319"/>
      <c r="CC3186" s="319"/>
      <c r="CD3186" s="319"/>
      <c r="CE3186" s="319"/>
      <c r="CF3186" s="319"/>
      <c r="CG3186" s="319"/>
      <c r="CH3186" s="318"/>
      <c r="CI3186" s="319"/>
      <c r="CJ3186" s="319"/>
      <c r="CK3186" s="342"/>
      <c r="CL3186" s="333"/>
      <c r="CM3186" s="1079"/>
      <c r="CN3186" s="1005"/>
      <c r="CO3186" s="1005"/>
      <c r="CP3186" s="1005"/>
    </row>
    <row r="3187">
      <c r="A3187" s="1257"/>
      <c r="B3187" s="1113"/>
      <c r="C3187" s="1107"/>
      <c r="D3187" s="103"/>
      <c r="E3187" s="1137"/>
      <c r="F3187" s="112"/>
      <c r="G3187" s="1110"/>
      <c r="H3187" s="1138"/>
      <c r="I3187" s="1138"/>
      <c r="J3187" s="1139"/>
      <c r="K3187" s="1111"/>
      <c r="L3187" s="1112"/>
      <c r="M3187" s="1113"/>
      <c r="N3187" s="110"/>
      <c r="O3187" s="1140"/>
      <c r="P3187" s="1115"/>
      <c r="Q3187" s="1116"/>
      <c r="R3187" s="1141"/>
      <c r="S3187" s="1113"/>
      <c r="T3187" s="1143"/>
      <c r="U3187" s="1108"/>
      <c r="V3187" s="1108"/>
      <c r="W3187" s="1108"/>
      <c r="X3187" s="1108"/>
      <c r="Y3187" s="1108"/>
      <c r="Z3187" s="1114"/>
      <c r="AA3187" s="1114"/>
      <c r="AB3187" s="1114"/>
      <c r="AC3187" s="1117"/>
      <c r="AD3187" s="1115"/>
      <c r="AE3187" s="1115"/>
      <c r="AF3187" s="1115"/>
      <c r="AG3187" s="1115"/>
      <c r="AH3187" s="1115"/>
      <c r="AI3187" s="1115"/>
      <c r="AJ3187" s="1117"/>
      <c r="AK3187" s="1118"/>
      <c r="AL3187" s="1115"/>
      <c r="AM3187" s="1115"/>
      <c r="AN3187" s="1115"/>
      <c r="AO3187" s="1115"/>
      <c r="AP3187" s="1115"/>
      <c r="AQ3187" s="1115"/>
      <c r="AR3187" s="1115"/>
      <c r="AS3187" s="1117"/>
      <c r="AT3187" s="1075"/>
      <c r="AU3187" s="1193"/>
      <c r="AV3187" s="330"/>
      <c r="AW3187" s="331"/>
      <c r="AX3187" s="331"/>
      <c r="AY3187" s="331"/>
      <c r="AZ3187" s="331"/>
      <c r="BA3187" s="331"/>
      <c r="BB3187" s="331"/>
      <c r="BC3187" s="331"/>
      <c r="BD3187" s="331"/>
      <c r="BE3187" s="333"/>
      <c r="BF3187" s="330"/>
      <c r="BG3187" s="333"/>
      <c r="BH3187" s="1119"/>
      <c r="BI3187" s="319"/>
      <c r="BJ3187" s="319"/>
      <c r="BK3187" s="319"/>
      <c r="BL3187" s="319"/>
      <c r="BM3187" s="319"/>
      <c r="BN3187" s="319"/>
      <c r="BO3187" s="319"/>
      <c r="BP3187" s="953"/>
      <c r="BQ3187" s="319"/>
      <c r="BR3187" s="319"/>
      <c r="BS3187" s="330"/>
      <c r="BT3187" s="331"/>
      <c r="BU3187" s="920"/>
      <c r="BV3187" s="903"/>
      <c r="BW3187" s="908"/>
      <c r="BX3187" s="908"/>
      <c r="BY3187" s="331"/>
      <c r="BZ3187" s="331"/>
      <c r="CA3187" s="462"/>
      <c r="CB3187" s="319"/>
      <c r="CC3187" s="319"/>
      <c r="CD3187" s="319"/>
      <c r="CE3187" s="319"/>
      <c r="CF3187" s="319"/>
      <c r="CG3187" s="319"/>
      <c r="CH3187" s="318"/>
      <c r="CI3187" s="319"/>
      <c r="CJ3187" s="319"/>
      <c r="CK3187" s="342"/>
      <c r="CL3187" s="333"/>
      <c r="CM3187" s="1079"/>
      <c r="CN3187" s="1005"/>
      <c r="CO3187" s="1005"/>
      <c r="CP3187" s="1005"/>
    </row>
    <row r="3188">
      <c r="A3188" s="1257"/>
      <c r="B3188" s="1113"/>
      <c r="C3188" s="1107"/>
      <c r="D3188" s="103"/>
      <c r="E3188" s="1137"/>
      <c r="F3188" s="112"/>
      <c r="G3188" s="1110"/>
      <c r="H3188" s="1138"/>
      <c r="I3188" s="1138"/>
      <c r="J3188" s="1139"/>
      <c r="K3188" s="1111"/>
      <c r="L3188" s="1112"/>
      <c r="M3188" s="1113"/>
      <c r="N3188" s="110"/>
      <c r="O3188" s="1140"/>
      <c r="P3188" s="1115"/>
      <c r="Q3188" s="1116"/>
      <c r="R3188" s="1141"/>
      <c r="S3188" s="1113"/>
      <c r="T3188" s="1143"/>
      <c r="U3188" s="1108"/>
      <c r="V3188" s="1108"/>
      <c r="W3188" s="1108"/>
      <c r="X3188" s="1108"/>
      <c r="Y3188" s="1108"/>
      <c r="Z3188" s="1114"/>
      <c r="AA3188" s="1114"/>
      <c r="AB3188" s="1114"/>
      <c r="AC3188" s="1117"/>
      <c r="AD3188" s="1115"/>
      <c r="AE3188" s="1115"/>
      <c r="AF3188" s="1115"/>
      <c r="AG3188" s="1115"/>
      <c r="AH3188" s="1115"/>
      <c r="AI3188" s="1115"/>
      <c r="AJ3188" s="1117"/>
      <c r="AK3188" s="1118"/>
      <c r="AL3188" s="1115"/>
      <c r="AM3188" s="1115"/>
      <c r="AN3188" s="1115"/>
      <c r="AO3188" s="1115"/>
      <c r="AP3188" s="1115"/>
      <c r="AQ3188" s="1115"/>
      <c r="AR3188" s="1115"/>
      <c r="AS3188" s="1117"/>
      <c r="AT3188" s="1075"/>
      <c r="AU3188" s="1193"/>
      <c r="AV3188" s="330"/>
      <c r="AW3188" s="331"/>
      <c r="AX3188" s="331"/>
      <c r="AY3188" s="331"/>
      <c r="AZ3188" s="331"/>
      <c r="BA3188" s="331"/>
      <c r="BB3188" s="331"/>
      <c r="BC3188" s="331"/>
      <c r="BD3188" s="331"/>
      <c r="BE3188" s="333"/>
      <c r="BF3188" s="330"/>
      <c r="BG3188" s="333"/>
      <c r="BH3188" s="1119"/>
      <c r="BI3188" s="319"/>
      <c r="BJ3188" s="319"/>
      <c r="BK3188" s="319"/>
      <c r="BL3188" s="319"/>
      <c r="BM3188" s="319"/>
      <c r="BN3188" s="319"/>
      <c r="BO3188" s="319"/>
      <c r="BP3188" s="953"/>
      <c r="BQ3188" s="319"/>
      <c r="BR3188" s="319"/>
      <c r="BS3188" s="330"/>
      <c r="BT3188" s="331"/>
      <c r="BU3188" s="920"/>
      <c r="BV3188" s="903"/>
      <c r="BW3188" s="908"/>
      <c r="BX3188" s="908"/>
      <c r="BY3188" s="331"/>
      <c r="BZ3188" s="331"/>
      <c r="CA3188" s="462"/>
      <c r="CB3188" s="319"/>
      <c r="CC3188" s="319"/>
      <c r="CD3188" s="319"/>
      <c r="CE3188" s="319"/>
      <c r="CF3188" s="319"/>
      <c r="CG3188" s="319"/>
      <c r="CH3188" s="318"/>
      <c r="CI3188" s="319"/>
      <c r="CJ3188" s="319"/>
      <c r="CK3188" s="342"/>
      <c r="CL3188" s="333"/>
      <c r="CM3188" s="1079"/>
      <c r="CN3188" s="1005"/>
      <c r="CO3188" s="1005"/>
      <c r="CP3188" s="1005"/>
    </row>
    <row r="3189">
      <c r="A3189" s="1257"/>
      <c r="B3189" s="1113"/>
      <c r="C3189" s="1107"/>
      <c r="D3189" s="103"/>
      <c r="E3189" s="1137"/>
      <c r="F3189" s="112"/>
      <c r="G3189" s="1110"/>
      <c r="H3189" s="1138"/>
      <c r="I3189" s="1138"/>
      <c r="J3189" s="1139"/>
      <c r="K3189" s="1111"/>
      <c r="L3189" s="1112"/>
      <c r="M3189" s="1113"/>
      <c r="N3189" s="110"/>
      <c r="O3189" s="1140"/>
      <c r="P3189" s="1115"/>
      <c r="Q3189" s="1116"/>
      <c r="R3189" s="1141"/>
      <c r="S3189" s="1113"/>
      <c r="T3189" s="1143"/>
      <c r="U3189" s="1108"/>
      <c r="V3189" s="1108"/>
      <c r="W3189" s="1108"/>
      <c r="X3189" s="1108"/>
      <c r="Y3189" s="1108"/>
      <c r="Z3189" s="1114"/>
      <c r="AA3189" s="1114"/>
      <c r="AB3189" s="1114"/>
      <c r="AC3189" s="1117"/>
      <c r="AD3189" s="1115"/>
      <c r="AE3189" s="1115"/>
      <c r="AF3189" s="1115"/>
      <c r="AG3189" s="1115"/>
      <c r="AH3189" s="1115"/>
      <c r="AI3189" s="1115"/>
      <c r="AJ3189" s="1117"/>
      <c r="AK3189" s="1118"/>
      <c r="AL3189" s="1115"/>
      <c r="AM3189" s="1115"/>
      <c r="AN3189" s="1115"/>
      <c r="AO3189" s="1115"/>
      <c r="AP3189" s="1115"/>
      <c r="AQ3189" s="1115"/>
      <c r="AR3189" s="1115"/>
      <c r="AS3189" s="1117"/>
      <c r="AT3189" s="1075"/>
      <c r="AU3189" s="1193"/>
      <c r="AV3189" s="330"/>
      <c r="AW3189" s="331"/>
      <c r="AX3189" s="331"/>
      <c r="AY3189" s="331"/>
      <c r="AZ3189" s="331"/>
      <c r="BA3189" s="331"/>
      <c r="BB3189" s="331"/>
      <c r="BC3189" s="331"/>
      <c r="BD3189" s="331"/>
      <c r="BE3189" s="333"/>
      <c r="BF3189" s="330"/>
      <c r="BG3189" s="333"/>
      <c r="BH3189" s="1119"/>
      <c r="BI3189" s="319"/>
      <c r="BJ3189" s="319"/>
      <c r="BK3189" s="319"/>
      <c r="BL3189" s="319"/>
      <c r="BM3189" s="319"/>
      <c r="BN3189" s="319"/>
      <c r="BO3189" s="319"/>
      <c r="BP3189" s="953"/>
      <c r="BQ3189" s="319"/>
      <c r="BR3189" s="319"/>
      <c r="BS3189" s="330"/>
      <c r="BT3189" s="331"/>
      <c r="BU3189" s="920"/>
      <c r="BV3189" s="903"/>
      <c r="BW3189" s="908"/>
      <c r="BX3189" s="908"/>
      <c r="BY3189" s="331"/>
      <c r="BZ3189" s="331"/>
      <c r="CA3189" s="462"/>
      <c r="CB3189" s="319"/>
      <c r="CC3189" s="319"/>
      <c r="CD3189" s="319"/>
      <c r="CE3189" s="319"/>
      <c r="CF3189" s="319"/>
      <c r="CG3189" s="319"/>
      <c r="CH3189" s="318"/>
      <c r="CI3189" s="319"/>
      <c r="CJ3189" s="319"/>
      <c r="CK3189" s="342"/>
      <c r="CL3189" s="333"/>
      <c r="CM3189" s="1079"/>
      <c r="CN3189" s="1005"/>
      <c r="CO3189" s="1005"/>
      <c r="CP3189" s="1005"/>
    </row>
    <row r="3190">
      <c r="A3190" s="1257"/>
      <c r="B3190" s="1113"/>
      <c r="C3190" s="1107"/>
      <c r="D3190" s="103"/>
      <c r="E3190" s="1137"/>
      <c r="F3190" s="112"/>
      <c r="G3190" s="1110"/>
      <c r="H3190" s="1138"/>
      <c r="I3190" s="1138"/>
      <c r="J3190" s="1139"/>
      <c r="K3190" s="1111"/>
      <c r="L3190" s="1112"/>
      <c r="M3190" s="1113"/>
      <c r="N3190" s="110"/>
      <c r="O3190" s="1140"/>
      <c r="P3190" s="1115"/>
      <c r="Q3190" s="1116"/>
      <c r="R3190" s="1141"/>
      <c r="S3190" s="1113"/>
      <c r="T3190" s="1143"/>
      <c r="U3190" s="1108"/>
      <c r="V3190" s="1108"/>
      <c r="W3190" s="1108"/>
      <c r="X3190" s="1108"/>
      <c r="Y3190" s="1108"/>
      <c r="Z3190" s="1114"/>
      <c r="AA3190" s="1114"/>
      <c r="AB3190" s="1114"/>
      <c r="AC3190" s="1117"/>
      <c r="AD3190" s="1115"/>
      <c r="AE3190" s="1115"/>
      <c r="AF3190" s="1115"/>
      <c r="AG3190" s="1115"/>
      <c r="AH3190" s="1115"/>
      <c r="AI3190" s="1115"/>
      <c r="AJ3190" s="1117"/>
      <c r="AK3190" s="1118"/>
      <c r="AL3190" s="1115"/>
      <c r="AM3190" s="1115"/>
      <c r="AN3190" s="1115"/>
      <c r="AO3190" s="1115"/>
      <c r="AP3190" s="1115"/>
      <c r="AQ3190" s="1115"/>
      <c r="AR3190" s="1115"/>
      <c r="AS3190" s="1117"/>
      <c r="AT3190" s="1075"/>
      <c r="AU3190" s="1193"/>
      <c r="AV3190" s="330"/>
      <c r="AW3190" s="331"/>
      <c r="AX3190" s="331"/>
      <c r="AY3190" s="331"/>
      <c r="AZ3190" s="331"/>
      <c r="BA3190" s="331"/>
      <c r="BB3190" s="331"/>
      <c r="BC3190" s="331"/>
      <c r="BD3190" s="331"/>
      <c r="BE3190" s="333"/>
      <c r="BF3190" s="330"/>
      <c r="BG3190" s="333"/>
      <c r="BH3190" s="1119"/>
      <c r="BI3190" s="319"/>
      <c r="BJ3190" s="319"/>
      <c r="BK3190" s="319"/>
      <c r="BL3190" s="319"/>
      <c r="BM3190" s="319"/>
      <c r="BN3190" s="319"/>
      <c r="BO3190" s="319"/>
      <c r="BP3190" s="953"/>
      <c r="BQ3190" s="319"/>
      <c r="BR3190" s="319"/>
      <c r="BS3190" s="330"/>
      <c r="BT3190" s="331"/>
      <c r="BU3190" s="920"/>
      <c r="BV3190" s="903"/>
      <c r="BW3190" s="908"/>
      <c r="BX3190" s="908"/>
      <c r="BY3190" s="331"/>
      <c r="BZ3190" s="331"/>
      <c r="CA3190" s="462"/>
      <c r="CB3190" s="319"/>
      <c r="CC3190" s="319"/>
      <c r="CD3190" s="319"/>
      <c r="CE3190" s="319"/>
      <c r="CF3190" s="319"/>
      <c r="CG3190" s="319"/>
      <c r="CH3190" s="318"/>
      <c r="CI3190" s="319"/>
      <c r="CJ3190" s="319"/>
      <c r="CK3190" s="342"/>
      <c r="CL3190" s="333"/>
      <c r="CM3190" s="1079"/>
      <c r="CN3190" s="1005"/>
      <c r="CO3190" s="1005"/>
      <c r="CP3190" s="1005"/>
    </row>
    <row r="3191">
      <c r="A3191" s="1257"/>
      <c r="B3191" s="1113"/>
      <c r="C3191" s="1107"/>
      <c r="D3191" s="103"/>
      <c r="E3191" s="1137"/>
      <c r="F3191" s="112"/>
      <c r="G3191" s="1110"/>
      <c r="H3191" s="1138"/>
      <c r="I3191" s="1138"/>
      <c r="J3191" s="1139"/>
      <c r="K3191" s="1111"/>
      <c r="L3191" s="1112"/>
      <c r="M3191" s="1113"/>
      <c r="N3191" s="110"/>
      <c r="O3191" s="1140"/>
      <c r="P3191" s="1115"/>
      <c r="Q3191" s="1116"/>
      <c r="R3191" s="1141"/>
      <c r="S3191" s="1113"/>
      <c r="T3191" s="1143"/>
      <c r="U3191" s="1108"/>
      <c r="V3191" s="1108"/>
      <c r="W3191" s="1108"/>
      <c r="X3191" s="1108"/>
      <c r="Y3191" s="1108"/>
      <c r="Z3191" s="1114"/>
      <c r="AA3191" s="1114"/>
      <c r="AB3191" s="1114"/>
      <c r="AC3191" s="1117"/>
      <c r="AD3191" s="1115"/>
      <c r="AE3191" s="1115"/>
      <c r="AF3191" s="1115"/>
      <c r="AG3191" s="1115"/>
      <c r="AH3191" s="1115"/>
      <c r="AI3191" s="1115"/>
      <c r="AJ3191" s="1117"/>
      <c r="AK3191" s="1118"/>
      <c r="AL3191" s="1115"/>
      <c r="AM3191" s="1115"/>
      <c r="AN3191" s="1115"/>
      <c r="AO3191" s="1115"/>
      <c r="AP3191" s="1115"/>
      <c r="AQ3191" s="1115"/>
      <c r="AR3191" s="1115"/>
      <c r="AS3191" s="1117"/>
      <c r="AT3191" s="1075"/>
      <c r="AU3191" s="1193"/>
      <c r="AV3191" s="330"/>
      <c r="AW3191" s="331"/>
      <c r="AX3191" s="331"/>
      <c r="AY3191" s="331"/>
      <c r="AZ3191" s="331"/>
      <c r="BA3191" s="331"/>
      <c r="BB3191" s="331"/>
      <c r="BC3191" s="331"/>
      <c r="BD3191" s="331"/>
      <c r="BE3191" s="333"/>
      <c r="BF3191" s="330"/>
      <c r="BG3191" s="333"/>
      <c r="BH3191" s="1119"/>
      <c r="BI3191" s="319"/>
      <c r="BJ3191" s="319"/>
      <c r="BK3191" s="319"/>
      <c r="BL3191" s="319"/>
      <c r="BM3191" s="319"/>
      <c r="BN3191" s="319"/>
      <c r="BO3191" s="319"/>
      <c r="BP3191" s="953"/>
      <c r="BQ3191" s="319"/>
      <c r="BR3191" s="319"/>
      <c r="BS3191" s="330"/>
      <c r="BT3191" s="331"/>
      <c r="BU3191" s="920"/>
      <c r="BV3191" s="903"/>
      <c r="BW3191" s="908"/>
      <c r="BX3191" s="908"/>
      <c r="BY3191" s="331"/>
      <c r="BZ3191" s="331"/>
      <c r="CA3191" s="462"/>
      <c r="CB3191" s="319"/>
      <c r="CC3191" s="319"/>
      <c r="CD3191" s="319"/>
      <c r="CE3191" s="319"/>
      <c r="CF3191" s="319"/>
      <c r="CG3191" s="319"/>
      <c r="CH3191" s="318"/>
      <c r="CI3191" s="319"/>
      <c r="CJ3191" s="319"/>
      <c r="CK3191" s="342"/>
      <c r="CL3191" s="333"/>
      <c r="CM3191" s="1079"/>
      <c r="CN3191" s="1005"/>
      <c r="CO3191" s="1005"/>
      <c r="CP3191" s="1005"/>
    </row>
    <row r="3192">
      <c r="A3192" s="1257"/>
      <c r="B3192" s="1113"/>
      <c r="C3192" s="1107"/>
      <c r="D3192" s="103"/>
      <c r="E3192" s="1137"/>
      <c r="F3192" s="112"/>
      <c r="G3192" s="1110"/>
      <c r="H3192" s="1138"/>
      <c r="I3192" s="1138"/>
      <c r="J3192" s="1139"/>
      <c r="K3192" s="1111"/>
      <c r="L3192" s="1112"/>
      <c r="M3192" s="1113"/>
      <c r="N3192" s="110"/>
      <c r="O3192" s="1140"/>
      <c r="P3192" s="1115"/>
      <c r="Q3192" s="1116"/>
      <c r="R3192" s="1141"/>
      <c r="S3192" s="1113"/>
      <c r="T3192" s="1143"/>
      <c r="U3192" s="1108"/>
      <c r="V3192" s="1108"/>
      <c r="W3192" s="1108"/>
      <c r="X3192" s="1108"/>
      <c r="Y3192" s="1108"/>
      <c r="Z3192" s="1114"/>
      <c r="AA3192" s="1114"/>
      <c r="AB3192" s="1114"/>
      <c r="AC3192" s="1117"/>
      <c r="AD3192" s="1115"/>
      <c r="AE3192" s="1115"/>
      <c r="AF3192" s="1115"/>
      <c r="AG3192" s="1115"/>
      <c r="AH3192" s="1115"/>
      <c r="AI3192" s="1115"/>
      <c r="AJ3192" s="1117"/>
      <c r="AK3192" s="1118"/>
      <c r="AL3192" s="1115"/>
      <c r="AM3192" s="1115"/>
      <c r="AN3192" s="1115"/>
      <c r="AO3192" s="1115"/>
      <c r="AP3192" s="1115"/>
      <c r="AQ3192" s="1115"/>
      <c r="AR3192" s="1115"/>
      <c r="AS3192" s="1117"/>
      <c r="AT3192" s="1075"/>
      <c r="AU3192" s="1193"/>
      <c r="AV3192" s="330"/>
      <c r="AW3192" s="331"/>
      <c r="AX3192" s="331"/>
      <c r="AY3192" s="331"/>
      <c r="AZ3192" s="331"/>
      <c r="BA3192" s="331"/>
      <c r="BB3192" s="331"/>
      <c r="BC3192" s="331"/>
      <c r="BD3192" s="331"/>
      <c r="BE3192" s="333"/>
      <c r="BF3192" s="330"/>
      <c r="BG3192" s="333"/>
      <c r="BH3192" s="1119"/>
      <c r="BI3192" s="319"/>
      <c r="BJ3192" s="319"/>
      <c r="BK3192" s="319"/>
      <c r="BL3192" s="319"/>
      <c r="BM3192" s="319"/>
      <c r="BN3192" s="319"/>
      <c r="BO3192" s="319"/>
      <c r="BP3192" s="953"/>
      <c r="BQ3192" s="319"/>
      <c r="BR3192" s="319"/>
      <c r="BS3192" s="330"/>
      <c r="BT3192" s="331"/>
      <c r="BU3192" s="920"/>
      <c r="BV3192" s="903"/>
      <c r="BW3192" s="908"/>
      <c r="BX3192" s="908"/>
      <c r="BY3192" s="331"/>
      <c r="BZ3192" s="331"/>
      <c r="CA3192" s="462"/>
      <c r="CB3192" s="319"/>
      <c r="CC3192" s="319"/>
      <c r="CD3192" s="319"/>
      <c r="CE3192" s="319"/>
      <c r="CF3192" s="319"/>
      <c r="CG3192" s="319"/>
      <c r="CH3192" s="318"/>
      <c r="CI3192" s="319"/>
      <c r="CJ3192" s="319"/>
      <c r="CK3192" s="342"/>
      <c r="CL3192" s="333"/>
      <c r="CM3192" s="1079"/>
      <c r="CN3192" s="1005"/>
      <c r="CO3192" s="1005"/>
      <c r="CP3192" s="1005"/>
    </row>
    <row r="3193">
      <c r="A3193" s="1257"/>
      <c r="B3193" s="1113"/>
      <c r="C3193" s="1107"/>
      <c r="D3193" s="103"/>
      <c r="E3193" s="1137"/>
      <c r="F3193" s="112"/>
      <c r="G3193" s="1110"/>
      <c r="H3193" s="1138"/>
      <c r="I3193" s="1138"/>
      <c r="J3193" s="1139"/>
      <c r="K3193" s="1111"/>
      <c r="L3193" s="1112"/>
      <c r="M3193" s="1113"/>
      <c r="N3193" s="110"/>
      <c r="O3193" s="1140"/>
      <c r="P3193" s="1115"/>
      <c r="Q3193" s="1116"/>
      <c r="R3193" s="1141"/>
      <c r="S3193" s="1113"/>
      <c r="T3193" s="1143"/>
      <c r="U3193" s="1108"/>
      <c r="V3193" s="1108"/>
      <c r="W3193" s="1108"/>
      <c r="X3193" s="1108"/>
      <c r="Y3193" s="1108"/>
      <c r="Z3193" s="1114"/>
      <c r="AA3193" s="1114"/>
      <c r="AB3193" s="1114"/>
      <c r="AC3193" s="1117"/>
      <c r="AD3193" s="1115"/>
      <c r="AE3193" s="1115"/>
      <c r="AF3193" s="1115"/>
      <c r="AG3193" s="1115"/>
      <c r="AH3193" s="1115"/>
      <c r="AI3193" s="1115"/>
      <c r="AJ3193" s="1117"/>
      <c r="AK3193" s="1118"/>
      <c r="AL3193" s="1115"/>
      <c r="AM3193" s="1115"/>
      <c r="AN3193" s="1115"/>
      <c r="AO3193" s="1115"/>
      <c r="AP3193" s="1115"/>
      <c r="AQ3193" s="1115"/>
      <c r="AR3193" s="1115"/>
      <c r="AS3193" s="1117"/>
      <c r="AT3193" s="1075"/>
      <c r="AU3193" s="1193"/>
      <c r="AV3193" s="330"/>
      <c r="AW3193" s="331"/>
      <c r="AX3193" s="331"/>
      <c r="AY3193" s="331"/>
      <c r="AZ3193" s="331"/>
      <c r="BA3193" s="331"/>
      <c r="BB3193" s="331"/>
      <c r="BC3193" s="331"/>
      <c r="BD3193" s="331"/>
      <c r="BE3193" s="333"/>
      <c r="BF3193" s="330"/>
      <c r="BG3193" s="333"/>
      <c r="BH3193" s="1119"/>
      <c r="BI3193" s="319"/>
      <c r="BJ3193" s="319"/>
      <c r="BK3193" s="319"/>
      <c r="BL3193" s="319"/>
      <c r="BM3193" s="319"/>
      <c r="BN3193" s="319"/>
      <c r="BO3193" s="319"/>
      <c r="BP3193" s="953"/>
      <c r="BQ3193" s="319"/>
      <c r="BR3193" s="319"/>
      <c r="BS3193" s="330"/>
      <c r="BT3193" s="331"/>
      <c r="BU3193" s="920"/>
      <c r="BV3193" s="903"/>
      <c r="BW3193" s="908"/>
      <c r="BX3193" s="908"/>
      <c r="BY3193" s="331"/>
      <c r="BZ3193" s="331"/>
      <c r="CA3193" s="462"/>
      <c r="CB3193" s="319"/>
      <c r="CC3193" s="319"/>
      <c r="CD3193" s="319"/>
      <c r="CE3193" s="319"/>
      <c r="CF3193" s="319"/>
      <c r="CG3193" s="319"/>
      <c r="CH3193" s="318"/>
      <c r="CI3193" s="319"/>
      <c r="CJ3193" s="319"/>
      <c r="CK3193" s="342"/>
      <c r="CL3193" s="333"/>
      <c r="CM3193" s="1079"/>
      <c r="CN3193" s="1005"/>
      <c r="CO3193" s="1005"/>
      <c r="CP3193" s="1005"/>
    </row>
    <row r="3194">
      <c r="A3194" s="1257"/>
      <c r="B3194" s="1113"/>
      <c r="C3194" s="1107"/>
      <c r="D3194" s="103"/>
      <c r="E3194" s="1137"/>
      <c r="F3194" s="112"/>
      <c r="G3194" s="1110"/>
      <c r="H3194" s="1138"/>
      <c r="I3194" s="1138"/>
      <c r="J3194" s="1139"/>
      <c r="K3194" s="1111"/>
      <c r="L3194" s="1112"/>
      <c r="M3194" s="1113"/>
      <c r="N3194" s="110"/>
      <c r="O3194" s="1140"/>
      <c r="P3194" s="1115"/>
      <c r="Q3194" s="1116"/>
      <c r="R3194" s="1141"/>
      <c r="S3194" s="1113"/>
      <c r="T3194" s="1143"/>
      <c r="U3194" s="1108"/>
      <c r="V3194" s="1108"/>
      <c r="W3194" s="1108"/>
      <c r="X3194" s="1108"/>
      <c r="Y3194" s="1108"/>
      <c r="Z3194" s="1114"/>
      <c r="AA3194" s="1114"/>
      <c r="AB3194" s="1114"/>
      <c r="AC3194" s="1117"/>
      <c r="AD3194" s="1115"/>
      <c r="AE3194" s="1115"/>
      <c r="AF3194" s="1115"/>
      <c r="AG3194" s="1115"/>
      <c r="AH3194" s="1115"/>
      <c r="AI3194" s="1115"/>
      <c r="AJ3194" s="1117"/>
      <c r="AK3194" s="1118"/>
      <c r="AL3194" s="1115"/>
      <c r="AM3194" s="1115"/>
      <c r="AN3194" s="1115"/>
      <c r="AO3194" s="1115"/>
      <c r="AP3194" s="1115"/>
      <c r="AQ3194" s="1115"/>
      <c r="AR3194" s="1115"/>
      <c r="AS3194" s="1117"/>
      <c r="AT3194" s="1075"/>
      <c r="AU3194" s="1193"/>
      <c r="AV3194" s="330"/>
      <c r="AW3194" s="331"/>
      <c r="AX3194" s="331"/>
      <c r="AY3194" s="331"/>
      <c r="AZ3194" s="331"/>
      <c r="BA3194" s="331"/>
      <c r="BB3194" s="331"/>
      <c r="BC3194" s="331"/>
      <c r="BD3194" s="331"/>
      <c r="BE3194" s="333"/>
      <c r="BF3194" s="330"/>
      <c r="BG3194" s="333"/>
      <c r="BH3194" s="1119"/>
      <c r="BI3194" s="319"/>
      <c r="BJ3194" s="319"/>
      <c r="BK3194" s="319"/>
      <c r="BL3194" s="319"/>
      <c r="BM3194" s="319"/>
      <c r="BN3194" s="319"/>
      <c r="BO3194" s="319"/>
      <c r="BP3194" s="953"/>
      <c r="BQ3194" s="319"/>
      <c r="BR3194" s="319"/>
      <c r="BS3194" s="330"/>
      <c r="BT3194" s="331"/>
      <c r="BU3194" s="920"/>
      <c r="BV3194" s="903"/>
      <c r="BW3194" s="908"/>
      <c r="BX3194" s="908"/>
      <c r="BY3194" s="331"/>
      <c r="BZ3194" s="331"/>
      <c r="CA3194" s="462"/>
      <c r="CB3194" s="319"/>
      <c r="CC3194" s="319"/>
      <c r="CD3194" s="319"/>
      <c r="CE3194" s="319"/>
      <c r="CF3194" s="319"/>
      <c r="CG3194" s="319"/>
      <c r="CH3194" s="318"/>
      <c r="CI3194" s="319"/>
      <c r="CJ3194" s="319"/>
      <c r="CK3194" s="342"/>
      <c r="CL3194" s="333"/>
      <c r="CM3194" s="1079"/>
      <c r="CN3194" s="1005"/>
      <c r="CO3194" s="1005"/>
      <c r="CP3194" s="1005"/>
    </row>
    <row r="3195">
      <c r="A3195" s="1257"/>
      <c r="B3195" s="1113"/>
      <c r="C3195" s="1107"/>
      <c r="D3195" s="103"/>
      <c r="E3195" s="1137"/>
      <c r="F3195" s="112"/>
      <c r="G3195" s="1110"/>
      <c r="H3195" s="1138"/>
      <c r="I3195" s="1138"/>
      <c r="J3195" s="1139"/>
      <c r="K3195" s="1111"/>
      <c r="L3195" s="1112"/>
      <c r="M3195" s="1113"/>
      <c r="N3195" s="110"/>
      <c r="O3195" s="1140"/>
      <c r="P3195" s="1115"/>
      <c r="Q3195" s="1116"/>
      <c r="R3195" s="1141"/>
      <c r="S3195" s="1113"/>
      <c r="T3195" s="1143"/>
      <c r="U3195" s="1108"/>
      <c r="V3195" s="1108"/>
      <c r="W3195" s="1108"/>
      <c r="X3195" s="1108"/>
      <c r="Y3195" s="1108"/>
      <c r="Z3195" s="1114"/>
      <c r="AA3195" s="1114"/>
      <c r="AB3195" s="1114"/>
      <c r="AC3195" s="1117"/>
      <c r="AD3195" s="1115"/>
      <c r="AE3195" s="1115"/>
      <c r="AF3195" s="1115"/>
      <c r="AG3195" s="1115"/>
      <c r="AH3195" s="1115"/>
      <c r="AI3195" s="1115"/>
      <c r="AJ3195" s="1117"/>
      <c r="AK3195" s="1118"/>
      <c r="AL3195" s="1115"/>
      <c r="AM3195" s="1115"/>
      <c r="AN3195" s="1115"/>
      <c r="AO3195" s="1115"/>
      <c r="AP3195" s="1115"/>
      <c r="AQ3195" s="1115"/>
      <c r="AR3195" s="1115"/>
      <c r="AS3195" s="1117"/>
      <c r="AT3195" s="1075"/>
      <c r="AU3195" s="1193"/>
      <c r="AV3195" s="330"/>
      <c r="AW3195" s="331"/>
      <c r="AX3195" s="331"/>
      <c r="AY3195" s="331"/>
      <c r="AZ3195" s="331"/>
      <c r="BA3195" s="331"/>
      <c r="BB3195" s="331"/>
      <c r="BC3195" s="331"/>
      <c r="BD3195" s="331"/>
      <c r="BE3195" s="333"/>
      <c r="BF3195" s="330"/>
      <c r="BG3195" s="333"/>
      <c r="BH3195" s="1119"/>
      <c r="BI3195" s="319"/>
      <c r="BJ3195" s="319"/>
      <c r="BK3195" s="319"/>
      <c r="BL3195" s="319"/>
      <c r="BM3195" s="319"/>
      <c r="BN3195" s="319"/>
      <c r="BO3195" s="319"/>
      <c r="BP3195" s="953"/>
      <c r="BQ3195" s="319"/>
      <c r="BR3195" s="319"/>
      <c r="BS3195" s="330"/>
      <c r="BT3195" s="331"/>
      <c r="BU3195" s="920"/>
      <c r="BV3195" s="903"/>
      <c r="BW3195" s="908"/>
      <c r="BX3195" s="908"/>
      <c r="BY3195" s="331"/>
      <c r="BZ3195" s="331"/>
      <c r="CA3195" s="462"/>
      <c r="CB3195" s="319"/>
      <c r="CC3195" s="319"/>
      <c r="CD3195" s="319"/>
      <c r="CE3195" s="319"/>
      <c r="CF3195" s="319"/>
      <c r="CG3195" s="319"/>
      <c r="CH3195" s="318"/>
      <c r="CI3195" s="319"/>
      <c r="CJ3195" s="319"/>
      <c r="CK3195" s="342"/>
      <c r="CL3195" s="333"/>
      <c r="CM3195" s="1079"/>
      <c r="CN3195" s="1005"/>
      <c r="CO3195" s="1005"/>
      <c r="CP3195" s="1005"/>
    </row>
    <row r="3196">
      <c r="A3196" s="1257"/>
      <c r="B3196" s="1113"/>
      <c r="C3196" s="1107"/>
      <c r="D3196" s="103"/>
      <c r="E3196" s="1137"/>
      <c r="F3196" s="112"/>
      <c r="G3196" s="1110"/>
      <c r="H3196" s="1138"/>
      <c r="I3196" s="1138"/>
      <c r="J3196" s="1139"/>
      <c r="K3196" s="1111"/>
      <c r="L3196" s="1112"/>
      <c r="M3196" s="1113"/>
      <c r="N3196" s="110"/>
      <c r="O3196" s="1140"/>
      <c r="P3196" s="1115"/>
      <c r="Q3196" s="1116"/>
      <c r="R3196" s="1141"/>
      <c r="S3196" s="1113"/>
      <c r="T3196" s="1143"/>
      <c r="U3196" s="1108"/>
      <c r="V3196" s="1108"/>
      <c r="W3196" s="1108"/>
      <c r="X3196" s="1108"/>
      <c r="Y3196" s="1108"/>
      <c r="Z3196" s="1114"/>
      <c r="AA3196" s="1114"/>
      <c r="AB3196" s="1114"/>
      <c r="AC3196" s="1117"/>
      <c r="AD3196" s="1115"/>
      <c r="AE3196" s="1115"/>
      <c r="AF3196" s="1115"/>
      <c r="AG3196" s="1115"/>
      <c r="AH3196" s="1115"/>
      <c r="AI3196" s="1115"/>
      <c r="AJ3196" s="1117"/>
      <c r="AK3196" s="1118"/>
      <c r="AL3196" s="1115"/>
      <c r="AM3196" s="1115"/>
      <c r="AN3196" s="1115"/>
      <c r="AO3196" s="1115"/>
      <c r="AP3196" s="1115"/>
      <c r="AQ3196" s="1115"/>
      <c r="AR3196" s="1115"/>
      <c r="AS3196" s="1117"/>
      <c r="AT3196" s="1075"/>
      <c r="AU3196" s="1193"/>
      <c r="AV3196" s="330"/>
      <c r="AW3196" s="331"/>
      <c r="AX3196" s="331"/>
      <c r="AY3196" s="331"/>
      <c r="AZ3196" s="331"/>
      <c r="BA3196" s="331"/>
      <c r="BB3196" s="331"/>
      <c r="BC3196" s="331"/>
      <c r="BD3196" s="331"/>
      <c r="BE3196" s="333"/>
      <c r="BF3196" s="330"/>
      <c r="BG3196" s="333"/>
      <c r="BH3196" s="1119"/>
      <c r="BI3196" s="319"/>
      <c r="BJ3196" s="319"/>
      <c r="BK3196" s="319"/>
      <c r="BL3196" s="319"/>
      <c r="BM3196" s="319"/>
      <c r="BN3196" s="319"/>
      <c r="BO3196" s="319"/>
      <c r="BP3196" s="953"/>
      <c r="BQ3196" s="319"/>
      <c r="BR3196" s="319"/>
      <c r="BS3196" s="330"/>
      <c r="BT3196" s="331"/>
      <c r="BU3196" s="920"/>
      <c r="BV3196" s="903"/>
      <c r="BW3196" s="908"/>
      <c r="BX3196" s="908"/>
      <c r="BY3196" s="331"/>
      <c r="BZ3196" s="331"/>
      <c r="CA3196" s="462"/>
      <c r="CB3196" s="319"/>
      <c r="CC3196" s="319"/>
      <c r="CD3196" s="319"/>
      <c r="CE3196" s="319"/>
      <c r="CF3196" s="319"/>
      <c r="CG3196" s="319"/>
      <c r="CH3196" s="318"/>
      <c r="CI3196" s="319"/>
      <c r="CJ3196" s="319"/>
      <c r="CK3196" s="342"/>
      <c r="CL3196" s="333"/>
      <c r="CM3196" s="1079"/>
      <c r="CN3196" s="1005"/>
      <c r="CO3196" s="1005"/>
      <c r="CP3196" s="1005"/>
    </row>
    <row r="3197">
      <c r="A3197" s="1257"/>
      <c r="B3197" s="1113"/>
      <c r="C3197" s="1107"/>
      <c r="D3197" s="103"/>
      <c r="E3197" s="1137"/>
      <c r="F3197" s="112"/>
      <c r="G3197" s="1110"/>
      <c r="H3197" s="1138"/>
      <c r="I3197" s="1138"/>
      <c r="J3197" s="1139"/>
      <c r="K3197" s="1111"/>
      <c r="L3197" s="1112"/>
      <c r="M3197" s="1113"/>
      <c r="N3197" s="110"/>
      <c r="O3197" s="1140"/>
      <c r="P3197" s="1115"/>
      <c r="Q3197" s="1116"/>
      <c r="R3197" s="1141"/>
      <c r="S3197" s="1113"/>
      <c r="T3197" s="1143"/>
      <c r="U3197" s="1108"/>
      <c r="V3197" s="1108"/>
      <c r="W3197" s="1108"/>
      <c r="X3197" s="1108"/>
      <c r="Y3197" s="1108"/>
      <c r="Z3197" s="1114"/>
      <c r="AA3197" s="1114"/>
      <c r="AB3197" s="1114"/>
      <c r="AC3197" s="1117"/>
      <c r="AD3197" s="1115"/>
      <c r="AE3197" s="1115"/>
      <c r="AF3197" s="1115"/>
      <c r="AG3197" s="1115"/>
      <c r="AH3197" s="1115"/>
      <c r="AI3197" s="1115"/>
      <c r="AJ3197" s="1117"/>
      <c r="AK3197" s="1118"/>
      <c r="AL3197" s="1115"/>
      <c r="AM3197" s="1115"/>
      <c r="AN3197" s="1115"/>
      <c r="AO3197" s="1115"/>
      <c r="AP3197" s="1115"/>
      <c r="AQ3197" s="1115"/>
      <c r="AR3197" s="1115"/>
      <c r="AS3197" s="1117"/>
      <c r="AT3197" s="1075"/>
      <c r="AU3197" s="1193"/>
      <c r="AV3197" s="330"/>
      <c r="AW3197" s="331"/>
      <c r="AX3197" s="331"/>
      <c r="AY3197" s="331"/>
      <c r="AZ3197" s="331"/>
      <c r="BA3197" s="331"/>
      <c r="BB3197" s="331"/>
      <c r="BC3197" s="331"/>
      <c r="BD3197" s="331"/>
      <c r="BE3197" s="333"/>
      <c r="BF3197" s="330"/>
      <c r="BG3197" s="333"/>
      <c r="BH3197" s="1119"/>
      <c r="BI3197" s="319"/>
      <c r="BJ3197" s="319"/>
      <c r="BK3197" s="319"/>
      <c r="BL3197" s="319"/>
      <c r="BM3197" s="319"/>
      <c r="BN3197" s="319"/>
      <c r="BO3197" s="319"/>
      <c r="BP3197" s="953"/>
      <c r="BQ3197" s="319"/>
      <c r="BR3197" s="319"/>
      <c r="BS3197" s="330"/>
      <c r="BT3197" s="331"/>
      <c r="BU3197" s="920"/>
      <c r="BV3197" s="903"/>
      <c r="BW3197" s="908"/>
      <c r="BX3197" s="908"/>
      <c r="BY3197" s="331"/>
      <c r="BZ3197" s="331"/>
      <c r="CA3197" s="462"/>
      <c r="CB3197" s="319"/>
      <c r="CC3197" s="319"/>
      <c r="CD3197" s="319"/>
      <c r="CE3197" s="319"/>
      <c r="CF3197" s="319"/>
      <c r="CG3197" s="319"/>
      <c r="CH3197" s="318"/>
      <c r="CI3197" s="319"/>
      <c r="CJ3197" s="319"/>
      <c r="CK3197" s="342"/>
      <c r="CL3197" s="333"/>
      <c r="CM3197" s="1079"/>
      <c r="CN3197" s="1005"/>
      <c r="CO3197" s="1005"/>
      <c r="CP3197" s="1005"/>
    </row>
    <row r="3198">
      <c r="A3198" s="1257"/>
      <c r="B3198" s="1113"/>
      <c r="C3198" s="1107"/>
      <c r="D3198" s="103"/>
      <c r="E3198" s="1137"/>
      <c r="F3198" s="112"/>
      <c r="G3198" s="1110"/>
      <c r="H3198" s="1138"/>
      <c r="I3198" s="1138"/>
      <c r="J3198" s="1139"/>
      <c r="K3198" s="1111"/>
      <c r="L3198" s="1112"/>
      <c r="M3198" s="1113"/>
      <c r="N3198" s="110"/>
      <c r="O3198" s="1140"/>
      <c r="P3198" s="1115"/>
      <c r="Q3198" s="1116"/>
      <c r="R3198" s="1141"/>
      <c r="S3198" s="1113"/>
      <c r="T3198" s="1143"/>
      <c r="U3198" s="1108"/>
      <c r="V3198" s="1108"/>
      <c r="W3198" s="1108"/>
      <c r="X3198" s="1108"/>
      <c r="Y3198" s="1108"/>
      <c r="Z3198" s="1114"/>
      <c r="AA3198" s="1114"/>
      <c r="AB3198" s="1114"/>
      <c r="AC3198" s="1117"/>
      <c r="AD3198" s="1115"/>
      <c r="AE3198" s="1115"/>
      <c r="AF3198" s="1115"/>
      <c r="AG3198" s="1115"/>
      <c r="AH3198" s="1115"/>
      <c r="AI3198" s="1115"/>
      <c r="AJ3198" s="1117"/>
      <c r="AK3198" s="1118"/>
      <c r="AL3198" s="1115"/>
      <c r="AM3198" s="1115"/>
      <c r="AN3198" s="1115"/>
      <c r="AO3198" s="1115"/>
      <c r="AP3198" s="1115"/>
      <c r="AQ3198" s="1115"/>
      <c r="AR3198" s="1115"/>
      <c r="AS3198" s="1117"/>
      <c r="AT3198" s="1075"/>
      <c r="AU3198" s="1193"/>
      <c r="AV3198" s="330"/>
      <c r="AW3198" s="331"/>
      <c r="AX3198" s="331"/>
      <c r="AY3198" s="331"/>
      <c r="AZ3198" s="331"/>
      <c r="BA3198" s="331"/>
      <c r="BB3198" s="331"/>
      <c r="BC3198" s="331"/>
      <c r="BD3198" s="331"/>
      <c r="BE3198" s="333"/>
      <c r="BF3198" s="330"/>
      <c r="BG3198" s="333"/>
      <c r="BH3198" s="1119"/>
      <c r="BI3198" s="319"/>
      <c r="BJ3198" s="319"/>
      <c r="BK3198" s="319"/>
      <c r="BL3198" s="319"/>
      <c r="BM3198" s="319"/>
      <c r="BN3198" s="319"/>
      <c r="BO3198" s="319"/>
      <c r="BP3198" s="953"/>
      <c r="BQ3198" s="319"/>
      <c r="BR3198" s="319"/>
      <c r="BS3198" s="330"/>
      <c r="BT3198" s="331"/>
      <c r="BU3198" s="920"/>
      <c r="BV3198" s="903"/>
      <c r="BW3198" s="908"/>
      <c r="BX3198" s="908"/>
      <c r="BY3198" s="331"/>
      <c r="BZ3198" s="331"/>
      <c r="CA3198" s="462"/>
      <c r="CB3198" s="319"/>
      <c r="CC3198" s="319"/>
      <c r="CD3198" s="319"/>
      <c r="CE3198" s="319"/>
      <c r="CF3198" s="319"/>
      <c r="CG3198" s="319"/>
      <c r="CH3198" s="318"/>
      <c r="CI3198" s="319"/>
      <c r="CJ3198" s="319"/>
      <c r="CK3198" s="342"/>
      <c r="CL3198" s="333"/>
      <c r="CM3198" s="1079"/>
      <c r="CN3198" s="1005"/>
      <c r="CO3198" s="1005"/>
      <c r="CP3198" s="1005"/>
    </row>
    <row r="3199">
      <c r="A3199" s="1257"/>
      <c r="B3199" s="1113"/>
      <c r="C3199" s="1107"/>
      <c r="D3199" s="103"/>
      <c r="E3199" s="1137"/>
      <c r="F3199" s="112"/>
      <c r="G3199" s="1110"/>
      <c r="H3199" s="1138"/>
      <c r="I3199" s="1138"/>
      <c r="J3199" s="1139"/>
      <c r="K3199" s="1111"/>
      <c r="L3199" s="1112"/>
      <c r="M3199" s="1113"/>
      <c r="N3199" s="110"/>
      <c r="O3199" s="1140"/>
      <c r="P3199" s="1115"/>
      <c r="Q3199" s="1116"/>
      <c r="R3199" s="1141"/>
      <c r="S3199" s="1113"/>
      <c r="T3199" s="1143"/>
      <c r="U3199" s="1108"/>
      <c r="V3199" s="1108"/>
      <c r="W3199" s="1108"/>
      <c r="X3199" s="1108"/>
      <c r="Y3199" s="1108"/>
      <c r="Z3199" s="1114"/>
      <c r="AA3199" s="1114"/>
      <c r="AB3199" s="1114"/>
      <c r="AC3199" s="1117"/>
      <c r="AD3199" s="1115"/>
      <c r="AE3199" s="1115"/>
      <c r="AF3199" s="1115"/>
      <c r="AG3199" s="1115"/>
      <c r="AH3199" s="1115"/>
      <c r="AI3199" s="1115"/>
      <c r="AJ3199" s="1117"/>
      <c r="AK3199" s="1118"/>
      <c r="AL3199" s="1115"/>
      <c r="AM3199" s="1115"/>
      <c r="AN3199" s="1115"/>
      <c r="AO3199" s="1115"/>
      <c r="AP3199" s="1115"/>
      <c r="AQ3199" s="1115"/>
      <c r="AR3199" s="1115"/>
      <c r="AS3199" s="1117"/>
      <c r="AT3199" s="1075"/>
      <c r="AU3199" s="1193"/>
      <c r="AV3199" s="330"/>
      <c r="AW3199" s="331"/>
      <c r="AX3199" s="331"/>
      <c r="AY3199" s="331"/>
      <c r="AZ3199" s="331"/>
      <c r="BA3199" s="331"/>
      <c r="BB3199" s="331"/>
      <c r="BC3199" s="331"/>
      <c r="BD3199" s="331"/>
      <c r="BE3199" s="333"/>
      <c r="BF3199" s="330"/>
      <c r="BG3199" s="333"/>
      <c r="BH3199" s="1119"/>
      <c r="BI3199" s="319"/>
      <c r="BJ3199" s="319"/>
      <c r="BK3199" s="319"/>
      <c r="BL3199" s="319"/>
      <c r="BM3199" s="319"/>
      <c r="BN3199" s="319"/>
      <c r="BO3199" s="319"/>
      <c r="BP3199" s="953"/>
      <c r="BQ3199" s="319"/>
      <c r="BR3199" s="319"/>
      <c r="BS3199" s="330"/>
      <c r="BT3199" s="331"/>
      <c r="BU3199" s="920"/>
      <c r="BV3199" s="903"/>
      <c r="BW3199" s="908"/>
      <c r="BX3199" s="908"/>
      <c r="BY3199" s="331"/>
      <c r="BZ3199" s="331"/>
      <c r="CA3199" s="462"/>
      <c r="CB3199" s="319"/>
      <c r="CC3199" s="319"/>
      <c r="CD3199" s="319"/>
      <c r="CE3199" s="319"/>
      <c r="CF3199" s="319"/>
      <c r="CG3199" s="319"/>
      <c r="CH3199" s="318"/>
      <c r="CI3199" s="319"/>
      <c r="CJ3199" s="319"/>
      <c r="CK3199" s="342"/>
      <c r="CL3199" s="333"/>
      <c r="CM3199" s="1079"/>
      <c r="CN3199" s="1005"/>
      <c r="CO3199" s="1005"/>
      <c r="CP3199" s="1005"/>
    </row>
    <row r="3200">
      <c r="A3200" s="1257"/>
      <c r="B3200" s="1113"/>
      <c r="C3200" s="1107"/>
      <c r="D3200" s="103"/>
      <c r="E3200" s="1137"/>
      <c r="F3200" s="112"/>
      <c r="G3200" s="1110"/>
      <c r="H3200" s="1138"/>
      <c r="I3200" s="1138"/>
      <c r="J3200" s="1139"/>
      <c r="K3200" s="1111"/>
      <c r="L3200" s="1112"/>
      <c r="M3200" s="1113"/>
      <c r="N3200" s="110"/>
      <c r="O3200" s="1140"/>
      <c r="P3200" s="1115"/>
      <c r="Q3200" s="1116"/>
      <c r="R3200" s="1141"/>
      <c r="S3200" s="1113"/>
      <c r="T3200" s="1143"/>
      <c r="U3200" s="1108"/>
      <c r="V3200" s="1108"/>
      <c r="W3200" s="1108"/>
      <c r="X3200" s="1108"/>
      <c r="Y3200" s="1108"/>
      <c r="Z3200" s="1114"/>
      <c r="AA3200" s="1114"/>
      <c r="AB3200" s="1114"/>
      <c r="AC3200" s="1117"/>
      <c r="AD3200" s="1115"/>
      <c r="AE3200" s="1115"/>
      <c r="AF3200" s="1115"/>
      <c r="AG3200" s="1115"/>
      <c r="AH3200" s="1115"/>
      <c r="AI3200" s="1115"/>
      <c r="AJ3200" s="1117"/>
      <c r="AK3200" s="1118"/>
      <c r="AL3200" s="1115"/>
      <c r="AM3200" s="1115"/>
      <c r="AN3200" s="1115"/>
      <c r="AO3200" s="1115"/>
      <c r="AP3200" s="1115"/>
      <c r="AQ3200" s="1115"/>
      <c r="AR3200" s="1115"/>
      <c r="AS3200" s="1117"/>
      <c r="AT3200" s="1075"/>
      <c r="AU3200" s="1193"/>
      <c r="AV3200" s="330"/>
      <c r="AW3200" s="331"/>
      <c r="AX3200" s="331"/>
      <c r="AY3200" s="331"/>
      <c r="AZ3200" s="331"/>
      <c r="BA3200" s="331"/>
      <c r="BB3200" s="331"/>
      <c r="BC3200" s="331"/>
      <c r="BD3200" s="331"/>
      <c r="BE3200" s="333"/>
      <c r="BF3200" s="330"/>
      <c r="BG3200" s="333"/>
      <c r="BH3200" s="1119"/>
      <c r="BI3200" s="319"/>
      <c r="BJ3200" s="319"/>
      <c r="BK3200" s="319"/>
      <c r="BL3200" s="319"/>
      <c r="BM3200" s="319"/>
      <c r="BN3200" s="319"/>
      <c r="BO3200" s="319"/>
      <c r="BP3200" s="953"/>
      <c r="BQ3200" s="319"/>
      <c r="BR3200" s="319"/>
      <c r="BS3200" s="330"/>
      <c r="BT3200" s="331"/>
      <c r="BU3200" s="920"/>
      <c r="BV3200" s="903"/>
      <c r="BW3200" s="908"/>
      <c r="BX3200" s="908"/>
      <c r="BY3200" s="331"/>
      <c r="BZ3200" s="331"/>
      <c r="CA3200" s="462"/>
      <c r="CB3200" s="319"/>
      <c r="CC3200" s="319"/>
      <c r="CD3200" s="319"/>
      <c r="CE3200" s="319"/>
      <c r="CF3200" s="319"/>
      <c r="CG3200" s="319"/>
      <c r="CH3200" s="318"/>
      <c r="CI3200" s="319"/>
      <c r="CJ3200" s="319"/>
      <c r="CK3200" s="342"/>
      <c r="CL3200" s="333"/>
      <c r="CM3200" s="1079"/>
      <c r="CN3200" s="1005"/>
      <c r="CO3200" s="1005"/>
      <c r="CP3200" s="1005"/>
    </row>
    <row r="3201">
      <c r="A3201" s="1257"/>
      <c r="B3201" s="1113"/>
      <c r="C3201" s="1107"/>
      <c r="D3201" s="103"/>
      <c r="E3201" s="1137"/>
      <c r="F3201" s="112"/>
      <c r="G3201" s="1110"/>
      <c r="H3201" s="1138"/>
      <c r="I3201" s="1138"/>
      <c r="J3201" s="1139"/>
      <c r="K3201" s="1111"/>
      <c r="L3201" s="1112"/>
      <c r="M3201" s="1113"/>
      <c r="N3201" s="110"/>
      <c r="O3201" s="1140"/>
      <c r="P3201" s="1115"/>
      <c r="Q3201" s="1116"/>
      <c r="R3201" s="1141"/>
      <c r="S3201" s="1113"/>
      <c r="T3201" s="1143"/>
      <c r="U3201" s="1108"/>
      <c r="V3201" s="1108"/>
      <c r="W3201" s="1108"/>
      <c r="X3201" s="1108"/>
      <c r="Y3201" s="1108"/>
      <c r="Z3201" s="1114"/>
      <c r="AA3201" s="1114"/>
      <c r="AB3201" s="1114"/>
      <c r="AC3201" s="1117"/>
      <c r="AD3201" s="1115"/>
      <c r="AE3201" s="1115"/>
      <c r="AF3201" s="1115"/>
      <c r="AG3201" s="1115"/>
      <c r="AH3201" s="1115"/>
      <c r="AI3201" s="1115"/>
      <c r="AJ3201" s="1117"/>
      <c r="AK3201" s="1118"/>
      <c r="AL3201" s="1115"/>
      <c r="AM3201" s="1115"/>
      <c r="AN3201" s="1115"/>
      <c r="AO3201" s="1115"/>
      <c r="AP3201" s="1115"/>
      <c r="AQ3201" s="1115"/>
      <c r="AR3201" s="1115"/>
      <c r="AS3201" s="1117"/>
      <c r="AT3201" s="1075"/>
      <c r="AU3201" s="1193"/>
      <c r="AV3201" s="330"/>
      <c r="AW3201" s="331"/>
      <c r="AX3201" s="331"/>
      <c r="AY3201" s="331"/>
      <c r="AZ3201" s="331"/>
      <c r="BA3201" s="331"/>
      <c r="BB3201" s="331"/>
      <c r="BC3201" s="331"/>
      <c r="BD3201" s="331"/>
      <c r="BE3201" s="333"/>
      <c r="BF3201" s="330"/>
      <c r="BG3201" s="333"/>
      <c r="BH3201" s="1119"/>
      <c r="BI3201" s="319"/>
      <c r="BJ3201" s="319"/>
      <c r="BK3201" s="319"/>
      <c r="BL3201" s="319"/>
      <c r="BM3201" s="319"/>
      <c r="BN3201" s="319"/>
      <c r="BO3201" s="319"/>
      <c r="BP3201" s="953"/>
      <c r="BQ3201" s="319"/>
      <c r="BR3201" s="319"/>
      <c r="BS3201" s="330"/>
      <c r="BT3201" s="331"/>
      <c r="BU3201" s="920"/>
      <c r="BV3201" s="903"/>
      <c r="BW3201" s="908"/>
      <c r="BX3201" s="908"/>
      <c r="BY3201" s="331"/>
      <c r="BZ3201" s="331"/>
      <c r="CA3201" s="462"/>
      <c r="CB3201" s="319"/>
      <c r="CC3201" s="319"/>
      <c r="CD3201" s="319"/>
      <c r="CE3201" s="319"/>
      <c r="CF3201" s="319"/>
      <c r="CG3201" s="319"/>
      <c r="CH3201" s="318"/>
      <c r="CI3201" s="319"/>
      <c r="CJ3201" s="319"/>
      <c r="CK3201" s="342"/>
      <c r="CL3201" s="333"/>
      <c r="CM3201" s="1079"/>
      <c r="CN3201" s="1005"/>
      <c r="CO3201" s="1005"/>
      <c r="CP3201" s="1005"/>
    </row>
    <row r="3202">
      <c r="A3202" s="1257"/>
      <c r="B3202" s="1113"/>
      <c r="C3202" s="1107"/>
      <c r="D3202" s="103"/>
      <c r="E3202" s="1137"/>
      <c r="F3202" s="112"/>
      <c r="G3202" s="1110"/>
      <c r="H3202" s="1138"/>
      <c r="I3202" s="1138"/>
      <c r="J3202" s="1139"/>
      <c r="K3202" s="1111"/>
      <c r="L3202" s="1112"/>
      <c r="M3202" s="1113"/>
      <c r="N3202" s="110"/>
      <c r="O3202" s="1140"/>
      <c r="P3202" s="1115"/>
      <c r="Q3202" s="1116"/>
      <c r="R3202" s="1141"/>
      <c r="S3202" s="1113"/>
      <c r="T3202" s="1143"/>
      <c r="U3202" s="1108"/>
      <c r="V3202" s="1108"/>
      <c r="W3202" s="1108"/>
      <c r="X3202" s="1108"/>
      <c r="Y3202" s="1108"/>
      <c r="Z3202" s="1114"/>
      <c r="AA3202" s="1114"/>
      <c r="AB3202" s="1114"/>
      <c r="AC3202" s="1117"/>
      <c r="AD3202" s="1115"/>
      <c r="AE3202" s="1115"/>
      <c r="AF3202" s="1115"/>
      <c r="AG3202" s="1115"/>
      <c r="AH3202" s="1115"/>
      <c r="AI3202" s="1115"/>
      <c r="AJ3202" s="1117"/>
      <c r="AK3202" s="1118"/>
      <c r="AL3202" s="1115"/>
      <c r="AM3202" s="1115"/>
      <c r="AN3202" s="1115"/>
      <c r="AO3202" s="1115"/>
      <c r="AP3202" s="1115"/>
      <c r="AQ3202" s="1115"/>
      <c r="AR3202" s="1115"/>
      <c r="AS3202" s="1117"/>
      <c r="AT3202" s="1075"/>
      <c r="AU3202" s="1193"/>
      <c r="AV3202" s="330"/>
      <c r="AW3202" s="331"/>
      <c r="AX3202" s="331"/>
      <c r="AY3202" s="331"/>
      <c r="AZ3202" s="331"/>
      <c r="BA3202" s="331"/>
      <c r="BB3202" s="331"/>
      <c r="BC3202" s="331"/>
      <c r="BD3202" s="331"/>
      <c r="BE3202" s="333"/>
      <c r="BF3202" s="330"/>
      <c r="BG3202" s="333"/>
      <c r="BH3202" s="1119"/>
      <c r="BI3202" s="319"/>
      <c r="BJ3202" s="319"/>
      <c r="BK3202" s="319"/>
      <c r="BL3202" s="319"/>
      <c r="BM3202" s="319"/>
      <c r="BN3202" s="319"/>
      <c r="BO3202" s="319"/>
      <c r="BP3202" s="953"/>
      <c r="BQ3202" s="319"/>
      <c r="BR3202" s="319"/>
      <c r="BS3202" s="330"/>
      <c r="BT3202" s="331"/>
      <c r="BU3202" s="920"/>
      <c r="BV3202" s="903"/>
      <c r="BW3202" s="908"/>
      <c r="BX3202" s="908"/>
      <c r="BY3202" s="331"/>
      <c r="BZ3202" s="331"/>
      <c r="CA3202" s="462"/>
      <c r="CB3202" s="319"/>
      <c r="CC3202" s="319"/>
      <c r="CD3202" s="319"/>
      <c r="CE3202" s="319"/>
      <c r="CF3202" s="319"/>
      <c r="CG3202" s="319"/>
      <c r="CH3202" s="318"/>
      <c r="CI3202" s="319"/>
      <c r="CJ3202" s="319"/>
      <c r="CK3202" s="342"/>
      <c r="CL3202" s="333"/>
      <c r="CM3202" s="1079"/>
      <c r="CN3202" s="1005"/>
      <c r="CO3202" s="1005"/>
      <c r="CP3202" s="1005"/>
    </row>
    <row r="3203">
      <c r="A3203" s="1257"/>
      <c r="B3203" s="1113"/>
      <c r="C3203" s="1107"/>
      <c r="D3203" s="103"/>
      <c r="E3203" s="1137"/>
      <c r="F3203" s="112"/>
      <c r="G3203" s="1110"/>
      <c r="H3203" s="1138"/>
      <c r="I3203" s="1138"/>
      <c r="J3203" s="1139"/>
      <c r="K3203" s="1111"/>
      <c r="L3203" s="1112"/>
      <c r="M3203" s="1113"/>
      <c r="N3203" s="110"/>
      <c r="O3203" s="1140"/>
      <c r="P3203" s="1115"/>
      <c r="Q3203" s="1116"/>
      <c r="R3203" s="1141"/>
      <c r="S3203" s="1113"/>
      <c r="T3203" s="1143"/>
      <c r="U3203" s="1108"/>
      <c r="V3203" s="1108"/>
      <c r="W3203" s="1108"/>
      <c r="X3203" s="1108"/>
      <c r="Y3203" s="1108"/>
      <c r="Z3203" s="1114"/>
      <c r="AA3203" s="1114"/>
      <c r="AB3203" s="1114"/>
      <c r="AC3203" s="1117"/>
      <c r="AD3203" s="1115"/>
      <c r="AE3203" s="1115"/>
      <c r="AF3203" s="1115"/>
      <c r="AG3203" s="1115"/>
      <c r="AH3203" s="1115"/>
      <c r="AI3203" s="1115"/>
      <c r="AJ3203" s="1117"/>
      <c r="AK3203" s="1118"/>
      <c r="AL3203" s="1115"/>
      <c r="AM3203" s="1115"/>
      <c r="AN3203" s="1115"/>
      <c r="AO3203" s="1115"/>
      <c r="AP3203" s="1115"/>
      <c r="AQ3203" s="1115"/>
      <c r="AR3203" s="1115"/>
      <c r="AS3203" s="1117"/>
      <c r="AT3203" s="1075"/>
      <c r="AU3203" s="1193"/>
      <c r="AV3203" s="330"/>
      <c r="AW3203" s="331"/>
      <c r="AX3203" s="331"/>
      <c r="AY3203" s="331"/>
      <c r="AZ3203" s="331"/>
      <c r="BA3203" s="331"/>
      <c r="BB3203" s="331"/>
      <c r="BC3203" s="331"/>
      <c r="BD3203" s="331"/>
      <c r="BE3203" s="333"/>
      <c r="BF3203" s="330"/>
      <c r="BG3203" s="333"/>
      <c r="BH3203" s="1119"/>
      <c r="BI3203" s="319"/>
      <c r="BJ3203" s="319"/>
      <c r="BK3203" s="319"/>
      <c r="BL3203" s="319"/>
      <c r="BM3203" s="319"/>
      <c r="BN3203" s="319"/>
      <c r="BO3203" s="319"/>
      <c r="BP3203" s="953"/>
      <c r="BQ3203" s="319"/>
      <c r="BR3203" s="319"/>
      <c r="BS3203" s="330"/>
      <c r="BT3203" s="331"/>
      <c r="BU3203" s="920"/>
      <c r="BV3203" s="903"/>
      <c r="BW3203" s="908"/>
      <c r="BX3203" s="908"/>
      <c r="BY3203" s="331"/>
      <c r="BZ3203" s="331"/>
      <c r="CA3203" s="462"/>
      <c r="CB3203" s="319"/>
      <c r="CC3203" s="319"/>
      <c r="CD3203" s="319"/>
      <c r="CE3203" s="319"/>
      <c r="CF3203" s="319"/>
      <c r="CG3203" s="319"/>
      <c r="CH3203" s="318"/>
      <c r="CI3203" s="319"/>
      <c r="CJ3203" s="319"/>
      <c r="CK3203" s="342"/>
      <c r="CL3203" s="333"/>
      <c r="CM3203" s="1079"/>
      <c r="CN3203" s="1005"/>
      <c r="CO3203" s="1005"/>
      <c r="CP3203" s="1005"/>
    </row>
    <row r="3204">
      <c r="A3204" s="1257"/>
      <c r="B3204" s="1113"/>
      <c r="C3204" s="1107"/>
      <c r="D3204" s="103"/>
      <c r="E3204" s="1137"/>
      <c r="F3204" s="112"/>
      <c r="G3204" s="1110"/>
      <c r="H3204" s="1138"/>
      <c r="I3204" s="1138"/>
      <c r="J3204" s="1139"/>
      <c r="K3204" s="1111"/>
      <c r="L3204" s="1112"/>
      <c r="M3204" s="1113"/>
      <c r="N3204" s="110"/>
      <c r="O3204" s="1140"/>
      <c r="P3204" s="1115"/>
      <c r="Q3204" s="1116"/>
      <c r="R3204" s="1141"/>
      <c r="S3204" s="1113"/>
      <c r="T3204" s="1143"/>
      <c r="U3204" s="1108"/>
      <c r="V3204" s="1108"/>
      <c r="W3204" s="1108"/>
      <c r="X3204" s="1108"/>
      <c r="Y3204" s="1108"/>
      <c r="Z3204" s="1114"/>
      <c r="AA3204" s="1114"/>
      <c r="AB3204" s="1114"/>
      <c r="AC3204" s="1117"/>
      <c r="AD3204" s="1115"/>
      <c r="AE3204" s="1115"/>
      <c r="AF3204" s="1115"/>
      <c r="AG3204" s="1115"/>
      <c r="AH3204" s="1115"/>
      <c r="AI3204" s="1115"/>
      <c r="AJ3204" s="1117"/>
      <c r="AK3204" s="1118"/>
      <c r="AL3204" s="1115"/>
      <c r="AM3204" s="1115"/>
      <c r="AN3204" s="1115"/>
      <c r="AO3204" s="1115"/>
      <c r="AP3204" s="1115"/>
      <c r="AQ3204" s="1115"/>
      <c r="AR3204" s="1115"/>
      <c r="AS3204" s="1117"/>
      <c r="AT3204" s="1075"/>
      <c r="AU3204" s="1193"/>
      <c r="AV3204" s="330"/>
      <c r="AW3204" s="331"/>
      <c r="AX3204" s="331"/>
      <c r="AY3204" s="331"/>
      <c r="AZ3204" s="331"/>
      <c r="BA3204" s="331"/>
      <c r="BB3204" s="331"/>
      <c r="BC3204" s="331"/>
      <c r="BD3204" s="331"/>
      <c r="BE3204" s="333"/>
      <c r="BF3204" s="330"/>
      <c r="BG3204" s="333"/>
      <c r="BH3204" s="1119"/>
      <c r="BI3204" s="319"/>
      <c r="BJ3204" s="319"/>
      <c r="BK3204" s="319"/>
      <c r="BL3204" s="319"/>
      <c r="BM3204" s="319"/>
      <c r="BN3204" s="319"/>
      <c r="BO3204" s="319"/>
      <c r="BP3204" s="953"/>
      <c r="BQ3204" s="319"/>
      <c r="BR3204" s="319"/>
      <c r="BS3204" s="330"/>
      <c r="BT3204" s="331"/>
      <c r="BU3204" s="920"/>
      <c r="BV3204" s="903"/>
      <c r="BW3204" s="908"/>
      <c r="BX3204" s="908"/>
      <c r="BY3204" s="331"/>
      <c r="BZ3204" s="331"/>
      <c r="CA3204" s="462"/>
      <c r="CB3204" s="319"/>
      <c r="CC3204" s="319"/>
      <c r="CD3204" s="319"/>
      <c r="CE3204" s="319"/>
      <c r="CF3204" s="319"/>
      <c r="CG3204" s="319"/>
      <c r="CH3204" s="318"/>
      <c r="CI3204" s="319"/>
      <c r="CJ3204" s="319"/>
      <c r="CK3204" s="342"/>
      <c r="CL3204" s="333"/>
      <c r="CM3204" s="1079"/>
      <c r="CN3204" s="1005"/>
      <c r="CO3204" s="1005"/>
      <c r="CP3204" s="1005"/>
    </row>
    <row r="3205">
      <c r="A3205" s="1257"/>
      <c r="B3205" s="1113"/>
      <c r="C3205" s="1107"/>
      <c r="D3205" s="103"/>
      <c r="E3205" s="1137"/>
      <c r="F3205" s="112"/>
      <c r="G3205" s="1110"/>
      <c r="H3205" s="1138"/>
      <c r="I3205" s="1138"/>
      <c r="J3205" s="1139"/>
      <c r="K3205" s="1111"/>
      <c r="L3205" s="1112"/>
      <c r="M3205" s="1113"/>
      <c r="N3205" s="110"/>
      <c r="O3205" s="1140"/>
      <c r="P3205" s="1115"/>
      <c r="Q3205" s="1116"/>
      <c r="R3205" s="1141"/>
      <c r="S3205" s="1113"/>
      <c r="T3205" s="1143"/>
      <c r="U3205" s="1108"/>
      <c r="V3205" s="1108"/>
      <c r="W3205" s="1108"/>
      <c r="X3205" s="1108"/>
      <c r="Y3205" s="1108"/>
      <c r="Z3205" s="1114"/>
      <c r="AA3205" s="1114"/>
      <c r="AB3205" s="1114"/>
      <c r="AC3205" s="1117"/>
      <c r="AD3205" s="1115"/>
      <c r="AE3205" s="1115"/>
      <c r="AF3205" s="1115"/>
      <c r="AG3205" s="1115"/>
      <c r="AH3205" s="1115"/>
      <c r="AI3205" s="1115"/>
      <c r="AJ3205" s="1117"/>
      <c r="AK3205" s="1118"/>
      <c r="AL3205" s="1115"/>
      <c r="AM3205" s="1115"/>
      <c r="AN3205" s="1115"/>
      <c r="AO3205" s="1115"/>
      <c r="AP3205" s="1115"/>
      <c r="AQ3205" s="1115"/>
      <c r="AR3205" s="1115"/>
      <c r="AS3205" s="1117"/>
      <c r="AT3205" s="1075"/>
      <c r="AU3205" s="1193"/>
      <c r="AV3205" s="330"/>
      <c r="AW3205" s="331"/>
      <c r="AX3205" s="331"/>
      <c r="AY3205" s="331"/>
      <c r="AZ3205" s="331"/>
      <c r="BA3205" s="331"/>
      <c r="BB3205" s="331"/>
      <c r="BC3205" s="331"/>
      <c r="BD3205" s="331"/>
      <c r="BE3205" s="333"/>
      <c r="BF3205" s="330"/>
      <c r="BG3205" s="333"/>
      <c r="BH3205" s="1119"/>
      <c r="BI3205" s="319"/>
      <c r="BJ3205" s="319"/>
      <c r="BK3205" s="319"/>
      <c r="BL3205" s="319"/>
      <c r="BM3205" s="319"/>
      <c r="BN3205" s="319"/>
      <c r="BO3205" s="319"/>
      <c r="BP3205" s="953"/>
      <c r="BQ3205" s="319"/>
      <c r="BR3205" s="319"/>
      <c r="BS3205" s="330"/>
      <c r="BT3205" s="331"/>
      <c r="BU3205" s="920"/>
      <c r="BV3205" s="903"/>
      <c r="BW3205" s="908"/>
      <c r="BX3205" s="908"/>
      <c r="BY3205" s="331"/>
      <c r="BZ3205" s="331"/>
      <c r="CA3205" s="462"/>
      <c r="CB3205" s="319"/>
      <c r="CC3205" s="319"/>
      <c r="CD3205" s="319"/>
      <c r="CE3205" s="319"/>
      <c r="CF3205" s="319"/>
      <c r="CG3205" s="319"/>
      <c r="CH3205" s="318"/>
      <c r="CI3205" s="319"/>
      <c r="CJ3205" s="319"/>
      <c r="CK3205" s="342"/>
      <c r="CL3205" s="333"/>
      <c r="CM3205" s="1079"/>
      <c r="CN3205" s="1005"/>
      <c r="CO3205" s="1005"/>
      <c r="CP3205" s="1005"/>
    </row>
    <row r="3206">
      <c r="A3206" s="1257"/>
      <c r="B3206" s="1113"/>
      <c r="C3206" s="1107"/>
      <c r="D3206" s="103"/>
      <c r="E3206" s="1137"/>
      <c r="F3206" s="112"/>
      <c r="G3206" s="1110"/>
      <c r="H3206" s="1138"/>
      <c r="I3206" s="1138"/>
      <c r="J3206" s="1139"/>
      <c r="K3206" s="1111"/>
      <c r="L3206" s="1112"/>
      <c r="M3206" s="1113"/>
      <c r="N3206" s="110"/>
      <c r="O3206" s="1140"/>
      <c r="P3206" s="1115"/>
      <c r="Q3206" s="1116"/>
      <c r="R3206" s="1141"/>
      <c r="S3206" s="1113"/>
      <c r="T3206" s="1143"/>
      <c r="U3206" s="1108"/>
      <c r="V3206" s="1108"/>
      <c r="W3206" s="1108"/>
      <c r="X3206" s="1108"/>
      <c r="Y3206" s="1108"/>
      <c r="Z3206" s="1114"/>
      <c r="AA3206" s="1114"/>
      <c r="AB3206" s="1114"/>
      <c r="AC3206" s="1117"/>
      <c r="AD3206" s="1115"/>
      <c r="AE3206" s="1115"/>
      <c r="AF3206" s="1115"/>
      <c r="AG3206" s="1115"/>
      <c r="AH3206" s="1115"/>
      <c r="AI3206" s="1115"/>
      <c r="AJ3206" s="1117"/>
      <c r="AK3206" s="1118"/>
      <c r="AL3206" s="1115"/>
      <c r="AM3206" s="1115"/>
      <c r="AN3206" s="1115"/>
      <c r="AO3206" s="1115"/>
      <c r="AP3206" s="1115"/>
      <c r="AQ3206" s="1115"/>
      <c r="AR3206" s="1115"/>
      <c r="AS3206" s="1117"/>
      <c r="AT3206" s="1075"/>
      <c r="AU3206" s="1193"/>
      <c r="AV3206" s="330"/>
      <c r="AW3206" s="331"/>
      <c r="AX3206" s="331"/>
      <c r="AY3206" s="331"/>
      <c r="AZ3206" s="331"/>
      <c r="BA3206" s="331"/>
      <c r="BB3206" s="331"/>
      <c r="BC3206" s="331"/>
      <c r="BD3206" s="331"/>
      <c r="BE3206" s="333"/>
      <c r="BF3206" s="330"/>
      <c r="BG3206" s="333"/>
      <c r="BH3206" s="1119"/>
      <c r="BI3206" s="319"/>
      <c r="BJ3206" s="319"/>
      <c r="BK3206" s="319"/>
      <c r="BL3206" s="319"/>
      <c r="BM3206" s="319"/>
      <c r="BN3206" s="319"/>
      <c r="BO3206" s="319"/>
      <c r="BP3206" s="953"/>
      <c r="BQ3206" s="319"/>
      <c r="BR3206" s="319"/>
      <c r="BS3206" s="330"/>
      <c r="BT3206" s="331"/>
      <c r="BU3206" s="920"/>
      <c r="BV3206" s="903"/>
      <c r="BW3206" s="908"/>
      <c r="BX3206" s="908"/>
      <c r="BY3206" s="331"/>
      <c r="BZ3206" s="331"/>
      <c r="CA3206" s="462"/>
      <c r="CB3206" s="319"/>
      <c r="CC3206" s="319"/>
      <c r="CD3206" s="319"/>
      <c r="CE3206" s="319"/>
      <c r="CF3206" s="319"/>
      <c r="CG3206" s="319"/>
      <c r="CH3206" s="318"/>
      <c r="CI3206" s="319"/>
      <c r="CJ3206" s="319"/>
      <c r="CK3206" s="342"/>
      <c r="CL3206" s="333"/>
      <c r="CM3206" s="1079"/>
      <c r="CN3206" s="1005"/>
      <c r="CO3206" s="1005"/>
      <c r="CP3206" s="1005"/>
    </row>
    <row r="3207">
      <c r="A3207" s="1257"/>
      <c r="B3207" s="1113"/>
      <c r="C3207" s="1107"/>
      <c r="D3207" s="103"/>
      <c r="E3207" s="1137"/>
      <c r="F3207" s="112"/>
      <c r="G3207" s="1110"/>
      <c r="H3207" s="1138"/>
      <c r="I3207" s="1138"/>
      <c r="J3207" s="1139"/>
      <c r="K3207" s="1111"/>
      <c r="L3207" s="1112"/>
      <c r="M3207" s="1113"/>
      <c r="N3207" s="110"/>
      <c r="O3207" s="1140"/>
      <c r="P3207" s="1115"/>
      <c r="Q3207" s="1116"/>
      <c r="R3207" s="1141"/>
      <c r="S3207" s="1113"/>
      <c r="T3207" s="1143"/>
      <c r="U3207" s="1108"/>
      <c r="V3207" s="1108"/>
      <c r="W3207" s="1108"/>
      <c r="X3207" s="1108"/>
      <c r="Y3207" s="1108"/>
      <c r="Z3207" s="1114"/>
      <c r="AA3207" s="1114"/>
      <c r="AB3207" s="1114"/>
      <c r="AC3207" s="1117"/>
      <c r="AD3207" s="1115"/>
      <c r="AE3207" s="1115"/>
      <c r="AF3207" s="1115"/>
      <c r="AG3207" s="1115"/>
      <c r="AH3207" s="1115"/>
      <c r="AI3207" s="1115"/>
      <c r="AJ3207" s="1117"/>
      <c r="AK3207" s="1118"/>
      <c r="AL3207" s="1115"/>
      <c r="AM3207" s="1115"/>
      <c r="AN3207" s="1115"/>
      <c r="AO3207" s="1115"/>
      <c r="AP3207" s="1115"/>
      <c r="AQ3207" s="1115"/>
      <c r="AR3207" s="1115"/>
      <c r="AS3207" s="1117"/>
      <c r="AT3207" s="1075"/>
      <c r="AU3207" s="1193"/>
      <c r="AV3207" s="330"/>
      <c r="AW3207" s="331"/>
      <c r="AX3207" s="331"/>
      <c r="AY3207" s="331"/>
      <c r="AZ3207" s="331"/>
      <c r="BA3207" s="331"/>
      <c r="BB3207" s="331"/>
      <c r="BC3207" s="331"/>
      <c r="BD3207" s="331"/>
      <c r="BE3207" s="333"/>
      <c r="BF3207" s="330"/>
      <c r="BG3207" s="333"/>
      <c r="BH3207" s="1119"/>
      <c r="BI3207" s="319"/>
      <c r="BJ3207" s="319"/>
      <c r="BK3207" s="319"/>
      <c r="BL3207" s="319"/>
      <c r="BM3207" s="319"/>
      <c r="BN3207" s="319"/>
      <c r="BO3207" s="319"/>
      <c r="BP3207" s="953"/>
      <c r="BQ3207" s="319"/>
      <c r="BR3207" s="319"/>
      <c r="BS3207" s="330"/>
      <c r="BT3207" s="331"/>
      <c r="BU3207" s="920"/>
      <c r="BV3207" s="903"/>
      <c r="BW3207" s="908"/>
      <c r="BX3207" s="908"/>
      <c r="BY3207" s="331"/>
      <c r="BZ3207" s="331"/>
      <c r="CA3207" s="462"/>
      <c r="CB3207" s="319"/>
      <c r="CC3207" s="319"/>
      <c r="CD3207" s="319"/>
      <c r="CE3207" s="319"/>
      <c r="CF3207" s="319"/>
      <c r="CG3207" s="319"/>
      <c r="CH3207" s="318"/>
      <c r="CI3207" s="319"/>
      <c r="CJ3207" s="319"/>
      <c r="CK3207" s="342"/>
      <c r="CL3207" s="333"/>
      <c r="CM3207" s="1079"/>
      <c r="CN3207" s="1005"/>
      <c r="CO3207" s="1005"/>
      <c r="CP3207" s="1005"/>
    </row>
    <row r="3208">
      <c r="A3208" s="1257"/>
      <c r="B3208" s="1113"/>
      <c r="C3208" s="1107"/>
      <c r="D3208" s="103"/>
      <c r="E3208" s="1137"/>
      <c r="F3208" s="112"/>
      <c r="G3208" s="1110"/>
      <c r="H3208" s="1138"/>
      <c r="I3208" s="1138"/>
      <c r="J3208" s="1139"/>
      <c r="K3208" s="1111"/>
      <c r="L3208" s="1112"/>
      <c r="M3208" s="1113"/>
      <c r="N3208" s="110"/>
      <c r="O3208" s="1140"/>
      <c r="P3208" s="1115"/>
      <c r="Q3208" s="1116"/>
      <c r="R3208" s="1141"/>
      <c r="S3208" s="1113"/>
      <c r="T3208" s="1143"/>
      <c r="U3208" s="1108"/>
      <c r="V3208" s="1108"/>
      <c r="W3208" s="1108"/>
      <c r="X3208" s="1108"/>
      <c r="Y3208" s="1108"/>
      <c r="Z3208" s="1114"/>
      <c r="AA3208" s="1114"/>
      <c r="AB3208" s="1114"/>
      <c r="AC3208" s="1117"/>
      <c r="AD3208" s="1115"/>
      <c r="AE3208" s="1115"/>
      <c r="AF3208" s="1115"/>
      <c r="AG3208" s="1115"/>
      <c r="AH3208" s="1115"/>
      <c r="AI3208" s="1115"/>
      <c r="AJ3208" s="1117"/>
      <c r="AK3208" s="1118"/>
      <c r="AL3208" s="1115"/>
      <c r="AM3208" s="1115"/>
      <c r="AN3208" s="1115"/>
      <c r="AO3208" s="1115"/>
      <c r="AP3208" s="1115"/>
      <c r="AQ3208" s="1115"/>
      <c r="AR3208" s="1115"/>
      <c r="AS3208" s="1117"/>
      <c r="AT3208" s="1075"/>
      <c r="AU3208" s="1193"/>
      <c r="AV3208" s="330"/>
      <c r="AW3208" s="331"/>
      <c r="AX3208" s="331"/>
      <c r="AY3208" s="331"/>
      <c r="AZ3208" s="331"/>
      <c r="BA3208" s="331"/>
      <c r="BB3208" s="331"/>
      <c r="BC3208" s="331"/>
      <c r="BD3208" s="331"/>
      <c r="BE3208" s="333"/>
      <c r="BF3208" s="330"/>
      <c r="BG3208" s="333"/>
      <c r="BH3208" s="1119"/>
      <c r="BI3208" s="319"/>
      <c r="BJ3208" s="319"/>
      <c r="BK3208" s="319"/>
      <c r="BL3208" s="319"/>
      <c r="BM3208" s="319"/>
      <c r="BN3208" s="319"/>
      <c r="BO3208" s="319"/>
      <c r="BP3208" s="953"/>
      <c r="BQ3208" s="319"/>
      <c r="BR3208" s="319"/>
      <c r="BS3208" s="330"/>
      <c r="BT3208" s="331"/>
      <c r="BU3208" s="920"/>
      <c r="BV3208" s="903"/>
      <c r="BW3208" s="908"/>
      <c r="BX3208" s="908"/>
      <c r="BY3208" s="331"/>
      <c r="BZ3208" s="331"/>
      <c r="CA3208" s="462"/>
      <c r="CB3208" s="319"/>
      <c r="CC3208" s="319"/>
      <c r="CD3208" s="319"/>
      <c r="CE3208" s="319"/>
      <c r="CF3208" s="319"/>
      <c r="CG3208" s="319"/>
      <c r="CH3208" s="318"/>
      <c r="CI3208" s="319"/>
      <c r="CJ3208" s="319"/>
      <c r="CK3208" s="342"/>
      <c r="CL3208" s="333"/>
      <c r="CM3208" s="1079"/>
      <c r="CN3208" s="1005"/>
      <c r="CO3208" s="1005"/>
      <c r="CP3208" s="1005"/>
    </row>
    <row r="3209">
      <c r="A3209" s="1257"/>
      <c r="B3209" s="1113"/>
      <c r="C3209" s="1107"/>
      <c r="D3209" s="103"/>
      <c r="E3209" s="1137"/>
      <c r="F3209" s="112"/>
      <c r="G3209" s="1110"/>
      <c r="H3209" s="1138"/>
      <c r="I3209" s="1138"/>
      <c r="J3209" s="1139"/>
      <c r="K3209" s="1111"/>
      <c r="L3209" s="1112"/>
      <c r="M3209" s="1113"/>
      <c r="N3209" s="110"/>
      <c r="O3209" s="1140"/>
      <c r="P3209" s="1115"/>
      <c r="Q3209" s="1116"/>
      <c r="R3209" s="1141"/>
      <c r="S3209" s="1113"/>
      <c r="T3209" s="1143"/>
      <c r="U3209" s="1108"/>
      <c r="V3209" s="1108"/>
      <c r="W3209" s="1108"/>
      <c r="X3209" s="1108"/>
      <c r="Y3209" s="1108"/>
      <c r="Z3209" s="1114"/>
      <c r="AA3209" s="1114"/>
      <c r="AB3209" s="1114"/>
      <c r="AC3209" s="1117"/>
      <c r="AD3209" s="1115"/>
      <c r="AE3209" s="1115"/>
      <c r="AF3209" s="1115"/>
      <c r="AG3209" s="1115"/>
      <c r="AH3209" s="1115"/>
      <c r="AI3209" s="1115"/>
      <c r="AJ3209" s="1117"/>
      <c r="AK3209" s="1118"/>
      <c r="AL3209" s="1115"/>
      <c r="AM3209" s="1115"/>
      <c r="AN3209" s="1115"/>
      <c r="AO3209" s="1115"/>
      <c r="AP3209" s="1115"/>
      <c r="AQ3209" s="1115"/>
      <c r="AR3209" s="1115"/>
      <c r="AS3209" s="1117"/>
      <c r="AT3209" s="1075"/>
      <c r="AU3209" s="1193"/>
      <c r="AV3209" s="330"/>
      <c r="AW3209" s="331"/>
      <c r="AX3209" s="331"/>
      <c r="AY3209" s="331"/>
      <c r="AZ3209" s="331"/>
      <c r="BA3209" s="331"/>
      <c r="BB3209" s="331"/>
      <c r="BC3209" s="331"/>
      <c r="BD3209" s="331"/>
      <c r="BE3209" s="333"/>
      <c r="BF3209" s="330"/>
      <c r="BG3209" s="333"/>
      <c r="BH3209" s="1119"/>
      <c r="BI3209" s="319"/>
      <c r="BJ3209" s="319"/>
      <c r="BK3209" s="319"/>
      <c r="BL3209" s="319"/>
      <c r="BM3209" s="319"/>
      <c r="BN3209" s="319"/>
      <c r="BO3209" s="319"/>
      <c r="BP3209" s="953"/>
      <c r="BQ3209" s="319"/>
      <c r="BR3209" s="319"/>
      <c r="BS3209" s="330"/>
      <c r="BT3209" s="331"/>
      <c r="BU3209" s="920"/>
      <c r="BV3209" s="903"/>
      <c r="BW3209" s="908"/>
      <c r="BX3209" s="908"/>
      <c r="BY3209" s="331"/>
      <c r="BZ3209" s="331"/>
      <c r="CA3209" s="462"/>
      <c r="CB3209" s="319"/>
      <c r="CC3209" s="319"/>
      <c r="CD3209" s="319"/>
      <c r="CE3209" s="319"/>
      <c r="CF3209" s="319"/>
      <c r="CG3209" s="319"/>
      <c r="CH3209" s="318"/>
      <c r="CI3209" s="319"/>
      <c r="CJ3209" s="319"/>
      <c r="CK3209" s="342"/>
      <c r="CL3209" s="333"/>
      <c r="CM3209" s="1079"/>
      <c r="CN3209" s="1005"/>
      <c r="CO3209" s="1005"/>
      <c r="CP3209" s="1005"/>
    </row>
    <row r="3210">
      <c r="A3210" s="1257"/>
      <c r="B3210" s="1113"/>
      <c r="C3210" s="1107"/>
      <c r="D3210" s="103"/>
      <c r="E3210" s="1137"/>
      <c r="F3210" s="112"/>
      <c r="G3210" s="1110"/>
      <c r="H3210" s="1138"/>
      <c r="I3210" s="1138"/>
      <c r="J3210" s="1139"/>
      <c r="K3210" s="1111"/>
      <c r="L3210" s="1112"/>
      <c r="M3210" s="1113"/>
      <c r="N3210" s="110"/>
      <c r="O3210" s="1140"/>
      <c r="P3210" s="1115"/>
      <c r="Q3210" s="1116"/>
      <c r="R3210" s="1141"/>
      <c r="S3210" s="1113"/>
      <c r="T3210" s="1143"/>
      <c r="U3210" s="1108"/>
      <c r="V3210" s="1108"/>
      <c r="W3210" s="1108"/>
      <c r="X3210" s="1108"/>
      <c r="Y3210" s="1108"/>
      <c r="Z3210" s="1114"/>
      <c r="AA3210" s="1114"/>
      <c r="AB3210" s="1114"/>
      <c r="AC3210" s="1117"/>
      <c r="AD3210" s="1115"/>
      <c r="AE3210" s="1115"/>
      <c r="AF3210" s="1115"/>
      <c r="AG3210" s="1115"/>
      <c r="AH3210" s="1115"/>
      <c r="AI3210" s="1115"/>
      <c r="AJ3210" s="1117"/>
      <c r="AK3210" s="1118"/>
      <c r="AL3210" s="1115"/>
      <c r="AM3210" s="1115"/>
      <c r="AN3210" s="1115"/>
      <c r="AO3210" s="1115"/>
      <c r="AP3210" s="1115"/>
      <c r="AQ3210" s="1115"/>
      <c r="AR3210" s="1115"/>
      <c r="AS3210" s="1117"/>
      <c r="AT3210" s="1075"/>
      <c r="AU3210" s="1193"/>
      <c r="AV3210" s="330"/>
      <c r="AW3210" s="331"/>
      <c r="AX3210" s="331"/>
      <c r="AY3210" s="331"/>
      <c r="AZ3210" s="331"/>
      <c r="BA3210" s="331"/>
      <c r="BB3210" s="331"/>
      <c r="BC3210" s="331"/>
      <c r="BD3210" s="331"/>
      <c r="BE3210" s="333"/>
      <c r="BF3210" s="330"/>
      <c r="BG3210" s="333"/>
      <c r="BH3210" s="1119"/>
      <c r="BI3210" s="319"/>
      <c r="BJ3210" s="319"/>
      <c r="BK3210" s="319"/>
      <c r="BL3210" s="319"/>
      <c r="BM3210" s="319"/>
      <c r="BN3210" s="319"/>
      <c r="BO3210" s="319"/>
      <c r="BP3210" s="953"/>
      <c r="BQ3210" s="319"/>
      <c r="BR3210" s="319"/>
      <c r="BS3210" s="330"/>
      <c r="BT3210" s="331"/>
      <c r="BU3210" s="920"/>
      <c r="BV3210" s="903"/>
      <c r="BW3210" s="908"/>
      <c r="BX3210" s="908"/>
      <c r="BY3210" s="331"/>
      <c r="BZ3210" s="331"/>
      <c r="CA3210" s="462"/>
      <c r="CB3210" s="319"/>
      <c r="CC3210" s="319"/>
      <c r="CD3210" s="319"/>
      <c r="CE3210" s="319"/>
      <c r="CF3210" s="319"/>
      <c r="CG3210" s="319"/>
      <c r="CH3210" s="318"/>
      <c r="CI3210" s="319"/>
      <c r="CJ3210" s="319"/>
      <c r="CK3210" s="342"/>
      <c r="CL3210" s="333"/>
      <c r="CM3210" s="1079"/>
      <c r="CN3210" s="1005"/>
      <c r="CO3210" s="1005"/>
      <c r="CP3210" s="1005"/>
    </row>
    <row r="3211">
      <c r="A3211" s="1257"/>
      <c r="B3211" s="1113"/>
      <c r="C3211" s="1107"/>
      <c r="D3211" s="103"/>
      <c r="E3211" s="1137"/>
      <c r="F3211" s="112"/>
      <c r="G3211" s="1110"/>
      <c r="H3211" s="1138"/>
      <c r="I3211" s="1138"/>
      <c r="J3211" s="1139"/>
      <c r="K3211" s="1111"/>
      <c r="L3211" s="1112"/>
      <c r="M3211" s="1113"/>
      <c r="N3211" s="110"/>
      <c r="O3211" s="1140"/>
      <c r="P3211" s="1115"/>
      <c r="Q3211" s="1116"/>
      <c r="R3211" s="1141"/>
      <c r="S3211" s="1113"/>
      <c r="T3211" s="1143"/>
      <c r="U3211" s="1108"/>
      <c r="V3211" s="1108"/>
      <c r="W3211" s="1108"/>
      <c r="X3211" s="1108"/>
      <c r="Y3211" s="1108"/>
      <c r="Z3211" s="1114"/>
      <c r="AA3211" s="1114"/>
      <c r="AB3211" s="1114"/>
      <c r="AC3211" s="1117"/>
      <c r="AD3211" s="1115"/>
      <c r="AE3211" s="1115"/>
      <c r="AF3211" s="1115"/>
      <c r="AG3211" s="1115"/>
      <c r="AH3211" s="1115"/>
      <c r="AI3211" s="1115"/>
      <c r="AJ3211" s="1117"/>
      <c r="AK3211" s="1118"/>
      <c r="AL3211" s="1115"/>
      <c r="AM3211" s="1115"/>
      <c r="AN3211" s="1115"/>
      <c r="AO3211" s="1115"/>
      <c r="AP3211" s="1115"/>
      <c r="AQ3211" s="1115"/>
      <c r="AR3211" s="1115"/>
      <c r="AS3211" s="1117"/>
      <c r="AT3211" s="1075"/>
      <c r="AU3211" s="1193"/>
      <c r="AV3211" s="330"/>
      <c r="AW3211" s="331"/>
      <c r="AX3211" s="331"/>
      <c r="AY3211" s="331"/>
      <c r="AZ3211" s="331"/>
      <c r="BA3211" s="331"/>
      <c r="BB3211" s="331"/>
      <c r="BC3211" s="331"/>
      <c r="BD3211" s="331"/>
      <c r="BE3211" s="333"/>
      <c r="BF3211" s="330"/>
      <c r="BG3211" s="333"/>
      <c r="BH3211" s="1119"/>
      <c r="BI3211" s="319"/>
      <c r="BJ3211" s="319"/>
      <c r="BK3211" s="319"/>
      <c r="BL3211" s="319"/>
      <c r="BM3211" s="319"/>
      <c r="BN3211" s="319"/>
      <c r="BO3211" s="319"/>
      <c r="BP3211" s="953"/>
      <c r="BQ3211" s="319"/>
      <c r="BR3211" s="319"/>
      <c r="BS3211" s="330"/>
      <c r="BT3211" s="331"/>
      <c r="BU3211" s="920"/>
      <c r="BV3211" s="903"/>
      <c r="BW3211" s="908"/>
      <c r="BX3211" s="908"/>
      <c r="BY3211" s="331"/>
      <c r="BZ3211" s="331"/>
      <c r="CA3211" s="462"/>
      <c r="CB3211" s="319"/>
      <c r="CC3211" s="319"/>
      <c r="CD3211" s="319"/>
      <c r="CE3211" s="319"/>
      <c r="CF3211" s="319"/>
      <c r="CG3211" s="319"/>
      <c r="CH3211" s="318"/>
      <c r="CI3211" s="319"/>
      <c r="CJ3211" s="319"/>
      <c r="CK3211" s="342"/>
      <c r="CL3211" s="333"/>
      <c r="CM3211" s="1079"/>
      <c r="CN3211" s="1005"/>
      <c r="CO3211" s="1005"/>
      <c r="CP3211" s="1005"/>
    </row>
    <row r="3212">
      <c r="A3212" s="1257"/>
      <c r="B3212" s="1113"/>
      <c r="C3212" s="1107"/>
      <c r="D3212" s="103"/>
      <c r="E3212" s="1137"/>
      <c r="F3212" s="112"/>
      <c r="G3212" s="1110"/>
      <c r="H3212" s="1138"/>
      <c r="I3212" s="1138"/>
      <c r="J3212" s="1139"/>
      <c r="K3212" s="1111"/>
      <c r="L3212" s="1112"/>
      <c r="M3212" s="1113"/>
      <c r="N3212" s="110"/>
      <c r="O3212" s="1140"/>
      <c r="P3212" s="1115"/>
      <c r="Q3212" s="1116"/>
      <c r="R3212" s="1141"/>
      <c r="S3212" s="1113"/>
      <c r="T3212" s="1143"/>
      <c r="U3212" s="1108"/>
      <c r="V3212" s="1108"/>
      <c r="W3212" s="1108"/>
      <c r="X3212" s="1108"/>
      <c r="Y3212" s="1108"/>
      <c r="Z3212" s="1114"/>
      <c r="AA3212" s="1114"/>
      <c r="AB3212" s="1114"/>
      <c r="AC3212" s="1117"/>
      <c r="AD3212" s="1115"/>
      <c r="AE3212" s="1115"/>
      <c r="AF3212" s="1115"/>
      <c r="AG3212" s="1115"/>
      <c r="AH3212" s="1115"/>
      <c r="AI3212" s="1115"/>
      <c r="AJ3212" s="1117"/>
      <c r="AK3212" s="1118"/>
      <c r="AL3212" s="1115"/>
      <c r="AM3212" s="1115"/>
      <c r="AN3212" s="1115"/>
      <c r="AO3212" s="1115"/>
      <c r="AP3212" s="1115"/>
      <c r="AQ3212" s="1115"/>
      <c r="AR3212" s="1115"/>
      <c r="AS3212" s="1117"/>
      <c r="AT3212" s="1075"/>
      <c r="AU3212" s="1193"/>
      <c r="AV3212" s="330"/>
      <c r="AW3212" s="331"/>
      <c r="AX3212" s="331"/>
      <c r="AY3212" s="331"/>
      <c r="AZ3212" s="331"/>
      <c r="BA3212" s="331"/>
      <c r="BB3212" s="331"/>
      <c r="BC3212" s="331"/>
      <c r="BD3212" s="331"/>
      <c r="BE3212" s="333"/>
      <c r="BF3212" s="330"/>
      <c r="BG3212" s="333"/>
      <c r="BH3212" s="1119"/>
      <c r="BI3212" s="319"/>
      <c r="BJ3212" s="319"/>
      <c r="BK3212" s="319"/>
      <c r="BL3212" s="319"/>
      <c r="BM3212" s="319"/>
      <c r="BN3212" s="319"/>
      <c r="BO3212" s="319"/>
      <c r="BP3212" s="953"/>
      <c r="BQ3212" s="319"/>
      <c r="BR3212" s="319"/>
      <c r="BS3212" s="330"/>
      <c r="BT3212" s="331"/>
      <c r="BU3212" s="920"/>
      <c r="BV3212" s="903"/>
      <c r="BW3212" s="908"/>
      <c r="BX3212" s="908"/>
      <c r="BY3212" s="331"/>
      <c r="BZ3212" s="331"/>
      <c r="CA3212" s="462"/>
      <c r="CB3212" s="319"/>
      <c r="CC3212" s="319"/>
      <c r="CD3212" s="319"/>
      <c r="CE3212" s="319"/>
      <c r="CF3212" s="319"/>
      <c r="CG3212" s="319"/>
      <c r="CH3212" s="318"/>
      <c r="CI3212" s="319"/>
      <c r="CJ3212" s="319"/>
      <c r="CK3212" s="342"/>
      <c r="CL3212" s="333"/>
      <c r="CM3212" s="1079"/>
      <c r="CN3212" s="1005"/>
      <c r="CO3212" s="1005"/>
      <c r="CP3212" s="1005"/>
    </row>
    <row r="3213">
      <c r="A3213" s="1257"/>
      <c r="B3213" s="1113"/>
      <c r="C3213" s="1107"/>
      <c r="D3213" s="103"/>
      <c r="E3213" s="1137"/>
      <c r="F3213" s="112"/>
      <c r="G3213" s="1110"/>
      <c r="H3213" s="1138"/>
      <c r="I3213" s="1138"/>
      <c r="J3213" s="1139"/>
      <c r="K3213" s="1111"/>
      <c r="L3213" s="1112"/>
      <c r="M3213" s="1113"/>
      <c r="N3213" s="110"/>
      <c r="O3213" s="1140"/>
      <c r="P3213" s="1115"/>
      <c r="Q3213" s="1116"/>
      <c r="R3213" s="1141"/>
      <c r="S3213" s="1113"/>
      <c r="T3213" s="1143"/>
      <c r="U3213" s="1108"/>
      <c r="V3213" s="1108"/>
      <c r="W3213" s="1108"/>
      <c r="X3213" s="1108"/>
      <c r="Y3213" s="1108"/>
      <c r="Z3213" s="1114"/>
      <c r="AA3213" s="1114"/>
      <c r="AB3213" s="1114"/>
      <c r="AC3213" s="1117"/>
      <c r="AD3213" s="1115"/>
      <c r="AE3213" s="1115"/>
      <c r="AF3213" s="1115"/>
      <c r="AG3213" s="1115"/>
      <c r="AH3213" s="1115"/>
      <c r="AI3213" s="1115"/>
      <c r="AJ3213" s="1117"/>
      <c r="AK3213" s="1118"/>
      <c r="AL3213" s="1115"/>
      <c r="AM3213" s="1115"/>
      <c r="AN3213" s="1115"/>
      <c r="AO3213" s="1115"/>
      <c r="AP3213" s="1115"/>
      <c r="AQ3213" s="1115"/>
      <c r="AR3213" s="1115"/>
      <c r="AS3213" s="1117"/>
      <c r="AT3213" s="1075"/>
      <c r="AU3213" s="1193"/>
      <c r="AV3213" s="330"/>
      <c r="AW3213" s="331"/>
      <c r="AX3213" s="331"/>
      <c r="AY3213" s="331"/>
      <c r="AZ3213" s="331"/>
      <c r="BA3213" s="331"/>
      <c r="BB3213" s="331"/>
      <c r="BC3213" s="331"/>
      <c r="BD3213" s="331"/>
      <c r="BE3213" s="333"/>
      <c r="BF3213" s="330"/>
      <c r="BG3213" s="333"/>
      <c r="BH3213" s="1119"/>
      <c r="BI3213" s="319"/>
      <c r="BJ3213" s="319"/>
      <c r="BK3213" s="319"/>
      <c r="BL3213" s="319"/>
      <c r="BM3213" s="319"/>
      <c r="BN3213" s="319"/>
      <c r="BO3213" s="319"/>
      <c r="BP3213" s="953"/>
      <c r="BQ3213" s="319"/>
      <c r="BR3213" s="319"/>
      <c r="BS3213" s="330"/>
      <c r="BT3213" s="331"/>
      <c r="BU3213" s="920"/>
      <c r="BV3213" s="903"/>
      <c r="BW3213" s="908"/>
      <c r="BX3213" s="908"/>
      <c r="BY3213" s="331"/>
      <c r="BZ3213" s="331"/>
      <c r="CA3213" s="462"/>
      <c r="CB3213" s="319"/>
      <c r="CC3213" s="319"/>
      <c r="CD3213" s="319"/>
      <c r="CE3213" s="319"/>
      <c r="CF3213" s="319"/>
      <c r="CG3213" s="319"/>
      <c r="CH3213" s="318"/>
      <c r="CI3213" s="319"/>
      <c r="CJ3213" s="319"/>
      <c r="CK3213" s="342"/>
      <c r="CL3213" s="333"/>
      <c r="CM3213" s="1079"/>
      <c r="CN3213" s="1005"/>
      <c r="CO3213" s="1005"/>
      <c r="CP3213" s="1005"/>
    </row>
    <row r="3214">
      <c r="A3214" s="1257"/>
      <c r="B3214" s="1113"/>
      <c r="C3214" s="1107"/>
      <c r="D3214" s="103"/>
      <c r="E3214" s="1137"/>
      <c r="F3214" s="112"/>
      <c r="G3214" s="1110"/>
      <c r="H3214" s="1138"/>
      <c r="I3214" s="1138"/>
      <c r="J3214" s="1139"/>
      <c r="K3214" s="1111"/>
      <c r="L3214" s="1112"/>
      <c r="M3214" s="1113"/>
      <c r="N3214" s="110"/>
      <c r="O3214" s="1140"/>
      <c r="P3214" s="1115"/>
      <c r="Q3214" s="1116"/>
      <c r="R3214" s="1141"/>
      <c r="S3214" s="1113"/>
      <c r="T3214" s="1143"/>
      <c r="U3214" s="1108"/>
      <c r="V3214" s="1108"/>
      <c r="W3214" s="1108"/>
      <c r="X3214" s="1108"/>
      <c r="Y3214" s="1108"/>
      <c r="Z3214" s="1114"/>
      <c r="AA3214" s="1114"/>
      <c r="AB3214" s="1114"/>
      <c r="AC3214" s="1117"/>
      <c r="AD3214" s="1115"/>
      <c r="AE3214" s="1115"/>
      <c r="AF3214" s="1115"/>
      <c r="AG3214" s="1115"/>
      <c r="AH3214" s="1115"/>
      <c r="AI3214" s="1115"/>
      <c r="AJ3214" s="1117"/>
      <c r="AK3214" s="1118"/>
      <c r="AL3214" s="1115"/>
      <c r="AM3214" s="1115"/>
      <c r="AN3214" s="1115"/>
      <c r="AO3214" s="1115"/>
      <c r="AP3214" s="1115"/>
      <c r="AQ3214" s="1115"/>
      <c r="AR3214" s="1115"/>
      <c r="AS3214" s="1117"/>
      <c r="AT3214" s="1075"/>
      <c r="AU3214" s="1193"/>
      <c r="AV3214" s="330"/>
      <c r="AW3214" s="331"/>
      <c r="AX3214" s="331"/>
      <c r="AY3214" s="331"/>
      <c r="AZ3214" s="331"/>
      <c r="BA3214" s="331"/>
      <c r="BB3214" s="331"/>
      <c r="BC3214" s="331"/>
      <c r="BD3214" s="331"/>
      <c r="BE3214" s="333"/>
      <c r="BF3214" s="330"/>
      <c r="BG3214" s="333"/>
      <c r="BH3214" s="1119"/>
      <c r="BI3214" s="319"/>
      <c r="BJ3214" s="319"/>
      <c r="BK3214" s="319"/>
      <c r="BL3214" s="319"/>
      <c r="BM3214" s="319"/>
      <c r="BN3214" s="319"/>
      <c r="BO3214" s="319"/>
      <c r="BP3214" s="953"/>
      <c r="BQ3214" s="319"/>
      <c r="BR3214" s="319"/>
      <c r="BS3214" s="330"/>
      <c r="BT3214" s="331"/>
      <c r="BU3214" s="920"/>
      <c r="BV3214" s="903"/>
      <c r="BW3214" s="908"/>
      <c r="BX3214" s="908"/>
      <c r="BY3214" s="331"/>
      <c r="BZ3214" s="331"/>
      <c r="CA3214" s="462"/>
      <c r="CB3214" s="319"/>
      <c r="CC3214" s="319"/>
      <c r="CD3214" s="319"/>
      <c r="CE3214" s="319"/>
      <c r="CF3214" s="319"/>
      <c r="CG3214" s="319"/>
      <c r="CH3214" s="318"/>
      <c r="CI3214" s="319"/>
      <c r="CJ3214" s="319"/>
      <c r="CK3214" s="342"/>
      <c r="CL3214" s="333"/>
      <c r="CM3214" s="1079"/>
      <c r="CN3214" s="1005"/>
      <c r="CO3214" s="1005"/>
      <c r="CP3214" s="1005"/>
    </row>
    <row r="3215">
      <c r="A3215" s="1257"/>
      <c r="B3215" s="1113"/>
      <c r="C3215" s="1107"/>
      <c r="D3215" s="103"/>
      <c r="E3215" s="1137"/>
      <c r="F3215" s="112"/>
      <c r="G3215" s="1110"/>
      <c r="H3215" s="1138"/>
      <c r="I3215" s="1138"/>
      <c r="J3215" s="1139"/>
      <c r="K3215" s="1111"/>
      <c r="L3215" s="1112"/>
      <c r="M3215" s="1113"/>
      <c r="N3215" s="110"/>
      <c r="O3215" s="1140"/>
      <c r="P3215" s="1115"/>
      <c r="Q3215" s="1116"/>
      <c r="R3215" s="1141"/>
      <c r="S3215" s="1113"/>
      <c r="T3215" s="1143"/>
      <c r="U3215" s="1108"/>
      <c r="V3215" s="1108"/>
      <c r="W3215" s="1108"/>
      <c r="X3215" s="1108"/>
      <c r="Y3215" s="1108"/>
      <c r="Z3215" s="1114"/>
      <c r="AA3215" s="1114"/>
      <c r="AB3215" s="1114"/>
      <c r="AC3215" s="1117"/>
      <c r="AD3215" s="1115"/>
      <c r="AE3215" s="1115"/>
      <c r="AF3215" s="1115"/>
      <c r="AG3215" s="1115"/>
      <c r="AH3215" s="1115"/>
      <c r="AI3215" s="1115"/>
      <c r="AJ3215" s="1117"/>
      <c r="AK3215" s="1118"/>
      <c r="AL3215" s="1115"/>
      <c r="AM3215" s="1115"/>
      <c r="AN3215" s="1115"/>
      <c r="AO3215" s="1115"/>
      <c r="AP3215" s="1115"/>
      <c r="AQ3215" s="1115"/>
      <c r="AR3215" s="1115"/>
      <c r="AS3215" s="1117"/>
      <c r="AT3215" s="1075"/>
      <c r="AU3215" s="1193"/>
      <c r="AV3215" s="330"/>
      <c r="AW3215" s="331"/>
      <c r="AX3215" s="331"/>
      <c r="AY3215" s="331"/>
      <c r="AZ3215" s="331"/>
      <c r="BA3215" s="331"/>
      <c r="BB3215" s="331"/>
      <c r="BC3215" s="331"/>
      <c r="BD3215" s="331"/>
      <c r="BE3215" s="333"/>
      <c r="BF3215" s="330"/>
      <c r="BG3215" s="333"/>
      <c r="BH3215" s="1119"/>
      <c r="BI3215" s="319"/>
      <c r="BJ3215" s="319"/>
      <c r="BK3215" s="319"/>
      <c r="BL3215" s="319"/>
      <c r="BM3215" s="319"/>
      <c r="BN3215" s="319"/>
      <c r="BO3215" s="319"/>
      <c r="BP3215" s="953"/>
      <c r="BQ3215" s="319"/>
      <c r="BR3215" s="319"/>
      <c r="BS3215" s="330"/>
      <c r="BT3215" s="331"/>
      <c r="BU3215" s="920"/>
      <c r="BV3215" s="903"/>
      <c r="BW3215" s="908"/>
      <c r="BX3215" s="908"/>
      <c r="BY3215" s="331"/>
      <c r="BZ3215" s="331"/>
      <c r="CA3215" s="462"/>
      <c r="CB3215" s="319"/>
      <c r="CC3215" s="319"/>
      <c r="CD3215" s="319"/>
      <c r="CE3215" s="319"/>
      <c r="CF3215" s="319"/>
      <c r="CG3215" s="319"/>
      <c r="CH3215" s="318"/>
      <c r="CI3215" s="319"/>
      <c r="CJ3215" s="319"/>
      <c r="CK3215" s="342"/>
      <c r="CL3215" s="333"/>
      <c r="CM3215" s="1079"/>
      <c r="CN3215" s="1005"/>
      <c r="CO3215" s="1005"/>
      <c r="CP3215" s="1005"/>
    </row>
    <row r="3216">
      <c r="A3216" s="1257"/>
      <c r="B3216" s="1113"/>
      <c r="C3216" s="1107"/>
      <c r="D3216" s="103"/>
      <c r="E3216" s="1137"/>
      <c r="F3216" s="112"/>
      <c r="G3216" s="1110"/>
      <c r="H3216" s="1138"/>
      <c r="I3216" s="1138"/>
      <c r="J3216" s="1139"/>
      <c r="K3216" s="1111"/>
      <c r="L3216" s="1112"/>
      <c r="M3216" s="1113"/>
      <c r="N3216" s="110"/>
      <c r="O3216" s="1140"/>
      <c r="P3216" s="1115"/>
      <c r="Q3216" s="1116"/>
      <c r="R3216" s="1141"/>
      <c r="S3216" s="1113"/>
      <c r="T3216" s="1143"/>
      <c r="U3216" s="1108"/>
      <c r="V3216" s="1108"/>
      <c r="W3216" s="1108"/>
      <c r="X3216" s="1108"/>
      <c r="Y3216" s="1108"/>
      <c r="Z3216" s="1114"/>
      <c r="AA3216" s="1114"/>
      <c r="AB3216" s="1114"/>
      <c r="AC3216" s="1117"/>
      <c r="AD3216" s="1115"/>
      <c r="AE3216" s="1115"/>
      <c r="AF3216" s="1115"/>
      <c r="AG3216" s="1115"/>
      <c r="AH3216" s="1115"/>
      <c r="AI3216" s="1115"/>
      <c r="AJ3216" s="1117"/>
      <c r="AK3216" s="1118"/>
      <c r="AL3216" s="1115"/>
      <c r="AM3216" s="1115"/>
      <c r="AN3216" s="1115"/>
      <c r="AO3216" s="1115"/>
      <c r="AP3216" s="1115"/>
      <c r="AQ3216" s="1115"/>
      <c r="AR3216" s="1115"/>
      <c r="AS3216" s="1117"/>
      <c r="AT3216" s="1075"/>
      <c r="AU3216" s="1193"/>
      <c r="AV3216" s="330"/>
      <c r="AW3216" s="331"/>
      <c r="AX3216" s="331"/>
      <c r="AY3216" s="331"/>
      <c r="AZ3216" s="331"/>
      <c r="BA3216" s="331"/>
      <c r="BB3216" s="331"/>
      <c r="BC3216" s="331"/>
      <c r="BD3216" s="331"/>
      <c r="BE3216" s="333"/>
      <c r="BF3216" s="330"/>
      <c r="BG3216" s="333"/>
      <c r="BH3216" s="1119"/>
      <c r="BI3216" s="319"/>
      <c r="BJ3216" s="319"/>
      <c r="BK3216" s="319"/>
      <c r="BL3216" s="319"/>
      <c r="BM3216" s="319"/>
      <c r="BN3216" s="319"/>
      <c r="BO3216" s="319"/>
      <c r="BP3216" s="953"/>
      <c r="BQ3216" s="319"/>
      <c r="BR3216" s="319"/>
      <c r="BS3216" s="330"/>
      <c r="BT3216" s="331"/>
      <c r="BU3216" s="920"/>
      <c r="BV3216" s="903"/>
      <c r="BW3216" s="908"/>
      <c r="BX3216" s="908"/>
      <c r="BY3216" s="331"/>
      <c r="BZ3216" s="331"/>
      <c r="CA3216" s="462"/>
      <c r="CB3216" s="319"/>
      <c r="CC3216" s="319"/>
      <c r="CD3216" s="319"/>
      <c r="CE3216" s="319"/>
      <c r="CF3216" s="319"/>
      <c r="CG3216" s="319"/>
      <c r="CH3216" s="318"/>
      <c r="CI3216" s="319"/>
      <c r="CJ3216" s="319"/>
      <c r="CK3216" s="342"/>
      <c r="CL3216" s="333"/>
      <c r="CM3216" s="1079"/>
      <c r="CN3216" s="1005"/>
      <c r="CO3216" s="1005"/>
      <c r="CP3216" s="1005"/>
    </row>
    <row r="3217">
      <c r="A3217" s="1257"/>
      <c r="B3217" s="1113"/>
      <c r="C3217" s="1107"/>
      <c r="D3217" s="103"/>
      <c r="E3217" s="1137"/>
      <c r="F3217" s="112"/>
      <c r="G3217" s="1110"/>
      <c r="H3217" s="1138"/>
      <c r="I3217" s="1138"/>
      <c r="J3217" s="1139"/>
      <c r="K3217" s="1111"/>
      <c r="L3217" s="1112"/>
      <c r="M3217" s="1113"/>
      <c r="N3217" s="110"/>
      <c r="O3217" s="1140"/>
      <c r="P3217" s="1115"/>
      <c r="Q3217" s="1116"/>
      <c r="R3217" s="1141"/>
      <c r="S3217" s="1113"/>
      <c r="T3217" s="1143"/>
      <c r="U3217" s="1108"/>
      <c r="V3217" s="1108"/>
      <c r="W3217" s="1108"/>
      <c r="X3217" s="1108"/>
      <c r="Y3217" s="1108"/>
      <c r="Z3217" s="1114"/>
      <c r="AA3217" s="1114"/>
      <c r="AB3217" s="1114"/>
      <c r="AC3217" s="1117"/>
      <c r="AD3217" s="1115"/>
      <c r="AE3217" s="1115"/>
      <c r="AF3217" s="1115"/>
      <c r="AG3217" s="1115"/>
      <c r="AH3217" s="1115"/>
      <c r="AI3217" s="1115"/>
      <c r="AJ3217" s="1117"/>
      <c r="AK3217" s="1118"/>
      <c r="AL3217" s="1115"/>
      <c r="AM3217" s="1115"/>
      <c r="AN3217" s="1115"/>
      <c r="AO3217" s="1115"/>
      <c r="AP3217" s="1115"/>
      <c r="AQ3217" s="1115"/>
      <c r="AR3217" s="1115"/>
      <c r="AS3217" s="1117"/>
      <c r="AT3217" s="1075"/>
      <c r="AU3217" s="1193"/>
      <c r="AV3217" s="330"/>
      <c r="AW3217" s="331"/>
      <c r="AX3217" s="331"/>
      <c r="AY3217" s="331"/>
      <c r="AZ3217" s="331"/>
      <c r="BA3217" s="331"/>
      <c r="BB3217" s="331"/>
      <c r="BC3217" s="331"/>
      <c r="BD3217" s="331"/>
      <c r="BE3217" s="333"/>
      <c r="BF3217" s="330"/>
      <c r="BG3217" s="333"/>
      <c r="BH3217" s="1119"/>
      <c r="BI3217" s="319"/>
      <c r="BJ3217" s="319"/>
      <c r="BK3217" s="319"/>
      <c r="BL3217" s="319"/>
      <c r="BM3217" s="319"/>
      <c r="BN3217" s="319"/>
      <c r="BO3217" s="319"/>
      <c r="BP3217" s="953"/>
      <c r="BQ3217" s="319"/>
      <c r="BR3217" s="319"/>
      <c r="BS3217" s="330"/>
      <c r="BT3217" s="331"/>
      <c r="BU3217" s="920"/>
      <c r="BV3217" s="903"/>
      <c r="BW3217" s="908"/>
      <c r="BX3217" s="908"/>
      <c r="BY3217" s="331"/>
      <c r="BZ3217" s="331"/>
      <c r="CA3217" s="462"/>
      <c r="CB3217" s="319"/>
      <c r="CC3217" s="319"/>
      <c r="CD3217" s="319"/>
      <c r="CE3217" s="319"/>
      <c r="CF3217" s="319"/>
      <c r="CG3217" s="319"/>
      <c r="CH3217" s="318"/>
      <c r="CI3217" s="319"/>
      <c r="CJ3217" s="319"/>
      <c r="CK3217" s="342"/>
      <c r="CL3217" s="333"/>
      <c r="CM3217" s="1079"/>
      <c r="CN3217" s="1005"/>
      <c r="CO3217" s="1005"/>
      <c r="CP3217" s="1005"/>
    </row>
    <row r="3218">
      <c r="A3218" s="1257"/>
      <c r="B3218" s="1113"/>
      <c r="C3218" s="1107"/>
      <c r="D3218" s="103"/>
      <c r="E3218" s="1137"/>
      <c r="F3218" s="112"/>
      <c r="G3218" s="1110"/>
      <c r="H3218" s="1138"/>
      <c r="I3218" s="1138"/>
      <c r="J3218" s="1139"/>
      <c r="K3218" s="1111"/>
      <c r="L3218" s="1112"/>
      <c r="M3218" s="1113"/>
      <c r="N3218" s="110"/>
      <c r="O3218" s="1140"/>
      <c r="P3218" s="1115"/>
      <c r="Q3218" s="1116"/>
      <c r="R3218" s="1141"/>
      <c r="S3218" s="1113"/>
      <c r="T3218" s="1143"/>
      <c r="U3218" s="1108"/>
      <c r="V3218" s="1108"/>
      <c r="W3218" s="1108"/>
      <c r="X3218" s="1108"/>
      <c r="Y3218" s="1108"/>
      <c r="Z3218" s="1114"/>
      <c r="AA3218" s="1114"/>
      <c r="AB3218" s="1114"/>
      <c r="AC3218" s="1117"/>
      <c r="AD3218" s="1115"/>
      <c r="AE3218" s="1115"/>
      <c r="AF3218" s="1115"/>
      <c r="AG3218" s="1115"/>
      <c r="AH3218" s="1115"/>
      <c r="AI3218" s="1115"/>
      <c r="AJ3218" s="1117"/>
      <c r="AK3218" s="1118"/>
      <c r="AL3218" s="1115"/>
      <c r="AM3218" s="1115"/>
      <c r="AN3218" s="1115"/>
      <c r="AO3218" s="1115"/>
      <c r="AP3218" s="1115"/>
      <c r="AQ3218" s="1115"/>
      <c r="AR3218" s="1115"/>
      <c r="AS3218" s="1117"/>
      <c r="AT3218" s="1075"/>
      <c r="AU3218" s="1193"/>
      <c r="AV3218" s="330"/>
      <c r="AW3218" s="331"/>
      <c r="AX3218" s="331"/>
      <c r="AY3218" s="331"/>
      <c r="AZ3218" s="331"/>
      <c r="BA3218" s="331"/>
      <c r="BB3218" s="331"/>
      <c r="BC3218" s="331"/>
      <c r="BD3218" s="331"/>
      <c r="BE3218" s="333"/>
      <c r="BF3218" s="330"/>
      <c r="BG3218" s="333"/>
      <c r="BH3218" s="1119"/>
      <c r="BI3218" s="319"/>
      <c r="BJ3218" s="319"/>
      <c r="BK3218" s="319"/>
      <c r="BL3218" s="319"/>
      <c r="BM3218" s="319"/>
      <c r="BN3218" s="319"/>
      <c r="BO3218" s="319"/>
      <c r="BP3218" s="953"/>
      <c r="BQ3218" s="319"/>
      <c r="BR3218" s="319"/>
      <c r="BS3218" s="330"/>
      <c r="BT3218" s="331"/>
      <c r="BU3218" s="920"/>
      <c r="BV3218" s="903"/>
      <c r="BW3218" s="908"/>
      <c r="BX3218" s="908"/>
      <c r="BY3218" s="331"/>
      <c r="BZ3218" s="331"/>
      <c r="CA3218" s="462"/>
      <c r="CB3218" s="319"/>
      <c r="CC3218" s="319"/>
      <c r="CD3218" s="319"/>
      <c r="CE3218" s="319"/>
      <c r="CF3218" s="319"/>
      <c r="CG3218" s="319"/>
      <c r="CH3218" s="318"/>
      <c r="CI3218" s="319"/>
      <c r="CJ3218" s="319"/>
      <c r="CK3218" s="342"/>
      <c r="CL3218" s="333"/>
      <c r="CM3218" s="1079"/>
      <c r="CN3218" s="1005"/>
      <c r="CO3218" s="1005"/>
      <c r="CP3218" s="1005"/>
    </row>
    <row r="3219">
      <c r="A3219" s="1257"/>
      <c r="B3219" s="1113"/>
      <c r="C3219" s="1107"/>
      <c r="D3219" s="103"/>
      <c r="E3219" s="1137"/>
      <c r="F3219" s="112"/>
      <c r="G3219" s="1110"/>
      <c r="H3219" s="1138"/>
      <c r="I3219" s="1138"/>
      <c r="J3219" s="1139"/>
      <c r="K3219" s="1111"/>
      <c r="L3219" s="1112"/>
      <c r="M3219" s="1113"/>
      <c r="N3219" s="110"/>
      <c r="O3219" s="1140"/>
      <c r="P3219" s="1115"/>
      <c r="Q3219" s="1116"/>
      <c r="R3219" s="1141"/>
      <c r="S3219" s="1113"/>
      <c r="T3219" s="1143"/>
      <c r="U3219" s="1108"/>
      <c r="V3219" s="1108"/>
      <c r="W3219" s="1108"/>
      <c r="X3219" s="1108"/>
      <c r="Y3219" s="1108"/>
      <c r="Z3219" s="1114"/>
      <c r="AA3219" s="1114"/>
      <c r="AB3219" s="1114"/>
      <c r="AC3219" s="1117"/>
      <c r="AD3219" s="1115"/>
      <c r="AE3219" s="1115"/>
      <c r="AF3219" s="1115"/>
      <c r="AG3219" s="1115"/>
      <c r="AH3219" s="1115"/>
      <c r="AI3219" s="1115"/>
      <c r="AJ3219" s="1117"/>
      <c r="AK3219" s="1118"/>
      <c r="AL3219" s="1115"/>
      <c r="AM3219" s="1115"/>
      <c r="AN3219" s="1115"/>
      <c r="AO3219" s="1115"/>
      <c r="AP3219" s="1115"/>
      <c r="AQ3219" s="1115"/>
      <c r="AR3219" s="1115"/>
      <c r="AS3219" s="1117"/>
      <c r="AT3219" s="1075"/>
      <c r="AU3219" s="1193"/>
      <c r="AV3219" s="330"/>
      <c r="AW3219" s="331"/>
      <c r="AX3219" s="331"/>
      <c r="AY3219" s="331"/>
      <c r="AZ3219" s="331"/>
      <c r="BA3219" s="331"/>
      <c r="BB3219" s="331"/>
      <c r="BC3219" s="331"/>
      <c r="BD3219" s="331"/>
      <c r="BE3219" s="333"/>
      <c r="BF3219" s="330"/>
      <c r="BG3219" s="333"/>
      <c r="BH3219" s="1119"/>
      <c r="BI3219" s="319"/>
      <c r="BJ3219" s="319"/>
      <c r="BK3219" s="319"/>
      <c r="BL3219" s="319"/>
      <c r="BM3219" s="319"/>
      <c r="BN3219" s="319"/>
      <c r="BO3219" s="319"/>
      <c r="BP3219" s="953"/>
      <c r="BQ3219" s="319"/>
      <c r="BR3219" s="319"/>
      <c r="BS3219" s="330"/>
      <c r="BT3219" s="331"/>
      <c r="BU3219" s="920"/>
      <c r="BV3219" s="903"/>
      <c r="BW3219" s="908"/>
      <c r="BX3219" s="908"/>
      <c r="BY3219" s="331"/>
      <c r="BZ3219" s="331"/>
      <c r="CA3219" s="462"/>
      <c r="CB3219" s="319"/>
      <c r="CC3219" s="319"/>
      <c r="CD3219" s="319"/>
      <c r="CE3219" s="319"/>
      <c r="CF3219" s="319"/>
      <c r="CG3219" s="319"/>
      <c r="CH3219" s="318"/>
      <c r="CI3219" s="319"/>
      <c r="CJ3219" s="319"/>
      <c r="CK3219" s="342"/>
      <c r="CL3219" s="333"/>
      <c r="CM3219" s="1079"/>
      <c r="CN3219" s="1005"/>
      <c r="CO3219" s="1005"/>
      <c r="CP3219" s="1005"/>
    </row>
    <row r="3220">
      <c r="A3220" s="1257"/>
      <c r="B3220" s="1113"/>
      <c r="C3220" s="1107"/>
      <c r="D3220" s="103"/>
      <c r="E3220" s="1137"/>
      <c r="F3220" s="112"/>
      <c r="G3220" s="1110"/>
      <c r="H3220" s="1138"/>
      <c r="I3220" s="1138"/>
      <c r="J3220" s="1139"/>
      <c r="K3220" s="1111"/>
      <c r="L3220" s="1112"/>
      <c r="M3220" s="1113"/>
      <c r="N3220" s="110"/>
      <c r="O3220" s="1140"/>
      <c r="P3220" s="1115"/>
      <c r="Q3220" s="1116"/>
      <c r="R3220" s="1141"/>
      <c r="S3220" s="1113"/>
      <c r="T3220" s="1143"/>
      <c r="U3220" s="1108"/>
      <c r="V3220" s="1108"/>
      <c r="W3220" s="1108"/>
      <c r="X3220" s="1108"/>
      <c r="Y3220" s="1108"/>
      <c r="Z3220" s="1114"/>
      <c r="AA3220" s="1114"/>
      <c r="AB3220" s="1114"/>
      <c r="AC3220" s="1117"/>
      <c r="AD3220" s="1115"/>
      <c r="AE3220" s="1115"/>
      <c r="AF3220" s="1115"/>
      <c r="AG3220" s="1115"/>
      <c r="AH3220" s="1115"/>
      <c r="AI3220" s="1115"/>
      <c r="AJ3220" s="1117"/>
      <c r="AK3220" s="1118"/>
      <c r="AL3220" s="1115"/>
      <c r="AM3220" s="1115"/>
      <c r="AN3220" s="1115"/>
      <c r="AO3220" s="1115"/>
      <c r="AP3220" s="1115"/>
      <c r="AQ3220" s="1115"/>
      <c r="AR3220" s="1115"/>
      <c r="AS3220" s="1117"/>
      <c r="AT3220" s="1075"/>
      <c r="AU3220" s="1193"/>
      <c r="AV3220" s="330"/>
      <c r="AW3220" s="331"/>
      <c r="AX3220" s="331"/>
      <c r="AY3220" s="331"/>
      <c r="AZ3220" s="331"/>
      <c r="BA3220" s="331"/>
      <c r="BB3220" s="331"/>
      <c r="BC3220" s="331"/>
      <c r="BD3220" s="331"/>
      <c r="BE3220" s="333"/>
      <c r="BF3220" s="330"/>
      <c r="BG3220" s="333"/>
      <c r="BH3220" s="1119"/>
      <c r="BI3220" s="319"/>
      <c r="BJ3220" s="319"/>
      <c r="BK3220" s="319"/>
      <c r="BL3220" s="319"/>
      <c r="BM3220" s="319"/>
      <c r="BN3220" s="319"/>
      <c r="BO3220" s="319"/>
      <c r="BP3220" s="953"/>
      <c r="BQ3220" s="319"/>
      <c r="BR3220" s="319"/>
      <c r="BS3220" s="330"/>
      <c r="BT3220" s="331"/>
      <c r="BU3220" s="920"/>
      <c r="BV3220" s="903"/>
      <c r="BW3220" s="908"/>
      <c r="BX3220" s="908"/>
      <c r="BY3220" s="331"/>
      <c r="BZ3220" s="331"/>
      <c r="CA3220" s="462"/>
      <c r="CB3220" s="319"/>
      <c r="CC3220" s="319"/>
      <c r="CD3220" s="319"/>
      <c r="CE3220" s="319"/>
      <c r="CF3220" s="319"/>
      <c r="CG3220" s="319"/>
      <c r="CH3220" s="318"/>
      <c r="CI3220" s="319"/>
      <c r="CJ3220" s="319"/>
      <c r="CK3220" s="342"/>
      <c r="CL3220" s="333"/>
      <c r="CM3220" s="1079"/>
      <c r="CN3220" s="1005"/>
      <c r="CO3220" s="1005"/>
      <c r="CP3220" s="1005"/>
    </row>
    <row r="3221">
      <c r="A3221" s="1257"/>
      <c r="B3221" s="1113"/>
      <c r="C3221" s="1107"/>
      <c r="D3221" s="103"/>
      <c r="E3221" s="1137"/>
      <c r="F3221" s="112"/>
      <c r="G3221" s="1110"/>
      <c r="H3221" s="1138"/>
      <c r="I3221" s="1138"/>
      <c r="J3221" s="1139"/>
      <c r="K3221" s="1111"/>
      <c r="L3221" s="1112"/>
      <c r="M3221" s="1113"/>
      <c r="N3221" s="110"/>
      <c r="O3221" s="1140"/>
      <c r="P3221" s="1115"/>
      <c r="Q3221" s="1116"/>
      <c r="R3221" s="1141"/>
      <c r="S3221" s="1113"/>
      <c r="T3221" s="1143"/>
      <c r="U3221" s="1108"/>
      <c r="V3221" s="1108"/>
      <c r="W3221" s="1108"/>
      <c r="X3221" s="1108"/>
      <c r="Y3221" s="1108"/>
      <c r="Z3221" s="1114"/>
      <c r="AA3221" s="1114"/>
      <c r="AB3221" s="1114"/>
      <c r="AC3221" s="1117"/>
      <c r="AD3221" s="1115"/>
      <c r="AE3221" s="1115"/>
      <c r="AF3221" s="1115"/>
      <c r="AG3221" s="1115"/>
      <c r="AH3221" s="1115"/>
      <c r="AI3221" s="1115"/>
      <c r="AJ3221" s="1117"/>
      <c r="AK3221" s="1118"/>
      <c r="AL3221" s="1115"/>
      <c r="AM3221" s="1115"/>
      <c r="AN3221" s="1115"/>
      <c r="AO3221" s="1115"/>
      <c r="AP3221" s="1115"/>
      <c r="AQ3221" s="1115"/>
      <c r="AR3221" s="1115"/>
      <c r="AS3221" s="1117"/>
      <c r="AT3221" s="1075"/>
      <c r="AU3221" s="1193"/>
      <c r="AV3221" s="330"/>
      <c r="AW3221" s="331"/>
      <c r="AX3221" s="331"/>
      <c r="AY3221" s="331"/>
      <c r="AZ3221" s="331"/>
      <c r="BA3221" s="331"/>
      <c r="BB3221" s="331"/>
      <c r="BC3221" s="331"/>
      <c r="BD3221" s="331"/>
      <c r="BE3221" s="333"/>
      <c r="BF3221" s="330"/>
      <c r="BG3221" s="333"/>
      <c r="BH3221" s="1119"/>
      <c r="BI3221" s="319"/>
      <c r="BJ3221" s="319"/>
      <c r="BK3221" s="319"/>
      <c r="BL3221" s="319"/>
      <c r="BM3221" s="319"/>
      <c r="BN3221" s="319"/>
      <c r="BO3221" s="319"/>
      <c r="BP3221" s="953"/>
      <c r="BQ3221" s="319"/>
      <c r="BR3221" s="319"/>
      <c r="BS3221" s="330"/>
      <c r="BT3221" s="331"/>
      <c r="BU3221" s="920"/>
      <c r="BV3221" s="903"/>
      <c r="BW3221" s="908"/>
      <c r="BX3221" s="908"/>
      <c r="BY3221" s="331"/>
      <c r="BZ3221" s="331"/>
      <c r="CA3221" s="462"/>
      <c r="CB3221" s="319"/>
      <c r="CC3221" s="319"/>
      <c r="CD3221" s="319"/>
      <c r="CE3221" s="319"/>
      <c r="CF3221" s="319"/>
      <c r="CG3221" s="319"/>
      <c r="CH3221" s="318"/>
      <c r="CI3221" s="319"/>
      <c r="CJ3221" s="319"/>
      <c r="CK3221" s="342"/>
      <c r="CL3221" s="333"/>
      <c r="CM3221" s="1079"/>
      <c r="CN3221" s="1005"/>
      <c r="CO3221" s="1005"/>
      <c r="CP3221" s="1005"/>
    </row>
    <row r="3222">
      <c r="A3222" s="1257"/>
      <c r="B3222" s="1113"/>
      <c r="C3222" s="1107"/>
      <c r="D3222" s="103"/>
      <c r="E3222" s="1137"/>
      <c r="F3222" s="112"/>
      <c r="G3222" s="1110"/>
      <c r="H3222" s="1138"/>
      <c r="I3222" s="1138"/>
      <c r="J3222" s="1139"/>
      <c r="K3222" s="1111"/>
      <c r="L3222" s="1112"/>
      <c r="M3222" s="1113"/>
      <c r="N3222" s="110"/>
      <c r="O3222" s="1140"/>
      <c r="P3222" s="1115"/>
      <c r="Q3222" s="1116"/>
      <c r="R3222" s="1141"/>
      <c r="S3222" s="1113"/>
      <c r="T3222" s="1143"/>
      <c r="U3222" s="1108"/>
      <c r="V3222" s="1108"/>
      <c r="W3222" s="1108"/>
      <c r="X3222" s="1108"/>
      <c r="Y3222" s="1108"/>
      <c r="Z3222" s="1114"/>
      <c r="AA3222" s="1114"/>
      <c r="AB3222" s="1114"/>
      <c r="AC3222" s="1117"/>
      <c r="AD3222" s="1115"/>
      <c r="AE3222" s="1115"/>
      <c r="AF3222" s="1115"/>
      <c r="AG3222" s="1115"/>
      <c r="AH3222" s="1115"/>
      <c r="AI3222" s="1115"/>
      <c r="AJ3222" s="1117"/>
      <c r="AK3222" s="1118"/>
      <c r="AL3222" s="1115"/>
      <c r="AM3222" s="1115"/>
      <c r="AN3222" s="1115"/>
      <c r="AO3222" s="1115"/>
      <c r="AP3222" s="1115"/>
      <c r="AQ3222" s="1115"/>
      <c r="AR3222" s="1115"/>
      <c r="AS3222" s="1117"/>
      <c r="AT3222" s="1075"/>
      <c r="AU3222" s="1193"/>
      <c r="AV3222" s="330"/>
      <c r="AW3222" s="331"/>
      <c r="AX3222" s="331"/>
      <c r="AY3222" s="331"/>
      <c r="AZ3222" s="331"/>
      <c r="BA3222" s="331"/>
      <c r="BB3222" s="331"/>
      <c r="BC3222" s="331"/>
      <c r="BD3222" s="331"/>
      <c r="BE3222" s="333"/>
      <c r="BF3222" s="330"/>
      <c r="BG3222" s="333"/>
      <c r="BH3222" s="1119"/>
      <c r="BI3222" s="319"/>
      <c r="BJ3222" s="319"/>
      <c r="BK3222" s="319"/>
      <c r="BL3222" s="319"/>
      <c r="BM3222" s="319"/>
      <c r="BN3222" s="319"/>
      <c r="BO3222" s="319"/>
      <c r="BP3222" s="953"/>
      <c r="BQ3222" s="319"/>
      <c r="BR3222" s="319"/>
      <c r="BS3222" s="330"/>
      <c r="BT3222" s="331"/>
      <c r="BU3222" s="920"/>
      <c r="BV3222" s="903"/>
      <c r="BW3222" s="908"/>
      <c r="BX3222" s="908"/>
      <c r="BY3222" s="331"/>
      <c r="BZ3222" s="331"/>
      <c r="CA3222" s="462"/>
      <c r="CB3222" s="319"/>
      <c r="CC3222" s="319"/>
      <c r="CD3222" s="319"/>
      <c r="CE3222" s="319"/>
      <c r="CF3222" s="319"/>
      <c r="CG3222" s="319"/>
      <c r="CH3222" s="318"/>
      <c r="CI3222" s="319"/>
      <c r="CJ3222" s="319"/>
      <c r="CK3222" s="342"/>
      <c r="CL3222" s="333"/>
      <c r="CM3222" s="1079"/>
      <c r="CN3222" s="1005"/>
      <c r="CO3222" s="1005"/>
      <c r="CP3222" s="1005"/>
    </row>
    <row r="3223">
      <c r="A3223" s="1257"/>
      <c r="B3223" s="1113"/>
      <c r="C3223" s="1107"/>
      <c r="D3223" s="103"/>
      <c r="E3223" s="1137"/>
      <c r="F3223" s="112"/>
      <c r="G3223" s="1110"/>
      <c r="H3223" s="1138"/>
      <c r="I3223" s="1138"/>
      <c r="J3223" s="1139"/>
      <c r="K3223" s="1111"/>
      <c r="L3223" s="1112"/>
      <c r="M3223" s="1113"/>
      <c r="N3223" s="110"/>
      <c r="O3223" s="1140"/>
      <c r="P3223" s="1115"/>
      <c r="Q3223" s="1116"/>
      <c r="R3223" s="1141"/>
      <c r="S3223" s="1113"/>
      <c r="T3223" s="1143"/>
      <c r="U3223" s="1108"/>
      <c r="V3223" s="1108"/>
      <c r="W3223" s="1108"/>
      <c r="X3223" s="1108"/>
      <c r="Y3223" s="1108"/>
      <c r="Z3223" s="1114"/>
      <c r="AA3223" s="1114"/>
      <c r="AB3223" s="1114"/>
      <c r="AC3223" s="1117"/>
      <c r="AD3223" s="1115"/>
      <c r="AE3223" s="1115"/>
      <c r="AF3223" s="1115"/>
      <c r="AG3223" s="1115"/>
      <c r="AH3223" s="1115"/>
      <c r="AI3223" s="1115"/>
      <c r="AJ3223" s="1117"/>
      <c r="AK3223" s="1118"/>
      <c r="AL3223" s="1115"/>
      <c r="AM3223" s="1115"/>
      <c r="AN3223" s="1115"/>
      <c r="AO3223" s="1115"/>
      <c r="AP3223" s="1115"/>
      <c r="AQ3223" s="1115"/>
      <c r="AR3223" s="1115"/>
      <c r="AS3223" s="1117"/>
      <c r="AT3223" s="1075"/>
      <c r="AU3223" s="1193"/>
      <c r="AV3223" s="330"/>
      <c r="AW3223" s="331"/>
      <c r="AX3223" s="331"/>
      <c r="AY3223" s="331"/>
      <c r="AZ3223" s="331"/>
      <c r="BA3223" s="331"/>
      <c r="BB3223" s="331"/>
      <c r="BC3223" s="331"/>
      <c r="BD3223" s="331"/>
      <c r="BE3223" s="333"/>
      <c r="BF3223" s="330"/>
      <c r="BG3223" s="333"/>
      <c r="BH3223" s="1119"/>
      <c r="BI3223" s="319"/>
      <c r="BJ3223" s="319"/>
      <c r="BK3223" s="319"/>
      <c r="BL3223" s="319"/>
      <c r="BM3223" s="319"/>
      <c r="BN3223" s="319"/>
      <c r="BO3223" s="319"/>
      <c r="BP3223" s="953"/>
      <c r="BQ3223" s="319"/>
      <c r="BR3223" s="319"/>
      <c r="BS3223" s="330"/>
      <c r="BT3223" s="331"/>
      <c r="BU3223" s="920"/>
      <c r="BV3223" s="903"/>
      <c r="BW3223" s="908"/>
      <c r="BX3223" s="908"/>
      <c r="BY3223" s="331"/>
      <c r="BZ3223" s="331"/>
      <c r="CA3223" s="462"/>
      <c r="CB3223" s="319"/>
      <c r="CC3223" s="319"/>
      <c r="CD3223" s="319"/>
      <c r="CE3223" s="319"/>
      <c r="CF3223" s="319"/>
      <c r="CG3223" s="319"/>
      <c r="CH3223" s="318"/>
      <c r="CI3223" s="319"/>
      <c r="CJ3223" s="319"/>
      <c r="CK3223" s="342"/>
      <c r="CL3223" s="333"/>
      <c r="CM3223" s="1079"/>
      <c r="CN3223" s="1005"/>
      <c r="CO3223" s="1005"/>
      <c r="CP3223" s="1005"/>
    </row>
    <row r="3224">
      <c r="A3224" s="1257"/>
      <c r="B3224" s="1113"/>
      <c r="C3224" s="1107"/>
      <c r="D3224" s="103"/>
      <c r="E3224" s="1137"/>
      <c r="F3224" s="112"/>
      <c r="G3224" s="1110"/>
      <c r="H3224" s="1138"/>
      <c r="I3224" s="1138"/>
      <c r="J3224" s="1139"/>
      <c r="K3224" s="1111"/>
      <c r="L3224" s="1112"/>
      <c r="M3224" s="1113"/>
      <c r="N3224" s="110"/>
      <c r="O3224" s="1140"/>
      <c r="P3224" s="1115"/>
      <c r="Q3224" s="1116"/>
      <c r="R3224" s="1141"/>
      <c r="S3224" s="1113"/>
      <c r="T3224" s="1143"/>
      <c r="U3224" s="1108"/>
      <c r="V3224" s="1108"/>
      <c r="W3224" s="1108"/>
      <c r="X3224" s="1108"/>
      <c r="Y3224" s="1108"/>
      <c r="Z3224" s="1114"/>
      <c r="AA3224" s="1114"/>
      <c r="AB3224" s="1114"/>
      <c r="AC3224" s="1117"/>
      <c r="AD3224" s="1115"/>
      <c r="AE3224" s="1115"/>
      <c r="AF3224" s="1115"/>
      <c r="AG3224" s="1115"/>
      <c r="AH3224" s="1115"/>
      <c r="AI3224" s="1115"/>
      <c r="AJ3224" s="1117"/>
      <c r="AK3224" s="1118"/>
      <c r="AL3224" s="1115"/>
      <c r="AM3224" s="1115"/>
      <c r="AN3224" s="1115"/>
      <c r="AO3224" s="1115"/>
      <c r="AP3224" s="1115"/>
      <c r="AQ3224" s="1115"/>
      <c r="AR3224" s="1115"/>
      <c r="AS3224" s="1117"/>
      <c r="AT3224" s="1075"/>
      <c r="AU3224" s="1193"/>
      <c r="AV3224" s="330"/>
      <c r="AW3224" s="331"/>
      <c r="AX3224" s="331"/>
      <c r="AY3224" s="331"/>
      <c r="AZ3224" s="331"/>
      <c r="BA3224" s="331"/>
      <c r="BB3224" s="331"/>
      <c r="BC3224" s="331"/>
      <c r="BD3224" s="331"/>
      <c r="BE3224" s="333"/>
      <c r="BF3224" s="330"/>
      <c r="BG3224" s="333"/>
      <c r="BH3224" s="1119"/>
      <c r="BI3224" s="319"/>
      <c r="BJ3224" s="319"/>
      <c r="BK3224" s="319"/>
      <c r="BL3224" s="319"/>
      <c r="BM3224" s="319"/>
      <c r="BN3224" s="319"/>
      <c r="BO3224" s="319"/>
      <c r="BP3224" s="953"/>
      <c r="BQ3224" s="319"/>
      <c r="BR3224" s="319"/>
      <c r="BS3224" s="330"/>
      <c r="BT3224" s="331"/>
      <c r="BU3224" s="920"/>
      <c r="BV3224" s="903"/>
      <c r="BW3224" s="908"/>
      <c r="BX3224" s="908"/>
      <c r="BY3224" s="331"/>
      <c r="BZ3224" s="331"/>
      <c r="CA3224" s="462"/>
      <c r="CB3224" s="319"/>
      <c r="CC3224" s="319"/>
      <c r="CD3224" s="319"/>
      <c r="CE3224" s="319"/>
      <c r="CF3224" s="319"/>
      <c r="CG3224" s="319"/>
      <c r="CH3224" s="318"/>
      <c r="CI3224" s="319"/>
      <c r="CJ3224" s="319"/>
      <c r="CK3224" s="342"/>
      <c r="CL3224" s="333"/>
      <c r="CM3224" s="1079"/>
      <c r="CN3224" s="1005"/>
      <c r="CO3224" s="1005"/>
      <c r="CP3224" s="1005"/>
    </row>
    <row r="3225">
      <c r="A3225" s="1257"/>
      <c r="B3225" s="1113"/>
      <c r="C3225" s="1107"/>
      <c r="D3225" s="103"/>
      <c r="E3225" s="1137"/>
      <c r="F3225" s="112"/>
      <c r="G3225" s="1110"/>
      <c r="H3225" s="1138"/>
      <c r="I3225" s="1138"/>
      <c r="J3225" s="1139"/>
      <c r="K3225" s="1111"/>
      <c r="L3225" s="1112"/>
      <c r="M3225" s="1113"/>
      <c r="N3225" s="110"/>
      <c r="O3225" s="1140"/>
      <c r="P3225" s="1115"/>
      <c r="Q3225" s="1116"/>
      <c r="R3225" s="1141"/>
      <c r="S3225" s="1113"/>
      <c r="T3225" s="1143"/>
      <c r="U3225" s="1108"/>
      <c r="V3225" s="1108"/>
      <c r="W3225" s="1108"/>
      <c r="X3225" s="1108"/>
      <c r="Y3225" s="1108"/>
      <c r="Z3225" s="1114"/>
      <c r="AA3225" s="1114"/>
      <c r="AB3225" s="1114"/>
      <c r="AC3225" s="1117"/>
      <c r="AD3225" s="1115"/>
      <c r="AE3225" s="1115"/>
      <c r="AF3225" s="1115"/>
      <c r="AG3225" s="1115"/>
      <c r="AH3225" s="1115"/>
      <c r="AI3225" s="1115"/>
      <c r="AJ3225" s="1117"/>
      <c r="AK3225" s="1118"/>
      <c r="AL3225" s="1115"/>
      <c r="AM3225" s="1115"/>
      <c r="AN3225" s="1115"/>
      <c r="AO3225" s="1115"/>
      <c r="AP3225" s="1115"/>
      <c r="AQ3225" s="1115"/>
      <c r="AR3225" s="1115"/>
      <c r="AS3225" s="1117"/>
      <c r="AT3225" s="1075"/>
      <c r="AU3225" s="1193"/>
      <c r="AV3225" s="330"/>
      <c r="AW3225" s="331"/>
      <c r="AX3225" s="331"/>
      <c r="AY3225" s="331"/>
      <c r="AZ3225" s="331"/>
      <c r="BA3225" s="331"/>
      <c r="BB3225" s="331"/>
      <c r="BC3225" s="331"/>
      <c r="BD3225" s="331"/>
      <c r="BE3225" s="333"/>
      <c r="BF3225" s="330"/>
      <c r="BG3225" s="333"/>
      <c r="BH3225" s="1119"/>
      <c r="BI3225" s="319"/>
      <c r="BJ3225" s="319"/>
      <c r="BK3225" s="319"/>
      <c r="BL3225" s="319"/>
      <c r="BM3225" s="319"/>
      <c r="BN3225" s="319"/>
      <c r="BO3225" s="319"/>
      <c r="BP3225" s="953"/>
      <c r="BQ3225" s="319"/>
      <c r="BR3225" s="319"/>
      <c r="BS3225" s="330"/>
      <c r="BT3225" s="331"/>
      <c r="BU3225" s="920"/>
      <c r="BV3225" s="903"/>
      <c r="BW3225" s="908"/>
      <c r="BX3225" s="908"/>
      <c r="BY3225" s="331"/>
      <c r="BZ3225" s="331"/>
      <c r="CA3225" s="462"/>
      <c r="CB3225" s="319"/>
      <c r="CC3225" s="319"/>
      <c r="CD3225" s="319"/>
      <c r="CE3225" s="319"/>
      <c r="CF3225" s="319"/>
      <c r="CG3225" s="319"/>
      <c r="CH3225" s="318"/>
      <c r="CI3225" s="319"/>
      <c r="CJ3225" s="319"/>
      <c r="CK3225" s="342"/>
      <c r="CL3225" s="333"/>
      <c r="CM3225" s="1079"/>
      <c r="CN3225" s="1005"/>
      <c r="CO3225" s="1005"/>
      <c r="CP3225" s="1005"/>
    </row>
    <row r="3226">
      <c r="A3226" s="1257"/>
      <c r="B3226" s="1113"/>
      <c r="C3226" s="1107"/>
      <c r="D3226" s="103"/>
      <c r="E3226" s="1137"/>
      <c r="F3226" s="112"/>
      <c r="G3226" s="1110"/>
      <c r="H3226" s="1138"/>
      <c r="I3226" s="1138"/>
      <c r="J3226" s="1139"/>
      <c r="K3226" s="1111"/>
      <c r="L3226" s="1112"/>
      <c r="M3226" s="1113"/>
      <c r="N3226" s="110"/>
      <c r="O3226" s="1140"/>
      <c r="P3226" s="1115"/>
      <c r="Q3226" s="1116"/>
      <c r="R3226" s="1141"/>
      <c r="S3226" s="1113"/>
      <c r="T3226" s="1143"/>
      <c r="U3226" s="1108"/>
      <c r="V3226" s="1108"/>
      <c r="W3226" s="1108"/>
      <c r="X3226" s="1108"/>
      <c r="Y3226" s="1108"/>
      <c r="Z3226" s="1114"/>
      <c r="AA3226" s="1114"/>
      <c r="AB3226" s="1114"/>
      <c r="AC3226" s="1117"/>
      <c r="AD3226" s="1115"/>
      <c r="AE3226" s="1115"/>
      <c r="AF3226" s="1115"/>
      <c r="AG3226" s="1115"/>
      <c r="AH3226" s="1115"/>
      <c r="AI3226" s="1115"/>
      <c r="AJ3226" s="1117"/>
      <c r="AK3226" s="1118"/>
      <c r="AL3226" s="1115"/>
      <c r="AM3226" s="1115"/>
      <c r="AN3226" s="1115"/>
      <c r="AO3226" s="1115"/>
      <c r="AP3226" s="1115"/>
      <c r="AQ3226" s="1115"/>
      <c r="AR3226" s="1115"/>
      <c r="AS3226" s="1117"/>
      <c r="AT3226" s="1075"/>
      <c r="AU3226" s="1193"/>
      <c r="AV3226" s="330"/>
      <c r="AW3226" s="331"/>
      <c r="AX3226" s="331"/>
      <c r="AY3226" s="331"/>
      <c r="AZ3226" s="331"/>
      <c r="BA3226" s="331"/>
      <c r="BB3226" s="331"/>
      <c r="BC3226" s="331"/>
      <c r="BD3226" s="331"/>
      <c r="BE3226" s="333"/>
      <c r="BF3226" s="330"/>
      <c r="BG3226" s="333"/>
      <c r="BH3226" s="1119"/>
      <c r="BI3226" s="319"/>
      <c r="BJ3226" s="319"/>
      <c r="BK3226" s="319"/>
      <c r="BL3226" s="319"/>
      <c r="BM3226" s="319"/>
      <c r="BN3226" s="319"/>
      <c r="BO3226" s="319"/>
      <c r="BP3226" s="953"/>
      <c r="BQ3226" s="319"/>
      <c r="BR3226" s="319"/>
      <c r="BS3226" s="330"/>
      <c r="BT3226" s="331"/>
      <c r="BU3226" s="920"/>
      <c r="BV3226" s="903"/>
      <c r="BW3226" s="908"/>
      <c r="BX3226" s="908"/>
      <c r="BY3226" s="331"/>
      <c r="BZ3226" s="331"/>
      <c r="CA3226" s="462"/>
      <c r="CB3226" s="319"/>
      <c r="CC3226" s="319"/>
      <c r="CD3226" s="319"/>
      <c r="CE3226" s="319"/>
      <c r="CF3226" s="319"/>
      <c r="CG3226" s="319"/>
      <c r="CH3226" s="318"/>
      <c r="CI3226" s="319"/>
      <c r="CJ3226" s="319"/>
      <c r="CK3226" s="342"/>
      <c r="CL3226" s="333"/>
      <c r="CM3226" s="1079"/>
      <c r="CN3226" s="1005"/>
      <c r="CO3226" s="1005"/>
      <c r="CP3226" s="1005"/>
    </row>
    <row r="3227">
      <c r="A3227" s="1257"/>
      <c r="B3227" s="1113"/>
      <c r="C3227" s="1107"/>
      <c r="D3227" s="103"/>
      <c r="E3227" s="1137"/>
      <c r="F3227" s="112"/>
      <c r="G3227" s="1110"/>
      <c r="H3227" s="1138"/>
      <c r="I3227" s="1138"/>
      <c r="J3227" s="1139"/>
      <c r="K3227" s="1111"/>
      <c r="L3227" s="1112"/>
      <c r="M3227" s="1113"/>
      <c r="N3227" s="110"/>
      <c r="O3227" s="1140"/>
      <c r="P3227" s="1115"/>
      <c r="Q3227" s="1116"/>
      <c r="R3227" s="1141"/>
      <c r="S3227" s="1113"/>
      <c r="T3227" s="1143"/>
      <c r="U3227" s="1108"/>
      <c r="V3227" s="1108"/>
      <c r="W3227" s="1108"/>
      <c r="X3227" s="1108"/>
      <c r="Y3227" s="1108"/>
      <c r="Z3227" s="1114"/>
      <c r="AA3227" s="1114"/>
      <c r="AB3227" s="1114"/>
      <c r="AC3227" s="1117"/>
      <c r="AD3227" s="1115"/>
      <c r="AE3227" s="1115"/>
      <c r="AF3227" s="1115"/>
      <c r="AG3227" s="1115"/>
      <c r="AH3227" s="1115"/>
      <c r="AI3227" s="1115"/>
      <c r="AJ3227" s="1117"/>
      <c r="AK3227" s="1118"/>
      <c r="AL3227" s="1115"/>
      <c r="AM3227" s="1115"/>
      <c r="AN3227" s="1115"/>
      <c r="AO3227" s="1115"/>
      <c r="AP3227" s="1115"/>
      <c r="AQ3227" s="1115"/>
      <c r="AR3227" s="1115"/>
      <c r="AS3227" s="1117"/>
      <c r="AT3227" s="1075"/>
      <c r="AU3227" s="1193"/>
      <c r="AV3227" s="330"/>
      <c r="AW3227" s="331"/>
      <c r="AX3227" s="331"/>
      <c r="AY3227" s="331"/>
      <c r="AZ3227" s="331"/>
      <c r="BA3227" s="331"/>
      <c r="BB3227" s="331"/>
      <c r="BC3227" s="331"/>
      <c r="BD3227" s="331"/>
      <c r="BE3227" s="333"/>
      <c r="BF3227" s="330"/>
      <c r="BG3227" s="333"/>
      <c r="BH3227" s="1119"/>
      <c r="BI3227" s="319"/>
      <c r="BJ3227" s="319"/>
      <c r="BK3227" s="319"/>
      <c r="BL3227" s="319"/>
      <c r="BM3227" s="319"/>
      <c r="BN3227" s="319"/>
      <c r="BO3227" s="319"/>
      <c r="BP3227" s="953"/>
      <c r="BQ3227" s="319"/>
      <c r="BR3227" s="319"/>
      <c r="BS3227" s="330"/>
      <c r="BT3227" s="331"/>
      <c r="BU3227" s="920"/>
      <c r="BV3227" s="903"/>
      <c r="BW3227" s="908"/>
      <c r="BX3227" s="908"/>
      <c r="BY3227" s="331"/>
      <c r="BZ3227" s="331"/>
      <c r="CA3227" s="462"/>
      <c r="CB3227" s="319"/>
      <c r="CC3227" s="319"/>
      <c r="CD3227" s="319"/>
      <c r="CE3227" s="319"/>
      <c r="CF3227" s="319"/>
      <c r="CG3227" s="319"/>
      <c r="CH3227" s="318"/>
      <c r="CI3227" s="319"/>
      <c r="CJ3227" s="319"/>
      <c r="CK3227" s="342"/>
      <c r="CL3227" s="333"/>
      <c r="CM3227" s="1079"/>
      <c r="CN3227" s="1005"/>
      <c r="CO3227" s="1005"/>
      <c r="CP3227" s="1005"/>
    </row>
    <row r="3228">
      <c r="A3228" s="1257"/>
      <c r="B3228" s="1113"/>
      <c r="C3228" s="1107"/>
      <c r="D3228" s="103"/>
      <c r="E3228" s="1137"/>
      <c r="F3228" s="112"/>
      <c r="G3228" s="1110"/>
      <c r="H3228" s="1138"/>
      <c r="I3228" s="1138"/>
      <c r="J3228" s="1139"/>
      <c r="K3228" s="1111"/>
      <c r="L3228" s="1112"/>
      <c r="M3228" s="1113"/>
      <c r="N3228" s="110"/>
      <c r="O3228" s="1140"/>
      <c r="P3228" s="1115"/>
      <c r="Q3228" s="1116"/>
      <c r="R3228" s="1141"/>
      <c r="S3228" s="1113"/>
      <c r="T3228" s="1143"/>
      <c r="U3228" s="1108"/>
      <c r="V3228" s="1108"/>
      <c r="W3228" s="1108"/>
      <c r="X3228" s="1108"/>
      <c r="Y3228" s="1108"/>
      <c r="Z3228" s="1114"/>
      <c r="AA3228" s="1114"/>
      <c r="AB3228" s="1114"/>
      <c r="AC3228" s="1117"/>
      <c r="AD3228" s="1115"/>
      <c r="AE3228" s="1115"/>
      <c r="AF3228" s="1115"/>
      <c r="AG3228" s="1115"/>
      <c r="AH3228" s="1115"/>
      <c r="AI3228" s="1115"/>
      <c r="AJ3228" s="1117"/>
      <c r="AK3228" s="1118"/>
      <c r="AL3228" s="1115"/>
      <c r="AM3228" s="1115"/>
      <c r="AN3228" s="1115"/>
      <c r="AO3228" s="1115"/>
      <c r="AP3228" s="1115"/>
      <c r="AQ3228" s="1115"/>
      <c r="AR3228" s="1115"/>
      <c r="AS3228" s="1117"/>
      <c r="AT3228" s="1075"/>
      <c r="AU3228" s="1193"/>
      <c r="AV3228" s="330"/>
      <c r="AW3228" s="331"/>
      <c r="AX3228" s="331"/>
      <c r="AY3228" s="331"/>
      <c r="AZ3228" s="331"/>
      <c r="BA3228" s="331"/>
      <c r="BB3228" s="331"/>
      <c r="BC3228" s="331"/>
      <c r="BD3228" s="331"/>
      <c r="BE3228" s="333"/>
      <c r="BF3228" s="330"/>
      <c r="BG3228" s="333"/>
      <c r="BH3228" s="1119"/>
      <c r="BI3228" s="319"/>
      <c r="BJ3228" s="319"/>
      <c r="BK3228" s="319"/>
      <c r="BL3228" s="319"/>
      <c r="BM3228" s="319"/>
      <c r="BN3228" s="319"/>
      <c r="BO3228" s="319"/>
      <c r="BP3228" s="953"/>
      <c r="BQ3228" s="319"/>
      <c r="BR3228" s="319"/>
      <c r="BS3228" s="330"/>
      <c r="BT3228" s="331"/>
      <c r="BU3228" s="920"/>
      <c r="BV3228" s="903"/>
      <c r="BW3228" s="908"/>
      <c r="BX3228" s="908"/>
      <c r="BY3228" s="331"/>
      <c r="BZ3228" s="331"/>
      <c r="CA3228" s="462"/>
      <c r="CB3228" s="319"/>
      <c r="CC3228" s="319"/>
      <c r="CD3228" s="319"/>
      <c r="CE3228" s="319"/>
      <c r="CF3228" s="319"/>
      <c r="CG3228" s="319"/>
      <c r="CH3228" s="318"/>
      <c r="CI3228" s="319"/>
      <c r="CJ3228" s="319"/>
      <c r="CK3228" s="342"/>
      <c r="CL3228" s="333"/>
      <c r="CM3228" s="1079"/>
      <c r="CN3228" s="1005"/>
      <c r="CO3228" s="1005"/>
      <c r="CP3228" s="1005"/>
    </row>
    <row r="3229">
      <c r="A3229" s="1257"/>
      <c r="B3229" s="1113"/>
      <c r="C3229" s="1107"/>
      <c r="D3229" s="103"/>
      <c r="E3229" s="1137"/>
      <c r="F3229" s="112"/>
      <c r="G3229" s="1110"/>
      <c r="H3229" s="1138"/>
      <c r="I3229" s="1138"/>
      <c r="J3229" s="1139"/>
      <c r="K3229" s="1111"/>
      <c r="L3229" s="1112"/>
      <c r="M3229" s="1113"/>
      <c r="N3229" s="110"/>
      <c r="O3229" s="1140"/>
      <c r="P3229" s="1115"/>
      <c r="Q3229" s="1116"/>
      <c r="R3229" s="1141"/>
      <c r="S3229" s="1113"/>
      <c r="T3229" s="1143"/>
      <c r="U3229" s="1108"/>
      <c r="V3229" s="1108"/>
      <c r="W3229" s="1108"/>
      <c r="X3229" s="1108"/>
      <c r="Y3229" s="1108"/>
      <c r="Z3229" s="1114"/>
      <c r="AA3229" s="1114"/>
      <c r="AB3229" s="1114"/>
      <c r="AC3229" s="1117"/>
      <c r="AD3229" s="1115"/>
      <c r="AE3229" s="1115"/>
      <c r="AF3229" s="1115"/>
      <c r="AG3229" s="1115"/>
      <c r="AH3229" s="1115"/>
      <c r="AI3229" s="1115"/>
      <c r="AJ3229" s="1117"/>
      <c r="AK3229" s="1118"/>
      <c r="AL3229" s="1115"/>
      <c r="AM3229" s="1115"/>
      <c r="AN3229" s="1115"/>
      <c r="AO3229" s="1115"/>
      <c r="AP3229" s="1115"/>
      <c r="AQ3229" s="1115"/>
      <c r="AR3229" s="1115"/>
      <c r="AS3229" s="1117"/>
      <c r="AT3229" s="1075"/>
      <c r="AU3229" s="1193"/>
      <c r="AV3229" s="330"/>
      <c r="AW3229" s="331"/>
      <c r="AX3229" s="331"/>
      <c r="AY3229" s="331"/>
      <c r="AZ3229" s="331"/>
      <c r="BA3229" s="331"/>
      <c r="BB3229" s="331"/>
      <c r="BC3229" s="331"/>
      <c r="BD3229" s="331"/>
      <c r="BE3229" s="333"/>
      <c r="BF3229" s="330"/>
      <c r="BG3229" s="333"/>
      <c r="BH3229" s="1119"/>
      <c r="BI3229" s="319"/>
      <c r="BJ3229" s="319"/>
      <c r="BK3229" s="319"/>
      <c r="BL3229" s="319"/>
      <c r="BM3229" s="319"/>
      <c r="BN3229" s="319"/>
      <c r="BO3229" s="319"/>
      <c r="BP3229" s="953"/>
      <c r="BQ3229" s="319"/>
      <c r="BR3229" s="319"/>
      <c r="BS3229" s="330"/>
      <c r="BT3229" s="331"/>
      <c r="BU3229" s="920"/>
      <c r="BV3229" s="903"/>
      <c r="BW3229" s="908"/>
      <c r="BX3229" s="908"/>
      <c r="BY3229" s="331"/>
      <c r="BZ3229" s="331"/>
      <c r="CA3229" s="462"/>
      <c r="CB3229" s="319"/>
      <c r="CC3229" s="319"/>
      <c r="CD3229" s="319"/>
      <c r="CE3229" s="319"/>
      <c r="CF3229" s="319"/>
      <c r="CG3229" s="319"/>
      <c r="CH3229" s="318"/>
      <c r="CI3229" s="319"/>
      <c r="CJ3229" s="319"/>
      <c r="CK3229" s="342"/>
      <c r="CL3229" s="333"/>
      <c r="CM3229" s="1079"/>
      <c r="CN3229" s="1005"/>
      <c r="CO3229" s="1005"/>
      <c r="CP3229" s="1005"/>
    </row>
    <row r="3230">
      <c r="A3230" s="1257"/>
      <c r="B3230" s="1113"/>
      <c r="C3230" s="1107"/>
      <c r="D3230" s="103"/>
      <c r="E3230" s="1137"/>
      <c r="F3230" s="112"/>
      <c r="G3230" s="1110"/>
      <c r="H3230" s="1138"/>
      <c r="I3230" s="1138"/>
      <c r="J3230" s="1139"/>
      <c r="K3230" s="1111"/>
      <c r="L3230" s="1112"/>
      <c r="M3230" s="1113"/>
      <c r="N3230" s="110"/>
      <c r="O3230" s="1140"/>
      <c r="P3230" s="1115"/>
      <c r="Q3230" s="1116"/>
      <c r="R3230" s="1141"/>
      <c r="S3230" s="1113"/>
      <c r="T3230" s="1143"/>
      <c r="U3230" s="1108"/>
      <c r="V3230" s="1108"/>
      <c r="W3230" s="1108"/>
      <c r="X3230" s="1108"/>
      <c r="Y3230" s="1108"/>
      <c r="Z3230" s="1114"/>
      <c r="AA3230" s="1114"/>
      <c r="AB3230" s="1114"/>
      <c r="AC3230" s="1117"/>
      <c r="AD3230" s="1115"/>
      <c r="AE3230" s="1115"/>
      <c r="AF3230" s="1115"/>
      <c r="AG3230" s="1115"/>
      <c r="AH3230" s="1115"/>
      <c r="AI3230" s="1115"/>
      <c r="AJ3230" s="1117"/>
      <c r="AK3230" s="1118"/>
      <c r="AL3230" s="1115"/>
      <c r="AM3230" s="1115"/>
      <c r="AN3230" s="1115"/>
      <c r="AO3230" s="1115"/>
      <c r="AP3230" s="1115"/>
      <c r="AQ3230" s="1115"/>
      <c r="AR3230" s="1115"/>
      <c r="AS3230" s="1117"/>
      <c r="AT3230" s="1075"/>
      <c r="AU3230" s="1193"/>
      <c r="AV3230" s="330"/>
      <c r="AW3230" s="331"/>
      <c r="AX3230" s="331"/>
      <c r="AY3230" s="331"/>
      <c r="AZ3230" s="331"/>
      <c r="BA3230" s="331"/>
      <c r="BB3230" s="331"/>
      <c r="BC3230" s="331"/>
      <c r="BD3230" s="331"/>
      <c r="BE3230" s="333"/>
      <c r="BF3230" s="330"/>
      <c r="BG3230" s="333"/>
      <c r="BH3230" s="1119"/>
      <c r="BI3230" s="319"/>
      <c r="BJ3230" s="319"/>
      <c r="BK3230" s="319"/>
      <c r="BL3230" s="319"/>
      <c r="BM3230" s="319"/>
      <c r="BN3230" s="319"/>
      <c r="BO3230" s="319"/>
      <c r="BP3230" s="953"/>
      <c r="BQ3230" s="319"/>
      <c r="BR3230" s="319"/>
      <c r="BS3230" s="330"/>
      <c r="BT3230" s="331"/>
      <c r="BU3230" s="920"/>
      <c r="BV3230" s="903"/>
      <c r="BW3230" s="908"/>
      <c r="BX3230" s="908"/>
      <c r="BY3230" s="331"/>
      <c r="BZ3230" s="331"/>
      <c r="CA3230" s="462"/>
      <c r="CB3230" s="319"/>
      <c r="CC3230" s="319"/>
      <c r="CD3230" s="319"/>
      <c r="CE3230" s="319"/>
      <c r="CF3230" s="319"/>
      <c r="CG3230" s="319"/>
      <c r="CH3230" s="318"/>
      <c r="CI3230" s="319"/>
      <c r="CJ3230" s="319"/>
      <c r="CK3230" s="342"/>
      <c r="CL3230" s="333"/>
      <c r="CM3230" s="1079"/>
      <c r="CN3230" s="1005"/>
      <c r="CO3230" s="1005"/>
      <c r="CP3230" s="1005"/>
    </row>
    <row r="3231">
      <c r="A3231" s="1257"/>
      <c r="B3231" s="1113"/>
      <c r="C3231" s="1107"/>
      <c r="D3231" s="103"/>
      <c r="E3231" s="1137"/>
      <c r="F3231" s="112"/>
      <c r="G3231" s="1110"/>
      <c r="H3231" s="1138"/>
      <c r="I3231" s="1138"/>
      <c r="J3231" s="1139"/>
      <c r="K3231" s="1111"/>
      <c r="L3231" s="1112"/>
      <c r="M3231" s="1113"/>
      <c r="N3231" s="110"/>
      <c r="O3231" s="1140"/>
      <c r="P3231" s="1115"/>
      <c r="Q3231" s="1116"/>
      <c r="R3231" s="1141"/>
      <c r="S3231" s="1113"/>
      <c r="T3231" s="1143"/>
      <c r="U3231" s="1108"/>
      <c r="V3231" s="1108"/>
      <c r="W3231" s="1108"/>
      <c r="X3231" s="1108"/>
      <c r="Y3231" s="1108"/>
      <c r="Z3231" s="1114"/>
      <c r="AA3231" s="1114"/>
      <c r="AB3231" s="1114"/>
      <c r="AC3231" s="1117"/>
      <c r="AD3231" s="1115"/>
      <c r="AE3231" s="1115"/>
      <c r="AF3231" s="1115"/>
      <c r="AG3231" s="1115"/>
      <c r="AH3231" s="1115"/>
      <c r="AI3231" s="1115"/>
      <c r="AJ3231" s="1117"/>
      <c r="AK3231" s="1118"/>
      <c r="AL3231" s="1115"/>
      <c r="AM3231" s="1115"/>
      <c r="AN3231" s="1115"/>
      <c r="AO3231" s="1115"/>
      <c r="AP3231" s="1115"/>
      <c r="AQ3231" s="1115"/>
      <c r="AR3231" s="1115"/>
      <c r="AS3231" s="1117"/>
      <c r="AT3231" s="1075"/>
      <c r="AU3231" s="1193"/>
      <c r="AV3231" s="330"/>
      <c r="AW3231" s="331"/>
      <c r="AX3231" s="331"/>
      <c r="AY3231" s="331"/>
      <c r="AZ3231" s="331"/>
      <c r="BA3231" s="331"/>
      <c r="BB3231" s="331"/>
      <c r="BC3231" s="331"/>
      <c r="BD3231" s="331"/>
      <c r="BE3231" s="333"/>
      <c r="BF3231" s="330"/>
      <c r="BG3231" s="333"/>
      <c r="BH3231" s="1119"/>
      <c r="BI3231" s="319"/>
      <c r="BJ3231" s="319"/>
      <c r="BK3231" s="319"/>
      <c r="BL3231" s="319"/>
      <c r="BM3231" s="319"/>
      <c r="BN3231" s="319"/>
      <c r="BO3231" s="319"/>
      <c r="BP3231" s="953"/>
      <c r="BQ3231" s="319"/>
      <c r="BR3231" s="319"/>
      <c r="BS3231" s="330"/>
      <c r="BT3231" s="331"/>
      <c r="BU3231" s="920"/>
      <c r="BV3231" s="903"/>
      <c r="BW3231" s="908"/>
      <c r="BX3231" s="908"/>
      <c r="BY3231" s="331"/>
      <c r="BZ3231" s="331"/>
      <c r="CA3231" s="462"/>
      <c r="CB3231" s="319"/>
      <c r="CC3231" s="319"/>
      <c r="CD3231" s="319"/>
      <c r="CE3231" s="319"/>
      <c r="CF3231" s="319"/>
      <c r="CG3231" s="319"/>
      <c r="CH3231" s="318"/>
      <c r="CI3231" s="319"/>
      <c r="CJ3231" s="319"/>
      <c r="CK3231" s="342"/>
      <c r="CL3231" s="333"/>
      <c r="CM3231" s="1079"/>
      <c r="CN3231" s="1005"/>
      <c r="CO3231" s="1005"/>
      <c r="CP3231" s="1005"/>
    </row>
    <row r="3232">
      <c r="A3232" s="1257"/>
      <c r="B3232" s="1113"/>
      <c r="C3232" s="1107"/>
      <c r="D3232" s="103"/>
      <c r="E3232" s="1137"/>
      <c r="F3232" s="112"/>
      <c r="G3232" s="1110"/>
      <c r="H3232" s="1138"/>
      <c r="I3232" s="1138"/>
      <c r="J3232" s="1139"/>
      <c r="K3232" s="1111"/>
      <c r="L3232" s="1112"/>
      <c r="M3232" s="1113"/>
      <c r="N3232" s="110"/>
      <c r="O3232" s="1140"/>
      <c r="P3232" s="1115"/>
      <c r="Q3232" s="1116"/>
      <c r="R3232" s="1141"/>
      <c r="S3232" s="1113"/>
      <c r="T3232" s="1143"/>
      <c r="U3232" s="1108"/>
      <c r="V3232" s="1108"/>
      <c r="W3232" s="1108"/>
      <c r="X3232" s="1108"/>
      <c r="Y3232" s="1108"/>
      <c r="Z3232" s="1114"/>
      <c r="AA3232" s="1114"/>
      <c r="AB3232" s="1114"/>
      <c r="AC3232" s="1117"/>
      <c r="AD3232" s="1115"/>
      <c r="AE3232" s="1115"/>
      <c r="AF3232" s="1115"/>
      <c r="AG3232" s="1115"/>
      <c r="AH3232" s="1115"/>
      <c r="AI3232" s="1115"/>
      <c r="AJ3232" s="1117"/>
      <c r="AK3232" s="1118"/>
      <c r="AL3232" s="1115"/>
      <c r="AM3232" s="1115"/>
      <c r="AN3232" s="1115"/>
      <c r="AO3232" s="1115"/>
      <c r="AP3232" s="1115"/>
      <c r="AQ3232" s="1115"/>
      <c r="AR3232" s="1115"/>
      <c r="AS3232" s="1117"/>
      <c r="AT3232" s="1075"/>
      <c r="AU3232" s="1193"/>
      <c r="AV3232" s="330"/>
      <c r="AW3232" s="331"/>
      <c r="AX3232" s="331"/>
      <c r="AY3232" s="331"/>
      <c r="AZ3232" s="331"/>
      <c r="BA3232" s="331"/>
      <c r="BB3232" s="331"/>
      <c r="BC3232" s="331"/>
      <c r="BD3232" s="331"/>
      <c r="BE3232" s="333"/>
      <c r="BF3232" s="330"/>
      <c r="BG3232" s="333"/>
      <c r="BH3232" s="1119"/>
      <c r="BI3232" s="319"/>
      <c r="BJ3232" s="319"/>
      <c r="BK3232" s="319"/>
      <c r="BL3232" s="319"/>
      <c r="BM3232" s="319"/>
      <c r="BN3232" s="319"/>
      <c r="BO3232" s="319"/>
      <c r="BP3232" s="953"/>
      <c r="BQ3232" s="319"/>
      <c r="BR3232" s="319"/>
      <c r="BS3232" s="330"/>
      <c r="BT3232" s="331"/>
      <c r="BU3232" s="920"/>
      <c r="BV3232" s="903"/>
      <c r="BW3232" s="908"/>
      <c r="BX3232" s="908"/>
      <c r="BY3232" s="331"/>
      <c r="BZ3232" s="331"/>
      <c r="CA3232" s="462"/>
      <c r="CB3232" s="319"/>
      <c r="CC3232" s="319"/>
      <c r="CD3232" s="319"/>
      <c r="CE3232" s="319"/>
      <c r="CF3232" s="319"/>
      <c r="CG3232" s="319"/>
      <c r="CH3232" s="318"/>
      <c r="CI3232" s="319"/>
      <c r="CJ3232" s="319"/>
      <c r="CK3232" s="342"/>
      <c r="CL3232" s="333"/>
      <c r="CM3232" s="1079"/>
      <c r="CN3232" s="1005"/>
      <c r="CO3232" s="1005"/>
      <c r="CP3232" s="1005"/>
    </row>
    <row r="3233">
      <c r="A3233" s="1257"/>
      <c r="B3233" s="1113"/>
      <c r="C3233" s="1107"/>
      <c r="D3233" s="103"/>
      <c r="E3233" s="1137"/>
      <c r="F3233" s="112"/>
      <c r="G3233" s="1110"/>
      <c r="H3233" s="1138"/>
      <c r="I3233" s="1138"/>
      <c r="J3233" s="1139"/>
      <c r="K3233" s="1111"/>
      <c r="L3233" s="1112"/>
      <c r="M3233" s="1113"/>
      <c r="N3233" s="110"/>
      <c r="O3233" s="1140"/>
      <c r="P3233" s="1115"/>
      <c r="Q3233" s="1116"/>
      <c r="R3233" s="1141"/>
      <c r="S3233" s="1113"/>
      <c r="T3233" s="1143"/>
      <c r="U3233" s="1108"/>
      <c r="V3233" s="1108"/>
      <c r="W3233" s="1108"/>
      <c r="X3233" s="1108"/>
      <c r="Y3233" s="1108"/>
      <c r="Z3233" s="1114"/>
      <c r="AA3233" s="1114"/>
      <c r="AB3233" s="1114"/>
      <c r="AC3233" s="1117"/>
      <c r="AD3233" s="1115"/>
      <c r="AE3233" s="1115"/>
      <c r="AF3233" s="1115"/>
      <c r="AG3233" s="1115"/>
      <c r="AH3233" s="1115"/>
      <c r="AI3233" s="1115"/>
      <c r="AJ3233" s="1117"/>
      <c r="AK3233" s="1118"/>
      <c r="AL3233" s="1115"/>
      <c r="AM3233" s="1115"/>
      <c r="AN3233" s="1115"/>
      <c r="AO3233" s="1115"/>
      <c r="AP3233" s="1115"/>
      <c r="AQ3233" s="1115"/>
      <c r="AR3233" s="1115"/>
      <c r="AS3233" s="1117"/>
      <c r="AT3233" s="1075"/>
      <c r="AU3233" s="1193"/>
      <c r="AV3233" s="330"/>
      <c r="AW3233" s="331"/>
      <c r="AX3233" s="331"/>
      <c r="AY3233" s="331"/>
      <c r="AZ3233" s="331"/>
      <c r="BA3233" s="331"/>
      <c r="BB3233" s="331"/>
      <c r="BC3233" s="331"/>
      <c r="BD3233" s="331"/>
      <c r="BE3233" s="333"/>
      <c r="BF3233" s="330"/>
      <c r="BG3233" s="333"/>
      <c r="BH3233" s="1119"/>
      <c r="BI3233" s="319"/>
      <c r="BJ3233" s="319"/>
      <c r="BK3233" s="319"/>
      <c r="BL3233" s="319"/>
      <c r="BM3233" s="319"/>
      <c r="BN3233" s="319"/>
      <c r="BO3233" s="319"/>
      <c r="BP3233" s="953"/>
      <c r="BQ3233" s="319"/>
      <c r="BR3233" s="319"/>
      <c r="BS3233" s="330"/>
      <c r="BT3233" s="331"/>
      <c r="BU3233" s="920"/>
      <c r="BV3233" s="903"/>
      <c r="BW3233" s="908"/>
      <c r="BX3233" s="908"/>
      <c r="BY3233" s="331"/>
      <c r="BZ3233" s="331"/>
      <c r="CA3233" s="462"/>
      <c r="CB3233" s="319"/>
      <c r="CC3233" s="319"/>
      <c r="CD3233" s="319"/>
      <c r="CE3233" s="319"/>
      <c r="CF3233" s="319"/>
      <c r="CG3233" s="319"/>
      <c r="CH3233" s="318"/>
      <c r="CI3233" s="319"/>
      <c r="CJ3233" s="319"/>
      <c r="CK3233" s="342"/>
      <c r="CL3233" s="333"/>
      <c r="CM3233" s="1079"/>
      <c r="CN3233" s="1005"/>
      <c r="CO3233" s="1005"/>
      <c r="CP3233" s="1005"/>
    </row>
    <row r="3234">
      <c r="A3234" s="1257"/>
      <c r="B3234" s="1113"/>
      <c r="C3234" s="1107"/>
      <c r="D3234" s="103"/>
      <c r="E3234" s="1137"/>
      <c r="F3234" s="112"/>
      <c r="G3234" s="1110"/>
      <c r="H3234" s="1138"/>
      <c r="I3234" s="1138"/>
      <c r="J3234" s="1139"/>
      <c r="K3234" s="1111"/>
      <c r="L3234" s="1112"/>
      <c r="M3234" s="1113"/>
      <c r="N3234" s="110"/>
      <c r="O3234" s="1140"/>
      <c r="P3234" s="1115"/>
      <c r="Q3234" s="1116"/>
      <c r="R3234" s="1141"/>
      <c r="S3234" s="1113"/>
      <c r="T3234" s="1143"/>
      <c r="U3234" s="1108"/>
      <c r="V3234" s="1108"/>
      <c r="W3234" s="1108"/>
      <c r="X3234" s="1108"/>
      <c r="Y3234" s="1108"/>
      <c r="Z3234" s="1114"/>
      <c r="AA3234" s="1114"/>
      <c r="AB3234" s="1114"/>
      <c r="AC3234" s="1117"/>
      <c r="AD3234" s="1115"/>
      <c r="AE3234" s="1115"/>
      <c r="AF3234" s="1115"/>
      <c r="AG3234" s="1115"/>
      <c r="AH3234" s="1115"/>
      <c r="AI3234" s="1115"/>
      <c r="AJ3234" s="1117"/>
      <c r="AK3234" s="1118"/>
      <c r="AL3234" s="1115"/>
      <c r="AM3234" s="1115"/>
      <c r="AN3234" s="1115"/>
      <c r="AO3234" s="1115"/>
      <c r="AP3234" s="1115"/>
      <c r="AQ3234" s="1115"/>
      <c r="AR3234" s="1115"/>
      <c r="AS3234" s="1117"/>
      <c r="AT3234" s="1075"/>
      <c r="AU3234" s="1193"/>
      <c r="AV3234" s="330"/>
      <c r="AW3234" s="331"/>
      <c r="AX3234" s="331"/>
      <c r="AY3234" s="331"/>
      <c r="AZ3234" s="331"/>
      <c r="BA3234" s="331"/>
      <c r="BB3234" s="331"/>
      <c r="BC3234" s="331"/>
      <c r="BD3234" s="331"/>
      <c r="BE3234" s="333"/>
      <c r="BF3234" s="330"/>
      <c r="BG3234" s="333"/>
      <c r="BH3234" s="1119"/>
      <c r="BI3234" s="319"/>
      <c r="BJ3234" s="319"/>
      <c r="BK3234" s="319"/>
      <c r="BL3234" s="319"/>
      <c r="BM3234" s="319"/>
      <c r="BN3234" s="319"/>
      <c r="BO3234" s="319"/>
      <c r="BP3234" s="953"/>
      <c r="BQ3234" s="319"/>
      <c r="BR3234" s="319"/>
      <c r="BS3234" s="330"/>
      <c r="BT3234" s="331"/>
      <c r="BU3234" s="920"/>
      <c r="BV3234" s="903"/>
      <c r="BW3234" s="908"/>
      <c r="BX3234" s="908"/>
      <c r="BY3234" s="331"/>
      <c r="BZ3234" s="331"/>
      <c r="CA3234" s="462"/>
      <c r="CB3234" s="319"/>
      <c r="CC3234" s="319"/>
      <c r="CD3234" s="319"/>
      <c r="CE3234" s="319"/>
      <c r="CF3234" s="319"/>
      <c r="CG3234" s="319"/>
      <c r="CH3234" s="318"/>
      <c r="CI3234" s="319"/>
      <c r="CJ3234" s="319"/>
      <c r="CK3234" s="342"/>
      <c r="CL3234" s="333"/>
      <c r="CM3234" s="1079"/>
      <c r="CN3234" s="1005"/>
      <c r="CO3234" s="1005"/>
      <c r="CP3234" s="1005"/>
    </row>
    <row r="3235">
      <c r="A3235" s="1257"/>
      <c r="B3235" s="1113"/>
      <c r="C3235" s="1107"/>
      <c r="D3235" s="103"/>
      <c r="E3235" s="1137"/>
      <c r="F3235" s="112"/>
      <c r="G3235" s="1110"/>
      <c r="H3235" s="1138"/>
      <c r="I3235" s="1138"/>
      <c r="J3235" s="1139"/>
      <c r="K3235" s="1111"/>
      <c r="L3235" s="1112"/>
      <c r="M3235" s="1113"/>
      <c r="N3235" s="110"/>
      <c r="O3235" s="1140"/>
      <c r="P3235" s="1115"/>
      <c r="Q3235" s="1116"/>
      <c r="R3235" s="1141"/>
      <c r="S3235" s="1113"/>
      <c r="T3235" s="1143"/>
      <c r="U3235" s="1108"/>
      <c r="V3235" s="1108"/>
      <c r="W3235" s="1108"/>
      <c r="X3235" s="1108"/>
      <c r="Y3235" s="1108"/>
      <c r="Z3235" s="1114"/>
      <c r="AA3235" s="1114"/>
      <c r="AB3235" s="1114"/>
      <c r="AC3235" s="1117"/>
      <c r="AD3235" s="1115"/>
      <c r="AE3235" s="1115"/>
      <c r="AF3235" s="1115"/>
      <c r="AG3235" s="1115"/>
      <c r="AH3235" s="1115"/>
      <c r="AI3235" s="1115"/>
      <c r="AJ3235" s="1117"/>
      <c r="AK3235" s="1118"/>
      <c r="AL3235" s="1115"/>
      <c r="AM3235" s="1115"/>
      <c r="AN3235" s="1115"/>
      <c r="AO3235" s="1115"/>
      <c r="AP3235" s="1115"/>
      <c r="AQ3235" s="1115"/>
      <c r="AR3235" s="1115"/>
      <c r="AS3235" s="1117"/>
      <c r="AT3235" s="1075"/>
      <c r="AU3235" s="1193"/>
      <c r="AV3235" s="330"/>
      <c r="AW3235" s="331"/>
      <c r="AX3235" s="331"/>
      <c r="AY3235" s="331"/>
      <c r="AZ3235" s="331"/>
      <c r="BA3235" s="331"/>
      <c r="BB3235" s="331"/>
      <c r="BC3235" s="331"/>
      <c r="BD3235" s="331"/>
      <c r="BE3235" s="333"/>
      <c r="BF3235" s="330"/>
      <c r="BG3235" s="333"/>
      <c r="BH3235" s="1119"/>
      <c r="BI3235" s="319"/>
      <c r="BJ3235" s="319"/>
      <c r="BK3235" s="319"/>
      <c r="BL3235" s="319"/>
      <c r="BM3235" s="319"/>
      <c r="BN3235" s="319"/>
      <c r="BO3235" s="319"/>
      <c r="BP3235" s="953"/>
      <c r="BQ3235" s="319"/>
      <c r="BR3235" s="319"/>
      <c r="BS3235" s="330"/>
      <c r="BT3235" s="331"/>
      <c r="BU3235" s="920"/>
      <c r="BV3235" s="903"/>
      <c r="BW3235" s="908"/>
      <c r="BX3235" s="908"/>
      <c r="BY3235" s="331"/>
      <c r="BZ3235" s="331"/>
      <c r="CA3235" s="462"/>
      <c r="CB3235" s="319"/>
      <c r="CC3235" s="319"/>
      <c r="CD3235" s="319"/>
      <c r="CE3235" s="319"/>
      <c r="CF3235" s="319"/>
      <c r="CG3235" s="319"/>
      <c r="CH3235" s="318"/>
      <c r="CI3235" s="319"/>
      <c r="CJ3235" s="319"/>
      <c r="CK3235" s="342"/>
      <c r="CL3235" s="333"/>
      <c r="CM3235" s="1079"/>
      <c r="CN3235" s="1005"/>
      <c r="CO3235" s="1005"/>
      <c r="CP3235" s="1005"/>
    </row>
    <row r="3236">
      <c r="A3236" s="1257"/>
      <c r="B3236" s="1113"/>
      <c r="C3236" s="1107"/>
      <c r="D3236" s="103"/>
      <c r="E3236" s="1137"/>
      <c r="F3236" s="112"/>
      <c r="G3236" s="1110"/>
      <c r="H3236" s="1138"/>
      <c r="I3236" s="1138"/>
      <c r="J3236" s="1139"/>
      <c r="K3236" s="1111"/>
      <c r="L3236" s="1112"/>
      <c r="M3236" s="1113"/>
      <c r="N3236" s="110"/>
      <c r="O3236" s="1140"/>
      <c r="P3236" s="1115"/>
      <c r="Q3236" s="1116"/>
      <c r="R3236" s="1141"/>
      <c r="S3236" s="1113"/>
      <c r="T3236" s="1143"/>
      <c r="U3236" s="1108"/>
      <c r="V3236" s="1108"/>
      <c r="W3236" s="1108"/>
      <c r="X3236" s="1108"/>
      <c r="Y3236" s="1108"/>
      <c r="Z3236" s="1114"/>
      <c r="AA3236" s="1114"/>
      <c r="AB3236" s="1114"/>
      <c r="AC3236" s="1117"/>
      <c r="AD3236" s="1115"/>
      <c r="AE3236" s="1115"/>
      <c r="AF3236" s="1115"/>
      <c r="AG3236" s="1115"/>
      <c r="AH3236" s="1115"/>
      <c r="AI3236" s="1115"/>
      <c r="AJ3236" s="1117"/>
      <c r="AK3236" s="1118"/>
      <c r="AL3236" s="1115"/>
      <c r="AM3236" s="1115"/>
      <c r="AN3236" s="1115"/>
      <c r="AO3236" s="1115"/>
      <c r="AP3236" s="1115"/>
      <c r="AQ3236" s="1115"/>
      <c r="AR3236" s="1115"/>
      <c r="AS3236" s="1117"/>
      <c r="AT3236" s="1075"/>
      <c r="AU3236" s="1193"/>
      <c r="AV3236" s="330"/>
      <c r="AW3236" s="331"/>
      <c r="AX3236" s="331"/>
      <c r="AY3236" s="331"/>
      <c r="AZ3236" s="331"/>
      <c r="BA3236" s="331"/>
      <c r="BB3236" s="331"/>
      <c r="BC3236" s="331"/>
      <c r="BD3236" s="331"/>
      <c r="BE3236" s="333"/>
      <c r="BF3236" s="330"/>
      <c r="BG3236" s="333"/>
      <c r="BH3236" s="1119"/>
      <c r="BI3236" s="319"/>
      <c r="BJ3236" s="319"/>
      <c r="BK3236" s="319"/>
      <c r="BL3236" s="319"/>
      <c r="BM3236" s="319"/>
      <c r="BN3236" s="319"/>
      <c r="BO3236" s="319"/>
      <c r="BP3236" s="953"/>
      <c r="BQ3236" s="319"/>
      <c r="BR3236" s="319"/>
      <c r="BS3236" s="330"/>
      <c r="BT3236" s="331"/>
      <c r="BU3236" s="920"/>
      <c r="BV3236" s="903"/>
      <c r="BW3236" s="908"/>
      <c r="BX3236" s="908"/>
      <c r="BY3236" s="331"/>
      <c r="BZ3236" s="331"/>
      <c r="CA3236" s="462"/>
      <c r="CB3236" s="319"/>
      <c r="CC3236" s="319"/>
      <c r="CD3236" s="319"/>
      <c r="CE3236" s="319"/>
      <c r="CF3236" s="319"/>
      <c r="CG3236" s="319"/>
      <c r="CH3236" s="318"/>
      <c r="CI3236" s="319"/>
      <c r="CJ3236" s="319"/>
      <c r="CK3236" s="342"/>
      <c r="CL3236" s="333"/>
      <c r="CM3236" s="1079"/>
      <c r="CN3236" s="1005"/>
      <c r="CO3236" s="1005"/>
      <c r="CP3236" s="1005"/>
    </row>
    <row r="3237">
      <c r="A3237" s="1257"/>
      <c r="B3237" s="1113"/>
      <c r="C3237" s="1107"/>
      <c r="D3237" s="103"/>
      <c r="E3237" s="1137"/>
      <c r="F3237" s="112"/>
      <c r="G3237" s="1110"/>
      <c r="H3237" s="1138"/>
      <c r="I3237" s="1138"/>
      <c r="J3237" s="1139"/>
      <c r="K3237" s="1111"/>
      <c r="L3237" s="1112"/>
      <c r="M3237" s="1113"/>
      <c r="N3237" s="110"/>
      <c r="O3237" s="1140"/>
      <c r="P3237" s="1115"/>
      <c r="Q3237" s="1116"/>
      <c r="R3237" s="1141"/>
      <c r="S3237" s="1113"/>
      <c r="T3237" s="1143"/>
      <c r="U3237" s="1108"/>
      <c r="V3237" s="1108"/>
      <c r="W3237" s="1108"/>
      <c r="X3237" s="1108"/>
      <c r="Y3237" s="1108"/>
      <c r="Z3237" s="1114"/>
      <c r="AA3237" s="1114"/>
      <c r="AB3237" s="1114"/>
      <c r="AC3237" s="1117"/>
      <c r="AD3237" s="1115"/>
      <c r="AE3237" s="1115"/>
      <c r="AF3237" s="1115"/>
      <c r="AG3237" s="1115"/>
      <c r="AH3237" s="1115"/>
      <c r="AI3237" s="1115"/>
      <c r="AJ3237" s="1117"/>
      <c r="AK3237" s="1118"/>
      <c r="AL3237" s="1115"/>
      <c r="AM3237" s="1115"/>
      <c r="AN3237" s="1115"/>
      <c r="AO3237" s="1115"/>
      <c r="AP3237" s="1115"/>
      <c r="AQ3237" s="1115"/>
      <c r="AR3237" s="1115"/>
      <c r="AS3237" s="1117"/>
      <c r="AT3237" s="1075"/>
      <c r="AU3237" s="1193"/>
      <c r="AV3237" s="330"/>
      <c r="AW3237" s="331"/>
      <c r="AX3237" s="331"/>
      <c r="AY3237" s="331"/>
      <c r="AZ3237" s="331"/>
      <c r="BA3237" s="331"/>
      <c r="BB3237" s="331"/>
      <c r="BC3237" s="331"/>
      <c r="BD3237" s="331"/>
      <c r="BE3237" s="333"/>
      <c r="BF3237" s="330"/>
      <c r="BG3237" s="333"/>
      <c r="BH3237" s="1119"/>
      <c r="BI3237" s="319"/>
      <c r="BJ3237" s="319"/>
      <c r="BK3237" s="319"/>
      <c r="BL3237" s="319"/>
      <c r="BM3237" s="319"/>
      <c r="BN3237" s="319"/>
      <c r="BO3237" s="319"/>
      <c r="BP3237" s="953"/>
      <c r="BQ3237" s="319"/>
      <c r="BR3237" s="319"/>
      <c r="BS3237" s="330"/>
      <c r="BT3237" s="331"/>
      <c r="BU3237" s="920"/>
      <c r="BV3237" s="903"/>
      <c r="BW3237" s="908"/>
      <c r="BX3237" s="908"/>
      <c r="BY3237" s="331"/>
      <c r="BZ3237" s="331"/>
      <c r="CA3237" s="462"/>
      <c r="CB3237" s="319"/>
      <c r="CC3237" s="319"/>
      <c r="CD3237" s="319"/>
      <c r="CE3237" s="319"/>
      <c r="CF3237" s="319"/>
      <c r="CG3237" s="319"/>
      <c r="CH3237" s="318"/>
      <c r="CI3237" s="319"/>
      <c r="CJ3237" s="319"/>
      <c r="CK3237" s="342"/>
      <c r="CL3237" s="333"/>
      <c r="CM3237" s="1079"/>
      <c r="CN3237" s="1005"/>
      <c r="CO3237" s="1005"/>
      <c r="CP3237" s="1005"/>
    </row>
    <row r="3238">
      <c r="A3238" s="1257"/>
      <c r="B3238" s="1113"/>
      <c r="C3238" s="1107"/>
      <c r="D3238" s="103"/>
      <c r="E3238" s="1137"/>
      <c r="F3238" s="112"/>
      <c r="G3238" s="1110"/>
      <c r="H3238" s="1138"/>
      <c r="I3238" s="1138"/>
      <c r="J3238" s="1139"/>
      <c r="K3238" s="1111"/>
      <c r="L3238" s="1112"/>
      <c r="M3238" s="1113"/>
      <c r="N3238" s="110"/>
      <c r="O3238" s="1140"/>
      <c r="P3238" s="1115"/>
      <c r="Q3238" s="1116"/>
      <c r="R3238" s="1141"/>
      <c r="S3238" s="1113"/>
      <c r="T3238" s="1143"/>
      <c r="U3238" s="1108"/>
      <c r="V3238" s="1108"/>
      <c r="W3238" s="1108"/>
      <c r="X3238" s="1108"/>
      <c r="Y3238" s="1108"/>
      <c r="Z3238" s="1114"/>
      <c r="AA3238" s="1114"/>
      <c r="AB3238" s="1114"/>
      <c r="AC3238" s="1117"/>
      <c r="AD3238" s="1115"/>
      <c r="AE3238" s="1115"/>
      <c r="AF3238" s="1115"/>
      <c r="AG3238" s="1115"/>
      <c r="AH3238" s="1115"/>
      <c r="AI3238" s="1115"/>
      <c r="AJ3238" s="1117"/>
      <c r="AK3238" s="1118"/>
      <c r="AL3238" s="1115"/>
      <c r="AM3238" s="1115"/>
      <c r="AN3238" s="1115"/>
      <c r="AO3238" s="1115"/>
      <c r="AP3238" s="1115"/>
      <c r="AQ3238" s="1115"/>
      <c r="AR3238" s="1115"/>
      <c r="AS3238" s="1117"/>
      <c r="AT3238" s="1075"/>
      <c r="AU3238" s="1193"/>
      <c r="AV3238" s="330"/>
      <c r="AW3238" s="331"/>
      <c r="AX3238" s="331"/>
      <c r="AY3238" s="331"/>
      <c r="AZ3238" s="331"/>
      <c r="BA3238" s="331"/>
      <c r="BB3238" s="331"/>
      <c r="BC3238" s="331"/>
      <c r="BD3238" s="331"/>
      <c r="BE3238" s="333"/>
      <c r="BF3238" s="330"/>
      <c r="BG3238" s="333"/>
      <c r="BH3238" s="1119"/>
      <c r="BI3238" s="319"/>
      <c r="BJ3238" s="319"/>
      <c r="BK3238" s="319"/>
      <c r="BL3238" s="319"/>
      <c r="BM3238" s="319"/>
      <c r="BN3238" s="319"/>
      <c r="BO3238" s="319"/>
      <c r="BP3238" s="953"/>
      <c r="BQ3238" s="319"/>
      <c r="BR3238" s="319"/>
      <c r="BS3238" s="330"/>
      <c r="BT3238" s="331"/>
      <c r="BU3238" s="920"/>
      <c r="BV3238" s="903"/>
      <c r="BW3238" s="908"/>
      <c r="BX3238" s="908"/>
      <c r="BY3238" s="331"/>
      <c r="BZ3238" s="331"/>
      <c r="CA3238" s="462"/>
      <c r="CB3238" s="319"/>
      <c r="CC3238" s="319"/>
      <c r="CD3238" s="319"/>
      <c r="CE3238" s="319"/>
      <c r="CF3238" s="319"/>
      <c r="CG3238" s="319"/>
      <c r="CH3238" s="318"/>
      <c r="CI3238" s="319"/>
      <c r="CJ3238" s="319"/>
      <c r="CK3238" s="342"/>
      <c r="CL3238" s="333"/>
      <c r="CM3238" s="1079"/>
      <c r="CN3238" s="1005"/>
      <c r="CO3238" s="1005"/>
      <c r="CP3238" s="1005"/>
    </row>
    <row r="3239">
      <c r="A3239" s="1257"/>
      <c r="B3239" s="1113"/>
      <c r="C3239" s="1107"/>
      <c r="D3239" s="103"/>
      <c r="E3239" s="1137"/>
      <c r="F3239" s="112"/>
      <c r="G3239" s="1110"/>
      <c r="H3239" s="1138"/>
      <c r="I3239" s="1138"/>
      <c r="J3239" s="1139"/>
      <c r="K3239" s="1111"/>
      <c r="L3239" s="1112"/>
      <c r="M3239" s="1113"/>
      <c r="N3239" s="110"/>
      <c r="O3239" s="1140"/>
      <c r="P3239" s="1115"/>
      <c r="Q3239" s="1116"/>
      <c r="R3239" s="1141"/>
      <c r="S3239" s="1113"/>
      <c r="T3239" s="1143"/>
      <c r="U3239" s="1108"/>
      <c r="V3239" s="1108"/>
      <c r="W3239" s="1108"/>
      <c r="X3239" s="1108"/>
      <c r="Y3239" s="1108"/>
      <c r="Z3239" s="1114"/>
      <c r="AA3239" s="1114"/>
      <c r="AB3239" s="1114"/>
      <c r="AC3239" s="1117"/>
      <c r="AD3239" s="1115"/>
      <c r="AE3239" s="1115"/>
      <c r="AF3239" s="1115"/>
      <c r="AG3239" s="1115"/>
      <c r="AH3239" s="1115"/>
      <c r="AI3239" s="1115"/>
      <c r="AJ3239" s="1117"/>
      <c r="AK3239" s="1118"/>
      <c r="AL3239" s="1115"/>
      <c r="AM3239" s="1115"/>
      <c r="AN3239" s="1115"/>
      <c r="AO3239" s="1115"/>
      <c r="AP3239" s="1115"/>
      <c r="AQ3239" s="1115"/>
      <c r="AR3239" s="1115"/>
      <c r="AS3239" s="1117"/>
      <c r="AT3239" s="1075"/>
      <c r="AU3239" s="1193"/>
      <c r="AV3239" s="330"/>
      <c r="AW3239" s="331"/>
      <c r="AX3239" s="331"/>
      <c r="AY3239" s="331"/>
      <c r="AZ3239" s="331"/>
      <c r="BA3239" s="331"/>
      <c r="BB3239" s="331"/>
      <c r="BC3239" s="331"/>
      <c r="BD3239" s="331"/>
      <c r="BE3239" s="333"/>
      <c r="BF3239" s="330"/>
      <c r="BG3239" s="333"/>
      <c r="BH3239" s="1119"/>
      <c r="BI3239" s="319"/>
      <c r="BJ3239" s="319"/>
      <c r="BK3239" s="319"/>
      <c r="BL3239" s="319"/>
      <c r="BM3239" s="319"/>
      <c r="BN3239" s="319"/>
      <c r="BO3239" s="319"/>
      <c r="BP3239" s="953"/>
      <c r="BQ3239" s="319"/>
      <c r="BR3239" s="319"/>
      <c r="BS3239" s="330"/>
      <c r="BT3239" s="331"/>
      <c r="BU3239" s="920"/>
      <c r="BV3239" s="903"/>
      <c r="BW3239" s="908"/>
      <c r="BX3239" s="908"/>
      <c r="BY3239" s="331"/>
      <c r="BZ3239" s="331"/>
      <c r="CA3239" s="462"/>
      <c r="CB3239" s="319"/>
      <c r="CC3239" s="319"/>
      <c r="CD3239" s="319"/>
      <c r="CE3239" s="319"/>
      <c r="CF3239" s="319"/>
      <c r="CG3239" s="319"/>
      <c r="CH3239" s="318"/>
      <c r="CI3239" s="319"/>
      <c r="CJ3239" s="319"/>
      <c r="CK3239" s="342"/>
      <c r="CL3239" s="333"/>
      <c r="CM3239" s="1079"/>
      <c r="CN3239" s="1005"/>
      <c r="CO3239" s="1005"/>
      <c r="CP3239" s="1005"/>
    </row>
    <row r="3240">
      <c r="A3240" s="1257"/>
      <c r="B3240" s="1113"/>
      <c r="C3240" s="1107"/>
      <c r="D3240" s="103"/>
      <c r="E3240" s="1137"/>
      <c r="F3240" s="112"/>
      <c r="G3240" s="1110"/>
      <c r="H3240" s="1138"/>
      <c r="I3240" s="1138"/>
      <c r="J3240" s="1139"/>
      <c r="K3240" s="1111"/>
      <c r="L3240" s="1112"/>
      <c r="M3240" s="1113"/>
      <c r="N3240" s="110"/>
      <c r="O3240" s="1140"/>
      <c r="P3240" s="1115"/>
      <c r="Q3240" s="1116"/>
      <c r="R3240" s="1141"/>
      <c r="S3240" s="1113"/>
      <c r="T3240" s="1143"/>
      <c r="U3240" s="1108"/>
      <c r="V3240" s="1108"/>
      <c r="W3240" s="1108"/>
      <c r="X3240" s="1108"/>
      <c r="Y3240" s="1108"/>
      <c r="Z3240" s="1114"/>
      <c r="AA3240" s="1114"/>
      <c r="AB3240" s="1114"/>
      <c r="AC3240" s="1117"/>
      <c r="AD3240" s="1115"/>
      <c r="AE3240" s="1115"/>
      <c r="AF3240" s="1115"/>
      <c r="AG3240" s="1115"/>
      <c r="AH3240" s="1115"/>
      <c r="AI3240" s="1115"/>
      <c r="AJ3240" s="1117"/>
      <c r="AK3240" s="1118"/>
      <c r="AL3240" s="1115"/>
      <c r="AM3240" s="1115"/>
      <c r="AN3240" s="1115"/>
      <c r="AO3240" s="1115"/>
      <c r="AP3240" s="1115"/>
      <c r="AQ3240" s="1115"/>
      <c r="AR3240" s="1115"/>
      <c r="AS3240" s="1117"/>
      <c r="AT3240" s="1075"/>
      <c r="AU3240" s="1193"/>
      <c r="AV3240" s="330"/>
      <c r="AW3240" s="331"/>
      <c r="AX3240" s="331"/>
      <c r="AY3240" s="331"/>
      <c r="AZ3240" s="331"/>
      <c r="BA3240" s="331"/>
      <c r="BB3240" s="331"/>
      <c r="BC3240" s="331"/>
      <c r="BD3240" s="331"/>
      <c r="BE3240" s="333"/>
      <c r="BF3240" s="330"/>
      <c r="BG3240" s="333"/>
      <c r="BH3240" s="1119"/>
      <c r="BI3240" s="319"/>
      <c r="BJ3240" s="319"/>
      <c r="BK3240" s="319"/>
      <c r="BL3240" s="319"/>
      <c r="BM3240" s="319"/>
      <c r="BN3240" s="319"/>
      <c r="BO3240" s="319"/>
      <c r="BP3240" s="953"/>
      <c r="BQ3240" s="319"/>
      <c r="BR3240" s="319"/>
      <c r="BS3240" s="330"/>
      <c r="BT3240" s="331"/>
      <c r="BU3240" s="920"/>
      <c r="BV3240" s="903"/>
      <c r="BW3240" s="908"/>
      <c r="BX3240" s="908"/>
      <c r="BY3240" s="331"/>
      <c r="BZ3240" s="331"/>
      <c r="CA3240" s="462"/>
      <c r="CB3240" s="319"/>
      <c r="CC3240" s="319"/>
      <c r="CD3240" s="319"/>
      <c r="CE3240" s="319"/>
      <c r="CF3240" s="319"/>
      <c r="CG3240" s="319"/>
      <c r="CH3240" s="318"/>
      <c r="CI3240" s="319"/>
      <c r="CJ3240" s="319"/>
      <c r="CK3240" s="342"/>
      <c r="CL3240" s="333"/>
      <c r="CM3240" s="1079"/>
      <c r="CN3240" s="1005"/>
      <c r="CO3240" s="1005"/>
      <c r="CP3240" s="1005"/>
    </row>
    <row r="3241">
      <c r="A3241" s="1257"/>
      <c r="B3241" s="1113"/>
      <c r="C3241" s="1107"/>
      <c r="D3241" s="103"/>
      <c r="E3241" s="1137"/>
      <c r="F3241" s="112"/>
      <c r="G3241" s="1110"/>
      <c r="H3241" s="1138"/>
      <c r="I3241" s="1138"/>
      <c r="J3241" s="1139"/>
      <c r="K3241" s="1111"/>
      <c r="L3241" s="1112"/>
      <c r="M3241" s="1113"/>
      <c r="N3241" s="110"/>
      <c r="O3241" s="1140"/>
      <c r="P3241" s="1115"/>
      <c r="Q3241" s="1116"/>
      <c r="R3241" s="1141"/>
      <c r="S3241" s="1113"/>
      <c r="T3241" s="1143"/>
      <c r="U3241" s="1108"/>
      <c r="V3241" s="1108"/>
      <c r="W3241" s="1108"/>
      <c r="X3241" s="1108"/>
      <c r="Y3241" s="1108"/>
      <c r="Z3241" s="1114"/>
      <c r="AA3241" s="1114"/>
      <c r="AB3241" s="1114"/>
      <c r="AC3241" s="1117"/>
      <c r="AD3241" s="1115"/>
      <c r="AE3241" s="1115"/>
      <c r="AF3241" s="1115"/>
      <c r="AG3241" s="1115"/>
      <c r="AH3241" s="1115"/>
      <c r="AI3241" s="1115"/>
      <c r="AJ3241" s="1117"/>
      <c r="AK3241" s="1118"/>
      <c r="AL3241" s="1115"/>
      <c r="AM3241" s="1115"/>
      <c r="AN3241" s="1115"/>
      <c r="AO3241" s="1115"/>
      <c r="AP3241" s="1115"/>
      <c r="AQ3241" s="1115"/>
      <c r="AR3241" s="1115"/>
      <c r="AS3241" s="1117"/>
      <c r="AT3241" s="1075"/>
      <c r="AU3241" s="1193"/>
      <c r="AV3241" s="330"/>
      <c r="AW3241" s="331"/>
      <c r="AX3241" s="331"/>
      <c r="AY3241" s="331"/>
      <c r="AZ3241" s="331"/>
      <c r="BA3241" s="331"/>
      <c r="BB3241" s="331"/>
      <c r="BC3241" s="331"/>
      <c r="BD3241" s="331"/>
      <c r="BE3241" s="333"/>
      <c r="BF3241" s="330"/>
      <c r="BG3241" s="333"/>
      <c r="BH3241" s="1119"/>
      <c r="BI3241" s="319"/>
      <c r="BJ3241" s="319"/>
      <c r="BK3241" s="319"/>
      <c r="BL3241" s="319"/>
      <c r="BM3241" s="319"/>
      <c r="BN3241" s="319"/>
      <c r="BO3241" s="319"/>
      <c r="BP3241" s="953"/>
      <c r="BQ3241" s="319"/>
      <c r="BR3241" s="319"/>
      <c r="BS3241" s="330"/>
      <c r="BT3241" s="331"/>
      <c r="BU3241" s="920"/>
      <c r="BV3241" s="903"/>
      <c r="BW3241" s="908"/>
      <c r="BX3241" s="908"/>
      <c r="BY3241" s="331"/>
      <c r="BZ3241" s="331"/>
      <c r="CA3241" s="462"/>
      <c r="CB3241" s="319"/>
      <c r="CC3241" s="319"/>
      <c r="CD3241" s="319"/>
      <c r="CE3241" s="319"/>
      <c r="CF3241" s="319"/>
      <c r="CG3241" s="319"/>
      <c r="CH3241" s="318"/>
      <c r="CI3241" s="319"/>
      <c r="CJ3241" s="319"/>
      <c r="CK3241" s="342"/>
      <c r="CL3241" s="333"/>
      <c r="CM3241" s="1079"/>
      <c r="CN3241" s="1005"/>
      <c r="CO3241" s="1005"/>
      <c r="CP3241" s="1005"/>
    </row>
    <row r="3242">
      <c r="A3242" s="1257"/>
      <c r="B3242" s="1113"/>
      <c r="C3242" s="1107"/>
      <c r="D3242" s="103"/>
      <c r="E3242" s="1137"/>
      <c r="F3242" s="112"/>
      <c r="G3242" s="1110"/>
      <c r="H3242" s="1138"/>
      <c r="I3242" s="1138"/>
      <c r="J3242" s="1139"/>
      <c r="K3242" s="1111"/>
      <c r="L3242" s="1112"/>
      <c r="M3242" s="1113"/>
      <c r="N3242" s="110"/>
      <c r="O3242" s="1140"/>
      <c r="P3242" s="1115"/>
      <c r="Q3242" s="1116"/>
      <c r="R3242" s="1141"/>
      <c r="S3242" s="1113"/>
      <c r="T3242" s="1143"/>
      <c r="U3242" s="1108"/>
      <c r="V3242" s="1108"/>
      <c r="W3242" s="1108"/>
      <c r="X3242" s="1108"/>
      <c r="Y3242" s="1108"/>
      <c r="Z3242" s="1114"/>
      <c r="AA3242" s="1114"/>
      <c r="AB3242" s="1114"/>
      <c r="AC3242" s="1117"/>
      <c r="AD3242" s="1115"/>
      <c r="AE3242" s="1115"/>
      <c r="AF3242" s="1115"/>
      <c r="AG3242" s="1115"/>
      <c r="AH3242" s="1115"/>
      <c r="AI3242" s="1115"/>
      <c r="AJ3242" s="1117"/>
      <c r="AK3242" s="1118"/>
      <c r="AL3242" s="1115"/>
      <c r="AM3242" s="1115"/>
      <c r="AN3242" s="1115"/>
      <c r="AO3242" s="1115"/>
      <c r="AP3242" s="1115"/>
      <c r="AQ3242" s="1115"/>
      <c r="AR3242" s="1115"/>
      <c r="AS3242" s="1117"/>
      <c r="AT3242" s="1075"/>
      <c r="AU3242" s="1193"/>
      <c r="AV3242" s="330"/>
      <c r="AW3242" s="331"/>
      <c r="AX3242" s="331"/>
      <c r="AY3242" s="331"/>
      <c r="AZ3242" s="331"/>
      <c r="BA3242" s="331"/>
      <c r="BB3242" s="331"/>
      <c r="BC3242" s="331"/>
      <c r="BD3242" s="331"/>
      <c r="BE3242" s="333"/>
      <c r="BF3242" s="330"/>
      <c r="BG3242" s="333"/>
      <c r="BH3242" s="1119"/>
      <c r="BI3242" s="319"/>
      <c r="BJ3242" s="319"/>
      <c r="BK3242" s="319"/>
      <c r="BL3242" s="319"/>
      <c r="BM3242" s="319"/>
      <c r="BN3242" s="319"/>
      <c r="BO3242" s="319"/>
      <c r="BP3242" s="953"/>
      <c r="BQ3242" s="319"/>
      <c r="BR3242" s="319"/>
      <c r="BS3242" s="330"/>
      <c r="BT3242" s="331"/>
      <c r="BU3242" s="920"/>
      <c r="BV3242" s="903"/>
      <c r="BW3242" s="908"/>
      <c r="BX3242" s="908"/>
      <c r="BY3242" s="331"/>
      <c r="BZ3242" s="331"/>
      <c r="CA3242" s="462"/>
      <c r="CB3242" s="319"/>
      <c r="CC3242" s="319"/>
      <c r="CD3242" s="319"/>
      <c r="CE3242" s="319"/>
      <c r="CF3242" s="319"/>
      <c r="CG3242" s="319"/>
      <c r="CH3242" s="318"/>
      <c r="CI3242" s="319"/>
      <c r="CJ3242" s="319"/>
      <c r="CK3242" s="342"/>
      <c r="CL3242" s="333"/>
      <c r="CM3242" s="1079"/>
      <c r="CN3242" s="1005"/>
      <c r="CO3242" s="1005"/>
      <c r="CP3242" s="1005"/>
    </row>
    <row r="3243">
      <c r="A3243" s="1257"/>
      <c r="B3243" s="1113"/>
      <c r="C3243" s="1107"/>
      <c r="D3243" s="103"/>
      <c r="E3243" s="1137"/>
      <c r="F3243" s="112"/>
      <c r="G3243" s="1110"/>
      <c r="H3243" s="1138"/>
      <c r="I3243" s="1138"/>
      <c r="J3243" s="1139"/>
      <c r="K3243" s="1111"/>
      <c r="L3243" s="1112"/>
      <c r="M3243" s="1113"/>
      <c r="N3243" s="110"/>
      <c r="O3243" s="1140"/>
      <c r="P3243" s="1115"/>
      <c r="Q3243" s="1116"/>
      <c r="R3243" s="1141"/>
      <c r="S3243" s="1113"/>
      <c r="T3243" s="1143"/>
      <c r="U3243" s="1108"/>
      <c r="V3243" s="1108"/>
      <c r="W3243" s="1108"/>
      <c r="X3243" s="1108"/>
      <c r="Y3243" s="1108"/>
      <c r="Z3243" s="1114"/>
      <c r="AA3243" s="1114"/>
      <c r="AB3243" s="1114"/>
      <c r="AC3243" s="1117"/>
      <c r="AD3243" s="1115"/>
      <c r="AE3243" s="1115"/>
      <c r="AF3243" s="1115"/>
      <c r="AG3243" s="1115"/>
      <c r="AH3243" s="1115"/>
      <c r="AI3243" s="1115"/>
      <c r="AJ3243" s="1117"/>
      <c r="AK3243" s="1118"/>
      <c r="AL3243" s="1115"/>
      <c r="AM3243" s="1115"/>
      <c r="AN3243" s="1115"/>
      <c r="AO3243" s="1115"/>
      <c r="AP3243" s="1115"/>
      <c r="AQ3243" s="1115"/>
      <c r="AR3243" s="1115"/>
      <c r="AS3243" s="1117"/>
      <c r="AT3243" s="1075"/>
      <c r="AU3243" s="1193"/>
      <c r="AV3243" s="330"/>
      <c r="AW3243" s="331"/>
      <c r="AX3243" s="331"/>
      <c r="AY3243" s="331"/>
      <c r="AZ3243" s="331"/>
      <c r="BA3243" s="331"/>
      <c r="BB3243" s="331"/>
      <c r="BC3243" s="331"/>
      <c r="BD3243" s="331"/>
      <c r="BE3243" s="333"/>
      <c r="BF3243" s="330"/>
      <c r="BG3243" s="333"/>
      <c r="BH3243" s="1119"/>
      <c r="BI3243" s="319"/>
      <c r="BJ3243" s="319"/>
      <c r="BK3243" s="319"/>
      <c r="BL3243" s="319"/>
      <c r="BM3243" s="319"/>
      <c r="BN3243" s="319"/>
      <c r="BO3243" s="319"/>
      <c r="BP3243" s="953"/>
      <c r="BQ3243" s="319"/>
      <c r="BR3243" s="319"/>
      <c r="BS3243" s="330"/>
      <c r="BT3243" s="331"/>
      <c r="BU3243" s="920"/>
      <c r="BV3243" s="903"/>
      <c r="BW3243" s="908"/>
      <c r="BX3243" s="908"/>
      <c r="BY3243" s="331"/>
      <c r="BZ3243" s="331"/>
      <c r="CA3243" s="462"/>
      <c r="CB3243" s="319"/>
      <c r="CC3243" s="319"/>
      <c r="CD3243" s="319"/>
      <c r="CE3243" s="319"/>
      <c r="CF3243" s="319"/>
      <c r="CG3243" s="319"/>
      <c r="CH3243" s="318"/>
      <c r="CI3243" s="319"/>
      <c r="CJ3243" s="319"/>
      <c r="CK3243" s="342"/>
      <c r="CL3243" s="333"/>
      <c r="CM3243" s="1079"/>
      <c r="CN3243" s="1005"/>
      <c r="CO3243" s="1005"/>
      <c r="CP3243" s="1005"/>
    </row>
    <row r="3244">
      <c r="A3244" s="1257"/>
      <c r="B3244" s="1113"/>
      <c r="C3244" s="1107"/>
      <c r="D3244" s="103"/>
      <c r="E3244" s="1137"/>
      <c r="F3244" s="112"/>
      <c r="G3244" s="1110"/>
      <c r="H3244" s="1138"/>
      <c r="I3244" s="1138"/>
      <c r="J3244" s="1139"/>
      <c r="K3244" s="1111"/>
      <c r="L3244" s="1112"/>
      <c r="M3244" s="1113"/>
      <c r="N3244" s="110"/>
      <c r="O3244" s="1140"/>
      <c r="P3244" s="1115"/>
      <c r="Q3244" s="1116"/>
      <c r="R3244" s="1141"/>
      <c r="S3244" s="1113"/>
      <c r="T3244" s="1143"/>
      <c r="U3244" s="1108"/>
      <c r="V3244" s="1108"/>
      <c r="W3244" s="1108"/>
      <c r="X3244" s="1108"/>
      <c r="Y3244" s="1108"/>
      <c r="Z3244" s="1114"/>
      <c r="AA3244" s="1114"/>
      <c r="AB3244" s="1114"/>
      <c r="AC3244" s="1117"/>
      <c r="AD3244" s="1115"/>
      <c r="AE3244" s="1115"/>
      <c r="AF3244" s="1115"/>
      <c r="AG3244" s="1115"/>
      <c r="AH3244" s="1115"/>
      <c r="AI3244" s="1115"/>
      <c r="AJ3244" s="1117"/>
      <c r="AK3244" s="1118"/>
      <c r="AL3244" s="1115"/>
      <c r="AM3244" s="1115"/>
      <c r="AN3244" s="1115"/>
      <c r="AO3244" s="1115"/>
      <c r="AP3244" s="1115"/>
      <c r="AQ3244" s="1115"/>
      <c r="AR3244" s="1115"/>
      <c r="AS3244" s="1117"/>
      <c r="AT3244" s="1075"/>
      <c r="AU3244" s="1193"/>
      <c r="AV3244" s="330"/>
      <c r="AW3244" s="331"/>
      <c r="AX3244" s="331"/>
      <c r="AY3244" s="331"/>
      <c r="AZ3244" s="331"/>
      <c r="BA3244" s="331"/>
      <c r="BB3244" s="331"/>
      <c r="BC3244" s="331"/>
      <c r="BD3244" s="331"/>
      <c r="BE3244" s="333"/>
      <c r="BF3244" s="330"/>
      <c r="BG3244" s="333"/>
      <c r="BH3244" s="1119"/>
      <c r="BI3244" s="319"/>
      <c r="BJ3244" s="319"/>
      <c r="BK3244" s="319"/>
      <c r="BL3244" s="319"/>
      <c r="BM3244" s="319"/>
      <c r="BN3244" s="319"/>
      <c r="BO3244" s="319"/>
      <c r="BP3244" s="953"/>
      <c r="BQ3244" s="319"/>
      <c r="BR3244" s="319"/>
      <c r="BS3244" s="330"/>
      <c r="BT3244" s="331"/>
      <c r="BU3244" s="920"/>
      <c r="BV3244" s="903"/>
      <c r="BW3244" s="908"/>
      <c r="BX3244" s="908"/>
      <c r="BY3244" s="331"/>
      <c r="BZ3244" s="331"/>
      <c r="CA3244" s="462"/>
      <c r="CB3244" s="319"/>
      <c r="CC3244" s="319"/>
      <c r="CD3244" s="319"/>
      <c r="CE3244" s="319"/>
      <c r="CF3244" s="319"/>
      <c r="CG3244" s="319"/>
      <c r="CH3244" s="318"/>
      <c r="CI3244" s="319"/>
      <c r="CJ3244" s="319"/>
      <c r="CK3244" s="342"/>
      <c r="CL3244" s="333"/>
      <c r="CM3244" s="1079"/>
      <c r="CN3244" s="1005"/>
      <c r="CO3244" s="1005"/>
      <c r="CP3244" s="1005"/>
    </row>
    <row r="3245">
      <c r="A3245" s="1257"/>
      <c r="B3245" s="1113"/>
      <c r="C3245" s="1107"/>
      <c r="D3245" s="103"/>
      <c r="E3245" s="1137"/>
      <c r="F3245" s="112"/>
      <c r="G3245" s="1110"/>
      <c r="H3245" s="1138"/>
      <c r="I3245" s="1138"/>
      <c r="J3245" s="1139"/>
      <c r="K3245" s="1111"/>
      <c r="L3245" s="1112"/>
      <c r="M3245" s="1113"/>
      <c r="N3245" s="110"/>
      <c r="O3245" s="1140"/>
      <c r="P3245" s="1115"/>
      <c r="Q3245" s="1116"/>
      <c r="R3245" s="1141"/>
      <c r="S3245" s="1113"/>
      <c r="T3245" s="1143"/>
      <c r="U3245" s="1108"/>
      <c r="V3245" s="1108"/>
      <c r="W3245" s="1108"/>
      <c r="X3245" s="1108"/>
      <c r="Y3245" s="1108"/>
      <c r="Z3245" s="1114"/>
      <c r="AA3245" s="1114"/>
      <c r="AB3245" s="1114"/>
      <c r="AC3245" s="1117"/>
      <c r="AD3245" s="1115"/>
      <c r="AE3245" s="1115"/>
      <c r="AF3245" s="1115"/>
      <c r="AG3245" s="1115"/>
      <c r="AH3245" s="1115"/>
      <c r="AI3245" s="1115"/>
      <c r="AJ3245" s="1117"/>
      <c r="AK3245" s="1118"/>
      <c r="AL3245" s="1115"/>
      <c r="AM3245" s="1115"/>
      <c r="AN3245" s="1115"/>
      <c r="AO3245" s="1115"/>
      <c r="AP3245" s="1115"/>
      <c r="AQ3245" s="1115"/>
      <c r="AR3245" s="1115"/>
      <c r="AS3245" s="1117"/>
      <c r="AT3245" s="1075"/>
      <c r="AU3245" s="1193"/>
      <c r="AV3245" s="330"/>
      <c r="AW3245" s="331"/>
      <c r="AX3245" s="331"/>
      <c r="AY3245" s="331"/>
      <c r="AZ3245" s="331"/>
      <c r="BA3245" s="331"/>
      <c r="BB3245" s="331"/>
      <c r="BC3245" s="331"/>
      <c r="BD3245" s="331"/>
      <c r="BE3245" s="333"/>
      <c r="BF3245" s="330"/>
      <c r="BG3245" s="333"/>
      <c r="BH3245" s="1119"/>
      <c r="BI3245" s="319"/>
      <c r="BJ3245" s="319"/>
      <c r="BK3245" s="319"/>
      <c r="BL3245" s="319"/>
      <c r="BM3245" s="319"/>
      <c r="BN3245" s="319"/>
      <c r="BO3245" s="319"/>
      <c r="BP3245" s="953"/>
      <c r="BQ3245" s="319"/>
      <c r="BR3245" s="319"/>
      <c r="BS3245" s="330"/>
      <c r="BT3245" s="331"/>
      <c r="BU3245" s="920"/>
      <c r="BV3245" s="903"/>
      <c r="BW3245" s="908"/>
      <c r="BX3245" s="908"/>
      <c r="BY3245" s="331"/>
      <c r="BZ3245" s="331"/>
      <c r="CA3245" s="462"/>
      <c r="CB3245" s="319"/>
      <c r="CC3245" s="319"/>
      <c r="CD3245" s="319"/>
      <c r="CE3245" s="319"/>
      <c r="CF3245" s="319"/>
      <c r="CG3245" s="319"/>
      <c r="CH3245" s="318"/>
      <c r="CI3245" s="319"/>
      <c r="CJ3245" s="319"/>
      <c r="CK3245" s="342"/>
      <c r="CL3245" s="333"/>
      <c r="CM3245" s="1079"/>
      <c r="CN3245" s="1005"/>
      <c r="CO3245" s="1005"/>
      <c r="CP3245" s="1005"/>
    </row>
    <row r="3246">
      <c r="A3246" s="1257"/>
      <c r="B3246" s="1113"/>
      <c r="C3246" s="1107"/>
      <c r="D3246" s="103"/>
      <c r="E3246" s="1137"/>
      <c r="F3246" s="112"/>
      <c r="G3246" s="1110"/>
      <c r="H3246" s="1138"/>
      <c r="I3246" s="1138"/>
      <c r="J3246" s="1139"/>
      <c r="K3246" s="1111"/>
      <c r="L3246" s="1112"/>
      <c r="M3246" s="1113"/>
      <c r="N3246" s="110"/>
      <c r="O3246" s="1140"/>
      <c r="P3246" s="1115"/>
      <c r="Q3246" s="1116"/>
      <c r="R3246" s="1141"/>
      <c r="S3246" s="1113"/>
      <c r="T3246" s="1143"/>
      <c r="U3246" s="1108"/>
      <c r="V3246" s="1108"/>
      <c r="W3246" s="1108"/>
      <c r="X3246" s="1108"/>
      <c r="Y3246" s="1108"/>
      <c r="Z3246" s="1114"/>
      <c r="AA3246" s="1114"/>
      <c r="AB3246" s="1114"/>
      <c r="AC3246" s="1117"/>
      <c r="AD3246" s="1115"/>
      <c r="AE3246" s="1115"/>
      <c r="AF3246" s="1115"/>
      <c r="AG3246" s="1115"/>
      <c r="AH3246" s="1115"/>
      <c r="AI3246" s="1115"/>
      <c r="AJ3246" s="1117"/>
      <c r="AK3246" s="1118"/>
      <c r="AL3246" s="1115"/>
      <c r="AM3246" s="1115"/>
      <c r="AN3246" s="1115"/>
      <c r="AO3246" s="1115"/>
      <c r="AP3246" s="1115"/>
      <c r="AQ3246" s="1115"/>
      <c r="AR3246" s="1115"/>
      <c r="AS3246" s="1117"/>
      <c r="AT3246" s="1075"/>
      <c r="AU3246" s="1193"/>
      <c r="AV3246" s="330"/>
      <c r="AW3246" s="331"/>
      <c r="AX3246" s="331"/>
      <c r="AY3246" s="331"/>
      <c r="AZ3246" s="331"/>
      <c r="BA3246" s="331"/>
      <c r="BB3246" s="331"/>
      <c r="BC3246" s="331"/>
      <c r="BD3246" s="331"/>
      <c r="BE3246" s="333"/>
      <c r="BF3246" s="330"/>
      <c r="BG3246" s="333"/>
      <c r="BH3246" s="1119"/>
      <c r="BI3246" s="319"/>
      <c r="BJ3246" s="319"/>
      <c r="BK3246" s="319"/>
      <c r="BL3246" s="319"/>
      <c r="BM3246" s="319"/>
      <c r="BN3246" s="319"/>
      <c r="BO3246" s="319"/>
      <c r="BP3246" s="953"/>
      <c r="BQ3246" s="319"/>
      <c r="BR3246" s="319"/>
      <c r="BS3246" s="330"/>
      <c r="BT3246" s="331"/>
      <c r="BU3246" s="920"/>
      <c r="BV3246" s="903"/>
      <c r="BW3246" s="908"/>
      <c r="BX3246" s="908"/>
      <c r="BY3246" s="331"/>
      <c r="BZ3246" s="331"/>
      <c r="CA3246" s="462"/>
      <c r="CB3246" s="319"/>
      <c r="CC3246" s="319"/>
      <c r="CD3246" s="319"/>
      <c r="CE3246" s="319"/>
      <c r="CF3246" s="319"/>
      <c r="CG3246" s="319"/>
      <c r="CH3246" s="318"/>
      <c r="CI3246" s="319"/>
      <c r="CJ3246" s="319"/>
      <c r="CK3246" s="342"/>
      <c r="CL3246" s="333"/>
      <c r="CM3246" s="1079"/>
      <c r="CN3246" s="1005"/>
      <c r="CO3246" s="1005"/>
      <c r="CP3246" s="1005"/>
    </row>
    <row r="3247">
      <c r="A3247" s="1257"/>
      <c r="B3247" s="1113"/>
      <c r="C3247" s="1107"/>
      <c r="D3247" s="103"/>
      <c r="E3247" s="1137"/>
      <c r="F3247" s="112"/>
      <c r="G3247" s="1110"/>
      <c r="H3247" s="1138"/>
      <c r="I3247" s="1138"/>
      <c r="J3247" s="1139"/>
      <c r="K3247" s="1111"/>
      <c r="L3247" s="1112"/>
      <c r="M3247" s="1113"/>
      <c r="N3247" s="110"/>
      <c r="O3247" s="1140"/>
      <c r="P3247" s="1115"/>
      <c r="Q3247" s="1116"/>
      <c r="R3247" s="1141"/>
      <c r="S3247" s="1113"/>
      <c r="T3247" s="1143"/>
      <c r="U3247" s="1108"/>
      <c r="V3247" s="1108"/>
      <c r="W3247" s="1108"/>
      <c r="X3247" s="1108"/>
      <c r="Y3247" s="1108"/>
      <c r="Z3247" s="1114"/>
      <c r="AA3247" s="1114"/>
      <c r="AB3247" s="1114"/>
      <c r="AC3247" s="1117"/>
      <c r="AD3247" s="1115"/>
      <c r="AE3247" s="1115"/>
      <c r="AF3247" s="1115"/>
      <c r="AG3247" s="1115"/>
      <c r="AH3247" s="1115"/>
      <c r="AI3247" s="1115"/>
      <c r="AJ3247" s="1117"/>
      <c r="AK3247" s="1118"/>
      <c r="AL3247" s="1115"/>
      <c r="AM3247" s="1115"/>
      <c r="AN3247" s="1115"/>
      <c r="AO3247" s="1115"/>
      <c r="AP3247" s="1115"/>
      <c r="AQ3247" s="1115"/>
      <c r="AR3247" s="1115"/>
      <c r="AS3247" s="1117"/>
      <c r="AT3247" s="1075"/>
      <c r="AU3247" s="1193"/>
      <c r="AV3247" s="330"/>
      <c r="AW3247" s="331"/>
      <c r="AX3247" s="331"/>
      <c r="AY3247" s="331"/>
      <c r="AZ3247" s="331"/>
      <c r="BA3247" s="331"/>
      <c r="BB3247" s="331"/>
      <c r="BC3247" s="331"/>
      <c r="BD3247" s="331"/>
      <c r="BE3247" s="333"/>
      <c r="BF3247" s="330"/>
      <c r="BG3247" s="333"/>
      <c r="BH3247" s="1119"/>
      <c r="BI3247" s="319"/>
      <c r="BJ3247" s="319"/>
      <c r="BK3247" s="319"/>
      <c r="BL3247" s="319"/>
      <c r="BM3247" s="319"/>
      <c r="BN3247" s="319"/>
      <c r="BO3247" s="319"/>
      <c r="BP3247" s="953"/>
      <c r="BQ3247" s="319"/>
      <c r="BR3247" s="319"/>
      <c r="BS3247" s="330"/>
      <c r="BT3247" s="331"/>
      <c r="BU3247" s="920"/>
      <c r="BV3247" s="903"/>
      <c r="BW3247" s="908"/>
      <c r="BX3247" s="908"/>
      <c r="BY3247" s="331"/>
      <c r="BZ3247" s="331"/>
      <c r="CA3247" s="462"/>
      <c r="CB3247" s="319"/>
      <c r="CC3247" s="319"/>
      <c r="CD3247" s="319"/>
      <c r="CE3247" s="319"/>
      <c r="CF3247" s="319"/>
      <c r="CG3247" s="319"/>
      <c r="CH3247" s="318"/>
      <c r="CI3247" s="319"/>
      <c r="CJ3247" s="319"/>
      <c r="CK3247" s="342"/>
      <c r="CL3247" s="333"/>
      <c r="CM3247" s="1079"/>
      <c r="CN3247" s="1005"/>
      <c r="CO3247" s="1005"/>
      <c r="CP3247" s="1005"/>
    </row>
    <row r="3248">
      <c r="A3248" s="1257"/>
      <c r="B3248" s="1113"/>
      <c r="C3248" s="1107"/>
      <c r="D3248" s="103"/>
      <c r="E3248" s="1137"/>
      <c r="F3248" s="112"/>
      <c r="G3248" s="1110"/>
      <c r="H3248" s="1138"/>
      <c r="I3248" s="1138"/>
      <c r="J3248" s="1139"/>
      <c r="K3248" s="1111"/>
      <c r="L3248" s="1112"/>
      <c r="M3248" s="1113"/>
      <c r="N3248" s="110"/>
      <c r="O3248" s="1140"/>
      <c r="P3248" s="1115"/>
      <c r="Q3248" s="1116"/>
      <c r="R3248" s="1141"/>
      <c r="S3248" s="1113"/>
      <c r="T3248" s="1143"/>
      <c r="U3248" s="1108"/>
      <c r="V3248" s="1108"/>
      <c r="W3248" s="1108"/>
      <c r="X3248" s="1108"/>
      <c r="Y3248" s="1108"/>
      <c r="Z3248" s="1114"/>
      <c r="AA3248" s="1114"/>
      <c r="AB3248" s="1114"/>
      <c r="AC3248" s="1117"/>
      <c r="AD3248" s="1115"/>
      <c r="AE3248" s="1115"/>
      <c r="AF3248" s="1115"/>
      <c r="AG3248" s="1115"/>
      <c r="AH3248" s="1115"/>
      <c r="AI3248" s="1115"/>
      <c r="AJ3248" s="1117"/>
      <c r="AK3248" s="1118"/>
      <c r="AL3248" s="1115"/>
      <c r="AM3248" s="1115"/>
      <c r="AN3248" s="1115"/>
      <c r="AO3248" s="1115"/>
      <c r="AP3248" s="1115"/>
      <c r="AQ3248" s="1115"/>
      <c r="AR3248" s="1115"/>
      <c r="AS3248" s="1117"/>
      <c r="AT3248" s="1075"/>
      <c r="AU3248" s="1193"/>
      <c r="AV3248" s="330"/>
      <c r="AW3248" s="331"/>
      <c r="AX3248" s="331"/>
      <c r="AY3248" s="331"/>
      <c r="AZ3248" s="331"/>
      <c r="BA3248" s="331"/>
      <c r="BB3248" s="331"/>
      <c r="BC3248" s="331"/>
      <c r="BD3248" s="331"/>
      <c r="BE3248" s="333"/>
      <c r="BF3248" s="330"/>
      <c r="BG3248" s="333"/>
      <c r="BH3248" s="1119"/>
      <c r="BI3248" s="319"/>
      <c r="BJ3248" s="319"/>
      <c r="BK3248" s="319"/>
      <c r="BL3248" s="319"/>
      <c r="BM3248" s="319"/>
      <c r="BN3248" s="319"/>
      <c r="BO3248" s="319"/>
      <c r="BP3248" s="953"/>
      <c r="BQ3248" s="319"/>
      <c r="BR3248" s="319"/>
      <c r="BS3248" s="330"/>
      <c r="BT3248" s="331"/>
      <c r="BU3248" s="920"/>
      <c r="BV3248" s="903"/>
      <c r="BW3248" s="908"/>
      <c r="BX3248" s="908"/>
      <c r="BY3248" s="331"/>
      <c r="BZ3248" s="331"/>
      <c r="CA3248" s="462"/>
      <c r="CB3248" s="319"/>
      <c r="CC3248" s="319"/>
      <c r="CD3248" s="319"/>
      <c r="CE3248" s="319"/>
      <c r="CF3248" s="319"/>
      <c r="CG3248" s="319"/>
      <c r="CH3248" s="318"/>
      <c r="CI3248" s="319"/>
      <c r="CJ3248" s="319"/>
      <c r="CK3248" s="342"/>
      <c r="CL3248" s="333"/>
      <c r="CM3248" s="1079"/>
      <c r="CN3248" s="1005"/>
      <c r="CO3248" s="1005"/>
      <c r="CP3248" s="1005"/>
    </row>
    <row r="3249">
      <c r="A3249" s="1257"/>
      <c r="B3249" s="1113"/>
      <c r="C3249" s="1107"/>
      <c r="D3249" s="103"/>
      <c r="E3249" s="1137"/>
      <c r="F3249" s="112"/>
      <c r="G3249" s="1110"/>
      <c r="H3249" s="1138"/>
      <c r="I3249" s="1138"/>
      <c r="J3249" s="1139"/>
      <c r="K3249" s="1111"/>
      <c r="L3249" s="1112"/>
      <c r="M3249" s="1113"/>
      <c r="N3249" s="110"/>
      <c r="O3249" s="1140"/>
      <c r="P3249" s="1115"/>
      <c r="Q3249" s="1116"/>
      <c r="R3249" s="1141"/>
      <c r="S3249" s="1113"/>
      <c r="T3249" s="1143"/>
      <c r="U3249" s="1108"/>
      <c r="V3249" s="1108"/>
      <c r="W3249" s="1108"/>
      <c r="X3249" s="1108"/>
      <c r="Y3249" s="1108"/>
      <c r="Z3249" s="1114"/>
      <c r="AA3249" s="1114"/>
      <c r="AB3249" s="1114"/>
      <c r="AC3249" s="1117"/>
      <c r="AD3249" s="1115"/>
      <c r="AE3249" s="1115"/>
      <c r="AF3249" s="1115"/>
      <c r="AG3249" s="1115"/>
      <c r="AH3249" s="1115"/>
      <c r="AI3249" s="1115"/>
      <c r="AJ3249" s="1117"/>
      <c r="AK3249" s="1118"/>
      <c r="AL3249" s="1115"/>
      <c r="AM3249" s="1115"/>
      <c r="AN3249" s="1115"/>
      <c r="AO3249" s="1115"/>
      <c r="AP3249" s="1115"/>
      <c r="AQ3249" s="1115"/>
      <c r="AR3249" s="1115"/>
      <c r="AS3249" s="1117"/>
      <c r="AT3249" s="1075"/>
      <c r="AU3249" s="1193"/>
      <c r="AV3249" s="330"/>
      <c r="AW3249" s="331"/>
      <c r="AX3249" s="331"/>
      <c r="AY3249" s="331"/>
      <c r="AZ3249" s="331"/>
      <c r="BA3249" s="331"/>
      <c r="BB3249" s="331"/>
      <c r="BC3249" s="331"/>
      <c r="BD3249" s="331"/>
      <c r="BE3249" s="333"/>
      <c r="BF3249" s="330"/>
      <c r="BG3249" s="333"/>
      <c r="BH3249" s="1119"/>
      <c r="BI3249" s="319"/>
      <c r="BJ3249" s="319"/>
      <c r="BK3249" s="319"/>
      <c r="BL3249" s="319"/>
      <c r="BM3249" s="319"/>
      <c r="BN3249" s="319"/>
      <c r="BO3249" s="319"/>
      <c r="BP3249" s="953"/>
      <c r="BQ3249" s="319"/>
      <c r="BR3249" s="319"/>
      <c r="BS3249" s="330"/>
      <c r="BT3249" s="331"/>
      <c r="BU3249" s="920"/>
      <c r="BV3249" s="903"/>
      <c r="BW3249" s="908"/>
      <c r="BX3249" s="908"/>
      <c r="BY3249" s="331"/>
      <c r="BZ3249" s="331"/>
      <c r="CA3249" s="462"/>
      <c r="CB3249" s="319"/>
      <c r="CC3249" s="319"/>
      <c r="CD3249" s="319"/>
      <c r="CE3249" s="319"/>
      <c r="CF3249" s="319"/>
      <c r="CG3249" s="319"/>
      <c r="CH3249" s="318"/>
      <c r="CI3249" s="319"/>
      <c r="CJ3249" s="319"/>
      <c r="CK3249" s="342"/>
      <c r="CL3249" s="333"/>
      <c r="CM3249" s="1079"/>
      <c r="CN3249" s="1005"/>
      <c r="CO3249" s="1005"/>
      <c r="CP3249" s="1005"/>
    </row>
    <row r="3250">
      <c r="A3250" s="1257"/>
      <c r="B3250" s="1113"/>
      <c r="C3250" s="1107"/>
      <c r="D3250" s="103"/>
      <c r="E3250" s="1137"/>
      <c r="F3250" s="112"/>
      <c r="G3250" s="1110"/>
      <c r="H3250" s="1138"/>
      <c r="I3250" s="1138"/>
      <c r="J3250" s="1139"/>
      <c r="K3250" s="1111"/>
      <c r="L3250" s="1112"/>
      <c r="M3250" s="1113"/>
      <c r="N3250" s="110"/>
      <c r="O3250" s="1140"/>
      <c r="P3250" s="1115"/>
      <c r="Q3250" s="1116"/>
      <c r="R3250" s="1141"/>
      <c r="S3250" s="1113"/>
      <c r="T3250" s="1143"/>
      <c r="U3250" s="1108"/>
      <c r="V3250" s="1108"/>
      <c r="W3250" s="1108"/>
      <c r="X3250" s="1108"/>
      <c r="Y3250" s="1108"/>
      <c r="Z3250" s="1114"/>
      <c r="AA3250" s="1114"/>
      <c r="AB3250" s="1114"/>
      <c r="AC3250" s="1117"/>
      <c r="AD3250" s="1115"/>
      <c r="AE3250" s="1115"/>
      <c r="AF3250" s="1115"/>
      <c r="AG3250" s="1115"/>
      <c r="AH3250" s="1115"/>
      <c r="AI3250" s="1115"/>
      <c r="AJ3250" s="1117"/>
      <c r="AK3250" s="1118"/>
      <c r="AL3250" s="1115"/>
      <c r="AM3250" s="1115"/>
      <c r="AN3250" s="1115"/>
      <c r="AO3250" s="1115"/>
      <c r="AP3250" s="1115"/>
      <c r="AQ3250" s="1115"/>
      <c r="AR3250" s="1115"/>
      <c r="AS3250" s="1117"/>
      <c r="AT3250" s="1075"/>
      <c r="AU3250" s="1193"/>
      <c r="AV3250" s="330"/>
      <c r="AW3250" s="331"/>
      <c r="AX3250" s="331"/>
      <c r="AY3250" s="331"/>
      <c r="AZ3250" s="331"/>
      <c r="BA3250" s="331"/>
      <c r="BB3250" s="331"/>
      <c r="BC3250" s="331"/>
      <c r="BD3250" s="331"/>
      <c r="BE3250" s="333"/>
      <c r="BF3250" s="330"/>
      <c r="BG3250" s="333"/>
      <c r="BH3250" s="1119"/>
      <c r="BI3250" s="319"/>
      <c r="BJ3250" s="319"/>
      <c r="BK3250" s="319"/>
      <c r="BL3250" s="319"/>
      <c r="BM3250" s="319"/>
      <c r="BN3250" s="319"/>
      <c r="BO3250" s="319"/>
      <c r="BP3250" s="953"/>
      <c r="BQ3250" s="319"/>
      <c r="BR3250" s="319"/>
      <c r="BS3250" s="330"/>
      <c r="BT3250" s="331"/>
      <c r="BU3250" s="920"/>
      <c r="BV3250" s="903"/>
      <c r="BW3250" s="908"/>
      <c r="BX3250" s="908"/>
      <c r="BY3250" s="331"/>
      <c r="BZ3250" s="331"/>
      <c r="CA3250" s="462"/>
      <c r="CB3250" s="319"/>
      <c r="CC3250" s="319"/>
      <c r="CD3250" s="319"/>
      <c r="CE3250" s="319"/>
      <c r="CF3250" s="319"/>
      <c r="CG3250" s="319"/>
      <c r="CH3250" s="318"/>
      <c r="CI3250" s="319"/>
      <c r="CJ3250" s="319"/>
      <c r="CK3250" s="342"/>
      <c r="CL3250" s="333"/>
      <c r="CM3250" s="1079"/>
      <c r="CN3250" s="1005"/>
      <c r="CO3250" s="1005"/>
      <c r="CP3250" s="1005"/>
    </row>
    <row r="3251">
      <c r="A3251" s="1257"/>
      <c r="B3251" s="1113"/>
      <c r="C3251" s="1107"/>
      <c r="D3251" s="103"/>
      <c r="E3251" s="1137"/>
      <c r="F3251" s="112"/>
      <c r="G3251" s="1110"/>
      <c r="H3251" s="1138"/>
      <c r="I3251" s="1138"/>
      <c r="J3251" s="1139"/>
      <c r="K3251" s="1111"/>
      <c r="L3251" s="1112"/>
      <c r="M3251" s="1113"/>
      <c r="N3251" s="110"/>
      <c r="O3251" s="1140"/>
      <c r="P3251" s="1115"/>
      <c r="Q3251" s="1116"/>
      <c r="R3251" s="1141"/>
      <c r="S3251" s="1113"/>
      <c r="T3251" s="1143"/>
      <c r="U3251" s="1108"/>
      <c r="V3251" s="1108"/>
      <c r="W3251" s="1108"/>
      <c r="X3251" s="1108"/>
      <c r="Y3251" s="1108"/>
      <c r="Z3251" s="1114"/>
      <c r="AA3251" s="1114"/>
      <c r="AB3251" s="1114"/>
      <c r="AC3251" s="1117"/>
      <c r="AD3251" s="1115"/>
      <c r="AE3251" s="1115"/>
      <c r="AF3251" s="1115"/>
      <c r="AG3251" s="1115"/>
      <c r="AH3251" s="1115"/>
      <c r="AI3251" s="1115"/>
      <c r="AJ3251" s="1117"/>
      <c r="AK3251" s="1118"/>
      <c r="AL3251" s="1115"/>
      <c r="AM3251" s="1115"/>
      <c r="AN3251" s="1115"/>
      <c r="AO3251" s="1115"/>
      <c r="AP3251" s="1115"/>
      <c r="AQ3251" s="1115"/>
      <c r="AR3251" s="1115"/>
      <c r="AS3251" s="1117"/>
      <c r="AT3251" s="1075"/>
      <c r="AU3251" s="1193"/>
      <c r="AV3251" s="330"/>
      <c r="AW3251" s="331"/>
      <c r="AX3251" s="331"/>
      <c r="AY3251" s="331"/>
      <c r="AZ3251" s="331"/>
      <c r="BA3251" s="331"/>
      <c r="BB3251" s="331"/>
      <c r="BC3251" s="331"/>
      <c r="BD3251" s="331"/>
      <c r="BE3251" s="333"/>
      <c r="BF3251" s="330"/>
      <c r="BG3251" s="333"/>
      <c r="BH3251" s="1119"/>
      <c r="BI3251" s="319"/>
      <c r="BJ3251" s="319"/>
      <c r="BK3251" s="319"/>
      <c r="BL3251" s="319"/>
      <c r="BM3251" s="319"/>
      <c r="BN3251" s="319"/>
      <c r="BO3251" s="319"/>
      <c r="BP3251" s="953"/>
      <c r="BQ3251" s="319"/>
      <c r="BR3251" s="319"/>
      <c r="BS3251" s="330"/>
      <c r="BT3251" s="331"/>
      <c r="BU3251" s="920"/>
      <c r="BV3251" s="903"/>
      <c r="BW3251" s="908"/>
      <c r="BX3251" s="908"/>
      <c r="BY3251" s="331"/>
      <c r="BZ3251" s="331"/>
      <c r="CA3251" s="462"/>
      <c r="CB3251" s="319"/>
      <c r="CC3251" s="319"/>
      <c r="CD3251" s="319"/>
      <c r="CE3251" s="319"/>
      <c r="CF3251" s="319"/>
      <c r="CG3251" s="319"/>
      <c r="CH3251" s="318"/>
      <c r="CI3251" s="319"/>
      <c r="CJ3251" s="319"/>
      <c r="CK3251" s="342"/>
      <c r="CL3251" s="333"/>
      <c r="CM3251" s="1079"/>
      <c r="CN3251" s="1005"/>
      <c r="CO3251" s="1005"/>
      <c r="CP3251" s="1005"/>
    </row>
    <row r="3252">
      <c r="A3252" s="1257"/>
      <c r="B3252" s="1113"/>
      <c r="C3252" s="1107"/>
      <c r="D3252" s="103"/>
      <c r="E3252" s="1137"/>
      <c r="F3252" s="112"/>
      <c r="G3252" s="1110"/>
      <c r="H3252" s="1138"/>
      <c r="I3252" s="1138"/>
      <c r="J3252" s="1139"/>
      <c r="K3252" s="1111"/>
      <c r="L3252" s="1112"/>
      <c r="M3252" s="1113"/>
      <c r="N3252" s="110"/>
      <c r="O3252" s="1140"/>
      <c r="P3252" s="1115"/>
      <c r="Q3252" s="1116"/>
      <c r="R3252" s="1141"/>
      <c r="S3252" s="1113"/>
      <c r="T3252" s="1143"/>
      <c r="U3252" s="1108"/>
      <c r="V3252" s="1108"/>
      <c r="W3252" s="1108"/>
      <c r="X3252" s="1108"/>
      <c r="Y3252" s="1108"/>
      <c r="Z3252" s="1114"/>
      <c r="AA3252" s="1114"/>
      <c r="AB3252" s="1114"/>
      <c r="AC3252" s="1117"/>
      <c r="AD3252" s="1115"/>
      <c r="AE3252" s="1115"/>
      <c r="AF3252" s="1115"/>
      <c r="AG3252" s="1115"/>
      <c r="AH3252" s="1115"/>
      <c r="AI3252" s="1115"/>
      <c r="AJ3252" s="1117"/>
      <c r="AK3252" s="1118"/>
      <c r="AL3252" s="1115"/>
      <c r="AM3252" s="1115"/>
      <c r="AN3252" s="1115"/>
      <c r="AO3252" s="1115"/>
      <c r="AP3252" s="1115"/>
      <c r="AQ3252" s="1115"/>
      <c r="AR3252" s="1115"/>
      <c r="AS3252" s="1117"/>
      <c r="AT3252" s="1075"/>
      <c r="AU3252" s="1193"/>
      <c r="AV3252" s="330"/>
      <c r="AW3252" s="331"/>
      <c r="AX3252" s="331"/>
      <c r="AY3252" s="331"/>
      <c r="AZ3252" s="331"/>
      <c r="BA3252" s="331"/>
      <c r="BB3252" s="331"/>
      <c r="BC3252" s="331"/>
      <c r="BD3252" s="331"/>
      <c r="BE3252" s="333"/>
      <c r="BF3252" s="330"/>
      <c r="BG3252" s="333"/>
      <c r="BH3252" s="1119"/>
      <c r="BI3252" s="319"/>
      <c r="BJ3252" s="319"/>
      <c r="BK3252" s="319"/>
      <c r="BL3252" s="319"/>
      <c r="BM3252" s="319"/>
      <c r="BN3252" s="319"/>
      <c r="BO3252" s="319"/>
      <c r="BP3252" s="953"/>
      <c r="BQ3252" s="319"/>
      <c r="BR3252" s="319"/>
      <c r="BS3252" s="330"/>
      <c r="BT3252" s="331"/>
      <c r="BU3252" s="920"/>
      <c r="BV3252" s="903"/>
      <c r="BW3252" s="908"/>
      <c r="BX3252" s="908"/>
      <c r="BY3252" s="331"/>
      <c r="BZ3252" s="331"/>
      <c r="CA3252" s="462"/>
      <c r="CB3252" s="319"/>
      <c r="CC3252" s="319"/>
      <c r="CD3252" s="319"/>
      <c r="CE3252" s="319"/>
      <c r="CF3252" s="319"/>
      <c r="CG3252" s="319"/>
      <c r="CH3252" s="318"/>
      <c r="CI3252" s="319"/>
      <c r="CJ3252" s="319"/>
      <c r="CK3252" s="342"/>
      <c r="CL3252" s="333"/>
      <c r="CM3252" s="1079"/>
      <c r="CN3252" s="1005"/>
      <c r="CO3252" s="1005"/>
      <c r="CP3252" s="1005"/>
    </row>
    <row r="3253">
      <c r="A3253" s="1257"/>
      <c r="B3253" s="1113"/>
      <c r="C3253" s="1107"/>
      <c r="D3253" s="103"/>
      <c r="E3253" s="1137"/>
      <c r="F3253" s="112"/>
      <c r="G3253" s="1110"/>
      <c r="H3253" s="1138"/>
      <c r="I3253" s="1138"/>
      <c r="J3253" s="1139"/>
      <c r="K3253" s="1111"/>
      <c r="L3253" s="1112"/>
      <c r="M3253" s="1113"/>
      <c r="N3253" s="110"/>
      <c r="O3253" s="1140"/>
      <c r="P3253" s="1115"/>
      <c r="Q3253" s="1116"/>
      <c r="R3253" s="1141"/>
      <c r="S3253" s="1113"/>
      <c r="T3253" s="1143"/>
      <c r="U3253" s="1108"/>
      <c r="V3253" s="1108"/>
      <c r="W3253" s="1108"/>
      <c r="X3253" s="1108"/>
      <c r="Y3253" s="1108"/>
      <c r="Z3253" s="1114"/>
      <c r="AA3253" s="1114"/>
      <c r="AB3253" s="1114"/>
      <c r="AC3253" s="1117"/>
      <c r="AD3253" s="1115"/>
      <c r="AE3253" s="1115"/>
      <c r="AF3253" s="1115"/>
      <c r="AG3253" s="1115"/>
      <c r="AH3253" s="1115"/>
      <c r="AI3253" s="1115"/>
      <c r="AJ3253" s="1117"/>
      <c r="AK3253" s="1118"/>
      <c r="AL3253" s="1115"/>
      <c r="AM3253" s="1115"/>
      <c r="AN3253" s="1115"/>
      <c r="AO3253" s="1115"/>
      <c r="AP3253" s="1115"/>
      <c r="AQ3253" s="1115"/>
      <c r="AR3253" s="1115"/>
      <c r="AS3253" s="1117"/>
      <c r="AT3253" s="1075"/>
      <c r="AU3253" s="1193"/>
      <c r="AV3253" s="330"/>
      <c r="AW3253" s="331"/>
      <c r="AX3253" s="331"/>
      <c r="AY3253" s="331"/>
      <c r="AZ3253" s="331"/>
      <c r="BA3253" s="331"/>
      <c r="BB3253" s="331"/>
      <c r="BC3253" s="331"/>
      <c r="BD3253" s="331"/>
      <c r="BE3253" s="333"/>
      <c r="BF3253" s="330"/>
      <c r="BG3253" s="333"/>
      <c r="BH3253" s="1119"/>
      <c r="BI3253" s="319"/>
      <c r="BJ3253" s="319"/>
      <c r="BK3253" s="319"/>
      <c r="BL3253" s="319"/>
      <c r="BM3253" s="319"/>
      <c r="BN3253" s="319"/>
      <c r="BO3253" s="319"/>
      <c r="BP3253" s="953"/>
      <c r="BQ3253" s="319"/>
      <c r="BR3253" s="319"/>
      <c r="BS3253" s="330"/>
      <c r="BT3253" s="331"/>
      <c r="BU3253" s="920"/>
      <c r="BV3253" s="903"/>
      <c r="BW3253" s="908"/>
      <c r="BX3253" s="908"/>
      <c r="BY3253" s="331"/>
      <c r="BZ3253" s="331"/>
      <c r="CA3253" s="462"/>
      <c r="CB3253" s="319"/>
      <c r="CC3253" s="319"/>
      <c r="CD3253" s="319"/>
      <c r="CE3253" s="319"/>
      <c r="CF3253" s="319"/>
      <c r="CG3253" s="319"/>
      <c r="CH3253" s="318"/>
      <c r="CI3253" s="319"/>
      <c r="CJ3253" s="319"/>
      <c r="CK3253" s="342"/>
      <c r="CL3253" s="333"/>
      <c r="CM3253" s="1079"/>
      <c r="CN3253" s="1005"/>
      <c r="CO3253" s="1005"/>
      <c r="CP3253" s="1005"/>
    </row>
    <row r="3254">
      <c r="A3254" s="1257"/>
      <c r="B3254" s="1113"/>
      <c r="C3254" s="1107"/>
      <c r="D3254" s="103"/>
      <c r="E3254" s="1137"/>
      <c r="F3254" s="112"/>
      <c r="G3254" s="1110"/>
      <c r="H3254" s="1138"/>
      <c r="I3254" s="1138"/>
      <c r="J3254" s="1139"/>
      <c r="K3254" s="1111"/>
      <c r="L3254" s="1112"/>
      <c r="M3254" s="1113"/>
      <c r="N3254" s="110"/>
      <c r="O3254" s="1140"/>
      <c r="P3254" s="1115"/>
      <c r="Q3254" s="1116"/>
      <c r="R3254" s="1141"/>
      <c r="S3254" s="1113"/>
      <c r="T3254" s="1143"/>
      <c r="U3254" s="1108"/>
      <c r="V3254" s="1108"/>
      <c r="W3254" s="1108"/>
      <c r="X3254" s="1108"/>
      <c r="Y3254" s="1108"/>
      <c r="Z3254" s="1114"/>
      <c r="AA3254" s="1114"/>
      <c r="AB3254" s="1114"/>
      <c r="AC3254" s="1117"/>
      <c r="AD3254" s="1115"/>
      <c r="AE3254" s="1115"/>
      <c r="AF3254" s="1115"/>
      <c r="AG3254" s="1115"/>
      <c r="AH3254" s="1115"/>
      <c r="AI3254" s="1115"/>
      <c r="AJ3254" s="1117"/>
      <c r="AK3254" s="1118"/>
      <c r="AL3254" s="1115"/>
      <c r="AM3254" s="1115"/>
      <c r="AN3254" s="1115"/>
      <c r="AO3254" s="1115"/>
      <c r="AP3254" s="1115"/>
      <c r="AQ3254" s="1115"/>
      <c r="AR3254" s="1115"/>
      <c r="AS3254" s="1117"/>
      <c r="AT3254" s="1075"/>
      <c r="AU3254" s="1193"/>
      <c r="AV3254" s="330"/>
      <c r="AW3254" s="331"/>
      <c r="AX3254" s="331"/>
      <c r="AY3254" s="331"/>
      <c r="AZ3254" s="331"/>
      <c r="BA3254" s="331"/>
      <c r="BB3254" s="331"/>
      <c r="BC3254" s="331"/>
      <c r="BD3254" s="331"/>
      <c r="BE3254" s="333"/>
      <c r="BF3254" s="330"/>
      <c r="BG3254" s="333"/>
      <c r="BH3254" s="1119"/>
      <c r="BI3254" s="319"/>
      <c r="BJ3254" s="319"/>
      <c r="BK3254" s="319"/>
      <c r="BL3254" s="319"/>
      <c r="BM3254" s="319"/>
      <c r="BN3254" s="319"/>
      <c r="BO3254" s="319"/>
      <c r="BP3254" s="953"/>
      <c r="BQ3254" s="319"/>
      <c r="BR3254" s="319"/>
      <c r="BS3254" s="330"/>
      <c r="BT3254" s="331"/>
      <c r="BU3254" s="920"/>
      <c r="BV3254" s="903"/>
      <c r="BW3254" s="908"/>
      <c r="BX3254" s="908"/>
      <c r="BY3254" s="331"/>
      <c r="BZ3254" s="331"/>
      <c r="CA3254" s="462"/>
      <c r="CB3254" s="319"/>
      <c r="CC3254" s="319"/>
      <c r="CD3254" s="319"/>
      <c r="CE3254" s="319"/>
      <c r="CF3254" s="319"/>
      <c r="CG3254" s="319"/>
      <c r="CH3254" s="318"/>
      <c r="CI3254" s="319"/>
      <c r="CJ3254" s="319"/>
      <c r="CK3254" s="342"/>
      <c r="CL3254" s="333"/>
      <c r="CM3254" s="1079"/>
      <c r="CN3254" s="1005"/>
      <c r="CO3254" s="1005"/>
      <c r="CP3254" s="1005"/>
    </row>
    <row r="3255">
      <c r="A3255" s="1257"/>
      <c r="B3255" s="1113"/>
      <c r="C3255" s="1107"/>
      <c r="D3255" s="103"/>
      <c r="E3255" s="1137"/>
      <c r="F3255" s="112"/>
      <c r="G3255" s="1110"/>
      <c r="H3255" s="1138"/>
      <c r="I3255" s="1138"/>
      <c r="J3255" s="1139"/>
      <c r="K3255" s="1111"/>
      <c r="L3255" s="1112"/>
      <c r="M3255" s="1113"/>
      <c r="N3255" s="110"/>
      <c r="O3255" s="1140"/>
      <c r="P3255" s="1115"/>
      <c r="Q3255" s="1116"/>
      <c r="R3255" s="1141"/>
      <c r="S3255" s="1113"/>
      <c r="T3255" s="1143"/>
      <c r="U3255" s="1108"/>
      <c r="V3255" s="1108"/>
      <c r="W3255" s="1108"/>
      <c r="X3255" s="1108"/>
      <c r="Y3255" s="1108"/>
      <c r="Z3255" s="1114"/>
      <c r="AA3255" s="1114"/>
      <c r="AB3255" s="1114"/>
      <c r="AC3255" s="1117"/>
      <c r="AD3255" s="1115"/>
      <c r="AE3255" s="1115"/>
      <c r="AF3255" s="1115"/>
      <c r="AG3255" s="1115"/>
      <c r="AH3255" s="1115"/>
      <c r="AI3255" s="1115"/>
      <c r="AJ3255" s="1117"/>
      <c r="AK3255" s="1118"/>
      <c r="AL3255" s="1115"/>
      <c r="AM3255" s="1115"/>
      <c r="AN3255" s="1115"/>
      <c r="AO3255" s="1115"/>
      <c r="AP3255" s="1115"/>
      <c r="AQ3255" s="1115"/>
      <c r="AR3255" s="1115"/>
      <c r="AS3255" s="1117"/>
      <c r="AT3255" s="1075"/>
      <c r="AU3255" s="1193"/>
      <c r="AV3255" s="330"/>
      <c r="AW3255" s="331"/>
      <c r="AX3255" s="331"/>
      <c r="AY3255" s="331"/>
      <c r="AZ3255" s="331"/>
      <c r="BA3255" s="331"/>
      <c r="BB3255" s="331"/>
      <c r="BC3255" s="331"/>
      <c r="BD3255" s="331"/>
      <c r="BE3255" s="333"/>
      <c r="BF3255" s="330"/>
      <c r="BG3255" s="333"/>
      <c r="BH3255" s="1119"/>
      <c r="BI3255" s="319"/>
      <c r="BJ3255" s="319"/>
      <c r="BK3255" s="319"/>
      <c r="BL3255" s="319"/>
      <c r="BM3255" s="319"/>
      <c r="BN3255" s="319"/>
      <c r="BO3255" s="319"/>
      <c r="BP3255" s="953"/>
      <c r="BQ3255" s="319"/>
      <c r="BR3255" s="319"/>
      <c r="BS3255" s="330"/>
      <c r="BT3255" s="331"/>
      <c r="BU3255" s="920"/>
      <c r="BV3255" s="903"/>
      <c r="BW3255" s="908"/>
      <c r="BX3255" s="908"/>
      <c r="BY3255" s="331"/>
      <c r="BZ3255" s="331"/>
      <c r="CA3255" s="462"/>
      <c r="CB3255" s="319"/>
      <c r="CC3255" s="319"/>
      <c r="CD3255" s="319"/>
      <c r="CE3255" s="319"/>
      <c r="CF3255" s="319"/>
      <c r="CG3255" s="319"/>
      <c r="CH3255" s="318"/>
      <c r="CI3255" s="319"/>
      <c r="CJ3255" s="319"/>
      <c r="CK3255" s="342"/>
      <c r="CL3255" s="333"/>
      <c r="CM3255" s="1079"/>
      <c r="CN3255" s="1005"/>
      <c r="CO3255" s="1005"/>
      <c r="CP3255" s="1005"/>
    </row>
    <row r="3256">
      <c r="A3256" s="1257"/>
      <c r="B3256" s="1113"/>
      <c r="C3256" s="1107"/>
      <c r="D3256" s="103"/>
      <c r="E3256" s="1137"/>
      <c r="F3256" s="112"/>
      <c r="G3256" s="1110"/>
      <c r="H3256" s="1138"/>
      <c r="I3256" s="1138"/>
      <c r="J3256" s="1139"/>
      <c r="K3256" s="1111"/>
      <c r="L3256" s="1112"/>
      <c r="M3256" s="1113"/>
      <c r="N3256" s="110"/>
      <c r="O3256" s="1140"/>
      <c r="P3256" s="1115"/>
      <c r="Q3256" s="1116"/>
      <c r="R3256" s="1141"/>
      <c r="S3256" s="1113"/>
      <c r="T3256" s="1143"/>
      <c r="U3256" s="1108"/>
      <c r="V3256" s="1108"/>
      <c r="W3256" s="1108"/>
      <c r="X3256" s="1108"/>
      <c r="Y3256" s="1108"/>
      <c r="Z3256" s="1114"/>
      <c r="AA3256" s="1114"/>
      <c r="AB3256" s="1114"/>
      <c r="AC3256" s="1117"/>
      <c r="AD3256" s="1115"/>
      <c r="AE3256" s="1115"/>
      <c r="AF3256" s="1115"/>
      <c r="AG3256" s="1115"/>
      <c r="AH3256" s="1115"/>
      <c r="AI3256" s="1115"/>
      <c r="AJ3256" s="1117"/>
      <c r="AK3256" s="1118"/>
      <c r="AL3256" s="1115"/>
      <c r="AM3256" s="1115"/>
      <c r="AN3256" s="1115"/>
      <c r="AO3256" s="1115"/>
      <c r="AP3256" s="1115"/>
      <c r="AQ3256" s="1115"/>
      <c r="AR3256" s="1115"/>
      <c r="AS3256" s="1117"/>
      <c r="AT3256" s="1075"/>
      <c r="AU3256" s="1193"/>
      <c r="AV3256" s="330"/>
      <c r="AW3256" s="331"/>
      <c r="AX3256" s="331"/>
      <c r="AY3256" s="331"/>
      <c r="AZ3256" s="331"/>
      <c r="BA3256" s="331"/>
      <c r="BB3256" s="331"/>
      <c r="BC3256" s="331"/>
      <c r="BD3256" s="331"/>
      <c r="BE3256" s="333"/>
      <c r="BF3256" s="330"/>
      <c r="BG3256" s="333"/>
      <c r="BH3256" s="1119"/>
      <c r="BI3256" s="319"/>
      <c r="BJ3256" s="319"/>
      <c r="BK3256" s="319"/>
      <c r="BL3256" s="319"/>
      <c r="BM3256" s="319"/>
      <c r="BN3256" s="319"/>
      <c r="BO3256" s="319"/>
      <c r="BP3256" s="953"/>
      <c r="BQ3256" s="319"/>
      <c r="BR3256" s="319"/>
      <c r="BS3256" s="330"/>
      <c r="BT3256" s="331"/>
      <c r="BU3256" s="920"/>
      <c r="BV3256" s="903"/>
      <c r="BW3256" s="908"/>
      <c r="BX3256" s="908"/>
      <c r="BY3256" s="331"/>
      <c r="BZ3256" s="331"/>
      <c r="CA3256" s="462"/>
      <c r="CB3256" s="319"/>
      <c r="CC3256" s="319"/>
      <c r="CD3256" s="319"/>
      <c r="CE3256" s="319"/>
      <c r="CF3256" s="319"/>
      <c r="CG3256" s="319"/>
      <c r="CH3256" s="318"/>
      <c r="CI3256" s="319"/>
      <c r="CJ3256" s="319"/>
      <c r="CK3256" s="342"/>
      <c r="CL3256" s="333"/>
      <c r="CM3256" s="1079"/>
      <c r="CN3256" s="1005"/>
      <c r="CO3256" s="1005"/>
      <c r="CP3256" s="1005"/>
    </row>
    <row r="3257">
      <c r="A3257" s="1257"/>
      <c r="B3257" s="1113"/>
      <c r="C3257" s="1107"/>
      <c r="D3257" s="103"/>
      <c r="E3257" s="1137"/>
      <c r="F3257" s="112"/>
      <c r="G3257" s="1110"/>
      <c r="H3257" s="1138"/>
      <c r="I3257" s="1138"/>
      <c r="J3257" s="1139"/>
      <c r="K3257" s="1111"/>
      <c r="L3257" s="1112"/>
      <c r="M3257" s="1113"/>
      <c r="N3257" s="110"/>
      <c r="O3257" s="1140"/>
      <c r="P3257" s="1115"/>
      <c r="Q3257" s="1116"/>
      <c r="R3257" s="1141"/>
      <c r="S3257" s="1113"/>
      <c r="T3257" s="1143"/>
      <c r="U3257" s="1108"/>
      <c r="V3257" s="1108"/>
      <c r="W3257" s="1108"/>
      <c r="X3257" s="1108"/>
      <c r="Y3257" s="1108"/>
      <c r="Z3257" s="1114"/>
      <c r="AA3257" s="1114"/>
      <c r="AB3257" s="1114"/>
      <c r="AC3257" s="1117"/>
      <c r="AD3257" s="1115"/>
      <c r="AE3257" s="1115"/>
      <c r="AF3257" s="1115"/>
      <c r="AG3257" s="1115"/>
      <c r="AH3257" s="1115"/>
      <c r="AI3257" s="1115"/>
      <c r="AJ3257" s="1117"/>
      <c r="AK3257" s="1118"/>
      <c r="AL3257" s="1115"/>
      <c r="AM3257" s="1115"/>
      <c r="AN3257" s="1115"/>
      <c r="AO3257" s="1115"/>
      <c r="AP3257" s="1115"/>
      <c r="AQ3257" s="1115"/>
      <c r="AR3257" s="1115"/>
      <c r="AS3257" s="1117"/>
      <c r="AT3257" s="1075"/>
      <c r="AU3257" s="1193"/>
      <c r="AV3257" s="330"/>
      <c r="AW3257" s="331"/>
      <c r="AX3257" s="331"/>
      <c r="AY3257" s="331"/>
      <c r="AZ3257" s="331"/>
      <c r="BA3257" s="331"/>
      <c r="BB3257" s="331"/>
      <c r="BC3257" s="331"/>
      <c r="BD3257" s="331"/>
      <c r="BE3257" s="333"/>
      <c r="BF3257" s="330"/>
      <c r="BG3257" s="333"/>
      <c r="BH3257" s="1119"/>
      <c r="BI3257" s="319"/>
      <c r="BJ3257" s="319"/>
      <c r="BK3257" s="319"/>
      <c r="BL3257" s="319"/>
      <c r="BM3257" s="319"/>
      <c r="BN3257" s="319"/>
      <c r="BO3257" s="319"/>
      <c r="BP3257" s="953"/>
      <c r="BQ3257" s="319"/>
      <c r="BR3257" s="319"/>
      <c r="BS3257" s="330"/>
      <c r="BT3257" s="331"/>
      <c r="BU3257" s="920"/>
      <c r="BV3257" s="903"/>
      <c r="BW3257" s="908"/>
      <c r="BX3257" s="908"/>
      <c r="BY3257" s="331"/>
      <c r="BZ3257" s="331"/>
      <c r="CA3257" s="462"/>
      <c r="CB3257" s="319"/>
      <c r="CC3257" s="319"/>
      <c r="CD3257" s="319"/>
      <c r="CE3257" s="319"/>
      <c r="CF3257" s="319"/>
      <c r="CG3257" s="319"/>
      <c r="CH3257" s="318"/>
      <c r="CI3257" s="319"/>
      <c r="CJ3257" s="319"/>
      <c r="CK3257" s="342"/>
      <c r="CL3257" s="333"/>
      <c r="CM3257" s="1079"/>
      <c r="CN3257" s="1005"/>
      <c r="CO3257" s="1005"/>
      <c r="CP3257" s="1005"/>
    </row>
    <row r="3258">
      <c r="A3258" s="1257"/>
      <c r="B3258" s="1113"/>
      <c r="C3258" s="1107"/>
      <c r="D3258" s="103"/>
      <c r="E3258" s="1137"/>
      <c r="F3258" s="112"/>
      <c r="G3258" s="1110"/>
      <c r="H3258" s="1138"/>
      <c r="I3258" s="1138"/>
      <c r="J3258" s="1139"/>
      <c r="K3258" s="1111"/>
      <c r="L3258" s="1112"/>
      <c r="M3258" s="1113"/>
      <c r="N3258" s="110"/>
      <c r="O3258" s="1140"/>
      <c r="P3258" s="1115"/>
      <c r="Q3258" s="1116"/>
      <c r="R3258" s="1141"/>
      <c r="S3258" s="1113"/>
      <c r="T3258" s="1143"/>
      <c r="U3258" s="1108"/>
      <c r="V3258" s="1108"/>
      <c r="W3258" s="1108"/>
      <c r="X3258" s="1108"/>
      <c r="Y3258" s="1108"/>
      <c r="Z3258" s="1114"/>
      <c r="AA3258" s="1114"/>
      <c r="AB3258" s="1114"/>
      <c r="AC3258" s="1117"/>
      <c r="AD3258" s="1115"/>
      <c r="AE3258" s="1115"/>
      <c r="AF3258" s="1115"/>
      <c r="AG3258" s="1115"/>
      <c r="AH3258" s="1115"/>
      <c r="AI3258" s="1115"/>
      <c r="AJ3258" s="1117"/>
      <c r="AK3258" s="1118"/>
      <c r="AL3258" s="1115"/>
      <c r="AM3258" s="1115"/>
      <c r="AN3258" s="1115"/>
      <c r="AO3258" s="1115"/>
      <c r="AP3258" s="1115"/>
      <c r="AQ3258" s="1115"/>
      <c r="AR3258" s="1115"/>
      <c r="AS3258" s="1117"/>
      <c r="AT3258" s="1075"/>
      <c r="AU3258" s="1193"/>
      <c r="AV3258" s="330"/>
      <c r="AW3258" s="331"/>
      <c r="AX3258" s="331"/>
      <c r="AY3258" s="331"/>
      <c r="AZ3258" s="331"/>
      <c r="BA3258" s="331"/>
      <c r="BB3258" s="331"/>
      <c r="BC3258" s="331"/>
      <c r="BD3258" s="331"/>
      <c r="BE3258" s="333"/>
      <c r="BF3258" s="330"/>
      <c r="BG3258" s="333"/>
      <c r="BH3258" s="1119"/>
      <c r="BI3258" s="319"/>
      <c r="BJ3258" s="319"/>
      <c r="BK3258" s="319"/>
      <c r="BL3258" s="319"/>
      <c r="BM3258" s="319"/>
      <c r="BN3258" s="319"/>
      <c r="BO3258" s="319"/>
      <c r="BP3258" s="953"/>
      <c r="BQ3258" s="319"/>
      <c r="BR3258" s="319"/>
      <c r="BS3258" s="330"/>
      <c r="BT3258" s="331"/>
      <c r="BU3258" s="920"/>
      <c r="BV3258" s="903"/>
      <c r="BW3258" s="908"/>
      <c r="BX3258" s="908"/>
      <c r="BY3258" s="331"/>
      <c r="BZ3258" s="331"/>
      <c r="CA3258" s="462"/>
      <c r="CB3258" s="319"/>
      <c r="CC3258" s="319"/>
      <c r="CD3258" s="319"/>
      <c r="CE3258" s="319"/>
      <c r="CF3258" s="319"/>
      <c r="CG3258" s="319"/>
      <c r="CH3258" s="318"/>
      <c r="CI3258" s="319"/>
      <c r="CJ3258" s="319"/>
      <c r="CK3258" s="342"/>
      <c r="CL3258" s="333"/>
      <c r="CM3258" s="1079"/>
      <c r="CN3258" s="1005"/>
      <c r="CO3258" s="1005"/>
      <c r="CP3258" s="1005"/>
    </row>
    <row r="3259">
      <c r="A3259" s="1257"/>
      <c r="B3259" s="1113"/>
      <c r="C3259" s="1107"/>
      <c r="D3259" s="103"/>
      <c r="E3259" s="1137"/>
      <c r="F3259" s="112"/>
      <c r="G3259" s="1110"/>
      <c r="H3259" s="1138"/>
      <c r="I3259" s="1138"/>
      <c r="J3259" s="1139"/>
      <c r="K3259" s="1111"/>
      <c r="L3259" s="1112"/>
      <c r="M3259" s="1113"/>
      <c r="N3259" s="110"/>
      <c r="O3259" s="1140"/>
      <c r="P3259" s="1115"/>
      <c r="Q3259" s="1116"/>
      <c r="R3259" s="1141"/>
      <c r="S3259" s="1113"/>
      <c r="T3259" s="1143"/>
      <c r="U3259" s="1108"/>
      <c r="V3259" s="1108"/>
      <c r="W3259" s="1108"/>
      <c r="X3259" s="1108"/>
      <c r="Y3259" s="1108"/>
      <c r="Z3259" s="1114"/>
      <c r="AA3259" s="1114"/>
      <c r="AB3259" s="1114"/>
      <c r="AC3259" s="1117"/>
      <c r="AD3259" s="1115"/>
      <c r="AE3259" s="1115"/>
      <c r="AF3259" s="1115"/>
      <c r="AG3259" s="1115"/>
      <c r="AH3259" s="1115"/>
      <c r="AI3259" s="1115"/>
      <c r="AJ3259" s="1117"/>
      <c r="AK3259" s="1118"/>
      <c r="AL3259" s="1115"/>
      <c r="AM3259" s="1115"/>
      <c r="AN3259" s="1115"/>
      <c r="AO3259" s="1115"/>
      <c r="AP3259" s="1115"/>
      <c r="AQ3259" s="1115"/>
      <c r="AR3259" s="1115"/>
      <c r="AS3259" s="1117"/>
      <c r="AT3259" s="1075"/>
      <c r="AU3259" s="1193"/>
      <c r="AV3259" s="330"/>
      <c r="AW3259" s="331"/>
      <c r="AX3259" s="331"/>
      <c r="AY3259" s="331"/>
      <c r="AZ3259" s="331"/>
      <c r="BA3259" s="331"/>
      <c r="BB3259" s="331"/>
      <c r="BC3259" s="331"/>
      <c r="BD3259" s="331"/>
      <c r="BE3259" s="333"/>
      <c r="BF3259" s="330"/>
      <c r="BG3259" s="333"/>
      <c r="BH3259" s="1119"/>
      <c r="BI3259" s="319"/>
      <c r="BJ3259" s="319"/>
      <c r="BK3259" s="319"/>
      <c r="BL3259" s="319"/>
      <c r="BM3259" s="319"/>
      <c r="BN3259" s="319"/>
      <c r="BO3259" s="319"/>
      <c r="BP3259" s="953"/>
      <c r="BQ3259" s="319"/>
      <c r="BR3259" s="319"/>
      <c r="BS3259" s="330"/>
      <c r="BT3259" s="331"/>
      <c r="BU3259" s="920"/>
      <c r="BV3259" s="903"/>
      <c r="BW3259" s="908"/>
      <c r="BX3259" s="908"/>
      <c r="BY3259" s="331"/>
      <c r="BZ3259" s="331"/>
      <c r="CA3259" s="462"/>
      <c r="CB3259" s="319"/>
      <c r="CC3259" s="319"/>
      <c r="CD3259" s="319"/>
      <c r="CE3259" s="319"/>
      <c r="CF3259" s="319"/>
      <c r="CG3259" s="319"/>
      <c r="CH3259" s="318"/>
      <c r="CI3259" s="319"/>
      <c r="CJ3259" s="319"/>
      <c r="CK3259" s="342"/>
      <c r="CL3259" s="333"/>
      <c r="CM3259" s="1079"/>
      <c r="CN3259" s="1005"/>
      <c r="CO3259" s="1005"/>
      <c r="CP3259" s="1005"/>
    </row>
    <row r="3260">
      <c r="A3260" s="1257"/>
      <c r="B3260" s="1113"/>
      <c r="C3260" s="1107"/>
      <c r="D3260" s="103"/>
      <c r="E3260" s="1137"/>
      <c r="F3260" s="112"/>
      <c r="G3260" s="1110"/>
      <c r="H3260" s="1138"/>
      <c r="I3260" s="1138"/>
      <c r="J3260" s="1139"/>
      <c r="K3260" s="1111"/>
      <c r="L3260" s="1112"/>
      <c r="M3260" s="1113"/>
      <c r="N3260" s="110"/>
      <c r="O3260" s="1140"/>
      <c r="P3260" s="1115"/>
      <c r="Q3260" s="1116"/>
      <c r="R3260" s="1141"/>
      <c r="S3260" s="1113"/>
      <c r="T3260" s="1143"/>
      <c r="U3260" s="1108"/>
      <c r="V3260" s="1108"/>
      <c r="W3260" s="1108"/>
      <c r="X3260" s="1108"/>
      <c r="Y3260" s="1108"/>
      <c r="Z3260" s="1114"/>
      <c r="AA3260" s="1114"/>
      <c r="AB3260" s="1114"/>
      <c r="AC3260" s="1117"/>
      <c r="AD3260" s="1115"/>
      <c r="AE3260" s="1115"/>
      <c r="AF3260" s="1115"/>
      <c r="AG3260" s="1115"/>
      <c r="AH3260" s="1115"/>
      <c r="AI3260" s="1115"/>
      <c r="AJ3260" s="1117"/>
      <c r="AK3260" s="1118"/>
      <c r="AL3260" s="1115"/>
      <c r="AM3260" s="1115"/>
      <c r="AN3260" s="1115"/>
      <c r="AO3260" s="1115"/>
      <c r="AP3260" s="1115"/>
      <c r="AQ3260" s="1115"/>
      <c r="AR3260" s="1115"/>
      <c r="AS3260" s="1117"/>
      <c r="AT3260" s="1075"/>
      <c r="AU3260" s="1193"/>
      <c r="AV3260" s="330"/>
      <c r="AW3260" s="331"/>
      <c r="AX3260" s="331"/>
      <c r="AY3260" s="331"/>
      <c r="AZ3260" s="331"/>
      <c r="BA3260" s="331"/>
      <c r="BB3260" s="331"/>
      <c r="BC3260" s="331"/>
      <c r="BD3260" s="331"/>
      <c r="BE3260" s="333"/>
      <c r="BF3260" s="330"/>
      <c r="BG3260" s="333"/>
      <c r="BH3260" s="1119"/>
      <c r="BI3260" s="319"/>
      <c r="BJ3260" s="319"/>
      <c r="BK3260" s="319"/>
      <c r="BL3260" s="319"/>
      <c r="BM3260" s="319"/>
      <c r="BN3260" s="319"/>
      <c r="BO3260" s="319"/>
      <c r="BP3260" s="953"/>
      <c r="BQ3260" s="319"/>
      <c r="BR3260" s="319"/>
      <c r="BS3260" s="330"/>
      <c r="BT3260" s="331"/>
      <c r="BU3260" s="920"/>
      <c r="BV3260" s="903"/>
      <c r="BW3260" s="908"/>
      <c r="BX3260" s="908"/>
      <c r="BY3260" s="331"/>
      <c r="BZ3260" s="331"/>
      <c r="CA3260" s="462"/>
      <c r="CB3260" s="319"/>
      <c r="CC3260" s="319"/>
      <c r="CD3260" s="319"/>
      <c r="CE3260" s="319"/>
      <c r="CF3260" s="319"/>
      <c r="CG3260" s="319"/>
      <c r="CH3260" s="318"/>
      <c r="CI3260" s="319"/>
      <c r="CJ3260" s="319"/>
      <c r="CK3260" s="342"/>
      <c r="CL3260" s="333"/>
      <c r="CM3260" s="1079"/>
      <c r="CN3260" s="1005"/>
      <c r="CO3260" s="1005"/>
      <c r="CP3260" s="1005"/>
    </row>
    <row r="3261">
      <c r="A3261" s="1257"/>
      <c r="B3261" s="1113"/>
      <c r="C3261" s="1107"/>
      <c r="D3261" s="103"/>
      <c r="E3261" s="1137"/>
      <c r="F3261" s="112"/>
      <c r="G3261" s="1110"/>
      <c r="H3261" s="1138"/>
      <c r="I3261" s="1138"/>
      <c r="J3261" s="1139"/>
      <c r="K3261" s="1111"/>
      <c r="L3261" s="1112"/>
      <c r="M3261" s="1113"/>
      <c r="N3261" s="110"/>
      <c r="O3261" s="1140"/>
      <c r="P3261" s="1115"/>
      <c r="Q3261" s="1116"/>
      <c r="R3261" s="1141"/>
      <c r="S3261" s="1113"/>
      <c r="T3261" s="1143"/>
      <c r="U3261" s="1108"/>
      <c r="V3261" s="1108"/>
      <c r="W3261" s="1108"/>
      <c r="X3261" s="1108"/>
      <c r="Y3261" s="1108"/>
      <c r="Z3261" s="1114"/>
      <c r="AA3261" s="1114"/>
      <c r="AB3261" s="1114"/>
      <c r="AC3261" s="1117"/>
      <c r="AD3261" s="1115"/>
      <c r="AE3261" s="1115"/>
      <c r="AF3261" s="1115"/>
      <c r="AG3261" s="1115"/>
      <c r="AH3261" s="1115"/>
      <c r="AI3261" s="1115"/>
      <c r="AJ3261" s="1117"/>
      <c r="AK3261" s="1118"/>
      <c r="AL3261" s="1115"/>
      <c r="AM3261" s="1115"/>
      <c r="AN3261" s="1115"/>
      <c r="AO3261" s="1115"/>
      <c r="AP3261" s="1115"/>
      <c r="AQ3261" s="1115"/>
      <c r="AR3261" s="1115"/>
      <c r="AS3261" s="1117"/>
      <c r="AT3261" s="1075"/>
      <c r="AU3261" s="1193"/>
      <c r="AV3261" s="330"/>
      <c r="AW3261" s="331"/>
      <c r="AX3261" s="331"/>
      <c r="AY3261" s="331"/>
      <c r="AZ3261" s="331"/>
      <c r="BA3261" s="331"/>
      <c r="BB3261" s="331"/>
      <c r="BC3261" s="331"/>
      <c r="BD3261" s="331"/>
      <c r="BE3261" s="333"/>
      <c r="BF3261" s="330"/>
      <c r="BG3261" s="333"/>
      <c r="BH3261" s="1119"/>
      <c r="BI3261" s="319"/>
      <c r="BJ3261" s="319"/>
      <c r="BK3261" s="319"/>
      <c r="BL3261" s="319"/>
      <c r="BM3261" s="319"/>
      <c r="BN3261" s="319"/>
      <c r="BO3261" s="319"/>
      <c r="BP3261" s="953"/>
      <c r="BQ3261" s="319"/>
      <c r="BR3261" s="319"/>
      <c r="BS3261" s="330"/>
      <c r="BT3261" s="331"/>
      <c r="BU3261" s="920"/>
      <c r="BV3261" s="903"/>
      <c r="BW3261" s="908"/>
      <c r="BX3261" s="908"/>
      <c r="BY3261" s="331"/>
      <c r="BZ3261" s="331"/>
      <c r="CA3261" s="462"/>
      <c r="CB3261" s="319"/>
      <c r="CC3261" s="319"/>
      <c r="CD3261" s="319"/>
      <c r="CE3261" s="319"/>
      <c r="CF3261" s="319"/>
      <c r="CG3261" s="319"/>
      <c r="CH3261" s="318"/>
      <c r="CI3261" s="319"/>
      <c r="CJ3261" s="319"/>
      <c r="CK3261" s="342"/>
      <c r="CL3261" s="333"/>
      <c r="CM3261" s="1079"/>
      <c r="CN3261" s="1005"/>
      <c r="CO3261" s="1005"/>
      <c r="CP3261" s="1005"/>
    </row>
    <row r="3262">
      <c r="A3262" s="1257"/>
      <c r="B3262" s="1113"/>
      <c r="C3262" s="1107"/>
      <c r="D3262" s="103"/>
      <c r="E3262" s="1137"/>
      <c r="F3262" s="112"/>
      <c r="G3262" s="1110"/>
      <c r="H3262" s="1138"/>
      <c r="I3262" s="1138"/>
      <c r="J3262" s="1139"/>
      <c r="K3262" s="1111"/>
      <c r="L3262" s="1112"/>
      <c r="M3262" s="1113"/>
      <c r="N3262" s="110"/>
      <c r="O3262" s="1140"/>
      <c r="P3262" s="1115"/>
      <c r="Q3262" s="1116"/>
      <c r="R3262" s="1141"/>
      <c r="S3262" s="1113"/>
      <c r="T3262" s="1143"/>
      <c r="U3262" s="1108"/>
      <c r="V3262" s="1108"/>
      <c r="W3262" s="1108"/>
      <c r="X3262" s="1108"/>
      <c r="Y3262" s="1108"/>
      <c r="Z3262" s="1114"/>
      <c r="AA3262" s="1114"/>
      <c r="AB3262" s="1114"/>
      <c r="AC3262" s="1117"/>
      <c r="AD3262" s="1115"/>
      <c r="AE3262" s="1115"/>
      <c r="AF3262" s="1115"/>
      <c r="AG3262" s="1115"/>
      <c r="AH3262" s="1115"/>
      <c r="AI3262" s="1115"/>
      <c r="AJ3262" s="1117"/>
      <c r="AK3262" s="1118"/>
      <c r="AL3262" s="1115"/>
      <c r="AM3262" s="1115"/>
      <c r="AN3262" s="1115"/>
      <c r="AO3262" s="1115"/>
      <c r="AP3262" s="1115"/>
      <c r="AQ3262" s="1115"/>
      <c r="AR3262" s="1115"/>
      <c r="AS3262" s="1117"/>
      <c r="AT3262" s="1075"/>
      <c r="AU3262" s="1193"/>
      <c r="AV3262" s="330"/>
      <c r="AW3262" s="331"/>
      <c r="AX3262" s="331"/>
      <c r="AY3262" s="331"/>
      <c r="AZ3262" s="331"/>
      <c r="BA3262" s="331"/>
      <c r="BB3262" s="331"/>
      <c r="BC3262" s="331"/>
      <c r="BD3262" s="331"/>
      <c r="BE3262" s="333"/>
      <c r="BF3262" s="330"/>
      <c r="BG3262" s="333"/>
      <c r="BH3262" s="1119"/>
      <c r="BI3262" s="319"/>
      <c r="BJ3262" s="319"/>
      <c r="BK3262" s="319"/>
      <c r="BL3262" s="319"/>
      <c r="BM3262" s="319"/>
      <c r="BN3262" s="319"/>
      <c r="BO3262" s="319"/>
      <c r="BP3262" s="953"/>
      <c r="BQ3262" s="319"/>
      <c r="BR3262" s="319"/>
      <c r="BS3262" s="330"/>
      <c r="BT3262" s="331"/>
      <c r="BU3262" s="920"/>
      <c r="BV3262" s="903"/>
      <c r="BW3262" s="908"/>
      <c r="BX3262" s="908"/>
      <c r="BY3262" s="331"/>
      <c r="BZ3262" s="331"/>
      <c r="CA3262" s="462"/>
      <c r="CB3262" s="319"/>
      <c r="CC3262" s="319"/>
      <c r="CD3262" s="319"/>
      <c r="CE3262" s="319"/>
      <c r="CF3262" s="319"/>
      <c r="CG3262" s="319"/>
      <c r="CH3262" s="318"/>
      <c r="CI3262" s="319"/>
      <c r="CJ3262" s="319"/>
      <c r="CK3262" s="342"/>
      <c r="CL3262" s="333"/>
      <c r="CM3262" s="1079"/>
      <c r="CN3262" s="1005"/>
      <c r="CO3262" s="1005"/>
      <c r="CP3262" s="1005"/>
    </row>
    <row r="3263">
      <c r="A3263" s="1257"/>
      <c r="B3263" s="1113"/>
      <c r="C3263" s="1107"/>
      <c r="D3263" s="103"/>
      <c r="E3263" s="1137"/>
      <c r="F3263" s="112"/>
      <c r="G3263" s="1110"/>
      <c r="H3263" s="1138"/>
      <c r="I3263" s="1138"/>
      <c r="J3263" s="1139"/>
      <c r="K3263" s="1111"/>
      <c r="L3263" s="1112"/>
      <c r="M3263" s="1113"/>
      <c r="N3263" s="110"/>
      <c r="O3263" s="1140"/>
      <c r="P3263" s="1115"/>
      <c r="Q3263" s="1116"/>
      <c r="R3263" s="1141"/>
      <c r="S3263" s="1113"/>
      <c r="T3263" s="1143"/>
      <c r="U3263" s="1108"/>
      <c r="V3263" s="1108"/>
      <c r="W3263" s="1108"/>
      <c r="X3263" s="1108"/>
      <c r="Y3263" s="1108"/>
      <c r="Z3263" s="1114"/>
      <c r="AA3263" s="1114"/>
      <c r="AB3263" s="1114"/>
      <c r="AC3263" s="1117"/>
      <c r="AD3263" s="1115"/>
      <c r="AE3263" s="1115"/>
      <c r="AF3263" s="1115"/>
      <c r="AG3263" s="1115"/>
      <c r="AH3263" s="1115"/>
      <c r="AI3263" s="1115"/>
      <c r="AJ3263" s="1117"/>
      <c r="AK3263" s="1118"/>
      <c r="AL3263" s="1115"/>
      <c r="AM3263" s="1115"/>
      <c r="AN3263" s="1115"/>
      <c r="AO3263" s="1115"/>
      <c r="AP3263" s="1115"/>
      <c r="AQ3263" s="1115"/>
      <c r="AR3263" s="1115"/>
      <c r="AS3263" s="1117"/>
      <c r="AT3263" s="1075"/>
      <c r="AU3263" s="1193"/>
      <c r="AV3263" s="330"/>
      <c r="AW3263" s="331"/>
      <c r="AX3263" s="331"/>
      <c r="AY3263" s="331"/>
      <c r="AZ3263" s="331"/>
      <c r="BA3263" s="331"/>
      <c r="BB3263" s="331"/>
      <c r="BC3263" s="331"/>
      <c r="BD3263" s="331"/>
      <c r="BE3263" s="333"/>
      <c r="BF3263" s="330"/>
      <c r="BG3263" s="333"/>
      <c r="BH3263" s="1119"/>
      <c r="BI3263" s="319"/>
      <c r="BJ3263" s="319"/>
      <c r="BK3263" s="319"/>
      <c r="BL3263" s="319"/>
      <c r="BM3263" s="319"/>
      <c r="BN3263" s="319"/>
      <c r="BO3263" s="319"/>
      <c r="BP3263" s="953"/>
      <c r="BQ3263" s="319"/>
      <c r="BR3263" s="319"/>
      <c r="BS3263" s="330"/>
      <c r="BT3263" s="331"/>
      <c r="BU3263" s="920"/>
      <c r="BV3263" s="903"/>
      <c r="BW3263" s="908"/>
      <c r="BX3263" s="908"/>
      <c r="BY3263" s="331"/>
      <c r="BZ3263" s="331"/>
      <c r="CA3263" s="462"/>
      <c r="CB3263" s="319"/>
      <c r="CC3263" s="319"/>
      <c r="CD3263" s="319"/>
      <c r="CE3263" s="319"/>
      <c r="CF3263" s="319"/>
      <c r="CG3263" s="319"/>
      <c r="CH3263" s="318"/>
      <c r="CI3263" s="319"/>
      <c r="CJ3263" s="319"/>
      <c r="CK3263" s="342"/>
      <c r="CL3263" s="333"/>
      <c r="CM3263" s="1079"/>
      <c r="CN3263" s="1005"/>
      <c r="CO3263" s="1005"/>
      <c r="CP3263" s="1005"/>
    </row>
    <row r="3264">
      <c r="A3264" s="1257"/>
      <c r="B3264" s="1113"/>
      <c r="C3264" s="1107"/>
      <c r="D3264" s="103"/>
      <c r="E3264" s="1137"/>
      <c r="F3264" s="112"/>
      <c r="G3264" s="1110"/>
      <c r="H3264" s="1138"/>
      <c r="I3264" s="1138"/>
      <c r="J3264" s="1139"/>
      <c r="K3264" s="1111"/>
      <c r="L3264" s="1112"/>
      <c r="M3264" s="1113"/>
      <c r="N3264" s="110"/>
      <c r="O3264" s="1140"/>
      <c r="P3264" s="1115"/>
      <c r="Q3264" s="1116"/>
      <c r="R3264" s="1141"/>
      <c r="S3264" s="1113"/>
      <c r="T3264" s="1143"/>
      <c r="U3264" s="1108"/>
      <c r="V3264" s="1108"/>
      <c r="W3264" s="1108"/>
      <c r="X3264" s="1108"/>
      <c r="Y3264" s="1108"/>
      <c r="Z3264" s="1114"/>
      <c r="AA3264" s="1114"/>
      <c r="AB3264" s="1114"/>
      <c r="AC3264" s="1117"/>
      <c r="AD3264" s="1115"/>
      <c r="AE3264" s="1115"/>
      <c r="AF3264" s="1115"/>
      <c r="AG3264" s="1115"/>
      <c r="AH3264" s="1115"/>
      <c r="AI3264" s="1115"/>
      <c r="AJ3264" s="1117"/>
      <c r="AK3264" s="1118"/>
      <c r="AL3264" s="1115"/>
      <c r="AM3264" s="1115"/>
      <c r="AN3264" s="1115"/>
      <c r="AO3264" s="1115"/>
      <c r="AP3264" s="1115"/>
      <c r="AQ3264" s="1115"/>
      <c r="AR3264" s="1115"/>
      <c r="AS3264" s="1117"/>
      <c r="AT3264" s="1075"/>
      <c r="AU3264" s="1193"/>
      <c r="AV3264" s="330"/>
      <c r="AW3264" s="331"/>
      <c r="AX3264" s="331"/>
      <c r="AY3264" s="331"/>
      <c r="AZ3264" s="331"/>
      <c r="BA3264" s="331"/>
      <c r="BB3264" s="331"/>
      <c r="BC3264" s="331"/>
      <c r="BD3264" s="331"/>
      <c r="BE3264" s="333"/>
      <c r="BF3264" s="330"/>
      <c r="BG3264" s="333"/>
      <c r="BH3264" s="1119"/>
      <c r="BI3264" s="319"/>
      <c r="BJ3264" s="319"/>
      <c r="BK3264" s="319"/>
      <c r="BL3264" s="319"/>
      <c r="BM3264" s="319"/>
      <c r="BN3264" s="319"/>
      <c r="BO3264" s="319"/>
      <c r="BP3264" s="953"/>
      <c r="BQ3264" s="319"/>
      <c r="BR3264" s="319"/>
      <c r="BS3264" s="330"/>
      <c r="BT3264" s="331"/>
      <c r="BU3264" s="920"/>
      <c r="BV3264" s="903"/>
      <c r="BW3264" s="908"/>
      <c r="BX3264" s="908"/>
      <c r="BY3264" s="331"/>
      <c r="BZ3264" s="331"/>
      <c r="CA3264" s="462"/>
      <c r="CB3264" s="319"/>
      <c r="CC3264" s="319"/>
      <c r="CD3264" s="319"/>
      <c r="CE3264" s="319"/>
      <c r="CF3264" s="319"/>
      <c r="CG3264" s="319"/>
      <c r="CH3264" s="318"/>
      <c r="CI3264" s="319"/>
      <c r="CJ3264" s="319"/>
      <c r="CK3264" s="342"/>
      <c r="CL3264" s="333"/>
      <c r="CM3264" s="1079"/>
      <c r="CN3264" s="1005"/>
      <c r="CO3264" s="1005"/>
      <c r="CP3264" s="1005"/>
    </row>
    <row r="3265">
      <c r="A3265" s="1257"/>
      <c r="B3265" s="1113"/>
      <c r="C3265" s="1107"/>
      <c r="D3265" s="103"/>
      <c r="E3265" s="1137"/>
      <c r="F3265" s="112"/>
      <c r="G3265" s="1110"/>
      <c r="H3265" s="1138"/>
      <c r="I3265" s="1138"/>
      <c r="J3265" s="1139"/>
      <c r="K3265" s="1111"/>
      <c r="L3265" s="1112"/>
      <c r="M3265" s="1113"/>
      <c r="N3265" s="110"/>
      <c r="O3265" s="1140"/>
      <c r="P3265" s="1115"/>
      <c r="Q3265" s="1116"/>
      <c r="R3265" s="1141"/>
      <c r="S3265" s="1113"/>
      <c r="T3265" s="1143"/>
      <c r="U3265" s="1108"/>
      <c r="V3265" s="1108"/>
      <c r="W3265" s="1108"/>
      <c r="X3265" s="1108"/>
      <c r="Y3265" s="1108"/>
      <c r="Z3265" s="1114"/>
      <c r="AA3265" s="1114"/>
      <c r="AB3265" s="1114"/>
      <c r="AC3265" s="1117"/>
      <c r="AD3265" s="1115"/>
      <c r="AE3265" s="1115"/>
      <c r="AF3265" s="1115"/>
      <c r="AG3265" s="1115"/>
      <c r="AH3265" s="1115"/>
      <c r="AI3265" s="1115"/>
      <c r="AJ3265" s="1117"/>
      <c r="AK3265" s="1118"/>
      <c r="AL3265" s="1115"/>
      <c r="AM3265" s="1115"/>
      <c r="AN3265" s="1115"/>
      <c r="AO3265" s="1115"/>
      <c r="AP3265" s="1115"/>
      <c r="AQ3265" s="1115"/>
      <c r="AR3265" s="1115"/>
      <c r="AS3265" s="1117"/>
      <c r="AT3265" s="1075"/>
      <c r="AU3265" s="1193"/>
      <c r="AV3265" s="330"/>
      <c r="AW3265" s="331"/>
      <c r="AX3265" s="331"/>
      <c r="AY3265" s="331"/>
      <c r="AZ3265" s="331"/>
      <c r="BA3265" s="331"/>
      <c r="BB3265" s="331"/>
      <c r="BC3265" s="331"/>
      <c r="BD3265" s="331"/>
      <c r="BE3265" s="333"/>
      <c r="BF3265" s="330"/>
      <c r="BG3265" s="333"/>
      <c r="BH3265" s="1119"/>
      <c r="BI3265" s="319"/>
      <c r="BJ3265" s="319"/>
      <c r="BK3265" s="319"/>
      <c r="BL3265" s="319"/>
      <c r="BM3265" s="319"/>
      <c r="BN3265" s="319"/>
      <c r="BO3265" s="319"/>
      <c r="BP3265" s="953"/>
      <c r="BQ3265" s="319"/>
      <c r="BR3265" s="319"/>
      <c r="BS3265" s="330"/>
      <c r="BT3265" s="331"/>
      <c r="BU3265" s="920"/>
      <c r="BV3265" s="903"/>
      <c r="BW3265" s="908"/>
      <c r="BX3265" s="908"/>
      <c r="BY3265" s="331"/>
      <c r="BZ3265" s="331"/>
      <c r="CA3265" s="462"/>
      <c r="CB3265" s="319"/>
      <c r="CC3265" s="319"/>
      <c r="CD3265" s="319"/>
      <c r="CE3265" s="319"/>
      <c r="CF3265" s="319"/>
      <c r="CG3265" s="319"/>
      <c r="CH3265" s="318"/>
      <c r="CI3265" s="319"/>
      <c r="CJ3265" s="319"/>
      <c r="CK3265" s="342"/>
      <c r="CL3265" s="333"/>
      <c r="CM3265" s="1079"/>
      <c r="CN3265" s="1005"/>
      <c r="CO3265" s="1005"/>
      <c r="CP3265" s="1005"/>
    </row>
    <row r="3266">
      <c r="A3266" s="1257"/>
      <c r="B3266" s="1113"/>
      <c r="C3266" s="1107"/>
      <c r="D3266" s="103"/>
      <c r="E3266" s="1137"/>
      <c r="F3266" s="112"/>
      <c r="G3266" s="1110"/>
      <c r="H3266" s="1138"/>
      <c r="I3266" s="1138"/>
      <c r="J3266" s="1139"/>
      <c r="K3266" s="1111"/>
      <c r="L3266" s="1112"/>
      <c r="M3266" s="1113"/>
      <c r="N3266" s="110"/>
      <c r="O3266" s="1140"/>
      <c r="P3266" s="1115"/>
      <c r="Q3266" s="1116"/>
      <c r="R3266" s="1141"/>
      <c r="S3266" s="1113"/>
      <c r="T3266" s="1143"/>
      <c r="U3266" s="1108"/>
      <c r="V3266" s="1108"/>
      <c r="W3266" s="1108"/>
      <c r="X3266" s="1108"/>
      <c r="Y3266" s="1108"/>
      <c r="Z3266" s="1114"/>
      <c r="AA3266" s="1114"/>
      <c r="AB3266" s="1114"/>
      <c r="AC3266" s="1117"/>
      <c r="AD3266" s="1115"/>
      <c r="AE3266" s="1115"/>
      <c r="AF3266" s="1115"/>
      <c r="AG3266" s="1115"/>
      <c r="AH3266" s="1115"/>
      <c r="AI3266" s="1115"/>
      <c r="AJ3266" s="1117"/>
      <c r="AK3266" s="1118"/>
      <c r="AL3266" s="1115"/>
      <c r="AM3266" s="1115"/>
      <c r="AN3266" s="1115"/>
      <c r="AO3266" s="1115"/>
      <c r="AP3266" s="1115"/>
      <c r="AQ3266" s="1115"/>
      <c r="AR3266" s="1115"/>
      <c r="AS3266" s="1117"/>
      <c r="AT3266" s="1075"/>
      <c r="AU3266" s="1193"/>
      <c r="AV3266" s="330"/>
      <c r="AW3266" s="331"/>
      <c r="AX3266" s="331"/>
      <c r="AY3266" s="331"/>
      <c r="AZ3266" s="331"/>
      <c r="BA3266" s="331"/>
      <c r="BB3266" s="331"/>
      <c r="BC3266" s="331"/>
      <c r="BD3266" s="331"/>
      <c r="BE3266" s="333"/>
      <c r="BF3266" s="330"/>
      <c r="BG3266" s="333"/>
      <c r="BH3266" s="1119"/>
      <c r="BI3266" s="319"/>
      <c r="BJ3266" s="319"/>
      <c r="BK3266" s="319"/>
      <c r="BL3266" s="319"/>
      <c r="BM3266" s="319"/>
      <c r="BN3266" s="319"/>
      <c r="BO3266" s="319"/>
      <c r="BP3266" s="953"/>
      <c r="BQ3266" s="319"/>
      <c r="BR3266" s="319"/>
      <c r="BS3266" s="330"/>
      <c r="BT3266" s="331"/>
      <c r="BU3266" s="920"/>
      <c r="BV3266" s="903"/>
      <c r="BW3266" s="908"/>
      <c r="BX3266" s="908"/>
      <c r="BY3266" s="331"/>
      <c r="BZ3266" s="331"/>
      <c r="CA3266" s="462"/>
      <c r="CB3266" s="319"/>
      <c r="CC3266" s="319"/>
      <c r="CD3266" s="319"/>
      <c r="CE3266" s="319"/>
      <c r="CF3266" s="319"/>
      <c r="CG3266" s="319"/>
      <c r="CH3266" s="318"/>
      <c r="CI3266" s="319"/>
      <c r="CJ3266" s="319"/>
      <c r="CK3266" s="342"/>
      <c r="CL3266" s="333"/>
      <c r="CM3266" s="1079"/>
      <c r="CN3266" s="1005"/>
      <c r="CO3266" s="1005"/>
      <c r="CP3266" s="1005"/>
    </row>
    <row r="3267">
      <c r="A3267" s="1257"/>
      <c r="B3267" s="1113"/>
      <c r="C3267" s="1107"/>
      <c r="D3267" s="103"/>
      <c r="E3267" s="1137"/>
      <c r="F3267" s="112"/>
      <c r="G3267" s="1110"/>
      <c r="H3267" s="1138"/>
      <c r="I3267" s="1138"/>
      <c r="J3267" s="1139"/>
      <c r="K3267" s="1111"/>
      <c r="L3267" s="1112"/>
      <c r="M3267" s="1113"/>
      <c r="N3267" s="110"/>
      <c r="O3267" s="1140"/>
      <c r="P3267" s="1115"/>
      <c r="Q3267" s="1116"/>
      <c r="R3267" s="1141"/>
      <c r="S3267" s="1113"/>
      <c r="T3267" s="1143"/>
      <c r="U3267" s="1108"/>
      <c r="V3267" s="1108"/>
      <c r="W3267" s="1108"/>
      <c r="X3267" s="1108"/>
      <c r="Y3267" s="1108"/>
      <c r="Z3267" s="1114"/>
      <c r="AA3267" s="1114"/>
      <c r="AB3267" s="1114"/>
      <c r="AC3267" s="1117"/>
      <c r="AD3267" s="1115"/>
      <c r="AE3267" s="1115"/>
      <c r="AF3267" s="1115"/>
      <c r="AG3267" s="1115"/>
      <c r="AH3267" s="1115"/>
      <c r="AI3267" s="1115"/>
      <c r="AJ3267" s="1117"/>
      <c r="AK3267" s="1118"/>
      <c r="AL3267" s="1115"/>
      <c r="AM3267" s="1115"/>
      <c r="AN3267" s="1115"/>
      <c r="AO3267" s="1115"/>
      <c r="AP3267" s="1115"/>
      <c r="AQ3267" s="1115"/>
      <c r="AR3267" s="1115"/>
      <c r="AS3267" s="1117"/>
      <c r="AT3267" s="1075"/>
      <c r="AU3267" s="1193"/>
      <c r="AV3267" s="330"/>
      <c r="AW3267" s="331"/>
      <c r="AX3267" s="331"/>
      <c r="AY3267" s="331"/>
      <c r="AZ3267" s="331"/>
      <c r="BA3267" s="331"/>
      <c r="BB3267" s="331"/>
      <c r="BC3267" s="331"/>
      <c r="BD3267" s="331"/>
      <c r="BE3267" s="333"/>
      <c r="BF3267" s="330"/>
      <c r="BG3267" s="333"/>
      <c r="BH3267" s="1119"/>
      <c r="BI3267" s="319"/>
      <c r="BJ3267" s="319"/>
      <c r="BK3267" s="319"/>
      <c r="BL3267" s="319"/>
      <c r="BM3267" s="319"/>
      <c r="BN3267" s="319"/>
      <c r="BO3267" s="319"/>
      <c r="BP3267" s="953"/>
      <c r="BQ3267" s="319"/>
      <c r="BR3267" s="319"/>
      <c r="BS3267" s="330"/>
      <c r="BT3267" s="331"/>
      <c r="BU3267" s="920"/>
      <c r="BV3267" s="903"/>
      <c r="BW3267" s="908"/>
      <c r="BX3267" s="908"/>
      <c r="BY3267" s="331"/>
      <c r="BZ3267" s="331"/>
      <c r="CA3267" s="462"/>
      <c r="CB3267" s="319"/>
      <c r="CC3267" s="319"/>
      <c r="CD3267" s="319"/>
      <c r="CE3267" s="319"/>
      <c r="CF3267" s="319"/>
      <c r="CG3267" s="319"/>
      <c r="CH3267" s="318"/>
      <c r="CI3267" s="319"/>
      <c r="CJ3267" s="319"/>
      <c r="CK3267" s="342"/>
      <c r="CL3267" s="333"/>
      <c r="CM3267" s="1079"/>
      <c r="CN3267" s="1005"/>
      <c r="CO3267" s="1005"/>
      <c r="CP3267" s="1005"/>
    </row>
    <row r="3268">
      <c r="A3268" s="1257"/>
      <c r="B3268" s="1113"/>
      <c r="C3268" s="1107"/>
      <c r="D3268" s="103"/>
      <c r="E3268" s="1137"/>
      <c r="F3268" s="112"/>
      <c r="G3268" s="1110"/>
      <c r="H3268" s="1138"/>
      <c r="I3268" s="1138"/>
      <c r="J3268" s="1139"/>
      <c r="K3268" s="1111"/>
      <c r="L3268" s="1112"/>
      <c r="M3268" s="1113"/>
      <c r="N3268" s="110"/>
      <c r="O3268" s="1140"/>
      <c r="P3268" s="1115"/>
      <c r="Q3268" s="1116"/>
      <c r="R3268" s="1141"/>
      <c r="S3268" s="1113"/>
      <c r="T3268" s="1143"/>
      <c r="U3268" s="1108"/>
      <c r="V3268" s="1108"/>
      <c r="W3268" s="1108"/>
      <c r="X3268" s="1108"/>
      <c r="Y3268" s="1108"/>
      <c r="Z3268" s="1114"/>
      <c r="AA3268" s="1114"/>
      <c r="AB3268" s="1114"/>
      <c r="AC3268" s="1117"/>
      <c r="AD3268" s="1115"/>
      <c r="AE3268" s="1115"/>
      <c r="AF3268" s="1115"/>
      <c r="AG3268" s="1115"/>
      <c r="AH3268" s="1115"/>
      <c r="AI3268" s="1115"/>
      <c r="AJ3268" s="1117"/>
      <c r="AK3268" s="1118"/>
      <c r="AL3268" s="1115"/>
      <c r="AM3268" s="1115"/>
      <c r="AN3268" s="1115"/>
      <c r="AO3268" s="1115"/>
      <c r="AP3268" s="1115"/>
      <c r="AQ3268" s="1115"/>
      <c r="AR3268" s="1115"/>
      <c r="AS3268" s="1117"/>
      <c r="AT3268" s="1075"/>
      <c r="AU3268" s="1193"/>
      <c r="AV3268" s="330"/>
      <c r="AW3268" s="331"/>
      <c r="AX3268" s="331"/>
      <c r="AY3268" s="331"/>
      <c r="AZ3268" s="331"/>
      <c r="BA3268" s="331"/>
      <c r="BB3268" s="331"/>
      <c r="BC3268" s="331"/>
      <c r="BD3268" s="331"/>
      <c r="BE3268" s="333"/>
      <c r="BF3268" s="330"/>
      <c r="BG3268" s="333"/>
      <c r="BH3268" s="1119"/>
      <c r="BI3268" s="319"/>
      <c r="BJ3268" s="319"/>
      <c r="BK3268" s="319"/>
      <c r="BL3268" s="319"/>
      <c r="BM3268" s="319"/>
      <c r="BN3268" s="319"/>
      <c r="BO3268" s="319"/>
      <c r="BP3268" s="953"/>
      <c r="BQ3268" s="319"/>
      <c r="BR3268" s="319"/>
      <c r="BS3268" s="330"/>
      <c r="BT3268" s="331"/>
      <c r="BU3268" s="920"/>
      <c r="BV3268" s="903"/>
      <c r="BW3268" s="908"/>
      <c r="BX3268" s="908"/>
      <c r="BY3268" s="331"/>
      <c r="BZ3268" s="331"/>
      <c r="CA3268" s="462"/>
      <c r="CB3268" s="319"/>
      <c r="CC3268" s="319"/>
      <c r="CD3268" s="319"/>
      <c r="CE3268" s="319"/>
      <c r="CF3268" s="319"/>
      <c r="CG3268" s="319"/>
      <c r="CH3268" s="318"/>
      <c r="CI3268" s="319"/>
      <c r="CJ3268" s="319"/>
      <c r="CK3268" s="342"/>
      <c r="CL3268" s="333"/>
      <c r="CM3268" s="1079"/>
      <c r="CN3268" s="1005"/>
      <c r="CO3268" s="1005"/>
      <c r="CP3268" s="1005"/>
    </row>
    <row r="3269">
      <c r="A3269" s="1257"/>
      <c r="B3269" s="1113"/>
      <c r="C3269" s="1107"/>
      <c r="D3269" s="103"/>
      <c r="E3269" s="1137"/>
      <c r="F3269" s="112"/>
      <c r="G3269" s="1110"/>
      <c r="H3269" s="1138"/>
      <c r="I3269" s="1138"/>
      <c r="J3269" s="1139"/>
      <c r="K3269" s="1111"/>
      <c r="L3269" s="1112"/>
      <c r="M3269" s="1113"/>
      <c r="N3269" s="110"/>
      <c r="O3269" s="1140"/>
      <c r="P3269" s="1115"/>
      <c r="Q3269" s="1116"/>
      <c r="R3269" s="1141"/>
      <c r="S3269" s="1113"/>
      <c r="T3269" s="1143"/>
      <c r="U3269" s="1108"/>
      <c r="V3269" s="1108"/>
      <c r="W3269" s="1108"/>
      <c r="X3269" s="1108"/>
      <c r="Y3269" s="1108"/>
      <c r="Z3269" s="1114"/>
      <c r="AA3269" s="1114"/>
      <c r="AB3269" s="1114"/>
      <c r="AC3269" s="1117"/>
      <c r="AD3269" s="1115"/>
      <c r="AE3269" s="1115"/>
      <c r="AF3269" s="1115"/>
      <c r="AG3269" s="1115"/>
      <c r="AH3269" s="1115"/>
      <c r="AI3269" s="1115"/>
      <c r="AJ3269" s="1117"/>
      <c r="AK3269" s="1118"/>
      <c r="AL3269" s="1115"/>
      <c r="AM3269" s="1115"/>
      <c r="AN3269" s="1115"/>
      <c r="AO3269" s="1115"/>
      <c r="AP3269" s="1115"/>
      <c r="AQ3269" s="1115"/>
      <c r="AR3269" s="1115"/>
      <c r="AS3269" s="1117"/>
      <c r="AT3269" s="1075"/>
      <c r="AU3269" s="1193"/>
      <c r="AV3269" s="330"/>
      <c r="AW3269" s="331"/>
      <c r="AX3269" s="331"/>
      <c r="AY3269" s="331"/>
      <c r="AZ3269" s="331"/>
      <c r="BA3269" s="331"/>
      <c r="BB3269" s="331"/>
      <c r="BC3269" s="331"/>
      <c r="BD3269" s="331"/>
      <c r="BE3269" s="333"/>
      <c r="BF3269" s="330"/>
      <c r="BG3269" s="333"/>
      <c r="BH3269" s="1119"/>
      <c r="BI3269" s="319"/>
      <c r="BJ3269" s="319"/>
      <c r="BK3269" s="319"/>
      <c r="BL3269" s="319"/>
      <c r="BM3269" s="319"/>
      <c r="BN3269" s="319"/>
      <c r="BO3269" s="319"/>
      <c r="BP3269" s="953"/>
      <c r="BQ3269" s="319"/>
      <c r="BR3269" s="319"/>
      <c r="BS3269" s="330"/>
      <c r="BT3269" s="331"/>
      <c r="BU3269" s="920"/>
      <c r="BV3269" s="903"/>
      <c r="BW3269" s="908"/>
      <c r="BX3269" s="908"/>
      <c r="BY3269" s="331"/>
      <c r="BZ3269" s="331"/>
      <c r="CA3269" s="462"/>
      <c r="CB3269" s="319"/>
      <c r="CC3269" s="319"/>
      <c r="CD3269" s="319"/>
      <c r="CE3269" s="319"/>
      <c r="CF3269" s="319"/>
      <c r="CG3269" s="319"/>
      <c r="CH3269" s="318"/>
      <c r="CI3269" s="319"/>
      <c r="CJ3269" s="319"/>
      <c r="CK3269" s="342"/>
      <c r="CL3269" s="333"/>
      <c r="CM3269" s="1079"/>
      <c r="CN3269" s="1005"/>
      <c r="CO3269" s="1005"/>
      <c r="CP3269" s="1005"/>
    </row>
    <row r="3270">
      <c r="A3270" s="1257"/>
      <c r="B3270" s="1113"/>
      <c r="C3270" s="1107"/>
      <c r="D3270" s="103"/>
      <c r="E3270" s="1137"/>
      <c r="F3270" s="112"/>
      <c r="G3270" s="1110"/>
      <c r="H3270" s="1138"/>
      <c r="I3270" s="1138"/>
      <c r="J3270" s="1139"/>
      <c r="K3270" s="1111"/>
      <c r="L3270" s="1112"/>
      <c r="M3270" s="1113"/>
      <c r="N3270" s="110"/>
      <c r="O3270" s="1140"/>
      <c r="P3270" s="1115"/>
      <c r="Q3270" s="1116"/>
      <c r="R3270" s="1141"/>
      <c r="S3270" s="1113"/>
      <c r="T3270" s="1143"/>
      <c r="U3270" s="1108"/>
      <c r="V3270" s="1108"/>
      <c r="W3270" s="1108"/>
      <c r="X3270" s="1108"/>
      <c r="Y3270" s="1108"/>
      <c r="Z3270" s="1114"/>
      <c r="AA3270" s="1114"/>
      <c r="AB3270" s="1114"/>
      <c r="AC3270" s="1117"/>
      <c r="AD3270" s="1115"/>
      <c r="AE3270" s="1115"/>
      <c r="AF3270" s="1115"/>
      <c r="AG3270" s="1115"/>
      <c r="AH3270" s="1115"/>
      <c r="AI3270" s="1115"/>
      <c r="AJ3270" s="1117"/>
      <c r="AK3270" s="1118"/>
      <c r="AL3270" s="1115"/>
      <c r="AM3270" s="1115"/>
      <c r="AN3270" s="1115"/>
      <c r="AO3270" s="1115"/>
      <c r="AP3270" s="1115"/>
      <c r="AQ3270" s="1115"/>
      <c r="AR3270" s="1115"/>
      <c r="AS3270" s="1117"/>
      <c r="AT3270" s="1075"/>
      <c r="AU3270" s="1193"/>
      <c r="AV3270" s="330"/>
      <c r="AW3270" s="331"/>
      <c r="AX3270" s="331"/>
      <c r="AY3270" s="331"/>
      <c r="AZ3270" s="331"/>
      <c r="BA3270" s="331"/>
      <c r="BB3270" s="331"/>
      <c r="BC3270" s="331"/>
      <c r="BD3270" s="331"/>
      <c r="BE3270" s="333"/>
      <c r="BF3270" s="330"/>
      <c r="BG3270" s="333"/>
      <c r="BH3270" s="1119"/>
      <c r="BI3270" s="319"/>
      <c r="BJ3270" s="319"/>
      <c r="BK3270" s="319"/>
      <c r="BL3270" s="319"/>
      <c r="BM3270" s="319"/>
      <c r="BN3270" s="319"/>
      <c r="BO3270" s="319"/>
      <c r="BP3270" s="953"/>
      <c r="BQ3270" s="319"/>
      <c r="BR3270" s="319"/>
      <c r="BS3270" s="330"/>
      <c r="BT3270" s="331"/>
      <c r="BU3270" s="920"/>
      <c r="BV3270" s="903"/>
      <c r="BW3270" s="908"/>
      <c r="BX3270" s="908"/>
      <c r="BY3270" s="331"/>
      <c r="BZ3270" s="331"/>
      <c r="CA3270" s="462"/>
      <c r="CB3270" s="319"/>
      <c r="CC3270" s="319"/>
      <c r="CD3270" s="319"/>
      <c r="CE3270" s="319"/>
      <c r="CF3270" s="319"/>
      <c r="CG3270" s="319"/>
      <c r="CH3270" s="318"/>
      <c r="CI3270" s="319"/>
      <c r="CJ3270" s="319"/>
      <c r="CK3270" s="342"/>
      <c r="CL3270" s="333"/>
      <c r="CM3270" s="1079"/>
      <c r="CN3270" s="1005"/>
      <c r="CO3270" s="1005"/>
      <c r="CP3270" s="1005"/>
    </row>
    <row r="3271">
      <c r="A3271" s="1257"/>
      <c r="B3271" s="1113"/>
      <c r="C3271" s="1107"/>
      <c r="D3271" s="103"/>
      <c r="E3271" s="1137"/>
      <c r="F3271" s="112"/>
      <c r="G3271" s="1110"/>
      <c r="H3271" s="1138"/>
      <c r="I3271" s="1138"/>
      <c r="J3271" s="1139"/>
      <c r="K3271" s="1111"/>
      <c r="L3271" s="1112"/>
      <c r="M3271" s="1113"/>
      <c r="N3271" s="110"/>
      <c r="O3271" s="1140"/>
      <c r="P3271" s="1115"/>
      <c r="Q3271" s="1116"/>
      <c r="R3271" s="1141"/>
      <c r="S3271" s="1113"/>
      <c r="T3271" s="1143"/>
      <c r="U3271" s="1108"/>
      <c r="V3271" s="1108"/>
      <c r="W3271" s="1108"/>
      <c r="X3271" s="1108"/>
      <c r="Y3271" s="1108"/>
      <c r="Z3271" s="1114"/>
      <c r="AA3271" s="1114"/>
      <c r="AB3271" s="1114"/>
      <c r="AC3271" s="1117"/>
      <c r="AD3271" s="1115"/>
      <c r="AE3271" s="1115"/>
      <c r="AF3271" s="1115"/>
      <c r="AG3271" s="1115"/>
      <c r="AH3271" s="1115"/>
      <c r="AI3271" s="1115"/>
      <c r="AJ3271" s="1117"/>
      <c r="AK3271" s="1118"/>
      <c r="AL3271" s="1115"/>
      <c r="AM3271" s="1115"/>
      <c r="AN3271" s="1115"/>
      <c r="AO3271" s="1115"/>
      <c r="AP3271" s="1115"/>
      <c r="AQ3271" s="1115"/>
      <c r="AR3271" s="1115"/>
      <c r="AS3271" s="1117"/>
      <c r="AT3271" s="1075"/>
      <c r="AU3271" s="1193"/>
      <c r="AV3271" s="330"/>
      <c r="AW3271" s="331"/>
      <c r="AX3271" s="331"/>
      <c r="AY3271" s="331"/>
      <c r="AZ3271" s="331"/>
      <c r="BA3271" s="331"/>
      <c r="BB3271" s="331"/>
      <c r="BC3271" s="331"/>
      <c r="BD3271" s="331"/>
      <c r="BE3271" s="333"/>
      <c r="BF3271" s="330"/>
      <c r="BG3271" s="333"/>
      <c r="BH3271" s="1119"/>
      <c r="BI3271" s="319"/>
      <c r="BJ3271" s="319"/>
      <c r="BK3271" s="319"/>
      <c r="BL3271" s="319"/>
      <c r="BM3271" s="319"/>
      <c r="BN3271" s="319"/>
      <c r="BO3271" s="319"/>
      <c r="BP3271" s="953"/>
      <c r="BQ3271" s="319"/>
      <c r="BR3271" s="319"/>
      <c r="BS3271" s="330"/>
      <c r="BT3271" s="331"/>
      <c r="BU3271" s="920"/>
      <c r="BV3271" s="903"/>
      <c r="BW3271" s="908"/>
      <c r="BX3271" s="908"/>
      <c r="BY3271" s="331"/>
      <c r="BZ3271" s="331"/>
      <c r="CA3271" s="462"/>
      <c r="CB3271" s="319"/>
      <c r="CC3271" s="319"/>
      <c r="CD3271" s="319"/>
      <c r="CE3271" s="319"/>
      <c r="CF3271" s="319"/>
      <c r="CG3271" s="319"/>
      <c r="CH3271" s="318"/>
      <c r="CI3271" s="319"/>
      <c r="CJ3271" s="319"/>
      <c r="CK3271" s="342"/>
      <c r="CL3271" s="333"/>
      <c r="CM3271" s="1079"/>
      <c r="CN3271" s="1005"/>
      <c r="CO3271" s="1005"/>
      <c r="CP3271" s="1005"/>
    </row>
    <row r="3272">
      <c r="A3272" s="1257"/>
      <c r="B3272" s="1113"/>
      <c r="C3272" s="1107"/>
      <c r="D3272" s="103"/>
      <c r="E3272" s="1137"/>
      <c r="F3272" s="112"/>
      <c r="G3272" s="1110"/>
      <c r="H3272" s="1138"/>
      <c r="I3272" s="1138"/>
      <c r="J3272" s="1139"/>
      <c r="K3272" s="1111"/>
      <c r="L3272" s="1112"/>
      <c r="M3272" s="1113"/>
      <c r="N3272" s="110"/>
      <c r="O3272" s="1140"/>
      <c r="P3272" s="1115"/>
      <c r="Q3272" s="1116"/>
      <c r="R3272" s="1141"/>
      <c r="S3272" s="1113"/>
      <c r="T3272" s="1143"/>
      <c r="U3272" s="1108"/>
      <c r="V3272" s="1108"/>
      <c r="W3272" s="1108"/>
      <c r="X3272" s="1108"/>
      <c r="Y3272" s="1108"/>
      <c r="Z3272" s="1114"/>
      <c r="AA3272" s="1114"/>
      <c r="AB3272" s="1114"/>
      <c r="AC3272" s="1117"/>
      <c r="AD3272" s="1115"/>
      <c r="AE3272" s="1115"/>
      <c r="AF3272" s="1115"/>
      <c r="AG3272" s="1115"/>
      <c r="AH3272" s="1115"/>
      <c r="AI3272" s="1115"/>
      <c r="AJ3272" s="1117"/>
      <c r="AK3272" s="1118"/>
      <c r="AL3272" s="1115"/>
      <c r="AM3272" s="1115"/>
      <c r="AN3272" s="1115"/>
      <c r="AO3272" s="1115"/>
      <c r="AP3272" s="1115"/>
      <c r="AQ3272" s="1115"/>
      <c r="AR3272" s="1115"/>
      <c r="AS3272" s="1117"/>
      <c r="AT3272" s="1075"/>
      <c r="AU3272" s="1193"/>
      <c r="AV3272" s="330"/>
      <c r="AW3272" s="331"/>
      <c r="AX3272" s="331"/>
      <c r="AY3272" s="331"/>
      <c r="AZ3272" s="331"/>
      <c r="BA3272" s="331"/>
      <c r="BB3272" s="331"/>
      <c r="BC3272" s="331"/>
      <c r="BD3272" s="331"/>
      <c r="BE3272" s="333"/>
      <c r="BF3272" s="330"/>
      <c r="BG3272" s="333"/>
      <c r="BH3272" s="1119"/>
      <c r="BI3272" s="319"/>
      <c r="BJ3272" s="319"/>
      <c r="BK3272" s="319"/>
      <c r="BL3272" s="319"/>
      <c r="BM3272" s="319"/>
      <c r="BN3272" s="319"/>
      <c r="BO3272" s="319"/>
      <c r="BP3272" s="953"/>
      <c r="BQ3272" s="319"/>
      <c r="BR3272" s="319"/>
      <c r="BS3272" s="330"/>
      <c r="BT3272" s="331"/>
      <c r="BU3272" s="920"/>
      <c r="BV3272" s="903"/>
      <c r="BW3272" s="908"/>
      <c r="BX3272" s="908"/>
      <c r="BY3272" s="331"/>
      <c r="BZ3272" s="331"/>
      <c r="CA3272" s="462"/>
      <c r="CB3272" s="319"/>
      <c r="CC3272" s="319"/>
      <c r="CD3272" s="319"/>
      <c r="CE3272" s="319"/>
      <c r="CF3272" s="319"/>
      <c r="CG3272" s="319"/>
      <c r="CH3272" s="318"/>
      <c r="CI3272" s="319"/>
      <c r="CJ3272" s="319"/>
      <c r="CK3272" s="342"/>
      <c r="CL3272" s="333"/>
      <c r="CM3272" s="1079"/>
      <c r="CN3272" s="1005"/>
      <c r="CO3272" s="1005"/>
      <c r="CP3272" s="1005"/>
    </row>
    <row r="3273">
      <c r="A3273" s="1257"/>
      <c r="B3273" s="1113"/>
      <c r="C3273" s="1107"/>
      <c r="D3273" s="103"/>
      <c r="E3273" s="1137"/>
      <c r="F3273" s="112"/>
      <c r="G3273" s="1110"/>
      <c r="H3273" s="1138"/>
      <c r="I3273" s="1138"/>
      <c r="J3273" s="1139"/>
      <c r="K3273" s="1111"/>
      <c r="L3273" s="1112"/>
      <c r="M3273" s="1113"/>
      <c r="N3273" s="110"/>
      <c r="O3273" s="1140"/>
      <c r="P3273" s="1115"/>
      <c r="Q3273" s="1116"/>
      <c r="R3273" s="1141"/>
      <c r="S3273" s="1113"/>
      <c r="T3273" s="1143"/>
      <c r="U3273" s="1108"/>
      <c r="V3273" s="1108"/>
      <c r="W3273" s="1108"/>
      <c r="X3273" s="1108"/>
      <c r="Y3273" s="1108"/>
      <c r="Z3273" s="1114"/>
      <c r="AA3273" s="1114"/>
      <c r="AB3273" s="1114"/>
      <c r="AC3273" s="1117"/>
      <c r="AD3273" s="1115"/>
      <c r="AE3273" s="1115"/>
      <c r="AF3273" s="1115"/>
      <c r="AG3273" s="1115"/>
      <c r="AH3273" s="1115"/>
      <c r="AI3273" s="1115"/>
      <c r="AJ3273" s="1117"/>
      <c r="AK3273" s="1118"/>
      <c r="AL3273" s="1115"/>
      <c r="AM3273" s="1115"/>
      <c r="AN3273" s="1115"/>
      <c r="AO3273" s="1115"/>
      <c r="AP3273" s="1115"/>
      <c r="AQ3273" s="1115"/>
      <c r="AR3273" s="1115"/>
      <c r="AS3273" s="1117"/>
      <c r="AT3273" s="1075"/>
      <c r="AU3273" s="1193"/>
      <c r="AV3273" s="330"/>
      <c r="AW3273" s="331"/>
      <c r="AX3273" s="331"/>
      <c r="AY3273" s="331"/>
      <c r="AZ3273" s="331"/>
      <c r="BA3273" s="331"/>
      <c r="BB3273" s="331"/>
      <c r="BC3273" s="331"/>
      <c r="BD3273" s="331"/>
      <c r="BE3273" s="333"/>
      <c r="BF3273" s="330"/>
      <c r="BG3273" s="333"/>
      <c r="BH3273" s="1119"/>
      <c r="BI3273" s="319"/>
      <c r="BJ3273" s="319"/>
      <c r="BK3273" s="319"/>
      <c r="BL3273" s="319"/>
      <c r="BM3273" s="319"/>
      <c r="BN3273" s="319"/>
      <c r="BO3273" s="319"/>
      <c r="BP3273" s="953"/>
      <c r="BQ3273" s="319"/>
      <c r="BR3273" s="319"/>
      <c r="BS3273" s="330"/>
      <c r="BT3273" s="331"/>
      <c r="BU3273" s="920"/>
      <c r="BV3273" s="903"/>
      <c r="BW3273" s="908"/>
      <c r="BX3273" s="908"/>
      <c r="BY3273" s="331"/>
      <c r="BZ3273" s="331"/>
      <c r="CA3273" s="462"/>
      <c r="CB3273" s="319"/>
      <c r="CC3273" s="319"/>
      <c r="CD3273" s="319"/>
      <c r="CE3273" s="319"/>
      <c r="CF3273" s="319"/>
      <c r="CG3273" s="319"/>
      <c r="CH3273" s="318"/>
      <c r="CI3273" s="319"/>
      <c r="CJ3273" s="319"/>
      <c r="CK3273" s="342"/>
      <c r="CL3273" s="333"/>
      <c r="CM3273" s="1079"/>
      <c r="CN3273" s="1005"/>
      <c r="CO3273" s="1005"/>
      <c r="CP3273" s="1005"/>
    </row>
    <row r="3274">
      <c r="A3274" s="1257"/>
      <c r="B3274" s="1113"/>
      <c r="C3274" s="1107"/>
      <c r="D3274" s="103"/>
      <c r="E3274" s="1137"/>
      <c r="F3274" s="112"/>
      <c r="G3274" s="1110"/>
      <c r="H3274" s="1138"/>
      <c r="I3274" s="1138"/>
      <c r="J3274" s="1139"/>
      <c r="K3274" s="1111"/>
      <c r="L3274" s="1112"/>
      <c r="M3274" s="1113"/>
      <c r="N3274" s="110"/>
      <c r="O3274" s="1140"/>
      <c r="P3274" s="1115"/>
      <c r="Q3274" s="1116"/>
      <c r="R3274" s="1141"/>
      <c r="S3274" s="1113"/>
      <c r="T3274" s="1143"/>
      <c r="U3274" s="1108"/>
      <c r="V3274" s="1108"/>
      <c r="W3274" s="1108"/>
      <c r="X3274" s="1108"/>
      <c r="Y3274" s="1108"/>
      <c r="Z3274" s="1114"/>
      <c r="AA3274" s="1114"/>
      <c r="AB3274" s="1114"/>
      <c r="AC3274" s="1117"/>
      <c r="AD3274" s="1115"/>
      <c r="AE3274" s="1115"/>
      <c r="AF3274" s="1115"/>
      <c r="AG3274" s="1115"/>
      <c r="AH3274" s="1115"/>
      <c r="AI3274" s="1115"/>
      <c r="AJ3274" s="1117"/>
      <c r="AK3274" s="1118"/>
      <c r="AL3274" s="1115"/>
      <c r="AM3274" s="1115"/>
      <c r="AN3274" s="1115"/>
      <c r="AO3274" s="1115"/>
      <c r="AP3274" s="1115"/>
      <c r="AQ3274" s="1115"/>
      <c r="AR3274" s="1115"/>
      <c r="AS3274" s="1117"/>
      <c r="AT3274" s="1075"/>
      <c r="AU3274" s="1193"/>
      <c r="AV3274" s="330"/>
      <c r="AW3274" s="331"/>
      <c r="AX3274" s="331"/>
      <c r="AY3274" s="331"/>
      <c r="AZ3274" s="331"/>
      <c r="BA3274" s="331"/>
      <c r="BB3274" s="331"/>
      <c r="BC3274" s="331"/>
      <c r="BD3274" s="331"/>
      <c r="BE3274" s="333"/>
      <c r="BF3274" s="330"/>
      <c r="BG3274" s="333"/>
      <c r="BH3274" s="1119"/>
      <c r="BI3274" s="319"/>
      <c r="BJ3274" s="319"/>
      <c r="BK3274" s="319"/>
      <c r="BL3274" s="319"/>
      <c r="BM3274" s="319"/>
      <c r="BN3274" s="319"/>
      <c r="BO3274" s="319"/>
      <c r="BP3274" s="953"/>
      <c r="BQ3274" s="319"/>
      <c r="BR3274" s="319"/>
      <c r="BS3274" s="330"/>
      <c r="BT3274" s="331"/>
      <c r="BU3274" s="920"/>
      <c r="BV3274" s="903"/>
      <c r="BW3274" s="908"/>
      <c r="BX3274" s="908"/>
      <c r="BY3274" s="331"/>
      <c r="BZ3274" s="331"/>
      <c r="CA3274" s="462"/>
      <c r="CB3274" s="319"/>
      <c r="CC3274" s="319"/>
      <c r="CD3274" s="319"/>
      <c r="CE3274" s="319"/>
      <c r="CF3274" s="319"/>
      <c r="CG3274" s="319"/>
      <c r="CH3274" s="318"/>
      <c r="CI3274" s="319"/>
      <c r="CJ3274" s="319"/>
      <c r="CK3274" s="342"/>
      <c r="CL3274" s="333"/>
      <c r="CM3274" s="1079"/>
      <c r="CN3274" s="1005"/>
      <c r="CO3274" s="1005"/>
      <c r="CP3274" s="1005"/>
    </row>
    <row r="3275">
      <c r="A3275" s="1257"/>
      <c r="B3275" s="1113"/>
      <c r="C3275" s="1107"/>
      <c r="D3275" s="103"/>
      <c r="E3275" s="1137"/>
      <c r="F3275" s="112"/>
      <c r="G3275" s="1110"/>
      <c r="H3275" s="1138"/>
      <c r="I3275" s="1138"/>
      <c r="J3275" s="1139"/>
      <c r="K3275" s="1111"/>
      <c r="L3275" s="1112"/>
      <c r="M3275" s="1113"/>
      <c r="N3275" s="110"/>
      <c r="O3275" s="1140"/>
      <c r="P3275" s="1115"/>
      <c r="Q3275" s="1116"/>
      <c r="R3275" s="1141"/>
      <c r="S3275" s="1113"/>
      <c r="T3275" s="1143"/>
      <c r="U3275" s="1108"/>
      <c r="V3275" s="1108"/>
      <c r="W3275" s="1108"/>
      <c r="X3275" s="1108"/>
      <c r="Y3275" s="1108"/>
      <c r="Z3275" s="1114"/>
      <c r="AA3275" s="1114"/>
      <c r="AB3275" s="1114"/>
      <c r="AC3275" s="1117"/>
      <c r="AD3275" s="1115"/>
      <c r="AE3275" s="1115"/>
      <c r="AF3275" s="1115"/>
      <c r="AG3275" s="1115"/>
      <c r="AH3275" s="1115"/>
      <c r="AI3275" s="1115"/>
      <c r="AJ3275" s="1117"/>
      <c r="AK3275" s="1118"/>
      <c r="AL3275" s="1115"/>
      <c r="AM3275" s="1115"/>
      <c r="AN3275" s="1115"/>
      <c r="AO3275" s="1115"/>
      <c r="AP3275" s="1115"/>
      <c r="AQ3275" s="1115"/>
      <c r="AR3275" s="1115"/>
      <c r="AS3275" s="1117"/>
      <c r="AT3275" s="1075"/>
      <c r="AU3275" s="1193"/>
      <c r="AV3275" s="330"/>
      <c r="AW3275" s="331"/>
      <c r="AX3275" s="331"/>
      <c r="AY3275" s="331"/>
      <c r="AZ3275" s="331"/>
      <c r="BA3275" s="331"/>
      <c r="BB3275" s="331"/>
      <c r="BC3275" s="331"/>
      <c r="BD3275" s="331"/>
      <c r="BE3275" s="333"/>
      <c r="BF3275" s="330"/>
      <c r="BG3275" s="333"/>
      <c r="BH3275" s="1119"/>
      <c r="BI3275" s="319"/>
      <c r="BJ3275" s="319"/>
      <c r="BK3275" s="319"/>
      <c r="BL3275" s="319"/>
      <c r="BM3275" s="319"/>
      <c r="BN3275" s="319"/>
      <c r="BO3275" s="319"/>
      <c r="BP3275" s="953"/>
      <c r="BQ3275" s="319"/>
      <c r="BR3275" s="319"/>
      <c r="BS3275" s="330"/>
      <c r="BT3275" s="331"/>
      <c r="BU3275" s="920"/>
      <c r="BV3275" s="903"/>
      <c r="BW3275" s="908"/>
      <c r="BX3275" s="908"/>
      <c r="BY3275" s="331"/>
      <c r="BZ3275" s="331"/>
      <c r="CA3275" s="462"/>
      <c r="CB3275" s="319"/>
      <c r="CC3275" s="319"/>
      <c r="CD3275" s="319"/>
      <c r="CE3275" s="319"/>
      <c r="CF3275" s="319"/>
      <c r="CG3275" s="319"/>
      <c r="CH3275" s="318"/>
      <c r="CI3275" s="319"/>
      <c r="CJ3275" s="319"/>
      <c r="CK3275" s="342"/>
      <c r="CL3275" s="333"/>
      <c r="CM3275" s="1079"/>
      <c r="CN3275" s="1005"/>
      <c r="CO3275" s="1005"/>
      <c r="CP3275" s="1005"/>
    </row>
    <row r="3276">
      <c r="A3276" s="1257"/>
      <c r="B3276" s="1113"/>
      <c r="C3276" s="1107"/>
      <c r="D3276" s="103"/>
      <c r="E3276" s="1137"/>
      <c r="F3276" s="112"/>
      <c r="G3276" s="1110"/>
      <c r="H3276" s="1138"/>
      <c r="I3276" s="1138"/>
      <c r="J3276" s="1139"/>
      <c r="K3276" s="1111"/>
      <c r="L3276" s="1112"/>
      <c r="M3276" s="1113"/>
      <c r="N3276" s="110"/>
      <c r="O3276" s="1140"/>
      <c r="P3276" s="1115"/>
      <c r="Q3276" s="1116"/>
      <c r="R3276" s="1141"/>
      <c r="S3276" s="1113"/>
      <c r="T3276" s="1143"/>
      <c r="U3276" s="1108"/>
      <c r="V3276" s="1108"/>
      <c r="W3276" s="1108"/>
      <c r="X3276" s="1108"/>
      <c r="Y3276" s="1108"/>
      <c r="Z3276" s="1114"/>
      <c r="AA3276" s="1114"/>
      <c r="AB3276" s="1114"/>
      <c r="AC3276" s="1117"/>
      <c r="AD3276" s="1115"/>
      <c r="AE3276" s="1115"/>
      <c r="AF3276" s="1115"/>
      <c r="AG3276" s="1115"/>
      <c r="AH3276" s="1115"/>
      <c r="AI3276" s="1115"/>
      <c r="AJ3276" s="1117"/>
      <c r="AK3276" s="1118"/>
      <c r="AL3276" s="1115"/>
      <c r="AM3276" s="1115"/>
      <c r="AN3276" s="1115"/>
      <c r="AO3276" s="1115"/>
      <c r="AP3276" s="1115"/>
      <c r="AQ3276" s="1115"/>
      <c r="AR3276" s="1115"/>
      <c r="AS3276" s="1117"/>
      <c r="AT3276" s="1075"/>
      <c r="AU3276" s="1193"/>
      <c r="AV3276" s="330"/>
      <c r="AW3276" s="331"/>
      <c r="AX3276" s="331"/>
      <c r="AY3276" s="331"/>
      <c r="AZ3276" s="331"/>
      <c r="BA3276" s="331"/>
      <c r="BB3276" s="331"/>
      <c r="BC3276" s="331"/>
      <c r="BD3276" s="331"/>
      <c r="BE3276" s="333"/>
      <c r="BF3276" s="330"/>
      <c r="BG3276" s="333"/>
      <c r="BH3276" s="1119"/>
      <c r="BI3276" s="319"/>
      <c r="BJ3276" s="319"/>
      <c r="BK3276" s="319"/>
      <c r="BL3276" s="319"/>
      <c r="BM3276" s="319"/>
      <c r="BN3276" s="319"/>
      <c r="BO3276" s="319"/>
      <c r="BP3276" s="953"/>
      <c r="BQ3276" s="319"/>
      <c r="BR3276" s="319"/>
      <c r="BS3276" s="330"/>
      <c r="BT3276" s="331"/>
      <c r="BU3276" s="920"/>
      <c r="BV3276" s="903"/>
      <c r="BW3276" s="908"/>
      <c r="BX3276" s="908"/>
      <c r="BY3276" s="331"/>
      <c r="BZ3276" s="331"/>
      <c r="CA3276" s="462"/>
      <c r="CB3276" s="319"/>
      <c r="CC3276" s="319"/>
      <c r="CD3276" s="319"/>
      <c r="CE3276" s="319"/>
      <c r="CF3276" s="319"/>
      <c r="CG3276" s="319"/>
      <c r="CH3276" s="318"/>
      <c r="CI3276" s="319"/>
      <c r="CJ3276" s="319"/>
      <c r="CK3276" s="342"/>
      <c r="CL3276" s="333"/>
      <c r="CM3276" s="1079"/>
      <c r="CN3276" s="1005"/>
      <c r="CO3276" s="1005"/>
      <c r="CP3276" s="1005"/>
    </row>
    <row r="3277">
      <c r="A3277" s="1257"/>
      <c r="B3277" s="1113"/>
      <c r="C3277" s="1107"/>
      <c r="D3277" s="103"/>
      <c r="E3277" s="1137"/>
      <c r="F3277" s="112"/>
      <c r="G3277" s="1110"/>
      <c r="H3277" s="1138"/>
      <c r="I3277" s="1138"/>
      <c r="J3277" s="1139"/>
      <c r="K3277" s="1111"/>
      <c r="L3277" s="1112"/>
      <c r="M3277" s="1113"/>
      <c r="N3277" s="110"/>
      <c r="O3277" s="1140"/>
      <c r="P3277" s="1115"/>
      <c r="Q3277" s="1116"/>
      <c r="R3277" s="1141"/>
      <c r="S3277" s="1113"/>
      <c r="T3277" s="1143"/>
      <c r="U3277" s="1108"/>
      <c r="V3277" s="1108"/>
      <c r="W3277" s="1108"/>
      <c r="X3277" s="1108"/>
      <c r="Y3277" s="1108"/>
      <c r="Z3277" s="1114"/>
      <c r="AA3277" s="1114"/>
      <c r="AB3277" s="1114"/>
      <c r="AC3277" s="1117"/>
      <c r="AD3277" s="1115"/>
      <c r="AE3277" s="1115"/>
      <c r="AF3277" s="1115"/>
      <c r="AG3277" s="1115"/>
      <c r="AH3277" s="1115"/>
      <c r="AI3277" s="1115"/>
      <c r="AJ3277" s="1117"/>
      <c r="AK3277" s="1118"/>
      <c r="AL3277" s="1115"/>
      <c r="AM3277" s="1115"/>
      <c r="AN3277" s="1115"/>
      <c r="AO3277" s="1115"/>
      <c r="AP3277" s="1115"/>
      <c r="AQ3277" s="1115"/>
      <c r="AR3277" s="1115"/>
      <c r="AS3277" s="1117"/>
      <c r="AT3277" s="1075"/>
      <c r="AU3277" s="1193"/>
      <c r="AV3277" s="330"/>
      <c r="AW3277" s="331"/>
      <c r="AX3277" s="331"/>
      <c r="AY3277" s="331"/>
      <c r="AZ3277" s="331"/>
      <c r="BA3277" s="331"/>
      <c r="BB3277" s="331"/>
      <c r="BC3277" s="331"/>
      <c r="BD3277" s="331"/>
      <c r="BE3277" s="333"/>
      <c r="BF3277" s="330"/>
      <c r="BG3277" s="333"/>
      <c r="BH3277" s="1119"/>
      <c r="BI3277" s="319"/>
      <c r="BJ3277" s="319"/>
      <c r="BK3277" s="319"/>
      <c r="BL3277" s="319"/>
      <c r="BM3277" s="319"/>
      <c r="BN3277" s="319"/>
      <c r="BO3277" s="319"/>
      <c r="BP3277" s="953"/>
      <c r="BQ3277" s="319"/>
      <c r="BR3277" s="319"/>
      <c r="BS3277" s="330"/>
      <c r="BT3277" s="331"/>
      <c r="BU3277" s="920"/>
      <c r="BV3277" s="903"/>
      <c r="BW3277" s="908"/>
      <c r="BX3277" s="908"/>
      <c r="BY3277" s="331"/>
      <c r="BZ3277" s="331"/>
      <c r="CA3277" s="462"/>
      <c r="CB3277" s="319"/>
      <c r="CC3277" s="319"/>
      <c r="CD3277" s="319"/>
      <c r="CE3277" s="319"/>
      <c r="CF3277" s="319"/>
      <c r="CG3277" s="319"/>
      <c r="CH3277" s="318"/>
      <c r="CI3277" s="319"/>
      <c r="CJ3277" s="319"/>
      <c r="CK3277" s="342"/>
      <c r="CL3277" s="333"/>
      <c r="CM3277" s="1079"/>
      <c r="CN3277" s="1005"/>
      <c r="CO3277" s="1005"/>
      <c r="CP3277" s="1005"/>
    </row>
    <row r="3278">
      <c r="A3278" s="1257"/>
      <c r="B3278" s="1113"/>
      <c r="C3278" s="1107"/>
      <c r="D3278" s="103"/>
      <c r="E3278" s="1137"/>
      <c r="F3278" s="112"/>
      <c r="G3278" s="1110"/>
      <c r="H3278" s="1138"/>
      <c r="I3278" s="1138"/>
      <c r="J3278" s="1139"/>
      <c r="K3278" s="1111"/>
      <c r="L3278" s="1112"/>
      <c r="M3278" s="1113"/>
      <c r="N3278" s="110"/>
      <c r="O3278" s="1140"/>
      <c r="P3278" s="1115"/>
      <c r="Q3278" s="1116"/>
      <c r="R3278" s="1141"/>
      <c r="S3278" s="1113"/>
      <c r="T3278" s="1143"/>
      <c r="U3278" s="1108"/>
      <c r="V3278" s="1108"/>
      <c r="W3278" s="1108"/>
      <c r="X3278" s="1108"/>
      <c r="Y3278" s="1108"/>
      <c r="Z3278" s="1114"/>
      <c r="AA3278" s="1114"/>
      <c r="AB3278" s="1114"/>
      <c r="AC3278" s="1117"/>
      <c r="AD3278" s="1115"/>
      <c r="AE3278" s="1115"/>
      <c r="AF3278" s="1115"/>
      <c r="AG3278" s="1115"/>
      <c r="AH3278" s="1115"/>
      <c r="AI3278" s="1115"/>
      <c r="AJ3278" s="1117"/>
      <c r="AK3278" s="1118"/>
      <c r="AL3278" s="1115"/>
      <c r="AM3278" s="1115"/>
      <c r="AN3278" s="1115"/>
      <c r="AO3278" s="1115"/>
      <c r="AP3278" s="1115"/>
      <c r="AQ3278" s="1115"/>
      <c r="AR3278" s="1115"/>
      <c r="AS3278" s="1117"/>
      <c r="AT3278" s="1075"/>
      <c r="AU3278" s="1193"/>
      <c r="AV3278" s="330"/>
      <c r="AW3278" s="331"/>
      <c r="AX3278" s="331"/>
      <c r="AY3278" s="331"/>
      <c r="AZ3278" s="331"/>
      <c r="BA3278" s="331"/>
      <c r="BB3278" s="331"/>
      <c r="BC3278" s="331"/>
      <c r="BD3278" s="331"/>
      <c r="BE3278" s="333"/>
      <c r="BF3278" s="330"/>
      <c r="BG3278" s="333"/>
      <c r="BH3278" s="1119"/>
      <c r="BI3278" s="319"/>
      <c r="BJ3278" s="319"/>
      <c r="BK3278" s="319"/>
      <c r="BL3278" s="319"/>
      <c r="BM3278" s="319"/>
      <c r="BN3278" s="319"/>
      <c r="BO3278" s="319"/>
      <c r="BP3278" s="953"/>
      <c r="BQ3278" s="319"/>
      <c r="BR3278" s="319"/>
      <c r="BS3278" s="330"/>
      <c r="BT3278" s="331"/>
      <c r="BU3278" s="920"/>
      <c r="BV3278" s="903"/>
      <c r="BW3278" s="908"/>
      <c r="BX3278" s="908"/>
      <c r="BY3278" s="331"/>
      <c r="BZ3278" s="331"/>
      <c r="CA3278" s="462"/>
      <c r="CB3278" s="319"/>
      <c r="CC3278" s="319"/>
      <c r="CD3278" s="319"/>
      <c r="CE3278" s="319"/>
      <c r="CF3278" s="319"/>
      <c r="CG3278" s="319"/>
      <c r="CH3278" s="318"/>
      <c r="CI3278" s="319"/>
      <c r="CJ3278" s="319"/>
      <c r="CK3278" s="342"/>
      <c r="CL3278" s="333"/>
      <c r="CM3278" s="1079"/>
      <c r="CN3278" s="1005"/>
      <c r="CO3278" s="1005"/>
      <c r="CP3278" s="1005"/>
    </row>
    <row r="3279">
      <c r="A3279" s="1257"/>
      <c r="B3279" s="1113"/>
      <c r="C3279" s="1107"/>
      <c r="D3279" s="103"/>
      <c r="E3279" s="1137"/>
      <c r="F3279" s="112"/>
      <c r="G3279" s="1110"/>
      <c r="H3279" s="1138"/>
      <c r="I3279" s="1138"/>
      <c r="J3279" s="1139"/>
      <c r="K3279" s="1111"/>
      <c r="L3279" s="1112"/>
      <c r="M3279" s="1113"/>
      <c r="N3279" s="110"/>
      <c r="O3279" s="1140"/>
      <c r="P3279" s="1115"/>
      <c r="Q3279" s="1116"/>
      <c r="R3279" s="1141"/>
      <c r="S3279" s="1113"/>
      <c r="T3279" s="1143"/>
      <c r="U3279" s="1108"/>
      <c r="V3279" s="1108"/>
      <c r="W3279" s="1108"/>
      <c r="X3279" s="1108"/>
      <c r="Y3279" s="1108"/>
      <c r="Z3279" s="1114"/>
      <c r="AA3279" s="1114"/>
      <c r="AB3279" s="1114"/>
      <c r="AC3279" s="1117"/>
      <c r="AD3279" s="1115"/>
      <c r="AE3279" s="1115"/>
      <c r="AF3279" s="1115"/>
      <c r="AG3279" s="1115"/>
      <c r="AH3279" s="1115"/>
      <c r="AI3279" s="1115"/>
      <c r="AJ3279" s="1117"/>
      <c r="AK3279" s="1118"/>
      <c r="AL3279" s="1115"/>
      <c r="AM3279" s="1115"/>
      <c r="AN3279" s="1115"/>
      <c r="AO3279" s="1115"/>
      <c r="AP3279" s="1115"/>
      <c r="AQ3279" s="1115"/>
      <c r="AR3279" s="1115"/>
      <c r="AS3279" s="1117"/>
      <c r="AT3279" s="1075"/>
      <c r="AU3279" s="1193"/>
      <c r="AV3279" s="330"/>
      <c r="AW3279" s="331"/>
      <c r="AX3279" s="331"/>
      <c r="AY3279" s="331"/>
      <c r="AZ3279" s="331"/>
      <c r="BA3279" s="331"/>
      <c r="BB3279" s="331"/>
      <c r="BC3279" s="331"/>
      <c r="BD3279" s="331"/>
      <c r="BE3279" s="333"/>
      <c r="BF3279" s="330"/>
      <c r="BG3279" s="333"/>
      <c r="BH3279" s="1119"/>
      <c r="BI3279" s="319"/>
      <c r="BJ3279" s="319"/>
      <c r="BK3279" s="319"/>
      <c r="BL3279" s="319"/>
      <c r="BM3279" s="319"/>
      <c r="BN3279" s="319"/>
      <c r="BO3279" s="319"/>
      <c r="BP3279" s="953"/>
      <c r="BQ3279" s="319"/>
      <c r="BR3279" s="319"/>
      <c r="BS3279" s="330"/>
      <c r="BT3279" s="331"/>
      <c r="BU3279" s="920"/>
      <c r="BV3279" s="903"/>
      <c r="BW3279" s="908"/>
      <c r="BX3279" s="908"/>
      <c r="BY3279" s="331"/>
      <c r="BZ3279" s="331"/>
      <c r="CA3279" s="462"/>
      <c r="CB3279" s="319"/>
      <c r="CC3279" s="319"/>
      <c r="CD3279" s="319"/>
      <c r="CE3279" s="319"/>
      <c r="CF3279" s="319"/>
      <c r="CG3279" s="319"/>
      <c r="CH3279" s="318"/>
      <c r="CI3279" s="319"/>
      <c r="CJ3279" s="319"/>
      <c r="CK3279" s="342"/>
      <c r="CL3279" s="333"/>
      <c r="CM3279" s="1079"/>
      <c r="CN3279" s="1005"/>
      <c r="CO3279" s="1005"/>
      <c r="CP3279" s="1005"/>
    </row>
    <row r="3280">
      <c r="A3280" s="1257"/>
      <c r="B3280" s="1113"/>
      <c r="C3280" s="1107"/>
      <c r="D3280" s="103"/>
      <c r="E3280" s="1137"/>
      <c r="F3280" s="112"/>
      <c r="G3280" s="1110"/>
      <c r="H3280" s="1138"/>
      <c r="I3280" s="1138"/>
      <c r="J3280" s="1139"/>
      <c r="K3280" s="1111"/>
      <c r="L3280" s="1112"/>
      <c r="M3280" s="1113"/>
      <c r="N3280" s="110"/>
      <c r="O3280" s="1140"/>
      <c r="P3280" s="1115"/>
      <c r="Q3280" s="1116"/>
      <c r="R3280" s="1141"/>
      <c r="S3280" s="1113"/>
      <c r="T3280" s="1143"/>
      <c r="U3280" s="1108"/>
      <c r="V3280" s="1108"/>
      <c r="W3280" s="1108"/>
      <c r="X3280" s="1108"/>
      <c r="Y3280" s="1108"/>
      <c r="Z3280" s="1114"/>
      <c r="AA3280" s="1114"/>
      <c r="AB3280" s="1114"/>
      <c r="AC3280" s="1117"/>
      <c r="AD3280" s="1115"/>
      <c r="AE3280" s="1115"/>
      <c r="AF3280" s="1115"/>
      <c r="AG3280" s="1115"/>
      <c r="AH3280" s="1115"/>
      <c r="AI3280" s="1115"/>
      <c r="AJ3280" s="1117"/>
      <c r="AK3280" s="1118"/>
      <c r="AL3280" s="1115"/>
      <c r="AM3280" s="1115"/>
      <c r="AN3280" s="1115"/>
      <c r="AO3280" s="1115"/>
      <c r="AP3280" s="1115"/>
      <c r="AQ3280" s="1115"/>
      <c r="AR3280" s="1115"/>
      <c r="AS3280" s="1117"/>
      <c r="AT3280" s="1075"/>
      <c r="AU3280" s="1193"/>
      <c r="AV3280" s="330"/>
      <c r="AW3280" s="331"/>
      <c r="AX3280" s="331"/>
      <c r="AY3280" s="331"/>
      <c r="AZ3280" s="331"/>
      <c r="BA3280" s="331"/>
      <c r="BB3280" s="331"/>
      <c r="BC3280" s="331"/>
      <c r="BD3280" s="331"/>
      <c r="BE3280" s="333"/>
      <c r="BF3280" s="330"/>
      <c r="BG3280" s="333"/>
      <c r="BH3280" s="1119"/>
      <c r="BI3280" s="319"/>
      <c r="BJ3280" s="319"/>
      <c r="BK3280" s="319"/>
      <c r="BL3280" s="319"/>
      <c r="BM3280" s="319"/>
      <c r="BN3280" s="319"/>
      <c r="BO3280" s="319"/>
      <c r="BP3280" s="953"/>
      <c r="BQ3280" s="319"/>
      <c r="BR3280" s="319"/>
      <c r="BS3280" s="330"/>
      <c r="BT3280" s="331"/>
      <c r="BU3280" s="920"/>
      <c r="BV3280" s="903"/>
      <c r="BW3280" s="908"/>
      <c r="BX3280" s="908"/>
      <c r="BY3280" s="331"/>
      <c r="BZ3280" s="331"/>
      <c r="CA3280" s="462"/>
      <c r="CB3280" s="319"/>
      <c r="CC3280" s="319"/>
      <c r="CD3280" s="319"/>
      <c r="CE3280" s="319"/>
      <c r="CF3280" s="319"/>
      <c r="CG3280" s="319"/>
      <c r="CH3280" s="318"/>
      <c r="CI3280" s="319"/>
      <c r="CJ3280" s="319"/>
      <c r="CK3280" s="342"/>
      <c r="CL3280" s="333"/>
      <c r="CM3280" s="1079"/>
      <c r="CN3280" s="1005"/>
      <c r="CO3280" s="1005"/>
      <c r="CP3280" s="1005"/>
    </row>
    <row r="3281">
      <c r="A3281" s="1257"/>
      <c r="B3281" s="1113"/>
      <c r="C3281" s="1107"/>
      <c r="D3281" s="103"/>
      <c r="E3281" s="1137"/>
      <c r="F3281" s="112"/>
      <c r="G3281" s="1110"/>
      <c r="H3281" s="1138"/>
      <c r="I3281" s="1138"/>
      <c r="J3281" s="1139"/>
      <c r="K3281" s="1111"/>
      <c r="L3281" s="1112"/>
      <c r="M3281" s="1113"/>
      <c r="N3281" s="110"/>
      <c r="O3281" s="1140"/>
      <c r="P3281" s="1115"/>
      <c r="Q3281" s="1116"/>
      <c r="R3281" s="1141"/>
      <c r="S3281" s="1113"/>
      <c r="T3281" s="1143"/>
      <c r="U3281" s="1108"/>
      <c r="V3281" s="1108"/>
      <c r="W3281" s="1108"/>
      <c r="X3281" s="1108"/>
      <c r="Y3281" s="1108"/>
      <c r="Z3281" s="1114"/>
      <c r="AA3281" s="1114"/>
      <c r="AB3281" s="1114"/>
      <c r="AC3281" s="1117"/>
      <c r="AD3281" s="1115"/>
      <c r="AE3281" s="1115"/>
      <c r="AF3281" s="1115"/>
      <c r="AG3281" s="1115"/>
      <c r="AH3281" s="1115"/>
      <c r="AI3281" s="1115"/>
      <c r="AJ3281" s="1117"/>
      <c r="AK3281" s="1118"/>
      <c r="AL3281" s="1115"/>
      <c r="AM3281" s="1115"/>
      <c r="AN3281" s="1115"/>
      <c r="AO3281" s="1115"/>
      <c r="AP3281" s="1115"/>
      <c r="AQ3281" s="1115"/>
      <c r="AR3281" s="1115"/>
      <c r="AS3281" s="1117"/>
      <c r="AT3281" s="1075"/>
      <c r="AU3281" s="1193"/>
      <c r="AV3281" s="330"/>
      <c r="AW3281" s="331"/>
      <c r="AX3281" s="331"/>
      <c r="AY3281" s="331"/>
      <c r="AZ3281" s="331"/>
      <c r="BA3281" s="331"/>
      <c r="BB3281" s="331"/>
      <c r="BC3281" s="331"/>
      <c r="BD3281" s="331"/>
      <c r="BE3281" s="333"/>
      <c r="BF3281" s="330"/>
      <c r="BG3281" s="333"/>
      <c r="BH3281" s="1119"/>
      <c r="BI3281" s="319"/>
      <c r="BJ3281" s="319"/>
      <c r="BK3281" s="319"/>
      <c r="BL3281" s="319"/>
      <c r="BM3281" s="319"/>
      <c r="BN3281" s="319"/>
      <c r="BO3281" s="319"/>
      <c r="BP3281" s="953"/>
      <c r="BQ3281" s="319"/>
      <c r="BR3281" s="319"/>
      <c r="BS3281" s="330"/>
      <c r="BT3281" s="331"/>
      <c r="BU3281" s="920"/>
      <c r="BV3281" s="903"/>
      <c r="BW3281" s="908"/>
      <c r="BX3281" s="908"/>
      <c r="BY3281" s="331"/>
      <c r="BZ3281" s="331"/>
      <c r="CA3281" s="462"/>
      <c r="CB3281" s="319"/>
      <c r="CC3281" s="319"/>
      <c r="CD3281" s="319"/>
      <c r="CE3281" s="319"/>
      <c r="CF3281" s="319"/>
      <c r="CG3281" s="319"/>
      <c r="CH3281" s="318"/>
      <c r="CI3281" s="319"/>
      <c r="CJ3281" s="319"/>
      <c r="CK3281" s="342"/>
      <c r="CL3281" s="333"/>
      <c r="CM3281" s="1079"/>
      <c r="CN3281" s="1005"/>
      <c r="CO3281" s="1005"/>
      <c r="CP3281" s="1005"/>
    </row>
    <row r="3282">
      <c r="A3282" s="1257"/>
      <c r="B3282" s="1113"/>
      <c r="C3282" s="1107"/>
      <c r="D3282" s="103"/>
      <c r="E3282" s="1137"/>
      <c r="F3282" s="112"/>
      <c r="G3282" s="1110"/>
      <c r="H3282" s="1138"/>
      <c r="I3282" s="1138"/>
      <c r="J3282" s="1139"/>
      <c r="K3282" s="1111"/>
      <c r="L3282" s="1112"/>
      <c r="M3282" s="1113"/>
      <c r="N3282" s="110"/>
      <c r="O3282" s="1140"/>
      <c r="P3282" s="1115"/>
      <c r="Q3282" s="1116"/>
      <c r="R3282" s="1141"/>
      <c r="S3282" s="1113"/>
      <c r="T3282" s="1143"/>
      <c r="U3282" s="1108"/>
      <c r="V3282" s="1108"/>
      <c r="W3282" s="1108"/>
      <c r="X3282" s="1108"/>
      <c r="Y3282" s="1108"/>
      <c r="Z3282" s="1114"/>
      <c r="AA3282" s="1114"/>
      <c r="AB3282" s="1114"/>
      <c r="AC3282" s="1117"/>
      <c r="AD3282" s="1115"/>
      <c r="AE3282" s="1115"/>
      <c r="AF3282" s="1115"/>
      <c r="AG3282" s="1115"/>
      <c r="AH3282" s="1115"/>
      <c r="AI3282" s="1115"/>
      <c r="AJ3282" s="1117"/>
      <c r="AK3282" s="1118"/>
      <c r="AL3282" s="1115"/>
      <c r="AM3282" s="1115"/>
      <c r="AN3282" s="1115"/>
      <c r="AO3282" s="1115"/>
      <c r="AP3282" s="1115"/>
      <c r="AQ3282" s="1115"/>
      <c r="AR3282" s="1115"/>
      <c r="AS3282" s="1117"/>
      <c r="AT3282" s="1075"/>
      <c r="AU3282" s="1193"/>
      <c r="AV3282" s="330"/>
      <c r="AW3282" s="331"/>
      <c r="AX3282" s="331"/>
      <c r="AY3282" s="331"/>
      <c r="AZ3282" s="331"/>
      <c r="BA3282" s="331"/>
      <c r="BB3282" s="331"/>
      <c r="BC3282" s="331"/>
      <c r="BD3282" s="331"/>
      <c r="BE3282" s="333"/>
      <c r="BF3282" s="330"/>
      <c r="BG3282" s="333"/>
      <c r="BH3282" s="1119"/>
      <c r="BI3282" s="319"/>
      <c r="BJ3282" s="319"/>
      <c r="BK3282" s="319"/>
      <c r="BL3282" s="319"/>
      <c r="BM3282" s="319"/>
      <c r="BN3282" s="319"/>
      <c r="BO3282" s="319"/>
      <c r="BP3282" s="953"/>
      <c r="BQ3282" s="319"/>
      <c r="BR3282" s="319"/>
      <c r="BS3282" s="330"/>
      <c r="BT3282" s="331"/>
      <c r="BU3282" s="920"/>
      <c r="BV3282" s="903"/>
      <c r="BW3282" s="908"/>
      <c r="BX3282" s="908"/>
      <c r="BY3282" s="331"/>
      <c r="BZ3282" s="331"/>
      <c r="CA3282" s="462"/>
      <c r="CB3282" s="319"/>
      <c r="CC3282" s="319"/>
      <c r="CD3282" s="319"/>
      <c r="CE3282" s="319"/>
      <c r="CF3282" s="319"/>
      <c r="CG3282" s="319"/>
      <c r="CH3282" s="318"/>
      <c r="CI3282" s="319"/>
      <c r="CJ3282" s="319"/>
      <c r="CK3282" s="342"/>
      <c r="CL3282" s="333"/>
      <c r="CM3282" s="1079"/>
      <c r="CN3282" s="1005"/>
      <c r="CO3282" s="1005"/>
      <c r="CP3282" s="1005"/>
    </row>
    <row r="3283">
      <c r="A3283" s="1257"/>
      <c r="B3283" s="1113"/>
      <c r="C3283" s="1107"/>
      <c r="D3283" s="103"/>
      <c r="E3283" s="1137"/>
      <c r="F3283" s="112"/>
      <c r="G3283" s="1110"/>
      <c r="H3283" s="1138"/>
      <c r="I3283" s="1138"/>
      <c r="J3283" s="1139"/>
      <c r="K3283" s="1111"/>
      <c r="L3283" s="1112"/>
      <c r="M3283" s="1113"/>
      <c r="N3283" s="110"/>
      <c r="O3283" s="1140"/>
      <c r="P3283" s="1115"/>
      <c r="Q3283" s="1116"/>
      <c r="R3283" s="1141"/>
      <c r="S3283" s="1113"/>
      <c r="T3283" s="1143"/>
      <c r="U3283" s="1108"/>
      <c r="V3283" s="1108"/>
      <c r="W3283" s="1108"/>
      <c r="X3283" s="1108"/>
      <c r="Y3283" s="1108"/>
      <c r="Z3283" s="1114"/>
      <c r="AA3283" s="1114"/>
      <c r="AB3283" s="1114"/>
      <c r="AC3283" s="1117"/>
      <c r="AD3283" s="1115"/>
      <c r="AE3283" s="1115"/>
      <c r="AF3283" s="1115"/>
      <c r="AG3283" s="1115"/>
      <c r="AH3283" s="1115"/>
      <c r="AI3283" s="1115"/>
      <c r="AJ3283" s="1117"/>
      <c r="AK3283" s="1118"/>
      <c r="AL3283" s="1115"/>
      <c r="AM3283" s="1115"/>
      <c r="AN3283" s="1115"/>
      <c r="AO3283" s="1115"/>
      <c r="AP3283" s="1115"/>
      <c r="AQ3283" s="1115"/>
      <c r="AR3283" s="1115"/>
      <c r="AS3283" s="1117"/>
      <c r="AT3283" s="1075"/>
      <c r="AU3283" s="1193"/>
      <c r="AV3283" s="330"/>
      <c r="AW3283" s="331"/>
      <c r="AX3283" s="331"/>
      <c r="AY3283" s="331"/>
      <c r="AZ3283" s="331"/>
      <c r="BA3283" s="331"/>
      <c r="BB3283" s="331"/>
      <c r="BC3283" s="331"/>
      <c r="BD3283" s="331"/>
      <c r="BE3283" s="333"/>
      <c r="BF3283" s="330"/>
      <c r="BG3283" s="333"/>
      <c r="BH3283" s="1119"/>
      <c r="BI3283" s="319"/>
      <c r="BJ3283" s="319"/>
      <c r="BK3283" s="319"/>
      <c r="BL3283" s="319"/>
      <c r="BM3283" s="319"/>
      <c r="BN3283" s="319"/>
      <c r="BO3283" s="319"/>
      <c r="BP3283" s="953"/>
      <c r="BQ3283" s="319"/>
      <c r="BR3283" s="319"/>
      <c r="BS3283" s="330"/>
      <c r="BT3283" s="331"/>
      <c r="BU3283" s="920"/>
      <c r="BV3283" s="903"/>
      <c r="BW3283" s="908"/>
      <c r="BX3283" s="908"/>
      <c r="BY3283" s="331"/>
      <c r="BZ3283" s="331"/>
      <c r="CA3283" s="462"/>
      <c r="CB3283" s="319"/>
      <c r="CC3283" s="319"/>
      <c r="CD3283" s="319"/>
      <c r="CE3283" s="319"/>
      <c r="CF3283" s="319"/>
      <c r="CG3283" s="319"/>
      <c r="CH3283" s="318"/>
      <c r="CI3283" s="319"/>
      <c r="CJ3283" s="319"/>
      <c r="CK3283" s="342"/>
      <c r="CL3283" s="333"/>
      <c r="CM3283" s="1079"/>
      <c r="CN3283" s="1005"/>
      <c r="CO3283" s="1005"/>
      <c r="CP3283" s="1005"/>
    </row>
    <row r="3284">
      <c r="A3284" s="1257"/>
      <c r="B3284" s="1113"/>
      <c r="C3284" s="1107"/>
      <c r="D3284" s="103"/>
      <c r="E3284" s="1137"/>
      <c r="F3284" s="112"/>
      <c r="G3284" s="1110"/>
      <c r="H3284" s="1138"/>
      <c r="I3284" s="1138"/>
      <c r="J3284" s="1139"/>
      <c r="K3284" s="1111"/>
      <c r="L3284" s="1112"/>
      <c r="M3284" s="1113"/>
      <c r="N3284" s="110"/>
      <c r="O3284" s="1140"/>
      <c r="P3284" s="1115"/>
      <c r="Q3284" s="1116"/>
      <c r="R3284" s="1141"/>
      <c r="S3284" s="1113"/>
      <c r="T3284" s="1143"/>
      <c r="U3284" s="1108"/>
      <c r="V3284" s="1108"/>
      <c r="W3284" s="1108"/>
      <c r="X3284" s="1108"/>
      <c r="Y3284" s="1108"/>
      <c r="Z3284" s="1114"/>
      <c r="AA3284" s="1114"/>
      <c r="AB3284" s="1114"/>
      <c r="AC3284" s="1117"/>
      <c r="AD3284" s="1115"/>
      <c r="AE3284" s="1115"/>
      <c r="AF3284" s="1115"/>
      <c r="AG3284" s="1115"/>
      <c r="AH3284" s="1115"/>
      <c r="AI3284" s="1115"/>
      <c r="AJ3284" s="1117"/>
      <c r="AK3284" s="1118"/>
      <c r="AL3284" s="1115"/>
      <c r="AM3284" s="1115"/>
      <c r="AN3284" s="1115"/>
      <c r="AO3284" s="1115"/>
      <c r="AP3284" s="1115"/>
      <c r="AQ3284" s="1115"/>
      <c r="AR3284" s="1115"/>
      <c r="AS3284" s="1117"/>
      <c r="AT3284" s="1075"/>
      <c r="AU3284" s="1193"/>
      <c r="AV3284" s="330"/>
      <c r="AW3284" s="331"/>
      <c r="AX3284" s="331"/>
      <c r="AY3284" s="331"/>
      <c r="AZ3284" s="331"/>
      <c r="BA3284" s="331"/>
      <c r="BB3284" s="331"/>
      <c r="BC3284" s="331"/>
      <c r="BD3284" s="331"/>
      <c r="BE3284" s="333"/>
      <c r="BF3284" s="330"/>
      <c r="BG3284" s="333"/>
      <c r="BH3284" s="1119"/>
      <c r="BI3284" s="319"/>
      <c r="BJ3284" s="319"/>
      <c r="BK3284" s="319"/>
      <c r="BL3284" s="319"/>
      <c r="BM3284" s="319"/>
      <c r="BN3284" s="319"/>
      <c r="BO3284" s="319"/>
      <c r="BP3284" s="953"/>
      <c r="BQ3284" s="319"/>
      <c r="BR3284" s="319"/>
      <c r="BS3284" s="330"/>
      <c r="BT3284" s="331"/>
      <c r="BU3284" s="920"/>
      <c r="BV3284" s="903"/>
      <c r="BW3284" s="908"/>
      <c r="BX3284" s="908"/>
      <c r="BY3284" s="331"/>
      <c r="BZ3284" s="331"/>
      <c r="CA3284" s="462"/>
      <c r="CB3284" s="319"/>
      <c r="CC3284" s="319"/>
      <c r="CD3284" s="319"/>
      <c r="CE3284" s="319"/>
      <c r="CF3284" s="319"/>
      <c r="CG3284" s="319"/>
      <c r="CH3284" s="318"/>
      <c r="CI3284" s="319"/>
      <c r="CJ3284" s="319"/>
      <c r="CK3284" s="342"/>
      <c r="CL3284" s="333"/>
      <c r="CM3284" s="1079"/>
      <c r="CN3284" s="1005"/>
      <c r="CO3284" s="1005"/>
      <c r="CP3284" s="1005"/>
    </row>
    <row r="3285">
      <c r="A3285" s="1257"/>
      <c r="B3285" s="1113"/>
      <c r="C3285" s="1107"/>
      <c r="D3285" s="103"/>
      <c r="E3285" s="1137"/>
      <c r="F3285" s="112"/>
      <c r="G3285" s="1110"/>
      <c r="H3285" s="1138"/>
      <c r="I3285" s="1138"/>
      <c r="J3285" s="1139"/>
      <c r="K3285" s="1111"/>
      <c r="L3285" s="1112"/>
      <c r="M3285" s="1113"/>
      <c r="N3285" s="110"/>
      <c r="O3285" s="1140"/>
      <c r="P3285" s="1115"/>
      <c r="Q3285" s="1116"/>
      <c r="R3285" s="1141"/>
      <c r="S3285" s="1113"/>
      <c r="T3285" s="1143"/>
      <c r="U3285" s="1108"/>
      <c r="V3285" s="1108"/>
      <c r="W3285" s="1108"/>
      <c r="X3285" s="1108"/>
      <c r="Y3285" s="1108"/>
      <c r="Z3285" s="1114"/>
      <c r="AA3285" s="1114"/>
      <c r="AB3285" s="1114"/>
      <c r="AC3285" s="1117"/>
      <c r="AD3285" s="1115"/>
      <c r="AE3285" s="1115"/>
      <c r="AF3285" s="1115"/>
      <c r="AG3285" s="1115"/>
      <c r="AH3285" s="1115"/>
      <c r="AI3285" s="1115"/>
      <c r="AJ3285" s="1117"/>
      <c r="AK3285" s="1118"/>
      <c r="AL3285" s="1115"/>
      <c r="AM3285" s="1115"/>
      <c r="AN3285" s="1115"/>
      <c r="AO3285" s="1115"/>
      <c r="AP3285" s="1115"/>
      <c r="AQ3285" s="1115"/>
      <c r="AR3285" s="1115"/>
      <c r="AS3285" s="1117"/>
      <c r="AT3285" s="1075"/>
      <c r="AU3285" s="1193"/>
      <c r="AV3285" s="330"/>
      <c r="AW3285" s="331"/>
      <c r="AX3285" s="331"/>
      <c r="AY3285" s="331"/>
      <c r="AZ3285" s="331"/>
      <c r="BA3285" s="331"/>
      <c r="BB3285" s="331"/>
      <c r="BC3285" s="331"/>
      <c r="BD3285" s="331"/>
      <c r="BE3285" s="333"/>
      <c r="BF3285" s="330"/>
      <c r="BG3285" s="333"/>
      <c r="BH3285" s="1119"/>
      <c r="BI3285" s="319"/>
      <c r="BJ3285" s="319"/>
      <c r="BK3285" s="319"/>
      <c r="BL3285" s="319"/>
      <c r="BM3285" s="319"/>
      <c r="BN3285" s="319"/>
      <c r="BO3285" s="319"/>
      <c r="BP3285" s="953"/>
      <c r="BQ3285" s="319"/>
      <c r="BR3285" s="319"/>
      <c r="BS3285" s="330"/>
      <c r="BT3285" s="331"/>
      <c r="BU3285" s="920"/>
      <c r="BV3285" s="903"/>
      <c r="BW3285" s="908"/>
      <c r="BX3285" s="908"/>
      <c r="BY3285" s="331"/>
      <c r="BZ3285" s="331"/>
      <c r="CA3285" s="462"/>
      <c r="CB3285" s="319"/>
      <c r="CC3285" s="319"/>
      <c r="CD3285" s="319"/>
      <c r="CE3285" s="319"/>
      <c r="CF3285" s="319"/>
      <c r="CG3285" s="319"/>
      <c r="CH3285" s="318"/>
      <c r="CI3285" s="319"/>
      <c r="CJ3285" s="319"/>
      <c r="CK3285" s="342"/>
      <c r="CL3285" s="333"/>
      <c r="CM3285" s="1079"/>
      <c r="CN3285" s="1005"/>
      <c r="CO3285" s="1005"/>
      <c r="CP3285" s="1005"/>
    </row>
    <row r="3286">
      <c r="A3286" s="1257"/>
      <c r="B3286" s="1113"/>
      <c r="C3286" s="1107"/>
      <c r="D3286" s="103"/>
      <c r="E3286" s="1137"/>
      <c r="F3286" s="112"/>
      <c r="G3286" s="1110"/>
      <c r="H3286" s="1138"/>
      <c r="I3286" s="1138"/>
      <c r="J3286" s="1139"/>
      <c r="K3286" s="1111"/>
      <c r="L3286" s="1112"/>
      <c r="M3286" s="1113"/>
      <c r="N3286" s="110"/>
      <c r="O3286" s="1140"/>
      <c r="P3286" s="1115"/>
      <c r="Q3286" s="1116"/>
      <c r="R3286" s="1141"/>
      <c r="S3286" s="1113"/>
      <c r="T3286" s="1143"/>
      <c r="U3286" s="1108"/>
      <c r="V3286" s="1108"/>
      <c r="W3286" s="1108"/>
      <c r="X3286" s="1108"/>
      <c r="Y3286" s="1108"/>
      <c r="Z3286" s="1114"/>
      <c r="AA3286" s="1114"/>
      <c r="AB3286" s="1114"/>
      <c r="AC3286" s="1117"/>
      <c r="AD3286" s="1115"/>
      <c r="AE3286" s="1115"/>
      <c r="AF3286" s="1115"/>
      <c r="AG3286" s="1115"/>
      <c r="AH3286" s="1115"/>
      <c r="AI3286" s="1115"/>
      <c r="AJ3286" s="1117"/>
      <c r="AK3286" s="1118"/>
      <c r="AL3286" s="1115"/>
      <c r="AM3286" s="1115"/>
      <c r="AN3286" s="1115"/>
      <c r="AO3286" s="1115"/>
      <c r="AP3286" s="1115"/>
      <c r="AQ3286" s="1115"/>
      <c r="AR3286" s="1115"/>
      <c r="AS3286" s="1117"/>
      <c r="AT3286" s="1075"/>
      <c r="AU3286" s="1193"/>
      <c r="AV3286" s="330"/>
      <c r="AW3286" s="331"/>
      <c r="AX3286" s="331"/>
      <c r="AY3286" s="331"/>
      <c r="AZ3286" s="331"/>
      <c r="BA3286" s="331"/>
      <c r="BB3286" s="331"/>
      <c r="BC3286" s="331"/>
      <c r="BD3286" s="331"/>
      <c r="BE3286" s="333"/>
      <c r="BF3286" s="330"/>
      <c r="BG3286" s="333"/>
      <c r="BH3286" s="1119"/>
      <c r="BI3286" s="319"/>
      <c r="BJ3286" s="319"/>
      <c r="BK3286" s="319"/>
      <c r="BL3286" s="319"/>
      <c r="BM3286" s="319"/>
      <c r="BN3286" s="319"/>
      <c r="BO3286" s="319"/>
      <c r="BP3286" s="953"/>
      <c r="BQ3286" s="319"/>
      <c r="BR3286" s="319"/>
      <c r="BS3286" s="330"/>
      <c r="BT3286" s="331"/>
      <c r="BU3286" s="920"/>
      <c r="BV3286" s="903"/>
      <c r="BW3286" s="908"/>
      <c r="BX3286" s="908"/>
      <c r="BY3286" s="331"/>
      <c r="BZ3286" s="331"/>
      <c r="CA3286" s="462"/>
      <c r="CB3286" s="319"/>
      <c r="CC3286" s="319"/>
      <c r="CD3286" s="319"/>
      <c r="CE3286" s="319"/>
      <c r="CF3286" s="319"/>
      <c r="CG3286" s="319"/>
      <c r="CH3286" s="318"/>
      <c r="CI3286" s="319"/>
      <c r="CJ3286" s="319"/>
      <c r="CK3286" s="342"/>
      <c r="CL3286" s="333"/>
      <c r="CM3286" s="1079"/>
      <c r="CN3286" s="1005"/>
      <c r="CO3286" s="1005"/>
      <c r="CP3286" s="1005"/>
    </row>
    <row r="3287">
      <c r="A3287" s="1257"/>
      <c r="B3287" s="1113"/>
      <c r="C3287" s="1107"/>
      <c r="D3287" s="103"/>
      <c r="E3287" s="1137"/>
      <c r="F3287" s="112"/>
      <c r="G3287" s="1110"/>
      <c r="H3287" s="1138"/>
      <c r="I3287" s="1138"/>
      <c r="J3287" s="1139"/>
      <c r="K3287" s="1111"/>
      <c r="L3287" s="1112"/>
      <c r="M3287" s="1113"/>
      <c r="N3287" s="110"/>
      <c r="O3287" s="1140"/>
      <c r="P3287" s="1115"/>
      <c r="Q3287" s="1116"/>
      <c r="R3287" s="1141"/>
      <c r="S3287" s="1113"/>
      <c r="T3287" s="1143"/>
      <c r="U3287" s="1108"/>
      <c r="V3287" s="1108"/>
      <c r="W3287" s="1108"/>
      <c r="X3287" s="1108"/>
      <c r="Y3287" s="1108"/>
      <c r="Z3287" s="1114"/>
      <c r="AA3287" s="1114"/>
      <c r="AB3287" s="1114"/>
      <c r="AC3287" s="1117"/>
      <c r="AD3287" s="1115"/>
      <c r="AE3287" s="1115"/>
      <c r="AF3287" s="1115"/>
      <c r="AG3287" s="1115"/>
      <c r="AH3287" s="1115"/>
      <c r="AI3287" s="1115"/>
      <c r="AJ3287" s="1117"/>
      <c r="AK3287" s="1118"/>
      <c r="AL3287" s="1115"/>
      <c r="AM3287" s="1115"/>
      <c r="AN3287" s="1115"/>
      <c r="AO3287" s="1115"/>
      <c r="AP3287" s="1115"/>
      <c r="AQ3287" s="1115"/>
      <c r="AR3287" s="1115"/>
      <c r="AS3287" s="1117"/>
      <c r="AT3287" s="1075"/>
      <c r="AU3287" s="1193"/>
      <c r="AV3287" s="330"/>
      <c r="AW3287" s="331"/>
      <c r="AX3287" s="331"/>
      <c r="AY3287" s="331"/>
      <c r="AZ3287" s="331"/>
      <c r="BA3287" s="331"/>
      <c r="BB3287" s="331"/>
      <c r="BC3287" s="331"/>
      <c r="BD3287" s="331"/>
      <c r="BE3287" s="333"/>
      <c r="BF3287" s="330"/>
      <c r="BG3287" s="333"/>
      <c r="BH3287" s="1119"/>
      <c r="BI3287" s="319"/>
      <c r="BJ3287" s="319"/>
      <c r="BK3287" s="319"/>
      <c r="BL3287" s="319"/>
      <c r="BM3287" s="319"/>
      <c r="BN3287" s="319"/>
      <c r="BO3287" s="319"/>
      <c r="BP3287" s="953"/>
      <c r="BQ3287" s="319"/>
      <c r="BR3287" s="319"/>
      <c r="BS3287" s="330"/>
      <c r="BT3287" s="331"/>
      <c r="BU3287" s="920"/>
      <c r="BV3287" s="903"/>
      <c r="BW3287" s="908"/>
      <c r="BX3287" s="908"/>
      <c r="BY3287" s="331"/>
      <c r="BZ3287" s="331"/>
      <c r="CA3287" s="462"/>
      <c r="CB3287" s="319"/>
      <c r="CC3287" s="319"/>
      <c r="CD3287" s="319"/>
      <c r="CE3287" s="319"/>
      <c r="CF3287" s="319"/>
      <c r="CG3287" s="319"/>
      <c r="CH3287" s="318"/>
      <c r="CI3287" s="319"/>
      <c r="CJ3287" s="319"/>
      <c r="CK3287" s="342"/>
      <c r="CL3287" s="333"/>
      <c r="CM3287" s="1079"/>
      <c r="CN3287" s="1005"/>
      <c r="CO3287" s="1005"/>
      <c r="CP3287" s="1005"/>
    </row>
    <row r="3288">
      <c r="A3288" s="1257"/>
      <c r="B3288" s="1113"/>
      <c r="C3288" s="1107"/>
      <c r="D3288" s="103"/>
      <c r="E3288" s="1137"/>
      <c r="F3288" s="112"/>
      <c r="G3288" s="1110"/>
      <c r="H3288" s="1138"/>
      <c r="I3288" s="1138"/>
      <c r="J3288" s="1139"/>
      <c r="K3288" s="1111"/>
      <c r="L3288" s="1112"/>
      <c r="M3288" s="1113"/>
      <c r="N3288" s="110"/>
      <c r="O3288" s="1140"/>
      <c r="P3288" s="1115"/>
      <c r="Q3288" s="1116"/>
      <c r="R3288" s="1141"/>
      <c r="S3288" s="1113"/>
      <c r="T3288" s="1143"/>
      <c r="U3288" s="1108"/>
      <c r="V3288" s="1108"/>
      <c r="W3288" s="1108"/>
      <c r="X3288" s="1108"/>
      <c r="Y3288" s="1108"/>
      <c r="Z3288" s="1114"/>
      <c r="AA3288" s="1114"/>
      <c r="AB3288" s="1114"/>
      <c r="AC3288" s="1117"/>
      <c r="AD3288" s="1115"/>
      <c r="AE3288" s="1115"/>
      <c r="AF3288" s="1115"/>
      <c r="AG3288" s="1115"/>
      <c r="AH3288" s="1115"/>
      <c r="AI3288" s="1115"/>
      <c r="AJ3288" s="1117"/>
      <c r="AK3288" s="1118"/>
      <c r="AL3288" s="1115"/>
      <c r="AM3288" s="1115"/>
      <c r="AN3288" s="1115"/>
      <c r="AO3288" s="1115"/>
      <c r="AP3288" s="1115"/>
      <c r="AQ3288" s="1115"/>
      <c r="AR3288" s="1115"/>
      <c r="AS3288" s="1117"/>
      <c r="AT3288" s="1075"/>
      <c r="AU3288" s="1193"/>
      <c r="AV3288" s="330"/>
      <c r="AW3288" s="331"/>
      <c r="AX3288" s="331"/>
      <c r="AY3288" s="331"/>
      <c r="AZ3288" s="331"/>
      <c r="BA3288" s="331"/>
      <c r="BB3288" s="331"/>
      <c r="BC3288" s="331"/>
      <c r="BD3288" s="331"/>
      <c r="BE3288" s="333"/>
      <c r="BF3288" s="330"/>
      <c r="BG3288" s="333"/>
      <c r="BH3288" s="1119"/>
      <c r="BI3288" s="319"/>
      <c r="BJ3288" s="319"/>
      <c r="BK3288" s="319"/>
      <c r="BL3288" s="319"/>
      <c r="BM3288" s="319"/>
      <c r="BN3288" s="319"/>
      <c r="BO3288" s="319"/>
      <c r="BP3288" s="953"/>
      <c r="BQ3288" s="319"/>
      <c r="BR3288" s="319"/>
      <c r="BS3288" s="330"/>
      <c r="BT3288" s="331"/>
      <c r="BU3288" s="920"/>
      <c r="BV3288" s="903"/>
      <c r="BW3288" s="908"/>
      <c r="BX3288" s="908"/>
      <c r="BY3288" s="331"/>
      <c r="BZ3288" s="331"/>
      <c r="CA3288" s="462"/>
      <c r="CB3288" s="319"/>
      <c r="CC3288" s="319"/>
      <c r="CD3288" s="319"/>
      <c r="CE3288" s="319"/>
      <c r="CF3288" s="319"/>
      <c r="CG3288" s="319"/>
      <c r="CH3288" s="318"/>
      <c r="CI3288" s="319"/>
      <c r="CJ3288" s="319"/>
      <c r="CK3288" s="342"/>
      <c r="CL3288" s="333"/>
      <c r="CM3288" s="1079"/>
      <c r="CN3288" s="1005"/>
      <c r="CO3288" s="1005"/>
      <c r="CP3288" s="1005"/>
    </row>
    <row r="3289">
      <c r="A3289" s="1257"/>
      <c r="B3289" s="1113"/>
      <c r="C3289" s="1107"/>
      <c r="D3289" s="103"/>
      <c r="E3289" s="1137"/>
      <c r="F3289" s="112"/>
      <c r="G3289" s="1110"/>
      <c r="H3289" s="1138"/>
      <c r="I3289" s="1138"/>
      <c r="J3289" s="1139"/>
      <c r="K3289" s="1111"/>
      <c r="L3289" s="1112"/>
      <c r="M3289" s="1113"/>
      <c r="N3289" s="110"/>
      <c r="O3289" s="1140"/>
      <c r="P3289" s="1115"/>
      <c r="Q3289" s="1116"/>
      <c r="R3289" s="1141"/>
      <c r="S3289" s="1113"/>
      <c r="T3289" s="1143"/>
      <c r="U3289" s="1108"/>
      <c r="V3289" s="1108"/>
      <c r="W3289" s="1108"/>
      <c r="X3289" s="1108"/>
      <c r="Y3289" s="1108"/>
      <c r="Z3289" s="1114"/>
      <c r="AA3289" s="1114"/>
      <c r="AB3289" s="1114"/>
      <c r="AC3289" s="1117"/>
      <c r="AD3289" s="1115"/>
      <c r="AE3289" s="1115"/>
      <c r="AF3289" s="1115"/>
      <c r="AG3289" s="1115"/>
      <c r="AH3289" s="1115"/>
      <c r="AI3289" s="1115"/>
      <c r="AJ3289" s="1117"/>
      <c r="AK3289" s="1118"/>
      <c r="AL3289" s="1115"/>
      <c r="AM3289" s="1115"/>
      <c r="AN3289" s="1115"/>
      <c r="AO3289" s="1115"/>
      <c r="AP3289" s="1115"/>
      <c r="AQ3289" s="1115"/>
      <c r="AR3289" s="1115"/>
      <c r="AS3289" s="1117"/>
      <c r="AT3289" s="1075"/>
      <c r="AU3289" s="1193"/>
      <c r="AV3289" s="330"/>
      <c r="AW3289" s="331"/>
      <c r="AX3289" s="331"/>
      <c r="AY3289" s="331"/>
      <c r="AZ3289" s="331"/>
      <c r="BA3289" s="331"/>
      <c r="BB3289" s="331"/>
      <c r="BC3289" s="331"/>
      <c r="BD3289" s="331"/>
      <c r="BE3289" s="333"/>
      <c r="BF3289" s="330"/>
      <c r="BG3289" s="333"/>
      <c r="BH3289" s="1119"/>
      <c r="BI3289" s="319"/>
      <c r="BJ3289" s="319"/>
      <c r="BK3289" s="319"/>
      <c r="BL3289" s="319"/>
      <c r="BM3289" s="319"/>
      <c r="BN3289" s="319"/>
      <c r="BO3289" s="319"/>
      <c r="BP3289" s="953"/>
      <c r="BQ3289" s="319"/>
      <c r="BR3289" s="319"/>
      <c r="BS3289" s="330"/>
      <c r="BT3289" s="331"/>
      <c r="BU3289" s="920"/>
      <c r="BV3289" s="903"/>
      <c r="BW3289" s="908"/>
      <c r="BX3289" s="908"/>
      <c r="BY3289" s="331"/>
      <c r="BZ3289" s="331"/>
      <c r="CA3289" s="462"/>
      <c r="CB3289" s="319"/>
      <c r="CC3289" s="319"/>
      <c r="CD3289" s="319"/>
      <c r="CE3289" s="319"/>
      <c r="CF3289" s="319"/>
      <c r="CG3289" s="319"/>
      <c r="CH3289" s="318"/>
      <c r="CI3289" s="319"/>
      <c r="CJ3289" s="319"/>
      <c r="CK3289" s="342"/>
      <c r="CL3289" s="333"/>
      <c r="CM3289" s="1079"/>
      <c r="CN3289" s="1005"/>
      <c r="CO3289" s="1005"/>
      <c r="CP3289" s="1005"/>
    </row>
    <row r="3290">
      <c r="A3290" s="1257"/>
      <c r="B3290" s="1113"/>
      <c r="C3290" s="1107"/>
      <c r="D3290" s="103"/>
      <c r="E3290" s="1137"/>
      <c r="F3290" s="112"/>
      <c r="G3290" s="1110"/>
      <c r="H3290" s="1138"/>
      <c r="I3290" s="1138"/>
      <c r="J3290" s="1139"/>
      <c r="K3290" s="1111"/>
      <c r="L3290" s="1112"/>
      <c r="M3290" s="1113"/>
      <c r="N3290" s="110"/>
      <c r="O3290" s="1140"/>
      <c r="P3290" s="1115"/>
      <c r="Q3290" s="1116"/>
      <c r="R3290" s="1141"/>
      <c r="S3290" s="1113"/>
      <c r="T3290" s="1143"/>
      <c r="U3290" s="1108"/>
      <c r="V3290" s="1108"/>
      <c r="W3290" s="1108"/>
      <c r="X3290" s="1108"/>
      <c r="Y3290" s="1108"/>
      <c r="Z3290" s="1114"/>
      <c r="AA3290" s="1114"/>
      <c r="AB3290" s="1114"/>
      <c r="AC3290" s="1117"/>
      <c r="AD3290" s="1115"/>
      <c r="AE3290" s="1115"/>
      <c r="AF3290" s="1115"/>
      <c r="AG3290" s="1115"/>
      <c r="AH3290" s="1115"/>
      <c r="AI3290" s="1115"/>
      <c r="AJ3290" s="1117"/>
      <c r="AK3290" s="1118"/>
      <c r="AL3290" s="1115"/>
      <c r="AM3290" s="1115"/>
      <c r="AN3290" s="1115"/>
      <c r="AO3290" s="1115"/>
      <c r="AP3290" s="1115"/>
      <c r="AQ3290" s="1115"/>
      <c r="AR3290" s="1115"/>
      <c r="AS3290" s="1117"/>
      <c r="AT3290" s="1075"/>
      <c r="AU3290" s="1193"/>
      <c r="AV3290" s="330"/>
      <c r="AW3290" s="331"/>
      <c r="AX3290" s="331"/>
      <c r="AY3290" s="331"/>
      <c r="AZ3290" s="331"/>
      <c r="BA3290" s="331"/>
      <c r="BB3290" s="331"/>
      <c r="BC3290" s="331"/>
      <c r="BD3290" s="331"/>
      <c r="BE3290" s="333"/>
      <c r="BF3290" s="330"/>
      <c r="BG3290" s="333"/>
      <c r="BH3290" s="1119"/>
      <c r="BI3290" s="319"/>
      <c r="BJ3290" s="319"/>
      <c r="BK3290" s="319"/>
      <c r="BL3290" s="319"/>
      <c r="BM3290" s="319"/>
      <c r="BN3290" s="319"/>
      <c r="BO3290" s="319"/>
      <c r="BP3290" s="953"/>
      <c r="BQ3290" s="319"/>
      <c r="BR3290" s="319"/>
      <c r="BS3290" s="330"/>
      <c r="BT3290" s="331"/>
      <c r="BU3290" s="920"/>
      <c r="BV3290" s="903"/>
      <c r="BW3290" s="908"/>
      <c r="BX3290" s="908"/>
      <c r="BY3290" s="331"/>
      <c r="BZ3290" s="331"/>
      <c r="CA3290" s="462"/>
      <c r="CB3290" s="319"/>
      <c r="CC3290" s="319"/>
      <c r="CD3290" s="319"/>
      <c r="CE3290" s="319"/>
      <c r="CF3290" s="319"/>
      <c r="CG3290" s="319"/>
      <c r="CH3290" s="318"/>
      <c r="CI3290" s="319"/>
      <c r="CJ3290" s="319"/>
      <c r="CK3290" s="342"/>
      <c r="CL3290" s="333"/>
      <c r="CM3290" s="1079"/>
      <c r="CN3290" s="1005"/>
      <c r="CO3290" s="1005"/>
      <c r="CP3290" s="1005"/>
    </row>
    <row r="3291">
      <c r="A3291" s="1257"/>
      <c r="B3291" s="1113"/>
      <c r="C3291" s="1107"/>
      <c r="D3291" s="103"/>
      <c r="E3291" s="1137"/>
      <c r="F3291" s="112"/>
      <c r="G3291" s="1110"/>
      <c r="H3291" s="1138"/>
      <c r="I3291" s="1138"/>
      <c r="J3291" s="1139"/>
      <c r="K3291" s="1111"/>
      <c r="L3291" s="1112"/>
      <c r="M3291" s="1113"/>
      <c r="N3291" s="110"/>
      <c r="O3291" s="1140"/>
      <c r="P3291" s="1115"/>
      <c r="Q3291" s="1116"/>
      <c r="R3291" s="1141"/>
      <c r="S3291" s="1113"/>
      <c r="T3291" s="1143"/>
      <c r="U3291" s="1108"/>
      <c r="V3291" s="1108"/>
      <c r="W3291" s="1108"/>
      <c r="X3291" s="1108"/>
      <c r="Y3291" s="1108"/>
      <c r="Z3291" s="1114"/>
      <c r="AA3291" s="1114"/>
      <c r="AB3291" s="1114"/>
      <c r="AC3291" s="1117"/>
      <c r="AD3291" s="1115"/>
      <c r="AE3291" s="1115"/>
      <c r="AF3291" s="1115"/>
      <c r="AG3291" s="1115"/>
      <c r="AH3291" s="1115"/>
      <c r="AI3291" s="1115"/>
      <c r="AJ3291" s="1117"/>
      <c r="AK3291" s="1118"/>
      <c r="AL3291" s="1115"/>
      <c r="AM3291" s="1115"/>
      <c r="AN3291" s="1115"/>
      <c r="AO3291" s="1115"/>
      <c r="AP3291" s="1115"/>
      <c r="AQ3291" s="1115"/>
      <c r="AR3291" s="1115"/>
      <c r="AS3291" s="1117"/>
      <c r="AT3291" s="1075"/>
      <c r="AU3291" s="1193"/>
      <c r="AV3291" s="330"/>
      <c r="AW3291" s="331"/>
      <c r="AX3291" s="331"/>
      <c r="AY3291" s="331"/>
      <c r="AZ3291" s="331"/>
      <c r="BA3291" s="331"/>
      <c r="BB3291" s="331"/>
      <c r="BC3291" s="331"/>
      <c r="BD3291" s="331"/>
      <c r="BE3291" s="333"/>
      <c r="BF3291" s="330"/>
      <c r="BG3291" s="333"/>
      <c r="BH3291" s="1119"/>
      <c r="BI3291" s="319"/>
      <c r="BJ3291" s="319"/>
      <c r="BK3291" s="319"/>
      <c r="BL3291" s="319"/>
      <c r="BM3291" s="319"/>
      <c r="BN3291" s="319"/>
      <c r="BO3291" s="319"/>
      <c r="BP3291" s="953"/>
      <c r="BQ3291" s="319"/>
      <c r="BR3291" s="319"/>
      <c r="BS3291" s="330"/>
      <c r="BT3291" s="331"/>
      <c r="BU3291" s="920"/>
      <c r="BV3291" s="903"/>
      <c r="BW3291" s="908"/>
      <c r="BX3291" s="908"/>
      <c r="BY3291" s="331"/>
      <c r="BZ3291" s="331"/>
      <c r="CA3291" s="462"/>
      <c r="CB3291" s="319"/>
      <c r="CC3291" s="319"/>
      <c r="CD3291" s="319"/>
      <c r="CE3291" s="319"/>
      <c r="CF3291" s="319"/>
      <c r="CG3291" s="319"/>
      <c r="CH3291" s="318"/>
      <c r="CI3291" s="319"/>
      <c r="CJ3291" s="319"/>
      <c r="CK3291" s="342"/>
      <c r="CL3291" s="333"/>
      <c r="CM3291" s="1079"/>
      <c r="CN3291" s="1005"/>
      <c r="CO3291" s="1005"/>
      <c r="CP3291" s="1005"/>
    </row>
    <row r="3292">
      <c r="A3292" s="1257"/>
      <c r="B3292" s="1113"/>
      <c r="C3292" s="1107"/>
      <c r="D3292" s="103"/>
      <c r="E3292" s="1137"/>
      <c r="F3292" s="112"/>
      <c r="G3292" s="1110"/>
      <c r="H3292" s="1138"/>
      <c r="I3292" s="1138"/>
      <c r="J3292" s="1139"/>
      <c r="K3292" s="1111"/>
      <c r="L3292" s="1112"/>
      <c r="M3292" s="1113"/>
      <c r="N3292" s="110"/>
      <c r="O3292" s="1140"/>
      <c r="P3292" s="1115"/>
      <c r="Q3292" s="1116"/>
      <c r="R3292" s="1141"/>
      <c r="S3292" s="1113"/>
      <c r="T3292" s="1143"/>
      <c r="U3292" s="1108"/>
      <c r="V3292" s="1108"/>
      <c r="W3292" s="1108"/>
      <c r="X3292" s="1108"/>
      <c r="Y3292" s="1108"/>
      <c r="Z3292" s="1114"/>
      <c r="AA3292" s="1114"/>
      <c r="AB3292" s="1114"/>
      <c r="AC3292" s="1117"/>
      <c r="AD3292" s="1115"/>
      <c r="AE3292" s="1115"/>
      <c r="AF3292" s="1115"/>
      <c r="AG3292" s="1115"/>
      <c r="AH3292" s="1115"/>
      <c r="AI3292" s="1115"/>
      <c r="AJ3292" s="1117"/>
      <c r="AK3292" s="1118"/>
      <c r="AL3292" s="1115"/>
      <c r="AM3292" s="1115"/>
      <c r="AN3292" s="1115"/>
      <c r="AO3292" s="1115"/>
      <c r="AP3292" s="1115"/>
      <c r="AQ3292" s="1115"/>
      <c r="AR3292" s="1115"/>
      <c r="AS3292" s="1117"/>
      <c r="AT3292" s="1075"/>
      <c r="AU3292" s="1193"/>
      <c r="AV3292" s="330"/>
      <c r="AW3292" s="331"/>
      <c r="AX3292" s="331"/>
      <c r="AY3292" s="331"/>
      <c r="AZ3292" s="331"/>
      <c r="BA3292" s="331"/>
      <c r="BB3292" s="331"/>
      <c r="BC3292" s="331"/>
      <c r="BD3292" s="331"/>
      <c r="BE3292" s="333"/>
      <c r="BF3292" s="330"/>
      <c r="BG3292" s="333"/>
      <c r="BH3292" s="1119"/>
      <c r="BI3292" s="319"/>
      <c r="BJ3292" s="319"/>
      <c r="BK3292" s="319"/>
      <c r="BL3292" s="319"/>
      <c r="BM3292" s="319"/>
      <c r="BN3292" s="319"/>
      <c r="BO3292" s="319"/>
      <c r="BP3292" s="953"/>
      <c r="BQ3292" s="319"/>
      <c r="BR3292" s="319"/>
      <c r="BS3292" s="330"/>
      <c r="BT3292" s="331"/>
      <c r="BU3292" s="920"/>
      <c r="BV3292" s="903"/>
      <c r="BW3292" s="908"/>
      <c r="BX3292" s="908"/>
      <c r="BY3292" s="331"/>
      <c r="BZ3292" s="331"/>
      <c r="CA3292" s="462"/>
      <c r="CB3292" s="319"/>
      <c r="CC3292" s="319"/>
      <c r="CD3292" s="319"/>
      <c r="CE3292" s="319"/>
      <c r="CF3292" s="319"/>
      <c r="CG3292" s="319"/>
      <c r="CH3292" s="318"/>
      <c r="CI3292" s="319"/>
      <c r="CJ3292" s="319"/>
      <c r="CK3292" s="342"/>
      <c r="CL3292" s="333"/>
      <c r="CM3292" s="1079"/>
      <c r="CN3292" s="1005"/>
      <c r="CO3292" s="1005"/>
      <c r="CP3292" s="1005"/>
    </row>
    <row r="3293">
      <c r="A3293" s="1257"/>
      <c r="B3293" s="1113"/>
      <c r="C3293" s="1107"/>
      <c r="D3293" s="103"/>
      <c r="E3293" s="1137"/>
      <c r="F3293" s="112"/>
      <c r="G3293" s="1110"/>
      <c r="H3293" s="1138"/>
      <c r="I3293" s="1138"/>
      <c r="J3293" s="1139"/>
      <c r="K3293" s="1111"/>
      <c r="L3293" s="1112"/>
      <c r="M3293" s="1113"/>
      <c r="N3293" s="110"/>
      <c r="O3293" s="1140"/>
      <c r="P3293" s="1115"/>
      <c r="Q3293" s="1116"/>
      <c r="R3293" s="1141"/>
      <c r="S3293" s="1113"/>
      <c r="T3293" s="1143"/>
      <c r="U3293" s="1108"/>
      <c r="V3293" s="1108"/>
      <c r="W3293" s="1108"/>
      <c r="X3293" s="1108"/>
      <c r="Y3293" s="1108"/>
      <c r="Z3293" s="1114"/>
      <c r="AA3293" s="1114"/>
      <c r="AB3293" s="1114"/>
      <c r="AC3293" s="1117"/>
      <c r="AD3293" s="1115"/>
      <c r="AE3293" s="1115"/>
      <c r="AF3293" s="1115"/>
      <c r="AG3293" s="1115"/>
      <c r="AH3293" s="1115"/>
      <c r="AI3293" s="1115"/>
      <c r="AJ3293" s="1117"/>
      <c r="AK3293" s="1118"/>
      <c r="AL3293" s="1115"/>
      <c r="AM3293" s="1115"/>
      <c r="AN3293" s="1115"/>
      <c r="AO3293" s="1115"/>
      <c r="AP3293" s="1115"/>
      <c r="AQ3293" s="1115"/>
      <c r="AR3293" s="1115"/>
      <c r="AS3293" s="1117"/>
      <c r="AT3293" s="1075"/>
      <c r="AU3293" s="1193"/>
      <c r="AV3293" s="330"/>
      <c r="AW3293" s="331"/>
      <c r="AX3293" s="331"/>
      <c r="AY3293" s="331"/>
      <c r="AZ3293" s="331"/>
      <c r="BA3293" s="331"/>
      <c r="BB3293" s="331"/>
      <c r="BC3293" s="331"/>
      <c r="BD3293" s="331"/>
      <c r="BE3293" s="333"/>
      <c r="BF3293" s="330"/>
      <c r="BG3293" s="333"/>
      <c r="BH3293" s="1119"/>
      <c r="BI3293" s="319"/>
      <c r="BJ3293" s="319"/>
      <c r="BK3293" s="319"/>
      <c r="BL3293" s="319"/>
      <c r="BM3293" s="319"/>
      <c r="BN3293" s="319"/>
      <c r="BO3293" s="319"/>
      <c r="BP3293" s="953"/>
      <c r="BQ3293" s="319"/>
      <c r="BR3293" s="319"/>
      <c r="BS3293" s="330"/>
      <c r="BT3293" s="331"/>
      <c r="BU3293" s="920"/>
      <c r="BV3293" s="903"/>
      <c r="BW3293" s="908"/>
      <c r="BX3293" s="908"/>
      <c r="BY3293" s="331"/>
      <c r="BZ3293" s="331"/>
      <c r="CA3293" s="462"/>
      <c r="CB3293" s="319"/>
      <c r="CC3293" s="319"/>
      <c r="CD3293" s="319"/>
      <c r="CE3293" s="319"/>
      <c r="CF3293" s="319"/>
      <c r="CG3293" s="319"/>
      <c r="CH3293" s="318"/>
      <c r="CI3293" s="319"/>
      <c r="CJ3293" s="319"/>
      <c r="CK3293" s="342"/>
      <c r="CL3293" s="333"/>
      <c r="CM3293" s="1079"/>
      <c r="CN3293" s="1005"/>
      <c r="CO3293" s="1005"/>
      <c r="CP3293" s="1005"/>
    </row>
    <row r="3294">
      <c r="A3294" s="1257"/>
      <c r="B3294" s="1113"/>
      <c r="C3294" s="1107"/>
      <c r="D3294" s="103"/>
      <c r="E3294" s="1137"/>
      <c r="F3294" s="112"/>
      <c r="G3294" s="1110"/>
      <c r="H3294" s="1138"/>
      <c r="I3294" s="1138"/>
      <c r="J3294" s="1139"/>
      <c r="K3294" s="1111"/>
      <c r="L3294" s="1112"/>
      <c r="M3294" s="1113"/>
      <c r="N3294" s="110"/>
      <c r="O3294" s="1140"/>
      <c r="P3294" s="1115"/>
      <c r="Q3294" s="1116"/>
      <c r="R3294" s="1141"/>
      <c r="S3294" s="1113"/>
      <c r="T3294" s="1143"/>
      <c r="U3294" s="1108"/>
      <c r="V3294" s="1108"/>
      <c r="W3294" s="1108"/>
      <c r="X3294" s="1108"/>
      <c r="Y3294" s="1108"/>
      <c r="Z3294" s="1114"/>
      <c r="AA3294" s="1114"/>
      <c r="AB3294" s="1114"/>
      <c r="AC3294" s="1117"/>
      <c r="AD3294" s="1115"/>
      <c r="AE3294" s="1115"/>
      <c r="AF3294" s="1115"/>
      <c r="AG3294" s="1115"/>
      <c r="AH3294" s="1115"/>
      <c r="AI3294" s="1115"/>
      <c r="AJ3294" s="1117"/>
      <c r="AK3294" s="1118"/>
      <c r="AL3294" s="1115"/>
      <c r="AM3294" s="1115"/>
      <c r="AN3294" s="1115"/>
      <c r="AO3294" s="1115"/>
      <c r="AP3294" s="1115"/>
      <c r="AQ3294" s="1115"/>
      <c r="AR3294" s="1115"/>
      <c r="AS3294" s="1117"/>
      <c r="AT3294" s="1075"/>
      <c r="AU3294" s="1193"/>
      <c r="AV3294" s="330"/>
      <c r="AW3294" s="331"/>
      <c r="AX3294" s="331"/>
      <c r="AY3294" s="331"/>
      <c r="AZ3294" s="331"/>
      <c r="BA3294" s="331"/>
      <c r="BB3294" s="331"/>
      <c r="BC3294" s="331"/>
      <c r="BD3294" s="331"/>
      <c r="BE3294" s="333"/>
      <c r="BF3294" s="330"/>
      <c r="BG3294" s="333"/>
      <c r="BH3294" s="1119"/>
      <c r="BI3294" s="319"/>
      <c r="BJ3294" s="319"/>
      <c r="BK3294" s="319"/>
      <c r="BL3294" s="319"/>
      <c r="BM3294" s="319"/>
      <c r="BN3294" s="319"/>
      <c r="BO3294" s="319"/>
      <c r="BP3294" s="953"/>
      <c r="BQ3294" s="319"/>
      <c r="BR3294" s="319"/>
      <c r="BS3294" s="330"/>
      <c r="BT3294" s="331"/>
      <c r="BU3294" s="920"/>
      <c r="BV3294" s="903"/>
      <c r="BW3294" s="908"/>
      <c r="BX3294" s="908"/>
      <c r="BY3294" s="331"/>
      <c r="BZ3294" s="331"/>
      <c r="CA3294" s="462"/>
      <c r="CB3294" s="319"/>
      <c r="CC3294" s="319"/>
      <c r="CD3294" s="319"/>
      <c r="CE3294" s="319"/>
      <c r="CF3294" s="319"/>
      <c r="CG3294" s="319"/>
      <c r="CH3294" s="318"/>
      <c r="CI3294" s="319"/>
      <c r="CJ3294" s="319"/>
      <c r="CK3294" s="342"/>
      <c r="CL3294" s="333"/>
      <c r="CM3294" s="1079"/>
      <c r="CN3294" s="1005"/>
      <c r="CO3294" s="1005"/>
      <c r="CP3294" s="1005"/>
    </row>
    <row r="3295">
      <c r="A3295" s="1257"/>
      <c r="B3295" s="1113"/>
      <c r="C3295" s="1107"/>
      <c r="D3295" s="103"/>
      <c r="E3295" s="1137"/>
      <c r="F3295" s="112"/>
      <c r="G3295" s="1110"/>
      <c r="H3295" s="1138"/>
      <c r="I3295" s="1138"/>
      <c r="J3295" s="1139"/>
      <c r="K3295" s="1111"/>
      <c r="L3295" s="1112"/>
      <c r="M3295" s="1113"/>
      <c r="N3295" s="110"/>
      <c r="O3295" s="1140"/>
      <c r="P3295" s="1115"/>
      <c r="Q3295" s="1116"/>
      <c r="R3295" s="1141"/>
      <c r="S3295" s="1113"/>
      <c r="T3295" s="1143"/>
      <c r="U3295" s="1108"/>
      <c r="V3295" s="1108"/>
      <c r="W3295" s="1108"/>
      <c r="X3295" s="1108"/>
      <c r="Y3295" s="1108"/>
      <c r="Z3295" s="1114"/>
      <c r="AA3295" s="1114"/>
      <c r="AB3295" s="1114"/>
      <c r="AC3295" s="1117"/>
      <c r="AD3295" s="1115"/>
      <c r="AE3295" s="1115"/>
      <c r="AF3295" s="1115"/>
      <c r="AG3295" s="1115"/>
      <c r="AH3295" s="1115"/>
      <c r="AI3295" s="1115"/>
      <c r="AJ3295" s="1117"/>
      <c r="AK3295" s="1118"/>
      <c r="AL3295" s="1115"/>
      <c r="AM3295" s="1115"/>
      <c r="AN3295" s="1115"/>
      <c r="AO3295" s="1115"/>
      <c r="AP3295" s="1115"/>
      <c r="AQ3295" s="1115"/>
      <c r="AR3295" s="1115"/>
      <c r="AS3295" s="1117"/>
      <c r="AT3295" s="1075"/>
      <c r="AU3295" s="1193"/>
      <c r="AV3295" s="330"/>
      <c r="AW3295" s="331"/>
      <c r="AX3295" s="331"/>
      <c r="AY3295" s="331"/>
      <c r="AZ3295" s="331"/>
      <c r="BA3295" s="331"/>
      <c r="BB3295" s="331"/>
      <c r="BC3295" s="331"/>
      <c r="BD3295" s="331"/>
      <c r="BE3295" s="333"/>
      <c r="BF3295" s="330"/>
      <c r="BG3295" s="333"/>
      <c r="BH3295" s="1119"/>
      <c r="BI3295" s="319"/>
      <c r="BJ3295" s="319"/>
      <c r="BK3295" s="319"/>
      <c r="BL3295" s="319"/>
      <c r="BM3295" s="319"/>
      <c r="BN3295" s="319"/>
      <c r="BO3295" s="319"/>
      <c r="BP3295" s="953"/>
      <c r="BQ3295" s="319"/>
      <c r="BR3295" s="319"/>
      <c r="BS3295" s="330"/>
      <c r="BT3295" s="331"/>
      <c r="BU3295" s="920"/>
      <c r="BV3295" s="903"/>
      <c r="BW3295" s="908"/>
      <c r="BX3295" s="908"/>
      <c r="BY3295" s="331"/>
      <c r="BZ3295" s="331"/>
      <c r="CA3295" s="462"/>
      <c r="CB3295" s="319"/>
      <c r="CC3295" s="319"/>
      <c r="CD3295" s="319"/>
      <c r="CE3295" s="319"/>
      <c r="CF3295" s="319"/>
      <c r="CG3295" s="319"/>
      <c r="CH3295" s="318"/>
      <c r="CI3295" s="319"/>
      <c r="CJ3295" s="319"/>
      <c r="CK3295" s="342"/>
      <c r="CL3295" s="333"/>
      <c r="CM3295" s="1079"/>
      <c r="CN3295" s="1005"/>
      <c r="CO3295" s="1005"/>
      <c r="CP3295" s="1005"/>
    </row>
    <row r="3296">
      <c r="A3296" s="1257"/>
      <c r="B3296" s="1113"/>
      <c r="C3296" s="1107"/>
      <c r="D3296" s="103"/>
      <c r="E3296" s="1137"/>
      <c r="F3296" s="112"/>
      <c r="G3296" s="1110"/>
      <c r="H3296" s="1138"/>
      <c r="I3296" s="1138"/>
      <c r="J3296" s="1139"/>
      <c r="K3296" s="1111"/>
      <c r="L3296" s="1112"/>
      <c r="M3296" s="1113"/>
      <c r="N3296" s="110"/>
      <c r="O3296" s="1140"/>
      <c r="P3296" s="1115"/>
      <c r="Q3296" s="1116"/>
      <c r="R3296" s="1141"/>
      <c r="S3296" s="1113"/>
      <c r="T3296" s="1143"/>
      <c r="U3296" s="1108"/>
      <c r="V3296" s="1108"/>
      <c r="W3296" s="1108"/>
      <c r="X3296" s="1108"/>
      <c r="Y3296" s="1108"/>
      <c r="Z3296" s="1114"/>
      <c r="AA3296" s="1114"/>
      <c r="AB3296" s="1114"/>
      <c r="AC3296" s="1117"/>
      <c r="AD3296" s="1115"/>
      <c r="AE3296" s="1115"/>
      <c r="AF3296" s="1115"/>
      <c r="AG3296" s="1115"/>
      <c r="AH3296" s="1115"/>
      <c r="AI3296" s="1115"/>
      <c r="AJ3296" s="1117"/>
      <c r="AK3296" s="1118"/>
      <c r="AL3296" s="1115"/>
      <c r="AM3296" s="1115"/>
      <c r="AN3296" s="1115"/>
      <c r="AO3296" s="1115"/>
      <c r="AP3296" s="1115"/>
      <c r="AQ3296" s="1115"/>
      <c r="AR3296" s="1115"/>
      <c r="AS3296" s="1117"/>
      <c r="AT3296" s="1075"/>
      <c r="AU3296" s="1193"/>
      <c r="AV3296" s="330"/>
      <c r="AW3296" s="331"/>
      <c r="AX3296" s="331"/>
      <c r="AY3296" s="331"/>
      <c r="AZ3296" s="331"/>
      <c r="BA3296" s="331"/>
      <c r="BB3296" s="331"/>
      <c r="BC3296" s="331"/>
      <c r="BD3296" s="331"/>
      <c r="BE3296" s="333"/>
      <c r="BF3296" s="330"/>
      <c r="BG3296" s="333"/>
      <c r="BH3296" s="1119"/>
      <c r="BI3296" s="319"/>
      <c r="BJ3296" s="319"/>
      <c r="BK3296" s="319"/>
      <c r="BL3296" s="319"/>
      <c r="BM3296" s="319"/>
      <c r="BN3296" s="319"/>
      <c r="BO3296" s="319"/>
      <c r="BP3296" s="953"/>
      <c r="BQ3296" s="319"/>
      <c r="BR3296" s="319"/>
      <c r="BS3296" s="330"/>
      <c r="BT3296" s="331"/>
      <c r="BU3296" s="920"/>
      <c r="BV3296" s="903"/>
      <c r="BW3296" s="908"/>
      <c r="BX3296" s="908"/>
      <c r="BY3296" s="331"/>
      <c r="BZ3296" s="331"/>
      <c r="CA3296" s="462"/>
      <c r="CB3296" s="319"/>
      <c r="CC3296" s="319"/>
      <c r="CD3296" s="319"/>
      <c r="CE3296" s="319"/>
      <c r="CF3296" s="319"/>
      <c r="CG3296" s="319"/>
      <c r="CH3296" s="318"/>
      <c r="CI3296" s="319"/>
      <c r="CJ3296" s="319"/>
      <c r="CK3296" s="342"/>
      <c r="CL3296" s="333"/>
      <c r="CM3296" s="1079"/>
      <c r="CN3296" s="1005"/>
      <c r="CO3296" s="1005"/>
      <c r="CP3296" s="1005"/>
    </row>
    <row r="3297">
      <c r="A3297" s="1257"/>
      <c r="B3297" s="1113"/>
      <c r="C3297" s="1107"/>
      <c r="D3297" s="103"/>
      <c r="E3297" s="1137"/>
      <c r="F3297" s="112"/>
      <c r="G3297" s="1110"/>
      <c r="H3297" s="1138"/>
      <c r="I3297" s="1138"/>
      <c r="J3297" s="1139"/>
      <c r="K3297" s="1111"/>
      <c r="L3297" s="1112"/>
      <c r="M3297" s="1113"/>
      <c r="N3297" s="110"/>
      <c r="O3297" s="1140"/>
      <c r="P3297" s="1115"/>
      <c r="Q3297" s="1116"/>
      <c r="R3297" s="1141"/>
      <c r="S3297" s="1113"/>
      <c r="T3297" s="1143"/>
      <c r="U3297" s="1108"/>
      <c r="V3297" s="1108"/>
      <c r="W3297" s="1108"/>
      <c r="X3297" s="1108"/>
      <c r="Y3297" s="1108"/>
      <c r="Z3297" s="1114"/>
      <c r="AA3297" s="1114"/>
      <c r="AB3297" s="1114"/>
      <c r="AC3297" s="1117"/>
      <c r="AD3297" s="1115"/>
      <c r="AE3297" s="1115"/>
      <c r="AF3297" s="1115"/>
      <c r="AG3297" s="1115"/>
      <c r="AH3297" s="1115"/>
      <c r="AI3297" s="1115"/>
      <c r="AJ3297" s="1117"/>
      <c r="AK3297" s="1118"/>
      <c r="AL3297" s="1115"/>
      <c r="AM3297" s="1115"/>
      <c r="AN3297" s="1115"/>
      <c r="AO3297" s="1115"/>
      <c r="AP3297" s="1115"/>
      <c r="AQ3297" s="1115"/>
      <c r="AR3297" s="1115"/>
      <c r="AS3297" s="1117"/>
      <c r="AT3297" s="1075"/>
      <c r="AU3297" s="1193"/>
      <c r="AV3297" s="330"/>
      <c r="AW3297" s="331"/>
      <c r="AX3297" s="331"/>
      <c r="AY3297" s="331"/>
      <c r="AZ3297" s="331"/>
      <c r="BA3297" s="331"/>
      <c r="BB3297" s="331"/>
      <c r="BC3297" s="331"/>
      <c r="BD3297" s="331"/>
      <c r="BE3297" s="333"/>
      <c r="BF3297" s="330"/>
      <c r="BG3297" s="333"/>
      <c r="BH3297" s="1119"/>
      <c r="BI3297" s="319"/>
      <c r="BJ3297" s="319"/>
      <c r="BK3297" s="319"/>
      <c r="BL3297" s="319"/>
      <c r="BM3297" s="319"/>
      <c r="BN3297" s="319"/>
      <c r="BO3297" s="319"/>
      <c r="BP3297" s="953"/>
      <c r="BQ3297" s="319"/>
      <c r="BR3297" s="319"/>
      <c r="BS3297" s="330"/>
      <c r="BT3297" s="331"/>
      <c r="BU3297" s="920"/>
      <c r="BV3297" s="903"/>
      <c r="BW3297" s="908"/>
      <c r="BX3297" s="908"/>
      <c r="BY3297" s="331"/>
      <c r="BZ3297" s="331"/>
      <c r="CA3297" s="462"/>
      <c r="CB3297" s="319"/>
      <c r="CC3297" s="319"/>
      <c r="CD3297" s="319"/>
      <c r="CE3297" s="319"/>
      <c r="CF3297" s="319"/>
      <c r="CG3297" s="319"/>
      <c r="CH3297" s="318"/>
      <c r="CI3297" s="319"/>
      <c r="CJ3297" s="319"/>
      <c r="CK3297" s="342"/>
      <c r="CL3297" s="333"/>
      <c r="CM3297" s="1079"/>
      <c r="CN3297" s="1005"/>
      <c r="CO3297" s="1005"/>
      <c r="CP3297" s="1005"/>
    </row>
    <row r="3298">
      <c r="A3298" s="1257"/>
      <c r="B3298" s="1113"/>
      <c r="C3298" s="1107"/>
      <c r="D3298" s="103"/>
      <c r="E3298" s="1137"/>
      <c r="F3298" s="112"/>
      <c r="G3298" s="1110"/>
      <c r="H3298" s="1138"/>
      <c r="I3298" s="1138"/>
      <c r="J3298" s="1139"/>
      <c r="K3298" s="1111"/>
      <c r="L3298" s="1112"/>
      <c r="M3298" s="1113"/>
      <c r="N3298" s="110"/>
      <c r="O3298" s="1140"/>
      <c r="P3298" s="1115"/>
      <c r="Q3298" s="1116"/>
      <c r="R3298" s="1141"/>
      <c r="S3298" s="1113"/>
      <c r="T3298" s="1143"/>
      <c r="U3298" s="1108"/>
      <c r="V3298" s="1108"/>
      <c r="W3298" s="1108"/>
      <c r="X3298" s="1108"/>
      <c r="Y3298" s="1108"/>
      <c r="Z3298" s="1114"/>
      <c r="AA3298" s="1114"/>
      <c r="AB3298" s="1114"/>
      <c r="AC3298" s="1117"/>
      <c r="AD3298" s="1115"/>
      <c r="AE3298" s="1115"/>
      <c r="AF3298" s="1115"/>
      <c r="AG3298" s="1115"/>
      <c r="AH3298" s="1115"/>
      <c r="AI3298" s="1115"/>
      <c r="AJ3298" s="1117"/>
      <c r="AK3298" s="1118"/>
      <c r="AL3298" s="1115"/>
      <c r="AM3298" s="1115"/>
      <c r="AN3298" s="1115"/>
      <c r="AO3298" s="1115"/>
      <c r="AP3298" s="1115"/>
      <c r="AQ3298" s="1115"/>
      <c r="AR3298" s="1115"/>
      <c r="AS3298" s="1117"/>
      <c r="AT3298" s="1075"/>
      <c r="AU3298" s="1193"/>
      <c r="AV3298" s="330"/>
      <c r="AW3298" s="331"/>
      <c r="AX3298" s="331"/>
      <c r="AY3298" s="331"/>
      <c r="AZ3298" s="331"/>
      <c r="BA3298" s="331"/>
      <c r="BB3298" s="331"/>
      <c r="BC3298" s="331"/>
      <c r="BD3298" s="331"/>
      <c r="BE3298" s="333"/>
      <c r="BF3298" s="330"/>
      <c r="BG3298" s="333"/>
      <c r="BH3298" s="1119"/>
      <c r="BI3298" s="319"/>
      <c r="BJ3298" s="319"/>
      <c r="BK3298" s="319"/>
      <c r="BL3298" s="319"/>
      <c r="BM3298" s="319"/>
      <c r="BN3298" s="319"/>
      <c r="BO3298" s="319"/>
      <c r="BP3298" s="953"/>
      <c r="BQ3298" s="319"/>
      <c r="BR3298" s="319"/>
      <c r="BS3298" s="330"/>
      <c r="BT3298" s="331"/>
      <c r="BU3298" s="920"/>
      <c r="BV3298" s="903"/>
      <c r="BW3298" s="908"/>
      <c r="BX3298" s="908"/>
      <c r="BY3298" s="331"/>
      <c r="BZ3298" s="331"/>
      <c r="CA3298" s="462"/>
      <c r="CB3298" s="319"/>
      <c r="CC3298" s="319"/>
      <c r="CD3298" s="319"/>
      <c r="CE3298" s="319"/>
      <c r="CF3298" s="319"/>
      <c r="CG3298" s="319"/>
      <c r="CH3298" s="318"/>
      <c r="CI3298" s="319"/>
      <c r="CJ3298" s="319"/>
      <c r="CK3298" s="342"/>
      <c r="CL3298" s="333"/>
      <c r="CM3298" s="1079"/>
      <c r="CN3298" s="1005"/>
      <c r="CO3298" s="1005"/>
      <c r="CP3298" s="1005"/>
    </row>
    <row r="3299">
      <c r="A3299" s="1257"/>
      <c r="B3299" s="1113"/>
      <c r="C3299" s="1107"/>
      <c r="D3299" s="103"/>
      <c r="E3299" s="1137"/>
      <c r="F3299" s="112"/>
      <c r="G3299" s="1110"/>
      <c r="H3299" s="1138"/>
      <c r="I3299" s="1138"/>
      <c r="J3299" s="1139"/>
      <c r="K3299" s="1111"/>
      <c r="L3299" s="1112"/>
      <c r="M3299" s="1113"/>
      <c r="N3299" s="110"/>
      <c r="O3299" s="1140"/>
      <c r="P3299" s="1115"/>
      <c r="Q3299" s="1116"/>
      <c r="R3299" s="1141"/>
      <c r="S3299" s="1113"/>
      <c r="T3299" s="1143"/>
      <c r="U3299" s="1108"/>
      <c r="V3299" s="1108"/>
      <c r="W3299" s="1108"/>
      <c r="X3299" s="1108"/>
      <c r="Y3299" s="1108"/>
      <c r="Z3299" s="1114"/>
      <c r="AA3299" s="1114"/>
      <c r="AB3299" s="1114"/>
      <c r="AC3299" s="1117"/>
      <c r="AD3299" s="1115"/>
      <c r="AE3299" s="1115"/>
      <c r="AF3299" s="1115"/>
      <c r="AG3299" s="1115"/>
      <c r="AH3299" s="1115"/>
      <c r="AI3299" s="1115"/>
      <c r="AJ3299" s="1117"/>
      <c r="AK3299" s="1118"/>
      <c r="AL3299" s="1115"/>
      <c r="AM3299" s="1115"/>
      <c r="AN3299" s="1115"/>
      <c r="AO3299" s="1115"/>
      <c r="AP3299" s="1115"/>
      <c r="AQ3299" s="1115"/>
      <c r="AR3299" s="1115"/>
      <c r="AS3299" s="1117"/>
      <c r="AT3299" s="1075"/>
      <c r="AU3299" s="1193"/>
      <c r="AV3299" s="330"/>
      <c r="AW3299" s="331"/>
      <c r="AX3299" s="331"/>
      <c r="AY3299" s="331"/>
      <c r="AZ3299" s="331"/>
      <c r="BA3299" s="331"/>
      <c r="BB3299" s="331"/>
      <c r="BC3299" s="331"/>
      <c r="BD3299" s="331"/>
      <c r="BE3299" s="333"/>
      <c r="BF3299" s="330"/>
      <c r="BG3299" s="333"/>
      <c r="BH3299" s="1119"/>
      <c r="BI3299" s="319"/>
      <c r="BJ3299" s="319"/>
      <c r="BK3299" s="319"/>
      <c r="BL3299" s="319"/>
      <c r="BM3299" s="319"/>
      <c r="BN3299" s="319"/>
      <c r="BO3299" s="319"/>
      <c r="BP3299" s="953"/>
      <c r="BQ3299" s="319"/>
      <c r="BR3299" s="319"/>
      <c r="BS3299" s="330"/>
      <c r="BT3299" s="331"/>
      <c r="BU3299" s="920"/>
      <c r="BV3299" s="903"/>
      <c r="BW3299" s="908"/>
      <c r="BX3299" s="908"/>
      <c r="BY3299" s="331"/>
      <c r="BZ3299" s="331"/>
      <c r="CA3299" s="462"/>
      <c r="CB3299" s="319"/>
      <c r="CC3299" s="319"/>
      <c r="CD3299" s="319"/>
      <c r="CE3299" s="319"/>
      <c r="CF3299" s="319"/>
      <c r="CG3299" s="319"/>
      <c r="CH3299" s="318"/>
      <c r="CI3299" s="319"/>
      <c r="CJ3299" s="319"/>
      <c r="CK3299" s="342"/>
      <c r="CL3299" s="333"/>
      <c r="CM3299" s="1079"/>
      <c r="CN3299" s="1005"/>
      <c r="CO3299" s="1005"/>
      <c r="CP3299" s="1005"/>
    </row>
    <row r="3300">
      <c r="A3300" s="1257"/>
      <c r="B3300" s="1113"/>
      <c r="C3300" s="1107"/>
      <c r="D3300" s="103"/>
      <c r="E3300" s="1137"/>
      <c r="F3300" s="112"/>
      <c r="G3300" s="1110"/>
      <c r="H3300" s="1138"/>
      <c r="I3300" s="1138"/>
      <c r="J3300" s="1139"/>
      <c r="K3300" s="1111"/>
      <c r="L3300" s="1112"/>
      <c r="M3300" s="1113"/>
      <c r="N3300" s="110"/>
      <c r="O3300" s="1140"/>
      <c r="P3300" s="1115"/>
      <c r="Q3300" s="1116"/>
      <c r="R3300" s="1141"/>
      <c r="S3300" s="1113"/>
      <c r="T3300" s="1143"/>
      <c r="U3300" s="1108"/>
      <c r="V3300" s="1108"/>
      <c r="W3300" s="1108"/>
      <c r="X3300" s="1108"/>
      <c r="Y3300" s="1108"/>
      <c r="Z3300" s="1114"/>
      <c r="AA3300" s="1114"/>
      <c r="AB3300" s="1114"/>
      <c r="AC3300" s="1117"/>
      <c r="AD3300" s="1115"/>
      <c r="AE3300" s="1115"/>
      <c r="AF3300" s="1115"/>
      <c r="AG3300" s="1115"/>
      <c r="AH3300" s="1115"/>
      <c r="AI3300" s="1115"/>
      <c r="AJ3300" s="1117"/>
      <c r="AK3300" s="1118"/>
      <c r="AL3300" s="1115"/>
      <c r="AM3300" s="1115"/>
      <c r="AN3300" s="1115"/>
      <c r="AO3300" s="1115"/>
      <c r="AP3300" s="1115"/>
      <c r="AQ3300" s="1115"/>
      <c r="AR3300" s="1115"/>
      <c r="AS3300" s="1117"/>
      <c r="AT3300" s="1075"/>
      <c r="AU3300" s="1193"/>
      <c r="AV3300" s="330"/>
      <c r="AW3300" s="331"/>
      <c r="AX3300" s="331"/>
      <c r="AY3300" s="331"/>
      <c r="AZ3300" s="331"/>
      <c r="BA3300" s="331"/>
      <c r="BB3300" s="331"/>
      <c r="BC3300" s="331"/>
      <c r="BD3300" s="331"/>
      <c r="BE3300" s="333"/>
      <c r="BF3300" s="330"/>
      <c r="BG3300" s="333"/>
      <c r="BH3300" s="1119"/>
      <c r="BI3300" s="319"/>
      <c r="BJ3300" s="319"/>
      <c r="BK3300" s="319"/>
      <c r="BL3300" s="319"/>
      <c r="BM3300" s="319"/>
      <c r="BN3300" s="319"/>
      <c r="BO3300" s="319"/>
      <c r="BP3300" s="953"/>
      <c r="BQ3300" s="319"/>
      <c r="BR3300" s="319"/>
      <c r="BS3300" s="330"/>
      <c r="BT3300" s="331"/>
      <c r="BU3300" s="920"/>
      <c r="BV3300" s="903"/>
      <c r="BW3300" s="908"/>
      <c r="BX3300" s="908"/>
      <c r="BY3300" s="331"/>
      <c r="BZ3300" s="331"/>
      <c r="CA3300" s="462"/>
      <c r="CB3300" s="319"/>
      <c r="CC3300" s="319"/>
      <c r="CD3300" s="319"/>
      <c r="CE3300" s="319"/>
      <c r="CF3300" s="319"/>
      <c r="CG3300" s="319"/>
      <c r="CH3300" s="318"/>
      <c r="CI3300" s="319"/>
      <c r="CJ3300" s="319"/>
      <c r="CK3300" s="342"/>
      <c r="CL3300" s="333"/>
      <c r="CM3300" s="1079"/>
      <c r="CN3300" s="1005"/>
      <c r="CO3300" s="1005"/>
      <c r="CP3300" s="1005"/>
    </row>
    <row r="3301">
      <c r="A3301" s="1257"/>
      <c r="B3301" s="1113"/>
      <c r="C3301" s="1107"/>
      <c r="D3301" s="103"/>
      <c r="E3301" s="1137"/>
      <c r="F3301" s="112"/>
      <c r="G3301" s="1110"/>
      <c r="H3301" s="1138"/>
      <c r="I3301" s="1138"/>
      <c r="J3301" s="1139"/>
      <c r="K3301" s="1111"/>
      <c r="L3301" s="1112"/>
      <c r="M3301" s="1113"/>
      <c r="N3301" s="110"/>
      <c r="O3301" s="1140"/>
      <c r="P3301" s="1115"/>
      <c r="Q3301" s="1116"/>
      <c r="R3301" s="1141"/>
      <c r="S3301" s="1113"/>
      <c r="T3301" s="1143"/>
      <c r="U3301" s="1108"/>
      <c r="V3301" s="1108"/>
      <c r="W3301" s="1108"/>
      <c r="X3301" s="1108"/>
      <c r="Y3301" s="1108"/>
      <c r="Z3301" s="1114"/>
      <c r="AA3301" s="1114"/>
      <c r="AB3301" s="1114"/>
      <c r="AC3301" s="1117"/>
      <c r="AD3301" s="1115"/>
      <c r="AE3301" s="1115"/>
      <c r="AF3301" s="1115"/>
      <c r="AG3301" s="1115"/>
      <c r="AH3301" s="1115"/>
      <c r="AI3301" s="1115"/>
      <c r="AJ3301" s="1117"/>
      <c r="AK3301" s="1118"/>
      <c r="AL3301" s="1115"/>
      <c r="AM3301" s="1115"/>
      <c r="AN3301" s="1115"/>
      <c r="AO3301" s="1115"/>
      <c r="AP3301" s="1115"/>
      <c r="AQ3301" s="1115"/>
      <c r="AR3301" s="1115"/>
      <c r="AS3301" s="1117"/>
      <c r="AT3301" s="1075"/>
      <c r="AU3301" s="1193"/>
      <c r="AV3301" s="330"/>
      <c r="AW3301" s="331"/>
      <c r="AX3301" s="331"/>
      <c r="AY3301" s="331"/>
      <c r="AZ3301" s="331"/>
      <c r="BA3301" s="331"/>
      <c r="BB3301" s="331"/>
      <c r="BC3301" s="331"/>
      <c r="BD3301" s="331"/>
      <c r="BE3301" s="333"/>
      <c r="BF3301" s="330"/>
      <c r="BG3301" s="333"/>
      <c r="BH3301" s="1119"/>
      <c r="BI3301" s="319"/>
      <c r="BJ3301" s="319"/>
      <c r="BK3301" s="319"/>
      <c r="BL3301" s="319"/>
      <c r="BM3301" s="319"/>
      <c r="BN3301" s="319"/>
      <c r="BO3301" s="319"/>
      <c r="BP3301" s="953"/>
      <c r="BQ3301" s="319"/>
      <c r="BR3301" s="319"/>
      <c r="BS3301" s="330"/>
      <c r="BT3301" s="331"/>
      <c r="BU3301" s="920"/>
      <c r="BV3301" s="903"/>
      <c r="BW3301" s="908"/>
      <c r="BX3301" s="908"/>
      <c r="BY3301" s="331"/>
      <c r="BZ3301" s="331"/>
      <c r="CA3301" s="462"/>
      <c r="CB3301" s="319"/>
      <c r="CC3301" s="319"/>
      <c r="CD3301" s="319"/>
      <c r="CE3301" s="319"/>
      <c r="CF3301" s="319"/>
      <c r="CG3301" s="319"/>
      <c r="CH3301" s="318"/>
      <c r="CI3301" s="319"/>
      <c r="CJ3301" s="319"/>
      <c r="CK3301" s="342"/>
      <c r="CL3301" s="333"/>
      <c r="CM3301" s="1079"/>
      <c r="CN3301" s="1005"/>
      <c r="CO3301" s="1005"/>
      <c r="CP3301" s="1005"/>
    </row>
    <row r="3302">
      <c r="A3302" s="1257"/>
      <c r="B3302" s="1113"/>
      <c r="C3302" s="1107"/>
      <c r="D3302" s="103"/>
      <c r="E3302" s="1137"/>
      <c r="F3302" s="112"/>
      <c r="G3302" s="1110"/>
      <c r="H3302" s="1138"/>
      <c r="I3302" s="1138"/>
      <c r="J3302" s="1139"/>
      <c r="K3302" s="1111"/>
      <c r="L3302" s="1112"/>
      <c r="M3302" s="1113"/>
      <c r="N3302" s="110"/>
      <c r="O3302" s="1140"/>
      <c r="P3302" s="1115"/>
      <c r="Q3302" s="1116"/>
      <c r="R3302" s="1141"/>
      <c r="S3302" s="1113"/>
      <c r="T3302" s="1143"/>
      <c r="U3302" s="1108"/>
      <c r="V3302" s="1108"/>
      <c r="W3302" s="1108"/>
      <c r="X3302" s="1108"/>
      <c r="Y3302" s="1108"/>
      <c r="Z3302" s="1114"/>
      <c r="AA3302" s="1114"/>
      <c r="AB3302" s="1114"/>
      <c r="AC3302" s="1117"/>
      <c r="AD3302" s="1115"/>
      <c r="AE3302" s="1115"/>
      <c r="AF3302" s="1115"/>
      <c r="AG3302" s="1115"/>
      <c r="AH3302" s="1115"/>
      <c r="AI3302" s="1115"/>
      <c r="AJ3302" s="1117"/>
      <c r="AK3302" s="1118"/>
      <c r="AL3302" s="1115"/>
      <c r="AM3302" s="1115"/>
      <c r="AN3302" s="1115"/>
      <c r="AO3302" s="1115"/>
      <c r="AP3302" s="1115"/>
      <c r="AQ3302" s="1115"/>
      <c r="AR3302" s="1115"/>
      <c r="AS3302" s="1117"/>
      <c r="AT3302" s="1075"/>
      <c r="AU3302" s="1193"/>
      <c r="AV3302" s="330"/>
      <c r="AW3302" s="331"/>
      <c r="AX3302" s="331"/>
      <c r="AY3302" s="331"/>
      <c r="AZ3302" s="331"/>
      <c r="BA3302" s="331"/>
      <c r="BB3302" s="331"/>
      <c r="BC3302" s="331"/>
      <c r="BD3302" s="331"/>
      <c r="BE3302" s="333"/>
      <c r="BF3302" s="330"/>
      <c r="BG3302" s="333"/>
      <c r="BH3302" s="1119"/>
      <c r="BI3302" s="319"/>
      <c r="BJ3302" s="319"/>
      <c r="BK3302" s="319"/>
      <c r="BL3302" s="319"/>
      <c r="BM3302" s="319"/>
      <c r="BN3302" s="319"/>
      <c r="BO3302" s="319"/>
      <c r="BP3302" s="953"/>
      <c r="BQ3302" s="319"/>
      <c r="BR3302" s="319"/>
      <c r="BS3302" s="330"/>
      <c r="BT3302" s="331"/>
      <c r="BU3302" s="920"/>
      <c r="BV3302" s="903"/>
      <c r="BW3302" s="908"/>
      <c r="BX3302" s="908"/>
      <c r="BY3302" s="331"/>
      <c r="BZ3302" s="331"/>
      <c r="CA3302" s="462"/>
      <c r="CB3302" s="319"/>
      <c r="CC3302" s="319"/>
      <c r="CD3302" s="319"/>
      <c r="CE3302" s="319"/>
      <c r="CF3302" s="319"/>
      <c r="CG3302" s="319"/>
      <c r="CH3302" s="318"/>
      <c r="CI3302" s="319"/>
      <c r="CJ3302" s="319"/>
      <c r="CK3302" s="342"/>
      <c r="CL3302" s="333"/>
      <c r="CM3302" s="1079"/>
      <c r="CN3302" s="1005"/>
      <c r="CO3302" s="1005"/>
      <c r="CP3302" s="1005"/>
    </row>
    <row r="3303">
      <c r="A3303" s="1257"/>
      <c r="B3303" s="1113"/>
      <c r="C3303" s="1107"/>
      <c r="D3303" s="103"/>
      <c r="E3303" s="1137"/>
      <c r="F3303" s="112"/>
      <c r="G3303" s="1110"/>
      <c r="H3303" s="1138"/>
      <c r="I3303" s="1138"/>
      <c r="J3303" s="1139"/>
      <c r="K3303" s="1111"/>
      <c r="L3303" s="1112"/>
      <c r="M3303" s="1113"/>
      <c r="N3303" s="110"/>
      <c r="O3303" s="1140"/>
      <c r="P3303" s="1115"/>
      <c r="Q3303" s="1116"/>
      <c r="R3303" s="1141"/>
      <c r="S3303" s="1113"/>
      <c r="T3303" s="1143"/>
      <c r="U3303" s="1108"/>
      <c r="V3303" s="1108"/>
      <c r="W3303" s="1108"/>
      <c r="X3303" s="1108"/>
      <c r="Y3303" s="1108"/>
      <c r="Z3303" s="1114"/>
      <c r="AA3303" s="1114"/>
      <c r="AB3303" s="1114"/>
      <c r="AC3303" s="1117"/>
      <c r="AD3303" s="1115"/>
      <c r="AE3303" s="1115"/>
      <c r="AF3303" s="1115"/>
      <c r="AG3303" s="1115"/>
      <c r="AH3303" s="1115"/>
      <c r="AI3303" s="1115"/>
      <c r="AJ3303" s="1117"/>
      <c r="AK3303" s="1118"/>
      <c r="AL3303" s="1115"/>
      <c r="AM3303" s="1115"/>
      <c r="AN3303" s="1115"/>
      <c r="AO3303" s="1115"/>
      <c r="AP3303" s="1115"/>
      <c r="AQ3303" s="1115"/>
      <c r="AR3303" s="1115"/>
      <c r="AS3303" s="1117"/>
      <c r="AT3303" s="1075"/>
      <c r="AU3303" s="1193"/>
      <c r="AV3303" s="330"/>
      <c r="AW3303" s="331"/>
      <c r="AX3303" s="331"/>
      <c r="AY3303" s="331"/>
      <c r="AZ3303" s="331"/>
      <c r="BA3303" s="331"/>
      <c r="BB3303" s="331"/>
      <c r="BC3303" s="331"/>
      <c r="BD3303" s="331"/>
      <c r="BE3303" s="333"/>
      <c r="BF3303" s="330"/>
      <c r="BG3303" s="333"/>
      <c r="BH3303" s="1119"/>
      <c r="BI3303" s="319"/>
      <c r="BJ3303" s="319"/>
      <c r="BK3303" s="319"/>
      <c r="BL3303" s="319"/>
      <c r="BM3303" s="319"/>
      <c r="BN3303" s="319"/>
      <c r="BO3303" s="319"/>
      <c r="BP3303" s="953"/>
      <c r="BQ3303" s="319"/>
      <c r="BR3303" s="319"/>
      <c r="BS3303" s="330"/>
      <c r="BT3303" s="331"/>
      <c r="BU3303" s="920"/>
      <c r="BV3303" s="903"/>
      <c r="BW3303" s="908"/>
      <c r="BX3303" s="908"/>
      <c r="BY3303" s="331"/>
      <c r="BZ3303" s="331"/>
      <c r="CA3303" s="462"/>
      <c r="CB3303" s="319"/>
      <c r="CC3303" s="319"/>
      <c r="CD3303" s="319"/>
      <c r="CE3303" s="319"/>
      <c r="CF3303" s="319"/>
      <c r="CG3303" s="319"/>
      <c r="CH3303" s="318"/>
      <c r="CI3303" s="319"/>
      <c r="CJ3303" s="319"/>
      <c r="CK3303" s="342"/>
      <c r="CL3303" s="333"/>
      <c r="CM3303" s="1079"/>
      <c r="CN3303" s="1005"/>
      <c r="CO3303" s="1005"/>
      <c r="CP3303" s="1005"/>
    </row>
    <row r="3304">
      <c r="A3304" s="1257"/>
      <c r="B3304" s="1113"/>
      <c r="C3304" s="1107"/>
      <c r="D3304" s="103"/>
      <c r="E3304" s="1137"/>
      <c r="F3304" s="112"/>
      <c r="G3304" s="1110"/>
      <c r="H3304" s="1138"/>
      <c r="I3304" s="1138"/>
      <c r="J3304" s="1139"/>
      <c r="K3304" s="1111"/>
      <c r="L3304" s="1112"/>
      <c r="M3304" s="1113"/>
      <c r="N3304" s="110"/>
      <c r="O3304" s="1140"/>
      <c r="P3304" s="1115"/>
      <c r="Q3304" s="1116"/>
      <c r="R3304" s="1141"/>
      <c r="S3304" s="1113"/>
      <c r="T3304" s="1143"/>
      <c r="U3304" s="1108"/>
      <c r="V3304" s="1108"/>
      <c r="W3304" s="1108"/>
      <c r="X3304" s="1108"/>
      <c r="Y3304" s="1108"/>
      <c r="Z3304" s="1114"/>
      <c r="AA3304" s="1114"/>
      <c r="AB3304" s="1114"/>
      <c r="AC3304" s="1117"/>
      <c r="AD3304" s="1115"/>
      <c r="AE3304" s="1115"/>
      <c r="AF3304" s="1115"/>
      <c r="AG3304" s="1115"/>
      <c r="AH3304" s="1115"/>
      <c r="AI3304" s="1115"/>
      <c r="AJ3304" s="1117"/>
      <c r="AK3304" s="1118"/>
      <c r="AL3304" s="1115"/>
      <c r="AM3304" s="1115"/>
      <c r="AN3304" s="1115"/>
      <c r="AO3304" s="1115"/>
      <c r="AP3304" s="1115"/>
      <c r="AQ3304" s="1115"/>
      <c r="AR3304" s="1115"/>
      <c r="AS3304" s="1117"/>
      <c r="AT3304" s="1075"/>
      <c r="AU3304" s="1193"/>
      <c r="AV3304" s="330"/>
      <c r="AW3304" s="331"/>
      <c r="AX3304" s="331"/>
      <c r="AY3304" s="331"/>
      <c r="AZ3304" s="331"/>
      <c r="BA3304" s="331"/>
      <c r="BB3304" s="331"/>
      <c r="BC3304" s="331"/>
      <c r="BD3304" s="331"/>
      <c r="BE3304" s="333"/>
      <c r="BF3304" s="330"/>
      <c r="BG3304" s="333"/>
      <c r="BH3304" s="1119"/>
      <c r="BI3304" s="319"/>
      <c r="BJ3304" s="319"/>
      <c r="BK3304" s="319"/>
      <c r="BL3304" s="319"/>
      <c r="BM3304" s="319"/>
      <c r="BN3304" s="319"/>
      <c r="BO3304" s="319"/>
      <c r="BP3304" s="953"/>
      <c r="BQ3304" s="319"/>
      <c r="BR3304" s="319"/>
      <c r="BS3304" s="330"/>
      <c r="BT3304" s="331"/>
      <c r="BU3304" s="920"/>
      <c r="BV3304" s="903"/>
      <c r="BW3304" s="908"/>
      <c r="BX3304" s="908"/>
      <c r="BY3304" s="331"/>
      <c r="BZ3304" s="331"/>
      <c r="CA3304" s="462"/>
      <c r="CB3304" s="319"/>
      <c r="CC3304" s="319"/>
      <c r="CD3304" s="319"/>
      <c r="CE3304" s="319"/>
      <c r="CF3304" s="319"/>
      <c r="CG3304" s="319"/>
      <c r="CH3304" s="318"/>
      <c r="CI3304" s="319"/>
      <c r="CJ3304" s="319"/>
      <c r="CK3304" s="342"/>
      <c r="CL3304" s="333"/>
      <c r="CM3304" s="1079"/>
      <c r="CN3304" s="1005"/>
      <c r="CO3304" s="1005"/>
      <c r="CP3304" s="1005"/>
    </row>
    <row r="3305">
      <c r="A3305" s="1257"/>
      <c r="B3305" s="1113"/>
      <c r="C3305" s="1107"/>
      <c r="D3305" s="103"/>
      <c r="E3305" s="1137"/>
      <c r="F3305" s="112"/>
      <c r="G3305" s="1110"/>
      <c r="H3305" s="1138"/>
      <c r="I3305" s="1138"/>
      <c r="J3305" s="1139"/>
      <c r="K3305" s="1111"/>
      <c r="L3305" s="1112"/>
      <c r="M3305" s="1113"/>
      <c r="N3305" s="110"/>
      <c r="O3305" s="1140"/>
      <c r="P3305" s="1115"/>
      <c r="Q3305" s="1116"/>
      <c r="R3305" s="1141"/>
      <c r="S3305" s="1113"/>
      <c r="T3305" s="1143"/>
      <c r="U3305" s="1108"/>
      <c r="V3305" s="1108"/>
      <c r="W3305" s="1108"/>
      <c r="X3305" s="1108"/>
      <c r="Y3305" s="1108"/>
      <c r="Z3305" s="1114"/>
      <c r="AA3305" s="1114"/>
      <c r="AB3305" s="1114"/>
      <c r="AC3305" s="1117"/>
      <c r="AD3305" s="1115"/>
      <c r="AE3305" s="1115"/>
      <c r="AF3305" s="1115"/>
      <c r="AG3305" s="1115"/>
      <c r="AH3305" s="1115"/>
      <c r="AI3305" s="1115"/>
      <c r="AJ3305" s="1117"/>
      <c r="AK3305" s="1118"/>
      <c r="AL3305" s="1115"/>
      <c r="AM3305" s="1115"/>
      <c r="AN3305" s="1115"/>
      <c r="AO3305" s="1115"/>
      <c r="AP3305" s="1115"/>
      <c r="AQ3305" s="1115"/>
      <c r="AR3305" s="1115"/>
      <c r="AS3305" s="1117"/>
      <c r="AT3305" s="1075"/>
      <c r="AU3305" s="1193"/>
      <c r="AV3305" s="330"/>
      <c r="AW3305" s="331"/>
      <c r="AX3305" s="331"/>
      <c r="AY3305" s="331"/>
      <c r="AZ3305" s="331"/>
      <c r="BA3305" s="331"/>
      <c r="BB3305" s="331"/>
      <c r="BC3305" s="331"/>
      <c r="BD3305" s="331"/>
      <c r="BE3305" s="333"/>
      <c r="BF3305" s="330"/>
      <c r="BG3305" s="333"/>
      <c r="BH3305" s="1119"/>
      <c r="BI3305" s="319"/>
      <c r="BJ3305" s="319"/>
      <c r="BK3305" s="319"/>
      <c r="BL3305" s="319"/>
      <c r="BM3305" s="319"/>
      <c r="BN3305" s="319"/>
      <c r="BO3305" s="319"/>
      <c r="BP3305" s="953"/>
      <c r="BQ3305" s="319"/>
      <c r="BR3305" s="319"/>
      <c r="BS3305" s="330"/>
      <c r="BT3305" s="331"/>
      <c r="BU3305" s="920"/>
      <c r="BV3305" s="903"/>
      <c r="BW3305" s="908"/>
      <c r="BX3305" s="908"/>
      <c r="BY3305" s="331"/>
      <c r="BZ3305" s="331"/>
      <c r="CA3305" s="462"/>
      <c r="CB3305" s="319"/>
      <c r="CC3305" s="319"/>
      <c r="CD3305" s="319"/>
      <c r="CE3305" s="319"/>
      <c r="CF3305" s="319"/>
      <c r="CG3305" s="319"/>
      <c r="CH3305" s="318"/>
      <c r="CI3305" s="319"/>
      <c r="CJ3305" s="319"/>
      <c r="CK3305" s="342"/>
      <c r="CL3305" s="333"/>
      <c r="CM3305" s="1079"/>
      <c r="CN3305" s="1005"/>
      <c r="CO3305" s="1005"/>
      <c r="CP3305" s="1005"/>
    </row>
    <row r="3306">
      <c r="A3306" s="1257"/>
      <c r="B3306" s="1113"/>
      <c r="C3306" s="1107"/>
      <c r="D3306" s="103"/>
      <c r="E3306" s="1137"/>
      <c r="F3306" s="112"/>
      <c r="G3306" s="1110"/>
      <c r="H3306" s="1138"/>
      <c r="I3306" s="1138"/>
      <c r="J3306" s="1139"/>
      <c r="K3306" s="1111"/>
      <c r="L3306" s="1112"/>
      <c r="M3306" s="1113"/>
      <c r="N3306" s="110"/>
      <c r="O3306" s="1140"/>
      <c r="P3306" s="1115"/>
      <c r="Q3306" s="1116"/>
      <c r="R3306" s="1141"/>
      <c r="S3306" s="1113"/>
      <c r="T3306" s="1143"/>
      <c r="U3306" s="1108"/>
      <c r="V3306" s="1108"/>
      <c r="W3306" s="1108"/>
      <c r="X3306" s="1108"/>
      <c r="Y3306" s="1108"/>
      <c r="Z3306" s="1114"/>
      <c r="AA3306" s="1114"/>
      <c r="AB3306" s="1114"/>
      <c r="AC3306" s="1117"/>
      <c r="AD3306" s="1115"/>
      <c r="AE3306" s="1115"/>
      <c r="AF3306" s="1115"/>
      <c r="AG3306" s="1115"/>
      <c r="AH3306" s="1115"/>
      <c r="AI3306" s="1115"/>
      <c r="AJ3306" s="1117"/>
      <c r="AK3306" s="1118"/>
      <c r="AL3306" s="1115"/>
      <c r="AM3306" s="1115"/>
      <c r="AN3306" s="1115"/>
      <c r="AO3306" s="1115"/>
      <c r="AP3306" s="1115"/>
      <c r="AQ3306" s="1115"/>
      <c r="AR3306" s="1115"/>
      <c r="AS3306" s="1117"/>
      <c r="AT3306" s="1075"/>
      <c r="AU3306" s="1193"/>
      <c r="AV3306" s="330"/>
      <c r="AW3306" s="331"/>
      <c r="AX3306" s="331"/>
      <c r="AY3306" s="331"/>
      <c r="AZ3306" s="331"/>
      <c r="BA3306" s="331"/>
      <c r="BB3306" s="331"/>
      <c r="BC3306" s="331"/>
      <c r="BD3306" s="331"/>
      <c r="BE3306" s="333"/>
      <c r="BF3306" s="330"/>
      <c r="BG3306" s="333"/>
      <c r="BH3306" s="1119"/>
      <c r="BI3306" s="319"/>
      <c r="BJ3306" s="319"/>
      <c r="BK3306" s="319"/>
      <c r="BL3306" s="319"/>
      <c r="BM3306" s="319"/>
      <c r="BN3306" s="319"/>
      <c r="BO3306" s="319"/>
      <c r="BP3306" s="953"/>
      <c r="BQ3306" s="319"/>
      <c r="BR3306" s="319"/>
      <c r="BS3306" s="330"/>
      <c r="BT3306" s="331"/>
      <c r="BU3306" s="920"/>
      <c r="BV3306" s="903"/>
      <c r="BW3306" s="908"/>
      <c r="BX3306" s="908"/>
      <c r="BY3306" s="331"/>
      <c r="BZ3306" s="331"/>
      <c r="CA3306" s="462"/>
      <c r="CB3306" s="319"/>
      <c r="CC3306" s="319"/>
      <c r="CD3306" s="319"/>
      <c r="CE3306" s="319"/>
      <c r="CF3306" s="319"/>
      <c r="CG3306" s="319"/>
      <c r="CH3306" s="318"/>
      <c r="CI3306" s="319"/>
      <c r="CJ3306" s="319"/>
      <c r="CK3306" s="342"/>
      <c r="CL3306" s="333"/>
      <c r="CM3306" s="1079"/>
      <c r="CN3306" s="1005"/>
      <c r="CO3306" s="1005"/>
      <c r="CP3306" s="1005"/>
    </row>
    <row r="3307">
      <c r="A3307" s="1257"/>
      <c r="B3307" s="1113"/>
      <c r="C3307" s="1107"/>
      <c r="D3307" s="103"/>
      <c r="E3307" s="1137"/>
      <c r="F3307" s="112"/>
      <c r="G3307" s="1110"/>
      <c r="H3307" s="1138"/>
      <c r="I3307" s="1138"/>
      <c r="J3307" s="1139"/>
      <c r="K3307" s="1111"/>
      <c r="L3307" s="1112"/>
      <c r="M3307" s="1113"/>
      <c r="N3307" s="110"/>
      <c r="O3307" s="1140"/>
      <c r="P3307" s="1115"/>
      <c r="Q3307" s="1116"/>
      <c r="R3307" s="1141"/>
      <c r="S3307" s="1113"/>
      <c r="T3307" s="1143"/>
      <c r="U3307" s="1108"/>
      <c r="V3307" s="1108"/>
      <c r="W3307" s="1108"/>
      <c r="X3307" s="1108"/>
      <c r="Y3307" s="1108"/>
      <c r="Z3307" s="1114"/>
      <c r="AA3307" s="1114"/>
      <c r="AB3307" s="1114"/>
      <c r="AC3307" s="1117"/>
      <c r="AD3307" s="1115"/>
      <c r="AE3307" s="1115"/>
      <c r="AF3307" s="1115"/>
      <c r="AG3307" s="1115"/>
      <c r="AH3307" s="1115"/>
      <c r="AI3307" s="1115"/>
      <c r="AJ3307" s="1117"/>
      <c r="AK3307" s="1118"/>
      <c r="AL3307" s="1115"/>
      <c r="AM3307" s="1115"/>
      <c r="AN3307" s="1115"/>
      <c r="AO3307" s="1115"/>
      <c r="AP3307" s="1115"/>
      <c r="AQ3307" s="1115"/>
      <c r="AR3307" s="1115"/>
      <c r="AS3307" s="1117"/>
      <c r="AT3307" s="1075"/>
      <c r="AU3307" s="1193"/>
      <c r="AV3307" s="330"/>
      <c r="AW3307" s="331"/>
      <c r="AX3307" s="331"/>
      <c r="AY3307" s="331"/>
      <c r="AZ3307" s="331"/>
      <c r="BA3307" s="331"/>
      <c r="BB3307" s="331"/>
      <c r="BC3307" s="331"/>
      <c r="BD3307" s="331"/>
      <c r="BE3307" s="333"/>
      <c r="BF3307" s="330"/>
      <c r="BG3307" s="333"/>
      <c r="BH3307" s="1119"/>
      <c r="BI3307" s="319"/>
      <c r="BJ3307" s="319"/>
      <c r="BK3307" s="319"/>
      <c r="BL3307" s="319"/>
      <c r="BM3307" s="319"/>
      <c r="BN3307" s="319"/>
      <c r="BO3307" s="319"/>
      <c r="BP3307" s="953"/>
      <c r="BQ3307" s="319"/>
      <c r="BR3307" s="319"/>
      <c r="BS3307" s="330"/>
      <c r="BT3307" s="331"/>
      <c r="BU3307" s="920"/>
      <c r="BV3307" s="903"/>
      <c r="BW3307" s="908"/>
      <c r="BX3307" s="908"/>
      <c r="BY3307" s="331"/>
      <c r="BZ3307" s="331"/>
      <c r="CA3307" s="462"/>
      <c r="CB3307" s="319"/>
      <c r="CC3307" s="319"/>
      <c r="CD3307" s="319"/>
      <c r="CE3307" s="319"/>
      <c r="CF3307" s="319"/>
      <c r="CG3307" s="319"/>
      <c r="CH3307" s="318"/>
      <c r="CI3307" s="319"/>
      <c r="CJ3307" s="319"/>
      <c r="CK3307" s="342"/>
      <c r="CL3307" s="333"/>
      <c r="CM3307" s="1079"/>
      <c r="CN3307" s="1005"/>
      <c r="CO3307" s="1005"/>
      <c r="CP3307" s="1005"/>
    </row>
    <row r="3308">
      <c r="A3308" s="1257"/>
      <c r="B3308" s="1113"/>
      <c r="C3308" s="1107"/>
      <c r="D3308" s="103"/>
      <c r="E3308" s="1137"/>
      <c r="F3308" s="112"/>
      <c r="G3308" s="1110"/>
      <c r="H3308" s="1138"/>
      <c r="I3308" s="1138"/>
      <c r="J3308" s="1139"/>
      <c r="K3308" s="1111"/>
      <c r="L3308" s="1112"/>
      <c r="M3308" s="1113"/>
      <c r="N3308" s="110"/>
      <c r="O3308" s="1140"/>
      <c r="P3308" s="1115"/>
      <c r="Q3308" s="1116"/>
      <c r="R3308" s="1141"/>
      <c r="S3308" s="1113"/>
      <c r="T3308" s="1143"/>
      <c r="U3308" s="1108"/>
      <c r="V3308" s="1108"/>
      <c r="W3308" s="1108"/>
      <c r="X3308" s="1108"/>
      <c r="Y3308" s="1108"/>
      <c r="Z3308" s="1114"/>
      <c r="AA3308" s="1114"/>
      <c r="AB3308" s="1114"/>
      <c r="AC3308" s="1117"/>
      <c r="AD3308" s="1115"/>
      <c r="AE3308" s="1115"/>
      <c r="AF3308" s="1115"/>
      <c r="AG3308" s="1115"/>
      <c r="AH3308" s="1115"/>
      <c r="AI3308" s="1115"/>
      <c r="AJ3308" s="1117"/>
      <c r="AK3308" s="1118"/>
      <c r="AL3308" s="1115"/>
      <c r="AM3308" s="1115"/>
      <c r="AN3308" s="1115"/>
      <c r="AO3308" s="1115"/>
      <c r="AP3308" s="1115"/>
      <c r="AQ3308" s="1115"/>
      <c r="AR3308" s="1115"/>
      <c r="AS3308" s="1117"/>
      <c r="AT3308" s="1075"/>
      <c r="AU3308" s="1193"/>
      <c r="AV3308" s="330"/>
      <c r="AW3308" s="331"/>
      <c r="AX3308" s="331"/>
      <c r="AY3308" s="331"/>
      <c r="AZ3308" s="331"/>
      <c r="BA3308" s="331"/>
      <c r="BB3308" s="331"/>
      <c r="BC3308" s="331"/>
      <c r="BD3308" s="331"/>
      <c r="BE3308" s="333"/>
      <c r="BF3308" s="330"/>
      <c r="BG3308" s="333"/>
      <c r="BH3308" s="1119"/>
      <c r="BI3308" s="319"/>
      <c r="BJ3308" s="319"/>
      <c r="BK3308" s="319"/>
      <c r="BL3308" s="319"/>
      <c r="BM3308" s="319"/>
      <c r="BN3308" s="319"/>
      <c r="BO3308" s="319"/>
      <c r="BP3308" s="953"/>
      <c r="BQ3308" s="319"/>
      <c r="BR3308" s="319"/>
      <c r="BS3308" s="330"/>
      <c r="BT3308" s="331"/>
      <c r="BU3308" s="920"/>
      <c r="BV3308" s="903"/>
      <c r="BW3308" s="908"/>
      <c r="BX3308" s="908"/>
      <c r="BY3308" s="331"/>
      <c r="BZ3308" s="331"/>
      <c r="CA3308" s="462"/>
      <c r="CB3308" s="319"/>
      <c r="CC3308" s="319"/>
      <c r="CD3308" s="319"/>
      <c r="CE3308" s="319"/>
      <c r="CF3308" s="319"/>
      <c r="CG3308" s="319"/>
      <c r="CH3308" s="318"/>
      <c r="CI3308" s="319"/>
      <c r="CJ3308" s="319"/>
      <c r="CK3308" s="342"/>
      <c r="CL3308" s="333"/>
      <c r="CM3308" s="1079"/>
      <c r="CN3308" s="1005"/>
      <c r="CO3308" s="1005"/>
      <c r="CP3308" s="1005"/>
    </row>
    <row r="3309">
      <c r="A3309" s="1257"/>
      <c r="B3309" s="1113"/>
      <c r="C3309" s="1107"/>
      <c r="D3309" s="103"/>
      <c r="E3309" s="1137"/>
      <c r="F3309" s="112"/>
      <c r="G3309" s="1110"/>
      <c r="H3309" s="1138"/>
      <c r="I3309" s="1138"/>
      <c r="J3309" s="1139"/>
      <c r="K3309" s="1111"/>
      <c r="L3309" s="1112"/>
      <c r="M3309" s="1113"/>
      <c r="N3309" s="110"/>
      <c r="O3309" s="1140"/>
      <c r="P3309" s="1115"/>
      <c r="Q3309" s="1116"/>
      <c r="R3309" s="1141"/>
      <c r="S3309" s="1113"/>
      <c r="T3309" s="1143"/>
      <c r="U3309" s="1108"/>
      <c r="V3309" s="1108"/>
      <c r="W3309" s="1108"/>
      <c r="X3309" s="1108"/>
      <c r="Y3309" s="1108"/>
      <c r="Z3309" s="1114"/>
      <c r="AA3309" s="1114"/>
      <c r="AB3309" s="1114"/>
      <c r="AC3309" s="1117"/>
      <c r="AD3309" s="1115"/>
      <c r="AE3309" s="1115"/>
      <c r="AF3309" s="1115"/>
      <c r="AG3309" s="1115"/>
      <c r="AH3309" s="1115"/>
      <c r="AI3309" s="1115"/>
      <c r="AJ3309" s="1117"/>
      <c r="AK3309" s="1118"/>
      <c r="AL3309" s="1115"/>
      <c r="AM3309" s="1115"/>
      <c r="AN3309" s="1115"/>
      <c r="AO3309" s="1115"/>
      <c r="AP3309" s="1115"/>
      <c r="AQ3309" s="1115"/>
      <c r="AR3309" s="1115"/>
      <c r="AS3309" s="1117"/>
      <c r="AT3309" s="1075"/>
      <c r="AU3309" s="1193"/>
      <c r="AV3309" s="330"/>
      <c r="AW3309" s="331"/>
      <c r="AX3309" s="331"/>
      <c r="AY3309" s="331"/>
      <c r="AZ3309" s="331"/>
      <c r="BA3309" s="331"/>
      <c r="BB3309" s="331"/>
      <c r="BC3309" s="331"/>
      <c r="BD3309" s="331"/>
      <c r="BE3309" s="333"/>
      <c r="BF3309" s="330"/>
      <c r="BG3309" s="333"/>
      <c r="BH3309" s="1119"/>
      <c r="BI3309" s="319"/>
      <c r="BJ3309" s="319"/>
      <c r="BK3309" s="319"/>
      <c r="BL3309" s="319"/>
      <c r="BM3309" s="319"/>
      <c r="BN3309" s="319"/>
      <c r="BO3309" s="319"/>
      <c r="BP3309" s="953"/>
      <c r="BQ3309" s="319"/>
      <c r="BR3309" s="319"/>
      <c r="BS3309" s="330"/>
      <c r="BT3309" s="331"/>
      <c r="BU3309" s="920"/>
      <c r="BV3309" s="903"/>
      <c r="BW3309" s="908"/>
      <c r="BX3309" s="908"/>
      <c r="BY3309" s="331"/>
      <c r="BZ3309" s="331"/>
      <c r="CA3309" s="462"/>
      <c r="CB3309" s="319"/>
      <c r="CC3309" s="319"/>
      <c r="CD3309" s="319"/>
      <c r="CE3309" s="319"/>
      <c r="CF3309" s="319"/>
      <c r="CG3309" s="319"/>
      <c r="CH3309" s="318"/>
      <c r="CI3309" s="319"/>
      <c r="CJ3309" s="319"/>
      <c r="CK3309" s="342"/>
      <c r="CL3309" s="333"/>
      <c r="CM3309" s="1079"/>
      <c r="CN3309" s="1005"/>
      <c r="CO3309" s="1005"/>
      <c r="CP3309" s="1005"/>
    </row>
    <row r="3310">
      <c r="A3310" s="1257"/>
      <c r="B3310" s="1113"/>
      <c r="C3310" s="1107"/>
      <c r="D3310" s="103"/>
      <c r="E3310" s="1137"/>
      <c r="F3310" s="112"/>
      <c r="G3310" s="1110"/>
      <c r="H3310" s="1138"/>
      <c r="I3310" s="1138"/>
      <c r="J3310" s="1139"/>
      <c r="K3310" s="1111"/>
      <c r="L3310" s="1112"/>
      <c r="M3310" s="1113"/>
      <c r="N3310" s="110"/>
      <c r="O3310" s="1140"/>
      <c r="P3310" s="1115"/>
      <c r="Q3310" s="1116"/>
      <c r="R3310" s="1141"/>
      <c r="S3310" s="1113"/>
      <c r="T3310" s="1143"/>
      <c r="U3310" s="1108"/>
      <c r="V3310" s="1108"/>
      <c r="W3310" s="1108"/>
      <c r="X3310" s="1108"/>
      <c r="Y3310" s="1108"/>
      <c r="Z3310" s="1114"/>
      <c r="AA3310" s="1114"/>
      <c r="AB3310" s="1114"/>
      <c r="AC3310" s="1117"/>
      <c r="AD3310" s="1115"/>
      <c r="AE3310" s="1115"/>
      <c r="AF3310" s="1115"/>
      <c r="AG3310" s="1115"/>
      <c r="AH3310" s="1115"/>
      <c r="AI3310" s="1115"/>
      <c r="AJ3310" s="1117"/>
      <c r="AK3310" s="1118"/>
      <c r="AL3310" s="1115"/>
      <c r="AM3310" s="1115"/>
      <c r="AN3310" s="1115"/>
      <c r="AO3310" s="1115"/>
      <c r="AP3310" s="1115"/>
      <c r="AQ3310" s="1115"/>
      <c r="AR3310" s="1115"/>
      <c r="AS3310" s="1117"/>
      <c r="AT3310" s="1075"/>
      <c r="AU3310" s="1193"/>
      <c r="AV3310" s="330"/>
      <c r="AW3310" s="331"/>
      <c r="AX3310" s="331"/>
      <c r="AY3310" s="331"/>
      <c r="AZ3310" s="331"/>
      <c r="BA3310" s="331"/>
      <c r="BB3310" s="331"/>
      <c r="BC3310" s="331"/>
      <c r="BD3310" s="331"/>
      <c r="BE3310" s="333"/>
      <c r="BF3310" s="330"/>
      <c r="BG3310" s="333"/>
      <c r="BH3310" s="1119"/>
      <c r="BI3310" s="319"/>
      <c r="BJ3310" s="319"/>
      <c r="BK3310" s="319"/>
      <c r="BL3310" s="319"/>
      <c r="BM3310" s="319"/>
      <c r="BN3310" s="319"/>
      <c r="BO3310" s="319"/>
      <c r="BP3310" s="953"/>
      <c r="BQ3310" s="319"/>
      <c r="BR3310" s="319"/>
      <c r="BS3310" s="330"/>
      <c r="BT3310" s="331"/>
      <c r="BU3310" s="920"/>
      <c r="BV3310" s="903"/>
      <c r="BW3310" s="908"/>
      <c r="BX3310" s="908"/>
      <c r="BY3310" s="331"/>
      <c r="BZ3310" s="331"/>
      <c r="CA3310" s="462"/>
      <c r="CB3310" s="319"/>
      <c r="CC3310" s="319"/>
      <c r="CD3310" s="319"/>
      <c r="CE3310" s="319"/>
      <c r="CF3310" s="319"/>
      <c r="CG3310" s="319"/>
      <c r="CH3310" s="318"/>
      <c r="CI3310" s="319"/>
      <c r="CJ3310" s="319"/>
      <c r="CK3310" s="342"/>
      <c r="CL3310" s="333"/>
      <c r="CM3310" s="1079"/>
      <c r="CN3310" s="1005"/>
      <c r="CO3310" s="1005"/>
      <c r="CP3310" s="1005"/>
    </row>
    <row r="3311">
      <c r="A3311" s="1257"/>
      <c r="B3311" s="1113"/>
      <c r="C3311" s="1107"/>
      <c r="D3311" s="103"/>
      <c r="E3311" s="1137"/>
      <c r="F3311" s="112"/>
      <c r="G3311" s="1110"/>
      <c r="H3311" s="1138"/>
      <c r="I3311" s="1138"/>
      <c r="J3311" s="1139"/>
      <c r="K3311" s="1111"/>
      <c r="L3311" s="1112"/>
      <c r="M3311" s="1113"/>
      <c r="N3311" s="110"/>
      <c r="O3311" s="1140"/>
      <c r="P3311" s="1115"/>
      <c r="Q3311" s="1116"/>
      <c r="R3311" s="1141"/>
      <c r="S3311" s="1113"/>
      <c r="T3311" s="1143"/>
      <c r="U3311" s="1108"/>
      <c r="V3311" s="1108"/>
      <c r="W3311" s="1108"/>
      <c r="X3311" s="1108"/>
      <c r="Y3311" s="1108"/>
      <c r="Z3311" s="1114"/>
      <c r="AA3311" s="1114"/>
      <c r="AB3311" s="1114"/>
      <c r="AC3311" s="1117"/>
      <c r="AD3311" s="1115"/>
      <c r="AE3311" s="1115"/>
      <c r="AF3311" s="1115"/>
      <c r="AG3311" s="1115"/>
      <c r="AH3311" s="1115"/>
      <c r="AI3311" s="1115"/>
      <c r="AJ3311" s="1117"/>
      <c r="AK3311" s="1118"/>
      <c r="AL3311" s="1115"/>
      <c r="AM3311" s="1115"/>
      <c r="AN3311" s="1115"/>
      <c r="AO3311" s="1115"/>
      <c r="AP3311" s="1115"/>
      <c r="AQ3311" s="1115"/>
      <c r="AR3311" s="1115"/>
      <c r="AS3311" s="1117"/>
      <c r="AT3311" s="1075"/>
      <c r="AU3311" s="1193"/>
      <c r="AV3311" s="330"/>
      <c r="AW3311" s="331"/>
      <c r="AX3311" s="331"/>
      <c r="AY3311" s="331"/>
      <c r="AZ3311" s="331"/>
      <c r="BA3311" s="331"/>
      <c r="BB3311" s="331"/>
      <c r="BC3311" s="331"/>
      <c r="BD3311" s="331"/>
      <c r="BE3311" s="333"/>
      <c r="BF3311" s="330"/>
      <c r="BG3311" s="333"/>
      <c r="BH3311" s="1119"/>
      <c r="BI3311" s="319"/>
      <c r="BJ3311" s="319"/>
      <c r="BK3311" s="319"/>
      <c r="BL3311" s="319"/>
      <c r="BM3311" s="319"/>
      <c r="BN3311" s="319"/>
      <c r="BO3311" s="319"/>
      <c r="BP3311" s="953"/>
      <c r="BQ3311" s="319"/>
      <c r="BR3311" s="319"/>
      <c r="BS3311" s="330"/>
      <c r="BT3311" s="331"/>
      <c r="BU3311" s="920"/>
      <c r="BV3311" s="903"/>
      <c r="BW3311" s="908"/>
      <c r="BX3311" s="908"/>
      <c r="BY3311" s="331"/>
      <c r="BZ3311" s="331"/>
      <c r="CA3311" s="462"/>
      <c r="CB3311" s="319"/>
      <c r="CC3311" s="319"/>
      <c r="CD3311" s="319"/>
      <c r="CE3311" s="319"/>
      <c r="CF3311" s="319"/>
      <c r="CG3311" s="319"/>
      <c r="CH3311" s="318"/>
      <c r="CI3311" s="319"/>
      <c r="CJ3311" s="319"/>
      <c r="CK3311" s="342"/>
      <c r="CL3311" s="333"/>
      <c r="CM3311" s="1079"/>
      <c r="CN3311" s="1005"/>
      <c r="CO3311" s="1005"/>
      <c r="CP3311" s="1005"/>
    </row>
    <row r="3312">
      <c r="A3312" s="1257"/>
      <c r="B3312" s="1113"/>
      <c r="C3312" s="1107"/>
      <c r="D3312" s="103"/>
      <c r="E3312" s="1137"/>
      <c r="F3312" s="112"/>
      <c r="G3312" s="1110"/>
      <c r="H3312" s="1138"/>
      <c r="I3312" s="1138"/>
      <c r="J3312" s="1139"/>
      <c r="K3312" s="1111"/>
      <c r="L3312" s="1112"/>
      <c r="M3312" s="1113"/>
      <c r="N3312" s="110"/>
      <c r="O3312" s="1140"/>
      <c r="P3312" s="1115"/>
      <c r="Q3312" s="1116"/>
      <c r="R3312" s="1141"/>
      <c r="S3312" s="1113"/>
      <c r="T3312" s="1143"/>
      <c r="U3312" s="1108"/>
      <c r="V3312" s="1108"/>
      <c r="W3312" s="1108"/>
      <c r="X3312" s="1108"/>
      <c r="Y3312" s="1108"/>
      <c r="Z3312" s="1114"/>
      <c r="AA3312" s="1114"/>
      <c r="AB3312" s="1114"/>
      <c r="AC3312" s="1117"/>
      <c r="AD3312" s="1115"/>
      <c r="AE3312" s="1115"/>
      <c r="AF3312" s="1115"/>
      <c r="AG3312" s="1115"/>
      <c r="AH3312" s="1115"/>
      <c r="AI3312" s="1115"/>
      <c r="AJ3312" s="1117"/>
      <c r="AK3312" s="1118"/>
      <c r="AL3312" s="1115"/>
      <c r="AM3312" s="1115"/>
      <c r="AN3312" s="1115"/>
      <c r="AO3312" s="1115"/>
      <c r="AP3312" s="1115"/>
      <c r="AQ3312" s="1115"/>
      <c r="AR3312" s="1115"/>
      <c r="AS3312" s="1117"/>
      <c r="AT3312" s="1075"/>
      <c r="AU3312" s="1193"/>
      <c r="AV3312" s="330"/>
      <c r="AW3312" s="331"/>
      <c r="AX3312" s="331"/>
      <c r="AY3312" s="331"/>
      <c r="AZ3312" s="331"/>
      <c r="BA3312" s="331"/>
      <c r="BB3312" s="331"/>
      <c r="BC3312" s="331"/>
      <c r="BD3312" s="331"/>
      <c r="BE3312" s="333"/>
      <c r="BF3312" s="330"/>
      <c r="BG3312" s="333"/>
      <c r="BH3312" s="1119"/>
      <c r="BI3312" s="319"/>
      <c r="BJ3312" s="319"/>
      <c r="BK3312" s="319"/>
      <c r="BL3312" s="319"/>
      <c r="BM3312" s="319"/>
      <c r="BN3312" s="319"/>
      <c r="BO3312" s="319"/>
      <c r="BP3312" s="953"/>
      <c r="BQ3312" s="319"/>
      <c r="BR3312" s="319"/>
      <c r="BS3312" s="330"/>
      <c r="BT3312" s="331"/>
      <c r="BU3312" s="920"/>
      <c r="BV3312" s="903"/>
      <c r="BW3312" s="908"/>
      <c r="BX3312" s="908"/>
      <c r="BY3312" s="331"/>
      <c r="BZ3312" s="331"/>
      <c r="CA3312" s="462"/>
      <c r="CB3312" s="319"/>
      <c r="CC3312" s="319"/>
      <c r="CD3312" s="319"/>
      <c r="CE3312" s="319"/>
      <c r="CF3312" s="319"/>
      <c r="CG3312" s="319"/>
      <c r="CH3312" s="318"/>
      <c r="CI3312" s="319"/>
      <c r="CJ3312" s="319"/>
      <c r="CK3312" s="342"/>
      <c r="CL3312" s="333"/>
      <c r="CM3312" s="1079"/>
      <c r="CN3312" s="1005"/>
      <c r="CO3312" s="1005"/>
      <c r="CP3312" s="1005"/>
    </row>
    <row r="3313">
      <c r="A3313" s="1257"/>
      <c r="B3313" s="1113"/>
      <c r="C3313" s="1107"/>
      <c r="D3313" s="103"/>
      <c r="E3313" s="1137"/>
      <c r="F3313" s="112"/>
      <c r="G3313" s="1110"/>
      <c r="H3313" s="1138"/>
      <c r="I3313" s="1138"/>
      <c r="J3313" s="1139"/>
      <c r="K3313" s="1111"/>
      <c r="L3313" s="1112"/>
      <c r="M3313" s="1113"/>
      <c r="N3313" s="110"/>
      <c r="O3313" s="1140"/>
      <c r="P3313" s="1115"/>
      <c r="Q3313" s="1116"/>
      <c r="R3313" s="1141"/>
      <c r="S3313" s="1113"/>
      <c r="T3313" s="1143"/>
      <c r="U3313" s="1108"/>
      <c r="V3313" s="1108"/>
      <c r="W3313" s="1108"/>
      <c r="X3313" s="1108"/>
      <c r="Y3313" s="1108"/>
      <c r="Z3313" s="1114"/>
      <c r="AA3313" s="1114"/>
      <c r="AB3313" s="1114"/>
      <c r="AC3313" s="1117"/>
      <c r="AD3313" s="1115"/>
      <c r="AE3313" s="1115"/>
      <c r="AF3313" s="1115"/>
      <c r="AG3313" s="1115"/>
      <c r="AH3313" s="1115"/>
      <c r="AI3313" s="1115"/>
      <c r="AJ3313" s="1117"/>
      <c r="AK3313" s="1118"/>
      <c r="AL3313" s="1115"/>
      <c r="AM3313" s="1115"/>
      <c r="AN3313" s="1115"/>
      <c r="AO3313" s="1115"/>
      <c r="AP3313" s="1115"/>
      <c r="AQ3313" s="1115"/>
      <c r="AR3313" s="1115"/>
      <c r="AS3313" s="1117"/>
      <c r="AT3313" s="1075"/>
      <c r="AU3313" s="1193"/>
      <c r="AV3313" s="330"/>
      <c r="AW3313" s="331"/>
      <c r="AX3313" s="331"/>
      <c r="AY3313" s="331"/>
      <c r="AZ3313" s="331"/>
      <c r="BA3313" s="331"/>
      <c r="BB3313" s="331"/>
      <c r="BC3313" s="331"/>
      <c r="BD3313" s="331"/>
      <c r="BE3313" s="333"/>
      <c r="BF3313" s="330"/>
      <c r="BG3313" s="333"/>
      <c r="BH3313" s="1119"/>
      <c r="BI3313" s="319"/>
      <c r="BJ3313" s="319"/>
      <c r="BK3313" s="319"/>
      <c r="BL3313" s="319"/>
      <c r="BM3313" s="319"/>
      <c r="BN3313" s="319"/>
      <c r="BO3313" s="319"/>
      <c r="BP3313" s="953"/>
      <c r="BQ3313" s="319"/>
      <c r="BR3313" s="319"/>
      <c r="BS3313" s="330"/>
      <c r="BT3313" s="331"/>
      <c r="BU3313" s="920"/>
      <c r="BV3313" s="903"/>
      <c r="BW3313" s="908"/>
      <c r="BX3313" s="908"/>
      <c r="BY3313" s="331"/>
      <c r="BZ3313" s="331"/>
      <c r="CA3313" s="462"/>
      <c r="CB3313" s="319"/>
      <c r="CC3313" s="319"/>
      <c r="CD3313" s="319"/>
      <c r="CE3313" s="319"/>
      <c r="CF3313" s="319"/>
      <c r="CG3313" s="319"/>
      <c r="CH3313" s="318"/>
      <c r="CI3313" s="319"/>
      <c r="CJ3313" s="319"/>
      <c r="CK3313" s="342"/>
      <c r="CL3313" s="333"/>
      <c r="CM3313" s="1079"/>
      <c r="CN3313" s="1005"/>
      <c r="CO3313" s="1005"/>
      <c r="CP3313" s="1005"/>
    </row>
    <row r="3314">
      <c r="A3314" s="1257"/>
      <c r="B3314" s="1113"/>
      <c r="C3314" s="1107"/>
      <c r="D3314" s="103"/>
      <c r="E3314" s="1137"/>
      <c r="F3314" s="112"/>
      <c r="G3314" s="1110"/>
      <c r="H3314" s="1138"/>
      <c r="I3314" s="1138"/>
      <c r="J3314" s="1139"/>
      <c r="K3314" s="1111"/>
      <c r="L3314" s="1112"/>
      <c r="M3314" s="1113"/>
      <c r="N3314" s="110"/>
      <c r="O3314" s="1140"/>
      <c r="P3314" s="1115"/>
      <c r="Q3314" s="1116"/>
      <c r="R3314" s="1141"/>
      <c r="S3314" s="1113"/>
      <c r="T3314" s="1143"/>
      <c r="U3314" s="1108"/>
      <c r="V3314" s="1108"/>
      <c r="W3314" s="1108"/>
      <c r="X3314" s="1108"/>
      <c r="Y3314" s="1108"/>
      <c r="Z3314" s="1114"/>
      <c r="AA3314" s="1114"/>
      <c r="AB3314" s="1114"/>
      <c r="AC3314" s="1117"/>
      <c r="AD3314" s="1115"/>
      <c r="AE3314" s="1115"/>
      <c r="AF3314" s="1115"/>
      <c r="AG3314" s="1115"/>
      <c r="AH3314" s="1115"/>
      <c r="AI3314" s="1115"/>
      <c r="AJ3314" s="1117"/>
      <c r="AK3314" s="1118"/>
      <c r="AL3314" s="1115"/>
      <c r="AM3314" s="1115"/>
      <c r="AN3314" s="1115"/>
      <c r="AO3314" s="1115"/>
      <c r="AP3314" s="1115"/>
      <c r="AQ3314" s="1115"/>
      <c r="AR3314" s="1115"/>
      <c r="AS3314" s="1117"/>
      <c r="AT3314" s="1075"/>
      <c r="AU3314" s="1193"/>
      <c r="AV3314" s="330"/>
      <c r="AW3314" s="331"/>
      <c r="AX3314" s="331"/>
      <c r="AY3314" s="331"/>
      <c r="AZ3314" s="331"/>
      <c r="BA3314" s="331"/>
      <c r="BB3314" s="331"/>
      <c r="BC3314" s="331"/>
      <c r="BD3314" s="331"/>
      <c r="BE3314" s="333"/>
      <c r="BF3314" s="330"/>
      <c r="BG3314" s="333"/>
      <c r="BH3314" s="1119"/>
      <c r="BI3314" s="319"/>
      <c r="BJ3314" s="319"/>
      <c r="BK3314" s="319"/>
      <c r="BL3314" s="319"/>
      <c r="BM3314" s="319"/>
      <c r="BN3314" s="319"/>
      <c r="BO3314" s="319"/>
      <c r="BP3314" s="953"/>
      <c r="BQ3314" s="319"/>
      <c r="BR3314" s="319"/>
      <c r="BS3314" s="330"/>
      <c r="BT3314" s="331"/>
      <c r="BU3314" s="920"/>
      <c r="BV3314" s="903"/>
      <c r="BW3314" s="908"/>
      <c r="BX3314" s="908"/>
      <c r="BY3314" s="331"/>
      <c r="BZ3314" s="331"/>
      <c r="CA3314" s="462"/>
      <c r="CB3314" s="319"/>
      <c r="CC3314" s="319"/>
      <c r="CD3314" s="319"/>
      <c r="CE3314" s="319"/>
      <c r="CF3314" s="319"/>
      <c r="CG3314" s="319"/>
      <c r="CH3314" s="318"/>
      <c r="CI3314" s="319"/>
      <c r="CJ3314" s="319"/>
      <c r="CK3314" s="342"/>
      <c r="CL3314" s="333"/>
      <c r="CM3314" s="1079"/>
      <c r="CN3314" s="1005"/>
      <c r="CO3314" s="1005"/>
      <c r="CP3314" s="1005"/>
    </row>
    <row r="3315">
      <c r="A3315" s="1257"/>
      <c r="B3315" s="1113"/>
      <c r="C3315" s="1107"/>
      <c r="D3315" s="103"/>
      <c r="E3315" s="1137"/>
      <c r="F3315" s="112"/>
      <c r="G3315" s="1110"/>
      <c r="H3315" s="1138"/>
      <c r="I3315" s="1138"/>
      <c r="J3315" s="1139"/>
      <c r="K3315" s="1111"/>
      <c r="L3315" s="1112"/>
      <c r="M3315" s="1113"/>
      <c r="N3315" s="110"/>
      <c r="O3315" s="1140"/>
      <c r="P3315" s="1115"/>
      <c r="Q3315" s="1116"/>
      <c r="R3315" s="1141"/>
      <c r="S3315" s="1113"/>
      <c r="T3315" s="1143"/>
      <c r="U3315" s="1108"/>
      <c r="V3315" s="1108"/>
      <c r="W3315" s="1108"/>
      <c r="X3315" s="1108"/>
      <c r="Y3315" s="1108"/>
      <c r="Z3315" s="1114"/>
      <c r="AA3315" s="1114"/>
      <c r="AB3315" s="1114"/>
      <c r="AC3315" s="1117"/>
      <c r="AD3315" s="1115"/>
      <c r="AE3315" s="1115"/>
      <c r="AF3315" s="1115"/>
      <c r="AG3315" s="1115"/>
      <c r="AH3315" s="1115"/>
      <c r="AI3315" s="1115"/>
      <c r="AJ3315" s="1117"/>
      <c r="AK3315" s="1118"/>
      <c r="AL3315" s="1115"/>
      <c r="AM3315" s="1115"/>
      <c r="AN3315" s="1115"/>
      <c r="AO3315" s="1115"/>
      <c r="AP3315" s="1115"/>
      <c r="AQ3315" s="1115"/>
      <c r="AR3315" s="1115"/>
      <c r="AS3315" s="1117"/>
      <c r="AT3315" s="1075"/>
      <c r="AU3315" s="1193"/>
      <c r="AV3315" s="330"/>
      <c r="AW3315" s="331"/>
      <c r="AX3315" s="331"/>
      <c r="AY3315" s="331"/>
      <c r="AZ3315" s="331"/>
      <c r="BA3315" s="331"/>
      <c r="BB3315" s="331"/>
      <c r="BC3315" s="331"/>
      <c r="BD3315" s="331"/>
      <c r="BE3315" s="333"/>
      <c r="BF3315" s="330"/>
      <c r="BG3315" s="333"/>
      <c r="BH3315" s="1119"/>
      <c r="BI3315" s="319"/>
      <c r="BJ3315" s="319"/>
      <c r="BK3315" s="319"/>
      <c r="BL3315" s="319"/>
      <c r="BM3315" s="319"/>
      <c r="BN3315" s="319"/>
      <c r="BO3315" s="319"/>
      <c r="BP3315" s="953"/>
      <c r="BQ3315" s="319"/>
      <c r="BR3315" s="319"/>
      <c r="BS3315" s="330"/>
      <c r="BT3315" s="331"/>
      <c r="BU3315" s="920"/>
      <c r="BV3315" s="903"/>
      <c r="BW3315" s="908"/>
      <c r="BX3315" s="908"/>
      <c r="BY3315" s="331"/>
      <c r="BZ3315" s="331"/>
      <c r="CA3315" s="462"/>
      <c r="CB3315" s="319"/>
      <c r="CC3315" s="319"/>
      <c r="CD3315" s="319"/>
      <c r="CE3315" s="319"/>
      <c r="CF3315" s="319"/>
      <c r="CG3315" s="319"/>
      <c r="CH3315" s="318"/>
      <c r="CI3315" s="319"/>
      <c r="CJ3315" s="319"/>
      <c r="CK3315" s="342"/>
      <c r="CL3315" s="333"/>
      <c r="CM3315" s="1079"/>
      <c r="CN3315" s="1005"/>
      <c r="CO3315" s="1005"/>
      <c r="CP3315" s="1005"/>
    </row>
    <row r="3316">
      <c r="A3316" s="1257"/>
      <c r="B3316" s="1113"/>
      <c r="C3316" s="1107"/>
      <c r="D3316" s="103"/>
      <c r="E3316" s="1137"/>
      <c r="F3316" s="112"/>
      <c r="G3316" s="1110"/>
      <c r="H3316" s="1138"/>
      <c r="I3316" s="1138"/>
      <c r="J3316" s="1139"/>
      <c r="K3316" s="1111"/>
      <c r="L3316" s="1112"/>
      <c r="M3316" s="1113"/>
      <c r="N3316" s="110"/>
      <c r="O3316" s="1140"/>
      <c r="P3316" s="1115"/>
      <c r="Q3316" s="1116"/>
      <c r="R3316" s="1141"/>
      <c r="S3316" s="1113"/>
      <c r="T3316" s="1143"/>
      <c r="U3316" s="1108"/>
      <c r="V3316" s="1108"/>
      <c r="W3316" s="1108"/>
      <c r="X3316" s="1108"/>
      <c r="Y3316" s="1108"/>
      <c r="Z3316" s="1114"/>
      <c r="AA3316" s="1114"/>
      <c r="AB3316" s="1114"/>
      <c r="AC3316" s="1117"/>
      <c r="AD3316" s="1115"/>
      <c r="AE3316" s="1115"/>
      <c r="AF3316" s="1115"/>
      <c r="AG3316" s="1115"/>
      <c r="AH3316" s="1115"/>
      <c r="AI3316" s="1115"/>
      <c r="AJ3316" s="1117"/>
      <c r="AK3316" s="1118"/>
      <c r="AL3316" s="1115"/>
      <c r="AM3316" s="1115"/>
      <c r="AN3316" s="1115"/>
      <c r="AO3316" s="1115"/>
      <c r="AP3316" s="1115"/>
      <c r="AQ3316" s="1115"/>
      <c r="AR3316" s="1115"/>
      <c r="AS3316" s="1117"/>
      <c r="AT3316" s="1075"/>
      <c r="AU3316" s="1193"/>
      <c r="AV3316" s="330"/>
      <c r="AW3316" s="331"/>
      <c r="AX3316" s="331"/>
      <c r="AY3316" s="331"/>
      <c r="AZ3316" s="331"/>
      <c r="BA3316" s="331"/>
      <c r="BB3316" s="331"/>
      <c r="BC3316" s="331"/>
      <c r="BD3316" s="331"/>
      <c r="BE3316" s="333"/>
      <c r="BF3316" s="330"/>
      <c r="BG3316" s="333"/>
      <c r="BH3316" s="1119"/>
      <c r="BI3316" s="319"/>
      <c r="BJ3316" s="319"/>
      <c r="BK3316" s="319"/>
      <c r="BL3316" s="319"/>
      <c r="BM3316" s="319"/>
      <c r="BN3316" s="319"/>
      <c r="BO3316" s="319"/>
      <c r="BP3316" s="953"/>
      <c r="BQ3316" s="319"/>
      <c r="BR3316" s="319"/>
      <c r="BS3316" s="330"/>
      <c r="BT3316" s="331"/>
      <c r="BU3316" s="920"/>
      <c r="BV3316" s="903"/>
      <c r="BW3316" s="908"/>
      <c r="BX3316" s="908"/>
      <c r="BY3316" s="331"/>
      <c r="BZ3316" s="331"/>
      <c r="CA3316" s="462"/>
      <c r="CB3316" s="319"/>
      <c r="CC3316" s="319"/>
      <c r="CD3316" s="319"/>
      <c r="CE3316" s="319"/>
      <c r="CF3316" s="319"/>
      <c r="CG3316" s="319"/>
      <c r="CH3316" s="318"/>
      <c r="CI3316" s="319"/>
      <c r="CJ3316" s="319"/>
      <c r="CK3316" s="342"/>
      <c r="CL3316" s="333"/>
      <c r="CM3316" s="1079"/>
      <c r="CN3316" s="1005"/>
      <c r="CO3316" s="1005"/>
      <c r="CP3316" s="1005"/>
    </row>
    <row r="3317">
      <c r="A3317" s="1257"/>
      <c r="B3317" s="1113"/>
      <c r="C3317" s="1107"/>
      <c r="D3317" s="103"/>
      <c r="E3317" s="1137"/>
      <c r="F3317" s="112"/>
      <c r="G3317" s="1110"/>
      <c r="H3317" s="1138"/>
      <c r="I3317" s="1138"/>
      <c r="J3317" s="1139"/>
      <c r="K3317" s="1111"/>
      <c r="L3317" s="1112"/>
      <c r="M3317" s="1113"/>
      <c r="N3317" s="110"/>
      <c r="O3317" s="1140"/>
      <c r="P3317" s="1115"/>
      <c r="Q3317" s="1116"/>
      <c r="R3317" s="1141"/>
      <c r="S3317" s="1113"/>
      <c r="T3317" s="1143"/>
      <c r="U3317" s="1108"/>
      <c r="V3317" s="1108"/>
      <c r="W3317" s="1108"/>
      <c r="X3317" s="1108"/>
      <c r="Y3317" s="1108"/>
      <c r="Z3317" s="1114"/>
      <c r="AA3317" s="1114"/>
      <c r="AB3317" s="1114"/>
      <c r="AC3317" s="1117"/>
      <c r="AD3317" s="1115"/>
      <c r="AE3317" s="1115"/>
      <c r="AF3317" s="1115"/>
      <c r="AG3317" s="1115"/>
      <c r="AH3317" s="1115"/>
      <c r="AI3317" s="1115"/>
      <c r="AJ3317" s="1117"/>
      <c r="AK3317" s="1118"/>
      <c r="AL3317" s="1115"/>
      <c r="AM3317" s="1115"/>
      <c r="AN3317" s="1115"/>
      <c r="AO3317" s="1115"/>
      <c r="AP3317" s="1115"/>
      <c r="AQ3317" s="1115"/>
      <c r="AR3317" s="1115"/>
      <c r="AS3317" s="1117"/>
      <c r="AT3317" s="1075"/>
      <c r="AU3317" s="1193"/>
      <c r="AV3317" s="330"/>
      <c r="AW3317" s="331"/>
      <c r="AX3317" s="331"/>
      <c r="AY3317" s="331"/>
      <c r="AZ3317" s="331"/>
      <c r="BA3317" s="331"/>
      <c r="BB3317" s="331"/>
      <c r="BC3317" s="331"/>
      <c r="BD3317" s="331"/>
      <c r="BE3317" s="333"/>
      <c r="BF3317" s="330"/>
      <c r="BG3317" s="333"/>
      <c r="BH3317" s="1119"/>
      <c r="BI3317" s="319"/>
      <c r="BJ3317" s="319"/>
      <c r="BK3317" s="319"/>
      <c r="BL3317" s="319"/>
      <c r="BM3317" s="319"/>
      <c r="BN3317" s="319"/>
      <c r="BO3317" s="319"/>
      <c r="BP3317" s="953"/>
      <c r="BQ3317" s="319"/>
      <c r="BR3317" s="319"/>
      <c r="BS3317" s="330"/>
      <c r="BT3317" s="331"/>
      <c r="BU3317" s="920"/>
      <c r="BV3317" s="903"/>
      <c r="BW3317" s="908"/>
      <c r="BX3317" s="908"/>
      <c r="BY3317" s="331"/>
      <c r="BZ3317" s="331"/>
      <c r="CA3317" s="462"/>
      <c r="CB3317" s="319"/>
      <c r="CC3317" s="319"/>
      <c r="CD3317" s="319"/>
      <c r="CE3317" s="319"/>
      <c r="CF3317" s="319"/>
      <c r="CG3317" s="319"/>
      <c r="CH3317" s="318"/>
      <c r="CI3317" s="319"/>
      <c r="CJ3317" s="319"/>
      <c r="CK3317" s="342"/>
      <c r="CL3317" s="333"/>
      <c r="CM3317" s="1079"/>
      <c r="CN3317" s="1005"/>
      <c r="CO3317" s="1005"/>
      <c r="CP3317" s="1005"/>
    </row>
    <row r="3318">
      <c r="A3318" s="1257"/>
      <c r="B3318" s="1113"/>
      <c r="C3318" s="1107"/>
      <c r="D3318" s="103"/>
      <c r="E3318" s="1137"/>
      <c r="F3318" s="112"/>
      <c r="G3318" s="1110"/>
      <c r="H3318" s="1138"/>
      <c r="I3318" s="1138"/>
      <c r="J3318" s="1139"/>
      <c r="K3318" s="1111"/>
      <c r="L3318" s="1112"/>
      <c r="M3318" s="1113"/>
      <c r="N3318" s="110"/>
      <c r="O3318" s="1140"/>
      <c r="P3318" s="1115"/>
      <c r="Q3318" s="1116"/>
      <c r="R3318" s="1141"/>
      <c r="S3318" s="1113"/>
      <c r="T3318" s="1143"/>
      <c r="U3318" s="1108"/>
      <c r="V3318" s="1108"/>
      <c r="W3318" s="1108"/>
      <c r="X3318" s="1108"/>
      <c r="Y3318" s="1108"/>
      <c r="Z3318" s="1114"/>
      <c r="AA3318" s="1114"/>
      <c r="AB3318" s="1114"/>
      <c r="AC3318" s="1117"/>
      <c r="AD3318" s="1115"/>
      <c r="AE3318" s="1115"/>
      <c r="AF3318" s="1115"/>
      <c r="AG3318" s="1115"/>
      <c r="AH3318" s="1115"/>
      <c r="AI3318" s="1115"/>
      <c r="AJ3318" s="1117"/>
      <c r="AK3318" s="1118"/>
      <c r="AL3318" s="1115"/>
      <c r="AM3318" s="1115"/>
      <c r="AN3318" s="1115"/>
      <c r="AO3318" s="1115"/>
      <c r="AP3318" s="1115"/>
      <c r="AQ3318" s="1115"/>
      <c r="AR3318" s="1115"/>
      <c r="AS3318" s="1117"/>
      <c r="AT3318" s="1075"/>
      <c r="AU3318" s="1193"/>
      <c r="AV3318" s="330"/>
      <c r="AW3318" s="331"/>
      <c r="AX3318" s="331"/>
      <c r="AY3318" s="331"/>
      <c r="AZ3318" s="331"/>
      <c r="BA3318" s="331"/>
      <c r="BB3318" s="331"/>
      <c r="BC3318" s="331"/>
      <c r="BD3318" s="331"/>
      <c r="BE3318" s="333"/>
      <c r="BF3318" s="330"/>
      <c r="BG3318" s="333"/>
      <c r="BH3318" s="1119"/>
      <c r="BI3318" s="319"/>
      <c r="BJ3318" s="319"/>
      <c r="BK3318" s="319"/>
      <c r="BL3318" s="319"/>
      <c r="BM3318" s="319"/>
      <c r="BN3318" s="319"/>
      <c r="BO3318" s="319"/>
      <c r="BP3318" s="953"/>
      <c r="BQ3318" s="319"/>
      <c r="BR3318" s="319"/>
      <c r="BS3318" s="330"/>
      <c r="BT3318" s="331"/>
      <c r="BU3318" s="920"/>
      <c r="BV3318" s="903"/>
      <c r="BW3318" s="908"/>
      <c r="BX3318" s="908"/>
      <c r="BY3318" s="331"/>
      <c r="BZ3318" s="331"/>
      <c r="CA3318" s="462"/>
      <c r="CB3318" s="319"/>
      <c r="CC3318" s="319"/>
      <c r="CD3318" s="319"/>
      <c r="CE3318" s="319"/>
      <c r="CF3318" s="319"/>
      <c r="CG3318" s="319"/>
      <c r="CH3318" s="318"/>
      <c r="CI3318" s="319"/>
      <c r="CJ3318" s="319"/>
      <c r="CK3318" s="342"/>
      <c r="CL3318" s="333"/>
      <c r="CM3318" s="1079"/>
      <c r="CN3318" s="1005"/>
      <c r="CO3318" s="1005"/>
      <c r="CP3318" s="1005"/>
    </row>
    <row r="3319">
      <c r="A3319" s="1257"/>
      <c r="B3319" s="1113"/>
      <c r="C3319" s="1107"/>
      <c r="D3319" s="103"/>
      <c r="E3319" s="1137"/>
      <c r="F3319" s="112"/>
      <c r="G3319" s="1110"/>
      <c r="H3319" s="1138"/>
      <c r="I3319" s="1138"/>
      <c r="J3319" s="1139"/>
      <c r="K3319" s="1111"/>
      <c r="L3319" s="1112"/>
      <c r="M3319" s="1113"/>
      <c r="N3319" s="110"/>
      <c r="O3319" s="1140"/>
      <c r="P3319" s="1115"/>
      <c r="Q3319" s="1116"/>
      <c r="R3319" s="1141"/>
      <c r="S3319" s="1113"/>
      <c r="T3319" s="1143"/>
      <c r="U3319" s="1108"/>
      <c r="V3319" s="1108"/>
      <c r="W3319" s="1108"/>
      <c r="X3319" s="1108"/>
      <c r="Y3319" s="1108"/>
      <c r="Z3319" s="1114"/>
      <c r="AA3319" s="1114"/>
      <c r="AB3319" s="1114"/>
      <c r="AC3319" s="1117"/>
      <c r="AD3319" s="1115"/>
      <c r="AE3319" s="1115"/>
      <c r="AF3319" s="1115"/>
      <c r="AG3319" s="1115"/>
      <c r="AH3319" s="1115"/>
      <c r="AI3319" s="1115"/>
      <c r="AJ3319" s="1117"/>
      <c r="AK3319" s="1118"/>
      <c r="AL3319" s="1115"/>
      <c r="AM3319" s="1115"/>
      <c r="AN3319" s="1115"/>
      <c r="AO3319" s="1115"/>
      <c r="AP3319" s="1115"/>
      <c r="AQ3319" s="1115"/>
      <c r="AR3319" s="1115"/>
      <c r="AS3319" s="1117"/>
      <c r="AT3319" s="1075"/>
      <c r="AU3319" s="1193"/>
      <c r="AV3319" s="330"/>
      <c r="AW3319" s="331"/>
      <c r="AX3319" s="331"/>
      <c r="AY3319" s="331"/>
      <c r="AZ3319" s="331"/>
      <c r="BA3319" s="331"/>
      <c r="BB3319" s="331"/>
      <c r="BC3319" s="331"/>
      <c r="BD3319" s="331"/>
      <c r="BE3319" s="333"/>
      <c r="BF3319" s="330"/>
      <c r="BG3319" s="333"/>
      <c r="BH3319" s="1119"/>
      <c r="BI3319" s="319"/>
      <c r="BJ3319" s="319"/>
      <c r="BK3319" s="319"/>
      <c r="BL3319" s="319"/>
      <c r="BM3319" s="319"/>
      <c r="BN3319" s="319"/>
      <c r="BO3319" s="319"/>
      <c r="BP3319" s="953"/>
      <c r="BQ3319" s="319"/>
      <c r="BR3319" s="319"/>
      <c r="BS3319" s="330"/>
      <c r="BT3319" s="331"/>
      <c r="BU3319" s="920"/>
      <c r="BV3319" s="903"/>
      <c r="BW3319" s="908"/>
      <c r="BX3319" s="908"/>
      <c r="BY3319" s="331"/>
      <c r="BZ3319" s="331"/>
      <c r="CA3319" s="462"/>
      <c r="CB3319" s="319"/>
      <c r="CC3319" s="319"/>
      <c r="CD3319" s="319"/>
      <c r="CE3319" s="319"/>
      <c r="CF3319" s="319"/>
      <c r="CG3319" s="319"/>
      <c r="CH3319" s="318"/>
      <c r="CI3319" s="319"/>
      <c r="CJ3319" s="319"/>
      <c r="CK3319" s="342"/>
      <c r="CL3319" s="333"/>
      <c r="CM3319" s="1079"/>
      <c r="CN3319" s="1005"/>
      <c r="CO3319" s="1005"/>
      <c r="CP3319" s="1005"/>
    </row>
    <row r="3320">
      <c r="A3320" s="1257"/>
      <c r="B3320" s="1113"/>
      <c r="C3320" s="1107"/>
      <c r="D3320" s="103"/>
      <c r="E3320" s="1137"/>
      <c r="F3320" s="112"/>
      <c r="G3320" s="1110"/>
      <c r="H3320" s="1138"/>
      <c r="I3320" s="1138"/>
      <c r="J3320" s="1139"/>
      <c r="K3320" s="1111"/>
      <c r="L3320" s="1112"/>
      <c r="M3320" s="1113"/>
      <c r="N3320" s="110"/>
      <c r="O3320" s="1140"/>
      <c r="P3320" s="1115"/>
      <c r="Q3320" s="1116"/>
      <c r="R3320" s="1141"/>
      <c r="S3320" s="1113"/>
      <c r="T3320" s="1143"/>
      <c r="U3320" s="1108"/>
      <c r="V3320" s="1108"/>
      <c r="W3320" s="1108"/>
      <c r="X3320" s="1108"/>
      <c r="Y3320" s="1108"/>
      <c r="Z3320" s="1114"/>
      <c r="AA3320" s="1114"/>
      <c r="AB3320" s="1114"/>
      <c r="AC3320" s="1117"/>
      <c r="AD3320" s="1115"/>
      <c r="AE3320" s="1115"/>
      <c r="AF3320" s="1115"/>
      <c r="AG3320" s="1115"/>
      <c r="AH3320" s="1115"/>
      <c r="AI3320" s="1115"/>
      <c r="AJ3320" s="1117"/>
      <c r="AK3320" s="1118"/>
      <c r="AL3320" s="1115"/>
      <c r="AM3320" s="1115"/>
      <c r="AN3320" s="1115"/>
      <c r="AO3320" s="1115"/>
      <c r="AP3320" s="1115"/>
      <c r="AQ3320" s="1115"/>
      <c r="AR3320" s="1115"/>
      <c r="AS3320" s="1117"/>
      <c r="AT3320" s="1075"/>
      <c r="AU3320" s="1193"/>
      <c r="AV3320" s="330"/>
      <c r="AW3320" s="331"/>
      <c r="AX3320" s="331"/>
      <c r="AY3320" s="331"/>
      <c r="AZ3320" s="331"/>
      <c r="BA3320" s="331"/>
      <c r="BB3320" s="331"/>
      <c r="BC3320" s="331"/>
      <c r="BD3320" s="331"/>
      <c r="BE3320" s="333"/>
      <c r="BF3320" s="330"/>
      <c r="BG3320" s="333"/>
      <c r="BH3320" s="1119"/>
      <c r="BI3320" s="319"/>
      <c r="BJ3320" s="319"/>
      <c r="BK3320" s="319"/>
      <c r="BL3320" s="319"/>
      <c r="BM3320" s="319"/>
      <c r="BN3320" s="319"/>
      <c r="BO3320" s="319"/>
      <c r="BP3320" s="953"/>
      <c r="BQ3320" s="319"/>
      <c r="BR3320" s="319"/>
      <c r="BS3320" s="330"/>
      <c r="BT3320" s="331"/>
      <c r="BU3320" s="920"/>
      <c r="BV3320" s="903"/>
      <c r="BW3320" s="908"/>
      <c r="BX3320" s="908"/>
      <c r="BY3320" s="331"/>
      <c r="BZ3320" s="331"/>
      <c r="CA3320" s="462"/>
      <c r="CB3320" s="319"/>
      <c r="CC3320" s="319"/>
      <c r="CD3320" s="319"/>
      <c r="CE3320" s="319"/>
      <c r="CF3320" s="319"/>
      <c r="CG3320" s="319"/>
      <c r="CH3320" s="318"/>
      <c r="CI3320" s="319"/>
      <c r="CJ3320" s="319"/>
      <c r="CK3320" s="342"/>
      <c r="CL3320" s="333"/>
      <c r="CM3320" s="1079"/>
      <c r="CN3320" s="1005"/>
      <c r="CO3320" s="1005"/>
      <c r="CP3320" s="1005"/>
    </row>
    <row r="3321">
      <c r="A3321" s="1257"/>
      <c r="B3321" s="1113"/>
      <c r="C3321" s="1107"/>
      <c r="D3321" s="103"/>
      <c r="E3321" s="1137"/>
      <c r="F3321" s="112"/>
      <c r="G3321" s="1110"/>
      <c r="H3321" s="1138"/>
      <c r="I3321" s="1138"/>
      <c r="J3321" s="1139"/>
      <c r="K3321" s="1111"/>
      <c r="L3321" s="1112"/>
      <c r="M3321" s="1113"/>
      <c r="N3321" s="110"/>
      <c r="O3321" s="1140"/>
      <c r="P3321" s="1115"/>
      <c r="Q3321" s="1116"/>
      <c r="R3321" s="1141"/>
      <c r="S3321" s="1113"/>
      <c r="T3321" s="1143"/>
      <c r="U3321" s="1108"/>
      <c r="V3321" s="1108"/>
      <c r="W3321" s="1108"/>
      <c r="X3321" s="1108"/>
      <c r="Y3321" s="1108"/>
      <c r="Z3321" s="1114"/>
      <c r="AA3321" s="1114"/>
      <c r="AB3321" s="1114"/>
      <c r="AC3321" s="1117"/>
      <c r="AD3321" s="1115"/>
      <c r="AE3321" s="1115"/>
      <c r="AF3321" s="1115"/>
      <c r="AG3321" s="1115"/>
      <c r="AH3321" s="1115"/>
      <c r="AI3321" s="1115"/>
      <c r="AJ3321" s="1117"/>
      <c r="AK3321" s="1118"/>
      <c r="AL3321" s="1115"/>
      <c r="AM3321" s="1115"/>
      <c r="AN3321" s="1115"/>
      <c r="AO3321" s="1115"/>
      <c r="AP3321" s="1115"/>
      <c r="AQ3321" s="1115"/>
      <c r="AR3321" s="1115"/>
      <c r="AS3321" s="1117"/>
      <c r="AT3321" s="1075"/>
      <c r="AU3321" s="1193"/>
      <c r="AV3321" s="330"/>
      <c r="AW3321" s="331"/>
      <c r="AX3321" s="331"/>
      <c r="AY3321" s="331"/>
      <c r="AZ3321" s="331"/>
      <c r="BA3321" s="331"/>
      <c r="BB3321" s="331"/>
      <c r="BC3321" s="331"/>
      <c r="BD3321" s="331"/>
      <c r="BE3321" s="333"/>
      <c r="BF3321" s="330"/>
      <c r="BG3321" s="333"/>
      <c r="BH3321" s="1119"/>
      <c r="BI3321" s="319"/>
      <c r="BJ3321" s="319"/>
      <c r="BK3321" s="319"/>
      <c r="BL3321" s="319"/>
      <c r="BM3321" s="319"/>
      <c r="BN3321" s="319"/>
      <c r="BO3321" s="319"/>
      <c r="BP3321" s="953"/>
      <c r="BQ3321" s="319"/>
      <c r="BR3321" s="319"/>
      <c r="BS3321" s="330"/>
      <c r="BT3321" s="331"/>
      <c r="BU3321" s="920"/>
      <c r="BV3321" s="903"/>
      <c r="BW3321" s="908"/>
      <c r="BX3321" s="908"/>
      <c r="BY3321" s="331"/>
      <c r="BZ3321" s="331"/>
      <c r="CA3321" s="462"/>
      <c r="CB3321" s="319"/>
      <c r="CC3321" s="319"/>
      <c r="CD3321" s="319"/>
      <c r="CE3321" s="319"/>
      <c r="CF3321" s="319"/>
      <c r="CG3321" s="319"/>
      <c r="CH3321" s="318"/>
      <c r="CI3321" s="319"/>
      <c r="CJ3321" s="319"/>
      <c r="CK3321" s="342"/>
      <c r="CL3321" s="333"/>
      <c r="CM3321" s="1079"/>
      <c r="CN3321" s="1005"/>
      <c r="CO3321" s="1005"/>
      <c r="CP3321" s="1005"/>
    </row>
    <row r="3322">
      <c r="A3322" s="1257"/>
      <c r="B3322" s="1113"/>
      <c r="C3322" s="1107"/>
      <c r="D3322" s="103"/>
      <c r="E3322" s="1137"/>
      <c r="F3322" s="112"/>
      <c r="G3322" s="1110"/>
      <c r="H3322" s="1138"/>
      <c r="I3322" s="1138"/>
      <c r="J3322" s="1139"/>
      <c r="K3322" s="1111"/>
      <c r="L3322" s="1112"/>
      <c r="M3322" s="1113"/>
      <c r="N3322" s="110"/>
      <c r="O3322" s="1140"/>
      <c r="P3322" s="1115"/>
      <c r="Q3322" s="1116"/>
      <c r="R3322" s="1141"/>
      <c r="S3322" s="1113"/>
      <c r="T3322" s="1143"/>
      <c r="U3322" s="1108"/>
      <c r="V3322" s="1108"/>
      <c r="W3322" s="1108"/>
      <c r="X3322" s="1108"/>
      <c r="Y3322" s="1108"/>
      <c r="Z3322" s="1114"/>
      <c r="AA3322" s="1114"/>
      <c r="AB3322" s="1114"/>
      <c r="AC3322" s="1117"/>
      <c r="AD3322" s="1115"/>
      <c r="AE3322" s="1115"/>
      <c r="AF3322" s="1115"/>
      <c r="AG3322" s="1115"/>
      <c r="AH3322" s="1115"/>
      <c r="AI3322" s="1115"/>
      <c r="AJ3322" s="1117"/>
      <c r="AK3322" s="1118"/>
      <c r="AL3322" s="1115"/>
      <c r="AM3322" s="1115"/>
      <c r="AN3322" s="1115"/>
      <c r="AO3322" s="1115"/>
      <c r="AP3322" s="1115"/>
      <c r="AQ3322" s="1115"/>
      <c r="AR3322" s="1115"/>
      <c r="AS3322" s="1117"/>
      <c r="AT3322" s="1075"/>
      <c r="AU3322" s="1193"/>
      <c r="AV3322" s="330"/>
      <c r="AW3322" s="331"/>
      <c r="AX3322" s="331"/>
      <c r="AY3322" s="331"/>
      <c r="AZ3322" s="331"/>
      <c r="BA3322" s="331"/>
      <c r="BB3322" s="331"/>
      <c r="BC3322" s="331"/>
      <c r="BD3322" s="331"/>
      <c r="BE3322" s="333"/>
      <c r="BF3322" s="330"/>
      <c r="BG3322" s="333"/>
      <c r="BH3322" s="1119"/>
      <c r="BI3322" s="319"/>
      <c r="BJ3322" s="319"/>
      <c r="BK3322" s="319"/>
      <c r="BL3322" s="319"/>
      <c r="BM3322" s="319"/>
      <c r="BN3322" s="319"/>
      <c r="BO3322" s="319"/>
      <c r="BP3322" s="953"/>
      <c r="BQ3322" s="319"/>
      <c r="BR3322" s="319"/>
      <c r="BS3322" s="330"/>
      <c r="BT3322" s="331"/>
      <c r="BU3322" s="920"/>
      <c r="BV3322" s="903"/>
      <c r="BW3322" s="908"/>
      <c r="BX3322" s="908"/>
      <c r="BY3322" s="331"/>
      <c r="BZ3322" s="331"/>
      <c r="CA3322" s="462"/>
      <c r="CB3322" s="319"/>
      <c r="CC3322" s="319"/>
      <c r="CD3322" s="319"/>
      <c r="CE3322" s="319"/>
      <c r="CF3322" s="319"/>
      <c r="CG3322" s="319"/>
      <c r="CH3322" s="318"/>
      <c r="CI3322" s="319"/>
      <c r="CJ3322" s="319"/>
      <c r="CK3322" s="342"/>
      <c r="CL3322" s="333"/>
      <c r="CM3322" s="1079"/>
      <c r="CN3322" s="1005"/>
      <c r="CO3322" s="1005"/>
      <c r="CP3322" s="1005"/>
    </row>
    <row r="3323">
      <c r="A3323" s="1257"/>
      <c r="B3323" s="1113"/>
      <c r="C3323" s="1107"/>
      <c r="D3323" s="103"/>
      <c r="E3323" s="1137"/>
      <c r="F3323" s="112"/>
      <c r="G3323" s="1110"/>
      <c r="H3323" s="1138"/>
      <c r="I3323" s="1138"/>
      <c r="J3323" s="1139"/>
      <c r="K3323" s="1111"/>
      <c r="L3323" s="1112"/>
      <c r="M3323" s="1113"/>
      <c r="N3323" s="110"/>
      <c r="O3323" s="1140"/>
      <c r="P3323" s="1115"/>
      <c r="Q3323" s="1116"/>
      <c r="R3323" s="1141"/>
      <c r="S3323" s="1113"/>
      <c r="T3323" s="1143"/>
      <c r="U3323" s="1108"/>
      <c r="V3323" s="1108"/>
      <c r="W3323" s="1108"/>
      <c r="X3323" s="1108"/>
      <c r="Y3323" s="1108"/>
      <c r="Z3323" s="1114"/>
      <c r="AA3323" s="1114"/>
      <c r="AB3323" s="1114"/>
      <c r="AC3323" s="1117"/>
      <c r="AD3323" s="1115"/>
      <c r="AE3323" s="1115"/>
      <c r="AF3323" s="1115"/>
      <c r="AG3323" s="1115"/>
      <c r="AH3323" s="1115"/>
      <c r="AI3323" s="1115"/>
      <c r="AJ3323" s="1117"/>
      <c r="AK3323" s="1118"/>
      <c r="AL3323" s="1115"/>
      <c r="AM3323" s="1115"/>
      <c r="AN3323" s="1115"/>
      <c r="AO3323" s="1115"/>
      <c r="AP3323" s="1115"/>
      <c r="AQ3323" s="1115"/>
      <c r="AR3323" s="1115"/>
      <c r="AS3323" s="1117"/>
      <c r="AT3323" s="1075"/>
      <c r="AU3323" s="1193"/>
      <c r="AV3323" s="330"/>
      <c r="AW3323" s="331"/>
      <c r="AX3323" s="331"/>
      <c r="AY3323" s="331"/>
      <c r="AZ3323" s="331"/>
      <c r="BA3323" s="331"/>
      <c r="BB3323" s="331"/>
      <c r="BC3323" s="331"/>
      <c r="BD3323" s="331"/>
      <c r="BE3323" s="333"/>
      <c r="BF3323" s="330"/>
      <c r="BG3323" s="333"/>
      <c r="BH3323" s="1119"/>
      <c r="BI3323" s="319"/>
      <c r="BJ3323" s="319"/>
      <c r="BK3323" s="319"/>
      <c r="BL3323" s="319"/>
      <c r="BM3323" s="319"/>
      <c r="BN3323" s="319"/>
      <c r="BO3323" s="319"/>
      <c r="BP3323" s="953"/>
      <c r="BQ3323" s="319"/>
      <c r="BR3323" s="319"/>
      <c r="BS3323" s="330"/>
      <c r="BT3323" s="331"/>
      <c r="BU3323" s="920"/>
      <c r="BV3323" s="903"/>
      <c r="BW3323" s="908"/>
      <c r="BX3323" s="908"/>
      <c r="BY3323" s="331"/>
      <c r="BZ3323" s="331"/>
      <c r="CA3323" s="462"/>
      <c r="CB3323" s="319"/>
      <c r="CC3323" s="319"/>
      <c r="CD3323" s="319"/>
      <c r="CE3323" s="319"/>
      <c r="CF3323" s="319"/>
      <c r="CG3323" s="319"/>
      <c r="CH3323" s="318"/>
      <c r="CI3323" s="319"/>
      <c r="CJ3323" s="319"/>
      <c r="CK3323" s="342"/>
      <c r="CL3323" s="333"/>
      <c r="CM3323" s="1079"/>
      <c r="CN3323" s="1005"/>
      <c r="CO3323" s="1005"/>
      <c r="CP3323" s="1005"/>
    </row>
    <row r="3324">
      <c r="A3324" s="1257"/>
      <c r="B3324" s="1113"/>
      <c r="C3324" s="1107"/>
      <c r="D3324" s="103"/>
      <c r="E3324" s="1137"/>
      <c r="F3324" s="112"/>
      <c r="G3324" s="1110"/>
      <c r="H3324" s="1138"/>
      <c r="I3324" s="1138"/>
      <c r="J3324" s="1139"/>
      <c r="K3324" s="1111"/>
      <c r="L3324" s="1112"/>
      <c r="M3324" s="1113"/>
      <c r="N3324" s="110"/>
      <c r="O3324" s="1140"/>
      <c r="P3324" s="1115"/>
      <c r="Q3324" s="1116"/>
      <c r="R3324" s="1141"/>
      <c r="S3324" s="1113"/>
      <c r="T3324" s="1143"/>
      <c r="U3324" s="1108"/>
      <c r="V3324" s="1108"/>
      <c r="W3324" s="1108"/>
      <c r="X3324" s="1108"/>
      <c r="Y3324" s="1108"/>
      <c r="Z3324" s="1114"/>
      <c r="AA3324" s="1114"/>
      <c r="AB3324" s="1114"/>
      <c r="AC3324" s="1117"/>
      <c r="AD3324" s="1115"/>
      <c r="AE3324" s="1115"/>
      <c r="AF3324" s="1115"/>
      <c r="AG3324" s="1115"/>
      <c r="AH3324" s="1115"/>
      <c r="AI3324" s="1115"/>
      <c r="AJ3324" s="1117"/>
      <c r="AK3324" s="1118"/>
      <c r="AL3324" s="1115"/>
      <c r="AM3324" s="1115"/>
      <c r="AN3324" s="1115"/>
      <c r="AO3324" s="1115"/>
      <c r="AP3324" s="1115"/>
      <c r="AQ3324" s="1115"/>
      <c r="AR3324" s="1115"/>
      <c r="AS3324" s="1117"/>
      <c r="AT3324" s="1075"/>
      <c r="AU3324" s="1193"/>
      <c r="AV3324" s="330"/>
      <c r="AW3324" s="331"/>
      <c r="AX3324" s="331"/>
      <c r="AY3324" s="331"/>
      <c r="AZ3324" s="331"/>
      <c r="BA3324" s="331"/>
      <c r="BB3324" s="331"/>
      <c r="BC3324" s="331"/>
      <c r="BD3324" s="331"/>
      <c r="BE3324" s="333"/>
      <c r="BF3324" s="330"/>
      <c r="BG3324" s="333"/>
      <c r="BH3324" s="1119"/>
      <c r="BI3324" s="319"/>
      <c r="BJ3324" s="319"/>
      <c r="BK3324" s="319"/>
      <c r="BL3324" s="319"/>
      <c r="BM3324" s="319"/>
      <c r="BN3324" s="319"/>
      <c r="BO3324" s="319"/>
      <c r="BP3324" s="953"/>
      <c r="BQ3324" s="319"/>
      <c r="BR3324" s="319"/>
      <c r="BS3324" s="330"/>
      <c r="BT3324" s="331"/>
      <c r="BU3324" s="920"/>
      <c r="BV3324" s="903"/>
      <c r="BW3324" s="908"/>
      <c r="BX3324" s="908"/>
      <c r="BY3324" s="331"/>
      <c r="BZ3324" s="331"/>
      <c r="CA3324" s="462"/>
      <c r="CB3324" s="319"/>
      <c r="CC3324" s="319"/>
      <c r="CD3324" s="319"/>
      <c r="CE3324" s="319"/>
      <c r="CF3324" s="319"/>
      <c r="CG3324" s="319"/>
      <c r="CH3324" s="318"/>
      <c r="CI3324" s="319"/>
      <c r="CJ3324" s="319"/>
      <c r="CK3324" s="342"/>
      <c r="CL3324" s="333"/>
      <c r="CM3324" s="1079"/>
      <c r="CN3324" s="1005"/>
      <c r="CO3324" s="1005"/>
      <c r="CP3324" s="1005"/>
    </row>
    <row r="3325">
      <c r="A3325" s="1257"/>
      <c r="B3325" s="1113"/>
      <c r="C3325" s="1107"/>
      <c r="D3325" s="103"/>
      <c r="E3325" s="1137"/>
      <c r="F3325" s="112"/>
      <c r="G3325" s="1110"/>
      <c r="H3325" s="1138"/>
      <c r="I3325" s="1138"/>
      <c r="J3325" s="1139"/>
      <c r="K3325" s="1111"/>
      <c r="L3325" s="1112"/>
      <c r="M3325" s="1113"/>
      <c r="N3325" s="110"/>
      <c r="O3325" s="1140"/>
      <c r="P3325" s="1115"/>
      <c r="Q3325" s="1116"/>
      <c r="R3325" s="1141"/>
      <c r="S3325" s="1113"/>
      <c r="T3325" s="1143"/>
      <c r="U3325" s="1108"/>
      <c r="V3325" s="1108"/>
      <c r="W3325" s="1108"/>
      <c r="X3325" s="1108"/>
      <c r="Y3325" s="1108"/>
      <c r="Z3325" s="1114"/>
      <c r="AA3325" s="1114"/>
      <c r="AB3325" s="1114"/>
      <c r="AC3325" s="1117"/>
      <c r="AD3325" s="1115"/>
      <c r="AE3325" s="1115"/>
      <c r="AF3325" s="1115"/>
      <c r="AG3325" s="1115"/>
      <c r="AH3325" s="1115"/>
      <c r="AI3325" s="1115"/>
      <c r="AJ3325" s="1117"/>
      <c r="AK3325" s="1118"/>
      <c r="AL3325" s="1115"/>
      <c r="AM3325" s="1115"/>
      <c r="AN3325" s="1115"/>
      <c r="AO3325" s="1115"/>
      <c r="AP3325" s="1115"/>
      <c r="AQ3325" s="1115"/>
      <c r="AR3325" s="1115"/>
      <c r="AS3325" s="1117"/>
      <c r="AT3325" s="1075"/>
      <c r="AU3325" s="1193"/>
      <c r="AV3325" s="330"/>
      <c r="AW3325" s="331"/>
      <c r="AX3325" s="331"/>
      <c r="AY3325" s="331"/>
      <c r="AZ3325" s="331"/>
      <c r="BA3325" s="331"/>
      <c r="BB3325" s="331"/>
      <c r="BC3325" s="331"/>
      <c r="BD3325" s="331"/>
      <c r="BE3325" s="333"/>
      <c r="BF3325" s="330"/>
      <c r="BG3325" s="333"/>
      <c r="BH3325" s="1119"/>
      <c r="BI3325" s="319"/>
      <c r="BJ3325" s="319"/>
      <c r="BK3325" s="319"/>
      <c r="BL3325" s="319"/>
      <c r="BM3325" s="319"/>
      <c r="BN3325" s="319"/>
      <c r="BO3325" s="319"/>
      <c r="BP3325" s="953"/>
      <c r="BQ3325" s="319"/>
      <c r="BR3325" s="319"/>
      <c r="BS3325" s="330"/>
      <c r="BT3325" s="331"/>
      <c r="BU3325" s="920"/>
      <c r="BV3325" s="903"/>
      <c r="BW3325" s="908"/>
      <c r="BX3325" s="908"/>
      <c r="BY3325" s="331"/>
      <c r="BZ3325" s="331"/>
      <c r="CA3325" s="462"/>
      <c r="CB3325" s="319"/>
      <c r="CC3325" s="319"/>
      <c r="CD3325" s="319"/>
      <c r="CE3325" s="319"/>
      <c r="CF3325" s="319"/>
      <c r="CG3325" s="319"/>
      <c r="CH3325" s="318"/>
      <c r="CI3325" s="319"/>
      <c r="CJ3325" s="319"/>
      <c r="CK3325" s="342"/>
      <c r="CL3325" s="333"/>
      <c r="CM3325" s="1079"/>
      <c r="CN3325" s="1005"/>
      <c r="CO3325" s="1005"/>
      <c r="CP3325" s="1005"/>
    </row>
    <row r="3326">
      <c r="A3326" s="1257"/>
      <c r="B3326" s="1113"/>
      <c r="C3326" s="1107"/>
      <c r="D3326" s="103"/>
      <c r="E3326" s="1137"/>
      <c r="F3326" s="112"/>
      <c r="G3326" s="1110"/>
      <c r="H3326" s="1138"/>
      <c r="I3326" s="1138"/>
      <c r="J3326" s="1139"/>
      <c r="K3326" s="1111"/>
      <c r="L3326" s="1112"/>
      <c r="M3326" s="1113"/>
      <c r="N3326" s="110"/>
      <c r="O3326" s="1140"/>
      <c r="P3326" s="1115"/>
      <c r="Q3326" s="1116"/>
      <c r="R3326" s="1141"/>
      <c r="S3326" s="1113"/>
      <c r="T3326" s="1143"/>
      <c r="U3326" s="1108"/>
      <c r="V3326" s="1108"/>
      <c r="W3326" s="1108"/>
      <c r="X3326" s="1108"/>
      <c r="Y3326" s="1108"/>
      <c r="Z3326" s="1114"/>
      <c r="AA3326" s="1114"/>
      <c r="AB3326" s="1114"/>
      <c r="AC3326" s="1117"/>
      <c r="AD3326" s="1115"/>
      <c r="AE3326" s="1115"/>
      <c r="AF3326" s="1115"/>
      <c r="AG3326" s="1115"/>
      <c r="AH3326" s="1115"/>
      <c r="AI3326" s="1115"/>
      <c r="AJ3326" s="1117"/>
      <c r="AK3326" s="1118"/>
      <c r="AL3326" s="1115"/>
      <c r="AM3326" s="1115"/>
      <c r="AN3326" s="1115"/>
      <c r="AO3326" s="1115"/>
      <c r="AP3326" s="1115"/>
      <c r="AQ3326" s="1115"/>
      <c r="AR3326" s="1115"/>
      <c r="AS3326" s="1117"/>
      <c r="AT3326" s="1075"/>
      <c r="AU3326" s="1193"/>
      <c r="AV3326" s="330"/>
      <c r="AW3326" s="331"/>
      <c r="AX3326" s="331"/>
      <c r="AY3326" s="331"/>
      <c r="AZ3326" s="331"/>
      <c r="BA3326" s="331"/>
      <c r="BB3326" s="331"/>
      <c r="BC3326" s="331"/>
      <c r="BD3326" s="331"/>
      <c r="BE3326" s="333"/>
      <c r="BF3326" s="330"/>
      <c r="BG3326" s="333"/>
      <c r="BH3326" s="1119"/>
      <c r="BI3326" s="319"/>
      <c r="BJ3326" s="319"/>
      <c r="BK3326" s="319"/>
      <c r="BL3326" s="319"/>
      <c r="BM3326" s="319"/>
      <c r="BN3326" s="319"/>
      <c r="BO3326" s="319"/>
      <c r="BP3326" s="953"/>
      <c r="BQ3326" s="319"/>
      <c r="BR3326" s="319"/>
      <c r="BS3326" s="330"/>
      <c r="BT3326" s="331"/>
      <c r="BU3326" s="920"/>
      <c r="BV3326" s="903"/>
      <c r="BW3326" s="908"/>
      <c r="BX3326" s="908"/>
      <c r="BY3326" s="331"/>
      <c r="BZ3326" s="331"/>
      <c r="CA3326" s="462"/>
      <c r="CB3326" s="319"/>
      <c r="CC3326" s="319"/>
      <c r="CD3326" s="319"/>
      <c r="CE3326" s="319"/>
      <c r="CF3326" s="319"/>
      <c r="CG3326" s="319"/>
      <c r="CH3326" s="318"/>
      <c r="CI3326" s="319"/>
      <c r="CJ3326" s="319"/>
      <c r="CK3326" s="342"/>
      <c r="CL3326" s="333"/>
      <c r="CM3326" s="1079"/>
      <c r="CN3326" s="1005"/>
      <c r="CO3326" s="1005"/>
      <c r="CP3326" s="1005"/>
    </row>
    <row r="3327">
      <c r="A3327" s="1257"/>
      <c r="B3327" s="1113"/>
      <c r="C3327" s="1107"/>
      <c r="D3327" s="103"/>
      <c r="E3327" s="1137"/>
      <c r="F3327" s="112"/>
      <c r="G3327" s="1110"/>
      <c r="H3327" s="1138"/>
      <c r="I3327" s="1138"/>
      <c r="J3327" s="1139"/>
      <c r="K3327" s="1111"/>
      <c r="L3327" s="1112"/>
      <c r="M3327" s="1113"/>
      <c r="N3327" s="110"/>
      <c r="O3327" s="1140"/>
      <c r="P3327" s="1115"/>
      <c r="Q3327" s="1116"/>
      <c r="R3327" s="1141"/>
      <c r="S3327" s="1113"/>
      <c r="T3327" s="1143"/>
      <c r="U3327" s="1108"/>
      <c r="V3327" s="1108"/>
      <c r="W3327" s="1108"/>
      <c r="X3327" s="1108"/>
      <c r="Y3327" s="1108"/>
      <c r="Z3327" s="1114"/>
      <c r="AA3327" s="1114"/>
      <c r="AB3327" s="1114"/>
      <c r="AC3327" s="1117"/>
      <c r="AD3327" s="1115"/>
      <c r="AE3327" s="1115"/>
      <c r="AF3327" s="1115"/>
      <c r="AG3327" s="1115"/>
      <c r="AH3327" s="1115"/>
      <c r="AI3327" s="1115"/>
      <c r="AJ3327" s="1117"/>
      <c r="AK3327" s="1118"/>
      <c r="AL3327" s="1115"/>
      <c r="AM3327" s="1115"/>
      <c r="AN3327" s="1115"/>
      <c r="AO3327" s="1115"/>
      <c r="AP3327" s="1115"/>
      <c r="AQ3327" s="1115"/>
      <c r="AR3327" s="1115"/>
      <c r="AS3327" s="1117"/>
      <c r="AT3327" s="1075"/>
      <c r="AU3327" s="1193"/>
      <c r="AV3327" s="330"/>
      <c r="AW3327" s="331"/>
      <c r="AX3327" s="331"/>
      <c r="AY3327" s="331"/>
      <c r="AZ3327" s="331"/>
      <c r="BA3327" s="331"/>
      <c r="BB3327" s="331"/>
      <c r="BC3327" s="331"/>
      <c r="BD3327" s="331"/>
      <c r="BE3327" s="333"/>
      <c r="BF3327" s="330"/>
      <c r="BG3327" s="333"/>
      <c r="BH3327" s="1119"/>
      <c r="BI3327" s="319"/>
      <c r="BJ3327" s="319"/>
      <c r="BK3327" s="319"/>
      <c r="BL3327" s="319"/>
      <c r="BM3327" s="319"/>
      <c r="BN3327" s="319"/>
      <c r="BO3327" s="319"/>
      <c r="BP3327" s="953"/>
      <c r="BQ3327" s="319"/>
      <c r="BR3327" s="319"/>
      <c r="BS3327" s="330"/>
      <c r="BT3327" s="331"/>
      <c r="BU3327" s="920"/>
      <c r="BV3327" s="903"/>
      <c r="BW3327" s="908"/>
      <c r="BX3327" s="908"/>
      <c r="BY3327" s="331"/>
      <c r="BZ3327" s="331"/>
      <c r="CA3327" s="462"/>
      <c r="CB3327" s="319"/>
      <c r="CC3327" s="319"/>
      <c r="CD3327" s="319"/>
      <c r="CE3327" s="319"/>
      <c r="CF3327" s="319"/>
      <c r="CG3327" s="319"/>
      <c r="CH3327" s="318"/>
      <c r="CI3327" s="319"/>
      <c r="CJ3327" s="319"/>
      <c r="CK3327" s="342"/>
      <c r="CL3327" s="333"/>
      <c r="CM3327" s="1079"/>
      <c r="CN3327" s="1005"/>
      <c r="CO3327" s="1005"/>
      <c r="CP3327" s="1005"/>
    </row>
    <row r="3328">
      <c r="A3328" s="1257"/>
      <c r="B3328" s="1113"/>
      <c r="C3328" s="1107"/>
      <c r="D3328" s="103"/>
      <c r="E3328" s="1137"/>
      <c r="F3328" s="112"/>
      <c r="G3328" s="1110"/>
      <c r="H3328" s="1138"/>
      <c r="I3328" s="1138"/>
      <c r="J3328" s="1139"/>
      <c r="K3328" s="1111"/>
      <c r="L3328" s="1112"/>
      <c r="M3328" s="1113"/>
      <c r="N3328" s="110"/>
      <c r="O3328" s="1140"/>
      <c r="P3328" s="1115"/>
      <c r="Q3328" s="1116"/>
      <c r="R3328" s="1141"/>
      <c r="S3328" s="1113"/>
      <c r="T3328" s="1143"/>
      <c r="U3328" s="1108"/>
      <c r="V3328" s="1108"/>
      <c r="W3328" s="1108"/>
      <c r="X3328" s="1108"/>
      <c r="Y3328" s="1108"/>
      <c r="Z3328" s="1114"/>
      <c r="AA3328" s="1114"/>
      <c r="AB3328" s="1114"/>
      <c r="AC3328" s="1117"/>
      <c r="AD3328" s="1115"/>
      <c r="AE3328" s="1115"/>
      <c r="AF3328" s="1115"/>
      <c r="AG3328" s="1115"/>
      <c r="AH3328" s="1115"/>
      <c r="AI3328" s="1115"/>
      <c r="AJ3328" s="1117"/>
      <c r="AK3328" s="1118"/>
      <c r="AL3328" s="1115"/>
      <c r="AM3328" s="1115"/>
      <c r="AN3328" s="1115"/>
      <c r="AO3328" s="1115"/>
      <c r="AP3328" s="1115"/>
      <c r="AQ3328" s="1115"/>
      <c r="AR3328" s="1115"/>
      <c r="AS3328" s="1117"/>
      <c r="AT3328" s="1075"/>
      <c r="AU3328" s="1193"/>
      <c r="AV3328" s="330"/>
      <c r="AW3328" s="331"/>
      <c r="AX3328" s="331"/>
      <c r="AY3328" s="331"/>
      <c r="AZ3328" s="331"/>
      <c r="BA3328" s="331"/>
      <c r="BB3328" s="331"/>
      <c r="BC3328" s="331"/>
      <c r="BD3328" s="331"/>
      <c r="BE3328" s="333"/>
      <c r="BF3328" s="330"/>
      <c r="BG3328" s="333"/>
      <c r="BH3328" s="1119"/>
      <c r="BI3328" s="319"/>
      <c r="BJ3328" s="319"/>
      <c r="BK3328" s="319"/>
      <c r="BL3328" s="319"/>
      <c r="BM3328" s="319"/>
      <c r="BN3328" s="319"/>
      <c r="BO3328" s="319"/>
      <c r="BP3328" s="953"/>
      <c r="BQ3328" s="319"/>
      <c r="BR3328" s="319"/>
      <c r="BS3328" s="330"/>
      <c r="BT3328" s="331"/>
      <c r="BU3328" s="920"/>
      <c r="BV3328" s="903"/>
      <c r="BW3328" s="908"/>
      <c r="BX3328" s="908"/>
      <c r="BY3328" s="331"/>
      <c r="BZ3328" s="331"/>
      <c r="CA3328" s="462"/>
      <c r="CB3328" s="319"/>
      <c r="CC3328" s="319"/>
      <c r="CD3328" s="319"/>
      <c r="CE3328" s="319"/>
      <c r="CF3328" s="319"/>
      <c r="CG3328" s="319"/>
      <c r="CH3328" s="318"/>
      <c r="CI3328" s="319"/>
      <c r="CJ3328" s="319"/>
      <c r="CK3328" s="342"/>
      <c r="CL3328" s="333"/>
      <c r="CM3328" s="1079"/>
      <c r="CN3328" s="1005"/>
      <c r="CO3328" s="1005"/>
      <c r="CP3328" s="1005"/>
    </row>
    <row r="3329">
      <c r="A3329" s="1257"/>
      <c r="B3329" s="1113"/>
      <c r="C3329" s="1107"/>
      <c r="D3329" s="103"/>
      <c r="E3329" s="1137"/>
      <c r="F3329" s="112"/>
      <c r="G3329" s="1110"/>
      <c r="H3329" s="1138"/>
      <c r="I3329" s="1138"/>
      <c r="J3329" s="1139"/>
      <c r="K3329" s="1111"/>
      <c r="L3329" s="1112"/>
      <c r="M3329" s="1113"/>
      <c r="N3329" s="110"/>
      <c r="O3329" s="1140"/>
      <c r="P3329" s="1115"/>
      <c r="Q3329" s="1116"/>
      <c r="R3329" s="1141"/>
      <c r="S3329" s="1113"/>
      <c r="T3329" s="1143"/>
      <c r="U3329" s="1108"/>
      <c r="V3329" s="1108"/>
      <c r="W3329" s="1108"/>
      <c r="X3329" s="1108"/>
      <c r="Y3329" s="1108"/>
      <c r="Z3329" s="1114"/>
      <c r="AA3329" s="1114"/>
      <c r="AB3329" s="1114"/>
      <c r="AC3329" s="1117"/>
      <c r="AD3329" s="1115"/>
      <c r="AE3329" s="1115"/>
      <c r="AF3329" s="1115"/>
      <c r="AG3329" s="1115"/>
      <c r="AH3329" s="1115"/>
      <c r="AI3329" s="1115"/>
      <c r="AJ3329" s="1117"/>
      <c r="AK3329" s="1118"/>
      <c r="AL3329" s="1115"/>
      <c r="AM3329" s="1115"/>
      <c r="AN3329" s="1115"/>
      <c r="AO3329" s="1115"/>
      <c r="AP3329" s="1115"/>
      <c r="AQ3329" s="1115"/>
      <c r="AR3329" s="1115"/>
      <c r="AS3329" s="1117"/>
      <c r="AT3329" s="1075"/>
      <c r="AU3329" s="1193"/>
      <c r="AV3329" s="330"/>
      <c r="AW3329" s="331"/>
      <c r="AX3329" s="331"/>
      <c r="AY3329" s="331"/>
      <c r="AZ3329" s="331"/>
      <c r="BA3329" s="331"/>
      <c r="BB3329" s="331"/>
      <c r="BC3329" s="331"/>
      <c r="BD3329" s="331"/>
      <c r="BE3329" s="333"/>
      <c r="BF3329" s="330"/>
      <c r="BG3329" s="333"/>
      <c r="BH3329" s="1119"/>
      <c r="BI3329" s="319"/>
      <c r="BJ3329" s="319"/>
      <c r="BK3329" s="319"/>
      <c r="BL3329" s="319"/>
      <c r="BM3329" s="319"/>
      <c r="BN3329" s="319"/>
      <c r="BO3329" s="319"/>
      <c r="BP3329" s="953"/>
      <c r="BQ3329" s="319"/>
      <c r="BR3329" s="319"/>
      <c r="BS3329" s="330"/>
      <c r="BT3329" s="331"/>
      <c r="BU3329" s="920"/>
      <c r="BV3329" s="903"/>
      <c r="BW3329" s="908"/>
      <c r="BX3329" s="908"/>
      <c r="BY3329" s="331"/>
      <c r="BZ3329" s="331"/>
      <c r="CA3329" s="462"/>
      <c r="CB3329" s="319"/>
      <c r="CC3329" s="319"/>
      <c r="CD3329" s="319"/>
      <c r="CE3329" s="319"/>
      <c r="CF3329" s="319"/>
      <c r="CG3329" s="319"/>
      <c r="CH3329" s="318"/>
      <c r="CI3329" s="319"/>
      <c r="CJ3329" s="319"/>
      <c r="CK3329" s="342"/>
      <c r="CL3329" s="333"/>
      <c r="CM3329" s="1079"/>
      <c r="CN3329" s="1005"/>
      <c r="CO3329" s="1005"/>
      <c r="CP3329" s="1005"/>
    </row>
    <row r="3330">
      <c r="A3330" s="1257"/>
      <c r="B3330" s="1113"/>
      <c r="C3330" s="1107"/>
      <c r="D3330" s="103"/>
      <c r="E3330" s="1137"/>
      <c r="F3330" s="112"/>
      <c r="G3330" s="1110"/>
      <c r="H3330" s="1138"/>
      <c r="I3330" s="1138"/>
      <c r="J3330" s="1139"/>
      <c r="K3330" s="1111"/>
      <c r="L3330" s="1112"/>
      <c r="M3330" s="1113"/>
      <c r="N3330" s="110"/>
      <c r="O3330" s="1140"/>
      <c r="P3330" s="1115"/>
      <c r="Q3330" s="1116"/>
      <c r="R3330" s="1141"/>
      <c r="S3330" s="1113"/>
      <c r="T3330" s="1143"/>
      <c r="U3330" s="1108"/>
      <c r="V3330" s="1108"/>
      <c r="W3330" s="1108"/>
      <c r="X3330" s="1108"/>
      <c r="Y3330" s="1108"/>
      <c r="Z3330" s="1114"/>
      <c r="AA3330" s="1114"/>
      <c r="AB3330" s="1114"/>
      <c r="AC3330" s="1117"/>
      <c r="AD3330" s="1115"/>
      <c r="AE3330" s="1115"/>
      <c r="AF3330" s="1115"/>
      <c r="AG3330" s="1115"/>
      <c r="AH3330" s="1115"/>
      <c r="AI3330" s="1115"/>
      <c r="AJ3330" s="1117"/>
      <c r="AK3330" s="1118"/>
      <c r="AL3330" s="1115"/>
      <c r="AM3330" s="1115"/>
      <c r="AN3330" s="1115"/>
      <c r="AO3330" s="1115"/>
      <c r="AP3330" s="1115"/>
      <c r="AQ3330" s="1115"/>
      <c r="AR3330" s="1115"/>
      <c r="AS3330" s="1117"/>
      <c r="AT3330" s="1075"/>
      <c r="AU3330" s="1193"/>
      <c r="AV3330" s="330"/>
      <c r="AW3330" s="331"/>
      <c r="AX3330" s="331"/>
      <c r="AY3330" s="331"/>
      <c r="AZ3330" s="331"/>
      <c r="BA3330" s="331"/>
      <c r="BB3330" s="331"/>
      <c r="BC3330" s="331"/>
      <c r="BD3330" s="331"/>
      <c r="BE3330" s="333"/>
      <c r="BF3330" s="330"/>
      <c r="BG3330" s="333"/>
      <c r="BH3330" s="1119"/>
      <c r="BI3330" s="319"/>
      <c r="BJ3330" s="319"/>
      <c r="BK3330" s="319"/>
      <c r="BL3330" s="319"/>
      <c r="BM3330" s="319"/>
      <c r="BN3330" s="319"/>
      <c r="BO3330" s="319"/>
      <c r="BP3330" s="953"/>
      <c r="BQ3330" s="319"/>
      <c r="BR3330" s="319"/>
      <c r="BS3330" s="330"/>
      <c r="BT3330" s="331"/>
      <c r="BU3330" s="920"/>
      <c r="BV3330" s="903"/>
      <c r="BW3330" s="908"/>
      <c r="BX3330" s="908"/>
      <c r="BY3330" s="331"/>
      <c r="BZ3330" s="331"/>
      <c r="CA3330" s="462"/>
      <c r="CB3330" s="319"/>
      <c r="CC3330" s="319"/>
      <c r="CD3330" s="319"/>
      <c r="CE3330" s="319"/>
      <c r="CF3330" s="319"/>
      <c r="CG3330" s="319"/>
      <c r="CH3330" s="318"/>
      <c r="CI3330" s="319"/>
      <c r="CJ3330" s="319"/>
      <c r="CK3330" s="342"/>
      <c r="CL3330" s="333"/>
      <c r="CM3330" s="1079"/>
      <c r="CN3330" s="1005"/>
      <c r="CO3330" s="1005"/>
      <c r="CP3330" s="1005"/>
    </row>
    <row r="3331">
      <c r="A3331" s="1257"/>
      <c r="B3331" s="1113"/>
      <c r="C3331" s="1107"/>
      <c r="D3331" s="103"/>
      <c r="E3331" s="1137"/>
      <c r="F3331" s="112"/>
      <c r="G3331" s="1110"/>
      <c r="H3331" s="1138"/>
      <c r="I3331" s="1138"/>
      <c r="J3331" s="1139"/>
      <c r="K3331" s="1111"/>
      <c r="L3331" s="1112"/>
      <c r="M3331" s="1113"/>
      <c r="N3331" s="110"/>
      <c r="O3331" s="1140"/>
      <c r="P3331" s="1115"/>
      <c r="Q3331" s="1116"/>
      <c r="R3331" s="1141"/>
      <c r="S3331" s="1113"/>
      <c r="T3331" s="1143"/>
      <c r="U3331" s="1108"/>
      <c r="V3331" s="1108"/>
      <c r="W3331" s="1108"/>
      <c r="X3331" s="1108"/>
      <c r="Y3331" s="1108"/>
      <c r="Z3331" s="1114"/>
      <c r="AA3331" s="1114"/>
      <c r="AB3331" s="1114"/>
      <c r="AC3331" s="1117"/>
      <c r="AD3331" s="1115"/>
      <c r="AE3331" s="1115"/>
      <c r="AF3331" s="1115"/>
      <c r="AG3331" s="1115"/>
      <c r="AH3331" s="1115"/>
      <c r="AI3331" s="1115"/>
      <c r="AJ3331" s="1117"/>
      <c r="AK3331" s="1118"/>
      <c r="AL3331" s="1115"/>
      <c r="AM3331" s="1115"/>
      <c r="AN3331" s="1115"/>
      <c r="AO3331" s="1115"/>
      <c r="AP3331" s="1115"/>
      <c r="AQ3331" s="1115"/>
      <c r="AR3331" s="1115"/>
      <c r="AS3331" s="1117"/>
      <c r="AT3331" s="1075"/>
      <c r="AU3331" s="1193"/>
      <c r="AV3331" s="330"/>
      <c r="AW3331" s="331"/>
      <c r="AX3331" s="331"/>
      <c r="AY3331" s="331"/>
      <c r="AZ3331" s="331"/>
      <c r="BA3331" s="331"/>
      <c r="BB3331" s="331"/>
      <c r="BC3331" s="331"/>
      <c r="BD3331" s="331"/>
      <c r="BE3331" s="333"/>
      <c r="BF3331" s="330"/>
      <c r="BG3331" s="333"/>
      <c r="BH3331" s="1119"/>
      <c r="BI3331" s="319"/>
      <c r="BJ3331" s="319"/>
      <c r="BK3331" s="319"/>
      <c r="BL3331" s="319"/>
      <c r="BM3331" s="319"/>
      <c r="BN3331" s="319"/>
      <c r="BO3331" s="319"/>
      <c r="BP3331" s="953"/>
      <c r="BQ3331" s="319"/>
      <c r="BR3331" s="319"/>
      <c r="BS3331" s="330"/>
      <c r="BT3331" s="331"/>
      <c r="BU3331" s="920"/>
      <c r="BV3331" s="903"/>
      <c r="BW3331" s="908"/>
      <c r="BX3331" s="908"/>
      <c r="BY3331" s="331"/>
      <c r="BZ3331" s="331"/>
      <c r="CA3331" s="462"/>
      <c r="CB3331" s="319"/>
      <c r="CC3331" s="319"/>
      <c r="CD3331" s="319"/>
      <c r="CE3331" s="319"/>
      <c r="CF3331" s="319"/>
      <c r="CG3331" s="319"/>
      <c r="CH3331" s="318"/>
      <c r="CI3331" s="319"/>
      <c r="CJ3331" s="319"/>
      <c r="CK3331" s="342"/>
      <c r="CL3331" s="333"/>
      <c r="CM3331" s="1079"/>
      <c r="CN3331" s="1005"/>
      <c r="CO3331" s="1005"/>
      <c r="CP3331" s="1005"/>
    </row>
    <row r="3332">
      <c r="A3332" s="1257"/>
      <c r="B3332" s="1113"/>
      <c r="C3332" s="1107"/>
      <c r="D3332" s="103"/>
      <c r="E3332" s="1137"/>
      <c r="F3332" s="112"/>
      <c r="G3332" s="1110"/>
      <c r="H3332" s="1138"/>
      <c r="I3332" s="1138"/>
      <c r="J3332" s="1139"/>
      <c r="K3332" s="1111"/>
      <c r="L3332" s="1112"/>
      <c r="M3332" s="1113"/>
      <c r="N3332" s="110"/>
      <c r="O3332" s="1140"/>
      <c r="P3332" s="1115"/>
      <c r="Q3332" s="1116"/>
      <c r="R3332" s="1141"/>
      <c r="S3332" s="1113"/>
      <c r="T3332" s="1143"/>
      <c r="U3332" s="1108"/>
      <c r="V3332" s="1108"/>
      <c r="W3332" s="1108"/>
      <c r="X3332" s="1108"/>
      <c r="Y3332" s="1108"/>
      <c r="Z3332" s="1114"/>
      <c r="AA3332" s="1114"/>
      <c r="AB3332" s="1114"/>
      <c r="AC3332" s="1117"/>
      <c r="AD3332" s="1115"/>
      <c r="AE3332" s="1115"/>
      <c r="AF3332" s="1115"/>
      <c r="AG3332" s="1115"/>
      <c r="AH3332" s="1115"/>
      <c r="AI3332" s="1115"/>
      <c r="AJ3332" s="1117"/>
      <c r="AK3332" s="1118"/>
      <c r="AL3332" s="1115"/>
      <c r="AM3332" s="1115"/>
      <c r="AN3332" s="1115"/>
      <c r="AO3332" s="1115"/>
      <c r="AP3332" s="1115"/>
      <c r="AQ3332" s="1115"/>
      <c r="AR3332" s="1115"/>
      <c r="AS3332" s="1117"/>
      <c r="AT3332" s="1075"/>
      <c r="AU3332" s="1193"/>
      <c r="AV3332" s="330"/>
      <c r="AW3332" s="331"/>
      <c r="AX3332" s="331"/>
      <c r="AY3332" s="331"/>
      <c r="AZ3332" s="331"/>
      <c r="BA3332" s="331"/>
      <c r="BB3332" s="331"/>
      <c r="BC3332" s="331"/>
      <c r="BD3332" s="331"/>
      <c r="BE3332" s="333"/>
      <c r="BF3332" s="330"/>
      <c r="BG3332" s="333"/>
      <c r="BH3332" s="1119"/>
      <c r="BI3332" s="319"/>
      <c r="BJ3332" s="319"/>
      <c r="BK3332" s="319"/>
      <c r="BL3332" s="319"/>
      <c r="BM3332" s="319"/>
      <c r="BN3332" s="319"/>
      <c r="BO3332" s="319"/>
      <c r="BP3332" s="953"/>
      <c r="BQ3332" s="319"/>
      <c r="BR3332" s="319"/>
      <c r="BS3332" s="330"/>
      <c r="BT3332" s="331"/>
      <c r="BU3332" s="920"/>
      <c r="BV3332" s="903"/>
      <c r="BW3332" s="908"/>
      <c r="BX3332" s="908"/>
      <c r="BY3332" s="331"/>
      <c r="BZ3332" s="331"/>
      <c r="CA3332" s="462"/>
      <c r="CB3332" s="319"/>
      <c r="CC3332" s="319"/>
      <c r="CD3332" s="319"/>
      <c r="CE3332" s="319"/>
      <c r="CF3332" s="319"/>
      <c r="CG3332" s="319"/>
      <c r="CH3332" s="318"/>
      <c r="CI3332" s="319"/>
      <c r="CJ3332" s="319"/>
      <c r="CK3332" s="342"/>
      <c r="CL3332" s="333"/>
      <c r="CM3332" s="1079"/>
      <c r="CN3332" s="1005"/>
      <c r="CO3332" s="1005"/>
      <c r="CP3332" s="1005"/>
    </row>
    <row r="3333">
      <c r="A3333" s="1257"/>
      <c r="B3333" s="1113"/>
      <c r="C3333" s="1107"/>
      <c r="D3333" s="103"/>
      <c r="E3333" s="1137"/>
      <c r="F3333" s="112"/>
      <c r="G3333" s="1110"/>
      <c r="H3333" s="1138"/>
      <c r="I3333" s="1138"/>
      <c r="J3333" s="1139"/>
      <c r="K3333" s="1111"/>
      <c r="L3333" s="1112"/>
      <c r="M3333" s="1113"/>
      <c r="N3333" s="110"/>
      <c r="O3333" s="1140"/>
      <c r="P3333" s="1115"/>
      <c r="Q3333" s="1116"/>
      <c r="R3333" s="1141"/>
      <c r="S3333" s="1113"/>
      <c r="T3333" s="1143"/>
      <c r="U3333" s="1108"/>
      <c r="V3333" s="1108"/>
      <c r="W3333" s="1108"/>
      <c r="X3333" s="1108"/>
      <c r="Y3333" s="1108"/>
      <c r="Z3333" s="1114"/>
      <c r="AA3333" s="1114"/>
      <c r="AB3333" s="1114"/>
      <c r="AC3333" s="1117"/>
      <c r="AD3333" s="1115"/>
      <c r="AE3333" s="1115"/>
      <c r="AF3333" s="1115"/>
      <c r="AG3333" s="1115"/>
      <c r="AH3333" s="1115"/>
      <c r="AI3333" s="1115"/>
      <c r="AJ3333" s="1117"/>
      <c r="AK3333" s="1118"/>
      <c r="AL3333" s="1115"/>
      <c r="AM3333" s="1115"/>
      <c r="AN3333" s="1115"/>
      <c r="AO3333" s="1115"/>
      <c r="AP3333" s="1115"/>
      <c r="AQ3333" s="1115"/>
      <c r="AR3333" s="1115"/>
      <c r="AS3333" s="1117"/>
      <c r="AT3333" s="1075"/>
      <c r="AU3333" s="1193"/>
      <c r="AV3333" s="330"/>
      <c r="AW3333" s="331"/>
      <c r="AX3333" s="331"/>
      <c r="AY3333" s="331"/>
      <c r="AZ3333" s="331"/>
      <c r="BA3333" s="331"/>
      <c r="BB3333" s="331"/>
      <c r="BC3333" s="331"/>
      <c r="BD3333" s="331"/>
      <c r="BE3333" s="333"/>
      <c r="BF3333" s="330"/>
      <c r="BG3333" s="333"/>
      <c r="BH3333" s="1119"/>
      <c r="BI3333" s="319"/>
      <c r="BJ3333" s="319"/>
      <c r="BK3333" s="319"/>
      <c r="BL3333" s="319"/>
      <c r="BM3333" s="319"/>
      <c r="BN3333" s="319"/>
      <c r="BO3333" s="319"/>
      <c r="BP3333" s="953"/>
      <c r="BQ3333" s="319"/>
      <c r="BR3333" s="319"/>
      <c r="BS3333" s="330"/>
      <c r="BT3333" s="331"/>
      <c r="BU3333" s="920"/>
      <c r="BV3333" s="903"/>
      <c r="BW3333" s="908"/>
      <c r="BX3333" s="908"/>
      <c r="BY3333" s="331"/>
      <c r="BZ3333" s="331"/>
      <c r="CA3333" s="462"/>
      <c r="CB3333" s="319"/>
      <c r="CC3333" s="319"/>
      <c r="CD3333" s="319"/>
      <c r="CE3333" s="319"/>
      <c r="CF3333" s="319"/>
      <c r="CG3333" s="319"/>
      <c r="CH3333" s="318"/>
      <c r="CI3333" s="319"/>
      <c r="CJ3333" s="319"/>
      <c r="CK3333" s="342"/>
      <c r="CL3333" s="333"/>
      <c r="CM3333" s="1079"/>
      <c r="CN3333" s="1005"/>
      <c r="CO3333" s="1005"/>
      <c r="CP3333" s="1005"/>
    </row>
    <row r="3334">
      <c r="A3334" s="1257"/>
      <c r="B3334" s="1113"/>
      <c r="C3334" s="1107"/>
      <c r="D3334" s="103"/>
      <c r="E3334" s="1137"/>
      <c r="F3334" s="112"/>
      <c r="G3334" s="1110"/>
      <c r="H3334" s="1138"/>
      <c r="I3334" s="1138"/>
      <c r="J3334" s="1139"/>
      <c r="K3334" s="1111"/>
      <c r="L3334" s="1112"/>
      <c r="M3334" s="1113"/>
      <c r="N3334" s="110"/>
      <c r="O3334" s="1140"/>
      <c r="P3334" s="1115"/>
      <c r="Q3334" s="1116"/>
      <c r="R3334" s="1141"/>
      <c r="S3334" s="1113"/>
      <c r="T3334" s="1143"/>
      <c r="U3334" s="1108"/>
      <c r="V3334" s="1108"/>
      <c r="W3334" s="1108"/>
      <c r="X3334" s="1108"/>
      <c r="Y3334" s="1108"/>
      <c r="Z3334" s="1114"/>
      <c r="AA3334" s="1114"/>
      <c r="AB3334" s="1114"/>
      <c r="AC3334" s="1117"/>
      <c r="AD3334" s="1115"/>
      <c r="AE3334" s="1115"/>
      <c r="AF3334" s="1115"/>
      <c r="AG3334" s="1115"/>
      <c r="AH3334" s="1115"/>
      <c r="AI3334" s="1115"/>
      <c r="AJ3334" s="1117"/>
      <c r="AK3334" s="1118"/>
      <c r="AL3334" s="1115"/>
      <c r="AM3334" s="1115"/>
      <c r="AN3334" s="1115"/>
      <c r="AO3334" s="1115"/>
      <c r="AP3334" s="1115"/>
      <c r="AQ3334" s="1115"/>
      <c r="AR3334" s="1115"/>
      <c r="AS3334" s="1117"/>
      <c r="AT3334" s="1075"/>
      <c r="AU3334" s="1193"/>
      <c r="AV3334" s="330"/>
      <c r="AW3334" s="331"/>
      <c r="AX3334" s="331"/>
      <c r="AY3334" s="331"/>
      <c r="AZ3334" s="331"/>
      <c r="BA3334" s="331"/>
      <c r="BB3334" s="331"/>
      <c r="BC3334" s="331"/>
      <c r="BD3334" s="331"/>
      <c r="BE3334" s="333"/>
      <c r="BF3334" s="330"/>
      <c r="BG3334" s="333"/>
      <c r="BH3334" s="1119"/>
      <c r="BI3334" s="319"/>
      <c r="BJ3334" s="319"/>
      <c r="BK3334" s="319"/>
      <c r="BL3334" s="319"/>
      <c r="BM3334" s="319"/>
      <c r="BN3334" s="319"/>
      <c r="BO3334" s="319"/>
      <c r="BP3334" s="953"/>
      <c r="BQ3334" s="319"/>
      <c r="BR3334" s="319"/>
      <c r="BS3334" s="330"/>
      <c r="BT3334" s="331"/>
      <c r="BU3334" s="920"/>
      <c r="BV3334" s="903"/>
      <c r="BW3334" s="908"/>
      <c r="BX3334" s="908"/>
      <c r="BY3334" s="331"/>
      <c r="BZ3334" s="331"/>
      <c r="CA3334" s="462"/>
      <c r="CB3334" s="319"/>
      <c r="CC3334" s="319"/>
      <c r="CD3334" s="319"/>
      <c r="CE3334" s="319"/>
      <c r="CF3334" s="319"/>
      <c r="CG3334" s="319"/>
      <c r="CH3334" s="318"/>
      <c r="CI3334" s="319"/>
      <c r="CJ3334" s="319"/>
      <c r="CK3334" s="342"/>
      <c r="CL3334" s="333"/>
      <c r="CM3334" s="1079"/>
      <c r="CN3334" s="1005"/>
      <c r="CO3334" s="1005"/>
      <c r="CP3334" s="1005"/>
    </row>
    <row r="3335">
      <c r="A3335" s="1257"/>
      <c r="B3335" s="1113"/>
      <c r="C3335" s="1107"/>
      <c r="D3335" s="103"/>
      <c r="E3335" s="1137"/>
      <c r="F3335" s="112"/>
      <c r="G3335" s="1110"/>
      <c r="H3335" s="1138"/>
      <c r="I3335" s="1138"/>
      <c r="J3335" s="1139"/>
      <c r="K3335" s="1111"/>
      <c r="L3335" s="1112"/>
      <c r="M3335" s="1113"/>
      <c r="N3335" s="110"/>
      <c r="O3335" s="1140"/>
      <c r="P3335" s="1115"/>
      <c r="Q3335" s="1116"/>
      <c r="R3335" s="1141"/>
      <c r="S3335" s="1113"/>
      <c r="T3335" s="1143"/>
      <c r="U3335" s="1108"/>
      <c r="V3335" s="1108"/>
      <c r="W3335" s="1108"/>
      <c r="X3335" s="1108"/>
      <c r="Y3335" s="1108"/>
      <c r="Z3335" s="1114"/>
      <c r="AA3335" s="1114"/>
      <c r="AB3335" s="1114"/>
      <c r="AC3335" s="1117"/>
      <c r="AD3335" s="1115"/>
      <c r="AE3335" s="1115"/>
      <c r="AF3335" s="1115"/>
      <c r="AG3335" s="1115"/>
      <c r="AH3335" s="1115"/>
      <c r="AI3335" s="1115"/>
      <c r="AJ3335" s="1117"/>
      <c r="AK3335" s="1118"/>
      <c r="AL3335" s="1115"/>
      <c r="AM3335" s="1115"/>
      <c r="AN3335" s="1115"/>
      <c r="AO3335" s="1115"/>
      <c r="AP3335" s="1115"/>
      <c r="AQ3335" s="1115"/>
      <c r="AR3335" s="1115"/>
      <c r="AS3335" s="1117"/>
      <c r="AT3335" s="1075"/>
      <c r="AU3335" s="1193"/>
      <c r="AV3335" s="330"/>
      <c r="AW3335" s="331"/>
      <c r="AX3335" s="331"/>
      <c r="AY3335" s="331"/>
      <c r="AZ3335" s="331"/>
      <c r="BA3335" s="331"/>
      <c r="BB3335" s="331"/>
      <c r="BC3335" s="331"/>
      <c r="BD3335" s="331"/>
      <c r="BE3335" s="333"/>
      <c r="BF3335" s="330"/>
      <c r="BG3335" s="333"/>
      <c r="BH3335" s="1119"/>
      <c r="BI3335" s="319"/>
      <c r="BJ3335" s="319"/>
      <c r="BK3335" s="319"/>
      <c r="BL3335" s="319"/>
      <c r="BM3335" s="319"/>
      <c r="BN3335" s="319"/>
      <c r="BO3335" s="319"/>
      <c r="BP3335" s="953"/>
      <c r="BQ3335" s="319"/>
      <c r="BR3335" s="319"/>
      <c r="BS3335" s="330"/>
      <c r="BT3335" s="331"/>
      <c r="BU3335" s="920"/>
      <c r="BV3335" s="903"/>
      <c r="BW3335" s="908"/>
      <c r="BX3335" s="908"/>
      <c r="BY3335" s="331"/>
      <c r="BZ3335" s="331"/>
      <c r="CA3335" s="462"/>
      <c r="CB3335" s="319"/>
      <c r="CC3335" s="319"/>
      <c r="CD3335" s="319"/>
      <c r="CE3335" s="319"/>
      <c r="CF3335" s="319"/>
      <c r="CG3335" s="319"/>
      <c r="CH3335" s="318"/>
      <c r="CI3335" s="319"/>
      <c r="CJ3335" s="319"/>
      <c r="CK3335" s="342"/>
      <c r="CL3335" s="333"/>
      <c r="CM3335" s="1079"/>
      <c r="CN3335" s="1005"/>
      <c r="CO3335" s="1005"/>
      <c r="CP3335" s="1005"/>
    </row>
    <row r="3336">
      <c r="A3336" s="1257"/>
      <c r="B3336" s="1113"/>
      <c r="C3336" s="1107"/>
      <c r="D3336" s="103"/>
      <c r="E3336" s="1137"/>
      <c r="F3336" s="112"/>
      <c r="G3336" s="1110"/>
      <c r="H3336" s="1138"/>
      <c r="I3336" s="1138"/>
      <c r="J3336" s="1139"/>
      <c r="K3336" s="1111"/>
      <c r="L3336" s="1112"/>
      <c r="M3336" s="1113"/>
      <c r="N3336" s="110"/>
      <c r="O3336" s="1140"/>
      <c r="P3336" s="1115"/>
      <c r="Q3336" s="1116"/>
      <c r="R3336" s="1141"/>
      <c r="S3336" s="1113"/>
      <c r="T3336" s="1143"/>
      <c r="U3336" s="1108"/>
      <c r="V3336" s="1108"/>
      <c r="W3336" s="1108"/>
      <c r="X3336" s="1108"/>
      <c r="Y3336" s="1108"/>
      <c r="Z3336" s="1114"/>
      <c r="AA3336" s="1114"/>
      <c r="AB3336" s="1114"/>
      <c r="AC3336" s="1117"/>
      <c r="AD3336" s="1115"/>
      <c r="AE3336" s="1115"/>
      <c r="AF3336" s="1115"/>
      <c r="AG3336" s="1115"/>
      <c r="AH3336" s="1115"/>
      <c r="AI3336" s="1115"/>
      <c r="AJ3336" s="1117"/>
      <c r="AK3336" s="1118"/>
      <c r="AL3336" s="1115"/>
      <c r="AM3336" s="1115"/>
      <c r="AN3336" s="1115"/>
      <c r="AO3336" s="1115"/>
      <c r="AP3336" s="1115"/>
      <c r="AQ3336" s="1115"/>
      <c r="AR3336" s="1115"/>
      <c r="AS3336" s="1117"/>
      <c r="AT3336" s="1075"/>
      <c r="AU3336" s="1193"/>
      <c r="AV3336" s="330"/>
      <c r="AW3336" s="331"/>
      <c r="AX3336" s="331"/>
      <c r="AY3336" s="331"/>
      <c r="AZ3336" s="331"/>
      <c r="BA3336" s="331"/>
      <c r="BB3336" s="331"/>
      <c r="BC3336" s="331"/>
      <c r="BD3336" s="331"/>
      <c r="BE3336" s="333"/>
      <c r="BF3336" s="330"/>
      <c r="BG3336" s="333"/>
      <c r="BH3336" s="1119"/>
      <c r="BI3336" s="319"/>
      <c r="BJ3336" s="319"/>
      <c r="BK3336" s="319"/>
      <c r="BL3336" s="319"/>
      <c r="BM3336" s="319"/>
      <c r="BN3336" s="319"/>
      <c r="BO3336" s="319"/>
      <c r="BP3336" s="953"/>
      <c r="BQ3336" s="319"/>
      <c r="BR3336" s="319"/>
      <c r="BS3336" s="330"/>
      <c r="BT3336" s="331"/>
      <c r="BU3336" s="920"/>
      <c r="BV3336" s="903"/>
      <c r="BW3336" s="908"/>
      <c r="BX3336" s="908"/>
      <c r="BY3336" s="331"/>
      <c r="BZ3336" s="331"/>
      <c r="CA3336" s="462"/>
      <c r="CB3336" s="319"/>
      <c r="CC3336" s="319"/>
      <c r="CD3336" s="319"/>
      <c r="CE3336" s="319"/>
      <c r="CF3336" s="319"/>
      <c r="CG3336" s="319"/>
      <c r="CH3336" s="318"/>
      <c r="CI3336" s="319"/>
      <c r="CJ3336" s="319"/>
      <c r="CK3336" s="342"/>
      <c r="CL3336" s="333"/>
      <c r="CM3336" s="1079"/>
      <c r="CN3336" s="1005"/>
      <c r="CO3336" s="1005"/>
      <c r="CP3336" s="1005"/>
    </row>
    <row r="3337">
      <c r="A3337" s="1257"/>
      <c r="B3337" s="1113"/>
      <c r="C3337" s="1107"/>
      <c r="D3337" s="103"/>
      <c r="E3337" s="1137"/>
      <c r="F3337" s="112"/>
      <c r="G3337" s="1110"/>
      <c r="H3337" s="1138"/>
      <c r="I3337" s="1138"/>
      <c r="J3337" s="1139"/>
      <c r="K3337" s="1111"/>
      <c r="L3337" s="1112"/>
      <c r="M3337" s="1113"/>
      <c r="N3337" s="110"/>
      <c r="O3337" s="1140"/>
      <c r="P3337" s="1115"/>
      <c r="Q3337" s="1116"/>
      <c r="R3337" s="1141"/>
      <c r="S3337" s="1113"/>
      <c r="T3337" s="1143"/>
      <c r="U3337" s="1108"/>
      <c r="V3337" s="1108"/>
      <c r="W3337" s="1108"/>
      <c r="X3337" s="1108"/>
      <c r="Y3337" s="1108"/>
      <c r="Z3337" s="1114"/>
      <c r="AA3337" s="1114"/>
      <c r="AB3337" s="1114"/>
      <c r="AC3337" s="1117"/>
      <c r="AD3337" s="1115"/>
      <c r="AE3337" s="1115"/>
      <c r="AF3337" s="1115"/>
      <c r="AG3337" s="1115"/>
      <c r="AH3337" s="1115"/>
      <c r="AI3337" s="1115"/>
      <c r="AJ3337" s="1117"/>
      <c r="AK3337" s="1118"/>
      <c r="AL3337" s="1115"/>
      <c r="AM3337" s="1115"/>
      <c r="AN3337" s="1115"/>
      <c r="AO3337" s="1115"/>
      <c r="AP3337" s="1115"/>
      <c r="AQ3337" s="1115"/>
      <c r="AR3337" s="1115"/>
      <c r="AS3337" s="1117"/>
      <c r="AT3337" s="1075"/>
      <c r="AU3337" s="1193"/>
      <c r="AV3337" s="330"/>
      <c r="AW3337" s="331"/>
      <c r="AX3337" s="331"/>
      <c r="AY3337" s="331"/>
      <c r="AZ3337" s="331"/>
      <c r="BA3337" s="331"/>
      <c r="BB3337" s="331"/>
      <c r="BC3337" s="331"/>
      <c r="BD3337" s="331"/>
      <c r="BE3337" s="333"/>
      <c r="BF3337" s="330"/>
      <c r="BG3337" s="333"/>
      <c r="BH3337" s="1119"/>
      <c r="BI3337" s="319"/>
      <c r="BJ3337" s="319"/>
      <c r="BK3337" s="319"/>
      <c r="BL3337" s="319"/>
      <c r="BM3337" s="319"/>
      <c r="BN3337" s="319"/>
      <c r="BO3337" s="319"/>
      <c r="BP3337" s="953"/>
      <c r="BQ3337" s="319"/>
      <c r="BR3337" s="319"/>
      <c r="BS3337" s="330"/>
      <c r="BT3337" s="331"/>
      <c r="BU3337" s="920"/>
      <c r="BV3337" s="903"/>
      <c r="BW3337" s="908"/>
      <c r="BX3337" s="908"/>
      <c r="BY3337" s="331"/>
      <c r="BZ3337" s="331"/>
      <c r="CA3337" s="462"/>
      <c r="CB3337" s="319"/>
      <c r="CC3337" s="319"/>
      <c r="CD3337" s="319"/>
      <c r="CE3337" s="319"/>
      <c r="CF3337" s="319"/>
      <c r="CG3337" s="319"/>
      <c r="CH3337" s="318"/>
      <c r="CI3337" s="319"/>
      <c r="CJ3337" s="319"/>
      <c r="CK3337" s="342"/>
      <c r="CL3337" s="333"/>
      <c r="CM3337" s="1079"/>
      <c r="CN3337" s="1005"/>
      <c r="CO3337" s="1005"/>
      <c r="CP3337" s="1005"/>
    </row>
    <row r="3338">
      <c r="A3338" s="1257"/>
      <c r="B3338" s="1113"/>
      <c r="C3338" s="1107"/>
      <c r="D3338" s="103"/>
      <c r="E3338" s="1137"/>
      <c r="F3338" s="112"/>
      <c r="G3338" s="1110"/>
      <c r="H3338" s="1138"/>
      <c r="I3338" s="1138"/>
      <c r="J3338" s="1139"/>
      <c r="K3338" s="1111"/>
      <c r="L3338" s="1112"/>
      <c r="M3338" s="1113"/>
      <c r="N3338" s="110"/>
      <c r="O3338" s="1140"/>
      <c r="P3338" s="1115"/>
      <c r="Q3338" s="1116"/>
      <c r="R3338" s="1141"/>
      <c r="S3338" s="1113"/>
      <c r="T3338" s="1143"/>
      <c r="U3338" s="1108"/>
      <c r="V3338" s="1108"/>
      <c r="W3338" s="1108"/>
      <c r="X3338" s="1108"/>
      <c r="Y3338" s="1108"/>
      <c r="Z3338" s="1114"/>
      <c r="AA3338" s="1114"/>
      <c r="AB3338" s="1114"/>
      <c r="AC3338" s="1117"/>
      <c r="AD3338" s="1115"/>
      <c r="AE3338" s="1115"/>
      <c r="AF3338" s="1115"/>
      <c r="AG3338" s="1115"/>
      <c r="AH3338" s="1115"/>
      <c r="AI3338" s="1115"/>
      <c r="AJ3338" s="1117"/>
      <c r="AK3338" s="1118"/>
      <c r="AL3338" s="1115"/>
      <c r="AM3338" s="1115"/>
      <c r="AN3338" s="1115"/>
      <c r="AO3338" s="1115"/>
      <c r="AP3338" s="1115"/>
      <c r="AQ3338" s="1115"/>
      <c r="AR3338" s="1115"/>
      <c r="AS3338" s="1117"/>
      <c r="AT3338" s="1075"/>
      <c r="AU3338" s="1193"/>
      <c r="AV3338" s="330"/>
      <c r="AW3338" s="331"/>
      <c r="AX3338" s="331"/>
      <c r="AY3338" s="331"/>
      <c r="AZ3338" s="331"/>
      <c r="BA3338" s="331"/>
      <c r="BB3338" s="331"/>
      <c r="BC3338" s="331"/>
      <c r="BD3338" s="331"/>
      <c r="BE3338" s="333"/>
      <c r="BF3338" s="330"/>
      <c r="BG3338" s="333"/>
      <c r="BH3338" s="1119"/>
      <c r="BI3338" s="319"/>
      <c r="BJ3338" s="319"/>
      <c r="BK3338" s="319"/>
      <c r="BL3338" s="319"/>
      <c r="BM3338" s="319"/>
      <c r="BN3338" s="319"/>
      <c r="BO3338" s="319"/>
      <c r="BP3338" s="953"/>
      <c r="BQ3338" s="319"/>
      <c r="BR3338" s="319"/>
      <c r="BS3338" s="330"/>
      <c r="BT3338" s="331"/>
      <c r="BU3338" s="920"/>
      <c r="BV3338" s="903"/>
      <c r="BW3338" s="908"/>
      <c r="BX3338" s="908"/>
      <c r="BY3338" s="331"/>
      <c r="BZ3338" s="331"/>
      <c r="CA3338" s="462"/>
      <c r="CB3338" s="319"/>
      <c r="CC3338" s="319"/>
      <c r="CD3338" s="319"/>
      <c r="CE3338" s="319"/>
      <c r="CF3338" s="319"/>
      <c r="CG3338" s="319"/>
      <c r="CH3338" s="318"/>
      <c r="CI3338" s="319"/>
      <c r="CJ3338" s="319"/>
      <c r="CK3338" s="342"/>
      <c r="CL3338" s="333"/>
      <c r="CM3338" s="1079"/>
      <c r="CN3338" s="1005"/>
      <c r="CO3338" s="1005"/>
      <c r="CP3338" s="1005"/>
    </row>
    <row r="3339">
      <c r="A3339" s="1257"/>
      <c r="B3339" s="1113"/>
      <c r="C3339" s="1107"/>
      <c r="D3339" s="103"/>
      <c r="E3339" s="1137"/>
      <c r="F3339" s="112"/>
      <c r="G3339" s="1110"/>
      <c r="H3339" s="1138"/>
      <c r="I3339" s="1138"/>
      <c r="J3339" s="1139"/>
      <c r="K3339" s="1111"/>
      <c r="L3339" s="1112"/>
      <c r="M3339" s="1113"/>
      <c r="N3339" s="110"/>
      <c r="O3339" s="1140"/>
      <c r="P3339" s="1115"/>
      <c r="Q3339" s="1116"/>
      <c r="R3339" s="1141"/>
      <c r="S3339" s="1113"/>
      <c r="T3339" s="1143"/>
      <c r="U3339" s="1108"/>
      <c r="V3339" s="1108"/>
      <c r="W3339" s="1108"/>
      <c r="X3339" s="1108"/>
      <c r="Y3339" s="1108"/>
      <c r="Z3339" s="1114"/>
      <c r="AA3339" s="1114"/>
      <c r="AB3339" s="1114"/>
      <c r="AC3339" s="1117"/>
      <c r="AD3339" s="1115"/>
      <c r="AE3339" s="1115"/>
      <c r="AF3339" s="1115"/>
      <c r="AG3339" s="1115"/>
      <c r="AH3339" s="1115"/>
      <c r="AI3339" s="1115"/>
      <c r="AJ3339" s="1117"/>
      <c r="AK3339" s="1118"/>
      <c r="AL3339" s="1115"/>
      <c r="AM3339" s="1115"/>
      <c r="AN3339" s="1115"/>
      <c r="AO3339" s="1115"/>
      <c r="AP3339" s="1115"/>
      <c r="AQ3339" s="1115"/>
      <c r="AR3339" s="1115"/>
      <c r="AS3339" s="1117"/>
      <c r="AT3339" s="1075"/>
      <c r="AU3339" s="1193"/>
      <c r="AV3339" s="330"/>
      <c r="AW3339" s="331"/>
      <c r="AX3339" s="331"/>
      <c r="AY3339" s="331"/>
      <c r="AZ3339" s="331"/>
      <c r="BA3339" s="331"/>
      <c r="BB3339" s="331"/>
      <c r="BC3339" s="331"/>
      <c r="BD3339" s="331"/>
      <c r="BE3339" s="333"/>
      <c r="BF3339" s="330"/>
      <c r="BG3339" s="333"/>
      <c r="BH3339" s="1119"/>
      <c r="BI3339" s="319"/>
      <c r="BJ3339" s="319"/>
      <c r="BK3339" s="319"/>
      <c r="BL3339" s="319"/>
      <c r="BM3339" s="319"/>
      <c r="BN3339" s="319"/>
      <c r="BO3339" s="319"/>
      <c r="BP3339" s="953"/>
      <c r="BQ3339" s="319"/>
      <c r="BR3339" s="319"/>
      <c r="BS3339" s="330"/>
      <c r="BT3339" s="331"/>
      <c r="BU3339" s="920"/>
      <c r="BV3339" s="903"/>
      <c r="BW3339" s="908"/>
      <c r="BX3339" s="908"/>
      <c r="BY3339" s="331"/>
      <c r="BZ3339" s="331"/>
      <c r="CA3339" s="462"/>
      <c r="CB3339" s="319"/>
      <c r="CC3339" s="319"/>
      <c r="CD3339" s="319"/>
      <c r="CE3339" s="319"/>
      <c r="CF3339" s="319"/>
      <c r="CG3339" s="319"/>
      <c r="CH3339" s="318"/>
      <c r="CI3339" s="319"/>
      <c r="CJ3339" s="319"/>
      <c r="CK3339" s="342"/>
      <c r="CL3339" s="333"/>
      <c r="CM3339" s="1079"/>
      <c r="CN3339" s="1005"/>
      <c r="CO3339" s="1005"/>
      <c r="CP3339" s="1005"/>
    </row>
    <row r="3340">
      <c r="A3340" s="1257"/>
      <c r="B3340" s="1113"/>
      <c r="C3340" s="1107"/>
      <c r="D3340" s="103"/>
      <c r="E3340" s="1137"/>
      <c r="F3340" s="112"/>
      <c r="G3340" s="1110"/>
      <c r="H3340" s="1138"/>
      <c r="I3340" s="1138"/>
      <c r="J3340" s="1139"/>
      <c r="K3340" s="1111"/>
      <c r="L3340" s="1112"/>
      <c r="M3340" s="1113"/>
      <c r="N3340" s="110"/>
      <c r="O3340" s="1140"/>
      <c r="P3340" s="1115"/>
      <c r="Q3340" s="1116"/>
      <c r="R3340" s="1141"/>
      <c r="S3340" s="1113"/>
      <c r="T3340" s="1143"/>
      <c r="U3340" s="1108"/>
      <c r="V3340" s="1108"/>
      <c r="W3340" s="1108"/>
      <c r="X3340" s="1108"/>
      <c r="Y3340" s="1108"/>
      <c r="Z3340" s="1114"/>
      <c r="AA3340" s="1114"/>
      <c r="AB3340" s="1114"/>
      <c r="AC3340" s="1117"/>
      <c r="AD3340" s="1115"/>
      <c r="AE3340" s="1115"/>
      <c r="AF3340" s="1115"/>
      <c r="AG3340" s="1115"/>
      <c r="AH3340" s="1115"/>
      <c r="AI3340" s="1115"/>
      <c r="AJ3340" s="1117"/>
      <c r="AK3340" s="1118"/>
      <c r="AL3340" s="1115"/>
      <c r="AM3340" s="1115"/>
      <c r="AN3340" s="1115"/>
      <c r="AO3340" s="1115"/>
      <c r="AP3340" s="1115"/>
      <c r="AQ3340" s="1115"/>
      <c r="AR3340" s="1115"/>
      <c r="AS3340" s="1117"/>
      <c r="AT3340" s="1075"/>
      <c r="AU3340" s="1193"/>
      <c r="AV3340" s="330"/>
      <c r="AW3340" s="331"/>
      <c r="AX3340" s="331"/>
      <c r="AY3340" s="331"/>
      <c r="AZ3340" s="331"/>
      <c r="BA3340" s="331"/>
      <c r="BB3340" s="331"/>
      <c r="BC3340" s="331"/>
      <c r="BD3340" s="331"/>
      <c r="BE3340" s="333"/>
      <c r="BF3340" s="330"/>
      <c r="BG3340" s="333"/>
      <c r="BH3340" s="1119"/>
      <c r="BI3340" s="319"/>
      <c r="BJ3340" s="319"/>
      <c r="BK3340" s="319"/>
      <c r="BL3340" s="319"/>
      <c r="BM3340" s="319"/>
      <c r="BN3340" s="319"/>
      <c r="BO3340" s="319"/>
      <c r="BP3340" s="953"/>
      <c r="BQ3340" s="319"/>
      <c r="BR3340" s="319"/>
      <c r="BS3340" s="330"/>
      <c r="BT3340" s="331"/>
      <c r="BU3340" s="920"/>
      <c r="BV3340" s="903"/>
      <c r="BW3340" s="908"/>
      <c r="BX3340" s="908"/>
      <c r="BY3340" s="331"/>
      <c r="BZ3340" s="331"/>
      <c r="CA3340" s="462"/>
      <c r="CB3340" s="319"/>
      <c r="CC3340" s="319"/>
      <c r="CD3340" s="319"/>
      <c r="CE3340" s="319"/>
      <c r="CF3340" s="319"/>
      <c r="CG3340" s="319"/>
      <c r="CH3340" s="318"/>
      <c r="CI3340" s="319"/>
      <c r="CJ3340" s="319"/>
      <c r="CK3340" s="342"/>
      <c r="CL3340" s="333"/>
      <c r="CM3340" s="1079"/>
      <c r="CN3340" s="1005"/>
      <c r="CO3340" s="1005"/>
      <c r="CP3340" s="1005"/>
    </row>
    <row r="3341">
      <c r="A3341" s="1257"/>
      <c r="B3341" s="1113"/>
      <c r="C3341" s="1107"/>
      <c r="D3341" s="103"/>
      <c r="E3341" s="1137"/>
      <c r="F3341" s="112"/>
      <c r="G3341" s="1110"/>
      <c r="H3341" s="1138"/>
      <c r="I3341" s="1138"/>
      <c r="J3341" s="1139"/>
      <c r="K3341" s="1111"/>
      <c r="L3341" s="1112"/>
      <c r="M3341" s="1113"/>
      <c r="N3341" s="110"/>
      <c r="O3341" s="1140"/>
      <c r="P3341" s="1115"/>
      <c r="Q3341" s="1116"/>
      <c r="R3341" s="1141"/>
      <c r="S3341" s="1113"/>
      <c r="T3341" s="1143"/>
      <c r="U3341" s="1108"/>
      <c r="V3341" s="1108"/>
      <c r="W3341" s="1108"/>
      <c r="X3341" s="1108"/>
      <c r="Y3341" s="1108"/>
      <c r="Z3341" s="1114"/>
      <c r="AA3341" s="1114"/>
      <c r="AB3341" s="1114"/>
      <c r="AC3341" s="1117"/>
      <c r="AD3341" s="1115"/>
      <c r="AE3341" s="1115"/>
      <c r="AF3341" s="1115"/>
      <c r="AG3341" s="1115"/>
      <c r="AH3341" s="1115"/>
      <c r="AI3341" s="1115"/>
      <c r="AJ3341" s="1117"/>
      <c r="AK3341" s="1118"/>
      <c r="AL3341" s="1115"/>
      <c r="AM3341" s="1115"/>
      <c r="AN3341" s="1115"/>
      <c r="AO3341" s="1115"/>
      <c r="AP3341" s="1115"/>
      <c r="AQ3341" s="1115"/>
      <c r="AR3341" s="1115"/>
      <c r="AS3341" s="1117"/>
      <c r="AT3341" s="1075"/>
      <c r="AU3341" s="1193"/>
      <c r="AV3341" s="330"/>
      <c r="AW3341" s="331"/>
      <c r="AX3341" s="331"/>
      <c r="AY3341" s="331"/>
      <c r="AZ3341" s="331"/>
      <c r="BA3341" s="331"/>
      <c r="BB3341" s="331"/>
      <c r="BC3341" s="331"/>
      <c r="BD3341" s="331"/>
      <c r="BE3341" s="333"/>
      <c r="BF3341" s="330"/>
      <c r="BG3341" s="333"/>
      <c r="BH3341" s="1119"/>
      <c r="BI3341" s="319"/>
      <c r="BJ3341" s="319"/>
      <c r="BK3341" s="319"/>
      <c r="BL3341" s="319"/>
      <c r="BM3341" s="319"/>
      <c r="BN3341" s="319"/>
      <c r="BO3341" s="319"/>
      <c r="BP3341" s="953"/>
      <c r="BQ3341" s="319"/>
      <c r="BR3341" s="319"/>
      <c r="BS3341" s="330"/>
      <c r="BT3341" s="331"/>
      <c r="BU3341" s="920"/>
      <c r="BV3341" s="903"/>
      <c r="BW3341" s="908"/>
      <c r="BX3341" s="908"/>
      <c r="BY3341" s="331"/>
      <c r="BZ3341" s="331"/>
      <c r="CA3341" s="462"/>
      <c r="CB3341" s="319"/>
      <c r="CC3341" s="319"/>
      <c r="CD3341" s="319"/>
      <c r="CE3341" s="319"/>
      <c r="CF3341" s="319"/>
      <c r="CG3341" s="319"/>
      <c r="CH3341" s="318"/>
      <c r="CI3341" s="319"/>
      <c r="CJ3341" s="319"/>
      <c r="CK3341" s="342"/>
      <c r="CL3341" s="333"/>
      <c r="CM3341" s="1079"/>
      <c r="CN3341" s="1005"/>
      <c r="CO3341" s="1005"/>
      <c r="CP3341" s="1005"/>
    </row>
    <row r="3342">
      <c r="A3342" s="1257"/>
      <c r="B3342" s="1113"/>
      <c r="C3342" s="1107"/>
      <c r="D3342" s="103"/>
      <c r="E3342" s="1137"/>
      <c r="F3342" s="112"/>
      <c r="G3342" s="1110"/>
      <c r="H3342" s="1138"/>
      <c r="I3342" s="1138"/>
      <c r="J3342" s="1139"/>
      <c r="K3342" s="1111"/>
      <c r="L3342" s="1112"/>
      <c r="M3342" s="1113"/>
      <c r="N3342" s="110"/>
      <c r="O3342" s="1140"/>
      <c r="P3342" s="1115"/>
      <c r="Q3342" s="1116"/>
      <c r="R3342" s="1141"/>
      <c r="S3342" s="1113"/>
      <c r="T3342" s="1143"/>
      <c r="U3342" s="1108"/>
      <c r="V3342" s="1108"/>
      <c r="W3342" s="1108"/>
      <c r="X3342" s="1108"/>
      <c r="Y3342" s="1108"/>
      <c r="Z3342" s="1114"/>
      <c r="AA3342" s="1114"/>
      <c r="AB3342" s="1114"/>
      <c r="AC3342" s="1117"/>
      <c r="AD3342" s="1115"/>
      <c r="AE3342" s="1115"/>
      <c r="AF3342" s="1115"/>
      <c r="AG3342" s="1115"/>
      <c r="AH3342" s="1115"/>
      <c r="AI3342" s="1115"/>
      <c r="AJ3342" s="1117"/>
      <c r="AK3342" s="1118"/>
      <c r="AL3342" s="1115"/>
      <c r="AM3342" s="1115"/>
      <c r="AN3342" s="1115"/>
      <c r="AO3342" s="1115"/>
      <c r="AP3342" s="1115"/>
      <c r="AQ3342" s="1115"/>
      <c r="AR3342" s="1115"/>
      <c r="AS3342" s="1117"/>
      <c r="AT3342" s="1075"/>
      <c r="AU3342" s="1193"/>
      <c r="AV3342" s="330"/>
      <c r="AW3342" s="331"/>
      <c r="AX3342" s="331"/>
      <c r="AY3342" s="331"/>
      <c r="AZ3342" s="331"/>
      <c r="BA3342" s="331"/>
      <c r="BB3342" s="331"/>
      <c r="BC3342" s="331"/>
      <c r="BD3342" s="331"/>
      <c r="BE3342" s="333"/>
      <c r="BF3342" s="330"/>
      <c r="BG3342" s="333"/>
      <c r="BH3342" s="1119"/>
      <c r="BI3342" s="319"/>
      <c r="BJ3342" s="319"/>
      <c r="BK3342" s="319"/>
      <c r="BL3342" s="319"/>
      <c r="BM3342" s="319"/>
      <c r="BN3342" s="319"/>
      <c r="BO3342" s="319"/>
      <c r="BP3342" s="953"/>
      <c r="BQ3342" s="319"/>
      <c r="BR3342" s="319"/>
      <c r="BS3342" s="330"/>
      <c r="BT3342" s="331"/>
      <c r="BU3342" s="920"/>
      <c r="BV3342" s="903"/>
      <c r="BW3342" s="908"/>
      <c r="BX3342" s="908"/>
      <c r="BY3342" s="331"/>
      <c r="BZ3342" s="331"/>
      <c r="CA3342" s="462"/>
      <c r="CB3342" s="319"/>
      <c r="CC3342" s="319"/>
      <c r="CD3342" s="319"/>
      <c r="CE3342" s="319"/>
      <c r="CF3342" s="319"/>
      <c r="CG3342" s="319"/>
      <c r="CH3342" s="318"/>
      <c r="CI3342" s="319"/>
      <c r="CJ3342" s="319"/>
      <c r="CK3342" s="342"/>
      <c r="CL3342" s="333"/>
      <c r="CM3342" s="1079"/>
      <c r="CN3342" s="1005"/>
      <c r="CO3342" s="1005"/>
      <c r="CP3342" s="1005"/>
    </row>
    <row r="3343">
      <c r="A3343" s="1257"/>
      <c r="B3343" s="1113"/>
      <c r="C3343" s="1107"/>
      <c r="D3343" s="103"/>
      <c r="E3343" s="1137"/>
      <c r="F3343" s="112"/>
      <c r="G3343" s="1110"/>
      <c r="H3343" s="1138"/>
      <c r="I3343" s="1138"/>
      <c r="J3343" s="1139"/>
      <c r="K3343" s="1111"/>
      <c r="L3343" s="1112"/>
      <c r="M3343" s="1113"/>
      <c r="N3343" s="110"/>
      <c r="O3343" s="1140"/>
      <c r="P3343" s="1115"/>
      <c r="Q3343" s="1116"/>
      <c r="R3343" s="1141"/>
      <c r="S3343" s="1113"/>
      <c r="T3343" s="1143"/>
      <c r="U3343" s="1108"/>
      <c r="V3343" s="1108"/>
      <c r="W3343" s="1108"/>
      <c r="X3343" s="1108"/>
      <c r="Y3343" s="1108"/>
      <c r="Z3343" s="1114"/>
      <c r="AA3343" s="1114"/>
      <c r="AB3343" s="1114"/>
      <c r="AC3343" s="1117"/>
      <c r="AD3343" s="1115"/>
      <c r="AE3343" s="1115"/>
      <c r="AF3343" s="1115"/>
      <c r="AG3343" s="1115"/>
      <c r="AH3343" s="1115"/>
      <c r="AI3343" s="1115"/>
      <c r="AJ3343" s="1117"/>
      <c r="AK3343" s="1118"/>
      <c r="AL3343" s="1115"/>
      <c r="AM3343" s="1115"/>
      <c r="AN3343" s="1115"/>
      <c r="AO3343" s="1115"/>
      <c r="AP3343" s="1115"/>
      <c r="AQ3343" s="1115"/>
      <c r="AR3343" s="1115"/>
      <c r="AS3343" s="1117"/>
      <c r="AT3343" s="1075"/>
      <c r="AU3343" s="1193"/>
      <c r="AV3343" s="330"/>
      <c r="AW3343" s="331"/>
      <c r="AX3343" s="331"/>
      <c r="AY3343" s="331"/>
      <c r="AZ3343" s="331"/>
      <c r="BA3343" s="331"/>
      <c r="BB3343" s="331"/>
      <c r="BC3343" s="331"/>
      <c r="BD3343" s="331"/>
      <c r="BE3343" s="333"/>
      <c r="BF3343" s="330"/>
      <c r="BG3343" s="333"/>
      <c r="BH3343" s="1119"/>
      <c r="BI3343" s="319"/>
      <c r="BJ3343" s="319"/>
      <c r="BK3343" s="319"/>
      <c r="BL3343" s="319"/>
      <c r="BM3343" s="319"/>
      <c r="BN3343" s="319"/>
      <c r="BO3343" s="319"/>
      <c r="BP3343" s="953"/>
      <c r="BQ3343" s="319"/>
      <c r="BR3343" s="319"/>
      <c r="BS3343" s="330"/>
      <c r="BT3343" s="331"/>
      <c r="BU3343" s="920"/>
      <c r="BV3343" s="903"/>
      <c r="BW3343" s="908"/>
      <c r="BX3343" s="908"/>
      <c r="BY3343" s="331"/>
      <c r="BZ3343" s="331"/>
      <c r="CA3343" s="462"/>
      <c r="CB3343" s="319"/>
      <c r="CC3343" s="319"/>
      <c r="CD3343" s="319"/>
      <c r="CE3343" s="319"/>
      <c r="CF3343" s="319"/>
      <c r="CG3343" s="319"/>
      <c r="CH3343" s="318"/>
      <c r="CI3343" s="319"/>
      <c r="CJ3343" s="319"/>
      <c r="CK3343" s="342"/>
      <c r="CL3343" s="333"/>
      <c r="CM3343" s="1079"/>
      <c r="CN3343" s="1005"/>
      <c r="CO3343" s="1005"/>
      <c r="CP3343" s="1005"/>
    </row>
    <row r="3344">
      <c r="A3344" s="1257"/>
      <c r="B3344" s="1113"/>
      <c r="C3344" s="1107"/>
      <c r="D3344" s="103"/>
      <c r="E3344" s="1137"/>
      <c r="F3344" s="112"/>
      <c r="G3344" s="1110"/>
      <c r="H3344" s="1138"/>
      <c r="I3344" s="1138"/>
      <c r="J3344" s="1139"/>
      <c r="K3344" s="1111"/>
      <c r="L3344" s="1112"/>
      <c r="M3344" s="1113"/>
      <c r="N3344" s="110"/>
      <c r="O3344" s="1140"/>
      <c r="P3344" s="1115"/>
      <c r="Q3344" s="1116"/>
      <c r="R3344" s="1141"/>
      <c r="S3344" s="1113"/>
      <c r="T3344" s="1143"/>
      <c r="U3344" s="1108"/>
      <c r="V3344" s="1108"/>
      <c r="W3344" s="1108"/>
      <c r="X3344" s="1108"/>
      <c r="Y3344" s="1108"/>
      <c r="Z3344" s="1114"/>
      <c r="AA3344" s="1114"/>
      <c r="AB3344" s="1114"/>
      <c r="AC3344" s="1117"/>
      <c r="AD3344" s="1115"/>
      <c r="AE3344" s="1115"/>
      <c r="AF3344" s="1115"/>
      <c r="AG3344" s="1115"/>
      <c r="AH3344" s="1115"/>
      <c r="AI3344" s="1115"/>
      <c r="AJ3344" s="1117"/>
      <c r="AK3344" s="1118"/>
      <c r="AL3344" s="1115"/>
      <c r="AM3344" s="1115"/>
      <c r="AN3344" s="1115"/>
      <c r="AO3344" s="1115"/>
      <c r="AP3344" s="1115"/>
      <c r="AQ3344" s="1115"/>
      <c r="AR3344" s="1115"/>
      <c r="AS3344" s="1117"/>
      <c r="AT3344" s="1075"/>
      <c r="AU3344" s="1193"/>
      <c r="AV3344" s="330"/>
      <c r="AW3344" s="331"/>
      <c r="AX3344" s="331"/>
      <c r="AY3344" s="331"/>
      <c r="AZ3344" s="331"/>
      <c r="BA3344" s="331"/>
      <c r="BB3344" s="331"/>
      <c r="BC3344" s="331"/>
      <c r="BD3344" s="331"/>
      <c r="BE3344" s="333"/>
      <c r="BF3344" s="330"/>
      <c r="BG3344" s="333"/>
      <c r="BH3344" s="1119"/>
      <c r="BI3344" s="319"/>
      <c r="BJ3344" s="319"/>
      <c r="BK3344" s="319"/>
      <c r="BL3344" s="319"/>
      <c r="BM3344" s="319"/>
      <c r="BN3344" s="319"/>
      <c r="BO3344" s="319"/>
      <c r="BP3344" s="953"/>
      <c r="BQ3344" s="319"/>
      <c r="BR3344" s="319"/>
      <c r="BS3344" s="330"/>
      <c r="BT3344" s="331"/>
      <c r="BU3344" s="920"/>
      <c r="BV3344" s="903"/>
      <c r="BW3344" s="908"/>
      <c r="BX3344" s="908"/>
      <c r="BY3344" s="331"/>
      <c r="BZ3344" s="331"/>
      <c r="CA3344" s="462"/>
      <c r="CB3344" s="319"/>
      <c r="CC3344" s="319"/>
      <c r="CD3344" s="319"/>
      <c r="CE3344" s="319"/>
      <c r="CF3344" s="319"/>
      <c r="CG3344" s="319"/>
      <c r="CH3344" s="318"/>
      <c r="CI3344" s="319"/>
      <c r="CJ3344" s="319"/>
      <c r="CK3344" s="342"/>
      <c r="CL3344" s="333"/>
      <c r="CM3344" s="1079"/>
      <c r="CN3344" s="1005"/>
      <c r="CO3344" s="1005"/>
      <c r="CP3344" s="1005"/>
    </row>
    <row r="3345">
      <c r="A3345" s="1257"/>
      <c r="B3345" s="1113"/>
      <c r="C3345" s="1107"/>
      <c r="D3345" s="103"/>
      <c r="E3345" s="1137"/>
      <c r="F3345" s="112"/>
      <c r="G3345" s="1110"/>
      <c r="H3345" s="1138"/>
      <c r="I3345" s="1138"/>
      <c r="J3345" s="1139"/>
      <c r="K3345" s="1111"/>
      <c r="L3345" s="1112"/>
      <c r="M3345" s="1113"/>
      <c r="N3345" s="110"/>
      <c r="O3345" s="1140"/>
      <c r="P3345" s="1115"/>
      <c r="Q3345" s="1116"/>
      <c r="R3345" s="1141"/>
      <c r="S3345" s="1113"/>
      <c r="T3345" s="1143"/>
      <c r="U3345" s="1108"/>
      <c r="V3345" s="1108"/>
      <c r="W3345" s="1108"/>
      <c r="X3345" s="1108"/>
      <c r="Y3345" s="1108"/>
      <c r="Z3345" s="1114"/>
      <c r="AA3345" s="1114"/>
      <c r="AB3345" s="1114"/>
      <c r="AC3345" s="1117"/>
      <c r="AD3345" s="1115"/>
      <c r="AE3345" s="1115"/>
      <c r="AF3345" s="1115"/>
      <c r="AG3345" s="1115"/>
      <c r="AH3345" s="1115"/>
      <c r="AI3345" s="1115"/>
      <c r="AJ3345" s="1117"/>
      <c r="AK3345" s="1118"/>
      <c r="AL3345" s="1115"/>
      <c r="AM3345" s="1115"/>
      <c r="AN3345" s="1115"/>
      <c r="AO3345" s="1115"/>
      <c r="AP3345" s="1115"/>
      <c r="AQ3345" s="1115"/>
      <c r="AR3345" s="1115"/>
      <c r="AS3345" s="1117"/>
      <c r="AT3345" s="1075"/>
      <c r="AU3345" s="1193"/>
      <c r="AV3345" s="330"/>
      <c r="AW3345" s="331"/>
      <c r="AX3345" s="331"/>
      <c r="AY3345" s="331"/>
      <c r="AZ3345" s="331"/>
      <c r="BA3345" s="331"/>
      <c r="BB3345" s="331"/>
      <c r="BC3345" s="331"/>
      <c r="BD3345" s="331"/>
      <c r="BE3345" s="333"/>
      <c r="BF3345" s="330"/>
      <c r="BG3345" s="333"/>
      <c r="BH3345" s="1119"/>
      <c r="BI3345" s="319"/>
      <c r="BJ3345" s="319"/>
      <c r="BK3345" s="319"/>
      <c r="BL3345" s="319"/>
      <c r="BM3345" s="319"/>
      <c r="BN3345" s="319"/>
      <c r="BO3345" s="319"/>
      <c r="BP3345" s="953"/>
      <c r="BQ3345" s="319"/>
      <c r="BR3345" s="319"/>
      <c r="BS3345" s="330"/>
      <c r="BT3345" s="331"/>
      <c r="BU3345" s="920"/>
      <c r="BV3345" s="903"/>
      <c r="BW3345" s="908"/>
      <c r="BX3345" s="908"/>
      <c r="BY3345" s="331"/>
      <c r="BZ3345" s="331"/>
      <c r="CA3345" s="462"/>
      <c r="CB3345" s="319"/>
      <c r="CC3345" s="319"/>
      <c r="CD3345" s="319"/>
      <c r="CE3345" s="319"/>
      <c r="CF3345" s="319"/>
      <c r="CG3345" s="319"/>
      <c r="CH3345" s="318"/>
      <c r="CI3345" s="319"/>
      <c r="CJ3345" s="319"/>
      <c r="CK3345" s="342"/>
      <c r="CL3345" s="333"/>
      <c r="CM3345" s="1079"/>
      <c r="CN3345" s="1005"/>
      <c r="CO3345" s="1005"/>
      <c r="CP3345" s="1005"/>
    </row>
    <row r="3346">
      <c r="A3346" s="1257"/>
      <c r="B3346" s="1113"/>
      <c r="C3346" s="1107"/>
      <c r="D3346" s="103"/>
      <c r="E3346" s="1137"/>
      <c r="F3346" s="112"/>
      <c r="G3346" s="1110"/>
      <c r="H3346" s="1138"/>
      <c r="I3346" s="1138"/>
      <c r="J3346" s="1139"/>
      <c r="K3346" s="1111"/>
      <c r="L3346" s="1112"/>
      <c r="M3346" s="1113"/>
      <c r="N3346" s="110"/>
      <c r="O3346" s="1140"/>
      <c r="P3346" s="1115"/>
      <c r="Q3346" s="1116"/>
      <c r="R3346" s="1141"/>
      <c r="S3346" s="1113"/>
      <c r="T3346" s="1143"/>
      <c r="U3346" s="1108"/>
      <c r="V3346" s="1108"/>
      <c r="W3346" s="1108"/>
      <c r="X3346" s="1108"/>
      <c r="Y3346" s="1108"/>
      <c r="Z3346" s="1114"/>
      <c r="AA3346" s="1114"/>
      <c r="AB3346" s="1114"/>
      <c r="AC3346" s="1117"/>
      <c r="AD3346" s="1115"/>
      <c r="AE3346" s="1115"/>
      <c r="AF3346" s="1115"/>
      <c r="AG3346" s="1115"/>
      <c r="AH3346" s="1115"/>
      <c r="AI3346" s="1115"/>
      <c r="AJ3346" s="1117"/>
      <c r="AK3346" s="1118"/>
      <c r="AL3346" s="1115"/>
      <c r="AM3346" s="1115"/>
      <c r="AN3346" s="1115"/>
      <c r="AO3346" s="1115"/>
      <c r="AP3346" s="1115"/>
      <c r="AQ3346" s="1115"/>
      <c r="AR3346" s="1115"/>
      <c r="AS3346" s="1117"/>
      <c r="AT3346" s="1075"/>
      <c r="AU3346" s="1193"/>
      <c r="AV3346" s="330"/>
      <c r="AW3346" s="331"/>
      <c r="AX3346" s="331"/>
      <c r="AY3346" s="331"/>
      <c r="AZ3346" s="331"/>
      <c r="BA3346" s="331"/>
      <c r="BB3346" s="331"/>
      <c r="BC3346" s="331"/>
      <c r="BD3346" s="331"/>
      <c r="BE3346" s="333"/>
      <c r="BF3346" s="330"/>
      <c r="BG3346" s="333"/>
      <c r="BH3346" s="1119"/>
      <c r="BI3346" s="319"/>
      <c r="BJ3346" s="319"/>
      <c r="BK3346" s="319"/>
      <c r="BL3346" s="319"/>
      <c r="BM3346" s="319"/>
      <c r="BN3346" s="319"/>
      <c r="BO3346" s="319"/>
      <c r="BP3346" s="953"/>
      <c r="BQ3346" s="319"/>
      <c r="BR3346" s="319"/>
      <c r="BS3346" s="330"/>
      <c r="BT3346" s="331"/>
      <c r="BU3346" s="920"/>
      <c r="BV3346" s="903"/>
      <c r="BW3346" s="908"/>
      <c r="BX3346" s="908"/>
      <c r="BY3346" s="331"/>
      <c r="BZ3346" s="331"/>
      <c r="CA3346" s="462"/>
      <c r="CB3346" s="319"/>
      <c r="CC3346" s="319"/>
      <c r="CD3346" s="319"/>
      <c r="CE3346" s="319"/>
      <c r="CF3346" s="319"/>
      <c r="CG3346" s="319"/>
      <c r="CH3346" s="318"/>
      <c r="CI3346" s="319"/>
      <c r="CJ3346" s="319"/>
      <c r="CK3346" s="342"/>
      <c r="CL3346" s="333"/>
      <c r="CM3346" s="1079"/>
      <c r="CN3346" s="1005"/>
      <c r="CO3346" s="1005"/>
      <c r="CP3346" s="1005"/>
    </row>
    <row r="3347">
      <c r="A3347" s="1257"/>
      <c r="B3347" s="1113"/>
      <c r="C3347" s="1107"/>
      <c r="D3347" s="103"/>
      <c r="E3347" s="1137"/>
      <c r="F3347" s="112"/>
      <c r="G3347" s="1110"/>
      <c r="H3347" s="1138"/>
      <c r="I3347" s="1138"/>
      <c r="J3347" s="1139"/>
      <c r="K3347" s="1111"/>
      <c r="L3347" s="1112"/>
      <c r="M3347" s="1113"/>
      <c r="N3347" s="110"/>
      <c r="O3347" s="1140"/>
      <c r="P3347" s="1115"/>
      <c r="Q3347" s="1116"/>
      <c r="R3347" s="1141"/>
      <c r="S3347" s="1113"/>
      <c r="T3347" s="1143"/>
      <c r="U3347" s="1108"/>
      <c r="V3347" s="1108"/>
      <c r="W3347" s="1108"/>
      <c r="X3347" s="1108"/>
      <c r="Y3347" s="1108"/>
      <c r="Z3347" s="1114"/>
      <c r="AA3347" s="1114"/>
      <c r="AB3347" s="1114"/>
      <c r="AC3347" s="1117"/>
      <c r="AD3347" s="1115"/>
      <c r="AE3347" s="1115"/>
      <c r="AF3347" s="1115"/>
      <c r="AG3347" s="1115"/>
      <c r="AH3347" s="1115"/>
      <c r="AI3347" s="1115"/>
      <c r="AJ3347" s="1117"/>
      <c r="AK3347" s="1118"/>
      <c r="AL3347" s="1115"/>
      <c r="AM3347" s="1115"/>
      <c r="AN3347" s="1115"/>
      <c r="AO3347" s="1115"/>
      <c r="AP3347" s="1115"/>
      <c r="AQ3347" s="1115"/>
      <c r="AR3347" s="1115"/>
      <c r="AS3347" s="1117"/>
      <c r="AT3347" s="1075"/>
      <c r="AU3347" s="1193"/>
      <c r="AV3347" s="330"/>
      <c r="AW3347" s="331"/>
      <c r="AX3347" s="331"/>
      <c r="AY3347" s="331"/>
      <c r="AZ3347" s="331"/>
      <c r="BA3347" s="331"/>
      <c r="BB3347" s="331"/>
      <c r="BC3347" s="331"/>
      <c r="BD3347" s="331"/>
      <c r="BE3347" s="333"/>
      <c r="BF3347" s="330"/>
      <c r="BG3347" s="333"/>
      <c r="BH3347" s="1119"/>
      <c r="BI3347" s="319"/>
      <c r="BJ3347" s="319"/>
      <c r="BK3347" s="319"/>
      <c r="BL3347" s="319"/>
      <c r="BM3347" s="319"/>
      <c r="BN3347" s="319"/>
      <c r="BO3347" s="319"/>
      <c r="BP3347" s="953"/>
      <c r="BQ3347" s="319"/>
      <c r="BR3347" s="319"/>
      <c r="BS3347" s="330"/>
      <c r="BT3347" s="331"/>
      <c r="BU3347" s="920"/>
      <c r="BV3347" s="903"/>
      <c r="BW3347" s="908"/>
      <c r="BX3347" s="908"/>
      <c r="BY3347" s="331"/>
      <c r="BZ3347" s="331"/>
      <c r="CA3347" s="462"/>
      <c r="CB3347" s="319"/>
      <c r="CC3347" s="319"/>
      <c r="CD3347" s="319"/>
      <c r="CE3347" s="319"/>
      <c r="CF3347" s="319"/>
      <c r="CG3347" s="319"/>
      <c r="CH3347" s="318"/>
      <c r="CI3347" s="319"/>
      <c r="CJ3347" s="319"/>
      <c r="CK3347" s="342"/>
      <c r="CL3347" s="333"/>
      <c r="CM3347" s="1079"/>
      <c r="CN3347" s="1005"/>
      <c r="CO3347" s="1005"/>
      <c r="CP3347" s="1005"/>
    </row>
    <row r="3348">
      <c r="A3348" s="1257"/>
      <c r="B3348" s="1113"/>
      <c r="C3348" s="1107"/>
      <c r="D3348" s="103"/>
      <c r="E3348" s="1137"/>
      <c r="F3348" s="112"/>
      <c r="G3348" s="1110"/>
      <c r="H3348" s="1138"/>
      <c r="I3348" s="1138"/>
      <c r="J3348" s="1139"/>
      <c r="K3348" s="1111"/>
      <c r="L3348" s="1112"/>
      <c r="M3348" s="1113"/>
      <c r="N3348" s="110"/>
      <c r="O3348" s="1140"/>
      <c r="P3348" s="1115"/>
      <c r="Q3348" s="1116"/>
      <c r="R3348" s="1141"/>
      <c r="S3348" s="1113"/>
      <c r="T3348" s="1143"/>
      <c r="U3348" s="1108"/>
      <c r="V3348" s="1108"/>
      <c r="W3348" s="1108"/>
      <c r="X3348" s="1108"/>
      <c r="Y3348" s="1108"/>
      <c r="Z3348" s="1114"/>
      <c r="AA3348" s="1114"/>
      <c r="AB3348" s="1114"/>
      <c r="AC3348" s="1117"/>
      <c r="AD3348" s="1115"/>
      <c r="AE3348" s="1115"/>
      <c r="AF3348" s="1115"/>
      <c r="AG3348" s="1115"/>
      <c r="AH3348" s="1115"/>
      <c r="AI3348" s="1115"/>
      <c r="AJ3348" s="1117"/>
      <c r="AK3348" s="1118"/>
      <c r="AL3348" s="1115"/>
      <c r="AM3348" s="1115"/>
      <c r="AN3348" s="1115"/>
      <c r="AO3348" s="1115"/>
      <c r="AP3348" s="1115"/>
      <c r="AQ3348" s="1115"/>
      <c r="AR3348" s="1115"/>
      <c r="AS3348" s="1117"/>
      <c r="AT3348" s="1075"/>
      <c r="AU3348" s="1193"/>
      <c r="AV3348" s="330"/>
      <c r="AW3348" s="331"/>
      <c r="AX3348" s="331"/>
      <c r="AY3348" s="331"/>
      <c r="AZ3348" s="331"/>
      <c r="BA3348" s="331"/>
      <c r="BB3348" s="331"/>
      <c r="BC3348" s="331"/>
      <c r="BD3348" s="331"/>
      <c r="BE3348" s="333"/>
      <c r="BF3348" s="330"/>
      <c r="BG3348" s="333"/>
      <c r="BH3348" s="1119"/>
      <c r="BI3348" s="319"/>
      <c r="BJ3348" s="319"/>
      <c r="BK3348" s="319"/>
      <c r="BL3348" s="319"/>
      <c r="BM3348" s="319"/>
      <c r="BN3348" s="319"/>
      <c r="BO3348" s="319"/>
      <c r="BP3348" s="953"/>
      <c r="BQ3348" s="319"/>
      <c r="BR3348" s="319"/>
      <c r="BS3348" s="330"/>
      <c r="BT3348" s="331"/>
      <c r="BU3348" s="920"/>
      <c r="BV3348" s="903"/>
      <c r="BW3348" s="908"/>
      <c r="BX3348" s="908"/>
      <c r="BY3348" s="331"/>
      <c r="BZ3348" s="331"/>
      <c r="CA3348" s="462"/>
      <c r="CB3348" s="319"/>
      <c r="CC3348" s="319"/>
      <c r="CD3348" s="319"/>
      <c r="CE3348" s="319"/>
      <c r="CF3348" s="319"/>
      <c r="CG3348" s="319"/>
      <c r="CH3348" s="318"/>
      <c r="CI3348" s="319"/>
      <c r="CJ3348" s="319"/>
      <c r="CK3348" s="342"/>
      <c r="CL3348" s="333"/>
      <c r="CM3348" s="1079"/>
      <c r="CN3348" s="1005"/>
      <c r="CO3348" s="1005"/>
      <c r="CP3348" s="1005"/>
    </row>
    <row r="3349">
      <c r="A3349" s="1257"/>
      <c r="B3349" s="1113"/>
      <c r="C3349" s="1107"/>
      <c r="D3349" s="103"/>
      <c r="E3349" s="1137"/>
      <c r="F3349" s="112"/>
      <c r="G3349" s="1110"/>
      <c r="H3349" s="1138"/>
      <c r="I3349" s="1138"/>
      <c r="J3349" s="1139"/>
      <c r="K3349" s="1111"/>
      <c r="L3349" s="1112"/>
      <c r="M3349" s="1113"/>
      <c r="N3349" s="110"/>
      <c r="O3349" s="1140"/>
      <c r="P3349" s="1115"/>
      <c r="Q3349" s="1116"/>
      <c r="R3349" s="1141"/>
      <c r="S3349" s="1113"/>
      <c r="T3349" s="1143"/>
      <c r="U3349" s="1108"/>
      <c r="V3349" s="1108"/>
      <c r="W3349" s="1108"/>
      <c r="X3349" s="1108"/>
      <c r="Y3349" s="1108"/>
      <c r="Z3349" s="1114"/>
      <c r="AA3349" s="1114"/>
      <c r="AB3349" s="1114"/>
      <c r="AC3349" s="1117"/>
      <c r="AD3349" s="1115"/>
      <c r="AE3349" s="1115"/>
      <c r="AF3349" s="1115"/>
      <c r="AG3349" s="1115"/>
      <c r="AH3349" s="1115"/>
      <c r="AI3349" s="1115"/>
      <c r="AJ3349" s="1117"/>
      <c r="AK3349" s="1118"/>
      <c r="AL3349" s="1115"/>
      <c r="AM3349" s="1115"/>
      <c r="AN3349" s="1115"/>
      <c r="AO3349" s="1115"/>
      <c r="AP3349" s="1115"/>
      <c r="AQ3349" s="1115"/>
      <c r="AR3349" s="1115"/>
      <c r="AS3349" s="1117"/>
      <c r="AT3349" s="1075"/>
      <c r="AU3349" s="1193"/>
      <c r="AV3349" s="330"/>
      <c r="AW3349" s="331"/>
      <c r="AX3349" s="331"/>
      <c r="AY3349" s="331"/>
      <c r="AZ3349" s="331"/>
      <c r="BA3349" s="331"/>
      <c r="BB3349" s="331"/>
      <c r="BC3349" s="331"/>
      <c r="BD3349" s="331"/>
      <c r="BE3349" s="333"/>
      <c r="BF3349" s="330"/>
      <c r="BG3349" s="333"/>
      <c r="BH3349" s="1119"/>
      <c r="BI3349" s="319"/>
      <c r="BJ3349" s="319"/>
      <c r="BK3349" s="319"/>
      <c r="BL3349" s="319"/>
      <c r="BM3349" s="319"/>
      <c r="BN3349" s="319"/>
      <c r="BO3349" s="319"/>
      <c r="BP3349" s="953"/>
      <c r="BQ3349" s="319"/>
      <c r="BR3349" s="319"/>
      <c r="BS3349" s="330"/>
      <c r="BT3349" s="331"/>
      <c r="BU3349" s="920"/>
      <c r="BV3349" s="903"/>
      <c r="BW3349" s="908"/>
      <c r="BX3349" s="908"/>
      <c r="BY3349" s="331"/>
      <c r="BZ3349" s="331"/>
      <c r="CA3349" s="462"/>
      <c r="CB3349" s="319"/>
      <c r="CC3349" s="319"/>
      <c r="CD3349" s="319"/>
      <c r="CE3349" s="319"/>
      <c r="CF3349" s="319"/>
      <c r="CG3349" s="319"/>
      <c r="CH3349" s="318"/>
      <c r="CI3349" s="319"/>
      <c r="CJ3349" s="319"/>
      <c r="CK3349" s="342"/>
      <c r="CL3349" s="333"/>
      <c r="CM3349" s="1079"/>
      <c r="CN3349" s="1005"/>
      <c r="CO3349" s="1005"/>
      <c r="CP3349" s="1005"/>
    </row>
    <row r="3350">
      <c r="A3350" s="1257"/>
      <c r="B3350" s="1113"/>
      <c r="C3350" s="1107"/>
      <c r="D3350" s="103"/>
      <c r="E3350" s="1137"/>
      <c r="F3350" s="112"/>
      <c r="G3350" s="1110"/>
      <c r="H3350" s="1138"/>
      <c r="I3350" s="1138"/>
      <c r="J3350" s="1139"/>
      <c r="K3350" s="1111"/>
      <c r="L3350" s="1112"/>
      <c r="M3350" s="1113"/>
      <c r="N3350" s="110"/>
      <c r="O3350" s="1140"/>
      <c r="P3350" s="1115"/>
      <c r="Q3350" s="1116"/>
      <c r="R3350" s="1141"/>
      <c r="S3350" s="1113"/>
      <c r="T3350" s="1143"/>
      <c r="U3350" s="1108"/>
      <c r="V3350" s="1108"/>
      <c r="W3350" s="1108"/>
      <c r="X3350" s="1108"/>
      <c r="Y3350" s="1108"/>
      <c r="Z3350" s="1114"/>
      <c r="AA3350" s="1114"/>
      <c r="AB3350" s="1114"/>
      <c r="AC3350" s="1117"/>
      <c r="AD3350" s="1115"/>
      <c r="AE3350" s="1115"/>
      <c r="AF3350" s="1115"/>
      <c r="AG3350" s="1115"/>
      <c r="AH3350" s="1115"/>
      <c r="AI3350" s="1115"/>
      <c r="AJ3350" s="1117"/>
      <c r="AK3350" s="1118"/>
      <c r="AL3350" s="1115"/>
      <c r="AM3350" s="1115"/>
      <c r="AN3350" s="1115"/>
      <c r="AO3350" s="1115"/>
      <c r="AP3350" s="1115"/>
      <c r="AQ3350" s="1115"/>
      <c r="AR3350" s="1115"/>
      <c r="AS3350" s="1117"/>
      <c r="AT3350" s="1075"/>
      <c r="AU3350" s="1193"/>
      <c r="AV3350" s="330"/>
      <c r="AW3350" s="331"/>
      <c r="AX3350" s="331"/>
      <c r="AY3350" s="331"/>
      <c r="AZ3350" s="331"/>
      <c r="BA3350" s="331"/>
      <c r="BB3350" s="331"/>
      <c r="BC3350" s="331"/>
      <c r="BD3350" s="331"/>
      <c r="BE3350" s="333"/>
      <c r="BF3350" s="330"/>
      <c r="BG3350" s="333"/>
      <c r="BH3350" s="1119"/>
      <c r="BI3350" s="319"/>
      <c r="BJ3350" s="319"/>
      <c r="BK3350" s="319"/>
      <c r="BL3350" s="319"/>
      <c r="BM3350" s="319"/>
      <c r="BN3350" s="319"/>
      <c r="BO3350" s="319"/>
      <c r="BP3350" s="953"/>
      <c r="BQ3350" s="319"/>
      <c r="BR3350" s="319"/>
      <c r="BS3350" s="330"/>
      <c r="BT3350" s="331"/>
      <c r="BU3350" s="920"/>
      <c r="BV3350" s="903"/>
      <c r="BW3350" s="908"/>
      <c r="BX3350" s="908"/>
      <c r="BY3350" s="331"/>
      <c r="BZ3350" s="331"/>
      <c r="CA3350" s="462"/>
      <c r="CB3350" s="319"/>
      <c r="CC3350" s="319"/>
      <c r="CD3350" s="319"/>
      <c r="CE3350" s="319"/>
      <c r="CF3350" s="319"/>
      <c r="CG3350" s="319"/>
      <c r="CH3350" s="318"/>
      <c r="CI3350" s="319"/>
      <c r="CJ3350" s="319"/>
      <c r="CK3350" s="342"/>
      <c r="CL3350" s="333"/>
      <c r="CM3350" s="1079"/>
      <c r="CN3350" s="1005"/>
      <c r="CO3350" s="1005"/>
      <c r="CP3350" s="1005"/>
    </row>
    <row r="3351">
      <c r="A3351" s="1257"/>
      <c r="B3351" s="1113"/>
      <c r="C3351" s="1107"/>
      <c r="D3351" s="103"/>
      <c r="E3351" s="1137"/>
      <c r="F3351" s="112"/>
      <c r="G3351" s="1110"/>
      <c r="H3351" s="1138"/>
      <c r="I3351" s="1138"/>
      <c r="J3351" s="1139"/>
      <c r="K3351" s="1111"/>
      <c r="L3351" s="1112"/>
      <c r="M3351" s="1113"/>
      <c r="N3351" s="110"/>
      <c r="O3351" s="1140"/>
      <c r="P3351" s="1115"/>
      <c r="Q3351" s="1116"/>
      <c r="R3351" s="1141"/>
      <c r="S3351" s="1113"/>
      <c r="T3351" s="1143"/>
      <c r="U3351" s="1108"/>
      <c r="V3351" s="1108"/>
      <c r="W3351" s="1108"/>
      <c r="X3351" s="1108"/>
      <c r="Y3351" s="1108"/>
      <c r="Z3351" s="1114"/>
      <c r="AA3351" s="1114"/>
      <c r="AB3351" s="1114"/>
      <c r="AC3351" s="1117"/>
      <c r="AD3351" s="1115"/>
      <c r="AE3351" s="1115"/>
      <c r="AF3351" s="1115"/>
      <c r="AG3351" s="1115"/>
      <c r="AH3351" s="1115"/>
      <c r="AI3351" s="1115"/>
      <c r="AJ3351" s="1117"/>
      <c r="AK3351" s="1118"/>
      <c r="AL3351" s="1115"/>
      <c r="AM3351" s="1115"/>
      <c r="AN3351" s="1115"/>
      <c r="AO3351" s="1115"/>
      <c r="AP3351" s="1115"/>
      <c r="AQ3351" s="1115"/>
      <c r="AR3351" s="1115"/>
      <c r="AS3351" s="1117"/>
      <c r="AT3351" s="1075"/>
      <c r="AU3351" s="1193"/>
      <c r="AV3351" s="330"/>
      <c r="AW3351" s="331"/>
      <c r="AX3351" s="331"/>
      <c r="AY3351" s="331"/>
      <c r="AZ3351" s="331"/>
      <c r="BA3351" s="331"/>
      <c r="BB3351" s="331"/>
      <c r="BC3351" s="331"/>
      <c r="BD3351" s="331"/>
      <c r="BE3351" s="333"/>
      <c r="BF3351" s="330"/>
      <c r="BG3351" s="333"/>
      <c r="BH3351" s="1119"/>
      <c r="BI3351" s="319"/>
      <c r="BJ3351" s="319"/>
      <c r="BK3351" s="319"/>
      <c r="BL3351" s="319"/>
      <c r="BM3351" s="319"/>
      <c r="BN3351" s="319"/>
      <c r="BO3351" s="319"/>
      <c r="BP3351" s="953"/>
      <c r="BQ3351" s="319"/>
      <c r="BR3351" s="319"/>
      <c r="BS3351" s="330"/>
      <c r="BT3351" s="331"/>
      <c r="BU3351" s="920"/>
      <c r="BV3351" s="903"/>
      <c r="BW3351" s="908"/>
      <c r="BX3351" s="908"/>
      <c r="BY3351" s="331"/>
      <c r="BZ3351" s="331"/>
      <c r="CA3351" s="462"/>
      <c r="CB3351" s="319"/>
      <c r="CC3351" s="319"/>
      <c r="CD3351" s="319"/>
      <c r="CE3351" s="319"/>
      <c r="CF3351" s="319"/>
      <c r="CG3351" s="319"/>
      <c r="CH3351" s="318"/>
      <c r="CI3351" s="319"/>
      <c r="CJ3351" s="319"/>
      <c r="CK3351" s="342"/>
      <c r="CL3351" s="333"/>
      <c r="CM3351" s="1079"/>
      <c r="CN3351" s="1005"/>
      <c r="CO3351" s="1005"/>
      <c r="CP3351" s="1005"/>
    </row>
    <row r="3352">
      <c r="A3352" s="1257"/>
      <c r="B3352" s="1113"/>
      <c r="C3352" s="1107"/>
      <c r="D3352" s="103"/>
      <c r="E3352" s="1137"/>
      <c r="F3352" s="112"/>
      <c r="G3352" s="1110"/>
      <c r="H3352" s="1138"/>
      <c r="I3352" s="1138"/>
      <c r="J3352" s="1139"/>
      <c r="K3352" s="1111"/>
      <c r="L3352" s="1112"/>
      <c r="M3352" s="1113"/>
      <c r="N3352" s="110"/>
      <c r="O3352" s="1140"/>
      <c r="P3352" s="1115"/>
      <c r="Q3352" s="1116"/>
      <c r="R3352" s="1141"/>
      <c r="S3352" s="1113"/>
      <c r="T3352" s="1143"/>
      <c r="U3352" s="1108"/>
      <c r="V3352" s="1108"/>
      <c r="W3352" s="1108"/>
      <c r="X3352" s="1108"/>
      <c r="Y3352" s="1108"/>
      <c r="Z3352" s="1114"/>
      <c r="AA3352" s="1114"/>
      <c r="AB3352" s="1114"/>
      <c r="AC3352" s="1117"/>
      <c r="AD3352" s="1115"/>
      <c r="AE3352" s="1115"/>
      <c r="AF3352" s="1115"/>
      <c r="AG3352" s="1115"/>
      <c r="AH3352" s="1115"/>
      <c r="AI3352" s="1115"/>
      <c r="AJ3352" s="1117"/>
      <c r="AK3352" s="1118"/>
      <c r="AL3352" s="1115"/>
      <c r="AM3352" s="1115"/>
      <c r="AN3352" s="1115"/>
      <c r="AO3352" s="1115"/>
      <c r="AP3352" s="1115"/>
      <c r="AQ3352" s="1115"/>
      <c r="AR3352" s="1115"/>
      <c r="AS3352" s="1117"/>
      <c r="AT3352" s="1075"/>
      <c r="AU3352" s="1193"/>
      <c r="AV3352" s="330"/>
      <c r="AW3352" s="331"/>
      <c r="AX3352" s="331"/>
      <c r="AY3352" s="331"/>
      <c r="AZ3352" s="331"/>
      <c r="BA3352" s="331"/>
      <c r="BB3352" s="331"/>
      <c r="BC3352" s="331"/>
      <c r="BD3352" s="331"/>
      <c r="BE3352" s="333"/>
      <c r="BF3352" s="330"/>
      <c r="BG3352" s="333"/>
      <c r="BH3352" s="1119"/>
      <c r="BI3352" s="319"/>
      <c r="BJ3352" s="319"/>
      <c r="BK3352" s="319"/>
      <c r="BL3352" s="319"/>
      <c r="BM3352" s="319"/>
      <c r="BN3352" s="319"/>
      <c r="BO3352" s="319"/>
      <c r="BP3352" s="953"/>
      <c r="BQ3352" s="319"/>
      <c r="BR3352" s="319"/>
      <c r="BS3352" s="330"/>
      <c r="BT3352" s="331"/>
      <c r="BU3352" s="920"/>
      <c r="BV3352" s="903"/>
      <c r="BW3352" s="908"/>
      <c r="BX3352" s="908"/>
      <c r="BY3352" s="331"/>
      <c r="BZ3352" s="331"/>
      <c r="CA3352" s="462"/>
      <c r="CB3352" s="319"/>
      <c r="CC3352" s="319"/>
      <c r="CD3352" s="319"/>
      <c r="CE3352" s="319"/>
      <c r="CF3352" s="319"/>
      <c r="CG3352" s="319"/>
      <c r="CH3352" s="318"/>
      <c r="CI3352" s="319"/>
      <c r="CJ3352" s="319"/>
      <c r="CK3352" s="342"/>
      <c r="CL3352" s="333"/>
      <c r="CM3352" s="1079"/>
      <c r="CN3352" s="1005"/>
      <c r="CO3352" s="1005"/>
      <c r="CP3352" s="1005"/>
    </row>
    <row r="3353">
      <c r="A3353" s="1257"/>
      <c r="B3353" s="1113"/>
      <c r="C3353" s="1107"/>
      <c r="D3353" s="103"/>
      <c r="E3353" s="1137"/>
      <c r="F3353" s="112"/>
      <c r="G3353" s="1110"/>
      <c r="H3353" s="1138"/>
      <c r="I3353" s="1138"/>
      <c r="J3353" s="1139"/>
      <c r="K3353" s="1111"/>
      <c r="L3353" s="1112"/>
      <c r="M3353" s="1113"/>
      <c r="N3353" s="110"/>
      <c r="O3353" s="1140"/>
      <c r="P3353" s="1115"/>
      <c r="Q3353" s="1116"/>
      <c r="R3353" s="1141"/>
      <c r="S3353" s="1113"/>
      <c r="T3353" s="1143"/>
      <c r="U3353" s="1108"/>
      <c r="V3353" s="1108"/>
      <c r="W3353" s="1108"/>
      <c r="X3353" s="1108"/>
      <c r="Y3353" s="1108"/>
      <c r="Z3353" s="1114"/>
      <c r="AA3353" s="1114"/>
      <c r="AB3353" s="1114"/>
      <c r="AC3353" s="1117"/>
      <c r="AD3353" s="1115"/>
      <c r="AE3353" s="1115"/>
      <c r="AF3353" s="1115"/>
      <c r="AG3353" s="1115"/>
      <c r="AH3353" s="1115"/>
      <c r="AI3353" s="1115"/>
      <c r="AJ3353" s="1117"/>
      <c r="AK3353" s="1118"/>
      <c r="AL3353" s="1115"/>
      <c r="AM3353" s="1115"/>
      <c r="AN3353" s="1115"/>
      <c r="AO3353" s="1115"/>
      <c r="AP3353" s="1115"/>
      <c r="AQ3353" s="1115"/>
      <c r="AR3353" s="1115"/>
      <c r="AS3353" s="1117"/>
      <c r="AT3353" s="1075"/>
      <c r="AU3353" s="1193"/>
      <c r="AV3353" s="330"/>
      <c r="AW3353" s="331"/>
      <c r="AX3353" s="331"/>
      <c r="AY3353" s="331"/>
      <c r="AZ3353" s="331"/>
      <c r="BA3353" s="331"/>
      <c r="BB3353" s="331"/>
      <c r="BC3353" s="331"/>
      <c r="BD3353" s="331"/>
      <c r="BE3353" s="333"/>
      <c r="BF3353" s="330"/>
      <c r="BG3353" s="333"/>
      <c r="BH3353" s="1119"/>
      <c r="BI3353" s="319"/>
      <c r="BJ3353" s="319"/>
      <c r="BK3353" s="319"/>
      <c r="BL3353" s="319"/>
      <c r="BM3353" s="319"/>
      <c r="BN3353" s="319"/>
      <c r="BO3353" s="319"/>
      <c r="BP3353" s="953"/>
      <c r="BQ3353" s="319"/>
      <c r="BR3353" s="319"/>
      <c r="BS3353" s="330"/>
      <c r="BT3353" s="331"/>
      <c r="BU3353" s="920"/>
      <c r="BV3353" s="903"/>
      <c r="BW3353" s="908"/>
      <c r="BX3353" s="908"/>
      <c r="BY3353" s="331"/>
      <c r="BZ3353" s="331"/>
      <c r="CA3353" s="462"/>
      <c r="CB3353" s="319"/>
      <c r="CC3353" s="319"/>
      <c r="CD3353" s="319"/>
      <c r="CE3353" s="319"/>
      <c r="CF3353" s="319"/>
      <c r="CG3353" s="319"/>
      <c r="CH3353" s="318"/>
      <c r="CI3353" s="319"/>
      <c r="CJ3353" s="319"/>
      <c r="CK3353" s="342"/>
      <c r="CL3353" s="333"/>
      <c r="CM3353" s="1079"/>
      <c r="CN3353" s="1005"/>
      <c r="CO3353" s="1005"/>
      <c r="CP3353" s="1005"/>
    </row>
    <row r="3354">
      <c r="A3354" s="1257"/>
      <c r="B3354" s="1113"/>
      <c r="C3354" s="1107"/>
      <c r="D3354" s="103"/>
      <c r="E3354" s="1137"/>
      <c r="F3354" s="112"/>
      <c r="G3354" s="1110"/>
      <c r="H3354" s="1138"/>
      <c r="I3354" s="1138"/>
      <c r="J3354" s="1139"/>
      <c r="K3354" s="1111"/>
      <c r="L3354" s="1112"/>
      <c r="M3354" s="1113"/>
      <c r="N3354" s="110"/>
      <c r="O3354" s="1140"/>
      <c r="P3354" s="1115"/>
      <c r="Q3354" s="1116"/>
      <c r="R3354" s="1141"/>
      <c r="S3354" s="1113"/>
      <c r="T3354" s="1143"/>
      <c r="U3354" s="1108"/>
      <c r="V3354" s="1108"/>
      <c r="W3354" s="1108"/>
      <c r="X3354" s="1108"/>
      <c r="Y3354" s="1108"/>
      <c r="Z3354" s="1114"/>
      <c r="AA3354" s="1114"/>
      <c r="AB3354" s="1114"/>
      <c r="AC3354" s="1117"/>
      <c r="AD3354" s="1115"/>
      <c r="AE3354" s="1115"/>
      <c r="AF3354" s="1115"/>
      <c r="AG3354" s="1115"/>
      <c r="AH3354" s="1115"/>
      <c r="AI3354" s="1115"/>
      <c r="AJ3354" s="1117"/>
      <c r="AK3354" s="1118"/>
      <c r="AL3354" s="1115"/>
      <c r="AM3354" s="1115"/>
      <c r="AN3354" s="1115"/>
      <c r="AO3354" s="1115"/>
      <c r="AP3354" s="1115"/>
      <c r="AQ3354" s="1115"/>
      <c r="AR3354" s="1115"/>
      <c r="AS3354" s="1117"/>
      <c r="AT3354" s="1075"/>
      <c r="AU3354" s="1193"/>
      <c r="AV3354" s="330"/>
      <c r="AW3354" s="331"/>
      <c r="AX3354" s="331"/>
      <c r="AY3354" s="331"/>
      <c r="AZ3354" s="331"/>
      <c r="BA3354" s="331"/>
      <c r="BB3354" s="331"/>
      <c r="BC3354" s="331"/>
      <c r="BD3354" s="331"/>
      <c r="BE3354" s="333"/>
      <c r="BF3354" s="330"/>
      <c r="BG3354" s="333"/>
      <c r="BH3354" s="1119"/>
      <c r="BI3354" s="319"/>
      <c r="BJ3354" s="319"/>
      <c r="BK3354" s="319"/>
      <c r="BL3354" s="319"/>
      <c r="BM3354" s="319"/>
      <c r="BN3354" s="319"/>
      <c r="BO3354" s="319"/>
      <c r="BP3354" s="953"/>
      <c r="BQ3354" s="319"/>
      <c r="BR3354" s="319"/>
      <c r="BS3354" s="330"/>
      <c r="BT3354" s="331"/>
      <c r="BU3354" s="920"/>
      <c r="BV3354" s="903"/>
      <c r="BW3354" s="908"/>
      <c r="BX3354" s="908"/>
      <c r="BY3354" s="331"/>
      <c r="BZ3354" s="331"/>
      <c r="CA3354" s="462"/>
      <c r="CB3354" s="319"/>
      <c r="CC3354" s="319"/>
      <c r="CD3354" s="319"/>
      <c r="CE3354" s="319"/>
      <c r="CF3354" s="319"/>
      <c r="CG3354" s="319"/>
      <c r="CH3354" s="318"/>
      <c r="CI3354" s="319"/>
      <c r="CJ3354" s="319"/>
      <c r="CK3354" s="342"/>
      <c r="CL3354" s="333"/>
      <c r="CM3354" s="1079"/>
      <c r="CN3354" s="1005"/>
      <c r="CO3354" s="1005"/>
      <c r="CP3354" s="1005"/>
    </row>
    <row r="3355">
      <c r="A3355" s="1257"/>
      <c r="B3355" s="1113"/>
      <c r="C3355" s="1107"/>
      <c r="D3355" s="103"/>
      <c r="E3355" s="1137"/>
      <c r="F3355" s="112"/>
      <c r="G3355" s="1110"/>
      <c r="H3355" s="1138"/>
      <c r="I3355" s="1138"/>
      <c r="J3355" s="1139"/>
      <c r="K3355" s="1111"/>
      <c r="L3355" s="1112"/>
      <c r="M3355" s="1113"/>
      <c r="N3355" s="110"/>
      <c r="O3355" s="1140"/>
      <c r="P3355" s="1115"/>
      <c r="Q3355" s="1116"/>
      <c r="R3355" s="1141"/>
      <c r="S3355" s="1113"/>
      <c r="T3355" s="1143"/>
      <c r="U3355" s="1108"/>
      <c r="V3355" s="1108"/>
      <c r="W3355" s="1108"/>
      <c r="X3355" s="1108"/>
      <c r="Y3355" s="1108"/>
      <c r="Z3355" s="1114"/>
      <c r="AA3355" s="1114"/>
      <c r="AB3355" s="1114"/>
      <c r="AC3355" s="1117"/>
      <c r="AD3355" s="1115"/>
      <c r="AE3355" s="1115"/>
      <c r="AF3355" s="1115"/>
      <c r="AG3355" s="1115"/>
      <c r="AH3355" s="1115"/>
      <c r="AI3355" s="1115"/>
      <c r="AJ3355" s="1117"/>
      <c r="AK3355" s="1118"/>
      <c r="AL3355" s="1115"/>
      <c r="AM3355" s="1115"/>
      <c r="AN3355" s="1115"/>
      <c r="AO3355" s="1115"/>
      <c r="AP3355" s="1115"/>
      <c r="AQ3355" s="1115"/>
      <c r="AR3355" s="1115"/>
      <c r="AS3355" s="1117"/>
      <c r="AT3355" s="1075"/>
      <c r="AU3355" s="1193"/>
      <c r="AV3355" s="330"/>
      <c r="AW3355" s="331"/>
      <c r="AX3355" s="331"/>
      <c r="AY3355" s="331"/>
      <c r="AZ3355" s="331"/>
      <c r="BA3355" s="331"/>
      <c r="BB3355" s="331"/>
      <c r="BC3355" s="331"/>
      <c r="BD3355" s="331"/>
      <c r="BE3355" s="333"/>
      <c r="BF3355" s="330"/>
      <c r="BG3355" s="333"/>
      <c r="BH3355" s="1119"/>
      <c r="BI3355" s="319"/>
      <c r="BJ3355" s="319"/>
      <c r="BK3355" s="319"/>
      <c r="BL3355" s="319"/>
      <c r="BM3355" s="319"/>
      <c r="BN3355" s="319"/>
      <c r="BO3355" s="319"/>
      <c r="BP3355" s="953"/>
      <c r="BQ3355" s="319"/>
      <c r="BR3355" s="319"/>
      <c r="BS3355" s="330"/>
      <c r="BT3355" s="331"/>
      <c r="BU3355" s="920"/>
      <c r="BV3355" s="903"/>
      <c r="BW3355" s="908"/>
      <c r="BX3355" s="908"/>
      <c r="BY3355" s="331"/>
      <c r="BZ3355" s="331"/>
      <c r="CA3355" s="462"/>
      <c r="CB3355" s="319"/>
      <c r="CC3355" s="319"/>
      <c r="CD3355" s="319"/>
      <c r="CE3355" s="319"/>
      <c r="CF3355" s="319"/>
      <c r="CG3355" s="319"/>
      <c r="CH3355" s="318"/>
      <c r="CI3355" s="319"/>
      <c r="CJ3355" s="319"/>
      <c r="CK3355" s="342"/>
      <c r="CL3355" s="333"/>
      <c r="CM3355" s="1079"/>
      <c r="CN3355" s="1005"/>
      <c r="CO3355" s="1005"/>
      <c r="CP3355" s="1005"/>
    </row>
    <row r="3356">
      <c r="A3356" s="1257"/>
      <c r="B3356" s="1113"/>
      <c r="C3356" s="1107"/>
      <c r="D3356" s="103"/>
      <c r="E3356" s="1137"/>
      <c r="F3356" s="112"/>
      <c r="G3356" s="1110"/>
      <c r="H3356" s="1138"/>
      <c r="I3356" s="1138"/>
      <c r="J3356" s="1139"/>
      <c r="K3356" s="1111"/>
      <c r="L3356" s="1112"/>
      <c r="M3356" s="1113"/>
      <c r="N3356" s="110"/>
      <c r="O3356" s="1140"/>
      <c r="P3356" s="1115"/>
      <c r="Q3356" s="1116"/>
      <c r="R3356" s="1141"/>
      <c r="S3356" s="1113"/>
      <c r="T3356" s="1143"/>
      <c r="U3356" s="1108"/>
      <c r="V3356" s="1108"/>
      <c r="W3356" s="1108"/>
      <c r="X3356" s="1108"/>
      <c r="Y3356" s="1108"/>
      <c r="Z3356" s="1114"/>
      <c r="AA3356" s="1114"/>
      <c r="AB3356" s="1114"/>
      <c r="AC3356" s="1117"/>
      <c r="AD3356" s="1115"/>
      <c r="AE3356" s="1115"/>
      <c r="AF3356" s="1115"/>
      <c r="AG3356" s="1115"/>
      <c r="AH3356" s="1115"/>
      <c r="AI3356" s="1115"/>
      <c r="AJ3356" s="1117"/>
      <c r="AK3356" s="1118"/>
      <c r="AL3356" s="1115"/>
      <c r="AM3356" s="1115"/>
      <c r="AN3356" s="1115"/>
      <c r="AO3356" s="1115"/>
      <c r="AP3356" s="1115"/>
      <c r="AQ3356" s="1115"/>
      <c r="AR3356" s="1115"/>
      <c r="AS3356" s="1117"/>
      <c r="AT3356" s="1075"/>
      <c r="AU3356" s="1193"/>
      <c r="AV3356" s="330"/>
      <c r="AW3356" s="331"/>
      <c r="AX3356" s="331"/>
      <c r="AY3356" s="331"/>
      <c r="AZ3356" s="331"/>
      <c r="BA3356" s="331"/>
      <c r="BB3356" s="331"/>
      <c r="BC3356" s="331"/>
      <c r="BD3356" s="331"/>
      <c r="BE3356" s="333"/>
      <c r="BF3356" s="330"/>
      <c r="BG3356" s="333"/>
      <c r="BH3356" s="1119"/>
      <c r="BI3356" s="319"/>
      <c r="BJ3356" s="319"/>
      <c r="BK3356" s="319"/>
      <c r="BL3356" s="319"/>
      <c r="BM3356" s="319"/>
      <c r="BN3356" s="319"/>
      <c r="BO3356" s="319"/>
      <c r="BP3356" s="953"/>
      <c r="BQ3356" s="319"/>
      <c r="BR3356" s="319"/>
      <c r="BS3356" s="330"/>
      <c r="BT3356" s="331"/>
      <c r="BU3356" s="920"/>
      <c r="BV3356" s="903"/>
      <c r="BW3356" s="908"/>
      <c r="BX3356" s="908"/>
      <c r="BY3356" s="331"/>
      <c r="BZ3356" s="331"/>
      <c r="CA3356" s="462"/>
      <c r="CB3356" s="319"/>
      <c r="CC3356" s="319"/>
      <c r="CD3356" s="319"/>
      <c r="CE3356" s="319"/>
      <c r="CF3356" s="319"/>
      <c r="CG3356" s="319"/>
      <c r="CH3356" s="318"/>
      <c r="CI3356" s="319"/>
      <c r="CJ3356" s="319"/>
      <c r="CK3356" s="342"/>
      <c r="CL3356" s="333"/>
      <c r="CM3356" s="1079"/>
      <c r="CN3356" s="1005"/>
      <c r="CO3356" s="1005"/>
      <c r="CP3356" s="1005"/>
    </row>
    <row r="3357">
      <c r="A3357" s="1257"/>
      <c r="B3357" s="1113"/>
      <c r="C3357" s="1107"/>
      <c r="D3357" s="103"/>
      <c r="E3357" s="1137"/>
      <c r="F3357" s="112"/>
      <c r="G3357" s="1110"/>
      <c r="H3357" s="1138"/>
      <c r="I3357" s="1138"/>
      <c r="J3357" s="1139"/>
      <c r="K3357" s="1111"/>
      <c r="L3357" s="1112"/>
      <c r="M3357" s="1113"/>
      <c r="N3357" s="110"/>
      <c r="O3357" s="1140"/>
      <c r="P3357" s="1115"/>
      <c r="Q3357" s="1116"/>
      <c r="R3357" s="1141"/>
      <c r="S3357" s="1113"/>
      <c r="T3357" s="1143"/>
      <c r="U3357" s="1108"/>
      <c r="V3357" s="1108"/>
      <c r="W3357" s="1108"/>
      <c r="X3357" s="1108"/>
      <c r="Y3357" s="1108"/>
      <c r="Z3357" s="1114"/>
      <c r="AA3357" s="1114"/>
      <c r="AB3357" s="1114"/>
      <c r="AC3357" s="1117"/>
      <c r="AD3357" s="1115"/>
      <c r="AE3357" s="1115"/>
      <c r="AF3357" s="1115"/>
      <c r="AG3357" s="1115"/>
      <c r="AH3357" s="1115"/>
      <c r="AI3357" s="1115"/>
      <c r="AJ3357" s="1117"/>
      <c r="AK3357" s="1118"/>
      <c r="AL3357" s="1115"/>
      <c r="AM3357" s="1115"/>
      <c r="AN3357" s="1115"/>
      <c r="AO3357" s="1115"/>
      <c r="AP3357" s="1115"/>
      <c r="AQ3357" s="1115"/>
      <c r="AR3357" s="1115"/>
      <c r="AS3357" s="1117"/>
      <c r="AT3357" s="1075"/>
      <c r="AU3357" s="1193"/>
      <c r="AV3357" s="330"/>
      <c r="AW3357" s="331"/>
      <c r="AX3357" s="331"/>
      <c r="AY3357" s="331"/>
      <c r="AZ3357" s="331"/>
      <c r="BA3357" s="331"/>
      <c r="BB3357" s="331"/>
      <c r="BC3357" s="331"/>
      <c r="BD3357" s="331"/>
      <c r="BE3357" s="333"/>
      <c r="BF3357" s="330"/>
      <c r="BG3357" s="333"/>
      <c r="BH3357" s="1119"/>
      <c r="BI3357" s="319"/>
      <c r="BJ3357" s="319"/>
      <c r="BK3357" s="319"/>
      <c r="BL3357" s="319"/>
      <c r="BM3357" s="319"/>
      <c r="BN3357" s="319"/>
      <c r="BO3357" s="319"/>
      <c r="BP3357" s="953"/>
      <c r="BQ3357" s="319"/>
      <c r="BR3357" s="319"/>
      <c r="BS3357" s="330"/>
      <c r="BT3357" s="331"/>
      <c r="BU3357" s="920"/>
      <c r="BV3357" s="903"/>
      <c r="BW3357" s="908"/>
      <c r="BX3357" s="908"/>
      <c r="BY3357" s="331"/>
      <c r="BZ3357" s="331"/>
      <c r="CA3357" s="462"/>
      <c r="CB3357" s="319"/>
      <c r="CC3357" s="319"/>
      <c r="CD3357" s="319"/>
      <c r="CE3357" s="319"/>
      <c r="CF3357" s="319"/>
      <c r="CG3357" s="319"/>
      <c r="CH3357" s="318"/>
      <c r="CI3357" s="319"/>
      <c r="CJ3357" s="319"/>
      <c r="CK3357" s="342"/>
      <c r="CL3357" s="333"/>
      <c r="CM3357" s="1079"/>
      <c r="CN3357" s="1005"/>
      <c r="CO3357" s="1005"/>
      <c r="CP3357" s="1005"/>
    </row>
    <row r="3358">
      <c r="A3358" s="1257"/>
      <c r="B3358" s="1113"/>
      <c r="C3358" s="1107"/>
      <c r="D3358" s="103"/>
      <c r="E3358" s="1137"/>
      <c r="F3358" s="112"/>
      <c r="G3358" s="1110"/>
      <c r="H3358" s="1138"/>
      <c r="I3358" s="1138"/>
      <c r="J3358" s="1139"/>
      <c r="K3358" s="1111"/>
      <c r="L3358" s="1112"/>
      <c r="M3358" s="1113"/>
      <c r="N3358" s="110"/>
      <c r="O3358" s="1140"/>
      <c r="P3358" s="1115"/>
      <c r="Q3358" s="1116"/>
      <c r="R3358" s="1141"/>
      <c r="S3358" s="1113"/>
      <c r="T3358" s="1143"/>
      <c r="U3358" s="1108"/>
      <c r="V3358" s="1108"/>
      <c r="W3358" s="1108"/>
      <c r="X3358" s="1108"/>
      <c r="Y3358" s="1108"/>
      <c r="Z3358" s="1114"/>
      <c r="AA3358" s="1114"/>
      <c r="AB3358" s="1114"/>
      <c r="AC3358" s="1117"/>
      <c r="AD3358" s="1115"/>
      <c r="AE3358" s="1115"/>
      <c r="AF3358" s="1115"/>
      <c r="AG3358" s="1115"/>
      <c r="AH3358" s="1115"/>
      <c r="AI3358" s="1115"/>
      <c r="AJ3358" s="1117"/>
      <c r="AK3358" s="1118"/>
      <c r="AL3358" s="1115"/>
      <c r="AM3358" s="1115"/>
      <c r="AN3358" s="1115"/>
      <c r="AO3358" s="1115"/>
      <c r="AP3358" s="1115"/>
      <c r="AQ3358" s="1115"/>
      <c r="AR3358" s="1115"/>
      <c r="AS3358" s="1117"/>
      <c r="AT3358" s="1075"/>
      <c r="AU3358" s="1193"/>
      <c r="AV3358" s="330"/>
      <c r="AW3358" s="331"/>
      <c r="AX3358" s="331"/>
      <c r="AY3358" s="331"/>
      <c r="AZ3358" s="331"/>
      <c r="BA3358" s="331"/>
      <c r="BB3358" s="331"/>
      <c r="BC3358" s="331"/>
      <c r="BD3358" s="331"/>
      <c r="BE3358" s="333"/>
      <c r="BF3358" s="330"/>
      <c r="BG3358" s="333"/>
      <c r="BH3358" s="1119"/>
      <c r="BI3358" s="319"/>
      <c r="BJ3358" s="319"/>
      <c r="BK3358" s="319"/>
      <c r="BL3358" s="319"/>
      <c r="BM3358" s="319"/>
      <c r="BN3358" s="319"/>
      <c r="BO3358" s="319"/>
      <c r="BP3358" s="953"/>
      <c r="BQ3358" s="319"/>
      <c r="BR3358" s="319"/>
      <c r="BS3358" s="330"/>
      <c r="BT3358" s="331"/>
      <c r="BU3358" s="920"/>
      <c r="BV3358" s="903"/>
      <c r="BW3358" s="908"/>
      <c r="BX3358" s="908"/>
      <c r="BY3358" s="331"/>
      <c r="BZ3358" s="331"/>
      <c r="CA3358" s="462"/>
      <c r="CB3358" s="319"/>
      <c r="CC3358" s="319"/>
      <c r="CD3358" s="319"/>
      <c r="CE3358" s="319"/>
      <c r="CF3358" s="319"/>
      <c r="CG3358" s="319"/>
      <c r="CH3358" s="318"/>
      <c r="CI3358" s="319"/>
      <c r="CJ3358" s="319"/>
      <c r="CK3358" s="342"/>
      <c r="CL3358" s="333"/>
      <c r="CM3358" s="1079"/>
      <c r="CN3358" s="1005"/>
      <c r="CO3358" s="1005"/>
      <c r="CP3358" s="1005"/>
    </row>
    <row r="3359">
      <c r="A3359" s="1257"/>
      <c r="B3359" s="1113"/>
      <c r="C3359" s="1107"/>
      <c r="D3359" s="103"/>
      <c r="E3359" s="1137"/>
      <c r="F3359" s="112"/>
      <c r="G3359" s="1110"/>
      <c r="H3359" s="1138"/>
      <c r="I3359" s="1138"/>
      <c r="J3359" s="1139"/>
      <c r="K3359" s="1111"/>
      <c r="L3359" s="1112"/>
      <c r="M3359" s="1113"/>
      <c r="N3359" s="110"/>
      <c r="O3359" s="1140"/>
      <c r="P3359" s="1115"/>
      <c r="Q3359" s="1116"/>
      <c r="R3359" s="1141"/>
      <c r="S3359" s="1113"/>
      <c r="T3359" s="1143"/>
      <c r="U3359" s="1108"/>
      <c r="V3359" s="1108"/>
      <c r="W3359" s="1108"/>
      <c r="X3359" s="1108"/>
      <c r="Y3359" s="1108"/>
      <c r="Z3359" s="1114"/>
      <c r="AA3359" s="1114"/>
      <c r="AB3359" s="1114"/>
      <c r="AC3359" s="1117"/>
      <c r="AD3359" s="1115"/>
      <c r="AE3359" s="1115"/>
      <c r="AF3359" s="1115"/>
      <c r="AG3359" s="1115"/>
      <c r="AH3359" s="1115"/>
      <c r="AI3359" s="1115"/>
      <c r="AJ3359" s="1117"/>
      <c r="AK3359" s="1118"/>
      <c r="AL3359" s="1115"/>
      <c r="AM3359" s="1115"/>
      <c r="AN3359" s="1115"/>
      <c r="AO3359" s="1115"/>
      <c r="AP3359" s="1115"/>
      <c r="AQ3359" s="1115"/>
      <c r="AR3359" s="1115"/>
      <c r="AS3359" s="1117"/>
      <c r="AT3359" s="1075"/>
      <c r="AU3359" s="1193"/>
      <c r="AV3359" s="330"/>
      <c r="AW3359" s="331"/>
      <c r="AX3359" s="331"/>
      <c r="AY3359" s="331"/>
      <c r="AZ3359" s="331"/>
      <c r="BA3359" s="331"/>
      <c r="BB3359" s="331"/>
      <c r="BC3359" s="331"/>
      <c r="BD3359" s="331"/>
      <c r="BE3359" s="333"/>
      <c r="BF3359" s="330"/>
      <c r="BG3359" s="333"/>
      <c r="BH3359" s="1119"/>
      <c r="BI3359" s="319"/>
      <c r="BJ3359" s="319"/>
      <c r="BK3359" s="319"/>
      <c r="BL3359" s="319"/>
      <c r="BM3359" s="319"/>
      <c r="BN3359" s="319"/>
      <c r="BO3359" s="319"/>
      <c r="BP3359" s="953"/>
      <c r="BQ3359" s="319"/>
      <c r="BR3359" s="319"/>
      <c r="BS3359" s="330"/>
      <c r="BT3359" s="331"/>
      <c r="BU3359" s="920"/>
      <c r="BV3359" s="903"/>
      <c r="BW3359" s="908"/>
      <c r="BX3359" s="908"/>
      <c r="BY3359" s="331"/>
      <c r="BZ3359" s="331"/>
      <c r="CA3359" s="462"/>
      <c r="CB3359" s="319"/>
      <c r="CC3359" s="319"/>
      <c r="CD3359" s="319"/>
      <c r="CE3359" s="319"/>
      <c r="CF3359" s="319"/>
      <c r="CG3359" s="319"/>
      <c r="CH3359" s="318"/>
      <c r="CI3359" s="319"/>
      <c r="CJ3359" s="319"/>
      <c r="CK3359" s="342"/>
      <c r="CL3359" s="333"/>
      <c r="CM3359" s="1079"/>
      <c r="CN3359" s="1005"/>
      <c r="CO3359" s="1005"/>
      <c r="CP3359" s="1005"/>
    </row>
    <row r="3360">
      <c r="A3360" s="1257"/>
      <c r="B3360" s="1113"/>
      <c r="C3360" s="1107"/>
      <c r="D3360" s="103"/>
      <c r="E3360" s="1137"/>
      <c r="F3360" s="112"/>
      <c r="G3360" s="1110"/>
      <c r="H3360" s="1138"/>
      <c r="I3360" s="1138"/>
      <c r="J3360" s="1139"/>
      <c r="K3360" s="1111"/>
      <c r="L3360" s="1112"/>
      <c r="M3360" s="1113"/>
      <c r="N3360" s="110"/>
      <c r="O3360" s="1140"/>
      <c r="P3360" s="1115"/>
      <c r="Q3360" s="1116"/>
      <c r="R3360" s="1141"/>
      <c r="S3360" s="1113"/>
      <c r="T3360" s="1143"/>
      <c r="U3360" s="1108"/>
      <c r="V3360" s="1108"/>
      <c r="W3360" s="1108"/>
      <c r="X3360" s="1108"/>
      <c r="Y3360" s="1108"/>
      <c r="Z3360" s="1114"/>
      <c r="AA3360" s="1114"/>
      <c r="AB3360" s="1114"/>
      <c r="AC3360" s="1117"/>
      <c r="AD3360" s="1115"/>
      <c r="AE3360" s="1115"/>
      <c r="AF3360" s="1115"/>
      <c r="AG3360" s="1115"/>
      <c r="AH3360" s="1115"/>
      <c r="AI3360" s="1115"/>
      <c r="AJ3360" s="1117"/>
      <c r="AK3360" s="1118"/>
      <c r="AL3360" s="1115"/>
      <c r="AM3360" s="1115"/>
      <c r="AN3360" s="1115"/>
      <c r="AO3360" s="1115"/>
      <c r="AP3360" s="1115"/>
      <c r="AQ3360" s="1115"/>
      <c r="AR3360" s="1115"/>
      <c r="AS3360" s="1117"/>
      <c r="AT3360" s="1075"/>
      <c r="AU3360" s="1193"/>
      <c r="AV3360" s="330"/>
      <c r="AW3360" s="331"/>
      <c r="AX3360" s="331"/>
      <c r="AY3360" s="331"/>
      <c r="AZ3360" s="331"/>
      <c r="BA3360" s="331"/>
      <c r="BB3360" s="331"/>
      <c r="BC3360" s="331"/>
      <c r="BD3360" s="331"/>
      <c r="BE3360" s="333"/>
      <c r="BF3360" s="330"/>
      <c r="BG3360" s="333"/>
      <c r="BH3360" s="1119"/>
      <c r="BI3360" s="319"/>
      <c r="BJ3360" s="319"/>
      <c r="BK3360" s="319"/>
      <c r="BL3360" s="319"/>
      <c r="BM3360" s="319"/>
      <c r="BN3360" s="319"/>
      <c r="BO3360" s="319"/>
      <c r="BP3360" s="953"/>
      <c r="BQ3360" s="319"/>
      <c r="BR3360" s="319"/>
      <c r="BS3360" s="330"/>
      <c r="BT3360" s="331"/>
      <c r="BU3360" s="920"/>
      <c r="BV3360" s="903"/>
      <c r="BW3360" s="908"/>
      <c r="BX3360" s="908"/>
      <c r="BY3360" s="331"/>
      <c r="BZ3360" s="331"/>
      <c r="CA3360" s="462"/>
      <c r="CB3360" s="319"/>
      <c r="CC3360" s="319"/>
      <c r="CD3360" s="319"/>
      <c r="CE3360" s="319"/>
      <c r="CF3360" s="319"/>
      <c r="CG3360" s="319"/>
      <c r="CH3360" s="318"/>
      <c r="CI3360" s="319"/>
      <c r="CJ3360" s="319"/>
      <c r="CK3360" s="342"/>
      <c r="CL3360" s="333"/>
      <c r="CM3360" s="1079"/>
      <c r="CN3360" s="1005"/>
      <c r="CO3360" s="1005"/>
      <c r="CP3360" s="1005"/>
    </row>
    <row r="3361">
      <c r="A3361" s="1257"/>
      <c r="B3361" s="1113"/>
      <c r="C3361" s="1107"/>
      <c r="D3361" s="103"/>
      <c r="E3361" s="1137"/>
      <c r="F3361" s="112"/>
      <c r="G3361" s="1110"/>
      <c r="H3361" s="1138"/>
      <c r="I3361" s="1138"/>
      <c r="J3361" s="1139"/>
      <c r="K3361" s="1111"/>
      <c r="L3361" s="1112"/>
      <c r="M3361" s="1113"/>
      <c r="N3361" s="110"/>
      <c r="O3361" s="1140"/>
      <c r="P3361" s="1115"/>
      <c r="Q3361" s="1116"/>
      <c r="R3361" s="1141"/>
      <c r="S3361" s="1113"/>
      <c r="T3361" s="1143"/>
      <c r="U3361" s="1108"/>
      <c r="V3361" s="1108"/>
      <c r="W3361" s="1108"/>
      <c r="X3361" s="1108"/>
      <c r="Y3361" s="1108"/>
      <c r="Z3361" s="1114"/>
      <c r="AA3361" s="1114"/>
      <c r="AB3361" s="1114"/>
      <c r="AC3361" s="1117"/>
      <c r="AD3361" s="1115"/>
      <c r="AE3361" s="1115"/>
      <c r="AF3361" s="1115"/>
      <c r="AG3361" s="1115"/>
      <c r="AH3361" s="1115"/>
      <c r="AI3361" s="1115"/>
      <c r="AJ3361" s="1117"/>
      <c r="AK3361" s="1118"/>
      <c r="AL3361" s="1115"/>
      <c r="AM3361" s="1115"/>
      <c r="AN3361" s="1115"/>
      <c r="AO3361" s="1115"/>
      <c r="AP3361" s="1115"/>
      <c r="AQ3361" s="1115"/>
      <c r="AR3361" s="1115"/>
      <c r="AS3361" s="1117"/>
      <c r="AT3361" s="1075"/>
      <c r="AU3361" s="1193"/>
      <c r="AV3361" s="330"/>
      <c r="AW3361" s="331"/>
      <c r="AX3361" s="331"/>
      <c r="AY3361" s="331"/>
      <c r="AZ3361" s="331"/>
      <c r="BA3361" s="331"/>
      <c r="BB3361" s="331"/>
      <c r="BC3361" s="331"/>
      <c r="BD3361" s="331"/>
      <c r="BE3361" s="333"/>
      <c r="BF3361" s="330"/>
      <c r="BG3361" s="333"/>
      <c r="BH3361" s="1119"/>
      <c r="BI3361" s="319"/>
      <c r="BJ3361" s="319"/>
      <c r="BK3361" s="319"/>
      <c r="BL3361" s="319"/>
      <c r="BM3361" s="319"/>
      <c r="BN3361" s="319"/>
      <c r="BO3361" s="319"/>
      <c r="BP3361" s="953"/>
      <c r="BQ3361" s="319"/>
      <c r="BR3361" s="319"/>
      <c r="BS3361" s="330"/>
      <c r="BT3361" s="331"/>
      <c r="BU3361" s="920"/>
      <c r="BV3361" s="903"/>
      <c r="BW3361" s="908"/>
      <c r="BX3361" s="908"/>
      <c r="BY3361" s="331"/>
      <c r="BZ3361" s="331"/>
      <c r="CA3361" s="462"/>
      <c r="CB3361" s="319"/>
      <c r="CC3361" s="319"/>
      <c r="CD3361" s="319"/>
      <c r="CE3361" s="319"/>
      <c r="CF3361" s="319"/>
      <c r="CG3361" s="319"/>
      <c r="CH3361" s="318"/>
      <c r="CI3361" s="319"/>
      <c r="CJ3361" s="319"/>
      <c r="CK3361" s="342"/>
      <c r="CL3361" s="333"/>
      <c r="CM3361" s="1079"/>
      <c r="CN3361" s="1005"/>
      <c r="CO3361" s="1005"/>
      <c r="CP3361" s="1005"/>
    </row>
    <row r="3362">
      <c r="A3362" s="1257"/>
      <c r="B3362" s="1113"/>
      <c r="C3362" s="1107"/>
      <c r="D3362" s="103"/>
      <c r="E3362" s="1137"/>
      <c r="F3362" s="112"/>
      <c r="G3362" s="1110"/>
      <c r="H3362" s="1138"/>
      <c r="I3362" s="1138"/>
      <c r="J3362" s="1139"/>
      <c r="K3362" s="1111"/>
      <c r="L3362" s="1112"/>
      <c r="M3362" s="1113"/>
      <c r="N3362" s="110"/>
      <c r="O3362" s="1140"/>
      <c r="P3362" s="1115"/>
      <c r="Q3362" s="1116"/>
      <c r="R3362" s="1141"/>
      <c r="S3362" s="1113"/>
      <c r="T3362" s="1143"/>
      <c r="U3362" s="1108"/>
      <c r="V3362" s="1108"/>
      <c r="W3362" s="1108"/>
      <c r="X3362" s="1108"/>
      <c r="Y3362" s="1108"/>
      <c r="Z3362" s="1114"/>
      <c r="AA3362" s="1114"/>
      <c r="AB3362" s="1114"/>
      <c r="AC3362" s="1117"/>
      <c r="AD3362" s="1115"/>
      <c r="AE3362" s="1115"/>
      <c r="AF3362" s="1115"/>
      <c r="AG3362" s="1115"/>
      <c r="AH3362" s="1115"/>
      <c r="AI3362" s="1115"/>
      <c r="AJ3362" s="1117"/>
      <c r="AK3362" s="1118"/>
      <c r="AL3362" s="1115"/>
      <c r="AM3362" s="1115"/>
      <c r="AN3362" s="1115"/>
      <c r="AO3362" s="1115"/>
      <c r="AP3362" s="1115"/>
      <c r="AQ3362" s="1115"/>
      <c r="AR3362" s="1115"/>
      <c r="AS3362" s="1117"/>
      <c r="AT3362" s="1075"/>
      <c r="AU3362" s="1193"/>
      <c r="AV3362" s="330"/>
      <c r="AW3362" s="331"/>
      <c r="AX3362" s="331"/>
      <c r="AY3362" s="331"/>
      <c r="AZ3362" s="331"/>
      <c r="BA3362" s="331"/>
      <c r="BB3362" s="331"/>
      <c r="BC3362" s="331"/>
      <c r="BD3362" s="331"/>
      <c r="BE3362" s="333"/>
      <c r="BF3362" s="330"/>
      <c r="BG3362" s="333"/>
      <c r="BH3362" s="1119"/>
      <c r="BI3362" s="319"/>
      <c r="BJ3362" s="319"/>
      <c r="BK3362" s="319"/>
      <c r="BL3362" s="319"/>
      <c r="BM3362" s="319"/>
      <c r="BN3362" s="319"/>
      <c r="BO3362" s="319"/>
      <c r="BP3362" s="953"/>
      <c r="BQ3362" s="319"/>
      <c r="BR3362" s="319"/>
      <c r="BS3362" s="330"/>
      <c r="BT3362" s="331"/>
      <c r="BU3362" s="920"/>
      <c r="BV3362" s="903"/>
      <c r="BW3362" s="908"/>
      <c r="BX3362" s="908"/>
      <c r="BY3362" s="331"/>
      <c r="BZ3362" s="331"/>
      <c r="CA3362" s="462"/>
      <c r="CB3362" s="319"/>
      <c r="CC3362" s="319"/>
      <c r="CD3362" s="319"/>
      <c r="CE3362" s="319"/>
      <c r="CF3362" s="319"/>
      <c r="CG3362" s="319"/>
      <c r="CH3362" s="318"/>
      <c r="CI3362" s="319"/>
      <c r="CJ3362" s="319"/>
      <c r="CK3362" s="342"/>
      <c r="CL3362" s="333"/>
      <c r="CM3362" s="1079"/>
      <c r="CN3362" s="1005"/>
      <c r="CO3362" s="1005"/>
      <c r="CP3362" s="1005"/>
    </row>
    <row r="3363">
      <c r="A3363" s="1257"/>
      <c r="B3363" s="1113"/>
      <c r="C3363" s="1107"/>
      <c r="D3363" s="103"/>
      <c r="E3363" s="1137"/>
      <c r="F3363" s="112"/>
      <c r="G3363" s="1110"/>
      <c r="H3363" s="1138"/>
      <c r="I3363" s="1138"/>
      <c r="J3363" s="1139"/>
      <c r="K3363" s="1111"/>
      <c r="L3363" s="1112"/>
      <c r="M3363" s="1113"/>
      <c r="N3363" s="110"/>
      <c r="O3363" s="1140"/>
      <c r="P3363" s="1115"/>
      <c r="Q3363" s="1116"/>
      <c r="R3363" s="1141"/>
      <c r="S3363" s="1113"/>
      <c r="T3363" s="1143"/>
      <c r="U3363" s="1108"/>
      <c r="V3363" s="1108"/>
      <c r="W3363" s="1108"/>
      <c r="X3363" s="1108"/>
      <c r="Y3363" s="1108"/>
      <c r="Z3363" s="1114"/>
      <c r="AA3363" s="1114"/>
      <c r="AB3363" s="1114"/>
      <c r="AC3363" s="1117"/>
      <c r="AD3363" s="1115"/>
      <c r="AE3363" s="1115"/>
      <c r="AF3363" s="1115"/>
      <c r="AG3363" s="1115"/>
      <c r="AH3363" s="1115"/>
      <c r="AI3363" s="1115"/>
      <c r="AJ3363" s="1117"/>
      <c r="AK3363" s="1118"/>
      <c r="AL3363" s="1115"/>
      <c r="AM3363" s="1115"/>
      <c r="AN3363" s="1115"/>
      <c r="AO3363" s="1115"/>
      <c r="AP3363" s="1115"/>
      <c r="AQ3363" s="1115"/>
      <c r="AR3363" s="1115"/>
      <c r="AS3363" s="1117"/>
      <c r="AT3363" s="1075"/>
      <c r="AU3363" s="1193"/>
      <c r="AV3363" s="330"/>
      <c r="AW3363" s="331"/>
      <c r="AX3363" s="331"/>
      <c r="AY3363" s="331"/>
      <c r="AZ3363" s="331"/>
      <c r="BA3363" s="331"/>
      <c r="BB3363" s="331"/>
      <c r="BC3363" s="331"/>
      <c r="BD3363" s="331"/>
      <c r="BE3363" s="333"/>
      <c r="BF3363" s="330"/>
      <c r="BG3363" s="333"/>
      <c r="BH3363" s="1119"/>
      <c r="BI3363" s="319"/>
      <c r="BJ3363" s="319"/>
      <c r="BK3363" s="319"/>
      <c r="BL3363" s="319"/>
      <c r="BM3363" s="319"/>
      <c r="BN3363" s="319"/>
      <c r="BO3363" s="319"/>
      <c r="BP3363" s="953"/>
      <c r="BQ3363" s="319"/>
      <c r="BR3363" s="319"/>
      <c r="BS3363" s="330"/>
      <c r="BT3363" s="331"/>
      <c r="BU3363" s="920"/>
      <c r="BV3363" s="903"/>
      <c r="BW3363" s="908"/>
      <c r="BX3363" s="908"/>
      <c r="BY3363" s="331"/>
      <c r="BZ3363" s="331"/>
      <c r="CA3363" s="462"/>
      <c r="CB3363" s="319"/>
      <c r="CC3363" s="319"/>
      <c r="CD3363" s="319"/>
      <c r="CE3363" s="319"/>
      <c r="CF3363" s="319"/>
      <c r="CG3363" s="319"/>
      <c r="CH3363" s="318"/>
      <c r="CI3363" s="319"/>
      <c r="CJ3363" s="319"/>
      <c r="CK3363" s="342"/>
      <c r="CL3363" s="333"/>
      <c r="CM3363" s="1079"/>
      <c r="CN3363" s="1005"/>
      <c r="CO3363" s="1005"/>
      <c r="CP3363" s="1005"/>
    </row>
    <row r="3364">
      <c r="A3364" s="1257"/>
      <c r="B3364" s="1113"/>
      <c r="C3364" s="1107"/>
      <c r="D3364" s="103"/>
      <c r="E3364" s="1137"/>
      <c r="F3364" s="112"/>
      <c r="G3364" s="1110"/>
      <c r="H3364" s="1138"/>
      <c r="I3364" s="1138"/>
      <c r="J3364" s="1139"/>
      <c r="K3364" s="1111"/>
      <c r="L3364" s="1112"/>
      <c r="M3364" s="1113"/>
      <c r="N3364" s="110"/>
      <c r="O3364" s="1140"/>
      <c r="P3364" s="1115"/>
      <c r="Q3364" s="1116"/>
      <c r="R3364" s="1141"/>
      <c r="S3364" s="1113"/>
      <c r="T3364" s="1143"/>
      <c r="U3364" s="1108"/>
      <c r="V3364" s="1108"/>
      <c r="W3364" s="1108"/>
      <c r="X3364" s="1108"/>
      <c r="Y3364" s="1108"/>
      <c r="Z3364" s="1114"/>
      <c r="AA3364" s="1114"/>
      <c r="AB3364" s="1114"/>
      <c r="AC3364" s="1117"/>
      <c r="AD3364" s="1115"/>
      <c r="AE3364" s="1115"/>
      <c r="AF3364" s="1115"/>
      <c r="AG3364" s="1115"/>
      <c r="AH3364" s="1115"/>
      <c r="AI3364" s="1115"/>
      <c r="AJ3364" s="1117"/>
      <c r="AK3364" s="1118"/>
      <c r="AL3364" s="1115"/>
      <c r="AM3364" s="1115"/>
      <c r="AN3364" s="1115"/>
      <c r="AO3364" s="1115"/>
      <c r="AP3364" s="1115"/>
      <c r="AQ3364" s="1115"/>
      <c r="AR3364" s="1115"/>
      <c r="AS3364" s="1117"/>
      <c r="AT3364" s="1075"/>
      <c r="AU3364" s="1193"/>
      <c r="AV3364" s="330"/>
      <c r="AW3364" s="331"/>
      <c r="AX3364" s="331"/>
      <c r="AY3364" s="331"/>
      <c r="AZ3364" s="331"/>
      <c r="BA3364" s="331"/>
      <c r="BB3364" s="331"/>
      <c r="BC3364" s="331"/>
      <c r="BD3364" s="331"/>
      <c r="BE3364" s="333"/>
      <c r="BF3364" s="330"/>
      <c r="BG3364" s="333"/>
      <c r="BH3364" s="1119"/>
      <c r="BI3364" s="319"/>
      <c r="BJ3364" s="319"/>
      <c r="BK3364" s="319"/>
      <c r="BL3364" s="319"/>
      <c r="BM3364" s="319"/>
      <c r="BN3364" s="319"/>
      <c r="BO3364" s="319"/>
      <c r="BP3364" s="953"/>
      <c r="BQ3364" s="319"/>
      <c r="BR3364" s="319"/>
      <c r="BS3364" s="330"/>
      <c r="BT3364" s="331"/>
      <c r="BU3364" s="920"/>
      <c r="BV3364" s="903"/>
      <c r="BW3364" s="908"/>
      <c r="BX3364" s="908"/>
      <c r="BY3364" s="331"/>
      <c r="BZ3364" s="331"/>
      <c r="CA3364" s="462"/>
      <c r="CB3364" s="319"/>
      <c r="CC3364" s="319"/>
      <c r="CD3364" s="319"/>
      <c r="CE3364" s="319"/>
      <c r="CF3364" s="319"/>
      <c r="CG3364" s="319"/>
      <c r="CH3364" s="318"/>
      <c r="CI3364" s="319"/>
      <c r="CJ3364" s="319"/>
      <c r="CK3364" s="342"/>
      <c r="CL3364" s="333"/>
      <c r="CM3364" s="1079"/>
      <c r="CN3364" s="1005"/>
      <c r="CO3364" s="1005"/>
      <c r="CP3364" s="1005"/>
    </row>
    <row r="3365">
      <c r="A3365" s="1257"/>
      <c r="B3365" s="1113"/>
      <c r="C3365" s="1107"/>
      <c r="D3365" s="103"/>
      <c r="E3365" s="1137"/>
      <c r="F3365" s="112"/>
      <c r="G3365" s="1110"/>
      <c r="H3365" s="1138"/>
      <c r="I3365" s="1138"/>
      <c r="J3365" s="1139"/>
      <c r="K3365" s="1111"/>
      <c r="L3365" s="1112"/>
      <c r="M3365" s="1113"/>
      <c r="N3365" s="110"/>
      <c r="O3365" s="1140"/>
      <c r="P3365" s="1115"/>
      <c r="Q3365" s="1116"/>
      <c r="R3365" s="1141"/>
      <c r="S3365" s="1113"/>
      <c r="T3365" s="1143"/>
      <c r="U3365" s="1108"/>
      <c r="V3365" s="1108"/>
      <c r="W3365" s="1108"/>
      <c r="X3365" s="1108"/>
      <c r="Y3365" s="1108"/>
      <c r="Z3365" s="1114"/>
      <c r="AA3365" s="1114"/>
      <c r="AB3365" s="1114"/>
      <c r="AC3365" s="1117"/>
      <c r="AD3365" s="1115"/>
      <c r="AE3365" s="1115"/>
      <c r="AF3365" s="1115"/>
      <c r="AG3365" s="1115"/>
      <c r="AH3365" s="1115"/>
      <c r="AI3365" s="1115"/>
      <c r="AJ3365" s="1117"/>
      <c r="AK3365" s="1118"/>
      <c r="AL3365" s="1115"/>
      <c r="AM3365" s="1115"/>
      <c r="AN3365" s="1115"/>
      <c r="AO3365" s="1115"/>
      <c r="AP3365" s="1115"/>
      <c r="AQ3365" s="1115"/>
      <c r="AR3365" s="1115"/>
      <c r="AS3365" s="1117"/>
      <c r="AT3365" s="1075"/>
      <c r="AU3365" s="1193"/>
      <c r="AV3365" s="330"/>
      <c r="AW3365" s="331"/>
      <c r="AX3365" s="331"/>
      <c r="AY3365" s="331"/>
      <c r="AZ3365" s="331"/>
      <c r="BA3365" s="331"/>
      <c r="BB3365" s="331"/>
      <c r="BC3365" s="331"/>
      <c r="BD3365" s="331"/>
      <c r="BE3365" s="333"/>
      <c r="BF3365" s="330"/>
      <c r="BG3365" s="333"/>
      <c r="BH3365" s="1119"/>
      <c r="BI3365" s="319"/>
      <c r="BJ3365" s="319"/>
      <c r="BK3365" s="319"/>
      <c r="BL3365" s="319"/>
      <c r="BM3365" s="319"/>
      <c r="BN3365" s="319"/>
      <c r="BO3365" s="319"/>
      <c r="BP3365" s="953"/>
      <c r="BQ3365" s="319"/>
      <c r="BR3365" s="319"/>
      <c r="BS3365" s="330"/>
      <c r="BT3365" s="331"/>
      <c r="BU3365" s="920"/>
      <c r="BV3365" s="903"/>
      <c r="BW3365" s="908"/>
      <c r="BX3365" s="908"/>
      <c r="BY3365" s="331"/>
      <c r="BZ3365" s="331"/>
      <c r="CA3365" s="462"/>
      <c r="CB3365" s="319"/>
      <c r="CC3365" s="319"/>
      <c r="CD3365" s="319"/>
      <c r="CE3365" s="319"/>
      <c r="CF3365" s="319"/>
      <c r="CG3365" s="319"/>
      <c r="CH3365" s="318"/>
      <c r="CI3365" s="319"/>
      <c r="CJ3365" s="319"/>
      <c r="CK3365" s="342"/>
      <c r="CL3365" s="333"/>
      <c r="CM3365" s="1079"/>
      <c r="CN3365" s="1005"/>
      <c r="CO3365" s="1005"/>
      <c r="CP3365" s="1005"/>
    </row>
    <row r="3366">
      <c r="A3366" s="1257"/>
      <c r="B3366" s="1113"/>
      <c r="C3366" s="1107"/>
      <c r="D3366" s="103"/>
      <c r="E3366" s="1137"/>
      <c r="F3366" s="112"/>
      <c r="G3366" s="1110"/>
      <c r="H3366" s="1138"/>
      <c r="I3366" s="1138"/>
      <c r="J3366" s="1139"/>
      <c r="K3366" s="1111"/>
      <c r="L3366" s="1112"/>
      <c r="M3366" s="1113"/>
      <c r="N3366" s="110"/>
      <c r="O3366" s="1140"/>
      <c r="P3366" s="1115"/>
      <c r="Q3366" s="1116"/>
      <c r="R3366" s="1141"/>
      <c r="S3366" s="1113"/>
      <c r="T3366" s="1143"/>
      <c r="U3366" s="1108"/>
      <c r="V3366" s="1108"/>
      <c r="W3366" s="1108"/>
      <c r="X3366" s="1108"/>
      <c r="Y3366" s="1108"/>
      <c r="Z3366" s="1114"/>
      <c r="AA3366" s="1114"/>
      <c r="AB3366" s="1114"/>
      <c r="AC3366" s="1117"/>
      <c r="AD3366" s="1115"/>
      <c r="AE3366" s="1115"/>
      <c r="AF3366" s="1115"/>
      <c r="AG3366" s="1115"/>
      <c r="AH3366" s="1115"/>
      <c r="AI3366" s="1115"/>
      <c r="AJ3366" s="1117"/>
      <c r="AK3366" s="1118"/>
      <c r="AL3366" s="1115"/>
      <c r="AM3366" s="1115"/>
      <c r="AN3366" s="1115"/>
      <c r="AO3366" s="1115"/>
      <c r="AP3366" s="1115"/>
      <c r="AQ3366" s="1115"/>
      <c r="AR3366" s="1115"/>
      <c r="AS3366" s="1117"/>
      <c r="AT3366" s="1075"/>
      <c r="AU3366" s="1193"/>
      <c r="AV3366" s="330"/>
      <c r="AW3366" s="331"/>
      <c r="AX3366" s="331"/>
      <c r="AY3366" s="331"/>
      <c r="AZ3366" s="331"/>
      <c r="BA3366" s="331"/>
      <c r="BB3366" s="331"/>
      <c r="BC3366" s="331"/>
      <c r="BD3366" s="331"/>
      <c r="BE3366" s="333"/>
      <c r="BF3366" s="330"/>
      <c r="BG3366" s="333"/>
      <c r="BH3366" s="1119"/>
      <c r="BI3366" s="319"/>
      <c r="BJ3366" s="319"/>
      <c r="BK3366" s="319"/>
      <c r="BL3366" s="319"/>
      <c r="BM3366" s="319"/>
      <c r="BN3366" s="319"/>
      <c r="BO3366" s="319"/>
      <c r="BP3366" s="953"/>
      <c r="BQ3366" s="319"/>
      <c r="BR3366" s="319"/>
      <c r="BS3366" s="330"/>
      <c r="BT3366" s="331"/>
      <c r="BU3366" s="920"/>
      <c r="BV3366" s="903"/>
      <c r="BW3366" s="908"/>
      <c r="BX3366" s="908"/>
      <c r="BY3366" s="331"/>
      <c r="BZ3366" s="331"/>
      <c r="CA3366" s="462"/>
      <c r="CB3366" s="319"/>
      <c r="CC3366" s="319"/>
      <c r="CD3366" s="319"/>
      <c r="CE3366" s="319"/>
      <c r="CF3366" s="319"/>
      <c r="CG3366" s="319"/>
      <c r="CH3366" s="318"/>
      <c r="CI3366" s="319"/>
      <c r="CJ3366" s="319"/>
      <c r="CK3366" s="342"/>
      <c r="CL3366" s="333"/>
      <c r="CM3366" s="1079"/>
      <c r="CN3366" s="1005"/>
      <c r="CO3366" s="1005"/>
      <c r="CP3366" s="1005"/>
    </row>
    <row r="3367">
      <c r="A3367" s="1257"/>
      <c r="B3367" s="1113"/>
      <c r="C3367" s="1107"/>
      <c r="D3367" s="103"/>
      <c r="E3367" s="1137"/>
      <c r="F3367" s="112"/>
      <c r="G3367" s="1110"/>
      <c r="H3367" s="1138"/>
      <c r="I3367" s="1138"/>
      <c r="J3367" s="1139"/>
      <c r="K3367" s="1111"/>
      <c r="L3367" s="1112"/>
      <c r="M3367" s="1113"/>
      <c r="N3367" s="110"/>
      <c r="O3367" s="1140"/>
      <c r="P3367" s="1115"/>
      <c r="Q3367" s="1116"/>
      <c r="R3367" s="1141"/>
      <c r="S3367" s="1113"/>
      <c r="T3367" s="1143"/>
      <c r="U3367" s="1108"/>
      <c r="V3367" s="1108"/>
      <c r="W3367" s="1108"/>
      <c r="X3367" s="1108"/>
      <c r="Y3367" s="1108"/>
      <c r="Z3367" s="1114"/>
      <c r="AA3367" s="1114"/>
      <c r="AB3367" s="1114"/>
      <c r="AC3367" s="1117"/>
      <c r="AD3367" s="1115"/>
      <c r="AE3367" s="1115"/>
      <c r="AF3367" s="1115"/>
      <c r="AG3367" s="1115"/>
      <c r="AH3367" s="1115"/>
      <c r="AI3367" s="1115"/>
      <c r="AJ3367" s="1117"/>
      <c r="AK3367" s="1118"/>
      <c r="AL3367" s="1115"/>
      <c r="AM3367" s="1115"/>
      <c r="AN3367" s="1115"/>
      <c r="AO3367" s="1115"/>
      <c r="AP3367" s="1115"/>
      <c r="AQ3367" s="1115"/>
      <c r="AR3367" s="1115"/>
      <c r="AS3367" s="1117"/>
      <c r="AT3367" s="1075"/>
      <c r="AU3367" s="1193"/>
      <c r="AV3367" s="330"/>
      <c r="AW3367" s="331"/>
      <c r="AX3367" s="331"/>
      <c r="AY3367" s="331"/>
      <c r="AZ3367" s="331"/>
      <c r="BA3367" s="331"/>
      <c r="BB3367" s="331"/>
      <c r="BC3367" s="331"/>
      <c r="BD3367" s="331"/>
      <c r="BE3367" s="333"/>
      <c r="BF3367" s="330"/>
      <c r="BG3367" s="333"/>
      <c r="BH3367" s="1119"/>
      <c r="BI3367" s="319"/>
      <c r="BJ3367" s="319"/>
      <c r="BK3367" s="319"/>
      <c r="BL3367" s="319"/>
      <c r="BM3367" s="319"/>
      <c r="BN3367" s="319"/>
      <c r="BO3367" s="319"/>
      <c r="BP3367" s="953"/>
      <c r="BQ3367" s="319"/>
      <c r="BR3367" s="319"/>
      <c r="BS3367" s="330"/>
      <c r="BT3367" s="331"/>
      <c r="BU3367" s="920"/>
      <c r="BV3367" s="903"/>
      <c r="BW3367" s="908"/>
      <c r="BX3367" s="908"/>
      <c r="BY3367" s="331"/>
      <c r="BZ3367" s="331"/>
      <c r="CA3367" s="462"/>
      <c r="CB3367" s="319"/>
      <c r="CC3367" s="319"/>
      <c r="CD3367" s="319"/>
      <c r="CE3367" s="319"/>
      <c r="CF3367" s="319"/>
      <c r="CG3367" s="319"/>
      <c r="CH3367" s="318"/>
      <c r="CI3367" s="319"/>
      <c r="CJ3367" s="319"/>
      <c r="CK3367" s="342"/>
      <c r="CL3367" s="333"/>
      <c r="CM3367" s="1079"/>
      <c r="CN3367" s="1005"/>
      <c r="CO3367" s="1005"/>
      <c r="CP3367" s="1005"/>
    </row>
    <row r="3368">
      <c r="A3368" s="1257"/>
      <c r="B3368" s="1113"/>
      <c r="C3368" s="1107"/>
      <c r="D3368" s="103"/>
      <c r="E3368" s="1137"/>
      <c r="F3368" s="112"/>
      <c r="G3368" s="1110"/>
      <c r="H3368" s="1138"/>
      <c r="I3368" s="1138"/>
      <c r="J3368" s="1139"/>
      <c r="K3368" s="1111"/>
      <c r="L3368" s="1112"/>
      <c r="M3368" s="1113"/>
      <c r="N3368" s="110"/>
      <c r="O3368" s="1140"/>
      <c r="P3368" s="1115"/>
      <c r="Q3368" s="1116"/>
      <c r="R3368" s="1141"/>
      <c r="S3368" s="1113"/>
      <c r="T3368" s="1143"/>
      <c r="U3368" s="1108"/>
      <c r="V3368" s="1108"/>
      <c r="W3368" s="1108"/>
      <c r="X3368" s="1108"/>
      <c r="Y3368" s="1108"/>
      <c r="Z3368" s="1114"/>
      <c r="AA3368" s="1114"/>
      <c r="AB3368" s="1114"/>
      <c r="AC3368" s="1117"/>
      <c r="AD3368" s="1115"/>
      <c r="AE3368" s="1115"/>
      <c r="AF3368" s="1115"/>
      <c r="AG3368" s="1115"/>
      <c r="AH3368" s="1115"/>
      <c r="AI3368" s="1115"/>
      <c r="AJ3368" s="1117"/>
      <c r="AK3368" s="1118"/>
      <c r="AL3368" s="1115"/>
      <c r="AM3368" s="1115"/>
      <c r="AN3368" s="1115"/>
      <c r="AO3368" s="1115"/>
      <c r="AP3368" s="1115"/>
      <c r="AQ3368" s="1115"/>
      <c r="AR3368" s="1115"/>
      <c r="AS3368" s="1117"/>
      <c r="AT3368" s="1075"/>
      <c r="AU3368" s="1193"/>
      <c r="AV3368" s="330"/>
      <c r="AW3368" s="331"/>
      <c r="AX3368" s="331"/>
      <c r="AY3368" s="331"/>
      <c r="AZ3368" s="331"/>
      <c r="BA3368" s="331"/>
      <c r="BB3368" s="331"/>
      <c r="BC3368" s="331"/>
      <c r="BD3368" s="331"/>
      <c r="BE3368" s="333"/>
      <c r="BF3368" s="330"/>
      <c r="BG3368" s="333"/>
      <c r="BH3368" s="1119"/>
      <c r="BI3368" s="319"/>
      <c r="BJ3368" s="319"/>
      <c r="BK3368" s="319"/>
      <c r="BL3368" s="319"/>
      <c r="BM3368" s="319"/>
      <c r="BN3368" s="319"/>
      <c r="BO3368" s="319"/>
      <c r="BP3368" s="953"/>
      <c r="BQ3368" s="319"/>
      <c r="BR3368" s="319"/>
      <c r="BS3368" s="330"/>
      <c r="BT3368" s="331"/>
      <c r="BU3368" s="920"/>
      <c r="BV3368" s="903"/>
      <c r="BW3368" s="908"/>
      <c r="BX3368" s="908"/>
      <c r="BY3368" s="331"/>
      <c r="BZ3368" s="331"/>
      <c r="CA3368" s="462"/>
      <c r="CB3368" s="319"/>
      <c r="CC3368" s="319"/>
      <c r="CD3368" s="319"/>
      <c r="CE3368" s="319"/>
      <c r="CF3368" s="319"/>
      <c r="CG3368" s="319"/>
      <c r="CH3368" s="318"/>
      <c r="CI3368" s="319"/>
      <c r="CJ3368" s="319"/>
      <c r="CK3368" s="342"/>
      <c r="CL3368" s="333"/>
      <c r="CM3368" s="1079"/>
      <c r="CN3368" s="1005"/>
      <c r="CO3368" s="1005"/>
      <c r="CP3368" s="1005"/>
    </row>
    <row r="3369">
      <c r="A3369" s="1257"/>
      <c r="B3369" s="1113"/>
      <c r="C3369" s="1107"/>
      <c r="D3369" s="103"/>
      <c r="E3369" s="1137"/>
      <c r="F3369" s="112"/>
      <c r="G3369" s="1110"/>
      <c r="H3369" s="1138"/>
      <c r="I3369" s="1138"/>
      <c r="J3369" s="1139"/>
      <c r="K3369" s="1111"/>
      <c r="L3369" s="1112"/>
      <c r="M3369" s="1113"/>
      <c r="N3369" s="110"/>
      <c r="O3369" s="1140"/>
      <c r="P3369" s="1115"/>
      <c r="Q3369" s="1116"/>
      <c r="R3369" s="1141"/>
      <c r="S3369" s="1113"/>
      <c r="T3369" s="1143"/>
      <c r="U3369" s="1108"/>
      <c r="V3369" s="1108"/>
      <c r="W3369" s="1108"/>
      <c r="X3369" s="1108"/>
      <c r="Y3369" s="1108"/>
      <c r="Z3369" s="1114"/>
      <c r="AA3369" s="1114"/>
      <c r="AB3369" s="1114"/>
      <c r="AC3369" s="1117"/>
      <c r="AD3369" s="1115"/>
      <c r="AE3369" s="1115"/>
      <c r="AF3369" s="1115"/>
      <c r="AG3369" s="1115"/>
      <c r="AH3369" s="1115"/>
      <c r="AI3369" s="1115"/>
      <c r="AJ3369" s="1117"/>
      <c r="AK3369" s="1118"/>
      <c r="AL3369" s="1115"/>
      <c r="AM3369" s="1115"/>
      <c r="AN3369" s="1115"/>
      <c r="AO3369" s="1115"/>
      <c r="AP3369" s="1115"/>
      <c r="AQ3369" s="1115"/>
      <c r="AR3369" s="1115"/>
      <c r="AS3369" s="1117"/>
      <c r="AT3369" s="1075"/>
      <c r="AU3369" s="1193"/>
      <c r="AV3369" s="330"/>
      <c r="AW3369" s="331"/>
      <c r="AX3369" s="331"/>
      <c r="AY3369" s="331"/>
      <c r="AZ3369" s="331"/>
      <c r="BA3369" s="331"/>
      <c r="BB3369" s="331"/>
      <c r="BC3369" s="331"/>
      <c r="BD3369" s="331"/>
      <c r="BE3369" s="333"/>
      <c r="BF3369" s="330"/>
      <c r="BG3369" s="333"/>
      <c r="BH3369" s="1119"/>
      <c r="BI3369" s="319"/>
      <c r="BJ3369" s="319"/>
      <c r="BK3369" s="319"/>
      <c r="BL3369" s="319"/>
      <c r="BM3369" s="319"/>
      <c r="BN3369" s="319"/>
      <c r="BO3369" s="319"/>
      <c r="BP3369" s="953"/>
      <c r="BQ3369" s="319"/>
      <c r="BR3369" s="319"/>
      <c r="BS3369" s="330"/>
      <c r="BT3369" s="331"/>
      <c r="BU3369" s="920"/>
      <c r="BV3369" s="903"/>
      <c r="BW3369" s="908"/>
      <c r="BX3369" s="908"/>
      <c r="BY3369" s="331"/>
      <c r="BZ3369" s="331"/>
      <c r="CA3369" s="462"/>
      <c r="CB3369" s="319"/>
      <c r="CC3369" s="319"/>
      <c r="CD3369" s="319"/>
      <c r="CE3369" s="319"/>
      <c r="CF3369" s="319"/>
      <c r="CG3369" s="319"/>
      <c r="CH3369" s="318"/>
      <c r="CI3369" s="319"/>
      <c r="CJ3369" s="319"/>
      <c r="CK3369" s="342"/>
      <c r="CL3369" s="333"/>
      <c r="CM3369" s="1079"/>
      <c r="CN3369" s="1005"/>
      <c r="CO3369" s="1005"/>
      <c r="CP3369" s="1005"/>
    </row>
    <row r="3370">
      <c r="A3370" s="1257"/>
      <c r="B3370" s="1113"/>
      <c r="C3370" s="1107"/>
      <c r="D3370" s="103"/>
      <c r="E3370" s="1137"/>
      <c r="F3370" s="112"/>
      <c r="G3370" s="1110"/>
      <c r="H3370" s="1138"/>
      <c r="I3370" s="1138"/>
      <c r="J3370" s="1139"/>
      <c r="K3370" s="1111"/>
      <c r="L3370" s="1112"/>
      <c r="M3370" s="1113"/>
      <c r="N3370" s="110"/>
      <c r="O3370" s="1140"/>
      <c r="P3370" s="1115"/>
      <c r="Q3370" s="1116"/>
      <c r="R3370" s="1141"/>
      <c r="S3370" s="1113"/>
      <c r="T3370" s="1143"/>
      <c r="U3370" s="1108"/>
      <c r="V3370" s="1108"/>
      <c r="W3370" s="1108"/>
      <c r="X3370" s="1108"/>
      <c r="Y3370" s="1108"/>
      <c r="Z3370" s="1114"/>
      <c r="AA3370" s="1114"/>
      <c r="AB3370" s="1114"/>
      <c r="AC3370" s="1117"/>
      <c r="AD3370" s="1115"/>
      <c r="AE3370" s="1115"/>
      <c r="AF3370" s="1115"/>
      <c r="AG3370" s="1115"/>
      <c r="AH3370" s="1115"/>
      <c r="AI3370" s="1115"/>
      <c r="AJ3370" s="1117"/>
      <c r="AK3370" s="1118"/>
      <c r="AL3370" s="1115"/>
      <c r="AM3370" s="1115"/>
      <c r="AN3370" s="1115"/>
      <c r="AO3370" s="1115"/>
      <c r="AP3370" s="1115"/>
      <c r="AQ3370" s="1115"/>
      <c r="AR3370" s="1115"/>
      <c r="AS3370" s="1117"/>
      <c r="AT3370" s="1075"/>
      <c r="AU3370" s="1193"/>
      <c r="AV3370" s="330"/>
      <c r="AW3370" s="331"/>
      <c r="AX3370" s="331"/>
      <c r="AY3370" s="331"/>
      <c r="AZ3370" s="331"/>
      <c r="BA3370" s="331"/>
      <c r="BB3370" s="331"/>
      <c r="BC3370" s="331"/>
      <c r="BD3370" s="331"/>
      <c r="BE3370" s="333"/>
      <c r="BF3370" s="330"/>
      <c r="BG3370" s="333"/>
      <c r="BH3370" s="1119"/>
      <c r="BI3370" s="319"/>
      <c r="BJ3370" s="319"/>
      <c r="BK3370" s="319"/>
      <c r="BL3370" s="319"/>
      <c r="BM3370" s="319"/>
      <c r="BN3370" s="319"/>
      <c r="BO3370" s="319"/>
      <c r="BP3370" s="953"/>
      <c r="BQ3370" s="319"/>
      <c r="BR3370" s="319"/>
      <c r="BS3370" s="330"/>
      <c r="BT3370" s="331"/>
      <c r="BU3370" s="920"/>
      <c r="BV3370" s="903"/>
      <c r="BW3370" s="908"/>
      <c r="BX3370" s="908"/>
      <c r="BY3370" s="331"/>
      <c r="BZ3370" s="331"/>
      <c r="CA3370" s="462"/>
      <c r="CB3370" s="319"/>
      <c r="CC3370" s="319"/>
      <c r="CD3370" s="319"/>
      <c r="CE3370" s="319"/>
      <c r="CF3370" s="319"/>
      <c r="CG3370" s="319"/>
      <c r="CH3370" s="318"/>
      <c r="CI3370" s="319"/>
      <c r="CJ3370" s="319"/>
      <c r="CK3370" s="342"/>
      <c r="CL3370" s="333"/>
      <c r="CM3370" s="1079"/>
      <c r="CN3370" s="1005"/>
      <c r="CO3370" s="1005"/>
      <c r="CP3370" s="1005"/>
    </row>
    <row r="3371">
      <c r="A3371" s="1257"/>
      <c r="B3371" s="1113"/>
      <c r="C3371" s="1107"/>
      <c r="D3371" s="103"/>
      <c r="E3371" s="1137"/>
      <c r="F3371" s="112"/>
      <c r="G3371" s="1110"/>
      <c r="H3371" s="1138"/>
      <c r="I3371" s="1138"/>
      <c r="J3371" s="1139"/>
      <c r="K3371" s="1111"/>
      <c r="L3371" s="1112"/>
      <c r="M3371" s="1113"/>
      <c r="N3371" s="110"/>
      <c r="O3371" s="1140"/>
      <c r="P3371" s="1115"/>
      <c r="Q3371" s="1116"/>
      <c r="R3371" s="1141"/>
      <c r="S3371" s="1113"/>
      <c r="T3371" s="1143"/>
      <c r="U3371" s="1108"/>
      <c r="V3371" s="1108"/>
      <c r="W3371" s="1108"/>
      <c r="X3371" s="1108"/>
      <c r="Y3371" s="1108"/>
      <c r="Z3371" s="1114"/>
      <c r="AA3371" s="1114"/>
      <c r="AB3371" s="1114"/>
      <c r="AC3371" s="1117"/>
      <c r="AD3371" s="1115"/>
      <c r="AE3371" s="1115"/>
      <c r="AF3371" s="1115"/>
      <c r="AG3371" s="1115"/>
      <c r="AH3371" s="1115"/>
      <c r="AI3371" s="1115"/>
      <c r="AJ3371" s="1117"/>
      <c r="AK3371" s="1118"/>
      <c r="AL3371" s="1115"/>
      <c r="AM3371" s="1115"/>
      <c r="AN3371" s="1115"/>
      <c r="AO3371" s="1115"/>
      <c r="AP3371" s="1115"/>
      <c r="AQ3371" s="1115"/>
      <c r="AR3371" s="1115"/>
      <c r="AS3371" s="1117"/>
      <c r="AT3371" s="1075"/>
      <c r="AU3371" s="1193"/>
      <c r="AV3371" s="330"/>
      <c r="AW3371" s="331"/>
      <c r="AX3371" s="331"/>
      <c r="AY3371" s="331"/>
      <c r="AZ3371" s="331"/>
      <c r="BA3371" s="331"/>
      <c r="BB3371" s="331"/>
      <c r="BC3371" s="331"/>
      <c r="BD3371" s="331"/>
      <c r="BE3371" s="333"/>
      <c r="BF3371" s="330"/>
      <c r="BG3371" s="333"/>
      <c r="BH3371" s="1119"/>
      <c r="BI3371" s="319"/>
      <c r="BJ3371" s="319"/>
      <c r="BK3371" s="319"/>
      <c r="BL3371" s="319"/>
      <c r="BM3371" s="319"/>
      <c r="BN3371" s="319"/>
      <c r="BO3371" s="319"/>
      <c r="BP3371" s="953"/>
      <c r="BQ3371" s="319"/>
      <c r="BR3371" s="319"/>
      <c r="BS3371" s="330"/>
      <c r="BT3371" s="331"/>
      <c r="BU3371" s="920"/>
      <c r="BV3371" s="903"/>
      <c r="BW3371" s="908"/>
      <c r="BX3371" s="908"/>
      <c r="BY3371" s="331"/>
      <c r="BZ3371" s="331"/>
      <c r="CA3371" s="462"/>
      <c r="CB3371" s="319"/>
      <c r="CC3371" s="319"/>
      <c r="CD3371" s="319"/>
      <c r="CE3371" s="319"/>
      <c r="CF3371" s="319"/>
      <c r="CG3371" s="319"/>
      <c r="CH3371" s="318"/>
      <c r="CI3371" s="319"/>
      <c r="CJ3371" s="319"/>
      <c r="CK3371" s="342"/>
      <c r="CL3371" s="333"/>
      <c r="CM3371" s="1079"/>
      <c r="CN3371" s="1005"/>
      <c r="CO3371" s="1005"/>
      <c r="CP3371" s="1005"/>
    </row>
    <row r="3372">
      <c r="A3372" s="1257"/>
      <c r="B3372" s="1113"/>
      <c r="C3372" s="1107"/>
      <c r="D3372" s="103"/>
      <c r="E3372" s="1137"/>
      <c r="F3372" s="112"/>
      <c r="G3372" s="1110"/>
      <c r="H3372" s="1138"/>
      <c r="I3372" s="1138"/>
      <c r="J3372" s="1139"/>
      <c r="K3372" s="1111"/>
      <c r="L3372" s="1112"/>
      <c r="M3372" s="1113"/>
      <c r="N3372" s="110"/>
      <c r="O3372" s="1140"/>
      <c r="P3372" s="1115"/>
      <c r="Q3372" s="1116"/>
      <c r="R3372" s="1141"/>
      <c r="S3372" s="1113"/>
      <c r="T3372" s="1143"/>
      <c r="U3372" s="1108"/>
      <c r="V3372" s="1108"/>
      <c r="W3372" s="1108"/>
      <c r="X3372" s="1108"/>
      <c r="Y3372" s="1108"/>
      <c r="Z3372" s="1114"/>
      <c r="AA3372" s="1114"/>
      <c r="AB3372" s="1114"/>
      <c r="AC3372" s="1117"/>
      <c r="AD3372" s="1115"/>
      <c r="AE3372" s="1115"/>
      <c r="AF3372" s="1115"/>
      <c r="AG3372" s="1115"/>
      <c r="AH3372" s="1115"/>
      <c r="AI3372" s="1115"/>
      <c r="AJ3372" s="1117"/>
      <c r="AK3372" s="1118"/>
      <c r="AL3372" s="1115"/>
      <c r="AM3372" s="1115"/>
      <c r="AN3372" s="1115"/>
      <c r="AO3372" s="1115"/>
      <c r="AP3372" s="1115"/>
      <c r="AQ3372" s="1115"/>
      <c r="AR3372" s="1115"/>
      <c r="AS3372" s="1117"/>
      <c r="AT3372" s="1075"/>
      <c r="AU3372" s="1193"/>
      <c r="AV3372" s="330"/>
      <c r="AW3372" s="331"/>
      <c r="AX3372" s="331"/>
      <c r="AY3372" s="331"/>
      <c r="AZ3372" s="331"/>
      <c r="BA3372" s="331"/>
      <c r="BB3372" s="331"/>
      <c r="BC3372" s="331"/>
      <c r="BD3372" s="331"/>
      <c r="BE3372" s="333"/>
      <c r="BF3372" s="330"/>
      <c r="BG3372" s="333"/>
      <c r="BH3372" s="1119"/>
      <c r="BI3372" s="319"/>
      <c r="BJ3372" s="319"/>
      <c r="BK3372" s="319"/>
      <c r="BL3372" s="319"/>
      <c r="BM3372" s="319"/>
      <c r="BN3372" s="319"/>
      <c r="BO3372" s="319"/>
      <c r="BP3372" s="953"/>
      <c r="BQ3372" s="319"/>
      <c r="BR3372" s="319"/>
      <c r="BS3372" s="330"/>
      <c r="BT3372" s="331"/>
      <c r="BU3372" s="920"/>
      <c r="BV3372" s="903"/>
      <c r="BW3372" s="908"/>
      <c r="BX3372" s="908"/>
      <c r="BY3372" s="331"/>
      <c r="BZ3372" s="331"/>
      <c r="CA3372" s="462"/>
      <c r="CB3372" s="319"/>
      <c r="CC3372" s="319"/>
      <c r="CD3372" s="319"/>
      <c r="CE3372" s="319"/>
      <c r="CF3372" s="319"/>
      <c r="CG3372" s="319"/>
      <c r="CH3372" s="318"/>
      <c r="CI3372" s="319"/>
      <c r="CJ3372" s="319"/>
      <c r="CK3372" s="342"/>
      <c r="CL3372" s="333"/>
      <c r="CM3372" s="1079"/>
      <c r="CN3372" s="1005"/>
      <c r="CO3372" s="1005"/>
      <c r="CP3372" s="1005"/>
    </row>
    <row r="3373">
      <c r="A3373" s="1257"/>
      <c r="B3373" s="1113"/>
      <c r="C3373" s="1107"/>
      <c r="D3373" s="103"/>
      <c r="E3373" s="1137"/>
      <c r="F3373" s="112"/>
      <c r="G3373" s="1110"/>
      <c r="H3373" s="1138"/>
      <c r="I3373" s="1138"/>
      <c r="J3373" s="1139"/>
      <c r="K3373" s="1111"/>
      <c r="L3373" s="1112"/>
      <c r="M3373" s="1113"/>
      <c r="N3373" s="110"/>
      <c r="O3373" s="1140"/>
      <c r="P3373" s="1115"/>
      <c r="Q3373" s="1116"/>
      <c r="R3373" s="1141"/>
      <c r="S3373" s="1113"/>
      <c r="T3373" s="1143"/>
      <c r="U3373" s="1108"/>
      <c r="V3373" s="1108"/>
      <c r="W3373" s="1108"/>
      <c r="X3373" s="1108"/>
      <c r="Y3373" s="1108"/>
      <c r="Z3373" s="1114"/>
      <c r="AA3373" s="1114"/>
      <c r="AB3373" s="1114"/>
      <c r="AC3373" s="1117"/>
      <c r="AD3373" s="1115"/>
      <c r="AE3373" s="1115"/>
      <c r="AF3373" s="1115"/>
      <c r="AG3373" s="1115"/>
      <c r="AH3373" s="1115"/>
      <c r="AI3373" s="1115"/>
      <c r="AJ3373" s="1117"/>
      <c r="AK3373" s="1118"/>
      <c r="AL3373" s="1115"/>
      <c r="AM3373" s="1115"/>
      <c r="AN3373" s="1115"/>
      <c r="AO3373" s="1115"/>
      <c r="AP3373" s="1115"/>
      <c r="AQ3373" s="1115"/>
      <c r="AR3373" s="1115"/>
      <c r="AS3373" s="1117"/>
      <c r="AT3373" s="1075"/>
      <c r="AU3373" s="1193"/>
      <c r="AV3373" s="330"/>
      <c r="AW3373" s="331"/>
      <c r="AX3373" s="331"/>
      <c r="AY3373" s="331"/>
      <c r="AZ3373" s="331"/>
      <c r="BA3373" s="331"/>
      <c r="BB3373" s="331"/>
      <c r="BC3373" s="331"/>
      <c r="BD3373" s="331"/>
      <c r="BE3373" s="333"/>
      <c r="BF3373" s="330"/>
      <c r="BG3373" s="333"/>
      <c r="BH3373" s="1119"/>
      <c r="BI3373" s="319"/>
      <c r="BJ3373" s="319"/>
      <c r="BK3373" s="319"/>
      <c r="BL3373" s="319"/>
      <c r="BM3373" s="319"/>
      <c r="BN3373" s="319"/>
      <c r="BO3373" s="319"/>
      <c r="BP3373" s="953"/>
      <c r="BQ3373" s="319"/>
      <c r="BR3373" s="319"/>
      <c r="BS3373" s="330"/>
      <c r="BT3373" s="331"/>
      <c r="BU3373" s="920"/>
      <c r="BV3373" s="903"/>
      <c r="BW3373" s="908"/>
      <c r="BX3373" s="908"/>
      <c r="BY3373" s="331"/>
      <c r="BZ3373" s="331"/>
      <c r="CA3373" s="462"/>
      <c r="CB3373" s="319"/>
      <c r="CC3373" s="319"/>
      <c r="CD3373" s="319"/>
      <c r="CE3373" s="319"/>
      <c r="CF3373" s="319"/>
      <c r="CG3373" s="319"/>
      <c r="CH3373" s="318"/>
      <c r="CI3373" s="319"/>
      <c r="CJ3373" s="319"/>
      <c r="CK3373" s="342"/>
      <c r="CL3373" s="333"/>
      <c r="CM3373" s="1079"/>
      <c r="CN3373" s="1005"/>
      <c r="CO3373" s="1005"/>
      <c r="CP3373" s="1005"/>
    </row>
    <row r="3374">
      <c r="A3374" s="1257"/>
      <c r="B3374" s="1113"/>
      <c r="C3374" s="1107"/>
      <c r="D3374" s="103"/>
      <c r="E3374" s="1137"/>
      <c r="F3374" s="112"/>
      <c r="G3374" s="1110"/>
      <c r="H3374" s="1138"/>
      <c r="I3374" s="1138"/>
      <c r="J3374" s="1139"/>
      <c r="K3374" s="1111"/>
      <c r="L3374" s="1112"/>
      <c r="M3374" s="1113"/>
      <c r="N3374" s="110"/>
      <c r="O3374" s="1140"/>
      <c r="P3374" s="1115"/>
      <c r="Q3374" s="1116"/>
      <c r="R3374" s="1141"/>
      <c r="S3374" s="1113"/>
      <c r="T3374" s="1143"/>
      <c r="U3374" s="1108"/>
      <c r="V3374" s="1108"/>
      <c r="W3374" s="1108"/>
      <c r="X3374" s="1108"/>
      <c r="Y3374" s="1108"/>
      <c r="Z3374" s="1114"/>
      <c r="AA3374" s="1114"/>
      <c r="AB3374" s="1114"/>
      <c r="AC3374" s="1117"/>
      <c r="AD3374" s="1115"/>
      <c r="AE3374" s="1115"/>
      <c r="AF3374" s="1115"/>
      <c r="AG3374" s="1115"/>
      <c r="AH3374" s="1115"/>
      <c r="AI3374" s="1115"/>
      <c r="AJ3374" s="1117"/>
      <c r="AK3374" s="1118"/>
      <c r="AL3374" s="1115"/>
      <c r="AM3374" s="1115"/>
      <c r="AN3374" s="1115"/>
      <c r="AO3374" s="1115"/>
      <c r="AP3374" s="1115"/>
      <c r="AQ3374" s="1115"/>
      <c r="AR3374" s="1115"/>
      <c r="AS3374" s="1117"/>
      <c r="AT3374" s="1075"/>
      <c r="AU3374" s="1193"/>
      <c r="AV3374" s="330"/>
      <c r="AW3374" s="331"/>
      <c r="AX3374" s="331"/>
      <c r="AY3374" s="331"/>
      <c r="AZ3374" s="331"/>
      <c r="BA3374" s="331"/>
      <c r="BB3374" s="331"/>
      <c r="BC3374" s="331"/>
      <c r="BD3374" s="331"/>
      <c r="BE3374" s="333"/>
      <c r="BF3374" s="330"/>
      <c r="BG3374" s="333"/>
      <c r="BH3374" s="1119"/>
      <c r="BI3374" s="319"/>
      <c r="BJ3374" s="319"/>
      <c r="BK3374" s="319"/>
      <c r="BL3374" s="319"/>
      <c r="BM3374" s="319"/>
      <c r="BN3374" s="319"/>
      <c r="BO3374" s="319"/>
      <c r="BP3374" s="953"/>
      <c r="BQ3374" s="319"/>
      <c r="BR3374" s="319"/>
      <c r="BS3374" s="330"/>
      <c r="BT3374" s="331"/>
      <c r="BU3374" s="920"/>
      <c r="BV3374" s="903"/>
      <c r="BW3374" s="908"/>
      <c r="BX3374" s="908"/>
      <c r="BY3374" s="331"/>
      <c r="BZ3374" s="331"/>
      <c r="CA3374" s="462"/>
      <c r="CB3374" s="319"/>
      <c r="CC3374" s="319"/>
      <c r="CD3374" s="319"/>
      <c r="CE3374" s="319"/>
      <c r="CF3374" s="319"/>
      <c r="CG3374" s="319"/>
      <c r="CH3374" s="318"/>
      <c r="CI3374" s="319"/>
      <c r="CJ3374" s="319"/>
      <c r="CK3374" s="342"/>
      <c r="CL3374" s="333"/>
      <c r="CM3374" s="1079"/>
      <c r="CN3374" s="1005"/>
      <c r="CO3374" s="1005"/>
      <c r="CP3374" s="1005"/>
    </row>
    <row r="3375">
      <c r="A3375" s="1257"/>
      <c r="B3375" s="1113"/>
      <c r="C3375" s="1107"/>
      <c r="D3375" s="103"/>
      <c r="E3375" s="1137"/>
      <c r="F3375" s="112"/>
      <c r="G3375" s="1110"/>
      <c r="H3375" s="1138"/>
      <c r="I3375" s="1138"/>
      <c r="J3375" s="1139"/>
      <c r="K3375" s="1111"/>
      <c r="L3375" s="1112"/>
      <c r="M3375" s="1113"/>
      <c r="N3375" s="110"/>
      <c r="O3375" s="1140"/>
      <c r="P3375" s="1115"/>
      <c r="Q3375" s="1116"/>
      <c r="R3375" s="1141"/>
      <c r="S3375" s="1113"/>
      <c r="T3375" s="1143"/>
      <c r="U3375" s="1108"/>
      <c r="V3375" s="1108"/>
      <c r="W3375" s="1108"/>
      <c r="X3375" s="1108"/>
      <c r="Y3375" s="1108"/>
      <c r="Z3375" s="1114"/>
      <c r="AA3375" s="1114"/>
      <c r="AB3375" s="1114"/>
      <c r="AC3375" s="1117"/>
      <c r="AD3375" s="1115"/>
      <c r="AE3375" s="1115"/>
      <c r="AF3375" s="1115"/>
      <c r="AG3375" s="1115"/>
      <c r="AH3375" s="1115"/>
      <c r="AI3375" s="1115"/>
      <c r="AJ3375" s="1117"/>
      <c r="AK3375" s="1118"/>
      <c r="AL3375" s="1115"/>
      <c r="AM3375" s="1115"/>
      <c r="AN3375" s="1115"/>
      <c r="AO3375" s="1115"/>
      <c r="AP3375" s="1115"/>
      <c r="AQ3375" s="1115"/>
      <c r="AR3375" s="1115"/>
      <c r="AS3375" s="1117"/>
      <c r="AT3375" s="1075"/>
      <c r="AU3375" s="1193"/>
      <c r="AV3375" s="330"/>
      <c r="AW3375" s="331"/>
      <c r="AX3375" s="331"/>
      <c r="AY3375" s="331"/>
      <c r="AZ3375" s="331"/>
      <c r="BA3375" s="331"/>
      <c r="BB3375" s="331"/>
      <c r="BC3375" s="331"/>
      <c r="BD3375" s="331"/>
      <c r="BE3375" s="333"/>
      <c r="BF3375" s="330"/>
      <c r="BG3375" s="333"/>
      <c r="BH3375" s="1119"/>
      <c r="BI3375" s="319"/>
      <c r="BJ3375" s="319"/>
      <c r="BK3375" s="319"/>
      <c r="BL3375" s="319"/>
      <c r="BM3375" s="319"/>
      <c r="BN3375" s="319"/>
      <c r="BO3375" s="319"/>
      <c r="BP3375" s="953"/>
      <c r="BQ3375" s="319"/>
      <c r="BR3375" s="319"/>
      <c r="BS3375" s="330"/>
      <c r="BT3375" s="331"/>
      <c r="BU3375" s="920"/>
      <c r="BV3375" s="903"/>
      <c r="BW3375" s="908"/>
      <c r="BX3375" s="908"/>
      <c r="BY3375" s="331"/>
      <c r="BZ3375" s="331"/>
      <c r="CA3375" s="462"/>
      <c r="CB3375" s="319"/>
      <c r="CC3375" s="319"/>
      <c r="CD3375" s="319"/>
      <c r="CE3375" s="319"/>
      <c r="CF3375" s="319"/>
      <c r="CG3375" s="319"/>
      <c r="CH3375" s="318"/>
      <c r="CI3375" s="319"/>
      <c r="CJ3375" s="319"/>
      <c r="CK3375" s="342"/>
      <c r="CL3375" s="333"/>
      <c r="CM3375" s="1079"/>
      <c r="CN3375" s="1005"/>
      <c r="CO3375" s="1005"/>
      <c r="CP3375" s="1005"/>
    </row>
    <row r="3376">
      <c r="A3376" s="1257"/>
      <c r="B3376" s="1113"/>
      <c r="C3376" s="1107"/>
      <c r="D3376" s="103"/>
      <c r="E3376" s="1137"/>
      <c r="F3376" s="112"/>
      <c r="G3376" s="1110"/>
      <c r="H3376" s="1138"/>
      <c r="I3376" s="1138"/>
      <c r="J3376" s="1139"/>
      <c r="K3376" s="1111"/>
      <c r="L3376" s="1112"/>
      <c r="M3376" s="1113"/>
      <c r="N3376" s="110"/>
      <c r="O3376" s="1140"/>
      <c r="P3376" s="1115"/>
      <c r="Q3376" s="1116"/>
      <c r="R3376" s="1141"/>
      <c r="S3376" s="1113"/>
      <c r="T3376" s="1143"/>
      <c r="U3376" s="1108"/>
      <c r="V3376" s="1108"/>
      <c r="W3376" s="1108"/>
      <c r="X3376" s="1108"/>
      <c r="Y3376" s="1108"/>
      <c r="Z3376" s="1114"/>
      <c r="AA3376" s="1114"/>
      <c r="AB3376" s="1114"/>
      <c r="AC3376" s="1117"/>
      <c r="AD3376" s="1115"/>
      <c r="AE3376" s="1115"/>
      <c r="AF3376" s="1115"/>
      <c r="AG3376" s="1115"/>
      <c r="AH3376" s="1115"/>
      <c r="AI3376" s="1115"/>
      <c r="AJ3376" s="1117"/>
      <c r="AK3376" s="1118"/>
      <c r="AL3376" s="1115"/>
      <c r="AM3376" s="1115"/>
      <c r="AN3376" s="1115"/>
      <c r="AO3376" s="1115"/>
      <c r="AP3376" s="1115"/>
      <c r="AQ3376" s="1115"/>
      <c r="AR3376" s="1115"/>
      <c r="AS3376" s="1117"/>
      <c r="AT3376" s="1075"/>
      <c r="AU3376" s="1193"/>
      <c r="AV3376" s="330"/>
      <c r="AW3376" s="331"/>
      <c r="AX3376" s="331"/>
      <c r="AY3376" s="331"/>
      <c r="AZ3376" s="331"/>
      <c r="BA3376" s="331"/>
      <c r="BB3376" s="331"/>
      <c r="BC3376" s="331"/>
      <c r="BD3376" s="331"/>
      <c r="BE3376" s="333"/>
      <c r="BF3376" s="330"/>
      <c r="BG3376" s="333"/>
      <c r="BH3376" s="1119"/>
      <c r="BI3376" s="319"/>
      <c r="BJ3376" s="319"/>
      <c r="BK3376" s="319"/>
      <c r="BL3376" s="319"/>
      <c r="BM3376" s="319"/>
      <c r="BN3376" s="319"/>
      <c r="BO3376" s="319"/>
      <c r="BP3376" s="953"/>
      <c r="BQ3376" s="319"/>
      <c r="BR3376" s="319"/>
      <c r="BS3376" s="330"/>
      <c r="BT3376" s="331"/>
      <c r="BU3376" s="920"/>
      <c r="BV3376" s="903"/>
      <c r="BW3376" s="908"/>
      <c r="BX3376" s="908"/>
      <c r="BY3376" s="331"/>
      <c r="BZ3376" s="331"/>
      <c r="CA3376" s="462"/>
      <c r="CB3376" s="319"/>
      <c r="CC3376" s="319"/>
      <c r="CD3376" s="319"/>
      <c r="CE3376" s="319"/>
      <c r="CF3376" s="319"/>
      <c r="CG3376" s="319"/>
      <c r="CH3376" s="318"/>
      <c r="CI3376" s="319"/>
      <c r="CJ3376" s="319"/>
      <c r="CK3376" s="342"/>
      <c r="CL3376" s="333"/>
      <c r="CM3376" s="1079"/>
      <c r="CN3376" s="1005"/>
      <c r="CO3376" s="1005"/>
      <c r="CP3376" s="1005"/>
    </row>
    <row r="3377">
      <c r="A3377" s="1257"/>
      <c r="B3377" s="1113"/>
      <c r="C3377" s="1107"/>
      <c r="D3377" s="103"/>
      <c r="E3377" s="1137"/>
      <c r="F3377" s="112"/>
      <c r="G3377" s="1110"/>
      <c r="H3377" s="1138"/>
      <c r="I3377" s="1138"/>
      <c r="J3377" s="1139"/>
      <c r="K3377" s="1111"/>
      <c r="L3377" s="1112"/>
      <c r="M3377" s="1113"/>
      <c r="N3377" s="110"/>
      <c r="O3377" s="1140"/>
      <c r="P3377" s="1115"/>
      <c r="Q3377" s="1116"/>
      <c r="R3377" s="1141"/>
      <c r="S3377" s="1113"/>
      <c r="T3377" s="1143"/>
      <c r="U3377" s="1108"/>
      <c r="V3377" s="1108"/>
      <c r="W3377" s="1108"/>
      <c r="X3377" s="1108"/>
      <c r="Y3377" s="1108"/>
      <c r="Z3377" s="1114"/>
      <c r="AA3377" s="1114"/>
      <c r="AB3377" s="1114"/>
      <c r="AC3377" s="1117"/>
      <c r="AD3377" s="1115"/>
      <c r="AE3377" s="1115"/>
      <c r="AF3377" s="1115"/>
      <c r="AG3377" s="1115"/>
      <c r="AH3377" s="1115"/>
      <c r="AI3377" s="1115"/>
      <c r="AJ3377" s="1117"/>
      <c r="AK3377" s="1118"/>
      <c r="AL3377" s="1115"/>
      <c r="AM3377" s="1115"/>
      <c r="AN3377" s="1115"/>
      <c r="AO3377" s="1115"/>
      <c r="AP3377" s="1115"/>
      <c r="AQ3377" s="1115"/>
      <c r="AR3377" s="1115"/>
      <c r="AS3377" s="1117"/>
      <c r="AT3377" s="1075"/>
      <c r="AU3377" s="1193"/>
      <c r="AV3377" s="330"/>
      <c r="AW3377" s="331"/>
      <c r="AX3377" s="331"/>
      <c r="AY3377" s="331"/>
      <c r="AZ3377" s="331"/>
      <c r="BA3377" s="331"/>
      <c r="BB3377" s="331"/>
      <c r="BC3377" s="331"/>
      <c r="BD3377" s="331"/>
      <c r="BE3377" s="333"/>
      <c r="BF3377" s="330"/>
      <c r="BG3377" s="333"/>
      <c r="BH3377" s="1119"/>
      <c r="BI3377" s="319"/>
      <c r="BJ3377" s="319"/>
      <c r="BK3377" s="319"/>
      <c r="BL3377" s="319"/>
      <c r="BM3377" s="319"/>
      <c r="BN3377" s="319"/>
      <c r="BO3377" s="319"/>
      <c r="BP3377" s="953"/>
      <c r="BQ3377" s="319"/>
      <c r="BR3377" s="319"/>
      <c r="BS3377" s="330"/>
      <c r="BT3377" s="331"/>
      <c r="BU3377" s="920"/>
      <c r="BV3377" s="903"/>
      <c r="BW3377" s="908"/>
      <c r="BX3377" s="908"/>
      <c r="BY3377" s="331"/>
      <c r="BZ3377" s="331"/>
      <c r="CA3377" s="462"/>
      <c r="CB3377" s="319"/>
      <c r="CC3377" s="319"/>
      <c r="CD3377" s="319"/>
      <c r="CE3377" s="319"/>
      <c r="CF3377" s="319"/>
      <c r="CG3377" s="319"/>
      <c r="CH3377" s="318"/>
      <c r="CI3377" s="319"/>
      <c r="CJ3377" s="319"/>
      <c r="CK3377" s="342"/>
      <c r="CL3377" s="333"/>
      <c r="CM3377" s="1079"/>
      <c r="CN3377" s="1005"/>
      <c r="CO3377" s="1005"/>
      <c r="CP3377" s="1005"/>
    </row>
    <row r="3378">
      <c r="A3378" s="1257"/>
      <c r="B3378" s="1113"/>
      <c r="C3378" s="1107"/>
      <c r="D3378" s="103"/>
      <c r="E3378" s="1137"/>
      <c r="F3378" s="112"/>
      <c r="G3378" s="1110"/>
      <c r="H3378" s="1138"/>
      <c r="I3378" s="1138"/>
      <c r="J3378" s="1139"/>
      <c r="K3378" s="1111"/>
      <c r="L3378" s="1112"/>
      <c r="M3378" s="1113"/>
      <c r="N3378" s="110"/>
      <c r="O3378" s="1140"/>
      <c r="P3378" s="1115"/>
      <c r="Q3378" s="1116"/>
      <c r="R3378" s="1141"/>
      <c r="S3378" s="1113"/>
      <c r="T3378" s="1143"/>
      <c r="U3378" s="1108"/>
      <c r="V3378" s="1108"/>
      <c r="W3378" s="1108"/>
      <c r="X3378" s="1108"/>
      <c r="Y3378" s="1108"/>
      <c r="Z3378" s="1114"/>
      <c r="AA3378" s="1114"/>
      <c r="AB3378" s="1114"/>
      <c r="AC3378" s="1117"/>
      <c r="AD3378" s="1115"/>
      <c r="AE3378" s="1115"/>
      <c r="AF3378" s="1115"/>
      <c r="AG3378" s="1115"/>
      <c r="AH3378" s="1115"/>
      <c r="AI3378" s="1115"/>
      <c r="AJ3378" s="1117"/>
      <c r="AK3378" s="1118"/>
      <c r="AL3378" s="1115"/>
      <c r="AM3378" s="1115"/>
      <c r="AN3378" s="1115"/>
      <c r="AO3378" s="1115"/>
      <c r="AP3378" s="1115"/>
      <c r="AQ3378" s="1115"/>
      <c r="AR3378" s="1115"/>
      <c r="AS3378" s="1117"/>
      <c r="AT3378" s="1075"/>
      <c r="AU3378" s="1193"/>
      <c r="AV3378" s="330"/>
      <c r="AW3378" s="331"/>
      <c r="AX3378" s="331"/>
      <c r="AY3378" s="331"/>
      <c r="AZ3378" s="331"/>
      <c r="BA3378" s="331"/>
      <c r="BB3378" s="331"/>
      <c r="BC3378" s="331"/>
      <c r="BD3378" s="331"/>
      <c r="BE3378" s="333"/>
      <c r="BF3378" s="330"/>
      <c r="BG3378" s="333"/>
      <c r="BH3378" s="1119"/>
      <c r="BI3378" s="319"/>
      <c r="BJ3378" s="319"/>
      <c r="BK3378" s="319"/>
      <c r="BL3378" s="319"/>
      <c r="BM3378" s="319"/>
      <c r="BN3378" s="319"/>
      <c r="BO3378" s="319"/>
      <c r="BP3378" s="953"/>
      <c r="BQ3378" s="319"/>
      <c r="BR3378" s="319"/>
      <c r="BS3378" s="330"/>
      <c r="BT3378" s="331"/>
      <c r="BU3378" s="920"/>
      <c r="BV3378" s="903"/>
      <c r="BW3378" s="908"/>
      <c r="BX3378" s="908"/>
      <c r="BY3378" s="331"/>
      <c r="BZ3378" s="331"/>
      <c r="CA3378" s="462"/>
      <c r="CB3378" s="319"/>
      <c r="CC3378" s="319"/>
      <c r="CD3378" s="319"/>
      <c r="CE3378" s="319"/>
      <c r="CF3378" s="319"/>
      <c r="CG3378" s="319"/>
      <c r="CH3378" s="318"/>
      <c r="CI3378" s="319"/>
      <c r="CJ3378" s="319"/>
      <c r="CK3378" s="342"/>
      <c r="CL3378" s="333"/>
      <c r="CM3378" s="1079"/>
      <c r="CN3378" s="1005"/>
      <c r="CO3378" s="1005"/>
      <c r="CP3378" s="1005"/>
    </row>
    <row r="3379">
      <c r="A3379" s="1257"/>
      <c r="B3379" s="1113"/>
      <c r="C3379" s="1107"/>
      <c r="D3379" s="103"/>
      <c r="E3379" s="1137"/>
      <c r="F3379" s="112"/>
      <c r="G3379" s="1110"/>
      <c r="H3379" s="1138"/>
      <c r="I3379" s="1138"/>
      <c r="J3379" s="1139"/>
      <c r="K3379" s="1111"/>
      <c r="L3379" s="1112"/>
      <c r="M3379" s="1113"/>
      <c r="N3379" s="110"/>
      <c r="O3379" s="1140"/>
      <c r="P3379" s="1115"/>
      <c r="Q3379" s="1116"/>
      <c r="R3379" s="1141"/>
      <c r="S3379" s="1113"/>
      <c r="T3379" s="1143"/>
      <c r="U3379" s="1108"/>
      <c r="V3379" s="1108"/>
      <c r="W3379" s="1108"/>
      <c r="X3379" s="1108"/>
      <c r="Y3379" s="1108"/>
      <c r="Z3379" s="1114"/>
      <c r="AA3379" s="1114"/>
      <c r="AB3379" s="1114"/>
      <c r="AC3379" s="1117"/>
      <c r="AD3379" s="1115"/>
      <c r="AE3379" s="1115"/>
      <c r="AF3379" s="1115"/>
      <c r="AG3379" s="1115"/>
      <c r="AH3379" s="1115"/>
      <c r="AI3379" s="1115"/>
      <c r="AJ3379" s="1117"/>
      <c r="AK3379" s="1118"/>
      <c r="AL3379" s="1115"/>
      <c r="AM3379" s="1115"/>
      <c r="AN3379" s="1115"/>
      <c r="AO3379" s="1115"/>
      <c r="AP3379" s="1115"/>
      <c r="AQ3379" s="1115"/>
      <c r="AR3379" s="1115"/>
      <c r="AS3379" s="1117"/>
      <c r="AT3379" s="1075"/>
      <c r="AU3379" s="1193"/>
      <c r="AV3379" s="330"/>
      <c r="AW3379" s="331"/>
      <c r="AX3379" s="331"/>
      <c r="AY3379" s="331"/>
      <c r="AZ3379" s="331"/>
      <c r="BA3379" s="331"/>
      <c r="BB3379" s="331"/>
      <c r="BC3379" s="331"/>
      <c r="BD3379" s="331"/>
      <c r="BE3379" s="333"/>
      <c r="BF3379" s="330"/>
      <c r="BG3379" s="333"/>
      <c r="BH3379" s="1119"/>
      <c r="BI3379" s="319"/>
      <c r="BJ3379" s="319"/>
      <c r="BK3379" s="319"/>
      <c r="BL3379" s="319"/>
      <c r="BM3379" s="319"/>
      <c r="BN3379" s="319"/>
      <c r="BO3379" s="319"/>
      <c r="BP3379" s="953"/>
      <c r="BQ3379" s="319"/>
      <c r="BR3379" s="319"/>
      <c r="BS3379" s="330"/>
      <c r="BT3379" s="331"/>
      <c r="BU3379" s="920"/>
      <c r="BV3379" s="903"/>
      <c r="BW3379" s="908"/>
      <c r="BX3379" s="908"/>
      <c r="BY3379" s="331"/>
      <c r="BZ3379" s="331"/>
      <c r="CA3379" s="462"/>
      <c r="CB3379" s="319"/>
      <c r="CC3379" s="319"/>
      <c r="CD3379" s="319"/>
      <c r="CE3379" s="319"/>
      <c r="CF3379" s="319"/>
      <c r="CG3379" s="319"/>
      <c r="CH3379" s="318"/>
      <c r="CI3379" s="319"/>
      <c r="CJ3379" s="319"/>
      <c r="CK3379" s="342"/>
      <c r="CL3379" s="333"/>
      <c r="CM3379" s="1079"/>
      <c r="CN3379" s="1005"/>
      <c r="CO3379" s="1005"/>
      <c r="CP3379" s="1005"/>
    </row>
    <row r="3380">
      <c r="A3380" s="1257"/>
      <c r="B3380" s="1113"/>
      <c r="C3380" s="1107"/>
      <c r="D3380" s="103"/>
      <c r="E3380" s="1137"/>
      <c r="F3380" s="112"/>
      <c r="G3380" s="1110"/>
      <c r="H3380" s="1138"/>
      <c r="I3380" s="1138"/>
      <c r="J3380" s="1139"/>
      <c r="K3380" s="1111"/>
      <c r="L3380" s="1112"/>
      <c r="M3380" s="1113"/>
      <c r="N3380" s="110"/>
      <c r="O3380" s="1140"/>
      <c r="P3380" s="1115"/>
      <c r="Q3380" s="1116"/>
      <c r="R3380" s="1141"/>
      <c r="S3380" s="1113"/>
      <c r="T3380" s="1143"/>
      <c r="U3380" s="1108"/>
      <c r="V3380" s="1108"/>
      <c r="W3380" s="1108"/>
      <c r="X3380" s="1108"/>
      <c r="Y3380" s="1108"/>
      <c r="Z3380" s="1114"/>
      <c r="AA3380" s="1114"/>
      <c r="AB3380" s="1114"/>
      <c r="AC3380" s="1117"/>
      <c r="AD3380" s="1115"/>
      <c r="AE3380" s="1115"/>
      <c r="AF3380" s="1115"/>
      <c r="AG3380" s="1115"/>
      <c r="AH3380" s="1115"/>
      <c r="AI3380" s="1115"/>
      <c r="AJ3380" s="1117"/>
      <c r="AK3380" s="1118"/>
      <c r="AL3380" s="1115"/>
      <c r="AM3380" s="1115"/>
      <c r="AN3380" s="1115"/>
      <c r="AO3380" s="1115"/>
      <c r="AP3380" s="1115"/>
      <c r="AQ3380" s="1115"/>
      <c r="AR3380" s="1115"/>
      <c r="AS3380" s="1117"/>
      <c r="AT3380" s="1075"/>
      <c r="AU3380" s="1193"/>
      <c r="AV3380" s="330"/>
      <c r="AW3380" s="331"/>
      <c r="AX3380" s="331"/>
      <c r="AY3380" s="331"/>
      <c r="AZ3380" s="331"/>
      <c r="BA3380" s="331"/>
      <c r="BB3380" s="331"/>
      <c r="BC3380" s="331"/>
      <c r="BD3380" s="331"/>
      <c r="BE3380" s="333"/>
      <c r="BF3380" s="330"/>
      <c r="BG3380" s="333"/>
      <c r="BH3380" s="1119"/>
      <c r="BI3380" s="319"/>
      <c r="BJ3380" s="319"/>
      <c r="BK3380" s="319"/>
      <c r="BL3380" s="319"/>
      <c r="BM3380" s="319"/>
      <c r="BN3380" s="319"/>
      <c r="BO3380" s="319"/>
      <c r="BP3380" s="953"/>
      <c r="BQ3380" s="319"/>
      <c r="BR3380" s="319"/>
      <c r="BS3380" s="330"/>
      <c r="BT3380" s="331"/>
      <c r="BU3380" s="920"/>
      <c r="BV3380" s="903"/>
      <c r="BW3380" s="908"/>
      <c r="BX3380" s="908"/>
      <c r="BY3380" s="331"/>
      <c r="BZ3380" s="331"/>
      <c r="CA3380" s="462"/>
      <c r="CB3380" s="319"/>
      <c r="CC3380" s="319"/>
      <c r="CD3380" s="319"/>
      <c r="CE3380" s="319"/>
      <c r="CF3380" s="319"/>
      <c r="CG3380" s="319"/>
      <c r="CH3380" s="318"/>
      <c r="CI3380" s="319"/>
      <c r="CJ3380" s="319"/>
      <c r="CK3380" s="342"/>
      <c r="CL3380" s="333"/>
      <c r="CM3380" s="1079"/>
      <c r="CN3380" s="1005"/>
      <c r="CO3380" s="1005"/>
      <c r="CP3380" s="1005"/>
    </row>
    <row r="3381">
      <c r="A3381" s="1257"/>
      <c r="B3381" s="1113"/>
      <c r="C3381" s="1107"/>
      <c r="D3381" s="103"/>
      <c r="E3381" s="1137"/>
      <c r="F3381" s="112"/>
      <c r="G3381" s="1110"/>
      <c r="H3381" s="1138"/>
      <c r="I3381" s="1138"/>
      <c r="J3381" s="1139"/>
      <c r="K3381" s="1111"/>
      <c r="L3381" s="1112"/>
      <c r="M3381" s="1113"/>
      <c r="N3381" s="110"/>
      <c r="O3381" s="1140"/>
      <c r="P3381" s="1115"/>
      <c r="Q3381" s="1116"/>
      <c r="R3381" s="1141"/>
      <c r="S3381" s="1113"/>
      <c r="T3381" s="1143"/>
      <c r="U3381" s="1108"/>
      <c r="V3381" s="1108"/>
      <c r="W3381" s="1108"/>
      <c r="X3381" s="1108"/>
      <c r="Y3381" s="1108"/>
      <c r="Z3381" s="1114"/>
      <c r="AA3381" s="1114"/>
      <c r="AB3381" s="1114"/>
      <c r="AC3381" s="1117"/>
      <c r="AD3381" s="1115"/>
      <c r="AE3381" s="1115"/>
      <c r="AF3381" s="1115"/>
      <c r="AG3381" s="1115"/>
      <c r="AH3381" s="1115"/>
      <c r="AI3381" s="1115"/>
      <c r="AJ3381" s="1117"/>
      <c r="AK3381" s="1118"/>
      <c r="AL3381" s="1115"/>
      <c r="AM3381" s="1115"/>
      <c r="AN3381" s="1115"/>
      <c r="AO3381" s="1115"/>
      <c r="AP3381" s="1115"/>
      <c r="AQ3381" s="1115"/>
      <c r="AR3381" s="1115"/>
      <c r="AS3381" s="1117"/>
      <c r="AT3381" s="1075"/>
      <c r="AU3381" s="1193"/>
      <c r="AV3381" s="330"/>
      <c r="AW3381" s="331"/>
      <c r="AX3381" s="331"/>
      <c r="AY3381" s="331"/>
      <c r="AZ3381" s="331"/>
      <c r="BA3381" s="331"/>
      <c r="BB3381" s="331"/>
      <c r="BC3381" s="331"/>
      <c r="BD3381" s="331"/>
      <c r="BE3381" s="333"/>
      <c r="BF3381" s="330"/>
      <c r="BG3381" s="333"/>
      <c r="BH3381" s="1119"/>
      <c r="BI3381" s="319"/>
      <c r="BJ3381" s="319"/>
      <c r="BK3381" s="319"/>
      <c r="BL3381" s="319"/>
      <c r="BM3381" s="319"/>
      <c r="BN3381" s="319"/>
      <c r="BO3381" s="319"/>
      <c r="BP3381" s="953"/>
      <c r="BQ3381" s="319"/>
      <c r="BR3381" s="319"/>
      <c r="BS3381" s="330"/>
      <c r="BT3381" s="331"/>
      <c r="BU3381" s="920"/>
      <c r="BV3381" s="903"/>
      <c r="BW3381" s="908"/>
      <c r="BX3381" s="908"/>
      <c r="BY3381" s="331"/>
      <c r="BZ3381" s="331"/>
      <c r="CA3381" s="462"/>
      <c r="CB3381" s="319"/>
      <c r="CC3381" s="319"/>
      <c r="CD3381" s="319"/>
      <c r="CE3381" s="319"/>
      <c r="CF3381" s="319"/>
      <c r="CG3381" s="319"/>
      <c r="CH3381" s="318"/>
      <c r="CI3381" s="319"/>
      <c r="CJ3381" s="319"/>
      <c r="CK3381" s="342"/>
      <c r="CL3381" s="333"/>
      <c r="CM3381" s="1079"/>
      <c r="CN3381" s="1005"/>
      <c r="CO3381" s="1005"/>
      <c r="CP3381" s="1005"/>
    </row>
    <row r="3382">
      <c r="A3382" s="1257"/>
      <c r="B3382" s="1113"/>
      <c r="C3382" s="1107"/>
      <c r="D3382" s="103"/>
      <c r="E3382" s="1137"/>
      <c r="F3382" s="112"/>
      <c r="G3382" s="1110"/>
      <c r="H3382" s="1138"/>
      <c r="I3382" s="1138"/>
      <c r="J3382" s="1139"/>
      <c r="K3382" s="1111"/>
      <c r="L3382" s="1112"/>
      <c r="M3382" s="1113"/>
      <c r="N3382" s="110"/>
      <c r="O3382" s="1140"/>
      <c r="P3382" s="1115"/>
      <c r="Q3382" s="1116"/>
      <c r="R3382" s="1141"/>
      <c r="S3382" s="1113"/>
      <c r="T3382" s="1143"/>
      <c r="U3382" s="1108"/>
      <c r="V3382" s="1108"/>
      <c r="W3382" s="1108"/>
      <c r="X3382" s="1108"/>
      <c r="Y3382" s="1108"/>
      <c r="Z3382" s="1114"/>
      <c r="AA3382" s="1114"/>
      <c r="AB3382" s="1114"/>
      <c r="AC3382" s="1117"/>
      <c r="AD3382" s="1115"/>
      <c r="AE3382" s="1115"/>
      <c r="AF3382" s="1115"/>
      <c r="AG3382" s="1115"/>
      <c r="AH3382" s="1115"/>
      <c r="AI3382" s="1115"/>
      <c r="AJ3382" s="1117"/>
      <c r="AK3382" s="1118"/>
      <c r="AL3382" s="1115"/>
      <c r="AM3382" s="1115"/>
      <c r="AN3382" s="1115"/>
      <c r="AO3382" s="1115"/>
      <c r="AP3382" s="1115"/>
      <c r="AQ3382" s="1115"/>
      <c r="AR3382" s="1115"/>
      <c r="AS3382" s="1117"/>
      <c r="AT3382" s="1075"/>
      <c r="AU3382" s="1193"/>
      <c r="AV3382" s="330"/>
      <c r="AW3382" s="331"/>
      <c r="AX3382" s="331"/>
      <c r="AY3382" s="331"/>
      <c r="AZ3382" s="331"/>
      <c r="BA3382" s="331"/>
      <c r="BB3382" s="331"/>
      <c r="BC3382" s="331"/>
      <c r="BD3382" s="331"/>
      <c r="BE3382" s="333"/>
      <c r="BF3382" s="330"/>
      <c r="BG3382" s="333"/>
      <c r="BH3382" s="1119"/>
      <c r="BI3382" s="319"/>
      <c r="BJ3382" s="319"/>
      <c r="BK3382" s="319"/>
      <c r="BL3382" s="319"/>
      <c r="BM3382" s="319"/>
      <c r="BN3382" s="319"/>
      <c r="BO3382" s="319"/>
      <c r="BP3382" s="953"/>
      <c r="BQ3382" s="319"/>
      <c r="BR3382" s="319"/>
      <c r="BS3382" s="330"/>
      <c r="BT3382" s="331"/>
      <c r="BU3382" s="920"/>
      <c r="BV3382" s="903"/>
      <c r="BW3382" s="908"/>
      <c r="BX3382" s="908"/>
      <c r="BY3382" s="331"/>
      <c r="BZ3382" s="331"/>
      <c r="CA3382" s="462"/>
      <c r="CB3382" s="319"/>
      <c r="CC3382" s="319"/>
      <c r="CD3382" s="319"/>
      <c r="CE3382" s="319"/>
      <c r="CF3382" s="319"/>
      <c r="CG3382" s="319"/>
      <c r="CH3382" s="318"/>
      <c r="CI3382" s="319"/>
      <c r="CJ3382" s="319"/>
      <c r="CK3382" s="342"/>
      <c r="CL3382" s="333"/>
      <c r="CM3382" s="1079"/>
      <c r="CN3382" s="1005"/>
      <c r="CO3382" s="1005"/>
      <c r="CP3382" s="1005"/>
    </row>
    <row r="3383">
      <c r="A3383" s="1257"/>
      <c r="B3383" s="1113"/>
      <c r="C3383" s="1107"/>
      <c r="D3383" s="103"/>
      <c r="E3383" s="1137"/>
      <c r="F3383" s="112"/>
      <c r="G3383" s="1110"/>
      <c r="H3383" s="1138"/>
      <c r="I3383" s="1138"/>
      <c r="J3383" s="1139"/>
      <c r="K3383" s="1111"/>
      <c r="L3383" s="1112"/>
      <c r="M3383" s="1113"/>
      <c r="N3383" s="110"/>
      <c r="O3383" s="1140"/>
      <c r="P3383" s="1115"/>
      <c r="Q3383" s="1116"/>
      <c r="R3383" s="1141"/>
      <c r="S3383" s="1113"/>
      <c r="T3383" s="1143"/>
      <c r="U3383" s="1108"/>
      <c r="V3383" s="1108"/>
      <c r="W3383" s="1108"/>
      <c r="X3383" s="1108"/>
      <c r="Y3383" s="1108"/>
      <c r="Z3383" s="1114"/>
      <c r="AA3383" s="1114"/>
      <c r="AB3383" s="1114"/>
      <c r="AC3383" s="1117"/>
      <c r="AD3383" s="1115"/>
      <c r="AE3383" s="1115"/>
      <c r="AF3383" s="1115"/>
      <c r="AG3383" s="1115"/>
      <c r="AH3383" s="1115"/>
      <c r="AI3383" s="1115"/>
      <c r="AJ3383" s="1117"/>
      <c r="AK3383" s="1118"/>
      <c r="AL3383" s="1115"/>
      <c r="AM3383" s="1115"/>
      <c r="AN3383" s="1115"/>
      <c r="AO3383" s="1115"/>
      <c r="AP3383" s="1115"/>
      <c r="AQ3383" s="1115"/>
      <c r="AR3383" s="1115"/>
      <c r="AS3383" s="1117"/>
      <c r="AT3383" s="1075"/>
      <c r="AU3383" s="1193"/>
      <c r="AV3383" s="330"/>
      <c r="AW3383" s="331"/>
      <c r="AX3383" s="331"/>
      <c r="AY3383" s="331"/>
      <c r="AZ3383" s="331"/>
      <c r="BA3383" s="331"/>
      <c r="BB3383" s="331"/>
      <c r="BC3383" s="331"/>
      <c r="BD3383" s="331"/>
      <c r="BE3383" s="333"/>
      <c r="BF3383" s="330"/>
      <c r="BG3383" s="333"/>
      <c r="BH3383" s="1119"/>
      <c r="BI3383" s="319"/>
      <c r="BJ3383" s="319"/>
      <c r="BK3383" s="319"/>
      <c r="BL3383" s="319"/>
      <c r="BM3383" s="319"/>
      <c r="BN3383" s="319"/>
      <c r="BO3383" s="319"/>
      <c r="BP3383" s="953"/>
      <c r="BQ3383" s="319"/>
      <c r="BR3383" s="319"/>
      <c r="BS3383" s="330"/>
      <c r="BT3383" s="331"/>
      <c r="BU3383" s="920"/>
      <c r="BV3383" s="903"/>
      <c r="BW3383" s="908"/>
      <c r="BX3383" s="908"/>
      <c r="BY3383" s="331"/>
      <c r="BZ3383" s="331"/>
      <c r="CA3383" s="462"/>
      <c r="CB3383" s="319"/>
      <c r="CC3383" s="319"/>
      <c r="CD3383" s="319"/>
      <c r="CE3383" s="319"/>
      <c r="CF3383" s="319"/>
      <c r="CG3383" s="319"/>
      <c r="CH3383" s="318"/>
      <c r="CI3383" s="319"/>
      <c r="CJ3383" s="319"/>
      <c r="CK3383" s="342"/>
      <c r="CL3383" s="333"/>
      <c r="CM3383" s="1079"/>
      <c r="CN3383" s="1005"/>
      <c r="CO3383" s="1005"/>
      <c r="CP3383" s="1005"/>
    </row>
    <row r="3384">
      <c r="A3384" s="1257"/>
      <c r="B3384" s="1113"/>
      <c r="C3384" s="1107"/>
      <c r="D3384" s="103"/>
      <c r="E3384" s="1137"/>
      <c r="F3384" s="112"/>
      <c r="G3384" s="1110"/>
      <c r="H3384" s="1138"/>
      <c r="I3384" s="1138"/>
      <c r="J3384" s="1139"/>
      <c r="K3384" s="1111"/>
      <c r="L3384" s="1112"/>
      <c r="M3384" s="1113"/>
      <c r="N3384" s="110"/>
      <c r="O3384" s="1140"/>
      <c r="P3384" s="1115"/>
      <c r="Q3384" s="1116"/>
      <c r="R3384" s="1141"/>
      <c r="S3384" s="1113"/>
      <c r="T3384" s="1143"/>
      <c r="U3384" s="1108"/>
      <c r="V3384" s="1108"/>
      <c r="W3384" s="1108"/>
      <c r="X3384" s="1108"/>
      <c r="Y3384" s="1108"/>
      <c r="Z3384" s="1114"/>
      <c r="AA3384" s="1114"/>
      <c r="AB3384" s="1114"/>
      <c r="AC3384" s="1117"/>
      <c r="AD3384" s="1115"/>
      <c r="AE3384" s="1115"/>
      <c r="AF3384" s="1115"/>
      <c r="AG3384" s="1115"/>
      <c r="AH3384" s="1115"/>
      <c r="AI3384" s="1115"/>
      <c r="AJ3384" s="1117"/>
      <c r="AK3384" s="1118"/>
      <c r="AL3384" s="1115"/>
      <c r="AM3384" s="1115"/>
      <c r="AN3384" s="1115"/>
      <c r="AO3384" s="1115"/>
      <c r="AP3384" s="1115"/>
      <c r="AQ3384" s="1115"/>
      <c r="AR3384" s="1115"/>
      <c r="AS3384" s="1117"/>
      <c r="AT3384" s="1075"/>
      <c r="AU3384" s="1193"/>
      <c r="AV3384" s="330"/>
      <c r="AW3384" s="331"/>
      <c r="AX3384" s="331"/>
      <c r="AY3384" s="331"/>
      <c r="AZ3384" s="331"/>
      <c r="BA3384" s="331"/>
      <c r="BB3384" s="331"/>
      <c r="BC3384" s="331"/>
      <c r="BD3384" s="331"/>
      <c r="BE3384" s="333"/>
      <c r="BF3384" s="330"/>
      <c r="BG3384" s="333"/>
      <c r="BH3384" s="1119"/>
      <c r="BI3384" s="319"/>
      <c r="BJ3384" s="319"/>
      <c r="BK3384" s="319"/>
      <c r="BL3384" s="319"/>
      <c r="BM3384" s="319"/>
      <c r="BN3384" s="319"/>
      <c r="BO3384" s="319"/>
      <c r="BP3384" s="953"/>
      <c r="BQ3384" s="319"/>
      <c r="BR3384" s="319"/>
      <c r="BS3384" s="330"/>
      <c r="BT3384" s="331"/>
      <c r="BU3384" s="920"/>
      <c r="BV3384" s="903"/>
      <c r="BW3384" s="908"/>
      <c r="BX3384" s="908"/>
      <c r="BY3384" s="331"/>
      <c r="BZ3384" s="331"/>
      <c r="CA3384" s="462"/>
      <c r="CB3384" s="319"/>
      <c r="CC3384" s="319"/>
      <c r="CD3384" s="319"/>
      <c r="CE3384" s="319"/>
      <c r="CF3384" s="319"/>
      <c r="CG3384" s="319"/>
      <c r="CH3384" s="318"/>
      <c r="CI3384" s="319"/>
      <c r="CJ3384" s="319"/>
      <c r="CK3384" s="342"/>
      <c r="CL3384" s="333"/>
      <c r="CM3384" s="1079"/>
      <c r="CN3384" s="1005"/>
      <c r="CO3384" s="1005"/>
      <c r="CP3384" s="1005"/>
    </row>
    <row r="3385">
      <c r="A3385" s="1257"/>
      <c r="B3385" s="1113"/>
      <c r="C3385" s="1107"/>
      <c r="D3385" s="103"/>
      <c r="E3385" s="1137"/>
      <c r="F3385" s="112"/>
      <c r="G3385" s="1110"/>
      <c r="H3385" s="1138"/>
      <c r="I3385" s="1138"/>
      <c r="J3385" s="1139"/>
      <c r="K3385" s="1111"/>
      <c r="L3385" s="1112"/>
      <c r="M3385" s="1113"/>
      <c r="N3385" s="110"/>
      <c r="O3385" s="1140"/>
      <c r="P3385" s="1115"/>
      <c r="Q3385" s="1116"/>
      <c r="R3385" s="1141"/>
      <c r="S3385" s="1113"/>
      <c r="T3385" s="1143"/>
      <c r="U3385" s="1108"/>
      <c r="V3385" s="1108"/>
      <c r="W3385" s="1108"/>
      <c r="X3385" s="1108"/>
      <c r="Y3385" s="1108"/>
      <c r="Z3385" s="1114"/>
      <c r="AA3385" s="1114"/>
      <c r="AB3385" s="1114"/>
      <c r="AC3385" s="1117"/>
      <c r="AD3385" s="1115"/>
      <c r="AE3385" s="1115"/>
      <c r="AF3385" s="1115"/>
      <c r="AG3385" s="1115"/>
      <c r="AH3385" s="1115"/>
      <c r="AI3385" s="1115"/>
      <c r="AJ3385" s="1117"/>
      <c r="AK3385" s="1118"/>
      <c r="AL3385" s="1115"/>
      <c r="AM3385" s="1115"/>
      <c r="AN3385" s="1115"/>
      <c r="AO3385" s="1115"/>
      <c r="AP3385" s="1115"/>
      <c r="AQ3385" s="1115"/>
      <c r="AR3385" s="1115"/>
      <c r="AS3385" s="1117"/>
      <c r="AT3385" s="1075"/>
      <c r="AU3385" s="1193"/>
      <c r="AV3385" s="330"/>
      <c r="AW3385" s="331"/>
      <c r="AX3385" s="331"/>
      <c r="AY3385" s="331"/>
      <c r="AZ3385" s="331"/>
      <c r="BA3385" s="331"/>
      <c r="BB3385" s="331"/>
      <c r="BC3385" s="331"/>
      <c r="BD3385" s="331"/>
      <c r="BE3385" s="333"/>
      <c r="BF3385" s="330"/>
      <c r="BG3385" s="333"/>
      <c r="BH3385" s="1119"/>
      <c r="BI3385" s="319"/>
      <c r="BJ3385" s="319"/>
      <c r="BK3385" s="319"/>
      <c r="BL3385" s="319"/>
      <c r="BM3385" s="319"/>
      <c r="BN3385" s="319"/>
      <c r="BO3385" s="319"/>
      <c r="BP3385" s="953"/>
      <c r="BQ3385" s="319"/>
      <c r="BR3385" s="319"/>
      <c r="BS3385" s="330"/>
      <c r="BT3385" s="331"/>
      <c r="BU3385" s="920"/>
      <c r="BV3385" s="903"/>
      <c r="BW3385" s="908"/>
      <c r="BX3385" s="908"/>
      <c r="BY3385" s="331"/>
      <c r="BZ3385" s="331"/>
      <c r="CA3385" s="462"/>
      <c r="CB3385" s="319"/>
      <c r="CC3385" s="319"/>
      <c r="CD3385" s="319"/>
      <c r="CE3385" s="319"/>
      <c r="CF3385" s="319"/>
      <c r="CG3385" s="319"/>
      <c r="CH3385" s="318"/>
      <c r="CI3385" s="319"/>
      <c r="CJ3385" s="319"/>
      <c r="CK3385" s="342"/>
      <c r="CL3385" s="333"/>
      <c r="CM3385" s="1079"/>
      <c r="CN3385" s="1005"/>
      <c r="CO3385" s="1005"/>
      <c r="CP3385" s="1005"/>
    </row>
    <row r="3386">
      <c r="A3386" s="1257"/>
      <c r="B3386" s="1113"/>
      <c r="C3386" s="1107"/>
      <c r="D3386" s="103"/>
      <c r="E3386" s="1137"/>
      <c r="F3386" s="112"/>
      <c r="G3386" s="1110"/>
      <c r="H3386" s="1138"/>
      <c r="I3386" s="1138"/>
      <c r="J3386" s="1139"/>
      <c r="K3386" s="1111"/>
      <c r="L3386" s="1112"/>
      <c r="M3386" s="1113"/>
      <c r="N3386" s="110"/>
      <c r="O3386" s="1140"/>
      <c r="P3386" s="1115"/>
      <c r="Q3386" s="1116"/>
      <c r="R3386" s="1141"/>
      <c r="S3386" s="1113"/>
      <c r="T3386" s="1143"/>
      <c r="U3386" s="1108"/>
      <c r="V3386" s="1108"/>
      <c r="W3386" s="1108"/>
      <c r="X3386" s="1108"/>
      <c r="Y3386" s="1108"/>
      <c r="Z3386" s="1114"/>
      <c r="AA3386" s="1114"/>
      <c r="AB3386" s="1114"/>
      <c r="AC3386" s="1117"/>
      <c r="AD3386" s="1115"/>
      <c r="AE3386" s="1115"/>
      <c r="AF3386" s="1115"/>
      <c r="AG3386" s="1115"/>
      <c r="AH3386" s="1115"/>
      <c r="AI3386" s="1115"/>
      <c r="AJ3386" s="1117"/>
      <c r="AK3386" s="1118"/>
      <c r="AL3386" s="1115"/>
      <c r="AM3386" s="1115"/>
      <c r="AN3386" s="1115"/>
      <c r="AO3386" s="1115"/>
      <c r="AP3386" s="1115"/>
      <c r="AQ3386" s="1115"/>
      <c r="AR3386" s="1115"/>
      <c r="AS3386" s="1117"/>
      <c r="AT3386" s="1075"/>
      <c r="AU3386" s="1193"/>
      <c r="AV3386" s="330"/>
      <c r="AW3386" s="331"/>
      <c r="AX3386" s="331"/>
      <c r="AY3386" s="331"/>
      <c r="AZ3386" s="331"/>
      <c r="BA3386" s="331"/>
      <c r="BB3386" s="331"/>
      <c r="BC3386" s="331"/>
      <c r="BD3386" s="331"/>
      <c r="BE3386" s="333"/>
      <c r="BF3386" s="330"/>
      <c r="BG3386" s="333"/>
      <c r="BH3386" s="1119"/>
      <c r="BI3386" s="319"/>
      <c r="BJ3386" s="319"/>
      <c r="BK3386" s="319"/>
      <c r="BL3386" s="319"/>
      <c r="BM3386" s="319"/>
      <c r="BN3386" s="319"/>
      <c r="BO3386" s="319"/>
      <c r="BP3386" s="953"/>
      <c r="BQ3386" s="319"/>
      <c r="BR3386" s="319"/>
      <c r="BS3386" s="330"/>
      <c r="BT3386" s="331"/>
      <c r="BU3386" s="920"/>
      <c r="BV3386" s="903"/>
      <c r="BW3386" s="908"/>
      <c r="BX3386" s="908"/>
      <c r="BY3386" s="331"/>
      <c r="BZ3386" s="331"/>
      <c r="CA3386" s="462"/>
      <c r="CB3386" s="319"/>
      <c r="CC3386" s="319"/>
      <c r="CD3386" s="319"/>
      <c r="CE3386" s="319"/>
      <c r="CF3386" s="319"/>
      <c r="CG3386" s="319"/>
      <c r="CH3386" s="318"/>
      <c r="CI3386" s="319"/>
      <c r="CJ3386" s="319"/>
      <c r="CK3386" s="342"/>
      <c r="CL3386" s="333"/>
      <c r="CM3386" s="1079"/>
      <c r="CN3386" s="1005"/>
      <c r="CO3386" s="1005"/>
      <c r="CP3386" s="1005"/>
    </row>
    <row r="3387">
      <c r="A3387" s="1257"/>
      <c r="B3387" s="1113"/>
      <c r="C3387" s="1107"/>
      <c r="D3387" s="103"/>
      <c r="E3387" s="1137"/>
      <c r="F3387" s="112"/>
      <c r="G3387" s="1110"/>
      <c r="H3387" s="1138"/>
      <c r="I3387" s="1138"/>
      <c r="J3387" s="1139"/>
      <c r="K3387" s="1111"/>
      <c r="L3387" s="1112"/>
      <c r="M3387" s="1113"/>
      <c r="N3387" s="110"/>
      <c r="O3387" s="1140"/>
      <c r="P3387" s="1115"/>
      <c r="Q3387" s="1116"/>
      <c r="R3387" s="1141"/>
      <c r="S3387" s="1113"/>
      <c r="T3387" s="1143"/>
      <c r="U3387" s="1108"/>
      <c r="V3387" s="1108"/>
      <c r="W3387" s="1108"/>
      <c r="X3387" s="1108"/>
      <c r="Y3387" s="1108"/>
      <c r="Z3387" s="1114"/>
      <c r="AA3387" s="1114"/>
      <c r="AB3387" s="1114"/>
      <c r="AC3387" s="1117"/>
      <c r="AD3387" s="1115"/>
      <c r="AE3387" s="1115"/>
      <c r="AF3387" s="1115"/>
      <c r="AG3387" s="1115"/>
      <c r="AH3387" s="1115"/>
      <c r="AI3387" s="1115"/>
      <c r="AJ3387" s="1117"/>
      <c r="AK3387" s="1118"/>
      <c r="AL3387" s="1115"/>
      <c r="AM3387" s="1115"/>
      <c r="AN3387" s="1115"/>
      <c r="AO3387" s="1115"/>
      <c r="AP3387" s="1115"/>
      <c r="AQ3387" s="1115"/>
      <c r="AR3387" s="1115"/>
      <c r="AS3387" s="1117"/>
      <c r="AT3387" s="1075"/>
      <c r="AU3387" s="1193"/>
      <c r="AV3387" s="330"/>
      <c r="AW3387" s="331"/>
      <c r="AX3387" s="331"/>
      <c r="AY3387" s="331"/>
      <c r="AZ3387" s="331"/>
      <c r="BA3387" s="331"/>
      <c r="BB3387" s="331"/>
      <c r="BC3387" s="331"/>
      <c r="BD3387" s="331"/>
      <c r="BE3387" s="333"/>
      <c r="BF3387" s="330"/>
      <c r="BG3387" s="333"/>
      <c r="BH3387" s="1119"/>
      <c r="BI3387" s="319"/>
      <c r="BJ3387" s="319"/>
      <c r="BK3387" s="319"/>
      <c r="BL3387" s="319"/>
      <c r="BM3387" s="319"/>
      <c r="BN3387" s="319"/>
      <c r="BO3387" s="319"/>
      <c r="BP3387" s="953"/>
      <c r="BQ3387" s="319"/>
      <c r="BR3387" s="319"/>
      <c r="BS3387" s="330"/>
      <c r="BT3387" s="331"/>
      <c r="BU3387" s="920"/>
      <c r="BV3387" s="903"/>
      <c r="BW3387" s="908"/>
      <c r="BX3387" s="908"/>
      <c r="BY3387" s="331"/>
      <c r="BZ3387" s="331"/>
      <c r="CA3387" s="462"/>
      <c r="CB3387" s="319"/>
      <c r="CC3387" s="319"/>
      <c r="CD3387" s="319"/>
      <c r="CE3387" s="319"/>
      <c r="CF3387" s="319"/>
      <c r="CG3387" s="319"/>
      <c r="CH3387" s="318"/>
      <c r="CI3387" s="319"/>
      <c r="CJ3387" s="319"/>
      <c r="CK3387" s="342"/>
      <c r="CL3387" s="333"/>
      <c r="CM3387" s="1079"/>
      <c r="CN3387" s="1005"/>
      <c r="CO3387" s="1005"/>
      <c r="CP3387" s="1005"/>
    </row>
    <row r="3388">
      <c r="A3388" s="1257"/>
      <c r="B3388" s="1113"/>
      <c r="C3388" s="1107"/>
      <c r="D3388" s="103"/>
      <c r="E3388" s="1137"/>
      <c r="F3388" s="112"/>
      <c r="G3388" s="1110"/>
      <c r="H3388" s="1138"/>
      <c r="I3388" s="1138"/>
      <c r="J3388" s="1139"/>
      <c r="K3388" s="1111"/>
      <c r="L3388" s="1112"/>
      <c r="M3388" s="1113"/>
      <c r="N3388" s="110"/>
      <c r="O3388" s="1140"/>
      <c r="P3388" s="1115"/>
      <c r="Q3388" s="1116"/>
      <c r="R3388" s="1141"/>
      <c r="S3388" s="1113"/>
      <c r="T3388" s="1143"/>
      <c r="U3388" s="1108"/>
      <c r="V3388" s="1108"/>
      <c r="W3388" s="1108"/>
      <c r="X3388" s="1108"/>
      <c r="Y3388" s="1108"/>
      <c r="Z3388" s="1114"/>
      <c r="AA3388" s="1114"/>
      <c r="AB3388" s="1114"/>
      <c r="AC3388" s="1117"/>
      <c r="AD3388" s="1115"/>
      <c r="AE3388" s="1115"/>
      <c r="AF3388" s="1115"/>
      <c r="AG3388" s="1115"/>
      <c r="AH3388" s="1115"/>
      <c r="AI3388" s="1115"/>
      <c r="AJ3388" s="1117"/>
      <c r="AK3388" s="1118"/>
      <c r="AL3388" s="1115"/>
      <c r="AM3388" s="1115"/>
      <c r="AN3388" s="1115"/>
      <c r="AO3388" s="1115"/>
      <c r="AP3388" s="1115"/>
      <c r="AQ3388" s="1115"/>
      <c r="AR3388" s="1115"/>
      <c r="AS3388" s="1117"/>
      <c r="AT3388" s="1075"/>
      <c r="AU3388" s="1193"/>
      <c r="AV3388" s="330"/>
      <c r="AW3388" s="331"/>
      <c r="AX3388" s="331"/>
      <c r="AY3388" s="331"/>
      <c r="AZ3388" s="331"/>
      <c r="BA3388" s="331"/>
      <c r="BB3388" s="331"/>
      <c r="BC3388" s="331"/>
      <c r="BD3388" s="331"/>
      <c r="BE3388" s="333"/>
      <c r="BF3388" s="330"/>
      <c r="BG3388" s="333"/>
      <c r="BH3388" s="1119"/>
      <c r="BI3388" s="319"/>
      <c r="BJ3388" s="319"/>
      <c r="BK3388" s="319"/>
      <c r="BL3388" s="319"/>
      <c r="BM3388" s="319"/>
      <c r="BN3388" s="319"/>
      <c r="BO3388" s="319"/>
      <c r="BP3388" s="953"/>
      <c r="BQ3388" s="319"/>
      <c r="BR3388" s="319"/>
      <c r="BS3388" s="330"/>
      <c r="BT3388" s="331"/>
      <c r="BU3388" s="920"/>
      <c r="BV3388" s="903"/>
      <c r="BW3388" s="908"/>
      <c r="BX3388" s="908"/>
      <c r="BY3388" s="331"/>
      <c r="BZ3388" s="331"/>
      <c r="CA3388" s="462"/>
      <c r="CB3388" s="319"/>
      <c r="CC3388" s="319"/>
      <c r="CD3388" s="319"/>
      <c r="CE3388" s="319"/>
      <c r="CF3388" s="319"/>
      <c r="CG3388" s="319"/>
      <c r="CH3388" s="318"/>
      <c r="CI3388" s="319"/>
      <c r="CJ3388" s="319"/>
      <c r="CK3388" s="342"/>
      <c r="CL3388" s="333"/>
      <c r="CM3388" s="1079"/>
      <c r="CN3388" s="1005"/>
      <c r="CO3388" s="1005"/>
      <c r="CP3388" s="1005"/>
    </row>
    <row r="3389">
      <c r="A3389" s="1257"/>
      <c r="B3389" s="1113"/>
      <c r="C3389" s="1107"/>
      <c r="D3389" s="103"/>
      <c r="E3389" s="1137"/>
      <c r="F3389" s="112"/>
      <c r="G3389" s="1110"/>
      <c r="H3389" s="1138"/>
      <c r="I3389" s="1138"/>
      <c r="J3389" s="1139"/>
      <c r="K3389" s="1111"/>
      <c r="L3389" s="1112"/>
      <c r="M3389" s="1113"/>
      <c r="N3389" s="110"/>
      <c r="O3389" s="1140"/>
      <c r="P3389" s="1115"/>
      <c r="Q3389" s="1116"/>
      <c r="R3389" s="1141"/>
      <c r="S3389" s="1113"/>
      <c r="T3389" s="1143"/>
      <c r="U3389" s="1108"/>
      <c r="V3389" s="1108"/>
      <c r="W3389" s="1108"/>
      <c r="X3389" s="1108"/>
      <c r="Y3389" s="1108"/>
      <c r="Z3389" s="1114"/>
      <c r="AA3389" s="1114"/>
      <c r="AB3389" s="1114"/>
      <c r="AC3389" s="1117"/>
      <c r="AD3389" s="1115"/>
      <c r="AE3389" s="1115"/>
      <c r="AF3389" s="1115"/>
      <c r="AG3389" s="1115"/>
      <c r="AH3389" s="1115"/>
      <c r="AI3389" s="1115"/>
      <c r="AJ3389" s="1117"/>
      <c r="AK3389" s="1118"/>
      <c r="AL3389" s="1115"/>
      <c r="AM3389" s="1115"/>
      <c r="AN3389" s="1115"/>
      <c r="AO3389" s="1115"/>
      <c r="AP3389" s="1115"/>
      <c r="AQ3389" s="1115"/>
      <c r="AR3389" s="1115"/>
      <c r="AS3389" s="1117"/>
      <c r="AT3389" s="1075"/>
      <c r="AU3389" s="1193"/>
      <c r="AV3389" s="330"/>
      <c r="AW3389" s="331"/>
      <c r="AX3389" s="331"/>
      <c r="AY3389" s="331"/>
      <c r="AZ3389" s="331"/>
      <c r="BA3389" s="331"/>
      <c r="BB3389" s="331"/>
      <c r="BC3389" s="331"/>
      <c r="BD3389" s="331"/>
      <c r="BE3389" s="333"/>
      <c r="BF3389" s="330"/>
      <c r="BG3389" s="333"/>
      <c r="BH3389" s="1119"/>
      <c r="BI3389" s="319"/>
      <c r="BJ3389" s="319"/>
      <c r="BK3389" s="319"/>
      <c r="BL3389" s="319"/>
      <c r="BM3389" s="319"/>
      <c r="BN3389" s="319"/>
      <c r="BO3389" s="319"/>
      <c r="BP3389" s="953"/>
      <c r="BQ3389" s="319"/>
      <c r="BR3389" s="319"/>
      <c r="BS3389" s="330"/>
      <c r="BT3389" s="331"/>
      <c r="BU3389" s="920"/>
      <c r="BV3389" s="903"/>
      <c r="BW3389" s="908"/>
      <c r="BX3389" s="908"/>
      <c r="BY3389" s="331"/>
      <c r="BZ3389" s="331"/>
      <c r="CA3389" s="462"/>
      <c r="CB3389" s="319"/>
      <c r="CC3389" s="319"/>
      <c r="CD3389" s="319"/>
      <c r="CE3389" s="319"/>
      <c r="CF3389" s="319"/>
      <c r="CG3389" s="319"/>
      <c r="CH3389" s="318"/>
      <c r="CI3389" s="319"/>
      <c r="CJ3389" s="319"/>
      <c r="CK3389" s="342"/>
      <c r="CL3389" s="333"/>
      <c r="CM3389" s="1079"/>
      <c r="CN3389" s="1005"/>
      <c r="CO3389" s="1005"/>
      <c r="CP3389" s="1005"/>
    </row>
    <row r="3390">
      <c r="A3390" s="1257"/>
      <c r="B3390" s="1113"/>
      <c r="C3390" s="1107"/>
      <c r="D3390" s="103"/>
      <c r="E3390" s="1137"/>
      <c r="F3390" s="112"/>
      <c r="G3390" s="1110"/>
      <c r="H3390" s="1138"/>
      <c r="I3390" s="1138"/>
      <c r="J3390" s="1139"/>
      <c r="K3390" s="1111"/>
      <c r="L3390" s="1112"/>
      <c r="M3390" s="1113"/>
      <c r="N3390" s="110"/>
      <c r="O3390" s="1140"/>
      <c r="P3390" s="1115"/>
      <c r="Q3390" s="1116"/>
      <c r="R3390" s="1141"/>
      <c r="S3390" s="1113"/>
      <c r="T3390" s="1143"/>
      <c r="U3390" s="1108"/>
      <c r="V3390" s="1108"/>
      <c r="W3390" s="1108"/>
      <c r="X3390" s="1108"/>
      <c r="Y3390" s="1108"/>
      <c r="Z3390" s="1114"/>
      <c r="AA3390" s="1114"/>
      <c r="AB3390" s="1114"/>
      <c r="AC3390" s="1117"/>
      <c r="AD3390" s="1115"/>
      <c r="AE3390" s="1115"/>
      <c r="AF3390" s="1115"/>
      <c r="AG3390" s="1115"/>
      <c r="AH3390" s="1115"/>
      <c r="AI3390" s="1115"/>
      <c r="AJ3390" s="1117"/>
      <c r="AK3390" s="1118"/>
      <c r="AL3390" s="1115"/>
      <c r="AM3390" s="1115"/>
      <c r="AN3390" s="1115"/>
      <c r="AO3390" s="1115"/>
      <c r="AP3390" s="1115"/>
      <c r="AQ3390" s="1115"/>
      <c r="AR3390" s="1115"/>
      <c r="AS3390" s="1117"/>
      <c r="AT3390" s="1075"/>
      <c r="AU3390" s="1193"/>
      <c r="AV3390" s="330"/>
      <c r="AW3390" s="331"/>
      <c r="AX3390" s="331"/>
      <c r="AY3390" s="331"/>
      <c r="AZ3390" s="331"/>
      <c r="BA3390" s="331"/>
      <c r="BB3390" s="331"/>
      <c r="BC3390" s="331"/>
      <c r="BD3390" s="331"/>
      <c r="BE3390" s="333"/>
      <c r="BF3390" s="330"/>
      <c r="BG3390" s="333"/>
      <c r="BH3390" s="1119"/>
      <c r="BI3390" s="319"/>
      <c r="BJ3390" s="319"/>
      <c r="BK3390" s="319"/>
      <c r="BL3390" s="319"/>
      <c r="BM3390" s="319"/>
      <c r="BN3390" s="319"/>
      <c r="BO3390" s="319"/>
      <c r="BP3390" s="953"/>
      <c r="BQ3390" s="319"/>
      <c r="BR3390" s="319"/>
      <c r="BS3390" s="330"/>
      <c r="BT3390" s="331"/>
      <c r="BU3390" s="920"/>
      <c r="BV3390" s="903"/>
      <c r="BW3390" s="908"/>
      <c r="BX3390" s="908"/>
      <c r="BY3390" s="331"/>
      <c r="BZ3390" s="331"/>
      <c r="CA3390" s="462"/>
      <c r="CB3390" s="319"/>
      <c r="CC3390" s="319"/>
      <c r="CD3390" s="319"/>
      <c r="CE3390" s="319"/>
      <c r="CF3390" s="319"/>
      <c r="CG3390" s="319"/>
      <c r="CH3390" s="318"/>
      <c r="CI3390" s="319"/>
      <c r="CJ3390" s="319"/>
      <c r="CK3390" s="342"/>
      <c r="CL3390" s="333"/>
      <c r="CM3390" s="1079"/>
      <c r="CN3390" s="1005"/>
      <c r="CO3390" s="1005"/>
      <c r="CP3390" s="1005"/>
    </row>
    <row r="3391">
      <c r="A3391" s="1257"/>
      <c r="B3391" s="1113"/>
      <c r="C3391" s="1107"/>
      <c r="D3391" s="103"/>
      <c r="E3391" s="1137"/>
      <c r="F3391" s="112"/>
      <c r="G3391" s="1110"/>
      <c r="H3391" s="1138"/>
      <c r="I3391" s="1138"/>
      <c r="J3391" s="1139"/>
      <c r="K3391" s="1111"/>
      <c r="L3391" s="1112"/>
      <c r="M3391" s="1113"/>
      <c r="N3391" s="110"/>
      <c r="O3391" s="1140"/>
      <c r="P3391" s="1115"/>
      <c r="Q3391" s="1116"/>
      <c r="R3391" s="1141"/>
      <c r="S3391" s="1113"/>
      <c r="T3391" s="1143"/>
      <c r="U3391" s="1108"/>
      <c r="V3391" s="1108"/>
      <c r="W3391" s="1108"/>
      <c r="X3391" s="1108"/>
      <c r="Y3391" s="1108"/>
      <c r="Z3391" s="1114"/>
      <c r="AA3391" s="1114"/>
      <c r="AB3391" s="1114"/>
      <c r="AC3391" s="1117"/>
      <c r="AD3391" s="1115"/>
      <c r="AE3391" s="1115"/>
      <c r="AF3391" s="1115"/>
      <c r="AG3391" s="1115"/>
      <c r="AH3391" s="1115"/>
      <c r="AI3391" s="1115"/>
      <c r="AJ3391" s="1117"/>
      <c r="AK3391" s="1118"/>
      <c r="AL3391" s="1115"/>
      <c r="AM3391" s="1115"/>
      <c r="AN3391" s="1115"/>
      <c r="AO3391" s="1115"/>
      <c r="AP3391" s="1115"/>
      <c r="AQ3391" s="1115"/>
      <c r="AR3391" s="1115"/>
      <c r="AS3391" s="1117"/>
      <c r="AT3391" s="1075"/>
      <c r="AU3391" s="1193"/>
      <c r="AV3391" s="330"/>
      <c r="AW3391" s="331"/>
      <c r="AX3391" s="331"/>
      <c r="AY3391" s="331"/>
      <c r="AZ3391" s="331"/>
      <c r="BA3391" s="331"/>
      <c r="BB3391" s="331"/>
      <c r="BC3391" s="331"/>
      <c r="BD3391" s="331"/>
      <c r="BE3391" s="333"/>
      <c r="BF3391" s="330"/>
      <c r="BG3391" s="333"/>
      <c r="BH3391" s="1119"/>
      <c r="BI3391" s="319"/>
      <c r="BJ3391" s="319"/>
      <c r="BK3391" s="319"/>
      <c r="BL3391" s="319"/>
      <c r="BM3391" s="319"/>
      <c r="BN3391" s="319"/>
      <c r="BO3391" s="319"/>
      <c r="BP3391" s="953"/>
      <c r="BQ3391" s="319"/>
      <c r="BR3391" s="319"/>
      <c r="BS3391" s="330"/>
      <c r="BT3391" s="331"/>
      <c r="BU3391" s="920"/>
      <c r="BV3391" s="903"/>
      <c r="BW3391" s="908"/>
      <c r="BX3391" s="908"/>
      <c r="BY3391" s="331"/>
      <c r="BZ3391" s="331"/>
      <c r="CA3391" s="462"/>
      <c r="CB3391" s="319"/>
      <c r="CC3391" s="319"/>
      <c r="CD3391" s="319"/>
      <c r="CE3391" s="319"/>
      <c r="CF3391" s="319"/>
      <c r="CG3391" s="319"/>
      <c r="CH3391" s="318"/>
      <c r="CI3391" s="319"/>
      <c r="CJ3391" s="319"/>
      <c r="CK3391" s="342"/>
      <c r="CL3391" s="333"/>
      <c r="CM3391" s="1079"/>
      <c r="CN3391" s="1005"/>
      <c r="CO3391" s="1005"/>
      <c r="CP3391" s="1005"/>
    </row>
    <row r="3392">
      <c r="A3392" s="1257"/>
      <c r="B3392" s="1113"/>
      <c r="C3392" s="1107"/>
      <c r="D3392" s="103"/>
      <c r="E3392" s="1137"/>
      <c r="F3392" s="112"/>
      <c r="G3392" s="1110"/>
      <c r="H3392" s="1138"/>
      <c r="I3392" s="1138"/>
      <c r="J3392" s="1139"/>
      <c r="K3392" s="1111"/>
      <c r="L3392" s="1112"/>
      <c r="M3392" s="1113"/>
      <c r="N3392" s="110"/>
      <c r="O3392" s="1140"/>
      <c r="P3392" s="1115"/>
      <c r="Q3392" s="1116"/>
      <c r="R3392" s="1141"/>
      <c r="S3392" s="1113"/>
      <c r="T3392" s="1143"/>
      <c r="U3392" s="1108"/>
      <c r="V3392" s="1108"/>
      <c r="W3392" s="1108"/>
      <c r="X3392" s="1108"/>
      <c r="Y3392" s="1108"/>
      <c r="Z3392" s="1114"/>
      <c r="AA3392" s="1114"/>
      <c r="AB3392" s="1114"/>
      <c r="AC3392" s="1117"/>
      <c r="AD3392" s="1115"/>
      <c r="AE3392" s="1115"/>
      <c r="AF3392" s="1115"/>
      <c r="AG3392" s="1115"/>
      <c r="AH3392" s="1115"/>
      <c r="AI3392" s="1115"/>
      <c r="AJ3392" s="1117"/>
      <c r="AK3392" s="1118"/>
      <c r="AL3392" s="1115"/>
      <c r="AM3392" s="1115"/>
      <c r="AN3392" s="1115"/>
      <c r="AO3392" s="1115"/>
      <c r="AP3392" s="1115"/>
      <c r="AQ3392" s="1115"/>
      <c r="AR3392" s="1115"/>
      <c r="AS3392" s="1117"/>
      <c r="AT3392" s="1075"/>
      <c r="AU3392" s="1193"/>
      <c r="AV3392" s="330"/>
      <c r="AW3392" s="331"/>
      <c r="AX3392" s="331"/>
      <c r="AY3392" s="331"/>
      <c r="AZ3392" s="331"/>
      <c r="BA3392" s="331"/>
      <c r="BB3392" s="331"/>
      <c r="BC3392" s="331"/>
      <c r="BD3392" s="331"/>
      <c r="BE3392" s="333"/>
      <c r="BF3392" s="330"/>
      <c r="BG3392" s="333"/>
      <c r="BH3392" s="1119"/>
      <c r="BI3392" s="319"/>
      <c r="BJ3392" s="319"/>
      <c r="BK3392" s="319"/>
      <c r="BL3392" s="319"/>
      <c r="BM3392" s="319"/>
      <c r="BN3392" s="319"/>
      <c r="BO3392" s="319"/>
      <c r="BP3392" s="953"/>
      <c r="BQ3392" s="319"/>
      <c r="BR3392" s="319"/>
      <c r="BS3392" s="330"/>
      <c r="BT3392" s="331"/>
      <c r="BU3392" s="920"/>
      <c r="BV3392" s="903"/>
      <c r="BW3392" s="908"/>
      <c r="BX3392" s="908"/>
      <c r="BY3392" s="331"/>
      <c r="BZ3392" s="331"/>
      <c r="CA3392" s="462"/>
      <c r="CB3392" s="319"/>
      <c r="CC3392" s="319"/>
      <c r="CD3392" s="319"/>
      <c r="CE3392" s="319"/>
      <c r="CF3392" s="319"/>
      <c r="CG3392" s="319"/>
      <c r="CH3392" s="318"/>
      <c r="CI3392" s="319"/>
      <c r="CJ3392" s="319"/>
      <c r="CK3392" s="342"/>
      <c r="CL3392" s="333"/>
      <c r="CM3392" s="1079"/>
      <c r="CN3392" s="1005"/>
      <c r="CO3392" s="1005"/>
      <c r="CP3392" s="1005"/>
    </row>
    <row r="3393">
      <c r="A3393" s="1257"/>
      <c r="B3393" s="1113"/>
      <c r="C3393" s="1107"/>
      <c r="D3393" s="103"/>
      <c r="E3393" s="1137"/>
      <c r="F3393" s="112"/>
      <c r="G3393" s="1110"/>
      <c r="H3393" s="1138"/>
      <c r="I3393" s="1138"/>
      <c r="J3393" s="1139"/>
      <c r="K3393" s="1111"/>
      <c r="L3393" s="1112"/>
      <c r="M3393" s="1113"/>
      <c r="N3393" s="110"/>
      <c r="O3393" s="1140"/>
      <c r="P3393" s="1115"/>
      <c r="Q3393" s="1116"/>
      <c r="R3393" s="1141"/>
      <c r="S3393" s="1113"/>
      <c r="T3393" s="1143"/>
      <c r="U3393" s="1108"/>
      <c r="V3393" s="1108"/>
      <c r="W3393" s="1108"/>
      <c r="X3393" s="1108"/>
      <c r="Y3393" s="1108"/>
      <c r="Z3393" s="1114"/>
      <c r="AA3393" s="1114"/>
      <c r="AB3393" s="1114"/>
      <c r="AC3393" s="1117"/>
      <c r="AD3393" s="1115"/>
      <c r="AE3393" s="1115"/>
      <c r="AF3393" s="1115"/>
      <c r="AG3393" s="1115"/>
      <c r="AH3393" s="1115"/>
      <c r="AI3393" s="1115"/>
      <c r="AJ3393" s="1117"/>
      <c r="AK3393" s="1118"/>
      <c r="AL3393" s="1115"/>
      <c r="AM3393" s="1115"/>
      <c r="AN3393" s="1115"/>
      <c r="AO3393" s="1115"/>
      <c r="AP3393" s="1115"/>
      <c r="AQ3393" s="1115"/>
      <c r="AR3393" s="1115"/>
      <c r="AS3393" s="1117"/>
      <c r="AT3393" s="1075"/>
      <c r="AU3393" s="1193"/>
      <c r="AV3393" s="330"/>
      <c r="AW3393" s="331"/>
      <c r="AX3393" s="331"/>
      <c r="AY3393" s="331"/>
      <c r="AZ3393" s="331"/>
      <c r="BA3393" s="331"/>
      <c r="BB3393" s="331"/>
      <c r="BC3393" s="331"/>
      <c r="BD3393" s="331"/>
      <c r="BE3393" s="333"/>
      <c r="BF3393" s="330"/>
      <c r="BG3393" s="333"/>
      <c r="BH3393" s="1119"/>
      <c r="BI3393" s="319"/>
      <c r="BJ3393" s="319"/>
      <c r="BK3393" s="319"/>
      <c r="BL3393" s="319"/>
      <c r="BM3393" s="319"/>
      <c r="BN3393" s="319"/>
      <c r="BO3393" s="319"/>
      <c r="BP3393" s="953"/>
      <c r="BQ3393" s="319"/>
      <c r="BR3393" s="319"/>
      <c r="BS3393" s="330"/>
      <c r="BT3393" s="331"/>
      <c r="BU3393" s="920"/>
      <c r="BV3393" s="903"/>
      <c r="BW3393" s="908"/>
      <c r="BX3393" s="908"/>
      <c r="BY3393" s="331"/>
      <c r="BZ3393" s="331"/>
      <c r="CA3393" s="462"/>
      <c r="CB3393" s="319"/>
      <c r="CC3393" s="319"/>
      <c r="CD3393" s="319"/>
      <c r="CE3393" s="319"/>
      <c r="CF3393" s="319"/>
      <c r="CG3393" s="319"/>
      <c r="CH3393" s="318"/>
      <c r="CI3393" s="319"/>
      <c r="CJ3393" s="319"/>
      <c r="CK3393" s="342"/>
      <c r="CL3393" s="333"/>
      <c r="CM3393" s="1079"/>
      <c r="CN3393" s="1005"/>
      <c r="CO3393" s="1005"/>
      <c r="CP3393" s="1005"/>
    </row>
    <row r="3394">
      <c r="A3394" s="1257"/>
      <c r="B3394" s="1113"/>
      <c r="C3394" s="1107"/>
      <c r="D3394" s="103"/>
      <c r="E3394" s="1137"/>
      <c r="F3394" s="112"/>
      <c r="G3394" s="1110"/>
      <c r="H3394" s="1138"/>
      <c r="I3394" s="1138"/>
      <c r="J3394" s="1139"/>
      <c r="K3394" s="1111"/>
      <c r="L3394" s="1112"/>
      <c r="M3394" s="1113"/>
      <c r="N3394" s="110"/>
      <c r="O3394" s="1140"/>
      <c r="P3394" s="1115"/>
      <c r="Q3394" s="1116"/>
      <c r="R3394" s="1141"/>
      <c r="S3394" s="1113"/>
      <c r="T3394" s="1143"/>
      <c r="U3394" s="1108"/>
      <c r="V3394" s="1108"/>
      <c r="W3394" s="1108"/>
      <c r="X3394" s="1108"/>
      <c r="Y3394" s="1108"/>
      <c r="Z3394" s="1114"/>
      <c r="AA3394" s="1114"/>
      <c r="AB3394" s="1114"/>
      <c r="AC3394" s="1117"/>
      <c r="AD3394" s="1115"/>
      <c r="AE3394" s="1115"/>
      <c r="AF3394" s="1115"/>
      <c r="AG3394" s="1115"/>
      <c r="AH3394" s="1115"/>
      <c r="AI3394" s="1115"/>
      <c r="AJ3394" s="1117"/>
      <c r="AK3394" s="1118"/>
      <c r="AL3394" s="1115"/>
      <c r="AM3394" s="1115"/>
      <c r="AN3394" s="1115"/>
      <c r="AO3394" s="1115"/>
      <c r="AP3394" s="1115"/>
      <c r="AQ3394" s="1115"/>
      <c r="AR3394" s="1115"/>
      <c r="AS3394" s="1117"/>
      <c r="AT3394" s="1075"/>
      <c r="AU3394" s="1193"/>
      <c r="AV3394" s="330"/>
      <c r="AW3394" s="331"/>
      <c r="AX3394" s="331"/>
      <c r="AY3394" s="331"/>
      <c r="AZ3394" s="331"/>
      <c r="BA3394" s="331"/>
      <c r="BB3394" s="331"/>
      <c r="BC3394" s="331"/>
      <c r="BD3394" s="331"/>
      <c r="BE3394" s="333"/>
      <c r="BF3394" s="330"/>
      <c r="BG3394" s="333"/>
      <c r="BH3394" s="1119"/>
      <c r="BI3394" s="319"/>
      <c r="BJ3394" s="319"/>
      <c r="BK3394" s="319"/>
      <c r="BL3394" s="319"/>
      <c r="BM3394" s="319"/>
      <c r="BN3394" s="319"/>
      <c r="BO3394" s="319"/>
      <c r="BP3394" s="953"/>
      <c r="BQ3394" s="319"/>
      <c r="BR3394" s="319"/>
      <c r="BS3394" s="330"/>
      <c r="BT3394" s="331"/>
      <c r="BU3394" s="920"/>
      <c r="BV3394" s="903"/>
      <c r="BW3394" s="908"/>
      <c r="BX3394" s="908"/>
      <c r="BY3394" s="331"/>
      <c r="BZ3394" s="331"/>
      <c r="CA3394" s="462"/>
      <c r="CB3394" s="319"/>
      <c r="CC3394" s="319"/>
      <c r="CD3394" s="319"/>
      <c r="CE3394" s="319"/>
      <c r="CF3394" s="319"/>
      <c r="CG3394" s="319"/>
      <c r="CH3394" s="318"/>
      <c r="CI3394" s="319"/>
      <c r="CJ3394" s="319"/>
      <c r="CK3394" s="342"/>
      <c r="CL3394" s="333"/>
      <c r="CM3394" s="1079"/>
      <c r="CN3394" s="1005"/>
      <c r="CO3394" s="1005"/>
      <c r="CP3394" s="1005"/>
    </row>
    <row r="3395">
      <c r="A3395" s="1257"/>
      <c r="B3395" s="1113"/>
      <c r="C3395" s="1107"/>
      <c r="D3395" s="103"/>
      <c r="E3395" s="1137"/>
      <c r="F3395" s="112"/>
      <c r="G3395" s="1110"/>
      <c r="H3395" s="1138"/>
      <c r="I3395" s="1138"/>
      <c r="J3395" s="1139"/>
      <c r="K3395" s="1111"/>
      <c r="L3395" s="1112"/>
      <c r="M3395" s="1113"/>
      <c r="N3395" s="110"/>
      <c r="O3395" s="1140"/>
      <c r="P3395" s="1115"/>
      <c r="Q3395" s="1116"/>
      <c r="R3395" s="1141"/>
      <c r="S3395" s="1113"/>
      <c r="T3395" s="1143"/>
      <c r="U3395" s="1108"/>
      <c r="V3395" s="1108"/>
      <c r="W3395" s="1108"/>
      <c r="X3395" s="1108"/>
      <c r="Y3395" s="1108"/>
      <c r="Z3395" s="1114"/>
      <c r="AA3395" s="1114"/>
      <c r="AB3395" s="1114"/>
      <c r="AC3395" s="1117"/>
      <c r="AD3395" s="1115"/>
      <c r="AE3395" s="1115"/>
      <c r="AF3395" s="1115"/>
      <c r="AG3395" s="1115"/>
      <c r="AH3395" s="1115"/>
      <c r="AI3395" s="1115"/>
      <c r="AJ3395" s="1117"/>
      <c r="AK3395" s="1118"/>
      <c r="AL3395" s="1115"/>
      <c r="AM3395" s="1115"/>
      <c r="AN3395" s="1115"/>
      <c r="AO3395" s="1115"/>
      <c r="AP3395" s="1115"/>
      <c r="AQ3395" s="1115"/>
      <c r="AR3395" s="1115"/>
      <c r="AS3395" s="1117"/>
      <c r="AT3395" s="1075"/>
      <c r="AU3395" s="1193"/>
      <c r="AV3395" s="330"/>
      <c r="AW3395" s="331"/>
      <c r="AX3395" s="331"/>
      <c r="AY3395" s="331"/>
      <c r="AZ3395" s="331"/>
      <c r="BA3395" s="331"/>
      <c r="BB3395" s="331"/>
      <c r="BC3395" s="331"/>
      <c r="BD3395" s="331"/>
      <c r="BE3395" s="333"/>
      <c r="BF3395" s="330"/>
      <c r="BG3395" s="333"/>
      <c r="BH3395" s="1119"/>
      <c r="BI3395" s="319"/>
      <c r="BJ3395" s="319"/>
      <c r="BK3395" s="319"/>
      <c r="BL3395" s="319"/>
      <c r="BM3395" s="319"/>
      <c r="BN3395" s="319"/>
      <c r="BO3395" s="319"/>
      <c r="BP3395" s="953"/>
      <c r="BQ3395" s="319"/>
      <c r="BR3395" s="319"/>
      <c r="BS3395" s="330"/>
      <c r="BT3395" s="331"/>
      <c r="BU3395" s="920"/>
      <c r="BV3395" s="903"/>
      <c r="BW3395" s="908"/>
      <c r="BX3395" s="908"/>
      <c r="BY3395" s="331"/>
      <c r="BZ3395" s="331"/>
      <c r="CA3395" s="462"/>
      <c r="CB3395" s="319"/>
      <c r="CC3395" s="319"/>
      <c r="CD3395" s="319"/>
      <c r="CE3395" s="319"/>
      <c r="CF3395" s="319"/>
      <c r="CG3395" s="319"/>
      <c r="CH3395" s="318"/>
      <c r="CI3395" s="319"/>
      <c r="CJ3395" s="319"/>
      <c r="CK3395" s="342"/>
      <c r="CL3395" s="333"/>
      <c r="CM3395" s="1079"/>
      <c r="CN3395" s="1005"/>
      <c r="CO3395" s="1005"/>
      <c r="CP3395" s="1005"/>
    </row>
    <row r="3396">
      <c r="A3396" s="1257"/>
      <c r="B3396" s="1113"/>
      <c r="C3396" s="1107"/>
      <c r="D3396" s="103"/>
      <c r="E3396" s="1137"/>
      <c r="F3396" s="112"/>
      <c r="G3396" s="1110"/>
      <c r="H3396" s="1138"/>
      <c r="I3396" s="1138"/>
      <c r="J3396" s="1139"/>
      <c r="K3396" s="1111"/>
      <c r="L3396" s="1112"/>
      <c r="M3396" s="1113"/>
      <c r="N3396" s="110"/>
      <c r="O3396" s="1140"/>
      <c r="P3396" s="1115"/>
      <c r="Q3396" s="1116"/>
      <c r="R3396" s="1141"/>
      <c r="S3396" s="1113"/>
      <c r="T3396" s="1143"/>
      <c r="U3396" s="1108"/>
      <c r="V3396" s="1108"/>
      <c r="W3396" s="1108"/>
      <c r="X3396" s="1108"/>
      <c r="Y3396" s="1108"/>
      <c r="Z3396" s="1114"/>
      <c r="AA3396" s="1114"/>
      <c r="AB3396" s="1114"/>
      <c r="AC3396" s="1117"/>
      <c r="AD3396" s="1115"/>
      <c r="AE3396" s="1115"/>
      <c r="AF3396" s="1115"/>
      <c r="AG3396" s="1115"/>
      <c r="AH3396" s="1115"/>
      <c r="AI3396" s="1115"/>
      <c r="AJ3396" s="1117"/>
      <c r="AK3396" s="1118"/>
      <c r="AL3396" s="1115"/>
      <c r="AM3396" s="1115"/>
      <c r="AN3396" s="1115"/>
      <c r="AO3396" s="1115"/>
      <c r="AP3396" s="1115"/>
      <c r="AQ3396" s="1115"/>
      <c r="AR3396" s="1115"/>
      <c r="AS3396" s="1117"/>
      <c r="AT3396" s="1075"/>
      <c r="AU3396" s="1193"/>
      <c r="AV3396" s="330"/>
      <c r="AW3396" s="331"/>
      <c r="AX3396" s="331"/>
      <c r="AY3396" s="331"/>
      <c r="AZ3396" s="331"/>
      <c r="BA3396" s="331"/>
      <c r="BB3396" s="331"/>
      <c r="BC3396" s="331"/>
      <c r="BD3396" s="331"/>
      <c r="BE3396" s="333"/>
      <c r="BF3396" s="330"/>
      <c r="BG3396" s="333"/>
      <c r="BH3396" s="1119"/>
      <c r="BI3396" s="319"/>
      <c r="BJ3396" s="319"/>
      <c r="BK3396" s="319"/>
      <c r="BL3396" s="319"/>
      <c r="BM3396" s="319"/>
      <c r="BN3396" s="319"/>
      <c r="BO3396" s="319"/>
      <c r="BP3396" s="953"/>
      <c r="BQ3396" s="319"/>
      <c r="BR3396" s="319"/>
      <c r="BS3396" s="330"/>
      <c r="BT3396" s="331"/>
      <c r="BU3396" s="920"/>
      <c r="BV3396" s="903"/>
      <c r="BW3396" s="908"/>
      <c r="BX3396" s="908"/>
      <c r="BY3396" s="331"/>
      <c r="BZ3396" s="331"/>
      <c r="CA3396" s="462"/>
      <c r="CB3396" s="319"/>
      <c r="CC3396" s="319"/>
      <c r="CD3396" s="319"/>
      <c r="CE3396" s="319"/>
      <c r="CF3396" s="319"/>
      <c r="CG3396" s="319"/>
      <c r="CH3396" s="318"/>
      <c r="CI3396" s="319"/>
      <c r="CJ3396" s="319"/>
      <c r="CK3396" s="342"/>
      <c r="CL3396" s="333"/>
      <c r="CM3396" s="1079"/>
      <c r="CN3396" s="1005"/>
      <c r="CO3396" s="1005"/>
      <c r="CP3396" s="1005"/>
    </row>
    <row r="3397">
      <c r="A3397" s="1257"/>
      <c r="B3397" s="1113"/>
      <c r="C3397" s="1107"/>
      <c r="D3397" s="103"/>
      <c r="E3397" s="1137"/>
      <c r="F3397" s="112"/>
      <c r="G3397" s="1110"/>
      <c r="H3397" s="1138"/>
      <c r="I3397" s="1138"/>
      <c r="J3397" s="1139"/>
      <c r="K3397" s="1111"/>
      <c r="L3397" s="1112"/>
      <c r="M3397" s="1113"/>
      <c r="N3397" s="110"/>
      <c r="O3397" s="1140"/>
      <c r="P3397" s="1115"/>
      <c r="Q3397" s="1116"/>
      <c r="R3397" s="1141"/>
      <c r="S3397" s="1113"/>
      <c r="T3397" s="1143"/>
      <c r="U3397" s="1108"/>
      <c r="V3397" s="1108"/>
      <c r="W3397" s="1108"/>
      <c r="X3397" s="1108"/>
      <c r="Y3397" s="1108"/>
      <c r="Z3397" s="1114"/>
      <c r="AA3397" s="1114"/>
      <c r="AB3397" s="1114"/>
      <c r="AC3397" s="1117"/>
      <c r="AD3397" s="1115"/>
      <c r="AE3397" s="1115"/>
      <c r="AF3397" s="1115"/>
      <c r="AG3397" s="1115"/>
      <c r="AH3397" s="1115"/>
      <c r="AI3397" s="1115"/>
      <c r="AJ3397" s="1117"/>
      <c r="AK3397" s="1118"/>
      <c r="AL3397" s="1115"/>
      <c r="AM3397" s="1115"/>
      <c r="AN3397" s="1115"/>
      <c r="AO3397" s="1115"/>
      <c r="AP3397" s="1115"/>
      <c r="AQ3397" s="1115"/>
      <c r="AR3397" s="1115"/>
      <c r="AS3397" s="1117"/>
      <c r="AT3397" s="1075"/>
      <c r="AU3397" s="1193"/>
      <c r="AV3397" s="330"/>
      <c r="AW3397" s="331"/>
      <c r="AX3397" s="331"/>
      <c r="AY3397" s="331"/>
      <c r="AZ3397" s="331"/>
      <c r="BA3397" s="331"/>
      <c r="BB3397" s="331"/>
      <c r="BC3397" s="331"/>
      <c r="BD3397" s="331"/>
      <c r="BE3397" s="333"/>
      <c r="BF3397" s="330"/>
      <c r="BG3397" s="333"/>
      <c r="BH3397" s="1119"/>
      <c r="BI3397" s="319"/>
      <c r="BJ3397" s="319"/>
      <c r="BK3397" s="319"/>
      <c r="BL3397" s="319"/>
      <c r="BM3397" s="319"/>
      <c r="BN3397" s="319"/>
      <c r="BO3397" s="319"/>
      <c r="BP3397" s="953"/>
      <c r="BQ3397" s="319"/>
      <c r="BR3397" s="319"/>
      <c r="BS3397" s="330"/>
      <c r="BT3397" s="331"/>
      <c r="BU3397" s="920"/>
      <c r="BV3397" s="903"/>
      <c r="BW3397" s="908"/>
      <c r="BX3397" s="908"/>
      <c r="BY3397" s="331"/>
      <c r="BZ3397" s="331"/>
      <c r="CA3397" s="462"/>
      <c r="CB3397" s="319"/>
      <c r="CC3397" s="319"/>
      <c r="CD3397" s="319"/>
      <c r="CE3397" s="319"/>
      <c r="CF3397" s="319"/>
      <c r="CG3397" s="319"/>
      <c r="CH3397" s="318"/>
      <c r="CI3397" s="319"/>
      <c r="CJ3397" s="319"/>
      <c r="CK3397" s="342"/>
      <c r="CL3397" s="333"/>
      <c r="CM3397" s="1079"/>
      <c r="CN3397" s="1005"/>
      <c r="CO3397" s="1005"/>
      <c r="CP3397" s="1005"/>
    </row>
    <row r="3398">
      <c r="A3398" s="1257"/>
      <c r="B3398" s="1113"/>
      <c r="C3398" s="1107"/>
      <c r="D3398" s="103"/>
      <c r="E3398" s="1137"/>
      <c r="F3398" s="112"/>
      <c r="G3398" s="1110"/>
      <c r="H3398" s="1138"/>
      <c r="I3398" s="1138"/>
      <c r="J3398" s="1139"/>
      <c r="K3398" s="1111"/>
      <c r="L3398" s="1112"/>
      <c r="M3398" s="1113"/>
      <c r="N3398" s="110"/>
      <c r="O3398" s="1140"/>
      <c r="P3398" s="1115"/>
      <c r="Q3398" s="1116"/>
      <c r="R3398" s="1141"/>
      <c r="S3398" s="1113"/>
      <c r="T3398" s="1143"/>
      <c r="U3398" s="1108"/>
      <c r="V3398" s="1108"/>
      <c r="W3398" s="1108"/>
      <c r="X3398" s="1108"/>
      <c r="Y3398" s="1108"/>
      <c r="Z3398" s="1114"/>
      <c r="AA3398" s="1114"/>
      <c r="AB3398" s="1114"/>
      <c r="AC3398" s="1117"/>
      <c r="AD3398" s="1115"/>
      <c r="AE3398" s="1115"/>
      <c r="AF3398" s="1115"/>
      <c r="AG3398" s="1115"/>
      <c r="AH3398" s="1115"/>
      <c r="AI3398" s="1115"/>
      <c r="AJ3398" s="1117"/>
      <c r="AK3398" s="1118"/>
      <c r="AL3398" s="1115"/>
      <c r="AM3398" s="1115"/>
      <c r="AN3398" s="1115"/>
      <c r="AO3398" s="1115"/>
      <c r="AP3398" s="1115"/>
      <c r="AQ3398" s="1115"/>
      <c r="AR3398" s="1115"/>
      <c r="AS3398" s="1117"/>
      <c r="AT3398" s="1075"/>
      <c r="AU3398" s="1193"/>
      <c r="AV3398" s="330"/>
      <c r="AW3398" s="331"/>
      <c r="AX3398" s="331"/>
      <c r="AY3398" s="331"/>
      <c r="AZ3398" s="331"/>
      <c r="BA3398" s="331"/>
      <c r="BB3398" s="331"/>
      <c r="BC3398" s="331"/>
      <c r="BD3398" s="331"/>
      <c r="BE3398" s="333"/>
      <c r="BF3398" s="330"/>
      <c r="BG3398" s="333"/>
      <c r="BH3398" s="1119"/>
      <c r="BI3398" s="319"/>
      <c r="BJ3398" s="319"/>
      <c r="BK3398" s="319"/>
      <c r="BL3398" s="319"/>
      <c r="BM3398" s="319"/>
      <c r="BN3398" s="319"/>
      <c r="BO3398" s="319"/>
      <c r="BP3398" s="953"/>
      <c r="BQ3398" s="319"/>
      <c r="BR3398" s="319"/>
      <c r="BS3398" s="330"/>
      <c r="BT3398" s="331"/>
      <c r="BU3398" s="920"/>
      <c r="BV3398" s="903"/>
      <c r="BW3398" s="908"/>
      <c r="BX3398" s="908"/>
      <c r="BY3398" s="331"/>
      <c r="BZ3398" s="331"/>
      <c r="CA3398" s="462"/>
      <c r="CB3398" s="319"/>
      <c r="CC3398" s="319"/>
      <c r="CD3398" s="319"/>
      <c r="CE3398" s="319"/>
      <c r="CF3398" s="319"/>
      <c r="CG3398" s="319"/>
      <c r="CH3398" s="318"/>
      <c r="CI3398" s="319"/>
      <c r="CJ3398" s="319"/>
      <c r="CK3398" s="342"/>
      <c r="CL3398" s="333"/>
      <c r="CM3398" s="1079"/>
      <c r="CN3398" s="1005"/>
      <c r="CO3398" s="1005"/>
      <c r="CP3398" s="1005"/>
    </row>
    <row r="3399">
      <c r="A3399" s="1257"/>
      <c r="B3399" s="1113"/>
      <c r="C3399" s="1107"/>
      <c r="D3399" s="103"/>
      <c r="E3399" s="1137"/>
      <c r="F3399" s="112"/>
      <c r="G3399" s="1110"/>
      <c r="H3399" s="1138"/>
      <c r="I3399" s="1138"/>
      <c r="J3399" s="1139"/>
      <c r="K3399" s="1111"/>
      <c r="L3399" s="1112"/>
      <c r="M3399" s="1113"/>
      <c r="N3399" s="110"/>
      <c r="O3399" s="1140"/>
      <c r="P3399" s="1115"/>
      <c r="Q3399" s="1116"/>
      <c r="R3399" s="1141"/>
      <c r="S3399" s="1113"/>
      <c r="T3399" s="1143"/>
      <c r="U3399" s="1108"/>
      <c r="V3399" s="1108"/>
      <c r="W3399" s="1108"/>
      <c r="X3399" s="1108"/>
      <c r="Y3399" s="1108"/>
      <c r="Z3399" s="1114"/>
      <c r="AA3399" s="1114"/>
      <c r="AB3399" s="1114"/>
      <c r="AC3399" s="1117"/>
      <c r="AD3399" s="1115"/>
      <c r="AE3399" s="1115"/>
      <c r="AF3399" s="1115"/>
      <c r="AG3399" s="1115"/>
      <c r="AH3399" s="1115"/>
      <c r="AI3399" s="1115"/>
      <c r="AJ3399" s="1117"/>
      <c r="AK3399" s="1118"/>
      <c r="AL3399" s="1115"/>
      <c r="AM3399" s="1115"/>
      <c r="AN3399" s="1115"/>
      <c r="AO3399" s="1115"/>
      <c r="AP3399" s="1115"/>
      <c r="AQ3399" s="1115"/>
      <c r="AR3399" s="1115"/>
      <c r="AS3399" s="1117"/>
      <c r="AT3399" s="1075"/>
      <c r="AU3399" s="1193"/>
      <c r="AV3399" s="330"/>
      <c r="AW3399" s="331"/>
      <c r="AX3399" s="331"/>
      <c r="AY3399" s="331"/>
      <c r="AZ3399" s="331"/>
      <c r="BA3399" s="331"/>
      <c r="BB3399" s="331"/>
      <c r="BC3399" s="331"/>
      <c r="BD3399" s="331"/>
      <c r="BE3399" s="333"/>
      <c r="BF3399" s="330"/>
      <c r="BG3399" s="333"/>
      <c r="BH3399" s="1119"/>
      <c r="BI3399" s="319"/>
      <c r="BJ3399" s="319"/>
      <c r="BK3399" s="319"/>
      <c r="BL3399" s="319"/>
      <c r="BM3399" s="319"/>
      <c r="BN3399" s="319"/>
      <c r="BO3399" s="319"/>
      <c r="BP3399" s="953"/>
      <c r="BQ3399" s="319"/>
      <c r="BR3399" s="319"/>
      <c r="BS3399" s="330"/>
      <c r="BT3399" s="331"/>
      <c r="BU3399" s="920"/>
      <c r="BV3399" s="903"/>
      <c r="BW3399" s="908"/>
      <c r="BX3399" s="908"/>
      <c r="BY3399" s="331"/>
      <c r="BZ3399" s="331"/>
      <c r="CA3399" s="462"/>
      <c r="CB3399" s="319"/>
      <c r="CC3399" s="319"/>
      <c r="CD3399" s="319"/>
      <c r="CE3399" s="319"/>
      <c r="CF3399" s="319"/>
      <c r="CG3399" s="319"/>
      <c r="CH3399" s="318"/>
      <c r="CI3399" s="319"/>
      <c r="CJ3399" s="319"/>
      <c r="CK3399" s="342"/>
      <c r="CL3399" s="333"/>
      <c r="CM3399" s="1079"/>
      <c r="CN3399" s="1005"/>
      <c r="CO3399" s="1005"/>
      <c r="CP3399" s="1005"/>
    </row>
    <row r="3400">
      <c r="A3400" s="1257"/>
      <c r="B3400" s="1113"/>
      <c r="C3400" s="1107"/>
      <c r="D3400" s="103"/>
      <c r="E3400" s="1137"/>
      <c r="F3400" s="112"/>
      <c r="G3400" s="1110"/>
      <c r="H3400" s="1138"/>
      <c r="I3400" s="1138"/>
      <c r="J3400" s="1139"/>
      <c r="K3400" s="1111"/>
      <c r="L3400" s="1112"/>
      <c r="M3400" s="1113"/>
      <c r="N3400" s="110"/>
      <c r="O3400" s="1140"/>
      <c r="P3400" s="1115"/>
      <c r="Q3400" s="1116"/>
      <c r="R3400" s="1141"/>
      <c r="S3400" s="1113"/>
      <c r="T3400" s="1143"/>
      <c r="U3400" s="1108"/>
      <c r="V3400" s="1108"/>
      <c r="W3400" s="1108"/>
      <c r="X3400" s="1108"/>
      <c r="Y3400" s="1108"/>
      <c r="Z3400" s="1114"/>
      <c r="AA3400" s="1114"/>
      <c r="AB3400" s="1114"/>
      <c r="AC3400" s="1117"/>
      <c r="AD3400" s="1115"/>
      <c r="AE3400" s="1115"/>
      <c r="AF3400" s="1115"/>
      <c r="AG3400" s="1115"/>
      <c r="AH3400" s="1115"/>
      <c r="AI3400" s="1115"/>
      <c r="AJ3400" s="1117"/>
      <c r="AK3400" s="1118"/>
      <c r="AL3400" s="1115"/>
      <c r="AM3400" s="1115"/>
      <c r="AN3400" s="1115"/>
      <c r="AO3400" s="1115"/>
      <c r="AP3400" s="1115"/>
      <c r="AQ3400" s="1115"/>
      <c r="AR3400" s="1115"/>
      <c r="AS3400" s="1117"/>
      <c r="AT3400" s="1075"/>
      <c r="AU3400" s="1193"/>
      <c r="AV3400" s="330"/>
      <c r="AW3400" s="331"/>
      <c r="AX3400" s="331"/>
      <c r="AY3400" s="331"/>
      <c r="AZ3400" s="331"/>
      <c r="BA3400" s="331"/>
      <c r="BB3400" s="331"/>
      <c r="BC3400" s="331"/>
      <c r="BD3400" s="331"/>
      <c r="BE3400" s="333"/>
      <c r="BF3400" s="330"/>
      <c r="BG3400" s="333"/>
      <c r="BH3400" s="1119"/>
      <c r="BI3400" s="319"/>
      <c r="BJ3400" s="319"/>
      <c r="BK3400" s="319"/>
      <c r="BL3400" s="319"/>
      <c r="BM3400" s="319"/>
      <c r="BN3400" s="319"/>
      <c r="BO3400" s="319"/>
      <c r="BP3400" s="953"/>
      <c r="BQ3400" s="319"/>
      <c r="BR3400" s="319"/>
      <c r="BS3400" s="330"/>
      <c r="BT3400" s="331"/>
      <c r="BU3400" s="920"/>
      <c r="BV3400" s="903"/>
      <c r="BW3400" s="908"/>
      <c r="BX3400" s="908"/>
      <c r="BY3400" s="331"/>
      <c r="BZ3400" s="331"/>
      <c r="CA3400" s="462"/>
      <c r="CB3400" s="319"/>
      <c r="CC3400" s="319"/>
      <c r="CD3400" s="319"/>
      <c r="CE3400" s="319"/>
      <c r="CF3400" s="319"/>
      <c r="CG3400" s="319"/>
      <c r="CH3400" s="318"/>
      <c r="CI3400" s="319"/>
      <c r="CJ3400" s="319"/>
      <c r="CK3400" s="342"/>
      <c r="CL3400" s="333"/>
      <c r="CM3400" s="1079"/>
      <c r="CN3400" s="1005"/>
      <c r="CO3400" s="1005"/>
      <c r="CP3400" s="1005"/>
    </row>
    <row r="3401">
      <c r="A3401" s="1257"/>
      <c r="B3401" s="1113"/>
      <c r="C3401" s="1107"/>
      <c r="D3401" s="103"/>
      <c r="E3401" s="1137"/>
      <c r="F3401" s="112"/>
      <c r="G3401" s="1110"/>
      <c r="H3401" s="1138"/>
      <c r="I3401" s="1138"/>
      <c r="J3401" s="1139"/>
      <c r="K3401" s="1111"/>
      <c r="L3401" s="1112"/>
      <c r="M3401" s="1113"/>
      <c r="N3401" s="110"/>
      <c r="O3401" s="1140"/>
      <c r="P3401" s="1115"/>
      <c r="Q3401" s="1116"/>
      <c r="R3401" s="1141"/>
      <c r="S3401" s="1113"/>
      <c r="T3401" s="1143"/>
      <c r="U3401" s="1108"/>
      <c r="V3401" s="1108"/>
      <c r="W3401" s="1108"/>
      <c r="X3401" s="1108"/>
      <c r="Y3401" s="1108"/>
      <c r="Z3401" s="1114"/>
      <c r="AA3401" s="1114"/>
      <c r="AB3401" s="1114"/>
      <c r="AC3401" s="1117"/>
      <c r="AD3401" s="1115"/>
      <c r="AE3401" s="1115"/>
      <c r="AF3401" s="1115"/>
      <c r="AG3401" s="1115"/>
      <c r="AH3401" s="1115"/>
      <c r="AI3401" s="1115"/>
      <c r="AJ3401" s="1117"/>
      <c r="AK3401" s="1118"/>
      <c r="AL3401" s="1115"/>
      <c r="AM3401" s="1115"/>
      <c r="AN3401" s="1115"/>
      <c r="AO3401" s="1115"/>
      <c r="AP3401" s="1115"/>
      <c r="AQ3401" s="1115"/>
      <c r="AR3401" s="1115"/>
      <c r="AS3401" s="1117"/>
      <c r="AT3401" s="1075"/>
      <c r="AU3401" s="1193"/>
      <c r="AV3401" s="330"/>
      <c r="AW3401" s="331"/>
      <c r="AX3401" s="331"/>
      <c r="AY3401" s="331"/>
      <c r="AZ3401" s="331"/>
      <c r="BA3401" s="331"/>
      <c r="BB3401" s="331"/>
      <c r="BC3401" s="331"/>
      <c r="BD3401" s="331"/>
      <c r="BE3401" s="333"/>
      <c r="BF3401" s="330"/>
      <c r="BG3401" s="333"/>
      <c r="BH3401" s="1119"/>
      <c r="BI3401" s="319"/>
      <c r="BJ3401" s="319"/>
      <c r="BK3401" s="319"/>
      <c r="BL3401" s="319"/>
      <c r="BM3401" s="319"/>
      <c r="BN3401" s="319"/>
      <c r="BO3401" s="319"/>
      <c r="BP3401" s="953"/>
      <c r="BQ3401" s="319"/>
      <c r="BR3401" s="319"/>
      <c r="BS3401" s="330"/>
      <c r="BT3401" s="331"/>
      <c r="BU3401" s="920"/>
      <c r="BV3401" s="903"/>
      <c r="BW3401" s="908"/>
      <c r="BX3401" s="908"/>
      <c r="BY3401" s="331"/>
      <c r="BZ3401" s="331"/>
      <c r="CA3401" s="462"/>
      <c r="CB3401" s="319"/>
      <c r="CC3401" s="319"/>
      <c r="CD3401" s="319"/>
      <c r="CE3401" s="319"/>
      <c r="CF3401" s="319"/>
      <c r="CG3401" s="319"/>
      <c r="CH3401" s="318"/>
      <c r="CI3401" s="319"/>
      <c r="CJ3401" s="319"/>
      <c r="CK3401" s="342"/>
      <c r="CL3401" s="333"/>
      <c r="CM3401" s="1079"/>
      <c r="CN3401" s="1005"/>
      <c r="CO3401" s="1005"/>
      <c r="CP3401" s="1005"/>
    </row>
    <row r="3402">
      <c r="A3402" s="1257"/>
      <c r="B3402" s="1113"/>
      <c r="C3402" s="1107"/>
      <c r="D3402" s="103"/>
      <c r="E3402" s="1137"/>
      <c r="F3402" s="112"/>
      <c r="G3402" s="1110"/>
      <c r="H3402" s="1138"/>
      <c r="I3402" s="1138"/>
      <c r="J3402" s="1139"/>
      <c r="K3402" s="1111"/>
      <c r="L3402" s="1112"/>
      <c r="M3402" s="1113"/>
      <c r="N3402" s="110"/>
      <c r="O3402" s="1140"/>
      <c r="P3402" s="1115"/>
      <c r="Q3402" s="1116"/>
      <c r="R3402" s="1141"/>
      <c r="S3402" s="1113"/>
      <c r="T3402" s="1143"/>
      <c r="U3402" s="1108"/>
      <c r="V3402" s="1108"/>
      <c r="W3402" s="1108"/>
      <c r="X3402" s="1108"/>
      <c r="Y3402" s="1108"/>
      <c r="Z3402" s="1114"/>
      <c r="AA3402" s="1114"/>
      <c r="AB3402" s="1114"/>
      <c r="AC3402" s="1117"/>
      <c r="AD3402" s="1115"/>
      <c r="AE3402" s="1115"/>
      <c r="AF3402" s="1115"/>
      <c r="AG3402" s="1115"/>
      <c r="AH3402" s="1115"/>
      <c r="AI3402" s="1115"/>
      <c r="AJ3402" s="1117"/>
      <c r="AK3402" s="1118"/>
      <c r="AL3402" s="1115"/>
      <c r="AM3402" s="1115"/>
      <c r="AN3402" s="1115"/>
      <c r="AO3402" s="1115"/>
      <c r="AP3402" s="1115"/>
      <c r="AQ3402" s="1115"/>
      <c r="AR3402" s="1115"/>
      <c r="AS3402" s="1117"/>
      <c r="AT3402" s="1075"/>
      <c r="AU3402" s="1193"/>
      <c r="AV3402" s="330"/>
      <c r="AW3402" s="331"/>
      <c r="AX3402" s="331"/>
      <c r="AY3402" s="331"/>
      <c r="AZ3402" s="331"/>
      <c r="BA3402" s="331"/>
      <c r="BB3402" s="331"/>
      <c r="BC3402" s="331"/>
      <c r="BD3402" s="331"/>
      <c r="BE3402" s="333"/>
      <c r="BF3402" s="330"/>
      <c r="BG3402" s="333"/>
      <c r="BH3402" s="1119"/>
      <c r="BI3402" s="319"/>
      <c r="BJ3402" s="319"/>
      <c r="BK3402" s="319"/>
      <c r="BL3402" s="319"/>
      <c r="BM3402" s="319"/>
      <c r="BN3402" s="319"/>
      <c r="BO3402" s="319"/>
      <c r="BP3402" s="953"/>
      <c r="BQ3402" s="319"/>
      <c r="BR3402" s="319"/>
      <c r="BS3402" s="330"/>
      <c r="BT3402" s="331"/>
      <c r="BU3402" s="920"/>
      <c r="BV3402" s="903"/>
      <c r="BW3402" s="908"/>
      <c r="BX3402" s="908"/>
      <c r="BY3402" s="331"/>
      <c r="BZ3402" s="331"/>
      <c r="CA3402" s="462"/>
      <c r="CB3402" s="319"/>
      <c r="CC3402" s="319"/>
      <c r="CD3402" s="319"/>
      <c r="CE3402" s="319"/>
      <c r="CF3402" s="319"/>
      <c r="CG3402" s="319"/>
      <c r="CH3402" s="318"/>
      <c r="CI3402" s="319"/>
      <c r="CJ3402" s="319"/>
      <c r="CK3402" s="342"/>
      <c r="CL3402" s="333"/>
      <c r="CM3402" s="1079"/>
      <c r="CN3402" s="1005"/>
      <c r="CO3402" s="1005"/>
      <c r="CP3402" s="1005"/>
    </row>
    <row r="3403">
      <c r="A3403" s="1257"/>
      <c r="B3403" s="1113"/>
      <c r="C3403" s="1107"/>
      <c r="D3403" s="103"/>
      <c r="E3403" s="1137"/>
      <c r="F3403" s="112"/>
      <c r="G3403" s="1110"/>
      <c r="H3403" s="1138"/>
      <c r="I3403" s="1138"/>
      <c r="J3403" s="1139"/>
      <c r="K3403" s="1111"/>
      <c r="L3403" s="1112"/>
      <c r="M3403" s="1113"/>
      <c r="N3403" s="110"/>
      <c r="O3403" s="1140"/>
      <c r="P3403" s="1115"/>
      <c r="Q3403" s="1116"/>
      <c r="R3403" s="1141"/>
      <c r="S3403" s="1113"/>
      <c r="T3403" s="1143"/>
      <c r="U3403" s="1108"/>
      <c r="V3403" s="1108"/>
      <c r="W3403" s="1108"/>
      <c r="X3403" s="1108"/>
      <c r="Y3403" s="1108"/>
      <c r="Z3403" s="1114"/>
      <c r="AA3403" s="1114"/>
      <c r="AB3403" s="1114"/>
      <c r="AC3403" s="1117"/>
      <c r="AD3403" s="1115"/>
      <c r="AE3403" s="1115"/>
      <c r="AF3403" s="1115"/>
      <c r="AG3403" s="1115"/>
      <c r="AH3403" s="1115"/>
      <c r="AI3403" s="1115"/>
      <c r="AJ3403" s="1117"/>
      <c r="AK3403" s="1118"/>
      <c r="AL3403" s="1115"/>
      <c r="AM3403" s="1115"/>
      <c r="AN3403" s="1115"/>
      <c r="AO3403" s="1115"/>
      <c r="AP3403" s="1115"/>
      <c r="AQ3403" s="1115"/>
      <c r="AR3403" s="1115"/>
      <c r="AS3403" s="1117"/>
      <c r="AT3403" s="1075"/>
      <c r="AU3403" s="1193"/>
      <c r="AV3403" s="330"/>
      <c r="AW3403" s="331"/>
      <c r="AX3403" s="331"/>
      <c r="AY3403" s="331"/>
      <c r="AZ3403" s="331"/>
      <c r="BA3403" s="331"/>
      <c r="BB3403" s="331"/>
      <c r="BC3403" s="331"/>
      <c r="BD3403" s="331"/>
      <c r="BE3403" s="333"/>
      <c r="BF3403" s="330"/>
      <c r="BG3403" s="333"/>
      <c r="BH3403" s="1119"/>
      <c r="BI3403" s="319"/>
      <c r="BJ3403" s="319"/>
      <c r="BK3403" s="319"/>
      <c r="BL3403" s="319"/>
      <c r="BM3403" s="319"/>
      <c r="BN3403" s="319"/>
      <c r="BO3403" s="319"/>
      <c r="BP3403" s="953"/>
      <c r="BQ3403" s="319"/>
      <c r="BR3403" s="319"/>
      <c r="BS3403" s="330"/>
      <c r="BT3403" s="331"/>
      <c r="BU3403" s="920"/>
      <c r="BV3403" s="903"/>
      <c r="BW3403" s="908"/>
      <c r="BX3403" s="908"/>
      <c r="BY3403" s="331"/>
      <c r="BZ3403" s="331"/>
      <c r="CA3403" s="462"/>
      <c r="CB3403" s="319"/>
      <c r="CC3403" s="319"/>
      <c r="CD3403" s="319"/>
      <c r="CE3403" s="319"/>
      <c r="CF3403" s="319"/>
      <c r="CG3403" s="319"/>
      <c r="CH3403" s="318"/>
      <c r="CI3403" s="319"/>
      <c r="CJ3403" s="319"/>
      <c r="CK3403" s="342"/>
      <c r="CL3403" s="333"/>
      <c r="CM3403" s="1079"/>
      <c r="CN3403" s="1005"/>
      <c r="CO3403" s="1005"/>
      <c r="CP3403" s="1005"/>
    </row>
    <row r="3404">
      <c r="A3404" s="1257"/>
      <c r="B3404" s="1113"/>
      <c r="C3404" s="1107"/>
      <c r="D3404" s="103"/>
      <c r="E3404" s="1137"/>
      <c r="F3404" s="112"/>
      <c r="G3404" s="1110"/>
      <c r="H3404" s="1138"/>
      <c r="I3404" s="1138"/>
      <c r="J3404" s="1139"/>
      <c r="K3404" s="1111"/>
      <c r="L3404" s="1112"/>
      <c r="M3404" s="1113"/>
      <c r="N3404" s="110"/>
      <c r="O3404" s="1140"/>
      <c r="P3404" s="1115"/>
      <c r="Q3404" s="1116"/>
      <c r="R3404" s="1141"/>
      <c r="S3404" s="1113"/>
      <c r="T3404" s="1143"/>
      <c r="U3404" s="1108"/>
      <c r="V3404" s="1108"/>
      <c r="W3404" s="1108"/>
      <c r="X3404" s="1108"/>
      <c r="Y3404" s="1108"/>
      <c r="Z3404" s="1114"/>
      <c r="AA3404" s="1114"/>
      <c r="AB3404" s="1114"/>
      <c r="AC3404" s="1117"/>
      <c r="AD3404" s="1115"/>
      <c r="AE3404" s="1115"/>
      <c r="AF3404" s="1115"/>
      <c r="AG3404" s="1115"/>
      <c r="AH3404" s="1115"/>
      <c r="AI3404" s="1115"/>
      <c r="AJ3404" s="1117"/>
      <c r="AK3404" s="1118"/>
      <c r="AL3404" s="1115"/>
      <c r="AM3404" s="1115"/>
      <c r="AN3404" s="1115"/>
      <c r="AO3404" s="1115"/>
      <c r="AP3404" s="1115"/>
      <c r="AQ3404" s="1115"/>
      <c r="AR3404" s="1115"/>
      <c r="AS3404" s="1117"/>
      <c r="AT3404" s="1075"/>
      <c r="AU3404" s="1193"/>
      <c r="AV3404" s="330"/>
      <c r="AW3404" s="331"/>
      <c r="AX3404" s="331"/>
      <c r="AY3404" s="331"/>
      <c r="AZ3404" s="331"/>
      <c r="BA3404" s="331"/>
      <c r="BB3404" s="331"/>
      <c r="BC3404" s="331"/>
      <c r="BD3404" s="331"/>
      <c r="BE3404" s="333"/>
      <c r="BF3404" s="330"/>
      <c r="BG3404" s="333"/>
      <c r="BH3404" s="1119"/>
      <c r="BI3404" s="319"/>
      <c r="BJ3404" s="319"/>
      <c r="BK3404" s="319"/>
      <c r="BL3404" s="319"/>
      <c r="BM3404" s="319"/>
      <c r="BN3404" s="319"/>
      <c r="BO3404" s="319"/>
      <c r="BP3404" s="953"/>
      <c r="BQ3404" s="319"/>
      <c r="BR3404" s="319"/>
      <c r="BS3404" s="330"/>
      <c r="BT3404" s="331"/>
      <c r="BU3404" s="920"/>
      <c r="BV3404" s="903"/>
      <c r="BW3404" s="908"/>
      <c r="BX3404" s="908"/>
      <c r="BY3404" s="331"/>
      <c r="BZ3404" s="331"/>
      <c r="CA3404" s="462"/>
      <c r="CB3404" s="319"/>
      <c r="CC3404" s="319"/>
      <c r="CD3404" s="319"/>
      <c r="CE3404" s="319"/>
      <c r="CF3404" s="319"/>
      <c r="CG3404" s="319"/>
      <c r="CH3404" s="318"/>
      <c r="CI3404" s="319"/>
      <c r="CJ3404" s="319"/>
      <c r="CK3404" s="342"/>
      <c r="CL3404" s="333"/>
      <c r="CM3404" s="1079"/>
      <c r="CN3404" s="1005"/>
      <c r="CO3404" s="1005"/>
      <c r="CP3404" s="1005"/>
    </row>
    <row r="3405">
      <c r="A3405" s="1257"/>
      <c r="B3405" s="1113"/>
      <c r="C3405" s="1107"/>
      <c r="D3405" s="103"/>
      <c r="E3405" s="1137"/>
      <c r="F3405" s="112"/>
      <c r="G3405" s="1110"/>
      <c r="H3405" s="1138"/>
      <c r="I3405" s="1138"/>
      <c r="J3405" s="1139"/>
      <c r="K3405" s="1111"/>
      <c r="L3405" s="1112"/>
      <c r="M3405" s="1113"/>
      <c r="N3405" s="110"/>
      <c r="O3405" s="1140"/>
      <c r="P3405" s="1115"/>
      <c r="Q3405" s="1116"/>
      <c r="R3405" s="1141"/>
      <c r="S3405" s="1113"/>
      <c r="T3405" s="1143"/>
      <c r="U3405" s="1108"/>
      <c r="V3405" s="1108"/>
      <c r="W3405" s="1108"/>
      <c r="X3405" s="1108"/>
      <c r="Y3405" s="1108"/>
      <c r="Z3405" s="1114"/>
      <c r="AA3405" s="1114"/>
      <c r="AB3405" s="1114"/>
      <c r="AC3405" s="1117"/>
      <c r="AD3405" s="1115"/>
      <c r="AE3405" s="1115"/>
      <c r="AF3405" s="1115"/>
      <c r="AG3405" s="1115"/>
      <c r="AH3405" s="1115"/>
      <c r="AI3405" s="1115"/>
      <c r="AJ3405" s="1117"/>
      <c r="AK3405" s="1118"/>
      <c r="AL3405" s="1115"/>
      <c r="AM3405" s="1115"/>
      <c r="AN3405" s="1115"/>
      <c r="AO3405" s="1115"/>
      <c r="AP3405" s="1115"/>
      <c r="AQ3405" s="1115"/>
      <c r="AR3405" s="1115"/>
      <c r="AS3405" s="1117"/>
      <c r="AT3405" s="1075"/>
      <c r="AU3405" s="1193"/>
      <c r="AV3405" s="330"/>
      <c r="AW3405" s="331"/>
      <c r="AX3405" s="331"/>
      <c r="AY3405" s="331"/>
      <c r="AZ3405" s="331"/>
      <c r="BA3405" s="331"/>
      <c r="BB3405" s="331"/>
      <c r="BC3405" s="331"/>
      <c r="BD3405" s="331"/>
      <c r="BE3405" s="333"/>
      <c r="BF3405" s="330"/>
      <c r="BG3405" s="333"/>
      <c r="BH3405" s="1119"/>
      <c r="BI3405" s="319"/>
      <c r="BJ3405" s="319"/>
      <c r="BK3405" s="319"/>
      <c r="BL3405" s="319"/>
      <c r="BM3405" s="319"/>
      <c r="BN3405" s="319"/>
      <c r="BO3405" s="319"/>
      <c r="BP3405" s="953"/>
      <c r="BQ3405" s="319"/>
      <c r="BR3405" s="319"/>
      <c r="BS3405" s="330"/>
      <c r="BT3405" s="331"/>
      <c r="BU3405" s="920"/>
      <c r="BV3405" s="903"/>
      <c r="BW3405" s="908"/>
      <c r="BX3405" s="908"/>
      <c r="BY3405" s="331"/>
      <c r="BZ3405" s="331"/>
      <c r="CA3405" s="462"/>
      <c r="CB3405" s="319"/>
      <c r="CC3405" s="319"/>
      <c r="CD3405" s="319"/>
      <c r="CE3405" s="319"/>
      <c r="CF3405" s="319"/>
      <c r="CG3405" s="319"/>
      <c r="CH3405" s="318"/>
      <c r="CI3405" s="319"/>
      <c r="CJ3405" s="319"/>
      <c r="CK3405" s="342"/>
      <c r="CL3405" s="333"/>
      <c r="CM3405" s="1079"/>
      <c r="CN3405" s="1005"/>
      <c r="CO3405" s="1005"/>
      <c r="CP3405" s="1005"/>
    </row>
    <row r="3406">
      <c r="A3406" s="1257"/>
      <c r="B3406" s="1113"/>
      <c r="C3406" s="1107"/>
      <c r="D3406" s="103"/>
      <c r="E3406" s="1137"/>
      <c r="F3406" s="112"/>
      <c r="G3406" s="1110"/>
      <c r="H3406" s="1138"/>
      <c r="I3406" s="1138"/>
      <c r="J3406" s="1139"/>
      <c r="K3406" s="1111"/>
      <c r="L3406" s="1112"/>
      <c r="M3406" s="1113"/>
      <c r="N3406" s="110"/>
      <c r="O3406" s="1140"/>
      <c r="P3406" s="1115"/>
      <c r="Q3406" s="1116"/>
      <c r="R3406" s="1141"/>
      <c r="S3406" s="1113"/>
      <c r="T3406" s="1143"/>
      <c r="U3406" s="1108"/>
      <c r="V3406" s="1108"/>
      <c r="W3406" s="1108"/>
      <c r="X3406" s="1108"/>
      <c r="Y3406" s="1108"/>
      <c r="Z3406" s="1114"/>
      <c r="AA3406" s="1114"/>
      <c r="AB3406" s="1114"/>
      <c r="AC3406" s="1117"/>
      <c r="AD3406" s="1115"/>
      <c r="AE3406" s="1115"/>
      <c r="AF3406" s="1115"/>
      <c r="AG3406" s="1115"/>
      <c r="AH3406" s="1115"/>
      <c r="AI3406" s="1115"/>
      <c r="AJ3406" s="1117"/>
      <c r="AK3406" s="1118"/>
      <c r="AL3406" s="1115"/>
      <c r="AM3406" s="1115"/>
      <c r="AN3406" s="1115"/>
      <c r="AO3406" s="1115"/>
      <c r="AP3406" s="1115"/>
      <c r="AQ3406" s="1115"/>
      <c r="AR3406" s="1115"/>
      <c r="AS3406" s="1117"/>
      <c r="AT3406" s="1075"/>
      <c r="AU3406" s="1193"/>
      <c r="AV3406" s="330"/>
      <c r="AW3406" s="331"/>
      <c r="AX3406" s="331"/>
      <c r="AY3406" s="331"/>
      <c r="AZ3406" s="331"/>
      <c r="BA3406" s="331"/>
      <c r="BB3406" s="331"/>
      <c r="BC3406" s="331"/>
      <c r="BD3406" s="331"/>
      <c r="BE3406" s="333"/>
      <c r="BF3406" s="330"/>
      <c r="BG3406" s="333"/>
      <c r="BH3406" s="1119"/>
      <c r="BI3406" s="319"/>
      <c r="BJ3406" s="319"/>
      <c r="BK3406" s="319"/>
      <c r="BL3406" s="319"/>
      <c r="BM3406" s="319"/>
      <c r="BN3406" s="319"/>
      <c r="BO3406" s="319"/>
      <c r="BP3406" s="953"/>
      <c r="BQ3406" s="319"/>
      <c r="BR3406" s="319"/>
      <c r="BS3406" s="330"/>
      <c r="BT3406" s="331"/>
      <c r="BU3406" s="920"/>
      <c r="BV3406" s="903"/>
      <c r="BW3406" s="908"/>
      <c r="BX3406" s="908"/>
      <c r="BY3406" s="331"/>
      <c r="BZ3406" s="331"/>
      <c r="CA3406" s="462"/>
      <c r="CB3406" s="319"/>
      <c r="CC3406" s="319"/>
      <c r="CD3406" s="319"/>
      <c r="CE3406" s="319"/>
      <c r="CF3406" s="319"/>
      <c r="CG3406" s="319"/>
      <c r="CH3406" s="318"/>
      <c r="CI3406" s="319"/>
      <c r="CJ3406" s="319"/>
      <c r="CK3406" s="342"/>
      <c r="CL3406" s="333"/>
      <c r="CM3406" s="1079"/>
      <c r="CN3406" s="1005"/>
      <c r="CO3406" s="1005"/>
      <c r="CP3406" s="1005"/>
    </row>
    <row r="3407">
      <c r="A3407" s="1257"/>
      <c r="B3407" s="1113"/>
      <c r="C3407" s="1107"/>
      <c r="D3407" s="103"/>
      <c r="E3407" s="1137"/>
      <c r="F3407" s="112"/>
      <c r="G3407" s="1110"/>
      <c r="H3407" s="1138"/>
      <c r="I3407" s="1138"/>
      <c r="J3407" s="1139"/>
      <c r="K3407" s="1111"/>
      <c r="L3407" s="1112"/>
      <c r="M3407" s="1113"/>
      <c r="N3407" s="110"/>
      <c r="O3407" s="1140"/>
      <c r="P3407" s="1115"/>
      <c r="Q3407" s="1116"/>
      <c r="R3407" s="1141"/>
      <c r="S3407" s="1113"/>
      <c r="T3407" s="1143"/>
      <c r="U3407" s="1108"/>
      <c r="V3407" s="1108"/>
      <c r="W3407" s="1108"/>
      <c r="X3407" s="1108"/>
      <c r="Y3407" s="1108"/>
      <c r="Z3407" s="1114"/>
      <c r="AA3407" s="1114"/>
      <c r="AB3407" s="1114"/>
      <c r="AC3407" s="1117"/>
      <c r="AD3407" s="1115"/>
      <c r="AE3407" s="1115"/>
      <c r="AF3407" s="1115"/>
      <c r="AG3407" s="1115"/>
      <c r="AH3407" s="1115"/>
      <c r="AI3407" s="1115"/>
      <c r="AJ3407" s="1117"/>
      <c r="AK3407" s="1118"/>
      <c r="AL3407" s="1115"/>
      <c r="AM3407" s="1115"/>
      <c r="AN3407" s="1115"/>
      <c r="AO3407" s="1115"/>
      <c r="AP3407" s="1115"/>
      <c r="AQ3407" s="1115"/>
      <c r="AR3407" s="1115"/>
      <c r="AS3407" s="1117"/>
      <c r="AT3407" s="1075"/>
      <c r="AU3407" s="1193"/>
      <c r="AV3407" s="330"/>
      <c r="AW3407" s="331"/>
      <c r="AX3407" s="331"/>
      <c r="AY3407" s="331"/>
      <c r="AZ3407" s="331"/>
      <c r="BA3407" s="331"/>
      <c r="BB3407" s="331"/>
      <c r="BC3407" s="331"/>
      <c r="BD3407" s="331"/>
      <c r="BE3407" s="333"/>
      <c r="BF3407" s="330"/>
      <c r="BG3407" s="333"/>
      <c r="BH3407" s="1119"/>
      <c r="BI3407" s="319"/>
      <c r="BJ3407" s="319"/>
      <c r="BK3407" s="319"/>
      <c r="BL3407" s="319"/>
      <c r="BM3407" s="319"/>
      <c r="BN3407" s="319"/>
      <c r="BO3407" s="319"/>
      <c r="BP3407" s="953"/>
      <c r="BQ3407" s="319"/>
      <c r="BR3407" s="319"/>
      <c r="BS3407" s="330"/>
      <c r="BT3407" s="331"/>
      <c r="BU3407" s="920"/>
      <c r="BV3407" s="903"/>
      <c r="BW3407" s="908"/>
      <c r="BX3407" s="908"/>
      <c r="BY3407" s="331"/>
      <c r="BZ3407" s="331"/>
      <c r="CA3407" s="462"/>
      <c r="CB3407" s="319"/>
      <c r="CC3407" s="319"/>
      <c r="CD3407" s="319"/>
      <c r="CE3407" s="319"/>
      <c r="CF3407" s="319"/>
      <c r="CG3407" s="319"/>
      <c r="CH3407" s="318"/>
      <c r="CI3407" s="319"/>
      <c r="CJ3407" s="319"/>
      <c r="CK3407" s="342"/>
      <c r="CL3407" s="333"/>
      <c r="CM3407" s="1079"/>
      <c r="CN3407" s="1005"/>
      <c r="CO3407" s="1005"/>
      <c r="CP3407" s="1005"/>
    </row>
    <row r="3408">
      <c r="A3408" s="1257"/>
      <c r="B3408" s="1113"/>
      <c r="C3408" s="1107"/>
      <c r="D3408" s="103"/>
      <c r="E3408" s="1137"/>
      <c r="F3408" s="112"/>
      <c r="G3408" s="1110"/>
      <c r="H3408" s="1138"/>
      <c r="I3408" s="1138"/>
      <c r="J3408" s="1139"/>
      <c r="K3408" s="1111"/>
      <c r="L3408" s="1112"/>
      <c r="M3408" s="1113"/>
      <c r="N3408" s="110"/>
      <c r="O3408" s="1140"/>
      <c r="P3408" s="1115"/>
      <c r="Q3408" s="1116"/>
      <c r="R3408" s="1141"/>
      <c r="S3408" s="1113"/>
      <c r="T3408" s="1143"/>
      <c r="U3408" s="1108"/>
      <c r="V3408" s="1108"/>
      <c r="W3408" s="1108"/>
      <c r="X3408" s="1108"/>
      <c r="Y3408" s="1108"/>
      <c r="Z3408" s="1114"/>
      <c r="AA3408" s="1114"/>
      <c r="AB3408" s="1114"/>
      <c r="AC3408" s="1117"/>
      <c r="AD3408" s="1115"/>
      <c r="AE3408" s="1115"/>
      <c r="AF3408" s="1115"/>
      <c r="AG3408" s="1115"/>
      <c r="AH3408" s="1115"/>
      <c r="AI3408" s="1115"/>
      <c r="AJ3408" s="1117"/>
      <c r="AK3408" s="1118"/>
      <c r="AL3408" s="1115"/>
      <c r="AM3408" s="1115"/>
      <c r="AN3408" s="1115"/>
      <c r="AO3408" s="1115"/>
      <c r="AP3408" s="1115"/>
      <c r="AQ3408" s="1115"/>
      <c r="AR3408" s="1115"/>
      <c r="AS3408" s="1117"/>
      <c r="AT3408" s="1075"/>
      <c r="AU3408" s="1193"/>
      <c r="AV3408" s="330"/>
      <c r="AW3408" s="331"/>
      <c r="AX3408" s="331"/>
      <c r="AY3408" s="331"/>
      <c r="AZ3408" s="331"/>
      <c r="BA3408" s="331"/>
      <c r="BB3408" s="331"/>
      <c r="BC3408" s="331"/>
      <c r="BD3408" s="331"/>
      <c r="BE3408" s="333"/>
      <c r="BF3408" s="330"/>
      <c r="BG3408" s="333"/>
      <c r="BH3408" s="1119"/>
      <c r="BI3408" s="319"/>
      <c r="BJ3408" s="319"/>
      <c r="BK3408" s="319"/>
      <c r="BL3408" s="319"/>
      <c r="BM3408" s="319"/>
      <c r="BN3408" s="319"/>
      <c r="BO3408" s="319"/>
      <c r="BP3408" s="953"/>
      <c r="BQ3408" s="319"/>
      <c r="BR3408" s="319"/>
      <c r="BS3408" s="330"/>
      <c r="BT3408" s="331"/>
      <c r="BU3408" s="920"/>
      <c r="BV3408" s="903"/>
      <c r="BW3408" s="908"/>
      <c r="BX3408" s="908"/>
      <c r="BY3408" s="331"/>
      <c r="BZ3408" s="331"/>
      <c r="CA3408" s="462"/>
      <c r="CB3408" s="319"/>
      <c r="CC3408" s="319"/>
      <c r="CD3408" s="319"/>
      <c r="CE3408" s="319"/>
      <c r="CF3408" s="319"/>
      <c r="CG3408" s="319"/>
      <c r="CH3408" s="318"/>
      <c r="CI3408" s="319"/>
      <c r="CJ3408" s="319"/>
      <c r="CK3408" s="342"/>
      <c r="CL3408" s="333"/>
      <c r="CM3408" s="1079"/>
      <c r="CN3408" s="1005"/>
      <c r="CO3408" s="1005"/>
      <c r="CP3408" s="1005"/>
    </row>
    <row r="3409">
      <c r="A3409" s="1257"/>
      <c r="B3409" s="1113"/>
      <c r="C3409" s="1107"/>
      <c r="D3409" s="103"/>
      <c r="E3409" s="1137"/>
      <c r="F3409" s="112"/>
      <c r="G3409" s="1110"/>
      <c r="H3409" s="1138"/>
      <c r="I3409" s="1138"/>
      <c r="J3409" s="1139"/>
      <c r="K3409" s="1111"/>
      <c r="L3409" s="1112"/>
      <c r="M3409" s="1113"/>
      <c r="N3409" s="110"/>
      <c r="O3409" s="1140"/>
      <c r="P3409" s="1115"/>
      <c r="Q3409" s="1116"/>
      <c r="R3409" s="1141"/>
      <c r="S3409" s="1113"/>
      <c r="T3409" s="1143"/>
      <c r="U3409" s="1108"/>
      <c r="V3409" s="1108"/>
      <c r="W3409" s="1108"/>
      <c r="X3409" s="1108"/>
      <c r="Y3409" s="1108"/>
      <c r="Z3409" s="1114"/>
      <c r="AA3409" s="1114"/>
      <c r="AB3409" s="1114"/>
      <c r="AC3409" s="1117"/>
      <c r="AD3409" s="1115"/>
      <c r="AE3409" s="1115"/>
      <c r="AF3409" s="1115"/>
      <c r="AG3409" s="1115"/>
      <c r="AH3409" s="1115"/>
      <c r="AI3409" s="1115"/>
      <c r="AJ3409" s="1117"/>
      <c r="AK3409" s="1118"/>
      <c r="AL3409" s="1115"/>
      <c r="AM3409" s="1115"/>
      <c r="AN3409" s="1115"/>
      <c r="AO3409" s="1115"/>
      <c r="AP3409" s="1115"/>
      <c r="AQ3409" s="1115"/>
      <c r="AR3409" s="1115"/>
      <c r="AS3409" s="1117"/>
      <c r="AT3409" s="1075"/>
      <c r="AU3409" s="1193"/>
      <c r="AV3409" s="330"/>
      <c r="AW3409" s="331"/>
      <c r="AX3409" s="331"/>
      <c r="AY3409" s="331"/>
      <c r="AZ3409" s="331"/>
      <c r="BA3409" s="331"/>
      <c r="BB3409" s="331"/>
      <c r="BC3409" s="331"/>
      <c r="BD3409" s="331"/>
      <c r="BE3409" s="333"/>
      <c r="BF3409" s="330"/>
      <c r="BG3409" s="333"/>
      <c r="BH3409" s="1119"/>
      <c r="BI3409" s="319"/>
      <c r="BJ3409" s="319"/>
      <c r="BK3409" s="319"/>
      <c r="BL3409" s="319"/>
      <c r="BM3409" s="319"/>
      <c r="BN3409" s="319"/>
      <c r="BO3409" s="319"/>
      <c r="BP3409" s="953"/>
      <c r="BQ3409" s="319"/>
      <c r="BR3409" s="319"/>
      <c r="BS3409" s="330"/>
      <c r="BT3409" s="331"/>
      <c r="BU3409" s="920"/>
      <c r="BV3409" s="903"/>
      <c r="BW3409" s="908"/>
      <c r="BX3409" s="908"/>
      <c r="BY3409" s="331"/>
      <c r="BZ3409" s="331"/>
      <c r="CA3409" s="462"/>
      <c r="CB3409" s="319"/>
      <c r="CC3409" s="319"/>
      <c r="CD3409" s="319"/>
      <c r="CE3409" s="319"/>
      <c r="CF3409" s="319"/>
      <c r="CG3409" s="319"/>
      <c r="CH3409" s="318"/>
      <c r="CI3409" s="319"/>
      <c r="CJ3409" s="319"/>
      <c r="CK3409" s="342"/>
      <c r="CL3409" s="333"/>
      <c r="CM3409" s="1079"/>
      <c r="CN3409" s="1005"/>
      <c r="CO3409" s="1005"/>
      <c r="CP3409" s="1005"/>
    </row>
    <row r="3410">
      <c r="A3410" s="1257"/>
      <c r="B3410" s="1113"/>
      <c r="C3410" s="1107"/>
      <c r="D3410" s="103"/>
      <c r="E3410" s="1137"/>
      <c r="F3410" s="112"/>
      <c r="G3410" s="1110"/>
      <c r="H3410" s="1138"/>
      <c r="I3410" s="1138"/>
      <c r="J3410" s="1139"/>
      <c r="K3410" s="1111"/>
      <c r="L3410" s="1112"/>
      <c r="M3410" s="1113"/>
      <c r="N3410" s="110"/>
      <c r="O3410" s="1140"/>
      <c r="P3410" s="1115"/>
      <c r="Q3410" s="1116"/>
      <c r="R3410" s="1141"/>
      <c r="S3410" s="1113"/>
      <c r="T3410" s="1143"/>
      <c r="U3410" s="1108"/>
      <c r="V3410" s="1108"/>
      <c r="W3410" s="1108"/>
      <c r="X3410" s="1108"/>
      <c r="Y3410" s="1108"/>
      <c r="Z3410" s="1114"/>
      <c r="AA3410" s="1114"/>
      <c r="AB3410" s="1114"/>
      <c r="AC3410" s="1117"/>
      <c r="AD3410" s="1115"/>
      <c r="AE3410" s="1115"/>
      <c r="AF3410" s="1115"/>
      <c r="AG3410" s="1115"/>
      <c r="AH3410" s="1115"/>
      <c r="AI3410" s="1115"/>
      <c r="AJ3410" s="1117"/>
      <c r="AK3410" s="1118"/>
      <c r="AL3410" s="1115"/>
      <c r="AM3410" s="1115"/>
      <c r="AN3410" s="1115"/>
      <c r="AO3410" s="1115"/>
      <c r="AP3410" s="1115"/>
      <c r="AQ3410" s="1115"/>
      <c r="AR3410" s="1115"/>
      <c r="AS3410" s="1117"/>
      <c r="AT3410" s="1075"/>
      <c r="AU3410" s="1193"/>
      <c r="AV3410" s="330"/>
      <c r="AW3410" s="331"/>
      <c r="AX3410" s="331"/>
      <c r="AY3410" s="331"/>
      <c r="AZ3410" s="331"/>
      <c r="BA3410" s="331"/>
      <c r="BB3410" s="331"/>
      <c r="BC3410" s="331"/>
      <c r="BD3410" s="331"/>
      <c r="BE3410" s="333"/>
      <c r="BF3410" s="330"/>
      <c r="BG3410" s="333"/>
      <c r="BH3410" s="1119"/>
      <c r="BI3410" s="319"/>
      <c r="BJ3410" s="319"/>
      <c r="BK3410" s="319"/>
      <c r="BL3410" s="319"/>
      <c r="BM3410" s="319"/>
      <c r="BN3410" s="319"/>
      <c r="BO3410" s="319"/>
      <c r="BP3410" s="953"/>
      <c r="BQ3410" s="319"/>
      <c r="BR3410" s="319"/>
      <c r="BS3410" s="330"/>
      <c r="BT3410" s="331"/>
      <c r="BU3410" s="920"/>
      <c r="BV3410" s="903"/>
      <c r="BW3410" s="908"/>
      <c r="BX3410" s="908"/>
      <c r="BY3410" s="331"/>
      <c r="BZ3410" s="331"/>
      <c r="CA3410" s="462"/>
      <c r="CB3410" s="319"/>
      <c r="CC3410" s="319"/>
      <c r="CD3410" s="319"/>
      <c r="CE3410" s="319"/>
      <c r="CF3410" s="319"/>
      <c r="CG3410" s="319"/>
      <c r="CH3410" s="318"/>
      <c r="CI3410" s="319"/>
      <c r="CJ3410" s="319"/>
      <c r="CK3410" s="342"/>
      <c r="CL3410" s="333"/>
      <c r="CM3410" s="1079"/>
      <c r="CN3410" s="1005"/>
      <c r="CO3410" s="1005"/>
      <c r="CP3410" s="1005"/>
    </row>
    <row r="3411">
      <c r="A3411" s="1257"/>
      <c r="B3411" s="1113"/>
      <c r="C3411" s="1107"/>
      <c r="D3411" s="103"/>
      <c r="E3411" s="1137"/>
      <c r="F3411" s="112"/>
      <c r="G3411" s="1110"/>
      <c r="H3411" s="1138"/>
      <c r="I3411" s="1138"/>
      <c r="J3411" s="1139"/>
      <c r="K3411" s="1111"/>
      <c r="L3411" s="1112"/>
      <c r="M3411" s="1113"/>
      <c r="N3411" s="110"/>
      <c r="O3411" s="1140"/>
      <c r="P3411" s="1115"/>
      <c r="Q3411" s="1116"/>
      <c r="R3411" s="1141"/>
      <c r="S3411" s="1113"/>
      <c r="T3411" s="1143"/>
      <c r="U3411" s="1108"/>
      <c r="V3411" s="1108"/>
      <c r="W3411" s="1108"/>
      <c r="X3411" s="1108"/>
      <c r="Y3411" s="1108"/>
      <c r="Z3411" s="1114"/>
      <c r="AA3411" s="1114"/>
      <c r="AB3411" s="1114"/>
      <c r="AC3411" s="1117"/>
      <c r="AD3411" s="1115"/>
      <c r="AE3411" s="1115"/>
      <c r="AF3411" s="1115"/>
      <c r="AG3411" s="1115"/>
      <c r="AH3411" s="1115"/>
      <c r="AI3411" s="1115"/>
      <c r="AJ3411" s="1117"/>
      <c r="AK3411" s="1118"/>
      <c r="AL3411" s="1115"/>
      <c r="AM3411" s="1115"/>
      <c r="AN3411" s="1115"/>
      <c r="AO3411" s="1115"/>
      <c r="AP3411" s="1115"/>
      <c r="AQ3411" s="1115"/>
      <c r="AR3411" s="1115"/>
      <c r="AS3411" s="1117"/>
      <c r="AT3411" s="1075"/>
      <c r="AU3411" s="1193"/>
      <c r="AV3411" s="330"/>
      <c r="AW3411" s="331"/>
      <c r="AX3411" s="331"/>
      <c r="AY3411" s="331"/>
      <c r="AZ3411" s="331"/>
      <c r="BA3411" s="331"/>
      <c r="BB3411" s="331"/>
      <c r="BC3411" s="331"/>
      <c r="BD3411" s="331"/>
      <c r="BE3411" s="333"/>
      <c r="BF3411" s="330"/>
      <c r="BG3411" s="333"/>
      <c r="BH3411" s="1119"/>
      <c r="BI3411" s="319"/>
      <c r="BJ3411" s="319"/>
      <c r="BK3411" s="319"/>
      <c r="BL3411" s="319"/>
      <c r="BM3411" s="319"/>
      <c r="BN3411" s="319"/>
      <c r="BO3411" s="319"/>
      <c r="BP3411" s="953"/>
      <c r="BQ3411" s="319"/>
      <c r="BR3411" s="319"/>
      <c r="BS3411" s="330"/>
      <c r="BT3411" s="331"/>
      <c r="BU3411" s="920"/>
      <c r="BV3411" s="903"/>
      <c r="BW3411" s="908"/>
      <c r="BX3411" s="908"/>
      <c r="BY3411" s="331"/>
      <c r="BZ3411" s="331"/>
      <c r="CA3411" s="462"/>
      <c r="CB3411" s="319"/>
      <c r="CC3411" s="319"/>
      <c r="CD3411" s="319"/>
      <c r="CE3411" s="319"/>
      <c r="CF3411" s="319"/>
      <c r="CG3411" s="319"/>
      <c r="CH3411" s="318"/>
      <c r="CI3411" s="319"/>
      <c r="CJ3411" s="319"/>
      <c r="CK3411" s="342"/>
      <c r="CL3411" s="333"/>
      <c r="CM3411" s="1079"/>
      <c r="CN3411" s="1005"/>
      <c r="CO3411" s="1005"/>
      <c r="CP3411" s="1005"/>
    </row>
    <row r="3412">
      <c r="A3412" s="1257"/>
      <c r="B3412" s="1113"/>
      <c r="C3412" s="1107"/>
      <c r="D3412" s="103"/>
      <c r="E3412" s="1137"/>
      <c r="F3412" s="112"/>
      <c r="G3412" s="1110"/>
      <c r="H3412" s="1138"/>
      <c r="I3412" s="1138"/>
      <c r="J3412" s="1139"/>
      <c r="K3412" s="1111"/>
      <c r="L3412" s="1112"/>
      <c r="M3412" s="1113"/>
      <c r="N3412" s="110"/>
      <c r="O3412" s="1140"/>
      <c r="P3412" s="1115"/>
      <c r="Q3412" s="1116"/>
      <c r="R3412" s="1141"/>
      <c r="S3412" s="1113"/>
      <c r="T3412" s="1143"/>
      <c r="U3412" s="1108"/>
      <c r="V3412" s="1108"/>
      <c r="W3412" s="1108"/>
      <c r="X3412" s="1108"/>
      <c r="Y3412" s="1108"/>
      <c r="Z3412" s="1114"/>
      <c r="AA3412" s="1114"/>
      <c r="AB3412" s="1114"/>
      <c r="AC3412" s="1117"/>
      <c r="AD3412" s="1115"/>
      <c r="AE3412" s="1115"/>
      <c r="AF3412" s="1115"/>
      <c r="AG3412" s="1115"/>
      <c r="AH3412" s="1115"/>
      <c r="AI3412" s="1115"/>
      <c r="AJ3412" s="1117"/>
      <c r="AK3412" s="1118"/>
      <c r="AL3412" s="1115"/>
      <c r="AM3412" s="1115"/>
      <c r="AN3412" s="1115"/>
      <c r="AO3412" s="1115"/>
      <c r="AP3412" s="1115"/>
      <c r="AQ3412" s="1115"/>
      <c r="AR3412" s="1115"/>
      <c r="AS3412" s="1117"/>
      <c r="AT3412" s="1075"/>
      <c r="AU3412" s="1193"/>
      <c r="AV3412" s="330"/>
      <c r="AW3412" s="331"/>
      <c r="AX3412" s="331"/>
      <c r="AY3412" s="331"/>
      <c r="AZ3412" s="331"/>
      <c r="BA3412" s="331"/>
      <c r="BB3412" s="331"/>
      <c r="BC3412" s="331"/>
      <c r="BD3412" s="331"/>
      <c r="BE3412" s="333"/>
      <c r="BF3412" s="330"/>
      <c r="BG3412" s="333"/>
      <c r="BH3412" s="1119"/>
      <c r="BI3412" s="319"/>
      <c r="BJ3412" s="319"/>
      <c r="BK3412" s="319"/>
      <c r="BL3412" s="319"/>
      <c r="BM3412" s="319"/>
      <c r="BN3412" s="319"/>
      <c r="BO3412" s="319"/>
      <c r="BP3412" s="953"/>
      <c r="BQ3412" s="319"/>
      <c r="BR3412" s="319"/>
      <c r="BS3412" s="330"/>
      <c r="BT3412" s="331"/>
      <c r="BU3412" s="920"/>
      <c r="BV3412" s="903"/>
      <c r="BW3412" s="908"/>
      <c r="BX3412" s="908"/>
      <c r="BY3412" s="331"/>
      <c r="BZ3412" s="331"/>
      <c r="CA3412" s="462"/>
      <c r="CB3412" s="319"/>
      <c r="CC3412" s="319"/>
      <c r="CD3412" s="319"/>
      <c r="CE3412" s="319"/>
      <c r="CF3412" s="319"/>
      <c r="CG3412" s="319"/>
      <c r="CH3412" s="318"/>
      <c r="CI3412" s="319"/>
      <c r="CJ3412" s="319"/>
      <c r="CK3412" s="342"/>
      <c r="CL3412" s="333"/>
      <c r="CM3412" s="1079"/>
      <c r="CN3412" s="1005"/>
      <c r="CO3412" s="1005"/>
      <c r="CP3412" s="1005"/>
    </row>
    <row r="3413">
      <c r="A3413" s="1257"/>
      <c r="B3413" s="1113"/>
      <c r="C3413" s="1107"/>
      <c r="D3413" s="103"/>
      <c r="E3413" s="1137"/>
      <c r="F3413" s="112"/>
      <c r="G3413" s="1110"/>
      <c r="H3413" s="1138"/>
      <c r="I3413" s="1138"/>
      <c r="J3413" s="1139"/>
      <c r="K3413" s="1111"/>
      <c r="L3413" s="1112"/>
      <c r="M3413" s="1113"/>
      <c r="N3413" s="110"/>
      <c r="O3413" s="1140"/>
      <c r="P3413" s="1115"/>
      <c r="Q3413" s="1116"/>
      <c r="R3413" s="1141"/>
      <c r="S3413" s="1113"/>
      <c r="T3413" s="1143"/>
      <c r="U3413" s="1108"/>
      <c r="V3413" s="1108"/>
      <c r="W3413" s="1108"/>
      <c r="X3413" s="1108"/>
      <c r="Y3413" s="1108"/>
      <c r="Z3413" s="1114"/>
      <c r="AA3413" s="1114"/>
      <c r="AB3413" s="1114"/>
      <c r="AC3413" s="1117"/>
      <c r="AD3413" s="1115"/>
      <c r="AE3413" s="1115"/>
      <c r="AF3413" s="1115"/>
      <c r="AG3413" s="1115"/>
      <c r="AH3413" s="1115"/>
      <c r="AI3413" s="1115"/>
      <c r="AJ3413" s="1117"/>
      <c r="AK3413" s="1118"/>
      <c r="AL3413" s="1115"/>
      <c r="AM3413" s="1115"/>
      <c r="AN3413" s="1115"/>
      <c r="AO3413" s="1115"/>
      <c r="AP3413" s="1115"/>
      <c r="AQ3413" s="1115"/>
      <c r="AR3413" s="1115"/>
      <c r="AS3413" s="1117"/>
      <c r="AT3413" s="1075"/>
      <c r="AU3413" s="1193"/>
      <c r="AV3413" s="330"/>
      <c r="AW3413" s="331"/>
      <c r="AX3413" s="331"/>
      <c r="AY3413" s="331"/>
      <c r="AZ3413" s="331"/>
      <c r="BA3413" s="331"/>
      <c r="BB3413" s="331"/>
      <c r="BC3413" s="331"/>
      <c r="BD3413" s="331"/>
      <c r="BE3413" s="333"/>
      <c r="BF3413" s="330"/>
      <c r="BG3413" s="333"/>
      <c r="BH3413" s="1119"/>
      <c r="BI3413" s="319"/>
      <c r="BJ3413" s="319"/>
      <c r="BK3413" s="319"/>
      <c r="BL3413" s="319"/>
      <c r="BM3413" s="319"/>
      <c r="BN3413" s="319"/>
      <c r="BO3413" s="319"/>
      <c r="BP3413" s="953"/>
      <c r="BQ3413" s="319"/>
      <c r="BR3413" s="319"/>
      <c r="BS3413" s="330"/>
      <c r="BT3413" s="331"/>
      <c r="BU3413" s="920"/>
      <c r="BV3413" s="903"/>
      <c r="BW3413" s="908"/>
      <c r="BX3413" s="908"/>
      <c r="BY3413" s="331"/>
      <c r="BZ3413" s="331"/>
      <c r="CA3413" s="462"/>
      <c r="CB3413" s="319"/>
      <c r="CC3413" s="319"/>
      <c r="CD3413" s="319"/>
      <c r="CE3413" s="319"/>
      <c r="CF3413" s="319"/>
      <c r="CG3413" s="319"/>
      <c r="CH3413" s="318"/>
      <c r="CI3413" s="319"/>
      <c r="CJ3413" s="319"/>
      <c r="CK3413" s="342"/>
      <c r="CL3413" s="333"/>
      <c r="CM3413" s="1079"/>
      <c r="CN3413" s="1005"/>
      <c r="CO3413" s="1005"/>
      <c r="CP3413" s="1005"/>
    </row>
    <row r="3414">
      <c r="A3414" s="1257"/>
      <c r="B3414" s="1113"/>
      <c r="C3414" s="1107"/>
      <c r="D3414" s="103"/>
      <c r="E3414" s="1137"/>
      <c r="F3414" s="112"/>
      <c r="G3414" s="1110"/>
      <c r="H3414" s="1138"/>
      <c r="I3414" s="1138"/>
      <c r="J3414" s="1139"/>
      <c r="K3414" s="1111"/>
      <c r="L3414" s="1112"/>
      <c r="M3414" s="1113"/>
      <c r="N3414" s="110"/>
      <c r="O3414" s="1140"/>
      <c r="P3414" s="1115"/>
      <c r="Q3414" s="1116"/>
      <c r="R3414" s="1141"/>
      <c r="S3414" s="1113"/>
      <c r="T3414" s="1143"/>
      <c r="U3414" s="1108"/>
      <c r="V3414" s="1108"/>
      <c r="W3414" s="1108"/>
      <c r="X3414" s="1108"/>
      <c r="Y3414" s="1108"/>
      <c r="Z3414" s="1114"/>
      <c r="AA3414" s="1114"/>
      <c r="AB3414" s="1114"/>
      <c r="AC3414" s="1117"/>
      <c r="AD3414" s="1115"/>
      <c r="AE3414" s="1115"/>
      <c r="AF3414" s="1115"/>
      <c r="AG3414" s="1115"/>
      <c r="AH3414" s="1115"/>
      <c r="AI3414" s="1115"/>
      <c r="AJ3414" s="1117"/>
      <c r="AK3414" s="1118"/>
      <c r="AL3414" s="1115"/>
      <c r="AM3414" s="1115"/>
      <c r="AN3414" s="1115"/>
      <c r="AO3414" s="1115"/>
      <c r="AP3414" s="1115"/>
      <c r="AQ3414" s="1115"/>
      <c r="AR3414" s="1115"/>
      <c r="AS3414" s="1117"/>
      <c r="AT3414" s="1075"/>
      <c r="AU3414" s="1193"/>
      <c r="AV3414" s="330"/>
      <c r="AW3414" s="331"/>
      <c r="AX3414" s="331"/>
      <c r="AY3414" s="331"/>
      <c r="AZ3414" s="331"/>
      <c r="BA3414" s="331"/>
      <c r="BB3414" s="331"/>
      <c r="BC3414" s="331"/>
      <c r="BD3414" s="331"/>
      <c r="BE3414" s="333"/>
      <c r="BF3414" s="330"/>
      <c r="BG3414" s="333"/>
      <c r="BH3414" s="1119"/>
      <c r="BI3414" s="319"/>
      <c r="BJ3414" s="319"/>
      <c r="BK3414" s="319"/>
      <c r="BL3414" s="319"/>
      <c r="BM3414" s="319"/>
      <c r="BN3414" s="319"/>
      <c r="BO3414" s="319"/>
      <c r="BP3414" s="953"/>
      <c r="BQ3414" s="319"/>
      <c r="BR3414" s="319"/>
      <c r="BS3414" s="330"/>
      <c r="BT3414" s="331"/>
      <c r="BU3414" s="920"/>
      <c r="BV3414" s="903"/>
      <c r="BW3414" s="908"/>
      <c r="BX3414" s="908"/>
      <c r="BY3414" s="331"/>
      <c r="BZ3414" s="331"/>
      <c r="CA3414" s="462"/>
      <c r="CB3414" s="319"/>
      <c r="CC3414" s="319"/>
      <c r="CD3414" s="319"/>
      <c r="CE3414" s="319"/>
      <c r="CF3414" s="319"/>
      <c r="CG3414" s="319"/>
      <c r="CH3414" s="318"/>
      <c r="CI3414" s="319"/>
      <c r="CJ3414" s="319"/>
      <c r="CK3414" s="342"/>
      <c r="CL3414" s="333"/>
      <c r="CM3414" s="1079"/>
      <c r="CN3414" s="1005"/>
      <c r="CO3414" s="1005"/>
      <c r="CP3414" s="1005"/>
    </row>
    <row r="3415">
      <c r="A3415" s="1257"/>
      <c r="B3415" s="1113"/>
      <c r="C3415" s="1107"/>
      <c r="D3415" s="103"/>
      <c r="E3415" s="1137"/>
      <c r="F3415" s="112"/>
      <c r="G3415" s="1110"/>
      <c r="H3415" s="1138"/>
      <c r="I3415" s="1138"/>
      <c r="J3415" s="1139"/>
      <c r="K3415" s="1111"/>
      <c r="L3415" s="1112"/>
      <c r="M3415" s="1113"/>
      <c r="N3415" s="110"/>
      <c r="O3415" s="1140"/>
      <c r="P3415" s="1115"/>
      <c r="Q3415" s="1116"/>
      <c r="R3415" s="1141"/>
      <c r="S3415" s="1113"/>
      <c r="T3415" s="1143"/>
      <c r="U3415" s="1108"/>
      <c r="V3415" s="1108"/>
      <c r="W3415" s="1108"/>
      <c r="X3415" s="1108"/>
      <c r="Y3415" s="1108"/>
      <c r="Z3415" s="1114"/>
      <c r="AA3415" s="1114"/>
      <c r="AB3415" s="1114"/>
      <c r="AC3415" s="1117"/>
      <c r="AD3415" s="1115"/>
      <c r="AE3415" s="1115"/>
      <c r="AF3415" s="1115"/>
      <c r="AG3415" s="1115"/>
      <c r="AH3415" s="1115"/>
      <c r="AI3415" s="1115"/>
      <c r="AJ3415" s="1117"/>
      <c r="AK3415" s="1118"/>
      <c r="AL3415" s="1115"/>
      <c r="AM3415" s="1115"/>
      <c r="AN3415" s="1115"/>
      <c r="AO3415" s="1115"/>
      <c r="AP3415" s="1115"/>
      <c r="AQ3415" s="1115"/>
      <c r="AR3415" s="1115"/>
      <c r="AS3415" s="1117"/>
      <c r="AT3415" s="1075"/>
      <c r="AU3415" s="1193"/>
      <c r="AV3415" s="330"/>
      <c r="AW3415" s="331"/>
      <c r="AX3415" s="331"/>
      <c r="AY3415" s="331"/>
      <c r="AZ3415" s="331"/>
      <c r="BA3415" s="331"/>
      <c r="BB3415" s="331"/>
      <c r="BC3415" s="331"/>
      <c r="BD3415" s="331"/>
      <c r="BE3415" s="333"/>
      <c r="BF3415" s="330"/>
      <c r="BG3415" s="333"/>
      <c r="BH3415" s="1119"/>
      <c r="BI3415" s="319"/>
      <c r="BJ3415" s="319"/>
      <c r="BK3415" s="319"/>
      <c r="BL3415" s="319"/>
      <c r="BM3415" s="319"/>
      <c r="BN3415" s="319"/>
      <c r="BO3415" s="319"/>
      <c r="BP3415" s="953"/>
      <c r="BQ3415" s="319"/>
      <c r="BR3415" s="319"/>
      <c r="BS3415" s="330"/>
      <c r="BT3415" s="331"/>
      <c r="BU3415" s="920"/>
      <c r="BV3415" s="903"/>
      <c r="BW3415" s="908"/>
      <c r="BX3415" s="908"/>
      <c r="BY3415" s="331"/>
      <c r="BZ3415" s="331"/>
      <c r="CA3415" s="462"/>
      <c r="CB3415" s="319"/>
      <c r="CC3415" s="319"/>
      <c r="CD3415" s="319"/>
      <c r="CE3415" s="319"/>
      <c r="CF3415" s="319"/>
      <c r="CG3415" s="319"/>
      <c r="CH3415" s="318"/>
      <c r="CI3415" s="319"/>
      <c r="CJ3415" s="319"/>
      <c r="CK3415" s="342"/>
      <c r="CL3415" s="333"/>
      <c r="CM3415" s="1079"/>
      <c r="CN3415" s="1005"/>
      <c r="CO3415" s="1005"/>
      <c r="CP3415" s="1005"/>
    </row>
    <row r="3416">
      <c r="A3416" s="1257"/>
      <c r="B3416" s="1113"/>
      <c r="C3416" s="1107"/>
      <c r="D3416" s="103"/>
      <c r="E3416" s="1137"/>
      <c r="F3416" s="112"/>
      <c r="G3416" s="1110"/>
      <c r="H3416" s="1138"/>
      <c r="I3416" s="1138"/>
      <c r="J3416" s="1139"/>
      <c r="K3416" s="1111"/>
      <c r="L3416" s="1112"/>
      <c r="M3416" s="1113"/>
      <c r="N3416" s="110"/>
      <c r="O3416" s="1140"/>
      <c r="P3416" s="1115"/>
      <c r="Q3416" s="1116"/>
      <c r="R3416" s="1141"/>
      <c r="S3416" s="1113"/>
      <c r="T3416" s="1143"/>
      <c r="U3416" s="1108"/>
      <c r="V3416" s="1108"/>
      <c r="W3416" s="1108"/>
      <c r="X3416" s="1108"/>
      <c r="Y3416" s="1108"/>
      <c r="Z3416" s="1114"/>
      <c r="AA3416" s="1114"/>
      <c r="AB3416" s="1114"/>
      <c r="AC3416" s="1117"/>
      <c r="AD3416" s="1115"/>
      <c r="AE3416" s="1115"/>
      <c r="AF3416" s="1115"/>
      <c r="AG3416" s="1115"/>
      <c r="AH3416" s="1115"/>
      <c r="AI3416" s="1115"/>
      <c r="AJ3416" s="1117"/>
      <c r="AK3416" s="1118"/>
      <c r="AL3416" s="1115"/>
      <c r="AM3416" s="1115"/>
      <c r="AN3416" s="1115"/>
      <c r="AO3416" s="1115"/>
      <c r="AP3416" s="1115"/>
      <c r="AQ3416" s="1115"/>
      <c r="AR3416" s="1115"/>
      <c r="AS3416" s="1117"/>
      <c r="AT3416" s="1075"/>
      <c r="AU3416" s="1193"/>
      <c r="AV3416" s="330"/>
      <c r="AW3416" s="331"/>
      <c r="AX3416" s="331"/>
      <c r="AY3416" s="331"/>
      <c r="AZ3416" s="331"/>
      <c r="BA3416" s="331"/>
      <c r="BB3416" s="331"/>
      <c r="BC3416" s="331"/>
      <c r="BD3416" s="331"/>
      <c r="BE3416" s="333"/>
      <c r="BF3416" s="330"/>
      <c r="BG3416" s="333"/>
      <c r="BH3416" s="1119"/>
      <c r="BI3416" s="319"/>
      <c r="BJ3416" s="319"/>
      <c r="BK3416" s="319"/>
      <c r="BL3416" s="319"/>
      <c r="BM3416" s="319"/>
      <c r="BN3416" s="319"/>
      <c r="BO3416" s="319"/>
      <c r="BP3416" s="953"/>
      <c r="BQ3416" s="319"/>
      <c r="BR3416" s="319"/>
      <c r="BS3416" s="330"/>
      <c r="BT3416" s="331"/>
      <c r="BU3416" s="920"/>
      <c r="BV3416" s="903"/>
      <c r="BW3416" s="908"/>
      <c r="BX3416" s="908"/>
      <c r="BY3416" s="331"/>
      <c r="BZ3416" s="331"/>
      <c r="CA3416" s="462"/>
      <c r="CB3416" s="319"/>
      <c r="CC3416" s="319"/>
      <c r="CD3416" s="319"/>
      <c r="CE3416" s="319"/>
      <c r="CF3416" s="319"/>
      <c r="CG3416" s="319"/>
      <c r="CH3416" s="318"/>
      <c r="CI3416" s="319"/>
      <c r="CJ3416" s="319"/>
      <c r="CK3416" s="342"/>
      <c r="CL3416" s="333"/>
      <c r="CM3416" s="1079"/>
      <c r="CN3416" s="1005"/>
      <c r="CO3416" s="1005"/>
      <c r="CP3416" s="1005"/>
    </row>
    <row r="3417">
      <c r="A3417" s="1257"/>
      <c r="B3417" s="1113"/>
      <c r="C3417" s="1107"/>
      <c r="D3417" s="103"/>
      <c r="E3417" s="1137"/>
      <c r="F3417" s="112"/>
      <c r="G3417" s="1110"/>
      <c r="H3417" s="1138"/>
      <c r="I3417" s="1138"/>
      <c r="J3417" s="1139"/>
      <c r="K3417" s="1111"/>
      <c r="L3417" s="1112"/>
      <c r="M3417" s="1113"/>
      <c r="N3417" s="110"/>
      <c r="O3417" s="1140"/>
      <c r="P3417" s="1115"/>
      <c r="Q3417" s="1116"/>
      <c r="R3417" s="1141"/>
      <c r="S3417" s="1113"/>
      <c r="T3417" s="1143"/>
      <c r="U3417" s="1108"/>
      <c r="V3417" s="1108"/>
      <c r="W3417" s="1108"/>
      <c r="X3417" s="1108"/>
      <c r="Y3417" s="1108"/>
      <c r="Z3417" s="1114"/>
      <c r="AA3417" s="1114"/>
      <c r="AB3417" s="1114"/>
      <c r="AC3417" s="1117"/>
      <c r="AD3417" s="1115"/>
      <c r="AE3417" s="1115"/>
      <c r="AF3417" s="1115"/>
      <c r="AG3417" s="1115"/>
      <c r="AH3417" s="1115"/>
      <c r="AI3417" s="1115"/>
      <c r="AJ3417" s="1117"/>
      <c r="AK3417" s="1118"/>
      <c r="AL3417" s="1115"/>
      <c r="AM3417" s="1115"/>
      <c r="AN3417" s="1115"/>
      <c r="AO3417" s="1115"/>
      <c r="AP3417" s="1115"/>
      <c r="AQ3417" s="1115"/>
      <c r="AR3417" s="1115"/>
      <c r="AS3417" s="1117"/>
      <c r="AT3417" s="1075"/>
      <c r="AU3417" s="1193"/>
      <c r="AV3417" s="330"/>
      <c r="AW3417" s="331"/>
      <c r="AX3417" s="331"/>
      <c r="AY3417" s="331"/>
      <c r="AZ3417" s="331"/>
      <c r="BA3417" s="331"/>
      <c r="BB3417" s="331"/>
      <c r="BC3417" s="331"/>
      <c r="BD3417" s="331"/>
      <c r="BE3417" s="333"/>
      <c r="BF3417" s="330"/>
      <c r="BG3417" s="333"/>
      <c r="BH3417" s="1119"/>
      <c r="BI3417" s="319"/>
      <c r="BJ3417" s="319"/>
      <c r="BK3417" s="319"/>
      <c r="BL3417" s="319"/>
      <c r="BM3417" s="319"/>
      <c r="BN3417" s="319"/>
      <c r="BO3417" s="319"/>
      <c r="BP3417" s="953"/>
      <c r="BQ3417" s="319"/>
      <c r="BR3417" s="319"/>
      <c r="BS3417" s="330"/>
      <c r="BT3417" s="331"/>
      <c r="BU3417" s="920"/>
      <c r="BV3417" s="903"/>
      <c r="BW3417" s="908"/>
      <c r="BX3417" s="908"/>
      <c r="BY3417" s="331"/>
      <c r="BZ3417" s="331"/>
      <c r="CA3417" s="462"/>
      <c r="CB3417" s="319"/>
      <c r="CC3417" s="319"/>
      <c r="CD3417" s="319"/>
      <c r="CE3417" s="319"/>
      <c r="CF3417" s="319"/>
      <c r="CG3417" s="319"/>
      <c r="CH3417" s="318"/>
      <c r="CI3417" s="319"/>
      <c r="CJ3417" s="319"/>
      <c r="CK3417" s="342"/>
      <c r="CL3417" s="333"/>
      <c r="CM3417" s="1079"/>
      <c r="CN3417" s="1005"/>
      <c r="CO3417" s="1005"/>
      <c r="CP3417" s="1005"/>
    </row>
    <row r="3418">
      <c r="A3418" s="1257"/>
      <c r="B3418" s="1113"/>
      <c r="C3418" s="1107"/>
      <c r="D3418" s="103"/>
      <c r="E3418" s="1137"/>
      <c r="F3418" s="112"/>
      <c r="G3418" s="1110"/>
      <c r="H3418" s="1138"/>
      <c r="I3418" s="1138"/>
      <c r="J3418" s="1139"/>
      <c r="K3418" s="1111"/>
      <c r="L3418" s="1112"/>
      <c r="M3418" s="1113"/>
      <c r="N3418" s="110"/>
      <c r="O3418" s="1140"/>
      <c r="P3418" s="1115"/>
      <c r="Q3418" s="1116"/>
      <c r="R3418" s="1141"/>
      <c r="S3418" s="1113"/>
      <c r="T3418" s="1143"/>
      <c r="U3418" s="1108"/>
      <c r="V3418" s="1108"/>
      <c r="W3418" s="1108"/>
      <c r="X3418" s="1108"/>
      <c r="Y3418" s="1108"/>
      <c r="Z3418" s="1114"/>
      <c r="AA3418" s="1114"/>
      <c r="AB3418" s="1114"/>
      <c r="AC3418" s="1117"/>
      <c r="AD3418" s="1115"/>
      <c r="AE3418" s="1115"/>
      <c r="AF3418" s="1115"/>
      <c r="AG3418" s="1115"/>
      <c r="AH3418" s="1115"/>
      <c r="AI3418" s="1115"/>
      <c r="AJ3418" s="1117"/>
      <c r="AK3418" s="1118"/>
      <c r="AL3418" s="1115"/>
      <c r="AM3418" s="1115"/>
      <c r="AN3418" s="1115"/>
      <c r="AO3418" s="1115"/>
      <c r="AP3418" s="1115"/>
      <c r="AQ3418" s="1115"/>
      <c r="AR3418" s="1115"/>
      <c r="AS3418" s="1117"/>
      <c r="AT3418" s="1075"/>
      <c r="AU3418" s="1193"/>
      <c r="AV3418" s="330"/>
      <c r="AW3418" s="331"/>
      <c r="AX3418" s="331"/>
      <c r="AY3418" s="331"/>
      <c r="AZ3418" s="331"/>
      <c r="BA3418" s="331"/>
      <c r="BB3418" s="331"/>
      <c r="BC3418" s="331"/>
      <c r="BD3418" s="331"/>
      <c r="BE3418" s="333"/>
      <c r="BF3418" s="330"/>
      <c r="BG3418" s="333"/>
      <c r="BH3418" s="1119"/>
      <c r="BI3418" s="319"/>
      <c r="BJ3418" s="319"/>
      <c r="BK3418" s="319"/>
      <c r="BL3418" s="319"/>
      <c r="BM3418" s="319"/>
      <c r="BN3418" s="319"/>
      <c r="BO3418" s="319"/>
      <c r="BP3418" s="953"/>
      <c r="BQ3418" s="319"/>
      <c r="BR3418" s="319"/>
      <c r="BS3418" s="330"/>
      <c r="BT3418" s="331"/>
      <c r="BU3418" s="920"/>
      <c r="BV3418" s="903"/>
      <c r="BW3418" s="908"/>
      <c r="BX3418" s="908"/>
      <c r="BY3418" s="331"/>
      <c r="BZ3418" s="331"/>
      <c r="CA3418" s="462"/>
      <c r="CB3418" s="319"/>
      <c r="CC3418" s="319"/>
      <c r="CD3418" s="319"/>
      <c r="CE3418" s="319"/>
      <c r="CF3418" s="319"/>
      <c r="CG3418" s="319"/>
      <c r="CH3418" s="318"/>
      <c r="CI3418" s="319"/>
      <c r="CJ3418" s="319"/>
      <c r="CK3418" s="342"/>
      <c r="CL3418" s="333"/>
      <c r="CM3418" s="1079"/>
      <c r="CN3418" s="1005"/>
      <c r="CO3418" s="1005"/>
      <c r="CP3418" s="1005"/>
    </row>
    <row r="3419">
      <c r="A3419" s="1257"/>
      <c r="B3419" s="1113"/>
      <c r="C3419" s="1107"/>
      <c r="D3419" s="103"/>
      <c r="E3419" s="1137"/>
      <c r="F3419" s="112"/>
      <c r="G3419" s="1110"/>
      <c r="H3419" s="1138"/>
      <c r="I3419" s="1138"/>
      <c r="J3419" s="1139"/>
      <c r="K3419" s="1111"/>
      <c r="L3419" s="1112"/>
      <c r="M3419" s="1113"/>
      <c r="N3419" s="110"/>
      <c r="O3419" s="1140"/>
      <c r="P3419" s="1115"/>
      <c r="Q3419" s="1116"/>
      <c r="R3419" s="1141"/>
      <c r="S3419" s="1113"/>
      <c r="T3419" s="1143"/>
      <c r="U3419" s="1108"/>
      <c r="V3419" s="1108"/>
      <c r="W3419" s="1108"/>
      <c r="X3419" s="1108"/>
      <c r="Y3419" s="1108"/>
      <c r="Z3419" s="1114"/>
      <c r="AA3419" s="1114"/>
      <c r="AB3419" s="1114"/>
      <c r="AC3419" s="1117"/>
      <c r="AD3419" s="1115"/>
      <c r="AE3419" s="1115"/>
      <c r="AF3419" s="1115"/>
      <c r="AG3419" s="1115"/>
      <c r="AH3419" s="1115"/>
      <c r="AI3419" s="1115"/>
      <c r="AJ3419" s="1117"/>
      <c r="AK3419" s="1118"/>
      <c r="AL3419" s="1115"/>
      <c r="AM3419" s="1115"/>
      <c r="AN3419" s="1115"/>
      <c r="AO3419" s="1115"/>
      <c r="AP3419" s="1115"/>
      <c r="AQ3419" s="1115"/>
      <c r="AR3419" s="1115"/>
      <c r="AS3419" s="1117"/>
      <c r="AT3419" s="1075"/>
      <c r="AU3419" s="1193"/>
      <c r="AV3419" s="330"/>
      <c r="AW3419" s="331"/>
      <c r="AX3419" s="331"/>
      <c r="AY3419" s="331"/>
      <c r="AZ3419" s="331"/>
      <c r="BA3419" s="331"/>
      <c r="BB3419" s="331"/>
      <c r="BC3419" s="331"/>
      <c r="BD3419" s="331"/>
      <c r="BE3419" s="333"/>
      <c r="BF3419" s="330"/>
      <c r="BG3419" s="333"/>
      <c r="BH3419" s="1119"/>
      <c r="BI3419" s="319"/>
      <c r="BJ3419" s="319"/>
      <c r="BK3419" s="319"/>
      <c r="BL3419" s="319"/>
      <c r="BM3419" s="319"/>
      <c r="BN3419" s="319"/>
      <c r="BO3419" s="319"/>
      <c r="BP3419" s="953"/>
      <c r="BQ3419" s="319"/>
      <c r="BR3419" s="319"/>
      <c r="BS3419" s="330"/>
      <c r="BT3419" s="331"/>
      <c r="BU3419" s="920"/>
      <c r="BV3419" s="903"/>
      <c r="BW3419" s="908"/>
      <c r="BX3419" s="908"/>
      <c r="BY3419" s="331"/>
      <c r="BZ3419" s="331"/>
      <c r="CA3419" s="462"/>
      <c r="CB3419" s="319"/>
      <c r="CC3419" s="319"/>
      <c r="CD3419" s="319"/>
      <c r="CE3419" s="319"/>
      <c r="CF3419" s="319"/>
      <c r="CG3419" s="319"/>
      <c r="CH3419" s="318"/>
      <c r="CI3419" s="319"/>
      <c r="CJ3419" s="319"/>
      <c r="CK3419" s="342"/>
      <c r="CL3419" s="333"/>
      <c r="CM3419" s="1079"/>
      <c r="CN3419" s="1005"/>
      <c r="CO3419" s="1005"/>
      <c r="CP3419" s="1005"/>
    </row>
    <row r="3420">
      <c r="A3420" s="1257"/>
      <c r="B3420" s="1113"/>
      <c r="C3420" s="1107"/>
      <c r="D3420" s="103"/>
      <c r="E3420" s="1137"/>
      <c r="F3420" s="112"/>
      <c r="G3420" s="1110"/>
      <c r="H3420" s="1138"/>
      <c r="I3420" s="1138"/>
      <c r="J3420" s="1139"/>
      <c r="K3420" s="1111"/>
      <c r="L3420" s="1112"/>
      <c r="M3420" s="1113"/>
      <c r="N3420" s="110"/>
      <c r="O3420" s="1140"/>
      <c r="P3420" s="1115"/>
      <c r="Q3420" s="1116"/>
      <c r="R3420" s="1141"/>
      <c r="S3420" s="1113"/>
      <c r="T3420" s="1143"/>
      <c r="U3420" s="1108"/>
      <c r="V3420" s="1108"/>
      <c r="W3420" s="1108"/>
      <c r="X3420" s="1108"/>
      <c r="Y3420" s="1108"/>
      <c r="Z3420" s="1114"/>
      <c r="AA3420" s="1114"/>
      <c r="AB3420" s="1114"/>
      <c r="AC3420" s="1117"/>
      <c r="AD3420" s="1115"/>
      <c r="AE3420" s="1115"/>
      <c r="AF3420" s="1115"/>
      <c r="AG3420" s="1115"/>
      <c r="AH3420" s="1115"/>
      <c r="AI3420" s="1115"/>
      <c r="AJ3420" s="1117"/>
      <c r="AK3420" s="1118"/>
      <c r="AL3420" s="1115"/>
      <c r="AM3420" s="1115"/>
      <c r="AN3420" s="1115"/>
      <c r="AO3420" s="1115"/>
      <c r="AP3420" s="1115"/>
      <c r="AQ3420" s="1115"/>
      <c r="AR3420" s="1115"/>
      <c r="AS3420" s="1117"/>
      <c r="AT3420" s="1075"/>
      <c r="AU3420" s="1193"/>
      <c r="AV3420" s="330"/>
      <c r="AW3420" s="331"/>
      <c r="AX3420" s="331"/>
      <c r="AY3420" s="331"/>
      <c r="AZ3420" s="331"/>
      <c r="BA3420" s="331"/>
      <c r="BB3420" s="331"/>
      <c r="BC3420" s="331"/>
      <c r="BD3420" s="331"/>
      <c r="BE3420" s="333"/>
      <c r="BF3420" s="330"/>
      <c r="BG3420" s="333"/>
      <c r="BH3420" s="1119"/>
      <c r="BI3420" s="319"/>
      <c r="BJ3420" s="319"/>
      <c r="BK3420" s="319"/>
      <c r="BL3420" s="319"/>
      <c r="BM3420" s="319"/>
      <c r="BN3420" s="319"/>
      <c r="BO3420" s="319"/>
      <c r="BP3420" s="953"/>
      <c r="BQ3420" s="319"/>
      <c r="BR3420" s="319"/>
      <c r="BS3420" s="330"/>
      <c r="BT3420" s="331"/>
      <c r="BU3420" s="920"/>
      <c r="BV3420" s="903"/>
      <c r="BW3420" s="908"/>
      <c r="BX3420" s="908"/>
      <c r="BY3420" s="331"/>
      <c r="BZ3420" s="331"/>
      <c r="CA3420" s="462"/>
      <c r="CB3420" s="319"/>
      <c r="CC3420" s="319"/>
      <c r="CD3420" s="319"/>
      <c r="CE3420" s="319"/>
      <c r="CF3420" s="319"/>
      <c r="CG3420" s="319"/>
      <c r="CH3420" s="318"/>
      <c r="CI3420" s="319"/>
      <c r="CJ3420" s="319"/>
      <c r="CK3420" s="342"/>
      <c r="CL3420" s="333"/>
      <c r="CM3420" s="1079"/>
      <c r="CN3420" s="1005"/>
      <c r="CO3420" s="1005"/>
      <c r="CP3420" s="1005"/>
    </row>
    <row r="3421">
      <c r="A3421" s="1257"/>
      <c r="B3421" s="1113"/>
      <c r="C3421" s="1107"/>
      <c r="D3421" s="103"/>
      <c r="E3421" s="1137"/>
      <c r="F3421" s="112"/>
      <c r="G3421" s="1110"/>
      <c r="H3421" s="1138"/>
      <c r="I3421" s="1138"/>
      <c r="J3421" s="1139"/>
      <c r="K3421" s="1111"/>
      <c r="L3421" s="1112"/>
      <c r="M3421" s="1113"/>
      <c r="N3421" s="110"/>
      <c r="O3421" s="1140"/>
      <c r="P3421" s="1115"/>
      <c r="Q3421" s="1116"/>
      <c r="R3421" s="1141"/>
      <c r="S3421" s="1113"/>
      <c r="T3421" s="1143"/>
      <c r="U3421" s="1108"/>
      <c r="V3421" s="1108"/>
      <c r="W3421" s="1108"/>
      <c r="X3421" s="1108"/>
      <c r="Y3421" s="1108"/>
      <c r="Z3421" s="1114"/>
      <c r="AA3421" s="1114"/>
      <c r="AB3421" s="1114"/>
      <c r="AC3421" s="1117"/>
      <c r="AD3421" s="1115"/>
      <c r="AE3421" s="1115"/>
      <c r="AF3421" s="1115"/>
      <c r="AG3421" s="1115"/>
      <c r="AH3421" s="1115"/>
      <c r="AI3421" s="1115"/>
      <c r="AJ3421" s="1117"/>
      <c r="AK3421" s="1118"/>
      <c r="AL3421" s="1115"/>
      <c r="AM3421" s="1115"/>
      <c r="AN3421" s="1115"/>
      <c r="AO3421" s="1115"/>
      <c r="AP3421" s="1115"/>
      <c r="AQ3421" s="1115"/>
      <c r="AR3421" s="1115"/>
      <c r="AS3421" s="1117"/>
      <c r="AT3421" s="1075"/>
      <c r="AU3421" s="1193"/>
      <c r="AV3421" s="330"/>
      <c r="AW3421" s="331"/>
      <c r="AX3421" s="331"/>
      <c r="AY3421" s="331"/>
      <c r="AZ3421" s="331"/>
      <c r="BA3421" s="331"/>
      <c r="BB3421" s="331"/>
      <c r="BC3421" s="331"/>
      <c r="BD3421" s="331"/>
      <c r="BE3421" s="333"/>
      <c r="BF3421" s="330"/>
      <c r="BG3421" s="333"/>
      <c r="BH3421" s="1119"/>
      <c r="BI3421" s="319"/>
      <c r="BJ3421" s="319"/>
      <c r="BK3421" s="319"/>
      <c r="BL3421" s="319"/>
      <c r="BM3421" s="319"/>
      <c r="BN3421" s="319"/>
      <c r="BO3421" s="319"/>
      <c r="BP3421" s="953"/>
      <c r="BQ3421" s="319"/>
      <c r="BR3421" s="319"/>
      <c r="BS3421" s="330"/>
      <c r="BT3421" s="331"/>
      <c r="BU3421" s="920"/>
      <c r="BV3421" s="903"/>
      <c r="BW3421" s="908"/>
      <c r="BX3421" s="908"/>
      <c r="BY3421" s="331"/>
      <c r="BZ3421" s="331"/>
      <c r="CA3421" s="462"/>
      <c r="CB3421" s="319"/>
      <c r="CC3421" s="319"/>
      <c r="CD3421" s="319"/>
      <c r="CE3421" s="319"/>
      <c r="CF3421" s="319"/>
      <c r="CG3421" s="319"/>
      <c r="CH3421" s="318"/>
      <c r="CI3421" s="319"/>
      <c r="CJ3421" s="319"/>
      <c r="CK3421" s="342"/>
      <c r="CL3421" s="333"/>
      <c r="CM3421" s="1079"/>
      <c r="CN3421" s="1005"/>
      <c r="CO3421" s="1005"/>
      <c r="CP3421" s="1005"/>
    </row>
    <row r="3422">
      <c r="A3422" s="1257"/>
      <c r="B3422" s="1113"/>
      <c r="C3422" s="1107"/>
      <c r="D3422" s="103"/>
      <c r="E3422" s="1137"/>
      <c r="F3422" s="112"/>
      <c r="G3422" s="1110"/>
      <c r="H3422" s="1138"/>
      <c r="I3422" s="1138"/>
      <c r="J3422" s="1139"/>
      <c r="K3422" s="1111"/>
      <c r="L3422" s="1112"/>
      <c r="M3422" s="1113"/>
      <c r="N3422" s="110"/>
      <c r="O3422" s="1140"/>
      <c r="P3422" s="1115"/>
      <c r="Q3422" s="1116"/>
      <c r="R3422" s="1141"/>
      <c r="S3422" s="1113"/>
      <c r="T3422" s="1143"/>
      <c r="U3422" s="1108"/>
      <c r="V3422" s="1108"/>
      <c r="W3422" s="1108"/>
      <c r="X3422" s="1108"/>
      <c r="Y3422" s="1108"/>
      <c r="Z3422" s="1114"/>
      <c r="AA3422" s="1114"/>
      <c r="AB3422" s="1114"/>
      <c r="AC3422" s="1117"/>
      <c r="AD3422" s="1115"/>
      <c r="AE3422" s="1115"/>
      <c r="AF3422" s="1115"/>
      <c r="AG3422" s="1115"/>
      <c r="AH3422" s="1115"/>
      <c r="AI3422" s="1115"/>
      <c r="AJ3422" s="1117"/>
      <c r="AK3422" s="1118"/>
      <c r="AL3422" s="1115"/>
      <c r="AM3422" s="1115"/>
      <c r="AN3422" s="1115"/>
      <c r="AO3422" s="1115"/>
      <c r="AP3422" s="1115"/>
      <c r="AQ3422" s="1115"/>
      <c r="AR3422" s="1115"/>
      <c r="AS3422" s="1117"/>
      <c r="AT3422" s="1075"/>
      <c r="AU3422" s="1193"/>
      <c r="AV3422" s="330"/>
      <c r="AW3422" s="331"/>
      <c r="AX3422" s="331"/>
      <c r="AY3422" s="331"/>
      <c r="AZ3422" s="331"/>
      <c r="BA3422" s="331"/>
      <c r="BB3422" s="331"/>
      <c r="BC3422" s="331"/>
      <c r="BD3422" s="331"/>
      <c r="BE3422" s="333"/>
      <c r="BF3422" s="330"/>
      <c r="BG3422" s="333"/>
      <c r="BH3422" s="1119"/>
      <c r="BI3422" s="319"/>
      <c r="BJ3422" s="319"/>
      <c r="BK3422" s="319"/>
      <c r="BL3422" s="319"/>
      <c r="BM3422" s="319"/>
      <c r="BN3422" s="319"/>
      <c r="BO3422" s="319"/>
      <c r="BP3422" s="953"/>
      <c r="BQ3422" s="319"/>
      <c r="BR3422" s="319"/>
      <c r="BS3422" s="330"/>
      <c r="BT3422" s="331"/>
      <c r="BU3422" s="920"/>
      <c r="BV3422" s="903"/>
      <c r="BW3422" s="908"/>
      <c r="BX3422" s="908"/>
      <c r="BY3422" s="331"/>
      <c r="BZ3422" s="331"/>
      <c r="CA3422" s="462"/>
      <c r="CB3422" s="319"/>
      <c r="CC3422" s="319"/>
      <c r="CD3422" s="319"/>
      <c r="CE3422" s="319"/>
      <c r="CF3422" s="319"/>
      <c r="CG3422" s="319"/>
      <c r="CH3422" s="318"/>
      <c r="CI3422" s="319"/>
      <c r="CJ3422" s="319"/>
      <c r="CK3422" s="342"/>
      <c r="CL3422" s="333"/>
      <c r="CM3422" s="1079"/>
      <c r="CN3422" s="1005"/>
      <c r="CO3422" s="1005"/>
      <c r="CP3422" s="1005"/>
    </row>
    <row r="3423">
      <c r="A3423" s="1257"/>
      <c r="B3423" s="1113"/>
      <c r="C3423" s="1107"/>
      <c r="D3423" s="103"/>
      <c r="E3423" s="1137"/>
      <c r="F3423" s="112"/>
      <c r="G3423" s="1110"/>
      <c r="H3423" s="1138"/>
      <c r="I3423" s="1138"/>
      <c r="J3423" s="1139"/>
      <c r="K3423" s="1111"/>
      <c r="L3423" s="1112"/>
      <c r="M3423" s="1113"/>
      <c r="N3423" s="110"/>
      <c r="O3423" s="1140"/>
      <c r="P3423" s="1115"/>
      <c r="Q3423" s="1116"/>
      <c r="R3423" s="1141"/>
      <c r="S3423" s="1113"/>
      <c r="T3423" s="1143"/>
      <c r="U3423" s="1108"/>
      <c r="V3423" s="1108"/>
      <c r="W3423" s="1108"/>
      <c r="X3423" s="1108"/>
      <c r="Y3423" s="1108"/>
      <c r="Z3423" s="1114"/>
      <c r="AA3423" s="1114"/>
      <c r="AB3423" s="1114"/>
      <c r="AC3423" s="1117"/>
      <c r="AD3423" s="1115"/>
      <c r="AE3423" s="1115"/>
      <c r="AF3423" s="1115"/>
      <c r="AG3423" s="1115"/>
      <c r="AH3423" s="1115"/>
      <c r="AI3423" s="1115"/>
      <c r="AJ3423" s="1117"/>
      <c r="AK3423" s="1118"/>
      <c r="AL3423" s="1115"/>
      <c r="AM3423" s="1115"/>
      <c r="AN3423" s="1115"/>
      <c r="AO3423" s="1115"/>
      <c r="AP3423" s="1115"/>
      <c r="AQ3423" s="1115"/>
      <c r="AR3423" s="1115"/>
      <c r="AS3423" s="1117"/>
      <c r="AT3423" s="1075"/>
      <c r="AU3423" s="1193"/>
      <c r="AV3423" s="330"/>
      <c r="AW3423" s="331"/>
      <c r="AX3423" s="331"/>
      <c r="AY3423" s="331"/>
      <c r="AZ3423" s="331"/>
      <c r="BA3423" s="331"/>
      <c r="BB3423" s="331"/>
      <c r="BC3423" s="331"/>
      <c r="BD3423" s="331"/>
      <c r="BE3423" s="333"/>
      <c r="BF3423" s="330"/>
      <c r="BG3423" s="333"/>
      <c r="BH3423" s="1119"/>
      <c r="BI3423" s="319"/>
      <c r="BJ3423" s="319"/>
      <c r="BK3423" s="319"/>
      <c r="BL3423" s="319"/>
      <c r="BM3423" s="319"/>
      <c r="BN3423" s="319"/>
      <c r="BO3423" s="319"/>
      <c r="BP3423" s="953"/>
      <c r="BQ3423" s="319"/>
      <c r="BR3423" s="319"/>
      <c r="BS3423" s="330"/>
      <c r="BT3423" s="331"/>
      <c r="BU3423" s="920"/>
      <c r="BV3423" s="903"/>
      <c r="BW3423" s="908"/>
      <c r="BX3423" s="908"/>
      <c r="BY3423" s="331"/>
      <c r="BZ3423" s="331"/>
      <c r="CA3423" s="462"/>
      <c r="CB3423" s="319"/>
      <c r="CC3423" s="319"/>
      <c r="CD3423" s="319"/>
      <c r="CE3423" s="319"/>
      <c r="CF3423" s="319"/>
      <c r="CG3423" s="319"/>
      <c r="CH3423" s="318"/>
      <c r="CI3423" s="319"/>
      <c r="CJ3423" s="319"/>
      <c r="CK3423" s="342"/>
      <c r="CL3423" s="333"/>
      <c r="CM3423" s="1079"/>
      <c r="CN3423" s="1005"/>
      <c r="CO3423" s="1005"/>
      <c r="CP3423" s="1005"/>
    </row>
    <row r="3424">
      <c r="A3424" s="1257"/>
      <c r="B3424" s="1113"/>
      <c r="C3424" s="1107"/>
      <c r="D3424" s="103"/>
      <c r="E3424" s="1137"/>
      <c r="F3424" s="112"/>
      <c r="G3424" s="1110"/>
      <c r="H3424" s="1138"/>
      <c r="I3424" s="1138"/>
      <c r="J3424" s="1139"/>
      <c r="K3424" s="1111"/>
      <c r="L3424" s="1112"/>
      <c r="M3424" s="1113"/>
      <c r="N3424" s="110"/>
      <c r="O3424" s="1140"/>
      <c r="P3424" s="1115"/>
      <c r="Q3424" s="1116"/>
      <c r="R3424" s="1141"/>
      <c r="S3424" s="1113"/>
      <c r="T3424" s="1143"/>
      <c r="U3424" s="1108"/>
      <c r="V3424" s="1108"/>
      <c r="W3424" s="1108"/>
      <c r="X3424" s="1108"/>
      <c r="Y3424" s="1108"/>
      <c r="Z3424" s="1114"/>
      <c r="AA3424" s="1114"/>
      <c r="AB3424" s="1114"/>
      <c r="AC3424" s="1117"/>
      <c r="AD3424" s="1115"/>
      <c r="AE3424" s="1115"/>
      <c r="AF3424" s="1115"/>
      <c r="AG3424" s="1115"/>
      <c r="AH3424" s="1115"/>
      <c r="AI3424" s="1115"/>
      <c r="AJ3424" s="1117"/>
      <c r="AK3424" s="1118"/>
      <c r="AL3424" s="1115"/>
      <c r="AM3424" s="1115"/>
      <c r="AN3424" s="1115"/>
      <c r="AO3424" s="1115"/>
      <c r="AP3424" s="1115"/>
      <c r="AQ3424" s="1115"/>
      <c r="AR3424" s="1115"/>
      <c r="AS3424" s="1117"/>
      <c r="AT3424" s="1075"/>
      <c r="AU3424" s="1193"/>
      <c r="AV3424" s="330"/>
      <c r="AW3424" s="331"/>
      <c r="AX3424" s="331"/>
      <c r="AY3424" s="331"/>
      <c r="AZ3424" s="331"/>
      <c r="BA3424" s="331"/>
      <c r="BB3424" s="331"/>
      <c r="BC3424" s="331"/>
      <c r="BD3424" s="331"/>
      <c r="BE3424" s="333"/>
      <c r="BF3424" s="330"/>
      <c r="BG3424" s="333"/>
      <c r="BH3424" s="1119"/>
      <c r="BI3424" s="319"/>
      <c r="BJ3424" s="319"/>
      <c r="BK3424" s="319"/>
      <c r="BL3424" s="319"/>
      <c r="BM3424" s="319"/>
      <c r="BN3424" s="319"/>
      <c r="BO3424" s="319"/>
      <c r="BP3424" s="953"/>
      <c r="BQ3424" s="319"/>
      <c r="BR3424" s="319"/>
      <c r="BS3424" s="330"/>
      <c r="BT3424" s="331"/>
      <c r="BU3424" s="920"/>
      <c r="BV3424" s="903"/>
      <c r="BW3424" s="908"/>
      <c r="BX3424" s="908"/>
      <c r="BY3424" s="331"/>
      <c r="BZ3424" s="331"/>
      <c r="CA3424" s="462"/>
      <c r="CB3424" s="319"/>
      <c r="CC3424" s="319"/>
      <c r="CD3424" s="319"/>
      <c r="CE3424" s="319"/>
      <c r="CF3424" s="319"/>
      <c r="CG3424" s="319"/>
      <c r="CH3424" s="318"/>
      <c r="CI3424" s="319"/>
      <c r="CJ3424" s="319"/>
      <c r="CK3424" s="342"/>
      <c r="CL3424" s="333"/>
      <c r="CM3424" s="1079"/>
      <c r="CN3424" s="1005"/>
      <c r="CO3424" s="1005"/>
      <c r="CP3424" s="1005"/>
    </row>
    <row r="3425">
      <c r="A3425" s="1257"/>
      <c r="B3425" s="1113"/>
      <c r="C3425" s="1107"/>
      <c r="D3425" s="103"/>
      <c r="E3425" s="1137"/>
      <c r="F3425" s="112"/>
      <c r="G3425" s="1110"/>
      <c r="H3425" s="1138"/>
      <c r="I3425" s="1138"/>
      <c r="J3425" s="1139"/>
      <c r="K3425" s="1111"/>
      <c r="L3425" s="1112"/>
      <c r="M3425" s="1113"/>
      <c r="N3425" s="110"/>
      <c r="O3425" s="1140"/>
      <c r="P3425" s="1115"/>
      <c r="Q3425" s="1116"/>
      <c r="R3425" s="1141"/>
      <c r="S3425" s="1113"/>
      <c r="T3425" s="1143"/>
      <c r="U3425" s="1108"/>
      <c r="V3425" s="1108"/>
      <c r="W3425" s="1108"/>
      <c r="X3425" s="1108"/>
      <c r="Y3425" s="1108"/>
      <c r="Z3425" s="1114"/>
      <c r="AA3425" s="1114"/>
      <c r="AB3425" s="1114"/>
      <c r="AC3425" s="1117"/>
      <c r="AD3425" s="1115"/>
      <c r="AE3425" s="1115"/>
      <c r="AF3425" s="1115"/>
      <c r="AG3425" s="1115"/>
      <c r="AH3425" s="1115"/>
      <c r="AI3425" s="1115"/>
      <c r="AJ3425" s="1117"/>
      <c r="AK3425" s="1118"/>
      <c r="AL3425" s="1115"/>
      <c r="AM3425" s="1115"/>
      <c r="AN3425" s="1115"/>
      <c r="AO3425" s="1115"/>
      <c r="AP3425" s="1115"/>
      <c r="AQ3425" s="1115"/>
      <c r="AR3425" s="1115"/>
      <c r="AS3425" s="1117"/>
      <c r="AT3425" s="1075"/>
      <c r="AU3425" s="1193"/>
      <c r="AV3425" s="330"/>
      <c r="AW3425" s="331"/>
      <c r="AX3425" s="331"/>
      <c r="AY3425" s="331"/>
      <c r="AZ3425" s="331"/>
      <c r="BA3425" s="331"/>
      <c r="BB3425" s="331"/>
      <c r="BC3425" s="331"/>
      <c r="BD3425" s="331"/>
      <c r="BE3425" s="333"/>
      <c r="BF3425" s="330"/>
      <c r="BG3425" s="333"/>
      <c r="BH3425" s="1119"/>
      <c r="BI3425" s="319"/>
      <c r="BJ3425" s="319"/>
      <c r="BK3425" s="319"/>
      <c r="BL3425" s="319"/>
      <c r="BM3425" s="319"/>
      <c r="BN3425" s="319"/>
      <c r="BO3425" s="319"/>
      <c r="BP3425" s="953"/>
      <c r="BQ3425" s="319"/>
      <c r="BR3425" s="319"/>
      <c r="BS3425" s="330"/>
      <c r="BT3425" s="331"/>
      <c r="BU3425" s="920"/>
      <c r="BV3425" s="903"/>
      <c r="BW3425" s="908"/>
      <c r="BX3425" s="908"/>
      <c r="BY3425" s="331"/>
      <c r="BZ3425" s="331"/>
      <c r="CA3425" s="462"/>
      <c r="CB3425" s="319"/>
      <c r="CC3425" s="319"/>
      <c r="CD3425" s="319"/>
      <c r="CE3425" s="319"/>
      <c r="CF3425" s="319"/>
      <c r="CG3425" s="319"/>
      <c r="CH3425" s="318"/>
      <c r="CI3425" s="319"/>
      <c r="CJ3425" s="319"/>
      <c r="CK3425" s="342"/>
      <c r="CL3425" s="333"/>
      <c r="CM3425" s="1079"/>
      <c r="CN3425" s="1005"/>
      <c r="CO3425" s="1005"/>
      <c r="CP3425" s="1005"/>
    </row>
    <row r="3426">
      <c r="A3426" s="1257"/>
      <c r="B3426" s="1113"/>
      <c r="C3426" s="1107"/>
      <c r="D3426" s="103"/>
      <c r="E3426" s="1137"/>
      <c r="F3426" s="112"/>
      <c r="G3426" s="1110"/>
      <c r="H3426" s="1138"/>
      <c r="I3426" s="1138"/>
      <c r="J3426" s="1139"/>
      <c r="K3426" s="1111"/>
      <c r="L3426" s="1112"/>
      <c r="M3426" s="1113"/>
      <c r="N3426" s="110"/>
      <c r="O3426" s="1140"/>
      <c r="P3426" s="1115"/>
      <c r="Q3426" s="1116"/>
      <c r="R3426" s="1141"/>
      <c r="S3426" s="1113"/>
      <c r="T3426" s="1143"/>
      <c r="U3426" s="1108"/>
      <c r="V3426" s="1108"/>
      <c r="W3426" s="1108"/>
      <c r="X3426" s="1108"/>
      <c r="Y3426" s="1108"/>
      <c r="Z3426" s="1114"/>
      <c r="AA3426" s="1114"/>
      <c r="AB3426" s="1114"/>
      <c r="AC3426" s="1117"/>
      <c r="AD3426" s="1115"/>
      <c r="AE3426" s="1115"/>
      <c r="AF3426" s="1115"/>
      <c r="AG3426" s="1115"/>
      <c r="AH3426" s="1115"/>
      <c r="AI3426" s="1115"/>
      <c r="AJ3426" s="1117"/>
      <c r="AK3426" s="1118"/>
      <c r="AL3426" s="1115"/>
      <c r="AM3426" s="1115"/>
      <c r="AN3426" s="1115"/>
      <c r="AO3426" s="1115"/>
      <c r="AP3426" s="1115"/>
      <c r="AQ3426" s="1115"/>
      <c r="AR3426" s="1115"/>
      <c r="AS3426" s="1117"/>
      <c r="AT3426" s="1075"/>
      <c r="AU3426" s="1193"/>
      <c r="AV3426" s="330"/>
      <c r="AW3426" s="331"/>
      <c r="AX3426" s="331"/>
      <c r="AY3426" s="331"/>
      <c r="AZ3426" s="331"/>
      <c r="BA3426" s="331"/>
      <c r="BB3426" s="331"/>
      <c r="BC3426" s="331"/>
      <c r="BD3426" s="331"/>
      <c r="BE3426" s="333"/>
      <c r="BF3426" s="330"/>
      <c r="BG3426" s="333"/>
      <c r="BH3426" s="1119"/>
      <c r="BI3426" s="319"/>
      <c r="BJ3426" s="319"/>
      <c r="BK3426" s="319"/>
      <c r="BL3426" s="319"/>
      <c r="BM3426" s="319"/>
      <c r="BN3426" s="319"/>
      <c r="BO3426" s="319"/>
      <c r="BP3426" s="953"/>
      <c r="BQ3426" s="319"/>
      <c r="BR3426" s="319"/>
      <c r="BS3426" s="330"/>
      <c r="BT3426" s="331"/>
      <c r="BU3426" s="920"/>
      <c r="BV3426" s="903"/>
      <c r="BW3426" s="908"/>
      <c r="BX3426" s="908"/>
      <c r="BY3426" s="331"/>
      <c r="BZ3426" s="331"/>
      <c r="CA3426" s="462"/>
      <c r="CB3426" s="319"/>
      <c r="CC3426" s="319"/>
      <c r="CD3426" s="319"/>
      <c r="CE3426" s="319"/>
      <c r="CF3426" s="319"/>
      <c r="CG3426" s="319"/>
      <c r="CH3426" s="318"/>
      <c r="CI3426" s="319"/>
      <c r="CJ3426" s="319"/>
      <c r="CK3426" s="342"/>
      <c r="CL3426" s="333"/>
      <c r="CM3426" s="1079"/>
      <c r="CN3426" s="1005"/>
      <c r="CO3426" s="1005"/>
      <c r="CP3426" s="1005"/>
    </row>
    <row r="3427">
      <c r="A3427" s="1257"/>
      <c r="B3427" s="1113"/>
      <c r="C3427" s="1107"/>
      <c r="D3427" s="103"/>
      <c r="E3427" s="1137"/>
      <c r="F3427" s="112"/>
      <c r="G3427" s="1110"/>
      <c r="H3427" s="1138"/>
      <c r="I3427" s="1138"/>
      <c r="J3427" s="1139"/>
      <c r="K3427" s="1111"/>
      <c r="L3427" s="1112"/>
      <c r="M3427" s="1113"/>
      <c r="N3427" s="110"/>
      <c r="O3427" s="1140"/>
      <c r="P3427" s="1115"/>
      <c r="Q3427" s="1116"/>
      <c r="R3427" s="1141"/>
      <c r="S3427" s="1113"/>
      <c r="T3427" s="1143"/>
      <c r="U3427" s="1108"/>
      <c r="V3427" s="1108"/>
      <c r="W3427" s="1108"/>
      <c r="X3427" s="1108"/>
      <c r="Y3427" s="1108"/>
      <c r="Z3427" s="1114"/>
      <c r="AA3427" s="1114"/>
      <c r="AB3427" s="1114"/>
      <c r="AC3427" s="1117"/>
      <c r="AD3427" s="1115"/>
      <c r="AE3427" s="1115"/>
      <c r="AF3427" s="1115"/>
      <c r="AG3427" s="1115"/>
      <c r="AH3427" s="1115"/>
      <c r="AI3427" s="1115"/>
      <c r="AJ3427" s="1117"/>
      <c r="AK3427" s="1118"/>
      <c r="AL3427" s="1115"/>
      <c r="AM3427" s="1115"/>
      <c r="AN3427" s="1115"/>
      <c r="AO3427" s="1115"/>
      <c r="AP3427" s="1115"/>
      <c r="AQ3427" s="1115"/>
      <c r="AR3427" s="1115"/>
      <c r="AS3427" s="1117"/>
      <c r="AT3427" s="1075"/>
      <c r="AU3427" s="1193"/>
      <c r="AV3427" s="330"/>
      <c r="AW3427" s="331"/>
      <c r="AX3427" s="331"/>
      <c r="AY3427" s="331"/>
      <c r="AZ3427" s="331"/>
      <c r="BA3427" s="331"/>
      <c r="BB3427" s="331"/>
      <c r="BC3427" s="331"/>
      <c r="BD3427" s="331"/>
      <c r="BE3427" s="333"/>
      <c r="BF3427" s="330"/>
      <c r="BG3427" s="333"/>
      <c r="BH3427" s="1119"/>
      <c r="BI3427" s="319"/>
      <c r="BJ3427" s="319"/>
      <c r="BK3427" s="319"/>
      <c r="BL3427" s="319"/>
      <c r="BM3427" s="319"/>
      <c r="BN3427" s="319"/>
      <c r="BO3427" s="319"/>
      <c r="BP3427" s="953"/>
      <c r="BQ3427" s="319"/>
      <c r="BR3427" s="319"/>
      <c r="BS3427" s="330"/>
      <c r="BT3427" s="331"/>
      <c r="BU3427" s="920"/>
      <c r="BV3427" s="903"/>
      <c r="BW3427" s="908"/>
      <c r="BX3427" s="908"/>
      <c r="BY3427" s="331"/>
      <c r="BZ3427" s="331"/>
      <c r="CA3427" s="462"/>
      <c r="CB3427" s="319"/>
      <c r="CC3427" s="319"/>
      <c r="CD3427" s="319"/>
      <c r="CE3427" s="319"/>
      <c r="CF3427" s="319"/>
      <c r="CG3427" s="319"/>
      <c r="CH3427" s="318"/>
      <c r="CI3427" s="319"/>
      <c r="CJ3427" s="319"/>
      <c r="CK3427" s="342"/>
      <c r="CL3427" s="333"/>
      <c r="CM3427" s="1079"/>
      <c r="CN3427" s="1005"/>
      <c r="CO3427" s="1005"/>
      <c r="CP3427" s="1005"/>
    </row>
    <row r="3428">
      <c r="A3428" s="1257"/>
      <c r="B3428" s="1113"/>
      <c r="C3428" s="1107"/>
      <c r="D3428" s="103"/>
      <c r="E3428" s="1137"/>
      <c r="F3428" s="112"/>
      <c r="G3428" s="1110"/>
      <c r="H3428" s="1138"/>
      <c r="I3428" s="1138"/>
      <c r="J3428" s="1139"/>
      <c r="K3428" s="1111"/>
      <c r="L3428" s="1112"/>
      <c r="M3428" s="1113"/>
      <c r="N3428" s="110"/>
      <c r="O3428" s="1140"/>
      <c r="P3428" s="1115"/>
      <c r="Q3428" s="1116"/>
      <c r="R3428" s="1141"/>
      <c r="S3428" s="1113"/>
      <c r="T3428" s="1143"/>
      <c r="U3428" s="1108"/>
      <c r="V3428" s="1108"/>
      <c r="W3428" s="1108"/>
      <c r="X3428" s="1108"/>
      <c r="Y3428" s="1108"/>
      <c r="Z3428" s="1114"/>
      <c r="AA3428" s="1114"/>
      <c r="AB3428" s="1114"/>
      <c r="AC3428" s="1117"/>
      <c r="AD3428" s="1115"/>
      <c r="AE3428" s="1115"/>
      <c r="AF3428" s="1115"/>
      <c r="AG3428" s="1115"/>
      <c r="AH3428" s="1115"/>
      <c r="AI3428" s="1115"/>
      <c r="AJ3428" s="1117"/>
      <c r="AK3428" s="1118"/>
      <c r="AL3428" s="1115"/>
      <c r="AM3428" s="1115"/>
      <c r="AN3428" s="1115"/>
      <c r="AO3428" s="1115"/>
      <c r="AP3428" s="1115"/>
      <c r="AQ3428" s="1115"/>
      <c r="AR3428" s="1115"/>
      <c r="AS3428" s="1117"/>
      <c r="AT3428" s="1075"/>
      <c r="AU3428" s="1193"/>
      <c r="AV3428" s="330"/>
      <c r="AW3428" s="331"/>
      <c r="AX3428" s="331"/>
      <c r="AY3428" s="331"/>
      <c r="AZ3428" s="331"/>
      <c r="BA3428" s="331"/>
      <c r="BB3428" s="331"/>
      <c r="BC3428" s="331"/>
      <c r="BD3428" s="331"/>
      <c r="BE3428" s="333"/>
      <c r="BF3428" s="330"/>
      <c r="BG3428" s="333"/>
      <c r="BH3428" s="1119"/>
      <c r="BI3428" s="319"/>
      <c r="BJ3428" s="319"/>
      <c r="BK3428" s="319"/>
      <c r="BL3428" s="319"/>
      <c r="BM3428" s="319"/>
      <c r="BN3428" s="319"/>
      <c r="BO3428" s="319"/>
      <c r="BP3428" s="953"/>
      <c r="BQ3428" s="319"/>
      <c r="BR3428" s="319"/>
      <c r="BS3428" s="330"/>
      <c r="BT3428" s="331"/>
      <c r="BU3428" s="920"/>
      <c r="BV3428" s="903"/>
      <c r="BW3428" s="908"/>
      <c r="BX3428" s="908"/>
      <c r="BY3428" s="331"/>
      <c r="BZ3428" s="331"/>
      <c r="CA3428" s="462"/>
      <c r="CB3428" s="319"/>
      <c r="CC3428" s="319"/>
      <c r="CD3428" s="319"/>
      <c r="CE3428" s="319"/>
      <c r="CF3428" s="319"/>
      <c r="CG3428" s="319"/>
      <c r="CH3428" s="318"/>
      <c r="CI3428" s="319"/>
      <c r="CJ3428" s="319"/>
      <c r="CK3428" s="342"/>
      <c r="CL3428" s="333"/>
      <c r="CM3428" s="1079"/>
      <c r="CN3428" s="1005"/>
      <c r="CO3428" s="1005"/>
      <c r="CP3428" s="1005"/>
    </row>
    <row r="3429">
      <c r="A3429" s="1257"/>
      <c r="B3429" s="1113"/>
      <c r="C3429" s="1107"/>
      <c r="D3429" s="103"/>
      <c r="E3429" s="1137"/>
      <c r="F3429" s="112"/>
      <c r="G3429" s="1110"/>
      <c r="H3429" s="1138"/>
      <c r="I3429" s="1138"/>
      <c r="J3429" s="1139"/>
      <c r="K3429" s="1111"/>
      <c r="L3429" s="1112"/>
      <c r="M3429" s="1113"/>
      <c r="N3429" s="110"/>
      <c r="O3429" s="1140"/>
      <c r="P3429" s="1115"/>
      <c r="Q3429" s="1116"/>
      <c r="R3429" s="1141"/>
      <c r="S3429" s="1113"/>
      <c r="T3429" s="1143"/>
      <c r="U3429" s="1108"/>
      <c r="V3429" s="1108"/>
      <c r="W3429" s="1108"/>
      <c r="X3429" s="1108"/>
      <c r="Y3429" s="1108"/>
      <c r="Z3429" s="1114"/>
      <c r="AA3429" s="1114"/>
      <c r="AB3429" s="1114"/>
      <c r="AC3429" s="1117"/>
      <c r="AD3429" s="1115"/>
      <c r="AE3429" s="1115"/>
      <c r="AF3429" s="1115"/>
      <c r="AG3429" s="1115"/>
      <c r="AH3429" s="1115"/>
      <c r="AI3429" s="1115"/>
      <c r="AJ3429" s="1117"/>
      <c r="AK3429" s="1118"/>
      <c r="AL3429" s="1115"/>
      <c r="AM3429" s="1115"/>
      <c r="AN3429" s="1115"/>
      <c r="AO3429" s="1115"/>
      <c r="AP3429" s="1115"/>
      <c r="AQ3429" s="1115"/>
      <c r="AR3429" s="1115"/>
      <c r="AS3429" s="1117"/>
      <c r="AT3429" s="1075"/>
      <c r="AU3429" s="1193"/>
      <c r="AV3429" s="330"/>
      <c r="AW3429" s="331"/>
      <c r="AX3429" s="331"/>
      <c r="AY3429" s="331"/>
      <c r="AZ3429" s="331"/>
      <c r="BA3429" s="331"/>
      <c r="BB3429" s="331"/>
      <c r="BC3429" s="331"/>
      <c r="BD3429" s="331"/>
      <c r="BE3429" s="333"/>
      <c r="BF3429" s="330"/>
      <c r="BG3429" s="333"/>
      <c r="BH3429" s="1119"/>
      <c r="BI3429" s="319"/>
      <c r="BJ3429" s="319"/>
      <c r="BK3429" s="319"/>
      <c r="BL3429" s="319"/>
      <c r="BM3429" s="319"/>
      <c r="BN3429" s="319"/>
      <c r="BO3429" s="319"/>
      <c r="BP3429" s="953"/>
      <c r="BQ3429" s="319"/>
      <c r="BR3429" s="319"/>
      <c r="BS3429" s="330"/>
      <c r="BT3429" s="331"/>
      <c r="BU3429" s="920"/>
      <c r="BV3429" s="903"/>
      <c r="BW3429" s="908"/>
      <c r="BX3429" s="908"/>
      <c r="BY3429" s="331"/>
      <c r="BZ3429" s="331"/>
      <c r="CA3429" s="462"/>
      <c r="CB3429" s="319"/>
      <c r="CC3429" s="319"/>
      <c r="CD3429" s="319"/>
      <c r="CE3429" s="319"/>
      <c r="CF3429" s="319"/>
      <c r="CG3429" s="319"/>
      <c r="CH3429" s="318"/>
      <c r="CI3429" s="319"/>
      <c r="CJ3429" s="319"/>
      <c r="CK3429" s="342"/>
      <c r="CL3429" s="333"/>
      <c r="CM3429" s="1079"/>
      <c r="CN3429" s="1005"/>
      <c r="CO3429" s="1005"/>
      <c r="CP3429" s="1005"/>
    </row>
    <row r="3430">
      <c r="A3430" s="1257"/>
      <c r="B3430" s="1113"/>
      <c r="C3430" s="1107"/>
      <c r="D3430" s="103"/>
      <c r="E3430" s="1137"/>
      <c r="F3430" s="112"/>
      <c r="G3430" s="1110"/>
      <c r="H3430" s="1138"/>
      <c r="I3430" s="1138"/>
      <c r="J3430" s="1139"/>
      <c r="K3430" s="1111"/>
      <c r="L3430" s="1112"/>
      <c r="M3430" s="1113"/>
      <c r="N3430" s="110"/>
      <c r="O3430" s="1140"/>
      <c r="P3430" s="1115"/>
      <c r="Q3430" s="1116"/>
      <c r="R3430" s="1141"/>
      <c r="S3430" s="1113"/>
      <c r="T3430" s="1143"/>
      <c r="U3430" s="1108"/>
      <c r="V3430" s="1108"/>
      <c r="W3430" s="1108"/>
      <c r="X3430" s="1108"/>
      <c r="Y3430" s="1108"/>
      <c r="Z3430" s="1114"/>
      <c r="AA3430" s="1114"/>
      <c r="AB3430" s="1114"/>
      <c r="AC3430" s="1117"/>
      <c r="AD3430" s="1115"/>
      <c r="AE3430" s="1115"/>
      <c r="AF3430" s="1115"/>
      <c r="AG3430" s="1115"/>
      <c r="AH3430" s="1115"/>
      <c r="AI3430" s="1115"/>
      <c r="AJ3430" s="1117"/>
      <c r="AK3430" s="1118"/>
      <c r="AL3430" s="1115"/>
      <c r="AM3430" s="1115"/>
      <c r="AN3430" s="1115"/>
      <c r="AO3430" s="1115"/>
      <c r="AP3430" s="1115"/>
      <c r="AQ3430" s="1115"/>
      <c r="AR3430" s="1115"/>
      <c r="AS3430" s="1117"/>
      <c r="AT3430" s="1075"/>
      <c r="AU3430" s="1193"/>
      <c r="AV3430" s="330"/>
      <c r="AW3430" s="331"/>
      <c r="AX3430" s="331"/>
      <c r="AY3430" s="331"/>
      <c r="AZ3430" s="331"/>
      <c r="BA3430" s="331"/>
      <c r="BB3430" s="331"/>
      <c r="BC3430" s="331"/>
      <c r="BD3430" s="331"/>
      <c r="BE3430" s="333"/>
      <c r="BF3430" s="330"/>
      <c r="BG3430" s="333"/>
      <c r="BH3430" s="1119"/>
      <c r="BI3430" s="319"/>
      <c r="BJ3430" s="319"/>
      <c r="BK3430" s="319"/>
      <c r="BL3430" s="319"/>
      <c r="BM3430" s="319"/>
      <c r="BN3430" s="319"/>
      <c r="BO3430" s="319"/>
      <c r="BP3430" s="953"/>
      <c r="BQ3430" s="319"/>
      <c r="BR3430" s="319"/>
      <c r="BS3430" s="330"/>
      <c r="BT3430" s="331"/>
      <c r="BU3430" s="920"/>
      <c r="BV3430" s="903"/>
      <c r="BW3430" s="908"/>
      <c r="BX3430" s="908"/>
      <c r="BY3430" s="331"/>
      <c r="BZ3430" s="331"/>
      <c r="CA3430" s="462"/>
      <c r="CB3430" s="319"/>
      <c r="CC3430" s="319"/>
      <c r="CD3430" s="319"/>
      <c r="CE3430" s="319"/>
      <c r="CF3430" s="319"/>
      <c r="CG3430" s="319"/>
      <c r="CH3430" s="318"/>
      <c r="CI3430" s="319"/>
      <c r="CJ3430" s="319"/>
      <c r="CK3430" s="342"/>
      <c r="CL3430" s="333"/>
      <c r="CM3430" s="1079"/>
      <c r="CN3430" s="1005"/>
      <c r="CO3430" s="1005"/>
      <c r="CP3430" s="1005"/>
    </row>
    <row r="3431">
      <c r="A3431" s="1257"/>
      <c r="B3431" s="1113"/>
      <c r="C3431" s="1107"/>
      <c r="D3431" s="103"/>
      <c r="E3431" s="1137"/>
      <c r="F3431" s="112"/>
      <c r="G3431" s="1110"/>
      <c r="H3431" s="1138"/>
      <c r="I3431" s="1138"/>
      <c r="J3431" s="1139"/>
      <c r="K3431" s="1111"/>
      <c r="L3431" s="1112"/>
      <c r="M3431" s="1113"/>
      <c r="N3431" s="110"/>
      <c r="O3431" s="1140"/>
      <c r="P3431" s="1115"/>
      <c r="Q3431" s="1116"/>
      <c r="R3431" s="1141"/>
      <c r="S3431" s="1113"/>
      <c r="T3431" s="1143"/>
      <c r="U3431" s="1108"/>
      <c r="V3431" s="1108"/>
      <c r="W3431" s="1108"/>
      <c r="X3431" s="1108"/>
      <c r="Y3431" s="1108"/>
      <c r="Z3431" s="1114"/>
      <c r="AA3431" s="1114"/>
      <c r="AB3431" s="1114"/>
      <c r="AC3431" s="1117"/>
      <c r="AD3431" s="1115"/>
      <c r="AE3431" s="1115"/>
      <c r="AF3431" s="1115"/>
      <c r="AG3431" s="1115"/>
      <c r="AH3431" s="1115"/>
      <c r="AI3431" s="1115"/>
      <c r="AJ3431" s="1117"/>
      <c r="AK3431" s="1118"/>
      <c r="AL3431" s="1115"/>
      <c r="AM3431" s="1115"/>
      <c r="AN3431" s="1115"/>
      <c r="AO3431" s="1115"/>
      <c r="AP3431" s="1115"/>
      <c r="AQ3431" s="1115"/>
      <c r="AR3431" s="1115"/>
      <c r="AS3431" s="1117"/>
      <c r="AT3431" s="1075"/>
      <c r="AU3431" s="1193"/>
      <c r="AV3431" s="330"/>
      <c r="AW3431" s="331"/>
      <c r="AX3431" s="331"/>
      <c r="AY3431" s="331"/>
      <c r="AZ3431" s="331"/>
      <c r="BA3431" s="331"/>
      <c r="BB3431" s="331"/>
      <c r="BC3431" s="331"/>
      <c r="BD3431" s="331"/>
      <c r="BE3431" s="333"/>
      <c r="BF3431" s="330"/>
      <c r="BG3431" s="333"/>
      <c r="BH3431" s="1119"/>
      <c r="BI3431" s="319"/>
      <c r="BJ3431" s="319"/>
      <c r="BK3431" s="319"/>
      <c r="BL3431" s="319"/>
      <c r="BM3431" s="319"/>
      <c r="BN3431" s="319"/>
      <c r="BO3431" s="319"/>
      <c r="BP3431" s="953"/>
      <c r="BQ3431" s="319"/>
      <c r="BR3431" s="319"/>
      <c r="BS3431" s="330"/>
      <c r="BT3431" s="331"/>
      <c r="BU3431" s="920"/>
      <c r="BV3431" s="903"/>
      <c r="BW3431" s="908"/>
      <c r="BX3431" s="908"/>
      <c r="BY3431" s="331"/>
      <c r="BZ3431" s="331"/>
      <c r="CA3431" s="462"/>
      <c r="CB3431" s="319"/>
      <c r="CC3431" s="319"/>
      <c r="CD3431" s="319"/>
      <c r="CE3431" s="319"/>
      <c r="CF3431" s="319"/>
      <c r="CG3431" s="319"/>
      <c r="CH3431" s="318"/>
      <c r="CI3431" s="319"/>
      <c r="CJ3431" s="319"/>
      <c r="CK3431" s="342"/>
      <c r="CL3431" s="333"/>
      <c r="CM3431" s="1079"/>
      <c r="CN3431" s="1005"/>
      <c r="CO3431" s="1005"/>
      <c r="CP3431" s="1005"/>
    </row>
    <row r="3432">
      <c r="A3432" s="1257"/>
      <c r="B3432" s="1113"/>
      <c r="C3432" s="1107"/>
      <c r="D3432" s="103"/>
      <c r="E3432" s="1137"/>
      <c r="F3432" s="112"/>
      <c r="G3432" s="1110"/>
      <c r="H3432" s="1138"/>
      <c r="I3432" s="1138"/>
      <c r="J3432" s="1139"/>
      <c r="K3432" s="1111"/>
      <c r="L3432" s="1112"/>
      <c r="M3432" s="1113"/>
      <c r="N3432" s="110"/>
      <c r="O3432" s="1140"/>
      <c r="P3432" s="1115"/>
      <c r="Q3432" s="1116"/>
      <c r="R3432" s="1141"/>
      <c r="S3432" s="1113"/>
      <c r="T3432" s="1143"/>
      <c r="U3432" s="1108"/>
      <c r="V3432" s="1108"/>
      <c r="W3432" s="1108"/>
      <c r="X3432" s="1108"/>
      <c r="Y3432" s="1108"/>
      <c r="Z3432" s="1114"/>
      <c r="AA3432" s="1114"/>
      <c r="AB3432" s="1114"/>
      <c r="AC3432" s="1117"/>
      <c r="AD3432" s="1115"/>
      <c r="AE3432" s="1115"/>
      <c r="AF3432" s="1115"/>
      <c r="AG3432" s="1115"/>
      <c r="AH3432" s="1115"/>
      <c r="AI3432" s="1115"/>
      <c r="AJ3432" s="1117"/>
      <c r="AK3432" s="1118"/>
      <c r="AL3432" s="1115"/>
      <c r="AM3432" s="1115"/>
      <c r="AN3432" s="1115"/>
      <c r="AO3432" s="1115"/>
      <c r="AP3432" s="1115"/>
      <c r="AQ3432" s="1115"/>
      <c r="AR3432" s="1115"/>
      <c r="AS3432" s="1117"/>
      <c r="AT3432" s="1075"/>
      <c r="AU3432" s="1193"/>
      <c r="AV3432" s="330"/>
      <c r="AW3432" s="331"/>
      <c r="AX3432" s="331"/>
      <c r="AY3432" s="331"/>
      <c r="AZ3432" s="331"/>
      <c r="BA3432" s="331"/>
      <c r="BB3432" s="331"/>
      <c r="BC3432" s="331"/>
      <c r="BD3432" s="331"/>
      <c r="BE3432" s="333"/>
      <c r="BF3432" s="330"/>
      <c r="BG3432" s="333"/>
      <c r="BH3432" s="1119"/>
      <c r="BI3432" s="319"/>
      <c r="BJ3432" s="319"/>
      <c r="BK3432" s="319"/>
      <c r="BL3432" s="319"/>
      <c r="BM3432" s="319"/>
      <c r="BN3432" s="319"/>
      <c r="BO3432" s="319"/>
      <c r="BP3432" s="953"/>
      <c r="BQ3432" s="319"/>
      <c r="BR3432" s="319"/>
      <c r="BS3432" s="330"/>
      <c r="BT3432" s="331"/>
      <c r="BU3432" s="920"/>
      <c r="BV3432" s="903"/>
      <c r="BW3432" s="908"/>
      <c r="BX3432" s="908"/>
      <c r="BY3432" s="331"/>
      <c r="BZ3432" s="331"/>
      <c r="CA3432" s="462"/>
      <c r="CB3432" s="319"/>
      <c r="CC3432" s="319"/>
      <c r="CD3432" s="319"/>
      <c r="CE3432" s="319"/>
      <c r="CF3432" s="319"/>
      <c r="CG3432" s="319"/>
      <c r="CH3432" s="318"/>
      <c r="CI3432" s="319"/>
      <c r="CJ3432" s="319"/>
      <c r="CK3432" s="342"/>
      <c r="CL3432" s="333"/>
      <c r="CM3432" s="1079"/>
      <c r="CN3432" s="1005"/>
      <c r="CO3432" s="1005"/>
      <c r="CP3432" s="1005"/>
    </row>
    <row r="3433">
      <c r="A3433" s="1257"/>
      <c r="B3433" s="1113"/>
      <c r="C3433" s="1107"/>
      <c r="D3433" s="103"/>
      <c r="E3433" s="1137"/>
      <c r="F3433" s="112"/>
      <c r="G3433" s="1110"/>
      <c r="H3433" s="1138"/>
      <c r="I3433" s="1138"/>
      <c r="J3433" s="1139"/>
      <c r="K3433" s="1111"/>
      <c r="L3433" s="1112"/>
      <c r="M3433" s="1113"/>
      <c r="N3433" s="110"/>
      <c r="O3433" s="1140"/>
      <c r="P3433" s="1115"/>
      <c r="Q3433" s="1116"/>
      <c r="R3433" s="1141"/>
      <c r="S3433" s="1113"/>
      <c r="T3433" s="1143"/>
      <c r="U3433" s="1108"/>
      <c r="V3433" s="1108"/>
      <c r="W3433" s="1108"/>
      <c r="X3433" s="1108"/>
      <c r="Y3433" s="1108"/>
      <c r="Z3433" s="1114"/>
      <c r="AA3433" s="1114"/>
      <c r="AB3433" s="1114"/>
      <c r="AC3433" s="1117"/>
      <c r="AD3433" s="1115"/>
      <c r="AE3433" s="1115"/>
      <c r="AF3433" s="1115"/>
      <c r="AG3433" s="1115"/>
      <c r="AH3433" s="1115"/>
      <c r="AI3433" s="1115"/>
      <c r="AJ3433" s="1117"/>
      <c r="AK3433" s="1118"/>
      <c r="AL3433" s="1115"/>
      <c r="AM3433" s="1115"/>
      <c r="AN3433" s="1115"/>
      <c r="AO3433" s="1115"/>
      <c r="AP3433" s="1115"/>
      <c r="AQ3433" s="1115"/>
      <c r="AR3433" s="1115"/>
      <c r="AS3433" s="1117"/>
      <c r="AT3433" s="1075"/>
      <c r="AU3433" s="1193"/>
      <c r="AV3433" s="330"/>
      <c r="AW3433" s="331"/>
      <c r="AX3433" s="331"/>
      <c r="AY3433" s="331"/>
      <c r="AZ3433" s="331"/>
      <c r="BA3433" s="331"/>
      <c r="BB3433" s="331"/>
      <c r="BC3433" s="331"/>
      <c r="BD3433" s="331"/>
      <c r="BE3433" s="333"/>
      <c r="BF3433" s="330"/>
      <c r="BG3433" s="333"/>
      <c r="BH3433" s="1119"/>
      <c r="BI3433" s="319"/>
      <c r="BJ3433" s="319"/>
      <c r="BK3433" s="319"/>
      <c r="BL3433" s="319"/>
      <c r="BM3433" s="319"/>
      <c r="BN3433" s="319"/>
      <c r="BO3433" s="319"/>
      <c r="BP3433" s="953"/>
      <c r="BQ3433" s="319"/>
      <c r="BR3433" s="319"/>
      <c r="BS3433" s="330"/>
      <c r="BT3433" s="331"/>
      <c r="BU3433" s="920"/>
      <c r="BV3433" s="903"/>
      <c r="BW3433" s="908"/>
      <c r="BX3433" s="908"/>
      <c r="BY3433" s="331"/>
      <c r="BZ3433" s="331"/>
      <c r="CA3433" s="462"/>
      <c r="CB3433" s="319"/>
      <c r="CC3433" s="319"/>
      <c r="CD3433" s="319"/>
      <c r="CE3433" s="319"/>
      <c r="CF3433" s="319"/>
      <c r="CG3433" s="319"/>
      <c r="CH3433" s="318"/>
      <c r="CI3433" s="319"/>
      <c r="CJ3433" s="319"/>
      <c r="CK3433" s="342"/>
      <c r="CL3433" s="333"/>
      <c r="CM3433" s="1079"/>
      <c r="CN3433" s="1005"/>
      <c r="CO3433" s="1005"/>
      <c r="CP3433" s="1005"/>
    </row>
    <row r="3434">
      <c r="A3434" s="1257"/>
      <c r="B3434" s="1113"/>
      <c r="C3434" s="1107"/>
      <c r="D3434" s="103"/>
      <c r="E3434" s="1137"/>
      <c r="F3434" s="112"/>
      <c r="G3434" s="1110"/>
      <c r="H3434" s="1138"/>
      <c r="I3434" s="1138"/>
      <c r="J3434" s="1139"/>
      <c r="K3434" s="1111"/>
      <c r="L3434" s="1112"/>
      <c r="M3434" s="1113"/>
      <c r="N3434" s="110"/>
      <c r="O3434" s="1140"/>
      <c r="P3434" s="1115"/>
      <c r="Q3434" s="1116"/>
      <c r="R3434" s="1141"/>
      <c r="S3434" s="1113"/>
      <c r="T3434" s="1143"/>
      <c r="U3434" s="1108"/>
      <c r="V3434" s="1108"/>
      <c r="W3434" s="1108"/>
      <c r="X3434" s="1108"/>
      <c r="Y3434" s="1108"/>
      <c r="Z3434" s="1114"/>
      <c r="AA3434" s="1114"/>
      <c r="AB3434" s="1114"/>
      <c r="AC3434" s="1117"/>
      <c r="AD3434" s="1115"/>
      <c r="AE3434" s="1115"/>
      <c r="AF3434" s="1115"/>
      <c r="AG3434" s="1115"/>
      <c r="AH3434" s="1115"/>
      <c r="AI3434" s="1115"/>
      <c r="AJ3434" s="1117"/>
      <c r="AK3434" s="1118"/>
      <c r="AL3434" s="1115"/>
      <c r="AM3434" s="1115"/>
      <c r="AN3434" s="1115"/>
      <c r="AO3434" s="1115"/>
      <c r="AP3434" s="1115"/>
      <c r="AQ3434" s="1115"/>
      <c r="AR3434" s="1115"/>
      <c r="AS3434" s="1117"/>
      <c r="AT3434" s="1075"/>
      <c r="AU3434" s="1193"/>
      <c r="AV3434" s="330"/>
      <c r="AW3434" s="331"/>
      <c r="AX3434" s="331"/>
      <c r="AY3434" s="331"/>
      <c r="AZ3434" s="331"/>
      <c r="BA3434" s="331"/>
      <c r="BB3434" s="331"/>
      <c r="BC3434" s="331"/>
      <c r="BD3434" s="331"/>
      <c r="BE3434" s="333"/>
      <c r="BF3434" s="330"/>
      <c r="BG3434" s="333"/>
      <c r="BH3434" s="1119"/>
      <c r="BI3434" s="319"/>
      <c r="BJ3434" s="319"/>
      <c r="BK3434" s="319"/>
      <c r="BL3434" s="319"/>
      <c r="BM3434" s="319"/>
      <c r="BN3434" s="319"/>
      <c r="BO3434" s="319"/>
      <c r="BP3434" s="953"/>
      <c r="BQ3434" s="319"/>
      <c r="BR3434" s="319"/>
      <c r="BS3434" s="330"/>
      <c r="BT3434" s="331"/>
      <c r="BU3434" s="920"/>
      <c r="BV3434" s="903"/>
      <c r="BW3434" s="908"/>
      <c r="BX3434" s="908"/>
      <c r="BY3434" s="331"/>
      <c r="BZ3434" s="331"/>
      <c r="CA3434" s="462"/>
      <c r="CB3434" s="319"/>
      <c r="CC3434" s="319"/>
      <c r="CD3434" s="319"/>
      <c r="CE3434" s="319"/>
      <c r="CF3434" s="319"/>
      <c r="CG3434" s="319"/>
      <c r="CH3434" s="318"/>
      <c r="CI3434" s="319"/>
      <c r="CJ3434" s="319"/>
      <c r="CK3434" s="342"/>
      <c r="CL3434" s="333"/>
      <c r="CM3434" s="1079"/>
      <c r="CN3434" s="1005"/>
      <c r="CO3434" s="1005"/>
      <c r="CP3434" s="1005"/>
    </row>
    <row r="3435">
      <c r="A3435" s="1257"/>
      <c r="B3435" s="1113"/>
      <c r="C3435" s="1107"/>
      <c r="D3435" s="103"/>
      <c r="E3435" s="1137"/>
      <c r="F3435" s="112"/>
      <c r="G3435" s="1110"/>
      <c r="H3435" s="1138"/>
      <c r="I3435" s="1138"/>
      <c r="J3435" s="1139"/>
      <c r="K3435" s="1111"/>
      <c r="L3435" s="1112"/>
      <c r="M3435" s="1113"/>
      <c r="N3435" s="110"/>
      <c r="O3435" s="1140"/>
      <c r="P3435" s="1115"/>
      <c r="Q3435" s="1116"/>
      <c r="R3435" s="1141"/>
      <c r="S3435" s="1113"/>
      <c r="T3435" s="1143"/>
      <c r="U3435" s="1108"/>
      <c r="V3435" s="1108"/>
      <c r="W3435" s="1108"/>
      <c r="X3435" s="1108"/>
      <c r="Y3435" s="1108"/>
      <c r="Z3435" s="1114"/>
      <c r="AA3435" s="1114"/>
      <c r="AB3435" s="1114"/>
      <c r="AC3435" s="1117"/>
      <c r="AD3435" s="1115"/>
      <c r="AE3435" s="1115"/>
      <c r="AF3435" s="1115"/>
      <c r="AG3435" s="1115"/>
      <c r="AH3435" s="1115"/>
      <c r="AI3435" s="1115"/>
      <c r="AJ3435" s="1117"/>
      <c r="AK3435" s="1118"/>
      <c r="AL3435" s="1115"/>
      <c r="AM3435" s="1115"/>
      <c r="AN3435" s="1115"/>
      <c r="AO3435" s="1115"/>
      <c r="AP3435" s="1115"/>
      <c r="AQ3435" s="1115"/>
      <c r="AR3435" s="1115"/>
      <c r="AS3435" s="1117"/>
      <c r="AT3435" s="1075"/>
      <c r="AU3435" s="1193"/>
      <c r="AV3435" s="330"/>
      <c r="AW3435" s="331"/>
      <c r="AX3435" s="331"/>
      <c r="AY3435" s="331"/>
      <c r="AZ3435" s="331"/>
      <c r="BA3435" s="331"/>
      <c r="BB3435" s="331"/>
      <c r="BC3435" s="331"/>
      <c r="BD3435" s="331"/>
      <c r="BE3435" s="333"/>
      <c r="BF3435" s="330"/>
      <c r="BG3435" s="333"/>
      <c r="BH3435" s="1119"/>
      <c r="BI3435" s="319"/>
      <c r="BJ3435" s="319"/>
      <c r="BK3435" s="319"/>
      <c r="BL3435" s="319"/>
      <c r="BM3435" s="319"/>
      <c r="BN3435" s="319"/>
      <c r="BO3435" s="319"/>
      <c r="BP3435" s="953"/>
      <c r="BQ3435" s="319"/>
      <c r="BR3435" s="319"/>
      <c r="BS3435" s="330"/>
      <c r="BT3435" s="331"/>
      <c r="BU3435" s="920"/>
      <c r="BV3435" s="903"/>
      <c r="BW3435" s="908"/>
      <c r="BX3435" s="908"/>
      <c r="BY3435" s="331"/>
      <c r="BZ3435" s="331"/>
      <c r="CA3435" s="462"/>
      <c r="CB3435" s="319"/>
      <c r="CC3435" s="319"/>
      <c r="CD3435" s="319"/>
      <c r="CE3435" s="319"/>
      <c r="CF3435" s="319"/>
      <c r="CG3435" s="319"/>
      <c r="CH3435" s="318"/>
      <c r="CI3435" s="319"/>
      <c r="CJ3435" s="319"/>
      <c r="CK3435" s="342"/>
      <c r="CL3435" s="333"/>
      <c r="CM3435" s="1079"/>
      <c r="CN3435" s="1005"/>
      <c r="CO3435" s="1005"/>
      <c r="CP3435" s="1005"/>
    </row>
    <row r="3436">
      <c r="A3436" s="1257"/>
      <c r="B3436" s="1113"/>
      <c r="C3436" s="1107"/>
      <c r="D3436" s="103"/>
      <c r="E3436" s="1137"/>
      <c r="F3436" s="112"/>
      <c r="G3436" s="1110"/>
      <c r="H3436" s="1138"/>
      <c r="I3436" s="1138"/>
      <c r="J3436" s="1139"/>
      <c r="K3436" s="1111"/>
      <c r="L3436" s="1112"/>
      <c r="M3436" s="1113"/>
      <c r="N3436" s="110"/>
      <c r="O3436" s="1140"/>
      <c r="P3436" s="1115"/>
      <c r="Q3436" s="1116"/>
      <c r="R3436" s="1141"/>
      <c r="S3436" s="1113"/>
      <c r="T3436" s="1143"/>
      <c r="U3436" s="1108"/>
      <c r="V3436" s="1108"/>
      <c r="W3436" s="1108"/>
      <c r="X3436" s="1108"/>
      <c r="Y3436" s="1108"/>
      <c r="Z3436" s="1114"/>
      <c r="AA3436" s="1114"/>
      <c r="AB3436" s="1114"/>
      <c r="AC3436" s="1117"/>
      <c r="AD3436" s="1115"/>
      <c r="AE3436" s="1115"/>
      <c r="AF3436" s="1115"/>
      <c r="AG3436" s="1115"/>
      <c r="AH3436" s="1115"/>
      <c r="AI3436" s="1115"/>
      <c r="AJ3436" s="1117"/>
      <c r="AK3436" s="1118"/>
      <c r="AL3436" s="1115"/>
      <c r="AM3436" s="1115"/>
      <c r="AN3436" s="1115"/>
      <c r="AO3436" s="1115"/>
      <c r="AP3436" s="1115"/>
      <c r="AQ3436" s="1115"/>
      <c r="AR3436" s="1115"/>
      <c r="AS3436" s="1117"/>
      <c r="AT3436" s="1075"/>
      <c r="AU3436" s="1193"/>
      <c r="AV3436" s="330"/>
      <c r="AW3436" s="331"/>
      <c r="AX3436" s="331"/>
      <c r="AY3436" s="331"/>
      <c r="AZ3436" s="331"/>
      <c r="BA3436" s="331"/>
      <c r="BB3436" s="331"/>
      <c r="BC3436" s="331"/>
      <c r="BD3436" s="331"/>
      <c r="BE3436" s="333"/>
      <c r="BF3436" s="330"/>
      <c r="BG3436" s="333"/>
      <c r="BH3436" s="1119"/>
      <c r="BI3436" s="319"/>
      <c r="BJ3436" s="319"/>
      <c r="BK3436" s="319"/>
      <c r="BL3436" s="319"/>
      <c r="BM3436" s="319"/>
      <c r="BN3436" s="319"/>
      <c r="BO3436" s="319"/>
      <c r="BP3436" s="953"/>
      <c r="BQ3436" s="319"/>
      <c r="BR3436" s="319"/>
      <c r="BS3436" s="330"/>
      <c r="BT3436" s="331"/>
      <c r="BU3436" s="920"/>
      <c r="BV3436" s="903"/>
      <c r="BW3436" s="908"/>
      <c r="BX3436" s="908"/>
      <c r="BY3436" s="331"/>
      <c r="BZ3436" s="331"/>
      <c r="CA3436" s="462"/>
      <c r="CB3436" s="319"/>
      <c r="CC3436" s="319"/>
      <c r="CD3436" s="319"/>
      <c r="CE3436" s="319"/>
      <c r="CF3436" s="319"/>
      <c r="CG3436" s="319"/>
      <c r="CH3436" s="318"/>
      <c r="CI3436" s="319"/>
      <c r="CJ3436" s="319"/>
      <c r="CK3436" s="342"/>
      <c r="CL3436" s="333"/>
      <c r="CM3436" s="1079"/>
      <c r="CN3436" s="1005"/>
      <c r="CO3436" s="1005"/>
      <c r="CP3436" s="1005"/>
    </row>
    <row r="3437">
      <c r="A3437" s="1257"/>
      <c r="B3437" s="1113"/>
      <c r="C3437" s="1107"/>
      <c r="D3437" s="103"/>
      <c r="E3437" s="1137"/>
      <c r="F3437" s="112"/>
      <c r="G3437" s="1110"/>
      <c r="H3437" s="1138"/>
      <c r="I3437" s="1138"/>
      <c r="J3437" s="1139"/>
      <c r="K3437" s="1111"/>
      <c r="L3437" s="1112"/>
      <c r="M3437" s="1113"/>
      <c r="N3437" s="110"/>
      <c r="O3437" s="1140"/>
      <c r="P3437" s="1115"/>
      <c r="Q3437" s="1116"/>
      <c r="R3437" s="1141"/>
      <c r="S3437" s="1113"/>
      <c r="T3437" s="1143"/>
      <c r="U3437" s="1108"/>
      <c r="V3437" s="1108"/>
      <c r="W3437" s="1108"/>
      <c r="X3437" s="1108"/>
      <c r="Y3437" s="1108"/>
      <c r="Z3437" s="1114"/>
      <c r="AA3437" s="1114"/>
      <c r="AB3437" s="1114"/>
      <c r="AC3437" s="1117"/>
      <c r="AD3437" s="1115"/>
      <c r="AE3437" s="1115"/>
      <c r="AF3437" s="1115"/>
      <c r="AG3437" s="1115"/>
      <c r="AH3437" s="1115"/>
      <c r="AI3437" s="1115"/>
      <c r="AJ3437" s="1117"/>
      <c r="AK3437" s="1118"/>
      <c r="AL3437" s="1115"/>
      <c r="AM3437" s="1115"/>
      <c r="AN3437" s="1115"/>
      <c r="AO3437" s="1115"/>
      <c r="AP3437" s="1115"/>
      <c r="AQ3437" s="1115"/>
      <c r="AR3437" s="1115"/>
      <c r="AS3437" s="1117"/>
      <c r="AT3437" s="1075"/>
      <c r="AU3437" s="1193"/>
      <c r="AV3437" s="330"/>
      <c r="AW3437" s="331"/>
      <c r="AX3437" s="331"/>
      <c r="AY3437" s="331"/>
      <c r="AZ3437" s="331"/>
      <c r="BA3437" s="331"/>
      <c r="BB3437" s="331"/>
      <c r="BC3437" s="331"/>
      <c r="BD3437" s="331"/>
      <c r="BE3437" s="333"/>
      <c r="BF3437" s="330"/>
      <c r="BG3437" s="333"/>
      <c r="BH3437" s="1119"/>
      <c r="BI3437" s="319"/>
      <c r="BJ3437" s="319"/>
      <c r="BK3437" s="319"/>
      <c r="BL3437" s="319"/>
      <c r="BM3437" s="319"/>
      <c r="BN3437" s="319"/>
      <c r="BO3437" s="319"/>
      <c r="BP3437" s="953"/>
      <c r="BQ3437" s="319"/>
      <c r="BR3437" s="319"/>
      <c r="BS3437" s="330"/>
      <c r="BT3437" s="331"/>
      <c r="BU3437" s="920"/>
      <c r="BV3437" s="903"/>
      <c r="BW3437" s="908"/>
      <c r="BX3437" s="908"/>
      <c r="BY3437" s="331"/>
      <c r="BZ3437" s="331"/>
      <c r="CA3437" s="462"/>
      <c r="CB3437" s="319"/>
      <c r="CC3437" s="319"/>
      <c r="CD3437" s="319"/>
      <c r="CE3437" s="319"/>
      <c r="CF3437" s="319"/>
      <c r="CG3437" s="319"/>
      <c r="CH3437" s="318"/>
      <c r="CI3437" s="319"/>
      <c r="CJ3437" s="319"/>
      <c r="CK3437" s="342"/>
      <c r="CL3437" s="333"/>
      <c r="CM3437" s="1079"/>
      <c r="CN3437" s="1005"/>
      <c r="CO3437" s="1005"/>
      <c r="CP3437" s="1005"/>
    </row>
    <row r="3438">
      <c r="A3438" s="1257"/>
      <c r="B3438" s="1113"/>
      <c r="C3438" s="1107"/>
      <c r="D3438" s="103"/>
      <c r="E3438" s="1137"/>
      <c r="F3438" s="112"/>
      <c r="G3438" s="1110"/>
      <c r="H3438" s="1138"/>
      <c r="I3438" s="1138"/>
      <c r="J3438" s="1139"/>
      <c r="K3438" s="1111"/>
      <c r="L3438" s="1112"/>
      <c r="M3438" s="1113"/>
      <c r="N3438" s="110"/>
      <c r="O3438" s="1140"/>
      <c r="P3438" s="1115"/>
      <c r="Q3438" s="1116"/>
      <c r="R3438" s="1141"/>
      <c r="S3438" s="1113"/>
      <c r="T3438" s="1143"/>
      <c r="U3438" s="1108"/>
      <c r="V3438" s="1108"/>
      <c r="W3438" s="1108"/>
      <c r="X3438" s="1108"/>
      <c r="Y3438" s="1108"/>
      <c r="Z3438" s="1114"/>
      <c r="AA3438" s="1114"/>
      <c r="AB3438" s="1114"/>
      <c r="AC3438" s="1117"/>
      <c r="AD3438" s="1115"/>
      <c r="AE3438" s="1115"/>
      <c r="AF3438" s="1115"/>
      <c r="AG3438" s="1115"/>
      <c r="AH3438" s="1115"/>
      <c r="AI3438" s="1115"/>
      <c r="AJ3438" s="1117"/>
      <c r="AK3438" s="1118"/>
      <c r="AL3438" s="1115"/>
      <c r="AM3438" s="1115"/>
      <c r="AN3438" s="1115"/>
      <c r="AO3438" s="1115"/>
      <c r="AP3438" s="1115"/>
      <c r="AQ3438" s="1115"/>
      <c r="AR3438" s="1115"/>
      <c r="AS3438" s="1117"/>
      <c r="AT3438" s="1075"/>
      <c r="AU3438" s="1193"/>
      <c r="AV3438" s="330"/>
      <c r="AW3438" s="331"/>
      <c r="AX3438" s="331"/>
      <c r="AY3438" s="331"/>
      <c r="AZ3438" s="331"/>
      <c r="BA3438" s="331"/>
      <c r="BB3438" s="331"/>
      <c r="BC3438" s="331"/>
      <c r="BD3438" s="331"/>
      <c r="BE3438" s="333"/>
      <c r="BF3438" s="330"/>
      <c r="BG3438" s="333"/>
      <c r="BH3438" s="1119"/>
      <c r="BI3438" s="319"/>
      <c r="BJ3438" s="319"/>
      <c r="BK3438" s="319"/>
      <c r="BL3438" s="319"/>
      <c r="BM3438" s="319"/>
      <c r="BN3438" s="319"/>
      <c r="BO3438" s="319"/>
      <c r="BP3438" s="953"/>
      <c r="BQ3438" s="319"/>
      <c r="BR3438" s="319"/>
      <c r="BS3438" s="330"/>
      <c r="BT3438" s="331"/>
      <c r="BU3438" s="920"/>
      <c r="BV3438" s="903"/>
      <c r="BW3438" s="908"/>
      <c r="BX3438" s="908"/>
      <c r="BY3438" s="331"/>
      <c r="BZ3438" s="331"/>
      <c r="CA3438" s="462"/>
      <c r="CB3438" s="319"/>
      <c r="CC3438" s="319"/>
      <c r="CD3438" s="319"/>
      <c r="CE3438" s="319"/>
      <c r="CF3438" s="319"/>
      <c r="CG3438" s="319"/>
      <c r="CH3438" s="318"/>
      <c r="CI3438" s="319"/>
      <c r="CJ3438" s="319"/>
      <c r="CK3438" s="342"/>
      <c r="CL3438" s="333"/>
      <c r="CM3438" s="1079"/>
      <c r="CN3438" s="1005"/>
      <c r="CO3438" s="1005"/>
      <c r="CP3438" s="1005"/>
    </row>
    <row r="3439">
      <c r="A3439" s="1257"/>
      <c r="B3439" s="1113"/>
      <c r="C3439" s="1107"/>
      <c r="D3439" s="103"/>
      <c r="E3439" s="1137"/>
      <c r="F3439" s="112"/>
      <c r="G3439" s="1110"/>
      <c r="H3439" s="1138"/>
      <c r="I3439" s="1138"/>
      <c r="J3439" s="1139"/>
      <c r="K3439" s="1111"/>
      <c r="L3439" s="1112"/>
      <c r="M3439" s="1113"/>
      <c r="N3439" s="110"/>
      <c r="O3439" s="1140"/>
      <c r="P3439" s="1115"/>
      <c r="Q3439" s="1116"/>
      <c r="R3439" s="1141"/>
      <c r="S3439" s="1113"/>
      <c r="T3439" s="1143"/>
      <c r="U3439" s="1108"/>
      <c r="V3439" s="1108"/>
      <c r="W3439" s="1108"/>
      <c r="X3439" s="1108"/>
      <c r="Y3439" s="1108"/>
      <c r="Z3439" s="1114"/>
      <c r="AA3439" s="1114"/>
      <c r="AB3439" s="1114"/>
      <c r="AC3439" s="1117"/>
      <c r="AD3439" s="1115"/>
      <c r="AE3439" s="1115"/>
      <c r="AF3439" s="1115"/>
      <c r="AG3439" s="1115"/>
      <c r="AH3439" s="1115"/>
      <c r="AI3439" s="1115"/>
      <c r="AJ3439" s="1117"/>
      <c r="AK3439" s="1118"/>
      <c r="AL3439" s="1115"/>
      <c r="AM3439" s="1115"/>
      <c r="AN3439" s="1115"/>
      <c r="AO3439" s="1115"/>
      <c r="AP3439" s="1115"/>
      <c r="AQ3439" s="1115"/>
      <c r="AR3439" s="1115"/>
      <c r="AS3439" s="1117"/>
      <c r="AT3439" s="1075"/>
      <c r="AU3439" s="1193"/>
      <c r="AV3439" s="330"/>
      <c r="AW3439" s="331"/>
      <c r="AX3439" s="331"/>
      <c r="AY3439" s="331"/>
      <c r="AZ3439" s="331"/>
      <c r="BA3439" s="331"/>
      <c r="BB3439" s="331"/>
      <c r="BC3439" s="331"/>
      <c r="BD3439" s="331"/>
      <c r="BE3439" s="333"/>
      <c r="BF3439" s="330"/>
      <c r="BG3439" s="333"/>
      <c r="BH3439" s="1119"/>
      <c r="BI3439" s="319"/>
      <c r="BJ3439" s="319"/>
      <c r="BK3439" s="319"/>
      <c r="BL3439" s="319"/>
      <c r="BM3439" s="319"/>
      <c r="BN3439" s="319"/>
      <c r="BO3439" s="319"/>
      <c r="BP3439" s="953"/>
      <c r="BQ3439" s="319"/>
      <c r="BR3439" s="319"/>
      <c r="BS3439" s="330"/>
      <c r="BT3439" s="331"/>
      <c r="BU3439" s="920"/>
      <c r="BV3439" s="903"/>
      <c r="BW3439" s="908"/>
      <c r="BX3439" s="908"/>
      <c r="BY3439" s="331"/>
      <c r="BZ3439" s="331"/>
      <c r="CA3439" s="462"/>
      <c r="CB3439" s="319"/>
      <c r="CC3439" s="319"/>
      <c r="CD3439" s="319"/>
      <c r="CE3439" s="319"/>
      <c r="CF3439" s="319"/>
      <c r="CG3439" s="319"/>
      <c r="CH3439" s="318"/>
      <c r="CI3439" s="319"/>
      <c r="CJ3439" s="319"/>
      <c r="CK3439" s="342"/>
      <c r="CL3439" s="333"/>
      <c r="CM3439" s="1079"/>
      <c r="CN3439" s="1005"/>
      <c r="CO3439" s="1005"/>
      <c r="CP3439" s="1005"/>
    </row>
    <row r="3440">
      <c r="A3440" s="1257"/>
      <c r="B3440" s="1113"/>
      <c r="C3440" s="1107"/>
      <c r="D3440" s="103"/>
      <c r="E3440" s="1137"/>
      <c r="F3440" s="112"/>
      <c r="G3440" s="1110"/>
      <c r="H3440" s="1138"/>
      <c r="I3440" s="1138"/>
      <c r="J3440" s="1139"/>
      <c r="K3440" s="1111"/>
      <c r="L3440" s="1112"/>
      <c r="M3440" s="1113"/>
      <c r="N3440" s="110"/>
      <c r="O3440" s="1140"/>
      <c r="P3440" s="1115"/>
      <c r="Q3440" s="1116"/>
      <c r="R3440" s="1141"/>
      <c r="S3440" s="1113"/>
      <c r="T3440" s="1143"/>
      <c r="U3440" s="1108"/>
      <c r="V3440" s="1108"/>
      <c r="W3440" s="1108"/>
      <c r="X3440" s="1108"/>
      <c r="Y3440" s="1108"/>
      <c r="Z3440" s="1114"/>
      <c r="AA3440" s="1114"/>
      <c r="AB3440" s="1114"/>
      <c r="AC3440" s="1117"/>
      <c r="AD3440" s="1115"/>
      <c r="AE3440" s="1115"/>
      <c r="AF3440" s="1115"/>
      <c r="AG3440" s="1115"/>
      <c r="AH3440" s="1115"/>
      <c r="AI3440" s="1115"/>
      <c r="AJ3440" s="1117"/>
      <c r="AK3440" s="1118"/>
      <c r="AL3440" s="1115"/>
      <c r="AM3440" s="1115"/>
      <c r="AN3440" s="1115"/>
      <c r="AO3440" s="1115"/>
      <c r="AP3440" s="1115"/>
      <c r="AQ3440" s="1115"/>
      <c r="AR3440" s="1115"/>
      <c r="AS3440" s="1117"/>
      <c r="AT3440" s="1075"/>
      <c r="AU3440" s="1193"/>
      <c r="AV3440" s="330"/>
      <c r="AW3440" s="331"/>
      <c r="AX3440" s="331"/>
      <c r="AY3440" s="331"/>
      <c r="AZ3440" s="331"/>
      <c r="BA3440" s="331"/>
      <c r="BB3440" s="331"/>
      <c r="BC3440" s="331"/>
      <c r="BD3440" s="331"/>
      <c r="BE3440" s="333"/>
      <c r="BF3440" s="330"/>
      <c r="BG3440" s="333"/>
      <c r="BH3440" s="1119"/>
      <c r="BI3440" s="319"/>
      <c r="BJ3440" s="319"/>
      <c r="BK3440" s="319"/>
      <c r="BL3440" s="319"/>
      <c r="BM3440" s="319"/>
      <c r="BN3440" s="319"/>
      <c r="BO3440" s="319"/>
      <c r="BP3440" s="953"/>
      <c r="BQ3440" s="319"/>
      <c r="BR3440" s="319"/>
      <c r="BS3440" s="330"/>
      <c r="BT3440" s="331"/>
      <c r="BU3440" s="920"/>
      <c r="BV3440" s="903"/>
      <c r="BW3440" s="908"/>
      <c r="BX3440" s="908"/>
      <c r="BY3440" s="331"/>
      <c r="BZ3440" s="331"/>
      <c r="CA3440" s="462"/>
      <c r="CB3440" s="319"/>
      <c r="CC3440" s="319"/>
      <c r="CD3440" s="319"/>
      <c r="CE3440" s="319"/>
      <c r="CF3440" s="319"/>
      <c r="CG3440" s="319"/>
      <c r="CH3440" s="318"/>
      <c r="CI3440" s="319"/>
      <c r="CJ3440" s="319"/>
      <c r="CK3440" s="342"/>
      <c r="CL3440" s="333"/>
      <c r="CM3440" s="1079"/>
      <c r="CN3440" s="1005"/>
      <c r="CO3440" s="1005"/>
      <c r="CP3440" s="1005"/>
    </row>
    <row r="3441">
      <c r="A3441" s="1257"/>
      <c r="B3441" s="1113"/>
      <c r="C3441" s="1107"/>
      <c r="D3441" s="103"/>
      <c r="E3441" s="1137"/>
      <c r="F3441" s="112"/>
      <c r="G3441" s="1110"/>
      <c r="H3441" s="1138"/>
      <c r="I3441" s="1138"/>
      <c r="J3441" s="1139"/>
      <c r="K3441" s="1111"/>
      <c r="L3441" s="1112"/>
      <c r="M3441" s="1113"/>
      <c r="N3441" s="110"/>
      <c r="O3441" s="1140"/>
      <c r="P3441" s="1115"/>
      <c r="Q3441" s="1116"/>
      <c r="R3441" s="1141"/>
      <c r="S3441" s="1113"/>
      <c r="T3441" s="1143"/>
      <c r="U3441" s="1108"/>
      <c r="V3441" s="1108"/>
      <c r="W3441" s="1108"/>
      <c r="X3441" s="1108"/>
      <c r="Y3441" s="1108"/>
      <c r="Z3441" s="1114"/>
      <c r="AA3441" s="1114"/>
      <c r="AB3441" s="1114"/>
      <c r="AC3441" s="1117"/>
      <c r="AD3441" s="1115"/>
      <c r="AE3441" s="1115"/>
      <c r="AF3441" s="1115"/>
      <c r="AG3441" s="1115"/>
      <c r="AH3441" s="1115"/>
      <c r="AI3441" s="1115"/>
      <c r="AJ3441" s="1117"/>
      <c r="AK3441" s="1118"/>
      <c r="AL3441" s="1115"/>
      <c r="AM3441" s="1115"/>
      <c r="AN3441" s="1115"/>
      <c r="AO3441" s="1115"/>
      <c r="AP3441" s="1115"/>
      <c r="AQ3441" s="1115"/>
      <c r="AR3441" s="1115"/>
      <c r="AS3441" s="1117"/>
      <c r="AT3441" s="1075"/>
      <c r="AU3441" s="1193"/>
      <c r="AV3441" s="330"/>
      <c r="AW3441" s="331"/>
      <c r="AX3441" s="331"/>
      <c r="AY3441" s="331"/>
      <c r="AZ3441" s="331"/>
      <c r="BA3441" s="331"/>
      <c r="BB3441" s="331"/>
      <c r="BC3441" s="331"/>
      <c r="BD3441" s="331"/>
      <c r="BE3441" s="333"/>
      <c r="BF3441" s="330"/>
      <c r="BG3441" s="333"/>
      <c r="BH3441" s="1119"/>
      <c r="BI3441" s="319"/>
      <c r="BJ3441" s="319"/>
      <c r="BK3441" s="319"/>
      <c r="BL3441" s="319"/>
      <c r="BM3441" s="319"/>
      <c r="BN3441" s="319"/>
      <c r="BO3441" s="319"/>
      <c r="BP3441" s="953"/>
      <c r="BQ3441" s="319"/>
      <c r="BR3441" s="319"/>
      <c r="BS3441" s="330"/>
      <c r="BT3441" s="331"/>
      <c r="BU3441" s="920"/>
      <c r="BV3441" s="903"/>
      <c r="BW3441" s="908"/>
      <c r="BX3441" s="908"/>
      <c r="BY3441" s="331"/>
      <c r="BZ3441" s="331"/>
      <c r="CA3441" s="462"/>
      <c r="CB3441" s="319"/>
      <c r="CC3441" s="319"/>
      <c r="CD3441" s="319"/>
      <c r="CE3441" s="319"/>
      <c r="CF3441" s="319"/>
      <c r="CG3441" s="319"/>
      <c r="CH3441" s="318"/>
      <c r="CI3441" s="319"/>
      <c r="CJ3441" s="319"/>
      <c r="CK3441" s="342"/>
      <c r="CL3441" s="333"/>
      <c r="CM3441" s="1079"/>
      <c r="CN3441" s="1005"/>
      <c r="CO3441" s="1005"/>
      <c r="CP3441" s="1005"/>
    </row>
    <row r="3442">
      <c r="A3442" s="1257"/>
      <c r="B3442" s="1113"/>
      <c r="C3442" s="1107"/>
      <c r="D3442" s="103"/>
      <c r="E3442" s="1137"/>
      <c r="F3442" s="112"/>
      <c r="G3442" s="1110"/>
      <c r="H3442" s="1138"/>
      <c r="I3442" s="1138"/>
      <c r="J3442" s="1139"/>
      <c r="K3442" s="1111"/>
      <c r="L3442" s="1112"/>
      <c r="M3442" s="1113"/>
      <c r="N3442" s="110"/>
      <c r="O3442" s="1140"/>
      <c r="P3442" s="1115"/>
      <c r="Q3442" s="1116"/>
      <c r="R3442" s="1141"/>
      <c r="S3442" s="1113"/>
      <c r="T3442" s="1143"/>
      <c r="U3442" s="1108"/>
      <c r="V3442" s="1108"/>
      <c r="W3442" s="1108"/>
      <c r="X3442" s="1108"/>
      <c r="Y3442" s="1108"/>
      <c r="Z3442" s="1114"/>
      <c r="AA3442" s="1114"/>
      <c r="AB3442" s="1114"/>
      <c r="AC3442" s="1117"/>
      <c r="AD3442" s="1115"/>
      <c r="AE3442" s="1115"/>
      <c r="AF3442" s="1115"/>
      <c r="AG3442" s="1115"/>
      <c r="AH3442" s="1115"/>
      <c r="AI3442" s="1115"/>
      <c r="AJ3442" s="1117"/>
      <c r="AK3442" s="1118"/>
      <c r="AL3442" s="1115"/>
      <c r="AM3442" s="1115"/>
      <c r="AN3442" s="1115"/>
      <c r="AO3442" s="1115"/>
      <c r="AP3442" s="1115"/>
      <c r="AQ3442" s="1115"/>
      <c r="AR3442" s="1115"/>
      <c r="AS3442" s="1117"/>
      <c r="AT3442" s="1075"/>
      <c r="AU3442" s="1193"/>
      <c r="AV3442" s="330"/>
      <c r="AW3442" s="331"/>
      <c r="AX3442" s="331"/>
      <c r="AY3442" s="331"/>
      <c r="AZ3442" s="331"/>
      <c r="BA3442" s="331"/>
      <c r="BB3442" s="331"/>
      <c r="BC3442" s="331"/>
      <c r="BD3442" s="331"/>
      <c r="BE3442" s="333"/>
      <c r="BF3442" s="330"/>
      <c r="BG3442" s="333"/>
      <c r="BH3442" s="1119"/>
      <c r="BI3442" s="319"/>
      <c r="BJ3442" s="319"/>
      <c r="BK3442" s="319"/>
      <c r="BL3442" s="319"/>
      <c r="BM3442" s="319"/>
      <c r="BN3442" s="319"/>
      <c r="BO3442" s="319"/>
      <c r="BP3442" s="953"/>
      <c r="BQ3442" s="319"/>
      <c r="BR3442" s="319"/>
      <c r="BS3442" s="330"/>
      <c r="BT3442" s="331"/>
      <c r="BU3442" s="920"/>
      <c r="BV3442" s="903"/>
      <c r="BW3442" s="908"/>
      <c r="BX3442" s="908"/>
      <c r="BY3442" s="331"/>
      <c r="BZ3442" s="331"/>
      <c r="CA3442" s="462"/>
      <c r="CB3442" s="319"/>
      <c r="CC3442" s="319"/>
      <c r="CD3442" s="319"/>
      <c r="CE3442" s="319"/>
      <c r="CF3442" s="319"/>
      <c r="CG3442" s="319"/>
      <c r="CH3442" s="318"/>
      <c r="CI3442" s="319"/>
      <c r="CJ3442" s="319"/>
      <c r="CK3442" s="342"/>
      <c r="CL3442" s="333"/>
      <c r="CM3442" s="1079"/>
      <c r="CN3442" s="1005"/>
      <c r="CO3442" s="1005"/>
      <c r="CP3442" s="1005"/>
    </row>
    <row r="3443">
      <c r="A3443" s="1257"/>
      <c r="B3443" s="1113"/>
      <c r="C3443" s="1107"/>
      <c r="D3443" s="103"/>
      <c r="E3443" s="1137"/>
      <c r="F3443" s="112"/>
      <c r="G3443" s="1110"/>
      <c r="H3443" s="1138"/>
      <c r="I3443" s="1138"/>
      <c r="J3443" s="1139"/>
      <c r="K3443" s="1111"/>
      <c r="L3443" s="1112"/>
      <c r="M3443" s="1113"/>
      <c r="N3443" s="110"/>
      <c r="O3443" s="1140"/>
      <c r="P3443" s="1115"/>
      <c r="Q3443" s="1116"/>
      <c r="R3443" s="1141"/>
      <c r="S3443" s="1113"/>
      <c r="T3443" s="1143"/>
      <c r="U3443" s="1108"/>
      <c r="V3443" s="1108"/>
      <c r="W3443" s="1108"/>
      <c r="X3443" s="1108"/>
      <c r="Y3443" s="1108"/>
      <c r="Z3443" s="1114"/>
      <c r="AA3443" s="1114"/>
      <c r="AB3443" s="1114"/>
      <c r="AC3443" s="1117"/>
      <c r="AD3443" s="1115"/>
      <c r="AE3443" s="1115"/>
      <c r="AF3443" s="1115"/>
      <c r="AG3443" s="1115"/>
      <c r="AH3443" s="1115"/>
      <c r="AI3443" s="1115"/>
      <c r="AJ3443" s="1117"/>
      <c r="AK3443" s="1118"/>
      <c r="AL3443" s="1115"/>
      <c r="AM3443" s="1115"/>
      <c r="AN3443" s="1115"/>
      <c r="AO3443" s="1115"/>
      <c r="AP3443" s="1115"/>
      <c r="AQ3443" s="1115"/>
      <c r="AR3443" s="1115"/>
      <c r="AS3443" s="1117"/>
      <c r="AT3443" s="1075"/>
      <c r="AU3443" s="1193"/>
      <c r="AV3443" s="330"/>
      <c r="AW3443" s="331"/>
      <c r="AX3443" s="331"/>
      <c r="AY3443" s="331"/>
      <c r="AZ3443" s="331"/>
      <c r="BA3443" s="331"/>
      <c r="BB3443" s="331"/>
      <c r="BC3443" s="331"/>
      <c r="BD3443" s="331"/>
      <c r="BE3443" s="333"/>
      <c r="BF3443" s="330"/>
      <c r="BG3443" s="333"/>
      <c r="BH3443" s="1119"/>
      <c r="BI3443" s="319"/>
      <c r="BJ3443" s="319"/>
      <c r="BK3443" s="319"/>
      <c r="BL3443" s="319"/>
      <c r="BM3443" s="319"/>
      <c r="BN3443" s="319"/>
      <c r="BO3443" s="319"/>
      <c r="BP3443" s="953"/>
      <c r="BQ3443" s="319"/>
      <c r="BR3443" s="319"/>
      <c r="BS3443" s="330"/>
      <c r="BT3443" s="331"/>
      <c r="BU3443" s="920"/>
      <c r="BV3443" s="903"/>
      <c r="BW3443" s="908"/>
      <c r="BX3443" s="908"/>
      <c r="BY3443" s="331"/>
      <c r="BZ3443" s="331"/>
      <c r="CA3443" s="462"/>
      <c r="CB3443" s="319"/>
      <c r="CC3443" s="319"/>
      <c r="CD3443" s="319"/>
      <c r="CE3443" s="319"/>
      <c r="CF3443" s="319"/>
      <c r="CG3443" s="319"/>
      <c r="CH3443" s="318"/>
      <c r="CI3443" s="319"/>
      <c r="CJ3443" s="319"/>
      <c r="CK3443" s="342"/>
      <c r="CL3443" s="333"/>
      <c r="CM3443" s="1079"/>
      <c r="CN3443" s="1005"/>
      <c r="CO3443" s="1005"/>
      <c r="CP3443" s="1005"/>
    </row>
    <row r="3444">
      <c r="A3444" s="1257"/>
      <c r="B3444" s="1113"/>
      <c r="C3444" s="1107"/>
      <c r="D3444" s="103"/>
      <c r="E3444" s="1137"/>
      <c r="F3444" s="112"/>
      <c r="G3444" s="1110"/>
      <c r="H3444" s="1138"/>
      <c r="I3444" s="1138"/>
      <c r="J3444" s="1139"/>
      <c r="K3444" s="1111"/>
      <c r="L3444" s="1112"/>
      <c r="M3444" s="1113"/>
      <c r="N3444" s="110"/>
      <c r="O3444" s="1140"/>
      <c r="P3444" s="1115"/>
      <c r="Q3444" s="1116"/>
      <c r="R3444" s="1141"/>
      <c r="S3444" s="1113"/>
      <c r="T3444" s="1143"/>
      <c r="U3444" s="1108"/>
      <c r="V3444" s="1108"/>
      <c r="W3444" s="1108"/>
      <c r="X3444" s="1108"/>
      <c r="Y3444" s="1108"/>
      <c r="Z3444" s="1114"/>
      <c r="AA3444" s="1114"/>
      <c r="AB3444" s="1114"/>
      <c r="AC3444" s="1117"/>
      <c r="AD3444" s="1115"/>
      <c r="AE3444" s="1115"/>
      <c r="AF3444" s="1115"/>
      <c r="AG3444" s="1115"/>
      <c r="AH3444" s="1115"/>
      <c r="AI3444" s="1115"/>
      <c r="AJ3444" s="1117"/>
      <c r="AK3444" s="1118"/>
      <c r="AL3444" s="1115"/>
      <c r="AM3444" s="1115"/>
      <c r="AN3444" s="1115"/>
      <c r="AO3444" s="1115"/>
      <c r="AP3444" s="1115"/>
      <c r="AQ3444" s="1115"/>
      <c r="AR3444" s="1115"/>
      <c r="AS3444" s="1117"/>
      <c r="AT3444" s="1075"/>
      <c r="AU3444" s="1193"/>
      <c r="AV3444" s="330"/>
      <c r="AW3444" s="331"/>
      <c r="AX3444" s="331"/>
      <c r="AY3444" s="331"/>
      <c r="AZ3444" s="331"/>
      <c r="BA3444" s="331"/>
      <c r="BB3444" s="331"/>
      <c r="BC3444" s="331"/>
      <c r="BD3444" s="331"/>
      <c r="BE3444" s="333"/>
      <c r="BF3444" s="330"/>
      <c r="BG3444" s="333"/>
      <c r="BH3444" s="1119"/>
      <c r="BI3444" s="319"/>
      <c r="BJ3444" s="319"/>
      <c r="BK3444" s="319"/>
      <c r="BL3444" s="319"/>
      <c r="BM3444" s="319"/>
      <c r="BN3444" s="319"/>
      <c r="BO3444" s="319"/>
      <c r="BP3444" s="953"/>
      <c r="BQ3444" s="319"/>
      <c r="BR3444" s="319"/>
      <c r="BS3444" s="330"/>
      <c r="BT3444" s="331"/>
      <c r="BU3444" s="920"/>
      <c r="BV3444" s="903"/>
      <c r="BW3444" s="908"/>
      <c r="BX3444" s="908"/>
      <c r="BY3444" s="331"/>
      <c r="BZ3444" s="331"/>
      <c r="CA3444" s="462"/>
      <c r="CB3444" s="319"/>
      <c r="CC3444" s="319"/>
      <c r="CD3444" s="319"/>
      <c r="CE3444" s="319"/>
      <c r="CF3444" s="319"/>
      <c r="CG3444" s="319"/>
      <c r="CH3444" s="318"/>
      <c r="CI3444" s="319"/>
      <c r="CJ3444" s="319"/>
      <c r="CK3444" s="342"/>
      <c r="CL3444" s="333"/>
      <c r="CM3444" s="1079"/>
      <c r="CN3444" s="1005"/>
      <c r="CO3444" s="1005"/>
      <c r="CP3444" s="1005"/>
    </row>
    <row r="3445">
      <c r="A3445" s="1257"/>
      <c r="B3445" s="1113"/>
      <c r="C3445" s="1107"/>
      <c r="D3445" s="103"/>
      <c r="E3445" s="1137"/>
      <c r="F3445" s="112"/>
      <c r="G3445" s="1110"/>
      <c r="H3445" s="1138"/>
      <c r="I3445" s="1138"/>
      <c r="J3445" s="1139"/>
      <c r="K3445" s="1111"/>
      <c r="L3445" s="1112"/>
      <c r="M3445" s="1113"/>
      <c r="N3445" s="110"/>
      <c r="O3445" s="1140"/>
      <c r="P3445" s="1115"/>
      <c r="Q3445" s="1116"/>
      <c r="R3445" s="1141"/>
      <c r="S3445" s="1113"/>
      <c r="T3445" s="1143"/>
      <c r="U3445" s="1108"/>
      <c r="V3445" s="1108"/>
      <c r="W3445" s="1108"/>
      <c r="X3445" s="1108"/>
      <c r="Y3445" s="1108"/>
      <c r="Z3445" s="1114"/>
      <c r="AA3445" s="1114"/>
      <c r="AB3445" s="1114"/>
      <c r="AC3445" s="1117"/>
      <c r="AD3445" s="1115"/>
      <c r="AE3445" s="1115"/>
      <c r="AF3445" s="1115"/>
      <c r="AG3445" s="1115"/>
      <c r="AH3445" s="1115"/>
      <c r="AI3445" s="1115"/>
      <c r="AJ3445" s="1117"/>
      <c r="AK3445" s="1118"/>
      <c r="AL3445" s="1115"/>
      <c r="AM3445" s="1115"/>
      <c r="AN3445" s="1115"/>
      <c r="AO3445" s="1115"/>
      <c r="AP3445" s="1115"/>
      <c r="AQ3445" s="1115"/>
      <c r="AR3445" s="1115"/>
      <c r="AS3445" s="1117"/>
      <c r="AT3445" s="1075"/>
      <c r="AU3445" s="1193"/>
      <c r="AV3445" s="330"/>
      <c r="AW3445" s="331"/>
      <c r="AX3445" s="331"/>
      <c r="AY3445" s="331"/>
      <c r="AZ3445" s="331"/>
      <c r="BA3445" s="331"/>
      <c r="BB3445" s="331"/>
      <c r="BC3445" s="331"/>
      <c r="BD3445" s="331"/>
      <c r="BE3445" s="333"/>
      <c r="BF3445" s="330"/>
      <c r="BG3445" s="333"/>
      <c r="BH3445" s="1119"/>
      <c r="BI3445" s="319"/>
      <c r="BJ3445" s="319"/>
      <c r="BK3445" s="319"/>
      <c r="BL3445" s="319"/>
      <c r="BM3445" s="319"/>
      <c r="BN3445" s="319"/>
      <c r="BO3445" s="319"/>
      <c r="BP3445" s="953"/>
      <c r="BQ3445" s="319"/>
      <c r="BR3445" s="319"/>
      <c r="BS3445" s="330"/>
      <c r="BT3445" s="331"/>
      <c r="BU3445" s="920"/>
      <c r="BV3445" s="903"/>
      <c r="BW3445" s="908"/>
      <c r="BX3445" s="908"/>
      <c r="BY3445" s="331"/>
      <c r="BZ3445" s="331"/>
      <c r="CA3445" s="462"/>
      <c r="CB3445" s="319"/>
      <c r="CC3445" s="319"/>
      <c r="CD3445" s="319"/>
      <c r="CE3445" s="319"/>
      <c r="CF3445" s="319"/>
      <c r="CG3445" s="319"/>
      <c r="CH3445" s="318"/>
      <c r="CI3445" s="319"/>
      <c r="CJ3445" s="319"/>
      <c r="CK3445" s="342"/>
      <c r="CL3445" s="333"/>
      <c r="CM3445" s="1079"/>
      <c r="CN3445" s="1005"/>
      <c r="CO3445" s="1005"/>
      <c r="CP3445" s="1005"/>
    </row>
    <row r="3446">
      <c r="A3446" s="1257"/>
      <c r="B3446" s="1113"/>
      <c r="C3446" s="1107"/>
      <c r="D3446" s="103"/>
      <c r="E3446" s="1137"/>
      <c r="F3446" s="112"/>
      <c r="G3446" s="1110"/>
      <c r="H3446" s="1138"/>
      <c r="I3446" s="1138"/>
      <c r="J3446" s="1139"/>
      <c r="K3446" s="1111"/>
      <c r="L3446" s="1112"/>
      <c r="M3446" s="1113"/>
      <c r="N3446" s="110"/>
      <c r="O3446" s="1140"/>
      <c r="P3446" s="1115"/>
      <c r="Q3446" s="1116"/>
      <c r="R3446" s="1141"/>
      <c r="S3446" s="1113"/>
      <c r="T3446" s="1143"/>
      <c r="U3446" s="1108"/>
      <c r="V3446" s="1108"/>
      <c r="W3446" s="1108"/>
      <c r="X3446" s="1108"/>
      <c r="Y3446" s="1108"/>
      <c r="Z3446" s="1114"/>
      <c r="AA3446" s="1114"/>
      <c r="AB3446" s="1114"/>
      <c r="AC3446" s="1117"/>
      <c r="AD3446" s="1115"/>
      <c r="AE3446" s="1115"/>
      <c r="AF3446" s="1115"/>
      <c r="AG3446" s="1115"/>
      <c r="AH3446" s="1115"/>
      <c r="AI3446" s="1115"/>
      <c r="AJ3446" s="1117"/>
      <c r="AK3446" s="1118"/>
      <c r="AL3446" s="1115"/>
      <c r="AM3446" s="1115"/>
      <c r="AN3446" s="1115"/>
      <c r="AO3446" s="1115"/>
      <c r="AP3446" s="1115"/>
      <c r="AQ3446" s="1115"/>
      <c r="AR3446" s="1115"/>
      <c r="AS3446" s="1117"/>
      <c r="AT3446" s="1075"/>
      <c r="AU3446" s="1193"/>
      <c r="AV3446" s="330"/>
      <c r="AW3446" s="331"/>
      <c r="AX3446" s="331"/>
      <c r="AY3446" s="331"/>
      <c r="AZ3446" s="331"/>
      <c r="BA3446" s="331"/>
      <c r="BB3446" s="331"/>
      <c r="BC3446" s="331"/>
      <c r="BD3446" s="331"/>
      <c r="BE3446" s="333"/>
      <c r="BF3446" s="330"/>
      <c r="BG3446" s="333"/>
      <c r="BH3446" s="1119"/>
      <c r="BI3446" s="319"/>
      <c r="BJ3446" s="319"/>
      <c r="BK3446" s="319"/>
      <c r="BL3446" s="319"/>
      <c r="BM3446" s="319"/>
      <c r="BN3446" s="319"/>
      <c r="BO3446" s="319"/>
      <c r="BP3446" s="953"/>
      <c r="BQ3446" s="319"/>
      <c r="BR3446" s="319"/>
      <c r="BS3446" s="330"/>
      <c r="BT3446" s="331"/>
      <c r="BU3446" s="920"/>
      <c r="BV3446" s="903"/>
      <c r="BW3446" s="908"/>
      <c r="BX3446" s="908"/>
      <c r="BY3446" s="331"/>
      <c r="BZ3446" s="331"/>
      <c r="CA3446" s="462"/>
      <c r="CB3446" s="319"/>
      <c r="CC3446" s="319"/>
      <c r="CD3446" s="319"/>
      <c r="CE3446" s="319"/>
      <c r="CF3446" s="319"/>
      <c r="CG3446" s="319"/>
      <c r="CH3446" s="318"/>
      <c r="CI3446" s="319"/>
      <c r="CJ3446" s="319"/>
      <c r="CK3446" s="342"/>
      <c r="CL3446" s="333"/>
      <c r="CM3446" s="1079"/>
      <c r="CN3446" s="1005"/>
      <c r="CO3446" s="1005"/>
      <c r="CP3446" s="1005"/>
    </row>
    <row r="3447">
      <c r="A3447" s="1257"/>
      <c r="B3447" s="1113"/>
      <c r="C3447" s="1107"/>
      <c r="D3447" s="103"/>
      <c r="E3447" s="1137"/>
      <c r="F3447" s="112"/>
      <c r="G3447" s="1110"/>
      <c r="H3447" s="1138"/>
      <c r="I3447" s="1138"/>
      <c r="J3447" s="1139"/>
      <c r="K3447" s="1111"/>
      <c r="L3447" s="1112"/>
      <c r="M3447" s="1113"/>
      <c r="N3447" s="110"/>
      <c r="O3447" s="1140"/>
      <c r="P3447" s="1115"/>
      <c r="Q3447" s="1116"/>
      <c r="R3447" s="1141"/>
      <c r="S3447" s="1113"/>
      <c r="T3447" s="1143"/>
      <c r="U3447" s="1108"/>
      <c r="V3447" s="1108"/>
      <c r="W3447" s="1108"/>
      <c r="X3447" s="1108"/>
      <c r="Y3447" s="1108"/>
      <c r="Z3447" s="1114"/>
      <c r="AA3447" s="1114"/>
      <c r="AB3447" s="1114"/>
      <c r="AC3447" s="1117"/>
      <c r="AD3447" s="1115"/>
      <c r="AE3447" s="1115"/>
      <c r="AF3447" s="1115"/>
      <c r="AG3447" s="1115"/>
      <c r="AH3447" s="1115"/>
      <c r="AI3447" s="1115"/>
      <c r="AJ3447" s="1117"/>
      <c r="AK3447" s="1118"/>
      <c r="AL3447" s="1115"/>
      <c r="AM3447" s="1115"/>
      <c r="AN3447" s="1115"/>
      <c r="AO3447" s="1115"/>
      <c r="AP3447" s="1115"/>
      <c r="AQ3447" s="1115"/>
      <c r="AR3447" s="1115"/>
      <c r="AS3447" s="1117"/>
      <c r="AT3447" s="1075"/>
      <c r="AU3447" s="1193"/>
      <c r="AV3447" s="330"/>
      <c r="AW3447" s="331"/>
      <c r="AX3447" s="331"/>
      <c r="AY3447" s="331"/>
      <c r="AZ3447" s="331"/>
      <c r="BA3447" s="331"/>
      <c r="BB3447" s="331"/>
      <c r="BC3447" s="331"/>
      <c r="BD3447" s="331"/>
      <c r="BE3447" s="333"/>
      <c r="BF3447" s="330"/>
      <c r="BG3447" s="333"/>
      <c r="BH3447" s="1119"/>
      <c r="BI3447" s="319"/>
      <c r="BJ3447" s="319"/>
      <c r="BK3447" s="319"/>
      <c r="BL3447" s="319"/>
      <c r="BM3447" s="319"/>
      <c r="BN3447" s="319"/>
      <c r="BO3447" s="319"/>
      <c r="BP3447" s="953"/>
      <c r="BQ3447" s="319"/>
      <c r="BR3447" s="319"/>
      <c r="BS3447" s="330"/>
      <c r="BT3447" s="331"/>
      <c r="BU3447" s="920"/>
      <c r="BV3447" s="903"/>
      <c r="BW3447" s="908"/>
      <c r="BX3447" s="908"/>
      <c r="BY3447" s="331"/>
      <c r="BZ3447" s="331"/>
      <c r="CA3447" s="462"/>
      <c r="CB3447" s="319"/>
      <c r="CC3447" s="319"/>
      <c r="CD3447" s="319"/>
      <c r="CE3447" s="319"/>
      <c r="CF3447" s="319"/>
      <c r="CG3447" s="319"/>
      <c r="CH3447" s="318"/>
      <c r="CI3447" s="319"/>
      <c r="CJ3447" s="319"/>
      <c r="CK3447" s="342"/>
      <c r="CL3447" s="333"/>
      <c r="CM3447" s="1079"/>
      <c r="CN3447" s="1005"/>
      <c r="CO3447" s="1005"/>
      <c r="CP3447" s="1005"/>
    </row>
    <row r="3448">
      <c r="A3448" s="1257"/>
      <c r="B3448" s="1113"/>
      <c r="C3448" s="1107"/>
      <c r="D3448" s="103"/>
      <c r="E3448" s="1137"/>
      <c r="F3448" s="112"/>
      <c r="G3448" s="1110"/>
      <c r="H3448" s="1138"/>
      <c r="I3448" s="1138"/>
      <c r="J3448" s="1139"/>
      <c r="K3448" s="1111"/>
      <c r="L3448" s="1112"/>
      <c r="M3448" s="1113"/>
      <c r="N3448" s="110"/>
      <c r="O3448" s="1140"/>
      <c r="P3448" s="1115"/>
      <c r="Q3448" s="1116"/>
      <c r="R3448" s="1141"/>
      <c r="S3448" s="1113"/>
      <c r="T3448" s="1143"/>
      <c r="U3448" s="1108"/>
      <c r="V3448" s="1108"/>
      <c r="W3448" s="1108"/>
      <c r="X3448" s="1108"/>
      <c r="Y3448" s="1108"/>
      <c r="Z3448" s="1114"/>
      <c r="AA3448" s="1114"/>
      <c r="AB3448" s="1114"/>
      <c r="AC3448" s="1117"/>
      <c r="AD3448" s="1115"/>
      <c r="AE3448" s="1115"/>
      <c r="AF3448" s="1115"/>
      <c r="AG3448" s="1115"/>
      <c r="AH3448" s="1115"/>
      <c r="AI3448" s="1115"/>
      <c r="AJ3448" s="1117"/>
      <c r="AK3448" s="1118"/>
      <c r="AL3448" s="1115"/>
      <c r="AM3448" s="1115"/>
      <c r="AN3448" s="1115"/>
      <c r="AO3448" s="1115"/>
      <c r="AP3448" s="1115"/>
      <c r="AQ3448" s="1115"/>
      <c r="AR3448" s="1115"/>
      <c r="AS3448" s="1117"/>
      <c r="AT3448" s="1075"/>
      <c r="AU3448" s="1193"/>
      <c r="AV3448" s="330"/>
      <c r="AW3448" s="331"/>
      <c r="AX3448" s="331"/>
      <c r="AY3448" s="331"/>
      <c r="AZ3448" s="331"/>
      <c r="BA3448" s="331"/>
      <c r="BB3448" s="331"/>
      <c r="BC3448" s="331"/>
      <c r="BD3448" s="331"/>
      <c r="BE3448" s="333"/>
      <c r="BF3448" s="330"/>
      <c r="BG3448" s="333"/>
      <c r="BH3448" s="1119"/>
      <c r="BI3448" s="319"/>
      <c r="BJ3448" s="319"/>
      <c r="BK3448" s="319"/>
      <c r="BL3448" s="319"/>
      <c r="BM3448" s="319"/>
      <c r="BN3448" s="319"/>
      <c r="BO3448" s="319"/>
      <c r="BP3448" s="953"/>
      <c r="BQ3448" s="319"/>
      <c r="BR3448" s="319"/>
      <c r="BS3448" s="330"/>
      <c r="BT3448" s="331"/>
      <c r="BU3448" s="920"/>
      <c r="BV3448" s="903"/>
      <c r="BW3448" s="908"/>
      <c r="BX3448" s="908"/>
      <c r="BY3448" s="331"/>
      <c r="BZ3448" s="331"/>
      <c r="CA3448" s="462"/>
      <c r="CB3448" s="319"/>
      <c r="CC3448" s="319"/>
      <c r="CD3448" s="319"/>
      <c r="CE3448" s="319"/>
      <c r="CF3448" s="319"/>
      <c r="CG3448" s="319"/>
      <c r="CH3448" s="318"/>
      <c r="CI3448" s="319"/>
      <c r="CJ3448" s="319"/>
      <c r="CK3448" s="342"/>
      <c r="CL3448" s="333"/>
      <c r="CM3448" s="1079"/>
      <c r="CN3448" s="1005"/>
      <c r="CO3448" s="1005"/>
      <c r="CP3448" s="1005"/>
    </row>
    <row r="3449">
      <c r="A3449" s="1257"/>
      <c r="B3449" s="1113"/>
      <c r="C3449" s="1107"/>
      <c r="D3449" s="103"/>
      <c r="E3449" s="1137"/>
      <c r="F3449" s="112"/>
      <c r="G3449" s="1110"/>
      <c r="H3449" s="1138"/>
      <c r="I3449" s="1138"/>
      <c r="J3449" s="1139"/>
      <c r="K3449" s="1111"/>
      <c r="L3449" s="1112"/>
      <c r="M3449" s="1113"/>
      <c r="N3449" s="110"/>
      <c r="O3449" s="1140"/>
      <c r="P3449" s="1115"/>
      <c r="Q3449" s="1116"/>
      <c r="R3449" s="1141"/>
      <c r="S3449" s="1113"/>
      <c r="T3449" s="1143"/>
      <c r="U3449" s="1108"/>
      <c r="V3449" s="1108"/>
      <c r="W3449" s="1108"/>
      <c r="X3449" s="1108"/>
      <c r="Y3449" s="1108"/>
      <c r="Z3449" s="1114"/>
      <c r="AA3449" s="1114"/>
      <c r="AB3449" s="1114"/>
      <c r="AC3449" s="1117"/>
      <c r="AD3449" s="1115"/>
      <c r="AE3449" s="1115"/>
      <c r="AF3449" s="1115"/>
      <c r="AG3449" s="1115"/>
      <c r="AH3449" s="1115"/>
      <c r="AI3449" s="1115"/>
      <c r="AJ3449" s="1117"/>
      <c r="AK3449" s="1118"/>
      <c r="AL3449" s="1115"/>
      <c r="AM3449" s="1115"/>
      <c r="AN3449" s="1115"/>
      <c r="AO3449" s="1115"/>
      <c r="AP3449" s="1115"/>
      <c r="AQ3449" s="1115"/>
      <c r="AR3449" s="1115"/>
      <c r="AS3449" s="1117"/>
      <c r="AT3449" s="1075"/>
      <c r="AU3449" s="1193"/>
      <c r="AV3449" s="330"/>
      <c r="AW3449" s="331"/>
      <c r="AX3449" s="331"/>
      <c r="AY3449" s="331"/>
      <c r="AZ3449" s="331"/>
      <c r="BA3449" s="331"/>
      <c r="BB3449" s="331"/>
      <c r="BC3449" s="331"/>
      <c r="BD3449" s="331"/>
      <c r="BE3449" s="333"/>
      <c r="BF3449" s="330"/>
      <c r="BG3449" s="333"/>
      <c r="BH3449" s="1119"/>
      <c r="BI3449" s="319"/>
      <c r="BJ3449" s="319"/>
      <c r="BK3449" s="319"/>
      <c r="BL3449" s="319"/>
      <c r="BM3449" s="319"/>
      <c r="BN3449" s="319"/>
      <c r="BO3449" s="319"/>
      <c r="BP3449" s="953"/>
      <c r="BQ3449" s="319"/>
      <c r="BR3449" s="319"/>
      <c r="BS3449" s="330"/>
      <c r="BT3449" s="331"/>
      <c r="BU3449" s="920"/>
      <c r="BV3449" s="903"/>
      <c r="BW3449" s="908"/>
      <c r="BX3449" s="908"/>
      <c r="BY3449" s="331"/>
      <c r="BZ3449" s="331"/>
      <c r="CA3449" s="462"/>
      <c r="CB3449" s="319"/>
      <c r="CC3449" s="319"/>
      <c r="CD3449" s="319"/>
      <c r="CE3449" s="319"/>
      <c r="CF3449" s="319"/>
      <c r="CG3449" s="319"/>
      <c r="CH3449" s="318"/>
      <c r="CI3449" s="319"/>
      <c r="CJ3449" s="319"/>
      <c r="CK3449" s="342"/>
      <c r="CL3449" s="333"/>
      <c r="CM3449" s="1079"/>
      <c r="CN3449" s="1005"/>
      <c r="CO3449" s="1005"/>
      <c r="CP3449" s="1005"/>
    </row>
    <row r="3450">
      <c r="A3450" s="1257"/>
      <c r="B3450" s="1113"/>
      <c r="C3450" s="1107"/>
      <c r="D3450" s="103"/>
      <c r="E3450" s="1137"/>
      <c r="F3450" s="112"/>
      <c r="G3450" s="1110"/>
      <c r="H3450" s="1138"/>
      <c r="I3450" s="1138"/>
      <c r="J3450" s="1139"/>
      <c r="K3450" s="1111"/>
      <c r="L3450" s="1112"/>
      <c r="M3450" s="1113"/>
      <c r="N3450" s="110"/>
      <c r="O3450" s="1140"/>
      <c r="P3450" s="1115"/>
      <c r="Q3450" s="1116"/>
      <c r="R3450" s="1141"/>
      <c r="S3450" s="1113"/>
      <c r="T3450" s="1143"/>
      <c r="U3450" s="1108"/>
      <c r="V3450" s="1108"/>
      <c r="W3450" s="1108"/>
      <c r="X3450" s="1108"/>
      <c r="Y3450" s="1108"/>
      <c r="Z3450" s="1114"/>
      <c r="AA3450" s="1114"/>
      <c r="AB3450" s="1114"/>
      <c r="AC3450" s="1117"/>
      <c r="AD3450" s="1115"/>
      <c r="AE3450" s="1115"/>
      <c r="AF3450" s="1115"/>
      <c r="AG3450" s="1115"/>
      <c r="AH3450" s="1115"/>
      <c r="AI3450" s="1115"/>
      <c r="AJ3450" s="1117"/>
      <c r="AK3450" s="1118"/>
      <c r="AL3450" s="1115"/>
      <c r="AM3450" s="1115"/>
      <c r="AN3450" s="1115"/>
      <c r="AO3450" s="1115"/>
      <c r="AP3450" s="1115"/>
      <c r="AQ3450" s="1115"/>
      <c r="AR3450" s="1115"/>
      <c r="AS3450" s="1117"/>
      <c r="AT3450" s="1075"/>
      <c r="AU3450" s="1193"/>
      <c r="AV3450" s="330"/>
      <c r="AW3450" s="331"/>
      <c r="AX3450" s="331"/>
      <c r="AY3450" s="331"/>
      <c r="AZ3450" s="331"/>
      <c r="BA3450" s="331"/>
      <c r="BB3450" s="331"/>
      <c r="BC3450" s="331"/>
      <c r="BD3450" s="331"/>
      <c r="BE3450" s="333"/>
      <c r="BF3450" s="330"/>
      <c r="BG3450" s="333"/>
      <c r="BH3450" s="1119"/>
      <c r="BI3450" s="319"/>
      <c r="BJ3450" s="319"/>
      <c r="BK3450" s="319"/>
      <c r="BL3450" s="319"/>
      <c r="BM3450" s="319"/>
      <c r="BN3450" s="319"/>
      <c r="BO3450" s="319"/>
      <c r="BP3450" s="953"/>
      <c r="BQ3450" s="319"/>
      <c r="BR3450" s="319"/>
      <c r="BS3450" s="330"/>
      <c r="BT3450" s="331"/>
      <c r="BU3450" s="920"/>
      <c r="BV3450" s="903"/>
      <c r="BW3450" s="908"/>
      <c r="BX3450" s="908"/>
      <c r="BY3450" s="331"/>
      <c r="BZ3450" s="331"/>
      <c r="CA3450" s="462"/>
      <c r="CB3450" s="319"/>
      <c r="CC3450" s="319"/>
      <c r="CD3450" s="319"/>
      <c r="CE3450" s="319"/>
      <c r="CF3450" s="319"/>
      <c r="CG3450" s="319"/>
      <c r="CH3450" s="318"/>
      <c r="CI3450" s="319"/>
      <c r="CJ3450" s="319"/>
      <c r="CK3450" s="342"/>
      <c r="CL3450" s="333"/>
      <c r="CM3450" s="1079"/>
      <c r="CN3450" s="1005"/>
      <c r="CO3450" s="1005"/>
      <c r="CP3450" s="1005"/>
    </row>
    <row r="3451">
      <c r="A3451" s="1257"/>
      <c r="B3451" s="1113"/>
      <c r="C3451" s="1107"/>
      <c r="D3451" s="103"/>
      <c r="E3451" s="1137"/>
      <c r="F3451" s="112"/>
      <c r="G3451" s="1110"/>
      <c r="H3451" s="1138"/>
      <c r="I3451" s="1138"/>
      <c r="J3451" s="1139"/>
      <c r="K3451" s="1111"/>
      <c r="L3451" s="1112"/>
      <c r="M3451" s="1113"/>
      <c r="N3451" s="110"/>
      <c r="O3451" s="1140"/>
      <c r="P3451" s="1115"/>
      <c r="Q3451" s="1116"/>
      <c r="R3451" s="1141"/>
      <c r="S3451" s="1113"/>
      <c r="T3451" s="1143"/>
      <c r="U3451" s="1108"/>
      <c r="V3451" s="1108"/>
      <c r="W3451" s="1108"/>
      <c r="X3451" s="1108"/>
      <c r="Y3451" s="1108"/>
      <c r="Z3451" s="1114"/>
      <c r="AA3451" s="1114"/>
      <c r="AB3451" s="1114"/>
      <c r="AC3451" s="1117"/>
      <c r="AD3451" s="1115"/>
      <c r="AE3451" s="1115"/>
      <c r="AF3451" s="1115"/>
      <c r="AG3451" s="1115"/>
      <c r="AH3451" s="1115"/>
      <c r="AI3451" s="1115"/>
      <c r="AJ3451" s="1117"/>
      <c r="AK3451" s="1118"/>
      <c r="AL3451" s="1115"/>
      <c r="AM3451" s="1115"/>
      <c r="AN3451" s="1115"/>
      <c r="AO3451" s="1115"/>
      <c r="AP3451" s="1115"/>
      <c r="AQ3451" s="1115"/>
      <c r="AR3451" s="1115"/>
      <c r="AS3451" s="1117"/>
      <c r="AT3451" s="1075"/>
      <c r="AU3451" s="1193"/>
      <c r="AV3451" s="330"/>
      <c r="AW3451" s="331"/>
      <c r="AX3451" s="331"/>
      <c r="AY3451" s="331"/>
      <c r="AZ3451" s="331"/>
      <c r="BA3451" s="331"/>
      <c r="BB3451" s="331"/>
      <c r="BC3451" s="331"/>
      <c r="BD3451" s="331"/>
      <c r="BE3451" s="333"/>
      <c r="BF3451" s="330"/>
      <c r="BG3451" s="333"/>
      <c r="BH3451" s="1119"/>
      <c r="BI3451" s="319"/>
      <c r="BJ3451" s="319"/>
      <c r="BK3451" s="319"/>
      <c r="BL3451" s="319"/>
      <c r="BM3451" s="319"/>
      <c r="BN3451" s="319"/>
      <c r="BO3451" s="319"/>
      <c r="BP3451" s="953"/>
      <c r="BQ3451" s="319"/>
      <c r="BR3451" s="319"/>
      <c r="BS3451" s="330"/>
      <c r="BT3451" s="331"/>
      <c r="BU3451" s="920"/>
      <c r="BV3451" s="903"/>
      <c r="BW3451" s="908"/>
      <c r="BX3451" s="908"/>
      <c r="BY3451" s="331"/>
      <c r="BZ3451" s="331"/>
      <c r="CA3451" s="462"/>
      <c r="CB3451" s="319"/>
      <c r="CC3451" s="319"/>
      <c r="CD3451" s="319"/>
      <c r="CE3451" s="319"/>
      <c r="CF3451" s="319"/>
      <c r="CG3451" s="319"/>
      <c r="CH3451" s="318"/>
      <c r="CI3451" s="319"/>
      <c r="CJ3451" s="319"/>
      <c r="CK3451" s="342"/>
      <c r="CL3451" s="333"/>
      <c r="CM3451" s="1079"/>
      <c r="CN3451" s="1005"/>
      <c r="CO3451" s="1005"/>
      <c r="CP3451" s="1005"/>
    </row>
    <row r="3452">
      <c r="A3452" s="1257"/>
      <c r="B3452" s="1113"/>
      <c r="C3452" s="1107"/>
      <c r="D3452" s="103"/>
      <c r="E3452" s="1137"/>
      <c r="F3452" s="112"/>
      <c r="G3452" s="1110"/>
      <c r="H3452" s="1138"/>
      <c r="I3452" s="1138"/>
      <c r="J3452" s="1139"/>
      <c r="K3452" s="1111"/>
      <c r="L3452" s="1112"/>
      <c r="M3452" s="1113"/>
      <c r="N3452" s="110"/>
      <c r="O3452" s="1140"/>
      <c r="P3452" s="1115"/>
      <c r="Q3452" s="1116"/>
      <c r="R3452" s="1141"/>
      <c r="S3452" s="1113"/>
      <c r="T3452" s="1143"/>
      <c r="U3452" s="1108"/>
      <c r="V3452" s="1108"/>
      <c r="W3452" s="1108"/>
      <c r="X3452" s="1108"/>
      <c r="Y3452" s="1108"/>
      <c r="Z3452" s="1114"/>
      <c r="AA3452" s="1114"/>
      <c r="AB3452" s="1114"/>
      <c r="AC3452" s="1117"/>
      <c r="AD3452" s="1115"/>
      <c r="AE3452" s="1115"/>
      <c r="AF3452" s="1115"/>
      <c r="AG3452" s="1115"/>
      <c r="AH3452" s="1115"/>
      <c r="AI3452" s="1115"/>
      <c r="AJ3452" s="1117"/>
      <c r="AK3452" s="1118"/>
      <c r="AL3452" s="1115"/>
      <c r="AM3452" s="1115"/>
      <c r="AN3452" s="1115"/>
      <c r="AO3452" s="1115"/>
      <c r="AP3452" s="1115"/>
      <c r="AQ3452" s="1115"/>
      <c r="AR3452" s="1115"/>
      <c r="AS3452" s="1117"/>
      <c r="AT3452" s="1075"/>
      <c r="AU3452" s="1193"/>
      <c r="AV3452" s="330"/>
      <c r="AW3452" s="331"/>
      <c r="AX3452" s="331"/>
      <c r="AY3452" s="331"/>
      <c r="AZ3452" s="331"/>
      <c r="BA3452" s="331"/>
      <c r="BB3452" s="331"/>
      <c r="BC3452" s="331"/>
      <c r="BD3452" s="331"/>
      <c r="BE3452" s="333"/>
      <c r="BF3452" s="330"/>
      <c r="BG3452" s="333"/>
      <c r="BH3452" s="1119"/>
      <c r="BI3452" s="319"/>
      <c r="BJ3452" s="319"/>
      <c r="BK3452" s="319"/>
      <c r="BL3452" s="319"/>
      <c r="BM3452" s="319"/>
      <c r="BN3452" s="319"/>
      <c r="BO3452" s="319"/>
      <c r="BP3452" s="953"/>
      <c r="BQ3452" s="319"/>
      <c r="BR3452" s="319"/>
      <c r="BS3452" s="330"/>
      <c r="BT3452" s="331"/>
      <c r="BU3452" s="920"/>
      <c r="BV3452" s="903"/>
      <c r="BW3452" s="908"/>
      <c r="BX3452" s="908"/>
      <c r="BY3452" s="331"/>
      <c r="BZ3452" s="331"/>
      <c r="CA3452" s="462"/>
      <c r="CB3452" s="319"/>
      <c r="CC3452" s="319"/>
      <c r="CD3452" s="319"/>
      <c r="CE3452" s="319"/>
      <c r="CF3452" s="319"/>
      <c r="CG3452" s="319"/>
      <c r="CH3452" s="318"/>
      <c r="CI3452" s="319"/>
      <c r="CJ3452" s="319"/>
      <c r="CK3452" s="342"/>
      <c r="CL3452" s="333"/>
      <c r="CM3452" s="1079"/>
      <c r="CN3452" s="1005"/>
      <c r="CO3452" s="1005"/>
      <c r="CP3452" s="1005"/>
    </row>
    <row r="3453">
      <c r="A3453" s="1257"/>
      <c r="B3453" s="1113"/>
      <c r="C3453" s="1107"/>
      <c r="D3453" s="103"/>
      <c r="E3453" s="1137"/>
      <c r="F3453" s="112"/>
      <c r="G3453" s="1110"/>
      <c r="H3453" s="1138"/>
      <c r="I3453" s="1138"/>
      <c r="J3453" s="1139"/>
      <c r="K3453" s="1111"/>
      <c r="L3453" s="1112"/>
      <c r="M3453" s="1113"/>
      <c r="N3453" s="110"/>
      <c r="O3453" s="1140"/>
      <c r="P3453" s="1115"/>
      <c r="Q3453" s="1116"/>
      <c r="R3453" s="1141"/>
      <c r="S3453" s="1113"/>
      <c r="T3453" s="1143"/>
      <c r="U3453" s="1108"/>
      <c r="V3453" s="1108"/>
      <c r="W3453" s="1108"/>
      <c r="X3453" s="1108"/>
      <c r="Y3453" s="1108"/>
      <c r="Z3453" s="1114"/>
      <c r="AA3453" s="1114"/>
      <c r="AB3453" s="1114"/>
      <c r="AC3453" s="1117"/>
      <c r="AD3453" s="1115"/>
      <c r="AE3453" s="1115"/>
      <c r="AF3453" s="1115"/>
      <c r="AG3453" s="1115"/>
      <c r="AH3453" s="1115"/>
      <c r="AI3453" s="1115"/>
      <c r="AJ3453" s="1117"/>
      <c r="AK3453" s="1118"/>
      <c r="AL3453" s="1115"/>
      <c r="AM3453" s="1115"/>
      <c r="AN3453" s="1115"/>
      <c r="AO3453" s="1115"/>
      <c r="AP3453" s="1115"/>
      <c r="AQ3453" s="1115"/>
      <c r="AR3453" s="1115"/>
      <c r="AS3453" s="1117"/>
      <c r="AT3453" s="1075"/>
      <c r="AU3453" s="1193"/>
      <c r="AV3453" s="330"/>
      <c r="AW3453" s="331"/>
      <c r="AX3453" s="331"/>
      <c r="AY3453" s="331"/>
      <c r="AZ3453" s="331"/>
      <c r="BA3453" s="331"/>
      <c r="BB3453" s="331"/>
      <c r="BC3453" s="331"/>
      <c r="BD3453" s="331"/>
      <c r="BE3453" s="333"/>
      <c r="BF3453" s="330"/>
      <c r="BG3453" s="333"/>
      <c r="BH3453" s="1119"/>
      <c r="BI3453" s="319"/>
      <c r="BJ3453" s="319"/>
      <c r="BK3453" s="319"/>
      <c r="BL3453" s="319"/>
      <c r="BM3453" s="319"/>
      <c r="BN3453" s="319"/>
      <c r="BO3453" s="319"/>
      <c r="BP3453" s="953"/>
      <c r="BQ3453" s="319"/>
      <c r="BR3453" s="319"/>
      <c r="BS3453" s="330"/>
      <c r="BT3453" s="331"/>
      <c r="BU3453" s="920"/>
      <c r="BV3453" s="903"/>
      <c r="BW3453" s="908"/>
      <c r="BX3453" s="908"/>
      <c r="BY3453" s="331"/>
      <c r="BZ3453" s="331"/>
      <c r="CA3453" s="462"/>
      <c r="CB3453" s="319"/>
      <c r="CC3453" s="319"/>
      <c r="CD3453" s="319"/>
      <c r="CE3453" s="319"/>
      <c r="CF3453" s="319"/>
      <c r="CG3453" s="319"/>
      <c r="CH3453" s="318"/>
      <c r="CI3453" s="319"/>
      <c r="CJ3453" s="319"/>
      <c r="CK3453" s="342"/>
      <c r="CL3453" s="333"/>
      <c r="CM3453" s="1079"/>
      <c r="CN3453" s="1005"/>
      <c r="CO3453" s="1005"/>
      <c r="CP3453" s="1005"/>
    </row>
    <row r="3454">
      <c r="A3454" s="1257"/>
      <c r="B3454" s="1113"/>
      <c r="C3454" s="1107"/>
      <c r="D3454" s="103"/>
      <c r="E3454" s="1137"/>
      <c r="F3454" s="112"/>
      <c r="G3454" s="1110"/>
      <c r="H3454" s="1138"/>
      <c r="I3454" s="1138"/>
      <c r="J3454" s="1139"/>
      <c r="K3454" s="1111"/>
      <c r="L3454" s="1112"/>
      <c r="M3454" s="1113"/>
      <c r="N3454" s="110"/>
      <c r="O3454" s="1140"/>
      <c r="P3454" s="1115"/>
      <c r="Q3454" s="1116"/>
      <c r="R3454" s="1141"/>
      <c r="S3454" s="1113"/>
      <c r="T3454" s="1143"/>
      <c r="U3454" s="1108"/>
      <c r="V3454" s="1108"/>
      <c r="W3454" s="1108"/>
      <c r="X3454" s="1108"/>
      <c r="Y3454" s="1108"/>
      <c r="Z3454" s="1114"/>
      <c r="AA3454" s="1114"/>
      <c r="AB3454" s="1114"/>
      <c r="AC3454" s="1117"/>
      <c r="AD3454" s="1115"/>
      <c r="AE3454" s="1115"/>
      <c r="AF3454" s="1115"/>
      <c r="AG3454" s="1115"/>
      <c r="AH3454" s="1115"/>
      <c r="AI3454" s="1115"/>
      <c r="AJ3454" s="1117"/>
      <c r="AK3454" s="1118"/>
      <c r="AL3454" s="1115"/>
      <c r="AM3454" s="1115"/>
      <c r="AN3454" s="1115"/>
      <c r="AO3454" s="1115"/>
      <c r="AP3454" s="1115"/>
      <c r="AQ3454" s="1115"/>
      <c r="AR3454" s="1115"/>
      <c r="AS3454" s="1117"/>
      <c r="AT3454" s="1075"/>
      <c r="AU3454" s="1193"/>
      <c r="AV3454" s="330"/>
      <c r="AW3454" s="331"/>
      <c r="AX3454" s="331"/>
      <c r="AY3454" s="331"/>
      <c r="AZ3454" s="331"/>
      <c r="BA3454" s="331"/>
      <c r="BB3454" s="331"/>
      <c r="BC3454" s="331"/>
      <c r="BD3454" s="331"/>
      <c r="BE3454" s="333"/>
      <c r="BF3454" s="330"/>
      <c r="BG3454" s="333"/>
      <c r="BH3454" s="1119"/>
      <c r="BI3454" s="319"/>
      <c r="BJ3454" s="319"/>
      <c r="BK3454" s="319"/>
      <c r="BL3454" s="319"/>
      <c r="BM3454" s="319"/>
      <c r="BN3454" s="319"/>
      <c r="BO3454" s="319"/>
      <c r="BP3454" s="953"/>
      <c r="BQ3454" s="319"/>
      <c r="BR3454" s="319"/>
      <c r="BS3454" s="330"/>
      <c r="BT3454" s="331"/>
      <c r="BU3454" s="920"/>
      <c r="BV3454" s="903"/>
      <c r="BW3454" s="908"/>
      <c r="BX3454" s="908"/>
      <c r="BY3454" s="331"/>
      <c r="BZ3454" s="331"/>
      <c r="CA3454" s="462"/>
      <c r="CB3454" s="319"/>
      <c r="CC3454" s="319"/>
      <c r="CD3454" s="319"/>
      <c r="CE3454" s="319"/>
      <c r="CF3454" s="319"/>
      <c r="CG3454" s="319"/>
      <c r="CH3454" s="318"/>
      <c r="CI3454" s="319"/>
      <c r="CJ3454" s="319"/>
      <c r="CK3454" s="342"/>
      <c r="CL3454" s="333"/>
      <c r="CM3454" s="1079"/>
      <c r="CN3454" s="1005"/>
      <c r="CO3454" s="1005"/>
      <c r="CP3454" s="1005"/>
    </row>
    <row r="3455">
      <c r="A3455" s="1257"/>
      <c r="B3455" s="1113"/>
      <c r="C3455" s="1107"/>
      <c r="D3455" s="103"/>
      <c r="E3455" s="1137"/>
      <c r="F3455" s="112"/>
      <c r="G3455" s="1110"/>
      <c r="H3455" s="1138"/>
      <c r="I3455" s="1138"/>
      <c r="J3455" s="1139"/>
      <c r="K3455" s="1111"/>
      <c r="L3455" s="1112"/>
      <c r="M3455" s="1113"/>
      <c r="N3455" s="110"/>
      <c r="O3455" s="1140"/>
      <c r="P3455" s="1115"/>
      <c r="Q3455" s="1116"/>
      <c r="R3455" s="1141"/>
      <c r="S3455" s="1113"/>
      <c r="T3455" s="1143"/>
      <c r="U3455" s="1108"/>
      <c r="V3455" s="1108"/>
      <c r="W3455" s="1108"/>
      <c r="X3455" s="1108"/>
      <c r="Y3455" s="1108"/>
      <c r="Z3455" s="1114"/>
      <c r="AA3455" s="1114"/>
      <c r="AB3455" s="1114"/>
      <c r="AC3455" s="1117"/>
      <c r="AD3455" s="1115"/>
      <c r="AE3455" s="1115"/>
      <c r="AF3455" s="1115"/>
      <c r="AG3455" s="1115"/>
      <c r="AH3455" s="1115"/>
      <c r="AI3455" s="1115"/>
      <c r="AJ3455" s="1117"/>
      <c r="AK3455" s="1118"/>
      <c r="AL3455" s="1115"/>
      <c r="AM3455" s="1115"/>
      <c r="AN3455" s="1115"/>
      <c r="AO3455" s="1115"/>
      <c r="AP3455" s="1115"/>
      <c r="AQ3455" s="1115"/>
      <c r="AR3455" s="1115"/>
      <c r="AS3455" s="1117"/>
      <c r="AT3455" s="1075"/>
      <c r="AU3455" s="1193"/>
      <c r="AV3455" s="330"/>
      <c r="AW3455" s="331"/>
      <c r="AX3455" s="331"/>
      <c r="AY3455" s="331"/>
      <c r="AZ3455" s="331"/>
      <c r="BA3455" s="331"/>
      <c r="BB3455" s="331"/>
      <c r="BC3455" s="331"/>
      <c r="BD3455" s="331"/>
      <c r="BE3455" s="333"/>
      <c r="BF3455" s="330"/>
      <c r="BG3455" s="333"/>
      <c r="BH3455" s="1119"/>
      <c r="BI3455" s="319"/>
      <c r="BJ3455" s="319"/>
      <c r="BK3455" s="319"/>
      <c r="BL3455" s="319"/>
      <c r="BM3455" s="319"/>
      <c r="BN3455" s="319"/>
      <c r="BO3455" s="319"/>
      <c r="BP3455" s="953"/>
      <c r="BQ3455" s="319"/>
      <c r="BR3455" s="319"/>
      <c r="BS3455" s="330"/>
      <c r="BT3455" s="331"/>
      <c r="BU3455" s="920"/>
      <c r="BV3455" s="903"/>
      <c r="BW3455" s="908"/>
      <c r="BX3455" s="908"/>
      <c r="BY3455" s="331"/>
      <c r="BZ3455" s="331"/>
      <c r="CA3455" s="462"/>
      <c r="CB3455" s="319"/>
      <c r="CC3455" s="319"/>
      <c r="CD3455" s="319"/>
      <c r="CE3455" s="319"/>
      <c r="CF3455" s="319"/>
      <c r="CG3455" s="319"/>
      <c r="CH3455" s="318"/>
      <c r="CI3455" s="319"/>
      <c r="CJ3455" s="319"/>
      <c r="CK3455" s="342"/>
      <c r="CL3455" s="333"/>
      <c r="CM3455" s="1079"/>
      <c r="CN3455" s="1005"/>
      <c r="CO3455" s="1005"/>
      <c r="CP3455" s="1005"/>
    </row>
    <row r="3456">
      <c r="A3456" s="1257"/>
      <c r="B3456" s="1113"/>
      <c r="C3456" s="1107"/>
      <c r="D3456" s="103"/>
      <c r="E3456" s="1137"/>
      <c r="F3456" s="112"/>
      <c r="G3456" s="1110"/>
      <c r="H3456" s="1138"/>
      <c r="I3456" s="1138"/>
      <c r="J3456" s="1139"/>
      <c r="K3456" s="1111"/>
      <c r="L3456" s="1112"/>
      <c r="M3456" s="1113"/>
      <c r="N3456" s="110"/>
      <c r="O3456" s="1140"/>
      <c r="P3456" s="1115"/>
      <c r="Q3456" s="1116"/>
      <c r="R3456" s="1141"/>
      <c r="S3456" s="1113"/>
      <c r="T3456" s="1143"/>
      <c r="U3456" s="1108"/>
      <c r="V3456" s="1108"/>
      <c r="W3456" s="1108"/>
      <c r="X3456" s="1108"/>
      <c r="Y3456" s="1108"/>
      <c r="Z3456" s="1114"/>
      <c r="AA3456" s="1114"/>
      <c r="AB3456" s="1114"/>
      <c r="AC3456" s="1117"/>
      <c r="AD3456" s="1115"/>
      <c r="AE3456" s="1115"/>
      <c r="AF3456" s="1115"/>
      <c r="AG3456" s="1115"/>
      <c r="AH3456" s="1115"/>
      <c r="AI3456" s="1115"/>
      <c r="AJ3456" s="1117"/>
      <c r="AK3456" s="1118"/>
      <c r="AL3456" s="1115"/>
      <c r="AM3456" s="1115"/>
      <c r="AN3456" s="1115"/>
      <c r="AO3456" s="1115"/>
      <c r="AP3456" s="1115"/>
      <c r="AQ3456" s="1115"/>
      <c r="AR3456" s="1115"/>
      <c r="AS3456" s="1117"/>
      <c r="AT3456" s="1075"/>
      <c r="AU3456" s="1193"/>
      <c r="AV3456" s="330"/>
      <c r="AW3456" s="331"/>
      <c r="AX3456" s="331"/>
      <c r="AY3456" s="331"/>
      <c r="AZ3456" s="331"/>
      <c r="BA3456" s="331"/>
      <c r="BB3456" s="331"/>
      <c r="BC3456" s="331"/>
      <c r="BD3456" s="331"/>
      <c r="BE3456" s="333"/>
      <c r="BF3456" s="330"/>
      <c r="BG3456" s="333"/>
      <c r="BH3456" s="1119"/>
      <c r="BI3456" s="319"/>
      <c r="BJ3456" s="319"/>
      <c r="BK3456" s="319"/>
      <c r="BL3456" s="319"/>
      <c r="BM3456" s="319"/>
      <c r="BN3456" s="319"/>
      <c r="BO3456" s="319"/>
      <c r="BP3456" s="953"/>
      <c r="BQ3456" s="319"/>
      <c r="BR3456" s="319"/>
      <c r="BS3456" s="330"/>
      <c r="BT3456" s="331"/>
      <c r="BU3456" s="920"/>
      <c r="BV3456" s="903"/>
      <c r="BW3456" s="908"/>
      <c r="BX3456" s="908"/>
      <c r="BY3456" s="331"/>
      <c r="BZ3456" s="331"/>
      <c r="CA3456" s="462"/>
      <c r="CB3456" s="319"/>
      <c r="CC3456" s="319"/>
      <c r="CD3456" s="319"/>
      <c r="CE3456" s="319"/>
      <c r="CF3456" s="319"/>
      <c r="CG3456" s="319"/>
      <c r="CH3456" s="318"/>
      <c r="CI3456" s="319"/>
      <c r="CJ3456" s="319"/>
      <c r="CK3456" s="342"/>
      <c r="CL3456" s="333"/>
      <c r="CM3456" s="1079"/>
      <c r="CN3456" s="1005"/>
      <c r="CO3456" s="1005"/>
      <c r="CP3456" s="1005"/>
    </row>
    <row r="3457">
      <c r="A3457" s="1257"/>
      <c r="B3457" s="1113"/>
      <c r="C3457" s="1107"/>
      <c r="D3457" s="103"/>
      <c r="E3457" s="1137"/>
      <c r="F3457" s="112"/>
      <c r="G3457" s="1110"/>
      <c r="H3457" s="1138"/>
      <c r="I3457" s="1138"/>
      <c r="J3457" s="1139"/>
      <c r="K3457" s="1111"/>
      <c r="L3457" s="1112"/>
      <c r="M3457" s="1113"/>
      <c r="N3457" s="110"/>
      <c r="O3457" s="1140"/>
      <c r="P3457" s="1115"/>
      <c r="Q3457" s="1116"/>
      <c r="R3457" s="1141"/>
      <c r="S3457" s="1113"/>
      <c r="T3457" s="1143"/>
      <c r="U3457" s="1108"/>
      <c r="V3457" s="1108"/>
      <c r="W3457" s="1108"/>
      <c r="X3457" s="1108"/>
      <c r="Y3457" s="1108"/>
      <c r="Z3457" s="1114"/>
      <c r="AA3457" s="1114"/>
      <c r="AB3457" s="1114"/>
      <c r="AC3457" s="1117"/>
      <c r="AD3457" s="1115"/>
      <c r="AE3457" s="1115"/>
      <c r="AF3457" s="1115"/>
      <c r="AG3457" s="1115"/>
      <c r="AH3457" s="1115"/>
      <c r="AI3457" s="1115"/>
      <c r="AJ3457" s="1117"/>
      <c r="AK3457" s="1118"/>
      <c r="AL3457" s="1115"/>
      <c r="AM3457" s="1115"/>
      <c r="AN3457" s="1115"/>
      <c r="AO3457" s="1115"/>
      <c r="AP3457" s="1115"/>
      <c r="AQ3457" s="1115"/>
      <c r="AR3457" s="1115"/>
      <c r="AS3457" s="1117"/>
      <c r="AT3457" s="1075"/>
      <c r="AU3457" s="1193"/>
      <c r="AV3457" s="330"/>
      <c r="AW3457" s="331"/>
      <c r="AX3457" s="331"/>
      <c r="AY3457" s="331"/>
      <c r="AZ3457" s="331"/>
      <c r="BA3457" s="331"/>
      <c r="BB3457" s="331"/>
      <c r="BC3457" s="331"/>
      <c r="BD3457" s="331"/>
      <c r="BE3457" s="333"/>
      <c r="BF3457" s="330"/>
      <c r="BG3457" s="333"/>
      <c r="BH3457" s="1119"/>
      <c r="BI3457" s="319"/>
      <c r="BJ3457" s="319"/>
      <c r="BK3457" s="319"/>
      <c r="BL3457" s="319"/>
      <c r="BM3457" s="319"/>
      <c r="BN3457" s="319"/>
      <c r="BO3457" s="319"/>
      <c r="BP3457" s="953"/>
      <c r="BQ3457" s="319"/>
      <c r="BR3457" s="319"/>
      <c r="BS3457" s="330"/>
      <c r="BT3457" s="331"/>
      <c r="BU3457" s="920"/>
      <c r="BV3457" s="903"/>
      <c r="BW3457" s="908"/>
      <c r="BX3457" s="908"/>
      <c r="BY3457" s="331"/>
      <c r="BZ3457" s="331"/>
      <c r="CA3457" s="462"/>
      <c r="CB3457" s="319"/>
      <c r="CC3457" s="319"/>
      <c r="CD3457" s="319"/>
      <c r="CE3457" s="319"/>
      <c r="CF3457" s="319"/>
      <c r="CG3457" s="319"/>
      <c r="CH3457" s="318"/>
      <c r="CI3457" s="319"/>
      <c r="CJ3457" s="319"/>
      <c r="CK3457" s="342"/>
      <c r="CL3457" s="333"/>
      <c r="CM3457" s="1079"/>
      <c r="CN3457" s="1005"/>
      <c r="CO3457" s="1005"/>
      <c r="CP3457" s="1005"/>
    </row>
    <row r="3458">
      <c r="A3458" s="1257"/>
      <c r="B3458" s="1113"/>
      <c r="C3458" s="1107"/>
      <c r="D3458" s="103"/>
      <c r="E3458" s="1137"/>
      <c r="F3458" s="112"/>
      <c r="G3458" s="1110"/>
      <c r="H3458" s="1138"/>
      <c r="I3458" s="1138"/>
      <c r="J3458" s="1139"/>
      <c r="K3458" s="1111"/>
      <c r="L3458" s="1112"/>
      <c r="M3458" s="1113"/>
      <c r="N3458" s="110"/>
      <c r="O3458" s="1140"/>
      <c r="P3458" s="1115"/>
      <c r="Q3458" s="1116"/>
      <c r="R3458" s="1141"/>
      <c r="S3458" s="1113"/>
      <c r="T3458" s="1143"/>
      <c r="U3458" s="1108"/>
      <c r="V3458" s="1108"/>
      <c r="W3458" s="1108"/>
      <c r="X3458" s="1108"/>
      <c r="Y3458" s="1108"/>
      <c r="Z3458" s="1114"/>
      <c r="AA3458" s="1114"/>
      <c r="AB3458" s="1114"/>
      <c r="AC3458" s="1117"/>
      <c r="AD3458" s="1115"/>
      <c r="AE3458" s="1115"/>
      <c r="AF3458" s="1115"/>
      <c r="AG3458" s="1115"/>
      <c r="AH3458" s="1115"/>
      <c r="AI3458" s="1115"/>
      <c r="AJ3458" s="1117"/>
      <c r="AK3458" s="1118"/>
      <c r="AL3458" s="1115"/>
      <c r="AM3458" s="1115"/>
      <c r="AN3458" s="1115"/>
      <c r="AO3458" s="1115"/>
      <c r="AP3458" s="1115"/>
      <c r="AQ3458" s="1115"/>
      <c r="AR3458" s="1115"/>
      <c r="AS3458" s="1117"/>
      <c r="AT3458" s="1075"/>
      <c r="AU3458" s="1193"/>
      <c r="AV3458" s="330"/>
      <c r="AW3458" s="331"/>
      <c r="AX3458" s="331"/>
      <c r="AY3458" s="331"/>
      <c r="AZ3458" s="331"/>
      <c r="BA3458" s="331"/>
      <c r="BB3458" s="331"/>
      <c r="BC3458" s="331"/>
      <c r="BD3458" s="331"/>
      <c r="BE3458" s="333"/>
      <c r="BF3458" s="330"/>
      <c r="BG3458" s="333"/>
      <c r="BH3458" s="1119"/>
      <c r="BI3458" s="319"/>
      <c r="BJ3458" s="319"/>
      <c r="BK3458" s="319"/>
      <c r="BL3458" s="319"/>
      <c r="BM3458" s="319"/>
      <c r="BN3458" s="319"/>
      <c r="BO3458" s="319"/>
      <c r="BP3458" s="953"/>
      <c r="BQ3458" s="319"/>
      <c r="BR3458" s="319"/>
      <c r="BS3458" s="330"/>
      <c r="BT3458" s="331"/>
      <c r="BU3458" s="920"/>
      <c r="BV3458" s="903"/>
      <c r="BW3458" s="908"/>
      <c r="BX3458" s="908"/>
      <c r="BY3458" s="331"/>
      <c r="BZ3458" s="331"/>
      <c r="CA3458" s="462"/>
      <c r="CB3458" s="319"/>
      <c r="CC3458" s="319"/>
      <c r="CD3458" s="319"/>
      <c r="CE3458" s="319"/>
      <c r="CF3458" s="319"/>
      <c r="CG3458" s="319"/>
      <c r="CH3458" s="318"/>
      <c r="CI3458" s="319"/>
      <c r="CJ3458" s="319"/>
      <c r="CK3458" s="342"/>
      <c r="CL3458" s="333"/>
      <c r="CM3458" s="1079"/>
      <c r="CN3458" s="1005"/>
      <c r="CO3458" s="1005"/>
      <c r="CP3458" s="1005"/>
    </row>
    <row r="3459">
      <c r="A3459" s="1257"/>
      <c r="B3459" s="1113"/>
      <c r="C3459" s="1107"/>
      <c r="D3459" s="103"/>
      <c r="E3459" s="1137"/>
      <c r="F3459" s="112"/>
      <c r="G3459" s="1110"/>
      <c r="H3459" s="1138"/>
      <c r="I3459" s="1138"/>
      <c r="J3459" s="1139"/>
      <c r="K3459" s="1111"/>
      <c r="L3459" s="1112"/>
      <c r="M3459" s="1113"/>
      <c r="N3459" s="110"/>
      <c r="O3459" s="1140"/>
      <c r="P3459" s="1115"/>
      <c r="Q3459" s="1116"/>
      <c r="R3459" s="1141"/>
      <c r="S3459" s="1113"/>
      <c r="T3459" s="1143"/>
      <c r="U3459" s="1108"/>
      <c r="V3459" s="1108"/>
      <c r="W3459" s="1108"/>
      <c r="X3459" s="1108"/>
      <c r="Y3459" s="1108"/>
      <c r="Z3459" s="1114"/>
      <c r="AA3459" s="1114"/>
      <c r="AB3459" s="1114"/>
      <c r="AC3459" s="1117"/>
      <c r="AD3459" s="1115"/>
      <c r="AE3459" s="1115"/>
      <c r="AF3459" s="1115"/>
      <c r="AG3459" s="1115"/>
      <c r="AH3459" s="1115"/>
      <c r="AI3459" s="1115"/>
      <c r="AJ3459" s="1117"/>
      <c r="AK3459" s="1118"/>
      <c r="AL3459" s="1115"/>
      <c r="AM3459" s="1115"/>
      <c r="AN3459" s="1115"/>
      <c r="AO3459" s="1115"/>
      <c r="AP3459" s="1115"/>
      <c r="AQ3459" s="1115"/>
      <c r="AR3459" s="1115"/>
      <c r="AS3459" s="1117"/>
      <c r="AT3459" s="1075"/>
      <c r="AU3459" s="1193"/>
      <c r="AV3459" s="330"/>
      <c r="AW3459" s="331"/>
      <c r="AX3459" s="331"/>
      <c r="AY3459" s="331"/>
      <c r="AZ3459" s="331"/>
      <c r="BA3459" s="331"/>
      <c r="BB3459" s="331"/>
      <c r="BC3459" s="331"/>
      <c r="BD3459" s="331"/>
      <c r="BE3459" s="333"/>
      <c r="BF3459" s="330"/>
      <c r="BG3459" s="333"/>
      <c r="BH3459" s="1119"/>
      <c r="BI3459" s="319"/>
      <c r="BJ3459" s="319"/>
      <c r="BK3459" s="319"/>
      <c r="BL3459" s="319"/>
      <c r="BM3459" s="319"/>
      <c r="BN3459" s="319"/>
      <c r="BO3459" s="319"/>
      <c r="BP3459" s="953"/>
      <c r="BQ3459" s="319"/>
      <c r="BR3459" s="319"/>
      <c r="BS3459" s="330"/>
      <c r="BT3459" s="331"/>
      <c r="BU3459" s="920"/>
      <c r="BV3459" s="903"/>
      <c r="BW3459" s="908"/>
      <c r="BX3459" s="908"/>
      <c r="BY3459" s="331"/>
      <c r="BZ3459" s="331"/>
      <c r="CA3459" s="462"/>
      <c r="CB3459" s="319"/>
      <c r="CC3459" s="319"/>
      <c r="CD3459" s="319"/>
      <c r="CE3459" s="319"/>
      <c r="CF3459" s="319"/>
      <c r="CG3459" s="319"/>
      <c r="CH3459" s="318"/>
      <c r="CI3459" s="319"/>
      <c r="CJ3459" s="319"/>
      <c r="CK3459" s="342"/>
      <c r="CL3459" s="333"/>
      <c r="CM3459" s="1079"/>
      <c r="CN3459" s="1005"/>
      <c r="CO3459" s="1005"/>
      <c r="CP3459" s="1005"/>
    </row>
    <row r="3460">
      <c r="A3460" s="1257"/>
      <c r="B3460" s="1113"/>
      <c r="C3460" s="1107"/>
      <c r="D3460" s="103"/>
      <c r="E3460" s="1137"/>
      <c r="F3460" s="112"/>
      <c r="G3460" s="1110"/>
      <c r="H3460" s="1138"/>
      <c r="I3460" s="1138"/>
      <c r="J3460" s="1139"/>
      <c r="K3460" s="1111"/>
      <c r="L3460" s="1112"/>
      <c r="M3460" s="1113"/>
      <c r="N3460" s="110"/>
      <c r="O3460" s="1140"/>
      <c r="P3460" s="1115"/>
      <c r="Q3460" s="1116"/>
      <c r="R3460" s="1141"/>
      <c r="S3460" s="1113"/>
      <c r="T3460" s="1143"/>
      <c r="U3460" s="1108"/>
      <c r="V3460" s="1108"/>
      <c r="W3460" s="1108"/>
      <c r="X3460" s="1108"/>
      <c r="Y3460" s="1108"/>
      <c r="Z3460" s="1114"/>
      <c r="AA3460" s="1114"/>
      <c r="AB3460" s="1114"/>
      <c r="AC3460" s="1117"/>
      <c r="AD3460" s="1115"/>
      <c r="AE3460" s="1115"/>
      <c r="AF3460" s="1115"/>
      <c r="AG3460" s="1115"/>
      <c r="AH3460" s="1115"/>
      <c r="AI3460" s="1115"/>
      <c r="AJ3460" s="1117"/>
      <c r="AK3460" s="1118"/>
      <c r="AL3460" s="1115"/>
      <c r="AM3460" s="1115"/>
      <c r="AN3460" s="1115"/>
      <c r="AO3460" s="1115"/>
      <c r="AP3460" s="1115"/>
      <c r="AQ3460" s="1115"/>
      <c r="AR3460" s="1115"/>
      <c r="AS3460" s="1117"/>
      <c r="AT3460" s="1075"/>
      <c r="AU3460" s="1193"/>
      <c r="AV3460" s="330"/>
      <c r="AW3460" s="331"/>
      <c r="AX3460" s="331"/>
      <c r="AY3460" s="331"/>
      <c r="AZ3460" s="331"/>
      <c r="BA3460" s="331"/>
      <c r="BB3460" s="331"/>
      <c r="BC3460" s="331"/>
      <c r="BD3460" s="331"/>
      <c r="BE3460" s="333"/>
      <c r="BF3460" s="330"/>
      <c r="BG3460" s="333"/>
      <c r="BH3460" s="1119"/>
      <c r="BI3460" s="319"/>
      <c r="BJ3460" s="319"/>
      <c r="BK3460" s="319"/>
      <c r="BL3460" s="319"/>
      <c r="BM3460" s="319"/>
      <c r="BN3460" s="319"/>
      <c r="BO3460" s="319"/>
      <c r="BP3460" s="953"/>
      <c r="BQ3460" s="319"/>
      <c r="BR3460" s="319"/>
      <c r="BS3460" s="330"/>
      <c r="BT3460" s="331"/>
      <c r="BU3460" s="920"/>
      <c r="BV3460" s="903"/>
      <c r="BW3460" s="908"/>
      <c r="BX3460" s="908"/>
      <c r="BY3460" s="331"/>
      <c r="BZ3460" s="331"/>
      <c r="CA3460" s="462"/>
      <c r="CB3460" s="319"/>
      <c r="CC3460" s="319"/>
      <c r="CD3460" s="319"/>
      <c r="CE3460" s="319"/>
      <c r="CF3460" s="319"/>
      <c r="CG3460" s="319"/>
      <c r="CH3460" s="318"/>
      <c r="CI3460" s="319"/>
      <c r="CJ3460" s="319"/>
      <c r="CK3460" s="342"/>
      <c r="CL3460" s="333"/>
      <c r="CM3460" s="1079"/>
      <c r="CN3460" s="1005"/>
      <c r="CO3460" s="1005"/>
      <c r="CP3460" s="1005"/>
    </row>
    <row r="3461">
      <c r="A3461" s="1257"/>
      <c r="B3461" s="1113"/>
      <c r="C3461" s="1107"/>
      <c r="D3461" s="103"/>
      <c r="E3461" s="1137"/>
      <c r="F3461" s="112"/>
      <c r="G3461" s="1110"/>
      <c r="H3461" s="1138"/>
      <c r="I3461" s="1138"/>
      <c r="J3461" s="1139"/>
      <c r="K3461" s="1111"/>
      <c r="L3461" s="1112"/>
      <c r="M3461" s="1113"/>
      <c r="N3461" s="110"/>
      <c r="O3461" s="1140"/>
      <c r="P3461" s="1115"/>
      <c r="Q3461" s="1116"/>
      <c r="R3461" s="1141"/>
      <c r="S3461" s="1113"/>
      <c r="T3461" s="1143"/>
      <c r="U3461" s="1108"/>
      <c r="V3461" s="1108"/>
      <c r="W3461" s="1108"/>
      <c r="X3461" s="1108"/>
      <c r="Y3461" s="1108"/>
      <c r="Z3461" s="1114"/>
      <c r="AA3461" s="1114"/>
      <c r="AB3461" s="1114"/>
      <c r="AC3461" s="1117"/>
      <c r="AD3461" s="1115"/>
      <c r="AE3461" s="1115"/>
      <c r="AF3461" s="1115"/>
      <c r="AG3461" s="1115"/>
      <c r="AH3461" s="1115"/>
      <c r="AI3461" s="1115"/>
      <c r="AJ3461" s="1117"/>
      <c r="AK3461" s="1118"/>
      <c r="AL3461" s="1115"/>
      <c r="AM3461" s="1115"/>
      <c r="AN3461" s="1115"/>
      <c r="AO3461" s="1115"/>
      <c r="AP3461" s="1115"/>
      <c r="AQ3461" s="1115"/>
      <c r="AR3461" s="1115"/>
      <c r="AS3461" s="1117"/>
      <c r="AT3461" s="1075"/>
      <c r="AU3461" s="1193"/>
      <c r="AV3461" s="330"/>
      <c r="AW3461" s="331"/>
      <c r="AX3461" s="331"/>
      <c r="AY3461" s="331"/>
      <c r="AZ3461" s="331"/>
      <c r="BA3461" s="331"/>
      <c r="BB3461" s="331"/>
      <c r="BC3461" s="331"/>
      <c r="BD3461" s="331"/>
      <c r="BE3461" s="333"/>
      <c r="BF3461" s="330"/>
      <c r="BG3461" s="333"/>
      <c r="BH3461" s="1119"/>
      <c r="BI3461" s="319"/>
      <c r="BJ3461" s="319"/>
      <c r="BK3461" s="319"/>
      <c r="BL3461" s="319"/>
      <c r="BM3461" s="319"/>
      <c r="BN3461" s="319"/>
      <c r="BO3461" s="319"/>
      <c r="BP3461" s="953"/>
      <c r="BQ3461" s="319"/>
      <c r="BR3461" s="319"/>
      <c r="BS3461" s="330"/>
      <c r="BT3461" s="331"/>
      <c r="BU3461" s="920"/>
      <c r="BV3461" s="903"/>
      <c r="BW3461" s="908"/>
      <c r="BX3461" s="908"/>
      <c r="BY3461" s="331"/>
      <c r="BZ3461" s="331"/>
      <c r="CA3461" s="462"/>
      <c r="CB3461" s="319"/>
      <c r="CC3461" s="319"/>
      <c r="CD3461" s="319"/>
      <c r="CE3461" s="319"/>
      <c r="CF3461" s="319"/>
      <c r="CG3461" s="319"/>
      <c r="CH3461" s="318"/>
      <c r="CI3461" s="319"/>
      <c r="CJ3461" s="319"/>
      <c r="CK3461" s="342"/>
      <c r="CL3461" s="333"/>
      <c r="CM3461" s="1079"/>
      <c r="CN3461" s="1005"/>
      <c r="CO3461" s="1005"/>
      <c r="CP3461" s="1005"/>
    </row>
    <row r="3462">
      <c r="A3462" s="1257"/>
      <c r="B3462" s="1113"/>
      <c r="C3462" s="1107"/>
      <c r="D3462" s="103"/>
      <c r="E3462" s="1137"/>
      <c r="F3462" s="112"/>
      <c r="G3462" s="1110"/>
      <c r="H3462" s="1138"/>
      <c r="I3462" s="1138"/>
      <c r="J3462" s="1139"/>
      <c r="K3462" s="1111"/>
      <c r="L3462" s="1112"/>
      <c r="M3462" s="1113"/>
      <c r="N3462" s="110"/>
      <c r="O3462" s="1140"/>
      <c r="P3462" s="1115"/>
      <c r="Q3462" s="1116"/>
      <c r="R3462" s="1141"/>
      <c r="S3462" s="1113"/>
      <c r="T3462" s="1143"/>
      <c r="U3462" s="1108"/>
      <c r="V3462" s="1108"/>
      <c r="W3462" s="1108"/>
      <c r="X3462" s="1108"/>
      <c r="Y3462" s="1108"/>
      <c r="Z3462" s="1114"/>
      <c r="AA3462" s="1114"/>
      <c r="AB3462" s="1114"/>
      <c r="AC3462" s="1117"/>
      <c r="AD3462" s="1115"/>
      <c r="AE3462" s="1115"/>
      <c r="AF3462" s="1115"/>
      <c r="AG3462" s="1115"/>
      <c r="AH3462" s="1115"/>
      <c r="AI3462" s="1115"/>
      <c r="AJ3462" s="1117"/>
      <c r="AK3462" s="1118"/>
      <c r="AL3462" s="1115"/>
      <c r="AM3462" s="1115"/>
      <c r="AN3462" s="1115"/>
      <c r="AO3462" s="1115"/>
      <c r="AP3462" s="1115"/>
      <c r="AQ3462" s="1115"/>
      <c r="AR3462" s="1115"/>
      <c r="AS3462" s="1117"/>
      <c r="AT3462" s="1075"/>
      <c r="AU3462" s="1193"/>
      <c r="AV3462" s="330"/>
      <c r="AW3462" s="331"/>
      <c r="AX3462" s="331"/>
      <c r="AY3462" s="331"/>
      <c r="AZ3462" s="331"/>
      <c r="BA3462" s="331"/>
      <c r="BB3462" s="331"/>
      <c r="BC3462" s="331"/>
      <c r="BD3462" s="331"/>
      <c r="BE3462" s="333"/>
      <c r="BF3462" s="330"/>
      <c r="BG3462" s="333"/>
      <c r="BH3462" s="1119"/>
      <c r="BI3462" s="319"/>
      <c r="BJ3462" s="319"/>
      <c r="BK3462" s="319"/>
      <c r="BL3462" s="319"/>
      <c r="BM3462" s="319"/>
      <c r="BN3462" s="319"/>
      <c r="BO3462" s="319"/>
      <c r="BP3462" s="953"/>
      <c r="BQ3462" s="319"/>
      <c r="BR3462" s="319"/>
      <c r="BS3462" s="330"/>
      <c r="BT3462" s="331"/>
      <c r="BU3462" s="920"/>
      <c r="BV3462" s="903"/>
      <c r="BW3462" s="908"/>
      <c r="BX3462" s="908"/>
      <c r="BY3462" s="331"/>
      <c r="BZ3462" s="331"/>
      <c r="CA3462" s="462"/>
      <c r="CB3462" s="319"/>
      <c r="CC3462" s="319"/>
      <c r="CD3462" s="319"/>
      <c r="CE3462" s="319"/>
      <c r="CF3462" s="319"/>
      <c r="CG3462" s="319"/>
      <c r="CH3462" s="318"/>
      <c r="CI3462" s="319"/>
      <c r="CJ3462" s="319"/>
      <c r="CK3462" s="342"/>
      <c r="CL3462" s="333"/>
      <c r="CM3462" s="1079"/>
      <c r="CN3462" s="1005"/>
      <c r="CO3462" s="1005"/>
      <c r="CP3462" s="1005"/>
    </row>
    <row r="3463">
      <c r="A3463" s="1257"/>
      <c r="B3463" s="1113"/>
      <c r="C3463" s="1107"/>
      <c r="D3463" s="103"/>
      <c r="E3463" s="1137"/>
      <c r="F3463" s="112"/>
      <c r="G3463" s="1110"/>
      <c r="H3463" s="1138"/>
      <c r="I3463" s="1138"/>
      <c r="J3463" s="1139"/>
      <c r="K3463" s="1111"/>
      <c r="L3463" s="1112"/>
      <c r="M3463" s="1113"/>
      <c r="N3463" s="110"/>
      <c r="O3463" s="1140"/>
      <c r="P3463" s="1115"/>
      <c r="Q3463" s="1116"/>
      <c r="R3463" s="1141"/>
      <c r="S3463" s="1113"/>
      <c r="T3463" s="1143"/>
      <c r="U3463" s="1108"/>
      <c r="V3463" s="1108"/>
      <c r="W3463" s="1108"/>
      <c r="X3463" s="1108"/>
      <c r="Y3463" s="1108"/>
      <c r="Z3463" s="1114"/>
      <c r="AA3463" s="1114"/>
      <c r="AB3463" s="1114"/>
      <c r="AC3463" s="1117"/>
      <c r="AD3463" s="1115"/>
      <c r="AE3463" s="1115"/>
      <c r="AF3463" s="1115"/>
      <c r="AG3463" s="1115"/>
      <c r="AH3463" s="1115"/>
      <c r="AI3463" s="1115"/>
      <c r="AJ3463" s="1117"/>
      <c r="AK3463" s="1118"/>
      <c r="AL3463" s="1115"/>
      <c r="AM3463" s="1115"/>
      <c r="AN3463" s="1115"/>
      <c r="AO3463" s="1115"/>
      <c r="AP3463" s="1115"/>
      <c r="AQ3463" s="1115"/>
      <c r="AR3463" s="1115"/>
      <c r="AS3463" s="1117"/>
      <c r="AT3463" s="1075"/>
      <c r="AU3463" s="1193"/>
      <c r="AV3463" s="330"/>
      <c r="AW3463" s="331"/>
      <c r="AX3463" s="331"/>
      <c r="AY3463" s="331"/>
      <c r="AZ3463" s="331"/>
      <c r="BA3463" s="331"/>
      <c r="BB3463" s="331"/>
      <c r="BC3463" s="331"/>
      <c r="BD3463" s="331"/>
      <c r="BE3463" s="333"/>
      <c r="BF3463" s="330"/>
      <c r="BG3463" s="333"/>
      <c r="BH3463" s="1119"/>
      <c r="BI3463" s="319"/>
      <c r="BJ3463" s="319"/>
      <c r="BK3463" s="319"/>
      <c r="BL3463" s="319"/>
      <c r="BM3463" s="319"/>
      <c r="BN3463" s="319"/>
      <c r="BO3463" s="319"/>
      <c r="BP3463" s="953"/>
      <c r="BQ3463" s="319"/>
      <c r="BR3463" s="319"/>
      <c r="BS3463" s="330"/>
      <c r="BT3463" s="331"/>
      <c r="BU3463" s="920"/>
      <c r="BV3463" s="903"/>
      <c r="BW3463" s="908"/>
      <c r="BX3463" s="908"/>
      <c r="BY3463" s="331"/>
      <c r="BZ3463" s="331"/>
      <c r="CA3463" s="462"/>
      <c r="CB3463" s="319"/>
      <c r="CC3463" s="319"/>
      <c r="CD3463" s="319"/>
      <c r="CE3463" s="319"/>
      <c r="CF3463" s="319"/>
      <c r="CG3463" s="319"/>
      <c r="CH3463" s="318"/>
      <c r="CI3463" s="319"/>
      <c r="CJ3463" s="319"/>
      <c r="CK3463" s="342"/>
      <c r="CL3463" s="333"/>
      <c r="CM3463" s="1079"/>
      <c r="CN3463" s="1005"/>
      <c r="CO3463" s="1005"/>
      <c r="CP3463" s="1005"/>
    </row>
    <row r="3464">
      <c r="A3464" s="1257"/>
      <c r="B3464" s="1113"/>
      <c r="C3464" s="1107"/>
      <c r="D3464" s="103"/>
      <c r="E3464" s="1137"/>
      <c r="F3464" s="112"/>
      <c r="G3464" s="1110"/>
      <c r="H3464" s="1138"/>
      <c r="I3464" s="1138"/>
      <c r="J3464" s="1139"/>
      <c r="K3464" s="1111"/>
      <c r="L3464" s="1112"/>
      <c r="M3464" s="1113"/>
      <c r="N3464" s="110"/>
      <c r="O3464" s="1140"/>
      <c r="P3464" s="1115"/>
      <c r="Q3464" s="1116"/>
      <c r="R3464" s="1141"/>
      <c r="S3464" s="1113"/>
      <c r="T3464" s="1143"/>
      <c r="U3464" s="1108"/>
      <c r="V3464" s="1108"/>
      <c r="W3464" s="1108"/>
      <c r="X3464" s="1108"/>
      <c r="Y3464" s="1108"/>
      <c r="Z3464" s="1114"/>
      <c r="AA3464" s="1114"/>
      <c r="AB3464" s="1114"/>
      <c r="AC3464" s="1117"/>
      <c r="AD3464" s="1115"/>
      <c r="AE3464" s="1115"/>
      <c r="AF3464" s="1115"/>
      <c r="AG3464" s="1115"/>
      <c r="AH3464" s="1115"/>
      <c r="AI3464" s="1115"/>
      <c r="AJ3464" s="1117"/>
      <c r="AK3464" s="1118"/>
      <c r="AL3464" s="1115"/>
      <c r="AM3464" s="1115"/>
      <c r="AN3464" s="1115"/>
      <c r="AO3464" s="1115"/>
      <c r="AP3464" s="1115"/>
      <c r="AQ3464" s="1115"/>
      <c r="AR3464" s="1115"/>
      <c r="AS3464" s="1117"/>
      <c r="AT3464" s="1075"/>
      <c r="AU3464" s="1193"/>
      <c r="AV3464" s="330"/>
      <c r="AW3464" s="331"/>
      <c r="AX3464" s="331"/>
      <c r="AY3464" s="331"/>
      <c r="AZ3464" s="331"/>
      <c r="BA3464" s="331"/>
      <c r="BB3464" s="331"/>
      <c r="BC3464" s="331"/>
      <c r="BD3464" s="331"/>
      <c r="BE3464" s="333"/>
      <c r="BF3464" s="330"/>
      <c r="BG3464" s="333"/>
      <c r="BH3464" s="1119"/>
      <c r="BI3464" s="319"/>
      <c r="BJ3464" s="319"/>
      <c r="BK3464" s="319"/>
      <c r="BL3464" s="319"/>
      <c r="BM3464" s="319"/>
      <c r="BN3464" s="319"/>
      <c r="BO3464" s="319"/>
      <c r="BP3464" s="953"/>
      <c r="BQ3464" s="319"/>
      <c r="BR3464" s="319"/>
      <c r="BS3464" s="330"/>
      <c r="BT3464" s="331"/>
      <c r="BU3464" s="920"/>
      <c r="BV3464" s="903"/>
      <c r="BW3464" s="908"/>
      <c r="BX3464" s="908"/>
      <c r="BY3464" s="331"/>
      <c r="BZ3464" s="331"/>
      <c r="CA3464" s="462"/>
      <c r="CB3464" s="319"/>
      <c r="CC3464" s="319"/>
      <c r="CD3464" s="319"/>
      <c r="CE3464" s="319"/>
      <c r="CF3464" s="319"/>
      <c r="CG3464" s="319"/>
      <c r="CH3464" s="318"/>
      <c r="CI3464" s="319"/>
      <c r="CJ3464" s="319"/>
      <c r="CK3464" s="342"/>
      <c r="CL3464" s="333"/>
      <c r="CM3464" s="1079"/>
      <c r="CN3464" s="1005"/>
      <c r="CO3464" s="1005"/>
      <c r="CP3464" s="1005"/>
    </row>
    <row r="3465">
      <c r="A3465" s="1257"/>
      <c r="B3465" s="1113"/>
      <c r="C3465" s="1107"/>
      <c r="D3465" s="103"/>
      <c r="E3465" s="1137"/>
      <c r="F3465" s="112"/>
      <c r="G3465" s="1110"/>
      <c r="H3465" s="1138"/>
      <c r="I3465" s="1138"/>
      <c r="J3465" s="1139"/>
      <c r="K3465" s="1111"/>
      <c r="L3465" s="1112"/>
      <c r="M3465" s="1113"/>
      <c r="N3465" s="110"/>
      <c r="O3465" s="1140"/>
      <c r="P3465" s="1115"/>
      <c r="Q3465" s="1116"/>
      <c r="R3465" s="1141"/>
      <c r="S3465" s="1113"/>
      <c r="T3465" s="1143"/>
      <c r="U3465" s="1108"/>
      <c r="V3465" s="1108"/>
      <c r="W3465" s="1108"/>
      <c r="X3465" s="1108"/>
      <c r="Y3465" s="1108"/>
      <c r="Z3465" s="1114"/>
      <c r="AA3465" s="1114"/>
      <c r="AB3465" s="1114"/>
      <c r="AC3465" s="1117"/>
      <c r="AD3465" s="1115"/>
      <c r="AE3465" s="1115"/>
      <c r="AF3465" s="1115"/>
      <c r="AG3465" s="1115"/>
      <c r="AH3465" s="1115"/>
      <c r="AI3465" s="1115"/>
      <c r="AJ3465" s="1117"/>
      <c r="AK3465" s="1118"/>
      <c r="AL3465" s="1115"/>
      <c r="AM3465" s="1115"/>
      <c r="AN3465" s="1115"/>
      <c r="AO3465" s="1115"/>
      <c r="AP3465" s="1115"/>
      <c r="AQ3465" s="1115"/>
      <c r="AR3465" s="1115"/>
      <c r="AS3465" s="1117"/>
      <c r="AT3465" s="1075"/>
      <c r="AU3465" s="1193"/>
      <c r="AV3465" s="330"/>
      <c r="AW3465" s="331"/>
      <c r="AX3465" s="331"/>
      <c r="AY3465" s="331"/>
      <c r="AZ3465" s="331"/>
      <c r="BA3465" s="331"/>
      <c r="BB3465" s="331"/>
      <c r="BC3465" s="331"/>
      <c r="BD3465" s="331"/>
      <c r="BE3465" s="333"/>
      <c r="BF3465" s="330"/>
      <c r="BG3465" s="333"/>
      <c r="BH3465" s="1119"/>
      <c r="BI3465" s="319"/>
      <c r="BJ3465" s="319"/>
      <c r="BK3465" s="319"/>
      <c r="BL3465" s="319"/>
      <c r="BM3465" s="319"/>
      <c r="BN3465" s="319"/>
      <c r="BO3465" s="319"/>
      <c r="BP3465" s="953"/>
      <c r="BQ3465" s="319"/>
      <c r="BR3465" s="319"/>
      <c r="BS3465" s="330"/>
      <c r="BT3465" s="331"/>
      <c r="BU3465" s="920"/>
      <c r="BV3465" s="903"/>
      <c r="BW3465" s="908"/>
      <c r="BX3465" s="908"/>
      <c r="BY3465" s="331"/>
      <c r="BZ3465" s="331"/>
      <c r="CA3465" s="462"/>
      <c r="CB3465" s="319"/>
      <c r="CC3465" s="319"/>
      <c r="CD3465" s="319"/>
      <c r="CE3465" s="319"/>
      <c r="CF3465" s="319"/>
      <c r="CG3465" s="319"/>
      <c r="CH3465" s="318"/>
      <c r="CI3465" s="319"/>
      <c r="CJ3465" s="319"/>
      <c r="CK3465" s="342"/>
      <c r="CL3465" s="333"/>
      <c r="CM3465" s="1079"/>
      <c r="CN3465" s="1005"/>
      <c r="CO3465" s="1005"/>
      <c r="CP3465" s="1005"/>
    </row>
    <row r="3466">
      <c r="A3466" s="1257"/>
      <c r="B3466" s="1113"/>
      <c r="C3466" s="1107"/>
      <c r="D3466" s="103"/>
      <c r="E3466" s="1137"/>
      <c r="F3466" s="112"/>
      <c r="G3466" s="1110"/>
      <c r="H3466" s="1138"/>
      <c r="I3466" s="1138"/>
      <c r="J3466" s="1139"/>
      <c r="K3466" s="1111"/>
      <c r="L3466" s="1112"/>
      <c r="M3466" s="1113"/>
      <c r="N3466" s="110"/>
      <c r="O3466" s="1140"/>
      <c r="P3466" s="1115"/>
      <c r="Q3466" s="1116"/>
      <c r="R3466" s="1141"/>
      <c r="S3466" s="1113"/>
      <c r="T3466" s="1143"/>
      <c r="U3466" s="1108"/>
      <c r="V3466" s="1108"/>
      <c r="W3466" s="1108"/>
      <c r="X3466" s="1108"/>
      <c r="Y3466" s="1108"/>
      <c r="Z3466" s="1114"/>
      <c r="AA3466" s="1114"/>
      <c r="AB3466" s="1114"/>
      <c r="AC3466" s="1117"/>
      <c r="AD3466" s="1115"/>
      <c r="AE3466" s="1115"/>
      <c r="AF3466" s="1115"/>
      <c r="AG3466" s="1115"/>
      <c r="AH3466" s="1115"/>
      <c r="AI3466" s="1115"/>
      <c r="AJ3466" s="1117"/>
      <c r="AK3466" s="1118"/>
      <c r="AL3466" s="1115"/>
      <c r="AM3466" s="1115"/>
      <c r="AN3466" s="1115"/>
      <c r="AO3466" s="1115"/>
      <c r="AP3466" s="1115"/>
      <c r="AQ3466" s="1115"/>
      <c r="AR3466" s="1115"/>
      <c r="AS3466" s="1117"/>
      <c r="AT3466" s="1075"/>
      <c r="AU3466" s="1193"/>
      <c r="AV3466" s="330"/>
      <c r="AW3466" s="331"/>
      <c r="AX3466" s="331"/>
      <c r="AY3466" s="331"/>
      <c r="AZ3466" s="331"/>
      <c r="BA3466" s="331"/>
      <c r="BB3466" s="331"/>
      <c r="BC3466" s="331"/>
      <c r="BD3466" s="331"/>
      <c r="BE3466" s="333"/>
      <c r="BF3466" s="330"/>
      <c r="BG3466" s="333"/>
      <c r="BH3466" s="1119"/>
      <c r="BI3466" s="319"/>
      <c r="BJ3466" s="319"/>
      <c r="BK3466" s="319"/>
      <c r="BL3466" s="319"/>
      <c r="BM3466" s="319"/>
      <c r="BN3466" s="319"/>
      <c r="BO3466" s="319"/>
      <c r="BP3466" s="953"/>
      <c r="BQ3466" s="319"/>
      <c r="BR3466" s="319"/>
      <c r="BS3466" s="330"/>
      <c r="BT3466" s="331"/>
      <c r="BU3466" s="920"/>
      <c r="BV3466" s="903"/>
      <c r="BW3466" s="908"/>
      <c r="BX3466" s="908"/>
      <c r="BY3466" s="331"/>
      <c r="BZ3466" s="331"/>
      <c r="CA3466" s="462"/>
      <c r="CB3466" s="319"/>
      <c r="CC3466" s="319"/>
      <c r="CD3466" s="319"/>
      <c r="CE3466" s="319"/>
      <c r="CF3466" s="319"/>
      <c r="CG3466" s="319"/>
      <c r="CH3466" s="318"/>
      <c r="CI3466" s="319"/>
      <c r="CJ3466" s="319"/>
      <c r="CK3466" s="342"/>
      <c r="CL3466" s="333"/>
      <c r="CM3466" s="1079"/>
      <c r="CN3466" s="1005"/>
      <c r="CO3466" s="1005"/>
      <c r="CP3466" s="1005"/>
    </row>
    <row r="3467">
      <c r="A3467" s="1257"/>
      <c r="B3467" s="1113"/>
      <c r="C3467" s="1107"/>
      <c r="D3467" s="103"/>
      <c r="E3467" s="1137"/>
      <c r="F3467" s="112"/>
      <c r="G3467" s="1110"/>
      <c r="H3467" s="1138"/>
      <c r="I3467" s="1138"/>
      <c r="J3467" s="1139"/>
      <c r="K3467" s="1111"/>
      <c r="L3467" s="1112"/>
      <c r="M3467" s="1113"/>
      <c r="N3467" s="110"/>
      <c r="O3467" s="1140"/>
      <c r="P3467" s="1115"/>
      <c r="Q3467" s="1116"/>
      <c r="R3467" s="1141"/>
      <c r="S3467" s="1113"/>
      <c r="T3467" s="1143"/>
      <c r="U3467" s="1108"/>
      <c r="V3467" s="1108"/>
      <c r="W3467" s="1108"/>
      <c r="X3467" s="1108"/>
      <c r="Y3467" s="1108"/>
      <c r="Z3467" s="1114"/>
      <c r="AA3467" s="1114"/>
      <c r="AB3467" s="1114"/>
      <c r="AC3467" s="1117"/>
      <c r="AD3467" s="1115"/>
      <c r="AE3467" s="1115"/>
      <c r="AF3467" s="1115"/>
      <c r="AG3467" s="1115"/>
      <c r="AH3467" s="1115"/>
      <c r="AI3467" s="1115"/>
      <c r="AJ3467" s="1117"/>
      <c r="AK3467" s="1118"/>
      <c r="AL3467" s="1115"/>
      <c r="AM3467" s="1115"/>
      <c r="AN3467" s="1115"/>
      <c r="AO3467" s="1115"/>
      <c r="AP3467" s="1115"/>
      <c r="AQ3467" s="1115"/>
      <c r="AR3467" s="1115"/>
      <c r="AS3467" s="1117"/>
      <c r="AT3467" s="1075"/>
      <c r="AU3467" s="1193"/>
      <c r="AV3467" s="330"/>
      <c r="AW3467" s="331"/>
      <c r="AX3467" s="331"/>
      <c r="AY3467" s="331"/>
      <c r="AZ3467" s="331"/>
      <c r="BA3467" s="331"/>
      <c r="BB3467" s="331"/>
      <c r="BC3467" s="331"/>
      <c r="BD3467" s="331"/>
      <c r="BE3467" s="333"/>
      <c r="BF3467" s="330"/>
      <c r="BG3467" s="333"/>
      <c r="BH3467" s="1119"/>
      <c r="BI3467" s="319"/>
      <c r="BJ3467" s="319"/>
      <c r="BK3467" s="319"/>
      <c r="BL3467" s="319"/>
      <c r="BM3467" s="319"/>
      <c r="BN3467" s="319"/>
      <c r="BO3467" s="319"/>
      <c r="BP3467" s="953"/>
      <c r="BQ3467" s="319"/>
      <c r="BR3467" s="319"/>
      <c r="BS3467" s="330"/>
      <c r="BT3467" s="331"/>
      <c r="BU3467" s="920"/>
      <c r="BV3467" s="903"/>
      <c r="BW3467" s="908"/>
      <c r="BX3467" s="908"/>
      <c r="BY3467" s="331"/>
      <c r="BZ3467" s="331"/>
      <c r="CA3467" s="462"/>
      <c r="CB3467" s="319"/>
      <c r="CC3467" s="319"/>
      <c r="CD3467" s="319"/>
      <c r="CE3467" s="319"/>
      <c r="CF3467" s="319"/>
      <c r="CG3467" s="319"/>
      <c r="CH3467" s="318"/>
      <c r="CI3467" s="319"/>
      <c r="CJ3467" s="319"/>
      <c r="CK3467" s="342"/>
      <c r="CL3467" s="333"/>
      <c r="CM3467" s="1079"/>
      <c r="CN3467" s="1005"/>
      <c r="CO3467" s="1005"/>
      <c r="CP3467" s="1005"/>
    </row>
    <row r="3468">
      <c r="A3468" s="1257"/>
      <c r="B3468" s="1113"/>
      <c r="C3468" s="1107"/>
      <c r="D3468" s="103"/>
      <c r="E3468" s="1137"/>
      <c r="F3468" s="112"/>
      <c r="G3468" s="1110"/>
      <c r="H3468" s="1138"/>
      <c r="I3468" s="1138"/>
      <c r="J3468" s="1139"/>
      <c r="K3468" s="1111"/>
      <c r="L3468" s="1112"/>
      <c r="M3468" s="1113"/>
      <c r="N3468" s="110"/>
      <c r="O3468" s="1140"/>
      <c r="P3468" s="1115"/>
      <c r="Q3468" s="1116"/>
      <c r="R3468" s="1141"/>
      <c r="S3468" s="1113"/>
      <c r="T3468" s="1143"/>
      <c r="U3468" s="1108"/>
      <c r="V3468" s="1108"/>
      <c r="W3468" s="1108"/>
      <c r="X3468" s="1108"/>
      <c r="Y3468" s="1108"/>
      <c r="Z3468" s="1114"/>
      <c r="AA3468" s="1114"/>
      <c r="AB3468" s="1114"/>
      <c r="AC3468" s="1117"/>
      <c r="AD3468" s="1115"/>
      <c r="AE3468" s="1115"/>
      <c r="AF3468" s="1115"/>
      <c r="AG3468" s="1115"/>
      <c r="AH3468" s="1115"/>
      <c r="AI3468" s="1115"/>
      <c r="AJ3468" s="1117"/>
      <c r="AK3468" s="1118"/>
      <c r="AL3468" s="1115"/>
      <c r="AM3468" s="1115"/>
      <c r="AN3468" s="1115"/>
      <c r="AO3468" s="1115"/>
      <c r="AP3468" s="1115"/>
      <c r="AQ3468" s="1115"/>
      <c r="AR3468" s="1115"/>
      <c r="AS3468" s="1117"/>
      <c r="AT3468" s="1075"/>
      <c r="AU3468" s="1193"/>
      <c r="AV3468" s="330"/>
      <c r="AW3468" s="331"/>
      <c r="AX3468" s="331"/>
      <c r="AY3468" s="331"/>
      <c r="AZ3468" s="331"/>
      <c r="BA3468" s="331"/>
      <c r="BB3468" s="331"/>
      <c r="BC3468" s="331"/>
      <c r="BD3468" s="331"/>
      <c r="BE3468" s="333"/>
      <c r="BF3468" s="330"/>
      <c r="BG3468" s="333"/>
      <c r="BH3468" s="1119"/>
      <c r="BI3468" s="319"/>
      <c r="BJ3468" s="319"/>
      <c r="BK3468" s="319"/>
      <c r="BL3468" s="319"/>
      <c r="BM3468" s="319"/>
      <c r="BN3468" s="319"/>
      <c r="BO3468" s="319"/>
      <c r="BP3468" s="953"/>
      <c r="BQ3468" s="319"/>
      <c r="BR3468" s="319"/>
      <c r="BS3468" s="330"/>
      <c r="BT3468" s="331"/>
      <c r="BU3468" s="920"/>
      <c r="BV3468" s="903"/>
      <c r="BW3468" s="908"/>
      <c r="BX3468" s="908"/>
      <c r="BY3468" s="331"/>
      <c r="BZ3468" s="331"/>
      <c r="CA3468" s="462"/>
      <c r="CB3468" s="319"/>
      <c r="CC3468" s="319"/>
      <c r="CD3468" s="319"/>
      <c r="CE3468" s="319"/>
      <c r="CF3468" s="319"/>
      <c r="CG3468" s="319"/>
      <c r="CH3468" s="318"/>
      <c r="CI3468" s="319"/>
      <c r="CJ3468" s="319"/>
      <c r="CK3468" s="342"/>
      <c r="CL3468" s="333"/>
      <c r="CM3468" s="1079"/>
      <c r="CN3468" s="1005"/>
      <c r="CO3468" s="1005"/>
      <c r="CP3468" s="1005"/>
    </row>
    <row r="3469">
      <c r="A3469" s="1257"/>
      <c r="B3469" s="1113"/>
      <c r="C3469" s="1107"/>
      <c r="D3469" s="103"/>
      <c r="E3469" s="1137"/>
      <c r="F3469" s="112"/>
      <c r="G3469" s="1110"/>
      <c r="H3469" s="1138"/>
      <c r="I3469" s="1138"/>
      <c r="J3469" s="1139"/>
      <c r="K3469" s="1111"/>
      <c r="L3469" s="1112"/>
      <c r="M3469" s="1113"/>
      <c r="N3469" s="110"/>
      <c r="O3469" s="1140"/>
      <c r="P3469" s="1115"/>
      <c r="Q3469" s="1116"/>
      <c r="R3469" s="1141"/>
      <c r="S3469" s="1113"/>
      <c r="T3469" s="1143"/>
      <c r="U3469" s="1108"/>
      <c r="V3469" s="1108"/>
      <c r="W3469" s="1108"/>
      <c r="X3469" s="1108"/>
      <c r="Y3469" s="1108"/>
      <c r="Z3469" s="1114"/>
      <c r="AA3469" s="1114"/>
      <c r="AB3469" s="1114"/>
      <c r="AC3469" s="1117"/>
      <c r="AD3469" s="1115"/>
      <c r="AE3469" s="1115"/>
      <c r="AF3469" s="1115"/>
      <c r="AG3469" s="1115"/>
      <c r="AH3469" s="1115"/>
      <c r="AI3469" s="1115"/>
      <c r="AJ3469" s="1117"/>
      <c r="AK3469" s="1118"/>
      <c r="AL3469" s="1115"/>
      <c r="AM3469" s="1115"/>
      <c r="AN3469" s="1115"/>
      <c r="AO3469" s="1115"/>
      <c r="AP3469" s="1115"/>
      <c r="AQ3469" s="1115"/>
      <c r="AR3469" s="1115"/>
      <c r="AS3469" s="1117"/>
      <c r="AT3469" s="1075"/>
      <c r="AU3469" s="1193"/>
      <c r="AV3469" s="330"/>
      <c r="AW3469" s="331"/>
      <c r="AX3469" s="331"/>
      <c r="AY3469" s="331"/>
      <c r="AZ3469" s="331"/>
      <c r="BA3469" s="331"/>
      <c r="BB3469" s="331"/>
      <c r="BC3469" s="331"/>
      <c r="BD3469" s="331"/>
      <c r="BE3469" s="333"/>
      <c r="BF3469" s="330"/>
      <c r="BG3469" s="333"/>
      <c r="BH3469" s="1119"/>
      <c r="BI3469" s="319"/>
      <c r="BJ3469" s="319"/>
      <c r="BK3469" s="319"/>
      <c r="BL3469" s="319"/>
      <c r="BM3469" s="319"/>
      <c r="BN3469" s="319"/>
      <c r="BO3469" s="319"/>
      <c r="BP3469" s="953"/>
      <c r="BQ3469" s="319"/>
      <c r="BR3469" s="319"/>
      <c r="BS3469" s="330"/>
      <c r="BT3469" s="331"/>
      <c r="BU3469" s="920"/>
      <c r="BV3469" s="903"/>
      <c r="BW3469" s="908"/>
      <c r="BX3469" s="908"/>
      <c r="BY3469" s="331"/>
      <c r="BZ3469" s="331"/>
      <c r="CA3469" s="462"/>
      <c r="CB3469" s="319"/>
      <c r="CC3469" s="319"/>
      <c r="CD3469" s="319"/>
      <c r="CE3469" s="319"/>
      <c r="CF3469" s="319"/>
      <c r="CG3469" s="319"/>
      <c r="CH3469" s="318"/>
      <c r="CI3469" s="319"/>
      <c r="CJ3469" s="319"/>
      <c r="CK3469" s="342"/>
      <c r="CL3469" s="333"/>
      <c r="CM3469" s="1079"/>
      <c r="CN3469" s="1005"/>
      <c r="CO3469" s="1005"/>
      <c r="CP3469" s="1005"/>
    </row>
    <row r="3470">
      <c r="A3470" s="1257"/>
      <c r="B3470" s="1113"/>
      <c r="C3470" s="1107"/>
      <c r="D3470" s="103"/>
      <c r="E3470" s="1137"/>
      <c r="F3470" s="112"/>
      <c r="G3470" s="1110"/>
      <c r="H3470" s="1138"/>
      <c r="I3470" s="1138"/>
      <c r="J3470" s="1139"/>
      <c r="K3470" s="1111"/>
      <c r="L3470" s="1112"/>
      <c r="M3470" s="1113"/>
      <c r="N3470" s="110"/>
      <c r="O3470" s="1140"/>
      <c r="P3470" s="1115"/>
      <c r="Q3470" s="1116"/>
      <c r="R3470" s="1141"/>
      <c r="S3470" s="1113"/>
      <c r="T3470" s="1143"/>
      <c r="U3470" s="1108"/>
      <c r="V3470" s="1108"/>
      <c r="W3470" s="1108"/>
      <c r="X3470" s="1108"/>
      <c r="Y3470" s="1108"/>
      <c r="Z3470" s="1114"/>
      <c r="AA3470" s="1114"/>
      <c r="AB3470" s="1114"/>
      <c r="AC3470" s="1117"/>
      <c r="AD3470" s="1115"/>
      <c r="AE3470" s="1115"/>
      <c r="AF3470" s="1115"/>
      <c r="AG3470" s="1115"/>
      <c r="AH3470" s="1115"/>
      <c r="AI3470" s="1115"/>
      <c r="AJ3470" s="1117"/>
      <c r="AK3470" s="1118"/>
      <c r="AL3470" s="1115"/>
      <c r="AM3470" s="1115"/>
      <c r="AN3470" s="1115"/>
      <c r="AO3470" s="1115"/>
      <c r="AP3470" s="1115"/>
      <c r="AQ3470" s="1115"/>
      <c r="AR3470" s="1115"/>
      <c r="AS3470" s="1117"/>
      <c r="AT3470" s="1075"/>
      <c r="AU3470" s="1193"/>
      <c r="AV3470" s="330"/>
      <c r="AW3470" s="331"/>
      <c r="AX3470" s="331"/>
      <c r="AY3470" s="331"/>
      <c r="AZ3470" s="331"/>
      <c r="BA3470" s="331"/>
      <c r="BB3470" s="331"/>
      <c r="BC3470" s="331"/>
      <c r="BD3470" s="331"/>
      <c r="BE3470" s="333"/>
      <c r="BF3470" s="330"/>
      <c r="BG3470" s="333"/>
      <c r="BH3470" s="1119"/>
      <c r="BI3470" s="319"/>
      <c r="BJ3470" s="319"/>
      <c r="BK3470" s="319"/>
      <c r="BL3470" s="319"/>
      <c r="BM3470" s="319"/>
      <c r="BN3470" s="319"/>
      <c r="BO3470" s="319"/>
      <c r="BP3470" s="953"/>
      <c r="BQ3470" s="319"/>
      <c r="BR3470" s="319"/>
      <c r="BS3470" s="330"/>
      <c r="BT3470" s="331"/>
      <c r="BU3470" s="920"/>
      <c r="BV3470" s="903"/>
      <c r="BW3470" s="908"/>
      <c r="BX3470" s="908"/>
      <c r="BY3470" s="331"/>
      <c r="BZ3470" s="331"/>
      <c r="CA3470" s="462"/>
      <c r="CB3470" s="319"/>
      <c r="CC3470" s="319"/>
      <c r="CD3470" s="319"/>
      <c r="CE3470" s="319"/>
      <c r="CF3470" s="319"/>
      <c r="CG3470" s="319"/>
      <c r="CH3470" s="318"/>
      <c r="CI3470" s="319"/>
      <c r="CJ3470" s="319"/>
      <c r="CK3470" s="342"/>
      <c r="CL3470" s="333"/>
      <c r="CM3470" s="1079"/>
      <c r="CN3470" s="1005"/>
      <c r="CO3470" s="1005"/>
      <c r="CP3470" s="1005"/>
    </row>
    <row r="3471">
      <c r="A3471" s="1257"/>
      <c r="B3471" s="1113"/>
      <c r="C3471" s="1107"/>
      <c r="D3471" s="103"/>
      <c r="E3471" s="1137"/>
      <c r="F3471" s="112"/>
      <c r="G3471" s="1110"/>
      <c r="H3471" s="1138"/>
      <c r="I3471" s="1138"/>
      <c r="J3471" s="1139"/>
      <c r="K3471" s="1111"/>
      <c r="L3471" s="1112"/>
      <c r="M3471" s="1113"/>
      <c r="N3471" s="110"/>
      <c r="O3471" s="1140"/>
      <c r="P3471" s="1115"/>
      <c r="Q3471" s="1116"/>
      <c r="R3471" s="1141"/>
      <c r="S3471" s="1113"/>
      <c r="T3471" s="1143"/>
      <c r="U3471" s="1108"/>
      <c r="V3471" s="1108"/>
      <c r="W3471" s="1108"/>
      <c r="X3471" s="1108"/>
      <c r="Y3471" s="1108"/>
      <c r="Z3471" s="1114"/>
      <c r="AA3471" s="1114"/>
      <c r="AB3471" s="1114"/>
      <c r="AC3471" s="1117"/>
      <c r="AD3471" s="1115"/>
      <c r="AE3471" s="1115"/>
      <c r="AF3471" s="1115"/>
      <c r="AG3471" s="1115"/>
      <c r="AH3471" s="1115"/>
      <c r="AI3471" s="1115"/>
      <c r="AJ3471" s="1117"/>
      <c r="AK3471" s="1118"/>
      <c r="AL3471" s="1115"/>
      <c r="AM3471" s="1115"/>
      <c r="AN3471" s="1115"/>
      <c r="AO3471" s="1115"/>
      <c r="AP3471" s="1115"/>
      <c r="AQ3471" s="1115"/>
      <c r="AR3471" s="1115"/>
      <c r="AS3471" s="1117"/>
      <c r="AT3471" s="1075"/>
      <c r="AU3471" s="1193"/>
      <c r="AV3471" s="330"/>
      <c r="AW3471" s="331"/>
      <c r="AX3471" s="331"/>
      <c r="AY3471" s="331"/>
      <c r="AZ3471" s="331"/>
      <c r="BA3471" s="331"/>
      <c r="BB3471" s="331"/>
      <c r="BC3471" s="331"/>
      <c r="BD3471" s="331"/>
      <c r="BE3471" s="333"/>
      <c r="BF3471" s="330"/>
      <c r="BG3471" s="333"/>
      <c r="BH3471" s="1119"/>
      <c r="BI3471" s="319"/>
      <c r="BJ3471" s="319"/>
      <c r="BK3471" s="319"/>
      <c r="BL3471" s="319"/>
      <c r="BM3471" s="319"/>
      <c r="BN3471" s="319"/>
      <c r="BO3471" s="319"/>
      <c r="BP3471" s="953"/>
      <c r="BQ3471" s="319"/>
      <c r="BR3471" s="319"/>
      <c r="BS3471" s="330"/>
      <c r="BT3471" s="331"/>
      <c r="BU3471" s="920"/>
      <c r="BV3471" s="903"/>
      <c r="BW3471" s="908"/>
      <c r="BX3471" s="908"/>
      <c r="BY3471" s="331"/>
      <c r="BZ3471" s="331"/>
      <c r="CA3471" s="462"/>
      <c r="CB3471" s="319"/>
      <c r="CC3471" s="319"/>
      <c r="CD3471" s="319"/>
      <c r="CE3471" s="319"/>
      <c r="CF3471" s="319"/>
      <c r="CG3471" s="319"/>
      <c r="CH3471" s="318"/>
      <c r="CI3471" s="319"/>
      <c r="CJ3471" s="319"/>
      <c r="CK3471" s="342"/>
      <c r="CL3471" s="333"/>
      <c r="CM3471" s="1079"/>
      <c r="CN3471" s="1005"/>
      <c r="CO3471" s="1005"/>
      <c r="CP3471" s="1005"/>
    </row>
    <row r="3472">
      <c r="A3472" s="1257"/>
      <c r="B3472" s="1113"/>
      <c r="C3472" s="1107"/>
      <c r="D3472" s="103"/>
      <c r="E3472" s="1137"/>
      <c r="F3472" s="112"/>
      <c r="G3472" s="1110"/>
      <c r="H3472" s="1138"/>
      <c r="I3472" s="1138"/>
      <c r="J3472" s="1139"/>
      <c r="K3472" s="1111"/>
      <c r="L3472" s="1112"/>
      <c r="M3472" s="1113"/>
      <c r="N3472" s="110"/>
      <c r="O3472" s="1140"/>
      <c r="P3472" s="1115"/>
      <c r="Q3472" s="1116"/>
      <c r="R3472" s="1141"/>
      <c r="S3472" s="1113"/>
      <c r="T3472" s="1143"/>
      <c r="U3472" s="1108"/>
      <c r="V3472" s="1108"/>
      <c r="W3472" s="1108"/>
      <c r="X3472" s="1108"/>
      <c r="Y3472" s="1108"/>
      <c r="Z3472" s="1114"/>
      <c r="AA3472" s="1114"/>
      <c r="AB3472" s="1114"/>
      <c r="AC3472" s="1117"/>
      <c r="AD3472" s="1115"/>
      <c r="AE3472" s="1115"/>
      <c r="AF3472" s="1115"/>
      <c r="AG3472" s="1115"/>
      <c r="AH3472" s="1115"/>
      <c r="AI3472" s="1115"/>
      <c r="AJ3472" s="1117"/>
      <c r="AK3472" s="1118"/>
      <c r="AL3472" s="1115"/>
      <c r="AM3472" s="1115"/>
      <c r="AN3472" s="1115"/>
      <c r="AO3472" s="1115"/>
      <c r="AP3472" s="1115"/>
      <c r="AQ3472" s="1115"/>
      <c r="AR3472" s="1115"/>
      <c r="AS3472" s="1117"/>
      <c r="AT3472" s="1075"/>
      <c r="AU3472" s="1193"/>
      <c r="AV3472" s="330"/>
      <c r="AW3472" s="331"/>
      <c r="AX3472" s="331"/>
      <c r="AY3472" s="331"/>
      <c r="AZ3472" s="331"/>
      <c r="BA3472" s="331"/>
      <c r="BB3472" s="331"/>
      <c r="BC3472" s="331"/>
      <c r="BD3472" s="331"/>
      <c r="BE3472" s="333"/>
      <c r="BF3472" s="330"/>
      <c r="BG3472" s="333"/>
      <c r="BH3472" s="1119"/>
      <c r="BI3472" s="319"/>
      <c r="BJ3472" s="319"/>
      <c r="BK3472" s="319"/>
      <c r="BL3472" s="319"/>
      <c r="BM3472" s="319"/>
      <c r="BN3472" s="319"/>
      <c r="BO3472" s="319"/>
      <c r="BP3472" s="953"/>
      <c r="BQ3472" s="319"/>
      <c r="BR3472" s="319"/>
      <c r="BS3472" s="330"/>
      <c r="BT3472" s="331"/>
      <c r="BU3472" s="920"/>
      <c r="BV3472" s="903"/>
      <c r="BW3472" s="908"/>
      <c r="BX3472" s="908"/>
      <c r="BY3472" s="331"/>
      <c r="BZ3472" s="331"/>
      <c r="CA3472" s="462"/>
      <c r="CB3472" s="319"/>
      <c r="CC3472" s="319"/>
      <c r="CD3472" s="319"/>
      <c r="CE3472" s="319"/>
      <c r="CF3472" s="319"/>
      <c r="CG3472" s="319"/>
      <c r="CH3472" s="318"/>
      <c r="CI3472" s="319"/>
      <c r="CJ3472" s="319"/>
      <c r="CK3472" s="342"/>
      <c r="CL3472" s="333"/>
      <c r="CM3472" s="1079"/>
      <c r="CN3472" s="1005"/>
      <c r="CO3472" s="1005"/>
      <c r="CP3472" s="1005"/>
    </row>
    <row r="3473">
      <c r="A3473" s="1257"/>
      <c r="B3473" s="1113"/>
      <c r="C3473" s="1107"/>
      <c r="D3473" s="103"/>
      <c r="E3473" s="1137"/>
      <c r="F3473" s="112"/>
      <c r="G3473" s="1110"/>
      <c r="H3473" s="1138"/>
      <c r="I3473" s="1138"/>
      <c r="J3473" s="1139"/>
      <c r="K3473" s="1111"/>
      <c r="L3473" s="1112"/>
      <c r="M3473" s="1113"/>
      <c r="N3473" s="110"/>
      <c r="O3473" s="1140"/>
      <c r="P3473" s="1115"/>
      <c r="Q3473" s="1116"/>
      <c r="R3473" s="1141"/>
      <c r="S3473" s="1113"/>
      <c r="T3473" s="1143"/>
      <c r="U3473" s="1108"/>
      <c r="V3473" s="1108"/>
      <c r="W3473" s="1108"/>
      <c r="X3473" s="1108"/>
      <c r="Y3473" s="1108"/>
      <c r="Z3473" s="1114"/>
      <c r="AA3473" s="1114"/>
      <c r="AB3473" s="1114"/>
      <c r="AC3473" s="1117"/>
      <c r="AD3473" s="1115"/>
      <c r="AE3473" s="1115"/>
      <c r="AF3473" s="1115"/>
      <c r="AG3473" s="1115"/>
      <c r="AH3473" s="1115"/>
      <c r="AI3473" s="1115"/>
      <c r="AJ3473" s="1117"/>
      <c r="AK3473" s="1118"/>
      <c r="AL3473" s="1115"/>
      <c r="AM3473" s="1115"/>
      <c r="AN3473" s="1115"/>
      <c r="AO3473" s="1115"/>
      <c r="AP3473" s="1115"/>
      <c r="AQ3473" s="1115"/>
      <c r="AR3473" s="1115"/>
      <c r="AS3473" s="1117"/>
      <c r="AT3473" s="1075"/>
      <c r="AU3473" s="1193"/>
      <c r="AV3473" s="330"/>
      <c r="AW3473" s="331"/>
      <c r="AX3473" s="331"/>
      <c r="AY3473" s="331"/>
      <c r="AZ3473" s="331"/>
      <c r="BA3473" s="331"/>
      <c r="BB3473" s="331"/>
      <c r="BC3473" s="331"/>
      <c r="BD3473" s="331"/>
      <c r="BE3473" s="333"/>
      <c r="BF3473" s="330"/>
      <c r="BG3473" s="333"/>
      <c r="BH3473" s="1119"/>
      <c r="BI3473" s="319"/>
      <c r="BJ3473" s="319"/>
      <c r="BK3473" s="319"/>
      <c r="BL3473" s="319"/>
      <c r="BM3473" s="319"/>
      <c r="BN3473" s="319"/>
      <c r="BO3473" s="319"/>
      <c r="BP3473" s="953"/>
      <c r="BQ3473" s="319"/>
      <c r="BR3473" s="319"/>
      <c r="BS3473" s="330"/>
      <c r="BT3473" s="331"/>
      <c r="BU3473" s="920"/>
      <c r="BV3473" s="903"/>
      <c r="BW3473" s="908"/>
      <c r="BX3473" s="908"/>
      <c r="BY3473" s="331"/>
      <c r="BZ3473" s="331"/>
      <c r="CA3473" s="462"/>
      <c r="CB3473" s="319"/>
      <c r="CC3473" s="319"/>
      <c r="CD3473" s="319"/>
      <c r="CE3473" s="319"/>
      <c r="CF3473" s="319"/>
      <c r="CG3473" s="319"/>
      <c r="CH3473" s="318"/>
      <c r="CI3473" s="319"/>
      <c r="CJ3473" s="319"/>
      <c r="CK3473" s="342"/>
      <c r="CL3473" s="333"/>
      <c r="CM3473" s="1079"/>
      <c r="CN3473" s="1005"/>
      <c r="CO3473" s="1005"/>
      <c r="CP3473" s="1005"/>
    </row>
    <row r="3474">
      <c r="A3474" s="1257"/>
      <c r="B3474" s="1113"/>
      <c r="C3474" s="1107"/>
      <c r="D3474" s="103"/>
      <c r="E3474" s="1137"/>
      <c r="F3474" s="112"/>
      <c r="G3474" s="1110"/>
      <c r="H3474" s="1138"/>
      <c r="I3474" s="1138"/>
      <c r="J3474" s="1139"/>
      <c r="K3474" s="1111"/>
      <c r="L3474" s="1112"/>
      <c r="M3474" s="1113"/>
      <c r="N3474" s="110"/>
      <c r="O3474" s="1140"/>
      <c r="P3474" s="1115"/>
      <c r="Q3474" s="1116"/>
      <c r="R3474" s="1141"/>
      <c r="S3474" s="1113"/>
      <c r="T3474" s="1143"/>
      <c r="U3474" s="1108"/>
      <c r="V3474" s="1108"/>
      <c r="W3474" s="1108"/>
      <c r="X3474" s="1108"/>
      <c r="Y3474" s="1108"/>
      <c r="Z3474" s="1114"/>
      <c r="AA3474" s="1114"/>
      <c r="AB3474" s="1114"/>
      <c r="AC3474" s="1117"/>
      <c r="AD3474" s="1115"/>
      <c r="AE3474" s="1115"/>
      <c r="AF3474" s="1115"/>
      <c r="AG3474" s="1115"/>
      <c r="AH3474" s="1115"/>
      <c r="AI3474" s="1115"/>
      <c r="AJ3474" s="1117"/>
      <c r="AK3474" s="1118"/>
      <c r="AL3474" s="1115"/>
      <c r="AM3474" s="1115"/>
      <c r="AN3474" s="1115"/>
      <c r="AO3474" s="1115"/>
      <c r="AP3474" s="1115"/>
      <c r="AQ3474" s="1115"/>
      <c r="AR3474" s="1115"/>
      <c r="AS3474" s="1117"/>
      <c r="AT3474" s="1075"/>
      <c r="AU3474" s="1193"/>
      <c r="AV3474" s="330"/>
      <c r="AW3474" s="331"/>
      <c r="AX3474" s="331"/>
      <c r="AY3474" s="331"/>
      <c r="AZ3474" s="331"/>
      <c r="BA3474" s="331"/>
      <c r="BB3474" s="331"/>
      <c r="BC3474" s="331"/>
      <c r="BD3474" s="331"/>
      <c r="BE3474" s="333"/>
      <c r="BF3474" s="330"/>
      <c r="BG3474" s="333"/>
      <c r="BH3474" s="1119"/>
      <c r="BI3474" s="319"/>
      <c r="BJ3474" s="319"/>
      <c r="BK3474" s="319"/>
      <c r="BL3474" s="319"/>
      <c r="BM3474" s="319"/>
      <c r="BN3474" s="319"/>
      <c r="BO3474" s="319"/>
      <c r="BP3474" s="953"/>
      <c r="BQ3474" s="319"/>
      <c r="BR3474" s="319"/>
      <c r="BS3474" s="330"/>
      <c r="BT3474" s="331"/>
      <c r="BU3474" s="920"/>
      <c r="BV3474" s="903"/>
      <c r="BW3474" s="908"/>
      <c r="BX3474" s="908"/>
      <c r="BY3474" s="331"/>
      <c r="BZ3474" s="331"/>
      <c r="CA3474" s="462"/>
      <c r="CB3474" s="319"/>
      <c r="CC3474" s="319"/>
      <c r="CD3474" s="319"/>
      <c r="CE3474" s="319"/>
      <c r="CF3474" s="319"/>
      <c r="CG3474" s="319"/>
      <c r="CH3474" s="318"/>
      <c r="CI3474" s="319"/>
      <c r="CJ3474" s="319"/>
      <c r="CK3474" s="342"/>
      <c r="CL3474" s="333"/>
      <c r="CM3474" s="1079"/>
      <c r="CN3474" s="1005"/>
      <c r="CO3474" s="1005"/>
      <c r="CP3474" s="1005"/>
    </row>
    <row r="3475">
      <c r="A3475" s="1257"/>
      <c r="B3475" s="1113"/>
      <c r="C3475" s="1107"/>
      <c r="D3475" s="103"/>
      <c r="E3475" s="1137"/>
      <c r="F3475" s="112"/>
      <c r="G3475" s="1110"/>
      <c r="H3475" s="1138"/>
      <c r="I3475" s="1138"/>
      <c r="J3475" s="1139"/>
      <c r="K3475" s="1111"/>
      <c r="L3475" s="1112"/>
      <c r="M3475" s="1113"/>
      <c r="N3475" s="110"/>
      <c r="O3475" s="1140"/>
      <c r="P3475" s="1115"/>
      <c r="Q3475" s="1116"/>
      <c r="R3475" s="1141"/>
      <c r="S3475" s="1113"/>
      <c r="T3475" s="1143"/>
      <c r="U3475" s="1108"/>
      <c r="V3475" s="1108"/>
      <c r="W3475" s="1108"/>
      <c r="X3475" s="1108"/>
      <c r="Y3475" s="1108"/>
      <c r="Z3475" s="1114"/>
      <c r="AA3475" s="1114"/>
      <c r="AB3475" s="1114"/>
      <c r="AC3475" s="1117"/>
      <c r="AD3475" s="1115"/>
      <c r="AE3475" s="1115"/>
      <c r="AF3475" s="1115"/>
      <c r="AG3475" s="1115"/>
      <c r="AH3475" s="1115"/>
      <c r="AI3475" s="1115"/>
      <c r="AJ3475" s="1117"/>
      <c r="AK3475" s="1118"/>
      <c r="AL3475" s="1115"/>
      <c r="AM3475" s="1115"/>
      <c r="AN3475" s="1115"/>
      <c r="AO3475" s="1115"/>
      <c r="AP3475" s="1115"/>
      <c r="AQ3475" s="1115"/>
      <c r="AR3475" s="1115"/>
      <c r="AS3475" s="1117"/>
      <c r="AT3475" s="1075"/>
      <c r="AU3475" s="1193"/>
      <c r="AV3475" s="330"/>
      <c r="AW3475" s="331"/>
      <c r="AX3475" s="331"/>
      <c r="AY3475" s="331"/>
      <c r="AZ3475" s="331"/>
      <c r="BA3475" s="331"/>
      <c r="BB3475" s="331"/>
      <c r="BC3475" s="331"/>
      <c r="BD3475" s="331"/>
      <c r="BE3475" s="333"/>
      <c r="BF3475" s="330"/>
      <c r="BG3475" s="333"/>
      <c r="BH3475" s="1119"/>
      <c r="BI3475" s="319"/>
      <c r="BJ3475" s="319"/>
      <c r="BK3475" s="319"/>
      <c r="BL3475" s="319"/>
      <c r="BM3475" s="319"/>
      <c r="BN3475" s="319"/>
      <c r="BO3475" s="319"/>
      <c r="BP3475" s="953"/>
      <c r="BQ3475" s="319"/>
      <c r="BR3475" s="319"/>
      <c r="BS3475" s="330"/>
      <c r="BT3475" s="331"/>
      <c r="BU3475" s="920"/>
      <c r="BV3475" s="903"/>
      <c r="BW3475" s="908"/>
      <c r="BX3475" s="908"/>
      <c r="BY3475" s="331"/>
      <c r="BZ3475" s="331"/>
      <c r="CA3475" s="462"/>
      <c r="CB3475" s="319"/>
      <c r="CC3475" s="319"/>
      <c r="CD3475" s="319"/>
      <c r="CE3475" s="319"/>
      <c r="CF3475" s="319"/>
      <c r="CG3475" s="319"/>
      <c r="CH3475" s="318"/>
      <c r="CI3475" s="319"/>
      <c r="CJ3475" s="319"/>
      <c r="CK3475" s="342"/>
      <c r="CL3475" s="333"/>
      <c r="CM3475" s="1079"/>
      <c r="CN3475" s="1005"/>
      <c r="CO3475" s="1005"/>
      <c r="CP3475" s="1005"/>
    </row>
    <row r="3476">
      <c r="A3476" s="1257"/>
      <c r="B3476" s="1113"/>
      <c r="C3476" s="1107"/>
      <c r="D3476" s="103"/>
      <c r="E3476" s="1137"/>
      <c r="F3476" s="112"/>
      <c r="G3476" s="1110"/>
      <c r="H3476" s="1138"/>
      <c r="I3476" s="1138"/>
      <c r="J3476" s="1139"/>
      <c r="K3476" s="1111"/>
      <c r="L3476" s="1112"/>
      <c r="M3476" s="1113"/>
      <c r="N3476" s="110"/>
      <c r="O3476" s="1140"/>
      <c r="P3476" s="1115"/>
      <c r="Q3476" s="1116"/>
      <c r="R3476" s="1141"/>
      <c r="S3476" s="1113"/>
      <c r="T3476" s="1143"/>
      <c r="U3476" s="1108"/>
      <c r="V3476" s="1108"/>
      <c r="W3476" s="1108"/>
      <c r="X3476" s="1108"/>
      <c r="Y3476" s="1108"/>
      <c r="Z3476" s="1114"/>
      <c r="AA3476" s="1114"/>
      <c r="AB3476" s="1114"/>
      <c r="AC3476" s="1117"/>
      <c r="AD3476" s="1115"/>
      <c r="AE3476" s="1115"/>
      <c r="AF3476" s="1115"/>
      <c r="AG3476" s="1115"/>
      <c r="AH3476" s="1115"/>
      <c r="AI3476" s="1115"/>
      <c r="AJ3476" s="1117"/>
      <c r="AK3476" s="1118"/>
      <c r="AL3476" s="1115"/>
      <c r="AM3476" s="1115"/>
      <c r="AN3476" s="1115"/>
      <c r="AO3476" s="1115"/>
      <c r="AP3476" s="1115"/>
      <c r="AQ3476" s="1115"/>
      <c r="AR3476" s="1115"/>
      <c r="AS3476" s="1117"/>
      <c r="AT3476" s="1075"/>
      <c r="AU3476" s="1193"/>
      <c r="AV3476" s="330"/>
      <c r="AW3476" s="331"/>
      <c r="AX3476" s="331"/>
      <c r="AY3476" s="331"/>
      <c r="AZ3476" s="331"/>
      <c r="BA3476" s="331"/>
      <c r="BB3476" s="331"/>
      <c r="BC3476" s="331"/>
      <c r="BD3476" s="331"/>
      <c r="BE3476" s="333"/>
      <c r="BF3476" s="330"/>
      <c r="BG3476" s="333"/>
      <c r="BH3476" s="1119"/>
      <c r="BI3476" s="319"/>
      <c r="BJ3476" s="319"/>
      <c r="BK3476" s="319"/>
      <c r="BL3476" s="319"/>
      <c r="BM3476" s="319"/>
      <c r="BN3476" s="319"/>
      <c r="BO3476" s="319"/>
      <c r="BP3476" s="953"/>
      <c r="BQ3476" s="319"/>
      <c r="BR3476" s="319"/>
      <c r="BS3476" s="330"/>
      <c r="BT3476" s="331"/>
      <c r="BU3476" s="920"/>
      <c r="BV3476" s="903"/>
      <c r="BW3476" s="908"/>
      <c r="BX3476" s="908"/>
      <c r="BY3476" s="331"/>
      <c r="BZ3476" s="331"/>
      <c r="CA3476" s="462"/>
      <c r="CB3476" s="319"/>
      <c r="CC3476" s="319"/>
      <c r="CD3476" s="319"/>
      <c r="CE3476" s="319"/>
      <c r="CF3476" s="319"/>
      <c r="CG3476" s="319"/>
      <c r="CH3476" s="318"/>
      <c r="CI3476" s="319"/>
      <c r="CJ3476" s="319"/>
      <c r="CK3476" s="342"/>
      <c r="CL3476" s="333"/>
      <c r="CM3476" s="1079"/>
      <c r="CN3476" s="1005"/>
      <c r="CO3476" s="1005"/>
      <c r="CP3476" s="1005"/>
    </row>
    <row r="3477">
      <c r="A3477" s="1257"/>
      <c r="B3477" s="1113"/>
      <c r="C3477" s="1107"/>
      <c r="D3477" s="103"/>
      <c r="E3477" s="1137"/>
      <c r="F3477" s="112"/>
      <c r="G3477" s="1110"/>
      <c r="H3477" s="1138"/>
      <c r="I3477" s="1138"/>
      <c r="J3477" s="1139"/>
      <c r="K3477" s="1111"/>
      <c r="L3477" s="1112"/>
      <c r="M3477" s="1113"/>
      <c r="N3477" s="110"/>
      <c r="O3477" s="1140"/>
      <c r="P3477" s="1115"/>
      <c r="Q3477" s="1116"/>
      <c r="R3477" s="1141"/>
      <c r="S3477" s="1113"/>
      <c r="T3477" s="1143"/>
      <c r="U3477" s="1108"/>
      <c r="V3477" s="1108"/>
      <c r="W3477" s="1108"/>
      <c r="X3477" s="1108"/>
      <c r="Y3477" s="1108"/>
      <c r="Z3477" s="1114"/>
      <c r="AA3477" s="1114"/>
      <c r="AB3477" s="1114"/>
      <c r="AC3477" s="1117"/>
      <c r="AD3477" s="1115"/>
      <c r="AE3477" s="1115"/>
      <c r="AF3477" s="1115"/>
      <c r="AG3477" s="1115"/>
      <c r="AH3477" s="1115"/>
      <c r="AI3477" s="1115"/>
      <c r="AJ3477" s="1117"/>
      <c r="AK3477" s="1118"/>
      <c r="AL3477" s="1115"/>
      <c r="AM3477" s="1115"/>
      <c r="AN3477" s="1115"/>
      <c r="AO3477" s="1115"/>
      <c r="AP3477" s="1115"/>
      <c r="AQ3477" s="1115"/>
      <c r="AR3477" s="1115"/>
      <c r="AS3477" s="1117"/>
      <c r="AT3477" s="1075"/>
      <c r="AU3477" s="1193"/>
      <c r="AV3477" s="330"/>
      <c r="AW3477" s="331"/>
      <c r="AX3477" s="331"/>
      <c r="AY3477" s="331"/>
      <c r="AZ3477" s="331"/>
      <c r="BA3477" s="331"/>
      <c r="BB3477" s="331"/>
      <c r="BC3477" s="331"/>
      <c r="BD3477" s="331"/>
      <c r="BE3477" s="333"/>
      <c r="BF3477" s="330"/>
      <c r="BG3477" s="333"/>
      <c r="BH3477" s="1119"/>
      <c r="BI3477" s="319"/>
      <c r="BJ3477" s="319"/>
      <c r="BK3477" s="319"/>
      <c r="BL3477" s="319"/>
      <c r="BM3477" s="319"/>
      <c r="BN3477" s="319"/>
      <c r="BO3477" s="319"/>
      <c r="BP3477" s="953"/>
      <c r="BQ3477" s="319"/>
      <c r="BR3477" s="319"/>
      <c r="BS3477" s="330"/>
      <c r="BT3477" s="331"/>
      <c r="BU3477" s="920"/>
      <c r="BV3477" s="903"/>
      <c r="BW3477" s="908"/>
      <c r="BX3477" s="908"/>
      <c r="BY3477" s="331"/>
      <c r="BZ3477" s="331"/>
      <c r="CA3477" s="462"/>
      <c r="CB3477" s="319"/>
      <c r="CC3477" s="319"/>
      <c r="CD3477" s="319"/>
      <c r="CE3477" s="319"/>
      <c r="CF3477" s="319"/>
      <c r="CG3477" s="319"/>
      <c r="CH3477" s="318"/>
      <c r="CI3477" s="319"/>
      <c r="CJ3477" s="319"/>
      <c r="CK3477" s="342"/>
      <c r="CL3477" s="333"/>
      <c r="CM3477" s="1079"/>
      <c r="CN3477" s="1005"/>
      <c r="CO3477" s="1005"/>
      <c r="CP3477" s="1005"/>
    </row>
    <row r="3478">
      <c r="A3478" s="1257"/>
      <c r="B3478" s="1113"/>
      <c r="C3478" s="1107"/>
      <c r="D3478" s="103"/>
      <c r="E3478" s="1137"/>
      <c r="F3478" s="112"/>
      <c r="G3478" s="1110"/>
      <c r="H3478" s="1138"/>
      <c r="I3478" s="1138"/>
      <c r="J3478" s="1139"/>
      <c r="K3478" s="1111"/>
      <c r="L3478" s="1112"/>
      <c r="M3478" s="1113"/>
      <c r="N3478" s="110"/>
      <c r="O3478" s="1140"/>
      <c r="P3478" s="1115"/>
      <c r="Q3478" s="1116"/>
      <c r="R3478" s="1141"/>
      <c r="S3478" s="1113"/>
      <c r="T3478" s="1143"/>
      <c r="U3478" s="1108"/>
      <c r="V3478" s="1108"/>
      <c r="W3478" s="1108"/>
      <c r="X3478" s="1108"/>
      <c r="Y3478" s="1108"/>
      <c r="Z3478" s="1114"/>
      <c r="AA3478" s="1114"/>
      <c r="AB3478" s="1114"/>
      <c r="AC3478" s="1117"/>
      <c r="AD3478" s="1115"/>
      <c r="AE3478" s="1115"/>
      <c r="AF3478" s="1115"/>
      <c r="AG3478" s="1115"/>
      <c r="AH3478" s="1115"/>
      <c r="AI3478" s="1115"/>
      <c r="AJ3478" s="1117"/>
      <c r="AK3478" s="1118"/>
      <c r="AL3478" s="1115"/>
      <c r="AM3478" s="1115"/>
      <c r="AN3478" s="1115"/>
      <c r="AO3478" s="1115"/>
      <c r="AP3478" s="1115"/>
      <c r="AQ3478" s="1115"/>
      <c r="AR3478" s="1115"/>
      <c r="AS3478" s="1117"/>
      <c r="AT3478" s="1075"/>
      <c r="AU3478" s="1193"/>
      <c r="AV3478" s="330"/>
      <c r="AW3478" s="331"/>
      <c r="AX3478" s="331"/>
      <c r="AY3478" s="331"/>
      <c r="AZ3478" s="331"/>
      <c r="BA3478" s="331"/>
      <c r="BB3478" s="331"/>
      <c r="BC3478" s="331"/>
      <c r="BD3478" s="331"/>
      <c r="BE3478" s="333"/>
      <c r="BF3478" s="330"/>
      <c r="BG3478" s="333"/>
      <c r="BH3478" s="1119"/>
      <c r="BI3478" s="319"/>
      <c r="BJ3478" s="319"/>
      <c r="BK3478" s="319"/>
      <c r="BL3478" s="319"/>
      <c r="BM3478" s="319"/>
      <c r="BN3478" s="319"/>
      <c r="BO3478" s="319"/>
      <c r="BP3478" s="953"/>
      <c r="BQ3478" s="319"/>
      <c r="BR3478" s="319"/>
      <c r="BS3478" s="330"/>
      <c r="BT3478" s="331"/>
      <c r="BU3478" s="920"/>
      <c r="BV3478" s="903"/>
      <c r="BW3478" s="908"/>
      <c r="BX3478" s="908"/>
      <c r="BY3478" s="331"/>
      <c r="BZ3478" s="331"/>
      <c r="CA3478" s="462"/>
      <c r="CB3478" s="319"/>
      <c r="CC3478" s="319"/>
      <c r="CD3478" s="319"/>
      <c r="CE3478" s="319"/>
      <c r="CF3478" s="319"/>
      <c r="CG3478" s="319"/>
      <c r="CH3478" s="318"/>
      <c r="CI3478" s="319"/>
      <c r="CJ3478" s="319"/>
      <c r="CK3478" s="342"/>
      <c r="CL3478" s="333"/>
      <c r="CM3478" s="1079"/>
      <c r="CN3478" s="1005"/>
      <c r="CO3478" s="1005"/>
      <c r="CP3478" s="1005"/>
    </row>
    <row r="3479">
      <c r="A3479" s="1257"/>
      <c r="B3479" s="1113"/>
      <c r="C3479" s="1107"/>
      <c r="D3479" s="103"/>
      <c r="E3479" s="1137"/>
      <c r="F3479" s="112"/>
      <c r="G3479" s="1110"/>
      <c r="H3479" s="1138"/>
      <c r="I3479" s="1138"/>
      <c r="J3479" s="1139"/>
      <c r="K3479" s="1111"/>
      <c r="L3479" s="1112"/>
      <c r="M3479" s="1113"/>
      <c r="N3479" s="110"/>
      <c r="O3479" s="1140"/>
      <c r="P3479" s="1115"/>
      <c r="Q3479" s="1116"/>
      <c r="R3479" s="1141"/>
      <c r="S3479" s="1113"/>
      <c r="T3479" s="1143"/>
      <c r="U3479" s="1108"/>
      <c r="V3479" s="1108"/>
      <c r="W3479" s="1108"/>
      <c r="X3479" s="1108"/>
      <c r="Y3479" s="1108"/>
      <c r="Z3479" s="1114"/>
      <c r="AA3479" s="1114"/>
      <c r="AB3479" s="1114"/>
      <c r="AC3479" s="1117"/>
      <c r="AD3479" s="1115"/>
      <c r="AE3479" s="1115"/>
      <c r="AF3479" s="1115"/>
      <c r="AG3479" s="1115"/>
      <c r="AH3479" s="1115"/>
      <c r="AI3479" s="1115"/>
      <c r="AJ3479" s="1117"/>
      <c r="AK3479" s="1118"/>
      <c r="AL3479" s="1115"/>
      <c r="AM3479" s="1115"/>
      <c r="AN3479" s="1115"/>
      <c r="AO3479" s="1115"/>
      <c r="AP3479" s="1115"/>
      <c r="AQ3479" s="1115"/>
      <c r="AR3479" s="1115"/>
      <c r="AS3479" s="1117"/>
      <c r="AT3479" s="1075"/>
      <c r="AU3479" s="1193"/>
      <c r="AV3479" s="330"/>
      <c r="AW3479" s="331"/>
      <c r="AX3479" s="331"/>
      <c r="AY3479" s="331"/>
      <c r="AZ3479" s="331"/>
      <c r="BA3479" s="331"/>
      <c r="BB3479" s="331"/>
      <c r="BC3479" s="331"/>
      <c r="BD3479" s="331"/>
      <c r="BE3479" s="333"/>
      <c r="BF3479" s="330"/>
      <c r="BG3479" s="333"/>
      <c r="BH3479" s="1119"/>
      <c r="BI3479" s="319"/>
      <c r="BJ3479" s="319"/>
      <c r="BK3479" s="319"/>
      <c r="BL3479" s="319"/>
      <c r="BM3479" s="319"/>
      <c r="BN3479" s="319"/>
      <c r="BO3479" s="319"/>
      <c r="BP3479" s="953"/>
      <c r="BQ3479" s="319"/>
      <c r="BR3479" s="319"/>
      <c r="BS3479" s="330"/>
      <c r="BT3479" s="331"/>
      <c r="BU3479" s="920"/>
      <c r="BV3479" s="903"/>
      <c r="BW3479" s="908"/>
      <c r="BX3479" s="908"/>
      <c r="BY3479" s="331"/>
      <c r="BZ3479" s="331"/>
      <c r="CA3479" s="462"/>
      <c r="CB3479" s="319"/>
      <c r="CC3479" s="319"/>
      <c r="CD3479" s="319"/>
      <c r="CE3479" s="319"/>
      <c r="CF3479" s="319"/>
      <c r="CG3479" s="319"/>
      <c r="CH3479" s="318"/>
      <c r="CI3479" s="319"/>
      <c r="CJ3479" s="319"/>
      <c r="CK3479" s="342"/>
      <c r="CL3479" s="333"/>
      <c r="CM3479" s="1079"/>
      <c r="CN3479" s="1005"/>
      <c r="CO3479" s="1005"/>
      <c r="CP3479" s="1005"/>
    </row>
    <row r="3480">
      <c r="A3480" s="1257"/>
      <c r="B3480" s="1113"/>
      <c r="C3480" s="1107"/>
      <c r="D3480" s="103"/>
      <c r="E3480" s="1137"/>
      <c r="F3480" s="112"/>
      <c r="G3480" s="1110"/>
      <c r="H3480" s="1138"/>
      <c r="I3480" s="1138"/>
      <c r="J3480" s="1139"/>
      <c r="K3480" s="1111"/>
      <c r="L3480" s="1112"/>
      <c r="M3480" s="1113"/>
      <c r="N3480" s="110"/>
      <c r="O3480" s="1140"/>
      <c r="P3480" s="1115"/>
      <c r="Q3480" s="1116"/>
      <c r="R3480" s="1141"/>
      <c r="S3480" s="1113"/>
      <c r="T3480" s="1143"/>
      <c r="U3480" s="1108"/>
      <c r="V3480" s="1108"/>
      <c r="W3480" s="1108"/>
      <c r="X3480" s="1108"/>
      <c r="Y3480" s="1108"/>
      <c r="Z3480" s="1114"/>
      <c r="AA3480" s="1114"/>
      <c r="AB3480" s="1114"/>
      <c r="AC3480" s="1117"/>
      <c r="AD3480" s="1115"/>
      <c r="AE3480" s="1115"/>
      <c r="AF3480" s="1115"/>
      <c r="AG3480" s="1115"/>
      <c r="AH3480" s="1115"/>
      <c r="AI3480" s="1115"/>
      <c r="AJ3480" s="1117"/>
      <c r="AK3480" s="1118"/>
      <c r="AL3480" s="1115"/>
      <c r="AM3480" s="1115"/>
      <c r="AN3480" s="1115"/>
      <c r="AO3480" s="1115"/>
      <c r="AP3480" s="1115"/>
      <c r="AQ3480" s="1115"/>
      <c r="AR3480" s="1115"/>
      <c r="AS3480" s="1117"/>
      <c r="AT3480" s="1075"/>
      <c r="AU3480" s="1193"/>
      <c r="AV3480" s="330"/>
      <c r="AW3480" s="331"/>
      <c r="AX3480" s="331"/>
      <c r="AY3480" s="331"/>
      <c r="AZ3480" s="331"/>
      <c r="BA3480" s="331"/>
      <c r="BB3480" s="331"/>
      <c r="BC3480" s="331"/>
      <c r="BD3480" s="331"/>
      <c r="BE3480" s="333"/>
      <c r="BF3480" s="330"/>
      <c r="BG3480" s="333"/>
      <c r="BH3480" s="1119"/>
      <c r="BI3480" s="319"/>
      <c r="BJ3480" s="319"/>
      <c r="BK3480" s="319"/>
      <c r="BL3480" s="319"/>
      <c r="BM3480" s="319"/>
      <c r="BN3480" s="319"/>
      <c r="BO3480" s="319"/>
      <c r="BP3480" s="953"/>
      <c r="BQ3480" s="319"/>
      <c r="BR3480" s="319"/>
      <c r="BS3480" s="330"/>
      <c r="BT3480" s="331"/>
      <c r="BU3480" s="920"/>
      <c r="BV3480" s="903"/>
      <c r="BW3480" s="908"/>
      <c r="BX3480" s="908"/>
      <c r="BY3480" s="331"/>
      <c r="BZ3480" s="331"/>
      <c r="CA3480" s="462"/>
      <c r="CB3480" s="319"/>
      <c r="CC3480" s="319"/>
      <c r="CD3480" s="319"/>
      <c r="CE3480" s="319"/>
      <c r="CF3480" s="319"/>
      <c r="CG3480" s="319"/>
      <c r="CH3480" s="318"/>
      <c r="CI3480" s="319"/>
      <c r="CJ3480" s="319"/>
      <c r="CK3480" s="342"/>
      <c r="CL3480" s="333"/>
      <c r="CM3480" s="1079"/>
      <c r="CN3480" s="1005"/>
      <c r="CO3480" s="1005"/>
      <c r="CP3480" s="1005"/>
    </row>
    <row r="3481">
      <c r="A3481" s="1257"/>
      <c r="B3481" s="1113"/>
      <c r="C3481" s="1107"/>
      <c r="D3481" s="103"/>
      <c r="E3481" s="1137"/>
      <c r="F3481" s="112"/>
      <c r="G3481" s="1110"/>
      <c r="H3481" s="1138"/>
      <c r="I3481" s="1138"/>
      <c r="J3481" s="1139"/>
      <c r="K3481" s="1111"/>
      <c r="L3481" s="1112"/>
      <c r="M3481" s="1113"/>
      <c r="N3481" s="110"/>
      <c r="O3481" s="1140"/>
      <c r="P3481" s="1115"/>
      <c r="Q3481" s="1116"/>
      <c r="R3481" s="1141"/>
      <c r="S3481" s="1113"/>
      <c r="T3481" s="1143"/>
      <c r="U3481" s="1108"/>
      <c r="V3481" s="1108"/>
      <c r="W3481" s="1108"/>
      <c r="X3481" s="1108"/>
      <c r="Y3481" s="1108"/>
      <c r="Z3481" s="1114"/>
      <c r="AA3481" s="1114"/>
      <c r="AB3481" s="1114"/>
      <c r="AC3481" s="1117"/>
      <c r="AD3481" s="1115"/>
      <c r="AE3481" s="1115"/>
      <c r="AF3481" s="1115"/>
      <c r="AG3481" s="1115"/>
      <c r="AH3481" s="1115"/>
      <c r="AI3481" s="1115"/>
      <c r="AJ3481" s="1117"/>
      <c r="AK3481" s="1118"/>
      <c r="AL3481" s="1115"/>
      <c r="AM3481" s="1115"/>
      <c r="AN3481" s="1115"/>
      <c r="AO3481" s="1115"/>
      <c r="AP3481" s="1115"/>
      <c r="AQ3481" s="1115"/>
      <c r="AR3481" s="1115"/>
      <c r="AS3481" s="1117"/>
      <c r="AT3481" s="1075"/>
      <c r="AU3481" s="1193"/>
      <c r="AV3481" s="330"/>
      <c r="AW3481" s="331"/>
      <c r="AX3481" s="331"/>
      <c r="AY3481" s="331"/>
      <c r="AZ3481" s="331"/>
      <c r="BA3481" s="331"/>
      <c r="BB3481" s="331"/>
      <c r="BC3481" s="331"/>
      <c r="BD3481" s="331"/>
      <c r="BE3481" s="333"/>
      <c r="BF3481" s="330"/>
      <c r="BG3481" s="333"/>
      <c r="BH3481" s="1119"/>
      <c r="BI3481" s="319"/>
      <c r="BJ3481" s="319"/>
      <c r="BK3481" s="319"/>
      <c r="BL3481" s="319"/>
      <c r="BM3481" s="319"/>
      <c r="BN3481" s="319"/>
      <c r="BO3481" s="319"/>
      <c r="BP3481" s="953"/>
      <c r="BQ3481" s="319"/>
      <c r="BR3481" s="319"/>
      <c r="BS3481" s="330"/>
      <c r="BT3481" s="331"/>
      <c r="BU3481" s="920"/>
      <c r="BV3481" s="903"/>
      <c r="BW3481" s="908"/>
      <c r="BX3481" s="908"/>
      <c r="BY3481" s="331"/>
      <c r="BZ3481" s="331"/>
      <c r="CA3481" s="462"/>
      <c r="CB3481" s="319"/>
      <c r="CC3481" s="319"/>
      <c r="CD3481" s="319"/>
      <c r="CE3481" s="319"/>
      <c r="CF3481" s="319"/>
      <c r="CG3481" s="319"/>
      <c r="CH3481" s="318"/>
      <c r="CI3481" s="319"/>
      <c r="CJ3481" s="319"/>
      <c r="CK3481" s="342"/>
      <c r="CL3481" s="333"/>
      <c r="CM3481" s="1079"/>
      <c r="CN3481" s="1005"/>
      <c r="CO3481" s="1005"/>
      <c r="CP3481" s="1005"/>
    </row>
    <row r="3482">
      <c r="A3482" s="1257"/>
      <c r="B3482" s="1113"/>
      <c r="C3482" s="1107"/>
      <c r="D3482" s="103"/>
      <c r="E3482" s="1137"/>
      <c r="F3482" s="112"/>
      <c r="G3482" s="1110"/>
      <c r="H3482" s="1138"/>
      <c r="I3482" s="1138"/>
      <c r="J3482" s="1139"/>
      <c r="K3482" s="1111"/>
      <c r="L3482" s="1112"/>
      <c r="M3482" s="1113"/>
      <c r="N3482" s="110"/>
      <c r="O3482" s="1140"/>
      <c r="P3482" s="1115"/>
      <c r="Q3482" s="1116"/>
      <c r="R3482" s="1141"/>
      <c r="S3482" s="1113"/>
      <c r="T3482" s="1143"/>
      <c r="U3482" s="1108"/>
      <c r="V3482" s="1108"/>
      <c r="W3482" s="1108"/>
      <c r="X3482" s="1108"/>
      <c r="Y3482" s="1108"/>
      <c r="Z3482" s="1114"/>
      <c r="AA3482" s="1114"/>
      <c r="AB3482" s="1114"/>
      <c r="AC3482" s="1117"/>
      <c r="AD3482" s="1115"/>
      <c r="AE3482" s="1115"/>
      <c r="AF3482" s="1115"/>
      <c r="AG3482" s="1115"/>
      <c r="AH3482" s="1115"/>
      <c r="AI3482" s="1115"/>
      <c r="AJ3482" s="1117"/>
      <c r="AK3482" s="1118"/>
      <c r="AL3482" s="1115"/>
      <c r="AM3482" s="1115"/>
      <c r="AN3482" s="1115"/>
      <c r="AO3482" s="1115"/>
      <c r="AP3482" s="1115"/>
      <c r="AQ3482" s="1115"/>
      <c r="AR3482" s="1115"/>
      <c r="AS3482" s="1117"/>
      <c r="AT3482" s="1075"/>
      <c r="AU3482" s="1193"/>
      <c r="AV3482" s="330"/>
      <c r="AW3482" s="331"/>
      <c r="AX3482" s="331"/>
      <c r="AY3482" s="331"/>
      <c r="AZ3482" s="331"/>
      <c r="BA3482" s="331"/>
      <c r="BB3482" s="331"/>
      <c r="BC3482" s="331"/>
      <c r="BD3482" s="331"/>
      <c r="BE3482" s="333"/>
      <c r="BF3482" s="330"/>
      <c r="BG3482" s="333"/>
      <c r="BH3482" s="1119"/>
      <c r="BI3482" s="319"/>
      <c r="BJ3482" s="319"/>
      <c r="BK3482" s="319"/>
      <c r="BL3482" s="319"/>
      <c r="BM3482" s="319"/>
      <c r="BN3482" s="319"/>
      <c r="BO3482" s="319"/>
      <c r="BP3482" s="953"/>
      <c r="BQ3482" s="319"/>
      <c r="BR3482" s="319"/>
      <c r="BS3482" s="330"/>
      <c r="BT3482" s="331"/>
      <c r="BU3482" s="920"/>
      <c r="BV3482" s="903"/>
      <c r="BW3482" s="908"/>
      <c r="BX3482" s="908"/>
      <c r="BY3482" s="331"/>
      <c r="BZ3482" s="331"/>
      <c r="CA3482" s="462"/>
      <c r="CB3482" s="319"/>
      <c r="CC3482" s="319"/>
      <c r="CD3482" s="319"/>
      <c r="CE3482" s="319"/>
      <c r="CF3482" s="319"/>
      <c r="CG3482" s="319"/>
      <c r="CH3482" s="318"/>
      <c r="CI3482" s="319"/>
      <c r="CJ3482" s="319"/>
      <c r="CK3482" s="342"/>
      <c r="CL3482" s="333"/>
      <c r="CM3482" s="1079"/>
      <c r="CN3482" s="1005"/>
      <c r="CO3482" s="1005"/>
      <c r="CP3482" s="1005"/>
    </row>
    <row r="3483">
      <c r="A3483" s="1257"/>
      <c r="B3483" s="1113"/>
      <c r="C3483" s="1107"/>
      <c r="D3483" s="103"/>
      <c r="E3483" s="1137"/>
      <c r="F3483" s="112"/>
      <c r="G3483" s="1110"/>
      <c r="H3483" s="1138"/>
      <c r="I3483" s="1138"/>
      <c r="J3483" s="1139"/>
      <c r="K3483" s="1111"/>
      <c r="L3483" s="1112"/>
      <c r="M3483" s="1113"/>
      <c r="N3483" s="110"/>
      <c r="O3483" s="1140"/>
      <c r="P3483" s="1115"/>
      <c r="Q3483" s="1116"/>
      <c r="R3483" s="1141"/>
      <c r="S3483" s="1113"/>
      <c r="T3483" s="1143"/>
      <c r="U3483" s="1108"/>
      <c r="V3483" s="1108"/>
      <c r="W3483" s="1108"/>
      <c r="X3483" s="1108"/>
      <c r="Y3483" s="1108"/>
      <c r="Z3483" s="1114"/>
      <c r="AA3483" s="1114"/>
      <c r="AB3483" s="1114"/>
      <c r="AC3483" s="1117"/>
      <c r="AD3483" s="1115"/>
      <c r="AE3483" s="1115"/>
      <c r="AF3483" s="1115"/>
      <c r="AG3483" s="1115"/>
      <c r="AH3483" s="1115"/>
      <c r="AI3483" s="1115"/>
      <c r="AJ3483" s="1117"/>
      <c r="AK3483" s="1118"/>
      <c r="AL3483" s="1115"/>
      <c r="AM3483" s="1115"/>
      <c r="AN3483" s="1115"/>
      <c r="AO3483" s="1115"/>
      <c r="AP3483" s="1115"/>
      <c r="AQ3483" s="1115"/>
      <c r="AR3483" s="1115"/>
      <c r="AS3483" s="1117"/>
      <c r="AT3483" s="1075"/>
      <c r="AU3483" s="1193"/>
      <c r="AV3483" s="330"/>
      <c r="AW3483" s="331"/>
      <c r="AX3483" s="331"/>
      <c r="AY3483" s="331"/>
      <c r="AZ3483" s="331"/>
      <c r="BA3483" s="331"/>
      <c r="BB3483" s="331"/>
      <c r="BC3483" s="331"/>
      <c r="BD3483" s="331"/>
      <c r="BE3483" s="333"/>
      <c r="BF3483" s="330"/>
      <c r="BG3483" s="333"/>
      <c r="BH3483" s="1119"/>
      <c r="BI3483" s="319"/>
      <c r="BJ3483" s="319"/>
      <c r="BK3483" s="319"/>
      <c r="BL3483" s="319"/>
      <c r="BM3483" s="319"/>
      <c r="BN3483" s="319"/>
      <c r="BO3483" s="319"/>
      <c r="BP3483" s="953"/>
      <c r="BQ3483" s="319"/>
      <c r="BR3483" s="319"/>
      <c r="BS3483" s="330"/>
      <c r="BT3483" s="331"/>
      <c r="BU3483" s="920"/>
      <c r="BV3483" s="903"/>
      <c r="BW3483" s="908"/>
      <c r="BX3483" s="908"/>
      <c r="BY3483" s="331"/>
      <c r="BZ3483" s="331"/>
      <c r="CA3483" s="462"/>
      <c r="CB3483" s="319"/>
      <c r="CC3483" s="319"/>
      <c r="CD3483" s="319"/>
      <c r="CE3483" s="319"/>
      <c r="CF3483" s="319"/>
      <c r="CG3483" s="319"/>
      <c r="CH3483" s="318"/>
      <c r="CI3483" s="319"/>
      <c r="CJ3483" s="319"/>
      <c r="CK3483" s="342"/>
      <c r="CL3483" s="333"/>
      <c r="CM3483" s="1079"/>
      <c r="CN3483" s="1005"/>
      <c r="CO3483" s="1005"/>
      <c r="CP3483" s="1005"/>
    </row>
    <row r="3484">
      <c r="A3484" s="1257"/>
      <c r="B3484" s="1113"/>
      <c r="C3484" s="1107"/>
      <c r="D3484" s="103"/>
      <c r="E3484" s="1137"/>
      <c r="F3484" s="112"/>
      <c r="G3484" s="1110"/>
      <c r="H3484" s="1138"/>
      <c r="I3484" s="1138"/>
      <c r="J3484" s="1139"/>
      <c r="K3484" s="1111"/>
      <c r="L3484" s="1112"/>
      <c r="M3484" s="1113"/>
      <c r="N3484" s="110"/>
      <c r="O3484" s="1140"/>
      <c r="P3484" s="1115"/>
      <c r="Q3484" s="1116"/>
      <c r="R3484" s="1141"/>
      <c r="S3484" s="1113"/>
      <c r="T3484" s="1143"/>
      <c r="U3484" s="1108"/>
      <c r="V3484" s="1108"/>
      <c r="W3484" s="1108"/>
      <c r="X3484" s="1108"/>
      <c r="Y3484" s="1108"/>
      <c r="Z3484" s="1114"/>
      <c r="AA3484" s="1114"/>
      <c r="AB3484" s="1114"/>
      <c r="AC3484" s="1117"/>
      <c r="AD3484" s="1115"/>
      <c r="AE3484" s="1115"/>
      <c r="AF3484" s="1115"/>
      <c r="AG3484" s="1115"/>
      <c r="AH3484" s="1115"/>
      <c r="AI3484" s="1115"/>
      <c r="AJ3484" s="1117"/>
      <c r="AK3484" s="1118"/>
      <c r="AL3484" s="1115"/>
      <c r="AM3484" s="1115"/>
      <c r="AN3484" s="1115"/>
      <c r="AO3484" s="1115"/>
      <c r="AP3484" s="1115"/>
      <c r="AQ3484" s="1115"/>
      <c r="AR3484" s="1115"/>
      <c r="AS3484" s="1117"/>
      <c r="AT3484" s="1075"/>
      <c r="AU3484" s="1193"/>
      <c r="AV3484" s="330"/>
      <c r="AW3484" s="331"/>
      <c r="AX3484" s="331"/>
      <c r="AY3484" s="331"/>
      <c r="AZ3484" s="331"/>
      <c r="BA3484" s="331"/>
      <c r="BB3484" s="331"/>
      <c r="BC3484" s="331"/>
      <c r="BD3484" s="331"/>
      <c r="BE3484" s="333"/>
      <c r="BF3484" s="330"/>
      <c r="BG3484" s="333"/>
      <c r="BH3484" s="1119"/>
      <c r="BI3484" s="319"/>
      <c r="BJ3484" s="319"/>
      <c r="BK3484" s="319"/>
      <c r="BL3484" s="319"/>
      <c r="BM3484" s="319"/>
      <c r="BN3484" s="319"/>
      <c r="BO3484" s="319"/>
      <c r="BP3484" s="953"/>
      <c r="BQ3484" s="319"/>
      <c r="BR3484" s="319"/>
      <c r="BS3484" s="330"/>
      <c r="BT3484" s="331"/>
      <c r="BU3484" s="920"/>
      <c r="BV3484" s="903"/>
      <c r="BW3484" s="908"/>
      <c r="BX3484" s="908"/>
      <c r="BY3484" s="331"/>
      <c r="BZ3484" s="331"/>
      <c r="CA3484" s="462"/>
      <c r="CB3484" s="319"/>
      <c r="CC3484" s="319"/>
      <c r="CD3484" s="319"/>
      <c r="CE3484" s="319"/>
      <c r="CF3484" s="319"/>
      <c r="CG3484" s="319"/>
      <c r="CH3484" s="318"/>
      <c r="CI3484" s="319"/>
      <c r="CJ3484" s="319"/>
      <c r="CK3484" s="342"/>
      <c r="CL3484" s="333"/>
      <c r="CM3484" s="1079"/>
      <c r="CN3484" s="1005"/>
      <c r="CO3484" s="1005"/>
      <c r="CP3484" s="1005"/>
    </row>
    <row r="3485">
      <c r="A3485" s="1257"/>
      <c r="B3485" s="1113"/>
      <c r="C3485" s="1107"/>
      <c r="D3485" s="103"/>
      <c r="E3485" s="1137"/>
      <c r="F3485" s="112"/>
      <c r="G3485" s="1110"/>
      <c r="H3485" s="1138"/>
      <c r="I3485" s="1138"/>
      <c r="J3485" s="1139"/>
      <c r="K3485" s="1111"/>
      <c r="L3485" s="1112"/>
      <c r="M3485" s="1113"/>
      <c r="N3485" s="110"/>
      <c r="O3485" s="1140"/>
      <c r="P3485" s="1115"/>
      <c r="Q3485" s="1116"/>
      <c r="R3485" s="1141"/>
      <c r="S3485" s="1113"/>
      <c r="T3485" s="1143"/>
      <c r="U3485" s="1108"/>
      <c r="V3485" s="1108"/>
      <c r="W3485" s="1108"/>
      <c r="X3485" s="1108"/>
      <c r="Y3485" s="1108"/>
      <c r="Z3485" s="1114"/>
      <c r="AA3485" s="1114"/>
      <c r="AB3485" s="1114"/>
      <c r="AC3485" s="1117"/>
      <c r="AD3485" s="1115"/>
      <c r="AE3485" s="1115"/>
      <c r="AF3485" s="1115"/>
      <c r="AG3485" s="1115"/>
      <c r="AH3485" s="1115"/>
      <c r="AI3485" s="1115"/>
      <c r="AJ3485" s="1117"/>
      <c r="AK3485" s="1118"/>
      <c r="AL3485" s="1115"/>
      <c r="AM3485" s="1115"/>
      <c r="AN3485" s="1115"/>
      <c r="AO3485" s="1115"/>
      <c r="AP3485" s="1115"/>
      <c r="AQ3485" s="1115"/>
      <c r="AR3485" s="1115"/>
      <c r="AS3485" s="1117"/>
      <c r="AT3485" s="1075"/>
      <c r="AU3485" s="1193"/>
      <c r="AV3485" s="330"/>
      <c r="AW3485" s="331"/>
      <c r="AX3485" s="331"/>
      <c r="AY3485" s="331"/>
      <c r="AZ3485" s="331"/>
      <c r="BA3485" s="331"/>
      <c r="BB3485" s="331"/>
      <c r="BC3485" s="331"/>
      <c r="BD3485" s="331"/>
      <c r="BE3485" s="333"/>
      <c r="BF3485" s="330"/>
      <c r="BG3485" s="333"/>
      <c r="BH3485" s="1119"/>
      <c r="BI3485" s="319"/>
      <c r="BJ3485" s="319"/>
      <c r="BK3485" s="319"/>
      <c r="BL3485" s="319"/>
      <c r="BM3485" s="319"/>
      <c r="BN3485" s="319"/>
      <c r="BO3485" s="319"/>
      <c r="BP3485" s="953"/>
      <c r="BQ3485" s="319"/>
      <c r="BR3485" s="319"/>
      <c r="BS3485" s="330"/>
      <c r="BT3485" s="331"/>
      <c r="BU3485" s="920"/>
      <c r="BV3485" s="903"/>
      <c r="BW3485" s="908"/>
      <c r="BX3485" s="908"/>
      <c r="BY3485" s="331"/>
      <c r="BZ3485" s="331"/>
      <c r="CA3485" s="462"/>
      <c r="CB3485" s="319"/>
      <c r="CC3485" s="319"/>
      <c r="CD3485" s="319"/>
      <c r="CE3485" s="319"/>
      <c r="CF3485" s="319"/>
      <c r="CG3485" s="319"/>
      <c r="CH3485" s="318"/>
      <c r="CI3485" s="319"/>
      <c r="CJ3485" s="319"/>
      <c r="CK3485" s="342"/>
      <c r="CL3485" s="333"/>
      <c r="CM3485" s="1079"/>
      <c r="CN3485" s="1005"/>
      <c r="CO3485" s="1005"/>
      <c r="CP3485" s="1005"/>
    </row>
    <row r="3486">
      <c r="A3486" s="1257"/>
      <c r="B3486" s="1113"/>
      <c r="C3486" s="1107"/>
      <c r="D3486" s="103"/>
      <c r="E3486" s="1137"/>
      <c r="F3486" s="112"/>
      <c r="G3486" s="1110"/>
      <c r="H3486" s="1138"/>
      <c r="I3486" s="1138"/>
      <c r="J3486" s="1139"/>
      <c r="K3486" s="1111"/>
      <c r="L3486" s="1112"/>
      <c r="M3486" s="1113"/>
      <c r="N3486" s="110"/>
      <c r="O3486" s="1140"/>
      <c r="P3486" s="1115"/>
      <c r="Q3486" s="1116"/>
      <c r="R3486" s="1141"/>
      <c r="S3486" s="1113"/>
      <c r="T3486" s="1143"/>
      <c r="U3486" s="1108"/>
      <c r="V3486" s="1108"/>
      <c r="W3486" s="1108"/>
      <c r="X3486" s="1108"/>
      <c r="Y3486" s="1108"/>
      <c r="Z3486" s="1114"/>
      <c r="AA3486" s="1114"/>
      <c r="AB3486" s="1114"/>
      <c r="AC3486" s="1117"/>
      <c r="AD3486" s="1115"/>
      <c r="AE3486" s="1115"/>
      <c r="AF3486" s="1115"/>
      <c r="AG3486" s="1115"/>
      <c r="AH3486" s="1115"/>
      <c r="AI3486" s="1115"/>
      <c r="AJ3486" s="1117"/>
      <c r="AK3486" s="1118"/>
      <c r="AL3486" s="1115"/>
      <c r="AM3486" s="1115"/>
      <c r="AN3486" s="1115"/>
      <c r="AO3486" s="1115"/>
      <c r="AP3486" s="1115"/>
      <c r="AQ3486" s="1115"/>
      <c r="AR3486" s="1115"/>
      <c r="AS3486" s="1117"/>
      <c r="AT3486" s="1075"/>
      <c r="AU3486" s="1193"/>
      <c r="AV3486" s="330"/>
      <c r="AW3486" s="331"/>
      <c r="AX3486" s="331"/>
      <c r="AY3486" s="331"/>
      <c r="AZ3486" s="331"/>
      <c r="BA3486" s="331"/>
      <c r="BB3486" s="331"/>
      <c r="BC3486" s="331"/>
      <c r="BD3486" s="331"/>
      <c r="BE3486" s="333"/>
      <c r="BF3486" s="330"/>
      <c r="BG3486" s="333"/>
      <c r="BH3486" s="1119"/>
      <c r="BI3486" s="319"/>
      <c r="BJ3486" s="319"/>
      <c r="BK3486" s="319"/>
      <c r="BL3486" s="319"/>
      <c r="BM3486" s="319"/>
      <c r="BN3486" s="319"/>
      <c r="BO3486" s="319"/>
      <c r="BP3486" s="953"/>
      <c r="BQ3486" s="319"/>
      <c r="BR3486" s="319"/>
      <c r="BS3486" s="330"/>
      <c r="BT3486" s="331"/>
      <c r="BU3486" s="920"/>
      <c r="BV3486" s="903"/>
      <c r="BW3486" s="908"/>
      <c r="BX3486" s="908"/>
      <c r="BY3486" s="331"/>
      <c r="BZ3486" s="331"/>
      <c r="CA3486" s="462"/>
      <c r="CB3486" s="319"/>
      <c r="CC3486" s="319"/>
      <c r="CD3486" s="319"/>
      <c r="CE3486" s="319"/>
      <c r="CF3486" s="319"/>
      <c r="CG3486" s="319"/>
      <c r="CH3486" s="318"/>
      <c r="CI3486" s="319"/>
      <c r="CJ3486" s="319"/>
      <c r="CK3486" s="342"/>
      <c r="CL3486" s="333"/>
      <c r="CM3486" s="1079"/>
      <c r="CN3486" s="1005"/>
      <c r="CO3486" s="1005"/>
      <c r="CP3486" s="1005"/>
    </row>
    <row r="3487">
      <c r="A3487" s="1257"/>
      <c r="B3487" s="1113"/>
      <c r="C3487" s="1107"/>
      <c r="D3487" s="103"/>
      <c r="E3487" s="1137"/>
      <c r="F3487" s="112"/>
      <c r="G3487" s="1110"/>
      <c r="H3487" s="1138"/>
      <c r="I3487" s="1138"/>
      <c r="J3487" s="1139"/>
      <c r="K3487" s="1111"/>
      <c r="L3487" s="1112"/>
      <c r="M3487" s="1113"/>
      <c r="N3487" s="110"/>
      <c r="O3487" s="1140"/>
      <c r="P3487" s="1115"/>
      <c r="Q3487" s="1116"/>
      <c r="R3487" s="1141"/>
      <c r="S3487" s="1113"/>
      <c r="T3487" s="1143"/>
      <c r="U3487" s="1108"/>
      <c r="V3487" s="1108"/>
      <c r="W3487" s="1108"/>
      <c r="X3487" s="1108"/>
      <c r="Y3487" s="1108"/>
      <c r="Z3487" s="1114"/>
      <c r="AA3487" s="1114"/>
      <c r="AB3487" s="1114"/>
      <c r="AC3487" s="1117"/>
      <c r="AD3487" s="1115"/>
      <c r="AE3487" s="1115"/>
      <c r="AF3487" s="1115"/>
      <c r="AG3487" s="1115"/>
      <c r="AH3487" s="1115"/>
      <c r="AI3487" s="1115"/>
      <c r="AJ3487" s="1117"/>
      <c r="AK3487" s="1118"/>
      <c r="AL3487" s="1115"/>
      <c r="AM3487" s="1115"/>
      <c r="AN3487" s="1115"/>
      <c r="AO3487" s="1115"/>
      <c r="AP3487" s="1115"/>
      <c r="AQ3487" s="1115"/>
      <c r="AR3487" s="1115"/>
      <c r="AS3487" s="1117"/>
      <c r="AT3487" s="1075"/>
      <c r="AU3487" s="1193"/>
      <c r="AV3487" s="330"/>
      <c r="AW3487" s="331"/>
      <c r="AX3487" s="331"/>
      <c r="AY3487" s="331"/>
      <c r="AZ3487" s="331"/>
      <c r="BA3487" s="331"/>
      <c r="BB3487" s="331"/>
      <c r="BC3487" s="331"/>
      <c r="BD3487" s="331"/>
      <c r="BE3487" s="333"/>
      <c r="BF3487" s="330"/>
      <c r="BG3487" s="333"/>
      <c r="BH3487" s="1119"/>
      <c r="BI3487" s="319"/>
      <c r="BJ3487" s="319"/>
      <c r="BK3487" s="319"/>
      <c r="BL3487" s="319"/>
      <c r="BM3487" s="319"/>
      <c r="BN3487" s="319"/>
      <c r="BO3487" s="319"/>
      <c r="BP3487" s="953"/>
      <c r="BQ3487" s="319"/>
      <c r="BR3487" s="319"/>
      <c r="BS3487" s="330"/>
      <c r="BT3487" s="331"/>
      <c r="BU3487" s="920"/>
      <c r="BV3487" s="903"/>
      <c r="BW3487" s="908"/>
      <c r="BX3487" s="908"/>
      <c r="BY3487" s="331"/>
      <c r="BZ3487" s="331"/>
      <c r="CA3487" s="462"/>
      <c r="CB3487" s="319"/>
      <c r="CC3487" s="319"/>
      <c r="CD3487" s="319"/>
      <c r="CE3487" s="319"/>
      <c r="CF3487" s="319"/>
      <c r="CG3487" s="319"/>
      <c r="CH3487" s="318"/>
      <c r="CI3487" s="319"/>
      <c r="CJ3487" s="319"/>
      <c r="CK3487" s="342"/>
      <c r="CL3487" s="333"/>
      <c r="CM3487" s="1079"/>
      <c r="CN3487" s="1005"/>
      <c r="CO3487" s="1005"/>
      <c r="CP3487" s="1005"/>
    </row>
    <row r="3488">
      <c r="A3488" s="1257"/>
      <c r="B3488" s="1113"/>
      <c r="C3488" s="1107"/>
      <c r="D3488" s="103"/>
      <c r="E3488" s="1137"/>
      <c r="F3488" s="112"/>
      <c r="G3488" s="1110"/>
      <c r="H3488" s="1138"/>
      <c r="I3488" s="1138"/>
      <c r="J3488" s="1139"/>
      <c r="K3488" s="1111"/>
      <c r="L3488" s="1112"/>
      <c r="M3488" s="1113"/>
      <c r="N3488" s="110"/>
      <c r="O3488" s="1140"/>
      <c r="P3488" s="1115"/>
      <c r="Q3488" s="1116"/>
      <c r="R3488" s="1141"/>
      <c r="S3488" s="1113"/>
      <c r="T3488" s="1143"/>
      <c r="U3488" s="1108"/>
      <c r="V3488" s="1108"/>
      <c r="W3488" s="1108"/>
      <c r="X3488" s="1108"/>
      <c r="Y3488" s="1108"/>
      <c r="Z3488" s="1114"/>
      <c r="AA3488" s="1114"/>
      <c r="AB3488" s="1114"/>
      <c r="AC3488" s="1117"/>
      <c r="AD3488" s="1115"/>
      <c r="AE3488" s="1115"/>
      <c r="AF3488" s="1115"/>
      <c r="AG3488" s="1115"/>
      <c r="AH3488" s="1115"/>
      <c r="AI3488" s="1115"/>
      <c r="AJ3488" s="1117"/>
      <c r="AK3488" s="1118"/>
      <c r="AL3488" s="1115"/>
      <c r="AM3488" s="1115"/>
      <c r="AN3488" s="1115"/>
      <c r="AO3488" s="1115"/>
      <c r="AP3488" s="1115"/>
      <c r="AQ3488" s="1115"/>
      <c r="AR3488" s="1115"/>
      <c r="AS3488" s="1117"/>
      <c r="AT3488" s="1075"/>
      <c r="AU3488" s="1193"/>
      <c r="AV3488" s="330"/>
      <c r="AW3488" s="331"/>
      <c r="AX3488" s="331"/>
      <c r="AY3488" s="331"/>
      <c r="AZ3488" s="331"/>
      <c r="BA3488" s="331"/>
      <c r="BB3488" s="331"/>
      <c r="BC3488" s="331"/>
      <c r="BD3488" s="331"/>
      <c r="BE3488" s="333"/>
      <c r="BF3488" s="330"/>
      <c r="BG3488" s="333"/>
      <c r="BH3488" s="1119"/>
      <c r="BI3488" s="319"/>
      <c r="BJ3488" s="319"/>
      <c r="BK3488" s="319"/>
      <c r="BL3488" s="319"/>
      <c r="BM3488" s="319"/>
      <c r="BN3488" s="319"/>
      <c r="BO3488" s="319"/>
      <c r="BP3488" s="953"/>
      <c r="BQ3488" s="319"/>
      <c r="BR3488" s="319"/>
      <c r="BS3488" s="330"/>
      <c r="BT3488" s="331"/>
      <c r="BU3488" s="920"/>
      <c r="BV3488" s="903"/>
      <c r="BW3488" s="908"/>
      <c r="BX3488" s="908"/>
      <c r="BY3488" s="331"/>
      <c r="BZ3488" s="331"/>
      <c r="CA3488" s="462"/>
      <c r="CB3488" s="319"/>
      <c r="CC3488" s="319"/>
      <c r="CD3488" s="319"/>
      <c r="CE3488" s="319"/>
      <c r="CF3488" s="319"/>
      <c r="CG3488" s="319"/>
      <c r="CH3488" s="318"/>
      <c r="CI3488" s="319"/>
      <c r="CJ3488" s="319"/>
      <c r="CK3488" s="342"/>
      <c r="CL3488" s="333"/>
      <c r="CM3488" s="1079"/>
      <c r="CN3488" s="1005"/>
      <c r="CO3488" s="1005"/>
      <c r="CP3488" s="1005"/>
    </row>
    <row r="3489">
      <c r="A3489" s="1257"/>
      <c r="B3489" s="1113"/>
      <c r="C3489" s="1107"/>
      <c r="D3489" s="103"/>
      <c r="E3489" s="1137"/>
      <c r="F3489" s="112"/>
      <c r="G3489" s="1110"/>
      <c r="H3489" s="1138"/>
      <c r="I3489" s="1138"/>
      <c r="J3489" s="1139"/>
      <c r="K3489" s="1111"/>
      <c r="L3489" s="1112"/>
      <c r="M3489" s="1113"/>
      <c r="N3489" s="110"/>
      <c r="O3489" s="1140"/>
      <c r="P3489" s="1115"/>
      <c r="Q3489" s="1116"/>
      <c r="R3489" s="1141"/>
      <c r="S3489" s="1113"/>
      <c r="T3489" s="1143"/>
      <c r="U3489" s="1108"/>
      <c r="V3489" s="1108"/>
      <c r="W3489" s="1108"/>
      <c r="X3489" s="1108"/>
      <c r="Y3489" s="1108"/>
      <c r="Z3489" s="1114"/>
      <c r="AA3489" s="1114"/>
      <c r="AB3489" s="1114"/>
      <c r="AC3489" s="1117"/>
      <c r="AD3489" s="1115"/>
      <c r="AE3489" s="1115"/>
      <c r="AF3489" s="1115"/>
      <c r="AG3489" s="1115"/>
      <c r="AH3489" s="1115"/>
      <c r="AI3489" s="1115"/>
      <c r="AJ3489" s="1117"/>
      <c r="AK3489" s="1118"/>
      <c r="AL3489" s="1115"/>
      <c r="AM3489" s="1115"/>
      <c r="AN3489" s="1115"/>
      <c r="AO3489" s="1115"/>
      <c r="AP3489" s="1115"/>
      <c r="AQ3489" s="1115"/>
      <c r="AR3489" s="1115"/>
      <c r="AS3489" s="1117"/>
      <c r="AT3489" s="1075"/>
      <c r="AU3489" s="1193"/>
      <c r="AV3489" s="330"/>
      <c r="AW3489" s="331"/>
      <c r="AX3489" s="331"/>
      <c r="AY3489" s="331"/>
      <c r="AZ3489" s="331"/>
      <c r="BA3489" s="331"/>
      <c r="BB3489" s="331"/>
      <c r="BC3489" s="331"/>
      <c r="BD3489" s="331"/>
      <c r="BE3489" s="333"/>
      <c r="BF3489" s="330"/>
      <c r="BG3489" s="333"/>
      <c r="BH3489" s="1119"/>
      <c r="BI3489" s="319"/>
      <c r="BJ3489" s="319"/>
      <c r="BK3489" s="319"/>
      <c r="BL3489" s="319"/>
      <c r="BM3489" s="319"/>
      <c r="BN3489" s="319"/>
      <c r="BO3489" s="319"/>
      <c r="BP3489" s="953"/>
      <c r="BQ3489" s="319"/>
      <c r="BR3489" s="319"/>
      <c r="BS3489" s="330"/>
      <c r="BT3489" s="331"/>
      <c r="BU3489" s="920"/>
      <c r="BV3489" s="903"/>
      <c r="BW3489" s="908"/>
      <c r="BX3489" s="908"/>
      <c r="BY3489" s="331"/>
      <c r="BZ3489" s="331"/>
      <c r="CA3489" s="462"/>
      <c r="CB3489" s="319"/>
      <c r="CC3489" s="319"/>
      <c r="CD3489" s="319"/>
      <c r="CE3489" s="319"/>
      <c r="CF3489" s="319"/>
      <c r="CG3489" s="319"/>
      <c r="CH3489" s="318"/>
      <c r="CI3489" s="319"/>
      <c r="CJ3489" s="319"/>
      <c r="CK3489" s="342"/>
      <c r="CL3489" s="333"/>
      <c r="CM3489" s="1079"/>
      <c r="CN3489" s="1005"/>
      <c r="CO3489" s="1005"/>
      <c r="CP3489" s="1005"/>
    </row>
    <row r="3490">
      <c r="A3490" s="1257"/>
      <c r="B3490" s="1113"/>
      <c r="C3490" s="1107"/>
      <c r="D3490" s="103"/>
      <c r="E3490" s="1137"/>
      <c r="F3490" s="112"/>
      <c r="G3490" s="1110"/>
      <c r="H3490" s="1138"/>
      <c r="I3490" s="1138"/>
      <c r="J3490" s="1139"/>
      <c r="K3490" s="1111"/>
      <c r="L3490" s="1112"/>
      <c r="M3490" s="1113"/>
      <c r="N3490" s="110"/>
      <c r="O3490" s="1140"/>
      <c r="P3490" s="1115"/>
      <c r="Q3490" s="1116"/>
      <c r="R3490" s="1141"/>
      <c r="S3490" s="1113"/>
      <c r="T3490" s="1143"/>
      <c r="U3490" s="1108"/>
      <c r="V3490" s="1108"/>
      <c r="W3490" s="1108"/>
      <c r="X3490" s="1108"/>
      <c r="Y3490" s="1108"/>
      <c r="Z3490" s="1114"/>
      <c r="AA3490" s="1114"/>
      <c r="AB3490" s="1114"/>
      <c r="AC3490" s="1117"/>
      <c r="AD3490" s="1115"/>
      <c r="AE3490" s="1115"/>
      <c r="AF3490" s="1115"/>
      <c r="AG3490" s="1115"/>
      <c r="AH3490" s="1115"/>
      <c r="AI3490" s="1115"/>
      <c r="AJ3490" s="1117"/>
      <c r="AK3490" s="1118"/>
      <c r="AL3490" s="1115"/>
      <c r="AM3490" s="1115"/>
      <c r="AN3490" s="1115"/>
      <c r="AO3490" s="1115"/>
      <c r="AP3490" s="1115"/>
      <c r="AQ3490" s="1115"/>
      <c r="AR3490" s="1115"/>
      <c r="AS3490" s="1117"/>
      <c r="AT3490" s="1075"/>
      <c r="AU3490" s="1193"/>
      <c r="AV3490" s="330"/>
      <c r="AW3490" s="331"/>
      <c r="AX3490" s="331"/>
      <c r="AY3490" s="331"/>
      <c r="AZ3490" s="331"/>
      <c r="BA3490" s="331"/>
      <c r="BB3490" s="331"/>
      <c r="BC3490" s="331"/>
      <c r="BD3490" s="331"/>
      <c r="BE3490" s="333"/>
      <c r="BF3490" s="330"/>
      <c r="BG3490" s="333"/>
      <c r="BH3490" s="1119"/>
      <c r="BI3490" s="319"/>
      <c r="BJ3490" s="319"/>
      <c r="BK3490" s="319"/>
      <c r="BL3490" s="319"/>
      <c r="BM3490" s="319"/>
      <c r="BN3490" s="319"/>
      <c r="BO3490" s="319"/>
      <c r="BP3490" s="953"/>
      <c r="BQ3490" s="319"/>
      <c r="BR3490" s="319"/>
      <c r="BS3490" s="330"/>
      <c r="BT3490" s="331"/>
      <c r="BU3490" s="920"/>
      <c r="BV3490" s="903"/>
      <c r="BW3490" s="908"/>
      <c r="BX3490" s="908"/>
      <c r="BY3490" s="331"/>
      <c r="BZ3490" s="331"/>
      <c r="CA3490" s="462"/>
      <c r="CB3490" s="319"/>
      <c r="CC3490" s="319"/>
      <c r="CD3490" s="319"/>
      <c r="CE3490" s="319"/>
      <c r="CF3490" s="319"/>
      <c r="CG3490" s="319"/>
      <c r="CH3490" s="318"/>
      <c r="CI3490" s="319"/>
      <c r="CJ3490" s="319"/>
      <c r="CK3490" s="342"/>
      <c r="CL3490" s="333"/>
      <c r="CM3490" s="1079"/>
      <c r="CN3490" s="1005"/>
      <c r="CO3490" s="1005"/>
      <c r="CP3490" s="1005"/>
    </row>
    <row r="3491">
      <c r="A3491" s="1257"/>
      <c r="B3491" s="1113"/>
      <c r="C3491" s="1107"/>
      <c r="D3491" s="103"/>
      <c r="E3491" s="1137"/>
      <c r="F3491" s="112"/>
      <c r="G3491" s="1110"/>
      <c r="H3491" s="1138"/>
      <c r="I3491" s="1138"/>
      <c r="J3491" s="1139"/>
      <c r="K3491" s="1111"/>
      <c r="L3491" s="1112"/>
      <c r="M3491" s="1113"/>
      <c r="N3491" s="110"/>
      <c r="O3491" s="1140"/>
      <c r="P3491" s="1115"/>
      <c r="Q3491" s="1116"/>
      <c r="R3491" s="1141"/>
      <c r="S3491" s="1113"/>
      <c r="T3491" s="1143"/>
      <c r="U3491" s="1108"/>
      <c r="V3491" s="1108"/>
      <c r="W3491" s="1108"/>
      <c r="X3491" s="1108"/>
      <c r="Y3491" s="1108"/>
      <c r="Z3491" s="1114"/>
      <c r="AA3491" s="1114"/>
      <c r="AB3491" s="1114"/>
      <c r="AC3491" s="1117"/>
      <c r="AD3491" s="1115"/>
      <c r="AE3491" s="1115"/>
      <c r="AF3491" s="1115"/>
      <c r="AG3491" s="1115"/>
      <c r="AH3491" s="1115"/>
      <c r="AI3491" s="1115"/>
      <c r="AJ3491" s="1117"/>
      <c r="AK3491" s="1118"/>
      <c r="AL3491" s="1115"/>
      <c r="AM3491" s="1115"/>
      <c r="AN3491" s="1115"/>
      <c r="AO3491" s="1115"/>
      <c r="AP3491" s="1115"/>
      <c r="AQ3491" s="1115"/>
      <c r="AR3491" s="1115"/>
      <c r="AS3491" s="1117"/>
      <c r="AT3491" s="1075"/>
      <c r="AU3491" s="1193"/>
      <c r="AV3491" s="330"/>
      <c r="AW3491" s="331"/>
      <c r="AX3491" s="331"/>
      <c r="AY3491" s="331"/>
      <c r="AZ3491" s="331"/>
      <c r="BA3491" s="331"/>
      <c r="BB3491" s="331"/>
      <c r="BC3491" s="331"/>
      <c r="BD3491" s="331"/>
      <c r="BE3491" s="333"/>
      <c r="BF3491" s="330"/>
      <c r="BG3491" s="333"/>
      <c r="BH3491" s="1119"/>
      <c r="BI3491" s="319"/>
      <c r="BJ3491" s="319"/>
      <c r="BK3491" s="319"/>
      <c r="BL3491" s="319"/>
      <c r="BM3491" s="319"/>
      <c r="BN3491" s="319"/>
      <c r="BO3491" s="319"/>
      <c r="BP3491" s="953"/>
      <c r="BQ3491" s="319"/>
      <c r="BR3491" s="319"/>
      <c r="BS3491" s="330"/>
      <c r="BT3491" s="331"/>
      <c r="BU3491" s="920"/>
      <c r="BV3491" s="903"/>
      <c r="BW3491" s="908"/>
      <c r="BX3491" s="908"/>
      <c r="BY3491" s="331"/>
      <c r="BZ3491" s="331"/>
      <c r="CA3491" s="462"/>
      <c r="CB3491" s="319"/>
      <c r="CC3491" s="319"/>
      <c r="CD3491" s="319"/>
      <c r="CE3491" s="319"/>
      <c r="CF3491" s="319"/>
      <c r="CG3491" s="319"/>
      <c r="CH3491" s="318"/>
      <c r="CI3491" s="319"/>
      <c r="CJ3491" s="319"/>
      <c r="CK3491" s="342"/>
      <c r="CL3491" s="333"/>
      <c r="CM3491" s="1079"/>
      <c r="CN3491" s="1005"/>
      <c r="CO3491" s="1005"/>
      <c r="CP3491" s="1005"/>
    </row>
    <row r="3492">
      <c r="A3492" s="1257"/>
      <c r="B3492" s="1113"/>
      <c r="C3492" s="1107"/>
      <c r="D3492" s="103"/>
      <c r="E3492" s="1137"/>
      <c r="F3492" s="112"/>
      <c r="G3492" s="1110"/>
      <c r="H3492" s="1138"/>
      <c r="I3492" s="1138"/>
      <c r="J3492" s="1139"/>
      <c r="K3492" s="1111"/>
      <c r="L3492" s="1112"/>
      <c r="M3492" s="1113"/>
      <c r="N3492" s="110"/>
      <c r="O3492" s="1140"/>
      <c r="P3492" s="1115"/>
      <c r="Q3492" s="1116"/>
      <c r="R3492" s="1141"/>
      <c r="S3492" s="1113"/>
      <c r="T3492" s="1143"/>
      <c r="U3492" s="1108"/>
      <c r="V3492" s="1108"/>
      <c r="W3492" s="1108"/>
      <c r="X3492" s="1108"/>
      <c r="Y3492" s="1108"/>
      <c r="Z3492" s="1114"/>
      <c r="AA3492" s="1114"/>
      <c r="AB3492" s="1114"/>
      <c r="AC3492" s="1117"/>
      <c r="AD3492" s="1115"/>
      <c r="AE3492" s="1115"/>
      <c r="AF3492" s="1115"/>
      <c r="AG3492" s="1115"/>
      <c r="AH3492" s="1115"/>
      <c r="AI3492" s="1115"/>
      <c r="AJ3492" s="1117"/>
      <c r="AK3492" s="1118"/>
      <c r="AL3492" s="1115"/>
      <c r="AM3492" s="1115"/>
      <c r="AN3492" s="1115"/>
      <c r="AO3492" s="1115"/>
      <c r="AP3492" s="1115"/>
      <c r="AQ3492" s="1115"/>
      <c r="AR3492" s="1115"/>
      <c r="AS3492" s="1117"/>
      <c r="AT3492" s="1075"/>
      <c r="AU3492" s="1193"/>
      <c r="AV3492" s="330"/>
      <c r="AW3492" s="331"/>
      <c r="AX3492" s="331"/>
      <c r="AY3492" s="331"/>
      <c r="AZ3492" s="331"/>
      <c r="BA3492" s="331"/>
      <c r="BB3492" s="331"/>
      <c r="BC3492" s="331"/>
      <c r="BD3492" s="331"/>
      <c r="BE3492" s="333"/>
      <c r="BF3492" s="330"/>
      <c r="BG3492" s="333"/>
      <c r="BH3492" s="1119"/>
      <c r="BI3492" s="319"/>
      <c r="BJ3492" s="319"/>
      <c r="BK3492" s="319"/>
      <c r="BL3492" s="319"/>
      <c r="BM3492" s="319"/>
      <c r="BN3492" s="319"/>
      <c r="BO3492" s="319"/>
      <c r="BP3492" s="953"/>
      <c r="BQ3492" s="319"/>
      <c r="BR3492" s="319"/>
      <c r="BS3492" s="330"/>
      <c r="BT3492" s="331"/>
      <c r="BU3492" s="920"/>
      <c r="BV3492" s="903"/>
      <c r="BW3492" s="908"/>
      <c r="BX3492" s="908"/>
      <c r="BY3492" s="331"/>
      <c r="BZ3492" s="331"/>
      <c r="CA3492" s="462"/>
      <c r="CB3492" s="319"/>
      <c r="CC3492" s="319"/>
      <c r="CD3492" s="319"/>
      <c r="CE3492" s="319"/>
      <c r="CF3492" s="319"/>
      <c r="CG3492" s="319"/>
      <c r="CH3492" s="318"/>
      <c r="CI3492" s="319"/>
      <c r="CJ3492" s="319"/>
      <c r="CK3492" s="342"/>
      <c r="CL3492" s="333"/>
      <c r="CM3492" s="1079"/>
      <c r="CN3492" s="1005"/>
      <c r="CO3492" s="1005"/>
      <c r="CP3492" s="1005"/>
    </row>
    <row r="3493">
      <c r="A3493" s="1257"/>
      <c r="B3493" s="1113"/>
      <c r="C3493" s="1107"/>
      <c r="D3493" s="103"/>
      <c r="E3493" s="1137"/>
      <c r="F3493" s="112"/>
      <c r="G3493" s="1110"/>
      <c r="H3493" s="1138"/>
      <c r="I3493" s="1138"/>
      <c r="J3493" s="1139"/>
      <c r="K3493" s="1111"/>
      <c r="L3493" s="1112"/>
      <c r="M3493" s="1113"/>
      <c r="N3493" s="110"/>
      <c r="O3493" s="1140"/>
      <c r="P3493" s="1115"/>
      <c r="Q3493" s="1116"/>
      <c r="R3493" s="1141"/>
      <c r="S3493" s="1113"/>
      <c r="T3493" s="1143"/>
      <c r="U3493" s="1108"/>
      <c r="V3493" s="1108"/>
      <c r="W3493" s="1108"/>
      <c r="X3493" s="1108"/>
      <c r="Y3493" s="1108"/>
      <c r="Z3493" s="1114"/>
      <c r="AA3493" s="1114"/>
      <c r="AB3493" s="1114"/>
      <c r="AC3493" s="1117"/>
      <c r="AD3493" s="1115"/>
      <c r="AE3493" s="1115"/>
      <c r="AF3493" s="1115"/>
      <c r="AG3493" s="1115"/>
      <c r="AH3493" s="1115"/>
      <c r="AI3493" s="1115"/>
      <c r="AJ3493" s="1117"/>
      <c r="AK3493" s="1118"/>
      <c r="AL3493" s="1115"/>
      <c r="AM3493" s="1115"/>
      <c r="AN3493" s="1115"/>
      <c r="AO3493" s="1115"/>
      <c r="AP3493" s="1115"/>
      <c r="AQ3493" s="1115"/>
      <c r="AR3493" s="1115"/>
      <c r="AS3493" s="1117"/>
      <c r="AT3493" s="1075"/>
      <c r="AU3493" s="1193"/>
      <c r="AV3493" s="330"/>
      <c r="AW3493" s="331"/>
      <c r="AX3493" s="331"/>
      <c r="AY3493" s="331"/>
      <c r="AZ3493" s="331"/>
      <c r="BA3493" s="331"/>
      <c r="BB3493" s="331"/>
      <c r="BC3493" s="331"/>
      <c r="BD3493" s="331"/>
      <c r="BE3493" s="333"/>
      <c r="BF3493" s="330"/>
      <c r="BG3493" s="333"/>
      <c r="BH3493" s="1119"/>
      <c r="BI3493" s="319"/>
      <c r="BJ3493" s="319"/>
      <c r="BK3493" s="319"/>
      <c r="BL3493" s="319"/>
      <c r="BM3493" s="319"/>
      <c r="BN3493" s="319"/>
      <c r="BO3493" s="319"/>
      <c r="BP3493" s="953"/>
      <c r="BQ3493" s="319"/>
      <c r="BR3493" s="319"/>
      <c r="BS3493" s="330"/>
      <c r="BT3493" s="331"/>
      <c r="BU3493" s="920"/>
      <c r="BV3493" s="903"/>
      <c r="BW3493" s="908"/>
      <c r="BX3493" s="908"/>
      <c r="BY3493" s="331"/>
      <c r="BZ3493" s="331"/>
      <c r="CA3493" s="462"/>
      <c r="CB3493" s="319"/>
      <c r="CC3493" s="319"/>
      <c r="CD3493" s="319"/>
      <c r="CE3493" s="319"/>
      <c r="CF3493" s="319"/>
      <c r="CG3493" s="319"/>
      <c r="CH3493" s="318"/>
      <c r="CI3493" s="319"/>
      <c r="CJ3493" s="319"/>
      <c r="CK3493" s="342"/>
      <c r="CL3493" s="333"/>
      <c r="CM3493" s="1079"/>
      <c r="CN3493" s="1005"/>
      <c r="CO3493" s="1005"/>
      <c r="CP3493" s="1005"/>
    </row>
    <row r="3494">
      <c r="A3494" s="1257"/>
      <c r="B3494" s="1113"/>
      <c r="C3494" s="1107"/>
      <c r="D3494" s="103"/>
      <c r="E3494" s="1137"/>
      <c r="F3494" s="112"/>
      <c r="G3494" s="1110"/>
      <c r="H3494" s="1138"/>
      <c r="I3494" s="1138"/>
      <c r="J3494" s="1139"/>
      <c r="K3494" s="1111"/>
      <c r="L3494" s="1112"/>
      <c r="M3494" s="1113"/>
      <c r="N3494" s="110"/>
      <c r="O3494" s="1140"/>
      <c r="P3494" s="1115"/>
      <c r="Q3494" s="1116"/>
      <c r="R3494" s="1141"/>
      <c r="S3494" s="1113"/>
      <c r="T3494" s="1143"/>
      <c r="U3494" s="1108"/>
      <c r="V3494" s="1108"/>
      <c r="W3494" s="1108"/>
      <c r="X3494" s="1108"/>
      <c r="Y3494" s="1108"/>
      <c r="Z3494" s="1114"/>
      <c r="AA3494" s="1114"/>
      <c r="AB3494" s="1114"/>
      <c r="AC3494" s="1117"/>
      <c r="AD3494" s="1115"/>
      <c r="AE3494" s="1115"/>
      <c r="AF3494" s="1115"/>
      <c r="AG3494" s="1115"/>
      <c r="AH3494" s="1115"/>
      <c r="AI3494" s="1115"/>
      <c r="AJ3494" s="1117"/>
      <c r="AK3494" s="1118"/>
      <c r="AL3494" s="1115"/>
      <c r="AM3494" s="1115"/>
      <c r="AN3494" s="1115"/>
      <c r="AO3494" s="1115"/>
      <c r="AP3494" s="1115"/>
      <c r="AQ3494" s="1115"/>
      <c r="AR3494" s="1115"/>
      <c r="AS3494" s="1117"/>
      <c r="AT3494" s="1075"/>
      <c r="AU3494" s="1193"/>
      <c r="AV3494" s="330"/>
      <c r="AW3494" s="331"/>
      <c r="AX3494" s="331"/>
      <c r="AY3494" s="331"/>
      <c r="AZ3494" s="331"/>
      <c r="BA3494" s="331"/>
      <c r="BB3494" s="331"/>
      <c r="BC3494" s="331"/>
      <c r="BD3494" s="331"/>
      <c r="BE3494" s="333"/>
      <c r="BF3494" s="330"/>
      <c r="BG3494" s="333"/>
      <c r="BH3494" s="1119"/>
      <c r="BI3494" s="319"/>
      <c r="BJ3494" s="319"/>
      <c r="BK3494" s="319"/>
      <c r="BL3494" s="319"/>
      <c r="BM3494" s="319"/>
      <c r="BN3494" s="319"/>
      <c r="BO3494" s="319"/>
      <c r="BP3494" s="953"/>
      <c r="BQ3494" s="319"/>
      <c r="BR3494" s="319"/>
      <c r="BS3494" s="330"/>
      <c r="BT3494" s="331"/>
      <c r="BU3494" s="920"/>
      <c r="BV3494" s="903"/>
      <c r="BW3494" s="908"/>
      <c r="BX3494" s="908"/>
      <c r="BY3494" s="331"/>
      <c r="BZ3494" s="331"/>
      <c r="CA3494" s="462"/>
      <c r="CB3494" s="319"/>
      <c r="CC3494" s="319"/>
      <c r="CD3494" s="319"/>
      <c r="CE3494" s="319"/>
      <c r="CF3494" s="319"/>
      <c r="CG3494" s="319"/>
      <c r="CH3494" s="318"/>
      <c r="CI3494" s="319"/>
      <c r="CJ3494" s="319"/>
      <c r="CK3494" s="342"/>
      <c r="CL3494" s="333"/>
      <c r="CM3494" s="1079"/>
      <c r="CN3494" s="1005"/>
      <c r="CO3494" s="1005"/>
      <c r="CP3494" s="1005"/>
    </row>
    <row r="3495">
      <c r="A3495" s="1257"/>
      <c r="B3495" s="1113"/>
      <c r="C3495" s="1107"/>
      <c r="D3495" s="103"/>
      <c r="E3495" s="1137"/>
      <c r="F3495" s="112"/>
      <c r="G3495" s="1110"/>
      <c r="H3495" s="1138"/>
      <c r="I3495" s="1138"/>
      <c r="J3495" s="1139"/>
      <c r="K3495" s="1111"/>
      <c r="L3495" s="1112"/>
      <c r="M3495" s="1113"/>
      <c r="N3495" s="110"/>
      <c r="O3495" s="1140"/>
      <c r="P3495" s="1115"/>
      <c r="Q3495" s="1116"/>
      <c r="R3495" s="1141"/>
      <c r="S3495" s="1113"/>
      <c r="T3495" s="1143"/>
      <c r="U3495" s="1108"/>
      <c r="V3495" s="1108"/>
      <c r="W3495" s="1108"/>
      <c r="X3495" s="1108"/>
      <c r="Y3495" s="1108"/>
      <c r="Z3495" s="1114"/>
      <c r="AA3495" s="1114"/>
      <c r="AB3495" s="1114"/>
      <c r="AC3495" s="1117"/>
      <c r="AD3495" s="1115"/>
      <c r="AE3495" s="1115"/>
      <c r="AF3495" s="1115"/>
      <c r="AG3495" s="1115"/>
      <c r="AH3495" s="1115"/>
      <c r="AI3495" s="1115"/>
      <c r="AJ3495" s="1117"/>
      <c r="AK3495" s="1118"/>
      <c r="AL3495" s="1115"/>
      <c r="AM3495" s="1115"/>
      <c r="AN3495" s="1115"/>
      <c r="AO3495" s="1115"/>
      <c r="AP3495" s="1115"/>
      <c r="AQ3495" s="1115"/>
      <c r="AR3495" s="1115"/>
      <c r="AS3495" s="1117"/>
      <c r="AT3495" s="1075"/>
      <c r="AU3495" s="1193"/>
      <c r="AV3495" s="330"/>
      <c r="AW3495" s="331"/>
      <c r="AX3495" s="331"/>
      <c r="AY3495" s="331"/>
      <c r="AZ3495" s="331"/>
      <c r="BA3495" s="331"/>
      <c r="BB3495" s="331"/>
      <c r="BC3495" s="331"/>
      <c r="BD3495" s="331"/>
      <c r="BE3495" s="333"/>
      <c r="BF3495" s="330"/>
      <c r="BG3495" s="333"/>
      <c r="BH3495" s="1119"/>
      <c r="BI3495" s="319"/>
      <c r="BJ3495" s="319"/>
      <c r="BK3495" s="319"/>
      <c r="BL3495" s="319"/>
      <c r="BM3495" s="319"/>
      <c r="BN3495" s="319"/>
      <c r="BO3495" s="319"/>
      <c r="BP3495" s="953"/>
      <c r="BQ3495" s="319"/>
      <c r="BR3495" s="319"/>
      <c r="BS3495" s="330"/>
      <c r="BT3495" s="331"/>
      <c r="BU3495" s="920"/>
      <c r="BV3495" s="903"/>
      <c r="BW3495" s="908"/>
      <c r="BX3495" s="908"/>
      <c r="BY3495" s="331"/>
      <c r="BZ3495" s="331"/>
      <c r="CA3495" s="462"/>
      <c r="CB3495" s="319"/>
      <c r="CC3495" s="319"/>
      <c r="CD3495" s="319"/>
      <c r="CE3495" s="319"/>
      <c r="CF3495" s="319"/>
      <c r="CG3495" s="319"/>
      <c r="CH3495" s="318"/>
      <c r="CI3495" s="319"/>
      <c r="CJ3495" s="319"/>
      <c r="CK3495" s="342"/>
      <c r="CL3495" s="333"/>
      <c r="CM3495" s="1079"/>
      <c r="CN3495" s="1005"/>
      <c r="CO3495" s="1005"/>
      <c r="CP3495" s="1005"/>
    </row>
    <row r="3496">
      <c r="A3496" s="1257"/>
      <c r="B3496" s="1113"/>
      <c r="C3496" s="1107"/>
      <c r="D3496" s="103"/>
      <c r="E3496" s="1137"/>
      <c r="F3496" s="112"/>
      <c r="G3496" s="1110"/>
      <c r="H3496" s="1138"/>
      <c r="I3496" s="1138"/>
      <c r="J3496" s="1139"/>
      <c r="K3496" s="1111"/>
      <c r="L3496" s="1112"/>
      <c r="M3496" s="1113"/>
      <c r="N3496" s="110"/>
      <c r="O3496" s="1140"/>
      <c r="P3496" s="1115"/>
      <c r="Q3496" s="1116"/>
      <c r="R3496" s="1141"/>
      <c r="S3496" s="1113"/>
      <c r="T3496" s="1143"/>
      <c r="U3496" s="1108"/>
      <c r="V3496" s="1108"/>
      <c r="W3496" s="1108"/>
      <c r="X3496" s="1108"/>
      <c r="Y3496" s="1108"/>
      <c r="Z3496" s="1114"/>
      <c r="AA3496" s="1114"/>
      <c r="AB3496" s="1114"/>
      <c r="AC3496" s="1117"/>
      <c r="AD3496" s="1115"/>
      <c r="AE3496" s="1115"/>
      <c r="AF3496" s="1115"/>
      <c r="AG3496" s="1115"/>
      <c r="AH3496" s="1115"/>
      <c r="AI3496" s="1115"/>
      <c r="AJ3496" s="1117"/>
      <c r="AK3496" s="1118"/>
      <c r="AL3496" s="1115"/>
      <c r="AM3496" s="1115"/>
      <c r="AN3496" s="1115"/>
      <c r="AO3496" s="1115"/>
      <c r="AP3496" s="1115"/>
      <c r="AQ3496" s="1115"/>
      <c r="AR3496" s="1115"/>
      <c r="AS3496" s="1117"/>
      <c r="AT3496" s="1075"/>
      <c r="AU3496" s="1193"/>
      <c r="AV3496" s="330"/>
      <c r="AW3496" s="331"/>
      <c r="AX3496" s="331"/>
      <c r="AY3496" s="331"/>
      <c r="AZ3496" s="331"/>
      <c r="BA3496" s="331"/>
      <c r="BB3496" s="331"/>
      <c r="BC3496" s="331"/>
      <c r="BD3496" s="331"/>
      <c r="BE3496" s="333"/>
      <c r="BF3496" s="330"/>
      <c r="BG3496" s="333"/>
      <c r="BH3496" s="1119"/>
      <c r="BI3496" s="319"/>
      <c r="BJ3496" s="319"/>
      <c r="BK3496" s="319"/>
      <c r="BL3496" s="319"/>
      <c r="BM3496" s="319"/>
      <c r="BN3496" s="319"/>
      <c r="BO3496" s="319"/>
      <c r="BP3496" s="953"/>
      <c r="BQ3496" s="319"/>
      <c r="BR3496" s="319"/>
      <c r="BS3496" s="330"/>
      <c r="BT3496" s="331"/>
      <c r="BU3496" s="920"/>
      <c r="BV3496" s="903"/>
      <c r="BW3496" s="908"/>
      <c r="BX3496" s="908"/>
      <c r="BY3496" s="331"/>
      <c r="BZ3496" s="331"/>
      <c r="CA3496" s="462"/>
      <c r="CB3496" s="319"/>
      <c r="CC3496" s="319"/>
      <c r="CD3496" s="319"/>
      <c r="CE3496" s="319"/>
      <c r="CF3496" s="319"/>
      <c r="CG3496" s="319"/>
      <c r="CH3496" s="318"/>
      <c r="CI3496" s="319"/>
      <c r="CJ3496" s="319"/>
      <c r="CK3496" s="342"/>
      <c r="CL3496" s="333"/>
      <c r="CM3496" s="1079"/>
      <c r="CN3496" s="1005"/>
      <c r="CO3496" s="1005"/>
      <c r="CP3496" s="1005"/>
    </row>
    <row r="3497">
      <c r="A3497" s="1257"/>
      <c r="B3497" s="1113"/>
      <c r="C3497" s="1107"/>
      <c r="D3497" s="103"/>
      <c r="E3497" s="1137"/>
      <c r="F3497" s="112"/>
      <c r="G3497" s="1110"/>
      <c r="H3497" s="1138"/>
      <c r="I3497" s="1138"/>
      <c r="J3497" s="1139"/>
      <c r="K3497" s="1111"/>
      <c r="L3497" s="1112"/>
      <c r="M3497" s="1113"/>
      <c r="N3497" s="110"/>
      <c r="O3497" s="1140"/>
      <c r="P3497" s="1115"/>
      <c r="Q3497" s="1116"/>
      <c r="R3497" s="1141"/>
      <c r="S3497" s="1113"/>
      <c r="T3497" s="1143"/>
      <c r="U3497" s="1108"/>
      <c r="V3497" s="1108"/>
      <c r="W3497" s="1108"/>
      <c r="X3497" s="1108"/>
      <c r="Y3497" s="1108"/>
      <c r="Z3497" s="1114"/>
      <c r="AA3497" s="1114"/>
      <c r="AB3497" s="1114"/>
      <c r="AC3497" s="1117"/>
      <c r="AD3497" s="1115"/>
      <c r="AE3497" s="1115"/>
      <c r="AF3497" s="1115"/>
      <c r="AG3497" s="1115"/>
      <c r="AH3497" s="1115"/>
      <c r="AI3497" s="1115"/>
      <c r="AJ3497" s="1117"/>
      <c r="AK3497" s="1118"/>
      <c r="AL3497" s="1115"/>
      <c r="AM3497" s="1115"/>
      <c r="AN3497" s="1115"/>
      <c r="AO3497" s="1115"/>
      <c r="AP3497" s="1115"/>
      <c r="AQ3497" s="1115"/>
      <c r="AR3497" s="1115"/>
      <c r="AS3497" s="1117"/>
      <c r="AT3497" s="1075"/>
      <c r="AU3497" s="1193"/>
      <c r="AV3497" s="330"/>
      <c r="AW3497" s="331"/>
      <c r="AX3497" s="331"/>
      <c r="AY3497" s="331"/>
      <c r="AZ3497" s="331"/>
      <c r="BA3497" s="331"/>
      <c r="BB3497" s="331"/>
      <c r="BC3497" s="331"/>
      <c r="BD3497" s="331"/>
      <c r="BE3497" s="333"/>
      <c r="BF3497" s="330"/>
      <c r="BG3497" s="333"/>
      <c r="BH3497" s="1119"/>
      <c r="BI3497" s="319"/>
      <c r="BJ3497" s="319"/>
      <c r="BK3497" s="319"/>
      <c r="BL3497" s="319"/>
      <c r="BM3497" s="319"/>
      <c r="BN3497" s="319"/>
      <c r="BO3497" s="319"/>
      <c r="BP3497" s="953"/>
      <c r="BQ3497" s="319"/>
      <c r="BR3497" s="319"/>
      <c r="BS3497" s="330"/>
      <c r="BT3497" s="331"/>
      <c r="BU3497" s="920"/>
      <c r="BV3497" s="903"/>
      <c r="BW3497" s="908"/>
      <c r="BX3497" s="908"/>
      <c r="BY3497" s="331"/>
      <c r="BZ3497" s="331"/>
      <c r="CA3497" s="462"/>
      <c r="CB3497" s="319"/>
      <c r="CC3497" s="319"/>
      <c r="CD3497" s="319"/>
      <c r="CE3497" s="319"/>
      <c r="CF3497" s="319"/>
      <c r="CG3497" s="319"/>
      <c r="CH3497" s="318"/>
      <c r="CI3497" s="319"/>
      <c r="CJ3497" s="319"/>
      <c r="CK3497" s="342"/>
      <c r="CL3497" s="333"/>
      <c r="CM3497" s="1079"/>
      <c r="CN3497" s="1005"/>
      <c r="CO3497" s="1005"/>
      <c r="CP3497" s="1005"/>
    </row>
    <row r="3498">
      <c r="A3498" s="1257"/>
      <c r="B3498" s="1113"/>
      <c r="C3498" s="1107"/>
      <c r="D3498" s="103"/>
      <c r="E3498" s="1137"/>
      <c r="F3498" s="112"/>
      <c r="G3498" s="1110"/>
      <c r="H3498" s="1138"/>
      <c r="I3498" s="1138"/>
      <c r="J3498" s="1139"/>
      <c r="K3498" s="1111"/>
      <c r="L3498" s="1112"/>
      <c r="M3498" s="1113"/>
      <c r="N3498" s="110"/>
      <c r="O3498" s="1140"/>
      <c r="P3498" s="1115"/>
      <c r="Q3498" s="1116"/>
      <c r="R3498" s="1141"/>
      <c r="S3498" s="1113"/>
      <c r="T3498" s="1143"/>
      <c r="U3498" s="1108"/>
      <c r="V3498" s="1108"/>
      <c r="W3498" s="1108"/>
      <c r="X3498" s="1108"/>
      <c r="Y3498" s="1108"/>
      <c r="Z3498" s="1114"/>
      <c r="AA3498" s="1114"/>
      <c r="AB3498" s="1114"/>
      <c r="AC3498" s="1117"/>
      <c r="AD3498" s="1115"/>
      <c r="AE3498" s="1115"/>
      <c r="AF3498" s="1115"/>
      <c r="AG3498" s="1115"/>
      <c r="AH3498" s="1115"/>
      <c r="AI3498" s="1115"/>
      <c r="AJ3498" s="1117"/>
      <c r="AK3498" s="1118"/>
      <c r="AL3498" s="1115"/>
      <c r="AM3498" s="1115"/>
      <c r="AN3498" s="1115"/>
      <c r="AO3498" s="1115"/>
      <c r="AP3498" s="1115"/>
      <c r="AQ3498" s="1115"/>
      <c r="AR3498" s="1115"/>
      <c r="AS3498" s="1117"/>
      <c r="AT3498" s="1075"/>
      <c r="AU3498" s="1193"/>
      <c r="AV3498" s="330"/>
      <c r="AW3498" s="331"/>
      <c r="AX3498" s="331"/>
      <c r="AY3498" s="331"/>
      <c r="AZ3498" s="331"/>
      <c r="BA3498" s="331"/>
      <c r="BB3498" s="331"/>
      <c r="BC3498" s="331"/>
      <c r="BD3498" s="331"/>
      <c r="BE3498" s="333"/>
      <c r="BF3498" s="330"/>
      <c r="BG3498" s="333"/>
      <c r="BH3498" s="1119"/>
      <c r="BI3498" s="319"/>
      <c r="BJ3498" s="319"/>
      <c r="BK3498" s="319"/>
      <c r="BL3498" s="319"/>
      <c r="BM3498" s="319"/>
      <c r="BN3498" s="319"/>
      <c r="BO3498" s="319"/>
      <c r="BP3498" s="953"/>
      <c r="BQ3498" s="319"/>
      <c r="BR3498" s="319"/>
      <c r="BS3498" s="330"/>
      <c r="BT3498" s="331"/>
      <c r="BU3498" s="920"/>
      <c r="BV3498" s="903"/>
      <c r="BW3498" s="908"/>
      <c r="BX3498" s="908"/>
      <c r="BY3498" s="331"/>
      <c r="BZ3498" s="331"/>
      <c r="CA3498" s="462"/>
      <c r="CB3498" s="319"/>
      <c r="CC3498" s="319"/>
      <c r="CD3498" s="319"/>
      <c r="CE3498" s="319"/>
      <c r="CF3498" s="319"/>
      <c r="CG3498" s="319"/>
      <c r="CH3498" s="318"/>
      <c r="CI3498" s="319"/>
      <c r="CJ3498" s="319"/>
      <c r="CK3498" s="342"/>
      <c r="CL3498" s="333"/>
      <c r="CM3498" s="1079"/>
      <c r="CN3498" s="1005"/>
      <c r="CO3498" s="1005"/>
      <c r="CP3498" s="1005"/>
    </row>
    <row r="3499">
      <c r="A3499" s="1257"/>
      <c r="B3499" s="1113"/>
      <c r="C3499" s="1107"/>
      <c r="D3499" s="103"/>
      <c r="E3499" s="1137"/>
      <c r="F3499" s="112"/>
      <c r="G3499" s="1110"/>
      <c r="H3499" s="1138"/>
      <c r="I3499" s="1138"/>
      <c r="J3499" s="1139"/>
      <c r="K3499" s="1111"/>
      <c r="L3499" s="1112"/>
      <c r="M3499" s="1113"/>
      <c r="N3499" s="110"/>
      <c r="O3499" s="1140"/>
      <c r="P3499" s="1115"/>
      <c r="Q3499" s="1116"/>
      <c r="R3499" s="1141"/>
      <c r="S3499" s="1113"/>
      <c r="T3499" s="1143"/>
      <c r="U3499" s="1108"/>
      <c r="V3499" s="1108"/>
      <c r="W3499" s="1108"/>
      <c r="X3499" s="1108"/>
      <c r="Y3499" s="1108"/>
      <c r="Z3499" s="1114"/>
      <c r="AA3499" s="1114"/>
      <c r="AB3499" s="1114"/>
      <c r="AC3499" s="1117"/>
      <c r="AD3499" s="1115"/>
      <c r="AE3499" s="1115"/>
      <c r="AF3499" s="1115"/>
      <c r="AG3499" s="1115"/>
      <c r="AH3499" s="1115"/>
      <c r="AI3499" s="1115"/>
      <c r="AJ3499" s="1117"/>
      <c r="AK3499" s="1118"/>
      <c r="AL3499" s="1115"/>
      <c r="AM3499" s="1115"/>
      <c r="AN3499" s="1115"/>
      <c r="AO3499" s="1115"/>
      <c r="AP3499" s="1115"/>
      <c r="AQ3499" s="1115"/>
      <c r="AR3499" s="1115"/>
      <c r="AS3499" s="1117"/>
      <c r="AT3499" s="1075"/>
      <c r="AU3499" s="1193"/>
      <c r="AV3499" s="330"/>
      <c r="AW3499" s="331"/>
      <c r="AX3499" s="331"/>
      <c r="AY3499" s="331"/>
      <c r="AZ3499" s="331"/>
      <c r="BA3499" s="331"/>
      <c r="BB3499" s="331"/>
      <c r="BC3499" s="331"/>
      <c r="BD3499" s="331"/>
      <c r="BE3499" s="333"/>
      <c r="BF3499" s="330"/>
      <c r="BG3499" s="333"/>
      <c r="BH3499" s="1119"/>
      <c r="BI3499" s="319"/>
      <c r="BJ3499" s="319"/>
      <c r="BK3499" s="319"/>
      <c r="BL3499" s="319"/>
      <c r="BM3499" s="319"/>
      <c r="BN3499" s="319"/>
      <c r="BO3499" s="319"/>
      <c r="BP3499" s="953"/>
      <c r="BQ3499" s="319"/>
      <c r="BR3499" s="319"/>
      <c r="BS3499" s="330"/>
      <c r="BT3499" s="331"/>
      <c r="BU3499" s="920"/>
      <c r="BV3499" s="903"/>
      <c r="BW3499" s="908"/>
      <c r="BX3499" s="908"/>
      <c r="BY3499" s="331"/>
      <c r="BZ3499" s="331"/>
      <c r="CA3499" s="462"/>
      <c r="CB3499" s="319"/>
      <c r="CC3499" s="319"/>
      <c r="CD3499" s="319"/>
      <c r="CE3499" s="319"/>
      <c r="CF3499" s="319"/>
      <c r="CG3499" s="319"/>
      <c r="CH3499" s="318"/>
      <c r="CI3499" s="319"/>
      <c r="CJ3499" s="319"/>
      <c r="CK3499" s="342"/>
      <c r="CL3499" s="333"/>
      <c r="CM3499" s="1079"/>
      <c r="CN3499" s="1005"/>
      <c r="CO3499" s="1005"/>
      <c r="CP3499" s="1005"/>
    </row>
    <row r="3500">
      <c r="A3500" s="1257"/>
      <c r="B3500" s="1113"/>
      <c r="C3500" s="1107"/>
      <c r="D3500" s="103"/>
      <c r="E3500" s="1137"/>
      <c r="F3500" s="112"/>
      <c r="G3500" s="1110"/>
      <c r="H3500" s="1138"/>
      <c r="I3500" s="1138"/>
      <c r="J3500" s="1139"/>
      <c r="K3500" s="1111"/>
      <c r="L3500" s="1112"/>
      <c r="M3500" s="1113"/>
      <c r="N3500" s="110"/>
      <c r="O3500" s="1140"/>
      <c r="P3500" s="1115"/>
      <c r="Q3500" s="1116"/>
      <c r="R3500" s="1141"/>
      <c r="S3500" s="1113"/>
      <c r="T3500" s="1143"/>
      <c r="U3500" s="1108"/>
      <c r="V3500" s="1108"/>
      <c r="W3500" s="1108"/>
      <c r="X3500" s="1108"/>
      <c r="Y3500" s="1108"/>
      <c r="Z3500" s="1114"/>
      <c r="AA3500" s="1114"/>
      <c r="AB3500" s="1114"/>
      <c r="AC3500" s="1117"/>
      <c r="AD3500" s="1115"/>
      <c r="AE3500" s="1115"/>
      <c r="AF3500" s="1115"/>
      <c r="AG3500" s="1115"/>
      <c r="AH3500" s="1115"/>
      <c r="AI3500" s="1115"/>
      <c r="AJ3500" s="1117"/>
      <c r="AK3500" s="1118"/>
      <c r="AL3500" s="1115"/>
      <c r="AM3500" s="1115"/>
      <c r="AN3500" s="1115"/>
      <c r="AO3500" s="1115"/>
      <c r="AP3500" s="1115"/>
      <c r="AQ3500" s="1115"/>
      <c r="AR3500" s="1115"/>
      <c r="AS3500" s="1117"/>
      <c r="AT3500" s="1075"/>
      <c r="AU3500" s="1193"/>
      <c r="AV3500" s="330"/>
      <c r="AW3500" s="331"/>
      <c r="AX3500" s="331"/>
      <c r="AY3500" s="331"/>
      <c r="AZ3500" s="331"/>
      <c r="BA3500" s="331"/>
      <c r="BB3500" s="331"/>
      <c r="BC3500" s="331"/>
      <c r="BD3500" s="331"/>
      <c r="BE3500" s="333"/>
      <c r="BF3500" s="330"/>
      <c r="BG3500" s="333"/>
      <c r="BH3500" s="1119"/>
      <c r="BI3500" s="319"/>
      <c r="BJ3500" s="319"/>
      <c r="BK3500" s="319"/>
      <c r="BL3500" s="319"/>
      <c r="BM3500" s="319"/>
      <c r="BN3500" s="319"/>
      <c r="BO3500" s="319"/>
      <c r="BP3500" s="953"/>
      <c r="BQ3500" s="319"/>
      <c r="BR3500" s="319"/>
      <c r="BS3500" s="330"/>
      <c r="BT3500" s="331"/>
      <c r="BU3500" s="920"/>
      <c r="BV3500" s="903"/>
      <c r="BW3500" s="908"/>
      <c r="BX3500" s="908"/>
      <c r="BY3500" s="331"/>
      <c r="BZ3500" s="331"/>
      <c r="CA3500" s="462"/>
      <c r="CB3500" s="319"/>
      <c r="CC3500" s="319"/>
      <c r="CD3500" s="319"/>
      <c r="CE3500" s="319"/>
      <c r="CF3500" s="319"/>
      <c r="CG3500" s="319"/>
      <c r="CH3500" s="318"/>
      <c r="CI3500" s="319"/>
      <c r="CJ3500" s="319"/>
      <c r="CK3500" s="342"/>
      <c r="CL3500" s="333"/>
      <c r="CM3500" s="1079"/>
      <c r="CN3500" s="1005"/>
      <c r="CO3500" s="1005"/>
      <c r="CP3500" s="1005"/>
    </row>
    <row r="3501">
      <c r="A3501" s="1257"/>
      <c r="B3501" s="1113"/>
      <c r="C3501" s="1107"/>
      <c r="D3501" s="103"/>
      <c r="E3501" s="1137"/>
      <c r="F3501" s="112"/>
      <c r="G3501" s="1110"/>
      <c r="H3501" s="1138"/>
      <c r="I3501" s="1138"/>
      <c r="J3501" s="1139"/>
      <c r="K3501" s="1111"/>
      <c r="L3501" s="1112"/>
      <c r="M3501" s="1113"/>
      <c r="N3501" s="110"/>
      <c r="O3501" s="1140"/>
      <c r="P3501" s="1115"/>
      <c r="Q3501" s="1116"/>
      <c r="R3501" s="1141"/>
      <c r="S3501" s="1113"/>
      <c r="T3501" s="1143"/>
      <c r="U3501" s="1108"/>
      <c r="V3501" s="1108"/>
      <c r="W3501" s="1108"/>
      <c r="X3501" s="1108"/>
      <c r="Y3501" s="1108"/>
      <c r="Z3501" s="1114"/>
      <c r="AA3501" s="1114"/>
      <c r="AB3501" s="1114"/>
      <c r="AC3501" s="1117"/>
      <c r="AD3501" s="1115"/>
      <c r="AE3501" s="1115"/>
      <c r="AF3501" s="1115"/>
      <c r="AG3501" s="1115"/>
      <c r="AH3501" s="1115"/>
      <c r="AI3501" s="1115"/>
      <c r="AJ3501" s="1117"/>
      <c r="AK3501" s="1118"/>
      <c r="AL3501" s="1115"/>
      <c r="AM3501" s="1115"/>
      <c r="AN3501" s="1115"/>
      <c r="AO3501" s="1115"/>
      <c r="AP3501" s="1115"/>
      <c r="AQ3501" s="1115"/>
      <c r="AR3501" s="1115"/>
      <c r="AS3501" s="1117"/>
      <c r="AT3501" s="1075"/>
      <c r="AU3501" s="1193"/>
      <c r="AV3501" s="330"/>
      <c r="AW3501" s="331"/>
      <c r="AX3501" s="331"/>
      <c r="AY3501" s="331"/>
      <c r="AZ3501" s="331"/>
      <c r="BA3501" s="331"/>
      <c r="BB3501" s="331"/>
      <c r="BC3501" s="331"/>
      <c r="BD3501" s="331"/>
      <c r="BE3501" s="333"/>
      <c r="BF3501" s="330"/>
      <c r="BG3501" s="333"/>
      <c r="BH3501" s="1119"/>
      <c r="BI3501" s="319"/>
      <c r="BJ3501" s="319"/>
      <c r="BK3501" s="319"/>
      <c r="BL3501" s="319"/>
      <c r="BM3501" s="319"/>
      <c r="BN3501" s="319"/>
      <c r="BO3501" s="319"/>
      <c r="BP3501" s="953"/>
      <c r="BQ3501" s="319"/>
      <c r="BR3501" s="319"/>
      <c r="BS3501" s="330"/>
      <c r="BT3501" s="331"/>
      <c r="BU3501" s="920"/>
      <c r="BV3501" s="903"/>
      <c r="BW3501" s="908"/>
      <c r="BX3501" s="908"/>
      <c r="BY3501" s="331"/>
      <c r="BZ3501" s="331"/>
      <c r="CA3501" s="462"/>
      <c r="CB3501" s="319"/>
      <c r="CC3501" s="319"/>
      <c r="CD3501" s="319"/>
      <c r="CE3501" s="319"/>
      <c r="CF3501" s="319"/>
      <c r="CG3501" s="319"/>
      <c r="CH3501" s="318"/>
      <c r="CI3501" s="319"/>
      <c r="CJ3501" s="319"/>
      <c r="CK3501" s="342"/>
      <c r="CL3501" s="333"/>
      <c r="CM3501" s="1079"/>
      <c r="CN3501" s="1005"/>
      <c r="CO3501" s="1005"/>
      <c r="CP3501" s="1005"/>
    </row>
    <row r="3502">
      <c r="A3502" s="1257"/>
      <c r="B3502" s="1113"/>
      <c r="C3502" s="1107"/>
      <c r="D3502" s="103"/>
      <c r="E3502" s="1137"/>
      <c r="F3502" s="112"/>
      <c r="G3502" s="1110"/>
      <c r="H3502" s="1138"/>
      <c r="I3502" s="1138"/>
      <c r="J3502" s="1139"/>
      <c r="K3502" s="1111"/>
      <c r="L3502" s="1112"/>
      <c r="M3502" s="1113"/>
      <c r="N3502" s="110"/>
      <c r="O3502" s="1140"/>
      <c r="P3502" s="1115"/>
      <c r="Q3502" s="1116"/>
      <c r="R3502" s="1141"/>
      <c r="S3502" s="1113"/>
      <c r="T3502" s="1143"/>
      <c r="U3502" s="1108"/>
      <c r="V3502" s="1108"/>
      <c r="W3502" s="1108"/>
      <c r="X3502" s="1108"/>
      <c r="Y3502" s="1108"/>
      <c r="Z3502" s="1114"/>
      <c r="AA3502" s="1114"/>
      <c r="AB3502" s="1114"/>
      <c r="AC3502" s="1117"/>
      <c r="AD3502" s="1115"/>
      <c r="AE3502" s="1115"/>
      <c r="AF3502" s="1115"/>
      <c r="AG3502" s="1115"/>
      <c r="AH3502" s="1115"/>
      <c r="AI3502" s="1115"/>
      <c r="AJ3502" s="1117"/>
      <c r="AK3502" s="1118"/>
      <c r="AL3502" s="1115"/>
      <c r="AM3502" s="1115"/>
      <c r="AN3502" s="1115"/>
      <c r="AO3502" s="1115"/>
      <c r="AP3502" s="1115"/>
      <c r="AQ3502" s="1115"/>
      <c r="AR3502" s="1115"/>
      <c r="AS3502" s="1117"/>
      <c r="AT3502" s="1075"/>
      <c r="AU3502" s="1193"/>
      <c r="AV3502" s="330"/>
      <c r="AW3502" s="331"/>
      <c r="AX3502" s="331"/>
      <c r="AY3502" s="331"/>
      <c r="AZ3502" s="331"/>
      <c r="BA3502" s="331"/>
      <c r="BB3502" s="331"/>
      <c r="BC3502" s="331"/>
      <c r="BD3502" s="331"/>
      <c r="BE3502" s="333"/>
      <c r="BF3502" s="330"/>
      <c r="BG3502" s="333"/>
      <c r="BH3502" s="1119"/>
      <c r="BI3502" s="319"/>
      <c r="BJ3502" s="319"/>
      <c r="BK3502" s="319"/>
      <c r="BL3502" s="319"/>
      <c r="BM3502" s="319"/>
      <c r="BN3502" s="319"/>
      <c r="BO3502" s="319"/>
      <c r="BP3502" s="953"/>
      <c r="BQ3502" s="319"/>
      <c r="BR3502" s="319"/>
      <c r="BS3502" s="330"/>
      <c r="BT3502" s="331"/>
      <c r="BU3502" s="920"/>
      <c r="BV3502" s="903"/>
      <c r="BW3502" s="908"/>
      <c r="BX3502" s="908"/>
      <c r="BY3502" s="331"/>
      <c r="BZ3502" s="331"/>
      <c r="CA3502" s="462"/>
      <c r="CB3502" s="319"/>
      <c r="CC3502" s="319"/>
      <c r="CD3502" s="319"/>
      <c r="CE3502" s="319"/>
      <c r="CF3502" s="319"/>
      <c r="CG3502" s="319"/>
      <c r="CH3502" s="318"/>
      <c r="CI3502" s="319"/>
      <c r="CJ3502" s="319"/>
      <c r="CK3502" s="342"/>
      <c r="CL3502" s="333"/>
      <c r="CM3502" s="1079"/>
      <c r="CN3502" s="1005"/>
      <c r="CO3502" s="1005"/>
      <c r="CP3502" s="1005"/>
    </row>
    <row r="3503">
      <c r="A3503" s="1257"/>
      <c r="B3503" s="1113"/>
      <c r="C3503" s="1107"/>
      <c r="D3503" s="103"/>
      <c r="E3503" s="1137"/>
      <c r="F3503" s="112"/>
      <c r="G3503" s="1110"/>
      <c r="H3503" s="1138"/>
      <c r="I3503" s="1138"/>
      <c r="J3503" s="1139"/>
      <c r="K3503" s="1111"/>
      <c r="L3503" s="1112"/>
      <c r="M3503" s="1113"/>
      <c r="N3503" s="110"/>
      <c r="O3503" s="1140"/>
      <c r="P3503" s="1115"/>
      <c r="Q3503" s="1116"/>
      <c r="R3503" s="1141"/>
      <c r="S3503" s="1113"/>
      <c r="T3503" s="1143"/>
      <c r="U3503" s="1108"/>
      <c r="V3503" s="1108"/>
      <c r="W3503" s="1108"/>
      <c r="X3503" s="1108"/>
      <c r="Y3503" s="1108"/>
      <c r="Z3503" s="1114"/>
      <c r="AA3503" s="1114"/>
      <c r="AB3503" s="1114"/>
      <c r="AC3503" s="1117"/>
      <c r="AD3503" s="1115"/>
      <c r="AE3503" s="1115"/>
      <c r="AF3503" s="1115"/>
      <c r="AG3503" s="1115"/>
      <c r="AH3503" s="1115"/>
      <c r="AI3503" s="1115"/>
      <c r="AJ3503" s="1117"/>
      <c r="AK3503" s="1118"/>
      <c r="AL3503" s="1115"/>
      <c r="AM3503" s="1115"/>
      <c r="AN3503" s="1115"/>
      <c r="AO3503" s="1115"/>
      <c r="AP3503" s="1115"/>
      <c r="AQ3503" s="1115"/>
      <c r="AR3503" s="1115"/>
      <c r="AS3503" s="1117"/>
      <c r="AT3503" s="1075"/>
      <c r="AU3503" s="1193"/>
      <c r="AV3503" s="330"/>
      <c r="AW3503" s="331"/>
      <c r="AX3503" s="331"/>
      <c r="AY3503" s="331"/>
      <c r="AZ3503" s="331"/>
      <c r="BA3503" s="331"/>
      <c r="BB3503" s="331"/>
      <c r="BC3503" s="331"/>
      <c r="BD3503" s="331"/>
      <c r="BE3503" s="333"/>
      <c r="BF3503" s="330"/>
      <c r="BG3503" s="333"/>
      <c r="BH3503" s="1119"/>
      <c r="BI3503" s="319"/>
      <c r="BJ3503" s="319"/>
      <c r="BK3503" s="319"/>
      <c r="BL3503" s="319"/>
      <c r="BM3503" s="319"/>
      <c r="BN3503" s="319"/>
      <c r="BO3503" s="319"/>
      <c r="BP3503" s="953"/>
      <c r="BQ3503" s="319"/>
      <c r="BR3503" s="319"/>
      <c r="BS3503" s="330"/>
      <c r="BT3503" s="331"/>
      <c r="BU3503" s="920"/>
      <c r="BV3503" s="903"/>
      <c r="BW3503" s="908"/>
      <c r="BX3503" s="908"/>
      <c r="BY3503" s="331"/>
      <c r="BZ3503" s="331"/>
      <c r="CA3503" s="462"/>
      <c r="CB3503" s="319"/>
      <c r="CC3503" s="319"/>
      <c r="CD3503" s="319"/>
      <c r="CE3503" s="319"/>
      <c r="CF3503" s="319"/>
      <c r="CG3503" s="319"/>
      <c r="CH3503" s="318"/>
      <c r="CI3503" s="319"/>
      <c r="CJ3503" s="319"/>
      <c r="CK3503" s="342"/>
      <c r="CL3503" s="333"/>
      <c r="CM3503" s="1079"/>
      <c r="CN3503" s="1005"/>
      <c r="CO3503" s="1005"/>
      <c r="CP3503" s="1005"/>
    </row>
    <row r="3504">
      <c r="A3504" s="1257"/>
      <c r="B3504" s="1113"/>
      <c r="C3504" s="1107"/>
      <c r="D3504" s="103"/>
      <c r="E3504" s="1137"/>
      <c r="F3504" s="112"/>
      <c r="G3504" s="1110"/>
      <c r="H3504" s="1138"/>
      <c r="I3504" s="1138"/>
      <c r="J3504" s="1139"/>
      <c r="K3504" s="1111"/>
      <c r="L3504" s="1112"/>
      <c r="M3504" s="1113"/>
      <c r="N3504" s="110"/>
      <c r="O3504" s="1140"/>
      <c r="P3504" s="1115"/>
      <c r="Q3504" s="1116"/>
      <c r="R3504" s="1141"/>
      <c r="S3504" s="1113"/>
      <c r="T3504" s="1143"/>
      <c r="U3504" s="1108"/>
      <c r="V3504" s="1108"/>
      <c r="W3504" s="1108"/>
      <c r="X3504" s="1108"/>
      <c r="Y3504" s="1108"/>
      <c r="Z3504" s="1114"/>
      <c r="AA3504" s="1114"/>
      <c r="AB3504" s="1114"/>
      <c r="AC3504" s="1117"/>
      <c r="AD3504" s="1115"/>
      <c r="AE3504" s="1115"/>
      <c r="AF3504" s="1115"/>
      <c r="AG3504" s="1115"/>
      <c r="AH3504" s="1115"/>
      <c r="AI3504" s="1115"/>
      <c r="AJ3504" s="1117"/>
      <c r="AK3504" s="1118"/>
      <c r="AL3504" s="1115"/>
      <c r="AM3504" s="1115"/>
      <c r="AN3504" s="1115"/>
      <c r="AO3504" s="1115"/>
      <c r="AP3504" s="1115"/>
      <c r="AQ3504" s="1115"/>
      <c r="AR3504" s="1115"/>
      <c r="AS3504" s="1117"/>
      <c r="AT3504" s="1075"/>
      <c r="AU3504" s="1193"/>
      <c r="AV3504" s="330"/>
      <c r="AW3504" s="331"/>
      <c r="AX3504" s="331"/>
      <c r="AY3504" s="331"/>
      <c r="AZ3504" s="331"/>
      <c r="BA3504" s="331"/>
      <c r="BB3504" s="331"/>
      <c r="BC3504" s="331"/>
      <c r="BD3504" s="331"/>
      <c r="BE3504" s="333"/>
      <c r="BF3504" s="330"/>
      <c r="BG3504" s="333"/>
      <c r="BH3504" s="1119"/>
      <c r="BI3504" s="319"/>
      <c r="BJ3504" s="319"/>
      <c r="BK3504" s="319"/>
      <c r="BL3504" s="319"/>
      <c r="BM3504" s="319"/>
      <c r="BN3504" s="319"/>
      <c r="BO3504" s="319"/>
      <c r="BP3504" s="953"/>
      <c r="BQ3504" s="319"/>
      <c r="BR3504" s="319"/>
      <c r="BS3504" s="330"/>
      <c r="BT3504" s="331"/>
      <c r="BU3504" s="920"/>
      <c r="BV3504" s="903"/>
      <c r="BW3504" s="908"/>
      <c r="BX3504" s="908"/>
      <c r="BY3504" s="331"/>
      <c r="BZ3504" s="331"/>
      <c r="CA3504" s="462"/>
      <c r="CB3504" s="319"/>
      <c r="CC3504" s="319"/>
      <c r="CD3504" s="319"/>
      <c r="CE3504" s="319"/>
      <c r="CF3504" s="319"/>
      <c r="CG3504" s="319"/>
      <c r="CH3504" s="318"/>
      <c r="CI3504" s="319"/>
      <c r="CJ3504" s="319"/>
      <c r="CK3504" s="342"/>
      <c r="CL3504" s="333"/>
      <c r="CM3504" s="1079"/>
      <c r="CN3504" s="1005"/>
      <c r="CO3504" s="1005"/>
      <c r="CP3504" s="1005"/>
    </row>
    <row r="3505">
      <c r="A3505" s="1257"/>
      <c r="B3505" s="1113"/>
      <c r="C3505" s="1107"/>
      <c r="D3505" s="103"/>
      <c r="E3505" s="1137"/>
      <c r="F3505" s="112"/>
      <c r="G3505" s="1110"/>
      <c r="H3505" s="1138"/>
      <c r="I3505" s="1138"/>
      <c r="J3505" s="1139"/>
      <c r="K3505" s="1111"/>
      <c r="L3505" s="1112"/>
      <c r="M3505" s="1113"/>
      <c r="N3505" s="110"/>
      <c r="O3505" s="1140"/>
      <c r="P3505" s="1115"/>
      <c r="Q3505" s="1116"/>
      <c r="R3505" s="1141"/>
      <c r="S3505" s="1113"/>
      <c r="T3505" s="1143"/>
      <c r="U3505" s="1108"/>
      <c r="V3505" s="1108"/>
      <c r="W3505" s="1108"/>
      <c r="X3505" s="1108"/>
      <c r="Y3505" s="1108"/>
      <c r="Z3505" s="1114"/>
      <c r="AA3505" s="1114"/>
      <c r="AB3505" s="1114"/>
      <c r="AC3505" s="1117"/>
      <c r="AD3505" s="1115"/>
      <c r="AE3505" s="1115"/>
      <c r="AF3505" s="1115"/>
      <c r="AG3505" s="1115"/>
      <c r="AH3505" s="1115"/>
      <c r="AI3505" s="1115"/>
      <c r="AJ3505" s="1117"/>
      <c r="AK3505" s="1118"/>
      <c r="AL3505" s="1115"/>
      <c r="AM3505" s="1115"/>
      <c r="AN3505" s="1115"/>
      <c r="AO3505" s="1115"/>
      <c r="AP3505" s="1115"/>
      <c r="AQ3505" s="1115"/>
      <c r="AR3505" s="1115"/>
      <c r="AS3505" s="1117"/>
      <c r="AT3505" s="1075"/>
      <c r="AU3505" s="1193"/>
      <c r="AV3505" s="330"/>
      <c r="AW3505" s="331"/>
      <c r="AX3505" s="331"/>
      <c r="AY3505" s="331"/>
      <c r="AZ3505" s="331"/>
      <c r="BA3505" s="331"/>
      <c r="BB3505" s="331"/>
      <c r="BC3505" s="331"/>
      <c r="BD3505" s="331"/>
      <c r="BE3505" s="333"/>
      <c r="BF3505" s="330"/>
      <c r="BG3505" s="333"/>
      <c r="BH3505" s="1119"/>
      <c r="BI3505" s="319"/>
      <c r="BJ3505" s="319"/>
      <c r="BK3505" s="319"/>
      <c r="BL3505" s="319"/>
      <c r="BM3505" s="319"/>
      <c r="BN3505" s="319"/>
      <c r="BO3505" s="319"/>
      <c r="BP3505" s="953"/>
      <c r="BQ3505" s="319"/>
      <c r="BR3505" s="319"/>
      <c r="BS3505" s="330"/>
      <c r="BT3505" s="331"/>
      <c r="BU3505" s="920"/>
      <c r="BV3505" s="903"/>
      <c r="BW3505" s="908"/>
      <c r="BX3505" s="908"/>
      <c r="BY3505" s="331"/>
      <c r="BZ3505" s="331"/>
      <c r="CA3505" s="462"/>
      <c r="CB3505" s="319"/>
      <c r="CC3505" s="319"/>
      <c r="CD3505" s="319"/>
      <c r="CE3505" s="319"/>
      <c r="CF3505" s="319"/>
      <c r="CG3505" s="319"/>
      <c r="CH3505" s="318"/>
      <c r="CI3505" s="319"/>
      <c r="CJ3505" s="319"/>
      <c r="CK3505" s="342"/>
      <c r="CL3505" s="333"/>
      <c r="CM3505" s="1079"/>
      <c r="CN3505" s="1005"/>
      <c r="CO3505" s="1005"/>
      <c r="CP3505" s="1005"/>
    </row>
    <row r="3506">
      <c r="A3506" s="1257"/>
      <c r="B3506" s="1113"/>
      <c r="C3506" s="1107"/>
      <c r="D3506" s="103"/>
      <c r="E3506" s="1137"/>
      <c r="F3506" s="112"/>
      <c r="G3506" s="1110"/>
      <c r="H3506" s="1138"/>
      <c r="I3506" s="1138"/>
      <c r="J3506" s="1139"/>
      <c r="K3506" s="1111"/>
      <c r="L3506" s="1112"/>
      <c r="M3506" s="1113"/>
      <c r="N3506" s="110"/>
      <c r="O3506" s="1140"/>
      <c r="P3506" s="1115"/>
      <c r="Q3506" s="1116"/>
      <c r="R3506" s="1141"/>
      <c r="S3506" s="1113"/>
      <c r="T3506" s="1143"/>
      <c r="U3506" s="1108"/>
      <c r="V3506" s="1108"/>
      <c r="W3506" s="1108"/>
      <c r="X3506" s="1108"/>
      <c r="Y3506" s="1108"/>
      <c r="Z3506" s="1114"/>
      <c r="AA3506" s="1114"/>
      <c r="AB3506" s="1114"/>
      <c r="AC3506" s="1117"/>
      <c r="AD3506" s="1115"/>
      <c r="AE3506" s="1115"/>
      <c r="AF3506" s="1115"/>
      <c r="AG3506" s="1115"/>
      <c r="AH3506" s="1115"/>
      <c r="AI3506" s="1115"/>
      <c r="AJ3506" s="1117"/>
      <c r="AK3506" s="1118"/>
      <c r="AL3506" s="1115"/>
      <c r="AM3506" s="1115"/>
      <c r="AN3506" s="1115"/>
      <c r="AO3506" s="1115"/>
      <c r="AP3506" s="1115"/>
      <c r="AQ3506" s="1115"/>
      <c r="AR3506" s="1115"/>
      <c r="AS3506" s="1117"/>
      <c r="AT3506" s="1075"/>
      <c r="AU3506" s="1193"/>
      <c r="AV3506" s="330"/>
      <c r="AW3506" s="331"/>
      <c r="AX3506" s="331"/>
      <c r="AY3506" s="331"/>
      <c r="AZ3506" s="331"/>
      <c r="BA3506" s="331"/>
      <c r="BB3506" s="331"/>
      <c r="BC3506" s="331"/>
      <c r="BD3506" s="331"/>
      <c r="BE3506" s="333"/>
      <c r="BF3506" s="330"/>
      <c r="BG3506" s="333"/>
      <c r="BH3506" s="1119"/>
      <c r="BI3506" s="319"/>
      <c r="BJ3506" s="319"/>
      <c r="BK3506" s="319"/>
      <c r="BL3506" s="319"/>
      <c r="BM3506" s="319"/>
      <c r="BN3506" s="319"/>
      <c r="BO3506" s="319"/>
      <c r="BP3506" s="953"/>
      <c r="BQ3506" s="319"/>
      <c r="BR3506" s="319"/>
      <c r="BS3506" s="330"/>
      <c r="BT3506" s="331"/>
      <c r="BU3506" s="920"/>
      <c r="BV3506" s="903"/>
      <c r="BW3506" s="908"/>
      <c r="BX3506" s="908"/>
      <c r="BY3506" s="331"/>
      <c r="BZ3506" s="331"/>
      <c r="CA3506" s="462"/>
      <c r="CB3506" s="319"/>
      <c r="CC3506" s="319"/>
      <c r="CD3506" s="319"/>
      <c r="CE3506" s="319"/>
      <c r="CF3506" s="319"/>
      <c r="CG3506" s="319"/>
      <c r="CH3506" s="318"/>
      <c r="CI3506" s="319"/>
      <c r="CJ3506" s="319"/>
      <c r="CK3506" s="342"/>
      <c r="CL3506" s="333"/>
      <c r="CM3506" s="1079"/>
      <c r="CN3506" s="1005"/>
      <c r="CO3506" s="1005"/>
      <c r="CP3506" s="1005"/>
    </row>
    <row r="3507">
      <c r="A3507" s="1257"/>
      <c r="B3507" s="1113"/>
      <c r="C3507" s="1107"/>
      <c r="D3507" s="103"/>
      <c r="E3507" s="1137"/>
      <c r="F3507" s="112"/>
      <c r="G3507" s="1110"/>
      <c r="H3507" s="1138"/>
      <c r="I3507" s="1138"/>
      <c r="J3507" s="1139"/>
      <c r="K3507" s="1111"/>
      <c r="L3507" s="1112"/>
      <c r="M3507" s="1113"/>
      <c r="N3507" s="110"/>
      <c r="O3507" s="1140"/>
      <c r="P3507" s="1115"/>
      <c r="Q3507" s="1116"/>
      <c r="R3507" s="1141"/>
      <c r="S3507" s="1113"/>
      <c r="T3507" s="1143"/>
      <c r="U3507" s="1108"/>
      <c r="V3507" s="1108"/>
      <c r="W3507" s="1108"/>
      <c r="X3507" s="1108"/>
      <c r="Y3507" s="1108"/>
      <c r="Z3507" s="1114"/>
      <c r="AA3507" s="1114"/>
      <c r="AB3507" s="1114"/>
      <c r="AC3507" s="1117"/>
      <c r="AD3507" s="1115"/>
      <c r="AE3507" s="1115"/>
      <c r="AF3507" s="1115"/>
      <c r="AG3507" s="1115"/>
      <c r="AH3507" s="1115"/>
      <c r="AI3507" s="1115"/>
      <c r="AJ3507" s="1117"/>
      <c r="AK3507" s="1118"/>
      <c r="AL3507" s="1115"/>
      <c r="AM3507" s="1115"/>
      <c r="AN3507" s="1115"/>
      <c r="AO3507" s="1115"/>
      <c r="AP3507" s="1115"/>
      <c r="AQ3507" s="1115"/>
      <c r="AR3507" s="1115"/>
      <c r="AS3507" s="1117"/>
      <c r="AT3507" s="1075"/>
      <c r="AU3507" s="1193"/>
      <c r="AV3507" s="330"/>
      <c r="AW3507" s="331"/>
      <c r="AX3507" s="331"/>
      <c r="AY3507" s="331"/>
      <c r="AZ3507" s="331"/>
      <c r="BA3507" s="331"/>
      <c r="BB3507" s="331"/>
      <c r="BC3507" s="331"/>
      <c r="BD3507" s="331"/>
      <c r="BE3507" s="333"/>
      <c r="BF3507" s="330"/>
      <c r="BG3507" s="333"/>
      <c r="BH3507" s="1119"/>
      <c r="BI3507" s="319"/>
      <c r="BJ3507" s="319"/>
      <c r="BK3507" s="319"/>
      <c r="BL3507" s="319"/>
      <c r="BM3507" s="319"/>
      <c r="BN3507" s="319"/>
      <c r="BO3507" s="319"/>
      <c r="BP3507" s="953"/>
      <c r="BQ3507" s="319"/>
      <c r="BR3507" s="319"/>
      <c r="BS3507" s="330"/>
      <c r="BT3507" s="331"/>
      <c r="BU3507" s="920"/>
      <c r="BV3507" s="903"/>
      <c r="BW3507" s="908"/>
      <c r="BX3507" s="908"/>
      <c r="BY3507" s="331"/>
      <c r="BZ3507" s="331"/>
      <c r="CA3507" s="462"/>
      <c r="CB3507" s="319"/>
      <c r="CC3507" s="319"/>
      <c r="CD3507" s="319"/>
      <c r="CE3507" s="319"/>
      <c r="CF3507" s="319"/>
      <c r="CG3507" s="319"/>
      <c r="CH3507" s="318"/>
      <c r="CI3507" s="319"/>
      <c r="CJ3507" s="319"/>
      <c r="CK3507" s="342"/>
      <c r="CL3507" s="333"/>
      <c r="CM3507" s="1079"/>
      <c r="CN3507" s="1005"/>
      <c r="CO3507" s="1005"/>
      <c r="CP3507" s="1005"/>
    </row>
    <row r="3508">
      <c r="A3508" s="1257"/>
      <c r="B3508" s="1113"/>
      <c r="C3508" s="1107"/>
      <c r="D3508" s="103"/>
      <c r="E3508" s="1137"/>
      <c r="F3508" s="112"/>
      <c r="G3508" s="1110"/>
      <c r="H3508" s="1138"/>
      <c r="I3508" s="1138"/>
      <c r="J3508" s="1139"/>
      <c r="K3508" s="1111"/>
      <c r="L3508" s="1112"/>
      <c r="M3508" s="1113"/>
      <c r="N3508" s="110"/>
      <c r="O3508" s="1140"/>
      <c r="P3508" s="1115"/>
      <c r="Q3508" s="1116"/>
      <c r="R3508" s="1141"/>
      <c r="S3508" s="1113"/>
      <c r="T3508" s="1143"/>
      <c r="U3508" s="1108"/>
      <c r="V3508" s="1108"/>
      <c r="W3508" s="1108"/>
      <c r="X3508" s="1108"/>
      <c r="Y3508" s="1108"/>
      <c r="Z3508" s="1114"/>
      <c r="AA3508" s="1114"/>
      <c r="AB3508" s="1114"/>
      <c r="AC3508" s="1117"/>
      <c r="AD3508" s="1115"/>
      <c r="AE3508" s="1115"/>
      <c r="AF3508" s="1115"/>
      <c r="AG3508" s="1115"/>
      <c r="AH3508" s="1115"/>
      <c r="AI3508" s="1115"/>
      <c r="AJ3508" s="1117"/>
      <c r="AK3508" s="1118"/>
      <c r="AL3508" s="1115"/>
      <c r="AM3508" s="1115"/>
      <c r="AN3508" s="1115"/>
      <c r="AO3508" s="1115"/>
      <c r="AP3508" s="1115"/>
      <c r="AQ3508" s="1115"/>
      <c r="AR3508" s="1115"/>
      <c r="AS3508" s="1117"/>
      <c r="AT3508" s="1075"/>
      <c r="AU3508" s="1193"/>
      <c r="AV3508" s="330"/>
      <c r="AW3508" s="331"/>
      <c r="AX3508" s="331"/>
      <c r="AY3508" s="331"/>
      <c r="AZ3508" s="331"/>
      <c r="BA3508" s="331"/>
      <c r="BB3508" s="331"/>
      <c r="BC3508" s="331"/>
      <c r="BD3508" s="331"/>
      <c r="BE3508" s="333"/>
      <c r="BF3508" s="330"/>
      <c r="BG3508" s="333"/>
      <c r="BH3508" s="1119"/>
      <c r="BI3508" s="319"/>
      <c r="BJ3508" s="319"/>
      <c r="BK3508" s="319"/>
      <c r="BL3508" s="319"/>
      <c r="BM3508" s="319"/>
      <c r="BN3508" s="319"/>
      <c r="BO3508" s="319"/>
      <c r="BP3508" s="953"/>
      <c r="BQ3508" s="319"/>
      <c r="BR3508" s="319"/>
      <c r="BS3508" s="330"/>
      <c r="BT3508" s="331"/>
      <c r="BU3508" s="920"/>
      <c r="BV3508" s="903"/>
      <c r="BW3508" s="908"/>
      <c r="BX3508" s="908"/>
      <c r="BY3508" s="331"/>
      <c r="BZ3508" s="331"/>
      <c r="CA3508" s="462"/>
      <c r="CB3508" s="319"/>
      <c r="CC3508" s="319"/>
      <c r="CD3508" s="319"/>
      <c r="CE3508" s="319"/>
      <c r="CF3508" s="319"/>
      <c r="CG3508" s="319"/>
      <c r="CH3508" s="318"/>
      <c r="CI3508" s="319"/>
      <c r="CJ3508" s="319"/>
      <c r="CK3508" s="342"/>
      <c r="CL3508" s="333"/>
      <c r="CM3508" s="1079"/>
      <c r="CN3508" s="1005"/>
      <c r="CO3508" s="1005"/>
      <c r="CP3508" s="1005"/>
    </row>
    <row r="3509">
      <c r="A3509" s="1257"/>
      <c r="B3509" s="1113"/>
      <c r="C3509" s="1107"/>
      <c r="D3509" s="103"/>
      <c r="E3509" s="1137"/>
      <c r="F3509" s="112"/>
      <c r="G3509" s="1110"/>
      <c r="H3509" s="1138"/>
      <c r="I3509" s="1138"/>
      <c r="J3509" s="1139"/>
      <c r="K3509" s="1111"/>
      <c r="L3509" s="1112"/>
      <c r="M3509" s="1113"/>
      <c r="N3509" s="110"/>
      <c r="O3509" s="1140"/>
      <c r="P3509" s="1115"/>
      <c r="Q3509" s="1116"/>
      <c r="R3509" s="1141"/>
      <c r="S3509" s="1113"/>
      <c r="T3509" s="1143"/>
      <c r="U3509" s="1108"/>
      <c r="V3509" s="1108"/>
      <c r="W3509" s="1108"/>
      <c r="X3509" s="1108"/>
      <c r="Y3509" s="1108"/>
      <c r="Z3509" s="1114"/>
      <c r="AA3509" s="1114"/>
      <c r="AB3509" s="1114"/>
      <c r="AC3509" s="1117"/>
      <c r="AD3509" s="1115"/>
      <c r="AE3509" s="1115"/>
      <c r="AF3509" s="1115"/>
      <c r="AG3509" s="1115"/>
      <c r="AH3509" s="1115"/>
      <c r="AI3509" s="1115"/>
      <c r="AJ3509" s="1117"/>
      <c r="AK3509" s="1118"/>
      <c r="AL3509" s="1115"/>
      <c r="AM3509" s="1115"/>
      <c r="AN3509" s="1115"/>
      <c r="AO3509" s="1115"/>
      <c r="AP3509" s="1115"/>
      <c r="AQ3509" s="1115"/>
      <c r="AR3509" s="1115"/>
      <c r="AS3509" s="1117"/>
      <c r="AT3509" s="1075"/>
      <c r="AU3509" s="1193"/>
      <c r="AV3509" s="330"/>
      <c r="AW3509" s="331"/>
      <c r="AX3509" s="331"/>
      <c r="AY3509" s="331"/>
      <c r="AZ3509" s="331"/>
      <c r="BA3509" s="331"/>
      <c r="BB3509" s="331"/>
      <c r="BC3509" s="331"/>
      <c r="BD3509" s="331"/>
      <c r="BE3509" s="333"/>
      <c r="BF3509" s="330"/>
      <c r="BG3509" s="333"/>
      <c r="BH3509" s="1119"/>
      <c r="BI3509" s="319"/>
      <c r="BJ3509" s="319"/>
      <c r="BK3509" s="319"/>
      <c r="BL3509" s="319"/>
      <c r="BM3509" s="319"/>
      <c r="BN3509" s="319"/>
      <c r="BO3509" s="319"/>
      <c r="BP3509" s="953"/>
      <c r="BQ3509" s="319"/>
      <c r="BR3509" s="319"/>
      <c r="BS3509" s="330"/>
      <c r="BT3509" s="331"/>
      <c r="BU3509" s="920"/>
      <c r="BV3509" s="903"/>
      <c r="BW3509" s="908"/>
      <c r="BX3509" s="908"/>
      <c r="BY3509" s="331"/>
      <c r="BZ3509" s="331"/>
      <c r="CA3509" s="462"/>
      <c r="CB3509" s="319"/>
      <c r="CC3509" s="319"/>
      <c r="CD3509" s="319"/>
      <c r="CE3509" s="319"/>
      <c r="CF3509" s="319"/>
      <c r="CG3509" s="319"/>
      <c r="CH3509" s="318"/>
      <c r="CI3509" s="319"/>
      <c r="CJ3509" s="319"/>
      <c r="CK3509" s="342"/>
      <c r="CL3509" s="333"/>
      <c r="CM3509" s="1079"/>
      <c r="CN3509" s="1005"/>
      <c r="CO3509" s="1005"/>
      <c r="CP3509" s="1005"/>
    </row>
    <row r="3510">
      <c r="A3510" s="1257"/>
      <c r="B3510" s="1113"/>
      <c r="C3510" s="1107"/>
      <c r="D3510" s="103"/>
      <c r="E3510" s="1137"/>
      <c r="F3510" s="112"/>
      <c r="G3510" s="1110"/>
      <c r="H3510" s="1138"/>
      <c r="I3510" s="1138"/>
      <c r="J3510" s="1139"/>
      <c r="K3510" s="1111"/>
      <c r="L3510" s="1112"/>
      <c r="M3510" s="1113"/>
      <c r="N3510" s="110"/>
      <c r="O3510" s="1140"/>
      <c r="P3510" s="1115"/>
      <c r="Q3510" s="1116"/>
      <c r="R3510" s="1141"/>
      <c r="S3510" s="1113"/>
      <c r="T3510" s="1143"/>
      <c r="U3510" s="1108"/>
      <c r="V3510" s="1108"/>
      <c r="W3510" s="1108"/>
      <c r="X3510" s="1108"/>
      <c r="Y3510" s="1108"/>
      <c r="Z3510" s="1114"/>
      <c r="AA3510" s="1114"/>
      <c r="AB3510" s="1114"/>
      <c r="AC3510" s="1117"/>
      <c r="AD3510" s="1115"/>
      <c r="AE3510" s="1115"/>
      <c r="AF3510" s="1115"/>
      <c r="AG3510" s="1115"/>
      <c r="AH3510" s="1115"/>
      <c r="AI3510" s="1115"/>
      <c r="AJ3510" s="1117"/>
      <c r="AK3510" s="1118"/>
      <c r="AL3510" s="1115"/>
      <c r="AM3510" s="1115"/>
      <c r="AN3510" s="1115"/>
      <c r="AO3510" s="1115"/>
      <c r="AP3510" s="1115"/>
      <c r="AQ3510" s="1115"/>
      <c r="AR3510" s="1115"/>
      <c r="AS3510" s="1117"/>
      <c r="AT3510" s="1075"/>
      <c r="AU3510" s="1193"/>
      <c r="AV3510" s="330"/>
      <c r="AW3510" s="331"/>
      <c r="AX3510" s="331"/>
      <c r="AY3510" s="331"/>
      <c r="AZ3510" s="331"/>
      <c r="BA3510" s="331"/>
      <c r="BB3510" s="331"/>
      <c r="BC3510" s="331"/>
      <c r="BD3510" s="331"/>
      <c r="BE3510" s="333"/>
      <c r="BF3510" s="330"/>
      <c r="BG3510" s="333"/>
      <c r="BH3510" s="1119"/>
      <c r="BI3510" s="319"/>
      <c r="BJ3510" s="319"/>
      <c r="BK3510" s="319"/>
      <c r="BL3510" s="319"/>
      <c r="BM3510" s="319"/>
      <c r="BN3510" s="319"/>
      <c r="BO3510" s="319"/>
      <c r="BP3510" s="953"/>
      <c r="BQ3510" s="319"/>
      <c r="BR3510" s="319"/>
      <c r="BS3510" s="330"/>
      <c r="BT3510" s="331"/>
      <c r="BU3510" s="920"/>
      <c r="BV3510" s="903"/>
      <c r="BW3510" s="908"/>
      <c r="BX3510" s="908"/>
      <c r="BY3510" s="331"/>
      <c r="BZ3510" s="331"/>
      <c r="CA3510" s="462"/>
      <c r="CB3510" s="319"/>
      <c r="CC3510" s="319"/>
      <c r="CD3510" s="319"/>
      <c r="CE3510" s="319"/>
      <c r="CF3510" s="319"/>
      <c r="CG3510" s="319"/>
      <c r="CH3510" s="318"/>
      <c r="CI3510" s="319"/>
      <c r="CJ3510" s="319"/>
      <c r="CK3510" s="342"/>
      <c r="CL3510" s="333"/>
      <c r="CM3510" s="1079"/>
      <c r="CN3510" s="1005"/>
      <c r="CO3510" s="1005"/>
      <c r="CP3510" s="1005"/>
    </row>
    <row r="3511">
      <c r="A3511" s="1257"/>
      <c r="B3511" s="1113"/>
      <c r="C3511" s="1107"/>
      <c r="D3511" s="103"/>
      <c r="E3511" s="1137"/>
      <c r="F3511" s="112"/>
      <c r="G3511" s="1110"/>
      <c r="H3511" s="1138"/>
      <c r="I3511" s="1138"/>
      <c r="J3511" s="1139"/>
      <c r="K3511" s="1111"/>
      <c r="L3511" s="1112"/>
      <c r="M3511" s="1113"/>
      <c r="N3511" s="110"/>
      <c r="O3511" s="1140"/>
      <c r="P3511" s="1115"/>
      <c r="Q3511" s="1116"/>
      <c r="R3511" s="1141"/>
      <c r="S3511" s="1113"/>
      <c r="T3511" s="1143"/>
      <c r="U3511" s="1108"/>
      <c r="V3511" s="1108"/>
      <c r="W3511" s="1108"/>
      <c r="X3511" s="1108"/>
      <c r="Y3511" s="1108"/>
      <c r="Z3511" s="1114"/>
      <c r="AA3511" s="1114"/>
      <c r="AB3511" s="1114"/>
      <c r="AC3511" s="1117"/>
      <c r="AD3511" s="1115"/>
      <c r="AE3511" s="1115"/>
      <c r="AF3511" s="1115"/>
      <c r="AG3511" s="1115"/>
      <c r="AH3511" s="1115"/>
      <c r="AI3511" s="1115"/>
      <c r="AJ3511" s="1117"/>
      <c r="AK3511" s="1118"/>
      <c r="AL3511" s="1115"/>
      <c r="AM3511" s="1115"/>
      <c r="AN3511" s="1115"/>
      <c r="AO3511" s="1115"/>
      <c r="AP3511" s="1115"/>
      <c r="AQ3511" s="1115"/>
      <c r="AR3511" s="1115"/>
      <c r="AS3511" s="1117"/>
      <c r="AT3511" s="1075"/>
      <c r="AU3511" s="1193"/>
      <c r="AV3511" s="330"/>
      <c r="AW3511" s="331"/>
      <c r="AX3511" s="331"/>
      <c r="AY3511" s="331"/>
      <c r="AZ3511" s="331"/>
      <c r="BA3511" s="331"/>
      <c r="BB3511" s="331"/>
      <c r="BC3511" s="331"/>
      <c r="BD3511" s="331"/>
      <c r="BE3511" s="333"/>
      <c r="BF3511" s="330"/>
      <c r="BG3511" s="333"/>
      <c r="BH3511" s="1119"/>
      <c r="BI3511" s="319"/>
      <c r="BJ3511" s="319"/>
      <c r="BK3511" s="319"/>
      <c r="BL3511" s="319"/>
      <c r="BM3511" s="319"/>
      <c r="BN3511" s="319"/>
      <c r="BO3511" s="319"/>
      <c r="BP3511" s="953"/>
      <c r="BQ3511" s="319"/>
      <c r="BR3511" s="319"/>
      <c r="BS3511" s="330"/>
      <c r="BT3511" s="331"/>
      <c r="BU3511" s="920"/>
      <c r="BV3511" s="903"/>
      <c r="BW3511" s="908"/>
      <c r="BX3511" s="908"/>
      <c r="BY3511" s="331"/>
      <c r="BZ3511" s="331"/>
      <c r="CA3511" s="462"/>
      <c r="CB3511" s="319"/>
      <c r="CC3511" s="319"/>
      <c r="CD3511" s="319"/>
      <c r="CE3511" s="319"/>
      <c r="CF3511" s="319"/>
      <c r="CG3511" s="319"/>
      <c r="CH3511" s="318"/>
      <c r="CI3511" s="319"/>
      <c r="CJ3511" s="319"/>
      <c r="CK3511" s="342"/>
      <c r="CL3511" s="333"/>
      <c r="CM3511" s="1079"/>
      <c r="CN3511" s="1005"/>
      <c r="CO3511" s="1005"/>
      <c r="CP3511" s="1005"/>
    </row>
    <row r="3512">
      <c r="A3512" s="1257"/>
      <c r="B3512" s="1113"/>
      <c r="C3512" s="1107"/>
      <c r="D3512" s="103"/>
      <c r="E3512" s="1137"/>
      <c r="F3512" s="112"/>
      <c r="G3512" s="1110"/>
      <c r="H3512" s="1138"/>
      <c r="I3512" s="1138"/>
      <c r="J3512" s="1139"/>
      <c r="K3512" s="1111"/>
      <c r="L3512" s="1112"/>
      <c r="M3512" s="1113"/>
      <c r="N3512" s="110"/>
      <c r="O3512" s="1140"/>
      <c r="P3512" s="1115"/>
      <c r="Q3512" s="1116"/>
      <c r="R3512" s="1141"/>
      <c r="S3512" s="1113"/>
      <c r="T3512" s="1143"/>
      <c r="U3512" s="1108"/>
      <c r="V3512" s="1108"/>
      <c r="W3512" s="1108"/>
      <c r="X3512" s="1108"/>
      <c r="Y3512" s="1108"/>
      <c r="Z3512" s="1114"/>
      <c r="AA3512" s="1114"/>
      <c r="AB3512" s="1114"/>
      <c r="AC3512" s="1117"/>
      <c r="AD3512" s="1115"/>
      <c r="AE3512" s="1115"/>
      <c r="AF3512" s="1115"/>
      <c r="AG3512" s="1115"/>
      <c r="AH3512" s="1115"/>
      <c r="AI3512" s="1115"/>
      <c r="AJ3512" s="1117"/>
      <c r="AK3512" s="1118"/>
      <c r="AL3512" s="1115"/>
      <c r="AM3512" s="1115"/>
      <c r="AN3512" s="1115"/>
      <c r="AO3512" s="1115"/>
      <c r="AP3512" s="1115"/>
      <c r="AQ3512" s="1115"/>
      <c r="AR3512" s="1115"/>
      <c r="AS3512" s="1117"/>
      <c r="AT3512" s="1075"/>
      <c r="AU3512" s="1193"/>
      <c r="AV3512" s="330"/>
      <c r="AW3512" s="331"/>
      <c r="AX3512" s="331"/>
      <c r="AY3512" s="331"/>
      <c r="AZ3512" s="331"/>
      <c r="BA3512" s="331"/>
      <c r="BB3512" s="331"/>
      <c r="BC3512" s="331"/>
      <c r="BD3512" s="331"/>
      <c r="BE3512" s="333"/>
      <c r="BF3512" s="330"/>
      <c r="BG3512" s="333"/>
      <c r="BH3512" s="1119"/>
      <c r="BI3512" s="319"/>
      <c r="BJ3512" s="319"/>
      <c r="BK3512" s="319"/>
      <c r="BL3512" s="319"/>
      <c r="BM3512" s="319"/>
      <c r="BN3512" s="319"/>
      <c r="BO3512" s="319"/>
      <c r="BP3512" s="953"/>
      <c r="BQ3512" s="319"/>
      <c r="BR3512" s="319"/>
      <c r="BS3512" s="330"/>
      <c r="BT3512" s="331"/>
      <c r="BU3512" s="920"/>
      <c r="BV3512" s="903"/>
      <c r="BW3512" s="908"/>
      <c r="BX3512" s="908"/>
      <c r="BY3512" s="331"/>
      <c r="BZ3512" s="331"/>
      <c r="CA3512" s="462"/>
      <c r="CB3512" s="319"/>
      <c r="CC3512" s="319"/>
      <c r="CD3512" s="319"/>
      <c r="CE3512" s="319"/>
      <c r="CF3512" s="319"/>
      <c r="CG3512" s="319"/>
      <c r="CH3512" s="318"/>
      <c r="CI3512" s="319"/>
      <c r="CJ3512" s="319"/>
      <c r="CK3512" s="342"/>
      <c r="CL3512" s="333"/>
      <c r="CM3512" s="1079"/>
      <c r="CN3512" s="1005"/>
      <c r="CO3512" s="1005"/>
      <c r="CP3512" s="1005"/>
    </row>
    <row r="3513">
      <c r="A3513" s="1257"/>
      <c r="B3513" s="1113"/>
      <c r="C3513" s="1107"/>
      <c r="D3513" s="103"/>
      <c r="E3513" s="1137"/>
      <c r="F3513" s="112"/>
      <c r="G3513" s="1110"/>
      <c r="H3513" s="1138"/>
      <c r="I3513" s="1138"/>
      <c r="J3513" s="1139"/>
      <c r="K3513" s="1111"/>
      <c r="L3513" s="1112"/>
      <c r="M3513" s="1113"/>
      <c r="N3513" s="110"/>
      <c r="O3513" s="1140"/>
      <c r="P3513" s="1115"/>
      <c r="Q3513" s="1116"/>
      <c r="R3513" s="1141"/>
      <c r="S3513" s="1113"/>
      <c r="T3513" s="1143"/>
      <c r="U3513" s="1108"/>
      <c r="V3513" s="1108"/>
      <c r="W3513" s="1108"/>
      <c r="X3513" s="1108"/>
      <c r="Y3513" s="1108"/>
      <c r="Z3513" s="1114"/>
      <c r="AA3513" s="1114"/>
      <c r="AB3513" s="1114"/>
      <c r="AC3513" s="1117"/>
      <c r="AD3513" s="1115"/>
      <c r="AE3513" s="1115"/>
      <c r="AF3513" s="1115"/>
      <c r="AG3513" s="1115"/>
      <c r="AH3513" s="1115"/>
      <c r="AI3513" s="1115"/>
      <c r="AJ3513" s="1117"/>
      <c r="AK3513" s="1118"/>
      <c r="AL3513" s="1115"/>
      <c r="AM3513" s="1115"/>
      <c r="AN3513" s="1115"/>
      <c r="AO3513" s="1115"/>
      <c r="AP3513" s="1115"/>
      <c r="AQ3513" s="1115"/>
      <c r="AR3513" s="1115"/>
      <c r="AS3513" s="1117"/>
      <c r="AT3513" s="1075"/>
      <c r="AU3513" s="1193"/>
      <c r="AV3513" s="330"/>
      <c r="AW3513" s="331"/>
      <c r="AX3513" s="331"/>
      <c r="AY3513" s="331"/>
      <c r="AZ3513" s="331"/>
      <c r="BA3513" s="331"/>
      <c r="BB3513" s="331"/>
      <c r="BC3513" s="331"/>
      <c r="BD3513" s="331"/>
      <c r="BE3513" s="333"/>
      <c r="BF3513" s="330"/>
      <c r="BG3513" s="333"/>
      <c r="BH3513" s="1119"/>
      <c r="BI3513" s="319"/>
      <c r="BJ3513" s="319"/>
      <c r="BK3513" s="319"/>
      <c r="BL3513" s="319"/>
      <c r="BM3513" s="319"/>
      <c r="BN3513" s="319"/>
      <c r="BO3513" s="319"/>
      <c r="BP3513" s="953"/>
      <c r="BQ3513" s="319"/>
      <c r="BR3513" s="319"/>
      <c r="BS3513" s="330"/>
      <c r="BT3513" s="331"/>
      <c r="BU3513" s="920"/>
      <c r="BV3513" s="903"/>
      <c r="BW3513" s="908"/>
      <c r="BX3513" s="908"/>
      <c r="BY3513" s="331"/>
      <c r="BZ3513" s="331"/>
      <c r="CA3513" s="462"/>
      <c r="CB3513" s="319"/>
      <c r="CC3513" s="319"/>
      <c r="CD3513" s="319"/>
      <c r="CE3513" s="319"/>
      <c r="CF3513" s="319"/>
      <c r="CG3513" s="319"/>
      <c r="CH3513" s="318"/>
      <c r="CI3513" s="319"/>
      <c r="CJ3513" s="319"/>
      <c r="CK3513" s="342"/>
      <c r="CL3513" s="333"/>
      <c r="CM3513" s="1079"/>
      <c r="CN3513" s="1005"/>
      <c r="CO3513" s="1005"/>
      <c r="CP3513" s="1005"/>
    </row>
    <row r="3514">
      <c r="A3514" s="1257"/>
      <c r="B3514" s="1113"/>
      <c r="C3514" s="1107"/>
      <c r="D3514" s="103"/>
      <c r="E3514" s="1137"/>
      <c r="F3514" s="112"/>
      <c r="G3514" s="1110"/>
      <c r="H3514" s="1138"/>
      <c r="I3514" s="1138"/>
      <c r="J3514" s="1139"/>
      <c r="K3514" s="1111"/>
      <c r="L3514" s="1112"/>
      <c r="M3514" s="1113"/>
      <c r="N3514" s="110"/>
      <c r="O3514" s="1140"/>
      <c r="P3514" s="1115"/>
      <c r="Q3514" s="1116"/>
      <c r="R3514" s="1141"/>
      <c r="S3514" s="1113"/>
      <c r="T3514" s="1143"/>
      <c r="U3514" s="1108"/>
      <c r="V3514" s="1108"/>
      <c r="W3514" s="1108"/>
      <c r="X3514" s="1108"/>
      <c r="Y3514" s="1108"/>
      <c r="Z3514" s="1114"/>
      <c r="AA3514" s="1114"/>
      <c r="AB3514" s="1114"/>
      <c r="AC3514" s="1117"/>
      <c r="AD3514" s="1115"/>
      <c r="AE3514" s="1115"/>
      <c r="AF3514" s="1115"/>
      <c r="AG3514" s="1115"/>
      <c r="AH3514" s="1115"/>
      <c r="AI3514" s="1115"/>
      <c r="AJ3514" s="1117"/>
      <c r="AK3514" s="1118"/>
      <c r="AL3514" s="1115"/>
      <c r="AM3514" s="1115"/>
      <c r="AN3514" s="1115"/>
      <c r="AO3514" s="1115"/>
      <c r="AP3514" s="1115"/>
      <c r="AQ3514" s="1115"/>
      <c r="AR3514" s="1115"/>
      <c r="AS3514" s="1117"/>
      <c r="AT3514" s="1075"/>
      <c r="AU3514" s="1193"/>
      <c r="AV3514" s="330"/>
      <c r="AW3514" s="331"/>
      <c r="AX3514" s="331"/>
      <c r="AY3514" s="331"/>
      <c r="AZ3514" s="331"/>
      <c r="BA3514" s="331"/>
      <c r="BB3514" s="331"/>
      <c r="BC3514" s="331"/>
      <c r="BD3514" s="331"/>
      <c r="BE3514" s="333"/>
      <c r="BF3514" s="330"/>
      <c r="BG3514" s="333"/>
      <c r="BH3514" s="1119"/>
      <c r="BI3514" s="319"/>
      <c r="BJ3514" s="319"/>
      <c r="BK3514" s="319"/>
      <c r="BL3514" s="319"/>
      <c r="BM3514" s="319"/>
      <c r="BN3514" s="319"/>
      <c r="BO3514" s="319"/>
      <c r="BP3514" s="953"/>
      <c r="BQ3514" s="319"/>
      <c r="BR3514" s="319"/>
      <c r="BS3514" s="330"/>
      <c r="BT3514" s="331"/>
      <c r="BU3514" s="920"/>
      <c r="BV3514" s="903"/>
      <c r="BW3514" s="908"/>
      <c r="BX3514" s="908"/>
      <c r="BY3514" s="331"/>
      <c r="BZ3514" s="331"/>
      <c r="CA3514" s="462"/>
      <c r="CB3514" s="319"/>
      <c r="CC3514" s="319"/>
      <c r="CD3514" s="319"/>
      <c r="CE3514" s="319"/>
      <c r="CF3514" s="319"/>
      <c r="CG3514" s="319"/>
      <c r="CH3514" s="318"/>
      <c r="CI3514" s="319"/>
      <c r="CJ3514" s="319"/>
      <c r="CK3514" s="342"/>
      <c r="CL3514" s="333"/>
      <c r="CM3514" s="1079"/>
      <c r="CN3514" s="1005"/>
      <c r="CO3514" s="1005"/>
      <c r="CP3514" s="1005"/>
    </row>
    <row r="3515">
      <c r="A3515" s="1257"/>
      <c r="B3515" s="1113"/>
      <c r="C3515" s="1107"/>
      <c r="D3515" s="103"/>
      <c r="E3515" s="1137"/>
      <c r="F3515" s="112"/>
      <c r="G3515" s="1110"/>
      <c r="H3515" s="1138"/>
      <c r="I3515" s="1138"/>
      <c r="J3515" s="1139"/>
      <c r="K3515" s="1111"/>
      <c r="L3515" s="1112"/>
      <c r="M3515" s="1113"/>
      <c r="N3515" s="110"/>
      <c r="O3515" s="1140"/>
      <c r="P3515" s="1115"/>
      <c r="Q3515" s="1116"/>
      <c r="R3515" s="1141"/>
      <c r="S3515" s="1113"/>
      <c r="T3515" s="1143"/>
      <c r="U3515" s="1108"/>
      <c r="V3515" s="1108"/>
      <c r="W3515" s="1108"/>
      <c r="X3515" s="1108"/>
      <c r="Y3515" s="1108"/>
      <c r="Z3515" s="1114"/>
      <c r="AA3515" s="1114"/>
      <c r="AB3515" s="1114"/>
      <c r="AC3515" s="1117"/>
      <c r="AD3515" s="1115"/>
      <c r="AE3515" s="1115"/>
      <c r="AF3515" s="1115"/>
      <c r="AG3515" s="1115"/>
      <c r="AH3515" s="1115"/>
      <c r="AI3515" s="1115"/>
      <c r="AJ3515" s="1117"/>
      <c r="AK3515" s="1118"/>
      <c r="AL3515" s="1115"/>
      <c r="AM3515" s="1115"/>
      <c r="AN3515" s="1115"/>
      <c r="AO3515" s="1115"/>
      <c r="AP3515" s="1115"/>
      <c r="AQ3515" s="1115"/>
      <c r="AR3515" s="1115"/>
      <c r="AS3515" s="1117"/>
      <c r="AT3515" s="1075"/>
      <c r="AU3515" s="1193"/>
      <c r="AV3515" s="330"/>
      <c r="AW3515" s="331"/>
      <c r="AX3515" s="331"/>
      <c r="AY3515" s="331"/>
      <c r="AZ3515" s="331"/>
      <c r="BA3515" s="331"/>
      <c r="BB3515" s="331"/>
      <c r="BC3515" s="331"/>
      <c r="BD3515" s="331"/>
      <c r="BE3515" s="333"/>
      <c r="BF3515" s="330"/>
      <c r="BG3515" s="333"/>
      <c r="BH3515" s="1119"/>
      <c r="BI3515" s="319"/>
      <c r="BJ3515" s="319"/>
      <c r="BK3515" s="319"/>
      <c r="BL3515" s="319"/>
      <c r="BM3515" s="319"/>
      <c r="BN3515" s="319"/>
      <c r="BO3515" s="319"/>
      <c r="BP3515" s="953"/>
      <c r="BQ3515" s="319"/>
      <c r="BR3515" s="319"/>
      <c r="BS3515" s="330"/>
      <c r="BT3515" s="331"/>
      <c r="BU3515" s="920"/>
      <c r="BV3515" s="903"/>
      <c r="BW3515" s="908"/>
      <c r="BX3515" s="908"/>
      <c r="BY3515" s="331"/>
      <c r="BZ3515" s="331"/>
      <c r="CA3515" s="462"/>
      <c r="CB3515" s="319"/>
      <c r="CC3515" s="319"/>
      <c r="CD3515" s="319"/>
      <c r="CE3515" s="319"/>
      <c r="CF3515" s="319"/>
      <c r="CG3515" s="319"/>
      <c r="CH3515" s="318"/>
      <c r="CI3515" s="319"/>
      <c r="CJ3515" s="319"/>
      <c r="CK3515" s="342"/>
      <c r="CL3515" s="333"/>
      <c r="CM3515" s="1079"/>
      <c r="CN3515" s="1005"/>
      <c r="CO3515" s="1005"/>
      <c r="CP3515" s="1005"/>
    </row>
    <row r="3516">
      <c r="A3516" s="1257"/>
      <c r="B3516" s="1113"/>
      <c r="C3516" s="1107"/>
      <c r="D3516" s="103"/>
      <c r="E3516" s="1137"/>
      <c r="F3516" s="112"/>
      <c r="G3516" s="1110"/>
      <c r="H3516" s="1138"/>
      <c r="I3516" s="1138"/>
      <c r="J3516" s="1139"/>
      <c r="K3516" s="1111"/>
      <c r="L3516" s="1112"/>
      <c r="M3516" s="1113"/>
      <c r="N3516" s="110"/>
      <c r="O3516" s="1140"/>
      <c r="P3516" s="1115"/>
      <c r="Q3516" s="1116"/>
      <c r="R3516" s="1141"/>
      <c r="S3516" s="1113"/>
      <c r="T3516" s="1143"/>
      <c r="U3516" s="1108"/>
      <c r="V3516" s="1108"/>
      <c r="W3516" s="1108"/>
      <c r="X3516" s="1108"/>
      <c r="Y3516" s="1108"/>
      <c r="Z3516" s="1114"/>
      <c r="AA3516" s="1114"/>
      <c r="AB3516" s="1114"/>
      <c r="AC3516" s="1117"/>
      <c r="AD3516" s="1115"/>
      <c r="AE3516" s="1115"/>
      <c r="AF3516" s="1115"/>
      <c r="AG3516" s="1115"/>
      <c r="AH3516" s="1115"/>
      <c r="AI3516" s="1115"/>
      <c r="AJ3516" s="1117"/>
      <c r="AK3516" s="1118"/>
      <c r="AL3516" s="1115"/>
      <c r="AM3516" s="1115"/>
      <c r="AN3516" s="1115"/>
      <c r="AO3516" s="1115"/>
      <c r="AP3516" s="1115"/>
      <c r="AQ3516" s="1115"/>
      <c r="AR3516" s="1115"/>
      <c r="AS3516" s="1117"/>
      <c r="AT3516" s="1075"/>
      <c r="AU3516" s="1193"/>
      <c r="AV3516" s="330"/>
      <c r="AW3516" s="331"/>
      <c r="AX3516" s="331"/>
      <c r="AY3516" s="331"/>
      <c r="AZ3516" s="331"/>
      <c r="BA3516" s="331"/>
      <c r="BB3516" s="331"/>
      <c r="BC3516" s="331"/>
      <c r="BD3516" s="331"/>
      <c r="BE3516" s="333"/>
      <c r="BF3516" s="330"/>
      <c r="BG3516" s="333"/>
      <c r="BH3516" s="1119"/>
      <c r="BI3516" s="319"/>
      <c r="BJ3516" s="319"/>
      <c r="BK3516" s="319"/>
      <c r="BL3516" s="319"/>
      <c r="BM3516" s="319"/>
      <c r="BN3516" s="319"/>
      <c r="BO3516" s="319"/>
      <c r="BP3516" s="953"/>
      <c r="BQ3516" s="319"/>
      <c r="BR3516" s="319"/>
      <c r="BS3516" s="330"/>
      <c r="BT3516" s="331"/>
      <c r="BU3516" s="920"/>
      <c r="BV3516" s="903"/>
      <c r="BW3516" s="908"/>
      <c r="BX3516" s="908"/>
      <c r="BY3516" s="331"/>
      <c r="BZ3516" s="331"/>
      <c r="CA3516" s="462"/>
      <c r="CB3516" s="319"/>
      <c r="CC3516" s="319"/>
      <c r="CD3516" s="319"/>
      <c r="CE3516" s="319"/>
      <c r="CF3516" s="319"/>
      <c r="CG3516" s="319"/>
      <c r="CH3516" s="318"/>
      <c r="CI3516" s="319"/>
      <c r="CJ3516" s="319"/>
      <c r="CK3516" s="342"/>
      <c r="CL3516" s="333"/>
      <c r="CM3516" s="1079"/>
      <c r="CN3516" s="1005"/>
      <c r="CO3516" s="1005"/>
      <c r="CP3516" s="1005"/>
    </row>
    <row r="3517">
      <c r="A3517" s="1257"/>
      <c r="B3517" s="1113"/>
      <c r="C3517" s="1107"/>
      <c r="D3517" s="103"/>
      <c r="E3517" s="1137"/>
      <c r="F3517" s="112"/>
      <c r="G3517" s="1110"/>
      <c r="H3517" s="1138"/>
      <c r="I3517" s="1138"/>
      <c r="J3517" s="1139"/>
      <c r="K3517" s="1111"/>
      <c r="L3517" s="1112"/>
      <c r="M3517" s="1113"/>
      <c r="N3517" s="110"/>
      <c r="O3517" s="1140"/>
      <c r="P3517" s="1115"/>
      <c r="Q3517" s="1116"/>
      <c r="R3517" s="1141"/>
      <c r="S3517" s="1113"/>
      <c r="T3517" s="1143"/>
      <c r="U3517" s="1108"/>
      <c r="V3517" s="1108"/>
      <c r="W3517" s="1108"/>
      <c r="X3517" s="1108"/>
      <c r="Y3517" s="1108"/>
      <c r="Z3517" s="1114"/>
      <c r="AA3517" s="1114"/>
      <c r="AB3517" s="1114"/>
      <c r="AC3517" s="1117"/>
      <c r="AD3517" s="1115"/>
      <c r="AE3517" s="1115"/>
      <c r="AF3517" s="1115"/>
      <c r="AG3517" s="1115"/>
      <c r="AH3517" s="1115"/>
      <c r="AI3517" s="1115"/>
      <c r="AJ3517" s="1117"/>
      <c r="AK3517" s="1118"/>
      <c r="AL3517" s="1115"/>
      <c r="AM3517" s="1115"/>
      <c r="AN3517" s="1115"/>
      <c r="AO3517" s="1115"/>
      <c r="AP3517" s="1115"/>
      <c r="AQ3517" s="1115"/>
      <c r="AR3517" s="1115"/>
      <c r="AS3517" s="1117"/>
      <c r="AT3517" s="1075"/>
      <c r="AU3517" s="1193"/>
      <c r="AV3517" s="330"/>
      <c r="AW3517" s="331"/>
      <c r="AX3517" s="331"/>
      <c r="AY3517" s="331"/>
      <c r="AZ3517" s="331"/>
      <c r="BA3517" s="331"/>
      <c r="BB3517" s="331"/>
      <c r="BC3517" s="331"/>
      <c r="BD3517" s="331"/>
      <c r="BE3517" s="333"/>
      <c r="BF3517" s="330"/>
      <c r="BG3517" s="333"/>
      <c r="BH3517" s="1119"/>
      <c r="BI3517" s="319"/>
      <c r="BJ3517" s="319"/>
      <c r="BK3517" s="319"/>
      <c r="BL3517" s="319"/>
      <c r="BM3517" s="319"/>
      <c r="BN3517" s="319"/>
      <c r="BO3517" s="319"/>
      <c r="BP3517" s="953"/>
      <c r="BQ3517" s="319"/>
      <c r="BR3517" s="319"/>
      <c r="BS3517" s="330"/>
      <c r="BT3517" s="331"/>
      <c r="BU3517" s="920"/>
      <c r="BV3517" s="903"/>
      <c r="BW3517" s="908"/>
      <c r="BX3517" s="908"/>
      <c r="BY3517" s="331"/>
      <c r="BZ3517" s="331"/>
      <c r="CA3517" s="462"/>
      <c r="CB3517" s="319"/>
      <c r="CC3517" s="319"/>
      <c r="CD3517" s="319"/>
      <c r="CE3517" s="319"/>
      <c r="CF3517" s="319"/>
      <c r="CG3517" s="319"/>
      <c r="CH3517" s="318"/>
      <c r="CI3517" s="319"/>
      <c r="CJ3517" s="319"/>
      <c r="CK3517" s="342"/>
      <c r="CL3517" s="333"/>
      <c r="CM3517" s="1079"/>
      <c r="CN3517" s="1005"/>
      <c r="CO3517" s="1005"/>
      <c r="CP3517" s="1005"/>
    </row>
    <row r="3518">
      <c r="A3518" s="1257"/>
      <c r="B3518" s="1113"/>
      <c r="C3518" s="1107"/>
      <c r="D3518" s="103"/>
      <c r="E3518" s="1137"/>
      <c r="F3518" s="112"/>
      <c r="G3518" s="1110"/>
      <c r="H3518" s="1138"/>
      <c r="I3518" s="1138"/>
      <c r="J3518" s="1139"/>
      <c r="K3518" s="1111"/>
      <c r="L3518" s="1112"/>
      <c r="M3518" s="1113"/>
      <c r="N3518" s="110"/>
      <c r="O3518" s="1140"/>
      <c r="P3518" s="1115"/>
      <c r="Q3518" s="1116"/>
      <c r="R3518" s="1141"/>
      <c r="S3518" s="1113"/>
      <c r="T3518" s="1143"/>
      <c r="U3518" s="1108"/>
      <c r="V3518" s="1108"/>
      <c r="W3518" s="1108"/>
      <c r="X3518" s="1108"/>
      <c r="Y3518" s="1108"/>
      <c r="Z3518" s="1114"/>
      <c r="AA3518" s="1114"/>
      <c r="AB3518" s="1114"/>
      <c r="AC3518" s="1117"/>
      <c r="AD3518" s="1115"/>
      <c r="AE3518" s="1115"/>
      <c r="AF3518" s="1115"/>
      <c r="AG3518" s="1115"/>
      <c r="AH3518" s="1115"/>
      <c r="AI3518" s="1115"/>
      <c r="AJ3518" s="1117"/>
      <c r="AK3518" s="1118"/>
      <c r="AL3518" s="1115"/>
      <c r="AM3518" s="1115"/>
      <c r="AN3518" s="1115"/>
      <c r="AO3518" s="1115"/>
      <c r="AP3518" s="1115"/>
      <c r="AQ3518" s="1115"/>
      <c r="AR3518" s="1115"/>
      <c r="AS3518" s="1117"/>
      <c r="AT3518" s="1075"/>
      <c r="AU3518" s="1193"/>
      <c r="AV3518" s="330"/>
      <c r="AW3518" s="331"/>
      <c r="AX3518" s="331"/>
      <c r="AY3518" s="331"/>
      <c r="AZ3518" s="331"/>
      <c r="BA3518" s="331"/>
      <c r="BB3518" s="331"/>
      <c r="BC3518" s="331"/>
      <c r="BD3518" s="331"/>
      <c r="BE3518" s="333"/>
      <c r="BF3518" s="330"/>
      <c r="BG3518" s="333"/>
      <c r="BH3518" s="1119"/>
      <c r="BI3518" s="319"/>
      <c r="BJ3518" s="319"/>
      <c r="BK3518" s="319"/>
      <c r="BL3518" s="319"/>
      <c r="BM3518" s="319"/>
      <c r="BN3518" s="319"/>
      <c r="BO3518" s="319"/>
      <c r="BP3518" s="953"/>
      <c r="BQ3518" s="319"/>
      <c r="BR3518" s="319"/>
      <c r="BS3518" s="330"/>
      <c r="BT3518" s="331"/>
      <c r="BU3518" s="920"/>
      <c r="BV3518" s="903"/>
      <c r="BW3518" s="908"/>
      <c r="BX3518" s="908"/>
      <c r="BY3518" s="331"/>
      <c r="BZ3518" s="331"/>
      <c r="CA3518" s="462"/>
      <c r="CB3518" s="319"/>
      <c r="CC3518" s="319"/>
      <c r="CD3518" s="319"/>
      <c r="CE3518" s="319"/>
      <c r="CF3518" s="319"/>
      <c r="CG3518" s="319"/>
      <c r="CH3518" s="318"/>
      <c r="CI3518" s="319"/>
      <c r="CJ3518" s="319"/>
      <c r="CK3518" s="342"/>
      <c r="CL3518" s="333"/>
      <c r="CM3518" s="1079"/>
      <c r="CN3518" s="1005"/>
      <c r="CO3518" s="1005"/>
      <c r="CP3518" s="1005"/>
    </row>
    <row r="3519">
      <c r="A3519" s="1257"/>
      <c r="B3519" s="1113"/>
      <c r="C3519" s="1107"/>
      <c r="D3519" s="103"/>
      <c r="E3519" s="1137"/>
      <c r="F3519" s="112"/>
      <c r="G3519" s="1110"/>
      <c r="H3519" s="1138"/>
      <c r="I3519" s="1138"/>
      <c r="J3519" s="1139"/>
      <c r="K3519" s="1111"/>
      <c r="L3519" s="1112"/>
      <c r="M3519" s="1113"/>
      <c r="N3519" s="110"/>
      <c r="O3519" s="1140"/>
      <c r="P3519" s="1115"/>
      <c r="Q3519" s="1116"/>
      <c r="R3519" s="1141"/>
      <c r="S3519" s="1113"/>
      <c r="T3519" s="1143"/>
      <c r="U3519" s="1108"/>
      <c r="V3519" s="1108"/>
      <c r="W3519" s="1108"/>
      <c r="X3519" s="1108"/>
      <c r="Y3519" s="1108"/>
      <c r="Z3519" s="1114"/>
      <c r="AA3519" s="1114"/>
      <c r="AB3519" s="1114"/>
      <c r="AC3519" s="1117"/>
      <c r="AD3519" s="1115"/>
      <c r="AE3519" s="1115"/>
      <c r="AF3519" s="1115"/>
      <c r="AG3519" s="1115"/>
      <c r="AH3519" s="1115"/>
      <c r="AI3519" s="1115"/>
      <c r="AJ3519" s="1117"/>
      <c r="AK3519" s="1118"/>
      <c r="AL3519" s="1115"/>
      <c r="AM3519" s="1115"/>
      <c r="AN3519" s="1115"/>
      <c r="AO3519" s="1115"/>
      <c r="AP3519" s="1115"/>
      <c r="AQ3519" s="1115"/>
      <c r="AR3519" s="1115"/>
      <c r="AS3519" s="1117"/>
      <c r="AT3519" s="1075"/>
      <c r="AU3519" s="1193"/>
      <c r="AV3519" s="330"/>
      <c r="AW3519" s="331"/>
      <c r="AX3519" s="331"/>
      <c r="AY3519" s="331"/>
      <c r="AZ3519" s="331"/>
      <c r="BA3519" s="331"/>
      <c r="BB3519" s="331"/>
      <c r="BC3519" s="331"/>
      <c r="BD3519" s="331"/>
      <c r="BE3519" s="333"/>
      <c r="BF3519" s="330"/>
      <c r="BG3519" s="333"/>
      <c r="BH3519" s="1119"/>
      <c r="BI3519" s="319"/>
      <c r="BJ3519" s="319"/>
      <c r="BK3519" s="319"/>
      <c r="BL3519" s="319"/>
      <c r="BM3519" s="319"/>
      <c r="BN3519" s="319"/>
      <c r="BO3519" s="319"/>
      <c r="BP3519" s="953"/>
      <c r="BQ3519" s="319"/>
      <c r="BR3519" s="319"/>
      <c r="BS3519" s="330"/>
      <c r="BT3519" s="331"/>
      <c r="BU3519" s="920"/>
      <c r="BV3519" s="903"/>
      <c r="BW3519" s="908"/>
      <c r="BX3519" s="908"/>
      <c r="BY3519" s="331"/>
      <c r="BZ3519" s="331"/>
      <c r="CA3519" s="462"/>
      <c r="CB3519" s="319"/>
      <c r="CC3519" s="319"/>
      <c r="CD3519" s="319"/>
      <c r="CE3519" s="319"/>
      <c r="CF3519" s="319"/>
      <c r="CG3519" s="319"/>
      <c r="CH3519" s="318"/>
      <c r="CI3519" s="319"/>
      <c r="CJ3519" s="319"/>
      <c r="CK3519" s="342"/>
      <c r="CL3519" s="333"/>
      <c r="CM3519" s="1079"/>
      <c r="CN3519" s="1005"/>
      <c r="CO3519" s="1005"/>
      <c r="CP3519" s="1005"/>
    </row>
    <row r="3520">
      <c r="A3520" s="1257"/>
      <c r="B3520" s="1113"/>
      <c r="C3520" s="1107"/>
      <c r="D3520" s="103"/>
      <c r="E3520" s="1137"/>
      <c r="F3520" s="112"/>
      <c r="G3520" s="1110"/>
      <c r="H3520" s="1138"/>
      <c r="I3520" s="1138"/>
      <c r="J3520" s="1139"/>
      <c r="K3520" s="1111"/>
      <c r="L3520" s="1112"/>
      <c r="M3520" s="1113"/>
      <c r="N3520" s="110"/>
      <c r="O3520" s="1140"/>
      <c r="P3520" s="1115"/>
      <c r="Q3520" s="1116"/>
      <c r="R3520" s="1141"/>
      <c r="S3520" s="1113"/>
      <c r="T3520" s="1143"/>
      <c r="U3520" s="1108"/>
      <c r="V3520" s="1108"/>
      <c r="W3520" s="1108"/>
      <c r="X3520" s="1108"/>
      <c r="Y3520" s="1108"/>
      <c r="Z3520" s="1114"/>
      <c r="AA3520" s="1114"/>
      <c r="AB3520" s="1114"/>
      <c r="AC3520" s="1117"/>
      <c r="AD3520" s="1115"/>
      <c r="AE3520" s="1115"/>
      <c r="AF3520" s="1115"/>
      <c r="AG3520" s="1115"/>
      <c r="AH3520" s="1115"/>
      <c r="AI3520" s="1115"/>
      <c r="AJ3520" s="1117"/>
      <c r="AK3520" s="1118"/>
      <c r="AL3520" s="1115"/>
      <c r="AM3520" s="1115"/>
      <c r="AN3520" s="1115"/>
      <c r="AO3520" s="1115"/>
      <c r="AP3520" s="1115"/>
      <c r="AQ3520" s="1115"/>
      <c r="AR3520" s="1115"/>
      <c r="AS3520" s="1117"/>
      <c r="AT3520" s="1075"/>
      <c r="AU3520" s="1193"/>
      <c r="AV3520" s="330"/>
      <c r="AW3520" s="331"/>
      <c r="AX3520" s="331"/>
      <c r="AY3520" s="331"/>
      <c r="AZ3520" s="331"/>
      <c r="BA3520" s="331"/>
      <c r="BB3520" s="331"/>
      <c r="BC3520" s="331"/>
      <c r="BD3520" s="331"/>
      <c r="BE3520" s="333"/>
      <c r="BF3520" s="330"/>
      <c r="BG3520" s="333"/>
      <c r="BH3520" s="1119"/>
      <c r="BI3520" s="319"/>
      <c r="BJ3520" s="319"/>
      <c r="BK3520" s="319"/>
      <c r="BL3520" s="319"/>
      <c r="BM3520" s="319"/>
      <c r="BN3520" s="319"/>
      <c r="BO3520" s="319"/>
      <c r="BP3520" s="953"/>
      <c r="BQ3520" s="319"/>
      <c r="BR3520" s="319"/>
      <c r="BS3520" s="330"/>
      <c r="BT3520" s="331"/>
      <c r="BU3520" s="920"/>
      <c r="BV3520" s="903"/>
      <c r="BW3520" s="908"/>
      <c r="BX3520" s="908"/>
      <c r="BY3520" s="331"/>
      <c r="BZ3520" s="331"/>
      <c r="CA3520" s="462"/>
      <c r="CB3520" s="319"/>
      <c r="CC3520" s="319"/>
      <c r="CD3520" s="319"/>
      <c r="CE3520" s="319"/>
      <c r="CF3520" s="319"/>
      <c r="CG3520" s="319"/>
      <c r="CH3520" s="318"/>
      <c r="CI3520" s="319"/>
      <c r="CJ3520" s="319"/>
      <c r="CK3520" s="342"/>
      <c r="CL3520" s="333"/>
      <c r="CM3520" s="1079"/>
      <c r="CN3520" s="1005"/>
      <c r="CO3520" s="1005"/>
      <c r="CP3520" s="1005"/>
    </row>
    <row r="3521">
      <c r="A3521" s="1257"/>
      <c r="B3521" s="1113"/>
      <c r="C3521" s="1107"/>
      <c r="D3521" s="103"/>
      <c r="E3521" s="1137"/>
      <c r="F3521" s="112"/>
      <c r="G3521" s="1110"/>
      <c r="H3521" s="1138"/>
      <c r="I3521" s="1138"/>
      <c r="J3521" s="1139"/>
      <c r="K3521" s="1111"/>
      <c r="L3521" s="1112"/>
      <c r="M3521" s="1113"/>
      <c r="N3521" s="110"/>
      <c r="O3521" s="1140"/>
      <c r="P3521" s="1115"/>
      <c r="Q3521" s="1116"/>
      <c r="R3521" s="1141"/>
      <c r="S3521" s="1113"/>
      <c r="T3521" s="1143"/>
      <c r="U3521" s="1108"/>
      <c r="V3521" s="1108"/>
      <c r="W3521" s="1108"/>
      <c r="X3521" s="1108"/>
      <c r="Y3521" s="1108"/>
      <c r="Z3521" s="1114"/>
      <c r="AA3521" s="1114"/>
      <c r="AB3521" s="1114"/>
      <c r="AC3521" s="1117"/>
      <c r="AD3521" s="1115"/>
      <c r="AE3521" s="1115"/>
      <c r="AF3521" s="1115"/>
      <c r="AG3521" s="1115"/>
      <c r="AH3521" s="1115"/>
      <c r="AI3521" s="1115"/>
      <c r="AJ3521" s="1117"/>
      <c r="AK3521" s="1118"/>
      <c r="AL3521" s="1115"/>
      <c r="AM3521" s="1115"/>
      <c r="AN3521" s="1115"/>
      <c r="AO3521" s="1115"/>
      <c r="AP3521" s="1115"/>
      <c r="AQ3521" s="1115"/>
      <c r="AR3521" s="1115"/>
      <c r="AS3521" s="1117"/>
      <c r="AT3521" s="1075"/>
      <c r="AU3521" s="1193"/>
      <c r="AV3521" s="330"/>
      <c r="AW3521" s="331"/>
      <c r="AX3521" s="331"/>
      <c r="AY3521" s="331"/>
      <c r="AZ3521" s="331"/>
      <c r="BA3521" s="331"/>
      <c r="BB3521" s="331"/>
      <c r="BC3521" s="331"/>
      <c r="BD3521" s="331"/>
      <c r="BE3521" s="333"/>
      <c r="BF3521" s="330"/>
      <c r="BG3521" s="333"/>
      <c r="BH3521" s="1119"/>
      <c r="BI3521" s="319"/>
      <c r="BJ3521" s="319"/>
      <c r="BK3521" s="319"/>
      <c r="BL3521" s="319"/>
      <c r="BM3521" s="319"/>
      <c r="BN3521" s="319"/>
      <c r="BO3521" s="319"/>
      <c r="BP3521" s="953"/>
      <c r="BQ3521" s="319"/>
      <c r="BR3521" s="319"/>
      <c r="BS3521" s="330"/>
      <c r="BT3521" s="331"/>
      <c r="BU3521" s="920"/>
      <c r="BV3521" s="903"/>
      <c r="BW3521" s="908"/>
      <c r="BX3521" s="908"/>
      <c r="BY3521" s="331"/>
      <c r="BZ3521" s="331"/>
      <c r="CA3521" s="462"/>
      <c r="CB3521" s="319"/>
      <c r="CC3521" s="319"/>
      <c r="CD3521" s="319"/>
      <c r="CE3521" s="319"/>
      <c r="CF3521" s="319"/>
      <c r="CG3521" s="319"/>
      <c r="CH3521" s="318"/>
      <c r="CI3521" s="319"/>
      <c r="CJ3521" s="319"/>
      <c r="CK3521" s="342"/>
      <c r="CL3521" s="333"/>
      <c r="CM3521" s="1079"/>
      <c r="CN3521" s="1005"/>
      <c r="CO3521" s="1005"/>
      <c r="CP3521" s="1005"/>
    </row>
    <row r="3522">
      <c r="A3522" s="1257"/>
      <c r="B3522" s="1113"/>
      <c r="C3522" s="1107"/>
      <c r="D3522" s="103"/>
      <c r="E3522" s="1137"/>
      <c r="F3522" s="112"/>
      <c r="G3522" s="1110"/>
      <c r="H3522" s="1138"/>
      <c r="I3522" s="1138"/>
      <c r="J3522" s="1139"/>
      <c r="K3522" s="1111"/>
      <c r="L3522" s="1112"/>
      <c r="M3522" s="1113"/>
      <c r="N3522" s="110"/>
      <c r="O3522" s="1140"/>
      <c r="P3522" s="1115"/>
      <c r="Q3522" s="1116"/>
      <c r="R3522" s="1141"/>
      <c r="S3522" s="1113"/>
      <c r="T3522" s="1143"/>
      <c r="U3522" s="1108"/>
      <c r="V3522" s="1108"/>
      <c r="W3522" s="1108"/>
      <c r="X3522" s="1108"/>
      <c r="Y3522" s="1108"/>
      <c r="Z3522" s="1114"/>
      <c r="AA3522" s="1114"/>
      <c r="AB3522" s="1114"/>
      <c r="AC3522" s="1117"/>
      <c r="AD3522" s="1115"/>
      <c r="AE3522" s="1115"/>
      <c r="AF3522" s="1115"/>
      <c r="AG3522" s="1115"/>
      <c r="AH3522" s="1115"/>
      <c r="AI3522" s="1115"/>
      <c r="AJ3522" s="1117"/>
      <c r="AK3522" s="1118"/>
      <c r="AL3522" s="1115"/>
      <c r="AM3522" s="1115"/>
      <c r="AN3522" s="1115"/>
      <c r="AO3522" s="1115"/>
      <c r="AP3522" s="1115"/>
      <c r="AQ3522" s="1115"/>
      <c r="AR3522" s="1115"/>
      <c r="AS3522" s="1117"/>
      <c r="AT3522" s="1075"/>
      <c r="AU3522" s="1193"/>
      <c r="AV3522" s="330"/>
      <c r="AW3522" s="331"/>
      <c r="AX3522" s="331"/>
      <c r="AY3522" s="331"/>
      <c r="AZ3522" s="331"/>
      <c r="BA3522" s="331"/>
      <c r="BB3522" s="331"/>
      <c r="BC3522" s="331"/>
      <c r="BD3522" s="331"/>
      <c r="BE3522" s="333"/>
      <c r="BF3522" s="330"/>
      <c r="BG3522" s="333"/>
      <c r="BH3522" s="1119"/>
      <c r="BI3522" s="319"/>
      <c r="BJ3522" s="319"/>
      <c r="BK3522" s="319"/>
      <c r="BL3522" s="319"/>
      <c r="BM3522" s="319"/>
      <c r="BN3522" s="319"/>
      <c r="BO3522" s="319"/>
      <c r="BP3522" s="953"/>
      <c r="BQ3522" s="319"/>
      <c r="BR3522" s="319"/>
      <c r="BS3522" s="330"/>
      <c r="BT3522" s="331"/>
      <c r="BU3522" s="920"/>
      <c r="BV3522" s="903"/>
      <c r="BW3522" s="908"/>
      <c r="BX3522" s="908"/>
      <c r="BY3522" s="331"/>
      <c r="BZ3522" s="331"/>
      <c r="CA3522" s="462"/>
      <c r="CB3522" s="319"/>
      <c r="CC3522" s="319"/>
      <c r="CD3522" s="319"/>
      <c r="CE3522" s="319"/>
      <c r="CF3522" s="319"/>
      <c r="CG3522" s="319"/>
      <c r="CH3522" s="318"/>
      <c r="CI3522" s="319"/>
      <c r="CJ3522" s="319"/>
      <c r="CK3522" s="342"/>
      <c r="CL3522" s="333"/>
      <c r="CM3522" s="1079"/>
      <c r="CN3522" s="1005"/>
      <c r="CO3522" s="1005"/>
      <c r="CP3522" s="1005"/>
    </row>
    <row r="3523">
      <c r="A3523" s="1257"/>
      <c r="B3523" s="1113"/>
      <c r="C3523" s="1107"/>
      <c r="D3523" s="103"/>
      <c r="E3523" s="1137"/>
      <c r="F3523" s="112"/>
      <c r="G3523" s="1110"/>
      <c r="H3523" s="1138"/>
      <c r="I3523" s="1138"/>
      <c r="J3523" s="1139"/>
      <c r="K3523" s="1111"/>
      <c r="L3523" s="1112"/>
      <c r="M3523" s="1113"/>
      <c r="N3523" s="110"/>
      <c r="O3523" s="1140"/>
      <c r="P3523" s="1115"/>
      <c r="Q3523" s="1116"/>
      <c r="R3523" s="1141"/>
      <c r="S3523" s="1113"/>
      <c r="T3523" s="1143"/>
      <c r="U3523" s="1108"/>
      <c r="V3523" s="1108"/>
      <c r="W3523" s="1108"/>
      <c r="X3523" s="1108"/>
      <c r="Y3523" s="1108"/>
      <c r="Z3523" s="1114"/>
      <c r="AA3523" s="1114"/>
      <c r="AB3523" s="1114"/>
      <c r="AC3523" s="1117"/>
      <c r="AD3523" s="1115"/>
      <c r="AE3523" s="1115"/>
      <c r="AF3523" s="1115"/>
      <c r="AG3523" s="1115"/>
      <c r="AH3523" s="1115"/>
      <c r="AI3523" s="1115"/>
      <c r="AJ3523" s="1117"/>
      <c r="AK3523" s="1118"/>
      <c r="AL3523" s="1115"/>
      <c r="AM3523" s="1115"/>
      <c r="AN3523" s="1115"/>
      <c r="AO3523" s="1115"/>
      <c r="AP3523" s="1115"/>
      <c r="AQ3523" s="1115"/>
      <c r="AR3523" s="1115"/>
      <c r="AS3523" s="1117"/>
      <c r="AT3523" s="1075"/>
      <c r="AU3523" s="1193"/>
      <c r="AV3523" s="330"/>
      <c r="AW3523" s="331"/>
      <c r="AX3523" s="331"/>
      <c r="AY3523" s="331"/>
      <c r="AZ3523" s="331"/>
      <c r="BA3523" s="331"/>
      <c r="BB3523" s="331"/>
      <c r="BC3523" s="331"/>
      <c r="BD3523" s="331"/>
      <c r="BE3523" s="333"/>
      <c r="BF3523" s="330"/>
      <c r="BG3523" s="333"/>
      <c r="BH3523" s="1119"/>
      <c r="BI3523" s="319"/>
      <c r="BJ3523" s="319"/>
      <c r="BK3523" s="319"/>
      <c r="BL3523" s="319"/>
      <c r="BM3523" s="319"/>
      <c r="BN3523" s="319"/>
      <c r="BO3523" s="319"/>
      <c r="BP3523" s="953"/>
      <c r="BQ3523" s="319"/>
      <c r="BR3523" s="319"/>
      <c r="BS3523" s="330"/>
      <c r="BT3523" s="331"/>
      <c r="BU3523" s="920"/>
      <c r="BV3523" s="903"/>
      <c r="BW3523" s="908"/>
      <c r="BX3523" s="908"/>
      <c r="BY3523" s="331"/>
      <c r="BZ3523" s="331"/>
      <c r="CA3523" s="462"/>
      <c r="CB3523" s="319"/>
      <c r="CC3523" s="319"/>
      <c r="CD3523" s="319"/>
      <c r="CE3523" s="319"/>
      <c r="CF3523" s="319"/>
      <c r="CG3523" s="319"/>
      <c r="CH3523" s="318"/>
      <c r="CI3523" s="319"/>
      <c r="CJ3523" s="319"/>
      <c r="CK3523" s="342"/>
      <c r="CL3523" s="333"/>
      <c r="CM3523" s="1079"/>
      <c r="CN3523" s="1005"/>
      <c r="CO3523" s="1005"/>
      <c r="CP3523" s="1005"/>
    </row>
    <row r="3524">
      <c r="A3524" s="1257"/>
      <c r="B3524" s="1113"/>
      <c r="C3524" s="1107"/>
      <c r="D3524" s="103"/>
      <c r="E3524" s="1137"/>
      <c r="F3524" s="112"/>
      <c r="G3524" s="1110"/>
      <c r="H3524" s="1138"/>
      <c r="I3524" s="1138"/>
      <c r="J3524" s="1139"/>
      <c r="K3524" s="1111"/>
      <c r="L3524" s="1112"/>
      <c r="M3524" s="1113"/>
      <c r="N3524" s="110"/>
      <c r="O3524" s="1140"/>
      <c r="P3524" s="1115"/>
      <c r="Q3524" s="1116"/>
      <c r="R3524" s="1141"/>
      <c r="S3524" s="1113"/>
      <c r="T3524" s="1143"/>
      <c r="U3524" s="1108"/>
      <c r="V3524" s="1108"/>
      <c r="W3524" s="1108"/>
      <c r="X3524" s="1108"/>
      <c r="Y3524" s="1108"/>
      <c r="Z3524" s="1114"/>
      <c r="AA3524" s="1114"/>
      <c r="AB3524" s="1114"/>
      <c r="AC3524" s="1117"/>
      <c r="AD3524" s="1115"/>
      <c r="AE3524" s="1115"/>
      <c r="AF3524" s="1115"/>
      <c r="AG3524" s="1115"/>
      <c r="AH3524" s="1115"/>
      <c r="AI3524" s="1115"/>
      <c r="AJ3524" s="1117"/>
      <c r="AK3524" s="1118"/>
      <c r="AL3524" s="1115"/>
      <c r="AM3524" s="1115"/>
      <c r="AN3524" s="1115"/>
      <c r="AO3524" s="1115"/>
      <c r="AP3524" s="1115"/>
      <c r="AQ3524" s="1115"/>
      <c r="AR3524" s="1115"/>
      <c r="AS3524" s="1117"/>
      <c r="AT3524" s="1075"/>
      <c r="AU3524" s="1193"/>
      <c r="AV3524" s="330"/>
      <c r="AW3524" s="331"/>
      <c r="AX3524" s="331"/>
      <c r="AY3524" s="331"/>
      <c r="AZ3524" s="331"/>
      <c r="BA3524" s="331"/>
      <c r="BB3524" s="331"/>
      <c r="BC3524" s="331"/>
      <c r="BD3524" s="331"/>
      <c r="BE3524" s="333"/>
      <c r="BF3524" s="330"/>
      <c r="BG3524" s="333"/>
      <c r="BH3524" s="1119"/>
      <c r="BI3524" s="319"/>
      <c r="BJ3524" s="319"/>
      <c r="BK3524" s="319"/>
      <c r="BL3524" s="319"/>
      <c r="BM3524" s="319"/>
      <c r="BN3524" s="319"/>
      <c r="BO3524" s="319"/>
      <c r="BP3524" s="953"/>
      <c r="BQ3524" s="319"/>
      <c r="BR3524" s="319"/>
      <c r="BS3524" s="330"/>
      <c r="BT3524" s="331"/>
      <c r="BU3524" s="920"/>
      <c r="BV3524" s="903"/>
      <c r="BW3524" s="908"/>
      <c r="BX3524" s="908"/>
      <c r="BY3524" s="331"/>
      <c r="BZ3524" s="331"/>
      <c r="CA3524" s="462"/>
      <c r="CB3524" s="319"/>
      <c r="CC3524" s="319"/>
      <c r="CD3524" s="319"/>
      <c r="CE3524" s="319"/>
      <c r="CF3524" s="319"/>
      <c r="CG3524" s="319"/>
      <c r="CH3524" s="318"/>
      <c r="CI3524" s="319"/>
      <c r="CJ3524" s="319"/>
      <c r="CK3524" s="342"/>
      <c r="CL3524" s="333"/>
      <c r="CM3524" s="1079"/>
      <c r="CN3524" s="1005"/>
      <c r="CO3524" s="1005"/>
      <c r="CP3524" s="1005"/>
    </row>
    <row r="3525">
      <c r="A3525" s="1257"/>
      <c r="B3525" s="1113"/>
      <c r="C3525" s="1107"/>
      <c r="D3525" s="103"/>
      <c r="E3525" s="1137"/>
      <c r="F3525" s="112"/>
      <c r="G3525" s="1110"/>
      <c r="H3525" s="1138"/>
      <c r="I3525" s="1138"/>
      <c r="J3525" s="1139"/>
      <c r="K3525" s="1111"/>
      <c r="L3525" s="1112"/>
      <c r="M3525" s="1113"/>
      <c r="N3525" s="110"/>
      <c r="O3525" s="1140"/>
      <c r="P3525" s="1115"/>
      <c r="Q3525" s="1116"/>
      <c r="R3525" s="1141"/>
      <c r="S3525" s="1113"/>
      <c r="T3525" s="1143"/>
      <c r="U3525" s="1108"/>
      <c r="V3525" s="1108"/>
      <c r="W3525" s="1108"/>
      <c r="X3525" s="1108"/>
      <c r="Y3525" s="1108"/>
      <c r="Z3525" s="1114"/>
      <c r="AA3525" s="1114"/>
      <c r="AB3525" s="1114"/>
      <c r="AC3525" s="1117"/>
      <c r="AD3525" s="1115"/>
      <c r="AE3525" s="1115"/>
      <c r="AF3525" s="1115"/>
      <c r="AG3525" s="1115"/>
      <c r="AH3525" s="1115"/>
      <c r="AI3525" s="1115"/>
      <c r="AJ3525" s="1117"/>
      <c r="AK3525" s="1118"/>
      <c r="AL3525" s="1115"/>
      <c r="AM3525" s="1115"/>
      <c r="AN3525" s="1115"/>
      <c r="AO3525" s="1115"/>
      <c r="AP3525" s="1115"/>
      <c r="AQ3525" s="1115"/>
      <c r="AR3525" s="1115"/>
      <c r="AS3525" s="1117"/>
      <c r="AT3525" s="1075"/>
      <c r="AU3525" s="1193"/>
      <c r="AV3525" s="330"/>
      <c r="AW3525" s="331"/>
      <c r="AX3525" s="331"/>
      <c r="AY3525" s="331"/>
      <c r="AZ3525" s="331"/>
      <c r="BA3525" s="331"/>
      <c r="BB3525" s="331"/>
      <c r="BC3525" s="331"/>
      <c r="BD3525" s="331"/>
      <c r="BE3525" s="333"/>
      <c r="BF3525" s="330"/>
      <c r="BG3525" s="333"/>
      <c r="BH3525" s="1119"/>
      <c r="BI3525" s="319"/>
      <c r="BJ3525" s="319"/>
      <c r="BK3525" s="319"/>
      <c r="BL3525" s="319"/>
      <c r="BM3525" s="319"/>
      <c r="BN3525" s="319"/>
      <c r="BO3525" s="319"/>
      <c r="BP3525" s="953"/>
      <c r="BQ3525" s="319"/>
      <c r="BR3525" s="319"/>
      <c r="BS3525" s="330"/>
      <c r="BT3525" s="331"/>
      <c r="BU3525" s="920"/>
      <c r="BV3525" s="903"/>
      <c r="BW3525" s="908"/>
      <c r="BX3525" s="908"/>
      <c r="BY3525" s="331"/>
      <c r="BZ3525" s="331"/>
      <c r="CA3525" s="462"/>
      <c r="CB3525" s="319"/>
      <c r="CC3525" s="319"/>
      <c r="CD3525" s="319"/>
      <c r="CE3525" s="319"/>
      <c r="CF3525" s="319"/>
      <c r="CG3525" s="319"/>
      <c r="CH3525" s="318"/>
      <c r="CI3525" s="319"/>
      <c r="CJ3525" s="319"/>
      <c r="CK3525" s="342"/>
      <c r="CL3525" s="333"/>
      <c r="CM3525" s="1079"/>
      <c r="CN3525" s="1005"/>
      <c r="CO3525" s="1005"/>
      <c r="CP3525" s="1005"/>
    </row>
    <row r="3526">
      <c r="A3526" s="1257"/>
      <c r="B3526" s="1113"/>
      <c r="C3526" s="1107"/>
      <c r="D3526" s="103"/>
      <c r="E3526" s="1137"/>
      <c r="F3526" s="112"/>
      <c r="G3526" s="1110"/>
      <c r="H3526" s="1138"/>
      <c r="I3526" s="1138"/>
      <c r="J3526" s="1139"/>
      <c r="K3526" s="1111"/>
      <c r="L3526" s="1112"/>
      <c r="M3526" s="1113"/>
      <c r="N3526" s="110"/>
      <c r="O3526" s="1140"/>
      <c r="P3526" s="1115"/>
      <c r="Q3526" s="1116"/>
      <c r="R3526" s="1141"/>
      <c r="S3526" s="1113"/>
      <c r="T3526" s="1143"/>
      <c r="U3526" s="1108"/>
      <c r="V3526" s="1108"/>
      <c r="W3526" s="1108"/>
      <c r="X3526" s="1108"/>
      <c r="Y3526" s="1108"/>
      <c r="Z3526" s="1114"/>
      <c r="AA3526" s="1114"/>
      <c r="AB3526" s="1114"/>
      <c r="AC3526" s="1117"/>
      <c r="AD3526" s="1115"/>
      <c r="AE3526" s="1115"/>
      <c r="AF3526" s="1115"/>
      <c r="AG3526" s="1115"/>
      <c r="AH3526" s="1115"/>
      <c r="AI3526" s="1115"/>
      <c r="AJ3526" s="1117"/>
      <c r="AK3526" s="1118"/>
      <c r="AL3526" s="1115"/>
      <c r="AM3526" s="1115"/>
      <c r="AN3526" s="1115"/>
      <c r="AO3526" s="1115"/>
      <c r="AP3526" s="1115"/>
      <c r="AQ3526" s="1115"/>
      <c r="AR3526" s="1115"/>
      <c r="AS3526" s="1117"/>
      <c r="AT3526" s="1075"/>
      <c r="AU3526" s="1193"/>
      <c r="AV3526" s="330"/>
      <c r="AW3526" s="331"/>
      <c r="AX3526" s="331"/>
      <c r="AY3526" s="331"/>
      <c r="AZ3526" s="331"/>
      <c r="BA3526" s="331"/>
      <c r="BB3526" s="331"/>
      <c r="BC3526" s="331"/>
      <c r="BD3526" s="331"/>
      <c r="BE3526" s="333"/>
      <c r="BF3526" s="330"/>
      <c r="BG3526" s="333"/>
      <c r="BH3526" s="1119"/>
      <c r="BI3526" s="319"/>
      <c r="BJ3526" s="319"/>
      <c r="BK3526" s="319"/>
      <c r="BL3526" s="319"/>
      <c r="BM3526" s="319"/>
      <c r="BN3526" s="319"/>
      <c r="BO3526" s="319"/>
      <c r="BP3526" s="953"/>
      <c r="BQ3526" s="319"/>
      <c r="BR3526" s="319"/>
      <c r="BS3526" s="330"/>
      <c r="BT3526" s="331"/>
      <c r="BU3526" s="920"/>
      <c r="BV3526" s="903"/>
      <c r="BW3526" s="908"/>
      <c r="BX3526" s="908"/>
      <c r="BY3526" s="331"/>
      <c r="BZ3526" s="331"/>
      <c r="CA3526" s="462"/>
      <c r="CB3526" s="319"/>
      <c r="CC3526" s="319"/>
      <c r="CD3526" s="319"/>
      <c r="CE3526" s="319"/>
      <c r="CF3526" s="319"/>
      <c r="CG3526" s="319"/>
      <c r="CH3526" s="318"/>
      <c r="CI3526" s="319"/>
      <c r="CJ3526" s="319"/>
      <c r="CK3526" s="342"/>
      <c r="CL3526" s="333"/>
      <c r="CM3526" s="1079"/>
      <c r="CN3526" s="1005"/>
      <c r="CO3526" s="1005"/>
      <c r="CP3526" s="1005"/>
    </row>
    <row r="3527">
      <c r="A3527" s="1257"/>
      <c r="B3527" s="1113"/>
      <c r="C3527" s="1107"/>
      <c r="D3527" s="103"/>
      <c r="E3527" s="1137"/>
      <c r="F3527" s="112"/>
      <c r="G3527" s="1110"/>
      <c r="H3527" s="1138"/>
      <c r="I3527" s="1138"/>
      <c r="J3527" s="1139"/>
      <c r="K3527" s="1111"/>
      <c r="L3527" s="1112"/>
      <c r="M3527" s="1113"/>
      <c r="N3527" s="110"/>
      <c r="O3527" s="1140"/>
      <c r="P3527" s="1115"/>
      <c r="Q3527" s="1116"/>
      <c r="R3527" s="1141"/>
      <c r="S3527" s="1113"/>
      <c r="T3527" s="1143"/>
      <c r="U3527" s="1108"/>
      <c r="V3527" s="1108"/>
      <c r="W3527" s="1108"/>
      <c r="X3527" s="1108"/>
      <c r="Y3527" s="1108"/>
      <c r="Z3527" s="1114"/>
      <c r="AA3527" s="1114"/>
      <c r="AB3527" s="1114"/>
      <c r="AC3527" s="1117"/>
      <c r="AD3527" s="1115"/>
      <c r="AE3527" s="1115"/>
      <c r="AF3527" s="1115"/>
      <c r="AG3527" s="1115"/>
      <c r="AH3527" s="1115"/>
      <c r="AI3527" s="1115"/>
      <c r="AJ3527" s="1117"/>
      <c r="AK3527" s="1118"/>
      <c r="AL3527" s="1115"/>
      <c r="AM3527" s="1115"/>
      <c r="AN3527" s="1115"/>
      <c r="AO3527" s="1115"/>
      <c r="AP3527" s="1115"/>
      <c r="AQ3527" s="1115"/>
      <c r="AR3527" s="1115"/>
      <c r="AS3527" s="1117"/>
      <c r="AT3527" s="1075"/>
      <c r="AU3527" s="1193"/>
      <c r="AV3527" s="330"/>
      <c r="AW3527" s="331"/>
      <c r="AX3527" s="331"/>
      <c r="AY3527" s="331"/>
      <c r="AZ3527" s="331"/>
      <c r="BA3527" s="331"/>
      <c r="BB3527" s="331"/>
      <c r="BC3527" s="331"/>
      <c r="BD3527" s="331"/>
      <c r="BE3527" s="333"/>
      <c r="BF3527" s="330"/>
      <c r="BG3527" s="333"/>
      <c r="BH3527" s="1119"/>
      <c r="BI3527" s="319"/>
      <c r="BJ3527" s="319"/>
      <c r="BK3527" s="319"/>
      <c r="BL3527" s="319"/>
      <c r="BM3527" s="319"/>
      <c r="BN3527" s="319"/>
      <c r="BO3527" s="319"/>
      <c r="BP3527" s="953"/>
      <c r="BQ3527" s="319"/>
      <c r="BR3527" s="319"/>
      <c r="BS3527" s="330"/>
      <c r="BT3527" s="331"/>
      <c r="BU3527" s="920"/>
      <c r="BV3527" s="903"/>
      <c r="BW3527" s="908"/>
      <c r="BX3527" s="908"/>
      <c r="BY3527" s="331"/>
      <c r="BZ3527" s="331"/>
      <c r="CA3527" s="462"/>
      <c r="CB3527" s="319"/>
      <c r="CC3527" s="319"/>
      <c r="CD3527" s="319"/>
      <c r="CE3527" s="319"/>
      <c r="CF3527" s="319"/>
      <c r="CG3527" s="319"/>
      <c r="CH3527" s="318"/>
      <c r="CI3527" s="319"/>
      <c r="CJ3527" s="319"/>
      <c r="CK3527" s="342"/>
      <c r="CL3527" s="333"/>
      <c r="CM3527" s="1079"/>
      <c r="CN3527" s="1005"/>
      <c r="CO3527" s="1005"/>
      <c r="CP3527" s="1005"/>
    </row>
    <row r="3528">
      <c r="A3528" s="1257"/>
      <c r="B3528" s="1113"/>
      <c r="C3528" s="1107"/>
      <c r="D3528" s="103"/>
      <c r="E3528" s="1137"/>
      <c r="F3528" s="112"/>
      <c r="G3528" s="1110"/>
      <c r="H3528" s="1138"/>
      <c r="I3528" s="1138"/>
      <c r="J3528" s="1139"/>
      <c r="K3528" s="1111"/>
      <c r="L3528" s="1112"/>
      <c r="M3528" s="1113"/>
      <c r="N3528" s="110"/>
      <c r="O3528" s="1140"/>
      <c r="P3528" s="1115"/>
      <c r="Q3528" s="1116"/>
      <c r="R3528" s="1141"/>
      <c r="S3528" s="1113"/>
      <c r="T3528" s="1143"/>
      <c r="U3528" s="1108"/>
      <c r="V3528" s="1108"/>
      <c r="W3528" s="1108"/>
      <c r="X3528" s="1108"/>
      <c r="Y3528" s="1108"/>
      <c r="Z3528" s="1114"/>
      <c r="AA3528" s="1114"/>
      <c r="AB3528" s="1114"/>
      <c r="AC3528" s="1117"/>
      <c r="AD3528" s="1115"/>
      <c r="AE3528" s="1115"/>
      <c r="AF3528" s="1115"/>
      <c r="AG3528" s="1115"/>
      <c r="AH3528" s="1115"/>
      <c r="AI3528" s="1115"/>
      <c r="AJ3528" s="1117"/>
      <c r="AK3528" s="1118"/>
      <c r="AL3528" s="1115"/>
      <c r="AM3528" s="1115"/>
      <c r="AN3528" s="1115"/>
      <c r="AO3528" s="1115"/>
      <c r="AP3528" s="1115"/>
      <c r="AQ3528" s="1115"/>
      <c r="AR3528" s="1115"/>
      <c r="AS3528" s="1117"/>
      <c r="AT3528" s="1075"/>
      <c r="AU3528" s="1193"/>
      <c r="AV3528" s="330"/>
      <c r="AW3528" s="331"/>
      <c r="AX3528" s="331"/>
      <c r="AY3528" s="331"/>
      <c r="AZ3528" s="331"/>
      <c r="BA3528" s="331"/>
      <c r="BB3528" s="331"/>
      <c r="BC3528" s="331"/>
      <c r="BD3528" s="331"/>
      <c r="BE3528" s="333"/>
      <c r="BF3528" s="330"/>
      <c r="BG3528" s="333"/>
      <c r="BH3528" s="1119"/>
      <c r="BI3528" s="319"/>
      <c r="BJ3528" s="319"/>
      <c r="BK3528" s="319"/>
      <c r="BL3528" s="319"/>
      <c r="BM3528" s="319"/>
      <c r="BN3528" s="319"/>
      <c r="BO3528" s="319"/>
      <c r="BP3528" s="953"/>
      <c r="BQ3528" s="319"/>
      <c r="BR3528" s="319"/>
      <c r="BS3528" s="330"/>
      <c r="BT3528" s="331"/>
      <c r="BU3528" s="920"/>
      <c r="BV3528" s="903"/>
      <c r="BW3528" s="908"/>
      <c r="BX3528" s="908"/>
      <c r="BY3528" s="331"/>
      <c r="BZ3528" s="331"/>
      <c r="CA3528" s="462"/>
      <c r="CB3528" s="319"/>
      <c r="CC3528" s="319"/>
      <c r="CD3528" s="319"/>
      <c r="CE3528" s="319"/>
      <c r="CF3528" s="319"/>
      <c r="CG3528" s="319"/>
      <c r="CH3528" s="318"/>
      <c r="CI3528" s="319"/>
      <c r="CJ3528" s="319"/>
      <c r="CK3528" s="342"/>
      <c r="CL3528" s="333"/>
      <c r="CM3528" s="1079"/>
      <c r="CN3528" s="1005"/>
      <c r="CO3528" s="1005"/>
      <c r="CP3528" s="1005"/>
    </row>
    <row r="3529">
      <c r="A3529" s="1257"/>
      <c r="B3529" s="1113"/>
      <c r="C3529" s="1107"/>
      <c r="D3529" s="103"/>
      <c r="E3529" s="1137"/>
      <c r="F3529" s="112"/>
      <c r="G3529" s="1110"/>
      <c r="H3529" s="1138"/>
      <c r="I3529" s="1138"/>
      <c r="J3529" s="1139"/>
      <c r="K3529" s="1111"/>
      <c r="L3529" s="1112"/>
      <c r="M3529" s="1113"/>
      <c r="N3529" s="110"/>
      <c r="O3529" s="1140"/>
      <c r="P3529" s="1115"/>
      <c r="Q3529" s="1116"/>
      <c r="R3529" s="1141"/>
      <c r="S3529" s="1113"/>
      <c r="T3529" s="1143"/>
      <c r="U3529" s="1108"/>
      <c r="V3529" s="1108"/>
      <c r="W3529" s="1108"/>
      <c r="X3529" s="1108"/>
      <c r="Y3529" s="1108"/>
      <c r="Z3529" s="1114"/>
      <c r="AA3529" s="1114"/>
      <c r="AB3529" s="1114"/>
      <c r="AC3529" s="1117"/>
      <c r="AD3529" s="1115"/>
      <c r="AE3529" s="1115"/>
      <c r="AF3529" s="1115"/>
      <c r="AG3529" s="1115"/>
      <c r="AH3529" s="1115"/>
      <c r="AI3529" s="1115"/>
      <c r="AJ3529" s="1117"/>
      <c r="AK3529" s="1118"/>
      <c r="AL3529" s="1115"/>
      <c r="AM3529" s="1115"/>
      <c r="AN3529" s="1115"/>
      <c r="AO3529" s="1115"/>
      <c r="AP3529" s="1115"/>
      <c r="AQ3529" s="1115"/>
      <c r="AR3529" s="1115"/>
      <c r="AS3529" s="1117"/>
      <c r="AT3529" s="1075"/>
      <c r="AU3529" s="1193"/>
      <c r="AV3529" s="330"/>
      <c r="AW3529" s="331"/>
      <c r="AX3529" s="331"/>
      <c r="AY3529" s="331"/>
      <c r="AZ3529" s="331"/>
      <c r="BA3529" s="331"/>
      <c r="BB3529" s="331"/>
      <c r="BC3529" s="331"/>
      <c r="BD3529" s="331"/>
      <c r="BE3529" s="333"/>
      <c r="BF3529" s="330"/>
      <c r="BG3529" s="333"/>
      <c r="BH3529" s="1119"/>
      <c r="BI3529" s="319"/>
      <c r="BJ3529" s="319"/>
      <c r="BK3529" s="319"/>
      <c r="BL3529" s="319"/>
      <c r="BM3529" s="319"/>
      <c r="BN3529" s="319"/>
      <c r="BO3529" s="319"/>
      <c r="BP3529" s="953"/>
      <c r="BQ3529" s="319"/>
      <c r="BR3529" s="319"/>
      <c r="BS3529" s="330"/>
      <c r="BT3529" s="331"/>
      <c r="BU3529" s="920"/>
      <c r="BV3529" s="903"/>
      <c r="BW3529" s="908"/>
      <c r="BX3529" s="908"/>
      <c r="BY3529" s="331"/>
      <c r="BZ3529" s="331"/>
      <c r="CA3529" s="462"/>
      <c r="CB3529" s="319"/>
      <c r="CC3529" s="319"/>
      <c r="CD3529" s="319"/>
      <c r="CE3529" s="319"/>
      <c r="CF3529" s="319"/>
      <c r="CG3529" s="319"/>
      <c r="CH3529" s="318"/>
      <c r="CI3529" s="319"/>
      <c r="CJ3529" s="319"/>
      <c r="CK3529" s="342"/>
      <c r="CL3529" s="333"/>
      <c r="CM3529" s="1079"/>
      <c r="CN3529" s="1005"/>
      <c r="CO3529" s="1005"/>
      <c r="CP3529" s="1005"/>
    </row>
    <row r="3530">
      <c r="A3530" s="1257"/>
      <c r="B3530" s="1113"/>
      <c r="C3530" s="1107"/>
      <c r="D3530" s="103"/>
      <c r="E3530" s="1137"/>
      <c r="F3530" s="112"/>
      <c r="G3530" s="1110"/>
      <c r="H3530" s="1138"/>
      <c r="I3530" s="1138"/>
      <c r="J3530" s="1139"/>
      <c r="K3530" s="1111"/>
      <c r="L3530" s="1112"/>
      <c r="M3530" s="1113"/>
      <c r="N3530" s="110"/>
      <c r="O3530" s="1140"/>
      <c r="P3530" s="1115"/>
      <c r="Q3530" s="1116"/>
      <c r="R3530" s="1141"/>
      <c r="S3530" s="1113"/>
      <c r="T3530" s="1143"/>
      <c r="U3530" s="1108"/>
      <c r="V3530" s="1108"/>
      <c r="W3530" s="1108"/>
      <c r="X3530" s="1108"/>
      <c r="Y3530" s="1108"/>
      <c r="Z3530" s="1114"/>
      <c r="AA3530" s="1114"/>
      <c r="AB3530" s="1114"/>
      <c r="AC3530" s="1117"/>
      <c r="AD3530" s="1115"/>
      <c r="AE3530" s="1115"/>
      <c r="AF3530" s="1115"/>
      <c r="AG3530" s="1115"/>
      <c r="AH3530" s="1115"/>
      <c r="AI3530" s="1115"/>
      <c r="AJ3530" s="1117"/>
      <c r="AK3530" s="1118"/>
      <c r="AL3530" s="1115"/>
      <c r="AM3530" s="1115"/>
      <c r="AN3530" s="1115"/>
      <c r="AO3530" s="1115"/>
      <c r="AP3530" s="1115"/>
      <c r="AQ3530" s="1115"/>
      <c r="AR3530" s="1115"/>
      <c r="AS3530" s="1117"/>
      <c r="AT3530" s="1075"/>
      <c r="AU3530" s="1193"/>
      <c r="AV3530" s="330"/>
      <c r="AW3530" s="331"/>
      <c r="AX3530" s="331"/>
      <c r="AY3530" s="331"/>
      <c r="AZ3530" s="331"/>
      <c r="BA3530" s="331"/>
      <c r="BB3530" s="331"/>
      <c r="BC3530" s="331"/>
      <c r="BD3530" s="331"/>
      <c r="BE3530" s="333"/>
      <c r="BF3530" s="330"/>
      <c r="BG3530" s="333"/>
      <c r="BH3530" s="1119"/>
      <c r="BI3530" s="319"/>
      <c r="BJ3530" s="319"/>
      <c r="BK3530" s="319"/>
      <c r="BL3530" s="319"/>
      <c r="BM3530" s="319"/>
      <c r="BN3530" s="319"/>
      <c r="BO3530" s="319"/>
      <c r="BP3530" s="953"/>
      <c r="BQ3530" s="319"/>
      <c r="BR3530" s="319"/>
      <c r="BS3530" s="330"/>
      <c r="BT3530" s="331"/>
      <c r="BU3530" s="920"/>
      <c r="BV3530" s="903"/>
      <c r="BW3530" s="908"/>
      <c r="BX3530" s="908"/>
      <c r="BY3530" s="331"/>
      <c r="BZ3530" s="331"/>
      <c r="CA3530" s="462"/>
      <c r="CB3530" s="319"/>
      <c r="CC3530" s="319"/>
      <c r="CD3530" s="319"/>
      <c r="CE3530" s="319"/>
      <c r="CF3530" s="319"/>
      <c r="CG3530" s="319"/>
      <c r="CH3530" s="318"/>
      <c r="CI3530" s="319"/>
      <c r="CJ3530" s="319"/>
      <c r="CK3530" s="342"/>
      <c r="CL3530" s="333"/>
      <c r="CM3530" s="1079"/>
      <c r="CN3530" s="1005"/>
      <c r="CO3530" s="1005"/>
      <c r="CP3530" s="1005"/>
    </row>
    <row r="3531">
      <c r="A3531" s="1257"/>
      <c r="B3531" s="1113"/>
      <c r="C3531" s="1107"/>
      <c r="D3531" s="103"/>
      <c r="E3531" s="1137"/>
      <c r="F3531" s="112"/>
      <c r="G3531" s="1110"/>
      <c r="H3531" s="1138"/>
      <c r="I3531" s="1138"/>
      <c r="J3531" s="1139"/>
      <c r="K3531" s="1111"/>
      <c r="L3531" s="1112"/>
      <c r="M3531" s="1113"/>
      <c r="N3531" s="110"/>
      <c r="O3531" s="1140"/>
      <c r="P3531" s="1115"/>
      <c r="Q3531" s="1116"/>
      <c r="R3531" s="1141"/>
      <c r="S3531" s="1113"/>
      <c r="T3531" s="1143"/>
      <c r="U3531" s="1108"/>
      <c r="V3531" s="1108"/>
      <c r="W3531" s="1108"/>
      <c r="X3531" s="1108"/>
      <c r="Y3531" s="1108"/>
      <c r="Z3531" s="1114"/>
      <c r="AA3531" s="1114"/>
      <c r="AB3531" s="1114"/>
      <c r="AC3531" s="1117"/>
      <c r="AD3531" s="1115"/>
      <c r="AE3531" s="1115"/>
      <c r="AF3531" s="1115"/>
      <c r="AG3531" s="1115"/>
      <c r="AH3531" s="1115"/>
      <c r="AI3531" s="1115"/>
      <c r="AJ3531" s="1117"/>
      <c r="AK3531" s="1118"/>
      <c r="AL3531" s="1115"/>
      <c r="AM3531" s="1115"/>
      <c r="AN3531" s="1115"/>
      <c r="AO3531" s="1115"/>
      <c r="AP3531" s="1115"/>
      <c r="AQ3531" s="1115"/>
      <c r="AR3531" s="1115"/>
      <c r="AS3531" s="1117"/>
      <c r="AT3531" s="1075"/>
      <c r="AU3531" s="1193"/>
      <c r="AV3531" s="330"/>
      <c r="AW3531" s="331"/>
      <c r="AX3531" s="331"/>
      <c r="AY3531" s="331"/>
      <c r="AZ3531" s="331"/>
      <c r="BA3531" s="331"/>
      <c r="BB3531" s="331"/>
      <c r="BC3531" s="331"/>
      <c r="BD3531" s="331"/>
      <c r="BE3531" s="333"/>
      <c r="BF3531" s="330"/>
      <c r="BG3531" s="333"/>
      <c r="BH3531" s="1119"/>
      <c r="BI3531" s="319"/>
      <c r="BJ3531" s="319"/>
      <c r="BK3531" s="319"/>
      <c r="BL3531" s="319"/>
      <c r="BM3531" s="319"/>
      <c r="BN3531" s="319"/>
      <c r="BO3531" s="319"/>
      <c r="BP3531" s="953"/>
      <c r="BQ3531" s="319"/>
      <c r="BR3531" s="319"/>
      <c r="BS3531" s="330"/>
      <c r="BT3531" s="331"/>
      <c r="BU3531" s="920"/>
      <c r="BV3531" s="903"/>
      <c r="BW3531" s="908"/>
      <c r="BX3531" s="908"/>
      <c r="BY3531" s="331"/>
      <c r="BZ3531" s="331"/>
      <c r="CA3531" s="462"/>
      <c r="CB3531" s="319"/>
      <c r="CC3531" s="319"/>
      <c r="CD3531" s="319"/>
      <c r="CE3531" s="319"/>
      <c r="CF3531" s="319"/>
      <c r="CG3531" s="319"/>
      <c r="CH3531" s="318"/>
      <c r="CI3531" s="319"/>
      <c r="CJ3531" s="319"/>
      <c r="CK3531" s="342"/>
      <c r="CL3531" s="333"/>
      <c r="CM3531" s="1079"/>
      <c r="CN3531" s="1005"/>
      <c r="CO3531" s="1005"/>
      <c r="CP3531" s="1005"/>
    </row>
    <row r="3532">
      <c r="A3532" s="1257"/>
      <c r="B3532" s="1113"/>
      <c r="C3532" s="1107"/>
      <c r="D3532" s="103"/>
      <c r="E3532" s="1137"/>
      <c r="F3532" s="112"/>
      <c r="G3532" s="1110"/>
      <c r="H3532" s="1138"/>
      <c r="I3532" s="1138"/>
      <c r="J3532" s="1139"/>
      <c r="K3532" s="1111"/>
      <c r="L3532" s="1112"/>
      <c r="M3532" s="1113"/>
      <c r="N3532" s="110"/>
      <c r="O3532" s="1140"/>
      <c r="P3532" s="1115"/>
      <c r="Q3532" s="1116"/>
      <c r="R3532" s="1141"/>
      <c r="S3532" s="1113"/>
      <c r="T3532" s="1143"/>
      <c r="U3532" s="1108"/>
      <c r="V3532" s="1108"/>
      <c r="W3532" s="1108"/>
      <c r="X3532" s="1108"/>
      <c r="Y3532" s="1108"/>
      <c r="Z3532" s="1114"/>
      <c r="AA3532" s="1114"/>
      <c r="AB3532" s="1114"/>
      <c r="AC3532" s="1117"/>
      <c r="AD3532" s="1115"/>
      <c r="AE3532" s="1115"/>
      <c r="AF3532" s="1115"/>
      <c r="AG3532" s="1115"/>
      <c r="AH3532" s="1115"/>
      <c r="AI3532" s="1115"/>
      <c r="AJ3532" s="1117"/>
      <c r="AK3532" s="1118"/>
      <c r="AL3532" s="1115"/>
      <c r="AM3532" s="1115"/>
      <c r="AN3532" s="1115"/>
      <c r="AO3532" s="1115"/>
      <c r="AP3532" s="1115"/>
      <c r="AQ3532" s="1115"/>
      <c r="AR3532" s="1115"/>
      <c r="AS3532" s="1117"/>
      <c r="AT3532" s="1075"/>
      <c r="AU3532" s="1193"/>
      <c r="AV3532" s="330"/>
      <c r="AW3532" s="331"/>
      <c r="AX3532" s="331"/>
      <c r="AY3532" s="331"/>
      <c r="AZ3532" s="331"/>
      <c r="BA3532" s="331"/>
      <c r="BB3532" s="331"/>
      <c r="BC3532" s="331"/>
      <c r="BD3532" s="331"/>
      <c r="BE3532" s="333"/>
      <c r="BF3532" s="330"/>
      <c r="BG3532" s="333"/>
      <c r="BH3532" s="1119"/>
      <c r="BI3532" s="319"/>
      <c r="BJ3532" s="319"/>
      <c r="BK3532" s="319"/>
      <c r="BL3532" s="319"/>
      <c r="BM3532" s="319"/>
      <c r="BN3532" s="319"/>
      <c r="BO3532" s="319"/>
      <c r="BP3532" s="953"/>
      <c r="BQ3532" s="319"/>
      <c r="BR3532" s="319"/>
      <c r="BS3532" s="330"/>
      <c r="BT3532" s="331"/>
      <c r="BU3532" s="920"/>
      <c r="BV3532" s="903"/>
      <c r="BW3532" s="908"/>
      <c r="BX3532" s="908"/>
      <c r="BY3532" s="331"/>
      <c r="BZ3532" s="331"/>
      <c r="CA3532" s="462"/>
      <c r="CB3532" s="319"/>
      <c r="CC3532" s="319"/>
      <c r="CD3532" s="319"/>
      <c r="CE3532" s="319"/>
      <c r="CF3532" s="319"/>
      <c r="CG3532" s="319"/>
      <c r="CH3532" s="318"/>
      <c r="CI3532" s="319"/>
      <c r="CJ3532" s="319"/>
      <c r="CK3532" s="342"/>
      <c r="CL3532" s="333"/>
      <c r="CM3532" s="1079"/>
      <c r="CN3532" s="1005"/>
      <c r="CO3532" s="1005"/>
      <c r="CP3532" s="1005"/>
    </row>
    <row r="3533">
      <c r="A3533" s="1257"/>
      <c r="B3533" s="1113"/>
      <c r="C3533" s="1107"/>
      <c r="D3533" s="103"/>
      <c r="E3533" s="1137"/>
      <c r="F3533" s="112"/>
      <c r="G3533" s="1110"/>
      <c r="H3533" s="1138"/>
      <c r="I3533" s="1138"/>
      <c r="J3533" s="1139"/>
      <c r="K3533" s="1111"/>
      <c r="L3533" s="1112"/>
      <c r="M3533" s="1113"/>
      <c r="N3533" s="110"/>
      <c r="O3533" s="1140"/>
      <c r="P3533" s="1115"/>
      <c r="Q3533" s="1116"/>
      <c r="R3533" s="1141"/>
      <c r="S3533" s="1113"/>
      <c r="T3533" s="1143"/>
      <c r="U3533" s="1108"/>
      <c r="V3533" s="1108"/>
      <c r="W3533" s="1108"/>
      <c r="X3533" s="1108"/>
      <c r="Y3533" s="1108"/>
      <c r="Z3533" s="1114"/>
      <c r="AA3533" s="1114"/>
      <c r="AB3533" s="1114"/>
      <c r="AC3533" s="1117"/>
      <c r="AD3533" s="1115"/>
      <c r="AE3533" s="1115"/>
      <c r="AF3533" s="1115"/>
      <c r="AG3533" s="1115"/>
      <c r="AH3533" s="1115"/>
      <c r="AI3533" s="1115"/>
      <c r="AJ3533" s="1117"/>
      <c r="AK3533" s="1118"/>
      <c r="AL3533" s="1115"/>
      <c r="AM3533" s="1115"/>
      <c r="AN3533" s="1115"/>
      <c r="AO3533" s="1115"/>
      <c r="AP3533" s="1115"/>
      <c r="AQ3533" s="1115"/>
      <c r="AR3533" s="1115"/>
      <c r="AS3533" s="1117"/>
      <c r="AT3533" s="1075"/>
      <c r="AU3533" s="1193"/>
      <c r="AV3533" s="330"/>
      <c r="AW3533" s="331"/>
      <c r="AX3533" s="331"/>
      <c r="AY3533" s="331"/>
      <c r="AZ3533" s="331"/>
      <c r="BA3533" s="331"/>
      <c r="BB3533" s="331"/>
      <c r="BC3533" s="331"/>
      <c r="BD3533" s="331"/>
      <c r="BE3533" s="333"/>
      <c r="BF3533" s="330"/>
      <c r="BG3533" s="333"/>
      <c r="BH3533" s="1119"/>
      <c r="BI3533" s="319"/>
      <c r="BJ3533" s="319"/>
      <c r="BK3533" s="319"/>
      <c r="BL3533" s="319"/>
      <c r="BM3533" s="319"/>
      <c r="BN3533" s="319"/>
      <c r="BO3533" s="319"/>
      <c r="BP3533" s="953"/>
      <c r="BQ3533" s="319"/>
      <c r="BR3533" s="319"/>
      <c r="BS3533" s="330"/>
      <c r="BT3533" s="331"/>
      <c r="BU3533" s="920"/>
      <c r="BV3533" s="903"/>
      <c r="BW3533" s="908"/>
      <c r="BX3533" s="908"/>
      <c r="BY3533" s="331"/>
      <c r="BZ3533" s="331"/>
      <c r="CA3533" s="462"/>
      <c r="CB3533" s="319"/>
      <c r="CC3533" s="319"/>
      <c r="CD3533" s="319"/>
      <c r="CE3533" s="319"/>
      <c r="CF3533" s="319"/>
      <c r="CG3533" s="319"/>
      <c r="CH3533" s="318"/>
      <c r="CI3533" s="319"/>
      <c r="CJ3533" s="319"/>
      <c r="CK3533" s="342"/>
      <c r="CL3533" s="333"/>
      <c r="CM3533" s="1079"/>
      <c r="CN3533" s="1005"/>
      <c r="CO3533" s="1005"/>
      <c r="CP3533" s="1005"/>
    </row>
    <row r="3534">
      <c r="A3534" s="1257"/>
      <c r="B3534" s="1113"/>
      <c r="C3534" s="1107"/>
      <c r="D3534" s="103"/>
      <c r="E3534" s="1137"/>
      <c r="F3534" s="112"/>
      <c r="G3534" s="1110"/>
      <c r="H3534" s="1138"/>
      <c r="I3534" s="1138"/>
      <c r="J3534" s="1139"/>
      <c r="K3534" s="1111"/>
      <c r="L3534" s="1112"/>
      <c r="M3534" s="1113"/>
      <c r="N3534" s="110"/>
      <c r="O3534" s="1140"/>
      <c r="P3534" s="1115"/>
      <c r="Q3534" s="1116"/>
      <c r="R3534" s="1141"/>
      <c r="S3534" s="1113"/>
      <c r="T3534" s="1143"/>
      <c r="U3534" s="1108"/>
      <c r="V3534" s="1108"/>
      <c r="W3534" s="1108"/>
      <c r="X3534" s="1108"/>
      <c r="Y3534" s="1108"/>
      <c r="Z3534" s="1114"/>
      <c r="AA3534" s="1114"/>
      <c r="AB3534" s="1114"/>
      <c r="AC3534" s="1117"/>
      <c r="AD3534" s="1115"/>
      <c r="AE3534" s="1115"/>
      <c r="AF3534" s="1115"/>
      <c r="AG3534" s="1115"/>
      <c r="AH3534" s="1115"/>
      <c r="AI3534" s="1115"/>
      <c r="AJ3534" s="1117"/>
      <c r="AK3534" s="1118"/>
      <c r="AL3534" s="1115"/>
      <c r="AM3534" s="1115"/>
      <c r="AN3534" s="1115"/>
      <c r="AO3534" s="1115"/>
      <c r="AP3534" s="1115"/>
      <c r="AQ3534" s="1115"/>
      <c r="AR3534" s="1115"/>
      <c r="AS3534" s="1117"/>
      <c r="AT3534" s="1075"/>
      <c r="AU3534" s="1193"/>
      <c r="AV3534" s="330"/>
      <c r="AW3534" s="331"/>
      <c r="AX3534" s="331"/>
      <c r="AY3534" s="331"/>
      <c r="AZ3534" s="331"/>
      <c r="BA3534" s="331"/>
      <c r="BB3534" s="331"/>
      <c r="BC3534" s="331"/>
      <c r="BD3534" s="331"/>
      <c r="BE3534" s="333"/>
      <c r="BF3534" s="330"/>
      <c r="BG3534" s="333"/>
      <c r="BH3534" s="1119"/>
      <c r="BI3534" s="319"/>
      <c r="BJ3534" s="319"/>
      <c r="BK3534" s="319"/>
      <c r="BL3534" s="319"/>
      <c r="BM3534" s="319"/>
      <c r="BN3534" s="319"/>
      <c r="BO3534" s="319"/>
      <c r="BP3534" s="953"/>
      <c r="BQ3534" s="319"/>
      <c r="BR3534" s="319"/>
      <c r="BS3534" s="330"/>
      <c r="BT3534" s="331"/>
      <c r="BU3534" s="920"/>
      <c r="BV3534" s="903"/>
      <c r="BW3534" s="908"/>
      <c r="BX3534" s="908"/>
      <c r="BY3534" s="331"/>
      <c r="BZ3534" s="331"/>
      <c r="CA3534" s="462"/>
      <c r="CB3534" s="319"/>
      <c r="CC3534" s="319"/>
      <c r="CD3534" s="319"/>
      <c r="CE3534" s="319"/>
      <c r="CF3534" s="319"/>
      <c r="CG3534" s="319"/>
      <c r="CH3534" s="318"/>
      <c r="CI3534" s="319"/>
      <c r="CJ3534" s="319"/>
      <c r="CK3534" s="342"/>
      <c r="CL3534" s="333"/>
      <c r="CM3534" s="1079"/>
      <c r="CN3534" s="1005"/>
      <c r="CO3534" s="1005"/>
      <c r="CP3534" s="1005"/>
    </row>
    <row r="3535">
      <c r="A3535" s="1257"/>
      <c r="B3535" s="1113"/>
      <c r="C3535" s="1107"/>
      <c r="D3535" s="103"/>
      <c r="E3535" s="1137"/>
      <c r="F3535" s="112"/>
      <c r="G3535" s="1110"/>
      <c r="H3535" s="1138"/>
      <c r="I3535" s="1138"/>
      <c r="J3535" s="1139"/>
      <c r="K3535" s="1111"/>
      <c r="L3535" s="1112"/>
      <c r="M3535" s="1113"/>
      <c r="N3535" s="110"/>
      <c r="O3535" s="1140"/>
      <c r="P3535" s="1115"/>
      <c r="Q3535" s="1116"/>
      <c r="R3535" s="1141"/>
      <c r="S3535" s="1113"/>
      <c r="T3535" s="1143"/>
      <c r="U3535" s="1108"/>
      <c r="V3535" s="1108"/>
      <c r="W3535" s="1108"/>
      <c r="X3535" s="1108"/>
      <c r="Y3535" s="1108"/>
      <c r="Z3535" s="1114"/>
      <c r="AA3535" s="1114"/>
      <c r="AB3535" s="1114"/>
      <c r="AC3535" s="1117"/>
      <c r="AD3535" s="1115"/>
      <c r="AE3535" s="1115"/>
      <c r="AF3535" s="1115"/>
      <c r="AG3535" s="1115"/>
      <c r="AH3535" s="1115"/>
      <c r="AI3535" s="1115"/>
      <c r="AJ3535" s="1117"/>
      <c r="AK3535" s="1118"/>
      <c r="AL3535" s="1115"/>
      <c r="AM3535" s="1115"/>
      <c r="AN3535" s="1115"/>
      <c r="AO3535" s="1115"/>
      <c r="AP3535" s="1115"/>
      <c r="AQ3535" s="1115"/>
      <c r="AR3535" s="1115"/>
      <c r="AS3535" s="1117"/>
      <c r="AT3535" s="1075"/>
      <c r="AU3535" s="1193"/>
      <c r="AV3535" s="330"/>
      <c r="AW3535" s="331"/>
      <c r="AX3535" s="331"/>
      <c r="AY3535" s="331"/>
      <c r="AZ3535" s="331"/>
      <c r="BA3535" s="331"/>
      <c r="BB3535" s="331"/>
      <c r="BC3535" s="331"/>
      <c r="BD3535" s="331"/>
      <c r="BE3535" s="333"/>
      <c r="BF3535" s="330"/>
      <c r="BG3535" s="333"/>
      <c r="BH3535" s="1119"/>
      <c r="BI3535" s="319"/>
      <c r="BJ3535" s="319"/>
      <c r="BK3535" s="319"/>
      <c r="BL3535" s="319"/>
      <c r="BM3535" s="319"/>
      <c r="BN3535" s="319"/>
      <c r="BO3535" s="319"/>
      <c r="BP3535" s="953"/>
      <c r="BQ3535" s="319"/>
      <c r="BR3535" s="319"/>
      <c r="BS3535" s="330"/>
      <c r="BT3535" s="331"/>
      <c r="BU3535" s="920"/>
      <c r="BV3535" s="903"/>
      <c r="BW3535" s="908"/>
      <c r="BX3535" s="908"/>
      <c r="BY3535" s="331"/>
      <c r="BZ3535" s="331"/>
      <c r="CA3535" s="462"/>
      <c r="CB3535" s="319"/>
      <c r="CC3535" s="319"/>
      <c r="CD3535" s="319"/>
      <c r="CE3535" s="319"/>
      <c r="CF3535" s="319"/>
      <c r="CG3535" s="319"/>
      <c r="CH3535" s="318"/>
      <c r="CI3535" s="319"/>
      <c r="CJ3535" s="319"/>
      <c r="CK3535" s="342"/>
      <c r="CL3535" s="333"/>
      <c r="CM3535" s="1079"/>
      <c r="CN3535" s="1005"/>
      <c r="CO3535" s="1005"/>
      <c r="CP3535" s="1005"/>
    </row>
    <row r="3536">
      <c r="A3536" s="1257"/>
      <c r="B3536" s="1113"/>
      <c r="C3536" s="1107"/>
      <c r="D3536" s="103"/>
      <c r="E3536" s="1137"/>
      <c r="F3536" s="112"/>
      <c r="G3536" s="1110"/>
      <c r="H3536" s="1138"/>
      <c r="I3536" s="1138"/>
      <c r="J3536" s="1139"/>
      <c r="K3536" s="1111"/>
      <c r="L3536" s="1112"/>
      <c r="M3536" s="1113"/>
      <c r="N3536" s="110"/>
      <c r="O3536" s="1140"/>
      <c r="P3536" s="1115"/>
      <c r="Q3536" s="1116"/>
      <c r="R3536" s="1141"/>
      <c r="S3536" s="1113"/>
      <c r="T3536" s="1143"/>
      <c r="U3536" s="1108"/>
      <c r="V3536" s="1108"/>
      <c r="W3536" s="1108"/>
      <c r="X3536" s="1108"/>
      <c r="Y3536" s="1108"/>
      <c r="Z3536" s="1114"/>
      <c r="AA3536" s="1114"/>
      <c r="AB3536" s="1114"/>
      <c r="AC3536" s="1117"/>
      <c r="AD3536" s="1115"/>
      <c r="AE3536" s="1115"/>
      <c r="AF3536" s="1115"/>
      <c r="AG3536" s="1115"/>
      <c r="AH3536" s="1115"/>
      <c r="AI3536" s="1115"/>
      <c r="AJ3536" s="1117"/>
      <c r="AK3536" s="1118"/>
      <c r="AL3536" s="1115"/>
      <c r="AM3536" s="1115"/>
      <c r="AN3536" s="1115"/>
      <c r="AO3536" s="1115"/>
      <c r="AP3536" s="1115"/>
      <c r="AQ3536" s="1115"/>
      <c r="AR3536" s="1115"/>
      <c r="AS3536" s="1117"/>
      <c r="AT3536" s="1075"/>
      <c r="AU3536" s="1193"/>
      <c r="AV3536" s="330"/>
      <c r="AW3536" s="331"/>
      <c r="AX3536" s="331"/>
      <c r="AY3536" s="331"/>
      <c r="AZ3536" s="331"/>
      <c r="BA3536" s="331"/>
      <c r="BB3536" s="331"/>
      <c r="BC3536" s="331"/>
      <c r="BD3536" s="331"/>
      <c r="BE3536" s="333"/>
      <c r="BF3536" s="330"/>
      <c r="BG3536" s="333"/>
      <c r="BH3536" s="1119"/>
      <c r="BI3536" s="319"/>
      <c r="BJ3536" s="319"/>
      <c r="BK3536" s="319"/>
      <c r="BL3536" s="319"/>
      <c r="BM3536" s="319"/>
      <c r="BN3536" s="319"/>
      <c r="BO3536" s="319"/>
      <c r="BP3536" s="953"/>
      <c r="BQ3536" s="319"/>
      <c r="BR3536" s="319"/>
      <c r="BS3536" s="330"/>
      <c r="BT3536" s="331"/>
      <c r="BU3536" s="920"/>
      <c r="BV3536" s="903"/>
      <c r="BW3536" s="908"/>
      <c r="BX3536" s="908"/>
      <c r="BY3536" s="331"/>
      <c r="BZ3536" s="331"/>
      <c r="CA3536" s="462"/>
      <c r="CB3536" s="319"/>
      <c r="CC3536" s="319"/>
      <c r="CD3536" s="319"/>
      <c r="CE3536" s="319"/>
      <c r="CF3536" s="319"/>
      <c r="CG3536" s="319"/>
      <c r="CH3536" s="318"/>
      <c r="CI3536" s="319"/>
      <c r="CJ3536" s="319"/>
      <c r="CK3536" s="342"/>
      <c r="CL3536" s="333"/>
      <c r="CM3536" s="1079"/>
      <c r="CN3536" s="1005"/>
      <c r="CO3536" s="1005"/>
      <c r="CP3536" s="1005"/>
    </row>
    <row r="3537">
      <c r="A3537" s="1257"/>
      <c r="B3537" s="1113"/>
      <c r="C3537" s="1107"/>
      <c r="D3537" s="103"/>
      <c r="E3537" s="1137"/>
      <c r="F3537" s="112"/>
      <c r="G3537" s="1110"/>
      <c r="H3537" s="1138"/>
      <c r="I3537" s="1138"/>
      <c r="J3537" s="1139"/>
      <c r="K3537" s="1111"/>
      <c r="L3537" s="1112"/>
      <c r="M3537" s="1113"/>
      <c r="N3537" s="110"/>
      <c r="O3537" s="1140"/>
      <c r="P3537" s="1115"/>
      <c r="Q3537" s="1116"/>
      <c r="R3537" s="1141"/>
      <c r="S3537" s="1113"/>
      <c r="T3537" s="1143"/>
      <c r="U3537" s="1108"/>
      <c r="V3537" s="1108"/>
      <c r="W3537" s="1108"/>
      <c r="X3537" s="1108"/>
      <c r="Y3537" s="1108"/>
      <c r="Z3537" s="1114"/>
      <c r="AA3537" s="1114"/>
      <c r="AB3537" s="1114"/>
      <c r="AC3537" s="1117"/>
      <c r="AD3537" s="1115"/>
      <c r="AE3537" s="1115"/>
      <c r="AF3537" s="1115"/>
      <c r="AG3537" s="1115"/>
      <c r="AH3537" s="1115"/>
      <c r="AI3537" s="1115"/>
      <c r="AJ3537" s="1117"/>
      <c r="AK3537" s="1118"/>
      <c r="AL3537" s="1115"/>
      <c r="AM3537" s="1115"/>
      <c r="AN3537" s="1115"/>
      <c r="AO3537" s="1115"/>
      <c r="AP3537" s="1115"/>
      <c r="AQ3537" s="1115"/>
      <c r="AR3537" s="1115"/>
      <c r="AS3537" s="1117"/>
      <c r="AT3537" s="1075"/>
      <c r="AU3537" s="1193"/>
      <c r="AV3537" s="330"/>
      <c r="AW3537" s="331"/>
      <c r="AX3537" s="331"/>
      <c r="AY3537" s="331"/>
      <c r="AZ3537" s="331"/>
      <c r="BA3537" s="331"/>
      <c r="BB3537" s="331"/>
      <c r="BC3537" s="331"/>
      <c r="BD3537" s="331"/>
      <c r="BE3537" s="333"/>
      <c r="BF3537" s="330"/>
      <c r="BG3537" s="333"/>
      <c r="BH3537" s="1119"/>
      <c r="BI3537" s="319"/>
      <c r="BJ3537" s="319"/>
      <c r="BK3537" s="319"/>
      <c r="BL3537" s="319"/>
      <c r="BM3537" s="319"/>
      <c r="BN3537" s="319"/>
      <c r="BO3537" s="319"/>
      <c r="BP3537" s="953"/>
      <c r="BQ3537" s="319"/>
      <c r="BR3537" s="319"/>
      <c r="BS3537" s="330"/>
      <c r="BT3537" s="331"/>
      <c r="BU3537" s="920"/>
      <c r="BV3537" s="903"/>
      <c r="BW3537" s="908"/>
      <c r="BX3537" s="908"/>
      <c r="BY3537" s="331"/>
      <c r="BZ3537" s="331"/>
      <c r="CA3537" s="462"/>
      <c r="CB3537" s="319"/>
      <c r="CC3537" s="319"/>
      <c r="CD3537" s="319"/>
      <c r="CE3537" s="319"/>
      <c r="CF3537" s="319"/>
      <c r="CG3537" s="319"/>
      <c r="CH3537" s="318"/>
      <c r="CI3537" s="319"/>
      <c r="CJ3537" s="319"/>
      <c r="CK3537" s="342"/>
      <c r="CL3537" s="333"/>
      <c r="CM3537" s="1079"/>
      <c r="CN3537" s="1005"/>
      <c r="CO3537" s="1005"/>
      <c r="CP3537" s="1005"/>
    </row>
    <row r="3538">
      <c r="A3538" s="1257"/>
      <c r="B3538" s="1113"/>
      <c r="C3538" s="1107"/>
      <c r="D3538" s="103"/>
      <c r="E3538" s="1137"/>
      <c r="F3538" s="112"/>
      <c r="G3538" s="1110"/>
      <c r="H3538" s="1138"/>
      <c r="I3538" s="1138"/>
      <c r="J3538" s="1139"/>
      <c r="K3538" s="1111"/>
      <c r="L3538" s="1112"/>
      <c r="M3538" s="1113"/>
      <c r="N3538" s="110"/>
      <c r="O3538" s="1140"/>
      <c r="P3538" s="1115"/>
      <c r="Q3538" s="1116"/>
      <c r="R3538" s="1141"/>
      <c r="S3538" s="1113"/>
      <c r="T3538" s="1143"/>
      <c r="U3538" s="1108"/>
      <c r="V3538" s="1108"/>
      <c r="W3538" s="1108"/>
      <c r="X3538" s="1108"/>
      <c r="Y3538" s="1108"/>
      <c r="Z3538" s="1114"/>
      <c r="AA3538" s="1114"/>
      <c r="AB3538" s="1114"/>
      <c r="AC3538" s="1117"/>
      <c r="AD3538" s="1115"/>
      <c r="AE3538" s="1115"/>
      <c r="AF3538" s="1115"/>
      <c r="AG3538" s="1115"/>
      <c r="AH3538" s="1115"/>
      <c r="AI3538" s="1115"/>
      <c r="AJ3538" s="1117"/>
      <c r="AK3538" s="1118"/>
      <c r="AL3538" s="1115"/>
      <c r="AM3538" s="1115"/>
      <c r="AN3538" s="1115"/>
      <c r="AO3538" s="1115"/>
      <c r="AP3538" s="1115"/>
      <c r="AQ3538" s="1115"/>
      <c r="AR3538" s="1115"/>
      <c r="AS3538" s="1117"/>
      <c r="AT3538" s="1075"/>
      <c r="AU3538" s="1193"/>
      <c r="AV3538" s="330"/>
      <c r="AW3538" s="331"/>
      <c r="AX3538" s="331"/>
      <c r="AY3538" s="331"/>
      <c r="AZ3538" s="331"/>
      <c r="BA3538" s="331"/>
      <c r="BB3538" s="331"/>
      <c r="BC3538" s="331"/>
      <c r="BD3538" s="331"/>
      <c r="BE3538" s="333"/>
      <c r="BF3538" s="330"/>
      <c r="BG3538" s="333"/>
      <c r="BH3538" s="1119"/>
      <c r="BI3538" s="319"/>
      <c r="BJ3538" s="319"/>
      <c r="BK3538" s="319"/>
      <c r="BL3538" s="319"/>
      <c r="BM3538" s="319"/>
      <c r="BN3538" s="319"/>
      <c r="BO3538" s="319"/>
      <c r="BP3538" s="953"/>
      <c r="BQ3538" s="319"/>
      <c r="BR3538" s="319"/>
      <c r="BS3538" s="330"/>
      <c r="BT3538" s="331"/>
      <c r="BU3538" s="920"/>
      <c r="BV3538" s="903"/>
      <c r="BW3538" s="908"/>
      <c r="BX3538" s="908"/>
      <c r="BY3538" s="331"/>
      <c r="BZ3538" s="331"/>
      <c r="CA3538" s="462"/>
      <c r="CB3538" s="319"/>
      <c r="CC3538" s="319"/>
      <c r="CD3538" s="319"/>
      <c r="CE3538" s="319"/>
      <c r="CF3538" s="319"/>
      <c r="CG3538" s="319"/>
      <c r="CH3538" s="318"/>
      <c r="CI3538" s="319"/>
      <c r="CJ3538" s="319"/>
      <c r="CK3538" s="342"/>
      <c r="CL3538" s="333"/>
      <c r="CM3538" s="1079"/>
      <c r="CN3538" s="1005"/>
      <c r="CO3538" s="1005"/>
      <c r="CP3538" s="1005"/>
    </row>
    <row r="3539">
      <c r="A3539" s="1257"/>
      <c r="B3539" s="1113"/>
      <c r="C3539" s="1107"/>
      <c r="D3539" s="103"/>
      <c r="E3539" s="1137"/>
      <c r="F3539" s="112"/>
      <c r="G3539" s="1110"/>
      <c r="H3539" s="1138"/>
      <c r="I3539" s="1138"/>
      <c r="J3539" s="1139"/>
      <c r="K3539" s="1111"/>
      <c r="L3539" s="1112"/>
      <c r="M3539" s="1113"/>
      <c r="N3539" s="110"/>
      <c r="O3539" s="1140"/>
      <c r="P3539" s="1115"/>
      <c r="Q3539" s="1116"/>
      <c r="R3539" s="1141"/>
      <c r="S3539" s="1113"/>
      <c r="T3539" s="1143"/>
      <c r="U3539" s="1108"/>
      <c r="V3539" s="1108"/>
      <c r="W3539" s="1108"/>
      <c r="X3539" s="1108"/>
      <c r="Y3539" s="1108"/>
      <c r="Z3539" s="1114"/>
      <c r="AA3539" s="1114"/>
      <c r="AB3539" s="1114"/>
      <c r="AC3539" s="1117"/>
      <c r="AD3539" s="1115"/>
      <c r="AE3539" s="1115"/>
      <c r="AF3539" s="1115"/>
      <c r="AG3539" s="1115"/>
      <c r="AH3539" s="1115"/>
      <c r="AI3539" s="1115"/>
      <c r="AJ3539" s="1117"/>
      <c r="AK3539" s="1118"/>
      <c r="AL3539" s="1115"/>
      <c r="AM3539" s="1115"/>
      <c r="AN3539" s="1115"/>
      <c r="AO3539" s="1115"/>
      <c r="AP3539" s="1115"/>
      <c r="AQ3539" s="1115"/>
      <c r="AR3539" s="1115"/>
      <c r="AS3539" s="1117"/>
      <c r="AT3539" s="1075"/>
      <c r="AU3539" s="1193"/>
      <c r="AV3539" s="330"/>
      <c r="AW3539" s="331"/>
      <c r="AX3539" s="331"/>
      <c r="AY3539" s="331"/>
      <c r="AZ3539" s="331"/>
      <c r="BA3539" s="331"/>
      <c r="BB3539" s="331"/>
      <c r="BC3539" s="331"/>
      <c r="BD3539" s="331"/>
      <c r="BE3539" s="333"/>
      <c r="BF3539" s="330"/>
      <c r="BG3539" s="333"/>
      <c r="BH3539" s="1119"/>
      <c r="BI3539" s="319"/>
      <c r="BJ3539" s="319"/>
      <c r="BK3539" s="319"/>
      <c r="BL3539" s="319"/>
      <c r="BM3539" s="319"/>
      <c r="BN3539" s="319"/>
      <c r="BO3539" s="319"/>
      <c r="BP3539" s="953"/>
      <c r="BQ3539" s="319"/>
      <c r="BR3539" s="319"/>
      <c r="BS3539" s="330"/>
      <c r="BT3539" s="331"/>
      <c r="BU3539" s="920"/>
      <c r="BV3539" s="903"/>
      <c r="BW3539" s="908"/>
      <c r="BX3539" s="908"/>
      <c r="BY3539" s="331"/>
      <c r="BZ3539" s="331"/>
      <c r="CA3539" s="462"/>
      <c r="CB3539" s="319"/>
      <c r="CC3539" s="319"/>
      <c r="CD3539" s="319"/>
      <c r="CE3539" s="319"/>
      <c r="CF3539" s="319"/>
      <c r="CG3539" s="319"/>
      <c r="CH3539" s="318"/>
      <c r="CI3539" s="319"/>
      <c r="CJ3539" s="319"/>
      <c r="CK3539" s="342"/>
      <c r="CL3539" s="333"/>
      <c r="CM3539" s="1079"/>
      <c r="CN3539" s="1005"/>
      <c r="CO3539" s="1005"/>
      <c r="CP3539" s="1005"/>
    </row>
    <row r="3540">
      <c r="A3540" s="1257"/>
      <c r="B3540" s="1113"/>
      <c r="C3540" s="1107"/>
      <c r="D3540" s="103"/>
      <c r="E3540" s="1137"/>
      <c r="F3540" s="112"/>
      <c r="G3540" s="1110"/>
      <c r="H3540" s="1138"/>
      <c r="I3540" s="1138"/>
      <c r="J3540" s="1139"/>
      <c r="K3540" s="1111"/>
      <c r="L3540" s="1112"/>
      <c r="M3540" s="1113"/>
      <c r="N3540" s="110"/>
      <c r="O3540" s="1140"/>
      <c r="P3540" s="1115"/>
      <c r="Q3540" s="1116"/>
      <c r="R3540" s="1141"/>
      <c r="S3540" s="1113"/>
      <c r="T3540" s="1143"/>
      <c r="U3540" s="1108"/>
      <c r="V3540" s="1108"/>
      <c r="W3540" s="1108"/>
      <c r="X3540" s="1108"/>
      <c r="Y3540" s="1108"/>
      <c r="Z3540" s="1114"/>
      <c r="AA3540" s="1114"/>
      <c r="AB3540" s="1114"/>
      <c r="AC3540" s="1117"/>
      <c r="AD3540" s="1115"/>
      <c r="AE3540" s="1115"/>
      <c r="AF3540" s="1115"/>
      <c r="AG3540" s="1115"/>
      <c r="AH3540" s="1115"/>
      <c r="AI3540" s="1115"/>
      <c r="AJ3540" s="1117"/>
      <c r="AK3540" s="1118"/>
      <c r="AL3540" s="1115"/>
      <c r="AM3540" s="1115"/>
      <c r="AN3540" s="1115"/>
      <c r="AO3540" s="1115"/>
      <c r="AP3540" s="1115"/>
      <c r="AQ3540" s="1115"/>
      <c r="AR3540" s="1115"/>
      <c r="AS3540" s="1117"/>
      <c r="AT3540" s="1075"/>
      <c r="AU3540" s="1193"/>
      <c r="AV3540" s="330"/>
      <c r="AW3540" s="331"/>
      <c r="AX3540" s="331"/>
      <c r="AY3540" s="331"/>
      <c r="AZ3540" s="331"/>
      <c r="BA3540" s="331"/>
      <c r="BB3540" s="331"/>
      <c r="BC3540" s="331"/>
      <c r="BD3540" s="331"/>
      <c r="BE3540" s="333"/>
      <c r="BF3540" s="330"/>
      <c r="BG3540" s="333"/>
      <c r="BH3540" s="1119"/>
      <c r="BI3540" s="319"/>
      <c r="BJ3540" s="319"/>
      <c r="BK3540" s="319"/>
      <c r="BL3540" s="319"/>
      <c r="BM3540" s="319"/>
      <c r="BN3540" s="319"/>
      <c r="BO3540" s="319"/>
      <c r="BP3540" s="953"/>
      <c r="BQ3540" s="319"/>
      <c r="BR3540" s="319"/>
      <c r="BS3540" s="330"/>
      <c r="BT3540" s="331"/>
      <c r="BU3540" s="920"/>
      <c r="BV3540" s="903"/>
      <c r="BW3540" s="908"/>
      <c r="BX3540" s="908"/>
      <c r="BY3540" s="331"/>
      <c r="BZ3540" s="331"/>
      <c r="CA3540" s="462"/>
      <c r="CB3540" s="319"/>
      <c r="CC3540" s="319"/>
      <c r="CD3540" s="319"/>
      <c r="CE3540" s="319"/>
      <c r="CF3540" s="319"/>
      <c r="CG3540" s="319"/>
      <c r="CH3540" s="318"/>
      <c r="CI3540" s="319"/>
      <c r="CJ3540" s="319"/>
      <c r="CK3540" s="342"/>
      <c r="CL3540" s="333"/>
      <c r="CM3540" s="1079"/>
      <c r="CN3540" s="1005"/>
      <c r="CO3540" s="1005"/>
      <c r="CP3540" s="1005"/>
    </row>
    <row r="3541">
      <c r="A3541" s="1257"/>
      <c r="B3541" s="1113"/>
      <c r="C3541" s="1107"/>
      <c r="D3541" s="103"/>
      <c r="E3541" s="1137"/>
      <c r="F3541" s="112"/>
      <c r="G3541" s="1110"/>
      <c r="H3541" s="1138"/>
      <c r="I3541" s="1138"/>
      <c r="J3541" s="1139"/>
      <c r="K3541" s="1111"/>
      <c r="L3541" s="1112"/>
      <c r="M3541" s="1113"/>
      <c r="N3541" s="110"/>
      <c r="O3541" s="1140"/>
      <c r="P3541" s="1115"/>
      <c r="Q3541" s="1116"/>
      <c r="R3541" s="1141"/>
      <c r="S3541" s="1113"/>
      <c r="T3541" s="1143"/>
      <c r="U3541" s="1108"/>
      <c r="V3541" s="1108"/>
      <c r="W3541" s="1108"/>
      <c r="X3541" s="1108"/>
      <c r="Y3541" s="1108"/>
      <c r="Z3541" s="1114"/>
      <c r="AA3541" s="1114"/>
      <c r="AB3541" s="1114"/>
      <c r="AC3541" s="1117"/>
      <c r="AD3541" s="1115"/>
      <c r="AE3541" s="1115"/>
      <c r="AF3541" s="1115"/>
      <c r="AG3541" s="1115"/>
      <c r="AH3541" s="1115"/>
      <c r="AI3541" s="1115"/>
      <c r="AJ3541" s="1117"/>
      <c r="AK3541" s="1118"/>
      <c r="AL3541" s="1115"/>
      <c r="AM3541" s="1115"/>
      <c r="AN3541" s="1115"/>
      <c r="AO3541" s="1115"/>
      <c r="AP3541" s="1115"/>
      <c r="AQ3541" s="1115"/>
      <c r="AR3541" s="1115"/>
      <c r="AS3541" s="1117"/>
      <c r="AT3541" s="1075"/>
      <c r="AU3541" s="1193"/>
      <c r="AV3541" s="330"/>
      <c r="AW3541" s="331"/>
      <c r="AX3541" s="331"/>
      <c r="AY3541" s="331"/>
      <c r="AZ3541" s="331"/>
      <c r="BA3541" s="331"/>
      <c r="BB3541" s="331"/>
      <c r="BC3541" s="331"/>
      <c r="BD3541" s="331"/>
      <c r="BE3541" s="333"/>
      <c r="BF3541" s="330"/>
      <c r="BG3541" s="333"/>
      <c r="BH3541" s="1119"/>
      <c r="BI3541" s="319"/>
      <c r="BJ3541" s="319"/>
      <c r="BK3541" s="319"/>
      <c r="BL3541" s="319"/>
      <c r="BM3541" s="319"/>
      <c r="BN3541" s="319"/>
      <c r="BO3541" s="319"/>
      <c r="BP3541" s="953"/>
      <c r="BQ3541" s="319"/>
      <c r="BR3541" s="319"/>
      <c r="BS3541" s="330"/>
      <c r="BT3541" s="331"/>
      <c r="BU3541" s="920"/>
      <c r="BV3541" s="903"/>
      <c r="BW3541" s="908"/>
      <c r="BX3541" s="908"/>
      <c r="BY3541" s="331"/>
      <c r="BZ3541" s="331"/>
      <c r="CA3541" s="462"/>
      <c r="CB3541" s="319"/>
      <c r="CC3541" s="319"/>
      <c r="CD3541" s="319"/>
      <c r="CE3541" s="319"/>
      <c r="CF3541" s="319"/>
      <c r="CG3541" s="319"/>
      <c r="CH3541" s="318"/>
      <c r="CI3541" s="319"/>
      <c r="CJ3541" s="319"/>
      <c r="CK3541" s="342"/>
      <c r="CL3541" s="333"/>
      <c r="CM3541" s="1079"/>
      <c r="CN3541" s="1005"/>
      <c r="CO3541" s="1005"/>
      <c r="CP3541" s="1005"/>
    </row>
    <row r="3542">
      <c r="A3542" s="1257"/>
      <c r="B3542" s="1113"/>
      <c r="C3542" s="1107"/>
      <c r="D3542" s="103"/>
      <c r="E3542" s="1137"/>
      <c r="F3542" s="112"/>
      <c r="G3542" s="1110"/>
      <c r="H3542" s="1138"/>
      <c r="I3542" s="1138"/>
      <c r="J3542" s="1139"/>
      <c r="K3542" s="1111"/>
      <c r="L3542" s="1112"/>
      <c r="M3542" s="1113"/>
      <c r="N3542" s="110"/>
      <c r="O3542" s="1140"/>
      <c r="P3542" s="1115"/>
      <c r="Q3542" s="1116"/>
      <c r="R3542" s="1141"/>
      <c r="S3542" s="1113"/>
      <c r="T3542" s="1143"/>
      <c r="U3542" s="1108"/>
      <c r="V3542" s="1108"/>
      <c r="W3542" s="1108"/>
      <c r="X3542" s="1108"/>
      <c r="Y3542" s="1108"/>
      <c r="Z3542" s="1114"/>
      <c r="AA3542" s="1114"/>
      <c r="AB3542" s="1114"/>
      <c r="AC3542" s="1117"/>
      <c r="AD3542" s="1115"/>
      <c r="AE3542" s="1115"/>
      <c r="AF3542" s="1115"/>
      <c r="AG3542" s="1115"/>
      <c r="AH3542" s="1115"/>
      <c r="AI3542" s="1115"/>
      <c r="AJ3542" s="1117"/>
      <c r="AK3542" s="1118"/>
      <c r="AL3542" s="1115"/>
      <c r="AM3542" s="1115"/>
      <c r="AN3542" s="1115"/>
      <c r="AO3542" s="1115"/>
      <c r="AP3542" s="1115"/>
      <c r="AQ3542" s="1115"/>
      <c r="AR3542" s="1115"/>
      <c r="AS3542" s="1117"/>
      <c r="AT3542" s="1075"/>
      <c r="AU3542" s="1193"/>
      <c r="AV3542" s="330"/>
      <c r="AW3542" s="331"/>
      <c r="AX3542" s="331"/>
      <c r="AY3542" s="331"/>
      <c r="AZ3542" s="331"/>
      <c r="BA3542" s="331"/>
      <c r="BB3542" s="331"/>
      <c r="BC3542" s="331"/>
      <c r="BD3542" s="331"/>
      <c r="BE3542" s="333"/>
      <c r="BF3542" s="330"/>
      <c r="BG3542" s="333"/>
      <c r="BH3542" s="1119"/>
      <c r="BI3542" s="319"/>
      <c r="BJ3542" s="319"/>
      <c r="BK3542" s="319"/>
      <c r="BL3542" s="319"/>
      <c r="BM3542" s="319"/>
      <c r="BN3542" s="319"/>
      <c r="BO3542" s="319"/>
      <c r="BP3542" s="953"/>
      <c r="BQ3542" s="319"/>
      <c r="BR3542" s="319"/>
      <c r="BS3542" s="330"/>
      <c r="BT3542" s="331"/>
      <c r="BU3542" s="920"/>
      <c r="BV3542" s="903"/>
      <c r="BW3542" s="908"/>
      <c r="BX3542" s="908"/>
      <c r="BY3542" s="331"/>
      <c r="BZ3542" s="331"/>
      <c r="CA3542" s="462"/>
      <c r="CB3542" s="319"/>
      <c r="CC3542" s="319"/>
      <c r="CD3542" s="319"/>
      <c r="CE3542" s="319"/>
      <c r="CF3542" s="319"/>
      <c r="CG3542" s="319"/>
      <c r="CH3542" s="318"/>
      <c r="CI3542" s="319"/>
      <c r="CJ3542" s="319"/>
      <c r="CK3542" s="342"/>
      <c r="CL3542" s="333"/>
      <c r="CM3542" s="1079"/>
      <c r="CN3542" s="1005"/>
      <c r="CO3542" s="1005"/>
      <c r="CP3542" s="1005"/>
    </row>
    <row r="3543">
      <c r="A3543" s="1257"/>
      <c r="B3543" s="1113"/>
      <c r="C3543" s="1107"/>
      <c r="D3543" s="103"/>
      <c r="E3543" s="1137"/>
      <c r="F3543" s="112"/>
      <c r="G3543" s="1110"/>
      <c r="H3543" s="1138"/>
      <c r="I3543" s="1138"/>
      <c r="J3543" s="1139"/>
      <c r="K3543" s="1111"/>
      <c r="L3543" s="1112"/>
      <c r="M3543" s="1113"/>
      <c r="N3543" s="110"/>
      <c r="O3543" s="1140"/>
      <c r="P3543" s="1115"/>
      <c r="Q3543" s="1116"/>
      <c r="R3543" s="1141"/>
      <c r="S3543" s="1113"/>
      <c r="T3543" s="1143"/>
      <c r="U3543" s="1108"/>
      <c r="V3543" s="1108"/>
      <c r="W3543" s="1108"/>
      <c r="X3543" s="1108"/>
      <c r="Y3543" s="1108"/>
      <c r="Z3543" s="1114"/>
      <c r="AA3543" s="1114"/>
      <c r="AB3543" s="1114"/>
      <c r="AC3543" s="1117"/>
      <c r="AD3543" s="1115"/>
      <c r="AE3543" s="1115"/>
      <c r="AF3543" s="1115"/>
      <c r="AG3543" s="1115"/>
      <c r="AH3543" s="1115"/>
      <c r="AI3543" s="1115"/>
      <c r="AJ3543" s="1117"/>
      <c r="AK3543" s="1118"/>
      <c r="AL3543" s="1115"/>
      <c r="AM3543" s="1115"/>
      <c r="AN3543" s="1115"/>
      <c r="AO3543" s="1115"/>
      <c r="AP3543" s="1115"/>
      <c r="AQ3543" s="1115"/>
      <c r="AR3543" s="1115"/>
      <c r="AS3543" s="1117"/>
      <c r="AT3543" s="1075"/>
      <c r="AU3543" s="1193"/>
      <c r="AV3543" s="330"/>
      <c r="AW3543" s="331"/>
      <c r="AX3543" s="331"/>
      <c r="AY3543" s="331"/>
      <c r="AZ3543" s="331"/>
      <c r="BA3543" s="331"/>
      <c r="BB3543" s="331"/>
      <c r="BC3543" s="331"/>
      <c r="BD3543" s="331"/>
      <c r="BE3543" s="333"/>
      <c r="BF3543" s="330"/>
      <c r="BG3543" s="333"/>
      <c r="BH3543" s="1119"/>
      <c r="BI3543" s="319"/>
      <c r="BJ3543" s="319"/>
      <c r="BK3543" s="319"/>
      <c r="BL3543" s="319"/>
      <c r="BM3543" s="319"/>
      <c r="BN3543" s="319"/>
      <c r="BO3543" s="319"/>
      <c r="BP3543" s="953"/>
      <c r="BQ3543" s="319"/>
      <c r="BR3543" s="319"/>
      <c r="BS3543" s="330"/>
      <c r="BT3543" s="331"/>
      <c r="BU3543" s="920"/>
      <c r="BV3543" s="903"/>
      <c r="BW3543" s="908"/>
      <c r="BX3543" s="908"/>
      <c r="BY3543" s="331"/>
      <c r="BZ3543" s="331"/>
      <c r="CA3543" s="462"/>
      <c r="CB3543" s="319"/>
      <c r="CC3543" s="319"/>
      <c r="CD3543" s="319"/>
      <c r="CE3543" s="319"/>
      <c r="CF3543" s="319"/>
      <c r="CG3543" s="319"/>
      <c r="CH3543" s="318"/>
      <c r="CI3543" s="319"/>
      <c r="CJ3543" s="319"/>
      <c r="CK3543" s="342"/>
      <c r="CL3543" s="333"/>
      <c r="CM3543" s="1079"/>
      <c r="CN3543" s="1005"/>
      <c r="CO3543" s="1005"/>
      <c r="CP3543" s="1005"/>
    </row>
    <row r="3544">
      <c r="A3544" s="1257"/>
      <c r="B3544" s="1113"/>
      <c r="C3544" s="1107"/>
      <c r="D3544" s="103"/>
      <c r="E3544" s="1137"/>
      <c r="F3544" s="112"/>
      <c r="G3544" s="1110"/>
      <c r="H3544" s="1138"/>
      <c r="I3544" s="1138"/>
      <c r="J3544" s="1139"/>
      <c r="K3544" s="1111"/>
      <c r="L3544" s="1112"/>
      <c r="M3544" s="1113"/>
      <c r="N3544" s="110"/>
      <c r="O3544" s="1140"/>
      <c r="P3544" s="1115"/>
      <c r="Q3544" s="1116"/>
      <c r="R3544" s="1141"/>
      <c r="S3544" s="1113"/>
      <c r="T3544" s="1143"/>
      <c r="U3544" s="1108"/>
      <c r="V3544" s="1108"/>
      <c r="W3544" s="1108"/>
      <c r="X3544" s="1108"/>
      <c r="Y3544" s="1108"/>
      <c r="Z3544" s="1114"/>
      <c r="AA3544" s="1114"/>
      <c r="AB3544" s="1114"/>
      <c r="AC3544" s="1117"/>
      <c r="AD3544" s="1115"/>
      <c r="AE3544" s="1115"/>
      <c r="AF3544" s="1115"/>
      <c r="AG3544" s="1115"/>
      <c r="AH3544" s="1115"/>
      <c r="AI3544" s="1115"/>
      <c r="AJ3544" s="1117"/>
      <c r="AK3544" s="1118"/>
      <c r="AL3544" s="1115"/>
      <c r="AM3544" s="1115"/>
      <c r="AN3544" s="1115"/>
      <c r="AO3544" s="1115"/>
      <c r="AP3544" s="1115"/>
      <c r="AQ3544" s="1115"/>
      <c r="AR3544" s="1115"/>
      <c r="AS3544" s="1117"/>
      <c r="AT3544" s="1075"/>
      <c r="AU3544" s="1193"/>
      <c r="AV3544" s="330"/>
      <c r="AW3544" s="331"/>
      <c r="AX3544" s="331"/>
      <c r="AY3544" s="331"/>
      <c r="AZ3544" s="331"/>
      <c r="BA3544" s="331"/>
      <c r="BB3544" s="331"/>
      <c r="BC3544" s="331"/>
      <c r="BD3544" s="331"/>
      <c r="BE3544" s="333"/>
      <c r="BF3544" s="330"/>
      <c r="BG3544" s="333"/>
      <c r="BH3544" s="1119"/>
      <c r="BI3544" s="319"/>
      <c r="BJ3544" s="319"/>
      <c r="BK3544" s="319"/>
      <c r="BL3544" s="319"/>
      <c r="BM3544" s="319"/>
      <c r="BN3544" s="319"/>
      <c r="BO3544" s="319"/>
      <c r="BP3544" s="953"/>
      <c r="BQ3544" s="319"/>
      <c r="BR3544" s="319"/>
      <c r="BS3544" s="330"/>
      <c r="BT3544" s="331"/>
      <c r="BU3544" s="920"/>
      <c r="BV3544" s="903"/>
      <c r="BW3544" s="908"/>
      <c r="BX3544" s="908"/>
      <c r="BY3544" s="331"/>
      <c r="BZ3544" s="331"/>
      <c r="CA3544" s="462"/>
      <c r="CB3544" s="319"/>
      <c r="CC3544" s="319"/>
      <c r="CD3544" s="319"/>
      <c r="CE3544" s="319"/>
      <c r="CF3544" s="319"/>
      <c r="CG3544" s="319"/>
      <c r="CH3544" s="318"/>
      <c r="CI3544" s="319"/>
      <c r="CJ3544" s="319"/>
      <c r="CK3544" s="342"/>
      <c r="CL3544" s="333"/>
      <c r="CM3544" s="1079"/>
      <c r="CN3544" s="1005"/>
      <c r="CO3544" s="1005"/>
      <c r="CP3544" s="1005"/>
    </row>
    <row r="3545">
      <c r="A3545" s="1257"/>
      <c r="B3545" s="1113"/>
      <c r="C3545" s="1107"/>
      <c r="D3545" s="103"/>
      <c r="E3545" s="1137"/>
      <c r="F3545" s="112"/>
      <c r="G3545" s="1110"/>
      <c r="H3545" s="1138"/>
      <c r="I3545" s="1138"/>
      <c r="J3545" s="1139"/>
      <c r="K3545" s="1111"/>
      <c r="L3545" s="1112"/>
      <c r="M3545" s="1113"/>
      <c r="N3545" s="110"/>
      <c r="O3545" s="1140"/>
      <c r="P3545" s="1115"/>
      <c r="Q3545" s="1116"/>
      <c r="R3545" s="1141"/>
      <c r="S3545" s="1113"/>
      <c r="T3545" s="1143"/>
      <c r="U3545" s="1108"/>
      <c r="V3545" s="1108"/>
      <c r="W3545" s="1108"/>
      <c r="X3545" s="1108"/>
      <c r="Y3545" s="1108"/>
      <c r="Z3545" s="1114"/>
      <c r="AA3545" s="1114"/>
      <c r="AB3545" s="1114"/>
      <c r="AC3545" s="1117"/>
      <c r="AD3545" s="1115"/>
      <c r="AE3545" s="1115"/>
      <c r="AF3545" s="1115"/>
      <c r="AG3545" s="1115"/>
      <c r="AH3545" s="1115"/>
      <c r="AI3545" s="1115"/>
      <c r="AJ3545" s="1117"/>
      <c r="AK3545" s="1118"/>
      <c r="AL3545" s="1115"/>
      <c r="AM3545" s="1115"/>
      <c r="AN3545" s="1115"/>
      <c r="AO3545" s="1115"/>
      <c r="AP3545" s="1115"/>
      <c r="AQ3545" s="1115"/>
      <c r="AR3545" s="1115"/>
      <c r="AS3545" s="1117"/>
      <c r="AT3545" s="1075"/>
      <c r="AU3545" s="1193"/>
      <c r="AV3545" s="330"/>
      <c r="AW3545" s="331"/>
      <c r="AX3545" s="331"/>
      <c r="AY3545" s="331"/>
      <c r="AZ3545" s="331"/>
      <c r="BA3545" s="331"/>
      <c r="BB3545" s="331"/>
      <c r="BC3545" s="331"/>
      <c r="BD3545" s="331"/>
      <c r="BE3545" s="333"/>
      <c r="BF3545" s="330"/>
      <c r="BG3545" s="333"/>
      <c r="BH3545" s="1119"/>
      <c r="BI3545" s="319"/>
      <c r="BJ3545" s="319"/>
      <c r="BK3545" s="319"/>
      <c r="BL3545" s="319"/>
      <c r="BM3545" s="319"/>
      <c r="BN3545" s="319"/>
      <c r="BO3545" s="319"/>
      <c r="BP3545" s="953"/>
      <c r="BQ3545" s="319"/>
      <c r="BR3545" s="319"/>
      <c r="BS3545" s="330"/>
      <c r="BT3545" s="331"/>
      <c r="BU3545" s="920"/>
      <c r="BV3545" s="903"/>
      <c r="BW3545" s="908"/>
      <c r="BX3545" s="908"/>
      <c r="BY3545" s="331"/>
      <c r="BZ3545" s="331"/>
      <c r="CA3545" s="462"/>
      <c r="CB3545" s="319"/>
      <c r="CC3545" s="319"/>
      <c r="CD3545" s="319"/>
      <c r="CE3545" s="319"/>
      <c r="CF3545" s="319"/>
      <c r="CG3545" s="319"/>
      <c r="CH3545" s="318"/>
      <c r="CI3545" s="319"/>
      <c r="CJ3545" s="319"/>
      <c r="CK3545" s="342"/>
      <c r="CL3545" s="333"/>
      <c r="CM3545" s="1079"/>
      <c r="CN3545" s="1005"/>
      <c r="CO3545" s="1005"/>
      <c r="CP3545" s="1005"/>
    </row>
    <row r="3546">
      <c r="A3546" s="1257"/>
      <c r="B3546" s="1113"/>
      <c r="C3546" s="1107"/>
      <c r="D3546" s="103"/>
      <c r="E3546" s="1137"/>
      <c r="F3546" s="112"/>
      <c r="G3546" s="1110"/>
      <c r="H3546" s="1138"/>
      <c r="I3546" s="1138"/>
      <c r="J3546" s="1139"/>
      <c r="K3546" s="1111"/>
      <c r="L3546" s="1112"/>
      <c r="M3546" s="1113"/>
      <c r="N3546" s="110"/>
      <c r="O3546" s="1140"/>
      <c r="P3546" s="1115"/>
      <c r="Q3546" s="1116"/>
      <c r="R3546" s="1141"/>
      <c r="S3546" s="1113"/>
      <c r="T3546" s="1143"/>
      <c r="U3546" s="1108"/>
      <c r="V3546" s="1108"/>
      <c r="W3546" s="1108"/>
      <c r="X3546" s="1108"/>
      <c r="Y3546" s="1108"/>
      <c r="Z3546" s="1114"/>
      <c r="AA3546" s="1114"/>
      <c r="AB3546" s="1114"/>
      <c r="AC3546" s="1117"/>
      <c r="AD3546" s="1115"/>
      <c r="AE3546" s="1115"/>
      <c r="AF3546" s="1115"/>
      <c r="AG3546" s="1115"/>
      <c r="AH3546" s="1115"/>
      <c r="AI3546" s="1115"/>
      <c r="AJ3546" s="1117"/>
      <c r="AK3546" s="1118"/>
      <c r="AL3546" s="1115"/>
      <c r="AM3546" s="1115"/>
      <c r="AN3546" s="1115"/>
      <c r="AO3546" s="1115"/>
      <c r="AP3546" s="1115"/>
      <c r="AQ3546" s="1115"/>
      <c r="AR3546" s="1115"/>
      <c r="AS3546" s="1117"/>
      <c r="AT3546" s="1075"/>
      <c r="AU3546" s="1193"/>
      <c r="AV3546" s="330"/>
      <c r="AW3546" s="331"/>
      <c r="AX3546" s="331"/>
      <c r="AY3546" s="331"/>
      <c r="AZ3546" s="331"/>
      <c r="BA3546" s="331"/>
      <c r="BB3546" s="331"/>
      <c r="BC3546" s="331"/>
      <c r="BD3546" s="331"/>
      <c r="BE3546" s="333"/>
      <c r="BF3546" s="330"/>
      <c r="BG3546" s="333"/>
      <c r="BH3546" s="1119"/>
      <c r="BI3546" s="319"/>
      <c r="BJ3546" s="319"/>
      <c r="BK3546" s="319"/>
      <c r="BL3546" s="319"/>
      <c r="BM3546" s="319"/>
      <c r="BN3546" s="319"/>
      <c r="BO3546" s="319"/>
      <c r="BP3546" s="953"/>
      <c r="BQ3546" s="319"/>
      <c r="BR3546" s="319"/>
      <c r="BS3546" s="330"/>
      <c r="BT3546" s="331"/>
      <c r="BU3546" s="920"/>
      <c r="BV3546" s="903"/>
      <c r="BW3546" s="908"/>
      <c r="BX3546" s="908"/>
      <c r="BY3546" s="331"/>
      <c r="BZ3546" s="331"/>
      <c r="CA3546" s="462"/>
      <c r="CB3546" s="319"/>
      <c r="CC3546" s="319"/>
      <c r="CD3546" s="319"/>
      <c r="CE3546" s="319"/>
      <c r="CF3546" s="319"/>
      <c r="CG3546" s="319"/>
      <c r="CH3546" s="318"/>
      <c r="CI3546" s="319"/>
      <c r="CJ3546" s="319"/>
      <c r="CK3546" s="342"/>
      <c r="CL3546" s="333"/>
      <c r="CM3546" s="1079"/>
      <c r="CN3546" s="1005"/>
      <c r="CO3546" s="1005"/>
      <c r="CP3546" s="1005"/>
    </row>
    <row r="3547">
      <c r="A3547" s="1257"/>
      <c r="B3547" s="1113"/>
      <c r="C3547" s="1107"/>
      <c r="D3547" s="103"/>
      <c r="E3547" s="1137"/>
      <c r="F3547" s="112"/>
      <c r="G3547" s="1110"/>
      <c r="H3547" s="1138"/>
      <c r="I3547" s="1138"/>
      <c r="J3547" s="1139"/>
      <c r="K3547" s="1111"/>
      <c r="L3547" s="1112"/>
      <c r="M3547" s="1113"/>
      <c r="N3547" s="110"/>
      <c r="O3547" s="1140"/>
      <c r="P3547" s="1115"/>
      <c r="Q3547" s="1116"/>
      <c r="R3547" s="1141"/>
      <c r="S3547" s="1113"/>
      <c r="T3547" s="1143"/>
      <c r="U3547" s="1108"/>
      <c r="V3547" s="1108"/>
      <c r="W3547" s="1108"/>
      <c r="X3547" s="1108"/>
      <c r="Y3547" s="1108"/>
      <c r="Z3547" s="1114"/>
      <c r="AA3547" s="1114"/>
      <c r="AB3547" s="1114"/>
      <c r="AC3547" s="1117"/>
      <c r="AD3547" s="1115"/>
      <c r="AE3547" s="1115"/>
      <c r="AF3547" s="1115"/>
      <c r="AG3547" s="1115"/>
      <c r="AH3547" s="1115"/>
      <c r="AI3547" s="1115"/>
      <c r="AJ3547" s="1117"/>
      <c r="AK3547" s="1118"/>
      <c r="AL3547" s="1115"/>
      <c r="AM3547" s="1115"/>
      <c r="AN3547" s="1115"/>
      <c r="AO3547" s="1115"/>
      <c r="AP3547" s="1115"/>
      <c r="AQ3547" s="1115"/>
      <c r="AR3547" s="1115"/>
      <c r="AS3547" s="1117"/>
      <c r="AT3547" s="1075"/>
      <c r="AU3547" s="1193"/>
      <c r="AV3547" s="330"/>
      <c r="AW3547" s="331"/>
      <c r="AX3547" s="331"/>
      <c r="AY3547" s="331"/>
      <c r="AZ3547" s="331"/>
      <c r="BA3547" s="331"/>
      <c r="BB3547" s="331"/>
      <c r="BC3547" s="331"/>
      <c r="BD3547" s="331"/>
      <c r="BE3547" s="333"/>
      <c r="BF3547" s="330"/>
      <c r="BG3547" s="333"/>
      <c r="BH3547" s="1119"/>
      <c r="BI3547" s="319"/>
      <c r="BJ3547" s="319"/>
      <c r="BK3547" s="319"/>
      <c r="BL3547" s="319"/>
      <c r="BM3547" s="319"/>
      <c r="BN3547" s="319"/>
      <c r="BO3547" s="319"/>
      <c r="BP3547" s="953"/>
      <c r="BQ3547" s="319"/>
      <c r="BR3547" s="319"/>
      <c r="BS3547" s="330"/>
      <c r="BT3547" s="331"/>
      <c r="BU3547" s="920"/>
      <c r="BV3547" s="903"/>
      <c r="BW3547" s="908"/>
      <c r="BX3547" s="908"/>
      <c r="BY3547" s="331"/>
      <c r="BZ3547" s="331"/>
      <c r="CA3547" s="462"/>
      <c r="CB3547" s="319"/>
      <c r="CC3547" s="319"/>
      <c r="CD3547" s="319"/>
      <c r="CE3547" s="319"/>
      <c r="CF3547" s="319"/>
      <c r="CG3547" s="319"/>
      <c r="CH3547" s="318"/>
      <c r="CI3547" s="319"/>
      <c r="CJ3547" s="319"/>
      <c r="CK3547" s="342"/>
      <c r="CL3547" s="333"/>
      <c r="CM3547" s="1079"/>
      <c r="CN3547" s="1005"/>
      <c r="CO3547" s="1005"/>
      <c r="CP3547" s="1005"/>
    </row>
    <row r="3548">
      <c r="A3548" s="1257"/>
      <c r="B3548" s="1113"/>
      <c r="C3548" s="1107"/>
      <c r="D3548" s="103"/>
      <c r="E3548" s="1137"/>
      <c r="F3548" s="112"/>
      <c r="G3548" s="1110"/>
      <c r="H3548" s="1138"/>
      <c r="I3548" s="1138"/>
      <c r="J3548" s="1139"/>
      <c r="K3548" s="1111"/>
      <c r="L3548" s="1112"/>
      <c r="M3548" s="1113"/>
      <c r="N3548" s="110"/>
      <c r="O3548" s="1140"/>
      <c r="P3548" s="1115"/>
      <c r="Q3548" s="1116"/>
      <c r="R3548" s="1141"/>
      <c r="S3548" s="1113"/>
      <c r="T3548" s="1143"/>
      <c r="U3548" s="1108"/>
      <c r="V3548" s="1108"/>
      <c r="W3548" s="1108"/>
      <c r="X3548" s="1108"/>
      <c r="Y3548" s="1108"/>
      <c r="Z3548" s="1114"/>
      <c r="AA3548" s="1114"/>
      <c r="AB3548" s="1114"/>
      <c r="AC3548" s="1117"/>
      <c r="AD3548" s="1115"/>
      <c r="AE3548" s="1115"/>
      <c r="AF3548" s="1115"/>
      <c r="AG3548" s="1115"/>
      <c r="AH3548" s="1115"/>
      <c r="AI3548" s="1115"/>
      <c r="AJ3548" s="1117"/>
      <c r="AK3548" s="1118"/>
      <c r="AL3548" s="1115"/>
      <c r="AM3548" s="1115"/>
      <c r="AN3548" s="1115"/>
      <c r="AO3548" s="1115"/>
      <c r="AP3548" s="1115"/>
      <c r="AQ3548" s="1115"/>
      <c r="AR3548" s="1115"/>
      <c r="AS3548" s="1117"/>
      <c r="AT3548" s="1075"/>
      <c r="AU3548" s="1193"/>
      <c r="AV3548" s="330"/>
      <c r="AW3548" s="331"/>
      <c r="AX3548" s="331"/>
      <c r="AY3548" s="331"/>
      <c r="AZ3548" s="331"/>
      <c r="BA3548" s="331"/>
      <c r="BB3548" s="331"/>
      <c r="BC3548" s="331"/>
      <c r="BD3548" s="331"/>
      <c r="BE3548" s="333"/>
      <c r="BF3548" s="330"/>
      <c r="BG3548" s="333"/>
      <c r="BH3548" s="1119"/>
      <c r="BI3548" s="319"/>
      <c r="BJ3548" s="319"/>
      <c r="BK3548" s="319"/>
      <c r="BL3548" s="319"/>
      <c r="BM3548" s="319"/>
      <c r="BN3548" s="319"/>
      <c r="BO3548" s="319"/>
      <c r="BP3548" s="953"/>
      <c r="BQ3548" s="319"/>
      <c r="BR3548" s="319"/>
      <c r="BS3548" s="330"/>
      <c r="BT3548" s="331"/>
      <c r="BU3548" s="920"/>
      <c r="BV3548" s="903"/>
      <c r="BW3548" s="908"/>
      <c r="BX3548" s="908"/>
      <c r="BY3548" s="331"/>
      <c r="BZ3548" s="331"/>
      <c r="CA3548" s="462"/>
      <c r="CB3548" s="319"/>
      <c r="CC3548" s="319"/>
      <c r="CD3548" s="319"/>
      <c r="CE3548" s="319"/>
      <c r="CF3548" s="319"/>
      <c r="CG3548" s="319"/>
      <c r="CH3548" s="318"/>
      <c r="CI3548" s="319"/>
      <c r="CJ3548" s="319"/>
      <c r="CK3548" s="342"/>
      <c r="CL3548" s="333"/>
      <c r="CM3548" s="1079"/>
      <c r="CN3548" s="1005"/>
      <c r="CO3548" s="1005"/>
      <c r="CP3548" s="1005"/>
    </row>
    <row r="3549">
      <c r="A3549" s="1257"/>
      <c r="B3549" s="1113"/>
      <c r="C3549" s="1107"/>
      <c r="D3549" s="103"/>
      <c r="E3549" s="1137"/>
      <c r="F3549" s="112"/>
      <c r="G3549" s="1110"/>
      <c r="H3549" s="1138"/>
      <c r="I3549" s="1138"/>
      <c r="J3549" s="1139"/>
      <c r="K3549" s="1111"/>
      <c r="L3549" s="1112"/>
      <c r="M3549" s="1113"/>
      <c r="N3549" s="110"/>
      <c r="O3549" s="1140"/>
      <c r="P3549" s="1115"/>
      <c r="Q3549" s="1116"/>
      <c r="R3549" s="1141"/>
      <c r="S3549" s="1113"/>
      <c r="T3549" s="1143"/>
      <c r="U3549" s="1108"/>
      <c r="V3549" s="1108"/>
      <c r="W3549" s="1108"/>
      <c r="X3549" s="1108"/>
      <c r="Y3549" s="1108"/>
      <c r="Z3549" s="1114"/>
      <c r="AA3549" s="1114"/>
      <c r="AB3549" s="1114"/>
      <c r="AC3549" s="1117"/>
      <c r="AD3549" s="1115"/>
      <c r="AE3549" s="1115"/>
      <c r="AF3549" s="1115"/>
      <c r="AG3549" s="1115"/>
      <c r="AH3549" s="1115"/>
      <c r="AI3549" s="1115"/>
      <c r="AJ3549" s="1117"/>
      <c r="AK3549" s="1118"/>
      <c r="AL3549" s="1115"/>
      <c r="AM3549" s="1115"/>
      <c r="AN3549" s="1115"/>
      <c r="AO3549" s="1115"/>
      <c r="AP3549" s="1115"/>
      <c r="AQ3549" s="1115"/>
      <c r="AR3549" s="1115"/>
      <c r="AS3549" s="1117"/>
      <c r="AT3549" s="1075"/>
      <c r="AU3549" s="1193"/>
      <c r="AV3549" s="330"/>
      <c r="AW3549" s="331"/>
      <c r="AX3549" s="331"/>
      <c r="AY3549" s="331"/>
      <c r="AZ3549" s="331"/>
      <c r="BA3549" s="331"/>
      <c r="BB3549" s="331"/>
      <c r="BC3549" s="331"/>
      <c r="BD3549" s="331"/>
      <c r="BE3549" s="333"/>
      <c r="BF3549" s="330"/>
      <c r="BG3549" s="333"/>
      <c r="BH3549" s="1119"/>
      <c r="BI3549" s="319"/>
      <c r="BJ3549" s="319"/>
      <c r="BK3549" s="319"/>
      <c r="BL3549" s="319"/>
      <c r="BM3549" s="319"/>
      <c r="BN3549" s="319"/>
      <c r="BO3549" s="319"/>
      <c r="BP3549" s="953"/>
      <c r="BQ3549" s="319"/>
      <c r="BR3549" s="319"/>
      <c r="BS3549" s="330"/>
      <c r="BT3549" s="331"/>
      <c r="BU3549" s="920"/>
      <c r="BV3549" s="903"/>
      <c r="BW3549" s="908"/>
      <c r="BX3549" s="908"/>
      <c r="BY3549" s="331"/>
      <c r="BZ3549" s="331"/>
      <c r="CA3549" s="462"/>
      <c r="CB3549" s="319"/>
      <c r="CC3549" s="319"/>
      <c r="CD3549" s="319"/>
      <c r="CE3549" s="319"/>
      <c r="CF3549" s="319"/>
      <c r="CG3549" s="319"/>
      <c r="CH3549" s="318"/>
      <c r="CI3549" s="319"/>
      <c r="CJ3549" s="319"/>
      <c r="CK3549" s="342"/>
      <c r="CL3549" s="333"/>
      <c r="CM3549" s="1079"/>
      <c r="CN3549" s="1005"/>
      <c r="CO3549" s="1005"/>
      <c r="CP3549" s="1005"/>
    </row>
    <row r="3550">
      <c r="A3550" s="1257"/>
      <c r="B3550" s="1113"/>
      <c r="C3550" s="1107"/>
      <c r="D3550" s="103"/>
      <c r="E3550" s="1137"/>
      <c r="F3550" s="112"/>
      <c r="G3550" s="1110"/>
      <c r="H3550" s="1138"/>
      <c r="I3550" s="1138"/>
      <c r="J3550" s="1139"/>
      <c r="K3550" s="1111"/>
      <c r="L3550" s="1112"/>
      <c r="M3550" s="1113"/>
      <c r="N3550" s="110"/>
      <c r="O3550" s="1140"/>
      <c r="P3550" s="1115"/>
      <c r="Q3550" s="1116"/>
      <c r="R3550" s="1141"/>
      <c r="S3550" s="1113"/>
      <c r="T3550" s="1143"/>
      <c r="U3550" s="1108"/>
      <c r="V3550" s="1108"/>
      <c r="W3550" s="1108"/>
      <c r="X3550" s="1108"/>
      <c r="Y3550" s="1108"/>
      <c r="Z3550" s="1114"/>
      <c r="AA3550" s="1114"/>
      <c r="AB3550" s="1114"/>
      <c r="AC3550" s="1117"/>
      <c r="AD3550" s="1115"/>
      <c r="AE3550" s="1115"/>
      <c r="AF3550" s="1115"/>
      <c r="AG3550" s="1115"/>
      <c r="AH3550" s="1115"/>
      <c r="AI3550" s="1115"/>
      <c r="AJ3550" s="1117"/>
      <c r="AK3550" s="1118"/>
      <c r="AL3550" s="1115"/>
      <c r="AM3550" s="1115"/>
      <c r="AN3550" s="1115"/>
      <c r="AO3550" s="1115"/>
      <c r="AP3550" s="1115"/>
      <c r="AQ3550" s="1115"/>
      <c r="AR3550" s="1115"/>
      <c r="AS3550" s="1117"/>
      <c r="AT3550" s="1075"/>
      <c r="AU3550" s="1193"/>
      <c r="AV3550" s="330"/>
      <c r="AW3550" s="331"/>
      <c r="AX3550" s="331"/>
      <c r="AY3550" s="331"/>
      <c r="AZ3550" s="331"/>
      <c r="BA3550" s="331"/>
      <c r="BB3550" s="331"/>
      <c r="BC3550" s="331"/>
      <c r="BD3550" s="331"/>
      <c r="BE3550" s="333"/>
      <c r="BF3550" s="330"/>
      <c r="BG3550" s="333"/>
      <c r="BH3550" s="1119"/>
      <c r="BI3550" s="319"/>
      <c r="BJ3550" s="319"/>
      <c r="BK3550" s="319"/>
      <c r="BL3550" s="319"/>
      <c r="BM3550" s="319"/>
      <c r="BN3550" s="319"/>
      <c r="BO3550" s="319"/>
      <c r="BP3550" s="953"/>
      <c r="BQ3550" s="319"/>
      <c r="BR3550" s="319"/>
      <c r="BS3550" s="330"/>
      <c r="BT3550" s="331"/>
      <c r="BU3550" s="920"/>
      <c r="BV3550" s="903"/>
      <c r="BW3550" s="908"/>
      <c r="BX3550" s="908"/>
      <c r="BY3550" s="331"/>
      <c r="BZ3550" s="331"/>
      <c r="CA3550" s="462"/>
      <c r="CB3550" s="319"/>
      <c r="CC3550" s="319"/>
      <c r="CD3550" s="319"/>
      <c r="CE3550" s="319"/>
      <c r="CF3550" s="319"/>
      <c r="CG3550" s="319"/>
      <c r="CH3550" s="318"/>
      <c r="CI3550" s="319"/>
      <c r="CJ3550" s="319"/>
      <c r="CK3550" s="342"/>
      <c r="CL3550" s="333"/>
      <c r="CM3550" s="1079"/>
      <c r="CN3550" s="1005"/>
      <c r="CO3550" s="1005"/>
      <c r="CP3550" s="1005"/>
    </row>
    <row r="3551">
      <c r="A3551" s="1257"/>
      <c r="B3551" s="1113"/>
      <c r="C3551" s="1107"/>
      <c r="D3551" s="103"/>
      <c r="E3551" s="1137"/>
      <c r="F3551" s="112"/>
      <c r="G3551" s="1110"/>
      <c r="H3551" s="1138"/>
      <c r="I3551" s="1138"/>
      <c r="J3551" s="1139"/>
      <c r="K3551" s="1111"/>
      <c r="L3551" s="1112"/>
      <c r="M3551" s="1113"/>
      <c r="N3551" s="110"/>
      <c r="O3551" s="1140"/>
      <c r="P3551" s="1115"/>
      <c r="Q3551" s="1116"/>
      <c r="R3551" s="1141"/>
      <c r="S3551" s="1113"/>
      <c r="T3551" s="1143"/>
      <c r="U3551" s="1108"/>
      <c r="V3551" s="1108"/>
      <c r="W3551" s="1108"/>
      <c r="X3551" s="1108"/>
      <c r="Y3551" s="1108"/>
      <c r="Z3551" s="1114"/>
      <c r="AA3551" s="1114"/>
      <c r="AB3551" s="1114"/>
      <c r="AC3551" s="1117"/>
      <c r="AD3551" s="1115"/>
      <c r="AE3551" s="1115"/>
      <c r="AF3551" s="1115"/>
      <c r="AG3551" s="1115"/>
      <c r="AH3551" s="1115"/>
      <c r="AI3551" s="1115"/>
      <c r="AJ3551" s="1117"/>
      <c r="AK3551" s="1118"/>
      <c r="AL3551" s="1115"/>
      <c r="AM3551" s="1115"/>
      <c r="AN3551" s="1115"/>
      <c r="AO3551" s="1115"/>
      <c r="AP3551" s="1115"/>
      <c r="AQ3551" s="1115"/>
      <c r="AR3551" s="1115"/>
      <c r="AS3551" s="1117"/>
      <c r="AT3551" s="1075"/>
      <c r="AU3551" s="1193"/>
      <c r="AV3551" s="330"/>
      <c r="AW3551" s="331"/>
      <c r="AX3551" s="331"/>
      <c r="AY3551" s="331"/>
      <c r="AZ3551" s="331"/>
      <c r="BA3551" s="331"/>
      <c r="BB3551" s="331"/>
      <c r="BC3551" s="331"/>
      <c r="BD3551" s="331"/>
      <c r="BE3551" s="333"/>
      <c r="BF3551" s="330"/>
      <c r="BG3551" s="333"/>
      <c r="BH3551" s="1119"/>
      <c r="BI3551" s="319"/>
      <c r="BJ3551" s="319"/>
      <c r="BK3551" s="319"/>
      <c r="BL3551" s="319"/>
      <c r="BM3551" s="319"/>
      <c r="BN3551" s="319"/>
      <c r="BO3551" s="319"/>
      <c r="BP3551" s="953"/>
      <c r="BQ3551" s="319"/>
      <c r="BR3551" s="319"/>
      <c r="BS3551" s="330"/>
      <c r="BT3551" s="331"/>
      <c r="BU3551" s="920"/>
      <c r="BV3551" s="903"/>
      <c r="BW3551" s="908"/>
      <c r="BX3551" s="908"/>
      <c r="BY3551" s="331"/>
      <c r="BZ3551" s="331"/>
      <c r="CA3551" s="462"/>
      <c r="CB3551" s="319"/>
      <c r="CC3551" s="319"/>
      <c r="CD3551" s="319"/>
      <c r="CE3551" s="319"/>
      <c r="CF3551" s="319"/>
      <c r="CG3551" s="319"/>
      <c r="CH3551" s="318"/>
      <c r="CI3551" s="319"/>
      <c r="CJ3551" s="319"/>
      <c r="CK3551" s="342"/>
      <c r="CL3551" s="333"/>
      <c r="CM3551" s="1079"/>
      <c r="CN3551" s="1005"/>
      <c r="CO3551" s="1005"/>
      <c r="CP3551" s="1005"/>
    </row>
    <row r="3552">
      <c r="A3552" s="1257"/>
      <c r="B3552" s="1113"/>
      <c r="C3552" s="1107"/>
      <c r="D3552" s="103"/>
      <c r="E3552" s="1137"/>
      <c r="F3552" s="112"/>
      <c r="G3552" s="1110"/>
      <c r="H3552" s="1138"/>
      <c r="I3552" s="1138"/>
      <c r="J3552" s="1139"/>
      <c r="K3552" s="1111"/>
      <c r="L3552" s="1112"/>
      <c r="M3552" s="1113"/>
      <c r="N3552" s="110"/>
      <c r="O3552" s="1140"/>
      <c r="P3552" s="1115"/>
      <c r="Q3552" s="1116"/>
      <c r="R3552" s="1141"/>
      <c r="S3552" s="1113"/>
      <c r="T3552" s="1143"/>
      <c r="U3552" s="1108"/>
      <c r="V3552" s="1108"/>
      <c r="W3552" s="1108"/>
      <c r="X3552" s="1108"/>
      <c r="Y3552" s="1108"/>
      <c r="Z3552" s="1114"/>
      <c r="AA3552" s="1114"/>
      <c r="AB3552" s="1114"/>
      <c r="AC3552" s="1117"/>
      <c r="AD3552" s="1115"/>
      <c r="AE3552" s="1115"/>
      <c r="AF3552" s="1115"/>
      <c r="AG3552" s="1115"/>
      <c r="AH3552" s="1115"/>
      <c r="AI3552" s="1115"/>
      <c r="AJ3552" s="1117"/>
      <c r="AK3552" s="1118"/>
      <c r="AL3552" s="1115"/>
      <c r="AM3552" s="1115"/>
      <c r="AN3552" s="1115"/>
      <c r="AO3552" s="1115"/>
      <c r="AP3552" s="1115"/>
      <c r="AQ3552" s="1115"/>
      <c r="AR3552" s="1115"/>
      <c r="AS3552" s="1117"/>
      <c r="AT3552" s="1075"/>
      <c r="AU3552" s="1193"/>
      <c r="AV3552" s="330"/>
      <c r="AW3552" s="331"/>
      <c r="AX3552" s="331"/>
      <c r="AY3552" s="331"/>
      <c r="AZ3552" s="331"/>
      <c r="BA3552" s="331"/>
      <c r="BB3552" s="331"/>
      <c r="BC3552" s="331"/>
      <c r="BD3552" s="331"/>
      <c r="BE3552" s="333"/>
      <c r="BF3552" s="330"/>
      <c r="BG3552" s="333"/>
      <c r="BH3552" s="1119"/>
      <c r="BI3552" s="319"/>
      <c r="BJ3552" s="319"/>
      <c r="BK3552" s="319"/>
      <c r="BL3552" s="319"/>
      <c r="BM3552" s="319"/>
      <c r="BN3552" s="319"/>
      <c r="BO3552" s="319"/>
      <c r="BP3552" s="953"/>
      <c r="BQ3552" s="319"/>
      <c r="BR3552" s="319"/>
      <c r="BS3552" s="330"/>
      <c r="BT3552" s="331"/>
      <c r="BU3552" s="920"/>
      <c r="BV3552" s="903"/>
      <c r="BW3552" s="908"/>
      <c r="BX3552" s="908"/>
      <c r="BY3552" s="331"/>
      <c r="BZ3552" s="331"/>
      <c r="CA3552" s="462"/>
      <c r="CB3552" s="319"/>
      <c r="CC3552" s="319"/>
      <c r="CD3552" s="319"/>
      <c r="CE3552" s="319"/>
      <c r="CF3552" s="319"/>
      <c r="CG3552" s="319"/>
      <c r="CH3552" s="318"/>
      <c r="CI3552" s="319"/>
      <c r="CJ3552" s="319"/>
      <c r="CK3552" s="342"/>
      <c r="CL3552" s="333"/>
      <c r="CM3552" s="1079"/>
      <c r="CN3552" s="1005"/>
      <c r="CO3552" s="1005"/>
      <c r="CP3552" s="1005"/>
    </row>
    <row r="3553">
      <c r="A3553" s="1257"/>
      <c r="B3553" s="1113"/>
      <c r="C3553" s="1107"/>
      <c r="D3553" s="103"/>
      <c r="E3553" s="1137"/>
      <c r="F3553" s="112"/>
      <c r="G3553" s="1110"/>
      <c r="H3553" s="1138"/>
      <c r="I3553" s="1138"/>
      <c r="J3553" s="1139"/>
      <c r="K3553" s="1111"/>
      <c r="L3553" s="1112"/>
      <c r="M3553" s="1113"/>
      <c r="N3553" s="110"/>
      <c r="O3553" s="1140"/>
      <c r="P3553" s="1115"/>
      <c r="Q3553" s="1116"/>
      <c r="R3553" s="1141"/>
      <c r="S3553" s="1113"/>
      <c r="T3553" s="1143"/>
      <c r="U3553" s="1108"/>
      <c r="V3553" s="1108"/>
      <c r="W3553" s="1108"/>
      <c r="X3553" s="1108"/>
      <c r="Y3553" s="1108"/>
      <c r="Z3553" s="1114"/>
      <c r="AA3553" s="1114"/>
      <c r="AB3553" s="1114"/>
      <c r="AC3553" s="1117"/>
      <c r="AD3553" s="1115"/>
      <c r="AE3553" s="1115"/>
      <c r="AF3553" s="1115"/>
      <c r="AG3553" s="1115"/>
      <c r="AH3553" s="1115"/>
      <c r="AI3553" s="1115"/>
      <c r="AJ3553" s="1117"/>
      <c r="AK3553" s="1118"/>
      <c r="AL3553" s="1115"/>
      <c r="AM3553" s="1115"/>
      <c r="AN3553" s="1115"/>
      <c r="AO3553" s="1115"/>
      <c r="AP3553" s="1115"/>
      <c r="AQ3553" s="1115"/>
      <c r="AR3553" s="1115"/>
      <c r="AS3553" s="1117"/>
      <c r="AT3553" s="1075"/>
      <c r="AU3553" s="1193"/>
      <c r="AV3553" s="330"/>
      <c r="AW3553" s="331"/>
      <c r="AX3553" s="331"/>
      <c r="AY3553" s="331"/>
      <c r="AZ3553" s="331"/>
      <c r="BA3553" s="331"/>
      <c r="BB3553" s="331"/>
      <c r="BC3553" s="331"/>
      <c r="BD3553" s="331"/>
      <c r="BE3553" s="333"/>
      <c r="BF3553" s="330"/>
      <c r="BG3553" s="333"/>
      <c r="BH3553" s="1119"/>
      <c r="BI3553" s="319"/>
      <c r="BJ3553" s="319"/>
      <c r="BK3553" s="319"/>
      <c r="BL3553" s="319"/>
      <c r="BM3553" s="319"/>
      <c r="BN3553" s="319"/>
      <c r="BO3553" s="319"/>
      <c r="BP3553" s="953"/>
      <c r="BQ3553" s="319"/>
      <c r="BR3553" s="319"/>
      <c r="BS3553" s="330"/>
      <c r="BT3553" s="331"/>
      <c r="BU3553" s="920"/>
      <c r="BV3553" s="903"/>
      <c r="BW3553" s="908"/>
      <c r="BX3553" s="908"/>
      <c r="BY3553" s="331"/>
      <c r="BZ3553" s="331"/>
      <c r="CA3553" s="462"/>
      <c r="CB3553" s="319"/>
      <c r="CC3553" s="319"/>
      <c r="CD3553" s="319"/>
      <c r="CE3553" s="319"/>
      <c r="CF3553" s="319"/>
      <c r="CG3553" s="319"/>
      <c r="CH3553" s="318"/>
      <c r="CI3553" s="319"/>
      <c r="CJ3553" s="319"/>
      <c r="CK3553" s="342"/>
      <c r="CL3553" s="333"/>
      <c r="CM3553" s="1079"/>
      <c r="CN3553" s="1005"/>
      <c r="CO3553" s="1005"/>
      <c r="CP3553" s="1005"/>
    </row>
    <row r="3554">
      <c r="A3554" s="1257"/>
      <c r="B3554" s="1113"/>
      <c r="C3554" s="1107"/>
      <c r="D3554" s="103"/>
      <c r="E3554" s="1137"/>
      <c r="F3554" s="112"/>
      <c r="G3554" s="1110"/>
      <c r="H3554" s="1138"/>
      <c r="I3554" s="1138"/>
      <c r="J3554" s="1139"/>
      <c r="K3554" s="1111"/>
      <c r="L3554" s="1112"/>
      <c r="M3554" s="1113"/>
      <c r="N3554" s="110"/>
      <c r="O3554" s="1140"/>
      <c r="P3554" s="1115"/>
      <c r="Q3554" s="1116"/>
      <c r="R3554" s="1141"/>
      <c r="S3554" s="1113"/>
      <c r="T3554" s="1143"/>
      <c r="U3554" s="1108"/>
      <c r="V3554" s="1108"/>
      <c r="W3554" s="1108"/>
      <c r="X3554" s="1108"/>
      <c r="Y3554" s="1108"/>
      <c r="Z3554" s="1114"/>
      <c r="AA3554" s="1114"/>
      <c r="AB3554" s="1114"/>
      <c r="AC3554" s="1117"/>
      <c r="AD3554" s="1115"/>
      <c r="AE3554" s="1115"/>
      <c r="AF3554" s="1115"/>
      <c r="AG3554" s="1115"/>
      <c r="AH3554" s="1115"/>
      <c r="AI3554" s="1115"/>
      <c r="AJ3554" s="1117"/>
      <c r="AK3554" s="1118"/>
      <c r="AL3554" s="1115"/>
      <c r="AM3554" s="1115"/>
      <c r="AN3554" s="1115"/>
      <c r="AO3554" s="1115"/>
      <c r="AP3554" s="1115"/>
      <c r="AQ3554" s="1115"/>
      <c r="AR3554" s="1115"/>
      <c r="AS3554" s="1117"/>
      <c r="AT3554" s="1075"/>
      <c r="AU3554" s="1193"/>
      <c r="AV3554" s="330"/>
      <c r="AW3554" s="331"/>
      <c r="AX3554" s="331"/>
      <c r="AY3554" s="331"/>
      <c r="AZ3554" s="331"/>
      <c r="BA3554" s="331"/>
      <c r="BB3554" s="331"/>
      <c r="BC3554" s="331"/>
      <c r="BD3554" s="331"/>
      <c r="BE3554" s="333"/>
      <c r="BF3554" s="330"/>
      <c r="BG3554" s="333"/>
      <c r="BH3554" s="1119"/>
      <c r="BI3554" s="319"/>
      <c r="BJ3554" s="319"/>
      <c r="BK3554" s="319"/>
      <c r="BL3554" s="319"/>
      <c r="BM3554" s="319"/>
      <c r="BN3554" s="319"/>
      <c r="BO3554" s="319"/>
      <c r="BP3554" s="953"/>
      <c r="BQ3554" s="319"/>
      <c r="BR3554" s="319"/>
      <c r="BS3554" s="330"/>
      <c r="BT3554" s="331"/>
      <c r="BU3554" s="920"/>
      <c r="BV3554" s="903"/>
      <c r="BW3554" s="908"/>
      <c r="BX3554" s="908"/>
      <c r="BY3554" s="331"/>
      <c r="BZ3554" s="331"/>
      <c r="CA3554" s="462"/>
      <c r="CB3554" s="319"/>
      <c r="CC3554" s="319"/>
      <c r="CD3554" s="319"/>
      <c r="CE3554" s="319"/>
      <c r="CF3554" s="319"/>
      <c r="CG3554" s="319"/>
      <c r="CH3554" s="318"/>
      <c r="CI3554" s="319"/>
      <c r="CJ3554" s="319"/>
      <c r="CK3554" s="342"/>
      <c r="CL3554" s="333"/>
      <c r="CM3554" s="1079"/>
      <c r="CN3554" s="1005"/>
      <c r="CO3554" s="1005"/>
      <c r="CP3554" s="1005"/>
    </row>
    <row r="3555">
      <c r="A3555" s="1257"/>
      <c r="B3555" s="1113"/>
      <c r="C3555" s="1107"/>
      <c r="D3555" s="103"/>
      <c r="E3555" s="1137"/>
      <c r="F3555" s="112"/>
      <c r="G3555" s="1110"/>
      <c r="H3555" s="1138"/>
      <c r="I3555" s="1138"/>
      <c r="J3555" s="1139"/>
      <c r="K3555" s="1111"/>
      <c r="L3555" s="1112"/>
      <c r="M3555" s="1113"/>
      <c r="N3555" s="110"/>
      <c r="O3555" s="1140"/>
      <c r="P3555" s="1115"/>
      <c r="Q3555" s="1116"/>
      <c r="R3555" s="1141"/>
      <c r="S3555" s="1113"/>
      <c r="T3555" s="1143"/>
      <c r="U3555" s="1108"/>
      <c r="V3555" s="1108"/>
      <c r="W3555" s="1108"/>
      <c r="X3555" s="1108"/>
      <c r="Y3555" s="1108"/>
      <c r="Z3555" s="1114"/>
      <c r="AA3555" s="1114"/>
      <c r="AB3555" s="1114"/>
      <c r="AC3555" s="1117"/>
      <c r="AD3555" s="1115"/>
      <c r="AE3555" s="1115"/>
      <c r="AF3555" s="1115"/>
      <c r="AG3555" s="1115"/>
      <c r="AH3555" s="1115"/>
      <c r="AI3555" s="1115"/>
      <c r="AJ3555" s="1117"/>
      <c r="AK3555" s="1118"/>
      <c r="AL3555" s="1115"/>
      <c r="AM3555" s="1115"/>
      <c r="AN3555" s="1115"/>
      <c r="AO3555" s="1115"/>
      <c r="AP3555" s="1115"/>
      <c r="AQ3555" s="1115"/>
      <c r="AR3555" s="1115"/>
      <c r="AS3555" s="1117"/>
      <c r="AT3555" s="1075"/>
      <c r="AU3555" s="1193"/>
      <c r="AV3555" s="330"/>
      <c r="AW3555" s="331"/>
      <c r="AX3555" s="331"/>
      <c r="AY3555" s="331"/>
      <c r="AZ3555" s="331"/>
      <c r="BA3555" s="331"/>
      <c r="BB3555" s="331"/>
      <c r="BC3555" s="331"/>
      <c r="BD3555" s="331"/>
      <c r="BE3555" s="333"/>
      <c r="BF3555" s="330"/>
      <c r="BG3555" s="333"/>
      <c r="BH3555" s="1119"/>
      <c r="BI3555" s="319"/>
      <c r="BJ3555" s="319"/>
      <c r="BK3555" s="319"/>
      <c r="BL3555" s="319"/>
      <c r="BM3555" s="319"/>
      <c r="BN3555" s="319"/>
      <c r="BO3555" s="319"/>
      <c r="BP3555" s="953"/>
      <c r="BQ3555" s="319"/>
      <c r="BR3555" s="319"/>
      <c r="BS3555" s="330"/>
      <c r="BT3555" s="331"/>
      <c r="BU3555" s="920"/>
      <c r="BV3555" s="903"/>
      <c r="BW3555" s="908"/>
      <c r="BX3555" s="908"/>
      <c r="BY3555" s="331"/>
      <c r="BZ3555" s="331"/>
      <c r="CA3555" s="462"/>
      <c r="CB3555" s="319"/>
      <c r="CC3555" s="319"/>
      <c r="CD3555" s="319"/>
      <c r="CE3555" s="319"/>
      <c r="CF3555" s="319"/>
      <c r="CG3555" s="319"/>
      <c r="CH3555" s="318"/>
      <c r="CI3555" s="319"/>
      <c r="CJ3555" s="319"/>
      <c r="CK3555" s="342"/>
      <c r="CL3555" s="333"/>
      <c r="CM3555" s="1079"/>
      <c r="CN3555" s="1005"/>
      <c r="CO3555" s="1005"/>
      <c r="CP3555" s="1005"/>
    </row>
    <row r="3556">
      <c r="A3556" s="1257"/>
      <c r="B3556" s="1113"/>
      <c r="C3556" s="1107"/>
      <c r="D3556" s="103"/>
      <c r="E3556" s="1137"/>
      <c r="F3556" s="112"/>
      <c r="G3556" s="1110"/>
      <c r="H3556" s="1138"/>
      <c r="I3556" s="1138"/>
      <c r="J3556" s="1139"/>
      <c r="K3556" s="1111"/>
      <c r="L3556" s="1112"/>
      <c r="M3556" s="1113"/>
      <c r="N3556" s="110"/>
      <c r="O3556" s="1140"/>
      <c r="P3556" s="1115"/>
      <c r="Q3556" s="1116"/>
      <c r="R3556" s="1141"/>
      <c r="S3556" s="1113"/>
      <c r="T3556" s="1143"/>
      <c r="U3556" s="1108"/>
      <c r="V3556" s="1108"/>
      <c r="W3556" s="1108"/>
      <c r="X3556" s="1108"/>
      <c r="Y3556" s="1108"/>
      <c r="Z3556" s="1114"/>
      <c r="AA3556" s="1114"/>
      <c r="AB3556" s="1114"/>
      <c r="AC3556" s="1117"/>
      <c r="AD3556" s="1115"/>
      <c r="AE3556" s="1115"/>
      <c r="AF3556" s="1115"/>
      <c r="AG3556" s="1115"/>
      <c r="AH3556" s="1115"/>
      <c r="AI3556" s="1115"/>
      <c r="AJ3556" s="1117"/>
      <c r="AK3556" s="1118"/>
      <c r="AL3556" s="1115"/>
      <c r="AM3556" s="1115"/>
      <c r="AN3556" s="1115"/>
      <c r="AO3556" s="1115"/>
      <c r="AP3556" s="1115"/>
      <c r="AQ3556" s="1115"/>
      <c r="AR3556" s="1115"/>
      <c r="AS3556" s="1117"/>
      <c r="AT3556" s="1075"/>
      <c r="AU3556" s="1193"/>
      <c r="AV3556" s="330"/>
      <c r="AW3556" s="331"/>
      <c r="AX3556" s="331"/>
      <c r="AY3556" s="331"/>
      <c r="AZ3556" s="331"/>
      <c r="BA3556" s="331"/>
      <c r="BB3556" s="331"/>
      <c r="BC3556" s="331"/>
      <c r="BD3556" s="331"/>
      <c r="BE3556" s="333"/>
      <c r="BF3556" s="330"/>
      <c r="BG3556" s="333"/>
      <c r="BH3556" s="1119"/>
      <c r="BI3556" s="319"/>
      <c r="BJ3556" s="319"/>
      <c r="BK3556" s="319"/>
      <c r="BL3556" s="319"/>
      <c r="BM3556" s="319"/>
      <c r="BN3556" s="319"/>
      <c r="BO3556" s="319"/>
      <c r="BP3556" s="953"/>
      <c r="BQ3556" s="319"/>
      <c r="BR3556" s="319"/>
      <c r="BS3556" s="330"/>
      <c r="BT3556" s="331"/>
      <c r="BU3556" s="920"/>
      <c r="BV3556" s="903"/>
      <c r="BW3556" s="908"/>
      <c r="BX3556" s="908"/>
      <c r="BY3556" s="331"/>
      <c r="BZ3556" s="331"/>
      <c r="CA3556" s="462"/>
      <c r="CB3556" s="319"/>
      <c r="CC3556" s="319"/>
      <c r="CD3556" s="319"/>
      <c r="CE3556" s="319"/>
      <c r="CF3556" s="319"/>
      <c r="CG3556" s="319"/>
      <c r="CH3556" s="318"/>
      <c r="CI3556" s="319"/>
      <c r="CJ3556" s="319"/>
      <c r="CK3556" s="342"/>
      <c r="CL3556" s="333"/>
      <c r="CM3556" s="1079"/>
      <c r="CN3556" s="1005"/>
      <c r="CO3556" s="1005"/>
      <c r="CP3556" s="1005"/>
    </row>
    <row r="3557">
      <c r="A3557" s="1257"/>
      <c r="B3557" s="1113"/>
      <c r="C3557" s="1107"/>
      <c r="D3557" s="103"/>
      <c r="E3557" s="1137"/>
      <c r="F3557" s="112"/>
      <c r="G3557" s="1110"/>
      <c r="H3557" s="1138"/>
      <c r="I3557" s="1138"/>
      <c r="J3557" s="1139"/>
      <c r="K3557" s="1111"/>
      <c r="L3557" s="1112"/>
      <c r="M3557" s="1113"/>
      <c r="N3557" s="110"/>
      <c r="O3557" s="1140"/>
      <c r="P3557" s="1115"/>
      <c r="Q3557" s="1116"/>
      <c r="R3557" s="1141"/>
      <c r="S3557" s="1113"/>
      <c r="T3557" s="1143"/>
      <c r="U3557" s="1108"/>
      <c r="V3557" s="1108"/>
      <c r="W3557" s="1108"/>
      <c r="X3557" s="1108"/>
      <c r="Y3557" s="1108"/>
      <c r="Z3557" s="1114"/>
      <c r="AA3557" s="1114"/>
      <c r="AB3557" s="1114"/>
      <c r="AC3557" s="1117"/>
      <c r="AD3557" s="1115"/>
      <c r="AE3557" s="1115"/>
      <c r="AF3557" s="1115"/>
      <c r="AG3557" s="1115"/>
      <c r="AH3557" s="1115"/>
      <c r="AI3557" s="1115"/>
      <c r="AJ3557" s="1117"/>
      <c r="AK3557" s="1118"/>
      <c r="AL3557" s="1115"/>
      <c r="AM3557" s="1115"/>
      <c r="AN3557" s="1115"/>
      <c r="AO3557" s="1115"/>
      <c r="AP3557" s="1115"/>
      <c r="AQ3557" s="1115"/>
      <c r="AR3557" s="1115"/>
      <c r="AS3557" s="1117"/>
      <c r="AT3557" s="1075"/>
      <c r="AU3557" s="1193"/>
      <c r="AV3557" s="330"/>
      <c r="AW3557" s="331"/>
      <c r="AX3557" s="331"/>
      <c r="AY3557" s="331"/>
      <c r="AZ3557" s="331"/>
      <c r="BA3557" s="331"/>
      <c r="BB3557" s="331"/>
      <c r="BC3557" s="331"/>
      <c r="BD3557" s="331"/>
      <c r="BE3557" s="333"/>
      <c r="BF3557" s="330"/>
      <c r="BG3557" s="333"/>
      <c r="BH3557" s="1119"/>
      <c r="BI3557" s="319"/>
      <c r="BJ3557" s="319"/>
      <c r="BK3557" s="319"/>
      <c r="BL3557" s="319"/>
      <c r="BM3557" s="319"/>
      <c r="BN3557" s="319"/>
      <c r="BO3557" s="319"/>
      <c r="BP3557" s="953"/>
      <c r="BQ3557" s="319"/>
      <c r="BR3557" s="319"/>
      <c r="BS3557" s="330"/>
      <c r="BT3557" s="331"/>
      <c r="BU3557" s="920"/>
      <c r="BV3557" s="903"/>
      <c r="BW3557" s="908"/>
      <c r="BX3557" s="908"/>
      <c r="BY3557" s="331"/>
      <c r="BZ3557" s="331"/>
      <c r="CA3557" s="462"/>
      <c r="CB3557" s="319"/>
      <c r="CC3557" s="319"/>
      <c r="CD3557" s="319"/>
      <c r="CE3557" s="319"/>
      <c r="CF3557" s="319"/>
      <c r="CG3557" s="319"/>
      <c r="CH3557" s="318"/>
      <c r="CI3557" s="319"/>
      <c r="CJ3557" s="319"/>
      <c r="CK3557" s="342"/>
      <c r="CL3557" s="333"/>
      <c r="CM3557" s="1079"/>
      <c r="CN3557" s="1005"/>
      <c r="CO3557" s="1005"/>
      <c r="CP3557" s="1005"/>
    </row>
    <row r="3558">
      <c r="A3558" s="1257"/>
      <c r="B3558" s="1113"/>
      <c r="C3558" s="1107"/>
      <c r="D3558" s="103"/>
      <c r="E3558" s="1137"/>
      <c r="F3558" s="112"/>
      <c r="G3558" s="1110"/>
      <c r="H3558" s="1138"/>
      <c r="I3558" s="1138"/>
      <c r="J3558" s="1139"/>
      <c r="K3558" s="1111"/>
      <c r="L3558" s="1112"/>
      <c r="M3558" s="1113"/>
      <c r="N3558" s="110"/>
      <c r="O3558" s="1140"/>
      <c r="P3558" s="1115"/>
      <c r="Q3558" s="1116"/>
      <c r="R3558" s="1141"/>
      <c r="S3558" s="1113"/>
      <c r="T3558" s="1143"/>
      <c r="U3558" s="1108"/>
      <c r="V3558" s="1108"/>
      <c r="W3558" s="1108"/>
      <c r="X3558" s="1108"/>
      <c r="Y3558" s="1108"/>
      <c r="Z3558" s="1114"/>
      <c r="AA3558" s="1114"/>
      <c r="AB3558" s="1114"/>
      <c r="AC3558" s="1117"/>
      <c r="AD3558" s="1115"/>
      <c r="AE3558" s="1115"/>
      <c r="AF3558" s="1115"/>
      <c r="AG3558" s="1115"/>
      <c r="AH3558" s="1115"/>
      <c r="AI3558" s="1115"/>
      <c r="AJ3558" s="1117"/>
      <c r="AK3558" s="1118"/>
      <c r="AL3558" s="1115"/>
      <c r="AM3558" s="1115"/>
      <c r="AN3558" s="1115"/>
      <c r="AO3558" s="1115"/>
      <c r="AP3558" s="1115"/>
      <c r="AQ3558" s="1115"/>
      <c r="AR3558" s="1115"/>
      <c r="AS3558" s="1117"/>
      <c r="AT3558" s="1075"/>
      <c r="AU3558" s="1193"/>
      <c r="AV3558" s="330"/>
      <c r="AW3558" s="331"/>
      <c r="AX3558" s="331"/>
      <c r="AY3558" s="331"/>
      <c r="AZ3558" s="331"/>
      <c r="BA3558" s="331"/>
      <c r="BB3558" s="331"/>
      <c r="BC3558" s="331"/>
      <c r="BD3558" s="331"/>
      <c r="BE3558" s="333"/>
      <c r="BF3558" s="330"/>
      <c r="BG3558" s="333"/>
      <c r="BH3558" s="1119"/>
      <c r="BI3558" s="319"/>
      <c r="BJ3558" s="319"/>
      <c r="BK3558" s="319"/>
      <c r="BL3558" s="319"/>
      <c r="BM3558" s="319"/>
      <c r="BN3558" s="319"/>
      <c r="BO3558" s="319"/>
      <c r="BP3558" s="953"/>
      <c r="BQ3558" s="319"/>
      <c r="BR3558" s="319"/>
      <c r="BS3558" s="330"/>
      <c r="BT3558" s="331"/>
      <c r="BU3558" s="920"/>
      <c r="BV3558" s="903"/>
      <c r="BW3558" s="908"/>
      <c r="BX3558" s="908"/>
      <c r="BY3558" s="331"/>
      <c r="BZ3558" s="331"/>
      <c r="CA3558" s="462"/>
      <c r="CB3558" s="319"/>
      <c r="CC3558" s="319"/>
      <c r="CD3558" s="319"/>
      <c r="CE3558" s="319"/>
      <c r="CF3558" s="319"/>
      <c r="CG3558" s="319"/>
      <c r="CH3558" s="318"/>
      <c r="CI3558" s="319"/>
      <c r="CJ3558" s="319"/>
      <c r="CK3558" s="342"/>
      <c r="CL3558" s="333"/>
      <c r="CM3558" s="1079"/>
      <c r="CN3558" s="1005"/>
      <c r="CO3558" s="1005"/>
      <c r="CP3558" s="1005"/>
    </row>
    <row r="3559">
      <c r="A3559" s="1257"/>
      <c r="B3559" s="1113"/>
      <c r="C3559" s="1107"/>
      <c r="D3559" s="103"/>
      <c r="E3559" s="1137"/>
      <c r="F3559" s="112"/>
      <c r="G3559" s="1110"/>
      <c r="H3559" s="1138"/>
      <c r="I3559" s="1138"/>
      <c r="J3559" s="1139"/>
      <c r="K3559" s="1111"/>
      <c r="L3559" s="1112"/>
      <c r="M3559" s="1113"/>
      <c r="N3559" s="110"/>
      <c r="O3559" s="1140"/>
      <c r="P3559" s="1115"/>
      <c r="Q3559" s="1116"/>
      <c r="R3559" s="1141"/>
      <c r="S3559" s="1113"/>
      <c r="T3559" s="1143"/>
      <c r="U3559" s="1108"/>
      <c r="V3559" s="1108"/>
      <c r="W3559" s="1108"/>
      <c r="X3559" s="1108"/>
      <c r="Y3559" s="1108"/>
      <c r="Z3559" s="1114"/>
      <c r="AA3559" s="1114"/>
      <c r="AB3559" s="1114"/>
      <c r="AC3559" s="1117"/>
      <c r="AD3559" s="1115"/>
      <c r="AE3559" s="1115"/>
      <c r="AF3559" s="1115"/>
      <c r="AG3559" s="1115"/>
      <c r="AH3559" s="1115"/>
      <c r="AI3559" s="1115"/>
      <c r="AJ3559" s="1117"/>
      <c r="AK3559" s="1118"/>
      <c r="AL3559" s="1115"/>
      <c r="AM3559" s="1115"/>
      <c r="AN3559" s="1115"/>
      <c r="AO3559" s="1115"/>
      <c r="AP3559" s="1115"/>
      <c r="AQ3559" s="1115"/>
      <c r="AR3559" s="1115"/>
      <c r="AS3559" s="1117"/>
      <c r="AT3559" s="1075"/>
      <c r="AU3559" s="1193"/>
      <c r="AV3559" s="330"/>
      <c r="AW3559" s="331"/>
      <c r="AX3559" s="331"/>
      <c r="AY3559" s="331"/>
      <c r="AZ3559" s="331"/>
      <c r="BA3559" s="331"/>
      <c r="BB3559" s="331"/>
      <c r="BC3559" s="331"/>
      <c r="BD3559" s="331"/>
      <c r="BE3559" s="333"/>
      <c r="BF3559" s="330"/>
      <c r="BG3559" s="333"/>
      <c r="BH3559" s="1119"/>
      <c r="BI3559" s="319"/>
      <c r="BJ3559" s="319"/>
      <c r="BK3559" s="319"/>
      <c r="BL3559" s="319"/>
      <c r="BM3559" s="319"/>
      <c r="BN3559" s="319"/>
      <c r="BO3559" s="319"/>
      <c r="BP3559" s="953"/>
      <c r="BQ3559" s="319"/>
      <c r="BR3559" s="319"/>
      <c r="BS3559" s="330"/>
      <c r="BT3559" s="331"/>
      <c r="BU3559" s="920"/>
      <c r="BV3559" s="903"/>
      <c r="BW3559" s="908"/>
      <c r="BX3559" s="908"/>
      <c r="BY3559" s="331"/>
      <c r="BZ3559" s="331"/>
      <c r="CA3559" s="462"/>
      <c r="CB3559" s="319"/>
      <c r="CC3559" s="319"/>
      <c r="CD3559" s="319"/>
      <c r="CE3559" s="319"/>
      <c r="CF3559" s="319"/>
      <c r="CG3559" s="319"/>
      <c r="CH3559" s="318"/>
      <c r="CI3559" s="319"/>
      <c r="CJ3559" s="319"/>
      <c r="CK3559" s="342"/>
      <c r="CL3559" s="333"/>
      <c r="CM3559" s="1079"/>
      <c r="CN3559" s="1005"/>
      <c r="CO3559" s="1005"/>
      <c r="CP3559" s="1005"/>
    </row>
    <row r="3560">
      <c r="A3560" s="1257"/>
      <c r="B3560" s="1113"/>
      <c r="C3560" s="1107"/>
      <c r="D3560" s="103"/>
      <c r="E3560" s="1137"/>
      <c r="F3560" s="112"/>
      <c r="G3560" s="1110"/>
      <c r="H3560" s="1138"/>
      <c r="I3560" s="1138"/>
      <c r="J3560" s="1139"/>
      <c r="K3560" s="1111"/>
      <c r="L3560" s="1112"/>
      <c r="M3560" s="1113"/>
      <c r="N3560" s="110"/>
      <c r="O3560" s="1140"/>
      <c r="P3560" s="1115"/>
      <c r="Q3560" s="1116"/>
      <c r="R3560" s="1141"/>
      <c r="S3560" s="1113"/>
      <c r="T3560" s="1143"/>
      <c r="U3560" s="1108"/>
      <c r="V3560" s="1108"/>
      <c r="W3560" s="1108"/>
      <c r="X3560" s="1108"/>
      <c r="Y3560" s="1108"/>
      <c r="Z3560" s="1114"/>
      <c r="AA3560" s="1114"/>
      <c r="AB3560" s="1114"/>
      <c r="AC3560" s="1117"/>
      <c r="AD3560" s="1115"/>
      <c r="AE3560" s="1115"/>
      <c r="AF3560" s="1115"/>
      <c r="AG3560" s="1115"/>
      <c r="AH3560" s="1115"/>
      <c r="AI3560" s="1115"/>
      <c r="AJ3560" s="1117"/>
      <c r="AK3560" s="1118"/>
      <c r="AL3560" s="1115"/>
      <c r="AM3560" s="1115"/>
      <c r="AN3560" s="1115"/>
      <c r="AO3560" s="1115"/>
      <c r="AP3560" s="1115"/>
      <c r="AQ3560" s="1115"/>
      <c r="AR3560" s="1115"/>
      <c r="AS3560" s="1117"/>
      <c r="AT3560" s="1075"/>
      <c r="AU3560" s="1193"/>
      <c r="AV3560" s="330"/>
      <c r="AW3560" s="331"/>
      <c r="AX3560" s="331"/>
      <c r="AY3560" s="331"/>
      <c r="AZ3560" s="331"/>
      <c r="BA3560" s="331"/>
      <c r="BB3560" s="331"/>
      <c r="BC3560" s="331"/>
      <c r="BD3560" s="331"/>
      <c r="BE3560" s="333"/>
      <c r="BF3560" s="330"/>
      <c r="BG3560" s="333"/>
      <c r="BH3560" s="1119"/>
      <c r="BI3560" s="319"/>
      <c r="BJ3560" s="319"/>
      <c r="BK3560" s="319"/>
      <c r="BL3560" s="319"/>
      <c r="BM3560" s="319"/>
      <c r="BN3560" s="319"/>
      <c r="BO3560" s="319"/>
      <c r="BP3560" s="953"/>
      <c r="BQ3560" s="319"/>
      <c r="BR3560" s="319"/>
      <c r="BS3560" s="330"/>
      <c r="BT3560" s="331"/>
      <c r="BU3560" s="920"/>
      <c r="BV3560" s="903"/>
      <c r="BW3560" s="908"/>
      <c r="BX3560" s="908"/>
      <c r="BY3560" s="331"/>
      <c r="BZ3560" s="331"/>
      <c r="CA3560" s="462"/>
      <c r="CB3560" s="319"/>
      <c r="CC3560" s="319"/>
      <c r="CD3560" s="319"/>
      <c r="CE3560" s="319"/>
      <c r="CF3560" s="319"/>
      <c r="CG3560" s="319"/>
      <c r="CH3560" s="318"/>
      <c r="CI3560" s="319"/>
      <c r="CJ3560" s="319"/>
      <c r="CK3560" s="342"/>
      <c r="CL3560" s="333"/>
      <c r="CM3560" s="1079"/>
      <c r="CN3560" s="1005"/>
      <c r="CO3560" s="1005"/>
      <c r="CP3560" s="1005"/>
    </row>
    <row r="3561">
      <c r="A3561" s="1257"/>
      <c r="B3561" s="1113"/>
      <c r="C3561" s="1107"/>
      <c r="D3561" s="103"/>
      <c r="E3561" s="1137"/>
      <c r="F3561" s="112"/>
      <c r="G3561" s="1110"/>
      <c r="H3561" s="1138"/>
      <c r="I3561" s="1138"/>
      <c r="J3561" s="1139"/>
      <c r="K3561" s="1111"/>
      <c r="L3561" s="1112"/>
      <c r="M3561" s="1113"/>
      <c r="N3561" s="110"/>
      <c r="O3561" s="1140"/>
      <c r="P3561" s="1115"/>
      <c r="Q3561" s="1116"/>
      <c r="R3561" s="1141"/>
      <c r="S3561" s="1113"/>
      <c r="T3561" s="1143"/>
      <c r="U3561" s="1108"/>
      <c r="V3561" s="1108"/>
      <c r="W3561" s="1108"/>
      <c r="X3561" s="1108"/>
      <c r="Y3561" s="1108"/>
      <c r="Z3561" s="1114"/>
      <c r="AA3561" s="1114"/>
      <c r="AB3561" s="1114"/>
      <c r="AC3561" s="1117"/>
      <c r="AD3561" s="1115"/>
      <c r="AE3561" s="1115"/>
      <c r="AF3561" s="1115"/>
      <c r="AG3561" s="1115"/>
      <c r="AH3561" s="1115"/>
      <c r="AI3561" s="1115"/>
      <c r="AJ3561" s="1117"/>
      <c r="AK3561" s="1118"/>
      <c r="AL3561" s="1115"/>
      <c r="AM3561" s="1115"/>
      <c r="AN3561" s="1115"/>
      <c r="AO3561" s="1115"/>
      <c r="AP3561" s="1115"/>
      <c r="AQ3561" s="1115"/>
      <c r="AR3561" s="1115"/>
      <c r="AS3561" s="1117"/>
      <c r="AT3561" s="1075"/>
      <c r="AU3561" s="1193"/>
      <c r="AV3561" s="330"/>
      <c r="AW3561" s="331"/>
      <c r="AX3561" s="331"/>
      <c r="AY3561" s="331"/>
      <c r="AZ3561" s="331"/>
      <c r="BA3561" s="331"/>
      <c r="BB3561" s="331"/>
      <c r="BC3561" s="331"/>
      <c r="BD3561" s="331"/>
      <c r="BE3561" s="333"/>
      <c r="BF3561" s="330"/>
      <c r="BG3561" s="333"/>
      <c r="BH3561" s="1119"/>
      <c r="BI3561" s="319"/>
      <c r="BJ3561" s="319"/>
      <c r="BK3561" s="319"/>
      <c r="BL3561" s="319"/>
      <c r="BM3561" s="319"/>
      <c r="BN3561" s="319"/>
      <c r="BO3561" s="319"/>
      <c r="BP3561" s="953"/>
      <c r="BQ3561" s="319"/>
      <c r="BR3561" s="319"/>
      <c r="BS3561" s="330"/>
      <c r="BT3561" s="331"/>
      <c r="BU3561" s="920"/>
      <c r="BV3561" s="903"/>
      <c r="BW3561" s="908"/>
      <c r="BX3561" s="908"/>
      <c r="BY3561" s="331"/>
      <c r="BZ3561" s="331"/>
      <c r="CA3561" s="462"/>
      <c r="CB3561" s="319"/>
      <c r="CC3561" s="319"/>
      <c r="CD3561" s="319"/>
      <c r="CE3561" s="319"/>
      <c r="CF3561" s="319"/>
      <c r="CG3561" s="319"/>
      <c r="CH3561" s="318"/>
      <c r="CI3561" s="319"/>
      <c r="CJ3561" s="319"/>
      <c r="CK3561" s="342"/>
      <c r="CL3561" s="333"/>
      <c r="CM3561" s="1079"/>
      <c r="CN3561" s="1005"/>
      <c r="CO3561" s="1005"/>
      <c r="CP3561" s="1005"/>
    </row>
    <row r="3562">
      <c r="A3562" s="1257"/>
      <c r="B3562" s="1113"/>
      <c r="C3562" s="1107"/>
      <c r="D3562" s="103"/>
      <c r="E3562" s="1137"/>
      <c r="F3562" s="112"/>
      <c r="G3562" s="1110"/>
      <c r="H3562" s="1138"/>
      <c r="I3562" s="1138"/>
      <c r="J3562" s="1139"/>
      <c r="K3562" s="1111"/>
      <c r="L3562" s="1112"/>
      <c r="M3562" s="1113"/>
      <c r="N3562" s="110"/>
      <c r="O3562" s="1140"/>
      <c r="P3562" s="1115"/>
      <c r="Q3562" s="1116"/>
      <c r="R3562" s="1141"/>
      <c r="S3562" s="1113"/>
      <c r="T3562" s="1143"/>
      <c r="U3562" s="1108"/>
      <c r="V3562" s="1108"/>
      <c r="W3562" s="1108"/>
      <c r="X3562" s="1108"/>
      <c r="Y3562" s="1108"/>
      <c r="Z3562" s="1114"/>
      <c r="AA3562" s="1114"/>
      <c r="AB3562" s="1114"/>
      <c r="AC3562" s="1117"/>
      <c r="AD3562" s="1115"/>
      <c r="AE3562" s="1115"/>
      <c r="AF3562" s="1115"/>
      <c r="AG3562" s="1115"/>
      <c r="AH3562" s="1115"/>
      <c r="AI3562" s="1115"/>
      <c r="AJ3562" s="1117"/>
      <c r="AK3562" s="1118"/>
      <c r="AL3562" s="1115"/>
      <c r="AM3562" s="1115"/>
      <c r="AN3562" s="1115"/>
      <c r="AO3562" s="1115"/>
      <c r="AP3562" s="1115"/>
      <c r="AQ3562" s="1115"/>
      <c r="AR3562" s="1115"/>
      <c r="AS3562" s="1117"/>
      <c r="AT3562" s="1075"/>
      <c r="AU3562" s="1193"/>
      <c r="AV3562" s="330"/>
      <c r="AW3562" s="331"/>
      <c r="AX3562" s="331"/>
      <c r="AY3562" s="331"/>
      <c r="AZ3562" s="331"/>
      <c r="BA3562" s="331"/>
      <c r="BB3562" s="331"/>
      <c r="BC3562" s="331"/>
      <c r="BD3562" s="331"/>
      <c r="BE3562" s="333"/>
      <c r="BF3562" s="330"/>
      <c r="BG3562" s="333"/>
      <c r="BH3562" s="1119"/>
      <c r="BI3562" s="319"/>
      <c r="BJ3562" s="319"/>
      <c r="BK3562" s="319"/>
      <c r="BL3562" s="319"/>
      <c r="BM3562" s="319"/>
      <c r="BN3562" s="319"/>
      <c r="BO3562" s="319"/>
      <c r="BP3562" s="953"/>
      <c r="BQ3562" s="319"/>
      <c r="BR3562" s="319"/>
      <c r="BS3562" s="330"/>
      <c r="BT3562" s="331"/>
      <c r="BU3562" s="920"/>
      <c r="BV3562" s="903"/>
      <c r="BW3562" s="908"/>
      <c r="BX3562" s="908"/>
      <c r="BY3562" s="331"/>
      <c r="BZ3562" s="331"/>
      <c r="CA3562" s="462"/>
      <c r="CB3562" s="319"/>
      <c r="CC3562" s="319"/>
      <c r="CD3562" s="319"/>
      <c r="CE3562" s="319"/>
      <c r="CF3562" s="319"/>
      <c r="CG3562" s="319"/>
      <c r="CH3562" s="318"/>
      <c r="CI3562" s="319"/>
      <c r="CJ3562" s="319"/>
      <c r="CK3562" s="342"/>
      <c r="CL3562" s="333"/>
      <c r="CM3562" s="1079"/>
      <c r="CN3562" s="1005"/>
      <c r="CO3562" s="1005"/>
      <c r="CP3562" s="1005"/>
    </row>
    <row r="3563">
      <c r="A3563" s="1257"/>
      <c r="B3563" s="1113"/>
      <c r="C3563" s="1107"/>
      <c r="D3563" s="103"/>
      <c r="E3563" s="1137"/>
      <c r="F3563" s="112"/>
      <c r="G3563" s="1110"/>
      <c r="H3563" s="1138"/>
      <c r="I3563" s="1138"/>
      <c r="J3563" s="1139"/>
      <c r="K3563" s="1111"/>
      <c r="L3563" s="1112"/>
      <c r="M3563" s="1113"/>
      <c r="N3563" s="110"/>
      <c r="O3563" s="1140"/>
      <c r="P3563" s="1115"/>
      <c r="Q3563" s="1116"/>
      <c r="R3563" s="1141"/>
      <c r="S3563" s="1113"/>
      <c r="T3563" s="1143"/>
      <c r="U3563" s="1108"/>
      <c r="V3563" s="1108"/>
      <c r="W3563" s="1108"/>
      <c r="X3563" s="1108"/>
      <c r="Y3563" s="1108"/>
      <c r="Z3563" s="1114"/>
      <c r="AA3563" s="1114"/>
      <c r="AB3563" s="1114"/>
      <c r="AC3563" s="1117"/>
      <c r="AD3563" s="1115"/>
      <c r="AE3563" s="1115"/>
      <c r="AF3563" s="1115"/>
      <c r="AG3563" s="1115"/>
      <c r="AH3563" s="1115"/>
      <c r="AI3563" s="1115"/>
      <c r="AJ3563" s="1117"/>
      <c r="AK3563" s="1118"/>
      <c r="AL3563" s="1115"/>
      <c r="AM3563" s="1115"/>
      <c r="AN3563" s="1115"/>
      <c r="AO3563" s="1115"/>
      <c r="AP3563" s="1115"/>
      <c r="AQ3563" s="1115"/>
      <c r="AR3563" s="1115"/>
      <c r="AS3563" s="1117"/>
      <c r="AT3563" s="1075"/>
      <c r="AU3563" s="1193"/>
      <c r="AV3563" s="330"/>
      <c r="AW3563" s="331"/>
      <c r="AX3563" s="331"/>
      <c r="AY3563" s="331"/>
      <c r="AZ3563" s="331"/>
      <c r="BA3563" s="331"/>
      <c r="BB3563" s="331"/>
      <c r="BC3563" s="331"/>
      <c r="BD3563" s="331"/>
      <c r="BE3563" s="333"/>
      <c r="BF3563" s="330"/>
      <c r="BG3563" s="333"/>
      <c r="BH3563" s="1119"/>
      <c r="BI3563" s="319"/>
      <c r="BJ3563" s="319"/>
      <c r="BK3563" s="319"/>
      <c r="BL3563" s="319"/>
      <c r="BM3563" s="319"/>
      <c r="BN3563" s="319"/>
      <c r="BO3563" s="319"/>
      <c r="BP3563" s="953"/>
      <c r="BQ3563" s="319"/>
      <c r="BR3563" s="319"/>
      <c r="BS3563" s="330"/>
      <c r="BT3563" s="331"/>
      <c r="BU3563" s="920"/>
      <c r="BV3563" s="903"/>
      <c r="BW3563" s="908"/>
      <c r="BX3563" s="908"/>
      <c r="BY3563" s="331"/>
      <c r="BZ3563" s="331"/>
      <c r="CA3563" s="462"/>
      <c r="CB3563" s="319"/>
      <c r="CC3563" s="319"/>
      <c r="CD3563" s="319"/>
      <c r="CE3563" s="319"/>
      <c r="CF3563" s="319"/>
      <c r="CG3563" s="319"/>
      <c r="CH3563" s="318"/>
      <c r="CI3563" s="319"/>
      <c r="CJ3563" s="319"/>
      <c r="CK3563" s="342"/>
      <c r="CL3563" s="333"/>
      <c r="CM3563" s="1079"/>
      <c r="CN3563" s="1005"/>
      <c r="CO3563" s="1005"/>
      <c r="CP3563" s="1005"/>
    </row>
    <row r="3564">
      <c r="A3564" s="1257"/>
      <c r="B3564" s="1113"/>
      <c r="C3564" s="1107"/>
      <c r="D3564" s="103"/>
      <c r="E3564" s="1137"/>
      <c r="F3564" s="112"/>
      <c r="G3564" s="1110"/>
      <c r="H3564" s="1138"/>
      <c r="I3564" s="1138"/>
      <c r="J3564" s="1139"/>
      <c r="K3564" s="1111"/>
      <c r="L3564" s="1112"/>
      <c r="M3564" s="1113"/>
      <c r="N3564" s="110"/>
      <c r="O3564" s="1140"/>
      <c r="P3564" s="1115"/>
      <c r="Q3564" s="1116"/>
      <c r="R3564" s="1141"/>
      <c r="S3564" s="1113"/>
      <c r="T3564" s="1143"/>
      <c r="U3564" s="1108"/>
      <c r="V3564" s="1108"/>
      <c r="W3564" s="1108"/>
      <c r="X3564" s="1108"/>
      <c r="Y3564" s="1108"/>
      <c r="Z3564" s="1114"/>
      <c r="AA3564" s="1114"/>
      <c r="AB3564" s="1114"/>
      <c r="AC3564" s="1117"/>
      <c r="AD3564" s="1115"/>
      <c r="AE3564" s="1115"/>
      <c r="AF3564" s="1115"/>
      <c r="AG3564" s="1115"/>
      <c r="AH3564" s="1115"/>
      <c r="AI3564" s="1115"/>
      <c r="AJ3564" s="1117"/>
      <c r="AK3564" s="1118"/>
      <c r="AL3564" s="1115"/>
      <c r="AM3564" s="1115"/>
      <c r="AN3564" s="1115"/>
      <c r="AO3564" s="1115"/>
      <c r="AP3564" s="1115"/>
      <c r="AQ3564" s="1115"/>
      <c r="AR3564" s="1115"/>
      <c r="AS3564" s="1117"/>
      <c r="AT3564" s="1075"/>
      <c r="AU3564" s="1193"/>
      <c r="AV3564" s="330"/>
      <c r="AW3564" s="331"/>
      <c r="AX3564" s="331"/>
      <c r="AY3564" s="331"/>
      <c r="AZ3564" s="331"/>
      <c r="BA3564" s="331"/>
      <c r="BB3564" s="331"/>
      <c r="BC3564" s="331"/>
      <c r="BD3564" s="331"/>
      <c r="BE3564" s="333"/>
      <c r="BF3564" s="330"/>
      <c r="BG3564" s="333"/>
      <c r="BH3564" s="1119"/>
      <c r="BI3564" s="319"/>
      <c r="BJ3564" s="319"/>
      <c r="BK3564" s="319"/>
      <c r="BL3564" s="319"/>
      <c r="BM3564" s="319"/>
      <c r="BN3564" s="319"/>
      <c r="BO3564" s="319"/>
      <c r="BP3564" s="953"/>
      <c r="BQ3564" s="319"/>
      <c r="BR3564" s="319"/>
      <c r="BS3564" s="330"/>
      <c r="BT3564" s="331"/>
      <c r="BU3564" s="920"/>
      <c r="BV3564" s="903"/>
      <c r="BW3564" s="908"/>
      <c r="BX3564" s="908"/>
      <c r="BY3564" s="331"/>
      <c r="BZ3564" s="331"/>
      <c r="CA3564" s="462"/>
      <c r="CB3564" s="319"/>
      <c r="CC3564" s="319"/>
      <c r="CD3564" s="319"/>
      <c r="CE3564" s="319"/>
      <c r="CF3564" s="319"/>
      <c r="CG3564" s="319"/>
      <c r="CH3564" s="318"/>
      <c r="CI3564" s="319"/>
      <c r="CJ3564" s="319"/>
      <c r="CK3564" s="342"/>
      <c r="CL3564" s="333"/>
      <c r="CM3564" s="1079"/>
      <c r="CN3564" s="1005"/>
      <c r="CO3564" s="1005"/>
      <c r="CP3564" s="1005"/>
    </row>
    <row r="3565">
      <c r="A3565" s="1257"/>
      <c r="B3565" s="1113"/>
      <c r="C3565" s="1107"/>
      <c r="D3565" s="103"/>
      <c r="E3565" s="1137"/>
      <c r="F3565" s="112"/>
      <c r="G3565" s="1110"/>
      <c r="H3565" s="1138"/>
      <c r="I3565" s="1138"/>
      <c r="J3565" s="1139"/>
      <c r="K3565" s="1111"/>
      <c r="L3565" s="1112"/>
      <c r="M3565" s="1113"/>
      <c r="N3565" s="110"/>
      <c r="O3565" s="1140"/>
      <c r="P3565" s="1115"/>
      <c r="Q3565" s="1116"/>
      <c r="R3565" s="1141"/>
      <c r="S3565" s="1113"/>
      <c r="T3565" s="1143"/>
      <c r="U3565" s="1108"/>
      <c r="V3565" s="1108"/>
      <c r="W3565" s="1108"/>
      <c r="X3565" s="1108"/>
      <c r="Y3565" s="1108"/>
      <c r="Z3565" s="1114"/>
      <c r="AA3565" s="1114"/>
      <c r="AB3565" s="1114"/>
      <c r="AC3565" s="1117"/>
      <c r="AD3565" s="1115"/>
      <c r="AE3565" s="1115"/>
      <c r="AF3565" s="1115"/>
      <c r="AG3565" s="1115"/>
      <c r="AH3565" s="1115"/>
      <c r="AI3565" s="1115"/>
      <c r="AJ3565" s="1117"/>
      <c r="AK3565" s="1118"/>
      <c r="AL3565" s="1115"/>
      <c r="AM3565" s="1115"/>
      <c r="AN3565" s="1115"/>
      <c r="AO3565" s="1115"/>
      <c r="AP3565" s="1115"/>
      <c r="AQ3565" s="1115"/>
      <c r="AR3565" s="1115"/>
      <c r="AS3565" s="1117"/>
      <c r="AT3565" s="1075"/>
      <c r="AU3565" s="1193"/>
      <c r="AV3565" s="330"/>
      <c r="AW3565" s="331"/>
      <c r="AX3565" s="331"/>
      <c r="AY3565" s="331"/>
      <c r="AZ3565" s="331"/>
      <c r="BA3565" s="331"/>
      <c r="BB3565" s="331"/>
      <c r="BC3565" s="331"/>
      <c r="BD3565" s="331"/>
      <c r="BE3565" s="333"/>
      <c r="BF3565" s="330"/>
      <c r="BG3565" s="333"/>
      <c r="BH3565" s="1119"/>
      <c r="BI3565" s="319"/>
      <c r="BJ3565" s="319"/>
      <c r="BK3565" s="319"/>
      <c r="BL3565" s="319"/>
      <c r="BM3565" s="319"/>
      <c r="BN3565" s="319"/>
      <c r="BO3565" s="319"/>
      <c r="BP3565" s="953"/>
      <c r="BQ3565" s="319"/>
      <c r="BR3565" s="319"/>
      <c r="BS3565" s="330"/>
      <c r="BT3565" s="331"/>
      <c r="BU3565" s="920"/>
      <c r="BV3565" s="903"/>
      <c r="BW3565" s="908"/>
      <c r="BX3565" s="908"/>
      <c r="BY3565" s="331"/>
      <c r="BZ3565" s="331"/>
      <c r="CA3565" s="462"/>
      <c r="CB3565" s="319"/>
      <c r="CC3565" s="319"/>
      <c r="CD3565" s="319"/>
      <c r="CE3565" s="319"/>
      <c r="CF3565" s="319"/>
      <c r="CG3565" s="319"/>
      <c r="CH3565" s="318"/>
      <c r="CI3565" s="319"/>
      <c r="CJ3565" s="319"/>
      <c r="CK3565" s="342"/>
      <c r="CL3565" s="333"/>
      <c r="CM3565" s="1079"/>
      <c r="CN3565" s="1005"/>
      <c r="CO3565" s="1005"/>
      <c r="CP3565" s="1005"/>
    </row>
    <row r="3566">
      <c r="A3566" s="1257"/>
      <c r="B3566" s="1113"/>
      <c r="C3566" s="1107"/>
      <c r="D3566" s="103"/>
      <c r="E3566" s="1137"/>
      <c r="F3566" s="112"/>
      <c r="G3566" s="1110"/>
      <c r="H3566" s="1138"/>
      <c r="I3566" s="1138"/>
      <c r="J3566" s="1139"/>
      <c r="K3566" s="1111"/>
      <c r="L3566" s="1112"/>
      <c r="M3566" s="1113"/>
      <c r="N3566" s="110"/>
      <c r="O3566" s="1140"/>
      <c r="P3566" s="1115"/>
      <c r="Q3566" s="1116"/>
      <c r="R3566" s="1141"/>
      <c r="S3566" s="1113"/>
      <c r="T3566" s="1143"/>
      <c r="U3566" s="1108"/>
      <c r="V3566" s="1108"/>
      <c r="W3566" s="1108"/>
      <c r="X3566" s="1108"/>
      <c r="Y3566" s="1108"/>
      <c r="Z3566" s="1114"/>
      <c r="AA3566" s="1114"/>
      <c r="AB3566" s="1114"/>
      <c r="AC3566" s="1117"/>
      <c r="AD3566" s="1115"/>
      <c r="AE3566" s="1115"/>
      <c r="AF3566" s="1115"/>
      <c r="AG3566" s="1115"/>
      <c r="AH3566" s="1115"/>
      <c r="AI3566" s="1115"/>
      <c r="AJ3566" s="1117"/>
      <c r="AK3566" s="1118"/>
      <c r="AL3566" s="1115"/>
      <c r="AM3566" s="1115"/>
      <c r="AN3566" s="1115"/>
      <c r="AO3566" s="1115"/>
      <c r="AP3566" s="1115"/>
      <c r="AQ3566" s="1115"/>
      <c r="AR3566" s="1115"/>
      <c r="AS3566" s="1117"/>
      <c r="AT3566" s="1075"/>
      <c r="AU3566" s="1193"/>
      <c r="AV3566" s="330"/>
      <c r="AW3566" s="331"/>
      <c r="AX3566" s="331"/>
      <c r="AY3566" s="331"/>
      <c r="AZ3566" s="331"/>
      <c r="BA3566" s="331"/>
      <c r="BB3566" s="331"/>
      <c r="BC3566" s="331"/>
      <c r="BD3566" s="331"/>
      <c r="BE3566" s="333"/>
      <c r="BF3566" s="330"/>
      <c r="BG3566" s="333"/>
      <c r="BH3566" s="1119"/>
      <c r="BI3566" s="319"/>
      <c r="BJ3566" s="319"/>
      <c r="BK3566" s="319"/>
      <c r="BL3566" s="319"/>
      <c r="BM3566" s="319"/>
      <c r="BN3566" s="319"/>
      <c r="BO3566" s="319"/>
      <c r="BP3566" s="953"/>
      <c r="BQ3566" s="319"/>
      <c r="BR3566" s="319"/>
      <c r="BS3566" s="330"/>
      <c r="BT3566" s="331"/>
      <c r="BU3566" s="920"/>
      <c r="BV3566" s="903"/>
      <c r="BW3566" s="908"/>
      <c r="BX3566" s="908"/>
      <c r="BY3566" s="331"/>
      <c r="BZ3566" s="331"/>
      <c r="CA3566" s="462"/>
      <c r="CB3566" s="319"/>
      <c r="CC3566" s="319"/>
      <c r="CD3566" s="319"/>
      <c r="CE3566" s="319"/>
      <c r="CF3566" s="319"/>
      <c r="CG3566" s="319"/>
      <c r="CH3566" s="318"/>
      <c r="CI3566" s="319"/>
      <c r="CJ3566" s="319"/>
      <c r="CK3566" s="342"/>
      <c r="CL3566" s="333"/>
      <c r="CM3566" s="1079"/>
      <c r="CN3566" s="1005"/>
      <c r="CO3566" s="1005"/>
      <c r="CP3566" s="1005"/>
    </row>
    <row r="3567">
      <c r="A3567" s="1257"/>
      <c r="B3567" s="1113"/>
      <c r="C3567" s="1107"/>
      <c r="D3567" s="103"/>
      <c r="E3567" s="1137"/>
      <c r="F3567" s="112"/>
      <c r="G3567" s="1110"/>
      <c r="H3567" s="1138"/>
      <c r="I3567" s="1138"/>
      <c r="J3567" s="1139"/>
      <c r="K3567" s="1111"/>
      <c r="L3567" s="1112"/>
      <c r="M3567" s="1113"/>
      <c r="N3567" s="110"/>
      <c r="O3567" s="1140"/>
      <c r="P3567" s="1115"/>
      <c r="Q3567" s="1116"/>
      <c r="R3567" s="1141"/>
      <c r="S3567" s="1113"/>
      <c r="T3567" s="1143"/>
      <c r="U3567" s="1108"/>
      <c r="V3567" s="1108"/>
      <c r="W3567" s="1108"/>
      <c r="X3567" s="1108"/>
      <c r="Y3567" s="1108"/>
      <c r="Z3567" s="1114"/>
      <c r="AA3567" s="1114"/>
      <c r="AB3567" s="1114"/>
      <c r="AC3567" s="1117"/>
      <c r="AD3567" s="1115"/>
      <c r="AE3567" s="1115"/>
      <c r="AF3567" s="1115"/>
      <c r="AG3567" s="1115"/>
      <c r="AH3567" s="1115"/>
      <c r="AI3567" s="1115"/>
      <c r="AJ3567" s="1117"/>
      <c r="AK3567" s="1118"/>
      <c r="AL3567" s="1115"/>
      <c r="AM3567" s="1115"/>
      <c r="AN3567" s="1115"/>
      <c r="AO3567" s="1115"/>
      <c r="AP3567" s="1115"/>
      <c r="AQ3567" s="1115"/>
      <c r="AR3567" s="1115"/>
      <c r="AS3567" s="1117"/>
      <c r="AT3567" s="1075"/>
      <c r="AU3567" s="1193"/>
      <c r="AV3567" s="330"/>
      <c r="AW3567" s="331"/>
      <c r="AX3567" s="331"/>
      <c r="AY3567" s="331"/>
      <c r="AZ3567" s="331"/>
      <c r="BA3567" s="331"/>
      <c r="BB3567" s="331"/>
      <c r="BC3567" s="331"/>
      <c r="BD3567" s="331"/>
      <c r="BE3567" s="333"/>
      <c r="BF3567" s="330"/>
      <c r="BG3567" s="333"/>
      <c r="BH3567" s="1119"/>
      <c r="BI3567" s="319"/>
      <c r="BJ3567" s="319"/>
      <c r="BK3567" s="319"/>
      <c r="BL3567" s="319"/>
      <c r="BM3567" s="319"/>
      <c r="BN3567" s="319"/>
      <c r="BO3567" s="319"/>
      <c r="BP3567" s="953"/>
      <c r="BQ3567" s="319"/>
      <c r="BR3567" s="319"/>
      <c r="BS3567" s="330"/>
      <c r="BT3567" s="331"/>
      <c r="BU3567" s="920"/>
      <c r="BV3567" s="903"/>
      <c r="BW3567" s="908"/>
      <c r="BX3567" s="908"/>
      <c r="BY3567" s="331"/>
      <c r="BZ3567" s="331"/>
      <c r="CA3567" s="462"/>
      <c r="CB3567" s="319"/>
      <c r="CC3567" s="319"/>
      <c r="CD3567" s="319"/>
      <c r="CE3567" s="319"/>
      <c r="CF3567" s="319"/>
      <c r="CG3567" s="319"/>
      <c r="CH3567" s="318"/>
      <c r="CI3567" s="319"/>
      <c r="CJ3567" s="319"/>
      <c r="CK3567" s="342"/>
      <c r="CL3567" s="333"/>
      <c r="CM3567" s="1079"/>
      <c r="CN3567" s="1005"/>
      <c r="CO3567" s="1005"/>
      <c r="CP3567" s="1005"/>
    </row>
    <row r="3568">
      <c r="A3568" s="1257"/>
      <c r="B3568" s="1113"/>
      <c r="C3568" s="1107"/>
      <c r="D3568" s="103"/>
      <c r="E3568" s="1137"/>
      <c r="F3568" s="112"/>
      <c r="G3568" s="1110"/>
      <c r="H3568" s="1138"/>
      <c r="I3568" s="1138"/>
      <c r="J3568" s="1139"/>
      <c r="K3568" s="1111"/>
      <c r="L3568" s="1112"/>
      <c r="M3568" s="1113"/>
      <c r="N3568" s="110"/>
      <c r="O3568" s="1140"/>
      <c r="P3568" s="1115"/>
      <c r="Q3568" s="1116"/>
      <c r="R3568" s="1141"/>
      <c r="S3568" s="1113"/>
      <c r="T3568" s="1143"/>
      <c r="U3568" s="1108"/>
      <c r="V3568" s="1108"/>
      <c r="W3568" s="1108"/>
      <c r="X3568" s="1108"/>
      <c r="Y3568" s="1108"/>
      <c r="Z3568" s="1114"/>
      <c r="AA3568" s="1114"/>
      <c r="AB3568" s="1114"/>
      <c r="AC3568" s="1117"/>
      <c r="AD3568" s="1115"/>
      <c r="AE3568" s="1115"/>
      <c r="AF3568" s="1115"/>
      <c r="AG3568" s="1115"/>
      <c r="AH3568" s="1115"/>
      <c r="AI3568" s="1115"/>
      <c r="AJ3568" s="1117"/>
      <c r="AK3568" s="1118"/>
      <c r="AL3568" s="1115"/>
      <c r="AM3568" s="1115"/>
      <c r="AN3568" s="1115"/>
      <c r="AO3568" s="1115"/>
      <c r="AP3568" s="1115"/>
      <c r="AQ3568" s="1115"/>
      <c r="AR3568" s="1115"/>
      <c r="AS3568" s="1117"/>
      <c r="AT3568" s="1075"/>
      <c r="AU3568" s="1193"/>
      <c r="AV3568" s="330"/>
      <c r="AW3568" s="331"/>
      <c r="AX3568" s="331"/>
      <c r="AY3568" s="331"/>
      <c r="AZ3568" s="331"/>
      <c r="BA3568" s="331"/>
      <c r="BB3568" s="331"/>
      <c r="BC3568" s="331"/>
      <c r="BD3568" s="331"/>
      <c r="BE3568" s="333"/>
      <c r="BF3568" s="330"/>
      <c r="BG3568" s="333"/>
      <c r="BH3568" s="1119"/>
      <c r="BI3568" s="319"/>
      <c r="BJ3568" s="319"/>
      <c r="BK3568" s="319"/>
      <c r="BL3568" s="319"/>
      <c r="BM3568" s="319"/>
      <c r="BN3568" s="319"/>
      <c r="BO3568" s="319"/>
      <c r="BP3568" s="953"/>
      <c r="BQ3568" s="319"/>
      <c r="BR3568" s="319"/>
      <c r="BS3568" s="330"/>
      <c r="BT3568" s="331"/>
      <c r="BU3568" s="920"/>
      <c r="BV3568" s="903"/>
      <c r="BW3568" s="908"/>
      <c r="BX3568" s="908"/>
      <c r="BY3568" s="331"/>
      <c r="BZ3568" s="331"/>
      <c r="CA3568" s="462"/>
      <c r="CB3568" s="319"/>
      <c r="CC3568" s="319"/>
      <c r="CD3568" s="319"/>
      <c r="CE3568" s="319"/>
      <c r="CF3568" s="319"/>
      <c r="CG3568" s="319"/>
      <c r="CH3568" s="318"/>
      <c r="CI3568" s="319"/>
      <c r="CJ3568" s="319"/>
      <c r="CK3568" s="342"/>
      <c r="CL3568" s="333"/>
      <c r="CM3568" s="1079"/>
      <c r="CN3568" s="1005"/>
      <c r="CO3568" s="1005"/>
      <c r="CP3568" s="1005"/>
    </row>
    <row r="3569">
      <c r="A3569" s="1257"/>
      <c r="B3569" s="1113"/>
      <c r="C3569" s="1107"/>
      <c r="D3569" s="103"/>
      <c r="E3569" s="1137"/>
      <c r="F3569" s="112"/>
      <c r="G3569" s="1110"/>
      <c r="H3569" s="1138"/>
      <c r="I3569" s="1138"/>
      <c r="J3569" s="1139"/>
      <c r="K3569" s="1111"/>
      <c r="L3569" s="1112"/>
      <c r="M3569" s="1113"/>
      <c r="N3569" s="110"/>
      <c r="O3569" s="1140"/>
      <c r="P3569" s="1115"/>
      <c r="Q3569" s="1116"/>
      <c r="R3569" s="1141"/>
      <c r="S3569" s="1113"/>
      <c r="T3569" s="1143"/>
      <c r="U3569" s="1108"/>
      <c r="V3569" s="1108"/>
      <c r="W3569" s="1108"/>
      <c r="X3569" s="1108"/>
      <c r="Y3569" s="1108"/>
      <c r="Z3569" s="1114"/>
      <c r="AA3569" s="1114"/>
      <c r="AB3569" s="1114"/>
      <c r="AC3569" s="1117"/>
      <c r="AD3569" s="1115"/>
      <c r="AE3569" s="1115"/>
      <c r="AF3569" s="1115"/>
      <c r="AG3569" s="1115"/>
      <c r="AH3569" s="1115"/>
      <c r="AI3569" s="1115"/>
      <c r="AJ3569" s="1117"/>
      <c r="AK3569" s="1118"/>
      <c r="AL3569" s="1115"/>
      <c r="AM3569" s="1115"/>
      <c r="AN3569" s="1115"/>
      <c r="AO3569" s="1115"/>
      <c r="AP3569" s="1115"/>
      <c r="AQ3569" s="1115"/>
      <c r="AR3569" s="1115"/>
      <c r="AS3569" s="1117"/>
      <c r="AT3569" s="1075"/>
      <c r="AU3569" s="1193"/>
      <c r="AV3569" s="330"/>
      <c r="AW3569" s="331"/>
      <c r="AX3569" s="331"/>
      <c r="AY3569" s="331"/>
      <c r="AZ3569" s="331"/>
      <c r="BA3569" s="331"/>
      <c r="BB3569" s="331"/>
      <c r="BC3569" s="331"/>
      <c r="BD3569" s="331"/>
      <c r="BE3569" s="333"/>
      <c r="BF3569" s="330"/>
      <c r="BG3569" s="333"/>
      <c r="BH3569" s="1119"/>
      <c r="BI3569" s="319"/>
      <c r="BJ3569" s="319"/>
      <c r="BK3569" s="319"/>
      <c r="BL3569" s="319"/>
      <c r="BM3569" s="319"/>
      <c r="BN3569" s="319"/>
      <c r="BO3569" s="319"/>
      <c r="BP3569" s="953"/>
      <c r="BQ3569" s="319"/>
      <c r="BR3569" s="319"/>
      <c r="BS3569" s="330"/>
      <c r="BT3569" s="331"/>
      <c r="BU3569" s="920"/>
      <c r="BV3569" s="903"/>
      <c r="BW3569" s="908"/>
      <c r="BX3569" s="908"/>
      <c r="BY3569" s="331"/>
      <c r="BZ3569" s="331"/>
      <c r="CA3569" s="462"/>
      <c r="CB3569" s="319"/>
      <c r="CC3569" s="319"/>
      <c r="CD3569" s="319"/>
      <c r="CE3569" s="319"/>
      <c r="CF3569" s="319"/>
      <c r="CG3569" s="319"/>
      <c r="CH3569" s="318"/>
      <c r="CI3569" s="319"/>
      <c r="CJ3569" s="319"/>
      <c r="CK3569" s="342"/>
      <c r="CL3569" s="333"/>
      <c r="CM3569" s="1079"/>
      <c r="CN3569" s="1005"/>
      <c r="CO3569" s="1005"/>
      <c r="CP3569" s="1005"/>
    </row>
    <row r="3570">
      <c r="A3570" s="1257"/>
      <c r="B3570" s="1113"/>
      <c r="C3570" s="1107"/>
      <c r="D3570" s="103"/>
      <c r="E3570" s="1137"/>
      <c r="F3570" s="112"/>
      <c r="G3570" s="1110"/>
      <c r="H3570" s="1138"/>
      <c r="I3570" s="1138"/>
      <c r="J3570" s="1139"/>
      <c r="K3570" s="1111"/>
      <c r="L3570" s="1112"/>
      <c r="M3570" s="1113"/>
      <c r="N3570" s="110"/>
      <c r="O3570" s="1140"/>
      <c r="P3570" s="1115"/>
      <c r="Q3570" s="1116"/>
      <c r="R3570" s="1141"/>
      <c r="S3570" s="1113"/>
      <c r="T3570" s="1143"/>
      <c r="U3570" s="1108"/>
      <c r="V3570" s="1108"/>
      <c r="W3570" s="1108"/>
      <c r="X3570" s="1108"/>
      <c r="Y3570" s="1108"/>
      <c r="Z3570" s="1114"/>
      <c r="AA3570" s="1114"/>
      <c r="AB3570" s="1114"/>
      <c r="AC3570" s="1117"/>
      <c r="AD3570" s="1115"/>
      <c r="AE3570" s="1115"/>
      <c r="AF3570" s="1115"/>
      <c r="AG3570" s="1115"/>
      <c r="AH3570" s="1115"/>
      <c r="AI3570" s="1115"/>
      <c r="AJ3570" s="1117"/>
      <c r="AK3570" s="1118"/>
      <c r="AL3570" s="1115"/>
      <c r="AM3570" s="1115"/>
      <c r="AN3570" s="1115"/>
      <c r="AO3570" s="1115"/>
      <c r="AP3570" s="1115"/>
      <c r="AQ3570" s="1115"/>
      <c r="AR3570" s="1115"/>
      <c r="AS3570" s="1117"/>
      <c r="AT3570" s="1075"/>
      <c r="AU3570" s="1193"/>
      <c r="AV3570" s="330"/>
      <c r="AW3570" s="331"/>
      <c r="AX3570" s="331"/>
      <c r="AY3570" s="331"/>
      <c r="AZ3570" s="331"/>
      <c r="BA3570" s="331"/>
      <c r="BB3570" s="331"/>
      <c r="BC3570" s="331"/>
      <c r="BD3570" s="331"/>
      <c r="BE3570" s="333"/>
      <c r="BF3570" s="330"/>
      <c r="BG3570" s="333"/>
      <c r="BH3570" s="1119"/>
      <c r="BI3570" s="319"/>
      <c r="BJ3570" s="319"/>
      <c r="BK3570" s="319"/>
      <c r="BL3570" s="319"/>
      <c r="BM3570" s="319"/>
      <c r="BN3570" s="319"/>
      <c r="BO3570" s="319"/>
      <c r="BP3570" s="953"/>
      <c r="BQ3570" s="319"/>
      <c r="BR3570" s="319"/>
      <c r="BS3570" s="330"/>
      <c r="BT3570" s="331"/>
      <c r="BU3570" s="920"/>
      <c r="BV3570" s="903"/>
      <c r="BW3570" s="908"/>
      <c r="BX3570" s="908"/>
      <c r="BY3570" s="331"/>
      <c r="BZ3570" s="331"/>
      <c r="CA3570" s="462"/>
      <c r="CB3570" s="319"/>
      <c r="CC3570" s="319"/>
      <c r="CD3570" s="319"/>
      <c r="CE3570" s="319"/>
      <c r="CF3570" s="319"/>
      <c r="CG3570" s="319"/>
      <c r="CH3570" s="318"/>
      <c r="CI3570" s="319"/>
      <c r="CJ3570" s="319"/>
      <c r="CK3570" s="342"/>
      <c r="CL3570" s="333"/>
      <c r="CM3570" s="1079"/>
      <c r="CN3570" s="1005"/>
      <c r="CO3570" s="1005"/>
      <c r="CP3570" s="1005"/>
    </row>
    <row r="3571">
      <c r="A3571" s="1257"/>
      <c r="B3571" s="1113"/>
      <c r="C3571" s="1107"/>
      <c r="D3571" s="103"/>
      <c r="E3571" s="1137"/>
      <c r="F3571" s="112"/>
      <c r="G3571" s="1110"/>
      <c r="H3571" s="1138"/>
      <c r="I3571" s="1138"/>
      <c r="J3571" s="1139"/>
      <c r="K3571" s="1111"/>
      <c r="L3571" s="1112"/>
      <c r="M3571" s="1113"/>
      <c r="N3571" s="110"/>
      <c r="O3571" s="1140"/>
      <c r="P3571" s="1115"/>
      <c r="Q3571" s="1116"/>
      <c r="R3571" s="1141"/>
      <c r="S3571" s="1113"/>
      <c r="T3571" s="1143"/>
      <c r="U3571" s="1108"/>
      <c r="V3571" s="1108"/>
      <c r="W3571" s="1108"/>
      <c r="X3571" s="1108"/>
      <c r="Y3571" s="1108"/>
      <c r="Z3571" s="1114"/>
      <c r="AA3571" s="1114"/>
      <c r="AB3571" s="1114"/>
      <c r="AC3571" s="1117"/>
      <c r="AD3571" s="1115"/>
      <c r="AE3571" s="1115"/>
      <c r="AF3571" s="1115"/>
      <c r="AG3571" s="1115"/>
      <c r="AH3571" s="1115"/>
      <c r="AI3571" s="1115"/>
      <c r="AJ3571" s="1117"/>
      <c r="AK3571" s="1118"/>
      <c r="AL3571" s="1115"/>
      <c r="AM3571" s="1115"/>
      <c r="AN3571" s="1115"/>
      <c r="AO3571" s="1115"/>
      <c r="AP3571" s="1115"/>
      <c r="AQ3571" s="1115"/>
      <c r="AR3571" s="1115"/>
      <c r="AS3571" s="1117"/>
      <c r="AT3571" s="1075"/>
      <c r="AU3571" s="1193"/>
      <c r="AV3571" s="330"/>
      <c r="AW3571" s="331"/>
      <c r="AX3571" s="331"/>
      <c r="AY3571" s="331"/>
      <c r="AZ3571" s="331"/>
      <c r="BA3571" s="331"/>
      <c r="BB3571" s="331"/>
      <c r="BC3571" s="331"/>
      <c r="BD3571" s="331"/>
      <c r="BE3571" s="333"/>
      <c r="BF3571" s="330"/>
      <c r="BG3571" s="333"/>
      <c r="BH3571" s="1119"/>
      <c r="BI3571" s="319"/>
      <c r="BJ3571" s="319"/>
      <c r="BK3571" s="319"/>
      <c r="BL3571" s="319"/>
      <c r="BM3571" s="319"/>
      <c r="BN3571" s="319"/>
      <c r="BO3571" s="319"/>
      <c r="BP3571" s="953"/>
      <c r="BQ3571" s="319"/>
      <c r="BR3571" s="319"/>
      <c r="BS3571" s="330"/>
      <c r="BT3571" s="331"/>
      <c r="BU3571" s="920"/>
      <c r="BV3571" s="903"/>
      <c r="BW3571" s="908"/>
      <c r="BX3571" s="908"/>
      <c r="BY3571" s="331"/>
      <c r="BZ3571" s="331"/>
      <c r="CA3571" s="462"/>
      <c r="CB3571" s="319"/>
      <c r="CC3571" s="319"/>
      <c r="CD3571" s="319"/>
      <c r="CE3571" s="319"/>
      <c r="CF3571" s="319"/>
      <c r="CG3571" s="319"/>
      <c r="CH3571" s="318"/>
      <c r="CI3571" s="319"/>
      <c r="CJ3571" s="319"/>
      <c r="CK3571" s="342"/>
      <c r="CL3571" s="333"/>
      <c r="CM3571" s="1079"/>
      <c r="CN3571" s="1005"/>
      <c r="CO3571" s="1005"/>
      <c r="CP3571" s="1005"/>
    </row>
    <row r="3572">
      <c r="A3572" s="1257"/>
      <c r="B3572" s="1113"/>
      <c r="C3572" s="1107"/>
      <c r="D3572" s="103"/>
      <c r="E3572" s="1137"/>
      <c r="F3572" s="112"/>
      <c r="G3572" s="1110"/>
      <c r="H3572" s="1138"/>
      <c r="I3572" s="1138"/>
      <c r="J3572" s="1139"/>
      <c r="K3572" s="1111"/>
      <c r="L3572" s="1112"/>
      <c r="M3572" s="1113"/>
      <c r="N3572" s="110"/>
      <c r="O3572" s="1140"/>
      <c r="P3572" s="1115"/>
      <c r="Q3572" s="1116"/>
      <c r="R3572" s="1141"/>
      <c r="S3572" s="1113"/>
      <c r="T3572" s="1143"/>
      <c r="U3572" s="1108"/>
      <c r="V3572" s="1108"/>
      <c r="W3572" s="1108"/>
      <c r="X3572" s="1108"/>
      <c r="Y3572" s="1108"/>
      <c r="Z3572" s="1114"/>
      <c r="AA3572" s="1114"/>
      <c r="AB3572" s="1114"/>
      <c r="AC3572" s="1117"/>
      <c r="AD3572" s="1115"/>
      <c r="AE3572" s="1115"/>
      <c r="AF3572" s="1115"/>
      <c r="AG3572" s="1115"/>
      <c r="AH3572" s="1115"/>
      <c r="AI3572" s="1115"/>
      <c r="AJ3572" s="1117"/>
      <c r="AK3572" s="1118"/>
      <c r="AL3572" s="1115"/>
      <c r="AM3572" s="1115"/>
      <c r="AN3572" s="1115"/>
      <c r="AO3572" s="1115"/>
      <c r="AP3572" s="1115"/>
      <c r="AQ3572" s="1115"/>
      <c r="AR3572" s="1115"/>
      <c r="AS3572" s="1117"/>
      <c r="AT3572" s="1075"/>
      <c r="AU3572" s="1193"/>
      <c r="AV3572" s="330"/>
      <c r="AW3572" s="331"/>
      <c r="AX3572" s="331"/>
      <c r="AY3572" s="331"/>
      <c r="AZ3572" s="331"/>
      <c r="BA3572" s="331"/>
      <c r="BB3572" s="331"/>
      <c r="BC3572" s="331"/>
      <c r="BD3572" s="331"/>
      <c r="BE3572" s="333"/>
      <c r="BF3572" s="330"/>
      <c r="BG3572" s="333"/>
      <c r="BH3572" s="1119"/>
      <c r="BI3572" s="319"/>
      <c r="BJ3572" s="319"/>
      <c r="BK3572" s="319"/>
      <c r="BL3572" s="319"/>
      <c r="BM3572" s="319"/>
      <c r="BN3572" s="319"/>
      <c r="BO3572" s="319"/>
      <c r="BP3572" s="953"/>
      <c r="BQ3572" s="319"/>
      <c r="BR3572" s="319"/>
      <c r="BS3572" s="330"/>
      <c r="BT3572" s="331"/>
      <c r="BU3572" s="920"/>
      <c r="BV3572" s="903"/>
      <c r="BW3572" s="908"/>
      <c r="BX3572" s="908"/>
      <c r="BY3572" s="331"/>
      <c r="BZ3572" s="331"/>
      <c r="CA3572" s="462"/>
      <c r="CB3572" s="319"/>
      <c r="CC3572" s="319"/>
      <c r="CD3572" s="319"/>
      <c r="CE3572" s="319"/>
      <c r="CF3572" s="319"/>
      <c r="CG3572" s="319"/>
      <c r="CH3572" s="318"/>
      <c r="CI3572" s="319"/>
      <c r="CJ3572" s="319"/>
      <c r="CK3572" s="342"/>
      <c r="CL3572" s="333"/>
      <c r="CM3572" s="1079"/>
      <c r="CN3572" s="1005"/>
      <c r="CO3572" s="1005"/>
      <c r="CP3572" s="1005"/>
    </row>
    <row r="3573">
      <c r="A3573" s="1257"/>
      <c r="B3573" s="1113"/>
      <c r="C3573" s="1107"/>
      <c r="D3573" s="103"/>
      <c r="E3573" s="1137"/>
      <c r="F3573" s="112"/>
      <c r="G3573" s="1110"/>
      <c r="H3573" s="1138"/>
      <c r="I3573" s="1138"/>
      <c r="J3573" s="1139"/>
      <c r="K3573" s="1111"/>
      <c r="L3573" s="1112"/>
      <c r="M3573" s="1113"/>
      <c r="N3573" s="110"/>
      <c r="O3573" s="1140"/>
      <c r="P3573" s="1115"/>
      <c r="Q3573" s="1116"/>
      <c r="R3573" s="1141"/>
      <c r="S3573" s="1113"/>
      <c r="T3573" s="1143"/>
      <c r="U3573" s="1108"/>
      <c r="V3573" s="1108"/>
      <c r="W3573" s="1108"/>
      <c r="X3573" s="1108"/>
      <c r="Y3573" s="1108"/>
      <c r="Z3573" s="1114"/>
      <c r="AA3573" s="1114"/>
      <c r="AB3573" s="1114"/>
      <c r="AC3573" s="1117"/>
      <c r="AD3573" s="1115"/>
      <c r="AE3573" s="1115"/>
      <c r="AF3573" s="1115"/>
      <c r="AG3573" s="1115"/>
      <c r="AH3573" s="1115"/>
      <c r="AI3573" s="1115"/>
      <c r="AJ3573" s="1117"/>
      <c r="AK3573" s="1118"/>
      <c r="AL3573" s="1115"/>
      <c r="AM3573" s="1115"/>
      <c r="AN3573" s="1115"/>
      <c r="AO3573" s="1115"/>
      <c r="AP3573" s="1115"/>
      <c r="AQ3573" s="1115"/>
      <c r="AR3573" s="1115"/>
      <c r="AS3573" s="1117"/>
      <c r="AT3573" s="1075"/>
      <c r="AU3573" s="1193"/>
      <c r="AV3573" s="330"/>
      <c r="AW3573" s="331"/>
      <c r="AX3573" s="331"/>
      <c r="AY3573" s="331"/>
      <c r="AZ3573" s="331"/>
      <c r="BA3573" s="331"/>
      <c r="BB3573" s="331"/>
      <c r="BC3573" s="331"/>
      <c r="BD3573" s="331"/>
      <c r="BE3573" s="333"/>
      <c r="BF3573" s="330"/>
      <c r="BG3573" s="333"/>
      <c r="BH3573" s="1119"/>
      <c r="BI3573" s="319"/>
      <c r="BJ3573" s="319"/>
      <c r="BK3573" s="319"/>
      <c r="BL3573" s="319"/>
      <c r="BM3573" s="319"/>
      <c r="BN3573" s="319"/>
      <c r="BO3573" s="319"/>
      <c r="BP3573" s="953"/>
      <c r="BQ3573" s="319"/>
      <c r="BR3573" s="319"/>
      <c r="BS3573" s="330"/>
      <c r="BT3573" s="331"/>
      <c r="BU3573" s="920"/>
      <c r="BV3573" s="903"/>
      <c r="BW3573" s="908"/>
      <c r="BX3573" s="908"/>
      <c r="BY3573" s="331"/>
      <c r="BZ3573" s="331"/>
      <c r="CA3573" s="462"/>
      <c r="CB3573" s="319"/>
      <c r="CC3573" s="319"/>
      <c r="CD3573" s="319"/>
      <c r="CE3573" s="319"/>
      <c r="CF3573" s="319"/>
      <c r="CG3573" s="319"/>
      <c r="CH3573" s="318"/>
      <c r="CI3573" s="319"/>
      <c r="CJ3573" s="319"/>
      <c r="CK3573" s="342"/>
      <c r="CL3573" s="333"/>
      <c r="CM3573" s="1079"/>
      <c r="CN3573" s="1005"/>
      <c r="CO3573" s="1005"/>
      <c r="CP3573" s="1005"/>
    </row>
    <row r="3574">
      <c r="A3574" s="1257"/>
      <c r="B3574" s="1113"/>
      <c r="C3574" s="1107"/>
      <c r="D3574" s="103"/>
      <c r="E3574" s="1137"/>
      <c r="F3574" s="112"/>
      <c r="G3574" s="1110"/>
      <c r="H3574" s="1138"/>
      <c r="I3574" s="1138"/>
      <c r="J3574" s="1139"/>
      <c r="K3574" s="1111"/>
      <c r="L3574" s="1112"/>
      <c r="M3574" s="1113"/>
      <c r="N3574" s="110"/>
      <c r="O3574" s="1140"/>
      <c r="P3574" s="1115"/>
      <c r="Q3574" s="1116"/>
      <c r="R3574" s="1141"/>
      <c r="S3574" s="1113"/>
      <c r="T3574" s="1143"/>
      <c r="U3574" s="1108"/>
      <c r="V3574" s="1108"/>
      <c r="W3574" s="1108"/>
      <c r="X3574" s="1108"/>
      <c r="Y3574" s="1108"/>
      <c r="Z3574" s="1114"/>
      <c r="AA3574" s="1114"/>
      <c r="AB3574" s="1114"/>
      <c r="AC3574" s="1117"/>
      <c r="AD3574" s="1115"/>
      <c r="AE3574" s="1115"/>
      <c r="AF3574" s="1115"/>
      <c r="AG3574" s="1115"/>
      <c r="AH3574" s="1115"/>
      <c r="AI3574" s="1115"/>
      <c r="AJ3574" s="1117"/>
      <c r="AK3574" s="1118"/>
      <c r="AL3574" s="1115"/>
      <c r="AM3574" s="1115"/>
      <c r="AN3574" s="1115"/>
      <c r="AO3574" s="1115"/>
      <c r="AP3574" s="1115"/>
      <c r="AQ3574" s="1115"/>
      <c r="AR3574" s="1115"/>
      <c r="AS3574" s="1117"/>
      <c r="AT3574" s="1075"/>
      <c r="AU3574" s="1193"/>
      <c r="AV3574" s="330"/>
      <c r="AW3574" s="331"/>
      <c r="AX3574" s="331"/>
      <c r="AY3574" s="331"/>
      <c r="AZ3574" s="331"/>
      <c r="BA3574" s="331"/>
      <c r="BB3574" s="331"/>
      <c r="BC3574" s="331"/>
      <c r="BD3574" s="331"/>
      <c r="BE3574" s="333"/>
      <c r="BF3574" s="330"/>
      <c r="BG3574" s="333"/>
      <c r="BH3574" s="1119"/>
      <c r="BI3574" s="319"/>
      <c r="BJ3574" s="319"/>
      <c r="BK3574" s="319"/>
      <c r="BL3574" s="319"/>
      <c r="BM3574" s="319"/>
      <c r="BN3574" s="319"/>
      <c r="BO3574" s="319"/>
      <c r="BP3574" s="953"/>
      <c r="BQ3574" s="319"/>
      <c r="BR3574" s="319"/>
      <c r="BS3574" s="330"/>
      <c r="BT3574" s="331"/>
      <c r="BU3574" s="920"/>
      <c r="BV3574" s="903"/>
      <c r="BW3574" s="908"/>
      <c r="BX3574" s="908"/>
      <c r="BY3574" s="331"/>
      <c r="BZ3574" s="331"/>
      <c r="CA3574" s="462"/>
      <c r="CB3574" s="319"/>
      <c r="CC3574" s="319"/>
      <c r="CD3574" s="319"/>
      <c r="CE3574" s="319"/>
      <c r="CF3574" s="319"/>
      <c r="CG3574" s="319"/>
      <c r="CH3574" s="318"/>
      <c r="CI3574" s="319"/>
      <c r="CJ3574" s="319"/>
      <c r="CK3574" s="342"/>
      <c r="CL3574" s="333"/>
      <c r="CM3574" s="1079"/>
      <c r="CN3574" s="1005"/>
      <c r="CO3574" s="1005"/>
      <c r="CP3574" s="1005"/>
    </row>
    <row r="3575">
      <c r="A3575" s="1257"/>
      <c r="B3575" s="1113"/>
      <c r="C3575" s="1107"/>
      <c r="D3575" s="103"/>
      <c r="E3575" s="1137"/>
      <c r="F3575" s="112"/>
      <c r="G3575" s="1110"/>
      <c r="H3575" s="1138"/>
      <c r="I3575" s="1138"/>
      <c r="J3575" s="1139"/>
      <c r="K3575" s="1111"/>
      <c r="L3575" s="1112"/>
      <c r="M3575" s="1113"/>
      <c r="N3575" s="110"/>
      <c r="O3575" s="1140"/>
      <c r="P3575" s="1115"/>
      <c r="Q3575" s="1116"/>
      <c r="R3575" s="1141"/>
      <c r="S3575" s="1113"/>
      <c r="T3575" s="1143"/>
      <c r="U3575" s="1108"/>
      <c r="V3575" s="1108"/>
      <c r="W3575" s="1108"/>
      <c r="X3575" s="1108"/>
      <c r="Y3575" s="1108"/>
      <c r="Z3575" s="1114"/>
      <c r="AA3575" s="1114"/>
      <c r="AB3575" s="1114"/>
      <c r="AC3575" s="1117"/>
      <c r="AD3575" s="1115"/>
      <c r="AE3575" s="1115"/>
      <c r="AF3575" s="1115"/>
      <c r="AG3575" s="1115"/>
      <c r="AH3575" s="1115"/>
      <c r="AI3575" s="1115"/>
      <c r="AJ3575" s="1117"/>
      <c r="AK3575" s="1118"/>
      <c r="AL3575" s="1115"/>
      <c r="AM3575" s="1115"/>
      <c r="AN3575" s="1115"/>
      <c r="AO3575" s="1115"/>
      <c r="AP3575" s="1115"/>
      <c r="AQ3575" s="1115"/>
      <c r="AR3575" s="1115"/>
      <c r="AS3575" s="1117"/>
      <c r="AT3575" s="1075"/>
      <c r="AU3575" s="1193"/>
      <c r="AV3575" s="330"/>
      <c r="AW3575" s="331"/>
      <c r="AX3575" s="331"/>
      <c r="AY3575" s="331"/>
      <c r="AZ3575" s="331"/>
      <c r="BA3575" s="331"/>
      <c r="BB3575" s="331"/>
      <c r="BC3575" s="331"/>
      <c r="BD3575" s="331"/>
      <c r="BE3575" s="333"/>
      <c r="BF3575" s="330"/>
      <c r="BG3575" s="333"/>
      <c r="BH3575" s="1119"/>
      <c r="BI3575" s="319"/>
      <c r="BJ3575" s="319"/>
      <c r="BK3575" s="319"/>
      <c r="BL3575" s="319"/>
      <c r="BM3575" s="319"/>
      <c r="BN3575" s="319"/>
      <c r="BO3575" s="319"/>
      <c r="BP3575" s="953"/>
      <c r="BQ3575" s="319"/>
      <c r="BR3575" s="319"/>
      <c r="BS3575" s="330"/>
      <c r="BT3575" s="331"/>
      <c r="BU3575" s="920"/>
      <c r="BV3575" s="903"/>
      <c r="BW3575" s="908"/>
      <c r="BX3575" s="908"/>
      <c r="BY3575" s="331"/>
      <c r="BZ3575" s="331"/>
      <c r="CA3575" s="462"/>
      <c r="CB3575" s="319"/>
      <c r="CC3575" s="319"/>
      <c r="CD3575" s="319"/>
      <c r="CE3575" s="319"/>
      <c r="CF3575" s="319"/>
      <c r="CG3575" s="319"/>
      <c r="CH3575" s="318"/>
      <c r="CI3575" s="319"/>
      <c r="CJ3575" s="319"/>
      <c r="CK3575" s="342"/>
      <c r="CL3575" s="333"/>
      <c r="CM3575" s="1079"/>
      <c r="CN3575" s="1005"/>
      <c r="CO3575" s="1005"/>
      <c r="CP3575" s="1005"/>
    </row>
    <row r="3576">
      <c r="A3576" s="1257"/>
      <c r="B3576" s="1113"/>
      <c r="C3576" s="1107"/>
      <c r="D3576" s="103"/>
      <c r="E3576" s="1137"/>
      <c r="F3576" s="112"/>
      <c r="G3576" s="1110"/>
      <c r="H3576" s="1138"/>
      <c r="I3576" s="1138"/>
      <c r="J3576" s="1139"/>
      <c r="K3576" s="1111"/>
      <c r="L3576" s="1112"/>
      <c r="M3576" s="1113"/>
      <c r="N3576" s="110"/>
      <c r="O3576" s="1140"/>
      <c r="P3576" s="1115"/>
      <c r="Q3576" s="1116"/>
      <c r="R3576" s="1141"/>
      <c r="S3576" s="1113"/>
      <c r="T3576" s="1143"/>
      <c r="U3576" s="1108"/>
      <c r="V3576" s="1108"/>
      <c r="W3576" s="1108"/>
      <c r="X3576" s="1108"/>
      <c r="Y3576" s="1108"/>
      <c r="Z3576" s="1114"/>
      <c r="AA3576" s="1114"/>
      <c r="AB3576" s="1114"/>
      <c r="AC3576" s="1117"/>
      <c r="AD3576" s="1115"/>
      <c r="AE3576" s="1115"/>
      <c r="AF3576" s="1115"/>
      <c r="AG3576" s="1115"/>
      <c r="AH3576" s="1115"/>
      <c r="AI3576" s="1115"/>
      <c r="AJ3576" s="1117"/>
      <c r="AK3576" s="1118"/>
      <c r="AL3576" s="1115"/>
      <c r="AM3576" s="1115"/>
      <c r="AN3576" s="1115"/>
      <c r="AO3576" s="1115"/>
      <c r="AP3576" s="1115"/>
      <c r="AQ3576" s="1115"/>
      <c r="AR3576" s="1115"/>
      <c r="AS3576" s="1117"/>
      <c r="AT3576" s="1075"/>
      <c r="AU3576" s="1193"/>
      <c r="AV3576" s="330"/>
      <c r="AW3576" s="331"/>
      <c r="AX3576" s="331"/>
      <c r="AY3576" s="331"/>
      <c r="AZ3576" s="331"/>
      <c r="BA3576" s="331"/>
      <c r="BB3576" s="331"/>
      <c r="BC3576" s="331"/>
      <c r="BD3576" s="331"/>
      <c r="BE3576" s="333"/>
      <c r="BF3576" s="330"/>
      <c r="BG3576" s="333"/>
      <c r="BH3576" s="1119"/>
      <c r="BI3576" s="319"/>
      <c r="BJ3576" s="319"/>
      <c r="BK3576" s="319"/>
      <c r="BL3576" s="319"/>
      <c r="BM3576" s="319"/>
      <c r="BN3576" s="319"/>
      <c r="BO3576" s="319"/>
      <c r="BP3576" s="953"/>
      <c r="BQ3576" s="319"/>
      <c r="BR3576" s="319"/>
      <c r="BS3576" s="330"/>
      <c r="BT3576" s="331"/>
      <c r="BU3576" s="920"/>
      <c r="BV3576" s="903"/>
      <c r="BW3576" s="908"/>
      <c r="BX3576" s="908"/>
      <c r="BY3576" s="331"/>
      <c r="BZ3576" s="331"/>
      <c r="CA3576" s="462"/>
      <c r="CB3576" s="319"/>
      <c r="CC3576" s="319"/>
      <c r="CD3576" s="319"/>
      <c r="CE3576" s="319"/>
      <c r="CF3576" s="319"/>
      <c r="CG3576" s="319"/>
      <c r="CH3576" s="318"/>
      <c r="CI3576" s="319"/>
      <c r="CJ3576" s="319"/>
      <c r="CK3576" s="342"/>
      <c r="CL3576" s="333"/>
      <c r="CM3576" s="1079"/>
      <c r="CN3576" s="1005"/>
      <c r="CO3576" s="1005"/>
      <c r="CP3576" s="1005"/>
    </row>
    <row r="3577">
      <c r="A3577" s="1257"/>
      <c r="B3577" s="1113"/>
      <c r="C3577" s="1107"/>
      <c r="D3577" s="103"/>
      <c r="E3577" s="1137"/>
      <c r="F3577" s="112"/>
      <c r="G3577" s="1110"/>
      <c r="H3577" s="1138"/>
      <c r="I3577" s="1138"/>
      <c r="J3577" s="1139"/>
      <c r="K3577" s="1111"/>
      <c r="L3577" s="1112"/>
      <c r="M3577" s="1113"/>
      <c r="N3577" s="110"/>
      <c r="O3577" s="1140"/>
      <c r="P3577" s="1115"/>
      <c r="Q3577" s="1116"/>
      <c r="R3577" s="1141"/>
      <c r="S3577" s="1113"/>
      <c r="T3577" s="1143"/>
      <c r="U3577" s="1108"/>
      <c r="V3577" s="1108"/>
      <c r="W3577" s="1108"/>
      <c r="X3577" s="1108"/>
      <c r="Y3577" s="1108"/>
      <c r="Z3577" s="1114"/>
      <c r="AA3577" s="1114"/>
      <c r="AB3577" s="1114"/>
      <c r="AC3577" s="1117"/>
      <c r="AD3577" s="1115"/>
      <c r="AE3577" s="1115"/>
      <c r="AF3577" s="1115"/>
      <c r="AG3577" s="1115"/>
      <c r="AH3577" s="1115"/>
      <c r="AI3577" s="1115"/>
      <c r="AJ3577" s="1117"/>
      <c r="AK3577" s="1118"/>
      <c r="AL3577" s="1115"/>
      <c r="AM3577" s="1115"/>
      <c r="AN3577" s="1115"/>
      <c r="AO3577" s="1115"/>
      <c r="AP3577" s="1115"/>
      <c r="AQ3577" s="1115"/>
      <c r="AR3577" s="1115"/>
      <c r="AS3577" s="1117"/>
      <c r="AT3577" s="1075"/>
      <c r="AU3577" s="1193"/>
      <c r="AV3577" s="330"/>
      <c r="AW3577" s="331"/>
      <c r="AX3577" s="331"/>
      <c r="AY3577" s="331"/>
      <c r="AZ3577" s="331"/>
      <c r="BA3577" s="331"/>
      <c r="BB3577" s="331"/>
      <c r="BC3577" s="331"/>
      <c r="BD3577" s="331"/>
      <c r="BE3577" s="333"/>
      <c r="BF3577" s="330"/>
      <c r="BG3577" s="333"/>
      <c r="BH3577" s="1119"/>
      <c r="BI3577" s="319"/>
      <c r="BJ3577" s="319"/>
      <c r="BK3577" s="319"/>
      <c r="BL3577" s="319"/>
      <c r="BM3577" s="319"/>
      <c r="BN3577" s="319"/>
      <c r="BO3577" s="319"/>
      <c r="BP3577" s="953"/>
      <c r="BQ3577" s="319"/>
      <c r="BR3577" s="319"/>
      <c r="BS3577" s="330"/>
      <c r="BT3577" s="331"/>
      <c r="BU3577" s="920"/>
      <c r="BV3577" s="903"/>
      <c r="BW3577" s="908"/>
      <c r="BX3577" s="908"/>
      <c r="BY3577" s="331"/>
      <c r="BZ3577" s="331"/>
      <c r="CA3577" s="462"/>
      <c r="CB3577" s="319"/>
      <c r="CC3577" s="319"/>
      <c r="CD3577" s="319"/>
      <c r="CE3577" s="319"/>
      <c r="CF3577" s="319"/>
      <c r="CG3577" s="319"/>
      <c r="CH3577" s="318"/>
      <c r="CI3577" s="319"/>
      <c r="CJ3577" s="319"/>
      <c r="CK3577" s="342"/>
      <c r="CL3577" s="333"/>
      <c r="CM3577" s="1079"/>
      <c r="CN3577" s="1005"/>
      <c r="CO3577" s="1005"/>
      <c r="CP3577" s="1005"/>
    </row>
    <row r="3578">
      <c r="A3578" s="1257"/>
      <c r="B3578" s="1113"/>
      <c r="C3578" s="1107"/>
      <c r="D3578" s="103"/>
      <c r="E3578" s="1137"/>
      <c r="F3578" s="112"/>
      <c r="G3578" s="1110"/>
      <c r="H3578" s="1138"/>
      <c r="I3578" s="1138"/>
      <c r="J3578" s="1139"/>
      <c r="K3578" s="1111"/>
      <c r="L3578" s="1112"/>
      <c r="M3578" s="1113"/>
      <c r="N3578" s="110"/>
      <c r="O3578" s="1140"/>
      <c r="P3578" s="1115"/>
      <c r="Q3578" s="1116"/>
      <c r="R3578" s="1141"/>
      <c r="S3578" s="1113"/>
      <c r="T3578" s="1143"/>
      <c r="U3578" s="1108"/>
      <c r="V3578" s="1108"/>
      <c r="W3578" s="1108"/>
      <c r="X3578" s="1108"/>
      <c r="Y3578" s="1108"/>
      <c r="Z3578" s="1114"/>
      <c r="AA3578" s="1114"/>
      <c r="AB3578" s="1114"/>
      <c r="AC3578" s="1117"/>
      <c r="AD3578" s="1115"/>
      <c r="AE3578" s="1115"/>
      <c r="AF3578" s="1115"/>
      <c r="AG3578" s="1115"/>
      <c r="AH3578" s="1115"/>
      <c r="AI3578" s="1115"/>
      <c r="AJ3578" s="1117"/>
      <c r="AK3578" s="1118"/>
      <c r="AL3578" s="1115"/>
      <c r="AM3578" s="1115"/>
      <c r="AN3578" s="1115"/>
      <c r="AO3578" s="1115"/>
      <c r="AP3578" s="1115"/>
      <c r="AQ3578" s="1115"/>
      <c r="AR3578" s="1115"/>
      <c r="AS3578" s="1117"/>
      <c r="AT3578" s="1075"/>
      <c r="AU3578" s="1193"/>
      <c r="AV3578" s="330"/>
      <c r="AW3578" s="331"/>
      <c r="AX3578" s="331"/>
      <c r="AY3578" s="331"/>
      <c r="AZ3578" s="331"/>
      <c r="BA3578" s="331"/>
      <c r="BB3578" s="331"/>
      <c r="BC3578" s="331"/>
      <c r="BD3578" s="331"/>
      <c r="BE3578" s="333"/>
      <c r="BF3578" s="330"/>
      <c r="BG3578" s="333"/>
      <c r="BH3578" s="1119"/>
      <c r="BI3578" s="319"/>
      <c r="BJ3578" s="319"/>
      <c r="BK3578" s="319"/>
      <c r="BL3578" s="319"/>
      <c r="BM3578" s="319"/>
      <c r="BN3578" s="319"/>
      <c r="BO3578" s="319"/>
      <c r="BP3578" s="953"/>
      <c r="BQ3578" s="319"/>
      <c r="BR3578" s="319"/>
      <c r="BS3578" s="330"/>
      <c r="BT3578" s="331"/>
      <c r="BU3578" s="920"/>
      <c r="BV3578" s="903"/>
      <c r="BW3578" s="908"/>
      <c r="BX3578" s="908"/>
      <c r="BY3578" s="331"/>
      <c r="BZ3578" s="331"/>
      <c r="CA3578" s="462"/>
      <c r="CB3578" s="319"/>
      <c r="CC3578" s="319"/>
      <c r="CD3578" s="319"/>
      <c r="CE3578" s="319"/>
      <c r="CF3578" s="319"/>
      <c r="CG3578" s="319"/>
      <c r="CH3578" s="318"/>
      <c r="CI3578" s="319"/>
      <c r="CJ3578" s="319"/>
      <c r="CK3578" s="342"/>
      <c r="CL3578" s="333"/>
      <c r="CM3578" s="1079"/>
      <c r="CN3578" s="1005"/>
      <c r="CO3578" s="1005"/>
      <c r="CP3578" s="1005"/>
    </row>
    <row r="3579">
      <c r="A3579" s="1257"/>
      <c r="B3579" s="1113"/>
      <c r="C3579" s="1107"/>
      <c r="D3579" s="103"/>
      <c r="E3579" s="1137"/>
      <c r="F3579" s="112"/>
      <c r="G3579" s="1110"/>
      <c r="H3579" s="1138"/>
      <c r="I3579" s="1138"/>
      <c r="J3579" s="1139"/>
      <c r="K3579" s="1111"/>
      <c r="L3579" s="1112"/>
      <c r="M3579" s="1113"/>
      <c r="N3579" s="110"/>
      <c r="O3579" s="1140"/>
      <c r="P3579" s="1115"/>
      <c r="Q3579" s="1116"/>
      <c r="R3579" s="1141"/>
      <c r="S3579" s="1113"/>
      <c r="T3579" s="1143"/>
      <c r="U3579" s="1108"/>
      <c r="V3579" s="1108"/>
      <c r="W3579" s="1108"/>
      <c r="X3579" s="1108"/>
      <c r="Y3579" s="1108"/>
      <c r="Z3579" s="1114"/>
      <c r="AA3579" s="1114"/>
      <c r="AB3579" s="1114"/>
      <c r="AC3579" s="1117"/>
      <c r="AD3579" s="1115"/>
      <c r="AE3579" s="1115"/>
      <c r="AF3579" s="1115"/>
      <c r="AG3579" s="1115"/>
      <c r="AH3579" s="1115"/>
      <c r="AI3579" s="1115"/>
      <c r="AJ3579" s="1117"/>
      <c r="AK3579" s="1118"/>
      <c r="AL3579" s="1115"/>
      <c r="AM3579" s="1115"/>
      <c r="AN3579" s="1115"/>
      <c r="AO3579" s="1115"/>
      <c r="AP3579" s="1115"/>
      <c r="AQ3579" s="1115"/>
      <c r="AR3579" s="1115"/>
      <c r="AS3579" s="1117"/>
      <c r="AT3579" s="1075"/>
      <c r="AU3579" s="1193"/>
      <c r="AV3579" s="330"/>
      <c r="AW3579" s="331"/>
      <c r="AX3579" s="331"/>
      <c r="AY3579" s="331"/>
      <c r="AZ3579" s="331"/>
      <c r="BA3579" s="331"/>
      <c r="BB3579" s="331"/>
      <c r="BC3579" s="331"/>
      <c r="BD3579" s="331"/>
      <c r="BE3579" s="333"/>
      <c r="BF3579" s="330"/>
      <c r="BG3579" s="333"/>
      <c r="BH3579" s="1119"/>
      <c r="BI3579" s="319"/>
      <c r="BJ3579" s="319"/>
      <c r="BK3579" s="319"/>
      <c r="BL3579" s="319"/>
      <c r="BM3579" s="319"/>
      <c r="BN3579" s="319"/>
      <c r="BO3579" s="319"/>
      <c r="BP3579" s="953"/>
      <c r="BQ3579" s="319"/>
      <c r="BR3579" s="319"/>
      <c r="BS3579" s="330"/>
      <c r="BT3579" s="331"/>
      <c r="BU3579" s="920"/>
      <c r="BV3579" s="903"/>
      <c r="BW3579" s="908"/>
      <c r="BX3579" s="908"/>
      <c r="BY3579" s="331"/>
      <c r="BZ3579" s="331"/>
      <c r="CA3579" s="462"/>
      <c r="CB3579" s="319"/>
      <c r="CC3579" s="319"/>
      <c r="CD3579" s="319"/>
      <c r="CE3579" s="319"/>
      <c r="CF3579" s="319"/>
      <c r="CG3579" s="319"/>
      <c r="CH3579" s="318"/>
      <c r="CI3579" s="319"/>
      <c r="CJ3579" s="319"/>
      <c r="CK3579" s="342"/>
      <c r="CL3579" s="333"/>
      <c r="CM3579" s="1079"/>
      <c r="CN3579" s="1005"/>
      <c r="CO3579" s="1005"/>
      <c r="CP3579" s="1005"/>
    </row>
    <row r="3580">
      <c r="A3580" s="1257"/>
      <c r="B3580" s="1113"/>
      <c r="C3580" s="1107"/>
      <c r="D3580" s="103"/>
      <c r="E3580" s="1137"/>
      <c r="F3580" s="112"/>
      <c r="G3580" s="1110"/>
      <c r="H3580" s="1138"/>
      <c r="I3580" s="1138"/>
      <c r="J3580" s="1139"/>
      <c r="K3580" s="1111"/>
      <c r="L3580" s="1112"/>
      <c r="M3580" s="1113"/>
      <c r="N3580" s="110"/>
      <c r="O3580" s="1140"/>
      <c r="P3580" s="1115"/>
      <c r="Q3580" s="1116"/>
      <c r="R3580" s="1141"/>
      <c r="S3580" s="1113"/>
      <c r="T3580" s="1143"/>
      <c r="U3580" s="1108"/>
      <c r="V3580" s="1108"/>
      <c r="W3580" s="1108"/>
      <c r="X3580" s="1108"/>
      <c r="Y3580" s="1108"/>
      <c r="Z3580" s="1114"/>
      <c r="AA3580" s="1114"/>
      <c r="AB3580" s="1114"/>
      <c r="AC3580" s="1117"/>
      <c r="AD3580" s="1115"/>
      <c r="AE3580" s="1115"/>
      <c r="AF3580" s="1115"/>
      <c r="AG3580" s="1115"/>
      <c r="AH3580" s="1115"/>
      <c r="AI3580" s="1115"/>
      <c r="AJ3580" s="1117"/>
      <c r="AK3580" s="1118"/>
      <c r="AL3580" s="1115"/>
      <c r="AM3580" s="1115"/>
      <c r="AN3580" s="1115"/>
      <c r="AO3580" s="1115"/>
      <c r="AP3580" s="1115"/>
      <c r="AQ3580" s="1115"/>
      <c r="AR3580" s="1115"/>
      <c r="AS3580" s="1117"/>
      <c r="AT3580" s="1075"/>
      <c r="AU3580" s="1193"/>
      <c r="AV3580" s="330"/>
      <c r="AW3580" s="331"/>
      <c r="AX3580" s="331"/>
      <c r="AY3580" s="331"/>
      <c r="AZ3580" s="331"/>
      <c r="BA3580" s="331"/>
      <c r="BB3580" s="331"/>
      <c r="BC3580" s="331"/>
      <c r="BD3580" s="331"/>
      <c r="BE3580" s="333"/>
      <c r="BF3580" s="330"/>
      <c r="BG3580" s="333"/>
      <c r="BH3580" s="1119"/>
      <c r="BI3580" s="319"/>
      <c r="BJ3580" s="319"/>
      <c r="BK3580" s="319"/>
      <c r="BL3580" s="319"/>
      <c r="BM3580" s="319"/>
      <c r="BN3580" s="319"/>
      <c r="BO3580" s="319"/>
      <c r="BP3580" s="953"/>
      <c r="BQ3580" s="319"/>
      <c r="BR3580" s="319"/>
      <c r="BS3580" s="330"/>
      <c r="BT3580" s="331"/>
      <c r="BU3580" s="920"/>
      <c r="BV3580" s="903"/>
      <c r="BW3580" s="908"/>
      <c r="BX3580" s="908"/>
      <c r="BY3580" s="331"/>
      <c r="BZ3580" s="331"/>
      <c r="CA3580" s="462"/>
      <c r="CB3580" s="319"/>
      <c r="CC3580" s="319"/>
      <c r="CD3580" s="319"/>
      <c r="CE3580" s="319"/>
      <c r="CF3580" s="319"/>
      <c r="CG3580" s="319"/>
      <c r="CH3580" s="318"/>
      <c r="CI3580" s="319"/>
      <c r="CJ3580" s="319"/>
      <c r="CK3580" s="342"/>
      <c r="CL3580" s="333"/>
      <c r="CM3580" s="1079"/>
      <c r="CN3580" s="1005"/>
      <c r="CO3580" s="1005"/>
      <c r="CP3580" s="1005"/>
    </row>
    <row r="3581">
      <c r="A3581" s="1257"/>
      <c r="B3581" s="1113"/>
      <c r="C3581" s="1107"/>
      <c r="D3581" s="103"/>
      <c r="E3581" s="1137"/>
      <c r="F3581" s="112"/>
      <c r="G3581" s="1110"/>
      <c r="H3581" s="1138"/>
      <c r="I3581" s="1138"/>
      <c r="J3581" s="1139"/>
      <c r="K3581" s="1111"/>
      <c r="L3581" s="1112"/>
      <c r="M3581" s="1113"/>
      <c r="N3581" s="110"/>
      <c r="O3581" s="1140"/>
      <c r="P3581" s="1115"/>
      <c r="Q3581" s="1116"/>
      <c r="R3581" s="1141"/>
      <c r="S3581" s="1113"/>
      <c r="T3581" s="1143"/>
      <c r="U3581" s="1108"/>
      <c r="V3581" s="1108"/>
      <c r="W3581" s="1108"/>
      <c r="X3581" s="1108"/>
      <c r="Y3581" s="1108"/>
      <c r="Z3581" s="1114"/>
      <c r="AA3581" s="1114"/>
      <c r="AB3581" s="1114"/>
      <c r="AC3581" s="1117"/>
      <c r="AD3581" s="1115"/>
      <c r="AE3581" s="1115"/>
      <c r="AF3581" s="1115"/>
      <c r="AG3581" s="1115"/>
      <c r="AH3581" s="1115"/>
      <c r="AI3581" s="1115"/>
      <c r="AJ3581" s="1117"/>
      <c r="AK3581" s="1118"/>
      <c r="AL3581" s="1115"/>
      <c r="AM3581" s="1115"/>
      <c r="AN3581" s="1115"/>
      <c r="AO3581" s="1115"/>
      <c r="AP3581" s="1115"/>
      <c r="AQ3581" s="1115"/>
      <c r="AR3581" s="1115"/>
      <c r="AS3581" s="1117"/>
      <c r="AT3581" s="1075"/>
      <c r="AU3581" s="1193"/>
      <c r="AV3581" s="330"/>
      <c r="AW3581" s="331"/>
      <c r="AX3581" s="331"/>
      <c r="AY3581" s="331"/>
      <c r="AZ3581" s="331"/>
      <c r="BA3581" s="331"/>
      <c r="BB3581" s="331"/>
      <c r="BC3581" s="331"/>
      <c r="BD3581" s="331"/>
      <c r="BE3581" s="333"/>
      <c r="BF3581" s="330"/>
      <c r="BG3581" s="333"/>
      <c r="BH3581" s="1119"/>
      <c r="BI3581" s="319"/>
      <c r="BJ3581" s="319"/>
      <c r="BK3581" s="319"/>
      <c r="BL3581" s="319"/>
      <c r="BM3581" s="319"/>
      <c r="BN3581" s="319"/>
      <c r="BO3581" s="319"/>
      <c r="BP3581" s="953"/>
      <c r="BQ3581" s="319"/>
      <c r="BR3581" s="319"/>
      <c r="BS3581" s="330"/>
      <c r="BT3581" s="331"/>
      <c r="BU3581" s="920"/>
      <c r="BV3581" s="903"/>
      <c r="BW3581" s="908"/>
      <c r="BX3581" s="908"/>
      <c r="BY3581" s="331"/>
      <c r="BZ3581" s="331"/>
      <c r="CA3581" s="462"/>
      <c r="CB3581" s="319"/>
      <c r="CC3581" s="319"/>
      <c r="CD3581" s="319"/>
      <c r="CE3581" s="319"/>
      <c r="CF3581" s="319"/>
      <c r="CG3581" s="319"/>
      <c r="CH3581" s="318"/>
      <c r="CI3581" s="319"/>
      <c r="CJ3581" s="319"/>
      <c r="CK3581" s="342"/>
      <c r="CL3581" s="333"/>
      <c r="CM3581" s="1079"/>
      <c r="CN3581" s="1005"/>
      <c r="CO3581" s="1005"/>
      <c r="CP3581" s="1005"/>
    </row>
    <row r="3582">
      <c r="A3582" s="1257"/>
      <c r="B3582" s="1113"/>
      <c r="C3582" s="1107"/>
      <c r="D3582" s="103"/>
      <c r="E3582" s="1137"/>
      <c r="F3582" s="112"/>
      <c r="G3582" s="1110"/>
      <c r="H3582" s="1138"/>
      <c r="I3582" s="1138"/>
      <c r="J3582" s="1139"/>
      <c r="K3582" s="1111"/>
      <c r="L3582" s="1112"/>
      <c r="M3582" s="1113"/>
      <c r="N3582" s="110"/>
      <c r="O3582" s="1140"/>
      <c r="P3582" s="1115"/>
      <c r="Q3582" s="1116"/>
      <c r="R3582" s="1141"/>
      <c r="S3582" s="1113"/>
      <c r="T3582" s="1143"/>
      <c r="U3582" s="1108"/>
      <c r="V3582" s="1108"/>
      <c r="W3582" s="1108"/>
      <c r="X3582" s="1108"/>
      <c r="Y3582" s="1108"/>
      <c r="Z3582" s="1114"/>
      <c r="AA3582" s="1114"/>
      <c r="AB3582" s="1114"/>
      <c r="AC3582" s="1117"/>
      <c r="AD3582" s="1115"/>
      <c r="AE3582" s="1115"/>
      <c r="AF3582" s="1115"/>
      <c r="AG3582" s="1115"/>
      <c r="AH3582" s="1115"/>
      <c r="AI3582" s="1115"/>
      <c r="AJ3582" s="1117"/>
      <c r="AK3582" s="1118"/>
      <c r="AL3582" s="1115"/>
      <c r="AM3582" s="1115"/>
      <c r="AN3582" s="1115"/>
      <c r="AO3582" s="1115"/>
      <c r="AP3582" s="1115"/>
      <c r="AQ3582" s="1115"/>
      <c r="AR3582" s="1115"/>
      <c r="AS3582" s="1117"/>
      <c r="AT3582" s="1075"/>
      <c r="AU3582" s="1193"/>
      <c r="AV3582" s="330"/>
      <c r="AW3582" s="331"/>
      <c r="AX3582" s="331"/>
      <c r="AY3582" s="331"/>
      <c r="AZ3582" s="331"/>
      <c r="BA3582" s="331"/>
      <c r="BB3582" s="331"/>
      <c r="BC3582" s="331"/>
      <c r="BD3582" s="331"/>
      <c r="BE3582" s="333"/>
      <c r="BF3582" s="330"/>
      <c r="BG3582" s="333"/>
      <c r="BH3582" s="1119"/>
      <c r="BI3582" s="319"/>
      <c r="BJ3582" s="319"/>
      <c r="BK3582" s="319"/>
      <c r="BL3582" s="319"/>
      <c r="BM3582" s="319"/>
      <c r="BN3582" s="319"/>
      <c r="BO3582" s="319"/>
      <c r="BP3582" s="953"/>
      <c r="BQ3582" s="319"/>
      <c r="BR3582" s="319"/>
      <c r="BS3582" s="330"/>
      <c r="BT3582" s="331"/>
      <c r="BU3582" s="920"/>
      <c r="BV3582" s="903"/>
      <c r="BW3582" s="908"/>
      <c r="BX3582" s="908"/>
      <c r="BY3582" s="331"/>
      <c r="BZ3582" s="331"/>
      <c r="CA3582" s="462"/>
      <c r="CB3582" s="319"/>
      <c r="CC3582" s="319"/>
      <c r="CD3582" s="319"/>
      <c r="CE3582" s="319"/>
      <c r="CF3582" s="319"/>
      <c r="CG3582" s="319"/>
      <c r="CH3582" s="318"/>
      <c r="CI3582" s="319"/>
      <c r="CJ3582" s="319"/>
      <c r="CK3582" s="342"/>
      <c r="CL3582" s="333"/>
      <c r="CM3582" s="1079"/>
      <c r="CN3582" s="1005"/>
      <c r="CO3582" s="1005"/>
      <c r="CP3582" s="1005"/>
    </row>
    <row r="3583">
      <c r="A3583" s="1257"/>
      <c r="B3583" s="1113"/>
      <c r="C3583" s="1107"/>
      <c r="D3583" s="103"/>
      <c r="E3583" s="1137"/>
      <c r="F3583" s="112"/>
      <c r="G3583" s="1110"/>
      <c r="H3583" s="1138"/>
      <c r="I3583" s="1138"/>
      <c r="J3583" s="1139"/>
      <c r="K3583" s="1111"/>
      <c r="L3583" s="1112"/>
      <c r="M3583" s="1113"/>
      <c r="N3583" s="110"/>
      <c r="O3583" s="1140"/>
      <c r="P3583" s="1115"/>
      <c r="Q3583" s="1116"/>
      <c r="R3583" s="1141"/>
      <c r="S3583" s="1113"/>
      <c r="T3583" s="1143"/>
      <c r="U3583" s="1108"/>
      <c r="V3583" s="1108"/>
      <c r="W3583" s="1108"/>
      <c r="X3583" s="1108"/>
      <c r="Y3583" s="1108"/>
      <c r="Z3583" s="1114"/>
      <c r="AA3583" s="1114"/>
      <c r="AB3583" s="1114"/>
      <c r="AC3583" s="1117"/>
      <c r="AD3583" s="1115"/>
      <c r="AE3583" s="1115"/>
      <c r="AF3583" s="1115"/>
      <c r="AG3583" s="1115"/>
      <c r="AH3583" s="1115"/>
      <c r="AI3583" s="1115"/>
      <c r="AJ3583" s="1117"/>
      <c r="AK3583" s="1118"/>
      <c r="AL3583" s="1115"/>
      <c r="AM3583" s="1115"/>
      <c r="AN3583" s="1115"/>
      <c r="AO3583" s="1115"/>
      <c r="AP3583" s="1115"/>
      <c r="AQ3583" s="1115"/>
      <c r="AR3583" s="1115"/>
      <c r="AS3583" s="1117"/>
      <c r="AT3583" s="1075"/>
      <c r="AU3583" s="1193"/>
      <c r="AV3583" s="330"/>
      <c r="AW3583" s="331"/>
      <c r="AX3583" s="331"/>
      <c r="AY3583" s="331"/>
      <c r="AZ3583" s="331"/>
      <c r="BA3583" s="331"/>
      <c r="BB3583" s="331"/>
      <c r="BC3583" s="331"/>
      <c r="BD3583" s="331"/>
      <c r="BE3583" s="333"/>
      <c r="BF3583" s="330"/>
      <c r="BG3583" s="333"/>
      <c r="BH3583" s="1119"/>
      <c r="BI3583" s="319"/>
      <c r="BJ3583" s="319"/>
      <c r="BK3583" s="319"/>
      <c r="BL3583" s="319"/>
      <c r="BM3583" s="319"/>
      <c r="BN3583" s="319"/>
      <c r="BO3583" s="319"/>
      <c r="BP3583" s="953"/>
      <c r="BQ3583" s="319"/>
      <c r="BR3583" s="319"/>
      <c r="BS3583" s="330"/>
      <c r="BT3583" s="331"/>
      <c r="BU3583" s="920"/>
      <c r="BV3583" s="903"/>
      <c r="BW3583" s="908"/>
      <c r="BX3583" s="908"/>
      <c r="BY3583" s="331"/>
      <c r="BZ3583" s="331"/>
      <c r="CA3583" s="462"/>
      <c r="CB3583" s="319"/>
      <c r="CC3583" s="319"/>
      <c r="CD3583" s="319"/>
      <c r="CE3583" s="319"/>
      <c r="CF3583" s="319"/>
      <c r="CG3583" s="319"/>
      <c r="CH3583" s="318"/>
      <c r="CI3583" s="319"/>
      <c r="CJ3583" s="319"/>
      <c r="CK3583" s="342"/>
      <c r="CL3583" s="333"/>
      <c r="CM3583" s="1079"/>
      <c r="CN3583" s="1005"/>
      <c r="CO3583" s="1005"/>
      <c r="CP3583" s="1005"/>
    </row>
    <row r="3584">
      <c r="A3584" s="1257"/>
      <c r="B3584" s="1113"/>
      <c r="C3584" s="1107"/>
      <c r="D3584" s="103"/>
      <c r="E3584" s="1137"/>
      <c r="F3584" s="112"/>
      <c r="G3584" s="1110"/>
      <c r="H3584" s="1138"/>
      <c r="I3584" s="1138"/>
      <c r="J3584" s="1139"/>
      <c r="K3584" s="1111"/>
      <c r="L3584" s="1112"/>
      <c r="M3584" s="1113"/>
      <c r="N3584" s="110"/>
      <c r="O3584" s="1140"/>
      <c r="P3584" s="1115"/>
      <c r="Q3584" s="1116"/>
      <c r="R3584" s="1141"/>
      <c r="S3584" s="1113"/>
      <c r="T3584" s="1143"/>
      <c r="U3584" s="1108"/>
      <c r="V3584" s="1108"/>
      <c r="W3584" s="1108"/>
      <c r="X3584" s="1108"/>
      <c r="Y3584" s="1108"/>
      <c r="Z3584" s="1114"/>
      <c r="AA3584" s="1114"/>
      <c r="AB3584" s="1114"/>
      <c r="AC3584" s="1117"/>
      <c r="AD3584" s="1115"/>
      <c r="AE3584" s="1115"/>
      <c r="AF3584" s="1115"/>
      <c r="AG3584" s="1115"/>
      <c r="AH3584" s="1115"/>
      <c r="AI3584" s="1115"/>
      <c r="AJ3584" s="1117"/>
      <c r="AK3584" s="1118"/>
      <c r="AL3584" s="1115"/>
      <c r="AM3584" s="1115"/>
      <c r="AN3584" s="1115"/>
      <c r="AO3584" s="1115"/>
      <c r="AP3584" s="1115"/>
      <c r="AQ3584" s="1115"/>
      <c r="AR3584" s="1115"/>
      <c r="AS3584" s="1117"/>
      <c r="AT3584" s="1075"/>
      <c r="AU3584" s="1193"/>
      <c r="AV3584" s="330"/>
      <c r="AW3584" s="331"/>
      <c r="AX3584" s="331"/>
      <c r="AY3584" s="331"/>
      <c r="AZ3584" s="331"/>
      <c r="BA3584" s="331"/>
      <c r="BB3584" s="331"/>
      <c r="BC3584" s="331"/>
      <c r="BD3584" s="331"/>
      <c r="BE3584" s="333"/>
      <c r="BF3584" s="330"/>
      <c r="BG3584" s="333"/>
      <c r="BH3584" s="1119"/>
      <c r="BI3584" s="319"/>
      <c r="BJ3584" s="319"/>
      <c r="BK3584" s="319"/>
      <c r="BL3584" s="319"/>
      <c r="BM3584" s="319"/>
      <c r="BN3584" s="319"/>
      <c r="BO3584" s="319"/>
      <c r="BP3584" s="953"/>
      <c r="BQ3584" s="319"/>
      <c r="BR3584" s="319"/>
      <c r="BS3584" s="330"/>
      <c r="BT3584" s="331"/>
      <c r="BU3584" s="920"/>
      <c r="BV3584" s="903"/>
      <c r="BW3584" s="908"/>
      <c r="BX3584" s="908"/>
      <c r="BY3584" s="331"/>
      <c r="BZ3584" s="331"/>
      <c r="CA3584" s="462"/>
      <c r="CB3584" s="319"/>
      <c r="CC3584" s="319"/>
      <c r="CD3584" s="319"/>
      <c r="CE3584" s="319"/>
      <c r="CF3584" s="319"/>
      <c r="CG3584" s="319"/>
      <c r="CH3584" s="318"/>
      <c r="CI3584" s="319"/>
      <c r="CJ3584" s="319"/>
      <c r="CK3584" s="342"/>
      <c r="CL3584" s="333"/>
      <c r="CM3584" s="1079"/>
      <c r="CN3584" s="1005"/>
      <c r="CO3584" s="1005"/>
      <c r="CP3584" s="1005"/>
    </row>
    <row r="3585">
      <c r="A3585" s="1257"/>
      <c r="B3585" s="1113"/>
      <c r="C3585" s="1107"/>
      <c r="D3585" s="103"/>
      <c r="E3585" s="1137"/>
      <c r="F3585" s="112"/>
      <c r="G3585" s="1110"/>
      <c r="H3585" s="1138"/>
      <c r="I3585" s="1138"/>
      <c r="J3585" s="1139"/>
      <c r="K3585" s="1111"/>
      <c r="L3585" s="1112"/>
      <c r="M3585" s="1113"/>
      <c r="N3585" s="110"/>
      <c r="O3585" s="1140"/>
      <c r="P3585" s="1115"/>
      <c r="Q3585" s="1116"/>
      <c r="R3585" s="1141"/>
      <c r="S3585" s="1113"/>
      <c r="T3585" s="1143"/>
      <c r="U3585" s="1108"/>
      <c r="V3585" s="1108"/>
      <c r="W3585" s="1108"/>
      <c r="X3585" s="1108"/>
      <c r="Y3585" s="1108"/>
      <c r="Z3585" s="1114"/>
      <c r="AA3585" s="1114"/>
      <c r="AB3585" s="1114"/>
      <c r="AC3585" s="1117"/>
      <c r="AD3585" s="1115"/>
      <c r="AE3585" s="1115"/>
      <c r="AF3585" s="1115"/>
      <c r="AG3585" s="1115"/>
      <c r="AH3585" s="1115"/>
      <c r="AI3585" s="1115"/>
      <c r="AJ3585" s="1117"/>
      <c r="AK3585" s="1118"/>
      <c r="AL3585" s="1115"/>
      <c r="AM3585" s="1115"/>
      <c r="AN3585" s="1115"/>
      <c r="AO3585" s="1115"/>
      <c r="AP3585" s="1115"/>
      <c r="AQ3585" s="1115"/>
      <c r="AR3585" s="1115"/>
      <c r="AS3585" s="1117"/>
      <c r="AT3585" s="1075"/>
      <c r="AU3585" s="1193"/>
      <c r="AV3585" s="330"/>
      <c r="AW3585" s="331"/>
      <c r="AX3585" s="331"/>
      <c r="AY3585" s="331"/>
      <c r="AZ3585" s="331"/>
      <c r="BA3585" s="331"/>
      <c r="BB3585" s="331"/>
      <c r="BC3585" s="331"/>
      <c r="BD3585" s="331"/>
      <c r="BE3585" s="333"/>
      <c r="BF3585" s="330"/>
      <c r="BG3585" s="333"/>
      <c r="BH3585" s="1119"/>
      <c r="BI3585" s="319"/>
      <c r="BJ3585" s="319"/>
      <c r="BK3585" s="319"/>
      <c r="BL3585" s="319"/>
      <c r="BM3585" s="319"/>
      <c r="BN3585" s="319"/>
      <c r="BO3585" s="319"/>
      <c r="BP3585" s="953"/>
      <c r="BQ3585" s="319"/>
      <c r="BR3585" s="319"/>
      <c r="BS3585" s="330"/>
      <c r="BT3585" s="331"/>
      <c r="BU3585" s="920"/>
      <c r="BV3585" s="903"/>
      <c r="BW3585" s="908"/>
      <c r="BX3585" s="908"/>
      <c r="BY3585" s="331"/>
      <c r="BZ3585" s="331"/>
      <c r="CA3585" s="462"/>
      <c r="CB3585" s="319"/>
      <c r="CC3585" s="319"/>
      <c r="CD3585" s="319"/>
      <c r="CE3585" s="319"/>
      <c r="CF3585" s="319"/>
      <c r="CG3585" s="319"/>
      <c r="CH3585" s="318"/>
      <c r="CI3585" s="319"/>
      <c r="CJ3585" s="319"/>
      <c r="CK3585" s="342"/>
      <c r="CL3585" s="333"/>
      <c r="CM3585" s="1079"/>
      <c r="CN3585" s="1005"/>
      <c r="CO3585" s="1005"/>
      <c r="CP3585" s="1005"/>
    </row>
    <row r="3586">
      <c r="A3586" s="1257"/>
      <c r="B3586" s="1113"/>
      <c r="C3586" s="1107"/>
      <c r="D3586" s="103"/>
      <c r="E3586" s="1137"/>
      <c r="F3586" s="112"/>
      <c r="G3586" s="1110"/>
      <c r="H3586" s="1138"/>
      <c r="I3586" s="1138"/>
      <c r="J3586" s="1139"/>
      <c r="K3586" s="1111"/>
      <c r="L3586" s="1112"/>
      <c r="M3586" s="1113"/>
      <c r="N3586" s="110"/>
      <c r="O3586" s="1140"/>
      <c r="P3586" s="1115"/>
      <c r="Q3586" s="1116"/>
      <c r="R3586" s="1141"/>
      <c r="S3586" s="1113"/>
      <c r="T3586" s="1143"/>
      <c r="U3586" s="1108"/>
      <c r="V3586" s="1108"/>
      <c r="W3586" s="1108"/>
      <c r="X3586" s="1108"/>
      <c r="Y3586" s="1108"/>
      <c r="Z3586" s="1114"/>
      <c r="AA3586" s="1114"/>
      <c r="AB3586" s="1114"/>
      <c r="AC3586" s="1117"/>
      <c r="AD3586" s="1115"/>
      <c r="AE3586" s="1115"/>
      <c r="AF3586" s="1115"/>
      <c r="AG3586" s="1115"/>
      <c r="AH3586" s="1115"/>
      <c r="AI3586" s="1115"/>
      <c r="AJ3586" s="1117"/>
      <c r="AK3586" s="1118"/>
      <c r="AL3586" s="1115"/>
      <c r="AM3586" s="1115"/>
      <c r="AN3586" s="1115"/>
      <c r="AO3586" s="1115"/>
      <c r="AP3586" s="1115"/>
      <c r="AQ3586" s="1115"/>
      <c r="AR3586" s="1115"/>
      <c r="AS3586" s="1117"/>
      <c r="AT3586" s="1075"/>
      <c r="AU3586" s="1193"/>
      <c r="AV3586" s="330"/>
      <c r="AW3586" s="331"/>
      <c r="AX3586" s="331"/>
      <c r="AY3586" s="331"/>
      <c r="AZ3586" s="331"/>
      <c r="BA3586" s="331"/>
      <c r="BB3586" s="331"/>
      <c r="BC3586" s="331"/>
      <c r="BD3586" s="331"/>
      <c r="BE3586" s="333"/>
      <c r="BF3586" s="330"/>
      <c r="BG3586" s="333"/>
      <c r="BH3586" s="1119"/>
      <c r="BI3586" s="319"/>
      <c r="BJ3586" s="319"/>
      <c r="BK3586" s="319"/>
      <c r="BL3586" s="319"/>
      <c r="BM3586" s="319"/>
      <c r="BN3586" s="319"/>
      <c r="BO3586" s="319"/>
      <c r="BP3586" s="953"/>
      <c r="BQ3586" s="319"/>
      <c r="BR3586" s="319"/>
      <c r="BS3586" s="330"/>
      <c r="BT3586" s="331"/>
      <c r="BU3586" s="920"/>
      <c r="BV3586" s="903"/>
      <c r="BW3586" s="908"/>
      <c r="BX3586" s="908"/>
      <c r="BY3586" s="331"/>
      <c r="BZ3586" s="331"/>
      <c r="CA3586" s="462"/>
      <c r="CB3586" s="319"/>
      <c r="CC3586" s="319"/>
      <c r="CD3586" s="319"/>
      <c r="CE3586" s="319"/>
      <c r="CF3586" s="319"/>
      <c r="CG3586" s="319"/>
      <c r="CH3586" s="318"/>
      <c r="CI3586" s="319"/>
      <c r="CJ3586" s="319"/>
      <c r="CK3586" s="342"/>
      <c r="CL3586" s="333"/>
      <c r="CM3586" s="1079"/>
      <c r="CN3586" s="1005"/>
      <c r="CO3586" s="1005"/>
      <c r="CP3586" s="1005"/>
    </row>
    <row r="3587">
      <c r="A3587" s="1257"/>
      <c r="B3587" s="1113"/>
      <c r="C3587" s="1107"/>
      <c r="D3587" s="103"/>
      <c r="E3587" s="1137"/>
      <c r="F3587" s="112"/>
      <c r="G3587" s="1110"/>
      <c r="H3587" s="1138"/>
      <c r="I3587" s="1138"/>
      <c r="J3587" s="1139"/>
      <c r="K3587" s="1111"/>
      <c r="L3587" s="1112"/>
      <c r="M3587" s="1113"/>
      <c r="N3587" s="110"/>
      <c r="O3587" s="1140"/>
      <c r="P3587" s="1115"/>
      <c r="Q3587" s="1116"/>
      <c r="R3587" s="1141"/>
      <c r="S3587" s="1113"/>
      <c r="T3587" s="1143"/>
      <c r="U3587" s="1108"/>
      <c r="V3587" s="1108"/>
      <c r="W3587" s="1108"/>
      <c r="X3587" s="1108"/>
      <c r="Y3587" s="1108"/>
      <c r="Z3587" s="1114"/>
      <c r="AA3587" s="1114"/>
      <c r="AB3587" s="1114"/>
      <c r="AC3587" s="1117"/>
      <c r="AD3587" s="1115"/>
      <c r="AE3587" s="1115"/>
      <c r="AF3587" s="1115"/>
      <c r="AG3587" s="1115"/>
      <c r="AH3587" s="1115"/>
      <c r="AI3587" s="1115"/>
      <c r="AJ3587" s="1117"/>
      <c r="AK3587" s="1118"/>
      <c r="AL3587" s="1115"/>
      <c r="AM3587" s="1115"/>
      <c r="AN3587" s="1115"/>
      <c r="AO3587" s="1115"/>
      <c r="AP3587" s="1115"/>
      <c r="AQ3587" s="1115"/>
      <c r="AR3587" s="1115"/>
      <c r="AS3587" s="1117"/>
      <c r="AT3587" s="1075"/>
      <c r="AU3587" s="1193"/>
      <c r="AV3587" s="330"/>
      <c r="AW3587" s="331"/>
      <c r="AX3587" s="331"/>
      <c r="AY3587" s="331"/>
      <c r="AZ3587" s="331"/>
      <c r="BA3587" s="331"/>
      <c r="BB3587" s="331"/>
      <c r="BC3587" s="331"/>
      <c r="BD3587" s="331"/>
      <c r="BE3587" s="333"/>
      <c r="BF3587" s="330"/>
      <c r="BG3587" s="333"/>
      <c r="BH3587" s="1119"/>
      <c r="BI3587" s="319"/>
      <c r="BJ3587" s="319"/>
      <c r="BK3587" s="319"/>
      <c r="BL3587" s="319"/>
      <c r="BM3587" s="319"/>
      <c r="BN3587" s="319"/>
      <c r="BO3587" s="319"/>
      <c r="BP3587" s="953"/>
      <c r="BQ3587" s="319"/>
      <c r="BR3587" s="319"/>
      <c r="BS3587" s="330"/>
      <c r="BT3587" s="331"/>
      <c r="BU3587" s="920"/>
      <c r="BV3587" s="903"/>
      <c r="BW3587" s="908"/>
      <c r="BX3587" s="908"/>
      <c r="BY3587" s="331"/>
      <c r="BZ3587" s="331"/>
      <c r="CA3587" s="462"/>
      <c r="CB3587" s="319"/>
      <c r="CC3587" s="319"/>
      <c r="CD3587" s="319"/>
      <c r="CE3587" s="319"/>
      <c r="CF3587" s="319"/>
      <c r="CG3587" s="319"/>
      <c r="CH3587" s="318"/>
      <c r="CI3587" s="319"/>
      <c r="CJ3587" s="319"/>
      <c r="CK3587" s="342"/>
      <c r="CL3587" s="333"/>
      <c r="CM3587" s="1079"/>
      <c r="CN3587" s="1005"/>
      <c r="CO3587" s="1005"/>
      <c r="CP3587" s="1005"/>
    </row>
    <row r="3588">
      <c r="A3588" s="1257"/>
      <c r="B3588" s="1113"/>
      <c r="C3588" s="1107"/>
      <c r="D3588" s="103"/>
      <c r="E3588" s="1137"/>
      <c r="F3588" s="112"/>
      <c r="G3588" s="1110"/>
      <c r="H3588" s="1138"/>
      <c r="I3588" s="1138"/>
      <c r="J3588" s="1139"/>
      <c r="K3588" s="1111"/>
      <c r="L3588" s="1112"/>
      <c r="M3588" s="1113"/>
      <c r="N3588" s="110"/>
      <c r="O3588" s="1140"/>
      <c r="P3588" s="1115"/>
      <c r="Q3588" s="1116"/>
      <c r="R3588" s="1141"/>
      <c r="S3588" s="1113"/>
      <c r="T3588" s="1143"/>
      <c r="U3588" s="1108"/>
      <c r="V3588" s="1108"/>
      <c r="W3588" s="1108"/>
      <c r="X3588" s="1108"/>
      <c r="Y3588" s="1108"/>
      <c r="Z3588" s="1114"/>
      <c r="AA3588" s="1114"/>
      <c r="AB3588" s="1114"/>
      <c r="AC3588" s="1117"/>
      <c r="AD3588" s="1115"/>
      <c r="AE3588" s="1115"/>
      <c r="AF3588" s="1115"/>
      <c r="AG3588" s="1115"/>
      <c r="AH3588" s="1115"/>
      <c r="AI3588" s="1115"/>
      <c r="AJ3588" s="1117"/>
      <c r="AK3588" s="1118"/>
      <c r="AL3588" s="1115"/>
      <c r="AM3588" s="1115"/>
      <c r="AN3588" s="1115"/>
      <c r="AO3588" s="1115"/>
      <c r="AP3588" s="1115"/>
      <c r="AQ3588" s="1115"/>
      <c r="AR3588" s="1115"/>
      <c r="AS3588" s="1117"/>
      <c r="AT3588" s="1075"/>
      <c r="AU3588" s="1193"/>
      <c r="AV3588" s="330"/>
      <c r="AW3588" s="331"/>
      <c r="AX3588" s="331"/>
      <c r="AY3588" s="331"/>
      <c r="AZ3588" s="331"/>
      <c r="BA3588" s="331"/>
      <c r="BB3588" s="331"/>
      <c r="BC3588" s="331"/>
      <c r="BD3588" s="331"/>
      <c r="BE3588" s="333"/>
      <c r="BF3588" s="330"/>
      <c r="BG3588" s="333"/>
      <c r="BH3588" s="1119"/>
      <c r="BI3588" s="319"/>
      <c r="BJ3588" s="319"/>
      <c r="BK3588" s="319"/>
      <c r="BL3588" s="319"/>
      <c r="BM3588" s="319"/>
      <c r="BN3588" s="319"/>
      <c r="BO3588" s="319"/>
      <c r="BP3588" s="953"/>
      <c r="BQ3588" s="319"/>
      <c r="BR3588" s="319"/>
      <c r="BS3588" s="330"/>
      <c r="BT3588" s="331"/>
      <c r="BU3588" s="920"/>
      <c r="BV3588" s="903"/>
      <c r="BW3588" s="908"/>
      <c r="BX3588" s="908"/>
      <c r="BY3588" s="331"/>
      <c r="BZ3588" s="331"/>
      <c r="CA3588" s="462"/>
      <c r="CB3588" s="319"/>
      <c r="CC3588" s="319"/>
      <c r="CD3588" s="319"/>
      <c r="CE3588" s="319"/>
      <c r="CF3588" s="319"/>
      <c r="CG3588" s="319"/>
      <c r="CH3588" s="318"/>
      <c r="CI3588" s="319"/>
      <c r="CJ3588" s="319"/>
      <c r="CK3588" s="342"/>
      <c r="CL3588" s="333"/>
      <c r="CM3588" s="1079"/>
      <c r="CN3588" s="1005"/>
      <c r="CO3588" s="1005"/>
      <c r="CP3588" s="1005"/>
    </row>
    <row r="3589">
      <c r="A3589" s="1257"/>
      <c r="B3589" s="1113"/>
      <c r="C3589" s="1107"/>
      <c r="D3589" s="103"/>
      <c r="E3589" s="1137"/>
      <c r="F3589" s="112"/>
      <c r="G3589" s="1110"/>
      <c r="H3589" s="1138"/>
      <c r="I3589" s="1138"/>
      <c r="J3589" s="1139"/>
      <c r="K3589" s="1111"/>
      <c r="L3589" s="1112"/>
      <c r="M3589" s="1113"/>
      <c r="N3589" s="110"/>
      <c r="O3589" s="1140"/>
      <c r="P3589" s="1115"/>
      <c r="Q3589" s="1116"/>
      <c r="R3589" s="1141"/>
      <c r="S3589" s="1113"/>
      <c r="T3589" s="1143"/>
      <c r="U3589" s="1108"/>
      <c r="V3589" s="1108"/>
      <c r="W3589" s="1108"/>
      <c r="X3589" s="1108"/>
      <c r="Y3589" s="1108"/>
      <c r="Z3589" s="1114"/>
      <c r="AA3589" s="1114"/>
      <c r="AB3589" s="1114"/>
      <c r="AC3589" s="1117"/>
      <c r="AD3589" s="1115"/>
      <c r="AE3589" s="1115"/>
      <c r="AF3589" s="1115"/>
      <c r="AG3589" s="1115"/>
      <c r="AH3589" s="1115"/>
      <c r="AI3589" s="1115"/>
      <c r="AJ3589" s="1117"/>
      <c r="AK3589" s="1118"/>
      <c r="AL3589" s="1115"/>
      <c r="AM3589" s="1115"/>
      <c r="AN3589" s="1115"/>
      <c r="AO3589" s="1115"/>
      <c r="AP3589" s="1115"/>
      <c r="AQ3589" s="1115"/>
      <c r="AR3589" s="1115"/>
      <c r="AS3589" s="1117"/>
      <c r="AT3589" s="1075"/>
      <c r="AU3589" s="1193"/>
      <c r="AV3589" s="330"/>
      <c r="AW3589" s="331"/>
      <c r="AX3589" s="331"/>
      <c r="AY3589" s="331"/>
      <c r="AZ3589" s="331"/>
      <c r="BA3589" s="331"/>
      <c r="BB3589" s="331"/>
      <c r="BC3589" s="331"/>
      <c r="BD3589" s="331"/>
      <c r="BE3589" s="333"/>
      <c r="BF3589" s="330"/>
      <c r="BG3589" s="333"/>
      <c r="BH3589" s="1119"/>
      <c r="BI3589" s="319"/>
      <c r="BJ3589" s="319"/>
      <c r="BK3589" s="319"/>
      <c r="BL3589" s="319"/>
      <c r="BM3589" s="319"/>
      <c r="BN3589" s="319"/>
      <c r="BO3589" s="319"/>
      <c r="BP3589" s="953"/>
      <c r="BQ3589" s="319"/>
      <c r="BR3589" s="319"/>
      <c r="BS3589" s="330"/>
      <c r="BT3589" s="331"/>
      <c r="BU3589" s="920"/>
      <c r="BV3589" s="903"/>
      <c r="BW3589" s="908"/>
      <c r="BX3589" s="908"/>
      <c r="BY3589" s="331"/>
      <c r="BZ3589" s="331"/>
      <c r="CA3589" s="462"/>
      <c r="CB3589" s="319"/>
      <c r="CC3589" s="319"/>
      <c r="CD3589" s="319"/>
      <c r="CE3589" s="319"/>
      <c r="CF3589" s="319"/>
      <c r="CG3589" s="319"/>
      <c r="CH3589" s="318"/>
      <c r="CI3589" s="319"/>
      <c r="CJ3589" s="319"/>
      <c r="CK3589" s="342"/>
      <c r="CL3589" s="333"/>
      <c r="CM3589" s="1079"/>
      <c r="CN3589" s="1005"/>
      <c r="CO3589" s="1005"/>
      <c r="CP3589" s="1005"/>
    </row>
    <row r="3590">
      <c r="A3590" s="1257"/>
      <c r="B3590" s="1113"/>
      <c r="C3590" s="1107"/>
      <c r="D3590" s="103"/>
      <c r="E3590" s="1137"/>
      <c r="F3590" s="112"/>
      <c r="G3590" s="1110"/>
      <c r="H3590" s="1138"/>
      <c r="I3590" s="1138"/>
      <c r="J3590" s="1139"/>
      <c r="K3590" s="1111"/>
      <c r="L3590" s="1112"/>
      <c r="M3590" s="1113"/>
      <c r="N3590" s="110"/>
      <c r="O3590" s="1140"/>
      <c r="P3590" s="1115"/>
      <c r="Q3590" s="1116"/>
      <c r="R3590" s="1141"/>
      <c r="S3590" s="1113"/>
      <c r="T3590" s="1143"/>
      <c r="U3590" s="1108"/>
      <c r="V3590" s="1108"/>
      <c r="W3590" s="1108"/>
      <c r="X3590" s="1108"/>
      <c r="Y3590" s="1108"/>
      <c r="Z3590" s="1114"/>
      <c r="AA3590" s="1114"/>
      <c r="AB3590" s="1114"/>
      <c r="AC3590" s="1117"/>
      <c r="AD3590" s="1115"/>
      <c r="AE3590" s="1115"/>
      <c r="AF3590" s="1115"/>
      <c r="AG3590" s="1115"/>
      <c r="AH3590" s="1115"/>
      <c r="AI3590" s="1115"/>
      <c r="AJ3590" s="1117"/>
      <c r="AK3590" s="1118"/>
      <c r="AL3590" s="1115"/>
      <c r="AM3590" s="1115"/>
      <c r="AN3590" s="1115"/>
      <c r="AO3590" s="1115"/>
      <c r="AP3590" s="1115"/>
      <c r="AQ3590" s="1115"/>
      <c r="AR3590" s="1115"/>
      <c r="AS3590" s="1117"/>
      <c r="AT3590" s="1075"/>
      <c r="AU3590" s="1193"/>
      <c r="AV3590" s="330"/>
      <c r="AW3590" s="331"/>
      <c r="AX3590" s="331"/>
      <c r="AY3590" s="331"/>
      <c r="AZ3590" s="331"/>
      <c r="BA3590" s="331"/>
      <c r="BB3590" s="331"/>
      <c r="BC3590" s="331"/>
      <c r="BD3590" s="331"/>
      <c r="BE3590" s="333"/>
      <c r="BF3590" s="330"/>
      <c r="BG3590" s="333"/>
      <c r="BH3590" s="1119"/>
      <c r="BI3590" s="319"/>
      <c r="BJ3590" s="319"/>
      <c r="BK3590" s="319"/>
      <c r="BL3590" s="319"/>
      <c r="BM3590" s="319"/>
      <c r="BN3590" s="319"/>
      <c r="BO3590" s="319"/>
      <c r="BP3590" s="953"/>
      <c r="BQ3590" s="319"/>
      <c r="BR3590" s="319"/>
      <c r="BS3590" s="330"/>
      <c r="BT3590" s="331"/>
      <c r="BU3590" s="920"/>
      <c r="BV3590" s="903"/>
      <c r="BW3590" s="908"/>
      <c r="BX3590" s="908"/>
      <c r="BY3590" s="331"/>
      <c r="BZ3590" s="331"/>
      <c r="CA3590" s="462"/>
      <c r="CB3590" s="319"/>
      <c r="CC3590" s="319"/>
      <c r="CD3590" s="319"/>
      <c r="CE3590" s="319"/>
      <c r="CF3590" s="319"/>
      <c r="CG3590" s="319"/>
      <c r="CH3590" s="318"/>
      <c r="CI3590" s="319"/>
      <c r="CJ3590" s="319"/>
      <c r="CK3590" s="342"/>
      <c r="CL3590" s="333"/>
      <c r="CM3590" s="1079"/>
      <c r="CN3590" s="1005"/>
      <c r="CO3590" s="1005"/>
      <c r="CP3590" s="1005"/>
    </row>
    <row r="3591">
      <c r="A3591" s="1257"/>
      <c r="B3591" s="1113"/>
      <c r="C3591" s="1107"/>
      <c r="D3591" s="103"/>
      <c r="E3591" s="1137"/>
      <c r="F3591" s="112"/>
      <c r="G3591" s="1110"/>
      <c r="H3591" s="1138"/>
      <c r="I3591" s="1138"/>
      <c r="J3591" s="1139"/>
      <c r="K3591" s="1111"/>
      <c r="L3591" s="1112"/>
      <c r="M3591" s="1113"/>
      <c r="N3591" s="110"/>
      <c r="O3591" s="1140"/>
      <c r="P3591" s="1115"/>
      <c r="Q3591" s="1116"/>
      <c r="R3591" s="1141"/>
      <c r="S3591" s="1113"/>
      <c r="T3591" s="1143"/>
      <c r="U3591" s="1108"/>
      <c r="V3591" s="1108"/>
      <c r="W3591" s="1108"/>
      <c r="X3591" s="1108"/>
      <c r="Y3591" s="1108"/>
      <c r="Z3591" s="1114"/>
      <c r="AA3591" s="1114"/>
      <c r="AB3591" s="1114"/>
      <c r="AC3591" s="1117"/>
      <c r="AD3591" s="1115"/>
      <c r="AE3591" s="1115"/>
      <c r="AF3591" s="1115"/>
      <c r="AG3591" s="1115"/>
      <c r="AH3591" s="1115"/>
      <c r="AI3591" s="1115"/>
      <c r="AJ3591" s="1117"/>
      <c r="AK3591" s="1118"/>
      <c r="AL3591" s="1115"/>
      <c r="AM3591" s="1115"/>
      <c r="AN3591" s="1115"/>
      <c r="AO3591" s="1115"/>
      <c r="AP3591" s="1115"/>
      <c r="AQ3591" s="1115"/>
      <c r="AR3591" s="1115"/>
      <c r="AS3591" s="1117"/>
      <c r="AT3591" s="1075"/>
      <c r="AU3591" s="1193"/>
      <c r="AV3591" s="330"/>
      <c r="AW3591" s="331"/>
      <c r="AX3591" s="331"/>
      <c r="AY3591" s="331"/>
      <c r="AZ3591" s="331"/>
      <c r="BA3591" s="331"/>
      <c r="BB3591" s="331"/>
      <c r="BC3591" s="331"/>
      <c r="BD3591" s="331"/>
      <c r="BE3591" s="333"/>
      <c r="BF3591" s="330"/>
      <c r="BG3591" s="333"/>
      <c r="BH3591" s="1119"/>
      <c r="BI3591" s="319"/>
      <c r="BJ3591" s="319"/>
      <c r="BK3591" s="319"/>
      <c r="BL3591" s="319"/>
      <c r="BM3591" s="319"/>
      <c r="BN3591" s="319"/>
      <c r="BO3591" s="319"/>
      <c r="BP3591" s="953"/>
      <c r="BQ3591" s="319"/>
      <c r="BR3591" s="319"/>
      <c r="BS3591" s="330"/>
      <c r="BT3591" s="331"/>
      <c r="BU3591" s="920"/>
      <c r="BV3591" s="903"/>
      <c r="BW3591" s="908"/>
      <c r="BX3591" s="908"/>
      <c r="BY3591" s="331"/>
      <c r="BZ3591" s="331"/>
      <c r="CA3591" s="462"/>
      <c r="CB3591" s="319"/>
      <c r="CC3591" s="319"/>
      <c r="CD3591" s="319"/>
      <c r="CE3591" s="319"/>
      <c r="CF3591" s="319"/>
      <c r="CG3591" s="319"/>
      <c r="CH3591" s="318"/>
      <c r="CI3591" s="319"/>
      <c r="CJ3591" s="319"/>
      <c r="CK3591" s="342"/>
      <c r="CL3591" s="333"/>
      <c r="CM3591" s="1079"/>
      <c r="CN3591" s="1005"/>
      <c r="CO3591" s="1005"/>
      <c r="CP3591" s="1005"/>
    </row>
    <row r="3592">
      <c r="A3592" s="1257"/>
      <c r="B3592" s="1113"/>
      <c r="C3592" s="1107"/>
      <c r="D3592" s="103"/>
      <c r="E3592" s="1137"/>
      <c r="F3592" s="112"/>
      <c r="G3592" s="1110"/>
      <c r="H3592" s="1138"/>
      <c r="I3592" s="1138"/>
      <c r="J3592" s="1139"/>
      <c r="K3592" s="1111"/>
      <c r="L3592" s="1112"/>
      <c r="M3592" s="1113"/>
      <c r="N3592" s="110"/>
      <c r="O3592" s="1140"/>
      <c r="P3592" s="1115"/>
      <c r="Q3592" s="1116"/>
      <c r="R3592" s="1141"/>
      <c r="S3592" s="1113"/>
      <c r="T3592" s="1143"/>
      <c r="U3592" s="1108"/>
      <c r="V3592" s="1108"/>
      <c r="W3592" s="1108"/>
      <c r="X3592" s="1108"/>
      <c r="Y3592" s="1108"/>
      <c r="Z3592" s="1114"/>
      <c r="AA3592" s="1114"/>
      <c r="AB3592" s="1114"/>
      <c r="AC3592" s="1117"/>
      <c r="AD3592" s="1115"/>
      <c r="AE3592" s="1115"/>
      <c r="AF3592" s="1115"/>
      <c r="AG3592" s="1115"/>
      <c r="AH3592" s="1115"/>
      <c r="AI3592" s="1115"/>
      <c r="AJ3592" s="1117"/>
      <c r="AK3592" s="1118"/>
      <c r="AL3592" s="1115"/>
      <c r="AM3592" s="1115"/>
      <c r="AN3592" s="1115"/>
      <c r="AO3592" s="1115"/>
      <c r="AP3592" s="1115"/>
      <c r="AQ3592" s="1115"/>
      <c r="AR3592" s="1115"/>
      <c r="AS3592" s="1117"/>
      <c r="AT3592" s="1075"/>
      <c r="AU3592" s="1193"/>
      <c r="AV3592" s="330"/>
      <c r="AW3592" s="331"/>
      <c r="AX3592" s="331"/>
      <c r="AY3592" s="331"/>
      <c r="AZ3592" s="331"/>
      <c r="BA3592" s="331"/>
      <c r="BB3592" s="331"/>
      <c r="BC3592" s="331"/>
      <c r="BD3592" s="331"/>
      <c r="BE3592" s="333"/>
      <c r="BF3592" s="330"/>
      <c r="BG3592" s="333"/>
      <c r="BH3592" s="1119"/>
      <c r="BI3592" s="319"/>
      <c r="BJ3592" s="319"/>
      <c r="BK3592" s="319"/>
      <c r="BL3592" s="319"/>
      <c r="BM3592" s="319"/>
      <c r="BN3592" s="319"/>
      <c r="BO3592" s="319"/>
      <c r="BP3592" s="953"/>
      <c r="BQ3592" s="319"/>
      <c r="BR3592" s="319"/>
      <c r="BS3592" s="330"/>
      <c r="BT3592" s="331"/>
      <c r="BU3592" s="920"/>
      <c r="BV3592" s="903"/>
      <c r="BW3592" s="908"/>
      <c r="BX3592" s="908"/>
      <c r="BY3592" s="331"/>
      <c r="BZ3592" s="331"/>
      <c r="CA3592" s="462"/>
      <c r="CB3592" s="319"/>
      <c r="CC3592" s="319"/>
      <c r="CD3592" s="319"/>
      <c r="CE3592" s="319"/>
      <c r="CF3592" s="319"/>
      <c r="CG3592" s="319"/>
      <c r="CH3592" s="318"/>
      <c r="CI3592" s="319"/>
      <c r="CJ3592" s="319"/>
      <c r="CK3592" s="342"/>
      <c r="CL3592" s="333"/>
      <c r="CM3592" s="1079"/>
      <c r="CN3592" s="1005"/>
      <c r="CO3592" s="1005"/>
      <c r="CP3592" s="1005"/>
    </row>
    <row r="3593">
      <c r="A3593" s="1257"/>
      <c r="B3593" s="1113"/>
      <c r="C3593" s="1107"/>
      <c r="D3593" s="103"/>
      <c r="E3593" s="1137"/>
      <c r="F3593" s="112"/>
      <c r="G3593" s="1110"/>
      <c r="H3593" s="1138"/>
      <c r="I3593" s="1138"/>
      <c r="J3593" s="1139"/>
      <c r="K3593" s="1111"/>
      <c r="L3593" s="1112"/>
      <c r="M3593" s="1113"/>
      <c r="N3593" s="110"/>
      <c r="O3593" s="1140"/>
      <c r="P3593" s="1115"/>
      <c r="Q3593" s="1116"/>
      <c r="R3593" s="1141"/>
      <c r="S3593" s="1113"/>
      <c r="T3593" s="1143"/>
      <c r="U3593" s="1108"/>
      <c r="V3593" s="1108"/>
      <c r="W3593" s="1108"/>
      <c r="X3593" s="1108"/>
      <c r="Y3593" s="1108"/>
      <c r="Z3593" s="1114"/>
      <c r="AA3593" s="1114"/>
      <c r="AB3593" s="1114"/>
      <c r="AC3593" s="1117"/>
      <c r="AD3593" s="1115"/>
      <c r="AE3593" s="1115"/>
      <c r="AF3593" s="1115"/>
      <c r="AG3593" s="1115"/>
      <c r="AH3593" s="1115"/>
      <c r="AI3593" s="1115"/>
      <c r="AJ3593" s="1117"/>
      <c r="AK3593" s="1118"/>
      <c r="AL3593" s="1115"/>
      <c r="AM3593" s="1115"/>
      <c r="AN3593" s="1115"/>
      <c r="AO3593" s="1115"/>
      <c r="AP3593" s="1115"/>
      <c r="AQ3593" s="1115"/>
      <c r="AR3593" s="1115"/>
      <c r="AS3593" s="1117"/>
      <c r="AT3593" s="1075"/>
      <c r="AU3593" s="1193"/>
      <c r="AV3593" s="330"/>
      <c r="AW3593" s="331"/>
      <c r="AX3593" s="331"/>
      <c r="AY3593" s="331"/>
      <c r="AZ3593" s="331"/>
      <c r="BA3593" s="331"/>
      <c r="BB3593" s="331"/>
      <c r="BC3593" s="331"/>
      <c r="BD3593" s="331"/>
      <c r="BE3593" s="333"/>
      <c r="BF3593" s="330"/>
      <c r="BG3593" s="333"/>
      <c r="BH3593" s="1119"/>
      <c r="BI3593" s="319"/>
      <c r="BJ3593" s="319"/>
      <c r="BK3593" s="319"/>
      <c r="BL3593" s="319"/>
      <c r="BM3593" s="319"/>
      <c r="BN3593" s="319"/>
      <c r="BO3593" s="319"/>
      <c r="BP3593" s="953"/>
      <c r="BQ3593" s="319"/>
      <c r="BR3593" s="319"/>
      <c r="BS3593" s="330"/>
      <c r="BT3593" s="331"/>
      <c r="BU3593" s="920"/>
      <c r="BV3593" s="903"/>
      <c r="BW3593" s="908"/>
      <c r="BX3593" s="908"/>
      <c r="BY3593" s="331"/>
      <c r="BZ3593" s="331"/>
      <c r="CA3593" s="462"/>
      <c r="CB3593" s="319"/>
      <c r="CC3593" s="319"/>
      <c r="CD3593" s="319"/>
      <c r="CE3593" s="319"/>
      <c r="CF3593" s="319"/>
      <c r="CG3593" s="319"/>
      <c r="CH3593" s="318"/>
      <c r="CI3593" s="319"/>
      <c r="CJ3593" s="319"/>
      <c r="CK3593" s="342"/>
      <c r="CL3593" s="333"/>
      <c r="CM3593" s="1079"/>
      <c r="CN3593" s="1005"/>
      <c r="CO3593" s="1005"/>
      <c r="CP3593" s="1005"/>
    </row>
    <row r="3594">
      <c r="A3594" s="1257"/>
      <c r="B3594" s="1113"/>
      <c r="C3594" s="1107"/>
      <c r="D3594" s="103"/>
      <c r="E3594" s="1137"/>
      <c r="F3594" s="112"/>
      <c r="G3594" s="1110"/>
      <c r="H3594" s="1138"/>
      <c r="I3594" s="1138"/>
      <c r="J3594" s="1139"/>
      <c r="K3594" s="1111"/>
      <c r="L3594" s="1112"/>
      <c r="M3594" s="1113"/>
      <c r="N3594" s="110"/>
      <c r="O3594" s="1140"/>
      <c r="P3594" s="1115"/>
      <c r="Q3594" s="1116"/>
      <c r="R3594" s="1141"/>
      <c r="S3594" s="1113"/>
      <c r="T3594" s="1143"/>
      <c r="U3594" s="1108"/>
      <c r="V3594" s="1108"/>
      <c r="W3594" s="1108"/>
      <c r="X3594" s="1108"/>
      <c r="Y3594" s="1108"/>
      <c r="Z3594" s="1114"/>
      <c r="AA3594" s="1114"/>
      <c r="AB3594" s="1114"/>
      <c r="AC3594" s="1117"/>
      <c r="AD3594" s="1115"/>
      <c r="AE3594" s="1115"/>
      <c r="AF3594" s="1115"/>
      <c r="AG3594" s="1115"/>
      <c r="AH3594" s="1115"/>
      <c r="AI3594" s="1115"/>
      <c r="AJ3594" s="1117"/>
      <c r="AK3594" s="1118"/>
      <c r="AL3594" s="1115"/>
      <c r="AM3594" s="1115"/>
      <c r="AN3594" s="1115"/>
      <c r="AO3594" s="1115"/>
      <c r="AP3594" s="1115"/>
      <c r="AQ3594" s="1115"/>
      <c r="AR3594" s="1115"/>
      <c r="AS3594" s="1117"/>
      <c r="AT3594" s="1075"/>
      <c r="AU3594" s="1193"/>
      <c r="AV3594" s="330"/>
      <c r="AW3594" s="331"/>
      <c r="AX3594" s="331"/>
      <c r="AY3594" s="331"/>
      <c r="AZ3594" s="331"/>
      <c r="BA3594" s="331"/>
      <c r="BB3594" s="331"/>
      <c r="BC3594" s="331"/>
      <c r="BD3594" s="331"/>
      <c r="BE3594" s="333"/>
      <c r="BF3594" s="330"/>
      <c r="BG3594" s="333"/>
      <c r="BH3594" s="1119"/>
      <c r="BI3594" s="319"/>
      <c r="BJ3594" s="319"/>
      <c r="BK3594" s="319"/>
      <c r="BL3594" s="319"/>
      <c r="BM3594" s="319"/>
      <c r="BN3594" s="319"/>
      <c r="BO3594" s="319"/>
      <c r="BP3594" s="953"/>
      <c r="BQ3594" s="319"/>
      <c r="BR3594" s="319"/>
      <c r="BS3594" s="330"/>
      <c r="BT3594" s="331"/>
      <c r="BU3594" s="920"/>
      <c r="BV3594" s="903"/>
      <c r="BW3594" s="908"/>
      <c r="BX3594" s="908"/>
      <c r="BY3594" s="331"/>
      <c r="BZ3594" s="331"/>
      <c r="CA3594" s="462"/>
      <c r="CB3594" s="319"/>
      <c r="CC3594" s="319"/>
      <c r="CD3594" s="319"/>
      <c r="CE3594" s="319"/>
      <c r="CF3594" s="319"/>
      <c r="CG3594" s="319"/>
      <c r="CH3594" s="318"/>
      <c r="CI3594" s="319"/>
      <c r="CJ3594" s="319"/>
      <c r="CK3594" s="342"/>
      <c r="CL3594" s="333"/>
      <c r="CM3594" s="1079"/>
      <c r="CN3594" s="1005"/>
      <c r="CO3594" s="1005"/>
      <c r="CP3594" s="1005"/>
    </row>
    <row r="3595">
      <c r="A3595" s="1257"/>
      <c r="B3595" s="1113"/>
      <c r="C3595" s="1107"/>
      <c r="D3595" s="103"/>
      <c r="E3595" s="1137"/>
      <c r="F3595" s="112"/>
      <c r="G3595" s="1110"/>
      <c r="H3595" s="1138"/>
      <c r="I3595" s="1138"/>
      <c r="J3595" s="1139"/>
      <c r="K3595" s="1111"/>
      <c r="L3595" s="1112"/>
      <c r="M3595" s="1113"/>
      <c r="N3595" s="110"/>
      <c r="O3595" s="1140"/>
      <c r="P3595" s="1115"/>
      <c r="Q3595" s="1116"/>
      <c r="R3595" s="1141"/>
      <c r="S3595" s="1113"/>
      <c r="T3595" s="1143"/>
      <c r="U3595" s="1108"/>
      <c r="V3595" s="1108"/>
      <c r="W3595" s="1108"/>
      <c r="X3595" s="1108"/>
      <c r="Y3595" s="1108"/>
      <c r="Z3595" s="1114"/>
      <c r="AA3595" s="1114"/>
      <c r="AB3595" s="1114"/>
      <c r="AC3595" s="1117"/>
      <c r="AD3595" s="1115"/>
      <c r="AE3595" s="1115"/>
      <c r="AF3595" s="1115"/>
      <c r="AG3595" s="1115"/>
      <c r="AH3595" s="1115"/>
      <c r="AI3595" s="1115"/>
      <c r="AJ3595" s="1117"/>
      <c r="AK3595" s="1118"/>
      <c r="AL3595" s="1115"/>
      <c r="AM3595" s="1115"/>
      <c r="AN3595" s="1115"/>
      <c r="AO3595" s="1115"/>
      <c r="AP3595" s="1115"/>
      <c r="AQ3595" s="1115"/>
      <c r="AR3595" s="1115"/>
      <c r="AS3595" s="1117"/>
      <c r="AT3595" s="1075"/>
      <c r="AU3595" s="1193"/>
      <c r="AV3595" s="330"/>
      <c r="AW3595" s="331"/>
      <c r="AX3595" s="331"/>
      <c r="AY3595" s="331"/>
      <c r="AZ3595" s="331"/>
      <c r="BA3595" s="331"/>
      <c r="BB3595" s="331"/>
      <c r="BC3595" s="331"/>
      <c r="BD3595" s="331"/>
      <c r="BE3595" s="333"/>
      <c r="BF3595" s="330"/>
      <c r="BG3595" s="333"/>
      <c r="BH3595" s="1119"/>
      <c r="BI3595" s="319"/>
      <c r="BJ3595" s="319"/>
      <c r="BK3595" s="319"/>
      <c r="BL3595" s="319"/>
      <c r="BM3595" s="319"/>
      <c r="BN3595" s="319"/>
      <c r="BO3595" s="319"/>
      <c r="BP3595" s="953"/>
      <c r="BQ3595" s="319"/>
      <c r="BR3595" s="319"/>
      <c r="BS3595" s="330"/>
      <c r="BT3595" s="331"/>
      <c r="BU3595" s="920"/>
      <c r="BV3595" s="903"/>
      <c r="BW3595" s="908"/>
      <c r="BX3595" s="908"/>
      <c r="BY3595" s="331"/>
      <c r="BZ3595" s="331"/>
      <c r="CA3595" s="462"/>
      <c r="CB3595" s="319"/>
      <c r="CC3595" s="319"/>
      <c r="CD3595" s="319"/>
      <c r="CE3595" s="319"/>
      <c r="CF3595" s="319"/>
      <c r="CG3595" s="319"/>
      <c r="CH3595" s="318"/>
      <c r="CI3595" s="319"/>
      <c r="CJ3595" s="319"/>
      <c r="CK3595" s="342"/>
      <c r="CL3595" s="333"/>
      <c r="CM3595" s="1079"/>
      <c r="CN3595" s="1005"/>
      <c r="CO3595" s="1005"/>
      <c r="CP3595" s="1005"/>
    </row>
    <row r="3596">
      <c r="A3596" s="1257"/>
      <c r="B3596" s="1113"/>
      <c r="C3596" s="1107"/>
      <c r="D3596" s="103"/>
      <c r="E3596" s="1137"/>
      <c r="F3596" s="112"/>
      <c r="G3596" s="1110"/>
      <c r="H3596" s="1138"/>
      <c r="I3596" s="1138"/>
      <c r="J3596" s="1139"/>
      <c r="K3596" s="1111"/>
      <c r="L3596" s="1112"/>
      <c r="M3596" s="1113"/>
      <c r="N3596" s="110"/>
      <c r="O3596" s="1140"/>
      <c r="P3596" s="1115"/>
      <c r="Q3596" s="1116"/>
      <c r="R3596" s="1141"/>
      <c r="S3596" s="1113"/>
      <c r="T3596" s="1143"/>
      <c r="U3596" s="1108"/>
      <c r="V3596" s="1108"/>
      <c r="W3596" s="1108"/>
      <c r="X3596" s="1108"/>
      <c r="Y3596" s="1108"/>
      <c r="Z3596" s="1114"/>
      <c r="AA3596" s="1114"/>
      <c r="AB3596" s="1114"/>
      <c r="AC3596" s="1117"/>
      <c r="AD3596" s="1115"/>
      <c r="AE3596" s="1115"/>
      <c r="AF3596" s="1115"/>
      <c r="AG3596" s="1115"/>
      <c r="AH3596" s="1115"/>
      <c r="AI3596" s="1115"/>
      <c r="AJ3596" s="1117"/>
      <c r="AK3596" s="1118"/>
      <c r="AL3596" s="1115"/>
      <c r="AM3596" s="1115"/>
      <c r="AN3596" s="1115"/>
      <c r="AO3596" s="1115"/>
      <c r="AP3596" s="1115"/>
      <c r="AQ3596" s="1115"/>
      <c r="AR3596" s="1115"/>
      <c r="AS3596" s="1117"/>
      <c r="AT3596" s="1075"/>
      <c r="AU3596" s="1193"/>
      <c r="AV3596" s="330"/>
      <c r="AW3596" s="331"/>
      <c r="AX3596" s="331"/>
      <c r="AY3596" s="331"/>
      <c r="AZ3596" s="331"/>
      <c r="BA3596" s="331"/>
      <c r="BB3596" s="331"/>
      <c r="BC3596" s="331"/>
      <c r="BD3596" s="331"/>
      <c r="BE3596" s="333"/>
      <c r="BF3596" s="330"/>
      <c r="BG3596" s="333"/>
      <c r="BH3596" s="1119"/>
      <c r="BI3596" s="319"/>
      <c r="BJ3596" s="319"/>
      <c r="BK3596" s="319"/>
      <c r="BL3596" s="319"/>
      <c r="BM3596" s="319"/>
      <c r="BN3596" s="319"/>
      <c r="BO3596" s="319"/>
      <c r="BP3596" s="953"/>
      <c r="BQ3596" s="319"/>
      <c r="BR3596" s="319"/>
      <c r="BS3596" s="330"/>
      <c r="BT3596" s="331"/>
      <c r="BU3596" s="920"/>
      <c r="BV3596" s="903"/>
      <c r="BW3596" s="908"/>
      <c r="BX3596" s="908"/>
      <c r="BY3596" s="331"/>
      <c r="BZ3596" s="331"/>
      <c r="CA3596" s="462"/>
      <c r="CB3596" s="319"/>
      <c r="CC3596" s="319"/>
      <c r="CD3596" s="319"/>
      <c r="CE3596" s="319"/>
      <c r="CF3596" s="319"/>
      <c r="CG3596" s="319"/>
      <c r="CH3596" s="318"/>
      <c r="CI3596" s="319"/>
      <c r="CJ3596" s="319"/>
      <c r="CK3596" s="342"/>
      <c r="CL3596" s="333"/>
      <c r="CM3596" s="1079"/>
      <c r="CN3596" s="1005"/>
      <c r="CO3596" s="1005"/>
      <c r="CP3596" s="1005"/>
    </row>
    <row r="3597">
      <c r="A3597" s="1257"/>
      <c r="B3597" s="1113"/>
      <c r="C3597" s="1107"/>
      <c r="D3597" s="103"/>
      <c r="E3597" s="1137"/>
      <c r="F3597" s="112"/>
      <c r="G3597" s="1110"/>
      <c r="H3597" s="1138"/>
      <c r="I3597" s="1138"/>
      <c r="J3597" s="1139"/>
      <c r="K3597" s="1111"/>
      <c r="L3597" s="1112"/>
      <c r="M3597" s="1113"/>
      <c r="N3597" s="110"/>
      <c r="O3597" s="1140"/>
      <c r="P3597" s="1115"/>
      <c r="Q3597" s="1116"/>
      <c r="R3597" s="1141"/>
      <c r="S3597" s="1113"/>
      <c r="T3597" s="1143"/>
      <c r="U3597" s="1108"/>
      <c r="V3597" s="1108"/>
      <c r="W3597" s="1108"/>
      <c r="X3597" s="1108"/>
      <c r="Y3597" s="1108"/>
      <c r="Z3597" s="1114"/>
      <c r="AA3597" s="1114"/>
      <c r="AB3597" s="1114"/>
      <c r="AC3597" s="1117"/>
      <c r="AD3597" s="1115"/>
      <c r="AE3597" s="1115"/>
      <c r="AF3597" s="1115"/>
      <c r="AG3597" s="1115"/>
      <c r="AH3597" s="1115"/>
      <c r="AI3597" s="1115"/>
      <c r="AJ3597" s="1117"/>
      <c r="AK3597" s="1118"/>
      <c r="AL3597" s="1115"/>
      <c r="AM3597" s="1115"/>
      <c r="AN3597" s="1115"/>
      <c r="AO3597" s="1115"/>
      <c r="AP3597" s="1115"/>
      <c r="AQ3597" s="1115"/>
      <c r="AR3597" s="1115"/>
      <c r="AS3597" s="1117"/>
      <c r="AT3597" s="1075"/>
      <c r="AU3597" s="1193"/>
      <c r="AV3597" s="330"/>
      <c r="AW3597" s="331"/>
      <c r="AX3597" s="331"/>
      <c r="AY3597" s="331"/>
      <c r="AZ3597" s="331"/>
      <c r="BA3597" s="331"/>
      <c r="BB3597" s="331"/>
      <c r="BC3597" s="331"/>
      <c r="BD3597" s="331"/>
      <c r="BE3597" s="333"/>
      <c r="BF3597" s="330"/>
      <c r="BG3597" s="333"/>
      <c r="BH3597" s="1119"/>
      <c r="BI3597" s="319"/>
      <c r="BJ3597" s="319"/>
      <c r="BK3597" s="319"/>
      <c r="BL3597" s="319"/>
      <c r="BM3597" s="319"/>
      <c r="BN3597" s="319"/>
      <c r="BO3597" s="319"/>
      <c r="BP3597" s="953"/>
      <c r="BQ3597" s="319"/>
      <c r="BR3597" s="319"/>
      <c r="BS3597" s="330"/>
      <c r="BT3597" s="331"/>
      <c r="BU3597" s="920"/>
      <c r="BV3597" s="903"/>
      <c r="BW3597" s="908"/>
      <c r="BX3597" s="908"/>
      <c r="BY3597" s="331"/>
      <c r="BZ3597" s="331"/>
      <c r="CA3597" s="462"/>
      <c r="CB3597" s="319"/>
      <c r="CC3597" s="319"/>
      <c r="CD3597" s="319"/>
      <c r="CE3597" s="319"/>
      <c r="CF3597" s="319"/>
      <c r="CG3597" s="319"/>
      <c r="CH3597" s="318"/>
      <c r="CI3597" s="319"/>
      <c r="CJ3597" s="319"/>
      <c r="CK3597" s="342"/>
      <c r="CL3597" s="333"/>
      <c r="CM3597" s="1079"/>
      <c r="CN3597" s="1005"/>
      <c r="CO3597" s="1005"/>
      <c r="CP3597" s="1005"/>
    </row>
    <row r="3598">
      <c r="A3598" s="1257"/>
      <c r="B3598" s="1113"/>
      <c r="C3598" s="1107"/>
      <c r="D3598" s="103"/>
      <c r="E3598" s="1137"/>
      <c r="F3598" s="112"/>
      <c r="G3598" s="1110"/>
      <c r="H3598" s="1138"/>
      <c r="I3598" s="1138"/>
      <c r="J3598" s="1139"/>
      <c r="K3598" s="1111"/>
      <c r="L3598" s="1112"/>
      <c r="M3598" s="1113"/>
      <c r="N3598" s="110"/>
      <c r="O3598" s="1140"/>
      <c r="P3598" s="1115"/>
      <c r="Q3598" s="1116"/>
      <c r="R3598" s="1141"/>
      <c r="S3598" s="1113"/>
      <c r="T3598" s="1143"/>
      <c r="U3598" s="1108"/>
      <c r="V3598" s="1108"/>
      <c r="W3598" s="1108"/>
      <c r="X3598" s="1108"/>
      <c r="Y3598" s="1108"/>
      <c r="Z3598" s="1114"/>
      <c r="AA3598" s="1114"/>
      <c r="AB3598" s="1114"/>
      <c r="AC3598" s="1117"/>
      <c r="AD3598" s="1115"/>
      <c r="AE3598" s="1115"/>
      <c r="AF3598" s="1115"/>
      <c r="AG3598" s="1115"/>
      <c r="AH3598" s="1115"/>
      <c r="AI3598" s="1115"/>
      <c r="AJ3598" s="1117"/>
      <c r="AK3598" s="1118"/>
      <c r="AL3598" s="1115"/>
      <c r="AM3598" s="1115"/>
      <c r="AN3598" s="1115"/>
      <c r="AO3598" s="1115"/>
      <c r="AP3598" s="1115"/>
      <c r="AQ3598" s="1115"/>
      <c r="AR3598" s="1115"/>
      <c r="AS3598" s="1117"/>
      <c r="AT3598" s="1075"/>
      <c r="AU3598" s="1193"/>
      <c r="AV3598" s="330"/>
      <c r="AW3598" s="331"/>
      <c r="AX3598" s="331"/>
      <c r="AY3598" s="331"/>
      <c r="AZ3598" s="331"/>
      <c r="BA3598" s="331"/>
      <c r="BB3598" s="331"/>
      <c r="BC3598" s="331"/>
      <c r="BD3598" s="331"/>
      <c r="BE3598" s="333"/>
      <c r="BF3598" s="330"/>
      <c r="BG3598" s="333"/>
      <c r="BH3598" s="1119"/>
      <c r="BI3598" s="319"/>
      <c r="BJ3598" s="319"/>
      <c r="BK3598" s="319"/>
      <c r="BL3598" s="319"/>
      <c r="BM3598" s="319"/>
      <c r="BN3598" s="319"/>
      <c r="BO3598" s="319"/>
      <c r="BP3598" s="953"/>
      <c r="BQ3598" s="319"/>
      <c r="BR3598" s="319"/>
      <c r="BS3598" s="330"/>
      <c r="BT3598" s="331"/>
      <c r="BU3598" s="920"/>
      <c r="BV3598" s="903"/>
      <c r="BW3598" s="908"/>
      <c r="BX3598" s="908"/>
      <c r="BY3598" s="331"/>
      <c r="BZ3598" s="331"/>
      <c r="CA3598" s="462"/>
      <c r="CB3598" s="319"/>
      <c r="CC3598" s="319"/>
      <c r="CD3598" s="319"/>
      <c r="CE3598" s="319"/>
      <c r="CF3598" s="319"/>
      <c r="CG3598" s="319"/>
      <c r="CH3598" s="318"/>
      <c r="CI3598" s="319"/>
      <c r="CJ3598" s="319"/>
      <c r="CK3598" s="342"/>
      <c r="CL3598" s="333"/>
      <c r="CM3598" s="1079"/>
      <c r="CN3598" s="1005"/>
      <c r="CO3598" s="1005"/>
      <c r="CP3598" s="1005"/>
    </row>
    <row r="3599">
      <c r="A3599" s="1257"/>
      <c r="B3599" s="1113"/>
      <c r="C3599" s="1107"/>
      <c r="D3599" s="103"/>
      <c r="E3599" s="1137"/>
      <c r="F3599" s="112"/>
      <c r="G3599" s="1110"/>
      <c r="H3599" s="1138"/>
      <c r="I3599" s="1138"/>
      <c r="J3599" s="1139"/>
      <c r="K3599" s="1111"/>
      <c r="L3599" s="1112"/>
      <c r="M3599" s="1113"/>
      <c r="N3599" s="110"/>
      <c r="O3599" s="1140"/>
      <c r="P3599" s="1115"/>
      <c r="Q3599" s="1116"/>
      <c r="R3599" s="1141"/>
      <c r="S3599" s="1113"/>
      <c r="T3599" s="1143"/>
      <c r="U3599" s="1108"/>
      <c r="V3599" s="1108"/>
      <c r="W3599" s="1108"/>
      <c r="X3599" s="1108"/>
      <c r="Y3599" s="1108"/>
      <c r="Z3599" s="1114"/>
      <c r="AA3599" s="1114"/>
      <c r="AB3599" s="1114"/>
      <c r="AC3599" s="1117"/>
      <c r="AD3599" s="1115"/>
      <c r="AE3599" s="1115"/>
      <c r="AF3599" s="1115"/>
      <c r="AG3599" s="1115"/>
      <c r="AH3599" s="1115"/>
      <c r="AI3599" s="1115"/>
      <c r="AJ3599" s="1117"/>
      <c r="AK3599" s="1118"/>
      <c r="AL3599" s="1115"/>
      <c r="AM3599" s="1115"/>
      <c r="AN3599" s="1115"/>
      <c r="AO3599" s="1115"/>
      <c r="AP3599" s="1115"/>
      <c r="AQ3599" s="1115"/>
      <c r="AR3599" s="1115"/>
      <c r="AS3599" s="1117"/>
      <c r="AT3599" s="1075"/>
      <c r="AU3599" s="1193"/>
      <c r="AV3599" s="330"/>
      <c r="AW3599" s="331"/>
      <c r="AX3599" s="331"/>
      <c r="AY3599" s="331"/>
      <c r="AZ3599" s="331"/>
      <c r="BA3599" s="331"/>
      <c r="BB3599" s="331"/>
      <c r="BC3599" s="331"/>
      <c r="BD3599" s="331"/>
      <c r="BE3599" s="333"/>
      <c r="BF3599" s="330"/>
      <c r="BG3599" s="333"/>
      <c r="BH3599" s="1119"/>
      <c r="BI3599" s="319"/>
      <c r="BJ3599" s="319"/>
      <c r="BK3599" s="319"/>
      <c r="BL3599" s="319"/>
      <c r="BM3599" s="319"/>
      <c r="BN3599" s="319"/>
      <c r="BO3599" s="319"/>
      <c r="BP3599" s="953"/>
      <c r="BQ3599" s="319"/>
      <c r="BR3599" s="319"/>
      <c r="BS3599" s="330"/>
      <c r="BT3599" s="331"/>
      <c r="BU3599" s="920"/>
      <c r="BV3599" s="903"/>
      <c r="BW3599" s="908"/>
      <c r="BX3599" s="908"/>
      <c r="BY3599" s="331"/>
      <c r="BZ3599" s="331"/>
      <c r="CA3599" s="462"/>
      <c r="CB3599" s="319"/>
      <c r="CC3599" s="319"/>
      <c r="CD3599" s="319"/>
      <c r="CE3599" s="319"/>
      <c r="CF3599" s="319"/>
      <c r="CG3599" s="319"/>
      <c r="CH3599" s="318"/>
      <c r="CI3599" s="319"/>
      <c r="CJ3599" s="319"/>
      <c r="CK3599" s="342"/>
      <c r="CL3599" s="333"/>
      <c r="CM3599" s="1079"/>
      <c r="CN3599" s="1005"/>
      <c r="CO3599" s="1005"/>
      <c r="CP3599" s="1005"/>
    </row>
    <row r="3600">
      <c r="A3600" s="1257"/>
      <c r="B3600" s="1113"/>
      <c r="C3600" s="1107"/>
      <c r="D3600" s="103"/>
      <c r="E3600" s="1137"/>
      <c r="F3600" s="112"/>
      <c r="G3600" s="1110"/>
      <c r="H3600" s="1138"/>
      <c r="I3600" s="1138"/>
      <c r="J3600" s="1139"/>
      <c r="K3600" s="1111"/>
      <c r="L3600" s="1112"/>
      <c r="M3600" s="1113"/>
      <c r="N3600" s="110"/>
      <c r="O3600" s="1140"/>
      <c r="P3600" s="1115"/>
      <c r="Q3600" s="1116"/>
      <c r="R3600" s="1141"/>
      <c r="S3600" s="1113"/>
      <c r="T3600" s="1143"/>
      <c r="U3600" s="1108"/>
      <c r="V3600" s="1108"/>
      <c r="W3600" s="1108"/>
      <c r="X3600" s="1108"/>
      <c r="Y3600" s="1108"/>
      <c r="Z3600" s="1114"/>
      <c r="AA3600" s="1114"/>
      <c r="AB3600" s="1114"/>
      <c r="AC3600" s="1117"/>
      <c r="AD3600" s="1115"/>
      <c r="AE3600" s="1115"/>
      <c r="AF3600" s="1115"/>
      <c r="AG3600" s="1115"/>
      <c r="AH3600" s="1115"/>
      <c r="AI3600" s="1115"/>
      <c r="AJ3600" s="1117"/>
      <c r="AK3600" s="1118"/>
      <c r="AL3600" s="1115"/>
      <c r="AM3600" s="1115"/>
      <c r="AN3600" s="1115"/>
      <c r="AO3600" s="1115"/>
      <c r="AP3600" s="1115"/>
      <c r="AQ3600" s="1115"/>
      <c r="AR3600" s="1115"/>
      <c r="AS3600" s="1117"/>
      <c r="AT3600" s="1075"/>
      <c r="AU3600" s="1193"/>
      <c r="AV3600" s="330"/>
      <c r="AW3600" s="331"/>
      <c r="AX3600" s="331"/>
      <c r="AY3600" s="331"/>
      <c r="AZ3600" s="331"/>
      <c r="BA3600" s="331"/>
      <c r="BB3600" s="331"/>
      <c r="BC3600" s="331"/>
      <c r="BD3600" s="331"/>
      <c r="BE3600" s="333"/>
      <c r="BF3600" s="330"/>
      <c r="BG3600" s="333"/>
      <c r="BH3600" s="1119"/>
      <c r="BI3600" s="319"/>
      <c r="BJ3600" s="319"/>
      <c r="BK3600" s="319"/>
      <c r="BL3600" s="319"/>
      <c r="BM3600" s="319"/>
      <c r="BN3600" s="319"/>
      <c r="BO3600" s="319"/>
      <c r="BP3600" s="953"/>
      <c r="BQ3600" s="319"/>
      <c r="BR3600" s="319"/>
      <c r="BS3600" s="330"/>
      <c r="BT3600" s="331"/>
      <c r="BU3600" s="920"/>
      <c r="BV3600" s="903"/>
      <c r="BW3600" s="908"/>
      <c r="BX3600" s="908"/>
      <c r="BY3600" s="331"/>
      <c r="BZ3600" s="331"/>
      <c r="CA3600" s="462"/>
      <c r="CB3600" s="319"/>
      <c r="CC3600" s="319"/>
      <c r="CD3600" s="319"/>
      <c r="CE3600" s="319"/>
      <c r="CF3600" s="319"/>
      <c r="CG3600" s="319"/>
      <c r="CH3600" s="318"/>
      <c r="CI3600" s="319"/>
      <c r="CJ3600" s="319"/>
      <c r="CK3600" s="342"/>
      <c r="CL3600" s="333"/>
      <c r="CM3600" s="1079"/>
      <c r="CN3600" s="1005"/>
      <c r="CO3600" s="1005"/>
      <c r="CP3600" s="1005"/>
    </row>
    <row r="3601">
      <c r="A3601" s="1257"/>
      <c r="B3601" s="1113"/>
      <c r="C3601" s="1107"/>
      <c r="D3601" s="103"/>
      <c r="E3601" s="1137"/>
      <c r="F3601" s="112"/>
      <c r="G3601" s="1110"/>
      <c r="H3601" s="1138"/>
      <c r="I3601" s="1138"/>
      <c r="J3601" s="1139"/>
      <c r="K3601" s="1111"/>
      <c r="L3601" s="1112"/>
      <c r="M3601" s="1113"/>
      <c r="N3601" s="110"/>
      <c r="O3601" s="1140"/>
      <c r="P3601" s="1115"/>
      <c r="Q3601" s="1116"/>
      <c r="R3601" s="1141"/>
      <c r="S3601" s="1113"/>
      <c r="T3601" s="1143"/>
      <c r="U3601" s="1108"/>
      <c r="V3601" s="1108"/>
      <c r="W3601" s="1108"/>
      <c r="X3601" s="1108"/>
      <c r="Y3601" s="1108"/>
      <c r="Z3601" s="1114"/>
      <c r="AA3601" s="1114"/>
      <c r="AB3601" s="1114"/>
      <c r="AC3601" s="1117"/>
      <c r="AD3601" s="1115"/>
      <c r="AE3601" s="1115"/>
      <c r="AF3601" s="1115"/>
      <c r="AG3601" s="1115"/>
      <c r="AH3601" s="1115"/>
      <c r="AI3601" s="1115"/>
      <c r="AJ3601" s="1117"/>
      <c r="AK3601" s="1118"/>
      <c r="AL3601" s="1115"/>
      <c r="AM3601" s="1115"/>
      <c r="AN3601" s="1115"/>
      <c r="AO3601" s="1115"/>
      <c r="AP3601" s="1115"/>
      <c r="AQ3601" s="1115"/>
      <c r="AR3601" s="1115"/>
      <c r="AS3601" s="1117"/>
      <c r="AT3601" s="1075"/>
      <c r="AU3601" s="1193"/>
      <c r="AV3601" s="330"/>
      <c r="AW3601" s="331"/>
      <c r="AX3601" s="331"/>
      <c r="AY3601" s="331"/>
      <c r="AZ3601" s="331"/>
      <c r="BA3601" s="331"/>
      <c r="BB3601" s="331"/>
      <c r="BC3601" s="331"/>
      <c r="BD3601" s="331"/>
      <c r="BE3601" s="333"/>
      <c r="BF3601" s="330"/>
      <c r="BG3601" s="333"/>
      <c r="BH3601" s="1119"/>
      <c r="BI3601" s="319"/>
      <c r="BJ3601" s="319"/>
      <c r="BK3601" s="319"/>
      <c r="BL3601" s="319"/>
      <c r="BM3601" s="319"/>
      <c r="BN3601" s="319"/>
      <c r="BO3601" s="319"/>
      <c r="BP3601" s="953"/>
      <c r="BQ3601" s="319"/>
      <c r="BR3601" s="319"/>
      <c r="BS3601" s="330"/>
      <c r="BT3601" s="331"/>
      <c r="BU3601" s="920"/>
      <c r="BV3601" s="903"/>
      <c r="BW3601" s="908"/>
      <c r="BX3601" s="908"/>
      <c r="BY3601" s="331"/>
      <c r="BZ3601" s="331"/>
      <c r="CA3601" s="462"/>
      <c r="CB3601" s="319"/>
      <c r="CC3601" s="319"/>
      <c r="CD3601" s="319"/>
      <c r="CE3601" s="319"/>
      <c r="CF3601" s="319"/>
      <c r="CG3601" s="319"/>
      <c r="CH3601" s="318"/>
      <c r="CI3601" s="319"/>
      <c r="CJ3601" s="319"/>
      <c r="CK3601" s="342"/>
      <c r="CL3601" s="333"/>
      <c r="CM3601" s="1079"/>
      <c r="CN3601" s="1005"/>
      <c r="CO3601" s="1005"/>
      <c r="CP3601" s="1005"/>
    </row>
    <row r="3602">
      <c r="A3602" s="1257"/>
      <c r="B3602" s="1113"/>
      <c r="C3602" s="1107"/>
      <c r="D3602" s="103"/>
      <c r="E3602" s="1137"/>
      <c r="F3602" s="112"/>
      <c r="G3602" s="1110"/>
      <c r="H3602" s="1138"/>
      <c r="I3602" s="1138"/>
      <c r="J3602" s="1139"/>
      <c r="K3602" s="1111"/>
      <c r="L3602" s="1112"/>
      <c r="M3602" s="1113"/>
      <c r="N3602" s="110"/>
      <c r="O3602" s="1140"/>
      <c r="P3602" s="1115"/>
      <c r="Q3602" s="1116"/>
      <c r="R3602" s="1141"/>
      <c r="S3602" s="1113"/>
      <c r="T3602" s="1143"/>
      <c r="U3602" s="1108"/>
      <c r="V3602" s="1108"/>
      <c r="W3602" s="1108"/>
      <c r="X3602" s="1108"/>
      <c r="Y3602" s="1108"/>
      <c r="Z3602" s="1114"/>
      <c r="AA3602" s="1114"/>
      <c r="AB3602" s="1114"/>
      <c r="AC3602" s="1117"/>
      <c r="AD3602" s="1115"/>
      <c r="AE3602" s="1115"/>
      <c r="AF3602" s="1115"/>
      <c r="AG3602" s="1115"/>
      <c r="AH3602" s="1115"/>
      <c r="AI3602" s="1115"/>
      <c r="AJ3602" s="1117"/>
      <c r="AK3602" s="1118"/>
      <c r="AL3602" s="1115"/>
      <c r="AM3602" s="1115"/>
      <c r="AN3602" s="1115"/>
      <c r="AO3602" s="1115"/>
      <c r="AP3602" s="1115"/>
      <c r="AQ3602" s="1115"/>
      <c r="AR3602" s="1115"/>
      <c r="AS3602" s="1117"/>
      <c r="AT3602" s="1075"/>
      <c r="AU3602" s="1193"/>
      <c r="AV3602" s="330"/>
      <c r="AW3602" s="331"/>
      <c r="AX3602" s="331"/>
      <c r="AY3602" s="331"/>
      <c r="AZ3602" s="331"/>
      <c r="BA3602" s="331"/>
      <c r="BB3602" s="331"/>
      <c r="BC3602" s="331"/>
      <c r="BD3602" s="331"/>
      <c r="BE3602" s="333"/>
      <c r="BF3602" s="330"/>
      <c r="BG3602" s="333"/>
      <c r="BH3602" s="1119"/>
      <c r="BI3602" s="319"/>
      <c r="BJ3602" s="319"/>
      <c r="BK3602" s="319"/>
      <c r="BL3602" s="319"/>
      <c r="BM3602" s="319"/>
      <c r="BN3602" s="319"/>
      <c r="BO3602" s="319"/>
      <c r="BP3602" s="953"/>
      <c r="BQ3602" s="319"/>
      <c r="BR3602" s="319"/>
      <c r="BS3602" s="330"/>
      <c r="BT3602" s="331"/>
      <c r="BU3602" s="920"/>
      <c r="BV3602" s="903"/>
      <c r="BW3602" s="908"/>
      <c r="BX3602" s="908"/>
      <c r="BY3602" s="331"/>
      <c r="BZ3602" s="331"/>
      <c r="CA3602" s="462"/>
      <c r="CB3602" s="319"/>
      <c r="CC3602" s="319"/>
      <c r="CD3602" s="319"/>
      <c r="CE3602" s="319"/>
      <c r="CF3602" s="319"/>
      <c r="CG3602" s="319"/>
      <c r="CH3602" s="318"/>
      <c r="CI3602" s="319"/>
      <c r="CJ3602" s="319"/>
      <c r="CK3602" s="342"/>
      <c r="CL3602" s="333"/>
      <c r="CM3602" s="1079"/>
      <c r="CN3602" s="1005"/>
      <c r="CO3602" s="1005"/>
      <c r="CP3602" s="1005"/>
    </row>
    <row r="3603">
      <c r="A3603" s="1257"/>
      <c r="B3603" s="1113"/>
      <c r="C3603" s="1107"/>
      <c r="D3603" s="103"/>
      <c r="E3603" s="1137"/>
      <c r="F3603" s="112"/>
      <c r="G3603" s="1110"/>
      <c r="H3603" s="1138"/>
      <c r="I3603" s="1138"/>
      <c r="J3603" s="1139"/>
      <c r="K3603" s="1111"/>
      <c r="L3603" s="1112"/>
      <c r="M3603" s="1113"/>
      <c r="N3603" s="110"/>
      <c r="O3603" s="1140"/>
      <c r="P3603" s="1115"/>
      <c r="Q3603" s="1116"/>
      <c r="R3603" s="1141"/>
      <c r="S3603" s="1113"/>
      <c r="T3603" s="1143"/>
      <c r="U3603" s="1108"/>
      <c r="V3603" s="1108"/>
      <c r="W3603" s="1108"/>
      <c r="X3603" s="1108"/>
      <c r="Y3603" s="1108"/>
      <c r="Z3603" s="1114"/>
      <c r="AA3603" s="1114"/>
      <c r="AB3603" s="1114"/>
      <c r="AC3603" s="1117"/>
      <c r="AD3603" s="1115"/>
      <c r="AE3603" s="1115"/>
      <c r="AF3603" s="1115"/>
      <c r="AG3603" s="1115"/>
      <c r="AH3603" s="1115"/>
      <c r="AI3603" s="1115"/>
      <c r="AJ3603" s="1117"/>
      <c r="AK3603" s="1118"/>
      <c r="AL3603" s="1115"/>
      <c r="AM3603" s="1115"/>
      <c r="AN3603" s="1115"/>
      <c r="AO3603" s="1115"/>
      <c r="AP3603" s="1115"/>
      <c r="AQ3603" s="1115"/>
      <c r="AR3603" s="1115"/>
      <c r="AS3603" s="1117"/>
      <c r="AT3603" s="1075"/>
      <c r="AU3603" s="1193"/>
      <c r="AV3603" s="330"/>
      <c r="AW3603" s="331"/>
      <c r="AX3603" s="331"/>
      <c r="AY3603" s="331"/>
      <c r="AZ3603" s="331"/>
      <c r="BA3603" s="331"/>
      <c r="BB3603" s="331"/>
      <c r="BC3603" s="331"/>
      <c r="BD3603" s="331"/>
      <c r="BE3603" s="333"/>
      <c r="BF3603" s="330"/>
      <c r="BG3603" s="333"/>
      <c r="BH3603" s="1119"/>
      <c r="BI3603" s="319"/>
      <c r="BJ3603" s="319"/>
      <c r="BK3603" s="319"/>
      <c r="BL3603" s="319"/>
      <c r="BM3603" s="319"/>
      <c r="BN3603" s="319"/>
      <c r="BO3603" s="319"/>
      <c r="BP3603" s="953"/>
      <c r="BQ3603" s="319"/>
      <c r="BR3603" s="319"/>
      <c r="BS3603" s="330"/>
      <c r="BT3603" s="331"/>
      <c r="BU3603" s="920"/>
      <c r="BV3603" s="903"/>
      <c r="BW3603" s="908"/>
      <c r="BX3603" s="908"/>
      <c r="BY3603" s="331"/>
      <c r="BZ3603" s="331"/>
      <c r="CA3603" s="462"/>
      <c r="CB3603" s="319"/>
      <c r="CC3603" s="319"/>
      <c r="CD3603" s="319"/>
      <c r="CE3603" s="319"/>
      <c r="CF3603" s="319"/>
      <c r="CG3603" s="319"/>
      <c r="CH3603" s="318"/>
      <c r="CI3603" s="319"/>
      <c r="CJ3603" s="319"/>
      <c r="CK3603" s="342"/>
      <c r="CL3603" s="333"/>
      <c r="CM3603" s="1079"/>
      <c r="CN3603" s="1005"/>
      <c r="CO3603" s="1005"/>
      <c r="CP3603" s="1005"/>
    </row>
    <row r="3604">
      <c r="A3604" s="1257"/>
      <c r="B3604" s="1113"/>
      <c r="C3604" s="1107"/>
      <c r="D3604" s="103"/>
      <c r="E3604" s="1137"/>
      <c r="F3604" s="112"/>
      <c r="G3604" s="1110"/>
      <c r="H3604" s="1138"/>
      <c r="I3604" s="1138"/>
      <c r="J3604" s="1139"/>
      <c r="K3604" s="1111"/>
      <c r="L3604" s="1112"/>
      <c r="M3604" s="1113"/>
      <c r="N3604" s="110"/>
      <c r="O3604" s="1140"/>
      <c r="P3604" s="1115"/>
      <c r="Q3604" s="1116"/>
      <c r="R3604" s="1141"/>
      <c r="S3604" s="1113"/>
      <c r="T3604" s="1143"/>
      <c r="U3604" s="1108"/>
      <c r="V3604" s="1108"/>
      <c r="W3604" s="1108"/>
      <c r="X3604" s="1108"/>
      <c r="Y3604" s="1108"/>
      <c r="Z3604" s="1114"/>
      <c r="AA3604" s="1114"/>
      <c r="AB3604" s="1114"/>
      <c r="AC3604" s="1117"/>
      <c r="AD3604" s="1115"/>
      <c r="AE3604" s="1115"/>
      <c r="AF3604" s="1115"/>
      <c r="AG3604" s="1115"/>
      <c r="AH3604" s="1115"/>
      <c r="AI3604" s="1115"/>
      <c r="AJ3604" s="1117"/>
      <c r="AK3604" s="1118"/>
      <c r="AL3604" s="1115"/>
      <c r="AM3604" s="1115"/>
      <c r="AN3604" s="1115"/>
      <c r="AO3604" s="1115"/>
      <c r="AP3604" s="1115"/>
      <c r="AQ3604" s="1115"/>
      <c r="AR3604" s="1115"/>
      <c r="AS3604" s="1117"/>
      <c r="AT3604" s="1075"/>
      <c r="AU3604" s="1193"/>
      <c r="AV3604" s="330"/>
      <c r="AW3604" s="331"/>
      <c r="AX3604" s="331"/>
      <c r="AY3604" s="331"/>
      <c r="AZ3604" s="331"/>
      <c r="BA3604" s="331"/>
      <c r="BB3604" s="331"/>
      <c r="BC3604" s="331"/>
      <c r="BD3604" s="331"/>
      <c r="BE3604" s="333"/>
      <c r="BF3604" s="330"/>
      <c r="BG3604" s="333"/>
      <c r="BH3604" s="1119"/>
      <c r="BI3604" s="319"/>
      <c r="BJ3604" s="319"/>
      <c r="BK3604" s="319"/>
      <c r="BL3604" s="319"/>
      <c r="BM3604" s="319"/>
      <c r="BN3604" s="319"/>
      <c r="BO3604" s="319"/>
      <c r="BP3604" s="953"/>
      <c r="BQ3604" s="319"/>
      <c r="BR3604" s="319"/>
      <c r="BS3604" s="330"/>
      <c r="BT3604" s="331"/>
      <c r="BU3604" s="920"/>
      <c r="BV3604" s="903"/>
      <c r="BW3604" s="908"/>
      <c r="BX3604" s="908"/>
      <c r="BY3604" s="331"/>
      <c r="BZ3604" s="331"/>
      <c r="CA3604" s="462"/>
      <c r="CB3604" s="319"/>
      <c r="CC3604" s="319"/>
      <c r="CD3604" s="319"/>
      <c r="CE3604" s="319"/>
      <c r="CF3604" s="319"/>
      <c r="CG3604" s="319"/>
      <c r="CH3604" s="318"/>
      <c r="CI3604" s="319"/>
      <c r="CJ3604" s="319"/>
      <c r="CK3604" s="342"/>
      <c r="CL3604" s="333"/>
      <c r="CM3604" s="1079"/>
      <c r="CN3604" s="1005"/>
      <c r="CO3604" s="1005"/>
      <c r="CP3604" s="1005"/>
    </row>
    <row r="3605">
      <c r="A3605" s="1257"/>
      <c r="B3605" s="1113"/>
      <c r="C3605" s="1107"/>
      <c r="D3605" s="103"/>
      <c r="E3605" s="1137"/>
      <c r="F3605" s="112"/>
      <c r="G3605" s="1110"/>
      <c r="H3605" s="1138"/>
      <c r="I3605" s="1138"/>
      <c r="J3605" s="1139"/>
      <c r="K3605" s="1111"/>
      <c r="L3605" s="1112"/>
      <c r="M3605" s="1113"/>
      <c r="N3605" s="110"/>
      <c r="O3605" s="1140"/>
      <c r="P3605" s="1115"/>
      <c r="Q3605" s="1116"/>
      <c r="R3605" s="1141"/>
      <c r="S3605" s="1113"/>
      <c r="T3605" s="1143"/>
      <c r="U3605" s="1108"/>
      <c r="V3605" s="1108"/>
      <c r="W3605" s="1108"/>
      <c r="X3605" s="1108"/>
      <c r="Y3605" s="1108"/>
      <c r="Z3605" s="1114"/>
      <c r="AA3605" s="1114"/>
      <c r="AB3605" s="1114"/>
      <c r="AC3605" s="1117"/>
      <c r="AD3605" s="1115"/>
      <c r="AE3605" s="1115"/>
      <c r="AF3605" s="1115"/>
      <c r="AG3605" s="1115"/>
      <c r="AH3605" s="1115"/>
      <c r="AI3605" s="1115"/>
      <c r="AJ3605" s="1117"/>
      <c r="AK3605" s="1118"/>
      <c r="AL3605" s="1115"/>
      <c r="AM3605" s="1115"/>
      <c r="AN3605" s="1115"/>
      <c r="AO3605" s="1115"/>
      <c r="AP3605" s="1115"/>
      <c r="AQ3605" s="1115"/>
      <c r="AR3605" s="1115"/>
      <c r="AS3605" s="1117"/>
      <c r="AT3605" s="1075"/>
      <c r="AU3605" s="1193"/>
      <c r="AV3605" s="330"/>
      <c r="AW3605" s="331"/>
      <c r="AX3605" s="331"/>
      <c r="AY3605" s="331"/>
      <c r="AZ3605" s="331"/>
      <c r="BA3605" s="331"/>
      <c r="BB3605" s="331"/>
      <c r="BC3605" s="331"/>
      <c r="BD3605" s="331"/>
      <c r="BE3605" s="333"/>
      <c r="BF3605" s="330"/>
      <c r="BG3605" s="333"/>
      <c r="BH3605" s="1119"/>
      <c r="BI3605" s="319"/>
      <c r="BJ3605" s="319"/>
      <c r="BK3605" s="319"/>
      <c r="BL3605" s="319"/>
      <c r="BM3605" s="319"/>
      <c r="BN3605" s="319"/>
      <c r="BO3605" s="319"/>
      <c r="BP3605" s="953"/>
      <c r="BQ3605" s="319"/>
      <c r="BR3605" s="319"/>
      <c r="BS3605" s="330"/>
      <c r="BT3605" s="331"/>
      <c r="BU3605" s="920"/>
      <c r="BV3605" s="903"/>
      <c r="BW3605" s="908"/>
      <c r="BX3605" s="908"/>
      <c r="BY3605" s="331"/>
      <c r="BZ3605" s="331"/>
      <c r="CA3605" s="462"/>
      <c r="CB3605" s="319"/>
      <c r="CC3605" s="319"/>
      <c r="CD3605" s="319"/>
      <c r="CE3605" s="319"/>
      <c r="CF3605" s="319"/>
      <c r="CG3605" s="319"/>
      <c r="CH3605" s="318"/>
      <c r="CI3605" s="319"/>
      <c r="CJ3605" s="319"/>
      <c r="CK3605" s="342"/>
      <c r="CL3605" s="333"/>
      <c r="CM3605" s="1079"/>
      <c r="CN3605" s="1005"/>
      <c r="CO3605" s="1005"/>
      <c r="CP3605" s="1005"/>
    </row>
    <row r="3606">
      <c r="A3606" s="1257"/>
      <c r="B3606" s="1113"/>
      <c r="C3606" s="1107"/>
      <c r="D3606" s="103"/>
      <c r="E3606" s="1137"/>
      <c r="F3606" s="112"/>
      <c r="G3606" s="1110"/>
      <c r="H3606" s="1138"/>
      <c r="I3606" s="1138"/>
      <c r="J3606" s="1139"/>
      <c r="K3606" s="1111"/>
      <c r="L3606" s="1112"/>
      <c r="M3606" s="1113"/>
      <c r="N3606" s="110"/>
      <c r="O3606" s="1140"/>
      <c r="P3606" s="1115"/>
      <c r="Q3606" s="1116"/>
      <c r="R3606" s="1141"/>
      <c r="S3606" s="1113"/>
      <c r="T3606" s="1143"/>
      <c r="U3606" s="1108"/>
      <c r="V3606" s="1108"/>
      <c r="W3606" s="1108"/>
      <c r="X3606" s="1108"/>
      <c r="Y3606" s="1108"/>
      <c r="Z3606" s="1114"/>
      <c r="AA3606" s="1114"/>
      <c r="AB3606" s="1114"/>
      <c r="AC3606" s="1117"/>
      <c r="AD3606" s="1115"/>
      <c r="AE3606" s="1115"/>
      <c r="AF3606" s="1115"/>
      <c r="AG3606" s="1115"/>
      <c r="AH3606" s="1115"/>
      <c r="AI3606" s="1115"/>
      <c r="AJ3606" s="1117"/>
      <c r="AK3606" s="1118"/>
      <c r="AL3606" s="1115"/>
      <c r="AM3606" s="1115"/>
      <c r="AN3606" s="1115"/>
      <c r="AO3606" s="1115"/>
      <c r="AP3606" s="1115"/>
      <c r="AQ3606" s="1115"/>
      <c r="AR3606" s="1115"/>
      <c r="AS3606" s="1117"/>
      <c r="AT3606" s="1075"/>
      <c r="AU3606" s="1193"/>
      <c r="AV3606" s="330"/>
      <c r="AW3606" s="331"/>
      <c r="AX3606" s="331"/>
      <c r="AY3606" s="331"/>
      <c r="AZ3606" s="331"/>
      <c r="BA3606" s="331"/>
      <c r="BB3606" s="331"/>
      <c r="BC3606" s="331"/>
      <c r="BD3606" s="331"/>
      <c r="BE3606" s="333"/>
      <c r="BF3606" s="330"/>
      <c r="BG3606" s="333"/>
      <c r="BH3606" s="1119"/>
      <c r="BI3606" s="319"/>
      <c r="BJ3606" s="319"/>
      <c r="BK3606" s="319"/>
      <c r="BL3606" s="319"/>
      <c r="BM3606" s="319"/>
      <c r="BN3606" s="319"/>
      <c r="BO3606" s="319"/>
      <c r="BP3606" s="953"/>
      <c r="BQ3606" s="319"/>
      <c r="BR3606" s="319"/>
      <c r="BS3606" s="330"/>
      <c r="BT3606" s="331"/>
      <c r="BU3606" s="920"/>
      <c r="BV3606" s="903"/>
      <c r="BW3606" s="908"/>
      <c r="BX3606" s="908"/>
      <c r="BY3606" s="331"/>
      <c r="BZ3606" s="331"/>
      <c r="CA3606" s="462"/>
      <c r="CB3606" s="319"/>
      <c r="CC3606" s="319"/>
      <c r="CD3606" s="319"/>
      <c r="CE3606" s="319"/>
      <c r="CF3606" s="319"/>
      <c r="CG3606" s="319"/>
      <c r="CH3606" s="318"/>
      <c r="CI3606" s="319"/>
      <c r="CJ3606" s="319"/>
      <c r="CK3606" s="342"/>
      <c r="CL3606" s="333"/>
      <c r="CM3606" s="1079"/>
      <c r="CN3606" s="1005"/>
      <c r="CO3606" s="1005"/>
      <c r="CP3606" s="1005"/>
    </row>
    <row r="3607">
      <c r="A3607" s="1257"/>
      <c r="B3607" s="1113"/>
      <c r="C3607" s="1107"/>
      <c r="D3607" s="103"/>
      <c r="E3607" s="1137"/>
      <c r="F3607" s="112"/>
      <c r="G3607" s="1110"/>
      <c r="H3607" s="1138"/>
      <c r="I3607" s="1138"/>
      <c r="J3607" s="1139"/>
      <c r="K3607" s="1111"/>
      <c r="L3607" s="1112"/>
      <c r="M3607" s="1113"/>
      <c r="N3607" s="110"/>
      <c r="O3607" s="1140"/>
      <c r="P3607" s="1115"/>
      <c r="Q3607" s="1116"/>
      <c r="R3607" s="1141"/>
      <c r="S3607" s="1113"/>
      <c r="T3607" s="1143"/>
      <c r="U3607" s="1108"/>
      <c r="V3607" s="1108"/>
      <c r="W3607" s="1108"/>
      <c r="X3607" s="1108"/>
      <c r="Y3607" s="1108"/>
      <c r="Z3607" s="1114"/>
      <c r="AA3607" s="1114"/>
      <c r="AB3607" s="1114"/>
      <c r="AC3607" s="1117"/>
      <c r="AD3607" s="1115"/>
      <c r="AE3607" s="1115"/>
      <c r="AF3607" s="1115"/>
      <c r="AG3607" s="1115"/>
      <c r="AH3607" s="1115"/>
      <c r="AI3607" s="1115"/>
      <c r="AJ3607" s="1117"/>
      <c r="AK3607" s="1118"/>
      <c r="AL3607" s="1115"/>
      <c r="AM3607" s="1115"/>
      <c r="AN3607" s="1115"/>
      <c r="AO3607" s="1115"/>
      <c r="AP3607" s="1115"/>
      <c r="AQ3607" s="1115"/>
      <c r="AR3607" s="1115"/>
      <c r="AS3607" s="1117"/>
      <c r="AT3607" s="1075"/>
      <c r="AU3607" s="1193"/>
      <c r="AV3607" s="330"/>
      <c r="AW3607" s="331"/>
      <c r="AX3607" s="331"/>
      <c r="AY3607" s="331"/>
      <c r="AZ3607" s="331"/>
      <c r="BA3607" s="331"/>
      <c r="BB3607" s="331"/>
      <c r="BC3607" s="331"/>
      <c r="BD3607" s="331"/>
      <c r="BE3607" s="333"/>
      <c r="BF3607" s="330"/>
      <c r="BG3607" s="333"/>
      <c r="BH3607" s="1119"/>
      <c r="BI3607" s="319"/>
      <c r="BJ3607" s="319"/>
      <c r="BK3607" s="319"/>
      <c r="BL3607" s="319"/>
      <c r="BM3607" s="319"/>
      <c r="BN3607" s="319"/>
      <c r="BO3607" s="319"/>
      <c r="BP3607" s="953"/>
      <c r="BQ3607" s="319"/>
      <c r="BR3607" s="319"/>
      <c r="BS3607" s="330"/>
      <c r="BT3607" s="331"/>
      <c r="BU3607" s="920"/>
      <c r="BV3607" s="903"/>
      <c r="BW3607" s="908"/>
      <c r="BX3607" s="908"/>
      <c r="BY3607" s="331"/>
      <c r="BZ3607" s="331"/>
      <c r="CA3607" s="462"/>
      <c r="CB3607" s="319"/>
      <c r="CC3607" s="319"/>
      <c r="CD3607" s="319"/>
      <c r="CE3607" s="319"/>
      <c r="CF3607" s="319"/>
      <c r="CG3607" s="319"/>
      <c r="CH3607" s="318"/>
      <c r="CI3607" s="319"/>
      <c r="CJ3607" s="319"/>
      <c r="CK3607" s="342"/>
      <c r="CL3607" s="333"/>
      <c r="CM3607" s="1079"/>
      <c r="CN3607" s="1005"/>
      <c r="CO3607" s="1005"/>
      <c r="CP3607" s="1005"/>
    </row>
    <row r="3608">
      <c r="A3608" s="1257"/>
      <c r="B3608" s="1113"/>
      <c r="C3608" s="1107"/>
      <c r="D3608" s="103"/>
      <c r="E3608" s="1137"/>
      <c r="F3608" s="112"/>
      <c r="G3608" s="1110"/>
      <c r="H3608" s="1138"/>
      <c r="I3608" s="1138"/>
      <c r="J3608" s="1139"/>
      <c r="K3608" s="1111"/>
      <c r="L3608" s="1112"/>
      <c r="M3608" s="1113"/>
      <c r="N3608" s="110"/>
      <c r="O3608" s="1140"/>
      <c r="P3608" s="1115"/>
      <c r="Q3608" s="1116"/>
      <c r="R3608" s="1141"/>
      <c r="S3608" s="1113"/>
      <c r="T3608" s="1143"/>
      <c r="U3608" s="1108"/>
      <c r="V3608" s="1108"/>
      <c r="W3608" s="1108"/>
      <c r="X3608" s="1108"/>
      <c r="Y3608" s="1108"/>
      <c r="Z3608" s="1114"/>
      <c r="AA3608" s="1114"/>
      <c r="AB3608" s="1114"/>
      <c r="AC3608" s="1117"/>
      <c r="AD3608" s="1115"/>
      <c r="AE3608" s="1115"/>
      <c r="AF3608" s="1115"/>
      <c r="AG3608" s="1115"/>
      <c r="AH3608" s="1115"/>
      <c r="AI3608" s="1115"/>
      <c r="AJ3608" s="1117"/>
      <c r="AK3608" s="1118"/>
      <c r="AL3608" s="1115"/>
      <c r="AM3608" s="1115"/>
      <c r="AN3608" s="1115"/>
      <c r="AO3608" s="1115"/>
      <c r="AP3608" s="1115"/>
      <c r="AQ3608" s="1115"/>
      <c r="AR3608" s="1115"/>
      <c r="AS3608" s="1117"/>
      <c r="AT3608" s="1075"/>
      <c r="AU3608" s="1193"/>
      <c r="AV3608" s="330"/>
      <c r="AW3608" s="331"/>
      <c r="AX3608" s="331"/>
      <c r="AY3608" s="331"/>
      <c r="AZ3608" s="331"/>
      <c r="BA3608" s="331"/>
      <c r="BB3608" s="331"/>
      <c r="BC3608" s="331"/>
      <c r="BD3608" s="331"/>
      <c r="BE3608" s="333"/>
      <c r="BF3608" s="330"/>
      <c r="BG3608" s="333"/>
      <c r="BH3608" s="1119"/>
      <c r="BI3608" s="319"/>
      <c r="BJ3608" s="319"/>
      <c r="BK3608" s="319"/>
      <c r="BL3608" s="319"/>
      <c r="BM3608" s="319"/>
      <c r="BN3608" s="319"/>
      <c r="BO3608" s="319"/>
      <c r="BP3608" s="953"/>
      <c r="BQ3608" s="319"/>
      <c r="BR3608" s="319"/>
      <c r="BS3608" s="330"/>
      <c r="BT3608" s="331"/>
      <c r="BU3608" s="920"/>
      <c r="BV3608" s="903"/>
      <c r="BW3608" s="908"/>
      <c r="BX3608" s="908"/>
      <c r="BY3608" s="331"/>
      <c r="BZ3608" s="331"/>
      <c r="CA3608" s="462"/>
      <c r="CB3608" s="319"/>
      <c r="CC3608" s="319"/>
      <c r="CD3608" s="319"/>
      <c r="CE3608" s="319"/>
      <c r="CF3608" s="319"/>
      <c r="CG3608" s="319"/>
      <c r="CH3608" s="318"/>
      <c r="CI3608" s="319"/>
      <c r="CJ3608" s="319"/>
      <c r="CK3608" s="342"/>
      <c r="CL3608" s="333"/>
      <c r="CM3608" s="1079"/>
      <c r="CN3608" s="1005"/>
      <c r="CO3608" s="1005"/>
      <c r="CP3608" s="1005"/>
    </row>
    <row r="3609">
      <c r="A3609" s="1257"/>
      <c r="B3609" s="1113"/>
      <c r="C3609" s="1107"/>
      <c r="D3609" s="103"/>
      <c r="E3609" s="1137"/>
      <c r="F3609" s="112"/>
      <c r="G3609" s="1110"/>
      <c r="H3609" s="1138"/>
      <c r="I3609" s="1138"/>
      <c r="J3609" s="1139"/>
      <c r="K3609" s="1111"/>
      <c r="L3609" s="1112"/>
      <c r="M3609" s="1113"/>
      <c r="N3609" s="110"/>
      <c r="O3609" s="1140"/>
      <c r="P3609" s="1115"/>
      <c r="Q3609" s="1116"/>
      <c r="R3609" s="1141"/>
      <c r="S3609" s="1113"/>
      <c r="T3609" s="1143"/>
      <c r="U3609" s="1108"/>
      <c r="V3609" s="1108"/>
      <c r="W3609" s="1108"/>
      <c r="X3609" s="1108"/>
      <c r="Y3609" s="1108"/>
      <c r="Z3609" s="1114"/>
      <c r="AA3609" s="1114"/>
      <c r="AB3609" s="1114"/>
      <c r="AC3609" s="1117"/>
      <c r="AD3609" s="1115"/>
      <c r="AE3609" s="1115"/>
      <c r="AF3609" s="1115"/>
      <c r="AG3609" s="1115"/>
      <c r="AH3609" s="1115"/>
      <c r="AI3609" s="1115"/>
      <c r="AJ3609" s="1117"/>
      <c r="AK3609" s="1118"/>
      <c r="AL3609" s="1115"/>
      <c r="AM3609" s="1115"/>
      <c r="AN3609" s="1115"/>
      <c r="AO3609" s="1115"/>
      <c r="AP3609" s="1115"/>
      <c r="AQ3609" s="1115"/>
      <c r="AR3609" s="1115"/>
      <c r="AS3609" s="1117"/>
      <c r="AT3609" s="1075"/>
      <c r="AU3609" s="1193"/>
      <c r="AV3609" s="330"/>
      <c r="AW3609" s="331"/>
      <c r="AX3609" s="331"/>
      <c r="AY3609" s="331"/>
      <c r="AZ3609" s="331"/>
      <c r="BA3609" s="331"/>
      <c r="BB3609" s="331"/>
      <c r="BC3609" s="331"/>
      <c r="BD3609" s="331"/>
      <c r="BE3609" s="333"/>
      <c r="BF3609" s="330"/>
      <c r="BG3609" s="333"/>
      <c r="BH3609" s="1119"/>
      <c r="BI3609" s="319"/>
      <c r="BJ3609" s="319"/>
      <c r="BK3609" s="319"/>
      <c r="BL3609" s="319"/>
      <c r="BM3609" s="319"/>
      <c r="BN3609" s="319"/>
      <c r="BO3609" s="319"/>
      <c r="BP3609" s="953"/>
      <c r="BQ3609" s="319"/>
      <c r="BR3609" s="319"/>
      <c r="BS3609" s="330"/>
      <c r="BT3609" s="331"/>
      <c r="BU3609" s="920"/>
      <c r="BV3609" s="903"/>
      <c r="BW3609" s="908"/>
      <c r="BX3609" s="908"/>
      <c r="BY3609" s="331"/>
      <c r="BZ3609" s="331"/>
      <c r="CA3609" s="462"/>
      <c r="CB3609" s="319"/>
      <c r="CC3609" s="319"/>
      <c r="CD3609" s="319"/>
      <c r="CE3609" s="319"/>
      <c r="CF3609" s="319"/>
      <c r="CG3609" s="319"/>
      <c r="CH3609" s="318"/>
      <c r="CI3609" s="319"/>
      <c r="CJ3609" s="319"/>
      <c r="CK3609" s="342"/>
      <c r="CL3609" s="333"/>
      <c r="CM3609" s="1079"/>
      <c r="CN3609" s="1005"/>
      <c r="CO3609" s="1005"/>
      <c r="CP3609" s="1005"/>
    </row>
    <row r="3610">
      <c r="A3610" s="1257"/>
      <c r="B3610" s="1113"/>
      <c r="C3610" s="1107"/>
      <c r="D3610" s="103"/>
      <c r="E3610" s="1137"/>
      <c r="F3610" s="112"/>
      <c r="G3610" s="1110"/>
      <c r="H3610" s="1138"/>
      <c r="I3610" s="1138"/>
      <c r="J3610" s="1139"/>
      <c r="K3610" s="1111"/>
      <c r="L3610" s="1112"/>
      <c r="M3610" s="1113"/>
      <c r="N3610" s="110"/>
      <c r="O3610" s="1140"/>
      <c r="P3610" s="1115"/>
      <c r="Q3610" s="1116"/>
      <c r="R3610" s="1141"/>
      <c r="S3610" s="1113"/>
      <c r="T3610" s="1143"/>
      <c r="U3610" s="1108"/>
      <c r="V3610" s="1108"/>
      <c r="W3610" s="1108"/>
      <c r="X3610" s="1108"/>
      <c r="Y3610" s="1108"/>
      <c r="Z3610" s="1114"/>
      <c r="AA3610" s="1114"/>
      <c r="AB3610" s="1114"/>
      <c r="AC3610" s="1117"/>
      <c r="AD3610" s="1115"/>
      <c r="AE3610" s="1115"/>
      <c r="AF3610" s="1115"/>
      <c r="AG3610" s="1115"/>
      <c r="AH3610" s="1115"/>
      <c r="AI3610" s="1115"/>
      <c r="AJ3610" s="1117"/>
      <c r="AK3610" s="1118"/>
      <c r="AL3610" s="1115"/>
      <c r="AM3610" s="1115"/>
      <c r="AN3610" s="1115"/>
      <c r="AO3610" s="1115"/>
      <c r="AP3610" s="1115"/>
      <c r="AQ3610" s="1115"/>
      <c r="AR3610" s="1115"/>
      <c r="AS3610" s="1117"/>
      <c r="AT3610" s="1075"/>
      <c r="AU3610" s="1193"/>
      <c r="AV3610" s="330"/>
      <c r="AW3610" s="331"/>
      <c r="AX3610" s="331"/>
      <c r="AY3610" s="331"/>
      <c r="AZ3610" s="331"/>
      <c r="BA3610" s="331"/>
      <c r="BB3610" s="331"/>
      <c r="BC3610" s="331"/>
      <c r="BD3610" s="331"/>
      <c r="BE3610" s="333"/>
      <c r="BF3610" s="330"/>
      <c r="BG3610" s="333"/>
      <c r="BH3610" s="1119"/>
      <c r="BI3610" s="319"/>
      <c r="BJ3610" s="319"/>
      <c r="BK3610" s="319"/>
      <c r="BL3610" s="319"/>
      <c r="BM3610" s="319"/>
      <c r="BN3610" s="319"/>
      <c r="BO3610" s="319"/>
      <c r="BP3610" s="953"/>
      <c r="BQ3610" s="319"/>
      <c r="BR3610" s="319"/>
      <c r="BS3610" s="330"/>
      <c r="BT3610" s="331"/>
      <c r="BU3610" s="920"/>
      <c r="BV3610" s="903"/>
      <c r="BW3610" s="908"/>
      <c r="BX3610" s="908"/>
      <c r="BY3610" s="331"/>
      <c r="BZ3610" s="331"/>
      <c r="CA3610" s="462"/>
      <c r="CB3610" s="319"/>
      <c r="CC3610" s="319"/>
      <c r="CD3610" s="319"/>
      <c r="CE3610" s="319"/>
      <c r="CF3610" s="319"/>
      <c r="CG3610" s="319"/>
      <c r="CH3610" s="318"/>
      <c r="CI3610" s="319"/>
      <c r="CJ3610" s="319"/>
      <c r="CK3610" s="342"/>
      <c r="CL3610" s="333"/>
      <c r="CM3610" s="1079"/>
      <c r="CN3610" s="1005"/>
      <c r="CO3610" s="1005"/>
      <c r="CP3610" s="1005"/>
    </row>
    <row r="3611">
      <c r="A3611" s="1257"/>
      <c r="B3611" s="1113"/>
      <c r="C3611" s="1107"/>
      <c r="D3611" s="103"/>
      <c r="E3611" s="1137"/>
      <c r="F3611" s="112"/>
      <c r="G3611" s="1110"/>
      <c r="H3611" s="1138"/>
      <c r="I3611" s="1138"/>
      <c r="J3611" s="1139"/>
      <c r="K3611" s="1111"/>
      <c r="L3611" s="1112"/>
      <c r="M3611" s="1113"/>
      <c r="N3611" s="110"/>
      <c r="O3611" s="1140"/>
      <c r="P3611" s="1115"/>
      <c r="Q3611" s="1116"/>
      <c r="R3611" s="1141"/>
      <c r="S3611" s="1113"/>
      <c r="T3611" s="1143"/>
      <c r="U3611" s="1108"/>
      <c r="V3611" s="1108"/>
      <c r="W3611" s="1108"/>
      <c r="X3611" s="1108"/>
      <c r="Y3611" s="1108"/>
      <c r="Z3611" s="1114"/>
      <c r="AA3611" s="1114"/>
      <c r="AB3611" s="1114"/>
      <c r="AC3611" s="1117"/>
      <c r="AD3611" s="1115"/>
      <c r="AE3611" s="1115"/>
      <c r="AF3611" s="1115"/>
      <c r="AG3611" s="1115"/>
      <c r="AH3611" s="1115"/>
      <c r="AI3611" s="1115"/>
      <c r="AJ3611" s="1117"/>
      <c r="AK3611" s="1118"/>
      <c r="AL3611" s="1115"/>
      <c r="AM3611" s="1115"/>
      <c r="AN3611" s="1115"/>
      <c r="AO3611" s="1115"/>
      <c r="AP3611" s="1115"/>
      <c r="AQ3611" s="1115"/>
      <c r="AR3611" s="1115"/>
      <c r="AS3611" s="1117"/>
      <c r="AT3611" s="1075"/>
      <c r="AU3611" s="1193"/>
      <c r="AV3611" s="330"/>
      <c r="AW3611" s="331"/>
      <c r="AX3611" s="331"/>
      <c r="AY3611" s="331"/>
      <c r="AZ3611" s="331"/>
      <c r="BA3611" s="331"/>
      <c r="BB3611" s="331"/>
      <c r="BC3611" s="331"/>
      <c r="BD3611" s="331"/>
      <c r="BE3611" s="333"/>
      <c r="BF3611" s="330"/>
      <c r="BG3611" s="333"/>
      <c r="BH3611" s="1119"/>
      <c r="BI3611" s="319"/>
      <c r="BJ3611" s="319"/>
      <c r="BK3611" s="319"/>
      <c r="BL3611" s="319"/>
      <c r="BM3611" s="319"/>
      <c r="BN3611" s="319"/>
      <c r="BO3611" s="319"/>
      <c r="BP3611" s="953"/>
      <c r="BQ3611" s="319"/>
      <c r="BR3611" s="319"/>
      <c r="BS3611" s="330"/>
      <c r="BT3611" s="331"/>
      <c r="BU3611" s="920"/>
      <c r="BV3611" s="903"/>
      <c r="BW3611" s="908"/>
      <c r="BX3611" s="908"/>
      <c r="BY3611" s="331"/>
      <c r="BZ3611" s="331"/>
      <c r="CA3611" s="462"/>
      <c r="CB3611" s="319"/>
      <c r="CC3611" s="319"/>
      <c r="CD3611" s="319"/>
      <c r="CE3611" s="319"/>
      <c r="CF3611" s="319"/>
      <c r="CG3611" s="319"/>
      <c r="CH3611" s="318"/>
      <c r="CI3611" s="319"/>
      <c r="CJ3611" s="319"/>
      <c r="CK3611" s="342"/>
      <c r="CL3611" s="333"/>
      <c r="CM3611" s="1079"/>
      <c r="CN3611" s="1005"/>
      <c r="CO3611" s="1005"/>
      <c r="CP3611" s="1005"/>
    </row>
    <row r="3612">
      <c r="A3612" s="1257"/>
      <c r="B3612" s="1113"/>
      <c r="C3612" s="1107"/>
      <c r="D3612" s="103"/>
      <c r="E3612" s="1137"/>
      <c r="F3612" s="112"/>
      <c r="G3612" s="1110"/>
      <c r="H3612" s="1138"/>
      <c r="I3612" s="1138"/>
      <c r="J3612" s="1139"/>
      <c r="K3612" s="1111"/>
      <c r="L3612" s="1112"/>
      <c r="M3612" s="1113"/>
      <c r="N3612" s="110"/>
      <c r="O3612" s="1140"/>
      <c r="P3612" s="1115"/>
      <c r="Q3612" s="1116"/>
      <c r="R3612" s="1141"/>
      <c r="S3612" s="1113"/>
      <c r="T3612" s="1143"/>
      <c r="U3612" s="1108"/>
      <c r="V3612" s="1108"/>
      <c r="W3612" s="1108"/>
      <c r="X3612" s="1108"/>
      <c r="Y3612" s="1108"/>
      <c r="Z3612" s="1114"/>
      <c r="AA3612" s="1114"/>
      <c r="AB3612" s="1114"/>
      <c r="AC3612" s="1117"/>
      <c r="AD3612" s="1115"/>
      <c r="AE3612" s="1115"/>
      <c r="AF3612" s="1115"/>
      <c r="AG3612" s="1115"/>
      <c r="AH3612" s="1115"/>
      <c r="AI3612" s="1115"/>
      <c r="AJ3612" s="1117"/>
      <c r="AK3612" s="1118"/>
      <c r="AL3612" s="1115"/>
      <c r="AM3612" s="1115"/>
      <c r="AN3612" s="1115"/>
      <c r="AO3612" s="1115"/>
      <c r="AP3612" s="1115"/>
      <c r="AQ3612" s="1115"/>
      <c r="AR3612" s="1115"/>
      <c r="AS3612" s="1117"/>
      <c r="AT3612" s="1075"/>
      <c r="AU3612" s="1193"/>
      <c r="AV3612" s="330"/>
      <c r="AW3612" s="331"/>
      <c r="AX3612" s="331"/>
      <c r="AY3612" s="331"/>
      <c r="AZ3612" s="331"/>
      <c r="BA3612" s="331"/>
      <c r="BB3612" s="331"/>
      <c r="BC3612" s="331"/>
      <c r="BD3612" s="331"/>
      <c r="BE3612" s="333"/>
      <c r="BF3612" s="330"/>
      <c r="BG3612" s="333"/>
      <c r="BH3612" s="1119"/>
      <c r="BI3612" s="319"/>
      <c r="BJ3612" s="319"/>
      <c r="BK3612" s="319"/>
      <c r="BL3612" s="319"/>
      <c r="BM3612" s="319"/>
      <c r="BN3612" s="319"/>
      <c r="BO3612" s="319"/>
      <c r="BP3612" s="953"/>
      <c r="BQ3612" s="319"/>
      <c r="BR3612" s="319"/>
      <c r="BS3612" s="330"/>
      <c r="BT3612" s="331"/>
      <c r="BU3612" s="920"/>
      <c r="BV3612" s="903"/>
      <c r="BW3612" s="908"/>
      <c r="BX3612" s="908"/>
      <c r="BY3612" s="331"/>
      <c r="BZ3612" s="331"/>
      <c r="CA3612" s="462"/>
      <c r="CB3612" s="319"/>
      <c r="CC3612" s="319"/>
      <c r="CD3612" s="319"/>
      <c r="CE3612" s="319"/>
      <c r="CF3612" s="319"/>
      <c r="CG3612" s="319"/>
      <c r="CH3612" s="318"/>
      <c r="CI3612" s="319"/>
      <c r="CJ3612" s="319"/>
      <c r="CK3612" s="342"/>
      <c r="CL3612" s="333"/>
      <c r="CM3612" s="1079"/>
      <c r="CN3612" s="1005"/>
      <c r="CO3612" s="1005"/>
      <c r="CP3612" s="1005"/>
    </row>
    <row r="3613">
      <c r="A3613" s="1257"/>
      <c r="B3613" s="1113"/>
      <c r="C3613" s="1107"/>
      <c r="D3613" s="103"/>
      <c r="E3613" s="1137"/>
      <c r="F3613" s="112"/>
      <c r="G3613" s="1110"/>
      <c r="H3613" s="1138"/>
      <c r="I3613" s="1138"/>
      <c r="J3613" s="1139"/>
      <c r="K3613" s="1111"/>
      <c r="L3613" s="1112"/>
      <c r="M3613" s="1113"/>
      <c r="N3613" s="110"/>
      <c r="O3613" s="1140"/>
      <c r="P3613" s="1115"/>
      <c r="Q3613" s="1116"/>
      <c r="R3613" s="1141"/>
      <c r="S3613" s="1113"/>
      <c r="T3613" s="1143"/>
      <c r="U3613" s="1108"/>
      <c r="V3613" s="1108"/>
      <c r="W3613" s="1108"/>
      <c r="X3613" s="1108"/>
      <c r="Y3613" s="1108"/>
      <c r="Z3613" s="1114"/>
      <c r="AA3613" s="1114"/>
      <c r="AB3613" s="1114"/>
      <c r="AC3613" s="1117"/>
      <c r="AD3613" s="1115"/>
      <c r="AE3613" s="1115"/>
      <c r="AF3613" s="1115"/>
      <c r="AG3613" s="1115"/>
      <c r="AH3613" s="1115"/>
      <c r="AI3613" s="1115"/>
      <c r="AJ3613" s="1117"/>
      <c r="AK3613" s="1118"/>
      <c r="AL3613" s="1115"/>
      <c r="AM3613" s="1115"/>
      <c r="AN3613" s="1115"/>
      <c r="AO3613" s="1115"/>
      <c r="AP3613" s="1115"/>
      <c r="AQ3613" s="1115"/>
      <c r="AR3613" s="1115"/>
      <c r="AS3613" s="1117"/>
      <c r="AT3613" s="1075"/>
      <c r="AU3613" s="1193"/>
      <c r="AV3613" s="330"/>
      <c r="AW3613" s="331"/>
      <c r="AX3613" s="331"/>
      <c r="AY3613" s="331"/>
      <c r="AZ3613" s="331"/>
      <c r="BA3613" s="331"/>
      <c r="BB3613" s="331"/>
      <c r="BC3613" s="331"/>
      <c r="BD3613" s="331"/>
      <c r="BE3613" s="333"/>
      <c r="BF3613" s="330"/>
      <c r="BG3613" s="333"/>
      <c r="BH3613" s="1119"/>
      <c r="BI3613" s="319"/>
      <c r="BJ3613" s="319"/>
      <c r="BK3613" s="319"/>
      <c r="BL3613" s="319"/>
      <c r="BM3613" s="319"/>
      <c r="BN3613" s="319"/>
      <c r="BO3613" s="319"/>
      <c r="BP3613" s="953"/>
      <c r="BQ3613" s="319"/>
      <c r="BR3613" s="319"/>
      <c r="BS3613" s="330"/>
      <c r="BT3613" s="331"/>
      <c r="BU3613" s="920"/>
      <c r="BV3613" s="903"/>
      <c r="BW3613" s="908"/>
      <c r="BX3613" s="908"/>
      <c r="BY3613" s="331"/>
      <c r="BZ3613" s="331"/>
      <c r="CA3613" s="462"/>
      <c r="CB3613" s="319"/>
      <c r="CC3613" s="319"/>
      <c r="CD3613" s="319"/>
      <c r="CE3613" s="319"/>
      <c r="CF3613" s="319"/>
      <c r="CG3613" s="319"/>
      <c r="CH3613" s="318"/>
      <c r="CI3613" s="319"/>
      <c r="CJ3613" s="319"/>
      <c r="CK3613" s="342"/>
      <c r="CL3613" s="333"/>
      <c r="CM3613" s="1079"/>
      <c r="CN3613" s="1005"/>
      <c r="CO3613" s="1005"/>
      <c r="CP3613" s="1005"/>
    </row>
    <row r="3614">
      <c r="A3614" s="1257"/>
      <c r="B3614" s="1113"/>
      <c r="C3614" s="1107"/>
      <c r="D3614" s="103"/>
      <c r="E3614" s="1137"/>
      <c r="F3614" s="112"/>
      <c r="G3614" s="1110"/>
      <c r="H3614" s="1138"/>
      <c r="I3614" s="1138"/>
      <c r="J3614" s="1139"/>
      <c r="K3614" s="1111"/>
      <c r="L3614" s="1112"/>
      <c r="M3614" s="1113"/>
      <c r="N3614" s="110"/>
      <c r="O3614" s="1140"/>
      <c r="P3614" s="1115"/>
      <c r="Q3614" s="1116"/>
      <c r="R3614" s="1141"/>
      <c r="S3614" s="1113"/>
      <c r="T3614" s="1143"/>
      <c r="U3614" s="1108"/>
      <c r="V3614" s="1108"/>
      <c r="W3614" s="1108"/>
      <c r="X3614" s="1108"/>
      <c r="Y3614" s="1108"/>
      <c r="Z3614" s="1114"/>
      <c r="AA3614" s="1114"/>
      <c r="AB3614" s="1114"/>
      <c r="AC3614" s="1117"/>
      <c r="AD3614" s="1115"/>
      <c r="AE3614" s="1115"/>
      <c r="AF3614" s="1115"/>
      <c r="AG3614" s="1115"/>
      <c r="AH3614" s="1115"/>
      <c r="AI3614" s="1115"/>
      <c r="AJ3614" s="1117"/>
      <c r="AK3614" s="1118"/>
      <c r="AL3614" s="1115"/>
      <c r="AM3614" s="1115"/>
      <c r="AN3614" s="1115"/>
      <c r="AO3614" s="1115"/>
      <c r="AP3614" s="1115"/>
      <c r="AQ3614" s="1115"/>
      <c r="AR3614" s="1115"/>
      <c r="AS3614" s="1117"/>
      <c r="AT3614" s="1075"/>
      <c r="AU3614" s="1193"/>
      <c r="AV3614" s="330"/>
      <c r="AW3614" s="331"/>
      <c r="AX3614" s="331"/>
      <c r="AY3614" s="331"/>
      <c r="AZ3614" s="331"/>
      <c r="BA3614" s="331"/>
      <c r="BB3614" s="331"/>
      <c r="BC3614" s="331"/>
      <c r="BD3614" s="331"/>
      <c r="BE3614" s="333"/>
      <c r="BF3614" s="330"/>
      <c r="BG3614" s="333"/>
      <c r="BH3614" s="1119"/>
      <c r="BI3614" s="319"/>
      <c r="BJ3614" s="319"/>
      <c r="BK3614" s="319"/>
      <c r="BL3614" s="319"/>
      <c r="BM3614" s="319"/>
      <c r="BN3614" s="319"/>
      <c r="BO3614" s="319"/>
      <c r="BP3614" s="953"/>
      <c r="BQ3614" s="319"/>
      <c r="BR3614" s="319"/>
      <c r="BS3614" s="330"/>
      <c r="BT3614" s="331"/>
      <c r="BU3614" s="920"/>
      <c r="BV3614" s="903"/>
      <c r="BW3614" s="908"/>
      <c r="BX3614" s="908"/>
      <c r="BY3614" s="331"/>
      <c r="BZ3614" s="331"/>
      <c r="CA3614" s="462"/>
      <c r="CB3614" s="319"/>
      <c r="CC3614" s="319"/>
      <c r="CD3614" s="319"/>
      <c r="CE3614" s="319"/>
      <c r="CF3614" s="319"/>
      <c r="CG3614" s="319"/>
      <c r="CH3614" s="318"/>
      <c r="CI3614" s="319"/>
      <c r="CJ3614" s="319"/>
      <c r="CK3614" s="342"/>
      <c r="CL3614" s="333"/>
      <c r="CM3614" s="1079"/>
      <c r="CN3614" s="1005"/>
      <c r="CO3614" s="1005"/>
      <c r="CP3614" s="1005"/>
    </row>
    <row r="3615">
      <c r="A3615" s="1257"/>
      <c r="B3615" s="1113"/>
      <c r="C3615" s="1107"/>
      <c r="D3615" s="103"/>
      <c r="E3615" s="1137"/>
      <c r="F3615" s="112"/>
      <c r="G3615" s="1110"/>
      <c r="H3615" s="1138"/>
      <c r="I3615" s="1138"/>
      <c r="J3615" s="1139"/>
      <c r="K3615" s="1111"/>
      <c r="L3615" s="1112"/>
      <c r="M3615" s="1113"/>
      <c r="N3615" s="110"/>
      <c r="O3615" s="1140"/>
      <c r="P3615" s="1115"/>
      <c r="Q3615" s="1116"/>
      <c r="R3615" s="1141"/>
      <c r="S3615" s="1113"/>
      <c r="T3615" s="1143"/>
      <c r="U3615" s="1108"/>
      <c r="V3615" s="1108"/>
      <c r="W3615" s="1108"/>
      <c r="X3615" s="1108"/>
      <c r="Y3615" s="1108"/>
      <c r="Z3615" s="1114"/>
      <c r="AA3615" s="1114"/>
      <c r="AB3615" s="1114"/>
      <c r="AC3615" s="1117"/>
      <c r="AD3615" s="1115"/>
      <c r="AE3615" s="1115"/>
      <c r="AF3615" s="1115"/>
      <c r="AG3615" s="1115"/>
      <c r="AH3615" s="1115"/>
      <c r="AI3615" s="1115"/>
      <c r="AJ3615" s="1117"/>
      <c r="AK3615" s="1118"/>
      <c r="AL3615" s="1115"/>
      <c r="AM3615" s="1115"/>
      <c r="AN3615" s="1115"/>
      <c r="AO3615" s="1115"/>
      <c r="AP3615" s="1115"/>
      <c r="AQ3615" s="1115"/>
      <c r="AR3615" s="1115"/>
      <c r="AS3615" s="1117"/>
      <c r="AT3615" s="1075"/>
      <c r="AU3615" s="1193"/>
      <c r="AV3615" s="330"/>
      <c r="AW3615" s="331"/>
      <c r="AX3615" s="331"/>
      <c r="AY3615" s="331"/>
      <c r="AZ3615" s="331"/>
      <c r="BA3615" s="331"/>
      <c r="BB3615" s="331"/>
      <c r="BC3615" s="331"/>
      <c r="BD3615" s="331"/>
      <c r="BE3615" s="333"/>
      <c r="BF3615" s="330"/>
      <c r="BG3615" s="333"/>
      <c r="BH3615" s="1119"/>
      <c r="BI3615" s="319"/>
      <c r="BJ3615" s="319"/>
      <c r="BK3615" s="319"/>
      <c r="BL3615" s="319"/>
      <c r="BM3615" s="319"/>
      <c r="BN3615" s="319"/>
      <c r="BO3615" s="319"/>
      <c r="BP3615" s="953"/>
      <c r="BQ3615" s="319"/>
      <c r="BR3615" s="319"/>
      <c r="BS3615" s="330"/>
      <c r="BT3615" s="331"/>
      <c r="BU3615" s="920"/>
      <c r="BV3615" s="903"/>
      <c r="BW3615" s="908"/>
      <c r="BX3615" s="908"/>
      <c r="BY3615" s="331"/>
      <c r="BZ3615" s="331"/>
      <c r="CA3615" s="462"/>
      <c r="CB3615" s="319"/>
      <c r="CC3615" s="319"/>
      <c r="CD3615" s="319"/>
      <c r="CE3615" s="319"/>
      <c r="CF3615" s="319"/>
      <c r="CG3615" s="319"/>
      <c r="CH3615" s="318"/>
      <c r="CI3615" s="319"/>
      <c r="CJ3615" s="319"/>
      <c r="CK3615" s="342"/>
      <c r="CL3615" s="333"/>
      <c r="CM3615" s="1079"/>
      <c r="CN3615" s="1005"/>
      <c r="CO3615" s="1005"/>
      <c r="CP3615" s="1005"/>
    </row>
    <row r="3616">
      <c r="A3616" s="1257"/>
      <c r="B3616" s="1113"/>
      <c r="C3616" s="1107"/>
      <c r="D3616" s="103"/>
      <c r="E3616" s="1137"/>
      <c r="F3616" s="112"/>
      <c r="G3616" s="1110"/>
      <c r="H3616" s="1138"/>
      <c r="I3616" s="1138"/>
      <c r="J3616" s="1139"/>
      <c r="K3616" s="1111"/>
      <c r="L3616" s="1112"/>
      <c r="M3616" s="1113"/>
      <c r="N3616" s="110"/>
      <c r="O3616" s="1140"/>
      <c r="P3616" s="1115"/>
      <c r="Q3616" s="1116"/>
      <c r="R3616" s="1141"/>
      <c r="S3616" s="1113"/>
      <c r="T3616" s="1143"/>
      <c r="U3616" s="1108"/>
      <c r="V3616" s="1108"/>
      <c r="W3616" s="1108"/>
      <c r="X3616" s="1108"/>
      <c r="Y3616" s="1108"/>
      <c r="Z3616" s="1114"/>
      <c r="AA3616" s="1114"/>
      <c r="AB3616" s="1114"/>
      <c r="AC3616" s="1117"/>
      <c r="AD3616" s="1115"/>
      <c r="AE3616" s="1115"/>
      <c r="AF3616" s="1115"/>
      <c r="AG3616" s="1115"/>
      <c r="AH3616" s="1115"/>
      <c r="AI3616" s="1115"/>
      <c r="AJ3616" s="1117"/>
      <c r="AK3616" s="1118"/>
      <c r="AL3616" s="1115"/>
      <c r="AM3616" s="1115"/>
      <c r="AN3616" s="1115"/>
      <c r="AO3616" s="1115"/>
      <c r="AP3616" s="1115"/>
      <c r="AQ3616" s="1115"/>
      <c r="AR3616" s="1115"/>
      <c r="AS3616" s="1117"/>
      <c r="AT3616" s="1075"/>
      <c r="AU3616" s="1193"/>
      <c r="AV3616" s="330"/>
      <c r="AW3616" s="331"/>
      <c r="AX3616" s="331"/>
      <c r="AY3616" s="331"/>
      <c r="AZ3616" s="331"/>
      <c r="BA3616" s="331"/>
      <c r="BB3616" s="331"/>
      <c r="BC3616" s="331"/>
      <c r="BD3616" s="331"/>
      <c r="BE3616" s="333"/>
      <c r="BF3616" s="330"/>
      <c r="BG3616" s="333"/>
      <c r="BH3616" s="1119"/>
      <c r="BI3616" s="319"/>
      <c r="BJ3616" s="319"/>
      <c r="BK3616" s="319"/>
      <c r="BL3616" s="319"/>
      <c r="BM3616" s="319"/>
      <c r="BN3616" s="319"/>
      <c r="BO3616" s="319"/>
      <c r="BP3616" s="953"/>
      <c r="BQ3616" s="319"/>
      <c r="BR3616" s="319"/>
      <c r="BS3616" s="330"/>
      <c r="BT3616" s="331"/>
      <c r="BU3616" s="920"/>
      <c r="BV3616" s="903"/>
      <c r="BW3616" s="908"/>
      <c r="BX3616" s="908"/>
      <c r="BY3616" s="331"/>
      <c r="BZ3616" s="331"/>
      <c r="CA3616" s="462"/>
      <c r="CB3616" s="319"/>
      <c r="CC3616" s="319"/>
      <c r="CD3616" s="319"/>
      <c r="CE3616" s="319"/>
      <c r="CF3616" s="319"/>
      <c r="CG3616" s="319"/>
      <c r="CH3616" s="318"/>
      <c r="CI3616" s="319"/>
      <c r="CJ3616" s="319"/>
      <c r="CK3616" s="342"/>
      <c r="CL3616" s="333"/>
      <c r="CM3616" s="1079"/>
      <c r="CN3616" s="1005"/>
      <c r="CO3616" s="1005"/>
      <c r="CP3616" s="1005"/>
    </row>
    <row r="3617">
      <c r="A3617" s="1257"/>
      <c r="B3617" s="1113"/>
      <c r="C3617" s="1107"/>
      <c r="D3617" s="103"/>
      <c r="E3617" s="1137"/>
      <c r="F3617" s="112"/>
      <c r="G3617" s="1110"/>
      <c r="H3617" s="1138"/>
      <c r="I3617" s="1138"/>
      <c r="J3617" s="1139"/>
      <c r="K3617" s="1111"/>
      <c r="L3617" s="1112"/>
      <c r="M3617" s="1113"/>
      <c r="N3617" s="110"/>
      <c r="O3617" s="1140"/>
      <c r="P3617" s="1115"/>
      <c r="Q3617" s="1116"/>
      <c r="R3617" s="1141"/>
      <c r="S3617" s="1113"/>
      <c r="T3617" s="1143"/>
      <c r="U3617" s="1108"/>
      <c r="V3617" s="1108"/>
      <c r="W3617" s="1108"/>
      <c r="X3617" s="1108"/>
      <c r="Y3617" s="1108"/>
      <c r="Z3617" s="1114"/>
      <c r="AA3617" s="1114"/>
      <c r="AB3617" s="1114"/>
      <c r="AC3617" s="1117"/>
      <c r="AD3617" s="1115"/>
      <c r="AE3617" s="1115"/>
      <c r="AF3617" s="1115"/>
      <c r="AG3617" s="1115"/>
      <c r="AH3617" s="1115"/>
      <c r="AI3617" s="1115"/>
      <c r="AJ3617" s="1117"/>
      <c r="AK3617" s="1118"/>
      <c r="AL3617" s="1115"/>
      <c r="AM3617" s="1115"/>
      <c r="AN3617" s="1115"/>
      <c r="AO3617" s="1115"/>
      <c r="AP3617" s="1115"/>
      <c r="AQ3617" s="1115"/>
      <c r="AR3617" s="1115"/>
      <c r="AS3617" s="1117"/>
      <c r="AT3617" s="1075"/>
      <c r="AU3617" s="1193"/>
      <c r="AV3617" s="330"/>
      <c r="AW3617" s="331"/>
      <c r="AX3617" s="331"/>
      <c r="AY3617" s="331"/>
      <c r="AZ3617" s="331"/>
      <c r="BA3617" s="331"/>
      <c r="BB3617" s="331"/>
      <c r="BC3617" s="331"/>
      <c r="BD3617" s="331"/>
      <c r="BE3617" s="333"/>
      <c r="BF3617" s="330"/>
      <c r="BG3617" s="333"/>
      <c r="BH3617" s="1119"/>
      <c r="BI3617" s="319"/>
      <c r="BJ3617" s="319"/>
      <c r="BK3617" s="319"/>
      <c r="BL3617" s="319"/>
      <c r="BM3617" s="319"/>
      <c r="BN3617" s="319"/>
      <c r="BO3617" s="319"/>
      <c r="BP3617" s="953"/>
      <c r="BQ3617" s="319"/>
      <c r="BR3617" s="319"/>
      <c r="BS3617" s="330"/>
      <c r="BT3617" s="331"/>
      <c r="BU3617" s="920"/>
      <c r="BV3617" s="903"/>
      <c r="BW3617" s="908"/>
      <c r="BX3617" s="908"/>
      <c r="BY3617" s="331"/>
      <c r="BZ3617" s="331"/>
      <c r="CA3617" s="462"/>
      <c r="CB3617" s="319"/>
      <c r="CC3617" s="319"/>
      <c r="CD3617" s="319"/>
      <c r="CE3617" s="319"/>
      <c r="CF3617" s="319"/>
      <c r="CG3617" s="319"/>
      <c r="CH3617" s="318"/>
      <c r="CI3617" s="319"/>
      <c r="CJ3617" s="319"/>
      <c r="CK3617" s="342"/>
      <c r="CL3617" s="333"/>
      <c r="CM3617" s="1079"/>
      <c r="CN3617" s="1005"/>
      <c r="CO3617" s="1005"/>
      <c r="CP3617" s="1005"/>
    </row>
    <row r="3618">
      <c r="A3618" s="1257"/>
      <c r="B3618" s="1113"/>
      <c r="C3618" s="1107"/>
      <c r="D3618" s="103"/>
      <c r="E3618" s="1137"/>
      <c r="F3618" s="112"/>
      <c r="G3618" s="1110"/>
      <c r="H3618" s="1138"/>
      <c r="I3618" s="1138"/>
      <c r="J3618" s="1139"/>
      <c r="K3618" s="1111"/>
      <c r="L3618" s="1112"/>
      <c r="M3618" s="1113"/>
      <c r="N3618" s="110"/>
      <c r="O3618" s="1140"/>
      <c r="P3618" s="1115"/>
      <c r="Q3618" s="1116"/>
      <c r="R3618" s="1141"/>
      <c r="S3618" s="1113"/>
      <c r="T3618" s="1143"/>
      <c r="U3618" s="1108"/>
      <c r="V3618" s="1108"/>
      <c r="W3618" s="1108"/>
      <c r="X3618" s="1108"/>
      <c r="Y3618" s="1108"/>
      <c r="Z3618" s="1114"/>
      <c r="AA3618" s="1114"/>
      <c r="AB3618" s="1114"/>
      <c r="AC3618" s="1117"/>
      <c r="AD3618" s="1115"/>
      <c r="AE3618" s="1115"/>
      <c r="AF3618" s="1115"/>
      <c r="AG3618" s="1115"/>
      <c r="AH3618" s="1115"/>
      <c r="AI3618" s="1115"/>
      <c r="AJ3618" s="1117"/>
      <c r="AK3618" s="1118"/>
      <c r="AL3618" s="1115"/>
      <c r="AM3618" s="1115"/>
      <c r="AN3618" s="1115"/>
      <c r="AO3618" s="1115"/>
      <c r="AP3618" s="1115"/>
      <c r="AQ3618" s="1115"/>
      <c r="AR3618" s="1115"/>
      <c r="AS3618" s="1117"/>
      <c r="AT3618" s="1075"/>
      <c r="AU3618" s="1193"/>
      <c r="AV3618" s="330"/>
      <c r="AW3618" s="331"/>
      <c r="AX3618" s="331"/>
      <c r="AY3618" s="331"/>
      <c r="AZ3618" s="331"/>
      <c r="BA3618" s="331"/>
      <c r="BB3618" s="331"/>
      <c r="BC3618" s="331"/>
      <c r="BD3618" s="331"/>
      <c r="BE3618" s="333"/>
      <c r="BF3618" s="330"/>
      <c r="BG3618" s="333"/>
      <c r="BH3618" s="1119"/>
      <c r="BI3618" s="319"/>
      <c r="BJ3618" s="319"/>
      <c r="BK3618" s="319"/>
      <c r="BL3618" s="319"/>
      <c r="BM3618" s="319"/>
      <c r="BN3618" s="319"/>
      <c r="BO3618" s="319"/>
      <c r="BP3618" s="953"/>
      <c r="BQ3618" s="319"/>
      <c r="BR3618" s="319"/>
      <c r="BS3618" s="330"/>
      <c r="BT3618" s="331"/>
      <c r="BU3618" s="920"/>
      <c r="BV3618" s="903"/>
      <c r="BW3618" s="908"/>
      <c r="BX3618" s="908"/>
      <c r="BY3618" s="331"/>
      <c r="BZ3618" s="331"/>
      <c r="CA3618" s="462"/>
      <c r="CB3618" s="319"/>
      <c r="CC3618" s="319"/>
      <c r="CD3618" s="319"/>
      <c r="CE3618" s="319"/>
      <c r="CF3618" s="319"/>
      <c r="CG3618" s="319"/>
      <c r="CH3618" s="318"/>
      <c r="CI3618" s="319"/>
      <c r="CJ3618" s="319"/>
      <c r="CK3618" s="342"/>
      <c r="CL3618" s="333"/>
      <c r="CM3618" s="1079"/>
      <c r="CN3618" s="1005"/>
      <c r="CO3618" s="1005"/>
      <c r="CP3618" s="1005"/>
    </row>
    <row r="3619">
      <c r="A3619" s="1257"/>
      <c r="B3619" s="1113"/>
      <c r="C3619" s="1107"/>
      <c r="D3619" s="103"/>
      <c r="E3619" s="1137"/>
      <c r="F3619" s="112"/>
      <c r="G3619" s="1110"/>
      <c r="H3619" s="1138"/>
      <c r="I3619" s="1138"/>
      <c r="J3619" s="1139"/>
      <c r="K3619" s="1111"/>
      <c r="L3619" s="1112"/>
      <c r="M3619" s="1113"/>
      <c r="N3619" s="110"/>
      <c r="O3619" s="1140"/>
      <c r="P3619" s="1115"/>
      <c r="Q3619" s="1116"/>
      <c r="R3619" s="1141"/>
      <c r="S3619" s="1113"/>
      <c r="T3619" s="1143"/>
      <c r="U3619" s="1108"/>
      <c r="V3619" s="1108"/>
      <c r="W3619" s="1108"/>
      <c r="X3619" s="1108"/>
      <c r="Y3619" s="1108"/>
      <c r="Z3619" s="1114"/>
      <c r="AA3619" s="1114"/>
      <c r="AB3619" s="1114"/>
      <c r="AC3619" s="1117"/>
      <c r="AD3619" s="1115"/>
      <c r="AE3619" s="1115"/>
      <c r="AF3619" s="1115"/>
      <c r="AG3619" s="1115"/>
      <c r="AH3619" s="1115"/>
      <c r="AI3619" s="1115"/>
      <c r="AJ3619" s="1117"/>
      <c r="AK3619" s="1118"/>
      <c r="AL3619" s="1115"/>
      <c r="AM3619" s="1115"/>
      <c r="AN3619" s="1115"/>
      <c r="AO3619" s="1115"/>
      <c r="AP3619" s="1115"/>
      <c r="AQ3619" s="1115"/>
      <c r="AR3619" s="1115"/>
      <c r="AS3619" s="1117"/>
      <c r="AT3619" s="1075"/>
      <c r="AU3619" s="1193"/>
      <c r="AV3619" s="330"/>
      <c r="AW3619" s="331"/>
      <c r="AX3619" s="331"/>
      <c r="AY3619" s="331"/>
      <c r="AZ3619" s="331"/>
      <c r="BA3619" s="331"/>
      <c r="BB3619" s="331"/>
      <c r="BC3619" s="331"/>
      <c r="BD3619" s="331"/>
      <c r="BE3619" s="333"/>
      <c r="BF3619" s="330"/>
      <c r="BG3619" s="333"/>
      <c r="BH3619" s="1119"/>
      <c r="BI3619" s="319"/>
      <c r="BJ3619" s="319"/>
      <c r="BK3619" s="319"/>
      <c r="BL3619" s="319"/>
      <c r="BM3619" s="319"/>
      <c r="BN3619" s="319"/>
      <c r="BO3619" s="319"/>
      <c r="BP3619" s="953"/>
      <c r="BQ3619" s="319"/>
      <c r="BR3619" s="319"/>
      <c r="BS3619" s="330"/>
      <c r="BT3619" s="331"/>
      <c r="BU3619" s="920"/>
      <c r="BV3619" s="903"/>
      <c r="BW3619" s="908"/>
      <c r="BX3619" s="908"/>
      <c r="BY3619" s="331"/>
      <c r="BZ3619" s="331"/>
      <c r="CA3619" s="462"/>
      <c r="CB3619" s="319"/>
      <c r="CC3619" s="319"/>
      <c r="CD3619" s="319"/>
      <c r="CE3619" s="319"/>
      <c r="CF3619" s="319"/>
      <c r="CG3619" s="319"/>
      <c r="CH3619" s="318"/>
      <c r="CI3619" s="319"/>
      <c r="CJ3619" s="319"/>
      <c r="CK3619" s="342"/>
      <c r="CL3619" s="333"/>
      <c r="CM3619" s="1079"/>
      <c r="CN3619" s="1005"/>
      <c r="CO3619" s="1005"/>
      <c r="CP3619" s="1005"/>
    </row>
    <row r="3620">
      <c r="A3620" s="1257"/>
      <c r="B3620" s="1113"/>
      <c r="C3620" s="1107"/>
      <c r="D3620" s="103"/>
      <c r="E3620" s="1137"/>
      <c r="F3620" s="112"/>
      <c r="G3620" s="1110"/>
      <c r="H3620" s="1138"/>
      <c r="I3620" s="1138"/>
      <c r="J3620" s="1139"/>
      <c r="K3620" s="1111"/>
      <c r="L3620" s="1112"/>
      <c r="M3620" s="1113"/>
      <c r="N3620" s="110"/>
      <c r="O3620" s="1140"/>
      <c r="P3620" s="1115"/>
      <c r="Q3620" s="1116"/>
      <c r="R3620" s="1141"/>
      <c r="S3620" s="1113"/>
      <c r="T3620" s="1143"/>
      <c r="U3620" s="1108"/>
      <c r="V3620" s="1108"/>
      <c r="W3620" s="1108"/>
      <c r="X3620" s="1108"/>
      <c r="Y3620" s="1108"/>
      <c r="Z3620" s="1114"/>
      <c r="AA3620" s="1114"/>
      <c r="AB3620" s="1114"/>
      <c r="AC3620" s="1117"/>
      <c r="AD3620" s="1115"/>
      <c r="AE3620" s="1115"/>
      <c r="AF3620" s="1115"/>
      <c r="AG3620" s="1115"/>
      <c r="AH3620" s="1115"/>
      <c r="AI3620" s="1115"/>
      <c r="AJ3620" s="1117"/>
      <c r="AK3620" s="1118"/>
      <c r="AL3620" s="1115"/>
      <c r="AM3620" s="1115"/>
      <c r="AN3620" s="1115"/>
      <c r="AO3620" s="1115"/>
      <c r="AP3620" s="1115"/>
      <c r="AQ3620" s="1115"/>
      <c r="AR3620" s="1115"/>
      <c r="AS3620" s="1117"/>
      <c r="AT3620" s="1075"/>
      <c r="AU3620" s="1193"/>
      <c r="AV3620" s="330"/>
      <c r="AW3620" s="331"/>
      <c r="AX3620" s="331"/>
      <c r="AY3620" s="331"/>
      <c r="AZ3620" s="331"/>
      <c r="BA3620" s="331"/>
      <c r="BB3620" s="331"/>
      <c r="BC3620" s="331"/>
      <c r="BD3620" s="331"/>
      <c r="BE3620" s="333"/>
      <c r="BF3620" s="330"/>
      <c r="BG3620" s="333"/>
      <c r="BH3620" s="1119"/>
      <c r="BI3620" s="319"/>
      <c r="BJ3620" s="319"/>
      <c r="BK3620" s="319"/>
      <c r="BL3620" s="319"/>
      <c r="BM3620" s="319"/>
      <c r="BN3620" s="319"/>
      <c r="BO3620" s="319"/>
      <c r="BP3620" s="953"/>
      <c r="BQ3620" s="319"/>
      <c r="BR3620" s="319"/>
      <c r="BS3620" s="330"/>
      <c r="BT3620" s="331"/>
      <c r="BU3620" s="920"/>
      <c r="BV3620" s="903"/>
      <c r="BW3620" s="908"/>
      <c r="BX3620" s="908"/>
      <c r="BY3620" s="331"/>
      <c r="BZ3620" s="331"/>
      <c r="CA3620" s="462"/>
      <c r="CB3620" s="319"/>
      <c r="CC3620" s="319"/>
      <c r="CD3620" s="319"/>
      <c r="CE3620" s="319"/>
      <c r="CF3620" s="319"/>
      <c r="CG3620" s="319"/>
      <c r="CH3620" s="318"/>
      <c r="CI3620" s="319"/>
      <c r="CJ3620" s="319"/>
      <c r="CK3620" s="342"/>
      <c r="CL3620" s="333"/>
      <c r="CM3620" s="1079"/>
      <c r="CN3620" s="1005"/>
      <c r="CO3620" s="1005"/>
      <c r="CP3620" s="1005"/>
    </row>
    <row r="3621">
      <c r="A3621" s="1257"/>
      <c r="B3621" s="1113"/>
      <c r="C3621" s="1107"/>
      <c r="D3621" s="103"/>
      <c r="E3621" s="1137"/>
      <c r="F3621" s="112"/>
      <c r="G3621" s="1110"/>
      <c r="H3621" s="1138"/>
      <c r="I3621" s="1138"/>
      <c r="J3621" s="1139"/>
      <c r="K3621" s="1111"/>
      <c r="L3621" s="1112"/>
      <c r="M3621" s="1113"/>
      <c r="N3621" s="110"/>
      <c r="O3621" s="1140"/>
      <c r="P3621" s="1115"/>
      <c r="Q3621" s="1116"/>
      <c r="R3621" s="1141"/>
      <c r="S3621" s="1113"/>
      <c r="T3621" s="1143"/>
      <c r="U3621" s="1108"/>
      <c r="V3621" s="1108"/>
      <c r="W3621" s="1108"/>
      <c r="X3621" s="1108"/>
      <c r="Y3621" s="1108"/>
      <c r="Z3621" s="1114"/>
      <c r="AA3621" s="1114"/>
      <c r="AB3621" s="1114"/>
      <c r="AC3621" s="1117"/>
      <c r="AD3621" s="1115"/>
      <c r="AE3621" s="1115"/>
      <c r="AF3621" s="1115"/>
      <c r="AG3621" s="1115"/>
      <c r="AH3621" s="1115"/>
      <c r="AI3621" s="1115"/>
      <c r="AJ3621" s="1117"/>
      <c r="AK3621" s="1118"/>
      <c r="AL3621" s="1115"/>
      <c r="AM3621" s="1115"/>
      <c r="AN3621" s="1115"/>
      <c r="AO3621" s="1115"/>
      <c r="AP3621" s="1115"/>
      <c r="AQ3621" s="1115"/>
      <c r="AR3621" s="1115"/>
      <c r="AS3621" s="1117"/>
      <c r="AT3621" s="1075"/>
      <c r="AU3621" s="1193"/>
      <c r="AV3621" s="330"/>
      <c r="AW3621" s="331"/>
      <c r="AX3621" s="331"/>
      <c r="AY3621" s="331"/>
      <c r="AZ3621" s="331"/>
      <c r="BA3621" s="331"/>
      <c r="BB3621" s="331"/>
      <c r="BC3621" s="331"/>
      <c r="BD3621" s="331"/>
      <c r="BE3621" s="333"/>
      <c r="BF3621" s="330"/>
      <c r="BG3621" s="333"/>
      <c r="BH3621" s="1119"/>
      <c r="BI3621" s="319"/>
      <c r="BJ3621" s="319"/>
      <c r="BK3621" s="319"/>
      <c r="BL3621" s="319"/>
      <c r="BM3621" s="319"/>
      <c r="BN3621" s="319"/>
      <c r="BO3621" s="319"/>
      <c r="BP3621" s="953"/>
      <c r="BQ3621" s="319"/>
      <c r="BR3621" s="319"/>
      <c r="BS3621" s="330"/>
      <c r="BT3621" s="331"/>
      <c r="BU3621" s="920"/>
      <c r="BV3621" s="903"/>
      <c r="BW3621" s="908"/>
      <c r="BX3621" s="908"/>
      <c r="BY3621" s="331"/>
      <c r="BZ3621" s="331"/>
      <c r="CA3621" s="462"/>
      <c r="CB3621" s="319"/>
      <c r="CC3621" s="319"/>
      <c r="CD3621" s="319"/>
      <c r="CE3621" s="319"/>
      <c r="CF3621" s="319"/>
      <c r="CG3621" s="319"/>
      <c r="CH3621" s="318"/>
      <c r="CI3621" s="319"/>
      <c r="CJ3621" s="319"/>
      <c r="CK3621" s="342"/>
      <c r="CL3621" s="333"/>
      <c r="CM3621" s="1079"/>
      <c r="CN3621" s="1005"/>
      <c r="CO3621" s="1005"/>
      <c r="CP3621" s="1005"/>
    </row>
    <row r="3622">
      <c r="A3622" s="1257"/>
      <c r="B3622" s="1113"/>
      <c r="C3622" s="1107"/>
      <c r="D3622" s="103"/>
      <c r="E3622" s="1137"/>
      <c r="F3622" s="112"/>
      <c r="G3622" s="1110"/>
      <c r="H3622" s="1138"/>
      <c r="I3622" s="1138"/>
      <c r="J3622" s="1139"/>
      <c r="K3622" s="1111"/>
      <c r="L3622" s="1112"/>
      <c r="M3622" s="1113"/>
      <c r="N3622" s="110"/>
      <c r="O3622" s="1140"/>
      <c r="P3622" s="1115"/>
      <c r="Q3622" s="1116"/>
      <c r="R3622" s="1141"/>
      <c r="S3622" s="1113"/>
      <c r="T3622" s="1143"/>
      <c r="U3622" s="1108"/>
      <c r="V3622" s="1108"/>
      <c r="W3622" s="1108"/>
      <c r="X3622" s="1108"/>
      <c r="Y3622" s="1108"/>
      <c r="Z3622" s="1114"/>
      <c r="AA3622" s="1114"/>
      <c r="AB3622" s="1114"/>
      <c r="AC3622" s="1117"/>
      <c r="AD3622" s="1115"/>
      <c r="AE3622" s="1115"/>
      <c r="AF3622" s="1115"/>
      <c r="AG3622" s="1115"/>
      <c r="AH3622" s="1115"/>
      <c r="AI3622" s="1115"/>
      <c r="AJ3622" s="1117"/>
      <c r="AK3622" s="1118"/>
      <c r="AL3622" s="1115"/>
      <c r="AM3622" s="1115"/>
      <c r="AN3622" s="1115"/>
      <c r="AO3622" s="1115"/>
      <c r="AP3622" s="1115"/>
      <c r="AQ3622" s="1115"/>
      <c r="AR3622" s="1115"/>
      <c r="AS3622" s="1117"/>
      <c r="AT3622" s="1075"/>
      <c r="AU3622" s="1193"/>
      <c r="AV3622" s="330"/>
      <c r="AW3622" s="331"/>
      <c r="AX3622" s="331"/>
      <c r="AY3622" s="331"/>
      <c r="AZ3622" s="331"/>
      <c r="BA3622" s="331"/>
      <c r="BB3622" s="331"/>
      <c r="BC3622" s="331"/>
      <c r="BD3622" s="331"/>
      <c r="BE3622" s="333"/>
      <c r="BF3622" s="330"/>
      <c r="BG3622" s="333"/>
      <c r="BH3622" s="1119"/>
      <c r="BI3622" s="319"/>
      <c r="BJ3622" s="319"/>
      <c r="BK3622" s="319"/>
      <c r="BL3622" s="319"/>
      <c r="BM3622" s="319"/>
      <c r="BN3622" s="319"/>
      <c r="BO3622" s="319"/>
      <c r="BP3622" s="953"/>
      <c r="BQ3622" s="319"/>
      <c r="BR3622" s="319"/>
      <c r="BS3622" s="330"/>
      <c r="BT3622" s="331"/>
      <c r="BU3622" s="920"/>
      <c r="BV3622" s="903"/>
      <c r="BW3622" s="908"/>
      <c r="BX3622" s="908"/>
      <c r="BY3622" s="331"/>
      <c r="BZ3622" s="331"/>
      <c r="CA3622" s="462"/>
      <c r="CB3622" s="319"/>
      <c r="CC3622" s="319"/>
      <c r="CD3622" s="319"/>
      <c r="CE3622" s="319"/>
      <c r="CF3622" s="319"/>
      <c r="CG3622" s="319"/>
      <c r="CH3622" s="318"/>
      <c r="CI3622" s="319"/>
      <c r="CJ3622" s="319"/>
      <c r="CK3622" s="342"/>
      <c r="CL3622" s="333"/>
      <c r="CM3622" s="1079"/>
      <c r="CN3622" s="1005"/>
      <c r="CO3622" s="1005"/>
      <c r="CP3622" s="1005"/>
    </row>
    <row r="3623">
      <c r="A3623" s="1257"/>
      <c r="B3623" s="1113"/>
      <c r="C3623" s="1107"/>
      <c r="D3623" s="103"/>
      <c r="E3623" s="1137"/>
      <c r="F3623" s="112"/>
      <c r="G3623" s="1110"/>
      <c r="H3623" s="1138"/>
      <c r="I3623" s="1138"/>
      <c r="J3623" s="1139"/>
      <c r="K3623" s="1111"/>
      <c r="L3623" s="1112"/>
      <c r="M3623" s="1113"/>
      <c r="N3623" s="110"/>
      <c r="O3623" s="1140"/>
      <c r="P3623" s="1115"/>
      <c r="Q3623" s="1116"/>
      <c r="R3623" s="1141"/>
      <c r="S3623" s="1113"/>
      <c r="T3623" s="1143"/>
      <c r="U3623" s="1108"/>
      <c r="V3623" s="1108"/>
      <c r="W3623" s="1108"/>
      <c r="X3623" s="1108"/>
      <c r="Y3623" s="1108"/>
      <c r="Z3623" s="1114"/>
      <c r="AA3623" s="1114"/>
      <c r="AB3623" s="1114"/>
      <c r="AC3623" s="1117"/>
      <c r="AD3623" s="1115"/>
      <c r="AE3623" s="1115"/>
      <c r="AF3623" s="1115"/>
      <c r="AG3623" s="1115"/>
      <c r="AH3623" s="1115"/>
      <c r="AI3623" s="1115"/>
      <c r="AJ3623" s="1117"/>
      <c r="AK3623" s="1118"/>
      <c r="AL3623" s="1115"/>
      <c r="AM3623" s="1115"/>
      <c r="AN3623" s="1115"/>
      <c r="AO3623" s="1115"/>
      <c r="AP3623" s="1115"/>
      <c r="AQ3623" s="1115"/>
      <c r="AR3623" s="1115"/>
      <c r="AS3623" s="1117"/>
      <c r="AT3623" s="1075"/>
      <c r="AU3623" s="1193"/>
      <c r="AV3623" s="330"/>
      <c r="AW3623" s="331"/>
      <c r="AX3623" s="331"/>
      <c r="AY3623" s="331"/>
      <c r="AZ3623" s="331"/>
      <c r="BA3623" s="331"/>
      <c r="BB3623" s="331"/>
      <c r="BC3623" s="331"/>
      <c r="BD3623" s="331"/>
      <c r="BE3623" s="333"/>
      <c r="BF3623" s="330"/>
      <c r="BG3623" s="333"/>
      <c r="BH3623" s="1119"/>
      <c r="BI3623" s="319"/>
      <c r="BJ3623" s="319"/>
      <c r="BK3623" s="319"/>
      <c r="BL3623" s="319"/>
      <c r="BM3623" s="319"/>
      <c r="BN3623" s="319"/>
      <c r="BO3623" s="319"/>
      <c r="BP3623" s="953"/>
      <c r="BQ3623" s="319"/>
      <c r="BR3623" s="319"/>
      <c r="BS3623" s="330"/>
      <c r="BT3623" s="331"/>
      <c r="BU3623" s="920"/>
      <c r="BV3623" s="903"/>
      <c r="BW3623" s="908"/>
      <c r="BX3623" s="908"/>
      <c r="BY3623" s="331"/>
      <c r="BZ3623" s="331"/>
      <c r="CA3623" s="462"/>
      <c r="CB3623" s="319"/>
      <c r="CC3623" s="319"/>
      <c r="CD3623" s="319"/>
      <c r="CE3623" s="319"/>
      <c r="CF3623" s="319"/>
      <c r="CG3623" s="319"/>
      <c r="CH3623" s="318"/>
      <c r="CI3623" s="319"/>
      <c r="CJ3623" s="319"/>
      <c r="CK3623" s="342"/>
      <c r="CL3623" s="333"/>
      <c r="CM3623" s="1079"/>
      <c r="CN3623" s="1005"/>
      <c r="CO3623" s="1005"/>
      <c r="CP3623" s="1005"/>
    </row>
    <row r="3624">
      <c r="A3624" s="1257"/>
      <c r="B3624" s="1113"/>
      <c r="C3624" s="1107"/>
      <c r="D3624" s="103"/>
      <c r="E3624" s="1137"/>
      <c r="F3624" s="112"/>
      <c r="G3624" s="1110"/>
      <c r="H3624" s="1138"/>
      <c r="I3624" s="1138"/>
      <c r="J3624" s="1139"/>
      <c r="K3624" s="1111"/>
      <c r="L3624" s="1112"/>
      <c r="M3624" s="1113"/>
      <c r="N3624" s="110"/>
      <c r="O3624" s="1140"/>
      <c r="P3624" s="1115"/>
      <c r="Q3624" s="1116"/>
      <c r="R3624" s="1141"/>
      <c r="S3624" s="1113"/>
      <c r="T3624" s="1143"/>
      <c r="U3624" s="1108"/>
      <c r="V3624" s="1108"/>
      <c r="W3624" s="1108"/>
      <c r="X3624" s="1108"/>
      <c r="Y3624" s="1108"/>
      <c r="Z3624" s="1114"/>
      <c r="AA3624" s="1114"/>
      <c r="AB3624" s="1114"/>
      <c r="AC3624" s="1117"/>
      <c r="AD3624" s="1115"/>
      <c r="AE3624" s="1115"/>
      <c r="AF3624" s="1115"/>
      <c r="AG3624" s="1115"/>
      <c r="AH3624" s="1115"/>
      <c r="AI3624" s="1115"/>
      <c r="AJ3624" s="1117"/>
      <c r="AK3624" s="1118"/>
      <c r="AL3624" s="1115"/>
      <c r="AM3624" s="1115"/>
      <c r="AN3624" s="1115"/>
      <c r="AO3624" s="1115"/>
      <c r="AP3624" s="1115"/>
      <c r="AQ3624" s="1115"/>
      <c r="AR3624" s="1115"/>
      <c r="AS3624" s="1117"/>
      <c r="AT3624" s="1075"/>
      <c r="AU3624" s="1193"/>
      <c r="AV3624" s="330"/>
      <c r="AW3624" s="331"/>
      <c r="AX3624" s="331"/>
      <c r="AY3624" s="331"/>
      <c r="AZ3624" s="331"/>
      <c r="BA3624" s="331"/>
      <c r="BB3624" s="331"/>
      <c r="BC3624" s="331"/>
      <c r="BD3624" s="331"/>
      <c r="BE3624" s="333"/>
      <c r="BF3624" s="330"/>
      <c r="BG3624" s="333"/>
      <c r="BH3624" s="1119"/>
      <c r="BI3624" s="319"/>
      <c r="BJ3624" s="319"/>
      <c r="BK3624" s="319"/>
      <c r="BL3624" s="319"/>
      <c r="BM3624" s="319"/>
      <c r="BN3624" s="319"/>
      <c r="BO3624" s="319"/>
      <c r="BP3624" s="953"/>
      <c r="BQ3624" s="319"/>
      <c r="BR3624" s="319"/>
      <c r="BS3624" s="330"/>
      <c r="BT3624" s="331"/>
      <c r="BU3624" s="920"/>
      <c r="BV3624" s="903"/>
      <c r="BW3624" s="908"/>
      <c r="BX3624" s="908"/>
      <c r="BY3624" s="331"/>
      <c r="BZ3624" s="331"/>
      <c r="CA3624" s="462"/>
      <c r="CB3624" s="319"/>
      <c r="CC3624" s="319"/>
      <c r="CD3624" s="319"/>
      <c r="CE3624" s="319"/>
      <c r="CF3624" s="319"/>
      <c r="CG3624" s="319"/>
      <c r="CH3624" s="318"/>
      <c r="CI3624" s="319"/>
      <c r="CJ3624" s="319"/>
      <c r="CK3624" s="342"/>
      <c r="CL3624" s="333"/>
      <c r="CM3624" s="1079"/>
      <c r="CN3624" s="1005"/>
      <c r="CO3624" s="1005"/>
      <c r="CP3624" s="1005"/>
    </row>
    <row r="3625">
      <c r="A3625" s="1257"/>
      <c r="B3625" s="1113"/>
      <c r="C3625" s="1107"/>
      <c r="D3625" s="103"/>
      <c r="E3625" s="1137"/>
      <c r="F3625" s="112"/>
      <c r="G3625" s="1110"/>
      <c r="H3625" s="1138"/>
      <c r="I3625" s="1138"/>
      <c r="J3625" s="1139"/>
      <c r="K3625" s="1111"/>
      <c r="L3625" s="1112"/>
      <c r="M3625" s="1113"/>
      <c r="N3625" s="110"/>
      <c r="O3625" s="1140"/>
      <c r="P3625" s="1115"/>
      <c r="Q3625" s="1116"/>
      <c r="R3625" s="1141"/>
      <c r="S3625" s="1113"/>
      <c r="T3625" s="1143"/>
      <c r="U3625" s="1108"/>
      <c r="V3625" s="1108"/>
      <c r="W3625" s="1108"/>
      <c r="X3625" s="1108"/>
      <c r="Y3625" s="1108"/>
      <c r="Z3625" s="1114"/>
      <c r="AA3625" s="1114"/>
      <c r="AB3625" s="1114"/>
      <c r="AC3625" s="1117"/>
      <c r="AD3625" s="1115"/>
      <c r="AE3625" s="1115"/>
      <c r="AF3625" s="1115"/>
      <c r="AG3625" s="1115"/>
      <c r="AH3625" s="1115"/>
      <c r="AI3625" s="1115"/>
      <c r="AJ3625" s="1117"/>
      <c r="AK3625" s="1118"/>
      <c r="AL3625" s="1115"/>
      <c r="AM3625" s="1115"/>
      <c r="AN3625" s="1115"/>
      <c r="AO3625" s="1115"/>
      <c r="AP3625" s="1115"/>
      <c r="AQ3625" s="1115"/>
      <c r="AR3625" s="1115"/>
      <c r="AS3625" s="1117"/>
      <c r="AT3625" s="1075"/>
      <c r="AU3625" s="1193"/>
      <c r="AV3625" s="330"/>
      <c r="AW3625" s="331"/>
      <c r="AX3625" s="331"/>
      <c r="AY3625" s="331"/>
      <c r="AZ3625" s="331"/>
      <c r="BA3625" s="331"/>
      <c r="BB3625" s="331"/>
      <c r="BC3625" s="331"/>
      <c r="BD3625" s="331"/>
      <c r="BE3625" s="333"/>
      <c r="BF3625" s="330"/>
      <c r="BG3625" s="333"/>
      <c r="BH3625" s="1119"/>
      <c r="BI3625" s="319"/>
      <c r="BJ3625" s="319"/>
      <c r="BK3625" s="319"/>
      <c r="BL3625" s="319"/>
      <c r="BM3625" s="319"/>
      <c r="BN3625" s="319"/>
      <c r="BO3625" s="319"/>
      <c r="BP3625" s="953"/>
      <c r="BQ3625" s="319"/>
      <c r="BR3625" s="319"/>
      <c r="BS3625" s="330"/>
      <c r="BT3625" s="331"/>
      <c r="BU3625" s="920"/>
      <c r="BV3625" s="903"/>
      <c r="BW3625" s="908"/>
      <c r="BX3625" s="908"/>
      <c r="BY3625" s="331"/>
      <c r="BZ3625" s="331"/>
      <c r="CA3625" s="462"/>
      <c r="CB3625" s="319"/>
      <c r="CC3625" s="319"/>
      <c r="CD3625" s="319"/>
      <c r="CE3625" s="319"/>
      <c r="CF3625" s="319"/>
      <c r="CG3625" s="319"/>
      <c r="CH3625" s="318"/>
      <c r="CI3625" s="319"/>
      <c r="CJ3625" s="319"/>
      <c r="CK3625" s="342"/>
      <c r="CL3625" s="333"/>
      <c r="CM3625" s="1079"/>
      <c r="CN3625" s="1005"/>
      <c r="CO3625" s="1005"/>
      <c r="CP3625" s="1005"/>
    </row>
    <row r="3626">
      <c r="A3626" s="1257"/>
      <c r="B3626" s="1113"/>
      <c r="C3626" s="1107"/>
      <c r="D3626" s="103"/>
      <c r="E3626" s="1137"/>
      <c r="F3626" s="112"/>
      <c r="G3626" s="1110"/>
      <c r="H3626" s="1138"/>
      <c r="I3626" s="1138"/>
      <c r="J3626" s="1139"/>
      <c r="K3626" s="1111"/>
      <c r="L3626" s="1112"/>
      <c r="M3626" s="1113"/>
      <c r="N3626" s="110"/>
      <c r="O3626" s="1140"/>
      <c r="P3626" s="1115"/>
      <c r="Q3626" s="1116"/>
      <c r="R3626" s="1141"/>
      <c r="S3626" s="1113"/>
      <c r="T3626" s="1143"/>
      <c r="U3626" s="1108"/>
      <c r="V3626" s="1108"/>
      <c r="W3626" s="1108"/>
      <c r="X3626" s="1108"/>
      <c r="Y3626" s="1108"/>
      <c r="Z3626" s="1114"/>
      <c r="AA3626" s="1114"/>
      <c r="AB3626" s="1114"/>
      <c r="AC3626" s="1117"/>
      <c r="AD3626" s="1115"/>
      <c r="AE3626" s="1115"/>
      <c r="AF3626" s="1115"/>
      <c r="AG3626" s="1115"/>
      <c r="AH3626" s="1115"/>
      <c r="AI3626" s="1115"/>
      <c r="AJ3626" s="1117"/>
      <c r="AK3626" s="1118"/>
      <c r="AL3626" s="1115"/>
      <c r="AM3626" s="1115"/>
      <c r="AN3626" s="1115"/>
      <c r="AO3626" s="1115"/>
      <c r="AP3626" s="1115"/>
      <c r="AQ3626" s="1115"/>
      <c r="AR3626" s="1115"/>
      <c r="AS3626" s="1117"/>
      <c r="AT3626" s="1075"/>
      <c r="AU3626" s="1193"/>
      <c r="AV3626" s="330"/>
      <c r="AW3626" s="331"/>
      <c r="AX3626" s="331"/>
      <c r="AY3626" s="331"/>
      <c r="AZ3626" s="331"/>
      <c r="BA3626" s="331"/>
      <c r="BB3626" s="331"/>
      <c r="BC3626" s="331"/>
      <c r="BD3626" s="331"/>
      <c r="BE3626" s="333"/>
      <c r="BF3626" s="330"/>
      <c r="BG3626" s="333"/>
      <c r="BH3626" s="1119"/>
      <c r="BI3626" s="319"/>
      <c r="BJ3626" s="319"/>
      <c r="BK3626" s="319"/>
      <c r="BL3626" s="319"/>
      <c r="BM3626" s="319"/>
      <c r="BN3626" s="319"/>
      <c r="BO3626" s="319"/>
      <c r="BP3626" s="953"/>
      <c r="BQ3626" s="319"/>
      <c r="BR3626" s="319"/>
      <c r="BS3626" s="330"/>
      <c r="BT3626" s="331"/>
      <c r="BU3626" s="920"/>
      <c r="BV3626" s="903"/>
      <c r="BW3626" s="908"/>
      <c r="BX3626" s="908"/>
      <c r="BY3626" s="331"/>
      <c r="BZ3626" s="331"/>
      <c r="CA3626" s="462"/>
      <c r="CB3626" s="319"/>
      <c r="CC3626" s="319"/>
      <c r="CD3626" s="319"/>
      <c r="CE3626" s="319"/>
      <c r="CF3626" s="319"/>
      <c r="CG3626" s="319"/>
      <c r="CH3626" s="318"/>
      <c r="CI3626" s="319"/>
      <c r="CJ3626" s="319"/>
      <c r="CK3626" s="342"/>
      <c r="CL3626" s="333"/>
      <c r="CM3626" s="1079"/>
      <c r="CN3626" s="1005"/>
      <c r="CO3626" s="1005"/>
      <c r="CP3626" s="1005"/>
    </row>
    <row r="3627">
      <c r="A3627" s="1257"/>
      <c r="B3627" s="1113"/>
      <c r="C3627" s="1107"/>
      <c r="D3627" s="103"/>
      <c r="E3627" s="1137"/>
      <c r="F3627" s="112"/>
      <c r="G3627" s="1110"/>
      <c r="H3627" s="1138"/>
      <c r="I3627" s="1138"/>
      <c r="J3627" s="1139"/>
      <c r="K3627" s="1111"/>
      <c r="L3627" s="1112"/>
      <c r="M3627" s="1113"/>
      <c r="N3627" s="110"/>
      <c r="O3627" s="1140"/>
      <c r="P3627" s="1115"/>
      <c r="Q3627" s="1116"/>
      <c r="R3627" s="1141"/>
      <c r="S3627" s="1113"/>
      <c r="T3627" s="1143"/>
      <c r="U3627" s="1108"/>
      <c r="V3627" s="1108"/>
      <c r="W3627" s="1108"/>
      <c r="X3627" s="1108"/>
      <c r="Y3627" s="1108"/>
      <c r="Z3627" s="1114"/>
      <c r="AA3627" s="1114"/>
      <c r="AB3627" s="1114"/>
      <c r="AC3627" s="1117"/>
      <c r="AD3627" s="1115"/>
      <c r="AE3627" s="1115"/>
      <c r="AF3627" s="1115"/>
      <c r="AG3627" s="1115"/>
      <c r="AH3627" s="1115"/>
      <c r="AI3627" s="1115"/>
      <c r="AJ3627" s="1117"/>
      <c r="AK3627" s="1118"/>
      <c r="AL3627" s="1115"/>
      <c r="AM3627" s="1115"/>
      <c r="AN3627" s="1115"/>
      <c r="AO3627" s="1115"/>
      <c r="AP3627" s="1115"/>
      <c r="AQ3627" s="1115"/>
      <c r="AR3627" s="1115"/>
      <c r="AS3627" s="1117"/>
      <c r="AT3627" s="1075"/>
      <c r="AU3627" s="1193"/>
      <c r="AV3627" s="330"/>
      <c r="AW3627" s="331"/>
      <c r="AX3627" s="331"/>
      <c r="AY3627" s="331"/>
      <c r="AZ3627" s="331"/>
      <c r="BA3627" s="331"/>
      <c r="BB3627" s="331"/>
      <c r="BC3627" s="331"/>
      <c r="BD3627" s="331"/>
      <c r="BE3627" s="333"/>
      <c r="BF3627" s="330"/>
      <c r="BG3627" s="333"/>
      <c r="BH3627" s="1119"/>
      <c r="BI3627" s="319"/>
      <c r="BJ3627" s="319"/>
      <c r="BK3627" s="319"/>
      <c r="BL3627" s="319"/>
      <c r="BM3627" s="319"/>
      <c r="BN3627" s="319"/>
      <c r="BO3627" s="319"/>
      <c r="BP3627" s="953"/>
      <c r="BQ3627" s="319"/>
      <c r="BR3627" s="319"/>
      <c r="BS3627" s="330"/>
      <c r="BT3627" s="331"/>
      <c r="BU3627" s="920"/>
      <c r="BV3627" s="903"/>
      <c r="BW3627" s="908"/>
      <c r="BX3627" s="908"/>
      <c r="BY3627" s="331"/>
      <c r="BZ3627" s="331"/>
      <c r="CA3627" s="462"/>
      <c r="CB3627" s="319"/>
      <c r="CC3627" s="319"/>
      <c r="CD3627" s="319"/>
      <c r="CE3627" s="319"/>
      <c r="CF3627" s="319"/>
      <c r="CG3627" s="319"/>
      <c r="CH3627" s="318"/>
      <c r="CI3627" s="319"/>
      <c r="CJ3627" s="319"/>
      <c r="CK3627" s="342"/>
      <c r="CL3627" s="333"/>
      <c r="CM3627" s="1079"/>
      <c r="CN3627" s="1005"/>
      <c r="CO3627" s="1005"/>
      <c r="CP3627" s="1005"/>
    </row>
    <row r="3628">
      <c r="A3628" s="1257"/>
      <c r="B3628" s="1113"/>
      <c r="C3628" s="1107"/>
      <c r="D3628" s="103"/>
      <c r="E3628" s="1137"/>
      <c r="F3628" s="112"/>
      <c r="G3628" s="1110"/>
      <c r="H3628" s="1138"/>
      <c r="I3628" s="1138"/>
      <c r="J3628" s="1139"/>
      <c r="K3628" s="1111"/>
      <c r="L3628" s="1112"/>
      <c r="M3628" s="1113"/>
      <c r="N3628" s="110"/>
      <c r="O3628" s="1140"/>
      <c r="P3628" s="1115"/>
      <c r="Q3628" s="1116"/>
      <c r="R3628" s="1141"/>
      <c r="S3628" s="1113"/>
      <c r="T3628" s="1143"/>
      <c r="U3628" s="1108"/>
      <c r="V3628" s="1108"/>
      <c r="W3628" s="1108"/>
      <c r="X3628" s="1108"/>
      <c r="Y3628" s="1108"/>
      <c r="Z3628" s="1114"/>
      <c r="AA3628" s="1114"/>
      <c r="AB3628" s="1114"/>
      <c r="AC3628" s="1117"/>
      <c r="AD3628" s="1115"/>
      <c r="AE3628" s="1115"/>
      <c r="AF3628" s="1115"/>
      <c r="AG3628" s="1115"/>
      <c r="AH3628" s="1115"/>
      <c r="AI3628" s="1115"/>
      <c r="AJ3628" s="1117"/>
      <c r="AK3628" s="1118"/>
      <c r="AL3628" s="1115"/>
      <c r="AM3628" s="1115"/>
      <c r="AN3628" s="1115"/>
      <c r="AO3628" s="1115"/>
      <c r="AP3628" s="1115"/>
      <c r="AQ3628" s="1115"/>
      <c r="AR3628" s="1115"/>
      <c r="AS3628" s="1117"/>
      <c r="AT3628" s="1075"/>
      <c r="AU3628" s="1193"/>
      <c r="AV3628" s="330"/>
      <c r="AW3628" s="331"/>
      <c r="AX3628" s="331"/>
      <c r="AY3628" s="331"/>
      <c r="AZ3628" s="331"/>
      <c r="BA3628" s="331"/>
      <c r="BB3628" s="331"/>
      <c r="BC3628" s="331"/>
      <c r="BD3628" s="331"/>
      <c r="BE3628" s="333"/>
      <c r="BF3628" s="330"/>
      <c r="BG3628" s="333"/>
      <c r="BH3628" s="1119"/>
      <c r="BI3628" s="319"/>
      <c r="BJ3628" s="319"/>
      <c r="BK3628" s="319"/>
      <c r="BL3628" s="319"/>
      <c r="BM3628" s="319"/>
      <c r="BN3628" s="319"/>
      <c r="BO3628" s="319"/>
      <c r="BP3628" s="953"/>
      <c r="BQ3628" s="319"/>
      <c r="BR3628" s="319"/>
      <c r="BS3628" s="330"/>
      <c r="BT3628" s="331"/>
      <c r="BU3628" s="920"/>
      <c r="BV3628" s="903"/>
      <c r="BW3628" s="908"/>
      <c r="BX3628" s="908"/>
      <c r="BY3628" s="331"/>
      <c r="BZ3628" s="331"/>
      <c r="CA3628" s="462"/>
      <c r="CB3628" s="319"/>
      <c r="CC3628" s="319"/>
      <c r="CD3628" s="319"/>
      <c r="CE3628" s="319"/>
      <c r="CF3628" s="319"/>
      <c r="CG3628" s="319"/>
      <c r="CH3628" s="318"/>
      <c r="CI3628" s="319"/>
      <c r="CJ3628" s="319"/>
      <c r="CK3628" s="342"/>
      <c r="CL3628" s="333"/>
      <c r="CM3628" s="1079"/>
      <c r="CN3628" s="1005"/>
      <c r="CO3628" s="1005"/>
      <c r="CP3628" s="1005"/>
    </row>
    <row r="3629">
      <c r="A3629" s="1257"/>
      <c r="B3629" s="1113"/>
      <c r="C3629" s="1107"/>
      <c r="D3629" s="103"/>
      <c r="E3629" s="1137"/>
      <c r="F3629" s="112"/>
      <c r="G3629" s="1110"/>
      <c r="H3629" s="1138"/>
      <c r="I3629" s="1138"/>
      <c r="J3629" s="1139"/>
      <c r="K3629" s="1111"/>
      <c r="L3629" s="1112"/>
      <c r="M3629" s="1113"/>
      <c r="N3629" s="110"/>
      <c r="O3629" s="1140"/>
      <c r="P3629" s="1115"/>
      <c r="Q3629" s="1116"/>
      <c r="R3629" s="1141"/>
      <c r="S3629" s="1113"/>
      <c r="T3629" s="1143"/>
      <c r="U3629" s="1108"/>
      <c r="V3629" s="1108"/>
      <c r="W3629" s="1108"/>
      <c r="X3629" s="1108"/>
      <c r="Y3629" s="1108"/>
      <c r="Z3629" s="1114"/>
      <c r="AA3629" s="1114"/>
      <c r="AB3629" s="1114"/>
      <c r="AC3629" s="1117"/>
      <c r="AD3629" s="1115"/>
      <c r="AE3629" s="1115"/>
      <c r="AF3629" s="1115"/>
      <c r="AG3629" s="1115"/>
      <c r="AH3629" s="1115"/>
      <c r="AI3629" s="1115"/>
      <c r="AJ3629" s="1117"/>
      <c r="AK3629" s="1118"/>
      <c r="AL3629" s="1115"/>
      <c r="AM3629" s="1115"/>
      <c r="AN3629" s="1115"/>
      <c r="AO3629" s="1115"/>
      <c r="AP3629" s="1115"/>
      <c r="AQ3629" s="1115"/>
      <c r="AR3629" s="1115"/>
      <c r="AS3629" s="1117"/>
      <c r="AT3629" s="1075"/>
      <c r="AU3629" s="1193"/>
      <c r="AV3629" s="330"/>
      <c r="AW3629" s="331"/>
      <c r="AX3629" s="331"/>
      <c r="AY3629" s="331"/>
      <c r="AZ3629" s="331"/>
      <c r="BA3629" s="331"/>
      <c r="BB3629" s="331"/>
      <c r="BC3629" s="331"/>
      <c r="BD3629" s="331"/>
      <c r="BE3629" s="333"/>
      <c r="BF3629" s="330"/>
      <c r="BG3629" s="333"/>
      <c r="BH3629" s="1119"/>
      <c r="BI3629" s="319"/>
      <c r="BJ3629" s="319"/>
      <c r="BK3629" s="319"/>
      <c r="BL3629" s="319"/>
      <c r="BM3629" s="319"/>
      <c r="BN3629" s="319"/>
      <c r="BO3629" s="319"/>
      <c r="BP3629" s="953"/>
      <c r="BQ3629" s="319"/>
      <c r="BR3629" s="319"/>
      <c r="BS3629" s="330"/>
      <c r="BT3629" s="331"/>
      <c r="BU3629" s="920"/>
      <c r="BV3629" s="903"/>
      <c r="BW3629" s="908"/>
      <c r="BX3629" s="908"/>
      <c r="BY3629" s="331"/>
      <c r="BZ3629" s="331"/>
      <c r="CA3629" s="462"/>
      <c r="CB3629" s="319"/>
      <c r="CC3629" s="319"/>
      <c r="CD3629" s="319"/>
      <c r="CE3629" s="319"/>
      <c r="CF3629" s="319"/>
      <c r="CG3629" s="319"/>
      <c r="CH3629" s="318"/>
      <c r="CI3629" s="319"/>
      <c r="CJ3629" s="319"/>
      <c r="CK3629" s="342"/>
      <c r="CL3629" s="333"/>
      <c r="CM3629" s="1079"/>
      <c r="CN3629" s="1005"/>
      <c r="CO3629" s="1005"/>
      <c r="CP3629" s="1005"/>
    </row>
    <row r="3630">
      <c r="A3630" s="1257"/>
      <c r="B3630" s="1113"/>
      <c r="C3630" s="1107"/>
      <c r="D3630" s="103"/>
      <c r="E3630" s="1137"/>
      <c r="F3630" s="112"/>
      <c r="G3630" s="1110"/>
      <c r="H3630" s="1138"/>
      <c r="I3630" s="1138"/>
      <c r="J3630" s="1139"/>
      <c r="K3630" s="1111"/>
      <c r="L3630" s="1112"/>
      <c r="M3630" s="1113"/>
      <c r="N3630" s="110"/>
      <c r="O3630" s="1140"/>
      <c r="P3630" s="1115"/>
      <c r="Q3630" s="1116"/>
      <c r="R3630" s="1141"/>
      <c r="S3630" s="1113"/>
      <c r="T3630" s="1143"/>
      <c r="U3630" s="1108"/>
      <c r="V3630" s="1108"/>
      <c r="W3630" s="1108"/>
      <c r="X3630" s="1108"/>
      <c r="Y3630" s="1108"/>
      <c r="Z3630" s="1114"/>
      <c r="AA3630" s="1114"/>
      <c r="AB3630" s="1114"/>
      <c r="AC3630" s="1117"/>
      <c r="AD3630" s="1115"/>
      <c r="AE3630" s="1115"/>
      <c r="AF3630" s="1115"/>
      <c r="AG3630" s="1115"/>
      <c r="AH3630" s="1115"/>
      <c r="AI3630" s="1115"/>
      <c r="AJ3630" s="1117"/>
      <c r="AK3630" s="1118"/>
      <c r="AL3630" s="1115"/>
      <c r="AM3630" s="1115"/>
      <c r="AN3630" s="1115"/>
      <c r="AO3630" s="1115"/>
      <c r="AP3630" s="1115"/>
      <c r="AQ3630" s="1115"/>
      <c r="AR3630" s="1115"/>
      <c r="AS3630" s="1117"/>
      <c r="AT3630" s="1075"/>
      <c r="AU3630" s="1193"/>
      <c r="AV3630" s="330"/>
      <c r="AW3630" s="331"/>
      <c r="AX3630" s="331"/>
      <c r="AY3630" s="331"/>
      <c r="AZ3630" s="331"/>
      <c r="BA3630" s="331"/>
      <c r="BB3630" s="331"/>
      <c r="BC3630" s="331"/>
      <c r="BD3630" s="331"/>
      <c r="BE3630" s="333"/>
      <c r="BF3630" s="330"/>
      <c r="BG3630" s="333"/>
      <c r="BH3630" s="1119"/>
      <c r="BI3630" s="319"/>
      <c r="BJ3630" s="319"/>
      <c r="BK3630" s="319"/>
      <c r="BL3630" s="319"/>
      <c r="BM3630" s="319"/>
      <c r="BN3630" s="319"/>
      <c r="BO3630" s="319"/>
      <c r="BP3630" s="953"/>
      <c r="BQ3630" s="319"/>
      <c r="BR3630" s="319"/>
      <c r="BS3630" s="330"/>
      <c r="BT3630" s="331"/>
      <c r="BU3630" s="920"/>
      <c r="BV3630" s="903"/>
      <c r="BW3630" s="908"/>
      <c r="BX3630" s="908"/>
      <c r="BY3630" s="331"/>
      <c r="BZ3630" s="331"/>
      <c r="CA3630" s="462"/>
      <c r="CB3630" s="319"/>
      <c r="CC3630" s="319"/>
      <c r="CD3630" s="319"/>
      <c r="CE3630" s="319"/>
      <c r="CF3630" s="319"/>
      <c r="CG3630" s="319"/>
      <c r="CH3630" s="318"/>
      <c r="CI3630" s="319"/>
      <c r="CJ3630" s="319"/>
      <c r="CK3630" s="342"/>
      <c r="CL3630" s="333"/>
      <c r="CM3630" s="1079"/>
      <c r="CN3630" s="1005"/>
      <c r="CO3630" s="1005"/>
      <c r="CP3630" s="1005"/>
    </row>
    <row r="3631">
      <c r="A3631" s="1257"/>
      <c r="B3631" s="1113"/>
      <c r="C3631" s="1107"/>
      <c r="D3631" s="103"/>
      <c r="E3631" s="1137"/>
      <c r="F3631" s="112"/>
      <c r="G3631" s="1110"/>
      <c r="H3631" s="1138"/>
      <c r="I3631" s="1138"/>
      <c r="J3631" s="1139"/>
      <c r="K3631" s="1111"/>
      <c r="L3631" s="1112"/>
      <c r="M3631" s="1113"/>
      <c r="N3631" s="110"/>
      <c r="O3631" s="1140"/>
      <c r="P3631" s="1115"/>
      <c r="Q3631" s="1116"/>
      <c r="R3631" s="1141"/>
      <c r="S3631" s="1113"/>
      <c r="T3631" s="1143"/>
      <c r="U3631" s="1108"/>
      <c r="V3631" s="1108"/>
      <c r="W3631" s="1108"/>
      <c r="X3631" s="1108"/>
      <c r="Y3631" s="1108"/>
      <c r="Z3631" s="1114"/>
      <c r="AA3631" s="1114"/>
      <c r="AB3631" s="1114"/>
      <c r="AC3631" s="1117"/>
      <c r="AD3631" s="1115"/>
      <c r="AE3631" s="1115"/>
      <c r="AF3631" s="1115"/>
      <c r="AG3631" s="1115"/>
      <c r="AH3631" s="1115"/>
      <c r="AI3631" s="1115"/>
      <c r="AJ3631" s="1117"/>
      <c r="AK3631" s="1118"/>
      <c r="AL3631" s="1115"/>
      <c r="AM3631" s="1115"/>
      <c r="AN3631" s="1115"/>
      <c r="AO3631" s="1115"/>
      <c r="AP3631" s="1115"/>
      <c r="AQ3631" s="1115"/>
      <c r="AR3631" s="1115"/>
      <c r="AS3631" s="1117"/>
      <c r="AT3631" s="1075"/>
      <c r="AU3631" s="1193"/>
      <c r="AV3631" s="330"/>
      <c r="AW3631" s="331"/>
      <c r="AX3631" s="331"/>
      <c r="AY3631" s="331"/>
      <c r="AZ3631" s="331"/>
      <c r="BA3631" s="331"/>
      <c r="BB3631" s="331"/>
      <c r="BC3631" s="331"/>
      <c r="BD3631" s="331"/>
      <c r="BE3631" s="333"/>
      <c r="BF3631" s="330"/>
      <c r="BG3631" s="333"/>
      <c r="BH3631" s="1119"/>
      <c r="BI3631" s="319"/>
      <c r="BJ3631" s="319"/>
      <c r="BK3631" s="319"/>
      <c r="BL3631" s="319"/>
      <c r="BM3631" s="319"/>
      <c r="BN3631" s="319"/>
      <c r="BO3631" s="319"/>
      <c r="BP3631" s="953"/>
      <c r="BQ3631" s="319"/>
      <c r="BR3631" s="319"/>
      <c r="BS3631" s="330"/>
      <c r="BT3631" s="331"/>
      <c r="BU3631" s="920"/>
      <c r="BV3631" s="903"/>
      <c r="BW3631" s="908"/>
      <c r="BX3631" s="908"/>
      <c r="BY3631" s="331"/>
      <c r="BZ3631" s="331"/>
      <c r="CA3631" s="462"/>
      <c r="CB3631" s="319"/>
      <c r="CC3631" s="319"/>
      <c r="CD3631" s="319"/>
      <c r="CE3631" s="319"/>
      <c r="CF3631" s="319"/>
      <c r="CG3631" s="319"/>
      <c r="CH3631" s="318"/>
      <c r="CI3631" s="319"/>
      <c r="CJ3631" s="319"/>
      <c r="CK3631" s="342"/>
      <c r="CL3631" s="333"/>
      <c r="CM3631" s="1079"/>
      <c r="CN3631" s="1005"/>
      <c r="CO3631" s="1005"/>
      <c r="CP3631" s="1005"/>
    </row>
    <row r="3632">
      <c r="A3632" s="1257"/>
      <c r="B3632" s="1113"/>
      <c r="C3632" s="1107"/>
      <c r="D3632" s="103"/>
      <c r="E3632" s="1137"/>
      <c r="F3632" s="112"/>
      <c r="G3632" s="1110"/>
      <c r="H3632" s="1138"/>
      <c r="I3632" s="1138"/>
      <c r="J3632" s="1139"/>
      <c r="K3632" s="1111"/>
      <c r="L3632" s="1112"/>
      <c r="M3632" s="1113"/>
      <c r="N3632" s="110"/>
      <c r="O3632" s="1140"/>
      <c r="P3632" s="1115"/>
      <c r="Q3632" s="1116"/>
      <c r="R3632" s="1141"/>
      <c r="S3632" s="1113"/>
      <c r="T3632" s="1143"/>
      <c r="U3632" s="1108"/>
      <c r="V3632" s="1108"/>
      <c r="W3632" s="1108"/>
      <c r="X3632" s="1108"/>
      <c r="Y3632" s="1108"/>
      <c r="Z3632" s="1114"/>
      <c r="AA3632" s="1114"/>
      <c r="AB3632" s="1114"/>
      <c r="AC3632" s="1117"/>
      <c r="AD3632" s="1115"/>
      <c r="AE3632" s="1115"/>
      <c r="AF3632" s="1115"/>
      <c r="AG3632" s="1115"/>
      <c r="AH3632" s="1115"/>
      <c r="AI3632" s="1115"/>
      <c r="AJ3632" s="1117"/>
      <c r="AK3632" s="1118"/>
      <c r="AL3632" s="1115"/>
      <c r="AM3632" s="1115"/>
      <c r="AN3632" s="1115"/>
      <c r="AO3632" s="1115"/>
      <c r="AP3632" s="1115"/>
      <c r="AQ3632" s="1115"/>
      <c r="AR3632" s="1115"/>
      <c r="AS3632" s="1117"/>
      <c r="AT3632" s="1075"/>
      <c r="AU3632" s="1193"/>
      <c r="AV3632" s="330"/>
      <c r="AW3632" s="331"/>
      <c r="AX3632" s="331"/>
      <c r="AY3632" s="331"/>
      <c r="AZ3632" s="331"/>
      <c r="BA3632" s="331"/>
      <c r="BB3632" s="331"/>
      <c r="BC3632" s="331"/>
      <c r="BD3632" s="331"/>
      <c r="BE3632" s="333"/>
      <c r="BF3632" s="330"/>
      <c r="BG3632" s="333"/>
      <c r="BH3632" s="1119"/>
      <c r="BI3632" s="319"/>
      <c r="BJ3632" s="319"/>
      <c r="BK3632" s="319"/>
      <c r="BL3632" s="319"/>
      <c r="BM3632" s="319"/>
      <c r="BN3632" s="319"/>
      <c r="BO3632" s="319"/>
      <c r="BP3632" s="953"/>
      <c r="BQ3632" s="319"/>
      <c r="BR3632" s="319"/>
      <c r="BS3632" s="330"/>
      <c r="BT3632" s="331"/>
      <c r="BU3632" s="920"/>
      <c r="BV3632" s="903"/>
      <c r="BW3632" s="908"/>
      <c r="BX3632" s="908"/>
      <c r="BY3632" s="331"/>
      <c r="BZ3632" s="331"/>
      <c r="CA3632" s="462"/>
      <c r="CB3632" s="319"/>
      <c r="CC3632" s="319"/>
      <c r="CD3632" s="319"/>
      <c r="CE3632" s="319"/>
      <c r="CF3632" s="319"/>
      <c r="CG3632" s="319"/>
      <c r="CH3632" s="318"/>
      <c r="CI3632" s="319"/>
      <c r="CJ3632" s="319"/>
      <c r="CK3632" s="342"/>
      <c r="CL3632" s="333"/>
      <c r="CM3632" s="1079"/>
      <c r="CN3632" s="1005"/>
      <c r="CO3632" s="1005"/>
      <c r="CP3632" s="1005"/>
    </row>
    <row r="3633">
      <c r="A3633" s="1257"/>
      <c r="B3633" s="1113"/>
      <c r="C3633" s="1107"/>
      <c r="D3633" s="103"/>
      <c r="E3633" s="1137"/>
      <c r="F3633" s="112"/>
      <c r="G3633" s="1110"/>
      <c r="H3633" s="1138"/>
      <c r="I3633" s="1138"/>
      <c r="J3633" s="1139"/>
      <c r="K3633" s="1111"/>
      <c r="L3633" s="1112"/>
      <c r="M3633" s="1113"/>
      <c r="N3633" s="110"/>
      <c r="O3633" s="1140"/>
      <c r="P3633" s="1115"/>
      <c r="Q3633" s="1116"/>
      <c r="R3633" s="1141"/>
      <c r="S3633" s="1113"/>
      <c r="T3633" s="1143"/>
      <c r="U3633" s="1108"/>
      <c r="V3633" s="1108"/>
      <c r="W3633" s="1108"/>
      <c r="X3633" s="1108"/>
      <c r="Y3633" s="1108"/>
      <c r="Z3633" s="1114"/>
      <c r="AA3633" s="1114"/>
      <c r="AB3633" s="1114"/>
      <c r="AC3633" s="1117"/>
      <c r="AD3633" s="1115"/>
      <c r="AE3633" s="1115"/>
      <c r="AF3633" s="1115"/>
      <c r="AG3633" s="1115"/>
      <c r="AH3633" s="1115"/>
      <c r="AI3633" s="1115"/>
      <c r="AJ3633" s="1117"/>
      <c r="AK3633" s="1118"/>
      <c r="AL3633" s="1115"/>
      <c r="AM3633" s="1115"/>
      <c r="AN3633" s="1115"/>
      <c r="AO3633" s="1115"/>
      <c r="AP3633" s="1115"/>
      <c r="AQ3633" s="1115"/>
      <c r="AR3633" s="1115"/>
      <c r="AS3633" s="1117"/>
      <c r="AT3633" s="1075"/>
      <c r="AU3633" s="1193"/>
      <c r="AV3633" s="330"/>
      <c r="AW3633" s="331"/>
      <c r="AX3633" s="331"/>
      <c r="AY3633" s="331"/>
      <c r="AZ3633" s="331"/>
      <c r="BA3633" s="331"/>
      <c r="BB3633" s="331"/>
      <c r="BC3633" s="331"/>
      <c r="BD3633" s="331"/>
      <c r="BE3633" s="333"/>
      <c r="BF3633" s="330"/>
      <c r="BG3633" s="333"/>
      <c r="BH3633" s="1119"/>
      <c r="BI3633" s="319"/>
      <c r="BJ3633" s="319"/>
      <c r="BK3633" s="319"/>
      <c r="BL3633" s="319"/>
      <c r="BM3633" s="319"/>
      <c r="BN3633" s="319"/>
      <c r="BO3633" s="319"/>
      <c r="BP3633" s="953"/>
      <c r="BQ3633" s="319"/>
      <c r="BR3633" s="319"/>
      <c r="BS3633" s="330"/>
      <c r="BT3633" s="331"/>
      <c r="BU3633" s="920"/>
      <c r="BV3633" s="903"/>
      <c r="BW3633" s="908"/>
      <c r="BX3633" s="908"/>
      <c r="BY3633" s="331"/>
      <c r="BZ3633" s="331"/>
      <c r="CA3633" s="462"/>
      <c r="CB3633" s="319"/>
      <c r="CC3633" s="319"/>
      <c r="CD3633" s="319"/>
      <c r="CE3633" s="319"/>
      <c r="CF3633" s="319"/>
      <c r="CG3633" s="319"/>
      <c r="CH3633" s="318"/>
      <c r="CI3633" s="319"/>
      <c r="CJ3633" s="319"/>
      <c r="CK3633" s="342"/>
      <c r="CL3633" s="333"/>
      <c r="CM3633" s="1079"/>
      <c r="CN3633" s="1005"/>
      <c r="CO3633" s="1005"/>
      <c r="CP3633" s="1005"/>
    </row>
    <row r="3634">
      <c r="A3634" s="1257"/>
      <c r="B3634" s="1113"/>
      <c r="C3634" s="1107"/>
      <c r="D3634" s="103"/>
      <c r="E3634" s="1137"/>
      <c r="F3634" s="112"/>
      <c r="G3634" s="1110"/>
      <c r="H3634" s="1138"/>
      <c r="I3634" s="1138"/>
      <c r="J3634" s="1139"/>
      <c r="K3634" s="1111"/>
      <c r="L3634" s="1112"/>
      <c r="M3634" s="1113"/>
      <c r="N3634" s="110"/>
      <c r="O3634" s="1140"/>
      <c r="P3634" s="1115"/>
      <c r="Q3634" s="1116"/>
      <c r="R3634" s="1141"/>
      <c r="S3634" s="1113"/>
      <c r="T3634" s="1143"/>
      <c r="U3634" s="1108"/>
      <c r="V3634" s="1108"/>
      <c r="W3634" s="1108"/>
      <c r="X3634" s="1108"/>
      <c r="Y3634" s="1108"/>
      <c r="Z3634" s="1114"/>
      <c r="AA3634" s="1114"/>
      <c r="AB3634" s="1114"/>
      <c r="AC3634" s="1117"/>
      <c r="AD3634" s="1115"/>
      <c r="AE3634" s="1115"/>
      <c r="AF3634" s="1115"/>
      <c r="AG3634" s="1115"/>
      <c r="AH3634" s="1115"/>
      <c r="AI3634" s="1115"/>
      <c r="AJ3634" s="1117"/>
      <c r="AK3634" s="1118"/>
      <c r="AL3634" s="1115"/>
      <c r="AM3634" s="1115"/>
      <c r="AN3634" s="1115"/>
      <c r="AO3634" s="1115"/>
      <c r="AP3634" s="1115"/>
      <c r="AQ3634" s="1115"/>
      <c r="AR3634" s="1115"/>
      <c r="AS3634" s="1117"/>
      <c r="AT3634" s="1075"/>
      <c r="AU3634" s="1193"/>
      <c r="AV3634" s="330"/>
      <c r="AW3634" s="331"/>
      <c r="AX3634" s="331"/>
      <c r="AY3634" s="331"/>
      <c r="AZ3634" s="331"/>
      <c r="BA3634" s="331"/>
      <c r="BB3634" s="331"/>
      <c r="BC3634" s="331"/>
      <c r="BD3634" s="331"/>
      <c r="BE3634" s="333"/>
      <c r="BF3634" s="330"/>
      <c r="BG3634" s="333"/>
      <c r="BH3634" s="1119"/>
      <c r="BI3634" s="319"/>
      <c r="BJ3634" s="319"/>
      <c r="BK3634" s="319"/>
      <c r="BL3634" s="319"/>
      <c r="BM3634" s="319"/>
      <c r="BN3634" s="319"/>
      <c r="BO3634" s="319"/>
      <c r="BP3634" s="953"/>
      <c r="BQ3634" s="319"/>
      <c r="BR3634" s="319"/>
      <c r="BS3634" s="330"/>
      <c r="BT3634" s="331"/>
      <c r="BU3634" s="920"/>
      <c r="BV3634" s="903"/>
      <c r="BW3634" s="908"/>
      <c r="BX3634" s="908"/>
      <c r="BY3634" s="331"/>
      <c r="BZ3634" s="331"/>
      <c r="CA3634" s="462"/>
      <c r="CB3634" s="319"/>
      <c r="CC3634" s="319"/>
      <c r="CD3634" s="319"/>
      <c r="CE3634" s="319"/>
      <c r="CF3634" s="319"/>
      <c r="CG3634" s="319"/>
      <c r="CH3634" s="318"/>
      <c r="CI3634" s="319"/>
      <c r="CJ3634" s="319"/>
      <c r="CK3634" s="342"/>
      <c r="CL3634" s="333"/>
      <c r="CM3634" s="1079"/>
      <c r="CN3634" s="1005"/>
      <c r="CO3634" s="1005"/>
      <c r="CP3634" s="1005"/>
    </row>
    <row r="3635">
      <c r="A3635" s="1257"/>
      <c r="B3635" s="1113"/>
      <c r="C3635" s="1107"/>
      <c r="D3635" s="103"/>
      <c r="E3635" s="1137"/>
      <c r="F3635" s="112"/>
      <c r="G3635" s="1110"/>
      <c r="H3635" s="1138"/>
      <c r="I3635" s="1138"/>
      <c r="J3635" s="1139"/>
      <c r="K3635" s="1111"/>
      <c r="L3635" s="1112"/>
      <c r="M3635" s="1113"/>
      <c r="N3635" s="110"/>
      <c r="O3635" s="1140"/>
      <c r="P3635" s="1115"/>
      <c r="Q3635" s="1116"/>
      <c r="R3635" s="1141"/>
      <c r="S3635" s="1113"/>
      <c r="T3635" s="1143"/>
      <c r="U3635" s="1108"/>
      <c r="V3635" s="1108"/>
      <c r="W3635" s="1108"/>
      <c r="X3635" s="1108"/>
      <c r="Y3635" s="1108"/>
      <c r="Z3635" s="1114"/>
      <c r="AA3635" s="1114"/>
      <c r="AB3635" s="1114"/>
      <c r="AC3635" s="1117"/>
      <c r="AD3635" s="1115"/>
      <c r="AE3635" s="1115"/>
      <c r="AF3635" s="1115"/>
      <c r="AG3635" s="1115"/>
      <c r="AH3635" s="1115"/>
      <c r="AI3635" s="1115"/>
      <c r="AJ3635" s="1117"/>
      <c r="AK3635" s="1118"/>
      <c r="AL3635" s="1115"/>
      <c r="AM3635" s="1115"/>
      <c r="AN3635" s="1115"/>
      <c r="AO3635" s="1115"/>
      <c r="AP3635" s="1115"/>
      <c r="AQ3635" s="1115"/>
      <c r="AR3635" s="1115"/>
      <c r="AS3635" s="1117"/>
      <c r="AT3635" s="1075"/>
      <c r="AU3635" s="1193"/>
      <c r="AV3635" s="330"/>
      <c r="AW3635" s="331"/>
      <c r="AX3635" s="331"/>
      <c r="AY3635" s="331"/>
      <c r="AZ3635" s="331"/>
      <c r="BA3635" s="331"/>
      <c r="BB3635" s="331"/>
      <c r="BC3635" s="331"/>
      <c r="BD3635" s="331"/>
      <c r="BE3635" s="333"/>
      <c r="BF3635" s="330"/>
      <c r="BG3635" s="333"/>
      <c r="BH3635" s="1119"/>
      <c r="BI3635" s="319"/>
      <c r="BJ3635" s="319"/>
      <c r="BK3635" s="319"/>
      <c r="BL3635" s="319"/>
      <c r="BM3635" s="319"/>
      <c r="BN3635" s="319"/>
      <c r="BO3635" s="319"/>
      <c r="BP3635" s="953"/>
      <c r="BQ3635" s="319"/>
      <c r="BR3635" s="319"/>
      <c r="BS3635" s="330"/>
      <c r="BT3635" s="331"/>
      <c r="BU3635" s="920"/>
      <c r="BV3635" s="903"/>
      <c r="BW3635" s="908"/>
      <c r="BX3635" s="908"/>
      <c r="BY3635" s="331"/>
      <c r="BZ3635" s="331"/>
      <c r="CA3635" s="462"/>
      <c r="CB3635" s="319"/>
      <c r="CC3635" s="319"/>
      <c r="CD3635" s="319"/>
      <c r="CE3635" s="319"/>
      <c r="CF3635" s="319"/>
      <c r="CG3635" s="319"/>
      <c r="CH3635" s="318"/>
      <c r="CI3635" s="319"/>
      <c r="CJ3635" s="319"/>
      <c r="CK3635" s="342"/>
      <c r="CL3635" s="333"/>
      <c r="CM3635" s="1079"/>
      <c r="CN3635" s="1005"/>
      <c r="CO3635" s="1005"/>
      <c r="CP3635" s="1005"/>
    </row>
    <row r="3636">
      <c r="A3636" s="1257"/>
      <c r="B3636" s="1113"/>
      <c r="C3636" s="1107"/>
      <c r="D3636" s="103"/>
      <c r="E3636" s="1137"/>
      <c r="F3636" s="112"/>
      <c r="G3636" s="1110"/>
      <c r="H3636" s="1138"/>
      <c r="I3636" s="1138"/>
      <c r="J3636" s="1139"/>
      <c r="K3636" s="1111"/>
      <c r="L3636" s="1112"/>
      <c r="M3636" s="1113"/>
      <c r="N3636" s="110"/>
      <c r="O3636" s="1140"/>
      <c r="P3636" s="1115"/>
      <c r="Q3636" s="1116"/>
      <c r="R3636" s="1141"/>
      <c r="S3636" s="1113"/>
      <c r="T3636" s="1143"/>
      <c r="U3636" s="1108"/>
      <c r="V3636" s="1108"/>
      <c r="W3636" s="1108"/>
      <c r="X3636" s="1108"/>
      <c r="Y3636" s="1108"/>
      <c r="Z3636" s="1114"/>
      <c r="AA3636" s="1114"/>
      <c r="AB3636" s="1114"/>
      <c r="AC3636" s="1117"/>
      <c r="AD3636" s="1115"/>
      <c r="AE3636" s="1115"/>
      <c r="AF3636" s="1115"/>
      <c r="AG3636" s="1115"/>
      <c r="AH3636" s="1115"/>
      <c r="AI3636" s="1115"/>
      <c r="AJ3636" s="1117"/>
      <c r="AK3636" s="1118"/>
      <c r="AL3636" s="1115"/>
      <c r="AM3636" s="1115"/>
      <c r="AN3636" s="1115"/>
      <c r="AO3636" s="1115"/>
      <c r="AP3636" s="1115"/>
      <c r="AQ3636" s="1115"/>
      <c r="AR3636" s="1115"/>
      <c r="AS3636" s="1117"/>
      <c r="AT3636" s="1075"/>
      <c r="AU3636" s="1193"/>
      <c r="AV3636" s="330"/>
      <c r="AW3636" s="331"/>
      <c r="AX3636" s="331"/>
      <c r="AY3636" s="331"/>
      <c r="AZ3636" s="331"/>
      <c r="BA3636" s="331"/>
      <c r="BB3636" s="331"/>
      <c r="BC3636" s="331"/>
      <c r="BD3636" s="331"/>
      <c r="BE3636" s="333"/>
      <c r="BF3636" s="330"/>
      <c r="BG3636" s="333"/>
      <c r="BH3636" s="1119"/>
      <c r="BI3636" s="319"/>
      <c r="BJ3636" s="319"/>
      <c r="BK3636" s="319"/>
      <c r="BL3636" s="319"/>
      <c r="BM3636" s="319"/>
      <c r="BN3636" s="319"/>
      <c r="BO3636" s="319"/>
      <c r="BP3636" s="953"/>
      <c r="BQ3636" s="319"/>
      <c r="BR3636" s="319"/>
      <c r="BS3636" s="330"/>
      <c r="BT3636" s="331"/>
      <c r="BU3636" s="920"/>
      <c r="BV3636" s="903"/>
      <c r="BW3636" s="908"/>
      <c r="BX3636" s="908"/>
      <c r="BY3636" s="331"/>
      <c r="BZ3636" s="331"/>
      <c r="CA3636" s="462"/>
      <c r="CB3636" s="319"/>
      <c r="CC3636" s="319"/>
      <c r="CD3636" s="319"/>
      <c r="CE3636" s="319"/>
      <c r="CF3636" s="319"/>
      <c r="CG3636" s="319"/>
      <c r="CH3636" s="318"/>
      <c r="CI3636" s="319"/>
      <c r="CJ3636" s="319"/>
      <c r="CK3636" s="342"/>
      <c r="CL3636" s="333"/>
      <c r="CM3636" s="1079"/>
      <c r="CN3636" s="1005"/>
      <c r="CO3636" s="1005"/>
      <c r="CP3636" s="1005"/>
    </row>
    <row r="3637">
      <c r="A3637" s="1257"/>
      <c r="B3637" s="1113"/>
      <c r="C3637" s="1107"/>
      <c r="D3637" s="103"/>
      <c r="E3637" s="1137"/>
      <c r="F3637" s="112"/>
      <c r="G3637" s="1110"/>
      <c r="H3637" s="1138"/>
      <c r="I3637" s="1138"/>
      <c r="J3637" s="1139"/>
      <c r="K3637" s="1111"/>
      <c r="L3637" s="1112"/>
      <c r="M3637" s="1113"/>
      <c r="N3637" s="110"/>
      <c r="O3637" s="1140"/>
      <c r="P3637" s="1115"/>
      <c r="Q3637" s="1116"/>
      <c r="R3637" s="1141"/>
      <c r="S3637" s="1113"/>
      <c r="T3637" s="1143"/>
      <c r="U3637" s="1108"/>
      <c r="V3637" s="1108"/>
      <c r="W3637" s="1108"/>
      <c r="X3637" s="1108"/>
      <c r="Y3637" s="1108"/>
      <c r="Z3637" s="1114"/>
      <c r="AA3637" s="1114"/>
      <c r="AB3637" s="1114"/>
      <c r="AC3637" s="1117"/>
      <c r="AD3637" s="1115"/>
      <c r="AE3637" s="1115"/>
      <c r="AF3637" s="1115"/>
      <c r="AG3637" s="1115"/>
      <c r="AH3637" s="1115"/>
      <c r="AI3637" s="1115"/>
      <c r="AJ3637" s="1117"/>
      <c r="AK3637" s="1118"/>
      <c r="AL3637" s="1115"/>
      <c r="AM3637" s="1115"/>
      <c r="AN3637" s="1115"/>
      <c r="AO3637" s="1115"/>
      <c r="AP3637" s="1115"/>
      <c r="AQ3637" s="1115"/>
      <c r="AR3637" s="1115"/>
      <c r="AS3637" s="1117"/>
      <c r="AT3637" s="1075"/>
      <c r="AU3637" s="1193"/>
      <c r="AV3637" s="330"/>
      <c r="AW3637" s="331"/>
      <c r="AX3637" s="331"/>
      <c r="AY3637" s="331"/>
      <c r="AZ3637" s="331"/>
      <c r="BA3637" s="331"/>
      <c r="BB3637" s="331"/>
      <c r="BC3637" s="331"/>
      <c r="BD3637" s="331"/>
      <c r="BE3637" s="333"/>
      <c r="BF3637" s="330"/>
      <c r="BG3637" s="333"/>
      <c r="BH3637" s="1119"/>
      <c r="BI3637" s="319"/>
      <c r="BJ3637" s="319"/>
      <c r="BK3637" s="319"/>
      <c r="BL3637" s="319"/>
      <c r="BM3637" s="319"/>
      <c r="BN3637" s="319"/>
      <c r="BO3637" s="319"/>
      <c r="BP3637" s="953"/>
      <c r="BQ3637" s="319"/>
      <c r="BR3637" s="319"/>
      <c r="BS3637" s="330"/>
      <c r="BT3637" s="331"/>
      <c r="BU3637" s="920"/>
      <c r="BV3637" s="903"/>
      <c r="BW3637" s="908"/>
      <c r="BX3637" s="908"/>
      <c r="BY3637" s="331"/>
      <c r="BZ3637" s="331"/>
      <c r="CA3637" s="462"/>
      <c r="CB3637" s="319"/>
      <c r="CC3637" s="319"/>
      <c r="CD3637" s="319"/>
      <c r="CE3637" s="319"/>
      <c r="CF3637" s="319"/>
      <c r="CG3637" s="319"/>
      <c r="CH3637" s="318"/>
      <c r="CI3637" s="319"/>
      <c r="CJ3637" s="319"/>
      <c r="CK3637" s="342"/>
      <c r="CL3637" s="333"/>
      <c r="CM3637" s="1079"/>
      <c r="CN3637" s="1005"/>
      <c r="CO3637" s="1005"/>
      <c r="CP3637" s="1005"/>
    </row>
    <row r="3638">
      <c r="A3638" s="1257"/>
      <c r="B3638" s="1113"/>
      <c r="C3638" s="1107"/>
      <c r="D3638" s="103"/>
      <c r="E3638" s="1137"/>
      <c r="F3638" s="112"/>
      <c r="G3638" s="1110"/>
      <c r="H3638" s="1138"/>
      <c r="I3638" s="1138"/>
      <c r="J3638" s="1139"/>
      <c r="K3638" s="1111"/>
      <c r="L3638" s="1112"/>
      <c r="M3638" s="1113"/>
      <c r="N3638" s="110"/>
      <c r="O3638" s="1140"/>
      <c r="P3638" s="1115"/>
      <c r="Q3638" s="1116"/>
      <c r="R3638" s="1141"/>
      <c r="S3638" s="1113"/>
      <c r="T3638" s="1143"/>
      <c r="U3638" s="1108"/>
      <c r="V3638" s="1108"/>
      <c r="W3638" s="1108"/>
      <c r="X3638" s="1108"/>
      <c r="Y3638" s="1108"/>
      <c r="Z3638" s="1114"/>
      <c r="AA3638" s="1114"/>
      <c r="AB3638" s="1114"/>
      <c r="AC3638" s="1117"/>
      <c r="AD3638" s="1115"/>
      <c r="AE3638" s="1115"/>
      <c r="AF3638" s="1115"/>
      <c r="AG3638" s="1115"/>
      <c r="AH3638" s="1115"/>
      <c r="AI3638" s="1115"/>
      <c r="AJ3638" s="1117"/>
      <c r="AK3638" s="1118"/>
      <c r="AL3638" s="1115"/>
      <c r="AM3638" s="1115"/>
      <c r="AN3638" s="1115"/>
      <c r="AO3638" s="1115"/>
      <c r="AP3638" s="1115"/>
      <c r="AQ3638" s="1115"/>
      <c r="AR3638" s="1115"/>
      <c r="AS3638" s="1117"/>
      <c r="AT3638" s="1075"/>
      <c r="AU3638" s="1193"/>
      <c r="AV3638" s="330"/>
      <c r="AW3638" s="331"/>
      <c r="AX3638" s="331"/>
      <c r="AY3638" s="331"/>
      <c r="AZ3638" s="331"/>
      <c r="BA3638" s="331"/>
      <c r="BB3638" s="331"/>
      <c r="BC3638" s="331"/>
      <c r="BD3638" s="331"/>
      <c r="BE3638" s="333"/>
      <c r="BF3638" s="330"/>
      <c r="BG3638" s="333"/>
      <c r="BH3638" s="1119"/>
      <c r="BI3638" s="319"/>
      <c r="BJ3638" s="319"/>
      <c r="BK3638" s="319"/>
      <c r="BL3638" s="319"/>
      <c r="BM3638" s="319"/>
      <c r="BN3638" s="319"/>
      <c r="BO3638" s="319"/>
      <c r="BP3638" s="953"/>
      <c r="BQ3638" s="319"/>
      <c r="BR3638" s="319"/>
      <c r="BS3638" s="330"/>
      <c r="BT3638" s="331"/>
      <c r="BU3638" s="920"/>
      <c r="BV3638" s="903"/>
      <c r="BW3638" s="908"/>
      <c r="BX3638" s="908"/>
      <c r="BY3638" s="331"/>
      <c r="BZ3638" s="331"/>
      <c r="CA3638" s="462"/>
      <c r="CB3638" s="319"/>
      <c r="CC3638" s="319"/>
      <c r="CD3638" s="319"/>
      <c r="CE3638" s="319"/>
      <c r="CF3638" s="319"/>
      <c r="CG3638" s="319"/>
      <c r="CH3638" s="318"/>
      <c r="CI3638" s="319"/>
      <c r="CJ3638" s="319"/>
      <c r="CK3638" s="342"/>
      <c r="CL3638" s="333"/>
      <c r="CM3638" s="1079"/>
      <c r="CN3638" s="1005"/>
      <c r="CO3638" s="1005"/>
      <c r="CP3638" s="1005"/>
    </row>
    <row r="3639">
      <c r="A3639" s="1257"/>
      <c r="B3639" s="1113"/>
      <c r="C3639" s="1107"/>
      <c r="D3639" s="103"/>
      <c r="E3639" s="1137"/>
      <c r="F3639" s="112"/>
      <c r="G3639" s="1110"/>
      <c r="H3639" s="1138"/>
      <c r="I3639" s="1138"/>
      <c r="J3639" s="1139"/>
      <c r="K3639" s="1111"/>
      <c r="L3639" s="1112"/>
      <c r="M3639" s="1113"/>
      <c r="N3639" s="110"/>
      <c r="O3639" s="1140"/>
      <c r="P3639" s="1115"/>
      <c r="Q3639" s="1116"/>
      <c r="R3639" s="1141"/>
      <c r="S3639" s="1113"/>
      <c r="T3639" s="1143"/>
      <c r="U3639" s="1108"/>
      <c r="V3639" s="1108"/>
      <c r="W3639" s="1108"/>
      <c r="X3639" s="1108"/>
      <c r="Y3639" s="1108"/>
      <c r="Z3639" s="1114"/>
      <c r="AA3639" s="1114"/>
      <c r="AB3639" s="1114"/>
      <c r="AC3639" s="1117"/>
      <c r="AD3639" s="1115"/>
      <c r="AE3639" s="1115"/>
      <c r="AF3639" s="1115"/>
      <c r="AG3639" s="1115"/>
      <c r="AH3639" s="1115"/>
      <c r="AI3639" s="1115"/>
      <c r="AJ3639" s="1117"/>
      <c r="AK3639" s="1118"/>
      <c r="AL3639" s="1115"/>
      <c r="AM3639" s="1115"/>
      <c r="AN3639" s="1115"/>
      <c r="AO3639" s="1115"/>
      <c r="AP3639" s="1115"/>
      <c r="AQ3639" s="1115"/>
      <c r="AR3639" s="1115"/>
      <c r="AS3639" s="1117"/>
      <c r="AT3639" s="1075"/>
      <c r="AU3639" s="1193"/>
      <c r="AV3639" s="330"/>
      <c r="AW3639" s="331"/>
      <c r="AX3639" s="331"/>
      <c r="AY3639" s="331"/>
      <c r="AZ3639" s="331"/>
      <c r="BA3639" s="331"/>
      <c r="BB3639" s="331"/>
      <c r="BC3639" s="331"/>
      <c r="BD3639" s="331"/>
      <c r="BE3639" s="333"/>
      <c r="BF3639" s="330"/>
      <c r="BG3639" s="333"/>
      <c r="BH3639" s="1119"/>
      <c r="BI3639" s="319"/>
      <c r="BJ3639" s="319"/>
      <c r="BK3639" s="319"/>
      <c r="BL3639" s="319"/>
      <c r="BM3639" s="319"/>
      <c r="BN3639" s="319"/>
      <c r="BO3639" s="319"/>
      <c r="BP3639" s="953"/>
      <c r="BQ3639" s="319"/>
      <c r="BR3639" s="319"/>
      <c r="BS3639" s="330"/>
      <c r="BT3639" s="331"/>
      <c r="BU3639" s="920"/>
      <c r="BV3639" s="903"/>
      <c r="BW3639" s="908"/>
      <c r="BX3639" s="908"/>
      <c r="BY3639" s="331"/>
      <c r="BZ3639" s="331"/>
      <c r="CA3639" s="462"/>
      <c r="CB3639" s="319"/>
      <c r="CC3639" s="319"/>
      <c r="CD3639" s="319"/>
      <c r="CE3639" s="319"/>
      <c r="CF3639" s="319"/>
      <c r="CG3639" s="319"/>
      <c r="CH3639" s="318"/>
      <c r="CI3639" s="319"/>
      <c r="CJ3639" s="319"/>
      <c r="CK3639" s="342"/>
      <c r="CL3639" s="333"/>
      <c r="CM3639" s="1079"/>
      <c r="CN3639" s="1005"/>
      <c r="CO3639" s="1005"/>
      <c r="CP3639" s="1005"/>
    </row>
    <row r="3640">
      <c r="A3640" s="1257"/>
      <c r="B3640" s="1113"/>
      <c r="C3640" s="1107"/>
      <c r="D3640" s="103"/>
      <c r="E3640" s="1137"/>
      <c r="F3640" s="112"/>
      <c r="G3640" s="1110"/>
      <c r="H3640" s="1138"/>
      <c r="I3640" s="1138"/>
      <c r="J3640" s="1139"/>
      <c r="K3640" s="1111"/>
      <c r="L3640" s="1112"/>
      <c r="M3640" s="1113"/>
      <c r="N3640" s="110"/>
      <c r="O3640" s="1140"/>
      <c r="P3640" s="1115"/>
      <c r="Q3640" s="1116"/>
      <c r="R3640" s="1141"/>
      <c r="S3640" s="1113"/>
      <c r="T3640" s="1143"/>
      <c r="U3640" s="1108"/>
      <c r="V3640" s="1108"/>
      <c r="W3640" s="1108"/>
      <c r="X3640" s="1108"/>
      <c r="Y3640" s="1108"/>
      <c r="Z3640" s="1114"/>
      <c r="AA3640" s="1114"/>
      <c r="AB3640" s="1114"/>
      <c r="AC3640" s="1117"/>
      <c r="AD3640" s="1115"/>
      <c r="AE3640" s="1115"/>
      <c r="AF3640" s="1115"/>
      <c r="AG3640" s="1115"/>
      <c r="AH3640" s="1115"/>
      <c r="AI3640" s="1115"/>
      <c r="AJ3640" s="1117"/>
      <c r="AK3640" s="1118"/>
      <c r="AL3640" s="1115"/>
      <c r="AM3640" s="1115"/>
      <c r="AN3640" s="1115"/>
      <c r="AO3640" s="1115"/>
      <c r="AP3640" s="1115"/>
      <c r="AQ3640" s="1115"/>
      <c r="AR3640" s="1115"/>
      <c r="AS3640" s="1117"/>
      <c r="AT3640" s="1075"/>
      <c r="AU3640" s="1193"/>
      <c r="AV3640" s="330"/>
      <c r="AW3640" s="331"/>
      <c r="AX3640" s="331"/>
      <c r="AY3640" s="331"/>
      <c r="AZ3640" s="331"/>
      <c r="BA3640" s="331"/>
      <c r="BB3640" s="331"/>
      <c r="BC3640" s="331"/>
      <c r="BD3640" s="331"/>
      <c r="BE3640" s="333"/>
      <c r="BF3640" s="330"/>
      <c r="BG3640" s="333"/>
      <c r="BH3640" s="1119"/>
      <c r="BI3640" s="319"/>
      <c r="BJ3640" s="319"/>
      <c r="BK3640" s="319"/>
      <c r="BL3640" s="319"/>
      <c r="BM3640" s="319"/>
      <c r="BN3640" s="319"/>
      <c r="BO3640" s="319"/>
      <c r="BP3640" s="953"/>
      <c r="BQ3640" s="319"/>
      <c r="BR3640" s="319"/>
      <c r="BS3640" s="330"/>
      <c r="BT3640" s="331"/>
      <c r="BU3640" s="920"/>
      <c r="BV3640" s="903"/>
      <c r="BW3640" s="908"/>
      <c r="BX3640" s="908"/>
      <c r="BY3640" s="331"/>
      <c r="BZ3640" s="331"/>
      <c r="CA3640" s="462"/>
      <c r="CB3640" s="319"/>
      <c r="CC3640" s="319"/>
      <c r="CD3640" s="319"/>
      <c r="CE3640" s="319"/>
      <c r="CF3640" s="319"/>
      <c r="CG3640" s="319"/>
      <c r="CH3640" s="318"/>
      <c r="CI3640" s="319"/>
      <c r="CJ3640" s="319"/>
      <c r="CK3640" s="342"/>
      <c r="CL3640" s="333"/>
      <c r="CM3640" s="1079"/>
      <c r="CN3640" s="1005"/>
      <c r="CO3640" s="1005"/>
      <c r="CP3640" s="1005"/>
    </row>
    <row r="3641">
      <c r="A3641" s="1257"/>
      <c r="B3641" s="1113"/>
      <c r="C3641" s="1107"/>
      <c r="D3641" s="103"/>
      <c r="E3641" s="1137"/>
      <c r="F3641" s="112"/>
      <c r="G3641" s="1110"/>
      <c r="H3641" s="1138"/>
      <c r="I3641" s="1138"/>
      <c r="J3641" s="1139"/>
      <c r="K3641" s="1111"/>
      <c r="L3641" s="1112"/>
      <c r="M3641" s="1113"/>
      <c r="N3641" s="110"/>
      <c r="O3641" s="1140"/>
      <c r="P3641" s="1115"/>
      <c r="Q3641" s="1116"/>
      <c r="R3641" s="1141"/>
      <c r="S3641" s="1113"/>
      <c r="T3641" s="1143"/>
      <c r="U3641" s="1108"/>
      <c r="V3641" s="1108"/>
      <c r="W3641" s="1108"/>
      <c r="X3641" s="1108"/>
      <c r="Y3641" s="1108"/>
      <c r="Z3641" s="1114"/>
      <c r="AA3641" s="1114"/>
      <c r="AB3641" s="1114"/>
      <c r="AC3641" s="1117"/>
      <c r="AD3641" s="1115"/>
      <c r="AE3641" s="1115"/>
      <c r="AF3641" s="1115"/>
      <c r="AG3641" s="1115"/>
      <c r="AH3641" s="1115"/>
      <c r="AI3641" s="1115"/>
      <c r="AJ3641" s="1117"/>
      <c r="AK3641" s="1118"/>
      <c r="AL3641" s="1115"/>
      <c r="AM3641" s="1115"/>
      <c r="AN3641" s="1115"/>
      <c r="AO3641" s="1115"/>
      <c r="AP3641" s="1115"/>
      <c r="AQ3641" s="1115"/>
      <c r="AR3641" s="1115"/>
      <c r="AS3641" s="1117"/>
      <c r="AT3641" s="1075"/>
      <c r="AU3641" s="1193"/>
      <c r="AV3641" s="330"/>
      <c r="AW3641" s="331"/>
      <c r="AX3641" s="331"/>
      <c r="AY3641" s="331"/>
      <c r="AZ3641" s="331"/>
      <c r="BA3641" s="331"/>
      <c r="BB3641" s="331"/>
      <c r="BC3641" s="331"/>
      <c r="BD3641" s="331"/>
      <c r="BE3641" s="333"/>
      <c r="BF3641" s="330"/>
      <c r="BG3641" s="333"/>
      <c r="BH3641" s="1119"/>
      <c r="BI3641" s="319"/>
      <c r="BJ3641" s="319"/>
      <c r="BK3641" s="319"/>
      <c r="BL3641" s="319"/>
      <c r="BM3641" s="319"/>
      <c r="BN3641" s="319"/>
      <c r="BO3641" s="319"/>
      <c r="BP3641" s="953"/>
      <c r="BQ3641" s="319"/>
      <c r="BR3641" s="319"/>
      <c r="BS3641" s="330"/>
      <c r="BT3641" s="331"/>
      <c r="BU3641" s="920"/>
      <c r="BV3641" s="903"/>
      <c r="BW3641" s="908"/>
      <c r="BX3641" s="908"/>
      <c r="BY3641" s="331"/>
      <c r="BZ3641" s="331"/>
      <c r="CA3641" s="462"/>
      <c r="CB3641" s="319"/>
      <c r="CC3641" s="319"/>
      <c r="CD3641" s="319"/>
      <c r="CE3641" s="319"/>
      <c r="CF3641" s="319"/>
      <c r="CG3641" s="319"/>
      <c r="CH3641" s="318"/>
      <c r="CI3641" s="319"/>
      <c r="CJ3641" s="319"/>
      <c r="CK3641" s="342"/>
      <c r="CL3641" s="333"/>
      <c r="CM3641" s="1079"/>
      <c r="CN3641" s="1005"/>
      <c r="CO3641" s="1005"/>
      <c r="CP3641" s="1005"/>
    </row>
    <row r="3642">
      <c r="A3642" s="1257"/>
      <c r="B3642" s="1113"/>
      <c r="C3642" s="1107"/>
      <c r="D3642" s="103"/>
      <c r="E3642" s="1137"/>
      <c r="F3642" s="112"/>
      <c r="G3642" s="1110"/>
      <c r="H3642" s="1138"/>
      <c r="I3642" s="1138"/>
      <c r="J3642" s="1139"/>
      <c r="K3642" s="1111"/>
      <c r="L3642" s="1112"/>
      <c r="M3642" s="1113"/>
      <c r="N3642" s="110"/>
      <c r="O3642" s="1140"/>
      <c r="P3642" s="1115"/>
      <c r="Q3642" s="1116"/>
      <c r="R3642" s="1141"/>
      <c r="S3642" s="1113"/>
      <c r="T3642" s="1143"/>
      <c r="U3642" s="1108"/>
      <c r="V3642" s="1108"/>
      <c r="W3642" s="1108"/>
      <c r="X3642" s="1108"/>
      <c r="Y3642" s="1108"/>
      <c r="Z3642" s="1114"/>
      <c r="AA3642" s="1114"/>
      <c r="AB3642" s="1114"/>
      <c r="AC3642" s="1117"/>
      <c r="AD3642" s="1115"/>
      <c r="AE3642" s="1115"/>
      <c r="AF3642" s="1115"/>
      <c r="AG3642" s="1115"/>
      <c r="AH3642" s="1115"/>
      <c r="AI3642" s="1115"/>
      <c r="AJ3642" s="1117"/>
      <c r="AK3642" s="1118"/>
      <c r="AL3642" s="1115"/>
      <c r="AM3642" s="1115"/>
      <c r="AN3642" s="1115"/>
      <c r="AO3642" s="1115"/>
      <c r="AP3642" s="1115"/>
      <c r="AQ3642" s="1115"/>
      <c r="AR3642" s="1115"/>
      <c r="AS3642" s="1117"/>
      <c r="AT3642" s="1075"/>
      <c r="AU3642" s="1193"/>
      <c r="AV3642" s="330"/>
      <c r="AW3642" s="331"/>
      <c r="AX3642" s="331"/>
      <c r="AY3642" s="331"/>
      <c r="AZ3642" s="331"/>
      <c r="BA3642" s="331"/>
      <c r="BB3642" s="331"/>
      <c r="BC3642" s="331"/>
      <c r="BD3642" s="331"/>
      <c r="BE3642" s="333"/>
      <c r="BF3642" s="330"/>
      <c r="BG3642" s="333"/>
      <c r="BH3642" s="1119"/>
      <c r="BI3642" s="319"/>
      <c r="BJ3642" s="319"/>
      <c r="BK3642" s="319"/>
      <c r="BL3642" s="319"/>
      <c r="BM3642" s="319"/>
      <c r="BN3642" s="319"/>
      <c r="BO3642" s="319"/>
      <c r="BP3642" s="953"/>
      <c r="BQ3642" s="319"/>
      <c r="BR3642" s="319"/>
      <c r="BS3642" s="330"/>
      <c r="BT3642" s="331"/>
      <c r="BU3642" s="920"/>
      <c r="BV3642" s="903"/>
      <c r="BW3642" s="908"/>
      <c r="BX3642" s="908"/>
      <c r="BY3642" s="331"/>
      <c r="BZ3642" s="331"/>
      <c r="CA3642" s="462"/>
      <c r="CB3642" s="319"/>
      <c r="CC3642" s="319"/>
      <c r="CD3642" s="319"/>
      <c r="CE3642" s="319"/>
      <c r="CF3642" s="319"/>
      <c r="CG3642" s="319"/>
      <c r="CH3642" s="318"/>
      <c r="CI3642" s="319"/>
      <c r="CJ3642" s="319"/>
      <c r="CK3642" s="342"/>
      <c r="CL3642" s="333"/>
      <c r="CM3642" s="1079"/>
      <c r="CN3642" s="1005"/>
      <c r="CO3642" s="1005"/>
      <c r="CP3642" s="1005"/>
    </row>
    <row r="3643">
      <c r="A3643" s="1257"/>
      <c r="B3643" s="1113"/>
      <c r="C3643" s="1107"/>
      <c r="D3643" s="103"/>
      <c r="E3643" s="1137"/>
      <c r="F3643" s="112"/>
      <c r="G3643" s="1110"/>
      <c r="H3643" s="1138"/>
      <c r="I3643" s="1138"/>
      <c r="J3643" s="1139"/>
      <c r="K3643" s="1111"/>
      <c r="L3643" s="1112"/>
      <c r="M3643" s="1113"/>
      <c r="N3643" s="110"/>
      <c r="O3643" s="1140"/>
      <c r="P3643" s="1115"/>
      <c r="Q3643" s="1116"/>
      <c r="R3643" s="1141"/>
      <c r="S3643" s="1113"/>
      <c r="T3643" s="1143"/>
      <c r="U3643" s="1108"/>
      <c r="V3643" s="1108"/>
      <c r="W3643" s="1108"/>
      <c r="X3643" s="1108"/>
      <c r="Y3643" s="1108"/>
      <c r="Z3643" s="1114"/>
      <c r="AA3643" s="1114"/>
      <c r="AB3643" s="1114"/>
      <c r="AC3643" s="1117"/>
      <c r="AD3643" s="1115"/>
      <c r="AE3643" s="1115"/>
      <c r="AF3643" s="1115"/>
      <c r="AG3643" s="1115"/>
      <c r="AH3643" s="1115"/>
      <c r="AI3643" s="1115"/>
      <c r="AJ3643" s="1117"/>
      <c r="AK3643" s="1118"/>
      <c r="AL3643" s="1115"/>
      <c r="AM3643" s="1115"/>
      <c r="AN3643" s="1115"/>
      <c r="AO3643" s="1115"/>
      <c r="AP3643" s="1115"/>
      <c r="AQ3643" s="1115"/>
      <c r="AR3643" s="1115"/>
      <c r="AS3643" s="1117"/>
      <c r="AT3643" s="1075"/>
      <c r="AU3643" s="1193"/>
      <c r="AV3643" s="330"/>
      <c r="AW3643" s="331"/>
      <c r="AX3643" s="331"/>
      <c r="AY3643" s="331"/>
      <c r="AZ3643" s="331"/>
      <c r="BA3643" s="331"/>
      <c r="BB3643" s="331"/>
      <c r="BC3643" s="331"/>
      <c r="BD3643" s="331"/>
      <c r="BE3643" s="333"/>
      <c r="BF3643" s="330"/>
      <c r="BG3643" s="333"/>
      <c r="BH3643" s="1119"/>
      <c r="BI3643" s="319"/>
      <c r="BJ3643" s="319"/>
      <c r="BK3643" s="319"/>
      <c r="BL3643" s="319"/>
      <c r="BM3643" s="319"/>
      <c r="BN3643" s="319"/>
      <c r="BO3643" s="319"/>
      <c r="BP3643" s="953"/>
      <c r="BQ3643" s="319"/>
      <c r="BR3643" s="319"/>
      <c r="BS3643" s="330"/>
      <c r="BT3643" s="331"/>
      <c r="BU3643" s="920"/>
      <c r="BV3643" s="903"/>
      <c r="BW3643" s="908"/>
      <c r="BX3643" s="908"/>
      <c r="BY3643" s="331"/>
      <c r="BZ3643" s="331"/>
      <c r="CA3643" s="462"/>
      <c r="CB3643" s="319"/>
      <c r="CC3643" s="319"/>
      <c r="CD3643" s="319"/>
      <c r="CE3643" s="319"/>
      <c r="CF3643" s="319"/>
      <c r="CG3643" s="319"/>
      <c r="CH3643" s="318"/>
      <c r="CI3643" s="319"/>
      <c r="CJ3643" s="319"/>
      <c r="CK3643" s="342"/>
      <c r="CL3643" s="333"/>
      <c r="CM3643" s="1079"/>
      <c r="CN3643" s="1005"/>
      <c r="CO3643" s="1005"/>
      <c r="CP3643" s="1005"/>
    </row>
    <row r="3644">
      <c r="A3644" s="1257"/>
      <c r="B3644" s="1113"/>
      <c r="C3644" s="1107"/>
      <c r="D3644" s="103"/>
      <c r="E3644" s="1137"/>
      <c r="F3644" s="112"/>
      <c r="G3644" s="1110"/>
      <c r="H3644" s="1138"/>
      <c r="I3644" s="1138"/>
      <c r="J3644" s="1139"/>
      <c r="K3644" s="1111"/>
      <c r="L3644" s="1112"/>
      <c r="M3644" s="1113"/>
      <c r="N3644" s="110"/>
      <c r="O3644" s="1140"/>
      <c r="P3644" s="1115"/>
      <c r="Q3644" s="1116"/>
      <c r="R3644" s="1141"/>
      <c r="S3644" s="1113"/>
      <c r="T3644" s="1143"/>
      <c r="U3644" s="1108"/>
      <c r="V3644" s="1108"/>
      <c r="W3644" s="1108"/>
      <c r="X3644" s="1108"/>
      <c r="Y3644" s="1108"/>
      <c r="Z3644" s="1114"/>
      <c r="AA3644" s="1114"/>
      <c r="AB3644" s="1114"/>
      <c r="AC3644" s="1117"/>
      <c r="AD3644" s="1115"/>
      <c r="AE3644" s="1115"/>
      <c r="AF3644" s="1115"/>
      <c r="AG3644" s="1115"/>
      <c r="AH3644" s="1115"/>
      <c r="AI3644" s="1115"/>
      <c r="AJ3644" s="1117"/>
      <c r="AK3644" s="1118"/>
      <c r="AL3644" s="1115"/>
      <c r="AM3644" s="1115"/>
      <c r="AN3644" s="1115"/>
      <c r="AO3644" s="1115"/>
      <c r="AP3644" s="1115"/>
      <c r="AQ3644" s="1115"/>
      <c r="AR3644" s="1115"/>
      <c r="AS3644" s="1117"/>
      <c r="AT3644" s="1075"/>
      <c r="AU3644" s="1193"/>
      <c r="AV3644" s="330"/>
      <c r="AW3644" s="331"/>
      <c r="AX3644" s="331"/>
      <c r="AY3644" s="331"/>
      <c r="AZ3644" s="331"/>
      <c r="BA3644" s="331"/>
      <c r="BB3644" s="331"/>
      <c r="BC3644" s="331"/>
      <c r="BD3644" s="331"/>
      <c r="BE3644" s="333"/>
      <c r="BF3644" s="330"/>
      <c r="BG3644" s="333"/>
      <c r="BH3644" s="1119"/>
      <c r="BI3644" s="319"/>
      <c r="BJ3644" s="319"/>
      <c r="BK3644" s="319"/>
      <c r="BL3644" s="319"/>
      <c r="BM3644" s="319"/>
      <c r="BN3644" s="319"/>
      <c r="BO3644" s="319"/>
      <c r="BP3644" s="953"/>
      <c r="BQ3644" s="319"/>
      <c r="BR3644" s="319"/>
      <c r="BS3644" s="330"/>
      <c r="BT3644" s="331"/>
      <c r="BU3644" s="920"/>
      <c r="BV3644" s="903"/>
      <c r="BW3644" s="908"/>
      <c r="BX3644" s="908"/>
      <c r="BY3644" s="331"/>
      <c r="BZ3644" s="331"/>
      <c r="CA3644" s="462"/>
      <c r="CB3644" s="319"/>
      <c r="CC3644" s="319"/>
      <c r="CD3644" s="319"/>
      <c r="CE3644" s="319"/>
      <c r="CF3644" s="319"/>
      <c r="CG3644" s="319"/>
      <c r="CH3644" s="318"/>
      <c r="CI3644" s="319"/>
      <c r="CJ3644" s="319"/>
      <c r="CK3644" s="342"/>
      <c r="CL3644" s="333"/>
      <c r="CM3644" s="1079"/>
      <c r="CN3644" s="1005"/>
      <c r="CO3644" s="1005"/>
      <c r="CP3644" s="1005"/>
    </row>
    <row r="3645">
      <c r="A3645" s="1257"/>
      <c r="B3645" s="1113"/>
      <c r="C3645" s="1107"/>
      <c r="D3645" s="103"/>
      <c r="E3645" s="1137"/>
      <c r="F3645" s="112"/>
      <c r="G3645" s="1110"/>
      <c r="H3645" s="1138"/>
      <c r="I3645" s="1138"/>
      <c r="J3645" s="1139"/>
      <c r="K3645" s="1111"/>
      <c r="L3645" s="1112"/>
      <c r="M3645" s="1113"/>
      <c r="N3645" s="110"/>
      <c r="O3645" s="1140"/>
      <c r="P3645" s="1115"/>
      <c r="Q3645" s="1116"/>
      <c r="R3645" s="1141"/>
      <c r="S3645" s="1113"/>
      <c r="T3645" s="1143"/>
      <c r="U3645" s="1108"/>
      <c r="V3645" s="1108"/>
      <c r="W3645" s="1108"/>
      <c r="X3645" s="1108"/>
      <c r="Y3645" s="1108"/>
      <c r="Z3645" s="1114"/>
      <c r="AA3645" s="1114"/>
      <c r="AB3645" s="1114"/>
      <c r="AC3645" s="1117"/>
      <c r="AD3645" s="1115"/>
      <c r="AE3645" s="1115"/>
      <c r="AF3645" s="1115"/>
      <c r="AG3645" s="1115"/>
      <c r="AH3645" s="1115"/>
      <c r="AI3645" s="1115"/>
      <c r="AJ3645" s="1117"/>
      <c r="AK3645" s="1118"/>
      <c r="AL3645" s="1115"/>
      <c r="AM3645" s="1115"/>
      <c r="AN3645" s="1115"/>
      <c r="AO3645" s="1115"/>
      <c r="AP3645" s="1115"/>
      <c r="AQ3645" s="1115"/>
      <c r="AR3645" s="1115"/>
      <c r="AS3645" s="1117"/>
      <c r="AT3645" s="1075"/>
      <c r="AU3645" s="1193"/>
      <c r="AV3645" s="330"/>
      <c r="AW3645" s="331"/>
      <c r="AX3645" s="331"/>
      <c r="AY3645" s="331"/>
      <c r="AZ3645" s="331"/>
      <c r="BA3645" s="331"/>
      <c r="BB3645" s="331"/>
      <c r="BC3645" s="331"/>
      <c r="BD3645" s="331"/>
      <c r="BE3645" s="333"/>
      <c r="BF3645" s="330"/>
      <c r="BG3645" s="333"/>
      <c r="BH3645" s="1119"/>
      <c r="BI3645" s="319"/>
      <c r="BJ3645" s="319"/>
      <c r="BK3645" s="319"/>
      <c r="BL3645" s="319"/>
      <c r="BM3645" s="319"/>
      <c r="BN3645" s="319"/>
      <c r="BO3645" s="319"/>
      <c r="BP3645" s="953"/>
      <c r="BQ3645" s="319"/>
      <c r="BR3645" s="319"/>
      <c r="BS3645" s="330"/>
      <c r="BT3645" s="331"/>
      <c r="BU3645" s="920"/>
      <c r="BV3645" s="903"/>
      <c r="BW3645" s="908"/>
      <c r="BX3645" s="908"/>
      <c r="BY3645" s="331"/>
      <c r="BZ3645" s="331"/>
      <c r="CA3645" s="462"/>
      <c r="CB3645" s="319"/>
      <c r="CC3645" s="319"/>
      <c r="CD3645" s="319"/>
      <c r="CE3645" s="319"/>
      <c r="CF3645" s="319"/>
      <c r="CG3645" s="319"/>
      <c r="CH3645" s="318"/>
      <c r="CI3645" s="319"/>
      <c r="CJ3645" s="319"/>
      <c r="CK3645" s="342"/>
      <c r="CL3645" s="333"/>
      <c r="CM3645" s="1079"/>
      <c r="CN3645" s="1005"/>
      <c r="CO3645" s="1005"/>
      <c r="CP3645" s="1005"/>
    </row>
    <row r="3646">
      <c r="A3646" s="1257"/>
      <c r="B3646" s="1113"/>
      <c r="C3646" s="1107"/>
      <c r="D3646" s="103"/>
      <c r="E3646" s="1137"/>
      <c r="F3646" s="112"/>
      <c r="G3646" s="1110"/>
      <c r="H3646" s="1138"/>
      <c r="I3646" s="1138"/>
      <c r="J3646" s="1139"/>
      <c r="K3646" s="1111"/>
      <c r="L3646" s="1112"/>
      <c r="M3646" s="1113"/>
      <c r="N3646" s="110"/>
      <c r="O3646" s="1140"/>
      <c r="P3646" s="1115"/>
      <c r="Q3646" s="1116"/>
      <c r="R3646" s="1141"/>
      <c r="S3646" s="1113"/>
      <c r="T3646" s="1143"/>
      <c r="U3646" s="1108"/>
      <c r="V3646" s="1108"/>
      <c r="W3646" s="1108"/>
      <c r="X3646" s="1108"/>
      <c r="Y3646" s="1108"/>
      <c r="Z3646" s="1114"/>
      <c r="AA3646" s="1114"/>
      <c r="AB3646" s="1114"/>
      <c r="AC3646" s="1117"/>
      <c r="AD3646" s="1115"/>
      <c r="AE3646" s="1115"/>
      <c r="AF3646" s="1115"/>
      <c r="AG3646" s="1115"/>
      <c r="AH3646" s="1115"/>
      <c r="AI3646" s="1115"/>
      <c r="AJ3646" s="1117"/>
      <c r="AK3646" s="1118"/>
      <c r="AL3646" s="1115"/>
      <c r="AM3646" s="1115"/>
      <c r="AN3646" s="1115"/>
      <c r="AO3646" s="1115"/>
      <c r="AP3646" s="1115"/>
      <c r="AQ3646" s="1115"/>
      <c r="AR3646" s="1115"/>
      <c r="AS3646" s="1117"/>
      <c r="AT3646" s="1075"/>
      <c r="AU3646" s="1193"/>
      <c r="AV3646" s="330"/>
      <c r="AW3646" s="331"/>
      <c r="AX3646" s="331"/>
      <c r="AY3646" s="331"/>
      <c r="AZ3646" s="331"/>
      <c r="BA3646" s="331"/>
      <c r="BB3646" s="331"/>
      <c r="BC3646" s="331"/>
      <c r="BD3646" s="331"/>
      <c r="BE3646" s="333"/>
      <c r="BF3646" s="330"/>
      <c r="BG3646" s="333"/>
      <c r="BH3646" s="1119"/>
      <c r="BI3646" s="319"/>
      <c r="BJ3646" s="319"/>
      <c r="BK3646" s="319"/>
      <c r="BL3646" s="319"/>
      <c r="BM3646" s="319"/>
      <c r="BN3646" s="319"/>
      <c r="BO3646" s="319"/>
      <c r="BP3646" s="953"/>
      <c r="BQ3646" s="319"/>
      <c r="BR3646" s="319"/>
      <c r="BS3646" s="330"/>
      <c r="BT3646" s="331"/>
      <c r="BU3646" s="920"/>
      <c r="BV3646" s="903"/>
      <c r="BW3646" s="908"/>
      <c r="BX3646" s="908"/>
      <c r="BY3646" s="331"/>
      <c r="BZ3646" s="331"/>
      <c r="CA3646" s="462"/>
      <c r="CB3646" s="319"/>
      <c r="CC3646" s="319"/>
      <c r="CD3646" s="319"/>
      <c r="CE3646" s="319"/>
      <c r="CF3646" s="319"/>
      <c r="CG3646" s="319"/>
      <c r="CH3646" s="318"/>
      <c r="CI3646" s="319"/>
      <c r="CJ3646" s="319"/>
      <c r="CK3646" s="342"/>
      <c r="CL3646" s="333"/>
      <c r="CM3646" s="1079"/>
      <c r="CN3646" s="1005"/>
      <c r="CO3646" s="1005"/>
      <c r="CP3646" s="1005"/>
    </row>
    <row r="3647">
      <c r="A3647" s="1257"/>
      <c r="B3647" s="1113"/>
      <c r="C3647" s="1107"/>
      <c r="D3647" s="103"/>
      <c r="E3647" s="1137"/>
      <c r="F3647" s="112"/>
      <c r="G3647" s="1110"/>
      <c r="H3647" s="1138"/>
      <c r="I3647" s="1138"/>
      <c r="J3647" s="1139"/>
      <c r="K3647" s="1111"/>
      <c r="L3647" s="1112"/>
      <c r="M3647" s="1113"/>
      <c r="N3647" s="110"/>
      <c r="O3647" s="1140"/>
      <c r="P3647" s="1115"/>
      <c r="Q3647" s="1116"/>
      <c r="R3647" s="1141"/>
      <c r="S3647" s="1113"/>
      <c r="T3647" s="1143"/>
      <c r="U3647" s="1108"/>
      <c r="V3647" s="1108"/>
      <c r="W3647" s="1108"/>
      <c r="X3647" s="1108"/>
      <c r="Y3647" s="1108"/>
      <c r="Z3647" s="1114"/>
      <c r="AA3647" s="1114"/>
      <c r="AB3647" s="1114"/>
      <c r="AC3647" s="1117"/>
      <c r="AD3647" s="1115"/>
      <c r="AE3647" s="1115"/>
      <c r="AF3647" s="1115"/>
      <c r="AG3647" s="1115"/>
      <c r="AH3647" s="1115"/>
      <c r="AI3647" s="1115"/>
      <c r="AJ3647" s="1117"/>
      <c r="AK3647" s="1118"/>
      <c r="AL3647" s="1115"/>
      <c r="AM3647" s="1115"/>
      <c r="AN3647" s="1115"/>
      <c r="AO3647" s="1115"/>
      <c r="AP3647" s="1115"/>
      <c r="AQ3647" s="1115"/>
      <c r="AR3647" s="1115"/>
      <c r="AS3647" s="1117"/>
      <c r="AT3647" s="1075"/>
      <c r="AU3647" s="1193"/>
      <c r="AV3647" s="330"/>
      <c r="AW3647" s="331"/>
      <c r="AX3647" s="331"/>
      <c r="AY3647" s="331"/>
      <c r="AZ3647" s="331"/>
      <c r="BA3647" s="331"/>
      <c r="BB3647" s="331"/>
      <c r="BC3647" s="331"/>
      <c r="BD3647" s="331"/>
      <c r="BE3647" s="333"/>
      <c r="BF3647" s="330"/>
      <c r="BG3647" s="333"/>
      <c r="BH3647" s="1119"/>
      <c r="BI3647" s="319"/>
      <c r="BJ3647" s="319"/>
      <c r="BK3647" s="319"/>
      <c r="BL3647" s="319"/>
      <c r="BM3647" s="319"/>
      <c r="BN3647" s="319"/>
      <c r="BO3647" s="319"/>
      <c r="BP3647" s="953"/>
      <c r="BQ3647" s="319"/>
      <c r="BR3647" s="319"/>
      <c r="BS3647" s="330"/>
      <c r="BT3647" s="331"/>
      <c r="BU3647" s="920"/>
      <c r="BV3647" s="903"/>
      <c r="BW3647" s="908"/>
      <c r="BX3647" s="908"/>
      <c r="BY3647" s="331"/>
      <c r="BZ3647" s="331"/>
      <c r="CA3647" s="462"/>
      <c r="CB3647" s="319"/>
      <c r="CC3647" s="319"/>
      <c r="CD3647" s="319"/>
      <c r="CE3647" s="319"/>
      <c r="CF3647" s="319"/>
      <c r="CG3647" s="319"/>
      <c r="CH3647" s="318"/>
      <c r="CI3647" s="319"/>
      <c r="CJ3647" s="319"/>
      <c r="CK3647" s="342"/>
      <c r="CL3647" s="333"/>
      <c r="CM3647" s="1079"/>
      <c r="CN3647" s="1005"/>
      <c r="CO3647" s="1005"/>
      <c r="CP3647" s="1005"/>
    </row>
    <row r="3648">
      <c r="A3648" s="1257"/>
      <c r="B3648" s="1113"/>
      <c r="C3648" s="1107"/>
      <c r="D3648" s="103"/>
      <c r="E3648" s="1137"/>
      <c r="F3648" s="112"/>
      <c r="G3648" s="1110"/>
      <c r="H3648" s="1138"/>
      <c r="I3648" s="1138"/>
      <c r="J3648" s="1139"/>
      <c r="K3648" s="1111"/>
      <c r="L3648" s="1112"/>
      <c r="M3648" s="1113"/>
      <c r="N3648" s="110"/>
      <c r="O3648" s="1140"/>
      <c r="P3648" s="1115"/>
      <c r="Q3648" s="1116"/>
      <c r="R3648" s="1141"/>
      <c r="S3648" s="1113"/>
      <c r="T3648" s="1143"/>
      <c r="U3648" s="1108"/>
      <c r="V3648" s="1108"/>
      <c r="W3648" s="1108"/>
      <c r="X3648" s="1108"/>
      <c r="Y3648" s="1108"/>
      <c r="Z3648" s="1114"/>
      <c r="AA3648" s="1114"/>
      <c r="AB3648" s="1114"/>
      <c r="AC3648" s="1117"/>
      <c r="AD3648" s="1115"/>
      <c r="AE3648" s="1115"/>
      <c r="AF3648" s="1115"/>
      <c r="AG3648" s="1115"/>
      <c r="AH3648" s="1115"/>
      <c r="AI3648" s="1115"/>
      <c r="AJ3648" s="1117"/>
      <c r="AK3648" s="1118"/>
      <c r="AL3648" s="1115"/>
      <c r="AM3648" s="1115"/>
      <c r="AN3648" s="1115"/>
      <c r="AO3648" s="1115"/>
      <c r="AP3648" s="1115"/>
      <c r="AQ3648" s="1115"/>
      <c r="AR3648" s="1115"/>
      <c r="AS3648" s="1117"/>
      <c r="AT3648" s="1075"/>
      <c r="AU3648" s="1193"/>
      <c r="AV3648" s="330"/>
      <c r="AW3648" s="331"/>
      <c r="AX3648" s="331"/>
      <c r="AY3648" s="331"/>
      <c r="AZ3648" s="331"/>
      <c r="BA3648" s="331"/>
      <c r="BB3648" s="331"/>
      <c r="BC3648" s="331"/>
      <c r="BD3648" s="331"/>
      <c r="BE3648" s="333"/>
      <c r="BF3648" s="330"/>
      <c r="BG3648" s="333"/>
      <c r="BH3648" s="1119"/>
      <c r="BI3648" s="319"/>
      <c r="BJ3648" s="319"/>
      <c r="BK3648" s="319"/>
      <c r="BL3648" s="319"/>
      <c r="BM3648" s="319"/>
      <c r="BN3648" s="319"/>
      <c r="BO3648" s="319"/>
      <c r="BP3648" s="953"/>
      <c r="BQ3648" s="319"/>
      <c r="BR3648" s="319"/>
      <c r="BS3648" s="330"/>
      <c r="BT3648" s="331"/>
      <c r="BU3648" s="920"/>
      <c r="BV3648" s="903"/>
      <c r="BW3648" s="908"/>
      <c r="BX3648" s="908"/>
      <c r="BY3648" s="331"/>
      <c r="BZ3648" s="331"/>
      <c r="CA3648" s="462"/>
      <c r="CB3648" s="319"/>
      <c r="CC3648" s="319"/>
      <c r="CD3648" s="319"/>
      <c r="CE3648" s="319"/>
      <c r="CF3648" s="319"/>
      <c r="CG3648" s="319"/>
      <c r="CH3648" s="318"/>
      <c r="CI3648" s="319"/>
      <c r="CJ3648" s="319"/>
      <c r="CK3648" s="342"/>
      <c r="CL3648" s="333"/>
      <c r="CM3648" s="1079"/>
      <c r="CN3648" s="1005"/>
      <c r="CO3648" s="1005"/>
      <c r="CP3648" s="1005"/>
    </row>
    <row r="3649">
      <c r="A3649" s="1257"/>
      <c r="B3649" s="1113"/>
      <c r="C3649" s="1107"/>
      <c r="D3649" s="103"/>
      <c r="E3649" s="1137"/>
      <c r="F3649" s="112"/>
      <c r="G3649" s="1110"/>
      <c r="H3649" s="1138"/>
      <c r="I3649" s="1138"/>
      <c r="J3649" s="1139"/>
      <c r="K3649" s="1111"/>
      <c r="L3649" s="1112"/>
      <c r="M3649" s="1113"/>
      <c r="N3649" s="110"/>
      <c r="O3649" s="1140"/>
      <c r="P3649" s="1115"/>
      <c r="Q3649" s="1116"/>
      <c r="R3649" s="1141"/>
      <c r="S3649" s="1113"/>
      <c r="T3649" s="1143"/>
      <c r="U3649" s="1108"/>
      <c r="V3649" s="1108"/>
      <c r="W3649" s="1108"/>
      <c r="X3649" s="1108"/>
      <c r="Y3649" s="1108"/>
      <c r="Z3649" s="1114"/>
      <c r="AA3649" s="1114"/>
      <c r="AB3649" s="1114"/>
      <c r="AC3649" s="1117"/>
      <c r="AD3649" s="1115"/>
      <c r="AE3649" s="1115"/>
      <c r="AF3649" s="1115"/>
      <c r="AG3649" s="1115"/>
      <c r="AH3649" s="1115"/>
      <c r="AI3649" s="1115"/>
      <c r="AJ3649" s="1117"/>
      <c r="AK3649" s="1118"/>
      <c r="AL3649" s="1115"/>
      <c r="AM3649" s="1115"/>
      <c r="AN3649" s="1115"/>
      <c r="AO3649" s="1115"/>
      <c r="AP3649" s="1115"/>
      <c r="AQ3649" s="1115"/>
      <c r="AR3649" s="1115"/>
      <c r="AS3649" s="1117"/>
      <c r="AT3649" s="1075"/>
      <c r="AU3649" s="1193"/>
      <c r="AV3649" s="330"/>
      <c r="AW3649" s="331"/>
      <c r="AX3649" s="331"/>
      <c r="AY3649" s="331"/>
      <c r="AZ3649" s="331"/>
      <c r="BA3649" s="331"/>
      <c r="BB3649" s="331"/>
      <c r="BC3649" s="331"/>
      <c r="BD3649" s="331"/>
      <c r="BE3649" s="333"/>
      <c r="BF3649" s="330"/>
      <c r="BG3649" s="333"/>
      <c r="BH3649" s="1119"/>
      <c r="BI3649" s="319"/>
      <c r="BJ3649" s="319"/>
      <c r="BK3649" s="319"/>
      <c r="BL3649" s="319"/>
      <c r="BM3649" s="319"/>
      <c r="BN3649" s="319"/>
      <c r="BO3649" s="319"/>
      <c r="BP3649" s="953"/>
      <c r="BQ3649" s="319"/>
      <c r="BR3649" s="319"/>
      <c r="BS3649" s="330"/>
      <c r="BT3649" s="331"/>
      <c r="BU3649" s="920"/>
      <c r="BV3649" s="903"/>
      <c r="BW3649" s="908"/>
      <c r="BX3649" s="908"/>
      <c r="BY3649" s="331"/>
      <c r="BZ3649" s="331"/>
      <c r="CA3649" s="462"/>
      <c r="CB3649" s="319"/>
      <c r="CC3649" s="319"/>
      <c r="CD3649" s="319"/>
      <c r="CE3649" s="319"/>
      <c r="CF3649" s="319"/>
      <c r="CG3649" s="319"/>
      <c r="CH3649" s="318"/>
      <c r="CI3649" s="319"/>
      <c r="CJ3649" s="319"/>
      <c r="CK3649" s="342"/>
      <c r="CL3649" s="333"/>
      <c r="CM3649" s="1079"/>
      <c r="CN3649" s="1005"/>
      <c r="CO3649" s="1005"/>
      <c r="CP3649" s="1005"/>
    </row>
    <row r="3650">
      <c r="A3650" s="1257"/>
      <c r="B3650" s="1113"/>
      <c r="C3650" s="1107"/>
      <c r="D3650" s="103"/>
      <c r="E3650" s="1137"/>
      <c r="F3650" s="112"/>
      <c r="G3650" s="1110"/>
      <c r="H3650" s="1138"/>
      <c r="I3650" s="1138"/>
      <c r="J3650" s="1139"/>
      <c r="K3650" s="1111"/>
      <c r="L3650" s="1112"/>
      <c r="M3650" s="1113"/>
      <c r="N3650" s="110"/>
      <c r="O3650" s="1140"/>
      <c r="P3650" s="1115"/>
      <c r="Q3650" s="1116"/>
      <c r="R3650" s="1141"/>
      <c r="S3650" s="1113"/>
      <c r="T3650" s="1143"/>
      <c r="U3650" s="1108"/>
      <c r="V3650" s="1108"/>
      <c r="W3650" s="1108"/>
      <c r="X3650" s="1108"/>
      <c r="Y3650" s="1108"/>
      <c r="Z3650" s="1114"/>
      <c r="AA3650" s="1114"/>
      <c r="AB3650" s="1114"/>
      <c r="AC3650" s="1117"/>
      <c r="AD3650" s="1115"/>
      <c r="AE3650" s="1115"/>
      <c r="AF3650" s="1115"/>
      <c r="AG3650" s="1115"/>
      <c r="AH3650" s="1115"/>
      <c r="AI3650" s="1115"/>
      <c r="AJ3650" s="1117"/>
      <c r="AK3650" s="1118"/>
      <c r="AL3650" s="1115"/>
      <c r="AM3650" s="1115"/>
      <c r="AN3650" s="1115"/>
      <c r="AO3650" s="1115"/>
      <c r="AP3650" s="1115"/>
      <c r="AQ3650" s="1115"/>
      <c r="AR3650" s="1115"/>
      <c r="AS3650" s="1117"/>
      <c r="AT3650" s="1075"/>
      <c r="AU3650" s="1193"/>
      <c r="AV3650" s="330"/>
      <c r="AW3650" s="331"/>
      <c r="AX3650" s="331"/>
      <c r="AY3650" s="331"/>
      <c r="AZ3650" s="331"/>
      <c r="BA3650" s="331"/>
      <c r="BB3650" s="331"/>
      <c r="BC3650" s="331"/>
      <c r="BD3650" s="331"/>
      <c r="BE3650" s="333"/>
      <c r="BF3650" s="330"/>
      <c r="BG3650" s="333"/>
      <c r="BH3650" s="1119"/>
      <c r="BI3650" s="319"/>
      <c r="BJ3650" s="319"/>
      <c r="BK3650" s="319"/>
      <c r="BL3650" s="319"/>
      <c r="BM3650" s="319"/>
      <c r="BN3650" s="319"/>
      <c r="BO3650" s="319"/>
      <c r="BP3650" s="953"/>
      <c r="BQ3650" s="319"/>
      <c r="BR3650" s="319"/>
      <c r="BS3650" s="330"/>
      <c r="BT3650" s="331"/>
      <c r="BU3650" s="920"/>
      <c r="BV3650" s="903"/>
      <c r="BW3650" s="908"/>
      <c r="BX3650" s="908"/>
      <c r="BY3650" s="331"/>
      <c r="BZ3650" s="331"/>
      <c r="CA3650" s="462"/>
      <c r="CB3650" s="319"/>
      <c r="CC3650" s="319"/>
      <c r="CD3650" s="319"/>
      <c r="CE3650" s="319"/>
      <c r="CF3650" s="319"/>
      <c r="CG3650" s="319"/>
      <c r="CH3650" s="318"/>
      <c r="CI3650" s="319"/>
      <c r="CJ3650" s="319"/>
      <c r="CK3650" s="342"/>
      <c r="CL3650" s="333"/>
      <c r="CM3650" s="1079"/>
      <c r="CN3650" s="1005"/>
      <c r="CO3650" s="1005"/>
      <c r="CP3650" s="1005"/>
    </row>
    <row r="3651">
      <c r="A3651" s="1257"/>
      <c r="B3651" s="1113"/>
      <c r="C3651" s="1107"/>
      <c r="D3651" s="103"/>
      <c r="E3651" s="1137"/>
      <c r="F3651" s="112"/>
      <c r="G3651" s="1110"/>
      <c r="H3651" s="1138"/>
      <c r="I3651" s="1138"/>
      <c r="J3651" s="1139"/>
      <c r="K3651" s="1111"/>
      <c r="L3651" s="1112"/>
      <c r="M3651" s="1113"/>
      <c r="N3651" s="110"/>
      <c r="O3651" s="1140"/>
      <c r="P3651" s="1115"/>
      <c r="Q3651" s="1116"/>
      <c r="R3651" s="1141"/>
      <c r="S3651" s="1113"/>
      <c r="T3651" s="1143"/>
      <c r="U3651" s="1108"/>
      <c r="V3651" s="1108"/>
      <c r="W3651" s="1108"/>
      <c r="X3651" s="1108"/>
      <c r="Y3651" s="1108"/>
      <c r="Z3651" s="1114"/>
      <c r="AA3651" s="1114"/>
      <c r="AB3651" s="1114"/>
      <c r="AC3651" s="1117"/>
      <c r="AD3651" s="1115"/>
      <c r="AE3651" s="1115"/>
      <c r="AF3651" s="1115"/>
      <c r="AG3651" s="1115"/>
      <c r="AH3651" s="1115"/>
      <c r="AI3651" s="1115"/>
      <c r="AJ3651" s="1117"/>
      <c r="AK3651" s="1118"/>
      <c r="AL3651" s="1115"/>
      <c r="AM3651" s="1115"/>
      <c r="AN3651" s="1115"/>
      <c r="AO3651" s="1115"/>
      <c r="AP3651" s="1115"/>
      <c r="AQ3651" s="1115"/>
      <c r="AR3651" s="1115"/>
      <c r="AS3651" s="1117"/>
      <c r="AT3651" s="1075"/>
      <c r="AU3651" s="1193"/>
      <c r="AV3651" s="330"/>
      <c r="AW3651" s="331"/>
      <c r="AX3651" s="331"/>
      <c r="AY3651" s="331"/>
      <c r="AZ3651" s="331"/>
      <c r="BA3651" s="331"/>
      <c r="BB3651" s="331"/>
      <c r="BC3651" s="331"/>
      <c r="BD3651" s="331"/>
      <c r="BE3651" s="333"/>
      <c r="BF3651" s="330"/>
      <c r="BG3651" s="333"/>
      <c r="BH3651" s="1119"/>
      <c r="BI3651" s="319"/>
      <c r="BJ3651" s="319"/>
      <c r="BK3651" s="319"/>
      <c r="BL3651" s="319"/>
      <c r="BM3651" s="319"/>
      <c r="BN3651" s="319"/>
      <c r="BO3651" s="319"/>
      <c r="BP3651" s="953"/>
      <c r="BQ3651" s="319"/>
      <c r="BR3651" s="319"/>
      <c r="BS3651" s="330"/>
      <c r="BT3651" s="331"/>
      <c r="BU3651" s="920"/>
      <c r="BV3651" s="903"/>
      <c r="BW3651" s="908"/>
      <c r="BX3651" s="908"/>
      <c r="BY3651" s="331"/>
      <c r="BZ3651" s="331"/>
      <c r="CA3651" s="462"/>
      <c r="CB3651" s="319"/>
      <c r="CC3651" s="319"/>
      <c r="CD3651" s="319"/>
      <c r="CE3651" s="319"/>
      <c r="CF3651" s="319"/>
      <c r="CG3651" s="319"/>
      <c r="CH3651" s="318"/>
      <c r="CI3651" s="319"/>
      <c r="CJ3651" s="319"/>
      <c r="CK3651" s="342"/>
      <c r="CL3651" s="333"/>
      <c r="CM3651" s="1079"/>
      <c r="CN3651" s="1005"/>
      <c r="CO3651" s="1005"/>
      <c r="CP3651" s="1005"/>
    </row>
    <row r="3652">
      <c r="A3652" s="1257"/>
      <c r="B3652" s="1113"/>
      <c r="C3652" s="1107"/>
      <c r="D3652" s="103"/>
      <c r="E3652" s="1137"/>
      <c r="F3652" s="112"/>
      <c r="G3652" s="1110"/>
      <c r="H3652" s="1138"/>
      <c r="I3652" s="1138"/>
      <c r="J3652" s="1139"/>
      <c r="K3652" s="1111"/>
      <c r="L3652" s="1112"/>
      <c r="M3652" s="1113"/>
      <c r="N3652" s="110"/>
      <c r="O3652" s="1140"/>
      <c r="P3652" s="1115"/>
      <c r="Q3652" s="1116"/>
      <c r="R3652" s="1141"/>
      <c r="S3652" s="1113"/>
      <c r="T3652" s="1143"/>
      <c r="U3652" s="1108"/>
      <c r="V3652" s="1108"/>
      <c r="W3652" s="1108"/>
      <c r="X3652" s="1108"/>
      <c r="Y3652" s="1108"/>
      <c r="Z3652" s="1114"/>
      <c r="AA3652" s="1114"/>
      <c r="AB3652" s="1114"/>
      <c r="AC3652" s="1117"/>
      <c r="AD3652" s="1115"/>
      <c r="AE3652" s="1115"/>
      <c r="AF3652" s="1115"/>
      <c r="AG3652" s="1115"/>
      <c r="AH3652" s="1115"/>
      <c r="AI3652" s="1115"/>
      <c r="AJ3652" s="1117"/>
      <c r="AK3652" s="1118"/>
      <c r="AL3652" s="1115"/>
      <c r="AM3652" s="1115"/>
      <c r="AN3652" s="1115"/>
      <c r="AO3652" s="1115"/>
      <c r="AP3652" s="1115"/>
      <c r="AQ3652" s="1115"/>
      <c r="AR3652" s="1115"/>
      <c r="AS3652" s="1117"/>
      <c r="AT3652" s="1075"/>
      <c r="AU3652" s="1193"/>
      <c r="AV3652" s="330"/>
      <c r="AW3652" s="331"/>
      <c r="AX3652" s="331"/>
      <c r="AY3652" s="331"/>
      <c r="AZ3652" s="331"/>
      <c r="BA3652" s="331"/>
      <c r="BB3652" s="331"/>
      <c r="BC3652" s="331"/>
      <c r="BD3652" s="331"/>
      <c r="BE3652" s="333"/>
      <c r="BF3652" s="330"/>
      <c r="BG3652" s="333"/>
      <c r="BH3652" s="1119"/>
      <c r="BI3652" s="319"/>
      <c r="BJ3652" s="319"/>
      <c r="BK3652" s="319"/>
      <c r="BL3652" s="319"/>
      <c r="BM3652" s="319"/>
      <c r="BN3652" s="319"/>
      <c r="BO3652" s="319"/>
      <c r="BP3652" s="953"/>
      <c r="BQ3652" s="319"/>
      <c r="BR3652" s="319"/>
      <c r="BS3652" s="330"/>
      <c r="BT3652" s="331"/>
      <c r="BU3652" s="920"/>
      <c r="BV3652" s="903"/>
      <c r="BW3652" s="908"/>
      <c r="BX3652" s="908"/>
      <c r="BY3652" s="331"/>
      <c r="BZ3652" s="331"/>
      <c r="CA3652" s="462"/>
      <c r="CB3652" s="319"/>
      <c r="CC3652" s="319"/>
      <c r="CD3652" s="319"/>
      <c r="CE3652" s="319"/>
      <c r="CF3652" s="319"/>
      <c r="CG3652" s="319"/>
      <c r="CH3652" s="318"/>
      <c r="CI3652" s="319"/>
      <c r="CJ3652" s="319"/>
      <c r="CK3652" s="342"/>
      <c r="CL3652" s="333"/>
      <c r="CM3652" s="1079"/>
      <c r="CN3652" s="1005"/>
      <c r="CO3652" s="1005"/>
      <c r="CP3652" s="1005"/>
    </row>
    <row r="3653">
      <c r="A3653" s="1257"/>
      <c r="B3653" s="1113"/>
      <c r="C3653" s="1107"/>
      <c r="D3653" s="103"/>
      <c r="E3653" s="1137"/>
      <c r="F3653" s="112"/>
      <c r="G3653" s="1110"/>
      <c r="H3653" s="1138"/>
      <c r="I3653" s="1138"/>
      <c r="J3653" s="1139"/>
      <c r="K3653" s="1111"/>
      <c r="L3653" s="1112"/>
      <c r="M3653" s="1113"/>
      <c r="N3653" s="110"/>
      <c r="O3653" s="1140"/>
      <c r="P3653" s="1115"/>
      <c r="Q3653" s="1116"/>
      <c r="R3653" s="1141"/>
      <c r="S3653" s="1113"/>
      <c r="T3653" s="1143"/>
      <c r="U3653" s="1108"/>
      <c r="V3653" s="1108"/>
      <c r="W3653" s="1108"/>
      <c r="X3653" s="1108"/>
      <c r="Y3653" s="1108"/>
      <c r="Z3653" s="1114"/>
      <c r="AA3653" s="1114"/>
      <c r="AB3653" s="1114"/>
      <c r="AC3653" s="1117"/>
      <c r="AD3653" s="1115"/>
      <c r="AE3653" s="1115"/>
      <c r="AF3653" s="1115"/>
      <c r="AG3653" s="1115"/>
      <c r="AH3653" s="1115"/>
      <c r="AI3653" s="1115"/>
      <c r="AJ3653" s="1117"/>
      <c r="AK3653" s="1118"/>
      <c r="AL3653" s="1115"/>
      <c r="AM3653" s="1115"/>
      <c r="AN3653" s="1115"/>
      <c r="AO3653" s="1115"/>
      <c r="AP3653" s="1115"/>
      <c r="AQ3653" s="1115"/>
      <c r="AR3653" s="1115"/>
      <c r="AS3653" s="1117"/>
      <c r="AT3653" s="1075"/>
      <c r="AU3653" s="1193"/>
      <c r="AV3653" s="330"/>
      <c r="AW3653" s="331"/>
      <c r="AX3653" s="331"/>
      <c r="AY3653" s="331"/>
      <c r="AZ3653" s="331"/>
      <c r="BA3653" s="331"/>
      <c r="BB3653" s="331"/>
      <c r="BC3653" s="331"/>
      <c r="BD3653" s="331"/>
      <c r="BE3653" s="333"/>
      <c r="BF3653" s="330"/>
      <c r="BG3653" s="333"/>
      <c r="BH3653" s="1119"/>
      <c r="BI3653" s="319"/>
      <c r="BJ3653" s="319"/>
      <c r="BK3653" s="319"/>
      <c r="BL3653" s="319"/>
      <c r="BM3653" s="319"/>
      <c r="BN3653" s="319"/>
      <c r="BO3653" s="319"/>
      <c r="BP3653" s="953"/>
      <c r="BQ3653" s="319"/>
      <c r="BR3653" s="319"/>
      <c r="BS3653" s="330"/>
      <c r="BT3653" s="331"/>
      <c r="BU3653" s="920"/>
      <c r="BV3653" s="903"/>
      <c r="BW3653" s="908"/>
      <c r="BX3653" s="908"/>
      <c r="BY3653" s="331"/>
      <c r="BZ3653" s="331"/>
      <c r="CA3653" s="462"/>
      <c r="CB3653" s="319"/>
      <c r="CC3653" s="319"/>
      <c r="CD3653" s="319"/>
      <c r="CE3653" s="319"/>
      <c r="CF3653" s="319"/>
      <c r="CG3653" s="319"/>
      <c r="CH3653" s="318"/>
      <c r="CI3653" s="319"/>
      <c r="CJ3653" s="319"/>
      <c r="CK3653" s="342"/>
      <c r="CL3653" s="333"/>
      <c r="CM3653" s="1079"/>
      <c r="CN3653" s="1005"/>
      <c r="CO3653" s="1005"/>
      <c r="CP3653" s="1005"/>
    </row>
    <row r="3654">
      <c r="A3654" s="1257"/>
      <c r="B3654" s="1113"/>
      <c r="C3654" s="1107"/>
      <c r="D3654" s="103"/>
      <c r="E3654" s="1137"/>
      <c r="F3654" s="112"/>
      <c r="G3654" s="1110"/>
      <c r="H3654" s="1138"/>
      <c r="I3654" s="1138"/>
      <c r="J3654" s="1139"/>
      <c r="K3654" s="1111"/>
      <c r="L3654" s="1112"/>
      <c r="M3654" s="1113"/>
      <c r="N3654" s="110"/>
      <c r="O3654" s="1140"/>
      <c r="P3654" s="1115"/>
      <c r="Q3654" s="1116"/>
      <c r="R3654" s="1141"/>
      <c r="S3654" s="1113"/>
      <c r="T3654" s="1143"/>
      <c r="U3654" s="1108"/>
      <c r="V3654" s="1108"/>
      <c r="W3654" s="1108"/>
      <c r="X3654" s="1108"/>
      <c r="Y3654" s="1108"/>
      <c r="Z3654" s="1114"/>
      <c r="AA3654" s="1114"/>
      <c r="AB3654" s="1114"/>
      <c r="AC3654" s="1117"/>
      <c r="AD3654" s="1115"/>
      <c r="AE3654" s="1115"/>
      <c r="AF3654" s="1115"/>
      <c r="AG3654" s="1115"/>
      <c r="AH3654" s="1115"/>
      <c r="AI3654" s="1115"/>
      <c r="AJ3654" s="1117"/>
      <c r="AK3654" s="1118"/>
      <c r="AL3654" s="1115"/>
      <c r="AM3654" s="1115"/>
      <c r="AN3654" s="1115"/>
      <c r="AO3654" s="1115"/>
      <c r="AP3654" s="1115"/>
      <c r="AQ3654" s="1115"/>
      <c r="AR3654" s="1115"/>
      <c r="AS3654" s="1117"/>
      <c r="AT3654" s="1075"/>
      <c r="AU3654" s="1193"/>
      <c r="AV3654" s="330"/>
      <c r="AW3654" s="331"/>
      <c r="AX3654" s="331"/>
      <c r="AY3654" s="331"/>
      <c r="AZ3654" s="331"/>
      <c r="BA3654" s="331"/>
      <c r="BB3654" s="331"/>
      <c r="BC3654" s="331"/>
      <c r="BD3654" s="331"/>
      <c r="BE3654" s="333"/>
      <c r="BF3654" s="330"/>
      <c r="BG3654" s="333"/>
      <c r="BH3654" s="1119"/>
      <c r="BI3654" s="319"/>
      <c r="BJ3654" s="319"/>
      <c r="BK3654" s="319"/>
      <c r="BL3654" s="319"/>
      <c r="BM3654" s="319"/>
      <c r="BN3654" s="319"/>
      <c r="BO3654" s="319"/>
      <c r="BP3654" s="953"/>
      <c r="BQ3654" s="319"/>
      <c r="BR3654" s="319"/>
      <c r="BS3654" s="330"/>
      <c r="BT3654" s="331"/>
      <c r="BU3654" s="920"/>
      <c r="BV3654" s="903"/>
      <c r="BW3654" s="908"/>
      <c r="BX3654" s="908"/>
      <c r="BY3654" s="331"/>
      <c r="BZ3654" s="331"/>
      <c r="CA3654" s="462"/>
      <c r="CB3654" s="319"/>
      <c r="CC3654" s="319"/>
      <c r="CD3654" s="319"/>
      <c r="CE3654" s="319"/>
      <c r="CF3654" s="319"/>
      <c r="CG3654" s="319"/>
      <c r="CH3654" s="318"/>
      <c r="CI3654" s="319"/>
      <c r="CJ3654" s="319"/>
      <c r="CK3654" s="342"/>
      <c r="CL3654" s="333"/>
      <c r="CM3654" s="1079"/>
      <c r="CN3654" s="1005"/>
      <c r="CO3654" s="1005"/>
      <c r="CP3654" s="1005"/>
    </row>
    <row r="3655">
      <c r="A3655" s="1257"/>
      <c r="B3655" s="1113"/>
      <c r="C3655" s="1107"/>
      <c r="D3655" s="103"/>
      <c r="E3655" s="1137"/>
      <c r="F3655" s="112"/>
      <c r="G3655" s="1110"/>
      <c r="H3655" s="1138"/>
      <c r="I3655" s="1138"/>
      <c r="J3655" s="1139"/>
      <c r="K3655" s="1111"/>
      <c r="L3655" s="1112"/>
      <c r="M3655" s="1113"/>
      <c r="N3655" s="110"/>
      <c r="O3655" s="1140"/>
      <c r="P3655" s="1115"/>
      <c r="Q3655" s="1116"/>
      <c r="R3655" s="1141"/>
      <c r="S3655" s="1113"/>
      <c r="T3655" s="1143"/>
      <c r="U3655" s="1108"/>
      <c r="V3655" s="1108"/>
      <c r="W3655" s="1108"/>
      <c r="X3655" s="1108"/>
      <c r="Y3655" s="1108"/>
      <c r="Z3655" s="1114"/>
      <c r="AA3655" s="1114"/>
      <c r="AB3655" s="1114"/>
      <c r="AC3655" s="1117"/>
      <c r="AD3655" s="1115"/>
      <c r="AE3655" s="1115"/>
      <c r="AF3655" s="1115"/>
      <c r="AG3655" s="1115"/>
      <c r="AH3655" s="1115"/>
      <c r="AI3655" s="1115"/>
      <c r="AJ3655" s="1117"/>
      <c r="AK3655" s="1118"/>
      <c r="AL3655" s="1115"/>
      <c r="AM3655" s="1115"/>
      <c r="AN3655" s="1115"/>
      <c r="AO3655" s="1115"/>
      <c r="AP3655" s="1115"/>
      <c r="AQ3655" s="1115"/>
      <c r="AR3655" s="1115"/>
      <c r="AS3655" s="1117"/>
      <c r="AT3655" s="1075"/>
      <c r="AU3655" s="1193"/>
      <c r="AV3655" s="330"/>
      <c r="AW3655" s="331"/>
      <c r="AX3655" s="331"/>
      <c r="AY3655" s="331"/>
      <c r="AZ3655" s="331"/>
      <c r="BA3655" s="331"/>
      <c r="BB3655" s="331"/>
      <c r="BC3655" s="331"/>
      <c r="BD3655" s="331"/>
      <c r="BE3655" s="333"/>
      <c r="BF3655" s="330"/>
      <c r="BG3655" s="333"/>
      <c r="BH3655" s="1119"/>
      <c r="BI3655" s="319"/>
      <c r="BJ3655" s="319"/>
      <c r="BK3655" s="319"/>
      <c r="BL3655" s="319"/>
      <c r="BM3655" s="319"/>
      <c r="BN3655" s="319"/>
      <c r="BO3655" s="319"/>
      <c r="BP3655" s="953"/>
      <c r="BQ3655" s="319"/>
      <c r="BR3655" s="319"/>
      <c r="BS3655" s="330"/>
      <c r="BT3655" s="331"/>
      <c r="BU3655" s="920"/>
      <c r="BV3655" s="903"/>
      <c r="BW3655" s="908"/>
      <c r="BX3655" s="908"/>
      <c r="BY3655" s="331"/>
      <c r="BZ3655" s="331"/>
      <c r="CA3655" s="462"/>
      <c r="CB3655" s="319"/>
      <c r="CC3655" s="319"/>
      <c r="CD3655" s="319"/>
      <c r="CE3655" s="319"/>
      <c r="CF3655" s="319"/>
      <c r="CG3655" s="319"/>
      <c r="CH3655" s="318"/>
      <c r="CI3655" s="319"/>
      <c r="CJ3655" s="319"/>
      <c r="CK3655" s="342"/>
      <c r="CL3655" s="333"/>
      <c r="CM3655" s="1079"/>
      <c r="CN3655" s="1005"/>
      <c r="CO3655" s="1005"/>
      <c r="CP3655" s="1005"/>
    </row>
    <row r="3656">
      <c r="A3656" s="1257"/>
      <c r="B3656" s="1113"/>
      <c r="C3656" s="1107"/>
      <c r="D3656" s="103"/>
      <c r="E3656" s="1137"/>
      <c r="F3656" s="112"/>
      <c r="G3656" s="1110"/>
      <c r="H3656" s="1138"/>
      <c r="I3656" s="1138"/>
      <c r="J3656" s="1139"/>
      <c r="K3656" s="1111"/>
      <c r="L3656" s="1112"/>
      <c r="M3656" s="1113"/>
      <c r="N3656" s="110"/>
      <c r="O3656" s="1140"/>
      <c r="P3656" s="1115"/>
      <c r="Q3656" s="1116"/>
      <c r="R3656" s="1141"/>
      <c r="S3656" s="1113"/>
      <c r="T3656" s="1143"/>
      <c r="U3656" s="1108"/>
      <c r="V3656" s="1108"/>
      <c r="W3656" s="1108"/>
      <c r="X3656" s="1108"/>
      <c r="Y3656" s="1108"/>
      <c r="Z3656" s="1114"/>
      <c r="AA3656" s="1114"/>
      <c r="AB3656" s="1114"/>
      <c r="AC3656" s="1117"/>
      <c r="AD3656" s="1115"/>
      <c r="AE3656" s="1115"/>
      <c r="AF3656" s="1115"/>
      <c r="AG3656" s="1115"/>
      <c r="AH3656" s="1115"/>
      <c r="AI3656" s="1115"/>
      <c r="AJ3656" s="1117"/>
      <c r="AK3656" s="1118"/>
      <c r="AL3656" s="1115"/>
      <c r="AM3656" s="1115"/>
      <c r="AN3656" s="1115"/>
      <c r="AO3656" s="1115"/>
      <c r="AP3656" s="1115"/>
      <c r="AQ3656" s="1115"/>
      <c r="AR3656" s="1115"/>
      <c r="AS3656" s="1117"/>
      <c r="AT3656" s="1075"/>
      <c r="AU3656" s="1193"/>
      <c r="AV3656" s="330"/>
      <c r="AW3656" s="331"/>
      <c r="AX3656" s="331"/>
      <c r="AY3656" s="331"/>
      <c r="AZ3656" s="331"/>
      <c r="BA3656" s="331"/>
      <c r="BB3656" s="331"/>
      <c r="BC3656" s="331"/>
      <c r="BD3656" s="331"/>
      <c r="BE3656" s="333"/>
      <c r="BF3656" s="330"/>
      <c r="BG3656" s="333"/>
      <c r="BH3656" s="1119"/>
      <c r="BI3656" s="319"/>
      <c r="BJ3656" s="319"/>
      <c r="BK3656" s="319"/>
      <c r="BL3656" s="319"/>
      <c r="BM3656" s="319"/>
      <c r="BN3656" s="319"/>
      <c r="BO3656" s="319"/>
      <c r="BP3656" s="953"/>
      <c r="BQ3656" s="319"/>
      <c r="BR3656" s="319"/>
      <c r="BS3656" s="330"/>
      <c r="BT3656" s="331"/>
      <c r="BU3656" s="920"/>
      <c r="BV3656" s="903"/>
      <c r="BW3656" s="908"/>
      <c r="BX3656" s="908"/>
      <c r="BY3656" s="331"/>
      <c r="BZ3656" s="331"/>
      <c r="CA3656" s="462"/>
      <c r="CB3656" s="319"/>
      <c r="CC3656" s="319"/>
      <c r="CD3656" s="319"/>
      <c r="CE3656" s="319"/>
      <c r="CF3656" s="319"/>
      <c r="CG3656" s="319"/>
      <c r="CH3656" s="318"/>
      <c r="CI3656" s="319"/>
      <c r="CJ3656" s="319"/>
      <c r="CK3656" s="342"/>
      <c r="CL3656" s="333"/>
      <c r="CM3656" s="1079"/>
      <c r="CN3656" s="1005"/>
      <c r="CO3656" s="1005"/>
      <c r="CP3656" s="1005"/>
    </row>
    <row r="3657">
      <c r="A3657" s="1257"/>
      <c r="B3657" s="1113"/>
      <c r="C3657" s="1107"/>
      <c r="D3657" s="103"/>
      <c r="E3657" s="1137"/>
      <c r="F3657" s="112"/>
      <c r="G3657" s="1110"/>
      <c r="H3657" s="1138"/>
      <c r="I3657" s="1138"/>
      <c r="J3657" s="1139"/>
      <c r="K3657" s="1111"/>
      <c r="L3657" s="1112"/>
      <c r="M3657" s="1113"/>
      <c r="N3657" s="110"/>
      <c r="O3657" s="1140"/>
      <c r="P3657" s="1115"/>
      <c r="Q3657" s="1116"/>
      <c r="R3657" s="1141"/>
      <c r="S3657" s="1113"/>
      <c r="T3657" s="1143"/>
      <c r="U3657" s="1108"/>
      <c r="V3657" s="1108"/>
      <c r="W3657" s="1108"/>
      <c r="X3657" s="1108"/>
      <c r="Y3657" s="1108"/>
      <c r="Z3657" s="1114"/>
      <c r="AA3657" s="1114"/>
      <c r="AB3657" s="1114"/>
      <c r="AC3657" s="1117"/>
      <c r="AD3657" s="1115"/>
      <c r="AE3657" s="1115"/>
      <c r="AF3657" s="1115"/>
      <c r="AG3657" s="1115"/>
      <c r="AH3657" s="1115"/>
      <c r="AI3657" s="1115"/>
      <c r="AJ3657" s="1117"/>
      <c r="AK3657" s="1118"/>
      <c r="AL3657" s="1115"/>
      <c r="AM3657" s="1115"/>
      <c r="AN3657" s="1115"/>
      <c r="AO3657" s="1115"/>
      <c r="AP3657" s="1115"/>
      <c r="AQ3657" s="1115"/>
      <c r="AR3657" s="1115"/>
      <c r="AS3657" s="1117"/>
      <c r="AT3657" s="1075"/>
      <c r="AU3657" s="1193"/>
      <c r="AV3657" s="330"/>
      <c r="AW3657" s="331"/>
      <c r="AX3657" s="331"/>
      <c r="AY3657" s="331"/>
      <c r="AZ3657" s="331"/>
      <c r="BA3657" s="331"/>
      <c r="BB3657" s="331"/>
      <c r="BC3657" s="331"/>
      <c r="BD3657" s="331"/>
      <c r="BE3657" s="333"/>
      <c r="BF3657" s="330"/>
      <c r="BG3657" s="333"/>
      <c r="BH3657" s="1119"/>
      <c r="BI3657" s="319"/>
      <c r="BJ3657" s="319"/>
      <c r="BK3657" s="319"/>
      <c r="BL3657" s="319"/>
      <c r="BM3657" s="319"/>
      <c r="BN3657" s="319"/>
      <c r="BO3657" s="319"/>
      <c r="BP3657" s="953"/>
      <c r="BQ3657" s="319"/>
      <c r="BR3657" s="319"/>
      <c r="BS3657" s="330"/>
      <c r="BT3657" s="331"/>
      <c r="BU3657" s="920"/>
      <c r="BV3657" s="903"/>
      <c r="BW3657" s="908"/>
      <c r="BX3657" s="908"/>
      <c r="BY3657" s="331"/>
      <c r="BZ3657" s="331"/>
      <c r="CA3657" s="462"/>
      <c r="CB3657" s="319"/>
      <c r="CC3657" s="319"/>
      <c r="CD3657" s="319"/>
      <c r="CE3657" s="319"/>
      <c r="CF3657" s="319"/>
      <c r="CG3657" s="319"/>
      <c r="CH3657" s="318"/>
      <c r="CI3657" s="319"/>
      <c r="CJ3657" s="319"/>
      <c r="CK3657" s="342"/>
      <c r="CL3657" s="333"/>
      <c r="CM3657" s="1079"/>
      <c r="CN3657" s="1005"/>
      <c r="CO3657" s="1005"/>
      <c r="CP3657" s="1005"/>
    </row>
    <row r="3658">
      <c r="A3658" s="1257"/>
      <c r="B3658" s="1113"/>
      <c r="C3658" s="1107"/>
      <c r="D3658" s="103"/>
      <c r="E3658" s="1137"/>
      <c r="F3658" s="112"/>
      <c r="G3658" s="1110"/>
      <c r="H3658" s="1138"/>
      <c r="I3658" s="1138"/>
      <c r="J3658" s="1139"/>
      <c r="K3658" s="1111"/>
      <c r="L3658" s="1112"/>
      <c r="M3658" s="1113"/>
      <c r="N3658" s="110"/>
      <c r="O3658" s="1140"/>
      <c r="P3658" s="1115"/>
      <c r="Q3658" s="1116"/>
      <c r="R3658" s="1141"/>
      <c r="S3658" s="1113"/>
      <c r="T3658" s="1143"/>
      <c r="U3658" s="1108"/>
      <c r="V3658" s="1108"/>
      <c r="W3658" s="1108"/>
      <c r="X3658" s="1108"/>
      <c r="Y3658" s="1108"/>
      <c r="Z3658" s="1114"/>
      <c r="AA3658" s="1114"/>
      <c r="AB3658" s="1114"/>
      <c r="AC3658" s="1117"/>
      <c r="AD3658" s="1115"/>
      <c r="AE3658" s="1115"/>
      <c r="AF3658" s="1115"/>
      <c r="AG3658" s="1115"/>
      <c r="AH3658" s="1115"/>
      <c r="AI3658" s="1115"/>
      <c r="AJ3658" s="1117"/>
      <c r="AK3658" s="1118"/>
      <c r="AL3658" s="1115"/>
      <c r="AM3658" s="1115"/>
      <c r="AN3658" s="1115"/>
      <c r="AO3658" s="1115"/>
      <c r="AP3658" s="1115"/>
      <c r="AQ3658" s="1115"/>
      <c r="AR3658" s="1115"/>
      <c r="AS3658" s="1117"/>
      <c r="AT3658" s="1075"/>
      <c r="AU3658" s="1193"/>
      <c r="AV3658" s="330"/>
      <c r="AW3658" s="331"/>
      <c r="AX3658" s="331"/>
      <c r="AY3658" s="331"/>
      <c r="AZ3658" s="331"/>
      <c r="BA3658" s="331"/>
      <c r="BB3658" s="331"/>
      <c r="BC3658" s="331"/>
      <c r="BD3658" s="331"/>
      <c r="BE3658" s="333"/>
      <c r="BF3658" s="330"/>
      <c r="BG3658" s="333"/>
      <c r="BH3658" s="1119"/>
      <c r="BI3658" s="319"/>
      <c r="BJ3658" s="319"/>
      <c r="BK3658" s="319"/>
      <c r="BL3658" s="319"/>
      <c r="BM3658" s="319"/>
      <c r="BN3658" s="319"/>
      <c r="BO3658" s="319"/>
      <c r="BP3658" s="953"/>
      <c r="BQ3658" s="319"/>
      <c r="BR3658" s="319"/>
      <c r="BS3658" s="330"/>
      <c r="BT3658" s="331"/>
      <c r="BU3658" s="920"/>
      <c r="BV3658" s="903"/>
      <c r="BW3658" s="908"/>
      <c r="BX3658" s="908"/>
      <c r="BY3658" s="331"/>
      <c r="BZ3658" s="331"/>
      <c r="CA3658" s="462"/>
      <c r="CB3658" s="319"/>
      <c r="CC3658" s="319"/>
      <c r="CD3658" s="319"/>
      <c r="CE3658" s="319"/>
      <c r="CF3658" s="319"/>
      <c r="CG3658" s="319"/>
      <c r="CH3658" s="318"/>
      <c r="CI3658" s="319"/>
      <c r="CJ3658" s="319"/>
      <c r="CK3658" s="342"/>
      <c r="CL3658" s="333"/>
      <c r="CM3658" s="1079"/>
      <c r="CN3658" s="1005"/>
      <c r="CO3658" s="1005"/>
      <c r="CP3658" s="1005"/>
    </row>
    <row r="3659">
      <c r="A3659" s="1257"/>
      <c r="B3659" s="1113"/>
      <c r="C3659" s="1107"/>
      <c r="D3659" s="103"/>
      <c r="E3659" s="1137"/>
      <c r="F3659" s="112"/>
      <c r="G3659" s="1110"/>
      <c r="H3659" s="1138"/>
      <c r="I3659" s="1138"/>
      <c r="J3659" s="1139"/>
      <c r="K3659" s="1111"/>
      <c r="L3659" s="1112"/>
      <c r="M3659" s="1113"/>
      <c r="N3659" s="110"/>
      <c r="O3659" s="1140"/>
      <c r="P3659" s="1115"/>
      <c r="Q3659" s="1116"/>
      <c r="R3659" s="1141"/>
      <c r="S3659" s="1113"/>
      <c r="T3659" s="1143"/>
      <c r="U3659" s="1108"/>
      <c r="V3659" s="1108"/>
      <c r="W3659" s="1108"/>
      <c r="X3659" s="1108"/>
      <c r="Y3659" s="1108"/>
      <c r="Z3659" s="1114"/>
      <c r="AA3659" s="1114"/>
      <c r="AB3659" s="1114"/>
      <c r="AC3659" s="1117"/>
      <c r="AD3659" s="1115"/>
      <c r="AE3659" s="1115"/>
      <c r="AF3659" s="1115"/>
      <c r="AG3659" s="1115"/>
      <c r="AH3659" s="1115"/>
      <c r="AI3659" s="1115"/>
      <c r="AJ3659" s="1117"/>
      <c r="AK3659" s="1118"/>
      <c r="AL3659" s="1115"/>
      <c r="AM3659" s="1115"/>
      <c r="AN3659" s="1115"/>
      <c r="AO3659" s="1115"/>
      <c r="AP3659" s="1115"/>
      <c r="AQ3659" s="1115"/>
      <c r="AR3659" s="1115"/>
      <c r="AS3659" s="1117"/>
      <c r="AT3659" s="1075"/>
      <c r="AU3659" s="1193"/>
      <c r="AV3659" s="330"/>
      <c r="AW3659" s="331"/>
      <c r="AX3659" s="331"/>
      <c r="AY3659" s="331"/>
      <c r="AZ3659" s="331"/>
      <c r="BA3659" s="331"/>
      <c r="BB3659" s="331"/>
      <c r="BC3659" s="331"/>
      <c r="BD3659" s="331"/>
      <c r="BE3659" s="333"/>
      <c r="BF3659" s="330"/>
      <c r="BG3659" s="333"/>
      <c r="BH3659" s="1119"/>
      <c r="BI3659" s="319"/>
      <c r="BJ3659" s="319"/>
      <c r="BK3659" s="319"/>
      <c r="BL3659" s="319"/>
      <c r="BM3659" s="319"/>
      <c r="BN3659" s="319"/>
      <c r="BO3659" s="319"/>
      <c r="BP3659" s="953"/>
      <c r="BQ3659" s="319"/>
      <c r="BR3659" s="319"/>
      <c r="BS3659" s="330"/>
      <c r="BT3659" s="331"/>
      <c r="BU3659" s="920"/>
      <c r="BV3659" s="903"/>
      <c r="BW3659" s="908"/>
      <c r="BX3659" s="908"/>
      <c r="BY3659" s="331"/>
      <c r="BZ3659" s="331"/>
      <c r="CA3659" s="462"/>
      <c r="CB3659" s="319"/>
      <c r="CC3659" s="319"/>
      <c r="CD3659" s="319"/>
      <c r="CE3659" s="319"/>
      <c r="CF3659" s="319"/>
      <c r="CG3659" s="319"/>
      <c r="CH3659" s="318"/>
      <c r="CI3659" s="319"/>
      <c r="CJ3659" s="319"/>
      <c r="CK3659" s="342"/>
      <c r="CL3659" s="333"/>
      <c r="CM3659" s="1079"/>
      <c r="CN3659" s="1005"/>
      <c r="CO3659" s="1005"/>
      <c r="CP3659" s="1005"/>
    </row>
    <row r="3660">
      <c r="A3660" s="1257"/>
      <c r="B3660" s="1113"/>
      <c r="C3660" s="1107"/>
      <c r="D3660" s="103"/>
      <c r="E3660" s="1137"/>
      <c r="F3660" s="112"/>
      <c r="G3660" s="1110"/>
      <c r="H3660" s="1138"/>
      <c r="I3660" s="1138"/>
      <c r="J3660" s="1139"/>
      <c r="K3660" s="1111"/>
      <c r="L3660" s="1112"/>
      <c r="M3660" s="1113"/>
      <c r="N3660" s="110"/>
      <c r="O3660" s="1140"/>
      <c r="P3660" s="1115"/>
      <c r="Q3660" s="1116"/>
      <c r="R3660" s="1141"/>
      <c r="S3660" s="1113"/>
      <c r="T3660" s="1143"/>
      <c r="U3660" s="1108"/>
      <c r="V3660" s="1108"/>
      <c r="W3660" s="1108"/>
      <c r="X3660" s="1108"/>
      <c r="Y3660" s="1108"/>
      <c r="Z3660" s="1114"/>
      <c r="AA3660" s="1114"/>
      <c r="AB3660" s="1114"/>
      <c r="AC3660" s="1117"/>
      <c r="AD3660" s="1115"/>
      <c r="AE3660" s="1115"/>
      <c r="AF3660" s="1115"/>
      <c r="AG3660" s="1115"/>
      <c r="AH3660" s="1115"/>
      <c r="AI3660" s="1115"/>
      <c r="AJ3660" s="1117"/>
      <c r="AK3660" s="1118"/>
      <c r="AL3660" s="1115"/>
      <c r="AM3660" s="1115"/>
      <c r="AN3660" s="1115"/>
      <c r="AO3660" s="1115"/>
      <c r="AP3660" s="1115"/>
      <c r="AQ3660" s="1115"/>
      <c r="AR3660" s="1115"/>
      <c r="AS3660" s="1117"/>
      <c r="AT3660" s="1075"/>
      <c r="AU3660" s="1193"/>
      <c r="AV3660" s="330"/>
      <c r="AW3660" s="331"/>
      <c r="AX3660" s="331"/>
      <c r="AY3660" s="331"/>
      <c r="AZ3660" s="331"/>
      <c r="BA3660" s="331"/>
      <c r="BB3660" s="331"/>
      <c r="BC3660" s="331"/>
      <c r="BD3660" s="331"/>
      <c r="BE3660" s="333"/>
      <c r="BF3660" s="330"/>
      <c r="BG3660" s="333"/>
      <c r="BH3660" s="1119"/>
      <c r="BI3660" s="319"/>
      <c r="BJ3660" s="319"/>
      <c r="BK3660" s="319"/>
      <c r="BL3660" s="319"/>
      <c r="BM3660" s="319"/>
      <c r="BN3660" s="319"/>
      <c r="BO3660" s="319"/>
      <c r="BP3660" s="953"/>
      <c r="BQ3660" s="319"/>
      <c r="BR3660" s="319"/>
      <c r="BS3660" s="330"/>
      <c r="BT3660" s="331"/>
      <c r="BU3660" s="920"/>
      <c r="BV3660" s="903"/>
      <c r="BW3660" s="908"/>
      <c r="BX3660" s="908"/>
      <c r="BY3660" s="331"/>
      <c r="BZ3660" s="331"/>
      <c r="CA3660" s="462"/>
      <c r="CB3660" s="319"/>
      <c r="CC3660" s="319"/>
      <c r="CD3660" s="319"/>
      <c r="CE3660" s="319"/>
      <c r="CF3660" s="319"/>
      <c r="CG3660" s="319"/>
      <c r="CH3660" s="318"/>
      <c r="CI3660" s="319"/>
      <c r="CJ3660" s="319"/>
      <c r="CK3660" s="342"/>
      <c r="CL3660" s="333"/>
      <c r="CM3660" s="1079"/>
      <c r="CN3660" s="1005"/>
      <c r="CO3660" s="1005"/>
      <c r="CP3660" s="1005"/>
    </row>
    <row r="3661">
      <c r="A3661" s="1257"/>
      <c r="B3661" s="1113"/>
      <c r="C3661" s="1107"/>
      <c r="D3661" s="103"/>
      <c r="E3661" s="1137"/>
      <c r="F3661" s="112"/>
      <c r="G3661" s="1110"/>
      <c r="H3661" s="1138"/>
      <c r="I3661" s="1138"/>
      <c r="J3661" s="1139"/>
      <c r="K3661" s="1111"/>
      <c r="L3661" s="1112"/>
      <c r="M3661" s="1113"/>
      <c r="N3661" s="110"/>
      <c r="O3661" s="1140"/>
      <c r="P3661" s="1115"/>
      <c r="Q3661" s="1116"/>
      <c r="R3661" s="1141"/>
      <c r="S3661" s="1113"/>
      <c r="T3661" s="1143"/>
      <c r="U3661" s="1108"/>
      <c r="V3661" s="1108"/>
      <c r="W3661" s="1108"/>
      <c r="X3661" s="1108"/>
      <c r="Y3661" s="1108"/>
      <c r="Z3661" s="1114"/>
      <c r="AA3661" s="1114"/>
      <c r="AB3661" s="1114"/>
      <c r="AC3661" s="1117"/>
      <c r="AD3661" s="1115"/>
      <c r="AE3661" s="1115"/>
      <c r="AF3661" s="1115"/>
      <c r="AG3661" s="1115"/>
      <c r="AH3661" s="1115"/>
      <c r="AI3661" s="1115"/>
      <c r="AJ3661" s="1117"/>
      <c r="AK3661" s="1118"/>
      <c r="AL3661" s="1115"/>
      <c r="AM3661" s="1115"/>
      <c r="AN3661" s="1115"/>
      <c r="AO3661" s="1115"/>
      <c r="AP3661" s="1115"/>
      <c r="AQ3661" s="1115"/>
      <c r="AR3661" s="1115"/>
      <c r="AS3661" s="1117"/>
      <c r="AT3661" s="1075"/>
      <c r="AU3661" s="1193"/>
      <c r="AV3661" s="330"/>
      <c r="AW3661" s="331"/>
      <c r="AX3661" s="331"/>
      <c r="AY3661" s="331"/>
      <c r="AZ3661" s="331"/>
      <c r="BA3661" s="331"/>
      <c r="BB3661" s="331"/>
      <c r="BC3661" s="331"/>
      <c r="BD3661" s="331"/>
      <c r="BE3661" s="333"/>
      <c r="BF3661" s="330"/>
      <c r="BG3661" s="333"/>
      <c r="BH3661" s="1119"/>
      <c r="BI3661" s="319"/>
      <c r="BJ3661" s="319"/>
      <c r="BK3661" s="319"/>
      <c r="BL3661" s="319"/>
      <c r="BM3661" s="319"/>
      <c r="BN3661" s="319"/>
      <c r="BO3661" s="319"/>
      <c r="BP3661" s="953"/>
      <c r="BQ3661" s="319"/>
      <c r="BR3661" s="319"/>
      <c r="BS3661" s="330"/>
      <c r="BT3661" s="331"/>
      <c r="BU3661" s="920"/>
      <c r="BV3661" s="903"/>
      <c r="BW3661" s="908"/>
      <c r="BX3661" s="908"/>
      <c r="BY3661" s="331"/>
      <c r="BZ3661" s="331"/>
      <c r="CA3661" s="462"/>
      <c r="CB3661" s="319"/>
      <c r="CC3661" s="319"/>
      <c r="CD3661" s="319"/>
      <c r="CE3661" s="319"/>
      <c r="CF3661" s="319"/>
      <c r="CG3661" s="319"/>
      <c r="CH3661" s="318"/>
      <c r="CI3661" s="319"/>
      <c r="CJ3661" s="319"/>
      <c r="CK3661" s="342"/>
      <c r="CL3661" s="333"/>
      <c r="CM3661" s="1079"/>
      <c r="CN3661" s="1005"/>
      <c r="CO3661" s="1005"/>
      <c r="CP3661" s="1005"/>
    </row>
    <row r="3662">
      <c r="A3662" s="1257"/>
      <c r="B3662" s="1113"/>
      <c r="C3662" s="1107"/>
      <c r="D3662" s="103"/>
      <c r="E3662" s="1137"/>
      <c r="F3662" s="112"/>
      <c r="G3662" s="1110"/>
      <c r="H3662" s="1138"/>
      <c r="I3662" s="1138"/>
      <c r="J3662" s="1139"/>
      <c r="K3662" s="1111"/>
      <c r="L3662" s="1112"/>
      <c r="M3662" s="1113"/>
      <c r="N3662" s="110"/>
      <c r="O3662" s="1140"/>
      <c r="P3662" s="1115"/>
      <c r="Q3662" s="1116"/>
      <c r="R3662" s="1141"/>
      <c r="S3662" s="1113"/>
      <c r="T3662" s="1143"/>
      <c r="U3662" s="1108"/>
      <c r="V3662" s="1108"/>
      <c r="W3662" s="1108"/>
      <c r="X3662" s="1108"/>
      <c r="Y3662" s="1108"/>
      <c r="Z3662" s="1114"/>
      <c r="AA3662" s="1114"/>
      <c r="AB3662" s="1114"/>
      <c r="AC3662" s="1117"/>
      <c r="AD3662" s="1115"/>
      <c r="AE3662" s="1115"/>
      <c r="AF3662" s="1115"/>
      <c r="AG3662" s="1115"/>
      <c r="AH3662" s="1115"/>
      <c r="AI3662" s="1115"/>
      <c r="AJ3662" s="1117"/>
      <c r="AK3662" s="1118"/>
      <c r="AL3662" s="1115"/>
      <c r="AM3662" s="1115"/>
      <c r="AN3662" s="1115"/>
      <c r="AO3662" s="1115"/>
      <c r="AP3662" s="1115"/>
      <c r="AQ3662" s="1115"/>
      <c r="AR3662" s="1115"/>
      <c r="AS3662" s="1117"/>
      <c r="AT3662" s="1075"/>
      <c r="AU3662" s="1193"/>
      <c r="AV3662" s="330"/>
      <c r="AW3662" s="331"/>
      <c r="AX3662" s="331"/>
      <c r="AY3662" s="331"/>
      <c r="AZ3662" s="331"/>
      <c r="BA3662" s="331"/>
      <c r="BB3662" s="331"/>
      <c r="BC3662" s="331"/>
      <c r="BD3662" s="331"/>
      <c r="BE3662" s="333"/>
      <c r="BF3662" s="330"/>
      <c r="BG3662" s="333"/>
      <c r="BH3662" s="1119"/>
      <c r="BI3662" s="319"/>
      <c r="BJ3662" s="319"/>
      <c r="BK3662" s="319"/>
      <c r="BL3662" s="319"/>
      <c r="BM3662" s="319"/>
      <c r="BN3662" s="319"/>
      <c r="BO3662" s="319"/>
      <c r="BP3662" s="953"/>
      <c r="BQ3662" s="319"/>
      <c r="BR3662" s="319"/>
      <c r="BS3662" s="330"/>
      <c r="BT3662" s="331"/>
      <c r="BU3662" s="920"/>
      <c r="BV3662" s="903"/>
      <c r="BW3662" s="908"/>
      <c r="BX3662" s="908"/>
      <c r="BY3662" s="331"/>
      <c r="BZ3662" s="331"/>
      <c r="CA3662" s="462"/>
      <c r="CB3662" s="319"/>
      <c r="CC3662" s="319"/>
      <c r="CD3662" s="319"/>
      <c r="CE3662" s="319"/>
      <c r="CF3662" s="319"/>
      <c r="CG3662" s="319"/>
      <c r="CH3662" s="318"/>
      <c r="CI3662" s="319"/>
      <c r="CJ3662" s="319"/>
      <c r="CK3662" s="342"/>
      <c r="CL3662" s="333"/>
      <c r="CM3662" s="1079"/>
      <c r="CN3662" s="1005"/>
      <c r="CO3662" s="1005"/>
      <c r="CP3662" s="1005"/>
    </row>
    <row r="3663">
      <c r="A3663" s="1257"/>
      <c r="B3663" s="1113"/>
      <c r="C3663" s="1107"/>
      <c r="D3663" s="103"/>
      <c r="E3663" s="1137"/>
      <c r="F3663" s="112"/>
      <c r="G3663" s="1110"/>
      <c r="H3663" s="1138"/>
      <c r="I3663" s="1138"/>
      <c r="J3663" s="1139"/>
      <c r="K3663" s="1111"/>
      <c r="L3663" s="1112"/>
      <c r="M3663" s="1113"/>
      <c r="N3663" s="110"/>
      <c r="O3663" s="1140"/>
      <c r="P3663" s="1115"/>
      <c r="Q3663" s="1116"/>
      <c r="R3663" s="1141"/>
      <c r="S3663" s="1113"/>
      <c r="T3663" s="1143"/>
      <c r="U3663" s="1108"/>
      <c r="V3663" s="1108"/>
      <c r="W3663" s="1108"/>
      <c r="X3663" s="1108"/>
      <c r="Y3663" s="1108"/>
      <c r="Z3663" s="1114"/>
      <c r="AA3663" s="1114"/>
      <c r="AB3663" s="1114"/>
      <c r="AC3663" s="1117"/>
      <c r="AD3663" s="1115"/>
      <c r="AE3663" s="1115"/>
      <c r="AF3663" s="1115"/>
      <c r="AG3663" s="1115"/>
      <c r="AH3663" s="1115"/>
      <c r="AI3663" s="1115"/>
      <c r="AJ3663" s="1117"/>
      <c r="AK3663" s="1118"/>
      <c r="AL3663" s="1115"/>
      <c r="AM3663" s="1115"/>
      <c r="AN3663" s="1115"/>
      <c r="AO3663" s="1115"/>
      <c r="AP3663" s="1115"/>
      <c r="AQ3663" s="1115"/>
      <c r="AR3663" s="1115"/>
      <c r="AS3663" s="1117"/>
      <c r="AT3663" s="1075"/>
      <c r="AU3663" s="1193"/>
      <c r="AV3663" s="330"/>
      <c r="AW3663" s="331"/>
      <c r="AX3663" s="331"/>
      <c r="AY3663" s="331"/>
      <c r="AZ3663" s="331"/>
      <c r="BA3663" s="331"/>
      <c r="BB3663" s="331"/>
      <c r="BC3663" s="331"/>
      <c r="BD3663" s="331"/>
      <c r="BE3663" s="333"/>
      <c r="BF3663" s="330"/>
      <c r="BG3663" s="333"/>
      <c r="BH3663" s="1119"/>
      <c r="BI3663" s="319"/>
      <c r="BJ3663" s="319"/>
      <c r="BK3663" s="319"/>
      <c r="BL3663" s="319"/>
      <c r="BM3663" s="319"/>
      <c r="BN3663" s="319"/>
      <c r="BO3663" s="319"/>
      <c r="BP3663" s="953"/>
      <c r="BQ3663" s="319"/>
      <c r="BR3663" s="319"/>
      <c r="BS3663" s="330"/>
      <c r="BT3663" s="331"/>
      <c r="BU3663" s="920"/>
      <c r="BV3663" s="903"/>
      <c r="BW3663" s="908"/>
      <c r="BX3663" s="908"/>
      <c r="BY3663" s="331"/>
      <c r="BZ3663" s="331"/>
      <c r="CA3663" s="462"/>
      <c r="CB3663" s="319"/>
      <c r="CC3663" s="319"/>
      <c r="CD3663" s="319"/>
      <c r="CE3663" s="319"/>
      <c r="CF3663" s="319"/>
      <c r="CG3663" s="319"/>
      <c r="CH3663" s="318"/>
      <c r="CI3663" s="319"/>
      <c r="CJ3663" s="319"/>
      <c r="CK3663" s="342"/>
      <c r="CL3663" s="333"/>
      <c r="CM3663" s="1079"/>
      <c r="CN3663" s="1005"/>
      <c r="CO3663" s="1005"/>
      <c r="CP3663" s="1005"/>
    </row>
    <row r="3664">
      <c r="A3664" s="1257"/>
      <c r="B3664" s="1113"/>
      <c r="C3664" s="1107"/>
      <c r="D3664" s="103"/>
      <c r="E3664" s="1137"/>
      <c r="F3664" s="112"/>
      <c r="G3664" s="1110"/>
      <c r="H3664" s="1138"/>
      <c r="I3664" s="1138"/>
      <c r="J3664" s="1139"/>
      <c r="K3664" s="1111"/>
      <c r="L3664" s="1112"/>
      <c r="M3664" s="1113"/>
      <c r="N3664" s="110"/>
      <c r="O3664" s="1140"/>
      <c r="P3664" s="1115"/>
      <c r="Q3664" s="1116"/>
      <c r="R3664" s="1141"/>
      <c r="S3664" s="1113"/>
      <c r="T3664" s="1143"/>
      <c r="U3664" s="1108"/>
      <c r="V3664" s="1108"/>
      <c r="W3664" s="1108"/>
      <c r="X3664" s="1108"/>
      <c r="Y3664" s="1108"/>
      <c r="Z3664" s="1114"/>
      <c r="AA3664" s="1114"/>
      <c r="AB3664" s="1114"/>
      <c r="AC3664" s="1117"/>
      <c r="AD3664" s="1115"/>
      <c r="AE3664" s="1115"/>
      <c r="AF3664" s="1115"/>
      <c r="AG3664" s="1115"/>
      <c r="AH3664" s="1115"/>
      <c r="AI3664" s="1115"/>
      <c r="AJ3664" s="1117"/>
      <c r="AK3664" s="1118"/>
      <c r="AL3664" s="1115"/>
      <c r="AM3664" s="1115"/>
      <c r="AN3664" s="1115"/>
      <c r="AO3664" s="1115"/>
      <c r="AP3664" s="1115"/>
      <c r="AQ3664" s="1115"/>
      <c r="AR3664" s="1115"/>
      <c r="AS3664" s="1117"/>
      <c r="AT3664" s="1075"/>
      <c r="AU3664" s="1193"/>
      <c r="AV3664" s="330"/>
      <c r="AW3664" s="331"/>
      <c r="AX3664" s="331"/>
      <c r="AY3664" s="331"/>
      <c r="AZ3664" s="331"/>
      <c r="BA3664" s="331"/>
      <c r="BB3664" s="331"/>
      <c r="BC3664" s="331"/>
      <c r="BD3664" s="331"/>
      <c r="BE3664" s="333"/>
      <c r="BF3664" s="330"/>
      <c r="BG3664" s="333"/>
      <c r="BH3664" s="1119"/>
      <c r="BI3664" s="319"/>
      <c r="BJ3664" s="319"/>
      <c r="BK3664" s="319"/>
      <c r="BL3664" s="319"/>
      <c r="BM3664" s="319"/>
      <c r="BN3664" s="319"/>
      <c r="BO3664" s="319"/>
      <c r="BP3664" s="953"/>
      <c r="BQ3664" s="319"/>
      <c r="BR3664" s="319"/>
      <c r="BS3664" s="330"/>
      <c r="BT3664" s="331"/>
      <c r="BU3664" s="920"/>
      <c r="BV3664" s="903"/>
      <c r="BW3664" s="908"/>
      <c r="BX3664" s="908"/>
      <c r="BY3664" s="331"/>
      <c r="BZ3664" s="331"/>
      <c r="CA3664" s="462"/>
      <c r="CB3664" s="319"/>
      <c r="CC3664" s="319"/>
      <c r="CD3664" s="319"/>
      <c r="CE3664" s="319"/>
      <c r="CF3664" s="319"/>
      <c r="CG3664" s="319"/>
      <c r="CH3664" s="318"/>
      <c r="CI3664" s="319"/>
      <c r="CJ3664" s="319"/>
      <c r="CK3664" s="342"/>
      <c r="CL3664" s="333"/>
      <c r="CM3664" s="1079"/>
      <c r="CN3664" s="1005"/>
      <c r="CO3664" s="1005"/>
      <c r="CP3664" s="1005"/>
    </row>
    <row r="3665">
      <c r="A3665" s="1257"/>
      <c r="B3665" s="1113"/>
      <c r="C3665" s="1107"/>
      <c r="D3665" s="103"/>
      <c r="E3665" s="1137"/>
      <c r="F3665" s="112"/>
      <c r="G3665" s="1110"/>
      <c r="H3665" s="1138"/>
      <c r="I3665" s="1138"/>
      <c r="J3665" s="1139"/>
      <c r="K3665" s="1111"/>
      <c r="L3665" s="1112"/>
      <c r="M3665" s="1113"/>
      <c r="N3665" s="110"/>
      <c r="O3665" s="1140"/>
      <c r="P3665" s="1115"/>
      <c r="Q3665" s="1116"/>
      <c r="R3665" s="1141"/>
      <c r="S3665" s="1113"/>
      <c r="T3665" s="1143"/>
      <c r="U3665" s="1108"/>
      <c r="V3665" s="1108"/>
      <c r="W3665" s="1108"/>
      <c r="X3665" s="1108"/>
      <c r="Y3665" s="1108"/>
      <c r="Z3665" s="1114"/>
      <c r="AA3665" s="1114"/>
      <c r="AB3665" s="1114"/>
      <c r="AC3665" s="1117"/>
      <c r="AD3665" s="1115"/>
      <c r="AE3665" s="1115"/>
      <c r="AF3665" s="1115"/>
      <c r="AG3665" s="1115"/>
      <c r="AH3665" s="1115"/>
      <c r="AI3665" s="1115"/>
      <c r="AJ3665" s="1117"/>
      <c r="AK3665" s="1118"/>
      <c r="AL3665" s="1115"/>
      <c r="AM3665" s="1115"/>
      <c r="AN3665" s="1115"/>
      <c r="AO3665" s="1115"/>
      <c r="AP3665" s="1115"/>
      <c r="AQ3665" s="1115"/>
      <c r="AR3665" s="1115"/>
      <c r="AS3665" s="1117"/>
      <c r="AT3665" s="1075"/>
      <c r="AU3665" s="1193"/>
      <c r="AV3665" s="330"/>
      <c r="AW3665" s="331"/>
      <c r="AX3665" s="331"/>
      <c r="AY3665" s="331"/>
      <c r="AZ3665" s="331"/>
      <c r="BA3665" s="331"/>
      <c r="BB3665" s="331"/>
      <c r="BC3665" s="331"/>
      <c r="BD3665" s="331"/>
      <c r="BE3665" s="333"/>
      <c r="BF3665" s="330"/>
      <c r="BG3665" s="333"/>
      <c r="BH3665" s="1119"/>
      <c r="BI3665" s="319"/>
      <c r="BJ3665" s="319"/>
      <c r="BK3665" s="319"/>
      <c r="BL3665" s="319"/>
      <c r="BM3665" s="319"/>
      <c r="BN3665" s="319"/>
      <c r="BO3665" s="319"/>
      <c r="BP3665" s="953"/>
      <c r="BQ3665" s="319"/>
      <c r="BR3665" s="319"/>
      <c r="BS3665" s="330"/>
      <c r="BT3665" s="331"/>
      <c r="BU3665" s="920"/>
      <c r="BV3665" s="903"/>
      <c r="BW3665" s="908"/>
      <c r="BX3665" s="908"/>
      <c r="BY3665" s="331"/>
      <c r="BZ3665" s="331"/>
      <c r="CA3665" s="462"/>
      <c r="CB3665" s="319"/>
      <c r="CC3665" s="319"/>
      <c r="CD3665" s="319"/>
      <c r="CE3665" s="319"/>
      <c r="CF3665" s="319"/>
      <c r="CG3665" s="319"/>
      <c r="CH3665" s="318"/>
      <c r="CI3665" s="319"/>
      <c r="CJ3665" s="319"/>
      <c r="CK3665" s="342"/>
      <c r="CL3665" s="333"/>
      <c r="CM3665" s="1079"/>
      <c r="CN3665" s="1005"/>
      <c r="CO3665" s="1005"/>
      <c r="CP3665" s="1005"/>
    </row>
    <row r="3666">
      <c r="A3666" s="1257"/>
      <c r="B3666" s="1113"/>
      <c r="C3666" s="1107"/>
      <c r="D3666" s="103"/>
      <c r="E3666" s="1137"/>
      <c r="F3666" s="112"/>
      <c r="G3666" s="1110"/>
      <c r="H3666" s="1138"/>
      <c r="I3666" s="1138"/>
      <c r="J3666" s="1139"/>
      <c r="K3666" s="1111"/>
      <c r="L3666" s="1112"/>
      <c r="M3666" s="1113"/>
      <c r="N3666" s="110"/>
      <c r="O3666" s="1140"/>
      <c r="P3666" s="1115"/>
      <c r="Q3666" s="1116"/>
      <c r="R3666" s="1141"/>
      <c r="S3666" s="1113"/>
      <c r="T3666" s="1143"/>
      <c r="U3666" s="1108"/>
      <c r="V3666" s="1108"/>
      <c r="W3666" s="1108"/>
      <c r="X3666" s="1108"/>
      <c r="Y3666" s="1108"/>
      <c r="Z3666" s="1114"/>
      <c r="AA3666" s="1114"/>
      <c r="AB3666" s="1114"/>
      <c r="AC3666" s="1117"/>
      <c r="AD3666" s="1115"/>
      <c r="AE3666" s="1115"/>
      <c r="AF3666" s="1115"/>
      <c r="AG3666" s="1115"/>
      <c r="AH3666" s="1115"/>
      <c r="AI3666" s="1115"/>
      <c r="AJ3666" s="1117"/>
      <c r="AK3666" s="1118"/>
      <c r="AL3666" s="1115"/>
      <c r="AM3666" s="1115"/>
      <c r="AN3666" s="1115"/>
      <c r="AO3666" s="1115"/>
      <c r="AP3666" s="1115"/>
      <c r="AQ3666" s="1115"/>
      <c r="AR3666" s="1115"/>
      <c r="AS3666" s="1117"/>
      <c r="AT3666" s="1075"/>
      <c r="AU3666" s="1193"/>
      <c r="AV3666" s="330"/>
      <c r="AW3666" s="331"/>
      <c r="AX3666" s="331"/>
      <c r="AY3666" s="331"/>
      <c r="AZ3666" s="331"/>
      <c r="BA3666" s="331"/>
      <c r="BB3666" s="331"/>
      <c r="BC3666" s="331"/>
      <c r="BD3666" s="331"/>
      <c r="BE3666" s="333"/>
      <c r="BF3666" s="330"/>
      <c r="BG3666" s="333"/>
      <c r="BH3666" s="1119"/>
      <c r="BI3666" s="319"/>
      <c r="BJ3666" s="319"/>
      <c r="BK3666" s="319"/>
      <c r="BL3666" s="319"/>
      <c r="BM3666" s="319"/>
      <c r="BN3666" s="319"/>
      <c r="BO3666" s="319"/>
      <c r="BP3666" s="953"/>
      <c r="BQ3666" s="319"/>
      <c r="BR3666" s="319"/>
      <c r="BS3666" s="330"/>
      <c r="BT3666" s="331"/>
      <c r="BU3666" s="920"/>
      <c r="BV3666" s="903"/>
      <c r="BW3666" s="908"/>
      <c r="BX3666" s="908"/>
      <c r="BY3666" s="331"/>
      <c r="BZ3666" s="331"/>
      <c r="CA3666" s="462"/>
      <c r="CB3666" s="319"/>
      <c r="CC3666" s="319"/>
      <c r="CD3666" s="319"/>
      <c r="CE3666" s="319"/>
      <c r="CF3666" s="319"/>
      <c r="CG3666" s="319"/>
      <c r="CH3666" s="318"/>
      <c r="CI3666" s="319"/>
      <c r="CJ3666" s="319"/>
      <c r="CK3666" s="342"/>
      <c r="CL3666" s="333"/>
      <c r="CM3666" s="1079"/>
      <c r="CN3666" s="1005"/>
      <c r="CO3666" s="1005"/>
      <c r="CP3666" s="1005"/>
    </row>
    <row r="3667">
      <c r="A3667" s="1257"/>
      <c r="B3667" s="1113"/>
      <c r="C3667" s="1107"/>
      <c r="D3667" s="103"/>
      <c r="E3667" s="1137"/>
      <c r="F3667" s="112"/>
      <c r="G3667" s="1110"/>
      <c r="H3667" s="1138"/>
      <c r="I3667" s="1138"/>
      <c r="J3667" s="1139"/>
      <c r="K3667" s="1111"/>
      <c r="L3667" s="1112"/>
      <c r="M3667" s="1113"/>
      <c r="N3667" s="110"/>
      <c r="O3667" s="1140"/>
      <c r="P3667" s="1115"/>
      <c r="Q3667" s="1116"/>
      <c r="R3667" s="1141"/>
      <c r="S3667" s="1113"/>
      <c r="T3667" s="1143"/>
      <c r="U3667" s="1108"/>
      <c r="V3667" s="1108"/>
      <c r="W3667" s="1108"/>
      <c r="X3667" s="1108"/>
      <c r="Y3667" s="1108"/>
      <c r="Z3667" s="1114"/>
      <c r="AA3667" s="1114"/>
      <c r="AB3667" s="1114"/>
      <c r="AC3667" s="1117"/>
      <c r="AD3667" s="1115"/>
      <c r="AE3667" s="1115"/>
      <c r="AF3667" s="1115"/>
      <c r="AG3667" s="1115"/>
      <c r="AH3667" s="1115"/>
      <c r="AI3667" s="1115"/>
      <c r="AJ3667" s="1117"/>
      <c r="AK3667" s="1118"/>
      <c r="AL3667" s="1115"/>
      <c r="AM3667" s="1115"/>
      <c r="AN3667" s="1115"/>
      <c r="AO3667" s="1115"/>
      <c r="AP3667" s="1115"/>
      <c r="AQ3667" s="1115"/>
      <c r="AR3667" s="1115"/>
      <c r="AS3667" s="1117"/>
      <c r="AT3667" s="1075"/>
      <c r="AU3667" s="1193"/>
      <c r="AV3667" s="330"/>
      <c r="AW3667" s="331"/>
      <c r="AX3667" s="331"/>
      <c r="AY3667" s="331"/>
      <c r="AZ3667" s="331"/>
      <c r="BA3667" s="331"/>
      <c r="BB3667" s="331"/>
      <c r="BC3667" s="331"/>
      <c r="BD3667" s="331"/>
      <c r="BE3667" s="333"/>
      <c r="BF3667" s="330"/>
      <c r="BG3667" s="333"/>
      <c r="BH3667" s="1119"/>
      <c r="BI3667" s="319"/>
      <c r="BJ3667" s="319"/>
      <c r="BK3667" s="319"/>
      <c r="BL3667" s="319"/>
      <c r="BM3667" s="319"/>
      <c r="BN3667" s="319"/>
      <c r="BO3667" s="319"/>
      <c r="BP3667" s="953"/>
      <c r="BQ3667" s="319"/>
      <c r="BR3667" s="319"/>
      <c r="BS3667" s="330"/>
      <c r="BT3667" s="331"/>
      <c r="BU3667" s="920"/>
      <c r="BV3667" s="903"/>
      <c r="BW3667" s="908"/>
      <c r="BX3667" s="908"/>
      <c r="BY3667" s="331"/>
      <c r="BZ3667" s="331"/>
      <c r="CA3667" s="462"/>
      <c r="CB3667" s="319"/>
      <c r="CC3667" s="319"/>
      <c r="CD3667" s="319"/>
      <c r="CE3667" s="319"/>
      <c r="CF3667" s="319"/>
      <c r="CG3667" s="319"/>
      <c r="CH3667" s="318"/>
      <c r="CI3667" s="319"/>
      <c r="CJ3667" s="319"/>
      <c r="CK3667" s="342"/>
      <c r="CL3667" s="333"/>
      <c r="CM3667" s="1079"/>
      <c r="CN3667" s="1005"/>
      <c r="CO3667" s="1005"/>
      <c r="CP3667" s="1005"/>
    </row>
    <row r="3668">
      <c r="A3668" s="1257"/>
      <c r="B3668" s="1113"/>
      <c r="C3668" s="1107"/>
      <c r="D3668" s="103"/>
      <c r="E3668" s="1137"/>
      <c r="F3668" s="112"/>
      <c r="G3668" s="1110"/>
      <c r="H3668" s="1138"/>
      <c r="I3668" s="1138"/>
      <c r="J3668" s="1139"/>
      <c r="K3668" s="1111"/>
      <c r="L3668" s="1112"/>
      <c r="M3668" s="1113"/>
      <c r="N3668" s="110"/>
      <c r="O3668" s="1140"/>
      <c r="P3668" s="1115"/>
      <c r="Q3668" s="1116"/>
      <c r="R3668" s="1141"/>
      <c r="S3668" s="1113"/>
      <c r="T3668" s="1143"/>
      <c r="U3668" s="1108"/>
      <c r="V3668" s="1108"/>
      <c r="W3668" s="1108"/>
      <c r="X3668" s="1108"/>
      <c r="Y3668" s="1108"/>
      <c r="Z3668" s="1114"/>
      <c r="AA3668" s="1114"/>
      <c r="AB3668" s="1114"/>
      <c r="AC3668" s="1117"/>
      <c r="AD3668" s="1115"/>
      <c r="AE3668" s="1115"/>
      <c r="AF3668" s="1115"/>
      <c r="AG3668" s="1115"/>
      <c r="AH3668" s="1115"/>
      <c r="AI3668" s="1115"/>
      <c r="AJ3668" s="1117"/>
      <c r="AK3668" s="1118"/>
      <c r="AL3668" s="1115"/>
      <c r="AM3668" s="1115"/>
      <c r="AN3668" s="1115"/>
      <c r="AO3668" s="1115"/>
      <c r="AP3668" s="1115"/>
      <c r="AQ3668" s="1115"/>
      <c r="AR3668" s="1115"/>
      <c r="AS3668" s="1117"/>
      <c r="AT3668" s="1075"/>
      <c r="AU3668" s="1193"/>
      <c r="AV3668" s="330"/>
      <c r="AW3668" s="331"/>
      <c r="AX3668" s="331"/>
      <c r="AY3668" s="331"/>
      <c r="AZ3668" s="331"/>
      <c r="BA3668" s="331"/>
      <c r="BB3668" s="331"/>
      <c r="BC3668" s="331"/>
      <c r="BD3668" s="331"/>
      <c r="BE3668" s="333"/>
      <c r="BF3668" s="330"/>
      <c r="BG3668" s="333"/>
      <c r="BH3668" s="1119"/>
      <c r="BI3668" s="319"/>
      <c r="BJ3668" s="319"/>
      <c r="BK3668" s="319"/>
      <c r="BL3668" s="319"/>
      <c r="BM3668" s="319"/>
      <c r="BN3668" s="319"/>
      <c r="BO3668" s="319"/>
      <c r="BP3668" s="953"/>
      <c r="BQ3668" s="319"/>
      <c r="BR3668" s="319"/>
      <c r="BS3668" s="330"/>
      <c r="BT3668" s="331"/>
      <c r="BU3668" s="920"/>
      <c r="BV3668" s="903"/>
      <c r="BW3668" s="908"/>
      <c r="BX3668" s="908"/>
      <c r="BY3668" s="331"/>
      <c r="BZ3668" s="331"/>
      <c r="CA3668" s="462"/>
      <c r="CB3668" s="319"/>
      <c r="CC3668" s="319"/>
      <c r="CD3668" s="319"/>
      <c r="CE3668" s="319"/>
      <c r="CF3668" s="319"/>
      <c r="CG3668" s="319"/>
      <c r="CH3668" s="318"/>
      <c r="CI3668" s="319"/>
      <c r="CJ3668" s="319"/>
      <c r="CK3668" s="342"/>
      <c r="CL3668" s="333"/>
      <c r="CM3668" s="1079"/>
      <c r="CN3668" s="1005"/>
      <c r="CO3668" s="1005"/>
      <c r="CP3668" s="1005"/>
    </row>
    <row r="3669">
      <c r="A3669" s="1257"/>
      <c r="B3669" s="1113"/>
      <c r="C3669" s="1107"/>
      <c r="D3669" s="103"/>
      <c r="E3669" s="1137"/>
      <c r="F3669" s="112"/>
      <c r="G3669" s="1110"/>
      <c r="H3669" s="1138"/>
      <c r="I3669" s="1138"/>
      <c r="J3669" s="1139"/>
      <c r="K3669" s="1111"/>
      <c r="L3669" s="1112"/>
      <c r="M3669" s="1113"/>
      <c r="N3669" s="110"/>
      <c r="O3669" s="1140"/>
      <c r="P3669" s="1115"/>
      <c r="Q3669" s="1116"/>
      <c r="R3669" s="1141"/>
      <c r="S3669" s="1113"/>
      <c r="T3669" s="1143"/>
      <c r="U3669" s="1108"/>
      <c r="V3669" s="1108"/>
      <c r="W3669" s="1108"/>
      <c r="X3669" s="1108"/>
      <c r="Y3669" s="1108"/>
      <c r="Z3669" s="1114"/>
      <c r="AA3669" s="1114"/>
      <c r="AB3669" s="1114"/>
      <c r="AC3669" s="1117"/>
      <c r="AD3669" s="1115"/>
      <c r="AE3669" s="1115"/>
      <c r="AF3669" s="1115"/>
      <c r="AG3669" s="1115"/>
      <c r="AH3669" s="1115"/>
      <c r="AI3669" s="1115"/>
      <c r="AJ3669" s="1117"/>
      <c r="AK3669" s="1118"/>
      <c r="AL3669" s="1115"/>
      <c r="AM3669" s="1115"/>
      <c r="AN3669" s="1115"/>
      <c r="AO3669" s="1115"/>
      <c r="AP3669" s="1115"/>
      <c r="AQ3669" s="1115"/>
      <c r="AR3669" s="1115"/>
      <c r="AS3669" s="1117"/>
      <c r="AT3669" s="1075"/>
      <c r="AU3669" s="1193"/>
      <c r="AV3669" s="330"/>
      <c r="AW3669" s="331"/>
      <c r="AX3669" s="331"/>
      <c r="AY3669" s="331"/>
      <c r="AZ3669" s="331"/>
      <c r="BA3669" s="331"/>
      <c r="BB3669" s="331"/>
      <c r="BC3669" s="331"/>
      <c r="BD3669" s="331"/>
      <c r="BE3669" s="333"/>
      <c r="BF3669" s="330"/>
      <c r="BG3669" s="333"/>
      <c r="BH3669" s="1119"/>
      <c r="BI3669" s="319"/>
      <c r="BJ3669" s="319"/>
      <c r="BK3669" s="319"/>
      <c r="BL3669" s="319"/>
      <c r="BM3669" s="319"/>
      <c r="BN3669" s="319"/>
      <c r="BO3669" s="319"/>
      <c r="BP3669" s="953"/>
      <c r="BQ3669" s="319"/>
      <c r="BR3669" s="319"/>
      <c r="BS3669" s="330"/>
      <c r="BT3669" s="331"/>
      <c r="BU3669" s="920"/>
      <c r="BV3669" s="903"/>
      <c r="BW3669" s="908"/>
      <c r="BX3669" s="908"/>
      <c r="BY3669" s="331"/>
      <c r="BZ3669" s="331"/>
      <c r="CA3669" s="462"/>
      <c r="CB3669" s="319"/>
      <c r="CC3669" s="319"/>
      <c r="CD3669" s="319"/>
      <c r="CE3669" s="319"/>
      <c r="CF3669" s="319"/>
      <c r="CG3669" s="319"/>
      <c r="CH3669" s="318"/>
      <c r="CI3669" s="319"/>
      <c r="CJ3669" s="319"/>
      <c r="CK3669" s="342"/>
      <c r="CL3669" s="333"/>
      <c r="CM3669" s="1079"/>
      <c r="CN3669" s="1005"/>
      <c r="CO3669" s="1005"/>
      <c r="CP3669" s="1005"/>
    </row>
    <row r="3670">
      <c r="A3670" s="1257"/>
      <c r="B3670" s="1113"/>
      <c r="C3670" s="1107"/>
      <c r="D3670" s="103"/>
      <c r="E3670" s="1137"/>
      <c r="F3670" s="112"/>
      <c r="G3670" s="1110"/>
      <c r="H3670" s="1138"/>
      <c r="I3670" s="1138"/>
      <c r="J3670" s="1139"/>
      <c r="K3670" s="1111"/>
      <c r="L3670" s="1112"/>
      <c r="M3670" s="1113"/>
      <c r="N3670" s="110"/>
      <c r="O3670" s="1140"/>
      <c r="P3670" s="1115"/>
      <c r="Q3670" s="1116"/>
      <c r="R3670" s="1141"/>
      <c r="S3670" s="1113"/>
      <c r="T3670" s="1143"/>
      <c r="U3670" s="1108"/>
      <c r="V3670" s="1108"/>
      <c r="W3670" s="1108"/>
      <c r="X3670" s="1108"/>
      <c r="Y3670" s="1108"/>
      <c r="Z3670" s="1114"/>
      <c r="AA3670" s="1114"/>
      <c r="AB3670" s="1114"/>
      <c r="AC3670" s="1117"/>
      <c r="AD3670" s="1115"/>
      <c r="AE3670" s="1115"/>
      <c r="AF3670" s="1115"/>
      <c r="AG3670" s="1115"/>
      <c r="AH3670" s="1115"/>
      <c r="AI3670" s="1115"/>
      <c r="AJ3670" s="1117"/>
      <c r="AK3670" s="1118"/>
      <c r="AL3670" s="1115"/>
      <c r="AM3670" s="1115"/>
      <c r="AN3670" s="1115"/>
      <c r="AO3670" s="1115"/>
      <c r="AP3670" s="1115"/>
      <c r="AQ3670" s="1115"/>
      <c r="AR3670" s="1115"/>
      <c r="AS3670" s="1117"/>
      <c r="AT3670" s="1075"/>
      <c r="AU3670" s="1193"/>
      <c r="AV3670" s="330"/>
      <c r="AW3670" s="331"/>
      <c r="AX3670" s="331"/>
      <c r="AY3670" s="331"/>
      <c r="AZ3670" s="331"/>
      <c r="BA3670" s="331"/>
      <c r="BB3670" s="331"/>
      <c r="BC3670" s="331"/>
      <c r="BD3670" s="331"/>
      <c r="BE3670" s="333"/>
      <c r="BF3670" s="330"/>
      <c r="BG3670" s="333"/>
      <c r="BH3670" s="1119"/>
      <c r="BI3670" s="319"/>
      <c r="BJ3670" s="319"/>
      <c r="BK3670" s="319"/>
      <c r="BL3670" s="319"/>
      <c r="BM3670" s="319"/>
      <c r="BN3670" s="319"/>
      <c r="BO3670" s="319"/>
      <c r="BP3670" s="953"/>
      <c r="BQ3670" s="319"/>
      <c r="BR3670" s="319"/>
      <c r="BS3670" s="330"/>
      <c r="BT3670" s="331"/>
      <c r="BU3670" s="920"/>
      <c r="BV3670" s="903"/>
      <c r="BW3670" s="908"/>
      <c r="BX3670" s="908"/>
      <c r="BY3670" s="331"/>
      <c r="BZ3670" s="331"/>
      <c r="CA3670" s="462"/>
      <c r="CB3670" s="319"/>
      <c r="CC3670" s="319"/>
      <c r="CD3670" s="319"/>
      <c r="CE3670" s="319"/>
      <c r="CF3670" s="319"/>
      <c r="CG3670" s="319"/>
      <c r="CH3670" s="318"/>
      <c r="CI3670" s="319"/>
      <c r="CJ3670" s="319"/>
      <c r="CK3670" s="342"/>
      <c r="CL3670" s="333"/>
      <c r="CM3670" s="1079"/>
      <c r="CN3670" s="1005"/>
      <c r="CO3670" s="1005"/>
      <c r="CP3670" s="1005"/>
    </row>
    <row r="3671">
      <c r="A3671" s="1257"/>
      <c r="B3671" s="1113"/>
      <c r="C3671" s="1107"/>
      <c r="D3671" s="103"/>
      <c r="E3671" s="1137"/>
      <c r="F3671" s="112"/>
      <c r="G3671" s="1110"/>
      <c r="H3671" s="1138"/>
      <c r="I3671" s="1138"/>
      <c r="J3671" s="1139"/>
      <c r="K3671" s="1111"/>
      <c r="L3671" s="1112"/>
      <c r="M3671" s="1113"/>
      <c r="N3671" s="110"/>
      <c r="O3671" s="1140"/>
      <c r="P3671" s="1115"/>
      <c r="Q3671" s="1116"/>
      <c r="R3671" s="1141"/>
      <c r="S3671" s="1113"/>
      <c r="T3671" s="1143"/>
      <c r="U3671" s="1108"/>
      <c r="V3671" s="1108"/>
      <c r="W3671" s="1108"/>
      <c r="X3671" s="1108"/>
      <c r="Y3671" s="1108"/>
      <c r="Z3671" s="1114"/>
      <c r="AA3671" s="1114"/>
      <c r="AB3671" s="1114"/>
      <c r="AC3671" s="1117"/>
      <c r="AD3671" s="1115"/>
      <c r="AE3671" s="1115"/>
      <c r="AF3671" s="1115"/>
      <c r="AG3671" s="1115"/>
      <c r="AH3671" s="1115"/>
      <c r="AI3671" s="1115"/>
      <c r="AJ3671" s="1117"/>
      <c r="AK3671" s="1118"/>
      <c r="AL3671" s="1115"/>
      <c r="AM3671" s="1115"/>
      <c r="AN3671" s="1115"/>
      <c r="AO3671" s="1115"/>
      <c r="AP3671" s="1115"/>
      <c r="AQ3671" s="1115"/>
      <c r="AR3671" s="1115"/>
      <c r="AS3671" s="1117"/>
      <c r="AT3671" s="1075"/>
      <c r="AU3671" s="1193"/>
      <c r="AV3671" s="330"/>
      <c r="AW3671" s="331"/>
      <c r="AX3671" s="331"/>
      <c r="AY3671" s="331"/>
      <c r="AZ3671" s="331"/>
      <c r="BA3671" s="331"/>
      <c r="BB3671" s="331"/>
      <c r="BC3671" s="331"/>
      <c r="BD3671" s="331"/>
      <c r="BE3671" s="333"/>
      <c r="BF3671" s="330"/>
      <c r="BG3671" s="333"/>
      <c r="BH3671" s="1119"/>
      <c r="BI3671" s="319"/>
      <c r="BJ3671" s="319"/>
      <c r="BK3671" s="319"/>
      <c r="BL3671" s="319"/>
      <c r="BM3671" s="319"/>
      <c r="BN3671" s="319"/>
      <c r="BO3671" s="319"/>
      <c r="BP3671" s="953"/>
      <c r="BQ3671" s="319"/>
      <c r="BR3671" s="319"/>
      <c r="BS3671" s="330"/>
      <c r="BT3671" s="331"/>
      <c r="BU3671" s="920"/>
      <c r="BV3671" s="903"/>
      <c r="BW3671" s="908"/>
      <c r="BX3671" s="908"/>
      <c r="BY3671" s="331"/>
      <c r="BZ3671" s="331"/>
      <c r="CA3671" s="462"/>
      <c r="CB3671" s="319"/>
      <c r="CC3671" s="319"/>
      <c r="CD3671" s="319"/>
      <c r="CE3671" s="319"/>
      <c r="CF3671" s="319"/>
      <c r="CG3671" s="319"/>
      <c r="CH3671" s="318"/>
      <c r="CI3671" s="319"/>
      <c r="CJ3671" s="319"/>
      <c r="CK3671" s="342"/>
      <c r="CL3671" s="333"/>
      <c r="CM3671" s="1079"/>
      <c r="CN3671" s="1005"/>
      <c r="CO3671" s="1005"/>
      <c r="CP3671" s="1005"/>
    </row>
    <row r="3672">
      <c r="A3672" s="1257"/>
      <c r="B3672" s="1113"/>
      <c r="C3672" s="1107"/>
      <c r="D3672" s="103"/>
      <c r="E3672" s="1137"/>
      <c r="F3672" s="112"/>
      <c r="G3672" s="1110"/>
      <c r="H3672" s="1138"/>
      <c r="I3672" s="1138"/>
      <c r="J3672" s="1139"/>
      <c r="K3672" s="1111"/>
      <c r="L3672" s="1112"/>
      <c r="M3672" s="1113"/>
      <c r="N3672" s="110"/>
      <c r="O3672" s="1140"/>
      <c r="P3672" s="1115"/>
      <c r="Q3672" s="1116"/>
      <c r="R3672" s="1141"/>
      <c r="S3672" s="1113"/>
      <c r="T3672" s="1143"/>
      <c r="U3672" s="1108"/>
      <c r="V3672" s="1108"/>
      <c r="W3672" s="1108"/>
      <c r="X3672" s="1108"/>
      <c r="Y3672" s="1108"/>
      <c r="Z3672" s="1114"/>
      <c r="AA3672" s="1114"/>
      <c r="AB3672" s="1114"/>
      <c r="AC3672" s="1117"/>
      <c r="AD3672" s="1115"/>
      <c r="AE3672" s="1115"/>
      <c r="AF3672" s="1115"/>
      <c r="AG3672" s="1115"/>
      <c r="AH3672" s="1115"/>
      <c r="AI3672" s="1115"/>
      <c r="AJ3672" s="1117"/>
      <c r="AK3672" s="1118"/>
      <c r="AL3672" s="1115"/>
      <c r="AM3672" s="1115"/>
      <c r="AN3672" s="1115"/>
      <c r="AO3672" s="1115"/>
      <c r="AP3672" s="1115"/>
      <c r="AQ3672" s="1115"/>
      <c r="AR3672" s="1115"/>
      <c r="AS3672" s="1117"/>
      <c r="AT3672" s="1075"/>
      <c r="AU3672" s="1193"/>
      <c r="AV3672" s="330"/>
      <c r="AW3672" s="331"/>
      <c r="AX3672" s="331"/>
      <c r="AY3672" s="331"/>
      <c r="AZ3672" s="331"/>
      <c r="BA3672" s="331"/>
      <c r="BB3672" s="331"/>
      <c r="BC3672" s="331"/>
      <c r="BD3672" s="331"/>
      <c r="BE3672" s="333"/>
      <c r="BF3672" s="330"/>
      <c r="BG3672" s="333"/>
      <c r="BH3672" s="1119"/>
      <c r="BI3672" s="319"/>
      <c r="BJ3672" s="319"/>
      <c r="BK3672" s="319"/>
      <c r="BL3672" s="319"/>
      <c r="BM3672" s="319"/>
      <c r="BN3672" s="319"/>
      <c r="BO3672" s="319"/>
      <c r="BP3672" s="953"/>
      <c r="BQ3672" s="319"/>
      <c r="BR3672" s="319"/>
      <c r="BS3672" s="330"/>
      <c r="BT3672" s="331"/>
      <c r="BU3672" s="920"/>
      <c r="BV3672" s="903"/>
      <c r="BW3672" s="908"/>
      <c r="BX3672" s="908"/>
      <c r="BY3672" s="331"/>
      <c r="BZ3672" s="331"/>
      <c r="CA3672" s="462"/>
      <c r="CB3672" s="319"/>
      <c r="CC3672" s="319"/>
      <c r="CD3672" s="319"/>
      <c r="CE3672" s="319"/>
      <c r="CF3672" s="319"/>
      <c r="CG3672" s="319"/>
      <c r="CH3672" s="318"/>
      <c r="CI3672" s="319"/>
      <c r="CJ3672" s="319"/>
      <c r="CK3672" s="342"/>
      <c r="CL3672" s="333"/>
      <c r="CM3672" s="1079"/>
      <c r="CN3672" s="1005"/>
      <c r="CO3672" s="1005"/>
      <c r="CP3672" s="1005"/>
    </row>
    <row r="3673">
      <c r="A3673" s="1257"/>
      <c r="B3673" s="1113"/>
      <c r="C3673" s="1107"/>
      <c r="D3673" s="103"/>
      <c r="E3673" s="1137"/>
      <c r="F3673" s="112"/>
      <c r="G3673" s="1110"/>
      <c r="H3673" s="1138"/>
      <c r="I3673" s="1138"/>
      <c r="J3673" s="1139"/>
      <c r="K3673" s="1111"/>
      <c r="L3673" s="1112"/>
      <c r="M3673" s="1113"/>
      <c r="N3673" s="110"/>
      <c r="O3673" s="1140"/>
      <c r="P3673" s="1115"/>
      <c r="Q3673" s="1116"/>
      <c r="R3673" s="1141"/>
      <c r="S3673" s="1113"/>
      <c r="T3673" s="1143"/>
      <c r="U3673" s="1108"/>
      <c r="V3673" s="1108"/>
      <c r="W3673" s="1108"/>
      <c r="X3673" s="1108"/>
      <c r="Y3673" s="1108"/>
      <c r="Z3673" s="1114"/>
      <c r="AA3673" s="1114"/>
      <c r="AB3673" s="1114"/>
      <c r="AC3673" s="1117"/>
      <c r="AD3673" s="1115"/>
      <c r="AE3673" s="1115"/>
      <c r="AF3673" s="1115"/>
      <c r="AG3673" s="1115"/>
      <c r="AH3673" s="1115"/>
      <c r="AI3673" s="1115"/>
      <c r="AJ3673" s="1117"/>
      <c r="AK3673" s="1118"/>
      <c r="AL3673" s="1115"/>
      <c r="AM3673" s="1115"/>
      <c r="AN3673" s="1115"/>
      <c r="AO3673" s="1115"/>
      <c r="AP3673" s="1115"/>
      <c r="AQ3673" s="1115"/>
      <c r="AR3673" s="1115"/>
      <c r="AS3673" s="1117"/>
      <c r="AT3673" s="1075"/>
      <c r="AU3673" s="1193"/>
      <c r="AV3673" s="330"/>
      <c r="AW3673" s="331"/>
      <c r="AX3673" s="331"/>
      <c r="AY3673" s="331"/>
      <c r="AZ3673" s="331"/>
      <c r="BA3673" s="331"/>
      <c r="BB3673" s="331"/>
      <c r="BC3673" s="331"/>
      <c r="BD3673" s="331"/>
      <c r="BE3673" s="333"/>
      <c r="BF3673" s="330"/>
      <c r="BG3673" s="333"/>
      <c r="BH3673" s="1119"/>
      <c r="BI3673" s="319"/>
      <c r="BJ3673" s="319"/>
      <c r="BK3673" s="319"/>
      <c r="BL3673" s="319"/>
      <c r="BM3673" s="319"/>
      <c r="BN3673" s="319"/>
      <c r="BO3673" s="319"/>
      <c r="BP3673" s="953"/>
      <c r="BQ3673" s="319"/>
      <c r="BR3673" s="319"/>
      <c r="BS3673" s="330"/>
      <c r="BT3673" s="331"/>
      <c r="BU3673" s="920"/>
      <c r="BV3673" s="903"/>
      <c r="BW3673" s="908"/>
      <c r="BX3673" s="908"/>
      <c r="BY3673" s="331"/>
      <c r="BZ3673" s="331"/>
      <c r="CA3673" s="462"/>
      <c r="CB3673" s="319"/>
      <c r="CC3673" s="319"/>
      <c r="CD3673" s="319"/>
      <c r="CE3673" s="319"/>
      <c r="CF3673" s="319"/>
      <c r="CG3673" s="319"/>
      <c r="CH3673" s="318"/>
      <c r="CI3673" s="319"/>
      <c r="CJ3673" s="319"/>
      <c r="CK3673" s="342"/>
      <c r="CL3673" s="333"/>
      <c r="CM3673" s="1079"/>
      <c r="CN3673" s="1005"/>
      <c r="CO3673" s="1005"/>
      <c r="CP3673" s="1005"/>
    </row>
    <row r="3674">
      <c r="A3674" s="1257"/>
      <c r="B3674" s="1113"/>
      <c r="C3674" s="1107"/>
      <c r="D3674" s="103"/>
      <c r="E3674" s="1137"/>
      <c r="F3674" s="112"/>
      <c r="G3674" s="1110"/>
      <c r="H3674" s="1138"/>
      <c r="I3674" s="1138"/>
      <c r="J3674" s="1139"/>
      <c r="K3674" s="1111"/>
      <c r="L3674" s="1112"/>
      <c r="M3674" s="1113"/>
      <c r="N3674" s="110"/>
      <c r="O3674" s="1140"/>
      <c r="P3674" s="1115"/>
      <c r="Q3674" s="1116"/>
      <c r="R3674" s="1141"/>
      <c r="S3674" s="1113"/>
      <c r="T3674" s="1143"/>
      <c r="U3674" s="1108"/>
      <c r="V3674" s="1108"/>
      <c r="W3674" s="1108"/>
      <c r="X3674" s="1108"/>
      <c r="Y3674" s="1108"/>
      <c r="Z3674" s="1114"/>
      <c r="AA3674" s="1114"/>
      <c r="AB3674" s="1114"/>
      <c r="AC3674" s="1117"/>
      <c r="AD3674" s="1115"/>
      <c r="AE3674" s="1115"/>
      <c r="AF3674" s="1115"/>
      <c r="AG3674" s="1115"/>
      <c r="AH3674" s="1115"/>
      <c r="AI3674" s="1115"/>
      <c r="AJ3674" s="1117"/>
      <c r="AK3674" s="1118"/>
      <c r="AL3674" s="1115"/>
      <c r="AM3674" s="1115"/>
      <c r="AN3674" s="1115"/>
      <c r="AO3674" s="1115"/>
      <c r="AP3674" s="1115"/>
      <c r="AQ3674" s="1115"/>
      <c r="AR3674" s="1115"/>
      <c r="AS3674" s="1117"/>
      <c r="AT3674" s="1075"/>
      <c r="AU3674" s="1193"/>
      <c r="AV3674" s="330"/>
      <c r="AW3674" s="331"/>
      <c r="AX3674" s="331"/>
      <c r="AY3674" s="331"/>
      <c r="AZ3674" s="331"/>
      <c r="BA3674" s="331"/>
      <c r="BB3674" s="331"/>
      <c r="BC3674" s="331"/>
      <c r="BD3674" s="331"/>
      <c r="BE3674" s="333"/>
      <c r="BF3674" s="330"/>
      <c r="BG3674" s="333"/>
      <c r="BH3674" s="1119"/>
      <c r="BI3674" s="319"/>
      <c r="BJ3674" s="319"/>
      <c r="BK3674" s="319"/>
      <c r="BL3674" s="319"/>
      <c r="BM3674" s="319"/>
      <c r="BN3674" s="319"/>
      <c r="BO3674" s="319"/>
      <c r="BP3674" s="953"/>
      <c r="BQ3674" s="319"/>
      <c r="BR3674" s="319"/>
      <c r="BS3674" s="330"/>
      <c r="BT3674" s="331"/>
      <c r="BU3674" s="920"/>
      <c r="BV3674" s="903"/>
      <c r="BW3674" s="908"/>
      <c r="BX3674" s="908"/>
      <c r="BY3674" s="331"/>
      <c r="BZ3674" s="331"/>
      <c r="CA3674" s="462"/>
      <c r="CB3674" s="319"/>
      <c r="CC3674" s="319"/>
      <c r="CD3674" s="319"/>
      <c r="CE3674" s="319"/>
      <c r="CF3674" s="319"/>
      <c r="CG3674" s="319"/>
      <c r="CH3674" s="318"/>
      <c r="CI3674" s="319"/>
      <c r="CJ3674" s="319"/>
      <c r="CK3674" s="342"/>
      <c r="CL3674" s="333"/>
      <c r="CM3674" s="1079"/>
      <c r="CN3674" s="1005"/>
      <c r="CO3674" s="1005"/>
      <c r="CP3674" s="1005"/>
    </row>
    <row r="3675">
      <c r="A3675" s="1257"/>
      <c r="B3675" s="1113"/>
      <c r="C3675" s="1107"/>
      <c r="D3675" s="103"/>
      <c r="E3675" s="1137"/>
      <c r="F3675" s="112"/>
      <c r="G3675" s="1110"/>
      <c r="H3675" s="1138"/>
      <c r="I3675" s="1138"/>
      <c r="J3675" s="1139"/>
      <c r="K3675" s="1111"/>
      <c r="L3675" s="1112"/>
      <c r="M3675" s="1113"/>
      <c r="N3675" s="110"/>
      <c r="O3675" s="1140"/>
      <c r="P3675" s="1115"/>
      <c r="Q3675" s="1116"/>
      <c r="R3675" s="1141"/>
      <c r="S3675" s="1113"/>
      <c r="T3675" s="1143"/>
      <c r="U3675" s="1108"/>
      <c r="V3675" s="1108"/>
      <c r="W3675" s="1108"/>
      <c r="X3675" s="1108"/>
      <c r="Y3675" s="1108"/>
      <c r="Z3675" s="1114"/>
      <c r="AA3675" s="1114"/>
      <c r="AB3675" s="1114"/>
      <c r="AC3675" s="1117"/>
      <c r="AD3675" s="1115"/>
      <c r="AE3675" s="1115"/>
      <c r="AF3675" s="1115"/>
      <c r="AG3675" s="1115"/>
      <c r="AH3675" s="1115"/>
      <c r="AI3675" s="1115"/>
      <c r="AJ3675" s="1117"/>
      <c r="AK3675" s="1118"/>
      <c r="AL3675" s="1115"/>
      <c r="AM3675" s="1115"/>
      <c r="AN3675" s="1115"/>
      <c r="AO3675" s="1115"/>
      <c r="AP3675" s="1115"/>
      <c r="AQ3675" s="1115"/>
      <c r="AR3675" s="1115"/>
      <c r="AS3675" s="1117"/>
      <c r="AT3675" s="1075"/>
      <c r="AU3675" s="1193"/>
      <c r="AV3675" s="330"/>
      <c r="AW3675" s="331"/>
      <c r="AX3675" s="331"/>
      <c r="AY3675" s="331"/>
      <c r="AZ3675" s="331"/>
      <c r="BA3675" s="331"/>
      <c r="BB3675" s="331"/>
      <c r="BC3675" s="331"/>
      <c r="BD3675" s="331"/>
      <c r="BE3675" s="333"/>
      <c r="BF3675" s="330"/>
      <c r="BG3675" s="333"/>
      <c r="BH3675" s="1119"/>
      <c r="BI3675" s="319"/>
      <c r="BJ3675" s="319"/>
      <c r="BK3675" s="319"/>
      <c r="BL3675" s="319"/>
      <c r="BM3675" s="319"/>
      <c r="BN3675" s="319"/>
      <c r="BO3675" s="319"/>
      <c r="BP3675" s="953"/>
      <c r="BQ3675" s="319"/>
      <c r="BR3675" s="319"/>
      <c r="BS3675" s="330"/>
      <c r="BT3675" s="331"/>
      <c r="BU3675" s="920"/>
      <c r="BV3675" s="903"/>
      <c r="BW3675" s="908"/>
      <c r="BX3675" s="908"/>
      <c r="BY3675" s="331"/>
      <c r="BZ3675" s="331"/>
      <c r="CA3675" s="462"/>
      <c r="CB3675" s="319"/>
      <c r="CC3675" s="319"/>
      <c r="CD3675" s="319"/>
      <c r="CE3675" s="319"/>
      <c r="CF3675" s="319"/>
      <c r="CG3675" s="319"/>
      <c r="CH3675" s="318"/>
      <c r="CI3675" s="319"/>
      <c r="CJ3675" s="319"/>
      <c r="CK3675" s="342"/>
      <c r="CL3675" s="333"/>
      <c r="CM3675" s="1079"/>
      <c r="CN3675" s="1005"/>
      <c r="CO3675" s="1005"/>
      <c r="CP3675" s="1005"/>
    </row>
    <row r="3676">
      <c r="A3676" s="1257"/>
      <c r="B3676" s="1113"/>
      <c r="C3676" s="1107"/>
      <c r="D3676" s="103"/>
      <c r="E3676" s="1137"/>
      <c r="F3676" s="112"/>
      <c r="G3676" s="1110"/>
      <c r="H3676" s="1138"/>
      <c r="I3676" s="1138"/>
      <c r="J3676" s="1139"/>
      <c r="K3676" s="1111"/>
      <c r="L3676" s="1112"/>
      <c r="M3676" s="1113"/>
      <c r="N3676" s="110"/>
      <c r="O3676" s="1140"/>
      <c r="P3676" s="1115"/>
      <c r="Q3676" s="1116"/>
      <c r="R3676" s="1141"/>
      <c r="S3676" s="1113"/>
      <c r="T3676" s="1143"/>
      <c r="U3676" s="1108"/>
      <c r="V3676" s="1108"/>
      <c r="W3676" s="1108"/>
      <c r="X3676" s="1108"/>
      <c r="Y3676" s="1108"/>
      <c r="Z3676" s="1114"/>
      <c r="AA3676" s="1114"/>
      <c r="AB3676" s="1114"/>
      <c r="AC3676" s="1117"/>
      <c r="AD3676" s="1115"/>
      <c r="AE3676" s="1115"/>
      <c r="AF3676" s="1115"/>
      <c r="AG3676" s="1115"/>
      <c r="AH3676" s="1115"/>
      <c r="AI3676" s="1115"/>
      <c r="AJ3676" s="1117"/>
      <c r="AK3676" s="1118"/>
      <c r="AL3676" s="1115"/>
      <c r="AM3676" s="1115"/>
      <c r="AN3676" s="1115"/>
      <c r="AO3676" s="1115"/>
      <c r="AP3676" s="1115"/>
      <c r="AQ3676" s="1115"/>
      <c r="AR3676" s="1115"/>
      <c r="AS3676" s="1117"/>
      <c r="AT3676" s="1075"/>
      <c r="AU3676" s="1193"/>
      <c r="AV3676" s="330"/>
      <c r="AW3676" s="331"/>
      <c r="AX3676" s="331"/>
      <c r="AY3676" s="331"/>
      <c r="AZ3676" s="331"/>
      <c r="BA3676" s="331"/>
      <c r="BB3676" s="331"/>
      <c r="BC3676" s="331"/>
      <c r="BD3676" s="331"/>
      <c r="BE3676" s="333"/>
      <c r="BF3676" s="330"/>
      <c r="BG3676" s="333"/>
      <c r="BH3676" s="1119"/>
      <c r="BI3676" s="319"/>
      <c r="BJ3676" s="319"/>
      <c r="BK3676" s="319"/>
      <c r="BL3676" s="319"/>
      <c r="BM3676" s="319"/>
      <c r="BN3676" s="319"/>
      <c r="BO3676" s="319"/>
      <c r="BP3676" s="953"/>
      <c r="BQ3676" s="319"/>
      <c r="BR3676" s="319"/>
      <c r="BS3676" s="330"/>
      <c r="BT3676" s="331"/>
      <c r="BU3676" s="920"/>
      <c r="BV3676" s="903"/>
      <c r="BW3676" s="908"/>
      <c r="BX3676" s="908"/>
      <c r="BY3676" s="331"/>
      <c r="BZ3676" s="331"/>
      <c r="CA3676" s="462"/>
      <c r="CB3676" s="319"/>
      <c r="CC3676" s="319"/>
      <c r="CD3676" s="319"/>
      <c r="CE3676" s="319"/>
      <c r="CF3676" s="319"/>
      <c r="CG3676" s="319"/>
      <c r="CH3676" s="318"/>
      <c r="CI3676" s="319"/>
      <c r="CJ3676" s="319"/>
      <c r="CK3676" s="342"/>
      <c r="CL3676" s="333"/>
      <c r="CM3676" s="1079"/>
      <c r="CN3676" s="1005"/>
      <c r="CO3676" s="1005"/>
      <c r="CP3676" s="1005"/>
    </row>
    <row r="3677">
      <c r="A3677" s="1257"/>
      <c r="B3677" s="1113"/>
      <c r="C3677" s="1107"/>
      <c r="D3677" s="103"/>
      <c r="E3677" s="1137"/>
      <c r="F3677" s="112"/>
      <c r="G3677" s="1110"/>
      <c r="H3677" s="1138"/>
      <c r="I3677" s="1138"/>
      <c r="J3677" s="1139"/>
      <c r="K3677" s="1111"/>
      <c r="L3677" s="1112"/>
      <c r="M3677" s="1113"/>
      <c r="N3677" s="110"/>
      <c r="O3677" s="1140"/>
      <c r="P3677" s="1115"/>
      <c r="Q3677" s="1116"/>
      <c r="R3677" s="1141"/>
      <c r="S3677" s="1113"/>
      <c r="T3677" s="1143"/>
      <c r="U3677" s="1108"/>
      <c r="V3677" s="1108"/>
      <c r="W3677" s="1108"/>
      <c r="X3677" s="1108"/>
      <c r="Y3677" s="1108"/>
      <c r="Z3677" s="1114"/>
      <c r="AA3677" s="1114"/>
      <c r="AB3677" s="1114"/>
      <c r="AC3677" s="1117"/>
      <c r="AD3677" s="1115"/>
      <c r="AE3677" s="1115"/>
      <c r="AF3677" s="1115"/>
      <c r="AG3677" s="1115"/>
      <c r="AH3677" s="1115"/>
      <c r="AI3677" s="1115"/>
      <c r="AJ3677" s="1117"/>
      <c r="AK3677" s="1118"/>
      <c r="AL3677" s="1115"/>
      <c r="AM3677" s="1115"/>
      <c r="AN3677" s="1115"/>
      <c r="AO3677" s="1115"/>
      <c r="AP3677" s="1115"/>
      <c r="AQ3677" s="1115"/>
      <c r="AR3677" s="1115"/>
      <c r="AS3677" s="1117"/>
      <c r="AT3677" s="1075"/>
      <c r="AU3677" s="1193"/>
      <c r="AV3677" s="330"/>
      <c r="AW3677" s="331"/>
      <c r="AX3677" s="331"/>
      <c r="AY3677" s="331"/>
      <c r="AZ3677" s="331"/>
      <c r="BA3677" s="331"/>
      <c r="BB3677" s="331"/>
      <c r="BC3677" s="331"/>
      <c r="BD3677" s="331"/>
      <c r="BE3677" s="333"/>
      <c r="BF3677" s="330"/>
      <c r="BG3677" s="333"/>
      <c r="BH3677" s="1119"/>
      <c r="BI3677" s="319"/>
      <c r="BJ3677" s="319"/>
      <c r="BK3677" s="319"/>
      <c r="BL3677" s="319"/>
      <c r="BM3677" s="319"/>
      <c r="BN3677" s="319"/>
      <c r="BO3677" s="319"/>
      <c r="BP3677" s="953"/>
      <c r="BQ3677" s="319"/>
      <c r="BR3677" s="319"/>
      <c r="BS3677" s="330"/>
      <c r="BT3677" s="331"/>
      <c r="BU3677" s="920"/>
      <c r="BV3677" s="903"/>
      <c r="BW3677" s="908"/>
      <c r="BX3677" s="908"/>
      <c r="BY3677" s="331"/>
      <c r="BZ3677" s="331"/>
      <c r="CA3677" s="462"/>
      <c r="CB3677" s="319"/>
      <c r="CC3677" s="319"/>
      <c r="CD3677" s="319"/>
      <c r="CE3677" s="319"/>
      <c r="CF3677" s="319"/>
      <c r="CG3677" s="319"/>
      <c r="CH3677" s="318"/>
      <c r="CI3677" s="319"/>
      <c r="CJ3677" s="319"/>
      <c r="CK3677" s="342"/>
      <c r="CL3677" s="333"/>
      <c r="CM3677" s="1079"/>
      <c r="CN3677" s="1005"/>
      <c r="CO3677" s="1005"/>
      <c r="CP3677" s="1005"/>
    </row>
    <row r="3678">
      <c r="A3678" s="1257"/>
      <c r="B3678" s="1113"/>
      <c r="C3678" s="1107"/>
      <c r="D3678" s="103"/>
      <c r="E3678" s="1137"/>
      <c r="F3678" s="112"/>
      <c r="G3678" s="1110"/>
      <c r="H3678" s="1138"/>
      <c r="I3678" s="1138"/>
      <c r="J3678" s="1139"/>
      <c r="K3678" s="1111"/>
      <c r="L3678" s="1112"/>
      <c r="M3678" s="1113"/>
      <c r="N3678" s="110"/>
      <c r="O3678" s="1140"/>
      <c r="P3678" s="1115"/>
      <c r="Q3678" s="1116"/>
      <c r="R3678" s="1141"/>
      <c r="S3678" s="1113"/>
      <c r="T3678" s="1143"/>
      <c r="U3678" s="1108"/>
      <c r="V3678" s="1108"/>
      <c r="W3678" s="1108"/>
      <c r="X3678" s="1108"/>
      <c r="Y3678" s="1108"/>
      <c r="Z3678" s="1114"/>
      <c r="AA3678" s="1114"/>
      <c r="AB3678" s="1114"/>
      <c r="AC3678" s="1117"/>
      <c r="AD3678" s="1115"/>
      <c r="AE3678" s="1115"/>
      <c r="AF3678" s="1115"/>
      <c r="AG3678" s="1115"/>
      <c r="AH3678" s="1115"/>
      <c r="AI3678" s="1115"/>
      <c r="AJ3678" s="1117"/>
      <c r="AK3678" s="1118"/>
      <c r="AL3678" s="1115"/>
      <c r="AM3678" s="1115"/>
      <c r="AN3678" s="1115"/>
      <c r="AO3678" s="1115"/>
      <c r="AP3678" s="1115"/>
      <c r="AQ3678" s="1115"/>
      <c r="AR3678" s="1115"/>
      <c r="AS3678" s="1117"/>
      <c r="AT3678" s="1075"/>
      <c r="AU3678" s="1193"/>
      <c r="AV3678" s="330"/>
      <c r="AW3678" s="331"/>
      <c r="AX3678" s="331"/>
      <c r="AY3678" s="331"/>
      <c r="AZ3678" s="331"/>
      <c r="BA3678" s="331"/>
      <c r="BB3678" s="331"/>
      <c r="BC3678" s="331"/>
      <c r="BD3678" s="331"/>
      <c r="BE3678" s="333"/>
      <c r="BF3678" s="330"/>
      <c r="BG3678" s="333"/>
      <c r="BH3678" s="1119"/>
      <c r="BI3678" s="319"/>
      <c r="BJ3678" s="319"/>
      <c r="BK3678" s="319"/>
      <c r="BL3678" s="319"/>
      <c r="BM3678" s="319"/>
      <c r="BN3678" s="319"/>
      <c r="BO3678" s="319"/>
      <c r="BP3678" s="953"/>
      <c r="BQ3678" s="319"/>
      <c r="BR3678" s="319"/>
      <c r="BS3678" s="330"/>
      <c r="BT3678" s="331"/>
      <c r="BU3678" s="920"/>
      <c r="BV3678" s="903"/>
      <c r="BW3678" s="908"/>
      <c r="BX3678" s="908"/>
      <c r="BY3678" s="331"/>
      <c r="BZ3678" s="331"/>
      <c r="CA3678" s="462"/>
      <c r="CB3678" s="319"/>
      <c r="CC3678" s="319"/>
      <c r="CD3678" s="319"/>
      <c r="CE3678" s="319"/>
      <c r="CF3678" s="319"/>
      <c r="CG3678" s="319"/>
      <c r="CH3678" s="318"/>
      <c r="CI3678" s="319"/>
      <c r="CJ3678" s="319"/>
      <c r="CK3678" s="342"/>
      <c r="CL3678" s="333"/>
      <c r="CM3678" s="1079"/>
      <c r="CN3678" s="1005"/>
      <c r="CO3678" s="1005"/>
      <c r="CP3678" s="1005"/>
    </row>
    <row r="3679">
      <c r="A3679" s="1257"/>
      <c r="B3679" s="1113"/>
      <c r="C3679" s="1107"/>
      <c r="D3679" s="103"/>
      <c r="E3679" s="1137"/>
      <c r="F3679" s="112"/>
      <c r="G3679" s="1110"/>
      <c r="H3679" s="1138"/>
      <c r="I3679" s="1138"/>
      <c r="J3679" s="1139"/>
      <c r="K3679" s="1111"/>
      <c r="L3679" s="1112"/>
      <c r="M3679" s="1113"/>
      <c r="N3679" s="110"/>
      <c r="O3679" s="1140"/>
      <c r="P3679" s="1115"/>
      <c r="Q3679" s="1116"/>
      <c r="R3679" s="1141"/>
      <c r="S3679" s="1113"/>
      <c r="T3679" s="1143"/>
      <c r="U3679" s="1108"/>
      <c r="V3679" s="1108"/>
      <c r="W3679" s="1108"/>
      <c r="X3679" s="1108"/>
      <c r="Y3679" s="1108"/>
      <c r="Z3679" s="1114"/>
      <c r="AA3679" s="1114"/>
      <c r="AB3679" s="1114"/>
      <c r="AC3679" s="1117"/>
      <c r="AD3679" s="1115"/>
      <c r="AE3679" s="1115"/>
      <c r="AF3679" s="1115"/>
      <c r="AG3679" s="1115"/>
      <c r="AH3679" s="1115"/>
      <c r="AI3679" s="1115"/>
      <c r="AJ3679" s="1117"/>
      <c r="AK3679" s="1118"/>
      <c r="AL3679" s="1115"/>
      <c r="AM3679" s="1115"/>
      <c r="AN3679" s="1115"/>
      <c r="AO3679" s="1115"/>
      <c r="AP3679" s="1115"/>
      <c r="AQ3679" s="1115"/>
      <c r="AR3679" s="1115"/>
      <c r="AS3679" s="1117"/>
      <c r="AT3679" s="1075"/>
      <c r="AU3679" s="1193"/>
      <c r="AV3679" s="330"/>
      <c r="AW3679" s="331"/>
      <c r="AX3679" s="331"/>
      <c r="AY3679" s="331"/>
      <c r="AZ3679" s="331"/>
      <c r="BA3679" s="331"/>
      <c r="BB3679" s="331"/>
      <c r="BC3679" s="331"/>
      <c r="BD3679" s="331"/>
      <c r="BE3679" s="333"/>
      <c r="BF3679" s="330"/>
      <c r="BG3679" s="333"/>
      <c r="BH3679" s="1119"/>
      <c r="BI3679" s="319"/>
      <c r="BJ3679" s="319"/>
      <c r="BK3679" s="319"/>
      <c r="BL3679" s="319"/>
      <c r="BM3679" s="319"/>
      <c r="BN3679" s="319"/>
      <c r="BO3679" s="319"/>
      <c r="BP3679" s="953"/>
      <c r="BQ3679" s="319"/>
      <c r="BR3679" s="319"/>
      <c r="BS3679" s="330"/>
      <c r="BT3679" s="331"/>
      <c r="BU3679" s="920"/>
      <c r="BV3679" s="903"/>
      <c r="BW3679" s="908"/>
      <c r="BX3679" s="908"/>
      <c r="BY3679" s="331"/>
      <c r="BZ3679" s="331"/>
      <c r="CA3679" s="462"/>
      <c r="CB3679" s="319"/>
      <c r="CC3679" s="319"/>
      <c r="CD3679" s="319"/>
      <c r="CE3679" s="319"/>
      <c r="CF3679" s="319"/>
      <c r="CG3679" s="319"/>
      <c r="CH3679" s="318"/>
      <c r="CI3679" s="319"/>
      <c r="CJ3679" s="319"/>
      <c r="CK3679" s="342"/>
      <c r="CL3679" s="333"/>
      <c r="CM3679" s="1079"/>
      <c r="CN3679" s="1005"/>
      <c r="CO3679" s="1005"/>
      <c r="CP3679" s="1005"/>
    </row>
    <row r="3680">
      <c r="A3680" s="1257"/>
      <c r="B3680" s="1113"/>
      <c r="C3680" s="1107"/>
      <c r="D3680" s="103"/>
      <c r="E3680" s="1137"/>
      <c r="F3680" s="112"/>
      <c r="G3680" s="1110"/>
      <c r="H3680" s="1138"/>
      <c r="I3680" s="1138"/>
      <c r="J3680" s="1139"/>
      <c r="K3680" s="1111"/>
      <c r="L3680" s="1112"/>
      <c r="M3680" s="1113"/>
      <c r="N3680" s="110"/>
      <c r="O3680" s="1140"/>
      <c r="P3680" s="1115"/>
      <c r="Q3680" s="1116"/>
      <c r="R3680" s="1141"/>
      <c r="S3680" s="1113"/>
      <c r="T3680" s="1143"/>
      <c r="U3680" s="1108"/>
      <c r="V3680" s="1108"/>
      <c r="W3680" s="1108"/>
      <c r="X3680" s="1108"/>
      <c r="Y3680" s="1108"/>
      <c r="Z3680" s="1114"/>
      <c r="AA3680" s="1114"/>
      <c r="AB3680" s="1114"/>
      <c r="AC3680" s="1117"/>
      <c r="AD3680" s="1115"/>
      <c r="AE3680" s="1115"/>
      <c r="AF3680" s="1115"/>
      <c r="AG3680" s="1115"/>
      <c r="AH3680" s="1115"/>
      <c r="AI3680" s="1115"/>
      <c r="AJ3680" s="1117"/>
      <c r="AK3680" s="1118"/>
      <c r="AL3680" s="1115"/>
      <c r="AM3680" s="1115"/>
      <c r="AN3680" s="1115"/>
      <c r="AO3680" s="1115"/>
      <c r="AP3680" s="1115"/>
      <c r="AQ3680" s="1115"/>
      <c r="AR3680" s="1115"/>
      <c r="AS3680" s="1117"/>
      <c r="AT3680" s="1075"/>
      <c r="AU3680" s="1193"/>
      <c r="AV3680" s="330"/>
      <c r="AW3680" s="331"/>
      <c r="AX3680" s="331"/>
      <c r="AY3680" s="331"/>
      <c r="AZ3680" s="331"/>
      <c r="BA3680" s="331"/>
      <c r="BB3680" s="331"/>
      <c r="BC3680" s="331"/>
      <c r="BD3680" s="331"/>
      <c r="BE3680" s="333"/>
      <c r="BF3680" s="330"/>
      <c r="BG3680" s="333"/>
      <c r="BH3680" s="1119"/>
      <c r="BI3680" s="319"/>
      <c r="BJ3680" s="319"/>
      <c r="BK3680" s="319"/>
      <c r="BL3680" s="319"/>
      <c r="BM3680" s="319"/>
      <c r="BN3680" s="319"/>
      <c r="BO3680" s="319"/>
      <c r="BP3680" s="953"/>
      <c r="BQ3680" s="319"/>
      <c r="BR3680" s="319"/>
      <c r="BS3680" s="330"/>
      <c r="BT3680" s="331"/>
      <c r="BU3680" s="920"/>
      <c r="BV3680" s="903"/>
      <c r="BW3680" s="908"/>
      <c r="BX3680" s="908"/>
      <c r="BY3680" s="331"/>
      <c r="BZ3680" s="331"/>
      <c r="CA3680" s="462"/>
      <c r="CB3680" s="319"/>
      <c r="CC3680" s="319"/>
      <c r="CD3680" s="319"/>
      <c r="CE3680" s="319"/>
      <c r="CF3680" s="319"/>
      <c r="CG3680" s="319"/>
      <c r="CH3680" s="318"/>
      <c r="CI3680" s="319"/>
      <c r="CJ3680" s="319"/>
      <c r="CK3680" s="342"/>
      <c r="CL3680" s="333"/>
      <c r="CM3680" s="1079"/>
      <c r="CN3680" s="1005"/>
      <c r="CO3680" s="1005"/>
      <c r="CP3680" s="1005"/>
    </row>
    <row r="3681">
      <c r="A3681" s="1257"/>
      <c r="B3681" s="1113"/>
      <c r="C3681" s="1107"/>
      <c r="D3681" s="103"/>
      <c r="E3681" s="1137"/>
      <c r="F3681" s="112"/>
      <c r="G3681" s="1110"/>
      <c r="H3681" s="1138"/>
      <c r="I3681" s="1138"/>
      <c r="J3681" s="1139"/>
      <c r="K3681" s="1111"/>
      <c r="L3681" s="1112"/>
      <c r="M3681" s="1113"/>
      <c r="N3681" s="110"/>
      <c r="O3681" s="1140"/>
      <c r="P3681" s="1115"/>
      <c r="Q3681" s="1116"/>
      <c r="R3681" s="1141"/>
      <c r="S3681" s="1113"/>
      <c r="T3681" s="1143"/>
      <c r="U3681" s="1108"/>
      <c r="V3681" s="1108"/>
      <c r="W3681" s="1108"/>
      <c r="X3681" s="1108"/>
      <c r="Y3681" s="1108"/>
      <c r="Z3681" s="1114"/>
      <c r="AA3681" s="1114"/>
      <c r="AB3681" s="1114"/>
      <c r="AC3681" s="1117"/>
      <c r="AD3681" s="1115"/>
      <c r="AE3681" s="1115"/>
      <c r="AF3681" s="1115"/>
      <c r="AG3681" s="1115"/>
      <c r="AH3681" s="1115"/>
      <c r="AI3681" s="1115"/>
      <c r="AJ3681" s="1117"/>
      <c r="AK3681" s="1118"/>
      <c r="AL3681" s="1115"/>
      <c r="AM3681" s="1115"/>
      <c r="AN3681" s="1115"/>
      <c r="AO3681" s="1115"/>
      <c r="AP3681" s="1115"/>
      <c r="AQ3681" s="1115"/>
      <c r="AR3681" s="1115"/>
      <c r="AS3681" s="1117"/>
      <c r="AT3681" s="1075"/>
      <c r="AU3681" s="1193"/>
      <c r="AV3681" s="330"/>
      <c r="AW3681" s="331"/>
      <c r="AX3681" s="331"/>
      <c r="AY3681" s="331"/>
      <c r="AZ3681" s="331"/>
      <c r="BA3681" s="331"/>
      <c r="BB3681" s="331"/>
      <c r="BC3681" s="331"/>
      <c r="BD3681" s="331"/>
      <c r="BE3681" s="333"/>
      <c r="BF3681" s="330"/>
      <c r="BG3681" s="333"/>
      <c r="BH3681" s="1119"/>
      <c r="BI3681" s="319"/>
      <c r="BJ3681" s="319"/>
      <c r="BK3681" s="319"/>
      <c r="BL3681" s="319"/>
      <c r="BM3681" s="319"/>
      <c r="BN3681" s="319"/>
      <c r="BO3681" s="319"/>
      <c r="BP3681" s="953"/>
      <c r="BQ3681" s="319"/>
      <c r="BR3681" s="319"/>
      <c r="BS3681" s="330"/>
      <c r="BT3681" s="331"/>
      <c r="BU3681" s="920"/>
      <c r="BV3681" s="903"/>
      <c r="BW3681" s="908"/>
      <c r="BX3681" s="908"/>
      <c r="BY3681" s="331"/>
      <c r="BZ3681" s="331"/>
      <c r="CA3681" s="462"/>
      <c r="CB3681" s="319"/>
      <c r="CC3681" s="319"/>
      <c r="CD3681" s="319"/>
      <c r="CE3681" s="319"/>
      <c r="CF3681" s="319"/>
      <c r="CG3681" s="319"/>
      <c r="CH3681" s="318"/>
      <c r="CI3681" s="319"/>
      <c r="CJ3681" s="319"/>
      <c r="CK3681" s="342"/>
      <c r="CL3681" s="333"/>
      <c r="CM3681" s="1079"/>
      <c r="CN3681" s="1005"/>
      <c r="CO3681" s="1005"/>
      <c r="CP3681" s="1005"/>
    </row>
    <row r="3682">
      <c r="A3682" s="1257"/>
      <c r="B3682" s="1113"/>
      <c r="C3682" s="1107"/>
      <c r="D3682" s="103"/>
      <c r="E3682" s="1137"/>
      <c r="F3682" s="112"/>
      <c r="G3682" s="1110"/>
      <c r="H3682" s="1138"/>
      <c r="I3682" s="1138"/>
      <c r="J3682" s="1139"/>
      <c r="K3682" s="1111"/>
      <c r="L3682" s="1112"/>
      <c r="M3682" s="1113"/>
      <c r="N3682" s="110"/>
      <c r="O3682" s="1140"/>
      <c r="P3682" s="1115"/>
      <c r="Q3682" s="1116"/>
      <c r="R3682" s="1141"/>
      <c r="S3682" s="1113"/>
      <c r="T3682" s="1143"/>
      <c r="U3682" s="1108"/>
      <c r="V3682" s="1108"/>
      <c r="W3682" s="1108"/>
      <c r="X3682" s="1108"/>
      <c r="Y3682" s="1108"/>
      <c r="Z3682" s="1114"/>
      <c r="AA3682" s="1114"/>
      <c r="AB3682" s="1114"/>
      <c r="AC3682" s="1117"/>
      <c r="AD3682" s="1115"/>
      <c r="AE3682" s="1115"/>
      <c r="AF3682" s="1115"/>
      <c r="AG3682" s="1115"/>
      <c r="AH3682" s="1115"/>
      <c r="AI3682" s="1115"/>
      <c r="AJ3682" s="1117"/>
      <c r="AK3682" s="1118"/>
      <c r="AL3682" s="1115"/>
      <c r="AM3682" s="1115"/>
      <c r="AN3682" s="1115"/>
      <c r="AO3682" s="1115"/>
      <c r="AP3682" s="1115"/>
      <c r="AQ3682" s="1115"/>
      <c r="AR3682" s="1115"/>
      <c r="AS3682" s="1117"/>
      <c r="AT3682" s="1075"/>
      <c r="AU3682" s="1193"/>
      <c r="AV3682" s="330"/>
      <c r="AW3682" s="331"/>
      <c r="AX3682" s="331"/>
      <c r="AY3682" s="331"/>
      <c r="AZ3682" s="331"/>
      <c r="BA3682" s="331"/>
      <c r="BB3682" s="331"/>
      <c r="BC3682" s="331"/>
      <c r="BD3682" s="331"/>
      <c r="BE3682" s="333"/>
      <c r="BF3682" s="330"/>
      <c r="BG3682" s="333"/>
      <c r="BH3682" s="1119"/>
      <c r="BI3682" s="319"/>
      <c r="BJ3682" s="319"/>
      <c r="BK3682" s="319"/>
      <c r="BL3682" s="319"/>
      <c r="BM3682" s="319"/>
      <c r="BN3682" s="319"/>
      <c r="BO3682" s="319"/>
      <c r="BP3682" s="953"/>
      <c r="BQ3682" s="319"/>
      <c r="BR3682" s="319"/>
      <c r="BS3682" s="330"/>
      <c r="BT3682" s="331"/>
      <c r="BU3682" s="920"/>
      <c r="BV3682" s="903"/>
      <c r="BW3682" s="908"/>
      <c r="BX3682" s="908"/>
      <c r="BY3682" s="331"/>
      <c r="BZ3682" s="331"/>
      <c r="CA3682" s="462"/>
      <c r="CB3682" s="319"/>
      <c r="CC3682" s="319"/>
      <c r="CD3682" s="319"/>
      <c r="CE3682" s="319"/>
      <c r="CF3682" s="319"/>
      <c r="CG3682" s="319"/>
      <c r="CH3682" s="318"/>
      <c r="CI3682" s="319"/>
      <c r="CJ3682" s="319"/>
      <c r="CK3682" s="342"/>
      <c r="CL3682" s="333"/>
      <c r="CM3682" s="1079"/>
      <c r="CN3682" s="1005"/>
      <c r="CO3682" s="1005"/>
      <c r="CP3682" s="1005"/>
    </row>
    <row r="3683">
      <c r="A3683" s="1257"/>
      <c r="B3683" s="1113"/>
      <c r="C3683" s="1107"/>
      <c r="D3683" s="103"/>
      <c r="E3683" s="1137"/>
      <c r="F3683" s="112"/>
      <c r="G3683" s="1110"/>
      <c r="H3683" s="1138"/>
      <c r="I3683" s="1138"/>
      <c r="J3683" s="1139"/>
      <c r="K3683" s="1111"/>
      <c r="L3683" s="1112"/>
      <c r="M3683" s="1113"/>
      <c r="N3683" s="110"/>
      <c r="O3683" s="1140"/>
      <c r="P3683" s="1115"/>
      <c r="Q3683" s="1116"/>
      <c r="R3683" s="1141"/>
      <c r="S3683" s="1113"/>
      <c r="T3683" s="1143"/>
      <c r="U3683" s="1108"/>
      <c r="V3683" s="1108"/>
      <c r="W3683" s="1108"/>
      <c r="X3683" s="1108"/>
      <c r="Y3683" s="1108"/>
      <c r="Z3683" s="1114"/>
      <c r="AA3683" s="1114"/>
      <c r="AB3683" s="1114"/>
      <c r="AC3683" s="1117"/>
      <c r="AD3683" s="1115"/>
      <c r="AE3683" s="1115"/>
      <c r="AF3683" s="1115"/>
      <c r="AG3683" s="1115"/>
      <c r="AH3683" s="1115"/>
      <c r="AI3683" s="1115"/>
      <c r="AJ3683" s="1117"/>
      <c r="AK3683" s="1118"/>
      <c r="AL3683" s="1115"/>
      <c r="AM3683" s="1115"/>
      <c r="AN3683" s="1115"/>
      <c r="AO3683" s="1115"/>
      <c r="AP3683" s="1115"/>
      <c r="AQ3683" s="1115"/>
      <c r="AR3683" s="1115"/>
      <c r="AS3683" s="1117"/>
      <c r="AT3683" s="1075"/>
      <c r="AU3683" s="1193"/>
      <c r="AV3683" s="330"/>
      <c r="AW3683" s="331"/>
      <c r="AX3683" s="331"/>
      <c r="AY3683" s="331"/>
      <c r="AZ3683" s="331"/>
      <c r="BA3683" s="331"/>
      <c r="BB3683" s="331"/>
      <c r="BC3683" s="331"/>
      <c r="BD3683" s="331"/>
      <c r="BE3683" s="333"/>
      <c r="BF3683" s="330"/>
      <c r="BG3683" s="333"/>
      <c r="BH3683" s="1119"/>
      <c r="BI3683" s="319"/>
      <c r="BJ3683" s="319"/>
      <c r="BK3683" s="319"/>
      <c r="BL3683" s="319"/>
      <c r="BM3683" s="319"/>
      <c r="BN3683" s="319"/>
      <c r="BO3683" s="319"/>
      <c r="BP3683" s="953"/>
      <c r="BQ3683" s="319"/>
      <c r="BR3683" s="319"/>
      <c r="BS3683" s="330"/>
      <c r="BT3683" s="331"/>
      <c r="BU3683" s="920"/>
      <c r="BV3683" s="903"/>
      <c r="BW3683" s="908"/>
      <c r="BX3683" s="908"/>
      <c r="BY3683" s="331"/>
      <c r="BZ3683" s="331"/>
      <c r="CA3683" s="462"/>
      <c r="CB3683" s="319"/>
      <c r="CC3683" s="319"/>
      <c r="CD3683" s="319"/>
      <c r="CE3683" s="319"/>
      <c r="CF3683" s="319"/>
      <c r="CG3683" s="319"/>
      <c r="CH3683" s="318"/>
      <c r="CI3683" s="319"/>
      <c r="CJ3683" s="319"/>
      <c r="CK3683" s="342"/>
      <c r="CL3683" s="333"/>
      <c r="CM3683" s="1079"/>
      <c r="CN3683" s="1005"/>
      <c r="CO3683" s="1005"/>
      <c r="CP3683" s="1005"/>
    </row>
    <row r="3684">
      <c r="A3684" s="1257"/>
      <c r="B3684" s="1113"/>
      <c r="C3684" s="1107"/>
      <c r="D3684" s="103"/>
      <c r="E3684" s="1137"/>
      <c r="F3684" s="112"/>
      <c r="G3684" s="1110"/>
      <c r="H3684" s="1138"/>
      <c r="I3684" s="1138"/>
      <c r="J3684" s="1139"/>
      <c r="K3684" s="1111"/>
      <c r="L3684" s="1112"/>
      <c r="M3684" s="1113"/>
      <c r="N3684" s="110"/>
      <c r="O3684" s="1140"/>
      <c r="P3684" s="1115"/>
      <c r="Q3684" s="1116"/>
      <c r="R3684" s="1141"/>
      <c r="S3684" s="1113"/>
      <c r="T3684" s="1143"/>
      <c r="U3684" s="1108"/>
      <c r="V3684" s="1108"/>
      <c r="W3684" s="1108"/>
      <c r="X3684" s="1108"/>
      <c r="Y3684" s="1108"/>
      <c r="Z3684" s="1114"/>
      <c r="AA3684" s="1114"/>
      <c r="AB3684" s="1114"/>
      <c r="AC3684" s="1117"/>
      <c r="AD3684" s="1115"/>
      <c r="AE3684" s="1115"/>
      <c r="AF3684" s="1115"/>
      <c r="AG3684" s="1115"/>
      <c r="AH3684" s="1115"/>
      <c r="AI3684" s="1115"/>
      <c r="AJ3684" s="1117"/>
      <c r="AK3684" s="1118"/>
      <c r="AL3684" s="1115"/>
      <c r="AM3684" s="1115"/>
      <c r="AN3684" s="1115"/>
      <c r="AO3684" s="1115"/>
      <c r="AP3684" s="1115"/>
      <c r="AQ3684" s="1115"/>
      <c r="AR3684" s="1115"/>
      <c r="AS3684" s="1117"/>
      <c r="AT3684" s="1075"/>
      <c r="AU3684" s="1193"/>
      <c r="AV3684" s="330"/>
      <c r="AW3684" s="331"/>
      <c r="AX3684" s="331"/>
      <c r="AY3684" s="331"/>
      <c r="AZ3684" s="331"/>
      <c r="BA3684" s="331"/>
      <c r="BB3684" s="331"/>
      <c r="BC3684" s="331"/>
      <c r="BD3684" s="331"/>
      <c r="BE3684" s="333"/>
      <c r="BF3684" s="330"/>
      <c r="BG3684" s="333"/>
      <c r="BH3684" s="1119"/>
      <c r="BI3684" s="319"/>
      <c r="BJ3684" s="319"/>
      <c r="BK3684" s="319"/>
      <c r="BL3684" s="319"/>
      <c r="BM3684" s="319"/>
      <c r="BN3684" s="319"/>
      <c r="BO3684" s="319"/>
      <c r="BP3684" s="953"/>
      <c r="BQ3684" s="319"/>
      <c r="BR3684" s="319"/>
      <c r="BS3684" s="330"/>
      <c r="BT3684" s="331"/>
      <c r="BU3684" s="920"/>
      <c r="BV3684" s="903"/>
      <c r="BW3684" s="908"/>
      <c r="BX3684" s="908"/>
      <c r="BY3684" s="331"/>
      <c r="BZ3684" s="331"/>
      <c r="CA3684" s="462"/>
      <c r="CB3684" s="319"/>
      <c r="CC3684" s="319"/>
      <c r="CD3684" s="319"/>
      <c r="CE3684" s="319"/>
      <c r="CF3684" s="319"/>
      <c r="CG3684" s="319"/>
      <c r="CH3684" s="318"/>
      <c r="CI3684" s="319"/>
      <c r="CJ3684" s="319"/>
      <c r="CK3684" s="342"/>
      <c r="CL3684" s="333"/>
      <c r="CM3684" s="1079"/>
      <c r="CN3684" s="1005"/>
      <c r="CO3684" s="1005"/>
      <c r="CP3684" s="1005"/>
    </row>
    <row r="3685">
      <c r="A3685" s="1257"/>
      <c r="B3685" s="1113"/>
      <c r="C3685" s="1107"/>
      <c r="D3685" s="103"/>
      <c r="E3685" s="1137"/>
      <c r="F3685" s="112"/>
      <c r="G3685" s="1110"/>
      <c r="H3685" s="1138"/>
      <c r="I3685" s="1138"/>
      <c r="J3685" s="1139"/>
      <c r="K3685" s="1111"/>
      <c r="L3685" s="1112"/>
      <c r="M3685" s="1113"/>
      <c r="N3685" s="110"/>
      <c r="O3685" s="1140"/>
      <c r="P3685" s="1115"/>
      <c r="Q3685" s="1116"/>
      <c r="R3685" s="1141"/>
      <c r="S3685" s="1113"/>
      <c r="T3685" s="1143"/>
      <c r="U3685" s="1108"/>
      <c r="V3685" s="1108"/>
      <c r="W3685" s="1108"/>
      <c r="X3685" s="1108"/>
      <c r="Y3685" s="1108"/>
      <c r="Z3685" s="1114"/>
      <c r="AA3685" s="1114"/>
      <c r="AB3685" s="1114"/>
      <c r="AC3685" s="1117"/>
      <c r="AD3685" s="1115"/>
      <c r="AE3685" s="1115"/>
      <c r="AF3685" s="1115"/>
      <c r="AG3685" s="1115"/>
      <c r="AH3685" s="1115"/>
      <c r="AI3685" s="1115"/>
      <c r="AJ3685" s="1117"/>
      <c r="AK3685" s="1118"/>
      <c r="AL3685" s="1115"/>
      <c r="AM3685" s="1115"/>
      <c r="AN3685" s="1115"/>
      <c r="AO3685" s="1115"/>
      <c r="AP3685" s="1115"/>
      <c r="AQ3685" s="1115"/>
      <c r="AR3685" s="1115"/>
      <c r="AS3685" s="1117"/>
      <c r="AT3685" s="1075"/>
      <c r="AU3685" s="1193"/>
      <c r="AV3685" s="330"/>
      <c r="AW3685" s="331"/>
      <c r="AX3685" s="331"/>
      <c r="AY3685" s="331"/>
      <c r="AZ3685" s="331"/>
      <c r="BA3685" s="331"/>
      <c r="BB3685" s="331"/>
      <c r="BC3685" s="331"/>
      <c r="BD3685" s="331"/>
      <c r="BE3685" s="333"/>
      <c r="BF3685" s="330"/>
      <c r="BG3685" s="333"/>
      <c r="BH3685" s="1119"/>
      <c r="BI3685" s="319"/>
      <c r="BJ3685" s="319"/>
      <c r="BK3685" s="319"/>
      <c r="BL3685" s="319"/>
      <c r="BM3685" s="319"/>
      <c r="BN3685" s="319"/>
      <c r="BO3685" s="319"/>
      <c r="BP3685" s="953"/>
      <c r="BQ3685" s="319"/>
      <c r="BR3685" s="319"/>
      <c r="BS3685" s="330"/>
      <c r="BT3685" s="331"/>
      <c r="BU3685" s="920"/>
      <c r="BV3685" s="903"/>
      <c r="BW3685" s="908"/>
      <c r="BX3685" s="908"/>
      <c r="BY3685" s="331"/>
      <c r="BZ3685" s="331"/>
      <c r="CA3685" s="462"/>
      <c r="CB3685" s="319"/>
      <c r="CC3685" s="319"/>
      <c r="CD3685" s="319"/>
      <c r="CE3685" s="319"/>
      <c r="CF3685" s="319"/>
      <c r="CG3685" s="319"/>
      <c r="CH3685" s="318"/>
      <c r="CI3685" s="319"/>
      <c r="CJ3685" s="319"/>
      <c r="CK3685" s="342"/>
      <c r="CL3685" s="333"/>
      <c r="CM3685" s="1079"/>
      <c r="CN3685" s="1005"/>
      <c r="CO3685" s="1005"/>
      <c r="CP3685" s="1005"/>
    </row>
    <row r="3686">
      <c r="A3686" s="1257"/>
      <c r="B3686" s="1113"/>
      <c r="C3686" s="1107"/>
      <c r="D3686" s="103"/>
      <c r="E3686" s="1137"/>
      <c r="F3686" s="112"/>
      <c r="G3686" s="1110"/>
      <c r="H3686" s="1138"/>
      <c r="I3686" s="1138"/>
      <c r="J3686" s="1139"/>
      <c r="K3686" s="1111"/>
      <c r="L3686" s="1112"/>
      <c r="M3686" s="1113"/>
      <c r="N3686" s="110"/>
      <c r="O3686" s="1140"/>
      <c r="P3686" s="1115"/>
      <c r="Q3686" s="1116"/>
      <c r="R3686" s="1141"/>
      <c r="S3686" s="1113"/>
      <c r="T3686" s="1143"/>
      <c r="U3686" s="1108"/>
      <c r="V3686" s="1108"/>
      <c r="W3686" s="1108"/>
      <c r="X3686" s="1108"/>
      <c r="Y3686" s="1108"/>
      <c r="Z3686" s="1114"/>
      <c r="AA3686" s="1114"/>
      <c r="AB3686" s="1114"/>
      <c r="AC3686" s="1117"/>
      <c r="AD3686" s="1115"/>
      <c r="AE3686" s="1115"/>
      <c r="AF3686" s="1115"/>
      <c r="AG3686" s="1115"/>
      <c r="AH3686" s="1115"/>
      <c r="AI3686" s="1115"/>
      <c r="AJ3686" s="1117"/>
      <c r="AK3686" s="1118"/>
      <c r="AL3686" s="1115"/>
      <c r="AM3686" s="1115"/>
      <c r="AN3686" s="1115"/>
      <c r="AO3686" s="1115"/>
      <c r="AP3686" s="1115"/>
      <c r="AQ3686" s="1115"/>
      <c r="AR3686" s="1115"/>
      <c r="AS3686" s="1117"/>
      <c r="AT3686" s="1075"/>
      <c r="AU3686" s="1193"/>
      <c r="AV3686" s="330"/>
      <c r="AW3686" s="331"/>
      <c r="AX3686" s="331"/>
      <c r="AY3686" s="331"/>
      <c r="AZ3686" s="331"/>
      <c r="BA3686" s="331"/>
      <c r="BB3686" s="331"/>
      <c r="BC3686" s="331"/>
      <c r="BD3686" s="331"/>
      <c r="BE3686" s="333"/>
      <c r="BF3686" s="330"/>
      <c r="BG3686" s="333"/>
      <c r="BH3686" s="1119"/>
      <c r="BI3686" s="319"/>
      <c r="BJ3686" s="319"/>
      <c r="BK3686" s="319"/>
      <c r="BL3686" s="319"/>
      <c r="BM3686" s="319"/>
      <c r="BN3686" s="319"/>
      <c r="BO3686" s="319"/>
      <c r="BP3686" s="953"/>
      <c r="BQ3686" s="319"/>
      <c r="BR3686" s="319"/>
      <c r="BS3686" s="330"/>
      <c r="BT3686" s="331"/>
      <c r="BU3686" s="920"/>
      <c r="BV3686" s="903"/>
      <c r="BW3686" s="908"/>
      <c r="BX3686" s="908"/>
      <c r="BY3686" s="331"/>
      <c r="BZ3686" s="331"/>
      <c r="CA3686" s="462"/>
      <c r="CB3686" s="319"/>
      <c r="CC3686" s="319"/>
      <c r="CD3686" s="319"/>
      <c r="CE3686" s="319"/>
      <c r="CF3686" s="319"/>
      <c r="CG3686" s="319"/>
      <c r="CH3686" s="318"/>
      <c r="CI3686" s="319"/>
      <c r="CJ3686" s="319"/>
      <c r="CK3686" s="342"/>
      <c r="CL3686" s="333"/>
      <c r="CM3686" s="1079"/>
      <c r="CN3686" s="1005"/>
      <c r="CO3686" s="1005"/>
      <c r="CP3686" s="1005"/>
    </row>
    <row r="3687">
      <c r="A3687" s="1257"/>
      <c r="B3687" s="1113"/>
      <c r="C3687" s="1107"/>
      <c r="D3687" s="103"/>
      <c r="E3687" s="1137"/>
      <c r="F3687" s="112"/>
      <c r="G3687" s="1110"/>
      <c r="H3687" s="1138"/>
      <c r="I3687" s="1138"/>
      <c r="J3687" s="1139"/>
      <c r="K3687" s="1111"/>
      <c r="L3687" s="1112"/>
      <c r="M3687" s="1113"/>
      <c r="N3687" s="110"/>
      <c r="O3687" s="1140"/>
      <c r="P3687" s="1115"/>
      <c r="Q3687" s="1116"/>
      <c r="R3687" s="1141"/>
      <c r="S3687" s="1113"/>
      <c r="T3687" s="1143"/>
      <c r="U3687" s="1108"/>
      <c r="V3687" s="1108"/>
      <c r="W3687" s="1108"/>
      <c r="X3687" s="1108"/>
      <c r="Y3687" s="1108"/>
      <c r="Z3687" s="1114"/>
      <c r="AA3687" s="1114"/>
      <c r="AB3687" s="1114"/>
      <c r="AC3687" s="1117"/>
      <c r="AD3687" s="1115"/>
      <c r="AE3687" s="1115"/>
      <c r="AF3687" s="1115"/>
      <c r="AG3687" s="1115"/>
      <c r="AH3687" s="1115"/>
      <c r="AI3687" s="1115"/>
      <c r="AJ3687" s="1117"/>
      <c r="AK3687" s="1118"/>
      <c r="AL3687" s="1115"/>
      <c r="AM3687" s="1115"/>
      <c r="AN3687" s="1115"/>
      <c r="AO3687" s="1115"/>
      <c r="AP3687" s="1115"/>
      <c r="AQ3687" s="1115"/>
      <c r="AR3687" s="1115"/>
      <c r="AS3687" s="1117"/>
      <c r="AT3687" s="1075"/>
      <c r="AU3687" s="1193"/>
      <c r="AV3687" s="330"/>
      <c r="AW3687" s="331"/>
      <c r="AX3687" s="331"/>
      <c r="AY3687" s="331"/>
      <c r="AZ3687" s="331"/>
      <c r="BA3687" s="331"/>
      <c r="BB3687" s="331"/>
      <c r="BC3687" s="331"/>
      <c r="BD3687" s="331"/>
      <c r="BE3687" s="333"/>
      <c r="BF3687" s="330"/>
      <c r="BG3687" s="333"/>
      <c r="BH3687" s="1119"/>
      <c r="BI3687" s="319"/>
      <c r="BJ3687" s="319"/>
      <c r="BK3687" s="319"/>
      <c r="BL3687" s="319"/>
      <c r="BM3687" s="319"/>
      <c r="BN3687" s="319"/>
      <c r="BO3687" s="319"/>
      <c r="BP3687" s="953"/>
      <c r="BQ3687" s="319"/>
      <c r="BR3687" s="319"/>
      <c r="BS3687" s="330"/>
      <c r="BT3687" s="331"/>
      <c r="BU3687" s="920"/>
      <c r="BV3687" s="903"/>
      <c r="BW3687" s="908"/>
      <c r="BX3687" s="908"/>
      <c r="BY3687" s="331"/>
      <c r="BZ3687" s="331"/>
      <c r="CA3687" s="462"/>
      <c r="CB3687" s="319"/>
      <c r="CC3687" s="319"/>
      <c r="CD3687" s="319"/>
      <c r="CE3687" s="319"/>
      <c r="CF3687" s="319"/>
      <c r="CG3687" s="319"/>
      <c r="CH3687" s="318"/>
      <c r="CI3687" s="319"/>
      <c r="CJ3687" s="319"/>
      <c r="CK3687" s="342"/>
      <c r="CL3687" s="333"/>
      <c r="CM3687" s="1079"/>
      <c r="CN3687" s="1005"/>
      <c r="CO3687" s="1005"/>
      <c r="CP3687" s="1005"/>
    </row>
    <row r="3688">
      <c r="A3688" s="1257"/>
      <c r="B3688" s="1113"/>
      <c r="C3688" s="1107"/>
      <c r="D3688" s="103"/>
      <c r="E3688" s="1137"/>
      <c r="F3688" s="112"/>
      <c r="G3688" s="1110"/>
      <c r="H3688" s="1138"/>
      <c r="I3688" s="1138"/>
      <c r="J3688" s="1139"/>
      <c r="K3688" s="1111"/>
      <c r="L3688" s="1112"/>
      <c r="M3688" s="1113"/>
      <c r="N3688" s="110"/>
      <c r="O3688" s="1140"/>
      <c r="P3688" s="1115"/>
      <c r="Q3688" s="1116"/>
      <c r="R3688" s="1141"/>
      <c r="S3688" s="1113"/>
      <c r="T3688" s="1143"/>
      <c r="U3688" s="1108"/>
      <c r="V3688" s="1108"/>
      <c r="W3688" s="1108"/>
      <c r="X3688" s="1108"/>
      <c r="Y3688" s="1108"/>
      <c r="Z3688" s="1114"/>
      <c r="AA3688" s="1114"/>
      <c r="AB3688" s="1114"/>
      <c r="AC3688" s="1117"/>
      <c r="AD3688" s="1115"/>
      <c r="AE3688" s="1115"/>
      <c r="AF3688" s="1115"/>
      <c r="AG3688" s="1115"/>
      <c r="AH3688" s="1115"/>
      <c r="AI3688" s="1115"/>
      <c r="AJ3688" s="1117"/>
      <c r="AK3688" s="1118"/>
      <c r="AL3688" s="1115"/>
      <c r="AM3688" s="1115"/>
      <c r="AN3688" s="1115"/>
      <c r="AO3688" s="1115"/>
      <c r="AP3688" s="1115"/>
      <c r="AQ3688" s="1115"/>
      <c r="AR3688" s="1115"/>
      <c r="AS3688" s="1117"/>
      <c r="AT3688" s="1075"/>
      <c r="AU3688" s="1193"/>
      <c r="AV3688" s="330"/>
      <c r="AW3688" s="331"/>
      <c r="AX3688" s="331"/>
      <c r="AY3688" s="331"/>
      <c r="AZ3688" s="331"/>
      <c r="BA3688" s="331"/>
      <c r="BB3688" s="331"/>
      <c r="BC3688" s="331"/>
      <c r="BD3688" s="331"/>
      <c r="BE3688" s="333"/>
      <c r="BF3688" s="330"/>
      <c r="BG3688" s="333"/>
      <c r="BH3688" s="1119"/>
      <c r="BI3688" s="319"/>
      <c r="BJ3688" s="319"/>
      <c r="BK3688" s="319"/>
      <c r="BL3688" s="319"/>
      <c r="BM3688" s="319"/>
      <c r="BN3688" s="319"/>
      <c r="BO3688" s="319"/>
      <c r="BP3688" s="953"/>
      <c r="BQ3688" s="319"/>
      <c r="BR3688" s="319"/>
      <c r="BS3688" s="330"/>
      <c r="BT3688" s="331"/>
      <c r="BU3688" s="920"/>
      <c r="BV3688" s="903"/>
      <c r="BW3688" s="908"/>
      <c r="BX3688" s="908"/>
      <c r="BY3688" s="331"/>
      <c r="BZ3688" s="331"/>
      <c r="CA3688" s="462"/>
      <c r="CB3688" s="319"/>
      <c r="CC3688" s="319"/>
      <c r="CD3688" s="319"/>
      <c r="CE3688" s="319"/>
      <c r="CF3688" s="319"/>
      <c r="CG3688" s="319"/>
      <c r="CH3688" s="318"/>
      <c r="CI3688" s="319"/>
      <c r="CJ3688" s="319"/>
      <c r="CK3688" s="342"/>
      <c r="CL3688" s="333"/>
      <c r="CM3688" s="1079"/>
      <c r="CN3688" s="1005"/>
      <c r="CO3688" s="1005"/>
      <c r="CP3688" s="1005"/>
    </row>
    <row r="3689">
      <c r="A3689" s="1257"/>
      <c r="B3689" s="1113"/>
      <c r="C3689" s="1107"/>
      <c r="D3689" s="103"/>
      <c r="E3689" s="1137"/>
      <c r="F3689" s="112"/>
      <c r="G3689" s="1110"/>
      <c r="H3689" s="1138"/>
      <c r="I3689" s="1138"/>
      <c r="J3689" s="1139"/>
      <c r="K3689" s="1111"/>
      <c r="L3689" s="1112"/>
      <c r="M3689" s="1113"/>
      <c r="N3689" s="110"/>
      <c r="O3689" s="1140"/>
      <c r="P3689" s="1115"/>
      <c r="Q3689" s="1116"/>
      <c r="R3689" s="1141"/>
      <c r="S3689" s="1113"/>
      <c r="T3689" s="1143"/>
      <c r="U3689" s="1108"/>
      <c r="V3689" s="1108"/>
      <c r="W3689" s="1108"/>
      <c r="X3689" s="1108"/>
      <c r="Y3689" s="1108"/>
      <c r="Z3689" s="1114"/>
      <c r="AA3689" s="1114"/>
      <c r="AB3689" s="1114"/>
      <c r="AC3689" s="1117"/>
      <c r="AD3689" s="1115"/>
      <c r="AE3689" s="1115"/>
      <c r="AF3689" s="1115"/>
      <c r="AG3689" s="1115"/>
      <c r="AH3689" s="1115"/>
      <c r="AI3689" s="1115"/>
      <c r="AJ3689" s="1117"/>
      <c r="AK3689" s="1118"/>
      <c r="AL3689" s="1115"/>
      <c r="AM3689" s="1115"/>
      <c r="AN3689" s="1115"/>
      <c r="AO3689" s="1115"/>
      <c r="AP3689" s="1115"/>
      <c r="AQ3689" s="1115"/>
      <c r="AR3689" s="1115"/>
      <c r="AS3689" s="1117"/>
      <c r="AT3689" s="1075"/>
      <c r="AU3689" s="1193"/>
      <c r="AV3689" s="330"/>
      <c r="AW3689" s="331"/>
      <c r="AX3689" s="331"/>
      <c r="AY3689" s="331"/>
      <c r="AZ3689" s="331"/>
      <c r="BA3689" s="331"/>
      <c r="BB3689" s="331"/>
      <c r="BC3689" s="331"/>
      <c r="BD3689" s="331"/>
      <c r="BE3689" s="333"/>
      <c r="BF3689" s="330"/>
      <c r="BG3689" s="333"/>
      <c r="BH3689" s="1119"/>
      <c r="BI3689" s="319"/>
      <c r="BJ3689" s="319"/>
      <c r="BK3689" s="319"/>
      <c r="BL3689" s="319"/>
      <c r="BM3689" s="319"/>
      <c r="BN3689" s="319"/>
      <c r="BO3689" s="319"/>
      <c r="BP3689" s="953"/>
      <c r="BQ3689" s="319"/>
      <c r="BR3689" s="319"/>
      <c r="BS3689" s="330"/>
      <c r="BT3689" s="331"/>
      <c r="BU3689" s="920"/>
      <c r="BV3689" s="903"/>
      <c r="BW3689" s="908"/>
      <c r="BX3689" s="908"/>
      <c r="BY3689" s="331"/>
      <c r="BZ3689" s="331"/>
      <c r="CA3689" s="462"/>
      <c r="CB3689" s="319"/>
      <c r="CC3689" s="319"/>
      <c r="CD3689" s="319"/>
      <c r="CE3689" s="319"/>
      <c r="CF3689" s="319"/>
      <c r="CG3689" s="319"/>
      <c r="CH3689" s="318"/>
      <c r="CI3689" s="319"/>
      <c r="CJ3689" s="319"/>
      <c r="CK3689" s="342"/>
      <c r="CL3689" s="333"/>
      <c r="CM3689" s="1079"/>
      <c r="CN3689" s="1005"/>
      <c r="CO3689" s="1005"/>
      <c r="CP3689" s="1005"/>
    </row>
    <row r="3690">
      <c r="A3690" s="1257"/>
      <c r="B3690" s="1113"/>
      <c r="C3690" s="1107"/>
      <c r="D3690" s="103"/>
      <c r="E3690" s="1137"/>
      <c r="F3690" s="112"/>
      <c r="G3690" s="1110"/>
      <c r="H3690" s="1138"/>
      <c r="I3690" s="1138"/>
      <c r="J3690" s="1139"/>
      <c r="K3690" s="1111"/>
      <c r="L3690" s="1112"/>
      <c r="M3690" s="1113"/>
      <c r="N3690" s="110"/>
      <c r="O3690" s="1140"/>
      <c r="P3690" s="1115"/>
      <c r="Q3690" s="1116"/>
      <c r="R3690" s="1141"/>
      <c r="S3690" s="1113"/>
      <c r="T3690" s="1143"/>
      <c r="U3690" s="1108"/>
      <c r="V3690" s="1108"/>
      <c r="W3690" s="1108"/>
      <c r="X3690" s="1108"/>
      <c r="Y3690" s="1108"/>
      <c r="Z3690" s="1114"/>
      <c r="AA3690" s="1114"/>
      <c r="AB3690" s="1114"/>
      <c r="AC3690" s="1117"/>
      <c r="AD3690" s="1115"/>
      <c r="AE3690" s="1115"/>
      <c r="AF3690" s="1115"/>
      <c r="AG3690" s="1115"/>
      <c r="AH3690" s="1115"/>
      <c r="AI3690" s="1115"/>
      <c r="AJ3690" s="1117"/>
      <c r="AK3690" s="1118"/>
      <c r="AL3690" s="1115"/>
      <c r="AM3690" s="1115"/>
      <c r="AN3690" s="1115"/>
      <c r="AO3690" s="1115"/>
      <c r="AP3690" s="1115"/>
      <c r="AQ3690" s="1115"/>
      <c r="AR3690" s="1115"/>
      <c r="AS3690" s="1117"/>
      <c r="AT3690" s="1075"/>
      <c r="AU3690" s="1193"/>
      <c r="AV3690" s="330"/>
      <c r="AW3690" s="331"/>
      <c r="AX3690" s="331"/>
      <c r="AY3690" s="331"/>
      <c r="AZ3690" s="331"/>
      <c r="BA3690" s="331"/>
      <c r="BB3690" s="331"/>
      <c r="BC3690" s="331"/>
      <c r="BD3690" s="331"/>
      <c r="BE3690" s="333"/>
      <c r="BF3690" s="330"/>
      <c r="BG3690" s="333"/>
      <c r="BH3690" s="1119"/>
      <c r="BI3690" s="319"/>
      <c r="BJ3690" s="319"/>
      <c r="BK3690" s="319"/>
      <c r="BL3690" s="319"/>
      <c r="BM3690" s="319"/>
      <c r="BN3690" s="319"/>
      <c r="BO3690" s="319"/>
      <c r="BP3690" s="953"/>
      <c r="BQ3690" s="319"/>
      <c r="BR3690" s="319"/>
      <c r="BS3690" s="330"/>
      <c r="BT3690" s="331"/>
      <c r="BU3690" s="920"/>
      <c r="BV3690" s="903"/>
      <c r="BW3690" s="908"/>
      <c r="BX3690" s="908"/>
      <c r="BY3690" s="331"/>
      <c r="BZ3690" s="331"/>
      <c r="CA3690" s="462"/>
      <c r="CB3690" s="319"/>
      <c r="CC3690" s="319"/>
      <c r="CD3690" s="319"/>
      <c r="CE3690" s="319"/>
      <c r="CF3690" s="319"/>
      <c r="CG3690" s="319"/>
      <c r="CH3690" s="318"/>
      <c r="CI3690" s="319"/>
      <c r="CJ3690" s="319"/>
      <c r="CK3690" s="342"/>
      <c r="CL3690" s="333"/>
      <c r="CM3690" s="1079"/>
      <c r="CN3690" s="1005"/>
      <c r="CO3690" s="1005"/>
      <c r="CP3690" s="1005"/>
    </row>
    <row r="3691">
      <c r="A3691" s="1257"/>
      <c r="B3691" s="1113"/>
      <c r="C3691" s="1107"/>
      <c r="D3691" s="103"/>
      <c r="E3691" s="1137"/>
      <c r="F3691" s="112"/>
      <c r="G3691" s="1110"/>
      <c r="H3691" s="1138"/>
      <c r="I3691" s="1138"/>
      <c r="J3691" s="1139"/>
      <c r="K3691" s="1111"/>
      <c r="L3691" s="1112"/>
      <c r="M3691" s="1113"/>
      <c r="N3691" s="110"/>
      <c r="O3691" s="1140"/>
      <c r="P3691" s="1115"/>
      <c r="Q3691" s="1116"/>
      <c r="R3691" s="1141"/>
      <c r="S3691" s="1113"/>
      <c r="T3691" s="1143"/>
      <c r="U3691" s="1108"/>
      <c r="V3691" s="1108"/>
      <c r="W3691" s="1108"/>
      <c r="X3691" s="1108"/>
      <c r="Y3691" s="1108"/>
      <c r="Z3691" s="1114"/>
      <c r="AA3691" s="1114"/>
      <c r="AB3691" s="1114"/>
      <c r="AC3691" s="1117"/>
      <c r="AD3691" s="1115"/>
      <c r="AE3691" s="1115"/>
      <c r="AF3691" s="1115"/>
      <c r="AG3691" s="1115"/>
      <c r="AH3691" s="1115"/>
      <c r="AI3691" s="1115"/>
      <c r="AJ3691" s="1117"/>
      <c r="AK3691" s="1118"/>
      <c r="AL3691" s="1115"/>
      <c r="AM3691" s="1115"/>
      <c r="AN3691" s="1115"/>
      <c r="AO3691" s="1115"/>
      <c r="AP3691" s="1115"/>
      <c r="AQ3691" s="1115"/>
      <c r="AR3691" s="1115"/>
      <c r="AS3691" s="1117"/>
      <c r="AT3691" s="1075"/>
      <c r="AU3691" s="1193"/>
      <c r="AV3691" s="330"/>
      <c r="AW3691" s="331"/>
      <c r="AX3691" s="331"/>
      <c r="AY3691" s="331"/>
      <c r="AZ3691" s="331"/>
      <c r="BA3691" s="331"/>
      <c r="BB3691" s="331"/>
      <c r="BC3691" s="331"/>
      <c r="BD3691" s="331"/>
      <c r="BE3691" s="333"/>
      <c r="BF3691" s="330"/>
      <c r="BG3691" s="333"/>
      <c r="BH3691" s="1119"/>
      <c r="BI3691" s="319"/>
      <c r="BJ3691" s="319"/>
      <c r="BK3691" s="319"/>
      <c r="BL3691" s="319"/>
      <c r="BM3691" s="319"/>
      <c r="BN3691" s="319"/>
      <c r="BO3691" s="319"/>
      <c r="BP3691" s="953"/>
      <c r="BQ3691" s="319"/>
      <c r="BR3691" s="319"/>
      <c r="BS3691" s="330"/>
      <c r="BT3691" s="331"/>
      <c r="BU3691" s="920"/>
      <c r="BV3691" s="903"/>
      <c r="BW3691" s="908"/>
      <c r="BX3691" s="908"/>
      <c r="BY3691" s="331"/>
      <c r="BZ3691" s="331"/>
      <c r="CA3691" s="462"/>
      <c r="CB3691" s="319"/>
      <c r="CC3691" s="319"/>
      <c r="CD3691" s="319"/>
      <c r="CE3691" s="319"/>
      <c r="CF3691" s="319"/>
      <c r="CG3691" s="319"/>
      <c r="CH3691" s="318"/>
      <c r="CI3691" s="319"/>
      <c r="CJ3691" s="319"/>
      <c r="CK3691" s="342"/>
      <c r="CL3691" s="333"/>
      <c r="CM3691" s="1079"/>
      <c r="CN3691" s="1005"/>
      <c r="CO3691" s="1005"/>
      <c r="CP3691" s="1005"/>
    </row>
    <row r="3692">
      <c r="A3692" s="1257"/>
      <c r="B3692" s="1113"/>
      <c r="C3692" s="1107"/>
      <c r="D3692" s="103"/>
      <c r="E3692" s="1137"/>
      <c r="F3692" s="112"/>
      <c r="G3692" s="1110"/>
      <c r="H3692" s="1138"/>
      <c r="I3692" s="1138"/>
      <c r="J3692" s="1139"/>
      <c r="K3692" s="1111"/>
      <c r="L3692" s="1112"/>
      <c r="M3692" s="1113"/>
      <c r="N3692" s="110"/>
      <c r="O3692" s="1140"/>
      <c r="P3692" s="1115"/>
      <c r="Q3692" s="1116"/>
      <c r="R3692" s="1141"/>
      <c r="S3692" s="1113"/>
      <c r="T3692" s="1143"/>
      <c r="U3692" s="1108"/>
      <c r="V3692" s="1108"/>
      <c r="W3692" s="1108"/>
      <c r="X3692" s="1108"/>
      <c r="Y3692" s="1108"/>
      <c r="Z3692" s="1114"/>
      <c r="AA3692" s="1114"/>
      <c r="AB3692" s="1114"/>
      <c r="AC3692" s="1117"/>
      <c r="AD3692" s="1115"/>
      <c r="AE3692" s="1115"/>
      <c r="AF3692" s="1115"/>
      <c r="AG3692" s="1115"/>
      <c r="AH3692" s="1115"/>
      <c r="AI3692" s="1115"/>
      <c r="AJ3692" s="1117"/>
      <c r="AK3692" s="1118"/>
      <c r="AL3692" s="1115"/>
      <c r="AM3692" s="1115"/>
      <c r="AN3692" s="1115"/>
      <c r="AO3692" s="1115"/>
      <c r="AP3692" s="1115"/>
      <c r="AQ3692" s="1115"/>
      <c r="AR3692" s="1115"/>
      <c r="AS3692" s="1117"/>
      <c r="AT3692" s="1075"/>
      <c r="AU3692" s="1193"/>
      <c r="AV3692" s="330"/>
      <c r="AW3692" s="331"/>
      <c r="AX3692" s="331"/>
      <c r="AY3692" s="331"/>
      <c r="AZ3692" s="331"/>
      <c r="BA3692" s="331"/>
      <c r="BB3692" s="331"/>
      <c r="BC3692" s="331"/>
      <c r="BD3692" s="331"/>
      <c r="BE3692" s="333"/>
      <c r="BF3692" s="330"/>
      <c r="BG3692" s="333"/>
      <c r="BH3692" s="1119"/>
      <c r="BI3692" s="319"/>
      <c r="BJ3692" s="319"/>
      <c r="BK3692" s="319"/>
      <c r="BL3692" s="319"/>
      <c r="BM3692" s="319"/>
      <c r="BN3692" s="319"/>
      <c r="BO3692" s="319"/>
      <c r="BP3692" s="953"/>
      <c r="BQ3692" s="319"/>
      <c r="BR3692" s="319"/>
      <c r="BS3692" s="330"/>
      <c r="BT3692" s="331"/>
      <c r="BU3692" s="920"/>
      <c r="BV3692" s="903"/>
      <c r="BW3692" s="908"/>
      <c r="BX3692" s="908"/>
      <c r="BY3692" s="331"/>
      <c r="BZ3692" s="331"/>
      <c r="CA3692" s="462"/>
      <c r="CB3692" s="319"/>
      <c r="CC3692" s="319"/>
      <c r="CD3692" s="319"/>
      <c r="CE3692" s="319"/>
      <c r="CF3692" s="319"/>
      <c r="CG3692" s="319"/>
      <c r="CH3692" s="318"/>
      <c r="CI3692" s="319"/>
      <c r="CJ3692" s="319"/>
      <c r="CK3692" s="342"/>
      <c r="CL3692" s="333"/>
      <c r="CM3692" s="1079"/>
      <c r="CN3692" s="1005"/>
      <c r="CO3692" s="1005"/>
      <c r="CP3692" s="1005"/>
    </row>
    <row r="3693">
      <c r="A3693" s="1257"/>
      <c r="B3693" s="1113"/>
      <c r="C3693" s="1107"/>
      <c r="D3693" s="103"/>
      <c r="E3693" s="1137"/>
      <c r="F3693" s="112"/>
      <c r="G3693" s="1110"/>
      <c r="H3693" s="1138"/>
      <c r="I3693" s="1138"/>
      <c r="J3693" s="1139"/>
      <c r="K3693" s="1111"/>
      <c r="L3693" s="1112"/>
      <c r="M3693" s="1113"/>
      <c r="N3693" s="110"/>
      <c r="O3693" s="1140"/>
      <c r="P3693" s="1115"/>
      <c r="Q3693" s="1116"/>
      <c r="R3693" s="1141"/>
      <c r="S3693" s="1113"/>
      <c r="T3693" s="1143"/>
      <c r="U3693" s="1108"/>
      <c r="V3693" s="1108"/>
      <c r="W3693" s="1108"/>
      <c r="X3693" s="1108"/>
      <c r="Y3693" s="1108"/>
      <c r="Z3693" s="1114"/>
      <c r="AA3693" s="1114"/>
      <c r="AB3693" s="1114"/>
      <c r="AC3693" s="1117"/>
      <c r="AD3693" s="1115"/>
      <c r="AE3693" s="1115"/>
      <c r="AF3693" s="1115"/>
      <c r="AG3693" s="1115"/>
      <c r="AH3693" s="1115"/>
      <c r="AI3693" s="1115"/>
      <c r="AJ3693" s="1117"/>
      <c r="AK3693" s="1118"/>
      <c r="AL3693" s="1115"/>
      <c r="AM3693" s="1115"/>
      <c r="AN3693" s="1115"/>
      <c r="AO3693" s="1115"/>
      <c r="AP3693" s="1115"/>
      <c r="AQ3693" s="1115"/>
      <c r="AR3693" s="1115"/>
      <c r="AS3693" s="1117"/>
      <c r="AT3693" s="1075"/>
      <c r="AU3693" s="1193"/>
      <c r="AV3693" s="330"/>
      <c r="AW3693" s="331"/>
      <c r="AX3693" s="331"/>
      <c r="AY3693" s="331"/>
      <c r="AZ3693" s="331"/>
      <c r="BA3693" s="331"/>
      <c r="BB3693" s="331"/>
      <c r="BC3693" s="331"/>
      <c r="BD3693" s="331"/>
      <c r="BE3693" s="333"/>
      <c r="BF3693" s="330"/>
      <c r="BG3693" s="333"/>
      <c r="BH3693" s="1119"/>
      <c r="BI3693" s="319"/>
      <c r="BJ3693" s="319"/>
      <c r="BK3693" s="319"/>
      <c r="BL3693" s="319"/>
      <c r="BM3693" s="319"/>
      <c r="BN3693" s="319"/>
      <c r="BO3693" s="319"/>
      <c r="BP3693" s="953"/>
      <c r="BQ3693" s="319"/>
      <c r="BR3693" s="319"/>
      <c r="BS3693" s="330"/>
      <c r="BT3693" s="331"/>
      <c r="BU3693" s="920"/>
      <c r="BV3693" s="903"/>
      <c r="BW3693" s="908"/>
      <c r="BX3693" s="908"/>
      <c r="BY3693" s="331"/>
      <c r="BZ3693" s="331"/>
      <c r="CA3693" s="462"/>
      <c r="CB3693" s="319"/>
      <c r="CC3693" s="319"/>
      <c r="CD3693" s="319"/>
      <c r="CE3693" s="319"/>
      <c r="CF3693" s="319"/>
      <c r="CG3693" s="319"/>
      <c r="CH3693" s="318"/>
      <c r="CI3693" s="319"/>
      <c r="CJ3693" s="319"/>
      <c r="CK3693" s="342"/>
      <c r="CL3693" s="333"/>
      <c r="CM3693" s="1079"/>
      <c r="CN3693" s="1005"/>
      <c r="CO3693" s="1005"/>
      <c r="CP3693" s="1005"/>
    </row>
    <row r="3694">
      <c r="A3694" s="1257"/>
      <c r="B3694" s="1113"/>
      <c r="C3694" s="1107"/>
      <c r="D3694" s="103"/>
      <c r="E3694" s="1137"/>
      <c r="F3694" s="112"/>
      <c r="G3694" s="1110"/>
      <c r="H3694" s="1138"/>
      <c r="I3694" s="1138"/>
      <c r="J3694" s="1139"/>
      <c r="K3694" s="1111"/>
      <c r="L3694" s="1112"/>
      <c r="M3694" s="1113"/>
      <c r="N3694" s="110"/>
      <c r="O3694" s="1140"/>
      <c r="P3694" s="1115"/>
      <c r="Q3694" s="1116"/>
      <c r="R3694" s="1141"/>
      <c r="S3694" s="1113"/>
      <c r="T3694" s="1143"/>
      <c r="U3694" s="1108"/>
      <c r="V3694" s="1108"/>
      <c r="W3694" s="1108"/>
      <c r="X3694" s="1108"/>
      <c r="Y3694" s="1108"/>
      <c r="Z3694" s="1114"/>
      <c r="AA3694" s="1114"/>
      <c r="AB3694" s="1114"/>
      <c r="AC3694" s="1117"/>
      <c r="AD3694" s="1115"/>
      <c r="AE3694" s="1115"/>
      <c r="AF3694" s="1115"/>
      <c r="AG3694" s="1115"/>
      <c r="AH3694" s="1115"/>
      <c r="AI3694" s="1115"/>
      <c r="AJ3694" s="1117"/>
      <c r="AK3694" s="1118"/>
      <c r="AL3694" s="1115"/>
      <c r="AM3694" s="1115"/>
      <c r="AN3694" s="1115"/>
      <c r="AO3694" s="1115"/>
      <c r="AP3694" s="1115"/>
      <c r="AQ3694" s="1115"/>
      <c r="AR3694" s="1115"/>
      <c r="AS3694" s="1117"/>
      <c r="AT3694" s="1075"/>
      <c r="AU3694" s="1193"/>
      <c r="AV3694" s="330"/>
      <c r="AW3694" s="331"/>
      <c r="AX3694" s="331"/>
      <c r="AY3694" s="331"/>
      <c r="AZ3694" s="331"/>
      <c r="BA3694" s="331"/>
      <c r="BB3694" s="331"/>
      <c r="BC3694" s="331"/>
      <c r="BD3694" s="331"/>
      <c r="BE3694" s="333"/>
      <c r="BF3694" s="330"/>
      <c r="BG3694" s="333"/>
      <c r="BH3694" s="1119"/>
      <c r="BI3694" s="319"/>
      <c r="BJ3694" s="319"/>
      <c r="BK3694" s="319"/>
      <c r="BL3694" s="319"/>
      <c r="BM3694" s="319"/>
      <c r="BN3694" s="319"/>
      <c r="BO3694" s="319"/>
      <c r="BP3694" s="953"/>
      <c r="BQ3694" s="319"/>
      <c r="BR3694" s="319"/>
      <c r="BS3694" s="330"/>
      <c r="BT3694" s="331"/>
      <c r="BU3694" s="920"/>
      <c r="BV3694" s="903"/>
      <c r="BW3694" s="908"/>
      <c r="BX3694" s="908"/>
      <c r="BY3694" s="331"/>
      <c r="BZ3694" s="331"/>
      <c r="CA3694" s="462"/>
      <c r="CB3694" s="319"/>
      <c r="CC3694" s="319"/>
      <c r="CD3694" s="319"/>
      <c r="CE3694" s="319"/>
      <c r="CF3694" s="319"/>
      <c r="CG3694" s="319"/>
      <c r="CH3694" s="318"/>
      <c r="CI3694" s="319"/>
      <c r="CJ3694" s="319"/>
      <c r="CK3694" s="342"/>
      <c r="CL3694" s="333"/>
      <c r="CM3694" s="1079"/>
      <c r="CN3694" s="1005"/>
      <c r="CO3694" s="1005"/>
      <c r="CP3694" s="1005"/>
    </row>
    <row r="3695">
      <c r="A3695" s="1257"/>
      <c r="B3695" s="1113"/>
      <c r="C3695" s="1107"/>
      <c r="D3695" s="103"/>
      <c r="E3695" s="1137"/>
      <c r="F3695" s="112"/>
      <c r="G3695" s="1110"/>
      <c r="H3695" s="1138"/>
      <c r="I3695" s="1138"/>
      <c r="J3695" s="1139"/>
      <c r="K3695" s="1111"/>
      <c r="L3695" s="1112"/>
      <c r="M3695" s="1113"/>
      <c r="N3695" s="110"/>
      <c r="O3695" s="1140"/>
      <c r="P3695" s="1115"/>
      <c r="Q3695" s="1116"/>
      <c r="R3695" s="1141"/>
      <c r="S3695" s="1113"/>
      <c r="T3695" s="1143"/>
      <c r="U3695" s="1108"/>
      <c r="V3695" s="1108"/>
      <c r="W3695" s="1108"/>
      <c r="X3695" s="1108"/>
      <c r="Y3695" s="1108"/>
      <c r="Z3695" s="1114"/>
      <c r="AA3695" s="1114"/>
      <c r="AB3695" s="1114"/>
      <c r="AC3695" s="1117"/>
      <c r="AD3695" s="1115"/>
      <c r="AE3695" s="1115"/>
      <c r="AF3695" s="1115"/>
      <c r="AG3695" s="1115"/>
      <c r="AH3695" s="1115"/>
      <c r="AI3695" s="1115"/>
      <c r="AJ3695" s="1117"/>
      <c r="AK3695" s="1118"/>
      <c r="AL3695" s="1115"/>
      <c r="AM3695" s="1115"/>
      <c r="AN3695" s="1115"/>
      <c r="AO3695" s="1115"/>
      <c r="AP3695" s="1115"/>
      <c r="AQ3695" s="1115"/>
      <c r="AR3695" s="1115"/>
      <c r="AS3695" s="1117"/>
      <c r="AT3695" s="1075"/>
      <c r="AU3695" s="1193"/>
      <c r="AV3695" s="330"/>
      <c r="AW3695" s="331"/>
      <c r="AX3695" s="331"/>
      <c r="AY3695" s="331"/>
      <c r="AZ3695" s="331"/>
      <c r="BA3695" s="331"/>
      <c r="BB3695" s="331"/>
      <c r="BC3695" s="331"/>
      <c r="BD3695" s="331"/>
      <c r="BE3695" s="333"/>
      <c r="BF3695" s="330"/>
      <c r="BG3695" s="333"/>
      <c r="BH3695" s="1119"/>
      <c r="BI3695" s="319"/>
      <c r="BJ3695" s="319"/>
      <c r="BK3695" s="319"/>
      <c r="BL3695" s="319"/>
      <c r="BM3695" s="319"/>
      <c r="BN3695" s="319"/>
      <c r="BO3695" s="319"/>
      <c r="BP3695" s="953"/>
      <c r="BQ3695" s="319"/>
      <c r="BR3695" s="319"/>
      <c r="BS3695" s="330"/>
      <c r="BT3695" s="331"/>
      <c r="BU3695" s="920"/>
      <c r="BV3695" s="903"/>
      <c r="BW3695" s="908"/>
      <c r="BX3695" s="908"/>
      <c r="BY3695" s="331"/>
      <c r="BZ3695" s="331"/>
      <c r="CA3695" s="462"/>
      <c r="CB3695" s="319"/>
      <c r="CC3695" s="319"/>
      <c r="CD3695" s="319"/>
      <c r="CE3695" s="319"/>
      <c r="CF3695" s="319"/>
      <c r="CG3695" s="319"/>
      <c r="CH3695" s="318"/>
      <c r="CI3695" s="319"/>
      <c r="CJ3695" s="319"/>
      <c r="CK3695" s="342"/>
      <c r="CL3695" s="333"/>
      <c r="CM3695" s="1079"/>
      <c r="CN3695" s="1005"/>
      <c r="CO3695" s="1005"/>
      <c r="CP3695" s="1005"/>
    </row>
    <row r="3696">
      <c r="A3696" s="1257"/>
      <c r="B3696" s="1113"/>
      <c r="C3696" s="1107"/>
      <c r="D3696" s="103"/>
      <c r="E3696" s="1137"/>
      <c r="F3696" s="112"/>
      <c r="G3696" s="1110"/>
      <c r="H3696" s="1138"/>
      <c r="I3696" s="1138"/>
      <c r="J3696" s="1139"/>
      <c r="K3696" s="1111"/>
      <c r="L3696" s="1112"/>
      <c r="M3696" s="1113"/>
      <c r="N3696" s="110"/>
      <c r="O3696" s="1140"/>
      <c r="P3696" s="1115"/>
      <c r="Q3696" s="1116"/>
      <c r="R3696" s="1141"/>
      <c r="S3696" s="1113"/>
      <c r="T3696" s="1143"/>
      <c r="U3696" s="1108"/>
      <c r="V3696" s="1108"/>
      <c r="W3696" s="1108"/>
      <c r="X3696" s="1108"/>
      <c r="Y3696" s="1108"/>
      <c r="Z3696" s="1114"/>
      <c r="AA3696" s="1114"/>
      <c r="AB3696" s="1114"/>
      <c r="AC3696" s="1117"/>
      <c r="AD3696" s="1115"/>
      <c r="AE3696" s="1115"/>
      <c r="AF3696" s="1115"/>
      <c r="AG3696" s="1115"/>
      <c r="AH3696" s="1115"/>
      <c r="AI3696" s="1115"/>
      <c r="AJ3696" s="1117"/>
      <c r="AK3696" s="1118"/>
      <c r="AL3696" s="1115"/>
      <c r="AM3696" s="1115"/>
      <c r="AN3696" s="1115"/>
      <c r="AO3696" s="1115"/>
      <c r="AP3696" s="1115"/>
      <c r="AQ3696" s="1115"/>
      <c r="AR3696" s="1115"/>
      <c r="AS3696" s="1117"/>
      <c r="AT3696" s="1075"/>
      <c r="AU3696" s="1193"/>
      <c r="AV3696" s="330"/>
      <c r="AW3696" s="331"/>
      <c r="AX3696" s="331"/>
      <c r="AY3696" s="331"/>
      <c r="AZ3696" s="331"/>
      <c r="BA3696" s="331"/>
      <c r="BB3696" s="331"/>
      <c r="BC3696" s="331"/>
      <c r="BD3696" s="331"/>
      <c r="BE3696" s="333"/>
      <c r="BF3696" s="330"/>
      <c r="BG3696" s="333"/>
      <c r="BH3696" s="1119"/>
      <c r="BI3696" s="319"/>
      <c r="BJ3696" s="319"/>
      <c r="BK3696" s="319"/>
      <c r="BL3696" s="319"/>
      <c r="BM3696" s="319"/>
      <c r="BN3696" s="319"/>
      <c r="BO3696" s="319"/>
      <c r="BP3696" s="953"/>
      <c r="BQ3696" s="319"/>
      <c r="BR3696" s="319"/>
      <c r="BS3696" s="330"/>
      <c r="BT3696" s="331"/>
      <c r="BU3696" s="920"/>
      <c r="BV3696" s="903"/>
      <c r="BW3696" s="908"/>
      <c r="BX3696" s="908"/>
      <c r="BY3696" s="331"/>
      <c r="BZ3696" s="331"/>
      <c r="CA3696" s="462"/>
      <c r="CB3696" s="319"/>
      <c r="CC3696" s="319"/>
      <c r="CD3696" s="319"/>
      <c r="CE3696" s="319"/>
      <c r="CF3696" s="319"/>
      <c r="CG3696" s="319"/>
      <c r="CH3696" s="318"/>
      <c r="CI3696" s="319"/>
      <c r="CJ3696" s="319"/>
      <c r="CK3696" s="342"/>
      <c r="CL3696" s="333"/>
      <c r="CM3696" s="1079"/>
      <c r="CN3696" s="1005"/>
      <c r="CO3696" s="1005"/>
      <c r="CP3696" s="1005"/>
    </row>
    <row r="3697">
      <c r="A3697" s="1257"/>
      <c r="B3697" s="1113"/>
      <c r="C3697" s="1107"/>
      <c r="D3697" s="103"/>
      <c r="E3697" s="1137"/>
      <c r="F3697" s="112"/>
      <c r="G3697" s="1110"/>
      <c r="H3697" s="1138"/>
      <c r="I3697" s="1138"/>
      <c r="J3697" s="1139"/>
      <c r="K3697" s="1111"/>
      <c r="L3697" s="1112"/>
      <c r="M3697" s="1113"/>
      <c r="N3697" s="110"/>
      <c r="O3697" s="1140"/>
      <c r="P3697" s="1115"/>
      <c r="Q3697" s="1116"/>
      <c r="R3697" s="1141"/>
      <c r="S3697" s="1113"/>
      <c r="T3697" s="1143"/>
      <c r="U3697" s="1108"/>
      <c r="V3697" s="1108"/>
      <c r="W3697" s="1108"/>
      <c r="X3697" s="1108"/>
      <c r="Y3697" s="1108"/>
      <c r="Z3697" s="1114"/>
      <c r="AA3697" s="1114"/>
      <c r="AB3697" s="1114"/>
      <c r="AC3697" s="1117"/>
      <c r="AD3697" s="1115"/>
      <c r="AE3697" s="1115"/>
      <c r="AF3697" s="1115"/>
      <c r="AG3697" s="1115"/>
      <c r="AH3697" s="1115"/>
      <c r="AI3697" s="1115"/>
      <c r="AJ3697" s="1117"/>
      <c r="AK3697" s="1118"/>
      <c r="AL3697" s="1115"/>
      <c r="AM3697" s="1115"/>
      <c r="AN3697" s="1115"/>
      <c r="AO3697" s="1115"/>
      <c r="AP3697" s="1115"/>
      <c r="AQ3697" s="1115"/>
      <c r="AR3697" s="1115"/>
      <c r="AS3697" s="1117"/>
      <c r="AT3697" s="1075"/>
      <c r="AU3697" s="1193"/>
      <c r="AV3697" s="330"/>
      <c r="AW3697" s="331"/>
      <c r="AX3697" s="331"/>
      <c r="AY3697" s="331"/>
      <c r="AZ3697" s="331"/>
      <c r="BA3697" s="331"/>
      <c r="BB3697" s="331"/>
      <c r="BC3697" s="331"/>
      <c r="BD3697" s="331"/>
      <c r="BE3697" s="333"/>
      <c r="BF3697" s="330"/>
      <c r="BG3697" s="333"/>
      <c r="BH3697" s="1119"/>
      <c r="BI3697" s="319"/>
      <c r="BJ3697" s="319"/>
      <c r="BK3697" s="319"/>
      <c r="BL3697" s="319"/>
      <c r="BM3697" s="319"/>
      <c r="BN3697" s="319"/>
      <c r="BO3697" s="319"/>
      <c r="BP3697" s="953"/>
      <c r="BQ3697" s="319"/>
      <c r="BR3697" s="319"/>
      <c r="BS3697" s="330"/>
      <c r="BT3697" s="331"/>
      <c r="BU3697" s="920"/>
      <c r="BV3697" s="903"/>
      <c r="BW3697" s="908"/>
      <c r="BX3697" s="908"/>
      <c r="BY3697" s="331"/>
      <c r="BZ3697" s="331"/>
      <c r="CA3697" s="462"/>
      <c r="CB3697" s="319"/>
      <c r="CC3697" s="319"/>
      <c r="CD3697" s="319"/>
      <c r="CE3697" s="319"/>
      <c r="CF3697" s="319"/>
      <c r="CG3697" s="319"/>
      <c r="CH3697" s="318"/>
      <c r="CI3697" s="319"/>
      <c r="CJ3697" s="319"/>
      <c r="CK3697" s="342"/>
      <c r="CL3697" s="333"/>
      <c r="CM3697" s="1079"/>
      <c r="CN3697" s="1005"/>
      <c r="CO3697" s="1005"/>
      <c r="CP3697" s="1005"/>
    </row>
    <row r="3698">
      <c r="A3698" s="1257"/>
      <c r="B3698" s="1113"/>
      <c r="C3698" s="1107"/>
      <c r="D3698" s="103"/>
      <c r="E3698" s="1137"/>
      <c r="F3698" s="112"/>
      <c r="G3698" s="1110"/>
      <c r="H3698" s="1138"/>
      <c r="I3698" s="1138"/>
      <c r="J3698" s="1139"/>
      <c r="K3698" s="1111"/>
      <c r="L3698" s="1112"/>
      <c r="M3698" s="1113"/>
      <c r="N3698" s="110"/>
      <c r="O3698" s="1140"/>
      <c r="P3698" s="1115"/>
      <c r="Q3698" s="1116"/>
      <c r="R3698" s="1141"/>
      <c r="S3698" s="1113"/>
      <c r="T3698" s="1143"/>
      <c r="U3698" s="1108"/>
      <c r="V3698" s="1108"/>
      <c r="W3698" s="1108"/>
      <c r="X3698" s="1108"/>
      <c r="Y3698" s="1108"/>
      <c r="Z3698" s="1114"/>
      <c r="AA3698" s="1114"/>
      <c r="AB3698" s="1114"/>
      <c r="AC3698" s="1117"/>
      <c r="AD3698" s="1115"/>
      <c r="AE3698" s="1115"/>
      <c r="AF3698" s="1115"/>
      <c r="AG3698" s="1115"/>
      <c r="AH3698" s="1115"/>
      <c r="AI3698" s="1115"/>
      <c r="AJ3698" s="1117"/>
      <c r="AK3698" s="1118"/>
      <c r="AL3698" s="1115"/>
      <c r="AM3698" s="1115"/>
      <c r="AN3698" s="1115"/>
      <c r="AO3698" s="1115"/>
      <c r="AP3698" s="1115"/>
      <c r="AQ3698" s="1115"/>
      <c r="AR3698" s="1115"/>
      <c r="AS3698" s="1117"/>
      <c r="AT3698" s="1075"/>
      <c r="AU3698" s="1193"/>
      <c r="AV3698" s="330"/>
      <c r="AW3698" s="331"/>
      <c r="AX3698" s="331"/>
      <c r="AY3698" s="331"/>
      <c r="AZ3698" s="331"/>
      <c r="BA3698" s="331"/>
      <c r="BB3698" s="331"/>
      <c r="BC3698" s="331"/>
      <c r="BD3698" s="331"/>
      <c r="BE3698" s="333"/>
      <c r="BF3698" s="330"/>
      <c r="BG3698" s="333"/>
      <c r="BH3698" s="1119"/>
      <c r="BI3698" s="319"/>
      <c r="BJ3698" s="319"/>
      <c r="BK3698" s="319"/>
      <c r="BL3698" s="319"/>
      <c r="BM3698" s="319"/>
      <c r="BN3698" s="319"/>
      <c r="BO3698" s="319"/>
      <c r="BP3698" s="953"/>
      <c r="BQ3698" s="319"/>
      <c r="BR3698" s="319"/>
      <c r="BS3698" s="330"/>
      <c r="BT3698" s="331"/>
      <c r="BU3698" s="920"/>
      <c r="BV3698" s="903"/>
      <c r="BW3698" s="908"/>
      <c r="BX3698" s="908"/>
      <c r="BY3698" s="331"/>
      <c r="BZ3698" s="331"/>
      <c r="CA3698" s="462"/>
      <c r="CB3698" s="319"/>
      <c r="CC3698" s="319"/>
      <c r="CD3698" s="319"/>
      <c r="CE3698" s="319"/>
      <c r="CF3698" s="319"/>
      <c r="CG3698" s="319"/>
      <c r="CH3698" s="318"/>
      <c r="CI3698" s="319"/>
      <c r="CJ3698" s="319"/>
      <c r="CK3698" s="342"/>
      <c r="CL3698" s="333"/>
      <c r="CM3698" s="1079"/>
      <c r="CN3698" s="1005"/>
      <c r="CO3698" s="1005"/>
      <c r="CP3698" s="1005"/>
    </row>
    <row r="3699">
      <c r="A3699" s="1257"/>
      <c r="B3699" s="1113"/>
      <c r="C3699" s="1107"/>
      <c r="D3699" s="103"/>
      <c r="E3699" s="1137"/>
      <c r="F3699" s="112"/>
      <c r="G3699" s="1110"/>
      <c r="H3699" s="1138"/>
      <c r="I3699" s="1138"/>
      <c r="J3699" s="1139"/>
      <c r="K3699" s="1111"/>
      <c r="L3699" s="1112"/>
      <c r="M3699" s="1113"/>
      <c r="N3699" s="110"/>
      <c r="O3699" s="1140"/>
      <c r="P3699" s="1115"/>
      <c r="Q3699" s="1116"/>
      <c r="R3699" s="1141"/>
      <c r="S3699" s="1113"/>
      <c r="T3699" s="1143"/>
      <c r="U3699" s="1108"/>
      <c r="V3699" s="1108"/>
      <c r="W3699" s="1108"/>
      <c r="X3699" s="1108"/>
      <c r="Y3699" s="1108"/>
      <c r="Z3699" s="1114"/>
      <c r="AA3699" s="1114"/>
      <c r="AB3699" s="1114"/>
      <c r="AC3699" s="1117"/>
      <c r="AD3699" s="1115"/>
      <c r="AE3699" s="1115"/>
      <c r="AF3699" s="1115"/>
      <c r="AG3699" s="1115"/>
      <c r="AH3699" s="1115"/>
      <c r="AI3699" s="1115"/>
      <c r="AJ3699" s="1117"/>
      <c r="AK3699" s="1118"/>
      <c r="AL3699" s="1115"/>
      <c r="AM3699" s="1115"/>
      <c r="AN3699" s="1115"/>
      <c r="AO3699" s="1115"/>
      <c r="AP3699" s="1115"/>
      <c r="AQ3699" s="1115"/>
      <c r="AR3699" s="1115"/>
      <c r="AS3699" s="1117"/>
      <c r="AT3699" s="1075"/>
      <c r="AU3699" s="1193"/>
      <c r="AV3699" s="330"/>
      <c r="AW3699" s="331"/>
      <c r="AX3699" s="331"/>
      <c r="AY3699" s="331"/>
      <c r="AZ3699" s="331"/>
      <c r="BA3699" s="331"/>
      <c r="BB3699" s="331"/>
      <c r="BC3699" s="331"/>
      <c r="BD3699" s="331"/>
      <c r="BE3699" s="333"/>
      <c r="BF3699" s="330"/>
      <c r="BG3699" s="333"/>
      <c r="BH3699" s="1119"/>
      <c r="BI3699" s="319"/>
      <c r="BJ3699" s="319"/>
      <c r="BK3699" s="319"/>
      <c r="BL3699" s="319"/>
      <c r="BM3699" s="319"/>
      <c r="BN3699" s="319"/>
      <c r="BO3699" s="319"/>
      <c r="BP3699" s="953"/>
      <c r="BQ3699" s="319"/>
      <c r="BR3699" s="319"/>
      <c r="BS3699" s="330"/>
      <c r="BT3699" s="331"/>
      <c r="BU3699" s="920"/>
      <c r="BV3699" s="903"/>
      <c r="BW3699" s="908"/>
      <c r="BX3699" s="908"/>
      <c r="BY3699" s="331"/>
      <c r="BZ3699" s="331"/>
      <c r="CA3699" s="462"/>
      <c r="CB3699" s="319"/>
      <c r="CC3699" s="319"/>
      <c r="CD3699" s="319"/>
      <c r="CE3699" s="319"/>
      <c r="CF3699" s="319"/>
      <c r="CG3699" s="319"/>
      <c r="CH3699" s="318"/>
      <c r="CI3699" s="319"/>
      <c r="CJ3699" s="319"/>
      <c r="CK3699" s="342"/>
      <c r="CL3699" s="333"/>
      <c r="CM3699" s="1079"/>
      <c r="CN3699" s="1005"/>
      <c r="CO3699" s="1005"/>
      <c r="CP3699" s="1005"/>
    </row>
    <row r="3700">
      <c r="A3700" s="1257"/>
      <c r="B3700" s="1113"/>
      <c r="C3700" s="1107"/>
      <c r="D3700" s="103"/>
      <c r="E3700" s="1137"/>
      <c r="F3700" s="112"/>
      <c r="G3700" s="1110"/>
      <c r="H3700" s="1138"/>
      <c r="I3700" s="1138"/>
      <c r="J3700" s="1139"/>
      <c r="K3700" s="1111"/>
      <c r="L3700" s="1112"/>
      <c r="M3700" s="1113"/>
      <c r="N3700" s="110"/>
      <c r="O3700" s="1140"/>
      <c r="P3700" s="1115"/>
      <c r="Q3700" s="1116"/>
      <c r="R3700" s="1141"/>
      <c r="S3700" s="1113"/>
      <c r="T3700" s="1143"/>
      <c r="U3700" s="1108"/>
      <c r="V3700" s="1108"/>
      <c r="W3700" s="1108"/>
      <c r="X3700" s="1108"/>
      <c r="Y3700" s="1108"/>
      <c r="Z3700" s="1114"/>
      <c r="AA3700" s="1114"/>
      <c r="AB3700" s="1114"/>
      <c r="AC3700" s="1117"/>
      <c r="AD3700" s="1115"/>
      <c r="AE3700" s="1115"/>
      <c r="AF3700" s="1115"/>
      <c r="AG3700" s="1115"/>
      <c r="AH3700" s="1115"/>
      <c r="AI3700" s="1115"/>
      <c r="AJ3700" s="1117"/>
      <c r="AK3700" s="1118"/>
      <c r="AL3700" s="1115"/>
      <c r="AM3700" s="1115"/>
      <c r="AN3700" s="1115"/>
      <c r="AO3700" s="1115"/>
      <c r="AP3700" s="1115"/>
      <c r="AQ3700" s="1115"/>
      <c r="AR3700" s="1115"/>
      <c r="AS3700" s="1117"/>
      <c r="AT3700" s="1075"/>
      <c r="AU3700" s="1193"/>
      <c r="AV3700" s="330"/>
      <c r="AW3700" s="331"/>
      <c r="AX3700" s="331"/>
      <c r="AY3700" s="331"/>
      <c r="AZ3700" s="331"/>
      <c r="BA3700" s="331"/>
      <c r="BB3700" s="331"/>
      <c r="BC3700" s="331"/>
      <c r="BD3700" s="331"/>
      <c r="BE3700" s="333"/>
      <c r="BF3700" s="330"/>
      <c r="BG3700" s="333"/>
      <c r="BH3700" s="1119"/>
      <c r="BI3700" s="319"/>
      <c r="BJ3700" s="319"/>
      <c r="BK3700" s="319"/>
      <c r="BL3700" s="319"/>
      <c r="BM3700" s="319"/>
      <c r="BN3700" s="319"/>
      <c r="BO3700" s="319"/>
      <c r="BP3700" s="953"/>
      <c r="BQ3700" s="319"/>
      <c r="BR3700" s="319"/>
      <c r="BS3700" s="330"/>
      <c r="BT3700" s="331"/>
      <c r="BU3700" s="920"/>
      <c r="BV3700" s="903"/>
      <c r="BW3700" s="908"/>
      <c r="BX3700" s="908"/>
      <c r="BY3700" s="331"/>
      <c r="BZ3700" s="331"/>
      <c r="CA3700" s="462"/>
      <c r="CB3700" s="319"/>
      <c r="CC3700" s="319"/>
      <c r="CD3700" s="319"/>
      <c r="CE3700" s="319"/>
      <c r="CF3700" s="319"/>
      <c r="CG3700" s="319"/>
      <c r="CH3700" s="318"/>
      <c r="CI3700" s="319"/>
      <c r="CJ3700" s="319"/>
      <c r="CK3700" s="342"/>
      <c r="CL3700" s="333"/>
      <c r="CM3700" s="1079"/>
      <c r="CN3700" s="1005"/>
      <c r="CO3700" s="1005"/>
      <c r="CP3700" s="1005"/>
    </row>
    <row r="3701">
      <c r="A3701" s="1257"/>
      <c r="B3701" s="1113"/>
      <c r="C3701" s="1107"/>
      <c r="D3701" s="103"/>
      <c r="E3701" s="1137"/>
      <c r="F3701" s="112"/>
      <c r="G3701" s="1110"/>
      <c r="H3701" s="1138"/>
      <c r="I3701" s="1138"/>
      <c r="J3701" s="1139"/>
      <c r="K3701" s="1111"/>
      <c r="L3701" s="1112"/>
      <c r="M3701" s="1113"/>
      <c r="N3701" s="110"/>
      <c r="O3701" s="1140"/>
      <c r="P3701" s="1115"/>
      <c r="Q3701" s="1116"/>
      <c r="R3701" s="1141"/>
      <c r="S3701" s="1113"/>
      <c r="T3701" s="1143"/>
      <c r="U3701" s="1108"/>
      <c r="V3701" s="1108"/>
      <c r="W3701" s="1108"/>
      <c r="X3701" s="1108"/>
      <c r="Y3701" s="1108"/>
      <c r="Z3701" s="1114"/>
      <c r="AA3701" s="1114"/>
      <c r="AB3701" s="1114"/>
      <c r="AC3701" s="1117"/>
      <c r="AD3701" s="1115"/>
      <c r="AE3701" s="1115"/>
      <c r="AF3701" s="1115"/>
      <c r="AG3701" s="1115"/>
      <c r="AH3701" s="1115"/>
      <c r="AI3701" s="1115"/>
      <c r="AJ3701" s="1117"/>
      <c r="AK3701" s="1118"/>
      <c r="AL3701" s="1115"/>
      <c r="AM3701" s="1115"/>
      <c r="AN3701" s="1115"/>
      <c r="AO3701" s="1115"/>
      <c r="AP3701" s="1115"/>
      <c r="AQ3701" s="1115"/>
      <c r="AR3701" s="1115"/>
      <c r="AS3701" s="1117"/>
      <c r="AT3701" s="1075"/>
      <c r="AU3701" s="1193"/>
      <c r="AV3701" s="330"/>
      <c r="AW3701" s="331"/>
      <c r="AX3701" s="331"/>
      <c r="AY3701" s="331"/>
      <c r="AZ3701" s="331"/>
      <c r="BA3701" s="331"/>
      <c r="BB3701" s="331"/>
      <c r="BC3701" s="331"/>
      <c r="BD3701" s="331"/>
      <c r="BE3701" s="333"/>
      <c r="BF3701" s="330"/>
      <c r="BG3701" s="333"/>
      <c r="BH3701" s="1119"/>
      <c r="BI3701" s="319"/>
      <c r="BJ3701" s="319"/>
      <c r="BK3701" s="319"/>
      <c r="BL3701" s="319"/>
      <c r="BM3701" s="319"/>
      <c r="BN3701" s="319"/>
      <c r="BO3701" s="319"/>
      <c r="BP3701" s="953"/>
      <c r="BQ3701" s="319"/>
      <c r="BR3701" s="319"/>
      <c r="BS3701" s="330"/>
      <c r="BT3701" s="331"/>
      <c r="BU3701" s="920"/>
      <c r="BV3701" s="903"/>
      <c r="BW3701" s="908"/>
      <c r="BX3701" s="908"/>
      <c r="BY3701" s="331"/>
      <c r="BZ3701" s="331"/>
      <c r="CA3701" s="462"/>
      <c r="CB3701" s="319"/>
      <c r="CC3701" s="319"/>
      <c r="CD3701" s="319"/>
      <c r="CE3701" s="319"/>
      <c r="CF3701" s="319"/>
      <c r="CG3701" s="319"/>
      <c r="CH3701" s="318"/>
      <c r="CI3701" s="319"/>
      <c r="CJ3701" s="319"/>
      <c r="CK3701" s="342"/>
      <c r="CL3701" s="333"/>
      <c r="CM3701" s="1079"/>
      <c r="CN3701" s="1005"/>
      <c r="CO3701" s="1005"/>
      <c r="CP3701" s="1005"/>
    </row>
    <row r="3702">
      <c r="A3702" s="1257"/>
      <c r="B3702" s="1113"/>
      <c r="C3702" s="1107"/>
      <c r="D3702" s="103"/>
      <c r="E3702" s="1137"/>
      <c r="F3702" s="112"/>
      <c r="G3702" s="1110"/>
      <c r="H3702" s="1138"/>
      <c r="I3702" s="1138"/>
      <c r="J3702" s="1139"/>
      <c r="K3702" s="1111"/>
      <c r="L3702" s="1112"/>
      <c r="M3702" s="1113"/>
      <c r="N3702" s="110"/>
      <c r="O3702" s="1140"/>
      <c r="P3702" s="1115"/>
      <c r="Q3702" s="1116"/>
      <c r="R3702" s="1141"/>
      <c r="S3702" s="1113"/>
      <c r="T3702" s="1143"/>
      <c r="U3702" s="1108"/>
      <c r="V3702" s="1108"/>
      <c r="W3702" s="1108"/>
      <c r="X3702" s="1108"/>
      <c r="Y3702" s="1108"/>
      <c r="Z3702" s="1114"/>
      <c r="AA3702" s="1114"/>
      <c r="AB3702" s="1114"/>
      <c r="AC3702" s="1117"/>
      <c r="AD3702" s="1115"/>
      <c r="AE3702" s="1115"/>
      <c r="AF3702" s="1115"/>
      <c r="AG3702" s="1115"/>
      <c r="AH3702" s="1115"/>
      <c r="AI3702" s="1115"/>
      <c r="AJ3702" s="1117"/>
      <c r="AK3702" s="1118"/>
      <c r="AL3702" s="1115"/>
      <c r="AM3702" s="1115"/>
      <c r="AN3702" s="1115"/>
      <c r="AO3702" s="1115"/>
      <c r="AP3702" s="1115"/>
      <c r="AQ3702" s="1115"/>
      <c r="AR3702" s="1115"/>
      <c r="AS3702" s="1117"/>
      <c r="AT3702" s="1075"/>
      <c r="AU3702" s="1193"/>
      <c r="AV3702" s="330"/>
      <c r="AW3702" s="331"/>
      <c r="AX3702" s="331"/>
      <c r="AY3702" s="331"/>
      <c r="AZ3702" s="331"/>
      <c r="BA3702" s="331"/>
      <c r="BB3702" s="331"/>
      <c r="BC3702" s="331"/>
      <c r="BD3702" s="331"/>
      <c r="BE3702" s="333"/>
      <c r="BF3702" s="330"/>
      <c r="BG3702" s="333"/>
      <c r="BH3702" s="1119"/>
      <c r="BI3702" s="319"/>
      <c r="BJ3702" s="319"/>
      <c r="BK3702" s="319"/>
      <c r="BL3702" s="319"/>
      <c r="BM3702" s="319"/>
      <c r="BN3702" s="319"/>
      <c r="BO3702" s="319"/>
      <c r="BP3702" s="953"/>
      <c r="BQ3702" s="319"/>
      <c r="BR3702" s="319"/>
      <c r="BS3702" s="330"/>
      <c r="BT3702" s="331"/>
      <c r="BU3702" s="920"/>
      <c r="BV3702" s="903"/>
      <c r="BW3702" s="908"/>
      <c r="BX3702" s="908"/>
      <c r="BY3702" s="331"/>
      <c r="BZ3702" s="331"/>
      <c r="CA3702" s="462"/>
      <c r="CB3702" s="319"/>
      <c r="CC3702" s="319"/>
      <c r="CD3702" s="319"/>
      <c r="CE3702" s="319"/>
      <c r="CF3702" s="319"/>
      <c r="CG3702" s="319"/>
      <c r="CH3702" s="318"/>
      <c r="CI3702" s="319"/>
      <c r="CJ3702" s="319"/>
      <c r="CK3702" s="342"/>
      <c r="CL3702" s="333"/>
      <c r="CM3702" s="1079"/>
      <c r="CN3702" s="1005"/>
      <c r="CO3702" s="1005"/>
      <c r="CP3702" s="1005"/>
    </row>
    <row r="3703">
      <c r="A3703" s="1257"/>
      <c r="B3703" s="1113"/>
      <c r="C3703" s="1107"/>
      <c r="D3703" s="103"/>
      <c r="E3703" s="1137"/>
      <c r="F3703" s="112"/>
      <c r="G3703" s="1110"/>
      <c r="H3703" s="1138"/>
      <c r="I3703" s="1138"/>
      <c r="J3703" s="1139"/>
      <c r="K3703" s="1111"/>
      <c r="L3703" s="1112"/>
      <c r="M3703" s="1113"/>
      <c r="N3703" s="110"/>
      <c r="O3703" s="1140"/>
      <c r="P3703" s="1115"/>
      <c r="Q3703" s="1116"/>
      <c r="R3703" s="1141"/>
      <c r="S3703" s="1113"/>
      <c r="T3703" s="1143"/>
      <c r="U3703" s="1108"/>
      <c r="V3703" s="1108"/>
      <c r="W3703" s="1108"/>
      <c r="X3703" s="1108"/>
      <c r="Y3703" s="1108"/>
      <c r="Z3703" s="1114"/>
      <c r="AA3703" s="1114"/>
      <c r="AB3703" s="1114"/>
      <c r="AC3703" s="1117"/>
      <c r="AD3703" s="1115"/>
      <c r="AE3703" s="1115"/>
      <c r="AF3703" s="1115"/>
      <c r="AG3703" s="1115"/>
      <c r="AH3703" s="1115"/>
      <c r="AI3703" s="1115"/>
      <c r="AJ3703" s="1117"/>
      <c r="AK3703" s="1118"/>
      <c r="AL3703" s="1115"/>
      <c r="AM3703" s="1115"/>
      <c r="AN3703" s="1115"/>
      <c r="AO3703" s="1115"/>
      <c r="AP3703" s="1115"/>
      <c r="AQ3703" s="1115"/>
      <c r="AR3703" s="1115"/>
      <c r="AS3703" s="1117"/>
      <c r="AT3703" s="1075"/>
      <c r="AU3703" s="1193"/>
      <c r="AV3703" s="330"/>
      <c r="AW3703" s="331"/>
      <c r="AX3703" s="331"/>
      <c r="AY3703" s="331"/>
      <c r="AZ3703" s="331"/>
      <c r="BA3703" s="331"/>
      <c r="BB3703" s="331"/>
      <c r="BC3703" s="331"/>
      <c r="BD3703" s="331"/>
      <c r="BE3703" s="333"/>
      <c r="BF3703" s="330"/>
      <c r="BG3703" s="333"/>
      <c r="BH3703" s="1119"/>
      <c r="BI3703" s="319"/>
      <c r="BJ3703" s="319"/>
      <c r="BK3703" s="319"/>
      <c r="BL3703" s="319"/>
      <c r="BM3703" s="319"/>
      <c r="BN3703" s="319"/>
      <c r="BO3703" s="319"/>
      <c r="BP3703" s="953"/>
      <c r="BQ3703" s="319"/>
      <c r="BR3703" s="319"/>
      <c r="BS3703" s="330"/>
      <c r="BT3703" s="331"/>
      <c r="BU3703" s="920"/>
      <c r="BV3703" s="903"/>
      <c r="BW3703" s="908"/>
      <c r="BX3703" s="908"/>
      <c r="BY3703" s="331"/>
      <c r="BZ3703" s="331"/>
      <c r="CA3703" s="462"/>
      <c r="CB3703" s="319"/>
      <c r="CC3703" s="319"/>
      <c r="CD3703" s="319"/>
      <c r="CE3703" s="319"/>
      <c r="CF3703" s="319"/>
      <c r="CG3703" s="319"/>
      <c r="CH3703" s="318"/>
      <c r="CI3703" s="319"/>
      <c r="CJ3703" s="319"/>
      <c r="CK3703" s="342"/>
      <c r="CL3703" s="333"/>
      <c r="CM3703" s="1079"/>
      <c r="CN3703" s="1005"/>
      <c r="CO3703" s="1005"/>
      <c r="CP3703" s="1005"/>
    </row>
    <row r="3704">
      <c r="A3704" s="1257"/>
      <c r="B3704" s="1113"/>
      <c r="C3704" s="1107"/>
      <c r="D3704" s="103"/>
      <c r="E3704" s="1137"/>
      <c r="F3704" s="112"/>
      <c r="G3704" s="1110"/>
      <c r="H3704" s="1138"/>
      <c r="I3704" s="1138"/>
      <c r="J3704" s="1139"/>
      <c r="K3704" s="1111"/>
      <c r="L3704" s="1112"/>
      <c r="M3704" s="1113"/>
      <c r="N3704" s="110"/>
      <c r="O3704" s="1140"/>
      <c r="P3704" s="1115"/>
      <c r="Q3704" s="1116"/>
      <c r="R3704" s="1141"/>
      <c r="S3704" s="1113"/>
      <c r="T3704" s="1143"/>
      <c r="U3704" s="1108"/>
      <c r="V3704" s="1108"/>
      <c r="W3704" s="1108"/>
      <c r="X3704" s="1108"/>
      <c r="Y3704" s="1108"/>
      <c r="Z3704" s="1114"/>
      <c r="AA3704" s="1114"/>
      <c r="AB3704" s="1114"/>
      <c r="AC3704" s="1117"/>
      <c r="AD3704" s="1115"/>
      <c r="AE3704" s="1115"/>
      <c r="AF3704" s="1115"/>
      <c r="AG3704" s="1115"/>
      <c r="AH3704" s="1115"/>
      <c r="AI3704" s="1115"/>
      <c r="AJ3704" s="1117"/>
      <c r="AK3704" s="1118"/>
      <c r="AL3704" s="1115"/>
      <c r="AM3704" s="1115"/>
      <c r="AN3704" s="1115"/>
      <c r="AO3704" s="1115"/>
      <c r="AP3704" s="1115"/>
      <c r="AQ3704" s="1115"/>
      <c r="AR3704" s="1115"/>
      <c r="AS3704" s="1117"/>
      <c r="AT3704" s="1075"/>
      <c r="AU3704" s="1193"/>
      <c r="AV3704" s="330"/>
      <c r="AW3704" s="331"/>
      <c r="AX3704" s="331"/>
      <c r="AY3704" s="331"/>
      <c r="AZ3704" s="331"/>
      <c r="BA3704" s="331"/>
      <c r="BB3704" s="331"/>
      <c r="BC3704" s="331"/>
      <c r="BD3704" s="331"/>
      <c r="BE3704" s="333"/>
      <c r="BF3704" s="330"/>
      <c r="BG3704" s="333"/>
      <c r="BH3704" s="1119"/>
      <c r="BI3704" s="319"/>
      <c r="BJ3704" s="319"/>
      <c r="BK3704" s="319"/>
      <c r="BL3704" s="319"/>
      <c r="BM3704" s="319"/>
      <c r="BN3704" s="319"/>
      <c r="BO3704" s="319"/>
      <c r="BP3704" s="953"/>
      <c r="BQ3704" s="319"/>
      <c r="BR3704" s="319"/>
      <c r="BS3704" s="330"/>
      <c r="BT3704" s="331"/>
      <c r="BU3704" s="920"/>
      <c r="BV3704" s="903"/>
      <c r="BW3704" s="908"/>
      <c r="BX3704" s="908"/>
      <c r="BY3704" s="331"/>
      <c r="BZ3704" s="331"/>
      <c r="CA3704" s="462"/>
      <c r="CB3704" s="319"/>
      <c r="CC3704" s="319"/>
      <c r="CD3704" s="319"/>
      <c r="CE3704" s="319"/>
      <c r="CF3704" s="319"/>
      <c r="CG3704" s="319"/>
      <c r="CH3704" s="318"/>
      <c r="CI3704" s="319"/>
      <c r="CJ3704" s="319"/>
      <c r="CK3704" s="342"/>
      <c r="CL3704" s="333"/>
      <c r="CM3704" s="1079"/>
      <c r="CN3704" s="1005"/>
      <c r="CO3704" s="1005"/>
      <c r="CP3704" s="1005"/>
    </row>
    <row r="3705">
      <c r="A3705" s="1257"/>
      <c r="B3705" s="1113"/>
      <c r="C3705" s="1107"/>
      <c r="D3705" s="103"/>
      <c r="E3705" s="1137"/>
      <c r="F3705" s="112"/>
      <c r="G3705" s="1110"/>
      <c r="H3705" s="1138"/>
      <c r="I3705" s="1138"/>
      <c r="J3705" s="1139"/>
      <c r="K3705" s="1111"/>
      <c r="L3705" s="1112"/>
      <c r="M3705" s="1113"/>
      <c r="N3705" s="110"/>
      <c r="O3705" s="1140"/>
      <c r="P3705" s="1115"/>
      <c r="Q3705" s="1116"/>
      <c r="R3705" s="1141"/>
      <c r="S3705" s="1113"/>
      <c r="T3705" s="1143"/>
      <c r="U3705" s="1108"/>
      <c r="V3705" s="1108"/>
      <c r="W3705" s="1108"/>
      <c r="X3705" s="1108"/>
      <c r="Y3705" s="1108"/>
      <c r="Z3705" s="1114"/>
      <c r="AA3705" s="1114"/>
      <c r="AB3705" s="1114"/>
      <c r="AC3705" s="1117"/>
      <c r="AD3705" s="1115"/>
      <c r="AE3705" s="1115"/>
      <c r="AF3705" s="1115"/>
      <c r="AG3705" s="1115"/>
      <c r="AH3705" s="1115"/>
      <c r="AI3705" s="1115"/>
      <c r="AJ3705" s="1117"/>
      <c r="AK3705" s="1118"/>
      <c r="AL3705" s="1115"/>
      <c r="AM3705" s="1115"/>
      <c r="AN3705" s="1115"/>
      <c r="AO3705" s="1115"/>
      <c r="AP3705" s="1115"/>
      <c r="AQ3705" s="1115"/>
      <c r="AR3705" s="1115"/>
      <c r="AS3705" s="1117"/>
      <c r="AT3705" s="1075"/>
      <c r="AU3705" s="1193"/>
      <c r="AV3705" s="330"/>
      <c r="AW3705" s="331"/>
      <c r="AX3705" s="331"/>
      <c r="AY3705" s="331"/>
      <c r="AZ3705" s="331"/>
      <c r="BA3705" s="331"/>
      <c r="BB3705" s="331"/>
      <c r="BC3705" s="331"/>
      <c r="BD3705" s="331"/>
      <c r="BE3705" s="333"/>
      <c r="BF3705" s="330"/>
      <c r="BG3705" s="333"/>
      <c r="BH3705" s="1119"/>
      <c r="BI3705" s="319"/>
      <c r="BJ3705" s="319"/>
      <c r="BK3705" s="319"/>
      <c r="BL3705" s="319"/>
      <c r="BM3705" s="319"/>
      <c r="BN3705" s="319"/>
      <c r="BO3705" s="319"/>
      <c r="BP3705" s="953"/>
      <c r="BQ3705" s="319"/>
      <c r="BR3705" s="319"/>
      <c r="BS3705" s="330"/>
      <c r="BT3705" s="331"/>
      <c r="BU3705" s="920"/>
      <c r="BV3705" s="903"/>
      <c r="BW3705" s="908"/>
      <c r="BX3705" s="908"/>
      <c r="BY3705" s="331"/>
      <c r="BZ3705" s="331"/>
      <c r="CA3705" s="462"/>
      <c r="CB3705" s="319"/>
      <c r="CC3705" s="319"/>
      <c r="CD3705" s="319"/>
      <c r="CE3705" s="319"/>
      <c r="CF3705" s="319"/>
      <c r="CG3705" s="319"/>
      <c r="CH3705" s="318"/>
      <c r="CI3705" s="319"/>
      <c r="CJ3705" s="319"/>
      <c r="CK3705" s="342"/>
      <c r="CL3705" s="333"/>
      <c r="CM3705" s="1079"/>
      <c r="CN3705" s="1005"/>
      <c r="CO3705" s="1005"/>
      <c r="CP3705" s="1005"/>
    </row>
    <row r="3706">
      <c r="A3706" s="1257"/>
      <c r="B3706" s="1113"/>
      <c r="C3706" s="1107"/>
      <c r="D3706" s="103"/>
      <c r="E3706" s="1137"/>
      <c r="F3706" s="112"/>
      <c r="G3706" s="1110"/>
      <c r="H3706" s="1138"/>
      <c r="I3706" s="1138"/>
      <c r="J3706" s="1139"/>
      <c r="K3706" s="1111"/>
      <c r="L3706" s="1112"/>
      <c r="M3706" s="1113"/>
      <c r="N3706" s="110"/>
      <c r="O3706" s="1140"/>
      <c r="P3706" s="1115"/>
      <c r="Q3706" s="1116"/>
      <c r="R3706" s="1141"/>
      <c r="S3706" s="1113"/>
      <c r="T3706" s="1143"/>
      <c r="U3706" s="1108"/>
      <c r="V3706" s="1108"/>
      <c r="W3706" s="1108"/>
      <c r="X3706" s="1108"/>
      <c r="Y3706" s="1108"/>
      <c r="Z3706" s="1114"/>
      <c r="AA3706" s="1114"/>
      <c r="AB3706" s="1114"/>
      <c r="AC3706" s="1117"/>
      <c r="AD3706" s="1115"/>
      <c r="AE3706" s="1115"/>
      <c r="AF3706" s="1115"/>
      <c r="AG3706" s="1115"/>
      <c r="AH3706" s="1115"/>
      <c r="AI3706" s="1115"/>
      <c r="AJ3706" s="1117"/>
      <c r="AK3706" s="1118"/>
      <c r="AL3706" s="1115"/>
      <c r="AM3706" s="1115"/>
      <c r="AN3706" s="1115"/>
      <c r="AO3706" s="1115"/>
      <c r="AP3706" s="1115"/>
      <c r="AQ3706" s="1115"/>
      <c r="AR3706" s="1115"/>
      <c r="AS3706" s="1117"/>
      <c r="AT3706" s="1075"/>
      <c r="AU3706" s="1193"/>
      <c r="AV3706" s="330"/>
      <c r="AW3706" s="331"/>
      <c r="AX3706" s="331"/>
      <c r="AY3706" s="331"/>
      <c r="AZ3706" s="331"/>
      <c r="BA3706" s="331"/>
      <c r="BB3706" s="331"/>
      <c r="BC3706" s="331"/>
      <c r="BD3706" s="331"/>
      <c r="BE3706" s="333"/>
      <c r="BF3706" s="330"/>
      <c r="BG3706" s="333"/>
      <c r="BH3706" s="1119"/>
      <c r="BI3706" s="319"/>
      <c r="BJ3706" s="319"/>
      <c r="BK3706" s="319"/>
      <c r="BL3706" s="319"/>
      <c r="BM3706" s="319"/>
      <c r="BN3706" s="319"/>
      <c r="BO3706" s="319"/>
      <c r="BP3706" s="953"/>
      <c r="BQ3706" s="319"/>
      <c r="BR3706" s="319"/>
      <c r="BS3706" s="330"/>
      <c r="BT3706" s="331"/>
      <c r="BU3706" s="920"/>
      <c r="BV3706" s="903"/>
      <c r="BW3706" s="908"/>
      <c r="BX3706" s="908"/>
      <c r="BY3706" s="331"/>
      <c r="BZ3706" s="331"/>
      <c r="CA3706" s="462"/>
      <c r="CB3706" s="319"/>
      <c r="CC3706" s="319"/>
      <c r="CD3706" s="319"/>
      <c r="CE3706" s="319"/>
      <c r="CF3706" s="319"/>
      <c r="CG3706" s="319"/>
      <c r="CH3706" s="318"/>
      <c r="CI3706" s="319"/>
      <c r="CJ3706" s="319"/>
      <c r="CK3706" s="342"/>
      <c r="CL3706" s="333"/>
      <c r="CM3706" s="1079"/>
      <c r="CN3706" s="1005"/>
      <c r="CO3706" s="1005"/>
      <c r="CP3706" s="1005"/>
    </row>
    <row r="3707">
      <c r="A3707" s="1257"/>
      <c r="B3707" s="1113"/>
      <c r="C3707" s="1107"/>
      <c r="D3707" s="103"/>
      <c r="E3707" s="1137"/>
      <c r="F3707" s="112"/>
      <c r="G3707" s="1110"/>
      <c r="H3707" s="1138"/>
      <c r="I3707" s="1138"/>
      <c r="J3707" s="1139"/>
      <c r="K3707" s="1111"/>
      <c r="L3707" s="1112"/>
      <c r="M3707" s="1113"/>
      <c r="N3707" s="110"/>
      <c r="O3707" s="1140"/>
      <c r="P3707" s="1115"/>
      <c r="Q3707" s="1116"/>
      <c r="R3707" s="1141"/>
      <c r="S3707" s="1113"/>
      <c r="T3707" s="1143"/>
      <c r="U3707" s="1108"/>
      <c r="V3707" s="1108"/>
      <c r="W3707" s="1108"/>
      <c r="X3707" s="1108"/>
      <c r="Y3707" s="1108"/>
      <c r="Z3707" s="1114"/>
      <c r="AA3707" s="1114"/>
      <c r="AB3707" s="1114"/>
      <c r="AC3707" s="1117"/>
      <c r="AD3707" s="1115"/>
      <c r="AE3707" s="1115"/>
      <c r="AF3707" s="1115"/>
      <c r="AG3707" s="1115"/>
      <c r="AH3707" s="1115"/>
      <c r="AI3707" s="1115"/>
      <c r="AJ3707" s="1117"/>
      <c r="AK3707" s="1118"/>
      <c r="AL3707" s="1115"/>
      <c r="AM3707" s="1115"/>
      <c r="AN3707" s="1115"/>
      <c r="AO3707" s="1115"/>
      <c r="AP3707" s="1115"/>
      <c r="AQ3707" s="1115"/>
      <c r="AR3707" s="1115"/>
      <c r="AS3707" s="1117"/>
      <c r="AT3707" s="1075"/>
      <c r="AU3707" s="1193"/>
      <c r="AV3707" s="330"/>
      <c r="AW3707" s="331"/>
      <c r="AX3707" s="331"/>
      <c r="AY3707" s="331"/>
      <c r="AZ3707" s="331"/>
      <c r="BA3707" s="331"/>
      <c r="BB3707" s="331"/>
      <c r="BC3707" s="331"/>
      <c r="BD3707" s="331"/>
      <c r="BE3707" s="333"/>
      <c r="BF3707" s="330"/>
      <c r="BG3707" s="333"/>
      <c r="BH3707" s="1119"/>
      <c r="BI3707" s="319"/>
      <c r="BJ3707" s="319"/>
      <c r="BK3707" s="319"/>
      <c r="BL3707" s="319"/>
      <c r="BM3707" s="319"/>
      <c r="BN3707" s="319"/>
      <c r="BO3707" s="319"/>
      <c r="BP3707" s="953"/>
      <c r="BQ3707" s="319"/>
      <c r="BR3707" s="319"/>
      <c r="BS3707" s="330"/>
      <c r="BT3707" s="331"/>
      <c r="BU3707" s="920"/>
      <c r="BV3707" s="903"/>
      <c r="BW3707" s="908"/>
      <c r="BX3707" s="908"/>
      <c r="BY3707" s="331"/>
      <c r="BZ3707" s="331"/>
      <c r="CA3707" s="462"/>
      <c r="CB3707" s="319"/>
      <c r="CC3707" s="319"/>
      <c r="CD3707" s="319"/>
      <c r="CE3707" s="319"/>
      <c r="CF3707" s="319"/>
      <c r="CG3707" s="319"/>
      <c r="CH3707" s="318"/>
      <c r="CI3707" s="319"/>
      <c r="CJ3707" s="319"/>
      <c r="CK3707" s="342"/>
      <c r="CL3707" s="333"/>
      <c r="CM3707" s="1079"/>
      <c r="CN3707" s="1005"/>
      <c r="CO3707" s="1005"/>
      <c r="CP3707" s="1005"/>
    </row>
    <row r="3708">
      <c r="A3708" s="1257"/>
      <c r="B3708" s="1113"/>
      <c r="C3708" s="1107"/>
      <c r="D3708" s="103"/>
      <c r="E3708" s="1137"/>
      <c r="F3708" s="112"/>
      <c r="G3708" s="1110"/>
      <c r="H3708" s="1138"/>
      <c r="I3708" s="1138"/>
      <c r="J3708" s="1139"/>
      <c r="K3708" s="1111"/>
      <c r="L3708" s="1112"/>
      <c r="M3708" s="1113"/>
      <c r="N3708" s="110"/>
      <c r="O3708" s="1140"/>
      <c r="P3708" s="1115"/>
      <c r="Q3708" s="1116"/>
      <c r="R3708" s="1141"/>
      <c r="S3708" s="1113"/>
      <c r="T3708" s="1143"/>
      <c r="U3708" s="1108"/>
      <c r="V3708" s="1108"/>
      <c r="W3708" s="1108"/>
      <c r="X3708" s="1108"/>
      <c r="Y3708" s="1108"/>
      <c r="Z3708" s="1114"/>
      <c r="AA3708" s="1114"/>
      <c r="AB3708" s="1114"/>
      <c r="AC3708" s="1117"/>
      <c r="AD3708" s="1115"/>
      <c r="AE3708" s="1115"/>
      <c r="AF3708" s="1115"/>
      <c r="AG3708" s="1115"/>
      <c r="AH3708" s="1115"/>
      <c r="AI3708" s="1115"/>
      <c r="AJ3708" s="1117"/>
      <c r="AK3708" s="1118"/>
      <c r="AL3708" s="1115"/>
      <c r="AM3708" s="1115"/>
      <c r="AN3708" s="1115"/>
      <c r="AO3708" s="1115"/>
      <c r="AP3708" s="1115"/>
      <c r="AQ3708" s="1115"/>
      <c r="AR3708" s="1115"/>
      <c r="AS3708" s="1117"/>
      <c r="AT3708" s="1075"/>
      <c r="AU3708" s="1193"/>
      <c r="AV3708" s="330"/>
      <c r="AW3708" s="331"/>
      <c r="AX3708" s="331"/>
      <c r="AY3708" s="331"/>
      <c r="AZ3708" s="331"/>
      <c r="BA3708" s="331"/>
      <c r="BB3708" s="331"/>
      <c r="BC3708" s="331"/>
      <c r="BD3708" s="331"/>
      <c r="BE3708" s="333"/>
      <c r="BF3708" s="330"/>
      <c r="BG3708" s="333"/>
      <c r="BH3708" s="1119"/>
      <c r="BI3708" s="319"/>
      <c r="BJ3708" s="319"/>
      <c r="BK3708" s="319"/>
      <c r="BL3708" s="319"/>
      <c r="BM3708" s="319"/>
      <c r="BN3708" s="319"/>
      <c r="BO3708" s="319"/>
      <c r="BP3708" s="953"/>
      <c r="BQ3708" s="319"/>
      <c r="BR3708" s="319"/>
      <c r="BS3708" s="330"/>
      <c r="BT3708" s="331"/>
      <c r="BU3708" s="920"/>
      <c r="BV3708" s="903"/>
      <c r="BW3708" s="908"/>
      <c r="BX3708" s="908"/>
      <c r="BY3708" s="331"/>
      <c r="BZ3708" s="331"/>
      <c r="CA3708" s="462"/>
      <c r="CB3708" s="319"/>
      <c r="CC3708" s="319"/>
      <c r="CD3708" s="319"/>
      <c r="CE3708" s="319"/>
      <c r="CF3708" s="319"/>
      <c r="CG3708" s="319"/>
      <c r="CH3708" s="318"/>
      <c r="CI3708" s="319"/>
      <c r="CJ3708" s="319"/>
      <c r="CK3708" s="342"/>
      <c r="CL3708" s="333"/>
      <c r="CM3708" s="1079"/>
      <c r="CN3708" s="1005"/>
      <c r="CO3708" s="1005"/>
      <c r="CP3708" s="1005"/>
    </row>
    <row r="3709">
      <c r="A3709" s="1257"/>
      <c r="B3709" s="1113"/>
      <c r="C3709" s="1107"/>
      <c r="D3709" s="103"/>
      <c r="E3709" s="1137"/>
      <c r="F3709" s="112"/>
      <c r="G3709" s="1110"/>
      <c r="H3709" s="1138"/>
      <c r="I3709" s="1138"/>
      <c r="J3709" s="1139"/>
      <c r="K3709" s="1111"/>
      <c r="L3709" s="1112"/>
      <c r="M3709" s="1113"/>
      <c r="N3709" s="110"/>
      <c r="O3709" s="1140"/>
      <c r="P3709" s="1115"/>
      <c r="Q3709" s="1116"/>
      <c r="R3709" s="1141"/>
      <c r="S3709" s="1113"/>
      <c r="T3709" s="1143"/>
      <c r="U3709" s="1108"/>
      <c r="V3709" s="1108"/>
      <c r="W3709" s="1108"/>
      <c r="X3709" s="1108"/>
      <c r="Y3709" s="1108"/>
      <c r="Z3709" s="1114"/>
      <c r="AA3709" s="1114"/>
      <c r="AB3709" s="1114"/>
      <c r="AC3709" s="1117"/>
      <c r="AD3709" s="1115"/>
      <c r="AE3709" s="1115"/>
      <c r="AF3709" s="1115"/>
      <c r="AG3709" s="1115"/>
      <c r="AH3709" s="1115"/>
      <c r="AI3709" s="1115"/>
      <c r="AJ3709" s="1117"/>
      <c r="AK3709" s="1118"/>
      <c r="AL3709" s="1115"/>
      <c r="AM3709" s="1115"/>
      <c r="AN3709" s="1115"/>
      <c r="AO3709" s="1115"/>
      <c r="AP3709" s="1115"/>
      <c r="AQ3709" s="1115"/>
      <c r="AR3709" s="1115"/>
      <c r="AS3709" s="1117"/>
      <c r="AT3709" s="1075"/>
      <c r="AU3709" s="1193"/>
      <c r="AV3709" s="330"/>
      <c r="AW3709" s="331"/>
      <c r="AX3709" s="331"/>
      <c r="AY3709" s="331"/>
      <c r="AZ3709" s="331"/>
      <c r="BA3709" s="331"/>
      <c r="BB3709" s="331"/>
      <c r="BC3709" s="331"/>
      <c r="BD3709" s="331"/>
      <c r="BE3709" s="333"/>
      <c r="BF3709" s="330"/>
      <c r="BG3709" s="333"/>
      <c r="BH3709" s="1119"/>
      <c r="BI3709" s="319"/>
      <c r="BJ3709" s="319"/>
      <c r="BK3709" s="319"/>
      <c r="BL3709" s="319"/>
      <c r="BM3709" s="319"/>
      <c r="BN3709" s="319"/>
      <c r="BO3709" s="319"/>
      <c r="BP3709" s="953"/>
      <c r="BQ3709" s="319"/>
      <c r="BR3709" s="319"/>
      <c r="BS3709" s="330"/>
      <c r="BT3709" s="331"/>
      <c r="BU3709" s="920"/>
      <c r="BV3709" s="903"/>
      <c r="BW3709" s="908"/>
      <c r="BX3709" s="908"/>
      <c r="BY3709" s="331"/>
      <c r="BZ3709" s="331"/>
      <c r="CA3709" s="462"/>
      <c r="CB3709" s="319"/>
      <c r="CC3709" s="319"/>
      <c r="CD3709" s="319"/>
      <c r="CE3709" s="319"/>
      <c r="CF3709" s="319"/>
      <c r="CG3709" s="319"/>
      <c r="CH3709" s="318"/>
      <c r="CI3709" s="319"/>
      <c r="CJ3709" s="319"/>
      <c r="CK3709" s="342"/>
      <c r="CL3709" s="333"/>
      <c r="CM3709" s="1079"/>
      <c r="CN3709" s="1005"/>
      <c r="CO3709" s="1005"/>
      <c r="CP3709" s="1005"/>
    </row>
    <row r="3710">
      <c r="A3710" s="1257"/>
      <c r="B3710" s="1113"/>
      <c r="C3710" s="1107"/>
      <c r="D3710" s="103"/>
      <c r="E3710" s="1137"/>
      <c r="F3710" s="112"/>
      <c r="G3710" s="1110"/>
      <c r="H3710" s="1138"/>
      <c r="I3710" s="1138"/>
      <c r="J3710" s="1139"/>
      <c r="K3710" s="1111"/>
      <c r="L3710" s="1112"/>
      <c r="M3710" s="1113"/>
      <c r="N3710" s="110"/>
      <c r="O3710" s="1140"/>
      <c r="P3710" s="1115"/>
      <c r="Q3710" s="1116"/>
      <c r="R3710" s="1141"/>
      <c r="S3710" s="1113"/>
      <c r="T3710" s="1143"/>
      <c r="U3710" s="1108"/>
      <c r="V3710" s="1108"/>
      <c r="W3710" s="1108"/>
      <c r="X3710" s="1108"/>
      <c r="Y3710" s="1108"/>
      <c r="Z3710" s="1114"/>
      <c r="AA3710" s="1114"/>
      <c r="AB3710" s="1114"/>
      <c r="AC3710" s="1117"/>
      <c r="AD3710" s="1115"/>
      <c r="AE3710" s="1115"/>
      <c r="AF3710" s="1115"/>
      <c r="AG3710" s="1115"/>
      <c r="AH3710" s="1115"/>
      <c r="AI3710" s="1115"/>
      <c r="AJ3710" s="1117"/>
      <c r="AK3710" s="1118"/>
      <c r="AL3710" s="1115"/>
      <c r="AM3710" s="1115"/>
      <c r="AN3710" s="1115"/>
      <c r="AO3710" s="1115"/>
      <c r="AP3710" s="1115"/>
      <c r="AQ3710" s="1115"/>
      <c r="AR3710" s="1115"/>
      <c r="AS3710" s="1117"/>
      <c r="AT3710" s="1075"/>
      <c r="AU3710" s="1193"/>
      <c r="AV3710" s="330"/>
      <c r="AW3710" s="331"/>
      <c r="AX3710" s="331"/>
      <c r="AY3710" s="331"/>
      <c r="AZ3710" s="331"/>
      <c r="BA3710" s="331"/>
      <c r="BB3710" s="331"/>
      <c r="BC3710" s="331"/>
      <c r="BD3710" s="331"/>
      <c r="BE3710" s="333"/>
      <c r="BF3710" s="330"/>
      <c r="BG3710" s="333"/>
      <c r="BH3710" s="1119"/>
      <c r="BI3710" s="319"/>
      <c r="BJ3710" s="319"/>
      <c r="BK3710" s="319"/>
      <c r="BL3710" s="319"/>
      <c r="BM3710" s="319"/>
      <c r="BN3710" s="319"/>
      <c r="BO3710" s="319"/>
      <c r="BP3710" s="953"/>
      <c r="BQ3710" s="319"/>
      <c r="BR3710" s="319"/>
      <c r="BS3710" s="330"/>
      <c r="BT3710" s="331"/>
      <c r="BU3710" s="920"/>
      <c r="BV3710" s="903"/>
      <c r="BW3710" s="908"/>
      <c r="BX3710" s="908"/>
      <c r="BY3710" s="331"/>
      <c r="BZ3710" s="331"/>
      <c r="CA3710" s="462"/>
      <c r="CB3710" s="319"/>
      <c r="CC3710" s="319"/>
      <c r="CD3710" s="319"/>
      <c r="CE3710" s="319"/>
      <c r="CF3710" s="319"/>
      <c r="CG3710" s="319"/>
      <c r="CH3710" s="318"/>
      <c r="CI3710" s="319"/>
      <c r="CJ3710" s="319"/>
      <c r="CK3710" s="342"/>
      <c r="CL3710" s="333"/>
      <c r="CM3710" s="1079"/>
      <c r="CN3710" s="1005"/>
      <c r="CO3710" s="1005"/>
      <c r="CP3710" s="1005"/>
    </row>
    <row r="3711">
      <c r="A3711" s="1257"/>
      <c r="B3711" s="1113"/>
      <c r="C3711" s="1107"/>
      <c r="D3711" s="103"/>
      <c r="E3711" s="1137"/>
      <c r="F3711" s="112"/>
      <c r="G3711" s="1110"/>
      <c r="H3711" s="1138"/>
      <c r="I3711" s="1138"/>
      <c r="J3711" s="1139"/>
      <c r="K3711" s="1111"/>
      <c r="L3711" s="1112"/>
      <c r="M3711" s="1113"/>
      <c r="N3711" s="110"/>
      <c r="O3711" s="1140"/>
      <c r="P3711" s="1115"/>
      <c r="Q3711" s="1116"/>
      <c r="R3711" s="1141"/>
      <c r="S3711" s="1113"/>
      <c r="T3711" s="1143"/>
      <c r="U3711" s="1108"/>
      <c r="V3711" s="1108"/>
      <c r="W3711" s="1108"/>
      <c r="X3711" s="1108"/>
      <c r="Y3711" s="1108"/>
      <c r="Z3711" s="1114"/>
      <c r="AA3711" s="1114"/>
      <c r="AB3711" s="1114"/>
      <c r="AC3711" s="1117"/>
      <c r="AD3711" s="1115"/>
      <c r="AE3711" s="1115"/>
      <c r="AF3711" s="1115"/>
      <c r="AG3711" s="1115"/>
      <c r="AH3711" s="1115"/>
      <c r="AI3711" s="1115"/>
      <c r="AJ3711" s="1117"/>
      <c r="AK3711" s="1118"/>
      <c r="AL3711" s="1115"/>
      <c r="AM3711" s="1115"/>
      <c r="AN3711" s="1115"/>
      <c r="AO3711" s="1115"/>
      <c r="AP3711" s="1115"/>
      <c r="AQ3711" s="1115"/>
      <c r="AR3711" s="1115"/>
      <c r="AS3711" s="1117"/>
      <c r="AT3711" s="1075"/>
      <c r="AU3711" s="1193"/>
      <c r="AV3711" s="330"/>
      <c r="AW3711" s="331"/>
      <c r="AX3711" s="331"/>
      <c r="AY3711" s="331"/>
      <c r="AZ3711" s="331"/>
      <c r="BA3711" s="331"/>
      <c r="BB3711" s="331"/>
      <c r="BC3711" s="331"/>
      <c r="BD3711" s="331"/>
      <c r="BE3711" s="333"/>
      <c r="BF3711" s="330"/>
      <c r="BG3711" s="333"/>
      <c r="BH3711" s="1119"/>
      <c r="BI3711" s="319"/>
      <c r="BJ3711" s="319"/>
      <c r="BK3711" s="319"/>
      <c r="BL3711" s="319"/>
      <c r="BM3711" s="319"/>
      <c r="BN3711" s="319"/>
      <c r="BO3711" s="319"/>
      <c r="BP3711" s="953"/>
      <c r="BQ3711" s="319"/>
      <c r="BR3711" s="319"/>
      <c r="BS3711" s="330"/>
      <c r="BT3711" s="331"/>
      <c r="BU3711" s="920"/>
      <c r="BV3711" s="903"/>
      <c r="BW3711" s="908"/>
      <c r="BX3711" s="908"/>
      <c r="BY3711" s="331"/>
      <c r="BZ3711" s="331"/>
      <c r="CA3711" s="462"/>
      <c r="CB3711" s="319"/>
      <c r="CC3711" s="319"/>
      <c r="CD3711" s="319"/>
      <c r="CE3711" s="319"/>
      <c r="CF3711" s="319"/>
      <c r="CG3711" s="319"/>
      <c r="CH3711" s="318"/>
      <c r="CI3711" s="319"/>
      <c r="CJ3711" s="319"/>
      <c r="CK3711" s="342"/>
      <c r="CL3711" s="333"/>
      <c r="CM3711" s="1079"/>
      <c r="CN3711" s="1005"/>
      <c r="CO3711" s="1005"/>
      <c r="CP3711" s="1005"/>
    </row>
    <row r="3712">
      <c r="A3712" s="1257"/>
      <c r="B3712" s="1113"/>
      <c r="C3712" s="1107"/>
      <c r="D3712" s="103"/>
      <c r="E3712" s="1137"/>
      <c r="F3712" s="112"/>
      <c r="G3712" s="1110"/>
      <c r="H3712" s="1138"/>
      <c r="I3712" s="1138"/>
      <c r="J3712" s="1139"/>
      <c r="K3712" s="1111"/>
      <c r="L3712" s="1112"/>
      <c r="M3712" s="1113"/>
      <c r="N3712" s="110"/>
      <c r="O3712" s="1140"/>
      <c r="P3712" s="1115"/>
      <c r="Q3712" s="1116"/>
      <c r="R3712" s="1141"/>
      <c r="S3712" s="1113"/>
      <c r="T3712" s="1143"/>
      <c r="U3712" s="1108"/>
      <c r="V3712" s="1108"/>
      <c r="W3712" s="1108"/>
      <c r="X3712" s="1108"/>
      <c r="Y3712" s="1108"/>
      <c r="Z3712" s="1114"/>
      <c r="AA3712" s="1114"/>
      <c r="AB3712" s="1114"/>
      <c r="AC3712" s="1117"/>
      <c r="AD3712" s="1115"/>
      <c r="AE3712" s="1115"/>
      <c r="AF3712" s="1115"/>
      <c r="AG3712" s="1115"/>
      <c r="AH3712" s="1115"/>
      <c r="AI3712" s="1115"/>
      <c r="AJ3712" s="1117"/>
      <c r="AK3712" s="1118"/>
      <c r="AL3712" s="1115"/>
      <c r="AM3712" s="1115"/>
      <c r="AN3712" s="1115"/>
      <c r="AO3712" s="1115"/>
      <c r="AP3712" s="1115"/>
      <c r="AQ3712" s="1115"/>
      <c r="AR3712" s="1115"/>
      <c r="AS3712" s="1117"/>
      <c r="AT3712" s="1075"/>
      <c r="AU3712" s="1193"/>
      <c r="AV3712" s="330"/>
      <c r="AW3712" s="331"/>
      <c r="AX3712" s="331"/>
      <c r="AY3712" s="331"/>
      <c r="AZ3712" s="331"/>
      <c r="BA3712" s="331"/>
      <c r="BB3712" s="331"/>
      <c r="BC3712" s="331"/>
      <c r="BD3712" s="331"/>
      <c r="BE3712" s="333"/>
      <c r="BF3712" s="330"/>
      <c r="BG3712" s="333"/>
      <c r="BH3712" s="1119"/>
      <c r="BI3712" s="319"/>
      <c r="BJ3712" s="319"/>
      <c r="BK3712" s="319"/>
      <c r="BL3712" s="319"/>
      <c r="BM3712" s="319"/>
      <c r="BN3712" s="319"/>
      <c r="BO3712" s="319"/>
      <c r="BP3712" s="953"/>
      <c r="BQ3712" s="319"/>
      <c r="BR3712" s="319"/>
      <c r="BS3712" s="330"/>
      <c r="BT3712" s="331"/>
      <c r="BU3712" s="920"/>
      <c r="BV3712" s="903"/>
      <c r="BW3712" s="908"/>
      <c r="BX3712" s="908"/>
      <c r="BY3712" s="331"/>
      <c r="BZ3712" s="331"/>
      <c r="CA3712" s="462"/>
      <c r="CB3712" s="319"/>
      <c r="CC3712" s="319"/>
      <c r="CD3712" s="319"/>
      <c r="CE3712" s="319"/>
      <c r="CF3712" s="319"/>
      <c r="CG3712" s="319"/>
      <c r="CH3712" s="318"/>
      <c r="CI3712" s="319"/>
      <c r="CJ3712" s="319"/>
      <c r="CK3712" s="342"/>
      <c r="CL3712" s="333"/>
      <c r="CM3712" s="1079"/>
      <c r="CN3712" s="1005"/>
      <c r="CO3712" s="1005"/>
      <c r="CP3712" s="1005"/>
    </row>
    <row r="3713">
      <c r="A3713" s="1257"/>
      <c r="B3713" s="1113"/>
      <c r="C3713" s="1107"/>
      <c r="D3713" s="103"/>
      <c r="E3713" s="1137"/>
      <c r="F3713" s="112"/>
      <c r="G3713" s="1110"/>
      <c r="H3713" s="1138"/>
      <c r="I3713" s="1138"/>
      <c r="J3713" s="1139"/>
      <c r="K3713" s="1111"/>
      <c r="L3713" s="1112"/>
      <c r="M3713" s="1113"/>
      <c r="N3713" s="110"/>
      <c r="O3713" s="1140"/>
      <c r="P3713" s="1115"/>
      <c r="Q3713" s="1116"/>
      <c r="R3713" s="1141"/>
      <c r="S3713" s="1113"/>
      <c r="T3713" s="1143"/>
      <c r="U3713" s="1108"/>
      <c r="V3713" s="1108"/>
      <c r="W3713" s="1108"/>
      <c r="X3713" s="1108"/>
      <c r="Y3713" s="1108"/>
      <c r="Z3713" s="1114"/>
      <c r="AA3713" s="1114"/>
      <c r="AB3713" s="1114"/>
      <c r="AC3713" s="1117"/>
      <c r="AD3713" s="1115"/>
      <c r="AE3713" s="1115"/>
      <c r="AF3713" s="1115"/>
      <c r="AG3713" s="1115"/>
      <c r="AH3713" s="1115"/>
      <c r="AI3713" s="1115"/>
      <c r="AJ3713" s="1117"/>
      <c r="AK3713" s="1118"/>
      <c r="AL3713" s="1115"/>
      <c r="AM3713" s="1115"/>
      <c r="AN3713" s="1115"/>
      <c r="AO3713" s="1115"/>
      <c r="AP3713" s="1115"/>
      <c r="AQ3713" s="1115"/>
      <c r="AR3713" s="1115"/>
      <c r="AS3713" s="1117"/>
      <c r="AT3713" s="1075"/>
      <c r="AU3713" s="1193"/>
      <c r="AV3713" s="330"/>
      <c r="AW3713" s="331"/>
      <c r="AX3713" s="331"/>
      <c r="AY3713" s="331"/>
      <c r="AZ3713" s="331"/>
      <c r="BA3713" s="331"/>
      <c r="BB3713" s="331"/>
      <c r="BC3713" s="331"/>
      <c r="BD3713" s="331"/>
      <c r="BE3713" s="333"/>
      <c r="BF3713" s="330"/>
      <c r="BG3713" s="333"/>
      <c r="BH3713" s="1119"/>
      <c r="BI3713" s="319"/>
      <c r="BJ3713" s="319"/>
      <c r="BK3713" s="319"/>
      <c r="BL3713" s="319"/>
      <c r="BM3713" s="319"/>
      <c r="BN3713" s="319"/>
      <c r="BO3713" s="319"/>
      <c r="BP3713" s="953"/>
      <c r="BQ3713" s="319"/>
      <c r="BR3713" s="319"/>
      <c r="BS3713" s="330"/>
      <c r="BT3713" s="331"/>
      <c r="BU3713" s="920"/>
      <c r="BV3713" s="903"/>
      <c r="BW3713" s="908"/>
      <c r="BX3713" s="908"/>
      <c r="BY3713" s="331"/>
      <c r="BZ3713" s="331"/>
      <c r="CA3713" s="462"/>
      <c r="CB3713" s="319"/>
      <c r="CC3713" s="319"/>
      <c r="CD3713" s="319"/>
      <c r="CE3713" s="319"/>
      <c r="CF3713" s="319"/>
      <c r="CG3713" s="319"/>
      <c r="CH3713" s="318"/>
      <c r="CI3713" s="319"/>
      <c r="CJ3713" s="319"/>
      <c r="CK3713" s="342"/>
      <c r="CL3713" s="333"/>
      <c r="CM3713" s="1079"/>
      <c r="CN3713" s="1005"/>
      <c r="CO3713" s="1005"/>
      <c r="CP3713" s="1005"/>
    </row>
    <row r="3714">
      <c r="A3714" s="1257"/>
      <c r="B3714" s="1113"/>
      <c r="C3714" s="1107"/>
      <c r="D3714" s="103"/>
      <c r="E3714" s="1137"/>
      <c r="F3714" s="112"/>
      <c r="G3714" s="1110"/>
      <c r="H3714" s="1138"/>
      <c r="I3714" s="1138"/>
      <c r="J3714" s="1139"/>
      <c r="K3714" s="1111"/>
      <c r="L3714" s="1112"/>
      <c r="M3714" s="1113"/>
      <c r="N3714" s="110"/>
      <c r="O3714" s="1140"/>
      <c r="P3714" s="1115"/>
      <c r="Q3714" s="1116"/>
      <c r="R3714" s="1141"/>
      <c r="S3714" s="1113"/>
      <c r="T3714" s="1143"/>
      <c r="U3714" s="1108"/>
      <c r="V3714" s="1108"/>
      <c r="W3714" s="1108"/>
      <c r="X3714" s="1108"/>
      <c r="Y3714" s="1108"/>
      <c r="Z3714" s="1114"/>
      <c r="AA3714" s="1114"/>
      <c r="AB3714" s="1114"/>
      <c r="AC3714" s="1117"/>
      <c r="AD3714" s="1115"/>
      <c r="AE3714" s="1115"/>
      <c r="AF3714" s="1115"/>
      <c r="AG3714" s="1115"/>
      <c r="AH3714" s="1115"/>
      <c r="AI3714" s="1115"/>
      <c r="AJ3714" s="1117"/>
      <c r="AK3714" s="1118"/>
      <c r="AL3714" s="1115"/>
      <c r="AM3714" s="1115"/>
      <c r="AN3714" s="1115"/>
      <c r="AO3714" s="1115"/>
      <c r="AP3714" s="1115"/>
      <c r="AQ3714" s="1115"/>
      <c r="AR3714" s="1115"/>
      <c r="AS3714" s="1117"/>
      <c r="AT3714" s="1075"/>
      <c r="AU3714" s="1193"/>
      <c r="AV3714" s="330"/>
      <c r="AW3714" s="331"/>
      <c r="AX3714" s="331"/>
      <c r="AY3714" s="331"/>
      <c r="AZ3714" s="331"/>
      <c r="BA3714" s="331"/>
      <c r="BB3714" s="331"/>
      <c r="BC3714" s="331"/>
      <c r="BD3714" s="331"/>
      <c r="BE3714" s="333"/>
      <c r="BF3714" s="330"/>
      <c r="BG3714" s="333"/>
      <c r="BH3714" s="1119"/>
      <c r="BI3714" s="319"/>
      <c r="BJ3714" s="319"/>
      <c r="BK3714" s="319"/>
      <c r="BL3714" s="319"/>
      <c r="BM3714" s="319"/>
      <c r="BN3714" s="319"/>
      <c r="BO3714" s="319"/>
      <c r="BP3714" s="953"/>
      <c r="BQ3714" s="319"/>
      <c r="BR3714" s="319"/>
      <c r="BS3714" s="330"/>
      <c r="BT3714" s="331"/>
      <c r="BU3714" s="920"/>
      <c r="BV3714" s="903"/>
      <c r="BW3714" s="908"/>
      <c r="BX3714" s="908"/>
      <c r="BY3714" s="331"/>
      <c r="BZ3714" s="331"/>
      <c r="CA3714" s="462"/>
      <c r="CB3714" s="319"/>
      <c r="CC3714" s="319"/>
      <c r="CD3714" s="319"/>
      <c r="CE3714" s="319"/>
      <c r="CF3714" s="319"/>
      <c r="CG3714" s="319"/>
      <c r="CH3714" s="318"/>
      <c r="CI3714" s="319"/>
      <c r="CJ3714" s="319"/>
      <c r="CK3714" s="342"/>
      <c r="CL3714" s="333"/>
      <c r="CM3714" s="1079"/>
      <c r="CN3714" s="1005"/>
      <c r="CO3714" s="1005"/>
      <c r="CP3714" s="1005"/>
    </row>
    <row r="3715">
      <c r="A3715" s="1257"/>
      <c r="B3715" s="1113"/>
      <c r="C3715" s="1107"/>
      <c r="D3715" s="103"/>
      <c r="E3715" s="1137"/>
      <c r="F3715" s="112"/>
      <c r="G3715" s="1110"/>
      <c r="H3715" s="1138"/>
      <c r="I3715" s="1138"/>
      <c r="J3715" s="1139"/>
      <c r="K3715" s="1111"/>
      <c r="L3715" s="1112"/>
      <c r="M3715" s="1113"/>
      <c r="N3715" s="110"/>
      <c r="O3715" s="1140"/>
      <c r="P3715" s="1115"/>
      <c r="Q3715" s="1116"/>
      <c r="R3715" s="1141"/>
      <c r="S3715" s="1113"/>
      <c r="T3715" s="1143"/>
      <c r="U3715" s="1108"/>
      <c r="V3715" s="1108"/>
      <c r="W3715" s="1108"/>
      <c r="X3715" s="1108"/>
      <c r="Y3715" s="1108"/>
      <c r="Z3715" s="1114"/>
      <c r="AA3715" s="1114"/>
      <c r="AB3715" s="1114"/>
      <c r="AC3715" s="1117"/>
      <c r="AD3715" s="1115"/>
      <c r="AE3715" s="1115"/>
      <c r="AF3715" s="1115"/>
      <c r="AG3715" s="1115"/>
      <c r="AH3715" s="1115"/>
      <c r="AI3715" s="1115"/>
      <c r="AJ3715" s="1117"/>
      <c r="AK3715" s="1118"/>
      <c r="AL3715" s="1115"/>
      <c r="AM3715" s="1115"/>
      <c r="AN3715" s="1115"/>
      <c r="AO3715" s="1115"/>
      <c r="AP3715" s="1115"/>
      <c r="AQ3715" s="1115"/>
      <c r="AR3715" s="1115"/>
      <c r="AS3715" s="1117"/>
      <c r="AT3715" s="1075"/>
      <c r="AU3715" s="1193"/>
      <c r="AV3715" s="330"/>
      <c r="AW3715" s="331"/>
      <c r="AX3715" s="331"/>
      <c r="AY3715" s="331"/>
      <c r="AZ3715" s="331"/>
      <c r="BA3715" s="331"/>
      <c r="BB3715" s="331"/>
      <c r="BC3715" s="331"/>
      <c r="BD3715" s="331"/>
      <c r="BE3715" s="333"/>
      <c r="BF3715" s="330"/>
      <c r="BG3715" s="333"/>
      <c r="BH3715" s="1119"/>
      <c r="BI3715" s="319"/>
      <c r="BJ3715" s="319"/>
      <c r="BK3715" s="319"/>
      <c r="BL3715" s="319"/>
      <c r="BM3715" s="319"/>
      <c r="BN3715" s="319"/>
      <c r="BO3715" s="319"/>
      <c r="BP3715" s="953"/>
      <c r="BQ3715" s="319"/>
      <c r="BR3715" s="319"/>
      <c r="BS3715" s="330"/>
      <c r="BT3715" s="331"/>
      <c r="BU3715" s="920"/>
      <c r="BV3715" s="903"/>
      <c r="BW3715" s="908"/>
      <c r="BX3715" s="908"/>
      <c r="BY3715" s="331"/>
      <c r="BZ3715" s="331"/>
      <c r="CA3715" s="462"/>
      <c r="CB3715" s="319"/>
      <c r="CC3715" s="319"/>
      <c r="CD3715" s="319"/>
      <c r="CE3715" s="319"/>
      <c r="CF3715" s="319"/>
      <c r="CG3715" s="319"/>
      <c r="CH3715" s="318"/>
      <c r="CI3715" s="319"/>
      <c r="CJ3715" s="319"/>
      <c r="CK3715" s="342"/>
      <c r="CL3715" s="333"/>
      <c r="CM3715" s="1079"/>
      <c r="CN3715" s="1005"/>
      <c r="CO3715" s="1005"/>
      <c r="CP3715" s="1005"/>
    </row>
    <row r="3716">
      <c r="A3716" s="1257"/>
      <c r="B3716" s="1113"/>
      <c r="C3716" s="1107"/>
      <c r="D3716" s="103"/>
      <c r="E3716" s="1137"/>
      <c r="F3716" s="112"/>
      <c r="G3716" s="1110"/>
      <c r="H3716" s="1138"/>
      <c r="I3716" s="1138"/>
      <c r="J3716" s="1139"/>
      <c r="K3716" s="1111"/>
      <c r="L3716" s="1112"/>
      <c r="M3716" s="1113"/>
      <c r="N3716" s="110"/>
      <c r="O3716" s="1140"/>
      <c r="P3716" s="1115"/>
      <c r="Q3716" s="1116"/>
      <c r="R3716" s="1141"/>
      <c r="S3716" s="1113"/>
      <c r="T3716" s="1143"/>
      <c r="U3716" s="1108"/>
      <c r="V3716" s="1108"/>
      <c r="W3716" s="1108"/>
      <c r="X3716" s="1108"/>
      <c r="Y3716" s="1108"/>
      <c r="Z3716" s="1114"/>
      <c r="AA3716" s="1114"/>
      <c r="AB3716" s="1114"/>
      <c r="AC3716" s="1117"/>
      <c r="AD3716" s="1115"/>
      <c r="AE3716" s="1115"/>
      <c r="AF3716" s="1115"/>
      <c r="AG3716" s="1115"/>
      <c r="AH3716" s="1115"/>
      <c r="AI3716" s="1115"/>
      <c r="AJ3716" s="1117"/>
      <c r="AK3716" s="1118"/>
      <c r="AL3716" s="1115"/>
      <c r="AM3716" s="1115"/>
      <c r="AN3716" s="1115"/>
      <c r="AO3716" s="1115"/>
      <c r="AP3716" s="1115"/>
      <c r="AQ3716" s="1115"/>
      <c r="AR3716" s="1115"/>
      <c r="AS3716" s="1117"/>
      <c r="AT3716" s="1075"/>
      <c r="AU3716" s="1193"/>
      <c r="AV3716" s="330"/>
      <c r="AW3716" s="331"/>
      <c r="AX3716" s="331"/>
      <c r="AY3716" s="331"/>
      <c r="AZ3716" s="331"/>
      <c r="BA3716" s="331"/>
      <c r="BB3716" s="331"/>
      <c r="BC3716" s="331"/>
      <c r="BD3716" s="331"/>
      <c r="BE3716" s="333"/>
      <c r="BF3716" s="330"/>
      <c r="BG3716" s="333"/>
      <c r="BH3716" s="1119"/>
      <c r="BI3716" s="319"/>
      <c r="BJ3716" s="319"/>
      <c r="BK3716" s="319"/>
      <c r="BL3716" s="319"/>
      <c r="BM3716" s="319"/>
      <c r="BN3716" s="319"/>
      <c r="BO3716" s="319"/>
      <c r="BP3716" s="953"/>
      <c r="BQ3716" s="319"/>
      <c r="BR3716" s="319"/>
      <c r="BS3716" s="330"/>
      <c r="BT3716" s="331"/>
      <c r="BU3716" s="920"/>
      <c r="BV3716" s="903"/>
      <c r="BW3716" s="908"/>
      <c r="BX3716" s="908"/>
      <c r="BY3716" s="331"/>
      <c r="BZ3716" s="331"/>
      <c r="CA3716" s="462"/>
      <c r="CB3716" s="319"/>
      <c r="CC3716" s="319"/>
      <c r="CD3716" s="319"/>
      <c r="CE3716" s="319"/>
      <c r="CF3716" s="319"/>
      <c r="CG3716" s="319"/>
      <c r="CH3716" s="318"/>
      <c r="CI3716" s="319"/>
      <c r="CJ3716" s="319"/>
      <c r="CK3716" s="342"/>
      <c r="CL3716" s="333"/>
      <c r="CM3716" s="1079"/>
      <c r="CN3716" s="1005"/>
      <c r="CO3716" s="1005"/>
      <c r="CP3716" s="1005"/>
    </row>
    <row r="3717">
      <c r="A3717" s="1257"/>
      <c r="B3717" s="1113"/>
      <c r="C3717" s="1107"/>
      <c r="D3717" s="103"/>
      <c r="E3717" s="1137"/>
      <c r="F3717" s="112"/>
      <c r="G3717" s="1110"/>
      <c r="H3717" s="1138"/>
      <c r="I3717" s="1138"/>
      <c r="J3717" s="1139"/>
      <c r="K3717" s="1111"/>
      <c r="L3717" s="1112"/>
      <c r="M3717" s="1113"/>
      <c r="N3717" s="110"/>
      <c r="O3717" s="1140"/>
      <c r="P3717" s="1115"/>
      <c r="Q3717" s="1116"/>
      <c r="R3717" s="1141"/>
      <c r="S3717" s="1113"/>
      <c r="T3717" s="1143"/>
      <c r="U3717" s="1108"/>
      <c r="V3717" s="1108"/>
      <c r="W3717" s="1108"/>
      <c r="X3717" s="1108"/>
      <c r="Y3717" s="1108"/>
      <c r="Z3717" s="1114"/>
      <c r="AA3717" s="1114"/>
      <c r="AB3717" s="1114"/>
      <c r="AC3717" s="1117"/>
      <c r="AD3717" s="1115"/>
      <c r="AE3717" s="1115"/>
      <c r="AF3717" s="1115"/>
      <c r="AG3717" s="1115"/>
      <c r="AH3717" s="1115"/>
      <c r="AI3717" s="1115"/>
      <c r="AJ3717" s="1117"/>
      <c r="AK3717" s="1118"/>
      <c r="AL3717" s="1115"/>
      <c r="AM3717" s="1115"/>
      <c r="AN3717" s="1115"/>
      <c r="AO3717" s="1115"/>
      <c r="AP3717" s="1115"/>
      <c r="AQ3717" s="1115"/>
      <c r="AR3717" s="1115"/>
      <c r="AS3717" s="1117"/>
      <c r="AT3717" s="1075"/>
      <c r="AU3717" s="1193"/>
      <c r="AV3717" s="330"/>
      <c r="AW3717" s="331"/>
      <c r="AX3717" s="331"/>
      <c r="AY3717" s="331"/>
      <c r="AZ3717" s="331"/>
      <c r="BA3717" s="331"/>
      <c r="BB3717" s="331"/>
      <c r="BC3717" s="331"/>
      <c r="BD3717" s="331"/>
      <c r="BE3717" s="333"/>
      <c r="BF3717" s="330"/>
      <c r="BG3717" s="333"/>
      <c r="BH3717" s="1119"/>
      <c r="BI3717" s="319"/>
      <c r="BJ3717" s="319"/>
      <c r="BK3717" s="319"/>
      <c r="BL3717" s="319"/>
      <c r="BM3717" s="319"/>
      <c r="BN3717" s="319"/>
      <c r="BO3717" s="319"/>
      <c r="BP3717" s="953"/>
      <c r="BQ3717" s="319"/>
      <c r="BR3717" s="319"/>
      <c r="BS3717" s="330"/>
      <c r="BT3717" s="331"/>
      <c r="BU3717" s="920"/>
      <c r="BV3717" s="903"/>
      <c r="BW3717" s="908"/>
      <c r="BX3717" s="908"/>
      <c r="BY3717" s="331"/>
      <c r="BZ3717" s="331"/>
      <c r="CA3717" s="462"/>
      <c r="CB3717" s="319"/>
      <c r="CC3717" s="319"/>
      <c r="CD3717" s="319"/>
      <c r="CE3717" s="319"/>
      <c r="CF3717" s="319"/>
      <c r="CG3717" s="319"/>
      <c r="CH3717" s="318"/>
      <c r="CI3717" s="319"/>
      <c r="CJ3717" s="319"/>
      <c r="CK3717" s="342"/>
      <c r="CL3717" s="333"/>
      <c r="CM3717" s="1079"/>
      <c r="CN3717" s="1005"/>
      <c r="CO3717" s="1005"/>
      <c r="CP3717" s="1005"/>
    </row>
    <row r="3718">
      <c r="A3718" s="1257"/>
      <c r="B3718" s="1113"/>
      <c r="C3718" s="1107"/>
      <c r="D3718" s="103"/>
      <c r="E3718" s="1137"/>
      <c r="F3718" s="112"/>
      <c r="G3718" s="1110"/>
      <c r="H3718" s="1138"/>
      <c r="I3718" s="1138"/>
      <c r="J3718" s="1139"/>
      <c r="K3718" s="1111"/>
      <c r="L3718" s="1112"/>
      <c r="M3718" s="1113"/>
      <c r="N3718" s="110"/>
      <c r="O3718" s="1140"/>
      <c r="P3718" s="1115"/>
      <c r="Q3718" s="1116"/>
      <c r="R3718" s="1141"/>
      <c r="S3718" s="1113"/>
      <c r="T3718" s="1143"/>
      <c r="U3718" s="1108"/>
      <c r="V3718" s="1108"/>
      <c r="W3718" s="1108"/>
      <c r="X3718" s="1108"/>
      <c r="Y3718" s="1108"/>
      <c r="Z3718" s="1114"/>
      <c r="AA3718" s="1114"/>
      <c r="AB3718" s="1114"/>
      <c r="AC3718" s="1117"/>
      <c r="AD3718" s="1115"/>
      <c r="AE3718" s="1115"/>
      <c r="AF3718" s="1115"/>
      <c r="AG3718" s="1115"/>
      <c r="AH3718" s="1115"/>
      <c r="AI3718" s="1115"/>
      <c r="AJ3718" s="1117"/>
      <c r="AK3718" s="1118"/>
      <c r="AL3718" s="1115"/>
      <c r="AM3718" s="1115"/>
      <c r="AN3718" s="1115"/>
      <c r="AO3718" s="1115"/>
      <c r="AP3718" s="1115"/>
      <c r="AQ3718" s="1115"/>
      <c r="AR3718" s="1115"/>
      <c r="AS3718" s="1117"/>
      <c r="AT3718" s="1075"/>
      <c r="AU3718" s="1193"/>
      <c r="AV3718" s="330"/>
      <c r="AW3718" s="331"/>
      <c r="AX3718" s="331"/>
      <c r="AY3718" s="331"/>
      <c r="AZ3718" s="331"/>
      <c r="BA3718" s="331"/>
      <c r="BB3718" s="331"/>
      <c r="BC3718" s="331"/>
      <c r="BD3718" s="331"/>
      <c r="BE3718" s="333"/>
      <c r="BF3718" s="330"/>
      <c r="BG3718" s="333"/>
      <c r="BH3718" s="1119"/>
      <c r="BI3718" s="319"/>
      <c r="BJ3718" s="319"/>
      <c r="BK3718" s="319"/>
      <c r="BL3718" s="319"/>
      <c r="BM3718" s="319"/>
      <c r="BN3718" s="319"/>
      <c r="BO3718" s="319"/>
      <c r="BP3718" s="953"/>
      <c r="BQ3718" s="319"/>
      <c r="BR3718" s="319"/>
      <c r="BS3718" s="330"/>
      <c r="BT3718" s="331"/>
      <c r="BU3718" s="920"/>
      <c r="BV3718" s="903"/>
      <c r="BW3718" s="908"/>
      <c r="BX3718" s="908"/>
      <c r="BY3718" s="331"/>
      <c r="BZ3718" s="331"/>
      <c r="CA3718" s="462"/>
      <c r="CB3718" s="319"/>
      <c r="CC3718" s="319"/>
      <c r="CD3718" s="319"/>
      <c r="CE3718" s="319"/>
      <c r="CF3718" s="319"/>
      <c r="CG3718" s="319"/>
      <c r="CH3718" s="318"/>
      <c r="CI3718" s="319"/>
      <c r="CJ3718" s="319"/>
      <c r="CK3718" s="342"/>
      <c r="CL3718" s="333"/>
      <c r="CM3718" s="1079"/>
      <c r="CN3718" s="1005"/>
      <c r="CO3718" s="1005"/>
      <c r="CP3718" s="1005"/>
    </row>
    <row r="3719">
      <c r="A3719" s="1257"/>
      <c r="B3719" s="1113"/>
      <c r="C3719" s="1107"/>
      <c r="D3719" s="103"/>
      <c r="E3719" s="1137"/>
      <c r="F3719" s="112"/>
      <c r="G3719" s="1110"/>
      <c r="H3719" s="1138"/>
      <c r="I3719" s="1138"/>
      <c r="J3719" s="1139"/>
      <c r="K3719" s="1111"/>
      <c r="L3719" s="1112"/>
      <c r="M3719" s="1113"/>
      <c r="N3719" s="110"/>
      <c r="O3719" s="1140"/>
      <c r="P3719" s="1115"/>
      <c r="Q3719" s="1116"/>
      <c r="R3719" s="1141"/>
      <c r="S3719" s="1113"/>
      <c r="T3719" s="1143"/>
      <c r="U3719" s="1108"/>
      <c r="V3719" s="1108"/>
      <c r="W3719" s="1108"/>
      <c r="X3719" s="1108"/>
      <c r="Y3719" s="1108"/>
      <c r="Z3719" s="1114"/>
      <c r="AA3719" s="1114"/>
      <c r="AB3719" s="1114"/>
      <c r="AC3719" s="1117"/>
      <c r="AD3719" s="1115"/>
      <c r="AE3719" s="1115"/>
      <c r="AF3719" s="1115"/>
      <c r="AG3719" s="1115"/>
      <c r="AH3719" s="1115"/>
      <c r="AI3719" s="1115"/>
      <c r="AJ3719" s="1117"/>
      <c r="AK3719" s="1118"/>
      <c r="AL3719" s="1115"/>
      <c r="AM3719" s="1115"/>
      <c r="AN3719" s="1115"/>
      <c r="AO3719" s="1115"/>
      <c r="AP3719" s="1115"/>
      <c r="AQ3719" s="1115"/>
      <c r="AR3719" s="1115"/>
      <c r="AS3719" s="1117"/>
      <c r="AT3719" s="1075"/>
      <c r="AU3719" s="1193"/>
      <c r="AV3719" s="330"/>
      <c r="AW3719" s="331"/>
      <c r="AX3719" s="331"/>
      <c r="AY3719" s="331"/>
      <c r="AZ3719" s="331"/>
      <c r="BA3719" s="331"/>
      <c r="BB3719" s="331"/>
      <c r="BC3719" s="331"/>
      <c r="BD3719" s="331"/>
      <c r="BE3719" s="333"/>
      <c r="BF3719" s="330"/>
      <c r="BG3719" s="333"/>
      <c r="BH3719" s="1119"/>
      <c r="BI3719" s="319"/>
      <c r="BJ3719" s="319"/>
      <c r="BK3719" s="319"/>
      <c r="BL3719" s="319"/>
      <c r="BM3719" s="319"/>
      <c r="BN3719" s="319"/>
      <c r="BO3719" s="319"/>
      <c r="BP3719" s="953"/>
      <c r="BQ3719" s="319"/>
      <c r="BR3719" s="319"/>
      <c r="BS3719" s="330"/>
      <c r="BT3719" s="331"/>
      <c r="BU3719" s="920"/>
      <c r="BV3719" s="903"/>
      <c r="BW3719" s="908"/>
      <c r="BX3719" s="908"/>
      <c r="BY3719" s="331"/>
      <c r="BZ3719" s="331"/>
      <c r="CA3719" s="462"/>
      <c r="CB3719" s="319"/>
      <c r="CC3719" s="319"/>
      <c r="CD3719" s="319"/>
      <c r="CE3719" s="319"/>
      <c r="CF3719" s="319"/>
      <c r="CG3719" s="319"/>
      <c r="CH3719" s="318"/>
      <c r="CI3719" s="319"/>
      <c r="CJ3719" s="319"/>
      <c r="CK3719" s="342"/>
      <c r="CL3719" s="333"/>
      <c r="CM3719" s="1079"/>
      <c r="CN3719" s="1005"/>
      <c r="CO3719" s="1005"/>
      <c r="CP3719" s="1005"/>
    </row>
    <row r="3720">
      <c r="A3720" s="1257"/>
      <c r="B3720" s="1113"/>
      <c r="C3720" s="1107"/>
      <c r="D3720" s="103"/>
      <c r="E3720" s="1137"/>
      <c r="F3720" s="112"/>
      <c r="G3720" s="1110"/>
      <c r="H3720" s="1138"/>
      <c r="I3720" s="1138"/>
      <c r="J3720" s="1139"/>
      <c r="K3720" s="1111"/>
      <c r="L3720" s="1112"/>
      <c r="M3720" s="1113"/>
      <c r="N3720" s="110"/>
      <c r="O3720" s="1140"/>
      <c r="P3720" s="1115"/>
      <c r="Q3720" s="1116"/>
      <c r="R3720" s="1141"/>
      <c r="S3720" s="1113"/>
      <c r="T3720" s="1143"/>
      <c r="U3720" s="1108"/>
      <c r="V3720" s="1108"/>
      <c r="W3720" s="1108"/>
      <c r="X3720" s="1108"/>
      <c r="Y3720" s="1108"/>
      <c r="Z3720" s="1114"/>
      <c r="AA3720" s="1114"/>
      <c r="AB3720" s="1114"/>
      <c r="AC3720" s="1117"/>
      <c r="AD3720" s="1115"/>
      <c r="AE3720" s="1115"/>
      <c r="AF3720" s="1115"/>
      <c r="AG3720" s="1115"/>
      <c r="AH3720" s="1115"/>
      <c r="AI3720" s="1115"/>
      <c r="AJ3720" s="1117"/>
      <c r="AK3720" s="1118"/>
      <c r="AL3720" s="1115"/>
      <c r="AM3720" s="1115"/>
      <c r="AN3720" s="1115"/>
      <c r="AO3720" s="1115"/>
      <c r="AP3720" s="1115"/>
      <c r="AQ3720" s="1115"/>
      <c r="AR3720" s="1115"/>
      <c r="AS3720" s="1117"/>
      <c r="AT3720" s="1075"/>
      <c r="AU3720" s="1193"/>
      <c r="AV3720" s="330"/>
      <c r="AW3720" s="331"/>
      <c r="AX3720" s="331"/>
      <c r="AY3720" s="331"/>
      <c r="AZ3720" s="331"/>
      <c r="BA3720" s="331"/>
      <c r="BB3720" s="331"/>
      <c r="BC3720" s="331"/>
      <c r="BD3720" s="331"/>
      <c r="BE3720" s="333"/>
      <c r="BF3720" s="330"/>
      <c r="BG3720" s="333"/>
      <c r="BH3720" s="1119"/>
      <c r="BI3720" s="319"/>
      <c r="BJ3720" s="319"/>
      <c r="BK3720" s="319"/>
      <c r="BL3720" s="319"/>
      <c r="BM3720" s="319"/>
      <c r="BN3720" s="319"/>
      <c r="BO3720" s="319"/>
      <c r="BP3720" s="953"/>
      <c r="BQ3720" s="319"/>
      <c r="BR3720" s="319"/>
      <c r="BS3720" s="330"/>
      <c r="BT3720" s="331"/>
      <c r="BU3720" s="920"/>
      <c r="BV3720" s="903"/>
      <c r="BW3720" s="908"/>
      <c r="BX3720" s="908"/>
      <c r="BY3720" s="331"/>
      <c r="BZ3720" s="331"/>
      <c r="CA3720" s="462"/>
      <c r="CB3720" s="319"/>
      <c r="CC3720" s="319"/>
      <c r="CD3720" s="319"/>
      <c r="CE3720" s="319"/>
      <c r="CF3720" s="319"/>
      <c r="CG3720" s="319"/>
      <c r="CH3720" s="318"/>
      <c r="CI3720" s="319"/>
      <c r="CJ3720" s="319"/>
      <c r="CK3720" s="342"/>
      <c r="CL3720" s="333"/>
      <c r="CM3720" s="1079"/>
      <c r="CN3720" s="1005"/>
      <c r="CO3720" s="1005"/>
      <c r="CP3720" s="1005"/>
    </row>
    <row r="3721">
      <c r="A3721" s="1257"/>
      <c r="B3721" s="1113"/>
      <c r="C3721" s="1107"/>
      <c r="D3721" s="103"/>
      <c r="E3721" s="1137"/>
      <c r="F3721" s="112"/>
      <c r="G3721" s="1110"/>
      <c r="H3721" s="1138"/>
      <c r="I3721" s="1138"/>
      <c r="J3721" s="1139"/>
      <c r="K3721" s="1111"/>
      <c r="L3721" s="1112"/>
      <c r="M3721" s="1113"/>
      <c r="N3721" s="110"/>
      <c r="O3721" s="1140"/>
      <c r="P3721" s="1115"/>
      <c r="Q3721" s="1116"/>
      <c r="R3721" s="1141"/>
      <c r="S3721" s="1113"/>
      <c r="T3721" s="1143"/>
      <c r="U3721" s="1108"/>
      <c r="V3721" s="1108"/>
      <c r="W3721" s="1108"/>
      <c r="X3721" s="1108"/>
      <c r="Y3721" s="1108"/>
      <c r="Z3721" s="1114"/>
      <c r="AA3721" s="1114"/>
      <c r="AB3721" s="1114"/>
      <c r="AC3721" s="1117"/>
      <c r="AD3721" s="1115"/>
      <c r="AE3721" s="1115"/>
      <c r="AF3721" s="1115"/>
      <c r="AG3721" s="1115"/>
      <c r="AH3721" s="1115"/>
      <c r="AI3721" s="1115"/>
      <c r="AJ3721" s="1117"/>
      <c r="AK3721" s="1118"/>
      <c r="AL3721" s="1115"/>
      <c r="AM3721" s="1115"/>
      <c r="AN3721" s="1115"/>
      <c r="AO3721" s="1115"/>
      <c r="AP3721" s="1115"/>
      <c r="AQ3721" s="1115"/>
      <c r="AR3721" s="1115"/>
      <c r="AS3721" s="1117"/>
      <c r="AT3721" s="1075"/>
      <c r="AU3721" s="1193"/>
      <c r="AV3721" s="330"/>
      <c r="AW3721" s="331"/>
      <c r="AX3721" s="331"/>
      <c r="AY3721" s="331"/>
      <c r="AZ3721" s="331"/>
      <c r="BA3721" s="331"/>
      <c r="BB3721" s="331"/>
      <c r="BC3721" s="331"/>
      <c r="BD3721" s="331"/>
      <c r="BE3721" s="333"/>
      <c r="BF3721" s="330"/>
      <c r="BG3721" s="333"/>
      <c r="BH3721" s="1119"/>
      <c r="BI3721" s="319"/>
      <c r="BJ3721" s="319"/>
      <c r="BK3721" s="319"/>
      <c r="BL3721" s="319"/>
      <c r="BM3721" s="319"/>
      <c r="BN3721" s="319"/>
      <c r="BO3721" s="319"/>
      <c r="BP3721" s="953"/>
      <c r="BQ3721" s="319"/>
      <c r="BR3721" s="319"/>
      <c r="BS3721" s="330"/>
      <c r="BT3721" s="331"/>
      <c r="BU3721" s="920"/>
      <c r="BV3721" s="903"/>
      <c r="BW3721" s="908"/>
      <c r="BX3721" s="908"/>
      <c r="BY3721" s="331"/>
      <c r="BZ3721" s="331"/>
      <c r="CA3721" s="462"/>
      <c r="CB3721" s="319"/>
      <c r="CC3721" s="319"/>
      <c r="CD3721" s="319"/>
      <c r="CE3721" s="319"/>
      <c r="CF3721" s="319"/>
      <c r="CG3721" s="319"/>
      <c r="CH3721" s="318"/>
      <c r="CI3721" s="319"/>
      <c r="CJ3721" s="319"/>
      <c r="CK3721" s="342"/>
      <c r="CL3721" s="333"/>
      <c r="CM3721" s="1079"/>
      <c r="CN3721" s="1005"/>
      <c r="CO3721" s="1005"/>
      <c r="CP3721" s="1005"/>
    </row>
    <row r="3722">
      <c r="A3722" s="1257"/>
      <c r="B3722" s="1113"/>
      <c r="C3722" s="1107"/>
      <c r="D3722" s="103"/>
      <c r="E3722" s="1137"/>
      <c r="F3722" s="112"/>
      <c r="G3722" s="1110"/>
      <c r="H3722" s="1138"/>
      <c r="I3722" s="1138"/>
      <c r="J3722" s="1139"/>
      <c r="K3722" s="1111"/>
      <c r="L3722" s="1112"/>
      <c r="M3722" s="1113"/>
      <c r="N3722" s="110"/>
      <c r="O3722" s="1140"/>
      <c r="P3722" s="1115"/>
      <c r="Q3722" s="1116"/>
      <c r="R3722" s="1141"/>
      <c r="S3722" s="1113"/>
      <c r="T3722" s="1143"/>
      <c r="U3722" s="1108"/>
      <c r="V3722" s="1108"/>
      <c r="W3722" s="1108"/>
      <c r="X3722" s="1108"/>
      <c r="Y3722" s="1108"/>
      <c r="Z3722" s="1114"/>
      <c r="AA3722" s="1114"/>
      <c r="AB3722" s="1114"/>
      <c r="AC3722" s="1117"/>
      <c r="AD3722" s="1115"/>
      <c r="AE3722" s="1115"/>
      <c r="AF3722" s="1115"/>
      <c r="AG3722" s="1115"/>
      <c r="AH3722" s="1115"/>
      <c r="AI3722" s="1115"/>
      <c r="AJ3722" s="1117"/>
      <c r="AK3722" s="1118"/>
      <c r="AL3722" s="1115"/>
      <c r="AM3722" s="1115"/>
      <c r="AN3722" s="1115"/>
      <c r="AO3722" s="1115"/>
      <c r="AP3722" s="1115"/>
      <c r="AQ3722" s="1115"/>
      <c r="AR3722" s="1115"/>
      <c r="AS3722" s="1117"/>
      <c r="AT3722" s="1075"/>
      <c r="AU3722" s="1193"/>
      <c r="AV3722" s="330"/>
      <c r="AW3722" s="331"/>
      <c r="AX3722" s="331"/>
      <c r="AY3722" s="331"/>
      <c r="AZ3722" s="331"/>
      <c r="BA3722" s="331"/>
      <c r="BB3722" s="331"/>
      <c r="BC3722" s="331"/>
      <c r="BD3722" s="331"/>
      <c r="BE3722" s="333"/>
      <c r="BF3722" s="330"/>
      <c r="BG3722" s="333"/>
      <c r="BH3722" s="1119"/>
      <c r="BI3722" s="319"/>
      <c r="BJ3722" s="319"/>
      <c r="BK3722" s="319"/>
      <c r="BL3722" s="319"/>
      <c r="BM3722" s="319"/>
      <c r="BN3722" s="319"/>
      <c r="BO3722" s="319"/>
      <c r="BP3722" s="953"/>
      <c r="BQ3722" s="319"/>
      <c r="BR3722" s="319"/>
      <c r="BS3722" s="330"/>
      <c r="BT3722" s="331"/>
      <c r="BU3722" s="920"/>
      <c r="BV3722" s="903"/>
      <c r="BW3722" s="908"/>
      <c r="BX3722" s="908"/>
      <c r="BY3722" s="331"/>
      <c r="BZ3722" s="331"/>
      <c r="CA3722" s="462"/>
      <c r="CB3722" s="319"/>
      <c r="CC3722" s="319"/>
      <c r="CD3722" s="319"/>
      <c r="CE3722" s="319"/>
      <c r="CF3722" s="319"/>
      <c r="CG3722" s="319"/>
      <c r="CH3722" s="318"/>
      <c r="CI3722" s="319"/>
      <c r="CJ3722" s="319"/>
      <c r="CK3722" s="342"/>
      <c r="CL3722" s="333"/>
      <c r="CM3722" s="1079"/>
      <c r="CN3722" s="1005"/>
      <c r="CO3722" s="1005"/>
      <c r="CP3722" s="1005"/>
    </row>
    <row r="3723">
      <c r="A3723" s="1257"/>
      <c r="B3723" s="1113"/>
      <c r="C3723" s="1107"/>
      <c r="D3723" s="103"/>
      <c r="E3723" s="1137"/>
      <c r="F3723" s="112"/>
      <c r="G3723" s="1110"/>
      <c r="H3723" s="1138"/>
      <c r="I3723" s="1138"/>
      <c r="J3723" s="1139"/>
      <c r="K3723" s="1111"/>
      <c r="L3723" s="1112"/>
      <c r="M3723" s="1113"/>
      <c r="N3723" s="110"/>
      <c r="O3723" s="1140"/>
      <c r="P3723" s="1115"/>
      <c r="Q3723" s="1116"/>
      <c r="R3723" s="1141"/>
      <c r="S3723" s="1113"/>
      <c r="T3723" s="1143"/>
      <c r="U3723" s="1108"/>
      <c r="V3723" s="1108"/>
      <c r="W3723" s="1108"/>
      <c r="X3723" s="1108"/>
      <c r="Y3723" s="1108"/>
      <c r="Z3723" s="1114"/>
      <c r="AA3723" s="1114"/>
      <c r="AB3723" s="1114"/>
      <c r="AC3723" s="1117"/>
      <c r="AD3723" s="1115"/>
      <c r="AE3723" s="1115"/>
      <c r="AF3723" s="1115"/>
      <c r="AG3723" s="1115"/>
      <c r="AH3723" s="1115"/>
      <c r="AI3723" s="1115"/>
      <c r="AJ3723" s="1117"/>
      <c r="AK3723" s="1118"/>
      <c r="AL3723" s="1115"/>
      <c r="AM3723" s="1115"/>
      <c r="AN3723" s="1115"/>
      <c r="AO3723" s="1115"/>
      <c r="AP3723" s="1115"/>
      <c r="AQ3723" s="1115"/>
      <c r="AR3723" s="1115"/>
      <c r="AS3723" s="1117"/>
      <c r="AT3723" s="1075"/>
      <c r="AU3723" s="1193"/>
      <c r="AV3723" s="330"/>
      <c r="AW3723" s="331"/>
      <c r="AX3723" s="331"/>
      <c r="AY3723" s="331"/>
      <c r="AZ3723" s="331"/>
      <c r="BA3723" s="331"/>
      <c r="BB3723" s="331"/>
      <c r="BC3723" s="331"/>
      <c r="BD3723" s="331"/>
      <c r="BE3723" s="333"/>
      <c r="BF3723" s="330"/>
      <c r="BG3723" s="333"/>
      <c r="BH3723" s="1119"/>
      <c r="BI3723" s="319"/>
      <c r="BJ3723" s="319"/>
      <c r="BK3723" s="319"/>
      <c r="BL3723" s="319"/>
      <c r="BM3723" s="319"/>
      <c r="BN3723" s="319"/>
      <c r="BO3723" s="319"/>
      <c r="BP3723" s="953"/>
      <c r="BQ3723" s="319"/>
      <c r="BR3723" s="319"/>
      <c r="BS3723" s="330"/>
      <c r="BT3723" s="331"/>
      <c r="BU3723" s="920"/>
      <c r="BV3723" s="903"/>
      <c r="BW3723" s="908"/>
      <c r="BX3723" s="908"/>
      <c r="BY3723" s="331"/>
      <c r="BZ3723" s="331"/>
      <c r="CA3723" s="462"/>
      <c r="CB3723" s="319"/>
      <c r="CC3723" s="319"/>
      <c r="CD3723" s="319"/>
      <c r="CE3723" s="319"/>
      <c r="CF3723" s="319"/>
      <c r="CG3723" s="319"/>
      <c r="CH3723" s="318"/>
      <c r="CI3723" s="319"/>
      <c r="CJ3723" s="319"/>
      <c r="CK3723" s="342"/>
      <c r="CL3723" s="333"/>
      <c r="CM3723" s="1079"/>
      <c r="CN3723" s="1005"/>
      <c r="CO3723" s="1005"/>
      <c r="CP3723" s="1005"/>
    </row>
    <row r="3724">
      <c r="A3724" s="1257"/>
      <c r="B3724" s="1113"/>
      <c r="C3724" s="1107"/>
      <c r="D3724" s="103"/>
      <c r="E3724" s="1137"/>
      <c r="F3724" s="112"/>
      <c r="G3724" s="1110"/>
      <c r="H3724" s="1138"/>
      <c r="I3724" s="1138"/>
      <c r="J3724" s="1139"/>
      <c r="K3724" s="1111"/>
      <c r="L3724" s="1112"/>
      <c r="M3724" s="1113"/>
      <c r="N3724" s="110"/>
      <c r="O3724" s="1140"/>
      <c r="P3724" s="1115"/>
      <c r="Q3724" s="1116"/>
      <c r="R3724" s="1141"/>
      <c r="S3724" s="1113"/>
      <c r="T3724" s="1143"/>
      <c r="U3724" s="1108"/>
      <c r="V3724" s="1108"/>
      <c r="W3724" s="1108"/>
      <c r="X3724" s="1108"/>
      <c r="Y3724" s="1108"/>
      <c r="Z3724" s="1114"/>
      <c r="AA3724" s="1114"/>
      <c r="AB3724" s="1114"/>
      <c r="AC3724" s="1117"/>
      <c r="AD3724" s="1115"/>
      <c r="AE3724" s="1115"/>
      <c r="AF3724" s="1115"/>
      <c r="AG3724" s="1115"/>
      <c r="AH3724" s="1115"/>
      <c r="AI3724" s="1115"/>
      <c r="AJ3724" s="1117"/>
      <c r="AK3724" s="1118"/>
      <c r="AL3724" s="1115"/>
      <c r="AM3724" s="1115"/>
      <c r="AN3724" s="1115"/>
      <c r="AO3724" s="1115"/>
      <c r="AP3724" s="1115"/>
      <c r="AQ3724" s="1115"/>
      <c r="AR3724" s="1115"/>
      <c r="AS3724" s="1117"/>
      <c r="AT3724" s="1075"/>
      <c r="AU3724" s="1193"/>
      <c r="AV3724" s="330"/>
      <c r="AW3724" s="331"/>
      <c r="AX3724" s="331"/>
      <c r="AY3724" s="331"/>
      <c r="AZ3724" s="331"/>
      <c r="BA3724" s="331"/>
      <c r="BB3724" s="331"/>
      <c r="BC3724" s="331"/>
      <c r="BD3724" s="331"/>
      <c r="BE3724" s="333"/>
      <c r="BF3724" s="330"/>
      <c r="BG3724" s="333"/>
      <c r="BH3724" s="1119"/>
      <c r="BI3724" s="319"/>
      <c r="BJ3724" s="319"/>
      <c r="BK3724" s="319"/>
      <c r="BL3724" s="319"/>
      <c r="BM3724" s="319"/>
      <c r="BN3724" s="319"/>
      <c r="BO3724" s="319"/>
      <c r="BP3724" s="953"/>
      <c r="BQ3724" s="319"/>
      <c r="BR3724" s="319"/>
      <c r="BS3724" s="330"/>
      <c r="BT3724" s="331"/>
      <c r="BU3724" s="920"/>
      <c r="BV3724" s="903"/>
      <c r="BW3724" s="908"/>
      <c r="BX3724" s="908"/>
      <c r="BY3724" s="331"/>
      <c r="BZ3724" s="331"/>
      <c r="CA3724" s="462"/>
      <c r="CB3724" s="319"/>
      <c r="CC3724" s="319"/>
      <c r="CD3724" s="319"/>
      <c r="CE3724" s="319"/>
      <c r="CF3724" s="319"/>
      <c r="CG3724" s="319"/>
      <c r="CH3724" s="318"/>
      <c r="CI3724" s="319"/>
      <c r="CJ3724" s="319"/>
      <c r="CK3724" s="342"/>
      <c r="CL3724" s="333"/>
      <c r="CM3724" s="1079"/>
      <c r="CN3724" s="1005"/>
      <c r="CO3724" s="1005"/>
      <c r="CP3724" s="1005"/>
    </row>
    <row r="3725">
      <c r="A3725" s="1257"/>
      <c r="B3725" s="1113"/>
      <c r="C3725" s="1107"/>
      <c r="D3725" s="103"/>
      <c r="E3725" s="1137"/>
      <c r="F3725" s="112"/>
      <c r="G3725" s="1110"/>
      <c r="H3725" s="1138"/>
      <c r="I3725" s="1138"/>
      <c r="J3725" s="1139"/>
      <c r="K3725" s="1111"/>
      <c r="L3725" s="1112"/>
      <c r="M3725" s="1113"/>
      <c r="N3725" s="110"/>
      <c r="O3725" s="1140"/>
      <c r="P3725" s="1115"/>
      <c r="Q3725" s="1116"/>
      <c r="R3725" s="1141"/>
      <c r="S3725" s="1113"/>
      <c r="T3725" s="1143"/>
      <c r="U3725" s="1108"/>
      <c r="V3725" s="1108"/>
      <c r="W3725" s="1108"/>
      <c r="X3725" s="1108"/>
      <c r="Y3725" s="1108"/>
      <c r="Z3725" s="1114"/>
      <c r="AA3725" s="1114"/>
      <c r="AB3725" s="1114"/>
      <c r="AC3725" s="1117"/>
      <c r="AD3725" s="1115"/>
      <c r="AE3725" s="1115"/>
      <c r="AF3725" s="1115"/>
      <c r="AG3725" s="1115"/>
      <c r="AH3725" s="1115"/>
      <c r="AI3725" s="1115"/>
      <c r="AJ3725" s="1117"/>
      <c r="AK3725" s="1118"/>
      <c r="AL3725" s="1115"/>
      <c r="AM3725" s="1115"/>
      <c r="AN3725" s="1115"/>
      <c r="AO3725" s="1115"/>
      <c r="AP3725" s="1115"/>
      <c r="AQ3725" s="1115"/>
      <c r="AR3725" s="1115"/>
      <c r="AS3725" s="1117"/>
      <c r="AT3725" s="1075"/>
      <c r="AU3725" s="1193"/>
      <c r="AV3725" s="330"/>
      <c r="AW3725" s="331"/>
      <c r="AX3725" s="331"/>
      <c r="AY3725" s="331"/>
      <c r="AZ3725" s="331"/>
      <c r="BA3725" s="331"/>
      <c r="BB3725" s="331"/>
      <c r="BC3725" s="331"/>
      <c r="BD3725" s="331"/>
      <c r="BE3725" s="333"/>
      <c r="BF3725" s="330"/>
      <c r="BG3725" s="333"/>
      <c r="BH3725" s="1119"/>
      <c r="BI3725" s="319"/>
      <c r="BJ3725" s="319"/>
      <c r="BK3725" s="319"/>
      <c r="BL3725" s="319"/>
      <c r="BM3725" s="319"/>
      <c r="BN3725" s="319"/>
      <c r="BO3725" s="319"/>
      <c r="BP3725" s="953"/>
      <c r="BQ3725" s="319"/>
      <c r="BR3725" s="319"/>
      <c r="BS3725" s="330"/>
      <c r="BT3725" s="331"/>
      <c r="BU3725" s="920"/>
      <c r="BV3725" s="903"/>
      <c r="BW3725" s="908"/>
      <c r="BX3725" s="908"/>
      <c r="BY3725" s="331"/>
      <c r="BZ3725" s="331"/>
      <c r="CA3725" s="462"/>
      <c r="CB3725" s="319"/>
      <c r="CC3725" s="319"/>
      <c r="CD3725" s="319"/>
      <c r="CE3725" s="319"/>
      <c r="CF3725" s="319"/>
      <c r="CG3725" s="319"/>
      <c r="CH3725" s="318"/>
      <c r="CI3725" s="319"/>
      <c r="CJ3725" s="319"/>
      <c r="CK3725" s="342"/>
      <c r="CL3725" s="333"/>
      <c r="CM3725" s="1079"/>
      <c r="CN3725" s="1005"/>
      <c r="CO3725" s="1005"/>
      <c r="CP3725" s="1005"/>
    </row>
    <row r="3726">
      <c r="A3726" s="1257"/>
      <c r="B3726" s="1113"/>
      <c r="C3726" s="1107"/>
      <c r="D3726" s="103"/>
      <c r="E3726" s="1137"/>
      <c r="F3726" s="112"/>
      <c r="G3726" s="1110"/>
      <c r="H3726" s="1138"/>
      <c r="I3726" s="1138"/>
      <c r="J3726" s="1139"/>
      <c r="K3726" s="1111"/>
      <c r="L3726" s="1112"/>
      <c r="M3726" s="1113"/>
      <c r="N3726" s="110"/>
      <c r="O3726" s="1140"/>
      <c r="P3726" s="1115"/>
      <c r="Q3726" s="1116"/>
      <c r="R3726" s="1141"/>
      <c r="S3726" s="1113"/>
      <c r="T3726" s="1143"/>
      <c r="U3726" s="1108"/>
      <c r="V3726" s="1108"/>
      <c r="W3726" s="1108"/>
      <c r="X3726" s="1108"/>
      <c r="Y3726" s="1108"/>
      <c r="Z3726" s="1114"/>
      <c r="AA3726" s="1114"/>
      <c r="AB3726" s="1114"/>
      <c r="AC3726" s="1117"/>
      <c r="AD3726" s="1115"/>
      <c r="AE3726" s="1115"/>
      <c r="AF3726" s="1115"/>
      <c r="AG3726" s="1115"/>
      <c r="AH3726" s="1115"/>
      <c r="AI3726" s="1115"/>
      <c r="AJ3726" s="1117"/>
      <c r="AK3726" s="1118"/>
      <c r="AL3726" s="1115"/>
      <c r="AM3726" s="1115"/>
      <c r="AN3726" s="1115"/>
      <c r="AO3726" s="1115"/>
      <c r="AP3726" s="1115"/>
      <c r="AQ3726" s="1115"/>
      <c r="AR3726" s="1115"/>
      <c r="AS3726" s="1117"/>
      <c r="AT3726" s="1075"/>
      <c r="AU3726" s="1193"/>
      <c r="AV3726" s="330"/>
      <c r="AW3726" s="331"/>
      <c r="AX3726" s="331"/>
      <c r="AY3726" s="331"/>
      <c r="AZ3726" s="331"/>
      <c r="BA3726" s="331"/>
      <c r="BB3726" s="331"/>
      <c r="BC3726" s="331"/>
      <c r="BD3726" s="331"/>
      <c r="BE3726" s="333"/>
      <c r="BF3726" s="330"/>
      <c r="BG3726" s="333"/>
      <c r="BH3726" s="1119"/>
      <c r="BI3726" s="319"/>
      <c r="BJ3726" s="319"/>
      <c r="BK3726" s="319"/>
      <c r="BL3726" s="319"/>
      <c r="BM3726" s="319"/>
      <c r="BN3726" s="319"/>
      <c r="BO3726" s="319"/>
      <c r="BP3726" s="953"/>
      <c r="BQ3726" s="319"/>
      <c r="BR3726" s="319"/>
      <c r="BS3726" s="330"/>
      <c r="BT3726" s="331"/>
      <c r="BU3726" s="920"/>
      <c r="BV3726" s="903"/>
      <c r="BW3726" s="908"/>
      <c r="BX3726" s="908"/>
      <c r="BY3726" s="331"/>
      <c r="BZ3726" s="331"/>
      <c r="CA3726" s="462"/>
      <c r="CB3726" s="319"/>
      <c r="CC3726" s="319"/>
      <c r="CD3726" s="319"/>
      <c r="CE3726" s="319"/>
      <c r="CF3726" s="319"/>
      <c r="CG3726" s="319"/>
      <c r="CH3726" s="318"/>
      <c r="CI3726" s="319"/>
      <c r="CJ3726" s="319"/>
      <c r="CK3726" s="342"/>
      <c r="CL3726" s="333"/>
      <c r="CM3726" s="1079"/>
      <c r="CN3726" s="1005"/>
      <c r="CO3726" s="1005"/>
      <c r="CP3726" s="1005"/>
    </row>
    <row r="3727">
      <c r="A3727" s="1257"/>
      <c r="B3727" s="1113"/>
      <c r="C3727" s="1107"/>
      <c r="D3727" s="103"/>
      <c r="E3727" s="1137"/>
      <c r="F3727" s="112"/>
      <c r="G3727" s="1110"/>
      <c r="H3727" s="1138"/>
      <c r="I3727" s="1138"/>
      <c r="J3727" s="1139"/>
      <c r="K3727" s="1111"/>
      <c r="L3727" s="1112"/>
      <c r="M3727" s="1113"/>
      <c r="N3727" s="110"/>
      <c r="O3727" s="1140"/>
      <c r="P3727" s="1115"/>
      <c r="Q3727" s="1116"/>
      <c r="R3727" s="1141"/>
      <c r="S3727" s="1113"/>
      <c r="T3727" s="1143"/>
      <c r="U3727" s="1108"/>
      <c r="V3727" s="1108"/>
      <c r="W3727" s="1108"/>
      <c r="X3727" s="1108"/>
      <c r="Y3727" s="1108"/>
      <c r="Z3727" s="1114"/>
      <c r="AA3727" s="1114"/>
      <c r="AB3727" s="1114"/>
      <c r="AC3727" s="1117"/>
      <c r="AD3727" s="1115"/>
      <c r="AE3727" s="1115"/>
      <c r="AF3727" s="1115"/>
      <c r="AG3727" s="1115"/>
      <c r="AH3727" s="1115"/>
      <c r="AI3727" s="1115"/>
      <c r="AJ3727" s="1117"/>
      <c r="AK3727" s="1118"/>
      <c r="AL3727" s="1115"/>
      <c r="AM3727" s="1115"/>
      <c r="AN3727" s="1115"/>
      <c r="AO3727" s="1115"/>
      <c r="AP3727" s="1115"/>
      <c r="AQ3727" s="1115"/>
      <c r="AR3727" s="1115"/>
      <c r="AS3727" s="1117"/>
      <c r="AT3727" s="1075"/>
      <c r="AU3727" s="1193"/>
      <c r="AV3727" s="330"/>
      <c r="AW3727" s="331"/>
      <c r="AX3727" s="331"/>
      <c r="AY3727" s="331"/>
      <c r="AZ3727" s="331"/>
      <c r="BA3727" s="331"/>
      <c r="BB3727" s="331"/>
      <c r="BC3727" s="331"/>
      <c r="BD3727" s="331"/>
      <c r="BE3727" s="333"/>
      <c r="BF3727" s="330"/>
      <c r="BG3727" s="333"/>
      <c r="BH3727" s="1119"/>
      <c r="BI3727" s="319"/>
      <c r="BJ3727" s="319"/>
      <c r="BK3727" s="319"/>
      <c r="BL3727" s="319"/>
      <c r="BM3727" s="319"/>
      <c r="BN3727" s="319"/>
      <c r="BO3727" s="319"/>
      <c r="BP3727" s="953"/>
      <c r="BQ3727" s="319"/>
      <c r="BR3727" s="319"/>
      <c r="BS3727" s="330"/>
      <c r="BT3727" s="331"/>
      <c r="BU3727" s="920"/>
      <c r="BV3727" s="903"/>
      <c r="BW3727" s="908"/>
      <c r="BX3727" s="908"/>
      <c r="BY3727" s="331"/>
      <c r="BZ3727" s="331"/>
      <c r="CA3727" s="462"/>
      <c r="CB3727" s="319"/>
      <c r="CC3727" s="319"/>
      <c r="CD3727" s="319"/>
      <c r="CE3727" s="319"/>
      <c r="CF3727" s="319"/>
      <c r="CG3727" s="319"/>
      <c r="CH3727" s="318"/>
      <c r="CI3727" s="319"/>
      <c r="CJ3727" s="319"/>
      <c r="CK3727" s="342"/>
      <c r="CL3727" s="333"/>
      <c r="CM3727" s="1079"/>
      <c r="CN3727" s="1005"/>
      <c r="CO3727" s="1005"/>
      <c r="CP3727" s="1005"/>
    </row>
    <row r="3728">
      <c r="A3728" s="1257"/>
      <c r="B3728" s="1113"/>
      <c r="C3728" s="1107"/>
      <c r="D3728" s="103"/>
      <c r="E3728" s="1137"/>
      <c r="F3728" s="112"/>
      <c r="G3728" s="1110"/>
      <c r="H3728" s="1138"/>
      <c r="I3728" s="1138"/>
      <c r="J3728" s="1139"/>
      <c r="K3728" s="1111"/>
      <c r="L3728" s="1112"/>
      <c r="M3728" s="1113"/>
      <c r="N3728" s="110"/>
      <c r="O3728" s="1140"/>
      <c r="P3728" s="1115"/>
      <c r="Q3728" s="1116"/>
      <c r="R3728" s="1141"/>
      <c r="S3728" s="1113"/>
      <c r="T3728" s="1143"/>
      <c r="U3728" s="1108"/>
      <c r="V3728" s="1108"/>
      <c r="W3728" s="1108"/>
      <c r="X3728" s="1108"/>
      <c r="Y3728" s="1108"/>
      <c r="Z3728" s="1114"/>
      <c r="AA3728" s="1114"/>
      <c r="AB3728" s="1114"/>
      <c r="AC3728" s="1117"/>
      <c r="AD3728" s="1115"/>
      <c r="AE3728" s="1115"/>
      <c r="AF3728" s="1115"/>
      <c r="AG3728" s="1115"/>
      <c r="AH3728" s="1115"/>
      <c r="AI3728" s="1115"/>
      <c r="AJ3728" s="1117"/>
      <c r="AK3728" s="1118"/>
      <c r="AL3728" s="1115"/>
      <c r="AM3728" s="1115"/>
      <c r="AN3728" s="1115"/>
      <c r="AO3728" s="1115"/>
      <c r="AP3728" s="1115"/>
      <c r="AQ3728" s="1115"/>
      <c r="AR3728" s="1115"/>
      <c r="AS3728" s="1117"/>
      <c r="AT3728" s="1075"/>
      <c r="AU3728" s="1193"/>
      <c r="AV3728" s="330"/>
      <c r="AW3728" s="331"/>
      <c r="AX3728" s="331"/>
      <c r="AY3728" s="331"/>
      <c r="AZ3728" s="331"/>
      <c r="BA3728" s="331"/>
      <c r="BB3728" s="331"/>
      <c r="BC3728" s="331"/>
      <c r="BD3728" s="331"/>
      <c r="BE3728" s="333"/>
      <c r="BF3728" s="330"/>
      <c r="BG3728" s="333"/>
      <c r="BH3728" s="1119"/>
      <c r="BI3728" s="319"/>
      <c r="BJ3728" s="319"/>
      <c r="BK3728" s="319"/>
      <c r="BL3728" s="319"/>
      <c r="BM3728" s="319"/>
      <c r="BN3728" s="319"/>
      <c r="BO3728" s="319"/>
      <c r="BP3728" s="953"/>
      <c r="BQ3728" s="319"/>
      <c r="BR3728" s="319"/>
      <c r="BS3728" s="330"/>
      <c r="BT3728" s="331"/>
      <c r="BU3728" s="920"/>
      <c r="BV3728" s="903"/>
      <c r="BW3728" s="908"/>
      <c r="BX3728" s="908"/>
      <c r="BY3728" s="331"/>
      <c r="BZ3728" s="331"/>
      <c r="CA3728" s="462"/>
      <c r="CB3728" s="319"/>
      <c r="CC3728" s="319"/>
      <c r="CD3728" s="319"/>
      <c r="CE3728" s="319"/>
      <c r="CF3728" s="319"/>
      <c r="CG3728" s="319"/>
      <c r="CH3728" s="318"/>
      <c r="CI3728" s="319"/>
      <c r="CJ3728" s="319"/>
      <c r="CK3728" s="342"/>
      <c r="CL3728" s="333"/>
      <c r="CM3728" s="1079"/>
      <c r="CN3728" s="1005"/>
      <c r="CO3728" s="1005"/>
      <c r="CP3728" s="1005"/>
    </row>
    <row r="3729">
      <c r="A3729" s="1257"/>
      <c r="B3729" s="1113"/>
      <c r="C3729" s="1107"/>
      <c r="D3729" s="103"/>
      <c r="E3729" s="1137"/>
      <c r="F3729" s="112"/>
      <c r="G3729" s="1110"/>
      <c r="H3729" s="1138"/>
      <c r="I3729" s="1138"/>
      <c r="J3729" s="1139"/>
      <c r="K3729" s="1111"/>
      <c r="L3729" s="1112"/>
      <c r="M3729" s="1113"/>
      <c r="N3729" s="110"/>
      <c r="O3729" s="1140"/>
      <c r="P3729" s="1115"/>
      <c r="Q3729" s="1116"/>
      <c r="R3729" s="1141"/>
      <c r="S3729" s="1113"/>
      <c r="T3729" s="1143"/>
      <c r="U3729" s="1108"/>
      <c r="V3729" s="1108"/>
      <c r="W3729" s="1108"/>
      <c r="X3729" s="1108"/>
      <c r="Y3729" s="1108"/>
      <c r="Z3729" s="1114"/>
      <c r="AA3729" s="1114"/>
      <c r="AB3729" s="1114"/>
      <c r="AC3729" s="1117"/>
      <c r="AD3729" s="1115"/>
      <c r="AE3729" s="1115"/>
      <c r="AF3729" s="1115"/>
      <c r="AG3729" s="1115"/>
      <c r="AH3729" s="1115"/>
      <c r="AI3729" s="1115"/>
      <c r="AJ3729" s="1117"/>
      <c r="AK3729" s="1118"/>
      <c r="AL3729" s="1115"/>
      <c r="AM3729" s="1115"/>
      <c r="AN3729" s="1115"/>
      <c r="AO3729" s="1115"/>
      <c r="AP3729" s="1115"/>
      <c r="AQ3729" s="1115"/>
      <c r="AR3729" s="1115"/>
      <c r="AS3729" s="1117"/>
      <c r="AT3729" s="1075"/>
      <c r="AU3729" s="1193"/>
      <c r="AV3729" s="330"/>
      <c r="AW3729" s="331"/>
      <c r="AX3729" s="331"/>
      <c r="AY3729" s="331"/>
      <c r="AZ3729" s="331"/>
      <c r="BA3729" s="331"/>
      <c r="BB3729" s="331"/>
      <c r="BC3729" s="331"/>
      <c r="BD3729" s="331"/>
      <c r="BE3729" s="333"/>
      <c r="BF3729" s="330"/>
      <c r="BG3729" s="333"/>
      <c r="BH3729" s="1119"/>
      <c r="BI3729" s="319"/>
      <c r="BJ3729" s="319"/>
      <c r="BK3729" s="319"/>
      <c r="BL3729" s="319"/>
      <c r="BM3729" s="319"/>
      <c r="BN3729" s="319"/>
      <c r="BO3729" s="319"/>
      <c r="BP3729" s="953"/>
      <c r="BQ3729" s="319"/>
      <c r="BR3729" s="319"/>
      <c r="BS3729" s="330"/>
      <c r="BT3729" s="331"/>
      <c r="BU3729" s="920"/>
      <c r="BV3729" s="903"/>
      <c r="BW3729" s="908"/>
      <c r="BX3729" s="908"/>
      <c r="BY3729" s="331"/>
      <c r="BZ3729" s="331"/>
      <c r="CA3729" s="462"/>
      <c r="CB3729" s="319"/>
      <c r="CC3729" s="319"/>
      <c r="CD3729" s="319"/>
      <c r="CE3729" s="319"/>
      <c r="CF3729" s="319"/>
      <c r="CG3729" s="319"/>
      <c r="CH3729" s="318"/>
      <c r="CI3729" s="319"/>
      <c r="CJ3729" s="319"/>
      <c r="CK3729" s="342"/>
      <c r="CL3729" s="333"/>
      <c r="CM3729" s="1079"/>
      <c r="CN3729" s="1005"/>
      <c r="CO3729" s="1005"/>
      <c r="CP3729" s="1005"/>
    </row>
    <row r="3730">
      <c r="A3730" s="1257"/>
      <c r="B3730" s="1113"/>
      <c r="C3730" s="1107"/>
      <c r="D3730" s="103"/>
      <c r="E3730" s="1137"/>
      <c r="F3730" s="112"/>
      <c r="G3730" s="1110"/>
      <c r="H3730" s="1138"/>
      <c r="I3730" s="1138"/>
      <c r="J3730" s="1139"/>
      <c r="K3730" s="1111"/>
      <c r="L3730" s="1112"/>
      <c r="M3730" s="1113"/>
      <c r="N3730" s="110"/>
      <c r="O3730" s="1140"/>
      <c r="P3730" s="1115"/>
      <c r="Q3730" s="1116"/>
      <c r="R3730" s="1141"/>
      <c r="S3730" s="1113"/>
      <c r="T3730" s="1143"/>
      <c r="U3730" s="1108"/>
      <c r="V3730" s="1108"/>
      <c r="W3730" s="1108"/>
      <c r="X3730" s="1108"/>
      <c r="Y3730" s="1108"/>
      <c r="Z3730" s="1114"/>
      <c r="AA3730" s="1114"/>
      <c r="AB3730" s="1114"/>
      <c r="AC3730" s="1117"/>
      <c r="AD3730" s="1115"/>
      <c r="AE3730" s="1115"/>
      <c r="AF3730" s="1115"/>
      <c r="AG3730" s="1115"/>
      <c r="AH3730" s="1115"/>
      <c r="AI3730" s="1115"/>
      <c r="AJ3730" s="1117"/>
      <c r="AK3730" s="1118"/>
      <c r="AL3730" s="1115"/>
      <c r="AM3730" s="1115"/>
      <c r="AN3730" s="1115"/>
      <c r="AO3730" s="1115"/>
      <c r="AP3730" s="1115"/>
      <c r="AQ3730" s="1115"/>
      <c r="AR3730" s="1115"/>
      <c r="AS3730" s="1117"/>
      <c r="AT3730" s="1075"/>
      <c r="AU3730" s="1193"/>
      <c r="AV3730" s="330"/>
      <c r="AW3730" s="331"/>
      <c r="AX3730" s="331"/>
      <c r="AY3730" s="331"/>
      <c r="AZ3730" s="331"/>
      <c r="BA3730" s="331"/>
      <c r="BB3730" s="331"/>
      <c r="BC3730" s="331"/>
      <c r="BD3730" s="331"/>
      <c r="BE3730" s="333"/>
      <c r="BF3730" s="330"/>
      <c r="BG3730" s="333"/>
      <c r="BH3730" s="1119"/>
      <c r="BI3730" s="319"/>
      <c r="BJ3730" s="319"/>
      <c r="BK3730" s="319"/>
      <c r="BL3730" s="319"/>
      <c r="BM3730" s="319"/>
      <c r="BN3730" s="319"/>
      <c r="BO3730" s="319"/>
      <c r="BP3730" s="953"/>
      <c r="BQ3730" s="319"/>
      <c r="BR3730" s="319"/>
      <c r="BS3730" s="330"/>
      <c r="BT3730" s="331"/>
      <c r="BU3730" s="920"/>
      <c r="BV3730" s="903"/>
      <c r="BW3730" s="908"/>
      <c r="BX3730" s="908"/>
      <c r="BY3730" s="331"/>
      <c r="BZ3730" s="331"/>
      <c r="CA3730" s="462"/>
      <c r="CB3730" s="319"/>
      <c r="CC3730" s="319"/>
      <c r="CD3730" s="319"/>
      <c r="CE3730" s="319"/>
      <c r="CF3730" s="319"/>
      <c r="CG3730" s="319"/>
      <c r="CH3730" s="318"/>
      <c r="CI3730" s="319"/>
      <c r="CJ3730" s="319"/>
      <c r="CK3730" s="342"/>
      <c r="CL3730" s="333"/>
      <c r="CM3730" s="1079"/>
      <c r="CN3730" s="1005"/>
      <c r="CO3730" s="1005"/>
      <c r="CP3730" s="1005"/>
    </row>
    <row r="3731">
      <c r="A3731" s="1257"/>
      <c r="B3731" s="1113"/>
      <c r="C3731" s="1107"/>
      <c r="D3731" s="103"/>
      <c r="E3731" s="1137"/>
      <c r="F3731" s="112"/>
      <c r="G3731" s="1110"/>
      <c r="H3731" s="1138"/>
      <c r="I3731" s="1138"/>
      <c r="J3731" s="1139"/>
      <c r="K3731" s="1111"/>
      <c r="L3731" s="1112"/>
      <c r="M3731" s="1113"/>
      <c r="N3731" s="110"/>
      <c r="O3731" s="1140"/>
      <c r="P3731" s="1115"/>
      <c r="Q3731" s="1116"/>
      <c r="R3731" s="1141"/>
      <c r="S3731" s="1113"/>
      <c r="T3731" s="1143"/>
      <c r="U3731" s="1108"/>
      <c r="V3731" s="1108"/>
      <c r="W3731" s="1108"/>
      <c r="X3731" s="1108"/>
      <c r="Y3731" s="1108"/>
      <c r="Z3731" s="1114"/>
      <c r="AA3731" s="1114"/>
      <c r="AB3731" s="1114"/>
      <c r="AC3731" s="1117"/>
      <c r="AD3731" s="1115"/>
      <c r="AE3731" s="1115"/>
      <c r="AF3731" s="1115"/>
      <c r="AG3731" s="1115"/>
      <c r="AH3731" s="1115"/>
      <c r="AI3731" s="1115"/>
      <c r="AJ3731" s="1117"/>
      <c r="AK3731" s="1118"/>
      <c r="AL3731" s="1115"/>
      <c r="AM3731" s="1115"/>
      <c r="AN3731" s="1115"/>
      <c r="AO3731" s="1115"/>
      <c r="AP3731" s="1115"/>
      <c r="AQ3731" s="1115"/>
      <c r="AR3731" s="1115"/>
      <c r="AS3731" s="1117"/>
      <c r="AT3731" s="1075"/>
      <c r="AU3731" s="1193"/>
      <c r="AV3731" s="330"/>
      <c r="AW3731" s="331"/>
      <c r="AX3731" s="331"/>
      <c r="AY3731" s="331"/>
      <c r="AZ3731" s="331"/>
      <c r="BA3731" s="331"/>
      <c r="BB3731" s="331"/>
      <c r="BC3731" s="331"/>
      <c r="BD3731" s="331"/>
      <c r="BE3731" s="333"/>
      <c r="BF3731" s="330"/>
      <c r="BG3731" s="333"/>
      <c r="BH3731" s="1119"/>
      <c r="BI3731" s="319"/>
      <c r="BJ3731" s="319"/>
      <c r="BK3731" s="319"/>
      <c r="BL3731" s="319"/>
      <c r="BM3731" s="319"/>
      <c r="BN3731" s="319"/>
      <c r="BO3731" s="319"/>
      <c r="BP3731" s="953"/>
      <c r="BQ3731" s="319"/>
      <c r="BR3731" s="319"/>
      <c r="BS3731" s="330"/>
      <c r="BT3731" s="331"/>
      <c r="BU3731" s="920"/>
      <c r="BV3731" s="903"/>
      <c r="BW3731" s="908"/>
      <c r="BX3731" s="908"/>
      <c r="BY3731" s="331"/>
      <c r="BZ3731" s="331"/>
      <c r="CA3731" s="462"/>
      <c r="CB3731" s="319"/>
      <c r="CC3731" s="319"/>
      <c r="CD3731" s="319"/>
      <c r="CE3731" s="319"/>
      <c r="CF3731" s="319"/>
      <c r="CG3731" s="319"/>
      <c r="CH3731" s="318"/>
      <c r="CI3731" s="319"/>
      <c r="CJ3731" s="319"/>
      <c r="CK3731" s="342"/>
      <c r="CL3731" s="333"/>
      <c r="CM3731" s="1079"/>
      <c r="CN3731" s="1005"/>
      <c r="CO3731" s="1005"/>
      <c r="CP3731" s="1005"/>
    </row>
    <row r="3732">
      <c r="A3732" s="1257"/>
      <c r="B3732" s="1113"/>
      <c r="C3732" s="1107"/>
      <c r="D3732" s="103"/>
      <c r="E3732" s="1137"/>
      <c r="F3732" s="112"/>
      <c r="G3732" s="1110"/>
      <c r="H3732" s="1138"/>
      <c r="I3732" s="1138"/>
      <c r="J3732" s="1139"/>
      <c r="K3732" s="1111"/>
      <c r="L3732" s="1112"/>
      <c r="M3732" s="1113"/>
      <c r="N3732" s="110"/>
      <c r="O3732" s="1140"/>
      <c r="P3732" s="1115"/>
      <c r="Q3732" s="1116"/>
      <c r="R3732" s="1141"/>
      <c r="S3732" s="1113"/>
      <c r="T3732" s="1143"/>
      <c r="U3732" s="1108"/>
      <c r="V3732" s="1108"/>
      <c r="W3732" s="1108"/>
      <c r="X3732" s="1108"/>
      <c r="Y3732" s="1108"/>
      <c r="Z3732" s="1114"/>
      <c r="AA3732" s="1114"/>
      <c r="AB3732" s="1114"/>
      <c r="AC3732" s="1117"/>
      <c r="AD3732" s="1115"/>
      <c r="AE3732" s="1115"/>
      <c r="AF3732" s="1115"/>
      <c r="AG3732" s="1115"/>
      <c r="AH3732" s="1115"/>
      <c r="AI3732" s="1115"/>
      <c r="AJ3732" s="1117"/>
      <c r="AK3732" s="1118"/>
      <c r="AL3732" s="1115"/>
      <c r="AM3732" s="1115"/>
      <c r="AN3732" s="1115"/>
      <c r="AO3732" s="1115"/>
      <c r="AP3732" s="1115"/>
      <c r="AQ3732" s="1115"/>
      <c r="AR3732" s="1115"/>
      <c r="AS3732" s="1117"/>
      <c r="AT3732" s="1075"/>
      <c r="AU3732" s="1193"/>
      <c r="AV3732" s="330"/>
      <c r="AW3732" s="331"/>
      <c r="AX3732" s="331"/>
      <c r="AY3732" s="331"/>
      <c r="AZ3732" s="331"/>
      <c r="BA3732" s="331"/>
      <c r="BB3732" s="331"/>
      <c r="BC3732" s="331"/>
      <c r="BD3732" s="331"/>
      <c r="BE3732" s="333"/>
      <c r="BF3732" s="330"/>
      <c r="BG3732" s="333"/>
      <c r="BH3732" s="1119"/>
      <c r="BI3732" s="319"/>
      <c r="BJ3732" s="319"/>
      <c r="BK3732" s="319"/>
      <c r="BL3732" s="319"/>
      <c r="BM3732" s="319"/>
      <c r="BN3732" s="319"/>
      <c r="BO3732" s="319"/>
      <c r="BP3732" s="953"/>
      <c r="BQ3732" s="319"/>
      <c r="BR3732" s="319"/>
      <c r="BS3732" s="330"/>
      <c r="BT3732" s="331"/>
      <c r="BU3732" s="920"/>
      <c r="BV3732" s="903"/>
      <c r="BW3732" s="908"/>
      <c r="BX3732" s="908"/>
      <c r="BY3732" s="331"/>
      <c r="BZ3732" s="331"/>
      <c r="CA3732" s="462"/>
      <c r="CB3732" s="319"/>
      <c r="CC3732" s="319"/>
      <c r="CD3732" s="319"/>
      <c r="CE3732" s="319"/>
      <c r="CF3732" s="319"/>
      <c r="CG3732" s="319"/>
      <c r="CH3732" s="318"/>
      <c r="CI3732" s="319"/>
      <c r="CJ3732" s="319"/>
      <c r="CK3732" s="342"/>
      <c r="CL3732" s="333"/>
      <c r="CM3732" s="1079"/>
      <c r="CN3732" s="1005"/>
      <c r="CO3732" s="1005"/>
      <c r="CP3732" s="1005"/>
    </row>
    <row r="3733">
      <c r="A3733" s="1257"/>
      <c r="B3733" s="1113"/>
      <c r="C3733" s="1107"/>
      <c r="D3733" s="103"/>
      <c r="E3733" s="1137"/>
      <c r="F3733" s="112"/>
      <c r="G3733" s="1110"/>
      <c r="H3733" s="1138"/>
      <c r="I3733" s="1138"/>
      <c r="J3733" s="1139"/>
      <c r="K3733" s="1111"/>
      <c r="L3733" s="1112"/>
      <c r="M3733" s="1113"/>
      <c r="N3733" s="110"/>
      <c r="O3733" s="1140"/>
      <c r="P3733" s="1115"/>
      <c r="Q3733" s="1116"/>
      <c r="R3733" s="1141"/>
      <c r="S3733" s="1113"/>
      <c r="T3733" s="1143"/>
      <c r="U3733" s="1108"/>
      <c r="V3733" s="1108"/>
      <c r="W3733" s="1108"/>
      <c r="X3733" s="1108"/>
      <c r="Y3733" s="1108"/>
      <c r="Z3733" s="1114"/>
      <c r="AA3733" s="1114"/>
      <c r="AB3733" s="1114"/>
      <c r="AC3733" s="1117"/>
      <c r="AD3733" s="1115"/>
      <c r="AE3733" s="1115"/>
      <c r="AF3733" s="1115"/>
      <c r="AG3733" s="1115"/>
      <c r="AH3733" s="1115"/>
      <c r="AI3733" s="1115"/>
      <c r="AJ3733" s="1117"/>
      <c r="AK3733" s="1118"/>
      <c r="AL3733" s="1115"/>
      <c r="AM3733" s="1115"/>
      <c r="AN3733" s="1115"/>
      <c r="AO3733" s="1115"/>
      <c r="AP3733" s="1115"/>
      <c r="AQ3733" s="1115"/>
      <c r="AR3733" s="1115"/>
      <c r="AS3733" s="1117"/>
      <c r="AT3733" s="1075"/>
      <c r="AU3733" s="1193"/>
      <c r="AV3733" s="330"/>
      <c r="AW3733" s="331"/>
      <c r="AX3733" s="331"/>
      <c r="AY3733" s="331"/>
      <c r="AZ3733" s="331"/>
      <c r="BA3733" s="331"/>
      <c r="BB3733" s="331"/>
      <c r="BC3733" s="331"/>
      <c r="BD3733" s="331"/>
      <c r="BE3733" s="333"/>
      <c r="BF3733" s="330"/>
      <c r="BG3733" s="333"/>
      <c r="BH3733" s="1119"/>
      <c r="BI3733" s="319"/>
      <c r="BJ3733" s="319"/>
      <c r="BK3733" s="319"/>
      <c r="BL3733" s="319"/>
      <c r="BM3733" s="319"/>
      <c r="BN3733" s="319"/>
      <c r="BO3733" s="319"/>
      <c r="BP3733" s="953"/>
      <c r="BQ3733" s="319"/>
      <c r="BR3733" s="319"/>
      <c r="BS3733" s="330"/>
      <c r="BT3733" s="331"/>
      <c r="BU3733" s="920"/>
      <c r="BV3733" s="903"/>
      <c r="BW3733" s="908"/>
      <c r="BX3733" s="908"/>
      <c r="BY3733" s="331"/>
      <c r="BZ3733" s="331"/>
      <c r="CA3733" s="462"/>
      <c r="CB3733" s="319"/>
      <c r="CC3733" s="319"/>
      <c r="CD3733" s="319"/>
      <c r="CE3733" s="319"/>
      <c r="CF3733" s="319"/>
      <c r="CG3733" s="319"/>
      <c r="CH3733" s="318"/>
      <c r="CI3733" s="319"/>
      <c r="CJ3733" s="319"/>
      <c r="CK3733" s="342"/>
      <c r="CL3733" s="333"/>
      <c r="CM3733" s="1079"/>
      <c r="CN3733" s="1005"/>
      <c r="CO3733" s="1005"/>
      <c r="CP3733" s="1005"/>
    </row>
    <row r="3734">
      <c r="A3734" s="1257"/>
      <c r="B3734" s="1113"/>
      <c r="C3734" s="1107"/>
      <c r="D3734" s="103"/>
      <c r="E3734" s="1137"/>
      <c r="F3734" s="112"/>
      <c r="G3734" s="1110"/>
      <c r="H3734" s="1138"/>
      <c r="I3734" s="1138"/>
      <c r="J3734" s="1139"/>
      <c r="K3734" s="1111"/>
      <c r="L3734" s="1112"/>
      <c r="M3734" s="1113"/>
      <c r="N3734" s="110"/>
      <c r="O3734" s="1140"/>
      <c r="P3734" s="1115"/>
      <c r="Q3734" s="1116"/>
      <c r="R3734" s="1141"/>
      <c r="S3734" s="1113"/>
      <c r="T3734" s="1143"/>
      <c r="U3734" s="1108"/>
      <c r="V3734" s="1108"/>
      <c r="W3734" s="1108"/>
      <c r="X3734" s="1108"/>
      <c r="Y3734" s="1108"/>
      <c r="Z3734" s="1114"/>
      <c r="AA3734" s="1114"/>
      <c r="AB3734" s="1114"/>
      <c r="AC3734" s="1117"/>
      <c r="AD3734" s="1115"/>
      <c r="AE3734" s="1115"/>
      <c r="AF3734" s="1115"/>
      <c r="AG3734" s="1115"/>
      <c r="AH3734" s="1115"/>
      <c r="AI3734" s="1115"/>
      <c r="AJ3734" s="1117"/>
      <c r="AK3734" s="1118"/>
      <c r="AL3734" s="1115"/>
      <c r="AM3734" s="1115"/>
      <c r="AN3734" s="1115"/>
      <c r="AO3734" s="1115"/>
      <c r="AP3734" s="1115"/>
      <c r="AQ3734" s="1115"/>
      <c r="AR3734" s="1115"/>
      <c r="AS3734" s="1117"/>
      <c r="AT3734" s="1075"/>
      <c r="AU3734" s="1193"/>
      <c r="AV3734" s="330"/>
      <c r="AW3734" s="331"/>
      <c r="AX3734" s="331"/>
      <c r="AY3734" s="331"/>
      <c r="AZ3734" s="331"/>
      <c r="BA3734" s="331"/>
      <c r="BB3734" s="331"/>
      <c r="BC3734" s="331"/>
      <c r="BD3734" s="331"/>
      <c r="BE3734" s="333"/>
      <c r="BF3734" s="330"/>
      <c r="BG3734" s="333"/>
      <c r="BH3734" s="1119"/>
      <c r="BI3734" s="319"/>
      <c r="BJ3734" s="319"/>
      <c r="BK3734" s="319"/>
      <c r="BL3734" s="319"/>
      <c r="BM3734" s="319"/>
      <c r="BN3734" s="319"/>
      <c r="BO3734" s="319"/>
      <c r="BP3734" s="953"/>
      <c r="BQ3734" s="319"/>
      <c r="BR3734" s="319"/>
      <c r="BS3734" s="330"/>
      <c r="BT3734" s="331"/>
      <c r="BU3734" s="920"/>
      <c r="BV3734" s="903"/>
      <c r="BW3734" s="908"/>
      <c r="BX3734" s="908"/>
      <c r="BY3734" s="331"/>
      <c r="BZ3734" s="331"/>
      <c r="CA3734" s="462"/>
      <c r="CB3734" s="319"/>
      <c r="CC3734" s="319"/>
      <c r="CD3734" s="319"/>
      <c r="CE3734" s="319"/>
      <c r="CF3734" s="319"/>
      <c r="CG3734" s="319"/>
      <c r="CH3734" s="318"/>
      <c r="CI3734" s="319"/>
      <c r="CJ3734" s="319"/>
      <c r="CK3734" s="342"/>
      <c r="CL3734" s="333"/>
      <c r="CM3734" s="1079"/>
      <c r="CN3734" s="1005"/>
      <c r="CO3734" s="1005"/>
      <c r="CP3734" s="1005"/>
    </row>
    <row r="3735">
      <c r="A3735" s="1257"/>
      <c r="B3735" s="1113"/>
      <c r="C3735" s="1107"/>
      <c r="D3735" s="103"/>
      <c r="E3735" s="1137"/>
      <c r="F3735" s="112"/>
      <c r="G3735" s="1110"/>
      <c r="H3735" s="1138"/>
      <c r="I3735" s="1138"/>
      <c r="J3735" s="1139"/>
      <c r="K3735" s="1111"/>
      <c r="L3735" s="1112"/>
      <c r="M3735" s="1113"/>
      <c r="N3735" s="110"/>
      <c r="O3735" s="1140"/>
      <c r="P3735" s="1115"/>
      <c r="Q3735" s="1116"/>
      <c r="R3735" s="1141"/>
      <c r="S3735" s="1113"/>
      <c r="T3735" s="1143"/>
      <c r="U3735" s="1108"/>
      <c r="V3735" s="1108"/>
      <c r="W3735" s="1108"/>
      <c r="X3735" s="1108"/>
      <c r="Y3735" s="1108"/>
      <c r="Z3735" s="1114"/>
      <c r="AA3735" s="1114"/>
      <c r="AB3735" s="1114"/>
      <c r="AC3735" s="1117"/>
      <c r="AD3735" s="1115"/>
      <c r="AE3735" s="1115"/>
      <c r="AF3735" s="1115"/>
      <c r="AG3735" s="1115"/>
      <c r="AH3735" s="1115"/>
      <c r="AI3735" s="1115"/>
      <c r="AJ3735" s="1117"/>
      <c r="AK3735" s="1118"/>
      <c r="AL3735" s="1115"/>
      <c r="AM3735" s="1115"/>
      <c r="AN3735" s="1115"/>
      <c r="AO3735" s="1115"/>
      <c r="AP3735" s="1115"/>
      <c r="AQ3735" s="1115"/>
      <c r="AR3735" s="1115"/>
      <c r="AS3735" s="1117"/>
      <c r="AT3735" s="1075"/>
      <c r="AU3735" s="1193"/>
      <c r="AV3735" s="330"/>
      <c r="AW3735" s="331"/>
      <c r="AX3735" s="331"/>
      <c r="AY3735" s="331"/>
      <c r="AZ3735" s="331"/>
      <c r="BA3735" s="331"/>
      <c r="BB3735" s="331"/>
      <c r="BC3735" s="331"/>
      <c r="BD3735" s="331"/>
      <c r="BE3735" s="333"/>
      <c r="BF3735" s="330"/>
      <c r="BG3735" s="333"/>
      <c r="BH3735" s="1119"/>
      <c r="BI3735" s="319"/>
      <c r="BJ3735" s="319"/>
      <c r="BK3735" s="319"/>
      <c r="BL3735" s="319"/>
      <c r="BM3735" s="319"/>
      <c r="BN3735" s="319"/>
      <c r="BO3735" s="319"/>
      <c r="BP3735" s="953"/>
      <c r="BQ3735" s="319"/>
      <c r="BR3735" s="319"/>
      <c r="BS3735" s="330"/>
      <c r="BT3735" s="331"/>
      <c r="BU3735" s="920"/>
      <c r="BV3735" s="903"/>
      <c r="BW3735" s="908"/>
      <c r="BX3735" s="908"/>
      <c r="BY3735" s="331"/>
      <c r="BZ3735" s="331"/>
      <c r="CA3735" s="462"/>
      <c r="CB3735" s="319"/>
      <c r="CC3735" s="319"/>
      <c r="CD3735" s="319"/>
      <c r="CE3735" s="319"/>
      <c r="CF3735" s="319"/>
      <c r="CG3735" s="319"/>
      <c r="CH3735" s="318"/>
      <c r="CI3735" s="319"/>
      <c r="CJ3735" s="319"/>
      <c r="CK3735" s="342"/>
      <c r="CL3735" s="333"/>
      <c r="CM3735" s="1079"/>
      <c r="CN3735" s="1005"/>
      <c r="CO3735" s="1005"/>
      <c r="CP3735" s="1005"/>
    </row>
    <row r="3736">
      <c r="A3736" s="1257"/>
      <c r="B3736" s="1113"/>
      <c r="C3736" s="1107"/>
      <c r="D3736" s="103"/>
      <c r="E3736" s="1137"/>
      <c r="F3736" s="112"/>
      <c r="G3736" s="1110"/>
      <c r="H3736" s="1138"/>
      <c r="I3736" s="1138"/>
      <c r="J3736" s="1139"/>
      <c r="K3736" s="1111"/>
      <c r="L3736" s="1112"/>
      <c r="M3736" s="1113"/>
      <c r="N3736" s="110"/>
      <c r="O3736" s="1140"/>
      <c r="P3736" s="1115"/>
      <c r="Q3736" s="1116"/>
      <c r="R3736" s="1141"/>
      <c r="S3736" s="1113"/>
      <c r="T3736" s="1143"/>
      <c r="U3736" s="1108"/>
      <c r="V3736" s="1108"/>
      <c r="W3736" s="1108"/>
      <c r="X3736" s="1108"/>
      <c r="Y3736" s="1108"/>
      <c r="Z3736" s="1114"/>
      <c r="AA3736" s="1114"/>
      <c r="AB3736" s="1114"/>
      <c r="AC3736" s="1117"/>
      <c r="AD3736" s="1115"/>
      <c r="AE3736" s="1115"/>
      <c r="AF3736" s="1115"/>
      <c r="AG3736" s="1115"/>
      <c r="AH3736" s="1115"/>
      <c r="AI3736" s="1115"/>
      <c r="AJ3736" s="1117"/>
      <c r="AK3736" s="1118"/>
      <c r="AL3736" s="1115"/>
      <c r="AM3736" s="1115"/>
      <c r="AN3736" s="1115"/>
      <c r="AO3736" s="1115"/>
      <c r="AP3736" s="1115"/>
      <c r="AQ3736" s="1115"/>
      <c r="AR3736" s="1115"/>
      <c r="AS3736" s="1117"/>
      <c r="AT3736" s="1075"/>
      <c r="AU3736" s="1193"/>
      <c r="AV3736" s="330"/>
      <c r="AW3736" s="331"/>
      <c r="AX3736" s="331"/>
      <c r="AY3736" s="331"/>
      <c r="AZ3736" s="331"/>
      <c r="BA3736" s="331"/>
      <c r="BB3736" s="331"/>
      <c r="BC3736" s="331"/>
      <c r="BD3736" s="331"/>
      <c r="BE3736" s="333"/>
      <c r="BF3736" s="330"/>
      <c r="BG3736" s="333"/>
      <c r="BH3736" s="1119"/>
      <c r="BI3736" s="319"/>
      <c r="BJ3736" s="319"/>
      <c r="BK3736" s="319"/>
      <c r="BL3736" s="319"/>
      <c r="BM3736" s="319"/>
      <c r="BN3736" s="319"/>
      <c r="BO3736" s="319"/>
      <c r="BP3736" s="953"/>
      <c r="BQ3736" s="319"/>
      <c r="BR3736" s="319"/>
      <c r="BS3736" s="330"/>
      <c r="BT3736" s="331"/>
      <c r="BU3736" s="920"/>
      <c r="BV3736" s="903"/>
      <c r="BW3736" s="908"/>
      <c r="BX3736" s="908"/>
      <c r="BY3736" s="331"/>
      <c r="BZ3736" s="331"/>
      <c r="CA3736" s="462"/>
      <c r="CB3736" s="319"/>
      <c r="CC3736" s="319"/>
      <c r="CD3736" s="319"/>
      <c r="CE3736" s="319"/>
      <c r="CF3736" s="319"/>
      <c r="CG3736" s="319"/>
      <c r="CH3736" s="318"/>
      <c r="CI3736" s="319"/>
      <c r="CJ3736" s="319"/>
      <c r="CK3736" s="342"/>
      <c r="CL3736" s="333"/>
      <c r="CM3736" s="1079"/>
      <c r="CN3736" s="1005"/>
      <c r="CO3736" s="1005"/>
      <c r="CP3736" s="1005"/>
    </row>
    <row r="3737">
      <c r="A3737" s="1257"/>
      <c r="B3737" s="1113"/>
      <c r="C3737" s="1107"/>
      <c r="D3737" s="103"/>
      <c r="E3737" s="1137"/>
      <c r="F3737" s="112"/>
      <c r="G3737" s="1110"/>
      <c r="H3737" s="1138"/>
      <c r="I3737" s="1138"/>
      <c r="J3737" s="1139"/>
      <c r="K3737" s="1111"/>
      <c r="L3737" s="1112"/>
      <c r="M3737" s="1113"/>
      <c r="N3737" s="110"/>
      <c r="O3737" s="1140"/>
      <c r="P3737" s="1115"/>
      <c r="Q3737" s="1116"/>
      <c r="R3737" s="1141"/>
      <c r="S3737" s="1113"/>
      <c r="T3737" s="1143"/>
      <c r="U3737" s="1108"/>
      <c r="V3737" s="1108"/>
      <c r="W3737" s="1108"/>
      <c r="X3737" s="1108"/>
      <c r="Y3737" s="1108"/>
      <c r="Z3737" s="1114"/>
      <c r="AA3737" s="1114"/>
      <c r="AB3737" s="1114"/>
      <c r="AC3737" s="1117"/>
      <c r="AD3737" s="1115"/>
      <c r="AE3737" s="1115"/>
      <c r="AF3737" s="1115"/>
      <c r="AG3737" s="1115"/>
      <c r="AH3737" s="1115"/>
      <c r="AI3737" s="1115"/>
      <c r="AJ3737" s="1117"/>
      <c r="AK3737" s="1118"/>
      <c r="AL3737" s="1115"/>
      <c r="AM3737" s="1115"/>
      <c r="AN3737" s="1115"/>
      <c r="AO3737" s="1115"/>
      <c r="AP3737" s="1115"/>
      <c r="AQ3737" s="1115"/>
      <c r="AR3737" s="1115"/>
      <c r="AS3737" s="1117"/>
      <c r="AT3737" s="1075"/>
      <c r="AU3737" s="1193"/>
      <c r="AV3737" s="330"/>
      <c r="AW3737" s="331"/>
      <c r="AX3737" s="331"/>
      <c r="AY3737" s="331"/>
      <c r="AZ3737" s="331"/>
      <c r="BA3737" s="331"/>
      <c r="BB3737" s="331"/>
      <c r="BC3737" s="331"/>
      <c r="BD3737" s="331"/>
      <c r="BE3737" s="333"/>
      <c r="BF3737" s="330"/>
      <c r="BG3737" s="333"/>
      <c r="BH3737" s="1119"/>
      <c r="BI3737" s="319"/>
      <c r="BJ3737" s="319"/>
      <c r="BK3737" s="319"/>
      <c r="BL3737" s="319"/>
      <c r="BM3737" s="319"/>
      <c r="BN3737" s="319"/>
      <c r="BO3737" s="319"/>
      <c r="BP3737" s="953"/>
      <c r="BQ3737" s="319"/>
      <c r="BR3737" s="319"/>
      <c r="BS3737" s="330"/>
      <c r="BT3737" s="331"/>
      <c r="BU3737" s="920"/>
      <c r="BV3737" s="903"/>
      <c r="BW3737" s="908"/>
      <c r="BX3737" s="908"/>
      <c r="BY3737" s="331"/>
      <c r="BZ3737" s="331"/>
      <c r="CA3737" s="462"/>
      <c r="CB3737" s="319"/>
      <c r="CC3737" s="319"/>
      <c r="CD3737" s="319"/>
      <c r="CE3737" s="319"/>
      <c r="CF3737" s="319"/>
      <c r="CG3737" s="319"/>
      <c r="CH3737" s="318"/>
      <c r="CI3737" s="319"/>
      <c r="CJ3737" s="319"/>
      <c r="CK3737" s="342"/>
      <c r="CL3737" s="333"/>
      <c r="CM3737" s="1079"/>
      <c r="CN3737" s="1005"/>
      <c r="CO3737" s="1005"/>
      <c r="CP3737" s="1005"/>
    </row>
    <row r="3738">
      <c r="A3738" s="1257"/>
      <c r="B3738" s="1113"/>
      <c r="C3738" s="1107"/>
      <c r="D3738" s="103"/>
      <c r="E3738" s="1137"/>
      <c r="F3738" s="112"/>
      <c r="G3738" s="1110"/>
      <c r="H3738" s="1138"/>
      <c r="I3738" s="1138"/>
      <c r="J3738" s="1139"/>
      <c r="K3738" s="1111"/>
      <c r="L3738" s="1112"/>
      <c r="M3738" s="1113"/>
      <c r="N3738" s="110"/>
      <c r="O3738" s="1140"/>
      <c r="P3738" s="1115"/>
      <c r="Q3738" s="1116"/>
      <c r="R3738" s="1141"/>
      <c r="S3738" s="1113"/>
      <c r="T3738" s="1143"/>
      <c r="U3738" s="1108"/>
      <c r="V3738" s="1108"/>
      <c r="W3738" s="1108"/>
      <c r="X3738" s="1108"/>
      <c r="Y3738" s="1108"/>
      <c r="Z3738" s="1114"/>
      <c r="AA3738" s="1114"/>
      <c r="AB3738" s="1114"/>
      <c r="AC3738" s="1117"/>
      <c r="AD3738" s="1115"/>
      <c r="AE3738" s="1115"/>
      <c r="AF3738" s="1115"/>
      <c r="AG3738" s="1115"/>
      <c r="AH3738" s="1115"/>
      <c r="AI3738" s="1115"/>
      <c r="AJ3738" s="1117"/>
      <c r="AK3738" s="1118"/>
      <c r="AL3738" s="1115"/>
      <c r="AM3738" s="1115"/>
      <c r="AN3738" s="1115"/>
      <c r="AO3738" s="1115"/>
      <c r="AP3738" s="1115"/>
      <c r="AQ3738" s="1115"/>
      <c r="AR3738" s="1115"/>
      <c r="AS3738" s="1117"/>
      <c r="AT3738" s="1075"/>
      <c r="AU3738" s="1193"/>
      <c r="AV3738" s="330"/>
      <c r="AW3738" s="331"/>
      <c r="AX3738" s="331"/>
      <c r="AY3738" s="331"/>
      <c r="AZ3738" s="331"/>
      <c r="BA3738" s="331"/>
      <c r="BB3738" s="331"/>
      <c r="BC3738" s="331"/>
      <c r="BD3738" s="331"/>
      <c r="BE3738" s="333"/>
      <c r="BF3738" s="330"/>
      <c r="BG3738" s="333"/>
      <c r="BH3738" s="1119"/>
      <c r="BI3738" s="319"/>
      <c r="BJ3738" s="319"/>
      <c r="BK3738" s="319"/>
      <c r="BL3738" s="319"/>
      <c r="BM3738" s="319"/>
      <c r="BN3738" s="319"/>
      <c r="BO3738" s="319"/>
      <c r="BP3738" s="953"/>
      <c r="BQ3738" s="319"/>
      <c r="BR3738" s="319"/>
      <c r="BS3738" s="330"/>
      <c r="BT3738" s="331"/>
      <c r="BU3738" s="920"/>
      <c r="BV3738" s="903"/>
      <c r="BW3738" s="908"/>
      <c r="BX3738" s="908"/>
      <c r="BY3738" s="331"/>
      <c r="BZ3738" s="331"/>
      <c r="CA3738" s="462"/>
      <c r="CB3738" s="319"/>
      <c r="CC3738" s="319"/>
      <c r="CD3738" s="319"/>
      <c r="CE3738" s="319"/>
      <c r="CF3738" s="319"/>
      <c r="CG3738" s="319"/>
      <c r="CH3738" s="318"/>
      <c r="CI3738" s="319"/>
      <c r="CJ3738" s="319"/>
      <c r="CK3738" s="342"/>
      <c r="CL3738" s="333"/>
      <c r="CM3738" s="1079"/>
      <c r="CN3738" s="1005"/>
      <c r="CO3738" s="1005"/>
      <c r="CP3738" s="1005"/>
    </row>
    <row r="3739">
      <c r="A3739" s="1257"/>
      <c r="B3739" s="1113"/>
      <c r="C3739" s="1107"/>
      <c r="D3739" s="103"/>
      <c r="E3739" s="1137"/>
      <c r="F3739" s="112"/>
      <c r="G3739" s="1110"/>
      <c r="H3739" s="1138"/>
      <c r="I3739" s="1138"/>
      <c r="J3739" s="1139"/>
      <c r="K3739" s="1111"/>
      <c r="L3739" s="1112"/>
      <c r="M3739" s="1113"/>
      <c r="N3739" s="110"/>
      <c r="O3739" s="1140"/>
      <c r="P3739" s="1115"/>
      <c r="Q3739" s="1116"/>
      <c r="R3739" s="1141"/>
      <c r="S3739" s="1113"/>
      <c r="T3739" s="1143"/>
      <c r="U3739" s="1108"/>
      <c r="V3739" s="1108"/>
      <c r="W3739" s="1108"/>
      <c r="X3739" s="1108"/>
      <c r="Y3739" s="1108"/>
      <c r="Z3739" s="1114"/>
      <c r="AA3739" s="1114"/>
      <c r="AB3739" s="1114"/>
      <c r="AC3739" s="1117"/>
      <c r="AD3739" s="1115"/>
      <c r="AE3739" s="1115"/>
      <c r="AF3739" s="1115"/>
      <c r="AG3739" s="1115"/>
      <c r="AH3739" s="1115"/>
      <c r="AI3739" s="1115"/>
      <c r="AJ3739" s="1117"/>
      <c r="AK3739" s="1118"/>
      <c r="AL3739" s="1115"/>
      <c r="AM3739" s="1115"/>
      <c r="AN3739" s="1115"/>
      <c r="AO3739" s="1115"/>
      <c r="AP3739" s="1115"/>
      <c r="AQ3739" s="1115"/>
      <c r="AR3739" s="1115"/>
      <c r="AS3739" s="1117"/>
      <c r="AT3739" s="1075"/>
      <c r="AU3739" s="1193"/>
      <c r="AV3739" s="330"/>
      <c r="AW3739" s="331"/>
      <c r="AX3739" s="331"/>
      <c r="AY3739" s="331"/>
      <c r="AZ3739" s="331"/>
      <c r="BA3739" s="331"/>
      <c r="BB3739" s="331"/>
      <c r="BC3739" s="331"/>
      <c r="BD3739" s="331"/>
      <c r="BE3739" s="333"/>
      <c r="BF3739" s="330"/>
      <c r="BG3739" s="333"/>
      <c r="BH3739" s="1119"/>
      <c r="BI3739" s="319"/>
      <c r="BJ3739" s="319"/>
      <c r="BK3739" s="319"/>
      <c r="BL3739" s="319"/>
      <c r="BM3739" s="319"/>
      <c r="BN3739" s="319"/>
      <c r="BO3739" s="319"/>
      <c r="BP3739" s="953"/>
      <c r="BQ3739" s="319"/>
      <c r="BR3739" s="319"/>
      <c r="BS3739" s="330"/>
      <c r="BT3739" s="331"/>
      <c r="BU3739" s="920"/>
      <c r="BV3739" s="903"/>
      <c r="BW3739" s="908"/>
      <c r="BX3739" s="908"/>
      <c r="BY3739" s="331"/>
      <c r="BZ3739" s="331"/>
      <c r="CA3739" s="462"/>
      <c r="CB3739" s="319"/>
      <c r="CC3739" s="319"/>
      <c r="CD3739" s="319"/>
      <c r="CE3739" s="319"/>
      <c r="CF3739" s="319"/>
      <c r="CG3739" s="319"/>
      <c r="CH3739" s="318"/>
      <c r="CI3739" s="319"/>
      <c r="CJ3739" s="319"/>
      <c r="CK3739" s="342"/>
      <c r="CL3739" s="333"/>
      <c r="CM3739" s="1079"/>
      <c r="CN3739" s="1005"/>
      <c r="CO3739" s="1005"/>
      <c r="CP3739" s="1005"/>
    </row>
    <row r="3740">
      <c r="A3740" s="1257"/>
      <c r="B3740" s="1113"/>
      <c r="C3740" s="1107"/>
      <c r="D3740" s="103"/>
      <c r="E3740" s="1137"/>
      <c r="F3740" s="112"/>
      <c r="G3740" s="1110"/>
      <c r="H3740" s="1138"/>
      <c r="I3740" s="1138"/>
      <c r="J3740" s="1139"/>
      <c r="K3740" s="1111"/>
      <c r="L3740" s="1112"/>
      <c r="M3740" s="1113"/>
      <c r="N3740" s="110"/>
      <c r="O3740" s="1140"/>
      <c r="P3740" s="1115"/>
      <c r="Q3740" s="1116"/>
      <c r="R3740" s="1141"/>
      <c r="S3740" s="1113"/>
      <c r="T3740" s="1143"/>
      <c r="U3740" s="1108"/>
      <c r="V3740" s="1108"/>
      <c r="W3740" s="1108"/>
      <c r="X3740" s="1108"/>
      <c r="Y3740" s="1108"/>
      <c r="Z3740" s="1114"/>
      <c r="AA3740" s="1114"/>
      <c r="AB3740" s="1114"/>
      <c r="AC3740" s="1117"/>
      <c r="AD3740" s="1115"/>
      <c r="AE3740" s="1115"/>
      <c r="AF3740" s="1115"/>
      <c r="AG3740" s="1115"/>
      <c r="AH3740" s="1115"/>
      <c r="AI3740" s="1115"/>
      <c r="AJ3740" s="1117"/>
      <c r="AK3740" s="1118"/>
      <c r="AL3740" s="1115"/>
      <c r="AM3740" s="1115"/>
      <c r="AN3740" s="1115"/>
      <c r="AO3740" s="1115"/>
      <c r="AP3740" s="1115"/>
      <c r="AQ3740" s="1115"/>
      <c r="AR3740" s="1115"/>
      <c r="AS3740" s="1117"/>
      <c r="AT3740" s="1075"/>
      <c r="AU3740" s="1193"/>
      <c r="AV3740" s="330"/>
      <c r="AW3740" s="331"/>
      <c r="AX3740" s="331"/>
      <c r="AY3740" s="331"/>
      <c r="AZ3740" s="331"/>
      <c r="BA3740" s="331"/>
      <c r="BB3740" s="331"/>
      <c r="BC3740" s="331"/>
      <c r="BD3740" s="331"/>
      <c r="BE3740" s="333"/>
      <c r="BF3740" s="330"/>
      <c r="BG3740" s="333"/>
      <c r="BH3740" s="1119"/>
      <c r="BI3740" s="319"/>
      <c r="BJ3740" s="319"/>
      <c r="BK3740" s="319"/>
      <c r="BL3740" s="319"/>
      <c r="BM3740" s="319"/>
      <c r="BN3740" s="319"/>
      <c r="BO3740" s="319"/>
      <c r="BP3740" s="953"/>
      <c r="BQ3740" s="319"/>
      <c r="BR3740" s="319"/>
      <c r="BS3740" s="330"/>
      <c r="BT3740" s="331"/>
      <c r="BU3740" s="920"/>
      <c r="BV3740" s="903"/>
      <c r="BW3740" s="908"/>
      <c r="BX3740" s="908"/>
      <c r="BY3740" s="331"/>
      <c r="BZ3740" s="331"/>
      <c r="CA3740" s="462"/>
      <c r="CB3740" s="319"/>
      <c r="CC3740" s="319"/>
      <c r="CD3740" s="319"/>
      <c r="CE3740" s="319"/>
      <c r="CF3740" s="319"/>
      <c r="CG3740" s="319"/>
      <c r="CH3740" s="318"/>
      <c r="CI3740" s="319"/>
      <c r="CJ3740" s="319"/>
      <c r="CK3740" s="342"/>
      <c r="CL3740" s="333"/>
      <c r="CM3740" s="1079"/>
      <c r="CN3740" s="1005"/>
      <c r="CO3740" s="1005"/>
      <c r="CP3740" s="1005"/>
    </row>
    <row r="3741">
      <c r="A3741" s="1257"/>
      <c r="B3741" s="1113"/>
      <c r="C3741" s="1107"/>
      <c r="D3741" s="103"/>
      <c r="E3741" s="1137"/>
      <c r="F3741" s="112"/>
      <c r="G3741" s="1110"/>
      <c r="H3741" s="1138"/>
      <c r="I3741" s="1138"/>
      <c r="J3741" s="1139"/>
      <c r="K3741" s="1111"/>
      <c r="L3741" s="1112"/>
      <c r="M3741" s="1113"/>
      <c r="N3741" s="110"/>
      <c r="O3741" s="1140"/>
      <c r="P3741" s="1115"/>
      <c r="Q3741" s="1116"/>
      <c r="R3741" s="1141"/>
      <c r="S3741" s="1113"/>
      <c r="T3741" s="1143"/>
      <c r="U3741" s="1108"/>
      <c r="V3741" s="1108"/>
      <c r="W3741" s="1108"/>
      <c r="X3741" s="1108"/>
      <c r="Y3741" s="1108"/>
      <c r="Z3741" s="1114"/>
      <c r="AA3741" s="1114"/>
      <c r="AB3741" s="1114"/>
      <c r="AC3741" s="1117"/>
      <c r="AD3741" s="1115"/>
      <c r="AE3741" s="1115"/>
      <c r="AF3741" s="1115"/>
      <c r="AG3741" s="1115"/>
      <c r="AH3741" s="1115"/>
      <c r="AI3741" s="1115"/>
      <c r="AJ3741" s="1117"/>
      <c r="AK3741" s="1118"/>
      <c r="AL3741" s="1115"/>
      <c r="AM3741" s="1115"/>
      <c r="AN3741" s="1115"/>
      <c r="AO3741" s="1115"/>
      <c r="AP3741" s="1115"/>
      <c r="AQ3741" s="1115"/>
      <c r="AR3741" s="1115"/>
      <c r="AS3741" s="1117"/>
      <c r="AT3741" s="1075"/>
      <c r="AU3741" s="1193"/>
      <c r="AV3741" s="330"/>
      <c r="AW3741" s="331"/>
      <c r="AX3741" s="331"/>
      <c r="AY3741" s="331"/>
      <c r="AZ3741" s="331"/>
      <c r="BA3741" s="331"/>
      <c r="BB3741" s="331"/>
      <c r="BC3741" s="331"/>
      <c r="BD3741" s="331"/>
      <c r="BE3741" s="333"/>
      <c r="BF3741" s="330"/>
      <c r="BG3741" s="333"/>
      <c r="BH3741" s="1119"/>
      <c r="BI3741" s="319"/>
      <c r="BJ3741" s="319"/>
      <c r="BK3741" s="319"/>
      <c r="BL3741" s="319"/>
      <c r="BM3741" s="319"/>
      <c r="BN3741" s="319"/>
      <c r="BO3741" s="319"/>
      <c r="BP3741" s="953"/>
      <c r="BQ3741" s="319"/>
      <c r="BR3741" s="319"/>
      <c r="BS3741" s="330"/>
      <c r="BT3741" s="331"/>
      <c r="BU3741" s="920"/>
      <c r="BV3741" s="903"/>
      <c r="BW3741" s="908"/>
      <c r="BX3741" s="908"/>
      <c r="BY3741" s="331"/>
      <c r="BZ3741" s="331"/>
      <c r="CA3741" s="462"/>
      <c r="CB3741" s="319"/>
      <c r="CC3741" s="319"/>
      <c r="CD3741" s="319"/>
      <c r="CE3741" s="319"/>
      <c r="CF3741" s="319"/>
      <c r="CG3741" s="319"/>
      <c r="CH3741" s="318"/>
      <c r="CI3741" s="319"/>
      <c r="CJ3741" s="319"/>
      <c r="CK3741" s="342"/>
      <c r="CL3741" s="333"/>
      <c r="CM3741" s="1079"/>
      <c r="CN3741" s="1005"/>
      <c r="CO3741" s="1005"/>
      <c r="CP3741" s="1005"/>
    </row>
    <row r="3742">
      <c r="A3742" s="1257"/>
      <c r="B3742" s="1113"/>
      <c r="C3742" s="1107"/>
      <c r="D3742" s="103"/>
      <c r="E3742" s="1137"/>
      <c r="F3742" s="112"/>
      <c r="G3742" s="1110"/>
      <c r="H3742" s="1138"/>
      <c r="I3742" s="1138"/>
      <c r="J3742" s="1139"/>
      <c r="K3742" s="1111"/>
      <c r="L3742" s="1112"/>
      <c r="M3742" s="1113"/>
      <c r="N3742" s="110"/>
      <c r="O3742" s="1140"/>
      <c r="P3742" s="1115"/>
      <c r="Q3742" s="1116"/>
      <c r="R3742" s="1141"/>
      <c r="S3742" s="1113"/>
      <c r="T3742" s="1143"/>
      <c r="U3742" s="1108"/>
      <c r="V3742" s="1108"/>
      <c r="W3742" s="1108"/>
      <c r="X3742" s="1108"/>
      <c r="Y3742" s="1108"/>
      <c r="Z3742" s="1114"/>
      <c r="AA3742" s="1114"/>
      <c r="AB3742" s="1114"/>
      <c r="AC3742" s="1117"/>
      <c r="AD3742" s="1115"/>
      <c r="AE3742" s="1115"/>
      <c r="AF3742" s="1115"/>
      <c r="AG3742" s="1115"/>
      <c r="AH3742" s="1115"/>
      <c r="AI3742" s="1115"/>
      <c r="AJ3742" s="1117"/>
      <c r="AK3742" s="1118"/>
      <c r="AL3742" s="1115"/>
      <c r="AM3742" s="1115"/>
      <c r="AN3742" s="1115"/>
      <c r="AO3742" s="1115"/>
      <c r="AP3742" s="1115"/>
      <c r="AQ3742" s="1115"/>
      <c r="AR3742" s="1115"/>
      <c r="AS3742" s="1117"/>
      <c r="AT3742" s="1075"/>
      <c r="AU3742" s="1193"/>
      <c r="AV3742" s="330"/>
      <c r="AW3742" s="331"/>
      <c r="AX3742" s="331"/>
      <c r="AY3742" s="331"/>
      <c r="AZ3742" s="331"/>
      <c r="BA3742" s="331"/>
      <c r="BB3742" s="331"/>
      <c r="BC3742" s="331"/>
      <c r="BD3742" s="331"/>
      <c r="BE3742" s="333"/>
      <c r="BF3742" s="330"/>
      <c r="BG3742" s="333"/>
      <c r="BH3742" s="1119"/>
      <c r="BI3742" s="319"/>
      <c r="BJ3742" s="319"/>
      <c r="BK3742" s="319"/>
      <c r="BL3742" s="319"/>
      <c r="BM3742" s="319"/>
      <c r="BN3742" s="319"/>
      <c r="BO3742" s="319"/>
      <c r="BP3742" s="953"/>
      <c r="BQ3742" s="319"/>
      <c r="BR3742" s="319"/>
      <c r="BS3742" s="330"/>
      <c r="BT3742" s="331"/>
      <c r="BU3742" s="920"/>
      <c r="BV3742" s="903"/>
      <c r="BW3742" s="908"/>
      <c r="BX3742" s="908"/>
      <c r="BY3742" s="331"/>
      <c r="BZ3742" s="331"/>
      <c r="CA3742" s="462"/>
      <c r="CB3742" s="319"/>
      <c r="CC3742" s="319"/>
      <c r="CD3742" s="319"/>
      <c r="CE3742" s="319"/>
      <c r="CF3742" s="319"/>
      <c r="CG3742" s="319"/>
      <c r="CH3742" s="318"/>
      <c r="CI3742" s="319"/>
      <c r="CJ3742" s="319"/>
      <c r="CK3742" s="342"/>
      <c r="CL3742" s="333"/>
      <c r="CM3742" s="1079"/>
      <c r="CN3742" s="1005"/>
      <c r="CO3742" s="1005"/>
      <c r="CP3742" s="1005"/>
    </row>
    <row r="3743">
      <c r="A3743" s="1257"/>
      <c r="B3743" s="1113"/>
      <c r="C3743" s="1107"/>
      <c r="D3743" s="103"/>
      <c r="E3743" s="1137"/>
      <c r="F3743" s="112"/>
      <c r="G3743" s="1110"/>
      <c r="H3743" s="1138"/>
      <c r="I3743" s="1138"/>
      <c r="J3743" s="1139"/>
      <c r="K3743" s="1111"/>
      <c r="L3743" s="1112"/>
      <c r="M3743" s="1113"/>
      <c r="N3743" s="110"/>
      <c r="O3743" s="1140"/>
      <c r="P3743" s="1115"/>
      <c r="Q3743" s="1116"/>
      <c r="R3743" s="1141"/>
      <c r="S3743" s="1113"/>
      <c r="T3743" s="1143"/>
      <c r="U3743" s="1108"/>
      <c r="V3743" s="1108"/>
      <c r="W3743" s="1108"/>
      <c r="X3743" s="1108"/>
      <c r="Y3743" s="1108"/>
      <c r="Z3743" s="1114"/>
      <c r="AA3743" s="1114"/>
      <c r="AB3743" s="1114"/>
      <c r="AC3743" s="1117"/>
      <c r="AD3743" s="1115"/>
      <c r="AE3743" s="1115"/>
      <c r="AF3743" s="1115"/>
      <c r="AG3743" s="1115"/>
      <c r="AH3743" s="1115"/>
      <c r="AI3743" s="1115"/>
      <c r="AJ3743" s="1117"/>
      <c r="AK3743" s="1118"/>
      <c r="AL3743" s="1115"/>
      <c r="AM3743" s="1115"/>
      <c r="AN3743" s="1115"/>
      <c r="AO3743" s="1115"/>
      <c r="AP3743" s="1115"/>
      <c r="AQ3743" s="1115"/>
      <c r="AR3743" s="1115"/>
      <c r="AS3743" s="1117"/>
      <c r="AT3743" s="1075"/>
      <c r="AU3743" s="1193"/>
      <c r="AV3743" s="330"/>
      <c r="AW3743" s="331"/>
      <c r="AX3743" s="331"/>
      <c r="AY3743" s="331"/>
      <c r="AZ3743" s="331"/>
      <c r="BA3743" s="331"/>
      <c r="BB3743" s="331"/>
      <c r="BC3743" s="331"/>
      <c r="BD3743" s="331"/>
      <c r="BE3743" s="333"/>
      <c r="BF3743" s="330"/>
      <c r="BG3743" s="333"/>
      <c r="BH3743" s="1119"/>
      <c r="BI3743" s="319"/>
      <c r="BJ3743" s="319"/>
      <c r="BK3743" s="319"/>
      <c r="BL3743" s="319"/>
      <c r="BM3743" s="319"/>
      <c r="BN3743" s="319"/>
      <c r="BO3743" s="319"/>
      <c r="BP3743" s="953"/>
      <c r="BQ3743" s="319"/>
      <c r="BR3743" s="319"/>
      <c r="BS3743" s="330"/>
      <c r="BT3743" s="331"/>
      <c r="BU3743" s="920"/>
      <c r="BV3743" s="903"/>
      <c r="BW3743" s="908"/>
      <c r="BX3743" s="908"/>
      <c r="BY3743" s="331"/>
      <c r="BZ3743" s="331"/>
      <c r="CA3743" s="462"/>
      <c r="CB3743" s="319"/>
      <c r="CC3743" s="319"/>
      <c r="CD3743" s="319"/>
      <c r="CE3743" s="319"/>
      <c r="CF3743" s="319"/>
      <c r="CG3743" s="319"/>
      <c r="CH3743" s="318"/>
      <c r="CI3743" s="319"/>
      <c r="CJ3743" s="319"/>
      <c r="CK3743" s="342"/>
      <c r="CL3743" s="333"/>
      <c r="CM3743" s="1079"/>
      <c r="CN3743" s="1005"/>
      <c r="CO3743" s="1005"/>
      <c r="CP3743" s="1005"/>
    </row>
    <row r="3744">
      <c r="A3744" s="1257"/>
      <c r="B3744" s="1113"/>
      <c r="C3744" s="1107"/>
      <c r="D3744" s="103"/>
      <c r="E3744" s="1137"/>
      <c r="F3744" s="112"/>
      <c r="G3744" s="1110"/>
      <c r="H3744" s="1138"/>
      <c r="I3744" s="1138"/>
      <c r="J3744" s="1139"/>
      <c r="K3744" s="1111"/>
      <c r="L3744" s="1112"/>
      <c r="M3744" s="1113"/>
      <c r="N3744" s="110"/>
      <c r="O3744" s="1140"/>
      <c r="P3744" s="1115"/>
      <c r="Q3744" s="1116"/>
      <c r="R3744" s="1141"/>
      <c r="S3744" s="1113"/>
      <c r="T3744" s="1143"/>
      <c r="U3744" s="1108"/>
      <c r="V3744" s="1108"/>
      <c r="W3744" s="1108"/>
      <c r="X3744" s="1108"/>
      <c r="Y3744" s="1108"/>
      <c r="Z3744" s="1114"/>
      <c r="AA3744" s="1114"/>
      <c r="AB3744" s="1114"/>
      <c r="AC3744" s="1117"/>
      <c r="AD3744" s="1115"/>
      <c r="AE3744" s="1115"/>
      <c r="AF3744" s="1115"/>
      <c r="AG3744" s="1115"/>
      <c r="AH3744" s="1115"/>
      <c r="AI3744" s="1115"/>
      <c r="AJ3744" s="1117"/>
      <c r="AK3744" s="1118"/>
      <c r="AL3744" s="1115"/>
      <c r="AM3744" s="1115"/>
      <c r="AN3744" s="1115"/>
      <c r="AO3744" s="1115"/>
      <c r="AP3744" s="1115"/>
      <c r="AQ3744" s="1115"/>
      <c r="AR3744" s="1115"/>
      <c r="AS3744" s="1117"/>
      <c r="AT3744" s="1075"/>
      <c r="AU3744" s="1193"/>
      <c r="AV3744" s="330"/>
      <c r="AW3744" s="331"/>
      <c r="AX3744" s="331"/>
      <c r="AY3744" s="331"/>
      <c r="AZ3744" s="331"/>
      <c r="BA3744" s="331"/>
      <c r="BB3744" s="331"/>
      <c r="BC3744" s="331"/>
      <c r="BD3744" s="331"/>
      <c r="BE3744" s="333"/>
      <c r="BF3744" s="330"/>
      <c r="BG3744" s="333"/>
      <c r="BH3744" s="1119"/>
      <c r="BI3744" s="319"/>
      <c r="BJ3744" s="319"/>
      <c r="BK3744" s="319"/>
      <c r="BL3744" s="319"/>
      <c r="BM3744" s="319"/>
      <c r="BN3744" s="319"/>
      <c r="BO3744" s="319"/>
      <c r="BP3744" s="953"/>
      <c r="BQ3744" s="319"/>
      <c r="BR3744" s="319"/>
      <c r="BS3744" s="330"/>
      <c r="BT3744" s="331"/>
      <c r="BU3744" s="920"/>
      <c r="BV3744" s="903"/>
      <c r="BW3744" s="908"/>
      <c r="BX3744" s="908"/>
      <c r="BY3744" s="331"/>
      <c r="BZ3744" s="331"/>
      <c r="CA3744" s="462"/>
      <c r="CB3744" s="319"/>
      <c r="CC3744" s="319"/>
      <c r="CD3744" s="319"/>
      <c r="CE3744" s="319"/>
      <c r="CF3744" s="319"/>
      <c r="CG3744" s="319"/>
      <c r="CH3744" s="318"/>
      <c r="CI3744" s="319"/>
      <c r="CJ3744" s="319"/>
      <c r="CK3744" s="342"/>
      <c r="CL3744" s="333"/>
      <c r="CM3744" s="1079"/>
      <c r="CN3744" s="1005"/>
      <c r="CO3744" s="1005"/>
      <c r="CP3744" s="1005"/>
    </row>
    <row r="3745">
      <c r="A3745" s="1257"/>
      <c r="B3745" s="1113"/>
      <c r="C3745" s="1107"/>
      <c r="D3745" s="103"/>
      <c r="E3745" s="1137"/>
      <c r="F3745" s="112"/>
      <c r="G3745" s="1110"/>
      <c r="H3745" s="1138"/>
      <c r="I3745" s="1138"/>
      <c r="J3745" s="1139"/>
      <c r="K3745" s="1111"/>
      <c r="L3745" s="1112"/>
      <c r="M3745" s="1113"/>
      <c r="N3745" s="110"/>
      <c r="O3745" s="1140"/>
      <c r="P3745" s="1115"/>
      <c r="Q3745" s="1116"/>
      <c r="R3745" s="1141"/>
      <c r="S3745" s="1113"/>
      <c r="T3745" s="1143"/>
      <c r="U3745" s="1108"/>
      <c r="V3745" s="1108"/>
      <c r="W3745" s="1108"/>
      <c r="X3745" s="1108"/>
      <c r="Y3745" s="1108"/>
      <c r="Z3745" s="1114"/>
      <c r="AA3745" s="1114"/>
      <c r="AB3745" s="1114"/>
      <c r="AC3745" s="1117"/>
      <c r="AD3745" s="1115"/>
      <c r="AE3745" s="1115"/>
      <c r="AF3745" s="1115"/>
      <c r="AG3745" s="1115"/>
      <c r="AH3745" s="1115"/>
      <c r="AI3745" s="1115"/>
      <c r="AJ3745" s="1117"/>
      <c r="AK3745" s="1118"/>
      <c r="AL3745" s="1115"/>
      <c r="AM3745" s="1115"/>
      <c r="AN3745" s="1115"/>
      <c r="AO3745" s="1115"/>
      <c r="AP3745" s="1115"/>
      <c r="AQ3745" s="1115"/>
      <c r="AR3745" s="1115"/>
      <c r="AS3745" s="1117"/>
      <c r="AT3745" s="1075"/>
      <c r="AU3745" s="1193"/>
      <c r="AV3745" s="330"/>
      <c r="AW3745" s="331"/>
      <c r="AX3745" s="331"/>
      <c r="AY3745" s="331"/>
      <c r="AZ3745" s="331"/>
      <c r="BA3745" s="331"/>
      <c r="BB3745" s="331"/>
      <c r="BC3745" s="331"/>
      <c r="BD3745" s="331"/>
      <c r="BE3745" s="333"/>
      <c r="BF3745" s="330"/>
      <c r="BG3745" s="333"/>
      <c r="BH3745" s="1119"/>
      <c r="BI3745" s="319"/>
      <c r="BJ3745" s="319"/>
      <c r="BK3745" s="319"/>
      <c r="BL3745" s="319"/>
      <c r="BM3745" s="319"/>
      <c r="BN3745" s="319"/>
      <c r="BO3745" s="319"/>
      <c r="BP3745" s="953"/>
      <c r="BQ3745" s="319"/>
      <c r="BR3745" s="319"/>
      <c r="BS3745" s="330"/>
      <c r="BT3745" s="331"/>
      <c r="BU3745" s="920"/>
      <c r="BV3745" s="903"/>
      <c r="BW3745" s="908"/>
      <c r="BX3745" s="908"/>
      <c r="BY3745" s="331"/>
      <c r="BZ3745" s="331"/>
      <c r="CA3745" s="462"/>
      <c r="CB3745" s="319"/>
      <c r="CC3745" s="319"/>
      <c r="CD3745" s="319"/>
      <c r="CE3745" s="319"/>
      <c r="CF3745" s="319"/>
      <c r="CG3745" s="319"/>
      <c r="CH3745" s="318"/>
      <c r="CI3745" s="319"/>
      <c r="CJ3745" s="319"/>
      <c r="CK3745" s="342"/>
      <c r="CL3745" s="333"/>
      <c r="CM3745" s="1079"/>
      <c r="CN3745" s="1005"/>
      <c r="CO3745" s="1005"/>
      <c r="CP3745" s="1005"/>
    </row>
    <row r="3746">
      <c r="A3746" s="1257"/>
      <c r="B3746" s="1113"/>
      <c r="C3746" s="1107"/>
      <c r="D3746" s="103"/>
      <c r="E3746" s="1137"/>
      <c r="F3746" s="112"/>
      <c r="G3746" s="1110"/>
      <c r="H3746" s="1138"/>
      <c r="I3746" s="1138"/>
      <c r="J3746" s="1139"/>
      <c r="K3746" s="1111"/>
      <c r="L3746" s="1112"/>
      <c r="M3746" s="1113"/>
      <c r="N3746" s="110"/>
      <c r="O3746" s="1140"/>
      <c r="P3746" s="1115"/>
      <c r="Q3746" s="1116"/>
      <c r="R3746" s="1141"/>
      <c r="S3746" s="1113"/>
      <c r="T3746" s="1143"/>
      <c r="U3746" s="1108"/>
      <c r="V3746" s="1108"/>
      <c r="W3746" s="1108"/>
      <c r="X3746" s="1108"/>
      <c r="Y3746" s="1108"/>
      <c r="Z3746" s="1114"/>
      <c r="AA3746" s="1114"/>
      <c r="AB3746" s="1114"/>
      <c r="AC3746" s="1117"/>
      <c r="AD3746" s="1115"/>
      <c r="AE3746" s="1115"/>
      <c r="AF3746" s="1115"/>
      <c r="AG3746" s="1115"/>
      <c r="AH3746" s="1115"/>
      <c r="AI3746" s="1115"/>
      <c r="AJ3746" s="1117"/>
      <c r="AK3746" s="1118"/>
      <c r="AL3746" s="1115"/>
      <c r="AM3746" s="1115"/>
      <c r="AN3746" s="1115"/>
      <c r="AO3746" s="1115"/>
      <c r="AP3746" s="1115"/>
      <c r="AQ3746" s="1115"/>
      <c r="AR3746" s="1115"/>
      <c r="AS3746" s="1117"/>
      <c r="AT3746" s="1075"/>
      <c r="AU3746" s="1193"/>
      <c r="AV3746" s="330"/>
      <c r="AW3746" s="331"/>
      <c r="AX3746" s="331"/>
      <c r="AY3746" s="331"/>
      <c r="AZ3746" s="331"/>
      <c r="BA3746" s="331"/>
      <c r="BB3746" s="331"/>
      <c r="BC3746" s="331"/>
      <c r="BD3746" s="331"/>
      <c r="BE3746" s="333"/>
      <c r="BF3746" s="330"/>
      <c r="BG3746" s="333"/>
      <c r="BH3746" s="1119"/>
      <c r="BI3746" s="319"/>
      <c r="BJ3746" s="319"/>
      <c r="BK3746" s="319"/>
      <c r="BL3746" s="319"/>
      <c r="BM3746" s="319"/>
      <c r="BN3746" s="319"/>
      <c r="BO3746" s="319"/>
      <c r="BP3746" s="953"/>
      <c r="BQ3746" s="319"/>
      <c r="BR3746" s="319"/>
      <c r="BS3746" s="330"/>
      <c r="BT3746" s="331"/>
      <c r="BU3746" s="920"/>
      <c r="BV3746" s="903"/>
      <c r="BW3746" s="908"/>
      <c r="BX3746" s="908"/>
      <c r="BY3746" s="331"/>
      <c r="BZ3746" s="331"/>
      <c r="CA3746" s="462"/>
      <c r="CB3746" s="319"/>
      <c r="CC3746" s="319"/>
      <c r="CD3746" s="319"/>
      <c r="CE3746" s="319"/>
      <c r="CF3746" s="319"/>
      <c r="CG3746" s="319"/>
      <c r="CH3746" s="318"/>
      <c r="CI3746" s="319"/>
      <c r="CJ3746" s="319"/>
      <c r="CK3746" s="342"/>
      <c r="CL3746" s="333"/>
      <c r="CM3746" s="1079"/>
      <c r="CN3746" s="1005"/>
      <c r="CO3746" s="1005"/>
      <c r="CP3746" s="1005"/>
    </row>
    <row r="3747">
      <c r="A3747" s="1257"/>
      <c r="B3747" s="1113"/>
      <c r="C3747" s="1107"/>
      <c r="D3747" s="103"/>
      <c r="E3747" s="1137"/>
      <c r="F3747" s="112"/>
      <c r="G3747" s="1110"/>
      <c r="H3747" s="1138"/>
      <c r="I3747" s="1138"/>
      <c r="J3747" s="1139"/>
      <c r="K3747" s="1111"/>
      <c r="L3747" s="1112"/>
      <c r="M3747" s="1113"/>
      <c r="N3747" s="110"/>
      <c r="O3747" s="1140"/>
      <c r="P3747" s="1115"/>
      <c r="Q3747" s="1116"/>
      <c r="R3747" s="1141"/>
      <c r="S3747" s="1113"/>
      <c r="T3747" s="1143"/>
      <c r="U3747" s="1108"/>
      <c r="V3747" s="1108"/>
      <c r="W3747" s="1108"/>
      <c r="X3747" s="1108"/>
      <c r="Y3747" s="1108"/>
      <c r="Z3747" s="1114"/>
      <c r="AA3747" s="1114"/>
      <c r="AB3747" s="1114"/>
      <c r="AC3747" s="1117"/>
      <c r="AD3747" s="1115"/>
      <c r="AE3747" s="1115"/>
      <c r="AF3747" s="1115"/>
      <c r="AG3747" s="1115"/>
      <c r="AH3747" s="1115"/>
      <c r="AI3747" s="1115"/>
      <c r="AJ3747" s="1117"/>
      <c r="AK3747" s="1118"/>
      <c r="AL3747" s="1115"/>
      <c r="AM3747" s="1115"/>
      <c r="AN3747" s="1115"/>
      <c r="AO3747" s="1115"/>
      <c r="AP3747" s="1115"/>
      <c r="AQ3747" s="1115"/>
      <c r="AR3747" s="1115"/>
      <c r="AS3747" s="1117"/>
      <c r="AT3747" s="1075"/>
      <c r="AU3747" s="1193"/>
      <c r="AV3747" s="330"/>
      <c r="AW3747" s="331"/>
      <c r="AX3747" s="331"/>
      <c r="AY3747" s="331"/>
      <c r="AZ3747" s="331"/>
      <c r="BA3747" s="331"/>
      <c r="BB3747" s="331"/>
      <c r="BC3747" s="331"/>
      <c r="BD3747" s="331"/>
      <c r="BE3747" s="333"/>
      <c r="BF3747" s="330"/>
      <c r="BG3747" s="333"/>
      <c r="BH3747" s="1119"/>
      <c r="BI3747" s="319"/>
      <c r="BJ3747" s="319"/>
      <c r="BK3747" s="319"/>
      <c r="BL3747" s="319"/>
      <c r="BM3747" s="319"/>
      <c r="BN3747" s="319"/>
      <c r="BO3747" s="319"/>
      <c r="BP3747" s="953"/>
      <c r="BQ3747" s="319"/>
      <c r="BR3747" s="319"/>
      <c r="BS3747" s="330"/>
      <c r="BT3747" s="331"/>
      <c r="BU3747" s="920"/>
      <c r="BV3747" s="903"/>
      <c r="BW3747" s="908"/>
      <c r="BX3747" s="908"/>
      <c r="BY3747" s="331"/>
      <c r="BZ3747" s="331"/>
      <c r="CA3747" s="462"/>
      <c r="CB3747" s="319"/>
      <c r="CC3747" s="319"/>
      <c r="CD3747" s="319"/>
      <c r="CE3747" s="319"/>
      <c r="CF3747" s="319"/>
      <c r="CG3747" s="319"/>
      <c r="CH3747" s="318"/>
      <c r="CI3747" s="319"/>
      <c r="CJ3747" s="319"/>
      <c r="CK3747" s="342"/>
      <c r="CL3747" s="333"/>
      <c r="CM3747" s="1079"/>
      <c r="CN3747" s="1005"/>
      <c r="CO3747" s="1005"/>
      <c r="CP3747" s="1005"/>
    </row>
    <row r="3748">
      <c r="A3748" s="1257"/>
      <c r="B3748" s="1113"/>
      <c r="C3748" s="1107"/>
      <c r="D3748" s="103"/>
      <c r="E3748" s="1137"/>
      <c r="F3748" s="112"/>
      <c r="G3748" s="1110"/>
      <c r="H3748" s="1138"/>
      <c r="I3748" s="1138"/>
      <c r="J3748" s="1139"/>
      <c r="K3748" s="1111"/>
      <c r="L3748" s="1112"/>
      <c r="M3748" s="1113"/>
      <c r="N3748" s="110"/>
      <c r="O3748" s="1140"/>
      <c r="P3748" s="1115"/>
      <c r="Q3748" s="1116"/>
      <c r="R3748" s="1141"/>
      <c r="S3748" s="1113"/>
      <c r="T3748" s="1143"/>
      <c r="U3748" s="1108"/>
      <c r="V3748" s="1108"/>
      <c r="W3748" s="1108"/>
      <c r="X3748" s="1108"/>
      <c r="Y3748" s="1108"/>
      <c r="Z3748" s="1114"/>
      <c r="AA3748" s="1114"/>
      <c r="AB3748" s="1114"/>
      <c r="AC3748" s="1117"/>
      <c r="AD3748" s="1115"/>
      <c r="AE3748" s="1115"/>
      <c r="AF3748" s="1115"/>
      <c r="AG3748" s="1115"/>
      <c r="AH3748" s="1115"/>
      <c r="AI3748" s="1115"/>
      <c r="AJ3748" s="1117"/>
      <c r="AK3748" s="1118"/>
      <c r="AL3748" s="1115"/>
      <c r="AM3748" s="1115"/>
      <c r="AN3748" s="1115"/>
      <c r="AO3748" s="1115"/>
      <c r="AP3748" s="1115"/>
      <c r="AQ3748" s="1115"/>
      <c r="AR3748" s="1115"/>
      <c r="AS3748" s="1117"/>
      <c r="AT3748" s="1075"/>
      <c r="AU3748" s="1193"/>
      <c r="AV3748" s="330"/>
      <c r="AW3748" s="331"/>
      <c r="AX3748" s="331"/>
      <c r="AY3748" s="331"/>
      <c r="AZ3748" s="331"/>
      <c r="BA3748" s="331"/>
      <c r="BB3748" s="331"/>
      <c r="BC3748" s="331"/>
      <c r="BD3748" s="331"/>
      <c r="BE3748" s="333"/>
      <c r="BF3748" s="330"/>
      <c r="BG3748" s="333"/>
      <c r="BH3748" s="1119"/>
      <c r="BI3748" s="319"/>
      <c r="BJ3748" s="319"/>
      <c r="BK3748" s="319"/>
      <c r="BL3748" s="319"/>
      <c r="BM3748" s="319"/>
      <c r="BN3748" s="319"/>
      <c r="BO3748" s="319"/>
      <c r="BP3748" s="953"/>
      <c r="BQ3748" s="319"/>
      <c r="BR3748" s="319"/>
      <c r="BS3748" s="330"/>
      <c r="BT3748" s="331"/>
      <c r="BU3748" s="920"/>
      <c r="BV3748" s="903"/>
      <c r="BW3748" s="908"/>
      <c r="BX3748" s="908"/>
      <c r="BY3748" s="331"/>
      <c r="BZ3748" s="331"/>
      <c r="CA3748" s="462"/>
      <c r="CB3748" s="319"/>
      <c r="CC3748" s="319"/>
      <c r="CD3748" s="319"/>
      <c r="CE3748" s="319"/>
      <c r="CF3748" s="319"/>
      <c r="CG3748" s="319"/>
      <c r="CH3748" s="318"/>
      <c r="CI3748" s="319"/>
      <c r="CJ3748" s="319"/>
      <c r="CK3748" s="342"/>
      <c r="CL3748" s="333"/>
      <c r="CM3748" s="1079"/>
      <c r="CN3748" s="1005"/>
      <c r="CO3748" s="1005"/>
      <c r="CP3748" s="1005"/>
    </row>
    <row r="3749">
      <c r="A3749" s="1257"/>
      <c r="B3749" s="1113"/>
      <c r="C3749" s="1107"/>
      <c r="D3749" s="103"/>
      <c r="E3749" s="1137"/>
      <c r="F3749" s="112"/>
      <c r="G3749" s="1110"/>
      <c r="H3749" s="1138"/>
      <c r="I3749" s="1138"/>
      <c r="J3749" s="1139"/>
      <c r="K3749" s="1111"/>
      <c r="L3749" s="1112"/>
      <c r="M3749" s="1113"/>
      <c r="N3749" s="110"/>
      <c r="O3749" s="1140"/>
      <c r="P3749" s="1115"/>
      <c r="Q3749" s="1116"/>
      <c r="R3749" s="1141"/>
      <c r="S3749" s="1113"/>
      <c r="T3749" s="1143"/>
      <c r="U3749" s="1108"/>
      <c r="V3749" s="1108"/>
      <c r="W3749" s="1108"/>
      <c r="X3749" s="1108"/>
      <c r="Y3749" s="1108"/>
      <c r="Z3749" s="1114"/>
      <c r="AA3749" s="1114"/>
      <c r="AB3749" s="1114"/>
      <c r="AC3749" s="1117"/>
      <c r="AD3749" s="1115"/>
      <c r="AE3749" s="1115"/>
      <c r="AF3749" s="1115"/>
      <c r="AG3749" s="1115"/>
      <c r="AH3749" s="1115"/>
      <c r="AI3749" s="1115"/>
      <c r="AJ3749" s="1117"/>
      <c r="AK3749" s="1118"/>
      <c r="AL3749" s="1115"/>
      <c r="AM3749" s="1115"/>
      <c r="AN3749" s="1115"/>
      <c r="AO3749" s="1115"/>
      <c r="AP3749" s="1115"/>
      <c r="AQ3749" s="1115"/>
      <c r="AR3749" s="1115"/>
      <c r="AS3749" s="1117"/>
      <c r="AT3749" s="1075"/>
      <c r="AU3749" s="1193"/>
      <c r="AV3749" s="330"/>
      <c r="AW3749" s="331"/>
      <c r="AX3749" s="331"/>
      <c r="AY3749" s="331"/>
      <c r="AZ3749" s="331"/>
      <c r="BA3749" s="331"/>
      <c r="BB3749" s="331"/>
      <c r="BC3749" s="331"/>
      <c r="BD3749" s="331"/>
      <c r="BE3749" s="333"/>
      <c r="BF3749" s="330"/>
      <c r="BG3749" s="333"/>
      <c r="BH3749" s="1119"/>
      <c r="BI3749" s="319"/>
      <c r="BJ3749" s="319"/>
      <c r="BK3749" s="319"/>
      <c r="BL3749" s="319"/>
      <c r="BM3749" s="319"/>
      <c r="BN3749" s="319"/>
      <c r="BO3749" s="319"/>
      <c r="BP3749" s="953"/>
      <c r="BQ3749" s="319"/>
      <c r="BR3749" s="319"/>
      <c r="BS3749" s="330"/>
      <c r="BT3749" s="331"/>
      <c r="BU3749" s="920"/>
      <c r="BV3749" s="903"/>
      <c r="BW3749" s="908"/>
      <c r="BX3749" s="908"/>
      <c r="BY3749" s="331"/>
      <c r="BZ3749" s="331"/>
      <c r="CA3749" s="462"/>
      <c r="CB3749" s="319"/>
      <c r="CC3749" s="319"/>
      <c r="CD3749" s="319"/>
      <c r="CE3749" s="319"/>
      <c r="CF3749" s="319"/>
      <c r="CG3749" s="319"/>
      <c r="CH3749" s="318"/>
      <c r="CI3749" s="319"/>
      <c r="CJ3749" s="319"/>
      <c r="CK3749" s="342"/>
      <c r="CL3749" s="333"/>
      <c r="CM3749" s="1079"/>
      <c r="CN3749" s="1005"/>
      <c r="CO3749" s="1005"/>
      <c r="CP3749" s="1005"/>
    </row>
    <row r="3750">
      <c r="A3750" s="1257"/>
      <c r="B3750" s="1113"/>
      <c r="C3750" s="1107"/>
      <c r="D3750" s="103"/>
      <c r="E3750" s="1137"/>
      <c r="F3750" s="112"/>
      <c r="G3750" s="1110"/>
      <c r="H3750" s="1138"/>
      <c r="I3750" s="1138"/>
      <c r="J3750" s="1139"/>
      <c r="K3750" s="1111"/>
      <c r="L3750" s="1112"/>
      <c r="M3750" s="1113"/>
      <c r="N3750" s="110"/>
      <c r="O3750" s="1140"/>
      <c r="P3750" s="1115"/>
      <c r="Q3750" s="1116"/>
      <c r="R3750" s="1141"/>
      <c r="S3750" s="1113"/>
      <c r="T3750" s="1143"/>
      <c r="U3750" s="1108"/>
      <c r="V3750" s="1108"/>
      <c r="W3750" s="1108"/>
      <c r="X3750" s="1108"/>
      <c r="Y3750" s="1108"/>
      <c r="Z3750" s="1114"/>
      <c r="AA3750" s="1114"/>
      <c r="AB3750" s="1114"/>
      <c r="AC3750" s="1117"/>
      <c r="AD3750" s="1115"/>
      <c r="AE3750" s="1115"/>
      <c r="AF3750" s="1115"/>
      <c r="AG3750" s="1115"/>
      <c r="AH3750" s="1115"/>
      <c r="AI3750" s="1115"/>
      <c r="AJ3750" s="1117"/>
      <c r="AK3750" s="1118"/>
      <c r="AL3750" s="1115"/>
      <c r="AM3750" s="1115"/>
      <c r="AN3750" s="1115"/>
      <c r="AO3750" s="1115"/>
      <c r="AP3750" s="1115"/>
      <c r="AQ3750" s="1115"/>
      <c r="AR3750" s="1115"/>
      <c r="AS3750" s="1117"/>
      <c r="AT3750" s="1075"/>
      <c r="AU3750" s="1193"/>
      <c r="AV3750" s="330"/>
      <c r="AW3750" s="331"/>
      <c r="AX3750" s="331"/>
      <c r="AY3750" s="331"/>
      <c r="AZ3750" s="331"/>
      <c r="BA3750" s="331"/>
      <c r="BB3750" s="331"/>
      <c r="BC3750" s="331"/>
      <c r="BD3750" s="331"/>
      <c r="BE3750" s="333"/>
      <c r="BF3750" s="330"/>
      <c r="BG3750" s="333"/>
      <c r="BH3750" s="1119"/>
      <c r="BI3750" s="319"/>
      <c r="BJ3750" s="319"/>
      <c r="BK3750" s="319"/>
      <c r="BL3750" s="319"/>
      <c r="BM3750" s="319"/>
      <c r="BN3750" s="319"/>
      <c r="BO3750" s="319"/>
      <c r="BP3750" s="953"/>
      <c r="BQ3750" s="319"/>
      <c r="BR3750" s="319"/>
      <c r="BS3750" s="330"/>
      <c r="BT3750" s="331"/>
      <c r="BU3750" s="920"/>
      <c r="BV3750" s="903"/>
      <c r="BW3750" s="908"/>
      <c r="BX3750" s="908"/>
      <c r="BY3750" s="331"/>
      <c r="BZ3750" s="331"/>
      <c r="CA3750" s="462"/>
      <c r="CB3750" s="319"/>
      <c r="CC3750" s="319"/>
      <c r="CD3750" s="319"/>
      <c r="CE3750" s="319"/>
      <c r="CF3750" s="319"/>
      <c r="CG3750" s="319"/>
      <c r="CH3750" s="318"/>
      <c r="CI3750" s="319"/>
      <c r="CJ3750" s="319"/>
      <c r="CK3750" s="342"/>
      <c r="CL3750" s="333"/>
      <c r="CM3750" s="1079"/>
      <c r="CN3750" s="1005"/>
      <c r="CO3750" s="1005"/>
      <c r="CP3750" s="1005"/>
    </row>
    <row r="3751">
      <c r="A3751" s="1257"/>
      <c r="B3751" s="1113"/>
      <c r="C3751" s="1107"/>
      <c r="D3751" s="103"/>
      <c r="E3751" s="1137"/>
      <c r="F3751" s="112"/>
      <c r="G3751" s="1110"/>
      <c r="H3751" s="1138"/>
      <c r="I3751" s="1138"/>
      <c r="J3751" s="1139"/>
      <c r="K3751" s="1111"/>
      <c r="L3751" s="1112"/>
      <c r="M3751" s="1113"/>
      <c r="N3751" s="110"/>
      <c r="O3751" s="1140"/>
      <c r="P3751" s="1115"/>
      <c r="Q3751" s="1116"/>
      <c r="R3751" s="1141"/>
      <c r="S3751" s="1113"/>
      <c r="T3751" s="1143"/>
      <c r="U3751" s="1108"/>
      <c r="V3751" s="1108"/>
      <c r="W3751" s="1108"/>
      <c r="X3751" s="1108"/>
      <c r="Y3751" s="1108"/>
      <c r="Z3751" s="1114"/>
      <c r="AA3751" s="1114"/>
      <c r="AB3751" s="1114"/>
      <c r="AC3751" s="1117"/>
      <c r="AD3751" s="1115"/>
      <c r="AE3751" s="1115"/>
      <c r="AF3751" s="1115"/>
      <c r="AG3751" s="1115"/>
      <c r="AH3751" s="1115"/>
      <c r="AI3751" s="1115"/>
      <c r="AJ3751" s="1117"/>
      <c r="AK3751" s="1118"/>
      <c r="AL3751" s="1115"/>
      <c r="AM3751" s="1115"/>
      <c r="AN3751" s="1115"/>
      <c r="AO3751" s="1115"/>
      <c r="AP3751" s="1115"/>
      <c r="AQ3751" s="1115"/>
      <c r="AR3751" s="1115"/>
      <c r="AS3751" s="1117"/>
      <c r="AT3751" s="1075"/>
      <c r="AU3751" s="1193"/>
      <c r="AV3751" s="330"/>
      <c r="AW3751" s="331"/>
      <c r="AX3751" s="331"/>
      <c r="AY3751" s="331"/>
      <c r="AZ3751" s="331"/>
      <c r="BA3751" s="331"/>
      <c r="BB3751" s="331"/>
      <c r="BC3751" s="331"/>
      <c r="BD3751" s="331"/>
      <c r="BE3751" s="333"/>
      <c r="BF3751" s="330"/>
      <c r="BG3751" s="333"/>
      <c r="BH3751" s="1119"/>
      <c r="BI3751" s="319"/>
      <c r="BJ3751" s="319"/>
      <c r="BK3751" s="319"/>
      <c r="BL3751" s="319"/>
      <c r="BM3751" s="319"/>
      <c r="BN3751" s="319"/>
      <c r="BO3751" s="319"/>
      <c r="BP3751" s="953"/>
      <c r="BQ3751" s="319"/>
      <c r="BR3751" s="319"/>
      <c r="BS3751" s="330"/>
      <c r="BT3751" s="331"/>
      <c r="BU3751" s="920"/>
      <c r="BV3751" s="903"/>
      <c r="BW3751" s="908"/>
      <c r="BX3751" s="908"/>
      <c r="BY3751" s="331"/>
      <c r="BZ3751" s="331"/>
      <c r="CA3751" s="462"/>
      <c r="CB3751" s="319"/>
      <c r="CC3751" s="319"/>
      <c r="CD3751" s="319"/>
      <c r="CE3751" s="319"/>
      <c r="CF3751" s="319"/>
      <c r="CG3751" s="319"/>
      <c r="CH3751" s="318"/>
      <c r="CI3751" s="319"/>
      <c r="CJ3751" s="319"/>
      <c r="CK3751" s="342"/>
      <c r="CL3751" s="333"/>
      <c r="CM3751" s="1079"/>
      <c r="CN3751" s="1005"/>
      <c r="CO3751" s="1005"/>
      <c r="CP3751" s="1005"/>
    </row>
    <row r="3752">
      <c r="A3752" s="1257"/>
      <c r="B3752" s="1113"/>
      <c r="C3752" s="1107"/>
      <c r="D3752" s="103"/>
      <c r="E3752" s="1137"/>
      <c r="F3752" s="112"/>
      <c r="G3752" s="1110"/>
      <c r="H3752" s="1138"/>
      <c r="I3752" s="1138"/>
      <c r="J3752" s="1139"/>
      <c r="K3752" s="1111"/>
      <c r="L3752" s="1112"/>
      <c r="M3752" s="1113"/>
      <c r="N3752" s="110"/>
      <c r="O3752" s="1140"/>
      <c r="P3752" s="1115"/>
      <c r="Q3752" s="1116"/>
      <c r="R3752" s="1141"/>
      <c r="S3752" s="1113"/>
      <c r="T3752" s="1143"/>
      <c r="U3752" s="1108"/>
      <c r="V3752" s="1108"/>
      <c r="W3752" s="1108"/>
      <c r="X3752" s="1108"/>
      <c r="Y3752" s="1108"/>
      <c r="Z3752" s="1114"/>
      <c r="AA3752" s="1114"/>
      <c r="AB3752" s="1114"/>
      <c r="AC3752" s="1117"/>
      <c r="AD3752" s="1115"/>
      <c r="AE3752" s="1115"/>
      <c r="AF3752" s="1115"/>
      <c r="AG3752" s="1115"/>
      <c r="AH3752" s="1115"/>
      <c r="AI3752" s="1115"/>
      <c r="AJ3752" s="1117"/>
      <c r="AK3752" s="1118"/>
      <c r="AL3752" s="1115"/>
      <c r="AM3752" s="1115"/>
      <c r="AN3752" s="1115"/>
      <c r="AO3752" s="1115"/>
      <c r="AP3752" s="1115"/>
      <c r="AQ3752" s="1115"/>
      <c r="AR3752" s="1115"/>
      <c r="AS3752" s="1117"/>
      <c r="AT3752" s="1075"/>
      <c r="AU3752" s="1193"/>
      <c r="AV3752" s="330"/>
      <c r="AW3752" s="331"/>
      <c r="AX3752" s="331"/>
      <c r="AY3752" s="331"/>
      <c r="AZ3752" s="331"/>
      <c r="BA3752" s="331"/>
      <c r="BB3752" s="331"/>
      <c r="BC3752" s="331"/>
      <c r="BD3752" s="331"/>
      <c r="BE3752" s="333"/>
      <c r="BF3752" s="330"/>
      <c r="BG3752" s="333"/>
      <c r="BH3752" s="1119"/>
      <c r="BI3752" s="319"/>
      <c r="BJ3752" s="319"/>
      <c r="BK3752" s="319"/>
      <c r="BL3752" s="319"/>
      <c r="BM3752" s="319"/>
      <c r="BN3752" s="319"/>
      <c r="BO3752" s="319"/>
      <c r="BP3752" s="953"/>
      <c r="BQ3752" s="319"/>
      <c r="BR3752" s="319"/>
      <c r="BS3752" s="330"/>
      <c r="BT3752" s="331"/>
      <c r="BU3752" s="920"/>
      <c r="BV3752" s="903"/>
      <c r="BW3752" s="908"/>
      <c r="BX3752" s="908"/>
      <c r="BY3752" s="331"/>
      <c r="BZ3752" s="331"/>
      <c r="CA3752" s="462"/>
      <c r="CB3752" s="319"/>
      <c r="CC3752" s="319"/>
      <c r="CD3752" s="319"/>
      <c r="CE3752" s="319"/>
      <c r="CF3752" s="319"/>
      <c r="CG3752" s="319"/>
      <c r="CH3752" s="318"/>
      <c r="CI3752" s="319"/>
      <c r="CJ3752" s="319"/>
      <c r="CK3752" s="342"/>
      <c r="CL3752" s="333"/>
      <c r="CM3752" s="1079"/>
      <c r="CN3752" s="1005"/>
      <c r="CO3752" s="1005"/>
      <c r="CP3752" s="1005"/>
    </row>
    <row r="3753">
      <c r="A3753" s="1257"/>
      <c r="B3753" s="1113"/>
      <c r="C3753" s="1107"/>
      <c r="D3753" s="103"/>
      <c r="E3753" s="1137"/>
      <c r="F3753" s="112"/>
      <c r="G3753" s="1110"/>
      <c r="H3753" s="1138"/>
      <c r="I3753" s="1138"/>
      <c r="J3753" s="1139"/>
      <c r="K3753" s="1111"/>
      <c r="L3753" s="1112"/>
      <c r="M3753" s="1113"/>
      <c r="N3753" s="110"/>
      <c r="O3753" s="1140"/>
      <c r="P3753" s="1115"/>
      <c r="Q3753" s="1116"/>
      <c r="R3753" s="1141"/>
      <c r="S3753" s="1113"/>
      <c r="T3753" s="1143"/>
      <c r="U3753" s="1108"/>
      <c r="V3753" s="1108"/>
      <c r="W3753" s="1108"/>
      <c r="X3753" s="1108"/>
      <c r="Y3753" s="1108"/>
      <c r="Z3753" s="1114"/>
      <c r="AA3753" s="1114"/>
      <c r="AB3753" s="1114"/>
      <c r="AC3753" s="1117"/>
      <c r="AD3753" s="1115"/>
      <c r="AE3753" s="1115"/>
      <c r="AF3753" s="1115"/>
      <c r="AG3753" s="1115"/>
      <c r="AH3753" s="1115"/>
      <c r="AI3753" s="1115"/>
      <c r="AJ3753" s="1117"/>
      <c r="AK3753" s="1118"/>
      <c r="AL3753" s="1115"/>
      <c r="AM3753" s="1115"/>
      <c r="AN3753" s="1115"/>
      <c r="AO3753" s="1115"/>
      <c r="AP3753" s="1115"/>
      <c r="AQ3753" s="1115"/>
      <c r="AR3753" s="1115"/>
      <c r="AS3753" s="1117"/>
      <c r="AT3753" s="1075"/>
      <c r="AU3753" s="1193"/>
      <c r="AV3753" s="330"/>
      <c r="AW3753" s="331"/>
      <c r="AX3753" s="331"/>
      <c r="AY3753" s="331"/>
      <c r="AZ3753" s="331"/>
      <c r="BA3753" s="331"/>
      <c r="BB3753" s="331"/>
      <c r="BC3753" s="331"/>
      <c r="BD3753" s="331"/>
      <c r="BE3753" s="333"/>
      <c r="BF3753" s="330"/>
      <c r="BG3753" s="333"/>
      <c r="BH3753" s="1119"/>
      <c r="BI3753" s="319"/>
      <c r="BJ3753" s="319"/>
      <c r="BK3753" s="319"/>
      <c r="BL3753" s="319"/>
      <c r="BM3753" s="319"/>
      <c r="BN3753" s="319"/>
      <c r="BO3753" s="319"/>
      <c r="BP3753" s="953"/>
      <c r="BQ3753" s="319"/>
      <c r="BR3753" s="319"/>
      <c r="BS3753" s="330"/>
      <c r="BT3753" s="331"/>
      <c r="BU3753" s="920"/>
      <c r="BV3753" s="903"/>
      <c r="BW3753" s="908"/>
      <c r="BX3753" s="908"/>
      <c r="BY3753" s="331"/>
      <c r="BZ3753" s="331"/>
      <c r="CA3753" s="462"/>
      <c r="CB3753" s="319"/>
      <c r="CC3753" s="319"/>
      <c r="CD3753" s="319"/>
      <c r="CE3753" s="319"/>
      <c r="CF3753" s="319"/>
      <c r="CG3753" s="319"/>
      <c r="CH3753" s="318"/>
      <c r="CI3753" s="319"/>
      <c r="CJ3753" s="319"/>
      <c r="CK3753" s="342"/>
      <c r="CL3753" s="333"/>
      <c r="CM3753" s="1079"/>
      <c r="CN3753" s="1005"/>
      <c r="CO3753" s="1005"/>
      <c r="CP3753" s="1005"/>
    </row>
    <row r="3754">
      <c r="A3754" s="1257"/>
      <c r="B3754" s="1113"/>
      <c r="C3754" s="1107"/>
      <c r="D3754" s="103"/>
      <c r="E3754" s="1137"/>
      <c r="F3754" s="112"/>
      <c r="G3754" s="1110"/>
      <c r="H3754" s="1138"/>
      <c r="I3754" s="1138"/>
      <c r="J3754" s="1139"/>
      <c r="K3754" s="1111"/>
      <c r="L3754" s="1112"/>
      <c r="M3754" s="1113"/>
      <c r="N3754" s="110"/>
      <c r="O3754" s="1140"/>
      <c r="P3754" s="1115"/>
      <c r="Q3754" s="1116"/>
      <c r="R3754" s="1141"/>
      <c r="S3754" s="1113"/>
      <c r="T3754" s="1143"/>
      <c r="U3754" s="1108"/>
      <c r="V3754" s="1108"/>
      <c r="W3754" s="1108"/>
      <c r="X3754" s="1108"/>
      <c r="Y3754" s="1108"/>
      <c r="Z3754" s="1114"/>
      <c r="AA3754" s="1114"/>
      <c r="AB3754" s="1114"/>
      <c r="AC3754" s="1117"/>
      <c r="AD3754" s="1115"/>
      <c r="AE3754" s="1115"/>
      <c r="AF3754" s="1115"/>
      <c r="AG3754" s="1115"/>
      <c r="AH3754" s="1115"/>
      <c r="AI3754" s="1115"/>
      <c r="AJ3754" s="1117"/>
      <c r="AK3754" s="1118"/>
      <c r="AL3754" s="1115"/>
      <c r="AM3754" s="1115"/>
      <c r="AN3754" s="1115"/>
      <c r="AO3754" s="1115"/>
      <c r="AP3754" s="1115"/>
      <c r="AQ3754" s="1115"/>
      <c r="AR3754" s="1115"/>
      <c r="AS3754" s="1117"/>
      <c r="AT3754" s="1075"/>
      <c r="AU3754" s="1193"/>
      <c r="AV3754" s="330"/>
      <c r="AW3754" s="331"/>
      <c r="AX3754" s="331"/>
      <c r="AY3754" s="331"/>
      <c r="AZ3754" s="331"/>
      <c r="BA3754" s="331"/>
      <c r="BB3754" s="331"/>
      <c r="BC3754" s="331"/>
      <c r="BD3754" s="331"/>
      <c r="BE3754" s="333"/>
      <c r="BF3754" s="330"/>
      <c r="BG3754" s="333"/>
      <c r="BH3754" s="1119"/>
      <c r="BI3754" s="319"/>
      <c r="BJ3754" s="319"/>
      <c r="BK3754" s="319"/>
      <c r="BL3754" s="319"/>
      <c r="BM3754" s="319"/>
      <c r="BN3754" s="319"/>
      <c r="BO3754" s="319"/>
      <c r="BP3754" s="953"/>
      <c r="BQ3754" s="319"/>
      <c r="BR3754" s="319"/>
      <c r="BS3754" s="330"/>
      <c r="BT3754" s="331"/>
      <c r="BU3754" s="920"/>
      <c r="BV3754" s="903"/>
      <c r="BW3754" s="908"/>
      <c r="BX3754" s="908"/>
      <c r="BY3754" s="331"/>
      <c r="BZ3754" s="331"/>
      <c r="CA3754" s="462"/>
      <c r="CB3754" s="319"/>
      <c r="CC3754" s="319"/>
      <c r="CD3754" s="319"/>
      <c r="CE3754" s="319"/>
      <c r="CF3754" s="319"/>
      <c r="CG3754" s="319"/>
      <c r="CH3754" s="318"/>
      <c r="CI3754" s="319"/>
      <c r="CJ3754" s="319"/>
      <c r="CK3754" s="342"/>
      <c r="CL3754" s="333"/>
      <c r="CM3754" s="1079"/>
      <c r="CN3754" s="1005"/>
      <c r="CO3754" s="1005"/>
      <c r="CP3754" s="1005"/>
    </row>
    <row r="3755">
      <c r="A3755" s="1257"/>
      <c r="B3755" s="1113"/>
      <c r="C3755" s="1107"/>
      <c r="D3755" s="103"/>
      <c r="E3755" s="1137"/>
      <c r="F3755" s="112"/>
      <c r="G3755" s="1110"/>
      <c r="H3755" s="1138"/>
      <c r="I3755" s="1138"/>
      <c r="J3755" s="1139"/>
      <c r="K3755" s="1111"/>
      <c r="L3755" s="1112"/>
      <c r="M3755" s="1113"/>
      <c r="N3755" s="110"/>
      <c r="O3755" s="1140"/>
      <c r="P3755" s="1115"/>
      <c r="Q3755" s="1116"/>
      <c r="R3755" s="1141"/>
      <c r="S3755" s="1113"/>
      <c r="T3755" s="1143"/>
      <c r="U3755" s="1108"/>
      <c r="V3755" s="1108"/>
      <c r="W3755" s="1108"/>
      <c r="X3755" s="1108"/>
      <c r="Y3755" s="1108"/>
      <c r="Z3755" s="1114"/>
      <c r="AA3755" s="1114"/>
      <c r="AB3755" s="1114"/>
      <c r="AC3755" s="1117"/>
      <c r="AD3755" s="1115"/>
      <c r="AE3755" s="1115"/>
      <c r="AF3755" s="1115"/>
      <c r="AG3755" s="1115"/>
      <c r="AH3755" s="1115"/>
      <c r="AI3755" s="1115"/>
      <c r="AJ3755" s="1117"/>
      <c r="AK3755" s="1118"/>
      <c r="AL3755" s="1115"/>
      <c r="AM3755" s="1115"/>
      <c r="AN3755" s="1115"/>
      <c r="AO3755" s="1115"/>
      <c r="AP3755" s="1115"/>
      <c r="AQ3755" s="1115"/>
      <c r="AR3755" s="1115"/>
      <c r="AS3755" s="1117"/>
      <c r="AT3755" s="1075"/>
      <c r="AU3755" s="1193"/>
      <c r="AV3755" s="330"/>
      <c r="AW3755" s="331"/>
      <c r="AX3755" s="331"/>
      <c r="AY3755" s="331"/>
      <c r="AZ3755" s="331"/>
      <c r="BA3755" s="331"/>
      <c r="BB3755" s="331"/>
      <c r="BC3755" s="331"/>
      <c r="BD3755" s="331"/>
      <c r="BE3755" s="333"/>
      <c r="BF3755" s="330"/>
      <c r="BG3755" s="333"/>
      <c r="BH3755" s="1119"/>
      <c r="BI3755" s="319"/>
      <c r="BJ3755" s="319"/>
      <c r="BK3755" s="319"/>
      <c r="BL3755" s="319"/>
      <c r="BM3755" s="319"/>
      <c r="BN3755" s="319"/>
      <c r="BO3755" s="319"/>
      <c r="BP3755" s="953"/>
      <c r="BQ3755" s="319"/>
      <c r="BR3755" s="319"/>
      <c r="BS3755" s="330"/>
      <c r="BT3755" s="331"/>
      <c r="BU3755" s="920"/>
      <c r="BV3755" s="903"/>
      <c r="BW3755" s="908"/>
      <c r="BX3755" s="908"/>
      <c r="BY3755" s="331"/>
      <c r="BZ3755" s="331"/>
      <c r="CA3755" s="462"/>
      <c r="CB3755" s="319"/>
      <c r="CC3755" s="319"/>
      <c r="CD3755" s="319"/>
      <c r="CE3755" s="319"/>
      <c r="CF3755" s="319"/>
      <c r="CG3755" s="319"/>
      <c r="CH3755" s="318"/>
      <c r="CI3755" s="319"/>
      <c r="CJ3755" s="319"/>
      <c r="CK3755" s="342"/>
      <c r="CL3755" s="333"/>
      <c r="CM3755" s="1079"/>
      <c r="CN3755" s="1005"/>
      <c r="CO3755" s="1005"/>
      <c r="CP3755" s="1005"/>
    </row>
    <row r="3756">
      <c r="A3756" s="1257"/>
      <c r="B3756" s="1113"/>
      <c r="C3756" s="1107"/>
      <c r="D3756" s="103"/>
      <c r="E3756" s="1137"/>
      <c r="F3756" s="112"/>
      <c r="G3756" s="1110"/>
      <c r="H3756" s="1138"/>
      <c r="I3756" s="1138"/>
      <c r="J3756" s="1139"/>
      <c r="K3756" s="1111"/>
      <c r="L3756" s="1112"/>
      <c r="M3756" s="1113"/>
      <c r="N3756" s="110"/>
      <c r="O3756" s="1140"/>
      <c r="P3756" s="1115"/>
      <c r="Q3756" s="1116"/>
      <c r="R3756" s="1141"/>
      <c r="S3756" s="1113"/>
      <c r="T3756" s="1143"/>
      <c r="U3756" s="1108"/>
      <c r="V3756" s="1108"/>
      <c r="W3756" s="1108"/>
      <c r="X3756" s="1108"/>
      <c r="Y3756" s="1108"/>
      <c r="Z3756" s="1114"/>
      <c r="AA3756" s="1114"/>
      <c r="AB3756" s="1114"/>
      <c r="AC3756" s="1117"/>
      <c r="AD3756" s="1115"/>
      <c r="AE3756" s="1115"/>
      <c r="AF3756" s="1115"/>
      <c r="AG3756" s="1115"/>
      <c r="AH3756" s="1115"/>
      <c r="AI3756" s="1115"/>
      <c r="AJ3756" s="1117"/>
      <c r="AK3756" s="1118"/>
      <c r="AL3756" s="1115"/>
      <c r="AM3756" s="1115"/>
      <c r="AN3756" s="1115"/>
      <c r="AO3756" s="1115"/>
      <c r="AP3756" s="1115"/>
      <c r="AQ3756" s="1115"/>
      <c r="AR3756" s="1115"/>
      <c r="AS3756" s="1117"/>
      <c r="AT3756" s="1075"/>
      <c r="AU3756" s="1193"/>
      <c r="AV3756" s="330"/>
      <c r="AW3756" s="331"/>
      <c r="AX3756" s="331"/>
      <c r="AY3756" s="331"/>
      <c r="AZ3756" s="331"/>
      <c r="BA3756" s="331"/>
      <c r="BB3756" s="331"/>
      <c r="BC3756" s="331"/>
      <c r="BD3756" s="331"/>
      <c r="BE3756" s="333"/>
      <c r="BF3756" s="330"/>
      <c r="BG3756" s="333"/>
      <c r="BH3756" s="1119"/>
      <c r="BI3756" s="319"/>
      <c r="BJ3756" s="319"/>
      <c r="BK3756" s="319"/>
      <c r="BL3756" s="319"/>
      <c r="BM3756" s="319"/>
      <c r="BN3756" s="319"/>
      <c r="BO3756" s="319"/>
      <c r="BP3756" s="953"/>
      <c r="BQ3756" s="319"/>
      <c r="BR3756" s="319"/>
      <c r="BS3756" s="330"/>
      <c r="BT3756" s="331"/>
      <c r="BU3756" s="920"/>
      <c r="BV3756" s="903"/>
      <c r="BW3756" s="908"/>
      <c r="BX3756" s="908"/>
      <c r="BY3756" s="331"/>
      <c r="BZ3756" s="331"/>
      <c r="CA3756" s="462"/>
      <c r="CB3756" s="319"/>
      <c r="CC3756" s="319"/>
      <c r="CD3756" s="319"/>
      <c r="CE3756" s="319"/>
      <c r="CF3756" s="319"/>
      <c r="CG3756" s="319"/>
      <c r="CH3756" s="318"/>
      <c r="CI3756" s="319"/>
      <c r="CJ3756" s="319"/>
      <c r="CK3756" s="342"/>
      <c r="CL3756" s="333"/>
      <c r="CM3756" s="1079"/>
      <c r="CN3756" s="1005"/>
      <c r="CO3756" s="1005"/>
      <c r="CP3756" s="1005"/>
    </row>
    <row r="3757">
      <c r="A3757" s="1257"/>
      <c r="B3757" s="1113"/>
      <c r="C3757" s="1107"/>
      <c r="D3757" s="103"/>
      <c r="E3757" s="1137"/>
      <c r="F3757" s="112"/>
      <c r="G3757" s="1110"/>
      <c r="H3757" s="1138"/>
      <c r="I3757" s="1138"/>
      <c r="J3757" s="1139"/>
      <c r="K3757" s="1111"/>
      <c r="L3757" s="1112"/>
      <c r="M3757" s="1113"/>
      <c r="N3757" s="110"/>
      <c r="O3757" s="1140"/>
      <c r="P3757" s="1115"/>
      <c r="Q3757" s="1116"/>
      <c r="R3757" s="1141"/>
      <c r="S3757" s="1113"/>
      <c r="T3757" s="1143"/>
      <c r="U3757" s="1108"/>
      <c r="V3757" s="1108"/>
      <c r="W3757" s="1108"/>
      <c r="X3757" s="1108"/>
      <c r="Y3757" s="1108"/>
      <c r="Z3757" s="1114"/>
      <c r="AA3757" s="1114"/>
      <c r="AB3757" s="1114"/>
      <c r="AC3757" s="1117"/>
      <c r="AD3757" s="1115"/>
      <c r="AE3757" s="1115"/>
      <c r="AF3757" s="1115"/>
      <c r="AG3757" s="1115"/>
      <c r="AH3757" s="1115"/>
      <c r="AI3757" s="1115"/>
      <c r="AJ3757" s="1117"/>
      <c r="AK3757" s="1118"/>
      <c r="AL3757" s="1115"/>
      <c r="AM3757" s="1115"/>
      <c r="AN3757" s="1115"/>
      <c r="AO3757" s="1115"/>
      <c r="AP3757" s="1115"/>
      <c r="AQ3757" s="1115"/>
      <c r="AR3757" s="1115"/>
      <c r="AS3757" s="1117"/>
      <c r="AT3757" s="1075"/>
      <c r="AU3757" s="1193"/>
      <c r="AV3757" s="330"/>
      <c r="AW3757" s="331"/>
      <c r="AX3757" s="331"/>
      <c r="AY3757" s="331"/>
      <c r="AZ3757" s="331"/>
      <c r="BA3757" s="331"/>
      <c r="BB3757" s="331"/>
      <c r="BC3757" s="331"/>
      <c r="BD3757" s="331"/>
      <c r="BE3757" s="333"/>
      <c r="BF3757" s="330"/>
      <c r="BG3757" s="333"/>
      <c r="BH3757" s="1119"/>
      <c r="BI3757" s="319"/>
      <c r="BJ3757" s="319"/>
      <c r="BK3757" s="319"/>
      <c r="BL3757" s="319"/>
      <c r="BM3757" s="319"/>
      <c r="BN3757" s="319"/>
      <c r="BO3757" s="319"/>
      <c r="BP3757" s="953"/>
      <c r="BQ3757" s="319"/>
      <c r="BR3757" s="319"/>
      <c r="BS3757" s="330"/>
      <c r="BT3757" s="331"/>
      <c r="BU3757" s="920"/>
      <c r="BV3757" s="903"/>
      <c r="BW3757" s="908"/>
      <c r="BX3757" s="908"/>
      <c r="BY3757" s="331"/>
      <c r="BZ3757" s="331"/>
      <c r="CA3757" s="462"/>
      <c r="CB3757" s="319"/>
      <c r="CC3757" s="319"/>
      <c r="CD3757" s="319"/>
      <c r="CE3757" s="319"/>
      <c r="CF3757" s="319"/>
      <c r="CG3757" s="319"/>
      <c r="CH3757" s="318"/>
      <c r="CI3757" s="319"/>
      <c r="CJ3757" s="319"/>
      <c r="CK3757" s="342"/>
      <c r="CL3757" s="333"/>
      <c r="CM3757" s="1079"/>
      <c r="CN3757" s="1005"/>
      <c r="CO3757" s="1005"/>
      <c r="CP3757" s="1005"/>
    </row>
    <row r="3758">
      <c r="A3758" s="1257"/>
      <c r="B3758" s="1113"/>
      <c r="C3758" s="1107"/>
      <c r="D3758" s="103"/>
      <c r="E3758" s="1137"/>
      <c r="F3758" s="112"/>
      <c r="G3758" s="1110"/>
      <c r="H3758" s="1138"/>
      <c r="I3758" s="1138"/>
      <c r="J3758" s="1139"/>
      <c r="K3758" s="1111"/>
      <c r="L3758" s="1112"/>
      <c r="M3758" s="1113"/>
      <c r="N3758" s="110"/>
      <c r="O3758" s="1140"/>
      <c r="P3758" s="1115"/>
      <c r="Q3758" s="1116"/>
      <c r="R3758" s="1141"/>
      <c r="S3758" s="1113"/>
      <c r="T3758" s="1143"/>
      <c r="U3758" s="1108"/>
      <c r="V3758" s="1108"/>
      <c r="W3758" s="1108"/>
      <c r="X3758" s="1108"/>
      <c r="Y3758" s="1108"/>
      <c r="Z3758" s="1114"/>
      <c r="AA3758" s="1114"/>
      <c r="AB3758" s="1114"/>
      <c r="AC3758" s="1117"/>
      <c r="AD3758" s="1115"/>
      <c r="AE3758" s="1115"/>
      <c r="AF3758" s="1115"/>
      <c r="AG3758" s="1115"/>
      <c r="AH3758" s="1115"/>
      <c r="AI3758" s="1115"/>
      <c r="AJ3758" s="1117"/>
      <c r="AK3758" s="1118"/>
      <c r="AL3758" s="1115"/>
      <c r="AM3758" s="1115"/>
      <c r="AN3758" s="1115"/>
      <c r="AO3758" s="1115"/>
      <c r="AP3758" s="1115"/>
      <c r="AQ3758" s="1115"/>
      <c r="AR3758" s="1115"/>
      <c r="AS3758" s="1117"/>
      <c r="AT3758" s="1075"/>
      <c r="AU3758" s="1193"/>
      <c r="AV3758" s="330"/>
      <c r="AW3758" s="331"/>
      <c r="AX3758" s="331"/>
      <c r="AY3758" s="331"/>
      <c r="AZ3758" s="331"/>
      <c r="BA3758" s="331"/>
      <c r="BB3758" s="331"/>
      <c r="BC3758" s="331"/>
      <c r="BD3758" s="331"/>
      <c r="BE3758" s="333"/>
      <c r="BF3758" s="330"/>
      <c r="BG3758" s="333"/>
      <c r="BH3758" s="1119"/>
      <c r="BI3758" s="319"/>
      <c r="BJ3758" s="319"/>
      <c r="BK3758" s="319"/>
      <c r="BL3758" s="319"/>
      <c r="BM3758" s="319"/>
      <c r="BN3758" s="319"/>
      <c r="BO3758" s="319"/>
      <c r="BP3758" s="953"/>
      <c r="BQ3758" s="319"/>
      <c r="BR3758" s="319"/>
      <c r="BS3758" s="330"/>
      <c r="BT3758" s="331"/>
      <c r="BU3758" s="920"/>
      <c r="BV3758" s="903"/>
      <c r="BW3758" s="908"/>
      <c r="BX3758" s="908"/>
      <c r="BY3758" s="331"/>
      <c r="BZ3758" s="331"/>
      <c r="CA3758" s="462"/>
      <c r="CB3758" s="319"/>
      <c r="CC3758" s="319"/>
      <c r="CD3758" s="319"/>
      <c r="CE3758" s="319"/>
      <c r="CF3758" s="319"/>
      <c r="CG3758" s="319"/>
      <c r="CH3758" s="318"/>
      <c r="CI3758" s="319"/>
      <c r="CJ3758" s="319"/>
      <c r="CK3758" s="342"/>
      <c r="CL3758" s="333"/>
      <c r="CM3758" s="1079"/>
      <c r="CN3758" s="1005"/>
      <c r="CO3758" s="1005"/>
      <c r="CP3758" s="1005"/>
    </row>
    <row r="3759">
      <c r="A3759" s="1257"/>
      <c r="B3759" s="1113"/>
      <c r="C3759" s="1107"/>
      <c r="D3759" s="103"/>
      <c r="E3759" s="1137"/>
      <c r="F3759" s="112"/>
      <c r="G3759" s="1110"/>
      <c r="H3759" s="1138"/>
      <c r="I3759" s="1138"/>
      <c r="J3759" s="1139"/>
      <c r="K3759" s="1111"/>
      <c r="L3759" s="1112"/>
      <c r="M3759" s="1113"/>
      <c r="N3759" s="110"/>
      <c r="O3759" s="1140"/>
      <c r="P3759" s="1115"/>
      <c r="Q3759" s="1116"/>
      <c r="R3759" s="1141"/>
      <c r="S3759" s="1113"/>
      <c r="T3759" s="1143"/>
      <c r="U3759" s="1108"/>
      <c r="V3759" s="1108"/>
      <c r="W3759" s="1108"/>
      <c r="X3759" s="1108"/>
      <c r="Y3759" s="1108"/>
      <c r="Z3759" s="1114"/>
      <c r="AA3759" s="1114"/>
      <c r="AB3759" s="1114"/>
      <c r="AC3759" s="1117"/>
      <c r="AD3759" s="1115"/>
      <c r="AE3759" s="1115"/>
      <c r="AF3759" s="1115"/>
      <c r="AG3759" s="1115"/>
      <c r="AH3759" s="1115"/>
      <c r="AI3759" s="1115"/>
      <c r="AJ3759" s="1117"/>
      <c r="AK3759" s="1118"/>
      <c r="AL3759" s="1115"/>
      <c r="AM3759" s="1115"/>
      <c r="AN3759" s="1115"/>
      <c r="AO3759" s="1115"/>
      <c r="AP3759" s="1115"/>
      <c r="AQ3759" s="1115"/>
      <c r="AR3759" s="1115"/>
      <c r="AS3759" s="1117"/>
      <c r="AT3759" s="1075"/>
      <c r="AU3759" s="1193"/>
      <c r="AV3759" s="330"/>
      <c r="AW3759" s="331"/>
      <c r="AX3759" s="331"/>
      <c r="AY3759" s="331"/>
      <c r="AZ3759" s="331"/>
      <c r="BA3759" s="331"/>
      <c r="BB3759" s="331"/>
      <c r="BC3759" s="331"/>
      <c r="BD3759" s="331"/>
      <c r="BE3759" s="333"/>
      <c r="BF3759" s="330"/>
      <c r="BG3759" s="333"/>
      <c r="BH3759" s="1119"/>
      <c r="BI3759" s="319"/>
      <c r="BJ3759" s="319"/>
      <c r="BK3759" s="319"/>
      <c r="BL3759" s="319"/>
      <c r="BM3759" s="319"/>
      <c r="BN3759" s="319"/>
      <c r="BO3759" s="319"/>
      <c r="BP3759" s="953"/>
      <c r="BQ3759" s="319"/>
      <c r="BR3759" s="319"/>
      <c r="BS3759" s="330"/>
      <c r="BT3759" s="331"/>
      <c r="BU3759" s="920"/>
      <c r="BV3759" s="903"/>
      <c r="BW3759" s="908"/>
      <c r="BX3759" s="908"/>
      <c r="BY3759" s="331"/>
      <c r="BZ3759" s="331"/>
      <c r="CA3759" s="462"/>
      <c r="CB3759" s="319"/>
      <c r="CC3759" s="319"/>
      <c r="CD3759" s="319"/>
      <c r="CE3759" s="319"/>
      <c r="CF3759" s="319"/>
      <c r="CG3759" s="319"/>
      <c r="CH3759" s="318"/>
      <c r="CI3759" s="319"/>
      <c r="CJ3759" s="319"/>
      <c r="CK3759" s="342"/>
      <c r="CL3759" s="333"/>
      <c r="CM3759" s="1079"/>
      <c r="CN3759" s="1005"/>
      <c r="CO3759" s="1005"/>
      <c r="CP3759" s="1005"/>
    </row>
    <row r="3760">
      <c r="A3760" s="1257"/>
      <c r="B3760" s="1113"/>
      <c r="C3760" s="1107"/>
      <c r="D3760" s="103"/>
      <c r="E3760" s="1137"/>
      <c r="F3760" s="112"/>
      <c r="G3760" s="1110"/>
      <c r="H3760" s="1138"/>
      <c r="I3760" s="1138"/>
      <c r="J3760" s="1139"/>
      <c r="K3760" s="1111"/>
      <c r="L3760" s="1112"/>
      <c r="M3760" s="1113"/>
      <c r="N3760" s="110"/>
      <c r="O3760" s="1140"/>
      <c r="P3760" s="1115"/>
      <c r="Q3760" s="1116"/>
      <c r="R3760" s="1141"/>
      <c r="S3760" s="1113"/>
      <c r="T3760" s="1143"/>
      <c r="U3760" s="1108"/>
      <c r="V3760" s="1108"/>
      <c r="W3760" s="1108"/>
      <c r="X3760" s="1108"/>
      <c r="Y3760" s="1108"/>
      <c r="Z3760" s="1114"/>
      <c r="AA3760" s="1114"/>
      <c r="AB3760" s="1114"/>
      <c r="AC3760" s="1117"/>
      <c r="AD3760" s="1115"/>
      <c r="AE3760" s="1115"/>
      <c r="AF3760" s="1115"/>
      <c r="AG3760" s="1115"/>
      <c r="AH3760" s="1115"/>
      <c r="AI3760" s="1115"/>
      <c r="AJ3760" s="1117"/>
      <c r="AK3760" s="1118"/>
      <c r="AL3760" s="1115"/>
      <c r="AM3760" s="1115"/>
      <c r="AN3760" s="1115"/>
      <c r="AO3760" s="1115"/>
      <c r="AP3760" s="1115"/>
      <c r="AQ3760" s="1115"/>
      <c r="AR3760" s="1115"/>
      <c r="AS3760" s="1117"/>
      <c r="AT3760" s="1075"/>
      <c r="AU3760" s="1193"/>
      <c r="AV3760" s="330"/>
      <c r="AW3760" s="331"/>
      <c r="AX3760" s="331"/>
      <c r="AY3760" s="331"/>
      <c r="AZ3760" s="331"/>
      <c r="BA3760" s="331"/>
      <c r="BB3760" s="331"/>
      <c r="BC3760" s="331"/>
      <c r="BD3760" s="331"/>
      <c r="BE3760" s="333"/>
      <c r="BF3760" s="330"/>
      <c r="BG3760" s="333"/>
      <c r="BH3760" s="1119"/>
      <c r="BI3760" s="319"/>
      <c r="BJ3760" s="319"/>
      <c r="BK3760" s="319"/>
      <c r="BL3760" s="319"/>
      <c r="BM3760" s="319"/>
      <c r="BN3760" s="319"/>
      <c r="BO3760" s="319"/>
      <c r="BP3760" s="953"/>
      <c r="BQ3760" s="319"/>
      <c r="BR3760" s="319"/>
      <c r="BS3760" s="330"/>
      <c r="BT3760" s="331"/>
      <c r="BU3760" s="920"/>
      <c r="BV3760" s="903"/>
      <c r="BW3760" s="908"/>
      <c r="BX3760" s="908"/>
      <c r="BY3760" s="331"/>
      <c r="BZ3760" s="331"/>
      <c r="CA3760" s="462"/>
      <c r="CB3760" s="319"/>
      <c r="CC3760" s="319"/>
      <c r="CD3760" s="319"/>
      <c r="CE3760" s="319"/>
      <c r="CF3760" s="319"/>
      <c r="CG3760" s="319"/>
      <c r="CH3760" s="318"/>
      <c r="CI3760" s="319"/>
      <c r="CJ3760" s="319"/>
      <c r="CK3760" s="342"/>
      <c r="CL3760" s="333"/>
      <c r="CM3760" s="1079"/>
      <c r="CN3760" s="1005"/>
      <c r="CO3760" s="1005"/>
      <c r="CP3760" s="1005"/>
    </row>
    <row r="3761">
      <c r="A3761" s="1257"/>
      <c r="B3761" s="1113"/>
      <c r="C3761" s="1107"/>
      <c r="D3761" s="103"/>
      <c r="E3761" s="1137"/>
      <c r="F3761" s="112"/>
      <c r="G3761" s="1110"/>
      <c r="H3761" s="1138"/>
      <c r="I3761" s="1138"/>
      <c r="J3761" s="1139"/>
      <c r="K3761" s="1111"/>
      <c r="L3761" s="1112"/>
      <c r="M3761" s="1113"/>
      <c r="N3761" s="110"/>
      <c r="O3761" s="1140"/>
      <c r="P3761" s="1115"/>
      <c r="Q3761" s="1116"/>
      <c r="R3761" s="1141"/>
      <c r="S3761" s="1113"/>
      <c r="T3761" s="1143"/>
      <c r="U3761" s="1108"/>
      <c r="V3761" s="1108"/>
      <c r="W3761" s="1108"/>
      <c r="X3761" s="1108"/>
      <c r="Y3761" s="1108"/>
      <c r="Z3761" s="1114"/>
      <c r="AA3761" s="1114"/>
      <c r="AB3761" s="1114"/>
      <c r="AC3761" s="1117"/>
      <c r="AD3761" s="1115"/>
      <c r="AE3761" s="1115"/>
      <c r="AF3761" s="1115"/>
      <c r="AG3761" s="1115"/>
      <c r="AH3761" s="1115"/>
      <c r="AI3761" s="1115"/>
      <c r="AJ3761" s="1117"/>
      <c r="AK3761" s="1118"/>
      <c r="AL3761" s="1115"/>
      <c r="AM3761" s="1115"/>
      <c r="AN3761" s="1115"/>
      <c r="AO3761" s="1115"/>
      <c r="AP3761" s="1115"/>
      <c r="AQ3761" s="1115"/>
      <c r="AR3761" s="1115"/>
      <c r="AS3761" s="1117"/>
      <c r="AT3761" s="1075"/>
      <c r="AU3761" s="1193"/>
      <c r="AV3761" s="330"/>
      <c r="AW3761" s="331"/>
      <c r="AX3761" s="331"/>
      <c r="AY3761" s="331"/>
      <c r="AZ3761" s="331"/>
      <c r="BA3761" s="331"/>
      <c r="BB3761" s="331"/>
      <c r="BC3761" s="331"/>
      <c r="BD3761" s="331"/>
      <c r="BE3761" s="333"/>
      <c r="BF3761" s="330"/>
      <c r="BG3761" s="333"/>
      <c r="BH3761" s="1119"/>
      <c r="BI3761" s="319"/>
      <c r="BJ3761" s="319"/>
      <c r="BK3761" s="319"/>
      <c r="BL3761" s="319"/>
      <c r="BM3761" s="319"/>
      <c r="BN3761" s="319"/>
      <c r="BO3761" s="319"/>
      <c r="BP3761" s="953"/>
      <c r="BQ3761" s="319"/>
      <c r="BR3761" s="319"/>
      <c r="BS3761" s="330"/>
      <c r="BT3761" s="331"/>
      <c r="BU3761" s="920"/>
      <c r="BV3761" s="903"/>
      <c r="BW3761" s="908"/>
      <c r="BX3761" s="908"/>
      <c r="BY3761" s="331"/>
      <c r="BZ3761" s="331"/>
      <c r="CA3761" s="462"/>
      <c r="CB3761" s="319"/>
      <c r="CC3761" s="319"/>
      <c r="CD3761" s="319"/>
      <c r="CE3761" s="319"/>
      <c r="CF3761" s="319"/>
      <c r="CG3761" s="319"/>
      <c r="CH3761" s="318"/>
      <c r="CI3761" s="319"/>
      <c r="CJ3761" s="319"/>
      <c r="CK3761" s="342"/>
      <c r="CL3761" s="333"/>
      <c r="CM3761" s="1079"/>
      <c r="CN3761" s="1005"/>
      <c r="CO3761" s="1005"/>
      <c r="CP3761" s="1005"/>
    </row>
    <row r="3762">
      <c r="A3762" s="1257"/>
      <c r="B3762" s="1113"/>
      <c r="C3762" s="1107"/>
      <c r="D3762" s="103"/>
      <c r="E3762" s="1137"/>
      <c r="F3762" s="112"/>
      <c r="G3762" s="1110"/>
      <c r="H3762" s="1138"/>
      <c r="I3762" s="1138"/>
      <c r="J3762" s="1139"/>
      <c r="K3762" s="1111"/>
      <c r="L3762" s="1112"/>
      <c r="M3762" s="1113"/>
      <c r="N3762" s="110"/>
      <c r="O3762" s="1140"/>
      <c r="P3762" s="1115"/>
      <c r="Q3762" s="1116"/>
      <c r="R3762" s="1141"/>
      <c r="S3762" s="1113"/>
      <c r="T3762" s="1143"/>
      <c r="U3762" s="1108"/>
      <c r="V3762" s="1108"/>
      <c r="W3762" s="1108"/>
      <c r="X3762" s="1108"/>
      <c r="Y3762" s="1108"/>
      <c r="Z3762" s="1114"/>
      <c r="AA3762" s="1114"/>
      <c r="AB3762" s="1114"/>
      <c r="AC3762" s="1117"/>
      <c r="AD3762" s="1115"/>
      <c r="AE3762" s="1115"/>
      <c r="AF3762" s="1115"/>
      <c r="AG3762" s="1115"/>
      <c r="AH3762" s="1115"/>
      <c r="AI3762" s="1115"/>
      <c r="AJ3762" s="1117"/>
      <c r="AK3762" s="1118"/>
      <c r="AL3762" s="1115"/>
      <c r="AM3762" s="1115"/>
      <c r="AN3762" s="1115"/>
      <c r="AO3762" s="1115"/>
      <c r="AP3762" s="1115"/>
      <c r="AQ3762" s="1115"/>
      <c r="AR3762" s="1115"/>
      <c r="AS3762" s="1117"/>
      <c r="AT3762" s="1075"/>
      <c r="AU3762" s="1193"/>
      <c r="AV3762" s="330"/>
      <c r="AW3762" s="331"/>
      <c r="AX3762" s="331"/>
      <c r="AY3762" s="331"/>
      <c r="AZ3762" s="331"/>
      <c r="BA3762" s="331"/>
      <c r="BB3762" s="331"/>
      <c r="BC3762" s="331"/>
      <c r="BD3762" s="331"/>
      <c r="BE3762" s="333"/>
      <c r="BF3762" s="330"/>
      <c r="BG3762" s="333"/>
      <c r="BH3762" s="1119"/>
      <c r="BI3762" s="319"/>
      <c r="BJ3762" s="319"/>
      <c r="BK3762" s="319"/>
      <c r="BL3762" s="319"/>
      <c r="BM3762" s="319"/>
      <c r="BN3762" s="319"/>
      <c r="BO3762" s="319"/>
      <c r="BP3762" s="953"/>
      <c r="BQ3762" s="319"/>
      <c r="BR3762" s="319"/>
      <c r="BS3762" s="330"/>
      <c r="BT3762" s="331"/>
      <c r="BU3762" s="920"/>
      <c r="BV3762" s="903"/>
      <c r="BW3762" s="908"/>
      <c r="BX3762" s="908"/>
      <c r="BY3762" s="331"/>
      <c r="BZ3762" s="331"/>
      <c r="CA3762" s="462"/>
      <c r="CB3762" s="319"/>
      <c r="CC3762" s="319"/>
      <c r="CD3762" s="319"/>
      <c r="CE3762" s="319"/>
      <c r="CF3762" s="319"/>
      <c r="CG3762" s="319"/>
      <c r="CH3762" s="318"/>
      <c r="CI3762" s="319"/>
      <c r="CJ3762" s="319"/>
      <c r="CK3762" s="342"/>
      <c r="CL3762" s="333"/>
      <c r="CM3762" s="1079"/>
      <c r="CN3762" s="1005"/>
      <c r="CO3762" s="1005"/>
      <c r="CP3762" s="1005"/>
    </row>
    <row r="3763">
      <c r="A3763" s="1257"/>
      <c r="B3763" s="1113"/>
      <c r="C3763" s="1107"/>
      <c r="D3763" s="103"/>
      <c r="E3763" s="1137"/>
      <c r="F3763" s="112"/>
      <c r="G3763" s="1110"/>
      <c r="H3763" s="1138"/>
      <c r="I3763" s="1138"/>
      <c r="J3763" s="1139"/>
      <c r="K3763" s="1111"/>
      <c r="L3763" s="1112"/>
      <c r="M3763" s="1113"/>
      <c r="N3763" s="110"/>
      <c r="O3763" s="1140"/>
      <c r="P3763" s="1115"/>
      <c r="Q3763" s="1116"/>
      <c r="R3763" s="1141"/>
      <c r="S3763" s="1113"/>
      <c r="T3763" s="1143"/>
      <c r="U3763" s="1108"/>
      <c r="V3763" s="1108"/>
      <c r="W3763" s="1108"/>
      <c r="X3763" s="1108"/>
      <c r="Y3763" s="1108"/>
      <c r="Z3763" s="1114"/>
      <c r="AA3763" s="1114"/>
      <c r="AB3763" s="1114"/>
      <c r="AC3763" s="1117"/>
      <c r="AD3763" s="1115"/>
      <c r="AE3763" s="1115"/>
      <c r="AF3763" s="1115"/>
      <c r="AG3763" s="1115"/>
      <c r="AH3763" s="1115"/>
      <c r="AI3763" s="1115"/>
      <c r="AJ3763" s="1117"/>
      <c r="AK3763" s="1118"/>
      <c r="AL3763" s="1115"/>
      <c r="AM3763" s="1115"/>
      <c r="AN3763" s="1115"/>
      <c r="AO3763" s="1115"/>
      <c r="AP3763" s="1115"/>
      <c r="AQ3763" s="1115"/>
      <c r="AR3763" s="1115"/>
      <c r="AS3763" s="1117"/>
      <c r="AT3763" s="1075"/>
      <c r="AU3763" s="1193"/>
      <c r="AV3763" s="330"/>
      <c r="AW3763" s="331"/>
      <c r="AX3763" s="331"/>
      <c r="AY3763" s="331"/>
      <c r="AZ3763" s="331"/>
      <c r="BA3763" s="331"/>
      <c r="BB3763" s="331"/>
      <c r="BC3763" s="331"/>
      <c r="BD3763" s="331"/>
      <c r="BE3763" s="333"/>
      <c r="BF3763" s="330"/>
      <c r="BG3763" s="333"/>
      <c r="BH3763" s="1119"/>
      <c r="BI3763" s="319"/>
      <c r="BJ3763" s="319"/>
      <c r="BK3763" s="319"/>
      <c r="BL3763" s="319"/>
      <c r="BM3763" s="319"/>
      <c r="BN3763" s="319"/>
      <c r="BO3763" s="319"/>
      <c r="BP3763" s="953"/>
      <c r="BQ3763" s="319"/>
      <c r="BR3763" s="319"/>
      <c r="BS3763" s="330"/>
      <c r="BT3763" s="331"/>
      <c r="BU3763" s="920"/>
      <c r="BV3763" s="903"/>
      <c r="BW3763" s="908"/>
      <c r="BX3763" s="908"/>
      <c r="BY3763" s="331"/>
      <c r="BZ3763" s="331"/>
      <c r="CA3763" s="462"/>
      <c r="CB3763" s="319"/>
      <c r="CC3763" s="319"/>
      <c r="CD3763" s="319"/>
      <c r="CE3763" s="319"/>
      <c r="CF3763" s="319"/>
      <c r="CG3763" s="319"/>
      <c r="CH3763" s="318"/>
      <c r="CI3763" s="319"/>
      <c r="CJ3763" s="319"/>
      <c r="CK3763" s="342"/>
      <c r="CL3763" s="333"/>
      <c r="CM3763" s="1079"/>
      <c r="CN3763" s="1005"/>
      <c r="CO3763" s="1005"/>
      <c r="CP3763" s="1005"/>
    </row>
    <row r="3764">
      <c r="A3764" s="1257"/>
      <c r="B3764" s="1113"/>
      <c r="C3764" s="1107"/>
      <c r="D3764" s="103"/>
      <c r="E3764" s="1137"/>
      <c r="F3764" s="112"/>
      <c r="G3764" s="1110"/>
      <c r="H3764" s="1138"/>
      <c r="I3764" s="1138"/>
      <c r="J3764" s="1139"/>
      <c r="K3764" s="1111"/>
      <c r="L3764" s="1112"/>
      <c r="M3764" s="1113"/>
      <c r="N3764" s="110"/>
      <c r="O3764" s="1140"/>
      <c r="P3764" s="1115"/>
      <c r="Q3764" s="1116"/>
      <c r="R3764" s="1141"/>
      <c r="S3764" s="1113"/>
      <c r="T3764" s="1143"/>
      <c r="U3764" s="1108"/>
      <c r="V3764" s="1108"/>
      <c r="W3764" s="1108"/>
      <c r="X3764" s="1108"/>
      <c r="Y3764" s="1108"/>
      <c r="Z3764" s="1114"/>
      <c r="AA3764" s="1114"/>
      <c r="AB3764" s="1114"/>
      <c r="AC3764" s="1117"/>
      <c r="AD3764" s="1115"/>
      <c r="AE3764" s="1115"/>
      <c r="AF3764" s="1115"/>
      <c r="AG3764" s="1115"/>
      <c r="AH3764" s="1115"/>
      <c r="AI3764" s="1115"/>
      <c r="AJ3764" s="1117"/>
      <c r="AK3764" s="1118"/>
      <c r="AL3764" s="1115"/>
      <c r="AM3764" s="1115"/>
      <c r="AN3764" s="1115"/>
      <c r="AO3764" s="1115"/>
      <c r="AP3764" s="1115"/>
      <c r="AQ3764" s="1115"/>
      <c r="AR3764" s="1115"/>
      <c r="AS3764" s="1117"/>
      <c r="AT3764" s="1075"/>
      <c r="AU3764" s="1193"/>
      <c r="AV3764" s="330"/>
      <c r="AW3764" s="331"/>
      <c r="AX3764" s="331"/>
      <c r="AY3764" s="331"/>
      <c r="AZ3764" s="331"/>
      <c r="BA3764" s="331"/>
      <c r="BB3764" s="331"/>
      <c r="BC3764" s="331"/>
      <c r="BD3764" s="331"/>
      <c r="BE3764" s="333"/>
      <c r="BF3764" s="330"/>
      <c r="BG3764" s="333"/>
      <c r="BH3764" s="1119"/>
      <c r="BI3764" s="319"/>
      <c r="BJ3764" s="319"/>
      <c r="BK3764" s="319"/>
      <c r="BL3764" s="319"/>
      <c r="BM3764" s="319"/>
      <c r="BN3764" s="319"/>
      <c r="BO3764" s="319"/>
      <c r="BP3764" s="953"/>
      <c r="BQ3764" s="319"/>
      <c r="BR3764" s="319"/>
      <c r="BS3764" s="330"/>
      <c r="BT3764" s="331"/>
      <c r="BU3764" s="920"/>
      <c r="BV3764" s="903"/>
      <c r="BW3764" s="908"/>
      <c r="BX3764" s="908"/>
      <c r="BY3764" s="331"/>
      <c r="BZ3764" s="331"/>
      <c r="CA3764" s="462"/>
      <c r="CB3764" s="319"/>
      <c r="CC3764" s="319"/>
      <c r="CD3764" s="319"/>
      <c r="CE3764" s="319"/>
      <c r="CF3764" s="319"/>
      <c r="CG3764" s="319"/>
      <c r="CH3764" s="318"/>
      <c r="CI3764" s="319"/>
      <c r="CJ3764" s="319"/>
      <c r="CK3764" s="342"/>
      <c r="CL3764" s="333"/>
      <c r="CM3764" s="1079"/>
      <c r="CN3764" s="1005"/>
      <c r="CO3764" s="1005"/>
      <c r="CP3764" s="1005"/>
    </row>
    <row r="3765">
      <c r="A3765" s="1257"/>
      <c r="B3765" s="1113"/>
      <c r="C3765" s="1107"/>
      <c r="D3765" s="103"/>
      <c r="E3765" s="1137"/>
      <c r="F3765" s="112"/>
      <c r="G3765" s="1110"/>
      <c r="H3765" s="1138"/>
      <c r="I3765" s="1138"/>
      <c r="J3765" s="1139"/>
      <c r="K3765" s="1111"/>
      <c r="L3765" s="1112"/>
      <c r="M3765" s="1113"/>
      <c r="N3765" s="110"/>
      <c r="O3765" s="1140"/>
      <c r="P3765" s="1115"/>
      <c r="Q3765" s="1116"/>
      <c r="R3765" s="1141"/>
      <c r="S3765" s="1113"/>
      <c r="T3765" s="1143"/>
      <c r="U3765" s="1108"/>
      <c r="V3765" s="1108"/>
      <c r="W3765" s="1108"/>
      <c r="X3765" s="1108"/>
      <c r="Y3765" s="1108"/>
      <c r="Z3765" s="1114"/>
      <c r="AA3765" s="1114"/>
      <c r="AB3765" s="1114"/>
      <c r="AC3765" s="1117"/>
      <c r="AD3765" s="1115"/>
      <c r="AE3765" s="1115"/>
      <c r="AF3765" s="1115"/>
      <c r="AG3765" s="1115"/>
      <c r="AH3765" s="1115"/>
      <c r="AI3765" s="1115"/>
      <c r="AJ3765" s="1117"/>
      <c r="AK3765" s="1118"/>
      <c r="AL3765" s="1115"/>
      <c r="AM3765" s="1115"/>
      <c r="AN3765" s="1115"/>
      <c r="AO3765" s="1115"/>
      <c r="AP3765" s="1115"/>
      <c r="AQ3765" s="1115"/>
      <c r="AR3765" s="1115"/>
      <c r="AS3765" s="1117"/>
      <c r="AT3765" s="1075"/>
      <c r="AU3765" s="1193"/>
      <c r="AV3765" s="330"/>
      <c r="AW3765" s="331"/>
      <c r="AX3765" s="331"/>
      <c r="AY3765" s="331"/>
      <c r="AZ3765" s="331"/>
      <c r="BA3765" s="331"/>
      <c r="BB3765" s="331"/>
      <c r="BC3765" s="331"/>
      <c r="BD3765" s="331"/>
      <c r="BE3765" s="333"/>
      <c r="BF3765" s="330"/>
      <c r="BG3765" s="333"/>
      <c r="BH3765" s="1119"/>
      <c r="BI3765" s="319"/>
      <c r="BJ3765" s="319"/>
      <c r="BK3765" s="319"/>
      <c r="BL3765" s="319"/>
      <c r="BM3765" s="319"/>
      <c r="BN3765" s="319"/>
      <c r="BO3765" s="319"/>
      <c r="BP3765" s="953"/>
      <c r="BQ3765" s="319"/>
      <c r="BR3765" s="319"/>
      <c r="BS3765" s="330"/>
      <c r="BT3765" s="331"/>
      <c r="BU3765" s="920"/>
      <c r="BV3765" s="903"/>
      <c r="BW3765" s="908"/>
      <c r="BX3765" s="908"/>
      <c r="BY3765" s="331"/>
      <c r="BZ3765" s="331"/>
      <c r="CA3765" s="462"/>
      <c r="CB3765" s="319"/>
      <c r="CC3765" s="319"/>
      <c r="CD3765" s="319"/>
      <c r="CE3765" s="319"/>
      <c r="CF3765" s="319"/>
      <c r="CG3765" s="319"/>
      <c r="CH3765" s="318"/>
      <c r="CI3765" s="319"/>
      <c r="CJ3765" s="319"/>
      <c r="CK3765" s="342"/>
      <c r="CL3765" s="333"/>
      <c r="CM3765" s="1079"/>
      <c r="CN3765" s="1005"/>
      <c r="CO3765" s="1005"/>
      <c r="CP3765" s="1005"/>
    </row>
    <row r="3766">
      <c r="A3766" s="1257"/>
      <c r="B3766" s="1113"/>
      <c r="C3766" s="1107"/>
      <c r="D3766" s="103"/>
      <c r="E3766" s="1137"/>
      <c r="F3766" s="112"/>
      <c r="G3766" s="1110"/>
      <c r="H3766" s="1138"/>
      <c r="I3766" s="1138"/>
      <c r="J3766" s="1139"/>
      <c r="K3766" s="1111"/>
      <c r="L3766" s="1112"/>
      <c r="M3766" s="1113"/>
      <c r="N3766" s="110"/>
      <c r="O3766" s="1140"/>
      <c r="P3766" s="1115"/>
      <c r="Q3766" s="1116"/>
      <c r="R3766" s="1141"/>
      <c r="S3766" s="1113"/>
      <c r="T3766" s="1143"/>
      <c r="U3766" s="1108"/>
      <c r="V3766" s="1108"/>
      <c r="W3766" s="1108"/>
      <c r="X3766" s="1108"/>
      <c r="Y3766" s="1108"/>
      <c r="Z3766" s="1114"/>
      <c r="AA3766" s="1114"/>
      <c r="AB3766" s="1114"/>
      <c r="AC3766" s="1117"/>
      <c r="AD3766" s="1115"/>
      <c r="AE3766" s="1115"/>
      <c r="AF3766" s="1115"/>
      <c r="AG3766" s="1115"/>
      <c r="AH3766" s="1115"/>
      <c r="AI3766" s="1115"/>
      <c r="AJ3766" s="1117"/>
      <c r="AK3766" s="1118"/>
      <c r="AL3766" s="1115"/>
      <c r="AM3766" s="1115"/>
      <c r="AN3766" s="1115"/>
      <c r="AO3766" s="1115"/>
      <c r="AP3766" s="1115"/>
      <c r="AQ3766" s="1115"/>
      <c r="AR3766" s="1115"/>
      <c r="AS3766" s="1117"/>
      <c r="AT3766" s="1075"/>
      <c r="AU3766" s="1193"/>
      <c r="AV3766" s="330"/>
      <c r="AW3766" s="331"/>
      <c r="AX3766" s="331"/>
      <c r="AY3766" s="331"/>
      <c r="AZ3766" s="331"/>
      <c r="BA3766" s="331"/>
      <c r="BB3766" s="331"/>
      <c r="BC3766" s="331"/>
      <c r="BD3766" s="331"/>
      <c r="BE3766" s="333"/>
      <c r="BF3766" s="330"/>
      <c r="BG3766" s="333"/>
      <c r="BH3766" s="1119"/>
      <c r="BI3766" s="319"/>
      <c r="BJ3766" s="319"/>
      <c r="BK3766" s="319"/>
      <c r="BL3766" s="319"/>
      <c r="BM3766" s="319"/>
      <c r="BN3766" s="319"/>
      <c r="BO3766" s="319"/>
      <c r="BP3766" s="953"/>
      <c r="BQ3766" s="319"/>
      <c r="BR3766" s="319"/>
      <c r="BS3766" s="330"/>
      <c r="BT3766" s="331"/>
      <c r="BU3766" s="920"/>
      <c r="BV3766" s="903"/>
      <c r="BW3766" s="908"/>
      <c r="BX3766" s="908"/>
      <c r="BY3766" s="331"/>
      <c r="BZ3766" s="331"/>
      <c r="CA3766" s="462"/>
      <c r="CB3766" s="319"/>
      <c r="CC3766" s="319"/>
      <c r="CD3766" s="319"/>
      <c r="CE3766" s="319"/>
      <c r="CF3766" s="319"/>
      <c r="CG3766" s="319"/>
      <c r="CH3766" s="318"/>
      <c r="CI3766" s="319"/>
      <c r="CJ3766" s="319"/>
      <c r="CK3766" s="342"/>
      <c r="CL3766" s="333"/>
      <c r="CM3766" s="1079"/>
      <c r="CN3766" s="1005"/>
      <c r="CO3766" s="1005"/>
      <c r="CP3766" s="1005"/>
    </row>
    <row r="3767">
      <c r="A3767" s="1257"/>
      <c r="B3767" s="1113"/>
      <c r="C3767" s="1107"/>
      <c r="D3767" s="103"/>
      <c r="E3767" s="1137"/>
      <c r="F3767" s="112"/>
      <c r="G3767" s="1110"/>
      <c r="H3767" s="1138"/>
      <c r="I3767" s="1138"/>
      <c r="J3767" s="1139"/>
      <c r="K3767" s="1111"/>
      <c r="L3767" s="1112"/>
      <c r="M3767" s="1113"/>
      <c r="N3767" s="110"/>
      <c r="O3767" s="1140"/>
      <c r="P3767" s="1115"/>
      <c r="Q3767" s="1116"/>
      <c r="R3767" s="1141"/>
      <c r="S3767" s="1113"/>
      <c r="T3767" s="1143"/>
      <c r="U3767" s="1108"/>
      <c r="V3767" s="1108"/>
      <c r="W3767" s="1108"/>
      <c r="X3767" s="1108"/>
      <c r="Y3767" s="1108"/>
      <c r="Z3767" s="1114"/>
      <c r="AA3767" s="1114"/>
      <c r="AB3767" s="1114"/>
      <c r="AC3767" s="1117"/>
      <c r="AD3767" s="1115"/>
      <c r="AE3767" s="1115"/>
      <c r="AF3767" s="1115"/>
      <c r="AG3767" s="1115"/>
      <c r="AH3767" s="1115"/>
      <c r="AI3767" s="1115"/>
      <c r="AJ3767" s="1117"/>
      <c r="AK3767" s="1118"/>
      <c r="AL3767" s="1115"/>
      <c r="AM3767" s="1115"/>
      <c r="AN3767" s="1115"/>
      <c r="AO3767" s="1115"/>
      <c r="AP3767" s="1115"/>
      <c r="AQ3767" s="1115"/>
      <c r="AR3767" s="1115"/>
      <c r="AS3767" s="1117"/>
      <c r="AT3767" s="1075"/>
      <c r="AU3767" s="1193"/>
      <c r="AV3767" s="330"/>
      <c r="AW3767" s="331"/>
      <c r="AX3767" s="331"/>
      <c r="AY3767" s="331"/>
      <c r="AZ3767" s="331"/>
      <c r="BA3767" s="331"/>
      <c r="BB3767" s="331"/>
      <c r="BC3767" s="331"/>
      <c r="BD3767" s="331"/>
      <c r="BE3767" s="333"/>
      <c r="BF3767" s="330"/>
      <c r="BG3767" s="333"/>
      <c r="BH3767" s="1119"/>
      <c r="BI3767" s="319"/>
      <c r="BJ3767" s="319"/>
      <c r="BK3767" s="319"/>
      <c r="BL3767" s="319"/>
      <c r="BM3767" s="319"/>
      <c r="BN3767" s="319"/>
      <c r="BO3767" s="319"/>
      <c r="BP3767" s="953"/>
      <c r="BQ3767" s="319"/>
      <c r="BR3767" s="319"/>
      <c r="BS3767" s="330"/>
      <c r="BT3767" s="331"/>
      <c r="BU3767" s="920"/>
      <c r="BV3767" s="903"/>
      <c r="BW3767" s="908"/>
      <c r="BX3767" s="908"/>
      <c r="BY3767" s="331"/>
      <c r="BZ3767" s="331"/>
      <c r="CA3767" s="462"/>
      <c r="CB3767" s="319"/>
      <c r="CC3767" s="319"/>
      <c r="CD3767" s="319"/>
      <c r="CE3767" s="319"/>
      <c r="CF3767" s="319"/>
      <c r="CG3767" s="319"/>
      <c r="CH3767" s="318"/>
      <c r="CI3767" s="319"/>
      <c r="CJ3767" s="319"/>
      <c r="CK3767" s="342"/>
      <c r="CL3767" s="333"/>
      <c r="CM3767" s="1079"/>
      <c r="CN3767" s="1005"/>
      <c r="CO3767" s="1005"/>
      <c r="CP3767" s="1005"/>
    </row>
    <row r="3768">
      <c r="A3768" s="1257"/>
      <c r="B3768" s="1113"/>
      <c r="C3768" s="1107"/>
      <c r="D3768" s="103"/>
      <c r="E3768" s="1137"/>
      <c r="F3768" s="112"/>
      <c r="G3768" s="1110"/>
      <c r="H3768" s="1138"/>
      <c r="I3768" s="1138"/>
      <c r="J3768" s="1139"/>
      <c r="K3768" s="1111"/>
      <c r="L3768" s="1112"/>
      <c r="M3768" s="1113"/>
      <c r="N3768" s="110"/>
      <c r="O3768" s="1140"/>
      <c r="P3768" s="1115"/>
      <c r="Q3768" s="1116"/>
      <c r="R3768" s="1141"/>
      <c r="S3768" s="1113"/>
      <c r="T3768" s="1143"/>
      <c r="U3768" s="1108"/>
      <c r="V3768" s="1108"/>
      <c r="W3768" s="1108"/>
      <c r="X3768" s="1108"/>
      <c r="Y3768" s="1108"/>
      <c r="Z3768" s="1114"/>
      <c r="AA3768" s="1114"/>
      <c r="AB3768" s="1114"/>
      <c r="AC3768" s="1117"/>
      <c r="AD3768" s="1115"/>
      <c r="AE3768" s="1115"/>
      <c r="AF3768" s="1115"/>
      <c r="AG3768" s="1115"/>
      <c r="AH3768" s="1115"/>
      <c r="AI3768" s="1115"/>
      <c r="AJ3768" s="1117"/>
      <c r="AK3768" s="1118"/>
      <c r="AL3768" s="1115"/>
      <c r="AM3768" s="1115"/>
      <c r="AN3768" s="1115"/>
      <c r="AO3768" s="1115"/>
      <c r="AP3768" s="1115"/>
      <c r="AQ3768" s="1115"/>
      <c r="AR3768" s="1115"/>
      <c r="AS3768" s="1117"/>
      <c r="AT3768" s="1075"/>
      <c r="AU3768" s="1193"/>
      <c r="AV3768" s="330"/>
      <c r="AW3768" s="331"/>
      <c r="AX3768" s="331"/>
      <c r="AY3768" s="331"/>
      <c r="AZ3768" s="331"/>
      <c r="BA3768" s="331"/>
      <c r="BB3768" s="331"/>
      <c r="BC3768" s="331"/>
      <c r="BD3768" s="331"/>
      <c r="BE3768" s="333"/>
      <c r="BF3768" s="330"/>
      <c r="BG3768" s="333"/>
      <c r="BH3768" s="1119"/>
      <c r="BI3768" s="319"/>
      <c r="BJ3768" s="319"/>
      <c r="BK3768" s="319"/>
      <c r="BL3768" s="319"/>
      <c r="BM3768" s="319"/>
      <c r="BN3768" s="319"/>
      <c r="BO3768" s="319"/>
      <c r="BP3768" s="953"/>
      <c r="BQ3768" s="319"/>
      <c r="BR3768" s="319"/>
      <c r="BS3768" s="330"/>
      <c r="BT3768" s="331"/>
      <c r="BU3768" s="920"/>
      <c r="BV3768" s="903"/>
      <c r="BW3768" s="908"/>
      <c r="BX3768" s="908"/>
      <c r="BY3768" s="331"/>
      <c r="BZ3768" s="331"/>
      <c r="CA3768" s="462"/>
      <c r="CB3768" s="319"/>
      <c r="CC3768" s="319"/>
      <c r="CD3768" s="319"/>
      <c r="CE3768" s="319"/>
      <c r="CF3768" s="319"/>
      <c r="CG3768" s="319"/>
      <c r="CH3768" s="318"/>
      <c r="CI3768" s="319"/>
      <c r="CJ3768" s="319"/>
      <c r="CK3768" s="342"/>
      <c r="CL3768" s="333"/>
      <c r="CM3768" s="1079"/>
      <c r="CN3768" s="1005"/>
      <c r="CO3768" s="1005"/>
      <c r="CP3768" s="1005"/>
    </row>
    <row r="3769">
      <c r="A3769" s="1257"/>
      <c r="B3769" s="1113"/>
      <c r="C3769" s="1107"/>
      <c r="D3769" s="103"/>
      <c r="E3769" s="1137"/>
      <c r="F3769" s="112"/>
      <c r="G3769" s="1110"/>
      <c r="H3769" s="1138"/>
      <c r="I3769" s="1138"/>
      <c r="J3769" s="1139"/>
      <c r="K3769" s="1111"/>
      <c r="L3769" s="1112"/>
      <c r="M3769" s="1113"/>
      <c r="N3769" s="110"/>
      <c r="O3769" s="1140"/>
      <c r="P3769" s="1115"/>
      <c r="Q3769" s="1116"/>
      <c r="R3769" s="1141"/>
      <c r="S3769" s="1113"/>
      <c r="T3769" s="1143"/>
      <c r="U3769" s="1108"/>
      <c r="V3769" s="1108"/>
      <c r="W3769" s="1108"/>
      <c r="X3769" s="1108"/>
      <c r="Y3769" s="1108"/>
      <c r="Z3769" s="1114"/>
      <c r="AA3769" s="1114"/>
      <c r="AB3769" s="1114"/>
      <c r="AC3769" s="1117"/>
      <c r="AD3769" s="1115"/>
      <c r="AE3769" s="1115"/>
      <c r="AF3769" s="1115"/>
      <c r="AG3769" s="1115"/>
      <c r="AH3769" s="1115"/>
      <c r="AI3769" s="1115"/>
      <c r="AJ3769" s="1117"/>
      <c r="AK3769" s="1118"/>
      <c r="AL3769" s="1115"/>
      <c r="AM3769" s="1115"/>
      <c r="AN3769" s="1115"/>
      <c r="AO3769" s="1115"/>
      <c r="AP3769" s="1115"/>
      <c r="AQ3769" s="1115"/>
      <c r="AR3769" s="1115"/>
      <c r="AS3769" s="1117"/>
      <c r="AT3769" s="1075"/>
      <c r="AU3769" s="1193"/>
      <c r="AV3769" s="330"/>
      <c r="AW3769" s="331"/>
      <c r="AX3769" s="331"/>
      <c r="AY3769" s="331"/>
      <c r="AZ3769" s="331"/>
      <c r="BA3769" s="331"/>
      <c r="BB3769" s="331"/>
      <c r="BC3769" s="331"/>
      <c r="BD3769" s="331"/>
      <c r="BE3769" s="333"/>
      <c r="BF3769" s="330"/>
      <c r="BG3769" s="333"/>
      <c r="BH3769" s="1119"/>
      <c r="BI3769" s="319"/>
      <c r="BJ3769" s="319"/>
      <c r="BK3769" s="319"/>
      <c r="BL3769" s="319"/>
      <c r="BM3769" s="319"/>
      <c r="BN3769" s="319"/>
      <c r="BO3769" s="319"/>
      <c r="BP3769" s="953"/>
      <c r="BQ3769" s="319"/>
      <c r="BR3769" s="319"/>
      <c r="BS3769" s="330"/>
      <c r="BT3769" s="331"/>
      <c r="BU3769" s="920"/>
      <c r="BV3769" s="903"/>
      <c r="BW3769" s="908"/>
      <c r="BX3769" s="908"/>
      <c r="BY3769" s="331"/>
      <c r="BZ3769" s="331"/>
      <c r="CA3769" s="462"/>
      <c r="CB3769" s="319"/>
      <c r="CC3769" s="319"/>
      <c r="CD3769" s="319"/>
      <c r="CE3769" s="319"/>
      <c r="CF3769" s="319"/>
      <c r="CG3769" s="319"/>
      <c r="CH3769" s="318"/>
      <c r="CI3769" s="319"/>
      <c r="CJ3769" s="319"/>
      <c r="CK3769" s="342"/>
      <c r="CL3769" s="333"/>
      <c r="CM3769" s="1079"/>
      <c r="CN3769" s="1005"/>
      <c r="CO3769" s="1005"/>
      <c r="CP3769" s="1005"/>
    </row>
    <row r="3770">
      <c r="A3770" s="1257"/>
      <c r="B3770" s="1113"/>
      <c r="C3770" s="1107"/>
      <c r="D3770" s="103"/>
      <c r="E3770" s="1137"/>
      <c r="F3770" s="112"/>
      <c r="G3770" s="1110"/>
      <c r="H3770" s="1138"/>
      <c r="I3770" s="1138"/>
      <c r="J3770" s="1139"/>
      <c r="K3770" s="1111"/>
      <c r="L3770" s="1112"/>
      <c r="M3770" s="1113"/>
      <c r="N3770" s="110"/>
      <c r="O3770" s="1140"/>
      <c r="P3770" s="1115"/>
      <c r="Q3770" s="1116"/>
      <c r="R3770" s="1141"/>
      <c r="S3770" s="1113"/>
      <c r="T3770" s="1143"/>
      <c r="U3770" s="1108"/>
      <c r="V3770" s="1108"/>
      <c r="W3770" s="1108"/>
      <c r="X3770" s="1108"/>
      <c r="Y3770" s="1108"/>
      <c r="Z3770" s="1114"/>
      <c r="AA3770" s="1114"/>
      <c r="AB3770" s="1114"/>
      <c r="AC3770" s="1117"/>
      <c r="AD3770" s="1115"/>
      <c r="AE3770" s="1115"/>
      <c r="AF3770" s="1115"/>
      <c r="AG3770" s="1115"/>
      <c r="AH3770" s="1115"/>
      <c r="AI3770" s="1115"/>
      <c r="AJ3770" s="1117"/>
      <c r="AK3770" s="1118"/>
      <c r="AL3770" s="1115"/>
      <c r="AM3770" s="1115"/>
      <c r="AN3770" s="1115"/>
      <c r="AO3770" s="1115"/>
      <c r="AP3770" s="1115"/>
      <c r="AQ3770" s="1115"/>
      <c r="AR3770" s="1115"/>
      <c r="AS3770" s="1117"/>
      <c r="AT3770" s="1075"/>
      <c r="AU3770" s="1193"/>
      <c r="AV3770" s="330"/>
      <c r="AW3770" s="331"/>
      <c r="AX3770" s="331"/>
      <c r="AY3770" s="331"/>
      <c r="AZ3770" s="331"/>
      <c r="BA3770" s="331"/>
      <c r="BB3770" s="331"/>
      <c r="BC3770" s="331"/>
      <c r="BD3770" s="331"/>
      <c r="BE3770" s="333"/>
      <c r="BF3770" s="330"/>
      <c r="BG3770" s="333"/>
      <c r="BH3770" s="1119"/>
      <c r="BI3770" s="319"/>
      <c r="BJ3770" s="319"/>
      <c r="BK3770" s="319"/>
      <c r="BL3770" s="319"/>
      <c r="BM3770" s="319"/>
      <c r="BN3770" s="319"/>
      <c r="BO3770" s="319"/>
      <c r="BP3770" s="953"/>
      <c r="BQ3770" s="319"/>
      <c r="BR3770" s="319"/>
      <c r="BS3770" s="330"/>
      <c r="BT3770" s="331"/>
      <c r="BU3770" s="920"/>
      <c r="BV3770" s="903"/>
      <c r="BW3770" s="908"/>
      <c r="BX3770" s="908"/>
      <c r="BY3770" s="331"/>
      <c r="BZ3770" s="331"/>
      <c r="CA3770" s="462"/>
      <c r="CB3770" s="319"/>
      <c r="CC3770" s="319"/>
      <c r="CD3770" s="319"/>
      <c r="CE3770" s="319"/>
      <c r="CF3770" s="319"/>
      <c r="CG3770" s="319"/>
      <c r="CH3770" s="318"/>
      <c r="CI3770" s="319"/>
      <c r="CJ3770" s="319"/>
      <c r="CK3770" s="342"/>
      <c r="CL3770" s="333"/>
      <c r="CM3770" s="1079"/>
      <c r="CN3770" s="1005"/>
      <c r="CO3770" s="1005"/>
      <c r="CP3770" s="1005"/>
    </row>
    <row r="3771">
      <c r="A3771" s="1257"/>
      <c r="B3771" s="1113"/>
      <c r="C3771" s="1107"/>
      <c r="D3771" s="103"/>
      <c r="E3771" s="1137"/>
      <c r="F3771" s="112"/>
      <c r="G3771" s="1110"/>
      <c r="H3771" s="1138"/>
      <c r="I3771" s="1138"/>
      <c r="J3771" s="1139"/>
      <c r="K3771" s="1111"/>
      <c r="L3771" s="1112"/>
      <c r="M3771" s="1113"/>
      <c r="N3771" s="110"/>
      <c r="O3771" s="1140"/>
      <c r="P3771" s="1115"/>
      <c r="Q3771" s="1116"/>
      <c r="R3771" s="1141"/>
      <c r="S3771" s="1113"/>
      <c r="T3771" s="1143"/>
      <c r="U3771" s="1108"/>
      <c r="V3771" s="1108"/>
      <c r="W3771" s="1108"/>
      <c r="X3771" s="1108"/>
      <c r="Y3771" s="1108"/>
      <c r="Z3771" s="1114"/>
      <c r="AA3771" s="1114"/>
      <c r="AB3771" s="1114"/>
      <c r="AC3771" s="1117"/>
      <c r="AD3771" s="1115"/>
      <c r="AE3771" s="1115"/>
      <c r="AF3771" s="1115"/>
      <c r="AG3771" s="1115"/>
      <c r="AH3771" s="1115"/>
      <c r="AI3771" s="1115"/>
      <c r="AJ3771" s="1117"/>
      <c r="AK3771" s="1118"/>
      <c r="AL3771" s="1115"/>
      <c r="AM3771" s="1115"/>
      <c r="AN3771" s="1115"/>
      <c r="AO3771" s="1115"/>
      <c r="AP3771" s="1115"/>
      <c r="AQ3771" s="1115"/>
      <c r="AR3771" s="1115"/>
      <c r="AS3771" s="1117"/>
      <c r="AT3771" s="1075"/>
      <c r="AU3771" s="1193"/>
      <c r="AV3771" s="330"/>
      <c r="AW3771" s="331"/>
      <c r="AX3771" s="331"/>
      <c r="AY3771" s="331"/>
      <c r="AZ3771" s="331"/>
      <c r="BA3771" s="331"/>
      <c r="BB3771" s="331"/>
      <c r="BC3771" s="331"/>
      <c r="BD3771" s="331"/>
      <c r="BE3771" s="333"/>
      <c r="BF3771" s="330"/>
      <c r="BG3771" s="333"/>
      <c r="BH3771" s="1119"/>
      <c r="BI3771" s="319"/>
      <c r="BJ3771" s="319"/>
      <c r="BK3771" s="319"/>
      <c r="BL3771" s="319"/>
      <c r="BM3771" s="319"/>
      <c r="BN3771" s="319"/>
      <c r="BO3771" s="319"/>
      <c r="BP3771" s="953"/>
      <c r="BQ3771" s="319"/>
      <c r="BR3771" s="319"/>
      <c r="BS3771" s="330"/>
      <c r="BT3771" s="331"/>
      <c r="BU3771" s="920"/>
      <c r="BV3771" s="903"/>
      <c r="BW3771" s="908"/>
      <c r="BX3771" s="908"/>
      <c r="BY3771" s="331"/>
      <c r="BZ3771" s="331"/>
      <c r="CA3771" s="462"/>
      <c r="CB3771" s="319"/>
      <c r="CC3771" s="319"/>
      <c r="CD3771" s="319"/>
      <c r="CE3771" s="319"/>
      <c r="CF3771" s="319"/>
      <c r="CG3771" s="319"/>
      <c r="CH3771" s="318"/>
      <c r="CI3771" s="319"/>
      <c r="CJ3771" s="319"/>
      <c r="CK3771" s="342"/>
      <c r="CL3771" s="333"/>
      <c r="CM3771" s="1079"/>
      <c r="CN3771" s="1005"/>
      <c r="CO3771" s="1005"/>
      <c r="CP3771" s="1005"/>
    </row>
    <row r="3772">
      <c r="A3772" s="1257"/>
      <c r="B3772" s="1113"/>
      <c r="C3772" s="1107"/>
      <c r="D3772" s="103"/>
      <c r="E3772" s="1137"/>
      <c r="F3772" s="112"/>
      <c r="G3772" s="1110"/>
      <c r="H3772" s="1138"/>
      <c r="I3772" s="1138"/>
      <c r="J3772" s="1139"/>
      <c r="K3772" s="1111"/>
      <c r="L3772" s="1112"/>
      <c r="M3772" s="1113"/>
      <c r="N3772" s="110"/>
      <c r="O3772" s="1140"/>
      <c r="P3772" s="1115"/>
      <c r="Q3772" s="1116"/>
      <c r="R3772" s="1141"/>
      <c r="S3772" s="1113"/>
      <c r="T3772" s="1143"/>
      <c r="U3772" s="1108"/>
      <c r="V3772" s="1108"/>
      <c r="W3772" s="1108"/>
      <c r="X3772" s="1108"/>
      <c r="Y3772" s="1108"/>
      <c r="Z3772" s="1114"/>
      <c r="AA3772" s="1114"/>
      <c r="AB3772" s="1114"/>
      <c r="AC3772" s="1117"/>
      <c r="AD3772" s="1115"/>
      <c r="AE3772" s="1115"/>
      <c r="AF3772" s="1115"/>
      <c r="AG3772" s="1115"/>
      <c r="AH3772" s="1115"/>
      <c r="AI3772" s="1115"/>
      <c r="AJ3772" s="1117"/>
      <c r="AK3772" s="1118"/>
      <c r="AL3772" s="1115"/>
      <c r="AM3772" s="1115"/>
      <c r="AN3772" s="1115"/>
      <c r="AO3772" s="1115"/>
      <c r="AP3772" s="1115"/>
      <c r="AQ3772" s="1115"/>
      <c r="AR3772" s="1115"/>
      <c r="AS3772" s="1117"/>
      <c r="AT3772" s="1075"/>
      <c r="AU3772" s="1193"/>
      <c r="AV3772" s="330"/>
      <c r="AW3772" s="331"/>
      <c r="AX3772" s="331"/>
      <c r="AY3772" s="331"/>
      <c r="AZ3772" s="331"/>
      <c r="BA3772" s="331"/>
      <c r="BB3772" s="331"/>
      <c r="BC3772" s="331"/>
      <c r="BD3772" s="331"/>
      <c r="BE3772" s="333"/>
      <c r="BF3772" s="330"/>
      <c r="BG3772" s="333"/>
      <c r="BH3772" s="1119"/>
      <c r="BI3772" s="319"/>
      <c r="BJ3772" s="319"/>
      <c r="BK3772" s="319"/>
      <c r="BL3772" s="319"/>
      <c r="BM3772" s="319"/>
      <c r="BN3772" s="319"/>
      <c r="BO3772" s="319"/>
      <c r="BP3772" s="953"/>
      <c r="BQ3772" s="319"/>
      <c r="BR3772" s="319"/>
      <c r="BS3772" s="330"/>
      <c r="BT3772" s="331"/>
      <c r="BU3772" s="920"/>
      <c r="BV3772" s="903"/>
      <c r="BW3772" s="908"/>
      <c r="BX3772" s="908"/>
      <c r="BY3772" s="331"/>
      <c r="BZ3772" s="331"/>
      <c r="CA3772" s="462"/>
      <c r="CB3772" s="319"/>
      <c r="CC3772" s="319"/>
      <c r="CD3772" s="319"/>
      <c r="CE3772" s="319"/>
      <c r="CF3772" s="319"/>
      <c r="CG3772" s="319"/>
      <c r="CH3772" s="318"/>
      <c r="CI3772" s="319"/>
      <c r="CJ3772" s="319"/>
      <c r="CK3772" s="342"/>
      <c r="CL3772" s="333"/>
      <c r="CM3772" s="1079"/>
      <c r="CN3772" s="1005"/>
      <c r="CO3772" s="1005"/>
      <c r="CP3772" s="1005"/>
    </row>
    <row r="3773">
      <c r="A3773" s="1257"/>
      <c r="B3773" s="1113"/>
      <c r="C3773" s="1107"/>
      <c r="D3773" s="103"/>
      <c r="E3773" s="1137"/>
      <c r="F3773" s="112"/>
      <c r="G3773" s="1110"/>
      <c r="H3773" s="1138"/>
      <c r="I3773" s="1138"/>
      <c r="J3773" s="1139"/>
      <c r="K3773" s="1111"/>
      <c r="L3773" s="1112"/>
      <c r="M3773" s="1113"/>
      <c r="N3773" s="110"/>
      <c r="O3773" s="1140"/>
      <c r="P3773" s="1115"/>
      <c r="Q3773" s="1116"/>
      <c r="R3773" s="1141"/>
      <c r="S3773" s="1113"/>
      <c r="T3773" s="1143"/>
      <c r="U3773" s="1108"/>
      <c r="V3773" s="1108"/>
      <c r="W3773" s="1108"/>
      <c r="X3773" s="1108"/>
      <c r="Y3773" s="1108"/>
      <c r="Z3773" s="1114"/>
      <c r="AA3773" s="1114"/>
      <c r="AB3773" s="1114"/>
      <c r="AC3773" s="1117"/>
      <c r="AD3773" s="1115"/>
      <c r="AE3773" s="1115"/>
      <c r="AF3773" s="1115"/>
      <c r="AG3773" s="1115"/>
      <c r="AH3773" s="1115"/>
      <c r="AI3773" s="1115"/>
      <c r="AJ3773" s="1117"/>
      <c r="AK3773" s="1118"/>
      <c r="AL3773" s="1115"/>
      <c r="AM3773" s="1115"/>
      <c r="AN3773" s="1115"/>
      <c r="AO3773" s="1115"/>
      <c r="AP3773" s="1115"/>
      <c r="AQ3773" s="1115"/>
      <c r="AR3773" s="1115"/>
      <c r="AS3773" s="1117"/>
      <c r="AT3773" s="1075"/>
      <c r="AU3773" s="1193"/>
      <c r="AV3773" s="330"/>
      <c r="AW3773" s="331"/>
      <c r="AX3773" s="331"/>
      <c r="AY3773" s="331"/>
      <c r="AZ3773" s="331"/>
      <c r="BA3773" s="331"/>
      <c r="BB3773" s="331"/>
      <c r="BC3773" s="331"/>
      <c r="BD3773" s="331"/>
      <c r="BE3773" s="333"/>
      <c r="BF3773" s="330"/>
      <c r="BG3773" s="333"/>
      <c r="BH3773" s="1119"/>
      <c r="BI3773" s="319"/>
      <c r="BJ3773" s="319"/>
      <c r="BK3773" s="319"/>
      <c r="BL3773" s="319"/>
      <c r="BM3773" s="319"/>
      <c r="BN3773" s="319"/>
      <c r="BO3773" s="319"/>
      <c r="BP3773" s="953"/>
      <c r="BQ3773" s="319"/>
      <c r="BR3773" s="319"/>
      <c r="BS3773" s="330"/>
      <c r="BT3773" s="331"/>
      <c r="BU3773" s="920"/>
      <c r="BV3773" s="903"/>
      <c r="BW3773" s="908"/>
      <c r="BX3773" s="908"/>
      <c r="BY3773" s="331"/>
      <c r="BZ3773" s="331"/>
      <c r="CA3773" s="462"/>
      <c r="CB3773" s="319"/>
      <c r="CC3773" s="319"/>
      <c r="CD3773" s="319"/>
      <c r="CE3773" s="319"/>
      <c r="CF3773" s="319"/>
      <c r="CG3773" s="319"/>
      <c r="CH3773" s="318"/>
      <c r="CI3773" s="319"/>
      <c r="CJ3773" s="319"/>
      <c r="CK3773" s="342"/>
      <c r="CL3773" s="333"/>
      <c r="CM3773" s="1079"/>
      <c r="CN3773" s="1005"/>
      <c r="CO3773" s="1005"/>
      <c r="CP3773" s="1005"/>
    </row>
    <row r="3774">
      <c r="A3774" s="1257"/>
      <c r="B3774" s="1113"/>
      <c r="C3774" s="1107"/>
      <c r="D3774" s="103"/>
      <c r="E3774" s="1137"/>
      <c r="F3774" s="112"/>
      <c r="G3774" s="1110"/>
      <c r="H3774" s="1138"/>
      <c r="I3774" s="1138"/>
      <c r="J3774" s="1139"/>
      <c r="K3774" s="1111"/>
      <c r="L3774" s="1112"/>
      <c r="M3774" s="1113"/>
      <c r="N3774" s="110"/>
      <c r="O3774" s="1140"/>
      <c r="P3774" s="1115"/>
      <c r="Q3774" s="1116"/>
      <c r="R3774" s="1141"/>
      <c r="S3774" s="1113"/>
      <c r="T3774" s="1143"/>
      <c r="U3774" s="1108"/>
      <c r="V3774" s="1108"/>
      <c r="W3774" s="1108"/>
      <c r="X3774" s="1108"/>
      <c r="Y3774" s="1108"/>
      <c r="Z3774" s="1114"/>
      <c r="AA3774" s="1114"/>
      <c r="AB3774" s="1114"/>
      <c r="AC3774" s="1117"/>
      <c r="AD3774" s="1115"/>
      <c r="AE3774" s="1115"/>
      <c r="AF3774" s="1115"/>
      <c r="AG3774" s="1115"/>
      <c r="AH3774" s="1115"/>
      <c r="AI3774" s="1115"/>
      <c r="AJ3774" s="1117"/>
      <c r="AK3774" s="1118"/>
      <c r="AL3774" s="1115"/>
      <c r="AM3774" s="1115"/>
      <c r="AN3774" s="1115"/>
      <c r="AO3774" s="1115"/>
      <c r="AP3774" s="1115"/>
      <c r="AQ3774" s="1115"/>
      <c r="AR3774" s="1115"/>
      <c r="AS3774" s="1117"/>
      <c r="AT3774" s="1075"/>
      <c r="AU3774" s="1193"/>
      <c r="AV3774" s="330"/>
      <c r="AW3774" s="331"/>
      <c r="AX3774" s="331"/>
      <c r="AY3774" s="331"/>
      <c r="AZ3774" s="331"/>
      <c r="BA3774" s="331"/>
      <c r="BB3774" s="331"/>
      <c r="BC3774" s="331"/>
      <c r="BD3774" s="331"/>
      <c r="BE3774" s="333"/>
      <c r="BF3774" s="330"/>
      <c r="BG3774" s="333"/>
      <c r="BH3774" s="1119"/>
      <c r="BI3774" s="319"/>
      <c r="BJ3774" s="319"/>
      <c r="BK3774" s="319"/>
      <c r="BL3774" s="319"/>
      <c r="BM3774" s="319"/>
      <c r="BN3774" s="319"/>
      <c r="BO3774" s="319"/>
      <c r="BP3774" s="953"/>
      <c r="BQ3774" s="319"/>
      <c r="BR3774" s="319"/>
      <c r="BS3774" s="330"/>
      <c r="BT3774" s="331"/>
      <c r="BU3774" s="920"/>
      <c r="BV3774" s="903"/>
      <c r="BW3774" s="908"/>
      <c r="BX3774" s="908"/>
      <c r="BY3774" s="331"/>
      <c r="BZ3774" s="331"/>
      <c r="CA3774" s="462"/>
      <c r="CB3774" s="319"/>
      <c r="CC3774" s="319"/>
      <c r="CD3774" s="319"/>
      <c r="CE3774" s="319"/>
      <c r="CF3774" s="319"/>
      <c r="CG3774" s="319"/>
      <c r="CH3774" s="318"/>
      <c r="CI3774" s="319"/>
      <c r="CJ3774" s="319"/>
      <c r="CK3774" s="342"/>
      <c r="CL3774" s="333"/>
      <c r="CM3774" s="1079"/>
      <c r="CN3774" s="1005"/>
      <c r="CO3774" s="1005"/>
      <c r="CP3774" s="1005"/>
    </row>
    <row r="3775">
      <c r="A3775" s="1257"/>
      <c r="B3775" s="1113"/>
      <c r="C3775" s="1107"/>
      <c r="D3775" s="103"/>
      <c r="E3775" s="1137"/>
      <c r="F3775" s="112"/>
      <c r="G3775" s="1110"/>
      <c r="H3775" s="1138"/>
      <c r="I3775" s="1138"/>
      <c r="J3775" s="1139"/>
      <c r="K3775" s="1111"/>
      <c r="L3775" s="1112"/>
      <c r="M3775" s="1113"/>
      <c r="N3775" s="110"/>
      <c r="O3775" s="1140"/>
      <c r="P3775" s="1115"/>
      <c r="Q3775" s="1116"/>
      <c r="R3775" s="1141"/>
      <c r="S3775" s="1113"/>
      <c r="T3775" s="1143"/>
      <c r="U3775" s="1108"/>
      <c r="V3775" s="1108"/>
      <c r="W3775" s="1108"/>
      <c r="X3775" s="1108"/>
      <c r="Y3775" s="1108"/>
      <c r="Z3775" s="1114"/>
      <c r="AA3775" s="1114"/>
      <c r="AB3775" s="1114"/>
      <c r="AC3775" s="1117"/>
      <c r="AD3775" s="1115"/>
      <c r="AE3775" s="1115"/>
      <c r="AF3775" s="1115"/>
      <c r="AG3775" s="1115"/>
      <c r="AH3775" s="1115"/>
      <c r="AI3775" s="1115"/>
      <c r="AJ3775" s="1117"/>
      <c r="AK3775" s="1118"/>
      <c r="AL3775" s="1115"/>
      <c r="AM3775" s="1115"/>
      <c r="AN3775" s="1115"/>
      <c r="AO3775" s="1115"/>
      <c r="AP3775" s="1115"/>
      <c r="AQ3775" s="1115"/>
      <c r="AR3775" s="1115"/>
      <c r="AS3775" s="1117"/>
      <c r="AT3775" s="1075"/>
      <c r="AU3775" s="1193"/>
      <c r="AV3775" s="330"/>
      <c r="AW3775" s="331"/>
      <c r="AX3775" s="331"/>
      <c r="AY3775" s="331"/>
      <c r="AZ3775" s="331"/>
      <c r="BA3775" s="331"/>
      <c r="BB3775" s="331"/>
      <c r="BC3775" s="331"/>
      <c r="BD3775" s="331"/>
      <c r="BE3775" s="333"/>
      <c r="BF3775" s="330"/>
      <c r="BG3775" s="333"/>
      <c r="BH3775" s="1119"/>
      <c r="BI3775" s="319"/>
      <c r="BJ3775" s="319"/>
      <c r="BK3775" s="319"/>
      <c r="BL3775" s="319"/>
      <c r="BM3775" s="319"/>
      <c r="BN3775" s="319"/>
      <c r="BO3775" s="319"/>
      <c r="BP3775" s="953"/>
      <c r="BQ3775" s="319"/>
      <c r="BR3775" s="319"/>
      <c r="BS3775" s="330"/>
      <c r="BT3775" s="331"/>
      <c r="BU3775" s="920"/>
      <c r="BV3775" s="903"/>
      <c r="BW3775" s="908"/>
      <c r="BX3775" s="908"/>
      <c r="BY3775" s="331"/>
      <c r="BZ3775" s="331"/>
      <c r="CA3775" s="462"/>
      <c r="CB3775" s="319"/>
      <c r="CC3775" s="319"/>
      <c r="CD3775" s="319"/>
      <c r="CE3775" s="319"/>
      <c r="CF3775" s="319"/>
      <c r="CG3775" s="319"/>
      <c r="CH3775" s="318"/>
      <c r="CI3775" s="319"/>
      <c r="CJ3775" s="319"/>
      <c r="CK3775" s="342"/>
      <c r="CL3775" s="333"/>
      <c r="CM3775" s="1079"/>
      <c r="CN3775" s="1005"/>
      <c r="CO3775" s="1005"/>
      <c r="CP3775" s="1005"/>
    </row>
    <row r="3776">
      <c r="A3776" s="1257"/>
      <c r="B3776" s="1113"/>
      <c r="C3776" s="1107"/>
      <c r="D3776" s="103"/>
      <c r="E3776" s="1137"/>
      <c r="F3776" s="112"/>
      <c r="G3776" s="1110"/>
      <c r="H3776" s="1138"/>
      <c r="I3776" s="1138"/>
      <c r="J3776" s="1139"/>
      <c r="K3776" s="1111"/>
      <c r="L3776" s="1112"/>
      <c r="M3776" s="1113"/>
      <c r="N3776" s="110"/>
      <c r="O3776" s="1140"/>
      <c r="P3776" s="1115"/>
      <c r="Q3776" s="1116"/>
      <c r="R3776" s="1141"/>
      <c r="S3776" s="1113"/>
      <c r="T3776" s="1143"/>
      <c r="U3776" s="1108"/>
      <c r="V3776" s="1108"/>
      <c r="W3776" s="1108"/>
      <c r="X3776" s="1108"/>
      <c r="Y3776" s="1108"/>
      <c r="Z3776" s="1114"/>
      <c r="AA3776" s="1114"/>
      <c r="AB3776" s="1114"/>
      <c r="AC3776" s="1117"/>
      <c r="AD3776" s="1115"/>
      <c r="AE3776" s="1115"/>
      <c r="AF3776" s="1115"/>
      <c r="AG3776" s="1115"/>
      <c r="AH3776" s="1115"/>
      <c r="AI3776" s="1115"/>
      <c r="AJ3776" s="1117"/>
      <c r="AK3776" s="1118"/>
      <c r="AL3776" s="1115"/>
      <c r="AM3776" s="1115"/>
      <c r="AN3776" s="1115"/>
      <c r="AO3776" s="1115"/>
      <c r="AP3776" s="1115"/>
      <c r="AQ3776" s="1115"/>
      <c r="AR3776" s="1115"/>
      <c r="AS3776" s="1117"/>
      <c r="AT3776" s="1075"/>
      <c r="AU3776" s="1193"/>
      <c r="AV3776" s="330"/>
      <c r="AW3776" s="331"/>
      <c r="AX3776" s="331"/>
      <c r="AY3776" s="331"/>
      <c r="AZ3776" s="331"/>
      <c r="BA3776" s="331"/>
      <c r="BB3776" s="331"/>
      <c r="BC3776" s="331"/>
      <c r="BD3776" s="331"/>
      <c r="BE3776" s="333"/>
      <c r="BF3776" s="330"/>
      <c r="BG3776" s="333"/>
      <c r="BH3776" s="1119"/>
      <c r="BI3776" s="319"/>
      <c r="BJ3776" s="319"/>
      <c r="BK3776" s="319"/>
      <c r="BL3776" s="319"/>
      <c r="BM3776" s="319"/>
      <c r="BN3776" s="319"/>
      <c r="BO3776" s="319"/>
      <c r="BP3776" s="953"/>
      <c r="BQ3776" s="319"/>
      <c r="BR3776" s="319"/>
      <c r="BS3776" s="330"/>
      <c r="BT3776" s="331"/>
      <c r="BU3776" s="920"/>
      <c r="BV3776" s="903"/>
      <c r="BW3776" s="908"/>
      <c r="BX3776" s="908"/>
      <c r="BY3776" s="331"/>
      <c r="BZ3776" s="331"/>
      <c r="CA3776" s="462"/>
      <c r="CB3776" s="319"/>
      <c r="CC3776" s="319"/>
      <c r="CD3776" s="319"/>
      <c r="CE3776" s="319"/>
      <c r="CF3776" s="319"/>
      <c r="CG3776" s="319"/>
      <c r="CH3776" s="318"/>
      <c r="CI3776" s="319"/>
      <c r="CJ3776" s="319"/>
      <c r="CK3776" s="342"/>
      <c r="CL3776" s="333"/>
      <c r="CM3776" s="1079"/>
      <c r="CN3776" s="1005"/>
      <c r="CO3776" s="1005"/>
      <c r="CP3776" s="1005"/>
    </row>
    <row r="3777">
      <c r="A3777" s="1257"/>
      <c r="B3777" s="1113"/>
      <c r="C3777" s="1107"/>
      <c r="D3777" s="103"/>
      <c r="E3777" s="1137"/>
      <c r="F3777" s="112"/>
      <c r="G3777" s="1110"/>
      <c r="H3777" s="1138"/>
      <c r="I3777" s="1138"/>
      <c r="J3777" s="1139"/>
      <c r="K3777" s="1111"/>
      <c r="L3777" s="1112"/>
      <c r="M3777" s="1113"/>
      <c r="N3777" s="110"/>
      <c r="O3777" s="1140"/>
      <c r="P3777" s="1115"/>
      <c r="Q3777" s="1116"/>
      <c r="R3777" s="1141"/>
      <c r="S3777" s="1113"/>
      <c r="T3777" s="1143"/>
      <c r="U3777" s="1108"/>
      <c r="V3777" s="1108"/>
      <c r="W3777" s="1108"/>
      <c r="X3777" s="1108"/>
      <c r="Y3777" s="1108"/>
      <c r="Z3777" s="1114"/>
      <c r="AA3777" s="1114"/>
      <c r="AB3777" s="1114"/>
      <c r="AC3777" s="1117"/>
      <c r="AD3777" s="1115"/>
      <c r="AE3777" s="1115"/>
      <c r="AF3777" s="1115"/>
      <c r="AG3777" s="1115"/>
      <c r="AH3777" s="1115"/>
      <c r="AI3777" s="1115"/>
      <c r="AJ3777" s="1117"/>
      <c r="AK3777" s="1118"/>
      <c r="AL3777" s="1115"/>
      <c r="AM3777" s="1115"/>
      <c r="AN3777" s="1115"/>
      <c r="AO3777" s="1115"/>
      <c r="AP3777" s="1115"/>
      <c r="AQ3777" s="1115"/>
      <c r="AR3777" s="1115"/>
      <c r="AS3777" s="1117"/>
      <c r="AT3777" s="1075"/>
      <c r="AU3777" s="1193"/>
      <c r="AV3777" s="330"/>
      <c r="AW3777" s="331"/>
      <c r="AX3777" s="331"/>
      <c r="AY3777" s="331"/>
      <c r="AZ3777" s="331"/>
      <c r="BA3777" s="331"/>
      <c r="BB3777" s="331"/>
      <c r="BC3777" s="331"/>
      <c r="BD3777" s="331"/>
      <c r="BE3777" s="333"/>
      <c r="BF3777" s="330"/>
      <c r="BG3777" s="333"/>
      <c r="BH3777" s="1119"/>
      <c r="BI3777" s="319"/>
      <c r="BJ3777" s="319"/>
      <c r="BK3777" s="319"/>
      <c r="BL3777" s="319"/>
      <c r="BM3777" s="319"/>
      <c r="BN3777" s="319"/>
      <c r="BO3777" s="319"/>
      <c r="BP3777" s="953"/>
      <c r="BQ3777" s="319"/>
      <c r="BR3777" s="319"/>
      <c r="BS3777" s="330"/>
      <c r="BT3777" s="331"/>
      <c r="BU3777" s="920"/>
      <c r="BV3777" s="903"/>
      <c r="BW3777" s="908"/>
      <c r="BX3777" s="908"/>
      <c r="BY3777" s="331"/>
      <c r="BZ3777" s="331"/>
      <c r="CA3777" s="462"/>
      <c r="CB3777" s="319"/>
      <c r="CC3777" s="319"/>
      <c r="CD3777" s="319"/>
      <c r="CE3777" s="319"/>
      <c r="CF3777" s="319"/>
      <c r="CG3777" s="319"/>
      <c r="CH3777" s="318"/>
      <c r="CI3777" s="319"/>
      <c r="CJ3777" s="319"/>
      <c r="CK3777" s="342"/>
      <c r="CL3777" s="333"/>
      <c r="CM3777" s="1079"/>
      <c r="CN3777" s="1005"/>
      <c r="CO3777" s="1005"/>
      <c r="CP3777" s="1005"/>
    </row>
    <row r="3778">
      <c r="A3778" s="1257"/>
      <c r="B3778" s="1113"/>
      <c r="C3778" s="1107"/>
      <c r="D3778" s="103"/>
      <c r="E3778" s="1137"/>
      <c r="F3778" s="112"/>
      <c r="G3778" s="1110"/>
      <c r="H3778" s="1138"/>
      <c r="I3778" s="1138"/>
      <c r="J3778" s="1139"/>
      <c r="K3778" s="1111"/>
      <c r="L3778" s="1112"/>
      <c r="M3778" s="1113"/>
      <c r="N3778" s="110"/>
      <c r="O3778" s="1140"/>
      <c r="P3778" s="1115"/>
      <c r="Q3778" s="1116"/>
      <c r="R3778" s="1141"/>
      <c r="S3778" s="1113"/>
      <c r="T3778" s="1143"/>
      <c r="U3778" s="1108"/>
      <c r="V3778" s="1108"/>
      <c r="W3778" s="1108"/>
      <c r="X3778" s="1108"/>
      <c r="Y3778" s="1108"/>
      <c r="Z3778" s="1114"/>
      <c r="AA3778" s="1114"/>
      <c r="AB3778" s="1114"/>
      <c r="AC3778" s="1117"/>
      <c r="AD3778" s="1115"/>
      <c r="AE3778" s="1115"/>
      <c r="AF3778" s="1115"/>
      <c r="AG3778" s="1115"/>
      <c r="AH3778" s="1115"/>
      <c r="AI3778" s="1115"/>
      <c r="AJ3778" s="1117"/>
      <c r="AK3778" s="1118"/>
      <c r="AL3778" s="1115"/>
      <c r="AM3778" s="1115"/>
      <c r="AN3778" s="1115"/>
      <c r="AO3778" s="1115"/>
      <c r="AP3778" s="1115"/>
      <c r="AQ3778" s="1115"/>
      <c r="AR3778" s="1115"/>
      <c r="AS3778" s="1117"/>
      <c r="AT3778" s="1075"/>
      <c r="AU3778" s="1193"/>
      <c r="AV3778" s="330"/>
      <c r="AW3778" s="331"/>
      <c r="AX3778" s="331"/>
      <c r="AY3778" s="331"/>
      <c r="AZ3778" s="331"/>
      <c r="BA3778" s="331"/>
      <c r="BB3778" s="331"/>
      <c r="BC3778" s="331"/>
      <c r="BD3778" s="331"/>
      <c r="BE3778" s="333"/>
      <c r="BF3778" s="330"/>
      <c r="BG3778" s="333"/>
      <c r="BH3778" s="1119"/>
      <c r="BI3778" s="319"/>
      <c r="BJ3778" s="319"/>
      <c r="BK3778" s="319"/>
      <c r="BL3778" s="319"/>
      <c r="BM3778" s="319"/>
      <c r="BN3778" s="319"/>
      <c r="BO3778" s="319"/>
      <c r="BP3778" s="953"/>
      <c r="BQ3778" s="319"/>
      <c r="BR3778" s="319"/>
      <c r="BS3778" s="330"/>
      <c r="BT3778" s="331"/>
      <c r="BU3778" s="920"/>
      <c r="BV3778" s="903"/>
      <c r="BW3778" s="908"/>
      <c r="BX3778" s="908"/>
      <c r="BY3778" s="331"/>
      <c r="BZ3778" s="331"/>
      <c r="CA3778" s="462"/>
      <c r="CB3778" s="319"/>
      <c r="CC3778" s="319"/>
      <c r="CD3778" s="319"/>
      <c r="CE3778" s="319"/>
      <c r="CF3778" s="319"/>
      <c r="CG3778" s="319"/>
      <c r="CH3778" s="318"/>
      <c r="CI3778" s="319"/>
      <c r="CJ3778" s="319"/>
      <c r="CK3778" s="342"/>
      <c r="CL3778" s="333"/>
      <c r="CM3778" s="1079"/>
      <c r="CN3778" s="1005"/>
      <c r="CO3778" s="1005"/>
      <c r="CP3778" s="1005"/>
    </row>
    <row r="3779">
      <c r="A3779" s="1257"/>
      <c r="B3779" s="1113"/>
      <c r="C3779" s="1107"/>
      <c r="D3779" s="103"/>
      <c r="E3779" s="1137"/>
      <c r="F3779" s="112"/>
      <c r="G3779" s="1110"/>
      <c r="H3779" s="1138"/>
      <c r="I3779" s="1138"/>
      <c r="J3779" s="1139"/>
      <c r="K3779" s="1111"/>
      <c r="L3779" s="1112"/>
      <c r="M3779" s="1113"/>
      <c r="N3779" s="110"/>
      <c r="O3779" s="1140"/>
      <c r="P3779" s="1115"/>
      <c r="Q3779" s="1116"/>
      <c r="R3779" s="1141"/>
      <c r="S3779" s="1113"/>
      <c r="T3779" s="1143"/>
      <c r="U3779" s="1108"/>
      <c r="V3779" s="1108"/>
      <c r="W3779" s="1108"/>
      <c r="X3779" s="1108"/>
      <c r="Y3779" s="1108"/>
      <c r="Z3779" s="1114"/>
      <c r="AA3779" s="1114"/>
      <c r="AB3779" s="1114"/>
      <c r="AC3779" s="1117"/>
      <c r="AD3779" s="1115"/>
      <c r="AE3779" s="1115"/>
      <c r="AF3779" s="1115"/>
      <c r="AG3779" s="1115"/>
      <c r="AH3779" s="1115"/>
      <c r="AI3779" s="1115"/>
      <c r="AJ3779" s="1117"/>
      <c r="AK3779" s="1118"/>
      <c r="AL3779" s="1115"/>
      <c r="AM3779" s="1115"/>
      <c r="AN3779" s="1115"/>
      <c r="AO3779" s="1115"/>
      <c r="AP3779" s="1115"/>
      <c r="AQ3779" s="1115"/>
      <c r="AR3779" s="1115"/>
      <c r="AS3779" s="1117"/>
      <c r="AT3779" s="1075"/>
      <c r="AU3779" s="1193"/>
      <c r="AV3779" s="330"/>
      <c r="AW3779" s="331"/>
      <c r="AX3779" s="331"/>
      <c r="AY3779" s="331"/>
      <c r="AZ3779" s="331"/>
      <c r="BA3779" s="331"/>
      <c r="BB3779" s="331"/>
      <c r="BC3779" s="331"/>
      <c r="BD3779" s="331"/>
      <c r="BE3779" s="333"/>
      <c r="BF3779" s="330"/>
      <c r="BG3779" s="333"/>
      <c r="BH3779" s="1119"/>
      <c r="BI3779" s="319"/>
      <c r="BJ3779" s="319"/>
      <c r="BK3779" s="319"/>
      <c r="BL3779" s="319"/>
      <c r="BM3779" s="319"/>
      <c r="BN3779" s="319"/>
      <c r="BO3779" s="319"/>
      <c r="BP3779" s="953"/>
      <c r="BQ3779" s="319"/>
      <c r="BR3779" s="319"/>
      <c r="BS3779" s="330"/>
      <c r="BT3779" s="331"/>
      <c r="BU3779" s="920"/>
      <c r="BV3779" s="903"/>
      <c r="BW3779" s="908"/>
      <c r="BX3779" s="908"/>
      <c r="BY3779" s="331"/>
      <c r="BZ3779" s="331"/>
      <c r="CA3779" s="462"/>
      <c r="CB3779" s="319"/>
      <c r="CC3779" s="319"/>
      <c r="CD3779" s="319"/>
      <c r="CE3779" s="319"/>
      <c r="CF3779" s="319"/>
      <c r="CG3779" s="319"/>
      <c r="CH3779" s="318"/>
      <c r="CI3779" s="319"/>
      <c r="CJ3779" s="319"/>
      <c r="CK3779" s="342"/>
      <c r="CL3779" s="333"/>
      <c r="CM3779" s="1079"/>
      <c r="CN3779" s="1005"/>
      <c r="CO3779" s="1005"/>
      <c r="CP3779" s="1005"/>
    </row>
    <row r="3780">
      <c r="A3780" s="1257"/>
      <c r="B3780" s="1113"/>
      <c r="C3780" s="1107"/>
      <c r="D3780" s="103"/>
      <c r="E3780" s="1137"/>
      <c r="F3780" s="112"/>
      <c r="G3780" s="1110"/>
      <c r="H3780" s="1138"/>
      <c r="I3780" s="1138"/>
      <c r="J3780" s="1139"/>
      <c r="K3780" s="1111"/>
      <c r="L3780" s="1112"/>
      <c r="M3780" s="1113"/>
      <c r="N3780" s="110"/>
      <c r="O3780" s="1140"/>
      <c r="P3780" s="1115"/>
      <c r="Q3780" s="1116"/>
      <c r="R3780" s="1141"/>
      <c r="S3780" s="1113"/>
      <c r="T3780" s="1143"/>
      <c r="U3780" s="1108"/>
      <c r="V3780" s="1108"/>
      <c r="W3780" s="1108"/>
      <c r="X3780" s="1108"/>
      <c r="Y3780" s="1108"/>
      <c r="Z3780" s="1114"/>
      <c r="AA3780" s="1114"/>
      <c r="AB3780" s="1114"/>
      <c r="AC3780" s="1117"/>
      <c r="AD3780" s="1115"/>
      <c r="AE3780" s="1115"/>
      <c r="AF3780" s="1115"/>
      <c r="AG3780" s="1115"/>
      <c r="AH3780" s="1115"/>
      <c r="AI3780" s="1115"/>
      <c r="AJ3780" s="1117"/>
      <c r="AK3780" s="1118"/>
      <c r="AL3780" s="1115"/>
      <c r="AM3780" s="1115"/>
      <c r="AN3780" s="1115"/>
      <c r="AO3780" s="1115"/>
      <c r="AP3780" s="1115"/>
      <c r="AQ3780" s="1115"/>
      <c r="AR3780" s="1115"/>
      <c r="AS3780" s="1117"/>
      <c r="AT3780" s="1075"/>
      <c r="AU3780" s="1193"/>
      <c r="AV3780" s="330"/>
      <c r="AW3780" s="331"/>
      <c r="AX3780" s="331"/>
      <c r="AY3780" s="331"/>
      <c r="AZ3780" s="331"/>
      <c r="BA3780" s="331"/>
      <c r="BB3780" s="331"/>
      <c r="BC3780" s="331"/>
      <c r="BD3780" s="331"/>
      <c r="BE3780" s="333"/>
      <c r="BF3780" s="330"/>
      <c r="BG3780" s="333"/>
      <c r="BH3780" s="1119"/>
      <c r="BI3780" s="319"/>
      <c r="BJ3780" s="319"/>
      <c r="BK3780" s="319"/>
      <c r="BL3780" s="319"/>
      <c r="BM3780" s="319"/>
      <c r="BN3780" s="319"/>
      <c r="BO3780" s="319"/>
      <c r="BP3780" s="953"/>
      <c r="BQ3780" s="319"/>
      <c r="BR3780" s="319"/>
      <c r="BS3780" s="330"/>
      <c r="BT3780" s="331"/>
      <c r="BU3780" s="920"/>
      <c r="BV3780" s="903"/>
      <c r="BW3780" s="908"/>
      <c r="BX3780" s="908"/>
      <c r="BY3780" s="331"/>
      <c r="BZ3780" s="331"/>
      <c r="CA3780" s="462"/>
      <c r="CB3780" s="319"/>
      <c r="CC3780" s="319"/>
      <c r="CD3780" s="319"/>
      <c r="CE3780" s="319"/>
      <c r="CF3780" s="319"/>
      <c r="CG3780" s="319"/>
      <c r="CH3780" s="318"/>
      <c r="CI3780" s="319"/>
      <c r="CJ3780" s="319"/>
      <c r="CK3780" s="342"/>
      <c r="CL3780" s="333"/>
      <c r="CM3780" s="1079"/>
      <c r="CN3780" s="1005"/>
      <c r="CO3780" s="1005"/>
      <c r="CP3780" s="1005"/>
    </row>
    <row r="3781">
      <c r="A3781" s="1257"/>
      <c r="B3781" s="1113"/>
      <c r="C3781" s="1107"/>
      <c r="D3781" s="103"/>
      <c r="E3781" s="1137"/>
      <c r="F3781" s="112"/>
      <c r="G3781" s="1110"/>
      <c r="H3781" s="1138"/>
      <c r="I3781" s="1138"/>
      <c r="J3781" s="1139"/>
      <c r="K3781" s="1111"/>
      <c r="L3781" s="1112"/>
      <c r="M3781" s="1113"/>
      <c r="N3781" s="110"/>
      <c r="O3781" s="1140"/>
      <c r="P3781" s="1115"/>
      <c r="Q3781" s="1116"/>
      <c r="R3781" s="1141"/>
      <c r="S3781" s="1113"/>
      <c r="T3781" s="1143"/>
      <c r="U3781" s="1108"/>
      <c r="V3781" s="1108"/>
      <c r="W3781" s="1108"/>
      <c r="X3781" s="1108"/>
      <c r="Y3781" s="1108"/>
      <c r="Z3781" s="1114"/>
      <c r="AA3781" s="1114"/>
      <c r="AB3781" s="1114"/>
      <c r="AC3781" s="1117"/>
      <c r="AD3781" s="1115"/>
      <c r="AE3781" s="1115"/>
      <c r="AF3781" s="1115"/>
      <c r="AG3781" s="1115"/>
      <c r="AH3781" s="1115"/>
      <c r="AI3781" s="1115"/>
      <c r="AJ3781" s="1117"/>
      <c r="AK3781" s="1118"/>
      <c r="AL3781" s="1115"/>
      <c r="AM3781" s="1115"/>
      <c r="AN3781" s="1115"/>
      <c r="AO3781" s="1115"/>
      <c r="AP3781" s="1115"/>
      <c r="AQ3781" s="1115"/>
      <c r="AR3781" s="1115"/>
      <c r="AS3781" s="1117"/>
      <c r="AT3781" s="1075"/>
      <c r="AU3781" s="1193"/>
      <c r="AV3781" s="330"/>
      <c r="AW3781" s="331"/>
      <c r="AX3781" s="331"/>
      <c r="AY3781" s="331"/>
      <c r="AZ3781" s="331"/>
      <c r="BA3781" s="331"/>
      <c r="BB3781" s="331"/>
      <c r="BC3781" s="331"/>
      <c r="BD3781" s="331"/>
      <c r="BE3781" s="333"/>
      <c r="BF3781" s="330"/>
      <c r="BG3781" s="333"/>
      <c r="BH3781" s="1119"/>
      <c r="BI3781" s="319"/>
      <c r="BJ3781" s="319"/>
      <c r="BK3781" s="319"/>
      <c r="BL3781" s="319"/>
      <c r="BM3781" s="319"/>
      <c r="BN3781" s="319"/>
      <c r="BO3781" s="319"/>
      <c r="BP3781" s="953"/>
      <c r="BQ3781" s="319"/>
      <c r="BR3781" s="319"/>
      <c r="BS3781" s="330"/>
      <c r="BT3781" s="331"/>
      <c r="BU3781" s="920"/>
      <c r="BV3781" s="903"/>
      <c r="BW3781" s="908"/>
      <c r="BX3781" s="908"/>
      <c r="BY3781" s="331"/>
      <c r="BZ3781" s="331"/>
      <c r="CA3781" s="462"/>
      <c r="CB3781" s="319"/>
      <c r="CC3781" s="319"/>
      <c r="CD3781" s="319"/>
      <c r="CE3781" s="319"/>
      <c r="CF3781" s="319"/>
      <c r="CG3781" s="319"/>
      <c r="CH3781" s="318"/>
      <c r="CI3781" s="319"/>
      <c r="CJ3781" s="319"/>
      <c r="CK3781" s="342"/>
      <c r="CL3781" s="333"/>
      <c r="CM3781" s="1079"/>
      <c r="CN3781" s="1005"/>
      <c r="CO3781" s="1005"/>
      <c r="CP3781" s="1005"/>
    </row>
    <row r="3782">
      <c r="A3782" s="1257"/>
      <c r="B3782" s="1113"/>
      <c r="C3782" s="1107"/>
      <c r="D3782" s="103"/>
      <c r="E3782" s="1137"/>
      <c r="F3782" s="112"/>
      <c r="G3782" s="1110"/>
      <c r="H3782" s="1138"/>
      <c r="I3782" s="1138"/>
      <c r="J3782" s="1139"/>
      <c r="K3782" s="1111"/>
      <c r="L3782" s="1112"/>
      <c r="M3782" s="1113"/>
      <c r="N3782" s="110"/>
      <c r="O3782" s="1140"/>
      <c r="P3782" s="1115"/>
      <c r="Q3782" s="1116"/>
      <c r="R3782" s="1141"/>
      <c r="S3782" s="1113"/>
      <c r="T3782" s="1143"/>
      <c r="U3782" s="1108"/>
      <c r="V3782" s="1108"/>
      <c r="W3782" s="1108"/>
      <c r="X3782" s="1108"/>
      <c r="Y3782" s="1108"/>
      <c r="Z3782" s="1114"/>
      <c r="AA3782" s="1114"/>
      <c r="AB3782" s="1114"/>
      <c r="AC3782" s="1117"/>
      <c r="AD3782" s="1115"/>
      <c r="AE3782" s="1115"/>
      <c r="AF3782" s="1115"/>
      <c r="AG3782" s="1115"/>
      <c r="AH3782" s="1115"/>
      <c r="AI3782" s="1115"/>
      <c r="AJ3782" s="1117"/>
      <c r="AK3782" s="1118"/>
      <c r="AL3782" s="1115"/>
      <c r="AM3782" s="1115"/>
      <c r="AN3782" s="1115"/>
      <c r="AO3782" s="1115"/>
      <c r="AP3782" s="1115"/>
      <c r="AQ3782" s="1115"/>
      <c r="AR3782" s="1115"/>
      <c r="AS3782" s="1117"/>
      <c r="AT3782" s="1075"/>
      <c r="AU3782" s="1193"/>
      <c r="AV3782" s="330"/>
      <c r="AW3782" s="331"/>
      <c r="AX3782" s="331"/>
      <c r="AY3782" s="331"/>
      <c r="AZ3782" s="331"/>
      <c r="BA3782" s="331"/>
      <c r="BB3782" s="331"/>
      <c r="BC3782" s="331"/>
      <c r="BD3782" s="331"/>
      <c r="BE3782" s="333"/>
      <c r="BF3782" s="330"/>
      <c r="BG3782" s="333"/>
      <c r="BH3782" s="1119"/>
      <c r="BI3782" s="319"/>
      <c r="BJ3782" s="319"/>
      <c r="BK3782" s="319"/>
      <c r="BL3782" s="319"/>
      <c r="BM3782" s="319"/>
      <c r="BN3782" s="319"/>
      <c r="BO3782" s="319"/>
      <c r="BP3782" s="953"/>
      <c r="BQ3782" s="319"/>
      <c r="BR3782" s="319"/>
      <c r="BS3782" s="330"/>
      <c r="BT3782" s="331"/>
      <c r="BU3782" s="920"/>
      <c r="BV3782" s="903"/>
      <c r="BW3782" s="908"/>
      <c r="BX3782" s="908"/>
      <c r="BY3782" s="331"/>
      <c r="BZ3782" s="331"/>
      <c r="CA3782" s="462"/>
      <c r="CB3782" s="319"/>
      <c r="CC3782" s="319"/>
      <c r="CD3782" s="319"/>
      <c r="CE3782" s="319"/>
      <c r="CF3782" s="319"/>
      <c r="CG3782" s="319"/>
      <c r="CH3782" s="318"/>
      <c r="CI3782" s="319"/>
      <c r="CJ3782" s="319"/>
      <c r="CK3782" s="342"/>
      <c r="CL3782" s="333"/>
      <c r="CM3782" s="1079"/>
      <c r="CN3782" s="1005"/>
      <c r="CO3782" s="1005"/>
      <c r="CP3782" s="1005"/>
    </row>
    <row r="3783">
      <c r="A3783" s="1257"/>
      <c r="B3783" s="1113"/>
      <c r="C3783" s="1107"/>
      <c r="D3783" s="103"/>
      <c r="E3783" s="1137"/>
      <c r="F3783" s="112"/>
      <c r="G3783" s="1110"/>
      <c r="H3783" s="1138"/>
      <c r="I3783" s="1138"/>
      <c r="J3783" s="1139"/>
      <c r="K3783" s="1111"/>
      <c r="L3783" s="1112"/>
      <c r="M3783" s="1113"/>
      <c r="N3783" s="110"/>
      <c r="O3783" s="1140"/>
      <c r="P3783" s="1115"/>
      <c r="Q3783" s="1116"/>
      <c r="R3783" s="1141"/>
      <c r="S3783" s="1113"/>
      <c r="T3783" s="1143"/>
      <c r="U3783" s="1108"/>
      <c r="V3783" s="1108"/>
      <c r="W3783" s="1108"/>
      <c r="X3783" s="1108"/>
      <c r="Y3783" s="1108"/>
      <c r="Z3783" s="1114"/>
      <c r="AA3783" s="1114"/>
      <c r="AB3783" s="1114"/>
      <c r="AC3783" s="1117"/>
      <c r="AD3783" s="1115"/>
      <c r="AE3783" s="1115"/>
      <c r="AF3783" s="1115"/>
      <c r="AG3783" s="1115"/>
      <c r="AH3783" s="1115"/>
      <c r="AI3783" s="1115"/>
      <c r="AJ3783" s="1117"/>
      <c r="AK3783" s="1118"/>
      <c r="AL3783" s="1115"/>
      <c r="AM3783" s="1115"/>
      <c r="AN3783" s="1115"/>
      <c r="AO3783" s="1115"/>
      <c r="AP3783" s="1115"/>
      <c r="AQ3783" s="1115"/>
      <c r="AR3783" s="1115"/>
      <c r="AS3783" s="1117"/>
      <c r="AT3783" s="1075"/>
      <c r="AU3783" s="1193"/>
      <c r="AV3783" s="330"/>
      <c r="AW3783" s="331"/>
      <c r="AX3783" s="331"/>
      <c r="AY3783" s="331"/>
      <c r="AZ3783" s="331"/>
      <c r="BA3783" s="331"/>
      <c r="BB3783" s="331"/>
      <c r="BC3783" s="331"/>
      <c r="BD3783" s="331"/>
      <c r="BE3783" s="333"/>
      <c r="BF3783" s="330"/>
      <c r="BG3783" s="333"/>
      <c r="BH3783" s="1119"/>
      <c r="BI3783" s="319"/>
      <c r="BJ3783" s="319"/>
      <c r="BK3783" s="319"/>
      <c r="BL3783" s="319"/>
      <c r="BM3783" s="319"/>
      <c r="BN3783" s="319"/>
      <c r="BO3783" s="319"/>
      <c r="BP3783" s="953"/>
      <c r="BQ3783" s="319"/>
      <c r="BR3783" s="319"/>
      <c r="BS3783" s="330"/>
      <c r="BT3783" s="331"/>
      <c r="BU3783" s="920"/>
      <c r="BV3783" s="903"/>
      <c r="BW3783" s="908"/>
      <c r="BX3783" s="908"/>
      <c r="BY3783" s="331"/>
      <c r="BZ3783" s="331"/>
      <c r="CA3783" s="462"/>
      <c r="CB3783" s="319"/>
      <c r="CC3783" s="319"/>
      <c r="CD3783" s="319"/>
      <c r="CE3783" s="319"/>
      <c r="CF3783" s="319"/>
      <c r="CG3783" s="319"/>
      <c r="CH3783" s="318"/>
      <c r="CI3783" s="319"/>
      <c r="CJ3783" s="319"/>
      <c r="CK3783" s="342"/>
      <c r="CL3783" s="333"/>
      <c r="CM3783" s="1079"/>
      <c r="CN3783" s="1005"/>
      <c r="CO3783" s="1005"/>
      <c r="CP3783" s="1005"/>
    </row>
    <row r="3784">
      <c r="A3784" s="1257"/>
      <c r="B3784" s="1113"/>
      <c r="C3784" s="1107"/>
      <c r="D3784" s="103"/>
      <c r="E3784" s="1137"/>
      <c r="F3784" s="112"/>
      <c r="G3784" s="1110"/>
      <c r="H3784" s="1138"/>
      <c r="I3784" s="1138"/>
      <c r="J3784" s="1139"/>
      <c r="K3784" s="1111"/>
      <c r="L3784" s="1112"/>
      <c r="M3784" s="1113"/>
      <c r="N3784" s="110"/>
      <c r="O3784" s="1140"/>
      <c r="P3784" s="1115"/>
      <c r="Q3784" s="1116"/>
      <c r="R3784" s="1141"/>
      <c r="S3784" s="1113"/>
      <c r="T3784" s="1143"/>
      <c r="U3784" s="1108"/>
      <c r="V3784" s="1108"/>
      <c r="W3784" s="1108"/>
      <c r="X3784" s="1108"/>
      <c r="Y3784" s="1108"/>
      <c r="Z3784" s="1114"/>
      <c r="AA3784" s="1114"/>
      <c r="AB3784" s="1114"/>
      <c r="AC3784" s="1117"/>
      <c r="AD3784" s="1115"/>
      <c r="AE3784" s="1115"/>
      <c r="AF3784" s="1115"/>
      <c r="AG3784" s="1115"/>
      <c r="AH3784" s="1115"/>
      <c r="AI3784" s="1115"/>
      <c r="AJ3784" s="1117"/>
      <c r="AK3784" s="1118"/>
      <c r="AL3784" s="1115"/>
      <c r="AM3784" s="1115"/>
      <c r="AN3784" s="1115"/>
      <c r="AO3784" s="1115"/>
      <c r="AP3784" s="1115"/>
      <c r="AQ3784" s="1115"/>
      <c r="AR3784" s="1115"/>
      <c r="AS3784" s="1117"/>
      <c r="AT3784" s="1075"/>
      <c r="AU3784" s="1193"/>
      <c r="AV3784" s="330"/>
      <c r="AW3784" s="331"/>
      <c r="AX3784" s="331"/>
      <c r="AY3784" s="331"/>
      <c r="AZ3784" s="331"/>
      <c r="BA3784" s="331"/>
      <c r="BB3784" s="331"/>
      <c r="BC3784" s="331"/>
      <c r="BD3784" s="331"/>
      <c r="BE3784" s="333"/>
      <c r="BF3784" s="330"/>
      <c r="BG3784" s="333"/>
      <c r="BH3784" s="1119"/>
      <c r="BI3784" s="319"/>
      <c r="BJ3784" s="319"/>
      <c r="BK3784" s="319"/>
      <c r="BL3784" s="319"/>
      <c r="BM3784" s="319"/>
      <c r="BN3784" s="319"/>
      <c r="BO3784" s="319"/>
      <c r="BP3784" s="953"/>
      <c r="BQ3784" s="319"/>
      <c r="BR3784" s="319"/>
      <c r="BS3784" s="330"/>
      <c r="BT3784" s="331"/>
      <c r="BU3784" s="920"/>
      <c r="BV3784" s="903"/>
      <c r="BW3784" s="908"/>
      <c r="BX3784" s="908"/>
      <c r="BY3784" s="331"/>
      <c r="BZ3784" s="331"/>
      <c r="CA3784" s="462"/>
      <c r="CB3784" s="319"/>
      <c r="CC3784" s="319"/>
      <c r="CD3784" s="319"/>
      <c r="CE3784" s="319"/>
      <c r="CF3784" s="319"/>
      <c r="CG3784" s="319"/>
      <c r="CH3784" s="318"/>
      <c r="CI3784" s="319"/>
      <c r="CJ3784" s="319"/>
      <c r="CK3784" s="342"/>
      <c r="CL3784" s="333"/>
      <c r="CM3784" s="1079"/>
      <c r="CN3784" s="1005"/>
      <c r="CO3784" s="1005"/>
      <c r="CP3784" s="1005"/>
    </row>
    <row r="3785">
      <c r="A3785" s="1257"/>
      <c r="B3785" s="1113"/>
      <c r="C3785" s="1107"/>
      <c r="D3785" s="103"/>
      <c r="E3785" s="1137"/>
      <c r="F3785" s="112"/>
      <c r="G3785" s="1110"/>
      <c r="H3785" s="1138"/>
      <c r="I3785" s="1138"/>
      <c r="J3785" s="1139"/>
      <c r="K3785" s="1111"/>
      <c r="L3785" s="1112"/>
      <c r="M3785" s="1113"/>
      <c r="N3785" s="110"/>
      <c r="O3785" s="1140"/>
      <c r="P3785" s="1115"/>
      <c r="Q3785" s="1116"/>
      <c r="R3785" s="1141"/>
      <c r="S3785" s="1113"/>
      <c r="T3785" s="1143"/>
      <c r="U3785" s="1108"/>
      <c r="V3785" s="1108"/>
      <c r="W3785" s="1108"/>
      <c r="X3785" s="1108"/>
      <c r="Y3785" s="1108"/>
      <c r="Z3785" s="1114"/>
      <c r="AA3785" s="1114"/>
      <c r="AB3785" s="1114"/>
      <c r="AC3785" s="1117"/>
      <c r="AD3785" s="1115"/>
      <c r="AE3785" s="1115"/>
      <c r="AF3785" s="1115"/>
      <c r="AG3785" s="1115"/>
      <c r="AH3785" s="1115"/>
      <c r="AI3785" s="1115"/>
      <c r="AJ3785" s="1117"/>
      <c r="AK3785" s="1118"/>
      <c r="AL3785" s="1115"/>
      <c r="AM3785" s="1115"/>
      <c r="AN3785" s="1115"/>
      <c r="AO3785" s="1115"/>
      <c r="AP3785" s="1115"/>
      <c r="AQ3785" s="1115"/>
      <c r="AR3785" s="1115"/>
      <c r="AS3785" s="1117"/>
      <c r="AT3785" s="1075"/>
      <c r="AU3785" s="1193"/>
      <c r="AV3785" s="330"/>
      <c r="AW3785" s="331"/>
      <c r="AX3785" s="331"/>
      <c r="AY3785" s="331"/>
      <c r="AZ3785" s="331"/>
      <c r="BA3785" s="331"/>
      <c r="BB3785" s="331"/>
      <c r="BC3785" s="331"/>
      <c r="BD3785" s="331"/>
      <c r="BE3785" s="333"/>
      <c r="BF3785" s="330"/>
      <c r="BG3785" s="333"/>
      <c r="BH3785" s="1119"/>
      <c r="BI3785" s="319"/>
      <c r="BJ3785" s="319"/>
      <c r="BK3785" s="319"/>
      <c r="BL3785" s="319"/>
      <c r="BM3785" s="319"/>
      <c r="BN3785" s="319"/>
      <c r="BO3785" s="319"/>
      <c r="BP3785" s="953"/>
      <c r="BQ3785" s="319"/>
      <c r="BR3785" s="319"/>
      <c r="BS3785" s="330"/>
      <c r="BT3785" s="331"/>
      <c r="BU3785" s="920"/>
      <c r="BV3785" s="903"/>
      <c r="BW3785" s="908"/>
      <c r="BX3785" s="908"/>
      <c r="BY3785" s="331"/>
      <c r="BZ3785" s="331"/>
      <c r="CA3785" s="462"/>
      <c r="CB3785" s="319"/>
      <c r="CC3785" s="319"/>
      <c r="CD3785" s="319"/>
      <c r="CE3785" s="319"/>
      <c r="CF3785" s="319"/>
      <c r="CG3785" s="319"/>
      <c r="CH3785" s="318"/>
      <c r="CI3785" s="319"/>
      <c r="CJ3785" s="319"/>
      <c r="CK3785" s="342"/>
      <c r="CL3785" s="333"/>
      <c r="CM3785" s="1079"/>
      <c r="CN3785" s="1005"/>
      <c r="CO3785" s="1005"/>
      <c r="CP3785" s="1005"/>
    </row>
    <row r="3786">
      <c r="A3786" s="1257"/>
      <c r="B3786" s="1113"/>
      <c r="C3786" s="1107"/>
      <c r="D3786" s="103"/>
      <c r="E3786" s="1137"/>
      <c r="F3786" s="112"/>
      <c r="G3786" s="1110"/>
      <c r="H3786" s="1138"/>
      <c r="I3786" s="1138"/>
      <c r="J3786" s="1139"/>
      <c r="K3786" s="1111"/>
      <c r="L3786" s="1112"/>
      <c r="M3786" s="1113"/>
      <c r="N3786" s="110"/>
      <c r="O3786" s="1140"/>
      <c r="P3786" s="1115"/>
      <c r="Q3786" s="1116"/>
      <c r="R3786" s="1141"/>
      <c r="S3786" s="1113"/>
      <c r="T3786" s="1143"/>
      <c r="U3786" s="1108"/>
      <c r="V3786" s="1108"/>
      <c r="W3786" s="1108"/>
      <c r="X3786" s="1108"/>
      <c r="Y3786" s="1108"/>
      <c r="Z3786" s="1114"/>
      <c r="AA3786" s="1114"/>
      <c r="AB3786" s="1114"/>
      <c r="AC3786" s="1117"/>
      <c r="AD3786" s="1115"/>
      <c r="AE3786" s="1115"/>
      <c r="AF3786" s="1115"/>
      <c r="AG3786" s="1115"/>
      <c r="AH3786" s="1115"/>
      <c r="AI3786" s="1115"/>
      <c r="AJ3786" s="1117"/>
      <c r="AK3786" s="1118"/>
      <c r="AL3786" s="1115"/>
      <c r="AM3786" s="1115"/>
      <c r="AN3786" s="1115"/>
      <c r="AO3786" s="1115"/>
      <c r="AP3786" s="1115"/>
      <c r="AQ3786" s="1115"/>
      <c r="AR3786" s="1115"/>
      <c r="AS3786" s="1117"/>
      <c r="AT3786" s="1075"/>
      <c r="AU3786" s="1193"/>
      <c r="AV3786" s="330"/>
      <c r="AW3786" s="331"/>
      <c r="AX3786" s="331"/>
      <c r="AY3786" s="331"/>
      <c r="AZ3786" s="331"/>
      <c r="BA3786" s="331"/>
      <c r="BB3786" s="331"/>
      <c r="BC3786" s="331"/>
      <c r="BD3786" s="331"/>
      <c r="BE3786" s="333"/>
      <c r="BF3786" s="330"/>
      <c r="BG3786" s="333"/>
      <c r="BH3786" s="1119"/>
      <c r="BI3786" s="319"/>
      <c r="BJ3786" s="319"/>
      <c r="BK3786" s="319"/>
      <c r="BL3786" s="319"/>
      <c r="BM3786" s="319"/>
      <c r="BN3786" s="319"/>
      <c r="BO3786" s="319"/>
      <c r="BP3786" s="953"/>
      <c r="BQ3786" s="319"/>
      <c r="BR3786" s="319"/>
      <c r="BS3786" s="330"/>
      <c r="BT3786" s="331"/>
      <c r="BU3786" s="920"/>
      <c r="BV3786" s="903"/>
      <c r="BW3786" s="908"/>
      <c r="BX3786" s="908"/>
      <c r="BY3786" s="331"/>
      <c r="BZ3786" s="331"/>
      <c r="CA3786" s="462"/>
      <c r="CB3786" s="319"/>
      <c r="CC3786" s="319"/>
      <c r="CD3786" s="319"/>
      <c r="CE3786" s="319"/>
      <c r="CF3786" s="319"/>
      <c r="CG3786" s="319"/>
      <c r="CH3786" s="318"/>
      <c r="CI3786" s="319"/>
      <c r="CJ3786" s="319"/>
      <c r="CK3786" s="342"/>
      <c r="CL3786" s="333"/>
      <c r="CM3786" s="1079"/>
      <c r="CN3786" s="1005"/>
      <c r="CO3786" s="1005"/>
      <c r="CP3786" s="1005"/>
    </row>
    <row r="3787">
      <c r="A3787" s="1257"/>
      <c r="B3787" s="1113"/>
      <c r="C3787" s="1107"/>
      <c r="D3787" s="103"/>
      <c r="E3787" s="1137"/>
      <c r="F3787" s="112"/>
      <c r="G3787" s="1110"/>
      <c r="H3787" s="1138"/>
      <c r="I3787" s="1138"/>
      <c r="J3787" s="1139"/>
      <c r="K3787" s="1111"/>
      <c r="L3787" s="1112"/>
      <c r="M3787" s="1113"/>
      <c r="N3787" s="110"/>
      <c r="O3787" s="1140"/>
      <c r="P3787" s="1115"/>
      <c r="Q3787" s="1116"/>
      <c r="R3787" s="1141"/>
      <c r="S3787" s="1113"/>
      <c r="T3787" s="1143"/>
      <c r="U3787" s="1108"/>
      <c r="V3787" s="1108"/>
      <c r="W3787" s="1108"/>
      <c r="X3787" s="1108"/>
      <c r="Y3787" s="1108"/>
      <c r="Z3787" s="1114"/>
      <c r="AA3787" s="1114"/>
      <c r="AB3787" s="1114"/>
      <c r="AC3787" s="1117"/>
      <c r="AD3787" s="1115"/>
      <c r="AE3787" s="1115"/>
      <c r="AF3787" s="1115"/>
      <c r="AG3787" s="1115"/>
      <c r="AH3787" s="1115"/>
      <c r="AI3787" s="1115"/>
      <c r="AJ3787" s="1117"/>
      <c r="AK3787" s="1118"/>
      <c r="AL3787" s="1115"/>
      <c r="AM3787" s="1115"/>
      <c r="AN3787" s="1115"/>
      <c r="AO3787" s="1115"/>
      <c r="AP3787" s="1115"/>
      <c r="AQ3787" s="1115"/>
      <c r="AR3787" s="1115"/>
      <c r="AS3787" s="1117"/>
      <c r="AT3787" s="1075"/>
      <c r="AU3787" s="1193"/>
      <c r="AV3787" s="330"/>
      <c r="AW3787" s="331"/>
      <c r="AX3787" s="331"/>
      <c r="AY3787" s="331"/>
      <c r="AZ3787" s="331"/>
      <c r="BA3787" s="331"/>
      <c r="BB3787" s="331"/>
      <c r="BC3787" s="331"/>
      <c r="BD3787" s="331"/>
      <c r="BE3787" s="333"/>
      <c r="BF3787" s="330"/>
      <c r="BG3787" s="333"/>
      <c r="BH3787" s="1119"/>
      <c r="BI3787" s="319"/>
      <c r="BJ3787" s="319"/>
      <c r="BK3787" s="319"/>
      <c r="BL3787" s="319"/>
      <c r="BM3787" s="319"/>
      <c r="BN3787" s="319"/>
      <c r="BO3787" s="319"/>
      <c r="BP3787" s="953"/>
      <c r="BQ3787" s="319"/>
      <c r="BR3787" s="319"/>
      <c r="BS3787" s="330"/>
      <c r="BT3787" s="331"/>
      <c r="BU3787" s="920"/>
      <c r="BV3787" s="903"/>
      <c r="BW3787" s="908"/>
      <c r="BX3787" s="908"/>
      <c r="BY3787" s="331"/>
      <c r="BZ3787" s="331"/>
      <c r="CA3787" s="462"/>
      <c r="CB3787" s="319"/>
      <c r="CC3787" s="319"/>
      <c r="CD3787" s="319"/>
      <c r="CE3787" s="319"/>
      <c r="CF3787" s="319"/>
      <c r="CG3787" s="319"/>
      <c r="CH3787" s="318"/>
      <c r="CI3787" s="319"/>
      <c r="CJ3787" s="319"/>
      <c r="CK3787" s="342"/>
      <c r="CL3787" s="333"/>
      <c r="CM3787" s="1079"/>
      <c r="CN3787" s="1005"/>
      <c r="CO3787" s="1005"/>
      <c r="CP3787" s="1005"/>
    </row>
    <row r="3788">
      <c r="A3788" s="1257"/>
      <c r="B3788" s="1113"/>
      <c r="C3788" s="1107"/>
      <c r="D3788" s="103"/>
      <c r="E3788" s="1137"/>
      <c r="F3788" s="112"/>
      <c r="G3788" s="1110"/>
      <c r="H3788" s="1138"/>
      <c r="I3788" s="1138"/>
      <c r="J3788" s="1139"/>
      <c r="K3788" s="1111"/>
      <c r="L3788" s="1112"/>
      <c r="M3788" s="1113"/>
      <c r="N3788" s="110"/>
      <c r="O3788" s="1140"/>
      <c r="P3788" s="1115"/>
      <c r="Q3788" s="1116"/>
      <c r="R3788" s="1141"/>
      <c r="S3788" s="1113"/>
      <c r="T3788" s="1143"/>
      <c r="U3788" s="1108"/>
      <c r="V3788" s="1108"/>
      <c r="W3788" s="1108"/>
      <c r="X3788" s="1108"/>
      <c r="Y3788" s="1108"/>
      <c r="Z3788" s="1114"/>
      <c r="AA3788" s="1114"/>
      <c r="AB3788" s="1114"/>
      <c r="AC3788" s="1117"/>
      <c r="AD3788" s="1115"/>
      <c r="AE3788" s="1115"/>
      <c r="AF3788" s="1115"/>
      <c r="AG3788" s="1115"/>
      <c r="AH3788" s="1115"/>
      <c r="AI3788" s="1115"/>
      <c r="AJ3788" s="1117"/>
      <c r="AK3788" s="1118"/>
      <c r="AL3788" s="1115"/>
      <c r="AM3788" s="1115"/>
      <c r="AN3788" s="1115"/>
      <c r="AO3788" s="1115"/>
      <c r="AP3788" s="1115"/>
      <c r="AQ3788" s="1115"/>
      <c r="AR3788" s="1115"/>
      <c r="AS3788" s="1117"/>
      <c r="AT3788" s="1075"/>
      <c r="AU3788" s="1193"/>
      <c r="AV3788" s="330"/>
      <c r="AW3788" s="331"/>
      <c r="AX3788" s="331"/>
      <c r="AY3788" s="331"/>
      <c r="AZ3788" s="331"/>
      <c r="BA3788" s="331"/>
      <c r="BB3788" s="331"/>
      <c r="BC3788" s="331"/>
      <c r="BD3788" s="331"/>
      <c r="BE3788" s="333"/>
      <c r="BF3788" s="330"/>
      <c r="BG3788" s="333"/>
      <c r="BH3788" s="1119"/>
      <c r="BI3788" s="319"/>
      <c r="BJ3788" s="319"/>
      <c r="BK3788" s="319"/>
      <c r="BL3788" s="319"/>
      <c r="BM3788" s="319"/>
      <c r="BN3788" s="319"/>
      <c r="BO3788" s="319"/>
      <c r="BP3788" s="953"/>
      <c r="BQ3788" s="319"/>
      <c r="BR3788" s="319"/>
      <c r="BS3788" s="330"/>
      <c r="BT3788" s="331"/>
      <c r="BU3788" s="920"/>
      <c r="BV3788" s="903"/>
      <c r="BW3788" s="908"/>
      <c r="BX3788" s="908"/>
      <c r="BY3788" s="331"/>
      <c r="BZ3788" s="331"/>
      <c r="CA3788" s="462"/>
      <c r="CB3788" s="319"/>
      <c r="CC3788" s="319"/>
      <c r="CD3788" s="319"/>
      <c r="CE3788" s="319"/>
      <c r="CF3788" s="319"/>
      <c r="CG3788" s="319"/>
      <c r="CH3788" s="318"/>
      <c r="CI3788" s="319"/>
      <c r="CJ3788" s="319"/>
      <c r="CK3788" s="342"/>
      <c r="CL3788" s="333"/>
      <c r="CM3788" s="1079"/>
      <c r="CN3788" s="1005"/>
      <c r="CO3788" s="1005"/>
      <c r="CP3788" s="1005"/>
    </row>
    <row r="3789">
      <c r="A3789" s="1257"/>
      <c r="B3789" s="1113"/>
      <c r="C3789" s="1107"/>
      <c r="D3789" s="103"/>
      <c r="E3789" s="1137"/>
      <c r="F3789" s="112"/>
      <c r="G3789" s="1110"/>
      <c r="H3789" s="1138"/>
      <c r="I3789" s="1138"/>
      <c r="J3789" s="1139"/>
      <c r="K3789" s="1111"/>
      <c r="L3789" s="1112"/>
      <c r="M3789" s="1113"/>
      <c r="N3789" s="110"/>
      <c r="O3789" s="1140"/>
      <c r="P3789" s="1115"/>
      <c r="Q3789" s="1116"/>
      <c r="R3789" s="1141"/>
      <c r="S3789" s="1113"/>
      <c r="T3789" s="1143"/>
      <c r="U3789" s="1108"/>
      <c r="V3789" s="1108"/>
      <c r="W3789" s="1108"/>
      <c r="X3789" s="1108"/>
      <c r="Y3789" s="1108"/>
      <c r="Z3789" s="1114"/>
      <c r="AA3789" s="1114"/>
      <c r="AB3789" s="1114"/>
      <c r="AC3789" s="1117"/>
      <c r="AD3789" s="1115"/>
      <c r="AE3789" s="1115"/>
      <c r="AF3789" s="1115"/>
      <c r="AG3789" s="1115"/>
      <c r="AH3789" s="1115"/>
      <c r="AI3789" s="1115"/>
      <c r="AJ3789" s="1117"/>
      <c r="AK3789" s="1118"/>
      <c r="AL3789" s="1115"/>
      <c r="AM3789" s="1115"/>
      <c r="AN3789" s="1115"/>
      <c r="AO3789" s="1115"/>
      <c r="AP3789" s="1115"/>
      <c r="AQ3789" s="1115"/>
      <c r="AR3789" s="1115"/>
      <c r="AS3789" s="1117"/>
      <c r="AT3789" s="1075"/>
      <c r="AU3789" s="1193"/>
      <c r="AV3789" s="330"/>
      <c r="AW3789" s="331"/>
      <c r="AX3789" s="331"/>
      <c r="AY3789" s="331"/>
      <c r="AZ3789" s="331"/>
      <c r="BA3789" s="331"/>
      <c r="BB3789" s="331"/>
      <c r="BC3789" s="331"/>
      <c r="BD3789" s="331"/>
      <c r="BE3789" s="333"/>
      <c r="BF3789" s="330"/>
      <c r="BG3789" s="333"/>
      <c r="BH3789" s="1119"/>
      <c r="BI3789" s="319"/>
      <c r="BJ3789" s="319"/>
      <c r="BK3789" s="319"/>
      <c r="BL3789" s="319"/>
      <c r="BM3789" s="319"/>
      <c r="BN3789" s="319"/>
      <c r="BO3789" s="319"/>
      <c r="BP3789" s="953"/>
      <c r="BQ3789" s="319"/>
      <c r="BR3789" s="319"/>
      <c r="BS3789" s="330"/>
      <c r="BT3789" s="331"/>
      <c r="BU3789" s="920"/>
      <c r="BV3789" s="903"/>
      <c r="BW3789" s="908"/>
      <c r="BX3789" s="908"/>
      <c r="BY3789" s="331"/>
      <c r="BZ3789" s="331"/>
      <c r="CA3789" s="462"/>
      <c r="CB3789" s="319"/>
      <c r="CC3789" s="319"/>
      <c r="CD3789" s="319"/>
      <c r="CE3789" s="319"/>
      <c r="CF3789" s="319"/>
      <c r="CG3789" s="319"/>
      <c r="CH3789" s="318"/>
      <c r="CI3789" s="319"/>
      <c r="CJ3789" s="319"/>
      <c r="CK3789" s="342"/>
      <c r="CL3789" s="333"/>
      <c r="CM3789" s="1079"/>
      <c r="CN3789" s="1005"/>
      <c r="CO3789" s="1005"/>
      <c r="CP3789" s="1005"/>
    </row>
    <row r="3790">
      <c r="A3790" s="1257"/>
      <c r="B3790" s="1113"/>
      <c r="C3790" s="1107"/>
      <c r="D3790" s="103"/>
      <c r="E3790" s="1137"/>
      <c r="F3790" s="112"/>
      <c r="G3790" s="1110"/>
      <c r="H3790" s="1138"/>
      <c r="I3790" s="1138"/>
      <c r="J3790" s="1139"/>
      <c r="K3790" s="1111"/>
      <c r="L3790" s="1112"/>
      <c r="M3790" s="1113"/>
      <c r="N3790" s="110"/>
      <c r="O3790" s="1140"/>
      <c r="P3790" s="1115"/>
      <c r="Q3790" s="1116"/>
      <c r="R3790" s="1141"/>
      <c r="S3790" s="1113"/>
      <c r="T3790" s="1143"/>
      <c r="U3790" s="1108"/>
      <c r="V3790" s="1108"/>
      <c r="W3790" s="1108"/>
      <c r="X3790" s="1108"/>
      <c r="Y3790" s="1108"/>
      <c r="Z3790" s="1114"/>
      <c r="AA3790" s="1114"/>
      <c r="AB3790" s="1114"/>
      <c r="AC3790" s="1117"/>
      <c r="AD3790" s="1115"/>
      <c r="AE3790" s="1115"/>
      <c r="AF3790" s="1115"/>
      <c r="AG3790" s="1115"/>
      <c r="AH3790" s="1115"/>
      <c r="AI3790" s="1115"/>
      <c r="AJ3790" s="1117"/>
      <c r="AK3790" s="1118"/>
      <c r="AL3790" s="1115"/>
      <c r="AM3790" s="1115"/>
      <c r="AN3790" s="1115"/>
      <c r="AO3790" s="1115"/>
      <c r="AP3790" s="1115"/>
      <c r="AQ3790" s="1115"/>
      <c r="AR3790" s="1115"/>
      <c r="AS3790" s="1117"/>
      <c r="AT3790" s="1075"/>
      <c r="AU3790" s="1193"/>
      <c r="AV3790" s="330"/>
      <c r="AW3790" s="331"/>
      <c r="AX3790" s="331"/>
      <c r="AY3790" s="331"/>
      <c r="AZ3790" s="331"/>
      <c r="BA3790" s="331"/>
      <c r="BB3790" s="331"/>
      <c r="BC3790" s="331"/>
      <c r="BD3790" s="331"/>
      <c r="BE3790" s="333"/>
      <c r="BF3790" s="330"/>
      <c r="BG3790" s="333"/>
      <c r="BH3790" s="1119"/>
      <c r="BI3790" s="319"/>
      <c r="BJ3790" s="319"/>
      <c r="BK3790" s="319"/>
      <c r="BL3790" s="319"/>
      <c r="BM3790" s="319"/>
      <c r="BN3790" s="319"/>
      <c r="BO3790" s="319"/>
      <c r="BP3790" s="953"/>
      <c r="BQ3790" s="319"/>
      <c r="BR3790" s="319"/>
      <c r="BS3790" s="330"/>
      <c r="BT3790" s="331"/>
      <c r="BU3790" s="920"/>
      <c r="BV3790" s="903"/>
      <c r="BW3790" s="908"/>
      <c r="BX3790" s="908"/>
      <c r="BY3790" s="331"/>
      <c r="BZ3790" s="331"/>
      <c r="CA3790" s="462"/>
      <c r="CB3790" s="319"/>
      <c r="CC3790" s="319"/>
      <c r="CD3790" s="319"/>
      <c r="CE3790" s="319"/>
      <c r="CF3790" s="319"/>
      <c r="CG3790" s="319"/>
      <c r="CH3790" s="318"/>
      <c r="CI3790" s="319"/>
      <c r="CJ3790" s="319"/>
      <c r="CK3790" s="342"/>
      <c r="CL3790" s="333"/>
      <c r="CM3790" s="1079"/>
      <c r="CN3790" s="1005"/>
      <c r="CO3790" s="1005"/>
      <c r="CP3790" s="1005"/>
    </row>
    <row r="3791">
      <c r="A3791" s="1257"/>
      <c r="B3791" s="1113"/>
      <c r="C3791" s="1107"/>
      <c r="D3791" s="103"/>
      <c r="E3791" s="1137"/>
      <c r="F3791" s="112"/>
      <c r="G3791" s="1110"/>
      <c r="H3791" s="1138"/>
      <c r="I3791" s="1138"/>
      <c r="J3791" s="1139"/>
      <c r="K3791" s="1111"/>
      <c r="L3791" s="1112"/>
      <c r="M3791" s="1113"/>
      <c r="N3791" s="110"/>
      <c r="O3791" s="1140"/>
      <c r="P3791" s="1115"/>
      <c r="Q3791" s="1116"/>
      <c r="R3791" s="1141"/>
      <c r="S3791" s="1113"/>
      <c r="T3791" s="1143"/>
      <c r="U3791" s="1108"/>
      <c r="V3791" s="1108"/>
      <c r="W3791" s="1108"/>
      <c r="X3791" s="1108"/>
      <c r="Y3791" s="1108"/>
      <c r="Z3791" s="1114"/>
      <c r="AA3791" s="1114"/>
      <c r="AB3791" s="1114"/>
      <c r="AC3791" s="1117"/>
      <c r="AD3791" s="1115"/>
      <c r="AE3791" s="1115"/>
      <c r="AF3791" s="1115"/>
      <c r="AG3791" s="1115"/>
      <c r="AH3791" s="1115"/>
      <c r="AI3791" s="1115"/>
      <c r="AJ3791" s="1117"/>
      <c r="AK3791" s="1118"/>
      <c r="AL3791" s="1115"/>
      <c r="AM3791" s="1115"/>
      <c r="AN3791" s="1115"/>
      <c r="AO3791" s="1115"/>
      <c r="AP3791" s="1115"/>
      <c r="AQ3791" s="1115"/>
      <c r="AR3791" s="1115"/>
      <c r="AS3791" s="1117"/>
      <c r="AT3791" s="1075"/>
      <c r="AU3791" s="1193"/>
      <c r="AV3791" s="330"/>
      <c r="AW3791" s="331"/>
      <c r="AX3791" s="331"/>
      <c r="AY3791" s="331"/>
      <c r="AZ3791" s="331"/>
      <c r="BA3791" s="331"/>
      <c r="BB3791" s="331"/>
      <c r="BC3791" s="331"/>
      <c r="BD3791" s="331"/>
      <c r="BE3791" s="333"/>
      <c r="BF3791" s="330"/>
      <c r="BG3791" s="333"/>
      <c r="BH3791" s="1119"/>
      <c r="BI3791" s="319"/>
      <c r="BJ3791" s="319"/>
      <c r="BK3791" s="319"/>
      <c r="BL3791" s="319"/>
      <c r="BM3791" s="319"/>
      <c r="BN3791" s="319"/>
      <c r="BO3791" s="319"/>
      <c r="BP3791" s="953"/>
      <c r="BQ3791" s="319"/>
      <c r="BR3791" s="319"/>
      <c r="BS3791" s="330"/>
      <c r="BT3791" s="331"/>
      <c r="BU3791" s="920"/>
      <c r="BV3791" s="903"/>
      <c r="BW3791" s="908"/>
      <c r="BX3791" s="908"/>
      <c r="BY3791" s="331"/>
      <c r="BZ3791" s="331"/>
      <c r="CA3791" s="462"/>
      <c r="CB3791" s="319"/>
      <c r="CC3791" s="319"/>
      <c r="CD3791" s="319"/>
      <c r="CE3791" s="319"/>
      <c r="CF3791" s="319"/>
      <c r="CG3791" s="319"/>
      <c r="CH3791" s="318"/>
      <c r="CI3791" s="319"/>
      <c r="CJ3791" s="319"/>
      <c r="CK3791" s="342"/>
      <c r="CL3791" s="333"/>
      <c r="CM3791" s="1079"/>
      <c r="CN3791" s="1005"/>
      <c r="CO3791" s="1005"/>
      <c r="CP3791" s="1005"/>
    </row>
    <row r="3792">
      <c r="A3792" s="1257"/>
      <c r="B3792" s="1113"/>
      <c r="C3792" s="1107"/>
      <c r="D3792" s="103"/>
      <c r="E3792" s="1137"/>
      <c r="F3792" s="112"/>
      <c r="G3792" s="1110"/>
      <c r="H3792" s="1138"/>
      <c r="I3792" s="1138"/>
      <c r="J3792" s="1139"/>
      <c r="K3792" s="1111"/>
      <c r="L3792" s="1112"/>
      <c r="M3792" s="1113"/>
      <c r="N3792" s="110"/>
      <c r="O3792" s="1140"/>
      <c r="P3792" s="1115"/>
      <c r="Q3792" s="1116"/>
      <c r="R3792" s="1141"/>
      <c r="S3792" s="1113"/>
      <c r="T3792" s="1143"/>
      <c r="U3792" s="1108"/>
      <c r="V3792" s="1108"/>
      <c r="W3792" s="1108"/>
      <c r="X3792" s="1108"/>
      <c r="Y3792" s="1108"/>
      <c r="Z3792" s="1114"/>
      <c r="AA3792" s="1114"/>
      <c r="AB3792" s="1114"/>
      <c r="AC3792" s="1117"/>
      <c r="AD3792" s="1115"/>
      <c r="AE3792" s="1115"/>
      <c r="AF3792" s="1115"/>
      <c r="AG3792" s="1115"/>
      <c r="AH3792" s="1115"/>
      <c r="AI3792" s="1115"/>
      <c r="AJ3792" s="1117"/>
      <c r="AK3792" s="1118"/>
      <c r="AL3792" s="1115"/>
      <c r="AM3792" s="1115"/>
      <c r="AN3792" s="1115"/>
      <c r="AO3792" s="1115"/>
      <c r="AP3792" s="1115"/>
      <c r="AQ3792" s="1115"/>
      <c r="AR3792" s="1115"/>
      <c r="AS3792" s="1117"/>
      <c r="AT3792" s="1075"/>
      <c r="AU3792" s="1193"/>
      <c r="AV3792" s="330"/>
      <c r="AW3792" s="331"/>
      <c r="AX3792" s="331"/>
      <c r="AY3792" s="331"/>
      <c r="AZ3792" s="331"/>
      <c r="BA3792" s="331"/>
      <c r="BB3792" s="331"/>
      <c r="BC3792" s="331"/>
      <c r="BD3792" s="331"/>
      <c r="BE3792" s="333"/>
      <c r="BF3792" s="330"/>
      <c r="BG3792" s="333"/>
      <c r="BH3792" s="1119"/>
      <c r="BI3792" s="319"/>
      <c r="BJ3792" s="319"/>
      <c r="BK3792" s="319"/>
      <c r="BL3792" s="319"/>
      <c r="BM3792" s="319"/>
      <c r="BN3792" s="319"/>
      <c r="BO3792" s="319"/>
      <c r="BP3792" s="953"/>
      <c r="BQ3792" s="319"/>
      <c r="BR3792" s="319"/>
      <c r="BS3792" s="330"/>
      <c r="BT3792" s="331"/>
      <c r="BU3792" s="920"/>
      <c r="BV3792" s="903"/>
      <c r="BW3792" s="908"/>
      <c r="BX3792" s="908"/>
      <c r="BY3792" s="331"/>
      <c r="BZ3792" s="331"/>
      <c r="CA3792" s="462"/>
      <c r="CB3792" s="319"/>
      <c r="CC3792" s="319"/>
      <c r="CD3792" s="319"/>
      <c r="CE3792" s="319"/>
      <c r="CF3792" s="319"/>
      <c r="CG3792" s="319"/>
      <c r="CH3792" s="318"/>
      <c r="CI3792" s="319"/>
      <c r="CJ3792" s="319"/>
      <c r="CK3792" s="342"/>
      <c r="CL3792" s="333"/>
      <c r="CM3792" s="1079"/>
      <c r="CN3792" s="1005"/>
      <c r="CO3792" s="1005"/>
      <c r="CP3792" s="1005"/>
    </row>
    <row r="3793">
      <c r="A3793" s="1257"/>
      <c r="B3793" s="1113"/>
      <c r="C3793" s="1107"/>
      <c r="D3793" s="103"/>
      <c r="E3793" s="1137"/>
      <c r="F3793" s="112"/>
      <c r="G3793" s="1110"/>
      <c r="H3793" s="1138"/>
      <c r="I3793" s="1138"/>
      <c r="J3793" s="1139"/>
      <c r="K3793" s="1111"/>
      <c r="L3793" s="1112"/>
      <c r="M3793" s="1113"/>
      <c r="N3793" s="110"/>
      <c r="O3793" s="1140"/>
      <c r="P3793" s="1115"/>
      <c r="Q3793" s="1116"/>
      <c r="R3793" s="1141"/>
      <c r="S3793" s="1113"/>
      <c r="T3793" s="1143"/>
      <c r="U3793" s="1108"/>
      <c r="V3793" s="1108"/>
      <c r="W3793" s="1108"/>
      <c r="X3793" s="1108"/>
      <c r="Y3793" s="1108"/>
      <c r="Z3793" s="1114"/>
      <c r="AA3793" s="1114"/>
      <c r="AB3793" s="1114"/>
      <c r="AC3793" s="1117"/>
      <c r="AD3793" s="1115"/>
      <c r="AE3793" s="1115"/>
      <c r="AF3793" s="1115"/>
      <c r="AG3793" s="1115"/>
      <c r="AH3793" s="1115"/>
      <c r="AI3793" s="1115"/>
      <c r="AJ3793" s="1117"/>
      <c r="AK3793" s="1118"/>
      <c r="AL3793" s="1115"/>
      <c r="AM3793" s="1115"/>
      <c r="AN3793" s="1115"/>
      <c r="AO3793" s="1115"/>
      <c r="AP3793" s="1115"/>
      <c r="AQ3793" s="1115"/>
      <c r="AR3793" s="1115"/>
      <c r="AS3793" s="1117"/>
      <c r="AT3793" s="1075"/>
      <c r="AU3793" s="1193"/>
      <c r="AV3793" s="330"/>
      <c r="AW3793" s="331"/>
      <c r="AX3793" s="331"/>
      <c r="AY3793" s="331"/>
      <c r="AZ3793" s="331"/>
      <c r="BA3793" s="331"/>
      <c r="BB3793" s="331"/>
      <c r="BC3793" s="331"/>
      <c r="BD3793" s="331"/>
      <c r="BE3793" s="333"/>
      <c r="BF3793" s="330"/>
      <c r="BG3793" s="333"/>
      <c r="BH3793" s="1119"/>
      <c r="BI3793" s="319"/>
      <c r="BJ3793" s="319"/>
      <c r="BK3793" s="319"/>
      <c r="BL3793" s="319"/>
      <c r="BM3793" s="319"/>
      <c r="BN3793" s="319"/>
      <c r="BO3793" s="319"/>
      <c r="BP3793" s="953"/>
      <c r="BQ3793" s="319"/>
      <c r="BR3793" s="319"/>
      <c r="BS3793" s="330"/>
      <c r="BT3793" s="331"/>
      <c r="BU3793" s="920"/>
      <c r="BV3793" s="903"/>
      <c r="BW3793" s="908"/>
      <c r="BX3793" s="908"/>
      <c r="BY3793" s="331"/>
      <c r="BZ3793" s="331"/>
      <c r="CA3793" s="462"/>
      <c r="CB3793" s="319"/>
      <c r="CC3793" s="319"/>
      <c r="CD3793" s="319"/>
      <c r="CE3793" s="319"/>
      <c r="CF3793" s="319"/>
      <c r="CG3793" s="319"/>
      <c r="CH3793" s="318"/>
      <c r="CI3793" s="319"/>
      <c r="CJ3793" s="319"/>
      <c r="CK3793" s="342"/>
      <c r="CL3793" s="333"/>
      <c r="CM3793" s="1079"/>
      <c r="CN3793" s="1005"/>
      <c r="CO3793" s="1005"/>
      <c r="CP3793" s="1005"/>
    </row>
    <row r="3794">
      <c r="A3794" s="1257"/>
      <c r="B3794" s="1113"/>
      <c r="C3794" s="1107"/>
      <c r="D3794" s="103"/>
      <c r="E3794" s="1137"/>
      <c r="F3794" s="112"/>
      <c r="G3794" s="1110"/>
      <c r="H3794" s="1138"/>
      <c r="I3794" s="1138"/>
      <c r="J3794" s="1139"/>
      <c r="K3794" s="1111"/>
      <c r="L3794" s="1112"/>
      <c r="M3794" s="1113"/>
      <c r="N3794" s="110"/>
      <c r="O3794" s="1140"/>
      <c r="P3794" s="1115"/>
      <c r="Q3794" s="1116"/>
      <c r="R3794" s="1141"/>
      <c r="S3794" s="1113"/>
      <c r="T3794" s="1143"/>
      <c r="U3794" s="1108"/>
      <c r="V3794" s="1108"/>
      <c r="W3794" s="1108"/>
      <c r="X3794" s="1108"/>
      <c r="Y3794" s="1108"/>
      <c r="Z3794" s="1114"/>
      <c r="AA3794" s="1114"/>
      <c r="AB3794" s="1114"/>
      <c r="AC3794" s="1117"/>
      <c r="AD3794" s="1115"/>
      <c r="AE3794" s="1115"/>
      <c r="AF3794" s="1115"/>
      <c r="AG3794" s="1115"/>
      <c r="AH3794" s="1115"/>
      <c r="AI3794" s="1115"/>
      <c r="AJ3794" s="1117"/>
      <c r="AK3794" s="1118"/>
      <c r="AL3794" s="1115"/>
      <c r="AM3794" s="1115"/>
      <c r="AN3794" s="1115"/>
      <c r="AO3794" s="1115"/>
      <c r="AP3794" s="1115"/>
      <c r="AQ3794" s="1115"/>
      <c r="AR3794" s="1115"/>
      <c r="AS3794" s="1117"/>
      <c r="AT3794" s="1075"/>
      <c r="AU3794" s="1193"/>
      <c r="AV3794" s="330"/>
      <c r="AW3794" s="331"/>
      <c r="AX3794" s="331"/>
      <c r="AY3794" s="331"/>
      <c r="AZ3794" s="331"/>
      <c r="BA3794" s="331"/>
      <c r="BB3794" s="331"/>
      <c r="BC3794" s="331"/>
      <c r="BD3794" s="331"/>
      <c r="BE3794" s="333"/>
      <c r="BF3794" s="330"/>
      <c r="BG3794" s="333"/>
      <c r="BH3794" s="1119"/>
      <c r="BI3794" s="319"/>
      <c r="BJ3794" s="319"/>
      <c r="BK3794" s="319"/>
      <c r="BL3794" s="319"/>
      <c r="BM3794" s="319"/>
      <c r="BN3794" s="319"/>
      <c r="BO3794" s="319"/>
      <c r="BP3794" s="953"/>
      <c r="BQ3794" s="319"/>
      <c r="BR3794" s="319"/>
      <c r="BS3794" s="330"/>
      <c r="BT3794" s="331"/>
      <c r="BU3794" s="920"/>
      <c r="BV3794" s="903"/>
      <c r="BW3794" s="908"/>
      <c r="BX3794" s="908"/>
      <c r="BY3794" s="331"/>
      <c r="BZ3794" s="331"/>
      <c r="CA3794" s="462"/>
      <c r="CB3794" s="319"/>
      <c r="CC3794" s="319"/>
      <c r="CD3794" s="319"/>
      <c r="CE3794" s="319"/>
      <c r="CF3794" s="319"/>
      <c r="CG3794" s="319"/>
      <c r="CH3794" s="318"/>
      <c r="CI3794" s="319"/>
      <c r="CJ3794" s="319"/>
      <c r="CK3794" s="342"/>
      <c r="CL3794" s="333"/>
      <c r="CM3794" s="1079"/>
      <c r="CN3794" s="1005"/>
      <c r="CO3794" s="1005"/>
      <c r="CP3794" s="1005"/>
    </row>
    <row r="3795">
      <c r="A3795" s="1257"/>
      <c r="B3795" s="1113"/>
      <c r="C3795" s="1107"/>
      <c r="D3795" s="103"/>
      <c r="E3795" s="1137"/>
      <c r="F3795" s="112"/>
      <c r="G3795" s="1110"/>
      <c r="H3795" s="1138"/>
      <c r="I3795" s="1138"/>
      <c r="J3795" s="1139"/>
      <c r="K3795" s="1111"/>
      <c r="L3795" s="1112"/>
      <c r="M3795" s="1113"/>
      <c r="N3795" s="110"/>
      <c r="O3795" s="1140"/>
      <c r="P3795" s="1115"/>
      <c r="Q3795" s="1116"/>
      <c r="R3795" s="1141"/>
      <c r="S3795" s="1113"/>
      <c r="T3795" s="1143"/>
      <c r="U3795" s="1108"/>
      <c r="V3795" s="1108"/>
      <c r="W3795" s="1108"/>
      <c r="X3795" s="1108"/>
      <c r="Y3795" s="1108"/>
      <c r="Z3795" s="1114"/>
      <c r="AA3795" s="1114"/>
      <c r="AB3795" s="1114"/>
      <c r="AC3795" s="1117"/>
      <c r="AD3795" s="1115"/>
      <c r="AE3795" s="1115"/>
      <c r="AF3795" s="1115"/>
      <c r="AG3795" s="1115"/>
      <c r="AH3795" s="1115"/>
      <c r="AI3795" s="1115"/>
      <c r="AJ3795" s="1117"/>
      <c r="AK3795" s="1118"/>
      <c r="AL3795" s="1115"/>
      <c r="AM3795" s="1115"/>
      <c r="AN3795" s="1115"/>
      <c r="AO3795" s="1115"/>
      <c r="AP3795" s="1115"/>
      <c r="AQ3795" s="1115"/>
      <c r="AR3795" s="1115"/>
      <c r="AS3795" s="1117"/>
      <c r="AT3795" s="1075"/>
      <c r="AU3795" s="1193"/>
      <c r="AV3795" s="330"/>
      <c r="AW3795" s="331"/>
      <c r="AX3795" s="331"/>
      <c r="AY3795" s="331"/>
      <c r="AZ3795" s="331"/>
      <c r="BA3795" s="331"/>
      <c r="BB3795" s="331"/>
      <c r="BC3795" s="331"/>
      <c r="BD3795" s="331"/>
      <c r="BE3795" s="333"/>
      <c r="BF3795" s="330"/>
      <c r="BG3795" s="333"/>
      <c r="BH3795" s="1119"/>
      <c r="BI3795" s="319"/>
      <c r="BJ3795" s="319"/>
      <c r="BK3795" s="319"/>
      <c r="BL3795" s="319"/>
      <c r="BM3795" s="319"/>
      <c r="BN3795" s="319"/>
      <c r="BO3795" s="319"/>
      <c r="BP3795" s="953"/>
      <c r="BQ3795" s="319"/>
      <c r="BR3795" s="319"/>
      <c r="BS3795" s="330"/>
      <c r="BT3795" s="331"/>
      <c r="BU3795" s="920"/>
      <c r="BV3795" s="903"/>
      <c r="BW3795" s="908"/>
      <c r="BX3795" s="908"/>
      <c r="BY3795" s="331"/>
      <c r="BZ3795" s="331"/>
      <c r="CA3795" s="462"/>
      <c r="CB3795" s="319"/>
      <c r="CC3795" s="319"/>
      <c r="CD3795" s="319"/>
      <c r="CE3795" s="319"/>
      <c r="CF3795" s="319"/>
      <c r="CG3795" s="319"/>
      <c r="CH3795" s="318"/>
      <c r="CI3795" s="319"/>
      <c r="CJ3795" s="319"/>
      <c r="CK3795" s="342"/>
      <c r="CL3795" s="333"/>
      <c r="CM3795" s="1079"/>
      <c r="CN3795" s="1005"/>
      <c r="CO3795" s="1005"/>
      <c r="CP3795" s="1005"/>
    </row>
    <row r="3796">
      <c r="A3796" s="1257"/>
      <c r="B3796" s="1113"/>
      <c r="C3796" s="1107"/>
      <c r="D3796" s="103"/>
      <c r="E3796" s="1137"/>
      <c r="F3796" s="112"/>
      <c r="G3796" s="1110"/>
      <c r="H3796" s="1138"/>
      <c r="I3796" s="1138"/>
      <c r="J3796" s="1139"/>
      <c r="K3796" s="1111"/>
      <c r="L3796" s="1112"/>
      <c r="M3796" s="1113"/>
      <c r="N3796" s="110"/>
      <c r="O3796" s="1140"/>
      <c r="P3796" s="1115"/>
      <c r="Q3796" s="1116"/>
      <c r="R3796" s="1141"/>
      <c r="S3796" s="1113"/>
      <c r="T3796" s="1143"/>
      <c r="U3796" s="1108"/>
      <c r="V3796" s="1108"/>
      <c r="W3796" s="1108"/>
      <c r="X3796" s="1108"/>
      <c r="Y3796" s="1108"/>
      <c r="Z3796" s="1114"/>
      <c r="AA3796" s="1114"/>
      <c r="AB3796" s="1114"/>
      <c r="AC3796" s="1117"/>
      <c r="AD3796" s="1115"/>
      <c r="AE3796" s="1115"/>
      <c r="AF3796" s="1115"/>
      <c r="AG3796" s="1115"/>
      <c r="AH3796" s="1115"/>
      <c r="AI3796" s="1115"/>
      <c r="AJ3796" s="1117"/>
      <c r="AK3796" s="1118"/>
      <c r="AL3796" s="1115"/>
      <c r="AM3796" s="1115"/>
      <c r="AN3796" s="1115"/>
      <c r="AO3796" s="1115"/>
      <c r="AP3796" s="1115"/>
      <c r="AQ3796" s="1115"/>
      <c r="AR3796" s="1115"/>
      <c r="AS3796" s="1117"/>
      <c r="AT3796" s="1075"/>
      <c r="AU3796" s="1193"/>
      <c r="AV3796" s="330"/>
      <c r="AW3796" s="331"/>
      <c r="AX3796" s="331"/>
      <c r="AY3796" s="331"/>
      <c r="AZ3796" s="331"/>
      <c r="BA3796" s="331"/>
      <c r="BB3796" s="331"/>
      <c r="BC3796" s="331"/>
      <c r="BD3796" s="331"/>
      <c r="BE3796" s="333"/>
      <c r="BF3796" s="330"/>
      <c r="BG3796" s="333"/>
      <c r="BH3796" s="1119"/>
      <c r="BI3796" s="319"/>
      <c r="BJ3796" s="319"/>
      <c r="BK3796" s="319"/>
      <c r="BL3796" s="319"/>
      <c r="BM3796" s="319"/>
      <c r="BN3796" s="319"/>
      <c r="BO3796" s="319"/>
      <c r="BP3796" s="953"/>
      <c r="BQ3796" s="319"/>
      <c r="BR3796" s="319"/>
      <c r="BS3796" s="330"/>
      <c r="BT3796" s="331"/>
      <c r="BU3796" s="920"/>
      <c r="BV3796" s="903"/>
      <c r="BW3796" s="908"/>
      <c r="BX3796" s="908"/>
      <c r="BY3796" s="331"/>
      <c r="BZ3796" s="331"/>
      <c r="CA3796" s="462"/>
      <c r="CB3796" s="319"/>
      <c r="CC3796" s="319"/>
      <c r="CD3796" s="319"/>
      <c r="CE3796" s="319"/>
      <c r="CF3796" s="319"/>
      <c r="CG3796" s="319"/>
      <c r="CH3796" s="318"/>
      <c r="CI3796" s="319"/>
      <c r="CJ3796" s="319"/>
      <c r="CK3796" s="342"/>
      <c r="CL3796" s="333"/>
      <c r="CM3796" s="1079"/>
      <c r="CN3796" s="1005"/>
      <c r="CO3796" s="1005"/>
      <c r="CP3796" s="1005"/>
    </row>
    <row r="3797">
      <c r="A3797" s="1257"/>
      <c r="B3797" s="1113"/>
      <c r="C3797" s="1107"/>
      <c r="D3797" s="103"/>
      <c r="E3797" s="1137"/>
      <c r="F3797" s="112"/>
      <c r="G3797" s="1110"/>
      <c r="H3797" s="1138"/>
      <c r="I3797" s="1138"/>
      <c r="J3797" s="1139"/>
      <c r="K3797" s="1111"/>
      <c r="L3797" s="1112"/>
      <c r="M3797" s="1113"/>
      <c r="N3797" s="110"/>
      <c r="O3797" s="1140"/>
      <c r="P3797" s="1115"/>
      <c r="Q3797" s="1116"/>
      <c r="R3797" s="1141"/>
      <c r="S3797" s="1113"/>
      <c r="T3797" s="1143"/>
      <c r="U3797" s="1108"/>
      <c r="V3797" s="1108"/>
      <c r="W3797" s="1108"/>
      <c r="X3797" s="1108"/>
      <c r="Y3797" s="1108"/>
      <c r="Z3797" s="1114"/>
      <c r="AA3797" s="1114"/>
      <c r="AB3797" s="1114"/>
      <c r="AC3797" s="1117"/>
      <c r="AD3797" s="1115"/>
      <c r="AE3797" s="1115"/>
      <c r="AF3797" s="1115"/>
      <c r="AG3797" s="1115"/>
      <c r="AH3797" s="1115"/>
      <c r="AI3797" s="1115"/>
      <c r="AJ3797" s="1117"/>
      <c r="AK3797" s="1118"/>
      <c r="AL3797" s="1115"/>
      <c r="AM3797" s="1115"/>
      <c r="AN3797" s="1115"/>
      <c r="AO3797" s="1115"/>
      <c r="AP3797" s="1115"/>
      <c r="AQ3797" s="1115"/>
      <c r="AR3797" s="1115"/>
      <c r="AS3797" s="1117"/>
      <c r="AT3797" s="1075"/>
      <c r="AU3797" s="1193"/>
      <c r="AV3797" s="330"/>
      <c r="AW3797" s="331"/>
      <c r="AX3797" s="331"/>
      <c r="AY3797" s="331"/>
      <c r="AZ3797" s="331"/>
      <c r="BA3797" s="331"/>
      <c r="BB3797" s="331"/>
      <c r="BC3797" s="331"/>
      <c r="BD3797" s="331"/>
      <c r="BE3797" s="333"/>
      <c r="BF3797" s="330"/>
      <c r="BG3797" s="333"/>
      <c r="BH3797" s="1119"/>
      <c r="BI3797" s="319"/>
      <c r="BJ3797" s="319"/>
      <c r="BK3797" s="319"/>
      <c r="BL3797" s="319"/>
      <c r="BM3797" s="319"/>
      <c r="BN3797" s="319"/>
      <c r="BO3797" s="319"/>
      <c r="BP3797" s="953"/>
      <c r="BQ3797" s="319"/>
      <c r="BR3797" s="319"/>
      <c r="BS3797" s="330"/>
      <c r="BT3797" s="331"/>
      <c r="BU3797" s="920"/>
      <c r="BV3797" s="903"/>
      <c r="BW3797" s="908"/>
      <c r="BX3797" s="908"/>
      <c r="BY3797" s="331"/>
      <c r="BZ3797" s="331"/>
      <c r="CA3797" s="462"/>
      <c r="CB3797" s="319"/>
      <c r="CC3797" s="319"/>
      <c r="CD3797" s="319"/>
      <c r="CE3797" s="319"/>
      <c r="CF3797" s="319"/>
      <c r="CG3797" s="319"/>
      <c r="CH3797" s="318"/>
      <c r="CI3797" s="319"/>
      <c r="CJ3797" s="319"/>
      <c r="CK3797" s="342"/>
      <c r="CL3797" s="333"/>
      <c r="CM3797" s="1079"/>
      <c r="CN3797" s="1005"/>
      <c r="CO3797" s="1005"/>
      <c r="CP3797" s="1005"/>
    </row>
    <row r="3798">
      <c r="A3798" s="1257"/>
      <c r="B3798" s="1113"/>
      <c r="C3798" s="1107"/>
      <c r="D3798" s="103"/>
      <c r="E3798" s="1137"/>
      <c r="F3798" s="112"/>
      <c r="G3798" s="1110"/>
      <c r="H3798" s="1138"/>
      <c r="I3798" s="1138"/>
      <c r="J3798" s="1139"/>
      <c r="K3798" s="1111"/>
      <c r="L3798" s="1112"/>
      <c r="M3798" s="1113"/>
      <c r="N3798" s="110"/>
      <c r="O3798" s="1140"/>
      <c r="P3798" s="1115"/>
      <c r="Q3798" s="1116"/>
      <c r="R3798" s="1141"/>
      <c r="S3798" s="1113"/>
      <c r="T3798" s="1143"/>
      <c r="U3798" s="1108"/>
      <c r="V3798" s="1108"/>
      <c r="W3798" s="1108"/>
      <c r="X3798" s="1108"/>
      <c r="Y3798" s="1108"/>
      <c r="Z3798" s="1114"/>
      <c r="AA3798" s="1114"/>
      <c r="AB3798" s="1114"/>
      <c r="AC3798" s="1117"/>
      <c r="AD3798" s="1115"/>
      <c r="AE3798" s="1115"/>
      <c r="AF3798" s="1115"/>
      <c r="AG3798" s="1115"/>
      <c r="AH3798" s="1115"/>
      <c r="AI3798" s="1115"/>
      <c r="AJ3798" s="1117"/>
      <c r="AK3798" s="1118"/>
      <c r="AL3798" s="1115"/>
      <c r="AM3798" s="1115"/>
      <c r="AN3798" s="1115"/>
      <c r="AO3798" s="1115"/>
      <c r="AP3798" s="1115"/>
      <c r="AQ3798" s="1115"/>
      <c r="AR3798" s="1115"/>
      <c r="AS3798" s="1117"/>
      <c r="AT3798" s="1075"/>
      <c r="AU3798" s="1193"/>
      <c r="AV3798" s="330"/>
      <c r="AW3798" s="331"/>
      <c r="AX3798" s="331"/>
      <c r="AY3798" s="331"/>
      <c r="AZ3798" s="331"/>
      <c r="BA3798" s="331"/>
      <c r="BB3798" s="331"/>
      <c r="BC3798" s="331"/>
      <c r="BD3798" s="331"/>
      <c r="BE3798" s="333"/>
      <c r="BF3798" s="330"/>
      <c r="BG3798" s="333"/>
      <c r="BH3798" s="1119"/>
      <c r="BI3798" s="319"/>
      <c r="BJ3798" s="319"/>
      <c r="BK3798" s="319"/>
      <c r="BL3798" s="319"/>
      <c r="BM3798" s="319"/>
      <c r="BN3798" s="319"/>
      <c r="BO3798" s="319"/>
      <c r="BP3798" s="953"/>
      <c r="BQ3798" s="319"/>
      <c r="BR3798" s="319"/>
      <c r="BS3798" s="330"/>
      <c r="BT3798" s="331"/>
      <c r="BU3798" s="920"/>
      <c r="BV3798" s="903"/>
      <c r="BW3798" s="908"/>
      <c r="BX3798" s="908"/>
      <c r="BY3798" s="331"/>
      <c r="BZ3798" s="331"/>
      <c r="CA3798" s="462"/>
      <c r="CB3798" s="319"/>
      <c r="CC3798" s="319"/>
      <c r="CD3798" s="319"/>
      <c r="CE3798" s="319"/>
      <c r="CF3798" s="319"/>
      <c r="CG3798" s="319"/>
      <c r="CH3798" s="318"/>
      <c r="CI3798" s="319"/>
      <c r="CJ3798" s="319"/>
      <c r="CK3798" s="342"/>
      <c r="CL3798" s="333"/>
      <c r="CM3798" s="1079"/>
      <c r="CN3798" s="1005"/>
      <c r="CO3798" s="1005"/>
      <c r="CP3798" s="1005"/>
    </row>
    <row r="3799">
      <c r="A3799" s="1257"/>
      <c r="B3799" s="1113"/>
      <c r="C3799" s="1107"/>
      <c r="D3799" s="103"/>
      <c r="E3799" s="1137"/>
      <c r="F3799" s="112"/>
      <c r="G3799" s="1110"/>
      <c r="H3799" s="1138"/>
      <c r="I3799" s="1138"/>
      <c r="J3799" s="1139"/>
      <c r="K3799" s="1111"/>
      <c r="L3799" s="1112"/>
      <c r="M3799" s="1113"/>
      <c r="N3799" s="110"/>
      <c r="O3799" s="1140"/>
      <c r="P3799" s="1115"/>
      <c r="Q3799" s="1116"/>
      <c r="R3799" s="1141"/>
      <c r="S3799" s="1113"/>
      <c r="T3799" s="1143"/>
      <c r="U3799" s="1108"/>
      <c r="V3799" s="1108"/>
      <c r="W3799" s="1108"/>
      <c r="X3799" s="1108"/>
      <c r="Y3799" s="1108"/>
      <c r="Z3799" s="1114"/>
      <c r="AA3799" s="1114"/>
      <c r="AB3799" s="1114"/>
      <c r="AC3799" s="1117"/>
      <c r="AD3799" s="1115"/>
      <c r="AE3799" s="1115"/>
      <c r="AF3799" s="1115"/>
      <c r="AG3799" s="1115"/>
      <c r="AH3799" s="1115"/>
      <c r="AI3799" s="1115"/>
      <c r="AJ3799" s="1117"/>
      <c r="AK3799" s="1118"/>
      <c r="AL3799" s="1115"/>
      <c r="AM3799" s="1115"/>
      <c r="AN3799" s="1115"/>
      <c r="AO3799" s="1115"/>
      <c r="AP3799" s="1115"/>
      <c r="AQ3799" s="1115"/>
      <c r="AR3799" s="1115"/>
      <c r="AS3799" s="1117"/>
      <c r="AT3799" s="1075"/>
      <c r="AU3799" s="1193"/>
      <c r="AV3799" s="330"/>
      <c r="AW3799" s="331"/>
      <c r="AX3799" s="331"/>
      <c r="AY3799" s="331"/>
      <c r="AZ3799" s="331"/>
      <c r="BA3799" s="331"/>
      <c r="BB3799" s="331"/>
      <c r="BC3799" s="331"/>
      <c r="BD3799" s="331"/>
      <c r="BE3799" s="333"/>
      <c r="BF3799" s="330"/>
      <c r="BG3799" s="333"/>
      <c r="BH3799" s="1119"/>
      <c r="BI3799" s="319"/>
      <c r="BJ3799" s="319"/>
      <c r="BK3799" s="319"/>
      <c r="BL3799" s="319"/>
      <c r="BM3799" s="319"/>
      <c r="BN3799" s="319"/>
      <c r="BO3799" s="319"/>
      <c r="BP3799" s="953"/>
      <c r="BQ3799" s="319"/>
      <c r="BR3799" s="319"/>
      <c r="BS3799" s="330"/>
      <c r="BT3799" s="331"/>
      <c r="BU3799" s="920"/>
      <c r="BV3799" s="903"/>
      <c r="BW3799" s="908"/>
      <c r="BX3799" s="908"/>
      <c r="BY3799" s="331"/>
      <c r="BZ3799" s="331"/>
      <c r="CA3799" s="462"/>
      <c r="CB3799" s="319"/>
      <c r="CC3799" s="319"/>
      <c r="CD3799" s="319"/>
      <c r="CE3799" s="319"/>
      <c r="CF3799" s="319"/>
      <c r="CG3799" s="319"/>
      <c r="CH3799" s="318"/>
      <c r="CI3799" s="319"/>
      <c r="CJ3799" s="319"/>
      <c r="CK3799" s="342"/>
      <c r="CL3799" s="333"/>
      <c r="CM3799" s="1079"/>
      <c r="CN3799" s="1005"/>
      <c r="CO3799" s="1005"/>
      <c r="CP3799" s="1005"/>
    </row>
    <row r="3800">
      <c r="A3800" s="1257"/>
      <c r="B3800" s="1113"/>
      <c r="C3800" s="1107"/>
      <c r="D3800" s="103"/>
      <c r="E3800" s="1137"/>
      <c r="F3800" s="112"/>
      <c r="G3800" s="1110"/>
      <c r="H3800" s="1138"/>
      <c r="I3800" s="1138"/>
      <c r="J3800" s="1139"/>
      <c r="K3800" s="1111"/>
      <c r="L3800" s="1112"/>
      <c r="M3800" s="1113"/>
      <c r="N3800" s="110"/>
      <c r="O3800" s="1140"/>
      <c r="P3800" s="1115"/>
      <c r="Q3800" s="1116"/>
      <c r="R3800" s="1141"/>
      <c r="S3800" s="1113"/>
      <c r="T3800" s="1143"/>
      <c r="U3800" s="1108"/>
      <c r="V3800" s="1108"/>
      <c r="W3800" s="1108"/>
      <c r="X3800" s="1108"/>
      <c r="Y3800" s="1108"/>
      <c r="Z3800" s="1114"/>
      <c r="AA3800" s="1114"/>
      <c r="AB3800" s="1114"/>
      <c r="AC3800" s="1117"/>
      <c r="AD3800" s="1115"/>
      <c r="AE3800" s="1115"/>
      <c r="AF3800" s="1115"/>
      <c r="AG3800" s="1115"/>
      <c r="AH3800" s="1115"/>
      <c r="AI3800" s="1115"/>
      <c r="AJ3800" s="1117"/>
      <c r="AK3800" s="1118"/>
      <c r="AL3800" s="1115"/>
      <c r="AM3800" s="1115"/>
      <c r="AN3800" s="1115"/>
      <c r="AO3800" s="1115"/>
      <c r="AP3800" s="1115"/>
      <c r="AQ3800" s="1115"/>
      <c r="AR3800" s="1115"/>
      <c r="AS3800" s="1117"/>
      <c r="AT3800" s="1075"/>
      <c r="AU3800" s="1193"/>
      <c r="AV3800" s="330"/>
      <c r="AW3800" s="331"/>
      <c r="AX3800" s="331"/>
      <c r="AY3800" s="331"/>
      <c r="AZ3800" s="331"/>
      <c r="BA3800" s="331"/>
      <c r="BB3800" s="331"/>
      <c r="BC3800" s="331"/>
      <c r="BD3800" s="331"/>
      <c r="BE3800" s="333"/>
      <c r="BF3800" s="330"/>
      <c r="BG3800" s="333"/>
      <c r="BH3800" s="1119"/>
      <c r="BI3800" s="319"/>
      <c r="BJ3800" s="319"/>
      <c r="BK3800" s="319"/>
      <c r="BL3800" s="319"/>
      <c r="BM3800" s="319"/>
      <c r="BN3800" s="319"/>
      <c r="BO3800" s="319"/>
      <c r="BP3800" s="953"/>
      <c r="BQ3800" s="319"/>
      <c r="BR3800" s="319"/>
      <c r="BS3800" s="330"/>
      <c r="BT3800" s="331"/>
      <c r="BU3800" s="920"/>
      <c r="BV3800" s="903"/>
      <c r="BW3800" s="908"/>
      <c r="BX3800" s="908"/>
      <c r="BY3800" s="331"/>
      <c r="BZ3800" s="331"/>
      <c r="CA3800" s="462"/>
      <c r="CB3800" s="319"/>
      <c r="CC3800" s="319"/>
      <c r="CD3800" s="319"/>
      <c r="CE3800" s="319"/>
      <c r="CF3800" s="319"/>
      <c r="CG3800" s="319"/>
      <c r="CH3800" s="318"/>
      <c r="CI3800" s="319"/>
      <c r="CJ3800" s="319"/>
      <c r="CK3800" s="342"/>
      <c r="CL3800" s="333"/>
      <c r="CM3800" s="1079"/>
      <c r="CN3800" s="1005"/>
      <c r="CO3800" s="1005"/>
      <c r="CP3800" s="1005"/>
    </row>
    <row r="3801">
      <c r="A3801" s="1257"/>
      <c r="B3801" s="1113"/>
      <c r="C3801" s="1107"/>
      <c r="D3801" s="103"/>
      <c r="E3801" s="1137"/>
      <c r="F3801" s="112"/>
      <c r="G3801" s="1110"/>
      <c r="H3801" s="1138"/>
      <c r="I3801" s="1138"/>
      <c r="J3801" s="1139"/>
      <c r="K3801" s="1111"/>
      <c r="L3801" s="1112"/>
      <c r="M3801" s="1113"/>
      <c r="N3801" s="110"/>
      <c r="O3801" s="1140"/>
      <c r="P3801" s="1115"/>
      <c r="Q3801" s="1116"/>
      <c r="R3801" s="1141"/>
      <c r="S3801" s="1113"/>
      <c r="T3801" s="1143"/>
      <c r="U3801" s="1108"/>
      <c r="V3801" s="1108"/>
      <c r="W3801" s="1108"/>
      <c r="X3801" s="1108"/>
      <c r="Y3801" s="1108"/>
      <c r="Z3801" s="1114"/>
      <c r="AA3801" s="1114"/>
      <c r="AB3801" s="1114"/>
      <c r="AC3801" s="1117"/>
      <c r="AD3801" s="1115"/>
      <c r="AE3801" s="1115"/>
      <c r="AF3801" s="1115"/>
      <c r="AG3801" s="1115"/>
      <c r="AH3801" s="1115"/>
      <c r="AI3801" s="1115"/>
      <c r="AJ3801" s="1117"/>
      <c r="AK3801" s="1118"/>
      <c r="AL3801" s="1115"/>
      <c r="AM3801" s="1115"/>
      <c r="AN3801" s="1115"/>
      <c r="AO3801" s="1115"/>
      <c r="AP3801" s="1115"/>
      <c r="AQ3801" s="1115"/>
      <c r="AR3801" s="1115"/>
      <c r="AS3801" s="1117"/>
      <c r="AT3801" s="1075"/>
      <c r="AU3801" s="1193"/>
      <c r="AV3801" s="330"/>
      <c r="AW3801" s="331"/>
      <c r="AX3801" s="331"/>
      <c r="AY3801" s="331"/>
      <c r="AZ3801" s="331"/>
      <c r="BA3801" s="331"/>
      <c r="BB3801" s="331"/>
      <c r="BC3801" s="331"/>
      <c r="BD3801" s="331"/>
      <c r="BE3801" s="333"/>
      <c r="BF3801" s="330"/>
      <c r="BG3801" s="333"/>
      <c r="BH3801" s="1119"/>
      <c r="BI3801" s="319"/>
      <c r="BJ3801" s="319"/>
      <c r="BK3801" s="319"/>
      <c r="BL3801" s="319"/>
      <c r="BM3801" s="319"/>
      <c r="BN3801" s="319"/>
      <c r="BO3801" s="319"/>
      <c r="BP3801" s="953"/>
      <c r="BQ3801" s="319"/>
      <c r="BR3801" s="319"/>
      <c r="BS3801" s="330"/>
      <c r="BT3801" s="331"/>
      <c r="BU3801" s="920"/>
      <c r="BV3801" s="903"/>
      <c r="BW3801" s="908"/>
      <c r="BX3801" s="908"/>
      <c r="BY3801" s="331"/>
      <c r="BZ3801" s="331"/>
      <c r="CA3801" s="462"/>
      <c r="CB3801" s="319"/>
      <c r="CC3801" s="319"/>
      <c r="CD3801" s="319"/>
      <c r="CE3801" s="319"/>
      <c r="CF3801" s="319"/>
      <c r="CG3801" s="319"/>
      <c r="CH3801" s="318"/>
      <c r="CI3801" s="319"/>
      <c r="CJ3801" s="319"/>
      <c r="CK3801" s="342"/>
      <c r="CL3801" s="333"/>
      <c r="CM3801" s="1079"/>
      <c r="CN3801" s="1005"/>
      <c r="CO3801" s="1005"/>
      <c r="CP3801" s="1005"/>
    </row>
    <row r="3802">
      <c r="A3802" s="1257"/>
      <c r="B3802" s="1113"/>
      <c r="C3802" s="1107"/>
      <c r="D3802" s="103"/>
      <c r="E3802" s="1137"/>
      <c r="F3802" s="112"/>
      <c r="G3802" s="1110"/>
      <c r="H3802" s="1138"/>
      <c r="I3802" s="1138"/>
      <c r="J3802" s="1139"/>
      <c r="K3802" s="1111"/>
      <c r="L3802" s="1112"/>
      <c r="M3802" s="1113"/>
      <c r="N3802" s="110"/>
      <c r="O3802" s="1140"/>
      <c r="P3802" s="1115"/>
      <c r="Q3802" s="1116"/>
      <c r="R3802" s="1141"/>
      <c r="S3802" s="1113"/>
      <c r="T3802" s="1143"/>
      <c r="U3802" s="1108"/>
      <c r="V3802" s="1108"/>
      <c r="W3802" s="1108"/>
      <c r="X3802" s="1108"/>
      <c r="Y3802" s="1108"/>
      <c r="Z3802" s="1114"/>
      <c r="AA3802" s="1114"/>
      <c r="AB3802" s="1114"/>
      <c r="AC3802" s="1117"/>
      <c r="AD3802" s="1115"/>
      <c r="AE3802" s="1115"/>
      <c r="AF3802" s="1115"/>
      <c r="AG3802" s="1115"/>
      <c r="AH3802" s="1115"/>
      <c r="AI3802" s="1115"/>
      <c r="AJ3802" s="1117"/>
      <c r="AK3802" s="1118"/>
      <c r="AL3802" s="1115"/>
      <c r="AM3802" s="1115"/>
      <c r="AN3802" s="1115"/>
      <c r="AO3802" s="1115"/>
      <c r="AP3802" s="1115"/>
      <c r="AQ3802" s="1115"/>
      <c r="AR3802" s="1115"/>
      <c r="AS3802" s="1117"/>
      <c r="AT3802" s="1075"/>
      <c r="AU3802" s="1193"/>
      <c r="AV3802" s="330"/>
      <c r="AW3802" s="331"/>
      <c r="AX3802" s="331"/>
      <c r="AY3802" s="331"/>
      <c r="AZ3802" s="331"/>
      <c r="BA3802" s="331"/>
      <c r="BB3802" s="331"/>
      <c r="BC3802" s="331"/>
      <c r="BD3802" s="331"/>
      <c r="BE3802" s="333"/>
      <c r="BF3802" s="330"/>
      <c r="BG3802" s="333"/>
      <c r="BH3802" s="1119"/>
      <c r="BI3802" s="319"/>
      <c r="BJ3802" s="319"/>
      <c r="BK3802" s="319"/>
      <c r="BL3802" s="319"/>
      <c r="BM3802" s="319"/>
      <c r="BN3802" s="319"/>
      <c r="BO3802" s="319"/>
      <c r="BP3802" s="953"/>
      <c r="BQ3802" s="319"/>
      <c r="BR3802" s="319"/>
      <c r="BS3802" s="330"/>
      <c r="BT3802" s="331"/>
      <c r="BU3802" s="920"/>
      <c r="BV3802" s="903"/>
      <c r="BW3802" s="908"/>
      <c r="BX3802" s="908"/>
      <c r="BY3802" s="331"/>
      <c r="BZ3802" s="331"/>
      <c r="CA3802" s="462"/>
      <c r="CB3802" s="319"/>
      <c r="CC3802" s="319"/>
      <c r="CD3802" s="319"/>
      <c r="CE3802" s="319"/>
      <c r="CF3802" s="319"/>
      <c r="CG3802" s="319"/>
      <c r="CH3802" s="318"/>
      <c r="CI3802" s="319"/>
      <c r="CJ3802" s="319"/>
      <c r="CK3802" s="342"/>
      <c r="CL3802" s="333"/>
      <c r="CM3802" s="1079"/>
      <c r="CN3802" s="1005"/>
      <c r="CO3802" s="1005"/>
      <c r="CP3802" s="1005"/>
    </row>
    <row r="3803">
      <c r="A3803" s="1257"/>
      <c r="B3803" s="1113"/>
      <c r="C3803" s="1107"/>
      <c r="D3803" s="103"/>
      <c r="E3803" s="1137"/>
      <c r="F3803" s="112"/>
      <c r="G3803" s="1110"/>
      <c r="H3803" s="1138"/>
      <c r="I3803" s="1138"/>
      <c r="J3803" s="1139"/>
      <c r="K3803" s="1111"/>
      <c r="L3803" s="1112"/>
      <c r="M3803" s="1113"/>
      <c r="N3803" s="110"/>
      <c r="O3803" s="1140"/>
      <c r="P3803" s="1115"/>
      <c r="Q3803" s="1116"/>
      <c r="R3803" s="1141"/>
      <c r="S3803" s="1113"/>
      <c r="T3803" s="1143"/>
      <c r="U3803" s="1108"/>
      <c r="V3803" s="1108"/>
      <c r="W3803" s="1108"/>
      <c r="X3803" s="1108"/>
      <c r="Y3803" s="1108"/>
      <c r="Z3803" s="1114"/>
      <c r="AA3803" s="1114"/>
      <c r="AB3803" s="1114"/>
      <c r="AC3803" s="1117"/>
      <c r="AD3803" s="1115"/>
      <c r="AE3803" s="1115"/>
      <c r="AF3803" s="1115"/>
      <c r="AG3803" s="1115"/>
      <c r="AH3803" s="1115"/>
      <c r="AI3803" s="1115"/>
      <c r="AJ3803" s="1117"/>
      <c r="AK3803" s="1118"/>
      <c r="AL3803" s="1115"/>
      <c r="AM3803" s="1115"/>
      <c r="AN3803" s="1115"/>
      <c r="AO3803" s="1115"/>
      <c r="AP3803" s="1115"/>
      <c r="AQ3803" s="1115"/>
      <c r="AR3803" s="1115"/>
      <c r="AS3803" s="1117"/>
      <c r="AT3803" s="1075"/>
      <c r="AU3803" s="1193"/>
      <c r="AV3803" s="330"/>
      <c r="AW3803" s="331"/>
      <c r="AX3803" s="331"/>
      <c r="AY3803" s="331"/>
      <c r="AZ3803" s="331"/>
      <c r="BA3803" s="331"/>
      <c r="BB3803" s="331"/>
      <c r="BC3803" s="331"/>
      <c r="BD3803" s="331"/>
      <c r="BE3803" s="333"/>
      <c r="BF3803" s="330"/>
      <c r="BG3803" s="333"/>
      <c r="BH3803" s="1119"/>
      <c r="BI3803" s="319"/>
      <c r="BJ3803" s="319"/>
      <c r="BK3803" s="319"/>
      <c r="BL3803" s="319"/>
      <c r="BM3803" s="319"/>
      <c r="BN3803" s="319"/>
      <c r="BO3803" s="319"/>
      <c r="BP3803" s="953"/>
      <c r="BQ3803" s="319"/>
      <c r="BR3803" s="319"/>
      <c r="BS3803" s="330"/>
      <c r="BT3803" s="331"/>
      <c r="BU3803" s="920"/>
      <c r="BV3803" s="903"/>
      <c r="BW3803" s="908"/>
      <c r="BX3803" s="908"/>
      <c r="BY3803" s="331"/>
      <c r="BZ3803" s="331"/>
      <c r="CA3803" s="462"/>
      <c r="CB3803" s="319"/>
      <c r="CC3803" s="319"/>
      <c r="CD3803" s="319"/>
      <c r="CE3803" s="319"/>
      <c r="CF3803" s="319"/>
      <c r="CG3803" s="319"/>
      <c r="CH3803" s="318"/>
      <c r="CI3803" s="319"/>
      <c r="CJ3803" s="319"/>
      <c r="CK3803" s="342"/>
      <c r="CL3803" s="333"/>
      <c r="CM3803" s="1079"/>
      <c r="CN3803" s="1005"/>
      <c r="CO3803" s="1005"/>
      <c r="CP3803" s="1005"/>
    </row>
    <row r="3804">
      <c r="A3804" s="1257"/>
      <c r="B3804" s="1113"/>
      <c r="C3804" s="1107"/>
      <c r="D3804" s="103"/>
      <c r="E3804" s="1137"/>
      <c r="F3804" s="112"/>
      <c r="G3804" s="1110"/>
      <c r="H3804" s="1138"/>
      <c r="I3804" s="1138"/>
      <c r="J3804" s="1139"/>
      <c r="K3804" s="1111"/>
      <c r="L3804" s="1112"/>
      <c r="M3804" s="1113"/>
      <c r="N3804" s="110"/>
      <c r="O3804" s="1140"/>
      <c r="P3804" s="1115"/>
      <c r="Q3804" s="1116"/>
      <c r="R3804" s="1141"/>
      <c r="S3804" s="1113"/>
      <c r="T3804" s="1143"/>
      <c r="U3804" s="1108"/>
      <c r="V3804" s="1108"/>
      <c r="W3804" s="1108"/>
      <c r="X3804" s="1108"/>
      <c r="Y3804" s="1108"/>
      <c r="Z3804" s="1114"/>
      <c r="AA3804" s="1114"/>
      <c r="AB3804" s="1114"/>
      <c r="AC3804" s="1117"/>
      <c r="AD3804" s="1115"/>
      <c r="AE3804" s="1115"/>
      <c r="AF3804" s="1115"/>
      <c r="AG3804" s="1115"/>
      <c r="AH3804" s="1115"/>
      <c r="AI3804" s="1115"/>
      <c r="AJ3804" s="1117"/>
      <c r="AK3804" s="1118"/>
      <c r="AL3804" s="1115"/>
      <c r="AM3804" s="1115"/>
      <c r="AN3804" s="1115"/>
      <c r="AO3804" s="1115"/>
      <c r="AP3804" s="1115"/>
      <c r="AQ3804" s="1115"/>
      <c r="AR3804" s="1115"/>
      <c r="AS3804" s="1117"/>
      <c r="AT3804" s="1075"/>
      <c r="AU3804" s="1193"/>
      <c r="AV3804" s="330"/>
      <c r="AW3804" s="331"/>
      <c r="AX3804" s="331"/>
      <c r="AY3804" s="331"/>
      <c r="AZ3804" s="331"/>
      <c r="BA3804" s="331"/>
      <c r="BB3804" s="331"/>
      <c r="BC3804" s="331"/>
      <c r="BD3804" s="331"/>
      <c r="BE3804" s="333"/>
      <c r="BF3804" s="330"/>
      <c r="BG3804" s="333"/>
      <c r="BH3804" s="1119"/>
      <c r="BI3804" s="319"/>
      <c r="BJ3804" s="319"/>
      <c r="BK3804" s="319"/>
      <c r="BL3804" s="319"/>
      <c r="BM3804" s="319"/>
      <c r="BN3804" s="319"/>
      <c r="BO3804" s="319"/>
      <c r="BP3804" s="953"/>
      <c r="BQ3804" s="319"/>
      <c r="BR3804" s="319"/>
      <c r="BS3804" s="330"/>
      <c r="BT3804" s="331"/>
      <c r="BU3804" s="920"/>
      <c r="BV3804" s="903"/>
      <c r="BW3804" s="908"/>
      <c r="BX3804" s="908"/>
      <c r="BY3804" s="331"/>
      <c r="BZ3804" s="331"/>
      <c r="CA3804" s="462"/>
      <c r="CB3804" s="319"/>
      <c r="CC3804" s="319"/>
      <c r="CD3804" s="319"/>
      <c r="CE3804" s="319"/>
      <c r="CF3804" s="319"/>
      <c r="CG3804" s="319"/>
      <c r="CH3804" s="318"/>
      <c r="CI3804" s="319"/>
      <c r="CJ3804" s="319"/>
      <c r="CK3804" s="342"/>
      <c r="CL3804" s="333"/>
      <c r="CM3804" s="1079"/>
      <c r="CN3804" s="1005"/>
      <c r="CO3804" s="1005"/>
      <c r="CP3804" s="1005"/>
    </row>
    <row r="3805">
      <c r="A3805" s="1257"/>
      <c r="B3805" s="1113"/>
      <c r="C3805" s="1107"/>
      <c r="D3805" s="103"/>
      <c r="E3805" s="1137"/>
      <c r="F3805" s="112"/>
      <c r="G3805" s="1110"/>
      <c r="H3805" s="1138"/>
      <c r="I3805" s="1138"/>
      <c r="J3805" s="1139"/>
      <c r="K3805" s="1111"/>
      <c r="L3805" s="1112"/>
      <c r="M3805" s="1113"/>
      <c r="N3805" s="110"/>
      <c r="O3805" s="1140"/>
      <c r="P3805" s="1115"/>
      <c r="Q3805" s="1116"/>
      <c r="R3805" s="1141"/>
      <c r="S3805" s="1113"/>
      <c r="T3805" s="1143"/>
      <c r="U3805" s="1108"/>
      <c r="V3805" s="1108"/>
      <c r="W3805" s="1108"/>
      <c r="X3805" s="1108"/>
      <c r="Y3805" s="1108"/>
      <c r="Z3805" s="1114"/>
      <c r="AA3805" s="1114"/>
      <c r="AB3805" s="1114"/>
      <c r="AC3805" s="1117"/>
      <c r="AD3805" s="1115"/>
      <c r="AE3805" s="1115"/>
      <c r="AF3805" s="1115"/>
      <c r="AG3805" s="1115"/>
      <c r="AH3805" s="1115"/>
      <c r="AI3805" s="1115"/>
      <c r="AJ3805" s="1117"/>
      <c r="AK3805" s="1118"/>
      <c r="AL3805" s="1115"/>
      <c r="AM3805" s="1115"/>
      <c r="AN3805" s="1115"/>
      <c r="AO3805" s="1115"/>
      <c r="AP3805" s="1115"/>
      <c r="AQ3805" s="1115"/>
      <c r="AR3805" s="1115"/>
      <c r="AS3805" s="1117"/>
      <c r="AT3805" s="1075"/>
      <c r="AU3805" s="1193"/>
      <c r="AV3805" s="330"/>
      <c r="AW3805" s="331"/>
      <c r="AX3805" s="331"/>
      <c r="AY3805" s="331"/>
      <c r="AZ3805" s="331"/>
      <c r="BA3805" s="331"/>
      <c r="BB3805" s="331"/>
      <c r="BC3805" s="331"/>
      <c r="BD3805" s="331"/>
      <c r="BE3805" s="333"/>
      <c r="BF3805" s="330"/>
      <c r="BG3805" s="333"/>
      <c r="BH3805" s="1119"/>
      <c r="BI3805" s="319"/>
      <c r="BJ3805" s="319"/>
      <c r="BK3805" s="319"/>
      <c r="BL3805" s="319"/>
      <c r="BM3805" s="319"/>
      <c r="BN3805" s="319"/>
      <c r="BO3805" s="319"/>
      <c r="BP3805" s="953"/>
      <c r="BQ3805" s="319"/>
      <c r="BR3805" s="319"/>
      <c r="BS3805" s="330"/>
      <c r="BT3805" s="331"/>
      <c r="BU3805" s="920"/>
      <c r="BV3805" s="903"/>
      <c r="BW3805" s="908"/>
      <c r="BX3805" s="908"/>
      <c r="BY3805" s="331"/>
      <c r="BZ3805" s="331"/>
      <c r="CA3805" s="462"/>
      <c r="CB3805" s="319"/>
      <c r="CC3805" s="319"/>
      <c r="CD3805" s="319"/>
      <c r="CE3805" s="319"/>
      <c r="CF3805" s="319"/>
      <c r="CG3805" s="319"/>
      <c r="CH3805" s="318"/>
      <c r="CI3805" s="319"/>
      <c r="CJ3805" s="319"/>
      <c r="CK3805" s="342"/>
      <c r="CL3805" s="333"/>
      <c r="CM3805" s="1079"/>
      <c r="CN3805" s="1005"/>
      <c r="CO3805" s="1005"/>
      <c r="CP3805" s="1005"/>
    </row>
    <row r="3806">
      <c r="A3806" s="1257"/>
      <c r="B3806" s="1113"/>
      <c r="C3806" s="1107"/>
      <c r="D3806" s="103"/>
      <c r="E3806" s="1137"/>
      <c r="F3806" s="112"/>
      <c r="G3806" s="1110"/>
      <c r="H3806" s="1138"/>
      <c r="I3806" s="1138"/>
      <c r="J3806" s="1139"/>
      <c r="K3806" s="1111"/>
      <c r="L3806" s="1112"/>
      <c r="M3806" s="1113"/>
      <c r="N3806" s="110"/>
      <c r="O3806" s="1140"/>
      <c r="P3806" s="1115"/>
      <c r="Q3806" s="1116"/>
      <c r="R3806" s="1141"/>
      <c r="S3806" s="1113"/>
      <c r="T3806" s="1143"/>
      <c r="U3806" s="1108"/>
      <c r="V3806" s="1108"/>
      <c r="W3806" s="1108"/>
      <c r="X3806" s="1108"/>
      <c r="Y3806" s="1108"/>
      <c r="Z3806" s="1114"/>
      <c r="AA3806" s="1114"/>
      <c r="AB3806" s="1114"/>
      <c r="AC3806" s="1117"/>
      <c r="AD3806" s="1115"/>
      <c r="AE3806" s="1115"/>
      <c r="AF3806" s="1115"/>
      <c r="AG3806" s="1115"/>
      <c r="AH3806" s="1115"/>
      <c r="AI3806" s="1115"/>
      <c r="AJ3806" s="1117"/>
      <c r="AK3806" s="1118"/>
      <c r="AL3806" s="1115"/>
      <c r="AM3806" s="1115"/>
      <c r="AN3806" s="1115"/>
      <c r="AO3806" s="1115"/>
      <c r="AP3806" s="1115"/>
      <c r="AQ3806" s="1115"/>
      <c r="AR3806" s="1115"/>
      <c r="AS3806" s="1117"/>
      <c r="AT3806" s="1075"/>
      <c r="AU3806" s="1193"/>
      <c r="AV3806" s="330"/>
      <c r="AW3806" s="331"/>
      <c r="AX3806" s="331"/>
      <c r="AY3806" s="331"/>
      <c r="AZ3806" s="331"/>
      <c r="BA3806" s="331"/>
      <c r="BB3806" s="331"/>
      <c r="BC3806" s="331"/>
      <c r="BD3806" s="331"/>
      <c r="BE3806" s="333"/>
      <c r="BF3806" s="330"/>
      <c r="BG3806" s="333"/>
      <c r="BH3806" s="1119"/>
      <c r="BI3806" s="319"/>
      <c r="BJ3806" s="319"/>
      <c r="BK3806" s="319"/>
      <c r="BL3806" s="319"/>
      <c r="BM3806" s="319"/>
      <c r="BN3806" s="319"/>
      <c r="BO3806" s="319"/>
      <c r="BP3806" s="953"/>
      <c r="BQ3806" s="319"/>
      <c r="BR3806" s="319"/>
      <c r="BS3806" s="330"/>
      <c r="BT3806" s="331"/>
      <c r="BU3806" s="920"/>
      <c r="BV3806" s="903"/>
      <c r="BW3806" s="908"/>
      <c r="BX3806" s="908"/>
      <c r="BY3806" s="331"/>
      <c r="BZ3806" s="331"/>
      <c r="CA3806" s="462"/>
      <c r="CB3806" s="319"/>
      <c r="CC3806" s="319"/>
      <c r="CD3806" s="319"/>
      <c r="CE3806" s="319"/>
      <c r="CF3806" s="319"/>
      <c r="CG3806" s="319"/>
      <c r="CH3806" s="318"/>
      <c r="CI3806" s="319"/>
      <c r="CJ3806" s="319"/>
      <c r="CK3806" s="342"/>
      <c r="CL3806" s="333"/>
      <c r="CM3806" s="1079"/>
      <c r="CN3806" s="1005"/>
      <c r="CO3806" s="1005"/>
      <c r="CP3806" s="1005"/>
    </row>
    <row r="3807">
      <c r="A3807" s="1257"/>
      <c r="B3807" s="1113"/>
      <c r="C3807" s="1107"/>
      <c r="D3807" s="103"/>
      <c r="E3807" s="1137"/>
      <c r="F3807" s="112"/>
      <c r="G3807" s="1110"/>
      <c r="H3807" s="1138"/>
      <c r="I3807" s="1138"/>
      <c r="J3807" s="1139"/>
      <c r="K3807" s="1111"/>
      <c r="L3807" s="1112"/>
      <c r="M3807" s="1113"/>
      <c r="N3807" s="110"/>
      <c r="O3807" s="1140"/>
      <c r="P3807" s="1115"/>
      <c r="Q3807" s="1116"/>
      <c r="R3807" s="1141"/>
      <c r="S3807" s="1113"/>
      <c r="T3807" s="1143"/>
      <c r="U3807" s="1108"/>
      <c r="V3807" s="1108"/>
      <c r="W3807" s="1108"/>
      <c r="X3807" s="1108"/>
      <c r="Y3807" s="1108"/>
      <c r="Z3807" s="1114"/>
      <c r="AA3807" s="1114"/>
      <c r="AB3807" s="1114"/>
      <c r="AC3807" s="1117"/>
      <c r="AD3807" s="1115"/>
      <c r="AE3807" s="1115"/>
      <c r="AF3807" s="1115"/>
      <c r="AG3807" s="1115"/>
      <c r="AH3807" s="1115"/>
      <c r="AI3807" s="1115"/>
      <c r="AJ3807" s="1117"/>
      <c r="AK3807" s="1118"/>
      <c r="AL3807" s="1115"/>
      <c r="AM3807" s="1115"/>
      <c r="AN3807" s="1115"/>
      <c r="AO3807" s="1115"/>
      <c r="AP3807" s="1115"/>
      <c r="AQ3807" s="1115"/>
      <c r="AR3807" s="1115"/>
      <c r="AS3807" s="1117"/>
      <c r="AT3807" s="1075"/>
      <c r="AU3807" s="1193"/>
      <c r="AV3807" s="330"/>
      <c r="AW3807" s="331"/>
      <c r="AX3807" s="331"/>
      <c r="AY3807" s="331"/>
      <c r="AZ3807" s="331"/>
      <c r="BA3807" s="331"/>
      <c r="BB3807" s="331"/>
      <c r="BC3807" s="331"/>
      <c r="BD3807" s="331"/>
      <c r="BE3807" s="333"/>
      <c r="BF3807" s="330"/>
      <c r="BG3807" s="333"/>
      <c r="BH3807" s="1119"/>
      <c r="BI3807" s="319"/>
      <c r="BJ3807" s="319"/>
      <c r="BK3807" s="319"/>
      <c r="BL3807" s="319"/>
      <c r="BM3807" s="319"/>
      <c r="BN3807" s="319"/>
      <c r="BO3807" s="319"/>
      <c r="BP3807" s="953"/>
      <c r="BQ3807" s="319"/>
      <c r="BR3807" s="319"/>
      <c r="BS3807" s="330"/>
      <c r="BT3807" s="331"/>
      <c r="BU3807" s="920"/>
      <c r="BV3807" s="903"/>
      <c r="BW3807" s="908"/>
      <c r="BX3807" s="908"/>
      <c r="BY3807" s="331"/>
      <c r="BZ3807" s="331"/>
      <c r="CA3807" s="462"/>
      <c r="CB3807" s="319"/>
      <c r="CC3807" s="319"/>
      <c r="CD3807" s="319"/>
      <c r="CE3807" s="319"/>
      <c r="CF3807" s="319"/>
      <c r="CG3807" s="319"/>
      <c r="CH3807" s="318"/>
      <c r="CI3807" s="319"/>
      <c r="CJ3807" s="319"/>
      <c r="CK3807" s="342"/>
      <c r="CL3807" s="333"/>
      <c r="CM3807" s="1079"/>
      <c r="CN3807" s="1005"/>
      <c r="CO3807" s="1005"/>
      <c r="CP3807" s="1005"/>
    </row>
    <row r="3808">
      <c r="A3808" s="1257"/>
      <c r="B3808" s="1113"/>
      <c r="C3808" s="1107"/>
      <c r="D3808" s="103"/>
      <c r="E3808" s="1137"/>
      <c r="F3808" s="112"/>
      <c r="G3808" s="1110"/>
      <c r="H3808" s="1138"/>
      <c r="I3808" s="1138"/>
      <c r="J3808" s="1139"/>
      <c r="K3808" s="1111"/>
      <c r="L3808" s="1112"/>
      <c r="M3808" s="1113"/>
      <c r="N3808" s="110"/>
      <c r="O3808" s="1140"/>
      <c r="P3808" s="1115"/>
      <c r="Q3808" s="1116"/>
      <c r="R3808" s="1141"/>
      <c r="S3808" s="1113"/>
      <c r="T3808" s="1143"/>
      <c r="U3808" s="1108"/>
      <c r="V3808" s="1108"/>
      <c r="W3808" s="1108"/>
      <c r="X3808" s="1108"/>
      <c r="Y3808" s="1108"/>
      <c r="Z3808" s="1114"/>
      <c r="AA3808" s="1114"/>
      <c r="AB3808" s="1114"/>
      <c r="AC3808" s="1117"/>
      <c r="AD3808" s="1115"/>
      <c r="AE3808" s="1115"/>
      <c r="AF3808" s="1115"/>
      <c r="AG3808" s="1115"/>
      <c r="AH3808" s="1115"/>
      <c r="AI3808" s="1115"/>
      <c r="AJ3808" s="1117"/>
      <c r="AK3808" s="1118"/>
      <c r="AL3808" s="1115"/>
      <c r="AM3808" s="1115"/>
      <c r="AN3808" s="1115"/>
      <c r="AO3808" s="1115"/>
      <c r="AP3808" s="1115"/>
      <c r="AQ3808" s="1115"/>
      <c r="AR3808" s="1115"/>
      <c r="AS3808" s="1117"/>
      <c r="AT3808" s="1075"/>
      <c r="AU3808" s="1193"/>
      <c r="AV3808" s="330"/>
      <c r="AW3808" s="331"/>
      <c r="AX3808" s="331"/>
      <c r="AY3808" s="331"/>
      <c r="AZ3808" s="331"/>
      <c r="BA3808" s="331"/>
      <c r="BB3808" s="331"/>
      <c r="BC3808" s="331"/>
      <c r="BD3808" s="331"/>
      <c r="BE3808" s="333"/>
      <c r="BF3808" s="330"/>
      <c r="BG3808" s="333"/>
      <c r="BH3808" s="1119"/>
      <c r="BI3808" s="319"/>
      <c r="BJ3808" s="319"/>
      <c r="BK3808" s="319"/>
      <c r="BL3808" s="319"/>
      <c r="BM3808" s="319"/>
      <c r="BN3808" s="319"/>
      <c r="BO3808" s="319"/>
      <c r="BP3808" s="953"/>
      <c r="BQ3808" s="319"/>
      <c r="BR3808" s="319"/>
      <c r="BS3808" s="330"/>
      <c r="BT3808" s="331"/>
      <c r="BU3808" s="920"/>
      <c r="BV3808" s="903"/>
      <c r="BW3808" s="908"/>
      <c r="BX3808" s="908"/>
      <c r="BY3808" s="331"/>
      <c r="BZ3808" s="331"/>
      <c r="CA3808" s="462"/>
      <c r="CB3808" s="319"/>
      <c r="CC3808" s="319"/>
      <c r="CD3808" s="319"/>
      <c r="CE3808" s="319"/>
      <c r="CF3808" s="319"/>
      <c r="CG3808" s="319"/>
      <c r="CH3808" s="318"/>
      <c r="CI3808" s="319"/>
      <c r="CJ3808" s="319"/>
      <c r="CK3808" s="342"/>
      <c r="CL3808" s="333"/>
      <c r="CM3808" s="1079"/>
      <c r="CN3808" s="1005"/>
      <c r="CO3808" s="1005"/>
      <c r="CP3808" s="1005"/>
    </row>
    <row r="3809">
      <c r="A3809" s="1257"/>
      <c r="B3809" s="1113"/>
      <c r="C3809" s="1107"/>
      <c r="D3809" s="103"/>
      <c r="E3809" s="1137"/>
      <c r="F3809" s="112"/>
      <c r="G3809" s="1110"/>
      <c r="H3809" s="1138"/>
      <c r="I3809" s="1138"/>
      <c r="J3809" s="1139"/>
      <c r="K3809" s="1111"/>
      <c r="L3809" s="1112"/>
      <c r="M3809" s="1113"/>
      <c r="N3809" s="110"/>
      <c r="O3809" s="1140"/>
      <c r="P3809" s="1115"/>
      <c r="Q3809" s="1116"/>
      <c r="R3809" s="1141"/>
      <c r="S3809" s="1113"/>
      <c r="T3809" s="1143"/>
      <c r="U3809" s="1108"/>
      <c r="V3809" s="1108"/>
      <c r="W3809" s="1108"/>
      <c r="X3809" s="1108"/>
      <c r="Y3809" s="1108"/>
      <c r="Z3809" s="1114"/>
      <c r="AA3809" s="1114"/>
      <c r="AB3809" s="1114"/>
      <c r="AC3809" s="1117"/>
      <c r="AD3809" s="1115"/>
      <c r="AE3809" s="1115"/>
      <c r="AF3809" s="1115"/>
      <c r="AG3809" s="1115"/>
      <c r="AH3809" s="1115"/>
      <c r="AI3809" s="1115"/>
      <c r="AJ3809" s="1117"/>
      <c r="AK3809" s="1118"/>
      <c r="AL3809" s="1115"/>
      <c r="AM3809" s="1115"/>
      <c r="AN3809" s="1115"/>
      <c r="AO3809" s="1115"/>
      <c r="AP3809" s="1115"/>
      <c r="AQ3809" s="1115"/>
      <c r="AR3809" s="1115"/>
      <c r="AS3809" s="1117"/>
      <c r="AT3809" s="1075"/>
      <c r="AU3809" s="1193"/>
      <c r="AV3809" s="330"/>
      <c r="AW3809" s="331"/>
      <c r="AX3809" s="331"/>
      <c r="AY3809" s="331"/>
      <c r="AZ3809" s="331"/>
      <c r="BA3809" s="331"/>
      <c r="BB3809" s="331"/>
      <c r="BC3809" s="331"/>
      <c r="BD3809" s="331"/>
      <c r="BE3809" s="333"/>
      <c r="BF3809" s="330"/>
      <c r="BG3809" s="333"/>
      <c r="BH3809" s="1119"/>
      <c r="BI3809" s="319"/>
      <c r="BJ3809" s="319"/>
      <c r="BK3809" s="319"/>
      <c r="BL3809" s="319"/>
      <c r="BM3809" s="319"/>
      <c r="BN3809" s="319"/>
      <c r="BO3809" s="319"/>
      <c r="BP3809" s="953"/>
      <c r="BQ3809" s="319"/>
      <c r="BR3809" s="319"/>
      <c r="BS3809" s="330"/>
      <c r="BT3809" s="331"/>
      <c r="BU3809" s="920"/>
      <c r="BV3809" s="903"/>
      <c r="BW3809" s="908"/>
      <c r="BX3809" s="908"/>
      <c r="BY3809" s="331"/>
      <c r="BZ3809" s="331"/>
      <c r="CA3809" s="462"/>
      <c r="CB3809" s="319"/>
      <c r="CC3809" s="319"/>
      <c r="CD3809" s="319"/>
      <c r="CE3809" s="319"/>
      <c r="CF3809" s="319"/>
      <c r="CG3809" s="319"/>
      <c r="CH3809" s="318"/>
      <c r="CI3809" s="319"/>
      <c r="CJ3809" s="319"/>
      <c r="CK3809" s="342"/>
      <c r="CL3809" s="333"/>
      <c r="CM3809" s="1079"/>
      <c r="CN3809" s="1005"/>
      <c r="CO3809" s="1005"/>
      <c r="CP3809" s="1005"/>
    </row>
    <row r="3810">
      <c r="A3810" s="1257"/>
      <c r="B3810" s="1113"/>
      <c r="C3810" s="1107"/>
      <c r="D3810" s="103"/>
      <c r="E3810" s="1137"/>
      <c r="F3810" s="112"/>
      <c r="G3810" s="1110"/>
      <c r="H3810" s="1138"/>
      <c r="I3810" s="1138"/>
      <c r="J3810" s="1139"/>
      <c r="K3810" s="1111"/>
      <c r="L3810" s="1112"/>
      <c r="M3810" s="1113"/>
      <c r="N3810" s="110"/>
      <c r="O3810" s="1140"/>
      <c r="P3810" s="1115"/>
      <c r="Q3810" s="1116"/>
      <c r="R3810" s="1141"/>
      <c r="S3810" s="1113"/>
      <c r="T3810" s="1143"/>
      <c r="U3810" s="1108"/>
      <c r="V3810" s="1108"/>
      <c r="W3810" s="1108"/>
      <c r="X3810" s="1108"/>
      <c r="Y3810" s="1108"/>
      <c r="Z3810" s="1114"/>
      <c r="AA3810" s="1114"/>
      <c r="AB3810" s="1114"/>
      <c r="AC3810" s="1117"/>
      <c r="AD3810" s="1115"/>
      <c r="AE3810" s="1115"/>
      <c r="AF3810" s="1115"/>
      <c r="AG3810" s="1115"/>
      <c r="AH3810" s="1115"/>
      <c r="AI3810" s="1115"/>
      <c r="AJ3810" s="1117"/>
      <c r="AK3810" s="1118"/>
      <c r="AL3810" s="1115"/>
      <c r="AM3810" s="1115"/>
      <c r="AN3810" s="1115"/>
      <c r="AO3810" s="1115"/>
      <c r="AP3810" s="1115"/>
      <c r="AQ3810" s="1115"/>
      <c r="AR3810" s="1115"/>
      <c r="AS3810" s="1117"/>
      <c r="AT3810" s="1075"/>
      <c r="AU3810" s="1193"/>
      <c r="AV3810" s="330"/>
      <c r="AW3810" s="331"/>
      <c r="AX3810" s="331"/>
      <c r="AY3810" s="331"/>
      <c r="AZ3810" s="331"/>
      <c r="BA3810" s="331"/>
      <c r="BB3810" s="331"/>
      <c r="BC3810" s="331"/>
      <c r="BD3810" s="331"/>
      <c r="BE3810" s="333"/>
      <c r="BF3810" s="330"/>
      <c r="BG3810" s="333"/>
      <c r="BH3810" s="1119"/>
      <c r="BI3810" s="319"/>
      <c r="BJ3810" s="319"/>
      <c r="BK3810" s="319"/>
      <c r="BL3810" s="319"/>
      <c r="BM3810" s="319"/>
      <c r="BN3810" s="319"/>
      <c r="BO3810" s="319"/>
      <c r="BP3810" s="953"/>
      <c r="BQ3810" s="319"/>
      <c r="BR3810" s="319"/>
      <c r="BS3810" s="330"/>
      <c r="BT3810" s="331"/>
      <c r="BU3810" s="920"/>
      <c r="BV3810" s="903"/>
      <c r="BW3810" s="908"/>
      <c r="BX3810" s="908"/>
      <c r="BY3810" s="331"/>
      <c r="BZ3810" s="331"/>
      <c r="CA3810" s="462"/>
      <c r="CB3810" s="319"/>
      <c r="CC3810" s="319"/>
      <c r="CD3810" s="319"/>
      <c r="CE3810" s="319"/>
      <c r="CF3810" s="319"/>
      <c r="CG3810" s="319"/>
      <c r="CH3810" s="318"/>
      <c r="CI3810" s="319"/>
      <c r="CJ3810" s="319"/>
      <c r="CK3810" s="342"/>
      <c r="CL3810" s="333"/>
      <c r="CM3810" s="1079"/>
      <c r="CN3810" s="1005"/>
      <c r="CO3810" s="1005"/>
      <c r="CP3810" s="1005"/>
    </row>
    <row r="3811">
      <c r="A3811" s="1257"/>
      <c r="B3811" s="1113"/>
      <c r="C3811" s="1107"/>
      <c r="D3811" s="103"/>
      <c r="E3811" s="1137"/>
      <c r="F3811" s="112"/>
      <c r="G3811" s="1110"/>
      <c r="H3811" s="1138"/>
      <c r="I3811" s="1138"/>
      <c r="J3811" s="1139"/>
      <c r="K3811" s="1111"/>
      <c r="L3811" s="1112"/>
      <c r="M3811" s="1113"/>
      <c r="N3811" s="110"/>
      <c r="O3811" s="1140"/>
      <c r="P3811" s="1115"/>
      <c r="Q3811" s="1116"/>
      <c r="R3811" s="1141"/>
      <c r="S3811" s="1113"/>
      <c r="T3811" s="1143"/>
      <c r="U3811" s="1108"/>
      <c r="V3811" s="1108"/>
      <c r="W3811" s="1108"/>
      <c r="X3811" s="1108"/>
      <c r="Y3811" s="1108"/>
      <c r="Z3811" s="1114"/>
      <c r="AA3811" s="1114"/>
      <c r="AB3811" s="1114"/>
      <c r="AC3811" s="1117"/>
      <c r="AD3811" s="1115"/>
      <c r="AE3811" s="1115"/>
      <c r="AF3811" s="1115"/>
      <c r="AG3811" s="1115"/>
      <c r="AH3811" s="1115"/>
      <c r="AI3811" s="1115"/>
      <c r="AJ3811" s="1117"/>
      <c r="AK3811" s="1118"/>
      <c r="AL3811" s="1115"/>
      <c r="AM3811" s="1115"/>
      <c r="AN3811" s="1115"/>
      <c r="AO3811" s="1115"/>
      <c r="AP3811" s="1115"/>
      <c r="AQ3811" s="1115"/>
      <c r="AR3811" s="1115"/>
      <c r="AS3811" s="1117"/>
      <c r="AT3811" s="1075"/>
      <c r="AU3811" s="1193"/>
      <c r="AV3811" s="330"/>
      <c r="AW3811" s="331"/>
      <c r="AX3811" s="331"/>
      <c r="AY3811" s="331"/>
      <c r="AZ3811" s="331"/>
      <c r="BA3811" s="331"/>
      <c r="BB3811" s="331"/>
      <c r="BC3811" s="331"/>
      <c r="BD3811" s="331"/>
      <c r="BE3811" s="333"/>
      <c r="BF3811" s="330"/>
      <c r="BG3811" s="333"/>
      <c r="BH3811" s="1119"/>
      <c r="BI3811" s="319"/>
      <c r="BJ3811" s="319"/>
      <c r="BK3811" s="319"/>
      <c r="BL3811" s="319"/>
      <c r="BM3811" s="319"/>
      <c r="BN3811" s="319"/>
      <c r="BO3811" s="319"/>
      <c r="BP3811" s="953"/>
      <c r="BQ3811" s="319"/>
      <c r="BR3811" s="319"/>
      <c r="BS3811" s="330"/>
      <c r="BT3811" s="331"/>
      <c r="BU3811" s="920"/>
      <c r="BV3811" s="903"/>
      <c r="BW3811" s="908"/>
      <c r="BX3811" s="908"/>
      <c r="BY3811" s="331"/>
      <c r="BZ3811" s="331"/>
      <c r="CA3811" s="462"/>
      <c r="CB3811" s="319"/>
      <c r="CC3811" s="319"/>
      <c r="CD3811" s="319"/>
      <c r="CE3811" s="319"/>
      <c r="CF3811" s="319"/>
      <c r="CG3811" s="319"/>
      <c r="CH3811" s="318"/>
      <c r="CI3811" s="319"/>
      <c r="CJ3811" s="319"/>
      <c r="CK3811" s="342"/>
      <c r="CL3811" s="333"/>
      <c r="CM3811" s="1079"/>
      <c r="CN3811" s="1005"/>
      <c r="CO3811" s="1005"/>
      <c r="CP3811" s="1005"/>
    </row>
    <row r="3812">
      <c r="A3812" s="1257"/>
      <c r="B3812" s="1113"/>
      <c r="C3812" s="1107"/>
      <c r="D3812" s="103"/>
      <c r="E3812" s="1137"/>
      <c r="F3812" s="112"/>
      <c r="G3812" s="1110"/>
      <c r="H3812" s="1138"/>
      <c r="I3812" s="1138"/>
      <c r="J3812" s="1139"/>
      <c r="K3812" s="1111"/>
      <c r="L3812" s="1112"/>
      <c r="M3812" s="1113"/>
      <c r="N3812" s="110"/>
      <c r="O3812" s="1140"/>
      <c r="P3812" s="1115"/>
      <c r="Q3812" s="1116"/>
      <c r="R3812" s="1141"/>
      <c r="S3812" s="1113"/>
      <c r="T3812" s="1143"/>
      <c r="U3812" s="1108"/>
      <c r="V3812" s="1108"/>
      <c r="W3812" s="1108"/>
      <c r="X3812" s="1108"/>
      <c r="Y3812" s="1108"/>
      <c r="Z3812" s="1114"/>
      <c r="AA3812" s="1114"/>
      <c r="AB3812" s="1114"/>
      <c r="AC3812" s="1117"/>
      <c r="AD3812" s="1115"/>
      <c r="AE3812" s="1115"/>
      <c r="AF3812" s="1115"/>
      <c r="AG3812" s="1115"/>
      <c r="AH3812" s="1115"/>
      <c r="AI3812" s="1115"/>
      <c r="AJ3812" s="1117"/>
      <c r="AK3812" s="1118"/>
      <c r="AL3812" s="1115"/>
      <c r="AM3812" s="1115"/>
      <c r="AN3812" s="1115"/>
      <c r="AO3812" s="1115"/>
      <c r="AP3812" s="1115"/>
      <c r="AQ3812" s="1115"/>
      <c r="AR3812" s="1115"/>
      <c r="AS3812" s="1117"/>
      <c r="AT3812" s="1075"/>
      <c r="AU3812" s="1193"/>
      <c r="AV3812" s="330"/>
      <c r="AW3812" s="331"/>
      <c r="AX3812" s="331"/>
      <c r="AY3812" s="331"/>
      <c r="AZ3812" s="331"/>
      <c r="BA3812" s="331"/>
      <c r="BB3812" s="331"/>
      <c r="BC3812" s="331"/>
      <c r="BD3812" s="331"/>
      <c r="BE3812" s="333"/>
      <c r="BF3812" s="330"/>
      <c r="BG3812" s="333"/>
      <c r="BH3812" s="1119"/>
      <c r="BI3812" s="319"/>
      <c r="BJ3812" s="319"/>
      <c r="BK3812" s="319"/>
      <c r="BL3812" s="319"/>
      <c r="BM3812" s="319"/>
      <c r="BN3812" s="319"/>
      <c r="BO3812" s="319"/>
      <c r="BP3812" s="953"/>
      <c r="BQ3812" s="319"/>
      <c r="BR3812" s="319"/>
      <c r="BS3812" s="330"/>
      <c r="BT3812" s="331"/>
      <c r="BU3812" s="920"/>
      <c r="BV3812" s="903"/>
      <c r="BW3812" s="908"/>
      <c r="BX3812" s="908"/>
      <c r="BY3812" s="331"/>
      <c r="BZ3812" s="331"/>
      <c r="CA3812" s="462"/>
      <c r="CB3812" s="319"/>
      <c r="CC3812" s="319"/>
      <c r="CD3812" s="319"/>
      <c r="CE3812" s="319"/>
      <c r="CF3812" s="319"/>
      <c r="CG3812" s="319"/>
      <c r="CH3812" s="318"/>
      <c r="CI3812" s="319"/>
      <c r="CJ3812" s="319"/>
      <c r="CK3812" s="342"/>
      <c r="CL3812" s="333"/>
      <c r="CM3812" s="1079"/>
      <c r="CN3812" s="1005"/>
      <c r="CO3812" s="1005"/>
      <c r="CP3812" s="1005"/>
    </row>
    <row r="3813">
      <c r="A3813" s="1257"/>
      <c r="B3813" s="1113"/>
      <c r="C3813" s="1107"/>
      <c r="D3813" s="103"/>
      <c r="E3813" s="1137"/>
      <c r="F3813" s="112"/>
      <c r="G3813" s="1110"/>
      <c r="H3813" s="1138"/>
      <c r="I3813" s="1138"/>
      <c r="J3813" s="1139"/>
      <c r="K3813" s="1111"/>
      <c r="L3813" s="1112"/>
      <c r="M3813" s="1113"/>
      <c r="N3813" s="110"/>
      <c r="O3813" s="1140"/>
      <c r="P3813" s="1115"/>
      <c r="Q3813" s="1116"/>
      <c r="R3813" s="1141"/>
      <c r="S3813" s="1113"/>
      <c r="T3813" s="1143"/>
      <c r="U3813" s="1108"/>
      <c r="V3813" s="1108"/>
      <c r="W3813" s="1108"/>
      <c r="X3813" s="1108"/>
      <c r="Y3813" s="1108"/>
      <c r="Z3813" s="1114"/>
      <c r="AA3813" s="1114"/>
      <c r="AB3813" s="1114"/>
      <c r="AC3813" s="1117"/>
      <c r="AD3813" s="1115"/>
      <c r="AE3813" s="1115"/>
      <c r="AF3813" s="1115"/>
      <c r="AG3813" s="1115"/>
      <c r="AH3813" s="1115"/>
      <c r="AI3813" s="1115"/>
      <c r="AJ3813" s="1117"/>
      <c r="AK3813" s="1118"/>
      <c r="AL3813" s="1115"/>
      <c r="AM3813" s="1115"/>
      <c r="AN3813" s="1115"/>
      <c r="AO3813" s="1115"/>
      <c r="AP3813" s="1115"/>
      <c r="AQ3813" s="1115"/>
      <c r="AR3813" s="1115"/>
      <c r="AS3813" s="1117"/>
      <c r="AT3813" s="1075"/>
      <c r="AU3813" s="1193"/>
      <c r="AV3813" s="330"/>
      <c r="AW3813" s="331"/>
      <c r="AX3813" s="331"/>
      <c r="AY3813" s="331"/>
      <c r="AZ3813" s="331"/>
      <c r="BA3813" s="331"/>
      <c r="BB3813" s="331"/>
      <c r="BC3813" s="331"/>
      <c r="BD3813" s="331"/>
      <c r="BE3813" s="333"/>
      <c r="BF3813" s="330"/>
      <c r="BG3813" s="333"/>
      <c r="BH3813" s="1119"/>
      <c r="BI3813" s="319"/>
      <c r="BJ3813" s="319"/>
      <c r="BK3813" s="319"/>
      <c r="BL3813" s="319"/>
      <c r="BM3813" s="319"/>
      <c r="BN3813" s="319"/>
      <c r="BO3813" s="319"/>
      <c r="BP3813" s="953"/>
      <c r="BQ3813" s="319"/>
      <c r="BR3813" s="319"/>
      <c r="BS3813" s="330"/>
      <c r="BT3813" s="331"/>
      <c r="BU3813" s="920"/>
      <c r="BV3813" s="903"/>
      <c r="BW3813" s="908"/>
      <c r="BX3813" s="908"/>
      <c r="BY3813" s="331"/>
      <c r="BZ3813" s="331"/>
      <c r="CA3813" s="462"/>
      <c r="CB3813" s="319"/>
      <c r="CC3813" s="319"/>
      <c r="CD3813" s="319"/>
      <c r="CE3813" s="319"/>
      <c r="CF3813" s="319"/>
      <c r="CG3813" s="319"/>
      <c r="CH3813" s="318"/>
      <c r="CI3813" s="319"/>
      <c r="CJ3813" s="319"/>
      <c r="CK3813" s="342"/>
      <c r="CL3813" s="333"/>
      <c r="CM3813" s="1079"/>
      <c r="CN3813" s="1005"/>
      <c r="CO3813" s="1005"/>
      <c r="CP3813" s="1005"/>
    </row>
    <row r="3814">
      <c r="A3814" s="1257"/>
      <c r="B3814" s="1113"/>
      <c r="C3814" s="1107"/>
      <c r="D3814" s="103"/>
      <c r="E3814" s="1137"/>
      <c r="F3814" s="112"/>
      <c r="G3814" s="1110"/>
      <c r="H3814" s="1138"/>
      <c r="I3814" s="1138"/>
      <c r="J3814" s="1139"/>
      <c r="K3814" s="1111"/>
      <c r="L3814" s="1112"/>
      <c r="M3814" s="1113"/>
      <c r="N3814" s="110"/>
      <c r="O3814" s="1140"/>
      <c r="P3814" s="1115"/>
      <c r="Q3814" s="1116"/>
      <c r="R3814" s="1141"/>
      <c r="S3814" s="1113"/>
      <c r="T3814" s="1143"/>
      <c r="U3814" s="1108"/>
      <c r="V3814" s="1108"/>
      <c r="W3814" s="1108"/>
      <c r="X3814" s="1108"/>
      <c r="Y3814" s="1108"/>
      <c r="Z3814" s="1114"/>
      <c r="AA3814" s="1114"/>
      <c r="AB3814" s="1114"/>
      <c r="AC3814" s="1117"/>
      <c r="AD3814" s="1115"/>
      <c r="AE3814" s="1115"/>
      <c r="AF3814" s="1115"/>
      <c r="AG3814" s="1115"/>
      <c r="AH3814" s="1115"/>
      <c r="AI3814" s="1115"/>
      <c r="AJ3814" s="1117"/>
      <c r="AK3814" s="1118"/>
      <c r="AL3814" s="1115"/>
      <c r="AM3814" s="1115"/>
      <c r="AN3814" s="1115"/>
      <c r="AO3814" s="1115"/>
      <c r="AP3814" s="1115"/>
      <c r="AQ3814" s="1115"/>
      <c r="AR3814" s="1115"/>
      <c r="AS3814" s="1117"/>
      <c r="AT3814" s="1075"/>
      <c r="AU3814" s="1193"/>
      <c r="AV3814" s="330"/>
      <c r="AW3814" s="331"/>
      <c r="AX3814" s="331"/>
      <c r="AY3814" s="331"/>
      <c r="AZ3814" s="331"/>
      <c r="BA3814" s="331"/>
      <c r="BB3814" s="331"/>
      <c r="BC3814" s="331"/>
      <c r="BD3814" s="331"/>
      <c r="BE3814" s="333"/>
      <c r="BF3814" s="330"/>
      <c r="BG3814" s="333"/>
      <c r="BH3814" s="1119"/>
      <c r="BI3814" s="319"/>
      <c r="BJ3814" s="319"/>
      <c r="BK3814" s="319"/>
      <c r="BL3814" s="319"/>
      <c r="BM3814" s="319"/>
      <c r="BN3814" s="319"/>
      <c r="BO3814" s="319"/>
      <c r="BP3814" s="953"/>
      <c r="BQ3814" s="319"/>
      <c r="BR3814" s="319"/>
      <c r="BS3814" s="330"/>
      <c r="BT3814" s="331"/>
      <c r="BU3814" s="920"/>
      <c r="BV3814" s="903"/>
      <c r="BW3814" s="908"/>
      <c r="BX3814" s="908"/>
      <c r="BY3814" s="331"/>
      <c r="BZ3814" s="331"/>
      <c r="CA3814" s="462"/>
      <c r="CB3814" s="319"/>
      <c r="CC3814" s="319"/>
      <c r="CD3814" s="319"/>
      <c r="CE3814" s="319"/>
      <c r="CF3814" s="319"/>
      <c r="CG3814" s="319"/>
      <c r="CH3814" s="318"/>
      <c r="CI3814" s="319"/>
      <c r="CJ3814" s="319"/>
      <c r="CK3814" s="342"/>
      <c r="CL3814" s="333"/>
      <c r="CM3814" s="1079"/>
      <c r="CN3814" s="1005"/>
      <c r="CO3814" s="1005"/>
      <c r="CP3814" s="1005"/>
    </row>
    <row r="3815">
      <c r="A3815" s="1257"/>
      <c r="B3815" s="1113"/>
      <c r="C3815" s="1107"/>
      <c r="D3815" s="103"/>
      <c r="E3815" s="1137"/>
      <c r="F3815" s="112"/>
      <c r="G3815" s="1110"/>
      <c r="H3815" s="1138"/>
      <c r="I3815" s="1138"/>
      <c r="J3815" s="1139"/>
      <c r="K3815" s="1111"/>
      <c r="L3815" s="1112"/>
      <c r="M3815" s="1113"/>
      <c r="N3815" s="110"/>
      <c r="O3815" s="1140"/>
      <c r="P3815" s="1115"/>
      <c r="Q3815" s="1116"/>
      <c r="R3815" s="1141"/>
      <c r="S3815" s="1113"/>
      <c r="T3815" s="1143"/>
      <c r="U3815" s="1108"/>
      <c r="V3815" s="1108"/>
      <c r="W3815" s="1108"/>
      <c r="X3815" s="1108"/>
      <c r="Y3815" s="1108"/>
      <c r="Z3815" s="1114"/>
      <c r="AA3815" s="1114"/>
      <c r="AB3815" s="1114"/>
      <c r="AC3815" s="1117"/>
      <c r="AD3815" s="1115"/>
      <c r="AE3815" s="1115"/>
      <c r="AF3815" s="1115"/>
      <c r="AG3815" s="1115"/>
      <c r="AH3815" s="1115"/>
      <c r="AI3815" s="1115"/>
      <c r="AJ3815" s="1117"/>
      <c r="AK3815" s="1118"/>
      <c r="AL3815" s="1115"/>
      <c r="AM3815" s="1115"/>
      <c r="AN3815" s="1115"/>
      <c r="AO3815" s="1115"/>
      <c r="AP3815" s="1115"/>
      <c r="AQ3815" s="1115"/>
      <c r="AR3815" s="1115"/>
      <c r="AS3815" s="1117"/>
      <c r="AT3815" s="1075"/>
      <c r="AU3815" s="1193"/>
      <c r="AV3815" s="330"/>
      <c r="AW3815" s="331"/>
      <c r="AX3815" s="331"/>
      <c r="AY3815" s="331"/>
      <c r="AZ3815" s="331"/>
      <c r="BA3815" s="331"/>
      <c r="BB3815" s="331"/>
      <c r="BC3815" s="331"/>
      <c r="BD3815" s="331"/>
      <c r="BE3815" s="333"/>
      <c r="BF3815" s="330"/>
      <c r="BG3815" s="333"/>
      <c r="BH3815" s="1119"/>
      <c r="BI3815" s="319"/>
      <c r="BJ3815" s="319"/>
      <c r="BK3815" s="319"/>
      <c r="BL3815" s="319"/>
      <c r="BM3815" s="319"/>
      <c r="BN3815" s="319"/>
      <c r="BO3815" s="319"/>
      <c r="BP3815" s="953"/>
      <c r="BQ3815" s="319"/>
      <c r="BR3815" s="319"/>
      <c r="BS3815" s="330"/>
      <c r="BT3815" s="331"/>
      <c r="BU3815" s="920"/>
      <c r="BV3815" s="903"/>
      <c r="BW3815" s="908"/>
      <c r="BX3815" s="908"/>
      <c r="BY3815" s="331"/>
      <c r="BZ3815" s="331"/>
      <c r="CA3815" s="462"/>
      <c r="CB3815" s="319"/>
      <c r="CC3815" s="319"/>
      <c r="CD3815" s="319"/>
      <c r="CE3815" s="319"/>
      <c r="CF3815" s="319"/>
      <c r="CG3815" s="319"/>
      <c r="CH3815" s="318"/>
      <c r="CI3815" s="319"/>
      <c r="CJ3815" s="319"/>
      <c r="CK3815" s="342"/>
      <c r="CL3815" s="333"/>
      <c r="CM3815" s="1079"/>
      <c r="CN3815" s="1005"/>
      <c r="CO3815" s="1005"/>
      <c r="CP3815" s="1005"/>
    </row>
    <row r="3816">
      <c r="A3816" s="1257"/>
      <c r="B3816" s="1113"/>
      <c r="C3816" s="1107"/>
      <c r="D3816" s="103"/>
      <c r="E3816" s="1137"/>
      <c r="F3816" s="112"/>
      <c r="G3816" s="1110"/>
      <c r="H3816" s="1138"/>
      <c r="I3816" s="1138"/>
      <c r="J3816" s="1139"/>
      <c r="K3816" s="1111"/>
      <c r="L3816" s="1112"/>
      <c r="M3816" s="1113"/>
      <c r="N3816" s="110"/>
      <c r="O3816" s="1140"/>
      <c r="P3816" s="1115"/>
      <c r="Q3816" s="1116"/>
      <c r="R3816" s="1141"/>
      <c r="S3816" s="1113"/>
      <c r="T3816" s="1143"/>
      <c r="U3816" s="1108"/>
      <c r="V3816" s="1108"/>
      <c r="W3816" s="1108"/>
      <c r="X3816" s="1108"/>
      <c r="Y3816" s="1108"/>
      <c r="Z3816" s="1114"/>
      <c r="AA3816" s="1114"/>
      <c r="AB3816" s="1114"/>
      <c r="AC3816" s="1117"/>
      <c r="AD3816" s="1115"/>
      <c r="AE3816" s="1115"/>
      <c r="AF3816" s="1115"/>
      <c r="AG3816" s="1115"/>
      <c r="AH3816" s="1115"/>
      <c r="AI3816" s="1115"/>
      <c r="AJ3816" s="1117"/>
      <c r="AK3816" s="1118"/>
      <c r="AL3816" s="1115"/>
      <c r="AM3816" s="1115"/>
      <c r="AN3816" s="1115"/>
      <c r="AO3816" s="1115"/>
      <c r="AP3816" s="1115"/>
      <c r="AQ3816" s="1115"/>
      <c r="AR3816" s="1115"/>
      <c r="AS3816" s="1117"/>
      <c r="AT3816" s="1075"/>
      <c r="AU3816" s="1193"/>
      <c r="AV3816" s="330"/>
      <c r="AW3816" s="331"/>
      <c r="AX3816" s="331"/>
      <c r="AY3816" s="331"/>
      <c r="AZ3816" s="331"/>
      <c r="BA3816" s="331"/>
      <c r="BB3816" s="331"/>
      <c r="BC3816" s="331"/>
      <c r="BD3816" s="331"/>
      <c r="BE3816" s="333"/>
      <c r="BF3816" s="330"/>
      <c r="BG3816" s="333"/>
      <c r="BH3816" s="1119"/>
      <c r="BI3816" s="319"/>
      <c r="BJ3816" s="319"/>
      <c r="BK3816" s="319"/>
      <c r="BL3816" s="319"/>
      <c r="BM3816" s="319"/>
      <c r="BN3816" s="319"/>
      <c r="BO3816" s="319"/>
      <c r="BP3816" s="953"/>
      <c r="BQ3816" s="319"/>
      <c r="BR3816" s="319"/>
      <c r="BS3816" s="330"/>
      <c r="BT3816" s="331"/>
      <c r="BU3816" s="920"/>
      <c r="BV3816" s="903"/>
      <c r="BW3816" s="908"/>
      <c r="BX3816" s="908"/>
      <c r="BY3816" s="331"/>
      <c r="BZ3816" s="331"/>
      <c r="CA3816" s="462"/>
      <c r="CB3816" s="319"/>
      <c r="CC3816" s="319"/>
      <c r="CD3816" s="319"/>
      <c r="CE3816" s="319"/>
      <c r="CF3816" s="319"/>
      <c r="CG3816" s="319"/>
      <c r="CH3816" s="318"/>
      <c r="CI3816" s="319"/>
      <c r="CJ3816" s="319"/>
      <c r="CK3816" s="342"/>
      <c r="CL3816" s="333"/>
      <c r="CM3816" s="1079"/>
      <c r="CN3816" s="1005"/>
      <c r="CO3816" s="1005"/>
      <c r="CP3816" s="1005"/>
    </row>
    <row r="3817">
      <c r="A3817" s="1257"/>
      <c r="B3817" s="1113"/>
      <c r="C3817" s="1107"/>
      <c r="D3817" s="103"/>
      <c r="E3817" s="1137"/>
      <c r="F3817" s="112"/>
      <c r="G3817" s="1110"/>
      <c r="H3817" s="1138"/>
      <c r="I3817" s="1138"/>
      <c r="J3817" s="1139"/>
      <c r="K3817" s="1111"/>
      <c r="L3817" s="1112"/>
      <c r="M3817" s="1113"/>
      <c r="N3817" s="110"/>
      <c r="O3817" s="1140"/>
      <c r="P3817" s="1115"/>
      <c r="Q3817" s="1116"/>
      <c r="R3817" s="1141"/>
      <c r="S3817" s="1113"/>
      <c r="T3817" s="1143"/>
      <c r="U3817" s="1108"/>
      <c r="V3817" s="1108"/>
      <c r="W3817" s="1108"/>
      <c r="X3817" s="1108"/>
      <c r="Y3817" s="1108"/>
      <c r="Z3817" s="1114"/>
      <c r="AA3817" s="1114"/>
      <c r="AB3817" s="1114"/>
      <c r="AC3817" s="1117"/>
      <c r="AD3817" s="1115"/>
      <c r="AE3817" s="1115"/>
      <c r="AF3817" s="1115"/>
      <c r="AG3817" s="1115"/>
      <c r="AH3817" s="1115"/>
      <c r="AI3817" s="1115"/>
      <c r="AJ3817" s="1117"/>
      <c r="AK3817" s="1118"/>
      <c r="AL3817" s="1115"/>
      <c r="AM3817" s="1115"/>
      <c r="AN3817" s="1115"/>
      <c r="AO3817" s="1115"/>
      <c r="AP3817" s="1115"/>
      <c r="AQ3817" s="1115"/>
      <c r="AR3817" s="1115"/>
      <c r="AS3817" s="1117"/>
      <c r="AT3817" s="1075"/>
      <c r="AU3817" s="1193"/>
      <c r="AV3817" s="330"/>
      <c r="AW3817" s="331"/>
      <c r="AX3817" s="331"/>
      <c r="AY3817" s="331"/>
      <c r="AZ3817" s="331"/>
      <c r="BA3817" s="331"/>
      <c r="BB3817" s="331"/>
      <c r="BC3817" s="331"/>
      <c r="BD3817" s="331"/>
      <c r="BE3817" s="333"/>
      <c r="BF3817" s="330"/>
      <c r="BG3817" s="333"/>
      <c r="BH3817" s="1119"/>
      <c r="BI3817" s="319"/>
      <c r="BJ3817" s="319"/>
      <c r="BK3817" s="319"/>
      <c r="BL3817" s="319"/>
      <c r="BM3817" s="319"/>
      <c r="BN3817" s="319"/>
      <c r="BO3817" s="319"/>
      <c r="BP3817" s="953"/>
      <c r="BQ3817" s="319"/>
      <c r="BR3817" s="319"/>
      <c r="BS3817" s="330"/>
      <c r="BT3817" s="331"/>
      <c r="BU3817" s="920"/>
      <c r="BV3817" s="903"/>
      <c r="BW3817" s="908"/>
      <c r="BX3817" s="908"/>
      <c r="BY3817" s="331"/>
      <c r="BZ3817" s="331"/>
      <c r="CA3817" s="462"/>
      <c r="CB3817" s="319"/>
      <c r="CC3817" s="319"/>
      <c r="CD3817" s="319"/>
      <c r="CE3817" s="319"/>
      <c r="CF3817" s="319"/>
      <c r="CG3817" s="319"/>
      <c r="CH3817" s="318"/>
      <c r="CI3817" s="319"/>
      <c r="CJ3817" s="319"/>
      <c r="CK3817" s="342"/>
      <c r="CL3817" s="333"/>
      <c r="CM3817" s="1079"/>
      <c r="CN3817" s="1005"/>
      <c r="CO3817" s="1005"/>
      <c r="CP3817" s="1005"/>
    </row>
    <row r="3818">
      <c r="A3818" s="1257"/>
      <c r="B3818" s="1113"/>
      <c r="C3818" s="1107"/>
      <c r="D3818" s="103"/>
      <c r="E3818" s="1137"/>
      <c r="F3818" s="112"/>
      <c r="G3818" s="1110"/>
      <c r="H3818" s="1138"/>
      <c r="I3818" s="1138"/>
      <c r="J3818" s="1139"/>
      <c r="K3818" s="1111"/>
      <c r="L3818" s="1112"/>
      <c r="M3818" s="1113"/>
      <c r="N3818" s="110"/>
      <c r="O3818" s="1140"/>
      <c r="P3818" s="1115"/>
      <c r="Q3818" s="1116"/>
      <c r="R3818" s="1141"/>
      <c r="S3818" s="1113"/>
      <c r="T3818" s="1143"/>
      <c r="U3818" s="1108"/>
      <c r="V3818" s="1108"/>
      <c r="W3818" s="1108"/>
      <c r="X3818" s="1108"/>
      <c r="Y3818" s="1108"/>
      <c r="Z3818" s="1114"/>
      <c r="AA3818" s="1114"/>
      <c r="AB3818" s="1114"/>
      <c r="AC3818" s="1117"/>
      <c r="AD3818" s="1115"/>
      <c r="AE3818" s="1115"/>
      <c r="AF3818" s="1115"/>
      <c r="AG3818" s="1115"/>
      <c r="AH3818" s="1115"/>
      <c r="AI3818" s="1115"/>
      <c r="AJ3818" s="1117"/>
      <c r="AK3818" s="1118"/>
      <c r="AL3818" s="1115"/>
      <c r="AM3818" s="1115"/>
      <c r="AN3818" s="1115"/>
      <c r="AO3818" s="1115"/>
      <c r="AP3818" s="1115"/>
      <c r="AQ3818" s="1115"/>
      <c r="AR3818" s="1115"/>
      <c r="AS3818" s="1117"/>
      <c r="AT3818" s="1075"/>
      <c r="AU3818" s="1193"/>
      <c r="AV3818" s="330"/>
      <c r="AW3818" s="331"/>
      <c r="AX3818" s="331"/>
      <c r="AY3818" s="331"/>
      <c r="AZ3818" s="331"/>
      <c r="BA3818" s="331"/>
      <c r="BB3818" s="331"/>
      <c r="BC3818" s="331"/>
      <c r="BD3818" s="331"/>
      <c r="BE3818" s="333"/>
      <c r="BF3818" s="330"/>
      <c r="BG3818" s="333"/>
      <c r="BH3818" s="1119"/>
      <c r="BI3818" s="319"/>
      <c r="BJ3818" s="319"/>
      <c r="BK3818" s="319"/>
      <c r="BL3818" s="319"/>
      <c r="BM3818" s="319"/>
      <c r="BN3818" s="319"/>
      <c r="BO3818" s="319"/>
      <c r="BP3818" s="953"/>
      <c r="BQ3818" s="319"/>
      <c r="BR3818" s="319"/>
      <c r="BS3818" s="330"/>
      <c r="BT3818" s="331"/>
      <c r="BU3818" s="920"/>
      <c r="BV3818" s="903"/>
      <c r="BW3818" s="908"/>
      <c r="BX3818" s="908"/>
      <c r="BY3818" s="331"/>
      <c r="BZ3818" s="331"/>
      <c r="CA3818" s="462"/>
      <c r="CB3818" s="319"/>
      <c r="CC3818" s="319"/>
      <c r="CD3818" s="319"/>
      <c r="CE3818" s="319"/>
      <c r="CF3818" s="319"/>
      <c r="CG3818" s="319"/>
      <c r="CH3818" s="318"/>
      <c r="CI3818" s="319"/>
      <c r="CJ3818" s="319"/>
      <c r="CK3818" s="342"/>
      <c r="CL3818" s="333"/>
      <c r="CM3818" s="1079"/>
      <c r="CN3818" s="1005"/>
      <c r="CO3818" s="1005"/>
      <c r="CP3818" s="1005"/>
    </row>
    <row r="3819">
      <c r="A3819" s="1257"/>
      <c r="B3819" s="1113"/>
      <c r="C3819" s="1107"/>
      <c r="D3819" s="103"/>
      <c r="E3819" s="1137"/>
      <c r="F3819" s="112"/>
      <c r="G3819" s="1110"/>
      <c r="H3819" s="1138"/>
      <c r="I3819" s="1138"/>
      <c r="J3819" s="1139"/>
      <c r="K3819" s="1111"/>
      <c r="L3819" s="1112"/>
      <c r="M3819" s="1113"/>
      <c r="N3819" s="110"/>
      <c r="O3819" s="1140"/>
      <c r="P3819" s="1115"/>
      <c r="Q3819" s="1116"/>
      <c r="R3819" s="1141"/>
      <c r="S3819" s="1113"/>
      <c r="T3819" s="1143"/>
      <c r="U3819" s="1108"/>
      <c r="V3819" s="1108"/>
      <c r="W3819" s="1108"/>
      <c r="X3819" s="1108"/>
      <c r="Y3819" s="1108"/>
      <c r="Z3819" s="1114"/>
      <c r="AA3819" s="1114"/>
      <c r="AB3819" s="1114"/>
      <c r="AC3819" s="1117"/>
      <c r="AD3819" s="1115"/>
      <c r="AE3819" s="1115"/>
      <c r="AF3819" s="1115"/>
      <c r="AG3819" s="1115"/>
      <c r="AH3819" s="1115"/>
      <c r="AI3819" s="1115"/>
      <c r="AJ3819" s="1117"/>
      <c r="AK3819" s="1118"/>
      <c r="AL3819" s="1115"/>
      <c r="AM3819" s="1115"/>
      <c r="AN3819" s="1115"/>
      <c r="AO3819" s="1115"/>
      <c r="AP3819" s="1115"/>
      <c r="AQ3819" s="1115"/>
      <c r="AR3819" s="1115"/>
      <c r="AS3819" s="1117"/>
      <c r="AT3819" s="1075"/>
      <c r="AU3819" s="1193"/>
      <c r="AV3819" s="330"/>
      <c r="AW3819" s="331"/>
      <c r="AX3819" s="331"/>
      <c r="AY3819" s="331"/>
      <c r="AZ3819" s="331"/>
      <c r="BA3819" s="331"/>
      <c r="BB3819" s="331"/>
      <c r="BC3819" s="331"/>
      <c r="BD3819" s="331"/>
      <c r="BE3819" s="333"/>
      <c r="BF3819" s="330"/>
      <c r="BG3819" s="333"/>
      <c r="BH3819" s="1119"/>
      <c r="BI3819" s="319"/>
      <c r="BJ3819" s="319"/>
      <c r="BK3819" s="319"/>
      <c r="BL3819" s="319"/>
      <c r="BM3819" s="319"/>
      <c r="BN3819" s="319"/>
      <c r="BO3819" s="319"/>
      <c r="BP3819" s="953"/>
      <c r="BQ3819" s="319"/>
      <c r="BR3819" s="319"/>
      <c r="BS3819" s="330"/>
      <c r="BT3819" s="331"/>
      <c r="BU3819" s="920"/>
      <c r="BV3819" s="903"/>
      <c r="BW3819" s="908"/>
      <c r="BX3819" s="908"/>
      <c r="BY3819" s="331"/>
      <c r="BZ3819" s="331"/>
      <c r="CA3819" s="462"/>
      <c r="CB3819" s="319"/>
      <c r="CC3819" s="319"/>
      <c r="CD3819" s="319"/>
      <c r="CE3819" s="319"/>
      <c r="CF3819" s="319"/>
      <c r="CG3819" s="319"/>
      <c r="CH3819" s="318"/>
      <c r="CI3819" s="319"/>
      <c r="CJ3819" s="319"/>
      <c r="CK3819" s="342"/>
      <c r="CL3819" s="333"/>
      <c r="CM3819" s="1079"/>
      <c r="CN3819" s="1005"/>
      <c r="CO3819" s="1005"/>
      <c r="CP3819" s="1005"/>
    </row>
    <row r="3820">
      <c r="A3820" s="1257"/>
      <c r="B3820" s="1113"/>
      <c r="C3820" s="1107"/>
      <c r="D3820" s="103"/>
      <c r="E3820" s="1137"/>
      <c r="F3820" s="112"/>
      <c r="G3820" s="1110"/>
      <c r="H3820" s="1138"/>
      <c r="I3820" s="1138"/>
      <c r="J3820" s="1139"/>
      <c r="K3820" s="1111"/>
      <c r="L3820" s="1112"/>
      <c r="M3820" s="1113"/>
      <c r="N3820" s="110"/>
      <c r="O3820" s="1140"/>
      <c r="P3820" s="1115"/>
      <c r="Q3820" s="1116"/>
      <c r="R3820" s="1141"/>
      <c r="S3820" s="1113"/>
      <c r="T3820" s="1143"/>
      <c r="U3820" s="1108"/>
      <c r="V3820" s="1108"/>
      <c r="W3820" s="1108"/>
      <c r="X3820" s="1108"/>
      <c r="Y3820" s="1108"/>
      <c r="Z3820" s="1114"/>
      <c r="AA3820" s="1114"/>
      <c r="AB3820" s="1114"/>
      <c r="AC3820" s="1117"/>
      <c r="AD3820" s="1115"/>
      <c r="AE3820" s="1115"/>
      <c r="AF3820" s="1115"/>
      <c r="AG3820" s="1115"/>
      <c r="AH3820" s="1115"/>
      <c r="AI3820" s="1115"/>
      <c r="AJ3820" s="1117"/>
      <c r="AK3820" s="1118"/>
      <c r="AL3820" s="1115"/>
      <c r="AM3820" s="1115"/>
      <c r="AN3820" s="1115"/>
      <c r="AO3820" s="1115"/>
      <c r="AP3820" s="1115"/>
      <c r="AQ3820" s="1115"/>
      <c r="AR3820" s="1115"/>
      <c r="AS3820" s="1117"/>
      <c r="AT3820" s="1075"/>
      <c r="AU3820" s="1193"/>
      <c r="AV3820" s="330"/>
      <c r="AW3820" s="331"/>
      <c r="AX3820" s="331"/>
      <c r="AY3820" s="331"/>
      <c r="AZ3820" s="331"/>
      <c r="BA3820" s="331"/>
      <c r="BB3820" s="331"/>
      <c r="BC3820" s="331"/>
      <c r="BD3820" s="331"/>
      <c r="BE3820" s="333"/>
      <c r="BF3820" s="330"/>
      <c r="BG3820" s="333"/>
      <c r="BH3820" s="1119"/>
      <c r="BI3820" s="319"/>
      <c r="BJ3820" s="319"/>
      <c r="BK3820" s="319"/>
      <c r="BL3820" s="319"/>
      <c r="BM3820" s="319"/>
      <c r="BN3820" s="319"/>
      <c r="BO3820" s="319"/>
      <c r="BP3820" s="953"/>
      <c r="BQ3820" s="319"/>
      <c r="BR3820" s="319"/>
      <c r="BS3820" s="330"/>
      <c r="BT3820" s="331"/>
      <c r="BU3820" s="920"/>
      <c r="BV3820" s="903"/>
      <c r="BW3820" s="908"/>
      <c r="BX3820" s="908"/>
      <c r="BY3820" s="331"/>
      <c r="BZ3820" s="331"/>
      <c r="CA3820" s="462"/>
      <c r="CB3820" s="319"/>
      <c r="CC3820" s="319"/>
      <c r="CD3820" s="319"/>
      <c r="CE3820" s="319"/>
      <c r="CF3820" s="319"/>
      <c r="CG3820" s="319"/>
      <c r="CH3820" s="318"/>
      <c r="CI3820" s="319"/>
      <c r="CJ3820" s="319"/>
      <c r="CK3820" s="342"/>
      <c r="CL3820" s="333"/>
      <c r="CM3820" s="1079"/>
      <c r="CN3820" s="1005"/>
      <c r="CO3820" s="1005"/>
      <c r="CP3820" s="1005"/>
    </row>
    <row r="3821">
      <c r="A3821" s="1257"/>
      <c r="B3821" s="1113"/>
      <c r="C3821" s="1107"/>
      <c r="D3821" s="103"/>
      <c r="E3821" s="1137"/>
      <c r="F3821" s="112"/>
      <c r="G3821" s="1110"/>
      <c r="H3821" s="1138"/>
      <c r="I3821" s="1138"/>
      <c r="J3821" s="1139"/>
      <c r="K3821" s="1111"/>
      <c r="L3821" s="1112"/>
      <c r="M3821" s="1113"/>
      <c r="N3821" s="110"/>
      <c r="O3821" s="1140"/>
      <c r="P3821" s="1115"/>
      <c r="Q3821" s="1116"/>
      <c r="R3821" s="1141"/>
      <c r="S3821" s="1113"/>
      <c r="T3821" s="1143"/>
      <c r="U3821" s="1108"/>
      <c r="V3821" s="1108"/>
      <c r="W3821" s="1108"/>
      <c r="X3821" s="1108"/>
      <c r="Y3821" s="1108"/>
      <c r="Z3821" s="1114"/>
      <c r="AA3821" s="1114"/>
      <c r="AB3821" s="1114"/>
      <c r="AC3821" s="1117"/>
      <c r="AD3821" s="1115"/>
      <c r="AE3821" s="1115"/>
      <c r="AF3821" s="1115"/>
      <c r="AG3821" s="1115"/>
      <c r="AH3821" s="1115"/>
      <c r="AI3821" s="1115"/>
      <c r="AJ3821" s="1117"/>
      <c r="AK3821" s="1118"/>
      <c r="AL3821" s="1115"/>
      <c r="AM3821" s="1115"/>
      <c r="AN3821" s="1115"/>
      <c r="AO3821" s="1115"/>
      <c r="AP3821" s="1115"/>
      <c r="AQ3821" s="1115"/>
      <c r="AR3821" s="1115"/>
      <c r="AS3821" s="1117"/>
      <c r="AT3821" s="1075"/>
      <c r="AU3821" s="1193"/>
      <c r="AV3821" s="330"/>
      <c r="AW3821" s="331"/>
      <c r="AX3821" s="331"/>
      <c r="AY3821" s="331"/>
      <c r="AZ3821" s="331"/>
      <c r="BA3821" s="331"/>
      <c r="BB3821" s="331"/>
      <c r="BC3821" s="331"/>
      <c r="BD3821" s="331"/>
      <c r="BE3821" s="333"/>
      <c r="BF3821" s="330"/>
      <c r="BG3821" s="333"/>
      <c r="BH3821" s="1119"/>
      <c r="BI3821" s="319"/>
      <c r="BJ3821" s="319"/>
      <c r="BK3821" s="319"/>
      <c r="BL3821" s="319"/>
      <c r="BM3821" s="319"/>
      <c r="BN3821" s="319"/>
      <c r="BO3821" s="319"/>
      <c r="BP3821" s="953"/>
      <c r="BQ3821" s="319"/>
      <c r="BR3821" s="319"/>
      <c r="BS3821" s="330"/>
      <c r="BT3821" s="331"/>
      <c r="BU3821" s="920"/>
      <c r="BV3821" s="903"/>
      <c r="BW3821" s="908"/>
      <c r="BX3821" s="908"/>
      <c r="BY3821" s="331"/>
      <c r="BZ3821" s="331"/>
      <c r="CA3821" s="462"/>
      <c r="CB3821" s="319"/>
      <c r="CC3821" s="319"/>
      <c r="CD3821" s="319"/>
      <c r="CE3821" s="319"/>
      <c r="CF3821" s="319"/>
      <c r="CG3821" s="319"/>
      <c r="CH3821" s="318"/>
      <c r="CI3821" s="319"/>
      <c r="CJ3821" s="319"/>
      <c r="CK3821" s="342"/>
      <c r="CL3821" s="333"/>
      <c r="CM3821" s="1079"/>
      <c r="CN3821" s="1005"/>
      <c r="CO3821" s="1005"/>
      <c r="CP3821" s="1005"/>
    </row>
    <row r="3822">
      <c r="A3822" s="1257"/>
      <c r="B3822" s="1113"/>
      <c r="C3822" s="1107"/>
      <c r="D3822" s="103"/>
      <c r="E3822" s="1137"/>
      <c r="F3822" s="112"/>
      <c r="G3822" s="1110"/>
      <c r="H3822" s="1138"/>
      <c r="I3822" s="1138"/>
      <c r="J3822" s="1139"/>
      <c r="K3822" s="1111"/>
      <c r="L3822" s="1112"/>
      <c r="M3822" s="1113"/>
      <c r="N3822" s="110"/>
      <c r="O3822" s="1140"/>
      <c r="P3822" s="1115"/>
      <c r="Q3822" s="1116"/>
      <c r="R3822" s="1141"/>
      <c r="S3822" s="1113"/>
      <c r="T3822" s="1143"/>
      <c r="U3822" s="1108"/>
      <c r="V3822" s="1108"/>
      <c r="W3822" s="1108"/>
      <c r="X3822" s="1108"/>
      <c r="Y3822" s="1108"/>
      <c r="Z3822" s="1114"/>
      <c r="AA3822" s="1114"/>
      <c r="AB3822" s="1114"/>
      <c r="AC3822" s="1117"/>
      <c r="AD3822" s="1115"/>
      <c r="AE3822" s="1115"/>
      <c r="AF3822" s="1115"/>
      <c r="AG3822" s="1115"/>
      <c r="AH3822" s="1115"/>
      <c r="AI3822" s="1115"/>
      <c r="AJ3822" s="1117"/>
      <c r="AK3822" s="1118"/>
      <c r="AL3822" s="1115"/>
      <c r="AM3822" s="1115"/>
      <c r="AN3822" s="1115"/>
      <c r="AO3822" s="1115"/>
      <c r="AP3822" s="1115"/>
      <c r="AQ3822" s="1115"/>
      <c r="AR3822" s="1115"/>
      <c r="AS3822" s="1117"/>
      <c r="AT3822" s="1075"/>
      <c r="AU3822" s="1193"/>
      <c r="AV3822" s="330"/>
      <c r="AW3822" s="331"/>
      <c r="AX3822" s="331"/>
      <c r="AY3822" s="331"/>
      <c r="AZ3822" s="331"/>
      <c r="BA3822" s="331"/>
      <c r="BB3822" s="331"/>
      <c r="BC3822" s="331"/>
      <c r="BD3822" s="331"/>
      <c r="BE3822" s="333"/>
      <c r="BF3822" s="330"/>
      <c r="BG3822" s="333"/>
      <c r="BH3822" s="1119"/>
      <c r="BI3822" s="319"/>
      <c r="BJ3822" s="319"/>
      <c r="BK3822" s="319"/>
      <c r="BL3822" s="319"/>
      <c r="BM3822" s="319"/>
      <c r="BN3822" s="319"/>
      <c r="BO3822" s="319"/>
      <c r="BP3822" s="953"/>
      <c r="BQ3822" s="319"/>
      <c r="BR3822" s="319"/>
      <c r="BS3822" s="330"/>
      <c r="BT3822" s="331"/>
      <c r="BU3822" s="920"/>
      <c r="BV3822" s="903"/>
      <c r="BW3822" s="908"/>
      <c r="BX3822" s="908"/>
      <c r="BY3822" s="331"/>
      <c r="BZ3822" s="331"/>
      <c r="CA3822" s="462"/>
      <c r="CB3822" s="319"/>
      <c r="CC3822" s="319"/>
      <c r="CD3822" s="319"/>
      <c r="CE3822" s="319"/>
      <c r="CF3822" s="319"/>
      <c r="CG3822" s="319"/>
      <c r="CH3822" s="318"/>
      <c r="CI3822" s="319"/>
      <c r="CJ3822" s="319"/>
      <c r="CK3822" s="342"/>
      <c r="CL3822" s="333"/>
      <c r="CM3822" s="1079"/>
      <c r="CN3822" s="1005"/>
      <c r="CO3822" s="1005"/>
      <c r="CP3822" s="1005"/>
    </row>
    <row r="3823">
      <c r="A3823" s="1257"/>
      <c r="B3823" s="1113"/>
      <c r="C3823" s="1107"/>
      <c r="D3823" s="103"/>
      <c r="E3823" s="1137"/>
      <c r="F3823" s="112"/>
      <c r="G3823" s="1110"/>
      <c r="H3823" s="1138"/>
      <c r="I3823" s="1138"/>
      <c r="J3823" s="1139"/>
      <c r="K3823" s="1111"/>
      <c r="L3823" s="1112"/>
      <c r="M3823" s="1113"/>
      <c r="N3823" s="110"/>
      <c r="O3823" s="1140"/>
      <c r="P3823" s="1115"/>
      <c r="Q3823" s="1116"/>
      <c r="R3823" s="1141"/>
      <c r="S3823" s="1113"/>
      <c r="T3823" s="1143"/>
      <c r="U3823" s="1108"/>
      <c r="V3823" s="1108"/>
      <c r="W3823" s="1108"/>
      <c r="X3823" s="1108"/>
      <c r="Y3823" s="1108"/>
      <c r="Z3823" s="1114"/>
      <c r="AA3823" s="1114"/>
      <c r="AB3823" s="1114"/>
      <c r="AC3823" s="1117"/>
      <c r="AD3823" s="1115"/>
      <c r="AE3823" s="1115"/>
      <c r="AF3823" s="1115"/>
      <c r="AG3823" s="1115"/>
      <c r="AH3823" s="1115"/>
      <c r="AI3823" s="1115"/>
      <c r="AJ3823" s="1117"/>
      <c r="AK3823" s="1118"/>
      <c r="AL3823" s="1115"/>
      <c r="AM3823" s="1115"/>
      <c r="AN3823" s="1115"/>
      <c r="AO3823" s="1115"/>
      <c r="AP3823" s="1115"/>
      <c r="AQ3823" s="1115"/>
      <c r="AR3823" s="1115"/>
      <c r="AS3823" s="1117"/>
      <c r="AT3823" s="1075"/>
      <c r="AU3823" s="1193"/>
      <c r="AV3823" s="330"/>
      <c r="AW3823" s="331"/>
      <c r="AX3823" s="331"/>
      <c r="AY3823" s="331"/>
      <c r="AZ3823" s="331"/>
      <c r="BA3823" s="331"/>
      <c r="BB3823" s="331"/>
      <c r="BC3823" s="331"/>
      <c r="BD3823" s="331"/>
      <c r="BE3823" s="333"/>
      <c r="BF3823" s="330"/>
      <c r="BG3823" s="333"/>
      <c r="BH3823" s="1119"/>
      <c r="BI3823" s="319"/>
      <c r="BJ3823" s="319"/>
      <c r="BK3823" s="319"/>
      <c r="BL3823" s="319"/>
      <c r="BM3823" s="319"/>
      <c r="BN3823" s="319"/>
      <c r="BO3823" s="319"/>
      <c r="BP3823" s="953"/>
      <c r="BQ3823" s="319"/>
      <c r="BR3823" s="319"/>
      <c r="BS3823" s="330"/>
      <c r="BT3823" s="331"/>
      <c r="BU3823" s="920"/>
      <c r="BV3823" s="903"/>
      <c r="BW3823" s="908"/>
      <c r="BX3823" s="908"/>
      <c r="BY3823" s="331"/>
      <c r="BZ3823" s="331"/>
      <c r="CA3823" s="462"/>
      <c r="CB3823" s="319"/>
      <c r="CC3823" s="319"/>
      <c r="CD3823" s="319"/>
      <c r="CE3823" s="319"/>
      <c r="CF3823" s="319"/>
      <c r="CG3823" s="319"/>
      <c r="CH3823" s="318"/>
      <c r="CI3823" s="319"/>
      <c r="CJ3823" s="319"/>
      <c r="CK3823" s="342"/>
      <c r="CL3823" s="333"/>
      <c r="CM3823" s="1079"/>
      <c r="CN3823" s="1005"/>
      <c r="CO3823" s="1005"/>
      <c r="CP3823" s="1005"/>
    </row>
    <row r="3824">
      <c r="A3824" s="1257"/>
      <c r="B3824" s="1113"/>
      <c r="C3824" s="1107"/>
      <c r="D3824" s="103"/>
      <c r="E3824" s="1137"/>
      <c r="F3824" s="112"/>
      <c r="G3824" s="1110"/>
      <c r="H3824" s="1138"/>
      <c r="I3824" s="1138"/>
      <c r="J3824" s="1139"/>
      <c r="K3824" s="1111"/>
      <c r="L3824" s="1112"/>
      <c r="M3824" s="1113"/>
      <c r="N3824" s="110"/>
      <c r="O3824" s="1140"/>
      <c r="P3824" s="1115"/>
      <c r="Q3824" s="1116"/>
      <c r="R3824" s="1141"/>
      <c r="S3824" s="1113"/>
      <c r="T3824" s="1143"/>
      <c r="U3824" s="1108"/>
      <c r="V3824" s="1108"/>
      <c r="W3824" s="1108"/>
      <c r="X3824" s="1108"/>
      <c r="Y3824" s="1108"/>
      <c r="Z3824" s="1114"/>
      <c r="AA3824" s="1114"/>
      <c r="AB3824" s="1114"/>
      <c r="AC3824" s="1117"/>
      <c r="AD3824" s="1115"/>
      <c r="AE3824" s="1115"/>
      <c r="AF3824" s="1115"/>
      <c r="AG3824" s="1115"/>
      <c r="AH3824" s="1115"/>
      <c r="AI3824" s="1115"/>
      <c r="AJ3824" s="1117"/>
      <c r="AK3824" s="1118"/>
      <c r="AL3824" s="1115"/>
      <c r="AM3824" s="1115"/>
      <c r="AN3824" s="1115"/>
      <c r="AO3824" s="1115"/>
      <c r="AP3824" s="1115"/>
      <c r="AQ3824" s="1115"/>
      <c r="AR3824" s="1115"/>
      <c r="AS3824" s="1117"/>
      <c r="AT3824" s="1075"/>
      <c r="AU3824" s="1193"/>
      <c r="AV3824" s="330"/>
      <c r="AW3824" s="331"/>
      <c r="AX3824" s="331"/>
      <c r="AY3824" s="331"/>
      <c r="AZ3824" s="331"/>
      <c r="BA3824" s="331"/>
      <c r="BB3824" s="331"/>
      <c r="BC3824" s="331"/>
      <c r="BD3824" s="331"/>
      <c r="BE3824" s="333"/>
      <c r="BF3824" s="330"/>
      <c r="BG3824" s="333"/>
      <c r="BH3824" s="1119"/>
      <c r="BI3824" s="319"/>
      <c r="BJ3824" s="319"/>
      <c r="BK3824" s="319"/>
      <c r="BL3824" s="319"/>
      <c r="BM3824" s="319"/>
      <c r="BN3824" s="319"/>
      <c r="BO3824" s="319"/>
      <c r="BP3824" s="953"/>
      <c r="BQ3824" s="319"/>
      <c r="BR3824" s="319"/>
      <c r="BS3824" s="330"/>
      <c r="BT3824" s="331"/>
      <c r="BU3824" s="920"/>
      <c r="BV3824" s="903"/>
      <c r="BW3824" s="908"/>
      <c r="BX3824" s="908"/>
      <c r="BY3824" s="331"/>
      <c r="BZ3824" s="331"/>
      <c r="CA3824" s="462"/>
      <c r="CB3824" s="319"/>
      <c r="CC3824" s="319"/>
      <c r="CD3824" s="319"/>
      <c r="CE3824" s="319"/>
      <c r="CF3824" s="319"/>
      <c r="CG3824" s="319"/>
      <c r="CH3824" s="318"/>
      <c r="CI3824" s="319"/>
      <c r="CJ3824" s="319"/>
      <c r="CK3824" s="342"/>
      <c r="CL3824" s="333"/>
      <c r="CM3824" s="1079"/>
      <c r="CN3824" s="1005"/>
      <c r="CO3824" s="1005"/>
      <c r="CP3824" s="1005"/>
    </row>
    <row r="3825">
      <c r="A3825" s="1257"/>
      <c r="B3825" s="1113"/>
      <c r="C3825" s="1107"/>
      <c r="D3825" s="103"/>
      <c r="E3825" s="1137"/>
      <c r="F3825" s="112"/>
      <c r="G3825" s="1110"/>
      <c r="H3825" s="1138"/>
      <c r="I3825" s="1138"/>
      <c r="J3825" s="1139"/>
      <c r="K3825" s="1111"/>
      <c r="L3825" s="1112"/>
      <c r="M3825" s="1113"/>
      <c r="N3825" s="110"/>
      <c r="O3825" s="1140"/>
      <c r="P3825" s="1115"/>
      <c r="Q3825" s="1116"/>
      <c r="R3825" s="1141"/>
      <c r="S3825" s="1113"/>
      <c r="T3825" s="1143"/>
      <c r="U3825" s="1108"/>
      <c r="V3825" s="1108"/>
      <c r="W3825" s="1108"/>
      <c r="X3825" s="1108"/>
      <c r="Y3825" s="1108"/>
      <c r="Z3825" s="1114"/>
      <c r="AA3825" s="1114"/>
      <c r="AB3825" s="1114"/>
      <c r="AC3825" s="1117"/>
      <c r="AD3825" s="1115"/>
      <c r="AE3825" s="1115"/>
      <c r="AF3825" s="1115"/>
      <c r="AG3825" s="1115"/>
      <c r="AH3825" s="1115"/>
      <c r="AI3825" s="1115"/>
      <c r="AJ3825" s="1117"/>
      <c r="AK3825" s="1118"/>
      <c r="AL3825" s="1115"/>
      <c r="AM3825" s="1115"/>
      <c r="AN3825" s="1115"/>
      <c r="AO3825" s="1115"/>
      <c r="AP3825" s="1115"/>
      <c r="AQ3825" s="1115"/>
      <c r="AR3825" s="1115"/>
      <c r="AS3825" s="1117"/>
      <c r="AT3825" s="1075"/>
      <c r="AU3825" s="1193"/>
      <c r="AV3825" s="330"/>
      <c r="AW3825" s="331"/>
      <c r="AX3825" s="331"/>
      <c r="AY3825" s="331"/>
      <c r="AZ3825" s="331"/>
      <c r="BA3825" s="331"/>
      <c r="BB3825" s="331"/>
      <c r="BC3825" s="331"/>
      <c r="BD3825" s="331"/>
      <c r="BE3825" s="333"/>
      <c r="BF3825" s="330"/>
      <c r="BG3825" s="333"/>
      <c r="BH3825" s="1119"/>
      <c r="BI3825" s="319"/>
      <c r="BJ3825" s="319"/>
      <c r="BK3825" s="319"/>
      <c r="BL3825" s="319"/>
      <c r="BM3825" s="319"/>
      <c r="BN3825" s="319"/>
      <c r="BO3825" s="319"/>
      <c r="BP3825" s="953"/>
      <c r="BQ3825" s="319"/>
      <c r="BR3825" s="319"/>
      <c r="BS3825" s="330"/>
      <c r="BT3825" s="331"/>
      <c r="BU3825" s="920"/>
      <c r="BV3825" s="903"/>
      <c r="BW3825" s="908"/>
      <c r="BX3825" s="908"/>
      <c r="BY3825" s="331"/>
      <c r="BZ3825" s="331"/>
      <c r="CA3825" s="462"/>
      <c r="CB3825" s="319"/>
      <c r="CC3825" s="319"/>
      <c r="CD3825" s="319"/>
      <c r="CE3825" s="319"/>
      <c r="CF3825" s="319"/>
      <c r="CG3825" s="319"/>
      <c r="CH3825" s="318"/>
      <c r="CI3825" s="319"/>
      <c r="CJ3825" s="319"/>
      <c r="CK3825" s="342"/>
      <c r="CL3825" s="333"/>
      <c r="CM3825" s="1079"/>
      <c r="CN3825" s="1005"/>
      <c r="CO3825" s="1005"/>
      <c r="CP3825" s="1005"/>
    </row>
    <row r="3826">
      <c r="A3826" s="1257"/>
      <c r="B3826" s="1113"/>
      <c r="C3826" s="1107"/>
      <c r="D3826" s="103"/>
      <c r="E3826" s="1137"/>
      <c r="F3826" s="112"/>
      <c r="G3826" s="1110"/>
      <c r="H3826" s="1138"/>
      <c r="I3826" s="1138"/>
      <c r="J3826" s="1139"/>
      <c r="K3826" s="1111"/>
      <c r="L3826" s="1112"/>
      <c r="M3826" s="1113"/>
      <c r="N3826" s="110"/>
      <c r="O3826" s="1140"/>
      <c r="P3826" s="1115"/>
      <c r="Q3826" s="1116"/>
      <c r="R3826" s="1141"/>
      <c r="S3826" s="1113"/>
      <c r="T3826" s="1143"/>
      <c r="U3826" s="1108"/>
      <c r="V3826" s="1108"/>
      <c r="W3826" s="1108"/>
      <c r="X3826" s="1108"/>
      <c r="Y3826" s="1108"/>
      <c r="Z3826" s="1114"/>
      <c r="AA3826" s="1114"/>
      <c r="AB3826" s="1114"/>
      <c r="AC3826" s="1117"/>
      <c r="AD3826" s="1115"/>
      <c r="AE3826" s="1115"/>
      <c r="AF3826" s="1115"/>
      <c r="AG3826" s="1115"/>
      <c r="AH3826" s="1115"/>
      <c r="AI3826" s="1115"/>
      <c r="AJ3826" s="1117"/>
      <c r="AK3826" s="1118"/>
      <c r="AL3826" s="1115"/>
      <c r="AM3826" s="1115"/>
      <c r="AN3826" s="1115"/>
      <c r="AO3826" s="1115"/>
      <c r="AP3826" s="1115"/>
      <c r="AQ3826" s="1115"/>
      <c r="AR3826" s="1115"/>
      <c r="AS3826" s="1117"/>
      <c r="AT3826" s="1075"/>
      <c r="AU3826" s="1193"/>
      <c r="AV3826" s="330"/>
      <c r="AW3826" s="331"/>
      <c r="AX3826" s="331"/>
      <c r="AY3826" s="331"/>
      <c r="AZ3826" s="331"/>
      <c r="BA3826" s="331"/>
      <c r="BB3826" s="331"/>
      <c r="BC3826" s="331"/>
      <c r="BD3826" s="331"/>
      <c r="BE3826" s="333"/>
      <c r="BF3826" s="330"/>
      <c r="BG3826" s="333"/>
      <c r="BH3826" s="1119"/>
      <c r="BI3826" s="319"/>
      <c r="BJ3826" s="319"/>
      <c r="BK3826" s="319"/>
      <c r="BL3826" s="319"/>
      <c r="BM3826" s="319"/>
      <c r="BN3826" s="319"/>
      <c r="BO3826" s="319"/>
      <c r="BP3826" s="953"/>
      <c r="BQ3826" s="319"/>
      <c r="BR3826" s="319"/>
      <c r="BS3826" s="330"/>
      <c r="BT3826" s="331"/>
      <c r="BU3826" s="920"/>
      <c r="BV3826" s="903"/>
      <c r="BW3826" s="908"/>
      <c r="BX3826" s="908"/>
      <c r="BY3826" s="331"/>
      <c r="BZ3826" s="331"/>
      <c r="CA3826" s="462"/>
      <c r="CB3826" s="319"/>
      <c r="CC3826" s="319"/>
      <c r="CD3826" s="319"/>
      <c r="CE3826" s="319"/>
      <c r="CF3826" s="319"/>
      <c r="CG3826" s="319"/>
      <c r="CH3826" s="318"/>
      <c r="CI3826" s="319"/>
      <c r="CJ3826" s="319"/>
      <c r="CK3826" s="342"/>
      <c r="CL3826" s="333"/>
      <c r="CM3826" s="1079"/>
      <c r="CN3826" s="1005"/>
      <c r="CO3826" s="1005"/>
      <c r="CP3826" s="1005"/>
    </row>
    <row r="3827">
      <c r="A3827" s="1257"/>
      <c r="B3827" s="1113"/>
      <c r="C3827" s="1107"/>
      <c r="D3827" s="103"/>
      <c r="E3827" s="1137"/>
      <c r="F3827" s="112"/>
      <c r="G3827" s="1110"/>
      <c r="H3827" s="1138"/>
      <c r="I3827" s="1138"/>
      <c r="J3827" s="1139"/>
      <c r="K3827" s="1111"/>
      <c r="L3827" s="1112"/>
      <c r="M3827" s="1113"/>
      <c r="N3827" s="110"/>
      <c r="O3827" s="1140"/>
      <c r="P3827" s="1115"/>
      <c r="Q3827" s="1116"/>
      <c r="R3827" s="1141"/>
      <c r="S3827" s="1113"/>
      <c r="T3827" s="1143"/>
      <c r="U3827" s="1108"/>
      <c r="V3827" s="1108"/>
      <c r="W3827" s="1108"/>
      <c r="X3827" s="1108"/>
      <c r="Y3827" s="1108"/>
      <c r="Z3827" s="1114"/>
      <c r="AA3827" s="1114"/>
      <c r="AB3827" s="1114"/>
      <c r="AC3827" s="1117"/>
      <c r="AD3827" s="1115"/>
      <c r="AE3827" s="1115"/>
      <c r="AF3827" s="1115"/>
      <c r="AG3827" s="1115"/>
      <c r="AH3827" s="1115"/>
      <c r="AI3827" s="1115"/>
      <c r="AJ3827" s="1117"/>
      <c r="AK3827" s="1118"/>
      <c r="AL3827" s="1115"/>
      <c r="AM3827" s="1115"/>
      <c r="AN3827" s="1115"/>
      <c r="AO3827" s="1115"/>
      <c r="AP3827" s="1115"/>
      <c r="AQ3827" s="1115"/>
      <c r="AR3827" s="1115"/>
      <c r="AS3827" s="1117"/>
      <c r="AT3827" s="1075"/>
      <c r="AU3827" s="1193"/>
      <c r="AV3827" s="330"/>
      <c r="AW3827" s="331"/>
      <c r="AX3827" s="331"/>
      <c r="AY3827" s="331"/>
      <c r="AZ3827" s="331"/>
      <c r="BA3827" s="331"/>
      <c r="BB3827" s="331"/>
      <c r="BC3827" s="331"/>
      <c r="BD3827" s="331"/>
      <c r="BE3827" s="333"/>
      <c r="BF3827" s="330"/>
      <c r="BG3827" s="333"/>
      <c r="BH3827" s="1119"/>
      <c r="BI3827" s="319"/>
      <c r="BJ3827" s="319"/>
      <c r="BK3827" s="319"/>
      <c r="BL3827" s="319"/>
      <c r="BM3827" s="319"/>
      <c r="BN3827" s="319"/>
      <c r="BO3827" s="319"/>
      <c r="BP3827" s="953"/>
      <c r="BQ3827" s="319"/>
      <c r="BR3827" s="319"/>
      <c r="BS3827" s="330"/>
      <c r="BT3827" s="331"/>
      <c r="BU3827" s="920"/>
      <c r="BV3827" s="903"/>
      <c r="BW3827" s="908"/>
      <c r="BX3827" s="908"/>
      <c r="BY3827" s="331"/>
      <c r="BZ3827" s="331"/>
      <c r="CA3827" s="462"/>
      <c r="CB3827" s="319"/>
      <c r="CC3827" s="319"/>
      <c r="CD3827" s="319"/>
      <c r="CE3827" s="319"/>
      <c r="CF3827" s="319"/>
      <c r="CG3827" s="319"/>
      <c r="CH3827" s="318"/>
      <c r="CI3827" s="319"/>
      <c r="CJ3827" s="319"/>
      <c r="CK3827" s="342"/>
      <c r="CL3827" s="333"/>
      <c r="CM3827" s="1079"/>
      <c r="CN3827" s="1005"/>
      <c r="CO3827" s="1005"/>
      <c r="CP3827" s="1005"/>
    </row>
    <row r="3828">
      <c r="A3828" s="1257"/>
      <c r="B3828" s="1113"/>
      <c r="C3828" s="1107"/>
      <c r="D3828" s="103"/>
      <c r="E3828" s="1137"/>
      <c r="F3828" s="112"/>
      <c r="G3828" s="1110"/>
      <c r="H3828" s="1138"/>
      <c r="I3828" s="1138"/>
      <c r="J3828" s="1139"/>
      <c r="K3828" s="1111"/>
      <c r="L3828" s="1112"/>
      <c r="M3828" s="1113"/>
      <c r="N3828" s="110"/>
      <c r="O3828" s="1140"/>
      <c r="P3828" s="1115"/>
      <c r="Q3828" s="1116"/>
      <c r="R3828" s="1141"/>
      <c r="S3828" s="1113"/>
      <c r="T3828" s="1143"/>
      <c r="U3828" s="1108"/>
      <c r="V3828" s="1108"/>
      <c r="W3828" s="1108"/>
      <c r="X3828" s="1108"/>
      <c r="Y3828" s="1108"/>
      <c r="Z3828" s="1114"/>
      <c r="AA3828" s="1114"/>
      <c r="AB3828" s="1114"/>
      <c r="AC3828" s="1117"/>
      <c r="AD3828" s="1115"/>
      <c r="AE3828" s="1115"/>
      <c r="AF3828" s="1115"/>
      <c r="AG3828" s="1115"/>
      <c r="AH3828" s="1115"/>
      <c r="AI3828" s="1115"/>
      <c r="AJ3828" s="1117"/>
      <c r="AK3828" s="1118"/>
      <c r="AL3828" s="1115"/>
      <c r="AM3828" s="1115"/>
      <c r="AN3828" s="1115"/>
      <c r="AO3828" s="1115"/>
      <c r="AP3828" s="1115"/>
      <c r="AQ3828" s="1115"/>
      <c r="AR3828" s="1115"/>
      <c r="AS3828" s="1117"/>
      <c r="AT3828" s="1075"/>
      <c r="AU3828" s="1193"/>
      <c r="AV3828" s="330"/>
      <c r="AW3828" s="331"/>
      <c r="AX3828" s="331"/>
      <c r="AY3828" s="331"/>
      <c r="AZ3828" s="331"/>
      <c r="BA3828" s="331"/>
      <c r="BB3828" s="331"/>
      <c r="BC3828" s="331"/>
      <c r="BD3828" s="331"/>
      <c r="BE3828" s="333"/>
      <c r="BF3828" s="330"/>
      <c r="BG3828" s="333"/>
      <c r="BH3828" s="1119"/>
      <c r="BI3828" s="319"/>
      <c r="BJ3828" s="319"/>
      <c r="BK3828" s="319"/>
      <c r="BL3828" s="319"/>
      <c r="BM3828" s="319"/>
      <c r="BN3828" s="319"/>
      <c r="BO3828" s="319"/>
      <c r="BP3828" s="953"/>
      <c r="BQ3828" s="319"/>
      <c r="BR3828" s="319"/>
      <c r="BS3828" s="330"/>
      <c r="BT3828" s="331"/>
      <c r="BU3828" s="920"/>
      <c r="BV3828" s="903"/>
      <c r="BW3828" s="908"/>
      <c r="BX3828" s="908"/>
      <c r="BY3828" s="331"/>
      <c r="BZ3828" s="331"/>
      <c r="CA3828" s="462"/>
      <c r="CB3828" s="319"/>
      <c r="CC3828" s="319"/>
      <c r="CD3828" s="319"/>
      <c r="CE3828" s="319"/>
      <c r="CF3828" s="319"/>
      <c r="CG3828" s="319"/>
      <c r="CH3828" s="318"/>
      <c r="CI3828" s="319"/>
      <c r="CJ3828" s="319"/>
      <c r="CK3828" s="342"/>
      <c r="CL3828" s="333"/>
      <c r="CM3828" s="1079"/>
      <c r="CN3828" s="1005"/>
      <c r="CO3828" s="1005"/>
      <c r="CP3828" s="1005"/>
    </row>
    <row r="3829">
      <c r="A3829" s="1257"/>
      <c r="B3829" s="1113"/>
      <c r="C3829" s="1107"/>
      <c r="D3829" s="103"/>
      <c r="E3829" s="1137"/>
      <c r="F3829" s="112"/>
      <c r="G3829" s="1110"/>
      <c r="H3829" s="1138"/>
      <c r="I3829" s="1138"/>
      <c r="J3829" s="1139"/>
      <c r="K3829" s="1111"/>
      <c r="L3829" s="1112"/>
      <c r="M3829" s="1113"/>
      <c r="N3829" s="110"/>
      <c r="O3829" s="1140"/>
      <c r="P3829" s="1115"/>
      <c r="Q3829" s="1116"/>
      <c r="R3829" s="1141"/>
      <c r="S3829" s="1113"/>
      <c r="T3829" s="1143"/>
      <c r="U3829" s="1108"/>
      <c r="V3829" s="1108"/>
      <c r="W3829" s="1108"/>
      <c r="X3829" s="1108"/>
      <c r="Y3829" s="1108"/>
      <c r="Z3829" s="1114"/>
      <c r="AA3829" s="1114"/>
      <c r="AB3829" s="1114"/>
      <c r="AC3829" s="1117"/>
      <c r="AD3829" s="1115"/>
      <c r="AE3829" s="1115"/>
      <c r="AF3829" s="1115"/>
      <c r="AG3829" s="1115"/>
      <c r="AH3829" s="1115"/>
      <c r="AI3829" s="1115"/>
      <c r="AJ3829" s="1117"/>
      <c r="AK3829" s="1118"/>
      <c r="AL3829" s="1115"/>
      <c r="AM3829" s="1115"/>
      <c r="AN3829" s="1115"/>
      <c r="AO3829" s="1115"/>
      <c r="AP3829" s="1115"/>
      <c r="AQ3829" s="1115"/>
      <c r="AR3829" s="1115"/>
      <c r="AS3829" s="1117"/>
      <c r="AT3829" s="1075"/>
      <c r="AU3829" s="1193"/>
      <c r="AV3829" s="330"/>
      <c r="AW3829" s="331"/>
      <c r="AX3829" s="331"/>
      <c r="AY3829" s="331"/>
      <c r="AZ3829" s="331"/>
      <c r="BA3829" s="331"/>
      <c r="BB3829" s="331"/>
      <c r="BC3829" s="331"/>
      <c r="BD3829" s="331"/>
      <c r="BE3829" s="333"/>
      <c r="BF3829" s="330"/>
      <c r="BG3829" s="333"/>
      <c r="BH3829" s="1119"/>
      <c r="BI3829" s="319"/>
      <c r="BJ3829" s="319"/>
      <c r="BK3829" s="319"/>
      <c r="BL3829" s="319"/>
      <c r="BM3829" s="319"/>
      <c r="BN3829" s="319"/>
      <c r="BO3829" s="319"/>
      <c r="BP3829" s="953"/>
      <c r="BQ3829" s="319"/>
      <c r="BR3829" s="319"/>
      <c r="BS3829" s="330"/>
      <c r="BT3829" s="331"/>
      <c r="BU3829" s="920"/>
      <c r="BV3829" s="903"/>
      <c r="BW3829" s="908"/>
      <c r="BX3829" s="908"/>
      <c r="BY3829" s="331"/>
      <c r="BZ3829" s="331"/>
      <c r="CA3829" s="462"/>
      <c r="CB3829" s="319"/>
      <c r="CC3829" s="319"/>
      <c r="CD3829" s="319"/>
      <c r="CE3829" s="319"/>
      <c r="CF3829" s="319"/>
      <c r="CG3829" s="319"/>
      <c r="CH3829" s="318"/>
      <c r="CI3829" s="319"/>
      <c r="CJ3829" s="319"/>
      <c r="CK3829" s="342"/>
      <c r="CL3829" s="333"/>
      <c r="CM3829" s="1079"/>
      <c r="CN3829" s="1005"/>
      <c r="CO3829" s="1005"/>
      <c r="CP3829" s="1005"/>
    </row>
    <row r="3830">
      <c r="A3830" s="1257"/>
      <c r="B3830" s="1113"/>
      <c r="C3830" s="1107"/>
      <c r="D3830" s="103"/>
      <c r="E3830" s="1137"/>
      <c r="F3830" s="112"/>
      <c r="G3830" s="1110"/>
      <c r="H3830" s="1138"/>
      <c r="I3830" s="1138"/>
      <c r="J3830" s="1139"/>
      <c r="K3830" s="1111"/>
      <c r="L3830" s="1112"/>
      <c r="M3830" s="1113"/>
      <c r="N3830" s="110"/>
      <c r="O3830" s="1140"/>
      <c r="P3830" s="1115"/>
      <c r="Q3830" s="1116"/>
      <c r="R3830" s="1141"/>
      <c r="S3830" s="1113"/>
      <c r="T3830" s="1143"/>
      <c r="U3830" s="1108"/>
      <c r="V3830" s="1108"/>
      <c r="W3830" s="1108"/>
      <c r="X3830" s="1108"/>
      <c r="Y3830" s="1108"/>
      <c r="Z3830" s="1114"/>
      <c r="AA3830" s="1114"/>
      <c r="AB3830" s="1114"/>
      <c r="AC3830" s="1117"/>
      <c r="AD3830" s="1115"/>
      <c r="AE3830" s="1115"/>
      <c r="AF3830" s="1115"/>
      <c r="AG3830" s="1115"/>
      <c r="AH3830" s="1115"/>
      <c r="AI3830" s="1115"/>
      <c r="AJ3830" s="1117"/>
      <c r="AK3830" s="1118"/>
      <c r="AL3830" s="1115"/>
      <c r="AM3830" s="1115"/>
      <c r="AN3830" s="1115"/>
      <c r="AO3830" s="1115"/>
      <c r="AP3830" s="1115"/>
      <c r="AQ3830" s="1115"/>
      <c r="AR3830" s="1115"/>
      <c r="AS3830" s="1117"/>
      <c r="AT3830" s="1075"/>
      <c r="AU3830" s="1193"/>
      <c r="AV3830" s="330"/>
      <c r="AW3830" s="331"/>
      <c r="AX3830" s="331"/>
      <c r="AY3830" s="331"/>
      <c r="AZ3830" s="331"/>
      <c r="BA3830" s="331"/>
      <c r="BB3830" s="331"/>
      <c r="BC3830" s="331"/>
      <c r="BD3830" s="331"/>
      <c r="BE3830" s="333"/>
      <c r="BF3830" s="330"/>
      <c r="BG3830" s="333"/>
      <c r="BH3830" s="1119"/>
      <c r="BI3830" s="319"/>
      <c r="BJ3830" s="319"/>
      <c r="BK3830" s="319"/>
      <c r="BL3830" s="319"/>
      <c r="BM3830" s="319"/>
      <c r="BN3830" s="319"/>
      <c r="BO3830" s="319"/>
      <c r="BP3830" s="953"/>
      <c r="BQ3830" s="319"/>
      <c r="BR3830" s="319"/>
      <c r="BS3830" s="330"/>
      <c r="BT3830" s="331"/>
      <c r="BU3830" s="920"/>
      <c r="BV3830" s="903"/>
      <c r="BW3830" s="908"/>
      <c r="BX3830" s="908"/>
      <c r="BY3830" s="331"/>
      <c r="BZ3830" s="331"/>
      <c r="CA3830" s="462"/>
      <c r="CB3830" s="319"/>
      <c r="CC3830" s="319"/>
      <c r="CD3830" s="319"/>
      <c r="CE3830" s="319"/>
      <c r="CF3830" s="319"/>
      <c r="CG3830" s="319"/>
      <c r="CH3830" s="318"/>
      <c r="CI3830" s="319"/>
      <c r="CJ3830" s="319"/>
      <c r="CK3830" s="342"/>
      <c r="CL3830" s="333"/>
      <c r="CM3830" s="1079"/>
      <c r="CN3830" s="1005"/>
      <c r="CO3830" s="1005"/>
      <c r="CP3830" s="1005"/>
    </row>
    <row r="3831">
      <c r="A3831" s="1257"/>
      <c r="B3831" s="1113"/>
      <c r="C3831" s="1107"/>
      <c r="D3831" s="103"/>
      <c r="E3831" s="1137"/>
      <c r="F3831" s="112"/>
      <c r="G3831" s="1110"/>
      <c r="H3831" s="1138"/>
      <c r="I3831" s="1138"/>
      <c r="J3831" s="1139"/>
      <c r="K3831" s="1111"/>
      <c r="L3831" s="1112"/>
      <c r="M3831" s="1113"/>
      <c r="N3831" s="110"/>
      <c r="O3831" s="1140"/>
      <c r="P3831" s="1115"/>
      <c r="Q3831" s="1116"/>
      <c r="R3831" s="1141"/>
      <c r="S3831" s="1113"/>
      <c r="T3831" s="1143"/>
      <c r="U3831" s="1108"/>
      <c r="V3831" s="1108"/>
      <c r="W3831" s="1108"/>
      <c r="X3831" s="1108"/>
      <c r="Y3831" s="1108"/>
      <c r="Z3831" s="1114"/>
      <c r="AA3831" s="1114"/>
      <c r="AB3831" s="1114"/>
      <c r="AC3831" s="1117"/>
      <c r="AD3831" s="1115"/>
      <c r="AE3831" s="1115"/>
      <c r="AF3831" s="1115"/>
      <c r="AG3831" s="1115"/>
      <c r="AH3831" s="1115"/>
      <c r="AI3831" s="1115"/>
      <c r="AJ3831" s="1117"/>
      <c r="AK3831" s="1118"/>
      <c r="AL3831" s="1115"/>
      <c r="AM3831" s="1115"/>
      <c r="AN3831" s="1115"/>
      <c r="AO3831" s="1115"/>
      <c r="AP3831" s="1115"/>
      <c r="AQ3831" s="1115"/>
      <c r="AR3831" s="1115"/>
      <c r="AS3831" s="1117"/>
      <c r="AT3831" s="1075"/>
      <c r="AU3831" s="1193"/>
      <c r="AV3831" s="330"/>
      <c r="AW3831" s="331"/>
      <c r="AX3831" s="331"/>
      <c r="AY3831" s="331"/>
      <c r="AZ3831" s="331"/>
      <c r="BA3831" s="331"/>
      <c r="BB3831" s="331"/>
      <c r="BC3831" s="331"/>
      <c r="BD3831" s="331"/>
      <c r="BE3831" s="333"/>
      <c r="BF3831" s="330"/>
      <c r="BG3831" s="333"/>
      <c r="BH3831" s="1119"/>
      <c r="BI3831" s="319"/>
      <c r="BJ3831" s="319"/>
      <c r="BK3831" s="319"/>
      <c r="BL3831" s="319"/>
      <c r="BM3831" s="319"/>
      <c r="BN3831" s="319"/>
      <c r="BO3831" s="319"/>
      <c r="BP3831" s="953"/>
      <c r="BQ3831" s="319"/>
      <c r="BR3831" s="319"/>
      <c r="BS3831" s="330"/>
      <c r="BT3831" s="331"/>
      <c r="BU3831" s="920"/>
      <c r="BV3831" s="903"/>
      <c r="BW3831" s="908"/>
      <c r="BX3831" s="908"/>
      <c r="BY3831" s="331"/>
      <c r="BZ3831" s="331"/>
      <c r="CA3831" s="462"/>
      <c r="CB3831" s="319"/>
      <c r="CC3831" s="319"/>
      <c r="CD3831" s="319"/>
      <c r="CE3831" s="319"/>
      <c r="CF3831" s="319"/>
      <c r="CG3831" s="319"/>
      <c r="CH3831" s="318"/>
      <c r="CI3831" s="319"/>
      <c r="CJ3831" s="319"/>
      <c r="CK3831" s="342"/>
      <c r="CL3831" s="333"/>
      <c r="CM3831" s="1079"/>
      <c r="CN3831" s="1005"/>
      <c r="CO3831" s="1005"/>
      <c r="CP3831" s="1005"/>
    </row>
    <row r="3832">
      <c r="A3832" s="1257"/>
      <c r="B3832" s="1113"/>
      <c r="C3832" s="1107"/>
      <c r="D3832" s="103"/>
      <c r="E3832" s="1137"/>
      <c r="F3832" s="112"/>
      <c r="G3832" s="1110"/>
      <c r="H3832" s="1138"/>
      <c r="I3832" s="1138"/>
      <c r="J3832" s="1139"/>
      <c r="K3832" s="1111"/>
      <c r="L3832" s="1112"/>
      <c r="M3832" s="1113"/>
      <c r="N3832" s="110"/>
      <c r="O3832" s="1140"/>
      <c r="P3832" s="1115"/>
      <c r="Q3832" s="1116"/>
      <c r="R3832" s="1141"/>
      <c r="S3832" s="1113"/>
      <c r="T3832" s="1143"/>
      <c r="U3832" s="1108"/>
      <c r="V3832" s="1108"/>
      <c r="W3832" s="1108"/>
      <c r="X3832" s="1108"/>
      <c r="Y3832" s="1108"/>
      <c r="Z3832" s="1114"/>
      <c r="AA3832" s="1114"/>
      <c r="AB3832" s="1114"/>
      <c r="AC3832" s="1117"/>
      <c r="AD3832" s="1115"/>
      <c r="AE3832" s="1115"/>
      <c r="AF3832" s="1115"/>
      <c r="AG3832" s="1115"/>
      <c r="AH3832" s="1115"/>
      <c r="AI3832" s="1115"/>
      <c r="AJ3832" s="1117"/>
      <c r="AK3832" s="1118"/>
      <c r="AL3832" s="1115"/>
      <c r="AM3832" s="1115"/>
      <c r="AN3832" s="1115"/>
      <c r="AO3832" s="1115"/>
      <c r="AP3832" s="1115"/>
      <c r="AQ3832" s="1115"/>
      <c r="AR3832" s="1115"/>
      <c r="AS3832" s="1117"/>
      <c r="AT3832" s="1075"/>
      <c r="AU3832" s="1193"/>
      <c r="AV3832" s="330"/>
      <c r="AW3832" s="331"/>
      <c r="AX3832" s="331"/>
      <c r="AY3832" s="331"/>
      <c r="AZ3832" s="331"/>
      <c r="BA3832" s="331"/>
      <c r="BB3832" s="331"/>
      <c r="BC3832" s="331"/>
      <c r="BD3832" s="331"/>
      <c r="BE3832" s="333"/>
      <c r="BF3832" s="330"/>
      <c r="BG3832" s="333"/>
      <c r="BH3832" s="1119"/>
      <c r="BI3832" s="319"/>
      <c r="BJ3832" s="319"/>
      <c r="BK3832" s="319"/>
      <c r="BL3832" s="319"/>
      <c r="BM3832" s="319"/>
      <c r="BN3832" s="319"/>
      <c r="BO3832" s="319"/>
      <c r="BP3832" s="953"/>
      <c r="BQ3832" s="319"/>
      <c r="BR3832" s="319"/>
      <c r="BS3832" s="330"/>
      <c r="BT3832" s="331"/>
      <c r="BU3832" s="920"/>
      <c r="BV3832" s="903"/>
      <c r="BW3832" s="908"/>
      <c r="BX3832" s="908"/>
      <c r="BY3832" s="331"/>
      <c r="BZ3832" s="331"/>
      <c r="CA3832" s="462"/>
      <c r="CB3832" s="319"/>
      <c r="CC3832" s="319"/>
      <c r="CD3832" s="319"/>
      <c r="CE3832" s="319"/>
      <c r="CF3832" s="319"/>
      <c r="CG3832" s="319"/>
      <c r="CH3832" s="318"/>
      <c r="CI3832" s="319"/>
      <c r="CJ3832" s="319"/>
      <c r="CK3832" s="342"/>
      <c r="CL3832" s="333"/>
      <c r="CM3832" s="1079"/>
      <c r="CN3832" s="1005"/>
      <c r="CO3832" s="1005"/>
      <c r="CP3832" s="1005"/>
    </row>
    <row r="3833">
      <c r="A3833" s="1257"/>
      <c r="B3833" s="1113"/>
      <c r="C3833" s="1107"/>
      <c r="D3833" s="103"/>
      <c r="E3833" s="1137"/>
      <c r="F3833" s="112"/>
      <c r="G3833" s="1110"/>
      <c r="H3833" s="1138"/>
      <c r="I3833" s="1138"/>
      <c r="J3833" s="1139"/>
      <c r="K3833" s="1111"/>
      <c r="L3833" s="1112"/>
      <c r="M3833" s="1113"/>
      <c r="N3833" s="110"/>
      <c r="O3833" s="1140"/>
      <c r="P3833" s="1115"/>
      <c r="Q3833" s="1116"/>
      <c r="R3833" s="1141"/>
      <c r="S3833" s="1113"/>
      <c r="T3833" s="1143"/>
      <c r="U3833" s="1108"/>
      <c r="V3833" s="1108"/>
      <c r="W3833" s="1108"/>
      <c r="X3833" s="1108"/>
      <c r="Y3833" s="1108"/>
      <c r="Z3833" s="1114"/>
      <c r="AA3833" s="1114"/>
      <c r="AB3833" s="1114"/>
      <c r="AC3833" s="1117"/>
      <c r="AD3833" s="1115"/>
      <c r="AE3833" s="1115"/>
      <c r="AF3833" s="1115"/>
      <c r="AG3833" s="1115"/>
      <c r="AH3833" s="1115"/>
      <c r="AI3833" s="1115"/>
      <c r="AJ3833" s="1117"/>
      <c r="AK3833" s="1118"/>
      <c r="AL3833" s="1115"/>
      <c r="AM3833" s="1115"/>
      <c r="AN3833" s="1115"/>
      <c r="AO3833" s="1115"/>
      <c r="AP3833" s="1115"/>
      <c r="AQ3833" s="1115"/>
      <c r="AR3833" s="1115"/>
      <c r="AS3833" s="1117"/>
      <c r="AT3833" s="1075"/>
      <c r="AU3833" s="1193"/>
      <c r="AV3833" s="330"/>
      <c r="AW3833" s="331"/>
      <c r="AX3833" s="331"/>
      <c r="AY3833" s="331"/>
      <c r="AZ3833" s="331"/>
      <c r="BA3833" s="331"/>
      <c r="BB3833" s="331"/>
      <c r="BC3833" s="331"/>
      <c r="BD3833" s="331"/>
      <c r="BE3833" s="333"/>
      <c r="BF3833" s="330"/>
      <c r="BG3833" s="333"/>
      <c r="BH3833" s="1119"/>
      <c r="BI3833" s="319"/>
      <c r="BJ3833" s="319"/>
      <c r="BK3833" s="319"/>
      <c r="BL3833" s="319"/>
      <c r="BM3833" s="319"/>
      <c r="BN3833" s="319"/>
      <c r="BO3833" s="319"/>
      <c r="BP3833" s="953"/>
      <c r="BQ3833" s="319"/>
      <c r="BR3833" s="319"/>
      <c r="BS3833" s="330"/>
      <c r="BT3833" s="331"/>
      <c r="BU3833" s="920"/>
      <c r="BV3833" s="903"/>
      <c r="BW3833" s="908"/>
      <c r="BX3833" s="908"/>
      <c r="BY3833" s="331"/>
      <c r="BZ3833" s="331"/>
      <c r="CA3833" s="462"/>
      <c r="CB3833" s="319"/>
      <c r="CC3833" s="319"/>
      <c r="CD3833" s="319"/>
      <c r="CE3833" s="319"/>
      <c r="CF3833" s="319"/>
      <c r="CG3833" s="319"/>
      <c r="CH3833" s="318"/>
      <c r="CI3833" s="319"/>
      <c r="CJ3833" s="319"/>
      <c r="CK3833" s="342"/>
      <c r="CL3833" s="333"/>
      <c r="CM3833" s="1079"/>
      <c r="CN3833" s="1005"/>
      <c r="CO3833" s="1005"/>
      <c r="CP3833" s="1005"/>
    </row>
    <row r="3834">
      <c r="A3834" s="1257"/>
      <c r="B3834" s="1113"/>
      <c r="C3834" s="1107"/>
      <c r="D3834" s="103"/>
      <c r="E3834" s="1137"/>
      <c r="F3834" s="112"/>
      <c r="G3834" s="1110"/>
      <c r="H3834" s="1138"/>
      <c r="I3834" s="1138"/>
      <c r="J3834" s="1139"/>
      <c r="K3834" s="1111"/>
      <c r="L3834" s="1112"/>
      <c r="M3834" s="1113"/>
      <c r="N3834" s="110"/>
      <c r="O3834" s="1140"/>
      <c r="P3834" s="1115"/>
      <c r="Q3834" s="1116"/>
      <c r="R3834" s="1141"/>
      <c r="S3834" s="1113"/>
      <c r="T3834" s="1143"/>
      <c r="U3834" s="1108"/>
      <c r="V3834" s="1108"/>
      <c r="W3834" s="1108"/>
      <c r="X3834" s="1108"/>
      <c r="Y3834" s="1108"/>
      <c r="Z3834" s="1114"/>
      <c r="AA3834" s="1114"/>
      <c r="AB3834" s="1114"/>
      <c r="AC3834" s="1117"/>
      <c r="AD3834" s="1115"/>
      <c r="AE3834" s="1115"/>
      <c r="AF3834" s="1115"/>
      <c r="AG3834" s="1115"/>
      <c r="AH3834" s="1115"/>
      <c r="AI3834" s="1115"/>
      <c r="AJ3834" s="1117"/>
      <c r="AK3834" s="1118"/>
      <c r="AL3834" s="1115"/>
      <c r="AM3834" s="1115"/>
      <c r="AN3834" s="1115"/>
      <c r="AO3834" s="1115"/>
      <c r="AP3834" s="1115"/>
      <c r="AQ3834" s="1115"/>
      <c r="AR3834" s="1115"/>
      <c r="AS3834" s="1117"/>
      <c r="AT3834" s="1075"/>
      <c r="AU3834" s="1193"/>
      <c r="AV3834" s="330"/>
      <c r="AW3834" s="331"/>
      <c r="AX3834" s="331"/>
      <c r="AY3834" s="331"/>
      <c r="AZ3834" s="331"/>
      <c r="BA3834" s="331"/>
      <c r="BB3834" s="331"/>
      <c r="BC3834" s="331"/>
      <c r="BD3834" s="331"/>
      <c r="BE3834" s="333"/>
      <c r="BF3834" s="330"/>
      <c r="BG3834" s="333"/>
      <c r="BH3834" s="1119"/>
      <c r="BI3834" s="319"/>
      <c r="BJ3834" s="319"/>
      <c r="BK3834" s="319"/>
      <c r="BL3834" s="319"/>
      <c r="BM3834" s="319"/>
      <c r="BN3834" s="319"/>
      <c r="BO3834" s="319"/>
      <c r="BP3834" s="953"/>
      <c r="BQ3834" s="319"/>
      <c r="BR3834" s="319"/>
      <c r="BS3834" s="330"/>
      <c r="BT3834" s="331"/>
      <c r="BU3834" s="920"/>
      <c r="BV3834" s="903"/>
      <c r="BW3834" s="908"/>
      <c r="BX3834" s="908"/>
      <c r="BY3834" s="331"/>
      <c r="BZ3834" s="331"/>
      <c r="CA3834" s="462"/>
      <c r="CB3834" s="319"/>
      <c r="CC3834" s="319"/>
      <c r="CD3834" s="319"/>
      <c r="CE3834" s="319"/>
      <c r="CF3834" s="319"/>
      <c r="CG3834" s="319"/>
      <c r="CH3834" s="318"/>
      <c r="CI3834" s="319"/>
      <c r="CJ3834" s="319"/>
      <c r="CK3834" s="342"/>
      <c r="CL3834" s="333"/>
      <c r="CM3834" s="1079"/>
      <c r="CN3834" s="1005"/>
      <c r="CO3834" s="1005"/>
      <c r="CP3834" s="1005"/>
    </row>
    <row r="3835">
      <c r="A3835" s="1257"/>
      <c r="B3835" s="1113"/>
      <c r="C3835" s="1107"/>
      <c r="D3835" s="103"/>
      <c r="E3835" s="1137"/>
      <c r="F3835" s="112"/>
      <c r="G3835" s="1110"/>
      <c r="H3835" s="1138"/>
      <c r="I3835" s="1138"/>
      <c r="J3835" s="1139"/>
      <c r="K3835" s="1111"/>
      <c r="L3835" s="1112"/>
      <c r="M3835" s="1113"/>
      <c r="N3835" s="110"/>
      <c r="O3835" s="1140"/>
      <c r="P3835" s="1115"/>
      <c r="Q3835" s="1116"/>
      <c r="R3835" s="1141"/>
      <c r="S3835" s="1113"/>
      <c r="T3835" s="1143"/>
      <c r="U3835" s="1108"/>
      <c r="V3835" s="1108"/>
      <c r="W3835" s="1108"/>
      <c r="X3835" s="1108"/>
      <c r="Y3835" s="1108"/>
      <c r="Z3835" s="1114"/>
      <c r="AA3835" s="1114"/>
      <c r="AB3835" s="1114"/>
      <c r="AC3835" s="1117"/>
      <c r="AD3835" s="1115"/>
      <c r="AE3835" s="1115"/>
      <c r="AF3835" s="1115"/>
      <c r="AG3835" s="1115"/>
      <c r="AH3835" s="1115"/>
      <c r="AI3835" s="1115"/>
      <c r="AJ3835" s="1117"/>
      <c r="AK3835" s="1118"/>
      <c r="AL3835" s="1115"/>
      <c r="AM3835" s="1115"/>
      <c r="AN3835" s="1115"/>
      <c r="AO3835" s="1115"/>
      <c r="AP3835" s="1115"/>
      <c r="AQ3835" s="1115"/>
      <c r="AR3835" s="1115"/>
      <c r="AS3835" s="1117"/>
      <c r="AT3835" s="1075"/>
      <c r="AU3835" s="1193"/>
      <c r="AV3835" s="330"/>
      <c r="AW3835" s="331"/>
      <c r="AX3835" s="331"/>
      <c r="AY3835" s="331"/>
      <c r="AZ3835" s="331"/>
      <c r="BA3835" s="331"/>
      <c r="BB3835" s="331"/>
      <c r="BC3835" s="331"/>
      <c r="BD3835" s="331"/>
      <c r="BE3835" s="333"/>
      <c r="BF3835" s="330"/>
      <c r="BG3835" s="333"/>
      <c r="BH3835" s="1119"/>
      <c r="BI3835" s="319"/>
      <c r="BJ3835" s="319"/>
      <c r="BK3835" s="319"/>
      <c r="BL3835" s="319"/>
      <c r="BM3835" s="319"/>
      <c r="BN3835" s="319"/>
      <c r="BO3835" s="319"/>
      <c r="BP3835" s="953"/>
      <c r="BQ3835" s="319"/>
      <c r="BR3835" s="319"/>
      <c r="BS3835" s="330"/>
      <c r="BT3835" s="331"/>
      <c r="BU3835" s="920"/>
      <c r="BV3835" s="903"/>
      <c r="BW3835" s="908"/>
      <c r="BX3835" s="908"/>
      <c r="BY3835" s="331"/>
      <c r="BZ3835" s="331"/>
      <c r="CA3835" s="462"/>
      <c r="CB3835" s="319"/>
      <c r="CC3835" s="319"/>
      <c r="CD3835" s="319"/>
      <c r="CE3835" s="319"/>
      <c r="CF3835" s="319"/>
      <c r="CG3835" s="319"/>
      <c r="CH3835" s="318"/>
      <c r="CI3835" s="319"/>
      <c r="CJ3835" s="319"/>
      <c r="CK3835" s="342"/>
      <c r="CL3835" s="333"/>
      <c r="CM3835" s="1079"/>
      <c r="CN3835" s="1005"/>
      <c r="CO3835" s="1005"/>
      <c r="CP3835" s="1005"/>
    </row>
    <row r="3836">
      <c r="A3836" s="1257"/>
      <c r="B3836" s="1113"/>
      <c r="C3836" s="1107"/>
      <c r="D3836" s="103"/>
      <c r="E3836" s="1137"/>
      <c r="F3836" s="112"/>
      <c r="G3836" s="1110"/>
      <c r="H3836" s="1138"/>
      <c r="I3836" s="1138"/>
      <c r="J3836" s="1139"/>
      <c r="K3836" s="1111"/>
      <c r="L3836" s="1112"/>
      <c r="M3836" s="1113"/>
      <c r="N3836" s="110"/>
      <c r="O3836" s="1140"/>
      <c r="P3836" s="1115"/>
      <c r="Q3836" s="1116"/>
      <c r="R3836" s="1141"/>
      <c r="S3836" s="1113"/>
      <c r="T3836" s="1143"/>
      <c r="U3836" s="1108"/>
      <c r="V3836" s="1108"/>
      <c r="W3836" s="1108"/>
      <c r="X3836" s="1108"/>
      <c r="Y3836" s="1108"/>
      <c r="Z3836" s="1114"/>
      <c r="AA3836" s="1114"/>
      <c r="AB3836" s="1114"/>
      <c r="AC3836" s="1117"/>
      <c r="AD3836" s="1115"/>
      <c r="AE3836" s="1115"/>
      <c r="AF3836" s="1115"/>
      <c r="AG3836" s="1115"/>
      <c r="AH3836" s="1115"/>
      <c r="AI3836" s="1115"/>
      <c r="AJ3836" s="1117"/>
      <c r="AK3836" s="1118"/>
      <c r="AL3836" s="1115"/>
      <c r="AM3836" s="1115"/>
      <c r="AN3836" s="1115"/>
      <c r="AO3836" s="1115"/>
      <c r="AP3836" s="1115"/>
      <c r="AQ3836" s="1115"/>
      <c r="AR3836" s="1115"/>
      <c r="AS3836" s="1117"/>
      <c r="AT3836" s="1075"/>
      <c r="AU3836" s="1193"/>
      <c r="AV3836" s="330"/>
      <c r="AW3836" s="331"/>
      <c r="AX3836" s="331"/>
      <c r="AY3836" s="331"/>
      <c r="AZ3836" s="331"/>
      <c r="BA3836" s="331"/>
      <c r="BB3836" s="331"/>
      <c r="BC3836" s="331"/>
      <c r="BD3836" s="331"/>
      <c r="BE3836" s="333"/>
      <c r="BF3836" s="330"/>
      <c r="BG3836" s="333"/>
      <c r="BH3836" s="1119"/>
      <c r="BI3836" s="319"/>
      <c r="BJ3836" s="319"/>
      <c r="BK3836" s="319"/>
      <c r="BL3836" s="319"/>
      <c r="BM3836" s="319"/>
      <c r="BN3836" s="319"/>
      <c r="BO3836" s="319"/>
      <c r="BP3836" s="953"/>
      <c r="BQ3836" s="319"/>
      <c r="BR3836" s="319"/>
      <c r="BS3836" s="330"/>
      <c r="BT3836" s="331"/>
      <c r="BU3836" s="920"/>
      <c r="BV3836" s="903"/>
      <c r="BW3836" s="908"/>
      <c r="BX3836" s="908"/>
      <c r="BY3836" s="331"/>
      <c r="BZ3836" s="331"/>
      <c r="CA3836" s="462"/>
      <c r="CB3836" s="319"/>
      <c r="CC3836" s="319"/>
      <c r="CD3836" s="319"/>
      <c r="CE3836" s="319"/>
      <c r="CF3836" s="319"/>
      <c r="CG3836" s="319"/>
      <c r="CH3836" s="318"/>
      <c r="CI3836" s="319"/>
      <c r="CJ3836" s="319"/>
      <c r="CK3836" s="342"/>
      <c r="CL3836" s="333"/>
      <c r="CM3836" s="1079"/>
      <c r="CN3836" s="1005"/>
      <c r="CO3836" s="1005"/>
      <c r="CP3836" s="1005"/>
    </row>
    <row r="3837">
      <c r="A3837" s="1257"/>
      <c r="B3837" s="1113"/>
      <c r="C3837" s="1107"/>
      <c r="D3837" s="103"/>
      <c r="E3837" s="1137"/>
      <c r="F3837" s="112"/>
      <c r="G3837" s="1110"/>
      <c r="H3837" s="1138"/>
      <c r="I3837" s="1138"/>
      <c r="J3837" s="1139"/>
      <c r="K3837" s="1111"/>
      <c r="L3837" s="1112"/>
      <c r="M3837" s="1113"/>
      <c r="N3837" s="110"/>
      <c r="O3837" s="1140"/>
      <c r="P3837" s="1115"/>
      <c r="Q3837" s="1116"/>
      <c r="R3837" s="1141"/>
      <c r="S3837" s="1113"/>
      <c r="T3837" s="1143"/>
      <c r="U3837" s="1108"/>
      <c r="V3837" s="1108"/>
      <c r="W3837" s="1108"/>
      <c r="X3837" s="1108"/>
      <c r="Y3837" s="1108"/>
      <c r="Z3837" s="1114"/>
      <c r="AA3837" s="1114"/>
      <c r="AB3837" s="1114"/>
      <c r="AC3837" s="1117"/>
      <c r="AD3837" s="1115"/>
      <c r="AE3837" s="1115"/>
      <c r="AF3837" s="1115"/>
      <c r="AG3837" s="1115"/>
      <c r="AH3837" s="1115"/>
      <c r="AI3837" s="1115"/>
      <c r="AJ3837" s="1117"/>
      <c r="AK3837" s="1118"/>
      <c r="AL3837" s="1115"/>
      <c r="AM3837" s="1115"/>
      <c r="AN3837" s="1115"/>
      <c r="AO3837" s="1115"/>
      <c r="AP3837" s="1115"/>
      <c r="AQ3837" s="1115"/>
      <c r="AR3837" s="1115"/>
      <c r="AS3837" s="1117"/>
      <c r="AT3837" s="1075"/>
      <c r="AU3837" s="1193"/>
      <c r="AV3837" s="330"/>
      <c r="AW3837" s="331"/>
      <c r="AX3837" s="331"/>
      <c r="AY3837" s="331"/>
      <c r="AZ3837" s="331"/>
      <c r="BA3837" s="331"/>
      <c r="BB3837" s="331"/>
      <c r="BC3837" s="331"/>
      <c r="BD3837" s="331"/>
      <c r="BE3837" s="333"/>
      <c r="BF3837" s="330"/>
      <c r="BG3837" s="333"/>
      <c r="BH3837" s="1119"/>
      <c r="BI3837" s="319"/>
      <c r="BJ3837" s="319"/>
      <c r="BK3837" s="319"/>
      <c r="BL3837" s="319"/>
      <c r="BM3837" s="319"/>
      <c r="BN3837" s="319"/>
      <c r="BO3837" s="319"/>
      <c r="BP3837" s="953"/>
      <c r="BQ3837" s="319"/>
      <c r="BR3837" s="319"/>
      <c r="BS3837" s="330"/>
      <c r="BT3837" s="331"/>
      <c r="BU3837" s="920"/>
      <c r="BV3837" s="903"/>
      <c r="BW3837" s="908"/>
      <c r="BX3837" s="908"/>
      <c r="BY3837" s="331"/>
      <c r="BZ3837" s="331"/>
      <c r="CA3837" s="462"/>
      <c r="CB3837" s="319"/>
      <c r="CC3837" s="319"/>
      <c r="CD3837" s="319"/>
      <c r="CE3837" s="319"/>
      <c r="CF3837" s="319"/>
      <c r="CG3837" s="319"/>
      <c r="CH3837" s="318"/>
      <c r="CI3837" s="319"/>
      <c r="CJ3837" s="319"/>
      <c r="CK3837" s="342"/>
      <c r="CL3837" s="333"/>
      <c r="CM3837" s="1079"/>
      <c r="CN3837" s="1005"/>
      <c r="CO3837" s="1005"/>
      <c r="CP3837" s="1005"/>
    </row>
    <row r="3838">
      <c r="A3838" s="1257"/>
      <c r="B3838" s="1113"/>
      <c r="C3838" s="1107"/>
      <c r="D3838" s="103"/>
      <c r="E3838" s="1137"/>
      <c r="F3838" s="112"/>
      <c r="G3838" s="1110"/>
      <c r="H3838" s="1138"/>
      <c r="I3838" s="1138"/>
      <c r="J3838" s="1139"/>
      <c r="K3838" s="1111"/>
      <c r="L3838" s="1112"/>
      <c r="M3838" s="1113"/>
      <c r="N3838" s="110"/>
      <c r="O3838" s="1140"/>
      <c r="P3838" s="1115"/>
      <c r="Q3838" s="1116"/>
      <c r="R3838" s="1141"/>
      <c r="S3838" s="1113"/>
      <c r="T3838" s="1143"/>
      <c r="U3838" s="1108"/>
      <c r="V3838" s="1108"/>
      <c r="W3838" s="1108"/>
      <c r="X3838" s="1108"/>
      <c r="Y3838" s="1108"/>
      <c r="Z3838" s="1114"/>
      <c r="AA3838" s="1114"/>
      <c r="AB3838" s="1114"/>
      <c r="AC3838" s="1117"/>
      <c r="AD3838" s="1115"/>
      <c r="AE3838" s="1115"/>
      <c r="AF3838" s="1115"/>
      <c r="AG3838" s="1115"/>
      <c r="AH3838" s="1115"/>
      <c r="AI3838" s="1115"/>
      <c r="AJ3838" s="1117"/>
      <c r="AK3838" s="1118"/>
      <c r="AL3838" s="1115"/>
      <c r="AM3838" s="1115"/>
      <c r="AN3838" s="1115"/>
      <c r="AO3838" s="1115"/>
      <c r="AP3838" s="1115"/>
      <c r="AQ3838" s="1115"/>
      <c r="AR3838" s="1115"/>
      <c r="AS3838" s="1117"/>
      <c r="AT3838" s="1075"/>
      <c r="AU3838" s="1193"/>
      <c r="AV3838" s="330"/>
      <c r="AW3838" s="331"/>
      <c r="AX3838" s="331"/>
      <c r="AY3838" s="331"/>
      <c r="AZ3838" s="331"/>
      <c r="BA3838" s="331"/>
      <c r="BB3838" s="331"/>
      <c r="BC3838" s="331"/>
      <c r="BD3838" s="331"/>
      <c r="BE3838" s="333"/>
      <c r="BF3838" s="330"/>
      <c r="BG3838" s="333"/>
      <c r="BH3838" s="1119"/>
      <c r="BI3838" s="319"/>
      <c r="BJ3838" s="319"/>
      <c r="BK3838" s="319"/>
      <c r="BL3838" s="319"/>
      <c r="BM3838" s="319"/>
      <c r="BN3838" s="319"/>
      <c r="BO3838" s="319"/>
      <c r="BP3838" s="953"/>
      <c r="BQ3838" s="319"/>
      <c r="BR3838" s="319"/>
      <c r="BS3838" s="330"/>
      <c r="BT3838" s="331"/>
      <c r="BU3838" s="920"/>
      <c r="BV3838" s="903"/>
      <c r="BW3838" s="908"/>
      <c r="BX3838" s="908"/>
      <c r="BY3838" s="331"/>
      <c r="BZ3838" s="331"/>
      <c r="CA3838" s="462"/>
      <c r="CB3838" s="319"/>
      <c r="CC3838" s="319"/>
      <c r="CD3838" s="319"/>
      <c r="CE3838" s="319"/>
      <c r="CF3838" s="319"/>
      <c r="CG3838" s="319"/>
      <c r="CH3838" s="318"/>
      <c r="CI3838" s="319"/>
      <c r="CJ3838" s="319"/>
      <c r="CK3838" s="342"/>
      <c r="CL3838" s="333"/>
      <c r="CM3838" s="1079"/>
      <c r="CN3838" s="1005"/>
      <c r="CO3838" s="1005"/>
      <c r="CP3838" s="1005"/>
    </row>
    <row r="3839">
      <c r="A3839" s="1257"/>
      <c r="B3839" s="1113"/>
      <c r="C3839" s="1107"/>
      <c r="D3839" s="103"/>
      <c r="E3839" s="1137"/>
      <c r="F3839" s="112"/>
      <c r="G3839" s="1110"/>
      <c r="H3839" s="1138"/>
      <c r="I3839" s="1138"/>
      <c r="J3839" s="1139"/>
      <c r="K3839" s="1111"/>
      <c r="L3839" s="1112"/>
      <c r="M3839" s="1113"/>
      <c r="N3839" s="110"/>
      <c r="O3839" s="1140"/>
      <c r="P3839" s="1115"/>
      <c r="Q3839" s="1116"/>
      <c r="R3839" s="1141"/>
      <c r="S3839" s="1113"/>
      <c r="T3839" s="1143"/>
      <c r="U3839" s="1108"/>
      <c r="V3839" s="1108"/>
      <c r="W3839" s="1108"/>
      <c r="X3839" s="1108"/>
      <c r="Y3839" s="1108"/>
      <c r="Z3839" s="1114"/>
      <c r="AA3839" s="1114"/>
      <c r="AB3839" s="1114"/>
      <c r="AC3839" s="1117"/>
      <c r="AD3839" s="1115"/>
      <c r="AE3839" s="1115"/>
      <c r="AF3839" s="1115"/>
      <c r="AG3839" s="1115"/>
      <c r="AH3839" s="1115"/>
      <c r="AI3839" s="1115"/>
      <c r="AJ3839" s="1117"/>
      <c r="AK3839" s="1118"/>
      <c r="AL3839" s="1115"/>
      <c r="AM3839" s="1115"/>
      <c r="AN3839" s="1115"/>
      <c r="AO3839" s="1115"/>
      <c r="AP3839" s="1115"/>
      <c r="AQ3839" s="1115"/>
      <c r="AR3839" s="1115"/>
      <c r="AS3839" s="1117"/>
      <c r="AT3839" s="1075"/>
      <c r="AU3839" s="1193"/>
      <c r="AV3839" s="330"/>
      <c r="AW3839" s="331"/>
      <c r="AX3839" s="331"/>
      <c r="AY3839" s="331"/>
      <c r="AZ3839" s="331"/>
      <c r="BA3839" s="331"/>
      <c r="BB3839" s="331"/>
      <c r="BC3839" s="331"/>
      <c r="BD3839" s="331"/>
      <c r="BE3839" s="333"/>
      <c r="BF3839" s="330"/>
      <c r="BG3839" s="333"/>
      <c r="BH3839" s="1119"/>
      <c r="BI3839" s="319"/>
      <c r="BJ3839" s="319"/>
      <c r="BK3839" s="319"/>
      <c r="BL3839" s="319"/>
      <c r="BM3839" s="319"/>
      <c r="BN3839" s="319"/>
      <c r="BO3839" s="319"/>
      <c r="BP3839" s="953"/>
      <c r="BQ3839" s="319"/>
      <c r="BR3839" s="319"/>
      <c r="BS3839" s="330"/>
      <c r="BT3839" s="331"/>
      <c r="BU3839" s="920"/>
      <c r="BV3839" s="903"/>
      <c r="BW3839" s="908"/>
      <c r="BX3839" s="908"/>
      <c r="BY3839" s="331"/>
      <c r="BZ3839" s="331"/>
      <c r="CA3839" s="462"/>
      <c r="CB3839" s="319"/>
      <c r="CC3839" s="319"/>
      <c r="CD3839" s="319"/>
      <c r="CE3839" s="319"/>
      <c r="CF3839" s="319"/>
      <c r="CG3839" s="319"/>
      <c r="CH3839" s="318"/>
      <c r="CI3839" s="319"/>
      <c r="CJ3839" s="319"/>
      <c r="CK3839" s="342"/>
      <c r="CL3839" s="333"/>
      <c r="CM3839" s="1079"/>
      <c r="CN3839" s="1005"/>
      <c r="CO3839" s="1005"/>
      <c r="CP3839" s="1005"/>
    </row>
    <row r="3840">
      <c r="A3840" s="1257"/>
      <c r="B3840" s="1113"/>
      <c r="C3840" s="1107"/>
      <c r="D3840" s="103"/>
      <c r="E3840" s="1137"/>
      <c r="F3840" s="112"/>
      <c r="G3840" s="1110"/>
      <c r="H3840" s="1138"/>
      <c r="I3840" s="1138"/>
      <c r="J3840" s="1139"/>
      <c r="K3840" s="1111"/>
      <c r="L3840" s="1112"/>
      <c r="M3840" s="1113"/>
      <c r="N3840" s="110"/>
      <c r="O3840" s="1140"/>
      <c r="P3840" s="1115"/>
      <c r="Q3840" s="1116"/>
      <c r="R3840" s="1141"/>
      <c r="S3840" s="1113"/>
      <c r="T3840" s="1143"/>
      <c r="U3840" s="1108"/>
      <c r="V3840" s="1108"/>
      <c r="W3840" s="1108"/>
      <c r="X3840" s="1108"/>
      <c r="Y3840" s="1108"/>
      <c r="Z3840" s="1114"/>
      <c r="AA3840" s="1114"/>
      <c r="AB3840" s="1114"/>
      <c r="AC3840" s="1117"/>
      <c r="AD3840" s="1115"/>
      <c r="AE3840" s="1115"/>
      <c r="AF3840" s="1115"/>
      <c r="AG3840" s="1115"/>
      <c r="AH3840" s="1115"/>
      <c r="AI3840" s="1115"/>
      <c r="AJ3840" s="1117"/>
      <c r="AK3840" s="1118"/>
      <c r="AL3840" s="1115"/>
      <c r="AM3840" s="1115"/>
      <c r="AN3840" s="1115"/>
      <c r="AO3840" s="1115"/>
      <c r="AP3840" s="1115"/>
      <c r="AQ3840" s="1115"/>
      <c r="AR3840" s="1115"/>
      <c r="AS3840" s="1117"/>
      <c r="AT3840" s="1075"/>
      <c r="AU3840" s="1193"/>
      <c r="AV3840" s="330"/>
      <c r="AW3840" s="331"/>
      <c r="AX3840" s="331"/>
      <c r="AY3840" s="331"/>
      <c r="AZ3840" s="331"/>
      <c r="BA3840" s="331"/>
      <c r="BB3840" s="331"/>
      <c r="BC3840" s="331"/>
      <c r="BD3840" s="331"/>
      <c r="BE3840" s="333"/>
      <c r="BF3840" s="330"/>
      <c r="BG3840" s="333"/>
      <c r="BH3840" s="1119"/>
      <c r="BI3840" s="319"/>
      <c r="BJ3840" s="319"/>
      <c r="BK3840" s="319"/>
      <c r="BL3840" s="319"/>
      <c r="BM3840" s="319"/>
      <c r="BN3840" s="319"/>
      <c r="BO3840" s="319"/>
      <c r="BP3840" s="953"/>
      <c r="BQ3840" s="319"/>
      <c r="BR3840" s="319"/>
      <c r="BS3840" s="330"/>
      <c r="BT3840" s="331"/>
      <c r="BU3840" s="920"/>
      <c r="BV3840" s="903"/>
      <c r="BW3840" s="908"/>
      <c r="BX3840" s="908"/>
      <c r="BY3840" s="331"/>
      <c r="BZ3840" s="331"/>
      <c r="CA3840" s="462"/>
      <c r="CB3840" s="319"/>
      <c r="CC3840" s="319"/>
      <c r="CD3840" s="319"/>
      <c r="CE3840" s="319"/>
      <c r="CF3840" s="319"/>
      <c r="CG3840" s="319"/>
      <c r="CH3840" s="318"/>
      <c r="CI3840" s="319"/>
      <c r="CJ3840" s="319"/>
      <c r="CK3840" s="342"/>
      <c r="CL3840" s="333"/>
      <c r="CM3840" s="1079"/>
      <c r="CN3840" s="1005"/>
      <c r="CO3840" s="1005"/>
      <c r="CP3840" s="1005"/>
    </row>
    <row r="3841">
      <c r="A3841" s="1257"/>
      <c r="B3841" s="1113"/>
      <c r="C3841" s="1107"/>
      <c r="D3841" s="103"/>
      <c r="E3841" s="1137"/>
      <c r="F3841" s="112"/>
      <c r="G3841" s="1110"/>
      <c r="H3841" s="1138"/>
      <c r="I3841" s="1138"/>
      <c r="J3841" s="1139"/>
      <c r="K3841" s="1111"/>
      <c r="L3841" s="1112"/>
      <c r="M3841" s="1113"/>
      <c r="N3841" s="110"/>
      <c r="O3841" s="1140"/>
      <c r="P3841" s="1115"/>
      <c r="Q3841" s="1116"/>
      <c r="R3841" s="1141"/>
      <c r="S3841" s="1113"/>
      <c r="T3841" s="1143"/>
      <c r="U3841" s="1108"/>
      <c r="V3841" s="1108"/>
      <c r="W3841" s="1108"/>
      <c r="X3841" s="1108"/>
      <c r="Y3841" s="1108"/>
      <c r="Z3841" s="1114"/>
      <c r="AA3841" s="1114"/>
      <c r="AB3841" s="1114"/>
      <c r="AC3841" s="1117"/>
      <c r="AD3841" s="1115"/>
      <c r="AE3841" s="1115"/>
      <c r="AF3841" s="1115"/>
      <c r="AG3841" s="1115"/>
      <c r="AH3841" s="1115"/>
      <c r="AI3841" s="1115"/>
      <c r="AJ3841" s="1117"/>
      <c r="AK3841" s="1118"/>
      <c r="AL3841" s="1115"/>
      <c r="AM3841" s="1115"/>
      <c r="AN3841" s="1115"/>
      <c r="AO3841" s="1115"/>
      <c r="AP3841" s="1115"/>
      <c r="AQ3841" s="1115"/>
      <c r="AR3841" s="1115"/>
      <c r="AS3841" s="1117"/>
      <c r="AT3841" s="1075"/>
      <c r="AU3841" s="1193"/>
      <c r="AV3841" s="330"/>
      <c r="AW3841" s="331"/>
      <c r="AX3841" s="331"/>
      <c r="AY3841" s="331"/>
      <c r="AZ3841" s="331"/>
      <c r="BA3841" s="331"/>
      <c r="BB3841" s="331"/>
      <c r="BC3841" s="331"/>
      <c r="BD3841" s="331"/>
      <c r="BE3841" s="333"/>
      <c r="BF3841" s="330"/>
      <c r="BG3841" s="333"/>
      <c r="BH3841" s="1119"/>
      <c r="BI3841" s="319"/>
      <c r="BJ3841" s="319"/>
      <c r="BK3841" s="319"/>
      <c r="BL3841" s="319"/>
      <c r="BM3841" s="319"/>
      <c r="BN3841" s="319"/>
      <c r="BO3841" s="319"/>
      <c r="BP3841" s="953"/>
      <c r="BQ3841" s="319"/>
      <c r="BR3841" s="319"/>
      <c r="BS3841" s="330"/>
      <c r="BT3841" s="331"/>
      <c r="BU3841" s="920"/>
      <c r="BV3841" s="903"/>
      <c r="BW3841" s="908"/>
      <c r="BX3841" s="908"/>
      <c r="BY3841" s="331"/>
      <c r="BZ3841" s="331"/>
      <c r="CA3841" s="462"/>
      <c r="CB3841" s="319"/>
      <c r="CC3841" s="319"/>
      <c r="CD3841" s="319"/>
      <c r="CE3841" s="319"/>
      <c r="CF3841" s="319"/>
      <c r="CG3841" s="319"/>
      <c r="CH3841" s="318"/>
      <c r="CI3841" s="319"/>
      <c r="CJ3841" s="319"/>
      <c r="CK3841" s="342"/>
      <c r="CL3841" s="333"/>
      <c r="CM3841" s="1079"/>
      <c r="CN3841" s="1005"/>
      <c r="CO3841" s="1005"/>
      <c r="CP3841" s="1005"/>
    </row>
    <row r="3842">
      <c r="A3842" s="1257"/>
      <c r="B3842" s="1113"/>
      <c r="C3842" s="1107"/>
      <c r="D3842" s="103"/>
      <c r="E3842" s="1137"/>
      <c r="F3842" s="112"/>
      <c r="G3842" s="1110"/>
      <c r="H3842" s="1138"/>
      <c r="I3842" s="1138"/>
      <c r="J3842" s="1139"/>
      <c r="K3842" s="1111"/>
      <c r="L3842" s="1112"/>
      <c r="M3842" s="1113"/>
      <c r="N3842" s="110"/>
      <c r="O3842" s="1140"/>
      <c r="P3842" s="1115"/>
      <c r="Q3842" s="1116"/>
      <c r="R3842" s="1141"/>
      <c r="S3842" s="1113"/>
      <c r="T3842" s="1143"/>
      <c r="U3842" s="1108"/>
      <c r="V3842" s="1108"/>
      <c r="W3842" s="1108"/>
      <c r="X3842" s="1108"/>
      <c r="Y3842" s="1108"/>
      <c r="Z3842" s="1114"/>
      <c r="AA3842" s="1114"/>
      <c r="AB3842" s="1114"/>
      <c r="AC3842" s="1117"/>
      <c r="AD3842" s="1115"/>
      <c r="AE3842" s="1115"/>
      <c r="AF3842" s="1115"/>
      <c r="AG3842" s="1115"/>
      <c r="AH3842" s="1115"/>
      <c r="AI3842" s="1115"/>
      <c r="AJ3842" s="1117"/>
      <c r="AK3842" s="1118"/>
      <c r="AL3842" s="1115"/>
      <c r="AM3842" s="1115"/>
      <c r="AN3842" s="1115"/>
      <c r="AO3842" s="1115"/>
      <c r="AP3842" s="1115"/>
      <c r="AQ3842" s="1115"/>
      <c r="AR3842" s="1115"/>
      <c r="AS3842" s="1117"/>
      <c r="AT3842" s="1075"/>
      <c r="AU3842" s="1193"/>
      <c r="AV3842" s="330"/>
      <c r="AW3842" s="331"/>
      <c r="AX3842" s="331"/>
      <c r="AY3842" s="331"/>
      <c r="AZ3842" s="331"/>
      <c r="BA3842" s="331"/>
      <c r="BB3842" s="331"/>
      <c r="BC3842" s="331"/>
      <c r="BD3842" s="331"/>
      <c r="BE3842" s="333"/>
      <c r="BF3842" s="330"/>
      <c r="BG3842" s="333"/>
      <c r="BH3842" s="1119"/>
      <c r="BI3842" s="319"/>
      <c r="BJ3842" s="319"/>
      <c r="BK3842" s="319"/>
      <c r="BL3842" s="319"/>
      <c r="BM3842" s="319"/>
      <c r="BN3842" s="319"/>
      <c r="BO3842" s="319"/>
      <c r="BP3842" s="953"/>
      <c r="BQ3842" s="319"/>
      <c r="BR3842" s="319"/>
      <c r="BS3842" s="330"/>
      <c r="BT3842" s="331"/>
      <c r="BU3842" s="920"/>
      <c r="BV3842" s="903"/>
      <c r="BW3842" s="908"/>
      <c r="BX3842" s="908"/>
      <c r="BY3842" s="331"/>
      <c r="BZ3842" s="331"/>
      <c r="CA3842" s="462"/>
      <c r="CB3842" s="319"/>
      <c r="CC3842" s="319"/>
      <c r="CD3842" s="319"/>
      <c r="CE3842" s="319"/>
      <c r="CF3842" s="319"/>
      <c r="CG3842" s="319"/>
      <c r="CH3842" s="318"/>
      <c r="CI3842" s="319"/>
      <c r="CJ3842" s="319"/>
      <c r="CK3842" s="342"/>
      <c r="CL3842" s="333"/>
      <c r="CM3842" s="1079"/>
      <c r="CN3842" s="1005"/>
      <c r="CO3842" s="1005"/>
      <c r="CP3842" s="1005"/>
    </row>
    <row r="3843">
      <c r="A3843" s="1257"/>
      <c r="B3843" s="1113"/>
      <c r="C3843" s="1107"/>
      <c r="D3843" s="103"/>
      <c r="E3843" s="1137"/>
      <c r="F3843" s="112"/>
      <c r="G3843" s="1110"/>
      <c r="H3843" s="1138"/>
      <c r="I3843" s="1138"/>
      <c r="J3843" s="1139"/>
      <c r="K3843" s="1111"/>
      <c r="L3843" s="1112"/>
      <c r="M3843" s="1113"/>
      <c r="N3843" s="110"/>
      <c r="O3843" s="1140"/>
      <c r="P3843" s="1115"/>
      <c r="Q3843" s="1116"/>
      <c r="R3843" s="1141"/>
      <c r="S3843" s="1113"/>
      <c r="T3843" s="1143"/>
      <c r="U3843" s="1108"/>
      <c r="V3843" s="1108"/>
      <c r="W3843" s="1108"/>
      <c r="X3843" s="1108"/>
      <c r="Y3843" s="1108"/>
      <c r="Z3843" s="1114"/>
      <c r="AA3843" s="1114"/>
      <c r="AB3843" s="1114"/>
      <c r="AC3843" s="1117"/>
      <c r="AD3843" s="1115"/>
      <c r="AE3843" s="1115"/>
      <c r="AF3843" s="1115"/>
      <c r="AG3843" s="1115"/>
      <c r="AH3843" s="1115"/>
      <c r="AI3843" s="1115"/>
      <c r="AJ3843" s="1117"/>
      <c r="AK3843" s="1118"/>
      <c r="AL3843" s="1115"/>
      <c r="AM3843" s="1115"/>
      <c r="AN3843" s="1115"/>
      <c r="AO3843" s="1115"/>
      <c r="AP3843" s="1115"/>
      <c r="AQ3843" s="1115"/>
      <c r="AR3843" s="1115"/>
      <c r="AS3843" s="1117"/>
      <c r="AT3843" s="1075"/>
      <c r="AU3843" s="1193"/>
      <c r="AV3843" s="330"/>
      <c r="AW3843" s="331"/>
      <c r="AX3843" s="331"/>
      <c r="AY3843" s="331"/>
      <c r="AZ3843" s="331"/>
      <c r="BA3843" s="331"/>
      <c r="BB3843" s="331"/>
      <c r="BC3843" s="331"/>
      <c r="BD3843" s="331"/>
      <c r="BE3843" s="333"/>
      <c r="BF3843" s="330"/>
      <c r="BG3843" s="333"/>
      <c r="BH3843" s="1119"/>
      <c r="BI3843" s="319"/>
      <c r="BJ3843" s="319"/>
      <c r="BK3843" s="319"/>
      <c r="BL3843" s="319"/>
      <c r="BM3843" s="319"/>
      <c r="BN3843" s="319"/>
      <c r="BO3843" s="319"/>
      <c r="BP3843" s="953"/>
      <c r="BQ3843" s="319"/>
      <c r="BR3843" s="319"/>
      <c r="BS3843" s="330"/>
      <c r="BT3843" s="331"/>
      <c r="BU3843" s="920"/>
      <c r="BV3843" s="903"/>
      <c r="BW3843" s="908"/>
      <c r="BX3843" s="908"/>
      <c r="BY3843" s="331"/>
      <c r="BZ3843" s="331"/>
      <c r="CA3843" s="462"/>
      <c r="CB3843" s="319"/>
      <c r="CC3843" s="319"/>
      <c r="CD3843" s="319"/>
      <c r="CE3843" s="319"/>
      <c r="CF3843" s="319"/>
      <c r="CG3843" s="319"/>
      <c r="CH3843" s="318"/>
      <c r="CI3843" s="319"/>
      <c r="CJ3843" s="319"/>
      <c r="CK3843" s="342"/>
      <c r="CL3843" s="333"/>
      <c r="CM3843" s="1079"/>
      <c r="CN3843" s="1005"/>
      <c r="CO3843" s="1005"/>
      <c r="CP3843" s="1005"/>
    </row>
    <row r="3844">
      <c r="A3844" s="1257"/>
      <c r="B3844" s="1113"/>
      <c r="C3844" s="1107"/>
      <c r="D3844" s="103"/>
      <c r="E3844" s="1137"/>
      <c r="F3844" s="112"/>
      <c r="G3844" s="1110"/>
      <c r="H3844" s="1138"/>
      <c r="I3844" s="1138"/>
      <c r="J3844" s="1139"/>
      <c r="K3844" s="1111"/>
      <c r="L3844" s="1112"/>
      <c r="M3844" s="1113"/>
      <c r="N3844" s="110"/>
      <c r="O3844" s="1140"/>
      <c r="P3844" s="1115"/>
      <c r="Q3844" s="1116"/>
      <c r="R3844" s="1141"/>
      <c r="S3844" s="1113"/>
      <c r="T3844" s="1143"/>
      <c r="U3844" s="1108"/>
      <c r="V3844" s="1108"/>
      <c r="W3844" s="1108"/>
      <c r="X3844" s="1108"/>
      <c r="Y3844" s="1108"/>
      <c r="Z3844" s="1114"/>
      <c r="AA3844" s="1114"/>
      <c r="AB3844" s="1114"/>
      <c r="AC3844" s="1117"/>
      <c r="AD3844" s="1115"/>
      <c r="AE3844" s="1115"/>
      <c r="AF3844" s="1115"/>
      <c r="AG3844" s="1115"/>
      <c r="AH3844" s="1115"/>
      <c r="AI3844" s="1115"/>
      <c r="AJ3844" s="1117"/>
      <c r="AK3844" s="1118"/>
      <c r="AL3844" s="1115"/>
      <c r="AM3844" s="1115"/>
      <c r="AN3844" s="1115"/>
      <c r="AO3844" s="1115"/>
      <c r="AP3844" s="1115"/>
      <c r="AQ3844" s="1115"/>
      <c r="AR3844" s="1115"/>
      <c r="AS3844" s="1117"/>
      <c r="AT3844" s="1075"/>
      <c r="AU3844" s="1193"/>
      <c r="AV3844" s="330"/>
      <c r="AW3844" s="331"/>
      <c r="AX3844" s="331"/>
      <c r="AY3844" s="331"/>
      <c r="AZ3844" s="331"/>
      <c r="BA3844" s="331"/>
      <c r="BB3844" s="331"/>
      <c r="BC3844" s="331"/>
      <c r="BD3844" s="331"/>
      <c r="BE3844" s="333"/>
      <c r="BF3844" s="330"/>
      <c r="BG3844" s="333"/>
      <c r="BH3844" s="1119"/>
      <c r="BI3844" s="319"/>
      <c r="BJ3844" s="319"/>
      <c r="BK3844" s="319"/>
      <c r="BL3844" s="319"/>
      <c r="BM3844" s="319"/>
      <c r="BN3844" s="319"/>
      <c r="BO3844" s="319"/>
      <c r="BP3844" s="953"/>
      <c r="BQ3844" s="319"/>
      <c r="BR3844" s="319"/>
      <c r="BS3844" s="330"/>
      <c r="BT3844" s="331"/>
      <c r="BU3844" s="920"/>
      <c r="BV3844" s="903"/>
      <c r="BW3844" s="908"/>
      <c r="BX3844" s="908"/>
      <c r="BY3844" s="331"/>
      <c r="BZ3844" s="331"/>
      <c r="CA3844" s="462"/>
      <c r="CB3844" s="319"/>
      <c r="CC3844" s="319"/>
      <c r="CD3844" s="319"/>
      <c r="CE3844" s="319"/>
      <c r="CF3844" s="319"/>
      <c r="CG3844" s="319"/>
      <c r="CH3844" s="318"/>
      <c r="CI3844" s="319"/>
      <c r="CJ3844" s="319"/>
      <c r="CK3844" s="342"/>
      <c r="CL3844" s="333"/>
      <c r="CM3844" s="1079"/>
      <c r="CN3844" s="1005"/>
      <c r="CO3844" s="1005"/>
      <c r="CP3844" s="1005"/>
    </row>
    <row r="3845">
      <c r="A3845" s="1257"/>
      <c r="B3845" s="1113"/>
      <c r="C3845" s="1107"/>
      <c r="D3845" s="103"/>
      <c r="E3845" s="1137"/>
      <c r="F3845" s="112"/>
      <c r="G3845" s="1110"/>
      <c r="H3845" s="1138"/>
      <c r="I3845" s="1138"/>
      <c r="J3845" s="1139"/>
      <c r="K3845" s="1111"/>
      <c r="L3845" s="1112"/>
      <c r="M3845" s="1113"/>
      <c r="N3845" s="110"/>
      <c r="O3845" s="1140"/>
      <c r="P3845" s="1115"/>
      <c r="Q3845" s="1116"/>
      <c r="R3845" s="1141"/>
      <c r="S3845" s="1113"/>
      <c r="T3845" s="1143"/>
      <c r="U3845" s="1108"/>
      <c r="V3845" s="1108"/>
      <c r="W3845" s="1108"/>
      <c r="X3845" s="1108"/>
      <c r="Y3845" s="1108"/>
      <c r="Z3845" s="1114"/>
      <c r="AA3845" s="1114"/>
      <c r="AB3845" s="1114"/>
      <c r="AC3845" s="1117"/>
      <c r="AD3845" s="1115"/>
      <c r="AE3845" s="1115"/>
      <c r="AF3845" s="1115"/>
      <c r="AG3845" s="1115"/>
      <c r="AH3845" s="1115"/>
      <c r="AI3845" s="1115"/>
      <c r="AJ3845" s="1117"/>
      <c r="AK3845" s="1118"/>
      <c r="AL3845" s="1115"/>
      <c r="AM3845" s="1115"/>
      <c r="AN3845" s="1115"/>
      <c r="AO3845" s="1115"/>
      <c r="AP3845" s="1115"/>
      <c r="AQ3845" s="1115"/>
      <c r="AR3845" s="1115"/>
      <c r="AS3845" s="1117"/>
      <c r="AT3845" s="1075"/>
      <c r="AU3845" s="1193"/>
      <c r="AV3845" s="330"/>
      <c r="AW3845" s="331"/>
      <c r="AX3845" s="331"/>
      <c r="AY3845" s="331"/>
      <c r="AZ3845" s="331"/>
      <c r="BA3845" s="331"/>
      <c r="BB3845" s="331"/>
      <c r="BC3845" s="331"/>
      <c r="BD3845" s="331"/>
      <c r="BE3845" s="333"/>
      <c r="BF3845" s="330"/>
      <c r="BG3845" s="333"/>
      <c r="BH3845" s="1119"/>
      <c r="BI3845" s="319"/>
      <c r="BJ3845" s="319"/>
      <c r="BK3845" s="319"/>
      <c r="BL3845" s="319"/>
      <c r="BM3845" s="319"/>
      <c r="BN3845" s="319"/>
      <c r="BO3845" s="319"/>
      <c r="BP3845" s="953"/>
      <c r="BQ3845" s="319"/>
      <c r="BR3845" s="319"/>
      <c r="BS3845" s="330"/>
      <c r="BT3845" s="331"/>
      <c r="BU3845" s="920"/>
      <c r="BV3845" s="903"/>
      <c r="BW3845" s="908"/>
      <c r="BX3845" s="908"/>
      <c r="BY3845" s="331"/>
      <c r="BZ3845" s="331"/>
      <c r="CA3845" s="462"/>
      <c r="CB3845" s="319"/>
      <c r="CC3845" s="319"/>
      <c r="CD3845" s="319"/>
      <c r="CE3845" s="319"/>
      <c r="CF3845" s="319"/>
      <c r="CG3845" s="319"/>
      <c r="CH3845" s="318"/>
      <c r="CI3845" s="319"/>
      <c r="CJ3845" s="319"/>
      <c r="CK3845" s="342"/>
      <c r="CL3845" s="333"/>
      <c r="CM3845" s="1079"/>
      <c r="CN3845" s="1005"/>
      <c r="CO3845" s="1005"/>
      <c r="CP3845" s="1005"/>
    </row>
    <row r="3846">
      <c r="A3846" s="1257"/>
      <c r="B3846" s="1113"/>
      <c r="C3846" s="1107"/>
      <c r="D3846" s="103"/>
      <c r="E3846" s="1137"/>
      <c r="F3846" s="112"/>
      <c r="G3846" s="1110"/>
      <c r="H3846" s="1138"/>
      <c r="I3846" s="1138"/>
      <c r="J3846" s="1139"/>
      <c r="K3846" s="1111"/>
      <c r="L3846" s="1112"/>
      <c r="M3846" s="1113"/>
      <c r="N3846" s="110"/>
      <c r="O3846" s="1140"/>
      <c r="P3846" s="1115"/>
      <c r="Q3846" s="1116"/>
      <c r="R3846" s="1141"/>
      <c r="S3846" s="1113"/>
      <c r="T3846" s="1143"/>
      <c r="U3846" s="1108"/>
      <c r="V3846" s="1108"/>
      <c r="W3846" s="1108"/>
      <c r="X3846" s="1108"/>
      <c r="Y3846" s="1108"/>
      <c r="Z3846" s="1114"/>
      <c r="AA3846" s="1114"/>
      <c r="AB3846" s="1114"/>
      <c r="AC3846" s="1117"/>
      <c r="AD3846" s="1115"/>
      <c r="AE3846" s="1115"/>
      <c r="AF3846" s="1115"/>
      <c r="AG3846" s="1115"/>
      <c r="AH3846" s="1115"/>
      <c r="AI3846" s="1115"/>
      <c r="AJ3846" s="1117"/>
      <c r="AK3846" s="1118"/>
      <c r="AL3846" s="1115"/>
      <c r="AM3846" s="1115"/>
      <c r="AN3846" s="1115"/>
      <c r="AO3846" s="1115"/>
      <c r="AP3846" s="1115"/>
      <c r="AQ3846" s="1115"/>
      <c r="AR3846" s="1115"/>
      <c r="AS3846" s="1117"/>
      <c r="AT3846" s="1075"/>
      <c r="AU3846" s="1193"/>
      <c r="AV3846" s="330"/>
      <c r="AW3846" s="331"/>
      <c r="AX3846" s="331"/>
      <c r="AY3846" s="331"/>
      <c r="AZ3846" s="331"/>
      <c r="BA3846" s="331"/>
      <c r="BB3846" s="331"/>
      <c r="BC3846" s="331"/>
      <c r="BD3846" s="331"/>
      <c r="BE3846" s="333"/>
      <c r="BF3846" s="330"/>
      <c r="BG3846" s="333"/>
      <c r="BH3846" s="1119"/>
      <c r="BI3846" s="319"/>
      <c r="BJ3846" s="319"/>
      <c r="BK3846" s="319"/>
      <c r="BL3846" s="319"/>
      <c r="BM3846" s="319"/>
      <c r="BN3846" s="319"/>
      <c r="BO3846" s="319"/>
      <c r="BP3846" s="953"/>
      <c r="BQ3846" s="319"/>
      <c r="BR3846" s="319"/>
      <c r="BS3846" s="330"/>
      <c r="BT3846" s="331"/>
      <c r="BU3846" s="920"/>
      <c r="BV3846" s="903"/>
      <c r="BW3846" s="908"/>
      <c r="BX3846" s="908"/>
      <c r="BY3846" s="331"/>
      <c r="BZ3846" s="331"/>
      <c r="CA3846" s="462"/>
      <c r="CB3846" s="319"/>
      <c r="CC3846" s="319"/>
      <c r="CD3846" s="319"/>
      <c r="CE3846" s="319"/>
      <c r="CF3846" s="319"/>
      <c r="CG3846" s="319"/>
      <c r="CH3846" s="318"/>
      <c r="CI3846" s="319"/>
      <c r="CJ3846" s="319"/>
      <c r="CK3846" s="342"/>
      <c r="CL3846" s="333"/>
      <c r="CM3846" s="1079"/>
      <c r="CN3846" s="1005"/>
      <c r="CO3846" s="1005"/>
      <c r="CP3846" s="1005"/>
    </row>
    <row r="3847">
      <c r="A3847" s="1257"/>
      <c r="B3847" s="1113"/>
      <c r="C3847" s="1107"/>
      <c r="D3847" s="103"/>
      <c r="E3847" s="1137"/>
      <c r="F3847" s="112"/>
      <c r="G3847" s="1110"/>
      <c r="H3847" s="1138"/>
      <c r="I3847" s="1138"/>
      <c r="J3847" s="1139"/>
      <c r="K3847" s="1111"/>
      <c r="L3847" s="1112"/>
      <c r="M3847" s="1113"/>
      <c r="N3847" s="110"/>
      <c r="O3847" s="1140"/>
      <c r="P3847" s="1115"/>
      <c r="Q3847" s="1116"/>
      <c r="R3847" s="1141"/>
      <c r="S3847" s="1113"/>
      <c r="T3847" s="1143"/>
      <c r="U3847" s="1108"/>
      <c r="V3847" s="1108"/>
      <c r="W3847" s="1108"/>
      <c r="X3847" s="1108"/>
      <c r="Y3847" s="1108"/>
      <c r="Z3847" s="1114"/>
      <c r="AA3847" s="1114"/>
      <c r="AB3847" s="1114"/>
      <c r="AC3847" s="1117"/>
      <c r="AD3847" s="1115"/>
      <c r="AE3847" s="1115"/>
      <c r="AF3847" s="1115"/>
      <c r="AG3847" s="1115"/>
      <c r="AH3847" s="1115"/>
      <c r="AI3847" s="1115"/>
      <c r="AJ3847" s="1117"/>
      <c r="AK3847" s="1118"/>
      <c r="AL3847" s="1115"/>
      <c r="AM3847" s="1115"/>
      <c r="AN3847" s="1115"/>
      <c r="AO3847" s="1115"/>
      <c r="AP3847" s="1115"/>
      <c r="AQ3847" s="1115"/>
      <c r="AR3847" s="1115"/>
      <c r="AS3847" s="1117"/>
      <c r="AT3847" s="1075"/>
      <c r="AU3847" s="1193"/>
      <c r="AV3847" s="330"/>
      <c r="AW3847" s="331"/>
      <c r="AX3847" s="331"/>
      <c r="AY3847" s="331"/>
      <c r="AZ3847" s="331"/>
      <c r="BA3847" s="331"/>
      <c r="BB3847" s="331"/>
      <c r="BC3847" s="331"/>
      <c r="BD3847" s="331"/>
      <c r="BE3847" s="333"/>
      <c r="BF3847" s="330"/>
      <c r="BG3847" s="333"/>
      <c r="BH3847" s="1119"/>
      <c r="BI3847" s="319"/>
      <c r="BJ3847" s="319"/>
      <c r="BK3847" s="319"/>
      <c r="BL3847" s="319"/>
      <c r="BM3847" s="319"/>
      <c r="BN3847" s="319"/>
      <c r="BO3847" s="319"/>
      <c r="BP3847" s="953"/>
      <c r="BQ3847" s="319"/>
      <c r="BR3847" s="319"/>
      <c r="BS3847" s="330"/>
      <c r="BT3847" s="331"/>
      <c r="BU3847" s="920"/>
      <c r="BV3847" s="903"/>
      <c r="BW3847" s="908"/>
      <c r="BX3847" s="908"/>
      <c r="BY3847" s="331"/>
      <c r="BZ3847" s="331"/>
      <c r="CA3847" s="462"/>
      <c r="CB3847" s="319"/>
      <c r="CC3847" s="319"/>
      <c r="CD3847" s="319"/>
      <c r="CE3847" s="319"/>
      <c r="CF3847" s="319"/>
      <c r="CG3847" s="319"/>
      <c r="CH3847" s="318"/>
      <c r="CI3847" s="319"/>
      <c r="CJ3847" s="319"/>
      <c r="CK3847" s="342"/>
      <c r="CL3847" s="333"/>
      <c r="CM3847" s="1079"/>
      <c r="CN3847" s="1005"/>
      <c r="CO3847" s="1005"/>
      <c r="CP3847" s="1005"/>
    </row>
    <row r="3848">
      <c r="A3848" s="1257"/>
      <c r="B3848" s="1113"/>
      <c r="C3848" s="1107"/>
      <c r="D3848" s="103"/>
      <c r="E3848" s="1137"/>
      <c r="F3848" s="112"/>
      <c r="G3848" s="1110"/>
      <c r="H3848" s="1138"/>
      <c r="I3848" s="1138"/>
      <c r="J3848" s="1139"/>
      <c r="K3848" s="1111"/>
      <c r="L3848" s="1112"/>
      <c r="M3848" s="1113"/>
      <c r="N3848" s="110"/>
      <c r="O3848" s="1140"/>
      <c r="P3848" s="1115"/>
      <c r="Q3848" s="1116"/>
      <c r="R3848" s="1141"/>
      <c r="S3848" s="1113"/>
      <c r="T3848" s="1143"/>
      <c r="U3848" s="1108"/>
      <c r="V3848" s="1108"/>
      <c r="W3848" s="1108"/>
      <c r="X3848" s="1108"/>
      <c r="Y3848" s="1108"/>
      <c r="Z3848" s="1114"/>
      <c r="AA3848" s="1114"/>
      <c r="AB3848" s="1114"/>
      <c r="AC3848" s="1117"/>
      <c r="AD3848" s="1115"/>
      <c r="AE3848" s="1115"/>
      <c r="AF3848" s="1115"/>
      <c r="AG3848" s="1115"/>
      <c r="AH3848" s="1115"/>
      <c r="AI3848" s="1115"/>
      <c r="AJ3848" s="1117"/>
      <c r="AK3848" s="1118"/>
      <c r="AL3848" s="1115"/>
      <c r="AM3848" s="1115"/>
      <c r="AN3848" s="1115"/>
      <c r="AO3848" s="1115"/>
      <c r="AP3848" s="1115"/>
      <c r="AQ3848" s="1115"/>
      <c r="AR3848" s="1115"/>
      <c r="AS3848" s="1117"/>
      <c r="AT3848" s="1075"/>
      <c r="AU3848" s="1193"/>
      <c r="AV3848" s="330"/>
      <c r="AW3848" s="331"/>
      <c r="AX3848" s="331"/>
      <c r="AY3848" s="331"/>
      <c r="AZ3848" s="331"/>
      <c r="BA3848" s="331"/>
      <c r="BB3848" s="331"/>
      <c r="BC3848" s="331"/>
      <c r="BD3848" s="331"/>
      <c r="BE3848" s="333"/>
      <c r="BF3848" s="330"/>
      <c r="BG3848" s="333"/>
      <c r="BH3848" s="1119"/>
      <c r="BI3848" s="319"/>
      <c r="BJ3848" s="319"/>
      <c r="BK3848" s="319"/>
      <c r="BL3848" s="319"/>
      <c r="BM3848" s="319"/>
      <c r="BN3848" s="319"/>
      <c r="BO3848" s="319"/>
      <c r="BP3848" s="953"/>
      <c r="BQ3848" s="319"/>
      <c r="BR3848" s="319"/>
      <c r="BS3848" s="330"/>
      <c r="BT3848" s="331"/>
      <c r="BU3848" s="920"/>
      <c r="BV3848" s="903"/>
      <c r="BW3848" s="908"/>
      <c r="BX3848" s="908"/>
      <c r="BY3848" s="331"/>
      <c r="BZ3848" s="331"/>
      <c r="CA3848" s="462"/>
      <c r="CB3848" s="319"/>
      <c r="CC3848" s="319"/>
      <c r="CD3848" s="319"/>
      <c r="CE3848" s="319"/>
      <c r="CF3848" s="319"/>
      <c r="CG3848" s="319"/>
      <c r="CH3848" s="318"/>
      <c r="CI3848" s="319"/>
      <c r="CJ3848" s="319"/>
      <c r="CK3848" s="342"/>
      <c r="CL3848" s="333"/>
      <c r="CM3848" s="1079"/>
      <c r="CN3848" s="1005"/>
      <c r="CO3848" s="1005"/>
      <c r="CP3848" s="1005"/>
    </row>
    <row r="3849">
      <c r="A3849" s="1257"/>
      <c r="B3849" s="1113"/>
      <c r="C3849" s="1107"/>
      <c r="D3849" s="103"/>
      <c r="E3849" s="1137"/>
      <c r="F3849" s="112"/>
      <c r="G3849" s="1110"/>
      <c r="H3849" s="1138"/>
      <c r="I3849" s="1138"/>
      <c r="J3849" s="1139"/>
      <c r="K3849" s="1111"/>
      <c r="L3849" s="1112"/>
      <c r="M3849" s="1113"/>
      <c r="N3849" s="110"/>
      <c r="O3849" s="1140"/>
      <c r="P3849" s="1115"/>
      <c r="Q3849" s="1116"/>
      <c r="R3849" s="1141"/>
      <c r="S3849" s="1113"/>
      <c r="T3849" s="1143"/>
      <c r="U3849" s="1108"/>
      <c r="V3849" s="1108"/>
      <c r="W3849" s="1108"/>
      <c r="X3849" s="1108"/>
      <c r="Y3849" s="1108"/>
      <c r="Z3849" s="1114"/>
      <c r="AA3849" s="1114"/>
      <c r="AB3849" s="1114"/>
      <c r="AC3849" s="1117"/>
      <c r="AD3849" s="1115"/>
      <c r="AE3849" s="1115"/>
      <c r="AF3849" s="1115"/>
      <c r="AG3849" s="1115"/>
      <c r="AH3849" s="1115"/>
      <c r="AI3849" s="1115"/>
      <c r="AJ3849" s="1117"/>
      <c r="AK3849" s="1118"/>
      <c r="AL3849" s="1115"/>
      <c r="AM3849" s="1115"/>
      <c r="AN3849" s="1115"/>
      <c r="AO3849" s="1115"/>
      <c r="AP3849" s="1115"/>
      <c r="AQ3849" s="1115"/>
      <c r="AR3849" s="1115"/>
      <c r="AS3849" s="1117"/>
      <c r="AT3849" s="1075"/>
      <c r="AU3849" s="1193"/>
      <c r="AV3849" s="330"/>
      <c r="AW3849" s="331"/>
      <c r="AX3849" s="331"/>
      <c r="AY3849" s="331"/>
      <c r="AZ3849" s="331"/>
      <c r="BA3849" s="331"/>
      <c r="BB3849" s="331"/>
      <c r="BC3849" s="331"/>
      <c r="BD3849" s="331"/>
      <c r="BE3849" s="333"/>
      <c r="BF3849" s="330"/>
      <c r="BG3849" s="333"/>
      <c r="BH3849" s="1119"/>
      <c r="BI3849" s="319"/>
      <c r="BJ3849" s="319"/>
      <c r="BK3849" s="319"/>
      <c r="BL3849" s="319"/>
      <c r="BM3849" s="319"/>
      <c r="BN3849" s="319"/>
      <c r="BO3849" s="319"/>
      <c r="BP3849" s="953"/>
      <c r="BQ3849" s="319"/>
      <c r="BR3849" s="319"/>
      <c r="BS3849" s="330"/>
      <c r="BT3849" s="331"/>
      <c r="BU3849" s="920"/>
      <c r="BV3849" s="903"/>
      <c r="BW3849" s="908"/>
      <c r="BX3849" s="908"/>
      <c r="BY3849" s="331"/>
      <c r="BZ3849" s="331"/>
      <c r="CA3849" s="462"/>
      <c r="CB3849" s="319"/>
      <c r="CC3849" s="319"/>
      <c r="CD3849" s="319"/>
      <c r="CE3849" s="319"/>
      <c r="CF3849" s="319"/>
      <c r="CG3849" s="319"/>
      <c r="CH3849" s="318"/>
      <c r="CI3849" s="319"/>
      <c r="CJ3849" s="319"/>
      <c r="CK3849" s="342"/>
      <c r="CL3849" s="333"/>
      <c r="CM3849" s="1079"/>
      <c r="CN3849" s="1005"/>
      <c r="CO3849" s="1005"/>
      <c r="CP3849" s="1005"/>
    </row>
    <row r="3850">
      <c r="A3850" s="1257"/>
      <c r="B3850" s="1113"/>
      <c r="C3850" s="1107"/>
      <c r="D3850" s="103"/>
      <c r="E3850" s="1137"/>
      <c r="F3850" s="112"/>
      <c r="G3850" s="1110"/>
      <c r="H3850" s="1138"/>
      <c r="I3850" s="1138"/>
      <c r="J3850" s="1139"/>
      <c r="K3850" s="1111"/>
      <c r="L3850" s="1112"/>
      <c r="M3850" s="1113"/>
      <c r="N3850" s="110"/>
      <c r="O3850" s="1140"/>
      <c r="P3850" s="1115"/>
      <c r="Q3850" s="1116"/>
      <c r="R3850" s="1141"/>
      <c r="S3850" s="1113"/>
      <c r="T3850" s="1143"/>
      <c r="U3850" s="1108"/>
      <c r="V3850" s="1108"/>
      <c r="W3850" s="1108"/>
      <c r="X3850" s="1108"/>
      <c r="Y3850" s="1108"/>
      <c r="Z3850" s="1114"/>
      <c r="AA3850" s="1114"/>
      <c r="AB3850" s="1114"/>
      <c r="AC3850" s="1117"/>
      <c r="AD3850" s="1115"/>
      <c r="AE3850" s="1115"/>
      <c r="AF3850" s="1115"/>
      <c r="AG3850" s="1115"/>
      <c r="AH3850" s="1115"/>
      <c r="AI3850" s="1115"/>
      <c r="AJ3850" s="1117"/>
      <c r="AK3850" s="1118"/>
      <c r="AL3850" s="1115"/>
      <c r="AM3850" s="1115"/>
      <c r="AN3850" s="1115"/>
      <c r="AO3850" s="1115"/>
      <c r="AP3850" s="1115"/>
      <c r="AQ3850" s="1115"/>
      <c r="AR3850" s="1115"/>
      <c r="AS3850" s="1117"/>
      <c r="AT3850" s="1075"/>
      <c r="AU3850" s="1193"/>
      <c r="AV3850" s="330"/>
      <c r="AW3850" s="331"/>
      <c r="AX3850" s="331"/>
      <c r="AY3850" s="331"/>
      <c r="AZ3850" s="331"/>
      <c r="BA3850" s="331"/>
      <c r="BB3850" s="331"/>
      <c r="BC3850" s="331"/>
      <c r="BD3850" s="331"/>
      <c r="BE3850" s="333"/>
      <c r="BF3850" s="330"/>
      <c r="BG3850" s="333"/>
      <c r="BH3850" s="1119"/>
      <c r="BI3850" s="319"/>
      <c r="BJ3850" s="319"/>
      <c r="BK3850" s="319"/>
      <c r="BL3850" s="319"/>
      <c r="BM3850" s="319"/>
      <c r="BN3850" s="319"/>
      <c r="BO3850" s="319"/>
      <c r="BP3850" s="953"/>
      <c r="BQ3850" s="319"/>
      <c r="BR3850" s="319"/>
      <c r="BS3850" s="330"/>
      <c r="BT3850" s="331"/>
      <c r="BU3850" s="920"/>
      <c r="BV3850" s="903"/>
      <c r="BW3850" s="908"/>
      <c r="BX3850" s="908"/>
      <c r="BY3850" s="331"/>
      <c r="BZ3850" s="331"/>
      <c r="CA3850" s="462"/>
      <c r="CB3850" s="319"/>
      <c r="CC3850" s="319"/>
      <c r="CD3850" s="319"/>
      <c r="CE3850" s="319"/>
      <c r="CF3850" s="319"/>
      <c r="CG3850" s="319"/>
      <c r="CH3850" s="318"/>
      <c r="CI3850" s="319"/>
      <c r="CJ3850" s="319"/>
      <c r="CK3850" s="342"/>
      <c r="CL3850" s="333"/>
      <c r="CM3850" s="1079"/>
      <c r="CN3850" s="1005"/>
      <c r="CO3850" s="1005"/>
      <c r="CP3850" s="1005"/>
    </row>
    <row r="3851">
      <c r="A3851" s="1257"/>
      <c r="B3851" s="1113"/>
      <c r="C3851" s="1107"/>
      <c r="D3851" s="103"/>
      <c r="E3851" s="1137"/>
      <c r="F3851" s="112"/>
      <c r="G3851" s="1110"/>
      <c r="H3851" s="1138"/>
      <c r="I3851" s="1138"/>
      <c r="J3851" s="1139"/>
      <c r="K3851" s="1111"/>
      <c r="L3851" s="1112"/>
      <c r="M3851" s="1113"/>
      <c r="N3851" s="110"/>
      <c r="O3851" s="1140"/>
      <c r="P3851" s="1115"/>
      <c r="Q3851" s="1116"/>
      <c r="R3851" s="1141"/>
      <c r="S3851" s="1113"/>
      <c r="T3851" s="1143"/>
      <c r="U3851" s="1108"/>
      <c r="V3851" s="1108"/>
      <c r="W3851" s="1108"/>
      <c r="X3851" s="1108"/>
      <c r="Y3851" s="1108"/>
      <c r="Z3851" s="1114"/>
      <c r="AA3851" s="1114"/>
      <c r="AB3851" s="1114"/>
      <c r="AC3851" s="1117"/>
      <c r="AD3851" s="1115"/>
      <c r="AE3851" s="1115"/>
      <c r="AF3851" s="1115"/>
      <c r="AG3851" s="1115"/>
      <c r="AH3851" s="1115"/>
      <c r="AI3851" s="1115"/>
      <c r="AJ3851" s="1117"/>
      <c r="AK3851" s="1118"/>
      <c r="AL3851" s="1115"/>
      <c r="AM3851" s="1115"/>
      <c r="AN3851" s="1115"/>
      <c r="AO3851" s="1115"/>
      <c r="AP3851" s="1115"/>
      <c r="AQ3851" s="1115"/>
      <c r="AR3851" s="1115"/>
      <c r="AS3851" s="1117"/>
      <c r="AT3851" s="1075"/>
      <c r="AU3851" s="1193"/>
      <c r="AV3851" s="330"/>
      <c r="AW3851" s="331"/>
      <c r="AX3851" s="331"/>
      <c r="AY3851" s="331"/>
      <c r="AZ3851" s="331"/>
      <c r="BA3851" s="331"/>
      <c r="BB3851" s="331"/>
      <c r="BC3851" s="331"/>
      <c r="BD3851" s="331"/>
      <c r="BE3851" s="333"/>
      <c r="BF3851" s="330"/>
      <c r="BG3851" s="333"/>
      <c r="BH3851" s="1119"/>
      <c r="BI3851" s="319"/>
      <c r="BJ3851" s="319"/>
      <c r="BK3851" s="319"/>
      <c r="BL3851" s="319"/>
      <c r="BM3851" s="319"/>
      <c r="BN3851" s="319"/>
      <c r="BO3851" s="319"/>
      <c r="BP3851" s="953"/>
      <c r="BQ3851" s="319"/>
      <c r="BR3851" s="319"/>
      <c r="BS3851" s="330"/>
      <c r="BT3851" s="331"/>
      <c r="BU3851" s="920"/>
      <c r="BV3851" s="903"/>
      <c r="BW3851" s="908"/>
      <c r="BX3851" s="908"/>
      <c r="BY3851" s="331"/>
      <c r="BZ3851" s="331"/>
      <c r="CA3851" s="462"/>
      <c r="CB3851" s="319"/>
      <c r="CC3851" s="319"/>
      <c r="CD3851" s="319"/>
      <c r="CE3851" s="319"/>
      <c r="CF3851" s="319"/>
      <c r="CG3851" s="319"/>
      <c r="CH3851" s="318"/>
      <c r="CI3851" s="319"/>
      <c r="CJ3851" s="319"/>
      <c r="CK3851" s="342"/>
      <c r="CL3851" s="333"/>
      <c r="CM3851" s="1079"/>
      <c r="CN3851" s="1005"/>
      <c r="CO3851" s="1005"/>
      <c r="CP3851" s="1005"/>
    </row>
    <row r="3852">
      <c r="A3852" s="1257"/>
      <c r="B3852" s="1113"/>
      <c r="C3852" s="1107"/>
      <c r="D3852" s="103"/>
      <c r="E3852" s="1137"/>
      <c r="F3852" s="112"/>
      <c r="G3852" s="1110"/>
      <c r="H3852" s="1138"/>
      <c r="I3852" s="1138"/>
      <c r="J3852" s="1139"/>
      <c r="K3852" s="1111"/>
      <c r="L3852" s="1112"/>
      <c r="M3852" s="1113"/>
      <c r="N3852" s="110"/>
      <c r="O3852" s="1140"/>
      <c r="P3852" s="1115"/>
      <c r="Q3852" s="1116"/>
      <c r="R3852" s="1141"/>
      <c r="S3852" s="1113"/>
      <c r="T3852" s="1143"/>
      <c r="U3852" s="1108"/>
      <c r="V3852" s="1108"/>
      <c r="W3852" s="1108"/>
      <c r="X3852" s="1108"/>
      <c r="Y3852" s="1108"/>
      <c r="Z3852" s="1114"/>
      <c r="AA3852" s="1114"/>
      <c r="AB3852" s="1114"/>
      <c r="AC3852" s="1117"/>
      <c r="AD3852" s="1115"/>
      <c r="AE3852" s="1115"/>
      <c r="AF3852" s="1115"/>
      <c r="AG3852" s="1115"/>
      <c r="AH3852" s="1115"/>
      <c r="AI3852" s="1115"/>
      <c r="AJ3852" s="1117"/>
      <c r="AK3852" s="1118"/>
      <c r="AL3852" s="1115"/>
      <c r="AM3852" s="1115"/>
      <c r="AN3852" s="1115"/>
      <c r="AO3852" s="1115"/>
      <c r="AP3852" s="1115"/>
      <c r="AQ3852" s="1115"/>
      <c r="AR3852" s="1115"/>
      <c r="AS3852" s="1117"/>
      <c r="AT3852" s="1075"/>
      <c r="AU3852" s="1193"/>
      <c r="AV3852" s="330"/>
      <c r="AW3852" s="331"/>
      <c r="AX3852" s="331"/>
      <c r="AY3852" s="331"/>
      <c r="AZ3852" s="331"/>
      <c r="BA3852" s="331"/>
      <c r="BB3852" s="331"/>
      <c r="BC3852" s="331"/>
      <c r="BD3852" s="331"/>
      <c r="BE3852" s="333"/>
      <c r="BF3852" s="330"/>
      <c r="BG3852" s="333"/>
      <c r="BH3852" s="1119"/>
      <c r="BI3852" s="319"/>
      <c r="BJ3852" s="319"/>
      <c r="BK3852" s="319"/>
      <c r="BL3852" s="319"/>
      <c r="BM3852" s="319"/>
      <c r="BN3852" s="319"/>
      <c r="BO3852" s="319"/>
      <c r="BP3852" s="953"/>
      <c r="BQ3852" s="319"/>
      <c r="BR3852" s="319"/>
      <c r="BS3852" s="330"/>
      <c r="BT3852" s="331"/>
      <c r="BU3852" s="920"/>
      <c r="BV3852" s="903"/>
      <c r="BW3852" s="908"/>
      <c r="BX3852" s="908"/>
      <c r="BY3852" s="331"/>
      <c r="BZ3852" s="331"/>
      <c r="CA3852" s="462"/>
      <c r="CB3852" s="319"/>
      <c r="CC3852" s="319"/>
      <c r="CD3852" s="319"/>
      <c r="CE3852" s="319"/>
      <c r="CF3852" s="319"/>
      <c r="CG3852" s="319"/>
      <c r="CH3852" s="318"/>
      <c r="CI3852" s="319"/>
      <c r="CJ3852" s="319"/>
      <c r="CK3852" s="342"/>
      <c r="CL3852" s="333"/>
      <c r="CM3852" s="1079"/>
      <c r="CN3852" s="1005"/>
      <c r="CO3852" s="1005"/>
      <c r="CP3852" s="1005"/>
    </row>
    <row r="3853">
      <c r="A3853" s="1257"/>
      <c r="B3853" s="1113"/>
      <c r="C3853" s="1107"/>
      <c r="D3853" s="103"/>
      <c r="E3853" s="1137"/>
      <c r="F3853" s="112"/>
      <c r="G3853" s="1110"/>
      <c r="H3853" s="1138"/>
      <c r="I3853" s="1138"/>
      <c r="J3853" s="1139"/>
      <c r="K3853" s="1111"/>
      <c r="L3853" s="1112"/>
      <c r="M3853" s="1113"/>
      <c r="N3853" s="110"/>
      <c r="O3853" s="1140"/>
      <c r="P3853" s="1115"/>
      <c r="Q3853" s="1116"/>
      <c r="R3853" s="1141"/>
      <c r="S3853" s="1113"/>
      <c r="T3853" s="1143"/>
      <c r="U3853" s="1108"/>
      <c r="V3853" s="1108"/>
      <c r="W3853" s="1108"/>
      <c r="X3853" s="1108"/>
      <c r="Y3853" s="1108"/>
      <c r="Z3853" s="1114"/>
      <c r="AA3853" s="1114"/>
      <c r="AB3853" s="1114"/>
      <c r="AC3853" s="1117"/>
      <c r="AD3853" s="1115"/>
      <c r="AE3853" s="1115"/>
      <c r="AF3853" s="1115"/>
      <c r="AG3853" s="1115"/>
      <c r="AH3853" s="1115"/>
      <c r="AI3853" s="1115"/>
      <c r="AJ3853" s="1117"/>
      <c r="AK3853" s="1118"/>
      <c r="AL3853" s="1115"/>
      <c r="AM3853" s="1115"/>
      <c r="AN3853" s="1115"/>
      <c r="AO3853" s="1115"/>
      <c r="AP3853" s="1115"/>
      <c r="AQ3853" s="1115"/>
      <c r="AR3853" s="1115"/>
      <c r="AS3853" s="1117"/>
      <c r="AT3853" s="1075"/>
      <c r="AU3853" s="1193"/>
      <c r="AV3853" s="330"/>
      <c r="AW3853" s="331"/>
      <c r="AX3853" s="331"/>
      <c r="AY3853" s="331"/>
      <c r="AZ3853" s="331"/>
      <c r="BA3853" s="331"/>
      <c r="BB3853" s="331"/>
      <c r="BC3853" s="331"/>
      <c r="BD3853" s="331"/>
      <c r="BE3853" s="333"/>
      <c r="BF3853" s="330"/>
      <c r="BG3853" s="333"/>
      <c r="BH3853" s="1119"/>
      <c r="BI3853" s="319"/>
      <c r="BJ3853" s="319"/>
      <c r="BK3853" s="319"/>
      <c r="BL3853" s="319"/>
      <c r="BM3853" s="319"/>
      <c r="BN3853" s="319"/>
      <c r="BO3853" s="319"/>
      <c r="BP3853" s="953"/>
      <c r="BQ3853" s="319"/>
      <c r="BR3853" s="319"/>
      <c r="BS3853" s="330"/>
      <c r="BT3853" s="331"/>
      <c r="BU3853" s="920"/>
      <c r="BV3853" s="903"/>
      <c r="BW3853" s="908"/>
      <c r="BX3853" s="908"/>
      <c r="BY3853" s="331"/>
      <c r="BZ3853" s="331"/>
      <c r="CA3853" s="462"/>
      <c r="CB3853" s="319"/>
      <c r="CC3853" s="319"/>
      <c r="CD3853" s="319"/>
      <c r="CE3853" s="319"/>
      <c r="CF3853" s="319"/>
      <c r="CG3853" s="319"/>
      <c r="CH3853" s="318"/>
      <c r="CI3853" s="319"/>
      <c r="CJ3853" s="319"/>
      <c r="CK3853" s="342"/>
      <c r="CL3853" s="333"/>
      <c r="CM3853" s="1079"/>
      <c r="CN3853" s="1005"/>
      <c r="CO3853" s="1005"/>
      <c r="CP3853" s="1005"/>
    </row>
    <row r="3854">
      <c r="A3854" s="1257"/>
      <c r="B3854" s="1113"/>
      <c r="C3854" s="1107"/>
      <c r="D3854" s="103"/>
      <c r="E3854" s="1137"/>
      <c r="F3854" s="112"/>
      <c r="G3854" s="1110"/>
      <c r="H3854" s="1138"/>
      <c r="I3854" s="1138"/>
      <c r="J3854" s="1139"/>
      <c r="K3854" s="1111"/>
      <c r="L3854" s="1112"/>
      <c r="M3854" s="1113"/>
      <c r="N3854" s="110"/>
      <c r="O3854" s="1140"/>
      <c r="P3854" s="1115"/>
      <c r="Q3854" s="1116"/>
      <c r="R3854" s="1141"/>
      <c r="S3854" s="1113"/>
      <c r="T3854" s="1143"/>
      <c r="U3854" s="1108"/>
      <c r="V3854" s="1108"/>
      <c r="W3854" s="1108"/>
      <c r="X3854" s="1108"/>
      <c r="Y3854" s="1108"/>
      <c r="Z3854" s="1114"/>
      <c r="AA3854" s="1114"/>
      <c r="AB3854" s="1114"/>
      <c r="AC3854" s="1117"/>
      <c r="AD3854" s="1115"/>
      <c r="AE3854" s="1115"/>
      <c r="AF3854" s="1115"/>
      <c r="AG3854" s="1115"/>
      <c r="AH3854" s="1115"/>
      <c r="AI3854" s="1115"/>
      <c r="AJ3854" s="1117"/>
      <c r="AK3854" s="1118"/>
      <c r="AL3854" s="1115"/>
      <c r="AM3854" s="1115"/>
      <c r="AN3854" s="1115"/>
      <c r="AO3854" s="1115"/>
      <c r="AP3854" s="1115"/>
      <c r="AQ3854" s="1115"/>
      <c r="AR3854" s="1115"/>
      <c r="AS3854" s="1117"/>
      <c r="AT3854" s="1075"/>
      <c r="AU3854" s="1193"/>
      <c r="AV3854" s="330"/>
      <c r="AW3854" s="331"/>
      <c r="AX3854" s="331"/>
      <c r="AY3854" s="331"/>
      <c r="AZ3854" s="331"/>
      <c r="BA3854" s="331"/>
      <c r="BB3854" s="331"/>
      <c r="BC3854" s="331"/>
      <c r="BD3854" s="331"/>
      <c r="BE3854" s="333"/>
      <c r="BF3854" s="330"/>
      <c r="BG3854" s="333"/>
      <c r="BH3854" s="1119"/>
      <c r="BI3854" s="319"/>
      <c r="BJ3854" s="319"/>
      <c r="BK3854" s="319"/>
      <c r="BL3854" s="319"/>
      <c r="BM3854" s="319"/>
      <c r="BN3854" s="319"/>
      <c r="BO3854" s="319"/>
      <c r="BP3854" s="953"/>
      <c r="BQ3854" s="319"/>
      <c r="BR3854" s="319"/>
      <c r="BS3854" s="330"/>
      <c r="BT3854" s="331"/>
      <c r="BU3854" s="920"/>
      <c r="BV3854" s="903"/>
      <c r="BW3854" s="908"/>
      <c r="BX3854" s="908"/>
      <c r="BY3854" s="331"/>
      <c r="BZ3854" s="331"/>
      <c r="CA3854" s="462"/>
      <c r="CB3854" s="319"/>
      <c r="CC3854" s="319"/>
      <c r="CD3854" s="319"/>
      <c r="CE3854" s="319"/>
      <c r="CF3854" s="319"/>
      <c r="CG3854" s="319"/>
      <c r="CH3854" s="318"/>
      <c r="CI3854" s="319"/>
      <c r="CJ3854" s="319"/>
      <c r="CK3854" s="342"/>
      <c r="CL3854" s="333"/>
      <c r="CM3854" s="1079"/>
      <c r="CN3854" s="1005"/>
      <c r="CO3854" s="1005"/>
      <c r="CP3854" s="1005"/>
    </row>
    <row r="3855">
      <c r="A3855" s="1257"/>
      <c r="B3855" s="1113"/>
      <c r="C3855" s="1107"/>
      <c r="D3855" s="103"/>
      <c r="E3855" s="1137"/>
      <c r="F3855" s="112"/>
      <c r="G3855" s="1110"/>
      <c r="H3855" s="1138"/>
      <c r="I3855" s="1138"/>
      <c r="J3855" s="1139"/>
      <c r="K3855" s="1111"/>
      <c r="L3855" s="1112"/>
      <c r="M3855" s="1113"/>
      <c r="N3855" s="110"/>
      <c r="O3855" s="1140"/>
      <c r="P3855" s="1115"/>
      <c r="Q3855" s="1116"/>
      <c r="R3855" s="1141"/>
      <c r="S3855" s="1113"/>
      <c r="T3855" s="1143"/>
      <c r="U3855" s="1108"/>
      <c r="V3855" s="1108"/>
      <c r="W3855" s="1108"/>
      <c r="X3855" s="1108"/>
      <c r="Y3855" s="1108"/>
      <c r="Z3855" s="1114"/>
      <c r="AA3855" s="1114"/>
      <c r="AB3855" s="1114"/>
      <c r="AC3855" s="1117"/>
      <c r="AD3855" s="1115"/>
      <c r="AE3855" s="1115"/>
      <c r="AF3855" s="1115"/>
      <c r="AG3855" s="1115"/>
      <c r="AH3855" s="1115"/>
      <c r="AI3855" s="1115"/>
      <c r="AJ3855" s="1117"/>
      <c r="AK3855" s="1118"/>
      <c r="AL3855" s="1115"/>
      <c r="AM3855" s="1115"/>
      <c r="AN3855" s="1115"/>
      <c r="AO3855" s="1115"/>
      <c r="AP3855" s="1115"/>
      <c r="AQ3855" s="1115"/>
      <c r="AR3855" s="1115"/>
      <c r="AS3855" s="1117"/>
      <c r="AT3855" s="1075"/>
      <c r="AU3855" s="1193"/>
      <c r="AV3855" s="330"/>
      <c r="AW3855" s="331"/>
      <c r="AX3855" s="331"/>
      <c r="AY3855" s="331"/>
      <c r="AZ3855" s="331"/>
      <c r="BA3855" s="331"/>
      <c r="BB3855" s="331"/>
      <c r="BC3855" s="331"/>
      <c r="BD3855" s="331"/>
      <c r="BE3855" s="333"/>
      <c r="BF3855" s="330"/>
      <c r="BG3855" s="333"/>
      <c r="BH3855" s="1119"/>
      <c r="BI3855" s="319"/>
      <c r="BJ3855" s="319"/>
      <c r="BK3855" s="319"/>
      <c r="BL3855" s="319"/>
      <c r="BM3855" s="319"/>
      <c r="BN3855" s="319"/>
      <c r="BO3855" s="319"/>
      <c r="BP3855" s="953"/>
      <c r="BQ3855" s="319"/>
      <c r="BR3855" s="319"/>
      <c r="BS3855" s="330"/>
      <c r="BT3855" s="331"/>
      <c r="BU3855" s="920"/>
      <c r="BV3855" s="903"/>
      <c r="BW3855" s="908"/>
      <c r="BX3855" s="908"/>
      <c r="BY3855" s="331"/>
      <c r="BZ3855" s="331"/>
      <c r="CA3855" s="462"/>
      <c r="CB3855" s="319"/>
      <c r="CC3855" s="319"/>
      <c r="CD3855" s="319"/>
      <c r="CE3855" s="319"/>
      <c r="CF3855" s="319"/>
      <c r="CG3855" s="319"/>
      <c r="CH3855" s="318"/>
      <c r="CI3855" s="319"/>
      <c r="CJ3855" s="319"/>
      <c r="CK3855" s="342"/>
      <c r="CL3855" s="333"/>
      <c r="CM3855" s="1079"/>
      <c r="CN3855" s="1005"/>
      <c r="CO3855" s="1005"/>
      <c r="CP3855" s="1005"/>
    </row>
    <row r="3856">
      <c r="A3856" s="1257"/>
      <c r="B3856" s="1113"/>
      <c r="C3856" s="1107"/>
      <c r="D3856" s="103"/>
      <c r="E3856" s="1137"/>
      <c r="F3856" s="112"/>
      <c r="G3856" s="1110"/>
      <c r="H3856" s="1138"/>
      <c r="I3856" s="1138"/>
      <c r="J3856" s="1139"/>
      <c r="K3856" s="1111"/>
      <c r="L3856" s="1112"/>
      <c r="M3856" s="1113"/>
      <c r="N3856" s="110"/>
      <c r="O3856" s="1140"/>
      <c r="P3856" s="1115"/>
      <c r="Q3856" s="1116"/>
      <c r="R3856" s="1141"/>
      <c r="S3856" s="1113"/>
      <c r="T3856" s="1143"/>
      <c r="U3856" s="1108"/>
      <c r="V3856" s="1108"/>
      <c r="W3856" s="1108"/>
      <c r="X3856" s="1108"/>
      <c r="Y3856" s="1108"/>
      <c r="Z3856" s="1114"/>
      <c r="AA3856" s="1114"/>
      <c r="AB3856" s="1114"/>
      <c r="AC3856" s="1117"/>
      <c r="AD3856" s="1115"/>
      <c r="AE3856" s="1115"/>
      <c r="AF3856" s="1115"/>
      <c r="AG3856" s="1115"/>
      <c r="AH3856" s="1115"/>
      <c r="AI3856" s="1115"/>
      <c r="AJ3856" s="1117"/>
      <c r="AK3856" s="1118"/>
      <c r="AL3856" s="1115"/>
      <c r="AM3856" s="1115"/>
      <c r="AN3856" s="1115"/>
      <c r="AO3856" s="1115"/>
      <c r="AP3856" s="1115"/>
      <c r="AQ3856" s="1115"/>
      <c r="AR3856" s="1115"/>
      <c r="AS3856" s="1117"/>
      <c r="AT3856" s="1075"/>
      <c r="AU3856" s="1193"/>
      <c r="AV3856" s="330"/>
      <c r="AW3856" s="331"/>
      <c r="AX3856" s="331"/>
      <c r="AY3856" s="331"/>
      <c r="AZ3856" s="331"/>
      <c r="BA3856" s="331"/>
      <c r="BB3856" s="331"/>
      <c r="BC3856" s="331"/>
      <c r="BD3856" s="331"/>
      <c r="BE3856" s="333"/>
      <c r="BF3856" s="330"/>
      <c r="BG3856" s="333"/>
      <c r="BH3856" s="1119"/>
      <c r="BI3856" s="319"/>
      <c r="BJ3856" s="319"/>
      <c r="BK3856" s="319"/>
      <c r="BL3856" s="319"/>
      <c r="BM3856" s="319"/>
      <c r="BN3856" s="319"/>
      <c r="BO3856" s="319"/>
      <c r="BP3856" s="953"/>
      <c r="BQ3856" s="319"/>
      <c r="BR3856" s="319"/>
      <c r="BS3856" s="330"/>
      <c r="BT3856" s="331"/>
      <c r="BU3856" s="920"/>
      <c r="BV3856" s="903"/>
      <c r="BW3856" s="908"/>
      <c r="BX3856" s="908"/>
      <c r="BY3856" s="331"/>
      <c r="BZ3856" s="331"/>
      <c r="CA3856" s="462"/>
      <c r="CB3856" s="319"/>
      <c r="CC3856" s="319"/>
      <c r="CD3856" s="319"/>
      <c r="CE3856" s="319"/>
      <c r="CF3856" s="319"/>
      <c r="CG3856" s="319"/>
      <c r="CH3856" s="318"/>
      <c r="CI3856" s="319"/>
      <c r="CJ3856" s="319"/>
      <c r="CK3856" s="342"/>
      <c r="CL3856" s="333"/>
      <c r="CM3856" s="1079"/>
      <c r="CN3856" s="1005"/>
      <c r="CO3856" s="1005"/>
      <c r="CP3856" s="1005"/>
    </row>
    <row r="3857">
      <c r="A3857" s="1257"/>
      <c r="B3857" s="1113"/>
      <c r="C3857" s="1107"/>
      <c r="D3857" s="103"/>
      <c r="E3857" s="1137"/>
      <c r="F3857" s="112"/>
      <c r="G3857" s="1110"/>
      <c r="H3857" s="1138"/>
      <c r="I3857" s="1138"/>
      <c r="J3857" s="1139"/>
      <c r="K3857" s="1111"/>
      <c r="L3857" s="1112"/>
      <c r="M3857" s="1113"/>
      <c r="N3857" s="110"/>
      <c r="O3857" s="1140"/>
      <c r="P3857" s="1115"/>
      <c r="Q3857" s="1116"/>
      <c r="R3857" s="1141"/>
      <c r="S3857" s="1113"/>
      <c r="T3857" s="1143"/>
      <c r="U3857" s="1108"/>
      <c r="V3857" s="1108"/>
      <c r="W3857" s="1108"/>
      <c r="X3857" s="1108"/>
      <c r="Y3857" s="1108"/>
      <c r="Z3857" s="1114"/>
      <c r="AA3857" s="1114"/>
      <c r="AB3857" s="1114"/>
      <c r="AC3857" s="1117"/>
      <c r="AD3857" s="1115"/>
      <c r="AE3857" s="1115"/>
      <c r="AF3857" s="1115"/>
      <c r="AG3857" s="1115"/>
      <c r="AH3857" s="1115"/>
      <c r="AI3857" s="1115"/>
      <c r="AJ3857" s="1117"/>
      <c r="AK3857" s="1118"/>
      <c r="AL3857" s="1115"/>
      <c r="AM3857" s="1115"/>
      <c r="AN3857" s="1115"/>
      <c r="AO3857" s="1115"/>
      <c r="AP3857" s="1115"/>
      <c r="AQ3857" s="1115"/>
      <c r="AR3857" s="1115"/>
      <c r="AS3857" s="1117"/>
      <c r="AT3857" s="1075"/>
      <c r="AU3857" s="1193"/>
      <c r="AV3857" s="330"/>
      <c r="AW3857" s="331"/>
      <c r="AX3857" s="331"/>
      <c r="AY3857" s="331"/>
      <c r="AZ3857" s="331"/>
      <c r="BA3857" s="331"/>
      <c r="BB3857" s="331"/>
      <c r="BC3857" s="331"/>
      <c r="BD3857" s="331"/>
      <c r="BE3857" s="333"/>
      <c r="BF3857" s="330"/>
      <c r="BG3857" s="333"/>
      <c r="BH3857" s="1119"/>
      <c r="BI3857" s="319"/>
      <c r="BJ3857" s="319"/>
      <c r="BK3857" s="319"/>
      <c r="BL3857" s="319"/>
      <c r="BM3857" s="319"/>
      <c r="BN3857" s="319"/>
      <c r="BO3857" s="319"/>
      <c r="BP3857" s="953"/>
      <c r="BQ3857" s="319"/>
      <c r="BR3857" s="319"/>
      <c r="BS3857" s="330"/>
      <c r="BT3857" s="331"/>
      <c r="BU3857" s="920"/>
      <c r="BV3857" s="903"/>
      <c r="BW3857" s="908"/>
      <c r="BX3857" s="908"/>
      <c r="BY3857" s="331"/>
      <c r="BZ3857" s="331"/>
      <c r="CA3857" s="462"/>
      <c r="CB3857" s="319"/>
      <c r="CC3857" s="319"/>
      <c r="CD3857" s="319"/>
      <c r="CE3857" s="319"/>
      <c r="CF3857" s="319"/>
      <c r="CG3857" s="319"/>
      <c r="CH3857" s="318"/>
      <c r="CI3857" s="319"/>
      <c r="CJ3857" s="319"/>
      <c r="CK3857" s="342"/>
      <c r="CL3857" s="333"/>
      <c r="CM3857" s="1079"/>
      <c r="CN3857" s="1005"/>
      <c r="CO3857" s="1005"/>
      <c r="CP3857" s="1005"/>
    </row>
    <row r="3858">
      <c r="A3858" s="1257"/>
      <c r="B3858" s="1113"/>
      <c r="C3858" s="1107"/>
      <c r="D3858" s="103"/>
      <c r="E3858" s="1137"/>
      <c r="F3858" s="112"/>
      <c r="G3858" s="1110"/>
      <c r="H3858" s="1138"/>
      <c r="I3858" s="1138"/>
      <c r="J3858" s="1139"/>
      <c r="K3858" s="1111"/>
      <c r="L3858" s="1112"/>
      <c r="M3858" s="1113"/>
      <c r="N3858" s="110"/>
      <c r="O3858" s="1140"/>
      <c r="P3858" s="1115"/>
      <c r="Q3858" s="1116"/>
      <c r="R3858" s="1141"/>
      <c r="S3858" s="1113"/>
      <c r="T3858" s="1143"/>
      <c r="U3858" s="1108"/>
      <c r="V3858" s="1108"/>
      <c r="W3858" s="1108"/>
      <c r="X3858" s="1108"/>
      <c r="Y3858" s="1108"/>
      <c r="Z3858" s="1114"/>
      <c r="AA3858" s="1114"/>
      <c r="AB3858" s="1114"/>
      <c r="AC3858" s="1117"/>
      <c r="AD3858" s="1115"/>
      <c r="AE3858" s="1115"/>
      <c r="AF3858" s="1115"/>
      <c r="AG3858" s="1115"/>
      <c r="AH3858" s="1115"/>
      <c r="AI3858" s="1115"/>
      <c r="AJ3858" s="1117"/>
      <c r="AK3858" s="1118"/>
      <c r="AL3858" s="1115"/>
      <c r="AM3858" s="1115"/>
      <c r="AN3858" s="1115"/>
      <c r="AO3858" s="1115"/>
      <c r="AP3858" s="1115"/>
      <c r="AQ3858" s="1115"/>
      <c r="AR3858" s="1115"/>
      <c r="AS3858" s="1117"/>
      <c r="AT3858" s="1075"/>
      <c r="AU3858" s="1193"/>
      <c r="AV3858" s="330"/>
      <c r="AW3858" s="331"/>
      <c r="AX3858" s="331"/>
      <c r="AY3858" s="331"/>
      <c r="AZ3858" s="331"/>
      <c r="BA3858" s="331"/>
      <c r="BB3858" s="331"/>
      <c r="BC3858" s="331"/>
      <c r="BD3858" s="331"/>
      <c r="BE3858" s="333"/>
      <c r="BF3858" s="330"/>
      <c r="BG3858" s="333"/>
      <c r="BH3858" s="1119"/>
      <c r="BI3858" s="319"/>
      <c r="BJ3858" s="319"/>
      <c r="BK3858" s="319"/>
      <c r="BL3858" s="319"/>
      <c r="BM3858" s="319"/>
      <c r="BN3858" s="319"/>
      <c r="BO3858" s="319"/>
      <c r="BP3858" s="953"/>
      <c r="BQ3858" s="319"/>
      <c r="BR3858" s="319"/>
      <c r="BS3858" s="330"/>
      <c r="BT3858" s="331"/>
      <c r="BU3858" s="920"/>
      <c r="BV3858" s="903"/>
      <c r="BW3858" s="908"/>
      <c r="BX3858" s="908"/>
      <c r="BY3858" s="331"/>
      <c r="BZ3858" s="331"/>
      <c r="CA3858" s="462"/>
      <c r="CB3858" s="319"/>
      <c r="CC3858" s="319"/>
      <c r="CD3858" s="319"/>
      <c r="CE3858" s="319"/>
      <c r="CF3858" s="319"/>
      <c r="CG3858" s="319"/>
      <c r="CH3858" s="318"/>
      <c r="CI3858" s="319"/>
      <c r="CJ3858" s="319"/>
      <c r="CK3858" s="342"/>
      <c r="CL3858" s="333"/>
      <c r="CM3858" s="1079"/>
      <c r="CN3858" s="1005"/>
      <c r="CO3858" s="1005"/>
      <c r="CP3858" s="1005"/>
    </row>
    <row r="3859">
      <c r="A3859" s="1257"/>
      <c r="B3859" s="1113"/>
      <c r="C3859" s="1107"/>
      <c r="D3859" s="103"/>
      <c r="E3859" s="1137"/>
      <c r="F3859" s="112"/>
      <c r="G3859" s="1110"/>
      <c r="H3859" s="1138"/>
      <c r="I3859" s="1138"/>
      <c r="J3859" s="1139"/>
      <c r="K3859" s="1111"/>
      <c r="L3859" s="1112"/>
      <c r="M3859" s="1113"/>
      <c r="N3859" s="110"/>
      <c r="O3859" s="1140"/>
      <c r="P3859" s="1115"/>
      <c r="Q3859" s="1116"/>
      <c r="R3859" s="1141"/>
      <c r="S3859" s="1113"/>
      <c r="T3859" s="1143"/>
      <c r="U3859" s="1108"/>
      <c r="V3859" s="1108"/>
      <c r="W3859" s="1108"/>
      <c r="X3859" s="1108"/>
      <c r="Y3859" s="1108"/>
      <c r="Z3859" s="1114"/>
      <c r="AA3859" s="1114"/>
      <c r="AB3859" s="1114"/>
      <c r="AC3859" s="1117"/>
      <c r="AD3859" s="1115"/>
      <c r="AE3859" s="1115"/>
      <c r="AF3859" s="1115"/>
      <c r="AG3859" s="1115"/>
      <c r="AH3859" s="1115"/>
      <c r="AI3859" s="1115"/>
      <c r="AJ3859" s="1117"/>
      <c r="AK3859" s="1118"/>
      <c r="AL3859" s="1115"/>
      <c r="AM3859" s="1115"/>
      <c r="AN3859" s="1115"/>
      <c r="AO3859" s="1115"/>
      <c r="AP3859" s="1115"/>
      <c r="AQ3859" s="1115"/>
      <c r="AR3859" s="1115"/>
      <c r="AS3859" s="1117"/>
      <c r="AT3859" s="1075"/>
      <c r="AU3859" s="1193"/>
      <c r="AV3859" s="330"/>
      <c r="AW3859" s="331"/>
      <c r="AX3859" s="331"/>
      <c r="AY3859" s="331"/>
      <c r="AZ3859" s="331"/>
      <c r="BA3859" s="331"/>
      <c r="BB3859" s="331"/>
      <c r="BC3859" s="331"/>
      <c r="BD3859" s="331"/>
      <c r="BE3859" s="333"/>
      <c r="BF3859" s="330"/>
      <c r="BG3859" s="333"/>
      <c r="BH3859" s="1119"/>
      <c r="BI3859" s="319"/>
      <c r="BJ3859" s="319"/>
      <c r="BK3859" s="319"/>
      <c r="BL3859" s="319"/>
      <c r="BM3859" s="319"/>
      <c r="BN3859" s="319"/>
      <c r="BO3859" s="319"/>
      <c r="BP3859" s="953"/>
      <c r="BQ3859" s="319"/>
      <c r="BR3859" s="319"/>
      <c r="BS3859" s="330"/>
      <c r="BT3859" s="331"/>
      <c r="BU3859" s="920"/>
      <c r="BV3859" s="903"/>
      <c r="BW3859" s="908"/>
      <c r="BX3859" s="908"/>
      <c r="BY3859" s="331"/>
      <c r="BZ3859" s="331"/>
      <c r="CA3859" s="462"/>
      <c r="CB3859" s="319"/>
      <c r="CC3859" s="319"/>
      <c r="CD3859" s="319"/>
      <c r="CE3859" s="319"/>
      <c r="CF3859" s="319"/>
      <c r="CG3859" s="319"/>
      <c r="CH3859" s="318"/>
      <c r="CI3859" s="319"/>
      <c r="CJ3859" s="319"/>
      <c r="CK3859" s="342"/>
      <c r="CL3859" s="333"/>
      <c r="CM3859" s="1079"/>
      <c r="CN3859" s="1005"/>
      <c r="CO3859" s="1005"/>
      <c r="CP3859" s="1005"/>
    </row>
    <row r="3860">
      <c r="A3860" s="1257"/>
      <c r="B3860" s="1113"/>
      <c r="C3860" s="1107"/>
      <c r="D3860" s="103"/>
      <c r="E3860" s="1137"/>
      <c r="F3860" s="112"/>
      <c r="G3860" s="1110"/>
      <c r="H3860" s="1138"/>
      <c r="I3860" s="1138"/>
      <c r="J3860" s="1139"/>
      <c r="K3860" s="1111"/>
      <c r="L3860" s="1112"/>
      <c r="M3860" s="1113"/>
      <c r="N3860" s="110"/>
      <c r="O3860" s="1140"/>
      <c r="P3860" s="1115"/>
      <c r="Q3860" s="1116"/>
      <c r="R3860" s="1141"/>
      <c r="S3860" s="1113"/>
      <c r="T3860" s="1143"/>
      <c r="U3860" s="1108"/>
      <c r="V3860" s="1108"/>
      <c r="W3860" s="1108"/>
      <c r="X3860" s="1108"/>
      <c r="Y3860" s="1108"/>
      <c r="Z3860" s="1114"/>
      <c r="AA3860" s="1114"/>
      <c r="AB3860" s="1114"/>
      <c r="AC3860" s="1117"/>
      <c r="AD3860" s="1115"/>
      <c r="AE3860" s="1115"/>
      <c r="AF3860" s="1115"/>
      <c r="AG3860" s="1115"/>
      <c r="AH3860" s="1115"/>
      <c r="AI3860" s="1115"/>
      <c r="AJ3860" s="1117"/>
      <c r="AK3860" s="1118"/>
      <c r="AL3860" s="1115"/>
      <c r="AM3860" s="1115"/>
      <c r="AN3860" s="1115"/>
      <c r="AO3860" s="1115"/>
      <c r="AP3860" s="1115"/>
      <c r="AQ3860" s="1115"/>
      <c r="AR3860" s="1115"/>
      <c r="AS3860" s="1117"/>
      <c r="AT3860" s="1075"/>
      <c r="AU3860" s="1193"/>
      <c r="AV3860" s="330"/>
      <c r="AW3860" s="331"/>
      <c r="AX3860" s="331"/>
      <c r="AY3860" s="331"/>
      <c r="AZ3860" s="331"/>
      <c r="BA3860" s="331"/>
      <c r="BB3860" s="331"/>
      <c r="BC3860" s="331"/>
      <c r="BD3860" s="331"/>
      <c r="BE3860" s="333"/>
      <c r="BF3860" s="330"/>
      <c r="BG3860" s="333"/>
      <c r="BH3860" s="1119"/>
      <c r="BI3860" s="319"/>
      <c r="BJ3860" s="319"/>
      <c r="BK3860" s="319"/>
      <c r="BL3860" s="319"/>
      <c r="BM3860" s="319"/>
      <c r="BN3860" s="319"/>
      <c r="BO3860" s="319"/>
      <c r="BP3860" s="953"/>
      <c r="BQ3860" s="319"/>
      <c r="BR3860" s="319"/>
      <c r="BS3860" s="330"/>
      <c r="BT3860" s="331"/>
      <c r="BU3860" s="920"/>
      <c r="BV3860" s="903"/>
      <c r="BW3860" s="908"/>
      <c r="BX3860" s="908"/>
      <c r="BY3860" s="331"/>
      <c r="BZ3860" s="331"/>
      <c r="CA3860" s="462"/>
      <c r="CB3860" s="319"/>
      <c r="CC3860" s="319"/>
      <c r="CD3860" s="319"/>
      <c r="CE3860" s="319"/>
      <c r="CF3860" s="319"/>
      <c r="CG3860" s="319"/>
      <c r="CH3860" s="318"/>
      <c r="CI3860" s="319"/>
      <c r="CJ3860" s="319"/>
      <c r="CK3860" s="342"/>
      <c r="CL3860" s="333"/>
      <c r="CM3860" s="1079"/>
      <c r="CN3860" s="1005"/>
      <c r="CO3860" s="1005"/>
      <c r="CP3860" s="1005"/>
    </row>
    <row r="3861">
      <c r="A3861" s="1257"/>
      <c r="B3861" s="1113"/>
      <c r="C3861" s="1107"/>
      <c r="D3861" s="103"/>
      <c r="E3861" s="1137"/>
      <c r="F3861" s="112"/>
      <c r="G3861" s="1110"/>
      <c r="H3861" s="1138"/>
      <c r="I3861" s="1138"/>
      <c r="J3861" s="1139"/>
      <c r="K3861" s="1111"/>
      <c r="L3861" s="1112"/>
      <c r="M3861" s="1113"/>
      <c r="N3861" s="110"/>
      <c r="O3861" s="1140"/>
      <c r="P3861" s="1115"/>
      <c r="Q3861" s="1116"/>
      <c r="R3861" s="1141"/>
      <c r="S3861" s="1113"/>
      <c r="T3861" s="1143"/>
      <c r="U3861" s="1108"/>
      <c r="V3861" s="1108"/>
      <c r="W3861" s="1108"/>
      <c r="X3861" s="1108"/>
      <c r="Y3861" s="1108"/>
      <c r="Z3861" s="1114"/>
      <c r="AA3861" s="1114"/>
      <c r="AB3861" s="1114"/>
      <c r="AC3861" s="1117"/>
      <c r="AD3861" s="1115"/>
      <c r="AE3861" s="1115"/>
      <c r="AF3861" s="1115"/>
      <c r="AG3861" s="1115"/>
      <c r="AH3861" s="1115"/>
      <c r="AI3861" s="1115"/>
      <c r="AJ3861" s="1117"/>
      <c r="AK3861" s="1118"/>
      <c r="AL3861" s="1115"/>
      <c r="AM3861" s="1115"/>
      <c r="AN3861" s="1115"/>
      <c r="AO3861" s="1115"/>
      <c r="AP3861" s="1115"/>
      <c r="AQ3861" s="1115"/>
      <c r="AR3861" s="1115"/>
      <c r="AS3861" s="1117"/>
      <c r="AT3861" s="1075"/>
      <c r="AU3861" s="1193"/>
      <c r="AV3861" s="330"/>
      <c r="AW3861" s="331"/>
      <c r="AX3861" s="331"/>
      <c r="AY3861" s="331"/>
      <c r="AZ3861" s="331"/>
      <c r="BA3861" s="331"/>
      <c r="BB3861" s="331"/>
      <c r="BC3861" s="331"/>
      <c r="BD3861" s="331"/>
      <c r="BE3861" s="333"/>
      <c r="BF3861" s="330"/>
      <c r="BG3861" s="333"/>
      <c r="BH3861" s="1119"/>
      <c r="BI3861" s="319"/>
      <c r="BJ3861" s="319"/>
      <c r="BK3861" s="319"/>
      <c r="BL3861" s="319"/>
      <c r="BM3861" s="319"/>
      <c r="BN3861" s="319"/>
      <c r="BO3861" s="319"/>
      <c r="BP3861" s="953"/>
      <c r="BQ3861" s="319"/>
      <c r="BR3861" s="319"/>
      <c r="BS3861" s="330"/>
      <c r="BT3861" s="331"/>
      <c r="BU3861" s="920"/>
      <c r="BV3861" s="903"/>
      <c r="BW3861" s="908"/>
      <c r="BX3861" s="908"/>
      <c r="BY3861" s="331"/>
      <c r="BZ3861" s="331"/>
      <c r="CA3861" s="462"/>
      <c r="CB3861" s="319"/>
      <c r="CC3861" s="319"/>
      <c r="CD3861" s="319"/>
      <c r="CE3861" s="319"/>
      <c r="CF3861" s="319"/>
      <c r="CG3861" s="319"/>
      <c r="CH3861" s="318"/>
      <c r="CI3861" s="319"/>
      <c r="CJ3861" s="319"/>
      <c r="CK3861" s="342"/>
      <c r="CL3861" s="333"/>
      <c r="CM3861" s="1079"/>
      <c r="CN3861" s="1005"/>
      <c r="CO3861" s="1005"/>
      <c r="CP3861" s="1005"/>
    </row>
    <row r="3862">
      <c r="A3862" s="1257"/>
      <c r="B3862" s="1113"/>
      <c r="C3862" s="1107"/>
      <c r="D3862" s="103"/>
      <c r="E3862" s="1137"/>
      <c r="F3862" s="112"/>
      <c r="G3862" s="1110"/>
      <c r="H3862" s="1138"/>
      <c r="I3862" s="1138"/>
      <c r="J3862" s="1139"/>
      <c r="K3862" s="1111"/>
      <c r="L3862" s="1112"/>
      <c r="M3862" s="1113"/>
      <c r="N3862" s="110"/>
      <c r="O3862" s="1140"/>
      <c r="P3862" s="1115"/>
      <c r="Q3862" s="1116"/>
      <c r="R3862" s="1141"/>
      <c r="S3862" s="1113"/>
      <c r="T3862" s="1143"/>
      <c r="U3862" s="1108"/>
      <c r="V3862" s="1108"/>
      <c r="W3862" s="1108"/>
      <c r="X3862" s="1108"/>
      <c r="Y3862" s="1108"/>
      <c r="Z3862" s="1114"/>
      <c r="AA3862" s="1114"/>
      <c r="AB3862" s="1114"/>
      <c r="AC3862" s="1117"/>
      <c r="AD3862" s="1115"/>
      <c r="AE3862" s="1115"/>
      <c r="AF3862" s="1115"/>
      <c r="AG3862" s="1115"/>
      <c r="AH3862" s="1115"/>
      <c r="AI3862" s="1115"/>
      <c r="AJ3862" s="1117"/>
      <c r="AK3862" s="1118"/>
      <c r="AL3862" s="1115"/>
      <c r="AM3862" s="1115"/>
      <c r="AN3862" s="1115"/>
      <c r="AO3862" s="1115"/>
      <c r="AP3862" s="1115"/>
      <c r="AQ3862" s="1115"/>
      <c r="AR3862" s="1115"/>
      <c r="AS3862" s="1117"/>
      <c r="AT3862" s="1075"/>
      <c r="AU3862" s="1193"/>
      <c r="AV3862" s="330"/>
      <c r="AW3862" s="331"/>
      <c r="AX3862" s="331"/>
      <c r="AY3862" s="331"/>
      <c r="AZ3862" s="331"/>
      <c r="BA3862" s="331"/>
      <c r="BB3862" s="331"/>
      <c r="BC3862" s="331"/>
      <c r="BD3862" s="331"/>
      <c r="BE3862" s="333"/>
      <c r="BF3862" s="330"/>
      <c r="BG3862" s="333"/>
      <c r="BH3862" s="1119"/>
      <c r="BI3862" s="319"/>
      <c r="BJ3862" s="319"/>
      <c r="BK3862" s="319"/>
      <c r="BL3862" s="319"/>
      <c r="BM3862" s="319"/>
      <c r="BN3862" s="319"/>
      <c r="BO3862" s="319"/>
      <c r="BP3862" s="953"/>
      <c r="BQ3862" s="319"/>
      <c r="BR3862" s="319"/>
      <c r="BS3862" s="330"/>
      <c r="BT3862" s="331"/>
      <c r="BU3862" s="920"/>
      <c r="BV3862" s="903"/>
      <c r="BW3862" s="908"/>
      <c r="BX3862" s="908"/>
      <c r="BY3862" s="331"/>
      <c r="BZ3862" s="331"/>
      <c r="CA3862" s="462"/>
      <c r="CB3862" s="319"/>
      <c r="CC3862" s="319"/>
      <c r="CD3862" s="319"/>
      <c r="CE3862" s="319"/>
      <c r="CF3862" s="319"/>
      <c r="CG3862" s="319"/>
      <c r="CH3862" s="318"/>
      <c r="CI3862" s="319"/>
      <c r="CJ3862" s="319"/>
      <c r="CK3862" s="342"/>
      <c r="CL3862" s="333"/>
      <c r="CM3862" s="1079"/>
      <c r="CN3862" s="1005"/>
      <c r="CO3862" s="1005"/>
      <c r="CP3862" s="1005"/>
    </row>
    <row r="3863">
      <c r="A3863" s="1257"/>
      <c r="B3863" s="1113"/>
      <c r="C3863" s="1107"/>
      <c r="D3863" s="103"/>
      <c r="E3863" s="1137"/>
      <c r="F3863" s="112"/>
      <c r="G3863" s="1110"/>
      <c r="H3863" s="1138"/>
      <c r="I3863" s="1138"/>
      <c r="J3863" s="1139"/>
      <c r="K3863" s="1111"/>
      <c r="L3863" s="1112"/>
      <c r="M3863" s="1113"/>
      <c r="N3863" s="110"/>
      <c r="O3863" s="1140"/>
      <c r="P3863" s="1115"/>
      <c r="Q3863" s="1116"/>
      <c r="R3863" s="1141"/>
      <c r="S3863" s="1113"/>
      <c r="T3863" s="1143"/>
      <c r="U3863" s="1108"/>
      <c r="V3863" s="1108"/>
      <c r="W3863" s="1108"/>
      <c r="X3863" s="1108"/>
      <c r="Y3863" s="1108"/>
      <c r="Z3863" s="1114"/>
      <c r="AA3863" s="1114"/>
      <c r="AB3863" s="1114"/>
      <c r="AC3863" s="1117"/>
      <c r="AD3863" s="1115"/>
      <c r="AE3863" s="1115"/>
      <c r="AF3863" s="1115"/>
      <c r="AG3863" s="1115"/>
      <c r="AH3863" s="1115"/>
      <c r="AI3863" s="1115"/>
      <c r="AJ3863" s="1117"/>
      <c r="AK3863" s="1118"/>
      <c r="AL3863" s="1115"/>
      <c r="AM3863" s="1115"/>
      <c r="AN3863" s="1115"/>
      <c r="AO3863" s="1115"/>
      <c r="AP3863" s="1115"/>
      <c r="AQ3863" s="1115"/>
      <c r="AR3863" s="1115"/>
      <c r="AS3863" s="1117"/>
      <c r="AT3863" s="1075"/>
      <c r="AU3863" s="1193"/>
      <c r="AV3863" s="330"/>
      <c r="AW3863" s="331"/>
      <c r="AX3863" s="331"/>
      <c r="AY3863" s="331"/>
      <c r="AZ3863" s="331"/>
      <c r="BA3863" s="331"/>
      <c r="BB3863" s="331"/>
      <c r="BC3863" s="331"/>
      <c r="BD3863" s="331"/>
      <c r="BE3863" s="333"/>
      <c r="BF3863" s="330"/>
      <c r="BG3863" s="333"/>
      <c r="BH3863" s="1119"/>
      <c r="BI3863" s="319"/>
      <c r="BJ3863" s="319"/>
      <c r="BK3863" s="319"/>
      <c r="BL3863" s="319"/>
      <c r="BM3863" s="319"/>
      <c r="BN3863" s="319"/>
      <c r="BO3863" s="319"/>
      <c r="BP3863" s="953"/>
      <c r="BQ3863" s="319"/>
      <c r="BR3863" s="319"/>
      <c r="BS3863" s="330"/>
      <c r="BT3863" s="331"/>
      <c r="BU3863" s="920"/>
      <c r="BV3863" s="903"/>
      <c r="BW3863" s="908"/>
      <c r="BX3863" s="908"/>
      <c r="BY3863" s="331"/>
      <c r="BZ3863" s="331"/>
      <c r="CA3863" s="462"/>
      <c r="CB3863" s="319"/>
      <c r="CC3863" s="319"/>
      <c r="CD3863" s="319"/>
      <c r="CE3863" s="319"/>
      <c r="CF3863" s="319"/>
      <c r="CG3863" s="319"/>
      <c r="CH3863" s="318"/>
      <c r="CI3863" s="319"/>
      <c r="CJ3863" s="319"/>
      <c r="CK3863" s="342"/>
      <c r="CL3863" s="333"/>
      <c r="CM3863" s="1079"/>
      <c r="CN3863" s="1005"/>
      <c r="CO3863" s="1005"/>
      <c r="CP3863" s="1005"/>
    </row>
    <row r="3864">
      <c r="A3864" s="1257"/>
      <c r="B3864" s="1113"/>
      <c r="C3864" s="1107"/>
      <c r="D3864" s="103"/>
      <c r="E3864" s="1137"/>
      <c r="F3864" s="112"/>
      <c r="G3864" s="1110"/>
      <c r="H3864" s="1138"/>
      <c r="I3864" s="1138"/>
      <c r="J3864" s="1139"/>
      <c r="K3864" s="1111"/>
      <c r="L3864" s="1112"/>
      <c r="M3864" s="1113"/>
      <c r="N3864" s="110"/>
      <c r="O3864" s="1140"/>
      <c r="P3864" s="1115"/>
      <c r="Q3864" s="1116"/>
      <c r="R3864" s="1141"/>
      <c r="S3864" s="1113"/>
      <c r="T3864" s="1143"/>
      <c r="U3864" s="1108"/>
      <c r="V3864" s="1108"/>
      <c r="W3864" s="1108"/>
      <c r="X3864" s="1108"/>
      <c r="Y3864" s="1108"/>
      <c r="Z3864" s="1114"/>
      <c r="AA3864" s="1114"/>
      <c r="AB3864" s="1114"/>
      <c r="AC3864" s="1117"/>
      <c r="AD3864" s="1115"/>
      <c r="AE3864" s="1115"/>
      <c r="AF3864" s="1115"/>
      <c r="AG3864" s="1115"/>
      <c r="AH3864" s="1115"/>
      <c r="AI3864" s="1115"/>
      <c r="AJ3864" s="1117"/>
      <c r="AK3864" s="1118"/>
      <c r="AL3864" s="1115"/>
      <c r="AM3864" s="1115"/>
      <c r="AN3864" s="1115"/>
      <c r="AO3864" s="1115"/>
      <c r="AP3864" s="1115"/>
      <c r="AQ3864" s="1115"/>
      <c r="AR3864" s="1115"/>
      <c r="AS3864" s="1117"/>
      <c r="AT3864" s="1075"/>
      <c r="AU3864" s="1193"/>
      <c r="AV3864" s="330"/>
      <c r="AW3864" s="331"/>
      <c r="AX3864" s="331"/>
      <c r="AY3864" s="331"/>
      <c r="AZ3864" s="331"/>
      <c r="BA3864" s="331"/>
      <c r="BB3864" s="331"/>
      <c r="BC3864" s="331"/>
      <c r="BD3864" s="331"/>
      <c r="BE3864" s="333"/>
      <c r="BF3864" s="330"/>
      <c r="BG3864" s="333"/>
      <c r="BH3864" s="1119"/>
      <c r="BI3864" s="319"/>
      <c r="BJ3864" s="319"/>
      <c r="BK3864" s="319"/>
      <c r="BL3864" s="319"/>
      <c r="BM3864" s="319"/>
      <c r="BN3864" s="319"/>
      <c r="BO3864" s="319"/>
      <c r="BP3864" s="953"/>
      <c r="BQ3864" s="319"/>
      <c r="BR3864" s="319"/>
      <c r="BS3864" s="330"/>
      <c r="BT3864" s="331"/>
      <c r="BU3864" s="920"/>
      <c r="BV3864" s="903"/>
      <c r="BW3864" s="908"/>
      <c r="BX3864" s="908"/>
      <c r="BY3864" s="331"/>
      <c r="BZ3864" s="331"/>
      <c r="CA3864" s="462"/>
      <c r="CB3864" s="319"/>
      <c r="CC3864" s="319"/>
      <c r="CD3864" s="319"/>
      <c r="CE3864" s="319"/>
      <c r="CF3864" s="319"/>
      <c r="CG3864" s="319"/>
      <c r="CH3864" s="318"/>
      <c r="CI3864" s="319"/>
      <c r="CJ3864" s="319"/>
      <c r="CK3864" s="342"/>
      <c r="CL3864" s="333"/>
      <c r="CM3864" s="1079"/>
      <c r="CN3864" s="1005"/>
      <c r="CO3864" s="1005"/>
      <c r="CP3864" s="1005"/>
    </row>
    <row r="3865">
      <c r="A3865" s="1257"/>
      <c r="B3865" s="1113"/>
      <c r="C3865" s="1107"/>
      <c r="D3865" s="103"/>
      <c r="E3865" s="1137"/>
      <c r="F3865" s="112"/>
      <c r="G3865" s="1110"/>
      <c r="H3865" s="1138"/>
      <c r="I3865" s="1138"/>
      <c r="J3865" s="1139"/>
      <c r="K3865" s="1111"/>
      <c r="L3865" s="1112"/>
      <c r="M3865" s="1113"/>
      <c r="N3865" s="110"/>
      <c r="O3865" s="1140"/>
      <c r="P3865" s="1115"/>
      <c r="Q3865" s="1116"/>
      <c r="R3865" s="1141"/>
      <c r="S3865" s="1113"/>
      <c r="T3865" s="1143"/>
      <c r="U3865" s="1108"/>
      <c r="V3865" s="1108"/>
      <c r="W3865" s="1108"/>
      <c r="X3865" s="1108"/>
      <c r="Y3865" s="1108"/>
      <c r="Z3865" s="1114"/>
      <c r="AA3865" s="1114"/>
      <c r="AB3865" s="1114"/>
      <c r="AC3865" s="1117"/>
      <c r="AD3865" s="1115"/>
      <c r="AE3865" s="1115"/>
      <c r="AF3865" s="1115"/>
      <c r="AG3865" s="1115"/>
      <c r="AH3865" s="1115"/>
      <c r="AI3865" s="1115"/>
      <c r="AJ3865" s="1117"/>
      <c r="AK3865" s="1118"/>
      <c r="AL3865" s="1115"/>
      <c r="AM3865" s="1115"/>
      <c r="AN3865" s="1115"/>
      <c r="AO3865" s="1115"/>
      <c r="AP3865" s="1115"/>
      <c r="AQ3865" s="1115"/>
      <c r="AR3865" s="1115"/>
      <c r="AS3865" s="1117"/>
      <c r="AT3865" s="1075"/>
      <c r="AU3865" s="1193"/>
      <c r="AV3865" s="330"/>
      <c r="AW3865" s="331"/>
      <c r="AX3865" s="331"/>
      <c r="AY3865" s="331"/>
      <c r="AZ3865" s="331"/>
      <c r="BA3865" s="331"/>
      <c r="BB3865" s="331"/>
      <c r="BC3865" s="331"/>
      <c r="BD3865" s="331"/>
      <c r="BE3865" s="333"/>
      <c r="BF3865" s="330"/>
      <c r="BG3865" s="333"/>
      <c r="BH3865" s="1119"/>
      <c r="BI3865" s="319"/>
      <c r="BJ3865" s="319"/>
      <c r="BK3865" s="319"/>
      <c r="BL3865" s="319"/>
      <c r="BM3865" s="319"/>
      <c r="BN3865" s="319"/>
      <c r="BO3865" s="319"/>
      <c r="BP3865" s="953"/>
      <c r="BQ3865" s="319"/>
      <c r="BR3865" s="319"/>
      <c r="BS3865" s="330"/>
      <c r="BT3865" s="331"/>
      <c r="BU3865" s="920"/>
      <c r="BV3865" s="903"/>
      <c r="BW3865" s="908"/>
      <c r="BX3865" s="908"/>
      <c r="BY3865" s="331"/>
      <c r="BZ3865" s="331"/>
      <c r="CA3865" s="462"/>
      <c r="CB3865" s="319"/>
      <c r="CC3865" s="319"/>
      <c r="CD3865" s="319"/>
      <c r="CE3865" s="319"/>
      <c r="CF3865" s="319"/>
      <c r="CG3865" s="319"/>
      <c r="CH3865" s="318"/>
      <c r="CI3865" s="319"/>
      <c r="CJ3865" s="319"/>
      <c r="CK3865" s="342"/>
      <c r="CL3865" s="333"/>
      <c r="CM3865" s="1079"/>
      <c r="CN3865" s="1005"/>
      <c r="CO3865" s="1005"/>
      <c r="CP3865" s="1005"/>
    </row>
    <row r="3866">
      <c r="A3866" s="1257"/>
      <c r="B3866" s="1113"/>
      <c r="C3866" s="1107"/>
      <c r="D3866" s="103"/>
      <c r="E3866" s="1137"/>
      <c r="F3866" s="112"/>
      <c r="G3866" s="1110"/>
      <c r="H3866" s="1138"/>
      <c r="I3866" s="1138"/>
      <c r="J3866" s="1139"/>
      <c r="K3866" s="1111"/>
      <c r="L3866" s="1112"/>
      <c r="M3866" s="1113"/>
      <c r="N3866" s="110"/>
      <c r="O3866" s="1140"/>
      <c r="P3866" s="1115"/>
      <c r="Q3866" s="1116"/>
      <c r="R3866" s="1141"/>
      <c r="S3866" s="1113"/>
      <c r="T3866" s="1143"/>
      <c r="U3866" s="1108"/>
      <c r="V3866" s="1108"/>
      <c r="W3866" s="1108"/>
      <c r="X3866" s="1108"/>
      <c r="Y3866" s="1108"/>
      <c r="Z3866" s="1114"/>
      <c r="AA3866" s="1114"/>
      <c r="AB3866" s="1114"/>
      <c r="AC3866" s="1117"/>
      <c r="AD3866" s="1115"/>
      <c r="AE3866" s="1115"/>
      <c r="AF3866" s="1115"/>
      <c r="AG3866" s="1115"/>
      <c r="AH3866" s="1115"/>
      <c r="AI3866" s="1115"/>
      <c r="AJ3866" s="1117"/>
      <c r="AK3866" s="1118"/>
      <c r="AL3866" s="1115"/>
      <c r="AM3866" s="1115"/>
      <c r="AN3866" s="1115"/>
      <c r="AO3866" s="1115"/>
      <c r="AP3866" s="1115"/>
      <c r="AQ3866" s="1115"/>
      <c r="AR3866" s="1115"/>
      <c r="AS3866" s="1117"/>
      <c r="AT3866" s="1075"/>
      <c r="AU3866" s="1193"/>
      <c r="AV3866" s="330"/>
      <c r="AW3866" s="331"/>
      <c r="AX3866" s="331"/>
      <c r="AY3866" s="331"/>
      <c r="AZ3866" s="331"/>
      <c r="BA3866" s="331"/>
      <c r="BB3866" s="331"/>
      <c r="BC3866" s="331"/>
      <c r="BD3866" s="331"/>
      <c r="BE3866" s="333"/>
      <c r="BF3866" s="330"/>
      <c r="BG3866" s="333"/>
      <c r="BH3866" s="1119"/>
      <c r="BI3866" s="319"/>
      <c r="BJ3866" s="319"/>
      <c r="BK3866" s="319"/>
      <c r="BL3866" s="319"/>
      <c r="BM3866" s="319"/>
      <c r="BN3866" s="319"/>
      <c r="BO3866" s="319"/>
      <c r="BP3866" s="953"/>
      <c r="BQ3866" s="319"/>
      <c r="BR3866" s="319"/>
      <c r="BS3866" s="330"/>
      <c r="BT3866" s="331"/>
      <c r="BU3866" s="920"/>
      <c r="BV3866" s="903"/>
      <c r="BW3866" s="908"/>
      <c r="BX3866" s="908"/>
      <c r="BY3866" s="331"/>
      <c r="BZ3866" s="331"/>
      <c r="CA3866" s="462"/>
      <c r="CB3866" s="319"/>
      <c r="CC3866" s="319"/>
      <c r="CD3866" s="319"/>
      <c r="CE3866" s="319"/>
      <c r="CF3866" s="319"/>
      <c r="CG3866" s="319"/>
      <c r="CH3866" s="318"/>
      <c r="CI3866" s="319"/>
      <c r="CJ3866" s="319"/>
      <c r="CK3866" s="342"/>
      <c r="CL3866" s="333"/>
      <c r="CM3866" s="1079"/>
      <c r="CN3866" s="1005"/>
      <c r="CO3866" s="1005"/>
      <c r="CP3866" s="1005"/>
    </row>
    <row r="3867">
      <c r="A3867" s="1257"/>
      <c r="B3867" s="1113"/>
      <c r="C3867" s="1107"/>
      <c r="D3867" s="103"/>
      <c r="E3867" s="1137"/>
      <c r="F3867" s="112"/>
      <c r="G3867" s="1110"/>
      <c r="H3867" s="1138"/>
      <c r="I3867" s="1138"/>
      <c r="J3867" s="1139"/>
      <c r="K3867" s="1111"/>
      <c r="L3867" s="1112"/>
      <c r="M3867" s="1113"/>
      <c r="N3867" s="110"/>
      <c r="O3867" s="1140"/>
      <c r="P3867" s="1115"/>
      <c r="Q3867" s="1116"/>
      <c r="R3867" s="1141"/>
      <c r="S3867" s="1113"/>
      <c r="T3867" s="1143"/>
      <c r="U3867" s="1108"/>
      <c r="V3867" s="1108"/>
      <c r="W3867" s="1108"/>
      <c r="X3867" s="1108"/>
      <c r="Y3867" s="1108"/>
      <c r="Z3867" s="1114"/>
      <c r="AA3867" s="1114"/>
      <c r="AB3867" s="1114"/>
      <c r="AC3867" s="1117"/>
      <c r="AD3867" s="1115"/>
      <c r="AE3867" s="1115"/>
      <c r="AF3867" s="1115"/>
      <c r="AG3867" s="1115"/>
      <c r="AH3867" s="1115"/>
      <c r="AI3867" s="1115"/>
      <c r="AJ3867" s="1117"/>
      <c r="AK3867" s="1118"/>
      <c r="AL3867" s="1115"/>
      <c r="AM3867" s="1115"/>
      <c r="AN3867" s="1115"/>
      <c r="AO3867" s="1115"/>
      <c r="AP3867" s="1115"/>
      <c r="AQ3867" s="1115"/>
      <c r="AR3867" s="1115"/>
      <c r="AS3867" s="1117"/>
      <c r="AT3867" s="1075"/>
      <c r="AU3867" s="1193"/>
      <c r="AV3867" s="330"/>
      <c r="AW3867" s="331"/>
      <c r="AX3867" s="331"/>
      <c r="AY3867" s="331"/>
      <c r="AZ3867" s="331"/>
      <c r="BA3867" s="331"/>
      <c r="BB3867" s="331"/>
      <c r="BC3867" s="331"/>
      <c r="BD3867" s="331"/>
      <c r="BE3867" s="333"/>
      <c r="BF3867" s="330"/>
      <c r="BG3867" s="333"/>
      <c r="BH3867" s="1119"/>
      <c r="BI3867" s="319"/>
      <c r="BJ3867" s="319"/>
      <c r="BK3867" s="319"/>
      <c r="BL3867" s="319"/>
      <c r="BM3867" s="319"/>
      <c r="BN3867" s="319"/>
      <c r="BO3867" s="319"/>
      <c r="BP3867" s="953"/>
      <c r="BQ3867" s="319"/>
      <c r="BR3867" s="319"/>
      <c r="BS3867" s="330"/>
      <c r="BT3867" s="331"/>
      <c r="BU3867" s="920"/>
      <c r="BV3867" s="903"/>
      <c r="BW3867" s="908"/>
      <c r="BX3867" s="908"/>
      <c r="BY3867" s="331"/>
      <c r="BZ3867" s="331"/>
      <c r="CA3867" s="462"/>
      <c r="CB3867" s="319"/>
      <c r="CC3867" s="319"/>
      <c r="CD3867" s="319"/>
      <c r="CE3867" s="319"/>
      <c r="CF3867" s="319"/>
      <c r="CG3867" s="319"/>
      <c r="CH3867" s="318"/>
      <c r="CI3867" s="319"/>
      <c r="CJ3867" s="319"/>
      <c r="CK3867" s="342"/>
      <c r="CL3867" s="333"/>
      <c r="CM3867" s="1079"/>
      <c r="CN3867" s="1005"/>
      <c r="CO3867" s="1005"/>
      <c r="CP3867" s="1005"/>
    </row>
    <row r="3868">
      <c r="A3868" s="1257"/>
      <c r="B3868" s="1113"/>
      <c r="C3868" s="1107"/>
      <c r="D3868" s="103"/>
      <c r="E3868" s="1137"/>
      <c r="F3868" s="112"/>
      <c r="G3868" s="1110"/>
      <c r="H3868" s="1138"/>
      <c r="I3868" s="1138"/>
      <c r="J3868" s="1139"/>
      <c r="K3868" s="1111"/>
      <c r="L3868" s="1112"/>
      <c r="M3868" s="1113"/>
      <c r="N3868" s="110"/>
      <c r="O3868" s="1140"/>
      <c r="P3868" s="1115"/>
      <c r="Q3868" s="1116"/>
      <c r="R3868" s="1141"/>
      <c r="S3868" s="1113"/>
      <c r="T3868" s="1143"/>
      <c r="U3868" s="1108"/>
      <c r="V3868" s="1108"/>
      <c r="W3868" s="1108"/>
      <c r="X3868" s="1108"/>
      <c r="Y3868" s="1108"/>
      <c r="Z3868" s="1114"/>
      <c r="AA3868" s="1114"/>
      <c r="AB3868" s="1114"/>
      <c r="AC3868" s="1117"/>
      <c r="AD3868" s="1115"/>
      <c r="AE3868" s="1115"/>
      <c r="AF3868" s="1115"/>
      <c r="AG3868" s="1115"/>
      <c r="AH3868" s="1115"/>
      <c r="AI3868" s="1115"/>
      <c r="AJ3868" s="1117"/>
      <c r="AK3868" s="1118"/>
      <c r="AL3868" s="1115"/>
      <c r="AM3868" s="1115"/>
      <c r="AN3868" s="1115"/>
      <c r="AO3868" s="1115"/>
      <c r="AP3868" s="1115"/>
      <c r="AQ3868" s="1115"/>
      <c r="AR3868" s="1115"/>
      <c r="AS3868" s="1117"/>
      <c r="AT3868" s="1075"/>
      <c r="AU3868" s="1193"/>
      <c r="AV3868" s="330"/>
      <c r="AW3868" s="331"/>
      <c r="AX3868" s="331"/>
      <c r="AY3868" s="331"/>
      <c r="AZ3868" s="331"/>
      <c r="BA3868" s="331"/>
      <c r="BB3868" s="331"/>
      <c r="BC3868" s="331"/>
      <c r="BD3868" s="331"/>
      <c r="BE3868" s="333"/>
      <c r="BF3868" s="330"/>
      <c r="BG3868" s="333"/>
      <c r="BH3868" s="1119"/>
      <c r="BI3868" s="319"/>
      <c r="BJ3868" s="319"/>
      <c r="BK3868" s="319"/>
      <c r="BL3868" s="319"/>
      <c r="BM3868" s="319"/>
      <c r="BN3868" s="319"/>
      <c r="BO3868" s="319"/>
      <c r="BP3868" s="953"/>
      <c r="BQ3868" s="319"/>
      <c r="BR3868" s="319"/>
      <c r="BS3868" s="330"/>
      <c r="BT3868" s="331"/>
      <c r="BU3868" s="920"/>
      <c r="BV3868" s="903"/>
      <c r="BW3868" s="908"/>
      <c r="BX3868" s="908"/>
      <c r="BY3868" s="331"/>
      <c r="BZ3868" s="331"/>
      <c r="CA3868" s="462"/>
      <c r="CB3868" s="319"/>
      <c r="CC3868" s="319"/>
      <c r="CD3868" s="319"/>
      <c r="CE3868" s="319"/>
      <c r="CF3868" s="319"/>
      <c r="CG3868" s="319"/>
      <c r="CH3868" s="318"/>
      <c r="CI3868" s="319"/>
      <c r="CJ3868" s="319"/>
      <c r="CK3868" s="342"/>
      <c r="CL3868" s="333"/>
      <c r="CM3868" s="1079"/>
      <c r="CN3868" s="1005"/>
      <c r="CO3868" s="1005"/>
      <c r="CP3868" s="1005"/>
    </row>
    <row r="3869">
      <c r="A3869" s="1257"/>
      <c r="B3869" s="1113"/>
      <c r="C3869" s="1107"/>
      <c r="D3869" s="103"/>
      <c r="E3869" s="1137"/>
      <c r="F3869" s="112"/>
      <c r="G3869" s="1110"/>
      <c r="H3869" s="1138"/>
      <c r="I3869" s="1138"/>
      <c r="J3869" s="1139"/>
      <c r="K3869" s="1111"/>
      <c r="L3869" s="1112"/>
      <c r="M3869" s="1113"/>
      <c r="N3869" s="110"/>
      <c r="O3869" s="1140"/>
      <c r="P3869" s="1115"/>
      <c r="Q3869" s="1116"/>
      <c r="R3869" s="1141"/>
      <c r="S3869" s="1113"/>
      <c r="T3869" s="1143"/>
      <c r="U3869" s="1108"/>
      <c r="V3869" s="1108"/>
      <c r="W3869" s="1108"/>
      <c r="X3869" s="1108"/>
      <c r="Y3869" s="1108"/>
      <c r="Z3869" s="1114"/>
      <c r="AA3869" s="1114"/>
      <c r="AB3869" s="1114"/>
      <c r="AC3869" s="1117"/>
      <c r="AD3869" s="1115"/>
      <c r="AE3869" s="1115"/>
      <c r="AF3869" s="1115"/>
      <c r="AG3869" s="1115"/>
      <c r="AH3869" s="1115"/>
      <c r="AI3869" s="1115"/>
      <c r="AJ3869" s="1117"/>
      <c r="AK3869" s="1118"/>
      <c r="AL3869" s="1115"/>
      <c r="AM3869" s="1115"/>
      <c r="AN3869" s="1115"/>
      <c r="AO3869" s="1115"/>
      <c r="AP3869" s="1115"/>
      <c r="AQ3869" s="1115"/>
      <c r="AR3869" s="1115"/>
      <c r="AS3869" s="1117"/>
      <c r="AT3869" s="1075"/>
      <c r="AU3869" s="1193"/>
      <c r="AV3869" s="330"/>
      <c r="AW3869" s="331"/>
      <c r="AX3869" s="331"/>
      <c r="AY3869" s="331"/>
      <c r="AZ3869" s="331"/>
      <c r="BA3869" s="331"/>
      <c r="BB3869" s="331"/>
      <c r="BC3869" s="331"/>
      <c r="BD3869" s="331"/>
      <c r="BE3869" s="333"/>
      <c r="BF3869" s="330"/>
      <c r="BG3869" s="333"/>
      <c r="BH3869" s="1119"/>
      <c r="BI3869" s="319"/>
      <c r="BJ3869" s="319"/>
      <c r="BK3869" s="319"/>
      <c r="BL3869" s="319"/>
      <c r="BM3869" s="319"/>
      <c r="BN3869" s="319"/>
      <c r="BO3869" s="319"/>
      <c r="BP3869" s="953"/>
      <c r="BQ3869" s="319"/>
      <c r="BR3869" s="319"/>
      <c r="BS3869" s="330"/>
      <c r="BT3869" s="331"/>
      <c r="BU3869" s="920"/>
      <c r="BV3869" s="903"/>
      <c r="BW3869" s="908"/>
      <c r="BX3869" s="908"/>
      <c r="BY3869" s="331"/>
      <c r="BZ3869" s="331"/>
      <c r="CA3869" s="462"/>
      <c r="CB3869" s="319"/>
      <c r="CC3869" s="319"/>
      <c r="CD3869" s="319"/>
      <c r="CE3869" s="319"/>
      <c r="CF3869" s="319"/>
      <c r="CG3869" s="319"/>
      <c r="CH3869" s="318"/>
      <c r="CI3869" s="319"/>
      <c r="CJ3869" s="319"/>
      <c r="CK3869" s="342"/>
      <c r="CL3869" s="333"/>
      <c r="CM3869" s="1079"/>
      <c r="CN3869" s="1005"/>
      <c r="CO3869" s="1005"/>
      <c r="CP3869" s="1005"/>
    </row>
    <row r="3870">
      <c r="A3870" s="1257"/>
      <c r="B3870" s="1113"/>
      <c r="C3870" s="1107"/>
      <c r="D3870" s="103"/>
      <c r="E3870" s="1137"/>
      <c r="F3870" s="112"/>
      <c r="G3870" s="1110"/>
      <c r="H3870" s="1138"/>
      <c r="I3870" s="1138"/>
      <c r="J3870" s="1139"/>
      <c r="K3870" s="1111"/>
      <c r="L3870" s="1112"/>
      <c r="M3870" s="1113"/>
      <c r="N3870" s="110"/>
      <c r="O3870" s="1140"/>
      <c r="P3870" s="1115"/>
      <c r="Q3870" s="1116"/>
      <c r="R3870" s="1141"/>
      <c r="S3870" s="1113"/>
      <c r="T3870" s="1143"/>
      <c r="U3870" s="1108"/>
      <c r="V3870" s="1108"/>
      <c r="W3870" s="1108"/>
      <c r="X3870" s="1108"/>
      <c r="Y3870" s="1108"/>
      <c r="Z3870" s="1114"/>
      <c r="AA3870" s="1114"/>
      <c r="AB3870" s="1114"/>
      <c r="AC3870" s="1117"/>
      <c r="AD3870" s="1115"/>
      <c r="AE3870" s="1115"/>
      <c r="AF3870" s="1115"/>
      <c r="AG3870" s="1115"/>
      <c r="AH3870" s="1115"/>
      <c r="AI3870" s="1115"/>
      <c r="AJ3870" s="1117"/>
      <c r="AK3870" s="1118"/>
      <c r="AL3870" s="1115"/>
      <c r="AM3870" s="1115"/>
      <c r="AN3870" s="1115"/>
      <c r="AO3870" s="1115"/>
      <c r="AP3870" s="1115"/>
      <c r="AQ3870" s="1115"/>
      <c r="AR3870" s="1115"/>
      <c r="AS3870" s="1117"/>
      <c r="AT3870" s="1075"/>
      <c r="AU3870" s="1193"/>
      <c r="AV3870" s="330"/>
      <c r="AW3870" s="331"/>
      <c r="AX3870" s="331"/>
      <c r="AY3870" s="331"/>
      <c r="AZ3870" s="331"/>
      <c r="BA3870" s="331"/>
      <c r="BB3870" s="331"/>
      <c r="BC3870" s="331"/>
      <c r="BD3870" s="331"/>
      <c r="BE3870" s="333"/>
      <c r="BF3870" s="330"/>
      <c r="BG3870" s="333"/>
      <c r="BH3870" s="1119"/>
      <c r="BI3870" s="319"/>
      <c r="BJ3870" s="319"/>
      <c r="BK3870" s="319"/>
      <c r="BL3870" s="319"/>
      <c r="BM3870" s="319"/>
      <c r="BN3870" s="319"/>
      <c r="BO3870" s="319"/>
      <c r="BP3870" s="953"/>
      <c r="BQ3870" s="319"/>
      <c r="BR3870" s="319"/>
      <c r="BS3870" s="330"/>
      <c r="BT3870" s="331"/>
      <c r="BU3870" s="920"/>
      <c r="BV3870" s="903"/>
      <c r="BW3870" s="908"/>
      <c r="BX3870" s="908"/>
      <c r="BY3870" s="331"/>
      <c r="BZ3870" s="331"/>
      <c r="CA3870" s="462"/>
      <c r="CB3870" s="319"/>
      <c r="CC3870" s="319"/>
      <c r="CD3870" s="319"/>
      <c r="CE3870" s="319"/>
      <c r="CF3870" s="319"/>
      <c r="CG3870" s="319"/>
      <c r="CH3870" s="318"/>
      <c r="CI3870" s="319"/>
      <c r="CJ3870" s="319"/>
      <c r="CK3870" s="342"/>
      <c r="CL3870" s="333"/>
      <c r="CM3870" s="1079"/>
      <c r="CN3870" s="1005"/>
      <c r="CO3870" s="1005"/>
      <c r="CP3870" s="1005"/>
    </row>
    <row r="3871">
      <c r="A3871" s="1257"/>
      <c r="B3871" s="1113"/>
      <c r="C3871" s="1107"/>
      <c r="D3871" s="103"/>
      <c r="E3871" s="1137"/>
      <c r="F3871" s="112"/>
      <c r="G3871" s="1110"/>
      <c r="H3871" s="1138"/>
      <c r="I3871" s="1138"/>
      <c r="J3871" s="1139"/>
      <c r="K3871" s="1111"/>
      <c r="L3871" s="1112"/>
      <c r="M3871" s="1113"/>
      <c r="N3871" s="110"/>
      <c r="O3871" s="1140"/>
      <c r="P3871" s="1115"/>
      <c r="Q3871" s="1116"/>
      <c r="R3871" s="1141"/>
      <c r="S3871" s="1113"/>
      <c r="T3871" s="1143"/>
      <c r="U3871" s="1108"/>
      <c r="V3871" s="1108"/>
      <c r="W3871" s="1108"/>
      <c r="X3871" s="1108"/>
      <c r="Y3871" s="1108"/>
      <c r="Z3871" s="1114"/>
      <c r="AA3871" s="1114"/>
      <c r="AB3871" s="1114"/>
      <c r="AC3871" s="1117"/>
      <c r="AD3871" s="1115"/>
      <c r="AE3871" s="1115"/>
      <c r="AF3871" s="1115"/>
      <c r="AG3871" s="1115"/>
      <c r="AH3871" s="1115"/>
      <c r="AI3871" s="1115"/>
      <c r="AJ3871" s="1117"/>
      <c r="AK3871" s="1118"/>
      <c r="AL3871" s="1115"/>
      <c r="AM3871" s="1115"/>
      <c r="AN3871" s="1115"/>
      <c r="AO3871" s="1115"/>
      <c r="AP3871" s="1115"/>
      <c r="AQ3871" s="1115"/>
      <c r="AR3871" s="1115"/>
      <c r="AS3871" s="1117"/>
      <c r="AT3871" s="1075"/>
      <c r="AU3871" s="1193"/>
      <c r="AV3871" s="330"/>
      <c r="AW3871" s="331"/>
      <c r="AX3871" s="331"/>
      <c r="AY3871" s="331"/>
      <c r="AZ3871" s="331"/>
      <c r="BA3871" s="331"/>
      <c r="BB3871" s="331"/>
      <c r="BC3871" s="331"/>
      <c r="BD3871" s="331"/>
      <c r="BE3871" s="333"/>
      <c r="BF3871" s="330"/>
      <c r="BG3871" s="333"/>
      <c r="BH3871" s="1119"/>
      <c r="BI3871" s="319"/>
      <c r="BJ3871" s="319"/>
      <c r="BK3871" s="319"/>
      <c r="BL3871" s="319"/>
      <c r="BM3871" s="319"/>
      <c r="BN3871" s="319"/>
      <c r="BO3871" s="319"/>
      <c r="BP3871" s="953"/>
      <c r="BQ3871" s="319"/>
      <c r="BR3871" s="319"/>
      <c r="BS3871" s="330"/>
      <c r="BT3871" s="331"/>
      <c r="BU3871" s="920"/>
      <c r="BV3871" s="903"/>
      <c r="BW3871" s="908"/>
      <c r="BX3871" s="908"/>
      <c r="BY3871" s="331"/>
      <c r="BZ3871" s="331"/>
      <c r="CA3871" s="462"/>
      <c r="CB3871" s="319"/>
      <c r="CC3871" s="319"/>
      <c r="CD3871" s="319"/>
      <c r="CE3871" s="319"/>
      <c r="CF3871" s="319"/>
      <c r="CG3871" s="319"/>
      <c r="CH3871" s="318"/>
      <c r="CI3871" s="319"/>
      <c r="CJ3871" s="319"/>
      <c r="CK3871" s="342"/>
      <c r="CL3871" s="333"/>
      <c r="CM3871" s="1079"/>
      <c r="CN3871" s="1005"/>
      <c r="CO3871" s="1005"/>
      <c r="CP3871" s="1005"/>
    </row>
    <row r="3872">
      <c r="A3872" s="1257"/>
      <c r="B3872" s="1113"/>
      <c r="C3872" s="1107"/>
      <c r="D3872" s="103"/>
      <c r="E3872" s="1137"/>
      <c r="F3872" s="112"/>
      <c r="G3872" s="1110"/>
      <c r="H3872" s="1138"/>
      <c r="I3872" s="1138"/>
      <c r="J3872" s="1139"/>
      <c r="K3872" s="1111"/>
      <c r="L3872" s="1112"/>
      <c r="M3872" s="1113"/>
      <c r="N3872" s="110"/>
      <c r="O3872" s="1140"/>
      <c r="P3872" s="1115"/>
      <c r="Q3872" s="1116"/>
      <c r="R3872" s="1141"/>
      <c r="S3872" s="1113"/>
      <c r="T3872" s="1143"/>
      <c r="U3872" s="1108"/>
      <c r="V3872" s="1108"/>
      <c r="W3872" s="1108"/>
      <c r="X3872" s="1108"/>
      <c r="Y3872" s="1108"/>
      <c r="Z3872" s="1114"/>
      <c r="AA3872" s="1114"/>
      <c r="AB3872" s="1114"/>
      <c r="AC3872" s="1117"/>
      <c r="AD3872" s="1115"/>
      <c r="AE3872" s="1115"/>
      <c r="AF3872" s="1115"/>
      <c r="AG3872" s="1115"/>
      <c r="AH3872" s="1115"/>
      <c r="AI3872" s="1115"/>
      <c r="AJ3872" s="1117"/>
      <c r="AK3872" s="1118"/>
      <c r="AL3872" s="1115"/>
      <c r="AM3872" s="1115"/>
      <c r="AN3872" s="1115"/>
      <c r="AO3872" s="1115"/>
      <c r="AP3872" s="1115"/>
      <c r="AQ3872" s="1115"/>
      <c r="AR3872" s="1115"/>
      <c r="AS3872" s="1117"/>
      <c r="AT3872" s="1075"/>
      <c r="AU3872" s="1193"/>
      <c r="AV3872" s="330"/>
      <c r="AW3872" s="331"/>
      <c r="AX3872" s="331"/>
      <c r="AY3872" s="331"/>
      <c r="AZ3872" s="331"/>
      <c r="BA3872" s="331"/>
      <c r="BB3872" s="331"/>
      <c r="BC3872" s="331"/>
      <c r="BD3872" s="331"/>
      <c r="BE3872" s="333"/>
      <c r="BF3872" s="330"/>
      <c r="BG3872" s="333"/>
      <c r="BH3872" s="1119"/>
      <c r="BI3872" s="319"/>
      <c r="BJ3872" s="319"/>
      <c r="BK3872" s="319"/>
      <c r="BL3872" s="319"/>
      <c r="BM3872" s="319"/>
      <c r="BN3872" s="319"/>
      <c r="BO3872" s="319"/>
      <c r="BP3872" s="953"/>
      <c r="BQ3872" s="319"/>
      <c r="BR3872" s="319"/>
      <c r="BS3872" s="330"/>
      <c r="BT3872" s="331"/>
      <c r="BU3872" s="920"/>
      <c r="BV3872" s="903"/>
      <c r="BW3872" s="908"/>
      <c r="BX3872" s="908"/>
      <c r="BY3872" s="331"/>
      <c r="BZ3872" s="331"/>
      <c r="CA3872" s="462"/>
      <c r="CB3872" s="319"/>
      <c r="CC3872" s="319"/>
      <c r="CD3872" s="319"/>
      <c r="CE3872" s="319"/>
      <c r="CF3872" s="319"/>
      <c r="CG3872" s="319"/>
      <c r="CH3872" s="318"/>
      <c r="CI3872" s="319"/>
      <c r="CJ3872" s="319"/>
      <c r="CK3872" s="342"/>
      <c r="CL3872" s="333"/>
      <c r="CM3872" s="1079"/>
      <c r="CN3872" s="1005"/>
      <c r="CO3872" s="1005"/>
      <c r="CP3872" s="1005"/>
    </row>
    <row r="3873">
      <c r="A3873" s="1257"/>
      <c r="B3873" s="1113"/>
      <c r="C3873" s="1107"/>
      <c r="D3873" s="103"/>
      <c r="E3873" s="1137"/>
      <c r="F3873" s="112"/>
      <c r="G3873" s="1110"/>
      <c r="H3873" s="1138"/>
      <c r="I3873" s="1138"/>
      <c r="J3873" s="1139"/>
      <c r="K3873" s="1111"/>
      <c r="L3873" s="1112"/>
      <c r="M3873" s="1113"/>
      <c r="N3873" s="110"/>
      <c r="O3873" s="1140"/>
      <c r="P3873" s="1115"/>
      <c r="Q3873" s="1116"/>
      <c r="R3873" s="1141"/>
      <c r="S3873" s="1113"/>
      <c r="T3873" s="1143"/>
      <c r="U3873" s="1108"/>
      <c r="V3873" s="1108"/>
      <c r="W3873" s="1108"/>
      <c r="X3873" s="1108"/>
      <c r="Y3873" s="1108"/>
      <c r="Z3873" s="1114"/>
      <c r="AA3873" s="1114"/>
      <c r="AB3873" s="1114"/>
      <c r="AC3873" s="1117"/>
      <c r="AD3873" s="1115"/>
      <c r="AE3873" s="1115"/>
      <c r="AF3873" s="1115"/>
      <c r="AG3873" s="1115"/>
      <c r="AH3873" s="1115"/>
      <c r="AI3873" s="1115"/>
      <c r="AJ3873" s="1117"/>
      <c r="AK3873" s="1118"/>
      <c r="AL3873" s="1115"/>
      <c r="AM3873" s="1115"/>
      <c r="AN3873" s="1115"/>
      <c r="AO3873" s="1115"/>
      <c r="AP3873" s="1115"/>
      <c r="AQ3873" s="1115"/>
      <c r="AR3873" s="1115"/>
      <c r="AS3873" s="1117"/>
      <c r="AT3873" s="1075"/>
      <c r="AU3873" s="1193"/>
      <c r="AV3873" s="330"/>
      <c r="AW3873" s="331"/>
      <c r="AX3873" s="331"/>
      <c r="AY3873" s="331"/>
      <c r="AZ3873" s="331"/>
      <c r="BA3873" s="331"/>
      <c r="BB3873" s="331"/>
      <c r="BC3873" s="331"/>
      <c r="BD3873" s="331"/>
      <c r="BE3873" s="333"/>
      <c r="BF3873" s="330"/>
      <c r="BG3873" s="333"/>
      <c r="BH3873" s="1119"/>
      <c r="BI3873" s="319"/>
      <c r="BJ3873" s="319"/>
      <c r="BK3873" s="319"/>
      <c r="BL3873" s="319"/>
      <c r="BM3873" s="319"/>
      <c r="BN3873" s="319"/>
      <c r="BO3873" s="319"/>
      <c r="BP3873" s="953"/>
      <c r="BQ3873" s="319"/>
      <c r="BR3873" s="319"/>
      <c r="BS3873" s="330"/>
      <c r="BT3873" s="331"/>
      <c r="BU3873" s="920"/>
      <c r="BV3873" s="903"/>
      <c r="BW3873" s="908"/>
      <c r="BX3873" s="908"/>
      <c r="BY3873" s="331"/>
      <c r="BZ3873" s="331"/>
      <c r="CA3873" s="462"/>
      <c r="CB3873" s="319"/>
      <c r="CC3873" s="319"/>
      <c r="CD3873" s="319"/>
      <c r="CE3873" s="319"/>
      <c r="CF3873" s="319"/>
      <c r="CG3873" s="319"/>
      <c r="CH3873" s="318"/>
      <c r="CI3873" s="319"/>
      <c r="CJ3873" s="319"/>
      <c r="CK3873" s="342"/>
      <c r="CL3873" s="333"/>
      <c r="CM3873" s="1079"/>
      <c r="CN3873" s="1005"/>
      <c r="CO3873" s="1005"/>
      <c r="CP3873" s="1005"/>
    </row>
    <row r="3874">
      <c r="A3874" s="1257"/>
      <c r="B3874" s="1113"/>
      <c r="C3874" s="1107"/>
      <c r="D3874" s="103"/>
      <c r="E3874" s="1137"/>
      <c r="F3874" s="112"/>
      <c r="G3874" s="1110"/>
      <c r="H3874" s="1138"/>
      <c r="I3874" s="1138"/>
      <c r="J3874" s="1139"/>
      <c r="K3874" s="1111"/>
      <c r="L3874" s="1112"/>
      <c r="M3874" s="1113"/>
      <c r="N3874" s="110"/>
      <c r="O3874" s="1140"/>
      <c r="P3874" s="1115"/>
      <c r="Q3874" s="1116"/>
      <c r="R3874" s="1141"/>
      <c r="S3874" s="1113"/>
      <c r="T3874" s="1143"/>
      <c r="U3874" s="1108"/>
      <c r="V3874" s="1108"/>
      <c r="W3874" s="1108"/>
      <c r="X3874" s="1108"/>
      <c r="Y3874" s="1108"/>
      <c r="Z3874" s="1114"/>
      <c r="AA3874" s="1114"/>
      <c r="AB3874" s="1114"/>
      <c r="AC3874" s="1117"/>
      <c r="AD3874" s="1115"/>
      <c r="AE3874" s="1115"/>
      <c r="AF3874" s="1115"/>
      <c r="AG3874" s="1115"/>
      <c r="AH3874" s="1115"/>
      <c r="AI3874" s="1115"/>
      <c r="AJ3874" s="1117"/>
      <c r="AK3874" s="1118"/>
      <c r="AL3874" s="1115"/>
      <c r="AM3874" s="1115"/>
      <c r="AN3874" s="1115"/>
      <c r="AO3874" s="1115"/>
      <c r="AP3874" s="1115"/>
      <c r="AQ3874" s="1115"/>
      <c r="AR3874" s="1115"/>
      <c r="AS3874" s="1117"/>
      <c r="AT3874" s="1075"/>
      <c r="AU3874" s="1193"/>
      <c r="AV3874" s="330"/>
      <c r="AW3874" s="331"/>
      <c r="AX3874" s="331"/>
      <c r="AY3874" s="331"/>
      <c r="AZ3874" s="331"/>
      <c r="BA3874" s="331"/>
      <c r="BB3874" s="331"/>
      <c r="BC3874" s="331"/>
      <c r="BD3874" s="331"/>
      <c r="BE3874" s="333"/>
      <c r="BF3874" s="330"/>
      <c r="BG3874" s="333"/>
      <c r="BH3874" s="1119"/>
      <c r="BI3874" s="319"/>
      <c r="BJ3874" s="319"/>
      <c r="BK3874" s="319"/>
      <c r="BL3874" s="319"/>
      <c r="BM3874" s="319"/>
      <c r="BN3874" s="319"/>
      <c r="BO3874" s="319"/>
      <c r="BP3874" s="953"/>
      <c r="BQ3874" s="319"/>
      <c r="BR3874" s="319"/>
      <c r="BS3874" s="330"/>
      <c r="BT3874" s="331"/>
      <c r="BU3874" s="920"/>
      <c r="BV3874" s="903"/>
      <c r="BW3874" s="908"/>
      <c r="BX3874" s="908"/>
      <c r="BY3874" s="331"/>
      <c r="BZ3874" s="331"/>
      <c r="CA3874" s="462"/>
      <c r="CB3874" s="319"/>
      <c r="CC3874" s="319"/>
      <c r="CD3874" s="319"/>
      <c r="CE3874" s="319"/>
      <c r="CF3874" s="319"/>
      <c r="CG3874" s="319"/>
      <c r="CH3874" s="318"/>
      <c r="CI3874" s="319"/>
      <c r="CJ3874" s="319"/>
      <c r="CK3874" s="342"/>
      <c r="CL3874" s="333"/>
      <c r="CM3874" s="1079"/>
      <c r="CN3874" s="1005"/>
      <c r="CO3874" s="1005"/>
      <c r="CP3874" s="1005"/>
    </row>
    <row r="3875">
      <c r="A3875" s="1257"/>
      <c r="B3875" s="1113"/>
      <c r="C3875" s="1107"/>
      <c r="D3875" s="103"/>
      <c r="E3875" s="1137"/>
      <c r="F3875" s="112"/>
      <c r="G3875" s="1110"/>
      <c r="H3875" s="1138"/>
      <c r="I3875" s="1138"/>
      <c r="J3875" s="1139"/>
      <c r="K3875" s="1111"/>
      <c r="L3875" s="1112"/>
      <c r="M3875" s="1113"/>
      <c r="N3875" s="110"/>
      <c r="O3875" s="1140"/>
      <c r="P3875" s="1115"/>
      <c r="Q3875" s="1116"/>
      <c r="R3875" s="1141"/>
      <c r="S3875" s="1113"/>
      <c r="T3875" s="1143"/>
      <c r="U3875" s="1108"/>
      <c r="V3875" s="1108"/>
      <c r="W3875" s="1108"/>
      <c r="X3875" s="1108"/>
      <c r="Y3875" s="1108"/>
      <c r="Z3875" s="1114"/>
      <c r="AA3875" s="1114"/>
      <c r="AB3875" s="1114"/>
      <c r="AC3875" s="1117"/>
      <c r="AD3875" s="1115"/>
      <c r="AE3875" s="1115"/>
      <c r="AF3875" s="1115"/>
      <c r="AG3875" s="1115"/>
      <c r="AH3875" s="1115"/>
      <c r="AI3875" s="1115"/>
      <c r="AJ3875" s="1117"/>
      <c r="AK3875" s="1118"/>
      <c r="AL3875" s="1115"/>
      <c r="AM3875" s="1115"/>
      <c r="AN3875" s="1115"/>
      <c r="AO3875" s="1115"/>
      <c r="AP3875" s="1115"/>
      <c r="AQ3875" s="1115"/>
      <c r="AR3875" s="1115"/>
      <c r="AS3875" s="1117"/>
      <c r="AT3875" s="1075"/>
      <c r="AU3875" s="1193"/>
      <c r="AV3875" s="330"/>
      <c r="AW3875" s="331"/>
      <c r="AX3875" s="331"/>
      <c r="AY3875" s="331"/>
      <c r="AZ3875" s="331"/>
      <c r="BA3875" s="331"/>
      <c r="BB3875" s="331"/>
      <c r="BC3875" s="331"/>
      <c r="BD3875" s="331"/>
      <c r="BE3875" s="333"/>
      <c r="BF3875" s="330"/>
      <c r="BG3875" s="333"/>
      <c r="BH3875" s="1119"/>
      <c r="BI3875" s="319"/>
      <c r="BJ3875" s="319"/>
      <c r="BK3875" s="319"/>
      <c r="BL3875" s="319"/>
      <c r="BM3875" s="319"/>
      <c r="BN3875" s="319"/>
      <c r="BO3875" s="319"/>
      <c r="BP3875" s="953"/>
      <c r="BQ3875" s="319"/>
      <c r="BR3875" s="319"/>
      <c r="BS3875" s="330"/>
      <c r="BT3875" s="331"/>
      <c r="BU3875" s="920"/>
      <c r="BV3875" s="903"/>
      <c r="BW3875" s="908"/>
      <c r="BX3875" s="908"/>
      <c r="BY3875" s="331"/>
      <c r="BZ3875" s="331"/>
      <c r="CA3875" s="462"/>
      <c r="CB3875" s="319"/>
      <c r="CC3875" s="319"/>
      <c r="CD3875" s="319"/>
      <c r="CE3875" s="319"/>
      <c r="CF3875" s="319"/>
      <c r="CG3875" s="319"/>
      <c r="CH3875" s="318"/>
      <c r="CI3875" s="319"/>
      <c r="CJ3875" s="319"/>
      <c r="CK3875" s="342"/>
      <c r="CL3875" s="333"/>
      <c r="CM3875" s="1079"/>
      <c r="CN3875" s="1005"/>
      <c r="CO3875" s="1005"/>
      <c r="CP3875" s="1005"/>
    </row>
    <row r="3876">
      <c r="A3876" s="1257"/>
      <c r="B3876" s="1113"/>
      <c r="C3876" s="1107"/>
      <c r="D3876" s="103"/>
      <c r="E3876" s="1137"/>
      <c r="F3876" s="112"/>
      <c r="G3876" s="1110"/>
      <c r="H3876" s="1138"/>
      <c r="I3876" s="1138"/>
      <c r="J3876" s="1139"/>
      <c r="K3876" s="1111"/>
      <c r="L3876" s="1112"/>
      <c r="M3876" s="1113"/>
      <c r="N3876" s="110"/>
      <c r="O3876" s="1140"/>
      <c r="P3876" s="1115"/>
      <c r="Q3876" s="1116"/>
      <c r="R3876" s="1141"/>
      <c r="S3876" s="1113"/>
      <c r="T3876" s="1143"/>
      <c r="U3876" s="1108"/>
      <c r="V3876" s="1108"/>
      <c r="W3876" s="1108"/>
      <c r="X3876" s="1108"/>
      <c r="Y3876" s="1108"/>
      <c r="Z3876" s="1114"/>
      <c r="AA3876" s="1114"/>
      <c r="AB3876" s="1114"/>
      <c r="AC3876" s="1117"/>
      <c r="AD3876" s="1115"/>
      <c r="AE3876" s="1115"/>
      <c r="AF3876" s="1115"/>
      <c r="AG3876" s="1115"/>
      <c r="AH3876" s="1115"/>
      <c r="AI3876" s="1115"/>
      <c r="AJ3876" s="1117"/>
      <c r="AK3876" s="1118"/>
      <c r="AL3876" s="1115"/>
      <c r="AM3876" s="1115"/>
      <c r="AN3876" s="1115"/>
      <c r="AO3876" s="1115"/>
      <c r="AP3876" s="1115"/>
      <c r="AQ3876" s="1115"/>
      <c r="AR3876" s="1115"/>
      <c r="AS3876" s="1117"/>
      <c r="AT3876" s="1075"/>
      <c r="AU3876" s="1193"/>
      <c r="AV3876" s="330"/>
      <c r="AW3876" s="331"/>
      <c r="AX3876" s="331"/>
      <c r="AY3876" s="331"/>
      <c r="AZ3876" s="331"/>
      <c r="BA3876" s="331"/>
      <c r="BB3876" s="331"/>
      <c r="BC3876" s="331"/>
      <c r="BD3876" s="331"/>
      <c r="BE3876" s="333"/>
      <c r="BF3876" s="330"/>
      <c r="BG3876" s="333"/>
      <c r="BH3876" s="1119"/>
      <c r="BI3876" s="319"/>
      <c r="BJ3876" s="319"/>
      <c r="BK3876" s="319"/>
      <c r="BL3876" s="319"/>
      <c r="BM3876" s="319"/>
      <c r="BN3876" s="319"/>
      <c r="BO3876" s="319"/>
      <c r="BP3876" s="953"/>
      <c r="BQ3876" s="319"/>
      <c r="BR3876" s="319"/>
      <c r="BS3876" s="330"/>
      <c r="BT3876" s="331"/>
      <c r="BU3876" s="920"/>
      <c r="BV3876" s="903"/>
      <c r="BW3876" s="908"/>
      <c r="BX3876" s="908"/>
      <c r="BY3876" s="331"/>
      <c r="BZ3876" s="331"/>
      <c r="CA3876" s="462"/>
      <c r="CB3876" s="319"/>
      <c r="CC3876" s="319"/>
      <c r="CD3876" s="319"/>
      <c r="CE3876" s="319"/>
      <c r="CF3876" s="319"/>
      <c r="CG3876" s="319"/>
      <c r="CH3876" s="318"/>
      <c r="CI3876" s="319"/>
      <c r="CJ3876" s="319"/>
      <c r="CK3876" s="342"/>
      <c r="CL3876" s="333"/>
      <c r="CM3876" s="1079"/>
      <c r="CN3876" s="1005"/>
      <c r="CO3876" s="1005"/>
      <c r="CP3876" s="1005"/>
    </row>
    <row r="3877">
      <c r="A3877" s="1257"/>
      <c r="B3877" s="1113"/>
      <c r="C3877" s="1107"/>
      <c r="D3877" s="103"/>
      <c r="E3877" s="1137"/>
      <c r="F3877" s="112"/>
      <c r="G3877" s="1110"/>
      <c r="H3877" s="1138"/>
      <c r="I3877" s="1138"/>
      <c r="J3877" s="1139"/>
      <c r="K3877" s="1111"/>
      <c r="L3877" s="1112"/>
      <c r="M3877" s="1113"/>
      <c r="N3877" s="110"/>
      <c r="O3877" s="1140"/>
      <c r="P3877" s="1115"/>
      <c r="Q3877" s="1116"/>
      <c r="R3877" s="1141"/>
      <c r="S3877" s="1113"/>
      <c r="T3877" s="1143"/>
      <c r="U3877" s="1108"/>
      <c r="V3877" s="1108"/>
      <c r="W3877" s="1108"/>
      <c r="X3877" s="1108"/>
      <c r="Y3877" s="1108"/>
      <c r="Z3877" s="1114"/>
      <c r="AA3877" s="1114"/>
      <c r="AB3877" s="1114"/>
      <c r="AC3877" s="1117"/>
      <c r="AD3877" s="1115"/>
      <c r="AE3877" s="1115"/>
      <c r="AF3877" s="1115"/>
      <c r="AG3877" s="1115"/>
      <c r="AH3877" s="1115"/>
      <c r="AI3877" s="1115"/>
      <c r="AJ3877" s="1117"/>
      <c r="AK3877" s="1118"/>
      <c r="AL3877" s="1115"/>
      <c r="AM3877" s="1115"/>
      <c r="AN3877" s="1115"/>
      <c r="AO3877" s="1115"/>
      <c r="AP3877" s="1115"/>
      <c r="AQ3877" s="1115"/>
      <c r="AR3877" s="1115"/>
      <c r="AS3877" s="1117"/>
      <c r="AT3877" s="1075"/>
      <c r="AU3877" s="1193"/>
      <c r="AV3877" s="330"/>
      <c r="AW3877" s="331"/>
      <c r="AX3877" s="331"/>
      <c r="AY3877" s="331"/>
      <c r="AZ3877" s="331"/>
      <c r="BA3877" s="331"/>
      <c r="BB3877" s="331"/>
      <c r="BC3877" s="331"/>
      <c r="BD3877" s="331"/>
      <c r="BE3877" s="333"/>
      <c r="BF3877" s="330"/>
      <c r="BG3877" s="333"/>
      <c r="BH3877" s="1119"/>
      <c r="BI3877" s="319"/>
      <c r="BJ3877" s="319"/>
      <c r="BK3877" s="319"/>
      <c r="BL3877" s="319"/>
      <c r="BM3877" s="319"/>
      <c r="BN3877" s="319"/>
      <c r="BO3877" s="319"/>
      <c r="BP3877" s="953"/>
      <c r="BQ3877" s="319"/>
      <c r="BR3877" s="319"/>
      <c r="BS3877" s="330"/>
      <c r="BT3877" s="331"/>
      <c r="BU3877" s="920"/>
      <c r="BV3877" s="903"/>
      <c r="BW3877" s="908"/>
      <c r="BX3877" s="908"/>
      <c r="BY3877" s="331"/>
      <c r="BZ3877" s="331"/>
      <c r="CA3877" s="462"/>
      <c r="CB3877" s="319"/>
      <c r="CC3877" s="319"/>
      <c r="CD3877" s="319"/>
      <c r="CE3877" s="319"/>
      <c r="CF3877" s="319"/>
      <c r="CG3877" s="319"/>
      <c r="CH3877" s="318"/>
      <c r="CI3877" s="319"/>
      <c r="CJ3877" s="319"/>
      <c r="CK3877" s="342"/>
      <c r="CL3877" s="333"/>
      <c r="CM3877" s="1079"/>
      <c r="CN3877" s="1005"/>
      <c r="CO3877" s="1005"/>
      <c r="CP3877" s="1005"/>
    </row>
    <row r="3878">
      <c r="A3878" s="1257"/>
      <c r="B3878" s="1113"/>
      <c r="C3878" s="1107"/>
      <c r="D3878" s="103"/>
      <c r="E3878" s="1137"/>
      <c r="F3878" s="112"/>
      <c r="G3878" s="1110"/>
      <c r="H3878" s="1138"/>
      <c r="I3878" s="1138"/>
      <c r="J3878" s="1139"/>
      <c r="K3878" s="1111"/>
      <c r="L3878" s="1112"/>
      <c r="M3878" s="1113"/>
      <c r="N3878" s="110"/>
      <c r="O3878" s="1140"/>
      <c r="P3878" s="1115"/>
      <c r="Q3878" s="1116"/>
      <c r="R3878" s="1141"/>
      <c r="S3878" s="1113"/>
      <c r="T3878" s="1143"/>
      <c r="U3878" s="1108"/>
      <c r="V3878" s="1108"/>
      <c r="W3878" s="1108"/>
      <c r="X3878" s="1108"/>
      <c r="Y3878" s="1108"/>
      <c r="Z3878" s="1114"/>
      <c r="AA3878" s="1114"/>
      <c r="AB3878" s="1114"/>
      <c r="AC3878" s="1117"/>
      <c r="AD3878" s="1115"/>
      <c r="AE3878" s="1115"/>
      <c r="AF3878" s="1115"/>
      <c r="AG3878" s="1115"/>
      <c r="AH3878" s="1115"/>
      <c r="AI3878" s="1115"/>
      <c r="AJ3878" s="1117"/>
      <c r="AK3878" s="1118"/>
      <c r="AL3878" s="1115"/>
      <c r="AM3878" s="1115"/>
      <c r="AN3878" s="1115"/>
      <c r="AO3878" s="1115"/>
      <c r="AP3878" s="1115"/>
      <c r="AQ3878" s="1115"/>
      <c r="AR3878" s="1115"/>
      <c r="AS3878" s="1117"/>
      <c r="AT3878" s="1075"/>
      <c r="AU3878" s="1193"/>
      <c r="AV3878" s="330"/>
      <c r="AW3878" s="331"/>
      <c r="AX3878" s="331"/>
      <c r="AY3878" s="331"/>
      <c r="AZ3878" s="331"/>
      <c r="BA3878" s="331"/>
      <c r="BB3878" s="331"/>
      <c r="BC3878" s="331"/>
      <c r="BD3878" s="331"/>
      <c r="BE3878" s="333"/>
      <c r="BF3878" s="330"/>
      <c r="BG3878" s="333"/>
      <c r="BH3878" s="1119"/>
      <c r="BI3878" s="319"/>
      <c r="BJ3878" s="319"/>
      <c r="BK3878" s="319"/>
      <c r="BL3878" s="319"/>
      <c r="BM3878" s="319"/>
      <c r="BN3878" s="319"/>
      <c r="BO3878" s="319"/>
      <c r="BP3878" s="953"/>
      <c r="BQ3878" s="319"/>
      <c r="BR3878" s="319"/>
      <c r="BS3878" s="330"/>
      <c r="BT3878" s="331"/>
      <c r="BU3878" s="920"/>
      <c r="BV3878" s="903"/>
      <c r="BW3878" s="908"/>
      <c r="BX3878" s="908"/>
      <c r="BY3878" s="331"/>
      <c r="BZ3878" s="331"/>
      <c r="CA3878" s="462"/>
      <c r="CB3878" s="319"/>
      <c r="CC3878" s="319"/>
      <c r="CD3878" s="319"/>
      <c r="CE3878" s="319"/>
      <c r="CF3878" s="319"/>
      <c r="CG3878" s="319"/>
      <c r="CH3878" s="318"/>
      <c r="CI3878" s="319"/>
      <c r="CJ3878" s="319"/>
      <c r="CK3878" s="342"/>
      <c r="CL3878" s="333"/>
      <c r="CM3878" s="1079"/>
      <c r="CN3878" s="1005"/>
      <c r="CO3878" s="1005"/>
      <c r="CP3878" s="1005"/>
    </row>
    <row r="3879">
      <c r="A3879" s="1257"/>
      <c r="B3879" s="1113"/>
      <c r="C3879" s="1107"/>
      <c r="D3879" s="103"/>
      <c r="E3879" s="1137"/>
      <c r="F3879" s="112"/>
      <c r="G3879" s="1110"/>
      <c r="H3879" s="1138"/>
      <c r="I3879" s="1138"/>
      <c r="J3879" s="1139"/>
      <c r="K3879" s="1111"/>
      <c r="L3879" s="1112"/>
      <c r="M3879" s="1113"/>
      <c r="N3879" s="110"/>
      <c r="O3879" s="1140"/>
      <c r="P3879" s="1115"/>
      <c r="Q3879" s="1116"/>
      <c r="R3879" s="1141"/>
      <c r="S3879" s="1113"/>
      <c r="T3879" s="1143"/>
      <c r="U3879" s="1108"/>
      <c r="V3879" s="1108"/>
      <c r="W3879" s="1108"/>
      <c r="X3879" s="1108"/>
      <c r="Y3879" s="1108"/>
      <c r="Z3879" s="1114"/>
      <c r="AA3879" s="1114"/>
      <c r="AB3879" s="1114"/>
      <c r="AC3879" s="1117"/>
      <c r="AD3879" s="1115"/>
      <c r="AE3879" s="1115"/>
      <c r="AF3879" s="1115"/>
      <c r="AG3879" s="1115"/>
      <c r="AH3879" s="1115"/>
      <c r="AI3879" s="1115"/>
      <c r="AJ3879" s="1117"/>
      <c r="AK3879" s="1118"/>
      <c r="AL3879" s="1115"/>
      <c r="AM3879" s="1115"/>
      <c r="AN3879" s="1115"/>
      <c r="AO3879" s="1115"/>
      <c r="AP3879" s="1115"/>
      <c r="AQ3879" s="1115"/>
      <c r="AR3879" s="1115"/>
      <c r="AS3879" s="1117"/>
      <c r="AT3879" s="1075"/>
      <c r="AU3879" s="1193"/>
      <c r="AV3879" s="330"/>
      <c r="AW3879" s="331"/>
      <c r="AX3879" s="331"/>
      <c r="AY3879" s="331"/>
      <c r="AZ3879" s="331"/>
      <c r="BA3879" s="331"/>
      <c r="BB3879" s="331"/>
      <c r="BC3879" s="331"/>
      <c r="BD3879" s="331"/>
      <c r="BE3879" s="333"/>
      <c r="BF3879" s="330"/>
      <c r="BG3879" s="333"/>
      <c r="BH3879" s="1119"/>
      <c r="BI3879" s="319"/>
      <c r="BJ3879" s="319"/>
      <c r="BK3879" s="319"/>
      <c r="BL3879" s="319"/>
      <c r="BM3879" s="319"/>
      <c r="BN3879" s="319"/>
      <c r="BO3879" s="319"/>
      <c r="BP3879" s="953"/>
      <c r="BQ3879" s="319"/>
      <c r="BR3879" s="319"/>
      <c r="BS3879" s="330"/>
      <c r="BT3879" s="331"/>
      <c r="BU3879" s="920"/>
      <c r="BV3879" s="903"/>
      <c r="BW3879" s="908"/>
      <c r="BX3879" s="908"/>
      <c r="BY3879" s="331"/>
      <c r="BZ3879" s="331"/>
      <c r="CA3879" s="462"/>
      <c r="CB3879" s="319"/>
      <c r="CC3879" s="319"/>
      <c r="CD3879" s="319"/>
      <c r="CE3879" s="319"/>
      <c r="CF3879" s="319"/>
      <c r="CG3879" s="319"/>
      <c r="CH3879" s="318"/>
      <c r="CI3879" s="319"/>
      <c r="CJ3879" s="319"/>
      <c r="CK3879" s="342"/>
      <c r="CL3879" s="333"/>
      <c r="CM3879" s="1079"/>
      <c r="CN3879" s="1005"/>
      <c r="CO3879" s="1005"/>
      <c r="CP3879" s="1005"/>
    </row>
    <row r="3880">
      <c r="A3880" s="1257"/>
      <c r="B3880" s="1113"/>
      <c r="C3880" s="1107"/>
      <c r="D3880" s="103"/>
      <c r="E3880" s="1137"/>
      <c r="F3880" s="112"/>
      <c r="G3880" s="1110"/>
      <c r="H3880" s="1138"/>
      <c r="I3880" s="1138"/>
      <c r="J3880" s="1139"/>
      <c r="K3880" s="1111"/>
      <c r="L3880" s="1112"/>
      <c r="M3880" s="1113"/>
      <c r="N3880" s="110"/>
      <c r="O3880" s="1140"/>
      <c r="P3880" s="1115"/>
      <c r="Q3880" s="1116"/>
      <c r="R3880" s="1141"/>
      <c r="S3880" s="1113"/>
      <c r="T3880" s="1143"/>
      <c r="U3880" s="1108"/>
      <c r="V3880" s="1108"/>
      <c r="W3880" s="1108"/>
      <c r="X3880" s="1108"/>
      <c r="Y3880" s="1108"/>
      <c r="Z3880" s="1114"/>
      <c r="AA3880" s="1114"/>
      <c r="AB3880" s="1114"/>
      <c r="AC3880" s="1117"/>
      <c r="AD3880" s="1115"/>
      <c r="AE3880" s="1115"/>
      <c r="AF3880" s="1115"/>
      <c r="AG3880" s="1115"/>
      <c r="AH3880" s="1115"/>
      <c r="AI3880" s="1115"/>
      <c r="AJ3880" s="1117"/>
      <c r="AK3880" s="1118"/>
      <c r="AL3880" s="1115"/>
      <c r="AM3880" s="1115"/>
      <c r="AN3880" s="1115"/>
      <c r="AO3880" s="1115"/>
      <c r="AP3880" s="1115"/>
      <c r="AQ3880" s="1115"/>
      <c r="AR3880" s="1115"/>
      <c r="AS3880" s="1117"/>
      <c r="AT3880" s="1075"/>
      <c r="AU3880" s="1193"/>
      <c r="AV3880" s="330"/>
      <c r="AW3880" s="331"/>
      <c r="AX3880" s="331"/>
      <c r="AY3880" s="331"/>
      <c r="AZ3880" s="331"/>
      <c r="BA3880" s="331"/>
      <c r="BB3880" s="331"/>
      <c r="BC3880" s="331"/>
      <c r="BD3880" s="331"/>
      <c r="BE3880" s="333"/>
      <c r="BF3880" s="330"/>
      <c r="BG3880" s="333"/>
      <c r="BH3880" s="1119"/>
      <c r="BI3880" s="319"/>
      <c r="BJ3880" s="319"/>
      <c r="BK3880" s="319"/>
      <c r="BL3880" s="319"/>
      <c r="BM3880" s="319"/>
      <c r="BN3880" s="319"/>
      <c r="BO3880" s="319"/>
      <c r="BP3880" s="953"/>
      <c r="BQ3880" s="319"/>
      <c r="BR3880" s="319"/>
      <c r="BS3880" s="330"/>
      <c r="BT3880" s="331"/>
      <c r="BU3880" s="920"/>
      <c r="BV3880" s="903"/>
      <c r="BW3880" s="908"/>
      <c r="BX3880" s="908"/>
      <c r="BY3880" s="331"/>
      <c r="BZ3880" s="331"/>
      <c r="CA3880" s="462"/>
      <c r="CB3880" s="319"/>
      <c r="CC3880" s="319"/>
      <c r="CD3880" s="319"/>
      <c r="CE3880" s="319"/>
      <c r="CF3880" s="319"/>
      <c r="CG3880" s="319"/>
      <c r="CH3880" s="318"/>
      <c r="CI3880" s="319"/>
      <c r="CJ3880" s="319"/>
      <c r="CK3880" s="342"/>
      <c r="CL3880" s="333"/>
      <c r="CM3880" s="1079"/>
      <c r="CN3880" s="1005"/>
      <c r="CO3880" s="1005"/>
      <c r="CP3880" s="1005"/>
    </row>
    <row r="3881">
      <c r="A3881" s="1257"/>
      <c r="B3881" s="1113"/>
      <c r="C3881" s="1107"/>
      <c r="D3881" s="103"/>
      <c r="E3881" s="1137"/>
      <c r="F3881" s="112"/>
      <c r="G3881" s="1110"/>
      <c r="H3881" s="1138"/>
      <c r="I3881" s="1138"/>
      <c r="J3881" s="1139"/>
      <c r="K3881" s="1111"/>
      <c r="L3881" s="1112"/>
      <c r="M3881" s="1113"/>
      <c r="N3881" s="110"/>
      <c r="O3881" s="1140"/>
      <c r="P3881" s="1115"/>
      <c r="Q3881" s="1116"/>
      <c r="R3881" s="1141"/>
      <c r="S3881" s="1113"/>
      <c r="T3881" s="1143"/>
      <c r="U3881" s="1108"/>
      <c r="V3881" s="1108"/>
      <c r="W3881" s="1108"/>
      <c r="X3881" s="1108"/>
      <c r="Y3881" s="1108"/>
      <c r="Z3881" s="1114"/>
      <c r="AA3881" s="1114"/>
      <c r="AB3881" s="1114"/>
      <c r="AC3881" s="1117"/>
      <c r="AD3881" s="1115"/>
      <c r="AE3881" s="1115"/>
      <c r="AF3881" s="1115"/>
      <c r="AG3881" s="1115"/>
      <c r="AH3881" s="1115"/>
      <c r="AI3881" s="1115"/>
      <c r="AJ3881" s="1117"/>
      <c r="AK3881" s="1118"/>
      <c r="AL3881" s="1115"/>
      <c r="AM3881" s="1115"/>
      <c r="AN3881" s="1115"/>
      <c r="AO3881" s="1115"/>
      <c r="AP3881" s="1115"/>
      <c r="AQ3881" s="1115"/>
      <c r="AR3881" s="1115"/>
      <c r="AS3881" s="1117"/>
      <c r="AT3881" s="1075"/>
      <c r="AU3881" s="1193"/>
      <c r="AV3881" s="330"/>
      <c r="AW3881" s="331"/>
      <c r="AX3881" s="331"/>
      <c r="AY3881" s="331"/>
      <c r="AZ3881" s="331"/>
      <c r="BA3881" s="331"/>
      <c r="BB3881" s="331"/>
      <c r="BC3881" s="331"/>
      <c r="BD3881" s="331"/>
      <c r="BE3881" s="333"/>
      <c r="BF3881" s="330"/>
      <c r="BG3881" s="333"/>
      <c r="BH3881" s="1119"/>
      <c r="BI3881" s="319"/>
      <c r="BJ3881" s="319"/>
      <c r="BK3881" s="319"/>
      <c r="BL3881" s="319"/>
      <c r="BM3881" s="319"/>
      <c r="BN3881" s="319"/>
      <c r="BO3881" s="319"/>
      <c r="BP3881" s="953"/>
      <c r="BQ3881" s="319"/>
      <c r="BR3881" s="319"/>
      <c r="BS3881" s="330"/>
      <c r="BT3881" s="331"/>
      <c r="BU3881" s="920"/>
      <c r="BV3881" s="903"/>
      <c r="BW3881" s="908"/>
      <c r="BX3881" s="908"/>
      <c r="BY3881" s="331"/>
      <c r="BZ3881" s="331"/>
      <c r="CA3881" s="462"/>
      <c r="CB3881" s="319"/>
      <c r="CC3881" s="319"/>
      <c r="CD3881" s="319"/>
      <c r="CE3881" s="319"/>
      <c r="CF3881" s="319"/>
      <c r="CG3881" s="319"/>
      <c r="CH3881" s="318"/>
      <c r="CI3881" s="319"/>
      <c r="CJ3881" s="319"/>
      <c r="CK3881" s="342"/>
      <c r="CL3881" s="333"/>
      <c r="CM3881" s="1079"/>
      <c r="CN3881" s="1005"/>
      <c r="CO3881" s="1005"/>
      <c r="CP3881" s="1005"/>
    </row>
    <row r="3882">
      <c r="A3882" s="1257"/>
      <c r="B3882" s="1113"/>
      <c r="C3882" s="1107"/>
      <c r="D3882" s="103"/>
      <c r="E3882" s="1137"/>
      <c r="F3882" s="112"/>
      <c r="G3882" s="1110"/>
      <c r="H3882" s="1138"/>
      <c r="I3882" s="1138"/>
      <c r="J3882" s="1139"/>
      <c r="K3882" s="1111"/>
      <c r="L3882" s="1112"/>
      <c r="M3882" s="1113"/>
      <c r="N3882" s="110"/>
      <c r="O3882" s="1140"/>
      <c r="P3882" s="1115"/>
      <c r="Q3882" s="1116"/>
      <c r="R3882" s="1141"/>
      <c r="S3882" s="1113"/>
      <c r="T3882" s="1143"/>
      <c r="U3882" s="1108"/>
      <c r="V3882" s="1108"/>
      <c r="W3882" s="1108"/>
      <c r="X3882" s="1108"/>
      <c r="Y3882" s="1108"/>
      <c r="Z3882" s="1114"/>
      <c r="AA3882" s="1114"/>
      <c r="AB3882" s="1114"/>
      <c r="AC3882" s="1117"/>
      <c r="AD3882" s="1115"/>
      <c r="AE3882" s="1115"/>
      <c r="AF3882" s="1115"/>
      <c r="AG3882" s="1115"/>
      <c r="AH3882" s="1115"/>
      <c r="AI3882" s="1115"/>
      <c r="AJ3882" s="1117"/>
      <c r="AK3882" s="1118"/>
      <c r="AL3882" s="1115"/>
      <c r="AM3882" s="1115"/>
      <c r="AN3882" s="1115"/>
      <c r="AO3882" s="1115"/>
      <c r="AP3882" s="1115"/>
      <c r="AQ3882" s="1115"/>
      <c r="AR3882" s="1115"/>
      <c r="AS3882" s="1117"/>
      <c r="AT3882" s="1075"/>
      <c r="AU3882" s="1193"/>
      <c r="AV3882" s="330"/>
      <c r="AW3882" s="331"/>
      <c r="AX3882" s="331"/>
      <c r="AY3882" s="331"/>
      <c r="AZ3882" s="331"/>
      <c r="BA3882" s="331"/>
      <c r="BB3882" s="331"/>
      <c r="BC3882" s="331"/>
      <c r="BD3882" s="331"/>
      <c r="BE3882" s="333"/>
      <c r="BF3882" s="330"/>
      <c r="BG3882" s="333"/>
      <c r="BH3882" s="1119"/>
      <c r="BI3882" s="319"/>
      <c r="BJ3882" s="319"/>
      <c r="BK3882" s="319"/>
      <c r="BL3882" s="319"/>
      <c r="BM3882" s="319"/>
      <c r="BN3882" s="319"/>
      <c r="BO3882" s="319"/>
      <c r="BP3882" s="953"/>
      <c r="BQ3882" s="319"/>
      <c r="BR3882" s="319"/>
      <c r="BS3882" s="330"/>
      <c r="BT3882" s="331"/>
      <c r="BU3882" s="920"/>
      <c r="BV3882" s="903"/>
      <c r="BW3882" s="908"/>
      <c r="BX3882" s="908"/>
      <c r="BY3882" s="331"/>
      <c r="BZ3882" s="331"/>
      <c r="CA3882" s="462"/>
      <c r="CB3882" s="319"/>
      <c r="CC3882" s="319"/>
      <c r="CD3882" s="319"/>
      <c r="CE3882" s="319"/>
      <c r="CF3882" s="319"/>
      <c r="CG3882" s="319"/>
      <c r="CH3882" s="318"/>
      <c r="CI3882" s="319"/>
      <c r="CJ3882" s="319"/>
      <c r="CK3882" s="342"/>
      <c r="CL3882" s="333"/>
      <c r="CM3882" s="1079"/>
      <c r="CN3882" s="1005"/>
      <c r="CO3882" s="1005"/>
      <c r="CP3882" s="1005"/>
    </row>
    <row r="3883">
      <c r="A3883" s="1257"/>
      <c r="B3883" s="1113"/>
      <c r="C3883" s="1107"/>
      <c r="D3883" s="103"/>
      <c r="E3883" s="1137"/>
      <c r="F3883" s="112"/>
      <c r="G3883" s="1110"/>
      <c r="H3883" s="1138"/>
      <c r="I3883" s="1138"/>
      <c r="J3883" s="1139"/>
      <c r="K3883" s="1111"/>
      <c r="L3883" s="1112"/>
      <c r="M3883" s="1113"/>
      <c r="N3883" s="110"/>
      <c r="O3883" s="1140"/>
      <c r="P3883" s="1115"/>
      <c r="Q3883" s="1116"/>
      <c r="R3883" s="1141"/>
      <c r="S3883" s="1113"/>
      <c r="T3883" s="1143"/>
      <c r="U3883" s="1108"/>
      <c r="V3883" s="1108"/>
      <c r="W3883" s="1108"/>
      <c r="X3883" s="1108"/>
      <c r="Y3883" s="1108"/>
      <c r="Z3883" s="1114"/>
      <c r="AA3883" s="1114"/>
      <c r="AB3883" s="1114"/>
      <c r="AC3883" s="1117"/>
      <c r="AD3883" s="1115"/>
      <c r="AE3883" s="1115"/>
      <c r="AF3883" s="1115"/>
      <c r="AG3883" s="1115"/>
      <c r="AH3883" s="1115"/>
      <c r="AI3883" s="1115"/>
      <c r="AJ3883" s="1117"/>
      <c r="AK3883" s="1118"/>
      <c r="AL3883" s="1115"/>
      <c r="AM3883" s="1115"/>
      <c r="AN3883" s="1115"/>
      <c r="AO3883" s="1115"/>
      <c r="AP3883" s="1115"/>
      <c r="AQ3883" s="1115"/>
      <c r="AR3883" s="1115"/>
      <c r="AS3883" s="1117"/>
      <c r="AT3883" s="1075"/>
      <c r="AU3883" s="1193"/>
      <c r="AV3883" s="330"/>
      <c r="AW3883" s="331"/>
      <c r="AX3883" s="331"/>
      <c r="AY3883" s="331"/>
      <c r="AZ3883" s="331"/>
      <c r="BA3883" s="331"/>
      <c r="BB3883" s="331"/>
      <c r="BC3883" s="331"/>
      <c r="BD3883" s="331"/>
      <c r="BE3883" s="333"/>
      <c r="BF3883" s="330"/>
      <c r="BG3883" s="333"/>
      <c r="BH3883" s="1119"/>
      <c r="BI3883" s="319"/>
      <c r="BJ3883" s="319"/>
      <c r="BK3883" s="319"/>
      <c r="BL3883" s="319"/>
      <c r="BM3883" s="319"/>
      <c r="BN3883" s="319"/>
      <c r="BO3883" s="319"/>
      <c r="BP3883" s="953"/>
      <c r="BQ3883" s="319"/>
      <c r="BR3883" s="319"/>
      <c r="BS3883" s="330"/>
      <c r="BT3883" s="331"/>
      <c r="BU3883" s="920"/>
      <c r="BV3883" s="903"/>
      <c r="BW3883" s="908"/>
      <c r="BX3883" s="908"/>
      <c r="BY3883" s="331"/>
      <c r="BZ3883" s="331"/>
      <c r="CA3883" s="462"/>
      <c r="CB3883" s="319"/>
      <c r="CC3883" s="319"/>
      <c r="CD3883" s="319"/>
      <c r="CE3883" s="319"/>
      <c r="CF3883" s="319"/>
      <c r="CG3883" s="319"/>
      <c r="CH3883" s="318"/>
      <c r="CI3883" s="319"/>
      <c r="CJ3883" s="319"/>
      <c r="CK3883" s="342"/>
      <c r="CL3883" s="333"/>
      <c r="CM3883" s="1079"/>
      <c r="CN3883" s="1005"/>
      <c r="CO3883" s="1005"/>
      <c r="CP3883" s="1005"/>
    </row>
    <row r="3884">
      <c r="A3884" s="1257"/>
      <c r="B3884" s="1113"/>
      <c r="C3884" s="1107"/>
      <c r="D3884" s="103"/>
      <c r="E3884" s="1137"/>
      <c r="F3884" s="112"/>
      <c r="G3884" s="1110"/>
      <c r="H3884" s="1138"/>
      <c r="I3884" s="1138"/>
      <c r="J3884" s="1139"/>
      <c r="K3884" s="1111"/>
      <c r="L3884" s="1112"/>
      <c r="M3884" s="1113"/>
      <c r="N3884" s="110"/>
      <c r="O3884" s="1140"/>
      <c r="P3884" s="1115"/>
      <c r="Q3884" s="1116"/>
      <c r="R3884" s="1141"/>
      <c r="S3884" s="1113"/>
      <c r="T3884" s="1143"/>
      <c r="U3884" s="1108"/>
      <c r="V3884" s="1108"/>
      <c r="W3884" s="1108"/>
      <c r="X3884" s="1108"/>
      <c r="Y3884" s="1108"/>
      <c r="Z3884" s="1114"/>
      <c r="AA3884" s="1114"/>
      <c r="AB3884" s="1114"/>
      <c r="AC3884" s="1117"/>
      <c r="AD3884" s="1115"/>
      <c r="AE3884" s="1115"/>
      <c r="AF3884" s="1115"/>
      <c r="AG3884" s="1115"/>
      <c r="AH3884" s="1115"/>
      <c r="AI3884" s="1115"/>
      <c r="AJ3884" s="1117"/>
      <c r="AK3884" s="1118"/>
      <c r="AL3884" s="1115"/>
      <c r="AM3884" s="1115"/>
      <c r="AN3884" s="1115"/>
      <c r="AO3884" s="1115"/>
      <c r="AP3884" s="1115"/>
      <c r="AQ3884" s="1115"/>
      <c r="AR3884" s="1115"/>
      <c r="AS3884" s="1117"/>
      <c r="AT3884" s="1075"/>
      <c r="AU3884" s="1193"/>
      <c r="AV3884" s="330"/>
      <c r="AW3884" s="331"/>
      <c r="AX3884" s="331"/>
      <c r="AY3884" s="331"/>
      <c r="AZ3884" s="331"/>
      <c r="BA3884" s="331"/>
      <c r="BB3884" s="331"/>
      <c r="BC3884" s="331"/>
      <c r="BD3884" s="331"/>
      <c r="BE3884" s="333"/>
      <c r="BF3884" s="330"/>
      <c r="BG3884" s="333"/>
      <c r="BH3884" s="1119"/>
      <c r="BI3884" s="319"/>
      <c r="BJ3884" s="319"/>
      <c r="BK3884" s="319"/>
      <c r="BL3884" s="319"/>
      <c r="BM3884" s="319"/>
      <c r="BN3884" s="319"/>
      <c r="BO3884" s="319"/>
      <c r="BP3884" s="953"/>
      <c r="BQ3884" s="319"/>
      <c r="BR3884" s="319"/>
      <c r="BS3884" s="330"/>
      <c r="BT3884" s="331"/>
      <c r="BU3884" s="920"/>
      <c r="BV3884" s="903"/>
      <c r="BW3884" s="908"/>
      <c r="BX3884" s="908"/>
      <c r="BY3884" s="331"/>
      <c r="BZ3884" s="331"/>
      <c r="CA3884" s="462"/>
      <c r="CB3884" s="319"/>
      <c r="CC3884" s="319"/>
      <c r="CD3884" s="319"/>
      <c r="CE3884" s="319"/>
      <c r="CF3884" s="319"/>
      <c r="CG3884" s="319"/>
      <c r="CH3884" s="318"/>
      <c r="CI3884" s="319"/>
      <c r="CJ3884" s="319"/>
      <c r="CK3884" s="342"/>
      <c r="CL3884" s="333"/>
      <c r="CM3884" s="1079"/>
      <c r="CN3884" s="1005"/>
      <c r="CO3884" s="1005"/>
      <c r="CP3884" s="1005"/>
    </row>
    <row r="3885">
      <c r="A3885" s="1257"/>
      <c r="B3885" s="1113"/>
      <c r="C3885" s="1107"/>
      <c r="D3885" s="103"/>
      <c r="E3885" s="1137"/>
      <c r="F3885" s="112"/>
      <c r="G3885" s="1110"/>
      <c r="H3885" s="1138"/>
      <c r="I3885" s="1138"/>
      <c r="J3885" s="1139"/>
      <c r="K3885" s="1111"/>
      <c r="L3885" s="1112"/>
      <c r="M3885" s="1113"/>
      <c r="N3885" s="110"/>
      <c r="O3885" s="1140"/>
      <c r="P3885" s="1115"/>
      <c r="Q3885" s="1116"/>
      <c r="R3885" s="1141"/>
      <c r="S3885" s="1113"/>
      <c r="T3885" s="1143"/>
      <c r="U3885" s="1108"/>
      <c r="V3885" s="1108"/>
      <c r="W3885" s="1108"/>
      <c r="X3885" s="1108"/>
      <c r="Y3885" s="1108"/>
      <c r="Z3885" s="1114"/>
      <c r="AA3885" s="1114"/>
      <c r="AB3885" s="1114"/>
      <c r="AC3885" s="1117"/>
      <c r="AD3885" s="1115"/>
      <c r="AE3885" s="1115"/>
      <c r="AF3885" s="1115"/>
      <c r="AG3885" s="1115"/>
      <c r="AH3885" s="1115"/>
      <c r="AI3885" s="1115"/>
      <c r="AJ3885" s="1117"/>
      <c r="AK3885" s="1118"/>
      <c r="AL3885" s="1115"/>
      <c r="AM3885" s="1115"/>
      <c r="AN3885" s="1115"/>
      <c r="AO3885" s="1115"/>
      <c r="AP3885" s="1115"/>
      <c r="AQ3885" s="1115"/>
      <c r="AR3885" s="1115"/>
      <c r="AS3885" s="1117"/>
      <c r="AT3885" s="1075"/>
      <c r="AU3885" s="1193"/>
      <c r="AV3885" s="330"/>
      <c r="AW3885" s="331"/>
      <c r="AX3885" s="331"/>
      <c r="AY3885" s="331"/>
      <c r="AZ3885" s="331"/>
      <c r="BA3885" s="331"/>
      <c r="BB3885" s="331"/>
      <c r="BC3885" s="331"/>
      <c r="BD3885" s="331"/>
      <c r="BE3885" s="333"/>
      <c r="BF3885" s="330"/>
      <c r="BG3885" s="333"/>
      <c r="BH3885" s="1119"/>
      <c r="BI3885" s="319"/>
      <c r="BJ3885" s="319"/>
      <c r="BK3885" s="319"/>
      <c r="BL3885" s="319"/>
      <c r="BM3885" s="319"/>
      <c r="BN3885" s="319"/>
      <c r="BO3885" s="319"/>
      <c r="BP3885" s="953"/>
      <c r="BQ3885" s="319"/>
      <c r="BR3885" s="319"/>
      <c r="BS3885" s="330"/>
      <c r="BT3885" s="331"/>
      <c r="BU3885" s="920"/>
      <c r="BV3885" s="903"/>
      <c r="BW3885" s="908"/>
      <c r="BX3885" s="908"/>
      <c r="BY3885" s="331"/>
      <c r="BZ3885" s="331"/>
      <c r="CA3885" s="462"/>
      <c r="CB3885" s="319"/>
      <c r="CC3885" s="319"/>
      <c r="CD3885" s="319"/>
      <c r="CE3885" s="319"/>
      <c r="CF3885" s="319"/>
      <c r="CG3885" s="319"/>
      <c r="CH3885" s="318"/>
      <c r="CI3885" s="319"/>
      <c r="CJ3885" s="319"/>
      <c r="CK3885" s="342"/>
      <c r="CL3885" s="333"/>
      <c r="CM3885" s="1079"/>
      <c r="CN3885" s="1005"/>
      <c r="CO3885" s="1005"/>
      <c r="CP3885" s="1005"/>
    </row>
    <row r="3886">
      <c r="A3886" s="1257"/>
      <c r="B3886" s="1113"/>
      <c r="C3886" s="1107"/>
      <c r="D3886" s="103"/>
      <c r="E3886" s="1137"/>
      <c r="F3886" s="112"/>
      <c r="G3886" s="1110"/>
      <c r="H3886" s="1138"/>
      <c r="I3886" s="1138"/>
      <c r="J3886" s="1139"/>
      <c r="K3886" s="1111"/>
      <c r="L3886" s="1112"/>
      <c r="M3886" s="1113"/>
      <c r="N3886" s="110"/>
      <c r="O3886" s="1140"/>
      <c r="P3886" s="1115"/>
      <c r="Q3886" s="1116"/>
      <c r="R3886" s="1141"/>
      <c r="S3886" s="1113"/>
      <c r="T3886" s="1143"/>
      <c r="U3886" s="1108"/>
      <c r="V3886" s="1108"/>
      <c r="W3886" s="1108"/>
      <c r="X3886" s="1108"/>
      <c r="Y3886" s="1108"/>
      <c r="Z3886" s="1114"/>
      <c r="AA3886" s="1114"/>
      <c r="AB3886" s="1114"/>
      <c r="AC3886" s="1117"/>
      <c r="AD3886" s="1115"/>
      <c r="AE3886" s="1115"/>
      <c r="AF3886" s="1115"/>
      <c r="AG3886" s="1115"/>
      <c r="AH3886" s="1115"/>
      <c r="AI3886" s="1115"/>
      <c r="AJ3886" s="1117"/>
      <c r="AK3886" s="1118"/>
      <c r="AL3886" s="1115"/>
      <c r="AM3886" s="1115"/>
      <c r="AN3886" s="1115"/>
      <c r="AO3886" s="1115"/>
      <c r="AP3886" s="1115"/>
      <c r="AQ3886" s="1115"/>
      <c r="AR3886" s="1115"/>
      <c r="AS3886" s="1117"/>
      <c r="AT3886" s="1075"/>
      <c r="AU3886" s="1193"/>
      <c r="AV3886" s="330"/>
      <c r="AW3886" s="331"/>
      <c r="AX3886" s="331"/>
      <c r="AY3886" s="331"/>
      <c r="AZ3886" s="331"/>
      <c r="BA3886" s="331"/>
      <c r="BB3886" s="331"/>
      <c r="BC3886" s="331"/>
      <c r="BD3886" s="331"/>
      <c r="BE3886" s="333"/>
      <c r="BF3886" s="330"/>
      <c r="BG3886" s="333"/>
      <c r="BH3886" s="1119"/>
      <c r="BI3886" s="319"/>
      <c r="BJ3886" s="319"/>
      <c r="BK3886" s="319"/>
      <c r="BL3886" s="319"/>
      <c r="BM3886" s="319"/>
      <c r="BN3886" s="319"/>
      <c r="BO3886" s="319"/>
      <c r="BP3886" s="953"/>
      <c r="BQ3886" s="319"/>
      <c r="BR3886" s="319"/>
      <c r="BS3886" s="330"/>
      <c r="BT3886" s="331"/>
      <c r="BU3886" s="920"/>
      <c r="BV3886" s="903"/>
      <c r="BW3886" s="908"/>
      <c r="BX3886" s="908"/>
      <c r="BY3886" s="331"/>
      <c r="BZ3886" s="331"/>
      <c r="CA3886" s="462"/>
      <c r="CB3886" s="319"/>
      <c r="CC3886" s="319"/>
      <c r="CD3886" s="319"/>
      <c r="CE3886" s="319"/>
      <c r="CF3886" s="319"/>
      <c r="CG3886" s="319"/>
      <c r="CH3886" s="318"/>
      <c r="CI3886" s="319"/>
      <c r="CJ3886" s="319"/>
      <c r="CK3886" s="342"/>
      <c r="CL3886" s="333"/>
      <c r="CM3886" s="1079"/>
      <c r="CN3886" s="1005"/>
      <c r="CO3886" s="1005"/>
      <c r="CP3886" s="1005"/>
    </row>
    <row r="3887">
      <c r="A3887" s="1257"/>
      <c r="B3887" s="1113"/>
      <c r="C3887" s="1107"/>
      <c r="D3887" s="103"/>
      <c r="E3887" s="1137"/>
      <c r="F3887" s="112"/>
      <c r="G3887" s="1110"/>
      <c r="H3887" s="1138"/>
      <c r="I3887" s="1138"/>
      <c r="J3887" s="1139"/>
      <c r="K3887" s="1111"/>
      <c r="L3887" s="1112"/>
      <c r="M3887" s="1113"/>
      <c r="N3887" s="110"/>
      <c r="O3887" s="1140"/>
      <c r="P3887" s="1115"/>
      <c r="Q3887" s="1116"/>
      <c r="R3887" s="1141"/>
      <c r="S3887" s="1113"/>
      <c r="T3887" s="1143"/>
      <c r="U3887" s="1108"/>
      <c r="V3887" s="1108"/>
      <c r="W3887" s="1108"/>
      <c r="X3887" s="1108"/>
      <c r="Y3887" s="1108"/>
      <c r="Z3887" s="1114"/>
      <c r="AA3887" s="1114"/>
      <c r="AB3887" s="1114"/>
      <c r="AC3887" s="1117"/>
      <c r="AD3887" s="1115"/>
      <c r="AE3887" s="1115"/>
      <c r="AF3887" s="1115"/>
      <c r="AG3887" s="1115"/>
      <c r="AH3887" s="1115"/>
      <c r="AI3887" s="1115"/>
      <c r="AJ3887" s="1117"/>
      <c r="AK3887" s="1118"/>
      <c r="AL3887" s="1115"/>
      <c r="AM3887" s="1115"/>
      <c r="AN3887" s="1115"/>
      <c r="AO3887" s="1115"/>
      <c r="AP3887" s="1115"/>
      <c r="AQ3887" s="1115"/>
      <c r="AR3887" s="1115"/>
      <c r="AS3887" s="1117"/>
      <c r="AT3887" s="1075"/>
      <c r="AU3887" s="1193"/>
      <c r="AV3887" s="330"/>
      <c r="AW3887" s="331"/>
      <c r="AX3887" s="331"/>
      <c r="AY3887" s="331"/>
      <c r="AZ3887" s="331"/>
      <c r="BA3887" s="331"/>
      <c r="BB3887" s="331"/>
      <c r="BC3887" s="331"/>
      <c r="BD3887" s="331"/>
      <c r="BE3887" s="333"/>
      <c r="BF3887" s="330"/>
      <c r="BG3887" s="333"/>
      <c r="BH3887" s="1119"/>
      <c r="BI3887" s="319"/>
      <c r="BJ3887" s="319"/>
      <c r="BK3887" s="319"/>
      <c r="BL3887" s="319"/>
      <c r="BM3887" s="319"/>
      <c r="BN3887" s="319"/>
      <c r="BO3887" s="319"/>
      <c r="BP3887" s="953"/>
      <c r="BQ3887" s="319"/>
      <c r="BR3887" s="319"/>
      <c r="BS3887" s="330"/>
      <c r="BT3887" s="331"/>
      <c r="BU3887" s="920"/>
      <c r="BV3887" s="903"/>
      <c r="BW3887" s="908"/>
      <c r="BX3887" s="908"/>
      <c r="BY3887" s="331"/>
      <c r="BZ3887" s="331"/>
      <c r="CA3887" s="462"/>
      <c r="CB3887" s="319"/>
      <c r="CC3887" s="319"/>
      <c r="CD3887" s="319"/>
      <c r="CE3887" s="319"/>
      <c r="CF3887" s="319"/>
      <c r="CG3887" s="319"/>
      <c r="CH3887" s="318"/>
      <c r="CI3887" s="319"/>
      <c r="CJ3887" s="319"/>
      <c r="CK3887" s="342"/>
      <c r="CL3887" s="333"/>
      <c r="CM3887" s="1079"/>
      <c r="CN3887" s="1005"/>
      <c r="CO3887" s="1005"/>
      <c r="CP3887" s="1005"/>
    </row>
    <row r="3888">
      <c r="A3888" s="1257"/>
      <c r="B3888" s="1113"/>
      <c r="C3888" s="1107"/>
      <c r="D3888" s="103"/>
      <c r="E3888" s="1137"/>
      <c r="F3888" s="112"/>
      <c r="G3888" s="1110"/>
      <c r="H3888" s="1138"/>
      <c r="I3888" s="1138"/>
      <c r="J3888" s="1139"/>
      <c r="K3888" s="1111"/>
      <c r="L3888" s="1112"/>
      <c r="M3888" s="1113"/>
      <c r="N3888" s="110"/>
      <c r="O3888" s="1140"/>
      <c r="P3888" s="1115"/>
      <c r="Q3888" s="1116"/>
      <c r="R3888" s="1141"/>
      <c r="S3888" s="1113"/>
      <c r="T3888" s="1143"/>
      <c r="U3888" s="1108"/>
      <c r="V3888" s="1108"/>
      <c r="W3888" s="1108"/>
      <c r="X3888" s="1108"/>
      <c r="Y3888" s="1108"/>
      <c r="Z3888" s="1114"/>
      <c r="AA3888" s="1114"/>
      <c r="AB3888" s="1114"/>
      <c r="AC3888" s="1117"/>
      <c r="AD3888" s="1115"/>
      <c r="AE3888" s="1115"/>
      <c r="AF3888" s="1115"/>
      <c r="AG3888" s="1115"/>
      <c r="AH3888" s="1115"/>
      <c r="AI3888" s="1115"/>
      <c r="AJ3888" s="1117"/>
      <c r="AK3888" s="1118"/>
      <c r="AL3888" s="1115"/>
      <c r="AM3888" s="1115"/>
      <c r="AN3888" s="1115"/>
      <c r="AO3888" s="1115"/>
      <c r="AP3888" s="1115"/>
      <c r="AQ3888" s="1115"/>
      <c r="AR3888" s="1115"/>
      <c r="AS3888" s="1117"/>
      <c r="AT3888" s="1075"/>
      <c r="AU3888" s="1193"/>
      <c r="AV3888" s="330"/>
      <c r="AW3888" s="331"/>
      <c r="AX3888" s="331"/>
      <c r="AY3888" s="331"/>
      <c r="AZ3888" s="331"/>
      <c r="BA3888" s="331"/>
      <c r="BB3888" s="331"/>
      <c r="BC3888" s="331"/>
      <c r="BD3888" s="331"/>
      <c r="BE3888" s="333"/>
      <c r="BF3888" s="330"/>
      <c r="BG3888" s="333"/>
      <c r="BH3888" s="1119"/>
      <c r="BI3888" s="319"/>
      <c r="BJ3888" s="319"/>
      <c r="BK3888" s="319"/>
      <c r="BL3888" s="319"/>
      <c r="BM3888" s="319"/>
      <c r="BN3888" s="319"/>
      <c r="BO3888" s="319"/>
      <c r="BP3888" s="953"/>
      <c r="BQ3888" s="319"/>
      <c r="BR3888" s="319"/>
      <c r="BS3888" s="330"/>
      <c r="BT3888" s="331"/>
      <c r="BU3888" s="920"/>
      <c r="BV3888" s="903"/>
      <c r="BW3888" s="908"/>
      <c r="BX3888" s="908"/>
      <c r="BY3888" s="331"/>
      <c r="BZ3888" s="331"/>
      <c r="CA3888" s="462"/>
      <c r="CB3888" s="319"/>
      <c r="CC3888" s="319"/>
      <c r="CD3888" s="319"/>
      <c r="CE3888" s="319"/>
      <c r="CF3888" s="319"/>
      <c r="CG3888" s="319"/>
      <c r="CH3888" s="318"/>
      <c r="CI3888" s="319"/>
      <c r="CJ3888" s="319"/>
      <c r="CK3888" s="342"/>
      <c r="CL3888" s="333"/>
      <c r="CM3888" s="1079"/>
      <c r="CN3888" s="1005"/>
      <c r="CO3888" s="1005"/>
      <c r="CP3888" s="1005"/>
    </row>
    <row r="3889">
      <c r="A3889" s="1257"/>
      <c r="B3889" s="1113"/>
      <c r="C3889" s="1107"/>
      <c r="D3889" s="103"/>
      <c r="E3889" s="1137"/>
      <c r="F3889" s="112"/>
      <c r="G3889" s="1110"/>
      <c r="H3889" s="1138"/>
      <c r="I3889" s="1138"/>
      <c r="J3889" s="1139"/>
      <c r="K3889" s="1111"/>
      <c r="L3889" s="1112"/>
      <c r="M3889" s="1113"/>
      <c r="N3889" s="110"/>
      <c r="O3889" s="1140"/>
      <c r="P3889" s="1115"/>
      <c r="Q3889" s="1116"/>
      <c r="R3889" s="1141"/>
      <c r="S3889" s="1113"/>
      <c r="T3889" s="1143"/>
      <c r="U3889" s="1108"/>
      <c r="V3889" s="1108"/>
      <c r="W3889" s="1108"/>
      <c r="X3889" s="1108"/>
      <c r="Y3889" s="1108"/>
      <c r="Z3889" s="1114"/>
      <c r="AA3889" s="1114"/>
      <c r="AB3889" s="1114"/>
      <c r="AC3889" s="1117"/>
      <c r="AD3889" s="1115"/>
      <c r="AE3889" s="1115"/>
      <c r="AF3889" s="1115"/>
      <c r="AG3889" s="1115"/>
      <c r="AH3889" s="1115"/>
      <c r="AI3889" s="1115"/>
      <c r="AJ3889" s="1117"/>
      <c r="AK3889" s="1118"/>
      <c r="AL3889" s="1115"/>
      <c r="AM3889" s="1115"/>
      <c r="AN3889" s="1115"/>
      <c r="AO3889" s="1115"/>
      <c r="AP3889" s="1115"/>
      <c r="AQ3889" s="1115"/>
      <c r="AR3889" s="1115"/>
      <c r="AS3889" s="1117"/>
      <c r="AT3889" s="1075"/>
      <c r="AU3889" s="1193"/>
      <c r="AV3889" s="330"/>
      <c r="AW3889" s="331"/>
      <c r="AX3889" s="331"/>
      <c r="AY3889" s="331"/>
      <c r="AZ3889" s="331"/>
      <c r="BA3889" s="331"/>
      <c r="BB3889" s="331"/>
      <c r="BC3889" s="331"/>
      <c r="BD3889" s="331"/>
      <c r="BE3889" s="333"/>
      <c r="BF3889" s="330"/>
      <c r="BG3889" s="333"/>
      <c r="BH3889" s="1119"/>
      <c r="BI3889" s="319"/>
      <c r="BJ3889" s="319"/>
      <c r="BK3889" s="319"/>
      <c r="BL3889" s="319"/>
      <c r="BM3889" s="319"/>
      <c r="BN3889" s="319"/>
      <c r="BO3889" s="319"/>
      <c r="BP3889" s="953"/>
      <c r="BQ3889" s="319"/>
      <c r="BR3889" s="319"/>
      <c r="BS3889" s="330"/>
      <c r="BT3889" s="331"/>
      <c r="BU3889" s="920"/>
      <c r="BV3889" s="903"/>
      <c r="BW3889" s="908"/>
      <c r="BX3889" s="908"/>
      <c r="BY3889" s="331"/>
      <c r="BZ3889" s="331"/>
      <c r="CA3889" s="462"/>
      <c r="CB3889" s="319"/>
      <c r="CC3889" s="319"/>
      <c r="CD3889" s="319"/>
      <c r="CE3889" s="319"/>
      <c r="CF3889" s="319"/>
      <c r="CG3889" s="319"/>
      <c r="CH3889" s="318"/>
      <c r="CI3889" s="319"/>
      <c r="CJ3889" s="319"/>
      <c r="CK3889" s="342"/>
      <c r="CL3889" s="333"/>
      <c r="CM3889" s="1079"/>
      <c r="CN3889" s="1005"/>
      <c r="CO3889" s="1005"/>
      <c r="CP3889" s="1005"/>
    </row>
    <row r="3890">
      <c r="A3890" s="1257"/>
      <c r="B3890" s="1113"/>
      <c r="C3890" s="1107"/>
      <c r="D3890" s="103"/>
      <c r="E3890" s="1137"/>
      <c r="F3890" s="112"/>
      <c r="G3890" s="1110"/>
      <c r="H3890" s="1138"/>
      <c r="I3890" s="1138"/>
      <c r="J3890" s="1139"/>
      <c r="K3890" s="1111"/>
      <c r="L3890" s="1112"/>
      <c r="M3890" s="1113"/>
      <c r="N3890" s="110"/>
      <c r="O3890" s="1140"/>
      <c r="P3890" s="1115"/>
      <c r="Q3890" s="1116"/>
      <c r="R3890" s="1141"/>
      <c r="S3890" s="1113"/>
      <c r="T3890" s="1143"/>
      <c r="U3890" s="1108"/>
      <c r="V3890" s="1108"/>
      <c r="W3890" s="1108"/>
      <c r="X3890" s="1108"/>
      <c r="Y3890" s="1108"/>
      <c r="Z3890" s="1114"/>
      <c r="AA3890" s="1114"/>
      <c r="AB3890" s="1114"/>
      <c r="AC3890" s="1117"/>
      <c r="AD3890" s="1115"/>
      <c r="AE3890" s="1115"/>
      <c r="AF3890" s="1115"/>
      <c r="AG3890" s="1115"/>
      <c r="AH3890" s="1115"/>
      <c r="AI3890" s="1115"/>
      <c r="AJ3890" s="1117"/>
      <c r="AK3890" s="1118"/>
      <c r="AL3890" s="1115"/>
      <c r="AM3890" s="1115"/>
      <c r="AN3890" s="1115"/>
      <c r="AO3890" s="1115"/>
      <c r="AP3890" s="1115"/>
      <c r="AQ3890" s="1115"/>
      <c r="AR3890" s="1115"/>
      <c r="AS3890" s="1117"/>
      <c r="AT3890" s="1075"/>
      <c r="AU3890" s="1193"/>
      <c r="AV3890" s="330"/>
      <c r="AW3890" s="331"/>
      <c r="AX3890" s="331"/>
      <c r="AY3890" s="331"/>
      <c r="AZ3890" s="331"/>
      <c r="BA3890" s="331"/>
      <c r="BB3890" s="331"/>
      <c r="BC3890" s="331"/>
      <c r="BD3890" s="331"/>
      <c r="BE3890" s="333"/>
      <c r="BF3890" s="330"/>
      <c r="BG3890" s="333"/>
      <c r="BH3890" s="1119"/>
      <c r="BI3890" s="319"/>
      <c r="BJ3890" s="319"/>
      <c r="BK3890" s="319"/>
      <c r="BL3890" s="319"/>
      <c r="BM3890" s="319"/>
      <c r="BN3890" s="319"/>
      <c r="BO3890" s="319"/>
      <c r="BP3890" s="953"/>
      <c r="BQ3890" s="319"/>
      <c r="BR3890" s="319"/>
      <c r="BS3890" s="330"/>
      <c r="BT3890" s="331"/>
      <c r="BU3890" s="920"/>
      <c r="BV3890" s="903"/>
      <c r="BW3890" s="908"/>
      <c r="BX3890" s="908"/>
      <c r="BY3890" s="331"/>
      <c r="BZ3890" s="331"/>
      <c r="CA3890" s="462"/>
      <c r="CB3890" s="319"/>
      <c r="CC3890" s="319"/>
      <c r="CD3890" s="319"/>
      <c r="CE3890" s="319"/>
      <c r="CF3890" s="319"/>
      <c r="CG3890" s="319"/>
      <c r="CH3890" s="318"/>
      <c r="CI3890" s="319"/>
      <c r="CJ3890" s="319"/>
      <c r="CK3890" s="342"/>
      <c r="CL3890" s="333"/>
      <c r="CM3890" s="1079"/>
      <c r="CN3890" s="1005"/>
      <c r="CO3890" s="1005"/>
      <c r="CP3890" s="1005"/>
    </row>
    <row r="3891">
      <c r="A3891" s="1257"/>
      <c r="B3891" s="1113"/>
      <c r="C3891" s="1107"/>
      <c r="D3891" s="103"/>
      <c r="E3891" s="1137"/>
      <c r="F3891" s="112"/>
      <c r="G3891" s="1110"/>
      <c r="H3891" s="1138"/>
      <c r="I3891" s="1138"/>
      <c r="J3891" s="1139"/>
      <c r="K3891" s="1111"/>
      <c r="L3891" s="1112"/>
      <c r="M3891" s="1113"/>
      <c r="N3891" s="110"/>
      <c r="O3891" s="1140"/>
      <c r="P3891" s="1115"/>
      <c r="Q3891" s="1116"/>
      <c r="R3891" s="1141"/>
      <c r="S3891" s="1113"/>
      <c r="T3891" s="1143"/>
      <c r="U3891" s="1108"/>
      <c r="V3891" s="1108"/>
      <c r="W3891" s="1108"/>
      <c r="X3891" s="1108"/>
      <c r="Y3891" s="1108"/>
      <c r="Z3891" s="1114"/>
      <c r="AA3891" s="1114"/>
      <c r="AB3891" s="1114"/>
      <c r="AC3891" s="1117"/>
      <c r="AD3891" s="1115"/>
      <c r="AE3891" s="1115"/>
      <c r="AF3891" s="1115"/>
      <c r="AG3891" s="1115"/>
      <c r="AH3891" s="1115"/>
      <c r="AI3891" s="1115"/>
      <c r="AJ3891" s="1117"/>
      <c r="AK3891" s="1118"/>
      <c r="AL3891" s="1115"/>
      <c r="AM3891" s="1115"/>
      <c r="AN3891" s="1115"/>
      <c r="AO3891" s="1115"/>
      <c r="AP3891" s="1115"/>
      <c r="AQ3891" s="1115"/>
      <c r="AR3891" s="1115"/>
      <c r="AS3891" s="1117"/>
      <c r="AT3891" s="1075"/>
      <c r="AU3891" s="1193"/>
      <c r="AV3891" s="330"/>
      <c r="AW3891" s="331"/>
      <c r="AX3891" s="331"/>
      <c r="AY3891" s="331"/>
      <c r="AZ3891" s="331"/>
      <c r="BA3891" s="331"/>
      <c r="BB3891" s="331"/>
      <c r="BC3891" s="331"/>
      <c r="BD3891" s="331"/>
      <c r="BE3891" s="333"/>
      <c r="BF3891" s="330"/>
      <c r="BG3891" s="333"/>
      <c r="BH3891" s="1119"/>
      <c r="BI3891" s="319"/>
      <c r="BJ3891" s="319"/>
      <c r="BK3891" s="319"/>
      <c r="BL3891" s="319"/>
      <c r="BM3891" s="319"/>
      <c r="BN3891" s="319"/>
      <c r="BO3891" s="319"/>
      <c r="BP3891" s="953"/>
      <c r="BQ3891" s="319"/>
      <c r="BR3891" s="319"/>
      <c r="BS3891" s="330"/>
      <c r="BT3891" s="331"/>
      <c r="BU3891" s="920"/>
      <c r="BV3891" s="903"/>
      <c r="BW3891" s="908"/>
      <c r="BX3891" s="908"/>
      <c r="BY3891" s="331"/>
      <c r="BZ3891" s="331"/>
      <c r="CA3891" s="462"/>
      <c r="CB3891" s="319"/>
      <c r="CC3891" s="319"/>
      <c r="CD3891" s="319"/>
      <c r="CE3891" s="319"/>
      <c r="CF3891" s="319"/>
      <c r="CG3891" s="319"/>
      <c r="CH3891" s="318"/>
      <c r="CI3891" s="319"/>
      <c r="CJ3891" s="319"/>
      <c r="CK3891" s="342"/>
      <c r="CL3891" s="333"/>
      <c r="CM3891" s="1079"/>
      <c r="CN3891" s="1005"/>
      <c r="CO3891" s="1005"/>
      <c r="CP3891" s="1005"/>
    </row>
    <row r="3892">
      <c r="A3892" s="1257"/>
      <c r="B3892" s="1113"/>
      <c r="C3892" s="1107"/>
      <c r="D3892" s="103"/>
      <c r="E3892" s="1137"/>
      <c r="F3892" s="112"/>
      <c r="G3892" s="1110"/>
      <c r="H3892" s="1138"/>
      <c r="I3892" s="1138"/>
      <c r="J3892" s="1139"/>
      <c r="K3892" s="1111"/>
      <c r="L3892" s="1112"/>
      <c r="M3892" s="1113"/>
      <c r="N3892" s="110"/>
      <c r="O3892" s="1140"/>
      <c r="P3892" s="1115"/>
      <c r="Q3892" s="1116"/>
      <c r="R3892" s="1141"/>
      <c r="S3892" s="1113"/>
      <c r="T3892" s="1143"/>
      <c r="U3892" s="1108"/>
      <c r="V3892" s="1108"/>
      <c r="W3892" s="1108"/>
      <c r="X3892" s="1108"/>
      <c r="Y3892" s="1108"/>
      <c r="Z3892" s="1114"/>
      <c r="AA3892" s="1114"/>
      <c r="AB3892" s="1114"/>
      <c r="AC3892" s="1117"/>
      <c r="AD3892" s="1115"/>
      <c r="AE3892" s="1115"/>
      <c r="AF3892" s="1115"/>
      <c r="AG3892" s="1115"/>
      <c r="AH3892" s="1115"/>
      <c r="AI3892" s="1115"/>
      <c r="AJ3892" s="1117"/>
      <c r="AK3892" s="1118"/>
      <c r="AL3892" s="1115"/>
      <c r="AM3892" s="1115"/>
      <c r="AN3892" s="1115"/>
      <c r="AO3892" s="1115"/>
      <c r="AP3892" s="1115"/>
      <c r="AQ3892" s="1115"/>
      <c r="AR3892" s="1115"/>
      <c r="AS3892" s="1117"/>
      <c r="AT3892" s="1075"/>
      <c r="AU3892" s="1193"/>
      <c r="AV3892" s="330"/>
      <c r="AW3892" s="331"/>
      <c r="AX3892" s="331"/>
      <c r="AY3892" s="331"/>
      <c r="AZ3892" s="331"/>
      <c r="BA3892" s="331"/>
      <c r="BB3892" s="331"/>
      <c r="BC3892" s="331"/>
      <c r="BD3892" s="331"/>
      <c r="BE3892" s="333"/>
      <c r="BF3892" s="330"/>
      <c r="BG3892" s="333"/>
      <c r="BH3892" s="1119"/>
      <c r="BI3892" s="319"/>
      <c r="BJ3892" s="319"/>
      <c r="BK3892" s="319"/>
      <c r="BL3892" s="319"/>
      <c r="BM3892" s="319"/>
      <c r="BN3892" s="319"/>
      <c r="BO3892" s="319"/>
      <c r="BP3892" s="953"/>
      <c r="BQ3892" s="319"/>
      <c r="BR3892" s="319"/>
      <c r="BS3892" s="330"/>
      <c r="BT3892" s="331"/>
      <c r="BU3892" s="920"/>
      <c r="BV3892" s="903"/>
      <c r="BW3892" s="908"/>
      <c r="BX3892" s="908"/>
      <c r="BY3892" s="331"/>
      <c r="BZ3892" s="331"/>
      <c r="CA3892" s="462"/>
      <c r="CB3892" s="319"/>
      <c r="CC3892" s="319"/>
      <c r="CD3892" s="319"/>
      <c r="CE3892" s="319"/>
      <c r="CF3892" s="319"/>
      <c r="CG3892" s="319"/>
      <c r="CH3892" s="318"/>
      <c r="CI3892" s="319"/>
      <c r="CJ3892" s="319"/>
      <c r="CK3892" s="342"/>
      <c r="CL3892" s="333"/>
      <c r="CM3892" s="1079"/>
      <c r="CN3892" s="1005"/>
      <c r="CO3892" s="1005"/>
      <c r="CP3892" s="1005"/>
    </row>
    <row r="3893">
      <c r="A3893" s="1257"/>
      <c r="B3893" s="1113"/>
      <c r="C3893" s="1107"/>
      <c r="D3893" s="103"/>
      <c r="E3893" s="1137"/>
      <c r="F3893" s="112"/>
      <c r="G3893" s="1110"/>
      <c r="H3893" s="1138"/>
      <c r="I3893" s="1138"/>
      <c r="J3893" s="1139"/>
      <c r="K3893" s="1111"/>
      <c r="L3893" s="1112"/>
      <c r="M3893" s="1113"/>
      <c r="N3893" s="110"/>
      <c r="O3893" s="1140"/>
      <c r="P3893" s="1115"/>
      <c r="Q3893" s="1116"/>
      <c r="R3893" s="1141"/>
      <c r="S3893" s="1113"/>
      <c r="T3893" s="1143"/>
      <c r="U3893" s="1108"/>
      <c r="V3893" s="1108"/>
      <c r="W3893" s="1108"/>
      <c r="X3893" s="1108"/>
      <c r="Y3893" s="1108"/>
      <c r="Z3893" s="1114"/>
      <c r="AA3893" s="1114"/>
      <c r="AB3893" s="1114"/>
      <c r="AC3893" s="1117"/>
      <c r="AD3893" s="1115"/>
      <c r="AE3893" s="1115"/>
      <c r="AF3893" s="1115"/>
      <c r="AG3893" s="1115"/>
      <c r="AH3893" s="1115"/>
      <c r="AI3893" s="1115"/>
      <c r="AJ3893" s="1117"/>
      <c r="AK3893" s="1118"/>
      <c r="AL3893" s="1115"/>
      <c r="AM3893" s="1115"/>
      <c r="AN3893" s="1115"/>
      <c r="AO3893" s="1115"/>
      <c r="AP3893" s="1115"/>
      <c r="AQ3893" s="1115"/>
      <c r="AR3893" s="1115"/>
      <c r="AS3893" s="1117"/>
      <c r="AT3893" s="1075"/>
      <c r="AU3893" s="1193"/>
      <c r="AV3893" s="330"/>
      <c r="AW3893" s="331"/>
      <c r="AX3893" s="331"/>
      <c r="AY3893" s="331"/>
      <c r="AZ3893" s="331"/>
      <c r="BA3893" s="331"/>
      <c r="BB3893" s="331"/>
      <c r="BC3893" s="331"/>
      <c r="BD3893" s="331"/>
      <c r="BE3893" s="333"/>
      <c r="BF3893" s="330"/>
      <c r="BG3893" s="333"/>
      <c r="BH3893" s="1119"/>
      <c r="BI3893" s="319"/>
      <c r="BJ3893" s="319"/>
      <c r="BK3893" s="319"/>
      <c r="BL3893" s="319"/>
      <c r="BM3893" s="319"/>
      <c r="BN3893" s="319"/>
      <c r="BO3893" s="319"/>
      <c r="BP3893" s="953"/>
      <c r="BQ3893" s="319"/>
      <c r="BR3893" s="319"/>
      <c r="BS3893" s="330"/>
      <c r="BT3893" s="331"/>
      <c r="BU3893" s="920"/>
      <c r="BV3893" s="903"/>
      <c r="BW3893" s="908"/>
      <c r="BX3893" s="908"/>
      <c r="BY3893" s="331"/>
      <c r="BZ3893" s="331"/>
      <c r="CA3893" s="462"/>
      <c r="CB3893" s="319"/>
      <c r="CC3893" s="319"/>
      <c r="CD3893" s="319"/>
      <c r="CE3893" s="319"/>
      <c r="CF3893" s="319"/>
      <c r="CG3893" s="319"/>
      <c r="CH3893" s="318"/>
      <c r="CI3893" s="319"/>
      <c r="CJ3893" s="319"/>
      <c r="CK3893" s="342"/>
      <c r="CL3893" s="333"/>
      <c r="CM3893" s="1079"/>
      <c r="CN3893" s="1005"/>
      <c r="CO3893" s="1005"/>
      <c r="CP3893" s="1005"/>
    </row>
    <row r="3894">
      <c r="A3894" s="1257"/>
      <c r="B3894" s="1113"/>
      <c r="C3894" s="1107"/>
      <c r="D3894" s="103"/>
      <c r="E3894" s="1137"/>
      <c r="F3894" s="112"/>
      <c r="G3894" s="1110"/>
      <c r="H3894" s="1138"/>
      <c r="I3894" s="1138"/>
      <c r="J3894" s="1139"/>
      <c r="K3894" s="1111"/>
      <c r="L3894" s="1112"/>
      <c r="M3894" s="1113"/>
      <c r="N3894" s="110"/>
      <c r="O3894" s="1140"/>
      <c r="P3894" s="1115"/>
      <c r="Q3894" s="1116"/>
      <c r="R3894" s="1141"/>
      <c r="S3894" s="1113"/>
      <c r="T3894" s="1143"/>
      <c r="U3894" s="1108"/>
      <c r="V3894" s="1108"/>
      <c r="W3894" s="1108"/>
      <c r="X3894" s="1108"/>
      <c r="Y3894" s="1108"/>
      <c r="Z3894" s="1114"/>
      <c r="AA3894" s="1114"/>
      <c r="AB3894" s="1114"/>
      <c r="AC3894" s="1117"/>
      <c r="AD3894" s="1115"/>
      <c r="AE3894" s="1115"/>
      <c r="AF3894" s="1115"/>
      <c r="AG3894" s="1115"/>
      <c r="AH3894" s="1115"/>
      <c r="AI3894" s="1115"/>
      <c r="AJ3894" s="1117"/>
      <c r="AK3894" s="1118"/>
      <c r="AL3894" s="1115"/>
      <c r="AM3894" s="1115"/>
      <c r="AN3894" s="1115"/>
      <c r="AO3894" s="1115"/>
      <c r="AP3894" s="1115"/>
      <c r="AQ3894" s="1115"/>
      <c r="AR3894" s="1115"/>
      <c r="AS3894" s="1117"/>
      <c r="AT3894" s="1075"/>
      <c r="AU3894" s="1193"/>
      <c r="AV3894" s="330"/>
      <c r="AW3894" s="331"/>
      <c r="AX3894" s="331"/>
      <c r="AY3894" s="331"/>
      <c r="AZ3894" s="331"/>
      <c r="BA3894" s="331"/>
      <c r="BB3894" s="331"/>
      <c r="BC3894" s="331"/>
      <c r="BD3894" s="331"/>
      <c r="BE3894" s="333"/>
      <c r="BF3894" s="330"/>
      <c r="BG3894" s="333"/>
      <c r="BH3894" s="1119"/>
      <c r="BI3894" s="319"/>
      <c r="BJ3894" s="319"/>
      <c r="BK3894" s="319"/>
      <c r="BL3894" s="319"/>
      <c r="BM3894" s="319"/>
      <c r="BN3894" s="319"/>
      <c r="BO3894" s="319"/>
      <c r="BP3894" s="953"/>
      <c r="BQ3894" s="319"/>
      <c r="BR3894" s="319"/>
      <c r="BS3894" s="330"/>
      <c r="BT3894" s="331"/>
      <c r="BU3894" s="920"/>
      <c r="BV3894" s="903"/>
      <c r="BW3894" s="908"/>
      <c r="BX3894" s="908"/>
      <c r="BY3894" s="331"/>
      <c r="BZ3894" s="331"/>
      <c r="CA3894" s="462"/>
      <c r="CB3894" s="319"/>
      <c r="CC3894" s="319"/>
      <c r="CD3894" s="319"/>
      <c r="CE3894" s="319"/>
      <c r="CF3894" s="319"/>
      <c r="CG3894" s="319"/>
      <c r="CH3894" s="318"/>
      <c r="CI3894" s="319"/>
      <c r="CJ3894" s="319"/>
      <c r="CK3894" s="342"/>
      <c r="CL3894" s="333"/>
      <c r="CM3894" s="1079"/>
      <c r="CN3894" s="1005"/>
      <c r="CO3894" s="1005"/>
      <c r="CP3894" s="1005"/>
    </row>
    <row r="3895">
      <c r="A3895" s="1257"/>
      <c r="B3895" s="1113"/>
      <c r="C3895" s="1107"/>
      <c r="D3895" s="103"/>
      <c r="E3895" s="1137"/>
      <c r="F3895" s="112"/>
      <c r="G3895" s="1110"/>
      <c r="H3895" s="1138"/>
      <c r="I3895" s="1138"/>
      <c r="J3895" s="1139"/>
      <c r="K3895" s="1111"/>
      <c r="L3895" s="1112"/>
      <c r="M3895" s="1113"/>
      <c r="N3895" s="110"/>
      <c r="O3895" s="1140"/>
      <c r="P3895" s="1115"/>
      <c r="Q3895" s="1116"/>
      <c r="R3895" s="1141"/>
      <c r="S3895" s="1113"/>
      <c r="T3895" s="1143"/>
      <c r="U3895" s="1108"/>
      <c r="V3895" s="1108"/>
      <c r="W3895" s="1108"/>
      <c r="X3895" s="1108"/>
      <c r="Y3895" s="1108"/>
      <c r="Z3895" s="1114"/>
      <c r="AA3895" s="1114"/>
      <c r="AB3895" s="1114"/>
      <c r="AC3895" s="1117"/>
      <c r="AD3895" s="1115"/>
      <c r="AE3895" s="1115"/>
      <c r="AF3895" s="1115"/>
      <c r="AG3895" s="1115"/>
      <c r="AH3895" s="1115"/>
      <c r="AI3895" s="1115"/>
      <c r="AJ3895" s="1117"/>
      <c r="AK3895" s="1118"/>
      <c r="AL3895" s="1115"/>
      <c r="AM3895" s="1115"/>
      <c r="AN3895" s="1115"/>
      <c r="AO3895" s="1115"/>
      <c r="AP3895" s="1115"/>
      <c r="AQ3895" s="1115"/>
      <c r="AR3895" s="1115"/>
      <c r="AS3895" s="1117"/>
      <c r="AT3895" s="1075"/>
      <c r="AU3895" s="1193"/>
      <c r="AV3895" s="330"/>
      <c r="AW3895" s="331"/>
      <c r="AX3895" s="331"/>
      <c r="AY3895" s="331"/>
      <c r="AZ3895" s="331"/>
      <c r="BA3895" s="331"/>
      <c r="BB3895" s="331"/>
      <c r="BC3895" s="331"/>
      <c r="BD3895" s="331"/>
      <c r="BE3895" s="333"/>
      <c r="BF3895" s="330"/>
      <c r="BG3895" s="333"/>
      <c r="BH3895" s="1119"/>
      <c r="BI3895" s="319"/>
      <c r="BJ3895" s="319"/>
      <c r="BK3895" s="319"/>
      <c r="BL3895" s="319"/>
      <c r="BM3895" s="319"/>
      <c r="BN3895" s="319"/>
      <c r="BO3895" s="319"/>
      <c r="BP3895" s="953"/>
      <c r="BQ3895" s="319"/>
      <c r="BR3895" s="319"/>
      <c r="BS3895" s="330"/>
      <c r="BT3895" s="331"/>
      <c r="BU3895" s="920"/>
      <c r="BV3895" s="903"/>
      <c r="BW3895" s="908"/>
      <c r="BX3895" s="908"/>
      <c r="BY3895" s="331"/>
      <c r="BZ3895" s="331"/>
      <c r="CA3895" s="462"/>
      <c r="CB3895" s="319"/>
      <c r="CC3895" s="319"/>
      <c r="CD3895" s="319"/>
      <c r="CE3895" s="319"/>
      <c r="CF3895" s="319"/>
      <c r="CG3895" s="319"/>
      <c r="CH3895" s="318"/>
      <c r="CI3895" s="319"/>
      <c r="CJ3895" s="319"/>
      <c r="CK3895" s="342"/>
      <c r="CL3895" s="333"/>
      <c r="CM3895" s="1079"/>
      <c r="CN3895" s="1005"/>
      <c r="CO3895" s="1005"/>
      <c r="CP3895" s="1005"/>
    </row>
    <row r="3896">
      <c r="A3896" s="1257"/>
      <c r="B3896" s="1113"/>
      <c r="C3896" s="1107"/>
      <c r="D3896" s="103"/>
      <c r="E3896" s="1137"/>
      <c r="F3896" s="112"/>
      <c r="G3896" s="1110"/>
      <c r="H3896" s="1138"/>
      <c r="I3896" s="1138"/>
      <c r="J3896" s="1139"/>
      <c r="K3896" s="1111"/>
      <c r="L3896" s="1112"/>
      <c r="M3896" s="1113"/>
      <c r="N3896" s="110"/>
      <c r="O3896" s="1140"/>
      <c r="P3896" s="1115"/>
      <c r="Q3896" s="1116"/>
      <c r="R3896" s="1141"/>
      <c r="S3896" s="1113"/>
      <c r="T3896" s="1143"/>
      <c r="U3896" s="1108"/>
      <c r="V3896" s="1108"/>
      <c r="W3896" s="1108"/>
      <c r="X3896" s="1108"/>
      <c r="Y3896" s="1108"/>
      <c r="Z3896" s="1114"/>
      <c r="AA3896" s="1114"/>
      <c r="AB3896" s="1114"/>
      <c r="AC3896" s="1117"/>
      <c r="AD3896" s="1115"/>
      <c r="AE3896" s="1115"/>
      <c r="AF3896" s="1115"/>
      <c r="AG3896" s="1115"/>
      <c r="AH3896" s="1115"/>
      <c r="AI3896" s="1115"/>
      <c r="AJ3896" s="1117"/>
      <c r="AK3896" s="1118"/>
      <c r="AL3896" s="1115"/>
      <c r="AM3896" s="1115"/>
      <c r="AN3896" s="1115"/>
      <c r="AO3896" s="1115"/>
      <c r="AP3896" s="1115"/>
      <c r="AQ3896" s="1115"/>
      <c r="AR3896" s="1115"/>
      <c r="AS3896" s="1117"/>
      <c r="AT3896" s="1075"/>
      <c r="AU3896" s="1193"/>
      <c r="AV3896" s="330"/>
      <c r="AW3896" s="331"/>
      <c r="AX3896" s="331"/>
      <c r="AY3896" s="331"/>
      <c r="AZ3896" s="331"/>
      <c r="BA3896" s="331"/>
      <c r="BB3896" s="331"/>
      <c r="BC3896" s="331"/>
      <c r="BD3896" s="331"/>
      <c r="BE3896" s="333"/>
      <c r="BF3896" s="330"/>
      <c r="BG3896" s="333"/>
      <c r="BH3896" s="1119"/>
      <c r="BI3896" s="319"/>
      <c r="BJ3896" s="319"/>
      <c r="BK3896" s="319"/>
      <c r="BL3896" s="319"/>
      <c r="BM3896" s="319"/>
      <c r="BN3896" s="319"/>
      <c r="BO3896" s="319"/>
      <c r="BP3896" s="953"/>
      <c r="BQ3896" s="319"/>
      <c r="BR3896" s="319"/>
      <c r="BS3896" s="330"/>
      <c r="BT3896" s="331"/>
      <c r="BU3896" s="920"/>
      <c r="BV3896" s="903"/>
      <c r="BW3896" s="908"/>
      <c r="BX3896" s="908"/>
      <c r="BY3896" s="331"/>
      <c r="BZ3896" s="331"/>
      <c r="CA3896" s="462"/>
      <c r="CB3896" s="319"/>
      <c r="CC3896" s="319"/>
      <c r="CD3896" s="319"/>
      <c r="CE3896" s="319"/>
      <c r="CF3896" s="319"/>
      <c r="CG3896" s="319"/>
      <c r="CH3896" s="318"/>
      <c r="CI3896" s="319"/>
      <c r="CJ3896" s="319"/>
      <c r="CK3896" s="342"/>
      <c r="CL3896" s="333"/>
      <c r="CM3896" s="1079"/>
      <c r="CN3896" s="1005"/>
      <c r="CO3896" s="1005"/>
      <c r="CP3896" s="1005"/>
    </row>
    <row r="3897">
      <c r="A3897" s="1257"/>
      <c r="B3897" s="1113"/>
      <c r="C3897" s="1107"/>
      <c r="D3897" s="103"/>
      <c r="E3897" s="1137"/>
      <c r="F3897" s="112"/>
      <c r="G3897" s="1110"/>
      <c r="H3897" s="1138"/>
      <c r="I3897" s="1138"/>
      <c r="J3897" s="1139"/>
      <c r="K3897" s="1111"/>
      <c r="L3897" s="1112"/>
      <c r="M3897" s="1113"/>
      <c r="N3897" s="110"/>
      <c r="O3897" s="1140"/>
      <c r="P3897" s="1115"/>
      <c r="Q3897" s="1116"/>
      <c r="R3897" s="1141"/>
      <c r="S3897" s="1113"/>
      <c r="T3897" s="1143"/>
      <c r="U3897" s="1108"/>
      <c r="V3897" s="1108"/>
      <c r="W3897" s="1108"/>
      <c r="X3897" s="1108"/>
      <c r="Y3897" s="1108"/>
      <c r="Z3897" s="1114"/>
      <c r="AA3897" s="1114"/>
      <c r="AB3897" s="1114"/>
      <c r="AC3897" s="1117"/>
      <c r="AD3897" s="1115"/>
      <c r="AE3897" s="1115"/>
      <c r="AF3897" s="1115"/>
      <c r="AG3897" s="1115"/>
      <c r="AH3897" s="1115"/>
      <c r="AI3897" s="1115"/>
      <c r="AJ3897" s="1117"/>
      <c r="AK3897" s="1118"/>
      <c r="AL3897" s="1115"/>
      <c r="AM3897" s="1115"/>
      <c r="AN3897" s="1115"/>
      <c r="AO3897" s="1115"/>
      <c r="AP3897" s="1115"/>
      <c r="AQ3897" s="1115"/>
      <c r="AR3897" s="1115"/>
      <c r="AS3897" s="1117"/>
      <c r="AT3897" s="1075"/>
      <c r="AU3897" s="1193"/>
      <c r="AV3897" s="330"/>
      <c r="AW3897" s="331"/>
      <c r="AX3897" s="331"/>
      <c r="AY3897" s="331"/>
      <c r="AZ3897" s="331"/>
      <c r="BA3897" s="331"/>
      <c r="BB3897" s="331"/>
      <c r="BC3897" s="331"/>
      <c r="BD3897" s="331"/>
      <c r="BE3897" s="333"/>
      <c r="BF3897" s="330"/>
      <c r="BG3897" s="333"/>
      <c r="BH3897" s="1119"/>
      <c r="BI3897" s="319"/>
      <c r="BJ3897" s="319"/>
      <c r="BK3897" s="319"/>
      <c r="BL3897" s="319"/>
      <c r="BM3897" s="319"/>
      <c r="BN3897" s="319"/>
      <c r="BO3897" s="319"/>
      <c r="BP3897" s="953"/>
      <c r="BQ3897" s="319"/>
      <c r="BR3897" s="319"/>
      <c r="BS3897" s="330"/>
      <c r="BT3897" s="331"/>
      <c r="BU3897" s="920"/>
      <c r="BV3897" s="903"/>
      <c r="BW3897" s="908"/>
      <c r="BX3897" s="908"/>
      <c r="BY3897" s="331"/>
      <c r="BZ3897" s="331"/>
      <c r="CA3897" s="462"/>
      <c r="CB3897" s="319"/>
      <c r="CC3897" s="319"/>
      <c r="CD3897" s="319"/>
      <c r="CE3897" s="319"/>
      <c r="CF3897" s="319"/>
      <c r="CG3897" s="319"/>
      <c r="CH3897" s="318"/>
      <c r="CI3897" s="319"/>
      <c r="CJ3897" s="319"/>
      <c r="CK3897" s="342"/>
      <c r="CL3897" s="333"/>
      <c r="CM3897" s="1079"/>
      <c r="CN3897" s="1005"/>
      <c r="CO3897" s="1005"/>
      <c r="CP3897" s="1005"/>
    </row>
    <row r="3898">
      <c r="A3898" s="1257"/>
      <c r="B3898" s="1113"/>
      <c r="C3898" s="1107"/>
      <c r="D3898" s="103"/>
      <c r="E3898" s="1137"/>
      <c r="F3898" s="112"/>
      <c r="G3898" s="1110"/>
      <c r="H3898" s="1138"/>
      <c r="I3898" s="1138"/>
      <c r="J3898" s="1139"/>
      <c r="K3898" s="1111"/>
      <c r="L3898" s="1112"/>
      <c r="M3898" s="1113"/>
      <c r="N3898" s="110"/>
      <c r="O3898" s="1140"/>
      <c r="P3898" s="1115"/>
      <c r="Q3898" s="1116"/>
      <c r="R3898" s="1141"/>
      <c r="S3898" s="1113"/>
      <c r="T3898" s="1143"/>
      <c r="U3898" s="1108"/>
      <c r="V3898" s="1108"/>
      <c r="W3898" s="1108"/>
      <c r="X3898" s="1108"/>
      <c r="Y3898" s="1108"/>
      <c r="Z3898" s="1114"/>
      <c r="AA3898" s="1114"/>
      <c r="AB3898" s="1114"/>
      <c r="AC3898" s="1117"/>
      <c r="AD3898" s="1115"/>
      <c r="AE3898" s="1115"/>
      <c r="AF3898" s="1115"/>
      <c r="AG3898" s="1115"/>
      <c r="AH3898" s="1115"/>
      <c r="AI3898" s="1115"/>
      <c r="AJ3898" s="1117"/>
      <c r="AK3898" s="1118"/>
      <c r="AL3898" s="1115"/>
      <c r="AM3898" s="1115"/>
      <c r="AN3898" s="1115"/>
      <c r="AO3898" s="1115"/>
      <c r="AP3898" s="1115"/>
      <c r="AQ3898" s="1115"/>
      <c r="AR3898" s="1115"/>
      <c r="AS3898" s="1117"/>
      <c r="AT3898" s="1075"/>
      <c r="AU3898" s="1193"/>
      <c r="AV3898" s="330"/>
      <c r="AW3898" s="331"/>
      <c r="AX3898" s="331"/>
      <c r="AY3898" s="331"/>
      <c r="AZ3898" s="331"/>
      <c r="BA3898" s="331"/>
      <c r="BB3898" s="331"/>
      <c r="BC3898" s="331"/>
      <c r="BD3898" s="331"/>
      <c r="BE3898" s="333"/>
      <c r="BF3898" s="330"/>
      <c r="BG3898" s="333"/>
      <c r="BH3898" s="1119"/>
      <c r="BI3898" s="319"/>
      <c r="BJ3898" s="319"/>
      <c r="BK3898" s="319"/>
      <c r="BL3898" s="319"/>
      <c r="BM3898" s="319"/>
      <c r="BN3898" s="319"/>
      <c r="BO3898" s="319"/>
      <c r="BP3898" s="953"/>
      <c r="BQ3898" s="319"/>
      <c r="BR3898" s="319"/>
      <c r="BS3898" s="330"/>
      <c r="BT3898" s="331"/>
      <c r="BU3898" s="920"/>
      <c r="BV3898" s="903"/>
      <c r="BW3898" s="908"/>
      <c r="BX3898" s="908"/>
      <c r="BY3898" s="331"/>
      <c r="BZ3898" s="331"/>
      <c r="CA3898" s="462"/>
      <c r="CB3898" s="319"/>
      <c r="CC3898" s="319"/>
      <c r="CD3898" s="319"/>
      <c r="CE3898" s="319"/>
      <c r="CF3898" s="319"/>
      <c r="CG3898" s="319"/>
      <c r="CH3898" s="318"/>
      <c r="CI3898" s="319"/>
      <c r="CJ3898" s="319"/>
      <c r="CK3898" s="342"/>
      <c r="CL3898" s="333"/>
      <c r="CM3898" s="1079"/>
      <c r="CN3898" s="1005"/>
      <c r="CO3898" s="1005"/>
      <c r="CP3898" s="1005"/>
    </row>
    <row r="3899">
      <c r="A3899" s="1257"/>
      <c r="B3899" s="1113"/>
      <c r="C3899" s="1107"/>
      <c r="D3899" s="103"/>
      <c r="E3899" s="1137"/>
      <c r="F3899" s="112"/>
      <c r="G3899" s="1110"/>
      <c r="H3899" s="1138"/>
      <c r="I3899" s="1138"/>
      <c r="J3899" s="1139"/>
      <c r="K3899" s="1111"/>
      <c r="L3899" s="1112"/>
      <c r="M3899" s="1113"/>
      <c r="N3899" s="110"/>
      <c r="O3899" s="1140"/>
      <c r="P3899" s="1115"/>
      <c r="Q3899" s="1116"/>
      <c r="R3899" s="1141"/>
      <c r="S3899" s="1113"/>
      <c r="T3899" s="1143"/>
      <c r="U3899" s="1108"/>
      <c r="V3899" s="1108"/>
      <c r="W3899" s="1108"/>
      <c r="X3899" s="1108"/>
      <c r="Y3899" s="1108"/>
      <c r="Z3899" s="1114"/>
      <c r="AA3899" s="1114"/>
      <c r="AB3899" s="1114"/>
      <c r="AC3899" s="1117"/>
      <c r="AD3899" s="1115"/>
      <c r="AE3899" s="1115"/>
      <c r="AF3899" s="1115"/>
      <c r="AG3899" s="1115"/>
      <c r="AH3899" s="1115"/>
      <c r="AI3899" s="1115"/>
      <c r="AJ3899" s="1117"/>
      <c r="AK3899" s="1118"/>
      <c r="AL3899" s="1115"/>
      <c r="AM3899" s="1115"/>
      <c r="AN3899" s="1115"/>
      <c r="AO3899" s="1115"/>
      <c r="AP3899" s="1115"/>
      <c r="AQ3899" s="1115"/>
      <c r="AR3899" s="1115"/>
      <c r="AS3899" s="1117"/>
      <c r="AT3899" s="1075"/>
      <c r="AU3899" s="1193"/>
      <c r="AV3899" s="330"/>
      <c r="AW3899" s="331"/>
      <c r="AX3899" s="331"/>
      <c r="AY3899" s="331"/>
      <c r="AZ3899" s="331"/>
      <c r="BA3899" s="331"/>
      <c r="BB3899" s="331"/>
      <c r="BC3899" s="331"/>
      <c r="BD3899" s="331"/>
      <c r="BE3899" s="333"/>
      <c r="BF3899" s="330"/>
      <c r="BG3899" s="333"/>
      <c r="BH3899" s="1119"/>
      <c r="BI3899" s="319"/>
      <c r="BJ3899" s="319"/>
      <c r="BK3899" s="319"/>
      <c r="BL3899" s="319"/>
      <c r="BM3899" s="319"/>
      <c r="BN3899" s="319"/>
      <c r="BO3899" s="319"/>
      <c r="BP3899" s="953"/>
      <c r="BQ3899" s="319"/>
      <c r="BR3899" s="319"/>
      <c r="BS3899" s="330"/>
      <c r="BT3899" s="331"/>
      <c r="BU3899" s="920"/>
      <c r="BV3899" s="903"/>
      <c r="BW3899" s="908"/>
      <c r="BX3899" s="908"/>
      <c r="BY3899" s="331"/>
      <c r="BZ3899" s="331"/>
      <c r="CA3899" s="462"/>
      <c r="CB3899" s="319"/>
      <c r="CC3899" s="319"/>
      <c r="CD3899" s="319"/>
      <c r="CE3899" s="319"/>
      <c r="CF3899" s="319"/>
      <c r="CG3899" s="319"/>
      <c r="CH3899" s="318"/>
      <c r="CI3899" s="319"/>
      <c r="CJ3899" s="319"/>
      <c r="CK3899" s="342"/>
      <c r="CL3899" s="333"/>
      <c r="CM3899" s="1079"/>
      <c r="CN3899" s="1005"/>
      <c r="CO3899" s="1005"/>
      <c r="CP3899" s="1005"/>
    </row>
    <row r="3900">
      <c r="A3900" s="1257"/>
      <c r="B3900" s="1113"/>
      <c r="C3900" s="1107"/>
      <c r="D3900" s="103"/>
      <c r="E3900" s="1137"/>
      <c r="F3900" s="112"/>
      <c r="G3900" s="1110"/>
      <c r="H3900" s="1138"/>
      <c r="I3900" s="1138"/>
      <c r="J3900" s="1139"/>
      <c r="K3900" s="1111"/>
      <c r="L3900" s="1112"/>
      <c r="M3900" s="1113"/>
      <c r="N3900" s="110"/>
      <c r="O3900" s="1140"/>
      <c r="P3900" s="1115"/>
      <c r="Q3900" s="1116"/>
      <c r="R3900" s="1141"/>
      <c r="S3900" s="1113"/>
      <c r="T3900" s="1143"/>
      <c r="U3900" s="1108"/>
      <c r="V3900" s="1108"/>
      <c r="W3900" s="1108"/>
      <c r="X3900" s="1108"/>
      <c r="Y3900" s="1108"/>
      <c r="Z3900" s="1114"/>
      <c r="AA3900" s="1114"/>
      <c r="AB3900" s="1114"/>
      <c r="AC3900" s="1117"/>
      <c r="AD3900" s="1115"/>
      <c r="AE3900" s="1115"/>
      <c r="AF3900" s="1115"/>
      <c r="AG3900" s="1115"/>
      <c r="AH3900" s="1115"/>
      <c r="AI3900" s="1115"/>
      <c r="AJ3900" s="1117"/>
      <c r="AK3900" s="1118"/>
      <c r="AL3900" s="1115"/>
      <c r="AM3900" s="1115"/>
      <c r="AN3900" s="1115"/>
      <c r="AO3900" s="1115"/>
      <c r="AP3900" s="1115"/>
      <c r="AQ3900" s="1115"/>
      <c r="AR3900" s="1115"/>
      <c r="AS3900" s="1117"/>
      <c r="AT3900" s="1075"/>
      <c r="AU3900" s="1193"/>
      <c r="AV3900" s="330"/>
      <c r="AW3900" s="331"/>
      <c r="AX3900" s="331"/>
      <c r="AY3900" s="331"/>
      <c r="AZ3900" s="331"/>
      <c r="BA3900" s="331"/>
      <c r="BB3900" s="331"/>
      <c r="BC3900" s="331"/>
      <c r="BD3900" s="331"/>
      <c r="BE3900" s="333"/>
      <c r="BF3900" s="330"/>
      <c r="BG3900" s="333"/>
      <c r="BH3900" s="1119"/>
      <c r="BI3900" s="319"/>
      <c r="BJ3900" s="319"/>
      <c r="BK3900" s="319"/>
      <c r="BL3900" s="319"/>
      <c r="BM3900" s="319"/>
      <c r="BN3900" s="319"/>
      <c r="BO3900" s="319"/>
      <c r="BP3900" s="953"/>
      <c r="BQ3900" s="319"/>
      <c r="BR3900" s="319"/>
      <c r="BS3900" s="330"/>
      <c r="BT3900" s="331"/>
      <c r="BU3900" s="920"/>
      <c r="BV3900" s="903"/>
      <c r="BW3900" s="908"/>
      <c r="BX3900" s="908"/>
      <c r="BY3900" s="331"/>
      <c r="BZ3900" s="331"/>
      <c r="CA3900" s="462"/>
      <c r="CB3900" s="319"/>
      <c r="CC3900" s="319"/>
      <c r="CD3900" s="319"/>
      <c r="CE3900" s="319"/>
      <c r="CF3900" s="319"/>
      <c r="CG3900" s="319"/>
      <c r="CH3900" s="318"/>
      <c r="CI3900" s="319"/>
      <c r="CJ3900" s="319"/>
      <c r="CK3900" s="342"/>
      <c r="CL3900" s="333"/>
      <c r="CM3900" s="1079"/>
      <c r="CN3900" s="1005"/>
      <c r="CO3900" s="1005"/>
      <c r="CP3900" s="1005"/>
    </row>
    <row r="3901">
      <c r="A3901" s="1257"/>
      <c r="B3901" s="1113"/>
      <c r="C3901" s="1107"/>
      <c r="D3901" s="103"/>
      <c r="E3901" s="1137"/>
      <c r="F3901" s="112"/>
      <c r="G3901" s="1110"/>
      <c r="H3901" s="1138"/>
      <c r="I3901" s="1138"/>
      <c r="J3901" s="1139"/>
      <c r="K3901" s="1111"/>
      <c r="L3901" s="1112"/>
      <c r="M3901" s="1113"/>
      <c r="N3901" s="110"/>
      <c r="O3901" s="1140"/>
      <c r="P3901" s="1115"/>
      <c r="Q3901" s="1116"/>
      <c r="R3901" s="1141"/>
      <c r="S3901" s="1113"/>
      <c r="T3901" s="1143"/>
      <c r="U3901" s="1108"/>
      <c r="V3901" s="1108"/>
      <c r="W3901" s="1108"/>
      <c r="X3901" s="1108"/>
      <c r="Y3901" s="1108"/>
      <c r="Z3901" s="1114"/>
      <c r="AA3901" s="1114"/>
      <c r="AB3901" s="1114"/>
      <c r="AC3901" s="1117"/>
      <c r="AD3901" s="1115"/>
      <c r="AE3901" s="1115"/>
      <c r="AF3901" s="1115"/>
      <c r="AG3901" s="1115"/>
      <c r="AH3901" s="1115"/>
      <c r="AI3901" s="1115"/>
      <c r="AJ3901" s="1117"/>
      <c r="AK3901" s="1118"/>
      <c r="AL3901" s="1115"/>
      <c r="AM3901" s="1115"/>
      <c r="AN3901" s="1115"/>
      <c r="AO3901" s="1115"/>
      <c r="AP3901" s="1115"/>
      <c r="AQ3901" s="1115"/>
      <c r="AR3901" s="1115"/>
      <c r="AS3901" s="1117"/>
      <c r="AT3901" s="1075"/>
      <c r="AU3901" s="1193"/>
      <c r="AV3901" s="330"/>
      <c r="AW3901" s="331"/>
      <c r="AX3901" s="331"/>
      <c r="AY3901" s="331"/>
      <c r="AZ3901" s="331"/>
      <c r="BA3901" s="331"/>
      <c r="BB3901" s="331"/>
      <c r="BC3901" s="331"/>
      <c r="BD3901" s="331"/>
      <c r="BE3901" s="333"/>
      <c r="BF3901" s="330"/>
      <c r="BG3901" s="333"/>
      <c r="BH3901" s="1119"/>
      <c r="BI3901" s="319"/>
      <c r="BJ3901" s="319"/>
      <c r="BK3901" s="319"/>
      <c r="BL3901" s="319"/>
      <c r="BM3901" s="319"/>
      <c r="BN3901" s="319"/>
      <c r="BO3901" s="319"/>
      <c r="BP3901" s="953"/>
      <c r="BQ3901" s="319"/>
      <c r="BR3901" s="319"/>
      <c r="BS3901" s="330"/>
      <c r="BT3901" s="331"/>
      <c r="BU3901" s="920"/>
      <c r="BV3901" s="903"/>
      <c r="BW3901" s="908"/>
      <c r="BX3901" s="908"/>
      <c r="BY3901" s="331"/>
      <c r="BZ3901" s="331"/>
      <c r="CA3901" s="462"/>
      <c r="CB3901" s="319"/>
      <c r="CC3901" s="319"/>
      <c r="CD3901" s="319"/>
      <c r="CE3901" s="319"/>
      <c r="CF3901" s="319"/>
      <c r="CG3901" s="319"/>
      <c r="CH3901" s="318"/>
      <c r="CI3901" s="319"/>
      <c r="CJ3901" s="319"/>
      <c r="CK3901" s="342"/>
      <c r="CL3901" s="333"/>
      <c r="CM3901" s="1079"/>
      <c r="CN3901" s="1005"/>
      <c r="CO3901" s="1005"/>
      <c r="CP3901" s="1005"/>
    </row>
    <row r="3902">
      <c r="A3902" s="1257"/>
      <c r="B3902" s="1113"/>
      <c r="C3902" s="1107"/>
      <c r="D3902" s="103"/>
      <c r="E3902" s="1137"/>
      <c r="F3902" s="112"/>
      <c r="G3902" s="1110"/>
      <c r="H3902" s="1138"/>
      <c r="I3902" s="1138"/>
      <c r="J3902" s="1139"/>
      <c r="K3902" s="1111"/>
      <c r="L3902" s="1112"/>
      <c r="M3902" s="1113"/>
      <c r="N3902" s="110"/>
      <c r="O3902" s="1140"/>
      <c r="P3902" s="1115"/>
      <c r="Q3902" s="1116"/>
      <c r="R3902" s="1141"/>
      <c r="S3902" s="1113"/>
      <c r="T3902" s="1143"/>
      <c r="U3902" s="1108"/>
      <c r="V3902" s="1108"/>
      <c r="W3902" s="1108"/>
      <c r="X3902" s="1108"/>
      <c r="Y3902" s="1108"/>
      <c r="Z3902" s="1114"/>
      <c r="AA3902" s="1114"/>
      <c r="AB3902" s="1114"/>
      <c r="AC3902" s="1117"/>
      <c r="AD3902" s="1115"/>
      <c r="AE3902" s="1115"/>
      <c r="AF3902" s="1115"/>
      <c r="AG3902" s="1115"/>
      <c r="AH3902" s="1115"/>
      <c r="AI3902" s="1115"/>
      <c r="AJ3902" s="1117"/>
      <c r="AK3902" s="1118"/>
      <c r="AL3902" s="1115"/>
      <c r="AM3902" s="1115"/>
      <c r="AN3902" s="1115"/>
      <c r="AO3902" s="1115"/>
      <c r="AP3902" s="1115"/>
      <c r="AQ3902" s="1115"/>
      <c r="AR3902" s="1115"/>
      <c r="AS3902" s="1117"/>
      <c r="AT3902" s="1075"/>
      <c r="AU3902" s="1193"/>
      <c r="AV3902" s="330"/>
      <c r="AW3902" s="331"/>
      <c r="AX3902" s="331"/>
      <c r="AY3902" s="331"/>
      <c r="AZ3902" s="331"/>
      <c r="BA3902" s="331"/>
      <c r="BB3902" s="331"/>
      <c r="BC3902" s="331"/>
      <c r="BD3902" s="331"/>
      <c r="BE3902" s="333"/>
      <c r="BF3902" s="330"/>
      <c r="BG3902" s="333"/>
      <c r="BH3902" s="1119"/>
      <c r="BI3902" s="319"/>
      <c r="BJ3902" s="319"/>
      <c r="BK3902" s="319"/>
      <c r="BL3902" s="319"/>
      <c r="BM3902" s="319"/>
      <c r="BN3902" s="319"/>
      <c r="BO3902" s="319"/>
      <c r="BP3902" s="953"/>
      <c r="BQ3902" s="319"/>
      <c r="BR3902" s="319"/>
      <c r="BS3902" s="330"/>
      <c r="BT3902" s="331"/>
      <c r="BU3902" s="920"/>
      <c r="BV3902" s="903"/>
      <c r="BW3902" s="908"/>
      <c r="BX3902" s="908"/>
      <c r="BY3902" s="331"/>
      <c r="BZ3902" s="331"/>
      <c r="CA3902" s="462"/>
      <c r="CB3902" s="319"/>
      <c r="CC3902" s="319"/>
      <c r="CD3902" s="319"/>
      <c r="CE3902" s="319"/>
      <c r="CF3902" s="319"/>
      <c r="CG3902" s="319"/>
      <c r="CH3902" s="318"/>
      <c r="CI3902" s="319"/>
      <c r="CJ3902" s="319"/>
      <c r="CK3902" s="342"/>
      <c r="CL3902" s="333"/>
      <c r="CM3902" s="1079"/>
      <c r="CN3902" s="1005"/>
      <c r="CO3902" s="1005"/>
      <c r="CP3902" s="1005"/>
    </row>
    <row r="3903">
      <c r="A3903" s="1257"/>
      <c r="B3903" s="1113"/>
      <c r="C3903" s="1107"/>
      <c r="D3903" s="103"/>
      <c r="E3903" s="1137"/>
      <c r="F3903" s="112"/>
      <c r="G3903" s="1110"/>
      <c r="H3903" s="1138"/>
      <c r="I3903" s="1138"/>
      <c r="J3903" s="1139"/>
      <c r="K3903" s="1111"/>
      <c r="L3903" s="1112"/>
      <c r="M3903" s="1113"/>
      <c r="N3903" s="110"/>
      <c r="O3903" s="1140"/>
      <c r="P3903" s="1115"/>
      <c r="Q3903" s="1116"/>
      <c r="R3903" s="1141"/>
      <c r="S3903" s="1113"/>
      <c r="T3903" s="1143"/>
      <c r="U3903" s="1108"/>
      <c r="V3903" s="1108"/>
      <c r="W3903" s="1108"/>
      <c r="X3903" s="1108"/>
      <c r="Y3903" s="1108"/>
      <c r="Z3903" s="1114"/>
      <c r="AA3903" s="1114"/>
      <c r="AB3903" s="1114"/>
      <c r="AC3903" s="1117"/>
      <c r="AD3903" s="1115"/>
      <c r="AE3903" s="1115"/>
      <c r="AF3903" s="1115"/>
      <c r="AG3903" s="1115"/>
      <c r="AH3903" s="1115"/>
      <c r="AI3903" s="1115"/>
      <c r="AJ3903" s="1117"/>
      <c r="AK3903" s="1118"/>
      <c r="AL3903" s="1115"/>
      <c r="AM3903" s="1115"/>
      <c r="AN3903" s="1115"/>
      <c r="AO3903" s="1115"/>
      <c r="AP3903" s="1115"/>
      <c r="AQ3903" s="1115"/>
      <c r="AR3903" s="1115"/>
      <c r="AS3903" s="1117"/>
      <c r="AT3903" s="1075"/>
      <c r="AU3903" s="1193"/>
      <c r="AV3903" s="330"/>
      <c r="AW3903" s="331"/>
      <c r="AX3903" s="331"/>
      <c r="AY3903" s="331"/>
      <c r="AZ3903" s="331"/>
      <c r="BA3903" s="331"/>
      <c r="BB3903" s="331"/>
      <c r="BC3903" s="331"/>
      <c r="BD3903" s="331"/>
      <c r="BE3903" s="333"/>
      <c r="BF3903" s="330"/>
      <c r="BG3903" s="333"/>
      <c r="BH3903" s="1119"/>
      <c r="BI3903" s="319"/>
      <c r="BJ3903" s="319"/>
      <c r="BK3903" s="319"/>
      <c r="BL3903" s="319"/>
      <c r="BM3903" s="319"/>
      <c r="BN3903" s="319"/>
      <c r="BO3903" s="319"/>
      <c r="BP3903" s="953"/>
      <c r="BQ3903" s="319"/>
      <c r="BR3903" s="319"/>
      <c r="BS3903" s="330"/>
      <c r="BT3903" s="331"/>
      <c r="BU3903" s="920"/>
      <c r="BV3903" s="903"/>
      <c r="BW3903" s="908"/>
      <c r="BX3903" s="908"/>
      <c r="BY3903" s="331"/>
      <c r="BZ3903" s="331"/>
      <c r="CA3903" s="462"/>
      <c r="CB3903" s="319"/>
      <c r="CC3903" s="319"/>
      <c r="CD3903" s="319"/>
      <c r="CE3903" s="319"/>
      <c r="CF3903" s="319"/>
      <c r="CG3903" s="319"/>
      <c r="CH3903" s="318"/>
      <c r="CI3903" s="319"/>
      <c r="CJ3903" s="319"/>
      <c r="CK3903" s="342"/>
      <c r="CL3903" s="333"/>
      <c r="CM3903" s="1079"/>
      <c r="CN3903" s="1005"/>
      <c r="CO3903" s="1005"/>
      <c r="CP3903" s="1005"/>
    </row>
    <row r="3904">
      <c r="A3904" s="1257"/>
      <c r="B3904" s="1113"/>
      <c r="C3904" s="1107"/>
      <c r="D3904" s="103"/>
      <c r="E3904" s="1137"/>
      <c r="F3904" s="112"/>
      <c r="G3904" s="1110"/>
      <c r="H3904" s="1138"/>
      <c r="I3904" s="1138"/>
      <c r="J3904" s="1139"/>
      <c r="K3904" s="1111"/>
      <c r="L3904" s="1112"/>
      <c r="M3904" s="1113"/>
      <c r="N3904" s="110"/>
      <c r="O3904" s="1140"/>
      <c r="P3904" s="1115"/>
      <c r="Q3904" s="1116"/>
      <c r="R3904" s="1141"/>
      <c r="S3904" s="1113"/>
      <c r="T3904" s="1143"/>
      <c r="U3904" s="1108"/>
      <c r="V3904" s="1108"/>
      <c r="W3904" s="1108"/>
      <c r="X3904" s="1108"/>
      <c r="Y3904" s="1108"/>
      <c r="Z3904" s="1114"/>
      <c r="AA3904" s="1114"/>
      <c r="AB3904" s="1114"/>
      <c r="AC3904" s="1117"/>
      <c r="AD3904" s="1115"/>
      <c r="AE3904" s="1115"/>
      <c r="AF3904" s="1115"/>
      <c r="AG3904" s="1115"/>
      <c r="AH3904" s="1115"/>
      <c r="AI3904" s="1115"/>
      <c r="AJ3904" s="1117"/>
      <c r="AK3904" s="1118"/>
      <c r="AL3904" s="1115"/>
      <c r="AM3904" s="1115"/>
      <c r="AN3904" s="1115"/>
      <c r="AO3904" s="1115"/>
      <c r="AP3904" s="1115"/>
      <c r="AQ3904" s="1115"/>
      <c r="AR3904" s="1115"/>
      <c r="AS3904" s="1117"/>
      <c r="AT3904" s="1075"/>
      <c r="AU3904" s="1193"/>
      <c r="AV3904" s="330"/>
      <c r="AW3904" s="331"/>
      <c r="AX3904" s="331"/>
      <c r="AY3904" s="331"/>
      <c r="AZ3904" s="331"/>
      <c r="BA3904" s="331"/>
      <c r="BB3904" s="331"/>
      <c r="BC3904" s="331"/>
      <c r="BD3904" s="331"/>
      <c r="BE3904" s="333"/>
      <c r="BF3904" s="330"/>
      <c r="BG3904" s="333"/>
      <c r="BH3904" s="1119"/>
      <c r="BI3904" s="319"/>
      <c r="BJ3904" s="319"/>
      <c r="BK3904" s="319"/>
      <c r="BL3904" s="319"/>
      <c r="BM3904" s="319"/>
      <c r="BN3904" s="319"/>
      <c r="BO3904" s="319"/>
      <c r="BP3904" s="953"/>
      <c r="BQ3904" s="319"/>
      <c r="BR3904" s="319"/>
      <c r="BS3904" s="330"/>
      <c r="BT3904" s="331"/>
      <c r="BU3904" s="920"/>
      <c r="BV3904" s="903"/>
      <c r="BW3904" s="908"/>
      <c r="BX3904" s="908"/>
      <c r="BY3904" s="331"/>
      <c r="BZ3904" s="331"/>
      <c r="CA3904" s="462"/>
      <c r="CB3904" s="319"/>
      <c r="CC3904" s="319"/>
      <c r="CD3904" s="319"/>
      <c r="CE3904" s="319"/>
      <c r="CF3904" s="319"/>
      <c r="CG3904" s="319"/>
      <c r="CH3904" s="318"/>
      <c r="CI3904" s="319"/>
      <c r="CJ3904" s="319"/>
      <c r="CK3904" s="342"/>
      <c r="CL3904" s="333"/>
      <c r="CM3904" s="1079"/>
      <c r="CN3904" s="1005"/>
      <c r="CO3904" s="1005"/>
      <c r="CP3904" s="1005"/>
    </row>
    <row r="3905">
      <c r="A3905" s="1257"/>
      <c r="B3905" s="1113"/>
      <c r="C3905" s="1107"/>
      <c r="D3905" s="103"/>
      <c r="E3905" s="1137"/>
      <c r="F3905" s="112"/>
      <c r="G3905" s="1110"/>
      <c r="H3905" s="1138"/>
      <c r="I3905" s="1138"/>
      <c r="J3905" s="1139"/>
      <c r="K3905" s="1111"/>
      <c r="L3905" s="1112"/>
      <c r="M3905" s="1113"/>
      <c r="N3905" s="110"/>
      <c r="O3905" s="1140"/>
      <c r="P3905" s="1115"/>
      <c r="Q3905" s="1116"/>
      <c r="R3905" s="1141"/>
      <c r="S3905" s="1113"/>
      <c r="T3905" s="1143"/>
      <c r="U3905" s="1108"/>
      <c r="V3905" s="1108"/>
      <c r="W3905" s="1108"/>
      <c r="X3905" s="1108"/>
      <c r="Y3905" s="1108"/>
      <c r="Z3905" s="1114"/>
      <c r="AA3905" s="1114"/>
      <c r="AB3905" s="1114"/>
      <c r="AC3905" s="1117"/>
      <c r="AD3905" s="1115"/>
      <c r="AE3905" s="1115"/>
      <c r="AF3905" s="1115"/>
      <c r="AG3905" s="1115"/>
      <c r="AH3905" s="1115"/>
      <c r="AI3905" s="1115"/>
      <c r="AJ3905" s="1117"/>
      <c r="AK3905" s="1118"/>
      <c r="AL3905" s="1115"/>
      <c r="AM3905" s="1115"/>
      <c r="AN3905" s="1115"/>
      <c r="AO3905" s="1115"/>
      <c r="AP3905" s="1115"/>
      <c r="AQ3905" s="1115"/>
      <c r="AR3905" s="1115"/>
      <c r="AS3905" s="1117"/>
      <c r="AT3905" s="1075"/>
      <c r="AU3905" s="1193"/>
      <c r="AV3905" s="330"/>
      <c r="AW3905" s="331"/>
      <c r="AX3905" s="331"/>
      <c r="AY3905" s="331"/>
      <c r="AZ3905" s="331"/>
      <c r="BA3905" s="331"/>
      <c r="BB3905" s="331"/>
      <c r="BC3905" s="331"/>
      <c r="BD3905" s="331"/>
      <c r="BE3905" s="333"/>
      <c r="BF3905" s="330"/>
      <c r="BG3905" s="333"/>
      <c r="BH3905" s="1119"/>
      <c r="BI3905" s="319"/>
      <c r="BJ3905" s="319"/>
      <c r="BK3905" s="319"/>
      <c r="BL3905" s="319"/>
      <c r="BM3905" s="319"/>
      <c r="BN3905" s="319"/>
      <c r="BO3905" s="319"/>
      <c r="BP3905" s="953"/>
      <c r="BQ3905" s="319"/>
      <c r="BR3905" s="319"/>
      <c r="BS3905" s="330"/>
      <c r="BT3905" s="331"/>
      <c r="BU3905" s="920"/>
      <c r="BV3905" s="903"/>
      <c r="BW3905" s="908"/>
      <c r="BX3905" s="908"/>
      <c r="BY3905" s="331"/>
      <c r="BZ3905" s="331"/>
      <c r="CA3905" s="462"/>
      <c r="CB3905" s="319"/>
      <c r="CC3905" s="319"/>
      <c r="CD3905" s="319"/>
      <c r="CE3905" s="319"/>
      <c r="CF3905" s="319"/>
      <c r="CG3905" s="319"/>
      <c r="CH3905" s="318"/>
      <c r="CI3905" s="319"/>
      <c r="CJ3905" s="319"/>
      <c r="CK3905" s="342"/>
      <c r="CL3905" s="333"/>
      <c r="CM3905" s="1079"/>
      <c r="CN3905" s="1005"/>
      <c r="CO3905" s="1005"/>
      <c r="CP3905" s="1005"/>
    </row>
    <row r="3906">
      <c r="A3906" s="1257"/>
      <c r="B3906" s="1113"/>
      <c r="C3906" s="1107"/>
      <c r="D3906" s="103"/>
      <c r="E3906" s="1137"/>
      <c r="F3906" s="112"/>
      <c r="G3906" s="1110"/>
      <c r="H3906" s="1138"/>
      <c r="I3906" s="1138"/>
      <c r="J3906" s="1139"/>
      <c r="K3906" s="1111"/>
      <c r="L3906" s="1112"/>
      <c r="M3906" s="1113"/>
      <c r="N3906" s="110"/>
      <c r="O3906" s="1140"/>
      <c r="P3906" s="1115"/>
      <c r="Q3906" s="1116"/>
      <c r="R3906" s="1141"/>
      <c r="S3906" s="1113"/>
      <c r="T3906" s="1143"/>
      <c r="U3906" s="1108"/>
      <c r="V3906" s="1108"/>
      <c r="W3906" s="1108"/>
      <c r="X3906" s="1108"/>
      <c r="Y3906" s="1108"/>
      <c r="Z3906" s="1114"/>
      <c r="AA3906" s="1114"/>
      <c r="AB3906" s="1114"/>
      <c r="AC3906" s="1117"/>
      <c r="AD3906" s="1115"/>
      <c r="AE3906" s="1115"/>
      <c r="AF3906" s="1115"/>
      <c r="AG3906" s="1115"/>
      <c r="AH3906" s="1115"/>
      <c r="AI3906" s="1115"/>
      <c r="AJ3906" s="1117"/>
      <c r="AK3906" s="1118"/>
      <c r="AL3906" s="1115"/>
      <c r="AM3906" s="1115"/>
      <c r="AN3906" s="1115"/>
      <c r="AO3906" s="1115"/>
      <c r="AP3906" s="1115"/>
      <c r="AQ3906" s="1115"/>
      <c r="AR3906" s="1115"/>
      <c r="AS3906" s="1117"/>
      <c r="AT3906" s="1075"/>
      <c r="AU3906" s="1193"/>
      <c r="AV3906" s="330"/>
      <c r="AW3906" s="331"/>
      <c r="AX3906" s="331"/>
      <c r="AY3906" s="331"/>
      <c r="AZ3906" s="331"/>
      <c r="BA3906" s="331"/>
      <c r="BB3906" s="331"/>
      <c r="BC3906" s="331"/>
      <c r="BD3906" s="331"/>
      <c r="BE3906" s="333"/>
      <c r="BF3906" s="330"/>
      <c r="BG3906" s="333"/>
      <c r="BH3906" s="1119"/>
      <c r="BI3906" s="319"/>
      <c r="BJ3906" s="319"/>
      <c r="BK3906" s="319"/>
      <c r="BL3906" s="319"/>
      <c r="BM3906" s="319"/>
      <c r="BN3906" s="319"/>
      <c r="BO3906" s="319"/>
      <c r="BP3906" s="953"/>
      <c r="BQ3906" s="319"/>
      <c r="BR3906" s="319"/>
      <c r="BS3906" s="330"/>
      <c r="BT3906" s="331"/>
      <c r="BU3906" s="920"/>
      <c r="BV3906" s="903"/>
      <c r="BW3906" s="908"/>
      <c r="BX3906" s="908"/>
      <c r="BY3906" s="331"/>
      <c r="BZ3906" s="331"/>
      <c r="CA3906" s="462"/>
      <c r="CB3906" s="319"/>
      <c r="CC3906" s="319"/>
      <c r="CD3906" s="319"/>
      <c r="CE3906" s="319"/>
      <c r="CF3906" s="319"/>
      <c r="CG3906" s="319"/>
      <c r="CH3906" s="318"/>
      <c r="CI3906" s="319"/>
      <c r="CJ3906" s="319"/>
      <c r="CK3906" s="342"/>
      <c r="CL3906" s="333"/>
      <c r="CM3906" s="1079"/>
      <c r="CN3906" s="1005"/>
      <c r="CO3906" s="1005"/>
      <c r="CP3906" s="1005"/>
    </row>
    <row r="3907">
      <c r="A3907" s="1257"/>
      <c r="B3907" s="1113"/>
      <c r="C3907" s="1107"/>
      <c r="D3907" s="103"/>
      <c r="E3907" s="1137"/>
      <c r="F3907" s="112"/>
      <c r="G3907" s="1110"/>
      <c r="H3907" s="1138"/>
      <c r="I3907" s="1138"/>
      <c r="J3907" s="1139"/>
      <c r="K3907" s="1111"/>
      <c r="L3907" s="1112"/>
      <c r="M3907" s="1113"/>
      <c r="N3907" s="110"/>
      <c r="O3907" s="1140"/>
      <c r="P3907" s="1115"/>
      <c r="Q3907" s="1116"/>
      <c r="R3907" s="1141"/>
      <c r="S3907" s="1113"/>
      <c r="T3907" s="1143"/>
      <c r="U3907" s="1108"/>
      <c r="V3907" s="1108"/>
      <c r="W3907" s="1108"/>
      <c r="X3907" s="1108"/>
      <c r="Y3907" s="1108"/>
      <c r="Z3907" s="1114"/>
      <c r="AA3907" s="1114"/>
      <c r="AB3907" s="1114"/>
      <c r="AC3907" s="1117"/>
      <c r="AD3907" s="1115"/>
      <c r="AE3907" s="1115"/>
      <c r="AF3907" s="1115"/>
      <c r="AG3907" s="1115"/>
      <c r="AH3907" s="1115"/>
      <c r="AI3907" s="1115"/>
      <c r="AJ3907" s="1117"/>
      <c r="AK3907" s="1118"/>
      <c r="AL3907" s="1115"/>
      <c r="AM3907" s="1115"/>
      <c r="AN3907" s="1115"/>
      <c r="AO3907" s="1115"/>
      <c r="AP3907" s="1115"/>
      <c r="AQ3907" s="1115"/>
      <c r="AR3907" s="1115"/>
      <c r="AS3907" s="1117"/>
      <c r="AT3907" s="1075"/>
      <c r="AU3907" s="1193"/>
      <c r="AV3907" s="330"/>
      <c r="AW3907" s="331"/>
      <c r="AX3907" s="331"/>
      <c r="AY3907" s="331"/>
      <c r="AZ3907" s="331"/>
      <c r="BA3907" s="331"/>
      <c r="BB3907" s="331"/>
      <c r="BC3907" s="331"/>
      <c r="BD3907" s="331"/>
      <c r="BE3907" s="333"/>
      <c r="BF3907" s="330"/>
      <c r="BG3907" s="333"/>
      <c r="BH3907" s="1119"/>
      <c r="BI3907" s="319"/>
      <c r="BJ3907" s="319"/>
      <c r="BK3907" s="319"/>
      <c r="BL3907" s="319"/>
      <c r="BM3907" s="319"/>
      <c r="BN3907" s="319"/>
      <c r="BO3907" s="319"/>
      <c r="BP3907" s="953"/>
      <c r="BQ3907" s="319"/>
      <c r="BR3907" s="319"/>
      <c r="BS3907" s="330"/>
      <c r="BT3907" s="331"/>
      <c r="BU3907" s="920"/>
      <c r="BV3907" s="903"/>
      <c r="BW3907" s="908"/>
      <c r="BX3907" s="908"/>
      <c r="BY3907" s="331"/>
      <c r="BZ3907" s="331"/>
      <c r="CA3907" s="462"/>
      <c r="CB3907" s="319"/>
      <c r="CC3907" s="319"/>
      <c r="CD3907" s="319"/>
      <c r="CE3907" s="319"/>
      <c r="CF3907" s="319"/>
      <c r="CG3907" s="319"/>
      <c r="CH3907" s="318"/>
      <c r="CI3907" s="319"/>
      <c r="CJ3907" s="319"/>
      <c r="CK3907" s="342"/>
      <c r="CL3907" s="333"/>
      <c r="CM3907" s="1079"/>
      <c r="CN3907" s="1005"/>
      <c r="CO3907" s="1005"/>
      <c r="CP3907" s="1005"/>
    </row>
    <row r="3908">
      <c r="A3908" s="1257"/>
      <c r="B3908" s="1113"/>
      <c r="C3908" s="1107"/>
      <c r="D3908" s="103"/>
      <c r="E3908" s="1137"/>
      <c r="F3908" s="112"/>
      <c r="G3908" s="1110"/>
      <c r="H3908" s="1138"/>
      <c r="I3908" s="1138"/>
      <c r="J3908" s="1139"/>
      <c r="K3908" s="1111"/>
      <c r="L3908" s="1112"/>
      <c r="M3908" s="1113"/>
      <c r="N3908" s="110"/>
      <c r="O3908" s="1140"/>
      <c r="P3908" s="1115"/>
      <c r="Q3908" s="1116"/>
      <c r="R3908" s="1141"/>
      <c r="S3908" s="1113"/>
      <c r="T3908" s="1143"/>
      <c r="U3908" s="1108"/>
      <c r="V3908" s="1108"/>
      <c r="W3908" s="1108"/>
      <c r="X3908" s="1108"/>
      <c r="Y3908" s="1108"/>
      <c r="Z3908" s="1114"/>
      <c r="AA3908" s="1114"/>
      <c r="AB3908" s="1114"/>
      <c r="AC3908" s="1117"/>
      <c r="AD3908" s="1115"/>
      <c r="AE3908" s="1115"/>
      <c r="AF3908" s="1115"/>
      <c r="AG3908" s="1115"/>
      <c r="AH3908" s="1115"/>
      <c r="AI3908" s="1115"/>
      <c r="AJ3908" s="1117"/>
      <c r="AK3908" s="1118"/>
      <c r="AL3908" s="1115"/>
      <c r="AM3908" s="1115"/>
      <c r="AN3908" s="1115"/>
      <c r="AO3908" s="1115"/>
      <c r="AP3908" s="1115"/>
      <c r="AQ3908" s="1115"/>
      <c r="AR3908" s="1115"/>
      <c r="AS3908" s="1117"/>
      <c r="AT3908" s="1075"/>
      <c r="AU3908" s="1193"/>
      <c r="AV3908" s="330"/>
      <c r="AW3908" s="331"/>
      <c r="AX3908" s="331"/>
      <c r="AY3908" s="331"/>
      <c r="AZ3908" s="331"/>
      <c r="BA3908" s="331"/>
      <c r="BB3908" s="331"/>
      <c r="BC3908" s="331"/>
      <c r="BD3908" s="331"/>
      <c r="BE3908" s="333"/>
      <c r="BF3908" s="330"/>
      <c r="BG3908" s="333"/>
      <c r="BH3908" s="1119"/>
      <c r="BI3908" s="319"/>
      <c r="BJ3908" s="319"/>
      <c r="BK3908" s="319"/>
      <c r="BL3908" s="319"/>
      <c r="BM3908" s="319"/>
      <c r="BN3908" s="319"/>
      <c r="BO3908" s="319"/>
      <c r="BP3908" s="953"/>
      <c r="BQ3908" s="319"/>
      <c r="BR3908" s="319"/>
      <c r="BS3908" s="330"/>
      <c r="BT3908" s="331"/>
      <c r="BU3908" s="920"/>
      <c r="BV3908" s="903"/>
      <c r="BW3908" s="908"/>
      <c r="BX3908" s="908"/>
      <c r="BY3908" s="331"/>
      <c r="BZ3908" s="331"/>
      <c r="CA3908" s="462"/>
      <c r="CB3908" s="319"/>
      <c r="CC3908" s="319"/>
      <c r="CD3908" s="319"/>
      <c r="CE3908" s="319"/>
      <c r="CF3908" s="319"/>
      <c r="CG3908" s="319"/>
      <c r="CH3908" s="318"/>
      <c r="CI3908" s="319"/>
      <c r="CJ3908" s="319"/>
      <c r="CK3908" s="342"/>
      <c r="CL3908" s="333"/>
      <c r="CM3908" s="1079"/>
      <c r="CN3908" s="1005"/>
      <c r="CO3908" s="1005"/>
      <c r="CP3908" s="1005"/>
    </row>
    <row r="3909">
      <c r="A3909" s="1257"/>
      <c r="B3909" s="1113"/>
      <c r="C3909" s="1107"/>
      <c r="D3909" s="103"/>
      <c r="E3909" s="1137"/>
      <c r="F3909" s="112"/>
      <c r="G3909" s="1110"/>
      <c r="H3909" s="1138"/>
      <c r="I3909" s="1138"/>
      <c r="J3909" s="1139"/>
      <c r="K3909" s="1111"/>
      <c r="L3909" s="1112"/>
      <c r="M3909" s="1113"/>
      <c r="N3909" s="110"/>
      <c r="O3909" s="1140"/>
      <c r="P3909" s="1115"/>
      <c r="Q3909" s="1116"/>
      <c r="R3909" s="1141"/>
      <c r="S3909" s="1113"/>
      <c r="T3909" s="1143"/>
      <c r="U3909" s="1108"/>
      <c r="V3909" s="1108"/>
      <c r="W3909" s="1108"/>
      <c r="X3909" s="1108"/>
      <c r="Y3909" s="1108"/>
      <c r="Z3909" s="1114"/>
      <c r="AA3909" s="1114"/>
      <c r="AB3909" s="1114"/>
      <c r="AC3909" s="1117"/>
      <c r="AD3909" s="1115"/>
      <c r="AE3909" s="1115"/>
      <c r="AF3909" s="1115"/>
      <c r="AG3909" s="1115"/>
      <c r="AH3909" s="1115"/>
      <c r="AI3909" s="1115"/>
      <c r="AJ3909" s="1117"/>
      <c r="AK3909" s="1118"/>
      <c r="AL3909" s="1115"/>
      <c r="AM3909" s="1115"/>
      <c r="AN3909" s="1115"/>
      <c r="AO3909" s="1115"/>
      <c r="AP3909" s="1115"/>
      <c r="AQ3909" s="1115"/>
      <c r="AR3909" s="1115"/>
      <c r="AS3909" s="1117"/>
      <c r="AT3909" s="1075"/>
      <c r="AU3909" s="1193"/>
      <c r="AV3909" s="330"/>
      <c r="AW3909" s="331"/>
      <c r="AX3909" s="331"/>
      <c r="AY3909" s="331"/>
      <c r="AZ3909" s="331"/>
      <c r="BA3909" s="331"/>
      <c r="BB3909" s="331"/>
      <c r="BC3909" s="331"/>
      <c r="BD3909" s="331"/>
      <c r="BE3909" s="333"/>
      <c r="BF3909" s="330"/>
      <c r="BG3909" s="333"/>
      <c r="BH3909" s="1119"/>
      <c r="BI3909" s="319"/>
      <c r="BJ3909" s="319"/>
      <c r="BK3909" s="319"/>
      <c r="BL3909" s="319"/>
      <c r="BM3909" s="319"/>
      <c r="BN3909" s="319"/>
      <c r="BO3909" s="319"/>
      <c r="BP3909" s="953"/>
      <c r="BQ3909" s="319"/>
      <c r="BR3909" s="319"/>
      <c r="BS3909" s="330"/>
      <c r="BT3909" s="331"/>
      <c r="BU3909" s="920"/>
      <c r="BV3909" s="903"/>
      <c r="BW3909" s="908"/>
      <c r="BX3909" s="908"/>
      <c r="BY3909" s="331"/>
      <c r="BZ3909" s="331"/>
      <c r="CA3909" s="462"/>
      <c r="CB3909" s="319"/>
      <c r="CC3909" s="319"/>
      <c r="CD3909" s="319"/>
      <c r="CE3909" s="319"/>
      <c r="CF3909" s="319"/>
      <c r="CG3909" s="319"/>
      <c r="CH3909" s="318"/>
      <c r="CI3909" s="319"/>
      <c r="CJ3909" s="319"/>
      <c r="CK3909" s="342"/>
      <c r="CL3909" s="333"/>
      <c r="CM3909" s="1079"/>
      <c r="CN3909" s="1005"/>
      <c r="CO3909" s="1005"/>
      <c r="CP3909" s="1005"/>
    </row>
    <row r="3910">
      <c r="A3910" s="1257"/>
      <c r="B3910" s="1113"/>
      <c r="C3910" s="1107"/>
      <c r="D3910" s="103"/>
      <c r="E3910" s="1137"/>
      <c r="F3910" s="112"/>
      <c r="G3910" s="1110"/>
      <c r="H3910" s="1138"/>
      <c r="I3910" s="1138"/>
      <c r="J3910" s="1139"/>
      <c r="K3910" s="1111"/>
      <c r="L3910" s="1112"/>
      <c r="M3910" s="1113"/>
      <c r="N3910" s="110"/>
      <c r="O3910" s="1140"/>
      <c r="P3910" s="1115"/>
      <c r="Q3910" s="1116"/>
      <c r="R3910" s="1141"/>
      <c r="S3910" s="1113"/>
      <c r="T3910" s="1143"/>
      <c r="U3910" s="1108"/>
      <c r="V3910" s="1108"/>
      <c r="W3910" s="1108"/>
      <c r="X3910" s="1108"/>
      <c r="Y3910" s="1108"/>
      <c r="Z3910" s="1114"/>
      <c r="AA3910" s="1114"/>
      <c r="AB3910" s="1114"/>
      <c r="AC3910" s="1117"/>
      <c r="AD3910" s="1115"/>
      <c r="AE3910" s="1115"/>
      <c r="AF3910" s="1115"/>
      <c r="AG3910" s="1115"/>
      <c r="AH3910" s="1115"/>
      <c r="AI3910" s="1115"/>
      <c r="AJ3910" s="1117"/>
      <c r="AK3910" s="1118"/>
      <c r="AL3910" s="1115"/>
      <c r="AM3910" s="1115"/>
      <c r="AN3910" s="1115"/>
      <c r="AO3910" s="1115"/>
      <c r="AP3910" s="1115"/>
      <c r="AQ3910" s="1115"/>
      <c r="AR3910" s="1115"/>
      <c r="AS3910" s="1117"/>
      <c r="AT3910" s="1075"/>
      <c r="AU3910" s="1193"/>
      <c r="AV3910" s="330"/>
      <c r="AW3910" s="331"/>
      <c r="AX3910" s="331"/>
      <c r="AY3910" s="331"/>
      <c r="AZ3910" s="331"/>
      <c r="BA3910" s="331"/>
      <c r="BB3910" s="331"/>
      <c r="BC3910" s="331"/>
      <c r="BD3910" s="331"/>
      <c r="BE3910" s="333"/>
      <c r="BF3910" s="330"/>
      <c r="BG3910" s="333"/>
      <c r="BH3910" s="1119"/>
      <c r="BI3910" s="319"/>
      <c r="BJ3910" s="319"/>
      <c r="BK3910" s="319"/>
      <c r="BL3910" s="319"/>
      <c r="BM3910" s="319"/>
      <c r="BN3910" s="319"/>
      <c r="BO3910" s="319"/>
      <c r="BP3910" s="953"/>
      <c r="BQ3910" s="319"/>
      <c r="BR3910" s="319"/>
      <c r="BS3910" s="330"/>
      <c r="BT3910" s="331"/>
      <c r="BU3910" s="920"/>
      <c r="BV3910" s="903"/>
      <c r="BW3910" s="908"/>
      <c r="BX3910" s="908"/>
      <c r="BY3910" s="331"/>
      <c r="BZ3910" s="331"/>
      <c r="CA3910" s="462"/>
      <c r="CB3910" s="319"/>
      <c r="CC3910" s="319"/>
      <c r="CD3910" s="319"/>
      <c r="CE3910" s="319"/>
      <c r="CF3910" s="319"/>
      <c r="CG3910" s="319"/>
      <c r="CH3910" s="318"/>
      <c r="CI3910" s="319"/>
      <c r="CJ3910" s="319"/>
      <c r="CK3910" s="342"/>
      <c r="CL3910" s="333"/>
      <c r="CM3910" s="1079"/>
      <c r="CN3910" s="1005"/>
      <c r="CO3910" s="1005"/>
      <c r="CP3910" s="1005"/>
    </row>
    <row r="3911">
      <c r="A3911" s="1257"/>
      <c r="B3911" s="1113"/>
      <c r="C3911" s="1107"/>
      <c r="D3911" s="103"/>
      <c r="E3911" s="1137"/>
      <c r="F3911" s="112"/>
      <c r="G3911" s="1110"/>
      <c r="H3911" s="1138"/>
      <c r="I3911" s="1138"/>
      <c r="J3911" s="1139"/>
      <c r="K3911" s="1111"/>
      <c r="L3911" s="1112"/>
      <c r="M3911" s="1113"/>
      <c r="N3911" s="110"/>
      <c r="O3911" s="1140"/>
      <c r="P3911" s="1115"/>
      <c r="Q3911" s="1116"/>
      <c r="R3911" s="1141"/>
      <c r="S3911" s="1113"/>
      <c r="T3911" s="1143"/>
      <c r="U3911" s="1108"/>
      <c r="V3911" s="1108"/>
      <c r="W3911" s="1108"/>
      <c r="X3911" s="1108"/>
      <c r="Y3911" s="1108"/>
      <c r="Z3911" s="1114"/>
      <c r="AA3911" s="1114"/>
      <c r="AB3911" s="1114"/>
      <c r="AC3911" s="1117"/>
      <c r="AD3911" s="1115"/>
      <c r="AE3911" s="1115"/>
      <c r="AF3911" s="1115"/>
      <c r="AG3911" s="1115"/>
      <c r="AH3911" s="1115"/>
      <c r="AI3911" s="1115"/>
      <c r="AJ3911" s="1117"/>
      <c r="AK3911" s="1118"/>
      <c r="AL3911" s="1115"/>
      <c r="AM3911" s="1115"/>
      <c r="AN3911" s="1115"/>
      <c r="AO3911" s="1115"/>
      <c r="AP3911" s="1115"/>
      <c r="AQ3911" s="1115"/>
      <c r="AR3911" s="1115"/>
      <c r="AS3911" s="1117"/>
      <c r="AT3911" s="1075"/>
      <c r="AU3911" s="1193"/>
      <c r="AV3911" s="330"/>
      <c r="AW3911" s="331"/>
      <c r="AX3911" s="331"/>
      <c r="AY3911" s="331"/>
      <c r="AZ3911" s="331"/>
      <c r="BA3911" s="331"/>
      <c r="BB3911" s="331"/>
      <c r="BC3911" s="331"/>
      <c r="BD3911" s="331"/>
      <c r="BE3911" s="333"/>
      <c r="BF3911" s="330"/>
      <c r="BG3911" s="333"/>
      <c r="BH3911" s="1119"/>
      <c r="BI3911" s="319"/>
      <c r="BJ3911" s="319"/>
      <c r="BK3911" s="319"/>
      <c r="BL3911" s="319"/>
      <c r="BM3911" s="319"/>
      <c r="BN3911" s="319"/>
      <c r="BO3911" s="319"/>
      <c r="BP3911" s="953"/>
      <c r="BQ3911" s="319"/>
      <c r="BR3911" s="319"/>
      <c r="BS3911" s="330"/>
      <c r="BT3911" s="331"/>
      <c r="BU3911" s="920"/>
      <c r="BV3911" s="903"/>
      <c r="BW3911" s="908"/>
      <c r="BX3911" s="908"/>
      <c r="BY3911" s="331"/>
      <c r="BZ3911" s="331"/>
      <c r="CA3911" s="462"/>
      <c r="CB3911" s="319"/>
      <c r="CC3911" s="319"/>
      <c r="CD3911" s="319"/>
      <c r="CE3911" s="319"/>
      <c r="CF3911" s="319"/>
      <c r="CG3911" s="319"/>
      <c r="CH3911" s="318"/>
      <c r="CI3911" s="319"/>
      <c r="CJ3911" s="319"/>
      <c r="CK3911" s="342"/>
      <c r="CL3911" s="333"/>
      <c r="CM3911" s="1079"/>
      <c r="CN3911" s="1005"/>
      <c r="CO3911" s="1005"/>
      <c r="CP3911" s="1005"/>
    </row>
    <row r="3912">
      <c r="A3912" s="1257"/>
      <c r="B3912" s="1113"/>
      <c r="C3912" s="1107"/>
      <c r="D3912" s="103"/>
      <c r="E3912" s="1137"/>
      <c r="F3912" s="112"/>
      <c r="G3912" s="1110"/>
      <c r="H3912" s="1138"/>
      <c r="I3912" s="1138"/>
      <c r="J3912" s="1139"/>
      <c r="K3912" s="1111"/>
      <c r="L3912" s="1112"/>
      <c r="M3912" s="1113"/>
      <c r="N3912" s="110"/>
      <c r="O3912" s="1140"/>
      <c r="P3912" s="1115"/>
      <c r="Q3912" s="1116"/>
      <c r="R3912" s="1141"/>
      <c r="S3912" s="1113"/>
      <c r="T3912" s="1143"/>
      <c r="U3912" s="1108"/>
      <c r="V3912" s="1108"/>
      <c r="W3912" s="1108"/>
      <c r="X3912" s="1108"/>
      <c r="Y3912" s="1108"/>
      <c r="Z3912" s="1114"/>
      <c r="AA3912" s="1114"/>
      <c r="AB3912" s="1114"/>
      <c r="AC3912" s="1117"/>
      <c r="AD3912" s="1115"/>
      <c r="AE3912" s="1115"/>
      <c r="AF3912" s="1115"/>
      <c r="AG3912" s="1115"/>
      <c r="AH3912" s="1115"/>
      <c r="AI3912" s="1115"/>
      <c r="AJ3912" s="1117"/>
      <c r="AK3912" s="1118"/>
      <c r="AL3912" s="1115"/>
      <c r="AM3912" s="1115"/>
      <c r="AN3912" s="1115"/>
      <c r="AO3912" s="1115"/>
      <c r="AP3912" s="1115"/>
      <c r="AQ3912" s="1115"/>
      <c r="AR3912" s="1115"/>
      <c r="AS3912" s="1117"/>
      <c r="AT3912" s="1075"/>
      <c r="AU3912" s="1193"/>
      <c r="AV3912" s="330"/>
      <c r="AW3912" s="331"/>
      <c r="AX3912" s="331"/>
      <c r="AY3912" s="331"/>
      <c r="AZ3912" s="331"/>
      <c r="BA3912" s="331"/>
      <c r="BB3912" s="331"/>
      <c r="BC3912" s="331"/>
      <c r="BD3912" s="331"/>
      <c r="BE3912" s="333"/>
      <c r="BF3912" s="330"/>
      <c r="BG3912" s="333"/>
      <c r="BH3912" s="1119"/>
      <c r="BI3912" s="319"/>
      <c r="BJ3912" s="319"/>
      <c r="BK3912" s="319"/>
      <c r="BL3912" s="319"/>
      <c r="BM3912" s="319"/>
      <c r="BN3912" s="319"/>
      <c r="BO3912" s="319"/>
      <c r="BP3912" s="953"/>
      <c r="BQ3912" s="319"/>
      <c r="BR3912" s="319"/>
      <c r="BS3912" s="330"/>
      <c r="BT3912" s="331"/>
      <c r="BU3912" s="920"/>
      <c r="BV3912" s="903"/>
      <c r="BW3912" s="908"/>
      <c r="BX3912" s="908"/>
      <c r="BY3912" s="331"/>
      <c r="BZ3912" s="331"/>
      <c r="CA3912" s="462"/>
      <c r="CB3912" s="319"/>
      <c r="CC3912" s="319"/>
      <c r="CD3912" s="319"/>
      <c r="CE3912" s="319"/>
      <c r="CF3912" s="319"/>
      <c r="CG3912" s="319"/>
      <c r="CH3912" s="318"/>
      <c r="CI3912" s="319"/>
      <c r="CJ3912" s="319"/>
      <c r="CK3912" s="342"/>
      <c r="CL3912" s="333"/>
      <c r="CM3912" s="1079"/>
      <c r="CN3912" s="1005"/>
      <c r="CO3912" s="1005"/>
      <c r="CP3912" s="1005"/>
    </row>
    <row r="3913">
      <c r="A3913" s="1257"/>
      <c r="B3913" s="1113"/>
      <c r="C3913" s="1107"/>
      <c r="D3913" s="103"/>
      <c r="E3913" s="1137"/>
      <c r="F3913" s="112"/>
      <c r="G3913" s="1110"/>
      <c r="H3913" s="1138"/>
      <c r="I3913" s="1138"/>
      <c r="J3913" s="1139"/>
      <c r="K3913" s="1111"/>
      <c r="L3913" s="1112"/>
      <c r="M3913" s="1113"/>
      <c r="N3913" s="110"/>
      <c r="O3913" s="1140"/>
      <c r="P3913" s="1115"/>
      <c r="Q3913" s="1116"/>
      <c r="R3913" s="1141"/>
      <c r="S3913" s="1113"/>
      <c r="T3913" s="1143"/>
      <c r="U3913" s="1108"/>
      <c r="V3913" s="1108"/>
      <c r="W3913" s="1108"/>
      <c r="X3913" s="1108"/>
      <c r="Y3913" s="1108"/>
      <c r="Z3913" s="1114"/>
      <c r="AA3913" s="1114"/>
      <c r="AB3913" s="1114"/>
      <c r="AC3913" s="1117"/>
      <c r="AD3913" s="1115"/>
      <c r="AE3913" s="1115"/>
      <c r="AF3913" s="1115"/>
      <c r="AG3913" s="1115"/>
      <c r="AH3913" s="1115"/>
      <c r="AI3913" s="1115"/>
      <c r="AJ3913" s="1117"/>
      <c r="AK3913" s="1118"/>
      <c r="AL3913" s="1115"/>
      <c r="AM3913" s="1115"/>
      <c r="AN3913" s="1115"/>
      <c r="AO3913" s="1115"/>
      <c r="AP3913" s="1115"/>
      <c r="AQ3913" s="1115"/>
      <c r="AR3913" s="1115"/>
      <c r="AS3913" s="1117"/>
      <c r="AT3913" s="1075"/>
      <c r="AU3913" s="1193"/>
      <c r="AV3913" s="330"/>
      <c r="AW3913" s="331"/>
      <c r="AX3913" s="331"/>
      <c r="AY3913" s="331"/>
      <c r="AZ3913" s="331"/>
      <c r="BA3913" s="331"/>
      <c r="BB3913" s="331"/>
      <c r="BC3913" s="331"/>
      <c r="BD3913" s="331"/>
      <c r="BE3913" s="333"/>
      <c r="BF3913" s="330"/>
      <c r="BG3913" s="333"/>
      <c r="BH3913" s="1119"/>
      <c r="BI3913" s="319"/>
      <c r="BJ3913" s="319"/>
      <c r="BK3913" s="319"/>
      <c r="BL3913" s="319"/>
      <c r="BM3913" s="319"/>
      <c r="BN3913" s="319"/>
      <c r="BO3913" s="319"/>
      <c r="BP3913" s="953"/>
      <c r="BQ3913" s="319"/>
      <c r="BR3913" s="319"/>
      <c r="BS3913" s="330"/>
      <c r="BT3913" s="331"/>
      <c r="BU3913" s="920"/>
      <c r="BV3913" s="903"/>
      <c r="BW3913" s="908"/>
      <c r="BX3913" s="908"/>
      <c r="BY3913" s="331"/>
      <c r="BZ3913" s="331"/>
      <c r="CA3913" s="462"/>
      <c r="CB3913" s="319"/>
      <c r="CC3913" s="319"/>
      <c r="CD3913" s="319"/>
      <c r="CE3913" s="319"/>
      <c r="CF3913" s="319"/>
      <c r="CG3913" s="319"/>
      <c r="CH3913" s="318"/>
      <c r="CI3913" s="319"/>
      <c r="CJ3913" s="319"/>
      <c r="CK3913" s="342"/>
      <c r="CL3913" s="333"/>
      <c r="CM3913" s="1079"/>
      <c r="CN3913" s="1005"/>
      <c r="CO3913" s="1005"/>
      <c r="CP3913" s="1005"/>
    </row>
    <row r="3914">
      <c r="A3914" s="1257"/>
      <c r="B3914" s="1113"/>
      <c r="C3914" s="1107"/>
      <c r="D3914" s="103"/>
      <c r="E3914" s="1137"/>
      <c r="F3914" s="112"/>
      <c r="G3914" s="1110"/>
      <c r="H3914" s="1138"/>
      <c r="I3914" s="1138"/>
      <c r="J3914" s="1139"/>
      <c r="K3914" s="1111"/>
      <c r="L3914" s="1112"/>
      <c r="M3914" s="1113"/>
      <c r="N3914" s="110"/>
      <c r="O3914" s="1140"/>
      <c r="P3914" s="1115"/>
      <c r="Q3914" s="1116"/>
      <c r="R3914" s="1141"/>
      <c r="S3914" s="1113"/>
      <c r="T3914" s="1143"/>
      <c r="U3914" s="1108"/>
      <c r="V3914" s="1108"/>
      <c r="W3914" s="1108"/>
      <c r="X3914" s="1108"/>
      <c r="Y3914" s="1108"/>
      <c r="Z3914" s="1114"/>
      <c r="AA3914" s="1114"/>
      <c r="AB3914" s="1114"/>
      <c r="AC3914" s="1117"/>
      <c r="AD3914" s="1115"/>
      <c r="AE3914" s="1115"/>
      <c r="AF3914" s="1115"/>
      <c r="AG3914" s="1115"/>
      <c r="AH3914" s="1115"/>
      <c r="AI3914" s="1115"/>
      <c r="AJ3914" s="1117"/>
      <c r="AK3914" s="1118"/>
      <c r="AL3914" s="1115"/>
      <c r="AM3914" s="1115"/>
      <c r="AN3914" s="1115"/>
      <c r="AO3914" s="1115"/>
      <c r="AP3914" s="1115"/>
      <c r="AQ3914" s="1115"/>
      <c r="AR3914" s="1115"/>
      <c r="AS3914" s="1117"/>
      <c r="AT3914" s="1075"/>
      <c r="AU3914" s="1193"/>
      <c r="AV3914" s="330"/>
      <c r="AW3914" s="331"/>
      <c r="AX3914" s="331"/>
      <c r="AY3914" s="331"/>
      <c r="AZ3914" s="331"/>
      <c r="BA3914" s="331"/>
      <c r="BB3914" s="331"/>
      <c r="BC3914" s="331"/>
      <c r="BD3914" s="331"/>
      <c r="BE3914" s="333"/>
      <c r="BF3914" s="330"/>
      <c r="BG3914" s="333"/>
      <c r="BH3914" s="1119"/>
      <c r="BI3914" s="319"/>
      <c r="BJ3914" s="319"/>
      <c r="BK3914" s="319"/>
      <c r="BL3914" s="319"/>
      <c r="BM3914" s="319"/>
      <c r="BN3914" s="319"/>
      <c r="BO3914" s="319"/>
      <c r="BP3914" s="953"/>
      <c r="BQ3914" s="319"/>
      <c r="BR3914" s="319"/>
      <c r="BS3914" s="330"/>
      <c r="BT3914" s="331"/>
      <c r="BU3914" s="920"/>
      <c r="BV3914" s="903"/>
      <c r="BW3914" s="908"/>
      <c r="BX3914" s="908"/>
      <c r="BY3914" s="331"/>
      <c r="BZ3914" s="331"/>
      <c r="CA3914" s="462"/>
      <c r="CB3914" s="319"/>
      <c r="CC3914" s="319"/>
      <c r="CD3914" s="319"/>
      <c r="CE3914" s="319"/>
      <c r="CF3914" s="319"/>
      <c r="CG3914" s="319"/>
      <c r="CH3914" s="318"/>
      <c r="CI3914" s="319"/>
      <c r="CJ3914" s="319"/>
      <c r="CK3914" s="342"/>
      <c r="CL3914" s="333"/>
      <c r="CM3914" s="1079"/>
      <c r="CN3914" s="1005"/>
      <c r="CO3914" s="1005"/>
      <c r="CP3914" s="1005"/>
    </row>
    <row r="3915">
      <c r="A3915" s="1257"/>
      <c r="B3915" s="1113"/>
      <c r="C3915" s="1107"/>
      <c r="D3915" s="103"/>
      <c r="E3915" s="1137"/>
      <c r="F3915" s="112"/>
      <c r="G3915" s="1110"/>
      <c r="H3915" s="1138"/>
      <c r="I3915" s="1138"/>
      <c r="J3915" s="1139"/>
      <c r="K3915" s="1111"/>
      <c r="L3915" s="1112"/>
      <c r="M3915" s="1113"/>
      <c r="N3915" s="110"/>
      <c r="O3915" s="1140"/>
      <c r="P3915" s="1115"/>
      <c r="Q3915" s="1116"/>
      <c r="R3915" s="1141"/>
      <c r="S3915" s="1113"/>
      <c r="T3915" s="1143"/>
      <c r="U3915" s="1108"/>
      <c r="V3915" s="1108"/>
      <c r="W3915" s="1108"/>
      <c r="X3915" s="1108"/>
      <c r="Y3915" s="1108"/>
      <c r="Z3915" s="1114"/>
      <c r="AA3915" s="1114"/>
      <c r="AB3915" s="1114"/>
      <c r="AC3915" s="1117"/>
      <c r="AD3915" s="1115"/>
      <c r="AE3915" s="1115"/>
      <c r="AF3915" s="1115"/>
      <c r="AG3915" s="1115"/>
      <c r="AH3915" s="1115"/>
      <c r="AI3915" s="1115"/>
      <c r="AJ3915" s="1117"/>
      <c r="AK3915" s="1118"/>
      <c r="AL3915" s="1115"/>
      <c r="AM3915" s="1115"/>
      <c r="AN3915" s="1115"/>
      <c r="AO3915" s="1115"/>
      <c r="AP3915" s="1115"/>
      <c r="AQ3915" s="1115"/>
      <c r="AR3915" s="1115"/>
      <c r="AS3915" s="1117"/>
      <c r="AT3915" s="1075"/>
      <c r="AU3915" s="1193"/>
      <c r="AV3915" s="330"/>
      <c r="AW3915" s="331"/>
      <c r="AX3915" s="331"/>
      <c r="AY3915" s="331"/>
      <c r="AZ3915" s="331"/>
      <c r="BA3915" s="331"/>
      <c r="BB3915" s="331"/>
      <c r="BC3915" s="331"/>
      <c r="BD3915" s="331"/>
      <c r="BE3915" s="333"/>
      <c r="BF3915" s="330"/>
      <c r="BG3915" s="333"/>
      <c r="BH3915" s="1119"/>
      <c r="BI3915" s="319"/>
      <c r="BJ3915" s="319"/>
      <c r="BK3915" s="319"/>
      <c r="BL3915" s="319"/>
      <c r="BM3915" s="319"/>
      <c r="BN3915" s="319"/>
      <c r="BO3915" s="319"/>
      <c r="BP3915" s="953"/>
      <c r="BQ3915" s="319"/>
      <c r="BR3915" s="319"/>
      <c r="BS3915" s="330"/>
      <c r="BT3915" s="331"/>
      <c r="BU3915" s="920"/>
      <c r="BV3915" s="903"/>
      <c r="BW3915" s="908"/>
      <c r="BX3915" s="908"/>
      <c r="BY3915" s="331"/>
      <c r="BZ3915" s="331"/>
      <c r="CA3915" s="462"/>
      <c r="CB3915" s="319"/>
      <c r="CC3915" s="319"/>
      <c r="CD3915" s="319"/>
      <c r="CE3915" s="319"/>
      <c r="CF3915" s="319"/>
      <c r="CG3915" s="319"/>
      <c r="CH3915" s="318"/>
      <c r="CI3915" s="319"/>
      <c r="CJ3915" s="319"/>
      <c r="CK3915" s="342"/>
      <c r="CL3915" s="333"/>
      <c r="CM3915" s="1079"/>
      <c r="CN3915" s="1005"/>
      <c r="CO3915" s="1005"/>
      <c r="CP3915" s="1005"/>
    </row>
    <row r="3916">
      <c r="A3916" s="1257"/>
      <c r="B3916" s="1113"/>
      <c r="C3916" s="1107"/>
      <c r="D3916" s="103"/>
      <c r="E3916" s="1137"/>
      <c r="F3916" s="112"/>
      <c r="G3916" s="1110"/>
      <c r="H3916" s="1138"/>
      <c r="I3916" s="1138"/>
      <c r="J3916" s="1139"/>
      <c r="K3916" s="1111"/>
      <c r="L3916" s="1112"/>
      <c r="M3916" s="1113"/>
      <c r="N3916" s="110"/>
      <c r="O3916" s="1140"/>
      <c r="P3916" s="1115"/>
      <c r="Q3916" s="1116"/>
      <c r="R3916" s="1141"/>
      <c r="S3916" s="1113"/>
      <c r="T3916" s="1143"/>
      <c r="U3916" s="1108"/>
      <c r="V3916" s="1108"/>
      <c r="W3916" s="1108"/>
      <c r="X3916" s="1108"/>
      <c r="Y3916" s="1108"/>
      <c r="Z3916" s="1114"/>
      <c r="AA3916" s="1114"/>
      <c r="AB3916" s="1114"/>
      <c r="AC3916" s="1117"/>
      <c r="AD3916" s="1115"/>
      <c r="AE3916" s="1115"/>
      <c r="AF3916" s="1115"/>
      <c r="AG3916" s="1115"/>
      <c r="AH3916" s="1115"/>
      <c r="AI3916" s="1115"/>
      <c r="AJ3916" s="1117"/>
      <c r="AK3916" s="1118"/>
      <c r="AL3916" s="1115"/>
      <c r="AM3916" s="1115"/>
      <c r="AN3916" s="1115"/>
      <c r="AO3916" s="1115"/>
      <c r="AP3916" s="1115"/>
      <c r="AQ3916" s="1115"/>
      <c r="AR3916" s="1115"/>
      <c r="AS3916" s="1117"/>
      <c r="AT3916" s="1075"/>
      <c r="AU3916" s="1193"/>
      <c r="AV3916" s="330"/>
      <c r="AW3916" s="331"/>
      <c r="AX3916" s="331"/>
      <c r="AY3916" s="331"/>
      <c r="AZ3916" s="331"/>
      <c r="BA3916" s="331"/>
      <c r="BB3916" s="331"/>
      <c r="BC3916" s="331"/>
      <c r="BD3916" s="331"/>
      <c r="BE3916" s="333"/>
      <c r="BF3916" s="330"/>
      <c r="BG3916" s="333"/>
      <c r="BH3916" s="1119"/>
      <c r="BI3916" s="319"/>
      <c r="BJ3916" s="319"/>
      <c r="BK3916" s="319"/>
      <c r="BL3916" s="319"/>
      <c r="BM3916" s="319"/>
      <c r="BN3916" s="319"/>
      <c r="BO3916" s="319"/>
      <c r="BP3916" s="953"/>
      <c r="BQ3916" s="319"/>
      <c r="BR3916" s="319"/>
      <c r="BS3916" s="330"/>
      <c r="BT3916" s="331"/>
      <c r="BU3916" s="920"/>
      <c r="BV3916" s="903"/>
      <c r="BW3916" s="908"/>
      <c r="BX3916" s="908"/>
      <c r="BY3916" s="331"/>
      <c r="BZ3916" s="331"/>
      <c r="CA3916" s="462"/>
      <c r="CB3916" s="319"/>
      <c r="CC3916" s="319"/>
      <c r="CD3916" s="319"/>
      <c r="CE3916" s="319"/>
      <c r="CF3916" s="319"/>
      <c r="CG3916" s="319"/>
      <c r="CH3916" s="318"/>
      <c r="CI3916" s="319"/>
      <c r="CJ3916" s="319"/>
      <c r="CK3916" s="342"/>
      <c r="CL3916" s="333"/>
      <c r="CM3916" s="1079"/>
      <c r="CN3916" s="1005"/>
      <c r="CO3916" s="1005"/>
      <c r="CP3916" s="1005"/>
    </row>
    <row r="3917">
      <c r="A3917" s="1257"/>
      <c r="B3917" s="1113"/>
      <c r="C3917" s="1107"/>
      <c r="D3917" s="103"/>
      <c r="E3917" s="1137"/>
      <c r="F3917" s="112"/>
      <c r="G3917" s="1110"/>
      <c r="H3917" s="1138"/>
      <c r="I3917" s="1138"/>
      <c r="J3917" s="1139"/>
      <c r="K3917" s="1111"/>
      <c r="L3917" s="1112"/>
      <c r="M3917" s="1113"/>
      <c r="N3917" s="110"/>
      <c r="O3917" s="1140"/>
      <c r="P3917" s="1115"/>
      <c r="Q3917" s="1116"/>
      <c r="R3917" s="1141"/>
      <c r="S3917" s="1113"/>
      <c r="T3917" s="1143"/>
      <c r="U3917" s="1108"/>
      <c r="V3917" s="1108"/>
      <c r="W3917" s="1108"/>
      <c r="X3917" s="1108"/>
      <c r="Y3917" s="1108"/>
      <c r="Z3917" s="1114"/>
      <c r="AA3917" s="1114"/>
      <c r="AB3917" s="1114"/>
      <c r="AC3917" s="1117"/>
      <c r="AD3917" s="1115"/>
      <c r="AE3917" s="1115"/>
      <c r="AF3917" s="1115"/>
      <c r="AG3917" s="1115"/>
      <c r="AH3917" s="1115"/>
      <c r="AI3917" s="1115"/>
      <c r="AJ3917" s="1117"/>
      <c r="AK3917" s="1118"/>
      <c r="AL3917" s="1115"/>
      <c r="AM3917" s="1115"/>
      <c r="AN3917" s="1115"/>
      <c r="AO3917" s="1115"/>
      <c r="AP3917" s="1115"/>
      <c r="AQ3917" s="1115"/>
      <c r="AR3917" s="1115"/>
      <c r="AS3917" s="1117"/>
      <c r="AT3917" s="1075"/>
      <c r="AU3917" s="1193"/>
      <c r="AV3917" s="330"/>
      <c r="AW3917" s="331"/>
      <c r="AX3917" s="331"/>
      <c r="AY3917" s="331"/>
      <c r="AZ3917" s="331"/>
      <c r="BA3917" s="331"/>
      <c r="BB3917" s="331"/>
      <c r="BC3917" s="331"/>
      <c r="BD3917" s="331"/>
      <c r="BE3917" s="333"/>
      <c r="BF3917" s="330"/>
      <c r="BG3917" s="333"/>
      <c r="BH3917" s="1119"/>
      <c r="BI3917" s="319"/>
      <c r="BJ3917" s="319"/>
      <c r="BK3917" s="319"/>
      <c r="BL3917" s="319"/>
      <c r="BM3917" s="319"/>
      <c r="BN3917" s="319"/>
      <c r="BO3917" s="319"/>
      <c r="BP3917" s="953"/>
      <c r="BQ3917" s="319"/>
      <c r="BR3917" s="319"/>
      <c r="BS3917" s="330"/>
      <c r="BT3917" s="331"/>
      <c r="BU3917" s="920"/>
      <c r="BV3917" s="903"/>
      <c r="BW3917" s="908"/>
      <c r="BX3917" s="908"/>
      <c r="BY3917" s="331"/>
      <c r="BZ3917" s="331"/>
      <c r="CA3917" s="462"/>
      <c r="CB3917" s="319"/>
      <c r="CC3917" s="319"/>
      <c r="CD3917" s="319"/>
      <c r="CE3917" s="319"/>
      <c r="CF3917" s="319"/>
      <c r="CG3917" s="319"/>
      <c r="CH3917" s="318"/>
      <c r="CI3917" s="319"/>
      <c r="CJ3917" s="319"/>
      <c r="CK3917" s="342"/>
      <c r="CL3917" s="333"/>
      <c r="CM3917" s="1079"/>
      <c r="CN3917" s="1005"/>
      <c r="CO3917" s="1005"/>
      <c r="CP3917" s="1005"/>
    </row>
    <row r="3918">
      <c r="A3918" s="1257"/>
      <c r="B3918" s="1113"/>
      <c r="C3918" s="1107"/>
      <c r="D3918" s="103"/>
      <c r="E3918" s="1137"/>
      <c r="F3918" s="112"/>
      <c r="G3918" s="1110"/>
      <c r="H3918" s="1138"/>
      <c r="I3918" s="1138"/>
      <c r="J3918" s="1139"/>
      <c r="K3918" s="1111"/>
      <c r="L3918" s="1112"/>
      <c r="M3918" s="1113"/>
      <c r="N3918" s="110"/>
      <c r="O3918" s="1140"/>
      <c r="P3918" s="1115"/>
      <c r="Q3918" s="1116"/>
      <c r="R3918" s="1141"/>
      <c r="S3918" s="1113"/>
      <c r="T3918" s="1143"/>
      <c r="U3918" s="1108"/>
      <c r="V3918" s="1108"/>
      <c r="W3918" s="1108"/>
      <c r="X3918" s="1108"/>
      <c r="Y3918" s="1108"/>
      <c r="Z3918" s="1114"/>
      <c r="AA3918" s="1114"/>
      <c r="AB3918" s="1114"/>
      <c r="AC3918" s="1117"/>
      <c r="AD3918" s="1115"/>
      <c r="AE3918" s="1115"/>
      <c r="AF3918" s="1115"/>
      <c r="AG3918" s="1115"/>
      <c r="AH3918" s="1115"/>
      <c r="AI3918" s="1115"/>
      <c r="AJ3918" s="1117"/>
      <c r="AK3918" s="1118"/>
      <c r="AL3918" s="1115"/>
      <c r="AM3918" s="1115"/>
      <c r="AN3918" s="1115"/>
      <c r="AO3918" s="1115"/>
      <c r="AP3918" s="1115"/>
      <c r="AQ3918" s="1115"/>
      <c r="AR3918" s="1115"/>
      <c r="AS3918" s="1117"/>
      <c r="AT3918" s="1075"/>
      <c r="AU3918" s="1193"/>
      <c r="AV3918" s="330"/>
      <c r="AW3918" s="331"/>
      <c r="AX3918" s="331"/>
      <c r="AY3918" s="331"/>
      <c r="AZ3918" s="331"/>
      <c r="BA3918" s="331"/>
      <c r="BB3918" s="331"/>
      <c r="BC3918" s="331"/>
      <c r="BD3918" s="331"/>
      <c r="BE3918" s="333"/>
      <c r="BF3918" s="330"/>
      <c r="BG3918" s="333"/>
      <c r="BH3918" s="1119"/>
      <c r="BI3918" s="319"/>
      <c r="BJ3918" s="319"/>
      <c r="BK3918" s="319"/>
      <c r="BL3918" s="319"/>
      <c r="BM3918" s="319"/>
      <c r="BN3918" s="319"/>
      <c r="BO3918" s="319"/>
      <c r="BP3918" s="953"/>
      <c r="BQ3918" s="319"/>
      <c r="BR3918" s="319"/>
      <c r="BS3918" s="330"/>
      <c r="BT3918" s="331"/>
      <c r="BU3918" s="920"/>
      <c r="BV3918" s="903"/>
      <c r="BW3918" s="908"/>
      <c r="BX3918" s="908"/>
      <c r="BY3918" s="331"/>
      <c r="BZ3918" s="331"/>
      <c r="CA3918" s="462"/>
      <c r="CB3918" s="319"/>
      <c r="CC3918" s="319"/>
      <c r="CD3918" s="319"/>
      <c r="CE3918" s="319"/>
      <c r="CF3918" s="319"/>
      <c r="CG3918" s="319"/>
      <c r="CH3918" s="318"/>
      <c r="CI3918" s="319"/>
      <c r="CJ3918" s="319"/>
      <c r="CK3918" s="342"/>
      <c r="CL3918" s="333"/>
      <c r="CM3918" s="1079"/>
      <c r="CN3918" s="1005"/>
      <c r="CO3918" s="1005"/>
      <c r="CP3918" s="1005"/>
    </row>
    <row r="3919">
      <c r="A3919" s="1257"/>
      <c r="B3919" s="1113"/>
      <c r="C3919" s="1107"/>
      <c r="D3919" s="103"/>
      <c r="E3919" s="1137"/>
      <c r="F3919" s="112"/>
      <c r="G3919" s="1110"/>
      <c r="H3919" s="1138"/>
      <c r="I3919" s="1138"/>
      <c r="J3919" s="1139"/>
      <c r="K3919" s="1111"/>
      <c r="L3919" s="1112"/>
      <c r="M3919" s="1113"/>
      <c r="N3919" s="110"/>
      <c r="O3919" s="1140"/>
      <c r="P3919" s="1115"/>
      <c r="Q3919" s="1116"/>
      <c r="R3919" s="1141"/>
      <c r="S3919" s="1113"/>
      <c r="T3919" s="1143"/>
      <c r="U3919" s="1108"/>
      <c r="V3919" s="1108"/>
      <c r="W3919" s="1108"/>
      <c r="X3919" s="1108"/>
      <c r="Y3919" s="1108"/>
      <c r="Z3919" s="1114"/>
      <c r="AA3919" s="1114"/>
      <c r="AB3919" s="1114"/>
      <c r="AC3919" s="1117"/>
      <c r="AD3919" s="1115"/>
      <c r="AE3919" s="1115"/>
      <c r="AF3919" s="1115"/>
      <c r="AG3919" s="1115"/>
      <c r="AH3919" s="1115"/>
      <c r="AI3919" s="1115"/>
      <c r="AJ3919" s="1117"/>
      <c r="AK3919" s="1118"/>
      <c r="AL3919" s="1115"/>
      <c r="AM3919" s="1115"/>
      <c r="AN3919" s="1115"/>
      <c r="AO3919" s="1115"/>
      <c r="AP3919" s="1115"/>
      <c r="AQ3919" s="1115"/>
      <c r="AR3919" s="1115"/>
      <c r="AS3919" s="1117"/>
      <c r="AT3919" s="1075"/>
      <c r="AU3919" s="1193"/>
      <c r="AV3919" s="330"/>
      <c r="AW3919" s="331"/>
      <c r="AX3919" s="331"/>
      <c r="AY3919" s="331"/>
      <c r="AZ3919" s="331"/>
      <c r="BA3919" s="331"/>
      <c r="BB3919" s="331"/>
      <c r="BC3919" s="331"/>
      <c r="BD3919" s="331"/>
      <c r="BE3919" s="333"/>
      <c r="BF3919" s="330"/>
      <c r="BG3919" s="333"/>
      <c r="BH3919" s="1119"/>
      <c r="BI3919" s="319"/>
      <c r="BJ3919" s="319"/>
      <c r="BK3919" s="319"/>
      <c r="BL3919" s="319"/>
      <c r="BM3919" s="319"/>
      <c r="BN3919" s="319"/>
      <c r="BO3919" s="319"/>
      <c r="BP3919" s="953"/>
      <c r="BQ3919" s="319"/>
      <c r="BR3919" s="319"/>
      <c r="BS3919" s="330"/>
      <c r="BT3919" s="331"/>
      <c r="BU3919" s="920"/>
      <c r="BV3919" s="903"/>
      <c r="BW3919" s="908"/>
      <c r="BX3919" s="908"/>
      <c r="BY3919" s="331"/>
      <c r="BZ3919" s="331"/>
      <c r="CA3919" s="462"/>
      <c r="CB3919" s="319"/>
      <c r="CC3919" s="319"/>
      <c r="CD3919" s="319"/>
      <c r="CE3919" s="319"/>
      <c r="CF3919" s="319"/>
      <c r="CG3919" s="319"/>
      <c r="CH3919" s="318"/>
      <c r="CI3919" s="319"/>
      <c r="CJ3919" s="319"/>
      <c r="CK3919" s="342"/>
      <c r="CL3919" s="333"/>
      <c r="CM3919" s="1079"/>
      <c r="CN3919" s="1005"/>
      <c r="CO3919" s="1005"/>
      <c r="CP3919" s="1005"/>
    </row>
    <row r="3920">
      <c r="A3920" s="1257"/>
      <c r="B3920" s="1113"/>
      <c r="C3920" s="1107"/>
      <c r="D3920" s="103"/>
      <c r="E3920" s="1137"/>
      <c r="F3920" s="112"/>
      <c r="G3920" s="1110"/>
      <c r="H3920" s="1138"/>
      <c r="I3920" s="1138"/>
      <c r="J3920" s="1139"/>
      <c r="K3920" s="1111"/>
      <c r="L3920" s="1112"/>
      <c r="M3920" s="1113"/>
      <c r="N3920" s="110"/>
      <c r="O3920" s="1140"/>
      <c r="P3920" s="1115"/>
      <c r="Q3920" s="1116"/>
      <c r="R3920" s="1141"/>
      <c r="S3920" s="1113"/>
      <c r="T3920" s="1143"/>
      <c r="U3920" s="1108"/>
      <c r="V3920" s="1108"/>
      <c r="W3920" s="1108"/>
      <c r="X3920" s="1108"/>
      <c r="Y3920" s="1108"/>
      <c r="Z3920" s="1114"/>
      <c r="AA3920" s="1114"/>
      <c r="AB3920" s="1114"/>
      <c r="AC3920" s="1117"/>
      <c r="AD3920" s="1115"/>
      <c r="AE3920" s="1115"/>
      <c r="AF3920" s="1115"/>
      <c r="AG3920" s="1115"/>
      <c r="AH3920" s="1115"/>
      <c r="AI3920" s="1115"/>
      <c r="AJ3920" s="1117"/>
      <c r="AK3920" s="1118"/>
      <c r="AL3920" s="1115"/>
      <c r="AM3920" s="1115"/>
      <c r="AN3920" s="1115"/>
      <c r="AO3920" s="1115"/>
      <c r="AP3920" s="1115"/>
      <c r="AQ3920" s="1115"/>
      <c r="AR3920" s="1115"/>
      <c r="AS3920" s="1117"/>
      <c r="AT3920" s="1075"/>
      <c r="AU3920" s="1193"/>
      <c r="AV3920" s="330"/>
      <c r="AW3920" s="331"/>
      <c r="AX3920" s="331"/>
      <c r="AY3920" s="331"/>
      <c r="AZ3920" s="331"/>
      <c r="BA3920" s="331"/>
      <c r="BB3920" s="331"/>
      <c r="BC3920" s="331"/>
      <c r="BD3920" s="331"/>
      <c r="BE3920" s="333"/>
      <c r="BF3920" s="330"/>
      <c r="BG3920" s="333"/>
      <c r="BH3920" s="1119"/>
      <c r="BI3920" s="319"/>
      <c r="BJ3920" s="319"/>
      <c r="BK3920" s="319"/>
      <c r="BL3920" s="319"/>
      <c r="BM3920" s="319"/>
      <c r="BN3920" s="319"/>
      <c r="BO3920" s="319"/>
      <c r="BP3920" s="953"/>
      <c r="BQ3920" s="319"/>
      <c r="BR3920" s="319"/>
      <c r="BS3920" s="330"/>
      <c r="BT3920" s="331"/>
      <c r="BU3920" s="920"/>
      <c r="BV3920" s="903"/>
      <c r="BW3920" s="908"/>
      <c r="BX3920" s="908"/>
      <c r="BY3920" s="331"/>
      <c r="BZ3920" s="331"/>
      <c r="CA3920" s="462"/>
      <c r="CB3920" s="319"/>
      <c r="CC3920" s="319"/>
      <c r="CD3920" s="319"/>
      <c r="CE3920" s="319"/>
      <c r="CF3920" s="319"/>
      <c r="CG3920" s="319"/>
      <c r="CH3920" s="318"/>
      <c r="CI3920" s="319"/>
      <c r="CJ3920" s="319"/>
      <c r="CK3920" s="342"/>
      <c r="CL3920" s="333"/>
      <c r="CM3920" s="1079"/>
      <c r="CN3920" s="1005"/>
      <c r="CO3920" s="1005"/>
      <c r="CP3920" s="1005"/>
    </row>
    <row r="3921">
      <c r="A3921" s="1257"/>
      <c r="B3921" s="1113"/>
      <c r="C3921" s="1107"/>
      <c r="D3921" s="103"/>
      <c r="E3921" s="1137"/>
      <c r="F3921" s="112"/>
      <c r="G3921" s="1110"/>
      <c r="H3921" s="1138"/>
      <c r="I3921" s="1138"/>
      <c r="J3921" s="1139"/>
      <c r="K3921" s="1111"/>
      <c r="L3921" s="1112"/>
      <c r="M3921" s="1113"/>
      <c r="N3921" s="110"/>
      <c r="O3921" s="1140"/>
      <c r="P3921" s="1115"/>
      <c r="Q3921" s="1116"/>
      <c r="R3921" s="1141"/>
      <c r="S3921" s="1113"/>
      <c r="T3921" s="1143"/>
      <c r="U3921" s="1108"/>
      <c r="V3921" s="1108"/>
      <c r="W3921" s="1108"/>
      <c r="X3921" s="1108"/>
      <c r="Y3921" s="1108"/>
      <c r="Z3921" s="1114"/>
      <c r="AA3921" s="1114"/>
      <c r="AB3921" s="1114"/>
      <c r="AC3921" s="1117"/>
      <c r="AD3921" s="1115"/>
      <c r="AE3921" s="1115"/>
      <c r="AF3921" s="1115"/>
      <c r="AG3921" s="1115"/>
      <c r="AH3921" s="1115"/>
      <c r="AI3921" s="1115"/>
      <c r="AJ3921" s="1117"/>
      <c r="AK3921" s="1118"/>
      <c r="AL3921" s="1115"/>
      <c r="AM3921" s="1115"/>
      <c r="AN3921" s="1115"/>
      <c r="AO3921" s="1115"/>
      <c r="AP3921" s="1115"/>
      <c r="AQ3921" s="1115"/>
      <c r="AR3921" s="1115"/>
      <c r="AS3921" s="1117"/>
      <c r="AT3921" s="1075"/>
      <c r="AU3921" s="1193"/>
      <c r="AV3921" s="330"/>
      <c r="AW3921" s="331"/>
      <c r="AX3921" s="331"/>
      <c r="AY3921" s="331"/>
      <c r="AZ3921" s="331"/>
      <c r="BA3921" s="331"/>
      <c r="BB3921" s="331"/>
      <c r="BC3921" s="331"/>
      <c r="BD3921" s="331"/>
      <c r="BE3921" s="333"/>
      <c r="BF3921" s="330"/>
      <c r="BG3921" s="333"/>
      <c r="BH3921" s="1119"/>
      <c r="BI3921" s="319"/>
      <c r="BJ3921" s="319"/>
      <c r="BK3921" s="319"/>
      <c r="BL3921" s="319"/>
      <c r="BM3921" s="319"/>
      <c r="BN3921" s="319"/>
      <c r="BO3921" s="319"/>
      <c r="BP3921" s="953"/>
      <c r="BQ3921" s="319"/>
      <c r="BR3921" s="319"/>
      <c r="BS3921" s="330"/>
      <c r="BT3921" s="331"/>
      <c r="BU3921" s="920"/>
      <c r="BV3921" s="903"/>
      <c r="BW3921" s="908"/>
      <c r="BX3921" s="908"/>
      <c r="BY3921" s="331"/>
      <c r="BZ3921" s="331"/>
      <c r="CA3921" s="462"/>
      <c r="CB3921" s="319"/>
      <c r="CC3921" s="319"/>
      <c r="CD3921" s="319"/>
      <c r="CE3921" s="319"/>
      <c r="CF3921" s="319"/>
      <c r="CG3921" s="319"/>
      <c r="CH3921" s="318"/>
      <c r="CI3921" s="319"/>
      <c r="CJ3921" s="319"/>
      <c r="CK3921" s="342"/>
      <c r="CL3921" s="333"/>
      <c r="CM3921" s="1079"/>
      <c r="CN3921" s="1005"/>
      <c r="CO3921" s="1005"/>
      <c r="CP3921" s="1005"/>
    </row>
    <row r="3922">
      <c r="A3922" s="1257"/>
      <c r="B3922" s="1113"/>
      <c r="C3922" s="1107"/>
      <c r="D3922" s="103"/>
      <c r="E3922" s="1137"/>
      <c r="F3922" s="112"/>
      <c r="G3922" s="1110"/>
      <c r="H3922" s="1138"/>
      <c r="I3922" s="1138"/>
      <c r="J3922" s="1139"/>
      <c r="K3922" s="1111"/>
      <c r="L3922" s="1112"/>
      <c r="M3922" s="1113"/>
      <c r="N3922" s="110"/>
      <c r="O3922" s="1140"/>
      <c r="P3922" s="1115"/>
      <c r="Q3922" s="1116"/>
      <c r="R3922" s="1141"/>
      <c r="S3922" s="1113"/>
      <c r="T3922" s="1143"/>
      <c r="U3922" s="1108"/>
      <c r="V3922" s="1108"/>
      <c r="W3922" s="1108"/>
      <c r="X3922" s="1108"/>
      <c r="Y3922" s="1108"/>
      <c r="Z3922" s="1114"/>
      <c r="AA3922" s="1114"/>
      <c r="AB3922" s="1114"/>
      <c r="AC3922" s="1117"/>
      <c r="AD3922" s="1115"/>
      <c r="AE3922" s="1115"/>
      <c r="AF3922" s="1115"/>
      <c r="AG3922" s="1115"/>
      <c r="AH3922" s="1115"/>
      <c r="AI3922" s="1115"/>
      <c r="AJ3922" s="1117"/>
      <c r="AK3922" s="1118"/>
      <c r="AL3922" s="1115"/>
      <c r="AM3922" s="1115"/>
      <c r="AN3922" s="1115"/>
      <c r="AO3922" s="1115"/>
      <c r="AP3922" s="1115"/>
      <c r="AQ3922" s="1115"/>
      <c r="AR3922" s="1115"/>
      <c r="AS3922" s="1117"/>
      <c r="AT3922" s="1075"/>
      <c r="AU3922" s="1193"/>
      <c r="AV3922" s="330"/>
      <c r="AW3922" s="331"/>
      <c r="AX3922" s="331"/>
      <c r="AY3922" s="331"/>
      <c r="AZ3922" s="331"/>
      <c r="BA3922" s="331"/>
      <c r="BB3922" s="331"/>
      <c r="BC3922" s="331"/>
      <c r="BD3922" s="331"/>
      <c r="BE3922" s="333"/>
      <c r="BF3922" s="330"/>
      <c r="BG3922" s="333"/>
      <c r="BH3922" s="1119"/>
      <c r="BI3922" s="319"/>
      <c r="BJ3922" s="319"/>
      <c r="BK3922" s="319"/>
      <c r="BL3922" s="319"/>
      <c r="BM3922" s="319"/>
      <c r="BN3922" s="319"/>
      <c r="BO3922" s="319"/>
      <c r="BP3922" s="953"/>
      <c r="BQ3922" s="319"/>
      <c r="BR3922" s="319"/>
      <c r="BS3922" s="330"/>
      <c r="BT3922" s="331"/>
      <c r="BU3922" s="920"/>
      <c r="BV3922" s="903"/>
      <c r="BW3922" s="908"/>
      <c r="BX3922" s="908"/>
      <c r="BY3922" s="331"/>
      <c r="BZ3922" s="331"/>
      <c r="CA3922" s="462"/>
      <c r="CB3922" s="319"/>
      <c r="CC3922" s="319"/>
      <c r="CD3922" s="319"/>
      <c r="CE3922" s="319"/>
      <c r="CF3922" s="319"/>
      <c r="CG3922" s="319"/>
      <c r="CH3922" s="318"/>
      <c r="CI3922" s="319"/>
      <c r="CJ3922" s="319"/>
      <c r="CK3922" s="342"/>
      <c r="CL3922" s="333"/>
      <c r="CM3922" s="1079"/>
      <c r="CN3922" s="1005"/>
      <c r="CO3922" s="1005"/>
      <c r="CP3922" s="1005"/>
    </row>
    <row r="3923">
      <c r="A3923" s="1257"/>
      <c r="B3923" s="1113"/>
      <c r="C3923" s="1107"/>
      <c r="D3923" s="103"/>
      <c r="E3923" s="1137"/>
      <c r="F3923" s="112"/>
      <c r="G3923" s="1110"/>
      <c r="H3923" s="1138"/>
      <c r="I3923" s="1138"/>
      <c r="J3923" s="1139"/>
      <c r="K3923" s="1111"/>
      <c r="L3923" s="1112"/>
      <c r="M3923" s="1113"/>
      <c r="N3923" s="110"/>
      <c r="O3923" s="1140"/>
      <c r="P3923" s="1115"/>
      <c r="Q3923" s="1116"/>
      <c r="R3923" s="1141"/>
      <c r="S3923" s="1113"/>
      <c r="T3923" s="1143"/>
      <c r="U3923" s="1108"/>
      <c r="V3923" s="1108"/>
      <c r="W3923" s="1108"/>
      <c r="X3923" s="1108"/>
      <c r="Y3923" s="1108"/>
      <c r="Z3923" s="1114"/>
      <c r="AA3923" s="1114"/>
      <c r="AB3923" s="1114"/>
      <c r="AC3923" s="1117"/>
      <c r="AD3923" s="1115"/>
      <c r="AE3923" s="1115"/>
      <c r="AF3923" s="1115"/>
      <c r="AG3923" s="1115"/>
      <c r="AH3923" s="1115"/>
      <c r="AI3923" s="1115"/>
      <c r="AJ3923" s="1117"/>
      <c r="AK3923" s="1118"/>
      <c r="AL3923" s="1115"/>
      <c r="AM3923" s="1115"/>
      <c r="AN3923" s="1115"/>
      <c r="AO3923" s="1115"/>
      <c r="AP3923" s="1115"/>
      <c r="AQ3923" s="1115"/>
      <c r="AR3923" s="1115"/>
      <c r="AS3923" s="1117"/>
      <c r="AT3923" s="1075"/>
      <c r="AU3923" s="1193"/>
      <c r="AV3923" s="330"/>
      <c r="AW3923" s="331"/>
      <c r="AX3923" s="331"/>
      <c r="AY3923" s="331"/>
      <c r="AZ3923" s="331"/>
      <c r="BA3923" s="331"/>
      <c r="BB3923" s="331"/>
      <c r="BC3923" s="331"/>
      <c r="BD3923" s="331"/>
      <c r="BE3923" s="333"/>
      <c r="BF3923" s="330"/>
      <c r="BG3923" s="333"/>
      <c r="BH3923" s="1119"/>
      <c r="BI3923" s="319"/>
      <c r="BJ3923" s="319"/>
      <c r="BK3923" s="319"/>
      <c r="BL3923" s="319"/>
      <c r="BM3923" s="319"/>
      <c r="BN3923" s="319"/>
      <c r="BO3923" s="319"/>
      <c r="BP3923" s="953"/>
      <c r="BQ3923" s="319"/>
      <c r="BR3923" s="319"/>
      <c r="BS3923" s="330"/>
      <c r="BT3923" s="331"/>
      <c r="BU3923" s="920"/>
      <c r="BV3923" s="903"/>
      <c r="BW3923" s="908"/>
      <c r="BX3923" s="908"/>
      <c r="BY3923" s="331"/>
      <c r="BZ3923" s="331"/>
      <c r="CA3923" s="462"/>
      <c r="CB3923" s="319"/>
      <c r="CC3923" s="319"/>
      <c r="CD3923" s="319"/>
      <c r="CE3923" s="319"/>
      <c r="CF3923" s="319"/>
      <c r="CG3923" s="319"/>
      <c r="CH3923" s="318"/>
      <c r="CI3923" s="319"/>
      <c r="CJ3923" s="319"/>
      <c r="CK3923" s="342"/>
      <c r="CL3923" s="333"/>
      <c r="CM3923" s="1079"/>
      <c r="CN3923" s="1005"/>
      <c r="CO3923" s="1005"/>
      <c r="CP3923" s="1005"/>
    </row>
    <row r="3924">
      <c r="A3924" s="1257"/>
      <c r="B3924" s="1113"/>
      <c r="C3924" s="1107"/>
      <c r="D3924" s="103"/>
      <c r="E3924" s="1137"/>
      <c r="F3924" s="112"/>
      <c r="G3924" s="1110"/>
      <c r="H3924" s="1138"/>
      <c r="I3924" s="1138"/>
      <c r="J3924" s="1139"/>
      <c r="K3924" s="1111"/>
      <c r="L3924" s="1112"/>
      <c r="M3924" s="1113"/>
      <c r="N3924" s="110"/>
      <c r="O3924" s="1140"/>
      <c r="P3924" s="1115"/>
      <c r="Q3924" s="1116"/>
      <c r="R3924" s="1141"/>
      <c r="S3924" s="1113"/>
      <c r="T3924" s="1143"/>
      <c r="U3924" s="1108"/>
      <c r="V3924" s="1108"/>
      <c r="W3924" s="1108"/>
      <c r="X3924" s="1108"/>
      <c r="Y3924" s="1108"/>
      <c r="Z3924" s="1114"/>
      <c r="AA3924" s="1114"/>
      <c r="AB3924" s="1114"/>
      <c r="AC3924" s="1117"/>
      <c r="AD3924" s="1115"/>
      <c r="AE3924" s="1115"/>
      <c r="AF3924" s="1115"/>
      <c r="AG3924" s="1115"/>
      <c r="AH3924" s="1115"/>
      <c r="AI3924" s="1115"/>
      <c r="AJ3924" s="1117"/>
      <c r="AK3924" s="1118"/>
      <c r="AL3924" s="1115"/>
      <c r="AM3924" s="1115"/>
      <c r="AN3924" s="1115"/>
      <c r="AO3924" s="1115"/>
      <c r="AP3924" s="1115"/>
      <c r="AQ3924" s="1115"/>
      <c r="AR3924" s="1115"/>
      <c r="AS3924" s="1117"/>
      <c r="AT3924" s="1075"/>
      <c r="AU3924" s="1193"/>
      <c r="AV3924" s="330"/>
      <c r="AW3924" s="331"/>
      <c r="AX3924" s="331"/>
      <c r="AY3924" s="331"/>
      <c r="AZ3924" s="331"/>
      <c r="BA3924" s="331"/>
      <c r="BB3924" s="331"/>
      <c r="BC3924" s="331"/>
      <c r="BD3924" s="331"/>
      <c r="BE3924" s="333"/>
      <c r="BF3924" s="330"/>
      <c r="BG3924" s="333"/>
      <c r="BH3924" s="1119"/>
      <c r="BI3924" s="319"/>
      <c r="BJ3924" s="319"/>
      <c r="BK3924" s="319"/>
      <c r="BL3924" s="319"/>
      <c r="BM3924" s="319"/>
      <c r="BN3924" s="319"/>
      <c r="BO3924" s="319"/>
      <c r="BP3924" s="953"/>
      <c r="BQ3924" s="319"/>
      <c r="BR3924" s="319"/>
      <c r="BS3924" s="330"/>
      <c r="BT3924" s="331"/>
      <c r="BU3924" s="920"/>
      <c r="BV3924" s="903"/>
      <c r="BW3924" s="908"/>
      <c r="BX3924" s="908"/>
      <c r="BY3924" s="331"/>
      <c r="BZ3924" s="331"/>
      <c r="CA3924" s="462"/>
      <c r="CB3924" s="319"/>
      <c r="CC3924" s="319"/>
      <c r="CD3924" s="319"/>
      <c r="CE3924" s="319"/>
      <c r="CF3924" s="319"/>
      <c r="CG3924" s="319"/>
      <c r="CH3924" s="318"/>
      <c r="CI3924" s="319"/>
      <c r="CJ3924" s="319"/>
      <c r="CK3924" s="342"/>
      <c r="CL3924" s="333"/>
      <c r="CM3924" s="1079"/>
      <c r="CN3924" s="1005"/>
      <c r="CO3924" s="1005"/>
      <c r="CP3924" s="1005"/>
    </row>
    <row r="3925">
      <c r="A3925" s="1257"/>
      <c r="B3925" s="1113"/>
      <c r="C3925" s="1107"/>
      <c r="D3925" s="103"/>
      <c r="E3925" s="1137"/>
      <c r="F3925" s="112"/>
      <c r="G3925" s="1110"/>
      <c r="H3925" s="1138"/>
      <c r="I3925" s="1138"/>
      <c r="J3925" s="1139"/>
      <c r="K3925" s="1111"/>
      <c r="L3925" s="1112"/>
      <c r="M3925" s="1113"/>
      <c r="N3925" s="110"/>
      <c r="O3925" s="1140"/>
      <c r="P3925" s="1115"/>
      <c r="Q3925" s="1116"/>
      <c r="R3925" s="1141"/>
      <c r="S3925" s="1113"/>
      <c r="T3925" s="1143"/>
      <c r="U3925" s="1108"/>
      <c r="V3925" s="1108"/>
      <c r="W3925" s="1108"/>
      <c r="X3925" s="1108"/>
      <c r="Y3925" s="1108"/>
      <c r="Z3925" s="1114"/>
      <c r="AA3925" s="1114"/>
      <c r="AB3925" s="1114"/>
      <c r="AC3925" s="1117"/>
      <c r="AD3925" s="1115"/>
      <c r="AE3925" s="1115"/>
      <c r="AF3925" s="1115"/>
      <c r="AG3925" s="1115"/>
      <c r="AH3925" s="1115"/>
      <c r="AI3925" s="1115"/>
      <c r="AJ3925" s="1117"/>
      <c r="AK3925" s="1118"/>
      <c r="AL3925" s="1115"/>
      <c r="AM3925" s="1115"/>
      <c r="AN3925" s="1115"/>
      <c r="AO3925" s="1115"/>
      <c r="AP3925" s="1115"/>
      <c r="AQ3925" s="1115"/>
      <c r="AR3925" s="1115"/>
      <c r="AS3925" s="1117"/>
      <c r="AT3925" s="1075"/>
      <c r="AU3925" s="1193"/>
      <c r="AV3925" s="330"/>
      <c r="AW3925" s="331"/>
      <c r="AX3925" s="331"/>
      <c r="AY3925" s="331"/>
      <c r="AZ3925" s="331"/>
      <c r="BA3925" s="331"/>
      <c r="BB3925" s="331"/>
      <c r="BC3925" s="331"/>
      <c r="BD3925" s="331"/>
      <c r="BE3925" s="333"/>
      <c r="BF3925" s="330"/>
      <c r="BG3925" s="333"/>
      <c r="BH3925" s="1119"/>
      <c r="BI3925" s="319"/>
      <c r="BJ3925" s="319"/>
      <c r="BK3925" s="319"/>
      <c r="BL3925" s="319"/>
      <c r="BM3925" s="319"/>
      <c r="BN3925" s="319"/>
      <c r="BO3925" s="319"/>
      <c r="BP3925" s="953"/>
      <c r="BQ3925" s="319"/>
      <c r="BR3925" s="319"/>
      <c r="BS3925" s="330"/>
      <c r="BT3925" s="331"/>
      <c r="BU3925" s="920"/>
      <c r="BV3925" s="903"/>
      <c r="BW3925" s="908"/>
      <c r="BX3925" s="908"/>
      <c r="BY3925" s="331"/>
      <c r="BZ3925" s="331"/>
      <c r="CA3925" s="462"/>
      <c r="CB3925" s="319"/>
      <c r="CC3925" s="319"/>
      <c r="CD3925" s="319"/>
      <c r="CE3925" s="319"/>
      <c r="CF3925" s="319"/>
      <c r="CG3925" s="319"/>
      <c r="CH3925" s="318"/>
      <c r="CI3925" s="319"/>
      <c r="CJ3925" s="319"/>
      <c r="CK3925" s="342"/>
      <c r="CL3925" s="333"/>
      <c r="CM3925" s="1079"/>
      <c r="CN3925" s="1005"/>
      <c r="CO3925" s="1005"/>
      <c r="CP3925" s="1005"/>
    </row>
    <row r="3926">
      <c r="A3926" s="1257"/>
      <c r="B3926" s="1113"/>
      <c r="C3926" s="1107"/>
      <c r="D3926" s="103"/>
      <c r="E3926" s="1137"/>
      <c r="F3926" s="112"/>
      <c r="G3926" s="1110"/>
      <c r="H3926" s="1138"/>
      <c r="I3926" s="1138"/>
      <c r="J3926" s="1139"/>
      <c r="K3926" s="1111"/>
      <c r="L3926" s="1112"/>
      <c r="M3926" s="1113"/>
      <c r="N3926" s="110"/>
      <c r="O3926" s="1140"/>
      <c r="P3926" s="1115"/>
      <c r="Q3926" s="1116"/>
      <c r="R3926" s="1141"/>
      <c r="S3926" s="1113"/>
      <c r="T3926" s="1143"/>
      <c r="U3926" s="1108"/>
      <c r="V3926" s="1108"/>
      <c r="W3926" s="1108"/>
      <c r="X3926" s="1108"/>
      <c r="Y3926" s="1108"/>
      <c r="Z3926" s="1114"/>
      <c r="AA3926" s="1114"/>
      <c r="AB3926" s="1114"/>
      <c r="AC3926" s="1117"/>
      <c r="AD3926" s="1115"/>
      <c r="AE3926" s="1115"/>
      <c r="AF3926" s="1115"/>
      <c r="AG3926" s="1115"/>
      <c r="AH3926" s="1115"/>
      <c r="AI3926" s="1115"/>
      <c r="AJ3926" s="1117"/>
      <c r="AK3926" s="1118"/>
      <c r="AL3926" s="1115"/>
      <c r="AM3926" s="1115"/>
      <c r="AN3926" s="1115"/>
      <c r="AO3926" s="1115"/>
      <c r="AP3926" s="1115"/>
      <c r="AQ3926" s="1115"/>
      <c r="AR3926" s="1115"/>
      <c r="AS3926" s="1117"/>
      <c r="AT3926" s="1075"/>
      <c r="AU3926" s="1193"/>
      <c r="AV3926" s="330"/>
      <c r="AW3926" s="331"/>
      <c r="AX3926" s="331"/>
      <c r="AY3926" s="331"/>
      <c r="AZ3926" s="331"/>
      <c r="BA3926" s="331"/>
      <c r="BB3926" s="331"/>
      <c r="BC3926" s="331"/>
      <c r="BD3926" s="331"/>
      <c r="BE3926" s="333"/>
      <c r="BF3926" s="330"/>
      <c r="BG3926" s="333"/>
      <c r="BH3926" s="1119"/>
      <c r="BI3926" s="319"/>
      <c r="BJ3926" s="319"/>
      <c r="BK3926" s="319"/>
      <c r="BL3926" s="319"/>
      <c r="BM3926" s="319"/>
      <c r="BN3926" s="319"/>
      <c r="BO3926" s="319"/>
      <c r="BP3926" s="953"/>
      <c r="BQ3926" s="319"/>
      <c r="BR3926" s="319"/>
      <c r="BS3926" s="330"/>
      <c r="BT3926" s="331"/>
      <c r="BU3926" s="920"/>
      <c r="BV3926" s="903"/>
      <c r="BW3926" s="908"/>
      <c r="BX3926" s="908"/>
      <c r="BY3926" s="331"/>
      <c r="BZ3926" s="331"/>
      <c r="CA3926" s="462"/>
      <c r="CB3926" s="319"/>
      <c r="CC3926" s="319"/>
      <c r="CD3926" s="319"/>
      <c r="CE3926" s="319"/>
      <c r="CF3926" s="319"/>
      <c r="CG3926" s="319"/>
      <c r="CH3926" s="318"/>
      <c r="CI3926" s="319"/>
      <c r="CJ3926" s="319"/>
      <c r="CK3926" s="342"/>
      <c r="CL3926" s="333"/>
      <c r="CM3926" s="1079"/>
      <c r="CN3926" s="1005"/>
      <c r="CO3926" s="1005"/>
      <c r="CP3926" s="1005"/>
    </row>
    <row r="3927">
      <c r="A3927" s="1257"/>
      <c r="B3927" s="1113"/>
      <c r="C3927" s="1107"/>
      <c r="D3927" s="103"/>
      <c r="E3927" s="1137"/>
      <c r="F3927" s="112"/>
      <c r="G3927" s="1110"/>
      <c r="H3927" s="1138"/>
      <c r="I3927" s="1138"/>
      <c r="J3927" s="1139"/>
      <c r="K3927" s="1111"/>
      <c r="L3927" s="1112"/>
      <c r="M3927" s="1113"/>
      <c r="N3927" s="110"/>
      <c r="O3927" s="1140"/>
      <c r="P3927" s="1115"/>
      <c r="Q3927" s="1116"/>
      <c r="R3927" s="1141"/>
      <c r="S3927" s="1113"/>
      <c r="T3927" s="1143"/>
      <c r="U3927" s="1108"/>
      <c r="V3927" s="1108"/>
      <c r="W3927" s="1108"/>
      <c r="X3927" s="1108"/>
      <c r="Y3927" s="1108"/>
      <c r="Z3927" s="1114"/>
      <c r="AA3927" s="1114"/>
      <c r="AB3927" s="1114"/>
      <c r="AC3927" s="1117"/>
      <c r="AD3927" s="1115"/>
      <c r="AE3927" s="1115"/>
      <c r="AF3927" s="1115"/>
      <c r="AG3927" s="1115"/>
      <c r="AH3927" s="1115"/>
      <c r="AI3927" s="1115"/>
      <c r="AJ3927" s="1117"/>
      <c r="AK3927" s="1118"/>
      <c r="AL3927" s="1115"/>
      <c r="AM3927" s="1115"/>
      <c r="AN3927" s="1115"/>
      <c r="AO3927" s="1115"/>
      <c r="AP3927" s="1115"/>
      <c r="AQ3927" s="1115"/>
      <c r="AR3927" s="1115"/>
      <c r="AS3927" s="1117"/>
      <c r="AT3927" s="1075"/>
      <c r="AU3927" s="1193"/>
      <c r="AV3927" s="330"/>
      <c r="AW3927" s="331"/>
      <c r="AX3927" s="331"/>
      <c r="AY3927" s="331"/>
      <c r="AZ3927" s="331"/>
      <c r="BA3927" s="331"/>
      <c r="BB3927" s="331"/>
      <c r="BC3927" s="331"/>
      <c r="BD3927" s="331"/>
      <c r="BE3927" s="333"/>
      <c r="BF3927" s="330"/>
      <c r="BG3927" s="333"/>
      <c r="BH3927" s="1119"/>
      <c r="BI3927" s="319"/>
      <c r="BJ3927" s="319"/>
      <c r="BK3927" s="319"/>
      <c r="BL3927" s="319"/>
      <c r="BM3927" s="319"/>
      <c r="BN3927" s="319"/>
      <c r="BO3927" s="319"/>
      <c r="BP3927" s="953"/>
      <c r="BQ3927" s="319"/>
      <c r="BR3927" s="319"/>
      <c r="BS3927" s="330"/>
      <c r="BT3927" s="331"/>
      <c r="BU3927" s="920"/>
      <c r="BV3927" s="903"/>
      <c r="BW3927" s="908"/>
      <c r="BX3927" s="908"/>
      <c r="BY3927" s="331"/>
      <c r="BZ3927" s="331"/>
      <c r="CA3927" s="462"/>
      <c r="CB3927" s="319"/>
      <c r="CC3927" s="319"/>
      <c r="CD3927" s="319"/>
      <c r="CE3927" s="319"/>
      <c r="CF3927" s="319"/>
      <c r="CG3927" s="319"/>
      <c r="CH3927" s="318"/>
      <c r="CI3927" s="319"/>
      <c r="CJ3927" s="319"/>
      <c r="CK3927" s="342"/>
      <c r="CL3927" s="333"/>
      <c r="CM3927" s="1079"/>
      <c r="CN3927" s="1005"/>
      <c r="CO3927" s="1005"/>
      <c r="CP3927" s="1005"/>
    </row>
    <row r="3928">
      <c r="A3928" s="1257"/>
      <c r="B3928" s="1113"/>
      <c r="C3928" s="1107"/>
      <c r="D3928" s="103"/>
      <c r="E3928" s="1137"/>
      <c r="F3928" s="112"/>
      <c r="G3928" s="1110"/>
      <c r="H3928" s="1138"/>
      <c r="I3928" s="1138"/>
      <c r="J3928" s="1139"/>
      <c r="K3928" s="1111"/>
      <c r="L3928" s="1112"/>
      <c r="M3928" s="1113"/>
      <c r="N3928" s="110"/>
      <c r="O3928" s="1140"/>
      <c r="P3928" s="1115"/>
      <c r="Q3928" s="1116"/>
      <c r="R3928" s="1141"/>
      <c r="S3928" s="1113"/>
      <c r="T3928" s="1143"/>
      <c r="U3928" s="1108"/>
      <c r="V3928" s="1108"/>
      <c r="W3928" s="1108"/>
      <c r="X3928" s="1108"/>
      <c r="Y3928" s="1108"/>
      <c r="Z3928" s="1114"/>
      <c r="AA3928" s="1114"/>
      <c r="AB3928" s="1114"/>
      <c r="AC3928" s="1117"/>
      <c r="AD3928" s="1115"/>
      <c r="AE3928" s="1115"/>
      <c r="AF3928" s="1115"/>
      <c r="AG3928" s="1115"/>
      <c r="AH3928" s="1115"/>
      <c r="AI3928" s="1115"/>
      <c r="AJ3928" s="1117"/>
      <c r="AK3928" s="1118"/>
      <c r="AL3928" s="1115"/>
      <c r="AM3928" s="1115"/>
      <c r="AN3928" s="1115"/>
      <c r="AO3928" s="1115"/>
      <c r="AP3928" s="1115"/>
      <c r="AQ3928" s="1115"/>
      <c r="AR3928" s="1115"/>
      <c r="AS3928" s="1117"/>
      <c r="AT3928" s="1075"/>
      <c r="AU3928" s="1193"/>
      <c r="AV3928" s="330"/>
      <c r="AW3928" s="331"/>
      <c r="AX3928" s="331"/>
      <c r="AY3928" s="331"/>
      <c r="AZ3928" s="331"/>
      <c r="BA3928" s="331"/>
      <c r="BB3928" s="331"/>
      <c r="BC3928" s="331"/>
      <c r="BD3928" s="331"/>
      <c r="BE3928" s="333"/>
      <c r="BF3928" s="330"/>
      <c r="BG3928" s="333"/>
      <c r="BH3928" s="1119"/>
      <c r="BI3928" s="319"/>
      <c r="BJ3928" s="319"/>
      <c r="BK3928" s="319"/>
      <c r="BL3928" s="319"/>
      <c r="BM3928" s="319"/>
      <c r="BN3928" s="319"/>
      <c r="BO3928" s="319"/>
      <c r="BP3928" s="953"/>
      <c r="BQ3928" s="319"/>
      <c r="BR3928" s="319"/>
      <c r="BS3928" s="330"/>
      <c r="BT3928" s="331"/>
      <c r="BU3928" s="920"/>
      <c r="BV3928" s="903"/>
      <c r="BW3928" s="908"/>
      <c r="BX3928" s="908"/>
      <c r="BY3928" s="331"/>
      <c r="BZ3928" s="331"/>
      <c r="CA3928" s="462"/>
      <c r="CB3928" s="319"/>
      <c r="CC3928" s="319"/>
      <c r="CD3928" s="319"/>
      <c r="CE3928" s="319"/>
      <c r="CF3928" s="319"/>
      <c r="CG3928" s="319"/>
      <c r="CH3928" s="318"/>
      <c r="CI3928" s="319"/>
      <c r="CJ3928" s="319"/>
      <c r="CK3928" s="342"/>
      <c r="CL3928" s="333"/>
      <c r="CM3928" s="1079"/>
      <c r="CN3928" s="1005"/>
      <c r="CO3928" s="1005"/>
      <c r="CP3928" s="1005"/>
    </row>
    <row r="3929">
      <c r="A3929" s="1257"/>
      <c r="B3929" s="1113"/>
      <c r="C3929" s="1107"/>
      <c r="D3929" s="103"/>
      <c r="E3929" s="1137"/>
      <c r="F3929" s="112"/>
      <c r="G3929" s="1110"/>
      <c r="H3929" s="1138"/>
      <c r="I3929" s="1138"/>
      <c r="J3929" s="1139"/>
      <c r="K3929" s="1111"/>
      <c r="L3929" s="1112"/>
      <c r="M3929" s="1113"/>
      <c r="N3929" s="110"/>
      <c r="O3929" s="1140"/>
      <c r="P3929" s="1115"/>
      <c r="Q3929" s="1116"/>
      <c r="R3929" s="1141"/>
      <c r="S3929" s="1113"/>
      <c r="T3929" s="1143"/>
      <c r="U3929" s="1108"/>
      <c r="V3929" s="1108"/>
      <c r="W3929" s="1108"/>
      <c r="X3929" s="1108"/>
      <c r="Y3929" s="1108"/>
      <c r="Z3929" s="1114"/>
      <c r="AA3929" s="1114"/>
      <c r="AB3929" s="1114"/>
      <c r="AC3929" s="1117"/>
      <c r="AD3929" s="1115"/>
      <c r="AE3929" s="1115"/>
      <c r="AF3929" s="1115"/>
      <c r="AG3929" s="1115"/>
      <c r="AH3929" s="1115"/>
      <c r="AI3929" s="1115"/>
      <c r="AJ3929" s="1117"/>
      <c r="AK3929" s="1118"/>
      <c r="AL3929" s="1115"/>
      <c r="AM3929" s="1115"/>
      <c r="AN3929" s="1115"/>
      <c r="AO3929" s="1115"/>
      <c r="AP3929" s="1115"/>
      <c r="AQ3929" s="1115"/>
      <c r="AR3929" s="1115"/>
      <c r="AS3929" s="1117"/>
      <c r="AT3929" s="1075"/>
      <c r="AU3929" s="1193"/>
      <c r="AV3929" s="330"/>
      <c r="AW3929" s="331"/>
      <c r="AX3929" s="331"/>
      <c r="AY3929" s="331"/>
      <c r="AZ3929" s="331"/>
      <c r="BA3929" s="331"/>
      <c r="BB3929" s="331"/>
      <c r="BC3929" s="331"/>
      <c r="BD3929" s="331"/>
      <c r="BE3929" s="333"/>
      <c r="BF3929" s="330"/>
      <c r="BG3929" s="333"/>
      <c r="BH3929" s="1119"/>
      <c r="BI3929" s="319"/>
      <c r="BJ3929" s="319"/>
      <c r="BK3929" s="319"/>
      <c r="BL3929" s="319"/>
      <c r="BM3929" s="319"/>
      <c r="BN3929" s="319"/>
      <c r="BO3929" s="319"/>
      <c r="BP3929" s="953"/>
      <c r="BQ3929" s="319"/>
      <c r="BR3929" s="319"/>
      <c r="BS3929" s="330"/>
      <c r="BT3929" s="331"/>
      <c r="BU3929" s="920"/>
      <c r="BV3929" s="903"/>
      <c r="BW3929" s="908"/>
      <c r="BX3929" s="908"/>
      <c r="BY3929" s="331"/>
      <c r="BZ3929" s="331"/>
      <c r="CA3929" s="462"/>
      <c r="CB3929" s="319"/>
      <c r="CC3929" s="319"/>
      <c r="CD3929" s="319"/>
      <c r="CE3929" s="319"/>
      <c r="CF3929" s="319"/>
      <c r="CG3929" s="319"/>
      <c r="CH3929" s="318"/>
      <c r="CI3929" s="319"/>
      <c r="CJ3929" s="319"/>
      <c r="CK3929" s="342"/>
      <c r="CL3929" s="333"/>
      <c r="CM3929" s="1079"/>
      <c r="CN3929" s="1005"/>
      <c r="CO3929" s="1005"/>
      <c r="CP3929" s="1005"/>
    </row>
    <row r="3930">
      <c r="A3930" s="1257"/>
      <c r="B3930" s="1113"/>
      <c r="C3930" s="1107"/>
      <c r="D3930" s="103"/>
      <c r="E3930" s="1137"/>
      <c r="F3930" s="112"/>
      <c r="G3930" s="1110"/>
      <c r="H3930" s="1138"/>
      <c r="I3930" s="1138"/>
      <c r="J3930" s="1139"/>
      <c r="K3930" s="1111"/>
      <c r="L3930" s="1112"/>
      <c r="M3930" s="1113"/>
      <c r="N3930" s="110"/>
      <c r="O3930" s="1140"/>
      <c r="P3930" s="1115"/>
      <c r="Q3930" s="1116"/>
      <c r="R3930" s="1141"/>
      <c r="S3930" s="1113"/>
      <c r="T3930" s="1143"/>
      <c r="U3930" s="1108"/>
      <c r="V3930" s="1108"/>
      <c r="W3930" s="1108"/>
      <c r="X3930" s="1108"/>
      <c r="Y3930" s="1108"/>
      <c r="Z3930" s="1114"/>
      <c r="AA3930" s="1114"/>
      <c r="AB3930" s="1114"/>
      <c r="AC3930" s="1117"/>
      <c r="AD3930" s="1115"/>
      <c r="AE3930" s="1115"/>
      <c r="AF3930" s="1115"/>
      <c r="AG3930" s="1115"/>
      <c r="AH3930" s="1115"/>
      <c r="AI3930" s="1115"/>
      <c r="AJ3930" s="1117"/>
      <c r="AK3930" s="1118"/>
      <c r="AL3930" s="1115"/>
      <c r="AM3930" s="1115"/>
      <c r="AN3930" s="1115"/>
      <c r="AO3930" s="1115"/>
      <c r="AP3930" s="1115"/>
      <c r="AQ3930" s="1115"/>
      <c r="AR3930" s="1115"/>
      <c r="AS3930" s="1117"/>
      <c r="AT3930" s="1075"/>
      <c r="AU3930" s="1193"/>
      <c r="AV3930" s="330"/>
      <c r="AW3930" s="331"/>
      <c r="AX3930" s="331"/>
      <c r="AY3930" s="331"/>
      <c r="AZ3930" s="331"/>
      <c r="BA3930" s="331"/>
      <c r="BB3930" s="331"/>
      <c r="BC3930" s="331"/>
      <c r="BD3930" s="331"/>
      <c r="BE3930" s="333"/>
      <c r="BF3930" s="330"/>
      <c r="BG3930" s="333"/>
      <c r="BH3930" s="1119"/>
      <c r="BI3930" s="319"/>
      <c r="BJ3930" s="319"/>
      <c r="BK3930" s="319"/>
      <c r="BL3930" s="319"/>
      <c r="BM3930" s="319"/>
      <c r="BN3930" s="319"/>
      <c r="BO3930" s="319"/>
      <c r="BP3930" s="953"/>
      <c r="BQ3930" s="319"/>
      <c r="BR3930" s="319"/>
      <c r="BS3930" s="330"/>
      <c r="BT3930" s="331"/>
      <c r="BU3930" s="920"/>
      <c r="BV3930" s="903"/>
      <c r="BW3930" s="908"/>
      <c r="BX3930" s="908"/>
      <c r="BY3930" s="331"/>
      <c r="BZ3930" s="331"/>
      <c r="CA3930" s="462"/>
      <c r="CB3930" s="319"/>
      <c r="CC3930" s="319"/>
      <c r="CD3930" s="319"/>
      <c r="CE3930" s="319"/>
      <c r="CF3930" s="319"/>
      <c r="CG3930" s="319"/>
      <c r="CH3930" s="318"/>
      <c r="CI3930" s="319"/>
      <c r="CJ3930" s="319"/>
      <c r="CK3930" s="342"/>
      <c r="CL3930" s="333"/>
      <c r="CM3930" s="1079"/>
      <c r="CN3930" s="1005"/>
      <c r="CO3930" s="1005"/>
      <c r="CP3930" s="1005"/>
    </row>
    <row r="3931">
      <c r="A3931" s="1257"/>
      <c r="B3931" s="1113"/>
      <c r="C3931" s="1107"/>
      <c r="D3931" s="103"/>
      <c r="E3931" s="1137"/>
      <c r="F3931" s="112"/>
      <c r="G3931" s="1110"/>
      <c r="H3931" s="1138"/>
      <c r="I3931" s="1138"/>
      <c r="J3931" s="1139"/>
      <c r="K3931" s="1111"/>
      <c r="L3931" s="1112"/>
      <c r="M3931" s="1113"/>
      <c r="N3931" s="110"/>
      <c r="O3931" s="1140"/>
      <c r="P3931" s="1115"/>
      <c r="Q3931" s="1116"/>
      <c r="R3931" s="1141"/>
      <c r="S3931" s="1113"/>
      <c r="T3931" s="1143"/>
      <c r="U3931" s="1108"/>
      <c r="V3931" s="1108"/>
      <c r="W3931" s="1108"/>
      <c r="X3931" s="1108"/>
      <c r="Y3931" s="1108"/>
      <c r="Z3931" s="1114"/>
      <c r="AA3931" s="1114"/>
      <c r="AB3931" s="1114"/>
      <c r="AC3931" s="1117"/>
      <c r="AD3931" s="1115"/>
      <c r="AE3931" s="1115"/>
      <c r="AF3931" s="1115"/>
      <c r="AG3931" s="1115"/>
      <c r="AH3931" s="1115"/>
      <c r="AI3931" s="1115"/>
      <c r="AJ3931" s="1117"/>
      <c r="AK3931" s="1118"/>
      <c r="AL3931" s="1115"/>
      <c r="AM3931" s="1115"/>
      <c r="AN3931" s="1115"/>
      <c r="AO3931" s="1115"/>
      <c r="AP3931" s="1115"/>
      <c r="AQ3931" s="1115"/>
      <c r="AR3931" s="1115"/>
      <c r="AS3931" s="1117"/>
      <c r="AT3931" s="1075"/>
      <c r="AU3931" s="1193"/>
      <c r="AV3931" s="330"/>
      <c r="AW3931" s="331"/>
      <c r="AX3931" s="331"/>
      <c r="AY3931" s="331"/>
      <c r="AZ3931" s="331"/>
      <c r="BA3931" s="331"/>
      <c r="BB3931" s="331"/>
      <c r="BC3931" s="331"/>
      <c r="BD3931" s="331"/>
      <c r="BE3931" s="333"/>
      <c r="BF3931" s="330"/>
      <c r="BG3931" s="333"/>
      <c r="BH3931" s="1119"/>
      <c r="BI3931" s="319"/>
      <c r="BJ3931" s="319"/>
      <c r="BK3931" s="319"/>
      <c r="BL3931" s="319"/>
      <c r="BM3931" s="319"/>
      <c r="BN3931" s="319"/>
      <c r="BO3931" s="319"/>
      <c r="BP3931" s="953"/>
      <c r="BQ3931" s="319"/>
      <c r="BR3931" s="319"/>
      <c r="BS3931" s="330"/>
      <c r="BT3931" s="331"/>
      <c r="BU3931" s="920"/>
      <c r="BV3931" s="903"/>
      <c r="BW3931" s="908"/>
      <c r="BX3931" s="908"/>
      <c r="BY3931" s="331"/>
      <c r="BZ3931" s="331"/>
      <c r="CA3931" s="462"/>
      <c r="CB3931" s="319"/>
      <c r="CC3931" s="319"/>
      <c r="CD3931" s="319"/>
      <c r="CE3931" s="319"/>
      <c r="CF3931" s="319"/>
      <c r="CG3931" s="319"/>
      <c r="CH3931" s="318"/>
      <c r="CI3931" s="319"/>
      <c r="CJ3931" s="319"/>
      <c r="CK3931" s="342"/>
      <c r="CL3931" s="333"/>
      <c r="CM3931" s="1079"/>
      <c r="CN3931" s="1005"/>
      <c r="CO3931" s="1005"/>
      <c r="CP3931" s="1005"/>
    </row>
    <row r="3932">
      <c r="A3932" s="1257"/>
      <c r="B3932" s="1113"/>
      <c r="C3932" s="1107"/>
      <c r="D3932" s="103"/>
      <c r="E3932" s="1137"/>
      <c r="F3932" s="112"/>
      <c r="G3932" s="1110"/>
      <c r="H3932" s="1138"/>
      <c r="I3932" s="1138"/>
      <c r="J3932" s="1139"/>
      <c r="K3932" s="1111"/>
      <c r="L3932" s="1112"/>
      <c r="M3932" s="1113"/>
      <c r="N3932" s="110"/>
      <c r="O3932" s="1140"/>
      <c r="P3932" s="1115"/>
      <c r="Q3932" s="1116"/>
      <c r="R3932" s="1141"/>
      <c r="S3932" s="1113"/>
      <c r="T3932" s="1143"/>
      <c r="U3932" s="1108"/>
      <c r="V3932" s="1108"/>
      <c r="W3932" s="1108"/>
      <c r="X3932" s="1108"/>
      <c r="Y3932" s="1108"/>
      <c r="Z3932" s="1114"/>
      <c r="AA3932" s="1114"/>
      <c r="AB3932" s="1114"/>
      <c r="AC3932" s="1117"/>
      <c r="AD3932" s="1115"/>
      <c r="AE3932" s="1115"/>
      <c r="AF3932" s="1115"/>
      <c r="AG3932" s="1115"/>
      <c r="AH3932" s="1115"/>
      <c r="AI3932" s="1115"/>
      <c r="AJ3932" s="1117"/>
      <c r="AK3932" s="1118"/>
      <c r="AL3932" s="1115"/>
      <c r="AM3932" s="1115"/>
      <c r="AN3932" s="1115"/>
      <c r="AO3932" s="1115"/>
      <c r="AP3932" s="1115"/>
      <c r="AQ3932" s="1115"/>
      <c r="AR3932" s="1115"/>
      <c r="AS3932" s="1117"/>
      <c r="AT3932" s="1075"/>
      <c r="AU3932" s="1193"/>
      <c r="AV3932" s="330"/>
      <c r="AW3932" s="331"/>
      <c r="AX3932" s="331"/>
      <c r="AY3932" s="331"/>
      <c r="AZ3932" s="331"/>
      <c r="BA3932" s="331"/>
      <c r="BB3932" s="331"/>
      <c r="BC3932" s="331"/>
      <c r="BD3932" s="331"/>
      <c r="BE3932" s="333"/>
      <c r="BF3932" s="330"/>
      <c r="BG3932" s="333"/>
      <c r="BH3932" s="1119"/>
      <c r="BI3932" s="319"/>
      <c r="BJ3932" s="319"/>
      <c r="BK3932" s="319"/>
      <c r="BL3932" s="319"/>
      <c r="BM3932" s="319"/>
      <c r="BN3932" s="319"/>
      <c r="BO3932" s="319"/>
      <c r="BP3932" s="953"/>
      <c r="BQ3932" s="319"/>
      <c r="BR3932" s="319"/>
      <c r="BS3932" s="330"/>
      <c r="BT3932" s="331"/>
      <c r="BU3932" s="920"/>
      <c r="BV3932" s="903"/>
      <c r="BW3932" s="908"/>
      <c r="BX3932" s="908"/>
      <c r="BY3932" s="331"/>
      <c r="BZ3932" s="331"/>
      <c r="CA3932" s="462"/>
      <c r="CB3932" s="319"/>
      <c r="CC3932" s="319"/>
      <c r="CD3932" s="319"/>
      <c r="CE3932" s="319"/>
      <c r="CF3932" s="319"/>
      <c r="CG3932" s="319"/>
      <c r="CH3932" s="318"/>
      <c r="CI3932" s="319"/>
      <c r="CJ3932" s="319"/>
      <c r="CK3932" s="342"/>
      <c r="CL3932" s="333"/>
      <c r="CM3932" s="1079"/>
      <c r="CN3932" s="1005"/>
      <c r="CO3932" s="1005"/>
      <c r="CP3932" s="1005"/>
    </row>
    <row r="3933">
      <c r="A3933" s="1257"/>
      <c r="B3933" s="1113"/>
      <c r="C3933" s="1107"/>
      <c r="D3933" s="103"/>
      <c r="E3933" s="1137"/>
      <c r="F3933" s="112"/>
      <c r="G3933" s="1110"/>
      <c r="H3933" s="1138"/>
      <c r="I3933" s="1138"/>
      <c r="J3933" s="1139"/>
      <c r="K3933" s="1111"/>
      <c r="L3933" s="1112"/>
      <c r="M3933" s="1113"/>
      <c r="N3933" s="110"/>
      <c r="O3933" s="1140"/>
      <c r="P3933" s="1115"/>
      <c r="Q3933" s="1116"/>
      <c r="R3933" s="1141"/>
      <c r="S3933" s="1113"/>
      <c r="T3933" s="1143"/>
      <c r="U3933" s="1108"/>
      <c r="V3933" s="1108"/>
      <c r="W3933" s="1108"/>
      <c r="X3933" s="1108"/>
      <c r="Y3933" s="1108"/>
      <c r="Z3933" s="1114"/>
      <c r="AA3933" s="1114"/>
      <c r="AB3933" s="1114"/>
      <c r="AC3933" s="1117"/>
      <c r="AD3933" s="1115"/>
      <c r="AE3933" s="1115"/>
      <c r="AF3933" s="1115"/>
      <c r="AG3933" s="1115"/>
      <c r="AH3933" s="1115"/>
      <c r="AI3933" s="1115"/>
      <c r="AJ3933" s="1117"/>
      <c r="AK3933" s="1118"/>
      <c r="AL3933" s="1115"/>
      <c r="AM3933" s="1115"/>
      <c r="AN3933" s="1115"/>
      <c r="AO3933" s="1115"/>
      <c r="AP3933" s="1115"/>
      <c r="AQ3933" s="1115"/>
      <c r="AR3933" s="1115"/>
      <c r="AS3933" s="1117"/>
      <c r="AT3933" s="1075"/>
      <c r="AU3933" s="1193"/>
      <c r="AV3933" s="330"/>
      <c r="AW3933" s="331"/>
      <c r="AX3933" s="331"/>
      <c r="AY3933" s="331"/>
      <c r="AZ3933" s="331"/>
      <c r="BA3933" s="331"/>
      <c r="BB3933" s="331"/>
      <c r="BC3933" s="331"/>
      <c r="BD3933" s="331"/>
      <c r="BE3933" s="333"/>
      <c r="BF3933" s="330"/>
      <c r="BG3933" s="333"/>
      <c r="BH3933" s="1119"/>
      <c r="BI3933" s="319"/>
      <c r="BJ3933" s="319"/>
      <c r="BK3933" s="319"/>
      <c r="BL3933" s="319"/>
      <c r="BM3933" s="319"/>
      <c r="BN3933" s="319"/>
      <c r="BO3933" s="319"/>
      <c r="BP3933" s="953"/>
      <c r="BQ3933" s="319"/>
      <c r="BR3933" s="319"/>
      <c r="BS3933" s="330"/>
      <c r="BT3933" s="331"/>
      <c r="BU3933" s="920"/>
      <c r="BV3933" s="903"/>
      <c r="BW3933" s="908"/>
      <c r="BX3933" s="908"/>
      <c r="BY3933" s="331"/>
      <c r="BZ3933" s="331"/>
      <c r="CA3933" s="462"/>
      <c r="CB3933" s="319"/>
      <c r="CC3933" s="319"/>
      <c r="CD3933" s="319"/>
      <c r="CE3933" s="319"/>
      <c r="CF3933" s="319"/>
      <c r="CG3933" s="319"/>
      <c r="CH3933" s="318"/>
      <c r="CI3933" s="319"/>
      <c r="CJ3933" s="319"/>
      <c r="CK3933" s="342"/>
      <c r="CL3933" s="333"/>
      <c r="CM3933" s="1079"/>
      <c r="CN3933" s="1005"/>
      <c r="CO3933" s="1005"/>
      <c r="CP3933" s="1005"/>
    </row>
    <row r="3934">
      <c r="A3934" s="1257"/>
      <c r="B3934" s="1113"/>
      <c r="C3934" s="1107"/>
      <c r="D3934" s="103"/>
      <c r="E3934" s="1137"/>
      <c r="F3934" s="112"/>
      <c r="G3934" s="1110"/>
      <c r="H3934" s="1138"/>
      <c r="I3934" s="1138"/>
      <c r="J3934" s="1139"/>
      <c r="K3934" s="1111"/>
      <c r="L3934" s="1112"/>
      <c r="M3934" s="1113"/>
      <c r="N3934" s="110"/>
      <c r="O3934" s="1140"/>
      <c r="P3934" s="1115"/>
      <c r="Q3934" s="1116"/>
      <c r="R3934" s="1141"/>
      <c r="S3934" s="1113"/>
      <c r="T3934" s="1143"/>
      <c r="U3934" s="1108"/>
      <c r="V3934" s="1108"/>
      <c r="W3934" s="1108"/>
      <c r="X3934" s="1108"/>
      <c r="Y3934" s="1108"/>
      <c r="Z3934" s="1114"/>
      <c r="AA3934" s="1114"/>
      <c r="AB3934" s="1114"/>
      <c r="AC3934" s="1117"/>
      <c r="AD3934" s="1115"/>
      <c r="AE3934" s="1115"/>
      <c r="AF3934" s="1115"/>
      <c r="AG3934" s="1115"/>
      <c r="AH3934" s="1115"/>
      <c r="AI3934" s="1115"/>
      <c r="AJ3934" s="1117"/>
      <c r="AK3934" s="1118"/>
      <c r="AL3934" s="1115"/>
      <c r="AM3934" s="1115"/>
      <c r="AN3934" s="1115"/>
      <c r="AO3934" s="1115"/>
      <c r="AP3934" s="1115"/>
      <c r="AQ3934" s="1115"/>
      <c r="AR3934" s="1115"/>
      <c r="AS3934" s="1117"/>
      <c r="AT3934" s="1075"/>
      <c r="AU3934" s="1193"/>
      <c r="AV3934" s="330"/>
      <c r="AW3934" s="331"/>
      <c r="AX3934" s="331"/>
      <c r="AY3934" s="331"/>
      <c r="AZ3934" s="331"/>
      <c r="BA3934" s="331"/>
      <c r="BB3934" s="331"/>
      <c r="BC3934" s="331"/>
      <c r="BD3934" s="331"/>
      <c r="BE3934" s="333"/>
      <c r="BF3934" s="330"/>
      <c r="BG3934" s="333"/>
      <c r="BH3934" s="1119"/>
      <c r="BI3934" s="319"/>
      <c r="BJ3934" s="319"/>
      <c r="BK3934" s="319"/>
      <c r="BL3934" s="319"/>
      <c r="BM3934" s="319"/>
      <c r="BN3934" s="319"/>
      <c r="BO3934" s="319"/>
      <c r="BP3934" s="953"/>
      <c r="BQ3934" s="319"/>
      <c r="BR3934" s="319"/>
      <c r="BS3934" s="330"/>
      <c r="BT3934" s="331"/>
      <c r="BU3934" s="920"/>
      <c r="BV3934" s="903"/>
      <c r="BW3934" s="908"/>
      <c r="BX3934" s="908"/>
      <c r="BY3934" s="331"/>
      <c r="BZ3934" s="331"/>
      <c r="CA3934" s="462"/>
      <c r="CB3934" s="319"/>
      <c r="CC3934" s="319"/>
      <c r="CD3934" s="319"/>
      <c r="CE3934" s="319"/>
      <c r="CF3934" s="319"/>
      <c r="CG3934" s="319"/>
      <c r="CH3934" s="318"/>
      <c r="CI3934" s="319"/>
      <c r="CJ3934" s="319"/>
      <c r="CK3934" s="342"/>
      <c r="CL3934" s="333"/>
      <c r="CM3934" s="1079"/>
      <c r="CN3934" s="1005"/>
      <c r="CO3934" s="1005"/>
      <c r="CP3934" s="1005"/>
    </row>
    <row r="3935">
      <c r="A3935" s="1257"/>
      <c r="B3935" s="1113"/>
      <c r="C3935" s="1107"/>
      <c r="D3935" s="103"/>
      <c r="E3935" s="1137"/>
      <c r="F3935" s="112"/>
      <c r="G3935" s="1110"/>
      <c r="H3935" s="1138"/>
      <c r="I3935" s="1138"/>
      <c r="J3935" s="1139"/>
      <c r="K3935" s="1111"/>
      <c r="L3935" s="1112"/>
      <c r="M3935" s="1113"/>
      <c r="N3935" s="110"/>
      <c r="O3935" s="1140"/>
      <c r="P3935" s="1115"/>
      <c r="Q3935" s="1116"/>
      <c r="R3935" s="1141"/>
      <c r="S3935" s="1113"/>
      <c r="T3935" s="1143"/>
      <c r="U3935" s="1108"/>
      <c r="V3935" s="1108"/>
      <c r="W3935" s="1108"/>
      <c r="X3935" s="1108"/>
      <c r="Y3935" s="1108"/>
      <c r="Z3935" s="1114"/>
      <c r="AA3935" s="1114"/>
      <c r="AB3935" s="1114"/>
      <c r="AC3935" s="1117"/>
      <c r="AD3935" s="1115"/>
      <c r="AE3935" s="1115"/>
      <c r="AF3935" s="1115"/>
      <c r="AG3935" s="1115"/>
      <c r="AH3935" s="1115"/>
      <c r="AI3935" s="1115"/>
      <c r="AJ3935" s="1117"/>
      <c r="AK3935" s="1118"/>
      <c r="AL3935" s="1115"/>
      <c r="AM3935" s="1115"/>
      <c r="AN3935" s="1115"/>
      <c r="AO3935" s="1115"/>
      <c r="AP3935" s="1115"/>
      <c r="AQ3935" s="1115"/>
      <c r="AR3935" s="1115"/>
      <c r="AS3935" s="1117"/>
      <c r="AT3935" s="1075"/>
      <c r="AU3935" s="1193"/>
      <c r="AV3935" s="330"/>
      <c r="AW3935" s="331"/>
      <c r="AX3935" s="331"/>
      <c r="AY3935" s="331"/>
      <c r="AZ3935" s="331"/>
      <c r="BA3935" s="331"/>
      <c r="BB3935" s="331"/>
      <c r="BC3935" s="331"/>
      <c r="BD3935" s="331"/>
      <c r="BE3935" s="333"/>
      <c r="BF3935" s="330"/>
      <c r="BG3935" s="333"/>
      <c r="BH3935" s="1119"/>
      <c r="BI3935" s="319"/>
      <c r="BJ3935" s="319"/>
      <c r="BK3935" s="319"/>
      <c r="BL3935" s="319"/>
      <c r="BM3935" s="319"/>
      <c r="BN3935" s="319"/>
      <c r="BO3935" s="319"/>
      <c r="BP3935" s="953"/>
      <c r="BQ3935" s="319"/>
      <c r="BR3935" s="319"/>
      <c r="BS3935" s="330"/>
      <c r="BT3935" s="331"/>
      <c r="BU3935" s="920"/>
      <c r="BV3935" s="903"/>
      <c r="BW3935" s="908"/>
      <c r="BX3935" s="908"/>
      <c r="BY3935" s="331"/>
      <c r="BZ3935" s="331"/>
      <c r="CA3935" s="462"/>
      <c r="CB3935" s="319"/>
      <c r="CC3935" s="319"/>
      <c r="CD3935" s="319"/>
      <c r="CE3935" s="319"/>
      <c r="CF3935" s="319"/>
      <c r="CG3935" s="319"/>
      <c r="CH3935" s="318"/>
      <c r="CI3935" s="319"/>
      <c r="CJ3935" s="319"/>
      <c r="CK3935" s="342"/>
      <c r="CL3935" s="333"/>
      <c r="CM3935" s="1079"/>
      <c r="CN3935" s="1005"/>
      <c r="CO3935" s="1005"/>
      <c r="CP3935" s="1005"/>
    </row>
    <row r="3936">
      <c r="A3936" s="1257"/>
      <c r="B3936" s="1113"/>
      <c r="C3936" s="1107"/>
      <c r="D3936" s="103"/>
      <c r="E3936" s="1137"/>
      <c r="F3936" s="112"/>
      <c r="G3936" s="1110"/>
      <c r="H3936" s="1138"/>
      <c r="I3936" s="1138"/>
      <c r="J3936" s="1139"/>
      <c r="K3936" s="1111"/>
      <c r="L3936" s="1112"/>
      <c r="M3936" s="1113"/>
      <c r="N3936" s="110"/>
      <c r="O3936" s="1140"/>
      <c r="P3936" s="1115"/>
      <c r="Q3936" s="1116"/>
      <c r="R3936" s="1141"/>
      <c r="S3936" s="1113"/>
      <c r="T3936" s="1143"/>
      <c r="U3936" s="1108"/>
      <c r="V3936" s="1108"/>
      <c r="W3936" s="1108"/>
      <c r="X3936" s="1108"/>
      <c r="Y3936" s="1108"/>
      <c r="Z3936" s="1114"/>
      <c r="AA3936" s="1114"/>
      <c r="AB3936" s="1114"/>
      <c r="AC3936" s="1117"/>
      <c r="AD3936" s="1115"/>
      <c r="AE3936" s="1115"/>
      <c r="AF3936" s="1115"/>
      <c r="AG3936" s="1115"/>
      <c r="AH3936" s="1115"/>
      <c r="AI3936" s="1115"/>
      <c r="AJ3936" s="1117"/>
      <c r="AK3936" s="1118"/>
      <c r="AL3936" s="1115"/>
      <c r="AM3936" s="1115"/>
      <c r="AN3936" s="1115"/>
      <c r="AO3936" s="1115"/>
      <c r="AP3936" s="1115"/>
      <c r="AQ3936" s="1115"/>
      <c r="AR3936" s="1115"/>
      <c r="AS3936" s="1117"/>
      <c r="AT3936" s="1075"/>
      <c r="AU3936" s="1193"/>
      <c r="AV3936" s="330"/>
      <c r="AW3936" s="331"/>
      <c r="AX3936" s="331"/>
      <c r="AY3936" s="331"/>
      <c r="AZ3936" s="331"/>
      <c r="BA3936" s="331"/>
      <c r="BB3936" s="331"/>
      <c r="BC3936" s="331"/>
      <c r="BD3936" s="331"/>
      <c r="BE3936" s="333"/>
      <c r="BF3936" s="330"/>
      <c r="BG3936" s="333"/>
      <c r="BH3936" s="1119"/>
      <c r="BI3936" s="319"/>
      <c r="BJ3936" s="319"/>
      <c r="BK3936" s="319"/>
      <c r="BL3936" s="319"/>
      <c r="BM3936" s="319"/>
      <c r="BN3936" s="319"/>
      <c r="BO3936" s="319"/>
      <c r="BP3936" s="953"/>
      <c r="BQ3936" s="319"/>
      <c r="BR3936" s="319"/>
      <c r="BS3936" s="330"/>
      <c r="BT3936" s="331"/>
      <c r="BU3936" s="920"/>
      <c r="BV3936" s="903"/>
      <c r="BW3936" s="908"/>
      <c r="BX3936" s="908"/>
      <c r="BY3936" s="331"/>
      <c r="BZ3936" s="331"/>
      <c r="CA3936" s="462"/>
      <c r="CB3936" s="319"/>
      <c r="CC3936" s="319"/>
      <c r="CD3936" s="319"/>
      <c r="CE3936" s="319"/>
      <c r="CF3936" s="319"/>
      <c r="CG3936" s="319"/>
      <c r="CH3936" s="318"/>
      <c r="CI3936" s="319"/>
      <c r="CJ3936" s="319"/>
      <c r="CK3936" s="342"/>
      <c r="CL3936" s="333"/>
      <c r="CM3936" s="1079"/>
      <c r="CN3936" s="1005"/>
      <c r="CO3936" s="1005"/>
      <c r="CP3936" s="1005"/>
    </row>
    <row r="3937">
      <c r="A3937" s="1257"/>
      <c r="B3937" s="1113"/>
      <c r="C3937" s="1107"/>
      <c r="D3937" s="103"/>
      <c r="E3937" s="1137"/>
      <c r="F3937" s="112"/>
      <c r="G3937" s="1110"/>
      <c r="H3937" s="1138"/>
      <c r="I3937" s="1138"/>
      <c r="J3937" s="1139"/>
      <c r="K3937" s="1111"/>
      <c r="L3937" s="1112"/>
      <c r="M3937" s="1113"/>
      <c r="N3937" s="110"/>
      <c r="O3937" s="1140"/>
      <c r="P3937" s="1115"/>
      <c r="Q3937" s="1116"/>
      <c r="R3937" s="1141"/>
      <c r="S3937" s="1113"/>
      <c r="T3937" s="1143"/>
      <c r="U3937" s="1108"/>
      <c r="V3937" s="1108"/>
      <c r="W3937" s="1108"/>
      <c r="X3937" s="1108"/>
      <c r="Y3937" s="1108"/>
      <c r="Z3937" s="1114"/>
      <c r="AA3937" s="1114"/>
      <c r="AB3937" s="1114"/>
      <c r="AC3937" s="1117"/>
      <c r="AD3937" s="1115"/>
      <c r="AE3937" s="1115"/>
      <c r="AF3937" s="1115"/>
      <c r="AG3937" s="1115"/>
      <c r="AH3937" s="1115"/>
      <c r="AI3937" s="1115"/>
      <c r="AJ3937" s="1117"/>
      <c r="AK3937" s="1118"/>
      <c r="AL3937" s="1115"/>
      <c r="AM3937" s="1115"/>
      <c r="AN3937" s="1115"/>
      <c r="AO3937" s="1115"/>
      <c r="AP3937" s="1115"/>
      <c r="AQ3937" s="1115"/>
      <c r="AR3937" s="1115"/>
      <c r="AS3937" s="1117"/>
      <c r="AT3937" s="1075"/>
      <c r="AU3937" s="1193"/>
      <c r="AV3937" s="330"/>
      <c r="AW3937" s="331"/>
      <c r="AX3937" s="331"/>
      <c r="AY3937" s="331"/>
      <c r="AZ3937" s="331"/>
      <c r="BA3937" s="331"/>
      <c r="BB3937" s="331"/>
      <c r="BC3937" s="331"/>
      <c r="BD3937" s="331"/>
      <c r="BE3937" s="333"/>
      <c r="BF3937" s="330"/>
      <c r="BG3937" s="333"/>
      <c r="BH3937" s="1119"/>
      <c r="BI3937" s="319"/>
      <c r="BJ3937" s="319"/>
      <c r="BK3937" s="319"/>
      <c r="BL3937" s="319"/>
      <c r="BM3937" s="319"/>
      <c r="BN3937" s="319"/>
      <c r="BO3937" s="319"/>
      <c r="BP3937" s="953"/>
      <c r="BQ3937" s="319"/>
      <c r="BR3937" s="319"/>
      <c r="BS3937" s="330"/>
      <c r="BT3937" s="331"/>
      <c r="BU3937" s="920"/>
      <c r="BV3937" s="903"/>
      <c r="BW3937" s="908"/>
      <c r="BX3937" s="908"/>
      <c r="BY3937" s="331"/>
      <c r="BZ3937" s="331"/>
      <c r="CA3937" s="462"/>
      <c r="CB3937" s="319"/>
      <c r="CC3937" s="319"/>
      <c r="CD3937" s="319"/>
      <c r="CE3937" s="319"/>
      <c r="CF3937" s="319"/>
      <c r="CG3937" s="319"/>
      <c r="CH3937" s="318"/>
      <c r="CI3937" s="319"/>
      <c r="CJ3937" s="319"/>
      <c r="CK3937" s="342"/>
      <c r="CL3937" s="333"/>
      <c r="CM3937" s="1079"/>
      <c r="CN3937" s="1005"/>
      <c r="CO3937" s="1005"/>
      <c r="CP3937" s="1005"/>
    </row>
    <row r="3938">
      <c r="A3938" s="1257"/>
      <c r="B3938" s="1113"/>
      <c r="C3938" s="1107"/>
      <c r="D3938" s="103"/>
      <c r="E3938" s="1137"/>
      <c r="F3938" s="112"/>
      <c r="G3938" s="1110"/>
      <c r="H3938" s="1138"/>
      <c r="I3938" s="1138"/>
      <c r="J3938" s="1139"/>
      <c r="K3938" s="1111"/>
      <c r="L3938" s="1112"/>
      <c r="M3938" s="1113"/>
      <c r="N3938" s="110"/>
      <c r="O3938" s="1140"/>
      <c r="P3938" s="1115"/>
      <c r="Q3938" s="1116"/>
      <c r="R3938" s="1141"/>
      <c r="S3938" s="1113"/>
      <c r="T3938" s="1143"/>
      <c r="U3938" s="1108"/>
      <c r="V3938" s="1108"/>
      <c r="W3938" s="1108"/>
      <c r="X3938" s="1108"/>
      <c r="Y3938" s="1108"/>
      <c r="Z3938" s="1114"/>
      <c r="AA3938" s="1114"/>
      <c r="AB3938" s="1114"/>
      <c r="AC3938" s="1117"/>
      <c r="AD3938" s="1115"/>
      <c r="AE3938" s="1115"/>
      <c r="AF3938" s="1115"/>
      <c r="AG3938" s="1115"/>
      <c r="AH3938" s="1115"/>
      <c r="AI3938" s="1115"/>
      <c r="AJ3938" s="1117"/>
      <c r="AK3938" s="1118"/>
      <c r="AL3938" s="1115"/>
      <c r="AM3938" s="1115"/>
      <c r="AN3938" s="1115"/>
      <c r="AO3938" s="1115"/>
      <c r="AP3938" s="1115"/>
      <c r="AQ3938" s="1115"/>
      <c r="AR3938" s="1115"/>
      <c r="AS3938" s="1117"/>
      <c r="AT3938" s="1075"/>
      <c r="AU3938" s="1193"/>
      <c r="AV3938" s="330"/>
      <c r="AW3938" s="331"/>
      <c r="AX3938" s="331"/>
      <c r="AY3938" s="331"/>
      <c r="AZ3938" s="331"/>
      <c r="BA3938" s="331"/>
      <c r="BB3938" s="331"/>
      <c r="BC3938" s="331"/>
      <c r="BD3938" s="331"/>
      <c r="BE3938" s="333"/>
      <c r="BF3938" s="330"/>
      <c r="BG3938" s="333"/>
      <c r="BH3938" s="1119"/>
      <c r="BI3938" s="319"/>
      <c r="BJ3938" s="319"/>
      <c r="BK3938" s="319"/>
      <c r="BL3938" s="319"/>
      <c r="BM3938" s="319"/>
      <c r="BN3938" s="319"/>
      <c r="BO3938" s="319"/>
      <c r="BP3938" s="953"/>
      <c r="BQ3938" s="319"/>
      <c r="BR3938" s="319"/>
      <c r="BS3938" s="330"/>
      <c r="BT3938" s="331"/>
      <c r="BU3938" s="920"/>
      <c r="BV3938" s="903"/>
      <c r="BW3938" s="908"/>
      <c r="BX3938" s="908"/>
      <c r="BY3938" s="331"/>
      <c r="BZ3938" s="331"/>
      <c r="CA3938" s="462"/>
      <c r="CB3938" s="319"/>
      <c r="CC3938" s="319"/>
      <c r="CD3938" s="319"/>
      <c r="CE3938" s="319"/>
      <c r="CF3938" s="319"/>
      <c r="CG3938" s="319"/>
      <c r="CH3938" s="318"/>
      <c r="CI3938" s="319"/>
      <c r="CJ3938" s="319"/>
      <c r="CK3938" s="342"/>
      <c r="CL3938" s="333"/>
      <c r="CM3938" s="1079"/>
      <c r="CN3938" s="1005"/>
      <c r="CO3938" s="1005"/>
      <c r="CP3938" s="1005"/>
    </row>
    <row r="3939">
      <c r="A3939" s="1257"/>
      <c r="B3939" s="1113"/>
      <c r="C3939" s="1107"/>
      <c r="D3939" s="103"/>
      <c r="E3939" s="1137"/>
      <c r="F3939" s="112"/>
      <c r="G3939" s="1110"/>
      <c r="H3939" s="1138"/>
      <c r="I3939" s="1138"/>
      <c r="J3939" s="1139"/>
      <c r="K3939" s="1111"/>
      <c r="L3939" s="1112"/>
      <c r="M3939" s="1113"/>
      <c r="N3939" s="110"/>
      <c r="O3939" s="1140"/>
      <c r="P3939" s="1115"/>
      <c r="Q3939" s="1116"/>
      <c r="R3939" s="1141"/>
      <c r="S3939" s="1113"/>
      <c r="T3939" s="1143"/>
      <c r="U3939" s="1108"/>
      <c r="V3939" s="1108"/>
      <c r="W3939" s="1108"/>
      <c r="X3939" s="1108"/>
      <c r="Y3939" s="1108"/>
      <c r="Z3939" s="1114"/>
      <c r="AA3939" s="1114"/>
      <c r="AB3939" s="1114"/>
      <c r="AC3939" s="1117"/>
      <c r="AD3939" s="1115"/>
      <c r="AE3939" s="1115"/>
      <c r="AF3939" s="1115"/>
      <c r="AG3939" s="1115"/>
      <c r="AH3939" s="1115"/>
      <c r="AI3939" s="1115"/>
      <c r="AJ3939" s="1117"/>
      <c r="AK3939" s="1118"/>
      <c r="AL3939" s="1115"/>
      <c r="AM3939" s="1115"/>
      <c r="AN3939" s="1115"/>
      <c r="AO3939" s="1115"/>
      <c r="AP3939" s="1115"/>
      <c r="AQ3939" s="1115"/>
      <c r="AR3939" s="1115"/>
      <c r="AS3939" s="1117"/>
      <c r="AT3939" s="1075"/>
      <c r="AU3939" s="1193"/>
      <c r="AV3939" s="330"/>
      <c r="AW3939" s="331"/>
      <c r="AX3939" s="331"/>
      <c r="AY3939" s="331"/>
      <c r="AZ3939" s="331"/>
      <c r="BA3939" s="331"/>
      <c r="BB3939" s="331"/>
      <c r="BC3939" s="331"/>
      <c r="BD3939" s="331"/>
      <c r="BE3939" s="333"/>
      <c r="BF3939" s="330"/>
      <c r="BG3939" s="333"/>
      <c r="BH3939" s="1119"/>
      <c r="BI3939" s="319"/>
      <c r="BJ3939" s="319"/>
      <c r="BK3939" s="319"/>
      <c r="BL3939" s="319"/>
      <c r="BM3939" s="319"/>
      <c r="BN3939" s="319"/>
      <c r="BO3939" s="319"/>
      <c r="BP3939" s="953"/>
      <c r="BQ3939" s="319"/>
      <c r="BR3939" s="319"/>
      <c r="BS3939" s="330"/>
      <c r="BT3939" s="331"/>
      <c r="BU3939" s="920"/>
      <c r="BV3939" s="903"/>
      <c r="BW3939" s="908"/>
      <c r="BX3939" s="908"/>
      <c r="BY3939" s="331"/>
      <c r="BZ3939" s="331"/>
      <c r="CA3939" s="462"/>
      <c r="CB3939" s="319"/>
      <c r="CC3939" s="319"/>
      <c r="CD3939" s="319"/>
      <c r="CE3939" s="319"/>
      <c r="CF3939" s="319"/>
      <c r="CG3939" s="319"/>
      <c r="CH3939" s="318"/>
      <c r="CI3939" s="319"/>
      <c r="CJ3939" s="319"/>
      <c r="CK3939" s="342"/>
      <c r="CL3939" s="333"/>
      <c r="CM3939" s="1079"/>
      <c r="CN3939" s="1005"/>
      <c r="CO3939" s="1005"/>
      <c r="CP3939" s="1005"/>
    </row>
    <row r="3940">
      <c r="A3940" s="1257"/>
      <c r="B3940" s="1113"/>
      <c r="C3940" s="1107"/>
      <c r="D3940" s="103"/>
      <c r="E3940" s="1137"/>
      <c r="F3940" s="112"/>
      <c r="G3940" s="1110"/>
      <c r="H3940" s="1138"/>
      <c r="I3940" s="1138"/>
      <c r="J3940" s="1139"/>
      <c r="K3940" s="1111"/>
      <c r="L3940" s="1112"/>
      <c r="M3940" s="1113"/>
      <c r="N3940" s="110"/>
      <c r="O3940" s="1140"/>
      <c r="P3940" s="1115"/>
      <c r="Q3940" s="1116"/>
      <c r="R3940" s="1141"/>
      <c r="S3940" s="1113"/>
      <c r="T3940" s="1143"/>
      <c r="U3940" s="1108"/>
      <c r="V3940" s="1108"/>
      <c r="W3940" s="1108"/>
      <c r="X3940" s="1108"/>
      <c r="Y3940" s="1108"/>
      <c r="Z3940" s="1114"/>
      <c r="AA3940" s="1114"/>
      <c r="AB3940" s="1114"/>
      <c r="AC3940" s="1117"/>
      <c r="AD3940" s="1115"/>
      <c r="AE3940" s="1115"/>
      <c r="AF3940" s="1115"/>
      <c r="AG3940" s="1115"/>
      <c r="AH3940" s="1115"/>
      <c r="AI3940" s="1115"/>
      <c r="AJ3940" s="1117"/>
      <c r="AK3940" s="1118"/>
      <c r="AL3940" s="1115"/>
      <c r="AM3940" s="1115"/>
      <c r="AN3940" s="1115"/>
      <c r="AO3940" s="1115"/>
      <c r="AP3940" s="1115"/>
      <c r="AQ3940" s="1115"/>
      <c r="AR3940" s="1115"/>
      <c r="AS3940" s="1117"/>
      <c r="AT3940" s="1075"/>
      <c r="AU3940" s="1193"/>
      <c r="AV3940" s="330"/>
      <c r="AW3940" s="331"/>
      <c r="AX3940" s="331"/>
      <c r="AY3940" s="331"/>
      <c r="AZ3940" s="331"/>
      <c r="BA3940" s="331"/>
      <c r="BB3940" s="331"/>
      <c r="BC3940" s="331"/>
      <c r="BD3940" s="331"/>
      <c r="BE3940" s="333"/>
      <c r="BF3940" s="330"/>
      <c r="BG3940" s="333"/>
      <c r="BH3940" s="1119"/>
      <c r="BI3940" s="319"/>
      <c r="BJ3940" s="319"/>
      <c r="BK3940" s="319"/>
      <c r="BL3940" s="319"/>
      <c r="BM3940" s="319"/>
      <c r="BN3940" s="319"/>
      <c r="BO3940" s="319"/>
      <c r="BP3940" s="953"/>
      <c r="BQ3940" s="319"/>
      <c r="BR3940" s="319"/>
      <c r="BS3940" s="330"/>
      <c r="BT3940" s="331"/>
      <c r="BU3940" s="920"/>
      <c r="BV3940" s="903"/>
      <c r="BW3940" s="908"/>
      <c r="BX3940" s="908"/>
      <c r="BY3940" s="331"/>
      <c r="BZ3940" s="331"/>
      <c r="CA3940" s="462"/>
      <c r="CB3940" s="319"/>
      <c r="CC3940" s="319"/>
      <c r="CD3940" s="319"/>
      <c r="CE3940" s="319"/>
      <c r="CF3940" s="319"/>
      <c r="CG3940" s="319"/>
      <c r="CH3940" s="318"/>
      <c r="CI3940" s="319"/>
      <c r="CJ3940" s="319"/>
      <c r="CK3940" s="342"/>
      <c r="CL3940" s="333"/>
      <c r="CM3940" s="1079"/>
      <c r="CN3940" s="1005"/>
      <c r="CO3940" s="1005"/>
      <c r="CP3940" s="1005"/>
    </row>
    <row r="3941">
      <c r="A3941" s="1257"/>
      <c r="B3941" s="1113"/>
      <c r="C3941" s="1107"/>
      <c r="D3941" s="103"/>
      <c r="E3941" s="1137"/>
      <c r="F3941" s="112"/>
      <c r="G3941" s="1110"/>
      <c r="H3941" s="1138"/>
      <c r="I3941" s="1138"/>
      <c r="J3941" s="1139"/>
      <c r="K3941" s="1111"/>
      <c r="L3941" s="1112"/>
      <c r="M3941" s="1113"/>
      <c r="N3941" s="110"/>
      <c r="O3941" s="1140"/>
      <c r="P3941" s="1115"/>
      <c r="Q3941" s="1116"/>
      <c r="R3941" s="1141"/>
      <c r="S3941" s="1113"/>
      <c r="T3941" s="1143"/>
      <c r="U3941" s="1108"/>
      <c r="V3941" s="1108"/>
      <c r="W3941" s="1108"/>
      <c r="X3941" s="1108"/>
      <c r="Y3941" s="1108"/>
      <c r="Z3941" s="1114"/>
      <c r="AA3941" s="1114"/>
      <c r="AB3941" s="1114"/>
      <c r="AC3941" s="1117"/>
      <c r="AD3941" s="1115"/>
      <c r="AE3941" s="1115"/>
      <c r="AF3941" s="1115"/>
      <c r="AG3941" s="1115"/>
      <c r="AH3941" s="1115"/>
      <c r="AI3941" s="1115"/>
      <c r="AJ3941" s="1117"/>
      <c r="AK3941" s="1118"/>
      <c r="AL3941" s="1115"/>
      <c r="AM3941" s="1115"/>
      <c r="AN3941" s="1115"/>
      <c r="AO3941" s="1115"/>
      <c r="AP3941" s="1115"/>
      <c r="AQ3941" s="1115"/>
      <c r="AR3941" s="1115"/>
      <c r="AS3941" s="1117"/>
      <c r="AT3941" s="1075"/>
      <c r="AU3941" s="1193"/>
      <c r="AV3941" s="330"/>
      <c r="AW3941" s="331"/>
      <c r="AX3941" s="331"/>
      <c r="AY3941" s="331"/>
      <c r="AZ3941" s="331"/>
      <c r="BA3941" s="331"/>
      <c r="BB3941" s="331"/>
      <c r="BC3941" s="331"/>
      <c r="BD3941" s="331"/>
      <c r="BE3941" s="333"/>
      <c r="BF3941" s="330"/>
      <c r="BG3941" s="333"/>
      <c r="BH3941" s="1119"/>
      <c r="BI3941" s="319"/>
      <c r="BJ3941" s="319"/>
      <c r="BK3941" s="319"/>
      <c r="BL3941" s="319"/>
      <c r="BM3941" s="319"/>
      <c r="BN3941" s="319"/>
      <c r="BO3941" s="319"/>
      <c r="BP3941" s="953"/>
      <c r="BQ3941" s="319"/>
      <c r="BR3941" s="319"/>
      <c r="BS3941" s="330"/>
      <c r="BT3941" s="331"/>
      <c r="BU3941" s="920"/>
      <c r="BV3941" s="903"/>
      <c r="BW3941" s="908"/>
      <c r="BX3941" s="908"/>
      <c r="BY3941" s="331"/>
      <c r="BZ3941" s="331"/>
      <c r="CA3941" s="462"/>
      <c r="CB3941" s="319"/>
      <c r="CC3941" s="319"/>
      <c r="CD3941" s="319"/>
      <c r="CE3941" s="319"/>
      <c r="CF3941" s="319"/>
      <c r="CG3941" s="319"/>
      <c r="CH3941" s="318"/>
      <c r="CI3941" s="319"/>
      <c r="CJ3941" s="319"/>
      <c r="CK3941" s="342"/>
      <c r="CL3941" s="333"/>
      <c r="CM3941" s="1079"/>
      <c r="CN3941" s="1005"/>
      <c r="CO3941" s="1005"/>
      <c r="CP3941" s="1005"/>
    </row>
    <row r="3942">
      <c r="A3942" s="1257"/>
      <c r="B3942" s="1113"/>
      <c r="C3942" s="1107"/>
      <c r="D3942" s="103"/>
      <c r="E3942" s="1137"/>
      <c r="F3942" s="112"/>
      <c r="G3942" s="1110"/>
      <c r="H3942" s="1138"/>
      <c r="I3942" s="1138"/>
      <c r="J3942" s="1139"/>
      <c r="K3942" s="1111"/>
      <c r="L3942" s="1112"/>
      <c r="M3942" s="1113"/>
      <c r="N3942" s="110"/>
      <c r="O3942" s="1140"/>
      <c r="P3942" s="1115"/>
      <c r="Q3942" s="1116"/>
      <c r="R3942" s="1141"/>
      <c r="S3942" s="1113"/>
      <c r="T3942" s="1143"/>
      <c r="U3942" s="1108"/>
      <c r="V3942" s="1108"/>
      <c r="W3942" s="1108"/>
      <c r="X3942" s="1108"/>
      <c r="Y3942" s="1108"/>
      <c r="Z3942" s="1114"/>
      <c r="AA3942" s="1114"/>
      <c r="AB3942" s="1114"/>
      <c r="AC3942" s="1117"/>
      <c r="AD3942" s="1115"/>
      <c r="AE3942" s="1115"/>
      <c r="AF3942" s="1115"/>
      <c r="AG3942" s="1115"/>
      <c r="AH3942" s="1115"/>
      <c r="AI3942" s="1115"/>
      <c r="AJ3942" s="1117"/>
      <c r="AK3942" s="1118"/>
      <c r="AL3942" s="1115"/>
      <c r="AM3942" s="1115"/>
      <c r="AN3942" s="1115"/>
      <c r="AO3942" s="1115"/>
      <c r="AP3942" s="1115"/>
      <c r="AQ3942" s="1115"/>
      <c r="AR3942" s="1115"/>
      <c r="AS3942" s="1117"/>
      <c r="AT3942" s="1075"/>
      <c r="AU3942" s="1193"/>
      <c r="AV3942" s="330"/>
      <c r="AW3942" s="331"/>
      <c r="AX3942" s="331"/>
      <c r="AY3942" s="331"/>
      <c r="AZ3942" s="331"/>
      <c r="BA3942" s="331"/>
      <c r="BB3942" s="331"/>
      <c r="BC3942" s="331"/>
      <c r="BD3942" s="331"/>
      <c r="BE3942" s="333"/>
      <c r="BF3942" s="330"/>
      <c r="BG3942" s="333"/>
      <c r="BH3942" s="1119"/>
      <c r="BI3942" s="319"/>
      <c r="BJ3942" s="319"/>
      <c r="BK3942" s="319"/>
      <c r="BL3942" s="319"/>
      <c r="BM3942" s="319"/>
      <c r="BN3942" s="319"/>
      <c r="BO3942" s="319"/>
      <c r="BP3942" s="953"/>
      <c r="BQ3942" s="319"/>
      <c r="BR3942" s="319"/>
      <c r="BS3942" s="330"/>
      <c r="BT3942" s="331"/>
      <c r="BU3942" s="920"/>
      <c r="BV3942" s="903"/>
      <c r="BW3942" s="908"/>
      <c r="BX3942" s="908"/>
      <c r="BY3942" s="331"/>
      <c r="BZ3942" s="331"/>
      <c r="CA3942" s="462"/>
      <c r="CB3942" s="319"/>
      <c r="CC3942" s="319"/>
      <c r="CD3942" s="319"/>
      <c r="CE3942" s="319"/>
      <c r="CF3942" s="319"/>
      <c r="CG3942" s="319"/>
      <c r="CH3942" s="318"/>
      <c r="CI3942" s="319"/>
      <c r="CJ3942" s="319"/>
      <c r="CK3942" s="342"/>
      <c r="CL3942" s="333"/>
      <c r="CM3942" s="1079"/>
      <c r="CN3942" s="1005"/>
      <c r="CO3942" s="1005"/>
      <c r="CP3942" s="1005"/>
    </row>
    <row r="3943">
      <c r="A3943" s="1257"/>
      <c r="B3943" s="1113"/>
      <c r="C3943" s="1107"/>
      <c r="D3943" s="103"/>
      <c r="E3943" s="1137"/>
      <c r="F3943" s="112"/>
      <c r="G3943" s="1110"/>
      <c r="H3943" s="1138"/>
      <c r="I3943" s="1138"/>
      <c r="J3943" s="1139"/>
      <c r="K3943" s="1111"/>
      <c r="L3943" s="1112"/>
      <c r="M3943" s="1113"/>
      <c r="N3943" s="110"/>
      <c r="O3943" s="1140"/>
      <c r="P3943" s="1115"/>
      <c r="Q3943" s="1116"/>
      <c r="R3943" s="1141"/>
      <c r="S3943" s="1113"/>
      <c r="T3943" s="1143"/>
      <c r="U3943" s="1108"/>
      <c r="V3943" s="1108"/>
      <c r="W3943" s="1108"/>
      <c r="X3943" s="1108"/>
      <c r="Y3943" s="1108"/>
      <c r="Z3943" s="1114"/>
      <c r="AA3943" s="1114"/>
      <c r="AB3943" s="1114"/>
      <c r="AC3943" s="1117"/>
      <c r="AD3943" s="1115"/>
      <c r="AE3943" s="1115"/>
      <c r="AF3943" s="1115"/>
      <c r="AG3943" s="1115"/>
      <c r="AH3943" s="1115"/>
      <c r="AI3943" s="1115"/>
      <c r="AJ3943" s="1117"/>
      <c r="AK3943" s="1118"/>
      <c r="AL3943" s="1115"/>
      <c r="AM3943" s="1115"/>
      <c r="AN3943" s="1115"/>
      <c r="AO3943" s="1115"/>
      <c r="AP3943" s="1115"/>
      <c r="AQ3943" s="1115"/>
      <c r="AR3943" s="1115"/>
      <c r="AS3943" s="1117"/>
      <c r="AT3943" s="1075"/>
      <c r="AU3943" s="1193"/>
      <c r="AV3943" s="330"/>
      <c r="AW3943" s="331"/>
      <c r="AX3943" s="331"/>
      <c r="AY3943" s="331"/>
      <c r="AZ3943" s="331"/>
      <c r="BA3943" s="331"/>
      <c r="BB3943" s="331"/>
      <c r="BC3943" s="331"/>
      <c r="BD3943" s="331"/>
      <c r="BE3943" s="333"/>
      <c r="BF3943" s="330"/>
      <c r="BG3943" s="333"/>
      <c r="BH3943" s="1119"/>
      <c r="BI3943" s="319"/>
      <c r="BJ3943" s="319"/>
      <c r="BK3943" s="319"/>
      <c r="BL3943" s="319"/>
      <c r="BM3943" s="319"/>
      <c r="BN3943" s="319"/>
      <c r="BO3943" s="319"/>
      <c r="BP3943" s="953"/>
      <c r="BQ3943" s="319"/>
      <c r="BR3943" s="319"/>
      <c r="BS3943" s="330"/>
      <c r="BT3943" s="331"/>
      <c r="BU3943" s="920"/>
      <c r="BV3943" s="903"/>
      <c r="BW3943" s="908"/>
      <c r="BX3943" s="908"/>
      <c r="BY3943" s="331"/>
      <c r="BZ3943" s="331"/>
      <c r="CA3943" s="462"/>
      <c r="CB3943" s="319"/>
      <c r="CC3943" s="319"/>
      <c r="CD3943" s="319"/>
      <c r="CE3943" s="319"/>
      <c r="CF3943" s="319"/>
      <c r="CG3943" s="319"/>
      <c r="CH3943" s="318"/>
      <c r="CI3943" s="319"/>
      <c r="CJ3943" s="319"/>
      <c r="CK3943" s="342"/>
      <c r="CL3943" s="333"/>
      <c r="CM3943" s="1079"/>
      <c r="CN3943" s="1005"/>
      <c r="CO3943" s="1005"/>
      <c r="CP3943" s="1005"/>
    </row>
    <row r="3944">
      <c r="A3944" s="1257"/>
      <c r="B3944" s="1113"/>
      <c r="C3944" s="1107"/>
      <c r="D3944" s="103"/>
      <c r="E3944" s="1137"/>
      <c r="F3944" s="112"/>
      <c r="G3944" s="1110"/>
      <c r="H3944" s="1138"/>
      <c r="I3944" s="1138"/>
      <c r="J3944" s="1139"/>
      <c r="K3944" s="1111"/>
      <c r="L3944" s="1112"/>
      <c r="M3944" s="1113"/>
      <c r="N3944" s="110"/>
      <c r="O3944" s="1140"/>
      <c r="P3944" s="1115"/>
      <c r="Q3944" s="1116"/>
      <c r="R3944" s="1141"/>
      <c r="S3944" s="1113"/>
      <c r="T3944" s="1143"/>
      <c r="U3944" s="1108"/>
      <c r="V3944" s="1108"/>
      <c r="W3944" s="1108"/>
      <c r="X3944" s="1108"/>
      <c r="Y3944" s="1108"/>
      <c r="Z3944" s="1114"/>
      <c r="AA3944" s="1114"/>
      <c r="AB3944" s="1114"/>
      <c r="AC3944" s="1117"/>
      <c r="AD3944" s="1115"/>
      <c r="AE3944" s="1115"/>
      <c r="AF3944" s="1115"/>
      <c r="AG3944" s="1115"/>
      <c r="AH3944" s="1115"/>
      <c r="AI3944" s="1115"/>
      <c r="AJ3944" s="1117"/>
      <c r="AK3944" s="1118"/>
      <c r="AL3944" s="1115"/>
      <c r="AM3944" s="1115"/>
      <c r="AN3944" s="1115"/>
      <c r="AO3944" s="1115"/>
      <c r="AP3944" s="1115"/>
      <c r="AQ3944" s="1115"/>
      <c r="AR3944" s="1115"/>
      <c r="AS3944" s="1117"/>
      <c r="AT3944" s="1075"/>
      <c r="AU3944" s="1193"/>
      <c r="AV3944" s="330"/>
      <c r="AW3944" s="331"/>
      <c r="AX3944" s="331"/>
      <c r="AY3944" s="331"/>
      <c r="AZ3944" s="331"/>
      <c r="BA3944" s="331"/>
      <c r="BB3944" s="331"/>
      <c r="BC3944" s="331"/>
      <c r="BD3944" s="331"/>
      <c r="BE3944" s="333"/>
      <c r="BF3944" s="330"/>
      <c r="BG3944" s="333"/>
      <c r="BH3944" s="1119"/>
      <c r="BI3944" s="319"/>
      <c r="BJ3944" s="319"/>
      <c r="BK3944" s="319"/>
      <c r="BL3944" s="319"/>
      <c r="BM3944" s="319"/>
      <c r="BN3944" s="319"/>
      <c r="BO3944" s="319"/>
      <c r="BP3944" s="953"/>
      <c r="BQ3944" s="319"/>
      <c r="BR3944" s="319"/>
      <c r="BS3944" s="330"/>
      <c r="BT3944" s="331"/>
      <c r="BU3944" s="920"/>
      <c r="BV3944" s="903"/>
      <c r="BW3944" s="908"/>
      <c r="BX3944" s="908"/>
      <c r="BY3944" s="331"/>
      <c r="BZ3944" s="331"/>
      <c r="CA3944" s="462"/>
      <c r="CB3944" s="319"/>
      <c r="CC3944" s="319"/>
      <c r="CD3944" s="319"/>
      <c r="CE3944" s="319"/>
      <c r="CF3944" s="319"/>
      <c r="CG3944" s="319"/>
      <c r="CH3944" s="318"/>
      <c r="CI3944" s="319"/>
      <c r="CJ3944" s="319"/>
      <c r="CK3944" s="342"/>
      <c r="CL3944" s="333"/>
      <c r="CM3944" s="1079"/>
      <c r="CN3944" s="1005"/>
      <c r="CO3944" s="1005"/>
      <c r="CP3944" s="1005"/>
    </row>
    <row r="3945">
      <c r="A3945" s="1257"/>
      <c r="B3945" s="1113"/>
      <c r="C3945" s="1107"/>
      <c r="D3945" s="103"/>
      <c r="E3945" s="1137"/>
      <c r="F3945" s="112"/>
      <c r="G3945" s="1110"/>
      <c r="H3945" s="1138"/>
      <c r="I3945" s="1138"/>
      <c r="J3945" s="1139"/>
      <c r="K3945" s="1111"/>
      <c r="L3945" s="1112"/>
      <c r="M3945" s="1113"/>
      <c r="N3945" s="110"/>
      <c r="O3945" s="1140"/>
      <c r="P3945" s="1115"/>
      <c r="Q3945" s="1116"/>
      <c r="R3945" s="1141"/>
      <c r="S3945" s="1113"/>
      <c r="T3945" s="1143"/>
      <c r="U3945" s="1108"/>
      <c r="V3945" s="1108"/>
      <c r="W3945" s="1108"/>
      <c r="X3945" s="1108"/>
      <c r="Y3945" s="1108"/>
      <c r="Z3945" s="1114"/>
      <c r="AA3945" s="1114"/>
      <c r="AB3945" s="1114"/>
      <c r="AC3945" s="1117"/>
      <c r="AD3945" s="1115"/>
      <c r="AE3945" s="1115"/>
      <c r="AF3945" s="1115"/>
      <c r="AG3945" s="1115"/>
      <c r="AH3945" s="1115"/>
      <c r="AI3945" s="1115"/>
      <c r="AJ3945" s="1117"/>
      <c r="AK3945" s="1118"/>
      <c r="AL3945" s="1115"/>
      <c r="AM3945" s="1115"/>
      <c r="AN3945" s="1115"/>
      <c r="AO3945" s="1115"/>
      <c r="AP3945" s="1115"/>
      <c r="AQ3945" s="1115"/>
      <c r="AR3945" s="1115"/>
      <c r="AS3945" s="1117"/>
      <c r="AT3945" s="1075"/>
      <c r="AU3945" s="1193"/>
      <c r="AV3945" s="330"/>
      <c r="AW3945" s="331"/>
      <c r="AX3945" s="331"/>
      <c r="AY3945" s="331"/>
      <c r="AZ3945" s="331"/>
      <c r="BA3945" s="331"/>
      <c r="BB3945" s="331"/>
      <c r="BC3945" s="331"/>
      <c r="BD3945" s="331"/>
      <c r="BE3945" s="333"/>
      <c r="BF3945" s="330"/>
      <c r="BG3945" s="333"/>
      <c r="BH3945" s="1119"/>
      <c r="BI3945" s="319"/>
      <c r="BJ3945" s="319"/>
      <c r="BK3945" s="319"/>
      <c r="BL3945" s="319"/>
      <c r="BM3945" s="319"/>
      <c r="BN3945" s="319"/>
      <c r="BO3945" s="319"/>
      <c r="BP3945" s="953"/>
      <c r="BQ3945" s="319"/>
      <c r="BR3945" s="319"/>
      <c r="BS3945" s="330"/>
      <c r="BT3945" s="331"/>
      <c r="BU3945" s="920"/>
      <c r="BV3945" s="903"/>
      <c r="BW3945" s="908"/>
      <c r="BX3945" s="908"/>
      <c r="BY3945" s="331"/>
      <c r="BZ3945" s="331"/>
      <c r="CA3945" s="462"/>
      <c r="CB3945" s="319"/>
      <c r="CC3945" s="319"/>
      <c r="CD3945" s="319"/>
      <c r="CE3945" s="319"/>
      <c r="CF3945" s="319"/>
      <c r="CG3945" s="319"/>
      <c r="CH3945" s="318"/>
      <c r="CI3945" s="319"/>
      <c r="CJ3945" s="319"/>
      <c r="CK3945" s="342"/>
      <c r="CL3945" s="333"/>
      <c r="CM3945" s="1079"/>
      <c r="CN3945" s="1005"/>
      <c r="CO3945" s="1005"/>
      <c r="CP3945" s="1005"/>
    </row>
    <row r="3946">
      <c r="A3946" s="1257"/>
      <c r="B3946" s="1113"/>
      <c r="C3946" s="1107"/>
      <c r="D3946" s="103"/>
      <c r="E3946" s="1137"/>
      <c r="F3946" s="112"/>
      <c r="G3946" s="1110"/>
      <c r="H3946" s="1138"/>
      <c r="I3946" s="1138"/>
      <c r="J3946" s="1139"/>
      <c r="K3946" s="1111"/>
      <c r="L3946" s="1112"/>
      <c r="M3946" s="1113"/>
      <c r="N3946" s="110"/>
      <c r="O3946" s="1140"/>
      <c r="P3946" s="1115"/>
      <c r="Q3946" s="1116"/>
      <c r="R3946" s="1141"/>
      <c r="S3946" s="1113"/>
      <c r="T3946" s="1143"/>
      <c r="U3946" s="1108"/>
      <c r="V3946" s="1108"/>
      <c r="W3946" s="1108"/>
      <c r="X3946" s="1108"/>
      <c r="Y3946" s="1108"/>
      <c r="Z3946" s="1114"/>
      <c r="AA3946" s="1114"/>
      <c r="AB3946" s="1114"/>
      <c r="AC3946" s="1117"/>
      <c r="AD3946" s="1115"/>
      <c r="AE3946" s="1115"/>
      <c r="AF3946" s="1115"/>
      <c r="AG3946" s="1115"/>
      <c r="AH3946" s="1115"/>
      <c r="AI3946" s="1115"/>
      <c r="AJ3946" s="1117"/>
      <c r="AK3946" s="1118"/>
      <c r="AL3946" s="1115"/>
      <c r="AM3946" s="1115"/>
      <c r="AN3946" s="1115"/>
      <c r="AO3946" s="1115"/>
      <c r="AP3946" s="1115"/>
      <c r="AQ3946" s="1115"/>
      <c r="AR3946" s="1115"/>
      <c r="AS3946" s="1117"/>
      <c r="AT3946" s="1075"/>
      <c r="AU3946" s="1193"/>
      <c r="AV3946" s="330"/>
      <c r="AW3946" s="331"/>
      <c r="AX3946" s="331"/>
      <c r="AY3946" s="331"/>
      <c r="AZ3946" s="331"/>
      <c r="BA3946" s="331"/>
      <c r="BB3946" s="331"/>
      <c r="BC3946" s="331"/>
      <c r="BD3946" s="331"/>
      <c r="BE3946" s="333"/>
      <c r="BF3946" s="330"/>
      <c r="BG3946" s="333"/>
      <c r="BH3946" s="1119"/>
      <c r="BI3946" s="319"/>
      <c r="BJ3946" s="319"/>
      <c r="BK3946" s="319"/>
      <c r="BL3946" s="319"/>
      <c r="BM3946" s="319"/>
      <c r="BN3946" s="319"/>
      <c r="BO3946" s="319"/>
      <c r="BP3946" s="953"/>
      <c r="BQ3946" s="319"/>
      <c r="BR3946" s="319"/>
      <c r="BS3946" s="330"/>
      <c r="BT3946" s="331"/>
      <c r="BU3946" s="920"/>
      <c r="BV3946" s="903"/>
      <c r="BW3946" s="908"/>
      <c r="BX3946" s="908"/>
      <c r="BY3946" s="331"/>
      <c r="BZ3946" s="331"/>
      <c r="CA3946" s="462"/>
      <c r="CB3946" s="319"/>
      <c r="CC3946" s="319"/>
      <c r="CD3946" s="319"/>
      <c r="CE3946" s="319"/>
      <c r="CF3946" s="319"/>
      <c r="CG3946" s="319"/>
      <c r="CH3946" s="318"/>
      <c r="CI3946" s="319"/>
      <c r="CJ3946" s="319"/>
      <c r="CK3946" s="342"/>
      <c r="CL3946" s="333"/>
      <c r="CM3946" s="1079"/>
      <c r="CN3946" s="1005"/>
      <c r="CO3946" s="1005"/>
      <c r="CP3946" s="1005"/>
    </row>
    <row r="3947">
      <c r="A3947" s="1257"/>
      <c r="B3947" s="1113"/>
      <c r="C3947" s="1107"/>
      <c r="D3947" s="103"/>
      <c r="E3947" s="1137"/>
      <c r="F3947" s="112"/>
      <c r="G3947" s="1110"/>
      <c r="H3947" s="1138"/>
      <c r="I3947" s="1138"/>
      <c r="J3947" s="1139"/>
      <c r="K3947" s="1111"/>
      <c r="L3947" s="1112"/>
      <c r="M3947" s="1113"/>
      <c r="N3947" s="110"/>
      <c r="O3947" s="1140"/>
      <c r="P3947" s="1115"/>
      <c r="Q3947" s="1116"/>
      <c r="R3947" s="1141"/>
      <c r="S3947" s="1113"/>
      <c r="T3947" s="1143"/>
      <c r="U3947" s="1108"/>
      <c r="V3947" s="1108"/>
      <c r="W3947" s="1108"/>
      <c r="X3947" s="1108"/>
      <c r="Y3947" s="1108"/>
      <c r="Z3947" s="1114"/>
      <c r="AA3947" s="1114"/>
      <c r="AB3947" s="1114"/>
      <c r="AC3947" s="1117"/>
      <c r="AD3947" s="1115"/>
      <c r="AE3947" s="1115"/>
      <c r="AF3947" s="1115"/>
      <c r="AG3947" s="1115"/>
      <c r="AH3947" s="1115"/>
      <c r="AI3947" s="1115"/>
      <c r="AJ3947" s="1117"/>
      <c r="AK3947" s="1118"/>
      <c r="AL3947" s="1115"/>
      <c r="AM3947" s="1115"/>
      <c r="AN3947" s="1115"/>
      <c r="AO3947" s="1115"/>
      <c r="AP3947" s="1115"/>
      <c r="AQ3947" s="1115"/>
      <c r="AR3947" s="1115"/>
      <c r="AS3947" s="1117"/>
      <c r="AT3947" s="1075"/>
      <c r="AU3947" s="1193"/>
      <c r="AV3947" s="330"/>
      <c r="AW3947" s="331"/>
      <c r="AX3947" s="331"/>
      <c r="AY3947" s="331"/>
      <c r="AZ3947" s="331"/>
      <c r="BA3947" s="331"/>
      <c r="BB3947" s="331"/>
      <c r="BC3947" s="331"/>
      <c r="BD3947" s="331"/>
      <c r="BE3947" s="333"/>
      <c r="BF3947" s="330"/>
      <c r="BG3947" s="333"/>
      <c r="BH3947" s="1119"/>
      <c r="BI3947" s="319"/>
      <c r="BJ3947" s="319"/>
      <c r="BK3947" s="319"/>
      <c r="BL3947" s="319"/>
      <c r="BM3947" s="319"/>
      <c r="BN3947" s="319"/>
      <c r="BO3947" s="319"/>
      <c r="BP3947" s="953"/>
      <c r="BQ3947" s="319"/>
      <c r="BR3947" s="319"/>
      <c r="BS3947" s="330"/>
      <c r="BT3947" s="331"/>
      <c r="BU3947" s="920"/>
      <c r="BV3947" s="903"/>
      <c r="BW3947" s="908"/>
      <c r="BX3947" s="908"/>
      <c r="BY3947" s="331"/>
      <c r="BZ3947" s="331"/>
      <c r="CA3947" s="462"/>
      <c r="CB3947" s="319"/>
      <c r="CC3947" s="319"/>
      <c r="CD3947" s="319"/>
      <c r="CE3947" s="319"/>
      <c r="CF3947" s="319"/>
      <c r="CG3947" s="319"/>
      <c r="CH3947" s="318"/>
      <c r="CI3947" s="319"/>
      <c r="CJ3947" s="319"/>
      <c r="CK3947" s="342"/>
      <c r="CL3947" s="333"/>
      <c r="CM3947" s="1079"/>
      <c r="CN3947" s="1005"/>
      <c r="CO3947" s="1005"/>
      <c r="CP3947" s="1005"/>
    </row>
    <row r="3948">
      <c r="A3948" s="1257"/>
      <c r="B3948" s="1113"/>
      <c r="C3948" s="1107"/>
      <c r="D3948" s="103"/>
      <c r="E3948" s="1137"/>
      <c r="F3948" s="112"/>
      <c r="G3948" s="1110"/>
      <c r="H3948" s="1138"/>
      <c r="I3948" s="1138"/>
      <c r="J3948" s="1139"/>
      <c r="K3948" s="1111"/>
      <c r="L3948" s="1112"/>
      <c r="M3948" s="1113"/>
      <c r="N3948" s="110"/>
      <c r="O3948" s="1140"/>
      <c r="P3948" s="1115"/>
      <c r="Q3948" s="1116"/>
      <c r="R3948" s="1141"/>
      <c r="S3948" s="1113"/>
      <c r="T3948" s="1143"/>
      <c r="U3948" s="1108"/>
      <c r="V3948" s="1108"/>
      <c r="W3948" s="1108"/>
      <c r="X3948" s="1108"/>
      <c r="Y3948" s="1108"/>
      <c r="Z3948" s="1114"/>
      <c r="AA3948" s="1114"/>
      <c r="AB3948" s="1114"/>
      <c r="AC3948" s="1117"/>
      <c r="AD3948" s="1115"/>
      <c r="AE3948" s="1115"/>
      <c r="AF3948" s="1115"/>
      <c r="AG3948" s="1115"/>
      <c r="AH3948" s="1115"/>
      <c r="AI3948" s="1115"/>
      <c r="AJ3948" s="1117"/>
      <c r="AK3948" s="1118"/>
      <c r="AL3948" s="1115"/>
      <c r="AM3948" s="1115"/>
      <c r="AN3948" s="1115"/>
      <c r="AO3948" s="1115"/>
      <c r="AP3948" s="1115"/>
      <c r="AQ3948" s="1115"/>
      <c r="AR3948" s="1115"/>
      <c r="AS3948" s="1117"/>
      <c r="AT3948" s="1075"/>
      <c r="AU3948" s="1193"/>
      <c r="AV3948" s="330"/>
      <c r="AW3948" s="331"/>
      <c r="AX3948" s="331"/>
      <c r="AY3948" s="331"/>
      <c r="AZ3948" s="331"/>
      <c r="BA3948" s="331"/>
      <c r="BB3948" s="331"/>
      <c r="BC3948" s="331"/>
      <c r="BD3948" s="331"/>
      <c r="BE3948" s="333"/>
      <c r="BF3948" s="330"/>
      <c r="BG3948" s="333"/>
      <c r="BH3948" s="1119"/>
      <c r="BI3948" s="319"/>
      <c r="BJ3948" s="319"/>
      <c r="BK3948" s="319"/>
      <c r="BL3948" s="319"/>
      <c r="BM3948" s="319"/>
      <c r="BN3948" s="319"/>
      <c r="BO3948" s="319"/>
      <c r="BP3948" s="953"/>
      <c r="BQ3948" s="319"/>
      <c r="BR3948" s="319"/>
      <c r="BS3948" s="330"/>
      <c r="BT3948" s="331"/>
      <c r="BU3948" s="920"/>
      <c r="BV3948" s="903"/>
      <c r="BW3948" s="908"/>
      <c r="BX3948" s="908"/>
      <c r="BY3948" s="331"/>
      <c r="BZ3948" s="331"/>
      <c r="CA3948" s="462"/>
      <c r="CB3948" s="319"/>
      <c r="CC3948" s="319"/>
      <c r="CD3948" s="319"/>
      <c r="CE3948" s="319"/>
      <c r="CF3948" s="319"/>
      <c r="CG3948" s="319"/>
      <c r="CH3948" s="318"/>
      <c r="CI3948" s="319"/>
      <c r="CJ3948" s="319"/>
      <c r="CK3948" s="342"/>
      <c r="CL3948" s="333"/>
      <c r="CM3948" s="1079"/>
      <c r="CN3948" s="1005"/>
      <c r="CO3948" s="1005"/>
      <c r="CP3948" s="1005"/>
    </row>
    <row r="3949">
      <c r="A3949" s="1257"/>
      <c r="B3949" s="1113"/>
      <c r="C3949" s="1107"/>
      <c r="D3949" s="103"/>
      <c r="E3949" s="1137"/>
      <c r="F3949" s="112"/>
      <c r="G3949" s="1110"/>
      <c r="H3949" s="1138"/>
      <c r="I3949" s="1138"/>
      <c r="J3949" s="1139"/>
      <c r="K3949" s="1111"/>
      <c r="L3949" s="1112"/>
      <c r="M3949" s="1113"/>
      <c r="N3949" s="110"/>
      <c r="O3949" s="1140"/>
      <c r="P3949" s="1115"/>
      <c r="Q3949" s="1116"/>
      <c r="R3949" s="1141"/>
      <c r="S3949" s="1113"/>
      <c r="T3949" s="1143"/>
      <c r="U3949" s="1108"/>
      <c r="V3949" s="1108"/>
      <c r="W3949" s="1108"/>
      <c r="X3949" s="1108"/>
      <c r="Y3949" s="1108"/>
      <c r="Z3949" s="1114"/>
      <c r="AA3949" s="1114"/>
      <c r="AB3949" s="1114"/>
      <c r="AC3949" s="1117"/>
      <c r="AD3949" s="1115"/>
      <c r="AE3949" s="1115"/>
      <c r="AF3949" s="1115"/>
      <c r="AG3949" s="1115"/>
      <c r="AH3949" s="1115"/>
      <c r="AI3949" s="1115"/>
      <c r="AJ3949" s="1117"/>
      <c r="AK3949" s="1118"/>
      <c r="AL3949" s="1115"/>
      <c r="AM3949" s="1115"/>
      <c r="AN3949" s="1115"/>
      <c r="AO3949" s="1115"/>
      <c r="AP3949" s="1115"/>
      <c r="AQ3949" s="1115"/>
      <c r="AR3949" s="1115"/>
      <c r="AS3949" s="1117"/>
      <c r="AT3949" s="1075"/>
      <c r="AU3949" s="1193"/>
      <c r="AV3949" s="330"/>
      <c r="AW3949" s="331"/>
      <c r="AX3949" s="331"/>
      <c r="AY3949" s="331"/>
      <c r="AZ3949" s="331"/>
      <c r="BA3949" s="331"/>
      <c r="BB3949" s="331"/>
      <c r="BC3949" s="331"/>
      <c r="BD3949" s="331"/>
      <c r="BE3949" s="333"/>
      <c r="BF3949" s="330"/>
      <c r="BG3949" s="333"/>
      <c r="BH3949" s="1119"/>
      <c r="BI3949" s="319"/>
      <c r="BJ3949" s="319"/>
      <c r="BK3949" s="319"/>
      <c r="BL3949" s="319"/>
      <c r="BM3949" s="319"/>
      <c r="BN3949" s="319"/>
      <c r="BO3949" s="319"/>
      <c r="BP3949" s="953"/>
      <c r="BQ3949" s="319"/>
      <c r="BR3949" s="319"/>
      <c r="BS3949" s="330"/>
      <c r="BT3949" s="331"/>
      <c r="BU3949" s="920"/>
      <c r="BV3949" s="903"/>
      <c r="BW3949" s="908"/>
      <c r="BX3949" s="908"/>
      <c r="BY3949" s="331"/>
      <c r="BZ3949" s="331"/>
      <c r="CA3949" s="462"/>
      <c r="CB3949" s="319"/>
      <c r="CC3949" s="319"/>
      <c r="CD3949" s="319"/>
      <c r="CE3949" s="319"/>
      <c r="CF3949" s="319"/>
      <c r="CG3949" s="319"/>
      <c r="CH3949" s="318"/>
      <c r="CI3949" s="319"/>
      <c r="CJ3949" s="319"/>
      <c r="CK3949" s="342"/>
      <c r="CL3949" s="333"/>
      <c r="CM3949" s="1079"/>
      <c r="CN3949" s="1005"/>
      <c r="CO3949" s="1005"/>
      <c r="CP3949" s="1005"/>
    </row>
    <row r="3950">
      <c r="A3950" s="1257"/>
      <c r="B3950" s="1113"/>
      <c r="C3950" s="1107"/>
      <c r="D3950" s="103"/>
      <c r="E3950" s="1137"/>
      <c r="F3950" s="112"/>
      <c r="G3950" s="1110"/>
      <c r="H3950" s="1138"/>
      <c r="I3950" s="1138"/>
      <c r="J3950" s="1139"/>
      <c r="K3950" s="1111"/>
      <c r="L3950" s="1112"/>
      <c r="M3950" s="1113"/>
      <c r="N3950" s="110"/>
      <c r="O3950" s="1140"/>
      <c r="P3950" s="1115"/>
      <c r="Q3950" s="1116"/>
      <c r="R3950" s="1141"/>
      <c r="S3950" s="1113"/>
      <c r="T3950" s="1143"/>
      <c r="U3950" s="1108"/>
      <c r="V3950" s="1108"/>
      <c r="W3950" s="1108"/>
      <c r="X3950" s="1108"/>
      <c r="Y3950" s="1108"/>
      <c r="Z3950" s="1114"/>
      <c r="AA3950" s="1114"/>
      <c r="AB3950" s="1114"/>
      <c r="AC3950" s="1117"/>
      <c r="AD3950" s="1115"/>
      <c r="AE3950" s="1115"/>
      <c r="AF3950" s="1115"/>
      <c r="AG3950" s="1115"/>
      <c r="AH3950" s="1115"/>
      <c r="AI3950" s="1115"/>
      <c r="AJ3950" s="1117"/>
      <c r="AK3950" s="1118"/>
      <c r="AL3950" s="1115"/>
      <c r="AM3950" s="1115"/>
      <c r="AN3950" s="1115"/>
      <c r="AO3950" s="1115"/>
      <c r="AP3950" s="1115"/>
      <c r="AQ3950" s="1115"/>
      <c r="AR3950" s="1115"/>
      <c r="AS3950" s="1117"/>
      <c r="AT3950" s="1075"/>
      <c r="AU3950" s="1193"/>
      <c r="AV3950" s="330"/>
      <c r="AW3950" s="331"/>
      <c r="AX3950" s="331"/>
      <c r="AY3950" s="331"/>
      <c r="AZ3950" s="331"/>
      <c r="BA3950" s="331"/>
      <c r="BB3950" s="331"/>
      <c r="BC3950" s="331"/>
      <c r="BD3950" s="331"/>
      <c r="BE3950" s="333"/>
      <c r="BF3950" s="330"/>
      <c r="BG3950" s="333"/>
      <c r="BH3950" s="1119"/>
      <c r="BI3950" s="319"/>
      <c r="BJ3950" s="319"/>
      <c r="BK3950" s="319"/>
      <c r="BL3950" s="319"/>
      <c r="BM3950" s="319"/>
      <c r="BN3950" s="319"/>
      <c r="BO3950" s="319"/>
      <c r="BP3950" s="953"/>
      <c r="BQ3950" s="319"/>
      <c r="BR3950" s="319"/>
      <c r="BS3950" s="330"/>
      <c r="BT3950" s="331"/>
      <c r="BU3950" s="920"/>
      <c r="BV3950" s="903"/>
      <c r="BW3950" s="908"/>
      <c r="BX3950" s="908"/>
      <c r="BY3950" s="331"/>
      <c r="BZ3950" s="331"/>
      <c r="CA3950" s="462"/>
      <c r="CB3950" s="319"/>
      <c r="CC3950" s="319"/>
      <c r="CD3950" s="319"/>
      <c r="CE3950" s="319"/>
      <c r="CF3950" s="319"/>
      <c r="CG3950" s="319"/>
      <c r="CH3950" s="318"/>
      <c r="CI3950" s="319"/>
      <c r="CJ3950" s="319"/>
      <c r="CK3950" s="342"/>
      <c r="CL3950" s="333"/>
      <c r="CM3950" s="1079"/>
      <c r="CN3950" s="1005"/>
      <c r="CO3950" s="1005"/>
      <c r="CP3950" s="1005"/>
    </row>
    <row r="3951">
      <c r="A3951" s="1257"/>
      <c r="B3951" s="1113"/>
      <c r="C3951" s="1107"/>
      <c r="D3951" s="103"/>
      <c r="E3951" s="1137"/>
      <c r="F3951" s="112"/>
      <c r="G3951" s="1110"/>
      <c r="H3951" s="1138"/>
      <c r="I3951" s="1138"/>
      <c r="J3951" s="1139"/>
      <c r="K3951" s="1111"/>
      <c r="L3951" s="1112"/>
      <c r="M3951" s="1113"/>
      <c r="N3951" s="110"/>
      <c r="O3951" s="1140"/>
      <c r="P3951" s="1115"/>
      <c r="Q3951" s="1116"/>
      <c r="R3951" s="1141"/>
      <c r="S3951" s="1113"/>
      <c r="T3951" s="1143"/>
      <c r="U3951" s="1108"/>
      <c r="V3951" s="1108"/>
      <c r="W3951" s="1108"/>
      <c r="X3951" s="1108"/>
      <c r="Y3951" s="1108"/>
      <c r="Z3951" s="1114"/>
      <c r="AA3951" s="1114"/>
      <c r="AB3951" s="1114"/>
      <c r="AC3951" s="1117"/>
      <c r="AD3951" s="1115"/>
      <c r="AE3951" s="1115"/>
      <c r="AF3951" s="1115"/>
      <c r="AG3951" s="1115"/>
      <c r="AH3951" s="1115"/>
      <c r="AI3951" s="1115"/>
      <c r="AJ3951" s="1117"/>
      <c r="AK3951" s="1118"/>
      <c r="AL3951" s="1115"/>
      <c r="AM3951" s="1115"/>
      <c r="AN3951" s="1115"/>
      <c r="AO3951" s="1115"/>
      <c r="AP3951" s="1115"/>
      <c r="AQ3951" s="1115"/>
      <c r="AR3951" s="1115"/>
      <c r="AS3951" s="1117"/>
      <c r="AT3951" s="1075"/>
      <c r="AU3951" s="1193"/>
      <c r="AV3951" s="330"/>
      <c r="AW3951" s="331"/>
      <c r="AX3951" s="331"/>
      <c r="AY3951" s="331"/>
      <c r="AZ3951" s="331"/>
      <c r="BA3951" s="331"/>
      <c r="BB3951" s="331"/>
      <c r="BC3951" s="331"/>
      <c r="BD3951" s="331"/>
      <c r="BE3951" s="333"/>
      <c r="BF3951" s="330"/>
      <c r="BG3951" s="333"/>
      <c r="BH3951" s="1119"/>
      <c r="BI3951" s="319"/>
      <c r="BJ3951" s="319"/>
      <c r="BK3951" s="319"/>
      <c r="BL3951" s="319"/>
      <c r="BM3951" s="319"/>
      <c r="BN3951" s="319"/>
      <c r="BO3951" s="319"/>
      <c r="BP3951" s="953"/>
      <c r="BQ3951" s="319"/>
      <c r="BR3951" s="319"/>
      <c r="BS3951" s="330"/>
      <c r="BT3951" s="331"/>
      <c r="BU3951" s="920"/>
      <c r="BV3951" s="903"/>
      <c r="BW3951" s="908"/>
      <c r="BX3951" s="908"/>
      <c r="BY3951" s="331"/>
      <c r="BZ3951" s="331"/>
      <c r="CA3951" s="462"/>
      <c r="CB3951" s="319"/>
      <c r="CC3951" s="319"/>
      <c r="CD3951" s="319"/>
      <c r="CE3951" s="319"/>
      <c r="CF3951" s="319"/>
      <c r="CG3951" s="319"/>
      <c r="CH3951" s="318"/>
      <c r="CI3951" s="319"/>
      <c r="CJ3951" s="319"/>
      <c r="CK3951" s="342"/>
      <c r="CL3951" s="333"/>
      <c r="CM3951" s="1079"/>
      <c r="CN3951" s="1005"/>
      <c r="CO3951" s="1005"/>
      <c r="CP3951" s="1005"/>
    </row>
    <row r="3952">
      <c r="A3952" s="1257"/>
      <c r="B3952" s="1113"/>
      <c r="C3952" s="1107"/>
      <c r="D3952" s="103"/>
      <c r="E3952" s="1137"/>
      <c r="F3952" s="112"/>
      <c r="G3952" s="1110"/>
      <c r="H3952" s="1138"/>
      <c r="I3952" s="1138"/>
      <c r="J3952" s="1139"/>
      <c r="K3952" s="1111"/>
      <c r="L3952" s="1112"/>
      <c r="M3952" s="1113"/>
      <c r="N3952" s="110"/>
      <c r="O3952" s="1140"/>
      <c r="P3952" s="1115"/>
      <c r="Q3952" s="1116"/>
      <c r="R3952" s="1141"/>
      <c r="S3952" s="1113"/>
      <c r="T3952" s="1143"/>
      <c r="U3952" s="1108"/>
      <c r="V3952" s="1108"/>
      <c r="W3952" s="1108"/>
      <c r="X3952" s="1108"/>
      <c r="Y3952" s="1108"/>
      <c r="Z3952" s="1114"/>
      <c r="AA3952" s="1114"/>
      <c r="AB3952" s="1114"/>
      <c r="AC3952" s="1117"/>
      <c r="AD3952" s="1115"/>
      <c r="AE3952" s="1115"/>
      <c r="AF3952" s="1115"/>
      <c r="AG3952" s="1115"/>
      <c r="AH3952" s="1115"/>
      <c r="AI3952" s="1115"/>
      <c r="AJ3952" s="1117"/>
      <c r="AK3952" s="1118"/>
      <c r="AL3952" s="1115"/>
      <c r="AM3952" s="1115"/>
      <c r="AN3952" s="1115"/>
      <c r="AO3952" s="1115"/>
      <c r="AP3952" s="1115"/>
      <c r="AQ3952" s="1115"/>
      <c r="AR3952" s="1115"/>
      <c r="AS3952" s="1117"/>
      <c r="AT3952" s="1075"/>
      <c r="AU3952" s="1193"/>
      <c r="AV3952" s="330"/>
      <c r="AW3952" s="331"/>
      <c r="AX3952" s="331"/>
      <c r="AY3952" s="331"/>
      <c r="AZ3952" s="331"/>
      <c r="BA3952" s="331"/>
      <c r="BB3952" s="331"/>
      <c r="BC3952" s="331"/>
      <c r="BD3952" s="331"/>
      <c r="BE3952" s="333"/>
      <c r="BF3952" s="330"/>
      <c r="BG3952" s="333"/>
      <c r="BH3952" s="1119"/>
      <c r="BI3952" s="319"/>
      <c r="BJ3952" s="319"/>
      <c r="BK3952" s="319"/>
      <c r="BL3952" s="319"/>
      <c r="BM3952" s="319"/>
      <c r="BN3952" s="319"/>
      <c r="BO3952" s="319"/>
      <c r="BP3952" s="953"/>
      <c r="BQ3952" s="319"/>
      <c r="BR3952" s="319"/>
      <c r="BS3952" s="330"/>
      <c r="BT3952" s="331"/>
      <c r="BU3952" s="920"/>
      <c r="BV3952" s="903"/>
      <c r="BW3952" s="908"/>
      <c r="BX3952" s="908"/>
      <c r="BY3952" s="331"/>
      <c r="BZ3952" s="331"/>
      <c r="CA3952" s="462"/>
      <c r="CB3952" s="319"/>
      <c r="CC3952" s="319"/>
      <c r="CD3952" s="319"/>
      <c r="CE3952" s="319"/>
      <c r="CF3952" s="319"/>
      <c r="CG3952" s="319"/>
      <c r="CH3952" s="318"/>
      <c r="CI3952" s="319"/>
      <c r="CJ3952" s="319"/>
      <c r="CK3952" s="342"/>
      <c r="CL3952" s="333"/>
      <c r="CM3952" s="1079"/>
      <c r="CN3952" s="1005"/>
      <c r="CO3952" s="1005"/>
      <c r="CP3952" s="1005"/>
    </row>
    <row r="3953">
      <c r="A3953" s="1257"/>
      <c r="B3953" s="1113"/>
      <c r="C3953" s="1107"/>
      <c r="D3953" s="103"/>
      <c r="E3953" s="1137"/>
      <c r="F3953" s="112"/>
      <c r="G3953" s="1110"/>
      <c r="H3953" s="1138"/>
      <c r="I3953" s="1138"/>
      <c r="J3953" s="1139"/>
      <c r="K3953" s="1111"/>
      <c r="L3953" s="1112"/>
      <c r="M3953" s="1113"/>
      <c r="N3953" s="110"/>
      <c r="O3953" s="1140"/>
      <c r="P3953" s="1115"/>
      <c r="Q3953" s="1116"/>
      <c r="R3953" s="1141"/>
      <c r="S3953" s="1113"/>
      <c r="T3953" s="1143"/>
      <c r="U3953" s="1108"/>
      <c r="V3953" s="1108"/>
      <c r="W3953" s="1108"/>
      <c r="X3953" s="1108"/>
      <c r="Y3953" s="1108"/>
      <c r="Z3953" s="1114"/>
      <c r="AA3953" s="1114"/>
      <c r="AB3953" s="1114"/>
      <c r="AC3953" s="1117"/>
      <c r="AD3953" s="1115"/>
      <c r="AE3953" s="1115"/>
      <c r="AF3953" s="1115"/>
      <c r="AG3953" s="1115"/>
      <c r="AH3953" s="1115"/>
      <c r="AI3953" s="1115"/>
      <c r="AJ3953" s="1117"/>
      <c r="AK3953" s="1118"/>
      <c r="AL3953" s="1115"/>
      <c r="AM3953" s="1115"/>
      <c r="AN3953" s="1115"/>
      <c r="AO3953" s="1115"/>
      <c r="AP3953" s="1115"/>
      <c r="AQ3953" s="1115"/>
      <c r="AR3953" s="1115"/>
      <c r="AS3953" s="1117"/>
      <c r="AT3953" s="1075"/>
      <c r="AU3953" s="1193"/>
      <c r="AV3953" s="330"/>
      <c r="AW3953" s="331"/>
      <c r="AX3953" s="331"/>
      <c r="AY3953" s="331"/>
      <c r="AZ3953" s="331"/>
      <c r="BA3953" s="331"/>
      <c r="BB3953" s="331"/>
      <c r="BC3953" s="331"/>
      <c r="BD3953" s="331"/>
      <c r="BE3953" s="333"/>
      <c r="BF3953" s="330"/>
      <c r="BG3953" s="333"/>
      <c r="BH3953" s="1119"/>
      <c r="BI3953" s="319"/>
      <c r="BJ3953" s="319"/>
      <c r="BK3953" s="319"/>
      <c r="BL3953" s="319"/>
      <c r="BM3953" s="319"/>
      <c r="BN3953" s="319"/>
      <c r="BO3953" s="319"/>
      <c r="BP3953" s="953"/>
      <c r="BQ3953" s="319"/>
      <c r="BR3953" s="319"/>
      <c r="BS3953" s="330"/>
      <c r="BT3953" s="331"/>
      <c r="BU3953" s="920"/>
      <c r="BV3953" s="903"/>
      <c r="BW3953" s="908"/>
      <c r="BX3953" s="908"/>
      <c r="BY3953" s="331"/>
      <c r="BZ3953" s="331"/>
      <c r="CA3953" s="462"/>
      <c r="CB3953" s="319"/>
      <c r="CC3953" s="319"/>
      <c r="CD3953" s="319"/>
      <c r="CE3953" s="319"/>
      <c r="CF3953" s="319"/>
      <c r="CG3953" s="319"/>
      <c r="CH3953" s="318"/>
      <c r="CI3953" s="319"/>
      <c r="CJ3953" s="319"/>
      <c r="CK3953" s="342"/>
      <c r="CL3953" s="333"/>
      <c r="CM3953" s="1079"/>
      <c r="CN3953" s="1005"/>
      <c r="CO3953" s="1005"/>
      <c r="CP3953" s="1005"/>
    </row>
    <row r="3954">
      <c r="A3954" s="1257"/>
      <c r="B3954" s="1113"/>
      <c r="C3954" s="1107"/>
      <c r="D3954" s="103"/>
      <c r="E3954" s="1137"/>
      <c r="F3954" s="112"/>
      <c r="G3954" s="1110"/>
      <c r="H3954" s="1138"/>
      <c r="I3954" s="1138"/>
      <c r="J3954" s="1139"/>
      <c r="K3954" s="1111"/>
      <c r="L3954" s="1112"/>
      <c r="M3954" s="1113"/>
      <c r="N3954" s="110"/>
      <c r="O3954" s="1140"/>
      <c r="P3954" s="1115"/>
      <c r="Q3954" s="1116"/>
      <c r="R3954" s="1141"/>
      <c r="S3954" s="1113"/>
      <c r="T3954" s="1143"/>
      <c r="U3954" s="1108"/>
      <c r="V3954" s="1108"/>
      <c r="W3954" s="1108"/>
      <c r="X3954" s="1108"/>
      <c r="Y3954" s="1108"/>
      <c r="Z3954" s="1114"/>
      <c r="AA3954" s="1114"/>
      <c r="AB3954" s="1114"/>
      <c r="AC3954" s="1117"/>
      <c r="AD3954" s="1115"/>
      <c r="AE3954" s="1115"/>
      <c r="AF3954" s="1115"/>
      <c r="AG3954" s="1115"/>
      <c r="AH3954" s="1115"/>
      <c r="AI3954" s="1115"/>
      <c r="AJ3954" s="1117"/>
      <c r="AK3954" s="1118"/>
      <c r="AL3954" s="1115"/>
      <c r="AM3954" s="1115"/>
      <c r="AN3954" s="1115"/>
      <c r="AO3954" s="1115"/>
      <c r="AP3954" s="1115"/>
      <c r="AQ3954" s="1115"/>
      <c r="AR3954" s="1115"/>
      <c r="AS3954" s="1117"/>
      <c r="AT3954" s="1075"/>
      <c r="AU3954" s="1193"/>
      <c r="AV3954" s="330"/>
      <c r="AW3954" s="331"/>
      <c r="AX3954" s="331"/>
      <c r="AY3954" s="331"/>
      <c r="AZ3954" s="331"/>
      <c r="BA3954" s="331"/>
      <c r="BB3954" s="331"/>
      <c r="BC3954" s="331"/>
      <c r="BD3954" s="331"/>
      <c r="BE3954" s="333"/>
      <c r="BF3954" s="330"/>
      <c r="BG3954" s="333"/>
      <c r="BH3954" s="1119"/>
      <c r="BI3954" s="319"/>
      <c r="BJ3954" s="319"/>
      <c r="BK3954" s="319"/>
      <c r="BL3954" s="319"/>
      <c r="BM3954" s="319"/>
      <c r="BN3954" s="319"/>
      <c r="BO3954" s="319"/>
      <c r="BP3954" s="953"/>
      <c r="BQ3954" s="319"/>
      <c r="BR3954" s="319"/>
      <c r="BS3954" s="330"/>
      <c r="BT3954" s="331"/>
      <c r="BU3954" s="920"/>
      <c r="BV3954" s="903"/>
      <c r="BW3954" s="908"/>
      <c r="BX3954" s="908"/>
      <c r="BY3954" s="331"/>
      <c r="BZ3954" s="331"/>
      <c r="CA3954" s="462"/>
      <c r="CB3954" s="319"/>
      <c r="CC3954" s="319"/>
      <c r="CD3954" s="319"/>
      <c r="CE3954" s="319"/>
      <c r="CF3954" s="319"/>
      <c r="CG3954" s="319"/>
      <c r="CH3954" s="318"/>
      <c r="CI3954" s="319"/>
      <c r="CJ3954" s="319"/>
      <c r="CK3954" s="342"/>
      <c r="CL3954" s="333"/>
      <c r="CM3954" s="1079"/>
      <c r="CN3954" s="1005"/>
      <c r="CO3954" s="1005"/>
      <c r="CP3954" s="1005"/>
    </row>
    <row r="3955">
      <c r="A3955" s="1257"/>
      <c r="B3955" s="1113"/>
      <c r="C3955" s="1107"/>
      <c r="D3955" s="103"/>
      <c r="E3955" s="1137"/>
      <c r="F3955" s="112"/>
      <c r="G3955" s="1110"/>
      <c r="H3955" s="1138"/>
      <c r="I3955" s="1138"/>
      <c r="J3955" s="1139"/>
      <c r="K3955" s="1111"/>
      <c r="L3955" s="1112"/>
      <c r="M3955" s="1113"/>
      <c r="N3955" s="110"/>
      <c r="O3955" s="1140"/>
      <c r="P3955" s="1115"/>
      <c r="Q3955" s="1116"/>
      <c r="R3955" s="1141"/>
      <c r="S3955" s="1113"/>
      <c r="T3955" s="1143"/>
      <c r="U3955" s="1108"/>
      <c r="V3955" s="1108"/>
      <c r="W3955" s="1108"/>
      <c r="X3955" s="1108"/>
      <c r="Y3955" s="1108"/>
      <c r="Z3955" s="1114"/>
      <c r="AA3955" s="1114"/>
      <c r="AB3955" s="1114"/>
      <c r="AC3955" s="1117"/>
      <c r="AD3955" s="1115"/>
      <c r="AE3955" s="1115"/>
      <c r="AF3955" s="1115"/>
      <c r="AG3955" s="1115"/>
      <c r="AH3955" s="1115"/>
      <c r="AI3955" s="1115"/>
      <c r="AJ3955" s="1117"/>
      <c r="AK3955" s="1118"/>
      <c r="AL3955" s="1115"/>
      <c r="AM3955" s="1115"/>
      <c r="AN3955" s="1115"/>
      <c r="AO3955" s="1115"/>
      <c r="AP3955" s="1115"/>
      <c r="AQ3955" s="1115"/>
      <c r="AR3955" s="1115"/>
      <c r="AS3955" s="1117"/>
      <c r="AT3955" s="1075"/>
      <c r="AU3955" s="1193"/>
      <c r="AV3955" s="330"/>
      <c r="AW3955" s="331"/>
      <c r="AX3955" s="331"/>
      <c r="AY3955" s="331"/>
      <c r="AZ3955" s="331"/>
      <c r="BA3955" s="331"/>
      <c r="BB3955" s="331"/>
      <c r="BC3955" s="331"/>
      <c r="BD3955" s="331"/>
      <c r="BE3955" s="333"/>
      <c r="BF3955" s="330"/>
      <c r="BG3955" s="333"/>
      <c r="BH3955" s="1119"/>
      <c r="BI3955" s="319"/>
      <c r="BJ3955" s="319"/>
      <c r="BK3955" s="319"/>
      <c r="BL3955" s="319"/>
      <c r="BM3955" s="319"/>
      <c r="BN3955" s="319"/>
      <c r="BO3955" s="319"/>
      <c r="BP3955" s="953"/>
      <c r="BQ3955" s="319"/>
      <c r="BR3955" s="319"/>
      <c r="BS3955" s="330"/>
      <c r="BT3955" s="331"/>
      <c r="BU3955" s="920"/>
      <c r="BV3955" s="903"/>
      <c r="BW3955" s="908"/>
      <c r="BX3955" s="908"/>
      <c r="BY3955" s="331"/>
      <c r="BZ3955" s="331"/>
      <c r="CA3955" s="462"/>
      <c r="CB3955" s="319"/>
      <c r="CC3955" s="319"/>
      <c r="CD3955" s="319"/>
      <c r="CE3955" s="319"/>
      <c r="CF3955" s="319"/>
      <c r="CG3955" s="319"/>
      <c r="CH3955" s="318"/>
      <c r="CI3955" s="319"/>
      <c r="CJ3955" s="319"/>
      <c r="CK3955" s="342"/>
      <c r="CL3955" s="333"/>
      <c r="CM3955" s="1079"/>
      <c r="CN3955" s="1005"/>
      <c r="CO3955" s="1005"/>
      <c r="CP3955" s="1005"/>
    </row>
    <row r="3956">
      <c r="A3956" s="1257"/>
      <c r="B3956" s="1113"/>
      <c r="C3956" s="1107"/>
      <c r="D3956" s="103"/>
      <c r="E3956" s="1137"/>
      <c r="F3956" s="112"/>
      <c r="G3956" s="1110"/>
      <c r="H3956" s="1138"/>
      <c r="I3956" s="1138"/>
      <c r="J3956" s="1139"/>
      <c r="K3956" s="1111"/>
      <c r="L3956" s="1112"/>
      <c r="M3956" s="1113"/>
      <c r="N3956" s="110"/>
      <c r="O3956" s="1140"/>
      <c r="P3956" s="1115"/>
      <c r="Q3956" s="1116"/>
      <c r="R3956" s="1141"/>
      <c r="S3956" s="1113"/>
      <c r="T3956" s="1143"/>
      <c r="U3956" s="1108"/>
      <c r="V3956" s="1108"/>
      <c r="W3956" s="1108"/>
      <c r="X3956" s="1108"/>
      <c r="Y3956" s="1108"/>
      <c r="Z3956" s="1114"/>
      <c r="AA3956" s="1114"/>
      <c r="AB3956" s="1114"/>
      <c r="AC3956" s="1117"/>
      <c r="AD3956" s="1115"/>
      <c r="AE3956" s="1115"/>
      <c r="AF3956" s="1115"/>
      <c r="AG3956" s="1115"/>
      <c r="AH3956" s="1115"/>
      <c r="AI3956" s="1115"/>
      <c r="AJ3956" s="1117"/>
      <c r="AK3956" s="1118"/>
      <c r="AL3956" s="1115"/>
      <c r="AM3956" s="1115"/>
      <c r="AN3956" s="1115"/>
      <c r="AO3956" s="1115"/>
      <c r="AP3956" s="1115"/>
      <c r="AQ3956" s="1115"/>
      <c r="AR3956" s="1115"/>
      <c r="AS3956" s="1117"/>
      <c r="AT3956" s="1075"/>
      <c r="AU3956" s="1193"/>
      <c r="AV3956" s="330"/>
      <c r="AW3956" s="331"/>
      <c r="AX3956" s="331"/>
      <c r="AY3956" s="331"/>
      <c r="AZ3956" s="331"/>
      <c r="BA3956" s="331"/>
      <c r="BB3956" s="331"/>
      <c r="BC3956" s="331"/>
      <c r="BD3956" s="331"/>
      <c r="BE3956" s="333"/>
      <c r="BF3956" s="330"/>
      <c r="BG3956" s="333"/>
      <c r="BH3956" s="1119"/>
      <c r="BI3956" s="319"/>
      <c r="BJ3956" s="319"/>
      <c r="BK3956" s="319"/>
      <c r="BL3956" s="319"/>
      <c r="BM3956" s="319"/>
      <c r="BN3956" s="319"/>
      <c r="BO3956" s="319"/>
      <c r="BP3956" s="953"/>
      <c r="BQ3956" s="319"/>
      <c r="BR3956" s="319"/>
      <c r="BS3956" s="330"/>
      <c r="BT3956" s="331"/>
      <c r="BU3956" s="920"/>
      <c r="BV3956" s="903"/>
      <c r="BW3956" s="908"/>
      <c r="BX3956" s="908"/>
      <c r="BY3956" s="331"/>
      <c r="BZ3956" s="331"/>
      <c r="CA3956" s="462"/>
      <c r="CB3956" s="319"/>
      <c r="CC3956" s="319"/>
      <c r="CD3956" s="319"/>
      <c r="CE3956" s="319"/>
      <c r="CF3956" s="319"/>
      <c r="CG3956" s="319"/>
      <c r="CH3956" s="318"/>
      <c r="CI3956" s="319"/>
      <c r="CJ3956" s="319"/>
      <c r="CK3956" s="342"/>
      <c r="CL3956" s="333"/>
      <c r="CM3956" s="1079"/>
      <c r="CN3956" s="1005"/>
      <c r="CO3956" s="1005"/>
      <c r="CP3956" s="1005"/>
    </row>
    <row r="3957">
      <c r="A3957" s="1257"/>
      <c r="B3957" s="1113"/>
      <c r="C3957" s="1107"/>
      <c r="D3957" s="103"/>
      <c r="E3957" s="1137"/>
      <c r="F3957" s="112"/>
      <c r="G3957" s="1110"/>
      <c r="H3957" s="1138"/>
      <c r="I3957" s="1138"/>
      <c r="J3957" s="1139"/>
      <c r="K3957" s="1111"/>
      <c r="L3957" s="1112"/>
      <c r="M3957" s="1113"/>
      <c r="N3957" s="110"/>
      <c r="O3957" s="1140"/>
      <c r="P3957" s="1115"/>
      <c r="Q3957" s="1116"/>
      <c r="R3957" s="1141"/>
      <c r="S3957" s="1113"/>
      <c r="T3957" s="1143"/>
      <c r="U3957" s="1108"/>
      <c r="V3957" s="1108"/>
      <c r="W3957" s="1108"/>
      <c r="X3957" s="1108"/>
      <c r="Y3957" s="1108"/>
      <c r="Z3957" s="1114"/>
      <c r="AA3957" s="1114"/>
      <c r="AB3957" s="1114"/>
      <c r="AC3957" s="1117"/>
      <c r="AD3957" s="1115"/>
      <c r="AE3957" s="1115"/>
      <c r="AF3957" s="1115"/>
      <c r="AG3957" s="1115"/>
      <c r="AH3957" s="1115"/>
      <c r="AI3957" s="1115"/>
      <c r="AJ3957" s="1117"/>
      <c r="AK3957" s="1118"/>
      <c r="AL3957" s="1115"/>
      <c r="AM3957" s="1115"/>
      <c r="AN3957" s="1115"/>
      <c r="AO3957" s="1115"/>
      <c r="AP3957" s="1115"/>
      <c r="AQ3957" s="1115"/>
      <c r="AR3957" s="1115"/>
      <c r="AS3957" s="1117"/>
      <c r="AT3957" s="1075"/>
      <c r="AU3957" s="1193"/>
      <c r="AV3957" s="330"/>
      <c r="AW3957" s="331"/>
      <c r="AX3957" s="331"/>
      <c r="AY3957" s="331"/>
      <c r="AZ3957" s="331"/>
      <c r="BA3957" s="331"/>
      <c r="BB3957" s="331"/>
      <c r="BC3957" s="331"/>
      <c r="BD3957" s="331"/>
      <c r="BE3957" s="333"/>
      <c r="BF3957" s="330"/>
      <c r="BG3957" s="333"/>
      <c r="BH3957" s="1119"/>
      <c r="BI3957" s="319"/>
      <c r="BJ3957" s="319"/>
      <c r="BK3957" s="319"/>
      <c r="BL3957" s="319"/>
      <c r="BM3957" s="319"/>
      <c r="BN3957" s="319"/>
      <c r="BO3957" s="319"/>
      <c r="BP3957" s="953"/>
      <c r="BQ3957" s="319"/>
      <c r="BR3957" s="319"/>
      <c r="BS3957" s="330"/>
      <c r="BT3957" s="331"/>
      <c r="BU3957" s="920"/>
      <c r="BV3957" s="903"/>
      <c r="BW3957" s="908"/>
      <c r="BX3957" s="908"/>
      <c r="BY3957" s="331"/>
      <c r="BZ3957" s="331"/>
      <c r="CA3957" s="462"/>
      <c r="CB3957" s="319"/>
      <c r="CC3957" s="319"/>
      <c r="CD3957" s="319"/>
      <c r="CE3957" s="319"/>
      <c r="CF3957" s="319"/>
      <c r="CG3957" s="319"/>
      <c r="CH3957" s="318"/>
      <c r="CI3957" s="319"/>
      <c r="CJ3957" s="319"/>
      <c r="CK3957" s="342"/>
      <c r="CL3957" s="333"/>
      <c r="CM3957" s="1079"/>
      <c r="CN3957" s="1005"/>
      <c r="CO3957" s="1005"/>
      <c r="CP3957" s="1005"/>
    </row>
    <row r="3958">
      <c r="A3958" s="1257"/>
      <c r="B3958" s="1113"/>
      <c r="C3958" s="1107"/>
      <c r="D3958" s="103"/>
      <c r="E3958" s="1137"/>
      <c r="F3958" s="112"/>
      <c r="G3958" s="1110"/>
      <c r="H3958" s="1138"/>
      <c r="I3958" s="1138"/>
      <c r="J3958" s="1139"/>
      <c r="K3958" s="1111"/>
      <c r="L3958" s="1112"/>
      <c r="M3958" s="1113"/>
      <c r="N3958" s="110"/>
      <c r="O3958" s="1140"/>
      <c r="P3958" s="1115"/>
      <c r="Q3958" s="1116"/>
      <c r="R3958" s="1141"/>
      <c r="S3958" s="1113"/>
      <c r="T3958" s="1143"/>
      <c r="U3958" s="1108"/>
      <c r="V3958" s="1108"/>
      <c r="W3958" s="1108"/>
      <c r="X3958" s="1108"/>
      <c r="Y3958" s="1108"/>
      <c r="Z3958" s="1114"/>
      <c r="AA3958" s="1114"/>
      <c r="AB3958" s="1114"/>
      <c r="AC3958" s="1117"/>
      <c r="AD3958" s="1115"/>
      <c r="AE3958" s="1115"/>
      <c r="AF3958" s="1115"/>
      <c r="AG3958" s="1115"/>
      <c r="AH3958" s="1115"/>
      <c r="AI3958" s="1115"/>
      <c r="AJ3958" s="1117"/>
      <c r="AK3958" s="1118"/>
      <c r="AL3958" s="1115"/>
      <c r="AM3958" s="1115"/>
      <c r="AN3958" s="1115"/>
      <c r="AO3958" s="1115"/>
      <c r="AP3958" s="1115"/>
      <c r="AQ3958" s="1115"/>
      <c r="AR3958" s="1115"/>
      <c r="AS3958" s="1117"/>
      <c r="AT3958" s="1075"/>
      <c r="AU3958" s="1193"/>
      <c r="AV3958" s="330"/>
      <c r="AW3958" s="331"/>
      <c r="AX3958" s="331"/>
      <c r="AY3958" s="331"/>
      <c r="AZ3958" s="331"/>
      <c r="BA3958" s="331"/>
      <c r="BB3958" s="331"/>
      <c r="BC3958" s="331"/>
      <c r="BD3958" s="331"/>
      <c r="BE3958" s="333"/>
      <c r="BF3958" s="330"/>
      <c r="BG3958" s="333"/>
      <c r="BH3958" s="1119"/>
      <c r="BI3958" s="319"/>
      <c r="BJ3958" s="319"/>
      <c r="BK3958" s="319"/>
      <c r="BL3958" s="319"/>
      <c r="BM3958" s="319"/>
      <c r="BN3958" s="319"/>
      <c r="BO3958" s="319"/>
      <c r="BP3958" s="953"/>
      <c r="BQ3958" s="319"/>
      <c r="BR3958" s="319"/>
      <c r="BS3958" s="330"/>
      <c r="BT3958" s="331"/>
      <c r="BU3958" s="920"/>
      <c r="BV3958" s="903"/>
      <c r="BW3958" s="908"/>
      <c r="BX3958" s="908"/>
      <c r="BY3958" s="331"/>
      <c r="BZ3958" s="331"/>
      <c r="CA3958" s="462"/>
      <c r="CB3958" s="319"/>
      <c r="CC3958" s="319"/>
      <c r="CD3958" s="319"/>
      <c r="CE3958" s="319"/>
      <c r="CF3958" s="319"/>
      <c r="CG3958" s="319"/>
      <c r="CH3958" s="318"/>
      <c r="CI3958" s="319"/>
      <c r="CJ3958" s="319"/>
      <c r="CK3958" s="342"/>
      <c r="CL3958" s="333"/>
      <c r="CM3958" s="1079"/>
      <c r="CN3958" s="1005"/>
      <c r="CO3958" s="1005"/>
      <c r="CP3958" s="1005"/>
    </row>
    <row r="3959">
      <c r="A3959" s="1257"/>
      <c r="B3959" s="1113"/>
      <c r="C3959" s="1107"/>
      <c r="D3959" s="103"/>
      <c r="E3959" s="1137"/>
      <c r="F3959" s="112"/>
      <c r="G3959" s="1110"/>
      <c r="H3959" s="1138"/>
      <c r="I3959" s="1138"/>
      <c r="J3959" s="1139"/>
      <c r="K3959" s="1111"/>
      <c r="L3959" s="1112"/>
      <c r="M3959" s="1113"/>
      <c r="N3959" s="110"/>
      <c r="O3959" s="1140"/>
      <c r="P3959" s="1115"/>
      <c r="Q3959" s="1116"/>
      <c r="R3959" s="1141"/>
      <c r="S3959" s="1113"/>
      <c r="T3959" s="1143"/>
      <c r="U3959" s="1108"/>
      <c r="V3959" s="1108"/>
      <c r="W3959" s="1108"/>
      <c r="X3959" s="1108"/>
      <c r="Y3959" s="1108"/>
      <c r="Z3959" s="1114"/>
      <c r="AA3959" s="1114"/>
      <c r="AB3959" s="1114"/>
      <c r="AC3959" s="1117"/>
      <c r="AD3959" s="1115"/>
      <c r="AE3959" s="1115"/>
      <c r="AF3959" s="1115"/>
      <c r="AG3959" s="1115"/>
      <c r="AH3959" s="1115"/>
      <c r="AI3959" s="1115"/>
      <c r="AJ3959" s="1117"/>
      <c r="AK3959" s="1118"/>
      <c r="AL3959" s="1115"/>
      <c r="AM3959" s="1115"/>
      <c r="AN3959" s="1115"/>
      <c r="AO3959" s="1115"/>
      <c r="AP3959" s="1115"/>
      <c r="AQ3959" s="1115"/>
      <c r="AR3959" s="1115"/>
      <c r="AS3959" s="1117"/>
      <c r="AT3959" s="1075"/>
      <c r="AU3959" s="1193"/>
      <c r="AV3959" s="330"/>
      <c r="AW3959" s="331"/>
      <c r="AX3959" s="331"/>
      <c r="AY3959" s="331"/>
      <c r="AZ3959" s="331"/>
      <c r="BA3959" s="331"/>
      <c r="BB3959" s="331"/>
      <c r="BC3959" s="331"/>
      <c r="BD3959" s="331"/>
      <c r="BE3959" s="333"/>
      <c r="BF3959" s="330"/>
      <c r="BG3959" s="333"/>
      <c r="BH3959" s="1119"/>
      <c r="BI3959" s="319"/>
      <c r="BJ3959" s="319"/>
      <c r="BK3959" s="319"/>
      <c r="BL3959" s="319"/>
      <c r="BM3959" s="319"/>
      <c r="BN3959" s="319"/>
      <c r="BO3959" s="319"/>
      <c r="BP3959" s="953"/>
      <c r="BQ3959" s="319"/>
      <c r="BR3959" s="319"/>
      <c r="BS3959" s="330"/>
      <c r="BT3959" s="331"/>
      <c r="BU3959" s="920"/>
      <c r="BV3959" s="903"/>
      <c r="BW3959" s="908"/>
      <c r="BX3959" s="908"/>
      <c r="BY3959" s="331"/>
      <c r="BZ3959" s="331"/>
      <c r="CA3959" s="462"/>
      <c r="CB3959" s="319"/>
      <c r="CC3959" s="319"/>
      <c r="CD3959" s="319"/>
      <c r="CE3959" s="319"/>
      <c r="CF3959" s="319"/>
      <c r="CG3959" s="319"/>
      <c r="CH3959" s="318"/>
      <c r="CI3959" s="319"/>
      <c r="CJ3959" s="319"/>
      <c r="CK3959" s="342"/>
      <c r="CL3959" s="333"/>
      <c r="CM3959" s="1079"/>
      <c r="CN3959" s="1005"/>
      <c r="CO3959" s="1005"/>
      <c r="CP3959" s="1005"/>
    </row>
    <row r="3960">
      <c r="A3960" s="1257"/>
      <c r="B3960" s="1113"/>
      <c r="C3960" s="1107"/>
      <c r="D3960" s="103"/>
      <c r="E3960" s="1137"/>
      <c r="F3960" s="112"/>
      <c r="G3960" s="1110"/>
      <c r="H3960" s="1138"/>
      <c r="I3960" s="1138"/>
      <c r="J3960" s="1139"/>
      <c r="K3960" s="1111"/>
      <c r="L3960" s="1112"/>
      <c r="M3960" s="1113"/>
      <c r="N3960" s="110"/>
      <c r="O3960" s="1140"/>
      <c r="P3960" s="1115"/>
      <c r="Q3960" s="1116"/>
      <c r="R3960" s="1141"/>
      <c r="S3960" s="1113"/>
      <c r="T3960" s="1143"/>
      <c r="U3960" s="1108"/>
      <c r="V3960" s="1108"/>
      <c r="W3960" s="1108"/>
      <c r="X3960" s="1108"/>
      <c r="Y3960" s="1108"/>
      <c r="Z3960" s="1114"/>
      <c r="AA3960" s="1114"/>
      <c r="AB3960" s="1114"/>
      <c r="AC3960" s="1117"/>
      <c r="AD3960" s="1115"/>
      <c r="AE3960" s="1115"/>
      <c r="AF3960" s="1115"/>
      <c r="AG3960" s="1115"/>
      <c r="AH3960" s="1115"/>
      <c r="AI3960" s="1115"/>
      <c r="AJ3960" s="1117"/>
      <c r="AK3960" s="1118"/>
      <c r="AL3960" s="1115"/>
      <c r="AM3960" s="1115"/>
      <c r="AN3960" s="1115"/>
      <c r="AO3960" s="1115"/>
      <c r="AP3960" s="1115"/>
      <c r="AQ3960" s="1115"/>
      <c r="AR3960" s="1115"/>
      <c r="AS3960" s="1117"/>
      <c r="AT3960" s="1075"/>
      <c r="AU3960" s="1193"/>
      <c r="AV3960" s="330"/>
      <c r="AW3960" s="331"/>
      <c r="AX3960" s="331"/>
      <c r="AY3960" s="331"/>
      <c r="AZ3960" s="331"/>
      <c r="BA3960" s="331"/>
      <c r="BB3960" s="331"/>
      <c r="BC3960" s="331"/>
      <c r="BD3960" s="331"/>
      <c r="BE3960" s="333"/>
      <c r="BF3960" s="330"/>
      <c r="BG3960" s="333"/>
      <c r="BH3960" s="1119"/>
      <c r="BI3960" s="319"/>
      <c r="BJ3960" s="319"/>
      <c r="BK3960" s="319"/>
      <c r="BL3960" s="319"/>
      <c r="BM3960" s="319"/>
      <c r="BN3960" s="319"/>
      <c r="BO3960" s="319"/>
      <c r="BP3960" s="953"/>
      <c r="BQ3960" s="319"/>
      <c r="BR3960" s="319"/>
      <c r="BS3960" s="330"/>
      <c r="BT3960" s="331"/>
      <c r="BU3960" s="920"/>
      <c r="BV3960" s="903"/>
      <c r="BW3960" s="908"/>
      <c r="BX3960" s="908"/>
      <c r="BY3960" s="331"/>
      <c r="BZ3960" s="331"/>
      <c r="CA3960" s="462"/>
      <c r="CB3960" s="319"/>
      <c r="CC3960" s="319"/>
      <c r="CD3960" s="319"/>
      <c r="CE3960" s="319"/>
      <c r="CF3960" s="319"/>
      <c r="CG3960" s="319"/>
      <c r="CH3960" s="318"/>
      <c r="CI3960" s="319"/>
      <c r="CJ3960" s="319"/>
      <c r="CK3960" s="342"/>
      <c r="CL3960" s="333"/>
      <c r="CM3960" s="1079"/>
      <c r="CN3960" s="1005"/>
      <c r="CO3960" s="1005"/>
      <c r="CP3960" s="1005"/>
    </row>
    <row r="3961">
      <c r="A3961" s="1257"/>
      <c r="B3961" s="1113"/>
      <c r="C3961" s="1107"/>
      <c r="D3961" s="103"/>
      <c r="E3961" s="1137"/>
      <c r="F3961" s="112"/>
      <c r="G3961" s="1110"/>
      <c r="H3961" s="1138"/>
      <c r="I3961" s="1138"/>
      <c r="J3961" s="1139"/>
      <c r="K3961" s="1111"/>
      <c r="L3961" s="1112"/>
      <c r="M3961" s="1113"/>
      <c r="N3961" s="110"/>
      <c r="O3961" s="1140"/>
      <c r="P3961" s="1115"/>
      <c r="Q3961" s="1116"/>
      <c r="R3961" s="1141"/>
      <c r="S3961" s="1113"/>
      <c r="T3961" s="1143"/>
      <c r="U3961" s="1108"/>
      <c r="V3961" s="1108"/>
      <c r="W3961" s="1108"/>
      <c r="X3961" s="1108"/>
      <c r="Y3961" s="1108"/>
      <c r="Z3961" s="1114"/>
      <c r="AA3961" s="1114"/>
      <c r="AB3961" s="1114"/>
      <c r="AC3961" s="1117"/>
      <c r="AD3961" s="1115"/>
      <c r="AE3961" s="1115"/>
      <c r="AF3961" s="1115"/>
      <c r="AG3961" s="1115"/>
      <c r="AH3961" s="1115"/>
      <c r="AI3961" s="1115"/>
      <c r="AJ3961" s="1117"/>
      <c r="AK3961" s="1118"/>
      <c r="AL3961" s="1115"/>
      <c r="AM3961" s="1115"/>
      <c r="AN3961" s="1115"/>
      <c r="AO3961" s="1115"/>
      <c r="AP3961" s="1115"/>
      <c r="AQ3961" s="1115"/>
      <c r="AR3961" s="1115"/>
      <c r="AS3961" s="1117"/>
      <c r="AT3961" s="1075"/>
      <c r="AU3961" s="1193"/>
      <c r="AV3961" s="330"/>
      <c r="AW3961" s="331"/>
      <c r="AX3961" s="331"/>
      <c r="AY3961" s="331"/>
      <c r="AZ3961" s="331"/>
      <c r="BA3961" s="331"/>
      <c r="BB3961" s="331"/>
      <c r="BC3961" s="331"/>
      <c r="BD3961" s="331"/>
      <c r="BE3961" s="333"/>
      <c r="BF3961" s="330"/>
      <c r="BG3961" s="333"/>
      <c r="BH3961" s="1119"/>
      <c r="BI3961" s="319"/>
      <c r="BJ3961" s="319"/>
      <c r="BK3961" s="319"/>
      <c r="BL3961" s="319"/>
      <c r="BM3961" s="319"/>
      <c r="BN3961" s="319"/>
      <c r="BO3961" s="319"/>
      <c r="BP3961" s="953"/>
      <c r="BQ3961" s="319"/>
      <c r="BR3961" s="319"/>
      <c r="BS3961" s="330"/>
      <c r="BT3961" s="331"/>
      <c r="BU3961" s="920"/>
      <c r="BV3961" s="903"/>
      <c r="BW3961" s="908"/>
      <c r="BX3961" s="908"/>
      <c r="BY3961" s="331"/>
      <c r="BZ3961" s="331"/>
      <c r="CA3961" s="462"/>
      <c r="CB3961" s="319"/>
      <c r="CC3961" s="319"/>
      <c r="CD3961" s="319"/>
      <c r="CE3961" s="319"/>
      <c r="CF3961" s="319"/>
      <c r="CG3961" s="319"/>
      <c r="CH3961" s="318"/>
      <c r="CI3961" s="319"/>
      <c r="CJ3961" s="319"/>
      <c r="CK3961" s="342"/>
      <c r="CL3961" s="333"/>
      <c r="CM3961" s="1079"/>
      <c r="CN3961" s="1005"/>
      <c r="CO3961" s="1005"/>
      <c r="CP3961" s="1005"/>
    </row>
    <row r="3962">
      <c r="A3962" s="1257"/>
      <c r="B3962" s="1113"/>
      <c r="C3962" s="1107"/>
      <c r="D3962" s="103"/>
      <c r="E3962" s="1137"/>
      <c r="F3962" s="112"/>
      <c r="G3962" s="1110"/>
      <c r="H3962" s="1138"/>
      <c r="I3962" s="1138"/>
      <c r="J3962" s="1139"/>
      <c r="K3962" s="1111"/>
      <c r="L3962" s="1112"/>
      <c r="M3962" s="1113"/>
      <c r="N3962" s="110"/>
      <c r="O3962" s="1140"/>
      <c r="P3962" s="1115"/>
      <c r="Q3962" s="1116"/>
      <c r="R3962" s="1141"/>
      <c r="S3962" s="1113"/>
      <c r="T3962" s="1143"/>
      <c r="U3962" s="1108"/>
      <c r="V3962" s="1108"/>
      <c r="W3962" s="1108"/>
      <c r="X3962" s="1108"/>
      <c r="Y3962" s="1108"/>
      <c r="Z3962" s="1114"/>
      <c r="AA3962" s="1114"/>
      <c r="AB3962" s="1114"/>
      <c r="AC3962" s="1117"/>
      <c r="AD3962" s="1115"/>
      <c r="AE3962" s="1115"/>
      <c r="AF3962" s="1115"/>
      <c r="AG3962" s="1115"/>
      <c r="AH3962" s="1115"/>
      <c r="AI3962" s="1115"/>
      <c r="AJ3962" s="1117"/>
      <c r="AK3962" s="1118"/>
      <c r="AL3962" s="1115"/>
      <c r="AM3962" s="1115"/>
      <c r="AN3962" s="1115"/>
      <c r="AO3962" s="1115"/>
      <c r="AP3962" s="1115"/>
      <c r="AQ3962" s="1115"/>
      <c r="AR3962" s="1115"/>
      <c r="AS3962" s="1117"/>
      <c r="AT3962" s="1075"/>
      <c r="AU3962" s="1193"/>
      <c r="AV3962" s="330"/>
      <c r="AW3962" s="331"/>
      <c r="AX3962" s="331"/>
      <c r="AY3962" s="331"/>
      <c r="AZ3962" s="331"/>
      <c r="BA3962" s="331"/>
      <c r="BB3962" s="331"/>
      <c r="BC3962" s="331"/>
      <c r="BD3962" s="331"/>
      <c r="BE3962" s="333"/>
      <c r="BF3962" s="330"/>
      <c r="BG3962" s="333"/>
      <c r="BH3962" s="1119"/>
      <c r="BI3962" s="319"/>
      <c r="BJ3962" s="319"/>
      <c r="BK3962" s="319"/>
      <c r="BL3962" s="319"/>
      <c r="BM3962" s="319"/>
      <c r="BN3962" s="319"/>
      <c r="BO3962" s="319"/>
      <c r="BP3962" s="953"/>
      <c r="BQ3962" s="319"/>
      <c r="BR3962" s="319"/>
      <c r="BS3962" s="330"/>
      <c r="BT3962" s="331"/>
      <c r="BU3962" s="920"/>
      <c r="BV3962" s="903"/>
      <c r="BW3962" s="908"/>
      <c r="BX3962" s="908"/>
      <c r="BY3962" s="331"/>
      <c r="BZ3962" s="331"/>
      <c r="CA3962" s="462"/>
      <c r="CB3962" s="319"/>
      <c r="CC3962" s="319"/>
      <c r="CD3962" s="319"/>
      <c r="CE3962" s="319"/>
      <c r="CF3962" s="319"/>
      <c r="CG3962" s="319"/>
      <c r="CH3962" s="318"/>
      <c r="CI3962" s="319"/>
      <c r="CJ3962" s="319"/>
      <c r="CK3962" s="342"/>
      <c r="CL3962" s="333"/>
      <c r="CM3962" s="1079"/>
      <c r="CN3962" s="1005"/>
      <c r="CO3962" s="1005"/>
      <c r="CP3962" s="1005"/>
    </row>
    <row r="3963">
      <c r="A3963" s="1257"/>
      <c r="B3963" s="1113"/>
      <c r="C3963" s="1107"/>
      <c r="D3963" s="103"/>
      <c r="E3963" s="1137"/>
      <c r="F3963" s="112"/>
      <c r="G3963" s="1110"/>
      <c r="H3963" s="1138"/>
      <c r="I3963" s="1138"/>
      <c r="J3963" s="1139"/>
      <c r="K3963" s="1111"/>
      <c r="L3963" s="1112"/>
      <c r="M3963" s="1113"/>
      <c r="N3963" s="110"/>
      <c r="O3963" s="1140"/>
      <c r="P3963" s="1115"/>
      <c r="Q3963" s="1116"/>
      <c r="R3963" s="1141"/>
      <c r="S3963" s="1113"/>
      <c r="T3963" s="1143"/>
      <c r="U3963" s="1108"/>
      <c r="V3963" s="1108"/>
      <c r="W3963" s="1108"/>
      <c r="X3963" s="1108"/>
      <c r="Y3963" s="1108"/>
      <c r="Z3963" s="1114"/>
      <c r="AA3963" s="1114"/>
      <c r="AB3963" s="1114"/>
      <c r="AC3963" s="1117"/>
      <c r="AD3963" s="1115"/>
      <c r="AE3963" s="1115"/>
      <c r="AF3963" s="1115"/>
      <c r="AG3963" s="1115"/>
      <c r="AH3963" s="1115"/>
      <c r="AI3963" s="1115"/>
      <c r="AJ3963" s="1117"/>
      <c r="AK3963" s="1118"/>
      <c r="AL3963" s="1115"/>
      <c r="AM3963" s="1115"/>
      <c r="AN3963" s="1115"/>
      <c r="AO3963" s="1115"/>
      <c r="AP3963" s="1115"/>
      <c r="AQ3963" s="1115"/>
      <c r="AR3963" s="1115"/>
      <c r="AS3963" s="1117"/>
      <c r="AT3963" s="1075"/>
      <c r="AU3963" s="1193"/>
      <c r="AV3963" s="330"/>
      <c r="AW3963" s="331"/>
      <c r="AX3963" s="331"/>
      <c r="AY3963" s="331"/>
      <c r="AZ3963" s="331"/>
      <c r="BA3963" s="331"/>
      <c r="BB3963" s="331"/>
      <c r="BC3963" s="331"/>
      <c r="BD3963" s="331"/>
      <c r="BE3963" s="333"/>
      <c r="BF3963" s="330"/>
      <c r="BG3963" s="333"/>
      <c r="BH3963" s="1119"/>
      <c r="BI3963" s="319"/>
      <c r="BJ3963" s="319"/>
      <c r="BK3963" s="319"/>
      <c r="BL3963" s="319"/>
      <c r="BM3963" s="319"/>
      <c r="BN3963" s="319"/>
      <c r="BO3963" s="319"/>
      <c r="BP3963" s="953"/>
      <c r="BQ3963" s="319"/>
      <c r="BR3963" s="319"/>
      <c r="BS3963" s="330"/>
      <c r="BT3963" s="331"/>
      <c r="BU3963" s="920"/>
      <c r="BV3963" s="903"/>
      <c r="BW3963" s="908"/>
      <c r="BX3963" s="908"/>
      <c r="BY3963" s="331"/>
      <c r="BZ3963" s="331"/>
      <c r="CA3963" s="462"/>
      <c r="CB3963" s="319"/>
      <c r="CC3963" s="319"/>
      <c r="CD3963" s="319"/>
      <c r="CE3963" s="319"/>
      <c r="CF3963" s="319"/>
      <c r="CG3963" s="319"/>
      <c r="CH3963" s="318"/>
      <c r="CI3963" s="319"/>
      <c r="CJ3963" s="319"/>
      <c r="CK3963" s="342"/>
      <c r="CL3963" s="333"/>
      <c r="CM3963" s="1079"/>
      <c r="CN3963" s="1005"/>
      <c r="CO3963" s="1005"/>
      <c r="CP3963" s="1005"/>
    </row>
    <row r="3964">
      <c r="A3964" s="1257"/>
      <c r="B3964" s="1113"/>
      <c r="C3964" s="1107"/>
      <c r="D3964" s="103"/>
      <c r="E3964" s="1137"/>
      <c r="F3964" s="112"/>
      <c r="G3964" s="1110"/>
      <c r="H3964" s="1138"/>
      <c r="I3964" s="1138"/>
      <c r="J3964" s="1139"/>
      <c r="K3964" s="1111"/>
      <c r="L3964" s="1112"/>
      <c r="M3964" s="1113"/>
      <c r="N3964" s="110"/>
      <c r="O3964" s="1140"/>
      <c r="P3964" s="1115"/>
      <c r="Q3964" s="1116"/>
      <c r="R3964" s="1141"/>
      <c r="S3964" s="1113"/>
      <c r="T3964" s="1143"/>
      <c r="U3964" s="1108"/>
      <c r="V3964" s="1108"/>
      <c r="W3964" s="1108"/>
      <c r="X3964" s="1108"/>
      <c r="Y3964" s="1108"/>
      <c r="Z3964" s="1114"/>
      <c r="AA3964" s="1114"/>
      <c r="AB3964" s="1114"/>
      <c r="AC3964" s="1117"/>
      <c r="AD3964" s="1115"/>
      <c r="AE3964" s="1115"/>
      <c r="AF3964" s="1115"/>
      <c r="AG3964" s="1115"/>
      <c r="AH3964" s="1115"/>
      <c r="AI3964" s="1115"/>
      <c r="AJ3964" s="1117"/>
      <c r="AK3964" s="1118"/>
      <c r="AL3964" s="1115"/>
      <c r="AM3964" s="1115"/>
      <c r="AN3964" s="1115"/>
      <c r="AO3964" s="1115"/>
      <c r="AP3964" s="1115"/>
      <c r="AQ3964" s="1115"/>
      <c r="AR3964" s="1115"/>
      <c r="AS3964" s="1117"/>
      <c r="AT3964" s="1075"/>
      <c r="AU3964" s="1193"/>
      <c r="AV3964" s="330"/>
      <c r="AW3964" s="331"/>
      <c r="AX3964" s="331"/>
      <c r="AY3964" s="331"/>
      <c r="AZ3964" s="331"/>
      <c r="BA3964" s="331"/>
      <c r="BB3964" s="331"/>
      <c r="BC3964" s="331"/>
      <c r="BD3964" s="331"/>
      <c r="BE3964" s="333"/>
      <c r="BF3964" s="330"/>
      <c r="BG3964" s="333"/>
      <c r="BH3964" s="1119"/>
      <c r="BI3964" s="319"/>
      <c r="BJ3964" s="319"/>
      <c r="BK3964" s="319"/>
      <c r="BL3964" s="319"/>
      <c r="BM3964" s="319"/>
      <c r="BN3964" s="319"/>
      <c r="BO3964" s="319"/>
      <c r="BP3964" s="953"/>
      <c r="BQ3964" s="319"/>
      <c r="BR3964" s="319"/>
      <c r="BS3964" s="330"/>
      <c r="BT3964" s="331"/>
      <c r="BU3964" s="920"/>
      <c r="BV3964" s="903"/>
      <c r="BW3964" s="908"/>
      <c r="BX3964" s="908"/>
      <c r="BY3964" s="331"/>
      <c r="BZ3964" s="331"/>
      <c r="CA3964" s="462"/>
      <c r="CB3964" s="319"/>
      <c r="CC3964" s="319"/>
      <c r="CD3964" s="319"/>
      <c r="CE3964" s="319"/>
      <c r="CF3964" s="319"/>
      <c r="CG3964" s="319"/>
      <c r="CH3964" s="318"/>
      <c r="CI3964" s="319"/>
      <c r="CJ3964" s="319"/>
      <c r="CK3964" s="342"/>
      <c r="CL3964" s="333"/>
      <c r="CM3964" s="1079"/>
      <c r="CN3964" s="1005"/>
      <c r="CO3964" s="1005"/>
      <c r="CP3964" s="1005"/>
    </row>
    <row r="3965">
      <c r="A3965" s="1257"/>
      <c r="B3965" s="1113"/>
      <c r="C3965" s="1107"/>
      <c r="D3965" s="103"/>
      <c r="E3965" s="1137"/>
      <c r="F3965" s="112"/>
      <c r="G3965" s="1110"/>
      <c r="H3965" s="1138"/>
      <c r="I3965" s="1138"/>
      <c r="J3965" s="1139"/>
      <c r="K3965" s="1111"/>
      <c r="L3965" s="1112"/>
      <c r="M3965" s="1113"/>
      <c r="N3965" s="110"/>
      <c r="O3965" s="1140"/>
      <c r="P3965" s="1115"/>
      <c r="Q3965" s="1116"/>
      <c r="R3965" s="1141"/>
      <c r="S3965" s="1113"/>
      <c r="T3965" s="1143"/>
      <c r="U3965" s="1108"/>
      <c r="V3965" s="1108"/>
      <c r="W3965" s="1108"/>
      <c r="X3965" s="1108"/>
      <c r="Y3965" s="1108"/>
      <c r="Z3965" s="1114"/>
      <c r="AA3965" s="1114"/>
      <c r="AB3965" s="1114"/>
      <c r="AC3965" s="1117"/>
      <c r="AD3965" s="1115"/>
      <c r="AE3965" s="1115"/>
      <c r="AF3965" s="1115"/>
      <c r="AG3965" s="1115"/>
      <c r="AH3965" s="1115"/>
      <c r="AI3965" s="1115"/>
      <c r="AJ3965" s="1117"/>
      <c r="AK3965" s="1118"/>
      <c r="AL3965" s="1115"/>
      <c r="AM3965" s="1115"/>
      <c r="AN3965" s="1115"/>
      <c r="AO3965" s="1115"/>
      <c r="AP3965" s="1115"/>
      <c r="AQ3965" s="1115"/>
      <c r="AR3965" s="1115"/>
      <c r="AS3965" s="1117"/>
      <c r="AT3965" s="1075"/>
      <c r="AU3965" s="1193"/>
      <c r="AV3965" s="330"/>
      <c r="AW3965" s="331"/>
      <c r="AX3965" s="331"/>
      <c r="AY3965" s="331"/>
      <c r="AZ3965" s="331"/>
      <c r="BA3965" s="331"/>
      <c r="BB3965" s="331"/>
      <c r="BC3965" s="331"/>
      <c r="BD3965" s="331"/>
      <c r="BE3965" s="333"/>
      <c r="BF3965" s="330"/>
      <c r="BG3965" s="333"/>
      <c r="BH3965" s="1119"/>
      <c r="BI3965" s="319"/>
      <c r="BJ3965" s="319"/>
      <c r="BK3965" s="319"/>
      <c r="BL3965" s="319"/>
      <c r="BM3965" s="319"/>
      <c r="BN3965" s="319"/>
      <c r="BO3965" s="319"/>
      <c r="BP3965" s="953"/>
      <c r="BQ3965" s="319"/>
      <c r="BR3965" s="319"/>
      <c r="BS3965" s="330"/>
      <c r="BT3965" s="331"/>
      <c r="BU3965" s="920"/>
      <c r="BV3965" s="903"/>
      <c r="BW3965" s="908"/>
      <c r="BX3965" s="908"/>
      <c r="BY3965" s="331"/>
      <c r="BZ3965" s="331"/>
      <c r="CA3965" s="462"/>
      <c r="CB3965" s="319"/>
      <c r="CC3965" s="319"/>
      <c r="CD3965" s="319"/>
      <c r="CE3965" s="319"/>
      <c r="CF3965" s="319"/>
      <c r="CG3965" s="319"/>
      <c r="CH3965" s="318"/>
      <c r="CI3965" s="319"/>
      <c r="CJ3965" s="319"/>
      <c r="CK3965" s="342"/>
      <c r="CL3965" s="333"/>
      <c r="CM3965" s="1079"/>
      <c r="CN3965" s="1005"/>
      <c r="CO3965" s="1005"/>
      <c r="CP3965" s="1005"/>
    </row>
    <row r="3966">
      <c r="A3966" s="1257"/>
      <c r="B3966" s="1113"/>
      <c r="C3966" s="1107"/>
      <c r="D3966" s="103"/>
      <c r="E3966" s="1137"/>
      <c r="F3966" s="112"/>
      <c r="G3966" s="1110"/>
      <c r="H3966" s="1138"/>
      <c r="I3966" s="1138"/>
      <c r="J3966" s="1139"/>
      <c r="K3966" s="1111"/>
      <c r="L3966" s="1112"/>
      <c r="M3966" s="1113"/>
      <c r="N3966" s="110"/>
      <c r="O3966" s="1140"/>
      <c r="P3966" s="1115"/>
      <c r="Q3966" s="1116"/>
      <c r="R3966" s="1141"/>
      <c r="S3966" s="1113"/>
      <c r="T3966" s="1143"/>
      <c r="U3966" s="1108"/>
      <c r="V3966" s="1108"/>
      <c r="W3966" s="1108"/>
      <c r="X3966" s="1108"/>
      <c r="Y3966" s="1108"/>
      <c r="Z3966" s="1114"/>
      <c r="AA3966" s="1114"/>
      <c r="AB3966" s="1114"/>
      <c r="AC3966" s="1117"/>
      <c r="AD3966" s="1115"/>
      <c r="AE3966" s="1115"/>
      <c r="AF3966" s="1115"/>
      <c r="AG3966" s="1115"/>
      <c r="AH3966" s="1115"/>
      <c r="AI3966" s="1115"/>
      <c r="AJ3966" s="1117"/>
      <c r="AK3966" s="1118"/>
      <c r="AL3966" s="1115"/>
      <c r="AM3966" s="1115"/>
      <c r="AN3966" s="1115"/>
      <c r="AO3966" s="1115"/>
      <c r="AP3966" s="1115"/>
      <c r="AQ3966" s="1115"/>
      <c r="AR3966" s="1115"/>
      <c r="AS3966" s="1117"/>
      <c r="AT3966" s="1075"/>
      <c r="AU3966" s="1193"/>
      <c r="AV3966" s="330"/>
      <c r="AW3966" s="331"/>
      <c r="AX3966" s="331"/>
      <c r="AY3966" s="331"/>
      <c r="AZ3966" s="331"/>
      <c r="BA3966" s="331"/>
      <c r="BB3966" s="331"/>
      <c r="BC3966" s="331"/>
      <c r="BD3966" s="331"/>
      <c r="BE3966" s="333"/>
      <c r="BF3966" s="330"/>
      <c r="BG3966" s="333"/>
      <c r="BH3966" s="1119"/>
      <c r="BI3966" s="319"/>
      <c r="BJ3966" s="319"/>
      <c r="BK3966" s="319"/>
      <c r="BL3966" s="319"/>
      <c r="BM3966" s="319"/>
      <c r="BN3966" s="319"/>
      <c r="BO3966" s="319"/>
      <c r="BP3966" s="953"/>
      <c r="BQ3966" s="319"/>
      <c r="BR3966" s="319"/>
      <c r="BS3966" s="330"/>
      <c r="BT3966" s="331"/>
      <c r="BU3966" s="920"/>
      <c r="BV3966" s="903"/>
      <c r="BW3966" s="908"/>
      <c r="BX3966" s="908"/>
      <c r="BY3966" s="331"/>
      <c r="BZ3966" s="331"/>
      <c r="CA3966" s="462"/>
      <c r="CB3966" s="319"/>
      <c r="CC3966" s="319"/>
      <c r="CD3966" s="319"/>
      <c r="CE3966" s="319"/>
      <c r="CF3966" s="319"/>
      <c r="CG3966" s="319"/>
      <c r="CH3966" s="318"/>
      <c r="CI3966" s="319"/>
      <c r="CJ3966" s="319"/>
      <c r="CK3966" s="342"/>
      <c r="CL3966" s="333"/>
      <c r="CM3966" s="1079"/>
      <c r="CN3966" s="1005"/>
      <c r="CO3966" s="1005"/>
      <c r="CP3966" s="1005"/>
    </row>
    <row r="3967">
      <c r="A3967" s="1257"/>
      <c r="B3967" s="1113"/>
      <c r="C3967" s="1107"/>
      <c r="D3967" s="103"/>
      <c r="E3967" s="1137"/>
      <c r="F3967" s="112"/>
      <c r="G3967" s="1110"/>
      <c r="H3967" s="1138"/>
      <c r="I3967" s="1138"/>
      <c r="J3967" s="1139"/>
      <c r="K3967" s="1111"/>
      <c r="L3967" s="1112"/>
      <c r="M3967" s="1113"/>
      <c r="N3967" s="110"/>
      <c r="O3967" s="1140"/>
      <c r="P3967" s="1115"/>
      <c r="Q3967" s="1116"/>
      <c r="R3967" s="1141"/>
      <c r="S3967" s="1113"/>
      <c r="T3967" s="1143"/>
      <c r="U3967" s="1108"/>
      <c r="V3967" s="1108"/>
      <c r="W3967" s="1108"/>
      <c r="X3967" s="1108"/>
      <c r="Y3967" s="1108"/>
      <c r="Z3967" s="1114"/>
      <c r="AA3967" s="1114"/>
      <c r="AB3967" s="1114"/>
      <c r="AC3967" s="1117"/>
      <c r="AD3967" s="1115"/>
      <c r="AE3967" s="1115"/>
      <c r="AF3967" s="1115"/>
      <c r="AG3967" s="1115"/>
      <c r="AH3967" s="1115"/>
      <c r="AI3967" s="1115"/>
      <c r="AJ3967" s="1117"/>
      <c r="AK3967" s="1118"/>
      <c r="AL3967" s="1115"/>
      <c r="AM3967" s="1115"/>
      <c r="AN3967" s="1115"/>
      <c r="AO3967" s="1115"/>
      <c r="AP3967" s="1115"/>
      <c r="AQ3967" s="1115"/>
      <c r="AR3967" s="1115"/>
      <c r="AS3967" s="1117"/>
      <c r="AT3967" s="1075"/>
      <c r="AU3967" s="1193"/>
      <c r="AV3967" s="330"/>
      <c r="AW3967" s="331"/>
      <c r="AX3967" s="331"/>
      <c r="AY3967" s="331"/>
      <c r="AZ3967" s="331"/>
      <c r="BA3967" s="331"/>
      <c r="BB3967" s="331"/>
      <c r="BC3967" s="331"/>
      <c r="BD3967" s="331"/>
      <c r="BE3967" s="333"/>
      <c r="BF3967" s="330"/>
      <c r="BG3967" s="333"/>
      <c r="BH3967" s="1119"/>
      <c r="BI3967" s="319"/>
      <c r="BJ3967" s="319"/>
      <c r="BK3967" s="319"/>
      <c r="BL3967" s="319"/>
      <c r="BM3967" s="319"/>
      <c r="BN3967" s="319"/>
      <c r="BO3967" s="319"/>
      <c r="BP3967" s="953"/>
      <c r="BQ3967" s="319"/>
      <c r="BR3967" s="319"/>
      <c r="BS3967" s="330"/>
      <c r="BT3967" s="331"/>
      <c r="BU3967" s="920"/>
      <c r="BV3967" s="903"/>
      <c r="BW3967" s="908"/>
      <c r="BX3967" s="908"/>
      <c r="BY3967" s="331"/>
      <c r="BZ3967" s="331"/>
      <c r="CA3967" s="462"/>
      <c r="CB3967" s="319"/>
      <c r="CC3967" s="319"/>
      <c r="CD3967" s="319"/>
      <c r="CE3967" s="319"/>
      <c r="CF3967" s="319"/>
      <c r="CG3967" s="319"/>
      <c r="CH3967" s="318"/>
      <c r="CI3967" s="319"/>
      <c r="CJ3967" s="319"/>
      <c r="CK3967" s="342"/>
      <c r="CL3967" s="333"/>
      <c r="CM3967" s="1079"/>
      <c r="CN3967" s="1005"/>
      <c r="CO3967" s="1005"/>
      <c r="CP3967" s="1005"/>
    </row>
    <row r="3968">
      <c r="A3968" s="1257"/>
      <c r="B3968" s="1113"/>
      <c r="C3968" s="1107"/>
      <c r="D3968" s="103"/>
      <c r="E3968" s="1137"/>
      <c r="F3968" s="112"/>
      <c r="G3968" s="1110"/>
      <c r="H3968" s="1138"/>
      <c r="I3968" s="1138"/>
      <c r="J3968" s="1139"/>
      <c r="K3968" s="1111"/>
      <c r="L3968" s="1112"/>
      <c r="M3968" s="1113"/>
      <c r="N3968" s="110"/>
      <c r="O3968" s="1140"/>
      <c r="P3968" s="1115"/>
      <c r="Q3968" s="1116"/>
      <c r="R3968" s="1141"/>
      <c r="S3968" s="1113"/>
      <c r="T3968" s="1143"/>
      <c r="U3968" s="1108"/>
      <c r="V3968" s="1108"/>
      <c r="W3968" s="1108"/>
      <c r="X3968" s="1108"/>
      <c r="Y3968" s="1108"/>
      <c r="Z3968" s="1114"/>
      <c r="AA3968" s="1114"/>
      <c r="AB3968" s="1114"/>
      <c r="AC3968" s="1117"/>
      <c r="AD3968" s="1115"/>
      <c r="AE3968" s="1115"/>
      <c r="AF3968" s="1115"/>
      <c r="AG3968" s="1115"/>
      <c r="AH3968" s="1115"/>
      <c r="AI3968" s="1115"/>
      <c r="AJ3968" s="1117"/>
      <c r="AK3968" s="1118"/>
      <c r="AL3968" s="1115"/>
      <c r="AM3968" s="1115"/>
      <c r="AN3968" s="1115"/>
      <c r="AO3968" s="1115"/>
      <c r="AP3968" s="1115"/>
      <c r="AQ3968" s="1115"/>
      <c r="AR3968" s="1115"/>
      <c r="AS3968" s="1117"/>
      <c r="AT3968" s="1075"/>
      <c r="AU3968" s="1193"/>
      <c r="AV3968" s="330"/>
      <c r="AW3968" s="331"/>
      <c r="AX3968" s="331"/>
      <c r="AY3968" s="331"/>
      <c r="AZ3968" s="331"/>
      <c r="BA3968" s="331"/>
      <c r="BB3968" s="331"/>
      <c r="BC3968" s="331"/>
      <c r="BD3968" s="331"/>
      <c r="BE3968" s="333"/>
      <c r="BF3968" s="330"/>
      <c r="BG3968" s="333"/>
      <c r="BH3968" s="1119"/>
      <c r="BI3968" s="319"/>
      <c r="BJ3968" s="319"/>
      <c r="BK3968" s="319"/>
      <c r="BL3968" s="319"/>
      <c r="BM3968" s="319"/>
      <c r="BN3968" s="319"/>
      <c r="BO3968" s="319"/>
      <c r="BP3968" s="953"/>
      <c r="BQ3968" s="319"/>
      <c r="BR3968" s="319"/>
      <c r="BS3968" s="330"/>
      <c r="BT3968" s="331"/>
      <c r="BU3968" s="920"/>
      <c r="BV3968" s="903"/>
      <c r="BW3968" s="908"/>
      <c r="BX3968" s="908"/>
      <c r="BY3968" s="331"/>
      <c r="BZ3968" s="331"/>
      <c r="CA3968" s="462"/>
      <c r="CB3968" s="319"/>
      <c r="CC3968" s="319"/>
      <c r="CD3968" s="319"/>
      <c r="CE3968" s="319"/>
      <c r="CF3968" s="319"/>
      <c r="CG3968" s="319"/>
      <c r="CH3968" s="318"/>
      <c r="CI3968" s="319"/>
      <c r="CJ3968" s="319"/>
      <c r="CK3968" s="342"/>
      <c r="CL3968" s="333"/>
      <c r="CM3968" s="1079"/>
      <c r="CN3968" s="1005"/>
      <c r="CO3968" s="1005"/>
      <c r="CP3968" s="1005"/>
    </row>
    <row r="3969">
      <c r="A3969" s="1257"/>
      <c r="B3969" s="1113"/>
      <c r="C3969" s="1107"/>
      <c r="D3969" s="103"/>
      <c r="E3969" s="1137"/>
      <c r="F3969" s="112"/>
      <c r="G3969" s="1110"/>
      <c r="H3969" s="1138"/>
      <c r="I3969" s="1138"/>
      <c r="J3969" s="1139"/>
      <c r="K3969" s="1111"/>
      <c r="L3969" s="1112"/>
      <c r="M3969" s="1113"/>
      <c r="N3969" s="110"/>
      <c r="O3969" s="1140"/>
      <c r="P3969" s="1115"/>
      <c r="Q3969" s="1116"/>
      <c r="R3969" s="1141"/>
      <c r="S3969" s="1113"/>
      <c r="T3969" s="1143"/>
      <c r="U3969" s="1108"/>
      <c r="V3969" s="1108"/>
      <c r="W3969" s="1108"/>
      <c r="X3969" s="1108"/>
      <c r="Y3969" s="1108"/>
      <c r="Z3969" s="1114"/>
      <c r="AA3969" s="1114"/>
      <c r="AB3969" s="1114"/>
      <c r="AC3969" s="1117"/>
      <c r="AD3969" s="1115"/>
      <c r="AE3969" s="1115"/>
      <c r="AF3969" s="1115"/>
      <c r="AG3969" s="1115"/>
      <c r="AH3969" s="1115"/>
      <c r="AI3969" s="1115"/>
      <c r="AJ3969" s="1117"/>
      <c r="AK3969" s="1118"/>
      <c r="AL3969" s="1115"/>
      <c r="AM3969" s="1115"/>
      <c r="AN3969" s="1115"/>
      <c r="AO3969" s="1115"/>
      <c r="AP3969" s="1115"/>
      <c r="AQ3969" s="1115"/>
      <c r="AR3969" s="1115"/>
      <c r="AS3969" s="1117"/>
      <c r="AT3969" s="1075"/>
      <c r="AU3969" s="1193"/>
      <c r="AV3969" s="330"/>
      <c r="AW3969" s="331"/>
      <c r="AX3969" s="331"/>
      <c r="AY3969" s="331"/>
      <c r="AZ3969" s="331"/>
      <c r="BA3969" s="331"/>
      <c r="BB3969" s="331"/>
      <c r="BC3969" s="331"/>
      <c r="BD3969" s="331"/>
      <c r="BE3969" s="333"/>
      <c r="BF3969" s="330"/>
      <c r="BG3969" s="333"/>
      <c r="BH3969" s="1119"/>
      <c r="BI3969" s="319"/>
      <c r="BJ3969" s="319"/>
      <c r="BK3969" s="319"/>
      <c r="BL3969" s="319"/>
      <c r="BM3969" s="319"/>
      <c r="BN3969" s="319"/>
      <c r="BO3969" s="319"/>
      <c r="BP3969" s="953"/>
      <c r="BQ3969" s="319"/>
      <c r="BR3969" s="319"/>
      <c r="BS3969" s="330"/>
      <c r="BT3969" s="331"/>
      <c r="BU3969" s="920"/>
      <c r="BV3969" s="903"/>
      <c r="BW3969" s="908"/>
      <c r="BX3969" s="908"/>
      <c r="BY3969" s="331"/>
      <c r="BZ3969" s="331"/>
      <c r="CA3969" s="462"/>
      <c r="CB3969" s="319"/>
      <c r="CC3969" s="319"/>
      <c r="CD3969" s="319"/>
      <c r="CE3969" s="319"/>
      <c r="CF3969" s="319"/>
      <c r="CG3969" s="319"/>
      <c r="CH3969" s="318"/>
      <c r="CI3969" s="319"/>
      <c r="CJ3969" s="319"/>
      <c r="CK3969" s="342"/>
      <c r="CL3969" s="333"/>
      <c r="CM3969" s="1079"/>
      <c r="CN3969" s="1005"/>
      <c r="CO3969" s="1005"/>
      <c r="CP3969" s="1005"/>
    </row>
    <row r="3970">
      <c r="A3970" s="1257"/>
      <c r="B3970" s="1113"/>
      <c r="C3970" s="1107"/>
      <c r="D3970" s="103"/>
      <c r="E3970" s="1137"/>
      <c r="F3970" s="112"/>
      <c r="G3970" s="1110"/>
      <c r="H3970" s="1138"/>
      <c r="I3970" s="1138"/>
      <c r="J3970" s="1139"/>
      <c r="K3970" s="1111"/>
      <c r="L3970" s="1112"/>
      <c r="M3970" s="1113"/>
      <c r="N3970" s="110"/>
      <c r="O3970" s="1140"/>
      <c r="P3970" s="1115"/>
      <c r="Q3970" s="1116"/>
      <c r="R3970" s="1141"/>
      <c r="S3970" s="1113"/>
      <c r="T3970" s="1143"/>
      <c r="U3970" s="1108"/>
      <c r="V3970" s="1108"/>
      <c r="W3970" s="1108"/>
      <c r="X3970" s="1108"/>
      <c r="Y3970" s="1108"/>
      <c r="Z3970" s="1114"/>
      <c r="AA3970" s="1114"/>
      <c r="AB3970" s="1114"/>
      <c r="AC3970" s="1117"/>
      <c r="AD3970" s="1115"/>
      <c r="AE3970" s="1115"/>
      <c r="AF3970" s="1115"/>
      <c r="AG3970" s="1115"/>
      <c r="AH3970" s="1115"/>
      <c r="AI3970" s="1115"/>
      <c r="AJ3970" s="1117"/>
      <c r="AK3970" s="1118"/>
      <c r="AL3970" s="1115"/>
      <c r="AM3970" s="1115"/>
      <c r="AN3970" s="1115"/>
      <c r="AO3970" s="1115"/>
      <c r="AP3970" s="1115"/>
      <c r="AQ3970" s="1115"/>
      <c r="AR3970" s="1115"/>
      <c r="AS3970" s="1117"/>
      <c r="AT3970" s="1075"/>
      <c r="AU3970" s="1193"/>
      <c r="AV3970" s="330"/>
      <c r="AW3970" s="331"/>
      <c r="AX3970" s="331"/>
      <c r="AY3970" s="331"/>
      <c r="AZ3970" s="331"/>
      <c r="BA3970" s="331"/>
      <c r="BB3970" s="331"/>
      <c r="BC3970" s="331"/>
      <c r="BD3970" s="331"/>
      <c r="BE3970" s="333"/>
      <c r="BF3970" s="330"/>
      <c r="BG3970" s="333"/>
      <c r="BH3970" s="1119"/>
      <c r="BI3970" s="319"/>
      <c r="BJ3970" s="319"/>
      <c r="BK3970" s="319"/>
      <c r="BL3970" s="319"/>
      <c r="BM3970" s="319"/>
      <c r="BN3970" s="319"/>
      <c r="BO3970" s="319"/>
      <c r="BP3970" s="953"/>
      <c r="BQ3970" s="319"/>
      <c r="BR3970" s="319"/>
      <c r="BS3970" s="330"/>
      <c r="BT3970" s="331"/>
      <c r="BU3970" s="920"/>
      <c r="BV3970" s="903"/>
      <c r="BW3970" s="908"/>
      <c r="BX3970" s="908"/>
      <c r="BY3970" s="331"/>
      <c r="BZ3970" s="331"/>
      <c r="CA3970" s="462"/>
      <c r="CB3970" s="319"/>
      <c r="CC3970" s="319"/>
      <c r="CD3970" s="319"/>
      <c r="CE3970" s="319"/>
      <c r="CF3970" s="319"/>
      <c r="CG3970" s="319"/>
      <c r="CH3970" s="318"/>
      <c r="CI3970" s="319"/>
      <c r="CJ3970" s="319"/>
      <c r="CK3970" s="342"/>
      <c r="CL3970" s="333"/>
      <c r="CM3970" s="1079"/>
      <c r="CN3970" s="1005"/>
      <c r="CO3970" s="1005"/>
      <c r="CP3970" s="1005"/>
    </row>
    <row r="3971">
      <c r="A3971" s="1257"/>
      <c r="B3971" s="1113"/>
      <c r="C3971" s="1107"/>
      <c r="D3971" s="103"/>
      <c r="E3971" s="1137"/>
      <c r="F3971" s="112"/>
      <c r="G3971" s="1110"/>
      <c r="H3971" s="1138"/>
      <c r="I3971" s="1138"/>
      <c r="J3971" s="1139"/>
      <c r="K3971" s="1111"/>
      <c r="L3971" s="1112"/>
      <c r="M3971" s="1113"/>
      <c r="N3971" s="110"/>
      <c r="O3971" s="1140"/>
      <c r="P3971" s="1115"/>
      <c r="Q3971" s="1116"/>
      <c r="R3971" s="1141"/>
      <c r="S3971" s="1113"/>
      <c r="T3971" s="1143"/>
      <c r="U3971" s="1108"/>
      <c r="V3971" s="1108"/>
      <c r="W3971" s="1108"/>
      <c r="X3971" s="1108"/>
      <c r="Y3971" s="1108"/>
      <c r="Z3971" s="1114"/>
      <c r="AA3971" s="1114"/>
      <c r="AB3971" s="1114"/>
      <c r="AC3971" s="1117"/>
      <c r="AD3971" s="1115"/>
      <c r="AE3971" s="1115"/>
      <c r="AF3971" s="1115"/>
      <c r="AG3971" s="1115"/>
      <c r="AH3971" s="1115"/>
      <c r="AI3971" s="1115"/>
      <c r="AJ3971" s="1117"/>
      <c r="AK3971" s="1118"/>
      <c r="AL3971" s="1115"/>
      <c r="AM3971" s="1115"/>
      <c r="AN3971" s="1115"/>
      <c r="AO3971" s="1115"/>
      <c r="AP3971" s="1115"/>
      <c r="AQ3971" s="1115"/>
      <c r="AR3971" s="1115"/>
      <c r="AS3971" s="1117"/>
      <c r="AT3971" s="1075"/>
      <c r="AU3971" s="1193"/>
      <c r="AV3971" s="330"/>
      <c r="AW3971" s="331"/>
      <c r="AX3971" s="331"/>
      <c r="AY3971" s="331"/>
      <c r="AZ3971" s="331"/>
      <c r="BA3971" s="331"/>
      <c r="BB3971" s="331"/>
      <c r="BC3971" s="331"/>
      <c r="BD3971" s="331"/>
      <c r="BE3971" s="333"/>
      <c r="BF3971" s="330"/>
      <c r="BG3971" s="333"/>
      <c r="BH3971" s="1119"/>
      <c r="BI3971" s="319"/>
      <c r="BJ3971" s="319"/>
      <c r="BK3971" s="319"/>
      <c r="BL3971" s="319"/>
      <c r="BM3971" s="319"/>
      <c r="BN3971" s="319"/>
      <c r="BO3971" s="319"/>
      <c r="BP3971" s="953"/>
      <c r="BQ3971" s="319"/>
      <c r="BR3971" s="319"/>
      <c r="BS3971" s="330"/>
      <c r="BT3971" s="331"/>
      <c r="BU3971" s="920"/>
      <c r="BV3971" s="903"/>
      <c r="BW3971" s="908"/>
      <c r="BX3971" s="908"/>
      <c r="BY3971" s="331"/>
      <c r="BZ3971" s="331"/>
      <c r="CA3971" s="462"/>
      <c r="CB3971" s="319"/>
      <c r="CC3971" s="319"/>
      <c r="CD3971" s="319"/>
      <c r="CE3971" s="319"/>
      <c r="CF3971" s="319"/>
      <c r="CG3971" s="319"/>
      <c r="CH3971" s="318"/>
      <c r="CI3971" s="319"/>
      <c r="CJ3971" s="319"/>
      <c r="CK3971" s="342"/>
      <c r="CL3971" s="333"/>
      <c r="CM3971" s="1079"/>
      <c r="CN3971" s="1005"/>
      <c r="CO3971" s="1005"/>
      <c r="CP3971" s="1005"/>
    </row>
    <row r="3972">
      <c r="A3972" s="1257"/>
      <c r="B3972" s="1113"/>
      <c r="C3972" s="1107"/>
      <c r="D3972" s="103"/>
      <c r="E3972" s="1137"/>
      <c r="F3972" s="112"/>
      <c r="G3972" s="1110"/>
      <c r="H3972" s="1138"/>
      <c r="I3972" s="1138"/>
      <c r="J3972" s="1139"/>
      <c r="K3972" s="1111"/>
      <c r="L3972" s="1112"/>
      <c r="M3972" s="1113"/>
      <c r="N3972" s="110"/>
      <c r="O3972" s="1140"/>
      <c r="P3972" s="1115"/>
      <c r="Q3972" s="1116"/>
      <c r="R3972" s="1141"/>
      <c r="S3972" s="1113"/>
      <c r="T3972" s="1143"/>
      <c r="U3972" s="1108"/>
      <c r="V3972" s="1108"/>
      <c r="W3972" s="1108"/>
      <c r="X3972" s="1108"/>
      <c r="Y3972" s="1108"/>
      <c r="Z3972" s="1114"/>
      <c r="AA3972" s="1114"/>
      <c r="AB3972" s="1114"/>
      <c r="AC3972" s="1117"/>
      <c r="AD3972" s="1115"/>
      <c r="AE3972" s="1115"/>
      <c r="AF3972" s="1115"/>
      <c r="AG3972" s="1115"/>
      <c r="AH3972" s="1115"/>
      <c r="AI3972" s="1115"/>
      <c r="AJ3972" s="1117"/>
      <c r="AK3972" s="1118"/>
      <c r="AL3972" s="1115"/>
      <c r="AM3972" s="1115"/>
      <c r="AN3972" s="1115"/>
      <c r="AO3972" s="1115"/>
      <c r="AP3972" s="1115"/>
      <c r="AQ3972" s="1115"/>
      <c r="AR3972" s="1115"/>
      <c r="AS3972" s="1117"/>
      <c r="AT3972" s="1075"/>
      <c r="AU3972" s="1193"/>
      <c r="AV3972" s="330"/>
      <c r="AW3972" s="331"/>
      <c r="AX3972" s="331"/>
      <c r="AY3972" s="331"/>
      <c r="AZ3972" s="331"/>
      <c r="BA3972" s="331"/>
      <c r="BB3972" s="331"/>
      <c r="BC3972" s="331"/>
      <c r="BD3972" s="331"/>
      <c r="BE3972" s="333"/>
      <c r="BF3972" s="330"/>
      <c r="BG3972" s="333"/>
      <c r="BH3972" s="1119"/>
      <c r="BI3972" s="319"/>
      <c r="BJ3972" s="319"/>
      <c r="BK3972" s="319"/>
      <c r="BL3972" s="319"/>
      <c r="BM3972" s="319"/>
      <c r="BN3972" s="319"/>
      <c r="BO3972" s="319"/>
      <c r="BP3972" s="953"/>
      <c r="BQ3972" s="319"/>
      <c r="BR3972" s="319"/>
      <c r="BS3972" s="330"/>
      <c r="BT3972" s="331"/>
      <c r="BU3972" s="920"/>
      <c r="BV3972" s="903"/>
      <c r="BW3972" s="908"/>
      <c r="BX3972" s="908"/>
      <c r="BY3972" s="331"/>
      <c r="BZ3972" s="331"/>
      <c r="CA3972" s="462"/>
      <c r="CB3972" s="319"/>
      <c r="CC3972" s="319"/>
      <c r="CD3972" s="319"/>
      <c r="CE3972" s="319"/>
      <c r="CF3972" s="319"/>
      <c r="CG3972" s="319"/>
      <c r="CH3972" s="318"/>
      <c r="CI3972" s="319"/>
      <c r="CJ3972" s="319"/>
      <c r="CK3972" s="342"/>
      <c r="CL3972" s="333"/>
      <c r="CM3972" s="1079"/>
      <c r="CN3972" s="1005"/>
      <c r="CO3972" s="1005"/>
      <c r="CP3972" s="1005"/>
    </row>
    <row r="3973">
      <c r="A3973" s="1257"/>
      <c r="B3973" s="1113"/>
      <c r="C3973" s="1107"/>
      <c r="D3973" s="103"/>
      <c r="E3973" s="1137"/>
      <c r="F3973" s="112"/>
      <c r="G3973" s="1110"/>
      <c r="H3973" s="1138"/>
      <c r="I3973" s="1138"/>
      <c r="J3973" s="1139"/>
      <c r="K3973" s="1111"/>
      <c r="L3973" s="1112"/>
      <c r="M3973" s="1113"/>
      <c r="N3973" s="110"/>
      <c r="O3973" s="1140"/>
      <c r="P3973" s="1115"/>
      <c r="Q3973" s="1116"/>
      <c r="R3973" s="1141"/>
      <c r="S3973" s="1113"/>
      <c r="T3973" s="1143"/>
      <c r="U3973" s="1108"/>
      <c r="V3973" s="1108"/>
      <c r="W3973" s="1108"/>
      <c r="X3973" s="1108"/>
      <c r="Y3973" s="1108"/>
      <c r="Z3973" s="1114"/>
      <c r="AA3973" s="1114"/>
      <c r="AB3973" s="1114"/>
      <c r="AC3973" s="1117"/>
      <c r="AD3973" s="1115"/>
      <c r="AE3973" s="1115"/>
      <c r="AF3973" s="1115"/>
      <c r="AG3973" s="1115"/>
      <c r="AH3973" s="1115"/>
      <c r="AI3973" s="1115"/>
      <c r="AJ3973" s="1117"/>
      <c r="AK3973" s="1118"/>
      <c r="AL3973" s="1115"/>
      <c r="AM3973" s="1115"/>
      <c r="AN3973" s="1115"/>
      <c r="AO3973" s="1115"/>
      <c r="AP3973" s="1115"/>
      <c r="AQ3973" s="1115"/>
      <c r="AR3973" s="1115"/>
      <c r="AS3973" s="1117"/>
      <c r="AT3973" s="1075"/>
      <c r="AU3973" s="1193"/>
      <c r="AV3973" s="330"/>
      <c r="AW3973" s="331"/>
      <c r="AX3973" s="331"/>
      <c r="AY3973" s="331"/>
      <c r="AZ3973" s="331"/>
      <c r="BA3973" s="331"/>
      <c r="BB3973" s="331"/>
      <c r="BC3973" s="331"/>
      <c r="BD3973" s="331"/>
      <c r="BE3973" s="333"/>
      <c r="BF3973" s="330"/>
      <c r="BG3973" s="333"/>
      <c r="BH3973" s="1119"/>
      <c r="BI3973" s="319"/>
      <c r="BJ3973" s="319"/>
      <c r="BK3973" s="319"/>
      <c r="BL3973" s="319"/>
      <c r="BM3973" s="319"/>
      <c r="BN3973" s="319"/>
      <c r="BO3973" s="319"/>
      <c r="BP3973" s="953"/>
      <c r="BQ3973" s="319"/>
      <c r="BR3973" s="319"/>
      <c r="BS3973" s="330"/>
      <c r="BT3973" s="331"/>
      <c r="BU3973" s="920"/>
      <c r="BV3973" s="903"/>
      <c r="BW3973" s="908"/>
      <c r="BX3973" s="908"/>
      <c r="BY3973" s="331"/>
      <c r="BZ3973" s="331"/>
      <c r="CA3973" s="462"/>
      <c r="CB3973" s="319"/>
      <c r="CC3973" s="319"/>
      <c r="CD3973" s="319"/>
      <c r="CE3973" s="319"/>
      <c r="CF3973" s="319"/>
      <c r="CG3973" s="319"/>
      <c r="CH3973" s="318"/>
      <c r="CI3973" s="319"/>
      <c r="CJ3973" s="319"/>
      <c r="CK3973" s="342"/>
      <c r="CL3973" s="333"/>
      <c r="CM3973" s="1079"/>
      <c r="CN3973" s="1005"/>
      <c r="CO3973" s="1005"/>
      <c r="CP3973" s="1005"/>
    </row>
    <row r="3974">
      <c r="A3974" s="1257"/>
      <c r="B3974" s="1113"/>
      <c r="C3974" s="1107"/>
      <c r="D3974" s="103"/>
      <c r="E3974" s="1137"/>
      <c r="F3974" s="112"/>
      <c r="G3974" s="1110"/>
      <c r="H3974" s="1138"/>
      <c r="I3974" s="1138"/>
      <c r="J3974" s="1139"/>
      <c r="K3974" s="1111"/>
      <c r="L3974" s="1112"/>
      <c r="M3974" s="1113"/>
      <c r="N3974" s="110"/>
      <c r="O3974" s="1140"/>
      <c r="P3974" s="1115"/>
      <c r="Q3974" s="1116"/>
      <c r="R3974" s="1141"/>
      <c r="S3974" s="1113"/>
      <c r="T3974" s="1143"/>
      <c r="U3974" s="1108"/>
      <c r="V3974" s="1108"/>
      <c r="W3974" s="1108"/>
      <c r="X3974" s="1108"/>
      <c r="Y3974" s="1108"/>
      <c r="Z3974" s="1114"/>
      <c r="AA3974" s="1114"/>
      <c r="AB3974" s="1114"/>
      <c r="AC3974" s="1117"/>
      <c r="AD3974" s="1115"/>
      <c r="AE3974" s="1115"/>
      <c r="AF3974" s="1115"/>
      <c r="AG3974" s="1115"/>
      <c r="AH3974" s="1115"/>
      <c r="AI3974" s="1115"/>
      <c r="AJ3974" s="1117"/>
      <c r="AK3974" s="1118"/>
      <c r="AL3974" s="1115"/>
      <c r="AM3974" s="1115"/>
      <c r="AN3974" s="1115"/>
      <c r="AO3974" s="1115"/>
      <c r="AP3974" s="1115"/>
      <c r="AQ3974" s="1115"/>
      <c r="AR3974" s="1115"/>
      <c r="AS3974" s="1117"/>
      <c r="AT3974" s="1075"/>
      <c r="AU3974" s="1193"/>
      <c r="AV3974" s="330"/>
      <c r="AW3974" s="331"/>
      <c r="AX3974" s="331"/>
      <c r="AY3974" s="331"/>
      <c r="AZ3974" s="331"/>
      <c r="BA3974" s="331"/>
      <c r="BB3974" s="331"/>
      <c r="BC3974" s="331"/>
      <c r="BD3974" s="331"/>
      <c r="BE3974" s="333"/>
      <c r="BF3974" s="330"/>
      <c r="BG3974" s="333"/>
      <c r="BH3974" s="1119"/>
      <c r="BI3974" s="319"/>
      <c r="BJ3974" s="319"/>
      <c r="BK3974" s="319"/>
      <c r="BL3974" s="319"/>
      <c r="BM3974" s="319"/>
      <c r="BN3974" s="319"/>
      <c r="BO3974" s="319"/>
      <c r="BP3974" s="953"/>
      <c r="BQ3974" s="319"/>
      <c r="BR3974" s="319"/>
      <c r="BS3974" s="330"/>
      <c r="BT3974" s="331"/>
      <c r="BU3974" s="920"/>
      <c r="BV3974" s="903"/>
      <c r="BW3974" s="908"/>
      <c r="BX3974" s="908"/>
      <c r="BY3974" s="331"/>
      <c r="BZ3974" s="331"/>
      <c r="CA3974" s="462"/>
      <c r="CB3974" s="319"/>
      <c r="CC3974" s="319"/>
      <c r="CD3974" s="319"/>
      <c r="CE3974" s="319"/>
      <c r="CF3974" s="319"/>
      <c r="CG3974" s="319"/>
      <c r="CH3974" s="318"/>
      <c r="CI3974" s="319"/>
      <c r="CJ3974" s="319"/>
      <c r="CK3974" s="342"/>
      <c r="CL3974" s="333"/>
      <c r="CM3974" s="1079"/>
      <c r="CN3974" s="1005"/>
      <c r="CO3974" s="1005"/>
      <c r="CP3974" s="1005"/>
    </row>
    <row r="3975">
      <c r="A3975" s="1257"/>
      <c r="B3975" s="1113"/>
      <c r="C3975" s="1107"/>
      <c r="D3975" s="103"/>
      <c r="E3975" s="1137"/>
      <c r="F3975" s="112"/>
      <c r="G3975" s="1110"/>
      <c r="H3975" s="1138"/>
      <c r="I3975" s="1138"/>
      <c r="J3975" s="1139"/>
      <c r="K3975" s="1111"/>
      <c r="L3975" s="1112"/>
      <c r="M3975" s="1113"/>
      <c r="N3975" s="110"/>
      <c r="O3975" s="1140"/>
      <c r="P3975" s="1115"/>
      <c r="Q3975" s="1116"/>
      <c r="R3975" s="1141"/>
      <c r="S3975" s="1113"/>
      <c r="T3975" s="1143"/>
      <c r="U3975" s="1108"/>
      <c r="V3975" s="1108"/>
      <c r="W3975" s="1108"/>
      <c r="X3975" s="1108"/>
      <c r="Y3975" s="1108"/>
      <c r="Z3975" s="1114"/>
      <c r="AA3975" s="1114"/>
      <c r="AB3975" s="1114"/>
      <c r="AC3975" s="1117"/>
      <c r="AD3975" s="1115"/>
      <c r="AE3975" s="1115"/>
      <c r="AF3975" s="1115"/>
      <c r="AG3975" s="1115"/>
      <c r="AH3975" s="1115"/>
      <c r="AI3975" s="1115"/>
      <c r="AJ3975" s="1117"/>
      <c r="AK3975" s="1118"/>
      <c r="AL3975" s="1115"/>
      <c r="AM3975" s="1115"/>
      <c r="AN3975" s="1115"/>
      <c r="AO3975" s="1115"/>
      <c r="AP3975" s="1115"/>
      <c r="AQ3975" s="1115"/>
      <c r="AR3975" s="1115"/>
      <c r="AS3975" s="1117"/>
      <c r="AT3975" s="1075"/>
      <c r="AU3975" s="1193"/>
      <c r="AV3975" s="330"/>
      <c r="AW3975" s="331"/>
      <c r="AX3975" s="331"/>
      <c r="AY3975" s="331"/>
      <c r="AZ3975" s="331"/>
      <c r="BA3975" s="331"/>
      <c r="BB3975" s="331"/>
      <c r="BC3975" s="331"/>
      <c r="BD3975" s="331"/>
      <c r="BE3975" s="333"/>
      <c r="BF3975" s="330"/>
      <c r="BG3975" s="333"/>
      <c r="BH3975" s="1119"/>
      <c r="BI3975" s="319"/>
      <c r="BJ3975" s="319"/>
      <c r="BK3975" s="319"/>
      <c r="BL3975" s="319"/>
      <c r="BM3975" s="319"/>
      <c r="BN3975" s="319"/>
      <c r="BO3975" s="319"/>
      <c r="BP3975" s="953"/>
      <c r="BQ3975" s="319"/>
      <c r="BR3975" s="319"/>
      <c r="BS3975" s="330"/>
      <c r="BT3975" s="331"/>
      <c r="BU3975" s="920"/>
      <c r="BV3975" s="903"/>
      <c r="BW3975" s="908"/>
      <c r="BX3975" s="908"/>
      <c r="BY3975" s="331"/>
      <c r="BZ3975" s="331"/>
      <c r="CA3975" s="462"/>
      <c r="CB3975" s="319"/>
      <c r="CC3975" s="319"/>
      <c r="CD3975" s="319"/>
      <c r="CE3975" s="319"/>
      <c r="CF3975" s="319"/>
      <c r="CG3975" s="319"/>
      <c r="CH3975" s="318"/>
      <c r="CI3975" s="319"/>
      <c r="CJ3975" s="319"/>
      <c r="CK3975" s="342"/>
      <c r="CL3975" s="333"/>
      <c r="CM3975" s="1079"/>
      <c r="CN3975" s="1005"/>
      <c r="CO3975" s="1005"/>
      <c r="CP3975" s="1005"/>
    </row>
    <row r="3976">
      <c r="A3976" s="1257"/>
      <c r="B3976" s="1113"/>
      <c r="C3976" s="1107"/>
      <c r="D3976" s="103"/>
      <c r="E3976" s="1137"/>
      <c r="F3976" s="112"/>
      <c r="G3976" s="1110"/>
      <c r="H3976" s="1138"/>
      <c r="I3976" s="1138"/>
      <c r="J3976" s="1139"/>
      <c r="K3976" s="1111"/>
      <c r="L3976" s="1112"/>
      <c r="M3976" s="1113"/>
      <c r="N3976" s="110"/>
      <c r="O3976" s="1140"/>
      <c r="P3976" s="1115"/>
      <c r="Q3976" s="1116"/>
      <c r="R3976" s="1141"/>
      <c r="S3976" s="1113"/>
      <c r="T3976" s="1143"/>
      <c r="U3976" s="1108"/>
      <c r="V3976" s="1108"/>
      <c r="W3976" s="1108"/>
      <c r="X3976" s="1108"/>
      <c r="Y3976" s="1108"/>
      <c r="Z3976" s="1114"/>
      <c r="AA3976" s="1114"/>
      <c r="AB3976" s="1114"/>
      <c r="AC3976" s="1117"/>
      <c r="AD3976" s="1115"/>
      <c r="AE3976" s="1115"/>
      <c r="AF3976" s="1115"/>
      <c r="AG3976" s="1115"/>
      <c r="AH3976" s="1115"/>
      <c r="AI3976" s="1115"/>
      <c r="AJ3976" s="1117"/>
      <c r="AK3976" s="1118"/>
      <c r="AL3976" s="1115"/>
      <c r="AM3976" s="1115"/>
      <c r="AN3976" s="1115"/>
      <c r="AO3976" s="1115"/>
      <c r="AP3976" s="1115"/>
      <c r="AQ3976" s="1115"/>
      <c r="AR3976" s="1115"/>
      <c r="AS3976" s="1117"/>
      <c r="AT3976" s="1075"/>
      <c r="AU3976" s="1193"/>
      <c r="AV3976" s="330"/>
      <c r="AW3976" s="331"/>
      <c r="AX3976" s="331"/>
      <c r="AY3976" s="331"/>
      <c r="AZ3976" s="331"/>
      <c r="BA3976" s="331"/>
      <c r="BB3976" s="331"/>
      <c r="BC3976" s="331"/>
      <c r="BD3976" s="331"/>
      <c r="BE3976" s="333"/>
      <c r="BF3976" s="330"/>
      <c r="BG3976" s="333"/>
      <c r="BH3976" s="1119"/>
      <c r="BI3976" s="319"/>
      <c r="BJ3976" s="319"/>
      <c r="BK3976" s="319"/>
      <c r="BL3976" s="319"/>
      <c r="BM3976" s="319"/>
      <c r="BN3976" s="319"/>
      <c r="BO3976" s="319"/>
      <c r="BP3976" s="953"/>
      <c r="BQ3976" s="319"/>
      <c r="BR3976" s="319"/>
      <c r="BS3976" s="330"/>
      <c r="BT3976" s="331"/>
      <c r="BU3976" s="920"/>
      <c r="BV3976" s="903"/>
      <c r="BW3976" s="908"/>
      <c r="BX3976" s="908"/>
      <c r="BY3976" s="331"/>
      <c r="BZ3976" s="331"/>
      <c r="CA3976" s="462"/>
      <c r="CB3976" s="319"/>
      <c r="CC3976" s="319"/>
      <c r="CD3976" s="319"/>
      <c r="CE3976" s="319"/>
      <c r="CF3976" s="319"/>
      <c r="CG3976" s="319"/>
      <c r="CH3976" s="318"/>
      <c r="CI3976" s="319"/>
      <c r="CJ3976" s="319"/>
      <c r="CK3976" s="342"/>
      <c r="CL3976" s="333"/>
      <c r="CM3976" s="1079"/>
      <c r="CN3976" s="1005"/>
      <c r="CO3976" s="1005"/>
      <c r="CP3976" s="1005"/>
    </row>
    <row r="3977">
      <c r="A3977" s="1257"/>
      <c r="B3977" s="1113"/>
      <c r="C3977" s="1107"/>
      <c r="D3977" s="103"/>
      <c r="E3977" s="1137"/>
      <c r="F3977" s="112"/>
      <c r="G3977" s="1110"/>
      <c r="H3977" s="1138"/>
      <c r="I3977" s="1138"/>
      <c r="J3977" s="1139"/>
      <c r="K3977" s="1111"/>
      <c r="L3977" s="1112"/>
      <c r="M3977" s="1113"/>
      <c r="N3977" s="110"/>
      <c r="O3977" s="1140"/>
      <c r="P3977" s="1115"/>
      <c r="Q3977" s="1116"/>
      <c r="R3977" s="1141"/>
      <c r="S3977" s="1113"/>
      <c r="T3977" s="1143"/>
      <c r="U3977" s="1108"/>
      <c r="V3977" s="1108"/>
      <c r="W3977" s="1108"/>
      <c r="X3977" s="1108"/>
      <c r="Y3977" s="1108"/>
      <c r="Z3977" s="1114"/>
      <c r="AA3977" s="1114"/>
      <c r="AB3977" s="1114"/>
      <c r="AC3977" s="1117"/>
      <c r="AD3977" s="1115"/>
      <c r="AE3977" s="1115"/>
      <c r="AF3977" s="1115"/>
      <c r="AG3977" s="1115"/>
      <c r="AH3977" s="1115"/>
      <c r="AI3977" s="1115"/>
      <c r="AJ3977" s="1117"/>
      <c r="AK3977" s="1118"/>
      <c r="AL3977" s="1115"/>
      <c r="AM3977" s="1115"/>
      <c r="AN3977" s="1115"/>
      <c r="AO3977" s="1115"/>
      <c r="AP3977" s="1115"/>
      <c r="AQ3977" s="1115"/>
      <c r="AR3977" s="1115"/>
      <c r="AS3977" s="1117"/>
      <c r="AT3977" s="1075"/>
      <c r="AU3977" s="1193"/>
      <c r="AV3977" s="330"/>
      <c r="AW3977" s="331"/>
      <c r="AX3977" s="331"/>
      <c r="AY3977" s="331"/>
      <c r="AZ3977" s="331"/>
      <c r="BA3977" s="331"/>
      <c r="BB3977" s="331"/>
      <c r="BC3977" s="331"/>
      <c r="BD3977" s="331"/>
      <c r="BE3977" s="333"/>
      <c r="BF3977" s="330"/>
      <c r="BG3977" s="333"/>
      <c r="BH3977" s="1119"/>
      <c r="BI3977" s="319"/>
      <c r="BJ3977" s="319"/>
      <c r="BK3977" s="319"/>
      <c r="BL3977" s="319"/>
      <c r="BM3977" s="319"/>
      <c r="BN3977" s="319"/>
      <c r="BO3977" s="319"/>
      <c r="BP3977" s="953"/>
      <c r="BQ3977" s="319"/>
      <c r="BR3977" s="319"/>
      <c r="BS3977" s="330"/>
      <c r="BT3977" s="331"/>
      <c r="BU3977" s="920"/>
      <c r="BV3977" s="903"/>
      <c r="BW3977" s="908"/>
      <c r="BX3977" s="908"/>
      <c r="BY3977" s="331"/>
      <c r="BZ3977" s="331"/>
      <c r="CA3977" s="462"/>
      <c r="CB3977" s="319"/>
      <c r="CC3977" s="319"/>
      <c r="CD3977" s="319"/>
      <c r="CE3977" s="319"/>
      <c r="CF3977" s="319"/>
      <c r="CG3977" s="319"/>
      <c r="CH3977" s="318"/>
      <c r="CI3977" s="319"/>
      <c r="CJ3977" s="319"/>
      <c r="CK3977" s="342"/>
      <c r="CL3977" s="333"/>
      <c r="CM3977" s="1079"/>
      <c r="CN3977" s="1005"/>
      <c r="CO3977" s="1005"/>
      <c r="CP3977" s="1005"/>
    </row>
    <row r="3978">
      <c r="A3978" s="1257"/>
      <c r="B3978" s="1113"/>
      <c r="C3978" s="1107"/>
      <c r="D3978" s="103"/>
      <c r="E3978" s="1137"/>
      <c r="F3978" s="112"/>
      <c r="G3978" s="1110"/>
      <c r="H3978" s="1138"/>
      <c r="I3978" s="1138"/>
      <c r="J3978" s="1139"/>
      <c r="K3978" s="1111"/>
      <c r="L3978" s="1112"/>
      <c r="M3978" s="1113"/>
      <c r="N3978" s="110"/>
      <c r="O3978" s="1140"/>
      <c r="P3978" s="1115"/>
      <c r="Q3978" s="1116"/>
      <c r="R3978" s="1141"/>
      <c r="S3978" s="1113"/>
      <c r="T3978" s="1143"/>
      <c r="U3978" s="1108"/>
      <c r="V3978" s="1108"/>
      <c r="W3978" s="1108"/>
      <c r="X3978" s="1108"/>
      <c r="Y3978" s="1108"/>
      <c r="Z3978" s="1114"/>
      <c r="AA3978" s="1114"/>
      <c r="AB3978" s="1114"/>
      <c r="AC3978" s="1117"/>
      <c r="AD3978" s="1115"/>
      <c r="AE3978" s="1115"/>
      <c r="AF3978" s="1115"/>
      <c r="AG3978" s="1115"/>
      <c r="AH3978" s="1115"/>
      <c r="AI3978" s="1115"/>
      <c r="AJ3978" s="1117"/>
      <c r="AK3978" s="1118"/>
      <c r="AL3978" s="1115"/>
      <c r="AM3978" s="1115"/>
      <c r="AN3978" s="1115"/>
      <c r="AO3978" s="1115"/>
      <c r="AP3978" s="1115"/>
      <c r="AQ3978" s="1115"/>
      <c r="AR3978" s="1115"/>
      <c r="AS3978" s="1117"/>
      <c r="AT3978" s="1075"/>
      <c r="AU3978" s="1193"/>
      <c r="AV3978" s="330"/>
      <c r="AW3978" s="331"/>
      <c r="AX3978" s="331"/>
      <c r="AY3978" s="331"/>
      <c r="AZ3978" s="331"/>
      <c r="BA3978" s="331"/>
      <c r="BB3978" s="331"/>
      <c r="BC3978" s="331"/>
      <c r="BD3978" s="331"/>
      <c r="BE3978" s="333"/>
      <c r="BF3978" s="330"/>
      <c r="BG3978" s="333"/>
      <c r="BH3978" s="1119"/>
      <c r="BI3978" s="319"/>
      <c r="BJ3978" s="319"/>
      <c r="BK3978" s="319"/>
      <c r="BL3978" s="319"/>
      <c r="BM3978" s="319"/>
      <c r="BN3978" s="319"/>
      <c r="BO3978" s="319"/>
      <c r="BP3978" s="953"/>
      <c r="BQ3978" s="319"/>
      <c r="BR3978" s="319"/>
      <c r="BS3978" s="330"/>
      <c r="BT3978" s="331"/>
      <c r="BU3978" s="920"/>
      <c r="BV3978" s="903"/>
      <c r="BW3978" s="908"/>
      <c r="BX3978" s="908"/>
      <c r="BY3978" s="331"/>
      <c r="BZ3978" s="331"/>
      <c r="CA3978" s="462"/>
      <c r="CB3978" s="319"/>
      <c r="CC3978" s="319"/>
      <c r="CD3978" s="319"/>
      <c r="CE3978" s="319"/>
      <c r="CF3978" s="319"/>
      <c r="CG3978" s="319"/>
      <c r="CH3978" s="318"/>
      <c r="CI3978" s="319"/>
      <c r="CJ3978" s="319"/>
      <c r="CK3978" s="342"/>
      <c r="CL3978" s="333"/>
      <c r="CM3978" s="1079"/>
      <c r="CN3978" s="1005"/>
      <c r="CO3978" s="1005"/>
      <c r="CP3978" s="1005"/>
    </row>
    <row r="3979">
      <c r="A3979" s="1257"/>
      <c r="B3979" s="1113"/>
      <c r="C3979" s="1107"/>
      <c r="D3979" s="103"/>
      <c r="E3979" s="1137"/>
      <c r="F3979" s="112"/>
      <c r="G3979" s="1110"/>
      <c r="H3979" s="1138"/>
      <c r="I3979" s="1138"/>
      <c r="J3979" s="1139"/>
      <c r="K3979" s="1111"/>
      <c r="L3979" s="1112"/>
      <c r="M3979" s="1113"/>
      <c r="N3979" s="110"/>
      <c r="O3979" s="1140"/>
      <c r="P3979" s="1115"/>
      <c r="Q3979" s="1116"/>
      <c r="R3979" s="1141"/>
      <c r="S3979" s="1113"/>
      <c r="T3979" s="1143"/>
      <c r="U3979" s="1108"/>
      <c r="V3979" s="1108"/>
      <c r="W3979" s="1108"/>
      <c r="X3979" s="1108"/>
      <c r="Y3979" s="1108"/>
      <c r="Z3979" s="1114"/>
      <c r="AA3979" s="1114"/>
      <c r="AB3979" s="1114"/>
      <c r="AC3979" s="1117"/>
      <c r="AD3979" s="1115"/>
      <c r="AE3979" s="1115"/>
      <c r="AF3979" s="1115"/>
      <c r="AG3979" s="1115"/>
      <c r="AH3979" s="1115"/>
      <c r="AI3979" s="1115"/>
      <c r="AJ3979" s="1117"/>
      <c r="AK3979" s="1118"/>
      <c r="AL3979" s="1115"/>
      <c r="AM3979" s="1115"/>
      <c r="AN3979" s="1115"/>
      <c r="AO3979" s="1115"/>
      <c r="AP3979" s="1115"/>
      <c r="AQ3979" s="1115"/>
      <c r="AR3979" s="1115"/>
      <c r="AS3979" s="1117"/>
      <c r="AT3979" s="1075"/>
      <c r="AU3979" s="1193"/>
      <c r="AV3979" s="330"/>
      <c r="AW3979" s="331"/>
      <c r="AX3979" s="331"/>
      <c r="AY3979" s="331"/>
      <c r="AZ3979" s="331"/>
      <c r="BA3979" s="331"/>
      <c r="BB3979" s="331"/>
      <c r="BC3979" s="331"/>
      <c r="BD3979" s="331"/>
      <c r="BE3979" s="333"/>
      <c r="BF3979" s="330"/>
      <c r="BG3979" s="333"/>
      <c r="BH3979" s="1119"/>
      <c r="BI3979" s="319"/>
      <c r="BJ3979" s="319"/>
      <c r="BK3979" s="319"/>
      <c r="BL3979" s="319"/>
      <c r="BM3979" s="319"/>
      <c r="BN3979" s="319"/>
      <c r="BO3979" s="319"/>
      <c r="BP3979" s="953"/>
      <c r="BQ3979" s="319"/>
      <c r="BR3979" s="319"/>
      <c r="BS3979" s="330"/>
      <c r="BT3979" s="331"/>
      <c r="BU3979" s="920"/>
      <c r="BV3979" s="903"/>
      <c r="BW3979" s="908"/>
      <c r="BX3979" s="908"/>
      <c r="BY3979" s="331"/>
      <c r="BZ3979" s="331"/>
      <c r="CA3979" s="462"/>
      <c r="CB3979" s="319"/>
      <c r="CC3979" s="319"/>
      <c r="CD3979" s="319"/>
      <c r="CE3979" s="319"/>
      <c r="CF3979" s="319"/>
      <c r="CG3979" s="319"/>
      <c r="CH3979" s="318"/>
      <c r="CI3979" s="319"/>
      <c r="CJ3979" s="319"/>
      <c r="CK3979" s="342"/>
      <c r="CL3979" s="333"/>
      <c r="CM3979" s="1079"/>
      <c r="CN3979" s="1005"/>
      <c r="CO3979" s="1005"/>
      <c r="CP3979" s="1005"/>
    </row>
    <row r="3980">
      <c r="A3980" s="1257"/>
      <c r="B3980" s="1113"/>
      <c r="C3980" s="1107"/>
      <c r="D3980" s="103"/>
      <c r="E3980" s="1137"/>
      <c r="F3980" s="112"/>
      <c r="G3980" s="1110"/>
      <c r="H3980" s="1138"/>
      <c r="I3980" s="1138"/>
      <c r="J3980" s="1139"/>
      <c r="K3980" s="1111"/>
      <c r="L3980" s="1112"/>
      <c r="M3980" s="1113"/>
      <c r="N3980" s="110"/>
      <c r="O3980" s="1140"/>
      <c r="P3980" s="1115"/>
      <c r="Q3980" s="1116"/>
      <c r="R3980" s="1141"/>
      <c r="S3980" s="1113"/>
      <c r="T3980" s="1143"/>
      <c r="U3980" s="1108"/>
      <c r="V3980" s="1108"/>
      <c r="W3980" s="1108"/>
      <c r="X3980" s="1108"/>
      <c r="Y3980" s="1108"/>
      <c r="Z3980" s="1114"/>
      <c r="AA3980" s="1114"/>
      <c r="AB3980" s="1114"/>
      <c r="AC3980" s="1117"/>
      <c r="AD3980" s="1115"/>
      <c r="AE3980" s="1115"/>
      <c r="AF3980" s="1115"/>
      <c r="AG3980" s="1115"/>
      <c r="AH3980" s="1115"/>
      <c r="AI3980" s="1115"/>
      <c r="AJ3980" s="1117"/>
      <c r="AK3980" s="1118"/>
      <c r="AL3980" s="1115"/>
      <c r="AM3980" s="1115"/>
      <c r="AN3980" s="1115"/>
      <c r="AO3980" s="1115"/>
      <c r="AP3980" s="1115"/>
      <c r="AQ3980" s="1115"/>
      <c r="AR3980" s="1115"/>
      <c r="AS3980" s="1117"/>
      <c r="AT3980" s="1075"/>
      <c r="AU3980" s="1193"/>
      <c r="AV3980" s="330"/>
      <c r="AW3980" s="331"/>
      <c r="AX3980" s="331"/>
      <c r="AY3980" s="331"/>
      <c r="AZ3980" s="331"/>
      <c r="BA3980" s="331"/>
      <c r="BB3980" s="331"/>
      <c r="BC3980" s="331"/>
      <c r="BD3980" s="331"/>
      <c r="BE3980" s="333"/>
      <c r="BF3980" s="330"/>
      <c r="BG3980" s="333"/>
      <c r="BH3980" s="1119"/>
      <c r="BI3980" s="319"/>
      <c r="BJ3980" s="319"/>
      <c r="BK3980" s="319"/>
      <c r="BL3980" s="319"/>
      <c r="BM3980" s="319"/>
      <c r="BN3980" s="319"/>
      <c r="BO3980" s="319"/>
      <c r="BP3980" s="953"/>
      <c r="BQ3980" s="319"/>
      <c r="BR3980" s="319"/>
      <c r="BS3980" s="330"/>
      <c r="BT3980" s="331"/>
      <c r="BU3980" s="920"/>
      <c r="BV3980" s="903"/>
      <c r="BW3980" s="908"/>
      <c r="BX3980" s="908"/>
      <c r="BY3980" s="331"/>
      <c r="BZ3980" s="331"/>
      <c r="CA3980" s="462"/>
      <c r="CB3980" s="319"/>
      <c r="CC3980" s="319"/>
      <c r="CD3980" s="319"/>
      <c r="CE3980" s="319"/>
      <c r="CF3980" s="319"/>
      <c r="CG3980" s="319"/>
      <c r="CH3980" s="318"/>
      <c r="CI3980" s="319"/>
      <c r="CJ3980" s="319"/>
      <c r="CK3980" s="342"/>
      <c r="CL3980" s="333"/>
      <c r="CM3980" s="1079"/>
      <c r="CN3980" s="1005"/>
      <c r="CO3980" s="1005"/>
      <c r="CP3980" s="1005"/>
    </row>
    <row r="3981">
      <c r="A3981" s="1257"/>
      <c r="B3981" s="1113"/>
      <c r="C3981" s="1107"/>
      <c r="D3981" s="103"/>
      <c r="E3981" s="1137"/>
      <c r="F3981" s="112"/>
      <c r="G3981" s="1110"/>
      <c r="H3981" s="1138"/>
      <c r="I3981" s="1138"/>
      <c r="J3981" s="1139"/>
      <c r="K3981" s="1111"/>
      <c r="L3981" s="1112"/>
      <c r="M3981" s="1113"/>
      <c r="N3981" s="110"/>
      <c r="O3981" s="1140"/>
      <c r="P3981" s="1115"/>
      <c r="Q3981" s="1116"/>
      <c r="R3981" s="1141"/>
      <c r="S3981" s="1113"/>
      <c r="T3981" s="1143"/>
      <c r="U3981" s="1108"/>
      <c r="V3981" s="1108"/>
      <c r="W3981" s="1108"/>
      <c r="X3981" s="1108"/>
      <c r="Y3981" s="1108"/>
      <c r="Z3981" s="1114"/>
      <c r="AA3981" s="1114"/>
      <c r="AB3981" s="1114"/>
      <c r="AC3981" s="1117"/>
      <c r="AD3981" s="1115"/>
      <c r="AE3981" s="1115"/>
      <c r="AF3981" s="1115"/>
      <c r="AG3981" s="1115"/>
      <c r="AH3981" s="1115"/>
      <c r="AI3981" s="1115"/>
      <c r="AJ3981" s="1117"/>
      <c r="AK3981" s="1118"/>
      <c r="AL3981" s="1115"/>
      <c r="AM3981" s="1115"/>
      <c r="AN3981" s="1115"/>
      <c r="AO3981" s="1115"/>
      <c r="AP3981" s="1115"/>
      <c r="AQ3981" s="1115"/>
      <c r="AR3981" s="1115"/>
      <c r="AS3981" s="1117"/>
      <c r="AT3981" s="1075"/>
      <c r="AU3981" s="1193"/>
      <c r="AV3981" s="330"/>
      <c r="AW3981" s="331"/>
      <c r="AX3981" s="331"/>
      <c r="AY3981" s="331"/>
      <c r="AZ3981" s="331"/>
      <c r="BA3981" s="331"/>
      <c r="BB3981" s="331"/>
      <c r="BC3981" s="331"/>
      <c r="BD3981" s="331"/>
      <c r="BE3981" s="333"/>
      <c r="BF3981" s="330"/>
      <c r="BG3981" s="333"/>
      <c r="BH3981" s="1119"/>
      <c r="BI3981" s="319"/>
      <c r="BJ3981" s="319"/>
      <c r="BK3981" s="319"/>
      <c r="BL3981" s="319"/>
      <c r="BM3981" s="319"/>
      <c r="BN3981" s="319"/>
      <c r="BO3981" s="319"/>
      <c r="BP3981" s="953"/>
      <c r="BQ3981" s="319"/>
      <c r="BR3981" s="319"/>
      <c r="BS3981" s="330"/>
      <c r="BT3981" s="331"/>
      <c r="BU3981" s="920"/>
      <c r="BV3981" s="903"/>
      <c r="BW3981" s="908"/>
      <c r="BX3981" s="908"/>
      <c r="BY3981" s="331"/>
      <c r="BZ3981" s="331"/>
      <c r="CA3981" s="462"/>
      <c r="CB3981" s="319"/>
      <c r="CC3981" s="319"/>
      <c r="CD3981" s="319"/>
      <c r="CE3981" s="319"/>
      <c r="CF3981" s="319"/>
      <c r="CG3981" s="319"/>
      <c r="CH3981" s="318"/>
      <c r="CI3981" s="319"/>
      <c r="CJ3981" s="319"/>
      <c r="CK3981" s="342"/>
      <c r="CL3981" s="333"/>
      <c r="CM3981" s="1079"/>
      <c r="CN3981" s="1005"/>
      <c r="CO3981" s="1005"/>
      <c r="CP3981" s="1005"/>
    </row>
    <row r="3982">
      <c r="A3982" s="1257"/>
      <c r="B3982" s="1113"/>
      <c r="C3982" s="1107"/>
      <c r="D3982" s="103"/>
      <c r="E3982" s="1137"/>
      <c r="F3982" s="112"/>
      <c r="G3982" s="1110"/>
      <c r="H3982" s="1138"/>
      <c r="I3982" s="1138"/>
      <c r="J3982" s="1139"/>
      <c r="K3982" s="1111"/>
      <c r="L3982" s="1112"/>
      <c r="M3982" s="1113"/>
      <c r="N3982" s="110"/>
      <c r="O3982" s="1140"/>
      <c r="P3982" s="1115"/>
      <c r="Q3982" s="1116"/>
      <c r="R3982" s="1141"/>
      <c r="S3982" s="1113"/>
      <c r="T3982" s="1143"/>
      <c r="U3982" s="1108"/>
      <c r="V3982" s="1108"/>
      <c r="W3982" s="1108"/>
      <c r="X3982" s="1108"/>
      <c r="Y3982" s="1108"/>
      <c r="Z3982" s="1114"/>
      <c r="AA3982" s="1114"/>
      <c r="AB3982" s="1114"/>
      <c r="AC3982" s="1117"/>
      <c r="AD3982" s="1115"/>
      <c r="AE3982" s="1115"/>
      <c r="AF3982" s="1115"/>
      <c r="AG3982" s="1115"/>
      <c r="AH3982" s="1115"/>
      <c r="AI3982" s="1115"/>
      <c r="AJ3982" s="1117"/>
      <c r="AK3982" s="1118"/>
      <c r="AL3982" s="1115"/>
      <c r="AM3982" s="1115"/>
      <c r="AN3982" s="1115"/>
      <c r="AO3982" s="1115"/>
      <c r="AP3982" s="1115"/>
      <c r="AQ3982" s="1115"/>
      <c r="AR3982" s="1115"/>
      <c r="AS3982" s="1117"/>
      <c r="AT3982" s="1075"/>
      <c r="AU3982" s="1193"/>
      <c r="AV3982" s="330"/>
      <c r="AW3982" s="331"/>
      <c r="AX3982" s="331"/>
      <c r="AY3982" s="331"/>
      <c r="AZ3982" s="331"/>
      <c r="BA3982" s="331"/>
      <c r="BB3982" s="331"/>
      <c r="BC3982" s="331"/>
      <c r="BD3982" s="331"/>
      <c r="BE3982" s="333"/>
      <c r="BF3982" s="330"/>
      <c r="BG3982" s="333"/>
      <c r="BH3982" s="1119"/>
      <c r="BI3982" s="319"/>
      <c r="BJ3982" s="319"/>
      <c r="BK3982" s="319"/>
      <c r="BL3982" s="319"/>
      <c r="BM3982" s="319"/>
      <c r="BN3982" s="319"/>
      <c r="BO3982" s="319"/>
      <c r="BP3982" s="953"/>
      <c r="BQ3982" s="319"/>
      <c r="BR3982" s="319"/>
      <c r="BS3982" s="330"/>
      <c r="BT3982" s="331"/>
      <c r="BU3982" s="920"/>
      <c r="BV3982" s="903"/>
      <c r="BW3982" s="908"/>
      <c r="BX3982" s="908"/>
      <c r="BY3982" s="331"/>
      <c r="BZ3982" s="331"/>
      <c r="CA3982" s="462"/>
      <c r="CB3982" s="319"/>
      <c r="CC3982" s="319"/>
      <c r="CD3982" s="319"/>
      <c r="CE3982" s="319"/>
      <c r="CF3982" s="319"/>
      <c r="CG3982" s="319"/>
      <c r="CH3982" s="318"/>
      <c r="CI3982" s="319"/>
      <c r="CJ3982" s="319"/>
      <c r="CK3982" s="342"/>
      <c r="CL3982" s="333"/>
      <c r="CM3982" s="1079"/>
      <c r="CN3982" s="1005"/>
      <c r="CO3982" s="1005"/>
      <c r="CP3982" s="1005"/>
    </row>
    <row r="3983">
      <c r="A3983" s="1257"/>
      <c r="B3983" s="1113"/>
      <c r="C3983" s="1107"/>
      <c r="D3983" s="103"/>
      <c r="E3983" s="1137"/>
      <c r="F3983" s="112"/>
      <c r="G3983" s="1110"/>
      <c r="H3983" s="1138"/>
      <c r="I3983" s="1138"/>
      <c r="J3983" s="1139"/>
      <c r="K3983" s="1111"/>
      <c r="L3983" s="1112"/>
      <c r="M3983" s="1113"/>
      <c r="N3983" s="110"/>
      <c r="O3983" s="1140"/>
      <c r="P3983" s="1115"/>
      <c r="Q3983" s="1116"/>
      <c r="R3983" s="1141"/>
      <c r="S3983" s="1113"/>
      <c r="T3983" s="1143"/>
      <c r="U3983" s="1108"/>
      <c r="V3983" s="1108"/>
      <c r="W3983" s="1108"/>
      <c r="X3983" s="1108"/>
      <c r="Y3983" s="1108"/>
      <c r="Z3983" s="1114"/>
      <c r="AA3983" s="1114"/>
      <c r="AB3983" s="1114"/>
      <c r="AC3983" s="1117"/>
      <c r="AD3983" s="1115"/>
      <c r="AE3983" s="1115"/>
      <c r="AF3983" s="1115"/>
      <c r="AG3983" s="1115"/>
      <c r="AH3983" s="1115"/>
      <c r="AI3983" s="1115"/>
      <c r="AJ3983" s="1117"/>
      <c r="AK3983" s="1118"/>
      <c r="AL3983" s="1115"/>
      <c r="AM3983" s="1115"/>
      <c r="AN3983" s="1115"/>
      <c r="AO3983" s="1115"/>
      <c r="AP3983" s="1115"/>
      <c r="AQ3983" s="1115"/>
      <c r="AR3983" s="1115"/>
      <c r="AS3983" s="1117"/>
      <c r="AT3983" s="1075"/>
      <c r="AU3983" s="1193"/>
      <c r="AV3983" s="330"/>
      <c r="AW3983" s="331"/>
      <c r="AX3983" s="331"/>
      <c r="AY3983" s="331"/>
      <c r="AZ3983" s="331"/>
      <c r="BA3983" s="331"/>
      <c r="BB3983" s="331"/>
      <c r="BC3983" s="331"/>
      <c r="BD3983" s="331"/>
      <c r="BE3983" s="333"/>
      <c r="BF3983" s="330"/>
      <c r="BG3983" s="333"/>
      <c r="BH3983" s="1119"/>
      <c r="BI3983" s="319"/>
      <c r="BJ3983" s="319"/>
      <c r="BK3983" s="319"/>
      <c r="BL3983" s="319"/>
      <c r="BM3983" s="319"/>
      <c r="BN3983" s="319"/>
      <c r="BO3983" s="319"/>
      <c r="BP3983" s="953"/>
      <c r="BQ3983" s="319"/>
      <c r="BR3983" s="319"/>
      <c r="BS3983" s="330"/>
      <c r="BT3983" s="331"/>
      <c r="BU3983" s="920"/>
      <c r="BV3983" s="903"/>
      <c r="BW3983" s="908"/>
      <c r="BX3983" s="908"/>
      <c r="BY3983" s="331"/>
      <c r="BZ3983" s="331"/>
      <c r="CA3983" s="462"/>
      <c r="CB3983" s="319"/>
      <c r="CC3983" s="319"/>
      <c r="CD3983" s="319"/>
      <c r="CE3983" s="319"/>
      <c r="CF3983" s="319"/>
      <c r="CG3983" s="319"/>
      <c r="CH3983" s="318"/>
      <c r="CI3983" s="319"/>
      <c r="CJ3983" s="319"/>
      <c r="CK3983" s="342"/>
      <c r="CL3983" s="333"/>
      <c r="CM3983" s="1079"/>
      <c r="CN3983" s="1005"/>
      <c r="CO3983" s="1005"/>
      <c r="CP3983" s="1005"/>
    </row>
    <row r="3984">
      <c r="A3984" s="1257"/>
      <c r="B3984" s="1113"/>
      <c r="C3984" s="1107"/>
      <c r="D3984" s="103"/>
      <c r="E3984" s="1137"/>
      <c r="F3984" s="112"/>
      <c r="G3984" s="1110"/>
      <c r="H3984" s="1138"/>
      <c r="I3984" s="1138"/>
      <c r="J3984" s="1139"/>
      <c r="K3984" s="1111"/>
      <c r="L3984" s="1112"/>
      <c r="M3984" s="1113"/>
      <c r="N3984" s="110"/>
      <c r="O3984" s="1140"/>
      <c r="P3984" s="1115"/>
      <c r="Q3984" s="1116"/>
      <c r="R3984" s="1141"/>
      <c r="S3984" s="1113"/>
      <c r="T3984" s="1143"/>
      <c r="U3984" s="1108"/>
      <c r="V3984" s="1108"/>
      <c r="W3984" s="1108"/>
      <c r="X3984" s="1108"/>
      <c r="Y3984" s="1108"/>
      <c r="Z3984" s="1114"/>
      <c r="AA3984" s="1114"/>
      <c r="AB3984" s="1114"/>
      <c r="AC3984" s="1117"/>
      <c r="AD3984" s="1115"/>
      <c r="AE3984" s="1115"/>
      <c r="AF3984" s="1115"/>
      <c r="AG3984" s="1115"/>
      <c r="AH3984" s="1115"/>
      <c r="AI3984" s="1115"/>
      <c r="AJ3984" s="1117"/>
      <c r="AK3984" s="1118"/>
      <c r="AL3984" s="1115"/>
      <c r="AM3984" s="1115"/>
      <c r="AN3984" s="1115"/>
      <c r="AO3984" s="1115"/>
      <c r="AP3984" s="1115"/>
      <c r="AQ3984" s="1115"/>
      <c r="AR3984" s="1115"/>
      <c r="AS3984" s="1117"/>
      <c r="AT3984" s="1075"/>
      <c r="AU3984" s="1193"/>
      <c r="AV3984" s="330"/>
      <c r="AW3984" s="331"/>
      <c r="AX3984" s="331"/>
      <c r="AY3984" s="331"/>
      <c r="AZ3984" s="331"/>
      <c r="BA3984" s="331"/>
      <c r="BB3984" s="331"/>
      <c r="BC3984" s="331"/>
      <c r="BD3984" s="331"/>
      <c r="BE3984" s="333"/>
      <c r="BF3984" s="330"/>
      <c r="BG3984" s="333"/>
      <c r="BH3984" s="1119"/>
      <c r="BI3984" s="319"/>
      <c r="BJ3984" s="319"/>
      <c r="BK3984" s="319"/>
      <c r="BL3984" s="319"/>
      <c r="BM3984" s="319"/>
      <c r="BN3984" s="319"/>
      <c r="BO3984" s="319"/>
      <c r="BP3984" s="953"/>
      <c r="BQ3984" s="319"/>
      <c r="BR3984" s="319"/>
      <c r="BS3984" s="330"/>
      <c r="BT3984" s="331"/>
      <c r="BU3984" s="920"/>
      <c r="BV3984" s="903"/>
      <c r="BW3984" s="908"/>
      <c r="BX3984" s="908"/>
      <c r="BY3984" s="331"/>
      <c r="BZ3984" s="331"/>
      <c r="CA3984" s="462"/>
      <c r="CB3984" s="319"/>
      <c r="CC3984" s="319"/>
      <c r="CD3984" s="319"/>
      <c r="CE3984" s="319"/>
      <c r="CF3984" s="319"/>
      <c r="CG3984" s="319"/>
      <c r="CH3984" s="318"/>
      <c r="CI3984" s="319"/>
      <c r="CJ3984" s="319"/>
      <c r="CK3984" s="342"/>
      <c r="CL3984" s="333"/>
      <c r="CM3984" s="1079"/>
      <c r="CN3984" s="1005"/>
      <c r="CO3984" s="1005"/>
      <c r="CP3984" s="1005"/>
    </row>
    <row r="3985">
      <c r="A3985" s="1257"/>
      <c r="B3985" s="1113"/>
      <c r="C3985" s="1107"/>
      <c r="D3985" s="103"/>
      <c r="E3985" s="1137"/>
      <c r="F3985" s="112"/>
      <c r="G3985" s="1110"/>
      <c r="H3985" s="1138"/>
      <c r="I3985" s="1138"/>
      <c r="J3985" s="1139"/>
      <c r="K3985" s="1111"/>
      <c r="L3985" s="1112"/>
      <c r="M3985" s="1113"/>
      <c r="N3985" s="110"/>
      <c r="O3985" s="1140"/>
      <c r="P3985" s="1115"/>
      <c r="Q3985" s="1116"/>
      <c r="R3985" s="1141"/>
      <c r="S3985" s="1113"/>
      <c r="T3985" s="1143"/>
      <c r="U3985" s="1108"/>
      <c r="V3985" s="1108"/>
      <c r="W3985" s="1108"/>
      <c r="X3985" s="1108"/>
      <c r="Y3985" s="1108"/>
      <c r="Z3985" s="1114"/>
      <c r="AA3985" s="1114"/>
      <c r="AB3985" s="1114"/>
      <c r="AC3985" s="1117"/>
      <c r="AD3985" s="1115"/>
      <c r="AE3985" s="1115"/>
      <c r="AF3985" s="1115"/>
      <c r="AG3985" s="1115"/>
      <c r="AH3985" s="1115"/>
      <c r="AI3985" s="1115"/>
      <c r="AJ3985" s="1117"/>
      <c r="AK3985" s="1118"/>
      <c r="AL3985" s="1115"/>
      <c r="AM3985" s="1115"/>
      <c r="AN3985" s="1115"/>
      <c r="AO3985" s="1115"/>
      <c r="AP3985" s="1115"/>
      <c r="AQ3985" s="1115"/>
      <c r="AR3985" s="1115"/>
      <c r="AS3985" s="1117"/>
      <c r="AT3985" s="1075"/>
      <c r="AU3985" s="1193"/>
      <c r="AV3985" s="330"/>
      <c r="AW3985" s="331"/>
      <c r="AX3985" s="331"/>
      <c r="AY3985" s="331"/>
      <c r="AZ3985" s="331"/>
      <c r="BA3985" s="331"/>
      <c r="BB3985" s="331"/>
      <c r="BC3985" s="331"/>
      <c r="BD3985" s="331"/>
      <c r="BE3985" s="333"/>
      <c r="BF3985" s="330"/>
      <c r="BG3985" s="333"/>
      <c r="BH3985" s="1119"/>
      <c r="BI3985" s="319"/>
      <c r="BJ3985" s="319"/>
      <c r="BK3985" s="319"/>
      <c r="BL3985" s="319"/>
      <c r="BM3985" s="319"/>
      <c r="BN3985" s="319"/>
      <c r="BO3985" s="319"/>
      <c r="BP3985" s="953"/>
      <c r="BQ3985" s="319"/>
      <c r="BR3985" s="319"/>
      <c r="BS3985" s="330"/>
      <c r="BT3985" s="331"/>
      <c r="BU3985" s="920"/>
      <c r="BV3985" s="903"/>
      <c r="BW3985" s="908"/>
      <c r="BX3985" s="908"/>
      <c r="BY3985" s="331"/>
      <c r="BZ3985" s="331"/>
      <c r="CA3985" s="462"/>
      <c r="CB3985" s="319"/>
      <c r="CC3985" s="319"/>
      <c r="CD3985" s="319"/>
      <c r="CE3985" s="319"/>
      <c r="CF3985" s="319"/>
      <c r="CG3985" s="319"/>
      <c r="CH3985" s="318"/>
      <c r="CI3985" s="319"/>
      <c r="CJ3985" s="319"/>
      <c r="CK3985" s="342"/>
      <c r="CL3985" s="333"/>
      <c r="CM3985" s="1079"/>
      <c r="CN3985" s="1005"/>
      <c r="CO3985" s="1005"/>
      <c r="CP3985" s="1005"/>
    </row>
    <row r="3986">
      <c r="A3986" s="1257"/>
      <c r="B3986" s="1113"/>
      <c r="C3986" s="1107"/>
      <c r="D3986" s="103"/>
      <c r="E3986" s="1137"/>
      <c r="F3986" s="112"/>
      <c r="G3986" s="1110"/>
      <c r="H3986" s="1138"/>
      <c r="I3986" s="1138"/>
      <c r="J3986" s="1139"/>
      <c r="K3986" s="1111"/>
      <c r="L3986" s="1112"/>
      <c r="M3986" s="1113"/>
      <c r="N3986" s="110"/>
      <c r="O3986" s="1140"/>
      <c r="P3986" s="1115"/>
      <c r="Q3986" s="1116"/>
      <c r="R3986" s="1141"/>
      <c r="S3986" s="1113"/>
      <c r="T3986" s="1143"/>
      <c r="U3986" s="1108"/>
      <c r="V3986" s="1108"/>
      <c r="W3986" s="1108"/>
      <c r="X3986" s="1108"/>
      <c r="Y3986" s="1108"/>
      <c r="Z3986" s="1114"/>
      <c r="AA3986" s="1114"/>
      <c r="AB3986" s="1114"/>
      <c r="AC3986" s="1117"/>
      <c r="AD3986" s="1115"/>
      <c r="AE3986" s="1115"/>
      <c r="AF3986" s="1115"/>
      <c r="AG3986" s="1115"/>
      <c r="AH3986" s="1115"/>
      <c r="AI3986" s="1115"/>
      <c r="AJ3986" s="1117"/>
      <c r="AK3986" s="1118"/>
      <c r="AL3986" s="1115"/>
      <c r="AM3986" s="1115"/>
      <c r="AN3986" s="1115"/>
      <c r="AO3986" s="1115"/>
      <c r="AP3986" s="1115"/>
      <c r="AQ3986" s="1115"/>
      <c r="AR3986" s="1115"/>
      <c r="AS3986" s="1117"/>
      <c r="AT3986" s="1075"/>
      <c r="AU3986" s="1193"/>
      <c r="AV3986" s="330"/>
      <c r="AW3986" s="331"/>
      <c r="AX3986" s="331"/>
      <c r="AY3986" s="331"/>
      <c r="AZ3986" s="331"/>
      <c r="BA3986" s="331"/>
      <c r="BB3986" s="331"/>
      <c r="BC3986" s="331"/>
      <c r="BD3986" s="331"/>
      <c r="BE3986" s="333"/>
      <c r="BF3986" s="330"/>
      <c r="BG3986" s="333"/>
      <c r="BH3986" s="1119"/>
      <c r="BI3986" s="319"/>
      <c r="BJ3986" s="319"/>
      <c r="BK3986" s="319"/>
      <c r="BL3986" s="319"/>
      <c r="BM3986" s="319"/>
      <c r="BN3986" s="319"/>
      <c r="BO3986" s="319"/>
      <c r="BP3986" s="953"/>
      <c r="BQ3986" s="319"/>
      <c r="BR3986" s="319"/>
      <c r="BS3986" s="330"/>
      <c r="BT3986" s="331"/>
      <c r="BU3986" s="920"/>
      <c r="BV3986" s="903"/>
      <c r="BW3986" s="908"/>
      <c r="BX3986" s="908"/>
      <c r="BY3986" s="331"/>
      <c r="BZ3986" s="331"/>
      <c r="CA3986" s="462"/>
      <c r="CB3986" s="319"/>
      <c r="CC3986" s="319"/>
      <c r="CD3986" s="319"/>
      <c r="CE3986" s="319"/>
      <c r="CF3986" s="319"/>
      <c r="CG3986" s="319"/>
      <c r="CH3986" s="318"/>
      <c r="CI3986" s="319"/>
      <c r="CJ3986" s="319"/>
      <c r="CK3986" s="342"/>
      <c r="CL3986" s="333"/>
      <c r="CM3986" s="1079"/>
      <c r="CN3986" s="1005"/>
      <c r="CO3986" s="1005"/>
      <c r="CP3986" s="1005"/>
    </row>
    <row r="3987">
      <c r="A3987" s="1257"/>
      <c r="B3987" s="1113"/>
      <c r="C3987" s="1107"/>
      <c r="D3987" s="103"/>
      <c r="E3987" s="1137"/>
      <c r="F3987" s="112"/>
      <c r="G3987" s="1110"/>
      <c r="H3987" s="1138"/>
      <c r="I3987" s="1138"/>
      <c r="J3987" s="1139"/>
      <c r="K3987" s="1111"/>
      <c r="L3987" s="1112"/>
      <c r="M3987" s="1113"/>
      <c r="N3987" s="110"/>
      <c r="O3987" s="1140"/>
      <c r="P3987" s="1115"/>
      <c r="Q3987" s="1116"/>
      <c r="R3987" s="1141"/>
      <c r="S3987" s="1113"/>
      <c r="T3987" s="1143"/>
      <c r="U3987" s="1108"/>
      <c r="V3987" s="1108"/>
      <c r="W3987" s="1108"/>
      <c r="X3987" s="1108"/>
      <c r="Y3987" s="1108"/>
      <c r="Z3987" s="1114"/>
      <c r="AA3987" s="1114"/>
      <c r="AB3987" s="1114"/>
      <c r="AC3987" s="1117"/>
      <c r="AD3987" s="1115"/>
      <c r="AE3987" s="1115"/>
      <c r="AF3987" s="1115"/>
      <c r="AG3987" s="1115"/>
      <c r="AH3987" s="1115"/>
      <c r="AI3987" s="1115"/>
      <c r="AJ3987" s="1117"/>
      <c r="AK3987" s="1118"/>
      <c r="AL3987" s="1115"/>
      <c r="AM3987" s="1115"/>
      <c r="AN3987" s="1115"/>
      <c r="AO3987" s="1115"/>
      <c r="AP3987" s="1115"/>
      <c r="AQ3987" s="1115"/>
      <c r="AR3987" s="1115"/>
      <c r="AS3987" s="1117"/>
      <c r="AT3987" s="1075"/>
      <c r="AU3987" s="1193"/>
      <c r="AV3987" s="330"/>
      <c r="AW3987" s="331"/>
      <c r="AX3987" s="331"/>
      <c r="AY3987" s="331"/>
      <c r="AZ3987" s="331"/>
      <c r="BA3987" s="331"/>
      <c r="BB3987" s="331"/>
      <c r="BC3987" s="331"/>
      <c r="BD3987" s="331"/>
      <c r="BE3987" s="333"/>
      <c r="BF3987" s="330"/>
      <c r="BG3987" s="333"/>
      <c r="BH3987" s="1119"/>
      <c r="BI3987" s="319"/>
      <c r="BJ3987" s="319"/>
      <c r="BK3987" s="319"/>
      <c r="BL3987" s="319"/>
      <c r="BM3987" s="319"/>
      <c r="BN3987" s="319"/>
      <c r="BO3987" s="319"/>
      <c r="BP3987" s="953"/>
      <c r="BQ3987" s="319"/>
      <c r="BR3987" s="319"/>
      <c r="BS3987" s="330"/>
      <c r="BT3987" s="331"/>
      <c r="BU3987" s="920"/>
      <c r="BV3987" s="903"/>
      <c r="BW3987" s="908"/>
      <c r="BX3987" s="908"/>
      <c r="BY3987" s="331"/>
      <c r="BZ3987" s="331"/>
      <c r="CA3987" s="462"/>
      <c r="CB3987" s="319"/>
      <c r="CC3987" s="319"/>
      <c r="CD3987" s="319"/>
      <c r="CE3987" s="319"/>
      <c r="CF3987" s="319"/>
      <c r="CG3987" s="319"/>
      <c r="CH3987" s="318"/>
      <c r="CI3987" s="319"/>
      <c r="CJ3987" s="319"/>
      <c r="CK3987" s="342"/>
      <c r="CL3987" s="333"/>
      <c r="CM3987" s="1079"/>
      <c r="CN3987" s="1005"/>
      <c r="CO3987" s="1005"/>
      <c r="CP3987" s="1005"/>
    </row>
    <row r="3988">
      <c r="A3988" s="1257"/>
      <c r="B3988" s="1113"/>
      <c r="C3988" s="1107"/>
      <c r="D3988" s="103"/>
      <c r="E3988" s="1137"/>
      <c r="F3988" s="112"/>
      <c r="G3988" s="1110"/>
      <c r="H3988" s="1138"/>
      <c r="I3988" s="1138"/>
      <c r="J3988" s="1139"/>
      <c r="K3988" s="1111"/>
      <c r="L3988" s="1112"/>
      <c r="M3988" s="1113"/>
      <c r="N3988" s="110"/>
      <c r="O3988" s="1140"/>
      <c r="P3988" s="1115"/>
      <c r="Q3988" s="1116"/>
      <c r="R3988" s="1141"/>
      <c r="S3988" s="1113"/>
      <c r="T3988" s="1143"/>
      <c r="U3988" s="1108"/>
      <c r="V3988" s="1108"/>
      <c r="W3988" s="1108"/>
      <c r="X3988" s="1108"/>
      <c r="Y3988" s="1108"/>
      <c r="Z3988" s="1114"/>
      <c r="AA3988" s="1114"/>
      <c r="AB3988" s="1114"/>
      <c r="AC3988" s="1117"/>
      <c r="AD3988" s="1115"/>
      <c r="AE3988" s="1115"/>
      <c r="AF3988" s="1115"/>
      <c r="AG3988" s="1115"/>
      <c r="AH3988" s="1115"/>
      <c r="AI3988" s="1115"/>
      <c r="AJ3988" s="1117"/>
      <c r="AK3988" s="1118"/>
      <c r="AL3988" s="1115"/>
      <c r="AM3988" s="1115"/>
      <c r="AN3988" s="1115"/>
      <c r="AO3988" s="1115"/>
      <c r="AP3988" s="1115"/>
      <c r="AQ3988" s="1115"/>
      <c r="AR3988" s="1115"/>
      <c r="AS3988" s="1117"/>
      <c r="AT3988" s="1075"/>
      <c r="AU3988" s="1193"/>
      <c r="AV3988" s="330"/>
      <c r="AW3988" s="331"/>
      <c r="AX3988" s="331"/>
      <c r="AY3988" s="331"/>
      <c r="AZ3988" s="331"/>
      <c r="BA3988" s="331"/>
      <c r="BB3988" s="331"/>
      <c r="BC3988" s="331"/>
      <c r="BD3988" s="331"/>
      <c r="BE3988" s="333"/>
      <c r="BF3988" s="330"/>
      <c r="BG3988" s="333"/>
      <c r="BH3988" s="1119"/>
      <c r="BI3988" s="319"/>
      <c r="BJ3988" s="319"/>
      <c r="BK3988" s="319"/>
      <c r="BL3988" s="319"/>
      <c r="BM3988" s="319"/>
      <c r="BN3988" s="319"/>
      <c r="BO3988" s="319"/>
      <c r="BP3988" s="953"/>
      <c r="BQ3988" s="319"/>
      <c r="BR3988" s="319"/>
      <c r="BS3988" s="330"/>
      <c r="BT3988" s="331"/>
      <c r="BU3988" s="920"/>
      <c r="BV3988" s="903"/>
      <c r="BW3988" s="908"/>
      <c r="BX3988" s="908"/>
      <c r="BY3988" s="331"/>
      <c r="BZ3988" s="331"/>
      <c r="CA3988" s="462"/>
      <c r="CB3988" s="319"/>
      <c r="CC3988" s="319"/>
      <c r="CD3988" s="319"/>
      <c r="CE3988" s="319"/>
      <c r="CF3988" s="319"/>
      <c r="CG3988" s="319"/>
      <c r="CH3988" s="318"/>
      <c r="CI3988" s="319"/>
      <c r="CJ3988" s="319"/>
      <c r="CK3988" s="342"/>
      <c r="CL3988" s="333"/>
      <c r="CM3988" s="1079"/>
      <c r="CN3988" s="1005"/>
      <c r="CO3988" s="1005"/>
      <c r="CP3988" s="1005"/>
    </row>
    <row r="3989">
      <c r="A3989" s="1257"/>
      <c r="B3989" s="1113"/>
      <c r="C3989" s="1107"/>
      <c r="D3989" s="103"/>
      <c r="E3989" s="1137"/>
      <c r="F3989" s="112"/>
      <c r="G3989" s="1110"/>
      <c r="H3989" s="1138"/>
      <c r="I3989" s="1138"/>
      <c r="J3989" s="1139"/>
      <c r="K3989" s="1111"/>
      <c r="L3989" s="1112"/>
      <c r="M3989" s="1113"/>
      <c r="N3989" s="110"/>
      <c r="O3989" s="1140"/>
      <c r="P3989" s="1115"/>
      <c r="Q3989" s="1116"/>
      <c r="R3989" s="1141"/>
      <c r="S3989" s="1113"/>
      <c r="T3989" s="1143"/>
      <c r="U3989" s="1108"/>
      <c r="V3989" s="1108"/>
      <c r="W3989" s="1108"/>
      <c r="X3989" s="1108"/>
      <c r="Y3989" s="1108"/>
      <c r="Z3989" s="1114"/>
      <c r="AA3989" s="1114"/>
      <c r="AB3989" s="1114"/>
      <c r="AC3989" s="1117"/>
      <c r="AD3989" s="1115"/>
      <c r="AE3989" s="1115"/>
      <c r="AF3989" s="1115"/>
      <c r="AG3989" s="1115"/>
      <c r="AH3989" s="1115"/>
      <c r="AI3989" s="1115"/>
      <c r="AJ3989" s="1117"/>
      <c r="AK3989" s="1118"/>
      <c r="AL3989" s="1115"/>
      <c r="AM3989" s="1115"/>
      <c r="AN3989" s="1115"/>
      <c r="AO3989" s="1115"/>
      <c r="AP3989" s="1115"/>
      <c r="AQ3989" s="1115"/>
      <c r="AR3989" s="1115"/>
      <c r="AS3989" s="1117"/>
      <c r="AT3989" s="1075"/>
      <c r="AU3989" s="1193"/>
      <c r="AV3989" s="330"/>
      <c r="AW3989" s="331"/>
      <c r="AX3989" s="331"/>
      <c r="AY3989" s="331"/>
      <c r="AZ3989" s="331"/>
      <c r="BA3989" s="331"/>
      <c r="BB3989" s="331"/>
      <c r="BC3989" s="331"/>
      <c r="BD3989" s="331"/>
      <c r="BE3989" s="333"/>
      <c r="BF3989" s="330"/>
      <c r="BG3989" s="333"/>
      <c r="BH3989" s="1119"/>
      <c r="BI3989" s="319"/>
      <c r="BJ3989" s="319"/>
      <c r="BK3989" s="319"/>
      <c r="BL3989" s="319"/>
      <c r="BM3989" s="319"/>
      <c r="BN3989" s="319"/>
      <c r="BO3989" s="319"/>
      <c r="BP3989" s="953"/>
      <c r="BQ3989" s="319"/>
      <c r="BR3989" s="319"/>
      <c r="BS3989" s="330"/>
      <c r="BT3989" s="331"/>
      <c r="BU3989" s="920"/>
      <c r="BV3989" s="903"/>
      <c r="BW3989" s="908"/>
      <c r="BX3989" s="908"/>
      <c r="BY3989" s="331"/>
      <c r="BZ3989" s="331"/>
      <c r="CA3989" s="462"/>
      <c r="CB3989" s="319"/>
      <c r="CC3989" s="319"/>
      <c r="CD3989" s="319"/>
      <c r="CE3989" s="319"/>
      <c r="CF3989" s="319"/>
      <c r="CG3989" s="319"/>
      <c r="CH3989" s="318"/>
      <c r="CI3989" s="319"/>
      <c r="CJ3989" s="319"/>
      <c r="CK3989" s="342"/>
      <c r="CL3989" s="333"/>
      <c r="CM3989" s="1079"/>
      <c r="CN3989" s="1005"/>
      <c r="CO3989" s="1005"/>
      <c r="CP3989" s="1005"/>
    </row>
    <row r="3990">
      <c r="A3990" s="1257"/>
      <c r="B3990" s="1113"/>
      <c r="C3990" s="1107"/>
      <c r="D3990" s="103"/>
      <c r="E3990" s="1137"/>
      <c r="F3990" s="112"/>
      <c r="G3990" s="1110"/>
      <c r="H3990" s="1138"/>
      <c r="I3990" s="1138"/>
      <c r="J3990" s="1139"/>
      <c r="K3990" s="1111"/>
      <c r="L3990" s="1112"/>
      <c r="M3990" s="1113"/>
      <c r="N3990" s="110"/>
      <c r="O3990" s="1140"/>
      <c r="P3990" s="1115"/>
      <c r="Q3990" s="1116"/>
      <c r="R3990" s="1141"/>
      <c r="S3990" s="1113"/>
      <c r="T3990" s="1143"/>
      <c r="U3990" s="1108"/>
      <c r="V3990" s="1108"/>
      <c r="W3990" s="1108"/>
      <c r="X3990" s="1108"/>
      <c r="Y3990" s="1108"/>
      <c r="Z3990" s="1114"/>
      <c r="AA3990" s="1114"/>
      <c r="AB3990" s="1114"/>
      <c r="AC3990" s="1117"/>
      <c r="AD3990" s="1115"/>
      <c r="AE3990" s="1115"/>
      <c r="AF3990" s="1115"/>
      <c r="AG3990" s="1115"/>
      <c r="AH3990" s="1115"/>
      <c r="AI3990" s="1115"/>
      <c r="AJ3990" s="1117"/>
      <c r="AK3990" s="1118"/>
      <c r="AL3990" s="1115"/>
      <c r="AM3990" s="1115"/>
      <c r="AN3990" s="1115"/>
      <c r="AO3990" s="1115"/>
      <c r="AP3990" s="1115"/>
      <c r="AQ3990" s="1115"/>
      <c r="AR3990" s="1115"/>
      <c r="AS3990" s="1117"/>
      <c r="AT3990" s="1075"/>
      <c r="AU3990" s="1193"/>
      <c r="AV3990" s="330"/>
      <c r="AW3990" s="331"/>
      <c r="AX3990" s="331"/>
      <c r="AY3990" s="331"/>
      <c r="AZ3990" s="331"/>
      <c r="BA3990" s="331"/>
      <c r="BB3990" s="331"/>
      <c r="BC3990" s="331"/>
      <c r="BD3990" s="331"/>
      <c r="BE3990" s="333"/>
      <c r="BF3990" s="330"/>
      <c r="BG3990" s="333"/>
      <c r="BH3990" s="1119"/>
      <c r="BI3990" s="319"/>
      <c r="BJ3990" s="319"/>
      <c r="BK3990" s="319"/>
      <c r="BL3990" s="319"/>
      <c r="BM3990" s="319"/>
      <c r="BN3990" s="319"/>
      <c r="BO3990" s="319"/>
      <c r="BP3990" s="953"/>
      <c r="BQ3990" s="319"/>
      <c r="BR3990" s="319"/>
      <c r="BS3990" s="330"/>
      <c r="BT3990" s="331"/>
      <c r="BU3990" s="920"/>
      <c r="BV3990" s="903"/>
      <c r="BW3990" s="908"/>
      <c r="BX3990" s="908"/>
      <c r="BY3990" s="331"/>
      <c r="BZ3990" s="331"/>
      <c r="CA3990" s="462"/>
      <c r="CB3990" s="319"/>
      <c r="CC3990" s="319"/>
      <c r="CD3990" s="319"/>
      <c r="CE3990" s="319"/>
      <c r="CF3990" s="319"/>
      <c r="CG3990" s="319"/>
      <c r="CH3990" s="318"/>
      <c r="CI3990" s="319"/>
      <c r="CJ3990" s="319"/>
      <c r="CK3990" s="342"/>
      <c r="CL3990" s="333"/>
      <c r="CM3990" s="1079"/>
      <c r="CN3990" s="1005"/>
      <c r="CO3990" s="1005"/>
      <c r="CP3990" s="1005"/>
    </row>
    <row r="3991">
      <c r="A3991" s="1257"/>
      <c r="B3991" s="1113"/>
      <c r="C3991" s="1107"/>
      <c r="D3991" s="103"/>
      <c r="E3991" s="1137"/>
      <c r="F3991" s="112"/>
      <c r="G3991" s="1110"/>
      <c r="H3991" s="1138"/>
      <c r="I3991" s="1138"/>
      <c r="J3991" s="1139"/>
      <c r="K3991" s="1111"/>
      <c r="L3991" s="1112"/>
      <c r="M3991" s="1113"/>
      <c r="N3991" s="110"/>
      <c r="O3991" s="1140"/>
      <c r="P3991" s="1115"/>
      <c r="Q3991" s="1116"/>
      <c r="R3991" s="1141"/>
      <c r="S3991" s="1113"/>
      <c r="T3991" s="1143"/>
      <c r="U3991" s="1108"/>
      <c r="V3991" s="1108"/>
      <c r="W3991" s="1108"/>
      <c r="X3991" s="1108"/>
      <c r="Y3991" s="1108"/>
      <c r="Z3991" s="1114"/>
      <c r="AA3991" s="1114"/>
      <c r="AB3991" s="1114"/>
      <c r="AC3991" s="1117"/>
      <c r="AD3991" s="1115"/>
      <c r="AE3991" s="1115"/>
      <c r="AF3991" s="1115"/>
      <c r="AG3991" s="1115"/>
      <c r="AH3991" s="1115"/>
      <c r="AI3991" s="1115"/>
      <c r="AJ3991" s="1117"/>
      <c r="AK3991" s="1118"/>
      <c r="AL3991" s="1115"/>
      <c r="AM3991" s="1115"/>
      <c r="AN3991" s="1115"/>
      <c r="AO3991" s="1115"/>
      <c r="AP3991" s="1115"/>
      <c r="AQ3991" s="1115"/>
      <c r="AR3991" s="1115"/>
      <c r="AS3991" s="1117"/>
      <c r="AT3991" s="1075"/>
      <c r="AU3991" s="1193"/>
      <c r="AV3991" s="330"/>
      <c r="AW3991" s="331"/>
      <c r="AX3991" s="331"/>
      <c r="AY3991" s="331"/>
      <c r="AZ3991" s="331"/>
      <c r="BA3991" s="331"/>
      <c r="BB3991" s="331"/>
      <c r="BC3991" s="331"/>
      <c r="BD3991" s="331"/>
      <c r="BE3991" s="333"/>
      <c r="BF3991" s="330"/>
      <c r="BG3991" s="333"/>
      <c r="BH3991" s="1119"/>
      <c r="BI3991" s="319"/>
      <c r="BJ3991" s="319"/>
      <c r="BK3991" s="319"/>
      <c r="BL3991" s="319"/>
      <c r="BM3991" s="319"/>
      <c r="BN3991" s="319"/>
      <c r="BO3991" s="319"/>
      <c r="BP3991" s="953"/>
      <c r="BQ3991" s="319"/>
      <c r="BR3991" s="319"/>
      <c r="BS3991" s="330"/>
      <c r="BT3991" s="331"/>
      <c r="BU3991" s="920"/>
      <c r="BV3991" s="903"/>
      <c r="BW3991" s="908"/>
      <c r="BX3991" s="908"/>
      <c r="BY3991" s="331"/>
      <c r="BZ3991" s="331"/>
      <c r="CA3991" s="462"/>
      <c r="CB3991" s="319"/>
      <c r="CC3991" s="319"/>
      <c r="CD3991" s="319"/>
      <c r="CE3991" s="319"/>
      <c r="CF3991" s="319"/>
      <c r="CG3991" s="319"/>
      <c r="CH3991" s="318"/>
      <c r="CI3991" s="319"/>
      <c r="CJ3991" s="319"/>
      <c r="CK3991" s="342"/>
      <c r="CL3991" s="333"/>
      <c r="CM3991" s="1079"/>
      <c r="CN3991" s="1005"/>
      <c r="CO3991" s="1005"/>
      <c r="CP3991" s="1005"/>
    </row>
    <row r="3992">
      <c r="A3992" s="1257"/>
      <c r="B3992" s="1113"/>
      <c r="C3992" s="1107"/>
      <c r="D3992" s="103"/>
      <c r="E3992" s="1137"/>
      <c r="F3992" s="112"/>
      <c r="G3992" s="1110"/>
      <c r="H3992" s="1138"/>
      <c r="I3992" s="1138"/>
      <c r="J3992" s="1139"/>
      <c r="K3992" s="1111"/>
      <c r="L3992" s="1112"/>
      <c r="M3992" s="1113"/>
      <c r="N3992" s="110"/>
      <c r="O3992" s="1140"/>
      <c r="P3992" s="1115"/>
      <c r="Q3992" s="1116"/>
      <c r="R3992" s="1141"/>
      <c r="S3992" s="1113"/>
      <c r="T3992" s="1143"/>
      <c r="U3992" s="1108"/>
      <c r="V3992" s="1108"/>
      <c r="W3992" s="1108"/>
      <c r="X3992" s="1108"/>
      <c r="Y3992" s="1108"/>
      <c r="Z3992" s="1114"/>
      <c r="AA3992" s="1114"/>
      <c r="AB3992" s="1114"/>
      <c r="AC3992" s="1117"/>
      <c r="AD3992" s="1115"/>
      <c r="AE3992" s="1115"/>
      <c r="AF3992" s="1115"/>
      <c r="AG3992" s="1115"/>
      <c r="AH3992" s="1115"/>
      <c r="AI3992" s="1115"/>
      <c r="AJ3992" s="1117"/>
      <c r="AK3992" s="1118"/>
      <c r="AL3992" s="1115"/>
      <c r="AM3992" s="1115"/>
      <c r="AN3992" s="1115"/>
      <c r="AO3992" s="1115"/>
      <c r="AP3992" s="1115"/>
      <c r="AQ3992" s="1115"/>
      <c r="AR3992" s="1115"/>
      <c r="AS3992" s="1117"/>
      <c r="AT3992" s="1075"/>
      <c r="AU3992" s="1193"/>
      <c r="AV3992" s="330"/>
      <c r="AW3992" s="331"/>
      <c r="AX3992" s="331"/>
      <c r="AY3992" s="331"/>
      <c r="AZ3992" s="331"/>
      <c r="BA3992" s="331"/>
      <c r="BB3992" s="331"/>
      <c r="BC3992" s="331"/>
      <c r="BD3992" s="331"/>
      <c r="BE3992" s="333"/>
      <c r="BF3992" s="330"/>
      <c r="BG3992" s="333"/>
      <c r="BH3992" s="1119"/>
      <c r="BI3992" s="319"/>
      <c r="BJ3992" s="319"/>
      <c r="BK3992" s="319"/>
      <c r="BL3992" s="319"/>
      <c r="BM3992" s="319"/>
      <c r="BN3992" s="319"/>
      <c r="BO3992" s="319"/>
      <c r="BP3992" s="953"/>
      <c r="BQ3992" s="319"/>
      <c r="BR3992" s="319"/>
      <c r="BS3992" s="330"/>
      <c r="BT3992" s="331"/>
      <c r="BU3992" s="920"/>
      <c r="BV3992" s="903"/>
      <c r="BW3992" s="908"/>
      <c r="BX3992" s="908"/>
      <c r="BY3992" s="331"/>
      <c r="BZ3992" s="331"/>
      <c r="CA3992" s="462"/>
      <c r="CB3992" s="319"/>
      <c r="CC3992" s="319"/>
      <c r="CD3992" s="319"/>
      <c r="CE3992" s="319"/>
      <c r="CF3992" s="319"/>
      <c r="CG3992" s="319"/>
      <c r="CH3992" s="318"/>
      <c r="CI3992" s="319"/>
      <c r="CJ3992" s="319"/>
      <c r="CK3992" s="342"/>
      <c r="CL3992" s="333"/>
      <c r="CM3992" s="1079"/>
      <c r="CN3992" s="1005"/>
      <c r="CO3992" s="1005"/>
      <c r="CP3992" s="1005"/>
    </row>
    <row r="3993">
      <c r="A3993" s="1257"/>
      <c r="B3993" s="1113"/>
      <c r="C3993" s="1107"/>
      <c r="D3993" s="103"/>
      <c r="E3993" s="1137"/>
      <c r="F3993" s="112"/>
      <c r="G3993" s="1110"/>
      <c r="H3993" s="1138"/>
      <c r="I3993" s="1138"/>
      <c r="J3993" s="1139"/>
      <c r="K3993" s="1111"/>
      <c r="L3993" s="1112"/>
      <c r="M3993" s="1113"/>
      <c r="N3993" s="110"/>
      <c r="O3993" s="1140"/>
      <c r="P3993" s="1115"/>
      <c r="Q3993" s="1116"/>
      <c r="R3993" s="1141"/>
      <c r="S3993" s="1113"/>
      <c r="T3993" s="1143"/>
      <c r="U3993" s="1108"/>
      <c r="V3993" s="1108"/>
      <c r="W3993" s="1108"/>
      <c r="X3993" s="1108"/>
      <c r="Y3993" s="1108"/>
      <c r="Z3993" s="1114"/>
      <c r="AA3993" s="1114"/>
      <c r="AB3993" s="1114"/>
      <c r="AC3993" s="1117"/>
      <c r="AD3993" s="1115"/>
      <c r="AE3993" s="1115"/>
      <c r="AF3993" s="1115"/>
      <c r="AG3993" s="1115"/>
      <c r="AH3993" s="1115"/>
      <c r="AI3993" s="1115"/>
      <c r="AJ3993" s="1117"/>
      <c r="AK3993" s="1118"/>
      <c r="AL3993" s="1115"/>
      <c r="AM3993" s="1115"/>
      <c r="AN3993" s="1115"/>
      <c r="AO3993" s="1115"/>
      <c r="AP3993" s="1115"/>
      <c r="AQ3993" s="1115"/>
      <c r="AR3993" s="1115"/>
      <c r="AS3993" s="1117"/>
      <c r="AT3993" s="1075"/>
      <c r="AU3993" s="1193"/>
      <c r="AV3993" s="330"/>
      <c r="AW3993" s="331"/>
      <c r="AX3993" s="331"/>
      <c r="AY3993" s="331"/>
      <c r="AZ3993" s="331"/>
      <c r="BA3993" s="331"/>
      <c r="BB3993" s="331"/>
      <c r="BC3993" s="331"/>
      <c r="BD3993" s="331"/>
      <c r="BE3993" s="333"/>
      <c r="BF3993" s="330"/>
      <c r="BG3993" s="333"/>
      <c r="BH3993" s="1119"/>
      <c r="BI3993" s="319"/>
      <c r="BJ3993" s="319"/>
      <c r="BK3993" s="319"/>
      <c r="BL3993" s="319"/>
      <c r="BM3993" s="319"/>
      <c r="BN3993" s="319"/>
      <c r="BO3993" s="319"/>
      <c r="BP3993" s="953"/>
      <c r="BQ3993" s="319"/>
      <c r="BR3993" s="319"/>
      <c r="BS3993" s="330"/>
      <c r="BT3993" s="331"/>
      <c r="BU3993" s="920"/>
      <c r="BV3993" s="903"/>
      <c r="BW3993" s="908"/>
      <c r="BX3993" s="908"/>
      <c r="BY3993" s="331"/>
      <c r="BZ3993" s="331"/>
      <c r="CA3993" s="462"/>
      <c r="CB3993" s="319"/>
      <c r="CC3993" s="319"/>
      <c r="CD3993" s="319"/>
      <c r="CE3993" s="319"/>
      <c r="CF3993" s="319"/>
      <c r="CG3993" s="319"/>
      <c r="CH3993" s="318"/>
      <c r="CI3993" s="319"/>
      <c r="CJ3993" s="319"/>
      <c r="CK3993" s="342"/>
      <c r="CL3993" s="333"/>
      <c r="CM3993" s="1079"/>
      <c r="CN3993" s="1005"/>
      <c r="CO3993" s="1005"/>
      <c r="CP3993" s="1005"/>
    </row>
    <row r="3994">
      <c r="A3994" s="1257"/>
      <c r="B3994" s="1113"/>
      <c r="C3994" s="1107"/>
      <c r="D3994" s="103"/>
      <c r="E3994" s="1137"/>
      <c r="F3994" s="112"/>
      <c r="G3994" s="1110"/>
      <c r="H3994" s="1138"/>
      <c r="I3994" s="1138"/>
      <c r="J3994" s="1139"/>
      <c r="K3994" s="1111"/>
      <c r="L3994" s="1112"/>
      <c r="M3994" s="1113"/>
      <c r="N3994" s="110"/>
      <c r="O3994" s="1140"/>
      <c r="P3994" s="1115"/>
      <c r="Q3994" s="1116"/>
      <c r="R3994" s="1141"/>
      <c r="S3994" s="1113"/>
      <c r="T3994" s="1143"/>
      <c r="U3994" s="1108"/>
      <c r="V3994" s="1108"/>
      <c r="W3994" s="1108"/>
      <c r="X3994" s="1108"/>
      <c r="Y3994" s="1108"/>
      <c r="Z3994" s="1114"/>
      <c r="AA3994" s="1114"/>
      <c r="AB3994" s="1114"/>
      <c r="AC3994" s="1117"/>
      <c r="AD3994" s="1115"/>
      <c r="AE3994" s="1115"/>
      <c r="AF3994" s="1115"/>
      <c r="AG3994" s="1115"/>
      <c r="AH3994" s="1115"/>
      <c r="AI3994" s="1115"/>
      <c r="AJ3994" s="1117"/>
      <c r="AK3994" s="1118"/>
      <c r="AL3994" s="1115"/>
      <c r="AM3994" s="1115"/>
      <c r="AN3994" s="1115"/>
      <c r="AO3994" s="1115"/>
      <c r="AP3994" s="1115"/>
      <c r="AQ3994" s="1115"/>
      <c r="AR3994" s="1115"/>
      <c r="AS3994" s="1117"/>
      <c r="AT3994" s="1075"/>
      <c r="AU3994" s="1193"/>
      <c r="AV3994" s="330"/>
      <c r="AW3994" s="331"/>
      <c r="AX3994" s="331"/>
      <c r="AY3994" s="331"/>
      <c r="AZ3994" s="331"/>
      <c r="BA3994" s="331"/>
      <c r="BB3994" s="331"/>
      <c r="BC3994" s="331"/>
      <c r="BD3994" s="331"/>
      <c r="BE3994" s="333"/>
      <c r="BF3994" s="330"/>
      <c r="BG3994" s="333"/>
      <c r="BH3994" s="1119"/>
      <c r="BI3994" s="319"/>
      <c r="BJ3994" s="319"/>
      <c r="BK3994" s="319"/>
      <c r="BL3994" s="319"/>
      <c r="BM3994" s="319"/>
      <c r="BN3994" s="319"/>
      <c r="BO3994" s="319"/>
      <c r="BP3994" s="953"/>
      <c r="BQ3994" s="319"/>
      <c r="BR3994" s="319"/>
      <c r="BS3994" s="330"/>
      <c r="BT3994" s="331"/>
      <c r="BU3994" s="920"/>
      <c r="BV3994" s="903"/>
      <c r="BW3994" s="908"/>
      <c r="BX3994" s="908"/>
      <c r="BY3994" s="331"/>
      <c r="BZ3994" s="331"/>
      <c r="CA3994" s="462"/>
      <c r="CB3994" s="319"/>
      <c r="CC3994" s="319"/>
      <c r="CD3994" s="319"/>
      <c r="CE3994" s="319"/>
      <c r="CF3994" s="319"/>
      <c r="CG3994" s="319"/>
      <c r="CH3994" s="318"/>
      <c r="CI3994" s="319"/>
      <c r="CJ3994" s="319"/>
      <c r="CK3994" s="342"/>
      <c r="CL3994" s="333"/>
      <c r="CM3994" s="1079"/>
      <c r="CN3994" s="1005"/>
      <c r="CO3994" s="1005"/>
      <c r="CP3994" s="1005"/>
    </row>
    <row r="3995">
      <c r="A3995" s="1257"/>
      <c r="B3995" s="1113"/>
      <c r="C3995" s="1107"/>
      <c r="D3995" s="103"/>
      <c r="E3995" s="1137"/>
      <c r="F3995" s="112"/>
      <c r="G3995" s="1110"/>
      <c r="H3995" s="1138"/>
      <c r="I3995" s="1138"/>
      <c r="J3995" s="1139"/>
      <c r="K3995" s="1111"/>
      <c r="L3995" s="1112"/>
      <c r="M3995" s="1113"/>
      <c r="N3995" s="110"/>
      <c r="O3995" s="1140"/>
      <c r="P3995" s="1115"/>
      <c r="Q3995" s="1116"/>
      <c r="R3995" s="1141"/>
      <c r="S3995" s="1113"/>
      <c r="T3995" s="1143"/>
      <c r="U3995" s="1108"/>
      <c r="V3995" s="1108"/>
      <c r="W3995" s="1108"/>
      <c r="X3995" s="1108"/>
      <c r="Y3995" s="1108"/>
      <c r="Z3995" s="1114"/>
      <c r="AA3995" s="1114"/>
      <c r="AB3995" s="1114"/>
      <c r="AC3995" s="1117"/>
      <c r="AD3995" s="1115"/>
      <c r="AE3995" s="1115"/>
      <c r="AF3995" s="1115"/>
      <c r="AG3995" s="1115"/>
      <c r="AH3995" s="1115"/>
      <c r="AI3995" s="1115"/>
      <c r="AJ3995" s="1117"/>
      <c r="AK3995" s="1118"/>
      <c r="AL3995" s="1115"/>
      <c r="AM3995" s="1115"/>
      <c r="AN3995" s="1115"/>
      <c r="AO3995" s="1115"/>
      <c r="AP3995" s="1115"/>
      <c r="AQ3995" s="1115"/>
      <c r="AR3995" s="1115"/>
      <c r="AS3995" s="1117"/>
      <c r="AT3995" s="1075"/>
      <c r="AU3995" s="1193"/>
      <c r="AV3995" s="330"/>
      <c r="AW3995" s="331"/>
      <c r="AX3995" s="331"/>
      <c r="AY3995" s="331"/>
      <c r="AZ3995" s="331"/>
      <c r="BA3995" s="331"/>
      <c r="BB3995" s="331"/>
      <c r="BC3995" s="331"/>
      <c r="BD3995" s="331"/>
      <c r="BE3995" s="333"/>
      <c r="BF3995" s="330"/>
      <c r="BG3995" s="333"/>
      <c r="BH3995" s="1119"/>
      <c r="BI3995" s="319"/>
      <c r="BJ3995" s="319"/>
      <c r="BK3995" s="319"/>
      <c r="BL3995" s="319"/>
      <c r="BM3995" s="319"/>
      <c r="BN3995" s="319"/>
      <c r="BO3995" s="319"/>
      <c r="BP3995" s="953"/>
      <c r="BQ3995" s="319"/>
      <c r="BR3995" s="319"/>
      <c r="BS3995" s="330"/>
      <c r="BT3995" s="331"/>
      <c r="BU3995" s="920"/>
      <c r="BV3995" s="903"/>
      <c r="BW3995" s="908"/>
      <c r="BX3995" s="908"/>
      <c r="BY3995" s="331"/>
      <c r="BZ3995" s="331"/>
      <c r="CA3995" s="462"/>
      <c r="CB3995" s="319"/>
      <c r="CC3995" s="319"/>
      <c r="CD3995" s="319"/>
      <c r="CE3995" s="319"/>
      <c r="CF3995" s="319"/>
      <c r="CG3995" s="319"/>
      <c r="CH3995" s="318"/>
      <c r="CI3995" s="319"/>
      <c r="CJ3995" s="319"/>
      <c r="CK3995" s="342"/>
      <c r="CL3995" s="333"/>
      <c r="CM3995" s="1079"/>
      <c r="CN3995" s="1005"/>
      <c r="CO3995" s="1005"/>
      <c r="CP3995" s="1005"/>
    </row>
    <row r="3996">
      <c r="A3996" s="1257"/>
      <c r="B3996" s="1113"/>
      <c r="C3996" s="1107"/>
      <c r="D3996" s="103"/>
      <c r="E3996" s="1137"/>
      <c r="F3996" s="112"/>
      <c r="G3996" s="1110"/>
      <c r="H3996" s="1138"/>
      <c r="I3996" s="1138"/>
      <c r="J3996" s="1139"/>
      <c r="K3996" s="1111"/>
      <c r="L3996" s="1112"/>
      <c r="M3996" s="1113"/>
      <c r="N3996" s="110"/>
      <c r="O3996" s="1140"/>
      <c r="P3996" s="1115"/>
      <c r="Q3996" s="1116"/>
      <c r="R3996" s="1141"/>
      <c r="S3996" s="1113"/>
      <c r="T3996" s="1143"/>
      <c r="U3996" s="1108"/>
      <c r="V3996" s="1108"/>
      <c r="W3996" s="1108"/>
      <c r="X3996" s="1108"/>
      <c r="Y3996" s="1108"/>
      <c r="Z3996" s="1114"/>
      <c r="AA3996" s="1114"/>
      <c r="AB3996" s="1114"/>
      <c r="AC3996" s="1117"/>
      <c r="AD3996" s="1115"/>
      <c r="AE3996" s="1115"/>
      <c r="AF3996" s="1115"/>
      <c r="AG3996" s="1115"/>
      <c r="AH3996" s="1115"/>
      <c r="AI3996" s="1115"/>
      <c r="AJ3996" s="1117"/>
      <c r="AK3996" s="1118"/>
      <c r="AL3996" s="1115"/>
      <c r="AM3996" s="1115"/>
      <c r="AN3996" s="1115"/>
      <c r="AO3996" s="1115"/>
      <c r="AP3996" s="1115"/>
      <c r="AQ3996" s="1115"/>
      <c r="AR3996" s="1115"/>
      <c r="AS3996" s="1117"/>
      <c r="AT3996" s="1075"/>
      <c r="AU3996" s="1193"/>
      <c r="AV3996" s="330"/>
      <c r="AW3996" s="331"/>
      <c r="AX3996" s="331"/>
      <c r="AY3996" s="331"/>
      <c r="AZ3996" s="331"/>
      <c r="BA3996" s="331"/>
      <c r="BB3996" s="331"/>
      <c r="BC3996" s="331"/>
      <c r="BD3996" s="331"/>
      <c r="BE3996" s="333"/>
      <c r="BF3996" s="330"/>
      <c r="BG3996" s="333"/>
      <c r="BH3996" s="1119"/>
      <c r="BI3996" s="319"/>
      <c r="BJ3996" s="319"/>
      <c r="BK3996" s="319"/>
      <c r="BL3996" s="319"/>
      <c r="BM3996" s="319"/>
      <c r="BN3996" s="319"/>
      <c r="BO3996" s="319"/>
      <c r="BP3996" s="953"/>
      <c r="BQ3996" s="319"/>
      <c r="BR3996" s="319"/>
      <c r="BS3996" s="330"/>
      <c r="BT3996" s="331"/>
      <c r="BU3996" s="920"/>
      <c r="BV3996" s="903"/>
      <c r="BW3996" s="908"/>
      <c r="BX3996" s="908"/>
      <c r="BY3996" s="331"/>
      <c r="BZ3996" s="331"/>
      <c r="CA3996" s="462"/>
      <c r="CB3996" s="319"/>
      <c r="CC3996" s="319"/>
      <c r="CD3996" s="319"/>
      <c r="CE3996" s="319"/>
      <c r="CF3996" s="319"/>
      <c r="CG3996" s="319"/>
      <c r="CH3996" s="318"/>
      <c r="CI3996" s="319"/>
      <c r="CJ3996" s="319"/>
      <c r="CK3996" s="342"/>
      <c r="CL3996" s="333"/>
      <c r="CM3996" s="1079"/>
      <c r="CN3996" s="1005"/>
      <c r="CO3996" s="1005"/>
      <c r="CP3996" s="1005"/>
    </row>
    <row r="3997">
      <c r="A3997" s="1257"/>
      <c r="B3997" s="1113"/>
      <c r="C3997" s="1107"/>
      <c r="D3997" s="103"/>
      <c r="E3997" s="1137"/>
      <c r="F3997" s="112"/>
      <c r="G3997" s="1110"/>
      <c r="H3997" s="1138"/>
      <c r="I3997" s="1138"/>
      <c r="J3997" s="1139"/>
      <c r="K3997" s="1111"/>
      <c r="L3997" s="1112"/>
      <c r="M3997" s="1113"/>
      <c r="N3997" s="110"/>
      <c r="O3997" s="1140"/>
      <c r="P3997" s="1115"/>
      <c r="Q3997" s="1116"/>
      <c r="R3997" s="1141"/>
      <c r="S3997" s="1113"/>
      <c r="T3997" s="1143"/>
      <c r="U3997" s="1108"/>
      <c r="V3997" s="1108"/>
      <c r="W3997" s="1108"/>
      <c r="X3997" s="1108"/>
      <c r="Y3997" s="1108"/>
      <c r="Z3997" s="1114"/>
      <c r="AA3997" s="1114"/>
      <c r="AB3997" s="1114"/>
      <c r="AC3997" s="1117"/>
      <c r="AD3997" s="1115"/>
      <c r="AE3997" s="1115"/>
      <c r="AF3997" s="1115"/>
      <c r="AG3997" s="1115"/>
      <c r="AH3997" s="1115"/>
      <c r="AI3997" s="1115"/>
      <c r="AJ3997" s="1117"/>
      <c r="AK3997" s="1118"/>
      <c r="AL3997" s="1115"/>
      <c r="AM3997" s="1115"/>
      <c r="AN3997" s="1115"/>
      <c r="AO3997" s="1115"/>
      <c r="AP3997" s="1115"/>
      <c r="AQ3997" s="1115"/>
      <c r="AR3997" s="1115"/>
      <c r="AS3997" s="1117"/>
      <c r="AT3997" s="1075"/>
      <c r="AU3997" s="1193"/>
      <c r="AV3997" s="330"/>
      <c r="AW3997" s="331"/>
      <c r="AX3997" s="331"/>
      <c r="AY3997" s="331"/>
      <c r="AZ3997" s="331"/>
      <c r="BA3997" s="331"/>
      <c r="BB3997" s="331"/>
      <c r="BC3997" s="331"/>
      <c r="BD3997" s="331"/>
      <c r="BE3997" s="333"/>
      <c r="BF3997" s="330"/>
      <c r="BG3997" s="333"/>
      <c r="BH3997" s="1119"/>
      <c r="BI3997" s="319"/>
      <c r="BJ3997" s="319"/>
      <c r="BK3997" s="319"/>
      <c r="BL3997" s="319"/>
      <c r="BM3997" s="319"/>
      <c r="BN3997" s="319"/>
      <c r="BO3997" s="319"/>
      <c r="BP3997" s="953"/>
      <c r="BQ3997" s="319"/>
      <c r="BR3997" s="319"/>
      <c r="BS3997" s="330"/>
      <c r="BT3997" s="331"/>
      <c r="BU3997" s="920"/>
      <c r="BV3997" s="903"/>
      <c r="BW3997" s="908"/>
      <c r="BX3997" s="908"/>
      <c r="BY3997" s="331"/>
      <c r="BZ3997" s="331"/>
      <c r="CA3997" s="462"/>
      <c r="CB3997" s="319"/>
      <c r="CC3997" s="319"/>
      <c r="CD3997" s="319"/>
      <c r="CE3997" s="319"/>
      <c r="CF3997" s="319"/>
      <c r="CG3997" s="319"/>
      <c r="CH3997" s="318"/>
      <c r="CI3997" s="319"/>
      <c r="CJ3997" s="319"/>
      <c r="CK3997" s="342"/>
      <c r="CL3997" s="333"/>
      <c r="CM3997" s="1079"/>
      <c r="CN3997" s="1005"/>
      <c r="CO3997" s="1005"/>
      <c r="CP3997" s="1005"/>
    </row>
    <row r="3998">
      <c r="A3998" s="1257"/>
      <c r="B3998" s="1113"/>
      <c r="C3998" s="1107"/>
      <c r="D3998" s="103"/>
      <c r="E3998" s="1137"/>
      <c r="F3998" s="112"/>
      <c r="G3998" s="1110"/>
      <c r="H3998" s="1138"/>
      <c r="I3998" s="1138"/>
      <c r="J3998" s="1139"/>
      <c r="K3998" s="1111"/>
      <c r="L3998" s="1112"/>
      <c r="M3998" s="1113"/>
      <c r="N3998" s="110"/>
      <c r="O3998" s="1140"/>
      <c r="P3998" s="1115"/>
      <c r="Q3998" s="1116"/>
      <c r="R3998" s="1141"/>
      <c r="S3998" s="1113"/>
      <c r="T3998" s="1143"/>
      <c r="U3998" s="1108"/>
      <c r="V3998" s="1108"/>
      <c r="W3998" s="1108"/>
      <c r="X3998" s="1108"/>
      <c r="Y3998" s="1108"/>
      <c r="Z3998" s="1114"/>
      <c r="AA3998" s="1114"/>
      <c r="AB3998" s="1114"/>
      <c r="AC3998" s="1117"/>
      <c r="AD3998" s="1115"/>
      <c r="AE3998" s="1115"/>
      <c r="AF3998" s="1115"/>
      <c r="AG3998" s="1115"/>
      <c r="AH3998" s="1115"/>
      <c r="AI3998" s="1115"/>
      <c r="AJ3998" s="1117"/>
      <c r="AK3998" s="1118"/>
      <c r="AL3998" s="1115"/>
      <c r="AM3998" s="1115"/>
      <c r="AN3998" s="1115"/>
      <c r="AO3998" s="1115"/>
      <c r="AP3998" s="1115"/>
      <c r="AQ3998" s="1115"/>
      <c r="AR3998" s="1115"/>
      <c r="AS3998" s="1117"/>
      <c r="AT3998" s="1075"/>
      <c r="AU3998" s="1193"/>
      <c r="AV3998" s="330"/>
      <c r="AW3998" s="331"/>
      <c r="AX3998" s="331"/>
      <c r="AY3998" s="331"/>
      <c r="AZ3998" s="331"/>
      <c r="BA3998" s="331"/>
      <c r="BB3998" s="331"/>
      <c r="BC3998" s="331"/>
      <c r="BD3998" s="331"/>
      <c r="BE3998" s="333"/>
      <c r="BF3998" s="330"/>
      <c r="BG3998" s="333"/>
      <c r="BH3998" s="1119"/>
      <c r="BI3998" s="319"/>
      <c r="BJ3998" s="319"/>
      <c r="BK3998" s="319"/>
      <c r="BL3998" s="319"/>
      <c r="BM3998" s="319"/>
      <c r="BN3998" s="319"/>
      <c r="BO3998" s="319"/>
      <c r="BP3998" s="953"/>
      <c r="BQ3998" s="319"/>
      <c r="BR3998" s="319"/>
      <c r="BS3998" s="330"/>
      <c r="BT3998" s="331"/>
      <c r="BU3998" s="920"/>
      <c r="BV3998" s="903"/>
      <c r="BW3998" s="908"/>
      <c r="BX3998" s="908"/>
      <c r="BY3998" s="331"/>
      <c r="BZ3998" s="331"/>
      <c r="CA3998" s="462"/>
      <c r="CB3998" s="319"/>
      <c r="CC3998" s="319"/>
      <c r="CD3998" s="319"/>
      <c r="CE3998" s="319"/>
      <c r="CF3998" s="319"/>
      <c r="CG3998" s="319"/>
      <c r="CH3998" s="318"/>
      <c r="CI3998" s="319"/>
      <c r="CJ3998" s="319"/>
      <c r="CK3998" s="342"/>
      <c r="CL3998" s="333"/>
      <c r="CM3998" s="1079"/>
      <c r="CN3998" s="1005"/>
      <c r="CO3998" s="1005"/>
      <c r="CP3998" s="1005"/>
    </row>
    <row r="3999">
      <c r="A3999" s="1257"/>
      <c r="B3999" s="1113"/>
      <c r="C3999" s="1107"/>
      <c r="D3999" s="103"/>
      <c r="E3999" s="1137"/>
      <c r="F3999" s="112"/>
      <c r="G3999" s="1110"/>
      <c r="H3999" s="1138"/>
      <c r="I3999" s="1138"/>
      <c r="J3999" s="1139"/>
      <c r="K3999" s="1111"/>
      <c r="L3999" s="1112"/>
      <c r="M3999" s="1113"/>
      <c r="N3999" s="110"/>
      <c r="O3999" s="1140"/>
      <c r="P3999" s="1115"/>
      <c r="Q3999" s="1116"/>
      <c r="R3999" s="1141"/>
      <c r="S3999" s="1113"/>
      <c r="T3999" s="1143"/>
      <c r="U3999" s="1108"/>
      <c r="V3999" s="1108"/>
      <c r="W3999" s="1108"/>
      <c r="X3999" s="1108"/>
      <c r="Y3999" s="1108"/>
      <c r="Z3999" s="1114"/>
      <c r="AA3999" s="1114"/>
      <c r="AB3999" s="1114"/>
      <c r="AC3999" s="1117"/>
      <c r="AD3999" s="1115"/>
      <c r="AE3999" s="1115"/>
      <c r="AF3999" s="1115"/>
      <c r="AG3999" s="1115"/>
      <c r="AH3999" s="1115"/>
      <c r="AI3999" s="1115"/>
      <c r="AJ3999" s="1117"/>
      <c r="AK3999" s="1118"/>
      <c r="AL3999" s="1115"/>
      <c r="AM3999" s="1115"/>
      <c r="AN3999" s="1115"/>
      <c r="AO3999" s="1115"/>
      <c r="AP3999" s="1115"/>
      <c r="AQ3999" s="1115"/>
      <c r="AR3999" s="1115"/>
      <c r="AS3999" s="1117"/>
      <c r="AT3999" s="1075"/>
      <c r="AU3999" s="1193"/>
      <c r="AV3999" s="330"/>
      <c r="AW3999" s="331"/>
      <c r="AX3999" s="331"/>
      <c r="AY3999" s="331"/>
      <c r="AZ3999" s="331"/>
      <c r="BA3999" s="331"/>
      <c r="BB3999" s="331"/>
      <c r="BC3999" s="331"/>
      <c r="BD3999" s="331"/>
      <c r="BE3999" s="333"/>
      <c r="BF3999" s="330"/>
      <c r="BG3999" s="333"/>
      <c r="BH3999" s="1119"/>
      <c r="BI3999" s="319"/>
      <c r="BJ3999" s="319"/>
      <c r="BK3999" s="319"/>
      <c r="BL3999" s="319"/>
      <c r="BM3999" s="319"/>
      <c r="BN3999" s="319"/>
      <c r="BO3999" s="319"/>
      <c r="BP3999" s="953"/>
      <c r="BQ3999" s="319"/>
      <c r="BR3999" s="319"/>
      <c r="BS3999" s="330"/>
      <c r="BT3999" s="331"/>
      <c r="BU3999" s="920"/>
      <c r="BV3999" s="903"/>
      <c r="BW3999" s="908"/>
      <c r="BX3999" s="908"/>
      <c r="BY3999" s="331"/>
      <c r="BZ3999" s="331"/>
      <c r="CA3999" s="462"/>
      <c r="CB3999" s="319"/>
      <c r="CC3999" s="319"/>
      <c r="CD3999" s="319"/>
      <c r="CE3999" s="319"/>
      <c r="CF3999" s="319"/>
      <c r="CG3999" s="319"/>
      <c r="CH3999" s="318"/>
      <c r="CI3999" s="319"/>
      <c r="CJ3999" s="319"/>
      <c r="CK3999" s="342"/>
      <c r="CL3999" s="333"/>
      <c r="CM3999" s="1079"/>
      <c r="CN3999" s="1005"/>
      <c r="CO3999" s="1005"/>
      <c r="CP3999" s="1005"/>
    </row>
    <row r="4000">
      <c r="A4000" s="1257"/>
      <c r="B4000" s="1113"/>
      <c r="C4000" s="1107"/>
      <c r="D4000" s="103"/>
      <c r="E4000" s="1137"/>
      <c r="F4000" s="112"/>
      <c r="G4000" s="1110"/>
      <c r="H4000" s="1138"/>
      <c r="I4000" s="1138"/>
      <c r="J4000" s="1139"/>
      <c r="K4000" s="1111"/>
      <c r="L4000" s="1112"/>
      <c r="M4000" s="1113"/>
      <c r="N4000" s="110"/>
      <c r="O4000" s="1140"/>
      <c r="P4000" s="1115"/>
      <c r="Q4000" s="1116"/>
      <c r="R4000" s="1141"/>
      <c r="S4000" s="1113"/>
      <c r="T4000" s="1143"/>
      <c r="U4000" s="1108"/>
      <c r="V4000" s="1108"/>
      <c r="W4000" s="1108"/>
      <c r="X4000" s="1108"/>
      <c r="Y4000" s="1108"/>
      <c r="Z4000" s="1114"/>
      <c r="AA4000" s="1114"/>
      <c r="AB4000" s="1114"/>
      <c r="AC4000" s="1117"/>
      <c r="AD4000" s="1115"/>
      <c r="AE4000" s="1115"/>
      <c r="AF4000" s="1115"/>
      <c r="AG4000" s="1115"/>
      <c r="AH4000" s="1115"/>
      <c r="AI4000" s="1115"/>
      <c r="AJ4000" s="1117"/>
      <c r="AK4000" s="1118"/>
      <c r="AL4000" s="1115"/>
      <c r="AM4000" s="1115"/>
      <c r="AN4000" s="1115"/>
      <c r="AO4000" s="1115"/>
      <c r="AP4000" s="1115"/>
      <c r="AQ4000" s="1115"/>
      <c r="AR4000" s="1115"/>
      <c r="AS4000" s="1117"/>
      <c r="AT4000" s="1075"/>
      <c r="AU4000" s="1193"/>
      <c r="AV4000" s="330"/>
      <c r="AW4000" s="331"/>
      <c r="AX4000" s="331"/>
      <c r="AY4000" s="331"/>
      <c r="AZ4000" s="331"/>
      <c r="BA4000" s="331"/>
      <c r="BB4000" s="331"/>
      <c r="BC4000" s="331"/>
      <c r="BD4000" s="331"/>
      <c r="BE4000" s="333"/>
      <c r="BF4000" s="330"/>
      <c r="BG4000" s="333"/>
      <c r="BH4000" s="1119"/>
      <c r="BI4000" s="319"/>
      <c r="BJ4000" s="319"/>
      <c r="BK4000" s="319"/>
      <c r="BL4000" s="319"/>
      <c r="BM4000" s="319"/>
      <c r="BN4000" s="319"/>
      <c r="BO4000" s="319"/>
      <c r="BP4000" s="953"/>
      <c r="BQ4000" s="319"/>
      <c r="BR4000" s="319"/>
      <c r="BS4000" s="330"/>
      <c r="BT4000" s="331"/>
      <c r="BU4000" s="920"/>
      <c r="BV4000" s="903"/>
      <c r="BW4000" s="908"/>
      <c r="BX4000" s="908"/>
      <c r="BY4000" s="331"/>
      <c r="BZ4000" s="331"/>
      <c r="CA4000" s="462"/>
      <c r="CB4000" s="319"/>
      <c r="CC4000" s="319"/>
      <c r="CD4000" s="319"/>
      <c r="CE4000" s="319"/>
      <c r="CF4000" s="319"/>
      <c r="CG4000" s="319"/>
      <c r="CH4000" s="318"/>
      <c r="CI4000" s="319"/>
      <c r="CJ4000" s="319"/>
      <c r="CK4000" s="342"/>
      <c r="CL4000" s="333"/>
      <c r="CM4000" s="1079"/>
      <c r="CN4000" s="1005"/>
      <c r="CO4000" s="1005"/>
      <c r="CP4000" s="1005"/>
    </row>
    <row r="4001">
      <c r="A4001" s="1257"/>
      <c r="B4001" s="1113"/>
      <c r="C4001" s="1107"/>
      <c r="D4001" s="103"/>
      <c r="E4001" s="1137"/>
      <c r="F4001" s="112"/>
      <c r="G4001" s="1110"/>
      <c r="H4001" s="1138"/>
      <c r="I4001" s="1138"/>
      <c r="J4001" s="1139"/>
      <c r="K4001" s="1111"/>
      <c r="L4001" s="1112"/>
      <c r="M4001" s="1113"/>
      <c r="N4001" s="110"/>
      <c r="O4001" s="1140"/>
      <c r="P4001" s="1115"/>
      <c r="Q4001" s="1116"/>
      <c r="R4001" s="1141"/>
      <c r="S4001" s="1113"/>
      <c r="T4001" s="1143"/>
      <c r="U4001" s="1108"/>
      <c r="V4001" s="1108"/>
      <c r="W4001" s="1108"/>
      <c r="X4001" s="1108"/>
      <c r="Y4001" s="1108"/>
      <c r="Z4001" s="1114"/>
      <c r="AA4001" s="1114"/>
      <c r="AB4001" s="1114"/>
      <c r="AC4001" s="1117"/>
      <c r="AD4001" s="1115"/>
      <c r="AE4001" s="1115"/>
      <c r="AF4001" s="1115"/>
      <c r="AG4001" s="1115"/>
      <c r="AH4001" s="1115"/>
      <c r="AI4001" s="1115"/>
      <c r="AJ4001" s="1117"/>
      <c r="AK4001" s="1118"/>
      <c r="AL4001" s="1115"/>
      <c r="AM4001" s="1115"/>
      <c r="AN4001" s="1115"/>
      <c r="AO4001" s="1115"/>
      <c r="AP4001" s="1115"/>
      <c r="AQ4001" s="1115"/>
      <c r="AR4001" s="1115"/>
      <c r="AS4001" s="1117"/>
      <c r="AT4001" s="1075"/>
      <c r="AU4001" s="1193"/>
      <c r="AV4001" s="330"/>
      <c r="AW4001" s="331"/>
      <c r="AX4001" s="331"/>
      <c r="AY4001" s="331"/>
      <c r="AZ4001" s="331"/>
      <c r="BA4001" s="331"/>
      <c r="BB4001" s="331"/>
      <c r="BC4001" s="331"/>
      <c r="BD4001" s="331"/>
      <c r="BE4001" s="333"/>
      <c r="BF4001" s="330"/>
      <c r="BG4001" s="333"/>
      <c r="BH4001" s="1119"/>
      <c r="BI4001" s="319"/>
      <c r="BJ4001" s="319"/>
      <c r="BK4001" s="319"/>
      <c r="BL4001" s="319"/>
      <c r="BM4001" s="319"/>
      <c r="BN4001" s="319"/>
      <c r="BO4001" s="319"/>
      <c r="BP4001" s="953"/>
      <c r="BQ4001" s="319"/>
      <c r="BR4001" s="319"/>
      <c r="BS4001" s="330"/>
      <c r="BT4001" s="331"/>
      <c r="BU4001" s="920"/>
      <c r="BV4001" s="903"/>
      <c r="BW4001" s="908"/>
      <c r="BX4001" s="908"/>
      <c r="BY4001" s="331"/>
      <c r="BZ4001" s="331"/>
      <c r="CA4001" s="462"/>
      <c r="CB4001" s="319"/>
      <c r="CC4001" s="319"/>
      <c r="CD4001" s="319"/>
      <c r="CE4001" s="319"/>
      <c r="CF4001" s="319"/>
      <c r="CG4001" s="319"/>
      <c r="CH4001" s="318"/>
      <c r="CI4001" s="319"/>
      <c r="CJ4001" s="319"/>
      <c r="CK4001" s="342"/>
      <c r="CL4001" s="333"/>
      <c r="CM4001" s="1079"/>
      <c r="CN4001" s="1005"/>
      <c r="CO4001" s="1005"/>
      <c r="CP4001" s="1005"/>
    </row>
    <row r="4002">
      <c r="A4002" s="1257"/>
      <c r="B4002" s="1113"/>
      <c r="C4002" s="1107"/>
      <c r="D4002" s="103"/>
      <c r="E4002" s="1137"/>
      <c r="F4002" s="112"/>
      <c r="G4002" s="1110"/>
      <c r="H4002" s="1138"/>
      <c r="I4002" s="1138"/>
      <c r="J4002" s="1139"/>
      <c r="K4002" s="1111"/>
      <c r="L4002" s="1112"/>
      <c r="M4002" s="1113"/>
      <c r="N4002" s="110"/>
      <c r="O4002" s="1140"/>
      <c r="P4002" s="1115"/>
      <c r="Q4002" s="1116"/>
      <c r="R4002" s="1141"/>
      <c r="S4002" s="1113"/>
      <c r="T4002" s="1143"/>
      <c r="U4002" s="1108"/>
      <c r="V4002" s="1108"/>
      <c r="W4002" s="1108"/>
      <c r="X4002" s="1108"/>
      <c r="Y4002" s="1108"/>
      <c r="Z4002" s="1114"/>
      <c r="AA4002" s="1114"/>
      <c r="AB4002" s="1114"/>
      <c r="AC4002" s="1117"/>
      <c r="AD4002" s="1115"/>
      <c r="AE4002" s="1115"/>
      <c r="AF4002" s="1115"/>
      <c r="AG4002" s="1115"/>
      <c r="AH4002" s="1115"/>
      <c r="AI4002" s="1115"/>
      <c r="AJ4002" s="1117"/>
      <c r="AK4002" s="1118"/>
      <c r="AL4002" s="1115"/>
      <c r="AM4002" s="1115"/>
      <c r="AN4002" s="1115"/>
      <c r="AO4002" s="1115"/>
      <c r="AP4002" s="1115"/>
      <c r="AQ4002" s="1115"/>
      <c r="AR4002" s="1115"/>
      <c r="AS4002" s="1117"/>
      <c r="AT4002" s="1075"/>
      <c r="AU4002" s="1193"/>
      <c r="AV4002" s="330"/>
      <c r="AW4002" s="331"/>
      <c r="AX4002" s="331"/>
      <c r="AY4002" s="331"/>
      <c r="AZ4002" s="331"/>
      <c r="BA4002" s="331"/>
      <c r="BB4002" s="331"/>
      <c r="BC4002" s="331"/>
      <c r="BD4002" s="331"/>
      <c r="BE4002" s="333"/>
      <c r="BF4002" s="330"/>
      <c r="BG4002" s="333"/>
      <c r="BH4002" s="1119"/>
      <c r="BI4002" s="319"/>
      <c r="BJ4002" s="319"/>
      <c r="BK4002" s="319"/>
      <c r="BL4002" s="319"/>
      <c r="BM4002" s="319"/>
      <c r="BN4002" s="319"/>
      <c r="BO4002" s="319"/>
      <c r="BP4002" s="953"/>
      <c r="BQ4002" s="319"/>
      <c r="BR4002" s="319"/>
      <c r="BS4002" s="330"/>
      <c r="BT4002" s="331"/>
      <c r="BU4002" s="920"/>
      <c r="BV4002" s="903"/>
      <c r="BW4002" s="908"/>
      <c r="BX4002" s="908"/>
      <c r="BY4002" s="331"/>
      <c r="BZ4002" s="331"/>
      <c r="CA4002" s="462"/>
      <c r="CB4002" s="319"/>
      <c r="CC4002" s="319"/>
      <c r="CD4002" s="319"/>
      <c r="CE4002" s="319"/>
      <c r="CF4002" s="319"/>
      <c r="CG4002" s="319"/>
      <c r="CH4002" s="318"/>
      <c r="CI4002" s="319"/>
      <c r="CJ4002" s="319"/>
      <c r="CK4002" s="342"/>
      <c r="CL4002" s="333"/>
      <c r="CM4002" s="1079"/>
      <c r="CN4002" s="1005"/>
      <c r="CO4002" s="1005"/>
      <c r="CP4002" s="1005"/>
    </row>
    <row r="4003">
      <c r="A4003" s="1257"/>
      <c r="B4003" s="1113"/>
      <c r="C4003" s="1107"/>
      <c r="D4003" s="103"/>
      <c r="E4003" s="1137"/>
      <c r="F4003" s="112"/>
      <c r="G4003" s="1110"/>
      <c r="H4003" s="1138"/>
      <c r="I4003" s="1138"/>
      <c r="J4003" s="1139"/>
      <c r="K4003" s="1111"/>
      <c r="L4003" s="1112"/>
      <c r="M4003" s="1113"/>
      <c r="N4003" s="110"/>
      <c r="O4003" s="1140"/>
      <c r="P4003" s="1115"/>
      <c r="Q4003" s="1116"/>
      <c r="R4003" s="1141"/>
      <c r="S4003" s="1113"/>
      <c r="T4003" s="1143"/>
      <c r="U4003" s="1108"/>
      <c r="V4003" s="1108"/>
      <c r="W4003" s="1108"/>
      <c r="X4003" s="1108"/>
      <c r="Y4003" s="1108"/>
      <c r="Z4003" s="1114"/>
      <c r="AA4003" s="1114"/>
      <c r="AB4003" s="1114"/>
      <c r="AC4003" s="1117"/>
      <c r="AD4003" s="1115"/>
      <c r="AE4003" s="1115"/>
      <c r="AF4003" s="1115"/>
      <c r="AG4003" s="1115"/>
      <c r="AH4003" s="1115"/>
      <c r="AI4003" s="1115"/>
      <c r="AJ4003" s="1117"/>
      <c r="AK4003" s="1118"/>
      <c r="AL4003" s="1115"/>
      <c r="AM4003" s="1115"/>
      <c r="AN4003" s="1115"/>
      <c r="AO4003" s="1115"/>
      <c r="AP4003" s="1115"/>
      <c r="AQ4003" s="1115"/>
      <c r="AR4003" s="1115"/>
      <c r="AS4003" s="1117"/>
      <c r="AT4003" s="1075"/>
      <c r="AU4003" s="1193"/>
      <c r="AV4003" s="330"/>
      <c r="AW4003" s="331"/>
      <c r="AX4003" s="331"/>
      <c r="AY4003" s="331"/>
      <c r="AZ4003" s="331"/>
      <c r="BA4003" s="331"/>
      <c r="BB4003" s="331"/>
      <c r="BC4003" s="331"/>
      <c r="BD4003" s="331"/>
      <c r="BE4003" s="333"/>
      <c r="BF4003" s="330"/>
      <c r="BG4003" s="333"/>
      <c r="BH4003" s="1119"/>
      <c r="BI4003" s="319"/>
      <c r="BJ4003" s="319"/>
      <c r="BK4003" s="319"/>
      <c r="BL4003" s="319"/>
      <c r="BM4003" s="319"/>
      <c r="BN4003" s="319"/>
      <c r="BO4003" s="319"/>
      <c r="BP4003" s="953"/>
      <c r="BQ4003" s="319"/>
      <c r="BR4003" s="319"/>
      <c r="BS4003" s="330"/>
      <c r="BT4003" s="331"/>
      <c r="BU4003" s="920"/>
      <c r="BV4003" s="903"/>
      <c r="BW4003" s="908"/>
      <c r="BX4003" s="908"/>
      <c r="BY4003" s="331"/>
      <c r="BZ4003" s="331"/>
      <c r="CA4003" s="462"/>
      <c r="CB4003" s="319"/>
      <c r="CC4003" s="319"/>
      <c r="CD4003" s="319"/>
      <c r="CE4003" s="319"/>
      <c r="CF4003" s="319"/>
      <c r="CG4003" s="319"/>
      <c r="CH4003" s="318"/>
      <c r="CI4003" s="319"/>
      <c r="CJ4003" s="319"/>
      <c r="CK4003" s="342"/>
      <c r="CL4003" s="333"/>
      <c r="CM4003" s="1079"/>
      <c r="CN4003" s="1005"/>
      <c r="CO4003" s="1005"/>
      <c r="CP4003" s="1005"/>
    </row>
    <row r="4004">
      <c r="A4004" s="1257"/>
      <c r="B4004" s="1113"/>
      <c r="C4004" s="1107"/>
      <c r="D4004" s="103"/>
      <c r="E4004" s="1137"/>
      <c r="F4004" s="112"/>
      <c r="G4004" s="1110"/>
      <c r="H4004" s="1138"/>
      <c r="I4004" s="1138"/>
      <c r="J4004" s="1139"/>
      <c r="K4004" s="1111"/>
      <c r="L4004" s="1112"/>
      <c r="M4004" s="1113"/>
      <c r="N4004" s="110"/>
      <c r="O4004" s="1140"/>
      <c r="P4004" s="1115"/>
      <c r="Q4004" s="1116"/>
      <c r="R4004" s="1141"/>
      <c r="S4004" s="1113"/>
      <c r="T4004" s="1143"/>
      <c r="U4004" s="1108"/>
      <c r="V4004" s="1108"/>
      <c r="W4004" s="1108"/>
      <c r="X4004" s="1108"/>
      <c r="Y4004" s="1108"/>
      <c r="Z4004" s="1114"/>
      <c r="AA4004" s="1114"/>
      <c r="AB4004" s="1114"/>
      <c r="AC4004" s="1117"/>
      <c r="AD4004" s="1115"/>
      <c r="AE4004" s="1115"/>
      <c r="AF4004" s="1115"/>
      <c r="AG4004" s="1115"/>
      <c r="AH4004" s="1115"/>
      <c r="AI4004" s="1115"/>
      <c r="AJ4004" s="1117"/>
      <c r="AK4004" s="1118"/>
      <c r="AL4004" s="1115"/>
      <c r="AM4004" s="1115"/>
      <c r="AN4004" s="1115"/>
      <c r="AO4004" s="1115"/>
      <c r="AP4004" s="1115"/>
      <c r="AQ4004" s="1115"/>
      <c r="AR4004" s="1115"/>
      <c r="AS4004" s="1117"/>
      <c r="AT4004" s="1075"/>
      <c r="AU4004" s="1193"/>
      <c r="AV4004" s="330"/>
      <c r="AW4004" s="331"/>
      <c r="AX4004" s="331"/>
      <c r="AY4004" s="331"/>
      <c r="AZ4004" s="331"/>
      <c r="BA4004" s="331"/>
      <c r="BB4004" s="331"/>
      <c r="BC4004" s="331"/>
      <c r="BD4004" s="331"/>
      <c r="BE4004" s="333"/>
      <c r="BF4004" s="330"/>
      <c r="BG4004" s="333"/>
      <c r="BH4004" s="1119"/>
      <c r="BI4004" s="319"/>
      <c r="BJ4004" s="319"/>
      <c r="BK4004" s="319"/>
      <c r="BL4004" s="319"/>
      <c r="BM4004" s="319"/>
      <c r="BN4004" s="319"/>
      <c r="BO4004" s="319"/>
      <c r="BP4004" s="953"/>
      <c r="BQ4004" s="319"/>
      <c r="BR4004" s="319"/>
      <c r="BS4004" s="330"/>
      <c r="BT4004" s="331"/>
      <c r="BU4004" s="920"/>
      <c r="BV4004" s="903"/>
      <c r="BW4004" s="908"/>
      <c r="BX4004" s="908"/>
      <c r="BY4004" s="331"/>
      <c r="BZ4004" s="331"/>
      <c r="CA4004" s="462"/>
      <c r="CB4004" s="319"/>
      <c r="CC4004" s="319"/>
      <c r="CD4004" s="319"/>
      <c r="CE4004" s="319"/>
      <c r="CF4004" s="319"/>
      <c r="CG4004" s="319"/>
      <c r="CH4004" s="318"/>
      <c r="CI4004" s="319"/>
      <c r="CJ4004" s="319"/>
      <c r="CK4004" s="342"/>
      <c r="CL4004" s="333"/>
      <c r="CM4004" s="1079"/>
      <c r="CN4004" s="1005"/>
      <c r="CO4004" s="1005"/>
      <c r="CP4004" s="1005"/>
    </row>
    <row r="4005">
      <c r="A4005" s="1257"/>
      <c r="B4005" s="1113"/>
      <c r="C4005" s="1107"/>
      <c r="D4005" s="103"/>
      <c r="E4005" s="1137"/>
      <c r="F4005" s="112"/>
      <c r="G4005" s="1110"/>
      <c r="H4005" s="1138"/>
      <c r="I4005" s="1138"/>
      <c r="J4005" s="1139"/>
      <c r="K4005" s="1111"/>
      <c r="L4005" s="1112"/>
      <c r="M4005" s="1113"/>
      <c r="N4005" s="110"/>
      <c r="O4005" s="1140"/>
      <c r="P4005" s="1115"/>
      <c r="Q4005" s="1116"/>
      <c r="R4005" s="1141"/>
      <c r="S4005" s="1113"/>
      <c r="T4005" s="1143"/>
      <c r="U4005" s="1108"/>
      <c r="V4005" s="1108"/>
      <c r="W4005" s="1108"/>
      <c r="X4005" s="1108"/>
      <c r="Y4005" s="1108"/>
      <c r="Z4005" s="1114"/>
      <c r="AA4005" s="1114"/>
      <c r="AB4005" s="1114"/>
      <c r="AC4005" s="1117"/>
      <c r="AD4005" s="1115"/>
      <c r="AE4005" s="1115"/>
      <c r="AF4005" s="1115"/>
      <c r="AG4005" s="1115"/>
      <c r="AH4005" s="1115"/>
      <c r="AI4005" s="1115"/>
      <c r="AJ4005" s="1117"/>
      <c r="AK4005" s="1118"/>
      <c r="AL4005" s="1115"/>
      <c r="AM4005" s="1115"/>
      <c r="AN4005" s="1115"/>
      <c r="AO4005" s="1115"/>
      <c r="AP4005" s="1115"/>
      <c r="AQ4005" s="1115"/>
      <c r="AR4005" s="1115"/>
      <c r="AS4005" s="1117"/>
      <c r="AT4005" s="1075"/>
      <c r="AU4005" s="1193"/>
      <c r="AV4005" s="330"/>
      <c r="AW4005" s="331"/>
      <c r="AX4005" s="331"/>
      <c r="AY4005" s="331"/>
      <c r="AZ4005" s="331"/>
      <c r="BA4005" s="331"/>
      <c r="BB4005" s="331"/>
      <c r="BC4005" s="331"/>
      <c r="BD4005" s="331"/>
      <c r="BE4005" s="333"/>
      <c r="BF4005" s="330"/>
      <c r="BG4005" s="333"/>
      <c r="BH4005" s="1119"/>
      <c r="BI4005" s="319"/>
      <c r="BJ4005" s="319"/>
      <c r="BK4005" s="319"/>
      <c r="BL4005" s="319"/>
      <c r="BM4005" s="319"/>
      <c r="BN4005" s="319"/>
      <c r="BO4005" s="319"/>
      <c r="BP4005" s="953"/>
      <c r="BQ4005" s="319"/>
      <c r="BR4005" s="319"/>
      <c r="BS4005" s="330"/>
      <c r="BT4005" s="331"/>
      <c r="BU4005" s="920"/>
      <c r="BV4005" s="903"/>
      <c r="BW4005" s="908"/>
      <c r="BX4005" s="908"/>
      <c r="BY4005" s="331"/>
      <c r="BZ4005" s="331"/>
      <c r="CA4005" s="462"/>
      <c r="CB4005" s="319"/>
      <c r="CC4005" s="319"/>
      <c r="CD4005" s="319"/>
      <c r="CE4005" s="319"/>
      <c r="CF4005" s="319"/>
      <c r="CG4005" s="319"/>
      <c r="CH4005" s="318"/>
      <c r="CI4005" s="319"/>
      <c r="CJ4005" s="319"/>
      <c r="CK4005" s="342"/>
      <c r="CL4005" s="333"/>
      <c r="CM4005" s="1079"/>
      <c r="CN4005" s="1005"/>
      <c r="CO4005" s="1005"/>
      <c r="CP4005" s="1005"/>
    </row>
    <row r="4006">
      <c r="A4006" s="1257"/>
      <c r="B4006" s="1113"/>
      <c r="C4006" s="1107"/>
      <c r="D4006" s="103"/>
      <c r="E4006" s="1137"/>
      <c r="F4006" s="112"/>
      <c r="G4006" s="1110"/>
      <c r="H4006" s="1138"/>
      <c r="I4006" s="1138"/>
      <c r="J4006" s="1139"/>
      <c r="K4006" s="1111"/>
      <c r="L4006" s="1112"/>
      <c r="M4006" s="1113"/>
      <c r="N4006" s="110"/>
      <c r="O4006" s="1140"/>
      <c r="P4006" s="1115"/>
      <c r="Q4006" s="1116"/>
      <c r="R4006" s="1141"/>
      <c r="S4006" s="1113"/>
      <c r="T4006" s="1143"/>
      <c r="U4006" s="1108"/>
      <c r="V4006" s="1108"/>
      <c r="W4006" s="1108"/>
      <c r="X4006" s="1108"/>
      <c r="Y4006" s="1108"/>
      <c r="Z4006" s="1114"/>
      <c r="AA4006" s="1114"/>
      <c r="AB4006" s="1114"/>
      <c r="AC4006" s="1117"/>
      <c r="AD4006" s="1115"/>
      <c r="AE4006" s="1115"/>
      <c r="AF4006" s="1115"/>
      <c r="AG4006" s="1115"/>
      <c r="AH4006" s="1115"/>
      <c r="AI4006" s="1115"/>
      <c r="AJ4006" s="1117"/>
      <c r="AK4006" s="1118"/>
      <c r="AL4006" s="1115"/>
      <c r="AM4006" s="1115"/>
      <c r="AN4006" s="1115"/>
      <c r="AO4006" s="1115"/>
      <c r="AP4006" s="1115"/>
      <c r="AQ4006" s="1115"/>
      <c r="AR4006" s="1115"/>
      <c r="AS4006" s="1117"/>
      <c r="AT4006" s="1075"/>
      <c r="AU4006" s="1193"/>
      <c r="AV4006" s="330"/>
      <c r="AW4006" s="331"/>
      <c r="AX4006" s="331"/>
      <c r="AY4006" s="331"/>
      <c r="AZ4006" s="331"/>
      <c r="BA4006" s="331"/>
      <c r="BB4006" s="331"/>
      <c r="BC4006" s="331"/>
      <c r="BD4006" s="331"/>
      <c r="BE4006" s="333"/>
      <c r="BF4006" s="330"/>
      <c r="BG4006" s="333"/>
      <c r="BH4006" s="1119"/>
      <c r="BI4006" s="319"/>
      <c r="BJ4006" s="319"/>
      <c r="BK4006" s="319"/>
      <c r="BL4006" s="319"/>
      <c r="BM4006" s="319"/>
      <c r="BN4006" s="319"/>
      <c r="BO4006" s="319"/>
      <c r="BP4006" s="953"/>
      <c r="BQ4006" s="319"/>
      <c r="BR4006" s="319"/>
      <c r="BS4006" s="330"/>
      <c r="BT4006" s="331"/>
      <c r="BU4006" s="920"/>
      <c r="BV4006" s="903"/>
      <c r="BW4006" s="908"/>
      <c r="BX4006" s="908"/>
      <c r="BY4006" s="331"/>
      <c r="BZ4006" s="331"/>
      <c r="CA4006" s="462"/>
      <c r="CB4006" s="319"/>
      <c r="CC4006" s="319"/>
      <c r="CD4006" s="319"/>
      <c r="CE4006" s="319"/>
      <c r="CF4006" s="319"/>
      <c r="CG4006" s="319"/>
      <c r="CH4006" s="318"/>
      <c r="CI4006" s="319"/>
      <c r="CJ4006" s="319"/>
      <c r="CK4006" s="342"/>
      <c r="CL4006" s="333"/>
      <c r="CM4006" s="1079"/>
      <c r="CN4006" s="1005"/>
      <c r="CO4006" s="1005"/>
      <c r="CP4006" s="1005"/>
    </row>
    <row r="4007">
      <c r="A4007" s="1257"/>
      <c r="B4007" s="1113"/>
      <c r="C4007" s="1107"/>
      <c r="D4007" s="103"/>
      <c r="E4007" s="1137"/>
      <c r="F4007" s="112"/>
      <c r="G4007" s="1110"/>
      <c r="H4007" s="1138"/>
      <c r="I4007" s="1138"/>
      <c r="J4007" s="1139"/>
      <c r="K4007" s="1111"/>
      <c r="L4007" s="1112"/>
      <c r="M4007" s="1113"/>
      <c r="N4007" s="110"/>
      <c r="O4007" s="1140"/>
      <c r="P4007" s="1115"/>
      <c r="Q4007" s="1116"/>
      <c r="R4007" s="1141"/>
      <c r="S4007" s="1113"/>
      <c r="T4007" s="1143"/>
      <c r="U4007" s="1108"/>
      <c r="V4007" s="1108"/>
      <c r="W4007" s="1108"/>
      <c r="X4007" s="1108"/>
      <c r="Y4007" s="1108"/>
      <c r="Z4007" s="1114"/>
      <c r="AA4007" s="1114"/>
      <c r="AB4007" s="1114"/>
      <c r="AC4007" s="1117"/>
      <c r="AD4007" s="1115"/>
      <c r="AE4007" s="1115"/>
      <c r="AF4007" s="1115"/>
      <c r="AG4007" s="1115"/>
      <c r="AH4007" s="1115"/>
      <c r="AI4007" s="1115"/>
      <c r="AJ4007" s="1117"/>
      <c r="AK4007" s="1118"/>
      <c r="AL4007" s="1115"/>
      <c r="AM4007" s="1115"/>
      <c r="AN4007" s="1115"/>
      <c r="AO4007" s="1115"/>
      <c r="AP4007" s="1115"/>
      <c r="AQ4007" s="1115"/>
      <c r="AR4007" s="1115"/>
      <c r="AS4007" s="1117"/>
      <c r="AT4007" s="1075"/>
      <c r="AU4007" s="1193"/>
      <c r="AV4007" s="330"/>
      <c r="AW4007" s="331"/>
      <c r="AX4007" s="331"/>
      <c r="AY4007" s="331"/>
      <c r="AZ4007" s="331"/>
      <c r="BA4007" s="331"/>
      <c r="BB4007" s="331"/>
      <c r="BC4007" s="331"/>
      <c r="BD4007" s="331"/>
      <c r="BE4007" s="333"/>
      <c r="BF4007" s="330"/>
      <c r="BG4007" s="333"/>
      <c r="BH4007" s="1119"/>
      <c r="BI4007" s="319"/>
      <c r="BJ4007" s="319"/>
      <c r="BK4007" s="319"/>
      <c r="BL4007" s="319"/>
      <c r="BM4007" s="319"/>
      <c r="BN4007" s="319"/>
      <c r="BO4007" s="319"/>
      <c r="BP4007" s="953"/>
      <c r="BQ4007" s="319"/>
      <c r="BR4007" s="319"/>
      <c r="BS4007" s="330"/>
      <c r="BT4007" s="331"/>
      <c r="BU4007" s="920"/>
      <c r="BV4007" s="903"/>
      <c r="BW4007" s="908"/>
      <c r="BX4007" s="908"/>
      <c r="BY4007" s="331"/>
      <c r="BZ4007" s="331"/>
      <c r="CA4007" s="462"/>
      <c r="CB4007" s="319"/>
      <c r="CC4007" s="319"/>
      <c r="CD4007" s="319"/>
      <c r="CE4007" s="319"/>
      <c r="CF4007" s="319"/>
      <c r="CG4007" s="319"/>
      <c r="CH4007" s="318"/>
      <c r="CI4007" s="319"/>
      <c r="CJ4007" s="319"/>
      <c r="CK4007" s="342"/>
      <c r="CL4007" s="333"/>
      <c r="CM4007" s="1079"/>
      <c r="CN4007" s="1005"/>
      <c r="CO4007" s="1005"/>
      <c r="CP4007" s="1005"/>
    </row>
    <row r="4008">
      <c r="A4008" s="1257"/>
      <c r="B4008" s="1113"/>
      <c r="C4008" s="1107"/>
      <c r="D4008" s="103"/>
      <c r="E4008" s="1137"/>
      <c r="F4008" s="112"/>
      <c r="G4008" s="1110"/>
      <c r="H4008" s="1138"/>
      <c r="I4008" s="1138"/>
      <c r="J4008" s="1139"/>
      <c r="K4008" s="1111"/>
      <c r="L4008" s="1112"/>
      <c r="M4008" s="1113"/>
      <c r="N4008" s="110"/>
      <c r="O4008" s="1140"/>
      <c r="P4008" s="1115"/>
      <c r="Q4008" s="1116"/>
      <c r="R4008" s="1141"/>
      <c r="S4008" s="1113"/>
      <c r="T4008" s="1143"/>
      <c r="U4008" s="1108"/>
      <c r="V4008" s="1108"/>
      <c r="W4008" s="1108"/>
      <c r="X4008" s="1108"/>
      <c r="Y4008" s="1108"/>
      <c r="Z4008" s="1114"/>
      <c r="AA4008" s="1114"/>
      <c r="AB4008" s="1114"/>
      <c r="AC4008" s="1117"/>
      <c r="AD4008" s="1115"/>
      <c r="AE4008" s="1115"/>
      <c r="AF4008" s="1115"/>
      <c r="AG4008" s="1115"/>
      <c r="AH4008" s="1115"/>
      <c r="AI4008" s="1115"/>
      <c r="AJ4008" s="1117"/>
      <c r="AK4008" s="1118"/>
      <c r="AL4008" s="1115"/>
      <c r="AM4008" s="1115"/>
      <c r="AN4008" s="1115"/>
      <c r="AO4008" s="1115"/>
      <c r="AP4008" s="1115"/>
      <c r="AQ4008" s="1115"/>
      <c r="AR4008" s="1115"/>
      <c r="AS4008" s="1117"/>
      <c r="AT4008" s="1075"/>
      <c r="AU4008" s="1193"/>
      <c r="AV4008" s="330"/>
      <c r="AW4008" s="331"/>
      <c r="AX4008" s="331"/>
      <c r="AY4008" s="331"/>
      <c r="AZ4008" s="331"/>
      <c r="BA4008" s="331"/>
      <c r="BB4008" s="331"/>
      <c r="BC4008" s="331"/>
      <c r="BD4008" s="331"/>
      <c r="BE4008" s="333"/>
      <c r="BF4008" s="330"/>
      <c r="BG4008" s="333"/>
      <c r="BH4008" s="1119"/>
      <c r="BI4008" s="319"/>
      <c r="BJ4008" s="319"/>
      <c r="BK4008" s="319"/>
      <c r="BL4008" s="319"/>
      <c r="BM4008" s="319"/>
      <c r="BN4008" s="319"/>
      <c r="BO4008" s="319"/>
      <c r="BP4008" s="953"/>
      <c r="BQ4008" s="319"/>
      <c r="BR4008" s="319"/>
      <c r="BS4008" s="330"/>
      <c r="BT4008" s="331"/>
      <c r="BU4008" s="920"/>
      <c r="BV4008" s="903"/>
      <c r="BW4008" s="908"/>
      <c r="BX4008" s="908"/>
      <c r="BY4008" s="331"/>
      <c r="BZ4008" s="331"/>
      <c r="CA4008" s="462"/>
      <c r="CB4008" s="319"/>
      <c r="CC4008" s="319"/>
      <c r="CD4008" s="319"/>
      <c r="CE4008" s="319"/>
      <c r="CF4008" s="319"/>
      <c r="CG4008" s="319"/>
      <c r="CH4008" s="318"/>
      <c r="CI4008" s="319"/>
      <c r="CJ4008" s="319"/>
      <c r="CK4008" s="342"/>
      <c r="CL4008" s="333"/>
      <c r="CM4008" s="1079"/>
      <c r="CN4008" s="1005"/>
      <c r="CO4008" s="1005"/>
      <c r="CP4008" s="1005"/>
    </row>
    <row r="4009">
      <c r="A4009" s="1257"/>
      <c r="B4009" s="1113"/>
      <c r="C4009" s="1107"/>
      <c r="D4009" s="103"/>
      <c r="E4009" s="1137"/>
      <c r="F4009" s="112"/>
      <c r="G4009" s="1110"/>
      <c r="H4009" s="1138"/>
      <c r="I4009" s="1138"/>
      <c r="J4009" s="1139"/>
      <c r="K4009" s="1111"/>
      <c r="L4009" s="1112"/>
      <c r="M4009" s="1113"/>
      <c r="N4009" s="110"/>
      <c r="O4009" s="1140"/>
      <c r="P4009" s="1115"/>
      <c r="Q4009" s="1116"/>
      <c r="R4009" s="1141"/>
      <c r="S4009" s="1113"/>
      <c r="T4009" s="1143"/>
      <c r="U4009" s="1108"/>
      <c r="V4009" s="1108"/>
      <c r="W4009" s="1108"/>
      <c r="X4009" s="1108"/>
      <c r="Y4009" s="1108"/>
      <c r="Z4009" s="1114"/>
      <c r="AA4009" s="1114"/>
      <c r="AB4009" s="1114"/>
      <c r="AC4009" s="1117"/>
      <c r="AD4009" s="1115"/>
      <c r="AE4009" s="1115"/>
      <c r="AF4009" s="1115"/>
      <c r="AG4009" s="1115"/>
      <c r="AH4009" s="1115"/>
      <c r="AI4009" s="1115"/>
      <c r="AJ4009" s="1117"/>
      <c r="AK4009" s="1118"/>
      <c r="AL4009" s="1115"/>
      <c r="AM4009" s="1115"/>
      <c r="AN4009" s="1115"/>
      <c r="AO4009" s="1115"/>
      <c r="AP4009" s="1115"/>
      <c r="AQ4009" s="1115"/>
      <c r="AR4009" s="1115"/>
      <c r="AS4009" s="1117"/>
      <c r="AT4009" s="1075"/>
      <c r="AU4009" s="1193"/>
      <c r="AV4009" s="330"/>
      <c r="AW4009" s="331"/>
      <c r="AX4009" s="331"/>
      <c r="AY4009" s="331"/>
      <c r="AZ4009" s="331"/>
      <c r="BA4009" s="331"/>
      <c r="BB4009" s="331"/>
      <c r="BC4009" s="331"/>
      <c r="BD4009" s="331"/>
      <c r="BE4009" s="333"/>
      <c r="BF4009" s="330"/>
      <c r="BG4009" s="333"/>
      <c r="BH4009" s="1119"/>
      <c r="BI4009" s="319"/>
      <c r="BJ4009" s="319"/>
      <c r="BK4009" s="319"/>
      <c r="BL4009" s="319"/>
      <c r="BM4009" s="319"/>
      <c r="BN4009" s="319"/>
      <c r="BO4009" s="319"/>
      <c r="BP4009" s="953"/>
      <c r="BQ4009" s="319"/>
      <c r="BR4009" s="319"/>
      <c r="BS4009" s="330"/>
      <c r="BT4009" s="331"/>
      <c r="BU4009" s="920"/>
      <c r="BV4009" s="903"/>
      <c r="BW4009" s="908"/>
      <c r="BX4009" s="908"/>
      <c r="BY4009" s="331"/>
      <c r="BZ4009" s="331"/>
      <c r="CA4009" s="462"/>
      <c r="CB4009" s="319"/>
      <c r="CC4009" s="319"/>
      <c r="CD4009" s="319"/>
      <c r="CE4009" s="319"/>
      <c r="CF4009" s="319"/>
      <c r="CG4009" s="319"/>
      <c r="CH4009" s="318"/>
      <c r="CI4009" s="319"/>
      <c r="CJ4009" s="319"/>
      <c r="CK4009" s="342"/>
      <c r="CL4009" s="333"/>
      <c r="CM4009" s="1079"/>
      <c r="CN4009" s="1005"/>
      <c r="CO4009" s="1005"/>
      <c r="CP4009" s="1005"/>
    </row>
    <row r="4010">
      <c r="A4010" s="1257"/>
      <c r="B4010" s="1113"/>
      <c r="C4010" s="1107"/>
      <c r="D4010" s="103"/>
      <c r="E4010" s="1137"/>
      <c r="F4010" s="112"/>
      <c r="G4010" s="1110"/>
      <c r="H4010" s="1138"/>
      <c r="I4010" s="1138"/>
      <c r="J4010" s="1139"/>
      <c r="K4010" s="1111"/>
      <c r="L4010" s="1112"/>
      <c r="M4010" s="1113"/>
      <c r="N4010" s="110"/>
      <c r="O4010" s="1140"/>
      <c r="P4010" s="1115"/>
      <c r="Q4010" s="1116"/>
      <c r="R4010" s="1141"/>
      <c r="S4010" s="1113"/>
      <c r="T4010" s="1143"/>
      <c r="U4010" s="1108"/>
      <c r="V4010" s="1108"/>
      <c r="W4010" s="1108"/>
      <c r="X4010" s="1108"/>
      <c r="Y4010" s="1108"/>
      <c r="Z4010" s="1114"/>
      <c r="AA4010" s="1114"/>
      <c r="AB4010" s="1114"/>
      <c r="AC4010" s="1117"/>
      <c r="AD4010" s="1115"/>
      <c r="AE4010" s="1115"/>
      <c r="AF4010" s="1115"/>
      <c r="AG4010" s="1115"/>
      <c r="AH4010" s="1115"/>
      <c r="AI4010" s="1115"/>
      <c r="AJ4010" s="1117"/>
      <c r="AK4010" s="1118"/>
      <c r="AL4010" s="1115"/>
      <c r="AM4010" s="1115"/>
      <c r="AN4010" s="1115"/>
      <c r="AO4010" s="1115"/>
      <c r="AP4010" s="1115"/>
      <c r="AQ4010" s="1115"/>
      <c r="AR4010" s="1115"/>
      <c r="AS4010" s="1117"/>
      <c r="AT4010" s="1075"/>
      <c r="AU4010" s="1193"/>
      <c r="AV4010" s="330"/>
      <c r="AW4010" s="331"/>
      <c r="AX4010" s="331"/>
      <c r="AY4010" s="331"/>
      <c r="AZ4010" s="331"/>
      <c r="BA4010" s="331"/>
      <c r="BB4010" s="331"/>
      <c r="BC4010" s="331"/>
      <c r="BD4010" s="331"/>
      <c r="BE4010" s="333"/>
      <c r="BF4010" s="330"/>
      <c r="BG4010" s="333"/>
      <c r="BH4010" s="1119"/>
      <c r="BI4010" s="319"/>
      <c r="BJ4010" s="319"/>
      <c r="BK4010" s="319"/>
      <c r="BL4010" s="319"/>
      <c r="BM4010" s="319"/>
      <c r="BN4010" s="319"/>
      <c r="BO4010" s="319"/>
      <c r="BP4010" s="953"/>
      <c r="BQ4010" s="319"/>
      <c r="BR4010" s="319"/>
      <c r="BS4010" s="330"/>
      <c r="BT4010" s="331"/>
      <c r="BU4010" s="920"/>
      <c r="BV4010" s="903"/>
      <c r="BW4010" s="908"/>
      <c r="BX4010" s="908"/>
      <c r="BY4010" s="331"/>
      <c r="BZ4010" s="331"/>
      <c r="CA4010" s="462"/>
      <c r="CB4010" s="319"/>
      <c r="CC4010" s="319"/>
      <c r="CD4010" s="319"/>
      <c r="CE4010" s="319"/>
      <c r="CF4010" s="319"/>
      <c r="CG4010" s="319"/>
      <c r="CH4010" s="318"/>
      <c r="CI4010" s="319"/>
      <c r="CJ4010" s="319"/>
      <c r="CK4010" s="342"/>
      <c r="CL4010" s="333"/>
      <c r="CM4010" s="1079"/>
      <c r="CN4010" s="1005"/>
      <c r="CO4010" s="1005"/>
      <c r="CP4010" s="1005"/>
    </row>
    <row r="4011">
      <c r="A4011" s="1257"/>
      <c r="B4011" s="1113"/>
      <c r="C4011" s="1107"/>
      <c r="D4011" s="103"/>
      <c r="E4011" s="1137"/>
      <c r="F4011" s="112"/>
      <c r="G4011" s="1110"/>
      <c r="H4011" s="1138"/>
      <c r="I4011" s="1138"/>
      <c r="J4011" s="1139"/>
      <c r="K4011" s="1111"/>
      <c r="L4011" s="1112"/>
      <c r="M4011" s="1113"/>
      <c r="N4011" s="110"/>
      <c r="O4011" s="1140"/>
      <c r="P4011" s="1115"/>
      <c r="Q4011" s="1116"/>
      <c r="R4011" s="1141"/>
      <c r="S4011" s="1113"/>
      <c r="T4011" s="1143"/>
      <c r="U4011" s="1108"/>
      <c r="V4011" s="1108"/>
      <c r="W4011" s="1108"/>
      <c r="X4011" s="1108"/>
      <c r="Y4011" s="1108"/>
      <c r="Z4011" s="1114"/>
      <c r="AA4011" s="1114"/>
      <c r="AB4011" s="1114"/>
      <c r="AC4011" s="1117"/>
      <c r="AD4011" s="1115"/>
      <c r="AE4011" s="1115"/>
      <c r="AF4011" s="1115"/>
      <c r="AG4011" s="1115"/>
      <c r="AH4011" s="1115"/>
      <c r="AI4011" s="1115"/>
      <c r="AJ4011" s="1117"/>
      <c r="AK4011" s="1118"/>
      <c r="AL4011" s="1115"/>
      <c r="AM4011" s="1115"/>
      <c r="AN4011" s="1115"/>
      <c r="AO4011" s="1115"/>
      <c r="AP4011" s="1115"/>
      <c r="AQ4011" s="1115"/>
      <c r="AR4011" s="1115"/>
      <c r="AS4011" s="1117"/>
      <c r="AT4011" s="1075"/>
      <c r="AU4011" s="1193"/>
      <c r="AV4011" s="330"/>
      <c r="AW4011" s="331"/>
      <c r="AX4011" s="331"/>
      <c r="AY4011" s="331"/>
      <c r="AZ4011" s="331"/>
      <c r="BA4011" s="331"/>
      <c r="BB4011" s="331"/>
      <c r="BC4011" s="331"/>
      <c r="BD4011" s="331"/>
      <c r="BE4011" s="333"/>
      <c r="BF4011" s="330"/>
      <c r="BG4011" s="333"/>
      <c r="BH4011" s="1119"/>
      <c r="BI4011" s="319"/>
      <c r="BJ4011" s="319"/>
      <c r="BK4011" s="319"/>
      <c r="BL4011" s="319"/>
      <c r="BM4011" s="319"/>
      <c r="BN4011" s="319"/>
      <c r="BO4011" s="319"/>
      <c r="BP4011" s="953"/>
      <c r="BQ4011" s="319"/>
      <c r="BR4011" s="319"/>
      <c r="BS4011" s="330"/>
      <c r="BT4011" s="331"/>
      <c r="BU4011" s="920"/>
      <c r="BV4011" s="903"/>
      <c r="BW4011" s="908"/>
      <c r="BX4011" s="908"/>
      <c r="BY4011" s="331"/>
      <c r="BZ4011" s="331"/>
      <c r="CA4011" s="462"/>
      <c r="CB4011" s="319"/>
      <c r="CC4011" s="319"/>
      <c r="CD4011" s="319"/>
      <c r="CE4011" s="319"/>
      <c r="CF4011" s="319"/>
      <c r="CG4011" s="319"/>
      <c r="CH4011" s="318"/>
      <c r="CI4011" s="319"/>
      <c r="CJ4011" s="319"/>
      <c r="CK4011" s="342"/>
      <c r="CL4011" s="333"/>
      <c r="CM4011" s="1079"/>
      <c r="CN4011" s="1005"/>
      <c r="CO4011" s="1005"/>
      <c r="CP4011" s="1005"/>
    </row>
    <row r="4012">
      <c r="A4012" s="1257"/>
      <c r="B4012" s="1113"/>
      <c r="C4012" s="1107"/>
      <c r="D4012" s="103"/>
      <c r="E4012" s="1137"/>
      <c r="F4012" s="112"/>
      <c r="G4012" s="1110"/>
      <c r="H4012" s="1138"/>
      <c r="I4012" s="1138"/>
      <c r="J4012" s="1139"/>
      <c r="K4012" s="1111"/>
      <c r="L4012" s="1112"/>
      <c r="M4012" s="1113"/>
      <c r="N4012" s="110"/>
      <c r="O4012" s="1140"/>
      <c r="P4012" s="1115"/>
      <c r="Q4012" s="1116"/>
      <c r="R4012" s="1141"/>
      <c r="S4012" s="1113"/>
      <c r="T4012" s="1143"/>
      <c r="U4012" s="1108"/>
      <c r="V4012" s="1108"/>
      <c r="W4012" s="1108"/>
      <c r="X4012" s="1108"/>
      <c r="Y4012" s="1108"/>
      <c r="Z4012" s="1114"/>
      <c r="AA4012" s="1114"/>
      <c r="AB4012" s="1114"/>
      <c r="AC4012" s="1117"/>
      <c r="AD4012" s="1115"/>
      <c r="AE4012" s="1115"/>
      <c r="AF4012" s="1115"/>
      <c r="AG4012" s="1115"/>
      <c r="AH4012" s="1115"/>
      <c r="AI4012" s="1115"/>
      <c r="AJ4012" s="1117"/>
      <c r="AK4012" s="1118"/>
      <c r="AL4012" s="1115"/>
      <c r="AM4012" s="1115"/>
      <c r="AN4012" s="1115"/>
      <c r="AO4012" s="1115"/>
      <c r="AP4012" s="1115"/>
      <c r="AQ4012" s="1115"/>
      <c r="AR4012" s="1115"/>
      <c r="AS4012" s="1117"/>
      <c r="AT4012" s="1075"/>
      <c r="AU4012" s="1193"/>
      <c r="AV4012" s="330"/>
      <c r="AW4012" s="331"/>
      <c r="AX4012" s="331"/>
      <c r="AY4012" s="331"/>
      <c r="AZ4012" s="331"/>
      <c r="BA4012" s="331"/>
      <c r="BB4012" s="331"/>
      <c r="BC4012" s="331"/>
      <c r="BD4012" s="331"/>
      <c r="BE4012" s="333"/>
      <c r="BF4012" s="330"/>
      <c r="BG4012" s="333"/>
      <c r="BH4012" s="1119"/>
      <c r="BI4012" s="319"/>
      <c r="BJ4012" s="319"/>
      <c r="BK4012" s="319"/>
      <c r="BL4012" s="319"/>
      <c r="BM4012" s="319"/>
      <c r="BN4012" s="319"/>
      <c r="BO4012" s="319"/>
      <c r="BP4012" s="953"/>
      <c r="BQ4012" s="319"/>
      <c r="BR4012" s="319"/>
      <c r="BS4012" s="330"/>
      <c r="BT4012" s="331"/>
      <c r="BU4012" s="920"/>
      <c r="BV4012" s="903"/>
      <c r="BW4012" s="908"/>
      <c r="BX4012" s="908"/>
      <c r="BY4012" s="331"/>
      <c r="BZ4012" s="331"/>
      <c r="CA4012" s="462"/>
      <c r="CB4012" s="319"/>
      <c r="CC4012" s="319"/>
      <c r="CD4012" s="319"/>
      <c r="CE4012" s="319"/>
      <c r="CF4012" s="319"/>
      <c r="CG4012" s="319"/>
      <c r="CH4012" s="318"/>
      <c r="CI4012" s="319"/>
      <c r="CJ4012" s="319"/>
      <c r="CK4012" s="342"/>
      <c r="CL4012" s="333"/>
      <c r="CM4012" s="1079"/>
      <c r="CN4012" s="1005"/>
      <c r="CO4012" s="1005"/>
      <c r="CP4012" s="1005"/>
    </row>
    <row r="4013">
      <c r="A4013" s="1257"/>
      <c r="B4013" s="1113"/>
      <c r="C4013" s="1107"/>
      <c r="D4013" s="103"/>
      <c r="E4013" s="1137"/>
      <c r="F4013" s="112"/>
      <c r="G4013" s="1110"/>
      <c r="H4013" s="1138"/>
      <c r="I4013" s="1138"/>
      <c r="J4013" s="1139"/>
      <c r="K4013" s="1111"/>
      <c r="L4013" s="1112"/>
      <c r="M4013" s="1113"/>
      <c r="N4013" s="110"/>
      <c r="O4013" s="1140"/>
      <c r="P4013" s="1115"/>
      <c r="Q4013" s="1116"/>
      <c r="R4013" s="1141"/>
      <c r="S4013" s="1113"/>
      <c r="T4013" s="1143"/>
      <c r="U4013" s="1108"/>
      <c r="V4013" s="1108"/>
      <c r="W4013" s="1108"/>
      <c r="X4013" s="1108"/>
      <c r="Y4013" s="1108"/>
      <c r="Z4013" s="1114"/>
      <c r="AA4013" s="1114"/>
      <c r="AB4013" s="1114"/>
      <c r="AC4013" s="1117"/>
      <c r="AD4013" s="1115"/>
      <c r="AE4013" s="1115"/>
      <c r="AF4013" s="1115"/>
      <c r="AG4013" s="1115"/>
      <c r="AH4013" s="1115"/>
      <c r="AI4013" s="1115"/>
      <c r="AJ4013" s="1117"/>
      <c r="AK4013" s="1118"/>
      <c r="AL4013" s="1115"/>
      <c r="AM4013" s="1115"/>
      <c r="AN4013" s="1115"/>
      <c r="AO4013" s="1115"/>
      <c r="AP4013" s="1115"/>
      <c r="AQ4013" s="1115"/>
      <c r="AR4013" s="1115"/>
      <c r="AS4013" s="1117"/>
      <c r="AT4013" s="1075"/>
      <c r="AU4013" s="1193"/>
      <c r="AV4013" s="330"/>
      <c r="AW4013" s="331"/>
      <c r="AX4013" s="331"/>
      <c r="AY4013" s="331"/>
      <c r="AZ4013" s="331"/>
      <c r="BA4013" s="331"/>
      <c r="BB4013" s="331"/>
      <c r="BC4013" s="331"/>
      <c r="BD4013" s="331"/>
      <c r="BE4013" s="333"/>
      <c r="BF4013" s="330"/>
      <c r="BG4013" s="333"/>
      <c r="BH4013" s="1119"/>
      <c r="BI4013" s="319"/>
      <c r="BJ4013" s="319"/>
      <c r="BK4013" s="319"/>
      <c r="BL4013" s="319"/>
      <c r="BM4013" s="319"/>
      <c r="BN4013" s="319"/>
      <c r="BO4013" s="319"/>
      <c r="BP4013" s="953"/>
      <c r="BQ4013" s="319"/>
      <c r="BR4013" s="319"/>
      <c r="BS4013" s="330"/>
      <c r="BT4013" s="331"/>
      <c r="BU4013" s="920"/>
      <c r="BV4013" s="903"/>
      <c r="BW4013" s="908"/>
      <c r="BX4013" s="908"/>
      <c r="BY4013" s="331"/>
      <c r="BZ4013" s="331"/>
      <c r="CA4013" s="462"/>
      <c r="CB4013" s="319"/>
      <c r="CC4013" s="319"/>
      <c r="CD4013" s="319"/>
      <c r="CE4013" s="319"/>
      <c r="CF4013" s="319"/>
      <c r="CG4013" s="319"/>
      <c r="CH4013" s="318"/>
      <c r="CI4013" s="319"/>
      <c r="CJ4013" s="319"/>
      <c r="CK4013" s="342"/>
      <c r="CL4013" s="333"/>
      <c r="CM4013" s="1079"/>
      <c r="CN4013" s="1005"/>
      <c r="CO4013" s="1005"/>
      <c r="CP4013" s="1005"/>
    </row>
    <row r="4014">
      <c r="A4014" s="1257"/>
      <c r="B4014" s="1113"/>
      <c r="C4014" s="1107"/>
      <c r="D4014" s="103"/>
      <c r="E4014" s="1137"/>
      <c r="F4014" s="112"/>
      <c r="G4014" s="1110"/>
      <c r="H4014" s="1138"/>
      <c r="I4014" s="1138"/>
      <c r="J4014" s="1139"/>
      <c r="K4014" s="1111"/>
      <c r="L4014" s="1112"/>
      <c r="M4014" s="1113"/>
      <c r="N4014" s="110"/>
      <c r="O4014" s="1140"/>
      <c r="P4014" s="1115"/>
      <c r="Q4014" s="1116"/>
      <c r="R4014" s="1141"/>
      <c r="S4014" s="1113"/>
      <c r="T4014" s="1143"/>
      <c r="U4014" s="1108"/>
      <c r="V4014" s="1108"/>
      <c r="W4014" s="1108"/>
      <c r="X4014" s="1108"/>
      <c r="Y4014" s="1108"/>
      <c r="Z4014" s="1114"/>
      <c r="AA4014" s="1114"/>
      <c r="AB4014" s="1114"/>
      <c r="AC4014" s="1117"/>
      <c r="AD4014" s="1115"/>
      <c r="AE4014" s="1115"/>
      <c r="AF4014" s="1115"/>
      <c r="AG4014" s="1115"/>
      <c r="AH4014" s="1115"/>
      <c r="AI4014" s="1115"/>
      <c r="AJ4014" s="1117"/>
      <c r="AK4014" s="1118"/>
      <c r="AL4014" s="1115"/>
      <c r="AM4014" s="1115"/>
      <c r="AN4014" s="1115"/>
      <c r="AO4014" s="1115"/>
      <c r="AP4014" s="1115"/>
      <c r="AQ4014" s="1115"/>
      <c r="AR4014" s="1115"/>
      <c r="AS4014" s="1117"/>
      <c r="AT4014" s="1075"/>
      <c r="AU4014" s="1193"/>
      <c r="AV4014" s="330"/>
      <c r="AW4014" s="331"/>
      <c r="AX4014" s="331"/>
      <c r="AY4014" s="331"/>
      <c r="AZ4014" s="331"/>
      <c r="BA4014" s="331"/>
      <c r="BB4014" s="331"/>
      <c r="BC4014" s="331"/>
      <c r="BD4014" s="331"/>
      <c r="BE4014" s="333"/>
      <c r="BF4014" s="330"/>
      <c r="BG4014" s="333"/>
      <c r="BH4014" s="1119"/>
      <c r="BI4014" s="319"/>
      <c r="BJ4014" s="319"/>
      <c r="BK4014" s="319"/>
      <c r="BL4014" s="319"/>
      <c r="BM4014" s="319"/>
      <c r="BN4014" s="319"/>
      <c r="BO4014" s="319"/>
      <c r="BP4014" s="953"/>
      <c r="BQ4014" s="319"/>
      <c r="BR4014" s="319"/>
      <c r="BS4014" s="330"/>
      <c r="BT4014" s="331"/>
      <c r="BU4014" s="920"/>
      <c r="BV4014" s="903"/>
      <c r="BW4014" s="908"/>
      <c r="BX4014" s="908"/>
      <c r="BY4014" s="331"/>
      <c r="BZ4014" s="331"/>
      <c r="CA4014" s="462"/>
      <c r="CB4014" s="319"/>
      <c r="CC4014" s="319"/>
      <c r="CD4014" s="319"/>
      <c r="CE4014" s="319"/>
      <c r="CF4014" s="319"/>
      <c r="CG4014" s="319"/>
      <c r="CH4014" s="318"/>
      <c r="CI4014" s="319"/>
      <c r="CJ4014" s="319"/>
      <c r="CK4014" s="342"/>
      <c r="CL4014" s="333"/>
      <c r="CM4014" s="1079"/>
      <c r="CN4014" s="1005"/>
      <c r="CO4014" s="1005"/>
      <c r="CP4014" s="1005"/>
    </row>
    <row r="4015">
      <c r="A4015" s="1257"/>
      <c r="B4015" s="1113"/>
      <c r="C4015" s="1107"/>
      <c r="D4015" s="103"/>
      <c r="E4015" s="1137"/>
      <c r="F4015" s="112"/>
      <c r="G4015" s="1110"/>
      <c r="H4015" s="1138"/>
      <c r="I4015" s="1138"/>
      <c r="J4015" s="1139"/>
      <c r="K4015" s="1111"/>
      <c r="L4015" s="1112"/>
      <c r="M4015" s="1113"/>
      <c r="N4015" s="110"/>
      <c r="O4015" s="1140"/>
      <c r="P4015" s="1115"/>
      <c r="Q4015" s="1116"/>
      <c r="R4015" s="1141"/>
      <c r="S4015" s="1113"/>
      <c r="T4015" s="1143"/>
      <c r="U4015" s="1108"/>
      <c r="V4015" s="1108"/>
      <c r="W4015" s="1108"/>
      <c r="X4015" s="1108"/>
      <c r="Y4015" s="1108"/>
      <c r="Z4015" s="1114"/>
      <c r="AA4015" s="1114"/>
      <c r="AB4015" s="1114"/>
      <c r="AC4015" s="1117"/>
      <c r="AD4015" s="1115"/>
      <c r="AE4015" s="1115"/>
      <c r="AF4015" s="1115"/>
      <c r="AG4015" s="1115"/>
      <c r="AH4015" s="1115"/>
      <c r="AI4015" s="1115"/>
      <c r="AJ4015" s="1117"/>
      <c r="AK4015" s="1118"/>
      <c r="AL4015" s="1115"/>
      <c r="AM4015" s="1115"/>
      <c r="AN4015" s="1115"/>
      <c r="AO4015" s="1115"/>
      <c r="AP4015" s="1115"/>
      <c r="AQ4015" s="1115"/>
      <c r="AR4015" s="1115"/>
      <c r="AS4015" s="1117"/>
      <c r="AT4015" s="1075"/>
      <c r="AU4015" s="1193"/>
      <c r="AV4015" s="330"/>
      <c r="AW4015" s="331"/>
      <c r="AX4015" s="331"/>
      <c r="AY4015" s="331"/>
      <c r="AZ4015" s="331"/>
      <c r="BA4015" s="331"/>
      <c r="BB4015" s="331"/>
      <c r="BC4015" s="331"/>
      <c r="BD4015" s="331"/>
      <c r="BE4015" s="333"/>
      <c r="BF4015" s="330"/>
      <c r="BG4015" s="333"/>
      <c r="BH4015" s="1119"/>
      <c r="BI4015" s="319"/>
      <c r="BJ4015" s="319"/>
      <c r="BK4015" s="319"/>
      <c r="BL4015" s="319"/>
      <c r="BM4015" s="319"/>
      <c r="BN4015" s="319"/>
      <c r="BO4015" s="319"/>
      <c r="BP4015" s="953"/>
      <c r="BQ4015" s="319"/>
      <c r="BR4015" s="319"/>
      <c r="BS4015" s="330"/>
      <c r="BT4015" s="331"/>
      <c r="BU4015" s="920"/>
      <c r="BV4015" s="903"/>
      <c r="BW4015" s="908"/>
      <c r="BX4015" s="908"/>
      <c r="BY4015" s="331"/>
      <c r="BZ4015" s="331"/>
      <c r="CA4015" s="462"/>
      <c r="CB4015" s="319"/>
      <c r="CC4015" s="319"/>
      <c r="CD4015" s="319"/>
      <c r="CE4015" s="319"/>
      <c r="CF4015" s="319"/>
      <c r="CG4015" s="319"/>
      <c r="CH4015" s="318"/>
      <c r="CI4015" s="319"/>
      <c r="CJ4015" s="319"/>
      <c r="CK4015" s="342"/>
      <c r="CL4015" s="333"/>
      <c r="CM4015" s="1079"/>
      <c r="CN4015" s="1005"/>
      <c r="CO4015" s="1005"/>
      <c r="CP4015" s="1005"/>
    </row>
    <row r="4016">
      <c r="A4016" s="1257"/>
      <c r="B4016" s="1113"/>
      <c r="C4016" s="1107"/>
      <c r="D4016" s="103"/>
      <c r="E4016" s="1137"/>
      <c r="F4016" s="112"/>
      <c r="G4016" s="1110"/>
      <c r="H4016" s="1138"/>
      <c r="I4016" s="1138"/>
      <c r="J4016" s="1139"/>
      <c r="K4016" s="1111"/>
      <c r="L4016" s="1112"/>
      <c r="M4016" s="1113"/>
      <c r="N4016" s="110"/>
      <c r="O4016" s="1140"/>
      <c r="P4016" s="1115"/>
      <c r="Q4016" s="1116"/>
      <c r="R4016" s="1141"/>
      <c r="S4016" s="1113"/>
      <c r="T4016" s="1143"/>
      <c r="U4016" s="1108"/>
      <c r="V4016" s="1108"/>
      <c r="W4016" s="1108"/>
      <c r="X4016" s="1108"/>
      <c r="Y4016" s="1108"/>
      <c r="Z4016" s="1114"/>
      <c r="AA4016" s="1114"/>
      <c r="AB4016" s="1114"/>
      <c r="AC4016" s="1117"/>
      <c r="AD4016" s="1115"/>
      <c r="AE4016" s="1115"/>
      <c r="AF4016" s="1115"/>
      <c r="AG4016" s="1115"/>
      <c r="AH4016" s="1115"/>
      <c r="AI4016" s="1115"/>
      <c r="AJ4016" s="1117"/>
      <c r="AK4016" s="1118"/>
      <c r="AL4016" s="1115"/>
      <c r="AM4016" s="1115"/>
      <c r="AN4016" s="1115"/>
      <c r="AO4016" s="1115"/>
      <c r="AP4016" s="1115"/>
      <c r="AQ4016" s="1115"/>
      <c r="AR4016" s="1115"/>
      <c r="AS4016" s="1117"/>
      <c r="AT4016" s="1075"/>
      <c r="AU4016" s="1193"/>
      <c r="AV4016" s="330"/>
      <c r="AW4016" s="331"/>
      <c r="AX4016" s="331"/>
      <c r="AY4016" s="331"/>
      <c r="AZ4016" s="331"/>
      <c r="BA4016" s="331"/>
      <c r="BB4016" s="331"/>
      <c r="BC4016" s="331"/>
      <c r="BD4016" s="331"/>
      <c r="BE4016" s="333"/>
      <c r="BF4016" s="330"/>
      <c r="BG4016" s="333"/>
      <c r="BH4016" s="1119"/>
      <c r="BI4016" s="319"/>
      <c r="BJ4016" s="319"/>
      <c r="BK4016" s="319"/>
      <c r="BL4016" s="319"/>
      <c r="BM4016" s="319"/>
      <c r="BN4016" s="319"/>
      <c r="BO4016" s="319"/>
      <c r="BP4016" s="953"/>
      <c r="BQ4016" s="319"/>
      <c r="BR4016" s="319"/>
      <c r="BS4016" s="330"/>
      <c r="BT4016" s="331"/>
      <c r="BU4016" s="920"/>
      <c r="BV4016" s="903"/>
      <c r="BW4016" s="908"/>
      <c r="BX4016" s="908"/>
      <c r="BY4016" s="331"/>
      <c r="BZ4016" s="331"/>
      <c r="CA4016" s="462"/>
      <c r="CB4016" s="319"/>
      <c r="CC4016" s="319"/>
      <c r="CD4016" s="319"/>
      <c r="CE4016" s="319"/>
      <c r="CF4016" s="319"/>
      <c r="CG4016" s="319"/>
      <c r="CH4016" s="318"/>
      <c r="CI4016" s="319"/>
      <c r="CJ4016" s="319"/>
      <c r="CK4016" s="342"/>
      <c r="CL4016" s="333"/>
      <c r="CM4016" s="1079"/>
      <c r="CN4016" s="1005"/>
      <c r="CO4016" s="1005"/>
      <c r="CP4016" s="1005"/>
    </row>
    <row r="4017">
      <c r="A4017" s="1257"/>
      <c r="B4017" s="1113"/>
      <c r="C4017" s="1107"/>
      <c r="D4017" s="103"/>
      <c r="E4017" s="1137"/>
      <c r="F4017" s="112"/>
      <c r="G4017" s="1110"/>
      <c r="H4017" s="1138"/>
      <c r="I4017" s="1138"/>
      <c r="J4017" s="1139"/>
      <c r="K4017" s="1111"/>
      <c r="L4017" s="1112"/>
      <c r="M4017" s="1113"/>
      <c r="N4017" s="110"/>
      <c r="O4017" s="1140"/>
      <c r="P4017" s="1115"/>
      <c r="Q4017" s="1116"/>
      <c r="R4017" s="1141"/>
      <c r="S4017" s="1113"/>
      <c r="T4017" s="1143"/>
      <c r="U4017" s="1108"/>
      <c r="V4017" s="1108"/>
      <c r="W4017" s="1108"/>
      <c r="X4017" s="1108"/>
      <c r="Y4017" s="1108"/>
      <c r="Z4017" s="1114"/>
      <c r="AA4017" s="1114"/>
      <c r="AB4017" s="1114"/>
      <c r="AC4017" s="1117"/>
      <c r="AD4017" s="1115"/>
      <c r="AE4017" s="1115"/>
      <c r="AF4017" s="1115"/>
      <c r="AG4017" s="1115"/>
      <c r="AH4017" s="1115"/>
      <c r="AI4017" s="1115"/>
      <c r="AJ4017" s="1117"/>
      <c r="AK4017" s="1118"/>
      <c r="AL4017" s="1115"/>
      <c r="AM4017" s="1115"/>
      <c r="AN4017" s="1115"/>
      <c r="AO4017" s="1115"/>
      <c r="AP4017" s="1115"/>
      <c r="AQ4017" s="1115"/>
      <c r="AR4017" s="1115"/>
      <c r="AS4017" s="1117"/>
      <c r="AT4017" s="1075"/>
      <c r="AU4017" s="1193"/>
      <c r="AV4017" s="330"/>
      <c r="AW4017" s="331"/>
      <c r="AX4017" s="331"/>
      <c r="AY4017" s="331"/>
      <c r="AZ4017" s="331"/>
      <c r="BA4017" s="331"/>
      <c r="BB4017" s="331"/>
      <c r="BC4017" s="331"/>
      <c r="BD4017" s="331"/>
      <c r="BE4017" s="333"/>
      <c r="BF4017" s="330"/>
      <c r="BG4017" s="333"/>
      <c r="BH4017" s="1119"/>
      <c r="BI4017" s="319"/>
      <c r="BJ4017" s="319"/>
      <c r="BK4017" s="319"/>
      <c r="BL4017" s="319"/>
      <c r="BM4017" s="319"/>
      <c r="BN4017" s="319"/>
      <c r="BO4017" s="319"/>
      <c r="BP4017" s="953"/>
      <c r="BQ4017" s="319"/>
      <c r="BR4017" s="319"/>
      <c r="BS4017" s="330"/>
      <c r="BT4017" s="331"/>
      <c r="BU4017" s="920"/>
      <c r="BV4017" s="903"/>
      <c r="BW4017" s="908"/>
      <c r="BX4017" s="908"/>
      <c r="BY4017" s="331"/>
      <c r="BZ4017" s="331"/>
      <c r="CA4017" s="462"/>
      <c r="CB4017" s="319"/>
      <c r="CC4017" s="319"/>
      <c r="CD4017" s="319"/>
      <c r="CE4017" s="319"/>
      <c r="CF4017" s="319"/>
      <c r="CG4017" s="319"/>
      <c r="CH4017" s="318"/>
      <c r="CI4017" s="319"/>
      <c r="CJ4017" s="319"/>
      <c r="CK4017" s="342"/>
      <c r="CL4017" s="333"/>
      <c r="CM4017" s="1079"/>
      <c r="CN4017" s="1005"/>
      <c r="CO4017" s="1005"/>
      <c r="CP4017" s="1005"/>
    </row>
    <row r="4018">
      <c r="A4018" s="1257"/>
      <c r="B4018" s="1113"/>
      <c r="C4018" s="1107"/>
      <c r="D4018" s="103"/>
      <c r="E4018" s="1137"/>
      <c r="F4018" s="112"/>
      <c r="G4018" s="1110"/>
      <c r="H4018" s="1138"/>
      <c r="I4018" s="1138"/>
      <c r="J4018" s="1139"/>
      <c r="K4018" s="1111"/>
      <c r="L4018" s="1112"/>
      <c r="M4018" s="1113"/>
      <c r="N4018" s="110"/>
      <c r="O4018" s="1140"/>
      <c r="P4018" s="1115"/>
      <c r="Q4018" s="1116"/>
      <c r="R4018" s="1141"/>
      <c r="S4018" s="1113"/>
      <c r="T4018" s="1143"/>
      <c r="U4018" s="1108"/>
      <c r="V4018" s="1108"/>
      <c r="W4018" s="1108"/>
      <c r="X4018" s="1108"/>
      <c r="Y4018" s="1108"/>
      <c r="Z4018" s="1114"/>
      <c r="AA4018" s="1114"/>
      <c r="AB4018" s="1114"/>
      <c r="AC4018" s="1117"/>
      <c r="AD4018" s="1115"/>
      <c r="AE4018" s="1115"/>
      <c r="AF4018" s="1115"/>
      <c r="AG4018" s="1115"/>
      <c r="AH4018" s="1115"/>
      <c r="AI4018" s="1115"/>
      <c r="AJ4018" s="1117"/>
      <c r="AK4018" s="1118"/>
      <c r="AL4018" s="1115"/>
      <c r="AM4018" s="1115"/>
      <c r="AN4018" s="1115"/>
      <c r="AO4018" s="1115"/>
      <c r="AP4018" s="1115"/>
      <c r="AQ4018" s="1115"/>
      <c r="AR4018" s="1115"/>
      <c r="AS4018" s="1117"/>
      <c r="AT4018" s="1075"/>
      <c r="AU4018" s="1193"/>
      <c r="AV4018" s="330"/>
      <c r="AW4018" s="331"/>
      <c r="AX4018" s="331"/>
      <c r="AY4018" s="331"/>
      <c r="AZ4018" s="331"/>
      <c r="BA4018" s="331"/>
      <c r="BB4018" s="331"/>
      <c r="BC4018" s="331"/>
      <c r="BD4018" s="331"/>
      <c r="BE4018" s="333"/>
      <c r="BF4018" s="330"/>
      <c r="BG4018" s="333"/>
      <c r="BH4018" s="1119"/>
      <c r="BI4018" s="319"/>
      <c r="BJ4018" s="319"/>
      <c r="BK4018" s="319"/>
      <c r="BL4018" s="319"/>
      <c r="BM4018" s="319"/>
      <c r="BN4018" s="319"/>
      <c r="BO4018" s="319"/>
      <c r="BP4018" s="953"/>
      <c r="BQ4018" s="319"/>
      <c r="BR4018" s="319"/>
      <c r="BS4018" s="330"/>
      <c r="BT4018" s="331"/>
      <c r="BU4018" s="920"/>
      <c r="BV4018" s="903"/>
      <c r="BW4018" s="908"/>
      <c r="BX4018" s="908"/>
      <c r="BY4018" s="331"/>
      <c r="BZ4018" s="331"/>
      <c r="CA4018" s="462"/>
      <c r="CB4018" s="319"/>
      <c r="CC4018" s="319"/>
      <c r="CD4018" s="319"/>
      <c r="CE4018" s="319"/>
      <c r="CF4018" s="319"/>
      <c r="CG4018" s="319"/>
      <c r="CH4018" s="318"/>
      <c r="CI4018" s="319"/>
      <c r="CJ4018" s="319"/>
      <c r="CK4018" s="342"/>
      <c r="CL4018" s="333"/>
      <c r="CM4018" s="1079"/>
      <c r="CN4018" s="1005"/>
      <c r="CO4018" s="1005"/>
      <c r="CP4018" s="1005"/>
    </row>
    <row r="4019">
      <c r="A4019" s="1257"/>
      <c r="B4019" s="1113"/>
      <c r="C4019" s="1107"/>
      <c r="D4019" s="103"/>
      <c r="E4019" s="1137"/>
      <c r="F4019" s="112"/>
      <c r="G4019" s="1110"/>
      <c r="H4019" s="1138"/>
      <c r="I4019" s="1138"/>
      <c r="J4019" s="1139"/>
      <c r="K4019" s="1111"/>
      <c r="L4019" s="1112"/>
      <c r="M4019" s="1113"/>
      <c r="N4019" s="110"/>
      <c r="O4019" s="1140"/>
      <c r="P4019" s="1115"/>
      <c r="Q4019" s="1116"/>
      <c r="R4019" s="1141"/>
      <c r="S4019" s="1113"/>
      <c r="T4019" s="1143"/>
      <c r="U4019" s="1108"/>
      <c r="V4019" s="1108"/>
      <c r="W4019" s="1108"/>
      <c r="X4019" s="1108"/>
      <c r="Y4019" s="1108"/>
      <c r="Z4019" s="1114"/>
      <c r="AA4019" s="1114"/>
      <c r="AB4019" s="1114"/>
      <c r="AC4019" s="1117"/>
      <c r="AD4019" s="1115"/>
      <c r="AE4019" s="1115"/>
      <c r="AF4019" s="1115"/>
      <c r="AG4019" s="1115"/>
      <c r="AH4019" s="1115"/>
      <c r="AI4019" s="1115"/>
      <c r="AJ4019" s="1117"/>
      <c r="AK4019" s="1118"/>
      <c r="AL4019" s="1115"/>
      <c r="AM4019" s="1115"/>
      <c r="AN4019" s="1115"/>
      <c r="AO4019" s="1115"/>
      <c r="AP4019" s="1115"/>
      <c r="AQ4019" s="1115"/>
      <c r="AR4019" s="1115"/>
      <c r="AS4019" s="1117"/>
      <c r="AT4019" s="1075"/>
      <c r="AU4019" s="1193"/>
      <c r="AV4019" s="330"/>
      <c r="AW4019" s="331"/>
      <c r="AX4019" s="331"/>
      <c r="AY4019" s="331"/>
      <c r="AZ4019" s="331"/>
      <c r="BA4019" s="331"/>
      <c r="BB4019" s="331"/>
      <c r="BC4019" s="331"/>
      <c r="BD4019" s="331"/>
      <c r="BE4019" s="333"/>
      <c r="BF4019" s="330"/>
      <c r="BG4019" s="333"/>
      <c r="BH4019" s="1119"/>
      <c r="BI4019" s="319"/>
      <c r="BJ4019" s="319"/>
      <c r="BK4019" s="319"/>
      <c r="BL4019" s="319"/>
      <c r="BM4019" s="319"/>
      <c r="BN4019" s="319"/>
      <c r="BO4019" s="319"/>
      <c r="BP4019" s="953"/>
      <c r="BQ4019" s="319"/>
      <c r="BR4019" s="319"/>
      <c r="BS4019" s="330"/>
      <c r="BT4019" s="331"/>
      <c r="BU4019" s="920"/>
      <c r="BV4019" s="903"/>
      <c r="BW4019" s="908"/>
      <c r="BX4019" s="908"/>
      <c r="BY4019" s="331"/>
      <c r="BZ4019" s="331"/>
      <c r="CA4019" s="462"/>
      <c r="CB4019" s="319"/>
      <c r="CC4019" s="319"/>
      <c r="CD4019" s="319"/>
      <c r="CE4019" s="319"/>
      <c r="CF4019" s="319"/>
      <c r="CG4019" s="319"/>
      <c r="CH4019" s="318"/>
      <c r="CI4019" s="319"/>
      <c r="CJ4019" s="319"/>
      <c r="CK4019" s="342"/>
      <c r="CL4019" s="333"/>
      <c r="CM4019" s="1079"/>
      <c r="CN4019" s="1005"/>
      <c r="CO4019" s="1005"/>
      <c r="CP4019" s="1005"/>
    </row>
    <row r="4020">
      <c r="A4020" s="1257"/>
      <c r="B4020" s="1113"/>
      <c r="C4020" s="1107"/>
      <c r="D4020" s="103"/>
      <c r="E4020" s="1137"/>
      <c r="F4020" s="112"/>
      <c r="G4020" s="1110"/>
      <c r="H4020" s="1138"/>
      <c r="I4020" s="1138"/>
      <c r="J4020" s="1139"/>
      <c r="K4020" s="1111"/>
      <c r="L4020" s="1112"/>
      <c r="M4020" s="1113"/>
      <c r="N4020" s="110"/>
      <c r="O4020" s="1140"/>
      <c r="P4020" s="1115"/>
      <c r="Q4020" s="1116"/>
      <c r="R4020" s="1141"/>
      <c r="S4020" s="1113"/>
      <c r="T4020" s="1143"/>
      <c r="U4020" s="1108"/>
      <c r="V4020" s="1108"/>
      <c r="W4020" s="1108"/>
      <c r="X4020" s="1108"/>
      <c r="Y4020" s="1108"/>
      <c r="Z4020" s="1114"/>
      <c r="AA4020" s="1114"/>
      <c r="AB4020" s="1114"/>
      <c r="AC4020" s="1117"/>
      <c r="AD4020" s="1115"/>
      <c r="AE4020" s="1115"/>
      <c r="AF4020" s="1115"/>
      <c r="AG4020" s="1115"/>
      <c r="AH4020" s="1115"/>
      <c r="AI4020" s="1115"/>
      <c r="AJ4020" s="1117"/>
      <c r="AK4020" s="1118"/>
      <c r="AL4020" s="1115"/>
      <c r="AM4020" s="1115"/>
      <c r="AN4020" s="1115"/>
      <c r="AO4020" s="1115"/>
      <c r="AP4020" s="1115"/>
      <c r="AQ4020" s="1115"/>
      <c r="AR4020" s="1115"/>
      <c r="AS4020" s="1117"/>
      <c r="AT4020" s="1075"/>
      <c r="AU4020" s="1193"/>
      <c r="AV4020" s="330"/>
      <c r="AW4020" s="331"/>
      <c r="AX4020" s="331"/>
      <c r="AY4020" s="331"/>
      <c r="AZ4020" s="331"/>
      <c r="BA4020" s="331"/>
      <c r="BB4020" s="331"/>
      <c r="BC4020" s="331"/>
      <c r="BD4020" s="331"/>
      <c r="BE4020" s="333"/>
      <c r="BF4020" s="330"/>
      <c r="BG4020" s="333"/>
      <c r="BH4020" s="1119"/>
      <c r="BI4020" s="319"/>
      <c r="BJ4020" s="319"/>
      <c r="BK4020" s="319"/>
      <c r="BL4020" s="319"/>
      <c r="BM4020" s="319"/>
      <c r="BN4020" s="319"/>
      <c r="BO4020" s="319"/>
      <c r="BP4020" s="953"/>
      <c r="BQ4020" s="319"/>
      <c r="BR4020" s="319"/>
      <c r="BS4020" s="330"/>
      <c r="BT4020" s="331"/>
      <c r="BU4020" s="920"/>
      <c r="BV4020" s="903"/>
      <c r="BW4020" s="908"/>
      <c r="BX4020" s="908"/>
      <c r="BY4020" s="331"/>
      <c r="BZ4020" s="331"/>
      <c r="CA4020" s="462"/>
      <c r="CB4020" s="319"/>
      <c r="CC4020" s="319"/>
      <c r="CD4020" s="319"/>
      <c r="CE4020" s="319"/>
      <c r="CF4020" s="319"/>
      <c r="CG4020" s="319"/>
      <c r="CH4020" s="318"/>
      <c r="CI4020" s="319"/>
      <c r="CJ4020" s="319"/>
      <c r="CK4020" s="342"/>
      <c r="CL4020" s="333"/>
      <c r="CM4020" s="1079"/>
      <c r="CN4020" s="1005"/>
      <c r="CO4020" s="1005"/>
      <c r="CP4020" s="1005"/>
    </row>
    <row r="4021">
      <c r="A4021" s="1257"/>
      <c r="B4021" s="1113"/>
      <c r="C4021" s="1107"/>
      <c r="D4021" s="103"/>
      <c r="E4021" s="1137"/>
      <c r="F4021" s="112"/>
      <c r="G4021" s="1110"/>
      <c r="H4021" s="1138"/>
      <c r="I4021" s="1138"/>
      <c r="J4021" s="1139"/>
      <c r="K4021" s="1111"/>
      <c r="L4021" s="1112"/>
      <c r="M4021" s="1113"/>
      <c r="N4021" s="110"/>
      <c r="O4021" s="1140"/>
      <c r="P4021" s="1115"/>
      <c r="Q4021" s="1116"/>
      <c r="R4021" s="1141"/>
      <c r="S4021" s="1113"/>
      <c r="T4021" s="1143"/>
      <c r="U4021" s="1108"/>
      <c r="V4021" s="1108"/>
      <c r="W4021" s="1108"/>
      <c r="X4021" s="1108"/>
      <c r="Y4021" s="1108"/>
      <c r="Z4021" s="1114"/>
      <c r="AA4021" s="1114"/>
      <c r="AB4021" s="1114"/>
      <c r="AC4021" s="1117"/>
      <c r="AD4021" s="1115"/>
      <c r="AE4021" s="1115"/>
      <c r="AF4021" s="1115"/>
      <c r="AG4021" s="1115"/>
      <c r="AH4021" s="1115"/>
      <c r="AI4021" s="1115"/>
      <c r="AJ4021" s="1117"/>
      <c r="AK4021" s="1118"/>
      <c r="AL4021" s="1115"/>
      <c r="AM4021" s="1115"/>
      <c r="AN4021" s="1115"/>
      <c r="AO4021" s="1115"/>
      <c r="AP4021" s="1115"/>
      <c r="AQ4021" s="1115"/>
      <c r="AR4021" s="1115"/>
      <c r="AS4021" s="1117"/>
      <c r="AT4021" s="1075"/>
      <c r="AU4021" s="1193"/>
      <c r="AV4021" s="330"/>
      <c r="AW4021" s="331"/>
      <c r="AX4021" s="331"/>
      <c r="AY4021" s="331"/>
      <c r="AZ4021" s="331"/>
      <c r="BA4021" s="331"/>
      <c r="BB4021" s="331"/>
      <c r="BC4021" s="331"/>
      <c r="BD4021" s="331"/>
      <c r="BE4021" s="333"/>
      <c r="BF4021" s="330"/>
      <c r="BG4021" s="333"/>
      <c r="BH4021" s="1119"/>
      <c r="BI4021" s="319"/>
      <c r="BJ4021" s="319"/>
      <c r="BK4021" s="319"/>
      <c r="BL4021" s="319"/>
      <c r="BM4021" s="319"/>
      <c r="BN4021" s="319"/>
      <c r="BO4021" s="319"/>
      <c r="BP4021" s="953"/>
      <c r="BQ4021" s="319"/>
      <c r="BR4021" s="319"/>
      <c r="BS4021" s="330"/>
      <c r="BT4021" s="331"/>
      <c r="BU4021" s="920"/>
      <c r="BV4021" s="903"/>
      <c r="BW4021" s="908"/>
      <c r="BX4021" s="908"/>
      <c r="BY4021" s="331"/>
      <c r="BZ4021" s="331"/>
      <c r="CA4021" s="462"/>
      <c r="CB4021" s="319"/>
      <c r="CC4021" s="319"/>
      <c r="CD4021" s="319"/>
      <c r="CE4021" s="319"/>
      <c r="CF4021" s="319"/>
      <c r="CG4021" s="319"/>
      <c r="CH4021" s="318"/>
      <c r="CI4021" s="319"/>
      <c r="CJ4021" s="319"/>
      <c r="CK4021" s="342"/>
      <c r="CL4021" s="333"/>
      <c r="CM4021" s="1079"/>
      <c r="CN4021" s="1005"/>
      <c r="CO4021" s="1005"/>
      <c r="CP4021" s="1005"/>
    </row>
    <row r="4022">
      <c r="A4022" s="1257"/>
      <c r="B4022" s="1113"/>
      <c r="C4022" s="1107"/>
      <c r="D4022" s="103"/>
      <c r="E4022" s="1137"/>
      <c r="F4022" s="112"/>
      <c r="G4022" s="1110"/>
      <c r="H4022" s="1138"/>
      <c r="I4022" s="1138"/>
      <c r="J4022" s="1139"/>
      <c r="K4022" s="1111"/>
      <c r="L4022" s="1112"/>
      <c r="M4022" s="1113"/>
      <c r="N4022" s="110"/>
      <c r="O4022" s="1140"/>
      <c r="P4022" s="1115"/>
      <c r="Q4022" s="1116"/>
      <c r="R4022" s="1141"/>
      <c r="S4022" s="1113"/>
      <c r="T4022" s="1143"/>
      <c r="U4022" s="1108"/>
      <c r="V4022" s="1108"/>
      <c r="W4022" s="1108"/>
      <c r="X4022" s="1108"/>
      <c r="Y4022" s="1108"/>
      <c r="Z4022" s="1114"/>
      <c r="AA4022" s="1114"/>
      <c r="AB4022" s="1114"/>
      <c r="AC4022" s="1117"/>
      <c r="AD4022" s="1115"/>
      <c r="AE4022" s="1115"/>
      <c r="AF4022" s="1115"/>
      <c r="AG4022" s="1115"/>
      <c r="AH4022" s="1115"/>
      <c r="AI4022" s="1115"/>
      <c r="AJ4022" s="1117"/>
      <c r="AK4022" s="1118"/>
      <c r="AL4022" s="1115"/>
      <c r="AM4022" s="1115"/>
      <c r="AN4022" s="1115"/>
      <c r="AO4022" s="1115"/>
      <c r="AP4022" s="1115"/>
      <c r="AQ4022" s="1115"/>
      <c r="AR4022" s="1115"/>
      <c r="AS4022" s="1117"/>
      <c r="AT4022" s="1075"/>
      <c r="AU4022" s="1193"/>
      <c r="AV4022" s="330"/>
      <c r="AW4022" s="331"/>
      <c r="AX4022" s="331"/>
      <c r="AY4022" s="331"/>
      <c r="AZ4022" s="331"/>
      <c r="BA4022" s="331"/>
      <c r="BB4022" s="331"/>
      <c r="BC4022" s="331"/>
      <c r="BD4022" s="331"/>
      <c r="BE4022" s="333"/>
      <c r="BF4022" s="330"/>
      <c r="BG4022" s="333"/>
      <c r="BH4022" s="1119"/>
      <c r="BI4022" s="319"/>
      <c r="BJ4022" s="319"/>
      <c r="BK4022" s="319"/>
      <c r="BL4022" s="319"/>
      <c r="BM4022" s="319"/>
      <c r="BN4022" s="319"/>
      <c r="BO4022" s="319"/>
      <c r="BP4022" s="953"/>
      <c r="BQ4022" s="319"/>
      <c r="BR4022" s="319"/>
      <c r="BS4022" s="330"/>
      <c r="BT4022" s="331"/>
      <c r="BU4022" s="920"/>
      <c r="BV4022" s="903"/>
      <c r="BW4022" s="908"/>
      <c r="BX4022" s="908"/>
      <c r="BY4022" s="331"/>
      <c r="BZ4022" s="331"/>
      <c r="CA4022" s="462"/>
      <c r="CB4022" s="319"/>
      <c r="CC4022" s="319"/>
      <c r="CD4022" s="319"/>
      <c r="CE4022" s="319"/>
      <c r="CF4022" s="319"/>
      <c r="CG4022" s="319"/>
      <c r="CH4022" s="318"/>
      <c r="CI4022" s="319"/>
      <c r="CJ4022" s="319"/>
      <c r="CK4022" s="342"/>
      <c r="CL4022" s="333"/>
      <c r="CM4022" s="1079"/>
      <c r="CN4022" s="1005"/>
      <c r="CO4022" s="1005"/>
      <c r="CP4022" s="1005"/>
    </row>
    <row r="4023">
      <c r="A4023" s="1257"/>
      <c r="B4023" s="1113"/>
      <c r="C4023" s="1107"/>
      <c r="D4023" s="103"/>
      <c r="E4023" s="1137"/>
      <c r="F4023" s="112"/>
      <c r="G4023" s="1110"/>
      <c r="H4023" s="1138"/>
      <c r="I4023" s="1138"/>
      <c r="J4023" s="1139"/>
      <c r="K4023" s="1111"/>
      <c r="L4023" s="1112"/>
      <c r="M4023" s="1113"/>
      <c r="N4023" s="110"/>
      <c r="O4023" s="1140"/>
      <c r="P4023" s="1115"/>
      <c r="Q4023" s="1116"/>
      <c r="R4023" s="1141"/>
      <c r="S4023" s="1113"/>
      <c r="T4023" s="1143"/>
      <c r="U4023" s="1108"/>
      <c r="V4023" s="1108"/>
      <c r="W4023" s="1108"/>
      <c r="X4023" s="1108"/>
      <c r="Y4023" s="1108"/>
      <c r="Z4023" s="1114"/>
      <c r="AA4023" s="1114"/>
      <c r="AB4023" s="1114"/>
      <c r="AC4023" s="1117"/>
      <c r="AD4023" s="1115"/>
      <c r="AE4023" s="1115"/>
      <c r="AF4023" s="1115"/>
      <c r="AG4023" s="1115"/>
      <c r="AH4023" s="1115"/>
      <c r="AI4023" s="1115"/>
      <c r="AJ4023" s="1117"/>
      <c r="AK4023" s="1118"/>
      <c r="AL4023" s="1115"/>
      <c r="AM4023" s="1115"/>
      <c r="AN4023" s="1115"/>
      <c r="AO4023" s="1115"/>
      <c r="AP4023" s="1115"/>
      <c r="AQ4023" s="1115"/>
      <c r="AR4023" s="1115"/>
      <c r="AS4023" s="1117"/>
      <c r="AT4023" s="1075"/>
      <c r="AU4023" s="1193"/>
      <c r="AV4023" s="330"/>
      <c r="AW4023" s="331"/>
      <c r="AX4023" s="331"/>
      <c r="AY4023" s="331"/>
      <c r="AZ4023" s="331"/>
      <c r="BA4023" s="331"/>
      <c r="BB4023" s="331"/>
      <c r="BC4023" s="331"/>
      <c r="BD4023" s="331"/>
      <c r="BE4023" s="333"/>
      <c r="BF4023" s="330"/>
      <c r="BG4023" s="333"/>
      <c r="BH4023" s="1119"/>
      <c r="BI4023" s="319"/>
      <c r="BJ4023" s="319"/>
      <c r="BK4023" s="319"/>
      <c r="BL4023" s="319"/>
      <c r="BM4023" s="319"/>
      <c r="BN4023" s="319"/>
      <c r="BO4023" s="319"/>
      <c r="BP4023" s="953"/>
      <c r="BQ4023" s="319"/>
      <c r="BR4023" s="319"/>
      <c r="BS4023" s="330"/>
      <c r="BT4023" s="331"/>
      <c r="BU4023" s="920"/>
      <c r="BV4023" s="903"/>
      <c r="BW4023" s="908"/>
      <c r="BX4023" s="908"/>
      <c r="BY4023" s="331"/>
      <c r="BZ4023" s="331"/>
      <c r="CA4023" s="462"/>
      <c r="CB4023" s="319"/>
      <c r="CC4023" s="319"/>
      <c r="CD4023" s="319"/>
      <c r="CE4023" s="319"/>
      <c r="CF4023" s="319"/>
      <c r="CG4023" s="319"/>
      <c r="CH4023" s="318"/>
      <c r="CI4023" s="319"/>
      <c r="CJ4023" s="319"/>
      <c r="CK4023" s="342"/>
      <c r="CL4023" s="333"/>
      <c r="CM4023" s="1079"/>
      <c r="CN4023" s="1005"/>
      <c r="CO4023" s="1005"/>
      <c r="CP4023" s="1005"/>
    </row>
    <row r="4024">
      <c r="A4024" s="1257"/>
      <c r="B4024" s="1113"/>
      <c r="C4024" s="1107"/>
      <c r="D4024" s="103"/>
      <c r="E4024" s="1137"/>
      <c r="F4024" s="112"/>
      <c r="G4024" s="1110"/>
      <c r="H4024" s="1138"/>
      <c r="I4024" s="1138"/>
      <c r="J4024" s="1139"/>
      <c r="K4024" s="1111"/>
      <c r="L4024" s="1112"/>
      <c r="M4024" s="1113"/>
      <c r="N4024" s="110"/>
      <c r="O4024" s="1140"/>
      <c r="P4024" s="1115"/>
      <c r="Q4024" s="1116"/>
      <c r="R4024" s="1141"/>
      <c r="S4024" s="1113"/>
      <c r="T4024" s="1143"/>
      <c r="U4024" s="1108"/>
      <c r="V4024" s="1108"/>
      <c r="W4024" s="1108"/>
      <c r="X4024" s="1108"/>
      <c r="Y4024" s="1108"/>
      <c r="Z4024" s="1114"/>
      <c r="AA4024" s="1114"/>
      <c r="AB4024" s="1114"/>
      <c r="AC4024" s="1117"/>
      <c r="AD4024" s="1115"/>
      <c r="AE4024" s="1115"/>
      <c r="AF4024" s="1115"/>
      <c r="AG4024" s="1115"/>
      <c r="AH4024" s="1115"/>
      <c r="AI4024" s="1115"/>
      <c r="AJ4024" s="1117"/>
      <c r="AK4024" s="1118"/>
      <c r="AL4024" s="1115"/>
      <c r="AM4024" s="1115"/>
      <c r="AN4024" s="1115"/>
      <c r="AO4024" s="1115"/>
      <c r="AP4024" s="1115"/>
      <c r="AQ4024" s="1115"/>
      <c r="AR4024" s="1115"/>
      <c r="AS4024" s="1117"/>
      <c r="AT4024" s="1075"/>
      <c r="AU4024" s="1193"/>
      <c r="AV4024" s="330"/>
      <c r="AW4024" s="331"/>
      <c r="AX4024" s="331"/>
      <c r="AY4024" s="331"/>
      <c r="AZ4024" s="331"/>
      <c r="BA4024" s="331"/>
      <c r="BB4024" s="331"/>
      <c r="BC4024" s="331"/>
      <c r="BD4024" s="331"/>
      <c r="BE4024" s="333"/>
      <c r="BF4024" s="330"/>
      <c r="BG4024" s="333"/>
      <c r="BH4024" s="1119"/>
      <c r="BI4024" s="319"/>
      <c r="BJ4024" s="319"/>
      <c r="BK4024" s="319"/>
      <c r="BL4024" s="319"/>
      <c r="BM4024" s="319"/>
      <c r="BN4024" s="319"/>
      <c r="BO4024" s="319"/>
      <c r="BP4024" s="953"/>
      <c r="BQ4024" s="319"/>
      <c r="BR4024" s="319"/>
      <c r="BS4024" s="330"/>
      <c r="BT4024" s="331"/>
      <c r="BU4024" s="920"/>
      <c r="BV4024" s="903"/>
      <c r="BW4024" s="908"/>
      <c r="BX4024" s="908"/>
      <c r="BY4024" s="331"/>
      <c r="BZ4024" s="331"/>
      <c r="CA4024" s="462"/>
      <c r="CB4024" s="319"/>
      <c r="CC4024" s="319"/>
      <c r="CD4024" s="319"/>
      <c r="CE4024" s="319"/>
      <c r="CF4024" s="319"/>
      <c r="CG4024" s="319"/>
      <c r="CH4024" s="318"/>
      <c r="CI4024" s="319"/>
      <c r="CJ4024" s="319"/>
      <c r="CK4024" s="342"/>
      <c r="CL4024" s="333"/>
      <c r="CM4024" s="1079"/>
      <c r="CN4024" s="1005"/>
      <c r="CO4024" s="1005"/>
      <c r="CP4024" s="1005"/>
    </row>
    <row r="4025">
      <c r="A4025" s="1257"/>
      <c r="B4025" s="1113"/>
      <c r="C4025" s="1107"/>
      <c r="D4025" s="103"/>
      <c r="E4025" s="1137"/>
      <c r="F4025" s="112"/>
      <c r="G4025" s="1110"/>
      <c r="H4025" s="1138"/>
      <c r="I4025" s="1138"/>
      <c r="J4025" s="1139"/>
      <c r="K4025" s="1111"/>
      <c r="L4025" s="1112"/>
      <c r="M4025" s="1113"/>
      <c r="N4025" s="110"/>
      <c r="O4025" s="1140"/>
      <c r="P4025" s="1115"/>
      <c r="Q4025" s="1116"/>
      <c r="R4025" s="1141"/>
      <c r="S4025" s="1113"/>
      <c r="T4025" s="1143"/>
      <c r="U4025" s="1108"/>
      <c r="V4025" s="1108"/>
      <c r="W4025" s="1108"/>
      <c r="X4025" s="1108"/>
      <c r="Y4025" s="1108"/>
      <c r="Z4025" s="1114"/>
      <c r="AA4025" s="1114"/>
      <c r="AB4025" s="1114"/>
      <c r="AC4025" s="1117"/>
      <c r="AD4025" s="1115"/>
      <c r="AE4025" s="1115"/>
      <c r="AF4025" s="1115"/>
      <c r="AG4025" s="1115"/>
      <c r="AH4025" s="1115"/>
      <c r="AI4025" s="1115"/>
      <c r="AJ4025" s="1117"/>
      <c r="AK4025" s="1118"/>
      <c r="AL4025" s="1115"/>
      <c r="AM4025" s="1115"/>
      <c r="AN4025" s="1115"/>
      <c r="AO4025" s="1115"/>
      <c r="AP4025" s="1115"/>
      <c r="AQ4025" s="1115"/>
      <c r="AR4025" s="1115"/>
      <c r="AS4025" s="1117"/>
      <c r="AT4025" s="1075"/>
      <c r="AU4025" s="1193"/>
      <c r="AV4025" s="330"/>
      <c r="AW4025" s="331"/>
      <c r="AX4025" s="331"/>
      <c r="AY4025" s="331"/>
      <c r="AZ4025" s="331"/>
      <c r="BA4025" s="331"/>
      <c r="BB4025" s="331"/>
      <c r="BC4025" s="331"/>
      <c r="BD4025" s="331"/>
      <c r="BE4025" s="333"/>
      <c r="BF4025" s="330"/>
      <c r="BG4025" s="333"/>
      <c r="BH4025" s="1119"/>
      <c r="BI4025" s="319"/>
      <c r="BJ4025" s="319"/>
      <c r="BK4025" s="319"/>
      <c r="BL4025" s="319"/>
      <c r="BM4025" s="319"/>
      <c r="BN4025" s="319"/>
      <c r="BO4025" s="319"/>
      <c r="BP4025" s="953"/>
      <c r="BQ4025" s="319"/>
      <c r="BR4025" s="319"/>
      <c r="BS4025" s="330"/>
      <c r="BT4025" s="331"/>
      <c r="BU4025" s="920"/>
      <c r="BV4025" s="903"/>
      <c r="BW4025" s="908"/>
      <c r="BX4025" s="908"/>
      <c r="BY4025" s="331"/>
      <c r="BZ4025" s="331"/>
      <c r="CA4025" s="462"/>
      <c r="CB4025" s="319"/>
      <c r="CC4025" s="319"/>
      <c r="CD4025" s="319"/>
      <c r="CE4025" s="319"/>
      <c r="CF4025" s="319"/>
      <c r="CG4025" s="319"/>
      <c r="CH4025" s="318"/>
      <c r="CI4025" s="319"/>
      <c r="CJ4025" s="319"/>
      <c r="CK4025" s="342"/>
      <c r="CL4025" s="333"/>
      <c r="CM4025" s="1079"/>
      <c r="CN4025" s="1005"/>
      <c r="CO4025" s="1005"/>
      <c r="CP4025" s="1005"/>
    </row>
    <row r="4026">
      <c r="A4026" s="1257"/>
      <c r="B4026" s="1113"/>
      <c r="C4026" s="1107"/>
      <c r="D4026" s="103"/>
      <c r="E4026" s="1137"/>
      <c r="F4026" s="112"/>
      <c r="G4026" s="1110"/>
      <c r="H4026" s="1138"/>
      <c r="I4026" s="1138"/>
      <c r="J4026" s="1139"/>
      <c r="K4026" s="1111"/>
      <c r="L4026" s="1112"/>
      <c r="M4026" s="1113"/>
      <c r="N4026" s="110"/>
      <c r="O4026" s="1140"/>
      <c r="P4026" s="1115"/>
      <c r="Q4026" s="1116"/>
      <c r="R4026" s="1141"/>
      <c r="S4026" s="1113"/>
      <c r="T4026" s="1143"/>
      <c r="U4026" s="1108"/>
      <c r="V4026" s="1108"/>
      <c r="W4026" s="1108"/>
      <c r="X4026" s="1108"/>
      <c r="Y4026" s="1108"/>
      <c r="Z4026" s="1114"/>
      <c r="AA4026" s="1114"/>
      <c r="AB4026" s="1114"/>
      <c r="AC4026" s="1117"/>
      <c r="AD4026" s="1115"/>
      <c r="AE4026" s="1115"/>
      <c r="AF4026" s="1115"/>
      <c r="AG4026" s="1115"/>
      <c r="AH4026" s="1115"/>
      <c r="AI4026" s="1115"/>
      <c r="AJ4026" s="1117"/>
      <c r="AK4026" s="1118"/>
      <c r="AL4026" s="1115"/>
      <c r="AM4026" s="1115"/>
      <c r="AN4026" s="1115"/>
      <c r="AO4026" s="1115"/>
      <c r="AP4026" s="1115"/>
      <c r="AQ4026" s="1115"/>
      <c r="AR4026" s="1115"/>
      <c r="AS4026" s="1117"/>
      <c r="AT4026" s="1075"/>
      <c r="AU4026" s="1193"/>
      <c r="AV4026" s="330"/>
      <c r="AW4026" s="331"/>
      <c r="AX4026" s="331"/>
      <c r="AY4026" s="331"/>
      <c r="AZ4026" s="331"/>
      <c r="BA4026" s="331"/>
      <c r="BB4026" s="331"/>
      <c r="BC4026" s="331"/>
      <c r="BD4026" s="331"/>
      <c r="BE4026" s="333"/>
      <c r="BF4026" s="330"/>
      <c r="BG4026" s="333"/>
      <c r="BH4026" s="1119"/>
      <c r="BI4026" s="319"/>
      <c r="BJ4026" s="319"/>
      <c r="BK4026" s="319"/>
      <c r="BL4026" s="319"/>
      <c r="BM4026" s="319"/>
      <c r="BN4026" s="319"/>
      <c r="BO4026" s="319"/>
      <c r="BP4026" s="953"/>
      <c r="BQ4026" s="319"/>
      <c r="BR4026" s="319"/>
      <c r="BS4026" s="330"/>
      <c r="BT4026" s="331"/>
      <c r="BU4026" s="920"/>
      <c r="BV4026" s="903"/>
      <c r="BW4026" s="908"/>
      <c r="BX4026" s="908"/>
      <c r="BY4026" s="331"/>
      <c r="BZ4026" s="331"/>
      <c r="CA4026" s="462"/>
      <c r="CB4026" s="319"/>
      <c r="CC4026" s="319"/>
      <c r="CD4026" s="319"/>
      <c r="CE4026" s="319"/>
      <c r="CF4026" s="319"/>
      <c r="CG4026" s="319"/>
      <c r="CH4026" s="318"/>
      <c r="CI4026" s="319"/>
      <c r="CJ4026" s="319"/>
      <c r="CK4026" s="342"/>
      <c r="CL4026" s="333"/>
      <c r="CM4026" s="1079"/>
      <c r="CN4026" s="1005"/>
      <c r="CO4026" s="1005"/>
      <c r="CP4026" s="1005"/>
    </row>
    <row r="4027">
      <c r="A4027" s="1257"/>
      <c r="B4027" s="1113"/>
      <c r="C4027" s="1107"/>
      <c r="D4027" s="103"/>
      <c r="E4027" s="1137"/>
      <c r="F4027" s="112"/>
      <c r="G4027" s="1110"/>
      <c r="H4027" s="1138"/>
      <c r="I4027" s="1138"/>
      <c r="J4027" s="1139"/>
      <c r="K4027" s="1111"/>
      <c r="L4027" s="1112"/>
      <c r="M4027" s="1113"/>
      <c r="N4027" s="110"/>
      <c r="O4027" s="1140"/>
      <c r="P4027" s="1115"/>
      <c r="Q4027" s="1116"/>
      <c r="R4027" s="1141"/>
      <c r="S4027" s="1113"/>
      <c r="T4027" s="1143"/>
      <c r="U4027" s="1108"/>
      <c r="V4027" s="1108"/>
      <c r="W4027" s="1108"/>
      <c r="X4027" s="1108"/>
      <c r="Y4027" s="1108"/>
      <c r="Z4027" s="1114"/>
      <c r="AA4027" s="1114"/>
      <c r="AB4027" s="1114"/>
      <c r="AC4027" s="1117"/>
      <c r="AD4027" s="1115"/>
      <c r="AE4027" s="1115"/>
      <c r="AF4027" s="1115"/>
      <c r="AG4027" s="1115"/>
      <c r="AH4027" s="1115"/>
      <c r="AI4027" s="1115"/>
      <c r="AJ4027" s="1117"/>
      <c r="AK4027" s="1118"/>
      <c r="AL4027" s="1115"/>
      <c r="AM4027" s="1115"/>
      <c r="AN4027" s="1115"/>
      <c r="AO4027" s="1115"/>
      <c r="AP4027" s="1115"/>
      <c r="AQ4027" s="1115"/>
      <c r="AR4027" s="1115"/>
      <c r="AS4027" s="1117"/>
      <c r="AT4027" s="1075"/>
      <c r="AU4027" s="1193"/>
      <c r="AV4027" s="330"/>
      <c r="AW4027" s="331"/>
      <c r="AX4027" s="331"/>
      <c r="AY4027" s="331"/>
      <c r="AZ4027" s="331"/>
      <c r="BA4027" s="331"/>
      <c r="BB4027" s="331"/>
      <c r="BC4027" s="331"/>
      <c r="BD4027" s="331"/>
      <c r="BE4027" s="333"/>
      <c r="BF4027" s="330"/>
      <c r="BG4027" s="333"/>
      <c r="BH4027" s="1119"/>
      <c r="BI4027" s="319"/>
      <c r="BJ4027" s="319"/>
      <c r="BK4027" s="319"/>
      <c r="BL4027" s="319"/>
      <c r="BM4027" s="319"/>
      <c r="BN4027" s="319"/>
      <c r="BO4027" s="319"/>
      <c r="BP4027" s="953"/>
      <c r="BQ4027" s="319"/>
      <c r="BR4027" s="319"/>
      <c r="BS4027" s="330"/>
      <c r="BT4027" s="331"/>
      <c r="BU4027" s="920"/>
      <c r="BV4027" s="903"/>
      <c r="BW4027" s="908"/>
      <c r="BX4027" s="908"/>
      <c r="BY4027" s="331"/>
      <c r="BZ4027" s="331"/>
      <c r="CA4027" s="462"/>
      <c r="CB4027" s="319"/>
      <c r="CC4027" s="319"/>
      <c r="CD4027" s="319"/>
      <c r="CE4027" s="319"/>
      <c r="CF4027" s="319"/>
      <c r="CG4027" s="319"/>
      <c r="CH4027" s="318"/>
      <c r="CI4027" s="319"/>
      <c r="CJ4027" s="319"/>
      <c r="CK4027" s="342"/>
      <c r="CL4027" s="333"/>
      <c r="CM4027" s="1079"/>
      <c r="CN4027" s="1005"/>
      <c r="CO4027" s="1005"/>
      <c r="CP4027" s="1005"/>
    </row>
    <row r="4028">
      <c r="A4028" s="1257"/>
      <c r="B4028" s="1113"/>
      <c r="C4028" s="1107"/>
      <c r="D4028" s="103"/>
      <c r="E4028" s="1137"/>
      <c r="F4028" s="112"/>
      <c r="G4028" s="1110"/>
      <c r="H4028" s="1138"/>
      <c r="I4028" s="1138"/>
      <c r="J4028" s="1139"/>
      <c r="K4028" s="1111"/>
      <c r="L4028" s="1112"/>
      <c r="M4028" s="1113"/>
      <c r="N4028" s="110"/>
      <c r="O4028" s="1140"/>
      <c r="P4028" s="1115"/>
      <c r="Q4028" s="1116"/>
      <c r="R4028" s="1141"/>
      <c r="S4028" s="1113"/>
      <c r="T4028" s="1143"/>
      <c r="U4028" s="1108"/>
      <c r="V4028" s="1108"/>
      <c r="W4028" s="1108"/>
      <c r="X4028" s="1108"/>
      <c r="Y4028" s="1108"/>
      <c r="Z4028" s="1114"/>
      <c r="AA4028" s="1114"/>
      <c r="AB4028" s="1114"/>
      <c r="AC4028" s="1117"/>
      <c r="AD4028" s="1115"/>
      <c r="AE4028" s="1115"/>
      <c r="AF4028" s="1115"/>
      <c r="AG4028" s="1115"/>
      <c r="AH4028" s="1115"/>
      <c r="AI4028" s="1115"/>
      <c r="AJ4028" s="1117"/>
      <c r="AK4028" s="1118"/>
      <c r="AL4028" s="1115"/>
      <c r="AM4028" s="1115"/>
      <c r="AN4028" s="1115"/>
      <c r="AO4028" s="1115"/>
      <c r="AP4028" s="1115"/>
      <c r="AQ4028" s="1115"/>
      <c r="AR4028" s="1115"/>
      <c r="AS4028" s="1117"/>
      <c r="AT4028" s="1075"/>
      <c r="AU4028" s="1193"/>
      <c r="AV4028" s="330"/>
      <c r="AW4028" s="331"/>
      <c r="AX4028" s="331"/>
      <c r="AY4028" s="331"/>
      <c r="AZ4028" s="331"/>
      <c r="BA4028" s="331"/>
      <c r="BB4028" s="331"/>
      <c r="BC4028" s="331"/>
      <c r="BD4028" s="331"/>
      <c r="BE4028" s="333"/>
      <c r="BF4028" s="330"/>
      <c r="BG4028" s="333"/>
      <c r="BH4028" s="1119"/>
      <c r="BI4028" s="319"/>
      <c r="BJ4028" s="319"/>
      <c r="BK4028" s="319"/>
      <c r="BL4028" s="319"/>
      <c r="BM4028" s="319"/>
      <c r="BN4028" s="319"/>
      <c r="BO4028" s="319"/>
      <c r="BP4028" s="953"/>
      <c r="BQ4028" s="319"/>
      <c r="BR4028" s="319"/>
      <c r="BS4028" s="330"/>
      <c r="BT4028" s="331"/>
      <c r="BU4028" s="920"/>
      <c r="BV4028" s="903"/>
      <c r="BW4028" s="908"/>
      <c r="BX4028" s="908"/>
      <c r="BY4028" s="331"/>
      <c r="BZ4028" s="331"/>
      <c r="CA4028" s="462"/>
      <c r="CB4028" s="319"/>
      <c r="CC4028" s="319"/>
      <c r="CD4028" s="319"/>
      <c r="CE4028" s="319"/>
      <c r="CF4028" s="319"/>
      <c r="CG4028" s="319"/>
      <c r="CH4028" s="318"/>
      <c r="CI4028" s="319"/>
      <c r="CJ4028" s="319"/>
      <c r="CK4028" s="342"/>
      <c r="CL4028" s="333"/>
      <c r="CM4028" s="1079"/>
      <c r="CN4028" s="1005"/>
      <c r="CO4028" s="1005"/>
      <c r="CP4028" s="1005"/>
    </row>
    <row r="4029">
      <c r="A4029" s="1257"/>
      <c r="B4029" s="1113"/>
      <c r="C4029" s="1107"/>
      <c r="D4029" s="103"/>
      <c r="E4029" s="1137"/>
      <c r="F4029" s="112"/>
      <c r="G4029" s="1110"/>
      <c r="H4029" s="1138"/>
      <c r="I4029" s="1138"/>
      <c r="J4029" s="1139"/>
      <c r="K4029" s="1111"/>
      <c r="L4029" s="1112"/>
      <c r="M4029" s="1113"/>
      <c r="N4029" s="110"/>
      <c r="O4029" s="1140"/>
      <c r="P4029" s="1115"/>
      <c r="Q4029" s="1116"/>
      <c r="R4029" s="1141"/>
      <c r="S4029" s="1113"/>
      <c r="T4029" s="1143"/>
      <c r="U4029" s="1108"/>
      <c r="V4029" s="1108"/>
      <c r="W4029" s="1108"/>
      <c r="X4029" s="1108"/>
      <c r="Y4029" s="1108"/>
      <c r="Z4029" s="1114"/>
      <c r="AA4029" s="1114"/>
      <c r="AB4029" s="1114"/>
      <c r="AC4029" s="1117"/>
      <c r="AD4029" s="1115"/>
      <c r="AE4029" s="1115"/>
      <c r="AF4029" s="1115"/>
      <c r="AG4029" s="1115"/>
      <c r="AH4029" s="1115"/>
      <c r="AI4029" s="1115"/>
      <c r="AJ4029" s="1117"/>
      <c r="AK4029" s="1118"/>
      <c r="AL4029" s="1115"/>
      <c r="AM4029" s="1115"/>
      <c r="AN4029" s="1115"/>
      <c r="AO4029" s="1115"/>
      <c r="AP4029" s="1115"/>
      <c r="AQ4029" s="1115"/>
      <c r="AR4029" s="1115"/>
      <c r="AS4029" s="1117"/>
      <c r="AT4029" s="1075"/>
      <c r="AU4029" s="1193"/>
      <c r="AV4029" s="330"/>
      <c r="AW4029" s="331"/>
      <c r="AX4029" s="331"/>
      <c r="AY4029" s="331"/>
      <c r="AZ4029" s="331"/>
      <c r="BA4029" s="331"/>
      <c r="BB4029" s="331"/>
      <c r="BC4029" s="331"/>
      <c r="BD4029" s="331"/>
      <c r="BE4029" s="333"/>
      <c r="BF4029" s="330"/>
      <c r="BG4029" s="333"/>
      <c r="BH4029" s="1119"/>
      <c r="BI4029" s="319"/>
      <c r="BJ4029" s="319"/>
      <c r="BK4029" s="319"/>
      <c r="BL4029" s="319"/>
      <c r="BM4029" s="319"/>
      <c r="BN4029" s="319"/>
      <c r="BO4029" s="319"/>
      <c r="BP4029" s="953"/>
      <c r="BQ4029" s="319"/>
      <c r="BR4029" s="319"/>
      <c r="BS4029" s="330"/>
      <c r="BT4029" s="331"/>
      <c r="BU4029" s="920"/>
      <c r="BV4029" s="903"/>
      <c r="BW4029" s="908"/>
      <c r="BX4029" s="908"/>
      <c r="BY4029" s="331"/>
      <c r="BZ4029" s="331"/>
      <c r="CA4029" s="462"/>
      <c r="CB4029" s="319"/>
      <c r="CC4029" s="319"/>
      <c r="CD4029" s="319"/>
      <c r="CE4029" s="319"/>
      <c r="CF4029" s="319"/>
      <c r="CG4029" s="319"/>
      <c r="CH4029" s="318"/>
      <c r="CI4029" s="319"/>
      <c r="CJ4029" s="319"/>
      <c r="CK4029" s="342"/>
      <c r="CL4029" s="333"/>
      <c r="CM4029" s="1079"/>
      <c r="CN4029" s="1005"/>
      <c r="CO4029" s="1005"/>
      <c r="CP4029" s="1005"/>
    </row>
    <row r="4030">
      <c r="A4030" s="1257"/>
      <c r="B4030" s="1113"/>
      <c r="C4030" s="1107"/>
      <c r="D4030" s="103"/>
      <c r="E4030" s="1137"/>
      <c r="F4030" s="112"/>
      <c r="G4030" s="1110"/>
      <c r="H4030" s="1138"/>
      <c r="I4030" s="1138"/>
      <c r="J4030" s="1139"/>
      <c r="K4030" s="1111"/>
      <c r="L4030" s="1112"/>
      <c r="M4030" s="1113"/>
      <c r="N4030" s="110"/>
      <c r="O4030" s="1140"/>
      <c r="P4030" s="1115"/>
      <c r="Q4030" s="1116"/>
      <c r="R4030" s="1141"/>
      <c r="S4030" s="1113"/>
      <c r="T4030" s="1143"/>
      <c r="U4030" s="1108"/>
      <c r="V4030" s="1108"/>
      <c r="W4030" s="1108"/>
      <c r="X4030" s="1108"/>
      <c r="Y4030" s="1108"/>
      <c r="Z4030" s="1114"/>
      <c r="AA4030" s="1114"/>
      <c r="AB4030" s="1114"/>
      <c r="AC4030" s="1117"/>
      <c r="AD4030" s="1115"/>
      <c r="AE4030" s="1115"/>
      <c r="AF4030" s="1115"/>
      <c r="AG4030" s="1115"/>
      <c r="AH4030" s="1115"/>
      <c r="AI4030" s="1115"/>
      <c r="AJ4030" s="1117"/>
      <c r="AK4030" s="1118"/>
      <c r="AL4030" s="1115"/>
      <c r="AM4030" s="1115"/>
      <c r="AN4030" s="1115"/>
      <c r="AO4030" s="1115"/>
      <c r="AP4030" s="1115"/>
      <c r="AQ4030" s="1115"/>
      <c r="AR4030" s="1115"/>
      <c r="AS4030" s="1117"/>
      <c r="AT4030" s="1075"/>
      <c r="AU4030" s="1193"/>
      <c r="AV4030" s="330"/>
      <c r="AW4030" s="331"/>
      <c r="AX4030" s="331"/>
      <c r="AY4030" s="331"/>
      <c r="AZ4030" s="331"/>
      <c r="BA4030" s="331"/>
      <c r="BB4030" s="331"/>
      <c r="BC4030" s="331"/>
      <c r="BD4030" s="331"/>
      <c r="BE4030" s="333"/>
      <c r="BF4030" s="330"/>
      <c r="BG4030" s="333"/>
      <c r="BH4030" s="1119"/>
      <c r="BI4030" s="319"/>
      <c r="BJ4030" s="319"/>
      <c r="BK4030" s="319"/>
      <c r="BL4030" s="319"/>
      <c r="BM4030" s="319"/>
      <c r="BN4030" s="319"/>
      <c r="BO4030" s="319"/>
      <c r="BP4030" s="953"/>
      <c r="BQ4030" s="319"/>
      <c r="BR4030" s="319"/>
      <c r="BS4030" s="330"/>
      <c r="BT4030" s="331"/>
      <c r="BU4030" s="920"/>
      <c r="BV4030" s="903"/>
      <c r="BW4030" s="908"/>
      <c r="BX4030" s="908"/>
      <c r="BY4030" s="331"/>
      <c r="BZ4030" s="331"/>
      <c r="CA4030" s="462"/>
      <c r="CB4030" s="319"/>
      <c r="CC4030" s="319"/>
      <c r="CD4030" s="319"/>
      <c r="CE4030" s="319"/>
      <c r="CF4030" s="319"/>
      <c r="CG4030" s="319"/>
      <c r="CH4030" s="318"/>
      <c r="CI4030" s="319"/>
      <c r="CJ4030" s="319"/>
      <c r="CK4030" s="342"/>
      <c r="CL4030" s="333"/>
      <c r="CM4030" s="1079"/>
      <c r="CN4030" s="1005"/>
      <c r="CO4030" s="1005"/>
      <c r="CP4030" s="1005"/>
    </row>
    <row r="4031">
      <c r="A4031" s="1257"/>
      <c r="B4031" s="1113"/>
      <c r="C4031" s="1107"/>
      <c r="D4031" s="103"/>
      <c r="E4031" s="1137"/>
      <c r="F4031" s="112"/>
      <c r="G4031" s="1110"/>
      <c r="H4031" s="1138"/>
      <c r="I4031" s="1138"/>
      <c r="J4031" s="1139"/>
      <c r="K4031" s="1111"/>
      <c r="L4031" s="1112"/>
      <c r="M4031" s="1113"/>
      <c r="N4031" s="110"/>
      <c r="O4031" s="1140"/>
      <c r="P4031" s="1115"/>
      <c r="Q4031" s="1116"/>
      <c r="R4031" s="1141"/>
      <c r="S4031" s="1113"/>
      <c r="T4031" s="1143"/>
      <c r="U4031" s="1108"/>
      <c r="V4031" s="1108"/>
      <c r="W4031" s="1108"/>
      <c r="X4031" s="1108"/>
      <c r="Y4031" s="1108"/>
      <c r="Z4031" s="1114"/>
      <c r="AA4031" s="1114"/>
      <c r="AB4031" s="1114"/>
      <c r="AC4031" s="1117"/>
      <c r="AD4031" s="1115"/>
      <c r="AE4031" s="1115"/>
      <c r="AF4031" s="1115"/>
      <c r="AG4031" s="1115"/>
      <c r="AH4031" s="1115"/>
      <c r="AI4031" s="1115"/>
      <c r="AJ4031" s="1117"/>
      <c r="AK4031" s="1118"/>
      <c r="AL4031" s="1115"/>
      <c r="AM4031" s="1115"/>
      <c r="AN4031" s="1115"/>
      <c r="AO4031" s="1115"/>
      <c r="AP4031" s="1115"/>
      <c r="AQ4031" s="1115"/>
      <c r="AR4031" s="1115"/>
      <c r="AS4031" s="1117"/>
      <c r="AT4031" s="1075"/>
      <c r="AU4031" s="1193"/>
      <c r="AV4031" s="330"/>
      <c r="AW4031" s="331"/>
      <c r="AX4031" s="331"/>
      <c r="AY4031" s="331"/>
      <c r="AZ4031" s="331"/>
      <c r="BA4031" s="331"/>
      <c r="BB4031" s="331"/>
      <c r="BC4031" s="331"/>
      <c r="BD4031" s="331"/>
      <c r="BE4031" s="333"/>
      <c r="BF4031" s="330"/>
      <c r="BG4031" s="333"/>
      <c r="BH4031" s="1119"/>
      <c r="BI4031" s="319"/>
      <c r="BJ4031" s="319"/>
      <c r="BK4031" s="319"/>
      <c r="BL4031" s="319"/>
      <c r="BM4031" s="319"/>
      <c r="BN4031" s="319"/>
      <c r="BO4031" s="319"/>
      <c r="BP4031" s="953"/>
      <c r="BQ4031" s="319"/>
      <c r="BR4031" s="319"/>
      <c r="BS4031" s="330"/>
      <c r="BT4031" s="331"/>
      <c r="BU4031" s="920"/>
      <c r="BV4031" s="903"/>
      <c r="BW4031" s="908"/>
      <c r="BX4031" s="908"/>
      <c r="BY4031" s="331"/>
      <c r="BZ4031" s="331"/>
      <c r="CA4031" s="462"/>
      <c r="CB4031" s="319"/>
      <c r="CC4031" s="319"/>
      <c r="CD4031" s="319"/>
      <c r="CE4031" s="319"/>
      <c r="CF4031" s="319"/>
      <c r="CG4031" s="319"/>
      <c r="CH4031" s="318"/>
      <c r="CI4031" s="319"/>
      <c r="CJ4031" s="319"/>
      <c r="CK4031" s="342"/>
      <c r="CL4031" s="333"/>
      <c r="CM4031" s="1079"/>
      <c r="CN4031" s="1005"/>
      <c r="CO4031" s="1005"/>
      <c r="CP4031" s="1005"/>
    </row>
    <row r="4032">
      <c r="A4032" s="1257"/>
      <c r="B4032" s="1113"/>
      <c r="C4032" s="1107"/>
      <c r="D4032" s="103"/>
      <c r="E4032" s="1137"/>
      <c r="F4032" s="112"/>
      <c r="G4032" s="1110"/>
      <c r="H4032" s="1138"/>
      <c r="I4032" s="1138"/>
      <c r="J4032" s="1139"/>
      <c r="K4032" s="1111"/>
      <c r="L4032" s="1112"/>
      <c r="M4032" s="1113"/>
      <c r="N4032" s="110"/>
      <c r="O4032" s="1140"/>
      <c r="P4032" s="1115"/>
      <c r="Q4032" s="1116"/>
      <c r="R4032" s="1141"/>
      <c r="S4032" s="1113"/>
      <c r="T4032" s="1143"/>
      <c r="U4032" s="1108"/>
      <c r="V4032" s="1108"/>
      <c r="W4032" s="1108"/>
      <c r="X4032" s="1108"/>
      <c r="Y4032" s="1108"/>
      <c r="Z4032" s="1114"/>
      <c r="AA4032" s="1114"/>
      <c r="AB4032" s="1114"/>
      <c r="AC4032" s="1117"/>
      <c r="AD4032" s="1115"/>
      <c r="AE4032" s="1115"/>
      <c r="AF4032" s="1115"/>
      <c r="AG4032" s="1115"/>
      <c r="AH4032" s="1115"/>
      <c r="AI4032" s="1115"/>
      <c r="AJ4032" s="1117"/>
      <c r="AK4032" s="1118"/>
      <c r="AL4032" s="1115"/>
      <c r="AM4032" s="1115"/>
      <c r="AN4032" s="1115"/>
      <c r="AO4032" s="1115"/>
      <c r="AP4032" s="1115"/>
      <c r="AQ4032" s="1115"/>
      <c r="AR4032" s="1115"/>
      <c r="AS4032" s="1117"/>
      <c r="AT4032" s="1075"/>
      <c r="AU4032" s="1193"/>
      <c r="AV4032" s="330"/>
      <c r="AW4032" s="331"/>
      <c r="AX4032" s="331"/>
      <c r="AY4032" s="331"/>
      <c r="AZ4032" s="331"/>
      <c r="BA4032" s="331"/>
      <c r="BB4032" s="331"/>
      <c r="BC4032" s="331"/>
      <c r="BD4032" s="331"/>
      <c r="BE4032" s="333"/>
      <c r="BF4032" s="330"/>
      <c r="BG4032" s="333"/>
      <c r="BH4032" s="1119"/>
      <c r="BI4032" s="319"/>
      <c r="BJ4032" s="319"/>
      <c r="BK4032" s="319"/>
      <c r="BL4032" s="319"/>
      <c r="BM4032" s="319"/>
      <c r="BN4032" s="319"/>
      <c r="BO4032" s="319"/>
      <c r="BP4032" s="953"/>
      <c r="BQ4032" s="319"/>
      <c r="BR4032" s="319"/>
      <c r="BS4032" s="330"/>
      <c r="BT4032" s="331"/>
      <c r="BU4032" s="920"/>
      <c r="BV4032" s="903"/>
      <c r="BW4032" s="908"/>
      <c r="BX4032" s="908"/>
      <c r="BY4032" s="331"/>
      <c r="BZ4032" s="331"/>
      <c r="CA4032" s="462"/>
      <c r="CB4032" s="319"/>
      <c r="CC4032" s="319"/>
      <c r="CD4032" s="319"/>
      <c r="CE4032" s="319"/>
      <c r="CF4032" s="319"/>
      <c r="CG4032" s="319"/>
      <c r="CH4032" s="318"/>
      <c r="CI4032" s="319"/>
      <c r="CJ4032" s="319"/>
      <c r="CK4032" s="342"/>
      <c r="CL4032" s="333"/>
      <c r="CM4032" s="1079"/>
      <c r="CN4032" s="1005"/>
      <c r="CO4032" s="1005"/>
      <c r="CP4032" s="1005"/>
    </row>
    <row r="4033">
      <c r="A4033" s="1257"/>
      <c r="B4033" s="1113"/>
      <c r="C4033" s="1107"/>
      <c r="D4033" s="103"/>
      <c r="E4033" s="1137"/>
      <c r="F4033" s="112"/>
      <c r="G4033" s="1110"/>
      <c r="H4033" s="1138"/>
      <c r="I4033" s="1138"/>
      <c r="J4033" s="1139"/>
      <c r="K4033" s="1111"/>
      <c r="L4033" s="1112"/>
      <c r="M4033" s="1113"/>
      <c r="N4033" s="110"/>
      <c r="O4033" s="1140"/>
      <c r="P4033" s="1115"/>
      <c r="Q4033" s="1116"/>
      <c r="R4033" s="1141"/>
      <c r="S4033" s="1113"/>
      <c r="T4033" s="1143"/>
      <c r="U4033" s="1108"/>
      <c r="V4033" s="1108"/>
      <c r="W4033" s="1108"/>
      <c r="X4033" s="1108"/>
      <c r="Y4033" s="1108"/>
      <c r="Z4033" s="1114"/>
      <c r="AA4033" s="1114"/>
      <c r="AB4033" s="1114"/>
      <c r="AC4033" s="1117"/>
      <c r="AD4033" s="1115"/>
      <c r="AE4033" s="1115"/>
      <c r="AF4033" s="1115"/>
      <c r="AG4033" s="1115"/>
      <c r="AH4033" s="1115"/>
      <c r="AI4033" s="1115"/>
      <c r="AJ4033" s="1117"/>
      <c r="AK4033" s="1118"/>
      <c r="AL4033" s="1115"/>
      <c r="AM4033" s="1115"/>
      <c r="AN4033" s="1115"/>
      <c r="AO4033" s="1115"/>
      <c r="AP4033" s="1115"/>
      <c r="AQ4033" s="1115"/>
      <c r="AR4033" s="1115"/>
      <c r="AS4033" s="1117"/>
      <c r="AT4033" s="1075"/>
      <c r="AU4033" s="1193"/>
      <c r="AV4033" s="330"/>
      <c r="AW4033" s="331"/>
      <c r="AX4033" s="331"/>
      <c r="AY4033" s="331"/>
      <c r="AZ4033" s="331"/>
      <c r="BA4033" s="331"/>
      <c r="BB4033" s="331"/>
      <c r="BC4033" s="331"/>
      <c r="BD4033" s="331"/>
      <c r="BE4033" s="333"/>
      <c r="BF4033" s="330"/>
      <c r="BG4033" s="333"/>
      <c r="BH4033" s="1119"/>
      <c r="BI4033" s="319"/>
      <c r="BJ4033" s="319"/>
      <c r="BK4033" s="319"/>
      <c r="BL4033" s="319"/>
      <c r="BM4033" s="319"/>
      <c r="BN4033" s="319"/>
      <c r="BO4033" s="319"/>
      <c r="BP4033" s="953"/>
      <c r="BQ4033" s="319"/>
      <c r="BR4033" s="319"/>
      <c r="BS4033" s="330"/>
      <c r="BT4033" s="331"/>
      <c r="BU4033" s="920"/>
      <c r="BV4033" s="903"/>
      <c r="BW4033" s="908"/>
      <c r="BX4033" s="908"/>
      <c r="BY4033" s="331"/>
      <c r="BZ4033" s="331"/>
      <c r="CA4033" s="462"/>
      <c r="CB4033" s="319"/>
      <c r="CC4033" s="319"/>
      <c r="CD4033" s="319"/>
      <c r="CE4033" s="319"/>
      <c r="CF4033" s="319"/>
      <c r="CG4033" s="319"/>
      <c r="CH4033" s="318"/>
      <c r="CI4033" s="319"/>
      <c r="CJ4033" s="319"/>
      <c r="CK4033" s="342"/>
      <c r="CL4033" s="333"/>
      <c r="CM4033" s="1079"/>
      <c r="CN4033" s="1005"/>
      <c r="CO4033" s="1005"/>
      <c r="CP4033" s="1005"/>
    </row>
    <row r="4034">
      <c r="A4034" s="1257"/>
      <c r="B4034" s="1113"/>
      <c r="C4034" s="1107"/>
      <c r="D4034" s="103"/>
      <c r="E4034" s="1137"/>
      <c r="F4034" s="112"/>
      <c r="G4034" s="1110"/>
      <c r="H4034" s="1138"/>
      <c r="I4034" s="1138"/>
      <c r="J4034" s="1139"/>
      <c r="K4034" s="1111"/>
      <c r="L4034" s="1112"/>
      <c r="M4034" s="1113"/>
      <c r="N4034" s="110"/>
      <c r="O4034" s="1140"/>
      <c r="P4034" s="1115"/>
      <c r="Q4034" s="1116"/>
      <c r="R4034" s="1141"/>
      <c r="S4034" s="1113"/>
      <c r="T4034" s="1143"/>
      <c r="U4034" s="1108"/>
      <c r="V4034" s="1108"/>
      <c r="W4034" s="1108"/>
      <c r="X4034" s="1108"/>
      <c r="Y4034" s="1108"/>
      <c r="Z4034" s="1114"/>
      <c r="AA4034" s="1114"/>
      <c r="AB4034" s="1114"/>
      <c r="AC4034" s="1117"/>
      <c r="AD4034" s="1115"/>
      <c r="AE4034" s="1115"/>
      <c r="AF4034" s="1115"/>
      <c r="AG4034" s="1115"/>
      <c r="AH4034" s="1115"/>
      <c r="AI4034" s="1115"/>
      <c r="AJ4034" s="1117"/>
      <c r="AK4034" s="1118"/>
      <c r="AL4034" s="1115"/>
      <c r="AM4034" s="1115"/>
      <c r="AN4034" s="1115"/>
      <c r="AO4034" s="1115"/>
      <c r="AP4034" s="1115"/>
      <c r="AQ4034" s="1115"/>
      <c r="AR4034" s="1115"/>
      <c r="AS4034" s="1117"/>
      <c r="AT4034" s="1075"/>
      <c r="AU4034" s="1193"/>
      <c r="AV4034" s="330"/>
      <c r="AW4034" s="331"/>
      <c r="AX4034" s="331"/>
      <c r="AY4034" s="331"/>
      <c r="AZ4034" s="331"/>
      <c r="BA4034" s="331"/>
      <c r="BB4034" s="331"/>
      <c r="BC4034" s="331"/>
      <c r="BD4034" s="331"/>
      <c r="BE4034" s="333"/>
      <c r="BF4034" s="330"/>
      <c r="BG4034" s="333"/>
      <c r="BH4034" s="1119"/>
      <c r="BI4034" s="319"/>
      <c r="BJ4034" s="319"/>
      <c r="BK4034" s="319"/>
      <c r="BL4034" s="319"/>
      <c r="BM4034" s="319"/>
      <c r="BN4034" s="319"/>
      <c r="BO4034" s="319"/>
      <c r="BP4034" s="953"/>
      <c r="BQ4034" s="319"/>
      <c r="BR4034" s="319"/>
      <c r="BS4034" s="330"/>
      <c r="BT4034" s="331"/>
      <c r="BU4034" s="920"/>
      <c r="BV4034" s="903"/>
      <c r="BW4034" s="908"/>
      <c r="BX4034" s="908"/>
      <c r="BY4034" s="331"/>
      <c r="BZ4034" s="331"/>
      <c r="CA4034" s="462"/>
      <c r="CB4034" s="319"/>
      <c r="CC4034" s="319"/>
      <c r="CD4034" s="319"/>
      <c r="CE4034" s="319"/>
      <c r="CF4034" s="319"/>
      <c r="CG4034" s="319"/>
      <c r="CH4034" s="318"/>
      <c r="CI4034" s="319"/>
      <c r="CJ4034" s="319"/>
      <c r="CK4034" s="342"/>
      <c r="CL4034" s="333"/>
      <c r="CM4034" s="1079"/>
      <c r="CN4034" s="1005"/>
      <c r="CO4034" s="1005"/>
      <c r="CP4034" s="1005"/>
    </row>
    <row r="4035">
      <c r="A4035" s="1257"/>
      <c r="B4035" s="1113"/>
      <c r="C4035" s="1107"/>
      <c r="D4035" s="103"/>
      <c r="E4035" s="1137"/>
      <c r="F4035" s="112"/>
      <c r="G4035" s="1110"/>
      <c r="H4035" s="1138"/>
      <c r="I4035" s="1138"/>
      <c r="J4035" s="1139"/>
      <c r="K4035" s="1111"/>
      <c r="L4035" s="1112"/>
      <c r="M4035" s="1113"/>
      <c r="N4035" s="110"/>
      <c r="O4035" s="1140"/>
      <c r="P4035" s="1115"/>
      <c r="Q4035" s="1116"/>
      <c r="R4035" s="1141"/>
      <c r="S4035" s="1113"/>
      <c r="T4035" s="1143"/>
      <c r="U4035" s="1108"/>
      <c r="V4035" s="1108"/>
      <c r="W4035" s="1108"/>
      <c r="X4035" s="1108"/>
      <c r="Y4035" s="1108"/>
      <c r="Z4035" s="1114"/>
      <c r="AA4035" s="1114"/>
      <c r="AB4035" s="1114"/>
      <c r="AC4035" s="1117"/>
      <c r="AD4035" s="1115"/>
      <c r="AE4035" s="1115"/>
      <c r="AF4035" s="1115"/>
      <c r="AG4035" s="1115"/>
      <c r="AH4035" s="1115"/>
      <c r="AI4035" s="1115"/>
      <c r="AJ4035" s="1117"/>
      <c r="AK4035" s="1118"/>
      <c r="AL4035" s="1115"/>
      <c r="AM4035" s="1115"/>
      <c r="AN4035" s="1115"/>
      <c r="AO4035" s="1115"/>
      <c r="AP4035" s="1115"/>
      <c r="AQ4035" s="1115"/>
      <c r="AR4035" s="1115"/>
      <c r="AS4035" s="1117"/>
      <c r="AT4035" s="1075"/>
      <c r="AU4035" s="1193"/>
      <c r="AV4035" s="330"/>
      <c r="AW4035" s="331"/>
      <c r="AX4035" s="331"/>
      <c r="AY4035" s="331"/>
      <c r="AZ4035" s="331"/>
      <c r="BA4035" s="331"/>
      <c r="BB4035" s="331"/>
      <c r="BC4035" s="331"/>
      <c r="BD4035" s="331"/>
      <c r="BE4035" s="333"/>
      <c r="BF4035" s="330"/>
      <c r="BG4035" s="333"/>
      <c r="BH4035" s="1119"/>
      <c r="BI4035" s="319"/>
      <c r="BJ4035" s="319"/>
      <c r="BK4035" s="319"/>
      <c r="BL4035" s="319"/>
      <c r="BM4035" s="319"/>
      <c r="BN4035" s="319"/>
      <c r="BO4035" s="319"/>
      <c r="BP4035" s="953"/>
      <c r="BQ4035" s="319"/>
      <c r="BR4035" s="319"/>
      <c r="BS4035" s="330"/>
      <c r="BT4035" s="331"/>
      <c r="BU4035" s="920"/>
      <c r="BV4035" s="903"/>
      <c r="BW4035" s="908"/>
      <c r="BX4035" s="908"/>
      <c r="BY4035" s="331"/>
      <c r="BZ4035" s="331"/>
      <c r="CA4035" s="462"/>
      <c r="CB4035" s="319"/>
      <c r="CC4035" s="319"/>
      <c r="CD4035" s="319"/>
      <c r="CE4035" s="319"/>
      <c r="CF4035" s="319"/>
      <c r="CG4035" s="319"/>
      <c r="CH4035" s="318"/>
      <c r="CI4035" s="319"/>
      <c r="CJ4035" s="319"/>
      <c r="CK4035" s="342"/>
      <c r="CL4035" s="333"/>
      <c r="CM4035" s="1079"/>
      <c r="CN4035" s="1005"/>
      <c r="CO4035" s="1005"/>
      <c r="CP4035" s="1005"/>
    </row>
    <row r="4036">
      <c r="A4036" s="1257"/>
      <c r="B4036" s="1113"/>
      <c r="C4036" s="1107"/>
      <c r="D4036" s="103"/>
      <c r="E4036" s="1137"/>
      <c r="F4036" s="112"/>
      <c r="G4036" s="1110"/>
      <c r="H4036" s="1138"/>
      <c r="I4036" s="1138"/>
      <c r="J4036" s="1139"/>
      <c r="K4036" s="1111"/>
      <c r="L4036" s="1112"/>
      <c r="M4036" s="1113"/>
      <c r="N4036" s="110"/>
      <c r="O4036" s="1140"/>
      <c r="P4036" s="1115"/>
      <c r="Q4036" s="1116"/>
      <c r="R4036" s="1141"/>
      <c r="S4036" s="1113"/>
      <c r="T4036" s="1143"/>
      <c r="U4036" s="1108"/>
      <c r="V4036" s="1108"/>
      <c r="W4036" s="1108"/>
      <c r="X4036" s="1108"/>
      <c r="Y4036" s="1108"/>
      <c r="Z4036" s="1114"/>
      <c r="AA4036" s="1114"/>
      <c r="AB4036" s="1114"/>
      <c r="AC4036" s="1117"/>
      <c r="AD4036" s="1115"/>
      <c r="AE4036" s="1115"/>
      <c r="AF4036" s="1115"/>
      <c r="AG4036" s="1115"/>
      <c r="AH4036" s="1115"/>
      <c r="AI4036" s="1115"/>
      <c r="AJ4036" s="1117"/>
      <c r="AK4036" s="1118"/>
      <c r="AL4036" s="1115"/>
      <c r="AM4036" s="1115"/>
      <c r="AN4036" s="1115"/>
      <c r="AO4036" s="1115"/>
      <c r="AP4036" s="1115"/>
      <c r="AQ4036" s="1115"/>
      <c r="AR4036" s="1115"/>
      <c r="AS4036" s="1117"/>
      <c r="AT4036" s="1075"/>
      <c r="AU4036" s="1193"/>
      <c r="AV4036" s="330"/>
      <c r="AW4036" s="331"/>
      <c r="AX4036" s="331"/>
      <c r="AY4036" s="331"/>
      <c r="AZ4036" s="331"/>
      <c r="BA4036" s="331"/>
      <c r="BB4036" s="331"/>
      <c r="BC4036" s="331"/>
      <c r="BD4036" s="331"/>
      <c r="BE4036" s="333"/>
      <c r="BF4036" s="330"/>
      <c r="BG4036" s="333"/>
      <c r="BH4036" s="1119"/>
      <c r="BI4036" s="319"/>
      <c r="BJ4036" s="319"/>
      <c r="BK4036" s="319"/>
      <c r="BL4036" s="319"/>
      <c r="BM4036" s="319"/>
      <c r="BN4036" s="319"/>
      <c r="BO4036" s="319"/>
      <c r="BP4036" s="953"/>
      <c r="BQ4036" s="319"/>
      <c r="BR4036" s="319"/>
      <c r="BS4036" s="330"/>
      <c r="BT4036" s="331"/>
      <c r="BU4036" s="920"/>
      <c r="BV4036" s="903"/>
      <c r="BW4036" s="908"/>
      <c r="BX4036" s="908"/>
      <c r="BY4036" s="331"/>
      <c r="BZ4036" s="331"/>
      <c r="CA4036" s="462"/>
      <c r="CB4036" s="319"/>
      <c r="CC4036" s="319"/>
      <c r="CD4036" s="319"/>
      <c r="CE4036" s="319"/>
      <c r="CF4036" s="319"/>
      <c r="CG4036" s="319"/>
      <c r="CH4036" s="318"/>
      <c r="CI4036" s="319"/>
      <c r="CJ4036" s="319"/>
      <c r="CK4036" s="342"/>
      <c r="CL4036" s="333"/>
      <c r="CM4036" s="1079"/>
      <c r="CN4036" s="1005"/>
      <c r="CO4036" s="1005"/>
      <c r="CP4036" s="1005"/>
    </row>
    <row r="4037">
      <c r="A4037" s="1257"/>
      <c r="B4037" s="1113"/>
      <c r="C4037" s="1107"/>
      <c r="D4037" s="103"/>
      <c r="E4037" s="1137"/>
      <c r="F4037" s="112"/>
      <c r="G4037" s="1110"/>
      <c r="H4037" s="1138"/>
      <c r="I4037" s="1138"/>
      <c r="J4037" s="1139"/>
      <c r="K4037" s="1111"/>
      <c r="L4037" s="1112"/>
      <c r="M4037" s="1113"/>
      <c r="N4037" s="110"/>
      <c r="O4037" s="1140"/>
      <c r="P4037" s="1115"/>
      <c r="Q4037" s="1116"/>
      <c r="R4037" s="1141"/>
      <c r="S4037" s="1113"/>
      <c r="T4037" s="1143"/>
      <c r="U4037" s="1108"/>
      <c r="V4037" s="1108"/>
      <c r="W4037" s="1108"/>
      <c r="X4037" s="1108"/>
      <c r="Y4037" s="1108"/>
      <c r="Z4037" s="1114"/>
      <c r="AA4037" s="1114"/>
      <c r="AB4037" s="1114"/>
      <c r="AC4037" s="1117"/>
      <c r="AD4037" s="1115"/>
      <c r="AE4037" s="1115"/>
      <c r="AF4037" s="1115"/>
      <c r="AG4037" s="1115"/>
      <c r="AH4037" s="1115"/>
      <c r="AI4037" s="1115"/>
      <c r="AJ4037" s="1117"/>
      <c r="AK4037" s="1118"/>
      <c r="AL4037" s="1115"/>
      <c r="AM4037" s="1115"/>
      <c r="AN4037" s="1115"/>
      <c r="AO4037" s="1115"/>
      <c r="AP4037" s="1115"/>
      <c r="AQ4037" s="1115"/>
      <c r="AR4037" s="1115"/>
      <c r="AS4037" s="1117"/>
      <c r="AT4037" s="1075"/>
      <c r="AU4037" s="1193"/>
      <c r="AV4037" s="330"/>
      <c r="AW4037" s="331"/>
      <c r="AX4037" s="331"/>
      <c r="AY4037" s="331"/>
      <c r="AZ4037" s="331"/>
      <c r="BA4037" s="331"/>
      <c r="BB4037" s="331"/>
      <c r="BC4037" s="331"/>
      <c r="BD4037" s="331"/>
      <c r="BE4037" s="333"/>
      <c r="BF4037" s="330"/>
      <c r="BG4037" s="333"/>
      <c r="BH4037" s="1119"/>
      <c r="BI4037" s="319"/>
      <c r="BJ4037" s="319"/>
      <c r="BK4037" s="319"/>
      <c r="BL4037" s="319"/>
      <c r="BM4037" s="319"/>
      <c r="BN4037" s="319"/>
      <c r="BO4037" s="319"/>
      <c r="BP4037" s="953"/>
      <c r="BQ4037" s="319"/>
      <c r="BR4037" s="319"/>
      <c r="BS4037" s="330"/>
      <c r="BT4037" s="331"/>
      <c r="BU4037" s="920"/>
      <c r="BV4037" s="903"/>
      <c r="BW4037" s="908"/>
      <c r="BX4037" s="908"/>
      <c r="BY4037" s="331"/>
      <c r="BZ4037" s="331"/>
      <c r="CA4037" s="462"/>
      <c r="CB4037" s="319"/>
      <c r="CC4037" s="319"/>
      <c r="CD4037" s="319"/>
      <c r="CE4037" s="319"/>
      <c r="CF4037" s="319"/>
      <c r="CG4037" s="319"/>
      <c r="CH4037" s="318"/>
      <c r="CI4037" s="319"/>
      <c r="CJ4037" s="319"/>
      <c r="CK4037" s="342"/>
      <c r="CL4037" s="333"/>
      <c r="CM4037" s="1079"/>
      <c r="CN4037" s="1005"/>
      <c r="CO4037" s="1005"/>
      <c r="CP4037" s="1005"/>
    </row>
    <row r="4038">
      <c r="A4038" s="1257"/>
      <c r="B4038" s="1113"/>
      <c r="C4038" s="1107"/>
      <c r="D4038" s="103"/>
      <c r="E4038" s="1137"/>
      <c r="F4038" s="112"/>
      <c r="G4038" s="1110"/>
      <c r="H4038" s="1138"/>
      <c r="I4038" s="1138"/>
      <c r="J4038" s="1139"/>
      <c r="K4038" s="1111"/>
      <c r="L4038" s="1112"/>
      <c r="M4038" s="1113"/>
      <c r="N4038" s="110"/>
      <c r="O4038" s="1140"/>
      <c r="P4038" s="1115"/>
      <c r="Q4038" s="1116"/>
      <c r="R4038" s="1141"/>
      <c r="S4038" s="1113"/>
      <c r="T4038" s="1143"/>
      <c r="U4038" s="1108"/>
      <c r="V4038" s="1108"/>
      <c r="W4038" s="1108"/>
      <c r="X4038" s="1108"/>
      <c r="Y4038" s="1108"/>
      <c r="Z4038" s="1114"/>
      <c r="AA4038" s="1114"/>
      <c r="AB4038" s="1114"/>
      <c r="AC4038" s="1117"/>
      <c r="AD4038" s="1115"/>
      <c r="AE4038" s="1115"/>
      <c r="AF4038" s="1115"/>
      <c r="AG4038" s="1115"/>
      <c r="AH4038" s="1115"/>
      <c r="AI4038" s="1115"/>
      <c r="AJ4038" s="1117"/>
      <c r="AK4038" s="1118"/>
      <c r="AL4038" s="1115"/>
      <c r="AM4038" s="1115"/>
      <c r="AN4038" s="1115"/>
      <c r="AO4038" s="1115"/>
      <c r="AP4038" s="1115"/>
      <c r="AQ4038" s="1115"/>
      <c r="AR4038" s="1115"/>
      <c r="AS4038" s="1117"/>
      <c r="AT4038" s="1075"/>
      <c r="AU4038" s="1193"/>
      <c r="AV4038" s="330"/>
      <c r="AW4038" s="331"/>
      <c r="AX4038" s="331"/>
      <c r="AY4038" s="331"/>
      <c r="AZ4038" s="331"/>
      <c r="BA4038" s="331"/>
      <c r="BB4038" s="331"/>
      <c r="BC4038" s="331"/>
      <c r="BD4038" s="331"/>
      <c r="BE4038" s="333"/>
      <c r="BF4038" s="330"/>
      <c r="BG4038" s="333"/>
      <c r="BH4038" s="1119"/>
      <c r="BI4038" s="319"/>
      <c r="BJ4038" s="319"/>
      <c r="BK4038" s="319"/>
      <c r="BL4038" s="319"/>
      <c r="BM4038" s="319"/>
      <c r="BN4038" s="319"/>
      <c r="BO4038" s="319"/>
      <c r="BP4038" s="953"/>
      <c r="BQ4038" s="319"/>
      <c r="BR4038" s="319"/>
      <c r="BS4038" s="330"/>
      <c r="BT4038" s="331"/>
      <c r="BU4038" s="920"/>
      <c r="BV4038" s="903"/>
      <c r="BW4038" s="908"/>
      <c r="BX4038" s="908"/>
      <c r="BY4038" s="331"/>
      <c r="BZ4038" s="331"/>
      <c r="CA4038" s="462"/>
      <c r="CB4038" s="319"/>
      <c r="CC4038" s="319"/>
      <c r="CD4038" s="319"/>
      <c r="CE4038" s="319"/>
      <c r="CF4038" s="319"/>
      <c r="CG4038" s="319"/>
      <c r="CH4038" s="318"/>
      <c r="CI4038" s="319"/>
      <c r="CJ4038" s="319"/>
      <c r="CK4038" s="342"/>
      <c r="CL4038" s="333"/>
      <c r="CM4038" s="1079"/>
      <c r="CN4038" s="1005"/>
      <c r="CO4038" s="1005"/>
      <c r="CP4038" s="1005"/>
    </row>
    <row r="4039">
      <c r="A4039" s="1257"/>
      <c r="B4039" s="1113"/>
      <c r="C4039" s="1107"/>
      <c r="D4039" s="103"/>
      <c r="E4039" s="1137"/>
      <c r="F4039" s="112"/>
      <c r="G4039" s="1110"/>
      <c r="H4039" s="1138"/>
      <c r="I4039" s="1138"/>
      <c r="J4039" s="1139"/>
      <c r="K4039" s="1111"/>
      <c r="L4039" s="1112"/>
      <c r="M4039" s="1113"/>
      <c r="N4039" s="110"/>
      <c r="O4039" s="1140"/>
      <c r="P4039" s="1115"/>
      <c r="Q4039" s="1116"/>
      <c r="R4039" s="1141"/>
      <c r="S4039" s="1113"/>
      <c r="T4039" s="1143"/>
      <c r="U4039" s="1108"/>
      <c r="V4039" s="1108"/>
      <c r="W4039" s="1108"/>
      <c r="X4039" s="1108"/>
      <c r="Y4039" s="1108"/>
      <c r="Z4039" s="1114"/>
      <c r="AA4039" s="1114"/>
      <c r="AB4039" s="1114"/>
      <c r="AC4039" s="1117"/>
      <c r="AD4039" s="1115"/>
      <c r="AE4039" s="1115"/>
      <c r="AF4039" s="1115"/>
      <c r="AG4039" s="1115"/>
      <c r="AH4039" s="1115"/>
      <c r="AI4039" s="1115"/>
      <c r="AJ4039" s="1117"/>
      <c r="AK4039" s="1118"/>
      <c r="AL4039" s="1115"/>
      <c r="AM4039" s="1115"/>
      <c r="AN4039" s="1115"/>
      <c r="AO4039" s="1115"/>
      <c r="AP4039" s="1115"/>
      <c r="AQ4039" s="1115"/>
      <c r="AR4039" s="1115"/>
      <c r="AS4039" s="1117"/>
      <c r="AT4039" s="1075"/>
      <c r="AU4039" s="1193"/>
      <c r="AV4039" s="330"/>
      <c r="AW4039" s="331"/>
      <c r="AX4039" s="331"/>
      <c r="AY4039" s="331"/>
      <c r="AZ4039" s="331"/>
      <c r="BA4039" s="331"/>
      <c r="BB4039" s="331"/>
      <c r="BC4039" s="331"/>
      <c r="BD4039" s="331"/>
      <c r="BE4039" s="333"/>
      <c r="BF4039" s="330"/>
      <c r="BG4039" s="333"/>
      <c r="BH4039" s="1119"/>
      <c r="BI4039" s="319"/>
      <c r="BJ4039" s="319"/>
      <c r="BK4039" s="319"/>
      <c r="BL4039" s="319"/>
      <c r="BM4039" s="319"/>
      <c r="BN4039" s="319"/>
      <c r="BO4039" s="319"/>
      <c r="BP4039" s="953"/>
      <c r="BQ4039" s="319"/>
      <c r="BR4039" s="319"/>
      <c r="BS4039" s="330"/>
      <c r="BT4039" s="331"/>
      <c r="BU4039" s="920"/>
      <c r="BV4039" s="903"/>
      <c r="BW4039" s="908"/>
      <c r="BX4039" s="908"/>
      <c r="BY4039" s="331"/>
      <c r="BZ4039" s="331"/>
      <c r="CA4039" s="462"/>
      <c r="CB4039" s="319"/>
      <c r="CC4039" s="319"/>
      <c r="CD4039" s="319"/>
      <c r="CE4039" s="319"/>
      <c r="CF4039" s="319"/>
      <c r="CG4039" s="319"/>
      <c r="CH4039" s="318"/>
      <c r="CI4039" s="319"/>
      <c r="CJ4039" s="319"/>
      <c r="CK4039" s="342"/>
      <c r="CL4039" s="333"/>
      <c r="CM4039" s="1079"/>
      <c r="CN4039" s="1005"/>
      <c r="CO4039" s="1005"/>
      <c r="CP4039" s="1005"/>
    </row>
    <row r="4040">
      <c r="A4040" s="1257"/>
      <c r="B4040" s="1113"/>
      <c r="C4040" s="1107"/>
      <c r="D4040" s="103"/>
      <c r="E4040" s="1137"/>
      <c r="F4040" s="112"/>
      <c r="G4040" s="1110"/>
      <c r="H4040" s="1138"/>
      <c r="I4040" s="1138"/>
      <c r="J4040" s="1139"/>
      <c r="K4040" s="1111"/>
      <c r="L4040" s="1112"/>
      <c r="M4040" s="1113"/>
      <c r="N4040" s="110"/>
      <c r="O4040" s="1140"/>
      <c r="P4040" s="1115"/>
      <c r="Q4040" s="1116"/>
      <c r="R4040" s="1141"/>
      <c r="S4040" s="1113"/>
      <c r="T4040" s="1143"/>
      <c r="U4040" s="1108"/>
      <c r="V4040" s="1108"/>
      <c r="W4040" s="1108"/>
      <c r="X4040" s="1108"/>
      <c r="Y4040" s="1108"/>
      <c r="Z4040" s="1114"/>
      <c r="AA4040" s="1114"/>
      <c r="AB4040" s="1114"/>
      <c r="AC4040" s="1117"/>
      <c r="AD4040" s="1115"/>
      <c r="AE4040" s="1115"/>
      <c r="AF4040" s="1115"/>
      <c r="AG4040" s="1115"/>
      <c r="AH4040" s="1115"/>
      <c r="AI4040" s="1115"/>
      <c r="AJ4040" s="1117"/>
      <c r="AK4040" s="1118"/>
      <c r="AL4040" s="1115"/>
      <c r="AM4040" s="1115"/>
      <c r="AN4040" s="1115"/>
      <c r="AO4040" s="1115"/>
      <c r="AP4040" s="1115"/>
      <c r="AQ4040" s="1115"/>
      <c r="AR4040" s="1115"/>
      <c r="AS4040" s="1117"/>
      <c r="AT4040" s="1075"/>
      <c r="AU4040" s="1193"/>
      <c r="AV4040" s="330"/>
      <c r="AW4040" s="331"/>
      <c r="AX4040" s="331"/>
      <c r="AY4040" s="331"/>
      <c r="AZ4040" s="331"/>
      <c r="BA4040" s="331"/>
      <c r="BB4040" s="331"/>
      <c r="BC4040" s="331"/>
      <c r="BD4040" s="331"/>
      <c r="BE4040" s="333"/>
      <c r="BF4040" s="330"/>
      <c r="BG4040" s="333"/>
      <c r="BH4040" s="1119"/>
      <c r="BI4040" s="319"/>
      <c r="BJ4040" s="319"/>
      <c r="BK4040" s="319"/>
      <c r="BL4040" s="319"/>
      <c r="BM4040" s="319"/>
      <c r="BN4040" s="319"/>
      <c r="BO4040" s="319"/>
      <c r="BP4040" s="953"/>
      <c r="BQ4040" s="319"/>
      <c r="BR4040" s="319"/>
      <c r="BS4040" s="330"/>
      <c r="BT4040" s="331"/>
      <c r="BU4040" s="920"/>
      <c r="BV4040" s="903"/>
      <c r="BW4040" s="908"/>
      <c r="BX4040" s="908"/>
      <c r="BY4040" s="331"/>
      <c r="BZ4040" s="331"/>
      <c r="CA4040" s="462"/>
      <c r="CB4040" s="319"/>
      <c r="CC4040" s="319"/>
      <c r="CD4040" s="319"/>
      <c r="CE4040" s="319"/>
      <c r="CF4040" s="319"/>
      <c r="CG4040" s="319"/>
      <c r="CH4040" s="318"/>
      <c r="CI4040" s="319"/>
      <c r="CJ4040" s="319"/>
      <c r="CK4040" s="342"/>
      <c r="CL4040" s="333"/>
      <c r="CM4040" s="1079"/>
      <c r="CN4040" s="1005"/>
      <c r="CO4040" s="1005"/>
      <c r="CP4040" s="1005"/>
    </row>
    <row r="4041">
      <c r="A4041" s="1257"/>
      <c r="B4041" s="1113"/>
      <c r="C4041" s="1107"/>
      <c r="D4041" s="103"/>
      <c r="E4041" s="1137"/>
      <c r="F4041" s="112"/>
      <c r="G4041" s="1110"/>
      <c r="H4041" s="1138"/>
      <c r="I4041" s="1138"/>
      <c r="J4041" s="1139"/>
      <c r="K4041" s="1111"/>
      <c r="L4041" s="1112"/>
      <c r="M4041" s="1113"/>
      <c r="N4041" s="110"/>
      <c r="O4041" s="1140"/>
      <c r="P4041" s="1115"/>
      <c r="Q4041" s="1116"/>
      <c r="R4041" s="1141"/>
      <c r="S4041" s="1113"/>
      <c r="T4041" s="1143"/>
      <c r="U4041" s="1108"/>
      <c r="V4041" s="1108"/>
      <c r="W4041" s="1108"/>
      <c r="X4041" s="1108"/>
      <c r="Y4041" s="1108"/>
      <c r="Z4041" s="1114"/>
      <c r="AA4041" s="1114"/>
      <c r="AB4041" s="1114"/>
      <c r="AC4041" s="1117"/>
      <c r="AD4041" s="1115"/>
      <c r="AE4041" s="1115"/>
      <c r="AF4041" s="1115"/>
      <c r="AG4041" s="1115"/>
      <c r="AH4041" s="1115"/>
      <c r="AI4041" s="1115"/>
      <c r="AJ4041" s="1117"/>
      <c r="AK4041" s="1118"/>
      <c r="AL4041" s="1115"/>
      <c r="AM4041" s="1115"/>
      <c r="AN4041" s="1115"/>
      <c r="AO4041" s="1115"/>
      <c r="AP4041" s="1115"/>
      <c r="AQ4041" s="1115"/>
      <c r="AR4041" s="1115"/>
      <c r="AS4041" s="1117"/>
      <c r="AT4041" s="1075"/>
      <c r="AU4041" s="1193"/>
      <c r="AV4041" s="330"/>
      <c r="AW4041" s="331"/>
      <c r="AX4041" s="331"/>
      <c r="AY4041" s="331"/>
      <c r="AZ4041" s="331"/>
      <c r="BA4041" s="331"/>
      <c r="BB4041" s="331"/>
      <c r="BC4041" s="331"/>
      <c r="BD4041" s="331"/>
      <c r="BE4041" s="333"/>
      <c r="BF4041" s="330"/>
      <c r="BG4041" s="333"/>
      <c r="BH4041" s="1119"/>
      <c r="BI4041" s="319"/>
      <c r="BJ4041" s="319"/>
      <c r="BK4041" s="319"/>
      <c r="BL4041" s="319"/>
      <c r="BM4041" s="319"/>
      <c r="BN4041" s="319"/>
      <c r="BO4041" s="319"/>
      <c r="BP4041" s="953"/>
      <c r="BQ4041" s="319"/>
      <c r="BR4041" s="319"/>
      <c r="BS4041" s="330"/>
      <c r="BT4041" s="331"/>
      <c r="BU4041" s="920"/>
      <c r="BV4041" s="903"/>
      <c r="BW4041" s="908"/>
      <c r="BX4041" s="908"/>
      <c r="BY4041" s="331"/>
      <c r="BZ4041" s="331"/>
      <c r="CA4041" s="462"/>
      <c r="CB4041" s="319"/>
      <c r="CC4041" s="319"/>
      <c r="CD4041" s="319"/>
      <c r="CE4041" s="319"/>
      <c r="CF4041" s="319"/>
      <c r="CG4041" s="319"/>
      <c r="CH4041" s="318"/>
      <c r="CI4041" s="319"/>
      <c r="CJ4041" s="319"/>
      <c r="CK4041" s="342"/>
      <c r="CL4041" s="333"/>
      <c r="CM4041" s="1079"/>
      <c r="CN4041" s="1005"/>
      <c r="CO4041" s="1005"/>
      <c r="CP4041" s="1005"/>
    </row>
    <row r="4042">
      <c r="A4042" s="1257"/>
      <c r="B4042" s="1113"/>
      <c r="C4042" s="1107"/>
      <c r="D4042" s="103"/>
      <c r="E4042" s="1137"/>
      <c r="F4042" s="112"/>
      <c r="G4042" s="1110"/>
      <c r="H4042" s="1138"/>
      <c r="I4042" s="1138"/>
      <c r="J4042" s="1139"/>
      <c r="K4042" s="1111"/>
      <c r="L4042" s="1112"/>
      <c r="M4042" s="1113"/>
      <c r="N4042" s="110"/>
      <c r="O4042" s="1140"/>
      <c r="P4042" s="1115"/>
      <c r="Q4042" s="1116"/>
      <c r="R4042" s="1141"/>
      <c r="S4042" s="1113"/>
      <c r="T4042" s="1143"/>
      <c r="U4042" s="1108"/>
      <c r="V4042" s="1108"/>
      <c r="W4042" s="1108"/>
      <c r="X4042" s="1108"/>
      <c r="Y4042" s="1108"/>
      <c r="Z4042" s="1114"/>
      <c r="AA4042" s="1114"/>
      <c r="AB4042" s="1114"/>
      <c r="AC4042" s="1117"/>
      <c r="AD4042" s="1115"/>
      <c r="AE4042" s="1115"/>
      <c r="AF4042" s="1115"/>
      <c r="AG4042" s="1115"/>
      <c r="AH4042" s="1115"/>
      <c r="AI4042" s="1115"/>
      <c r="AJ4042" s="1117"/>
      <c r="AK4042" s="1118"/>
      <c r="AL4042" s="1115"/>
      <c r="AM4042" s="1115"/>
      <c r="AN4042" s="1115"/>
      <c r="AO4042" s="1115"/>
      <c r="AP4042" s="1115"/>
      <c r="AQ4042" s="1115"/>
      <c r="AR4042" s="1115"/>
      <c r="AS4042" s="1117"/>
      <c r="AT4042" s="1075"/>
      <c r="AU4042" s="1193"/>
      <c r="AV4042" s="330"/>
      <c r="AW4042" s="331"/>
      <c r="AX4042" s="331"/>
      <c r="AY4042" s="331"/>
      <c r="AZ4042" s="331"/>
      <c r="BA4042" s="331"/>
      <c r="BB4042" s="331"/>
      <c r="BC4042" s="331"/>
      <c r="BD4042" s="331"/>
      <c r="BE4042" s="333"/>
      <c r="BF4042" s="330"/>
      <c r="BG4042" s="333"/>
      <c r="BH4042" s="1119"/>
      <c r="BI4042" s="319"/>
      <c r="BJ4042" s="319"/>
      <c r="BK4042" s="319"/>
      <c r="BL4042" s="319"/>
      <c r="BM4042" s="319"/>
      <c r="BN4042" s="319"/>
      <c r="BO4042" s="319"/>
      <c r="BP4042" s="953"/>
      <c r="BQ4042" s="319"/>
      <c r="BR4042" s="319"/>
      <c r="BS4042" s="330"/>
      <c r="BT4042" s="331"/>
      <c r="BU4042" s="920"/>
      <c r="BV4042" s="903"/>
      <c r="BW4042" s="908"/>
      <c r="BX4042" s="908"/>
      <c r="BY4042" s="331"/>
      <c r="BZ4042" s="331"/>
      <c r="CA4042" s="462"/>
      <c r="CB4042" s="319"/>
      <c r="CC4042" s="319"/>
      <c r="CD4042" s="319"/>
      <c r="CE4042" s="319"/>
      <c r="CF4042" s="319"/>
      <c r="CG4042" s="319"/>
      <c r="CH4042" s="318"/>
      <c r="CI4042" s="319"/>
      <c r="CJ4042" s="319"/>
      <c r="CK4042" s="342"/>
      <c r="CL4042" s="333"/>
      <c r="CM4042" s="1079"/>
      <c r="CN4042" s="1005"/>
      <c r="CO4042" s="1005"/>
      <c r="CP4042" s="1005"/>
    </row>
    <row r="4043">
      <c r="A4043" s="1257"/>
      <c r="B4043" s="1113"/>
      <c r="C4043" s="1107"/>
      <c r="D4043" s="103"/>
      <c r="E4043" s="1137"/>
      <c r="F4043" s="112"/>
      <c r="G4043" s="1110"/>
      <c r="H4043" s="1138"/>
      <c r="I4043" s="1138"/>
      <c r="J4043" s="1139"/>
      <c r="K4043" s="1111"/>
      <c r="L4043" s="1112"/>
      <c r="M4043" s="1113"/>
      <c r="N4043" s="110"/>
      <c r="O4043" s="1140"/>
      <c r="P4043" s="1115"/>
      <c r="Q4043" s="1116"/>
      <c r="R4043" s="1141"/>
      <c r="S4043" s="1113"/>
      <c r="T4043" s="1143"/>
      <c r="U4043" s="1108"/>
      <c r="V4043" s="1108"/>
      <c r="W4043" s="1108"/>
      <c r="X4043" s="1108"/>
      <c r="Y4043" s="1108"/>
      <c r="Z4043" s="1114"/>
      <c r="AA4043" s="1114"/>
      <c r="AB4043" s="1114"/>
      <c r="AC4043" s="1117"/>
      <c r="AD4043" s="1115"/>
      <c r="AE4043" s="1115"/>
      <c r="AF4043" s="1115"/>
      <c r="AG4043" s="1115"/>
      <c r="AH4043" s="1115"/>
      <c r="AI4043" s="1115"/>
      <c r="AJ4043" s="1117"/>
      <c r="AK4043" s="1118"/>
      <c r="AL4043" s="1115"/>
      <c r="AM4043" s="1115"/>
      <c r="AN4043" s="1115"/>
      <c r="AO4043" s="1115"/>
      <c r="AP4043" s="1115"/>
      <c r="AQ4043" s="1115"/>
      <c r="AR4043" s="1115"/>
      <c r="AS4043" s="1117"/>
      <c r="AT4043" s="1075"/>
      <c r="AU4043" s="1193"/>
      <c r="AV4043" s="330"/>
      <c r="AW4043" s="331"/>
      <c r="AX4043" s="331"/>
      <c r="AY4043" s="331"/>
      <c r="AZ4043" s="331"/>
      <c r="BA4043" s="331"/>
      <c r="BB4043" s="331"/>
      <c r="BC4043" s="331"/>
      <c r="BD4043" s="331"/>
      <c r="BE4043" s="333"/>
      <c r="BF4043" s="330"/>
      <c r="BG4043" s="333"/>
      <c r="BH4043" s="1119"/>
      <c r="BI4043" s="319"/>
      <c r="BJ4043" s="319"/>
      <c r="BK4043" s="319"/>
      <c r="BL4043" s="319"/>
      <c r="BM4043" s="319"/>
      <c r="BN4043" s="319"/>
      <c r="BO4043" s="319"/>
      <c r="BP4043" s="953"/>
      <c r="BQ4043" s="319"/>
      <c r="BR4043" s="319"/>
      <c r="BS4043" s="330"/>
      <c r="BT4043" s="331"/>
      <c r="BU4043" s="920"/>
      <c r="BV4043" s="903"/>
      <c r="BW4043" s="908"/>
      <c r="BX4043" s="908"/>
      <c r="BY4043" s="331"/>
      <c r="BZ4043" s="331"/>
      <c r="CA4043" s="462"/>
      <c r="CB4043" s="319"/>
      <c r="CC4043" s="319"/>
      <c r="CD4043" s="319"/>
      <c r="CE4043" s="319"/>
      <c r="CF4043" s="319"/>
      <c r="CG4043" s="319"/>
      <c r="CH4043" s="318"/>
      <c r="CI4043" s="319"/>
      <c r="CJ4043" s="319"/>
      <c r="CK4043" s="342"/>
      <c r="CL4043" s="333"/>
      <c r="CM4043" s="1079"/>
      <c r="CN4043" s="1005"/>
      <c r="CO4043" s="1005"/>
      <c r="CP4043" s="1005"/>
    </row>
    <row r="4044">
      <c r="A4044" s="1257"/>
      <c r="B4044" s="1113"/>
      <c r="C4044" s="1107"/>
      <c r="D4044" s="103"/>
      <c r="E4044" s="1137"/>
      <c r="F4044" s="112"/>
      <c r="G4044" s="1110"/>
      <c r="H4044" s="1138"/>
      <c r="I4044" s="1138"/>
      <c r="J4044" s="1139"/>
      <c r="K4044" s="1111"/>
      <c r="L4044" s="1112"/>
      <c r="M4044" s="1113"/>
      <c r="N4044" s="110"/>
      <c r="O4044" s="1140"/>
      <c r="P4044" s="1115"/>
      <c r="Q4044" s="1116"/>
      <c r="R4044" s="1141"/>
      <c r="S4044" s="1113"/>
      <c r="T4044" s="1143"/>
      <c r="U4044" s="1108"/>
      <c r="V4044" s="1108"/>
      <c r="W4044" s="1108"/>
      <c r="X4044" s="1108"/>
      <c r="Y4044" s="1108"/>
      <c r="Z4044" s="1114"/>
      <c r="AA4044" s="1114"/>
      <c r="AB4044" s="1114"/>
      <c r="AC4044" s="1117"/>
      <c r="AD4044" s="1115"/>
      <c r="AE4044" s="1115"/>
      <c r="AF4044" s="1115"/>
      <c r="AG4044" s="1115"/>
      <c r="AH4044" s="1115"/>
      <c r="AI4044" s="1115"/>
      <c r="AJ4044" s="1117"/>
      <c r="AK4044" s="1118"/>
      <c r="AL4044" s="1115"/>
      <c r="AM4044" s="1115"/>
      <c r="AN4044" s="1115"/>
      <c r="AO4044" s="1115"/>
      <c r="AP4044" s="1115"/>
      <c r="AQ4044" s="1115"/>
      <c r="AR4044" s="1115"/>
      <c r="AS4044" s="1117"/>
      <c r="AT4044" s="1075"/>
      <c r="AU4044" s="1193"/>
      <c r="AV4044" s="330"/>
      <c r="AW4044" s="331"/>
      <c r="AX4044" s="331"/>
      <c r="AY4044" s="331"/>
      <c r="AZ4044" s="331"/>
      <c r="BA4044" s="331"/>
      <c r="BB4044" s="331"/>
      <c r="BC4044" s="331"/>
      <c r="BD4044" s="331"/>
      <c r="BE4044" s="333"/>
      <c r="BF4044" s="330"/>
      <c r="BG4044" s="333"/>
      <c r="BH4044" s="1119"/>
      <c r="BI4044" s="319"/>
      <c r="BJ4044" s="319"/>
      <c r="BK4044" s="319"/>
      <c r="BL4044" s="319"/>
      <c r="BM4044" s="319"/>
      <c r="BN4044" s="319"/>
      <c r="BO4044" s="319"/>
      <c r="BP4044" s="953"/>
      <c r="BQ4044" s="319"/>
      <c r="BR4044" s="319"/>
      <c r="BS4044" s="330"/>
      <c r="BT4044" s="331"/>
      <c r="BU4044" s="920"/>
      <c r="BV4044" s="903"/>
      <c r="BW4044" s="908"/>
      <c r="BX4044" s="908"/>
      <c r="BY4044" s="331"/>
      <c r="BZ4044" s="331"/>
      <c r="CA4044" s="462"/>
      <c r="CB4044" s="319"/>
      <c r="CC4044" s="319"/>
      <c r="CD4044" s="319"/>
      <c r="CE4044" s="319"/>
      <c r="CF4044" s="319"/>
      <c r="CG4044" s="319"/>
      <c r="CH4044" s="318"/>
      <c r="CI4044" s="319"/>
      <c r="CJ4044" s="319"/>
      <c r="CK4044" s="342"/>
      <c r="CL4044" s="333"/>
      <c r="CM4044" s="1079"/>
      <c r="CN4044" s="1005"/>
      <c r="CO4044" s="1005"/>
      <c r="CP4044" s="1005"/>
    </row>
    <row r="4045">
      <c r="A4045" s="1257"/>
      <c r="B4045" s="1113"/>
      <c r="C4045" s="1107"/>
      <c r="D4045" s="103"/>
      <c r="E4045" s="1137"/>
      <c r="F4045" s="112"/>
      <c r="G4045" s="1110"/>
      <c r="H4045" s="1138"/>
      <c r="I4045" s="1138"/>
      <c r="J4045" s="1139"/>
      <c r="K4045" s="1111"/>
      <c r="L4045" s="1112"/>
      <c r="M4045" s="1113"/>
      <c r="N4045" s="110"/>
      <c r="O4045" s="1140"/>
      <c r="P4045" s="1115"/>
      <c r="Q4045" s="1116"/>
      <c r="R4045" s="1141"/>
      <c r="S4045" s="1113"/>
      <c r="T4045" s="1143"/>
      <c r="U4045" s="1108"/>
      <c r="V4045" s="1108"/>
      <c r="W4045" s="1108"/>
      <c r="X4045" s="1108"/>
      <c r="Y4045" s="1108"/>
      <c r="Z4045" s="1114"/>
      <c r="AA4045" s="1114"/>
      <c r="AB4045" s="1114"/>
      <c r="AC4045" s="1117"/>
      <c r="AD4045" s="1115"/>
      <c r="AE4045" s="1115"/>
      <c r="AF4045" s="1115"/>
      <c r="AG4045" s="1115"/>
      <c r="AH4045" s="1115"/>
      <c r="AI4045" s="1115"/>
      <c r="AJ4045" s="1117"/>
      <c r="AK4045" s="1118"/>
      <c r="AL4045" s="1115"/>
      <c r="AM4045" s="1115"/>
      <c r="AN4045" s="1115"/>
      <c r="AO4045" s="1115"/>
      <c r="AP4045" s="1115"/>
      <c r="AQ4045" s="1115"/>
      <c r="AR4045" s="1115"/>
      <c r="AS4045" s="1117"/>
      <c r="AT4045" s="1075"/>
      <c r="AU4045" s="1193"/>
      <c r="AV4045" s="330"/>
      <c r="AW4045" s="331"/>
      <c r="AX4045" s="331"/>
      <c r="AY4045" s="331"/>
      <c r="AZ4045" s="331"/>
      <c r="BA4045" s="331"/>
      <c r="BB4045" s="331"/>
      <c r="BC4045" s="331"/>
      <c r="BD4045" s="331"/>
      <c r="BE4045" s="333"/>
      <c r="BF4045" s="330"/>
      <c r="BG4045" s="333"/>
      <c r="BH4045" s="1119"/>
      <c r="BI4045" s="319"/>
      <c r="BJ4045" s="319"/>
      <c r="BK4045" s="319"/>
      <c r="BL4045" s="319"/>
      <c r="BM4045" s="319"/>
      <c r="BN4045" s="319"/>
      <c r="BO4045" s="319"/>
      <c r="BP4045" s="953"/>
      <c r="BQ4045" s="319"/>
      <c r="BR4045" s="319"/>
      <c r="BS4045" s="330"/>
      <c r="BT4045" s="331"/>
      <c r="BU4045" s="920"/>
      <c r="BV4045" s="903"/>
      <c r="BW4045" s="908"/>
      <c r="BX4045" s="908"/>
      <c r="BY4045" s="331"/>
      <c r="BZ4045" s="331"/>
      <c r="CA4045" s="462"/>
      <c r="CB4045" s="319"/>
      <c r="CC4045" s="319"/>
      <c r="CD4045" s="319"/>
      <c r="CE4045" s="319"/>
      <c r="CF4045" s="319"/>
      <c r="CG4045" s="319"/>
      <c r="CH4045" s="318"/>
      <c r="CI4045" s="319"/>
      <c r="CJ4045" s="319"/>
      <c r="CK4045" s="342"/>
      <c r="CL4045" s="333"/>
      <c r="CM4045" s="1079"/>
      <c r="CN4045" s="1005"/>
      <c r="CO4045" s="1005"/>
      <c r="CP4045" s="1005"/>
    </row>
    <row r="4046">
      <c r="A4046" s="1257"/>
      <c r="B4046" s="1113"/>
      <c r="C4046" s="1107"/>
      <c r="D4046" s="103"/>
      <c r="E4046" s="1137"/>
      <c r="F4046" s="112"/>
      <c r="G4046" s="1110"/>
      <c r="H4046" s="1138"/>
      <c r="I4046" s="1138"/>
      <c r="J4046" s="1139"/>
      <c r="K4046" s="1111"/>
      <c r="L4046" s="1112"/>
      <c r="M4046" s="1113"/>
      <c r="N4046" s="110"/>
      <c r="O4046" s="1140"/>
      <c r="P4046" s="1115"/>
      <c r="Q4046" s="1116"/>
      <c r="R4046" s="1141"/>
      <c r="S4046" s="1113"/>
      <c r="T4046" s="1143"/>
      <c r="U4046" s="1108"/>
      <c r="V4046" s="1108"/>
      <c r="W4046" s="1108"/>
      <c r="X4046" s="1108"/>
      <c r="Y4046" s="1108"/>
      <c r="Z4046" s="1114"/>
      <c r="AA4046" s="1114"/>
      <c r="AB4046" s="1114"/>
      <c r="AC4046" s="1117"/>
      <c r="AD4046" s="1115"/>
      <c r="AE4046" s="1115"/>
      <c r="AF4046" s="1115"/>
      <c r="AG4046" s="1115"/>
      <c r="AH4046" s="1115"/>
      <c r="AI4046" s="1115"/>
      <c r="AJ4046" s="1117"/>
      <c r="AK4046" s="1118"/>
      <c r="AL4046" s="1115"/>
      <c r="AM4046" s="1115"/>
      <c r="AN4046" s="1115"/>
      <c r="AO4046" s="1115"/>
      <c r="AP4046" s="1115"/>
      <c r="AQ4046" s="1115"/>
      <c r="AR4046" s="1115"/>
      <c r="AS4046" s="1117"/>
      <c r="AT4046" s="1075"/>
      <c r="AU4046" s="1193"/>
      <c r="AV4046" s="330"/>
      <c r="AW4046" s="331"/>
      <c r="AX4046" s="331"/>
      <c r="AY4046" s="331"/>
      <c r="AZ4046" s="331"/>
      <c r="BA4046" s="331"/>
      <c r="BB4046" s="331"/>
      <c r="BC4046" s="331"/>
      <c r="BD4046" s="331"/>
      <c r="BE4046" s="333"/>
      <c r="BF4046" s="330"/>
      <c r="BG4046" s="333"/>
      <c r="BH4046" s="1119"/>
      <c r="BI4046" s="319"/>
      <c r="BJ4046" s="319"/>
      <c r="BK4046" s="319"/>
      <c r="BL4046" s="319"/>
      <c r="BM4046" s="319"/>
      <c r="BN4046" s="319"/>
      <c r="BO4046" s="319"/>
      <c r="BP4046" s="953"/>
      <c r="BQ4046" s="319"/>
      <c r="BR4046" s="319"/>
      <c r="BS4046" s="330"/>
      <c r="BT4046" s="331"/>
      <c r="BU4046" s="920"/>
      <c r="BV4046" s="903"/>
      <c r="BW4046" s="908"/>
      <c r="BX4046" s="908"/>
      <c r="BY4046" s="331"/>
      <c r="BZ4046" s="331"/>
      <c r="CA4046" s="462"/>
      <c r="CB4046" s="319"/>
      <c r="CC4046" s="319"/>
      <c r="CD4046" s="319"/>
      <c r="CE4046" s="319"/>
      <c r="CF4046" s="319"/>
      <c r="CG4046" s="319"/>
      <c r="CH4046" s="318"/>
      <c r="CI4046" s="319"/>
      <c r="CJ4046" s="319"/>
      <c r="CK4046" s="342"/>
      <c r="CL4046" s="333"/>
      <c r="CM4046" s="1079"/>
      <c r="CN4046" s="1005"/>
      <c r="CO4046" s="1005"/>
      <c r="CP4046" s="1005"/>
    </row>
    <row r="4047">
      <c r="A4047" s="1257"/>
      <c r="B4047" s="1113"/>
      <c r="C4047" s="1107"/>
      <c r="D4047" s="103"/>
      <c r="E4047" s="1137"/>
      <c r="F4047" s="112"/>
      <c r="G4047" s="1110"/>
      <c r="H4047" s="1138"/>
      <c r="I4047" s="1138"/>
      <c r="J4047" s="1139"/>
      <c r="K4047" s="1111"/>
      <c r="L4047" s="1112"/>
      <c r="M4047" s="1113"/>
      <c r="N4047" s="110"/>
      <c r="O4047" s="1140"/>
      <c r="P4047" s="1115"/>
      <c r="Q4047" s="1116"/>
      <c r="R4047" s="1141"/>
      <c r="S4047" s="1113"/>
      <c r="T4047" s="1143"/>
      <c r="U4047" s="1108"/>
      <c r="V4047" s="1108"/>
      <c r="W4047" s="1108"/>
      <c r="X4047" s="1108"/>
      <c r="Y4047" s="1108"/>
      <c r="Z4047" s="1114"/>
      <c r="AA4047" s="1114"/>
      <c r="AB4047" s="1114"/>
      <c r="AC4047" s="1117"/>
      <c r="AD4047" s="1115"/>
      <c r="AE4047" s="1115"/>
      <c r="AF4047" s="1115"/>
      <c r="AG4047" s="1115"/>
      <c r="AH4047" s="1115"/>
      <c r="AI4047" s="1115"/>
      <c r="AJ4047" s="1117"/>
      <c r="AK4047" s="1118"/>
      <c r="AL4047" s="1115"/>
      <c r="AM4047" s="1115"/>
      <c r="AN4047" s="1115"/>
      <c r="AO4047" s="1115"/>
      <c r="AP4047" s="1115"/>
      <c r="AQ4047" s="1115"/>
      <c r="AR4047" s="1115"/>
      <c r="AS4047" s="1117"/>
      <c r="AT4047" s="1075"/>
      <c r="AU4047" s="1193"/>
      <c r="AV4047" s="330"/>
      <c r="AW4047" s="331"/>
      <c r="AX4047" s="331"/>
      <c r="AY4047" s="331"/>
      <c r="AZ4047" s="331"/>
      <c r="BA4047" s="331"/>
      <c r="BB4047" s="331"/>
      <c r="BC4047" s="331"/>
      <c r="BD4047" s="331"/>
      <c r="BE4047" s="333"/>
      <c r="BF4047" s="330"/>
      <c r="BG4047" s="333"/>
      <c r="BH4047" s="1119"/>
      <c r="BI4047" s="319"/>
      <c r="BJ4047" s="319"/>
      <c r="BK4047" s="319"/>
      <c r="BL4047" s="319"/>
      <c r="BM4047" s="319"/>
      <c r="BN4047" s="319"/>
      <c r="BO4047" s="319"/>
      <c r="BP4047" s="953"/>
      <c r="BQ4047" s="319"/>
      <c r="BR4047" s="319"/>
      <c r="BS4047" s="330"/>
      <c r="BT4047" s="331"/>
      <c r="BU4047" s="920"/>
      <c r="BV4047" s="903"/>
      <c r="BW4047" s="908"/>
      <c r="BX4047" s="908"/>
      <c r="BY4047" s="331"/>
      <c r="BZ4047" s="331"/>
      <c r="CA4047" s="462"/>
      <c r="CB4047" s="319"/>
      <c r="CC4047" s="319"/>
      <c r="CD4047" s="319"/>
      <c r="CE4047" s="319"/>
      <c r="CF4047" s="319"/>
      <c r="CG4047" s="319"/>
      <c r="CH4047" s="318"/>
      <c r="CI4047" s="319"/>
      <c r="CJ4047" s="319"/>
      <c r="CK4047" s="342"/>
      <c r="CL4047" s="333"/>
      <c r="CM4047" s="1079"/>
      <c r="CN4047" s="1005"/>
      <c r="CO4047" s="1005"/>
      <c r="CP4047" s="1005"/>
    </row>
    <row r="4048">
      <c r="A4048" s="1257"/>
      <c r="B4048" s="1113"/>
      <c r="C4048" s="1107"/>
      <c r="D4048" s="103"/>
      <c r="E4048" s="1137"/>
      <c r="F4048" s="112"/>
      <c r="G4048" s="1110"/>
      <c r="H4048" s="1138"/>
      <c r="I4048" s="1138"/>
      <c r="J4048" s="1139"/>
      <c r="K4048" s="1111"/>
      <c r="L4048" s="1112"/>
      <c r="M4048" s="1113"/>
      <c r="N4048" s="110"/>
      <c r="O4048" s="1140"/>
      <c r="P4048" s="1115"/>
      <c r="Q4048" s="1116"/>
      <c r="R4048" s="1141"/>
      <c r="S4048" s="1113"/>
      <c r="T4048" s="1143"/>
      <c r="U4048" s="1108"/>
      <c r="V4048" s="1108"/>
      <c r="W4048" s="1108"/>
      <c r="X4048" s="1108"/>
      <c r="Y4048" s="1108"/>
      <c r="Z4048" s="1114"/>
      <c r="AA4048" s="1114"/>
      <c r="AB4048" s="1114"/>
      <c r="AC4048" s="1117"/>
      <c r="AD4048" s="1115"/>
      <c r="AE4048" s="1115"/>
      <c r="AF4048" s="1115"/>
      <c r="AG4048" s="1115"/>
      <c r="AH4048" s="1115"/>
      <c r="AI4048" s="1115"/>
      <c r="AJ4048" s="1117"/>
      <c r="AK4048" s="1118"/>
      <c r="AL4048" s="1115"/>
      <c r="AM4048" s="1115"/>
      <c r="AN4048" s="1115"/>
      <c r="AO4048" s="1115"/>
      <c r="AP4048" s="1115"/>
      <c r="AQ4048" s="1115"/>
      <c r="AR4048" s="1115"/>
      <c r="AS4048" s="1117"/>
      <c r="AT4048" s="1075"/>
      <c r="AU4048" s="1193"/>
      <c r="AV4048" s="330"/>
      <c r="AW4048" s="331"/>
      <c r="AX4048" s="331"/>
      <c r="AY4048" s="331"/>
      <c r="AZ4048" s="331"/>
      <c r="BA4048" s="331"/>
      <c r="BB4048" s="331"/>
      <c r="BC4048" s="331"/>
      <c r="BD4048" s="331"/>
      <c r="BE4048" s="333"/>
      <c r="BF4048" s="330"/>
      <c r="BG4048" s="333"/>
      <c r="BH4048" s="1119"/>
      <c r="BI4048" s="319"/>
      <c r="BJ4048" s="319"/>
      <c r="BK4048" s="319"/>
      <c r="BL4048" s="319"/>
      <c r="BM4048" s="319"/>
      <c r="BN4048" s="319"/>
      <c r="BO4048" s="319"/>
      <c r="BP4048" s="953"/>
      <c r="BQ4048" s="319"/>
      <c r="BR4048" s="319"/>
      <c r="BS4048" s="330"/>
      <c r="BT4048" s="331"/>
      <c r="BU4048" s="920"/>
      <c r="BV4048" s="903"/>
      <c r="BW4048" s="908"/>
      <c r="BX4048" s="908"/>
      <c r="BY4048" s="331"/>
      <c r="BZ4048" s="331"/>
      <c r="CA4048" s="462"/>
      <c r="CB4048" s="319"/>
      <c r="CC4048" s="319"/>
      <c r="CD4048" s="319"/>
      <c r="CE4048" s="319"/>
      <c r="CF4048" s="319"/>
      <c r="CG4048" s="319"/>
      <c r="CH4048" s="318"/>
      <c r="CI4048" s="319"/>
      <c r="CJ4048" s="319"/>
      <c r="CK4048" s="342"/>
      <c r="CL4048" s="333"/>
      <c r="CM4048" s="1079"/>
      <c r="CN4048" s="1005"/>
      <c r="CO4048" s="1005"/>
      <c r="CP4048" s="1005"/>
    </row>
    <row r="4049">
      <c r="A4049" s="1257"/>
      <c r="B4049" s="1113"/>
      <c r="C4049" s="1107"/>
      <c r="D4049" s="103"/>
      <c r="E4049" s="1137"/>
      <c r="F4049" s="112"/>
      <c r="G4049" s="1110"/>
      <c r="H4049" s="1138"/>
      <c r="I4049" s="1138"/>
      <c r="J4049" s="1139"/>
      <c r="K4049" s="1111"/>
      <c r="L4049" s="1112"/>
      <c r="M4049" s="1113"/>
      <c r="N4049" s="110"/>
      <c r="O4049" s="1140"/>
      <c r="P4049" s="1115"/>
      <c r="Q4049" s="1116"/>
      <c r="R4049" s="1141"/>
      <c r="S4049" s="1113"/>
      <c r="T4049" s="1143"/>
      <c r="U4049" s="1108"/>
      <c r="V4049" s="1108"/>
      <c r="W4049" s="1108"/>
      <c r="X4049" s="1108"/>
      <c r="Y4049" s="1108"/>
      <c r="Z4049" s="1114"/>
      <c r="AA4049" s="1114"/>
      <c r="AB4049" s="1114"/>
      <c r="AC4049" s="1117"/>
      <c r="AD4049" s="1115"/>
      <c r="AE4049" s="1115"/>
      <c r="AF4049" s="1115"/>
      <c r="AG4049" s="1115"/>
      <c r="AH4049" s="1115"/>
      <c r="AI4049" s="1115"/>
      <c r="AJ4049" s="1117"/>
      <c r="AK4049" s="1118"/>
      <c r="AL4049" s="1115"/>
      <c r="AM4049" s="1115"/>
      <c r="AN4049" s="1115"/>
      <c r="AO4049" s="1115"/>
      <c r="AP4049" s="1115"/>
      <c r="AQ4049" s="1115"/>
      <c r="AR4049" s="1115"/>
      <c r="AS4049" s="1117"/>
      <c r="AT4049" s="1075"/>
      <c r="AU4049" s="1193"/>
      <c r="AV4049" s="330"/>
      <c r="AW4049" s="331"/>
      <c r="AX4049" s="331"/>
      <c r="AY4049" s="331"/>
      <c r="AZ4049" s="331"/>
      <c r="BA4049" s="331"/>
      <c r="BB4049" s="331"/>
      <c r="BC4049" s="331"/>
      <c r="BD4049" s="331"/>
      <c r="BE4049" s="333"/>
      <c r="BF4049" s="330"/>
      <c r="BG4049" s="333"/>
      <c r="BH4049" s="1119"/>
      <c r="BI4049" s="319"/>
      <c r="BJ4049" s="319"/>
      <c r="BK4049" s="319"/>
      <c r="BL4049" s="319"/>
      <c r="BM4049" s="319"/>
      <c r="BN4049" s="319"/>
      <c r="BO4049" s="319"/>
      <c r="BP4049" s="953"/>
      <c r="BQ4049" s="319"/>
      <c r="BR4049" s="319"/>
      <c r="BS4049" s="330"/>
      <c r="BT4049" s="331"/>
      <c r="BU4049" s="920"/>
      <c r="BV4049" s="903"/>
      <c r="BW4049" s="908"/>
      <c r="BX4049" s="908"/>
      <c r="BY4049" s="331"/>
      <c r="BZ4049" s="331"/>
      <c r="CA4049" s="462"/>
      <c r="CB4049" s="319"/>
      <c r="CC4049" s="319"/>
      <c r="CD4049" s="319"/>
      <c r="CE4049" s="319"/>
      <c r="CF4049" s="319"/>
      <c r="CG4049" s="319"/>
      <c r="CH4049" s="318"/>
      <c r="CI4049" s="319"/>
      <c r="CJ4049" s="319"/>
      <c r="CK4049" s="342"/>
      <c r="CL4049" s="333"/>
      <c r="CM4049" s="1079"/>
      <c r="CN4049" s="1005"/>
      <c r="CO4049" s="1005"/>
      <c r="CP4049" s="1005"/>
    </row>
    <row r="4050">
      <c r="A4050" s="1257"/>
      <c r="B4050" s="1113"/>
      <c r="C4050" s="1107"/>
      <c r="D4050" s="103"/>
      <c r="E4050" s="1137"/>
      <c r="F4050" s="112"/>
      <c r="G4050" s="1110"/>
      <c r="H4050" s="1138"/>
      <c r="I4050" s="1138"/>
      <c r="J4050" s="1139"/>
      <c r="K4050" s="1111"/>
      <c r="L4050" s="1112"/>
      <c r="M4050" s="1113"/>
      <c r="N4050" s="110"/>
      <c r="O4050" s="1140"/>
      <c r="P4050" s="1115"/>
      <c r="Q4050" s="1116"/>
      <c r="R4050" s="1141"/>
      <c r="S4050" s="1113"/>
      <c r="T4050" s="1143"/>
      <c r="U4050" s="1108"/>
      <c r="V4050" s="1108"/>
      <c r="W4050" s="1108"/>
      <c r="X4050" s="1108"/>
      <c r="Y4050" s="1108"/>
      <c r="Z4050" s="1114"/>
      <c r="AA4050" s="1114"/>
      <c r="AB4050" s="1114"/>
      <c r="AC4050" s="1117"/>
      <c r="AD4050" s="1115"/>
      <c r="AE4050" s="1115"/>
      <c r="AF4050" s="1115"/>
      <c r="AG4050" s="1115"/>
      <c r="AH4050" s="1115"/>
      <c r="AI4050" s="1115"/>
      <c r="AJ4050" s="1117"/>
      <c r="AK4050" s="1118"/>
      <c r="AL4050" s="1115"/>
      <c r="AM4050" s="1115"/>
      <c r="AN4050" s="1115"/>
      <c r="AO4050" s="1115"/>
      <c r="AP4050" s="1115"/>
      <c r="AQ4050" s="1115"/>
      <c r="AR4050" s="1115"/>
      <c r="AS4050" s="1117"/>
      <c r="AT4050" s="1075"/>
      <c r="AU4050" s="1193"/>
      <c r="AV4050" s="330"/>
      <c r="AW4050" s="331"/>
      <c r="AX4050" s="331"/>
      <c r="AY4050" s="331"/>
      <c r="AZ4050" s="331"/>
      <c r="BA4050" s="331"/>
      <c r="BB4050" s="331"/>
      <c r="BC4050" s="331"/>
      <c r="BD4050" s="331"/>
      <c r="BE4050" s="333"/>
      <c r="BF4050" s="330"/>
      <c r="BG4050" s="333"/>
      <c r="BH4050" s="1119"/>
      <c r="BI4050" s="319"/>
      <c r="BJ4050" s="319"/>
      <c r="BK4050" s="319"/>
      <c r="BL4050" s="319"/>
      <c r="BM4050" s="319"/>
      <c r="BN4050" s="319"/>
      <c r="BO4050" s="319"/>
      <c r="BP4050" s="953"/>
      <c r="BQ4050" s="319"/>
      <c r="BR4050" s="319"/>
      <c r="BS4050" s="330"/>
      <c r="BT4050" s="331"/>
      <c r="BU4050" s="920"/>
      <c r="BV4050" s="903"/>
      <c r="BW4050" s="908"/>
      <c r="BX4050" s="908"/>
      <c r="BY4050" s="331"/>
      <c r="BZ4050" s="331"/>
      <c r="CA4050" s="462"/>
      <c r="CB4050" s="319"/>
      <c r="CC4050" s="319"/>
      <c r="CD4050" s="319"/>
      <c r="CE4050" s="319"/>
      <c r="CF4050" s="319"/>
      <c r="CG4050" s="319"/>
      <c r="CH4050" s="318"/>
      <c r="CI4050" s="319"/>
      <c r="CJ4050" s="319"/>
      <c r="CK4050" s="342"/>
      <c r="CL4050" s="333"/>
      <c r="CM4050" s="1079"/>
      <c r="CN4050" s="1005"/>
      <c r="CO4050" s="1005"/>
      <c r="CP4050" s="1005"/>
    </row>
    <row r="4051">
      <c r="A4051" s="1257"/>
      <c r="B4051" s="1113"/>
      <c r="C4051" s="1107"/>
      <c r="D4051" s="103"/>
      <c r="E4051" s="1137"/>
      <c r="F4051" s="112"/>
      <c r="G4051" s="1110"/>
      <c r="H4051" s="1138"/>
      <c r="I4051" s="1138"/>
      <c r="J4051" s="1139"/>
      <c r="K4051" s="1111"/>
      <c r="L4051" s="1112"/>
      <c r="M4051" s="1113"/>
      <c r="N4051" s="110"/>
      <c r="O4051" s="1140"/>
      <c r="P4051" s="1115"/>
      <c r="Q4051" s="1116"/>
      <c r="R4051" s="1141"/>
      <c r="S4051" s="1113"/>
      <c r="T4051" s="1143"/>
      <c r="U4051" s="1108"/>
      <c r="V4051" s="1108"/>
      <c r="W4051" s="1108"/>
      <c r="X4051" s="1108"/>
      <c r="Y4051" s="1108"/>
      <c r="Z4051" s="1114"/>
      <c r="AA4051" s="1114"/>
      <c r="AB4051" s="1114"/>
      <c r="AC4051" s="1117"/>
      <c r="AD4051" s="1115"/>
      <c r="AE4051" s="1115"/>
      <c r="AF4051" s="1115"/>
      <c r="AG4051" s="1115"/>
      <c r="AH4051" s="1115"/>
      <c r="AI4051" s="1115"/>
      <c r="AJ4051" s="1117"/>
      <c r="AK4051" s="1118"/>
      <c r="AL4051" s="1115"/>
      <c r="AM4051" s="1115"/>
      <c r="AN4051" s="1115"/>
      <c r="AO4051" s="1115"/>
      <c r="AP4051" s="1115"/>
      <c r="AQ4051" s="1115"/>
      <c r="AR4051" s="1115"/>
      <c r="AS4051" s="1117"/>
      <c r="AT4051" s="1075"/>
      <c r="AU4051" s="1193"/>
      <c r="AV4051" s="330"/>
      <c r="AW4051" s="331"/>
      <c r="AX4051" s="331"/>
      <c r="AY4051" s="331"/>
      <c r="AZ4051" s="331"/>
      <c r="BA4051" s="331"/>
      <c r="BB4051" s="331"/>
      <c r="BC4051" s="331"/>
      <c r="BD4051" s="331"/>
      <c r="BE4051" s="333"/>
      <c r="BF4051" s="330"/>
      <c r="BG4051" s="333"/>
      <c r="BH4051" s="1119"/>
      <c r="BI4051" s="319"/>
      <c r="BJ4051" s="319"/>
      <c r="BK4051" s="319"/>
      <c r="BL4051" s="319"/>
      <c r="BM4051" s="319"/>
      <c r="BN4051" s="319"/>
      <c r="BO4051" s="319"/>
      <c r="BP4051" s="953"/>
      <c r="BQ4051" s="319"/>
      <c r="BR4051" s="319"/>
      <c r="BS4051" s="330"/>
      <c r="BT4051" s="331"/>
      <c r="BU4051" s="920"/>
      <c r="BV4051" s="903"/>
      <c r="BW4051" s="908"/>
      <c r="BX4051" s="908"/>
      <c r="BY4051" s="331"/>
      <c r="BZ4051" s="331"/>
      <c r="CA4051" s="462"/>
      <c r="CB4051" s="319"/>
      <c r="CC4051" s="319"/>
      <c r="CD4051" s="319"/>
      <c r="CE4051" s="319"/>
      <c r="CF4051" s="319"/>
      <c r="CG4051" s="319"/>
      <c r="CH4051" s="318"/>
      <c r="CI4051" s="319"/>
      <c r="CJ4051" s="319"/>
      <c r="CK4051" s="342"/>
      <c r="CL4051" s="333"/>
      <c r="CM4051" s="1079"/>
      <c r="CN4051" s="1005"/>
      <c r="CO4051" s="1005"/>
      <c r="CP4051" s="1005"/>
    </row>
    <row r="4052">
      <c r="A4052" s="1257"/>
      <c r="B4052" s="1113"/>
      <c r="C4052" s="1107"/>
      <c r="D4052" s="103"/>
      <c r="E4052" s="1137"/>
      <c r="F4052" s="112"/>
      <c r="G4052" s="1110"/>
      <c r="H4052" s="1138"/>
      <c r="I4052" s="1138"/>
      <c r="J4052" s="1139"/>
      <c r="K4052" s="1111"/>
      <c r="L4052" s="1112"/>
      <c r="M4052" s="1113"/>
      <c r="N4052" s="110"/>
      <c r="O4052" s="1140"/>
      <c r="P4052" s="1115"/>
      <c r="Q4052" s="1116"/>
      <c r="R4052" s="1141"/>
      <c r="S4052" s="1113"/>
      <c r="T4052" s="1143"/>
      <c r="U4052" s="1108"/>
      <c r="V4052" s="1108"/>
      <c r="W4052" s="1108"/>
      <c r="X4052" s="1108"/>
      <c r="Y4052" s="1108"/>
      <c r="Z4052" s="1114"/>
      <c r="AA4052" s="1114"/>
      <c r="AB4052" s="1114"/>
      <c r="AC4052" s="1117"/>
      <c r="AD4052" s="1115"/>
      <c r="AE4052" s="1115"/>
      <c r="AF4052" s="1115"/>
      <c r="AG4052" s="1115"/>
      <c r="AH4052" s="1115"/>
      <c r="AI4052" s="1115"/>
      <c r="AJ4052" s="1117"/>
      <c r="AK4052" s="1118"/>
      <c r="AL4052" s="1115"/>
      <c r="AM4052" s="1115"/>
      <c r="AN4052" s="1115"/>
      <c r="AO4052" s="1115"/>
      <c r="AP4052" s="1115"/>
      <c r="AQ4052" s="1115"/>
      <c r="AR4052" s="1115"/>
      <c r="AS4052" s="1117"/>
      <c r="AT4052" s="1075"/>
      <c r="AU4052" s="1193"/>
      <c r="AV4052" s="330"/>
      <c r="AW4052" s="331"/>
      <c r="AX4052" s="331"/>
      <c r="AY4052" s="331"/>
      <c r="AZ4052" s="331"/>
      <c r="BA4052" s="331"/>
      <c r="BB4052" s="331"/>
      <c r="BC4052" s="331"/>
      <c r="BD4052" s="331"/>
      <c r="BE4052" s="333"/>
      <c r="BF4052" s="330"/>
      <c r="BG4052" s="333"/>
      <c r="BH4052" s="1119"/>
      <c r="BI4052" s="319"/>
      <c r="BJ4052" s="319"/>
      <c r="BK4052" s="319"/>
      <c r="BL4052" s="319"/>
      <c r="BM4052" s="319"/>
      <c r="BN4052" s="319"/>
      <c r="BO4052" s="319"/>
      <c r="BP4052" s="953"/>
      <c r="BQ4052" s="319"/>
      <c r="BR4052" s="319"/>
      <c r="BS4052" s="330"/>
      <c r="BT4052" s="331"/>
      <c r="BU4052" s="920"/>
      <c r="BV4052" s="903"/>
      <c r="BW4052" s="908"/>
      <c r="BX4052" s="908"/>
      <c r="BY4052" s="331"/>
      <c r="BZ4052" s="331"/>
      <c r="CA4052" s="462"/>
      <c r="CB4052" s="319"/>
      <c r="CC4052" s="319"/>
      <c r="CD4052" s="319"/>
      <c r="CE4052" s="319"/>
      <c r="CF4052" s="319"/>
      <c r="CG4052" s="319"/>
      <c r="CH4052" s="318"/>
      <c r="CI4052" s="319"/>
      <c r="CJ4052" s="319"/>
      <c r="CK4052" s="342"/>
      <c r="CL4052" s="333"/>
      <c r="CM4052" s="1079"/>
      <c r="CN4052" s="1005"/>
      <c r="CO4052" s="1005"/>
      <c r="CP4052" s="1005"/>
    </row>
    <row r="4053">
      <c r="A4053" s="1257"/>
      <c r="B4053" s="1113"/>
      <c r="C4053" s="1107"/>
      <c r="D4053" s="103"/>
      <c r="E4053" s="1137"/>
      <c r="F4053" s="112"/>
      <c r="G4053" s="1110"/>
      <c r="H4053" s="1138"/>
      <c r="I4053" s="1138"/>
      <c r="J4053" s="1139"/>
      <c r="K4053" s="1111"/>
      <c r="L4053" s="1112"/>
      <c r="M4053" s="1113"/>
      <c r="N4053" s="110"/>
      <c r="O4053" s="1140"/>
      <c r="P4053" s="1115"/>
      <c r="Q4053" s="1116"/>
      <c r="R4053" s="1141"/>
      <c r="S4053" s="1113"/>
      <c r="T4053" s="1143"/>
      <c r="U4053" s="1108"/>
      <c r="V4053" s="1108"/>
      <c r="W4053" s="1108"/>
      <c r="X4053" s="1108"/>
      <c r="Y4053" s="1108"/>
      <c r="Z4053" s="1114"/>
      <c r="AA4053" s="1114"/>
      <c r="AB4053" s="1114"/>
      <c r="AC4053" s="1117"/>
      <c r="AD4053" s="1115"/>
      <c r="AE4053" s="1115"/>
      <c r="AF4053" s="1115"/>
      <c r="AG4053" s="1115"/>
      <c r="AH4053" s="1115"/>
      <c r="AI4053" s="1115"/>
      <c r="AJ4053" s="1117"/>
      <c r="AK4053" s="1118"/>
      <c r="AL4053" s="1115"/>
      <c r="AM4053" s="1115"/>
      <c r="AN4053" s="1115"/>
      <c r="AO4053" s="1115"/>
      <c r="AP4053" s="1115"/>
      <c r="AQ4053" s="1115"/>
      <c r="AR4053" s="1115"/>
      <c r="AS4053" s="1117"/>
      <c r="AT4053" s="1075"/>
      <c r="AU4053" s="1193"/>
      <c r="AV4053" s="330"/>
      <c r="AW4053" s="331"/>
      <c r="AX4053" s="331"/>
      <c r="AY4053" s="331"/>
      <c r="AZ4053" s="331"/>
      <c r="BA4053" s="331"/>
      <c r="BB4053" s="331"/>
      <c r="BC4053" s="331"/>
      <c r="BD4053" s="331"/>
      <c r="BE4053" s="333"/>
      <c r="BF4053" s="330"/>
      <c r="BG4053" s="333"/>
      <c r="BH4053" s="1119"/>
      <c r="BI4053" s="319"/>
      <c r="BJ4053" s="319"/>
      <c r="BK4053" s="319"/>
      <c r="BL4053" s="319"/>
      <c r="BM4053" s="319"/>
      <c r="BN4053" s="319"/>
      <c r="BO4053" s="319"/>
      <c r="BP4053" s="953"/>
      <c r="BQ4053" s="319"/>
      <c r="BR4053" s="319"/>
      <c r="BS4053" s="330"/>
      <c r="BT4053" s="331"/>
      <c r="BU4053" s="920"/>
      <c r="BV4053" s="903"/>
      <c r="BW4053" s="908"/>
      <c r="BX4053" s="908"/>
      <c r="BY4053" s="331"/>
      <c r="BZ4053" s="331"/>
      <c r="CA4053" s="462"/>
      <c r="CB4053" s="319"/>
      <c r="CC4053" s="319"/>
      <c r="CD4053" s="319"/>
      <c r="CE4053" s="319"/>
      <c r="CF4053" s="319"/>
      <c r="CG4053" s="319"/>
      <c r="CH4053" s="318"/>
      <c r="CI4053" s="319"/>
      <c r="CJ4053" s="319"/>
      <c r="CK4053" s="342"/>
      <c r="CL4053" s="333"/>
      <c r="CM4053" s="1079"/>
      <c r="CN4053" s="1005"/>
      <c r="CO4053" s="1005"/>
      <c r="CP4053" s="1005"/>
    </row>
    <row r="4054">
      <c r="A4054" s="1257"/>
      <c r="B4054" s="1113"/>
      <c r="C4054" s="1107"/>
      <c r="D4054" s="103"/>
      <c r="E4054" s="1137"/>
      <c r="F4054" s="112"/>
      <c r="G4054" s="1110"/>
      <c r="H4054" s="1138"/>
      <c r="I4054" s="1138"/>
      <c r="J4054" s="1139"/>
      <c r="K4054" s="1111"/>
      <c r="L4054" s="1112"/>
      <c r="M4054" s="1113"/>
      <c r="N4054" s="110"/>
      <c r="O4054" s="1140"/>
      <c r="P4054" s="1115"/>
      <c r="Q4054" s="1116"/>
      <c r="R4054" s="1141"/>
      <c r="S4054" s="1113"/>
      <c r="T4054" s="1143"/>
      <c r="U4054" s="1108"/>
      <c r="V4054" s="1108"/>
      <c r="W4054" s="1108"/>
      <c r="X4054" s="1108"/>
      <c r="Y4054" s="1108"/>
      <c r="Z4054" s="1114"/>
      <c r="AA4054" s="1114"/>
      <c r="AB4054" s="1114"/>
      <c r="AC4054" s="1117"/>
      <c r="AD4054" s="1115"/>
      <c r="AE4054" s="1115"/>
      <c r="AF4054" s="1115"/>
      <c r="AG4054" s="1115"/>
      <c r="AH4054" s="1115"/>
      <c r="AI4054" s="1115"/>
      <c r="AJ4054" s="1117"/>
      <c r="AK4054" s="1118"/>
      <c r="AL4054" s="1115"/>
      <c r="AM4054" s="1115"/>
      <c r="AN4054" s="1115"/>
      <c r="AO4054" s="1115"/>
      <c r="AP4054" s="1115"/>
      <c r="AQ4054" s="1115"/>
      <c r="AR4054" s="1115"/>
      <c r="AS4054" s="1117"/>
      <c r="AT4054" s="1075"/>
      <c r="AU4054" s="1193"/>
      <c r="AV4054" s="330"/>
      <c r="AW4054" s="331"/>
      <c r="AX4054" s="331"/>
      <c r="AY4054" s="331"/>
      <c r="AZ4054" s="331"/>
      <c r="BA4054" s="331"/>
      <c r="BB4054" s="331"/>
      <c r="BC4054" s="331"/>
      <c r="BD4054" s="331"/>
      <c r="BE4054" s="333"/>
      <c r="BF4054" s="330"/>
      <c r="BG4054" s="333"/>
      <c r="BH4054" s="1119"/>
      <c r="BI4054" s="319"/>
      <c r="BJ4054" s="319"/>
      <c r="BK4054" s="319"/>
      <c r="BL4054" s="319"/>
      <c r="BM4054" s="319"/>
      <c r="BN4054" s="319"/>
      <c r="BO4054" s="319"/>
      <c r="BP4054" s="953"/>
      <c r="BQ4054" s="319"/>
      <c r="BR4054" s="319"/>
      <c r="BS4054" s="330"/>
      <c r="BT4054" s="331"/>
      <c r="BU4054" s="920"/>
      <c r="BV4054" s="903"/>
      <c r="BW4054" s="908"/>
      <c r="BX4054" s="908"/>
      <c r="BY4054" s="331"/>
      <c r="BZ4054" s="331"/>
      <c r="CA4054" s="462"/>
      <c r="CB4054" s="319"/>
      <c r="CC4054" s="319"/>
      <c r="CD4054" s="319"/>
      <c r="CE4054" s="319"/>
      <c r="CF4054" s="319"/>
      <c r="CG4054" s="319"/>
      <c r="CH4054" s="318"/>
      <c r="CI4054" s="319"/>
      <c r="CJ4054" s="319"/>
      <c r="CK4054" s="342"/>
      <c r="CL4054" s="333"/>
      <c r="CM4054" s="1079"/>
      <c r="CN4054" s="1005"/>
      <c r="CO4054" s="1005"/>
      <c r="CP4054" s="1005"/>
    </row>
    <row r="4055">
      <c r="A4055" s="1257"/>
      <c r="B4055" s="1113"/>
      <c r="C4055" s="1107"/>
      <c r="D4055" s="103"/>
      <c r="E4055" s="1137"/>
      <c r="F4055" s="112"/>
      <c r="G4055" s="1110"/>
      <c r="H4055" s="1138"/>
      <c r="I4055" s="1138"/>
      <c r="J4055" s="1139"/>
      <c r="K4055" s="1111"/>
      <c r="L4055" s="1112"/>
      <c r="M4055" s="1113"/>
      <c r="N4055" s="110"/>
      <c r="O4055" s="1140"/>
      <c r="P4055" s="1115"/>
      <c r="Q4055" s="1116"/>
      <c r="R4055" s="1141"/>
      <c r="S4055" s="1113"/>
      <c r="T4055" s="1143"/>
      <c r="U4055" s="1108"/>
      <c r="V4055" s="1108"/>
      <c r="W4055" s="1108"/>
      <c r="X4055" s="1108"/>
      <c r="Y4055" s="1108"/>
      <c r="Z4055" s="1114"/>
      <c r="AA4055" s="1114"/>
      <c r="AB4055" s="1114"/>
      <c r="AC4055" s="1117"/>
      <c r="AD4055" s="1115"/>
      <c r="AE4055" s="1115"/>
      <c r="AF4055" s="1115"/>
      <c r="AG4055" s="1115"/>
      <c r="AH4055" s="1115"/>
      <c r="AI4055" s="1115"/>
      <c r="AJ4055" s="1117"/>
      <c r="AK4055" s="1118"/>
      <c r="AL4055" s="1115"/>
      <c r="AM4055" s="1115"/>
      <c r="AN4055" s="1115"/>
      <c r="AO4055" s="1115"/>
      <c r="AP4055" s="1115"/>
      <c r="AQ4055" s="1115"/>
      <c r="AR4055" s="1115"/>
      <c r="AS4055" s="1117"/>
      <c r="AT4055" s="1075"/>
      <c r="AU4055" s="1193"/>
      <c r="AV4055" s="330"/>
      <c r="AW4055" s="331"/>
      <c r="AX4055" s="331"/>
      <c r="AY4055" s="331"/>
      <c r="AZ4055" s="331"/>
      <c r="BA4055" s="331"/>
      <c r="BB4055" s="331"/>
      <c r="BC4055" s="331"/>
      <c r="BD4055" s="331"/>
      <c r="BE4055" s="333"/>
      <c r="BF4055" s="330"/>
      <c r="BG4055" s="333"/>
      <c r="BH4055" s="1119"/>
      <c r="BI4055" s="319"/>
      <c r="BJ4055" s="319"/>
      <c r="BK4055" s="319"/>
      <c r="BL4055" s="319"/>
      <c r="BM4055" s="319"/>
      <c r="BN4055" s="319"/>
      <c r="BO4055" s="319"/>
      <c r="BP4055" s="953"/>
      <c r="BQ4055" s="319"/>
      <c r="BR4055" s="319"/>
      <c r="BS4055" s="330"/>
      <c r="BT4055" s="331"/>
      <c r="BU4055" s="920"/>
      <c r="BV4055" s="903"/>
      <c r="BW4055" s="908"/>
      <c r="BX4055" s="908"/>
      <c r="BY4055" s="331"/>
      <c r="BZ4055" s="331"/>
      <c r="CA4055" s="462"/>
      <c r="CB4055" s="319"/>
      <c r="CC4055" s="319"/>
      <c r="CD4055" s="319"/>
      <c r="CE4055" s="319"/>
      <c r="CF4055" s="319"/>
      <c r="CG4055" s="319"/>
      <c r="CH4055" s="318"/>
      <c r="CI4055" s="319"/>
      <c r="CJ4055" s="319"/>
      <c r="CK4055" s="342"/>
      <c r="CL4055" s="333"/>
      <c r="CM4055" s="1079"/>
      <c r="CN4055" s="1005"/>
      <c r="CO4055" s="1005"/>
      <c r="CP4055" s="1005"/>
    </row>
    <row r="4056">
      <c r="A4056" s="1257"/>
      <c r="B4056" s="1113"/>
      <c r="C4056" s="1107"/>
      <c r="D4056" s="103"/>
      <c r="E4056" s="1137"/>
      <c r="F4056" s="112"/>
      <c r="G4056" s="1110"/>
      <c r="H4056" s="1138"/>
      <c r="I4056" s="1138"/>
      <c r="J4056" s="1139"/>
      <c r="K4056" s="1111"/>
      <c r="L4056" s="1112"/>
      <c r="M4056" s="1113"/>
      <c r="N4056" s="110"/>
      <c r="O4056" s="1140"/>
      <c r="P4056" s="1115"/>
      <c r="Q4056" s="1116"/>
      <c r="R4056" s="1141"/>
      <c r="S4056" s="1113"/>
      <c r="T4056" s="1143"/>
      <c r="U4056" s="1108"/>
      <c r="V4056" s="1108"/>
      <c r="W4056" s="1108"/>
      <c r="X4056" s="1108"/>
      <c r="Y4056" s="1108"/>
      <c r="Z4056" s="1114"/>
      <c r="AA4056" s="1114"/>
      <c r="AB4056" s="1114"/>
      <c r="AC4056" s="1117"/>
      <c r="AD4056" s="1115"/>
      <c r="AE4056" s="1115"/>
      <c r="AF4056" s="1115"/>
      <c r="AG4056" s="1115"/>
      <c r="AH4056" s="1115"/>
      <c r="AI4056" s="1115"/>
      <c r="AJ4056" s="1117"/>
      <c r="AK4056" s="1118"/>
      <c r="AL4056" s="1115"/>
      <c r="AM4056" s="1115"/>
      <c r="AN4056" s="1115"/>
      <c r="AO4056" s="1115"/>
      <c r="AP4056" s="1115"/>
      <c r="AQ4056" s="1115"/>
      <c r="AR4056" s="1115"/>
      <c r="AS4056" s="1117"/>
      <c r="AT4056" s="1075"/>
      <c r="AU4056" s="1193"/>
      <c r="AV4056" s="330"/>
      <c r="AW4056" s="331"/>
      <c r="AX4056" s="331"/>
      <c r="AY4056" s="331"/>
      <c r="AZ4056" s="331"/>
      <c r="BA4056" s="331"/>
      <c r="BB4056" s="331"/>
      <c r="BC4056" s="331"/>
      <c r="BD4056" s="331"/>
      <c r="BE4056" s="333"/>
      <c r="BF4056" s="330"/>
      <c r="BG4056" s="333"/>
      <c r="BH4056" s="1119"/>
      <c r="BI4056" s="319"/>
      <c r="BJ4056" s="319"/>
      <c r="BK4056" s="319"/>
      <c r="BL4056" s="319"/>
      <c r="BM4056" s="319"/>
      <c r="BN4056" s="319"/>
      <c r="BO4056" s="319"/>
      <c r="BP4056" s="953"/>
      <c r="BQ4056" s="319"/>
      <c r="BR4056" s="319"/>
      <c r="BS4056" s="330"/>
      <c r="BT4056" s="331"/>
      <c r="BU4056" s="920"/>
      <c r="BV4056" s="903"/>
      <c r="BW4056" s="908"/>
      <c r="BX4056" s="908"/>
      <c r="BY4056" s="331"/>
      <c r="BZ4056" s="331"/>
      <c r="CA4056" s="462"/>
      <c r="CB4056" s="319"/>
      <c r="CC4056" s="319"/>
      <c r="CD4056" s="319"/>
      <c r="CE4056" s="319"/>
      <c r="CF4056" s="319"/>
      <c r="CG4056" s="319"/>
      <c r="CH4056" s="318"/>
      <c r="CI4056" s="319"/>
      <c r="CJ4056" s="319"/>
      <c r="CK4056" s="342"/>
      <c r="CL4056" s="333"/>
      <c r="CM4056" s="1079"/>
      <c r="CN4056" s="1005"/>
      <c r="CO4056" s="1005"/>
      <c r="CP4056" s="1005"/>
    </row>
    <row r="4057">
      <c r="A4057" s="1257"/>
      <c r="B4057" s="1113"/>
      <c r="C4057" s="1107"/>
      <c r="D4057" s="103"/>
      <c r="E4057" s="1137"/>
      <c r="F4057" s="112"/>
      <c r="G4057" s="1110"/>
      <c r="H4057" s="1138"/>
      <c r="I4057" s="1138"/>
      <c r="J4057" s="1139"/>
      <c r="K4057" s="1111"/>
      <c r="L4057" s="1112"/>
      <c r="M4057" s="1113"/>
      <c r="N4057" s="110"/>
      <c r="O4057" s="1140"/>
      <c r="P4057" s="1115"/>
      <c r="Q4057" s="1116"/>
      <c r="R4057" s="1141"/>
      <c r="S4057" s="1113"/>
      <c r="T4057" s="1143"/>
      <c r="U4057" s="1108"/>
      <c r="V4057" s="1108"/>
      <c r="W4057" s="1108"/>
      <c r="X4057" s="1108"/>
      <c r="Y4057" s="1108"/>
      <c r="Z4057" s="1114"/>
      <c r="AA4057" s="1114"/>
      <c r="AB4057" s="1114"/>
      <c r="AC4057" s="1117"/>
      <c r="AD4057" s="1115"/>
      <c r="AE4057" s="1115"/>
      <c r="AF4057" s="1115"/>
      <c r="AG4057" s="1115"/>
      <c r="AH4057" s="1115"/>
      <c r="AI4057" s="1115"/>
      <c r="AJ4057" s="1117"/>
      <c r="AK4057" s="1118"/>
      <c r="AL4057" s="1115"/>
      <c r="AM4057" s="1115"/>
      <c r="AN4057" s="1115"/>
      <c r="AO4057" s="1115"/>
      <c r="AP4057" s="1115"/>
      <c r="AQ4057" s="1115"/>
      <c r="AR4057" s="1115"/>
      <c r="AS4057" s="1117"/>
      <c r="AT4057" s="1075"/>
      <c r="AU4057" s="1193"/>
      <c r="AV4057" s="330"/>
      <c r="AW4057" s="331"/>
      <c r="AX4057" s="331"/>
      <c r="AY4057" s="331"/>
      <c r="AZ4057" s="331"/>
      <c r="BA4057" s="331"/>
      <c r="BB4057" s="331"/>
      <c r="BC4057" s="331"/>
      <c r="BD4057" s="331"/>
      <c r="BE4057" s="333"/>
      <c r="BF4057" s="330"/>
      <c r="BG4057" s="333"/>
      <c r="BH4057" s="1119"/>
      <c r="BI4057" s="319"/>
      <c r="BJ4057" s="319"/>
      <c r="BK4057" s="319"/>
      <c r="BL4057" s="319"/>
      <c r="BM4057" s="319"/>
      <c r="BN4057" s="319"/>
      <c r="BO4057" s="319"/>
      <c r="BP4057" s="953"/>
      <c r="BQ4057" s="319"/>
      <c r="BR4057" s="319"/>
      <c r="BS4057" s="330"/>
      <c r="BT4057" s="331"/>
      <c r="BU4057" s="920"/>
      <c r="BV4057" s="903"/>
      <c r="BW4057" s="908"/>
      <c r="BX4057" s="908"/>
      <c r="BY4057" s="331"/>
      <c r="BZ4057" s="331"/>
      <c r="CA4057" s="462"/>
      <c r="CB4057" s="319"/>
      <c r="CC4057" s="319"/>
      <c r="CD4057" s="319"/>
      <c r="CE4057" s="319"/>
      <c r="CF4057" s="319"/>
      <c r="CG4057" s="319"/>
      <c r="CH4057" s="318"/>
      <c r="CI4057" s="319"/>
      <c r="CJ4057" s="319"/>
      <c r="CK4057" s="342"/>
      <c r="CL4057" s="333"/>
      <c r="CM4057" s="1079"/>
      <c r="CN4057" s="1005"/>
      <c r="CO4057" s="1005"/>
      <c r="CP4057" s="1005"/>
    </row>
    <row r="4058">
      <c r="A4058" s="1257"/>
      <c r="B4058" s="1113"/>
      <c r="C4058" s="1107"/>
      <c r="D4058" s="103"/>
      <c r="E4058" s="1137"/>
      <c r="F4058" s="112"/>
      <c r="G4058" s="1110"/>
      <c r="H4058" s="1138"/>
      <c r="I4058" s="1138"/>
      <c r="J4058" s="1139"/>
      <c r="K4058" s="1111"/>
      <c r="L4058" s="1112"/>
      <c r="M4058" s="1113"/>
      <c r="N4058" s="110"/>
      <c r="O4058" s="1140"/>
      <c r="P4058" s="1115"/>
      <c r="Q4058" s="1116"/>
      <c r="R4058" s="1141"/>
      <c r="S4058" s="1113"/>
      <c r="T4058" s="1143"/>
      <c r="U4058" s="1108"/>
      <c r="V4058" s="1108"/>
      <c r="W4058" s="1108"/>
      <c r="X4058" s="1108"/>
      <c r="Y4058" s="1108"/>
      <c r="Z4058" s="1114"/>
      <c r="AA4058" s="1114"/>
      <c r="AB4058" s="1114"/>
      <c r="AC4058" s="1117"/>
      <c r="AD4058" s="1115"/>
      <c r="AE4058" s="1115"/>
      <c r="AF4058" s="1115"/>
      <c r="AG4058" s="1115"/>
      <c r="AH4058" s="1115"/>
      <c r="AI4058" s="1115"/>
      <c r="AJ4058" s="1117"/>
      <c r="AK4058" s="1118"/>
      <c r="AL4058" s="1115"/>
      <c r="AM4058" s="1115"/>
      <c r="AN4058" s="1115"/>
      <c r="AO4058" s="1115"/>
      <c r="AP4058" s="1115"/>
      <c r="AQ4058" s="1115"/>
      <c r="AR4058" s="1115"/>
      <c r="AS4058" s="1117"/>
      <c r="AT4058" s="1075"/>
      <c r="AU4058" s="1193"/>
      <c r="AV4058" s="330"/>
      <c r="AW4058" s="331"/>
      <c r="AX4058" s="331"/>
      <c r="AY4058" s="331"/>
      <c r="AZ4058" s="331"/>
      <c r="BA4058" s="331"/>
      <c r="BB4058" s="331"/>
      <c r="BC4058" s="331"/>
      <c r="BD4058" s="331"/>
      <c r="BE4058" s="333"/>
      <c r="BF4058" s="330"/>
      <c r="BG4058" s="333"/>
      <c r="BH4058" s="1119"/>
      <c r="BI4058" s="319"/>
      <c r="BJ4058" s="319"/>
      <c r="BK4058" s="319"/>
      <c r="BL4058" s="319"/>
      <c r="BM4058" s="319"/>
      <c r="BN4058" s="319"/>
      <c r="BO4058" s="319"/>
      <c r="BP4058" s="953"/>
      <c r="BQ4058" s="319"/>
      <c r="BR4058" s="319"/>
      <c r="BS4058" s="330"/>
      <c r="BT4058" s="331"/>
      <c r="BU4058" s="920"/>
      <c r="BV4058" s="903"/>
      <c r="BW4058" s="908"/>
      <c r="BX4058" s="908"/>
      <c r="BY4058" s="331"/>
      <c r="BZ4058" s="331"/>
      <c r="CA4058" s="462"/>
      <c r="CB4058" s="319"/>
      <c r="CC4058" s="319"/>
      <c r="CD4058" s="319"/>
      <c r="CE4058" s="319"/>
      <c r="CF4058" s="319"/>
      <c r="CG4058" s="319"/>
      <c r="CH4058" s="318"/>
      <c r="CI4058" s="319"/>
      <c r="CJ4058" s="319"/>
      <c r="CK4058" s="342"/>
      <c r="CL4058" s="333"/>
      <c r="CM4058" s="1079"/>
      <c r="CN4058" s="1005"/>
      <c r="CO4058" s="1005"/>
      <c r="CP4058" s="1005"/>
    </row>
    <row r="4059">
      <c r="A4059" s="1257"/>
      <c r="B4059" s="1113"/>
      <c r="C4059" s="1107"/>
      <c r="D4059" s="103"/>
      <c r="E4059" s="1137"/>
      <c r="F4059" s="112"/>
      <c r="G4059" s="1110"/>
      <c r="H4059" s="1138"/>
      <c r="I4059" s="1138"/>
      <c r="J4059" s="1139"/>
      <c r="K4059" s="1111"/>
      <c r="L4059" s="1112"/>
      <c r="M4059" s="1113"/>
      <c r="N4059" s="110"/>
      <c r="O4059" s="1140"/>
      <c r="P4059" s="1115"/>
      <c r="Q4059" s="1116"/>
      <c r="R4059" s="1141"/>
      <c r="S4059" s="1113"/>
      <c r="T4059" s="1143"/>
      <c r="U4059" s="1108"/>
      <c r="V4059" s="1108"/>
      <c r="W4059" s="1108"/>
      <c r="X4059" s="1108"/>
      <c r="Y4059" s="1108"/>
      <c r="Z4059" s="1114"/>
      <c r="AA4059" s="1114"/>
      <c r="AB4059" s="1114"/>
      <c r="AC4059" s="1117"/>
      <c r="AD4059" s="1115"/>
      <c r="AE4059" s="1115"/>
      <c r="AF4059" s="1115"/>
      <c r="AG4059" s="1115"/>
      <c r="AH4059" s="1115"/>
      <c r="AI4059" s="1115"/>
      <c r="AJ4059" s="1117"/>
      <c r="AK4059" s="1118"/>
      <c r="AL4059" s="1115"/>
      <c r="AM4059" s="1115"/>
      <c r="AN4059" s="1115"/>
      <c r="AO4059" s="1115"/>
      <c r="AP4059" s="1115"/>
      <c r="AQ4059" s="1115"/>
      <c r="AR4059" s="1115"/>
      <c r="AS4059" s="1117"/>
      <c r="AT4059" s="1075"/>
      <c r="AU4059" s="1193"/>
      <c r="AV4059" s="330"/>
      <c r="AW4059" s="331"/>
      <c r="AX4059" s="331"/>
      <c r="AY4059" s="331"/>
      <c r="AZ4059" s="331"/>
      <c r="BA4059" s="331"/>
      <c r="BB4059" s="331"/>
      <c r="BC4059" s="331"/>
      <c r="BD4059" s="331"/>
      <c r="BE4059" s="333"/>
      <c r="BF4059" s="330"/>
      <c r="BG4059" s="333"/>
      <c r="BH4059" s="1119"/>
      <c r="BI4059" s="319"/>
      <c r="BJ4059" s="319"/>
      <c r="BK4059" s="319"/>
      <c r="BL4059" s="319"/>
      <c r="BM4059" s="319"/>
      <c r="BN4059" s="319"/>
      <c r="BO4059" s="319"/>
      <c r="BP4059" s="953"/>
      <c r="BQ4059" s="319"/>
      <c r="BR4059" s="319"/>
      <c r="BS4059" s="330"/>
      <c r="BT4059" s="331"/>
      <c r="BU4059" s="920"/>
      <c r="BV4059" s="903"/>
      <c r="BW4059" s="908"/>
      <c r="BX4059" s="908"/>
      <c r="BY4059" s="331"/>
      <c r="BZ4059" s="331"/>
      <c r="CA4059" s="462"/>
      <c r="CB4059" s="319"/>
      <c r="CC4059" s="319"/>
      <c r="CD4059" s="319"/>
      <c r="CE4059" s="319"/>
      <c r="CF4059" s="319"/>
      <c r="CG4059" s="319"/>
      <c r="CH4059" s="318"/>
      <c r="CI4059" s="319"/>
      <c r="CJ4059" s="319"/>
      <c r="CK4059" s="342"/>
      <c r="CL4059" s="333"/>
      <c r="CM4059" s="1079"/>
      <c r="CN4059" s="1005"/>
      <c r="CO4059" s="1005"/>
      <c r="CP4059" s="1005"/>
    </row>
    <row r="4060">
      <c r="A4060" s="1257"/>
      <c r="B4060" s="1113"/>
      <c r="C4060" s="1107"/>
      <c r="D4060" s="103"/>
      <c r="E4060" s="1137"/>
      <c r="F4060" s="112"/>
      <c r="G4060" s="1110"/>
      <c r="H4060" s="1138"/>
      <c r="I4060" s="1138"/>
      <c r="J4060" s="1139"/>
      <c r="K4060" s="1111"/>
      <c r="L4060" s="1112"/>
      <c r="M4060" s="1113"/>
      <c r="N4060" s="110"/>
      <c r="O4060" s="1140"/>
      <c r="P4060" s="1115"/>
      <c r="Q4060" s="1116"/>
      <c r="R4060" s="1141"/>
      <c r="S4060" s="1113"/>
      <c r="T4060" s="1143"/>
      <c r="U4060" s="1108"/>
      <c r="V4060" s="1108"/>
      <c r="W4060" s="1108"/>
      <c r="X4060" s="1108"/>
      <c r="Y4060" s="1108"/>
      <c r="Z4060" s="1114"/>
      <c r="AA4060" s="1114"/>
      <c r="AB4060" s="1114"/>
      <c r="AC4060" s="1117"/>
      <c r="AD4060" s="1115"/>
      <c r="AE4060" s="1115"/>
      <c r="AF4060" s="1115"/>
      <c r="AG4060" s="1115"/>
      <c r="AH4060" s="1115"/>
      <c r="AI4060" s="1115"/>
      <c r="AJ4060" s="1117"/>
      <c r="AK4060" s="1118"/>
      <c r="AL4060" s="1115"/>
      <c r="AM4060" s="1115"/>
      <c r="AN4060" s="1115"/>
      <c r="AO4060" s="1115"/>
      <c r="AP4060" s="1115"/>
      <c r="AQ4060" s="1115"/>
      <c r="AR4060" s="1115"/>
      <c r="AS4060" s="1117"/>
      <c r="AT4060" s="1075"/>
      <c r="AU4060" s="1193"/>
      <c r="AV4060" s="330"/>
      <c r="AW4060" s="331"/>
      <c r="AX4060" s="331"/>
      <c r="AY4060" s="331"/>
      <c r="AZ4060" s="331"/>
      <c r="BA4060" s="331"/>
      <c r="BB4060" s="331"/>
      <c r="BC4060" s="331"/>
      <c r="BD4060" s="331"/>
      <c r="BE4060" s="333"/>
      <c r="BF4060" s="330"/>
      <c r="BG4060" s="333"/>
      <c r="BH4060" s="1119"/>
      <c r="BI4060" s="319"/>
      <c r="BJ4060" s="319"/>
      <c r="BK4060" s="319"/>
      <c r="BL4060" s="319"/>
      <c r="BM4060" s="319"/>
      <c r="BN4060" s="319"/>
      <c r="BO4060" s="319"/>
      <c r="BP4060" s="953"/>
      <c r="BQ4060" s="319"/>
      <c r="BR4060" s="319"/>
      <c r="BS4060" s="330"/>
      <c r="BT4060" s="331"/>
      <c r="BU4060" s="920"/>
      <c r="BV4060" s="903"/>
      <c r="BW4060" s="908"/>
      <c r="BX4060" s="908"/>
      <c r="BY4060" s="331"/>
      <c r="BZ4060" s="331"/>
      <c r="CA4060" s="462"/>
      <c r="CB4060" s="319"/>
      <c r="CC4060" s="319"/>
      <c r="CD4060" s="319"/>
      <c r="CE4060" s="319"/>
      <c r="CF4060" s="319"/>
      <c r="CG4060" s="319"/>
      <c r="CH4060" s="318"/>
      <c r="CI4060" s="319"/>
      <c r="CJ4060" s="319"/>
      <c r="CK4060" s="342"/>
      <c r="CL4060" s="333"/>
      <c r="CM4060" s="1079"/>
      <c r="CN4060" s="1005"/>
      <c r="CO4060" s="1005"/>
      <c r="CP4060" s="1005"/>
    </row>
    <row r="4061">
      <c r="A4061" s="1257"/>
      <c r="B4061" s="1113"/>
      <c r="C4061" s="1107"/>
      <c r="D4061" s="103"/>
      <c r="E4061" s="1137"/>
      <c r="F4061" s="112"/>
      <c r="G4061" s="1110"/>
      <c r="H4061" s="1138"/>
      <c r="I4061" s="1138"/>
      <c r="J4061" s="1139"/>
      <c r="K4061" s="1111"/>
      <c r="L4061" s="1112"/>
      <c r="M4061" s="1113"/>
      <c r="N4061" s="110"/>
      <c r="O4061" s="1140"/>
      <c r="P4061" s="1115"/>
      <c r="Q4061" s="1116"/>
      <c r="R4061" s="1141"/>
      <c r="S4061" s="1113"/>
      <c r="T4061" s="1143"/>
      <c r="U4061" s="1108"/>
      <c r="V4061" s="1108"/>
      <c r="W4061" s="1108"/>
      <c r="X4061" s="1108"/>
      <c r="Y4061" s="1108"/>
      <c r="Z4061" s="1114"/>
      <c r="AA4061" s="1114"/>
      <c r="AB4061" s="1114"/>
      <c r="AC4061" s="1117"/>
      <c r="AD4061" s="1115"/>
      <c r="AE4061" s="1115"/>
      <c r="AF4061" s="1115"/>
      <c r="AG4061" s="1115"/>
      <c r="AH4061" s="1115"/>
      <c r="AI4061" s="1115"/>
      <c r="AJ4061" s="1117"/>
      <c r="AK4061" s="1118"/>
      <c r="AL4061" s="1115"/>
      <c r="AM4061" s="1115"/>
      <c r="AN4061" s="1115"/>
      <c r="AO4061" s="1115"/>
      <c r="AP4061" s="1115"/>
      <c r="AQ4061" s="1115"/>
      <c r="AR4061" s="1115"/>
      <c r="AS4061" s="1117"/>
      <c r="AT4061" s="1075"/>
      <c r="AU4061" s="1193"/>
      <c r="AV4061" s="330"/>
      <c r="AW4061" s="331"/>
      <c r="AX4061" s="331"/>
      <c r="AY4061" s="331"/>
      <c r="AZ4061" s="331"/>
      <c r="BA4061" s="331"/>
      <c r="BB4061" s="331"/>
      <c r="BC4061" s="331"/>
      <c r="BD4061" s="331"/>
      <c r="BE4061" s="333"/>
      <c r="BF4061" s="330"/>
      <c r="BG4061" s="333"/>
      <c r="BH4061" s="1119"/>
      <c r="BI4061" s="319"/>
      <c r="BJ4061" s="319"/>
      <c r="BK4061" s="319"/>
      <c r="BL4061" s="319"/>
      <c r="BM4061" s="319"/>
      <c r="BN4061" s="319"/>
      <c r="BO4061" s="319"/>
      <c r="BP4061" s="953"/>
      <c r="BQ4061" s="319"/>
      <c r="BR4061" s="319"/>
      <c r="BS4061" s="330"/>
      <c r="BT4061" s="331"/>
      <c r="BU4061" s="920"/>
      <c r="BV4061" s="903"/>
      <c r="BW4061" s="908"/>
      <c r="BX4061" s="908"/>
      <c r="BY4061" s="331"/>
      <c r="BZ4061" s="331"/>
      <c r="CA4061" s="462"/>
      <c r="CB4061" s="319"/>
      <c r="CC4061" s="319"/>
      <c r="CD4061" s="319"/>
      <c r="CE4061" s="319"/>
      <c r="CF4061" s="319"/>
      <c r="CG4061" s="319"/>
      <c r="CH4061" s="318"/>
      <c r="CI4061" s="319"/>
      <c r="CJ4061" s="319"/>
      <c r="CK4061" s="342"/>
      <c r="CL4061" s="333"/>
      <c r="CM4061" s="1079"/>
      <c r="CN4061" s="1005"/>
      <c r="CO4061" s="1005"/>
      <c r="CP4061" s="1005"/>
    </row>
    <row r="4062">
      <c r="A4062" s="1257"/>
      <c r="B4062" s="1113"/>
      <c r="C4062" s="1107"/>
      <c r="D4062" s="103"/>
      <c r="E4062" s="1137"/>
      <c r="F4062" s="112"/>
      <c r="G4062" s="1110"/>
      <c r="H4062" s="1138"/>
      <c r="I4062" s="1138"/>
      <c r="J4062" s="1139"/>
      <c r="K4062" s="1111"/>
      <c r="L4062" s="1112"/>
      <c r="M4062" s="1113"/>
      <c r="N4062" s="110"/>
      <c r="O4062" s="1140"/>
      <c r="P4062" s="1115"/>
      <c r="Q4062" s="1116"/>
      <c r="R4062" s="1141"/>
      <c r="S4062" s="1113"/>
      <c r="T4062" s="1143"/>
      <c r="U4062" s="1108"/>
      <c r="V4062" s="1108"/>
      <c r="W4062" s="1108"/>
      <c r="X4062" s="1108"/>
      <c r="Y4062" s="1108"/>
      <c r="Z4062" s="1114"/>
      <c r="AA4062" s="1114"/>
      <c r="AB4062" s="1114"/>
      <c r="AC4062" s="1117"/>
      <c r="AD4062" s="1115"/>
      <c r="AE4062" s="1115"/>
      <c r="AF4062" s="1115"/>
      <c r="AG4062" s="1115"/>
      <c r="AH4062" s="1115"/>
      <c r="AI4062" s="1115"/>
      <c r="AJ4062" s="1117"/>
      <c r="AK4062" s="1118"/>
      <c r="AL4062" s="1115"/>
      <c r="AM4062" s="1115"/>
      <c r="AN4062" s="1115"/>
      <c r="AO4062" s="1115"/>
      <c r="AP4062" s="1115"/>
      <c r="AQ4062" s="1115"/>
      <c r="AR4062" s="1115"/>
      <c r="AS4062" s="1117"/>
      <c r="AT4062" s="1075"/>
      <c r="AU4062" s="1193"/>
      <c r="AV4062" s="330"/>
      <c r="AW4062" s="331"/>
      <c r="AX4062" s="331"/>
      <c r="AY4062" s="331"/>
      <c r="AZ4062" s="331"/>
      <c r="BA4062" s="331"/>
      <c r="BB4062" s="331"/>
      <c r="BC4062" s="331"/>
      <c r="BD4062" s="331"/>
      <c r="BE4062" s="333"/>
      <c r="BF4062" s="330"/>
      <c r="BG4062" s="333"/>
      <c r="BH4062" s="1119"/>
      <c r="BI4062" s="319"/>
      <c r="BJ4062" s="319"/>
      <c r="BK4062" s="319"/>
      <c r="BL4062" s="319"/>
      <c r="BM4062" s="319"/>
      <c r="BN4062" s="319"/>
      <c r="BO4062" s="319"/>
      <c r="BP4062" s="953"/>
      <c r="BQ4062" s="319"/>
      <c r="BR4062" s="319"/>
      <c r="BS4062" s="330"/>
      <c r="BT4062" s="331"/>
      <c r="BU4062" s="920"/>
      <c r="BV4062" s="903"/>
      <c r="BW4062" s="908"/>
      <c r="BX4062" s="908"/>
      <c r="BY4062" s="331"/>
      <c r="BZ4062" s="331"/>
      <c r="CA4062" s="462"/>
      <c r="CB4062" s="319"/>
      <c r="CC4062" s="319"/>
      <c r="CD4062" s="319"/>
      <c r="CE4062" s="319"/>
      <c r="CF4062" s="319"/>
      <c r="CG4062" s="319"/>
      <c r="CH4062" s="318"/>
      <c r="CI4062" s="319"/>
      <c r="CJ4062" s="319"/>
      <c r="CK4062" s="342"/>
      <c r="CL4062" s="333"/>
      <c r="CM4062" s="1079"/>
      <c r="CN4062" s="1005"/>
      <c r="CO4062" s="1005"/>
      <c r="CP4062" s="1005"/>
    </row>
    <row r="4063">
      <c r="A4063" s="1257"/>
      <c r="B4063" s="1113"/>
      <c r="C4063" s="1107"/>
      <c r="D4063" s="103"/>
      <c r="E4063" s="1137"/>
      <c r="F4063" s="112"/>
      <c r="G4063" s="1110"/>
      <c r="H4063" s="1138"/>
      <c r="I4063" s="1138"/>
      <c r="J4063" s="1139"/>
      <c r="K4063" s="1111"/>
      <c r="L4063" s="1112"/>
      <c r="M4063" s="1113"/>
      <c r="N4063" s="110"/>
      <c r="O4063" s="1140"/>
      <c r="P4063" s="1115"/>
      <c r="Q4063" s="1116"/>
      <c r="R4063" s="1141"/>
      <c r="S4063" s="1113"/>
      <c r="T4063" s="1143"/>
      <c r="U4063" s="1108"/>
      <c r="V4063" s="1108"/>
      <c r="W4063" s="1108"/>
      <c r="X4063" s="1108"/>
      <c r="Y4063" s="1108"/>
      <c r="Z4063" s="1114"/>
      <c r="AA4063" s="1114"/>
      <c r="AB4063" s="1114"/>
      <c r="AC4063" s="1117"/>
      <c r="AD4063" s="1115"/>
      <c r="AE4063" s="1115"/>
      <c r="AF4063" s="1115"/>
      <c r="AG4063" s="1115"/>
      <c r="AH4063" s="1115"/>
      <c r="AI4063" s="1115"/>
      <c r="AJ4063" s="1117"/>
      <c r="AK4063" s="1118"/>
      <c r="AL4063" s="1115"/>
      <c r="AM4063" s="1115"/>
      <c r="AN4063" s="1115"/>
      <c r="AO4063" s="1115"/>
      <c r="AP4063" s="1115"/>
      <c r="AQ4063" s="1115"/>
      <c r="AR4063" s="1115"/>
      <c r="AS4063" s="1117"/>
      <c r="AT4063" s="1075"/>
      <c r="AU4063" s="1193"/>
      <c r="AV4063" s="330"/>
      <c r="AW4063" s="331"/>
      <c r="AX4063" s="331"/>
      <c r="AY4063" s="331"/>
      <c r="AZ4063" s="331"/>
      <c r="BA4063" s="331"/>
      <c r="BB4063" s="331"/>
      <c r="BC4063" s="331"/>
      <c r="BD4063" s="331"/>
      <c r="BE4063" s="333"/>
      <c r="BF4063" s="330"/>
      <c r="BG4063" s="333"/>
      <c r="BH4063" s="1119"/>
      <c r="BI4063" s="319"/>
      <c r="BJ4063" s="319"/>
      <c r="BK4063" s="319"/>
      <c r="BL4063" s="319"/>
      <c r="BM4063" s="319"/>
      <c r="BN4063" s="319"/>
      <c r="BO4063" s="319"/>
      <c r="BP4063" s="953"/>
      <c r="BQ4063" s="319"/>
      <c r="BR4063" s="319"/>
      <c r="BS4063" s="330"/>
      <c r="BT4063" s="331"/>
      <c r="BU4063" s="920"/>
      <c r="BV4063" s="903"/>
      <c r="BW4063" s="908"/>
      <c r="BX4063" s="908"/>
      <c r="BY4063" s="331"/>
      <c r="BZ4063" s="331"/>
      <c r="CA4063" s="462"/>
      <c r="CB4063" s="319"/>
      <c r="CC4063" s="319"/>
      <c r="CD4063" s="319"/>
      <c r="CE4063" s="319"/>
      <c r="CF4063" s="319"/>
      <c r="CG4063" s="319"/>
      <c r="CH4063" s="318"/>
      <c r="CI4063" s="319"/>
      <c r="CJ4063" s="319"/>
      <c r="CK4063" s="342"/>
      <c r="CL4063" s="333"/>
      <c r="CM4063" s="1079"/>
      <c r="CN4063" s="1005"/>
      <c r="CO4063" s="1005"/>
      <c r="CP4063" s="1005"/>
    </row>
    <row r="4064">
      <c r="A4064" s="1257"/>
      <c r="B4064" s="1113"/>
      <c r="C4064" s="1107"/>
      <c r="D4064" s="103"/>
      <c r="E4064" s="1137"/>
      <c r="F4064" s="112"/>
      <c r="G4064" s="1110"/>
      <c r="H4064" s="1138"/>
      <c r="I4064" s="1138"/>
      <c r="J4064" s="1139"/>
      <c r="K4064" s="1111"/>
      <c r="L4064" s="1112"/>
      <c r="M4064" s="1113"/>
      <c r="N4064" s="110"/>
      <c r="O4064" s="1140"/>
      <c r="P4064" s="1115"/>
      <c r="Q4064" s="1116"/>
      <c r="R4064" s="1141"/>
      <c r="S4064" s="1113"/>
      <c r="T4064" s="1143"/>
      <c r="U4064" s="1108"/>
      <c r="V4064" s="1108"/>
      <c r="W4064" s="1108"/>
      <c r="X4064" s="1108"/>
      <c r="Y4064" s="1108"/>
      <c r="Z4064" s="1114"/>
      <c r="AA4064" s="1114"/>
      <c r="AB4064" s="1114"/>
      <c r="AC4064" s="1117"/>
      <c r="AD4064" s="1115"/>
      <c r="AE4064" s="1115"/>
      <c r="AF4064" s="1115"/>
      <c r="AG4064" s="1115"/>
      <c r="AH4064" s="1115"/>
      <c r="AI4064" s="1115"/>
      <c r="AJ4064" s="1117"/>
      <c r="AK4064" s="1118"/>
      <c r="AL4064" s="1115"/>
      <c r="AM4064" s="1115"/>
      <c r="AN4064" s="1115"/>
      <c r="AO4064" s="1115"/>
      <c r="AP4064" s="1115"/>
      <c r="AQ4064" s="1115"/>
      <c r="AR4064" s="1115"/>
      <c r="AS4064" s="1117"/>
      <c r="AT4064" s="1075"/>
      <c r="AU4064" s="1193"/>
      <c r="AV4064" s="330"/>
      <c r="AW4064" s="331"/>
      <c r="AX4064" s="331"/>
      <c r="AY4064" s="331"/>
      <c r="AZ4064" s="331"/>
      <c r="BA4064" s="331"/>
      <c r="BB4064" s="331"/>
      <c r="BC4064" s="331"/>
      <c r="BD4064" s="331"/>
      <c r="BE4064" s="333"/>
      <c r="BF4064" s="330"/>
      <c r="BG4064" s="333"/>
      <c r="BH4064" s="1119"/>
      <c r="BI4064" s="319"/>
      <c r="BJ4064" s="319"/>
      <c r="BK4064" s="319"/>
      <c r="BL4064" s="319"/>
      <c r="BM4064" s="319"/>
      <c r="BN4064" s="319"/>
      <c r="BO4064" s="319"/>
      <c r="BP4064" s="953"/>
      <c r="BQ4064" s="319"/>
      <c r="BR4064" s="319"/>
      <c r="BS4064" s="330"/>
      <c r="BT4064" s="331"/>
      <c r="BU4064" s="920"/>
      <c r="BV4064" s="903"/>
      <c r="BW4064" s="908"/>
      <c r="BX4064" s="908"/>
      <c r="BY4064" s="331"/>
      <c r="BZ4064" s="331"/>
      <c r="CA4064" s="462"/>
      <c r="CB4064" s="319"/>
      <c r="CC4064" s="319"/>
      <c r="CD4064" s="319"/>
      <c r="CE4064" s="319"/>
      <c r="CF4064" s="319"/>
      <c r="CG4064" s="319"/>
      <c r="CH4064" s="318"/>
      <c r="CI4064" s="319"/>
      <c r="CJ4064" s="319"/>
      <c r="CK4064" s="342"/>
      <c r="CL4064" s="333"/>
      <c r="CM4064" s="1079"/>
      <c r="CN4064" s="1005"/>
      <c r="CO4064" s="1005"/>
      <c r="CP4064" s="1005"/>
    </row>
    <row r="4065">
      <c r="A4065" s="1257"/>
      <c r="B4065" s="1113"/>
      <c r="C4065" s="1107"/>
      <c r="D4065" s="103"/>
      <c r="E4065" s="1137"/>
      <c r="F4065" s="112"/>
      <c r="G4065" s="1110"/>
      <c r="H4065" s="1138"/>
      <c r="I4065" s="1138"/>
      <c r="J4065" s="1139"/>
      <c r="K4065" s="1111"/>
      <c r="L4065" s="1112"/>
      <c r="M4065" s="1113"/>
      <c r="N4065" s="110"/>
      <c r="O4065" s="1140"/>
      <c r="P4065" s="1115"/>
      <c r="Q4065" s="1116"/>
      <c r="R4065" s="1141"/>
      <c r="S4065" s="1113"/>
      <c r="T4065" s="1143"/>
      <c r="U4065" s="1108"/>
      <c r="V4065" s="1108"/>
      <c r="W4065" s="1108"/>
      <c r="X4065" s="1108"/>
      <c r="Y4065" s="1108"/>
      <c r="Z4065" s="1114"/>
      <c r="AA4065" s="1114"/>
      <c r="AB4065" s="1114"/>
      <c r="AC4065" s="1117"/>
      <c r="AD4065" s="1115"/>
      <c r="AE4065" s="1115"/>
      <c r="AF4065" s="1115"/>
      <c r="AG4065" s="1115"/>
      <c r="AH4065" s="1115"/>
      <c r="AI4065" s="1115"/>
      <c r="AJ4065" s="1117"/>
      <c r="AK4065" s="1118"/>
      <c r="AL4065" s="1115"/>
      <c r="AM4065" s="1115"/>
      <c r="AN4065" s="1115"/>
      <c r="AO4065" s="1115"/>
      <c r="AP4065" s="1115"/>
      <c r="AQ4065" s="1115"/>
      <c r="AR4065" s="1115"/>
      <c r="AS4065" s="1117"/>
      <c r="AT4065" s="1075"/>
      <c r="AU4065" s="1193"/>
      <c r="AV4065" s="330"/>
      <c r="AW4065" s="331"/>
      <c r="AX4065" s="331"/>
      <c r="AY4065" s="331"/>
      <c r="AZ4065" s="331"/>
      <c r="BA4065" s="331"/>
      <c r="BB4065" s="331"/>
      <c r="BC4065" s="331"/>
      <c r="BD4065" s="331"/>
      <c r="BE4065" s="333"/>
      <c r="BF4065" s="330"/>
      <c r="BG4065" s="333"/>
      <c r="BH4065" s="1119"/>
      <c r="BI4065" s="319"/>
      <c r="BJ4065" s="319"/>
      <c r="BK4065" s="319"/>
      <c r="BL4065" s="319"/>
      <c r="BM4065" s="319"/>
      <c r="BN4065" s="319"/>
      <c r="BO4065" s="319"/>
      <c r="BP4065" s="953"/>
      <c r="BQ4065" s="319"/>
      <c r="BR4065" s="319"/>
      <c r="BS4065" s="330"/>
      <c r="BT4065" s="331"/>
      <c r="BU4065" s="920"/>
      <c r="BV4065" s="903"/>
      <c r="BW4065" s="908"/>
      <c r="BX4065" s="908"/>
      <c r="BY4065" s="331"/>
      <c r="BZ4065" s="331"/>
      <c r="CA4065" s="462"/>
      <c r="CB4065" s="319"/>
      <c r="CC4065" s="319"/>
      <c r="CD4065" s="319"/>
      <c r="CE4065" s="319"/>
      <c r="CF4065" s="319"/>
      <c r="CG4065" s="319"/>
      <c r="CH4065" s="318"/>
      <c r="CI4065" s="319"/>
      <c r="CJ4065" s="319"/>
      <c r="CK4065" s="342"/>
      <c r="CL4065" s="333"/>
      <c r="CM4065" s="1079"/>
      <c r="CN4065" s="1005"/>
      <c r="CO4065" s="1005"/>
      <c r="CP4065" s="1005"/>
    </row>
    <row r="4066">
      <c r="A4066" s="1257"/>
      <c r="B4066" s="1113"/>
      <c r="C4066" s="1107"/>
      <c r="D4066" s="103"/>
      <c r="E4066" s="1137"/>
      <c r="F4066" s="112"/>
      <c r="G4066" s="1110"/>
      <c r="H4066" s="1138"/>
      <c r="I4066" s="1138"/>
      <c r="J4066" s="1139"/>
      <c r="K4066" s="1111"/>
      <c r="L4066" s="1112"/>
      <c r="M4066" s="1113"/>
      <c r="N4066" s="110"/>
      <c r="O4066" s="1140"/>
      <c r="P4066" s="1115"/>
      <c r="Q4066" s="1116"/>
      <c r="R4066" s="1141"/>
      <c r="S4066" s="1113"/>
      <c r="T4066" s="1143"/>
      <c r="U4066" s="1108"/>
      <c r="V4066" s="1108"/>
      <c r="W4066" s="1108"/>
      <c r="X4066" s="1108"/>
      <c r="Y4066" s="1108"/>
      <c r="Z4066" s="1114"/>
      <c r="AA4066" s="1114"/>
      <c r="AB4066" s="1114"/>
      <c r="AC4066" s="1117"/>
      <c r="AD4066" s="1115"/>
      <c r="AE4066" s="1115"/>
      <c r="AF4066" s="1115"/>
      <c r="AG4066" s="1115"/>
      <c r="AH4066" s="1115"/>
      <c r="AI4066" s="1115"/>
      <c r="AJ4066" s="1117"/>
      <c r="AK4066" s="1118"/>
      <c r="AL4066" s="1115"/>
      <c r="AM4066" s="1115"/>
      <c r="AN4066" s="1115"/>
      <c r="AO4066" s="1115"/>
      <c r="AP4066" s="1115"/>
      <c r="AQ4066" s="1115"/>
      <c r="AR4066" s="1115"/>
      <c r="AS4066" s="1117"/>
      <c r="AT4066" s="1075"/>
      <c r="AU4066" s="1193"/>
      <c r="AV4066" s="330"/>
      <c r="AW4066" s="331"/>
      <c r="AX4066" s="331"/>
      <c r="AY4066" s="331"/>
      <c r="AZ4066" s="331"/>
      <c r="BA4066" s="331"/>
      <c r="BB4066" s="331"/>
      <c r="BC4066" s="331"/>
      <c r="BD4066" s="331"/>
      <c r="BE4066" s="333"/>
      <c r="BF4066" s="330"/>
      <c r="BG4066" s="333"/>
      <c r="BH4066" s="1119"/>
      <c r="BI4066" s="319"/>
      <c r="BJ4066" s="319"/>
      <c r="BK4066" s="319"/>
      <c r="BL4066" s="319"/>
      <c r="BM4066" s="319"/>
      <c r="BN4066" s="319"/>
      <c r="BO4066" s="319"/>
      <c r="BP4066" s="953"/>
      <c r="BQ4066" s="319"/>
      <c r="BR4066" s="319"/>
      <c r="BS4066" s="330"/>
      <c r="BT4066" s="331"/>
      <c r="BU4066" s="920"/>
      <c r="BV4066" s="903"/>
      <c r="BW4066" s="908"/>
      <c r="BX4066" s="908"/>
      <c r="BY4066" s="331"/>
      <c r="BZ4066" s="331"/>
      <c r="CA4066" s="462"/>
      <c r="CB4066" s="319"/>
      <c r="CC4066" s="319"/>
      <c r="CD4066" s="319"/>
      <c r="CE4066" s="319"/>
      <c r="CF4066" s="319"/>
      <c r="CG4066" s="319"/>
      <c r="CH4066" s="318"/>
      <c r="CI4066" s="319"/>
      <c r="CJ4066" s="319"/>
      <c r="CK4066" s="342"/>
      <c r="CL4066" s="333"/>
      <c r="CM4066" s="1079"/>
      <c r="CN4066" s="1005"/>
      <c r="CO4066" s="1005"/>
      <c r="CP4066" s="1005"/>
    </row>
    <row r="4067">
      <c r="A4067" s="1257"/>
      <c r="B4067" s="1113"/>
      <c r="C4067" s="1107"/>
      <c r="D4067" s="103"/>
      <c r="E4067" s="1137"/>
      <c r="F4067" s="112"/>
      <c r="G4067" s="1110"/>
      <c r="H4067" s="1138"/>
      <c r="I4067" s="1138"/>
      <c r="J4067" s="1139"/>
      <c r="K4067" s="1111"/>
      <c r="L4067" s="1112"/>
      <c r="M4067" s="1113"/>
      <c r="N4067" s="110"/>
      <c r="O4067" s="1140"/>
      <c r="P4067" s="1115"/>
      <c r="Q4067" s="1116"/>
      <c r="R4067" s="1141"/>
      <c r="S4067" s="1113"/>
      <c r="T4067" s="1143"/>
      <c r="U4067" s="1108"/>
      <c r="V4067" s="1108"/>
      <c r="W4067" s="1108"/>
      <c r="X4067" s="1108"/>
      <c r="Y4067" s="1108"/>
      <c r="Z4067" s="1114"/>
      <c r="AA4067" s="1114"/>
      <c r="AB4067" s="1114"/>
      <c r="AC4067" s="1117"/>
      <c r="AD4067" s="1115"/>
      <c r="AE4067" s="1115"/>
      <c r="AF4067" s="1115"/>
      <c r="AG4067" s="1115"/>
      <c r="AH4067" s="1115"/>
      <c r="AI4067" s="1115"/>
      <c r="AJ4067" s="1117"/>
      <c r="AK4067" s="1118"/>
      <c r="AL4067" s="1115"/>
      <c r="AM4067" s="1115"/>
      <c r="AN4067" s="1115"/>
      <c r="AO4067" s="1115"/>
      <c r="AP4067" s="1115"/>
      <c r="AQ4067" s="1115"/>
      <c r="AR4067" s="1115"/>
      <c r="AS4067" s="1117"/>
      <c r="AT4067" s="1075"/>
      <c r="AU4067" s="1193"/>
      <c r="AV4067" s="330"/>
      <c r="AW4067" s="331"/>
      <c r="AX4067" s="331"/>
      <c r="AY4067" s="331"/>
      <c r="AZ4067" s="331"/>
      <c r="BA4067" s="331"/>
      <c r="BB4067" s="331"/>
      <c r="BC4067" s="331"/>
      <c r="BD4067" s="331"/>
      <c r="BE4067" s="333"/>
      <c r="BF4067" s="330"/>
      <c r="BG4067" s="333"/>
      <c r="BH4067" s="1119"/>
      <c r="BI4067" s="319"/>
      <c r="BJ4067" s="319"/>
      <c r="BK4067" s="319"/>
      <c r="BL4067" s="319"/>
      <c r="BM4067" s="319"/>
      <c r="BN4067" s="319"/>
      <c r="BO4067" s="319"/>
      <c r="BP4067" s="953"/>
      <c r="BQ4067" s="319"/>
      <c r="BR4067" s="319"/>
      <c r="BS4067" s="330"/>
      <c r="BT4067" s="331"/>
      <c r="BU4067" s="920"/>
      <c r="BV4067" s="903"/>
      <c r="BW4067" s="908"/>
      <c r="BX4067" s="908"/>
      <c r="BY4067" s="331"/>
      <c r="BZ4067" s="331"/>
      <c r="CA4067" s="462"/>
      <c r="CB4067" s="319"/>
      <c r="CC4067" s="319"/>
      <c r="CD4067" s="319"/>
      <c r="CE4067" s="319"/>
      <c r="CF4067" s="319"/>
      <c r="CG4067" s="319"/>
      <c r="CH4067" s="318"/>
      <c r="CI4067" s="319"/>
      <c r="CJ4067" s="319"/>
      <c r="CK4067" s="342"/>
      <c r="CL4067" s="333"/>
      <c r="CM4067" s="1079"/>
      <c r="CN4067" s="1005"/>
      <c r="CO4067" s="1005"/>
      <c r="CP4067" s="1005"/>
    </row>
    <row r="4068">
      <c r="A4068" s="1257"/>
      <c r="B4068" s="1113"/>
      <c r="C4068" s="1107"/>
      <c r="D4068" s="103"/>
      <c r="E4068" s="1137"/>
      <c r="F4068" s="112"/>
      <c r="G4068" s="1110"/>
      <c r="H4068" s="1138"/>
      <c r="I4068" s="1138"/>
      <c r="J4068" s="1139"/>
      <c r="K4068" s="1111"/>
      <c r="L4068" s="1112"/>
      <c r="M4068" s="1113"/>
      <c r="N4068" s="110"/>
      <c r="O4068" s="1140"/>
      <c r="P4068" s="1115"/>
      <c r="Q4068" s="1116"/>
      <c r="R4068" s="1141"/>
      <c r="S4068" s="1113"/>
      <c r="T4068" s="1143"/>
      <c r="U4068" s="1108"/>
      <c r="V4068" s="1108"/>
      <c r="W4068" s="1108"/>
      <c r="X4068" s="1108"/>
      <c r="Y4068" s="1108"/>
      <c r="Z4068" s="1114"/>
      <c r="AA4068" s="1114"/>
      <c r="AB4068" s="1114"/>
      <c r="AC4068" s="1117"/>
      <c r="AD4068" s="1115"/>
      <c r="AE4068" s="1115"/>
      <c r="AF4068" s="1115"/>
      <c r="AG4068" s="1115"/>
      <c r="AH4068" s="1115"/>
      <c r="AI4068" s="1115"/>
      <c r="AJ4068" s="1117"/>
      <c r="AK4068" s="1118"/>
      <c r="AL4068" s="1115"/>
      <c r="AM4068" s="1115"/>
      <c r="AN4068" s="1115"/>
      <c r="AO4068" s="1115"/>
      <c r="AP4068" s="1115"/>
      <c r="AQ4068" s="1115"/>
      <c r="AR4068" s="1115"/>
      <c r="AS4068" s="1117"/>
      <c r="AT4068" s="1075"/>
      <c r="AU4068" s="1193"/>
      <c r="AV4068" s="330"/>
      <c r="AW4068" s="331"/>
      <c r="AX4068" s="331"/>
      <c r="AY4068" s="331"/>
      <c r="AZ4068" s="331"/>
      <c r="BA4068" s="331"/>
      <c r="BB4068" s="331"/>
      <c r="BC4068" s="331"/>
      <c r="BD4068" s="331"/>
      <c r="BE4068" s="333"/>
      <c r="BF4068" s="330"/>
      <c r="BG4068" s="333"/>
      <c r="BH4068" s="1119"/>
      <c r="BI4068" s="319"/>
      <c r="BJ4068" s="319"/>
      <c r="BK4068" s="319"/>
      <c r="BL4068" s="319"/>
      <c r="BM4068" s="319"/>
      <c r="BN4068" s="319"/>
      <c r="BO4068" s="319"/>
      <c r="BP4068" s="953"/>
      <c r="BQ4068" s="319"/>
      <c r="BR4068" s="319"/>
      <c r="BS4068" s="330"/>
      <c r="BT4068" s="331"/>
      <c r="BU4068" s="920"/>
      <c r="BV4068" s="903"/>
      <c r="BW4068" s="908"/>
      <c r="BX4068" s="908"/>
      <c r="BY4068" s="331"/>
      <c r="BZ4068" s="331"/>
      <c r="CA4068" s="462"/>
      <c r="CB4068" s="319"/>
      <c r="CC4068" s="319"/>
      <c r="CD4068" s="319"/>
      <c r="CE4068" s="319"/>
      <c r="CF4068" s="319"/>
      <c r="CG4068" s="319"/>
      <c r="CH4068" s="318"/>
      <c r="CI4068" s="319"/>
      <c r="CJ4068" s="319"/>
      <c r="CK4068" s="342"/>
      <c r="CL4068" s="333"/>
      <c r="CM4068" s="1079"/>
      <c r="CN4068" s="1005"/>
      <c r="CO4068" s="1005"/>
      <c r="CP4068" s="1005"/>
    </row>
    <row r="4069">
      <c r="A4069" s="1257"/>
      <c r="B4069" s="1113"/>
      <c r="C4069" s="1107"/>
      <c r="D4069" s="103"/>
      <c r="E4069" s="1137"/>
      <c r="F4069" s="112"/>
      <c r="G4069" s="1110"/>
      <c r="H4069" s="1138"/>
      <c r="I4069" s="1138"/>
      <c r="J4069" s="1139"/>
      <c r="K4069" s="1111"/>
      <c r="L4069" s="1112"/>
      <c r="M4069" s="1113"/>
      <c r="N4069" s="110"/>
      <c r="O4069" s="1140"/>
      <c r="P4069" s="1115"/>
      <c r="Q4069" s="1116"/>
      <c r="R4069" s="1141"/>
      <c r="S4069" s="1113"/>
      <c r="T4069" s="1143"/>
      <c r="U4069" s="1108"/>
      <c r="V4069" s="1108"/>
      <c r="W4069" s="1108"/>
      <c r="X4069" s="1108"/>
      <c r="Y4069" s="1108"/>
      <c r="Z4069" s="1114"/>
      <c r="AA4069" s="1114"/>
      <c r="AB4069" s="1114"/>
      <c r="AC4069" s="1117"/>
      <c r="AD4069" s="1115"/>
      <c r="AE4069" s="1115"/>
      <c r="AF4069" s="1115"/>
      <c r="AG4069" s="1115"/>
      <c r="AH4069" s="1115"/>
      <c r="AI4069" s="1115"/>
      <c r="AJ4069" s="1117"/>
      <c r="AK4069" s="1118"/>
      <c r="AL4069" s="1115"/>
      <c r="AM4069" s="1115"/>
      <c r="AN4069" s="1115"/>
      <c r="AO4069" s="1115"/>
      <c r="AP4069" s="1115"/>
      <c r="AQ4069" s="1115"/>
      <c r="AR4069" s="1115"/>
      <c r="AS4069" s="1117"/>
      <c r="AT4069" s="1075"/>
      <c r="AU4069" s="1193"/>
      <c r="AV4069" s="330"/>
      <c r="AW4069" s="331"/>
      <c r="AX4069" s="331"/>
      <c r="AY4069" s="331"/>
      <c r="AZ4069" s="331"/>
      <c r="BA4069" s="331"/>
      <c r="BB4069" s="331"/>
      <c r="BC4069" s="331"/>
      <c r="BD4069" s="331"/>
      <c r="BE4069" s="333"/>
      <c r="BF4069" s="330"/>
      <c r="BG4069" s="333"/>
      <c r="BH4069" s="1119"/>
      <c r="BI4069" s="319"/>
      <c r="BJ4069" s="319"/>
      <c r="BK4069" s="319"/>
      <c r="BL4069" s="319"/>
      <c r="BM4069" s="319"/>
      <c r="BN4069" s="319"/>
      <c r="BO4069" s="319"/>
      <c r="BP4069" s="953"/>
      <c r="BQ4069" s="319"/>
      <c r="BR4069" s="319"/>
      <c r="BS4069" s="330"/>
      <c r="BT4069" s="331"/>
      <c r="BU4069" s="920"/>
      <c r="BV4069" s="903"/>
      <c r="BW4069" s="908"/>
      <c r="BX4069" s="908"/>
      <c r="BY4069" s="331"/>
      <c r="BZ4069" s="331"/>
      <c r="CA4069" s="462"/>
      <c r="CB4069" s="319"/>
      <c r="CC4069" s="319"/>
      <c r="CD4069" s="319"/>
      <c r="CE4069" s="319"/>
      <c r="CF4069" s="319"/>
      <c r="CG4069" s="319"/>
      <c r="CH4069" s="318"/>
      <c r="CI4069" s="319"/>
      <c r="CJ4069" s="319"/>
      <c r="CK4069" s="342"/>
      <c r="CL4069" s="333"/>
      <c r="CM4069" s="1079"/>
      <c r="CN4069" s="1005"/>
      <c r="CO4069" s="1005"/>
      <c r="CP4069" s="1005"/>
    </row>
    <row r="4070">
      <c r="A4070" s="1257"/>
      <c r="B4070" s="1113"/>
      <c r="C4070" s="1107"/>
      <c r="D4070" s="103"/>
      <c r="E4070" s="1137"/>
      <c r="F4070" s="112"/>
      <c r="G4070" s="1110"/>
      <c r="H4070" s="1138"/>
      <c r="I4070" s="1138"/>
      <c r="J4070" s="1139"/>
      <c r="K4070" s="1111"/>
      <c r="L4070" s="1112"/>
      <c r="M4070" s="1113"/>
      <c r="N4070" s="110"/>
      <c r="O4070" s="1140"/>
      <c r="P4070" s="1115"/>
      <c r="Q4070" s="1116"/>
      <c r="R4070" s="1141"/>
      <c r="S4070" s="1113"/>
      <c r="T4070" s="1143"/>
      <c r="U4070" s="1108"/>
      <c r="V4070" s="1108"/>
      <c r="W4070" s="1108"/>
      <c r="X4070" s="1108"/>
      <c r="Y4070" s="1108"/>
      <c r="Z4070" s="1114"/>
      <c r="AA4070" s="1114"/>
      <c r="AB4070" s="1114"/>
      <c r="AC4070" s="1117"/>
      <c r="AD4070" s="1115"/>
      <c r="AE4070" s="1115"/>
      <c r="AF4070" s="1115"/>
      <c r="AG4070" s="1115"/>
      <c r="AH4070" s="1115"/>
      <c r="AI4070" s="1115"/>
      <c r="AJ4070" s="1117"/>
      <c r="AK4070" s="1118"/>
      <c r="AL4070" s="1115"/>
      <c r="AM4070" s="1115"/>
      <c r="AN4070" s="1115"/>
      <c r="AO4070" s="1115"/>
      <c r="AP4070" s="1115"/>
      <c r="AQ4070" s="1115"/>
      <c r="AR4070" s="1115"/>
      <c r="AS4070" s="1117"/>
      <c r="AT4070" s="1075"/>
      <c r="AU4070" s="1193"/>
      <c r="AV4070" s="330"/>
      <c r="AW4070" s="331"/>
      <c r="AX4070" s="331"/>
      <c r="AY4070" s="331"/>
      <c r="AZ4070" s="331"/>
      <c r="BA4070" s="331"/>
      <c r="BB4070" s="331"/>
      <c r="BC4070" s="331"/>
      <c r="BD4070" s="331"/>
      <c r="BE4070" s="333"/>
      <c r="BF4070" s="330"/>
      <c r="BG4070" s="333"/>
      <c r="BH4070" s="1119"/>
      <c r="BI4070" s="319"/>
      <c r="BJ4070" s="319"/>
      <c r="BK4070" s="319"/>
      <c r="BL4070" s="319"/>
      <c r="BM4070" s="319"/>
      <c r="BN4070" s="319"/>
      <c r="BO4070" s="319"/>
      <c r="BP4070" s="953"/>
      <c r="BQ4070" s="319"/>
      <c r="BR4070" s="319"/>
      <c r="BS4070" s="330"/>
      <c r="BT4070" s="331"/>
      <c r="BU4070" s="920"/>
      <c r="BV4070" s="903"/>
      <c r="BW4070" s="908"/>
      <c r="BX4070" s="908"/>
      <c r="BY4070" s="331"/>
      <c r="BZ4070" s="331"/>
      <c r="CA4070" s="462"/>
      <c r="CB4070" s="319"/>
      <c r="CC4070" s="319"/>
      <c r="CD4070" s="319"/>
      <c r="CE4070" s="319"/>
      <c r="CF4070" s="319"/>
      <c r="CG4070" s="319"/>
      <c r="CH4070" s="318"/>
      <c r="CI4070" s="319"/>
      <c r="CJ4070" s="319"/>
      <c r="CK4070" s="342"/>
      <c r="CL4070" s="333"/>
      <c r="CM4070" s="1079"/>
      <c r="CN4070" s="1005"/>
      <c r="CO4070" s="1005"/>
      <c r="CP4070" s="1005"/>
    </row>
    <row r="4071">
      <c r="A4071" s="1257"/>
      <c r="B4071" s="1113"/>
      <c r="C4071" s="1107"/>
      <c r="D4071" s="103"/>
      <c r="E4071" s="1137"/>
      <c r="F4071" s="112"/>
      <c r="G4071" s="1110"/>
      <c r="H4071" s="1138"/>
      <c r="I4071" s="1138"/>
      <c r="J4071" s="1139"/>
      <c r="K4071" s="1111"/>
      <c r="L4071" s="1112"/>
      <c r="M4071" s="1113"/>
      <c r="N4071" s="110"/>
      <c r="O4071" s="1140"/>
      <c r="P4071" s="1115"/>
      <c r="Q4071" s="1116"/>
      <c r="R4071" s="1141"/>
      <c r="S4071" s="1113"/>
      <c r="T4071" s="1143"/>
      <c r="U4071" s="1108"/>
      <c r="V4071" s="1108"/>
      <c r="W4071" s="1108"/>
      <c r="X4071" s="1108"/>
      <c r="Y4071" s="1108"/>
      <c r="Z4071" s="1114"/>
      <c r="AA4071" s="1114"/>
      <c r="AB4071" s="1114"/>
      <c r="AC4071" s="1117"/>
      <c r="AD4071" s="1115"/>
      <c r="AE4071" s="1115"/>
      <c r="AF4071" s="1115"/>
      <c r="AG4071" s="1115"/>
      <c r="AH4071" s="1115"/>
      <c r="AI4071" s="1115"/>
      <c r="AJ4071" s="1117"/>
      <c r="AK4071" s="1118"/>
      <c r="AL4071" s="1115"/>
      <c r="AM4071" s="1115"/>
      <c r="AN4071" s="1115"/>
      <c r="AO4071" s="1115"/>
      <c r="AP4071" s="1115"/>
      <c r="AQ4071" s="1115"/>
      <c r="AR4071" s="1115"/>
      <c r="AS4071" s="1117"/>
      <c r="AT4071" s="1075"/>
      <c r="AU4071" s="1193"/>
      <c r="AV4071" s="330"/>
      <c r="AW4071" s="331"/>
      <c r="AX4071" s="331"/>
      <c r="AY4071" s="331"/>
      <c r="AZ4071" s="331"/>
      <c r="BA4071" s="331"/>
      <c r="BB4071" s="331"/>
      <c r="BC4071" s="331"/>
      <c r="BD4071" s="331"/>
      <c r="BE4071" s="333"/>
      <c r="BF4071" s="330"/>
      <c r="BG4071" s="333"/>
      <c r="BH4071" s="1119"/>
      <c r="BI4071" s="319"/>
      <c r="BJ4071" s="319"/>
      <c r="BK4071" s="319"/>
      <c r="BL4071" s="319"/>
      <c r="BM4071" s="319"/>
      <c r="BN4071" s="319"/>
      <c r="BO4071" s="319"/>
      <c r="BP4071" s="953"/>
      <c r="BQ4071" s="319"/>
      <c r="BR4071" s="319"/>
      <c r="BS4071" s="330"/>
      <c r="BT4071" s="331"/>
      <c r="BU4071" s="920"/>
      <c r="BV4071" s="903"/>
      <c r="BW4071" s="908"/>
      <c r="BX4071" s="908"/>
      <c r="BY4071" s="331"/>
      <c r="BZ4071" s="331"/>
      <c r="CA4071" s="462"/>
      <c r="CB4071" s="319"/>
      <c r="CC4071" s="319"/>
      <c r="CD4071" s="319"/>
      <c r="CE4071" s="319"/>
      <c r="CF4071" s="319"/>
      <c r="CG4071" s="319"/>
      <c r="CH4071" s="318"/>
      <c r="CI4071" s="319"/>
      <c r="CJ4071" s="319"/>
      <c r="CK4071" s="342"/>
      <c r="CL4071" s="333"/>
      <c r="CM4071" s="1079"/>
      <c r="CN4071" s="1005"/>
      <c r="CO4071" s="1005"/>
      <c r="CP4071" s="1005"/>
    </row>
    <row r="4072">
      <c r="A4072" s="1257"/>
      <c r="B4072" s="1113"/>
      <c r="C4072" s="1107"/>
      <c r="D4072" s="103"/>
      <c r="E4072" s="1137"/>
      <c r="F4072" s="112"/>
      <c r="G4072" s="1110"/>
      <c r="H4072" s="1138"/>
      <c r="I4072" s="1138"/>
      <c r="J4072" s="1139"/>
      <c r="K4072" s="1111"/>
      <c r="L4072" s="1112"/>
      <c r="M4072" s="1113"/>
      <c r="N4072" s="110"/>
      <c r="O4072" s="1140"/>
      <c r="P4072" s="1115"/>
      <c r="Q4072" s="1116"/>
      <c r="R4072" s="1141"/>
      <c r="S4072" s="1113"/>
      <c r="T4072" s="1143"/>
      <c r="U4072" s="1108"/>
      <c r="V4072" s="1108"/>
      <c r="W4072" s="1108"/>
      <c r="X4072" s="1108"/>
      <c r="Y4072" s="1108"/>
      <c r="Z4072" s="1114"/>
      <c r="AA4072" s="1114"/>
      <c r="AB4072" s="1114"/>
      <c r="AC4072" s="1117"/>
      <c r="AD4072" s="1115"/>
      <c r="AE4072" s="1115"/>
      <c r="AF4072" s="1115"/>
      <c r="AG4072" s="1115"/>
      <c r="AH4072" s="1115"/>
      <c r="AI4072" s="1115"/>
      <c r="AJ4072" s="1117"/>
      <c r="AK4072" s="1118"/>
      <c r="AL4072" s="1115"/>
      <c r="AM4072" s="1115"/>
      <c r="AN4072" s="1115"/>
      <c r="AO4072" s="1115"/>
      <c r="AP4072" s="1115"/>
      <c r="AQ4072" s="1115"/>
      <c r="AR4072" s="1115"/>
      <c r="AS4072" s="1117"/>
      <c r="AT4072" s="1075"/>
      <c r="AU4072" s="1193"/>
      <c r="AV4072" s="330"/>
      <c r="AW4072" s="331"/>
      <c r="AX4072" s="331"/>
      <c r="AY4072" s="331"/>
      <c r="AZ4072" s="331"/>
      <c r="BA4072" s="331"/>
      <c r="BB4072" s="331"/>
      <c r="BC4072" s="331"/>
      <c r="BD4072" s="331"/>
      <c r="BE4072" s="333"/>
      <c r="BF4072" s="330"/>
      <c r="BG4072" s="333"/>
      <c r="BH4072" s="1119"/>
      <c r="BI4072" s="319"/>
      <c r="BJ4072" s="319"/>
      <c r="BK4072" s="319"/>
      <c r="BL4072" s="319"/>
      <c r="BM4072" s="319"/>
      <c r="BN4072" s="319"/>
      <c r="BO4072" s="319"/>
      <c r="BP4072" s="953"/>
      <c r="BQ4072" s="319"/>
      <c r="BR4072" s="319"/>
      <c r="BS4072" s="330"/>
      <c r="BT4072" s="331"/>
      <c r="BU4072" s="920"/>
      <c r="BV4072" s="903"/>
      <c r="BW4072" s="908"/>
      <c r="BX4072" s="908"/>
      <c r="BY4072" s="331"/>
      <c r="BZ4072" s="331"/>
      <c r="CA4072" s="462"/>
      <c r="CB4072" s="319"/>
      <c r="CC4072" s="319"/>
      <c r="CD4072" s="319"/>
      <c r="CE4072" s="319"/>
      <c r="CF4072" s="319"/>
      <c r="CG4072" s="319"/>
      <c r="CH4072" s="318"/>
      <c r="CI4072" s="319"/>
      <c r="CJ4072" s="319"/>
      <c r="CK4072" s="342"/>
      <c r="CL4072" s="333"/>
      <c r="CM4072" s="1079"/>
      <c r="CN4072" s="1005"/>
      <c r="CO4072" s="1005"/>
      <c r="CP4072" s="1005"/>
    </row>
    <row r="4073">
      <c r="A4073" s="1257"/>
      <c r="B4073" s="1113"/>
      <c r="C4073" s="1107"/>
      <c r="D4073" s="103"/>
      <c r="E4073" s="1137"/>
      <c r="F4073" s="112"/>
      <c r="G4073" s="1110"/>
      <c r="H4073" s="1138"/>
      <c r="I4073" s="1138"/>
      <c r="J4073" s="1139"/>
      <c r="K4073" s="1111"/>
      <c r="L4073" s="1112"/>
      <c r="M4073" s="1113"/>
      <c r="N4073" s="110"/>
      <c r="O4073" s="1140"/>
      <c r="P4073" s="1115"/>
      <c r="Q4073" s="1116"/>
      <c r="R4073" s="1141"/>
      <c r="S4073" s="1113"/>
      <c r="T4073" s="1143"/>
      <c r="U4073" s="1108"/>
      <c r="V4073" s="1108"/>
      <c r="W4073" s="1108"/>
      <c r="X4073" s="1108"/>
      <c r="Y4073" s="1108"/>
      <c r="Z4073" s="1114"/>
      <c r="AA4073" s="1114"/>
      <c r="AB4073" s="1114"/>
      <c r="AC4073" s="1117"/>
      <c r="AD4073" s="1115"/>
      <c r="AE4073" s="1115"/>
      <c r="AF4073" s="1115"/>
      <c r="AG4073" s="1115"/>
      <c r="AH4073" s="1115"/>
      <c r="AI4073" s="1115"/>
      <c r="AJ4073" s="1117"/>
      <c r="AK4073" s="1118"/>
      <c r="AL4073" s="1115"/>
      <c r="AM4073" s="1115"/>
      <c r="AN4073" s="1115"/>
      <c r="AO4073" s="1115"/>
      <c r="AP4073" s="1115"/>
      <c r="AQ4073" s="1115"/>
      <c r="AR4073" s="1115"/>
      <c r="AS4073" s="1117"/>
      <c r="AT4073" s="1075"/>
      <c r="AU4073" s="1193"/>
      <c r="AV4073" s="330"/>
      <c r="AW4073" s="331"/>
      <c r="AX4073" s="331"/>
      <c r="AY4073" s="331"/>
      <c r="AZ4073" s="331"/>
      <c r="BA4073" s="331"/>
      <c r="BB4073" s="331"/>
      <c r="BC4073" s="331"/>
      <c r="BD4073" s="331"/>
      <c r="BE4073" s="333"/>
      <c r="BF4073" s="330"/>
      <c r="BG4073" s="333"/>
      <c r="BH4073" s="1119"/>
      <c r="BI4073" s="319"/>
      <c r="BJ4073" s="319"/>
      <c r="BK4073" s="319"/>
      <c r="BL4073" s="319"/>
      <c r="BM4073" s="319"/>
      <c r="BN4073" s="319"/>
      <c r="BO4073" s="319"/>
      <c r="BP4073" s="953"/>
      <c r="BQ4073" s="319"/>
      <c r="BR4073" s="319"/>
      <c r="BS4073" s="330"/>
      <c r="BT4073" s="331"/>
      <c r="BU4073" s="920"/>
      <c r="BV4073" s="903"/>
      <c r="BW4073" s="908"/>
      <c r="BX4073" s="908"/>
      <c r="BY4073" s="331"/>
      <c r="BZ4073" s="331"/>
      <c r="CA4073" s="462"/>
      <c r="CB4073" s="319"/>
      <c r="CC4073" s="319"/>
      <c r="CD4073" s="319"/>
      <c r="CE4073" s="319"/>
      <c r="CF4073" s="319"/>
      <c r="CG4073" s="319"/>
      <c r="CH4073" s="318"/>
      <c r="CI4073" s="319"/>
      <c r="CJ4073" s="319"/>
      <c r="CK4073" s="342"/>
      <c r="CL4073" s="333"/>
      <c r="CM4073" s="1079"/>
      <c r="CN4073" s="1005"/>
      <c r="CO4073" s="1005"/>
      <c r="CP4073" s="1005"/>
    </row>
    <row r="4074">
      <c r="A4074" s="1257"/>
      <c r="B4074" s="1113"/>
      <c r="C4074" s="1107"/>
      <c r="D4074" s="103"/>
      <c r="E4074" s="1137"/>
      <c r="F4074" s="112"/>
      <c r="G4074" s="1110"/>
      <c r="H4074" s="1138"/>
      <c r="I4074" s="1138"/>
      <c r="J4074" s="1139"/>
      <c r="K4074" s="1111"/>
      <c r="L4074" s="1112"/>
      <c r="M4074" s="1113"/>
      <c r="N4074" s="110"/>
      <c r="O4074" s="1140"/>
      <c r="P4074" s="1115"/>
      <c r="Q4074" s="1116"/>
      <c r="R4074" s="1141"/>
      <c r="S4074" s="1113"/>
      <c r="T4074" s="1143"/>
      <c r="U4074" s="1108"/>
      <c r="V4074" s="1108"/>
      <c r="W4074" s="1108"/>
      <c r="X4074" s="1108"/>
      <c r="Y4074" s="1108"/>
      <c r="Z4074" s="1114"/>
      <c r="AA4074" s="1114"/>
      <c r="AB4074" s="1114"/>
      <c r="AC4074" s="1117"/>
      <c r="AD4074" s="1115"/>
      <c r="AE4074" s="1115"/>
      <c r="AF4074" s="1115"/>
      <c r="AG4074" s="1115"/>
      <c r="AH4074" s="1115"/>
      <c r="AI4074" s="1115"/>
      <c r="AJ4074" s="1117"/>
      <c r="AK4074" s="1118"/>
      <c r="AL4074" s="1115"/>
      <c r="AM4074" s="1115"/>
      <c r="AN4074" s="1115"/>
      <c r="AO4074" s="1115"/>
      <c r="AP4074" s="1115"/>
      <c r="AQ4074" s="1115"/>
      <c r="AR4074" s="1115"/>
      <c r="AS4074" s="1117"/>
      <c r="AT4074" s="1075"/>
      <c r="AU4074" s="1193"/>
      <c r="AV4074" s="330"/>
      <c r="AW4074" s="331"/>
      <c r="AX4074" s="331"/>
      <c r="AY4074" s="331"/>
      <c r="AZ4074" s="331"/>
      <c r="BA4074" s="331"/>
      <c r="BB4074" s="331"/>
      <c r="BC4074" s="331"/>
      <c r="BD4074" s="331"/>
      <c r="BE4074" s="333"/>
      <c r="BF4074" s="330"/>
      <c r="BG4074" s="333"/>
      <c r="BH4074" s="1119"/>
      <c r="BI4074" s="319"/>
      <c r="BJ4074" s="319"/>
      <c r="BK4074" s="319"/>
      <c r="BL4074" s="319"/>
      <c r="BM4074" s="319"/>
      <c r="BN4074" s="319"/>
      <c r="BO4074" s="319"/>
      <c r="BP4074" s="953"/>
      <c r="BQ4074" s="319"/>
      <c r="BR4074" s="319"/>
      <c r="BS4074" s="330"/>
      <c r="BT4074" s="331"/>
      <c r="BU4074" s="920"/>
      <c r="BV4074" s="903"/>
      <c r="BW4074" s="908"/>
      <c r="BX4074" s="908"/>
      <c r="BY4074" s="331"/>
      <c r="BZ4074" s="331"/>
      <c r="CA4074" s="462"/>
      <c r="CB4074" s="319"/>
      <c r="CC4074" s="319"/>
      <c r="CD4074" s="319"/>
      <c r="CE4074" s="319"/>
      <c r="CF4074" s="319"/>
      <c r="CG4074" s="319"/>
      <c r="CH4074" s="318"/>
      <c r="CI4074" s="319"/>
      <c r="CJ4074" s="319"/>
      <c r="CK4074" s="342"/>
      <c r="CL4074" s="333"/>
      <c r="CM4074" s="1079"/>
      <c r="CN4074" s="1005"/>
      <c r="CO4074" s="1005"/>
      <c r="CP4074" s="1005"/>
    </row>
    <row r="4075">
      <c r="A4075" s="1257"/>
      <c r="B4075" s="1113"/>
      <c r="C4075" s="1107"/>
      <c r="D4075" s="103"/>
      <c r="E4075" s="1137"/>
      <c r="F4075" s="112"/>
      <c r="G4075" s="1110"/>
      <c r="H4075" s="1138"/>
      <c r="I4075" s="1138"/>
      <c r="J4075" s="1139"/>
      <c r="K4075" s="1111"/>
      <c r="L4075" s="1112"/>
      <c r="M4075" s="1113"/>
      <c r="N4075" s="110"/>
      <c r="O4075" s="1140"/>
      <c r="P4075" s="1115"/>
      <c r="Q4075" s="1116"/>
      <c r="R4075" s="1141"/>
      <c r="S4075" s="1113"/>
      <c r="T4075" s="1143"/>
      <c r="U4075" s="1108"/>
      <c r="V4075" s="1108"/>
      <c r="W4075" s="1108"/>
      <c r="X4075" s="1108"/>
      <c r="Y4075" s="1108"/>
      <c r="Z4075" s="1114"/>
      <c r="AA4075" s="1114"/>
      <c r="AB4075" s="1114"/>
      <c r="AC4075" s="1117"/>
      <c r="AD4075" s="1115"/>
      <c r="AE4075" s="1115"/>
      <c r="AF4075" s="1115"/>
      <c r="AG4075" s="1115"/>
      <c r="AH4075" s="1115"/>
      <c r="AI4075" s="1115"/>
      <c r="AJ4075" s="1117"/>
      <c r="AK4075" s="1118"/>
      <c r="AL4075" s="1115"/>
      <c r="AM4075" s="1115"/>
      <c r="AN4075" s="1115"/>
      <c r="AO4075" s="1115"/>
      <c r="AP4075" s="1115"/>
      <c r="AQ4075" s="1115"/>
      <c r="AR4075" s="1115"/>
      <c r="AS4075" s="1117"/>
      <c r="AT4075" s="1075"/>
      <c r="AU4075" s="1193"/>
      <c r="AV4075" s="330"/>
      <c r="AW4075" s="331"/>
      <c r="AX4075" s="331"/>
      <c r="AY4075" s="331"/>
      <c r="AZ4075" s="331"/>
      <c r="BA4075" s="331"/>
      <c r="BB4075" s="331"/>
      <c r="BC4075" s="331"/>
      <c r="BD4075" s="331"/>
      <c r="BE4075" s="333"/>
      <c r="BF4075" s="330"/>
      <c r="BG4075" s="333"/>
      <c r="BH4075" s="1119"/>
      <c r="BI4075" s="319"/>
      <c r="BJ4075" s="319"/>
      <c r="BK4075" s="319"/>
      <c r="BL4075" s="319"/>
      <c r="BM4075" s="319"/>
      <c r="BN4075" s="319"/>
      <c r="BO4075" s="319"/>
      <c r="BP4075" s="953"/>
      <c r="BQ4075" s="319"/>
      <c r="BR4075" s="319"/>
      <c r="BS4075" s="330"/>
      <c r="BT4075" s="331"/>
      <c r="BU4075" s="920"/>
      <c r="BV4075" s="903"/>
      <c r="BW4075" s="908"/>
      <c r="BX4075" s="908"/>
      <c r="BY4075" s="331"/>
      <c r="BZ4075" s="331"/>
      <c r="CA4075" s="462"/>
      <c r="CB4075" s="319"/>
      <c r="CC4075" s="319"/>
      <c r="CD4075" s="319"/>
      <c r="CE4075" s="319"/>
      <c r="CF4075" s="319"/>
      <c r="CG4075" s="319"/>
      <c r="CH4075" s="318"/>
      <c r="CI4075" s="319"/>
      <c r="CJ4075" s="319"/>
      <c r="CK4075" s="342"/>
      <c r="CL4075" s="333"/>
      <c r="CM4075" s="1079"/>
      <c r="CN4075" s="1005"/>
      <c r="CO4075" s="1005"/>
      <c r="CP4075" s="1005"/>
    </row>
    <row r="4076">
      <c r="A4076" s="1257"/>
      <c r="B4076" s="1113"/>
      <c r="C4076" s="1107"/>
      <c r="D4076" s="103"/>
      <c r="E4076" s="1137"/>
      <c r="F4076" s="112"/>
      <c r="G4076" s="1110"/>
      <c r="H4076" s="1138"/>
      <c r="I4076" s="1138"/>
      <c r="J4076" s="1139"/>
      <c r="K4076" s="1111"/>
      <c r="L4076" s="1112"/>
      <c r="M4076" s="1113"/>
      <c r="N4076" s="110"/>
      <c r="O4076" s="1140"/>
      <c r="P4076" s="1115"/>
      <c r="Q4076" s="1116"/>
      <c r="R4076" s="1141"/>
      <c r="S4076" s="1113"/>
      <c r="T4076" s="1143"/>
      <c r="U4076" s="1108"/>
      <c r="V4076" s="1108"/>
      <c r="W4076" s="1108"/>
      <c r="X4076" s="1108"/>
      <c r="Y4076" s="1108"/>
      <c r="Z4076" s="1114"/>
      <c r="AA4076" s="1114"/>
      <c r="AB4076" s="1114"/>
      <c r="AC4076" s="1117"/>
      <c r="AD4076" s="1115"/>
      <c r="AE4076" s="1115"/>
      <c r="AF4076" s="1115"/>
      <c r="AG4076" s="1115"/>
      <c r="AH4076" s="1115"/>
      <c r="AI4076" s="1115"/>
      <c r="AJ4076" s="1117"/>
      <c r="AK4076" s="1118"/>
      <c r="AL4076" s="1115"/>
      <c r="AM4076" s="1115"/>
      <c r="AN4076" s="1115"/>
      <c r="AO4076" s="1115"/>
      <c r="AP4076" s="1115"/>
      <c r="AQ4076" s="1115"/>
      <c r="AR4076" s="1115"/>
      <c r="AS4076" s="1117"/>
      <c r="AT4076" s="1075"/>
      <c r="AU4076" s="1193"/>
      <c r="AV4076" s="330"/>
      <c r="AW4076" s="331"/>
      <c r="AX4076" s="331"/>
      <c r="AY4076" s="331"/>
      <c r="AZ4076" s="331"/>
      <c r="BA4076" s="331"/>
      <c r="BB4076" s="331"/>
      <c r="BC4076" s="331"/>
      <c r="BD4076" s="331"/>
      <c r="BE4076" s="333"/>
      <c r="BF4076" s="330"/>
      <c r="BG4076" s="333"/>
      <c r="BH4076" s="1119"/>
      <c r="BI4076" s="319"/>
      <c r="BJ4076" s="319"/>
      <c r="BK4076" s="319"/>
      <c r="BL4076" s="319"/>
      <c r="BM4076" s="319"/>
      <c r="BN4076" s="319"/>
      <c r="BO4076" s="319"/>
      <c r="BP4076" s="953"/>
      <c r="BQ4076" s="319"/>
      <c r="BR4076" s="319"/>
      <c r="BS4076" s="330"/>
      <c r="BT4076" s="331"/>
      <c r="BU4076" s="920"/>
      <c r="BV4076" s="903"/>
      <c r="BW4076" s="908"/>
      <c r="BX4076" s="908"/>
      <c r="BY4076" s="331"/>
      <c r="BZ4076" s="331"/>
      <c r="CA4076" s="462"/>
      <c r="CB4076" s="319"/>
      <c r="CC4076" s="319"/>
      <c r="CD4076" s="319"/>
      <c r="CE4076" s="319"/>
      <c r="CF4076" s="319"/>
      <c r="CG4076" s="319"/>
      <c r="CH4076" s="318"/>
      <c r="CI4076" s="319"/>
      <c r="CJ4076" s="319"/>
      <c r="CK4076" s="342"/>
      <c r="CL4076" s="333"/>
      <c r="CM4076" s="1079"/>
      <c r="CN4076" s="1005"/>
      <c r="CO4076" s="1005"/>
      <c r="CP4076" s="1005"/>
    </row>
    <row r="4077">
      <c r="A4077" s="1257"/>
      <c r="B4077" s="1113"/>
      <c r="C4077" s="1107"/>
      <c r="D4077" s="103"/>
      <c r="E4077" s="1137"/>
      <c r="F4077" s="112"/>
      <c r="G4077" s="1110"/>
      <c r="H4077" s="1138"/>
      <c r="I4077" s="1138"/>
      <c r="J4077" s="1139"/>
      <c r="K4077" s="1111"/>
      <c r="L4077" s="1112"/>
      <c r="M4077" s="1113"/>
      <c r="N4077" s="110"/>
      <c r="O4077" s="1140"/>
      <c r="P4077" s="1115"/>
      <c r="Q4077" s="1116"/>
      <c r="R4077" s="1141"/>
      <c r="S4077" s="1113"/>
      <c r="T4077" s="1143"/>
      <c r="U4077" s="1108"/>
      <c r="V4077" s="1108"/>
      <c r="W4077" s="1108"/>
      <c r="X4077" s="1108"/>
      <c r="Y4077" s="1108"/>
      <c r="Z4077" s="1114"/>
      <c r="AA4077" s="1114"/>
      <c r="AB4077" s="1114"/>
      <c r="AC4077" s="1117"/>
      <c r="AD4077" s="1115"/>
      <c r="AE4077" s="1115"/>
      <c r="AF4077" s="1115"/>
      <c r="AG4077" s="1115"/>
      <c r="AH4077" s="1115"/>
      <c r="AI4077" s="1115"/>
      <c r="AJ4077" s="1117"/>
      <c r="AK4077" s="1118"/>
      <c r="AL4077" s="1115"/>
      <c r="AM4077" s="1115"/>
      <c r="AN4077" s="1115"/>
      <c r="AO4077" s="1115"/>
      <c r="AP4077" s="1115"/>
      <c r="AQ4077" s="1115"/>
      <c r="AR4077" s="1115"/>
      <c r="AS4077" s="1117"/>
      <c r="AT4077" s="1075"/>
      <c r="AU4077" s="1193"/>
      <c r="AV4077" s="330"/>
      <c r="AW4077" s="331"/>
      <c r="AX4077" s="331"/>
      <c r="AY4077" s="331"/>
      <c r="AZ4077" s="331"/>
      <c r="BA4077" s="331"/>
      <c r="BB4077" s="331"/>
      <c r="BC4077" s="331"/>
      <c r="BD4077" s="331"/>
      <c r="BE4077" s="333"/>
      <c r="BF4077" s="330"/>
      <c r="BG4077" s="333"/>
      <c r="BH4077" s="1119"/>
      <c r="BI4077" s="319"/>
      <c r="BJ4077" s="319"/>
      <c r="BK4077" s="319"/>
      <c r="BL4077" s="319"/>
      <c r="BM4077" s="319"/>
      <c r="BN4077" s="319"/>
      <c r="BO4077" s="319"/>
      <c r="BP4077" s="953"/>
      <c r="BQ4077" s="319"/>
      <c r="BR4077" s="319"/>
      <c r="BS4077" s="330"/>
      <c r="BT4077" s="331"/>
      <c r="BU4077" s="920"/>
      <c r="BV4077" s="903"/>
      <c r="BW4077" s="908"/>
      <c r="BX4077" s="908"/>
      <c r="BY4077" s="331"/>
      <c r="BZ4077" s="331"/>
      <c r="CA4077" s="462"/>
      <c r="CB4077" s="319"/>
      <c r="CC4077" s="319"/>
      <c r="CD4077" s="319"/>
      <c r="CE4077" s="319"/>
      <c r="CF4077" s="319"/>
      <c r="CG4077" s="319"/>
      <c r="CH4077" s="318"/>
      <c r="CI4077" s="319"/>
      <c r="CJ4077" s="319"/>
      <c r="CK4077" s="342"/>
      <c r="CL4077" s="333"/>
      <c r="CM4077" s="1079"/>
      <c r="CN4077" s="1005"/>
      <c r="CO4077" s="1005"/>
      <c r="CP4077" s="1005"/>
    </row>
    <row r="4078">
      <c r="A4078" s="1257"/>
      <c r="B4078" s="1113"/>
      <c r="C4078" s="1107"/>
      <c r="D4078" s="103"/>
      <c r="E4078" s="1137"/>
      <c r="F4078" s="112"/>
      <c r="G4078" s="1110"/>
      <c r="H4078" s="1138"/>
      <c r="I4078" s="1138"/>
      <c r="J4078" s="1139"/>
      <c r="K4078" s="1111"/>
      <c r="L4078" s="1112"/>
      <c r="M4078" s="1113"/>
      <c r="N4078" s="110"/>
      <c r="O4078" s="1140"/>
      <c r="P4078" s="1115"/>
      <c r="Q4078" s="1116"/>
      <c r="R4078" s="1141"/>
      <c r="S4078" s="1113"/>
      <c r="T4078" s="1143"/>
      <c r="U4078" s="1108"/>
      <c r="V4078" s="1108"/>
      <c r="W4078" s="1108"/>
      <c r="X4078" s="1108"/>
      <c r="Y4078" s="1108"/>
      <c r="Z4078" s="1114"/>
      <c r="AA4078" s="1114"/>
      <c r="AB4078" s="1114"/>
      <c r="AC4078" s="1117"/>
      <c r="AD4078" s="1115"/>
      <c r="AE4078" s="1115"/>
      <c r="AF4078" s="1115"/>
      <c r="AG4078" s="1115"/>
      <c r="AH4078" s="1115"/>
      <c r="AI4078" s="1115"/>
      <c r="AJ4078" s="1117"/>
      <c r="AK4078" s="1118"/>
      <c r="AL4078" s="1115"/>
      <c r="AM4078" s="1115"/>
      <c r="AN4078" s="1115"/>
      <c r="AO4078" s="1115"/>
      <c r="AP4078" s="1115"/>
      <c r="AQ4078" s="1115"/>
      <c r="AR4078" s="1115"/>
      <c r="AS4078" s="1117"/>
      <c r="AT4078" s="1075"/>
      <c r="AU4078" s="1193"/>
      <c r="AV4078" s="330"/>
      <c r="AW4078" s="331"/>
      <c r="AX4078" s="331"/>
      <c r="AY4078" s="331"/>
      <c r="AZ4078" s="331"/>
      <c r="BA4078" s="331"/>
      <c r="BB4078" s="331"/>
      <c r="BC4078" s="331"/>
      <c r="BD4078" s="331"/>
      <c r="BE4078" s="333"/>
      <c r="BF4078" s="330"/>
      <c r="BG4078" s="333"/>
      <c r="BH4078" s="1119"/>
      <c r="BI4078" s="319"/>
      <c r="BJ4078" s="319"/>
      <c r="BK4078" s="319"/>
      <c r="BL4078" s="319"/>
      <c r="BM4078" s="319"/>
      <c r="BN4078" s="319"/>
      <c r="BO4078" s="319"/>
      <c r="BP4078" s="953"/>
      <c r="BQ4078" s="319"/>
      <c r="BR4078" s="319"/>
      <c r="BS4078" s="330"/>
      <c r="BT4078" s="331"/>
      <c r="BU4078" s="920"/>
      <c r="BV4078" s="903"/>
      <c r="BW4078" s="908"/>
      <c r="BX4078" s="908"/>
      <c r="BY4078" s="331"/>
      <c r="BZ4078" s="331"/>
      <c r="CA4078" s="462"/>
      <c r="CB4078" s="319"/>
      <c r="CC4078" s="319"/>
      <c r="CD4078" s="319"/>
      <c r="CE4078" s="319"/>
      <c r="CF4078" s="319"/>
      <c r="CG4078" s="319"/>
      <c r="CH4078" s="318"/>
      <c r="CI4078" s="319"/>
      <c r="CJ4078" s="319"/>
      <c r="CK4078" s="342"/>
      <c r="CL4078" s="333"/>
      <c r="CM4078" s="1079"/>
      <c r="CN4078" s="1005"/>
      <c r="CO4078" s="1005"/>
      <c r="CP4078" s="1005"/>
    </row>
    <row r="4079">
      <c r="A4079" s="1257"/>
      <c r="B4079" s="1113"/>
      <c r="C4079" s="1107"/>
      <c r="D4079" s="103"/>
      <c r="E4079" s="1137"/>
      <c r="F4079" s="112"/>
      <c r="G4079" s="1110"/>
      <c r="H4079" s="1138"/>
      <c r="I4079" s="1138"/>
      <c r="J4079" s="1139"/>
      <c r="K4079" s="1111"/>
      <c r="L4079" s="1112"/>
      <c r="M4079" s="1113"/>
      <c r="N4079" s="110"/>
      <c r="O4079" s="1140"/>
      <c r="P4079" s="1115"/>
      <c r="Q4079" s="1116"/>
      <c r="R4079" s="1141"/>
      <c r="S4079" s="1113"/>
      <c r="T4079" s="1143"/>
      <c r="U4079" s="1108"/>
      <c r="V4079" s="1108"/>
      <c r="W4079" s="1108"/>
      <c r="X4079" s="1108"/>
      <c r="Y4079" s="1108"/>
      <c r="Z4079" s="1114"/>
      <c r="AA4079" s="1114"/>
      <c r="AB4079" s="1114"/>
      <c r="AC4079" s="1117"/>
      <c r="AD4079" s="1115"/>
      <c r="AE4079" s="1115"/>
      <c r="AF4079" s="1115"/>
      <c r="AG4079" s="1115"/>
      <c r="AH4079" s="1115"/>
      <c r="AI4079" s="1115"/>
      <c r="AJ4079" s="1117"/>
      <c r="AK4079" s="1118"/>
      <c r="AL4079" s="1115"/>
      <c r="AM4079" s="1115"/>
      <c r="AN4079" s="1115"/>
      <c r="AO4079" s="1115"/>
      <c r="AP4079" s="1115"/>
      <c r="AQ4079" s="1115"/>
      <c r="AR4079" s="1115"/>
      <c r="AS4079" s="1117"/>
      <c r="AT4079" s="1075"/>
      <c r="AU4079" s="1193"/>
      <c r="AV4079" s="330"/>
      <c r="AW4079" s="331"/>
      <c r="AX4079" s="331"/>
      <c r="AY4079" s="331"/>
      <c r="AZ4079" s="331"/>
      <c r="BA4079" s="331"/>
      <c r="BB4079" s="331"/>
      <c r="BC4079" s="331"/>
      <c r="BD4079" s="331"/>
      <c r="BE4079" s="333"/>
      <c r="BF4079" s="330"/>
      <c r="BG4079" s="333"/>
      <c r="BH4079" s="1119"/>
      <c r="BI4079" s="319"/>
      <c r="BJ4079" s="319"/>
      <c r="BK4079" s="319"/>
      <c r="BL4079" s="319"/>
      <c r="BM4079" s="319"/>
      <c r="BN4079" s="319"/>
      <c r="BO4079" s="319"/>
      <c r="BP4079" s="953"/>
      <c r="BQ4079" s="319"/>
      <c r="BR4079" s="319"/>
      <c r="BS4079" s="330"/>
      <c r="BT4079" s="331"/>
      <c r="BU4079" s="920"/>
      <c r="BV4079" s="903"/>
      <c r="BW4079" s="908"/>
      <c r="BX4079" s="908"/>
      <c r="BY4079" s="331"/>
      <c r="BZ4079" s="331"/>
      <c r="CA4079" s="462"/>
      <c r="CB4079" s="319"/>
      <c r="CC4079" s="319"/>
      <c r="CD4079" s="319"/>
      <c r="CE4079" s="319"/>
      <c r="CF4079" s="319"/>
      <c r="CG4079" s="319"/>
      <c r="CH4079" s="318"/>
      <c r="CI4079" s="319"/>
      <c r="CJ4079" s="319"/>
      <c r="CK4079" s="342"/>
      <c r="CL4079" s="333"/>
      <c r="CM4079" s="1079"/>
      <c r="CN4079" s="1005"/>
      <c r="CO4079" s="1005"/>
      <c r="CP4079" s="1005"/>
    </row>
    <row r="4080">
      <c r="A4080" s="1257"/>
      <c r="B4080" s="1113"/>
      <c r="C4080" s="1107"/>
      <c r="D4080" s="103"/>
      <c r="E4080" s="1137"/>
      <c r="F4080" s="112"/>
      <c r="G4080" s="1110"/>
      <c r="H4080" s="1138"/>
      <c r="I4080" s="1138"/>
      <c r="J4080" s="1139"/>
      <c r="K4080" s="1111"/>
      <c r="L4080" s="1112"/>
      <c r="M4080" s="1113"/>
      <c r="N4080" s="110"/>
      <c r="O4080" s="1140"/>
      <c r="P4080" s="1115"/>
      <c r="Q4080" s="1116"/>
      <c r="R4080" s="1141"/>
      <c r="S4080" s="1113"/>
      <c r="T4080" s="1143"/>
      <c r="U4080" s="1108"/>
      <c r="V4080" s="1108"/>
      <c r="W4080" s="1108"/>
      <c r="X4080" s="1108"/>
      <c r="Y4080" s="1108"/>
      <c r="Z4080" s="1114"/>
      <c r="AA4080" s="1114"/>
      <c r="AB4080" s="1114"/>
      <c r="AC4080" s="1117"/>
      <c r="AD4080" s="1115"/>
      <c r="AE4080" s="1115"/>
      <c r="AF4080" s="1115"/>
      <c r="AG4080" s="1115"/>
      <c r="AH4080" s="1115"/>
      <c r="AI4080" s="1115"/>
      <c r="AJ4080" s="1117"/>
      <c r="AK4080" s="1118"/>
      <c r="AL4080" s="1115"/>
      <c r="AM4080" s="1115"/>
      <c r="AN4080" s="1115"/>
      <c r="AO4080" s="1115"/>
      <c r="AP4080" s="1115"/>
      <c r="AQ4080" s="1115"/>
      <c r="AR4080" s="1115"/>
      <c r="AS4080" s="1117"/>
      <c r="AT4080" s="1075"/>
      <c r="AU4080" s="1193"/>
      <c r="AV4080" s="330"/>
      <c r="AW4080" s="331"/>
      <c r="AX4080" s="331"/>
      <c r="AY4080" s="331"/>
      <c r="AZ4080" s="331"/>
      <c r="BA4080" s="331"/>
      <c r="BB4080" s="331"/>
      <c r="BC4080" s="331"/>
      <c r="BD4080" s="331"/>
      <c r="BE4080" s="333"/>
      <c r="BF4080" s="330"/>
      <c r="BG4080" s="333"/>
      <c r="BH4080" s="1119"/>
      <c r="BI4080" s="319"/>
      <c r="BJ4080" s="319"/>
      <c r="BK4080" s="319"/>
      <c r="BL4080" s="319"/>
      <c r="BM4080" s="319"/>
      <c r="BN4080" s="319"/>
      <c r="BO4080" s="319"/>
      <c r="BP4080" s="953"/>
      <c r="BQ4080" s="319"/>
      <c r="BR4080" s="319"/>
      <c r="BS4080" s="330"/>
      <c r="BT4080" s="331"/>
      <c r="BU4080" s="920"/>
      <c r="BV4080" s="903"/>
      <c r="BW4080" s="908"/>
      <c r="BX4080" s="908"/>
      <c r="BY4080" s="331"/>
      <c r="BZ4080" s="331"/>
      <c r="CA4080" s="462"/>
      <c r="CB4080" s="319"/>
      <c r="CC4080" s="319"/>
      <c r="CD4080" s="319"/>
      <c r="CE4080" s="319"/>
      <c r="CF4080" s="319"/>
      <c r="CG4080" s="319"/>
      <c r="CH4080" s="318"/>
      <c r="CI4080" s="319"/>
      <c r="CJ4080" s="319"/>
      <c r="CK4080" s="342"/>
      <c r="CL4080" s="333"/>
      <c r="CM4080" s="1079"/>
      <c r="CN4080" s="1005"/>
      <c r="CO4080" s="1005"/>
      <c r="CP4080" s="1005"/>
    </row>
    <row r="4081">
      <c r="A4081" s="1257"/>
      <c r="B4081" s="1113"/>
      <c r="C4081" s="1107"/>
      <c r="D4081" s="103"/>
      <c r="E4081" s="1137"/>
      <c r="F4081" s="112"/>
      <c r="G4081" s="1110"/>
      <c r="H4081" s="1138"/>
      <c r="I4081" s="1138"/>
      <c r="J4081" s="1139"/>
      <c r="K4081" s="1111"/>
      <c r="L4081" s="1112"/>
      <c r="M4081" s="1113"/>
      <c r="N4081" s="110"/>
      <c r="O4081" s="1140"/>
      <c r="P4081" s="1115"/>
      <c r="Q4081" s="1116"/>
      <c r="R4081" s="1141"/>
      <c r="S4081" s="1113"/>
      <c r="T4081" s="1143"/>
      <c r="U4081" s="1108"/>
      <c r="V4081" s="1108"/>
      <c r="W4081" s="1108"/>
      <c r="X4081" s="1108"/>
      <c r="Y4081" s="1108"/>
      <c r="Z4081" s="1114"/>
      <c r="AA4081" s="1114"/>
      <c r="AB4081" s="1114"/>
      <c r="AC4081" s="1117"/>
      <c r="AD4081" s="1115"/>
      <c r="AE4081" s="1115"/>
      <c r="AF4081" s="1115"/>
      <c r="AG4081" s="1115"/>
      <c r="AH4081" s="1115"/>
      <c r="AI4081" s="1115"/>
      <c r="AJ4081" s="1117"/>
      <c r="AK4081" s="1118"/>
      <c r="AL4081" s="1115"/>
      <c r="AM4081" s="1115"/>
      <c r="AN4081" s="1115"/>
      <c r="AO4081" s="1115"/>
      <c r="AP4081" s="1115"/>
      <c r="AQ4081" s="1115"/>
      <c r="AR4081" s="1115"/>
      <c r="AS4081" s="1117"/>
      <c r="AT4081" s="1075"/>
      <c r="AU4081" s="1193"/>
      <c r="AV4081" s="330"/>
      <c r="AW4081" s="331"/>
      <c r="AX4081" s="331"/>
      <c r="AY4081" s="331"/>
      <c r="AZ4081" s="331"/>
      <c r="BA4081" s="331"/>
      <c r="BB4081" s="331"/>
      <c r="BC4081" s="331"/>
      <c r="BD4081" s="331"/>
      <c r="BE4081" s="333"/>
      <c r="BF4081" s="330"/>
      <c r="BG4081" s="333"/>
      <c r="BH4081" s="1119"/>
      <c r="BI4081" s="319"/>
      <c r="BJ4081" s="319"/>
      <c r="BK4081" s="319"/>
      <c r="BL4081" s="319"/>
      <c r="BM4081" s="319"/>
      <c r="BN4081" s="319"/>
      <c r="BO4081" s="319"/>
      <c r="BP4081" s="953"/>
      <c r="BQ4081" s="319"/>
      <c r="BR4081" s="319"/>
      <c r="BS4081" s="330"/>
      <c r="BT4081" s="331"/>
      <c r="BU4081" s="920"/>
      <c r="BV4081" s="903"/>
      <c r="BW4081" s="908"/>
      <c r="BX4081" s="908"/>
      <c r="BY4081" s="331"/>
      <c r="BZ4081" s="331"/>
      <c r="CA4081" s="462"/>
      <c r="CB4081" s="319"/>
      <c r="CC4081" s="319"/>
      <c r="CD4081" s="319"/>
      <c r="CE4081" s="319"/>
      <c r="CF4081" s="319"/>
      <c r="CG4081" s="319"/>
      <c r="CH4081" s="318"/>
      <c r="CI4081" s="319"/>
      <c r="CJ4081" s="319"/>
      <c r="CK4081" s="342"/>
      <c r="CL4081" s="333"/>
      <c r="CM4081" s="1079"/>
      <c r="CN4081" s="1005"/>
      <c r="CO4081" s="1005"/>
      <c r="CP4081" s="1005"/>
    </row>
    <row r="4082">
      <c r="A4082" s="1257"/>
      <c r="B4082" s="1113"/>
      <c r="C4082" s="1107"/>
      <c r="D4082" s="103"/>
      <c r="E4082" s="1137"/>
      <c r="F4082" s="112"/>
      <c r="G4082" s="1110"/>
      <c r="H4082" s="1138"/>
      <c r="I4082" s="1138"/>
      <c r="J4082" s="1139"/>
      <c r="K4082" s="1111"/>
      <c r="L4082" s="1112"/>
      <c r="M4082" s="1113"/>
      <c r="N4082" s="110"/>
      <c r="O4082" s="1140"/>
      <c r="P4082" s="1115"/>
      <c r="Q4082" s="1116"/>
      <c r="R4082" s="1141"/>
      <c r="S4082" s="1113"/>
      <c r="T4082" s="1143"/>
      <c r="U4082" s="1108"/>
      <c r="V4082" s="1108"/>
      <c r="W4082" s="1108"/>
      <c r="X4082" s="1108"/>
      <c r="Y4082" s="1108"/>
      <c r="Z4082" s="1114"/>
      <c r="AA4082" s="1114"/>
      <c r="AB4082" s="1114"/>
      <c r="AC4082" s="1117"/>
      <c r="AD4082" s="1115"/>
      <c r="AE4082" s="1115"/>
      <c r="AF4082" s="1115"/>
      <c r="AG4082" s="1115"/>
      <c r="AH4082" s="1115"/>
      <c r="AI4082" s="1115"/>
      <c r="AJ4082" s="1117"/>
      <c r="AK4082" s="1118"/>
      <c r="AL4082" s="1115"/>
      <c r="AM4082" s="1115"/>
      <c r="AN4082" s="1115"/>
      <c r="AO4082" s="1115"/>
      <c r="AP4082" s="1115"/>
      <c r="AQ4082" s="1115"/>
      <c r="AR4082" s="1115"/>
      <c r="AS4082" s="1117"/>
      <c r="AT4082" s="1075"/>
      <c r="AU4082" s="1193"/>
      <c r="AV4082" s="330"/>
      <c r="AW4082" s="331"/>
      <c r="AX4082" s="331"/>
      <c r="AY4082" s="331"/>
      <c r="AZ4082" s="331"/>
      <c r="BA4082" s="331"/>
      <c r="BB4082" s="331"/>
      <c r="BC4082" s="331"/>
      <c r="BD4082" s="331"/>
      <c r="BE4082" s="333"/>
      <c r="BF4082" s="330"/>
      <c r="BG4082" s="333"/>
      <c r="BH4082" s="1119"/>
      <c r="BI4082" s="319"/>
      <c r="BJ4082" s="319"/>
      <c r="BK4082" s="319"/>
      <c r="BL4082" s="319"/>
      <c r="BM4082" s="319"/>
      <c r="BN4082" s="319"/>
      <c r="BO4082" s="319"/>
      <c r="BP4082" s="953"/>
      <c r="BQ4082" s="319"/>
      <c r="BR4082" s="319"/>
      <c r="BS4082" s="330"/>
      <c r="BT4082" s="331"/>
      <c r="BU4082" s="920"/>
      <c r="BV4082" s="903"/>
      <c r="BW4082" s="908"/>
      <c r="BX4082" s="908"/>
      <c r="BY4082" s="331"/>
      <c r="BZ4082" s="331"/>
      <c r="CA4082" s="462"/>
      <c r="CB4082" s="319"/>
      <c r="CC4082" s="319"/>
      <c r="CD4082" s="319"/>
      <c r="CE4082" s="319"/>
      <c r="CF4082" s="319"/>
      <c r="CG4082" s="319"/>
      <c r="CH4082" s="318"/>
      <c r="CI4082" s="319"/>
      <c r="CJ4082" s="319"/>
      <c r="CK4082" s="342"/>
      <c r="CL4082" s="333"/>
      <c r="CM4082" s="1079"/>
      <c r="CN4082" s="1005"/>
      <c r="CO4082" s="1005"/>
      <c r="CP4082" s="1005"/>
    </row>
    <row r="4083">
      <c r="A4083" s="1257"/>
      <c r="B4083" s="1113"/>
      <c r="C4083" s="1107"/>
      <c r="D4083" s="103"/>
      <c r="E4083" s="1137"/>
      <c r="F4083" s="112"/>
      <c r="G4083" s="1110"/>
      <c r="H4083" s="1138"/>
      <c r="I4083" s="1138"/>
      <c r="J4083" s="1139"/>
      <c r="K4083" s="1111"/>
      <c r="L4083" s="1112"/>
      <c r="M4083" s="1113"/>
      <c r="N4083" s="110"/>
      <c r="O4083" s="1140"/>
      <c r="P4083" s="1115"/>
      <c r="Q4083" s="1116"/>
      <c r="R4083" s="1141"/>
      <c r="S4083" s="1113"/>
      <c r="T4083" s="1143"/>
      <c r="U4083" s="1108"/>
      <c r="V4083" s="1108"/>
      <c r="W4083" s="1108"/>
      <c r="X4083" s="1108"/>
      <c r="Y4083" s="1108"/>
      <c r="Z4083" s="1114"/>
      <c r="AA4083" s="1114"/>
      <c r="AB4083" s="1114"/>
      <c r="AC4083" s="1117"/>
      <c r="AD4083" s="1115"/>
      <c r="AE4083" s="1115"/>
      <c r="AF4083" s="1115"/>
      <c r="AG4083" s="1115"/>
      <c r="AH4083" s="1115"/>
      <c r="AI4083" s="1115"/>
      <c r="AJ4083" s="1117"/>
      <c r="AK4083" s="1118"/>
      <c r="AL4083" s="1115"/>
      <c r="AM4083" s="1115"/>
      <c r="AN4083" s="1115"/>
      <c r="AO4083" s="1115"/>
      <c r="AP4083" s="1115"/>
      <c r="AQ4083" s="1115"/>
      <c r="AR4083" s="1115"/>
      <c r="AS4083" s="1117"/>
      <c r="AT4083" s="1075"/>
      <c r="AU4083" s="1193"/>
      <c r="AV4083" s="330"/>
      <c r="AW4083" s="331"/>
      <c r="AX4083" s="331"/>
      <c r="AY4083" s="331"/>
      <c r="AZ4083" s="331"/>
      <c r="BA4083" s="331"/>
      <c r="BB4083" s="331"/>
      <c r="BC4083" s="331"/>
      <c r="BD4083" s="331"/>
      <c r="BE4083" s="333"/>
      <c r="BF4083" s="330"/>
      <c r="BG4083" s="333"/>
      <c r="BH4083" s="1119"/>
      <c r="BI4083" s="319"/>
      <c r="BJ4083" s="319"/>
      <c r="BK4083" s="319"/>
      <c r="BL4083" s="319"/>
      <c r="BM4083" s="319"/>
      <c r="BN4083" s="319"/>
      <c r="BO4083" s="319"/>
      <c r="BP4083" s="953"/>
      <c r="BQ4083" s="319"/>
      <c r="BR4083" s="319"/>
      <c r="BS4083" s="330"/>
      <c r="BT4083" s="331"/>
      <c r="BU4083" s="920"/>
      <c r="BV4083" s="903"/>
      <c r="BW4083" s="908"/>
      <c r="BX4083" s="908"/>
      <c r="BY4083" s="331"/>
      <c r="BZ4083" s="331"/>
      <c r="CA4083" s="462"/>
      <c r="CB4083" s="319"/>
      <c r="CC4083" s="319"/>
      <c r="CD4083" s="319"/>
      <c r="CE4083" s="319"/>
      <c r="CF4083" s="319"/>
      <c r="CG4083" s="319"/>
      <c r="CH4083" s="318"/>
      <c r="CI4083" s="319"/>
      <c r="CJ4083" s="319"/>
      <c r="CK4083" s="342"/>
      <c r="CL4083" s="333"/>
      <c r="CM4083" s="1079"/>
      <c r="CN4083" s="1005"/>
      <c r="CO4083" s="1005"/>
      <c r="CP4083" s="1005"/>
    </row>
    <row r="4084">
      <c r="A4084" s="1257"/>
      <c r="B4084" s="1113"/>
      <c r="C4084" s="1107"/>
      <c r="D4084" s="103"/>
      <c r="E4084" s="1137"/>
      <c r="F4084" s="112"/>
      <c r="G4084" s="1110"/>
      <c r="H4084" s="1138"/>
      <c r="I4084" s="1138"/>
      <c r="J4084" s="1139"/>
      <c r="K4084" s="1111"/>
      <c r="L4084" s="1112"/>
      <c r="M4084" s="1113"/>
      <c r="N4084" s="110"/>
      <c r="O4084" s="1140"/>
      <c r="P4084" s="1115"/>
      <c r="Q4084" s="1116"/>
      <c r="R4084" s="1141"/>
      <c r="S4084" s="1113"/>
      <c r="T4084" s="1143"/>
      <c r="U4084" s="1108"/>
      <c r="V4084" s="1108"/>
      <c r="W4084" s="1108"/>
      <c r="X4084" s="1108"/>
      <c r="Y4084" s="1108"/>
      <c r="Z4084" s="1114"/>
      <c r="AA4084" s="1114"/>
      <c r="AB4084" s="1114"/>
      <c r="AC4084" s="1117"/>
      <c r="AD4084" s="1115"/>
      <c r="AE4084" s="1115"/>
      <c r="AF4084" s="1115"/>
      <c r="AG4084" s="1115"/>
      <c r="AH4084" s="1115"/>
      <c r="AI4084" s="1115"/>
      <c r="AJ4084" s="1117"/>
      <c r="AK4084" s="1118"/>
      <c r="AL4084" s="1115"/>
      <c r="AM4084" s="1115"/>
      <c r="AN4084" s="1115"/>
      <c r="AO4084" s="1115"/>
      <c r="AP4084" s="1115"/>
      <c r="AQ4084" s="1115"/>
      <c r="AR4084" s="1115"/>
      <c r="AS4084" s="1117"/>
      <c r="AT4084" s="1075"/>
      <c r="AU4084" s="1193"/>
      <c r="AV4084" s="330"/>
      <c r="AW4084" s="331"/>
      <c r="AX4084" s="331"/>
      <c r="AY4084" s="331"/>
      <c r="AZ4084" s="331"/>
      <c r="BA4084" s="331"/>
      <c r="BB4084" s="331"/>
      <c r="BC4084" s="331"/>
      <c r="BD4084" s="331"/>
      <c r="BE4084" s="333"/>
      <c r="BF4084" s="330"/>
      <c r="BG4084" s="333"/>
      <c r="BH4084" s="1119"/>
      <c r="BI4084" s="319"/>
      <c r="BJ4084" s="319"/>
      <c r="BK4084" s="319"/>
      <c r="BL4084" s="319"/>
      <c r="BM4084" s="319"/>
      <c r="BN4084" s="319"/>
      <c r="BO4084" s="319"/>
      <c r="BP4084" s="953"/>
      <c r="BQ4084" s="319"/>
      <c r="BR4084" s="319"/>
      <c r="BS4084" s="330"/>
      <c r="BT4084" s="331"/>
      <c r="BU4084" s="920"/>
      <c r="BV4084" s="903"/>
      <c r="BW4084" s="908"/>
      <c r="BX4084" s="908"/>
      <c r="BY4084" s="331"/>
      <c r="BZ4084" s="331"/>
      <c r="CA4084" s="462"/>
      <c r="CB4084" s="319"/>
      <c r="CC4084" s="319"/>
      <c r="CD4084" s="319"/>
      <c r="CE4084" s="319"/>
      <c r="CF4084" s="319"/>
      <c r="CG4084" s="319"/>
      <c r="CH4084" s="318"/>
      <c r="CI4084" s="319"/>
      <c r="CJ4084" s="319"/>
      <c r="CK4084" s="342"/>
      <c r="CL4084" s="333"/>
      <c r="CM4084" s="1079"/>
      <c r="CN4084" s="1005"/>
      <c r="CO4084" s="1005"/>
      <c r="CP4084" s="1005"/>
    </row>
    <row r="4085">
      <c r="A4085" s="1257"/>
      <c r="B4085" s="1113"/>
      <c r="C4085" s="1107"/>
      <c r="D4085" s="103"/>
      <c r="E4085" s="1137"/>
      <c r="F4085" s="112"/>
      <c r="G4085" s="1110"/>
      <c r="H4085" s="1138"/>
      <c r="I4085" s="1138"/>
      <c r="J4085" s="1139"/>
      <c r="K4085" s="1111"/>
      <c r="L4085" s="1112"/>
      <c r="M4085" s="1113"/>
      <c r="N4085" s="110"/>
      <c r="O4085" s="1140"/>
      <c r="P4085" s="1115"/>
      <c r="Q4085" s="1116"/>
      <c r="R4085" s="1141"/>
      <c r="S4085" s="1113"/>
      <c r="T4085" s="1143"/>
      <c r="U4085" s="1108"/>
      <c r="V4085" s="1108"/>
      <c r="W4085" s="1108"/>
      <c r="X4085" s="1108"/>
      <c r="Y4085" s="1108"/>
      <c r="Z4085" s="1114"/>
      <c r="AA4085" s="1114"/>
      <c r="AB4085" s="1114"/>
      <c r="AC4085" s="1117"/>
      <c r="AD4085" s="1115"/>
      <c r="AE4085" s="1115"/>
      <c r="AF4085" s="1115"/>
      <c r="AG4085" s="1115"/>
      <c r="AH4085" s="1115"/>
      <c r="AI4085" s="1115"/>
      <c r="AJ4085" s="1117"/>
      <c r="AK4085" s="1118"/>
      <c r="AL4085" s="1115"/>
      <c r="AM4085" s="1115"/>
      <c r="AN4085" s="1115"/>
      <c r="AO4085" s="1115"/>
      <c r="AP4085" s="1115"/>
      <c r="AQ4085" s="1115"/>
      <c r="AR4085" s="1115"/>
      <c r="AS4085" s="1117"/>
      <c r="AT4085" s="1075"/>
      <c r="AU4085" s="1193"/>
      <c r="AV4085" s="330"/>
      <c r="AW4085" s="331"/>
      <c r="AX4085" s="331"/>
      <c r="AY4085" s="331"/>
      <c r="AZ4085" s="331"/>
      <c r="BA4085" s="331"/>
      <c r="BB4085" s="331"/>
      <c r="BC4085" s="331"/>
      <c r="BD4085" s="331"/>
      <c r="BE4085" s="333"/>
      <c r="BF4085" s="330"/>
      <c r="BG4085" s="333"/>
      <c r="BH4085" s="1119"/>
      <c r="BI4085" s="319"/>
      <c r="BJ4085" s="319"/>
      <c r="BK4085" s="319"/>
      <c r="BL4085" s="319"/>
      <c r="BM4085" s="319"/>
      <c r="BN4085" s="319"/>
      <c r="BO4085" s="319"/>
      <c r="BP4085" s="953"/>
      <c r="BQ4085" s="319"/>
      <c r="BR4085" s="319"/>
      <c r="BS4085" s="330"/>
      <c r="BT4085" s="331"/>
      <c r="BU4085" s="920"/>
      <c r="BV4085" s="903"/>
      <c r="BW4085" s="908"/>
      <c r="BX4085" s="908"/>
      <c r="BY4085" s="331"/>
      <c r="BZ4085" s="331"/>
      <c r="CA4085" s="462"/>
      <c r="CB4085" s="319"/>
      <c r="CC4085" s="319"/>
      <c r="CD4085" s="319"/>
      <c r="CE4085" s="319"/>
      <c r="CF4085" s="319"/>
      <c r="CG4085" s="319"/>
      <c r="CH4085" s="318"/>
      <c r="CI4085" s="319"/>
      <c r="CJ4085" s="319"/>
      <c r="CK4085" s="342"/>
      <c r="CL4085" s="333"/>
      <c r="CM4085" s="1079"/>
      <c r="CN4085" s="1005"/>
      <c r="CO4085" s="1005"/>
      <c r="CP4085" s="1005"/>
    </row>
    <row r="4086">
      <c r="A4086" s="1257"/>
      <c r="B4086" s="1113"/>
      <c r="C4086" s="1107"/>
      <c r="D4086" s="103"/>
      <c r="E4086" s="1137"/>
      <c r="F4086" s="112"/>
      <c r="G4086" s="1110"/>
      <c r="H4086" s="1138"/>
      <c r="I4086" s="1138"/>
      <c r="J4086" s="1139"/>
      <c r="K4086" s="1111"/>
      <c r="L4086" s="1112"/>
      <c r="M4086" s="1113"/>
      <c r="N4086" s="110"/>
      <c r="O4086" s="1140"/>
      <c r="P4086" s="1115"/>
      <c r="Q4086" s="1116"/>
      <c r="R4086" s="1141"/>
      <c r="S4086" s="1113"/>
      <c r="T4086" s="1143"/>
      <c r="U4086" s="1108"/>
      <c r="V4086" s="1108"/>
      <c r="W4086" s="1108"/>
      <c r="X4086" s="1108"/>
      <c r="Y4086" s="1108"/>
      <c r="Z4086" s="1114"/>
      <c r="AA4086" s="1114"/>
      <c r="AB4086" s="1114"/>
      <c r="AC4086" s="1117"/>
      <c r="AD4086" s="1115"/>
      <c r="AE4086" s="1115"/>
      <c r="AF4086" s="1115"/>
      <c r="AG4086" s="1115"/>
      <c r="AH4086" s="1115"/>
      <c r="AI4086" s="1115"/>
      <c r="AJ4086" s="1117"/>
      <c r="AK4086" s="1118"/>
      <c r="AL4086" s="1115"/>
      <c r="AM4086" s="1115"/>
      <c r="AN4086" s="1115"/>
      <c r="AO4086" s="1115"/>
      <c r="AP4086" s="1115"/>
      <c r="AQ4086" s="1115"/>
      <c r="AR4086" s="1115"/>
      <c r="AS4086" s="1117"/>
      <c r="AT4086" s="1075"/>
      <c r="AU4086" s="1193"/>
      <c r="AV4086" s="330"/>
      <c r="AW4086" s="331"/>
      <c r="AX4086" s="331"/>
      <c r="AY4086" s="331"/>
      <c r="AZ4086" s="331"/>
      <c r="BA4086" s="331"/>
      <c r="BB4086" s="331"/>
      <c r="BC4086" s="331"/>
      <c r="BD4086" s="331"/>
      <c r="BE4086" s="333"/>
      <c r="BF4086" s="330"/>
      <c r="BG4086" s="333"/>
      <c r="BH4086" s="1119"/>
      <c r="BI4086" s="319"/>
      <c r="BJ4086" s="319"/>
      <c r="BK4086" s="319"/>
      <c r="BL4086" s="319"/>
      <c r="BM4086" s="319"/>
      <c r="BN4086" s="319"/>
      <c r="BO4086" s="319"/>
      <c r="BP4086" s="953"/>
      <c r="BQ4086" s="319"/>
      <c r="BR4086" s="319"/>
      <c r="BS4086" s="330"/>
      <c r="BT4086" s="331"/>
      <c r="BU4086" s="920"/>
      <c r="BV4086" s="903"/>
      <c r="BW4086" s="908"/>
      <c r="BX4086" s="908"/>
      <c r="BY4086" s="331"/>
      <c r="BZ4086" s="331"/>
      <c r="CA4086" s="462"/>
      <c r="CB4086" s="319"/>
      <c r="CC4086" s="319"/>
      <c r="CD4086" s="319"/>
      <c r="CE4086" s="319"/>
      <c r="CF4086" s="319"/>
      <c r="CG4086" s="319"/>
      <c r="CH4086" s="318"/>
      <c r="CI4086" s="319"/>
      <c r="CJ4086" s="319"/>
      <c r="CK4086" s="342"/>
      <c r="CL4086" s="333"/>
      <c r="CM4086" s="1079"/>
      <c r="CN4086" s="1005"/>
      <c r="CO4086" s="1005"/>
      <c r="CP4086" s="1005"/>
    </row>
    <row r="4087">
      <c r="A4087" s="1257"/>
      <c r="B4087" s="1113"/>
      <c r="C4087" s="1107"/>
      <c r="D4087" s="103"/>
      <c r="E4087" s="1137"/>
      <c r="F4087" s="112"/>
      <c r="G4087" s="1110"/>
      <c r="H4087" s="1138"/>
      <c r="I4087" s="1138"/>
      <c r="J4087" s="1139"/>
      <c r="K4087" s="1111"/>
      <c r="L4087" s="1112"/>
      <c r="M4087" s="1113"/>
      <c r="N4087" s="110"/>
      <c r="O4087" s="1140"/>
      <c r="P4087" s="1115"/>
      <c r="Q4087" s="1116"/>
      <c r="R4087" s="1141"/>
      <c r="S4087" s="1113"/>
      <c r="T4087" s="1143"/>
      <c r="U4087" s="1108"/>
      <c r="V4087" s="1108"/>
      <c r="W4087" s="1108"/>
      <c r="X4087" s="1108"/>
      <c r="Y4087" s="1108"/>
      <c r="Z4087" s="1114"/>
      <c r="AA4087" s="1114"/>
      <c r="AB4087" s="1114"/>
      <c r="AC4087" s="1117"/>
      <c r="AD4087" s="1115"/>
      <c r="AE4087" s="1115"/>
      <c r="AF4087" s="1115"/>
      <c r="AG4087" s="1115"/>
      <c r="AH4087" s="1115"/>
      <c r="AI4087" s="1115"/>
      <c r="AJ4087" s="1117"/>
      <c r="AK4087" s="1118"/>
      <c r="AL4087" s="1115"/>
      <c r="AM4087" s="1115"/>
      <c r="AN4087" s="1115"/>
      <c r="AO4087" s="1115"/>
      <c r="AP4087" s="1115"/>
      <c r="AQ4087" s="1115"/>
      <c r="AR4087" s="1115"/>
      <c r="AS4087" s="1117"/>
      <c r="AT4087" s="1075"/>
      <c r="AU4087" s="1193"/>
      <c r="AV4087" s="330"/>
      <c r="AW4087" s="331"/>
      <c r="AX4087" s="331"/>
      <c r="AY4087" s="331"/>
      <c r="AZ4087" s="331"/>
      <c r="BA4087" s="331"/>
      <c r="BB4087" s="331"/>
      <c r="BC4087" s="331"/>
      <c r="BD4087" s="331"/>
      <c r="BE4087" s="333"/>
      <c r="BF4087" s="330"/>
      <c r="BG4087" s="333"/>
      <c r="BH4087" s="1119"/>
      <c r="BI4087" s="319"/>
      <c r="BJ4087" s="319"/>
      <c r="BK4087" s="319"/>
      <c r="BL4087" s="319"/>
      <c r="BM4087" s="319"/>
      <c r="BN4087" s="319"/>
      <c r="BO4087" s="319"/>
      <c r="BP4087" s="953"/>
      <c r="BQ4087" s="319"/>
      <c r="BR4087" s="319"/>
      <c r="BS4087" s="330"/>
      <c r="BT4087" s="331"/>
      <c r="BU4087" s="920"/>
      <c r="BV4087" s="903"/>
      <c r="BW4087" s="908"/>
      <c r="BX4087" s="908"/>
      <c r="BY4087" s="331"/>
      <c r="BZ4087" s="331"/>
      <c r="CA4087" s="462"/>
      <c r="CB4087" s="319"/>
      <c r="CC4087" s="319"/>
      <c r="CD4087" s="319"/>
      <c r="CE4087" s="319"/>
      <c r="CF4087" s="319"/>
      <c r="CG4087" s="319"/>
      <c r="CH4087" s="318"/>
      <c r="CI4087" s="319"/>
      <c r="CJ4087" s="319"/>
      <c r="CK4087" s="342"/>
      <c r="CL4087" s="333"/>
      <c r="CM4087" s="1079"/>
      <c r="CN4087" s="1005"/>
      <c r="CO4087" s="1005"/>
      <c r="CP4087" s="1005"/>
    </row>
    <row r="4088">
      <c r="A4088" s="1257"/>
      <c r="B4088" s="1113"/>
      <c r="C4088" s="1107"/>
      <c r="D4088" s="103"/>
      <c r="E4088" s="1137"/>
      <c r="F4088" s="112"/>
      <c r="G4088" s="1110"/>
      <c r="H4088" s="1138"/>
      <c r="I4088" s="1138"/>
      <c r="J4088" s="1139"/>
      <c r="K4088" s="1111"/>
      <c r="L4088" s="1112"/>
      <c r="M4088" s="1113"/>
      <c r="N4088" s="110"/>
      <c r="O4088" s="1140"/>
      <c r="P4088" s="1115"/>
      <c r="Q4088" s="1116"/>
      <c r="R4088" s="1141"/>
      <c r="S4088" s="1113"/>
      <c r="T4088" s="1143"/>
      <c r="U4088" s="1108"/>
      <c r="V4088" s="1108"/>
      <c r="W4088" s="1108"/>
      <c r="X4088" s="1108"/>
      <c r="Y4088" s="1108"/>
      <c r="Z4088" s="1114"/>
      <c r="AA4088" s="1114"/>
      <c r="AB4088" s="1114"/>
      <c r="AC4088" s="1117"/>
      <c r="AD4088" s="1115"/>
      <c r="AE4088" s="1115"/>
      <c r="AF4088" s="1115"/>
      <c r="AG4088" s="1115"/>
      <c r="AH4088" s="1115"/>
      <c r="AI4088" s="1115"/>
      <c r="AJ4088" s="1117"/>
      <c r="AK4088" s="1118"/>
      <c r="AL4088" s="1115"/>
      <c r="AM4088" s="1115"/>
      <c r="AN4088" s="1115"/>
      <c r="AO4088" s="1115"/>
      <c r="AP4088" s="1115"/>
      <c r="AQ4088" s="1115"/>
      <c r="AR4088" s="1115"/>
      <c r="AS4088" s="1117"/>
      <c r="AT4088" s="1075"/>
      <c r="AU4088" s="1193"/>
      <c r="AV4088" s="330"/>
      <c r="AW4088" s="331"/>
      <c r="AX4088" s="331"/>
      <c r="AY4088" s="331"/>
      <c r="AZ4088" s="331"/>
      <c r="BA4088" s="331"/>
      <c r="BB4088" s="331"/>
      <c r="BC4088" s="331"/>
      <c r="BD4088" s="331"/>
      <c r="BE4088" s="333"/>
      <c r="BF4088" s="330"/>
      <c r="BG4088" s="333"/>
      <c r="BH4088" s="1119"/>
      <c r="BI4088" s="319"/>
      <c r="BJ4088" s="319"/>
      <c r="BK4088" s="319"/>
      <c r="BL4088" s="319"/>
      <c r="BM4088" s="319"/>
      <c r="BN4088" s="319"/>
      <c r="BO4088" s="319"/>
      <c r="BP4088" s="953"/>
      <c r="BQ4088" s="319"/>
      <c r="BR4088" s="319"/>
      <c r="BS4088" s="330"/>
      <c r="BT4088" s="331"/>
      <c r="BU4088" s="920"/>
      <c r="BV4088" s="903"/>
      <c r="BW4088" s="908"/>
      <c r="BX4088" s="908"/>
      <c r="BY4088" s="331"/>
      <c r="BZ4088" s="331"/>
      <c r="CA4088" s="462"/>
      <c r="CB4088" s="319"/>
      <c r="CC4088" s="319"/>
      <c r="CD4088" s="319"/>
      <c r="CE4088" s="319"/>
      <c r="CF4088" s="319"/>
      <c r="CG4088" s="319"/>
      <c r="CH4088" s="318"/>
      <c r="CI4088" s="319"/>
      <c r="CJ4088" s="319"/>
      <c r="CK4088" s="342"/>
      <c r="CL4088" s="333"/>
      <c r="CM4088" s="1079"/>
      <c r="CN4088" s="1005"/>
      <c r="CO4088" s="1005"/>
      <c r="CP4088" s="1005"/>
    </row>
    <row r="4089">
      <c r="A4089" s="1257"/>
      <c r="B4089" s="1113"/>
      <c r="C4089" s="1107"/>
      <c r="D4089" s="103"/>
      <c r="E4089" s="1137"/>
      <c r="F4089" s="112"/>
      <c r="G4089" s="1110"/>
      <c r="H4089" s="1138"/>
      <c r="I4089" s="1138"/>
      <c r="J4089" s="1139"/>
      <c r="K4089" s="1111"/>
      <c r="L4089" s="1112"/>
      <c r="M4089" s="1113"/>
      <c r="N4089" s="110"/>
      <c r="O4089" s="1140"/>
      <c r="P4089" s="1115"/>
      <c r="Q4089" s="1116"/>
      <c r="R4089" s="1141"/>
      <c r="S4089" s="1113"/>
      <c r="T4089" s="1143"/>
      <c r="U4089" s="1108"/>
      <c r="V4089" s="1108"/>
      <c r="W4089" s="1108"/>
      <c r="X4089" s="1108"/>
      <c r="Y4089" s="1108"/>
      <c r="Z4089" s="1114"/>
      <c r="AA4089" s="1114"/>
      <c r="AB4089" s="1114"/>
      <c r="AC4089" s="1117"/>
      <c r="AD4089" s="1115"/>
      <c r="AE4089" s="1115"/>
      <c r="AF4089" s="1115"/>
      <c r="AG4089" s="1115"/>
      <c r="AH4089" s="1115"/>
      <c r="AI4089" s="1115"/>
      <c r="AJ4089" s="1117"/>
      <c r="AK4089" s="1118"/>
      <c r="AL4089" s="1115"/>
      <c r="AM4089" s="1115"/>
      <c r="AN4089" s="1115"/>
      <c r="AO4089" s="1115"/>
      <c r="AP4089" s="1115"/>
      <c r="AQ4089" s="1115"/>
      <c r="AR4089" s="1115"/>
      <c r="AS4089" s="1117"/>
      <c r="AT4089" s="1075"/>
      <c r="AU4089" s="1193"/>
      <c r="AV4089" s="330"/>
      <c r="AW4089" s="331"/>
      <c r="AX4089" s="331"/>
      <c r="AY4089" s="331"/>
      <c r="AZ4089" s="331"/>
      <c r="BA4089" s="331"/>
      <c r="BB4089" s="331"/>
      <c r="BC4089" s="331"/>
      <c r="BD4089" s="331"/>
      <c r="BE4089" s="333"/>
      <c r="BF4089" s="330"/>
      <c r="BG4089" s="333"/>
      <c r="BH4089" s="1119"/>
      <c r="BI4089" s="319"/>
      <c r="BJ4089" s="319"/>
      <c r="BK4089" s="319"/>
      <c r="BL4089" s="319"/>
      <c r="BM4089" s="319"/>
      <c r="BN4089" s="319"/>
      <c r="BO4089" s="319"/>
      <c r="BP4089" s="953"/>
      <c r="BQ4089" s="319"/>
      <c r="BR4089" s="319"/>
      <c r="BS4089" s="330"/>
      <c r="BT4089" s="331"/>
      <c r="BU4089" s="920"/>
      <c r="BV4089" s="903"/>
      <c r="BW4089" s="908"/>
      <c r="BX4089" s="908"/>
      <c r="BY4089" s="331"/>
      <c r="BZ4089" s="331"/>
      <c r="CA4089" s="462"/>
      <c r="CB4089" s="319"/>
      <c r="CC4089" s="319"/>
      <c r="CD4089" s="319"/>
      <c r="CE4089" s="319"/>
      <c r="CF4089" s="319"/>
      <c r="CG4089" s="319"/>
      <c r="CH4089" s="318"/>
      <c r="CI4089" s="319"/>
      <c r="CJ4089" s="319"/>
      <c r="CK4089" s="342"/>
      <c r="CL4089" s="333"/>
      <c r="CM4089" s="1079"/>
      <c r="CN4089" s="1005"/>
      <c r="CO4089" s="1005"/>
      <c r="CP4089" s="1005"/>
    </row>
    <row r="4090">
      <c r="A4090" s="1257"/>
      <c r="B4090" s="1113"/>
      <c r="C4090" s="1107"/>
      <c r="D4090" s="103"/>
      <c r="E4090" s="1137"/>
      <c r="F4090" s="112"/>
      <c r="G4090" s="1110"/>
      <c r="H4090" s="1138"/>
      <c r="I4090" s="1138"/>
      <c r="J4090" s="1139"/>
      <c r="K4090" s="1111"/>
      <c r="L4090" s="1112"/>
      <c r="M4090" s="1113"/>
      <c r="N4090" s="110"/>
      <c r="O4090" s="1140"/>
      <c r="P4090" s="1115"/>
      <c r="Q4090" s="1116"/>
      <c r="R4090" s="1141"/>
      <c r="S4090" s="1113"/>
      <c r="T4090" s="1143"/>
      <c r="U4090" s="1108"/>
      <c r="V4090" s="1108"/>
      <c r="W4090" s="1108"/>
      <c r="X4090" s="1108"/>
      <c r="Y4090" s="1108"/>
      <c r="Z4090" s="1114"/>
      <c r="AA4090" s="1114"/>
      <c r="AB4090" s="1114"/>
      <c r="AC4090" s="1117"/>
      <c r="AD4090" s="1115"/>
      <c r="AE4090" s="1115"/>
      <c r="AF4090" s="1115"/>
      <c r="AG4090" s="1115"/>
      <c r="AH4090" s="1115"/>
      <c r="AI4090" s="1115"/>
      <c r="AJ4090" s="1117"/>
      <c r="AK4090" s="1118"/>
      <c r="AL4090" s="1115"/>
      <c r="AM4090" s="1115"/>
      <c r="AN4090" s="1115"/>
      <c r="AO4090" s="1115"/>
      <c r="AP4090" s="1115"/>
      <c r="AQ4090" s="1115"/>
      <c r="AR4090" s="1115"/>
      <c r="AS4090" s="1117"/>
      <c r="AT4090" s="1075"/>
      <c r="AU4090" s="1193"/>
      <c r="AV4090" s="330"/>
      <c r="AW4090" s="331"/>
      <c r="AX4090" s="331"/>
      <c r="AY4090" s="331"/>
      <c r="AZ4090" s="331"/>
      <c r="BA4090" s="331"/>
      <c r="BB4090" s="331"/>
      <c r="BC4090" s="331"/>
      <c r="BD4090" s="331"/>
      <c r="BE4090" s="333"/>
      <c r="BF4090" s="330"/>
      <c r="BG4090" s="333"/>
      <c r="BH4090" s="1119"/>
      <c r="BI4090" s="319"/>
      <c r="BJ4090" s="319"/>
      <c r="BK4090" s="319"/>
      <c r="BL4090" s="319"/>
      <c r="BM4090" s="319"/>
      <c r="BN4090" s="319"/>
      <c r="BO4090" s="319"/>
      <c r="BP4090" s="953"/>
      <c r="BQ4090" s="319"/>
      <c r="BR4090" s="319"/>
      <c r="BS4090" s="330"/>
      <c r="BT4090" s="331"/>
      <c r="BU4090" s="920"/>
      <c r="BV4090" s="903"/>
      <c r="BW4090" s="908"/>
      <c r="BX4090" s="908"/>
      <c r="BY4090" s="331"/>
      <c r="BZ4090" s="331"/>
      <c r="CA4090" s="462"/>
      <c r="CB4090" s="319"/>
      <c r="CC4090" s="319"/>
      <c r="CD4090" s="319"/>
      <c r="CE4090" s="319"/>
      <c r="CF4090" s="319"/>
      <c r="CG4090" s="319"/>
      <c r="CH4090" s="318"/>
      <c r="CI4090" s="319"/>
      <c r="CJ4090" s="319"/>
      <c r="CK4090" s="342"/>
      <c r="CL4090" s="333"/>
      <c r="CM4090" s="1079"/>
      <c r="CN4090" s="1005"/>
      <c r="CO4090" s="1005"/>
      <c r="CP4090" s="1005"/>
    </row>
    <row r="4091">
      <c r="A4091" s="1257"/>
      <c r="B4091" s="1113"/>
      <c r="C4091" s="1107"/>
      <c r="D4091" s="103"/>
      <c r="E4091" s="1137"/>
      <c r="F4091" s="112"/>
      <c r="G4091" s="1110"/>
      <c r="H4091" s="1138"/>
      <c r="I4091" s="1138"/>
      <c r="J4091" s="1139"/>
      <c r="K4091" s="1111"/>
      <c r="L4091" s="1112"/>
      <c r="M4091" s="1113"/>
      <c r="N4091" s="110"/>
      <c r="O4091" s="1140"/>
      <c r="P4091" s="1115"/>
      <c r="Q4091" s="1116"/>
      <c r="R4091" s="1141"/>
      <c r="S4091" s="1113"/>
      <c r="T4091" s="1143"/>
      <c r="U4091" s="1108"/>
      <c r="V4091" s="1108"/>
      <c r="W4091" s="1108"/>
      <c r="X4091" s="1108"/>
      <c r="Y4091" s="1108"/>
      <c r="Z4091" s="1114"/>
      <c r="AA4091" s="1114"/>
      <c r="AB4091" s="1114"/>
      <c r="AC4091" s="1117"/>
      <c r="AD4091" s="1115"/>
      <c r="AE4091" s="1115"/>
      <c r="AF4091" s="1115"/>
      <c r="AG4091" s="1115"/>
      <c r="AH4091" s="1115"/>
      <c r="AI4091" s="1115"/>
      <c r="AJ4091" s="1117"/>
      <c r="AK4091" s="1118"/>
      <c r="AL4091" s="1115"/>
      <c r="AM4091" s="1115"/>
      <c r="AN4091" s="1115"/>
      <c r="AO4091" s="1115"/>
      <c r="AP4091" s="1115"/>
      <c r="AQ4091" s="1115"/>
      <c r="AR4091" s="1115"/>
      <c r="AS4091" s="1117"/>
      <c r="AT4091" s="1075"/>
      <c r="AU4091" s="1193"/>
      <c r="AV4091" s="330"/>
      <c r="AW4091" s="331"/>
      <c r="AX4091" s="331"/>
      <c r="AY4091" s="331"/>
      <c r="AZ4091" s="331"/>
      <c r="BA4091" s="331"/>
      <c r="BB4091" s="331"/>
      <c r="BC4091" s="331"/>
      <c r="BD4091" s="331"/>
      <c r="BE4091" s="333"/>
      <c r="BF4091" s="330"/>
      <c r="BG4091" s="333"/>
      <c r="BH4091" s="1119"/>
      <c r="BI4091" s="319"/>
      <c r="BJ4091" s="319"/>
      <c r="BK4091" s="319"/>
      <c r="BL4091" s="319"/>
      <c r="BM4091" s="319"/>
      <c r="BN4091" s="319"/>
      <c r="BO4091" s="319"/>
      <c r="BP4091" s="953"/>
      <c r="BQ4091" s="319"/>
      <c r="BR4091" s="319"/>
      <c r="BS4091" s="330"/>
      <c r="BT4091" s="331"/>
      <c r="BU4091" s="920"/>
      <c r="BV4091" s="903"/>
      <c r="BW4091" s="908"/>
      <c r="BX4091" s="908"/>
      <c r="BY4091" s="331"/>
      <c r="BZ4091" s="331"/>
      <c r="CA4091" s="462"/>
      <c r="CB4091" s="319"/>
      <c r="CC4091" s="319"/>
      <c r="CD4091" s="319"/>
      <c r="CE4091" s="319"/>
      <c r="CF4091" s="319"/>
      <c r="CG4091" s="319"/>
      <c r="CH4091" s="318"/>
      <c r="CI4091" s="319"/>
      <c r="CJ4091" s="319"/>
      <c r="CK4091" s="342"/>
      <c r="CL4091" s="333"/>
      <c r="CM4091" s="1079"/>
      <c r="CN4091" s="1005"/>
      <c r="CO4091" s="1005"/>
      <c r="CP4091" s="1005"/>
    </row>
    <row r="4092">
      <c r="A4092" s="1257"/>
      <c r="B4092" s="1113"/>
      <c r="C4092" s="1107"/>
      <c r="D4092" s="103"/>
      <c r="E4092" s="1137"/>
      <c r="F4092" s="112"/>
      <c r="G4092" s="1110"/>
      <c r="H4092" s="1138"/>
      <c r="I4092" s="1138"/>
      <c r="J4092" s="1139"/>
      <c r="K4092" s="1111"/>
      <c r="L4092" s="1112"/>
      <c r="M4092" s="1113"/>
      <c r="N4092" s="110"/>
      <c r="O4092" s="1140"/>
      <c r="P4092" s="1115"/>
      <c r="Q4092" s="1116"/>
      <c r="R4092" s="1141"/>
      <c r="S4092" s="1113"/>
      <c r="T4092" s="1143"/>
      <c r="U4092" s="1108"/>
      <c r="V4092" s="1108"/>
      <c r="W4092" s="1108"/>
      <c r="X4092" s="1108"/>
      <c r="Y4092" s="1108"/>
      <c r="Z4092" s="1114"/>
      <c r="AA4092" s="1114"/>
      <c r="AB4092" s="1114"/>
      <c r="AC4092" s="1117"/>
      <c r="AD4092" s="1115"/>
      <c r="AE4092" s="1115"/>
      <c r="AF4092" s="1115"/>
      <c r="AG4092" s="1115"/>
      <c r="AH4092" s="1115"/>
      <c r="AI4092" s="1115"/>
      <c r="AJ4092" s="1117"/>
      <c r="AK4092" s="1118"/>
      <c r="AL4092" s="1115"/>
      <c r="AM4092" s="1115"/>
      <c r="AN4092" s="1115"/>
      <c r="AO4092" s="1115"/>
      <c r="AP4092" s="1115"/>
      <c r="AQ4092" s="1115"/>
      <c r="AR4092" s="1115"/>
      <c r="AS4092" s="1117"/>
      <c r="AT4092" s="1075"/>
      <c r="AU4092" s="1193"/>
      <c r="AV4092" s="330"/>
      <c r="AW4092" s="331"/>
      <c r="AX4092" s="331"/>
      <c r="AY4092" s="331"/>
      <c r="AZ4092" s="331"/>
      <c r="BA4092" s="331"/>
      <c r="BB4092" s="331"/>
      <c r="BC4092" s="331"/>
      <c r="BD4092" s="331"/>
      <c r="BE4092" s="333"/>
      <c r="BF4092" s="330"/>
      <c r="BG4092" s="333"/>
      <c r="BH4092" s="1119"/>
      <c r="BI4092" s="319"/>
      <c r="BJ4092" s="319"/>
      <c r="BK4092" s="319"/>
      <c r="BL4092" s="319"/>
      <c r="BM4092" s="319"/>
      <c r="BN4092" s="319"/>
      <c r="BO4092" s="319"/>
      <c r="BP4092" s="953"/>
      <c r="BQ4092" s="319"/>
      <c r="BR4092" s="319"/>
      <c r="BS4092" s="330"/>
      <c r="BT4092" s="331"/>
      <c r="BU4092" s="920"/>
      <c r="BV4092" s="903"/>
      <c r="BW4092" s="908"/>
      <c r="BX4092" s="908"/>
      <c r="BY4092" s="331"/>
      <c r="BZ4092" s="331"/>
      <c r="CA4092" s="462"/>
      <c r="CB4092" s="319"/>
      <c r="CC4092" s="319"/>
      <c r="CD4092" s="319"/>
      <c r="CE4092" s="319"/>
      <c r="CF4092" s="319"/>
      <c r="CG4092" s="319"/>
      <c r="CH4092" s="318"/>
      <c r="CI4092" s="319"/>
      <c r="CJ4092" s="319"/>
      <c r="CK4092" s="342"/>
      <c r="CL4092" s="333"/>
      <c r="CM4092" s="1079"/>
      <c r="CN4092" s="1005"/>
      <c r="CO4092" s="1005"/>
      <c r="CP4092" s="1005"/>
    </row>
    <row r="4093">
      <c r="A4093" s="1257"/>
      <c r="B4093" s="1113"/>
      <c r="C4093" s="1107"/>
      <c r="D4093" s="103"/>
      <c r="E4093" s="1137"/>
      <c r="F4093" s="112"/>
      <c r="G4093" s="1110"/>
      <c r="H4093" s="1138"/>
      <c r="I4093" s="1138"/>
      <c r="J4093" s="1139"/>
      <c r="K4093" s="1111"/>
      <c r="L4093" s="1112"/>
      <c r="M4093" s="1113"/>
      <c r="N4093" s="110"/>
      <c r="O4093" s="1140"/>
      <c r="P4093" s="1115"/>
      <c r="Q4093" s="1116"/>
      <c r="R4093" s="1141"/>
      <c r="S4093" s="1113"/>
      <c r="T4093" s="1143"/>
      <c r="U4093" s="1108"/>
      <c r="V4093" s="1108"/>
      <c r="W4093" s="1108"/>
      <c r="X4093" s="1108"/>
      <c r="Y4093" s="1108"/>
      <c r="Z4093" s="1114"/>
      <c r="AA4093" s="1114"/>
      <c r="AB4093" s="1114"/>
      <c r="AC4093" s="1117"/>
      <c r="AD4093" s="1115"/>
      <c r="AE4093" s="1115"/>
      <c r="AF4093" s="1115"/>
      <c r="AG4093" s="1115"/>
      <c r="AH4093" s="1115"/>
      <c r="AI4093" s="1115"/>
      <c r="AJ4093" s="1117"/>
      <c r="AK4093" s="1118"/>
      <c r="AL4093" s="1115"/>
      <c r="AM4093" s="1115"/>
      <c r="AN4093" s="1115"/>
      <c r="AO4093" s="1115"/>
      <c r="AP4093" s="1115"/>
      <c r="AQ4093" s="1115"/>
      <c r="AR4093" s="1115"/>
      <c r="AS4093" s="1117"/>
      <c r="AT4093" s="1075"/>
      <c r="AU4093" s="1193"/>
      <c r="AV4093" s="330"/>
      <c r="AW4093" s="331"/>
      <c r="AX4093" s="331"/>
      <c r="AY4093" s="331"/>
      <c r="AZ4093" s="331"/>
      <c r="BA4093" s="331"/>
      <c r="BB4093" s="331"/>
      <c r="BC4093" s="331"/>
      <c r="BD4093" s="331"/>
      <c r="BE4093" s="333"/>
      <c r="BF4093" s="330"/>
      <c r="BG4093" s="333"/>
      <c r="BH4093" s="1119"/>
      <c r="BI4093" s="319"/>
      <c r="BJ4093" s="319"/>
      <c r="BK4093" s="319"/>
      <c r="BL4093" s="319"/>
      <c r="BM4093" s="319"/>
      <c r="BN4093" s="319"/>
      <c r="BO4093" s="319"/>
      <c r="BP4093" s="953"/>
      <c r="BQ4093" s="319"/>
      <c r="BR4093" s="319"/>
      <c r="BS4093" s="330"/>
      <c r="BT4093" s="331"/>
      <c r="BU4093" s="920"/>
      <c r="BV4093" s="903"/>
      <c r="BW4093" s="908"/>
      <c r="BX4093" s="908"/>
      <c r="BY4093" s="331"/>
      <c r="BZ4093" s="331"/>
      <c r="CA4093" s="462"/>
      <c r="CB4093" s="319"/>
      <c r="CC4093" s="319"/>
      <c r="CD4093" s="319"/>
      <c r="CE4093" s="319"/>
      <c r="CF4093" s="319"/>
      <c r="CG4093" s="319"/>
      <c r="CH4093" s="318"/>
      <c r="CI4093" s="319"/>
      <c r="CJ4093" s="319"/>
      <c r="CK4093" s="342"/>
      <c r="CL4093" s="333"/>
      <c r="CM4093" s="1079"/>
      <c r="CN4093" s="1005"/>
      <c r="CO4093" s="1005"/>
      <c r="CP4093" s="1005"/>
    </row>
    <row r="4094">
      <c r="A4094" s="1257"/>
      <c r="B4094" s="1113"/>
      <c r="C4094" s="1107"/>
      <c r="D4094" s="103"/>
      <c r="E4094" s="1137"/>
      <c r="F4094" s="112"/>
      <c r="G4094" s="1110"/>
      <c r="H4094" s="1138"/>
      <c r="I4094" s="1138"/>
      <c r="J4094" s="1139"/>
      <c r="K4094" s="1111"/>
      <c r="L4094" s="1112"/>
      <c r="M4094" s="1113"/>
      <c r="N4094" s="110"/>
      <c r="O4094" s="1140"/>
      <c r="P4094" s="1115"/>
      <c r="Q4094" s="1116"/>
      <c r="R4094" s="1141"/>
      <c r="S4094" s="1113"/>
      <c r="T4094" s="1143"/>
      <c r="U4094" s="1108"/>
      <c r="V4094" s="1108"/>
      <c r="W4094" s="1108"/>
      <c r="X4094" s="1108"/>
      <c r="Y4094" s="1108"/>
      <c r="Z4094" s="1114"/>
      <c r="AA4094" s="1114"/>
      <c r="AB4094" s="1114"/>
      <c r="AC4094" s="1117"/>
      <c r="AD4094" s="1115"/>
      <c r="AE4094" s="1115"/>
      <c r="AF4094" s="1115"/>
      <c r="AG4094" s="1115"/>
      <c r="AH4094" s="1115"/>
      <c r="AI4094" s="1115"/>
      <c r="AJ4094" s="1117"/>
      <c r="AK4094" s="1118"/>
      <c r="AL4094" s="1115"/>
      <c r="AM4094" s="1115"/>
      <c r="AN4094" s="1115"/>
      <c r="AO4094" s="1115"/>
      <c r="AP4094" s="1115"/>
      <c r="AQ4094" s="1115"/>
      <c r="AR4094" s="1115"/>
      <c r="AS4094" s="1117"/>
      <c r="AT4094" s="1075"/>
      <c r="AU4094" s="1193"/>
      <c r="AV4094" s="330"/>
      <c r="AW4094" s="331"/>
      <c r="AX4094" s="331"/>
      <c r="AY4094" s="331"/>
      <c r="AZ4094" s="331"/>
      <c r="BA4094" s="331"/>
      <c r="BB4094" s="331"/>
      <c r="BC4094" s="331"/>
      <c r="BD4094" s="331"/>
      <c r="BE4094" s="333"/>
      <c r="BF4094" s="330"/>
      <c r="BG4094" s="333"/>
      <c r="BH4094" s="1119"/>
      <c r="BI4094" s="319"/>
      <c r="BJ4094" s="319"/>
      <c r="BK4094" s="319"/>
      <c r="BL4094" s="319"/>
      <c r="BM4094" s="319"/>
      <c r="BN4094" s="319"/>
      <c r="BO4094" s="319"/>
      <c r="BP4094" s="953"/>
      <c r="BQ4094" s="319"/>
      <c r="BR4094" s="319"/>
      <c r="BS4094" s="330"/>
      <c r="BT4094" s="331"/>
      <c r="BU4094" s="920"/>
      <c r="BV4094" s="903"/>
      <c r="BW4094" s="908"/>
      <c r="BX4094" s="908"/>
      <c r="BY4094" s="331"/>
      <c r="BZ4094" s="331"/>
      <c r="CA4094" s="462"/>
      <c r="CB4094" s="319"/>
      <c r="CC4094" s="319"/>
      <c r="CD4094" s="319"/>
      <c r="CE4094" s="319"/>
      <c r="CF4094" s="319"/>
      <c r="CG4094" s="319"/>
      <c r="CH4094" s="318"/>
      <c r="CI4094" s="319"/>
      <c r="CJ4094" s="319"/>
      <c r="CK4094" s="342"/>
      <c r="CL4094" s="333"/>
      <c r="CM4094" s="1079"/>
      <c r="CN4094" s="1005"/>
      <c r="CO4094" s="1005"/>
      <c r="CP4094" s="1005"/>
    </row>
    <row r="4095">
      <c r="A4095" s="1257"/>
      <c r="B4095" s="1113"/>
      <c r="C4095" s="1107"/>
      <c r="D4095" s="103"/>
      <c r="E4095" s="1137"/>
      <c r="F4095" s="112"/>
      <c r="G4095" s="1110"/>
      <c r="H4095" s="1138"/>
      <c r="I4095" s="1138"/>
      <c r="J4095" s="1139"/>
      <c r="K4095" s="1111"/>
      <c r="L4095" s="1112"/>
      <c r="M4095" s="1113"/>
      <c r="N4095" s="110"/>
      <c r="O4095" s="1140"/>
      <c r="P4095" s="1115"/>
      <c r="Q4095" s="1116"/>
      <c r="R4095" s="1141"/>
      <c r="S4095" s="1113"/>
      <c r="T4095" s="1143"/>
      <c r="U4095" s="1108"/>
      <c r="V4095" s="1108"/>
      <c r="W4095" s="1108"/>
      <c r="X4095" s="1108"/>
      <c r="Y4095" s="1108"/>
      <c r="Z4095" s="1114"/>
      <c r="AA4095" s="1114"/>
      <c r="AB4095" s="1114"/>
      <c r="AC4095" s="1117"/>
      <c r="AD4095" s="1115"/>
      <c r="AE4095" s="1115"/>
      <c r="AF4095" s="1115"/>
      <c r="AG4095" s="1115"/>
      <c r="AH4095" s="1115"/>
      <c r="AI4095" s="1115"/>
      <c r="AJ4095" s="1117"/>
      <c r="AK4095" s="1118"/>
      <c r="AL4095" s="1115"/>
      <c r="AM4095" s="1115"/>
      <c r="AN4095" s="1115"/>
      <c r="AO4095" s="1115"/>
      <c r="AP4095" s="1115"/>
      <c r="AQ4095" s="1115"/>
      <c r="AR4095" s="1115"/>
      <c r="AS4095" s="1117"/>
      <c r="AT4095" s="1075"/>
      <c r="AU4095" s="1193"/>
      <c r="AV4095" s="330"/>
      <c r="AW4095" s="331"/>
      <c r="AX4095" s="331"/>
      <c r="AY4095" s="331"/>
      <c r="AZ4095" s="331"/>
      <c r="BA4095" s="331"/>
      <c r="BB4095" s="331"/>
      <c r="BC4095" s="331"/>
      <c r="BD4095" s="331"/>
      <c r="BE4095" s="333"/>
      <c r="BF4095" s="330"/>
      <c r="BG4095" s="333"/>
      <c r="BH4095" s="1119"/>
      <c r="BI4095" s="319"/>
      <c r="BJ4095" s="319"/>
      <c r="BK4095" s="319"/>
      <c r="BL4095" s="319"/>
      <c r="BM4095" s="319"/>
      <c r="BN4095" s="319"/>
      <c r="BO4095" s="319"/>
      <c r="BP4095" s="953"/>
      <c r="BQ4095" s="319"/>
      <c r="BR4095" s="319"/>
      <c r="BS4095" s="330"/>
      <c r="BT4095" s="331"/>
      <c r="BU4095" s="920"/>
      <c r="BV4095" s="903"/>
      <c r="BW4095" s="908"/>
      <c r="BX4095" s="908"/>
      <c r="BY4095" s="331"/>
      <c r="BZ4095" s="331"/>
      <c r="CA4095" s="462"/>
      <c r="CB4095" s="319"/>
      <c r="CC4095" s="319"/>
      <c r="CD4095" s="319"/>
      <c r="CE4095" s="319"/>
      <c r="CF4095" s="319"/>
      <c r="CG4095" s="319"/>
      <c r="CH4095" s="318"/>
      <c r="CI4095" s="319"/>
      <c r="CJ4095" s="319"/>
      <c r="CK4095" s="342"/>
      <c r="CL4095" s="333"/>
      <c r="CM4095" s="1079"/>
      <c r="CN4095" s="1005"/>
      <c r="CO4095" s="1005"/>
      <c r="CP4095" s="1005"/>
    </row>
    <row r="4096">
      <c r="A4096" s="1257"/>
      <c r="B4096" s="1113"/>
      <c r="C4096" s="1107"/>
      <c r="D4096" s="103"/>
      <c r="E4096" s="1137"/>
      <c r="F4096" s="112"/>
      <c r="G4096" s="1110"/>
      <c r="H4096" s="1138"/>
      <c r="I4096" s="1138"/>
      <c r="J4096" s="1139"/>
      <c r="K4096" s="1111"/>
      <c r="L4096" s="1112"/>
      <c r="M4096" s="1113"/>
      <c r="N4096" s="110"/>
      <c r="O4096" s="1140"/>
      <c r="P4096" s="1115"/>
      <c r="Q4096" s="1116"/>
      <c r="R4096" s="1141"/>
      <c r="S4096" s="1113"/>
      <c r="T4096" s="1143"/>
      <c r="U4096" s="1108"/>
      <c r="V4096" s="1108"/>
      <c r="W4096" s="1108"/>
      <c r="X4096" s="1108"/>
      <c r="Y4096" s="1108"/>
      <c r="Z4096" s="1114"/>
      <c r="AA4096" s="1114"/>
      <c r="AB4096" s="1114"/>
      <c r="AC4096" s="1117"/>
      <c r="AD4096" s="1115"/>
      <c r="AE4096" s="1115"/>
      <c r="AF4096" s="1115"/>
      <c r="AG4096" s="1115"/>
      <c r="AH4096" s="1115"/>
      <c r="AI4096" s="1115"/>
      <c r="AJ4096" s="1117"/>
      <c r="AK4096" s="1118"/>
      <c r="AL4096" s="1115"/>
      <c r="AM4096" s="1115"/>
      <c r="AN4096" s="1115"/>
      <c r="AO4096" s="1115"/>
      <c r="AP4096" s="1115"/>
      <c r="AQ4096" s="1115"/>
      <c r="AR4096" s="1115"/>
      <c r="AS4096" s="1117"/>
      <c r="AT4096" s="1075"/>
      <c r="AU4096" s="1193"/>
      <c r="AV4096" s="330"/>
      <c r="AW4096" s="331"/>
      <c r="AX4096" s="331"/>
      <c r="AY4096" s="331"/>
      <c r="AZ4096" s="331"/>
      <c r="BA4096" s="331"/>
      <c r="BB4096" s="331"/>
      <c r="BC4096" s="331"/>
      <c r="BD4096" s="331"/>
      <c r="BE4096" s="333"/>
      <c r="BF4096" s="330"/>
      <c r="BG4096" s="333"/>
      <c r="BH4096" s="1119"/>
      <c r="BI4096" s="319"/>
      <c r="BJ4096" s="319"/>
      <c r="BK4096" s="319"/>
      <c r="BL4096" s="319"/>
      <c r="BM4096" s="319"/>
      <c r="BN4096" s="319"/>
      <c r="BO4096" s="319"/>
      <c r="BP4096" s="953"/>
      <c r="BQ4096" s="319"/>
      <c r="BR4096" s="319"/>
      <c r="BS4096" s="330"/>
      <c r="BT4096" s="331"/>
      <c r="BU4096" s="920"/>
      <c r="BV4096" s="903"/>
      <c r="BW4096" s="908"/>
      <c r="BX4096" s="908"/>
      <c r="BY4096" s="331"/>
      <c r="BZ4096" s="331"/>
      <c r="CA4096" s="462"/>
      <c r="CB4096" s="319"/>
      <c r="CC4096" s="319"/>
      <c r="CD4096" s="319"/>
      <c r="CE4096" s="319"/>
      <c r="CF4096" s="319"/>
      <c r="CG4096" s="319"/>
      <c r="CH4096" s="318"/>
      <c r="CI4096" s="319"/>
      <c r="CJ4096" s="319"/>
      <c r="CK4096" s="342"/>
      <c r="CL4096" s="333"/>
      <c r="CM4096" s="1079"/>
      <c r="CN4096" s="1005"/>
      <c r="CO4096" s="1005"/>
      <c r="CP4096" s="1005"/>
    </row>
    <row r="4097">
      <c r="A4097" s="1257"/>
      <c r="B4097" s="1113"/>
      <c r="C4097" s="1107"/>
      <c r="D4097" s="103"/>
      <c r="E4097" s="1137"/>
      <c r="F4097" s="112"/>
      <c r="G4097" s="1110"/>
      <c r="H4097" s="1138"/>
      <c r="I4097" s="1138"/>
      <c r="J4097" s="1139"/>
      <c r="K4097" s="1111"/>
      <c r="L4097" s="1112"/>
      <c r="M4097" s="1113"/>
      <c r="N4097" s="110"/>
      <c r="O4097" s="1140"/>
      <c r="P4097" s="1115"/>
      <c r="Q4097" s="1116"/>
      <c r="R4097" s="1141"/>
      <c r="S4097" s="1113"/>
      <c r="T4097" s="1143"/>
      <c r="U4097" s="1108"/>
      <c r="V4097" s="1108"/>
      <c r="W4097" s="1108"/>
      <c r="X4097" s="1108"/>
      <c r="Y4097" s="1108"/>
      <c r="Z4097" s="1114"/>
      <c r="AA4097" s="1114"/>
      <c r="AB4097" s="1114"/>
      <c r="AC4097" s="1117"/>
      <c r="AD4097" s="1115"/>
      <c r="AE4097" s="1115"/>
      <c r="AF4097" s="1115"/>
      <c r="AG4097" s="1115"/>
      <c r="AH4097" s="1115"/>
      <c r="AI4097" s="1115"/>
      <c r="AJ4097" s="1117"/>
      <c r="AK4097" s="1118"/>
      <c r="AL4097" s="1115"/>
      <c r="AM4097" s="1115"/>
      <c r="AN4097" s="1115"/>
      <c r="AO4097" s="1115"/>
      <c r="AP4097" s="1115"/>
      <c r="AQ4097" s="1115"/>
      <c r="AR4097" s="1115"/>
      <c r="AS4097" s="1117"/>
      <c r="AT4097" s="1075"/>
      <c r="AU4097" s="1193"/>
      <c r="AV4097" s="330"/>
      <c r="AW4097" s="331"/>
      <c r="AX4097" s="331"/>
      <c r="AY4097" s="331"/>
      <c r="AZ4097" s="331"/>
      <c r="BA4097" s="331"/>
      <c r="BB4097" s="331"/>
      <c r="BC4097" s="331"/>
      <c r="BD4097" s="331"/>
      <c r="BE4097" s="333"/>
      <c r="BF4097" s="330"/>
      <c r="BG4097" s="333"/>
      <c r="BH4097" s="1119"/>
      <c r="BI4097" s="319"/>
      <c r="BJ4097" s="319"/>
      <c r="BK4097" s="319"/>
      <c r="BL4097" s="319"/>
      <c r="BM4097" s="319"/>
      <c r="BN4097" s="319"/>
      <c r="BO4097" s="319"/>
      <c r="BP4097" s="953"/>
      <c r="BQ4097" s="319"/>
      <c r="BR4097" s="319"/>
      <c r="BS4097" s="330"/>
      <c r="BT4097" s="331"/>
      <c r="BU4097" s="920"/>
      <c r="BV4097" s="903"/>
      <c r="BW4097" s="908"/>
      <c r="BX4097" s="908"/>
      <c r="BY4097" s="331"/>
      <c r="BZ4097" s="331"/>
      <c r="CA4097" s="462"/>
      <c r="CB4097" s="319"/>
      <c r="CC4097" s="319"/>
      <c r="CD4097" s="319"/>
      <c r="CE4097" s="319"/>
      <c r="CF4097" s="319"/>
      <c r="CG4097" s="319"/>
      <c r="CH4097" s="318"/>
      <c r="CI4097" s="319"/>
      <c r="CJ4097" s="319"/>
      <c r="CK4097" s="342"/>
      <c r="CL4097" s="333"/>
      <c r="CM4097" s="1079"/>
      <c r="CN4097" s="1005"/>
      <c r="CO4097" s="1005"/>
      <c r="CP4097" s="1005"/>
    </row>
    <row r="4098">
      <c r="A4098" s="1257"/>
      <c r="B4098" s="1113"/>
      <c r="C4098" s="1107"/>
      <c r="D4098" s="103"/>
      <c r="E4098" s="1137"/>
      <c r="F4098" s="112"/>
      <c r="G4098" s="1110"/>
      <c r="H4098" s="1138"/>
      <c r="I4098" s="1138"/>
      <c r="J4098" s="1139"/>
      <c r="K4098" s="1111"/>
      <c r="L4098" s="1112"/>
      <c r="M4098" s="1113"/>
      <c r="N4098" s="110"/>
      <c r="O4098" s="1140"/>
      <c r="P4098" s="1115"/>
      <c r="Q4098" s="1116"/>
      <c r="R4098" s="1141"/>
      <c r="S4098" s="1113"/>
      <c r="T4098" s="1143"/>
      <c r="U4098" s="1108"/>
      <c r="V4098" s="1108"/>
      <c r="W4098" s="1108"/>
      <c r="X4098" s="1108"/>
      <c r="Y4098" s="1108"/>
      <c r="Z4098" s="1114"/>
      <c r="AA4098" s="1114"/>
      <c r="AB4098" s="1114"/>
      <c r="AC4098" s="1117"/>
      <c r="AD4098" s="1115"/>
      <c r="AE4098" s="1115"/>
      <c r="AF4098" s="1115"/>
      <c r="AG4098" s="1115"/>
      <c r="AH4098" s="1115"/>
      <c r="AI4098" s="1115"/>
      <c r="AJ4098" s="1117"/>
      <c r="AK4098" s="1118"/>
      <c r="AL4098" s="1115"/>
      <c r="AM4098" s="1115"/>
      <c r="AN4098" s="1115"/>
      <c r="AO4098" s="1115"/>
      <c r="AP4098" s="1115"/>
      <c r="AQ4098" s="1115"/>
      <c r="AR4098" s="1115"/>
      <c r="AS4098" s="1117"/>
      <c r="AT4098" s="1075"/>
      <c r="AU4098" s="1193"/>
      <c r="AV4098" s="330"/>
      <c r="AW4098" s="331"/>
      <c r="AX4098" s="331"/>
      <c r="AY4098" s="331"/>
      <c r="AZ4098" s="331"/>
      <c r="BA4098" s="331"/>
      <c r="BB4098" s="331"/>
      <c r="BC4098" s="331"/>
      <c r="BD4098" s="331"/>
      <c r="BE4098" s="333"/>
      <c r="BF4098" s="330"/>
      <c r="BG4098" s="333"/>
      <c r="BH4098" s="1119"/>
      <c r="BI4098" s="319"/>
      <c r="BJ4098" s="319"/>
      <c r="BK4098" s="319"/>
      <c r="BL4098" s="319"/>
      <c r="BM4098" s="319"/>
      <c r="BN4098" s="319"/>
      <c r="BO4098" s="319"/>
      <c r="BP4098" s="953"/>
      <c r="BQ4098" s="319"/>
      <c r="BR4098" s="319"/>
      <c r="BS4098" s="330"/>
      <c r="BT4098" s="331"/>
      <c r="BU4098" s="920"/>
      <c r="BV4098" s="903"/>
      <c r="BW4098" s="908"/>
      <c r="BX4098" s="908"/>
      <c r="BY4098" s="331"/>
      <c r="BZ4098" s="331"/>
      <c r="CA4098" s="462"/>
      <c r="CB4098" s="319"/>
      <c r="CC4098" s="319"/>
      <c r="CD4098" s="319"/>
      <c r="CE4098" s="319"/>
      <c r="CF4098" s="319"/>
      <c r="CG4098" s="319"/>
      <c r="CH4098" s="318"/>
      <c r="CI4098" s="319"/>
      <c r="CJ4098" s="319"/>
      <c r="CK4098" s="342"/>
      <c r="CL4098" s="333"/>
      <c r="CM4098" s="1079"/>
      <c r="CN4098" s="1005"/>
      <c r="CO4098" s="1005"/>
      <c r="CP4098" s="1005"/>
    </row>
    <row r="4099">
      <c r="A4099" s="1257"/>
      <c r="B4099" s="1113"/>
      <c r="C4099" s="1107"/>
      <c r="D4099" s="103"/>
      <c r="E4099" s="1137"/>
      <c r="F4099" s="112"/>
      <c r="G4099" s="1110"/>
      <c r="H4099" s="1138"/>
      <c r="I4099" s="1138"/>
      <c r="J4099" s="1139"/>
      <c r="K4099" s="1111"/>
      <c r="L4099" s="1112"/>
      <c r="M4099" s="1113"/>
      <c r="N4099" s="110"/>
      <c r="O4099" s="1140"/>
      <c r="P4099" s="1115"/>
      <c r="Q4099" s="1116"/>
      <c r="R4099" s="1141"/>
      <c r="S4099" s="1113"/>
      <c r="T4099" s="1143"/>
      <c r="U4099" s="1108"/>
      <c r="V4099" s="1108"/>
      <c r="W4099" s="1108"/>
      <c r="X4099" s="1108"/>
      <c r="Y4099" s="1108"/>
      <c r="Z4099" s="1114"/>
      <c r="AA4099" s="1114"/>
      <c r="AB4099" s="1114"/>
      <c r="AC4099" s="1117"/>
      <c r="AD4099" s="1115"/>
      <c r="AE4099" s="1115"/>
      <c r="AF4099" s="1115"/>
      <c r="AG4099" s="1115"/>
      <c r="AH4099" s="1115"/>
      <c r="AI4099" s="1115"/>
      <c r="AJ4099" s="1117"/>
      <c r="AK4099" s="1118"/>
      <c r="AL4099" s="1115"/>
      <c r="AM4099" s="1115"/>
      <c r="AN4099" s="1115"/>
      <c r="AO4099" s="1115"/>
      <c r="AP4099" s="1115"/>
      <c r="AQ4099" s="1115"/>
      <c r="AR4099" s="1115"/>
      <c r="AS4099" s="1117"/>
      <c r="AT4099" s="1075"/>
      <c r="AU4099" s="1193"/>
      <c r="AV4099" s="330"/>
      <c r="AW4099" s="331"/>
      <c r="AX4099" s="331"/>
      <c r="AY4099" s="331"/>
      <c r="AZ4099" s="331"/>
      <c r="BA4099" s="331"/>
      <c r="BB4099" s="331"/>
      <c r="BC4099" s="331"/>
      <c r="BD4099" s="331"/>
      <c r="BE4099" s="333"/>
      <c r="BF4099" s="330"/>
      <c r="BG4099" s="333"/>
      <c r="BH4099" s="1119"/>
      <c r="BI4099" s="319"/>
      <c r="BJ4099" s="319"/>
      <c r="BK4099" s="319"/>
      <c r="BL4099" s="319"/>
      <c r="BM4099" s="319"/>
      <c r="BN4099" s="319"/>
      <c r="BO4099" s="319"/>
      <c r="BP4099" s="953"/>
      <c r="BQ4099" s="319"/>
      <c r="BR4099" s="319"/>
      <c r="BS4099" s="330"/>
      <c r="BT4099" s="331"/>
      <c r="BU4099" s="920"/>
      <c r="BV4099" s="903"/>
      <c r="BW4099" s="908"/>
      <c r="BX4099" s="908"/>
      <c r="BY4099" s="331"/>
      <c r="BZ4099" s="331"/>
      <c r="CA4099" s="462"/>
      <c r="CB4099" s="319"/>
      <c r="CC4099" s="319"/>
      <c r="CD4099" s="319"/>
      <c r="CE4099" s="319"/>
      <c r="CF4099" s="319"/>
      <c r="CG4099" s="319"/>
      <c r="CH4099" s="318"/>
      <c r="CI4099" s="319"/>
      <c r="CJ4099" s="319"/>
      <c r="CK4099" s="342"/>
      <c r="CL4099" s="333"/>
      <c r="CM4099" s="1079"/>
      <c r="CN4099" s="1005"/>
      <c r="CO4099" s="1005"/>
      <c r="CP4099" s="1005"/>
    </row>
    <row r="4100">
      <c r="A4100" s="1257"/>
      <c r="B4100" s="1113"/>
      <c r="C4100" s="1107"/>
      <c r="D4100" s="103"/>
      <c r="E4100" s="1137"/>
      <c r="F4100" s="112"/>
      <c r="G4100" s="1110"/>
      <c r="H4100" s="1138"/>
      <c r="I4100" s="1138"/>
      <c r="J4100" s="1139"/>
      <c r="K4100" s="1111"/>
      <c r="L4100" s="1112"/>
      <c r="M4100" s="1113"/>
      <c r="N4100" s="110"/>
      <c r="O4100" s="1140"/>
      <c r="P4100" s="1115"/>
      <c r="Q4100" s="1116"/>
      <c r="R4100" s="1141"/>
      <c r="S4100" s="1113"/>
      <c r="T4100" s="1143"/>
      <c r="U4100" s="1108"/>
      <c r="V4100" s="1108"/>
      <c r="W4100" s="1108"/>
      <c r="X4100" s="1108"/>
      <c r="Y4100" s="1108"/>
      <c r="Z4100" s="1114"/>
      <c r="AA4100" s="1114"/>
      <c r="AB4100" s="1114"/>
      <c r="AC4100" s="1117"/>
      <c r="AD4100" s="1115"/>
      <c r="AE4100" s="1115"/>
      <c r="AF4100" s="1115"/>
      <c r="AG4100" s="1115"/>
      <c r="AH4100" s="1115"/>
      <c r="AI4100" s="1115"/>
      <c r="AJ4100" s="1117"/>
      <c r="AK4100" s="1118"/>
      <c r="AL4100" s="1115"/>
      <c r="AM4100" s="1115"/>
      <c r="AN4100" s="1115"/>
      <c r="AO4100" s="1115"/>
      <c r="AP4100" s="1115"/>
      <c r="AQ4100" s="1115"/>
      <c r="AR4100" s="1115"/>
      <c r="AS4100" s="1117"/>
      <c r="AT4100" s="1075"/>
      <c r="AU4100" s="1193"/>
      <c r="AV4100" s="330"/>
      <c r="AW4100" s="331"/>
      <c r="AX4100" s="331"/>
      <c r="AY4100" s="331"/>
      <c r="AZ4100" s="331"/>
      <c r="BA4100" s="331"/>
      <c r="BB4100" s="331"/>
      <c r="BC4100" s="331"/>
      <c r="BD4100" s="331"/>
      <c r="BE4100" s="333"/>
      <c r="BF4100" s="330"/>
      <c r="BG4100" s="333"/>
      <c r="BH4100" s="1119"/>
      <c r="BI4100" s="319"/>
      <c r="BJ4100" s="319"/>
      <c r="BK4100" s="319"/>
      <c r="BL4100" s="319"/>
      <c r="BM4100" s="319"/>
      <c r="BN4100" s="319"/>
      <c r="BO4100" s="319"/>
      <c r="BP4100" s="953"/>
      <c r="BQ4100" s="319"/>
      <c r="BR4100" s="319"/>
      <c r="BS4100" s="330"/>
      <c r="BT4100" s="331"/>
      <c r="BU4100" s="920"/>
      <c r="BV4100" s="903"/>
      <c r="BW4100" s="908"/>
      <c r="BX4100" s="908"/>
      <c r="BY4100" s="331"/>
      <c r="BZ4100" s="331"/>
      <c r="CA4100" s="462"/>
      <c r="CB4100" s="319"/>
      <c r="CC4100" s="319"/>
      <c r="CD4100" s="319"/>
      <c r="CE4100" s="319"/>
      <c r="CF4100" s="319"/>
      <c r="CG4100" s="319"/>
      <c r="CH4100" s="318"/>
      <c r="CI4100" s="319"/>
      <c r="CJ4100" s="319"/>
      <c r="CK4100" s="342"/>
      <c r="CL4100" s="333"/>
      <c r="CM4100" s="1079"/>
      <c r="CN4100" s="1005"/>
      <c r="CO4100" s="1005"/>
      <c r="CP4100" s="1005"/>
    </row>
    <row r="4101">
      <c r="A4101" s="1257"/>
      <c r="B4101" s="1113"/>
      <c r="C4101" s="1107"/>
      <c r="D4101" s="103"/>
      <c r="E4101" s="1137"/>
      <c r="F4101" s="112"/>
      <c r="G4101" s="1110"/>
      <c r="H4101" s="1138"/>
      <c r="I4101" s="1138"/>
      <c r="J4101" s="1139"/>
      <c r="K4101" s="1111"/>
      <c r="L4101" s="1112"/>
      <c r="M4101" s="1113"/>
      <c r="N4101" s="110"/>
      <c r="O4101" s="1140"/>
      <c r="P4101" s="1115"/>
      <c r="Q4101" s="1116"/>
      <c r="R4101" s="1141"/>
      <c r="S4101" s="1113"/>
      <c r="T4101" s="1143"/>
      <c r="U4101" s="1108"/>
      <c r="V4101" s="1108"/>
      <c r="W4101" s="1108"/>
      <c r="X4101" s="1108"/>
      <c r="Y4101" s="1108"/>
      <c r="Z4101" s="1114"/>
      <c r="AA4101" s="1114"/>
      <c r="AB4101" s="1114"/>
      <c r="AC4101" s="1117"/>
      <c r="AD4101" s="1115"/>
      <c r="AE4101" s="1115"/>
      <c r="AF4101" s="1115"/>
      <c r="AG4101" s="1115"/>
      <c r="AH4101" s="1115"/>
      <c r="AI4101" s="1115"/>
      <c r="AJ4101" s="1117"/>
      <c r="AK4101" s="1118"/>
      <c r="AL4101" s="1115"/>
      <c r="AM4101" s="1115"/>
      <c r="AN4101" s="1115"/>
      <c r="AO4101" s="1115"/>
      <c r="AP4101" s="1115"/>
      <c r="AQ4101" s="1115"/>
      <c r="AR4101" s="1115"/>
      <c r="AS4101" s="1117"/>
      <c r="AT4101" s="1075"/>
      <c r="AU4101" s="1193"/>
      <c r="AV4101" s="330"/>
      <c r="AW4101" s="331"/>
      <c r="AX4101" s="331"/>
      <c r="AY4101" s="331"/>
      <c r="AZ4101" s="331"/>
      <c r="BA4101" s="331"/>
      <c r="BB4101" s="331"/>
      <c r="BC4101" s="331"/>
      <c r="BD4101" s="331"/>
      <c r="BE4101" s="333"/>
      <c r="BF4101" s="330"/>
      <c r="BG4101" s="333"/>
      <c r="BH4101" s="1119"/>
      <c r="BI4101" s="319"/>
      <c r="BJ4101" s="319"/>
      <c r="BK4101" s="319"/>
      <c r="BL4101" s="319"/>
      <c r="BM4101" s="319"/>
      <c r="BN4101" s="319"/>
      <c r="BO4101" s="319"/>
      <c r="BP4101" s="953"/>
      <c r="BQ4101" s="319"/>
      <c r="BR4101" s="319"/>
      <c r="BS4101" s="330"/>
      <c r="BT4101" s="331"/>
      <c r="BU4101" s="920"/>
      <c r="BV4101" s="903"/>
      <c r="BW4101" s="908"/>
      <c r="BX4101" s="908"/>
      <c r="BY4101" s="331"/>
      <c r="BZ4101" s="331"/>
      <c r="CA4101" s="462"/>
      <c r="CB4101" s="319"/>
      <c r="CC4101" s="319"/>
      <c r="CD4101" s="319"/>
      <c r="CE4101" s="319"/>
      <c r="CF4101" s="319"/>
      <c r="CG4101" s="319"/>
      <c r="CH4101" s="318"/>
      <c r="CI4101" s="319"/>
      <c r="CJ4101" s="319"/>
      <c r="CK4101" s="342"/>
      <c r="CL4101" s="333"/>
      <c r="CM4101" s="1079"/>
      <c r="CN4101" s="1005"/>
      <c r="CO4101" s="1005"/>
      <c r="CP4101" s="1005"/>
    </row>
    <row r="4102">
      <c r="A4102" s="1257"/>
      <c r="B4102" s="1113"/>
      <c r="C4102" s="1107"/>
      <c r="D4102" s="103"/>
      <c r="E4102" s="1137"/>
      <c r="F4102" s="112"/>
      <c r="G4102" s="1110"/>
      <c r="H4102" s="1138"/>
      <c r="I4102" s="1138"/>
      <c r="J4102" s="1139"/>
      <c r="K4102" s="1111"/>
      <c r="L4102" s="1112"/>
      <c r="M4102" s="1113"/>
      <c r="N4102" s="110"/>
      <c r="O4102" s="1140"/>
      <c r="P4102" s="1115"/>
      <c r="Q4102" s="1116"/>
      <c r="R4102" s="1141"/>
      <c r="S4102" s="1113"/>
      <c r="T4102" s="1143"/>
      <c r="U4102" s="1108"/>
      <c r="V4102" s="1108"/>
      <c r="W4102" s="1108"/>
      <c r="X4102" s="1108"/>
      <c r="Y4102" s="1108"/>
      <c r="Z4102" s="1114"/>
      <c r="AA4102" s="1114"/>
      <c r="AB4102" s="1114"/>
      <c r="AC4102" s="1117"/>
      <c r="AD4102" s="1115"/>
      <c r="AE4102" s="1115"/>
      <c r="AF4102" s="1115"/>
      <c r="AG4102" s="1115"/>
      <c r="AH4102" s="1115"/>
      <c r="AI4102" s="1115"/>
      <c r="AJ4102" s="1117"/>
      <c r="AK4102" s="1118"/>
      <c r="AL4102" s="1115"/>
      <c r="AM4102" s="1115"/>
      <c r="AN4102" s="1115"/>
      <c r="AO4102" s="1115"/>
      <c r="AP4102" s="1115"/>
      <c r="AQ4102" s="1115"/>
      <c r="AR4102" s="1115"/>
      <c r="AS4102" s="1117"/>
      <c r="AT4102" s="1075"/>
      <c r="AU4102" s="1193"/>
      <c r="AV4102" s="330"/>
      <c r="AW4102" s="331"/>
      <c r="AX4102" s="331"/>
      <c r="AY4102" s="331"/>
      <c r="AZ4102" s="331"/>
      <c r="BA4102" s="331"/>
      <c r="BB4102" s="331"/>
      <c r="BC4102" s="331"/>
      <c r="BD4102" s="331"/>
      <c r="BE4102" s="333"/>
      <c r="BF4102" s="330"/>
      <c r="BG4102" s="333"/>
      <c r="BH4102" s="1119"/>
      <c r="BI4102" s="319"/>
      <c r="BJ4102" s="319"/>
      <c r="BK4102" s="319"/>
      <c r="BL4102" s="319"/>
      <c r="BM4102" s="319"/>
      <c r="BN4102" s="319"/>
      <c r="BO4102" s="319"/>
      <c r="BP4102" s="953"/>
      <c r="BQ4102" s="319"/>
      <c r="BR4102" s="319"/>
      <c r="BS4102" s="330"/>
      <c r="BT4102" s="331"/>
      <c r="BU4102" s="920"/>
      <c r="BV4102" s="903"/>
      <c r="BW4102" s="908"/>
      <c r="BX4102" s="908"/>
      <c r="BY4102" s="331"/>
      <c r="BZ4102" s="331"/>
      <c r="CA4102" s="462"/>
      <c r="CB4102" s="319"/>
      <c r="CC4102" s="319"/>
      <c r="CD4102" s="319"/>
      <c r="CE4102" s="319"/>
      <c r="CF4102" s="319"/>
      <c r="CG4102" s="319"/>
      <c r="CH4102" s="318"/>
      <c r="CI4102" s="319"/>
      <c r="CJ4102" s="319"/>
      <c r="CK4102" s="342"/>
      <c r="CL4102" s="333"/>
      <c r="CM4102" s="1079"/>
      <c r="CN4102" s="1005"/>
      <c r="CO4102" s="1005"/>
      <c r="CP4102" s="1005"/>
    </row>
    <row r="4103">
      <c r="A4103" s="1257"/>
      <c r="B4103" s="1113"/>
      <c r="C4103" s="1107"/>
      <c r="D4103" s="103"/>
      <c r="E4103" s="1137"/>
      <c r="F4103" s="112"/>
      <c r="G4103" s="1110"/>
      <c r="H4103" s="1138"/>
      <c r="I4103" s="1138"/>
      <c r="J4103" s="1139"/>
      <c r="K4103" s="1111"/>
      <c r="L4103" s="1112"/>
      <c r="M4103" s="1113"/>
      <c r="N4103" s="110"/>
      <c r="O4103" s="1140"/>
      <c r="P4103" s="1115"/>
      <c r="Q4103" s="1116"/>
      <c r="R4103" s="1141"/>
      <c r="S4103" s="1113"/>
      <c r="T4103" s="1143"/>
      <c r="U4103" s="1108"/>
      <c r="V4103" s="1108"/>
      <c r="W4103" s="1108"/>
      <c r="X4103" s="1108"/>
      <c r="Y4103" s="1108"/>
      <c r="Z4103" s="1114"/>
      <c r="AA4103" s="1114"/>
      <c r="AB4103" s="1114"/>
      <c r="AC4103" s="1117"/>
      <c r="AD4103" s="1115"/>
      <c r="AE4103" s="1115"/>
      <c r="AF4103" s="1115"/>
      <c r="AG4103" s="1115"/>
      <c r="AH4103" s="1115"/>
      <c r="AI4103" s="1115"/>
      <c r="AJ4103" s="1117"/>
      <c r="AK4103" s="1118"/>
      <c r="AL4103" s="1115"/>
      <c r="AM4103" s="1115"/>
      <c r="AN4103" s="1115"/>
      <c r="AO4103" s="1115"/>
      <c r="AP4103" s="1115"/>
      <c r="AQ4103" s="1115"/>
      <c r="AR4103" s="1115"/>
      <c r="AS4103" s="1117"/>
      <c r="AT4103" s="1075"/>
      <c r="AU4103" s="1193"/>
      <c r="AV4103" s="330"/>
      <c r="AW4103" s="331"/>
      <c r="AX4103" s="331"/>
      <c r="AY4103" s="331"/>
      <c r="AZ4103" s="331"/>
      <c r="BA4103" s="331"/>
      <c r="BB4103" s="331"/>
      <c r="BC4103" s="331"/>
      <c r="BD4103" s="331"/>
      <c r="BE4103" s="333"/>
      <c r="BF4103" s="330"/>
      <c r="BG4103" s="333"/>
      <c r="BH4103" s="1119"/>
      <c r="BI4103" s="319"/>
      <c r="BJ4103" s="319"/>
      <c r="BK4103" s="319"/>
      <c r="BL4103" s="319"/>
      <c r="BM4103" s="319"/>
      <c r="BN4103" s="319"/>
      <c r="BO4103" s="319"/>
      <c r="BP4103" s="953"/>
      <c r="BQ4103" s="319"/>
      <c r="BR4103" s="319"/>
      <c r="BS4103" s="330"/>
      <c r="BT4103" s="331"/>
      <c r="BU4103" s="920"/>
      <c r="BV4103" s="903"/>
      <c r="BW4103" s="908"/>
      <c r="BX4103" s="908"/>
      <c r="BY4103" s="331"/>
      <c r="BZ4103" s="331"/>
      <c r="CA4103" s="462"/>
      <c r="CB4103" s="319"/>
      <c r="CC4103" s="319"/>
      <c r="CD4103" s="319"/>
      <c r="CE4103" s="319"/>
      <c r="CF4103" s="319"/>
      <c r="CG4103" s="319"/>
      <c r="CH4103" s="318"/>
      <c r="CI4103" s="319"/>
      <c r="CJ4103" s="319"/>
      <c r="CK4103" s="342"/>
      <c r="CL4103" s="333"/>
      <c r="CM4103" s="1079"/>
      <c r="CN4103" s="1005"/>
      <c r="CO4103" s="1005"/>
      <c r="CP4103" s="1005"/>
    </row>
    <row r="4104">
      <c r="A4104" s="1257"/>
      <c r="B4104" s="1113"/>
      <c r="C4104" s="1107"/>
      <c r="D4104" s="103"/>
      <c r="E4104" s="1137"/>
      <c r="F4104" s="112"/>
      <c r="G4104" s="1110"/>
      <c r="H4104" s="1138"/>
      <c r="I4104" s="1138"/>
      <c r="J4104" s="1139"/>
      <c r="K4104" s="1111"/>
      <c r="L4104" s="1112"/>
      <c r="M4104" s="1113"/>
      <c r="N4104" s="110"/>
      <c r="O4104" s="1140"/>
      <c r="P4104" s="1115"/>
      <c r="Q4104" s="1116"/>
      <c r="R4104" s="1141"/>
      <c r="S4104" s="1113"/>
      <c r="T4104" s="1143"/>
      <c r="U4104" s="1108"/>
      <c r="V4104" s="1108"/>
      <c r="W4104" s="1108"/>
      <c r="X4104" s="1108"/>
      <c r="Y4104" s="1108"/>
      <c r="Z4104" s="1114"/>
      <c r="AA4104" s="1114"/>
      <c r="AB4104" s="1114"/>
      <c r="AC4104" s="1117"/>
      <c r="AD4104" s="1115"/>
      <c r="AE4104" s="1115"/>
      <c r="AF4104" s="1115"/>
      <c r="AG4104" s="1115"/>
      <c r="AH4104" s="1115"/>
      <c r="AI4104" s="1115"/>
      <c r="AJ4104" s="1117"/>
      <c r="AK4104" s="1118"/>
      <c r="AL4104" s="1115"/>
      <c r="AM4104" s="1115"/>
      <c r="AN4104" s="1115"/>
      <c r="AO4104" s="1115"/>
      <c r="AP4104" s="1115"/>
      <c r="AQ4104" s="1115"/>
      <c r="AR4104" s="1115"/>
      <c r="AS4104" s="1117"/>
      <c r="AT4104" s="1075"/>
      <c r="AU4104" s="1193"/>
      <c r="AV4104" s="330"/>
      <c r="AW4104" s="331"/>
      <c r="AX4104" s="331"/>
      <c r="AY4104" s="331"/>
      <c r="AZ4104" s="331"/>
      <c r="BA4104" s="331"/>
      <c r="BB4104" s="331"/>
      <c r="BC4104" s="331"/>
      <c r="BD4104" s="331"/>
      <c r="BE4104" s="333"/>
      <c r="BF4104" s="330"/>
      <c r="BG4104" s="333"/>
      <c r="BH4104" s="1119"/>
      <c r="BI4104" s="319"/>
      <c r="BJ4104" s="319"/>
      <c r="BK4104" s="319"/>
      <c r="BL4104" s="319"/>
      <c r="BM4104" s="319"/>
      <c r="BN4104" s="319"/>
      <c r="BO4104" s="319"/>
      <c r="BP4104" s="953"/>
      <c r="BQ4104" s="319"/>
      <c r="BR4104" s="319"/>
      <c r="BS4104" s="330"/>
      <c r="BT4104" s="331"/>
      <c r="BU4104" s="920"/>
      <c r="BV4104" s="903"/>
      <c r="BW4104" s="908"/>
      <c r="BX4104" s="908"/>
      <c r="BY4104" s="331"/>
      <c r="BZ4104" s="331"/>
      <c r="CA4104" s="462"/>
      <c r="CB4104" s="319"/>
      <c r="CC4104" s="319"/>
      <c r="CD4104" s="319"/>
      <c r="CE4104" s="319"/>
      <c r="CF4104" s="319"/>
      <c r="CG4104" s="319"/>
      <c r="CH4104" s="318"/>
      <c r="CI4104" s="319"/>
      <c r="CJ4104" s="319"/>
      <c r="CK4104" s="342"/>
      <c r="CL4104" s="333"/>
      <c r="CM4104" s="1079"/>
      <c r="CN4104" s="1005"/>
      <c r="CO4104" s="1005"/>
      <c r="CP4104" s="1005"/>
    </row>
    <row r="4105">
      <c r="A4105" s="1257"/>
      <c r="B4105" s="1113"/>
      <c r="C4105" s="1107"/>
      <c r="D4105" s="103"/>
      <c r="E4105" s="1137"/>
      <c r="F4105" s="112"/>
      <c r="G4105" s="1110"/>
      <c r="H4105" s="1138"/>
      <c r="I4105" s="1138"/>
      <c r="J4105" s="1139"/>
      <c r="K4105" s="1111"/>
      <c r="L4105" s="1112"/>
      <c r="M4105" s="1113"/>
      <c r="N4105" s="110"/>
      <c r="O4105" s="1140"/>
      <c r="P4105" s="1115"/>
      <c r="Q4105" s="1116"/>
      <c r="R4105" s="1141"/>
      <c r="S4105" s="1113"/>
      <c r="T4105" s="1143"/>
      <c r="U4105" s="1108"/>
      <c r="V4105" s="1108"/>
      <c r="W4105" s="1108"/>
      <c r="X4105" s="1108"/>
      <c r="Y4105" s="1108"/>
      <c r="Z4105" s="1114"/>
      <c r="AA4105" s="1114"/>
      <c r="AB4105" s="1114"/>
      <c r="AC4105" s="1117"/>
      <c r="AD4105" s="1115"/>
      <c r="AE4105" s="1115"/>
      <c r="AF4105" s="1115"/>
      <c r="AG4105" s="1115"/>
      <c r="AH4105" s="1115"/>
      <c r="AI4105" s="1115"/>
      <c r="AJ4105" s="1117"/>
      <c r="AK4105" s="1118"/>
      <c r="AL4105" s="1115"/>
      <c r="AM4105" s="1115"/>
      <c r="AN4105" s="1115"/>
      <c r="AO4105" s="1115"/>
      <c r="AP4105" s="1115"/>
      <c r="AQ4105" s="1115"/>
      <c r="AR4105" s="1115"/>
      <c r="AS4105" s="1117"/>
      <c r="AT4105" s="1075"/>
      <c r="AU4105" s="1193"/>
      <c r="AV4105" s="330"/>
      <c r="AW4105" s="331"/>
      <c r="AX4105" s="331"/>
      <c r="AY4105" s="331"/>
      <c r="AZ4105" s="331"/>
      <c r="BA4105" s="331"/>
      <c r="BB4105" s="331"/>
      <c r="BC4105" s="331"/>
      <c r="BD4105" s="331"/>
      <c r="BE4105" s="333"/>
      <c r="BF4105" s="330"/>
      <c r="BG4105" s="333"/>
      <c r="BH4105" s="1119"/>
      <c r="BI4105" s="319"/>
      <c r="BJ4105" s="319"/>
      <c r="BK4105" s="319"/>
      <c r="BL4105" s="319"/>
      <c r="BM4105" s="319"/>
      <c r="BN4105" s="319"/>
      <c r="BO4105" s="319"/>
      <c r="BP4105" s="953"/>
      <c r="BQ4105" s="319"/>
      <c r="BR4105" s="319"/>
      <c r="BS4105" s="330"/>
      <c r="BT4105" s="331"/>
      <c r="BU4105" s="920"/>
      <c r="BV4105" s="903"/>
      <c r="BW4105" s="908"/>
      <c r="BX4105" s="908"/>
      <c r="BY4105" s="331"/>
      <c r="BZ4105" s="331"/>
      <c r="CA4105" s="462"/>
      <c r="CB4105" s="319"/>
      <c r="CC4105" s="319"/>
      <c r="CD4105" s="319"/>
      <c r="CE4105" s="319"/>
      <c r="CF4105" s="319"/>
      <c r="CG4105" s="319"/>
      <c r="CH4105" s="318"/>
      <c r="CI4105" s="319"/>
      <c r="CJ4105" s="319"/>
      <c r="CK4105" s="342"/>
      <c r="CL4105" s="333"/>
      <c r="CM4105" s="1079"/>
      <c r="CN4105" s="1005"/>
      <c r="CO4105" s="1005"/>
      <c r="CP4105" s="1005"/>
    </row>
    <row r="4106">
      <c r="A4106" s="1257"/>
      <c r="B4106" s="1113"/>
      <c r="C4106" s="1107"/>
      <c r="D4106" s="103"/>
      <c r="E4106" s="1137"/>
      <c r="F4106" s="112"/>
      <c r="G4106" s="1110"/>
      <c r="H4106" s="1138"/>
      <c r="I4106" s="1138"/>
      <c r="J4106" s="1139"/>
      <c r="K4106" s="1111"/>
      <c r="L4106" s="1112"/>
      <c r="M4106" s="1113"/>
      <c r="N4106" s="110"/>
      <c r="O4106" s="1140"/>
      <c r="P4106" s="1115"/>
      <c r="Q4106" s="1116"/>
      <c r="R4106" s="1141"/>
      <c r="S4106" s="1113"/>
      <c r="T4106" s="1143"/>
      <c r="U4106" s="1108"/>
      <c r="V4106" s="1108"/>
      <c r="W4106" s="1108"/>
      <c r="X4106" s="1108"/>
      <c r="Y4106" s="1108"/>
      <c r="Z4106" s="1114"/>
      <c r="AA4106" s="1114"/>
      <c r="AB4106" s="1114"/>
      <c r="AC4106" s="1117"/>
      <c r="AD4106" s="1115"/>
      <c r="AE4106" s="1115"/>
      <c r="AF4106" s="1115"/>
      <c r="AG4106" s="1115"/>
      <c r="AH4106" s="1115"/>
      <c r="AI4106" s="1115"/>
      <c r="AJ4106" s="1117"/>
      <c r="AK4106" s="1118"/>
      <c r="AL4106" s="1115"/>
      <c r="AM4106" s="1115"/>
      <c r="AN4106" s="1115"/>
      <c r="AO4106" s="1115"/>
      <c r="AP4106" s="1115"/>
      <c r="AQ4106" s="1115"/>
      <c r="AR4106" s="1115"/>
      <c r="AS4106" s="1117"/>
      <c r="AT4106" s="1075"/>
      <c r="AU4106" s="1193"/>
      <c r="AV4106" s="330"/>
      <c r="AW4106" s="331"/>
      <c r="AX4106" s="331"/>
      <c r="AY4106" s="331"/>
      <c r="AZ4106" s="331"/>
      <c r="BA4106" s="331"/>
      <c r="BB4106" s="331"/>
      <c r="BC4106" s="331"/>
      <c r="BD4106" s="331"/>
      <c r="BE4106" s="333"/>
      <c r="BF4106" s="330"/>
      <c r="BG4106" s="333"/>
      <c r="BH4106" s="1119"/>
      <c r="BI4106" s="319"/>
      <c r="BJ4106" s="319"/>
      <c r="BK4106" s="319"/>
      <c r="BL4106" s="319"/>
      <c r="BM4106" s="319"/>
      <c r="BN4106" s="319"/>
      <c r="BO4106" s="319"/>
      <c r="BP4106" s="953"/>
      <c r="BQ4106" s="319"/>
      <c r="BR4106" s="319"/>
      <c r="BS4106" s="330"/>
      <c r="BT4106" s="331"/>
      <c r="BU4106" s="920"/>
      <c r="BV4106" s="903"/>
      <c r="BW4106" s="908"/>
      <c r="BX4106" s="908"/>
      <c r="BY4106" s="331"/>
      <c r="BZ4106" s="331"/>
      <c r="CA4106" s="462"/>
      <c r="CB4106" s="319"/>
      <c r="CC4106" s="319"/>
      <c r="CD4106" s="319"/>
      <c r="CE4106" s="319"/>
      <c r="CF4106" s="319"/>
      <c r="CG4106" s="319"/>
      <c r="CH4106" s="318"/>
      <c r="CI4106" s="319"/>
      <c r="CJ4106" s="319"/>
      <c r="CK4106" s="342"/>
      <c r="CL4106" s="333"/>
      <c r="CM4106" s="1079"/>
      <c r="CN4106" s="1005"/>
      <c r="CO4106" s="1005"/>
      <c r="CP4106" s="1005"/>
    </row>
    <row r="4107">
      <c r="A4107" s="1257"/>
      <c r="B4107" s="1113"/>
      <c r="C4107" s="1107"/>
      <c r="D4107" s="103"/>
      <c r="E4107" s="1137"/>
      <c r="F4107" s="112"/>
      <c r="G4107" s="1110"/>
      <c r="H4107" s="1138"/>
      <c r="I4107" s="1138"/>
      <c r="J4107" s="1139"/>
      <c r="K4107" s="1111"/>
      <c r="L4107" s="1112"/>
      <c r="M4107" s="1113"/>
      <c r="N4107" s="110"/>
      <c r="O4107" s="1140"/>
      <c r="P4107" s="1115"/>
      <c r="Q4107" s="1116"/>
      <c r="R4107" s="1141"/>
      <c r="S4107" s="1113"/>
      <c r="T4107" s="1143"/>
      <c r="U4107" s="1108"/>
      <c r="V4107" s="1108"/>
      <c r="W4107" s="1108"/>
      <c r="X4107" s="1108"/>
      <c r="Y4107" s="1108"/>
      <c r="Z4107" s="1114"/>
      <c r="AA4107" s="1114"/>
      <c r="AB4107" s="1114"/>
      <c r="AC4107" s="1117"/>
      <c r="AD4107" s="1115"/>
      <c r="AE4107" s="1115"/>
      <c r="AF4107" s="1115"/>
      <c r="AG4107" s="1115"/>
      <c r="AH4107" s="1115"/>
      <c r="AI4107" s="1115"/>
      <c r="AJ4107" s="1117"/>
      <c r="AK4107" s="1118"/>
      <c r="AL4107" s="1115"/>
      <c r="AM4107" s="1115"/>
      <c r="AN4107" s="1115"/>
      <c r="AO4107" s="1115"/>
      <c r="AP4107" s="1115"/>
      <c r="AQ4107" s="1115"/>
      <c r="AR4107" s="1115"/>
      <c r="AS4107" s="1117"/>
      <c r="AT4107" s="1075"/>
      <c r="AU4107" s="1193"/>
      <c r="AV4107" s="330"/>
      <c r="AW4107" s="331"/>
      <c r="AX4107" s="331"/>
      <c r="AY4107" s="331"/>
      <c r="AZ4107" s="331"/>
      <c r="BA4107" s="331"/>
      <c r="BB4107" s="331"/>
      <c r="BC4107" s="331"/>
      <c r="BD4107" s="331"/>
      <c r="BE4107" s="333"/>
      <c r="BF4107" s="330"/>
      <c r="BG4107" s="333"/>
      <c r="BH4107" s="1119"/>
      <c r="BI4107" s="319"/>
      <c r="BJ4107" s="319"/>
      <c r="BK4107" s="319"/>
      <c r="BL4107" s="319"/>
      <c r="BM4107" s="319"/>
      <c r="BN4107" s="319"/>
      <c r="BO4107" s="319"/>
      <c r="BP4107" s="953"/>
      <c r="BQ4107" s="319"/>
      <c r="BR4107" s="319"/>
      <c r="BS4107" s="330"/>
      <c r="BT4107" s="331"/>
      <c r="BU4107" s="920"/>
      <c r="BV4107" s="903"/>
      <c r="BW4107" s="908"/>
      <c r="BX4107" s="908"/>
      <c r="BY4107" s="331"/>
      <c r="BZ4107" s="331"/>
      <c r="CA4107" s="462"/>
      <c r="CB4107" s="319"/>
      <c r="CC4107" s="319"/>
      <c r="CD4107" s="319"/>
      <c r="CE4107" s="319"/>
      <c r="CF4107" s="319"/>
      <c r="CG4107" s="319"/>
      <c r="CH4107" s="318"/>
      <c r="CI4107" s="319"/>
      <c r="CJ4107" s="319"/>
      <c r="CK4107" s="342"/>
      <c r="CL4107" s="333"/>
      <c r="CM4107" s="1079"/>
      <c r="CN4107" s="1005"/>
      <c r="CO4107" s="1005"/>
      <c r="CP4107" s="1005"/>
    </row>
    <row r="4108">
      <c r="A4108" s="1257"/>
      <c r="B4108" s="1113"/>
      <c r="C4108" s="1107"/>
      <c r="D4108" s="103"/>
      <c r="E4108" s="1137"/>
      <c r="F4108" s="112"/>
      <c r="G4108" s="1110"/>
      <c r="H4108" s="1138"/>
      <c r="I4108" s="1138"/>
      <c r="J4108" s="1139"/>
      <c r="K4108" s="1111"/>
      <c r="L4108" s="1112"/>
      <c r="M4108" s="1113"/>
      <c r="N4108" s="110"/>
      <c r="O4108" s="1140"/>
      <c r="P4108" s="1115"/>
      <c r="Q4108" s="1116"/>
      <c r="R4108" s="1141"/>
      <c r="S4108" s="1113"/>
      <c r="T4108" s="1143"/>
      <c r="U4108" s="1108"/>
      <c r="V4108" s="1108"/>
      <c r="W4108" s="1108"/>
      <c r="X4108" s="1108"/>
      <c r="Y4108" s="1108"/>
      <c r="Z4108" s="1114"/>
      <c r="AA4108" s="1114"/>
      <c r="AB4108" s="1114"/>
      <c r="AC4108" s="1117"/>
      <c r="AD4108" s="1115"/>
      <c r="AE4108" s="1115"/>
      <c r="AF4108" s="1115"/>
      <c r="AG4108" s="1115"/>
      <c r="AH4108" s="1115"/>
      <c r="AI4108" s="1115"/>
      <c r="AJ4108" s="1117"/>
      <c r="AK4108" s="1118"/>
      <c r="AL4108" s="1115"/>
      <c r="AM4108" s="1115"/>
      <c r="AN4108" s="1115"/>
      <c r="AO4108" s="1115"/>
      <c r="AP4108" s="1115"/>
      <c r="AQ4108" s="1115"/>
      <c r="AR4108" s="1115"/>
      <c r="AS4108" s="1117"/>
      <c r="AT4108" s="1075"/>
      <c r="AU4108" s="1193"/>
      <c r="AV4108" s="330"/>
      <c r="AW4108" s="331"/>
      <c r="AX4108" s="331"/>
      <c r="AY4108" s="331"/>
      <c r="AZ4108" s="331"/>
      <c r="BA4108" s="331"/>
      <c r="BB4108" s="331"/>
      <c r="BC4108" s="331"/>
      <c r="BD4108" s="331"/>
      <c r="BE4108" s="333"/>
      <c r="BF4108" s="330"/>
      <c r="BG4108" s="333"/>
      <c r="BH4108" s="1119"/>
      <c r="BI4108" s="319"/>
      <c r="BJ4108" s="319"/>
      <c r="BK4108" s="319"/>
      <c r="BL4108" s="319"/>
      <c r="BM4108" s="319"/>
      <c r="BN4108" s="319"/>
      <c r="BO4108" s="319"/>
      <c r="BP4108" s="953"/>
      <c r="BQ4108" s="319"/>
      <c r="BR4108" s="319"/>
      <c r="BS4108" s="330"/>
      <c r="BT4108" s="331"/>
      <c r="BU4108" s="920"/>
      <c r="BV4108" s="903"/>
      <c r="BW4108" s="908"/>
      <c r="BX4108" s="908"/>
      <c r="BY4108" s="331"/>
      <c r="BZ4108" s="331"/>
      <c r="CA4108" s="462"/>
      <c r="CB4108" s="319"/>
      <c r="CC4108" s="319"/>
      <c r="CD4108" s="319"/>
      <c r="CE4108" s="319"/>
      <c r="CF4108" s="319"/>
      <c r="CG4108" s="319"/>
      <c r="CH4108" s="318"/>
      <c r="CI4108" s="319"/>
      <c r="CJ4108" s="319"/>
      <c r="CK4108" s="342"/>
      <c r="CL4108" s="333"/>
      <c r="CM4108" s="1079"/>
      <c r="CN4108" s="1005"/>
      <c r="CO4108" s="1005"/>
      <c r="CP4108" s="1005"/>
    </row>
    <row r="4109">
      <c r="A4109" s="1257"/>
      <c r="B4109" s="1113"/>
      <c r="C4109" s="1107"/>
      <c r="D4109" s="103"/>
      <c r="E4109" s="1137"/>
      <c r="F4109" s="112"/>
      <c r="G4109" s="1110"/>
      <c r="H4109" s="1138"/>
      <c r="I4109" s="1138"/>
      <c r="J4109" s="1139"/>
      <c r="K4109" s="1111"/>
      <c r="L4109" s="1112"/>
      <c r="M4109" s="1113"/>
      <c r="N4109" s="110"/>
      <c r="O4109" s="1140"/>
      <c r="P4109" s="1115"/>
      <c r="Q4109" s="1116"/>
      <c r="R4109" s="1141"/>
      <c r="S4109" s="1113"/>
      <c r="T4109" s="1143"/>
      <c r="U4109" s="1108"/>
      <c r="V4109" s="1108"/>
      <c r="W4109" s="1108"/>
      <c r="X4109" s="1108"/>
      <c r="Y4109" s="1108"/>
      <c r="Z4109" s="1114"/>
      <c r="AA4109" s="1114"/>
      <c r="AB4109" s="1114"/>
      <c r="AC4109" s="1117"/>
      <c r="AD4109" s="1115"/>
      <c r="AE4109" s="1115"/>
      <c r="AF4109" s="1115"/>
      <c r="AG4109" s="1115"/>
      <c r="AH4109" s="1115"/>
      <c r="AI4109" s="1115"/>
      <c r="AJ4109" s="1117"/>
      <c r="AK4109" s="1118"/>
      <c r="AL4109" s="1115"/>
      <c r="AM4109" s="1115"/>
      <c r="AN4109" s="1115"/>
      <c r="AO4109" s="1115"/>
      <c r="AP4109" s="1115"/>
      <c r="AQ4109" s="1115"/>
      <c r="AR4109" s="1115"/>
      <c r="AS4109" s="1117"/>
      <c r="AT4109" s="1075"/>
      <c r="AU4109" s="1193"/>
      <c r="AV4109" s="330"/>
      <c r="AW4109" s="331"/>
      <c r="AX4109" s="331"/>
      <c r="AY4109" s="331"/>
      <c r="AZ4109" s="331"/>
      <c r="BA4109" s="331"/>
      <c r="BB4109" s="331"/>
      <c r="BC4109" s="331"/>
      <c r="BD4109" s="331"/>
      <c r="BE4109" s="333"/>
      <c r="BF4109" s="330"/>
      <c r="BG4109" s="333"/>
      <c r="BH4109" s="1119"/>
      <c r="BI4109" s="319"/>
      <c r="BJ4109" s="319"/>
      <c r="BK4109" s="319"/>
      <c r="BL4109" s="319"/>
      <c r="BM4109" s="319"/>
      <c r="BN4109" s="319"/>
      <c r="BO4109" s="319"/>
      <c r="BP4109" s="953"/>
      <c r="BQ4109" s="319"/>
      <c r="BR4109" s="319"/>
      <c r="BS4109" s="330"/>
      <c r="BT4109" s="331"/>
      <c r="BU4109" s="920"/>
      <c r="BV4109" s="903"/>
      <c r="BW4109" s="908"/>
      <c r="BX4109" s="908"/>
      <c r="BY4109" s="331"/>
      <c r="BZ4109" s="331"/>
      <c r="CA4109" s="462"/>
      <c r="CB4109" s="319"/>
      <c r="CC4109" s="319"/>
      <c r="CD4109" s="319"/>
      <c r="CE4109" s="319"/>
      <c r="CF4109" s="319"/>
      <c r="CG4109" s="319"/>
      <c r="CH4109" s="318"/>
      <c r="CI4109" s="319"/>
      <c r="CJ4109" s="319"/>
      <c r="CK4109" s="342"/>
      <c r="CL4109" s="333"/>
      <c r="CM4109" s="1079"/>
      <c r="CN4109" s="1005"/>
      <c r="CO4109" s="1005"/>
      <c r="CP4109" s="1005"/>
    </row>
    <row r="4110">
      <c r="A4110" s="1257"/>
      <c r="B4110" s="1113"/>
      <c r="C4110" s="1107"/>
      <c r="D4110" s="103"/>
      <c r="E4110" s="1137"/>
      <c r="F4110" s="112"/>
      <c r="G4110" s="1110"/>
      <c r="H4110" s="1138"/>
      <c r="I4110" s="1138"/>
      <c r="J4110" s="1139"/>
      <c r="K4110" s="1111"/>
      <c r="L4110" s="1112"/>
      <c r="M4110" s="1113"/>
      <c r="N4110" s="110"/>
      <c r="O4110" s="1140"/>
      <c r="P4110" s="1115"/>
      <c r="Q4110" s="1116"/>
      <c r="R4110" s="1141"/>
      <c r="S4110" s="1113"/>
      <c r="T4110" s="1143"/>
      <c r="U4110" s="1108"/>
      <c r="V4110" s="1108"/>
      <c r="W4110" s="1108"/>
      <c r="X4110" s="1108"/>
      <c r="Y4110" s="1108"/>
      <c r="Z4110" s="1114"/>
      <c r="AA4110" s="1114"/>
      <c r="AB4110" s="1114"/>
      <c r="AC4110" s="1117"/>
      <c r="AD4110" s="1115"/>
      <c r="AE4110" s="1115"/>
      <c r="AF4110" s="1115"/>
      <c r="AG4110" s="1115"/>
      <c r="AH4110" s="1115"/>
      <c r="AI4110" s="1115"/>
      <c r="AJ4110" s="1117"/>
      <c r="AK4110" s="1118"/>
      <c r="AL4110" s="1115"/>
      <c r="AM4110" s="1115"/>
      <c r="AN4110" s="1115"/>
      <c r="AO4110" s="1115"/>
      <c r="AP4110" s="1115"/>
      <c r="AQ4110" s="1115"/>
      <c r="AR4110" s="1115"/>
      <c r="AS4110" s="1117"/>
      <c r="AT4110" s="1075"/>
      <c r="AU4110" s="1193"/>
      <c r="AV4110" s="330"/>
      <c r="AW4110" s="331"/>
      <c r="AX4110" s="331"/>
      <c r="AY4110" s="331"/>
      <c r="AZ4110" s="331"/>
      <c r="BA4110" s="331"/>
      <c r="BB4110" s="331"/>
      <c r="BC4110" s="331"/>
      <c r="BD4110" s="331"/>
      <c r="BE4110" s="333"/>
      <c r="BF4110" s="330"/>
      <c r="BG4110" s="333"/>
      <c r="BH4110" s="1119"/>
      <c r="BI4110" s="319"/>
      <c r="BJ4110" s="319"/>
      <c r="BK4110" s="319"/>
      <c r="BL4110" s="319"/>
      <c r="BM4110" s="319"/>
      <c r="BN4110" s="319"/>
      <c r="BO4110" s="319"/>
      <c r="BP4110" s="953"/>
      <c r="BQ4110" s="319"/>
      <c r="BR4110" s="319"/>
      <c r="BS4110" s="330"/>
      <c r="BT4110" s="331"/>
      <c r="BU4110" s="920"/>
      <c r="BV4110" s="903"/>
      <c r="BW4110" s="908"/>
      <c r="BX4110" s="908"/>
      <c r="BY4110" s="331"/>
      <c r="BZ4110" s="331"/>
      <c r="CA4110" s="462"/>
      <c r="CB4110" s="319"/>
      <c r="CC4110" s="319"/>
      <c r="CD4110" s="319"/>
      <c r="CE4110" s="319"/>
      <c r="CF4110" s="319"/>
      <c r="CG4110" s="319"/>
      <c r="CH4110" s="318"/>
      <c r="CI4110" s="319"/>
      <c r="CJ4110" s="319"/>
      <c r="CK4110" s="342"/>
      <c r="CL4110" s="333"/>
      <c r="CM4110" s="1079"/>
      <c r="CN4110" s="1005"/>
      <c r="CO4110" s="1005"/>
      <c r="CP4110" s="1005"/>
    </row>
    <row r="4111">
      <c r="A4111" s="1257"/>
      <c r="B4111" s="1113"/>
      <c r="C4111" s="1107"/>
      <c r="D4111" s="103"/>
      <c r="E4111" s="1137"/>
      <c r="F4111" s="112"/>
      <c r="G4111" s="1110"/>
      <c r="H4111" s="1138"/>
      <c r="I4111" s="1138"/>
      <c r="J4111" s="1139"/>
      <c r="K4111" s="1111"/>
      <c r="L4111" s="1112"/>
      <c r="M4111" s="1113"/>
      <c r="N4111" s="110"/>
      <c r="O4111" s="1140"/>
      <c r="P4111" s="1115"/>
      <c r="Q4111" s="1116"/>
      <c r="R4111" s="1141"/>
      <c r="S4111" s="1113"/>
      <c r="T4111" s="1143"/>
      <c r="U4111" s="1108"/>
      <c r="V4111" s="1108"/>
      <c r="W4111" s="1108"/>
      <c r="X4111" s="1108"/>
      <c r="Y4111" s="1108"/>
      <c r="Z4111" s="1114"/>
      <c r="AA4111" s="1114"/>
      <c r="AB4111" s="1114"/>
      <c r="AC4111" s="1117"/>
      <c r="AD4111" s="1115"/>
      <c r="AE4111" s="1115"/>
      <c r="AF4111" s="1115"/>
      <c r="AG4111" s="1115"/>
      <c r="AH4111" s="1115"/>
      <c r="AI4111" s="1115"/>
      <c r="AJ4111" s="1117"/>
      <c r="AK4111" s="1118"/>
      <c r="AL4111" s="1115"/>
      <c r="AM4111" s="1115"/>
      <c r="AN4111" s="1115"/>
      <c r="AO4111" s="1115"/>
      <c r="AP4111" s="1115"/>
      <c r="AQ4111" s="1115"/>
      <c r="AR4111" s="1115"/>
      <c r="AS4111" s="1117"/>
      <c r="AT4111" s="1075"/>
      <c r="AU4111" s="1193"/>
      <c r="AV4111" s="330"/>
      <c r="AW4111" s="331"/>
      <c r="AX4111" s="331"/>
      <c r="AY4111" s="331"/>
      <c r="AZ4111" s="331"/>
      <c r="BA4111" s="331"/>
      <c r="BB4111" s="331"/>
      <c r="BC4111" s="331"/>
      <c r="BD4111" s="331"/>
      <c r="BE4111" s="333"/>
      <c r="BF4111" s="330"/>
      <c r="BG4111" s="333"/>
      <c r="BH4111" s="1119"/>
      <c r="BI4111" s="319"/>
      <c r="BJ4111" s="319"/>
      <c r="BK4111" s="319"/>
      <c r="BL4111" s="319"/>
      <c r="BM4111" s="319"/>
      <c r="BN4111" s="319"/>
      <c r="BO4111" s="319"/>
      <c r="BP4111" s="953"/>
      <c r="BQ4111" s="319"/>
      <c r="BR4111" s="319"/>
      <c r="BS4111" s="330"/>
      <c r="BT4111" s="331"/>
      <c r="BU4111" s="920"/>
      <c r="BV4111" s="903"/>
      <c r="BW4111" s="908"/>
      <c r="BX4111" s="908"/>
      <c r="BY4111" s="331"/>
      <c r="BZ4111" s="331"/>
      <c r="CA4111" s="462"/>
      <c r="CB4111" s="319"/>
      <c r="CC4111" s="319"/>
      <c r="CD4111" s="319"/>
      <c r="CE4111" s="319"/>
      <c r="CF4111" s="319"/>
      <c r="CG4111" s="319"/>
      <c r="CH4111" s="318"/>
      <c r="CI4111" s="319"/>
      <c r="CJ4111" s="319"/>
      <c r="CK4111" s="342"/>
      <c r="CL4111" s="333"/>
      <c r="CM4111" s="1079"/>
      <c r="CN4111" s="1005"/>
      <c r="CO4111" s="1005"/>
      <c r="CP4111" s="1005"/>
    </row>
    <row r="4112">
      <c r="A4112" s="1257"/>
      <c r="B4112" s="1113"/>
      <c r="C4112" s="1107"/>
      <c r="D4112" s="103"/>
      <c r="E4112" s="1137"/>
      <c r="F4112" s="112"/>
      <c r="G4112" s="1110"/>
      <c r="H4112" s="1138"/>
      <c r="I4112" s="1138"/>
      <c r="J4112" s="1139"/>
      <c r="K4112" s="1111"/>
      <c r="L4112" s="1112"/>
      <c r="M4112" s="1113"/>
      <c r="N4112" s="110"/>
      <c r="O4112" s="1140"/>
      <c r="P4112" s="1115"/>
      <c r="Q4112" s="1116"/>
      <c r="R4112" s="1141"/>
      <c r="S4112" s="1113"/>
      <c r="T4112" s="1143"/>
      <c r="U4112" s="1108"/>
      <c r="V4112" s="1108"/>
      <c r="W4112" s="1108"/>
      <c r="X4112" s="1108"/>
      <c r="Y4112" s="1108"/>
      <c r="Z4112" s="1114"/>
      <c r="AA4112" s="1114"/>
      <c r="AB4112" s="1114"/>
      <c r="AC4112" s="1117"/>
      <c r="AD4112" s="1115"/>
      <c r="AE4112" s="1115"/>
      <c r="AF4112" s="1115"/>
      <c r="AG4112" s="1115"/>
      <c r="AH4112" s="1115"/>
      <c r="AI4112" s="1115"/>
      <c r="AJ4112" s="1117"/>
      <c r="AK4112" s="1118"/>
      <c r="AL4112" s="1115"/>
      <c r="AM4112" s="1115"/>
      <c r="AN4112" s="1115"/>
      <c r="AO4112" s="1115"/>
      <c r="AP4112" s="1115"/>
      <c r="AQ4112" s="1115"/>
      <c r="AR4112" s="1115"/>
      <c r="AS4112" s="1117"/>
      <c r="AT4112" s="1075"/>
      <c r="AU4112" s="1193"/>
      <c r="AV4112" s="330"/>
      <c r="AW4112" s="331"/>
      <c r="AX4112" s="331"/>
      <c r="AY4112" s="331"/>
      <c r="AZ4112" s="331"/>
      <c r="BA4112" s="331"/>
      <c r="BB4112" s="331"/>
      <c r="BC4112" s="331"/>
      <c r="BD4112" s="331"/>
      <c r="BE4112" s="333"/>
      <c r="BF4112" s="330"/>
      <c r="BG4112" s="333"/>
      <c r="BH4112" s="1119"/>
      <c r="BI4112" s="319"/>
      <c r="BJ4112" s="319"/>
      <c r="BK4112" s="319"/>
      <c r="BL4112" s="319"/>
      <c r="BM4112" s="319"/>
      <c r="BN4112" s="319"/>
      <c r="BO4112" s="319"/>
      <c r="BP4112" s="953"/>
      <c r="BQ4112" s="319"/>
      <c r="BR4112" s="319"/>
      <c r="BS4112" s="330"/>
      <c r="BT4112" s="331"/>
      <c r="BU4112" s="920"/>
      <c r="BV4112" s="903"/>
      <c r="BW4112" s="908"/>
      <c r="BX4112" s="908"/>
      <c r="BY4112" s="331"/>
      <c r="BZ4112" s="331"/>
      <c r="CA4112" s="462"/>
      <c r="CB4112" s="319"/>
      <c r="CC4112" s="319"/>
      <c r="CD4112" s="319"/>
      <c r="CE4112" s="319"/>
      <c r="CF4112" s="319"/>
      <c r="CG4112" s="319"/>
      <c r="CH4112" s="318"/>
      <c r="CI4112" s="319"/>
      <c r="CJ4112" s="319"/>
      <c r="CK4112" s="342"/>
      <c r="CL4112" s="333"/>
      <c r="CM4112" s="1079"/>
      <c r="CN4112" s="1005"/>
      <c r="CO4112" s="1005"/>
      <c r="CP4112" s="1005"/>
    </row>
    <row r="4113">
      <c r="A4113" s="1257"/>
      <c r="B4113" s="1113"/>
      <c r="C4113" s="1107"/>
      <c r="D4113" s="103"/>
      <c r="E4113" s="1137"/>
      <c r="F4113" s="112"/>
      <c r="G4113" s="1110"/>
      <c r="H4113" s="1138"/>
      <c r="I4113" s="1138"/>
      <c r="J4113" s="1139"/>
      <c r="K4113" s="1111"/>
      <c r="L4113" s="1112"/>
      <c r="M4113" s="1113"/>
      <c r="N4113" s="110"/>
      <c r="O4113" s="1140"/>
      <c r="P4113" s="1115"/>
      <c r="Q4113" s="1116"/>
      <c r="R4113" s="1141"/>
      <c r="S4113" s="1113"/>
      <c r="T4113" s="1143"/>
      <c r="U4113" s="1108"/>
      <c r="V4113" s="1108"/>
      <c r="W4113" s="1108"/>
      <c r="X4113" s="1108"/>
      <c r="Y4113" s="1108"/>
      <c r="Z4113" s="1114"/>
      <c r="AA4113" s="1114"/>
      <c r="AB4113" s="1114"/>
      <c r="AC4113" s="1117"/>
      <c r="AD4113" s="1115"/>
      <c r="AE4113" s="1115"/>
      <c r="AF4113" s="1115"/>
      <c r="AG4113" s="1115"/>
      <c r="AH4113" s="1115"/>
      <c r="AI4113" s="1115"/>
      <c r="AJ4113" s="1117"/>
      <c r="AK4113" s="1118"/>
      <c r="AL4113" s="1115"/>
      <c r="AM4113" s="1115"/>
      <c r="AN4113" s="1115"/>
      <c r="AO4113" s="1115"/>
      <c r="AP4113" s="1115"/>
      <c r="AQ4113" s="1115"/>
      <c r="AR4113" s="1115"/>
      <c r="AS4113" s="1117"/>
      <c r="AT4113" s="1075"/>
      <c r="AU4113" s="1193"/>
      <c r="AV4113" s="330"/>
      <c r="AW4113" s="331"/>
      <c r="AX4113" s="331"/>
      <c r="AY4113" s="331"/>
      <c r="AZ4113" s="331"/>
      <c r="BA4113" s="331"/>
      <c r="BB4113" s="331"/>
      <c r="BC4113" s="331"/>
      <c r="BD4113" s="331"/>
      <c r="BE4113" s="333"/>
      <c r="BF4113" s="330"/>
      <c r="BG4113" s="333"/>
      <c r="BH4113" s="1119"/>
      <c r="BI4113" s="319"/>
      <c r="BJ4113" s="319"/>
      <c r="BK4113" s="319"/>
      <c r="BL4113" s="319"/>
      <c r="BM4113" s="319"/>
      <c r="BN4113" s="319"/>
      <c r="BO4113" s="319"/>
      <c r="BP4113" s="953"/>
      <c r="BQ4113" s="319"/>
      <c r="BR4113" s="319"/>
      <c r="BS4113" s="330"/>
      <c r="BT4113" s="331"/>
      <c r="BU4113" s="920"/>
      <c r="BV4113" s="903"/>
      <c r="BW4113" s="908"/>
      <c r="BX4113" s="908"/>
      <c r="BY4113" s="331"/>
      <c r="BZ4113" s="331"/>
      <c r="CA4113" s="462"/>
      <c r="CB4113" s="319"/>
      <c r="CC4113" s="319"/>
      <c r="CD4113" s="319"/>
      <c r="CE4113" s="319"/>
      <c r="CF4113" s="319"/>
      <c r="CG4113" s="319"/>
      <c r="CH4113" s="318"/>
      <c r="CI4113" s="319"/>
      <c r="CJ4113" s="319"/>
      <c r="CK4113" s="342"/>
      <c r="CL4113" s="333"/>
      <c r="CM4113" s="1079"/>
      <c r="CN4113" s="1005"/>
      <c r="CO4113" s="1005"/>
      <c r="CP4113" s="1005"/>
    </row>
    <row r="4114">
      <c r="A4114" s="1257"/>
      <c r="B4114" s="1113"/>
      <c r="C4114" s="1107"/>
      <c r="D4114" s="103"/>
      <c r="E4114" s="1137"/>
      <c r="F4114" s="112"/>
      <c r="G4114" s="1110"/>
      <c r="H4114" s="1138"/>
      <c r="I4114" s="1138"/>
      <c r="J4114" s="1139"/>
      <c r="K4114" s="1111"/>
      <c r="L4114" s="1112"/>
      <c r="M4114" s="1113"/>
      <c r="N4114" s="110"/>
      <c r="O4114" s="1140"/>
      <c r="P4114" s="1115"/>
      <c r="Q4114" s="1116"/>
      <c r="R4114" s="1141"/>
      <c r="S4114" s="1113"/>
      <c r="T4114" s="1143"/>
      <c r="U4114" s="1108"/>
      <c r="V4114" s="1108"/>
      <c r="W4114" s="1108"/>
      <c r="X4114" s="1108"/>
      <c r="Y4114" s="1108"/>
      <c r="Z4114" s="1114"/>
      <c r="AA4114" s="1114"/>
      <c r="AB4114" s="1114"/>
      <c r="AC4114" s="1117"/>
      <c r="AD4114" s="1115"/>
      <c r="AE4114" s="1115"/>
      <c r="AF4114" s="1115"/>
      <c r="AG4114" s="1115"/>
      <c r="AH4114" s="1115"/>
      <c r="AI4114" s="1115"/>
      <c r="AJ4114" s="1117"/>
      <c r="AK4114" s="1118"/>
      <c r="AL4114" s="1115"/>
      <c r="AM4114" s="1115"/>
      <c r="AN4114" s="1115"/>
      <c r="AO4114" s="1115"/>
      <c r="AP4114" s="1115"/>
      <c r="AQ4114" s="1115"/>
      <c r="AR4114" s="1115"/>
      <c r="AS4114" s="1117"/>
      <c r="AT4114" s="1075"/>
      <c r="AU4114" s="1193"/>
      <c r="AV4114" s="330"/>
      <c r="AW4114" s="331"/>
      <c r="AX4114" s="331"/>
      <c r="AY4114" s="331"/>
      <c r="AZ4114" s="331"/>
      <c r="BA4114" s="331"/>
      <c r="BB4114" s="331"/>
      <c r="BC4114" s="331"/>
      <c r="BD4114" s="331"/>
      <c r="BE4114" s="333"/>
      <c r="BF4114" s="330"/>
      <c r="BG4114" s="333"/>
      <c r="BH4114" s="1119"/>
      <c r="BI4114" s="319"/>
      <c r="BJ4114" s="319"/>
      <c r="BK4114" s="319"/>
      <c r="BL4114" s="319"/>
      <c r="BM4114" s="319"/>
      <c r="BN4114" s="319"/>
      <c r="BO4114" s="319"/>
      <c r="BP4114" s="953"/>
      <c r="BQ4114" s="319"/>
      <c r="BR4114" s="319"/>
      <c r="BS4114" s="330"/>
      <c r="BT4114" s="331"/>
      <c r="BU4114" s="920"/>
      <c r="BV4114" s="903"/>
      <c r="BW4114" s="908"/>
      <c r="BX4114" s="908"/>
      <c r="BY4114" s="331"/>
      <c r="BZ4114" s="331"/>
      <c r="CA4114" s="462"/>
      <c r="CB4114" s="319"/>
      <c r="CC4114" s="319"/>
      <c r="CD4114" s="319"/>
      <c r="CE4114" s="319"/>
      <c r="CF4114" s="319"/>
      <c r="CG4114" s="319"/>
      <c r="CH4114" s="318"/>
      <c r="CI4114" s="319"/>
      <c r="CJ4114" s="319"/>
      <c r="CK4114" s="342"/>
      <c r="CL4114" s="333"/>
      <c r="CM4114" s="1079"/>
      <c r="CN4114" s="1005"/>
      <c r="CO4114" s="1005"/>
      <c r="CP4114" s="1005"/>
    </row>
    <row r="4115">
      <c r="A4115" s="1257"/>
      <c r="B4115" s="1113"/>
      <c r="C4115" s="1107"/>
      <c r="D4115" s="103"/>
      <c r="E4115" s="1137"/>
      <c r="F4115" s="112"/>
      <c r="G4115" s="1110"/>
      <c r="H4115" s="1138"/>
      <c r="I4115" s="1138"/>
      <c r="J4115" s="1139"/>
      <c r="K4115" s="1111"/>
      <c r="L4115" s="1112"/>
      <c r="M4115" s="1113"/>
      <c r="N4115" s="110"/>
      <c r="O4115" s="1140"/>
      <c r="P4115" s="1115"/>
      <c r="Q4115" s="1116"/>
      <c r="R4115" s="1141"/>
      <c r="S4115" s="1113"/>
      <c r="T4115" s="1143"/>
      <c r="U4115" s="1108"/>
      <c r="V4115" s="1108"/>
      <c r="W4115" s="1108"/>
      <c r="X4115" s="1108"/>
      <c r="Y4115" s="1108"/>
      <c r="Z4115" s="1114"/>
      <c r="AA4115" s="1114"/>
      <c r="AB4115" s="1114"/>
      <c r="AC4115" s="1117"/>
      <c r="AD4115" s="1115"/>
      <c r="AE4115" s="1115"/>
      <c r="AF4115" s="1115"/>
      <c r="AG4115" s="1115"/>
      <c r="AH4115" s="1115"/>
      <c r="AI4115" s="1115"/>
      <c r="AJ4115" s="1117"/>
      <c r="AK4115" s="1118"/>
      <c r="AL4115" s="1115"/>
      <c r="AM4115" s="1115"/>
      <c r="AN4115" s="1115"/>
      <c r="AO4115" s="1115"/>
      <c r="AP4115" s="1115"/>
      <c r="AQ4115" s="1115"/>
      <c r="AR4115" s="1115"/>
      <c r="AS4115" s="1117"/>
      <c r="AT4115" s="1075"/>
      <c r="AU4115" s="1193"/>
      <c r="AV4115" s="330"/>
      <c r="AW4115" s="331"/>
      <c r="AX4115" s="331"/>
      <c r="AY4115" s="331"/>
      <c r="AZ4115" s="331"/>
      <c r="BA4115" s="331"/>
      <c r="BB4115" s="331"/>
      <c r="BC4115" s="331"/>
      <c r="BD4115" s="331"/>
      <c r="BE4115" s="333"/>
      <c r="BF4115" s="330"/>
      <c r="BG4115" s="333"/>
      <c r="BH4115" s="1119"/>
      <c r="BI4115" s="319"/>
      <c r="BJ4115" s="319"/>
      <c r="BK4115" s="319"/>
      <c r="BL4115" s="319"/>
      <c r="BM4115" s="319"/>
      <c r="BN4115" s="319"/>
      <c r="BO4115" s="319"/>
      <c r="BP4115" s="953"/>
      <c r="BQ4115" s="319"/>
      <c r="BR4115" s="319"/>
      <c r="BS4115" s="330"/>
      <c r="BT4115" s="331"/>
      <c r="BU4115" s="920"/>
      <c r="BV4115" s="903"/>
      <c r="BW4115" s="908"/>
      <c r="BX4115" s="908"/>
      <c r="BY4115" s="331"/>
      <c r="BZ4115" s="331"/>
      <c r="CA4115" s="462"/>
      <c r="CB4115" s="319"/>
      <c r="CC4115" s="319"/>
      <c r="CD4115" s="319"/>
      <c r="CE4115" s="319"/>
      <c r="CF4115" s="319"/>
      <c r="CG4115" s="319"/>
      <c r="CH4115" s="318"/>
      <c r="CI4115" s="319"/>
      <c r="CJ4115" s="319"/>
      <c r="CK4115" s="342"/>
      <c r="CL4115" s="333"/>
      <c r="CM4115" s="1079"/>
      <c r="CN4115" s="1005"/>
      <c r="CO4115" s="1005"/>
      <c r="CP4115" s="1005"/>
    </row>
    <row r="4116">
      <c r="A4116" s="1257"/>
      <c r="B4116" s="1113"/>
      <c r="C4116" s="1107"/>
      <c r="D4116" s="103"/>
      <c r="E4116" s="1137"/>
      <c r="F4116" s="112"/>
      <c r="G4116" s="1110"/>
      <c r="H4116" s="1138"/>
      <c r="I4116" s="1138"/>
      <c r="J4116" s="1139"/>
      <c r="K4116" s="1111"/>
      <c r="L4116" s="1112"/>
      <c r="M4116" s="1113"/>
      <c r="N4116" s="110"/>
      <c r="O4116" s="1140"/>
      <c r="P4116" s="1115"/>
      <c r="Q4116" s="1116"/>
      <c r="R4116" s="1141"/>
      <c r="S4116" s="1113"/>
      <c r="T4116" s="1143"/>
      <c r="U4116" s="1108"/>
      <c r="V4116" s="1108"/>
      <c r="W4116" s="1108"/>
      <c r="X4116" s="1108"/>
      <c r="Y4116" s="1108"/>
      <c r="Z4116" s="1114"/>
      <c r="AA4116" s="1114"/>
      <c r="AB4116" s="1114"/>
      <c r="AC4116" s="1117"/>
      <c r="AD4116" s="1115"/>
      <c r="AE4116" s="1115"/>
      <c r="AF4116" s="1115"/>
      <c r="AG4116" s="1115"/>
      <c r="AH4116" s="1115"/>
      <c r="AI4116" s="1115"/>
      <c r="AJ4116" s="1117"/>
      <c r="AK4116" s="1118"/>
      <c r="AL4116" s="1115"/>
      <c r="AM4116" s="1115"/>
      <c r="AN4116" s="1115"/>
      <c r="AO4116" s="1115"/>
      <c r="AP4116" s="1115"/>
      <c r="AQ4116" s="1115"/>
      <c r="AR4116" s="1115"/>
      <c r="AS4116" s="1117"/>
      <c r="AT4116" s="1075"/>
      <c r="AU4116" s="1193"/>
      <c r="AV4116" s="330"/>
      <c r="AW4116" s="331"/>
      <c r="AX4116" s="331"/>
      <c r="AY4116" s="331"/>
      <c r="AZ4116" s="331"/>
      <c r="BA4116" s="331"/>
      <c r="BB4116" s="331"/>
      <c r="BC4116" s="331"/>
      <c r="BD4116" s="331"/>
      <c r="BE4116" s="333"/>
      <c r="BF4116" s="330"/>
      <c r="BG4116" s="333"/>
      <c r="BH4116" s="1119"/>
      <c r="BI4116" s="319"/>
      <c r="BJ4116" s="319"/>
      <c r="BK4116" s="319"/>
      <c r="BL4116" s="319"/>
      <c r="BM4116" s="319"/>
      <c r="BN4116" s="319"/>
      <c r="BO4116" s="319"/>
      <c r="BP4116" s="953"/>
      <c r="BQ4116" s="319"/>
      <c r="BR4116" s="319"/>
      <c r="BS4116" s="330"/>
      <c r="BT4116" s="331"/>
      <c r="BU4116" s="920"/>
      <c r="BV4116" s="903"/>
      <c r="BW4116" s="908"/>
      <c r="BX4116" s="908"/>
      <c r="BY4116" s="331"/>
      <c r="BZ4116" s="331"/>
      <c r="CA4116" s="462"/>
      <c r="CB4116" s="319"/>
      <c r="CC4116" s="319"/>
      <c r="CD4116" s="319"/>
      <c r="CE4116" s="319"/>
      <c r="CF4116" s="319"/>
      <c r="CG4116" s="319"/>
      <c r="CH4116" s="318"/>
      <c r="CI4116" s="319"/>
      <c r="CJ4116" s="319"/>
      <c r="CK4116" s="342"/>
      <c r="CL4116" s="333"/>
      <c r="CM4116" s="1079"/>
      <c r="CN4116" s="1005"/>
      <c r="CO4116" s="1005"/>
      <c r="CP4116" s="1005"/>
    </row>
    <row r="4117">
      <c r="A4117" s="1257"/>
      <c r="B4117" s="1113"/>
      <c r="C4117" s="1107"/>
      <c r="D4117" s="103"/>
      <c r="E4117" s="1137"/>
      <c r="F4117" s="112"/>
      <c r="G4117" s="1110"/>
      <c r="H4117" s="1138"/>
      <c r="I4117" s="1138"/>
      <c r="J4117" s="1139"/>
      <c r="K4117" s="1111"/>
      <c r="L4117" s="1112"/>
      <c r="M4117" s="1113"/>
      <c r="N4117" s="110"/>
      <c r="O4117" s="1140"/>
      <c r="P4117" s="1115"/>
      <c r="Q4117" s="1116"/>
      <c r="R4117" s="1141"/>
      <c r="S4117" s="1113"/>
      <c r="T4117" s="1143"/>
      <c r="U4117" s="1108"/>
      <c r="V4117" s="1108"/>
      <c r="W4117" s="1108"/>
      <c r="X4117" s="1108"/>
      <c r="Y4117" s="1108"/>
      <c r="Z4117" s="1114"/>
      <c r="AA4117" s="1114"/>
      <c r="AB4117" s="1114"/>
      <c r="AC4117" s="1117"/>
      <c r="AD4117" s="1115"/>
      <c r="AE4117" s="1115"/>
      <c r="AF4117" s="1115"/>
      <c r="AG4117" s="1115"/>
      <c r="AH4117" s="1115"/>
      <c r="AI4117" s="1115"/>
      <c r="AJ4117" s="1117"/>
      <c r="AK4117" s="1118"/>
      <c r="AL4117" s="1115"/>
      <c r="AM4117" s="1115"/>
      <c r="AN4117" s="1115"/>
      <c r="AO4117" s="1115"/>
      <c r="AP4117" s="1115"/>
      <c r="AQ4117" s="1115"/>
      <c r="AR4117" s="1115"/>
      <c r="AS4117" s="1117"/>
      <c r="AT4117" s="1075"/>
      <c r="AU4117" s="1193"/>
      <c r="AV4117" s="330"/>
      <c r="AW4117" s="331"/>
      <c r="AX4117" s="331"/>
      <c r="AY4117" s="331"/>
      <c r="AZ4117" s="331"/>
      <c r="BA4117" s="331"/>
      <c r="BB4117" s="331"/>
      <c r="BC4117" s="331"/>
      <c r="BD4117" s="331"/>
      <c r="BE4117" s="333"/>
      <c r="BF4117" s="330"/>
      <c r="BG4117" s="333"/>
      <c r="BH4117" s="1119"/>
      <c r="BI4117" s="319"/>
      <c r="BJ4117" s="319"/>
      <c r="BK4117" s="319"/>
      <c r="BL4117" s="319"/>
      <c r="BM4117" s="319"/>
      <c r="BN4117" s="319"/>
      <c r="BO4117" s="319"/>
      <c r="BP4117" s="953"/>
      <c r="BQ4117" s="319"/>
      <c r="BR4117" s="319"/>
      <c r="BS4117" s="330"/>
      <c r="BT4117" s="331"/>
      <c r="BU4117" s="920"/>
      <c r="BV4117" s="903"/>
      <c r="BW4117" s="908"/>
      <c r="BX4117" s="908"/>
      <c r="BY4117" s="331"/>
      <c r="BZ4117" s="331"/>
      <c r="CA4117" s="462"/>
      <c r="CB4117" s="319"/>
      <c r="CC4117" s="319"/>
      <c r="CD4117" s="319"/>
      <c r="CE4117" s="319"/>
      <c r="CF4117" s="319"/>
      <c r="CG4117" s="319"/>
      <c r="CH4117" s="318"/>
      <c r="CI4117" s="319"/>
      <c r="CJ4117" s="319"/>
      <c r="CK4117" s="342"/>
      <c r="CL4117" s="333"/>
      <c r="CM4117" s="1079"/>
      <c r="CN4117" s="1005"/>
      <c r="CO4117" s="1005"/>
      <c r="CP4117" s="1005"/>
    </row>
    <row r="4118">
      <c r="A4118" s="1257"/>
      <c r="B4118" s="1113"/>
      <c r="C4118" s="1107"/>
      <c r="D4118" s="103"/>
      <c r="E4118" s="1137"/>
      <c r="F4118" s="112"/>
      <c r="G4118" s="1110"/>
      <c r="H4118" s="1138"/>
      <c r="I4118" s="1138"/>
      <c r="J4118" s="1139"/>
      <c r="K4118" s="1111"/>
      <c r="L4118" s="1112"/>
      <c r="M4118" s="1113"/>
      <c r="N4118" s="110"/>
      <c r="O4118" s="1140"/>
      <c r="P4118" s="1115"/>
      <c r="Q4118" s="1116"/>
      <c r="R4118" s="1141"/>
      <c r="S4118" s="1113"/>
      <c r="T4118" s="1143"/>
      <c r="U4118" s="1108"/>
      <c r="V4118" s="1108"/>
      <c r="W4118" s="1108"/>
      <c r="X4118" s="1108"/>
      <c r="Y4118" s="1108"/>
      <c r="Z4118" s="1114"/>
      <c r="AA4118" s="1114"/>
      <c r="AB4118" s="1114"/>
      <c r="AC4118" s="1117"/>
      <c r="AD4118" s="1115"/>
      <c r="AE4118" s="1115"/>
      <c r="AF4118" s="1115"/>
      <c r="AG4118" s="1115"/>
      <c r="AH4118" s="1115"/>
      <c r="AI4118" s="1115"/>
      <c r="AJ4118" s="1117"/>
      <c r="AK4118" s="1118"/>
      <c r="AL4118" s="1115"/>
      <c r="AM4118" s="1115"/>
      <c r="AN4118" s="1115"/>
      <c r="AO4118" s="1115"/>
      <c r="AP4118" s="1115"/>
      <c r="AQ4118" s="1115"/>
      <c r="AR4118" s="1115"/>
      <c r="AS4118" s="1117"/>
      <c r="AT4118" s="1075"/>
      <c r="AU4118" s="1193"/>
      <c r="AV4118" s="330"/>
      <c r="AW4118" s="331"/>
      <c r="AX4118" s="331"/>
      <c r="AY4118" s="331"/>
      <c r="AZ4118" s="331"/>
      <c r="BA4118" s="331"/>
      <c r="BB4118" s="331"/>
      <c r="BC4118" s="331"/>
      <c r="BD4118" s="331"/>
      <c r="BE4118" s="333"/>
      <c r="BF4118" s="330"/>
      <c r="BG4118" s="333"/>
      <c r="BH4118" s="1119"/>
      <c r="BI4118" s="319"/>
      <c r="BJ4118" s="319"/>
      <c r="BK4118" s="319"/>
      <c r="BL4118" s="319"/>
      <c r="BM4118" s="319"/>
      <c r="BN4118" s="319"/>
      <c r="BO4118" s="319"/>
      <c r="BP4118" s="953"/>
      <c r="BQ4118" s="319"/>
      <c r="BR4118" s="319"/>
      <c r="BS4118" s="330"/>
      <c r="BT4118" s="331"/>
      <c r="BU4118" s="920"/>
      <c r="BV4118" s="903"/>
      <c r="BW4118" s="908"/>
      <c r="BX4118" s="908"/>
      <c r="BY4118" s="331"/>
      <c r="BZ4118" s="331"/>
      <c r="CA4118" s="462"/>
      <c r="CB4118" s="319"/>
      <c r="CC4118" s="319"/>
      <c r="CD4118" s="319"/>
      <c r="CE4118" s="319"/>
      <c r="CF4118" s="319"/>
      <c r="CG4118" s="319"/>
      <c r="CH4118" s="318"/>
      <c r="CI4118" s="319"/>
      <c r="CJ4118" s="319"/>
      <c r="CK4118" s="342"/>
      <c r="CL4118" s="333"/>
      <c r="CM4118" s="1079"/>
      <c r="CN4118" s="1005"/>
      <c r="CO4118" s="1005"/>
      <c r="CP4118" s="1005"/>
    </row>
    <row r="4119">
      <c r="A4119" s="1257"/>
      <c r="B4119" s="1113"/>
      <c r="C4119" s="1107"/>
      <c r="D4119" s="103"/>
      <c r="E4119" s="1137"/>
      <c r="F4119" s="112"/>
      <c r="G4119" s="1110"/>
      <c r="H4119" s="1138"/>
      <c r="I4119" s="1138"/>
      <c r="J4119" s="1139"/>
      <c r="K4119" s="1111"/>
      <c r="L4119" s="1112"/>
      <c r="M4119" s="1113"/>
      <c r="N4119" s="110"/>
      <c r="O4119" s="1140"/>
      <c r="P4119" s="1115"/>
      <c r="Q4119" s="1116"/>
      <c r="R4119" s="1141"/>
      <c r="S4119" s="1113"/>
      <c r="T4119" s="1143"/>
      <c r="U4119" s="1108"/>
      <c r="V4119" s="1108"/>
      <c r="W4119" s="1108"/>
      <c r="X4119" s="1108"/>
      <c r="Y4119" s="1108"/>
      <c r="Z4119" s="1114"/>
      <c r="AA4119" s="1114"/>
      <c r="AB4119" s="1114"/>
      <c r="AC4119" s="1117"/>
      <c r="AD4119" s="1115"/>
      <c r="AE4119" s="1115"/>
      <c r="AF4119" s="1115"/>
      <c r="AG4119" s="1115"/>
      <c r="AH4119" s="1115"/>
      <c r="AI4119" s="1115"/>
      <c r="AJ4119" s="1117"/>
      <c r="AK4119" s="1118"/>
      <c r="AL4119" s="1115"/>
      <c r="AM4119" s="1115"/>
      <c r="AN4119" s="1115"/>
      <c r="AO4119" s="1115"/>
      <c r="AP4119" s="1115"/>
      <c r="AQ4119" s="1115"/>
      <c r="AR4119" s="1115"/>
      <c r="AS4119" s="1117"/>
      <c r="AT4119" s="1075"/>
      <c r="AU4119" s="1193"/>
      <c r="AV4119" s="330"/>
      <c r="AW4119" s="331"/>
      <c r="AX4119" s="331"/>
      <c r="AY4119" s="331"/>
      <c r="AZ4119" s="331"/>
      <c r="BA4119" s="331"/>
      <c r="BB4119" s="331"/>
      <c r="BC4119" s="331"/>
      <c r="BD4119" s="331"/>
      <c r="BE4119" s="333"/>
      <c r="BF4119" s="330"/>
      <c r="BG4119" s="333"/>
      <c r="BH4119" s="1119"/>
      <c r="BI4119" s="319"/>
      <c r="BJ4119" s="319"/>
      <c r="BK4119" s="319"/>
      <c r="BL4119" s="319"/>
      <c r="BM4119" s="319"/>
      <c r="BN4119" s="319"/>
      <c r="BO4119" s="319"/>
      <c r="BP4119" s="953"/>
      <c r="BQ4119" s="319"/>
      <c r="BR4119" s="319"/>
      <c r="BS4119" s="330"/>
      <c r="BT4119" s="331"/>
      <c r="BU4119" s="920"/>
      <c r="BV4119" s="903"/>
      <c r="BW4119" s="908"/>
      <c r="BX4119" s="908"/>
      <c r="BY4119" s="331"/>
      <c r="BZ4119" s="331"/>
      <c r="CA4119" s="462"/>
      <c r="CB4119" s="319"/>
      <c r="CC4119" s="319"/>
      <c r="CD4119" s="319"/>
      <c r="CE4119" s="319"/>
      <c r="CF4119" s="319"/>
      <c r="CG4119" s="319"/>
      <c r="CH4119" s="318"/>
      <c r="CI4119" s="319"/>
      <c r="CJ4119" s="319"/>
      <c r="CK4119" s="342"/>
      <c r="CL4119" s="333"/>
      <c r="CM4119" s="1079"/>
      <c r="CN4119" s="1005"/>
      <c r="CO4119" s="1005"/>
      <c r="CP4119" s="1005"/>
    </row>
    <row r="4120">
      <c r="A4120" s="1257"/>
      <c r="B4120" s="1113"/>
      <c r="C4120" s="1107"/>
      <c r="D4120" s="103"/>
      <c r="E4120" s="1137"/>
      <c r="F4120" s="112"/>
      <c r="G4120" s="1110"/>
      <c r="H4120" s="1138"/>
      <c r="I4120" s="1138"/>
      <c r="J4120" s="1139"/>
      <c r="K4120" s="1111"/>
      <c r="L4120" s="1112"/>
      <c r="M4120" s="1113"/>
      <c r="N4120" s="110"/>
      <c r="O4120" s="1140"/>
      <c r="P4120" s="1115"/>
      <c r="Q4120" s="1116"/>
      <c r="R4120" s="1141"/>
      <c r="S4120" s="1113"/>
      <c r="T4120" s="1143"/>
      <c r="U4120" s="1108"/>
      <c r="V4120" s="1108"/>
      <c r="W4120" s="1108"/>
      <c r="X4120" s="1108"/>
      <c r="Y4120" s="1108"/>
      <c r="Z4120" s="1114"/>
      <c r="AA4120" s="1114"/>
      <c r="AB4120" s="1114"/>
      <c r="AC4120" s="1117"/>
      <c r="AD4120" s="1115"/>
      <c r="AE4120" s="1115"/>
      <c r="AF4120" s="1115"/>
      <c r="AG4120" s="1115"/>
      <c r="AH4120" s="1115"/>
      <c r="AI4120" s="1115"/>
      <c r="AJ4120" s="1117"/>
      <c r="AK4120" s="1118"/>
      <c r="AL4120" s="1115"/>
      <c r="AM4120" s="1115"/>
      <c r="AN4120" s="1115"/>
      <c r="AO4120" s="1115"/>
      <c r="AP4120" s="1115"/>
      <c r="AQ4120" s="1115"/>
      <c r="AR4120" s="1115"/>
      <c r="AS4120" s="1117"/>
      <c r="AT4120" s="1075"/>
      <c r="AU4120" s="1193"/>
      <c r="AV4120" s="330"/>
      <c r="AW4120" s="331"/>
      <c r="AX4120" s="331"/>
      <c r="AY4120" s="331"/>
      <c r="AZ4120" s="331"/>
      <c r="BA4120" s="331"/>
      <c r="BB4120" s="331"/>
      <c r="BC4120" s="331"/>
      <c r="BD4120" s="331"/>
      <c r="BE4120" s="333"/>
      <c r="BF4120" s="330"/>
      <c r="BG4120" s="333"/>
      <c r="BH4120" s="1119"/>
      <c r="BI4120" s="319"/>
      <c r="BJ4120" s="319"/>
      <c r="BK4120" s="319"/>
      <c r="BL4120" s="319"/>
      <c r="BM4120" s="319"/>
      <c r="BN4120" s="319"/>
      <c r="BO4120" s="319"/>
      <c r="BP4120" s="953"/>
      <c r="BQ4120" s="319"/>
      <c r="BR4120" s="319"/>
      <c r="BS4120" s="330"/>
      <c r="BT4120" s="331"/>
      <c r="BU4120" s="920"/>
      <c r="BV4120" s="903"/>
      <c r="BW4120" s="908"/>
      <c r="BX4120" s="908"/>
      <c r="BY4120" s="331"/>
      <c r="BZ4120" s="331"/>
      <c r="CA4120" s="462"/>
      <c r="CB4120" s="319"/>
      <c r="CC4120" s="319"/>
      <c r="CD4120" s="319"/>
      <c r="CE4120" s="319"/>
      <c r="CF4120" s="319"/>
      <c r="CG4120" s="319"/>
      <c r="CH4120" s="318"/>
      <c r="CI4120" s="319"/>
      <c r="CJ4120" s="319"/>
      <c r="CK4120" s="342"/>
      <c r="CL4120" s="333"/>
      <c r="CM4120" s="1079"/>
      <c r="CN4120" s="1005"/>
      <c r="CO4120" s="1005"/>
      <c r="CP4120" s="1005"/>
    </row>
    <row r="4121">
      <c r="A4121" s="1257"/>
      <c r="B4121" s="1113"/>
      <c r="C4121" s="1107"/>
      <c r="D4121" s="103"/>
      <c r="E4121" s="1137"/>
      <c r="F4121" s="112"/>
      <c r="G4121" s="1110"/>
      <c r="H4121" s="1138"/>
      <c r="I4121" s="1138"/>
      <c r="J4121" s="1139"/>
      <c r="K4121" s="1111"/>
      <c r="L4121" s="1112"/>
      <c r="M4121" s="1113"/>
      <c r="N4121" s="110"/>
      <c r="O4121" s="1140"/>
      <c r="P4121" s="1115"/>
      <c r="Q4121" s="1116"/>
      <c r="R4121" s="1141"/>
      <c r="S4121" s="1113"/>
      <c r="T4121" s="1143"/>
      <c r="U4121" s="1108"/>
      <c r="V4121" s="1108"/>
      <c r="W4121" s="1108"/>
      <c r="X4121" s="1108"/>
      <c r="Y4121" s="1108"/>
      <c r="Z4121" s="1114"/>
      <c r="AA4121" s="1114"/>
      <c r="AB4121" s="1114"/>
      <c r="AC4121" s="1117"/>
      <c r="AD4121" s="1115"/>
      <c r="AE4121" s="1115"/>
      <c r="AF4121" s="1115"/>
      <c r="AG4121" s="1115"/>
      <c r="AH4121" s="1115"/>
      <c r="AI4121" s="1115"/>
      <c r="AJ4121" s="1117"/>
      <c r="AK4121" s="1118"/>
      <c r="AL4121" s="1115"/>
      <c r="AM4121" s="1115"/>
      <c r="AN4121" s="1115"/>
      <c r="AO4121" s="1115"/>
      <c r="AP4121" s="1115"/>
      <c r="AQ4121" s="1115"/>
      <c r="AR4121" s="1115"/>
      <c r="AS4121" s="1117"/>
      <c r="AT4121" s="1075"/>
      <c r="AU4121" s="1193"/>
      <c r="AV4121" s="330"/>
      <c r="AW4121" s="331"/>
      <c r="AX4121" s="331"/>
      <c r="AY4121" s="331"/>
      <c r="AZ4121" s="331"/>
      <c r="BA4121" s="331"/>
      <c r="BB4121" s="331"/>
      <c r="BC4121" s="331"/>
      <c r="BD4121" s="331"/>
      <c r="BE4121" s="333"/>
      <c r="BF4121" s="330"/>
      <c r="BG4121" s="333"/>
      <c r="BH4121" s="1119"/>
      <c r="BI4121" s="319"/>
      <c r="BJ4121" s="319"/>
      <c r="BK4121" s="319"/>
      <c r="BL4121" s="319"/>
      <c r="BM4121" s="319"/>
      <c r="BN4121" s="319"/>
      <c r="BO4121" s="319"/>
      <c r="BP4121" s="953"/>
      <c r="BQ4121" s="319"/>
      <c r="BR4121" s="319"/>
      <c r="BS4121" s="330"/>
      <c r="BT4121" s="331"/>
      <c r="BU4121" s="920"/>
      <c r="BV4121" s="903"/>
      <c r="BW4121" s="908"/>
      <c r="BX4121" s="908"/>
      <c r="BY4121" s="331"/>
      <c r="BZ4121" s="331"/>
      <c r="CA4121" s="462"/>
      <c r="CB4121" s="319"/>
      <c r="CC4121" s="319"/>
      <c r="CD4121" s="319"/>
      <c r="CE4121" s="319"/>
      <c r="CF4121" s="319"/>
      <c r="CG4121" s="319"/>
      <c r="CH4121" s="318"/>
      <c r="CI4121" s="319"/>
      <c r="CJ4121" s="319"/>
      <c r="CK4121" s="342"/>
      <c r="CL4121" s="333"/>
      <c r="CM4121" s="1079"/>
      <c r="CN4121" s="1005"/>
      <c r="CO4121" s="1005"/>
      <c r="CP4121" s="1005"/>
    </row>
    <row r="4122">
      <c r="A4122" s="1257"/>
      <c r="B4122" s="1113"/>
      <c r="C4122" s="1107"/>
      <c r="D4122" s="103"/>
      <c r="E4122" s="1137"/>
      <c r="F4122" s="112"/>
      <c r="G4122" s="1110"/>
      <c r="H4122" s="1138"/>
      <c r="I4122" s="1138"/>
      <c r="J4122" s="1139"/>
      <c r="K4122" s="1111"/>
      <c r="L4122" s="1112"/>
      <c r="M4122" s="1113"/>
      <c r="N4122" s="110"/>
      <c r="O4122" s="1140"/>
      <c r="P4122" s="1115"/>
      <c r="Q4122" s="1116"/>
      <c r="R4122" s="1141"/>
      <c r="S4122" s="1113"/>
      <c r="T4122" s="1143"/>
      <c r="U4122" s="1108"/>
      <c r="V4122" s="1108"/>
      <c r="W4122" s="1108"/>
      <c r="X4122" s="1108"/>
      <c r="Y4122" s="1108"/>
      <c r="Z4122" s="1114"/>
      <c r="AA4122" s="1114"/>
      <c r="AB4122" s="1114"/>
      <c r="AC4122" s="1117"/>
      <c r="AD4122" s="1115"/>
      <c r="AE4122" s="1115"/>
      <c r="AF4122" s="1115"/>
      <c r="AG4122" s="1115"/>
      <c r="AH4122" s="1115"/>
      <c r="AI4122" s="1115"/>
      <c r="AJ4122" s="1117"/>
      <c r="AK4122" s="1118"/>
      <c r="AL4122" s="1115"/>
      <c r="AM4122" s="1115"/>
      <c r="AN4122" s="1115"/>
      <c r="AO4122" s="1115"/>
      <c r="AP4122" s="1115"/>
      <c r="AQ4122" s="1115"/>
      <c r="AR4122" s="1115"/>
      <c r="AS4122" s="1117"/>
      <c r="AT4122" s="1075"/>
      <c r="AU4122" s="1193"/>
      <c r="AV4122" s="330"/>
      <c r="AW4122" s="331"/>
      <c r="AX4122" s="331"/>
      <c r="AY4122" s="331"/>
      <c r="AZ4122" s="331"/>
      <c r="BA4122" s="331"/>
      <c r="BB4122" s="331"/>
      <c r="BC4122" s="331"/>
      <c r="BD4122" s="331"/>
      <c r="BE4122" s="333"/>
      <c r="BF4122" s="330"/>
      <c r="BG4122" s="333"/>
      <c r="BH4122" s="1119"/>
      <c r="BI4122" s="319"/>
      <c r="BJ4122" s="319"/>
      <c r="BK4122" s="319"/>
      <c r="BL4122" s="319"/>
      <c r="BM4122" s="319"/>
      <c r="BN4122" s="319"/>
      <c r="BO4122" s="319"/>
      <c r="BP4122" s="953"/>
      <c r="BQ4122" s="319"/>
      <c r="BR4122" s="319"/>
      <c r="BS4122" s="330"/>
      <c r="BT4122" s="331"/>
      <c r="BU4122" s="920"/>
      <c r="BV4122" s="903"/>
      <c r="BW4122" s="908"/>
      <c r="BX4122" s="908"/>
      <c r="BY4122" s="331"/>
      <c r="BZ4122" s="331"/>
      <c r="CA4122" s="462"/>
      <c r="CB4122" s="319"/>
      <c r="CC4122" s="319"/>
      <c r="CD4122" s="319"/>
      <c r="CE4122" s="319"/>
      <c r="CF4122" s="319"/>
      <c r="CG4122" s="319"/>
      <c r="CH4122" s="318"/>
      <c r="CI4122" s="319"/>
      <c r="CJ4122" s="319"/>
      <c r="CK4122" s="342"/>
      <c r="CL4122" s="333"/>
      <c r="CM4122" s="1079"/>
      <c r="CN4122" s="1005"/>
      <c r="CO4122" s="1005"/>
      <c r="CP4122" s="1005"/>
    </row>
    <row r="4123">
      <c r="A4123" s="1257"/>
      <c r="B4123" s="1113"/>
      <c r="C4123" s="1107"/>
      <c r="D4123" s="103"/>
      <c r="E4123" s="1137"/>
      <c r="F4123" s="112"/>
      <c r="G4123" s="1110"/>
      <c r="H4123" s="1138"/>
      <c r="I4123" s="1138"/>
      <c r="J4123" s="1139"/>
      <c r="K4123" s="1111"/>
      <c r="L4123" s="1112"/>
      <c r="M4123" s="1113"/>
      <c r="N4123" s="110"/>
      <c r="O4123" s="1140"/>
      <c r="P4123" s="1115"/>
      <c r="Q4123" s="1116"/>
      <c r="R4123" s="1141"/>
      <c r="S4123" s="1113"/>
      <c r="T4123" s="1143"/>
      <c r="U4123" s="1108"/>
      <c r="V4123" s="1108"/>
      <c r="W4123" s="1108"/>
      <c r="X4123" s="1108"/>
      <c r="Y4123" s="1108"/>
      <c r="Z4123" s="1114"/>
      <c r="AA4123" s="1114"/>
      <c r="AB4123" s="1114"/>
      <c r="AC4123" s="1117"/>
      <c r="AD4123" s="1115"/>
      <c r="AE4123" s="1115"/>
      <c r="AF4123" s="1115"/>
      <c r="AG4123" s="1115"/>
      <c r="AH4123" s="1115"/>
      <c r="AI4123" s="1115"/>
      <c r="AJ4123" s="1117"/>
      <c r="AK4123" s="1118"/>
      <c r="AL4123" s="1115"/>
      <c r="AM4123" s="1115"/>
      <c r="AN4123" s="1115"/>
      <c r="AO4123" s="1115"/>
      <c r="AP4123" s="1115"/>
      <c r="AQ4123" s="1115"/>
      <c r="AR4123" s="1115"/>
      <c r="AS4123" s="1117"/>
      <c r="AT4123" s="1075"/>
      <c r="AU4123" s="1193"/>
      <c r="AV4123" s="330"/>
      <c r="AW4123" s="331"/>
      <c r="AX4123" s="331"/>
      <c r="AY4123" s="331"/>
      <c r="AZ4123" s="331"/>
      <c r="BA4123" s="331"/>
      <c r="BB4123" s="331"/>
      <c r="BC4123" s="331"/>
      <c r="BD4123" s="331"/>
      <c r="BE4123" s="333"/>
      <c r="BF4123" s="330"/>
      <c r="BG4123" s="333"/>
      <c r="BH4123" s="1119"/>
      <c r="BI4123" s="319"/>
      <c r="BJ4123" s="319"/>
      <c r="BK4123" s="319"/>
      <c r="BL4123" s="319"/>
      <c r="BM4123" s="319"/>
      <c r="BN4123" s="319"/>
      <c r="BO4123" s="319"/>
      <c r="BP4123" s="953"/>
      <c r="BQ4123" s="319"/>
      <c r="BR4123" s="319"/>
      <c r="BS4123" s="330"/>
      <c r="BT4123" s="331"/>
      <c r="BU4123" s="920"/>
      <c r="BV4123" s="903"/>
      <c r="BW4123" s="908"/>
      <c r="BX4123" s="908"/>
      <c r="BY4123" s="331"/>
      <c r="BZ4123" s="331"/>
      <c r="CA4123" s="462"/>
      <c r="CB4123" s="319"/>
      <c r="CC4123" s="319"/>
      <c r="CD4123" s="319"/>
      <c r="CE4123" s="319"/>
      <c r="CF4123" s="319"/>
      <c r="CG4123" s="319"/>
      <c r="CH4123" s="318"/>
      <c r="CI4123" s="319"/>
      <c r="CJ4123" s="319"/>
      <c r="CK4123" s="342"/>
      <c r="CL4123" s="333"/>
      <c r="CM4123" s="1079"/>
      <c r="CN4123" s="1005"/>
      <c r="CO4123" s="1005"/>
      <c r="CP4123" s="1005"/>
    </row>
    <row r="4124">
      <c r="A4124" s="1257"/>
      <c r="B4124" s="1113"/>
      <c r="C4124" s="1107"/>
      <c r="D4124" s="103"/>
      <c r="E4124" s="1137"/>
      <c r="F4124" s="112"/>
      <c r="G4124" s="1110"/>
      <c r="H4124" s="1138"/>
      <c r="I4124" s="1138"/>
      <c r="J4124" s="1139"/>
      <c r="K4124" s="1111"/>
      <c r="L4124" s="1112"/>
      <c r="M4124" s="1113"/>
      <c r="N4124" s="110"/>
      <c r="O4124" s="1140"/>
      <c r="P4124" s="1115"/>
      <c r="Q4124" s="1116"/>
      <c r="R4124" s="1141"/>
      <c r="S4124" s="1113"/>
      <c r="T4124" s="1143"/>
      <c r="U4124" s="1108"/>
      <c r="V4124" s="1108"/>
      <c r="W4124" s="1108"/>
      <c r="X4124" s="1108"/>
      <c r="Y4124" s="1108"/>
      <c r="Z4124" s="1114"/>
      <c r="AA4124" s="1114"/>
      <c r="AB4124" s="1114"/>
      <c r="AC4124" s="1117"/>
      <c r="AD4124" s="1115"/>
      <c r="AE4124" s="1115"/>
      <c r="AF4124" s="1115"/>
      <c r="AG4124" s="1115"/>
      <c r="AH4124" s="1115"/>
      <c r="AI4124" s="1115"/>
      <c r="AJ4124" s="1117"/>
      <c r="AK4124" s="1118"/>
      <c r="AL4124" s="1115"/>
      <c r="AM4124" s="1115"/>
      <c r="AN4124" s="1115"/>
      <c r="AO4124" s="1115"/>
      <c r="AP4124" s="1115"/>
      <c r="AQ4124" s="1115"/>
      <c r="AR4124" s="1115"/>
      <c r="AS4124" s="1117"/>
      <c r="AT4124" s="1075"/>
      <c r="AU4124" s="1193"/>
      <c r="AV4124" s="330"/>
      <c r="AW4124" s="331"/>
      <c r="AX4124" s="331"/>
      <c r="AY4124" s="331"/>
      <c r="AZ4124" s="331"/>
      <c r="BA4124" s="331"/>
      <c r="BB4124" s="331"/>
      <c r="BC4124" s="331"/>
      <c r="BD4124" s="331"/>
      <c r="BE4124" s="333"/>
      <c r="BF4124" s="330"/>
      <c r="BG4124" s="333"/>
      <c r="BH4124" s="1119"/>
      <c r="BI4124" s="319"/>
      <c r="BJ4124" s="319"/>
      <c r="BK4124" s="319"/>
      <c r="BL4124" s="319"/>
      <c r="BM4124" s="319"/>
      <c r="BN4124" s="319"/>
      <c r="BO4124" s="319"/>
      <c r="BP4124" s="953"/>
      <c r="BQ4124" s="319"/>
      <c r="BR4124" s="319"/>
      <c r="BS4124" s="330"/>
      <c r="BT4124" s="331"/>
      <c r="BU4124" s="920"/>
      <c r="BV4124" s="903"/>
      <c r="BW4124" s="908"/>
      <c r="BX4124" s="908"/>
      <c r="BY4124" s="331"/>
      <c r="BZ4124" s="331"/>
      <c r="CA4124" s="462"/>
      <c r="CB4124" s="319"/>
      <c r="CC4124" s="319"/>
      <c r="CD4124" s="319"/>
      <c r="CE4124" s="319"/>
      <c r="CF4124" s="319"/>
      <c r="CG4124" s="319"/>
      <c r="CH4124" s="318"/>
      <c r="CI4124" s="319"/>
      <c r="CJ4124" s="319"/>
      <c r="CK4124" s="342"/>
      <c r="CL4124" s="333"/>
      <c r="CM4124" s="1079"/>
      <c r="CN4124" s="1005"/>
      <c r="CO4124" s="1005"/>
      <c r="CP4124" s="1005"/>
    </row>
    <row r="4125">
      <c r="A4125" s="1257"/>
      <c r="B4125" s="1113"/>
      <c r="C4125" s="1107"/>
      <c r="D4125" s="103"/>
      <c r="E4125" s="1137"/>
      <c r="F4125" s="112"/>
      <c r="G4125" s="1110"/>
      <c r="H4125" s="1138"/>
      <c r="I4125" s="1138"/>
      <c r="J4125" s="1139"/>
      <c r="K4125" s="1111"/>
      <c r="L4125" s="1112"/>
      <c r="M4125" s="1113"/>
      <c r="N4125" s="110"/>
      <c r="O4125" s="1140"/>
      <c r="P4125" s="1115"/>
      <c r="Q4125" s="1116"/>
      <c r="R4125" s="1141"/>
      <c r="S4125" s="1113"/>
      <c r="T4125" s="1143"/>
      <c r="U4125" s="1108"/>
      <c r="V4125" s="1108"/>
      <c r="W4125" s="1108"/>
      <c r="X4125" s="1108"/>
      <c r="Y4125" s="1108"/>
      <c r="Z4125" s="1114"/>
      <c r="AA4125" s="1114"/>
      <c r="AB4125" s="1114"/>
      <c r="AC4125" s="1117"/>
      <c r="AD4125" s="1115"/>
      <c r="AE4125" s="1115"/>
      <c r="AF4125" s="1115"/>
      <c r="AG4125" s="1115"/>
      <c r="AH4125" s="1115"/>
      <c r="AI4125" s="1115"/>
      <c r="AJ4125" s="1117"/>
      <c r="AK4125" s="1118"/>
      <c r="AL4125" s="1115"/>
      <c r="AM4125" s="1115"/>
      <c r="AN4125" s="1115"/>
      <c r="AO4125" s="1115"/>
      <c r="AP4125" s="1115"/>
      <c r="AQ4125" s="1115"/>
      <c r="AR4125" s="1115"/>
      <c r="AS4125" s="1117"/>
      <c r="AT4125" s="1075"/>
      <c r="AU4125" s="1193"/>
      <c r="AV4125" s="330"/>
      <c r="AW4125" s="331"/>
      <c r="AX4125" s="331"/>
      <c r="AY4125" s="331"/>
      <c r="AZ4125" s="331"/>
      <c r="BA4125" s="331"/>
      <c r="BB4125" s="331"/>
      <c r="BC4125" s="331"/>
      <c r="BD4125" s="331"/>
      <c r="BE4125" s="333"/>
      <c r="BF4125" s="330"/>
      <c r="BG4125" s="333"/>
      <c r="BH4125" s="1119"/>
      <c r="BI4125" s="319"/>
      <c r="BJ4125" s="319"/>
      <c r="BK4125" s="319"/>
      <c r="BL4125" s="319"/>
      <c r="BM4125" s="319"/>
      <c r="BN4125" s="319"/>
      <c r="BO4125" s="319"/>
      <c r="BP4125" s="953"/>
      <c r="BQ4125" s="319"/>
      <c r="BR4125" s="319"/>
      <c r="BS4125" s="330"/>
      <c r="BT4125" s="331"/>
      <c r="BU4125" s="920"/>
      <c r="BV4125" s="903"/>
      <c r="BW4125" s="908"/>
      <c r="BX4125" s="908"/>
      <c r="BY4125" s="331"/>
      <c r="BZ4125" s="331"/>
      <c r="CA4125" s="462"/>
      <c r="CB4125" s="319"/>
      <c r="CC4125" s="319"/>
      <c r="CD4125" s="319"/>
      <c r="CE4125" s="319"/>
      <c r="CF4125" s="319"/>
      <c r="CG4125" s="319"/>
      <c r="CH4125" s="318"/>
      <c r="CI4125" s="319"/>
      <c r="CJ4125" s="319"/>
      <c r="CK4125" s="342"/>
      <c r="CL4125" s="333"/>
      <c r="CM4125" s="1079"/>
      <c r="CN4125" s="1005"/>
      <c r="CO4125" s="1005"/>
      <c r="CP4125" s="1005"/>
    </row>
    <row r="4126">
      <c r="A4126" s="1257"/>
      <c r="B4126" s="1113"/>
      <c r="C4126" s="1107"/>
      <c r="D4126" s="103"/>
      <c r="E4126" s="1137"/>
      <c r="F4126" s="112"/>
      <c r="G4126" s="1110"/>
      <c r="H4126" s="1138"/>
      <c r="I4126" s="1138"/>
      <c r="J4126" s="1139"/>
      <c r="K4126" s="1111"/>
      <c r="L4126" s="1112"/>
      <c r="M4126" s="1113"/>
      <c r="N4126" s="110"/>
      <c r="O4126" s="1140"/>
      <c r="P4126" s="1115"/>
      <c r="Q4126" s="1116"/>
      <c r="R4126" s="1141"/>
      <c r="S4126" s="1113"/>
      <c r="T4126" s="1143"/>
      <c r="U4126" s="1108"/>
      <c r="V4126" s="1108"/>
      <c r="W4126" s="1108"/>
      <c r="X4126" s="1108"/>
      <c r="Y4126" s="1108"/>
      <c r="Z4126" s="1114"/>
      <c r="AA4126" s="1114"/>
      <c r="AB4126" s="1114"/>
      <c r="AC4126" s="1117"/>
      <c r="AD4126" s="1115"/>
      <c r="AE4126" s="1115"/>
      <c r="AF4126" s="1115"/>
      <c r="AG4126" s="1115"/>
      <c r="AH4126" s="1115"/>
      <c r="AI4126" s="1115"/>
      <c r="AJ4126" s="1117"/>
      <c r="AK4126" s="1118"/>
      <c r="AL4126" s="1115"/>
      <c r="AM4126" s="1115"/>
      <c r="AN4126" s="1115"/>
      <c r="AO4126" s="1115"/>
      <c r="AP4126" s="1115"/>
      <c r="AQ4126" s="1115"/>
      <c r="AR4126" s="1115"/>
      <c r="AS4126" s="1117"/>
      <c r="AT4126" s="1075"/>
      <c r="AU4126" s="1193"/>
      <c r="AV4126" s="330"/>
      <c r="AW4126" s="331"/>
      <c r="AX4126" s="331"/>
      <c r="AY4126" s="331"/>
      <c r="AZ4126" s="331"/>
      <c r="BA4126" s="331"/>
      <c r="BB4126" s="331"/>
      <c r="BC4126" s="331"/>
      <c r="BD4126" s="331"/>
      <c r="BE4126" s="333"/>
      <c r="BF4126" s="330"/>
      <c r="BG4126" s="333"/>
      <c r="BH4126" s="1119"/>
      <c r="BI4126" s="319"/>
      <c r="BJ4126" s="319"/>
      <c r="BK4126" s="319"/>
      <c r="BL4126" s="319"/>
      <c r="BM4126" s="319"/>
      <c r="BN4126" s="319"/>
      <c r="BO4126" s="319"/>
      <c r="BP4126" s="953"/>
      <c r="BQ4126" s="319"/>
      <c r="BR4126" s="319"/>
      <c r="BS4126" s="330"/>
      <c r="BT4126" s="331"/>
      <c r="BU4126" s="920"/>
      <c r="BV4126" s="903"/>
      <c r="BW4126" s="908"/>
      <c r="BX4126" s="908"/>
      <c r="BY4126" s="331"/>
      <c r="BZ4126" s="331"/>
      <c r="CA4126" s="462"/>
      <c r="CB4126" s="319"/>
      <c r="CC4126" s="319"/>
      <c r="CD4126" s="319"/>
      <c r="CE4126" s="319"/>
      <c r="CF4126" s="319"/>
      <c r="CG4126" s="319"/>
      <c r="CH4126" s="318"/>
      <c r="CI4126" s="319"/>
      <c r="CJ4126" s="319"/>
      <c r="CK4126" s="342"/>
      <c r="CL4126" s="333"/>
      <c r="CM4126" s="1079"/>
      <c r="CN4126" s="1005"/>
      <c r="CO4126" s="1005"/>
      <c r="CP4126" s="1005"/>
    </row>
    <row r="4127">
      <c r="A4127" s="1257"/>
      <c r="B4127" s="1113"/>
      <c r="C4127" s="1107"/>
      <c r="D4127" s="103"/>
      <c r="E4127" s="1137"/>
      <c r="F4127" s="112"/>
      <c r="G4127" s="1110"/>
      <c r="H4127" s="1138"/>
      <c r="I4127" s="1138"/>
      <c r="J4127" s="1139"/>
      <c r="K4127" s="1111"/>
      <c r="L4127" s="1112"/>
      <c r="M4127" s="1113"/>
      <c r="N4127" s="110"/>
      <c r="O4127" s="1140"/>
      <c r="P4127" s="1115"/>
      <c r="Q4127" s="1116"/>
      <c r="R4127" s="1141"/>
      <c r="S4127" s="1113"/>
      <c r="T4127" s="1143"/>
      <c r="U4127" s="1108"/>
      <c r="V4127" s="1108"/>
      <c r="W4127" s="1108"/>
      <c r="X4127" s="1108"/>
      <c r="Y4127" s="1108"/>
      <c r="Z4127" s="1114"/>
      <c r="AA4127" s="1114"/>
      <c r="AB4127" s="1114"/>
      <c r="AC4127" s="1117"/>
      <c r="AD4127" s="1115"/>
      <c r="AE4127" s="1115"/>
      <c r="AF4127" s="1115"/>
      <c r="AG4127" s="1115"/>
      <c r="AH4127" s="1115"/>
      <c r="AI4127" s="1115"/>
      <c r="AJ4127" s="1117"/>
      <c r="AK4127" s="1118"/>
      <c r="AL4127" s="1115"/>
      <c r="AM4127" s="1115"/>
      <c r="AN4127" s="1115"/>
      <c r="AO4127" s="1115"/>
      <c r="AP4127" s="1115"/>
      <c r="AQ4127" s="1115"/>
      <c r="AR4127" s="1115"/>
      <c r="AS4127" s="1117"/>
      <c r="AT4127" s="1075"/>
      <c r="AU4127" s="1193"/>
      <c r="AV4127" s="330"/>
      <c r="AW4127" s="331"/>
      <c r="AX4127" s="331"/>
      <c r="AY4127" s="331"/>
      <c r="AZ4127" s="331"/>
      <c r="BA4127" s="331"/>
      <c r="BB4127" s="331"/>
      <c r="BC4127" s="331"/>
      <c r="BD4127" s="331"/>
      <c r="BE4127" s="333"/>
      <c r="BF4127" s="330"/>
      <c r="BG4127" s="333"/>
      <c r="BH4127" s="1119"/>
      <c r="BI4127" s="319"/>
      <c r="BJ4127" s="319"/>
      <c r="BK4127" s="319"/>
      <c r="BL4127" s="319"/>
      <c r="BM4127" s="319"/>
      <c r="BN4127" s="319"/>
      <c r="BO4127" s="319"/>
      <c r="BP4127" s="953"/>
      <c r="BQ4127" s="319"/>
      <c r="BR4127" s="319"/>
      <c r="BS4127" s="330"/>
      <c r="BT4127" s="331"/>
      <c r="BU4127" s="920"/>
      <c r="BV4127" s="903"/>
      <c r="BW4127" s="908"/>
      <c r="BX4127" s="908"/>
      <c r="BY4127" s="331"/>
      <c r="BZ4127" s="331"/>
      <c r="CA4127" s="462"/>
      <c r="CB4127" s="319"/>
      <c r="CC4127" s="319"/>
      <c r="CD4127" s="319"/>
      <c r="CE4127" s="319"/>
      <c r="CF4127" s="319"/>
      <c r="CG4127" s="319"/>
      <c r="CH4127" s="318"/>
      <c r="CI4127" s="319"/>
      <c r="CJ4127" s="319"/>
      <c r="CK4127" s="342"/>
      <c r="CL4127" s="333"/>
      <c r="CM4127" s="1079"/>
      <c r="CN4127" s="1005"/>
      <c r="CO4127" s="1005"/>
      <c r="CP4127" s="1005"/>
    </row>
    <row r="4128">
      <c r="A4128" s="1257"/>
      <c r="B4128" s="1113"/>
      <c r="C4128" s="1107"/>
      <c r="D4128" s="103"/>
      <c r="E4128" s="1137"/>
      <c r="F4128" s="112"/>
      <c r="G4128" s="1110"/>
      <c r="H4128" s="1138"/>
      <c r="I4128" s="1138"/>
      <c r="J4128" s="1139"/>
      <c r="K4128" s="1111"/>
      <c r="L4128" s="1112"/>
      <c r="M4128" s="1113"/>
      <c r="N4128" s="110"/>
      <c r="O4128" s="1140"/>
      <c r="P4128" s="1115"/>
      <c r="Q4128" s="1116"/>
      <c r="R4128" s="1141"/>
      <c r="S4128" s="1113"/>
      <c r="T4128" s="1143"/>
      <c r="U4128" s="1108"/>
      <c r="V4128" s="1108"/>
      <c r="W4128" s="1108"/>
      <c r="X4128" s="1108"/>
      <c r="Y4128" s="1108"/>
      <c r="Z4128" s="1114"/>
      <c r="AA4128" s="1114"/>
      <c r="AB4128" s="1114"/>
      <c r="AC4128" s="1117"/>
      <c r="AD4128" s="1115"/>
      <c r="AE4128" s="1115"/>
      <c r="AF4128" s="1115"/>
      <c r="AG4128" s="1115"/>
      <c r="AH4128" s="1115"/>
      <c r="AI4128" s="1115"/>
      <c r="AJ4128" s="1117"/>
      <c r="AK4128" s="1118"/>
      <c r="AL4128" s="1115"/>
      <c r="AM4128" s="1115"/>
      <c r="AN4128" s="1115"/>
      <c r="AO4128" s="1115"/>
      <c r="AP4128" s="1115"/>
      <c r="AQ4128" s="1115"/>
      <c r="AR4128" s="1115"/>
      <c r="AS4128" s="1117"/>
      <c r="AT4128" s="1075"/>
      <c r="AU4128" s="1193"/>
      <c r="AV4128" s="330"/>
      <c r="AW4128" s="331"/>
      <c r="AX4128" s="331"/>
      <c r="AY4128" s="331"/>
      <c r="AZ4128" s="331"/>
      <c r="BA4128" s="331"/>
      <c r="BB4128" s="331"/>
      <c r="BC4128" s="331"/>
      <c r="BD4128" s="331"/>
      <c r="BE4128" s="333"/>
      <c r="BF4128" s="330"/>
      <c r="BG4128" s="333"/>
      <c r="BH4128" s="1119"/>
      <c r="BI4128" s="319"/>
      <c r="BJ4128" s="319"/>
      <c r="BK4128" s="319"/>
      <c r="BL4128" s="319"/>
      <c r="BM4128" s="319"/>
      <c r="BN4128" s="319"/>
      <c r="BO4128" s="319"/>
      <c r="BP4128" s="953"/>
      <c r="BQ4128" s="319"/>
      <c r="BR4128" s="319"/>
      <c r="BS4128" s="330"/>
      <c r="BT4128" s="331"/>
      <c r="BU4128" s="920"/>
      <c r="BV4128" s="903"/>
      <c r="BW4128" s="908"/>
      <c r="BX4128" s="908"/>
      <c r="BY4128" s="331"/>
      <c r="BZ4128" s="331"/>
      <c r="CA4128" s="462"/>
      <c r="CB4128" s="319"/>
      <c r="CC4128" s="319"/>
      <c r="CD4128" s="319"/>
      <c r="CE4128" s="319"/>
      <c r="CF4128" s="319"/>
      <c r="CG4128" s="319"/>
      <c r="CH4128" s="318"/>
      <c r="CI4128" s="319"/>
      <c r="CJ4128" s="319"/>
      <c r="CK4128" s="342"/>
      <c r="CL4128" s="333"/>
      <c r="CM4128" s="1079"/>
      <c r="CN4128" s="1005"/>
      <c r="CO4128" s="1005"/>
      <c r="CP4128" s="1005"/>
    </row>
    <row r="4129">
      <c r="A4129" s="1257"/>
      <c r="B4129" s="1113"/>
      <c r="C4129" s="1107"/>
      <c r="D4129" s="103"/>
      <c r="E4129" s="1137"/>
      <c r="F4129" s="112"/>
      <c r="G4129" s="1110"/>
      <c r="H4129" s="1138"/>
      <c r="I4129" s="1138"/>
      <c r="J4129" s="1139"/>
      <c r="K4129" s="1111"/>
      <c r="L4129" s="1112"/>
      <c r="M4129" s="1113"/>
      <c r="N4129" s="110"/>
      <c r="O4129" s="1140"/>
      <c r="P4129" s="1115"/>
      <c r="Q4129" s="1116"/>
      <c r="R4129" s="1141"/>
      <c r="S4129" s="1113"/>
      <c r="T4129" s="1143"/>
      <c r="U4129" s="1108"/>
      <c r="V4129" s="1108"/>
      <c r="W4129" s="1108"/>
      <c r="X4129" s="1108"/>
      <c r="Y4129" s="1108"/>
      <c r="Z4129" s="1114"/>
      <c r="AA4129" s="1114"/>
      <c r="AB4129" s="1114"/>
      <c r="AC4129" s="1117"/>
      <c r="AD4129" s="1115"/>
      <c r="AE4129" s="1115"/>
      <c r="AF4129" s="1115"/>
      <c r="AG4129" s="1115"/>
      <c r="AH4129" s="1115"/>
      <c r="AI4129" s="1115"/>
      <c r="AJ4129" s="1117"/>
      <c r="AK4129" s="1118"/>
      <c r="AL4129" s="1115"/>
      <c r="AM4129" s="1115"/>
      <c r="AN4129" s="1115"/>
      <c r="AO4129" s="1115"/>
      <c r="AP4129" s="1115"/>
      <c r="AQ4129" s="1115"/>
      <c r="AR4129" s="1115"/>
      <c r="AS4129" s="1117"/>
      <c r="AT4129" s="1075"/>
      <c r="AU4129" s="1193"/>
      <c r="AV4129" s="330"/>
      <c r="AW4129" s="331"/>
      <c r="AX4129" s="331"/>
      <c r="AY4129" s="331"/>
      <c r="AZ4129" s="331"/>
      <c r="BA4129" s="331"/>
      <c r="BB4129" s="331"/>
      <c r="BC4129" s="331"/>
      <c r="BD4129" s="331"/>
      <c r="BE4129" s="333"/>
      <c r="BF4129" s="330"/>
      <c r="BG4129" s="333"/>
      <c r="BH4129" s="1119"/>
      <c r="BI4129" s="319"/>
      <c r="BJ4129" s="319"/>
      <c r="BK4129" s="319"/>
      <c r="BL4129" s="319"/>
      <c r="BM4129" s="319"/>
      <c r="BN4129" s="319"/>
      <c r="BO4129" s="319"/>
      <c r="BP4129" s="953"/>
      <c r="BQ4129" s="319"/>
      <c r="BR4129" s="319"/>
      <c r="BS4129" s="330"/>
      <c r="BT4129" s="331"/>
      <c r="BU4129" s="920"/>
      <c r="BV4129" s="903"/>
      <c r="BW4129" s="908"/>
      <c r="BX4129" s="908"/>
      <c r="BY4129" s="331"/>
      <c r="BZ4129" s="331"/>
      <c r="CA4129" s="462"/>
      <c r="CB4129" s="319"/>
      <c r="CC4129" s="319"/>
      <c r="CD4129" s="319"/>
      <c r="CE4129" s="319"/>
      <c r="CF4129" s="319"/>
      <c r="CG4129" s="319"/>
      <c r="CH4129" s="318"/>
      <c r="CI4129" s="319"/>
      <c r="CJ4129" s="319"/>
      <c r="CK4129" s="342"/>
      <c r="CL4129" s="333"/>
      <c r="CM4129" s="1079"/>
      <c r="CN4129" s="1005"/>
      <c r="CO4129" s="1005"/>
      <c r="CP4129" s="1005"/>
    </row>
    <row r="4130">
      <c r="A4130" s="1257"/>
      <c r="B4130" s="1113"/>
      <c r="C4130" s="1107"/>
      <c r="D4130" s="103"/>
      <c r="E4130" s="1137"/>
      <c r="F4130" s="112"/>
      <c r="G4130" s="1110"/>
      <c r="H4130" s="1138"/>
      <c r="I4130" s="1138"/>
      <c r="J4130" s="1139"/>
      <c r="K4130" s="1111"/>
      <c r="L4130" s="1112"/>
      <c r="M4130" s="1113"/>
      <c r="N4130" s="110"/>
      <c r="O4130" s="1140"/>
      <c r="P4130" s="1115"/>
      <c r="Q4130" s="1116"/>
      <c r="R4130" s="1141"/>
      <c r="S4130" s="1113"/>
      <c r="T4130" s="1143"/>
      <c r="U4130" s="1108"/>
      <c r="V4130" s="1108"/>
      <c r="W4130" s="1108"/>
      <c r="X4130" s="1108"/>
      <c r="Y4130" s="1108"/>
      <c r="Z4130" s="1114"/>
      <c r="AA4130" s="1114"/>
      <c r="AB4130" s="1114"/>
      <c r="AC4130" s="1117"/>
      <c r="AD4130" s="1115"/>
      <c r="AE4130" s="1115"/>
      <c r="AF4130" s="1115"/>
      <c r="AG4130" s="1115"/>
      <c r="AH4130" s="1115"/>
      <c r="AI4130" s="1115"/>
      <c r="AJ4130" s="1117"/>
      <c r="AK4130" s="1118"/>
      <c r="AL4130" s="1115"/>
      <c r="AM4130" s="1115"/>
      <c r="AN4130" s="1115"/>
      <c r="AO4130" s="1115"/>
      <c r="AP4130" s="1115"/>
      <c r="AQ4130" s="1115"/>
      <c r="AR4130" s="1115"/>
      <c r="AS4130" s="1117"/>
      <c r="AT4130" s="1075"/>
      <c r="AU4130" s="1193"/>
      <c r="AV4130" s="330"/>
      <c r="AW4130" s="331"/>
      <c r="AX4130" s="331"/>
      <c r="AY4130" s="331"/>
      <c r="AZ4130" s="331"/>
      <c r="BA4130" s="331"/>
      <c r="BB4130" s="331"/>
      <c r="BC4130" s="331"/>
      <c r="BD4130" s="331"/>
      <c r="BE4130" s="333"/>
      <c r="BF4130" s="330"/>
      <c r="BG4130" s="333"/>
      <c r="BH4130" s="1119"/>
      <c r="BI4130" s="319"/>
      <c r="BJ4130" s="319"/>
      <c r="BK4130" s="319"/>
      <c r="BL4130" s="319"/>
      <c r="BM4130" s="319"/>
      <c r="BN4130" s="319"/>
      <c r="BO4130" s="319"/>
      <c r="BP4130" s="953"/>
      <c r="BQ4130" s="319"/>
      <c r="BR4130" s="319"/>
      <c r="BS4130" s="330"/>
      <c r="BT4130" s="331"/>
      <c r="BU4130" s="920"/>
      <c r="BV4130" s="903"/>
      <c r="BW4130" s="908"/>
      <c r="BX4130" s="908"/>
      <c r="BY4130" s="331"/>
      <c r="BZ4130" s="331"/>
      <c r="CA4130" s="462"/>
      <c r="CB4130" s="319"/>
      <c r="CC4130" s="319"/>
      <c r="CD4130" s="319"/>
      <c r="CE4130" s="319"/>
      <c r="CF4130" s="319"/>
      <c r="CG4130" s="319"/>
      <c r="CH4130" s="318"/>
      <c r="CI4130" s="319"/>
      <c r="CJ4130" s="319"/>
      <c r="CK4130" s="342"/>
      <c r="CL4130" s="333"/>
      <c r="CM4130" s="1079"/>
      <c r="CN4130" s="1005"/>
      <c r="CO4130" s="1005"/>
      <c r="CP4130" s="1005"/>
    </row>
    <row r="4131">
      <c r="A4131" s="1257"/>
      <c r="B4131" s="1113"/>
      <c r="C4131" s="1107"/>
      <c r="D4131" s="103"/>
      <c r="E4131" s="1137"/>
      <c r="F4131" s="112"/>
      <c r="G4131" s="1110"/>
      <c r="H4131" s="1138"/>
      <c r="I4131" s="1138"/>
      <c r="J4131" s="1139"/>
      <c r="K4131" s="1111"/>
      <c r="L4131" s="1112"/>
      <c r="M4131" s="1113"/>
      <c r="N4131" s="110"/>
      <c r="O4131" s="1140"/>
      <c r="P4131" s="1115"/>
      <c r="Q4131" s="1116"/>
      <c r="R4131" s="1141"/>
      <c r="S4131" s="1113"/>
      <c r="T4131" s="1143"/>
      <c r="U4131" s="1108"/>
      <c r="V4131" s="1108"/>
      <c r="W4131" s="1108"/>
      <c r="X4131" s="1108"/>
      <c r="Y4131" s="1108"/>
      <c r="Z4131" s="1114"/>
      <c r="AA4131" s="1114"/>
      <c r="AB4131" s="1114"/>
      <c r="AC4131" s="1117"/>
      <c r="AD4131" s="1115"/>
      <c r="AE4131" s="1115"/>
      <c r="AF4131" s="1115"/>
      <c r="AG4131" s="1115"/>
      <c r="AH4131" s="1115"/>
      <c r="AI4131" s="1115"/>
      <c r="AJ4131" s="1117"/>
      <c r="AK4131" s="1118"/>
      <c r="AL4131" s="1115"/>
      <c r="AM4131" s="1115"/>
      <c r="AN4131" s="1115"/>
      <c r="AO4131" s="1115"/>
      <c r="AP4131" s="1115"/>
      <c r="AQ4131" s="1115"/>
      <c r="AR4131" s="1115"/>
      <c r="AS4131" s="1117"/>
      <c r="AT4131" s="1075"/>
      <c r="AU4131" s="1193"/>
      <c r="AV4131" s="330"/>
      <c r="AW4131" s="331"/>
      <c r="AX4131" s="331"/>
      <c r="AY4131" s="331"/>
      <c r="AZ4131" s="331"/>
      <c r="BA4131" s="331"/>
      <c r="BB4131" s="331"/>
      <c r="BC4131" s="331"/>
      <c r="BD4131" s="331"/>
      <c r="BE4131" s="333"/>
      <c r="BF4131" s="330"/>
      <c r="BG4131" s="333"/>
      <c r="BH4131" s="1119"/>
      <c r="BI4131" s="319"/>
      <c r="BJ4131" s="319"/>
      <c r="BK4131" s="319"/>
      <c r="BL4131" s="319"/>
      <c r="BM4131" s="319"/>
      <c r="BN4131" s="319"/>
      <c r="BO4131" s="319"/>
      <c r="BP4131" s="953"/>
      <c r="BQ4131" s="319"/>
      <c r="BR4131" s="319"/>
      <c r="BS4131" s="330"/>
      <c r="BT4131" s="331"/>
      <c r="BU4131" s="920"/>
      <c r="BV4131" s="903"/>
      <c r="BW4131" s="908"/>
      <c r="BX4131" s="908"/>
      <c r="BY4131" s="331"/>
      <c r="BZ4131" s="331"/>
      <c r="CA4131" s="462"/>
      <c r="CB4131" s="319"/>
      <c r="CC4131" s="319"/>
      <c r="CD4131" s="319"/>
      <c r="CE4131" s="319"/>
      <c r="CF4131" s="319"/>
      <c r="CG4131" s="319"/>
      <c r="CH4131" s="318"/>
      <c r="CI4131" s="319"/>
      <c r="CJ4131" s="319"/>
      <c r="CK4131" s="342"/>
      <c r="CL4131" s="333"/>
      <c r="CM4131" s="1079"/>
      <c r="CN4131" s="1005"/>
      <c r="CO4131" s="1005"/>
      <c r="CP4131" s="1005"/>
    </row>
    <row r="4132">
      <c r="A4132" s="1257"/>
      <c r="B4132" s="1113"/>
      <c r="C4132" s="1107"/>
      <c r="D4132" s="103"/>
      <c r="E4132" s="1137"/>
      <c r="F4132" s="112"/>
      <c r="G4132" s="1110"/>
      <c r="H4132" s="1138"/>
      <c r="I4132" s="1138"/>
      <c r="J4132" s="1139"/>
      <c r="K4132" s="1111"/>
      <c r="L4132" s="1112"/>
      <c r="M4132" s="1113"/>
      <c r="N4132" s="110"/>
      <c r="O4132" s="1140"/>
      <c r="P4132" s="1115"/>
      <c r="Q4132" s="1116"/>
      <c r="R4132" s="1141"/>
      <c r="S4132" s="1113"/>
      <c r="T4132" s="1143"/>
      <c r="U4132" s="1108"/>
      <c r="V4132" s="1108"/>
      <c r="W4132" s="1108"/>
      <c r="X4132" s="1108"/>
      <c r="Y4132" s="1108"/>
      <c r="Z4132" s="1114"/>
      <c r="AA4132" s="1114"/>
      <c r="AB4132" s="1114"/>
      <c r="AC4132" s="1117"/>
      <c r="AD4132" s="1115"/>
      <c r="AE4132" s="1115"/>
      <c r="AF4132" s="1115"/>
      <c r="AG4132" s="1115"/>
      <c r="AH4132" s="1115"/>
      <c r="AI4132" s="1115"/>
      <c r="AJ4132" s="1117"/>
      <c r="AK4132" s="1118"/>
      <c r="AL4132" s="1115"/>
      <c r="AM4132" s="1115"/>
      <c r="AN4132" s="1115"/>
      <c r="AO4132" s="1115"/>
      <c r="AP4132" s="1115"/>
      <c r="AQ4132" s="1115"/>
      <c r="AR4132" s="1115"/>
      <c r="AS4132" s="1117"/>
      <c r="AT4132" s="1075"/>
      <c r="AU4132" s="1193"/>
      <c r="AV4132" s="330"/>
      <c r="AW4132" s="331"/>
      <c r="AX4132" s="331"/>
      <c r="AY4132" s="331"/>
      <c r="AZ4132" s="331"/>
      <c r="BA4132" s="331"/>
      <c r="BB4132" s="331"/>
      <c r="BC4132" s="331"/>
      <c r="BD4132" s="331"/>
      <c r="BE4132" s="333"/>
      <c r="BF4132" s="330"/>
      <c r="BG4132" s="333"/>
      <c r="BH4132" s="1119"/>
      <c r="BI4132" s="319"/>
      <c r="BJ4132" s="319"/>
      <c r="BK4132" s="319"/>
      <c r="BL4132" s="319"/>
      <c r="BM4132" s="319"/>
      <c r="BN4132" s="319"/>
      <c r="BO4132" s="319"/>
      <c r="BP4132" s="953"/>
      <c r="BQ4132" s="319"/>
      <c r="BR4132" s="319"/>
      <c r="BS4132" s="330"/>
      <c r="BT4132" s="331"/>
      <c r="BU4132" s="920"/>
      <c r="BV4132" s="903"/>
      <c r="BW4132" s="908"/>
      <c r="BX4132" s="908"/>
      <c r="BY4132" s="331"/>
      <c r="BZ4132" s="331"/>
      <c r="CA4132" s="462"/>
      <c r="CB4132" s="319"/>
      <c r="CC4132" s="319"/>
      <c r="CD4132" s="319"/>
      <c r="CE4132" s="319"/>
      <c r="CF4132" s="319"/>
      <c r="CG4132" s="319"/>
      <c r="CH4132" s="318"/>
      <c r="CI4132" s="319"/>
      <c r="CJ4132" s="319"/>
      <c r="CK4132" s="342"/>
      <c r="CL4132" s="333"/>
      <c r="CM4132" s="1079"/>
      <c r="CN4132" s="1005"/>
      <c r="CO4132" s="1005"/>
      <c r="CP4132" s="1005"/>
    </row>
    <row r="4133">
      <c r="A4133" s="1257"/>
      <c r="B4133" s="1113"/>
      <c r="C4133" s="1107"/>
      <c r="D4133" s="103"/>
      <c r="E4133" s="1137"/>
      <c r="F4133" s="112"/>
      <c r="G4133" s="1110"/>
      <c r="H4133" s="1138"/>
      <c r="I4133" s="1138"/>
      <c r="J4133" s="1139"/>
      <c r="K4133" s="1111"/>
      <c r="L4133" s="1112"/>
      <c r="M4133" s="1113"/>
      <c r="N4133" s="110"/>
      <c r="O4133" s="1140"/>
      <c r="P4133" s="1115"/>
      <c r="Q4133" s="1116"/>
      <c r="R4133" s="1141"/>
      <c r="S4133" s="1113"/>
      <c r="T4133" s="1143"/>
      <c r="U4133" s="1108"/>
      <c r="V4133" s="1108"/>
      <c r="W4133" s="1108"/>
      <c r="X4133" s="1108"/>
      <c r="Y4133" s="1108"/>
      <c r="Z4133" s="1114"/>
      <c r="AA4133" s="1114"/>
      <c r="AB4133" s="1114"/>
      <c r="AC4133" s="1117"/>
      <c r="AD4133" s="1115"/>
      <c r="AE4133" s="1115"/>
      <c r="AF4133" s="1115"/>
      <c r="AG4133" s="1115"/>
      <c r="AH4133" s="1115"/>
      <c r="AI4133" s="1115"/>
      <c r="AJ4133" s="1117"/>
      <c r="AK4133" s="1118"/>
      <c r="AL4133" s="1115"/>
      <c r="AM4133" s="1115"/>
      <c r="AN4133" s="1115"/>
      <c r="AO4133" s="1115"/>
      <c r="AP4133" s="1115"/>
      <c r="AQ4133" s="1115"/>
      <c r="AR4133" s="1115"/>
      <c r="AS4133" s="1117"/>
      <c r="AT4133" s="1075"/>
      <c r="AU4133" s="1193"/>
      <c r="AV4133" s="330"/>
      <c r="AW4133" s="331"/>
      <c r="AX4133" s="331"/>
      <c r="AY4133" s="331"/>
      <c r="AZ4133" s="331"/>
      <c r="BA4133" s="331"/>
      <c r="BB4133" s="331"/>
      <c r="BC4133" s="331"/>
      <c r="BD4133" s="331"/>
      <c r="BE4133" s="333"/>
      <c r="BF4133" s="330"/>
      <c r="BG4133" s="333"/>
      <c r="BH4133" s="1119"/>
      <c r="BI4133" s="319"/>
      <c r="BJ4133" s="319"/>
      <c r="BK4133" s="319"/>
      <c r="BL4133" s="319"/>
      <c r="BM4133" s="319"/>
      <c r="BN4133" s="319"/>
      <c r="BO4133" s="319"/>
      <c r="BP4133" s="953"/>
      <c r="BQ4133" s="319"/>
      <c r="BR4133" s="319"/>
      <c r="BS4133" s="330"/>
      <c r="BT4133" s="331"/>
      <c r="BU4133" s="920"/>
      <c r="BV4133" s="903"/>
      <c r="BW4133" s="908"/>
      <c r="BX4133" s="908"/>
      <c r="BY4133" s="331"/>
      <c r="BZ4133" s="331"/>
      <c r="CA4133" s="462"/>
      <c r="CB4133" s="319"/>
      <c r="CC4133" s="319"/>
      <c r="CD4133" s="319"/>
      <c r="CE4133" s="319"/>
      <c r="CF4133" s="319"/>
      <c r="CG4133" s="319"/>
      <c r="CH4133" s="318"/>
      <c r="CI4133" s="319"/>
      <c r="CJ4133" s="319"/>
      <c r="CK4133" s="342"/>
      <c r="CL4133" s="333"/>
      <c r="CM4133" s="1079"/>
      <c r="CN4133" s="1005"/>
      <c r="CO4133" s="1005"/>
      <c r="CP4133" s="1005"/>
    </row>
    <row r="4134">
      <c r="A4134" s="1257"/>
      <c r="B4134" s="1113"/>
      <c r="C4134" s="1107"/>
      <c r="D4134" s="103"/>
      <c r="E4134" s="1137"/>
      <c r="F4134" s="112"/>
      <c r="G4134" s="1110"/>
      <c r="H4134" s="1138"/>
      <c r="I4134" s="1138"/>
      <c r="J4134" s="1139"/>
      <c r="K4134" s="1111"/>
      <c r="L4134" s="1112"/>
      <c r="M4134" s="1113"/>
      <c r="N4134" s="110"/>
      <c r="O4134" s="1140"/>
      <c r="P4134" s="1115"/>
      <c r="Q4134" s="1116"/>
      <c r="R4134" s="1141"/>
      <c r="S4134" s="1113"/>
      <c r="T4134" s="1143"/>
      <c r="U4134" s="1108"/>
      <c r="V4134" s="1108"/>
      <c r="W4134" s="1108"/>
      <c r="X4134" s="1108"/>
      <c r="Y4134" s="1108"/>
      <c r="Z4134" s="1114"/>
      <c r="AA4134" s="1114"/>
      <c r="AB4134" s="1114"/>
      <c r="AC4134" s="1117"/>
      <c r="AD4134" s="1115"/>
      <c r="AE4134" s="1115"/>
      <c r="AF4134" s="1115"/>
      <c r="AG4134" s="1115"/>
      <c r="AH4134" s="1115"/>
      <c r="AI4134" s="1115"/>
      <c r="AJ4134" s="1117"/>
      <c r="AK4134" s="1118"/>
      <c r="AL4134" s="1115"/>
      <c r="AM4134" s="1115"/>
      <c r="AN4134" s="1115"/>
      <c r="AO4134" s="1115"/>
      <c r="AP4134" s="1115"/>
      <c r="AQ4134" s="1115"/>
      <c r="AR4134" s="1115"/>
      <c r="AS4134" s="1117"/>
      <c r="AT4134" s="1075"/>
      <c r="AU4134" s="1193"/>
      <c r="AV4134" s="330"/>
      <c r="AW4134" s="331"/>
      <c r="AX4134" s="331"/>
      <c r="AY4134" s="331"/>
      <c r="AZ4134" s="331"/>
      <c r="BA4134" s="331"/>
      <c r="BB4134" s="331"/>
      <c r="BC4134" s="331"/>
      <c r="BD4134" s="331"/>
      <c r="BE4134" s="333"/>
      <c r="BF4134" s="330"/>
      <c r="BG4134" s="333"/>
      <c r="BH4134" s="1119"/>
      <c r="BI4134" s="319"/>
      <c r="BJ4134" s="319"/>
      <c r="BK4134" s="319"/>
      <c r="BL4134" s="319"/>
      <c r="BM4134" s="319"/>
      <c r="BN4134" s="319"/>
      <c r="BO4134" s="319"/>
      <c r="BP4134" s="953"/>
      <c r="BQ4134" s="319"/>
      <c r="BR4134" s="319"/>
      <c r="BS4134" s="330"/>
      <c r="BT4134" s="331"/>
      <c r="BU4134" s="920"/>
      <c r="BV4134" s="903"/>
      <c r="BW4134" s="908"/>
      <c r="BX4134" s="908"/>
      <c r="BY4134" s="331"/>
      <c r="BZ4134" s="331"/>
      <c r="CA4134" s="462"/>
      <c r="CB4134" s="319"/>
      <c r="CC4134" s="319"/>
      <c r="CD4134" s="319"/>
      <c r="CE4134" s="319"/>
      <c r="CF4134" s="319"/>
      <c r="CG4134" s="319"/>
      <c r="CH4134" s="318"/>
      <c r="CI4134" s="319"/>
      <c r="CJ4134" s="319"/>
      <c r="CK4134" s="342"/>
      <c r="CL4134" s="333"/>
      <c r="CM4134" s="1079"/>
      <c r="CN4134" s="1005"/>
      <c r="CO4134" s="1005"/>
      <c r="CP4134" s="1005"/>
    </row>
    <row r="4135">
      <c r="A4135" s="1257"/>
      <c r="B4135" s="1113"/>
      <c r="C4135" s="1107"/>
      <c r="D4135" s="103"/>
      <c r="E4135" s="1137"/>
      <c r="F4135" s="112"/>
      <c r="G4135" s="1110"/>
      <c r="H4135" s="1138"/>
      <c r="I4135" s="1138"/>
      <c r="J4135" s="1139"/>
      <c r="K4135" s="1111"/>
      <c r="L4135" s="1112"/>
      <c r="M4135" s="1113"/>
      <c r="N4135" s="110"/>
      <c r="O4135" s="1140"/>
      <c r="P4135" s="1115"/>
      <c r="Q4135" s="1116"/>
      <c r="R4135" s="1141"/>
      <c r="S4135" s="1113"/>
      <c r="T4135" s="1143"/>
      <c r="U4135" s="1108"/>
      <c r="V4135" s="1108"/>
      <c r="W4135" s="1108"/>
      <c r="X4135" s="1108"/>
      <c r="Y4135" s="1108"/>
      <c r="Z4135" s="1114"/>
      <c r="AA4135" s="1114"/>
      <c r="AB4135" s="1114"/>
      <c r="AC4135" s="1117"/>
      <c r="AD4135" s="1115"/>
      <c r="AE4135" s="1115"/>
      <c r="AF4135" s="1115"/>
      <c r="AG4135" s="1115"/>
      <c r="AH4135" s="1115"/>
      <c r="AI4135" s="1115"/>
      <c r="AJ4135" s="1117"/>
      <c r="AK4135" s="1118"/>
      <c r="AL4135" s="1115"/>
      <c r="AM4135" s="1115"/>
      <c r="AN4135" s="1115"/>
      <c r="AO4135" s="1115"/>
      <c r="AP4135" s="1115"/>
      <c r="AQ4135" s="1115"/>
      <c r="AR4135" s="1115"/>
      <c r="AS4135" s="1117"/>
      <c r="AT4135" s="1075"/>
      <c r="AU4135" s="1193"/>
      <c r="AV4135" s="330"/>
      <c r="AW4135" s="331"/>
      <c r="AX4135" s="331"/>
      <c r="AY4135" s="331"/>
      <c r="AZ4135" s="331"/>
      <c r="BA4135" s="331"/>
      <c r="BB4135" s="331"/>
      <c r="BC4135" s="331"/>
      <c r="BD4135" s="331"/>
      <c r="BE4135" s="333"/>
      <c r="BF4135" s="330"/>
      <c r="BG4135" s="333"/>
      <c r="BH4135" s="1119"/>
      <c r="BI4135" s="319"/>
      <c r="BJ4135" s="319"/>
      <c r="BK4135" s="319"/>
      <c r="BL4135" s="319"/>
      <c r="BM4135" s="319"/>
      <c r="BN4135" s="319"/>
      <c r="BO4135" s="319"/>
      <c r="BP4135" s="953"/>
      <c r="BQ4135" s="319"/>
      <c r="BR4135" s="319"/>
      <c r="BS4135" s="330"/>
      <c r="BT4135" s="331"/>
      <c r="BU4135" s="920"/>
      <c r="BV4135" s="903"/>
      <c r="BW4135" s="908"/>
      <c r="BX4135" s="908"/>
      <c r="BY4135" s="331"/>
      <c r="BZ4135" s="331"/>
      <c r="CA4135" s="462"/>
      <c r="CB4135" s="319"/>
      <c r="CC4135" s="319"/>
      <c r="CD4135" s="319"/>
      <c r="CE4135" s="319"/>
      <c r="CF4135" s="319"/>
      <c r="CG4135" s="319"/>
      <c r="CH4135" s="318"/>
      <c r="CI4135" s="319"/>
      <c r="CJ4135" s="319"/>
      <c r="CK4135" s="342"/>
      <c r="CL4135" s="333"/>
      <c r="CM4135" s="1079"/>
      <c r="CN4135" s="1005"/>
      <c r="CO4135" s="1005"/>
      <c r="CP4135" s="1005"/>
    </row>
    <row r="4136">
      <c r="A4136" s="1257"/>
      <c r="B4136" s="1113"/>
      <c r="C4136" s="1107"/>
      <c r="D4136" s="103"/>
      <c r="E4136" s="1137"/>
      <c r="F4136" s="112"/>
      <c r="G4136" s="1110"/>
      <c r="H4136" s="1138"/>
      <c r="I4136" s="1138"/>
      <c r="J4136" s="1139"/>
      <c r="K4136" s="1111"/>
      <c r="L4136" s="1112"/>
      <c r="M4136" s="1113"/>
      <c r="N4136" s="110"/>
      <c r="O4136" s="1140"/>
      <c r="P4136" s="1115"/>
      <c r="Q4136" s="1116"/>
      <c r="R4136" s="1141"/>
      <c r="S4136" s="1113"/>
      <c r="T4136" s="1143"/>
      <c r="U4136" s="1108"/>
      <c r="V4136" s="1108"/>
      <c r="W4136" s="1108"/>
      <c r="X4136" s="1108"/>
      <c r="Y4136" s="1108"/>
      <c r="Z4136" s="1114"/>
      <c r="AA4136" s="1114"/>
      <c r="AB4136" s="1114"/>
      <c r="AC4136" s="1117"/>
      <c r="AD4136" s="1115"/>
      <c r="AE4136" s="1115"/>
      <c r="AF4136" s="1115"/>
      <c r="AG4136" s="1115"/>
      <c r="AH4136" s="1115"/>
      <c r="AI4136" s="1115"/>
      <c r="AJ4136" s="1117"/>
      <c r="AK4136" s="1118"/>
      <c r="AL4136" s="1115"/>
      <c r="AM4136" s="1115"/>
      <c r="AN4136" s="1115"/>
      <c r="AO4136" s="1115"/>
      <c r="AP4136" s="1115"/>
      <c r="AQ4136" s="1115"/>
      <c r="AR4136" s="1115"/>
      <c r="AS4136" s="1117"/>
      <c r="AT4136" s="1075"/>
      <c r="AU4136" s="1193"/>
      <c r="AV4136" s="330"/>
      <c r="AW4136" s="331"/>
      <c r="AX4136" s="331"/>
      <c r="AY4136" s="331"/>
      <c r="AZ4136" s="331"/>
      <c r="BA4136" s="331"/>
      <c r="BB4136" s="331"/>
      <c r="BC4136" s="331"/>
      <c r="BD4136" s="331"/>
      <c r="BE4136" s="333"/>
      <c r="BF4136" s="330"/>
      <c r="BG4136" s="333"/>
      <c r="BH4136" s="1119"/>
      <c r="BI4136" s="319"/>
      <c r="BJ4136" s="319"/>
      <c r="BK4136" s="319"/>
      <c r="BL4136" s="319"/>
      <c r="BM4136" s="319"/>
      <c r="BN4136" s="319"/>
      <c r="BO4136" s="319"/>
      <c r="BP4136" s="953"/>
      <c r="BQ4136" s="319"/>
      <c r="BR4136" s="319"/>
      <c r="BS4136" s="330"/>
      <c r="BT4136" s="331"/>
      <c r="BU4136" s="920"/>
      <c r="BV4136" s="903"/>
      <c r="BW4136" s="908"/>
      <c r="BX4136" s="908"/>
      <c r="BY4136" s="331"/>
      <c r="BZ4136" s="331"/>
      <c r="CA4136" s="462"/>
      <c r="CB4136" s="319"/>
      <c r="CC4136" s="319"/>
      <c r="CD4136" s="319"/>
      <c r="CE4136" s="319"/>
      <c r="CF4136" s="319"/>
      <c r="CG4136" s="319"/>
      <c r="CH4136" s="318"/>
      <c r="CI4136" s="319"/>
      <c r="CJ4136" s="319"/>
      <c r="CK4136" s="342"/>
      <c r="CL4136" s="333"/>
      <c r="CM4136" s="1079"/>
      <c r="CN4136" s="1005"/>
      <c r="CO4136" s="1005"/>
      <c r="CP4136" s="1005"/>
    </row>
    <row r="4137">
      <c r="A4137" s="1257"/>
      <c r="B4137" s="1113"/>
      <c r="C4137" s="1107"/>
      <c r="D4137" s="103"/>
      <c r="E4137" s="1137"/>
      <c r="F4137" s="112"/>
      <c r="G4137" s="1110"/>
      <c r="H4137" s="1138"/>
      <c r="I4137" s="1138"/>
      <c r="J4137" s="1139"/>
      <c r="K4137" s="1111"/>
      <c r="L4137" s="1112"/>
      <c r="M4137" s="1113"/>
      <c r="N4137" s="110"/>
      <c r="O4137" s="1140"/>
      <c r="P4137" s="1115"/>
      <c r="Q4137" s="1116"/>
      <c r="R4137" s="1141"/>
      <c r="S4137" s="1113"/>
      <c r="T4137" s="1143"/>
      <c r="U4137" s="1108"/>
      <c r="V4137" s="1108"/>
      <c r="W4137" s="1108"/>
      <c r="X4137" s="1108"/>
      <c r="Y4137" s="1108"/>
      <c r="Z4137" s="1114"/>
      <c r="AA4137" s="1114"/>
      <c r="AB4137" s="1114"/>
      <c r="AC4137" s="1117"/>
      <c r="AD4137" s="1115"/>
      <c r="AE4137" s="1115"/>
      <c r="AF4137" s="1115"/>
      <c r="AG4137" s="1115"/>
      <c r="AH4137" s="1115"/>
      <c r="AI4137" s="1115"/>
      <c r="AJ4137" s="1117"/>
      <c r="AK4137" s="1118"/>
      <c r="AL4137" s="1115"/>
      <c r="AM4137" s="1115"/>
      <c r="AN4137" s="1115"/>
      <c r="AO4137" s="1115"/>
      <c r="AP4137" s="1115"/>
      <c r="AQ4137" s="1115"/>
      <c r="AR4137" s="1115"/>
      <c r="AS4137" s="1117"/>
      <c r="AT4137" s="1075"/>
      <c r="AU4137" s="1193"/>
      <c r="AV4137" s="330"/>
      <c r="AW4137" s="331"/>
      <c r="AX4137" s="331"/>
      <c r="AY4137" s="331"/>
      <c r="AZ4137" s="331"/>
      <c r="BA4137" s="331"/>
      <c r="BB4137" s="331"/>
      <c r="BC4137" s="331"/>
      <c r="BD4137" s="331"/>
      <c r="BE4137" s="333"/>
      <c r="BF4137" s="330"/>
      <c r="BG4137" s="333"/>
      <c r="BH4137" s="1119"/>
      <c r="BI4137" s="319"/>
      <c r="BJ4137" s="319"/>
      <c r="BK4137" s="319"/>
      <c r="BL4137" s="319"/>
      <c r="BM4137" s="319"/>
      <c r="BN4137" s="319"/>
      <c r="BO4137" s="319"/>
      <c r="BP4137" s="953"/>
      <c r="BQ4137" s="319"/>
      <c r="BR4137" s="319"/>
      <c r="BS4137" s="330"/>
      <c r="BT4137" s="331"/>
      <c r="BU4137" s="920"/>
      <c r="BV4137" s="903"/>
      <c r="BW4137" s="908"/>
      <c r="BX4137" s="908"/>
      <c r="BY4137" s="331"/>
      <c r="BZ4137" s="331"/>
      <c r="CA4137" s="462"/>
      <c r="CB4137" s="319"/>
      <c r="CC4137" s="319"/>
      <c r="CD4137" s="319"/>
      <c r="CE4137" s="319"/>
      <c r="CF4137" s="319"/>
      <c r="CG4137" s="319"/>
      <c r="CH4137" s="318"/>
      <c r="CI4137" s="319"/>
      <c r="CJ4137" s="319"/>
      <c r="CK4137" s="342"/>
      <c r="CL4137" s="333"/>
      <c r="CM4137" s="1079"/>
      <c r="CN4137" s="1005"/>
      <c r="CO4137" s="1005"/>
      <c r="CP4137" s="1005"/>
    </row>
    <row r="4138">
      <c r="A4138" s="1257"/>
      <c r="B4138" s="1113"/>
      <c r="C4138" s="1107"/>
      <c r="D4138" s="103"/>
      <c r="E4138" s="1137"/>
      <c r="F4138" s="112"/>
      <c r="G4138" s="1110"/>
      <c r="H4138" s="1138"/>
      <c r="I4138" s="1138"/>
      <c r="J4138" s="1139"/>
      <c r="K4138" s="1111"/>
      <c r="L4138" s="1112"/>
      <c r="M4138" s="1113"/>
      <c r="N4138" s="110"/>
      <c r="O4138" s="1140"/>
      <c r="P4138" s="1115"/>
      <c r="Q4138" s="1116"/>
      <c r="R4138" s="1141"/>
      <c r="S4138" s="1113"/>
      <c r="T4138" s="1143"/>
      <c r="U4138" s="1108"/>
      <c r="V4138" s="1108"/>
      <c r="W4138" s="1108"/>
      <c r="X4138" s="1108"/>
      <c r="Y4138" s="1108"/>
      <c r="Z4138" s="1114"/>
      <c r="AA4138" s="1114"/>
      <c r="AB4138" s="1114"/>
      <c r="AC4138" s="1117"/>
      <c r="AD4138" s="1115"/>
      <c r="AE4138" s="1115"/>
      <c r="AF4138" s="1115"/>
      <c r="AG4138" s="1115"/>
      <c r="AH4138" s="1115"/>
      <c r="AI4138" s="1115"/>
      <c r="AJ4138" s="1117"/>
      <c r="AK4138" s="1118"/>
      <c r="AL4138" s="1115"/>
      <c r="AM4138" s="1115"/>
      <c r="AN4138" s="1115"/>
      <c r="AO4138" s="1115"/>
      <c r="AP4138" s="1115"/>
      <c r="AQ4138" s="1115"/>
      <c r="AR4138" s="1115"/>
      <c r="AS4138" s="1117"/>
      <c r="AT4138" s="1075"/>
      <c r="AU4138" s="1193"/>
      <c r="AV4138" s="330"/>
      <c r="AW4138" s="331"/>
      <c r="AX4138" s="331"/>
      <c r="AY4138" s="331"/>
      <c r="AZ4138" s="331"/>
      <c r="BA4138" s="331"/>
      <c r="BB4138" s="331"/>
      <c r="BC4138" s="331"/>
      <c r="BD4138" s="331"/>
      <c r="BE4138" s="333"/>
      <c r="BF4138" s="330"/>
      <c r="BG4138" s="333"/>
      <c r="BH4138" s="1119"/>
      <c r="BI4138" s="319"/>
      <c r="BJ4138" s="319"/>
      <c r="BK4138" s="319"/>
      <c r="BL4138" s="319"/>
      <c r="BM4138" s="319"/>
      <c r="BN4138" s="319"/>
      <c r="BO4138" s="319"/>
      <c r="BP4138" s="953"/>
      <c r="BQ4138" s="319"/>
      <c r="BR4138" s="319"/>
      <c r="BS4138" s="330"/>
      <c r="BT4138" s="331"/>
      <c r="BU4138" s="920"/>
      <c r="BV4138" s="903"/>
      <c r="BW4138" s="908"/>
      <c r="BX4138" s="908"/>
      <c r="BY4138" s="331"/>
      <c r="BZ4138" s="331"/>
      <c r="CA4138" s="462"/>
      <c r="CB4138" s="319"/>
      <c r="CC4138" s="319"/>
      <c r="CD4138" s="319"/>
      <c r="CE4138" s="319"/>
      <c r="CF4138" s="319"/>
      <c r="CG4138" s="319"/>
      <c r="CH4138" s="318"/>
      <c r="CI4138" s="319"/>
      <c r="CJ4138" s="319"/>
      <c r="CK4138" s="342"/>
      <c r="CL4138" s="333"/>
      <c r="CM4138" s="1079"/>
      <c r="CN4138" s="1005"/>
      <c r="CO4138" s="1005"/>
      <c r="CP4138" s="1005"/>
    </row>
    <row r="4139">
      <c r="A4139" s="1257"/>
      <c r="B4139" s="1113"/>
      <c r="C4139" s="1107"/>
      <c r="D4139" s="103"/>
      <c r="E4139" s="1137"/>
      <c r="F4139" s="112"/>
      <c r="G4139" s="1110"/>
      <c r="H4139" s="1138"/>
      <c r="I4139" s="1138"/>
      <c r="J4139" s="1139"/>
      <c r="K4139" s="1111"/>
      <c r="L4139" s="1112"/>
      <c r="M4139" s="1113"/>
      <c r="N4139" s="110"/>
      <c r="O4139" s="1140"/>
      <c r="P4139" s="1115"/>
      <c r="Q4139" s="1116"/>
      <c r="R4139" s="1141"/>
      <c r="S4139" s="1113"/>
      <c r="T4139" s="1143"/>
      <c r="U4139" s="1108"/>
      <c r="V4139" s="1108"/>
      <c r="W4139" s="1108"/>
      <c r="X4139" s="1108"/>
      <c r="Y4139" s="1108"/>
      <c r="Z4139" s="1114"/>
      <c r="AA4139" s="1114"/>
      <c r="AB4139" s="1114"/>
      <c r="AC4139" s="1117"/>
      <c r="AD4139" s="1115"/>
      <c r="AE4139" s="1115"/>
      <c r="AF4139" s="1115"/>
      <c r="AG4139" s="1115"/>
      <c r="AH4139" s="1115"/>
      <c r="AI4139" s="1115"/>
      <c r="AJ4139" s="1117"/>
      <c r="AK4139" s="1118"/>
      <c r="AL4139" s="1115"/>
      <c r="AM4139" s="1115"/>
      <c r="AN4139" s="1115"/>
      <c r="AO4139" s="1115"/>
      <c r="AP4139" s="1115"/>
      <c r="AQ4139" s="1115"/>
      <c r="AR4139" s="1115"/>
      <c r="AS4139" s="1117"/>
      <c r="AT4139" s="1075"/>
      <c r="AU4139" s="1193"/>
      <c r="AV4139" s="330"/>
      <c r="AW4139" s="331"/>
      <c r="AX4139" s="331"/>
      <c r="AY4139" s="331"/>
      <c r="AZ4139" s="331"/>
      <c r="BA4139" s="331"/>
      <c r="BB4139" s="331"/>
      <c r="BC4139" s="331"/>
      <c r="BD4139" s="331"/>
      <c r="BE4139" s="333"/>
      <c r="BF4139" s="330"/>
      <c r="BG4139" s="333"/>
      <c r="BH4139" s="1119"/>
      <c r="BI4139" s="319"/>
      <c r="BJ4139" s="319"/>
      <c r="BK4139" s="319"/>
      <c r="BL4139" s="319"/>
      <c r="BM4139" s="319"/>
      <c r="BN4139" s="319"/>
      <c r="BO4139" s="319"/>
      <c r="BP4139" s="953"/>
      <c r="BQ4139" s="319"/>
      <c r="BR4139" s="319"/>
      <c r="BS4139" s="330"/>
      <c r="BT4139" s="331"/>
      <c r="BU4139" s="920"/>
      <c r="BV4139" s="903"/>
      <c r="BW4139" s="908"/>
      <c r="BX4139" s="908"/>
      <c r="BY4139" s="331"/>
      <c r="BZ4139" s="331"/>
      <c r="CA4139" s="462"/>
      <c r="CB4139" s="319"/>
      <c r="CC4139" s="319"/>
      <c r="CD4139" s="319"/>
      <c r="CE4139" s="319"/>
      <c r="CF4139" s="319"/>
      <c r="CG4139" s="319"/>
      <c r="CH4139" s="318"/>
      <c r="CI4139" s="319"/>
      <c r="CJ4139" s="319"/>
      <c r="CK4139" s="342"/>
      <c r="CL4139" s="333"/>
      <c r="CM4139" s="1079"/>
      <c r="CN4139" s="1005"/>
      <c r="CO4139" s="1005"/>
      <c r="CP4139" s="1005"/>
    </row>
    <row r="4140">
      <c r="A4140" s="1257"/>
      <c r="B4140" s="1113"/>
      <c r="C4140" s="1107"/>
      <c r="D4140" s="103"/>
      <c r="E4140" s="1137"/>
      <c r="F4140" s="112"/>
      <c r="G4140" s="1110"/>
      <c r="H4140" s="1138"/>
      <c r="I4140" s="1138"/>
      <c r="J4140" s="1139"/>
      <c r="K4140" s="1111"/>
      <c r="L4140" s="1112"/>
      <c r="M4140" s="1113"/>
      <c r="N4140" s="110"/>
      <c r="O4140" s="1140"/>
      <c r="P4140" s="1115"/>
      <c r="Q4140" s="1116"/>
      <c r="R4140" s="1141"/>
      <c r="S4140" s="1113"/>
      <c r="T4140" s="1143"/>
      <c r="U4140" s="1108"/>
      <c r="V4140" s="1108"/>
      <c r="W4140" s="1108"/>
      <c r="X4140" s="1108"/>
      <c r="Y4140" s="1108"/>
      <c r="Z4140" s="1114"/>
      <c r="AA4140" s="1114"/>
      <c r="AB4140" s="1114"/>
      <c r="AC4140" s="1117"/>
      <c r="AD4140" s="1115"/>
      <c r="AE4140" s="1115"/>
      <c r="AF4140" s="1115"/>
      <c r="AG4140" s="1115"/>
      <c r="AH4140" s="1115"/>
      <c r="AI4140" s="1115"/>
      <c r="AJ4140" s="1117"/>
      <c r="AK4140" s="1118"/>
      <c r="AL4140" s="1115"/>
      <c r="AM4140" s="1115"/>
      <c r="AN4140" s="1115"/>
      <c r="AO4140" s="1115"/>
      <c r="AP4140" s="1115"/>
      <c r="AQ4140" s="1115"/>
      <c r="AR4140" s="1115"/>
      <c r="AS4140" s="1117"/>
      <c r="AT4140" s="1075"/>
      <c r="AU4140" s="1193"/>
      <c r="AV4140" s="330"/>
      <c r="AW4140" s="331"/>
      <c r="AX4140" s="331"/>
      <c r="AY4140" s="331"/>
      <c r="AZ4140" s="331"/>
      <c r="BA4140" s="331"/>
      <c r="BB4140" s="331"/>
      <c r="BC4140" s="331"/>
      <c r="BD4140" s="331"/>
      <c r="BE4140" s="333"/>
      <c r="BF4140" s="330"/>
      <c r="BG4140" s="333"/>
      <c r="BH4140" s="1119"/>
      <c r="BI4140" s="319"/>
      <c r="BJ4140" s="319"/>
      <c r="BK4140" s="319"/>
      <c r="BL4140" s="319"/>
      <c r="BM4140" s="319"/>
      <c r="BN4140" s="319"/>
      <c r="BO4140" s="319"/>
      <c r="BP4140" s="953"/>
      <c r="BQ4140" s="319"/>
      <c r="BR4140" s="319"/>
      <c r="BS4140" s="330"/>
      <c r="BT4140" s="331"/>
      <c r="BU4140" s="920"/>
      <c r="BV4140" s="903"/>
      <c r="BW4140" s="908"/>
      <c r="BX4140" s="908"/>
      <c r="BY4140" s="331"/>
      <c r="BZ4140" s="331"/>
      <c r="CA4140" s="462"/>
      <c r="CB4140" s="319"/>
      <c r="CC4140" s="319"/>
      <c r="CD4140" s="319"/>
      <c r="CE4140" s="319"/>
      <c r="CF4140" s="319"/>
      <c r="CG4140" s="319"/>
      <c r="CH4140" s="318"/>
      <c r="CI4140" s="319"/>
      <c r="CJ4140" s="319"/>
      <c r="CK4140" s="342"/>
      <c r="CL4140" s="333"/>
      <c r="CM4140" s="1079"/>
      <c r="CN4140" s="1005"/>
      <c r="CO4140" s="1005"/>
      <c r="CP4140" s="1005"/>
    </row>
    <row r="4141">
      <c r="A4141" s="1257"/>
      <c r="B4141" s="1113"/>
      <c r="C4141" s="1107"/>
      <c r="D4141" s="103"/>
      <c r="E4141" s="1137"/>
      <c r="F4141" s="112"/>
      <c r="G4141" s="1110"/>
      <c r="H4141" s="1138"/>
      <c r="I4141" s="1138"/>
      <c r="J4141" s="1139"/>
      <c r="K4141" s="1111"/>
      <c r="L4141" s="1112"/>
      <c r="M4141" s="1113"/>
      <c r="N4141" s="110"/>
      <c r="O4141" s="1140"/>
      <c r="P4141" s="1115"/>
      <c r="Q4141" s="1116"/>
      <c r="R4141" s="1141"/>
      <c r="S4141" s="1113"/>
      <c r="T4141" s="1143"/>
      <c r="U4141" s="1108"/>
      <c r="V4141" s="1108"/>
      <c r="W4141" s="1108"/>
      <c r="X4141" s="1108"/>
      <c r="Y4141" s="1108"/>
      <c r="Z4141" s="1114"/>
      <c r="AA4141" s="1114"/>
      <c r="AB4141" s="1114"/>
      <c r="AC4141" s="1117"/>
      <c r="AD4141" s="1115"/>
      <c r="AE4141" s="1115"/>
      <c r="AF4141" s="1115"/>
      <c r="AG4141" s="1115"/>
      <c r="AH4141" s="1115"/>
      <c r="AI4141" s="1115"/>
      <c r="AJ4141" s="1117"/>
      <c r="AK4141" s="1118"/>
      <c r="AL4141" s="1115"/>
      <c r="AM4141" s="1115"/>
      <c r="AN4141" s="1115"/>
      <c r="AO4141" s="1115"/>
      <c r="AP4141" s="1115"/>
      <c r="AQ4141" s="1115"/>
      <c r="AR4141" s="1115"/>
      <c r="AS4141" s="1117"/>
      <c r="AT4141" s="1075"/>
      <c r="AU4141" s="1193"/>
      <c r="AV4141" s="330"/>
      <c r="AW4141" s="331"/>
      <c r="AX4141" s="331"/>
      <c r="AY4141" s="331"/>
      <c r="AZ4141" s="331"/>
      <c r="BA4141" s="331"/>
      <c r="BB4141" s="331"/>
      <c r="BC4141" s="331"/>
      <c r="BD4141" s="331"/>
      <c r="BE4141" s="333"/>
      <c r="BF4141" s="330"/>
      <c r="BG4141" s="333"/>
      <c r="BH4141" s="1119"/>
      <c r="BI4141" s="319"/>
      <c r="BJ4141" s="319"/>
      <c r="BK4141" s="319"/>
      <c r="BL4141" s="319"/>
      <c r="BM4141" s="319"/>
      <c r="BN4141" s="319"/>
      <c r="BO4141" s="319"/>
      <c r="BP4141" s="953"/>
      <c r="BQ4141" s="319"/>
      <c r="BR4141" s="319"/>
      <c r="BS4141" s="330"/>
      <c r="BT4141" s="331"/>
      <c r="BU4141" s="920"/>
      <c r="BV4141" s="903"/>
      <c r="BW4141" s="908"/>
      <c r="BX4141" s="908"/>
      <c r="BY4141" s="331"/>
      <c r="BZ4141" s="331"/>
      <c r="CA4141" s="462"/>
      <c r="CB4141" s="319"/>
      <c r="CC4141" s="319"/>
      <c r="CD4141" s="319"/>
      <c r="CE4141" s="319"/>
      <c r="CF4141" s="319"/>
      <c r="CG4141" s="319"/>
      <c r="CH4141" s="318"/>
      <c r="CI4141" s="319"/>
      <c r="CJ4141" s="319"/>
      <c r="CK4141" s="342"/>
      <c r="CL4141" s="333"/>
      <c r="CM4141" s="1079"/>
      <c r="CN4141" s="1005"/>
      <c r="CO4141" s="1005"/>
      <c r="CP4141" s="1005"/>
    </row>
    <row r="4142">
      <c r="A4142" s="1257"/>
      <c r="B4142" s="1113"/>
      <c r="C4142" s="1107"/>
      <c r="D4142" s="103"/>
      <c r="E4142" s="1137"/>
      <c r="F4142" s="112"/>
      <c r="G4142" s="1110"/>
      <c r="H4142" s="1138"/>
      <c r="I4142" s="1138"/>
      <c r="J4142" s="1139"/>
      <c r="K4142" s="1111"/>
      <c r="L4142" s="1112"/>
      <c r="M4142" s="1113"/>
      <c r="N4142" s="110"/>
      <c r="O4142" s="1140"/>
      <c r="P4142" s="1115"/>
      <c r="Q4142" s="1116"/>
      <c r="R4142" s="1141"/>
      <c r="S4142" s="1113"/>
      <c r="T4142" s="1143"/>
      <c r="U4142" s="1108"/>
      <c r="V4142" s="1108"/>
      <c r="W4142" s="1108"/>
      <c r="X4142" s="1108"/>
      <c r="Y4142" s="1108"/>
      <c r="Z4142" s="1114"/>
      <c r="AA4142" s="1114"/>
      <c r="AB4142" s="1114"/>
      <c r="AC4142" s="1117"/>
      <c r="AD4142" s="1115"/>
      <c r="AE4142" s="1115"/>
      <c r="AF4142" s="1115"/>
      <c r="AG4142" s="1115"/>
      <c r="AH4142" s="1115"/>
      <c r="AI4142" s="1115"/>
      <c r="AJ4142" s="1117"/>
      <c r="AK4142" s="1118"/>
      <c r="AL4142" s="1115"/>
      <c r="AM4142" s="1115"/>
      <c r="AN4142" s="1115"/>
      <c r="AO4142" s="1115"/>
      <c r="AP4142" s="1115"/>
      <c r="AQ4142" s="1115"/>
      <c r="AR4142" s="1115"/>
      <c r="AS4142" s="1117"/>
      <c r="AT4142" s="1075"/>
      <c r="AU4142" s="1193"/>
      <c r="AV4142" s="330"/>
      <c r="AW4142" s="331"/>
      <c r="AX4142" s="331"/>
      <c r="AY4142" s="331"/>
      <c r="AZ4142" s="331"/>
      <c r="BA4142" s="331"/>
      <c r="BB4142" s="331"/>
      <c r="BC4142" s="331"/>
      <c r="BD4142" s="331"/>
      <c r="BE4142" s="333"/>
      <c r="BF4142" s="330"/>
      <c r="BG4142" s="333"/>
      <c r="BH4142" s="1119"/>
      <c r="BI4142" s="319"/>
      <c r="BJ4142" s="319"/>
      <c r="BK4142" s="319"/>
      <c r="BL4142" s="319"/>
      <c r="BM4142" s="319"/>
      <c r="BN4142" s="319"/>
      <c r="BO4142" s="319"/>
      <c r="BP4142" s="953"/>
      <c r="BQ4142" s="319"/>
      <c r="BR4142" s="319"/>
      <c r="BS4142" s="330"/>
      <c r="BT4142" s="331"/>
      <c r="BU4142" s="920"/>
      <c r="BV4142" s="903"/>
      <c r="BW4142" s="908"/>
      <c r="BX4142" s="908"/>
      <c r="BY4142" s="331"/>
      <c r="BZ4142" s="331"/>
      <c r="CA4142" s="462"/>
      <c r="CB4142" s="319"/>
      <c r="CC4142" s="319"/>
      <c r="CD4142" s="319"/>
      <c r="CE4142" s="319"/>
      <c r="CF4142" s="319"/>
      <c r="CG4142" s="319"/>
      <c r="CH4142" s="318"/>
      <c r="CI4142" s="319"/>
      <c r="CJ4142" s="319"/>
      <c r="CK4142" s="342"/>
      <c r="CL4142" s="333"/>
      <c r="CM4142" s="1079"/>
      <c r="CN4142" s="1005"/>
      <c r="CO4142" s="1005"/>
      <c r="CP4142" s="1005"/>
    </row>
    <row r="4143">
      <c r="A4143" s="1257"/>
      <c r="B4143" s="1113"/>
      <c r="C4143" s="1107"/>
      <c r="D4143" s="103"/>
      <c r="E4143" s="1137"/>
      <c r="F4143" s="112"/>
      <c r="G4143" s="1110"/>
      <c r="H4143" s="1138"/>
      <c r="I4143" s="1138"/>
      <c r="J4143" s="1139"/>
      <c r="K4143" s="1111"/>
      <c r="L4143" s="1112"/>
      <c r="M4143" s="1113"/>
      <c r="N4143" s="110"/>
      <c r="O4143" s="1140"/>
      <c r="P4143" s="1115"/>
      <c r="Q4143" s="1116"/>
      <c r="R4143" s="1141"/>
      <c r="S4143" s="1113"/>
      <c r="T4143" s="1143"/>
      <c r="U4143" s="1108"/>
      <c r="V4143" s="1108"/>
      <c r="W4143" s="1108"/>
      <c r="X4143" s="1108"/>
      <c r="Y4143" s="1108"/>
      <c r="Z4143" s="1114"/>
      <c r="AA4143" s="1114"/>
      <c r="AB4143" s="1114"/>
      <c r="AC4143" s="1117"/>
      <c r="AD4143" s="1115"/>
      <c r="AE4143" s="1115"/>
      <c r="AF4143" s="1115"/>
      <c r="AG4143" s="1115"/>
      <c r="AH4143" s="1115"/>
      <c r="AI4143" s="1115"/>
      <c r="AJ4143" s="1117"/>
      <c r="AK4143" s="1118"/>
      <c r="AL4143" s="1115"/>
      <c r="AM4143" s="1115"/>
      <c r="AN4143" s="1115"/>
      <c r="AO4143" s="1115"/>
      <c r="AP4143" s="1115"/>
      <c r="AQ4143" s="1115"/>
      <c r="AR4143" s="1115"/>
      <c r="AS4143" s="1117"/>
      <c r="AT4143" s="1075"/>
      <c r="AU4143" s="1193"/>
      <c r="AV4143" s="330"/>
      <c r="AW4143" s="331"/>
      <c r="AX4143" s="331"/>
      <c r="AY4143" s="331"/>
      <c r="AZ4143" s="331"/>
      <c r="BA4143" s="331"/>
      <c r="BB4143" s="331"/>
      <c r="BC4143" s="331"/>
      <c r="BD4143" s="331"/>
      <c r="BE4143" s="333"/>
      <c r="BF4143" s="330"/>
      <c r="BG4143" s="333"/>
      <c r="BH4143" s="1119"/>
      <c r="BI4143" s="319"/>
      <c r="BJ4143" s="319"/>
      <c r="BK4143" s="319"/>
      <c r="BL4143" s="319"/>
      <c r="BM4143" s="319"/>
      <c r="BN4143" s="319"/>
      <c r="BO4143" s="319"/>
      <c r="BP4143" s="953"/>
      <c r="BQ4143" s="319"/>
      <c r="BR4143" s="319"/>
      <c r="BS4143" s="330"/>
      <c r="BT4143" s="331"/>
      <c r="BU4143" s="920"/>
      <c r="BV4143" s="903"/>
      <c r="BW4143" s="908"/>
      <c r="BX4143" s="908"/>
      <c r="BY4143" s="331"/>
      <c r="BZ4143" s="331"/>
      <c r="CA4143" s="462"/>
      <c r="CB4143" s="319"/>
      <c r="CC4143" s="319"/>
      <c r="CD4143" s="319"/>
      <c r="CE4143" s="319"/>
      <c r="CF4143" s="319"/>
      <c r="CG4143" s="319"/>
      <c r="CH4143" s="318"/>
      <c r="CI4143" s="319"/>
      <c r="CJ4143" s="319"/>
      <c r="CK4143" s="342"/>
      <c r="CL4143" s="333"/>
      <c r="CM4143" s="1079"/>
      <c r="CN4143" s="1005"/>
      <c r="CO4143" s="1005"/>
      <c r="CP4143" s="1005"/>
    </row>
    <row r="4144">
      <c r="A4144" s="1257"/>
      <c r="B4144" s="1113"/>
      <c r="C4144" s="1107"/>
      <c r="D4144" s="103"/>
      <c r="E4144" s="1137"/>
      <c r="F4144" s="112"/>
      <c r="G4144" s="1110"/>
      <c r="H4144" s="1138"/>
      <c r="I4144" s="1138"/>
      <c r="J4144" s="1139"/>
      <c r="K4144" s="1111"/>
      <c r="L4144" s="1112"/>
      <c r="M4144" s="1113"/>
      <c r="N4144" s="110"/>
      <c r="O4144" s="1140"/>
      <c r="P4144" s="1115"/>
      <c r="Q4144" s="1116"/>
      <c r="R4144" s="1141"/>
      <c r="S4144" s="1113"/>
      <c r="T4144" s="1143"/>
      <c r="U4144" s="1108"/>
      <c r="V4144" s="1108"/>
      <c r="W4144" s="1108"/>
      <c r="X4144" s="1108"/>
      <c r="Y4144" s="1108"/>
      <c r="Z4144" s="1114"/>
      <c r="AA4144" s="1114"/>
      <c r="AB4144" s="1114"/>
      <c r="AC4144" s="1117"/>
      <c r="AD4144" s="1115"/>
      <c r="AE4144" s="1115"/>
      <c r="AF4144" s="1115"/>
      <c r="AG4144" s="1115"/>
      <c r="AH4144" s="1115"/>
      <c r="AI4144" s="1115"/>
      <c r="AJ4144" s="1117"/>
      <c r="AK4144" s="1118"/>
      <c r="AL4144" s="1115"/>
      <c r="AM4144" s="1115"/>
      <c r="AN4144" s="1115"/>
      <c r="AO4144" s="1115"/>
      <c r="AP4144" s="1115"/>
      <c r="AQ4144" s="1115"/>
      <c r="AR4144" s="1115"/>
      <c r="AS4144" s="1117"/>
      <c r="AT4144" s="1075"/>
      <c r="AU4144" s="1193"/>
      <c r="AV4144" s="330"/>
      <c r="AW4144" s="331"/>
      <c r="AX4144" s="331"/>
      <c r="AY4144" s="331"/>
      <c r="AZ4144" s="331"/>
      <c r="BA4144" s="331"/>
      <c r="BB4144" s="331"/>
      <c r="BC4144" s="331"/>
      <c r="BD4144" s="331"/>
      <c r="BE4144" s="333"/>
      <c r="BF4144" s="330"/>
      <c r="BG4144" s="333"/>
      <c r="BH4144" s="1119"/>
      <c r="BI4144" s="319"/>
      <c r="BJ4144" s="319"/>
      <c r="BK4144" s="319"/>
      <c r="BL4144" s="319"/>
      <c r="BM4144" s="319"/>
      <c r="BN4144" s="319"/>
      <c r="BO4144" s="319"/>
      <c r="BP4144" s="953"/>
      <c r="BQ4144" s="319"/>
      <c r="BR4144" s="319"/>
      <c r="BS4144" s="330"/>
      <c r="BT4144" s="331"/>
      <c r="BU4144" s="920"/>
      <c r="BV4144" s="903"/>
      <c r="BW4144" s="908"/>
      <c r="BX4144" s="908"/>
      <c r="BY4144" s="331"/>
      <c r="BZ4144" s="331"/>
      <c r="CA4144" s="462"/>
      <c r="CB4144" s="319"/>
      <c r="CC4144" s="319"/>
      <c r="CD4144" s="319"/>
      <c r="CE4144" s="319"/>
      <c r="CF4144" s="319"/>
      <c r="CG4144" s="319"/>
      <c r="CH4144" s="318"/>
      <c r="CI4144" s="319"/>
      <c r="CJ4144" s="319"/>
      <c r="CK4144" s="342"/>
      <c r="CL4144" s="333"/>
      <c r="CM4144" s="1079"/>
      <c r="CN4144" s="1005"/>
      <c r="CO4144" s="1005"/>
      <c r="CP4144" s="1005"/>
    </row>
    <row r="4145">
      <c r="A4145" s="1257"/>
      <c r="B4145" s="1113"/>
      <c r="C4145" s="1107"/>
      <c r="D4145" s="103"/>
      <c r="E4145" s="1137"/>
      <c r="F4145" s="112"/>
      <c r="G4145" s="1110"/>
      <c r="H4145" s="1138"/>
      <c r="I4145" s="1138"/>
      <c r="J4145" s="1139"/>
      <c r="K4145" s="1111"/>
      <c r="L4145" s="1112"/>
      <c r="M4145" s="1113"/>
      <c r="N4145" s="110"/>
      <c r="O4145" s="1140"/>
      <c r="P4145" s="1115"/>
      <c r="Q4145" s="1116"/>
      <c r="R4145" s="1141"/>
      <c r="S4145" s="1113"/>
      <c r="T4145" s="1143"/>
      <c r="U4145" s="1108"/>
      <c r="V4145" s="1108"/>
      <c r="W4145" s="1108"/>
      <c r="X4145" s="1108"/>
      <c r="Y4145" s="1108"/>
      <c r="Z4145" s="1114"/>
      <c r="AA4145" s="1114"/>
      <c r="AB4145" s="1114"/>
      <c r="AC4145" s="1117"/>
      <c r="AD4145" s="1115"/>
      <c r="AE4145" s="1115"/>
      <c r="AF4145" s="1115"/>
      <c r="AG4145" s="1115"/>
      <c r="AH4145" s="1115"/>
      <c r="AI4145" s="1115"/>
      <c r="AJ4145" s="1117"/>
      <c r="AK4145" s="1118"/>
      <c r="AL4145" s="1115"/>
      <c r="AM4145" s="1115"/>
      <c r="AN4145" s="1115"/>
      <c r="AO4145" s="1115"/>
      <c r="AP4145" s="1115"/>
      <c r="AQ4145" s="1115"/>
      <c r="AR4145" s="1115"/>
      <c r="AS4145" s="1117"/>
      <c r="AT4145" s="1075"/>
      <c r="AU4145" s="1193"/>
      <c r="AV4145" s="330"/>
      <c r="AW4145" s="331"/>
      <c r="AX4145" s="331"/>
      <c r="AY4145" s="331"/>
      <c r="AZ4145" s="331"/>
      <c r="BA4145" s="331"/>
      <c r="BB4145" s="331"/>
      <c r="BC4145" s="331"/>
      <c r="BD4145" s="331"/>
      <c r="BE4145" s="333"/>
      <c r="BF4145" s="330"/>
      <c r="BG4145" s="333"/>
      <c r="BH4145" s="1119"/>
      <c r="BI4145" s="319"/>
      <c r="BJ4145" s="319"/>
      <c r="BK4145" s="319"/>
      <c r="BL4145" s="319"/>
      <c r="BM4145" s="319"/>
      <c r="BN4145" s="319"/>
      <c r="BO4145" s="319"/>
      <c r="BP4145" s="953"/>
      <c r="BQ4145" s="319"/>
      <c r="BR4145" s="319"/>
      <c r="BS4145" s="330"/>
      <c r="BT4145" s="331"/>
      <c r="BU4145" s="920"/>
      <c r="BV4145" s="903"/>
      <c r="BW4145" s="908"/>
      <c r="BX4145" s="908"/>
      <c r="BY4145" s="331"/>
      <c r="BZ4145" s="331"/>
      <c r="CA4145" s="462"/>
      <c r="CB4145" s="319"/>
      <c r="CC4145" s="319"/>
      <c r="CD4145" s="319"/>
      <c r="CE4145" s="319"/>
      <c r="CF4145" s="319"/>
      <c r="CG4145" s="319"/>
      <c r="CH4145" s="318"/>
      <c r="CI4145" s="319"/>
      <c r="CJ4145" s="319"/>
      <c r="CK4145" s="342"/>
      <c r="CL4145" s="333"/>
      <c r="CM4145" s="1079"/>
      <c r="CN4145" s="1005"/>
      <c r="CO4145" s="1005"/>
      <c r="CP4145" s="1005"/>
    </row>
    <row r="4146">
      <c r="A4146" s="1257"/>
      <c r="B4146" s="1113"/>
      <c r="C4146" s="1107"/>
      <c r="D4146" s="103"/>
      <c r="E4146" s="1137"/>
      <c r="F4146" s="112"/>
      <c r="G4146" s="1110"/>
      <c r="H4146" s="1138"/>
      <c r="I4146" s="1138"/>
      <c r="J4146" s="1139"/>
      <c r="K4146" s="1111"/>
      <c r="L4146" s="1112"/>
      <c r="M4146" s="1113"/>
      <c r="N4146" s="110"/>
      <c r="O4146" s="1140"/>
      <c r="P4146" s="1115"/>
      <c r="Q4146" s="1116"/>
      <c r="R4146" s="1141"/>
      <c r="S4146" s="1113"/>
      <c r="T4146" s="1143"/>
      <c r="U4146" s="1108"/>
      <c r="V4146" s="1108"/>
      <c r="W4146" s="1108"/>
      <c r="X4146" s="1108"/>
      <c r="Y4146" s="1108"/>
      <c r="Z4146" s="1114"/>
      <c r="AA4146" s="1114"/>
      <c r="AB4146" s="1114"/>
      <c r="AC4146" s="1117"/>
      <c r="AD4146" s="1115"/>
      <c r="AE4146" s="1115"/>
      <c r="AF4146" s="1115"/>
      <c r="AG4146" s="1115"/>
      <c r="AH4146" s="1115"/>
      <c r="AI4146" s="1115"/>
      <c r="AJ4146" s="1117"/>
      <c r="AK4146" s="1118"/>
      <c r="AL4146" s="1115"/>
      <c r="AM4146" s="1115"/>
      <c r="AN4146" s="1115"/>
      <c r="AO4146" s="1115"/>
      <c r="AP4146" s="1115"/>
      <c r="AQ4146" s="1115"/>
      <c r="AR4146" s="1115"/>
      <c r="AS4146" s="1117"/>
      <c r="AT4146" s="1075"/>
      <c r="AU4146" s="1193"/>
      <c r="AV4146" s="330"/>
      <c r="AW4146" s="331"/>
      <c r="AX4146" s="331"/>
      <c r="AY4146" s="331"/>
      <c r="AZ4146" s="331"/>
      <c r="BA4146" s="331"/>
      <c r="BB4146" s="331"/>
      <c r="BC4146" s="331"/>
      <c r="BD4146" s="331"/>
      <c r="BE4146" s="333"/>
      <c r="BF4146" s="330"/>
      <c r="BG4146" s="333"/>
      <c r="BH4146" s="1119"/>
      <c r="BI4146" s="319"/>
      <c r="BJ4146" s="319"/>
      <c r="BK4146" s="319"/>
      <c r="BL4146" s="319"/>
      <c r="BM4146" s="319"/>
      <c r="BN4146" s="319"/>
      <c r="BO4146" s="319"/>
      <c r="BP4146" s="953"/>
      <c r="BQ4146" s="319"/>
      <c r="BR4146" s="319"/>
      <c r="BS4146" s="330"/>
      <c r="BT4146" s="331"/>
      <c r="BU4146" s="920"/>
      <c r="BV4146" s="903"/>
      <c r="BW4146" s="908"/>
      <c r="BX4146" s="908"/>
      <c r="BY4146" s="331"/>
      <c r="BZ4146" s="331"/>
      <c r="CA4146" s="462"/>
      <c r="CB4146" s="319"/>
      <c r="CC4146" s="319"/>
      <c r="CD4146" s="319"/>
      <c r="CE4146" s="319"/>
      <c r="CF4146" s="319"/>
      <c r="CG4146" s="319"/>
      <c r="CH4146" s="318"/>
      <c r="CI4146" s="319"/>
      <c r="CJ4146" s="319"/>
      <c r="CK4146" s="342"/>
      <c r="CL4146" s="333"/>
      <c r="CM4146" s="1079"/>
      <c r="CN4146" s="1005"/>
      <c r="CO4146" s="1005"/>
      <c r="CP4146" s="1005"/>
    </row>
    <row r="4147">
      <c r="A4147" s="1257"/>
      <c r="B4147" s="1113"/>
      <c r="C4147" s="1107"/>
      <c r="D4147" s="103"/>
      <c r="E4147" s="1137"/>
      <c r="F4147" s="112"/>
      <c r="G4147" s="1110"/>
      <c r="H4147" s="1138"/>
      <c r="I4147" s="1138"/>
      <c r="J4147" s="1139"/>
      <c r="K4147" s="1111"/>
      <c r="L4147" s="1112"/>
      <c r="M4147" s="1113"/>
      <c r="N4147" s="110"/>
      <c r="O4147" s="1140"/>
      <c r="P4147" s="1115"/>
      <c r="Q4147" s="1116"/>
      <c r="R4147" s="1141"/>
      <c r="S4147" s="1113"/>
      <c r="T4147" s="1143"/>
      <c r="U4147" s="1108"/>
      <c r="V4147" s="1108"/>
      <c r="W4147" s="1108"/>
      <c r="X4147" s="1108"/>
      <c r="Y4147" s="1108"/>
      <c r="Z4147" s="1114"/>
      <c r="AA4147" s="1114"/>
      <c r="AB4147" s="1114"/>
      <c r="AC4147" s="1117"/>
      <c r="AD4147" s="1115"/>
      <c r="AE4147" s="1115"/>
      <c r="AF4147" s="1115"/>
      <c r="AG4147" s="1115"/>
      <c r="AH4147" s="1115"/>
      <c r="AI4147" s="1115"/>
      <c r="AJ4147" s="1117"/>
      <c r="AK4147" s="1118"/>
      <c r="AL4147" s="1115"/>
      <c r="AM4147" s="1115"/>
      <c r="AN4147" s="1115"/>
      <c r="AO4147" s="1115"/>
      <c r="AP4147" s="1115"/>
      <c r="AQ4147" s="1115"/>
      <c r="AR4147" s="1115"/>
      <c r="AS4147" s="1117"/>
      <c r="AT4147" s="1075"/>
      <c r="AU4147" s="1193"/>
      <c r="AV4147" s="330"/>
      <c r="AW4147" s="331"/>
      <c r="AX4147" s="331"/>
      <c r="AY4147" s="331"/>
      <c r="AZ4147" s="331"/>
      <c r="BA4147" s="331"/>
      <c r="BB4147" s="331"/>
      <c r="BC4147" s="331"/>
      <c r="BD4147" s="331"/>
      <c r="BE4147" s="333"/>
      <c r="BF4147" s="330"/>
      <c r="BG4147" s="333"/>
      <c r="BH4147" s="1119"/>
      <c r="BI4147" s="319"/>
      <c r="BJ4147" s="319"/>
      <c r="BK4147" s="319"/>
      <c r="BL4147" s="319"/>
      <c r="BM4147" s="319"/>
      <c r="BN4147" s="319"/>
      <c r="BO4147" s="319"/>
      <c r="BP4147" s="953"/>
      <c r="BQ4147" s="319"/>
      <c r="BR4147" s="319"/>
      <c r="BS4147" s="330"/>
      <c r="BT4147" s="331"/>
      <c r="BU4147" s="920"/>
      <c r="BV4147" s="903"/>
      <c r="BW4147" s="908"/>
      <c r="BX4147" s="908"/>
      <c r="BY4147" s="331"/>
      <c r="BZ4147" s="331"/>
      <c r="CA4147" s="462"/>
      <c r="CB4147" s="319"/>
      <c r="CC4147" s="319"/>
      <c r="CD4147" s="319"/>
      <c r="CE4147" s="319"/>
      <c r="CF4147" s="319"/>
      <c r="CG4147" s="319"/>
      <c r="CH4147" s="318"/>
      <c r="CI4147" s="319"/>
      <c r="CJ4147" s="319"/>
      <c r="CK4147" s="342"/>
      <c r="CL4147" s="333"/>
      <c r="CM4147" s="1079"/>
      <c r="CN4147" s="1005"/>
      <c r="CO4147" s="1005"/>
      <c r="CP4147" s="1005"/>
    </row>
    <row r="4148">
      <c r="A4148" s="1257"/>
      <c r="B4148" s="1113"/>
      <c r="C4148" s="1107"/>
      <c r="D4148" s="103"/>
      <c r="E4148" s="1137"/>
      <c r="F4148" s="112"/>
      <c r="G4148" s="1110"/>
      <c r="H4148" s="1138"/>
      <c r="I4148" s="1138"/>
      <c r="J4148" s="1139"/>
      <c r="K4148" s="1111"/>
      <c r="L4148" s="1112"/>
      <c r="M4148" s="1113"/>
      <c r="N4148" s="110"/>
      <c r="O4148" s="1140"/>
      <c r="P4148" s="1115"/>
      <c r="Q4148" s="1116"/>
      <c r="R4148" s="1141"/>
      <c r="S4148" s="1113"/>
      <c r="T4148" s="1143"/>
      <c r="U4148" s="1108"/>
      <c r="V4148" s="1108"/>
      <c r="W4148" s="1108"/>
      <c r="X4148" s="1108"/>
      <c r="Y4148" s="1108"/>
      <c r="Z4148" s="1114"/>
      <c r="AA4148" s="1114"/>
      <c r="AB4148" s="1114"/>
      <c r="AC4148" s="1117"/>
      <c r="AD4148" s="1115"/>
      <c r="AE4148" s="1115"/>
      <c r="AF4148" s="1115"/>
      <c r="AG4148" s="1115"/>
      <c r="AH4148" s="1115"/>
      <c r="AI4148" s="1115"/>
      <c r="AJ4148" s="1117"/>
      <c r="AK4148" s="1118"/>
      <c r="AL4148" s="1115"/>
      <c r="AM4148" s="1115"/>
      <c r="AN4148" s="1115"/>
      <c r="AO4148" s="1115"/>
      <c r="AP4148" s="1115"/>
      <c r="AQ4148" s="1115"/>
      <c r="AR4148" s="1115"/>
      <c r="AS4148" s="1117"/>
      <c r="AT4148" s="1075"/>
      <c r="AU4148" s="1193"/>
      <c r="AV4148" s="330"/>
      <c r="AW4148" s="331"/>
      <c r="AX4148" s="331"/>
      <c r="AY4148" s="331"/>
      <c r="AZ4148" s="331"/>
      <c r="BA4148" s="331"/>
      <c r="BB4148" s="331"/>
      <c r="BC4148" s="331"/>
      <c r="BD4148" s="331"/>
      <c r="BE4148" s="333"/>
      <c r="BF4148" s="330"/>
      <c r="BG4148" s="333"/>
      <c r="BH4148" s="1119"/>
      <c r="BI4148" s="319"/>
      <c r="BJ4148" s="319"/>
      <c r="BK4148" s="319"/>
      <c r="BL4148" s="319"/>
      <c r="BM4148" s="319"/>
      <c r="BN4148" s="319"/>
      <c r="BO4148" s="319"/>
      <c r="BP4148" s="953"/>
      <c r="BQ4148" s="319"/>
      <c r="BR4148" s="319"/>
      <c r="BS4148" s="330"/>
      <c r="BT4148" s="331"/>
      <c r="BU4148" s="920"/>
      <c r="BV4148" s="903"/>
      <c r="BW4148" s="908"/>
      <c r="BX4148" s="908"/>
      <c r="BY4148" s="331"/>
      <c r="BZ4148" s="331"/>
      <c r="CA4148" s="462"/>
      <c r="CB4148" s="319"/>
      <c r="CC4148" s="319"/>
      <c r="CD4148" s="319"/>
      <c r="CE4148" s="319"/>
      <c r="CF4148" s="319"/>
      <c r="CG4148" s="319"/>
      <c r="CH4148" s="318"/>
      <c r="CI4148" s="319"/>
      <c r="CJ4148" s="319"/>
      <c r="CK4148" s="342"/>
      <c r="CL4148" s="333"/>
      <c r="CM4148" s="1079"/>
      <c r="CN4148" s="1005"/>
      <c r="CO4148" s="1005"/>
      <c r="CP4148" s="1005"/>
    </row>
    <row r="4149">
      <c r="A4149" s="1257"/>
      <c r="B4149" s="1113"/>
      <c r="C4149" s="1107"/>
      <c r="D4149" s="103"/>
      <c r="E4149" s="1137"/>
      <c r="F4149" s="112"/>
      <c r="G4149" s="1110"/>
      <c r="H4149" s="1138"/>
      <c r="I4149" s="1138"/>
      <c r="J4149" s="1139"/>
      <c r="K4149" s="1111"/>
      <c r="L4149" s="1112"/>
      <c r="M4149" s="1113"/>
      <c r="N4149" s="110"/>
      <c r="O4149" s="1140"/>
      <c r="P4149" s="1115"/>
      <c r="Q4149" s="1116"/>
      <c r="R4149" s="1141"/>
      <c r="S4149" s="1113"/>
      <c r="T4149" s="1143"/>
      <c r="U4149" s="1108"/>
      <c r="V4149" s="1108"/>
      <c r="W4149" s="1108"/>
      <c r="X4149" s="1108"/>
      <c r="Y4149" s="1108"/>
      <c r="Z4149" s="1114"/>
      <c r="AA4149" s="1114"/>
      <c r="AB4149" s="1114"/>
      <c r="AC4149" s="1117"/>
      <c r="AD4149" s="1115"/>
      <c r="AE4149" s="1115"/>
      <c r="AF4149" s="1115"/>
      <c r="AG4149" s="1115"/>
      <c r="AH4149" s="1115"/>
      <c r="AI4149" s="1115"/>
      <c r="AJ4149" s="1117"/>
      <c r="AK4149" s="1118"/>
      <c r="AL4149" s="1115"/>
      <c r="AM4149" s="1115"/>
      <c r="AN4149" s="1115"/>
      <c r="AO4149" s="1115"/>
      <c r="AP4149" s="1115"/>
      <c r="AQ4149" s="1115"/>
      <c r="AR4149" s="1115"/>
      <c r="AS4149" s="1117"/>
      <c r="AT4149" s="1075"/>
      <c r="AU4149" s="1193"/>
      <c r="AV4149" s="330"/>
      <c r="AW4149" s="331"/>
      <c r="AX4149" s="331"/>
      <c r="AY4149" s="331"/>
      <c r="AZ4149" s="331"/>
      <c r="BA4149" s="331"/>
      <c r="BB4149" s="331"/>
      <c r="BC4149" s="331"/>
      <c r="BD4149" s="331"/>
      <c r="BE4149" s="333"/>
      <c r="BF4149" s="330"/>
      <c r="BG4149" s="333"/>
      <c r="BH4149" s="1119"/>
      <c r="BI4149" s="319"/>
      <c r="BJ4149" s="319"/>
      <c r="BK4149" s="319"/>
      <c r="BL4149" s="319"/>
      <c r="BM4149" s="319"/>
      <c r="BN4149" s="319"/>
      <c r="BO4149" s="319"/>
      <c r="BP4149" s="953"/>
      <c r="BQ4149" s="319"/>
      <c r="BR4149" s="319"/>
      <c r="BS4149" s="330"/>
      <c r="BT4149" s="331"/>
      <c r="BU4149" s="920"/>
      <c r="BV4149" s="903"/>
      <c r="BW4149" s="908"/>
      <c r="BX4149" s="908"/>
      <c r="BY4149" s="331"/>
      <c r="BZ4149" s="331"/>
      <c r="CA4149" s="462"/>
      <c r="CB4149" s="319"/>
      <c r="CC4149" s="319"/>
      <c r="CD4149" s="319"/>
      <c r="CE4149" s="319"/>
      <c r="CF4149" s="319"/>
      <c r="CG4149" s="319"/>
      <c r="CH4149" s="318"/>
      <c r="CI4149" s="319"/>
      <c r="CJ4149" s="319"/>
      <c r="CK4149" s="342"/>
      <c r="CL4149" s="333"/>
      <c r="CM4149" s="1079"/>
      <c r="CN4149" s="1005"/>
      <c r="CO4149" s="1005"/>
      <c r="CP4149" s="1005"/>
    </row>
    <row r="4150">
      <c r="A4150" s="1257"/>
      <c r="B4150" s="1113"/>
      <c r="C4150" s="1107"/>
      <c r="D4150" s="103"/>
      <c r="E4150" s="1137"/>
      <c r="F4150" s="112"/>
      <c r="G4150" s="1110"/>
      <c r="H4150" s="1138"/>
      <c r="I4150" s="1138"/>
      <c r="J4150" s="1139"/>
      <c r="K4150" s="1111"/>
      <c r="L4150" s="1112"/>
      <c r="M4150" s="1113"/>
      <c r="N4150" s="110"/>
      <c r="O4150" s="1140"/>
      <c r="P4150" s="1115"/>
      <c r="Q4150" s="1116"/>
      <c r="R4150" s="1141"/>
      <c r="S4150" s="1113"/>
      <c r="T4150" s="1143"/>
      <c r="U4150" s="1108"/>
      <c r="V4150" s="1108"/>
      <c r="W4150" s="1108"/>
      <c r="X4150" s="1108"/>
      <c r="Y4150" s="1108"/>
      <c r="Z4150" s="1114"/>
      <c r="AA4150" s="1114"/>
      <c r="AB4150" s="1114"/>
      <c r="AC4150" s="1117"/>
      <c r="AD4150" s="1115"/>
      <c r="AE4150" s="1115"/>
      <c r="AF4150" s="1115"/>
      <c r="AG4150" s="1115"/>
      <c r="AH4150" s="1115"/>
      <c r="AI4150" s="1115"/>
      <c r="AJ4150" s="1117"/>
      <c r="AK4150" s="1118"/>
      <c r="AL4150" s="1115"/>
      <c r="AM4150" s="1115"/>
      <c r="AN4150" s="1115"/>
      <c r="AO4150" s="1115"/>
      <c r="AP4150" s="1115"/>
      <c r="AQ4150" s="1115"/>
      <c r="AR4150" s="1115"/>
      <c r="AS4150" s="1117"/>
      <c r="AT4150" s="1075"/>
      <c r="AU4150" s="1193"/>
      <c r="AV4150" s="330"/>
      <c r="AW4150" s="331"/>
      <c r="AX4150" s="331"/>
      <c r="AY4150" s="331"/>
      <c r="AZ4150" s="331"/>
      <c r="BA4150" s="331"/>
      <c r="BB4150" s="331"/>
      <c r="BC4150" s="331"/>
      <c r="BD4150" s="331"/>
      <c r="BE4150" s="333"/>
      <c r="BF4150" s="330"/>
      <c r="BG4150" s="333"/>
      <c r="BH4150" s="1119"/>
      <c r="BI4150" s="319"/>
      <c r="BJ4150" s="319"/>
      <c r="BK4150" s="319"/>
      <c r="BL4150" s="319"/>
      <c r="BM4150" s="319"/>
      <c r="BN4150" s="319"/>
      <c r="BO4150" s="319"/>
      <c r="BP4150" s="953"/>
      <c r="BQ4150" s="319"/>
      <c r="BR4150" s="319"/>
      <c r="BS4150" s="330"/>
      <c r="BT4150" s="331"/>
      <c r="BU4150" s="920"/>
      <c r="BV4150" s="903"/>
      <c r="BW4150" s="908"/>
      <c r="BX4150" s="908"/>
      <c r="BY4150" s="331"/>
      <c r="BZ4150" s="331"/>
      <c r="CA4150" s="462"/>
      <c r="CB4150" s="319"/>
      <c r="CC4150" s="319"/>
      <c r="CD4150" s="319"/>
      <c r="CE4150" s="319"/>
      <c r="CF4150" s="319"/>
      <c r="CG4150" s="319"/>
      <c r="CH4150" s="318"/>
      <c r="CI4150" s="319"/>
      <c r="CJ4150" s="319"/>
      <c r="CK4150" s="342"/>
      <c r="CL4150" s="333"/>
      <c r="CM4150" s="1079"/>
      <c r="CN4150" s="1005"/>
      <c r="CO4150" s="1005"/>
      <c r="CP4150" s="1005"/>
    </row>
    <row r="4151">
      <c r="A4151" s="1257"/>
      <c r="B4151" s="1113"/>
      <c r="C4151" s="1107"/>
      <c r="D4151" s="103"/>
      <c r="E4151" s="1137"/>
      <c r="F4151" s="112"/>
      <c r="G4151" s="1110"/>
      <c r="H4151" s="1138"/>
      <c r="I4151" s="1138"/>
      <c r="J4151" s="1139"/>
      <c r="K4151" s="1111"/>
      <c r="L4151" s="1112"/>
      <c r="M4151" s="1113"/>
      <c r="N4151" s="110"/>
      <c r="O4151" s="1140"/>
      <c r="P4151" s="1115"/>
      <c r="Q4151" s="1116"/>
      <c r="R4151" s="1141"/>
      <c r="S4151" s="1113"/>
      <c r="T4151" s="1143"/>
      <c r="U4151" s="1108"/>
      <c r="V4151" s="1108"/>
      <c r="W4151" s="1108"/>
      <c r="X4151" s="1108"/>
      <c r="Y4151" s="1108"/>
      <c r="Z4151" s="1114"/>
      <c r="AA4151" s="1114"/>
      <c r="AB4151" s="1114"/>
      <c r="AC4151" s="1117"/>
      <c r="AD4151" s="1115"/>
      <c r="AE4151" s="1115"/>
      <c r="AF4151" s="1115"/>
      <c r="AG4151" s="1115"/>
      <c r="AH4151" s="1115"/>
      <c r="AI4151" s="1115"/>
      <c r="AJ4151" s="1117"/>
      <c r="AK4151" s="1118"/>
      <c r="AL4151" s="1115"/>
      <c r="AM4151" s="1115"/>
      <c r="AN4151" s="1115"/>
      <c r="AO4151" s="1115"/>
      <c r="AP4151" s="1115"/>
      <c r="AQ4151" s="1115"/>
      <c r="AR4151" s="1115"/>
      <c r="AS4151" s="1117"/>
      <c r="AT4151" s="1075"/>
      <c r="AU4151" s="1193"/>
      <c r="AV4151" s="330"/>
      <c r="AW4151" s="331"/>
      <c r="AX4151" s="331"/>
      <c r="AY4151" s="331"/>
      <c r="AZ4151" s="331"/>
      <c r="BA4151" s="331"/>
      <c r="BB4151" s="331"/>
      <c r="BC4151" s="331"/>
      <c r="BD4151" s="331"/>
      <c r="BE4151" s="333"/>
      <c r="BF4151" s="330"/>
      <c r="BG4151" s="333"/>
      <c r="BH4151" s="1119"/>
      <c r="BI4151" s="319"/>
      <c r="BJ4151" s="319"/>
      <c r="BK4151" s="319"/>
      <c r="BL4151" s="319"/>
      <c r="BM4151" s="319"/>
      <c r="BN4151" s="319"/>
      <c r="BO4151" s="319"/>
      <c r="BP4151" s="953"/>
      <c r="BQ4151" s="319"/>
      <c r="BR4151" s="319"/>
      <c r="BS4151" s="330"/>
      <c r="BT4151" s="331"/>
      <c r="BU4151" s="920"/>
      <c r="BV4151" s="903"/>
      <c r="BW4151" s="908"/>
      <c r="BX4151" s="908"/>
      <c r="BY4151" s="331"/>
      <c r="BZ4151" s="331"/>
      <c r="CA4151" s="462"/>
      <c r="CB4151" s="319"/>
      <c r="CC4151" s="319"/>
      <c r="CD4151" s="319"/>
      <c r="CE4151" s="319"/>
      <c r="CF4151" s="319"/>
      <c r="CG4151" s="319"/>
      <c r="CH4151" s="318"/>
      <c r="CI4151" s="319"/>
      <c r="CJ4151" s="319"/>
      <c r="CK4151" s="342"/>
      <c r="CL4151" s="333"/>
      <c r="CM4151" s="1079"/>
      <c r="CN4151" s="1005"/>
      <c r="CO4151" s="1005"/>
      <c r="CP4151" s="1005"/>
    </row>
    <row r="4152">
      <c r="A4152" s="1257"/>
      <c r="B4152" s="1113"/>
      <c r="C4152" s="1107"/>
      <c r="D4152" s="103"/>
      <c r="E4152" s="1137"/>
      <c r="F4152" s="112"/>
      <c r="G4152" s="1110"/>
      <c r="H4152" s="1138"/>
      <c r="I4152" s="1138"/>
      <c r="J4152" s="1139"/>
      <c r="K4152" s="1111"/>
      <c r="L4152" s="1112"/>
      <c r="M4152" s="1113"/>
      <c r="N4152" s="110"/>
      <c r="O4152" s="1140"/>
      <c r="P4152" s="1115"/>
      <c r="Q4152" s="1116"/>
      <c r="R4152" s="1141"/>
      <c r="S4152" s="1113"/>
      <c r="T4152" s="1143"/>
      <c r="U4152" s="1108"/>
      <c r="V4152" s="1108"/>
      <c r="W4152" s="1108"/>
      <c r="X4152" s="1108"/>
      <c r="Y4152" s="1108"/>
      <c r="Z4152" s="1114"/>
      <c r="AA4152" s="1114"/>
      <c r="AB4152" s="1114"/>
      <c r="AC4152" s="1117"/>
      <c r="AD4152" s="1115"/>
      <c r="AE4152" s="1115"/>
      <c r="AF4152" s="1115"/>
      <c r="AG4152" s="1115"/>
      <c r="AH4152" s="1115"/>
      <c r="AI4152" s="1115"/>
      <c r="AJ4152" s="1117"/>
      <c r="AK4152" s="1118"/>
      <c r="AL4152" s="1115"/>
      <c r="AM4152" s="1115"/>
      <c r="AN4152" s="1115"/>
      <c r="AO4152" s="1115"/>
      <c r="AP4152" s="1115"/>
      <c r="AQ4152" s="1115"/>
      <c r="AR4152" s="1115"/>
      <c r="AS4152" s="1117"/>
      <c r="AT4152" s="1075"/>
      <c r="AU4152" s="1193"/>
      <c r="AV4152" s="330"/>
      <c r="AW4152" s="331"/>
      <c r="AX4152" s="331"/>
      <c r="AY4152" s="331"/>
      <c r="AZ4152" s="331"/>
      <c r="BA4152" s="331"/>
      <c r="BB4152" s="331"/>
      <c r="BC4152" s="331"/>
      <c r="BD4152" s="331"/>
      <c r="BE4152" s="333"/>
      <c r="BF4152" s="330"/>
      <c r="BG4152" s="333"/>
      <c r="BH4152" s="1119"/>
      <c r="BI4152" s="319"/>
      <c r="BJ4152" s="319"/>
      <c r="BK4152" s="319"/>
      <c r="BL4152" s="319"/>
      <c r="BM4152" s="319"/>
      <c r="BN4152" s="319"/>
      <c r="BO4152" s="319"/>
      <c r="BP4152" s="953"/>
      <c r="BQ4152" s="319"/>
      <c r="BR4152" s="319"/>
      <c r="BS4152" s="330"/>
      <c r="BT4152" s="331"/>
      <c r="BU4152" s="920"/>
      <c r="BV4152" s="903"/>
      <c r="BW4152" s="908"/>
      <c r="BX4152" s="908"/>
      <c r="BY4152" s="331"/>
      <c r="BZ4152" s="331"/>
      <c r="CA4152" s="462"/>
      <c r="CB4152" s="319"/>
      <c r="CC4152" s="319"/>
      <c r="CD4152" s="319"/>
      <c r="CE4152" s="319"/>
      <c r="CF4152" s="319"/>
      <c r="CG4152" s="319"/>
      <c r="CH4152" s="318"/>
      <c r="CI4152" s="319"/>
      <c r="CJ4152" s="319"/>
      <c r="CK4152" s="342"/>
      <c r="CL4152" s="333"/>
      <c r="CM4152" s="1079"/>
      <c r="CN4152" s="1005"/>
      <c r="CO4152" s="1005"/>
      <c r="CP4152" s="1005"/>
    </row>
    <row r="4153">
      <c r="A4153" s="1257"/>
      <c r="B4153" s="1113"/>
      <c r="C4153" s="1107"/>
      <c r="D4153" s="103"/>
      <c r="E4153" s="1137"/>
      <c r="F4153" s="112"/>
      <c r="G4153" s="1110"/>
      <c r="H4153" s="1138"/>
      <c r="I4153" s="1138"/>
      <c r="J4153" s="1139"/>
      <c r="K4153" s="1111"/>
      <c r="L4153" s="1112"/>
      <c r="M4153" s="1113"/>
      <c r="N4153" s="110"/>
      <c r="O4153" s="1140"/>
      <c r="P4153" s="1115"/>
      <c r="Q4153" s="1116"/>
      <c r="R4153" s="1141"/>
      <c r="S4153" s="1113"/>
      <c r="T4153" s="1143"/>
      <c r="U4153" s="1108"/>
      <c r="V4153" s="1108"/>
      <c r="W4153" s="1108"/>
      <c r="X4153" s="1108"/>
      <c r="Y4153" s="1108"/>
      <c r="Z4153" s="1114"/>
      <c r="AA4153" s="1114"/>
      <c r="AB4153" s="1114"/>
      <c r="AC4153" s="1117"/>
      <c r="AD4153" s="1115"/>
      <c r="AE4153" s="1115"/>
      <c r="AF4153" s="1115"/>
      <c r="AG4153" s="1115"/>
      <c r="AH4153" s="1115"/>
      <c r="AI4153" s="1115"/>
      <c r="AJ4153" s="1117"/>
      <c r="AK4153" s="1118"/>
      <c r="AL4153" s="1115"/>
      <c r="AM4153" s="1115"/>
      <c r="AN4153" s="1115"/>
      <c r="AO4153" s="1115"/>
      <c r="AP4153" s="1115"/>
      <c r="AQ4153" s="1115"/>
      <c r="AR4153" s="1115"/>
      <c r="AS4153" s="1117"/>
      <c r="AT4153" s="1075"/>
      <c r="AU4153" s="1193"/>
      <c r="AV4153" s="330"/>
      <c r="AW4153" s="331"/>
      <c r="AX4153" s="331"/>
      <c r="AY4153" s="331"/>
      <c r="AZ4153" s="331"/>
      <c r="BA4153" s="331"/>
      <c r="BB4153" s="331"/>
      <c r="BC4153" s="331"/>
      <c r="BD4153" s="331"/>
      <c r="BE4153" s="333"/>
      <c r="BF4153" s="330"/>
      <c r="BG4153" s="333"/>
      <c r="BH4153" s="1119"/>
      <c r="BI4153" s="319"/>
      <c r="BJ4153" s="319"/>
      <c r="BK4153" s="319"/>
      <c r="BL4153" s="319"/>
      <c r="BM4153" s="319"/>
      <c r="BN4153" s="319"/>
      <c r="BO4153" s="319"/>
      <c r="BP4153" s="953"/>
      <c r="BQ4153" s="319"/>
      <c r="BR4153" s="319"/>
      <c r="BS4153" s="330"/>
      <c r="BT4153" s="331"/>
      <c r="BU4153" s="920"/>
      <c r="BV4153" s="903"/>
      <c r="BW4153" s="908"/>
      <c r="BX4153" s="908"/>
      <c r="BY4153" s="331"/>
      <c r="BZ4153" s="331"/>
      <c r="CA4153" s="462"/>
      <c r="CB4153" s="319"/>
      <c r="CC4153" s="319"/>
      <c r="CD4153" s="319"/>
      <c r="CE4153" s="319"/>
      <c r="CF4153" s="319"/>
      <c r="CG4153" s="319"/>
      <c r="CH4153" s="318"/>
      <c r="CI4153" s="319"/>
      <c r="CJ4153" s="319"/>
      <c r="CK4153" s="342"/>
      <c r="CL4153" s="333"/>
      <c r="CM4153" s="1079"/>
      <c r="CN4153" s="1005"/>
      <c r="CO4153" s="1005"/>
      <c r="CP4153" s="1005"/>
    </row>
    <row r="4154">
      <c r="A4154" s="1257"/>
      <c r="B4154" s="1113"/>
      <c r="C4154" s="1107"/>
      <c r="D4154" s="103"/>
      <c r="E4154" s="1137"/>
      <c r="F4154" s="112"/>
      <c r="G4154" s="1110"/>
      <c r="H4154" s="1138"/>
      <c r="I4154" s="1138"/>
      <c r="J4154" s="1139"/>
      <c r="K4154" s="1111"/>
      <c r="L4154" s="1112"/>
      <c r="M4154" s="1113"/>
      <c r="N4154" s="110"/>
      <c r="O4154" s="1140"/>
      <c r="P4154" s="1115"/>
      <c r="Q4154" s="1116"/>
      <c r="R4154" s="1141"/>
      <c r="S4154" s="1113"/>
      <c r="T4154" s="1143"/>
      <c r="U4154" s="1108"/>
      <c r="V4154" s="1108"/>
      <c r="W4154" s="1108"/>
      <c r="X4154" s="1108"/>
      <c r="Y4154" s="1108"/>
      <c r="Z4154" s="1114"/>
      <c r="AA4154" s="1114"/>
      <c r="AB4154" s="1114"/>
      <c r="AC4154" s="1117"/>
      <c r="AD4154" s="1115"/>
      <c r="AE4154" s="1115"/>
      <c r="AF4154" s="1115"/>
      <c r="AG4154" s="1115"/>
      <c r="AH4154" s="1115"/>
      <c r="AI4154" s="1115"/>
      <c r="AJ4154" s="1117"/>
      <c r="AK4154" s="1118"/>
      <c r="AL4154" s="1115"/>
      <c r="AM4154" s="1115"/>
      <c r="AN4154" s="1115"/>
      <c r="AO4154" s="1115"/>
      <c r="AP4154" s="1115"/>
      <c r="AQ4154" s="1115"/>
      <c r="AR4154" s="1115"/>
      <c r="AS4154" s="1117"/>
      <c r="AT4154" s="1075"/>
      <c r="AU4154" s="1193"/>
      <c r="AV4154" s="330"/>
      <c r="AW4154" s="331"/>
      <c r="AX4154" s="331"/>
      <c r="AY4154" s="331"/>
      <c r="AZ4154" s="331"/>
      <c r="BA4154" s="331"/>
      <c r="BB4154" s="331"/>
      <c r="BC4154" s="331"/>
      <c r="BD4154" s="331"/>
      <c r="BE4154" s="333"/>
      <c r="BF4154" s="330"/>
      <c r="BG4154" s="333"/>
      <c r="BH4154" s="1119"/>
      <c r="BI4154" s="319"/>
      <c r="BJ4154" s="319"/>
      <c r="BK4154" s="319"/>
      <c r="BL4154" s="319"/>
      <c r="BM4154" s="319"/>
      <c r="BN4154" s="319"/>
      <c r="BO4154" s="319"/>
      <c r="BP4154" s="953"/>
      <c r="BQ4154" s="319"/>
      <c r="BR4154" s="319"/>
      <c r="BS4154" s="330"/>
      <c r="BT4154" s="331"/>
      <c r="BU4154" s="920"/>
      <c r="BV4154" s="903"/>
      <c r="BW4154" s="908"/>
      <c r="BX4154" s="908"/>
      <c r="BY4154" s="331"/>
      <c r="BZ4154" s="331"/>
      <c r="CA4154" s="462"/>
      <c r="CB4154" s="319"/>
      <c r="CC4154" s="319"/>
      <c r="CD4154" s="319"/>
      <c r="CE4154" s="319"/>
      <c r="CF4154" s="319"/>
      <c r="CG4154" s="319"/>
      <c r="CH4154" s="318"/>
      <c r="CI4154" s="319"/>
      <c r="CJ4154" s="319"/>
      <c r="CK4154" s="342"/>
      <c r="CL4154" s="333"/>
      <c r="CM4154" s="1079"/>
      <c r="CN4154" s="1005"/>
      <c r="CO4154" s="1005"/>
      <c r="CP4154" s="1005"/>
    </row>
    <row r="4155">
      <c r="A4155" s="1257"/>
      <c r="B4155" s="1113"/>
      <c r="C4155" s="1107"/>
      <c r="D4155" s="103"/>
      <c r="E4155" s="1137"/>
      <c r="F4155" s="112"/>
      <c r="G4155" s="1110"/>
      <c r="H4155" s="1138"/>
      <c r="I4155" s="1138"/>
      <c r="J4155" s="1139"/>
      <c r="K4155" s="1111"/>
      <c r="L4155" s="1112"/>
      <c r="M4155" s="1113"/>
      <c r="N4155" s="110"/>
      <c r="O4155" s="1140"/>
      <c r="P4155" s="1115"/>
      <c r="Q4155" s="1116"/>
      <c r="R4155" s="1141"/>
      <c r="S4155" s="1113"/>
      <c r="T4155" s="1143"/>
      <c r="U4155" s="1108"/>
      <c r="V4155" s="1108"/>
      <c r="W4155" s="1108"/>
      <c r="X4155" s="1108"/>
      <c r="Y4155" s="1108"/>
      <c r="Z4155" s="1114"/>
      <c r="AA4155" s="1114"/>
      <c r="AB4155" s="1114"/>
      <c r="AC4155" s="1117"/>
      <c r="AD4155" s="1115"/>
      <c r="AE4155" s="1115"/>
      <c r="AF4155" s="1115"/>
      <c r="AG4155" s="1115"/>
      <c r="AH4155" s="1115"/>
      <c r="AI4155" s="1115"/>
      <c r="AJ4155" s="1117"/>
      <c r="AK4155" s="1118"/>
      <c r="AL4155" s="1115"/>
      <c r="AM4155" s="1115"/>
      <c r="AN4155" s="1115"/>
      <c r="AO4155" s="1115"/>
      <c r="AP4155" s="1115"/>
      <c r="AQ4155" s="1115"/>
      <c r="AR4155" s="1115"/>
      <c r="AS4155" s="1117"/>
      <c r="AT4155" s="1075"/>
      <c r="AU4155" s="1193"/>
      <c r="AV4155" s="330"/>
      <c r="AW4155" s="331"/>
      <c r="AX4155" s="331"/>
      <c r="AY4155" s="331"/>
      <c r="AZ4155" s="331"/>
      <c r="BA4155" s="331"/>
      <c r="BB4155" s="331"/>
      <c r="BC4155" s="331"/>
      <c r="BD4155" s="331"/>
      <c r="BE4155" s="333"/>
      <c r="BF4155" s="330"/>
      <c r="BG4155" s="333"/>
      <c r="BH4155" s="1119"/>
      <c r="BI4155" s="319"/>
      <c r="BJ4155" s="319"/>
      <c r="BK4155" s="319"/>
      <c r="BL4155" s="319"/>
      <c r="BM4155" s="319"/>
      <c r="BN4155" s="319"/>
      <c r="BO4155" s="319"/>
      <c r="BP4155" s="953"/>
      <c r="BQ4155" s="319"/>
      <c r="BR4155" s="319"/>
      <c r="BS4155" s="330"/>
      <c r="BT4155" s="331"/>
      <c r="BU4155" s="920"/>
      <c r="BV4155" s="903"/>
      <c r="BW4155" s="908"/>
      <c r="BX4155" s="908"/>
      <c r="BY4155" s="331"/>
      <c r="BZ4155" s="331"/>
      <c r="CA4155" s="462"/>
      <c r="CB4155" s="319"/>
      <c r="CC4155" s="319"/>
      <c r="CD4155" s="319"/>
      <c r="CE4155" s="319"/>
      <c r="CF4155" s="319"/>
      <c r="CG4155" s="319"/>
      <c r="CH4155" s="318"/>
      <c r="CI4155" s="319"/>
      <c r="CJ4155" s="319"/>
      <c r="CK4155" s="342"/>
      <c r="CL4155" s="333"/>
      <c r="CM4155" s="1079"/>
      <c r="CN4155" s="1005"/>
      <c r="CO4155" s="1005"/>
      <c r="CP4155" s="1005"/>
    </row>
    <row r="4156">
      <c r="A4156" s="1257"/>
      <c r="B4156" s="1113"/>
      <c r="C4156" s="1107"/>
      <c r="D4156" s="103"/>
      <c r="E4156" s="1137"/>
      <c r="F4156" s="112"/>
      <c r="G4156" s="1110"/>
      <c r="H4156" s="1138"/>
      <c r="I4156" s="1138"/>
      <c r="J4156" s="1139"/>
      <c r="K4156" s="1111"/>
      <c r="L4156" s="1112"/>
      <c r="M4156" s="1113"/>
      <c r="N4156" s="110"/>
      <c r="O4156" s="1140"/>
      <c r="P4156" s="1115"/>
      <c r="Q4156" s="1116"/>
      <c r="R4156" s="1141"/>
      <c r="S4156" s="1113"/>
      <c r="T4156" s="1143"/>
      <c r="U4156" s="1108"/>
      <c r="V4156" s="1108"/>
      <c r="W4156" s="1108"/>
      <c r="X4156" s="1108"/>
      <c r="Y4156" s="1108"/>
      <c r="Z4156" s="1114"/>
      <c r="AA4156" s="1114"/>
      <c r="AB4156" s="1114"/>
      <c r="AC4156" s="1117"/>
      <c r="AD4156" s="1115"/>
      <c r="AE4156" s="1115"/>
      <c r="AF4156" s="1115"/>
      <c r="AG4156" s="1115"/>
      <c r="AH4156" s="1115"/>
      <c r="AI4156" s="1115"/>
      <c r="AJ4156" s="1117"/>
      <c r="AK4156" s="1118"/>
      <c r="AL4156" s="1115"/>
      <c r="AM4156" s="1115"/>
      <c r="AN4156" s="1115"/>
      <c r="AO4156" s="1115"/>
      <c r="AP4156" s="1115"/>
      <c r="AQ4156" s="1115"/>
      <c r="AR4156" s="1115"/>
      <c r="AS4156" s="1117"/>
      <c r="AT4156" s="1075"/>
      <c r="AU4156" s="1193"/>
      <c r="AV4156" s="330"/>
      <c r="AW4156" s="331"/>
      <c r="AX4156" s="331"/>
      <c r="AY4156" s="331"/>
      <c r="AZ4156" s="331"/>
      <c r="BA4156" s="331"/>
      <c r="BB4156" s="331"/>
      <c r="BC4156" s="331"/>
      <c r="BD4156" s="331"/>
      <c r="BE4156" s="333"/>
      <c r="BF4156" s="330"/>
      <c r="BG4156" s="333"/>
      <c r="BH4156" s="1119"/>
      <c r="BI4156" s="319"/>
      <c r="BJ4156" s="319"/>
      <c r="BK4156" s="319"/>
      <c r="BL4156" s="319"/>
      <c r="BM4156" s="319"/>
      <c r="BN4156" s="319"/>
      <c r="BO4156" s="319"/>
      <c r="BP4156" s="953"/>
      <c r="BQ4156" s="319"/>
      <c r="BR4156" s="319"/>
      <c r="BS4156" s="330"/>
      <c r="BT4156" s="331"/>
      <c r="BU4156" s="920"/>
      <c r="BV4156" s="903"/>
      <c r="BW4156" s="908"/>
      <c r="BX4156" s="908"/>
      <c r="BY4156" s="331"/>
      <c r="BZ4156" s="331"/>
      <c r="CA4156" s="462"/>
      <c r="CB4156" s="319"/>
      <c r="CC4156" s="319"/>
      <c r="CD4156" s="319"/>
      <c r="CE4156" s="319"/>
      <c r="CF4156" s="319"/>
      <c r="CG4156" s="319"/>
      <c r="CH4156" s="318"/>
      <c r="CI4156" s="319"/>
      <c r="CJ4156" s="319"/>
      <c r="CK4156" s="342"/>
      <c r="CL4156" s="333"/>
      <c r="CM4156" s="1079"/>
      <c r="CN4156" s="1005"/>
      <c r="CO4156" s="1005"/>
      <c r="CP4156" s="1005"/>
    </row>
    <row r="4157">
      <c r="A4157" s="1257"/>
      <c r="B4157" s="1113"/>
      <c r="C4157" s="1107"/>
      <c r="D4157" s="103"/>
      <c r="E4157" s="1137"/>
      <c r="F4157" s="112"/>
      <c r="G4157" s="1110"/>
      <c r="H4157" s="1138"/>
      <c r="I4157" s="1138"/>
      <c r="J4157" s="1139"/>
      <c r="K4157" s="1111"/>
      <c r="L4157" s="1112"/>
      <c r="M4157" s="1113"/>
      <c r="N4157" s="110"/>
      <c r="O4157" s="1140"/>
      <c r="P4157" s="1115"/>
      <c r="Q4157" s="1116"/>
      <c r="R4157" s="1141"/>
      <c r="S4157" s="1113"/>
      <c r="T4157" s="1143"/>
      <c r="U4157" s="1108"/>
      <c r="V4157" s="1108"/>
      <c r="W4157" s="1108"/>
      <c r="X4157" s="1108"/>
      <c r="Y4157" s="1108"/>
      <c r="Z4157" s="1114"/>
      <c r="AA4157" s="1114"/>
      <c r="AB4157" s="1114"/>
      <c r="AC4157" s="1117"/>
      <c r="AD4157" s="1115"/>
      <c r="AE4157" s="1115"/>
      <c r="AF4157" s="1115"/>
      <c r="AG4157" s="1115"/>
      <c r="AH4157" s="1115"/>
      <c r="AI4157" s="1115"/>
      <c r="AJ4157" s="1117"/>
      <c r="AK4157" s="1118"/>
      <c r="AL4157" s="1115"/>
      <c r="AM4157" s="1115"/>
      <c r="AN4157" s="1115"/>
      <c r="AO4157" s="1115"/>
      <c r="AP4157" s="1115"/>
      <c r="AQ4157" s="1115"/>
      <c r="AR4157" s="1115"/>
      <c r="AS4157" s="1117"/>
      <c r="AT4157" s="1075"/>
      <c r="AU4157" s="1193"/>
      <c r="AV4157" s="330"/>
      <c r="AW4157" s="331"/>
      <c r="AX4157" s="331"/>
      <c r="AY4157" s="331"/>
      <c r="AZ4157" s="331"/>
      <c r="BA4157" s="331"/>
      <c r="BB4157" s="331"/>
      <c r="BC4157" s="331"/>
      <c r="BD4157" s="331"/>
      <c r="BE4157" s="333"/>
      <c r="BF4157" s="330"/>
      <c r="BG4157" s="333"/>
      <c r="BH4157" s="1119"/>
      <c r="BI4157" s="319"/>
      <c r="BJ4157" s="319"/>
      <c r="BK4157" s="319"/>
      <c r="BL4157" s="319"/>
      <c r="BM4157" s="319"/>
      <c r="BN4157" s="319"/>
      <c r="BO4157" s="319"/>
      <c r="BP4157" s="953"/>
      <c r="BQ4157" s="319"/>
      <c r="BR4157" s="319"/>
      <c r="BS4157" s="330"/>
      <c r="BT4157" s="331"/>
      <c r="BU4157" s="920"/>
      <c r="BV4157" s="903"/>
      <c r="BW4157" s="908"/>
      <c r="BX4157" s="908"/>
      <c r="BY4157" s="331"/>
      <c r="BZ4157" s="331"/>
      <c r="CA4157" s="462"/>
      <c r="CB4157" s="319"/>
      <c r="CC4157" s="319"/>
      <c r="CD4157" s="319"/>
      <c r="CE4157" s="319"/>
      <c r="CF4157" s="319"/>
      <c r="CG4157" s="319"/>
      <c r="CH4157" s="318"/>
      <c r="CI4157" s="319"/>
      <c r="CJ4157" s="319"/>
      <c r="CK4157" s="342"/>
      <c r="CL4157" s="333"/>
      <c r="CM4157" s="1079"/>
      <c r="CN4157" s="1005"/>
      <c r="CO4157" s="1005"/>
      <c r="CP4157" s="1005"/>
    </row>
    <row r="4158">
      <c r="A4158" s="1257"/>
      <c r="B4158" s="1113"/>
      <c r="C4158" s="1107"/>
      <c r="D4158" s="103"/>
      <c r="E4158" s="1137"/>
      <c r="F4158" s="112"/>
      <c r="G4158" s="1110"/>
      <c r="H4158" s="1138"/>
      <c r="I4158" s="1138"/>
      <c r="J4158" s="1139"/>
      <c r="K4158" s="1111"/>
      <c r="L4158" s="1112"/>
      <c r="M4158" s="1113"/>
      <c r="N4158" s="110"/>
      <c r="O4158" s="1140"/>
      <c r="P4158" s="1115"/>
      <c r="Q4158" s="1116"/>
      <c r="R4158" s="1141"/>
      <c r="S4158" s="1113"/>
      <c r="T4158" s="1143"/>
      <c r="U4158" s="1108"/>
      <c r="V4158" s="1108"/>
      <c r="W4158" s="1108"/>
      <c r="X4158" s="1108"/>
      <c r="Y4158" s="1108"/>
      <c r="Z4158" s="1114"/>
      <c r="AA4158" s="1114"/>
      <c r="AB4158" s="1114"/>
      <c r="AC4158" s="1117"/>
      <c r="AD4158" s="1115"/>
      <c r="AE4158" s="1115"/>
      <c r="AF4158" s="1115"/>
      <c r="AG4158" s="1115"/>
      <c r="AH4158" s="1115"/>
      <c r="AI4158" s="1115"/>
      <c r="AJ4158" s="1117"/>
      <c r="AK4158" s="1118"/>
      <c r="AL4158" s="1115"/>
      <c r="AM4158" s="1115"/>
      <c r="AN4158" s="1115"/>
      <c r="AO4158" s="1115"/>
      <c r="AP4158" s="1115"/>
      <c r="AQ4158" s="1115"/>
      <c r="AR4158" s="1115"/>
      <c r="AS4158" s="1117"/>
      <c r="AT4158" s="1075"/>
      <c r="AU4158" s="1193"/>
      <c r="AV4158" s="330"/>
      <c r="AW4158" s="331"/>
      <c r="AX4158" s="331"/>
      <c r="AY4158" s="331"/>
      <c r="AZ4158" s="331"/>
      <c r="BA4158" s="331"/>
      <c r="BB4158" s="331"/>
      <c r="BC4158" s="331"/>
      <c r="BD4158" s="331"/>
      <c r="BE4158" s="333"/>
      <c r="BF4158" s="330"/>
      <c r="BG4158" s="333"/>
      <c r="BH4158" s="1119"/>
      <c r="BI4158" s="319"/>
      <c r="BJ4158" s="319"/>
      <c r="BK4158" s="319"/>
      <c r="BL4158" s="319"/>
      <c r="BM4158" s="319"/>
      <c r="BN4158" s="319"/>
      <c r="BO4158" s="319"/>
      <c r="BP4158" s="953"/>
      <c r="BQ4158" s="319"/>
      <c r="BR4158" s="319"/>
      <c r="BS4158" s="330"/>
      <c r="BT4158" s="331"/>
      <c r="BU4158" s="920"/>
      <c r="BV4158" s="903"/>
      <c r="BW4158" s="908"/>
      <c r="BX4158" s="908"/>
      <c r="BY4158" s="331"/>
      <c r="BZ4158" s="331"/>
      <c r="CA4158" s="462"/>
      <c r="CB4158" s="319"/>
      <c r="CC4158" s="319"/>
      <c r="CD4158" s="319"/>
      <c r="CE4158" s="319"/>
      <c r="CF4158" s="319"/>
      <c r="CG4158" s="319"/>
      <c r="CH4158" s="318"/>
      <c r="CI4158" s="319"/>
      <c r="CJ4158" s="319"/>
      <c r="CK4158" s="342"/>
      <c r="CL4158" s="333"/>
      <c r="CM4158" s="1079"/>
      <c r="CN4158" s="1005"/>
      <c r="CO4158" s="1005"/>
      <c r="CP4158" s="1005"/>
    </row>
    <row r="4159">
      <c r="A4159" s="1257"/>
      <c r="B4159" s="1113"/>
      <c r="C4159" s="1107"/>
      <c r="D4159" s="103"/>
      <c r="E4159" s="1137"/>
      <c r="F4159" s="112"/>
      <c r="G4159" s="1110"/>
      <c r="H4159" s="1138"/>
      <c r="I4159" s="1138"/>
      <c r="J4159" s="1139"/>
      <c r="K4159" s="1111"/>
      <c r="L4159" s="1112"/>
      <c r="M4159" s="1113"/>
      <c r="N4159" s="110"/>
      <c r="O4159" s="1140"/>
      <c r="P4159" s="1115"/>
      <c r="Q4159" s="1116"/>
      <c r="R4159" s="1141"/>
      <c r="S4159" s="1113"/>
      <c r="T4159" s="1143"/>
      <c r="U4159" s="1108"/>
      <c r="V4159" s="1108"/>
      <c r="W4159" s="1108"/>
      <c r="X4159" s="1108"/>
      <c r="Y4159" s="1108"/>
      <c r="Z4159" s="1114"/>
      <c r="AA4159" s="1114"/>
      <c r="AB4159" s="1114"/>
      <c r="AC4159" s="1117"/>
      <c r="AD4159" s="1115"/>
      <c r="AE4159" s="1115"/>
      <c r="AF4159" s="1115"/>
      <c r="AG4159" s="1115"/>
      <c r="AH4159" s="1115"/>
      <c r="AI4159" s="1115"/>
      <c r="AJ4159" s="1117"/>
      <c r="AK4159" s="1118"/>
      <c r="AL4159" s="1115"/>
      <c r="AM4159" s="1115"/>
      <c r="AN4159" s="1115"/>
      <c r="AO4159" s="1115"/>
      <c r="AP4159" s="1115"/>
      <c r="AQ4159" s="1115"/>
      <c r="AR4159" s="1115"/>
      <c r="AS4159" s="1117"/>
      <c r="AT4159" s="1075"/>
      <c r="AU4159" s="1193"/>
      <c r="AV4159" s="330"/>
      <c r="AW4159" s="331"/>
      <c r="AX4159" s="331"/>
      <c r="AY4159" s="331"/>
      <c r="AZ4159" s="331"/>
      <c r="BA4159" s="331"/>
      <c r="BB4159" s="331"/>
      <c r="BC4159" s="331"/>
      <c r="BD4159" s="331"/>
      <c r="BE4159" s="333"/>
      <c r="BF4159" s="330"/>
      <c r="BG4159" s="333"/>
      <c r="BH4159" s="1119"/>
      <c r="BI4159" s="319"/>
      <c r="BJ4159" s="319"/>
      <c r="BK4159" s="319"/>
      <c r="BL4159" s="319"/>
      <c r="BM4159" s="319"/>
      <c r="BN4159" s="319"/>
      <c r="BO4159" s="319"/>
      <c r="BP4159" s="953"/>
      <c r="BQ4159" s="319"/>
      <c r="BR4159" s="319"/>
      <c r="BS4159" s="330"/>
      <c r="BT4159" s="331"/>
      <c r="BU4159" s="920"/>
      <c r="BV4159" s="903"/>
      <c r="BW4159" s="908"/>
      <c r="BX4159" s="908"/>
      <c r="BY4159" s="331"/>
      <c r="BZ4159" s="331"/>
      <c r="CA4159" s="462"/>
      <c r="CB4159" s="319"/>
      <c r="CC4159" s="319"/>
      <c r="CD4159" s="319"/>
      <c r="CE4159" s="319"/>
      <c r="CF4159" s="319"/>
      <c r="CG4159" s="319"/>
      <c r="CH4159" s="318"/>
      <c r="CI4159" s="319"/>
      <c r="CJ4159" s="319"/>
      <c r="CK4159" s="342"/>
      <c r="CL4159" s="333"/>
      <c r="CM4159" s="1079"/>
      <c r="CN4159" s="1005"/>
      <c r="CO4159" s="1005"/>
      <c r="CP4159" s="1005"/>
    </row>
    <row r="4160">
      <c r="A4160" s="1257"/>
      <c r="B4160" s="1113"/>
      <c r="C4160" s="1107"/>
      <c r="D4160" s="103"/>
      <c r="E4160" s="1137"/>
      <c r="F4160" s="112"/>
      <c r="G4160" s="1110"/>
      <c r="H4160" s="1138"/>
      <c r="I4160" s="1138"/>
      <c r="J4160" s="1139"/>
      <c r="K4160" s="1111"/>
      <c r="L4160" s="1112"/>
      <c r="M4160" s="1113"/>
      <c r="N4160" s="110"/>
      <c r="O4160" s="1140"/>
      <c r="P4160" s="1115"/>
      <c r="Q4160" s="1116"/>
      <c r="R4160" s="1141"/>
      <c r="S4160" s="1113"/>
      <c r="T4160" s="1143"/>
      <c r="U4160" s="1108"/>
      <c r="V4160" s="1108"/>
      <c r="W4160" s="1108"/>
      <c r="X4160" s="1108"/>
      <c r="Y4160" s="1108"/>
      <c r="Z4160" s="1114"/>
      <c r="AA4160" s="1114"/>
      <c r="AB4160" s="1114"/>
      <c r="AC4160" s="1117"/>
      <c r="AD4160" s="1115"/>
      <c r="AE4160" s="1115"/>
      <c r="AF4160" s="1115"/>
      <c r="AG4160" s="1115"/>
      <c r="AH4160" s="1115"/>
      <c r="AI4160" s="1115"/>
      <c r="AJ4160" s="1117"/>
      <c r="AK4160" s="1118"/>
      <c r="AL4160" s="1115"/>
      <c r="AM4160" s="1115"/>
      <c r="AN4160" s="1115"/>
      <c r="AO4160" s="1115"/>
      <c r="AP4160" s="1115"/>
      <c r="AQ4160" s="1115"/>
      <c r="AR4160" s="1115"/>
      <c r="AS4160" s="1117"/>
      <c r="AT4160" s="1075"/>
      <c r="AU4160" s="1193"/>
      <c r="AV4160" s="330"/>
      <c r="AW4160" s="331"/>
      <c r="AX4160" s="331"/>
      <c r="AY4160" s="331"/>
      <c r="AZ4160" s="331"/>
      <c r="BA4160" s="331"/>
      <c r="BB4160" s="331"/>
      <c r="BC4160" s="331"/>
      <c r="BD4160" s="331"/>
      <c r="BE4160" s="333"/>
      <c r="BF4160" s="330"/>
      <c r="BG4160" s="333"/>
      <c r="BH4160" s="1119"/>
      <c r="BI4160" s="319"/>
      <c r="BJ4160" s="319"/>
      <c r="BK4160" s="319"/>
      <c r="BL4160" s="319"/>
      <c r="BM4160" s="319"/>
      <c r="BN4160" s="319"/>
      <c r="BO4160" s="319"/>
      <c r="BP4160" s="953"/>
      <c r="BQ4160" s="319"/>
      <c r="BR4160" s="319"/>
      <c r="BS4160" s="330"/>
      <c r="BT4160" s="331"/>
      <c r="BU4160" s="920"/>
      <c r="BV4160" s="903"/>
      <c r="BW4160" s="908"/>
      <c r="BX4160" s="908"/>
      <c r="BY4160" s="331"/>
      <c r="BZ4160" s="331"/>
      <c r="CA4160" s="462"/>
      <c r="CB4160" s="319"/>
      <c r="CC4160" s="319"/>
      <c r="CD4160" s="319"/>
      <c r="CE4160" s="319"/>
      <c r="CF4160" s="319"/>
      <c r="CG4160" s="319"/>
      <c r="CH4160" s="318"/>
      <c r="CI4160" s="319"/>
      <c r="CJ4160" s="319"/>
      <c r="CK4160" s="342"/>
      <c r="CL4160" s="333"/>
      <c r="CM4160" s="1079"/>
      <c r="CN4160" s="1005"/>
      <c r="CO4160" s="1005"/>
      <c r="CP4160" s="1005"/>
    </row>
    <row r="4161">
      <c r="A4161" s="1257"/>
      <c r="B4161" s="1113"/>
      <c r="C4161" s="1107"/>
      <c r="D4161" s="103"/>
      <c r="E4161" s="1137"/>
      <c r="F4161" s="112"/>
      <c r="G4161" s="1110"/>
      <c r="H4161" s="1138"/>
      <c r="I4161" s="1138"/>
      <c r="J4161" s="1139"/>
      <c r="K4161" s="1111"/>
      <c r="L4161" s="1112"/>
      <c r="M4161" s="1113"/>
      <c r="N4161" s="110"/>
      <c r="O4161" s="1140"/>
      <c r="P4161" s="1115"/>
      <c r="Q4161" s="1116"/>
      <c r="R4161" s="1141"/>
      <c r="S4161" s="1113"/>
      <c r="T4161" s="1143"/>
      <c r="U4161" s="1108"/>
      <c r="V4161" s="1108"/>
      <c r="W4161" s="1108"/>
      <c r="X4161" s="1108"/>
      <c r="Y4161" s="1108"/>
      <c r="Z4161" s="1114"/>
      <c r="AA4161" s="1114"/>
      <c r="AB4161" s="1114"/>
      <c r="AC4161" s="1117"/>
      <c r="AD4161" s="1115"/>
      <c r="AE4161" s="1115"/>
      <c r="AF4161" s="1115"/>
      <c r="AG4161" s="1115"/>
      <c r="AH4161" s="1115"/>
      <c r="AI4161" s="1115"/>
      <c r="AJ4161" s="1117"/>
      <c r="AK4161" s="1118"/>
      <c r="AL4161" s="1115"/>
      <c r="AM4161" s="1115"/>
      <c r="AN4161" s="1115"/>
      <c r="AO4161" s="1115"/>
      <c r="AP4161" s="1115"/>
      <c r="AQ4161" s="1115"/>
      <c r="AR4161" s="1115"/>
      <c r="AS4161" s="1117"/>
      <c r="AT4161" s="1075"/>
      <c r="AU4161" s="1193"/>
      <c r="AV4161" s="330"/>
      <c r="AW4161" s="331"/>
      <c r="AX4161" s="331"/>
      <c r="AY4161" s="331"/>
      <c r="AZ4161" s="331"/>
      <c r="BA4161" s="331"/>
      <c r="BB4161" s="331"/>
      <c r="BC4161" s="331"/>
      <c r="BD4161" s="331"/>
      <c r="BE4161" s="333"/>
      <c r="BF4161" s="330"/>
      <c r="BG4161" s="333"/>
      <c r="BH4161" s="1119"/>
      <c r="BI4161" s="319"/>
      <c r="BJ4161" s="319"/>
      <c r="BK4161" s="319"/>
      <c r="BL4161" s="319"/>
      <c r="BM4161" s="319"/>
      <c r="BN4161" s="319"/>
      <c r="BO4161" s="319"/>
      <c r="BP4161" s="953"/>
      <c r="BQ4161" s="319"/>
      <c r="BR4161" s="319"/>
      <c r="BS4161" s="330"/>
      <c r="BT4161" s="331"/>
      <c r="BU4161" s="920"/>
      <c r="BV4161" s="903"/>
      <c r="BW4161" s="908"/>
      <c r="BX4161" s="908"/>
      <c r="BY4161" s="331"/>
      <c r="BZ4161" s="331"/>
      <c r="CA4161" s="462"/>
      <c r="CB4161" s="319"/>
      <c r="CC4161" s="319"/>
      <c r="CD4161" s="319"/>
      <c r="CE4161" s="319"/>
      <c r="CF4161" s="319"/>
      <c r="CG4161" s="319"/>
      <c r="CH4161" s="318"/>
      <c r="CI4161" s="319"/>
      <c r="CJ4161" s="319"/>
      <c r="CK4161" s="342"/>
      <c r="CL4161" s="333"/>
      <c r="CM4161" s="1079"/>
      <c r="CN4161" s="1005"/>
      <c r="CO4161" s="1005"/>
      <c r="CP4161" s="1005"/>
    </row>
    <row r="4162">
      <c r="A4162" s="1257"/>
      <c r="B4162" s="1113"/>
      <c r="C4162" s="1107"/>
      <c r="D4162" s="103"/>
      <c r="E4162" s="1137"/>
      <c r="F4162" s="112"/>
      <c r="G4162" s="1110"/>
      <c r="H4162" s="1138"/>
      <c r="I4162" s="1138"/>
      <c r="J4162" s="1139"/>
      <c r="K4162" s="1111"/>
      <c r="L4162" s="1112"/>
      <c r="M4162" s="1113"/>
      <c r="N4162" s="110"/>
      <c r="O4162" s="1140"/>
      <c r="P4162" s="1115"/>
      <c r="Q4162" s="1116"/>
      <c r="R4162" s="1141"/>
      <c r="S4162" s="1113"/>
      <c r="T4162" s="1143"/>
      <c r="U4162" s="1108"/>
      <c r="V4162" s="1108"/>
      <c r="W4162" s="1108"/>
      <c r="X4162" s="1108"/>
      <c r="Y4162" s="1108"/>
      <c r="Z4162" s="1114"/>
      <c r="AA4162" s="1114"/>
      <c r="AB4162" s="1114"/>
      <c r="AC4162" s="1117"/>
      <c r="AD4162" s="1115"/>
      <c r="AE4162" s="1115"/>
      <c r="AF4162" s="1115"/>
      <c r="AG4162" s="1115"/>
      <c r="AH4162" s="1115"/>
      <c r="AI4162" s="1115"/>
      <c r="AJ4162" s="1117"/>
      <c r="AK4162" s="1118"/>
      <c r="AL4162" s="1115"/>
      <c r="AM4162" s="1115"/>
      <c r="AN4162" s="1115"/>
      <c r="AO4162" s="1115"/>
      <c r="AP4162" s="1115"/>
      <c r="AQ4162" s="1115"/>
      <c r="AR4162" s="1115"/>
      <c r="AS4162" s="1117"/>
      <c r="AT4162" s="1075"/>
      <c r="AU4162" s="1193"/>
      <c r="AV4162" s="330"/>
      <c r="AW4162" s="331"/>
      <c r="AX4162" s="331"/>
      <c r="AY4162" s="331"/>
      <c r="AZ4162" s="331"/>
      <c r="BA4162" s="331"/>
      <c r="BB4162" s="331"/>
      <c r="BC4162" s="331"/>
      <c r="BD4162" s="331"/>
      <c r="BE4162" s="333"/>
      <c r="BF4162" s="330"/>
      <c r="BG4162" s="333"/>
      <c r="BH4162" s="1119"/>
      <c r="BI4162" s="319"/>
      <c r="BJ4162" s="319"/>
      <c r="BK4162" s="319"/>
      <c r="BL4162" s="319"/>
      <c r="BM4162" s="319"/>
      <c r="BN4162" s="319"/>
      <c r="BO4162" s="319"/>
      <c r="BP4162" s="953"/>
      <c r="BQ4162" s="319"/>
      <c r="BR4162" s="319"/>
      <c r="BS4162" s="330"/>
      <c r="BT4162" s="331"/>
      <c r="BU4162" s="920"/>
      <c r="BV4162" s="903"/>
      <c r="BW4162" s="908"/>
      <c r="BX4162" s="908"/>
      <c r="BY4162" s="331"/>
      <c r="BZ4162" s="331"/>
      <c r="CA4162" s="462"/>
      <c r="CB4162" s="319"/>
      <c r="CC4162" s="319"/>
      <c r="CD4162" s="319"/>
      <c r="CE4162" s="319"/>
      <c r="CF4162" s="319"/>
      <c r="CG4162" s="319"/>
      <c r="CH4162" s="318"/>
      <c r="CI4162" s="319"/>
      <c r="CJ4162" s="319"/>
      <c r="CK4162" s="342"/>
      <c r="CL4162" s="333"/>
      <c r="CM4162" s="1079"/>
      <c r="CN4162" s="1005"/>
      <c r="CO4162" s="1005"/>
      <c r="CP4162" s="1005"/>
    </row>
    <row r="4163">
      <c r="A4163" s="1257"/>
      <c r="B4163" s="1113"/>
      <c r="C4163" s="1107"/>
      <c r="D4163" s="103"/>
      <c r="E4163" s="1137"/>
      <c r="F4163" s="112"/>
      <c r="G4163" s="1110"/>
      <c r="H4163" s="1138"/>
      <c r="I4163" s="1138"/>
      <c r="J4163" s="1139"/>
      <c r="K4163" s="1111"/>
      <c r="L4163" s="1112"/>
      <c r="M4163" s="1113"/>
      <c r="N4163" s="110"/>
      <c r="O4163" s="1140"/>
      <c r="P4163" s="1115"/>
      <c r="Q4163" s="1116"/>
      <c r="R4163" s="1141"/>
      <c r="S4163" s="1113"/>
      <c r="T4163" s="1143"/>
      <c r="U4163" s="1108"/>
      <c r="V4163" s="1108"/>
      <c r="W4163" s="1108"/>
      <c r="X4163" s="1108"/>
      <c r="Y4163" s="1108"/>
      <c r="Z4163" s="1114"/>
      <c r="AA4163" s="1114"/>
      <c r="AB4163" s="1114"/>
      <c r="AC4163" s="1117"/>
      <c r="AD4163" s="1115"/>
      <c r="AE4163" s="1115"/>
      <c r="AF4163" s="1115"/>
      <c r="AG4163" s="1115"/>
      <c r="AH4163" s="1115"/>
      <c r="AI4163" s="1115"/>
      <c r="AJ4163" s="1117"/>
      <c r="AK4163" s="1118"/>
      <c r="AL4163" s="1115"/>
      <c r="AM4163" s="1115"/>
      <c r="AN4163" s="1115"/>
      <c r="AO4163" s="1115"/>
      <c r="AP4163" s="1115"/>
      <c r="AQ4163" s="1115"/>
      <c r="AR4163" s="1115"/>
      <c r="AS4163" s="1117"/>
      <c r="AT4163" s="1075"/>
      <c r="AU4163" s="1193"/>
      <c r="AV4163" s="330"/>
      <c r="AW4163" s="331"/>
      <c r="AX4163" s="331"/>
      <c r="AY4163" s="331"/>
      <c r="AZ4163" s="331"/>
      <c r="BA4163" s="331"/>
      <c r="BB4163" s="331"/>
      <c r="BC4163" s="331"/>
      <c r="BD4163" s="331"/>
      <c r="BE4163" s="333"/>
      <c r="BF4163" s="330"/>
      <c r="BG4163" s="333"/>
      <c r="BH4163" s="1119"/>
      <c r="BI4163" s="319"/>
      <c r="BJ4163" s="319"/>
      <c r="BK4163" s="319"/>
      <c r="BL4163" s="319"/>
      <c r="BM4163" s="319"/>
      <c r="BN4163" s="319"/>
      <c r="BO4163" s="319"/>
      <c r="BP4163" s="953"/>
      <c r="BQ4163" s="319"/>
      <c r="BR4163" s="319"/>
      <c r="BS4163" s="330"/>
      <c r="BT4163" s="331"/>
      <c r="BU4163" s="920"/>
      <c r="BV4163" s="903"/>
      <c r="BW4163" s="908"/>
      <c r="BX4163" s="908"/>
      <c r="BY4163" s="331"/>
      <c r="BZ4163" s="331"/>
      <c r="CA4163" s="462"/>
      <c r="CB4163" s="319"/>
      <c r="CC4163" s="319"/>
      <c r="CD4163" s="319"/>
      <c r="CE4163" s="319"/>
      <c r="CF4163" s="319"/>
      <c r="CG4163" s="319"/>
      <c r="CH4163" s="318"/>
      <c r="CI4163" s="319"/>
      <c r="CJ4163" s="319"/>
      <c r="CK4163" s="342"/>
      <c r="CL4163" s="333"/>
      <c r="CM4163" s="1079"/>
      <c r="CN4163" s="1005"/>
      <c r="CO4163" s="1005"/>
      <c r="CP4163" s="1005"/>
    </row>
    <row r="4164">
      <c r="A4164" s="1257"/>
      <c r="B4164" s="1113"/>
      <c r="C4164" s="1107"/>
      <c r="D4164" s="103"/>
      <c r="E4164" s="1137"/>
      <c r="F4164" s="112"/>
      <c r="G4164" s="1110"/>
      <c r="H4164" s="1138"/>
      <c r="I4164" s="1138"/>
      <c r="J4164" s="1139"/>
      <c r="K4164" s="1111"/>
      <c r="L4164" s="1112"/>
      <c r="M4164" s="1113"/>
      <c r="N4164" s="110"/>
      <c r="O4164" s="1140"/>
      <c r="P4164" s="1115"/>
      <c r="Q4164" s="1116"/>
      <c r="R4164" s="1141"/>
      <c r="S4164" s="1113"/>
      <c r="T4164" s="1143"/>
      <c r="U4164" s="1108"/>
      <c r="V4164" s="1108"/>
      <c r="W4164" s="1108"/>
      <c r="X4164" s="1108"/>
      <c r="Y4164" s="1108"/>
      <c r="Z4164" s="1114"/>
      <c r="AA4164" s="1114"/>
      <c r="AB4164" s="1114"/>
      <c r="AC4164" s="1117"/>
      <c r="AD4164" s="1115"/>
      <c r="AE4164" s="1115"/>
      <c r="AF4164" s="1115"/>
      <c r="AG4164" s="1115"/>
      <c r="AH4164" s="1115"/>
      <c r="AI4164" s="1115"/>
      <c r="AJ4164" s="1117"/>
      <c r="AK4164" s="1118"/>
      <c r="AL4164" s="1115"/>
      <c r="AM4164" s="1115"/>
      <c r="AN4164" s="1115"/>
      <c r="AO4164" s="1115"/>
      <c r="AP4164" s="1115"/>
      <c r="AQ4164" s="1115"/>
      <c r="AR4164" s="1115"/>
      <c r="AS4164" s="1117"/>
      <c r="AT4164" s="1075"/>
      <c r="AU4164" s="1193"/>
      <c r="AV4164" s="330"/>
      <c r="AW4164" s="331"/>
      <c r="AX4164" s="331"/>
      <c r="AY4164" s="331"/>
      <c r="AZ4164" s="331"/>
      <c r="BA4164" s="331"/>
      <c r="BB4164" s="331"/>
      <c r="BC4164" s="331"/>
      <c r="BD4164" s="331"/>
      <c r="BE4164" s="333"/>
      <c r="BF4164" s="330"/>
      <c r="BG4164" s="333"/>
      <c r="BH4164" s="1119"/>
      <c r="BI4164" s="319"/>
      <c r="BJ4164" s="319"/>
      <c r="BK4164" s="319"/>
      <c r="BL4164" s="319"/>
      <c r="BM4164" s="319"/>
      <c r="BN4164" s="319"/>
      <c r="BO4164" s="319"/>
      <c r="BP4164" s="953"/>
      <c r="BQ4164" s="319"/>
      <c r="BR4164" s="319"/>
      <c r="BS4164" s="330"/>
      <c r="BT4164" s="331"/>
      <c r="BU4164" s="920"/>
      <c r="BV4164" s="903"/>
      <c r="BW4164" s="908"/>
      <c r="BX4164" s="908"/>
      <c r="BY4164" s="331"/>
      <c r="BZ4164" s="331"/>
      <c r="CA4164" s="462"/>
      <c r="CB4164" s="319"/>
      <c r="CC4164" s="319"/>
      <c r="CD4164" s="319"/>
      <c r="CE4164" s="319"/>
      <c r="CF4164" s="319"/>
      <c r="CG4164" s="319"/>
      <c r="CH4164" s="318"/>
      <c r="CI4164" s="319"/>
      <c r="CJ4164" s="319"/>
      <c r="CK4164" s="342"/>
      <c r="CL4164" s="333"/>
      <c r="CM4164" s="1079"/>
      <c r="CN4164" s="1005"/>
      <c r="CO4164" s="1005"/>
      <c r="CP4164" s="1005"/>
    </row>
    <row r="4165">
      <c r="A4165" s="1257"/>
      <c r="B4165" s="1113"/>
      <c r="C4165" s="1107"/>
      <c r="D4165" s="103"/>
      <c r="E4165" s="1137"/>
      <c r="F4165" s="112"/>
      <c r="G4165" s="1110"/>
      <c r="H4165" s="1138"/>
      <c r="I4165" s="1138"/>
      <c r="J4165" s="1139"/>
      <c r="K4165" s="1111"/>
      <c r="L4165" s="1112"/>
      <c r="M4165" s="1113"/>
      <c r="N4165" s="110"/>
      <c r="O4165" s="1140"/>
      <c r="P4165" s="1115"/>
      <c r="Q4165" s="1116"/>
      <c r="R4165" s="1141"/>
      <c r="S4165" s="1113"/>
      <c r="T4165" s="1143"/>
      <c r="U4165" s="1108"/>
      <c r="V4165" s="1108"/>
      <c r="W4165" s="1108"/>
      <c r="X4165" s="1108"/>
      <c r="Y4165" s="1108"/>
      <c r="Z4165" s="1114"/>
      <c r="AA4165" s="1114"/>
      <c r="AB4165" s="1114"/>
      <c r="AC4165" s="1117"/>
      <c r="AD4165" s="1115"/>
      <c r="AE4165" s="1115"/>
      <c r="AF4165" s="1115"/>
      <c r="AG4165" s="1115"/>
      <c r="AH4165" s="1115"/>
      <c r="AI4165" s="1115"/>
      <c r="AJ4165" s="1117"/>
      <c r="AK4165" s="1118"/>
      <c r="AL4165" s="1115"/>
      <c r="AM4165" s="1115"/>
      <c r="AN4165" s="1115"/>
      <c r="AO4165" s="1115"/>
      <c r="AP4165" s="1115"/>
      <c r="AQ4165" s="1115"/>
      <c r="AR4165" s="1115"/>
      <c r="AS4165" s="1117"/>
      <c r="AT4165" s="1075"/>
      <c r="AU4165" s="1193"/>
      <c r="AV4165" s="330"/>
      <c r="AW4165" s="331"/>
      <c r="AX4165" s="331"/>
      <c r="AY4165" s="331"/>
      <c r="AZ4165" s="331"/>
      <c r="BA4165" s="331"/>
      <c r="BB4165" s="331"/>
      <c r="BC4165" s="331"/>
      <c r="BD4165" s="331"/>
      <c r="BE4165" s="333"/>
      <c r="BF4165" s="330"/>
      <c r="BG4165" s="333"/>
      <c r="BH4165" s="1119"/>
      <c r="BI4165" s="319"/>
      <c r="BJ4165" s="319"/>
      <c r="BK4165" s="319"/>
      <c r="BL4165" s="319"/>
      <c r="BM4165" s="319"/>
      <c r="BN4165" s="319"/>
      <c r="BO4165" s="319"/>
      <c r="BP4165" s="953"/>
      <c r="BQ4165" s="319"/>
      <c r="BR4165" s="319"/>
      <c r="BS4165" s="330"/>
      <c r="BT4165" s="331"/>
      <c r="BU4165" s="920"/>
      <c r="BV4165" s="903"/>
      <c r="BW4165" s="908"/>
      <c r="BX4165" s="908"/>
      <c r="BY4165" s="331"/>
      <c r="BZ4165" s="331"/>
      <c r="CA4165" s="462"/>
      <c r="CB4165" s="319"/>
      <c r="CC4165" s="319"/>
      <c r="CD4165" s="319"/>
      <c r="CE4165" s="319"/>
      <c r="CF4165" s="319"/>
      <c r="CG4165" s="319"/>
      <c r="CH4165" s="318"/>
      <c r="CI4165" s="319"/>
      <c r="CJ4165" s="319"/>
      <c r="CK4165" s="342"/>
      <c r="CL4165" s="333"/>
      <c r="CM4165" s="1079"/>
      <c r="CN4165" s="1005"/>
      <c r="CO4165" s="1005"/>
      <c r="CP4165" s="1005"/>
    </row>
    <row r="4166">
      <c r="A4166" s="1257"/>
      <c r="B4166" s="1113"/>
      <c r="C4166" s="1107"/>
      <c r="D4166" s="103"/>
      <c r="E4166" s="1137"/>
      <c r="F4166" s="112"/>
      <c r="G4166" s="1110"/>
      <c r="H4166" s="1138"/>
      <c r="I4166" s="1138"/>
      <c r="J4166" s="1139"/>
      <c r="K4166" s="1111"/>
      <c r="L4166" s="1112"/>
      <c r="M4166" s="1113"/>
      <c r="N4166" s="110"/>
      <c r="O4166" s="1140"/>
      <c r="P4166" s="1115"/>
      <c r="Q4166" s="1116"/>
      <c r="R4166" s="1141"/>
      <c r="S4166" s="1113"/>
      <c r="T4166" s="1143"/>
      <c r="U4166" s="1108"/>
      <c r="V4166" s="1108"/>
      <c r="W4166" s="1108"/>
      <c r="X4166" s="1108"/>
      <c r="Y4166" s="1108"/>
      <c r="Z4166" s="1114"/>
      <c r="AA4166" s="1114"/>
      <c r="AB4166" s="1114"/>
      <c r="AC4166" s="1117"/>
      <c r="AD4166" s="1115"/>
      <c r="AE4166" s="1115"/>
      <c r="AF4166" s="1115"/>
      <c r="AG4166" s="1115"/>
      <c r="AH4166" s="1115"/>
      <c r="AI4166" s="1115"/>
      <c r="AJ4166" s="1117"/>
      <c r="AK4166" s="1118"/>
      <c r="AL4166" s="1115"/>
      <c r="AM4166" s="1115"/>
      <c r="AN4166" s="1115"/>
      <c r="AO4166" s="1115"/>
      <c r="AP4166" s="1115"/>
      <c r="AQ4166" s="1115"/>
      <c r="AR4166" s="1115"/>
      <c r="AS4166" s="1117"/>
      <c r="AT4166" s="1075"/>
      <c r="AU4166" s="1193"/>
      <c r="AV4166" s="330"/>
      <c r="AW4166" s="331"/>
      <c r="AX4166" s="331"/>
      <c r="AY4166" s="331"/>
      <c r="AZ4166" s="331"/>
      <c r="BA4166" s="331"/>
      <c r="BB4166" s="331"/>
      <c r="BC4166" s="331"/>
      <c r="BD4166" s="331"/>
      <c r="BE4166" s="333"/>
      <c r="BF4166" s="330"/>
      <c r="BG4166" s="333"/>
      <c r="BH4166" s="1119"/>
      <c r="BI4166" s="319"/>
      <c r="BJ4166" s="319"/>
      <c r="BK4166" s="319"/>
      <c r="BL4166" s="319"/>
      <c r="BM4166" s="319"/>
      <c r="BN4166" s="319"/>
      <c r="BO4166" s="319"/>
      <c r="BP4166" s="953"/>
      <c r="BQ4166" s="319"/>
      <c r="BR4166" s="319"/>
      <c r="BS4166" s="330"/>
      <c r="BT4166" s="331"/>
      <c r="BU4166" s="920"/>
      <c r="BV4166" s="903"/>
      <c r="BW4166" s="908"/>
      <c r="BX4166" s="908"/>
      <c r="BY4166" s="331"/>
      <c r="BZ4166" s="331"/>
      <c r="CA4166" s="462"/>
      <c r="CB4166" s="319"/>
      <c r="CC4166" s="319"/>
      <c r="CD4166" s="319"/>
      <c r="CE4166" s="319"/>
      <c r="CF4166" s="319"/>
      <c r="CG4166" s="319"/>
      <c r="CH4166" s="318"/>
      <c r="CI4166" s="319"/>
      <c r="CJ4166" s="319"/>
      <c r="CK4166" s="342"/>
      <c r="CL4166" s="333"/>
      <c r="CM4166" s="1079"/>
      <c r="CN4166" s="1005"/>
      <c r="CO4166" s="1005"/>
      <c r="CP4166" s="1005"/>
    </row>
    <row r="4167">
      <c r="A4167" s="1257"/>
      <c r="B4167" s="1113"/>
      <c r="C4167" s="1107"/>
      <c r="D4167" s="103"/>
      <c r="E4167" s="1137"/>
      <c r="F4167" s="112"/>
      <c r="G4167" s="1110"/>
      <c r="H4167" s="1138"/>
      <c r="I4167" s="1138"/>
      <c r="J4167" s="1139"/>
      <c r="K4167" s="1111"/>
      <c r="L4167" s="1112"/>
      <c r="M4167" s="1113"/>
      <c r="N4167" s="110"/>
      <c r="O4167" s="1140"/>
      <c r="P4167" s="1115"/>
      <c r="Q4167" s="1116"/>
      <c r="R4167" s="1141"/>
      <c r="S4167" s="1113"/>
      <c r="T4167" s="1143"/>
      <c r="U4167" s="1108"/>
      <c r="V4167" s="1108"/>
      <c r="W4167" s="1108"/>
      <c r="X4167" s="1108"/>
      <c r="Y4167" s="1108"/>
      <c r="Z4167" s="1114"/>
      <c r="AA4167" s="1114"/>
      <c r="AB4167" s="1114"/>
      <c r="AC4167" s="1117"/>
      <c r="AD4167" s="1115"/>
      <c r="AE4167" s="1115"/>
      <c r="AF4167" s="1115"/>
      <c r="AG4167" s="1115"/>
      <c r="AH4167" s="1115"/>
      <c r="AI4167" s="1115"/>
      <c r="AJ4167" s="1117"/>
      <c r="AK4167" s="1118"/>
      <c r="AL4167" s="1115"/>
      <c r="AM4167" s="1115"/>
      <c r="AN4167" s="1115"/>
      <c r="AO4167" s="1115"/>
      <c r="AP4167" s="1115"/>
      <c r="AQ4167" s="1115"/>
      <c r="AR4167" s="1115"/>
      <c r="AS4167" s="1117"/>
      <c r="AT4167" s="1075"/>
      <c r="AU4167" s="1193"/>
      <c r="AV4167" s="330"/>
      <c r="AW4167" s="331"/>
      <c r="AX4167" s="331"/>
      <c r="AY4167" s="331"/>
      <c r="AZ4167" s="331"/>
      <c r="BA4167" s="331"/>
      <c r="BB4167" s="331"/>
      <c r="BC4167" s="331"/>
      <c r="BD4167" s="331"/>
      <c r="BE4167" s="333"/>
      <c r="BF4167" s="330"/>
      <c r="BG4167" s="333"/>
      <c r="BH4167" s="1119"/>
      <c r="BI4167" s="319"/>
      <c r="BJ4167" s="319"/>
      <c r="BK4167" s="319"/>
      <c r="BL4167" s="319"/>
      <c r="BM4167" s="319"/>
      <c r="BN4167" s="319"/>
      <c r="BO4167" s="319"/>
      <c r="BP4167" s="953"/>
      <c r="BQ4167" s="319"/>
      <c r="BR4167" s="319"/>
      <c r="BS4167" s="330"/>
      <c r="BT4167" s="331"/>
      <c r="BU4167" s="920"/>
      <c r="BV4167" s="903"/>
      <c r="BW4167" s="908"/>
      <c r="BX4167" s="908"/>
      <c r="BY4167" s="331"/>
      <c r="BZ4167" s="331"/>
      <c r="CA4167" s="462"/>
      <c r="CB4167" s="319"/>
      <c r="CC4167" s="319"/>
      <c r="CD4167" s="319"/>
      <c r="CE4167" s="319"/>
      <c r="CF4167" s="319"/>
      <c r="CG4167" s="319"/>
      <c r="CH4167" s="318"/>
      <c r="CI4167" s="319"/>
      <c r="CJ4167" s="319"/>
      <c r="CK4167" s="342"/>
      <c r="CL4167" s="333"/>
      <c r="CM4167" s="1079"/>
      <c r="CN4167" s="1005"/>
      <c r="CO4167" s="1005"/>
      <c r="CP4167" s="1005"/>
    </row>
    <row r="4168">
      <c r="A4168" s="1257"/>
      <c r="B4168" s="1113"/>
      <c r="C4168" s="1107"/>
      <c r="D4168" s="103"/>
      <c r="E4168" s="1137"/>
      <c r="F4168" s="112"/>
      <c r="G4168" s="1110"/>
      <c r="H4168" s="1138"/>
      <c r="I4168" s="1138"/>
      <c r="J4168" s="1139"/>
      <c r="K4168" s="1111"/>
      <c r="L4168" s="1112"/>
      <c r="M4168" s="1113"/>
      <c r="N4168" s="110"/>
      <c r="O4168" s="1140"/>
      <c r="P4168" s="1115"/>
      <c r="Q4168" s="1116"/>
      <c r="R4168" s="1141"/>
      <c r="S4168" s="1113"/>
      <c r="T4168" s="1143"/>
      <c r="U4168" s="1108"/>
      <c r="V4168" s="1108"/>
      <c r="W4168" s="1108"/>
      <c r="X4168" s="1108"/>
      <c r="Y4168" s="1108"/>
      <c r="Z4168" s="1114"/>
      <c r="AA4168" s="1114"/>
      <c r="AB4168" s="1114"/>
      <c r="AC4168" s="1117"/>
      <c r="AD4168" s="1115"/>
      <c r="AE4168" s="1115"/>
      <c r="AF4168" s="1115"/>
      <c r="AG4168" s="1115"/>
      <c r="AH4168" s="1115"/>
      <c r="AI4168" s="1115"/>
      <c r="AJ4168" s="1117"/>
      <c r="AK4168" s="1118"/>
      <c r="AL4168" s="1115"/>
      <c r="AM4168" s="1115"/>
      <c r="AN4168" s="1115"/>
      <c r="AO4168" s="1115"/>
      <c r="AP4168" s="1115"/>
      <c r="AQ4168" s="1115"/>
      <c r="AR4168" s="1115"/>
      <c r="AS4168" s="1117"/>
      <c r="AT4168" s="1075"/>
      <c r="AU4168" s="1193"/>
      <c r="AV4168" s="330"/>
      <c r="AW4168" s="331"/>
      <c r="AX4168" s="331"/>
      <c r="AY4168" s="331"/>
      <c r="AZ4168" s="331"/>
      <c r="BA4168" s="331"/>
      <c r="BB4168" s="331"/>
      <c r="BC4168" s="331"/>
      <c r="BD4168" s="331"/>
      <c r="BE4168" s="333"/>
      <c r="BF4168" s="330"/>
      <c r="BG4168" s="333"/>
      <c r="BH4168" s="1119"/>
      <c r="BI4168" s="319"/>
      <c r="BJ4168" s="319"/>
      <c r="BK4168" s="319"/>
      <c r="BL4168" s="319"/>
      <c r="BM4168" s="319"/>
      <c r="BN4168" s="319"/>
      <c r="BO4168" s="319"/>
      <c r="BP4168" s="953"/>
      <c r="BQ4168" s="319"/>
      <c r="BR4168" s="319"/>
      <c r="BS4168" s="330"/>
      <c r="BT4168" s="331"/>
      <c r="BU4168" s="920"/>
      <c r="BV4168" s="903"/>
      <c r="BW4168" s="908"/>
      <c r="BX4168" s="908"/>
      <c r="BY4168" s="331"/>
      <c r="BZ4168" s="331"/>
      <c r="CA4168" s="462"/>
      <c r="CB4168" s="319"/>
      <c r="CC4168" s="319"/>
      <c r="CD4168" s="319"/>
      <c r="CE4168" s="319"/>
      <c r="CF4168" s="319"/>
      <c r="CG4168" s="319"/>
      <c r="CH4168" s="318"/>
      <c r="CI4168" s="319"/>
      <c r="CJ4168" s="319"/>
      <c r="CK4168" s="342"/>
      <c r="CL4168" s="333"/>
      <c r="CM4168" s="1079"/>
      <c r="CN4168" s="1005"/>
      <c r="CO4168" s="1005"/>
      <c r="CP4168" s="1005"/>
    </row>
    <row r="4169">
      <c r="A4169" s="1257"/>
      <c r="B4169" s="1113"/>
      <c r="C4169" s="1107"/>
      <c r="D4169" s="103"/>
      <c r="E4169" s="1137"/>
      <c r="F4169" s="112"/>
      <c r="G4169" s="1110"/>
      <c r="H4169" s="1138"/>
      <c r="I4169" s="1138"/>
      <c r="J4169" s="1139"/>
      <c r="K4169" s="1111"/>
      <c r="L4169" s="1112"/>
      <c r="M4169" s="1113"/>
      <c r="N4169" s="110"/>
      <c r="O4169" s="1140"/>
      <c r="P4169" s="1115"/>
      <c r="Q4169" s="1116"/>
      <c r="R4169" s="1141"/>
      <c r="S4169" s="1113"/>
      <c r="T4169" s="1143"/>
      <c r="U4169" s="1108"/>
      <c r="V4169" s="1108"/>
      <c r="W4169" s="1108"/>
      <c r="X4169" s="1108"/>
      <c r="Y4169" s="1108"/>
      <c r="Z4169" s="1114"/>
      <c r="AA4169" s="1114"/>
      <c r="AB4169" s="1114"/>
      <c r="AC4169" s="1117"/>
      <c r="AD4169" s="1115"/>
      <c r="AE4169" s="1115"/>
      <c r="AF4169" s="1115"/>
      <c r="AG4169" s="1115"/>
      <c r="AH4169" s="1115"/>
      <c r="AI4169" s="1115"/>
      <c r="AJ4169" s="1117"/>
      <c r="AK4169" s="1118"/>
      <c r="AL4169" s="1115"/>
      <c r="AM4169" s="1115"/>
      <c r="AN4169" s="1115"/>
      <c r="AO4169" s="1115"/>
      <c r="AP4169" s="1115"/>
      <c r="AQ4169" s="1115"/>
      <c r="AR4169" s="1115"/>
      <c r="AS4169" s="1117"/>
      <c r="AT4169" s="1075"/>
      <c r="AU4169" s="1193"/>
      <c r="AV4169" s="330"/>
      <c r="AW4169" s="331"/>
      <c r="AX4169" s="331"/>
      <c r="AY4169" s="331"/>
      <c r="AZ4169" s="331"/>
      <c r="BA4169" s="331"/>
      <c r="BB4169" s="331"/>
      <c r="BC4169" s="331"/>
      <c r="BD4169" s="331"/>
      <c r="BE4169" s="333"/>
      <c r="BF4169" s="330"/>
      <c r="BG4169" s="333"/>
      <c r="BH4169" s="1119"/>
      <c r="BI4169" s="319"/>
      <c r="BJ4169" s="319"/>
      <c r="BK4169" s="319"/>
      <c r="BL4169" s="319"/>
      <c r="BM4169" s="319"/>
      <c r="BN4169" s="319"/>
      <c r="BO4169" s="319"/>
      <c r="BP4169" s="953"/>
      <c r="BQ4169" s="319"/>
      <c r="BR4169" s="319"/>
      <c r="BS4169" s="330"/>
      <c r="BT4169" s="331"/>
      <c r="BU4169" s="920"/>
      <c r="BV4169" s="903"/>
      <c r="BW4169" s="908"/>
      <c r="BX4169" s="908"/>
      <c r="BY4169" s="331"/>
      <c r="BZ4169" s="331"/>
      <c r="CA4169" s="462"/>
      <c r="CB4169" s="319"/>
      <c r="CC4169" s="319"/>
      <c r="CD4169" s="319"/>
      <c r="CE4169" s="319"/>
      <c r="CF4169" s="319"/>
      <c r="CG4169" s="319"/>
      <c r="CH4169" s="318"/>
      <c r="CI4169" s="319"/>
      <c r="CJ4169" s="319"/>
      <c r="CK4169" s="342"/>
      <c r="CL4169" s="333"/>
      <c r="CM4169" s="1079"/>
      <c r="CN4169" s="1005"/>
      <c r="CO4169" s="1005"/>
      <c r="CP4169" s="1005"/>
    </row>
    <row r="4170">
      <c r="A4170" s="1257"/>
      <c r="B4170" s="1113"/>
      <c r="C4170" s="1107"/>
      <c r="D4170" s="103"/>
      <c r="E4170" s="1137"/>
      <c r="F4170" s="112"/>
      <c r="G4170" s="1110"/>
      <c r="H4170" s="1138"/>
      <c r="I4170" s="1138"/>
      <c r="J4170" s="1139"/>
      <c r="K4170" s="1111"/>
      <c r="L4170" s="1112"/>
      <c r="M4170" s="1113"/>
      <c r="N4170" s="110"/>
      <c r="O4170" s="1140"/>
      <c r="P4170" s="1115"/>
      <c r="Q4170" s="1116"/>
      <c r="R4170" s="1141"/>
      <c r="S4170" s="1113"/>
      <c r="T4170" s="1143"/>
      <c r="U4170" s="1108"/>
      <c r="V4170" s="1108"/>
      <c r="W4170" s="1108"/>
      <c r="X4170" s="1108"/>
      <c r="Y4170" s="1108"/>
      <c r="Z4170" s="1114"/>
      <c r="AA4170" s="1114"/>
      <c r="AB4170" s="1114"/>
      <c r="AC4170" s="1117"/>
      <c r="AD4170" s="1115"/>
      <c r="AE4170" s="1115"/>
      <c r="AF4170" s="1115"/>
      <c r="AG4170" s="1115"/>
      <c r="AH4170" s="1115"/>
      <c r="AI4170" s="1115"/>
      <c r="AJ4170" s="1117"/>
      <c r="AK4170" s="1118"/>
      <c r="AL4170" s="1115"/>
      <c r="AM4170" s="1115"/>
      <c r="AN4170" s="1115"/>
      <c r="AO4170" s="1115"/>
      <c r="AP4170" s="1115"/>
      <c r="AQ4170" s="1115"/>
      <c r="AR4170" s="1115"/>
      <c r="AS4170" s="1117"/>
      <c r="AT4170" s="1075"/>
      <c r="AU4170" s="1193"/>
      <c r="AV4170" s="330"/>
      <c r="AW4170" s="331"/>
      <c r="AX4170" s="331"/>
      <c r="AY4170" s="331"/>
      <c r="AZ4170" s="331"/>
      <c r="BA4170" s="331"/>
      <c r="BB4170" s="331"/>
      <c r="BC4170" s="331"/>
      <c r="BD4170" s="331"/>
      <c r="BE4170" s="333"/>
      <c r="BF4170" s="330"/>
      <c r="BG4170" s="333"/>
      <c r="BH4170" s="1119"/>
      <c r="BI4170" s="319"/>
      <c r="BJ4170" s="319"/>
      <c r="BK4170" s="319"/>
      <c r="BL4170" s="319"/>
      <c r="BM4170" s="319"/>
      <c r="BN4170" s="319"/>
      <c r="BO4170" s="319"/>
      <c r="BP4170" s="953"/>
      <c r="BQ4170" s="319"/>
      <c r="BR4170" s="319"/>
      <c r="BS4170" s="330"/>
      <c r="BT4170" s="331"/>
      <c r="BU4170" s="920"/>
      <c r="BV4170" s="903"/>
      <c r="BW4170" s="908"/>
      <c r="BX4170" s="908"/>
      <c r="BY4170" s="331"/>
      <c r="BZ4170" s="331"/>
      <c r="CA4170" s="462"/>
      <c r="CB4170" s="319"/>
      <c r="CC4170" s="319"/>
      <c r="CD4170" s="319"/>
      <c r="CE4170" s="319"/>
      <c r="CF4170" s="319"/>
      <c r="CG4170" s="319"/>
      <c r="CH4170" s="318"/>
      <c r="CI4170" s="319"/>
      <c r="CJ4170" s="319"/>
      <c r="CK4170" s="342"/>
      <c r="CL4170" s="333"/>
      <c r="CM4170" s="1079"/>
      <c r="CN4170" s="1005"/>
      <c r="CO4170" s="1005"/>
      <c r="CP4170" s="1005"/>
    </row>
    <row r="4171">
      <c r="A4171" s="1257"/>
      <c r="B4171" s="1113"/>
      <c r="C4171" s="1107"/>
      <c r="D4171" s="103"/>
      <c r="E4171" s="1137"/>
      <c r="F4171" s="112"/>
      <c r="G4171" s="1110"/>
      <c r="H4171" s="1138"/>
      <c r="I4171" s="1138"/>
      <c r="J4171" s="1139"/>
      <c r="K4171" s="1111"/>
      <c r="L4171" s="1112"/>
      <c r="M4171" s="1113"/>
      <c r="N4171" s="110"/>
      <c r="O4171" s="1140"/>
      <c r="P4171" s="1115"/>
      <c r="Q4171" s="1116"/>
      <c r="R4171" s="1141"/>
      <c r="S4171" s="1113"/>
      <c r="T4171" s="1143"/>
      <c r="U4171" s="1108"/>
      <c r="V4171" s="1108"/>
      <c r="W4171" s="1108"/>
      <c r="X4171" s="1108"/>
      <c r="Y4171" s="1108"/>
      <c r="Z4171" s="1114"/>
      <c r="AA4171" s="1114"/>
      <c r="AB4171" s="1114"/>
      <c r="AC4171" s="1117"/>
      <c r="AD4171" s="1115"/>
      <c r="AE4171" s="1115"/>
      <c r="AF4171" s="1115"/>
      <c r="AG4171" s="1115"/>
      <c r="AH4171" s="1115"/>
      <c r="AI4171" s="1115"/>
      <c r="AJ4171" s="1117"/>
      <c r="AK4171" s="1118"/>
      <c r="AL4171" s="1115"/>
      <c r="AM4171" s="1115"/>
      <c r="AN4171" s="1115"/>
      <c r="AO4171" s="1115"/>
      <c r="AP4171" s="1115"/>
      <c r="AQ4171" s="1115"/>
      <c r="AR4171" s="1115"/>
      <c r="AS4171" s="1117"/>
      <c r="AT4171" s="1075"/>
      <c r="AU4171" s="1193"/>
      <c r="AV4171" s="330"/>
      <c r="AW4171" s="331"/>
      <c r="AX4171" s="331"/>
      <c r="AY4171" s="331"/>
      <c r="AZ4171" s="331"/>
      <c r="BA4171" s="331"/>
      <c r="BB4171" s="331"/>
      <c r="BC4171" s="331"/>
      <c r="BD4171" s="331"/>
      <c r="BE4171" s="333"/>
      <c r="BF4171" s="330"/>
      <c r="BG4171" s="333"/>
      <c r="BH4171" s="1119"/>
      <c r="BI4171" s="319"/>
      <c r="BJ4171" s="319"/>
      <c r="BK4171" s="319"/>
      <c r="BL4171" s="319"/>
      <c r="BM4171" s="319"/>
      <c r="BN4171" s="319"/>
      <c r="BO4171" s="319"/>
      <c r="BP4171" s="953"/>
      <c r="BQ4171" s="319"/>
      <c r="BR4171" s="319"/>
      <c r="BS4171" s="330"/>
      <c r="BT4171" s="331"/>
      <c r="BU4171" s="920"/>
      <c r="BV4171" s="903"/>
      <c r="BW4171" s="908"/>
      <c r="BX4171" s="908"/>
      <c r="BY4171" s="331"/>
      <c r="BZ4171" s="331"/>
      <c r="CA4171" s="462"/>
      <c r="CB4171" s="319"/>
      <c r="CC4171" s="319"/>
      <c r="CD4171" s="319"/>
      <c r="CE4171" s="319"/>
      <c r="CF4171" s="319"/>
      <c r="CG4171" s="319"/>
      <c r="CH4171" s="318"/>
      <c r="CI4171" s="319"/>
      <c r="CJ4171" s="319"/>
      <c r="CK4171" s="342"/>
      <c r="CL4171" s="333"/>
      <c r="CM4171" s="1079"/>
      <c r="CN4171" s="1005"/>
      <c r="CO4171" s="1005"/>
      <c r="CP4171" s="1005"/>
    </row>
    <row r="4172">
      <c r="A4172" s="1257"/>
      <c r="B4172" s="1113"/>
      <c r="C4172" s="1107"/>
      <c r="D4172" s="103"/>
      <c r="E4172" s="1137"/>
      <c r="F4172" s="112"/>
      <c r="G4172" s="1110"/>
      <c r="H4172" s="1138"/>
      <c r="I4172" s="1138"/>
      <c r="J4172" s="1139"/>
      <c r="K4172" s="1111"/>
      <c r="L4172" s="1112"/>
      <c r="M4172" s="1113"/>
      <c r="N4172" s="110"/>
      <c r="O4172" s="1140"/>
      <c r="P4172" s="1115"/>
      <c r="Q4172" s="1116"/>
      <c r="R4172" s="1141"/>
      <c r="S4172" s="1113"/>
      <c r="T4172" s="1143"/>
      <c r="U4172" s="1108"/>
      <c r="V4172" s="1108"/>
      <c r="W4172" s="1108"/>
      <c r="X4172" s="1108"/>
      <c r="Y4172" s="1108"/>
      <c r="Z4172" s="1114"/>
      <c r="AA4172" s="1114"/>
      <c r="AB4172" s="1114"/>
      <c r="AC4172" s="1117"/>
      <c r="AD4172" s="1115"/>
      <c r="AE4172" s="1115"/>
      <c r="AF4172" s="1115"/>
      <c r="AG4172" s="1115"/>
      <c r="AH4172" s="1115"/>
      <c r="AI4172" s="1115"/>
      <c r="AJ4172" s="1117"/>
      <c r="AK4172" s="1118"/>
      <c r="AL4172" s="1115"/>
      <c r="AM4172" s="1115"/>
      <c r="AN4172" s="1115"/>
      <c r="AO4172" s="1115"/>
      <c r="AP4172" s="1115"/>
      <c r="AQ4172" s="1115"/>
      <c r="AR4172" s="1115"/>
      <c r="AS4172" s="1117"/>
      <c r="AT4172" s="1075"/>
      <c r="AU4172" s="1193"/>
      <c r="AV4172" s="330"/>
      <c r="AW4172" s="331"/>
      <c r="AX4172" s="331"/>
      <c r="AY4172" s="331"/>
      <c r="AZ4172" s="331"/>
      <c r="BA4172" s="331"/>
      <c r="BB4172" s="331"/>
      <c r="BC4172" s="331"/>
      <c r="BD4172" s="331"/>
      <c r="BE4172" s="333"/>
      <c r="BF4172" s="330"/>
      <c r="BG4172" s="333"/>
      <c r="BH4172" s="1119"/>
      <c r="BI4172" s="319"/>
      <c r="BJ4172" s="319"/>
      <c r="BK4172" s="319"/>
      <c r="BL4172" s="319"/>
      <c r="BM4172" s="319"/>
      <c r="BN4172" s="319"/>
      <c r="BO4172" s="319"/>
      <c r="BP4172" s="953"/>
      <c r="BQ4172" s="319"/>
      <c r="BR4172" s="319"/>
      <c r="BS4172" s="330"/>
      <c r="BT4172" s="331"/>
      <c r="BU4172" s="920"/>
      <c r="BV4172" s="903"/>
      <c r="BW4172" s="908"/>
      <c r="BX4172" s="908"/>
      <c r="BY4172" s="331"/>
      <c r="BZ4172" s="331"/>
      <c r="CA4172" s="462"/>
      <c r="CB4172" s="319"/>
      <c r="CC4172" s="319"/>
      <c r="CD4172" s="319"/>
      <c r="CE4172" s="319"/>
      <c r="CF4172" s="319"/>
      <c r="CG4172" s="319"/>
      <c r="CH4172" s="318"/>
      <c r="CI4172" s="319"/>
      <c r="CJ4172" s="319"/>
      <c r="CK4172" s="342"/>
      <c r="CL4172" s="333"/>
      <c r="CM4172" s="1079"/>
      <c r="CN4172" s="1005"/>
      <c r="CO4172" s="1005"/>
      <c r="CP4172" s="1005"/>
    </row>
    <row r="4173">
      <c r="A4173" s="1257"/>
      <c r="B4173" s="1113"/>
      <c r="C4173" s="1107"/>
      <c r="D4173" s="103"/>
      <c r="E4173" s="1137"/>
      <c r="F4173" s="112"/>
      <c r="G4173" s="1110"/>
      <c r="H4173" s="1138"/>
      <c r="I4173" s="1138"/>
      <c r="J4173" s="1139"/>
      <c r="K4173" s="1111"/>
      <c r="L4173" s="1112"/>
      <c r="M4173" s="1113"/>
      <c r="N4173" s="110"/>
      <c r="O4173" s="1140"/>
      <c r="P4173" s="1115"/>
      <c r="Q4173" s="1116"/>
      <c r="R4173" s="1141"/>
      <c r="S4173" s="1113"/>
      <c r="T4173" s="1143"/>
      <c r="U4173" s="1108"/>
      <c r="V4173" s="1108"/>
      <c r="W4173" s="1108"/>
      <c r="X4173" s="1108"/>
      <c r="Y4173" s="1108"/>
      <c r="Z4173" s="1114"/>
      <c r="AA4173" s="1114"/>
      <c r="AB4173" s="1114"/>
      <c r="AC4173" s="1117"/>
      <c r="AD4173" s="1115"/>
      <c r="AE4173" s="1115"/>
      <c r="AF4173" s="1115"/>
      <c r="AG4173" s="1115"/>
      <c r="AH4173" s="1115"/>
      <c r="AI4173" s="1115"/>
      <c r="AJ4173" s="1117"/>
      <c r="AK4173" s="1118"/>
      <c r="AL4173" s="1115"/>
      <c r="AM4173" s="1115"/>
      <c r="AN4173" s="1115"/>
      <c r="AO4173" s="1115"/>
      <c r="AP4173" s="1115"/>
      <c r="AQ4173" s="1115"/>
      <c r="AR4173" s="1115"/>
      <c r="AS4173" s="1117"/>
      <c r="AT4173" s="1075"/>
      <c r="AU4173" s="1193"/>
      <c r="AV4173" s="330"/>
      <c r="AW4173" s="331"/>
      <c r="AX4173" s="331"/>
      <c r="AY4173" s="331"/>
      <c r="AZ4173" s="331"/>
      <c r="BA4173" s="331"/>
      <c r="BB4173" s="331"/>
      <c r="BC4173" s="331"/>
      <c r="BD4173" s="331"/>
      <c r="BE4173" s="333"/>
      <c r="BF4173" s="330"/>
      <c r="BG4173" s="333"/>
      <c r="BH4173" s="1119"/>
      <c r="BI4173" s="319"/>
      <c r="BJ4173" s="319"/>
      <c r="BK4173" s="319"/>
      <c r="BL4173" s="319"/>
      <c r="BM4173" s="319"/>
      <c r="BN4173" s="319"/>
      <c r="BO4173" s="319"/>
      <c r="BP4173" s="953"/>
      <c r="BQ4173" s="319"/>
      <c r="BR4173" s="319"/>
      <c r="BS4173" s="330"/>
      <c r="BT4173" s="331"/>
      <c r="BU4173" s="920"/>
      <c r="BV4173" s="903"/>
      <c r="BW4173" s="908"/>
      <c r="BX4173" s="908"/>
      <c r="BY4173" s="331"/>
      <c r="BZ4173" s="331"/>
      <c r="CA4173" s="462"/>
      <c r="CB4173" s="319"/>
      <c r="CC4173" s="319"/>
      <c r="CD4173" s="319"/>
      <c r="CE4173" s="319"/>
      <c r="CF4173" s="319"/>
      <c r="CG4173" s="319"/>
      <c r="CH4173" s="318"/>
      <c r="CI4173" s="319"/>
      <c r="CJ4173" s="319"/>
      <c r="CK4173" s="342"/>
      <c r="CL4173" s="333"/>
      <c r="CM4173" s="1079"/>
      <c r="CN4173" s="1005"/>
      <c r="CO4173" s="1005"/>
      <c r="CP4173" s="1005"/>
    </row>
    <row r="4174">
      <c r="A4174" s="1257"/>
      <c r="B4174" s="1113"/>
      <c r="C4174" s="1107"/>
      <c r="D4174" s="103"/>
      <c r="E4174" s="1137"/>
      <c r="F4174" s="112"/>
      <c r="G4174" s="1110"/>
      <c r="H4174" s="1138"/>
      <c r="I4174" s="1138"/>
      <c r="J4174" s="1139"/>
      <c r="K4174" s="1111"/>
      <c r="L4174" s="1112"/>
      <c r="M4174" s="1113"/>
      <c r="N4174" s="110"/>
      <c r="O4174" s="1140"/>
      <c r="P4174" s="1115"/>
      <c r="Q4174" s="1116"/>
      <c r="R4174" s="1141"/>
      <c r="S4174" s="1113"/>
      <c r="T4174" s="1143"/>
      <c r="U4174" s="1108"/>
      <c r="V4174" s="1108"/>
      <c r="W4174" s="1108"/>
      <c r="X4174" s="1108"/>
      <c r="Y4174" s="1108"/>
      <c r="Z4174" s="1114"/>
      <c r="AA4174" s="1114"/>
      <c r="AB4174" s="1114"/>
      <c r="AC4174" s="1117"/>
      <c r="AD4174" s="1115"/>
      <c r="AE4174" s="1115"/>
      <c r="AF4174" s="1115"/>
      <c r="AG4174" s="1115"/>
      <c r="AH4174" s="1115"/>
      <c r="AI4174" s="1115"/>
      <c r="AJ4174" s="1117"/>
      <c r="AK4174" s="1118"/>
      <c r="AL4174" s="1115"/>
      <c r="AM4174" s="1115"/>
      <c r="AN4174" s="1115"/>
      <c r="AO4174" s="1115"/>
      <c r="AP4174" s="1115"/>
      <c r="AQ4174" s="1115"/>
      <c r="AR4174" s="1115"/>
      <c r="AS4174" s="1117"/>
      <c r="AT4174" s="1075"/>
      <c r="AU4174" s="1193"/>
      <c r="AV4174" s="330"/>
      <c r="AW4174" s="331"/>
      <c r="AX4174" s="331"/>
      <c r="AY4174" s="331"/>
      <c r="AZ4174" s="331"/>
      <c r="BA4174" s="331"/>
      <c r="BB4174" s="331"/>
      <c r="BC4174" s="331"/>
      <c r="BD4174" s="331"/>
      <c r="BE4174" s="333"/>
      <c r="BF4174" s="330"/>
      <c r="BG4174" s="333"/>
      <c r="BH4174" s="1119"/>
      <c r="BI4174" s="319"/>
      <c r="BJ4174" s="319"/>
      <c r="BK4174" s="319"/>
      <c r="BL4174" s="319"/>
      <c r="BM4174" s="319"/>
      <c r="BN4174" s="319"/>
      <c r="BO4174" s="319"/>
      <c r="BP4174" s="953"/>
      <c r="BQ4174" s="319"/>
      <c r="BR4174" s="319"/>
      <c r="BS4174" s="330"/>
      <c r="BT4174" s="331"/>
      <c r="BU4174" s="920"/>
      <c r="BV4174" s="903"/>
      <c r="BW4174" s="908"/>
      <c r="BX4174" s="908"/>
      <c r="BY4174" s="331"/>
      <c r="BZ4174" s="331"/>
      <c r="CA4174" s="462"/>
      <c r="CB4174" s="319"/>
      <c r="CC4174" s="319"/>
      <c r="CD4174" s="319"/>
      <c r="CE4174" s="319"/>
      <c r="CF4174" s="319"/>
      <c r="CG4174" s="319"/>
      <c r="CH4174" s="318"/>
      <c r="CI4174" s="319"/>
      <c r="CJ4174" s="319"/>
      <c r="CK4174" s="342"/>
      <c r="CL4174" s="333"/>
      <c r="CM4174" s="1079"/>
      <c r="CN4174" s="1005"/>
      <c r="CO4174" s="1005"/>
      <c r="CP4174" s="1005"/>
    </row>
    <row r="4175">
      <c r="A4175" s="1257"/>
      <c r="B4175" s="1113"/>
      <c r="C4175" s="1107"/>
      <c r="D4175" s="103"/>
      <c r="E4175" s="1137"/>
      <c r="F4175" s="112"/>
      <c r="G4175" s="1110"/>
      <c r="H4175" s="1138"/>
      <c r="I4175" s="1138"/>
      <c r="J4175" s="1139"/>
      <c r="K4175" s="1111"/>
      <c r="L4175" s="1112"/>
      <c r="M4175" s="1113"/>
      <c r="N4175" s="110"/>
      <c r="O4175" s="1140"/>
      <c r="P4175" s="1115"/>
      <c r="Q4175" s="1116"/>
      <c r="R4175" s="1141"/>
      <c r="S4175" s="1113"/>
      <c r="T4175" s="1143"/>
      <c r="U4175" s="1108"/>
      <c r="V4175" s="1108"/>
      <c r="W4175" s="1108"/>
      <c r="X4175" s="1108"/>
      <c r="Y4175" s="1108"/>
      <c r="Z4175" s="1114"/>
      <c r="AA4175" s="1114"/>
      <c r="AB4175" s="1114"/>
      <c r="AC4175" s="1117"/>
      <c r="AD4175" s="1115"/>
      <c r="AE4175" s="1115"/>
      <c r="AF4175" s="1115"/>
      <c r="AG4175" s="1115"/>
      <c r="AH4175" s="1115"/>
      <c r="AI4175" s="1115"/>
      <c r="AJ4175" s="1117"/>
      <c r="AK4175" s="1118"/>
      <c r="AL4175" s="1115"/>
      <c r="AM4175" s="1115"/>
      <c r="AN4175" s="1115"/>
      <c r="AO4175" s="1115"/>
      <c r="AP4175" s="1115"/>
      <c r="AQ4175" s="1115"/>
      <c r="AR4175" s="1115"/>
      <c r="AS4175" s="1117"/>
      <c r="AT4175" s="1075"/>
      <c r="AU4175" s="1193"/>
      <c r="AV4175" s="330"/>
      <c r="AW4175" s="331"/>
      <c r="AX4175" s="331"/>
      <c r="AY4175" s="331"/>
      <c r="AZ4175" s="331"/>
      <c r="BA4175" s="331"/>
      <c r="BB4175" s="331"/>
      <c r="BC4175" s="331"/>
      <c r="BD4175" s="331"/>
      <c r="BE4175" s="333"/>
      <c r="BF4175" s="330"/>
      <c r="BG4175" s="333"/>
      <c r="BH4175" s="1119"/>
      <c r="BI4175" s="319"/>
      <c r="BJ4175" s="319"/>
      <c r="BK4175" s="319"/>
      <c r="BL4175" s="319"/>
      <c r="BM4175" s="319"/>
      <c r="BN4175" s="319"/>
      <c r="BO4175" s="319"/>
      <c r="BP4175" s="953"/>
      <c r="BQ4175" s="319"/>
      <c r="BR4175" s="319"/>
      <c r="BS4175" s="330"/>
      <c r="BT4175" s="331"/>
      <c r="BU4175" s="920"/>
      <c r="BV4175" s="903"/>
      <c r="BW4175" s="908"/>
      <c r="BX4175" s="908"/>
      <c r="BY4175" s="331"/>
      <c r="BZ4175" s="331"/>
      <c r="CA4175" s="462"/>
      <c r="CB4175" s="319"/>
      <c r="CC4175" s="319"/>
      <c r="CD4175" s="319"/>
      <c r="CE4175" s="319"/>
      <c r="CF4175" s="319"/>
      <c r="CG4175" s="319"/>
      <c r="CH4175" s="318"/>
      <c r="CI4175" s="319"/>
      <c r="CJ4175" s="319"/>
      <c r="CK4175" s="342"/>
      <c r="CL4175" s="333"/>
      <c r="CM4175" s="1079"/>
      <c r="CN4175" s="1005"/>
      <c r="CO4175" s="1005"/>
      <c r="CP4175" s="1005"/>
    </row>
    <row r="4176">
      <c r="A4176" s="1257"/>
      <c r="B4176" s="1113"/>
      <c r="C4176" s="1107"/>
      <c r="D4176" s="103"/>
      <c r="E4176" s="1137"/>
      <c r="F4176" s="112"/>
      <c r="G4176" s="1110"/>
      <c r="H4176" s="1138"/>
      <c r="I4176" s="1138"/>
      <c r="J4176" s="1139"/>
      <c r="K4176" s="1111"/>
      <c r="L4176" s="1112"/>
      <c r="M4176" s="1113"/>
      <c r="N4176" s="110"/>
      <c r="O4176" s="1140"/>
      <c r="P4176" s="1115"/>
      <c r="Q4176" s="1116"/>
      <c r="R4176" s="1141"/>
      <c r="S4176" s="1113"/>
      <c r="T4176" s="1143"/>
      <c r="U4176" s="1108"/>
      <c r="V4176" s="1108"/>
      <c r="W4176" s="1108"/>
      <c r="X4176" s="1108"/>
      <c r="Y4176" s="1108"/>
      <c r="Z4176" s="1114"/>
      <c r="AA4176" s="1114"/>
      <c r="AB4176" s="1114"/>
      <c r="AC4176" s="1117"/>
      <c r="AD4176" s="1115"/>
      <c r="AE4176" s="1115"/>
      <c r="AF4176" s="1115"/>
      <c r="AG4176" s="1115"/>
      <c r="AH4176" s="1115"/>
      <c r="AI4176" s="1115"/>
      <c r="AJ4176" s="1117"/>
      <c r="AK4176" s="1118"/>
      <c r="AL4176" s="1115"/>
      <c r="AM4176" s="1115"/>
      <c r="AN4176" s="1115"/>
      <c r="AO4176" s="1115"/>
      <c r="AP4176" s="1115"/>
      <c r="AQ4176" s="1115"/>
      <c r="AR4176" s="1115"/>
      <c r="AS4176" s="1117"/>
      <c r="AT4176" s="1075"/>
      <c r="AU4176" s="1193"/>
      <c r="AV4176" s="330"/>
      <c r="AW4176" s="331"/>
      <c r="AX4176" s="331"/>
      <c r="AY4176" s="331"/>
      <c r="AZ4176" s="331"/>
      <c r="BA4176" s="331"/>
      <c r="BB4176" s="331"/>
      <c r="BC4176" s="331"/>
      <c r="BD4176" s="331"/>
      <c r="BE4176" s="333"/>
      <c r="BF4176" s="330"/>
      <c r="BG4176" s="333"/>
      <c r="BH4176" s="1119"/>
      <c r="BI4176" s="319"/>
      <c r="BJ4176" s="319"/>
      <c r="BK4176" s="319"/>
      <c r="BL4176" s="319"/>
      <c r="BM4176" s="319"/>
      <c r="BN4176" s="319"/>
      <c r="BO4176" s="319"/>
      <c r="BP4176" s="953"/>
      <c r="BQ4176" s="319"/>
      <c r="BR4176" s="319"/>
      <c r="BS4176" s="330"/>
      <c r="BT4176" s="331"/>
      <c r="BU4176" s="920"/>
      <c r="BV4176" s="903"/>
      <c r="BW4176" s="908"/>
      <c r="BX4176" s="908"/>
      <c r="BY4176" s="331"/>
      <c r="BZ4176" s="331"/>
      <c r="CA4176" s="462"/>
      <c r="CB4176" s="319"/>
      <c r="CC4176" s="319"/>
      <c r="CD4176" s="319"/>
      <c r="CE4176" s="319"/>
      <c r="CF4176" s="319"/>
      <c r="CG4176" s="319"/>
      <c r="CH4176" s="318"/>
      <c r="CI4176" s="319"/>
      <c r="CJ4176" s="319"/>
      <c r="CK4176" s="342"/>
      <c r="CL4176" s="333"/>
      <c r="CM4176" s="1079"/>
      <c r="CN4176" s="1005"/>
      <c r="CO4176" s="1005"/>
      <c r="CP4176" s="1005"/>
    </row>
    <row r="4177">
      <c r="A4177" s="1257"/>
      <c r="B4177" s="1113"/>
      <c r="C4177" s="1107"/>
      <c r="D4177" s="103"/>
      <c r="E4177" s="1137"/>
      <c r="F4177" s="112"/>
      <c r="G4177" s="1110"/>
      <c r="H4177" s="1138"/>
      <c r="I4177" s="1138"/>
      <c r="J4177" s="1139"/>
      <c r="K4177" s="1111"/>
      <c r="L4177" s="1112"/>
      <c r="M4177" s="1113"/>
      <c r="N4177" s="110"/>
      <c r="O4177" s="1140"/>
      <c r="P4177" s="1115"/>
      <c r="Q4177" s="1116"/>
      <c r="R4177" s="1141"/>
      <c r="S4177" s="1113"/>
      <c r="T4177" s="1143"/>
      <c r="U4177" s="1108"/>
      <c r="V4177" s="1108"/>
      <c r="W4177" s="1108"/>
      <c r="X4177" s="1108"/>
      <c r="Y4177" s="1108"/>
      <c r="Z4177" s="1114"/>
      <c r="AA4177" s="1114"/>
      <c r="AB4177" s="1114"/>
      <c r="AC4177" s="1117"/>
      <c r="AD4177" s="1115"/>
      <c r="AE4177" s="1115"/>
      <c r="AF4177" s="1115"/>
      <c r="AG4177" s="1115"/>
      <c r="AH4177" s="1115"/>
      <c r="AI4177" s="1115"/>
      <c r="AJ4177" s="1117"/>
      <c r="AK4177" s="1118"/>
      <c r="AL4177" s="1115"/>
      <c r="AM4177" s="1115"/>
      <c r="AN4177" s="1115"/>
      <c r="AO4177" s="1115"/>
      <c r="AP4177" s="1115"/>
      <c r="AQ4177" s="1115"/>
      <c r="AR4177" s="1115"/>
      <c r="AS4177" s="1117"/>
      <c r="AT4177" s="1075"/>
      <c r="AU4177" s="1193"/>
      <c r="AV4177" s="330"/>
      <c r="AW4177" s="331"/>
      <c r="AX4177" s="331"/>
      <c r="AY4177" s="331"/>
      <c r="AZ4177" s="331"/>
      <c r="BA4177" s="331"/>
      <c r="BB4177" s="331"/>
      <c r="BC4177" s="331"/>
      <c r="BD4177" s="331"/>
      <c r="BE4177" s="333"/>
      <c r="BF4177" s="330"/>
      <c r="BG4177" s="333"/>
      <c r="BH4177" s="1119"/>
      <c r="BI4177" s="319"/>
      <c r="BJ4177" s="319"/>
      <c r="BK4177" s="319"/>
      <c r="BL4177" s="319"/>
      <c r="BM4177" s="319"/>
      <c r="BN4177" s="319"/>
      <c r="BO4177" s="319"/>
      <c r="BP4177" s="953"/>
      <c r="BQ4177" s="319"/>
      <c r="BR4177" s="319"/>
      <c r="BS4177" s="330"/>
      <c r="BT4177" s="331"/>
      <c r="BU4177" s="920"/>
      <c r="BV4177" s="903"/>
      <c r="BW4177" s="908"/>
      <c r="BX4177" s="908"/>
      <c r="BY4177" s="331"/>
      <c r="BZ4177" s="331"/>
      <c r="CA4177" s="462"/>
      <c r="CB4177" s="319"/>
      <c r="CC4177" s="319"/>
      <c r="CD4177" s="319"/>
      <c r="CE4177" s="319"/>
      <c r="CF4177" s="319"/>
      <c r="CG4177" s="319"/>
      <c r="CH4177" s="318"/>
      <c r="CI4177" s="319"/>
      <c r="CJ4177" s="319"/>
      <c r="CK4177" s="342"/>
      <c r="CL4177" s="333"/>
      <c r="CM4177" s="1079"/>
      <c r="CN4177" s="1005"/>
      <c r="CO4177" s="1005"/>
      <c r="CP4177" s="1005"/>
    </row>
    <row r="4178">
      <c r="A4178" s="1257"/>
      <c r="B4178" s="1113"/>
      <c r="C4178" s="1107"/>
      <c r="D4178" s="103"/>
      <c r="E4178" s="1137"/>
      <c r="F4178" s="112"/>
      <c r="G4178" s="1110"/>
      <c r="H4178" s="1138"/>
      <c r="I4178" s="1138"/>
      <c r="J4178" s="1139"/>
      <c r="K4178" s="1111"/>
      <c r="L4178" s="1112"/>
      <c r="M4178" s="1113"/>
      <c r="N4178" s="110"/>
      <c r="O4178" s="1140"/>
      <c r="P4178" s="1115"/>
      <c r="Q4178" s="1116"/>
      <c r="R4178" s="1141"/>
      <c r="S4178" s="1113"/>
      <c r="T4178" s="1143"/>
      <c r="U4178" s="1108"/>
      <c r="V4178" s="1108"/>
      <c r="W4178" s="1108"/>
      <c r="X4178" s="1108"/>
      <c r="Y4178" s="1108"/>
      <c r="Z4178" s="1114"/>
      <c r="AA4178" s="1114"/>
      <c r="AB4178" s="1114"/>
      <c r="AC4178" s="1117"/>
      <c r="AD4178" s="1115"/>
      <c r="AE4178" s="1115"/>
      <c r="AF4178" s="1115"/>
      <c r="AG4178" s="1115"/>
      <c r="AH4178" s="1115"/>
      <c r="AI4178" s="1115"/>
      <c r="AJ4178" s="1117"/>
      <c r="AK4178" s="1118"/>
      <c r="AL4178" s="1115"/>
      <c r="AM4178" s="1115"/>
      <c r="AN4178" s="1115"/>
      <c r="AO4178" s="1115"/>
      <c r="AP4178" s="1115"/>
      <c r="AQ4178" s="1115"/>
      <c r="AR4178" s="1115"/>
      <c r="AS4178" s="1117"/>
      <c r="AT4178" s="1075"/>
      <c r="AU4178" s="1193"/>
      <c r="AV4178" s="330"/>
      <c r="AW4178" s="331"/>
      <c r="AX4178" s="331"/>
      <c r="AY4178" s="331"/>
      <c r="AZ4178" s="331"/>
      <c r="BA4178" s="331"/>
      <c r="BB4178" s="331"/>
      <c r="BC4178" s="331"/>
      <c r="BD4178" s="331"/>
      <c r="BE4178" s="333"/>
      <c r="BF4178" s="330"/>
      <c r="BG4178" s="333"/>
      <c r="BH4178" s="1119"/>
      <c r="BI4178" s="319"/>
      <c r="BJ4178" s="319"/>
      <c r="BK4178" s="319"/>
      <c r="BL4178" s="319"/>
      <c r="BM4178" s="319"/>
      <c r="BN4178" s="319"/>
      <c r="BO4178" s="319"/>
      <c r="BP4178" s="953"/>
      <c r="BQ4178" s="319"/>
      <c r="BR4178" s="319"/>
      <c r="BS4178" s="330"/>
      <c r="BT4178" s="331"/>
      <c r="BU4178" s="920"/>
      <c r="BV4178" s="903"/>
      <c r="BW4178" s="908"/>
      <c r="BX4178" s="908"/>
      <c r="BY4178" s="331"/>
      <c r="BZ4178" s="331"/>
      <c r="CA4178" s="462"/>
      <c r="CB4178" s="319"/>
      <c r="CC4178" s="319"/>
      <c r="CD4178" s="319"/>
      <c r="CE4178" s="319"/>
      <c r="CF4178" s="319"/>
      <c r="CG4178" s="319"/>
      <c r="CH4178" s="318"/>
      <c r="CI4178" s="319"/>
      <c r="CJ4178" s="319"/>
      <c r="CK4178" s="342"/>
      <c r="CL4178" s="333"/>
      <c r="CM4178" s="1079"/>
      <c r="CN4178" s="1005"/>
      <c r="CO4178" s="1005"/>
      <c r="CP4178" s="1005"/>
    </row>
    <row r="4179">
      <c r="A4179" s="1257"/>
      <c r="B4179" s="1113"/>
      <c r="C4179" s="1107"/>
      <c r="D4179" s="103"/>
      <c r="E4179" s="1137"/>
      <c r="F4179" s="112"/>
      <c r="G4179" s="1110"/>
      <c r="H4179" s="1138"/>
      <c r="I4179" s="1138"/>
      <c r="J4179" s="1139"/>
      <c r="K4179" s="1111"/>
      <c r="L4179" s="1112"/>
      <c r="M4179" s="1113"/>
      <c r="N4179" s="110"/>
      <c r="O4179" s="1140"/>
      <c r="P4179" s="1115"/>
      <c r="Q4179" s="1116"/>
      <c r="R4179" s="1141"/>
      <c r="S4179" s="1113"/>
      <c r="T4179" s="1143"/>
      <c r="U4179" s="1108"/>
      <c r="V4179" s="1108"/>
      <c r="W4179" s="1108"/>
      <c r="X4179" s="1108"/>
      <c r="Y4179" s="1108"/>
      <c r="Z4179" s="1114"/>
      <c r="AA4179" s="1114"/>
      <c r="AB4179" s="1114"/>
      <c r="AC4179" s="1117"/>
      <c r="AD4179" s="1115"/>
      <c r="AE4179" s="1115"/>
      <c r="AF4179" s="1115"/>
      <c r="AG4179" s="1115"/>
      <c r="AH4179" s="1115"/>
      <c r="AI4179" s="1115"/>
      <c r="AJ4179" s="1117"/>
      <c r="AK4179" s="1118"/>
      <c r="AL4179" s="1115"/>
      <c r="AM4179" s="1115"/>
      <c r="AN4179" s="1115"/>
      <c r="AO4179" s="1115"/>
      <c r="AP4179" s="1115"/>
      <c r="AQ4179" s="1115"/>
      <c r="AR4179" s="1115"/>
      <c r="AS4179" s="1117"/>
      <c r="AT4179" s="1075"/>
      <c r="AU4179" s="1193"/>
      <c r="AV4179" s="330"/>
      <c r="AW4179" s="331"/>
      <c r="AX4179" s="331"/>
      <c r="AY4179" s="331"/>
      <c r="AZ4179" s="331"/>
      <c r="BA4179" s="331"/>
      <c r="BB4179" s="331"/>
      <c r="BC4179" s="331"/>
      <c r="BD4179" s="331"/>
      <c r="BE4179" s="333"/>
      <c r="BF4179" s="330"/>
      <c r="BG4179" s="333"/>
      <c r="BH4179" s="1119"/>
      <c r="BI4179" s="319"/>
      <c r="BJ4179" s="319"/>
      <c r="BK4179" s="319"/>
      <c r="BL4179" s="319"/>
      <c r="BM4179" s="319"/>
      <c r="BN4179" s="319"/>
      <c r="BO4179" s="319"/>
      <c r="BP4179" s="953"/>
      <c r="BQ4179" s="319"/>
      <c r="BR4179" s="319"/>
      <c r="BS4179" s="330"/>
      <c r="BT4179" s="331"/>
      <c r="BU4179" s="920"/>
      <c r="BV4179" s="903"/>
      <c r="BW4179" s="908"/>
      <c r="BX4179" s="908"/>
      <c r="BY4179" s="331"/>
      <c r="BZ4179" s="331"/>
      <c r="CA4179" s="462"/>
      <c r="CB4179" s="319"/>
      <c r="CC4179" s="319"/>
      <c r="CD4179" s="319"/>
      <c r="CE4179" s="319"/>
      <c r="CF4179" s="319"/>
      <c r="CG4179" s="319"/>
      <c r="CH4179" s="318"/>
      <c r="CI4179" s="319"/>
      <c r="CJ4179" s="319"/>
      <c r="CK4179" s="342"/>
      <c r="CL4179" s="333"/>
      <c r="CM4179" s="1079"/>
      <c r="CN4179" s="1005"/>
      <c r="CO4179" s="1005"/>
      <c r="CP4179" s="1005"/>
    </row>
    <row r="4180">
      <c r="A4180" s="1257"/>
      <c r="B4180" s="1113"/>
      <c r="C4180" s="1107"/>
      <c r="D4180" s="103"/>
      <c r="E4180" s="1137"/>
      <c r="F4180" s="112"/>
      <c r="G4180" s="1110"/>
      <c r="H4180" s="1138"/>
      <c r="I4180" s="1138"/>
      <c r="J4180" s="1139"/>
      <c r="K4180" s="1111"/>
      <c r="L4180" s="1112"/>
      <c r="M4180" s="1113"/>
      <c r="N4180" s="110"/>
      <c r="O4180" s="1140"/>
      <c r="P4180" s="1115"/>
      <c r="Q4180" s="1116"/>
      <c r="R4180" s="1141"/>
      <c r="S4180" s="1113"/>
      <c r="T4180" s="1143"/>
      <c r="U4180" s="1108"/>
      <c r="V4180" s="1108"/>
      <c r="W4180" s="1108"/>
      <c r="X4180" s="1108"/>
      <c r="Y4180" s="1108"/>
      <c r="Z4180" s="1114"/>
      <c r="AA4180" s="1114"/>
      <c r="AB4180" s="1114"/>
      <c r="AC4180" s="1117"/>
      <c r="AD4180" s="1115"/>
      <c r="AE4180" s="1115"/>
      <c r="AF4180" s="1115"/>
      <c r="AG4180" s="1115"/>
      <c r="AH4180" s="1115"/>
      <c r="AI4180" s="1115"/>
      <c r="AJ4180" s="1117"/>
      <c r="AK4180" s="1118"/>
      <c r="AL4180" s="1115"/>
      <c r="AM4180" s="1115"/>
      <c r="AN4180" s="1115"/>
      <c r="AO4180" s="1115"/>
      <c r="AP4180" s="1115"/>
      <c r="AQ4180" s="1115"/>
      <c r="AR4180" s="1115"/>
      <c r="AS4180" s="1117"/>
      <c r="AT4180" s="1075"/>
      <c r="AU4180" s="1193"/>
      <c r="AV4180" s="330"/>
      <c r="AW4180" s="331"/>
      <c r="AX4180" s="331"/>
      <c r="AY4180" s="331"/>
      <c r="AZ4180" s="331"/>
      <c r="BA4180" s="331"/>
      <c r="BB4180" s="331"/>
      <c r="BC4180" s="331"/>
      <c r="BD4180" s="331"/>
      <c r="BE4180" s="333"/>
      <c r="BF4180" s="330"/>
      <c r="BG4180" s="333"/>
      <c r="BH4180" s="1119"/>
      <c r="BI4180" s="319"/>
      <c r="BJ4180" s="319"/>
      <c r="BK4180" s="319"/>
      <c r="BL4180" s="319"/>
      <c r="BM4180" s="319"/>
      <c r="BN4180" s="319"/>
      <c r="BO4180" s="319"/>
      <c r="BP4180" s="953"/>
      <c r="BQ4180" s="319"/>
      <c r="BR4180" s="319"/>
      <c r="BS4180" s="330"/>
      <c r="BT4180" s="331"/>
      <c r="BU4180" s="920"/>
      <c r="BV4180" s="903"/>
      <c r="BW4180" s="908"/>
      <c r="BX4180" s="908"/>
      <c r="BY4180" s="331"/>
      <c r="BZ4180" s="331"/>
      <c r="CA4180" s="462"/>
      <c r="CB4180" s="319"/>
      <c r="CC4180" s="319"/>
      <c r="CD4180" s="319"/>
      <c r="CE4180" s="319"/>
      <c r="CF4180" s="319"/>
      <c r="CG4180" s="319"/>
      <c r="CH4180" s="318"/>
      <c r="CI4180" s="319"/>
      <c r="CJ4180" s="319"/>
      <c r="CK4180" s="342"/>
      <c r="CL4180" s="333"/>
      <c r="CM4180" s="1079"/>
      <c r="CN4180" s="1005"/>
      <c r="CO4180" s="1005"/>
      <c r="CP4180" s="1005"/>
    </row>
    <row r="4181">
      <c r="A4181" s="1257"/>
      <c r="B4181" s="1113"/>
      <c r="C4181" s="1107"/>
      <c r="D4181" s="103"/>
      <c r="E4181" s="1137"/>
      <c r="F4181" s="112"/>
      <c r="G4181" s="1110"/>
      <c r="H4181" s="1138"/>
      <c r="I4181" s="1138"/>
      <c r="J4181" s="1139"/>
      <c r="K4181" s="1111"/>
      <c r="L4181" s="1112"/>
      <c r="M4181" s="1113"/>
      <c r="N4181" s="110"/>
      <c r="O4181" s="1140"/>
      <c r="P4181" s="1115"/>
      <c r="Q4181" s="1116"/>
      <c r="R4181" s="1141"/>
      <c r="S4181" s="1113"/>
      <c r="T4181" s="1143"/>
      <c r="U4181" s="1108"/>
      <c r="V4181" s="1108"/>
      <c r="W4181" s="1108"/>
      <c r="X4181" s="1108"/>
      <c r="Y4181" s="1108"/>
      <c r="Z4181" s="1114"/>
      <c r="AA4181" s="1114"/>
      <c r="AB4181" s="1114"/>
      <c r="AC4181" s="1117"/>
      <c r="AD4181" s="1115"/>
      <c r="AE4181" s="1115"/>
      <c r="AF4181" s="1115"/>
      <c r="AG4181" s="1115"/>
      <c r="AH4181" s="1115"/>
      <c r="AI4181" s="1115"/>
      <c r="AJ4181" s="1117"/>
      <c r="AK4181" s="1118"/>
      <c r="AL4181" s="1115"/>
      <c r="AM4181" s="1115"/>
      <c r="AN4181" s="1115"/>
      <c r="AO4181" s="1115"/>
      <c r="AP4181" s="1115"/>
      <c r="AQ4181" s="1115"/>
      <c r="AR4181" s="1115"/>
      <c r="AS4181" s="1117"/>
      <c r="AT4181" s="1075"/>
      <c r="AU4181" s="1193"/>
      <c r="AV4181" s="330"/>
      <c r="AW4181" s="331"/>
      <c r="AX4181" s="331"/>
      <c r="AY4181" s="331"/>
      <c r="AZ4181" s="331"/>
      <c r="BA4181" s="331"/>
      <c r="BB4181" s="331"/>
      <c r="BC4181" s="331"/>
      <c r="BD4181" s="331"/>
      <c r="BE4181" s="333"/>
      <c r="BF4181" s="330"/>
      <c r="BG4181" s="333"/>
      <c r="BH4181" s="1119"/>
      <c r="BI4181" s="319"/>
      <c r="BJ4181" s="319"/>
      <c r="BK4181" s="319"/>
      <c r="BL4181" s="319"/>
      <c r="BM4181" s="319"/>
      <c r="BN4181" s="319"/>
      <c r="BO4181" s="319"/>
      <c r="BP4181" s="953"/>
      <c r="BQ4181" s="319"/>
      <c r="BR4181" s="319"/>
      <c r="BS4181" s="330"/>
      <c r="BT4181" s="331"/>
      <c r="BU4181" s="920"/>
      <c r="BV4181" s="903"/>
      <c r="BW4181" s="908"/>
      <c r="BX4181" s="908"/>
      <c r="BY4181" s="331"/>
      <c r="BZ4181" s="331"/>
      <c r="CA4181" s="462"/>
      <c r="CB4181" s="319"/>
      <c r="CC4181" s="319"/>
      <c r="CD4181" s="319"/>
      <c r="CE4181" s="319"/>
      <c r="CF4181" s="319"/>
      <c r="CG4181" s="319"/>
      <c r="CH4181" s="318"/>
      <c r="CI4181" s="319"/>
      <c r="CJ4181" s="319"/>
      <c r="CK4181" s="342"/>
      <c r="CL4181" s="333"/>
      <c r="CM4181" s="1079"/>
      <c r="CN4181" s="1005"/>
      <c r="CO4181" s="1005"/>
      <c r="CP4181" s="1005"/>
    </row>
    <row r="4182">
      <c r="A4182" s="1257"/>
      <c r="B4182" s="1113"/>
      <c r="C4182" s="1107"/>
      <c r="D4182" s="103"/>
      <c r="E4182" s="1137"/>
      <c r="F4182" s="112"/>
      <c r="G4182" s="1110"/>
      <c r="H4182" s="1138"/>
      <c r="I4182" s="1138"/>
      <c r="J4182" s="1139"/>
      <c r="K4182" s="1111"/>
      <c r="L4182" s="1112"/>
      <c r="M4182" s="1113"/>
      <c r="N4182" s="110"/>
      <c r="O4182" s="1140"/>
      <c r="P4182" s="1115"/>
      <c r="Q4182" s="1116"/>
      <c r="R4182" s="1141"/>
      <c r="S4182" s="1113"/>
      <c r="T4182" s="1143"/>
      <c r="U4182" s="1108"/>
      <c r="V4182" s="1108"/>
      <c r="W4182" s="1108"/>
      <c r="X4182" s="1108"/>
      <c r="Y4182" s="1108"/>
      <c r="Z4182" s="1114"/>
      <c r="AA4182" s="1114"/>
      <c r="AB4182" s="1114"/>
      <c r="AC4182" s="1117"/>
      <c r="AD4182" s="1115"/>
      <c r="AE4182" s="1115"/>
      <c r="AF4182" s="1115"/>
      <c r="AG4182" s="1115"/>
      <c r="AH4182" s="1115"/>
      <c r="AI4182" s="1115"/>
      <c r="AJ4182" s="1117"/>
      <c r="AK4182" s="1118"/>
      <c r="AL4182" s="1115"/>
      <c r="AM4182" s="1115"/>
      <c r="AN4182" s="1115"/>
      <c r="AO4182" s="1115"/>
      <c r="AP4182" s="1115"/>
      <c r="AQ4182" s="1115"/>
      <c r="AR4182" s="1115"/>
      <c r="AS4182" s="1117"/>
      <c r="AT4182" s="1075"/>
      <c r="AU4182" s="1193"/>
      <c r="AV4182" s="330"/>
      <c r="AW4182" s="331"/>
      <c r="AX4182" s="331"/>
      <c r="AY4182" s="331"/>
      <c r="AZ4182" s="331"/>
      <c r="BA4182" s="331"/>
      <c r="BB4182" s="331"/>
      <c r="BC4182" s="331"/>
      <c r="BD4182" s="331"/>
      <c r="BE4182" s="333"/>
      <c r="BF4182" s="330"/>
      <c r="BG4182" s="333"/>
      <c r="BH4182" s="1119"/>
      <c r="BI4182" s="319"/>
      <c r="BJ4182" s="319"/>
      <c r="BK4182" s="319"/>
      <c r="BL4182" s="319"/>
      <c r="BM4182" s="319"/>
      <c r="BN4182" s="319"/>
      <c r="BO4182" s="319"/>
      <c r="BP4182" s="953"/>
      <c r="BQ4182" s="319"/>
      <c r="BR4182" s="319"/>
      <c r="BS4182" s="330"/>
      <c r="BT4182" s="331"/>
      <c r="BU4182" s="920"/>
      <c r="BV4182" s="903"/>
      <c r="BW4182" s="908"/>
      <c r="BX4182" s="908"/>
      <c r="BY4182" s="331"/>
      <c r="BZ4182" s="331"/>
      <c r="CA4182" s="462"/>
      <c r="CB4182" s="319"/>
      <c r="CC4182" s="319"/>
      <c r="CD4182" s="319"/>
      <c r="CE4182" s="319"/>
      <c r="CF4182" s="319"/>
      <c r="CG4182" s="319"/>
      <c r="CH4182" s="318"/>
      <c r="CI4182" s="319"/>
      <c r="CJ4182" s="319"/>
      <c r="CK4182" s="342"/>
      <c r="CL4182" s="333"/>
      <c r="CM4182" s="1079"/>
      <c r="CN4182" s="1005"/>
      <c r="CO4182" s="1005"/>
      <c r="CP4182" s="1005"/>
    </row>
    <row r="4183">
      <c r="A4183" s="1257"/>
      <c r="B4183" s="1113"/>
      <c r="C4183" s="1107"/>
      <c r="D4183" s="103"/>
      <c r="E4183" s="1137"/>
      <c r="F4183" s="112"/>
      <c r="G4183" s="1110"/>
      <c r="H4183" s="1138"/>
      <c r="I4183" s="1138"/>
      <c r="J4183" s="1139"/>
      <c r="K4183" s="1111"/>
      <c r="L4183" s="1112"/>
      <c r="M4183" s="1113"/>
      <c r="N4183" s="110"/>
      <c r="O4183" s="1140"/>
      <c r="P4183" s="1115"/>
      <c r="Q4183" s="1116"/>
      <c r="R4183" s="1141"/>
      <c r="S4183" s="1113"/>
      <c r="T4183" s="1143"/>
      <c r="U4183" s="1108"/>
      <c r="V4183" s="1108"/>
      <c r="W4183" s="1108"/>
      <c r="X4183" s="1108"/>
      <c r="Y4183" s="1108"/>
      <c r="Z4183" s="1114"/>
      <c r="AA4183" s="1114"/>
      <c r="AB4183" s="1114"/>
      <c r="AC4183" s="1117"/>
      <c r="AD4183" s="1115"/>
      <c r="AE4183" s="1115"/>
      <c r="AF4183" s="1115"/>
      <c r="AG4183" s="1115"/>
      <c r="AH4183" s="1115"/>
      <c r="AI4183" s="1115"/>
      <c r="AJ4183" s="1117"/>
      <c r="AK4183" s="1118"/>
      <c r="AL4183" s="1115"/>
      <c r="AM4183" s="1115"/>
      <c r="AN4183" s="1115"/>
      <c r="AO4183" s="1115"/>
      <c r="AP4183" s="1115"/>
      <c r="AQ4183" s="1115"/>
      <c r="AR4183" s="1115"/>
      <c r="AS4183" s="1117"/>
      <c r="AT4183" s="1075"/>
      <c r="AU4183" s="1193"/>
      <c r="AV4183" s="330"/>
      <c r="AW4183" s="331"/>
      <c r="AX4183" s="331"/>
      <c r="AY4183" s="331"/>
      <c r="AZ4183" s="331"/>
      <c r="BA4183" s="331"/>
      <c r="BB4183" s="331"/>
      <c r="BC4183" s="331"/>
      <c r="BD4183" s="331"/>
      <c r="BE4183" s="333"/>
      <c r="BF4183" s="330"/>
      <c r="BG4183" s="333"/>
      <c r="BH4183" s="1119"/>
      <c r="BI4183" s="319"/>
      <c r="BJ4183" s="319"/>
      <c r="BK4183" s="319"/>
      <c r="BL4183" s="319"/>
      <c r="BM4183" s="319"/>
      <c r="BN4183" s="319"/>
      <c r="BO4183" s="319"/>
      <c r="BP4183" s="953"/>
      <c r="BQ4183" s="319"/>
      <c r="BR4183" s="319"/>
      <c r="BS4183" s="330"/>
      <c r="BT4183" s="331"/>
      <c r="BU4183" s="920"/>
      <c r="BV4183" s="903"/>
      <c r="BW4183" s="908"/>
      <c r="BX4183" s="908"/>
      <c r="BY4183" s="331"/>
      <c r="BZ4183" s="331"/>
      <c r="CA4183" s="462"/>
      <c r="CB4183" s="319"/>
      <c r="CC4183" s="319"/>
      <c r="CD4183" s="319"/>
      <c r="CE4183" s="319"/>
      <c r="CF4183" s="319"/>
      <c r="CG4183" s="319"/>
      <c r="CH4183" s="318"/>
      <c r="CI4183" s="319"/>
      <c r="CJ4183" s="319"/>
      <c r="CK4183" s="342"/>
      <c r="CL4183" s="333"/>
      <c r="CM4183" s="1079"/>
      <c r="CN4183" s="1005"/>
      <c r="CO4183" s="1005"/>
      <c r="CP4183" s="1005"/>
    </row>
    <row r="4184">
      <c r="A4184" s="1257"/>
      <c r="B4184" s="1113"/>
      <c r="C4184" s="1107"/>
      <c r="D4184" s="103"/>
      <c r="E4184" s="1137"/>
      <c r="F4184" s="112"/>
      <c r="G4184" s="1110"/>
      <c r="H4184" s="1138"/>
      <c r="I4184" s="1138"/>
      <c r="J4184" s="1139"/>
      <c r="K4184" s="1111"/>
      <c r="L4184" s="1112"/>
      <c r="M4184" s="1113"/>
      <c r="N4184" s="110"/>
      <c r="O4184" s="1140"/>
      <c r="P4184" s="1115"/>
      <c r="Q4184" s="1116"/>
      <c r="R4184" s="1141"/>
      <c r="S4184" s="1113"/>
      <c r="T4184" s="1143"/>
      <c r="U4184" s="1108"/>
      <c r="V4184" s="1108"/>
      <c r="W4184" s="1108"/>
      <c r="X4184" s="1108"/>
      <c r="Y4184" s="1108"/>
      <c r="Z4184" s="1114"/>
      <c r="AA4184" s="1114"/>
      <c r="AB4184" s="1114"/>
      <c r="AC4184" s="1117"/>
      <c r="AD4184" s="1115"/>
      <c r="AE4184" s="1115"/>
      <c r="AF4184" s="1115"/>
      <c r="AG4184" s="1115"/>
      <c r="AH4184" s="1115"/>
      <c r="AI4184" s="1115"/>
      <c r="AJ4184" s="1117"/>
      <c r="AK4184" s="1118"/>
      <c r="AL4184" s="1115"/>
      <c r="AM4184" s="1115"/>
      <c r="AN4184" s="1115"/>
      <c r="AO4184" s="1115"/>
      <c r="AP4184" s="1115"/>
      <c r="AQ4184" s="1115"/>
      <c r="AR4184" s="1115"/>
      <c r="AS4184" s="1117"/>
      <c r="AT4184" s="1075"/>
      <c r="AU4184" s="1193"/>
      <c r="AV4184" s="330"/>
      <c r="AW4184" s="331"/>
      <c r="AX4184" s="331"/>
      <c r="AY4184" s="331"/>
      <c r="AZ4184" s="331"/>
      <c r="BA4184" s="331"/>
      <c r="BB4184" s="331"/>
      <c r="BC4184" s="331"/>
      <c r="BD4184" s="331"/>
      <c r="BE4184" s="333"/>
      <c r="BF4184" s="330"/>
      <c r="BG4184" s="333"/>
      <c r="BH4184" s="1119"/>
      <c r="BI4184" s="319"/>
      <c r="BJ4184" s="319"/>
      <c r="BK4184" s="319"/>
      <c r="BL4184" s="319"/>
      <c r="BM4184" s="319"/>
      <c r="BN4184" s="319"/>
      <c r="BO4184" s="319"/>
      <c r="BP4184" s="953"/>
      <c r="BQ4184" s="319"/>
      <c r="BR4184" s="319"/>
      <c r="BS4184" s="330"/>
      <c r="BT4184" s="331"/>
      <c r="BU4184" s="920"/>
      <c r="BV4184" s="903"/>
      <c r="BW4184" s="908"/>
      <c r="BX4184" s="908"/>
      <c r="BY4184" s="331"/>
      <c r="BZ4184" s="331"/>
      <c r="CA4184" s="462"/>
      <c r="CB4184" s="319"/>
      <c r="CC4184" s="319"/>
      <c r="CD4184" s="319"/>
      <c r="CE4184" s="319"/>
      <c r="CF4184" s="319"/>
      <c r="CG4184" s="319"/>
      <c r="CH4184" s="318"/>
      <c r="CI4184" s="319"/>
      <c r="CJ4184" s="319"/>
      <c r="CK4184" s="342"/>
      <c r="CL4184" s="333"/>
      <c r="CM4184" s="1079"/>
      <c r="CN4184" s="1005"/>
      <c r="CO4184" s="1005"/>
      <c r="CP4184" s="1005"/>
    </row>
    <row r="4185">
      <c r="A4185" s="1257"/>
      <c r="B4185" s="1113"/>
      <c r="C4185" s="1107"/>
      <c r="D4185" s="103"/>
      <c r="E4185" s="1137"/>
      <c r="F4185" s="112"/>
      <c r="G4185" s="1110"/>
      <c r="H4185" s="1138"/>
      <c r="I4185" s="1138"/>
      <c r="J4185" s="1139"/>
      <c r="K4185" s="1111"/>
      <c r="L4185" s="1112"/>
      <c r="M4185" s="1113"/>
      <c r="N4185" s="110"/>
      <c r="O4185" s="1140"/>
      <c r="P4185" s="1115"/>
      <c r="Q4185" s="1116"/>
      <c r="R4185" s="1141"/>
      <c r="S4185" s="1113"/>
      <c r="T4185" s="1143"/>
      <c r="U4185" s="1108"/>
      <c r="V4185" s="1108"/>
      <c r="W4185" s="1108"/>
      <c r="X4185" s="1108"/>
      <c r="Y4185" s="1108"/>
      <c r="Z4185" s="1114"/>
      <c r="AA4185" s="1114"/>
      <c r="AB4185" s="1114"/>
      <c r="AC4185" s="1117"/>
      <c r="AD4185" s="1115"/>
      <c r="AE4185" s="1115"/>
      <c r="AF4185" s="1115"/>
      <c r="AG4185" s="1115"/>
      <c r="AH4185" s="1115"/>
      <c r="AI4185" s="1115"/>
      <c r="AJ4185" s="1117"/>
      <c r="AK4185" s="1118"/>
      <c r="AL4185" s="1115"/>
      <c r="AM4185" s="1115"/>
      <c r="AN4185" s="1115"/>
      <c r="AO4185" s="1115"/>
      <c r="AP4185" s="1115"/>
      <c r="AQ4185" s="1115"/>
      <c r="AR4185" s="1115"/>
      <c r="AS4185" s="1117"/>
      <c r="AT4185" s="1075"/>
      <c r="AU4185" s="1193"/>
      <c r="AV4185" s="330"/>
      <c r="AW4185" s="331"/>
      <c r="AX4185" s="331"/>
      <c r="AY4185" s="331"/>
      <c r="AZ4185" s="331"/>
      <c r="BA4185" s="331"/>
      <c r="BB4185" s="331"/>
      <c r="BC4185" s="331"/>
      <c r="BD4185" s="331"/>
      <c r="BE4185" s="333"/>
      <c r="BF4185" s="330"/>
      <c r="BG4185" s="333"/>
      <c r="BH4185" s="1119"/>
      <c r="BI4185" s="319"/>
      <c r="BJ4185" s="319"/>
      <c r="BK4185" s="319"/>
      <c r="BL4185" s="319"/>
      <c r="BM4185" s="319"/>
      <c r="BN4185" s="319"/>
      <c r="BO4185" s="319"/>
      <c r="BP4185" s="953"/>
      <c r="BQ4185" s="319"/>
      <c r="BR4185" s="319"/>
      <c r="BS4185" s="330"/>
      <c r="BT4185" s="331"/>
      <c r="BU4185" s="920"/>
      <c r="BV4185" s="903"/>
      <c r="BW4185" s="908"/>
      <c r="BX4185" s="908"/>
      <c r="BY4185" s="331"/>
      <c r="BZ4185" s="331"/>
      <c r="CA4185" s="462"/>
      <c r="CB4185" s="319"/>
      <c r="CC4185" s="319"/>
      <c r="CD4185" s="319"/>
      <c r="CE4185" s="319"/>
      <c r="CF4185" s="319"/>
      <c r="CG4185" s="319"/>
      <c r="CH4185" s="318"/>
      <c r="CI4185" s="319"/>
      <c r="CJ4185" s="319"/>
      <c r="CK4185" s="342"/>
      <c r="CL4185" s="333"/>
      <c r="CM4185" s="1079"/>
      <c r="CN4185" s="1005"/>
      <c r="CO4185" s="1005"/>
      <c r="CP4185" s="1005"/>
    </row>
    <row r="4186">
      <c r="A4186" s="1257"/>
      <c r="B4186" s="1113"/>
      <c r="C4186" s="1107"/>
      <c r="D4186" s="103"/>
      <c r="E4186" s="1137"/>
      <c r="F4186" s="112"/>
      <c r="G4186" s="1110"/>
      <c r="H4186" s="1138"/>
      <c r="I4186" s="1138"/>
      <c r="J4186" s="1139"/>
      <c r="K4186" s="1111"/>
      <c r="L4186" s="1112"/>
      <c r="M4186" s="1113"/>
      <c r="N4186" s="110"/>
      <c r="O4186" s="1140"/>
      <c r="P4186" s="1115"/>
      <c r="Q4186" s="1116"/>
      <c r="R4186" s="1141"/>
      <c r="S4186" s="1113"/>
      <c r="T4186" s="1143"/>
      <c r="U4186" s="1108"/>
      <c r="V4186" s="1108"/>
      <c r="W4186" s="1108"/>
      <c r="X4186" s="1108"/>
      <c r="Y4186" s="1108"/>
      <c r="Z4186" s="1114"/>
      <c r="AA4186" s="1114"/>
      <c r="AB4186" s="1114"/>
      <c r="AC4186" s="1117"/>
      <c r="AD4186" s="1115"/>
      <c r="AE4186" s="1115"/>
      <c r="AF4186" s="1115"/>
      <c r="AG4186" s="1115"/>
      <c r="AH4186" s="1115"/>
      <c r="AI4186" s="1115"/>
      <c r="AJ4186" s="1117"/>
      <c r="AK4186" s="1118"/>
      <c r="AL4186" s="1115"/>
      <c r="AM4186" s="1115"/>
      <c r="AN4186" s="1115"/>
      <c r="AO4186" s="1115"/>
      <c r="AP4186" s="1115"/>
      <c r="AQ4186" s="1115"/>
      <c r="AR4186" s="1115"/>
      <c r="AS4186" s="1117"/>
      <c r="AT4186" s="1075"/>
      <c r="AU4186" s="1193"/>
      <c r="AV4186" s="330"/>
      <c r="AW4186" s="331"/>
      <c r="AX4186" s="331"/>
      <c r="AY4186" s="331"/>
      <c r="AZ4186" s="331"/>
      <c r="BA4186" s="331"/>
      <c r="BB4186" s="331"/>
      <c r="BC4186" s="331"/>
      <c r="BD4186" s="331"/>
      <c r="BE4186" s="333"/>
      <c r="BF4186" s="330"/>
      <c r="BG4186" s="333"/>
      <c r="BH4186" s="1119"/>
      <c r="BI4186" s="319"/>
      <c r="BJ4186" s="319"/>
      <c r="BK4186" s="319"/>
      <c r="BL4186" s="319"/>
      <c r="BM4186" s="319"/>
      <c r="BN4186" s="319"/>
      <c r="BO4186" s="319"/>
      <c r="BP4186" s="953"/>
      <c r="BQ4186" s="319"/>
      <c r="BR4186" s="319"/>
      <c r="BS4186" s="330"/>
      <c r="BT4186" s="331"/>
      <c r="BU4186" s="920"/>
      <c r="BV4186" s="903"/>
      <c r="BW4186" s="908"/>
      <c r="BX4186" s="908"/>
      <c r="BY4186" s="331"/>
      <c r="BZ4186" s="331"/>
      <c r="CA4186" s="462"/>
      <c r="CB4186" s="319"/>
      <c r="CC4186" s="319"/>
      <c r="CD4186" s="319"/>
      <c r="CE4186" s="319"/>
      <c r="CF4186" s="319"/>
      <c r="CG4186" s="319"/>
      <c r="CH4186" s="318"/>
      <c r="CI4186" s="319"/>
      <c r="CJ4186" s="319"/>
      <c r="CK4186" s="342"/>
      <c r="CL4186" s="333"/>
      <c r="CM4186" s="1079"/>
      <c r="CN4186" s="1005"/>
      <c r="CO4186" s="1005"/>
      <c r="CP4186" s="1005"/>
    </row>
    <row r="4187">
      <c r="A4187" s="1257"/>
      <c r="B4187" s="1113"/>
      <c r="C4187" s="1107"/>
      <c r="D4187" s="103"/>
      <c r="E4187" s="1137"/>
      <c r="F4187" s="112"/>
      <c r="G4187" s="1110"/>
      <c r="H4187" s="1138"/>
      <c r="I4187" s="1138"/>
      <c r="J4187" s="1139"/>
      <c r="K4187" s="1111"/>
      <c r="L4187" s="1112"/>
      <c r="M4187" s="1113"/>
      <c r="N4187" s="110"/>
      <c r="O4187" s="1140"/>
      <c r="P4187" s="1115"/>
      <c r="Q4187" s="1116"/>
      <c r="R4187" s="1141"/>
      <c r="S4187" s="1113"/>
      <c r="T4187" s="1143"/>
      <c r="U4187" s="1108"/>
      <c r="V4187" s="1108"/>
      <c r="W4187" s="1108"/>
      <c r="X4187" s="1108"/>
      <c r="Y4187" s="1108"/>
      <c r="Z4187" s="1114"/>
      <c r="AA4187" s="1114"/>
      <c r="AB4187" s="1114"/>
      <c r="AC4187" s="1117"/>
      <c r="AD4187" s="1115"/>
      <c r="AE4187" s="1115"/>
      <c r="AF4187" s="1115"/>
      <c r="AG4187" s="1115"/>
      <c r="AH4187" s="1115"/>
      <c r="AI4187" s="1115"/>
      <c r="AJ4187" s="1117"/>
      <c r="AK4187" s="1118"/>
      <c r="AL4187" s="1115"/>
      <c r="AM4187" s="1115"/>
      <c r="AN4187" s="1115"/>
      <c r="AO4187" s="1115"/>
      <c r="AP4187" s="1115"/>
      <c r="AQ4187" s="1115"/>
      <c r="AR4187" s="1115"/>
      <c r="AS4187" s="1117"/>
      <c r="AT4187" s="1075"/>
      <c r="AU4187" s="1193"/>
      <c r="AV4187" s="330"/>
      <c r="AW4187" s="331"/>
      <c r="AX4187" s="331"/>
      <c r="AY4187" s="331"/>
      <c r="AZ4187" s="331"/>
      <c r="BA4187" s="331"/>
      <c r="BB4187" s="331"/>
      <c r="BC4187" s="331"/>
      <c r="BD4187" s="331"/>
      <c r="BE4187" s="333"/>
      <c r="BF4187" s="330"/>
      <c r="BG4187" s="333"/>
      <c r="BH4187" s="1119"/>
      <c r="BI4187" s="319"/>
      <c r="BJ4187" s="319"/>
      <c r="BK4187" s="319"/>
      <c r="BL4187" s="319"/>
      <c r="BM4187" s="319"/>
      <c r="BN4187" s="319"/>
      <c r="BO4187" s="319"/>
      <c r="BP4187" s="953"/>
      <c r="BQ4187" s="319"/>
      <c r="BR4187" s="319"/>
      <c r="BS4187" s="330"/>
      <c r="BT4187" s="331"/>
      <c r="BU4187" s="920"/>
      <c r="BV4187" s="903"/>
      <c r="BW4187" s="908"/>
      <c r="BX4187" s="908"/>
      <c r="BY4187" s="331"/>
      <c r="BZ4187" s="331"/>
      <c r="CA4187" s="462"/>
      <c r="CB4187" s="319"/>
      <c r="CC4187" s="319"/>
      <c r="CD4187" s="319"/>
      <c r="CE4187" s="319"/>
      <c r="CF4187" s="319"/>
      <c r="CG4187" s="319"/>
      <c r="CH4187" s="318"/>
      <c r="CI4187" s="319"/>
      <c r="CJ4187" s="319"/>
      <c r="CK4187" s="342"/>
      <c r="CL4187" s="333"/>
      <c r="CM4187" s="1079"/>
      <c r="CN4187" s="1005"/>
      <c r="CO4187" s="1005"/>
      <c r="CP4187" s="1005"/>
    </row>
    <row r="4188">
      <c r="A4188" s="1257"/>
      <c r="B4188" s="1113"/>
      <c r="C4188" s="1107"/>
      <c r="D4188" s="103"/>
      <c r="E4188" s="1137"/>
      <c r="F4188" s="112"/>
      <c r="G4188" s="1110"/>
      <c r="H4188" s="1138"/>
      <c r="I4188" s="1138"/>
      <c r="J4188" s="1139"/>
      <c r="K4188" s="1111"/>
      <c r="L4188" s="1112"/>
      <c r="M4188" s="1113"/>
      <c r="N4188" s="110"/>
      <c r="O4188" s="1140"/>
      <c r="P4188" s="1115"/>
      <c r="Q4188" s="1116"/>
      <c r="R4188" s="1141"/>
      <c r="S4188" s="1113"/>
      <c r="T4188" s="1143"/>
      <c r="U4188" s="1108"/>
      <c r="V4188" s="1108"/>
      <c r="W4188" s="1108"/>
      <c r="X4188" s="1108"/>
      <c r="Y4188" s="1108"/>
      <c r="Z4188" s="1114"/>
      <c r="AA4188" s="1114"/>
      <c r="AB4188" s="1114"/>
      <c r="AC4188" s="1117"/>
      <c r="AD4188" s="1115"/>
      <c r="AE4188" s="1115"/>
      <c r="AF4188" s="1115"/>
      <c r="AG4188" s="1115"/>
      <c r="AH4188" s="1115"/>
      <c r="AI4188" s="1115"/>
      <c r="AJ4188" s="1117"/>
      <c r="AK4188" s="1118"/>
      <c r="AL4188" s="1115"/>
      <c r="AM4188" s="1115"/>
      <c r="AN4188" s="1115"/>
      <c r="AO4188" s="1115"/>
      <c r="AP4188" s="1115"/>
      <c r="AQ4188" s="1115"/>
      <c r="AR4188" s="1115"/>
      <c r="AS4188" s="1117"/>
      <c r="AT4188" s="1075"/>
      <c r="AU4188" s="1193"/>
      <c r="AV4188" s="330"/>
      <c r="AW4188" s="331"/>
      <c r="AX4188" s="331"/>
      <c r="AY4188" s="331"/>
      <c r="AZ4188" s="331"/>
      <c r="BA4188" s="331"/>
      <c r="BB4188" s="331"/>
      <c r="BC4188" s="331"/>
      <c r="BD4188" s="331"/>
      <c r="BE4188" s="333"/>
      <c r="BF4188" s="330"/>
      <c r="BG4188" s="333"/>
      <c r="BH4188" s="1119"/>
      <c r="BI4188" s="319"/>
      <c r="BJ4188" s="319"/>
      <c r="BK4188" s="319"/>
      <c r="BL4188" s="319"/>
      <c r="BM4188" s="319"/>
      <c r="BN4188" s="319"/>
      <c r="BO4188" s="319"/>
      <c r="BP4188" s="953"/>
      <c r="BQ4188" s="319"/>
      <c r="BR4188" s="319"/>
      <c r="BS4188" s="330"/>
      <c r="BT4188" s="331"/>
      <c r="BU4188" s="920"/>
      <c r="BV4188" s="903"/>
      <c r="BW4188" s="908"/>
      <c r="BX4188" s="908"/>
      <c r="BY4188" s="331"/>
      <c r="BZ4188" s="331"/>
      <c r="CA4188" s="462"/>
      <c r="CB4188" s="319"/>
      <c r="CC4188" s="319"/>
      <c r="CD4188" s="319"/>
      <c r="CE4188" s="319"/>
      <c r="CF4188" s="319"/>
      <c r="CG4188" s="319"/>
      <c r="CH4188" s="318"/>
      <c r="CI4188" s="319"/>
      <c r="CJ4188" s="319"/>
      <c r="CK4188" s="342"/>
      <c r="CL4188" s="333"/>
      <c r="CM4188" s="1079"/>
      <c r="CN4188" s="1005"/>
      <c r="CO4188" s="1005"/>
      <c r="CP4188" s="1005"/>
    </row>
    <row r="4189">
      <c r="A4189" s="1257"/>
      <c r="B4189" s="1113"/>
      <c r="C4189" s="1107"/>
      <c r="D4189" s="103"/>
      <c r="E4189" s="1137"/>
      <c r="F4189" s="112"/>
      <c r="G4189" s="1110"/>
      <c r="H4189" s="1138"/>
      <c r="I4189" s="1138"/>
      <c r="J4189" s="1139"/>
      <c r="K4189" s="1111"/>
      <c r="L4189" s="1112"/>
      <c r="M4189" s="1113"/>
      <c r="N4189" s="110"/>
      <c r="O4189" s="1140"/>
      <c r="P4189" s="1115"/>
      <c r="Q4189" s="1116"/>
      <c r="R4189" s="1141"/>
      <c r="S4189" s="1113"/>
      <c r="T4189" s="1143"/>
      <c r="U4189" s="1108"/>
      <c r="V4189" s="1108"/>
      <c r="W4189" s="1108"/>
      <c r="X4189" s="1108"/>
      <c r="Y4189" s="1108"/>
      <c r="Z4189" s="1114"/>
      <c r="AA4189" s="1114"/>
      <c r="AB4189" s="1114"/>
      <c r="AC4189" s="1117"/>
      <c r="AD4189" s="1115"/>
      <c r="AE4189" s="1115"/>
      <c r="AF4189" s="1115"/>
      <c r="AG4189" s="1115"/>
      <c r="AH4189" s="1115"/>
      <c r="AI4189" s="1115"/>
      <c r="AJ4189" s="1117"/>
      <c r="AK4189" s="1118"/>
      <c r="AL4189" s="1115"/>
      <c r="AM4189" s="1115"/>
      <c r="AN4189" s="1115"/>
      <c r="AO4189" s="1115"/>
      <c r="AP4189" s="1115"/>
      <c r="AQ4189" s="1115"/>
      <c r="AR4189" s="1115"/>
      <c r="AS4189" s="1117"/>
      <c r="AT4189" s="1075"/>
      <c r="AU4189" s="1193"/>
      <c r="AV4189" s="330"/>
      <c r="AW4189" s="331"/>
      <c r="AX4189" s="331"/>
      <c r="AY4189" s="331"/>
      <c r="AZ4189" s="331"/>
      <c r="BA4189" s="331"/>
      <c r="BB4189" s="331"/>
      <c r="BC4189" s="331"/>
      <c r="BD4189" s="331"/>
      <c r="BE4189" s="333"/>
      <c r="BF4189" s="330"/>
      <c r="BG4189" s="333"/>
      <c r="BH4189" s="1119"/>
      <c r="BI4189" s="319"/>
      <c r="BJ4189" s="319"/>
      <c r="BK4189" s="319"/>
      <c r="BL4189" s="319"/>
      <c r="BM4189" s="319"/>
      <c r="BN4189" s="319"/>
      <c r="BO4189" s="319"/>
      <c r="BP4189" s="953"/>
      <c r="BQ4189" s="319"/>
      <c r="BR4189" s="319"/>
      <c r="BS4189" s="330"/>
      <c r="BT4189" s="331"/>
      <c r="BU4189" s="920"/>
      <c r="BV4189" s="903"/>
      <c r="BW4189" s="908"/>
      <c r="BX4189" s="908"/>
      <c r="BY4189" s="331"/>
      <c r="BZ4189" s="331"/>
      <c r="CA4189" s="462"/>
      <c r="CB4189" s="319"/>
      <c r="CC4189" s="319"/>
      <c r="CD4189" s="319"/>
      <c r="CE4189" s="319"/>
      <c r="CF4189" s="319"/>
      <c r="CG4189" s="319"/>
      <c r="CH4189" s="318"/>
      <c r="CI4189" s="319"/>
      <c r="CJ4189" s="319"/>
      <c r="CK4189" s="342"/>
      <c r="CL4189" s="333"/>
      <c r="CM4189" s="1079"/>
      <c r="CN4189" s="1005"/>
      <c r="CO4189" s="1005"/>
      <c r="CP4189" s="1005"/>
    </row>
    <row r="4190">
      <c r="A4190" s="1257"/>
      <c r="B4190" s="1113"/>
      <c r="C4190" s="1107"/>
      <c r="D4190" s="103"/>
      <c r="E4190" s="1137"/>
      <c r="F4190" s="112"/>
      <c r="G4190" s="1110"/>
      <c r="H4190" s="1138"/>
      <c r="I4190" s="1138"/>
      <c r="J4190" s="1139"/>
      <c r="K4190" s="1111"/>
      <c r="L4190" s="1112"/>
      <c r="M4190" s="1113"/>
      <c r="N4190" s="110"/>
      <c r="O4190" s="1140"/>
      <c r="P4190" s="1115"/>
      <c r="Q4190" s="1116"/>
      <c r="R4190" s="1141"/>
      <c r="S4190" s="1113"/>
      <c r="T4190" s="1143"/>
      <c r="U4190" s="1108"/>
      <c r="V4190" s="1108"/>
      <c r="W4190" s="1108"/>
      <c r="X4190" s="1108"/>
      <c r="Y4190" s="1108"/>
      <c r="Z4190" s="1114"/>
      <c r="AA4190" s="1114"/>
      <c r="AB4190" s="1114"/>
      <c r="AC4190" s="1117"/>
      <c r="AD4190" s="1115"/>
      <c r="AE4190" s="1115"/>
      <c r="AF4190" s="1115"/>
      <c r="AG4190" s="1115"/>
      <c r="AH4190" s="1115"/>
      <c r="AI4190" s="1115"/>
      <c r="AJ4190" s="1117"/>
      <c r="AK4190" s="1118"/>
      <c r="AL4190" s="1115"/>
      <c r="AM4190" s="1115"/>
      <c r="AN4190" s="1115"/>
      <c r="AO4190" s="1115"/>
      <c r="AP4190" s="1115"/>
      <c r="AQ4190" s="1115"/>
      <c r="AR4190" s="1115"/>
      <c r="AS4190" s="1117"/>
      <c r="AT4190" s="1075"/>
      <c r="AU4190" s="1193"/>
      <c r="AV4190" s="330"/>
      <c r="AW4190" s="331"/>
      <c r="AX4190" s="331"/>
      <c r="AY4190" s="331"/>
      <c r="AZ4190" s="331"/>
      <c r="BA4190" s="331"/>
      <c r="BB4190" s="331"/>
      <c r="BC4190" s="331"/>
      <c r="BD4190" s="331"/>
      <c r="BE4190" s="333"/>
      <c r="BF4190" s="330"/>
      <c r="BG4190" s="333"/>
      <c r="BH4190" s="1119"/>
      <c r="BI4190" s="319"/>
      <c r="BJ4190" s="319"/>
      <c r="BK4190" s="319"/>
      <c r="BL4190" s="319"/>
      <c r="BM4190" s="319"/>
      <c r="BN4190" s="319"/>
      <c r="BO4190" s="319"/>
      <c r="BP4190" s="953"/>
      <c r="BQ4190" s="319"/>
      <c r="BR4190" s="319"/>
      <c r="BS4190" s="330"/>
      <c r="BT4190" s="331"/>
      <c r="BU4190" s="920"/>
      <c r="BV4190" s="903"/>
      <c r="BW4190" s="908"/>
      <c r="BX4190" s="908"/>
      <c r="BY4190" s="331"/>
      <c r="BZ4190" s="331"/>
      <c r="CA4190" s="462"/>
      <c r="CB4190" s="319"/>
      <c r="CC4190" s="319"/>
      <c r="CD4190" s="319"/>
      <c r="CE4190" s="319"/>
      <c r="CF4190" s="319"/>
      <c r="CG4190" s="319"/>
      <c r="CH4190" s="318"/>
      <c r="CI4190" s="319"/>
      <c r="CJ4190" s="319"/>
      <c r="CK4190" s="342"/>
      <c r="CL4190" s="333"/>
      <c r="CM4190" s="1079"/>
      <c r="CN4190" s="1005"/>
      <c r="CO4190" s="1005"/>
      <c r="CP4190" s="1005"/>
    </row>
    <row r="4191">
      <c r="A4191" s="1257"/>
      <c r="B4191" s="1113"/>
      <c r="C4191" s="1107"/>
      <c r="D4191" s="103"/>
      <c r="E4191" s="1137"/>
      <c r="F4191" s="112"/>
      <c r="G4191" s="1110"/>
      <c r="H4191" s="1138"/>
      <c r="I4191" s="1138"/>
      <c r="J4191" s="1139"/>
      <c r="K4191" s="1111"/>
      <c r="L4191" s="1112"/>
      <c r="M4191" s="1113"/>
      <c r="N4191" s="110"/>
      <c r="O4191" s="1140"/>
      <c r="P4191" s="1115"/>
      <c r="Q4191" s="1116"/>
      <c r="R4191" s="1141"/>
      <c r="S4191" s="1113"/>
      <c r="T4191" s="1143"/>
      <c r="U4191" s="1108"/>
      <c r="V4191" s="1108"/>
      <c r="W4191" s="1108"/>
      <c r="X4191" s="1108"/>
      <c r="Y4191" s="1108"/>
      <c r="Z4191" s="1114"/>
      <c r="AA4191" s="1114"/>
      <c r="AB4191" s="1114"/>
      <c r="AC4191" s="1117"/>
      <c r="AD4191" s="1115"/>
      <c r="AE4191" s="1115"/>
      <c r="AF4191" s="1115"/>
      <c r="AG4191" s="1115"/>
      <c r="AH4191" s="1115"/>
      <c r="AI4191" s="1115"/>
      <c r="AJ4191" s="1117"/>
      <c r="AK4191" s="1118"/>
      <c r="AL4191" s="1115"/>
      <c r="AM4191" s="1115"/>
      <c r="AN4191" s="1115"/>
      <c r="AO4191" s="1115"/>
      <c r="AP4191" s="1115"/>
      <c r="AQ4191" s="1115"/>
      <c r="AR4191" s="1115"/>
      <c r="AS4191" s="1117"/>
      <c r="AT4191" s="1075"/>
      <c r="AU4191" s="1193"/>
      <c r="AV4191" s="330"/>
      <c r="AW4191" s="331"/>
      <c r="AX4191" s="331"/>
      <c r="AY4191" s="331"/>
      <c r="AZ4191" s="331"/>
      <c r="BA4191" s="331"/>
      <c r="BB4191" s="331"/>
      <c r="BC4191" s="331"/>
      <c r="BD4191" s="331"/>
      <c r="BE4191" s="333"/>
      <c r="BF4191" s="330"/>
      <c r="BG4191" s="333"/>
      <c r="BH4191" s="1119"/>
      <c r="BI4191" s="319"/>
      <c r="BJ4191" s="319"/>
      <c r="BK4191" s="319"/>
      <c r="BL4191" s="319"/>
      <c r="BM4191" s="319"/>
      <c r="BN4191" s="319"/>
      <c r="BO4191" s="319"/>
      <c r="BP4191" s="953"/>
      <c r="BQ4191" s="319"/>
      <c r="BR4191" s="319"/>
      <c r="BS4191" s="330"/>
      <c r="BT4191" s="331"/>
      <c r="BU4191" s="920"/>
      <c r="BV4191" s="903"/>
      <c r="BW4191" s="908"/>
      <c r="BX4191" s="908"/>
      <c r="BY4191" s="331"/>
      <c r="BZ4191" s="331"/>
      <c r="CA4191" s="462"/>
      <c r="CB4191" s="319"/>
      <c r="CC4191" s="319"/>
      <c r="CD4191" s="319"/>
      <c r="CE4191" s="319"/>
      <c r="CF4191" s="319"/>
      <c r="CG4191" s="319"/>
      <c r="CH4191" s="318"/>
      <c r="CI4191" s="319"/>
      <c r="CJ4191" s="319"/>
      <c r="CK4191" s="342"/>
      <c r="CL4191" s="333"/>
      <c r="CM4191" s="1079"/>
      <c r="CN4191" s="1005"/>
      <c r="CO4191" s="1005"/>
      <c r="CP4191" s="1005"/>
    </row>
    <row r="4192">
      <c r="A4192" s="1257"/>
      <c r="B4192" s="1113"/>
      <c r="C4192" s="1107"/>
      <c r="D4192" s="103"/>
      <c r="E4192" s="1137"/>
      <c r="F4192" s="112"/>
      <c r="G4192" s="1110"/>
      <c r="H4192" s="1138"/>
      <c r="I4192" s="1138"/>
      <c r="J4192" s="1139"/>
      <c r="K4192" s="1111"/>
      <c r="L4192" s="1112"/>
      <c r="M4192" s="1113"/>
      <c r="N4192" s="110"/>
      <c r="O4192" s="1140"/>
      <c r="P4192" s="1115"/>
      <c r="Q4192" s="1116"/>
      <c r="R4192" s="1141"/>
      <c r="S4192" s="1113"/>
      <c r="T4192" s="1143"/>
      <c r="U4192" s="1108"/>
      <c r="V4192" s="1108"/>
      <c r="W4192" s="1108"/>
      <c r="X4192" s="1108"/>
      <c r="Y4192" s="1108"/>
      <c r="Z4192" s="1114"/>
      <c r="AA4192" s="1114"/>
      <c r="AB4192" s="1114"/>
      <c r="AC4192" s="1117"/>
      <c r="AD4192" s="1115"/>
      <c r="AE4192" s="1115"/>
      <c r="AF4192" s="1115"/>
      <c r="AG4192" s="1115"/>
      <c r="AH4192" s="1115"/>
      <c r="AI4192" s="1115"/>
      <c r="AJ4192" s="1117"/>
      <c r="AK4192" s="1118"/>
      <c r="AL4192" s="1115"/>
      <c r="AM4192" s="1115"/>
      <c r="AN4192" s="1115"/>
      <c r="AO4192" s="1115"/>
      <c r="AP4192" s="1115"/>
      <c r="AQ4192" s="1115"/>
      <c r="AR4192" s="1115"/>
      <c r="AS4192" s="1117"/>
      <c r="AT4192" s="1075"/>
      <c r="AU4192" s="1193"/>
      <c r="AV4192" s="330"/>
      <c r="AW4192" s="331"/>
      <c r="AX4192" s="331"/>
      <c r="AY4192" s="331"/>
      <c r="AZ4192" s="331"/>
      <c r="BA4192" s="331"/>
      <c r="BB4192" s="331"/>
      <c r="BC4192" s="331"/>
      <c r="BD4192" s="331"/>
      <c r="BE4192" s="333"/>
      <c r="BF4192" s="330"/>
      <c r="BG4192" s="333"/>
      <c r="BH4192" s="1119"/>
      <c r="BI4192" s="319"/>
      <c r="BJ4192" s="319"/>
      <c r="BK4192" s="319"/>
      <c r="BL4192" s="319"/>
      <c r="BM4192" s="319"/>
      <c r="BN4192" s="319"/>
      <c r="BO4192" s="319"/>
      <c r="BP4192" s="953"/>
      <c r="BQ4192" s="319"/>
      <c r="BR4192" s="319"/>
      <c r="BS4192" s="330"/>
      <c r="BT4192" s="331"/>
      <c r="BU4192" s="920"/>
      <c r="BV4192" s="903"/>
      <c r="BW4192" s="908"/>
      <c r="BX4192" s="908"/>
      <c r="BY4192" s="331"/>
      <c r="BZ4192" s="331"/>
      <c r="CA4192" s="462"/>
      <c r="CB4192" s="319"/>
      <c r="CC4192" s="319"/>
      <c r="CD4192" s="319"/>
      <c r="CE4192" s="319"/>
      <c r="CF4192" s="319"/>
      <c r="CG4192" s="319"/>
      <c r="CH4192" s="318"/>
      <c r="CI4192" s="319"/>
      <c r="CJ4192" s="319"/>
      <c r="CK4192" s="342"/>
      <c r="CL4192" s="333"/>
      <c r="CM4192" s="1079"/>
      <c r="CN4192" s="1005"/>
      <c r="CO4192" s="1005"/>
      <c r="CP4192" s="1005"/>
    </row>
    <row r="4193">
      <c r="A4193" s="1257"/>
      <c r="B4193" s="1113"/>
      <c r="C4193" s="1107"/>
      <c r="D4193" s="103"/>
      <c r="E4193" s="1137"/>
      <c r="F4193" s="112"/>
      <c r="G4193" s="1110"/>
      <c r="H4193" s="1138"/>
      <c r="I4193" s="1138"/>
      <c r="J4193" s="1139"/>
      <c r="K4193" s="1111"/>
      <c r="L4193" s="1112"/>
      <c r="M4193" s="1113"/>
      <c r="N4193" s="110"/>
      <c r="O4193" s="1140"/>
      <c r="P4193" s="1115"/>
      <c r="Q4193" s="1116"/>
      <c r="R4193" s="1141"/>
      <c r="S4193" s="1113"/>
      <c r="T4193" s="1143"/>
      <c r="U4193" s="1108"/>
      <c r="V4193" s="1108"/>
      <c r="W4193" s="1108"/>
      <c r="X4193" s="1108"/>
      <c r="Y4193" s="1108"/>
      <c r="Z4193" s="1114"/>
      <c r="AA4193" s="1114"/>
      <c r="AB4193" s="1114"/>
      <c r="AC4193" s="1117"/>
      <c r="AD4193" s="1115"/>
      <c r="AE4193" s="1115"/>
      <c r="AF4193" s="1115"/>
      <c r="AG4193" s="1115"/>
      <c r="AH4193" s="1115"/>
      <c r="AI4193" s="1115"/>
      <c r="AJ4193" s="1117"/>
      <c r="AK4193" s="1118"/>
      <c r="AL4193" s="1115"/>
      <c r="AM4193" s="1115"/>
      <c r="AN4193" s="1115"/>
      <c r="AO4193" s="1115"/>
      <c r="AP4193" s="1115"/>
      <c r="AQ4193" s="1115"/>
      <c r="AR4193" s="1115"/>
      <c r="AS4193" s="1117"/>
      <c r="AT4193" s="1075"/>
      <c r="AU4193" s="1193"/>
      <c r="AV4193" s="330"/>
      <c r="AW4193" s="331"/>
      <c r="AX4193" s="331"/>
      <c r="AY4193" s="331"/>
      <c r="AZ4193" s="331"/>
      <c r="BA4193" s="331"/>
      <c r="BB4193" s="331"/>
      <c r="BC4193" s="331"/>
      <c r="BD4193" s="331"/>
      <c r="BE4193" s="333"/>
      <c r="BF4193" s="330"/>
      <c r="BG4193" s="333"/>
      <c r="BH4193" s="1119"/>
      <c r="BI4193" s="319"/>
      <c r="BJ4193" s="319"/>
      <c r="BK4193" s="319"/>
      <c r="BL4193" s="319"/>
      <c r="BM4193" s="319"/>
      <c r="BN4193" s="319"/>
      <c r="BO4193" s="319"/>
      <c r="BP4193" s="953"/>
      <c r="BQ4193" s="319"/>
      <c r="BR4193" s="319"/>
      <c r="BS4193" s="330"/>
      <c r="BT4193" s="331"/>
      <c r="BU4193" s="920"/>
      <c r="BV4193" s="903"/>
      <c r="BW4193" s="908"/>
      <c r="BX4193" s="908"/>
      <c r="BY4193" s="331"/>
      <c r="BZ4193" s="331"/>
      <c r="CA4193" s="462"/>
      <c r="CB4193" s="319"/>
      <c r="CC4193" s="319"/>
      <c r="CD4193" s="319"/>
      <c r="CE4193" s="319"/>
      <c r="CF4193" s="319"/>
      <c r="CG4193" s="319"/>
      <c r="CH4193" s="318"/>
      <c r="CI4193" s="319"/>
      <c r="CJ4193" s="319"/>
      <c r="CK4193" s="342"/>
      <c r="CL4193" s="333"/>
      <c r="CM4193" s="1079"/>
      <c r="CN4193" s="1005"/>
      <c r="CO4193" s="1005"/>
      <c r="CP4193" s="1005"/>
    </row>
    <row r="4194">
      <c r="A4194" s="1257"/>
      <c r="B4194" s="1113"/>
      <c r="C4194" s="1107"/>
      <c r="D4194" s="103"/>
      <c r="E4194" s="1137"/>
      <c r="F4194" s="112"/>
      <c r="G4194" s="1110"/>
      <c r="H4194" s="1138"/>
      <c r="I4194" s="1138"/>
      <c r="J4194" s="1139"/>
      <c r="K4194" s="1111"/>
      <c r="L4194" s="1112"/>
      <c r="M4194" s="1113"/>
      <c r="N4194" s="110"/>
      <c r="O4194" s="1140"/>
      <c r="P4194" s="1115"/>
      <c r="Q4194" s="1116"/>
      <c r="R4194" s="1141"/>
      <c r="S4194" s="1113"/>
      <c r="T4194" s="1143"/>
      <c r="U4194" s="1108"/>
      <c r="V4194" s="1108"/>
      <c r="W4194" s="1108"/>
      <c r="X4194" s="1108"/>
      <c r="Y4194" s="1108"/>
      <c r="Z4194" s="1114"/>
      <c r="AA4194" s="1114"/>
      <c r="AB4194" s="1114"/>
      <c r="AC4194" s="1117"/>
      <c r="AD4194" s="1115"/>
      <c r="AE4194" s="1115"/>
      <c r="AF4194" s="1115"/>
      <c r="AG4194" s="1115"/>
      <c r="AH4194" s="1115"/>
      <c r="AI4194" s="1115"/>
      <c r="AJ4194" s="1117"/>
      <c r="AK4194" s="1118"/>
      <c r="AL4194" s="1115"/>
      <c r="AM4194" s="1115"/>
      <c r="AN4194" s="1115"/>
      <c r="AO4194" s="1115"/>
      <c r="AP4194" s="1115"/>
      <c r="AQ4194" s="1115"/>
      <c r="AR4194" s="1115"/>
      <c r="AS4194" s="1117"/>
      <c r="AT4194" s="1075"/>
      <c r="AU4194" s="1193"/>
      <c r="AV4194" s="330"/>
      <c r="AW4194" s="331"/>
      <c r="AX4194" s="331"/>
      <c r="AY4194" s="331"/>
      <c r="AZ4194" s="331"/>
      <c r="BA4194" s="331"/>
      <c r="BB4194" s="331"/>
      <c r="BC4194" s="331"/>
      <c r="BD4194" s="331"/>
      <c r="BE4194" s="333"/>
      <c r="BF4194" s="330"/>
      <c r="BG4194" s="333"/>
      <c r="BH4194" s="1119"/>
      <c r="BI4194" s="319"/>
      <c r="BJ4194" s="319"/>
      <c r="BK4194" s="319"/>
      <c r="BL4194" s="319"/>
      <c r="BM4194" s="319"/>
      <c r="BN4194" s="319"/>
      <c r="BO4194" s="319"/>
      <c r="BP4194" s="953"/>
      <c r="BQ4194" s="319"/>
      <c r="BR4194" s="319"/>
      <c r="BS4194" s="330"/>
      <c r="BT4194" s="331"/>
      <c r="BU4194" s="920"/>
      <c r="BV4194" s="903"/>
      <c r="BW4194" s="908"/>
      <c r="BX4194" s="908"/>
      <c r="BY4194" s="331"/>
      <c r="BZ4194" s="331"/>
      <c r="CA4194" s="462"/>
      <c r="CB4194" s="319"/>
      <c r="CC4194" s="319"/>
      <c r="CD4194" s="319"/>
      <c r="CE4194" s="319"/>
      <c r="CF4194" s="319"/>
      <c r="CG4194" s="319"/>
      <c r="CH4194" s="318"/>
      <c r="CI4194" s="319"/>
      <c r="CJ4194" s="319"/>
      <c r="CK4194" s="342"/>
      <c r="CL4194" s="333"/>
      <c r="CM4194" s="1079"/>
      <c r="CN4194" s="1005"/>
      <c r="CO4194" s="1005"/>
      <c r="CP4194" s="1005"/>
    </row>
    <row r="4195">
      <c r="A4195" s="1257"/>
      <c r="B4195" s="1113"/>
      <c r="C4195" s="1107"/>
      <c r="D4195" s="103"/>
      <c r="E4195" s="1137"/>
      <c r="F4195" s="112"/>
      <c r="G4195" s="1110"/>
      <c r="H4195" s="1138"/>
      <c r="I4195" s="1138"/>
      <c r="J4195" s="1139"/>
      <c r="K4195" s="1111"/>
      <c r="L4195" s="1112"/>
      <c r="M4195" s="1113"/>
      <c r="N4195" s="110"/>
      <c r="O4195" s="1140"/>
      <c r="P4195" s="1115"/>
      <c r="Q4195" s="1116"/>
      <c r="R4195" s="1141"/>
      <c r="S4195" s="1113"/>
      <c r="T4195" s="1143"/>
      <c r="U4195" s="1108"/>
      <c r="V4195" s="1108"/>
      <c r="W4195" s="1108"/>
      <c r="X4195" s="1108"/>
      <c r="Y4195" s="1108"/>
      <c r="Z4195" s="1114"/>
      <c r="AA4195" s="1114"/>
      <c r="AB4195" s="1114"/>
      <c r="AC4195" s="1117"/>
      <c r="AD4195" s="1115"/>
      <c r="AE4195" s="1115"/>
      <c r="AF4195" s="1115"/>
      <c r="AG4195" s="1115"/>
      <c r="AH4195" s="1115"/>
      <c r="AI4195" s="1115"/>
      <c r="AJ4195" s="1117"/>
      <c r="AK4195" s="1118"/>
      <c r="AL4195" s="1115"/>
      <c r="AM4195" s="1115"/>
      <c r="AN4195" s="1115"/>
      <c r="AO4195" s="1115"/>
      <c r="AP4195" s="1115"/>
      <c r="AQ4195" s="1115"/>
      <c r="AR4195" s="1115"/>
      <c r="AS4195" s="1117"/>
      <c r="AT4195" s="1075"/>
      <c r="AU4195" s="1193"/>
      <c r="AV4195" s="330"/>
      <c r="AW4195" s="331"/>
      <c r="AX4195" s="331"/>
      <c r="AY4195" s="331"/>
      <c r="AZ4195" s="331"/>
      <c r="BA4195" s="331"/>
      <c r="BB4195" s="331"/>
      <c r="BC4195" s="331"/>
      <c r="BD4195" s="331"/>
      <c r="BE4195" s="333"/>
      <c r="BF4195" s="330"/>
      <c r="BG4195" s="333"/>
      <c r="BH4195" s="1119"/>
      <c r="BI4195" s="319"/>
      <c r="BJ4195" s="319"/>
      <c r="BK4195" s="319"/>
      <c r="BL4195" s="319"/>
      <c r="BM4195" s="319"/>
      <c r="BN4195" s="319"/>
      <c r="BO4195" s="319"/>
      <c r="BP4195" s="953"/>
      <c r="BQ4195" s="319"/>
      <c r="BR4195" s="319"/>
      <c r="BS4195" s="330"/>
      <c r="BT4195" s="331"/>
      <c r="BU4195" s="920"/>
      <c r="BV4195" s="903"/>
      <c r="BW4195" s="908"/>
      <c r="BX4195" s="908"/>
      <c r="BY4195" s="331"/>
      <c r="BZ4195" s="331"/>
      <c r="CA4195" s="462"/>
      <c r="CB4195" s="319"/>
      <c r="CC4195" s="319"/>
      <c r="CD4195" s="319"/>
      <c r="CE4195" s="319"/>
      <c r="CF4195" s="319"/>
      <c r="CG4195" s="319"/>
      <c r="CH4195" s="318"/>
      <c r="CI4195" s="319"/>
      <c r="CJ4195" s="319"/>
      <c r="CK4195" s="342"/>
      <c r="CL4195" s="333"/>
      <c r="CM4195" s="1079"/>
      <c r="CN4195" s="1005"/>
      <c r="CO4195" s="1005"/>
      <c r="CP4195" s="1005"/>
    </row>
    <row r="4196">
      <c r="A4196" s="1257"/>
      <c r="B4196" s="1113"/>
      <c r="C4196" s="1107"/>
      <c r="D4196" s="103"/>
      <c r="E4196" s="1137"/>
      <c r="F4196" s="112"/>
      <c r="G4196" s="1110"/>
      <c r="H4196" s="1138"/>
      <c r="I4196" s="1138"/>
      <c r="J4196" s="1139"/>
      <c r="K4196" s="1111"/>
      <c r="L4196" s="1112"/>
      <c r="M4196" s="1113"/>
      <c r="N4196" s="110"/>
      <c r="O4196" s="1140"/>
      <c r="P4196" s="1115"/>
      <c r="Q4196" s="1116"/>
      <c r="R4196" s="1141"/>
      <c r="S4196" s="1113"/>
      <c r="T4196" s="1143"/>
      <c r="U4196" s="1108"/>
      <c r="V4196" s="1108"/>
      <c r="W4196" s="1108"/>
      <c r="X4196" s="1108"/>
      <c r="Y4196" s="1108"/>
      <c r="Z4196" s="1114"/>
      <c r="AA4196" s="1114"/>
      <c r="AB4196" s="1114"/>
      <c r="AC4196" s="1117"/>
      <c r="AD4196" s="1115"/>
      <c r="AE4196" s="1115"/>
      <c r="AF4196" s="1115"/>
      <c r="AG4196" s="1115"/>
      <c r="AH4196" s="1115"/>
      <c r="AI4196" s="1115"/>
      <c r="AJ4196" s="1117"/>
      <c r="AK4196" s="1118"/>
      <c r="AL4196" s="1115"/>
      <c r="AM4196" s="1115"/>
      <c r="AN4196" s="1115"/>
      <c r="AO4196" s="1115"/>
      <c r="AP4196" s="1115"/>
      <c r="AQ4196" s="1115"/>
      <c r="AR4196" s="1115"/>
      <c r="AS4196" s="1117"/>
      <c r="AT4196" s="1075"/>
      <c r="AU4196" s="1193"/>
      <c r="AV4196" s="330"/>
      <c r="AW4196" s="331"/>
      <c r="AX4196" s="331"/>
      <c r="AY4196" s="331"/>
      <c r="AZ4196" s="331"/>
      <c r="BA4196" s="331"/>
      <c r="BB4196" s="331"/>
      <c r="BC4196" s="331"/>
      <c r="BD4196" s="331"/>
      <c r="BE4196" s="333"/>
      <c r="BF4196" s="330"/>
      <c r="BG4196" s="333"/>
      <c r="BH4196" s="1119"/>
      <c r="BI4196" s="319"/>
      <c r="BJ4196" s="319"/>
      <c r="BK4196" s="319"/>
      <c r="BL4196" s="319"/>
      <c r="BM4196" s="319"/>
      <c r="BN4196" s="319"/>
      <c r="BO4196" s="319"/>
      <c r="BP4196" s="953"/>
      <c r="BQ4196" s="319"/>
      <c r="BR4196" s="319"/>
      <c r="BS4196" s="330"/>
      <c r="BT4196" s="331"/>
      <c r="BU4196" s="920"/>
      <c r="BV4196" s="903"/>
      <c r="BW4196" s="908"/>
      <c r="BX4196" s="908"/>
      <c r="BY4196" s="331"/>
      <c r="BZ4196" s="331"/>
      <c r="CA4196" s="462"/>
      <c r="CB4196" s="319"/>
      <c r="CC4196" s="319"/>
      <c r="CD4196" s="319"/>
      <c r="CE4196" s="319"/>
      <c r="CF4196" s="319"/>
      <c r="CG4196" s="319"/>
      <c r="CH4196" s="318"/>
      <c r="CI4196" s="319"/>
      <c r="CJ4196" s="319"/>
      <c r="CK4196" s="342"/>
      <c r="CL4196" s="333"/>
      <c r="CM4196" s="1079"/>
      <c r="CN4196" s="1005"/>
      <c r="CO4196" s="1005"/>
      <c r="CP4196" s="1005"/>
    </row>
    <row r="4197">
      <c r="A4197" s="1257"/>
      <c r="B4197" s="1113"/>
      <c r="C4197" s="1107"/>
      <c r="D4197" s="103"/>
      <c r="E4197" s="1137"/>
      <c r="F4197" s="112"/>
      <c r="G4197" s="1110"/>
      <c r="H4197" s="1138"/>
      <c r="I4197" s="1138"/>
      <c r="J4197" s="1139"/>
      <c r="K4197" s="1111"/>
      <c r="L4197" s="1112"/>
      <c r="M4197" s="1113"/>
      <c r="N4197" s="110"/>
      <c r="O4197" s="1140"/>
      <c r="P4197" s="1115"/>
      <c r="Q4197" s="1116"/>
      <c r="R4197" s="1141"/>
      <c r="S4197" s="1113"/>
      <c r="T4197" s="1143"/>
      <c r="U4197" s="1108"/>
      <c r="V4197" s="1108"/>
      <c r="W4197" s="1108"/>
      <c r="X4197" s="1108"/>
      <c r="Y4197" s="1108"/>
      <c r="Z4197" s="1114"/>
      <c r="AA4197" s="1114"/>
      <c r="AB4197" s="1114"/>
      <c r="AC4197" s="1117"/>
      <c r="AD4197" s="1115"/>
      <c r="AE4197" s="1115"/>
      <c r="AF4197" s="1115"/>
      <c r="AG4197" s="1115"/>
      <c r="AH4197" s="1115"/>
      <c r="AI4197" s="1115"/>
      <c r="AJ4197" s="1117"/>
      <c r="AK4197" s="1118"/>
      <c r="AL4197" s="1115"/>
      <c r="AM4197" s="1115"/>
      <c r="AN4197" s="1115"/>
      <c r="AO4197" s="1115"/>
      <c r="AP4197" s="1115"/>
      <c r="AQ4197" s="1115"/>
      <c r="AR4197" s="1115"/>
      <c r="AS4197" s="1117"/>
      <c r="AT4197" s="1075"/>
      <c r="AU4197" s="1193"/>
      <c r="AV4197" s="330"/>
      <c r="AW4197" s="331"/>
      <c r="AX4197" s="331"/>
      <c r="AY4197" s="331"/>
      <c r="AZ4197" s="331"/>
      <c r="BA4197" s="331"/>
      <c r="BB4197" s="331"/>
      <c r="BC4197" s="331"/>
      <c r="BD4197" s="331"/>
      <c r="BE4197" s="333"/>
      <c r="BF4197" s="330"/>
      <c r="BG4197" s="333"/>
      <c r="BH4197" s="1119"/>
      <c r="BI4197" s="319"/>
      <c r="BJ4197" s="319"/>
      <c r="BK4197" s="319"/>
      <c r="BL4197" s="319"/>
      <c r="BM4197" s="319"/>
      <c r="BN4197" s="319"/>
      <c r="BO4197" s="319"/>
      <c r="BP4197" s="953"/>
      <c r="BQ4197" s="319"/>
      <c r="BR4197" s="319"/>
      <c r="BS4197" s="330"/>
      <c r="BT4197" s="331"/>
      <c r="BU4197" s="920"/>
      <c r="BV4197" s="903"/>
      <c r="BW4197" s="908"/>
      <c r="BX4197" s="908"/>
      <c r="BY4197" s="331"/>
      <c r="BZ4197" s="331"/>
      <c r="CA4197" s="462"/>
      <c r="CB4197" s="319"/>
      <c r="CC4197" s="319"/>
      <c r="CD4197" s="319"/>
      <c r="CE4197" s="319"/>
      <c r="CF4197" s="319"/>
      <c r="CG4197" s="319"/>
      <c r="CH4197" s="318"/>
      <c r="CI4197" s="319"/>
      <c r="CJ4197" s="319"/>
      <c r="CK4197" s="342"/>
      <c r="CL4197" s="333"/>
      <c r="CM4197" s="1079"/>
      <c r="CN4197" s="1005"/>
      <c r="CO4197" s="1005"/>
      <c r="CP4197" s="1005"/>
    </row>
    <row r="4198">
      <c r="A4198" s="1257"/>
      <c r="B4198" s="1113"/>
      <c r="C4198" s="1107"/>
      <c r="D4198" s="103"/>
      <c r="E4198" s="1137"/>
      <c r="F4198" s="112"/>
      <c r="G4198" s="1110"/>
      <c r="H4198" s="1138"/>
      <c r="I4198" s="1138"/>
      <c r="J4198" s="1139"/>
      <c r="K4198" s="1111"/>
      <c r="L4198" s="1112"/>
      <c r="M4198" s="1113"/>
      <c r="N4198" s="110"/>
      <c r="O4198" s="1140"/>
      <c r="P4198" s="1115"/>
      <c r="Q4198" s="1116"/>
      <c r="R4198" s="1141"/>
      <c r="S4198" s="1113"/>
      <c r="T4198" s="1143"/>
      <c r="U4198" s="1108"/>
      <c r="V4198" s="1108"/>
      <c r="W4198" s="1108"/>
      <c r="X4198" s="1108"/>
      <c r="Y4198" s="1108"/>
      <c r="Z4198" s="1114"/>
      <c r="AA4198" s="1114"/>
      <c r="AB4198" s="1114"/>
      <c r="AC4198" s="1117"/>
      <c r="AD4198" s="1115"/>
      <c r="AE4198" s="1115"/>
      <c r="AF4198" s="1115"/>
      <c r="AG4198" s="1115"/>
      <c r="AH4198" s="1115"/>
      <c r="AI4198" s="1115"/>
      <c r="AJ4198" s="1117"/>
      <c r="AK4198" s="1118"/>
      <c r="AL4198" s="1115"/>
      <c r="AM4198" s="1115"/>
      <c r="AN4198" s="1115"/>
      <c r="AO4198" s="1115"/>
      <c r="AP4198" s="1115"/>
      <c r="AQ4198" s="1115"/>
      <c r="AR4198" s="1115"/>
      <c r="AS4198" s="1117"/>
      <c r="AT4198" s="1075"/>
      <c r="AU4198" s="1193"/>
      <c r="AV4198" s="330"/>
      <c r="AW4198" s="331"/>
      <c r="AX4198" s="331"/>
      <c r="AY4198" s="331"/>
      <c r="AZ4198" s="331"/>
      <c r="BA4198" s="331"/>
      <c r="BB4198" s="331"/>
      <c r="BC4198" s="331"/>
      <c r="BD4198" s="331"/>
      <c r="BE4198" s="333"/>
      <c r="BF4198" s="330"/>
      <c r="BG4198" s="333"/>
      <c r="BH4198" s="1119"/>
      <c r="BI4198" s="319"/>
      <c r="BJ4198" s="319"/>
      <c r="BK4198" s="319"/>
      <c r="BL4198" s="319"/>
      <c r="BM4198" s="319"/>
      <c r="BN4198" s="319"/>
      <c r="BO4198" s="319"/>
      <c r="BP4198" s="953"/>
      <c r="BQ4198" s="319"/>
      <c r="BR4198" s="319"/>
      <c r="BS4198" s="330"/>
      <c r="BT4198" s="331"/>
      <c r="BU4198" s="920"/>
      <c r="BV4198" s="903"/>
      <c r="BW4198" s="908"/>
      <c r="BX4198" s="908"/>
      <c r="BY4198" s="331"/>
      <c r="BZ4198" s="331"/>
      <c r="CA4198" s="462"/>
      <c r="CB4198" s="319"/>
      <c r="CC4198" s="319"/>
      <c r="CD4198" s="319"/>
      <c r="CE4198" s="319"/>
      <c r="CF4198" s="319"/>
      <c r="CG4198" s="319"/>
      <c r="CH4198" s="318"/>
      <c r="CI4198" s="319"/>
      <c r="CJ4198" s="319"/>
      <c r="CK4198" s="342"/>
      <c r="CL4198" s="333"/>
      <c r="CM4198" s="1079"/>
      <c r="CN4198" s="1005"/>
      <c r="CO4198" s="1005"/>
      <c r="CP4198" s="1005"/>
    </row>
    <row r="4199">
      <c r="A4199" s="1257"/>
      <c r="B4199" s="1113"/>
      <c r="C4199" s="1107"/>
      <c r="D4199" s="103"/>
      <c r="E4199" s="1137"/>
      <c r="F4199" s="112"/>
      <c r="G4199" s="1110"/>
      <c r="H4199" s="1138"/>
      <c r="I4199" s="1138"/>
      <c r="J4199" s="1139"/>
      <c r="K4199" s="1111"/>
      <c r="L4199" s="1112"/>
      <c r="M4199" s="1113"/>
      <c r="N4199" s="110"/>
      <c r="O4199" s="1140"/>
      <c r="P4199" s="1115"/>
      <c r="Q4199" s="1116"/>
      <c r="R4199" s="1141"/>
      <c r="S4199" s="1113"/>
      <c r="T4199" s="1143"/>
      <c r="U4199" s="1108"/>
      <c r="V4199" s="1108"/>
      <c r="W4199" s="1108"/>
      <c r="X4199" s="1108"/>
      <c r="Y4199" s="1108"/>
      <c r="Z4199" s="1114"/>
      <c r="AA4199" s="1114"/>
      <c r="AB4199" s="1114"/>
      <c r="AC4199" s="1117"/>
      <c r="AD4199" s="1115"/>
      <c r="AE4199" s="1115"/>
      <c r="AF4199" s="1115"/>
      <c r="AG4199" s="1115"/>
      <c r="AH4199" s="1115"/>
      <c r="AI4199" s="1115"/>
      <c r="AJ4199" s="1117"/>
      <c r="AK4199" s="1118"/>
      <c r="AL4199" s="1115"/>
      <c r="AM4199" s="1115"/>
      <c r="AN4199" s="1115"/>
      <c r="AO4199" s="1115"/>
      <c r="AP4199" s="1115"/>
      <c r="AQ4199" s="1115"/>
      <c r="AR4199" s="1115"/>
      <c r="AS4199" s="1117"/>
      <c r="AT4199" s="1075"/>
      <c r="AU4199" s="1193"/>
      <c r="AV4199" s="330"/>
      <c r="AW4199" s="331"/>
      <c r="AX4199" s="331"/>
      <c r="AY4199" s="331"/>
      <c r="AZ4199" s="331"/>
      <c r="BA4199" s="331"/>
      <c r="BB4199" s="331"/>
      <c r="BC4199" s="331"/>
      <c r="BD4199" s="331"/>
      <c r="BE4199" s="333"/>
      <c r="BF4199" s="330"/>
      <c r="BG4199" s="333"/>
      <c r="BH4199" s="1119"/>
      <c r="BI4199" s="319"/>
      <c r="BJ4199" s="319"/>
      <c r="BK4199" s="319"/>
      <c r="BL4199" s="319"/>
      <c r="BM4199" s="319"/>
      <c r="BN4199" s="319"/>
      <c r="BO4199" s="319"/>
      <c r="BP4199" s="953"/>
      <c r="BQ4199" s="319"/>
      <c r="BR4199" s="319"/>
      <c r="BS4199" s="330"/>
      <c r="BT4199" s="331"/>
      <c r="BU4199" s="920"/>
      <c r="BV4199" s="903"/>
      <c r="BW4199" s="908"/>
      <c r="BX4199" s="908"/>
      <c r="BY4199" s="331"/>
      <c r="BZ4199" s="331"/>
      <c r="CA4199" s="462"/>
      <c r="CB4199" s="319"/>
      <c r="CC4199" s="319"/>
      <c r="CD4199" s="319"/>
      <c r="CE4199" s="319"/>
      <c r="CF4199" s="319"/>
      <c r="CG4199" s="319"/>
      <c r="CH4199" s="318"/>
      <c r="CI4199" s="319"/>
      <c r="CJ4199" s="319"/>
      <c r="CK4199" s="342"/>
      <c r="CL4199" s="333"/>
      <c r="CM4199" s="1079"/>
      <c r="CN4199" s="1005"/>
      <c r="CO4199" s="1005"/>
      <c r="CP4199" s="1005"/>
    </row>
    <row r="4200">
      <c r="A4200" s="1257"/>
      <c r="B4200" s="1113"/>
      <c r="C4200" s="1107"/>
      <c r="D4200" s="103"/>
      <c r="E4200" s="1137"/>
      <c r="F4200" s="112"/>
      <c r="G4200" s="1110"/>
      <c r="H4200" s="1138"/>
      <c r="I4200" s="1138"/>
      <c r="J4200" s="1139"/>
      <c r="K4200" s="1111"/>
      <c r="L4200" s="1112"/>
      <c r="M4200" s="1113"/>
      <c r="N4200" s="110"/>
      <c r="O4200" s="1140"/>
      <c r="P4200" s="1115"/>
      <c r="Q4200" s="1116"/>
      <c r="R4200" s="1141"/>
      <c r="S4200" s="1113"/>
      <c r="T4200" s="1143"/>
      <c r="U4200" s="1108"/>
      <c r="V4200" s="1108"/>
      <c r="W4200" s="1108"/>
      <c r="X4200" s="1108"/>
      <c r="Y4200" s="1108"/>
      <c r="Z4200" s="1114"/>
      <c r="AA4200" s="1114"/>
      <c r="AB4200" s="1114"/>
      <c r="AC4200" s="1117"/>
      <c r="AD4200" s="1115"/>
      <c r="AE4200" s="1115"/>
      <c r="AF4200" s="1115"/>
      <c r="AG4200" s="1115"/>
      <c r="AH4200" s="1115"/>
      <c r="AI4200" s="1115"/>
      <c r="AJ4200" s="1117"/>
      <c r="AK4200" s="1118"/>
      <c r="AL4200" s="1115"/>
      <c r="AM4200" s="1115"/>
      <c r="AN4200" s="1115"/>
      <c r="AO4200" s="1115"/>
      <c r="AP4200" s="1115"/>
      <c r="AQ4200" s="1115"/>
      <c r="AR4200" s="1115"/>
      <c r="AS4200" s="1117"/>
      <c r="AT4200" s="1075"/>
      <c r="AU4200" s="1193"/>
      <c r="AV4200" s="330"/>
      <c r="AW4200" s="331"/>
      <c r="AX4200" s="331"/>
      <c r="AY4200" s="331"/>
      <c r="AZ4200" s="331"/>
      <c r="BA4200" s="331"/>
      <c r="BB4200" s="331"/>
      <c r="BC4200" s="331"/>
      <c r="BD4200" s="331"/>
      <c r="BE4200" s="333"/>
      <c r="BF4200" s="330"/>
      <c r="BG4200" s="333"/>
      <c r="BH4200" s="1119"/>
      <c r="BI4200" s="319"/>
      <c r="BJ4200" s="319"/>
      <c r="BK4200" s="319"/>
      <c r="BL4200" s="319"/>
      <c r="BM4200" s="319"/>
      <c r="BN4200" s="319"/>
      <c r="BO4200" s="319"/>
      <c r="BP4200" s="953"/>
      <c r="BQ4200" s="319"/>
      <c r="BR4200" s="319"/>
      <c r="BS4200" s="330"/>
      <c r="BT4200" s="331"/>
      <c r="BU4200" s="920"/>
      <c r="BV4200" s="903"/>
      <c r="BW4200" s="908"/>
      <c r="BX4200" s="908"/>
      <c r="BY4200" s="331"/>
      <c r="BZ4200" s="331"/>
      <c r="CA4200" s="462"/>
      <c r="CB4200" s="319"/>
      <c r="CC4200" s="319"/>
      <c r="CD4200" s="319"/>
      <c r="CE4200" s="319"/>
      <c r="CF4200" s="319"/>
      <c r="CG4200" s="319"/>
      <c r="CH4200" s="318"/>
      <c r="CI4200" s="319"/>
      <c r="CJ4200" s="319"/>
      <c r="CK4200" s="342"/>
      <c r="CL4200" s="333"/>
      <c r="CM4200" s="1079"/>
      <c r="CN4200" s="1005"/>
      <c r="CO4200" s="1005"/>
      <c r="CP4200" s="1005"/>
    </row>
    <row r="4201">
      <c r="A4201" s="1257"/>
      <c r="B4201" s="1113"/>
      <c r="C4201" s="1107"/>
      <c r="D4201" s="103"/>
      <c r="E4201" s="1137"/>
      <c r="F4201" s="112"/>
      <c r="G4201" s="1110"/>
      <c r="H4201" s="1138"/>
      <c r="I4201" s="1138"/>
      <c r="J4201" s="1139"/>
      <c r="K4201" s="1111"/>
      <c r="L4201" s="1112"/>
      <c r="M4201" s="1113"/>
      <c r="N4201" s="110"/>
      <c r="O4201" s="1140"/>
      <c r="P4201" s="1115"/>
      <c r="Q4201" s="1116"/>
      <c r="R4201" s="1141"/>
      <c r="S4201" s="1113"/>
      <c r="T4201" s="1143"/>
      <c r="U4201" s="1108"/>
      <c r="V4201" s="1108"/>
      <c r="W4201" s="1108"/>
      <c r="X4201" s="1108"/>
      <c r="Y4201" s="1108"/>
      <c r="Z4201" s="1114"/>
      <c r="AA4201" s="1114"/>
      <c r="AB4201" s="1114"/>
      <c r="AC4201" s="1117"/>
      <c r="AD4201" s="1115"/>
      <c r="AE4201" s="1115"/>
      <c r="AF4201" s="1115"/>
      <c r="AG4201" s="1115"/>
      <c r="AH4201" s="1115"/>
      <c r="AI4201" s="1115"/>
      <c r="AJ4201" s="1117"/>
      <c r="AK4201" s="1118"/>
      <c r="AL4201" s="1115"/>
      <c r="AM4201" s="1115"/>
      <c r="AN4201" s="1115"/>
      <c r="AO4201" s="1115"/>
      <c r="AP4201" s="1115"/>
      <c r="AQ4201" s="1115"/>
      <c r="AR4201" s="1115"/>
      <c r="AS4201" s="1117"/>
      <c r="AT4201" s="1075"/>
      <c r="AU4201" s="1193"/>
      <c r="AV4201" s="330"/>
      <c r="AW4201" s="331"/>
      <c r="AX4201" s="331"/>
      <c r="AY4201" s="331"/>
      <c r="AZ4201" s="331"/>
      <c r="BA4201" s="331"/>
      <c r="BB4201" s="331"/>
      <c r="BC4201" s="331"/>
      <c r="BD4201" s="331"/>
      <c r="BE4201" s="333"/>
      <c r="BF4201" s="330"/>
      <c r="BG4201" s="333"/>
      <c r="BH4201" s="1119"/>
      <c r="BI4201" s="319"/>
      <c r="BJ4201" s="319"/>
      <c r="BK4201" s="319"/>
      <c r="BL4201" s="319"/>
      <c r="BM4201" s="319"/>
      <c r="BN4201" s="319"/>
      <c r="BO4201" s="319"/>
      <c r="BP4201" s="953"/>
      <c r="BQ4201" s="319"/>
      <c r="BR4201" s="319"/>
      <c r="BS4201" s="330"/>
      <c r="BT4201" s="331"/>
      <c r="BU4201" s="920"/>
      <c r="BV4201" s="903"/>
      <c r="BW4201" s="908"/>
      <c r="BX4201" s="908"/>
      <c r="BY4201" s="331"/>
      <c r="BZ4201" s="331"/>
      <c r="CA4201" s="462"/>
      <c r="CB4201" s="319"/>
      <c r="CC4201" s="319"/>
      <c r="CD4201" s="319"/>
      <c r="CE4201" s="319"/>
      <c r="CF4201" s="319"/>
      <c r="CG4201" s="319"/>
      <c r="CH4201" s="318"/>
      <c r="CI4201" s="319"/>
      <c r="CJ4201" s="319"/>
      <c r="CK4201" s="342"/>
      <c r="CL4201" s="333"/>
      <c r="CM4201" s="1079"/>
      <c r="CN4201" s="1005"/>
      <c r="CO4201" s="1005"/>
      <c r="CP4201" s="1005"/>
    </row>
    <row r="4202">
      <c r="A4202" s="1257"/>
      <c r="B4202" s="1113"/>
      <c r="C4202" s="1107"/>
      <c r="D4202" s="103"/>
      <c r="E4202" s="1137"/>
      <c r="F4202" s="112"/>
      <c r="G4202" s="1110"/>
      <c r="H4202" s="1138"/>
      <c r="I4202" s="1138"/>
      <c r="J4202" s="1139"/>
      <c r="K4202" s="1111"/>
      <c r="L4202" s="1112"/>
      <c r="M4202" s="1113"/>
      <c r="N4202" s="110"/>
      <c r="O4202" s="1140"/>
      <c r="P4202" s="1115"/>
      <c r="Q4202" s="1116"/>
      <c r="R4202" s="1141"/>
      <c r="S4202" s="1113"/>
      <c r="T4202" s="1143"/>
      <c r="U4202" s="1108"/>
      <c r="V4202" s="1108"/>
      <c r="W4202" s="1108"/>
      <c r="X4202" s="1108"/>
      <c r="Y4202" s="1108"/>
      <c r="Z4202" s="1114"/>
      <c r="AA4202" s="1114"/>
      <c r="AB4202" s="1114"/>
      <c r="AC4202" s="1117"/>
      <c r="AD4202" s="1115"/>
      <c r="AE4202" s="1115"/>
      <c r="AF4202" s="1115"/>
      <c r="AG4202" s="1115"/>
      <c r="AH4202" s="1115"/>
      <c r="AI4202" s="1115"/>
      <c r="AJ4202" s="1117"/>
      <c r="AK4202" s="1118"/>
      <c r="AL4202" s="1115"/>
      <c r="AM4202" s="1115"/>
      <c r="AN4202" s="1115"/>
      <c r="AO4202" s="1115"/>
      <c r="AP4202" s="1115"/>
      <c r="AQ4202" s="1115"/>
      <c r="AR4202" s="1115"/>
      <c r="AS4202" s="1117"/>
      <c r="AT4202" s="1075"/>
      <c r="AU4202" s="1193"/>
      <c r="AV4202" s="330"/>
      <c r="AW4202" s="331"/>
      <c r="AX4202" s="331"/>
      <c r="AY4202" s="331"/>
      <c r="AZ4202" s="331"/>
      <c r="BA4202" s="331"/>
      <c r="BB4202" s="331"/>
      <c r="BC4202" s="331"/>
      <c r="BD4202" s="331"/>
      <c r="BE4202" s="333"/>
      <c r="BF4202" s="330"/>
      <c r="BG4202" s="333"/>
      <c r="BH4202" s="1119"/>
      <c r="BI4202" s="319"/>
      <c r="BJ4202" s="319"/>
      <c r="BK4202" s="319"/>
      <c r="BL4202" s="319"/>
      <c r="BM4202" s="319"/>
      <c r="BN4202" s="319"/>
      <c r="BO4202" s="319"/>
      <c r="BP4202" s="953"/>
      <c r="BQ4202" s="319"/>
      <c r="BR4202" s="319"/>
      <c r="BS4202" s="330"/>
      <c r="BT4202" s="331"/>
      <c r="BU4202" s="920"/>
      <c r="BV4202" s="903"/>
      <c r="BW4202" s="908"/>
      <c r="BX4202" s="908"/>
      <c r="BY4202" s="331"/>
      <c r="BZ4202" s="331"/>
      <c r="CA4202" s="462"/>
      <c r="CB4202" s="319"/>
      <c r="CC4202" s="319"/>
      <c r="CD4202" s="319"/>
      <c r="CE4202" s="319"/>
      <c r="CF4202" s="319"/>
      <c r="CG4202" s="319"/>
      <c r="CH4202" s="318"/>
      <c r="CI4202" s="319"/>
      <c r="CJ4202" s="319"/>
      <c r="CK4202" s="342"/>
      <c r="CL4202" s="333"/>
      <c r="CM4202" s="1079"/>
      <c r="CN4202" s="1005"/>
      <c r="CO4202" s="1005"/>
      <c r="CP4202" s="1005"/>
    </row>
    <row r="4203">
      <c r="A4203" s="1257"/>
      <c r="B4203" s="1113"/>
      <c r="C4203" s="1107"/>
      <c r="D4203" s="103"/>
      <c r="E4203" s="1137"/>
      <c r="F4203" s="112"/>
      <c r="G4203" s="1110"/>
      <c r="H4203" s="1138"/>
      <c r="I4203" s="1138"/>
      <c r="J4203" s="1139"/>
      <c r="K4203" s="1111"/>
      <c r="L4203" s="1112"/>
      <c r="M4203" s="1113"/>
      <c r="N4203" s="110"/>
      <c r="O4203" s="1140"/>
      <c r="P4203" s="1115"/>
      <c r="Q4203" s="1116"/>
      <c r="R4203" s="1141"/>
      <c r="S4203" s="1113"/>
      <c r="T4203" s="1143"/>
      <c r="U4203" s="1108"/>
      <c r="V4203" s="1108"/>
      <c r="W4203" s="1108"/>
      <c r="X4203" s="1108"/>
      <c r="Y4203" s="1108"/>
      <c r="Z4203" s="1114"/>
      <c r="AA4203" s="1114"/>
      <c r="AB4203" s="1114"/>
      <c r="AC4203" s="1117"/>
      <c r="AD4203" s="1115"/>
      <c r="AE4203" s="1115"/>
      <c r="AF4203" s="1115"/>
      <c r="AG4203" s="1115"/>
      <c r="AH4203" s="1115"/>
      <c r="AI4203" s="1115"/>
      <c r="AJ4203" s="1117"/>
      <c r="AK4203" s="1118"/>
      <c r="AL4203" s="1115"/>
      <c r="AM4203" s="1115"/>
      <c r="AN4203" s="1115"/>
      <c r="AO4203" s="1115"/>
      <c r="AP4203" s="1115"/>
      <c r="AQ4203" s="1115"/>
      <c r="AR4203" s="1115"/>
      <c r="AS4203" s="1117"/>
      <c r="AT4203" s="1075"/>
      <c r="AU4203" s="1193"/>
      <c r="AV4203" s="330"/>
      <c r="AW4203" s="331"/>
      <c r="AX4203" s="331"/>
      <c r="AY4203" s="331"/>
      <c r="AZ4203" s="331"/>
      <c r="BA4203" s="331"/>
      <c r="BB4203" s="331"/>
      <c r="BC4203" s="331"/>
      <c r="BD4203" s="331"/>
      <c r="BE4203" s="333"/>
      <c r="BF4203" s="330"/>
      <c r="BG4203" s="333"/>
      <c r="BH4203" s="1119"/>
      <c r="BI4203" s="319"/>
      <c r="BJ4203" s="319"/>
      <c r="BK4203" s="319"/>
      <c r="BL4203" s="319"/>
      <c r="BM4203" s="319"/>
      <c r="BN4203" s="319"/>
      <c r="BO4203" s="319"/>
      <c r="BP4203" s="953"/>
      <c r="BQ4203" s="319"/>
      <c r="BR4203" s="319"/>
      <c r="BS4203" s="330"/>
      <c r="BT4203" s="331"/>
      <c r="BU4203" s="920"/>
      <c r="BV4203" s="903"/>
      <c r="BW4203" s="908"/>
      <c r="BX4203" s="908"/>
      <c r="BY4203" s="331"/>
      <c r="BZ4203" s="331"/>
      <c r="CA4203" s="462"/>
      <c r="CB4203" s="319"/>
      <c r="CC4203" s="319"/>
      <c r="CD4203" s="319"/>
      <c r="CE4203" s="319"/>
      <c r="CF4203" s="319"/>
      <c r="CG4203" s="319"/>
      <c r="CH4203" s="318"/>
      <c r="CI4203" s="319"/>
      <c r="CJ4203" s="319"/>
      <c r="CK4203" s="342"/>
      <c r="CL4203" s="333"/>
      <c r="CM4203" s="1079"/>
      <c r="CN4203" s="1005"/>
      <c r="CO4203" s="1005"/>
      <c r="CP4203" s="1005"/>
    </row>
    <row r="4204">
      <c r="A4204" s="1257"/>
      <c r="B4204" s="1113"/>
      <c r="C4204" s="1107"/>
      <c r="D4204" s="103"/>
      <c r="E4204" s="1137"/>
      <c r="F4204" s="112"/>
      <c r="G4204" s="1110"/>
      <c r="H4204" s="1138"/>
      <c r="I4204" s="1138"/>
      <c r="J4204" s="1139"/>
      <c r="K4204" s="1111"/>
      <c r="L4204" s="1112"/>
      <c r="M4204" s="1113"/>
      <c r="N4204" s="110"/>
      <c r="O4204" s="1140"/>
      <c r="P4204" s="1115"/>
      <c r="Q4204" s="1116"/>
      <c r="R4204" s="1141"/>
      <c r="S4204" s="1113"/>
      <c r="T4204" s="1143"/>
      <c r="U4204" s="1108"/>
      <c r="V4204" s="1108"/>
      <c r="W4204" s="1108"/>
      <c r="X4204" s="1108"/>
      <c r="Y4204" s="1108"/>
      <c r="Z4204" s="1114"/>
      <c r="AA4204" s="1114"/>
      <c r="AB4204" s="1114"/>
      <c r="AC4204" s="1117"/>
      <c r="AD4204" s="1115"/>
      <c r="AE4204" s="1115"/>
      <c r="AF4204" s="1115"/>
      <c r="AG4204" s="1115"/>
      <c r="AH4204" s="1115"/>
      <c r="AI4204" s="1115"/>
      <c r="AJ4204" s="1117"/>
      <c r="AK4204" s="1118"/>
      <c r="AL4204" s="1115"/>
      <c r="AM4204" s="1115"/>
      <c r="AN4204" s="1115"/>
      <c r="AO4204" s="1115"/>
      <c r="AP4204" s="1115"/>
      <c r="AQ4204" s="1115"/>
      <c r="AR4204" s="1115"/>
      <c r="AS4204" s="1117"/>
      <c r="AT4204" s="1075"/>
      <c r="AU4204" s="1193"/>
      <c r="AV4204" s="330"/>
      <c r="AW4204" s="331"/>
      <c r="AX4204" s="331"/>
      <c r="AY4204" s="331"/>
      <c r="AZ4204" s="331"/>
      <c r="BA4204" s="331"/>
      <c r="BB4204" s="331"/>
      <c r="BC4204" s="331"/>
      <c r="BD4204" s="331"/>
      <c r="BE4204" s="333"/>
      <c r="BF4204" s="330"/>
      <c r="BG4204" s="333"/>
      <c r="BH4204" s="1119"/>
      <c r="BI4204" s="319"/>
      <c r="BJ4204" s="319"/>
      <c r="BK4204" s="319"/>
      <c r="BL4204" s="319"/>
      <c r="BM4204" s="319"/>
      <c r="BN4204" s="319"/>
      <c r="BO4204" s="319"/>
      <c r="BP4204" s="953"/>
      <c r="BQ4204" s="319"/>
      <c r="BR4204" s="319"/>
      <c r="BS4204" s="330"/>
      <c r="BT4204" s="331"/>
      <c r="BU4204" s="920"/>
      <c r="BV4204" s="903"/>
      <c r="BW4204" s="908"/>
      <c r="BX4204" s="908"/>
      <c r="BY4204" s="331"/>
      <c r="BZ4204" s="331"/>
      <c r="CA4204" s="462"/>
      <c r="CB4204" s="319"/>
      <c r="CC4204" s="319"/>
      <c r="CD4204" s="319"/>
      <c r="CE4204" s="319"/>
      <c r="CF4204" s="319"/>
      <c r="CG4204" s="319"/>
      <c r="CH4204" s="318"/>
      <c r="CI4204" s="319"/>
      <c r="CJ4204" s="319"/>
      <c r="CK4204" s="342"/>
      <c r="CL4204" s="333"/>
      <c r="CM4204" s="1079"/>
      <c r="CN4204" s="1005"/>
      <c r="CO4204" s="1005"/>
      <c r="CP4204" s="1005"/>
    </row>
    <row r="4205">
      <c r="A4205" s="1257"/>
      <c r="B4205" s="1113"/>
      <c r="C4205" s="1107"/>
      <c r="D4205" s="103"/>
      <c r="E4205" s="1137"/>
      <c r="F4205" s="112"/>
      <c r="G4205" s="1110"/>
      <c r="H4205" s="1138"/>
      <c r="I4205" s="1138"/>
      <c r="J4205" s="1139"/>
      <c r="K4205" s="1111"/>
      <c r="L4205" s="1112"/>
      <c r="M4205" s="1113"/>
      <c r="N4205" s="110"/>
      <c r="O4205" s="1140"/>
      <c r="P4205" s="1115"/>
      <c r="Q4205" s="1116"/>
      <c r="R4205" s="1141"/>
      <c r="S4205" s="1113"/>
      <c r="T4205" s="1143"/>
      <c r="U4205" s="1108"/>
      <c r="V4205" s="1108"/>
      <c r="W4205" s="1108"/>
      <c r="X4205" s="1108"/>
      <c r="Y4205" s="1108"/>
      <c r="Z4205" s="1114"/>
      <c r="AA4205" s="1114"/>
      <c r="AB4205" s="1114"/>
      <c r="AC4205" s="1117"/>
      <c r="AD4205" s="1115"/>
      <c r="AE4205" s="1115"/>
      <c r="AF4205" s="1115"/>
      <c r="AG4205" s="1115"/>
      <c r="AH4205" s="1115"/>
      <c r="AI4205" s="1115"/>
      <c r="AJ4205" s="1117"/>
      <c r="AK4205" s="1118"/>
      <c r="AL4205" s="1115"/>
      <c r="AM4205" s="1115"/>
      <c r="AN4205" s="1115"/>
      <c r="AO4205" s="1115"/>
      <c r="AP4205" s="1115"/>
      <c r="AQ4205" s="1115"/>
      <c r="AR4205" s="1115"/>
      <c r="AS4205" s="1117"/>
      <c r="AT4205" s="1075"/>
      <c r="AU4205" s="1193"/>
      <c r="AV4205" s="330"/>
      <c r="AW4205" s="331"/>
      <c r="AX4205" s="331"/>
      <c r="AY4205" s="331"/>
      <c r="AZ4205" s="331"/>
      <c r="BA4205" s="331"/>
      <c r="BB4205" s="331"/>
      <c r="BC4205" s="331"/>
      <c r="BD4205" s="331"/>
      <c r="BE4205" s="333"/>
      <c r="BF4205" s="330"/>
      <c r="BG4205" s="333"/>
      <c r="BH4205" s="1119"/>
      <c r="BI4205" s="319"/>
      <c r="BJ4205" s="319"/>
      <c r="BK4205" s="319"/>
      <c r="BL4205" s="319"/>
      <c r="BM4205" s="319"/>
      <c r="BN4205" s="319"/>
      <c r="BO4205" s="319"/>
      <c r="BP4205" s="953"/>
      <c r="BQ4205" s="319"/>
      <c r="BR4205" s="319"/>
      <c r="BS4205" s="330"/>
      <c r="BT4205" s="331"/>
      <c r="BU4205" s="920"/>
      <c r="BV4205" s="903"/>
      <c r="BW4205" s="908"/>
      <c r="BX4205" s="908"/>
      <c r="BY4205" s="331"/>
      <c r="BZ4205" s="331"/>
      <c r="CA4205" s="462"/>
      <c r="CB4205" s="319"/>
      <c r="CC4205" s="319"/>
      <c r="CD4205" s="319"/>
      <c r="CE4205" s="319"/>
      <c r="CF4205" s="319"/>
      <c r="CG4205" s="319"/>
      <c r="CH4205" s="318"/>
      <c r="CI4205" s="319"/>
      <c r="CJ4205" s="319"/>
      <c r="CK4205" s="342"/>
      <c r="CL4205" s="333"/>
      <c r="CM4205" s="1079"/>
      <c r="CN4205" s="1005"/>
      <c r="CO4205" s="1005"/>
      <c r="CP4205" s="1005"/>
    </row>
    <row r="4206">
      <c r="A4206" s="1257"/>
      <c r="B4206" s="1113"/>
      <c r="C4206" s="1107"/>
      <c r="D4206" s="103"/>
      <c r="E4206" s="1137"/>
      <c r="F4206" s="112"/>
      <c r="G4206" s="1110"/>
      <c r="H4206" s="1138"/>
      <c r="I4206" s="1138"/>
      <c r="J4206" s="1139"/>
      <c r="K4206" s="1111"/>
      <c r="L4206" s="1112"/>
      <c r="M4206" s="1113"/>
      <c r="N4206" s="110"/>
      <c r="O4206" s="1140"/>
      <c r="P4206" s="1115"/>
      <c r="Q4206" s="1116"/>
      <c r="R4206" s="1141"/>
      <c r="S4206" s="1113"/>
      <c r="T4206" s="1143"/>
      <c r="U4206" s="1108"/>
      <c r="V4206" s="1108"/>
      <c r="W4206" s="1108"/>
      <c r="X4206" s="1108"/>
      <c r="Y4206" s="1108"/>
      <c r="Z4206" s="1114"/>
      <c r="AA4206" s="1114"/>
      <c r="AB4206" s="1114"/>
      <c r="AC4206" s="1117"/>
      <c r="AD4206" s="1115"/>
      <c r="AE4206" s="1115"/>
      <c r="AF4206" s="1115"/>
      <c r="AG4206" s="1115"/>
      <c r="AH4206" s="1115"/>
      <c r="AI4206" s="1115"/>
      <c r="AJ4206" s="1117"/>
      <c r="AK4206" s="1118"/>
      <c r="AL4206" s="1115"/>
      <c r="AM4206" s="1115"/>
      <c r="AN4206" s="1115"/>
      <c r="AO4206" s="1115"/>
      <c r="AP4206" s="1115"/>
      <c r="AQ4206" s="1115"/>
      <c r="AR4206" s="1115"/>
      <c r="AS4206" s="1117"/>
      <c r="AT4206" s="1075"/>
      <c r="AU4206" s="1193"/>
      <c r="AV4206" s="330"/>
      <c r="AW4206" s="331"/>
      <c r="AX4206" s="331"/>
      <c r="AY4206" s="331"/>
      <c r="AZ4206" s="331"/>
      <c r="BA4206" s="331"/>
      <c r="BB4206" s="331"/>
      <c r="BC4206" s="331"/>
      <c r="BD4206" s="331"/>
      <c r="BE4206" s="333"/>
      <c r="BF4206" s="330"/>
      <c r="BG4206" s="333"/>
      <c r="BH4206" s="1119"/>
      <c r="BI4206" s="319"/>
      <c r="BJ4206" s="319"/>
      <c r="BK4206" s="319"/>
      <c r="BL4206" s="319"/>
      <c r="BM4206" s="319"/>
      <c r="BN4206" s="319"/>
      <c r="BO4206" s="319"/>
      <c r="BP4206" s="953"/>
      <c r="BQ4206" s="319"/>
      <c r="BR4206" s="319"/>
      <c r="BS4206" s="330"/>
      <c r="BT4206" s="331"/>
      <c r="BU4206" s="920"/>
      <c r="BV4206" s="903"/>
      <c r="BW4206" s="908"/>
      <c r="BX4206" s="908"/>
      <c r="BY4206" s="331"/>
      <c r="BZ4206" s="331"/>
      <c r="CA4206" s="462"/>
      <c r="CB4206" s="319"/>
      <c r="CC4206" s="319"/>
      <c r="CD4206" s="319"/>
      <c r="CE4206" s="319"/>
      <c r="CF4206" s="319"/>
      <c r="CG4206" s="319"/>
      <c r="CH4206" s="318"/>
      <c r="CI4206" s="319"/>
      <c r="CJ4206" s="319"/>
      <c r="CK4206" s="342"/>
      <c r="CL4206" s="333"/>
      <c r="CM4206" s="1079"/>
      <c r="CN4206" s="1005"/>
      <c r="CO4206" s="1005"/>
      <c r="CP4206" s="1005"/>
    </row>
    <row r="4207">
      <c r="A4207" s="1257"/>
      <c r="B4207" s="1113"/>
      <c r="C4207" s="1107"/>
      <c r="D4207" s="103"/>
      <c r="E4207" s="1137"/>
      <c r="F4207" s="112"/>
      <c r="G4207" s="1110"/>
      <c r="H4207" s="1138"/>
      <c r="I4207" s="1138"/>
      <c r="J4207" s="1139"/>
      <c r="K4207" s="1111"/>
      <c r="L4207" s="1112"/>
      <c r="M4207" s="1113"/>
      <c r="N4207" s="110"/>
      <c r="O4207" s="1140"/>
      <c r="P4207" s="1115"/>
      <c r="Q4207" s="1116"/>
      <c r="R4207" s="1141"/>
      <c r="S4207" s="1113"/>
      <c r="T4207" s="1143"/>
      <c r="U4207" s="1108"/>
      <c r="V4207" s="1108"/>
      <c r="W4207" s="1108"/>
      <c r="X4207" s="1108"/>
      <c r="Y4207" s="1108"/>
      <c r="Z4207" s="1114"/>
      <c r="AA4207" s="1114"/>
      <c r="AB4207" s="1114"/>
      <c r="AC4207" s="1117"/>
      <c r="AD4207" s="1115"/>
      <c r="AE4207" s="1115"/>
      <c r="AF4207" s="1115"/>
      <c r="AG4207" s="1115"/>
      <c r="AH4207" s="1115"/>
      <c r="AI4207" s="1115"/>
      <c r="AJ4207" s="1117"/>
      <c r="AK4207" s="1118"/>
      <c r="AL4207" s="1115"/>
      <c r="AM4207" s="1115"/>
      <c r="AN4207" s="1115"/>
      <c r="AO4207" s="1115"/>
      <c r="AP4207" s="1115"/>
      <c r="AQ4207" s="1115"/>
      <c r="AR4207" s="1115"/>
      <c r="AS4207" s="1117"/>
      <c r="AT4207" s="1075"/>
      <c r="AU4207" s="1193"/>
      <c r="AV4207" s="330"/>
      <c r="AW4207" s="331"/>
      <c r="AX4207" s="331"/>
      <c r="AY4207" s="331"/>
      <c r="AZ4207" s="331"/>
      <c r="BA4207" s="331"/>
      <c r="BB4207" s="331"/>
      <c r="BC4207" s="331"/>
      <c r="BD4207" s="331"/>
      <c r="BE4207" s="333"/>
      <c r="BF4207" s="330"/>
      <c r="BG4207" s="333"/>
      <c r="BH4207" s="1119"/>
      <c r="BI4207" s="319"/>
      <c r="BJ4207" s="319"/>
      <c r="BK4207" s="319"/>
      <c r="BL4207" s="319"/>
      <c r="BM4207" s="319"/>
      <c r="BN4207" s="319"/>
      <c r="BO4207" s="319"/>
      <c r="BP4207" s="953"/>
      <c r="BQ4207" s="319"/>
      <c r="BR4207" s="319"/>
      <c r="BS4207" s="330"/>
      <c r="BT4207" s="331"/>
      <c r="BU4207" s="920"/>
      <c r="BV4207" s="903"/>
      <c r="BW4207" s="908"/>
      <c r="BX4207" s="908"/>
      <c r="BY4207" s="331"/>
      <c r="BZ4207" s="331"/>
      <c r="CA4207" s="462"/>
      <c r="CB4207" s="319"/>
      <c r="CC4207" s="319"/>
      <c r="CD4207" s="319"/>
      <c r="CE4207" s="319"/>
      <c r="CF4207" s="319"/>
      <c r="CG4207" s="319"/>
      <c r="CH4207" s="318"/>
      <c r="CI4207" s="319"/>
      <c r="CJ4207" s="319"/>
      <c r="CK4207" s="342"/>
      <c r="CL4207" s="333"/>
      <c r="CM4207" s="1079"/>
      <c r="CN4207" s="1005"/>
      <c r="CO4207" s="1005"/>
      <c r="CP4207" s="1005"/>
    </row>
    <row r="4208">
      <c r="A4208" s="1257"/>
      <c r="B4208" s="1113"/>
      <c r="C4208" s="1107"/>
      <c r="D4208" s="103"/>
      <c r="E4208" s="1137"/>
      <c r="F4208" s="112"/>
      <c r="G4208" s="1110"/>
      <c r="H4208" s="1138"/>
      <c r="I4208" s="1138"/>
      <c r="J4208" s="1139"/>
      <c r="K4208" s="1111"/>
      <c r="L4208" s="1112"/>
      <c r="M4208" s="1113"/>
      <c r="N4208" s="110"/>
      <c r="O4208" s="1140"/>
      <c r="P4208" s="1115"/>
      <c r="Q4208" s="1116"/>
      <c r="R4208" s="1141"/>
      <c r="S4208" s="1113"/>
      <c r="T4208" s="1143"/>
      <c r="U4208" s="1108"/>
      <c r="V4208" s="1108"/>
      <c r="W4208" s="1108"/>
      <c r="X4208" s="1108"/>
      <c r="Y4208" s="1108"/>
      <c r="Z4208" s="1114"/>
      <c r="AA4208" s="1114"/>
      <c r="AB4208" s="1114"/>
      <c r="AC4208" s="1117"/>
      <c r="AD4208" s="1115"/>
      <c r="AE4208" s="1115"/>
      <c r="AF4208" s="1115"/>
      <c r="AG4208" s="1115"/>
      <c r="AH4208" s="1115"/>
      <c r="AI4208" s="1115"/>
      <c r="AJ4208" s="1117"/>
      <c r="AK4208" s="1118"/>
      <c r="AL4208" s="1115"/>
      <c r="AM4208" s="1115"/>
      <c r="AN4208" s="1115"/>
      <c r="AO4208" s="1115"/>
      <c r="AP4208" s="1115"/>
      <c r="AQ4208" s="1115"/>
      <c r="AR4208" s="1115"/>
      <c r="AS4208" s="1117"/>
      <c r="AT4208" s="1075"/>
      <c r="AU4208" s="1193"/>
      <c r="AV4208" s="330"/>
      <c r="AW4208" s="331"/>
      <c r="AX4208" s="331"/>
      <c r="AY4208" s="331"/>
      <c r="AZ4208" s="331"/>
      <c r="BA4208" s="331"/>
      <c r="BB4208" s="331"/>
      <c r="BC4208" s="331"/>
      <c r="BD4208" s="331"/>
      <c r="BE4208" s="333"/>
      <c r="BF4208" s="330"/>
      <c r="BG4208" s="333"/>
      <c r="BH4208" s="1119"/>
      <c r="BI4208" s="319"/>
      <c r="BJ4208" s="319"/>
      <c r="BK4208" s="319"/>
      <c r="BL4208" s="319"/>
      <c r="BM4208" s="319"/>
      <c r="BN4208" s="319"/>
      <c r="BO4208" s="319"/>
      <c r="BP4208" s="953"/>
      <c r="BQ4208" s="319"/>
      <c r="BR4208" s="319"/>
      <c r="BS4208" s="330"/>
      <c r="BT4208" s="331"/>
      <c r="BU4208" s="920"/>
      <c r="BV4208" s="903"/>
      <c r="BW4208" s="908"/>
      <c r="BX4208" s="908"/>
      <c r="BY4208" s="331"/>
      <c r="BZ4208" s="331"/>
      <c r="CA4208" s="462"/>
      <c r="CB4208" s="319"/>
      <c r="CC4208" s="319"/>
      <c r="CD4208" s="319"/>
      <c r="CE4208" s="319"/>
      <c r="CF4208" s="319"/>
      <c r="CG4208" s="319"/>
      <c r="CH4208" s="318"/>
      <c r="CI4208" s="319"/>
      <c r="CJ4208" s="319"/>
      <c r="CK4208" s="342"/>
      <c r="CL4208" s="333"/>
      <c r="CM4208" s="1079"/>
      <c r="CN4208" s="1005"/>
      <c r="CO4208" s="1005"/>
      <c r="CP4208" s="1005"/>
    </row>
    <row r="4209">
      <c r="A4209" s="1257"/>
      <c r="B4209" s="1113"/>
      <c r="C4209" s="1107"/>
      <c r="D4209" s="103"/>
      <c r="E4209" s="1137"/>
      <c r="F4209" s="112"/>
      <c r="G4209" s="1110"/>
      <c r="H4209" s="1138"/>
      <c r="I4209" s="1138"/>
      <c r="J4209" s="1139"/>
      <c r="K4209" s="1111"/>
      <c r="L4209" s="1112"/>
      <c r="M4209" s="1113"/>
      <c r="N4209" s="110"/>
      <c r="O4209" s="1140"/>
      <c r="P4209" s="1115"/>
      <c r="Q4209" s="1116"/>
      <c r="R4209" s="1141"/>
      <c r="S4209" s="1113"/>
      <c r="T4209" s="1143"/>
      <c r="U4209" s="1108"/>
      <c r="V4209" s="1108"/>
      <c r="W4209" s="1108"/>
      <c r="X4209" s="1108"/>
      <c r="Y4209" s="1108"/>
      <c r="Z4209" s="1114"/>
      <c r="AA4209" s="1114"/>
      <c r="AB4209" s="1114"/>
      <c r="AC4209" s="1117"/>
      <c r="AD4209" s="1115"/>
      <c r="AE4209" s="1115"/>
      <c r="AF4209" s="1115"/>
      <c r="AG4209" s="1115"/>
      <c r="AH4209" s="1115"/>
      <c r="AI4209" s="1115"/>
      <c r="AJ4209" s="1117"/>
      <c r="AK4209" s="1118"/>
      <c r="AL4209" s="1115"/>
      <c r="AM4209" s="1115"/>
      <c r="AN4209" s="1115"/>
      <c r="AO4209" s="1115"/>
      <c r="AP4209" s="1115"/>
      <c r="AQ4209" s="1115"/>
      <c r="AR4209" s="1115"/>
      <c r="AS4209" s="1117"/>
      <c r="AT4209" s="1075"/>
      <c r="AU4209" s="1193"/>
      <c r="AV4209" s="330"/>
      <c r="AW4209" s="331"/>
      <c r="AX4209" s="331"/>
      <c r="AY4209" s="331"/>
      <c r="AZ4209" s="331"/>
      <c r="BA4209" s="331"/>
      <c r="BB4209" s="331"/>
      <c r="BC4209" s="331"/>
      <c r="BD4209" s="331"/>
      <c r="BE4209" s="333"/>
      <c r="BF4209" s="330"/>
      <c r="BG4209" s="333"/>
      <c r="BH4209" s="1119"/>
      <c r="BI4209" s="319"/>
      <c r="BJ4209" s="319"/>
      <c r="BK4209" s="319"/>
      <c r="BL4209" s="319"/>
      <c r="BM4209" s="319"/>
      <c r="BN4209" s="319"/>
      <c r="BO4209" s="319"/>
      <c r="BP4209" s="953"/>
      <c r="BQ4209" s="319"/>
      <c r="BR4209" s="319"/>
      <c r="BS4209" s="330"/>
      <c r="BT4209" s="331"/>
      <c r="BU4209" s="920"/>
      <c r="BV4209" s="903"/>
      <c r="BW4209" s="908"/>
      <c r="BX4209" s="908"/>
      <c r="BY4209" s="331"/>
      <c r="BZ4209" s="331"/>
      <c r="CA4209" s="462"/>
      <c r="CB4209" s="319"/>
      <c r="CC4209" s="319"/>
      <c r="CD4209" s="319"/>
      <c r="CE4209" s="319"/>
      <c r="CF4209" s="319"/>
      <c r="CG4209" s="319"/>
      <c r="CH4209" s="318"/>
      <c r="CI4209" s="319"/>
      <c r="CJ4209" s="319"/>
      <c r="CK4209" s="342"/>
      <c r="CL4209" s="333"/>
      <c r="CM4209" s="1079"/>
      <c r="CN4209" s="1005"/>
      <c r="CO4209" s="1005"/>
      <c r="CP4209" s="1005"/>
    </row>
    <row r="4210">
      <c r="A4210" s="1257"/>
      <c r="B4210" s="1113"/>
      <c r="C4210" s="1107"/>
      <c r="D4210" s="103"/>
      <c r="E4210" s="1137"/>
      <c r="F4210" s="112"/>
      <c r="G4210" s="1110"/>
      <c r="H4210" s="1138"/>
      <c r="I4210" s="1138"/>
      <c r="J4210" s="1139"/>
      <c r="K4210" s="1111"/>
      <c r="L4210" s="1112"/>
      <c r="M4210" s="1113"/>
      <c r="N4210" s="110"/>
      <c r="O4210" s="1140"/>
      <c r="P4210" s="1115"/>
      <c r="Q4210" s="1116"/>
      <c r="R4210" s="1141"/>
      <c r="S4210" s="1113"/>
      <c r="T4210" s="1143"/>
      <c r="U4210" s="1108"/>
      <c r="V4210" s="1108"/>
      <c r="W4210" s="1108"/>
      <c r="X4210" s="1108"/>
      <c r="Y4210" s="1108"/>
      <c r="Z4210" s="1114"/>
      <c r="AA4210" s="1114"/>
      <c r="AB4210" s="1114"/>
      <c r="AC4210" s="1117"/>
      <c r="AD4210" s="1115"/>
      <c r="AE4210" s="1115"/>
      <c r="AF4210" s="1115"/>
      <c r="AG4210" s="1115"/>
      <c r="AH4210" s="1115"/>
      <c r="AI4210" s="1115"/>
      <c r="AJ4210" s="1117"/>
      <c r="AK4210" s="1118"/>
      <c r="AL4210" s="1115"/>
      <c r="AM4210" s="1115"/>
      <c r="AN4210" s="1115"/>
      <c r="AO4210" s="1115"/>
      <c r="AP4210" s="1115"/>
      <c r="AQ4210" s="1115"/>
      <c r="AR4210" s="1115"/>
      <c r="AS4210" s="1117"/>
      <c r="AT4210" s="1075"/>
      <c r="AU4210" s="1193"/>
      <c r="AV4210" s="330"/>
      <c r="AW4210" s="331"/>
      <c r="AX4210" s="331"/>
      <c r="AY4210" s="331"/>
      <c r="AZ4210" s="331"/>
      <c r="BA4210" s="331"/>
      <c r="BB4210" s="331"/>
      <c r="BC4210" s="331"/>
      <c r="BD4210" s="331"/>
      <c r="BE4210" s="333"/>
      <c r="BF4210" s="330"/>
      <c r="BG4210" s="333"/>
      <c r="BH4210" s="1119"/>
      <c r="BI4210" s="319"/>
      <c r="BJ4210" s="319"/>
      <c r="BK4210" s="319"/>
      <c r="BL4210" s="319"/>
      <c r="BM4210" s="319"/>
      <c r="BN4210" s="319"/>
      <c r="BO4210" s="319"/>
      <c r="BP4210" s="953"/>
      <c r="BQ4210" s="319"/>
      <c r="BR4210" s="319"/>
      <c r="BS4210" s="330"/>
      <c r="BT4210" s="331"/>
      <c r="BU4210" s="920"/>
      <c r="BV4210" s="903"/>
      <c r="BW4210" s="908"/>
      <c r="BX4210" s="908"/>
      <c r="BY4210" s="331"/>
      <c r="BZ4210" s="331"/>
      <c r="CA4210" s="462"/>
      <c r="CB4210" s="319"/>
      <c r="CC4210" s="319"/>
      <c r="CD4210" s="319"/>
      <c r="CE4210" s="319"/>
      <c r="CF4210" s="319"/>
      <c r="CG4210" s="319"/>
      <c r="CH4210" s="318"/>
      <c r="CI4210" s="319"/>
      <c r="CJ4210" s="319"/>
      <c r="CK4210" s="342"/>
      <c r="CL4210" s="333"/>
      <c r="CM4210" s="1079"/>
      <c r="CN4210" s="1005"/>
      <c r="CO4210" s="1005"/>
      <c r="CP4210" s="1005"/>
    </row>
    <row r="4211">
      <c r="A4211" s="1257"/>
      <c r="B4211" s="1113"/>
      <c r="C4211" s="1107"/>
      <c r="D4211" s="103"/>
      <c r="E4211" s="1137"/>
      <c r="F4211" s="112"/>
      <c r="G4211" s="1110"/>
      <c r="H4211" s="1138"/>
      <c r="I4211" s="1138"/>
      <c r="J4211" s="1139"/>
      <c r="K4211" s="1111"/>
      <c r="L4211" s="1112"/>
      <c r="M4211" s="1113"/>
      <c r="N4211" s="110"/>
      <c r="O4211" s="1140"/>
      <c r="P4211" s="1115"/>
      <c r="Q4211" s="1116"/>
      <c r="R4211" s="1141"/>
      <c r="S4211" s="1113"/>
      <c r="T4211" s="1143"/>
      <c r="U4211" s="1108"/>
      <c r="V4211" s="1108"/>
      <c r="W4211" s="1108"/>
      <c r="X4211" s="1108"/>
      <c r="Y4211" s="1108"/>
      <c r="Z4211" s="1114"/>
      <c r="AA4211" s="1114"/>
      <c r="AB4211" s="1114"/>
      <c r="AC4211" s="1117"/>
      <c r="AD4211" s="1115"/>
      <c r="AE4211" s="1115"/>
      <c r="AF4211" s="1115"/>
      <c r="AG4211" s="1115"/>
      <c r="AH4211" s="1115"/>
      <c r="AI4211" s="1115"/>
      <c r="AJ4211" s="1117"/>
      <c r="AK4211" s="1118"/>
      <c r="AL4211" s="1115"/>
      <c r="AM4211" s="1115"/>
      <c r="AN4211" s="1115"/>
      <c r="AO4211" s="1115"/>
      <c r="AP4211" s="1115"/>
      <c r="AQ4211" s="1115"/>
      <c r="AR4211" s="1115"/>
      <c r="AS4211" s="1117"/>
      <c r="AT4211" s="1075"/>
      <c r="AU4211" s="1193"/>
      <c r="AV4211" s="330"/>
      <c r="AW4211" s="331"/>
      <c r="AX4211" s="331"/>
      <c r="AY4211" s="331"/>
      <c r="AZ4211" s="331"/>
      <c r="BA4211" s="331"/>
      <c r="BB4211" s="331"/>
      <c r="BC4211" s="331"/>
      <c r="BD4211" s="331"/>
      <c r="BE4211" s="333"/>
      <c r="BF4211" s="330"/>
      <c r="BG4211" s="333"/>
      <c r="BH4211" s="1119"/>
      <c r="BI4211" s="319"/>
      <c r="BJ4211" s="319"/>
      <c r="BK4211" s="319"/>
      <c r="BL4211" s="319"/>
      <c r="BM4211" s="319"/>
      <c r="BN4211" s="319"/>
      <c r="BO4211" s="319"/>
      <c r="BP4211" s="953"/>
      <c r="BQ4211" s="319"/>
      <c r="BR4211" s="319"/>
      <c r="BS4211" s="330"/>
      <c r="BT4211" s="331"/>
      <c r="BU4211" s="920"/>
      <c r="BV4211" s="903"/>
      <c r="BW4211" s="908"/>
      <c r="BX4211" s="908"/>
      <c r="BY4211" s="331"/>
      <c r="BZ4211" s="331"/>
      <c r="CA4211" s="462"/>
      <c r="CB4211" s="319"/>
      <c r="CC4211" s="319"/>
      <c r="CD4211" s="319"/>
      <c r="CE4211" s="319"/>
      <c r="CF4211" s="319"/>
      <c r="CG4211" s="319"/>
      <c r="CH4211" s="318"/>
      <c r="CI4211" s="319"/>
      <c r="CJ4211" s="319"/>
      <c r="CK4211" s="342"/>
      <c r="CL4211" s="333"/>
      <c r="CM4211" s="1079"/>
      <c r="CN4211" s="1005"/>
      <c r="CO4211" s="1005"/>
      <c r="CP4211" s="1005"/>
    </row>
    <row r="4212">
      <c r="A4212" s="1257"/>
      <c r="B4212" s="1113"/>
      <c r="C4212" s="1107"/>
      <c r="D4212" s="103"/>
      <c r="E4212" s="1137"/>
      <c r="F4212" s="112"/>
      <c r="G4212" s="1110"/>
      <c r="H4212" s="1138"/>
      <c r="I4212" s="1138"/>
      <c r="J4212" s="1139"/>
      <c r="K4212" s="1111"/>
      <c r="L4212" s="1112"/>
      <c r="M4212" s="1113"/>
      <c r="N4212" s="110"/>
      <c r="O4212" s="1140"/>
      <c r="P4212" s="1115"/>
      <c r="Q4212" s="1116"/>
      <c r="R4212" s="1141"/>
      <c r="S4212" s="1113"/>
      <c r="T4212" s="1143"/>
      <c r="U4212" s="1108"/>
      <c r="V4212" s="1108"/>
      <c r="W4212" s="1108"/>
      <c r="X4212" s="1108"/>
      <c r="Y4212" s="1108"/>
      <c r="Z4212" s="1114"/>
      <c r="AA4212" s="1114"/>
      <c r="AB4212" s="1114"/>
      <c r="AC4212" s="1117"/>
      <c r="AD4212" s="1115"/>
      <c r="AE4212" s="1115"/>
      <c r="AF4212" s="1115"/>
      <c r="AG4212" s="1115"/>
      <c r="AH4212" s="1115"/>
      <c r="AI4212" s="1115"/>
      <c r="AJ4212" s="1117"/>
      <c r="AK4212" s="1118"/>
      <c r="AL4212" s="1115"/>
      <c r="AM4212" s="1115"/>
      <c r="AN4212" s="1115"/>
      <c r="AO4212" s="1115"/>
      <c r="AP4212" s="1115"/>
      <c r="AQ4212" s="1115"/>
      <c r="AR4212" s="1115"/>
      <c r="AS4212" s="1117"/>
      <c r="AT4212" s="1075"/>
      <c r="AU4212" s="1193"/>
      <c r="AV4212" s="330"/>
      <c r="AW4212" s="331"/>
      <c r="AX4212" s="331"/>
      <c r="AY4212" s="331"/>
      <c r="AZ4212" s="331"/>
      <c r="BA4212" s="331"/>
      <c r="BB4212" s="331"/>
      <c r="BC4212" s="331"/>
      <c r="BD4212" s="331"/>
      <c r="BE4212" s="333"/>
      <c r="BF4212" s="330"/>
      <c r="BG4212" s="333"/>
      <c r="BH4212" s="1119"/>
      <c r="BI4212" s="319"/>
      <c r="BJ4212" s="319"/>
      <c r="BK4212" s="319"/>
      <c r="BL4212" s="319"/>
      <c r="BM4212" s="319"/>
      <c r="BN4212" s="319"/>
      <c r="BO4212" s="319"/>
      <c r="BP4212" s="953"/>
      <c r="BQ4212" s="319"/>
      <c r="BR4212" s="319"/>
      <c r="BS4212" s="330"/>
      <c r="BT4212" s="331"/>
      <c r="BU4212" s="920"/>
      <c r="BV4212" s="903"/>
      <c r="BW4212" s="908"/>
      <c r="BX4212" s="908"/>
      <c r="BY4212" s="331"/>
      <c r="BZ4212" s="331"/>
      <c r="CA4212" s="462"/>
      <c r="CB4212" s="319"/>
      <c r="CC4212" s="319"/>
      <c r="CD4212" s="319"/>
      <c r="CE4212" s="319"/>
      <c r="CF4212" s="319"/>
      <c r="CG4212" s="319"/>
      <c r="CH4212" s="318"/>
      <c r="CI4212" s="319"/>
      <c r="CJ4212" s="319"/>
      <c r="CK4212" s="342"/>
      <c r="CL4212" s="333"/>
      <c r="CM4212" s="1079"/>
      <c r="CN4212" s="1005"/>
      <c r="CO4212" s="1005"/>
      <c r="CP4212" s="1005"/>
    </row>
    <row r="4213">
      <c r="A4213" s="1257"/>
      <c r="B4213" s="1113"/>
      <c r="C4213" s="1107"/>
      <c r="D4213" s="103"/>
      <c r="E4213" s="1137"/>
      <c r="F4213" s="112"/>
      <c r="G4213" s="1110"/>
      <c r="H4213" s="1138"/>
      <c r="I4213" s="1138"/>
      <c r="J4213" s="1139"/>
      <c r="K4213" s="1111"/>
      <c r="L4213" s="1112"/>
      <c r="M4213" s="1113"/>
      <c r="N4213" s="110"/>
      <c r="O4213" s="1140"/>
      <c r="P4213" s="1115"/>
      <c r="Q4213" s="1116"/>
      <c r="R4213" s="1141"/>
      <c r="S4213" s="1113"/>
      <c r="T4213" s="1143"/>
      <c r="U4213" s="1108"/>
      <c r="V4213" s="1108"/>
      <c r="W4213" s="1108"/>
      <c r="X4213" s="1108"/>
      <c r="Y4213" s="1108"/>
      <c r="Z4213" s="1114"/>
      <c r="AA4213" s="1114"/>
      <c r="AB4213" s="1114"/>
      <c r="AC4213" s="1117"/>
      <c r="AD4213" s="1115"/>
      <c r="AE4213" s="1115"/>
      <c r="AF4213" s="1115"/>
      <c r="AG4213" s="1115"/>
      <c r="AH4213" s="1115"/>
      <c r="AI4213" s="1115"/>
      <c r="AJ4213" s="1117"/>
      <c r="AK4213" s="1118"/>
      <c r="AL4213" s="1115"/>
      <c r="AM4213" s="1115"/>
      <c r="AN4213" s="1115"/>
      <c r="AO4213" s="1115"/>
      <c r="AP4213" s="1115"/>
      <c r="AQ4213" s="1115"/>
      <c r="AR4213" s="1115"/>
      <c r="AS4213" s="1117"/>
      <c r="AT4213" s="1075"/>
      <c r="AU4213" s="1193"/>
      <c r="AV4213" s="330"/>
      <c r="AW4213" s="331"/>
      <c r="AX4213" s="331"/>
      <c r="AY4213" s="331"/>
      <c r="AZ4213" s="331"/>
      <c r="BA4213" s="331"/>
      <c r="BB4213" s="331"/>
      <c r="BC4213" s="331"/>
      <c r="BD4213" s="331"/>
      <c r="BE4213" s="333"/>
      <c r="BF4213" s="330"/>
      <c r="BG4213" s="333"/>
      <c r="BH4213" s="1119"/>
      <c r="BI4213" s="319"/>
      <c r="BJ4213" s="319"/>
      <c r="BK4213" s="319"/>
      <c r="BL4213" s="319"/>
      <c r="BM4213" s="319"/>
      <c r="BN4213" s="319"/>
      <c r="BO4213" s="319"/>
      <c r="BP4213" s="953"/>
      <c r="BQ4213" s="319"/>
      <c r="BR4213" s="319"/>
      <c r="BS4213" s="330"/>
      <c r="BT4213" s="331"/>
      <c r="BU4213" s="920"/>
      <c r="BV4213" s="903"/>
      <c r="BW4213" s="908"/>
      <c r="BX4213" s="908"/>
      <c r="BY4213" s="331"/>
      <c r="BZ4213" s="331"/>
      <c r="CA4213" s="462"/>
      <c r="CB4213" s="319"/>
      <c r="CC4213" s="319"/>
      <c r="CD4213" s="319"/>
      <c r="CE4213" s="319"/>
      <c r="CF4213" s="319"/>
      <c r="CG4213" s="319"/>
      <c r="CH4213" s="318"/>
      <c r="CI4213" s="319"/>
      <c r="CJ4213" s="319"/>
      <c r="CK4213" s="342"/>
      <c r="CL4213" s="333"/>
      <c r="CM4213" s="1079"/>
      <c r="CN4213" s="1005"/>
      <c r="CO4213" s="1005"/>
      <c r="CP4213" s="1005"/>
    </row>
    <row r="4214">
      <c r="A4214" s="1257"/>
      <c r="B4214" s="1113"/>
      <c r="C4214" s="1107"/>
      <c r="D4214" s="103"/>
      <c r="E4214" s="1137"/>
      <c r="F4214" s="112"/>
      <c r="G4214" s="1110"/>
      <c r="H4214" s="1138"/>
      <c r="I4214" s="1138"/>
      <c r="J4214" s="1139"/>
      <c r="K4214" s="1111"/>
      <c r="L4214" s="1112"/>
      <c r="M4214" s="1113"/>
      <c r="N4214" s="110"/>
      <c r="O4214" s="1140"/>
      <c r="P4214" s="1115"/>
      <c r="Q4214" s="1116"/>
      <c r="R4214" s="1141"/>
      <c r="S4214" s="1113"/>
      <c r="T4214" s="1143"/>
      <c r="U4214" s="1108"/>
      <c r="V4214" s="1108"/>
      <c r="W4214" s="1108"/>
      <c r="X4214" s="1108"/>
      <c r="Y4214" s="1108"/>
      <c r="Z4214" s="1114"/>
      <c r="AA4214" s="1114"/>
      <c r="AB4214" s="1114"/>
      <c r="AC4214" s="1117"/>
      <c r="AD4214" s="1115"/>
      <c r="AE4214" s="1115"/>
      <c r="AF4214" s="1115"/>
      <c r="AG4214" s="1115"/>
      <c r="AH4214" s="1115"/>
      <c r="AI4214" s="1115"/>
      <c r="AJ4214" s="1117"/>
      <c r="AK4214" s="1118"/>
      <c r="AL4214" s="1115"/>
      <c r="AM4214" s="1115"/>
      <c r="AN4214" s="1115"/>
      <c r="AO4214" s="1115"/>
      <c r="AP4214" s="1115"/>
      <c r="AQ4214" s="1115"/>
      <c r="AR4214" s="1115"/>
      <c r="AS4214" s="1117"/>
      <c r="AT4214" s="1075"/>
      <c r="AU4214" s="1193"/>
      <c r="AV4214" s="330"/>
      <c r="AW4214" s="331"/>
      <c r="AX4214" s="331"/>
      <c r="AY4214" s="331"/>
      <c r="AZ4214" s="331"/>
      <c r="BA4214" s="331"/>
      <c r="BB4214" s="331"/>
      <c r="BC4214" s="331"/>
      <c r="BD4214" s="331"/>
      <c r="BE4214" s="333"/>
      <c r="BF4214" s="330"/>
      <c r="BG4214" s="333"/>
      <c r="BH4214" s="1119"/>
      <c r="BI4214" s="319"/>
      <c r="BJ4214" s="319"/>
      <c r="BK4214" s="319"/>
      <c r="BL4214" s="319"/>
      <c r="BM4214" s="319"/>
      <c r="BN4214" s="319"/>
      <c r="BO4214" s="319"/>
      <c r="BP4214" s="953"/>
      <c r="BQ4214" s="319"/>
      <c r="BR4214" s="319"/>
      <c r="BS4214" s="330"/>
      <c r="BT4214" s="331"/>
      <c r="BU4214" s="920"/>
      <c r="BV4214" s="903"/>
      <c r="BW4214" s="908"/>
      <c r="BX4214" s="908"/>
      <c r="BY4214" s="331"/>
      <c r="BZ4214" s="331"/>
      <c r="CA4214" s="462"/>
      <c r="CB4214" s="319"/>
      <c r="CC4214" s="319"/>
      <c r="CD4214" s="319"/>
      <c r="CE4214" s="319"/>
      <c r="CF4214" s="319"/>
      <c r="CG4214" s="319"/>
      <c r="CH4214" s="318"/>
      <c r="CI4214" s="319"/>
      <c r="CJ4214" s="319"/>
      <c r="CK4214" s="342"/>
      <c r="CL4214" s="333"/>
      <c r="CM4214" s="1079"/>
      <c r="CN4214" s="1005"/>
      <c r="CO4214" s="1005"/>
      <c r="CP4214" s="1005"/>
    </row>
    <row r="4215">
      <c r="A4215" s="1257"/>
      <c r="B4215" s="1113"/>
      <c r="C4215" s="1107"/>
      <c r="D4215" s="103"/>
      <c r="E4215" s="1137"/>
      <c r="F4215" s="112"/>
      <c r="G4215" s="1110"/>
      <c r="H4215" s="1138"/>
      <c r="I4215" s="1138"/>
      <c r="J4215" s="1139"/>
      <c r="K4215" s="1111"/>
      <c r="L4215" s="1112"/>
      <c r="M4215" s="1113"/>
      <c r="N4215" s="110"/>
      <c r="O4215" s="1140"/>
      <c r="P4215" s="1115"/>
      <c r="Q4215" s="1116"/>
      <c r="R4215" s="1141"/>
      <c r="S4215" s="1113"/>
      <c r="T4215" s="1143"/>
      <c r="U4215" s="1108"/>
      <c r="V4215" s="1108"/>
      <c r="W4215" s="1108"/>
      <c r="X4215" s="1108"/>
      <c r="Y4215" s="1108"/>
      <c r="Z4215" s="1114"/>
      <c r="AA4215" s="1114"/>
      <c r="AB4215" s="1114"/>
      <c r="AC4215" s="1117"/>
      <c r="AD4215" s="1115"/>
      <c r="AE4215" s="1115"/>
      <c r="AF4215" s="1115"/>
      <c r="AG4215" s="1115"/>
      <c r="AH4215" s="1115"/>
      <c r="AI4215" s="1115"/>
      <c r="AJ4215" s="1117"/>
      <c r="AK4215" s="1118"/>
      <c r="AL4215" s="1115"/>
      <c r="AM4215" s="1115"/>
      <c r="AN4215" s="1115"/>
      <c r="AO4215" s="1115"/>
      <c r="AP4215" s="1115"/>
      <c r="AQ4215" s="1115"/>
      <c r="AR4215" s="1115"/>
      <c r="AS4215" s="1117"/>
      <c r="AT4215" s="1075"/>
      <c r="AU4215" s="1193"/>
      <c r="AV4215" s="330"/>
      <c r="AW4215" s="331"/>
      <c r="AX4215" s="331"/>
      <c r="AY4215" s="331"/>
      <c r="AZ4215" s="331"/>
      <c r="BA4215" s="331"/>
      <c r="BB4215" s="331"/>
      <c r="BC4215" s="331"/>
      <c r="BD4215" s="331"/>
      <c r="BE4215" s="333"/>
      <c r="BF4215" s="330"/>
      <c r="BG4215" s="333"/>
      <c r="BH4215" s="1119"/>
      <c r="BI4215" s="319"/>
      <c r="BJ4215" s="319"/>
      <c r="BK4215" s="319"/>
      <c r="BL4215" s="319"/>
      <c r="BM4215" s="319"/>
      <c r="BN4215" s="319"/>
      <c r="BO4215" s="319"/>
      <c r="BP4215" s="953"/>
      <c r="BQ4215" s="319"/>
      <c r="BR4215" s="319"/>
      <c r="BS4215" s="330"/>
      <c r="BT4215" s="331"/>
      <c r="BU4215" s="920"/>
      <c r="BV4215" s="903"/>
      <c r="BW4215" s="908"/>
      <c r="BX4215" s="908"/>
      <c r="BY4215" s="331"/>
      <c r="BZ4215" s="331"/>
      <c r="CA4215" s="462"/>
      <c r="CB4215" s="319"/>
      <c r="CC4215" s="319"/>
      <c r="CD4215" s="319"/>
      <c r="CE4215" s="319"/>
      <c r="CF4215" s="319"/>
      <c r="CG4215" s="319"/>
      <c r="CH4215" s="318"/>
      <c r="CI4215" s="319"/>
      <c r="CJ4215" s="319"/>
      <c r="CK4215" s="342"/>
      <c r="CL4215" s="333"/>
      <c r="CM4215" s="1079"/>
      <c r="CN4215" s="1005"/>
      <c r="CO4215" s="1005"/>
      <c r="CP4215" s="1005"/>
    </row>
    <row r="4216">
      <c r="A4216" s="1257"/>
      <c r="B4216" s="1113"/>
      <c r="C4216" s="1107"/>
      <c r="D4216" s="103"/>
      <c r="E4216" s="1137"/>
      <c r="F4216" s="112"/>
      <c r="G4216" s="1110"/>
      <c r="H4216" s="1138"/>
      <c r="I4216" s="1138"/>
      <c r="J4216" s="1139"/>
      <c r="K4216" s="1111"/>
      <c r="L4216" s="1112"/>
      <c r="M4216" s="1113"/>
      <c r="N4216" s="110"/>
      <c r="O4216" s="1140"/>
      <c r="P4216" s="1115"/>
      <c r="Q4216" s="1116"/>
      <c r="R4216" s="1141"/>
      <c r="S4216" s="1113"/>
      <c r="T4216" s="1143"/>
      <c r="U4216" s="1108"/>
      <c r="V4216" s="1108"/>
      <c r="W4216" s="1108"/>
      <c r="X4216" s="1108"/>
      <c r="Y4216" s="1108"/>
      <c r="Z4216" s="1114"/>
      <c r="AA4216" s="1114"/>
      <c r="AB4216" s="1114"/>
      <c r="AC4216" s="1117"/>
      <c r="AD4216" s="1115"/>
      <c r="AE4216" s="1115"/>
      <c r="AF4216" s="1115"/>
      <c r="AG4216" s="1115"/>
      <c r="AH4216" s="1115"/>
      <c r="AI4216" s="1115"/>
      <c r="AJ4216" s="1117"/>
      <c r="AK4216" s="1118"/>
      <c r="AL4216" s="1115"/>
      <c r="AM4216" s="1115"/>
      <c r="AN4216" s="1115"/>
      <c r="AO4216" s="1115"/>
      <c r="AP4216" s="1115"/>
      <c r="AQ4216" s="1115"/>
      <c r="AR4216" s="1115"/>
      <c r="AS4216" s="1117"/>
      <c r="AT4216" s="1075"/>
      <c r="AU4216" s="1193"/>
      <c r="AV4216" s="330"/>
      <c r="AW4216" s="331"/>
      <c r="AX4216" s="331"/>
      <c r="AY4216" s="331"/>
      <c r="AZ4216" s="331"/>
      <c r="BA4216" s="331"/>
      <c r="BB4216" s="331"/>
      <c r="BC4216" s="331"/>
      <c r="BD4216" s="331"/>
      <c r="BE4216" s="333"/>
      <c r="BF4216" s="330"/>
      <c r="BG4216" s="333"/>
      <c r="BH4216" s="1119"/>
      <c r="BI4216" s="319"/>
      <c r="BJ4216" s="319"/>
      <c r="BK4216" s="319"/>
      <c r="BL4216" s="319"/>
      <c r="BM4216" s="319"/>
      <c r="BN4216" s="319"/>
      <c r="BO4216" s="319"/>
      <c r="BP4216" s="953"/>
      <c r="BQ4216" s="319"/>
      <c r="BR4216" s="319"/>
      <c r="BS4216" s="330"/>
      <c r="BT4216" s="331"/>
      <c r="BU4216" s="920"/>
      <c r="BV4216" s="903"/>
      <c r="BW4216" s="908"/>
      <c r="BX4216" s="908"/>
      <c r="BY4216" s="331"/>
      <c r="BZ4216" s="331"/>
      <c r="CA4216" s="462"/>
      <c r="CB4216" s="319"/>
      <c r="CC4216" s="319"/>
      <c r="CD4216" s="319"/>
      <c r="CE4216" s="319"/>
      <c r="CF4216" s="319"/>
      <c r="CG4216" s="319"/>
      <c r="CH4216" s="318"/>
      <c r="CI4216" s="319"/>
      <c r="CJ4216" s="319"/>
      <c r="CK4216" s="342"/>
      <c r="CL4216" s="333"/>
      <c r="CM4216" s="1079"/>
      <c r="CN4216" s="1005"/>
      <c r="CO4216" s="1005"/>
      <c r="CP4216" s="1005"/>
    </row>
    <row r="4217">
      <c r="A4217" s="1257"/>
      <c r="B4217" s="1113"/>
      <c r="C4217" s="1107"/>
      <c r="D4217" s="103"/>
      <c r="E4217" s="1137"/>
      <c r="F4217" s="112"/>
      <c r="G4217" s="1110"/>
      <c r="H4217" s="1138"/>
      <c r="I4217" s="1138"/>
      <c r="J4217" s="1139"/>
      <c r="K4217" s="1111"/>
      <c r="L4217" s="1112"/>
      <c r="M4217" s="1113"/>
      <c r="N4217" s="110"/>
      <c r="O4217" s="1140"/>
      <c r="P4217" s="1115"/>
      <c r="Q4217" s="1116"/>
      <c r="R4217" s="1141"/>
      <c r="S4217" s="1113"/>
      <c r="T4217" s="1143"/>
      <c r="U4217" s="1108"/>
      <c r="V4217" s="1108"/>
      <c r="W4217" s="1108"/>
      <c r="X4217" s="1108"/>
      <c r="Y4217" s="1108"/>
      <c r="Z4217" s="1114"/>
      <c r="AA4217" s="1114"/>
      <c r="AB4217" s="1114"/>
      <c r="AC4217" s="1117"/>
      <c r="AD4217" s="1115"/>
      <c r="AE4217" s="1115"/>
      <c r="AF4217" s="1115"/>
      <c r="AG4217" s="1115"/>
      <c r="AH4217" s="1115"/>
      <c r="AI4217" s="1115"/>
      <c r="AJ4217" s="1117"/>
      <c r="AK4217" s="1118"/>
      <c r="AL4217" s="1115"/>
      <c r="AM4217" s="1115"/>
      <c r="AN4217" s="1115"/>
      <c r="AO4217" s="1115"/>
      <c r="AP4217" s="1115"/>
      <c r="AQ4217" s="1115"/>
      <c r="AR4217" s="1115"/>
      <c r="AS4217" s="1117"/>
      <c r="AT4217" s="1075"/>
      <c r="AU4217" s="1193"/>
      <c r="AV4217" s="330"/>
      <c r="AW4217" s="331"/>
      <c r="AX4217" s="331"/>
      <c r="AY4217" s="331"/>
      <c r="AZ4217" s="331"/>
      <c r="BA4217" s="331"/>
      <c r="BB4217" s="331"/>
      <c r="BC4217" s="331"/>
      <c r="BD4217" s="331"/>
      <c r="BE4217" s="333"/>
      <c r="BF4217" s="330"/>
      <c r="BG4217" s="333"/>
      <c r="BH4217" s="1119"/>
      <c r="BI4217" s="319"/>
      <c r="BJ4217" s="319"/>
      <c r="BK4217" s="319"/>
      <c r="BL4217" s="319"/>
      <c r="BM4217" s="319"/>
      <c r="BN4217" s="319"/>
      <c r="BO4217" s="319"/>
      <c r="BP4217" s="953"/>
      <c r="BQ4217" s="319"/>
      <c r="BR4217" s="319"/>
      <c r="BS4217" s="330"/>
      <c r="BT4217" s="331"/>
      <c r="BU4217" s="920"/>
      <c r="BV4217" s="903"/>
      <c r="BW4217" s="908"/>
      <c r="BX4217" s="908"/>
      <c r="BY4217" s="331"/>
      <c r="BZ4217" s="331"/>
      <c r="CA4217" s="462"/>
      <c r="CB4217" s="319"/>
      <c r="CC4217" s="319"/>
      <c r="CD4217" s="319"/>
      <c r="CE4217" s="319"/>
      <c r="CF4217" s="319"/>
      <c r="CG4217" s="319"/>
      <c r="CH4217" s="318"/>
      <c r="CI4217" s="319"/>
      <c r="CJ4217" s="319"/>
      <c r="CK4217" s="342"/>
      <c r="CL4217" s="333"/>
      <c r="CM4217" s="1079"/>
      <c r="CN4217" s="1005"/>
      <c r="CO4217" s="1005"/>
      <c r="CP4217" s="1005"/>
    </row>
    <row r="4218">
      <c r="A4218" s="1257"/>
      <c r="B4218" s="1113"/>
      <c r="C4218" s="1107"/>
      <c r="D4218" s="103"/>
      <c r="E4218" s="1137"/>
      <c r="F4218" s="112"/>
      <c r="G4218" s="1110"/>
      <c r="H4218" s="1138"/>
      <c r="I4218" s="1138"/>
      <c r="J4218" s="1139"/>
      <c r="K4218" s="1111"/>
      <c r="L4218" s="1112"/>
      <c r="M4218" s="1113"/>
      <c r="N4218" s="110"/>
      <c r="O4218" s="1140"/>
      <c r="P4218" s="1115"/>
      <c r="Q4218" s="1116"/>
      <c r="R4218" s="1141"/>
      <c r="S4218" s="1113"/>
      <c r="T4218" s="1143"/>
      <c r="U4218" s="1108"/>
      <c r="V4218" s="1108"/>
      <c r="W4218" s="1108"/>
      <c r="X4218" s="1108"/>
      <c r="Y4218" s="1108"/>
      <c r="Z4218" s="1114"/>
      <c r="AA4218" s="1114"/>
      <c r="AB4218" s="1114"/>
      <c r="AC4218" s="1117"/>
      <c r="AD4218" s="1115"/>
      <c r="AE4218" s="1115"/>
      <c r="AF4218" s="1115"/>
      <c r="AG4218" s="1115"/>
      <c r="AH4218" s="1115"/>
      <c r="AI4218" s="1115"/>
      <c r="AJ4218" s="1117"/>
      <c r="AK4218" s="1118"/>
      <c r="AL4218" s="1115"/>
      <c r="AM4218" s="1115"/>
      <c r="AN4218" s="1115"/>
      <c r="AO4218" s="1115"/>
      <c r="AP4218" s="1115"/>
      <c r="AQ4218" s="1115"/>
      <c r="AR4218" s="1115"/>
      <c r="AS4218" s="1117"/>
      <c r="AT4218" s="1075"/>
      <c r="AU4218" s="1193"/>
      <c r="AV4218" s="330"/>
      <c r="AW4218" s="331"/>
      <c r="AX4218" s="331"/>
      <c r="AY4218" s="331"/>
      <c r="AZ4218" s="331"/>
      <c r="BA4218" s="331"/>
      <c r="BB4218" s="331"/>
      <c r="BC4218" s="331"/>
      <c r="BD4218" s="331"/>
      <c r="BE4218" s="333"/>
      <c r="BF4218" s="330"/>
      <c r="BG4218" s="333"/>
      <c r="BH4218" s="1119"/>
      <c r="BI4218" s="319"/>
      <c r="BJ4218" s="319"/>
      <c r="BK4218" s="319"/>
      <c r="BL4218" s="319"/>
      <c r="BM4218" s="319"/>
      <c r="BN4218" s="319"/>
      <c r="BO4218" s="319"/>
      <c r="BP4218" s="953"/>
      <c r="BQ4218" s="319"/>
      <c r="BR4218" s="319"/>
      <c r="BS4218" s="330"/>
      <c r="BT4218" s="331"/>
      <c r="BU4218" s="920"/>
      <c r="BV4218" s="903"/>
      <c r="BW4218" s="908"/>
      <c r="BX4218" s="908"/>
      <c r="BY4218" s="331"/>
      <c r="BZ4218" s="331"/>
      <c r="CA4218" s="462"/>
      <c r="CB4218" s="319"/>
      <c r="CC4218" s="319"/>
      <c r="CD4218" s="319"/>
      <c r="CE4218" s="319"/>
      <c r="CF4218" s="319"/>
      <c r="CG4218" s="319"/>
      <c r="CH4218" s="318"/>
      <c r="CI4218" s="319"/>
      <c r="CJ4218" s="319"/>
      <c r="CK4218" s="342"/>
      <c r="CL4218" s="333"/>
      <c r="CM4218" s="1079"/>
      <c r="CN4218" s="1005"/>
      <c r="CO4218" s="1005"/>
      <c r="CP4218" s="1005"/>
    </row>
    <row r="4219">
      <c r="A4219" s="1257"/>
      <c r="B4219" s="1113"/>
      <c r="C4219" s="1107"/>
      <c r="D4219" s="103"/>
      <c r="E4219" s="1137"/>
      <c r="F4219" s="112"/>
      <c r="G4219" s="1110"/>
      <c r="H4219" s="1138"/>
      <c r="I4219" s="1138"/>
      <c r="J4219" s="1139"/>
      <c r="K4219" s="1111"/>
      <c r="L4219" s="1112"/>
      <c r="M4219" s="1113"/>
      <c r="N4219" s="110"/>
      <c r="O4219" s="1140"/>
      <c r="P4219" s="1115"/>
      <c r="Q4219" s="1116"/>
      <c r="R4219" s="1141"/>
      <c r="S4219" s="1113"/>
      <c r="T4219" s="1143"/>
      <c r="U4219" s="1108"/>
      <c r="V4219" s="1108"/>
      <c r="W4219" s="1108"/>
      <c r="X4219" s="1108"/>
      <c r="Y4219" s="1108"/>
      <c r="Z4219" s="1114"/>
      <c r="AA4219" s="1114"/>
      <c r="AB4219" s="1114"/>
      <c r="AC4219" s="1117"/>
      <c r="AD4219" s="1115"/>
      <c r="AE4219" s="1115"/>
      <c r="AF4219" s="1115"/>
      <c r="AG4219" s="1115"/>
      <c r="AH4219" s="1115"/>
      <c r="AI4219" s="1115"/>
      <c r="AJ4219" s="1117"/>
      <c r="AK4219" s="1118"/>
      <c r="AL4219" s="1115"/>
      <c r="AM4219" s="1115"/>
      <c r="AN4219" s="1115"/>
      <c r="AO4219" s="1115"/>
      <c r="AP4219" s="1115"/>
      <c r="AQ4219" s="1115"/>
      <c r="AR4219" s="1115"/>
      <c r="AS4219" s="1117"/>
      <c r="AT4219" s="1075"/>
      <c r="AU4219" s="1193"/>
      <c r="AV4219" s="330"/>
      <c r="AW4219" s="331"/>
      <c r="AX4219" s="331"/>
      <c r="AY4219" s="331"/>
      <c r="AZ4219" s="331"/>
      <c r="BA4219" s="331"/>
      <c r="BB4219" s="331"/>
      <c r="BC4219" s="331"/>
      <c r="BD4219" s="331"/>
      <c r="BE4219" s="333"/>
      <c r="BF4219" s="330"/>
      <c r="BG4219" s="333"/>
      <c r="BH4219" s="1119"/>
      <c r="BI4219" s="319"/>
      <c r="BJ4219" s="319"/>
      <c r="BK4219" s="319"/>
      <c r="BL4219" s="319"/>
      <c r="BM4219" s="319"/>
      <c r="BN4219" s="319"/>
      <c r="BO4219" s="319"/>
      <c r="BP4219" s="953"/>
      <c r="BQ4219" s="319"/>
      <c r="BR4219" s="319"/>
      <c r="BS4219" s="330"/>
      <c r="BT4219" s="331"/>
      <c r="BU4219" s="920"/>
      <c r="BV4219" s="903"/>
      <c r="BW4219" s="908"/>
      <c r="BX4219" s="908"/>
      <c r="BY4219" s="331"/>
      <c r="BZ4219" s="331"/>
      <c r="CA4219" s="462"/>
      <c r="CB4219" s="319"/>
      <c r="CC4219" s="319"/>
      <c r="CD4219" s="319"/>
      <c r="CE4219" s="319"/>
      <c r="CF4219" s="319"/>
      <c r="CG4219" s="319"/>
      <c r="CH4219" s="318"/>
      <c r="CI4219" s="319"/>
      <c r="CJ4219" s="319"/>
      <c r="CK4219" s="342"/>
      <c r="CL4219" s="333"/>
      <c r="CM4219" s="1079"/>
      <c r="CN4219" s="1005"/>
      <c r="CO4219" s="1005"/>
      <c r="CP4219" s="1005"/>
    </row>
    <row r="4220">
      <c r="A4220" s="1257"/>
      <c r="B4220" s="1113"/>
      <c r="C4220" s="1107"/>
      <c r="D4220" s="103"/>
      <c r="E4220" s="1137"/>
      <c r="F4220" s="112"/>
      <c r="G4220" s="1110"/>
      <c r="H4220" s="1138"/>
      <c r="I4220" s="1138"/>
      <c r="J4220" s="1139"/>
      <c r="K4220" s="1111"/>
      <c r="L4220" s="1112"/>
      <c r="M4220" s="1113"/>
      <c r="N4220" s="110"/>
      <c r="O4220" s="1140"/>
      <c r="P4220" s="1115"/>
      <c r="Q4220" s="1116"/>
      <c r="R4220" s="1141"/>
      <c r="S4220" s="1113"/>
      <c r="T4220" s="1143"/>
      <c r="U4220" s="1108"/>
      <c r="V4220" s="1108"/>
      <c r="W4220" s="1108"/>
      <c r="X4220" s="1108"/>
      <c r="Y4220" s="1108"/>
      <c r="Z4220" s="1114"/>
      <c r="AA4220" s="1114"/>
      <c r="AB4220" s="1114"/>
      <c r="AC4220" s="1117"/>
      <c r="AD4220" s="1115"/>
      <c r="AE4220" s="1115"/>
      <c r="AF4220" s="1115"/>
      <c r="AG4220" s="1115"/>
      <c r="AH4220" s="1115"/>
      <c r="AI4220" s="1115"/>
      <c r="AJ4220" s="1117"/>
      <c r="AK4220" s="1118"/>
      <c r="AL4220" s="1115"/>
      <c r="AM4220" s="1115"/>
      <c r="AN4220" s="1115"/>
      <c r="AO4220" s="1115"/>
      <c r="AP4220" s="1115"/>
      <c r="AQ4220" s="1115"/>
      <c r="AR4220" s="1115"/>
      <c r="AS4220" s="1117"/>
      <c r="AT4220" s="1075"/>
      <c r="AU4220" s="1193"/>
      <c r="AV4220" s="330"/>
      <c r="AW4220" s="331"/>
      <c r="AX4220" s="331"/>
      <c r="AY4220" s="331"/>
      <c r="AZ4220" s="331"/>
      <c r="BA4220" s="331"/>
      <c r="BB4220" s="331"/>
      <c r="BC4220" s="331"/>
      <c r="BD4220" s="331"/>
      <c r="BE4220" s="333"/>
      <c r="BF4220" s="330"/>
      <c r="BG4220" s="333"/>
      <c r="BH4220" s="1119"/>
      <c r="BI4220" s="319"/>
      <c r="BJ4220" s="319"/>
      <c r="BK4220" s="319"/>
      <c r="BL4220" s="319"/>
      <c r="BM4220" s="319"/>
      <c r="BN4220" s="319"/>
      <c r="BO4220" s="319"/>
      <c r="BP4220" s="953"/>
      <c r="BQ4220" s="319"/>
      <c r="BR4220" s="319"/>
      <c r="BS4220" s="330"/>
      <c r="BT4220" s="331"/>
      <c r="BU4220" s="920"/>
      <c r="BV4220" s="903"/>
      <c r="BW4220" s="908"/>
      <c r="BX4220" s="908"/>
      <c r="BY4220" s="331"/>
      <c r="BZ4220" s="331"/>
      <c r="CA4220" s="462"/>
      <c r="CB4220" s="319"/>
      <c r="CC4220" s="319"/>
      <c r="CD4220" s="319"/>
      <c r="CE4220" s="319"/>
      <c r="CF4220" s="319"/>
      <c r="CG4220" s="319"/>
      <c r="CH4220" s="318"/>
      <c r="CI4220" s="319"/>
      <c r="CJ4220" s="319"/>
      <c r="CK4220" s="342"/>
      <c r="CL4220" s="333"/>
      <c r="CM4220" s="1079"/>
      <c r="CN4220" s="1005"/>
      <c r="CO4220" s="1005"/>
      <c r="CP4220" s="1005"/>
    </row>
    <row r="4221">
      <c r="A4221" s="1257"/>
      <c r="B4221" s="1113"/>
      <c r="C4221" s="1107"/>
      <c r="D4221" s="103"/>
      <c r="E4221" s="1137"/>
      <c r="F4221" s="112"/>
      <c r="G4221" s="1110"/>
      <c r="H4221" s="1138"/>
      <c r="I4221" s="1138"/>
      <c r="J4221" s="1139"/>
      <c r="K4221" s="1111"/>
      <c r="L4221" s="1112"/>
      <c r="M4221" s="1113"/>
      <c r="N4221" s="110"/>
      <c r="O4221" s="1140"/>
      <c r="P4221" s="1115"/>
      <c r="Q4221" s="1116"/>
      <c r="R4221" s="1141"/>
      <c r="S4221" s="1113"/>
      <c r="T4221" s="1143"/>
      <c r="U4221" s="1108"/>
      <c r="V4221" s="1108"/>
      <c r="W4221" s="1108"/>
      <c r="X4221" s="1108"/>
      <c r="Y4221" s="1108"/>
      <c r="Z4221" s="1114"/>
      <c r="AA4221" s="1114"/>
      <c r="AB4221" s="1114"/>
      <c r="AC4221" s="1117"/>
      <c r="AD4221" s="1115"/>
      <c r="AE4221" s="1115"/>
      <c r="AF4221" s="1115"/>
      <c r="AG4221" s="1115"/>
      <c r="AH4221" s="1115"/>
      <c r="AI4221" s="1115"/>
      <c r="AJ4221" s="1117"/>
      <c r="AK4221" s="1118"/>
      <c r="AL4221" s="1115"/>
      <c r="AM4221" s="1115"/>
      <c r="AN4221" s="1115"/>
      <c r="AO4221" s="1115"/>
      <c r="AP4221" s="1115"/>
      <c r="AQ4221" s="1115"/>
      <c r="AR4221" s="1115"/>
      <c r="AS4221" s="1117"/>
      <c r="AT4221" s="1075"/>
      <c r="AU4221" s="1193"/>
      <c r="AV4221" s="330"/>
      <c r="AW4221" s="331"/>
      <c r="AX4221" s="331"/>
      <c r="AY4221" s="331"/>
      <c r="AZ4221" s="331"/>
      <c r="BA4221" s="331"/>
      <c r="BB4221" s="331"/>
      <c r="BC4221" s="331"/>
      <c r="BD4221" s="331"/>
      <c r="BE4221" s="333"/>
      <c r="BF4221" s="330"/>
      <c r="BG4221" s="333"/>
      <c r="BH4221" s="1119"/>
      <c r="BI4221" s="319"/>
      <c r="BJ4221" s="319"/>
      <c r="BK4221" s="319"/>
      <c r="BL4221" s="319"/>
      <c r="BM4221" s="319"/>
      <c r="BN4221" s="319"/>
      <c r="BO4221" s="319"/>
      <c r="BP4221" s="953"/>
      <c r="BQ4221" s="319"/>
      <c r="BR4221" s="319"/>
      <c r="BS4221" s="330"/>
      <c r="BT4221" s="331"/>
      <c r="BU4221" s="920"/>
      <c r="BV4221" s="903"/>
      <c r="BW4221" s="908"/>
      <c r="BX4221" s="908"/>
      <c r="BY4221" s="331"/>
      <c r="BZ4221" s="331"/>
      <c r="CA4221" s="462"/>
      <c r="CB4221" s="319"/>
      <c r="CC4221" s="319"/>
      <c r="CD4221" s="319"/>
      <c r="CE4221" s="319"/>
      <c r="CF4221" s="319"/>
      <c r="CG4221" s="319"/>
      <c r="CH4221" s="318"/>
      <c r="CI4221" s="319"/>
      <c r="CJ4221" s="319"/>
      <c r="CK4221" s="342"/>
      <c r="CL4221" s="333"/>
      <c r="CM4221" s="1079"/>
      <c r="CN4221" s="1005"/>
      <c r="CO4221" s="1005"/>
      <c r="CP4221" s="1005"/>
    </row>
    <row r="4222">
      <c r="A4222" s="1257"/>
      <c r="B4222" s="1113"/>
      <c r="C4222" s="1107"/>
      <c r="D4222" s="103"/>
      <c r="E4222" s="1137"/>
      <c r="F4222" s="112"/>
      <c r="G4222" s="1110"/>
      <c r="H4222" s="1138"/>
      <c r="I4222" s="1138"/>
      <c r="J4222" s="1139"/>
      <c r="K4222" s="1111"/>
      <c r="L4222" s="1112"/>
      <c r="M4222" s="1113"/>
      <c r="N4222" s="110"/>
      <c r="O4222" s="1140"/>
      <c r="P4222" s="1115"/>
      <c r="Q4222" s="1116"/>
      <c r="R4222" s="1141"/>
      <c r="S4222" s="1113"/>
      <c r="T4222" s="1143"/>
      <c r="U4222" s="1108"/>
      <c r="V4222" s="1108"/>
      <c r="W4222" s="1108"/>
      <c r="X4222" s="1108"/>
      <c r="Y4222" s="1108"/>
      <c r="Z4222" s="1114"/>
      <c r="AA4222" s="1114"/>
      <c r="AB4222" s="1114"/>
      <c r="AC4222" s="1117"/>
      <c r="AD4222" s="1115"/>
      <c r="AE4222" s="1115"/>
      <c r="AF4222" s="1115"/>
      <c r="AG4222" s="1115"/>
      <c r="AH4222" s="1115"/>
      <c r="AI4222" s="1115"/>
      <c r="AJ4222" s="1117"/>
      <c r="AK4222" s="1118"/>
      <c r="AL4222" s="1115"/>
      <c r="AM4222" s="1115"/>
      <c r="AN4222" s="1115"/>
      <c r="AO4222" s="1115"/>
      <c r="AP4222" s="1115"/>
      <c r="AQ4222" s="1115"/>
      <c r="AR4222" s="1115"/>
      <c r="AS4222" s="1117"/>
      <c r="AT4222" s="1075"/>
      <c r="AU4222" s="1193"/>
      <c r="AV4222" s="330"/>
      <c r="AW4222" s="331"/>
      <c r="AX4222" s="331"/>
      <c r="AY4222" s="331"/>
      <c r="AZ4222" s="331"/>
      <c r="BA4222" s="331"/>
      <c r="BB4222" s="331"/>
      <c r="BC4222" s="331"/>
      <c r="BD4222" s="331"/>
      <c r="BE4222" s="333"/>
      <c r="BF4222" s="330"/>
      <c r="BG4222" s="333"/>
      <c r="BH4222" s="1119"/>
      <c r="BI4222" s="319"/>
      <c r="BJ4222" s="319"/>
      <c r="BK4222" s="319"/>
      <c r="BL4222" s="319"/>
      <c r="BM4222" s="319"/>
      <c r="BN4222" s="319"/>
      <c r="BO4222" s="319"/>
      <c r="BP4222" s="953"/>
      <c r="BQ4222" s="319"/>
      <c r="BR4222" s="319"/>
      <c r="BS4222" s="330"/>
      <c r="BT4222" s="331"/>
      <c r="BU4222" s="920"/>
      <c r="BV4222" s="903"/>
      <c r="BW4222" s="908"/>
      <c r="BX4222" s="908"/>
      <c r="BY4222" s="331"/>
      <c r="BZ4222" s="331"/>
      <c r="CA4222" s="462"/>
      <c r="CB4222" s="319"/>
      <c r="CC4222" s="319"/>
      <c r="CD4222" s="319"/>
      <c r="CE4222" s="319"/>
      <c r="CF4222" s="319"/>
      <c r="CG4222" s="319"/>
      <c r="CH4222" s="318"/>
      <c r="CI4222" s="319"/>
      <c r="CJ4222" s="319"/>
      <c r="CK4222" s="342"/>
      <c r="CL4222" s="333"/>
      <c r="CM4222" s="1079"/>
      <c r="CN4222" s="1005"/>
      <c r="CO4222" s="1005"/>
      <c r="CP4222" s="1005"/>
    </row>
    <row r="4223">
      <c r="A4223" s="1257"/>
      <c r="B4223" s="1113"/>
      <c r="C4223" s="1107"/>
      <c r="D4223" s="103"/>
      <c r="E4223" s="1137"/>
      <c r="F4223" s="112"/>
      <c r="G4223" s="1110"/>
      <c r="H4223" s="1138"/>
      <c r="I4223" s="1138"/>
      <c r="J4223" s="1139"/>
      <c r="K4223" s="1111"/>
      <c r="L4223" s="1112"/>
      <c r="M4223" s="1113"/>
      <c r="N4223" s="110"/>
      <c r="O4223" s="1140"/>
      <c r="P4223" s="1115"/>
      <c r="Q4223" s="1116"/>
      <c r="R4223" s="1141"/>
      <c r="S4223" s="1113"/>
      <c r="T4223" s="1143"/>
      <c r="U4223" s="1108"/>
      <c r="V4223" s="1108"/>
      <c r="W4223" s="1108"/>
      <c r="X4223" s="1108"/>
      <c r="Y4223" s="1108"/>
      <c r="Z4223" s="1114"/>
      <c r="AA4223" s="1114"/>
      <c r="AB4223" s="1114"/>
      <c r="AC4223" s="1117"/>
      <c r="AD4223" s="1115"/>
      <c r="AE4223" s="1115"/>
      <c r="AF4223" s="1115"/>
      <c r="AG4223" s="1115"/>
      <c r="AH4223" s="1115"/>
      <c r="AI4223" s="1115"/>
      <c r="AJ4223" s="1117"/>
      <c r="AK4223" s="1118"/>
      <c r="AL4223" s="1115"/>
      <c r="AM4223" s="1115"/>
      <c r="AN4223" s="1115"/>
      <c r="AO4223" s="1115"/>
      <c r="AP4223" s="1115"/>
      <c r="AQ4223" s="1115"/>
      <c r="AR4223" s="1115"/>
      <c r="AS4223" s="1117"/>
      <c r="AT4223" s="1075"/>
      <c r="AU4223" s="1193"/>
      <c r="AV4223" s="330"/>
      <c r="AW4223" s="331"/>
      <c r="AX4223" s="331"/>
      <c r="AY4223" s="331"/>
      <c r="AZ4223" s="331"/>
      <c r="BA4223" s="331"/>
      <c r="BB4223" s="331"/>
      <c r="BC4223" s="331"/>
      <c r="BD4223" s="331"/>
      <c r="BE4223" s="333"/>
      <c r="BF4223" s="330"/>
      <c r="BG4223" s="333"/>
      <c r="BH4223" s="1119"/>
      <c r="BI4223" s="319"/>
      <c r="BJ4223" s="319"/>
      <c r="BK4223" s="319"/>
      <c r="BL4223" s="319"/>
      <c r="BM4223" s="319"/>
      <c r="BN4223" s="319"/>
      <c r="BO4223" s="319"/>
      <c r="BP4223" s="953"/>
      <c r="BQ4223" s="319"/>
      <c r="BR4223" s="319"/>
      <c r="BS4223" s="330"/>
      <c r="BT4223" s="331"/>
      <c r="BU4223" s="920"/>
      <c r="BV4223" s="903"/>
      <c r="BW4223" s="908"/>
      <c r="BX4223" s="908"/>
      <c r="BY4223" s="331"/>
      <c r="BZ4223" s="331"/>
      <c r="CA4223" s="462"/>
      <c r="CB4223" s="319"/>
      <c r="CC4223" s="319"/>
      <c r="CD4223" s="319"/>
      <c r="CE4223" s="319"/>
      <c r="CF4223" s="319"/>
      <c r="CG4223" s="319"/>
      <c r="CH4223" s="318"/>
      <c r="CI4223" s="319"/>
      <c r="CJ4223" s="319"/>
      <c r="CK4223" s="342"/>
      <c r="CL4223" s="333"/>
      <c r="CM4223" s="1079"/>
      <c r="CN4223" s="1005"/>
      <c r="CO4223" s="1005"/>
      <c r="CP4223" s="1005"/>
    </row>
    <row r="4224">
      <c r="A4224" s="1257"/>
      <c r="B4224" s="1113"/>
      <c r="C4224" s="1107"/>
      <c r="D4224" s="103"/>
      <c r="E4224" s="1137"/>
      <c r="F4224" s="112"/>
      <c r="G4224" s="1110"/>
      <c r="H4224" s="1138"/>
      <c r="I4224" s="1138"/>
      <c r="J4224" s="1139"/>
      <c r="K4224" s="1111"/>
      <c r="L4224" s="1112"/>
      <c r="M4224" s="1113"/>
      <c r="N4224" s="110"/>
      <c r="O4224" s="1140"/>
      <c r="P4224" s="1115"/>
      <c r="Q4224" s="1116"/>
      <c r="R4224" s="1141"/>
      <c r="S4224" s="1113"/>
      <c r="T4224" s="1143"/>
      <c r="U4224" s="1108"/>
      <c r="V4224" s="1108"/>
      <c r="W4224" s="1108"/>
      <c r="X4224" s="1108"/>
      <c r="Y4224" s="1108"/>
      <c r="Z4224" s="1114"/>
      <c r="AA4224" s="1114"/>
      <c r="AB4224" s="1114"/>
      <c r="AC4224" s="1117"/>
      <c r="AD4224" s="1115"/>
      <c r="AE4224" s="1115"/>
      <c r="AF4224" s="1115"/>
      <c r="AG4224" s="1115"/>
      <c r="AH4224" s="1115"/>
      <c r="AI4224" s="1115"/>
      <c r="AJ4224" s="1117"/>
      <c r="AK4224" s="1118"/>
      <c r="AL4224" s="1115"/>
      <c r="AM4224" s="1115"/>
      <c r="AN4224" s="1115"/>
      <c r="AO4224" s="1115"/>
      <c r="AP4224" s="1115"/>
      <c r="AQ4224" s="1115"/>
      <c r="AR4224" s="1115"/>
      <c r="AS4224" s="1117"/>
      <c r="AT4224" s="1075"/>
      <c r="AU4224" s="1193"/>
      <c r="AV4224" s="330"/>
      <c r="AW4224" s="331"/>
      <c r="AX4224" s="331"/>
      <c r="AY4224" s="331"/>
      <c r="AZ4224" s="331"/>
      <c r="BA4224" s="331"/>
      <c r="BB4224" s="331"/>
      <c r="BC4224" s="331"/>
      <c r="BD4224" s="331"/>
      <c r="BE4224" s="333"/>
      <c r="BF4224" s="330"/>
      <c r="BG4224" s="333"/>
      <c r="BH4224" s="1119"/>
      <c r="BI4224" s="319"/>
      <c r="BJ4224" s="319"/>
      <c r="BK4224" s="319"/>
      <c r="BL4224" s="319"/>
      <c r="BM4224" s="319"/>
      <c r="BN4224" s="319"/>
      <c r="BO4224" s="319"/>
      <c r="BP4224" s="953"/>
      <c r="BQ4224" s="319"/>
      <c r="BR4224" s="319"/>
      <c r="BS4224" s="330"/>
      <c r="BT4224" s="331"/>
      <c r="BU4224" s="920"/>
      <c r="BV4224" s="903"/>
      <c r="BW4224" s="908"/>
      <c r="BX4224" s="908"/>
      <c r="BY4224" s="331"/>
      <c r="BZ4224" s="331"/>
      <c r="CA4224" s="462"/>
      <c r="CB4224" s="319"/>
      <c r="CC4224" s="319"/>
      <c r="CD4224" s="319"/>
      <c r="CE4224" s="319"/>
      <c r="CF4224" s="319"/>
      <c r="CG4224" s="319"/>
      <c r="CH4224" s="318"/>
      <c r="CI4224" s="319"/>
      <c r="CJ4224" s="319"/>
      <c r="CK4224" s="342"/>
      <c r="CL4224" s="333"/>
      <c r="CM4224" s="1079"/>
      <c r="CN4224" s="1005"/>
      <c r="CO4224" s="1005"/>
      <c r="CP4224" s="1005"/>
    </row>
    <row r="4225">
      <c r="A4225" s="1257"/>
      <c r="B4225" s="1113"/>
      <c r="C4225" s="1107"/>
      <c r="D4225" s="103"/>
      <c r="E4225" s="1137"/>
      <c r="F4225" s="112"/>
      <c r="G4225" s="1110"/>
      <c r="H4225" s="1138"/>
      <c r="I4225" s="1138"/>
      <c r="J4225" s="1139"/>
      <c r="K4225" s="1111"/>
      <c r="L4225" s="1112"/>
      <c r="M4225" s="1113"/>
      <c r="N4225" s="110"/>
      <c r="O4225" s="1140"/>
      <c r="P4225" s="1115"/>
      <c r="Q4225" s="1116"/>
      <c r="R4225" s="1141"/>
      <c r="S4225" s="1113"/>
      <c r="T4225" s="1143"/>
      <c r="U4225" s="1108"/>
      <c r="V4225" s="1108"/>
      <c r="W4225" s="1108"/>
      <c r="X4225" s="1108"/>
      <c r="Y4225" s="1108"/>
      <c r="Z4225" s="1114"/>
      <c r="AA4225" s="1114"/>
      <c r="AB4225" s="1114"/>
      <c r="AC4225" s="1117"/>
      <c r="AD4225" s="1115"/>
      <c r="AE4225" s="1115"/>
      <c r="AF4225" s="1115"/>
      <c r="AG4225" s="1115"/>
      <c r="AH4225" s="1115"/>
      <c r="AI4225" s="1115"/>
      <c r="AJ4225" s="1117"/>
      <c r="AK4225" s="1118"/>
      <c r="AL4225" s="1115"/>
      <c r="AM4225" s="1115"/>
      <c r="AN4225" s="1115"/>
      <c r="AO4225" s="1115"/>
      <c r="AP4225" s="1115"/>
      <c r="AQ4225" s="1115"/>
      <c r="AR4225" s="1115"/>
      <c r="AS4225" s="1117"/>
      <c r="AT4225" s="1075"/>
      <c r="AU4225" s="1193"/>
      <c r="AV4225" s="330"/>
      <c r="AW4225" s="331"/>
      <c r="AX4225" s="331"/>
      <c r="AY4225" s="331"/>
      <c r="AZ4225" s="331"/>
      <c r="BA4225" s="331"/>
      <c r="BB4225" s="331"/>
      <c r="BC4225" s="331"/>
      <c r="BD4225" s="331"/>
      <c r="BE4225" s="333"/>
      <c r="BF4225" s="330"/>
      <c r="BG4225" s="333"/>
      <c r="BH4225" s="1119"/>
      <c r="BI4225" s="319"/>
      <c r="BJ4225" s="319"/>
      <c r="BK4225" s="319"/>
      <c r="BL4225" s="319"/>
      <c r="BM4225" s="319"/>
      <c r="BN4225" s="319"/>
      <c r="BO4225" s="319"/>
      <c r="BP4225" s="953"/>
      <c r="BQ4225" s="319"/>
      <c r="BR4225" s="319"/>
      <c r="BS4225" s="330"/>
      <c r="BT4225" s="331"/>
      <c r="BU4225" s="920"/>
      <c r="BV4225" s="903"/>
      <c r="BW4225" s="908"/>
      <c r="BX4225" s="908"/>
      <c r="BY4225" s="331"/>
      <c r="BZ4225" s="331"/>
      <c r="CA4225" s="462"/>
      <c r="CB4225" s="319"/>
      <c r="CC4225" s="319"/>
      <c r="CD4225" s="319"/>
      <c r="CE4225" s="319"/>
      <c r="CF4225" s="319"/>
      <c r="CG4225" s="319"/>
      <c r="CH4225" s="318"/>
      <c r="CI4225" s="319"/>
      <c r="CJ4225" s="319"/>
      <c r="CK4225" s="342"/>
      <c r="CL4225" s="333"/>
      <c r="CM4225" s="1079"/>
      <c r="CN4225" s="1005"/>
      <c r="CO4225" s="1005"/>
      <c r="CP4225" s="1005"/>
    </row>
    <row r="4226">
      <c r="A4226" s="1257"/>
      <c r="B4226" s="1113"/>
      <c r="C4226" s="1107"/>
      <c r="D4226" s="103"/>
      <c r="E4226" s="1137"/>
      <c r="F4226" s="112"/>
      <c r="G4226" s="1110"/>
      <c r="H4226" s="1138"/>
      <c r="I4226" s="1138"/>
      <c r="J4226" s="1139"/>
      <c r="K4226" s="1111"/>
      <c r="L4226" s="1112"/>
      <c r="M4226" s="1113"/>
      <c r="N4226" s="110"/>
      <c r="O4226" s="1140"/>
      <c r="P4226" s="1115"/>
      <c r="Q4226" s="1116"/>
      <c r="R4226" s="1141"/>
      <c r="S4226" s="1113"/>
      <c r="T4226" s="1143"/>
      <c r="U4226" s="1108"/>
      <c r="V4226" s="1108"/>
      <c r="W4226" s="1108"/>
      <c r="X4226" s="1108"/>
      <c r="Y4226" s="1108"/>
      <c r="Z4226" s="1114"/>
      <c r="AA4226" s="1114"/>
      <c r="AB4226" s="1114"/>
      <c r="AC4226" s="1117"/>
      <c r="AD4226" s="1115"/>
      <c r="AE4226" s="1115"/>
      <c r="AF4226" s="1115"/>
      <c r="AG4226" s="1115"/>
      <c r="AH4226" s="1115"/>
      <c r="AI4226" s="1115"/>
      <c r="AJ4226" s="1117"/>
      <c r="AK4226" s="1118"/>
      <c r="AL4226" s="1115"/>
      <c r="AM4226" s="1115"/>
      <c r="AN4226" s="1115"/>
      <c r="AO4226" s="1115"/>
      <c r="AP4226" s="1115"/>
      <c r="AQ4226" s="1115"/>
      <c r="AR4226" s="1115"/>
      <c r="AS4226" s="1117"/>
      <c r="AT4226" s="1075"/>
      <c r="AU4226" s="1193"/>
      <c r="AV4226" s="330"/>
      <c r="AW4226" s="331"/>
      <c r="AX4226" s="331"/>
      <c r="AY4226" s="331"/>
      <c r="AZ4226" s="331"/>
      <c r="BA4226" s="331"/>
      <c r="BB4226" s="331"/>
      <c r="BC4226" s="331"/>
      <c r="BD4226" s="331"/>
      <c r="BE4226" s="333"/>
      <c r="BF4226" s="330"/>
      <c r="BG4226" s="333"/>
      <c r="BH4226" s="1119"/>
      <c r="BI4226" s="319"/>
      <c r="BJ4226" s="319"/>
      <c r="BK4226" s="319"/>
      <c r="BL4226" s="319"/>
      <c r="BM4226" s="319"/>
      <c r="BN4226" s="319"/>
      <c r="BO4226" s="319"/>
      <c r="BP4226" s="953"/>
      <c r="BQ4226" s="319"/>
      <c r="BR4226" s="319"/>
      <c r="BS4226" s="330"/>
      <c r="BT4226" s="331"/>
      <c r="BU4226" s="920"/>
      <c r="BV4226" s="903"/>
      <c r="BW4226" s="908"/>
      <c r="BX4226" s="908"/>
      <c r="BY4226" s="331"/>
      <c r="BZ4226" s="331"/>
      <c r="CA4226" s="462"/>
      <c r="CB4226" s="319"/>
      <c r="CC4226" s="319"/>
      <c r="CD4226" s="319"/>
      <c r="CE4226" s="319"/>
      <c r="CF4226" s="319"/>
      <c r="CG4226" s="319"/>
      <c r="CH4226" s="318"/>
      <c r="CI4226" s="319"/>
      <c r="CJ4226" s="319"/>
      <c r="CK4226" s="342"/>
      <c r="CL4226" s="333"/>
      <c r="CM4226" s="1079"/>
      <c r="CN4226" s="1005"/>
      <c r="CO4226" s="1005"/>
      <c r="CP4226" s="1005"/>
    </row>
    <row r="4227">
      <c r="A4227" s="1257"/>
      <c r="B4227" s="1113"/>
      <c r="C4227" s="1107"/>
      <c r="D4227" s="103"/>
      <c r="E4227" s="1137"/>
      <c r="F4227" s="112"/>
      <c r="G4227" s="1110"/>
      <c r="H4227" s="1138"/>
      <c r="I4227" s="1138"/>
      <c r="J4227" s="1139"/>
      <c r="K4227" s="1111"/>
      <c r="L4227" s="1112"/>
      <c r="M4227" s="1113"/>
      <c r="N4227" s="110"/>
      <c r="O4227" s="1140"/>
      <c r="P4227" s="1115"/>
      <c r="Q4227" s="1116"/>
      <c r="R4227" s="1141"/>
      <c r="S4227" s="1113"/>
      <c r="T4227" s="1143"/>
      <c r="U4227" s="1108"/>
      <c r="V4227" s="1108"/>
      <c r="W4227" s="1108"/>
      <c r="X4227" s="1108"/>
      <c r="Y4227" s="1108"/>
      <c r="Z4227" s="1114"/>
      <c r="AA4227" s="1114"/>
      <c r="AB4227" s="1114"/>
      <c r="AC4227" s="1117"/>
      <c r="AD4227" s="1115"/>
      <c r="AE4227" s="1115"/>
      <c r="AF4227" s="1115"/>
      <c r="AG4227" s="1115"/>
      <c r="AH4227" s="1115"/>
      <c r="AI4227" s="1115"/>
      <c r="AJ4227" s="1117"/>
      <c r="AK4227" s="1118"/>
      <c r="AL4227" s="1115"/>
      <c r="AM4227" s="1115"/>
      <c r="AN4227" s="1115"/>
      <c r="AO4227" s="1115"/>
      <c r="AP4227" s="1115"/>
      <c r="AQ4227" s="1115"/>
      <c r="AR4227" s="1115"/>
      <c r="AS4227" s="1117"/>
      <c r="AT4227" s="1075"/>
      <c r="AU4227" s="1193"/>
      <c r="AV4227" s="330"/>
      <c r="AW4227" s="331"/>
      <c r="AX4227" s="331"/>
      <c r="AY4227" s="331"/>
      <c r="AZ4227" s="331"/>
      <c r="BA4227" s="331"/>
      <c r="BB4227" s="331"/>
      <c r="BC4227" s="331"/>
      <c r="BD4227" s="331"/>
      <c r="BE4227" s="333"/>
      <c r="BF4227" s="330"/>
      <c r="BG4227" s="333"/>
      <c r="BH4227" s="1119"/>
      <c r="BI4227" s="319"/>
      <c r="BJ4227" s="319"/>
      <c r="BK4227" s="319"/>
      <c r="BL4227" s="319"/>
      <c r="BM4227" s="319"/>
      <c r="BN4227" s="319"/>
      <c r="BO4227" s="319"/>
      <c r="BP4227" s="953"/>
      <c r="BQ4227" s="319"/>
      <c r="BR4227" s="319"/>
      <c r="BS4227" s="330"/>
      <c r="BT4227" s="331"/>
      <c r="BU4227" s="920"/>
      <c r="BV4227" s="903"/>
      <c r="BW4227" s="908"/>
      <c r="BX4227" s="908"/>
      <c r="BY4227" s="331"/>
      <c r="BZ4227" s="331"/>
      <c r="CA4227" s="462"/>
      <c r="CB4227" s="319"/>
      <c r="CC4227" s="319"/>
      <c r="CD4227" s="319"/>
      <c r="CE4227" s="319"/>
      <c r="CF4227" s="319"/>
      <c r="CG4227" s="319"/>
      <c r="CH4227" s="318"/>
      <c r="CI4227" s="319"/>
      <c r="CJ4227" s="319"/>
      <c r="CK4227" s="342"/>
      <c r="CL4227" s="333"/>
      <c r="CM4227" s="1079"/>
      <c r="CN4227" s="1005"/>
      <c r="CO4227" s="1005"/>
      <c r="CP4227" s="1005"/>
    </row>
    <row r="4228">
      <c r="A4228" s="1257"/>
      <c r="B4228" s="1113"/>
      <c r="C4228" s="1107"/>
      <c r="D4228" s="103"/>
      <c r="E4228" s="1137"/>
      <c r="F4228" s="112"/>
      <c r="G4228" s="1110"/>
      <c r="H4228" s="1138"/>
      <c r="I4228" s="1138"/>
      <c r="J4228" s="1139"/>
      <c r="K4228" s="1111"/>
      <c r="L4228" s="1112"/>
      <c r="M4228" s="1113"/>
      <c r="N4228" s="110"/>
      <c r="O4228" s="1140"/>
      <c r="P4228" s="1115"/>
      <c r="Q4228" s="1116"/>
      <c r="R4228" s="1141"/>
      <c r="S4228" s="1113"/>
      <c r="T4228" s="1143"/>
      <c r="U4228" s="1108"/>
      <c r="V4228" s="1108"/>
      <c r="W4228" s="1108"/>
      <c r="X4228" s="1108"/>
      <c r="Y4228" s="1108"/>
      <c r="Z4228" s="1114"/>
      <c r="AA4228" s="1114"/>
      <c r="AB4228" s="1114"/>
      <c r="AC4228" s="1117"/>
      <c r="AD4228" s="1115"/>
      <c r="AE4228" s="1115"/>
      <c r="AF4228" s="1115"/>
      <c r="AG4228" s="1115"/>
      <c r="AH4228" s="1115"/>
      <c r="AI4228" s="1115"/>
      <c r="AJ4228" s="1117"/>
      <c r="AK4228" s="1118"/>
      <c r="AL4228" s="1115"/>
      <c r="AM4228" s="1115"/>
      <c r="AN4228" s="1115"/>
      <c r="AO4228" s="1115"/>
      <c r="AP4228" s="1115"/>
      <c r="AQ4228" s="1115"/>
      <c r="AR4228" s="1115"/>
      <c r="AS4228" s="1117"/>
      <c r="AT4228" s="1075"/>
      <c r="AU4228" s="1193"/>
      <c r="AV4228" s="330"/>
      <c r="AW4228" s="331"/>
      <c r="AX4228" s="331"/>
      <c r="AY4228" s="331"/>
      <c r="AZ4228" s="331"/>
      <c r="BA4228" s="331"/>
      <c r="BB4228" s="331"/>
      <c r="BC4228" s="331"/>
      <c r="BD4228" s="331"/>
      <c r="BE4228" s="333"/>
      <c r="BF4228" s="330"/>
      <c r="BG4228" s="333"/>
      <c r="BH4228" s="1119"/>
      <c r="BI4228" s="319"/>
      <c r="BJ4228" s="319"/>
      <c r="BK4228" s="319"/>
      <c r="BL4228" s="319"/>
      <c r="BM4228" s="319"/>
      <c r="BN4228" s="319"/>
      <c r="BO4228" s="319"/>
      <c r="BP4228" s="953"/>
      <c r="BQ4228" s="319"/>
      <c r="BR4228" s="319"/>
      <c r="BS4228" s="330"/>
      <c r="BT4228" s="331"/>
      <c r="BU4228" s="920"/>
      <c r="BV4228" s="903"/>
      <c r="BW4228" s="908"/>
      <c r="BX4228" s="908"/>
      <c r="BY4228" s="331"/>
      <c r="BZ4228" s="331"/>
      <c r="CA4228" s="462"/>
      <c r="CB4228" s="319"/>
      <c r="CC4228" s="319"/>
      <c r="CD4228" s="319"/>
      <c r="CE4228" s="319"/>
      <c r="CF4228" s="319"/>
      <c r="CG4228" s="319"/>
      <c r="CH4228" s="318"/>
      <c r="CI4228" s="319"/>
      <c r="CJ4228" s="319"/>
      <c r="CK4228" s="342"/>
      <c r="CL4228" s="333"/>
      <c r="CM4228" s="1079"/>
      <c r="CN4228" s="1005"/>
      <c r="CO4228" s="1005"/>
      <c r="CP4228" s="1005"/>
    </row>
    <row r="4229">
      <c r="A4229" s="1257"/>
      <c r="B4229" s="1113"/>
      <c r="C4229" s="1107"/>
      <c r="D4229" s="103"/>
      <c r="E4229" s="1137"/>
      <c r="F4229" s="112"/>
      <c r="G4229" s="1110"/>
      <c r="H4229" s="1138"/>
      <c r="I4229" s="1138"/>
      <c r="J4229" s="1139"/>
      <c r="K4229" s="1111"/>
      <c r="L4229" s="1112"/>
      <c r="M4229" s="1113"/>
      <c r="N4229" s="110"/>
      <c r="O4229" s="1140"/>
      <c r="P4229" s="1115"/>
      <c r="Q4229" s="1116"/>
      <c r="R4229" s="1141"/>
      <c r="S4229" s="1113"/>
      <c r="T4229" s="1143"/>
      <c r="U4229" s="1108"/>
      <c r="V4229" s="1108"/>
      <c r="W4229" s="1108"/>
      <c r="X4229" s="1108"/>
      <c r="Y4229" s="1108"/>
      <c r="Z4229" s="1114"/>
      <c r="AA4229" s="1114"/>
      <c r="AB4229" s="1114"/>
      <c r="AC4229" s="1117"/>
      <c r="AD4229" s="1115"/>
      <c r="AE4229" s="1115"/>
      <c r="AF4229" s="1115"/>
      <c r="AG4229" s="1115"/>
      <c r="AH4229" s="1115"/>
      <c r="AI4229" s="1115"/>
      <c r="AJ4229" s="1117"/>
      <c r="AK4229" s="1118"/>
      <c r="AL4229" s="1115"/>
      <c r="AM4229" s="1115"/>
      <c r="AN4229" s="1115"/>
      <c r="AO4229" s="1115"/>
      <c r="AP4229" s="1115"/>
      <c r="AQ4229" s="1115"/>
      <c r="AR4229" s="1115"/>
      <c r="AS4229" s="1117"/>
      <c r="AT4229" s="1075"/>
      <c r="AU4229" s="1193"/>
      <c r="AV4229" s="330"/>
      <c r="AW4229" s="331"/>
      <c r="AX4229" s="331"/>
      <c r="AY4229" s="331"/>
      <c r="AZ4229" s="331"/>
      <c r="BA4229" s="331"/>
      <c r="BB4229" s="331"/>
      <c r="BC4229" s="331"/>
      <c r="BD4229" s="331"/>
      <c r="BE4229" s="333"/>
      <c r="BF4229" s="330"/>
      <c r="BG4229" s="333"/>
      <c r="BH4229" s="1119"/>
      <c r="BI4229" s="319"/>
      <c r="BJ4229" s="319"/>
      <c r="BK4229" s="319"/>
      <c r="BL4229" s="319"/>
      <c r="BM4229" s="319"/>
      <c r="BN4229" s="319"/>
      <c r="BO4229" s="319"/>
      <c r="BP4229" s="953"/>
      <c r="BQ4229" s="319"/>
      <c r="BR4229" s="319"/>
      <c r="BS4229" s="330"/>
      <c r="BT4229" s="331"/>
      <c r="BU4229" s="920"/>
      <c r="BV4229" s="903"/>
      <c r="BW4229" s="908"/>
      <c r="BX4229" s="908"/>
      <c r="BY4229" s="331"/>
      <c r="BZ4229" s="331"/>
      <c r="CA4229" s="462"/>
      <c r="CB4229" s="319"/>
      <c r="CC4229" s="319"/>
      <c r="CD4229" s="319"/>
      <c r="CE4229" s="319"/>
      <c r="CF4229" s="319"/>
      <c r="CG4229" s="319"/>
      <c r="CH4229" s="318"/>
      <c r="CI4229" s="319"/>
      <c r="CJ4229" s="319"/>
      <c r="CK4229" s="342"/>
      <c r="CL4229" s="333"/>
      <c r="CM4229" s="1079"/>
      <c r="CN4229" s="1005"/>
      <c r="CO4229" s="1005"/>
      <c r="CP4229" s="1005"/>
    </row>
    <row r="4230">
      <c r="A4230" s="1257"/>
      <c r="B4230" s="1113"/>
      <c r="C4230" s="1107"/>
      <c r="D4230" s="103"/>
      <c r="E4230" s="1137"/>
      <c r="F4230" s="112"/>
      <c r="G4230" s="1110"/>
      <c r="H4230" s="1138"/>
      <c r="I4230" s="1138"/>
      <c r="J4230" s="1139"/>
      <c r="K4230" s="1111"/>
      <c r="L4230" s="1112"/>
      <c r="M4230" s="1113"/>
      <c r="N4230" s="110"/>
      <c r="O4230" s="1140"/>
      <c r="P4230" s="1115"/>
      <c r="Q4230" s="1116"/>
      <c r="R4230" s="1141"/>
      <c r="S4230" s="1113"/>
      <c r="T4230" s="1143"/>
      <c r="U4230" s="1108"/>
      <c r="V4230" s="1108"/>
      <c r="W4230" s="1108"/>
      <c r="X4230" s="1108"/>
      <c r="Y4230" s="1108"/>
      <c r="Z4230" s="1114"/>
      <c r="AA4230" s="1114"/>
      <c r="AB4230" s="1114"/>
      <c r="AC4230" s="1117"/>
      <c r="AD4230" s="1115"/>
      <c r="AE4230" s="1115"/>
      <c r="AF4230" s="1115"/>
      <c r="AG4230" s="1115"/>
      <c r="AH4230" s="1115"/>
      <c r="AI4230" s="1115"/>
      <c r="AJ4230" s="1117"/>
      <c r="AK4230" s="1118"/>
      <c r="AL4230" s="1115"/>
      <c r="AM4230" s="1115"/>
      <c r="AN4230" s="1115"/>
      <c r="AO4230" s="1115"/>
      <c r="AP4230" s="1115"/>
      <c r="AQ4230" s="1115"/>
      <c r="AR4230" s="1115"/>
      <c r="AS4230" s="1117"/>
      <c r="AT4230" s="1075"/>
      <c r="AU4230" s="1193"/>
      <c r="AV4230" s="330"/>
      <c r="AW4230" s="331"/>
      <c r="AX4230" s="331"/>
      <c r="AY4230" s="331"/>
      <c r="AZ4230" s="331"/>
      <c r="BA4230" s="331"/>
      <c r="BB4230" s="331"/>
      <c r="BC4230" s="331"/>
      <c r="BD4230" s="331"/>
      <c r="BE4230" s="333"/>
      <c r="BF4230" s="330"/>
      <c r="BG4230" s="333"/>
      <c r="BH4230" s="1119"/>
      <c r="BI4230" s="319"/>
      <c r="BJ4230" s="319"/>
      <c r="BK4230" s="319"/>
      <c r="BL4230" s="319"/>
      <c r="BM4230" s="319"/>
      <c r="BN4230" s="319"/>
      <c r="BO4230" s="319"/>
      <c r="BP4230" s="953"/>
      <c r="BQ4230" s="319"/>
      <c r="BR4230" s="319"/>
      <c r="BS4230" s="330"/>
      <c r="BT4230" s="331"/>
      <c r="BU4230" s="920"/>
      <c r="BV4230" s="903"/>
      <c r="BW4230" s="908"/>
      <c r="BX4230" s="908"/>
      <c r="BY4230" s="331"/>
      <c r="BZ4230" s="331"/>
      <c r="CA4230" s="462"/>
      <c r="CB4230" s="319"/>
      <c r="CC4230" s="319"/>
      <c r="CD4230" s="319"/>
      <c r="CE4230" s="319"/>
      <c r="CF4230" s="319"/>
      <c r="CG4230" s="319"/>
      <c r="CH4230" s="318"/>
      <c r="CI4230" s="319"/>
      <c r="CJ4230" s="319"/>
      <c r="CK4230" s="342"/>
      <c r="CL4230" s="333"/>
      <c r="CM4230" s="1079"/>
      <c r="CN4230" s="1005"/>
      <c r="CO4230" s="1005"/>
      <c r="CP4230" s="1005"/>
    </row>
    <row r="4231">
      <c r="A4231" s="1257"/>
      <c r="B4231" s="1113"/>
      <c r="C4231" s="1107"/>
      <c r="D4231" s="103"/>
      <c r="E4231" s="1137"/>
      <c r="F4231" s="112"/>
      <c r="G4231" s="1110"/>
      <c r="H4231" s="1138"/>
      <c r="I4231" s="1138"/>
      <c r="J4231" s="1139"/>
      <c r="K4231" s="1111"/>
      <c r="L4231" s="1112"/>
      <c r="M4231" s="1113"/>
      <c r="N4231" s="110"/>
      <c r="O4231" s="1140"/>
      <c r="P4231" s="1115"/>
      <c r="Q4231" s="1116"/>
      <c r="R4231" s="1141"/>
      <c r="S4231" s="1113"/>
      <c r="T4231" s="1143"/>
      <c r="U4231" s="1108"/>
      <c r="V4231" s="1108"/>
      <c r="W4231" s="1108"/>
      <c r="X4231" s="1108"/>
      <c r="Y4231" s="1108"/>
      <c r="Z4231" s="1114"/>
      <c r="AA4231" s="1114"/>
      <c r="AB4231" s="1114"/>
      <c r="AC4231" s="1117"/>
      <c r="AD4231" s="1115"/>
      <c r="AE4231" s="1115"/>
      <c r="AF4231" s="1115"/>
      <c r="AG4231" s="1115"/>
      <c r="AH4231" s="1115"/>
      <c r="AI4231" s="1115"/>
      <c r="AJ4231" s="1117"/>
      <c r="AK4231" s="1118"/>
      <c r="AL4231" s="1115"/>
      <c r="AM4231" s="1115"/>
      <c r="AN4231" s="1115"/>
      <c r="AO4231" s="1115"/>
      <c r="AP4231" s="1115"/>
      <c r="AQ4231" s="1115"/>
      <c r="AR4231" s="1115"/>
      <c r="AS4231" s="1117"/>
      <c r="AT4231" s="1075"/>
      <c r="AU4231" s="1193"/>
      <c r="AV4231" s="330"/>
      <c r="AW4231" s="331"/>
      <c r="AX4231" s="331"/>
      <c r="AY4231" s="331"/>
      <c r="AZ4231" s="331"/>
      <c r="BA4231" s="331"/>
      <c r="BB4231" s="331"/>
      <c r="BC4231" s="331"/>
      <c r="BD4231" s="331"/>
      <c r="BE4231" s="333"/>
      <c r="BF4231" s="330"/>
      <c r="BG4231" s="333"/>
      <c r="BH4231" s="1119"/>
      <c r="BI4231" s="319"/>
      <c r="BJ4231" s="319"/>
      <c r="BK4231" s="319"/>
      <c r="BL4231" s="319"/>
      <c r="BM4231" s="319"/>
      <c r="BN4231" s="319"/>
      <c r="BO4231" s="319"/>
      <c r="BP4231" s="953"/>
      <c r="BQ4231" s="319"/>
      <c r="BR4231" s="319"/>
      <c r="BS4231" s="330"/>
      <c r="BT4231" s="331"/>
      <c r="BU4231" s="920"/>
      <c r="BV4231" s="903"/>
      <c r="BW4231" s="908"/>
      <c r="BX4231" s="908"/>
      <c r="BY4231" s="331"/>
      <c r="BZ4231" s="331"/>
      <c r="CA4231" s="462"/>
      <c r="CB4231" s="319"/>
      <c r="CC4231" s="319"/>
      <c r="CD4231" s="319"/>
      <c r="CE4231" s="319"/>
      <c r="CF4231" s="319"/>
      <c r="CG4231" s="319"/>
      <c r="CH4231" s="318"/>
      <c r="CI4231" s="319"/>
      <c r="CJ4231" s="319"/>
      <c r="CK4231" s="342"/>
      <c r="CL4231" s="333"/>
      <c r="CM4231" s="1079"/>
      <c r="CN4231" s="1005"/>
      <c r="CO4231" s="1005"/>
      <c r="CP4231" s="1005"/>
    </row>
    <row r="4232">
      <c r="A4232" s="1257"/>
      <c r="B4232" s="1113"/>
      <c r="C4232" s="1107"/>
      <c r="D4232" s="103"/>
      <c r="E4232" s="1137"/>
      <c r="F4232" s="112"/>
      <c r="G4232" s="1110"/>
      <c r="H4232" s="1138"/>
      <c r="I4232" s="1138"/>
      <c r="J4232" s="1139"/>
      <c r="K4232" s="1111"/>
      <c r="L4232" s="1112"/>
      <c r="M4232" s="1113"/>
      <c r="N4232" s="110"/>
      <c r="O4232" s="1140"/>
      <c r="P4232" s="1115"/>
      <c r="Q4232" s="1116"/>
      <c r="R4232" s="1141"/>
      <c r="S4232" s="1113"/>
      <c r="T4232" s="1143"/>
      <c r="U4232" s="1108"/>
      <c r="V4232" s="1108"/>
      <c r="W4232" s="1108"/>
      <c r="X4232" s="1108"/>
      <c r="Y4232" s="1108"/>
      <c r="Z4232" s="1114"/>
      <c r="AA4232" s="1114"/>
      <c r="AB4232" s="1114"/>
      <c r="AC4232" s="1117"/>
      <c r="AD4232" s="1115"/>
      <c r="AE4232" s="1115"/>
      <c r="AF4232" s="1115"/>
      <c r="AG4232" s="1115"/>
      <c r="AH4232" s="1115"/>
      <c r="AI4232" s="1115"/>
      <c r="AJ4232" s="1117"/>
      <c r="AK4232" s="1118"/>
      <c r="AL4232" s="1115"/>
      <c r="AM4232" s="1115"/>
      <c r="AN4232" s="1115"/>
      <c r="AO4232" s="1115"/>
      <c r="AP4232" s="1115"/>
      <c r="AQ4232" s="1115"/>
      <c r="AR4232" s="1115"/>
      <c r="AS4232" s="1117"/>
      <c r="AT4232" s="1075"/>
      <c r="AU4232" s="1193"/>
      <c r="AV4232" s="330"/>
      <c r="AW4232" s="331"/>
      <c r="AX4232" s="331"/>
      <c r="AY4232" s="331"/>
      <c r="AZ4232" s="331"/>
      <c r="BA4232" s="331"/>
      <c r="BB4232" s="331"/>
      <c r="BC4232" s="331"/>
      <c r="BD4232" s="331"/>
      <c r="BE4232" s="333"/>
      <c r="BF4232" s="330"/>
      <c r="BG4232" s="333"/>
      <c r="BH4232" s="1119"/>
      <c r="BI4232" s="319"/>
      <c r="BJ4232" s="319"/>
      <c r="BK4232" s="319"/>
      <c r="BL4232" s="319"/>
      <c r="BM4232" s="319"/>
      <c r="BN4232" s="319"/>
      <c r="BO4232" s="319"/>
      <c r="BP4232" s="953"/>
      <c r="BQ4232" s="319"/>
      <c r="BR4232" s="319"/>
      <c r="BS4232" s="330"/>
      <c r="BT4232" s="331"/>
      <c r="BU4232" s="920"/>
      <c r="BV4232" s="903"/>
      <c r="BW4232" s="908"/>
      <c r="BX4232" s="908"/>
      <c r="BY4232" s="331"/>
      <c r="BZ4232" s="331"/>
      <c r="CA4232" s="462"/>
      <c r="CB4232" s="319"/>
      <c r="CC4232" s="319"/>
      <c r="CD4232" s="319"/>
      <c r="CE4232" s="319"/>
      <c r="CF4232" s="319"/>
      <c r="CG4232" s="319"/>
      <c r="CH4232" s="318"/>
      <c r="CI4232" s="319"/>
      <c r="CJ4232" s="319"/>
      <c r="CK4232" s="342"/>
      <c r="CL4232" s="333"/>
      <c r="CM4232" s="1079"/>
      <c r="CN4232" s="1005"/>
      <c r="CO4232" s="1005"/>
      <c r="CP4232" s="1005"/>
    </row>
    <row r="4233">
      <c r="A4233" s="1257"/>
      <c r="B4233" s="1113"/>
      <c r="C4233" s="1107"/>
      <c r="D4233" s="103"/>
      <c r="E4233" s="1137"/>
      <c r="F4233" s="112"/>
      <c r="G4233" s="1110"/>
      <c r="H4233" s="1138"/>
      <c r="I4233" s="1138"/>
      <c r="J4233" s="1139"/>
      <c r="K4233" s="1111"/>
      <c r="L4233" s="1112"/>
      <c r="M4233" s="1113"/>
      <c r="N4233" s="110"/>
      <c r="O4233" s="1140"/>
      <c r="P4233" s="1115"/>
      <c r="Q4233" s="1116"/>
      <c r="R4233" s="1141"/>
      <c r="S4233" s="1113"/>
      <c r="T4233" s="1143"/>
      <c r="U4233" s="1108"/>
      <c r="V4233" s="1108"/>
      <c r="W4233" s="1108"/>
      <c r="X4233" s="1108"/>
      <c r="Y4233" s="1108"/>
      <c r="Z4233" s="1114"/>
      <c r="AA4233" s="1114"/>
      <c r="AB4233" s="1114"/>
      <c r="AC4233" s="1117"/>
      <c r="AD4233" s="1115"/>
      <c r="AE4233" s="1115"/>
      <c r="AF4233" s="1115"/>
      <c r="AG4233" s="1115"/>
      <c r="AH4233" s="1115"/>
      <c r="AI4233" s="1115"/>
      <c r="AJ4233" s="1117"/>
      <c r="AK4233" s="1118"/>
      <c r="AL4233" s="1115"/>
      <c r="AM4233" s="1115"/>
      <c r="AN4233" s="1115"/>
      <c r="AO4233" s="1115"/>
      <c r="AP4233" s="1115"/>
      <c r="AQ4233" s="1115"/>
      <c r="AR4233" s="1115"/>
      <c r="AS4233" s="1117"/>
      <c r="AT4233" s="1075"/>
      <c r="AU4233" s="1193"/>
      <c r="AV4233" s="330"/>
      <c r="AW4233" s="331"/>
      <c r="AX4233" s="331"/>
      <c r="AY4233" s="331"/>
      <c r="AZ4233" s="331"/>
      <c r="BA4233" s="331"/>
      <c r="BB4233" s="331"/>
      <c r="BC4233" s="331"/>
      <c r="BD4233" s="331"/>
      <c r="BE4233" s="333"/>
      <c r="BF4233" s="330"/>
      <c r="BG4233" s="333"/>
      <c r="BH4233" s="1119"/>
      <c r="BI4233" s="319"/>
      <c r="BJ4233" s="319"/>
      <c r="BK4233" s="319"/>
      <c r="BL4233" s="319"/>
      <c r="BM4233" s="319"/>
      <c r="BN4233" s="319"/>
      <c r="BO4233" s="319"/>
      <c r="BP4233" s="953"/>
      <c r="BQ4233" s="319"/>
      <c r="BR4233" s="319"/>
      <c r="BS4233" s="330"/>
      <c r="BT4233" s="331"/>
      <c r="BU4233" s="920"/>
      <c r="BV4233" s="903"/>
      <c r="BW4233" s="908"/>
      <c r="BX4233" s="908"/>
      <c r="BY4233" s="331"/>
      <c r="BZ4233" s="331"/>
      <c r="CA4233" s="462"/>
      <c r="CB4233" s="319"/>
      <c r="CC4233" s="319"/>
      <c r="CD4233" s="319"/>
      <c r="CE4233" s="319"/>
      <c r="CF4233" s="319"/>
      <c r="CG4233" s="319"/>
      <c r="CH4233" s="318"/>
      <c r="CI4233" s="319"/>
      <c r="CJ4233" s="319"/>
      <c r="CK4233" s="342"/>
      <c r="CL4233" s="333"/>
      <c r="CM4233" s="1079"/>
      <c r="CN4233" s="1005"/>
      <c r="CO4233" s="1005"/>
      <c r="CP4233" s="1005"/>
    </row>
    <row r="4234">
      <c r="A4234" s="1257"/>
      <c r="B4234" s="1113"/>
      <c r="C4234" s="1107"/>
      <c r="D4234" s="103"/>
      <c r="E4234" s="1137"/>
      <c r="F4234" s="112"/>
      <c r="G4234" s="1110"/>
      <c r="H4234" s="1138"/>
      <c r="I4234" s="1138"/>
      <c r="J4234" s="1139"/>
      <c r="K4234" s="1111"/>
      <c r="L4234" s="1112"/>
      <c r="M4234" s="1113"/>
      <c r="N4234" s="110"/>
      <c r="O4234" s="1140"/>
      <c r="P4234" s="1115"/>
      <c r="Q4234" s="1116"/>
      <c r="R4234" s="1141"/>
      <c r="S4234" s="1113"/>
      <c r="T4234" s="1143"/>
      <c r="U4234" s="1108"/>
      <c r="V4234" s="1108"/>
      <c r="W4234" s="1108"/>
      <c r="X4234" s="1108"/>
      <c r="Y4234" s="1108"/>
      <c r="Z4234" s="1114"/>
      <c r="AA4234" s="1114"/>
      <c r="AB4234" s="1114"/>
      <c r="AC4234" s="1117"/>
      <c r="AD4234" s="1115"/>
      <c r="AE4234" s="1115"/>
      <c r="AF4234" s="1115"/>
      <c r="AG4234" s="1115"/>
      <c r="AH4234" s="1115"/>
      <c r="AI4234" s="1115"/>
      <c r="AJ4234" s="1117"/>
      <c r="AK4234" s="1118"/>
      <c r="AL4234" s="1115"/>
      <c r="AM4234" s="1115"/>
      <c r="AN4234" s="1115"/>
      <c r="AO4234" s="1115"/>
      <c r="AP4234" s="1115"/>
      <c r="AQ4234" s="1115"/>
      <c r="AR4234" s="1115"/>
      <c r="AS4234" s="1117"/>
      <c r="AT4234" s="1075"/>
      <c r="AU4234" s="1193"/>
      <c r="AV4234" s="330"/>
      <c r="AW4234" s="331"/>
      <c r="AX4234" s="331"/>
      <c r="AY4234" s="331"/>
      <c r="AZ4234" s="331"/>
      <c r="BA4234" s="331"/>
      <c r="BB4234" s="331"/>
      <c r="BC4234" s="331"/>
      <c r="BD4234" s="331"/>
      <c r="BE4234" s="333"/>
      <c r="BF4234" s="330"/>
      <c r="BG4234" s="333"/>
      <c r="BH4234" s="1119"/>
      <c r="BI4234" s="319"/>
      <c r="BJ4234" s="319"/>
      <c r="BK4234" s="319"/>
      <c r="BL4234" s="319"/>
      <c r="BM4234" s="319"/>
      <c r="BN4234" s="319"/>
      <c r="BO4234" s="319"/>
      <c r="BP4234" s="953"/>
      <c r="BQ4234" s="319"/>
      <c r="BR4234" s="319"/>
      <c r="BS4234" s="330"/>
      <c r="BT4234" s="331"/>
      <c r="BU4234" s="920"/>
      <c r="BV4234" s="903"/>
      <c r="BW4234" s="908"/>
      <c r="BX4234" s="908"/>
      <c r="BY4234" s="331"/>
      <c r="BZ4234" s="331"/>
      <c r="CA4234" s="462"/>
      <c r="CB4234" s="319"/>
      <c r="CC4234" s="319"/>
      <c r="CD4234" s="319"/>
      <c r="CE4234" s="319"/>
      <c r="CF4234" s="319"/>
      <c r="CG4234" s="319"/>
      <c r="CH4234" s="318"/>
      <c r="CI4234" s="319"/>
      <c r="CJ4234" s="319"/>
      <c r="CK4234" s="342"/>
      <c r="CL4234" s="333"/>
      <c r="CM4234" s="1079"/>
      <c r="CN4234" s="1005"/>
      <c r="CO4234" s="1005"/>
      <c r="CP4234" s="1005"/>
    </row>
    <row r="4235">
      <c r="A4235" s="1257"/>
      <c r="B4235" s="1113"/>
      <c r="C4235" s="1107"/>
      <c r="D4235" s="103"/>
      <c r="E4235" s="1137"/>
      <c r="F4235" s="112"/>
      <c r="G4235" s="1110"/>
      <c r="H4235" s="1138"/>
      <c r="I4235" s="1138"/>
      <c r="J4235" s="1139"/>
      <c r="K4235" s="1111"/>
      <c r="L4235" s="1112"/>
      <c r="M4235" s="1113"/>
      <c r="N4235" s="110"/>
      <c r="O4235" s="1140"/>
      <c r="P4235" s="1115"/>
      <c r="Q4235" s="1116"/>
      <c r="R4235" s="1141"/>
      <c r="S4235" s="1113"/>
      <c r="T4235" s="1143"/>
      <c r="U4235" s="1108"/>
      <c r="V4235" s="1108"/>
      <c r="W4235" s="1108"/>
      <c r="X4235" s="1108"/>
      <c r="Y4235" s="1108"/>
      <c r="Z4235" s="1114"/>
      <c r="AA4235" s="1114"/>
      <c r="AB4235" s="1114"/>
      <c r="AC4235" s="1117"/>
      <c r="AD4235" s="1115"/>
      <c r="AE4235" s="1115"/>
      <c r="AF4235" s="1115"/>
      <c r="AG4235" s="1115"/>
      <c r="AH4235" s="1115"/>
      <c r="AI4235" s="1115"/>
      <c r="AJ4235" s="1117"/>
      <c r="AK4235" s="1118"/>
      <c r="AL4235" s="1115"/>
      <c r="AM4235" s="1115"/>
      <c r="AN4235" s="1115"/>
      <c r="AO4235" s="1115"/>
      <c r="AP4235" s="1115"/>
      <c r="AQ4235" s="1115"/>
      <c r="AR4235" s="1115"/>
      <c r="AS4235" s="1117"/>
      <c r="AT4235" s="1075"/>
      <c r="AU4235" s="1193"/>
      <c r="AV4235" s="330"/>
      <c r="AW4235" s="331"/>
      <c r="AX4235" s="331"/>
      <c r="AY4235" s="331"/>
      <c r="AZ4235" s="331"/>
      <c r="BA4235" s="331"/>
      <c r="BB4235" s="331"/>
      <c r="BC4235" s="331"/>
      <c r="BD4235" s="331"/>
      <c r="BE4235" s="333"/>
      <c r="BF4235" s="330"/>
      <c r="BG4235" s="333"/>
      <c r="BH4235" s="1119"/>
      <c r="BI4235" s="319"/>
      <c r="BJ4235" s="319"/>
      <c r="BK4235" s="319"/>
      <c r="BL4235" s="319"/>
      <c r="BM4235" s="319"/>
      <c r="BN4235" s="319"/>
      <c r="BO4235" s="319"/>
      <c r="BP4235" s="953"/>
      <c r="BQ4235" s="319"/>
      <c r="BR4235" s="319"/>
      <c r="BS4235" s="330"/>
      <c r="BT4235" s="331"/>
      <c r="BU4235" s="920"/>
      <c r="BV4235" s="903"/>
      <c r="BW4235" s="908"/>
      <c r="BX4235" s="908"/>
      <c r="BY4235" s="331"/>
      <c r="BZ4235" s="331"/>
      <c r="CA4235" s="462"/>
      <c r="CB4235" s="319"/>
      <c r="CC4235" s="319"/>
      <c r="CD4235" s="319"/>
      <c r="CE4235" s="319"/>
      <c r="CF4235" s="319"/>
      <c r="CG4235" s="319"/>
      <c r="CH4235" s="318"/>
      <c r="CI4235" s="319"/>
      <c r="CJ4235" s="319"/>
      <c r="CK4235" s="342"/>
      <c r="CL4235" s="333"/>
      <c r="CM4235" s="1079"/>
      <c r="CN4235" s="1005"/>
      <c r="CO4235" s="1005"/>
      <c r="CP4235" s="1005"/>
    </row>
    <row r="4236">
      <c r="A4236" s="1257"/>
      <c r="B4236" s="1113"/>
      <c r="C4236" s="1107"/>
      <c r="D4236" s="103"/>
      <c r="E4236" s="1137"/>
      <c r="F4236" s="112"/>
      <c r="G4236" s="1110"/>
      <c r="H4236" s="1138"/>
      <c r="I4236" s="1138"/>
      <c r="J4236" s="1139"/>
      <c r="K4236" s="1111"/>
      <c r="L4236" s="1112"/>
      <c r="M4236" s="1113"/>
      <c r="N4236" s="110"/>
      <c r="O4236" s="1140"/>
      <c r="P4236" s="1115"/>
      <c r="Q4236" s="1116"/>
      <c r="R4236" s="1141"/>
      <c r="S4236" s="1113"/>
      <c r="T4236" s="1143"/>
      <c r="U4236" s="1108"/>
      <c r="V4236" s="1108"/>
      <c r="W4236" s="1108"/>
      <c r="X4236" s="1108"/>
      <c r="Y4236" s="1108"/>
      <c r="Z4236" s="1114"/>
      <c r="AA4236" s="1114"/>
      <c r="AB4236" s="1114"/>
      <c r="AC4236" s="1117"/>
      <c r="AD4236" s="1115"/>
      <c r="AE4236" s="1115"/>
      <c r="AF4236" s="1115"/>
      <c r="AG4236" s="1115"/>
      <c r="AH4236" s="1115"/>
      <c r="AI4236" s="1115"/>
      <c r="AJ4236" s="1117"/>
      <c r="AK4236" s="1118"/>
      <c r="AL4236" s="1115"/>
      <c r="AM4236" s="1115"/>
      <c r="AN4236" s="1115"/>
      <c r="AO4236" s="1115"/>
      <c r="AP4236" s="1115"/>
      <c r="AQ4236" s="1115"/>
      <c r="AR4236" s="1115"/>
      <c r="AS4236" s="1117"/>
      <c r="AT4236" s="1075"/>
      <c r="AU4236" s="1193"/>
      <c r="AV4236" s="330"/>
      <c r="AW4236" s="331"/>
      <c r="AX4236" s="331"/>
      <c r="AY4236" s="331"/>
      <c r="AZ4236" s="331"/>
      <c r="BA4236" s="331"/>
      <c r="BB4236" s="331"/>
      <c r="BC4236" s="331"/>
      <c r="BD4236" s="331"/>
      <c r="BE4236" s="333"/>
      <c r="BF4236" s="330"/>
      <c r="BG4236" s="333"/>
      <c r="BH4236" s="1119"/>
      <c r="BI4236" s="319"/>
      <c r="BJ4236" s="319"/>
      <c r="BK4236" s="319"/>
      <c r="BL4236" s="319"/>
      <c r="BM4236" s="319"/>
      <c r="BN4236" s="319"/>
      <c r="BO4236" s="319"/>
      <c r="BP4236" s="953"/>
      <c r="BQ4236" s="319"/>
      <c r="BR4236" s="319"/>
      <c r="BS4236" s="330"/>
      <c r="BT4236" s="331"/>
      <c r="BU4236" s="920"/>
      <c r="BV4236" s="903"/>
      <c r="BW4236" s="908"/>
      <c r="BX4236" s="908"/>
      <c r="BY4236" s="331"/>
      <c r="BZ4236" s="331"/>
      <c r="CA4236" s="462"/>
      <c r="CB4236" s="319"/>
      <c r="CC4236" s="319"/>
      <c r="CD4236" s="319"/>
      <c r="CE4236" s="319"/>
      <c r="CF4236" s="319"/>
      <c r="CG4236" s="319"/>
      <c r="CH4236" s="318"/>
      <c r="CI4236" s="319"/>
      <c r="CJ4236" s="319"/>
      <c r="CK4236" s="342"/>
      <c r="CL4236" s="333"/>
      <c r="CM4236" s="1079"/>
      <c r="CN4236" s="1005"/>
      <c r="CO4236" s="1005"/>
      <c r="CP4236" s="1005"/>
    </row>
    <row r="4237">
      <c r="A4237" s="1257"/>
      <c r="B4237" s="1113"/>
      <c r="C4237" s="1107"/>
      <c r="D4237" s="103"/>
      <c r="E4237" s="1137"/>
      <c r="F4237" s="112"/>
      <c r="G4237" s="1110"/>
      <c r="H4237" s="1138"/>
      <c r="I4237" s="1138"/>
      <c r="J4237" s="1139"/>
      <c r="K4237" s="1111"/>
      <c r="L4237" s="1112"/>
      <c r="M4237" s="1113"/>
      <c r="N4237" s="110"/>
      <c r="O4237" s="1140"/>
      <c r="P4237" s="1115"/>
      <c r="Q4237" s="1116"/>
      <c r="R4237" s="1141"/>
      <c r="S4237" s="1113"/>
      <c r="T4237" s="1143"/>
      <c r="U4237" s="1108"/>
      <c r="V4237" s="1108"/>
      <c r="W4237" s="1108"/>
      <c r="X4237" s="1108"/>
      <c r="Y4237" s="1108"/>
      <c r="Z4237" s="1114"/>
      <c r="AA4237" s="1114"/>
      <c r="AB4237" s="1114"/>
      <c r="AC4237" s="1117"/>
      <c r="AD4237" s="1115"/>
      <c r="AE4237" s="1115"/>
      <c r="AF4237" s="1115"/>
      <c r="AG4237" s="1115"/>
      <c r="AH4237" s="1115"/>
      <c r="AI4237" s="1115"/>
      <c r="AJ4237" s="1117"/>
      <c r="AK4237" s="1118"/>
      <c r="AL4237" s="1115"/>
      <c r="AM4237" s="1115"/>
      <c r="AN4237" s="1115"/>
      <c r="AO4237" s="1115"/>
      <c r="AP4237" s="1115"/>
      <c r="AQ4237" s="1115"/>
      <c r="AR4237" s="1115"/>
      <c r="AS4237" s="1117"/>
      <c r="AT4237" s="1075"/>
      <c r="AU4237" s="1193"/>
      <c r="AV4237" s="330"/>
      <c r="AW4237" s="331"/>
      <c r="AX4237" s="331"/>
      <c r="AY4237" s="331"/>
      <c r="AZ4237" s="331"/>
      <c r="BA4237" s="331"/>
      <c r="BB4237" s="331"/>
      <c r="BC4237" s="331"/>
      <c r="BD4237" s="331"/>
      <c r="BE4237" s="333"/>
      <c r="BF4237" s="330"/>
      <c r="BG4237" s="333"/>
      <c r="BH4237" s="1119"/>
      <c r="BI4237" s="319"/>
      <c r="BJ4237" s="319"/>
      <c r="BK4237" s="319"/>
      <c r="BL4237" s="319"/>
      <c r="BM4237" s="319"/>
      <c r="BN4237" s="319"/>
      <c r="BO4237" s="319"/>
      <c r="BP4237" s="953"/>
      <c r="BQ4237" s="319"/>
      <c r="BR4237" s="319"/>
      <c r="BS4237" s="330"/>
      <c r="BT4237" s="331"/>
      <c r="BU4237" s="920"/>
      <c r="BV4237" s="903"/>
      <c r="BW4237" s="908"/>
      <c r="BX4237" s="908"/>
      <c r="BY4237" s="331"/>
      <c r="BZ4237" s="331"/>
      <c r="CA4237" s="462"/>
      <c r="CB4237" s="319"/>
      <c r="CC4237" s="319"/>
      <c r="CD4237" s="319"/>
      <c r="CE4237" s="319"/>
      <c r="CF4237" s="319"/>
      <c r="CG4237" s="319"/>
      <c r="CH4237" s="318"/>
      <c r="CI4237" s="319"/>
      <c r="CJ4237" s="319"/>
      <c r="CK4237" s="342"/>
      <c r="CL4237" s="333"/>
      <c r="CM4237" s="1079"/>
      <c r="CN4237" s="1005"/>
      <c r="CO4237" s="1005"/>
      <c r="CP4237" s="1005"/>
    </row>
    <row r="4238">
      <c r="A4238" s="1257"/>
      <c r="B4238" s="1113"/>
      <c r="C4238" s="1107"/>
      <c r="D4238" s="103"/>
      <c r="E4238" s="1137"/>
      <c r="F4238" s="112"/>
      <c r="G4238" s="1110"/>
      <c r="H4238" s="1138"/>
      <c r="I4238" s="1138"/>
      <c r="J4238" s="1139"/>
      <c r="K4238" s="1111"/>
      <c r="L4238" s="1112"/>
      <c r="M4238" s="1113"/>
      <c r="N4238" s="110"/>
      <c r="O4238" s="1140"/>
      <c r="P4238" s="1115"/>
      <c r="Q4238" s="1116"/>
      <c r="R4238" s="1141"/>
      <c r="S4238" s="1113"/>
      <c r="T4238" s="1143"/>
      <c r="U4238" s="1108"/>
      <c r="V4238" s="1108"/>
      <c r="W4238" s="1108"/>
      <c r="X4238" s="1108"/>
      <c r="Y4238" s="1108"/>
      <c r="Z4238" s="1114"/>
      <c r="AA4238" s="1114"/>
      <c r="AB4238" s="1114"/>
      <c r="AC4238" s="1117"/>
      <c r="AD4238" s="1115"/>
      <c r="AE4238" s="1115"/>
      <c r="AF4238" s="1115"/>
      <c r="AG4238" s="1115"/>
      <c r="AH4238" s="1115"/>
      <c r="AI4238" s="1115"/>
      <c r="AJ4238" s="1117"/>
      <c r="AK4238" s="1118"/>
      <c r="AL4238" s="1115"/>
      <c r="AM4238" s="1115"/>
      <c r="AN4238" s="1115"/>
      <c r="AO4238" s="1115"/>
      <c r="AP4238" s="1115"/>
      <c r="AQ4238" s="1115"/>
      <c r="AR4238" s="1115"/>
      <c r="AS4238" s="1117"/>
      <c r="AT4238" s="1075"/>
      <c r="AU4238" s="1193"/>
      <c r="AV4238" s="330"/>
      <c r="AW4238" s="331"/>
      <c r="AX4238" s="331"/>
      <c r="AY4238" s="331"/>
      <c r="AZ4238" s="331"/>
      <c r="BA4238" s="331"/>
      <c r="BB4238" s="331"/>
      <c r="BC4238" s="331"/>
      <c r="BD4238" s="331"/>
      <c r="BE4238" s="333"/>
      <c r="BF4238" s="330"/>
      <c r="BG4238" s="333"/>
      <c r="BH4238" s="1119"/>
      <c r="BI4238" s="319"/>
      <c r="BJ4238" s="319"/>
      <c r="BK4238" s="319"/>
      <c r="BL4238" s="319"/>
      <c r="BM4238" s="319"/>
      <c r="BN4238" s="319"/>
      <c r="BO4238" s="319"/>
      <c r="BP4238" s="953"/>
      <c r="BQ4238" s="319"/>
      <c r="BR4238" s="319"/>
      <c r="BS4238" s="330"/>
      <c r="BT4238" s="331"/>
      <c r="BU4238" s="920"/>
      <c r="BV4238" s="903"/>
      <c r="BW4238" s="908"/>
      <c r="BX4238" s="908"/>
      <c r="BY4238" s="331"/>
      <c r="BZ4238" s="331"/>
      <c r="CA4238" s="462"/>
      <c r="CB4238" s="319"/>
      <c r="CC4238" s="319"/>
      <c r="CD4238" s="319"/>
      <c r="CE4238" s="319"/>
      <c r="CF4238" s="319"/>
      <c r="CG4238" s="319"/>
      <c r="CH4238" s="318"/>
      <c r="CI4238" s="319"/>
      <c r="CJ4238" s="319"/>
      <c r="CK4238" s="342"/>
      <c r="CL4238" s="333"/>
      <c r="CM4238" s="1079"/>
      <c r="CN4238" s="1005"/>
      <c r="CO4238" s="1005"/>
      <c r="CP4238" s="1005"/>
    </row>
    <row r="4239">
      <c r="A4239" s="1257"/>
      <c r="B4239" s="1113"/>
      <c r="C4239" s="1107"/>
      <c r="D4239" s="103"/>
      <c r="E4239" s="1137"/>
      <c r="F4239" s="112"/>
      <c r="G4239" s="1110"/>
      <c r="H4239" s="1138"/>
      <c r="I4239" s="1138"/>
      <c r="J4239" s="1139"/>
      <c r="K4239" s="1111"/>
      <c r="L4239" s="1112"/>
      <c r="M4239" s="1113"/>
      <c r="N4239" s="110"/>
      <c r="O4239" s="1140"/>
      <c r="P4239" s="1115"/>
      <c r="Q4239" s="1116"/>
      <c r="R4239" s="1141"/>
      <c r="S4239" s="1113"/>
      <c r="T4239" s="1143"/>
      <c r="U4239" s="1108"/>
      <c r="V4239" s="1108"/>
      <c r="W4239" s="1108"/>
      <c r="X4239" s="1108"/>
      <c r="Y4239" s="1108"/>
      <c r="Z4239" s="1114"/>
      <c r="AA4239" s="1114"/>
      <c r="AB4239" s="1114"/>
      <c r="AC4239" s="1117"/>
      <c r="AD4239" s="1115"/>
      <c r="AE4239" s="1115"/>
      <c r="AF4239" s="1115"/>
      <c r="AG4239" s="1115"/>
      <c r="AH4239" s="1115"/>
      <c r="AI4239" s="1115"/>
      <c r="AJ4239" s="1117"/>
      <c r="AK4239" s="1118"/>
      <c r="AL4239" s="1115"/>
      <c r="AM4239" s="1115"/>
      <c r="AN4239" s="1115"/>
      <c r="AO4239" s="1115"/>
      <c r="AP4239" s="1115"/>
      <c r="AQ4239" s="1115"/>
      <c r="AR4239" s="1115"/>
      <c r="AS4239" s="1117"/>
      <c r="AT4239" s="1075"/>
      <c r="AU4239" s="1193"/>
      <c r="AV4239" s="330"/>
      <c r="AW4239" s="331"/>
      <c r="AX4239" s="331"/>
      <c r="AY4239" s="331"/>
      <c r="AZ4239" s="331"/>
      <c r="BA4239" s="331"/>
      <c r="BB4239" s="331"/>
      <c r="BC4239" s="331"/>
      <c r="BD4239" s="331"/>
      <c r="BE4239" s="333"/>
      <c r="BF4239" s="330"/>
      <c r="BG4239" s="333"/>
      <c r="BH4239" s="1119"/>
      <c r="BI4239" s="319"/>
      <c r="BJ4239" s="319"/>
      <c r="BK4239" s="319"/>
      <c r="BL4239" s="319"/>
      <c r="BM4239" s="319"/>
      <c r="BN4239" s="319"/>
      <c r="BO4239" s="319"/>
      <c r="BP4239" s="953"/>
      <c r="BQ4239" s="319"/>
      <c r="BR4239" s="319"/>
      <c r="BS4239" s="330"/>
      <c r="BT4239" s="331"/>
      <c r="BU4239" s="920"/>
      <c r="BV4239" s="903"/>
      <c r="BW4239" s="908"/>
      <c r="BX4239" s="908"/>
      <c r="BY4239" s="331"/>
      <c r="BZ4239" s="331"/>
      <c r="CA4239" s="462"/>
      <c r="CB4239" s="319"/>
      <c r="CC4239" s="319"/>
      <c r="CD4239" s="319"/>
      <c r="CE4239" s="319"/>
      <c r="CF4239" s="319"/>
      <c r="CG4239" s="319"/>
      <c r="CH4239" s="318"/>
      <c r="CI4239" s="319"/>
      <c r="CJ4239" s="319"/>
      <c r="CK4239" s="342"/>
      <c r="CL4239" s="333"/>
      <c r="CM4239" s="1079"/>
      <c r="CN4239" s="1005"/>
      <c r="CO4239" s="1005"/>
      <c r="CP4239" s="1005"/>
    </row>
    <row r="4240">
      <c r="A4240" s="1257"/>
      <c r="B4240" s="1113"/>
      <c r="C4240" s="1107"/>
      <c r="D4240" s="103"/>
      <c r="E4240" s="1137"/>
      <c r="F4240" s="112"/>
      <c r="G4240" s="1110"/>
      <c r="H4240" s="1138"/>
      <c r="I4240" s="1138"/>
      <c r="J4240" s="1139"/>
      <c r="K4240" s="1111"/>
      <c r="L4240" s="1112"/>
      <c r="M4240" s="1113"/>
      <c r="N4240" s="110"/>
      <c r="O4240" s="1140"/>
      <c r="P4240" s="1115"/>
      <c r="Q4240" s="1116"/>
      <c r="R4240" s="1141"/>
      <c r="S4240" s="1113"/>
      <c r="T4240" s="1143"/>
      <c r="U4240" s="1108"/>
      <c r="V4240" s="1108"/>
      <c r="W4240" s="1108"/>
      <c r="X4240" s="1108"/>
      <c r="Y4240" s="1108"/>
      <c r="Z4240" s="1114"/>
      <c r="AA4240" s="1114"/>
      <c r="AB4240" s="1114"/>
      <c r="AC4240" s="1117"/>
      <c r="AD4240" s="1115"/>
      <c r="AE4240" s="1115"/>
      <c r="AF4240" s="1115"/>
      <c r="AG4240" s="1115"/>
      <c r="AH4240" s="1115"/>
      <c r="AI4240" s="1115"/>
      <c r="AJ4240" s="1117"/>
      <c r="AK4240" s="1118"/>
      <c r="AL4240" s="1115"/>
      <c r="AM4240" s="1115"/>
      <c r="AN4240" s="1115"/>
      <c r="AO4240" s="1115"/>
      <c r="AP4240" s="1115"/>
      <c r="AQ4240" s="1115"/>
      <c r="AR4240" s="1115"/>
      <c r="AS4240" s="1117"/>
      <c r="AT4240" s="1075"/>
      <c r="AU4240" s="1193"/>
      <c r="AV4240" s="330"/>
      <c r="AW4240" s="331"/>
      <c r="AX4240" s="331"/>
      <c r="AY4240" s="331"/>
      <c r="AZ4240" s="331"/>
      <c r="BA4240" s="331"/>
      <c r="BB4240" s="331"/>
      <c r="BC4240" s="331"/>
      <c r="BD4240" s="331"/>
      <c r="BE4240" s="333"/>
      <c r="BF4240" s="330"/>
      <c r="BG4240" s="333"/>
      <c r="BH4240" s="1119"/>
      <c r="BI4240" s="319"/>
      <c r="BJ4240" s="319"/>
      <c r="BK4240" s="319"/>
      <c r="BL4240" s="319"/>
      <c r="BM4240" s="319"/>
      <c r="BN4240" s="319"/>
      <c r="BO4240" s="319"/>
      <c r="BP4240" s="953"/>
      <c r="BQ4240" s="319"/>
      <c r="BR4240" s="319"/>
      <c r="BS4240" s="330"/>
      <c r="BT4240" s="331"/>
      <c r="BU4240" s="920"/>
      <c r="BV4240" s="903"/>
      <c r="BW4240" s="908"/>
      <c r="BX4240" s="908"/>
      <c r="BY4240" s="331"/>
      <c r="BZ4240" s="331"/>
      <c r="CA4240" s="462"/>
      <c r="CB4240" s="319"/>
      <c r="CC4240" s="319"/>
      <c r="CD4240" s="319"/>
      <c r="CE4240" s="319"/>
      <c r="CF4240" s="319"/>
      <c r="CG4240" s="319"/>
      <c r="CH4240" s="318"/>
      <c r="CI4240" s="319"/>
      <c r="CJ4240" s="319"/>
      <c r="CK4240" s="342"/>
      <c r="CL4240" s="333"/>
      <c r="CM4240" s="1079"/>
      <c r="CN4240" s="1005"/>
      <c r="CO4240" s="1005"/>
      <c r="CP4240" s="1005"/>
    </row>
    <row r="4241">
      <c r="A4241" s="1257"/>
      <c r="B4241" s="1113"/>
      <c r="C4241" s="1107"/>
      <c r="D4241" s="103"/>
      <c r="E4241" s="1137"/>
      <c r="F4241" s="112"/>
      <c r="G4241" s="1110"/>
      <c r="H4241" s="1138"/>
      <c r="I4241" s="1138"/>
      <c r="J4241" s="1139"/>
      <c r="K4241" s="1111"/>
      <c r="L4241" s="1112"/>
      <c r="M4241" s="1113"/>
      <c r="N4241" s="110"/>
      <c r="O4241" s="1140"/>
      <c r="P4241" s="1115"/>
      <c r="Q4241" s="1116"/>
      <c r="R4241" s="1141"/>
      <c r="S4241" s="1113"/>
      <c r="T4241" s="1143"/>
      <c r="U4241" s="1108"/>
      <c r="V4241" s="1108"/>
      <c r="W4241" s="1108"/>
      <c r="X4241" s="1108"/>
      <c r="Y4241" s="1108"/>
      <c r="Z4241" s="1114"/>
      <c r="AA4241" s="1114"/>
      <c r="AB4241" s="1114"/>
      <c r="AC4241" s="1117"/>
      <c r="AD4241" s="1115"/>
      <c r="AE4241" s="1115"/>
      <c r="AF4241" s="1115"/>
      <c r="AG4241" s="1115"/>
      <c r="AH4241" s="1115"/>
      <c r="AI4241" s="1115"/>
      <c r="AJ4241" s="1117"/>
      <c r="AK4241" s="1118"/>
      <c r="AL4241" s="1115"/>
      <c r="AM4241" s="1115"/>
      <c r="AN4241" s="1115"/>
      <c r="AO4241" s="1115"/>
      <c r="AP4241" s="1115"/>
      <c r="AQ4241" s="1115"/>
      <c r="AR4241" s="1115"/>
      <c r="AS4241" s="1117"/>
      <c r="AT4241" s="1075"/>
      <c r="AU4241" s="1193"/>
      <c r="AV4241" s="330"/>
      <c r="AW4241" s="331"/>
      <c r="AX4241" s="331"/>
      <c r="AY4241" s="331"/>
      <c r="AZ4241" s="331"/>
      <c r="BA4241" s="331"/>
      <c r="BB4241" s="331"/>
      <c r="BC4241" s="331"/>
      <c r="BD4241" s="331"/>
      <c r="BE4241" s="333"/>
      <c r="BF4241" s="330"/>
      <c r="BG4241" s="333"/>
      <c r="BH4241" s="1119"/>
      <c r="BI4241" s="319"/>
      <c r="BJ4241" s="319"/>
      <c r="BK4241" s="319"/>
      <c r="BL4241" s="319"/>
      <c r="BM4241" s="319"/>
      <c r="BN4241" s="319"/>
      <c r="BO4241" s="319"/>
      <c r="BP4241" s="953"/>
      <c r="BQ4241" s="319"/>
      <c r="BR4241" s="319"/>
      <c r="BS4241" s="330"/>
      <c r="BT4241" s="331"/>
      <c r="BU4241" s="920"/>
      <c r="BV4241" s="903"/>
      <c r="BW4241" s="908"/>
      <c r="BX4241" s="908"/>
      <c r="BY4241" s="331"/>
      <c r="BZ4241" s="331"/>
      <c r="CA4241" s="462"/>
      <c r="CB4241" s="319"/>
      <c r="CC4241" s="319"/>
      <c r="CD4241" s="319"/>
      <c r="CE4241" s="319"/>
      <c r="CF4241" s="319"/>
      <c r="CG4241" s="319"/>
      <c r="CH4241" s="318"/>
      <c r="CI4241" s="319"/>
      <c r="CJ4241" s="319"/>
      <c r="CK4241" s="342"/>
      <c r="CL4241" s="333"/>
      <c r="CM4241" s="1079"/>
      <c r="CN4241" s="1005"/>
      <c r="CO4241" s="1005"/>
      <c r="CP4241" s="1005"/>
    </row>
    <row r="4242">
      <c r="A4242" s="1257"/>
      <c r="B4242" s="1113"/>
      <c r="C4242" s="1107"/>
      <c r="D4242" s="103"/>
      <c r="E4242" s="1137"/>
      <c r="F4242" s="112"/>
      <c r="G4242" s="1110"/>
      <c r="H4242" s="1138"/>
      <c r="I4242" s="1138"/>
      <c r="J4242" s="1139"/>
      <c r="K4242" s="1111"/>
      <c r="L4242" s="1112"/>
      <c r="M4242" s="1113"/>
      <c r="N4242" s="110"/>
      <c r="O4242" s="1140"/>
      <c r="P4242" s="1115"/>
      <c r="Q4242" s="1116"/>
      <c r="R4242" s="1141"/>
      <c r="S4242" s="1113"/>
      <c r="T4242" s="1143"/>
      <c r="U4242" s="1108"/>
      <c r="V4242" s="1108"/>
      <c r="W4242" s="1108"/>
      <c r="X4242" s="1108"/>
      <c r="Y4242" s="1108"/>
      <c r="Z4242" s="1114"/>
      <c r="AA4242" s="1114"/>
      <c r="AB4242" s="1114"/>
      <c r="AC4242" s="1117"/>
      <c r="AD4242" s="1115"/>
      <c r="AE4242" s="1115"/>
      <c r="AF4242" s="1115"/>
      <c r="AG4242" s="1115"/>
      <c r="AH4242" s="1115"/>
      <c r="AI4242" s="1115"/>
      <c r="AJ4242" s="1117"/>
      <c r="AK4242" s="1118"/>
      <c r="AL4242" s="1115"/>
      <c r="AM4242" s="1115"/>
      <c r="AN4242" s="1115"/>
      <c r="AO4242" s="1115"/>
      <c r="AP4242" s="1115"/>
      <c r="AQ4242" s="1115"/>
      <c r="AR4242" s="1115"/>
      <c r="AS4242" s="1117"/>
      <c r="AT4242" s="1075"/>
      <c r="AU4242" s="1193"/>
      <c r="AV4242" s="330"/>
      <c r="AW4242" s="331"/>
      <c r="AX4242" s="331"/>
      <c r="AY4242" s="331"/>
      <c r="AZ4242" s="331"/>
      <c r="BA4242" s="331"/>
      <c r="BB4242" s="331"/>
      <c r="BC4242" s="331"/>
      <c r="BD4242" s="331"/>
      <c r="BE4242" s="333"/>
      <c r="BF4242" s="330"/>
      <c r="BG4242" s="333"/>
      <c r="BH4242" s="1119"/>
      <c r="BI4242" s="319"/>
      <c r="BJ4242" s="319"/>
      <c r="BK4242" s="319"/>
      <c r="BL4242" s="319"/>
      <c r="BM4242" s="319"/>
      <c r="BN4242" s="319"/>
      <c r="BO4242" s="319"/>
      <c r="BP4242" s="953"/>
      <c r="BQ4242" s="319"/>
      <c r="BR4242" s="319"/>
      <c r="BS4242" s="330"/>
      <c r="BT4242" s="331"/>
      <c r="BU4242" s="920"/>
      <c r="BV4242" s="903"/>
      <c r="BW4242" s="908"/>
      <c r="BX4242" s="908"/>
      <c r="BY4242" s="331"/>
      <c r="BZ4242" s="331"/>
      <c r="CA4242" s="462"/>
      <c r="CB4242" s="319"/>
      <c r="CC4242" s="319"/>
      <c r="CD4242" s="319"/>
      <c r="CE4242" s="319"/>
      <c r="CF4242" s="319"/>
      <c r="CG4242" s="319"/>
      <c r="CH4242" s="318"/>
      <c r="CI4242" s="319"/>
      <c r="CJ4242" s="319"/>
      <c r="CK4242" s="342"/>
      <c r="CL4242" s="333"/>
      <c r="CM4242" s="1079"/>
      <c r="CN4242" s="1005"/>
      <c r="CO4242" s="1005"/>
      <c r="CP4242" s="1005"/>
    </row>
    <row r="4243">
      <c r="A4243" s="1257"/>
      <c r="B4243" s="1113"/>
      <c r="C4243" s="1107"/>
      <c r="D4243" s="103"/>
      <c r="E4243" s="1137"/>
      <c r="F4243" s="112"/>
      <c r="G4243" s="1110"/>
      <c r="H4243" s="1138"/>
      <c r="I4243" s="1138"/>
      <c r="J4243" s="1139"/>
      <c r="K4243" s="1111"/>
      <c r="L4243" s="1112"/>
      <c r="M4243" s="1113"/>
      <c r="N4243" s="110"/>
      <c r="O4243" s="1140"/>
      <c r="P4243" s="1115"/>
      <c r="Q4243" s="1116"/>
      <c r="R4243" s="1141"/>
      <c r="S4243" s="1113"/>
      <c r="T4243" s="1143"/>
      <c r="U4243" s="1108"/>
      <c r="V4243" s="1108"/>
      <c r="W4243" s="1108"/>
      <c r="X4243" s="1108"/>
      <c r="Y4243" s="1108"/>
      <c r="Z4243" s="1114"/>
      <c r="AA4243" s="1114"/>
      <c r="AB4243" s="1114"/>
      <c r="AC4243" s="1117"/>
      <c r="AD4243" s="1115"/>
      <c r="AE4243" s="1115"/>
      <c r="AF4243" s="1115"/>
      <c r="AG4243" s="1115"/>
      <c r="AH4243" s="1115"/>
      <c r="AI4243" s="1115"/>
      <c r="AJ4243" s="1117"/>
      <c r="AK4243" s="1118"/>
      <c r="AL4243" s="1115"/>
      <c r="AM4243" s="1115"/>
      <c r="AN4243" s="1115"/>
      <c r="AO4243" s="1115"/>
      <c r="AP4243" s="1115"/>
      <c r="AQ4243" s="1115"/>
      <c r="AR4243" s="1115"/>
      <c r="AS4243" s="1117"/>
      <c r="AT4243" s="1075"/>
      <c r="AU4243" s="1193"/>
      <c r="AV4243" s="330"/>
      <c r="AW4243" s="331"/>
      <c r="AX4243" s="331"/>
      <c r="AY4243" s="331"/>
      <c r="AZ4243" s="331"/>
      <c r="BA4243" s="331"/>
      <c r="BB4243" s="331"/>
      <c r="BC4243" s="331"/>
      <c r="BD4243" s="331"/>
      <c r="BE4243" s="333"/>
      <c r="BF4243" s="330"/>
      <c r="BG4243" s="333"/>
      <c r="BH4243" s="1119"/>
      <c r="BI4243" s="319"/>
      <c r="BJ4243" s="319"/>
      <c r="BK4243" s="319"/>
      <c r="BL4243" s="319"/>
      <c r="BM4243" s="319"/>
      <c r="BN4243" s="319"/>
      <c r="BO4243" s="319"/>
      <c r="BP4243" s="953"/>
      <c r="BQ4243" s="319"/>
      <c r="BR4243" s="319"/>
      <c r="BS4243" s="330"/>
      <c r="BT4243" s="331"/>
      <c r="BU4243" s="920"/>
      <c r="BV4243" s="903"/>
      <c r="BW4243" s="908"/>
      <c r="BX4243" s="908"/>
      <c r="BY4243" s="331"/>
      <c r="BZ4243" s="331"/>
      <c r="CA4243" s="462"/>
      <c r="CB4243" s="319"/>
      <c r="CC4243" s="319"/>
      <c r="CD4243" s="319"/>
      <c r="CE4243" s="319"/>
      <c r="CF4243" s="319"/>
      <c r="CG4243" s="319"/>
      <c r="CH4243" s="318"/>
      <c r="CI4243" s="319"/>
      <c r="CJ4243" s="319"/>
      <c r="CK4243" s="342"/>
      <c r="CL4243" s="333"/>
      <c r="CM4243" s="1079"/>
      <c r="CN4243" s="1005"/>
      <c r="CO4243" s="1005"/>
      <c r="CP4243" s="1005"/>
    </row>
    <row r="4244">
      <c r="A4244" s="1257"/>
      <c r="B4244" s="1113"/>
      <c r="C4244" s="1107"/>
      <c r="D4244" s="103"/>
      <c r="E4244" s="1137"/>
      <c r="F4244" s="112"/>
      <c r="G4244" s="1110"/>
      <c r="H4244" s="1138"/>
      <c r="I4244" s="1138"/>
      <c r="J4244" s="1139"/>
      <c r="K4244" s="1111"/>
      <c r="L4244" s="1112"/>
      <c r="M4244" s="1113"/>
      <c r="N4244" s="110"/>
      <c r="O4244" s="1140"/>
      <c r="P4244" s="1115"/>
      <c r="Q4244" s="1116"/>
      <c r="R4244" s="1141"/>
      <c r="S4244" s="1113"/>
      <c r="T4244" s="1143"/>
      <c r="U4244" s="1108"/>
      <c r="V4244" s="1108"/>
      <c r="W4244" s="1108"/>
      <c r="X4244" s="1108"/>
      <c r="Y4244" s="1108"/>
      <c r="Z4244" s="1114"/>
      <c r="AA4244" s="1114"/>
      <c r="AB4244" s="1114"/>
      <c r="AC4244" s="1117"/>
      <c r="AD4244" s="1115"/>
      <c r="AE4244" s="1115"/>
      <c r="AF4244" s="1115"/>
      <c r="AG4244" s="1115"/>
      <c r="AH4244" s="1115"/>
      <c r="AI4244" s="1115"/>
      <c r="AJ4244" s="1117"/>
      <c r="AK4244" s="1118"/>
      <c r="AL4244" s="1115"/>
      <c r="AM4244" s="1115"/>
      <c r="AN4244" s="1115"/>
      <c r="AO4244" s="1115"/>
      <c r="AP4244" s="1115"/>
      <c r="AQ4244" s="1115"/>
      <c r="AR4244" s="1115"/>
      <c r="AS4244" s="1117"/>
      <c r="AT4244" s="1075"/>
      <c r="AU4244" s="1193"/>
      <c r="AV4244" s="330"/>
      <c r="AW4244" s="331"/>
      <c r="AX4244" s="331"/>
      <c r="AY4244" s="331"/>
      <c r="AZ4244" s="331"/>
      <c r="BA4244" s="331"/>
      <c r="BB4244" s="331"/>
      <c r="BC4244" s="331"/>
      <c r="BD4244" s="331"/>
      <c r="BE4244" s="333"/>
      <c r="BF4244" s="330"/>
      <c r="BG4244" s="333"/>
      <c r="BH4244" s="1119"/>
      <c r="BI4244" s="319"/>
      <c r="BJ4244" s="319"/>
      <c r="BK4244" s="319"/>
      <c r="BL4244" s="319"/>
      <c r="BM4244" s="319"/>
      <c r="BN4244" s="319"/>
      <c r="BO4244" s="319"/>
      <c r="BP4244" s="953"/>
      <c r="BQ4244" s="319"/>
      <c r="BR4244" s="319"/>
      <c r="BS4244" s="330"/>
      <c r="BT4244" s="331"/>
      <c r="BU4244" s="920"/>
      <c r="BV4244" s="903"/>
      <c r="BW4244" s="908"/>
      <c r="BX4244" s="908"/>
      <c r="BY4244" s="331"/>
      <c r="BZ4244" s="331"/>
      <c r="CA4244" s="462"/>
      <c r="CB4244" s="319"/>
      <c r="CC4244" s="319"/>
      <c r="CD4244" s="319"/>
      <c r="CE4244" s="319"/>
      <c r="CF4244" s="319"/>
      <c r="CG4244" s="319"/>
      <c r="CH4244" s="318"/>
      <c r="CI4244" s="319"/>
      <c r="CJ4244" s="319"/>
      <c r="CK4244" s="342"/>
      <c r="CL4244" s="333"/>
      <c r="CM4244" s="1079"/>
      <c r="CN4244" s="1005"/>
      <c r="CO4244" s="1005"/>
      <c r="CP4244" s="1005"/>
    </row>
    <row r="4245">
      <c r="A4245" s="1257"/>
      <c r="B4245" s="1113"/>
      <c r="C4245" s="1107"/>
      <c r="D4245" s="103"/>
      <c r="E4245" s="1137"/>
      <c r="F4245" s="112"/>
      <c r="G4245" s="1110"/>
      <c r="H4245" s="1138"/>
      <c r="I4245" s="1138"/>
      <c r="J4245" s="1139"/>
      <c r="K4245" s="1111"/>
      <c r="L4245" s="1112"/>
      <c r="M4245" s="1113"/>
      <c r="N4245" s="110"/>
      <c r="O4245" s="1140"/>
      <c r="P4245" s="1115"/>
      <c r="Q4245" s="1116"/>
      <c r="R4245" s="1141"/>
      <c r="S4245" s="1113"/>
      <c r="T4245" s="1143"/>
      <c r="U4245" s="1108"/>
      <c r="V4245" s="1108"/>
      <c r="W4245" s="1108"/>
      <c r="X4245" s="1108"/>
      <c r="Y4245" s="1108"/>
      <c r="Z4245" s="1114"/>
      <c r="AA4245" s="1114"/>
      <c r="AB4245" s="1114"/>
      <c r="AC4245" s="1117"/>
      <c r="AD4245" s="1115"/>
      <c r="AE4245" s="1115"/>
      <c r="AF4245" s="1115"/>
      <c r="AG4245" s="1115"/>
      <c r="AH4245" s="1115"/>
      <c r="AI4245" s="1115"/>
      <c r="AJ4245" s="1117"/>
      <c r="AK4245" s="1118"/>
      <c r="AL4245" s="1115"/>
      <c r="AM4245" s="1115"/>
      <c r="AN4245" s="1115"/>
      <c r="AO4245" s="1115"/>
      <c r="AP4245" s="1115"/>
      <c r="AQ4245" s="1115"/>
      <c r="AR4245" s="1115"/>
      <c r="AS4245" s="1117"/>
      <c r="AT4245" s="1075"/>
      <c r="AU4245" s="1193"/>
      <c r="AV4245" s="330"/>
      <c r="AW4245" s="331"/>
      <c r="AX4245" s="331"/>
      <c r="AY4245" s="331"/>
      <c r="AZ4245" s="331"/>
      <c r="BA4245" s="331"/>
      <c r="BB4245" s="331"/>
      <c r="BC4245" s="331"/>
      <c r="BD4245" s="331"/>
      <c r="BE4245" s="333"/>
      <c r="BF4245" s="330"/>
      <c r="BG4245" s="333"/>
      <c r="BH4245" s="1119"/>
      <c r="BI4245" s="319"/>
      <c r="BJ4245" s="319"/>
      <c r="BK4245" s="319"/>
      <c r="BL4245" s="319"/>
      <c r="BM4245" s="319"/>
      <c r="BN4245" s="319"/>
      <c r="BO4245" s="319"/>
      <c r="BP4245" s="953"/>
      <c r="BQ4245" s="319"/>
      <c r="BR4245" s="319"/>
      <c r="BS4245" s="330"/>
      <c r="BT4245" s="331"/>
      <c r="BU4245" s="920"/>
      <c r="BV4245" s="903"/>
      <c r="BW4245" s="908"/>
      <c r="BX4245" s="908"/>
      <c r="BY4245" s="331"/>
      <c r="BZ4245" s="331"/>
      <c r="CA4245" s="462"/>
      <c r="CB4245" s="319"/>
      <c r="CC4245" s="319"/>
      <c r="CD4245" s="319"/>
      <c r="CE4245" s="319"/>
      <c r="CF4245" s="319"/>
      <c r="CG4245" s="319"/>
      <c r="CH4245" s="318"/>
      <c r="CI4245" s="319"/>
      <c r="CJ4245" s="319"/>
      <c r="CK4245" s="342"/>
      <c r="CL4245" s="333"/>
      <c r="CM4245" s="1079"/>
      <c r="CN4245" s="1005"/>
      <c r="CO4245" s="1005"/>
      <c r="CP4245" s="1005"/>
    </row>
    <row r="4246">
      <c r="A4246" s="1257"/>
      <c r="B4246" s="1113"/>
      <c r="C4246" s="1107"/>
      <c r="D4246" s="103"/>
      <c r="E4246" s="1137"/>
      <c r="F4246" s="112"/>
      <c r="G4246" s="1110"/>
      <c r="H4246" s="1138"/>
      <c r="I4246" s="1138"/>
      <c r="J4246" s="1139"/>
      <c r="K4246" s="1111"/>
      <c r="L4246" s="1112"/>
      <c r="M4246" s="1113"/>
      <c r="N4246" s="110"/>
      <c r="O4246" s="1140"/>
      <c r="P4246" s="1115"/>
      <c r="Q4246" s="1116"/>
      <c r="R4246" s="1141"/>
      <c r="S4246" s="1113"/>
      <c r="T4246" s="1143"/>
      <c r="U4246" s="1108"/>
      <c r="V4246" s="1108"/>
      <c r="W4246" s="1108"/>
      <c r="X4246" s="1108"/>
      <c r="Y4246" s="1108"/>
      <c r="Z4246" s="1114"/>
      <c r="AA4246" s="1114"/>
      <c r="AB4246" s="1114"/>
      <c r="AC4246" s="1117"/>
      <c r="AD4246" s="1115"/>
      <c r="AE4246" s="1115"/>
      <c r="AF4246" s="1115"/>
      <c r="AG4246" s="1115"/>
      <c r="AH4246" s="1115"/>
      <c r="AI4246" s="1115"/>
      <c r="AJ4246" s="1117"/>
      <c r="AK4246" s="1118"/>
      <c r="AL4246" s="1115"/>
      <c r="AM4246" s="1115"/>
      <c r="AN4246" s="1115"/>
      <c r="AO4246" s="1115"/>
      <c r="AP4246" s="1115"/>
      <c r="AQ4246" s="1115"/>
      <c r="AR4246" s="1115"/>
      <c r="AS4246" s="1117"/>
      <c r="AT4246" s="1075"/>
      <c r="AU4246" s="1193"/>
      <c r="AV4246" s="330"/>
      <c r="AW4246" s="331"/>
      <c r="AX4246" s="331"/>
      <c r="AY4246" s="331"/>
      <c r="AZ4246" s="331"/>
      <c r="BA4246" s="331"/>
      <c r="BB4246" s="331"/>
      <c r="BC4246" s="331"/>
      <c r="BD4246" s="331"/>
      <c r="BE4246" s="333"/>
      <c r="BF4246" s="330"/>
      <c r="BG4246" s="333"/>
      <c r="BH4246" s="1119"/>
      <c r="BI4246" s="319"/>
      <c r="BJ4246" s="319"/>
      <c r="BK4246" s="319"/>
      <c r="BL4246" s="319"/>
      <c r="BM4246" s="319"/>
      <c r="BN4246" s="319"/>
      <c r="BO4246" s="319"/>
      <c r="BP4246" s="953"/>
      <c r="BQ4246" s="319"/>
      <c r="BR4246" s="319"/>
      <c r="BS4246" s="330"/>
      <c r="BT4246" s="331"/>
      <c r="BU4246" s="920"/>
      <c r="BV4246" s="903"/>
      <c r="BW4246" s="908"/>
      <c r="BX4246" s="908"/>
      <c r="BY4246" s="331"/>
      <c r="BZ4246" s="331"/>
      <c r="CA4246" s="462"/>
      <c r="CB4246" s="319"/>
      <c r="CC4246" s="319"/>
      <c r="CD4246" s="319"/>
      <c r="CE4246" s="319"/>
      <c r="CF4246" s="319"/>
      <c r="CG4246" s="319"/>
      <c r="CH4246" s="318"/>
      <c r="CI4246" s="319"/>
      <c r="CJ4246" s="319"/>
      <c r="CK4246" s="342"/>
      <c r="CL4246" s="333"/>
      <c r="CM4246" s="1079"/>
      <c r="CN4246" s="1005"/>
      <c r="CO4246" s="1005"/>
      <c r="CP4246" s="1005"/>
    </row>
    <row r="4247">
      <c r="A4247" s="1257"/>
      <c r="B4247" s="1113"/>
      <c r="C4247" s="1107"/>
      <c r="D4247" s="103"/>
      <c r="E4247" s="1137"/>
      <c r="F4247" s="112"/>
      <c r="G4247" s="1110"/>
      <c r="H4247" s="1138"/>
      <c r="I4247" s="1138"/>
      <c r="J4247" s="1139"/>
      <c r="K4247" s="1111"/>
      <c r="L4247" s="1112"/>
      <c r="M4247" s="1113"/>
      <c r="N4247" s="110"/>
      <c r="O4247" s="1140"/>
      <c r="P4247" s="1115"/>
      <c r="Q4247" s="1116"/>
      <c r="R4247" s="1141"/>
      <c r="S4247" s="1113"/>
      <c r="T4247" s="1143"/>
      <c r="U4247" s="1108"/>
      <c r="V4247" s="1108"/>
      <c r="W4247" s="1108"/>
      <c r="X4247" s="1108"/>
      <c r="Y4247" s="1108"/>
      <c r="Z4247" s="1114"/>
      <c r="AA4247" s="1114"/>
      <c r="AB4247" s="1114"/>
      <c r="AC4247" s="1117"/>
      <c r="AD4247" s="1115"/>
      <c r="AE4247" s="1115"/>
      <c r="AF4247" s="1115"/>
      <c r="AG4247" s="1115"/>
      <c r="AH4247" s="1115"/>
      <c r="AI4247" s="1115"/>
      <c r="AJ4247" s="1117"/>
      <c r="AK4247" s="1118"/>
      <c r="AL4247" s="1115"/>
      <c r="AM4247" s="1115"/>
      <c r="AN4247" s="1115"/>
      <c r="AO4247" s="1115"/>
      <c r="AP4247" s="1115"/>
      <c r="AQ4247" s="1115"/>
      <c r="AR4247" s="1115"/>
      <c r="AS4247" s="1117"/>
      <c r="AT4247" s="1075"/>
      <c r="AU4247" s="1193"/>
      <c r="AV4247" s="330"/>
      <c r="AW4247" s="331"/>
      <c r="AX4247" s="331"/>
      <c r="AY4247" s="331"/>
      <c r="AZ4247" s="331"/>
      <c r="BA4247" s="331"/>
      <c r="BB4247" s="331"/>
      <c r="BC4247" s="331"/>
      <c r="BD4247" s="331"/>
      <c r="BE4247" s="333"/>
      <c r="BF4247" s="330"/>
      <c r="BG4247" s="333"/>
      <c r="BH4247" s="1119"/>
      <c r="BI4247" s="319"/>
      <c r="BJ4247" s="319"/>
      <c r="BK4247" s="319"/>
      <c r="BL4247" s="319"/>
      <c r="BM4247" s="319"/>
      <c r="BN4247" s="319"/>
      <c r="BO4247" s="319"/>
      <c r="BP4247" s="953"/>
      <c r="BQ4247" s="319"/>
      <c r="BR4247" s="319"/>
      <c r="BS4247" s="330"/>
      <c r="BT4247" s="331"/>
      <c r="BU4247" s="920"/>
      <c r="BV4247" s="903"/>
      <c r="BW4247" s="908"/>
      <c r="BX4247" s="908"/>
      <c r="BY4247" s="331"/>
      <c r="BZ4247" s="331"/>
      <c r="CA4247" s="462"/>
      <c r="CB4247" s="319"/>
      <c r="CC4247" s="319"/>
      <c r="CD4247" s="319"/>
      <c r="CE4247" s="319"/>
      <c r="CF4247" s="319"/>
      <c r="CG4247" s="319"/>
      <c r="CH4247" s="318"/>
      <c r="CI4247" s="319"/>
      <c r="CJ4247" s="319"/>
      <c r="CK4247" s="342"/>
      <c r="CL4247" s="333"/>
      <c r="CM4247" s="1079"/>
      <c r="CN4247" s="1005"/>
      <c r="CO4247" s="1005"/>
      <c r="CP4247" s="1005"/>
    </row>
    <row r="4248">
      <c r="A4248" s="1257"/>
      <c r="B4248" s="1113"/>
      <c r="C4248" s="1107"/>
      <c r="D4248" s="103"/>
      <c r="E4248" s="1137"/>
      <c r="F4248" s="112"/>
      <c r="G4248" s="1110"/>
      <c r="H4248" s="1138"/>
      <c r="I4248" s="1138"/>
      <c r="J4248" s="1139"/>
      <c r="K4248" s="1111"/>
      <c r="L4248" s="1112"/>
      <c r="M4248" s="1113"/>
      <c r="N4248" s="110"/>
      <c r="O4248" s="1140"/>
      <c r="P4248" s="1115"/>
      <c r="Q4248" s="1116"/>
      <c r="R4248" s="1141"/>
      <c r="S4248" s="1113"/>
      <c r="T4248" s="1143"/>
      <c r="U4248" s="1108"/>
      <c r="V4248" s="1108"/>
      <c r="W4248" s="1108"/>
      <c r="X4248" s="1108"/>
      <c r="Y4248" s="1108"/>
      <c r="Z4248" s="1114"/>
      <c r="AA4248" s="1114"/>
      <c r="AB4248" s="1114"/>
      <c r="AC4248" s="1117"/>
      <c r="AD4248" s="1115"/>
      <c r="AE4248" s="1115"/>
      <c r="AF4248" s="1115"/>
      <c r="AG4248" s="1115"/>
      <c r="AH4248" s="1115"/>
      <c r="AI4248" s="1115"/>
      <c r="AJ4248" s="1117"/>
      <c r="AK4248" s="1118"/>
      <c r="AL4248" s="1115"/>
      <c r="AM4248" s="1115"/>
      <c r="AN4248" s="1115"/>
      <c r="AO4248" s="1115"/>
      <c r="AP4248" s="1115"/>
      <c r="AQ4248" s="1115"/>
      <c r="AR4248" s="1115"/>
      <c r="AS4248" s="1117"/>
      <c r="AT4248" s="1075"/>
      <c r="AU4248" s="1193"/>
      <c r="AV4248" s="330"/>
      <c r="AW4248" s="331"/>
      <c r="AX4248" s="331"/>
      <c r="AY4248" s="331"/>
      <c r="AZ4248" s="331"/>
      <c r="BA4248" s="331"/>
      <c r="BB4248" s="331"/>
      <c r="BC4248" s="331"/>
      <c r="BD4248" s="331"/>
      <c r="BE4248" s="333"/>
      <c r="BF4248" s="330"/>
      <c r="BG4248" s="333"/>
      <c r="BH4248" s="1119"/>
      <c r="BI4248" s="319"/>
      <c r="BJ4248" s="319"/>
      <c r="BK4248" s="319"/>
      <c r="BL4248" s="319"/>
      <c r="BM4248" s="319"/>
      <c r="BN4248" s="319"/>
      <c r="BO4248" s="319"/>
      <c r="BP4248" s="953"/>
      <c r="BQ4248" s="319"/>
      <c r="BR4248" s="319"/>
      <c r="BS4248" s="330"/>
      <c r="BT4248" s="331"/>
      <c r="BU4248" s="920"/>
      <c r="BV4248" s="903"/>
      <c r="BW4248" s="908"/>
      <c r="BX4248" s="908"/>
      <c r="BY4248" s="331"/>
      <c r="BZ4248" s="331"/>
      <c r="CA4248" s="462"/>
      <c r="CB4248" s="319"/>
      <c r="CC4248" s="319"/>
      <c r="CD4248" s="319"/>
      <c r="CE4248" s="319"/>
      <c r="CF4248" s="319"/>
      <c r="CG4248" s="319"/>
      <c r="CH4248" s="318"/>
      <c r="CI4248" s="319"/>
      <c r="CJ4248" s="319"/>
      <c r="CK4248" s="342"/>
      <c r="CL4248" s="333"/>
      <c r="CM4248" s="1079"/>
      <c r="CN4248" s="1005"/>
      <c r="CO4248" s="1005"/>
      <c r="CP4248" s="1005"/>
    </row>
    <row r="4249">
      <c r="A4249" s="1257"/>
      <c r="B4249" s="1113"/>
      <c r="C4249" s="1107"/>
      <c r="D4249" s="103"/>
      <c r="E4249" s="1137"/>
      <c r="F4249" s="112"/>
      <c r="G4249" s="1110"/>
      <c r="H4249" s="1138"/>
      <c r="I4249" s="1138"/>
      <c r="J4249" s="1139"/>
      <c r="K4249" s="1111"/>
      <c r="L4249" s="1112"/>
      <c r="M4249" s="1113"/>
      <c r="N4249" s="110"/>
      <c r="O4249" s="1140"/>
      <c r="P4249" s="1115"/>
      <c r="Q4249" s="1116"/>
      <c r="R4249" s="1141"/>
      <c r="S4249" s="1113"/>
      <c r="T4249" s="1143"/>
      <c r="U4249" s="1108"/>
      <c r="V4249" s="1108"/>
      <c r="W4249" s="1108"/>
      <c r="X4249" s="1108"/>
      <c r="Y4249" s="1108"/>
      <c r="Z4249" s="1114"/>
      <c r="AA4249" s="1114"/>
      <c r="AB4249" s="1114"/>
      <c r="AC4249" s="1117"/>
      <c r="AD4249" s="1115"/>
      <c r="AE4249" s="1115"/>
      <c r="AF4249" s="1115"/>
      <c r="AG4249" s="1115"/>
      <c r="AH4249" s="1115"/>
      <c r="AI4249" s="1115"/>
      <c r="AJ4249" s="1117"/>
      <c r="AK4249" s="1118"/>
      <c r="AL4249" s="1115"/>
      <c r="AM4249" s="1115"/>
      <c r="AN4249" s="1115"/>
      <c r="AO4249" s="1115"/>
      <c r="AP4249" s="1115"/>
      <c r="AQ4249" s="1115"/>
      <c r="AR4249" s="1115"/>
      <c r="AS4249" s="1117"/>
      <c r="AT4249" s="1075"/>
      <c r="AU4249" s="1193"/>
      <c r="AV4249" s="330"/>
      <c r="AW4249" s="331"/>
      <c r="AX4249" s="331"/>
      <c r="AY4249" s="331"/>
      <c r="AZ4249" s="331"/>
      <c r="BA4249" s="331"/>
      <c r="BB4249" s="331"/>
      <c r="BC4249" s="331"/>
      <c r="BD4249" s="331"/>
      <c r="BE4249" s="333"/>
      <c r="BF4249" s="330"/>
      <c r="BG4249" s="333"/>
      <c r="BH4249" s="1119"/>
      <c r="BI4249" s="319"/>
      <c r="BJ4249" s="319"/>
      <c r="BK4249" s="319"/>
      <c r="BL4249" s="319"/>
      <c r="BM4249" s="319"/>
      <c r="BN4249" s="319"/>
      <c r="BO4249" s="319"/>
      <c r="BP4249" s="953"/>
      <c r="BQ4249" s="319"/>
      <c r="BR4249" s="319"/>
      <c r="BS4249" s="330"/>
      <c r="BT4249" s="331"/>
      <c r="BU4249" s="920"/>
      <c r="BV4249" s="903"/>
      <c r="BW4249" s="908"/>
      <c r="BX4249" s="908"/>
      <c r="BY4249" s="331"/>
      <c r="BZ4249" s="331"/>
      <c r="CA4249" s="462"/>
      <c r="CB4249" s="319"/>
      <c r="CC4249" s="319"/>
      <c r="CD4249" s="319"/>
      <c r="CE4249" s="319"/>
      <c r="CF4249" s="319"/>
      <c r="CG4249" s="319"/>
      <c r="CH4249" s="318"/>
      <c r="CI4249" s="319"/>
      <c r="CJ4249" s="319"/>
      <c r="CK4249" s="342"/>
      <c r="CL4249" s="333"/>
      <c r="CM4249" s="1079"/>
      <c r="CN4249" s="1005"/>
      <c r="CO4249" s="1005"/>
      <c r="CP4249" s="1005"/>
    </row>
    <row r="4250">
      <c r="A4250" s="1257"/>
      <c r="B4250" s="1113"/>
      <c r="C4250" s="1107"/>
      <c r="D4250" s="103"/>
      <c r="E4250" s="1137"/>
      <c r="F4250" s="112"/>
      <c r="G4250" s="1110"/>
      <c r="H4250" s="1138"/>
      <c r="I4250" s="1138"/>
      <c r="J4250" s="1139"/>
      <c r="K4250" s="1111"/>
      <c r="L4250" s="1112"/>
      <c r="M4250" s="1113"/>
      <c r="N4250" s="110"/>
      <c r="O4250" s="1140"/>
      <c r="P4250" s="1115"/>
      <c r="Q4250" s="1116"/>
      <c r="R4250" s="1141"/>
      <c r="S4250" s="1113"/>
      <c r="T4250" s="1143"/>
      <c r="U4250" s="1108"/>
      <c r="V4250" s="1108"/>
      <c r="W4250" s="1108"/>
      <c r="X4250" s="1108"/>
      <c r="Y4250" s="1108"/>
      <c r="Z4250" s="1114"/>
      <c r="AA4250" s="1114"/>
      <c r="AB4250" s="1114"/>
      <c r="AC4250" s="1117"/>
      <c r="AD4250" s="1115"/>
      <c r="AE4250" s="1115"/>
      <c r="AF4250" s="1115"/>
      <c r="AG4250" s="1115"/>
      <c r="AH4250" s="1115"/>
      <c r="AI4250" s="1115"/>
      <c r="AJ4250" s="1117"/>
      <c r="AK4250" s="1118"/>
      <c r="AL4250" s="1115"/>
      <c r="AM4250" s="1115"/>
      <c r="AN4250" s="1115"/>
      <c r="AO4250" s="1115"/>
      <c r="AP4250" s="1115"/>
      <c r="AQ4250" s="1115"/>
      <c r="AR4250" s="1115"/>
      <c r="AS4250" s="1117"/>
      <c r="AT4250" s="1075"/>
      <c r="AU4250" s="1193"/>
      <c r="AV4250" s="330"/>
      <c r="AW4250" s="331"/>
      <c r="AX4250" s="331"/>
      <c r="AY4250" s="331"/>
      <c r="AZ4250" s="331"/>
      <c r="BA4250" s="331"/>
      <c r="BB4250" s="331"/>
      <c r="BC4250" s="331"/>
      <c r="BD4250" s="331"/>
      <c r="BE4250" s="333"/>
      <c r="BF4250" s="330"/>
      <c r="BG4250" s="333"/>
      <c r="BH4250" s="1119"/>
      <c r="BI4250" s="319"/>
      <c r="BJ4250" s="319"/>
      <c r="BK4250" s="319"/>
      <c r="BL4250" s="319"/>
      <c r="BM4250" s="319"/>
      <c r="BN4250" s="319"/>
      <c r="BO4250" s="319"/>
      <c r="BP4250" s="953"/>
      <c r="BQ4250" s="319"/>
      <c r="BR4250" s="319"/>
      <c r="BS4250" s="330"/>
      <c r="BT4250" s="331"/>
      <c r="BU4250" s="920"/>
      <c r="BV4250" s="903"/>
      <c r="BW4250" s="908"/>
      <c r="BX4250" s="908"/>
      <c r="BY4250" s="331"/>
      <c r="BZ4250" s="331"/>
      <c r="CA4250" s="462"/>
      <c r="CB4250" s="319"/>
      <c r="CC4250" s="319"/>
      <c r="CD4250" s="319"/>
      <c r="CE4250" s="319"/>
      <c r="CF4250" s="319"/>
      <c r="CG4250" s="319"/>
      <c r="CH4250" s="318"/>
      <c r="CI4250" s="319"/>
      <c r="CJ4250" s="319"/>
      <c r="CK4250" s="342"/>
      <c r="CL4250" s="333"/>
      <c r="CM4250" s="1079"/>
      <c r="CN4250" s="1005"/>
      <c r="CO4250" s="1005"/>
      <c r="CP4250" s="1005"/>
    </row>
    <row r="4251">
      <c r="A4251" s="1257"/>
      <c r="B4251" s="1113"/>
      <c r="C4251" s="1107"/>
      <c r="D4251" s="103"/>
      <c r="E4251" s="1137"/>
      <c r="F4251" s="112"/>
      <c r="G4251" s="1110"/>
      <c r="H4251" s="1138"/>
      <c r="I4251" s="1138"/>
      <c r="J4251" s="1139"/>
      <c r="K4251" s="1111"/>
      <c r="L4251" s="1112"/>
      <c r="M4251" s="1113"/>
      <c r="N4251" s="110"/>
      <c r="O4251" s="1140"/>
      <c r="P4251" s="1115"/>
      <c r="Q4251" s="1116"/>
      <c r="R4251" s="1141"/>
      <c r="S4251" s="1113"/>
      <c r="T4251" s="1143"/>
      <c r="U4251" s="1108"/>
      <c r="V4251" s="1108"/>
      <c r="W4251" s="1108"/>
      <c r="X4251" s="1108"/>
      <c r="Y4251" s="1108"/>
      <c r="Z4251" s="1114"/>
      <c r="AA4251" s="1114"/>
      <c r="AB4251" s="1114"/>
      <c r="AC4251" s="1117"/>
      <c r="AD4251" s="1115"/>
      <c r="AE4251" s="1115"/>
      <c r="AF4251" s="1115"/>
      <c r="AG4251" s="1115"/>
      <c r="AH4251" s="1115"/>
      <c r="AI4251" s="1115"/>
      <c r="AJ4251" s="1117"/>
      <c r="AK4251" s="1118"/>
      <c r="AL4251" s="1115"/>
      <c r="AM4251" s="1115"/>
      <c r="AN4251" s="1115"/>
      <c r="AO4251" s="1115"/>
      <c r="AP4251" s="1115"/>
      <c r="AQ4251" s="1115"/>
      <c r="AR4251" s="1115"/>
      <c r="AS4251" s="1117"/>
      <c r="AT4251" s="1075"/>
      <c r="AU4251" s="1193"/>
      <c r="AV4251" s="330"/>
      <c r="AW4251" s="331"/>
      <c r="AX4251" s="331"/>
      <c r="AY4251" s="331"/>
      <c r="AZ4251" s="331"/>
      <c r="BA4251" s="331"/>
      <c r="BB4251" s="331"/>
      <c r="BC4251" s="331"/>
      <c r="BD4251" s="331"/>
      <c r="BE4251" s="333"/>
      <c r="BF4251" s="330"/>
      <c r="BG4251" s="333"/>
      <c r="BH4251" s="1119"/>
      <c r="BI4251" s="319"/>
      <c r="BJ4251" s="319"/>
      <c r="BK4251" s="319"/>
      <c r="BL4251" s="319"/>
      <c r="BM4251" s="319"/>
      <c r="BN4251" s="319"/>
      <c r="BO4251" s="319"/>
      <c r="BP4251" s="953"/>
      <c r="BQ4251" s="319"/>
      <c r="BR4251" s="319"/>
      <c r="BS4251" s="330"/>
      <c r="BT4251" s="331"/>
      <c r="BU4251" s="920"/>
      <c r="BV4251" s="903"/>
      <c r="BW4251" s="908"/>
      <c r="BX4251" s="908"/>
      <c r="BY4251" s="331"/>
      <c r="BZ4251" s="331"/>
      <c r="CA4251" s="462"/>
      <c r="CB4251" s="319"/>
      <c r="CC4251" s="319"/>
      <c r="CD4251" s="319"/>
      <c r="CE4251" s="319"/>
      <c r="CF4251" s="319"/>
      <c r="CG4251" s="319"/>
      <c r="CH4251" s="318"/>
      <c r="CI4251" s="319"/>
      <c r="CJ4251" s="319"/>
      <c r="CK4251" s="342"/>
      <c r="CL4251" s="333"/>
      <c r="CM4251" s="1079"/>
      <c r="CN4251" s="1005"/>
      <c r="CO4251" s="1005"/>
      <c r="CP4251" s="1005"/>
    </row>
    <row r="4252">
      <c r="A4252" s="1257"/>
      <c r="B4252" s="1113"/>
      <c r="C4252" s="1107"/>
      <c r="D4252" s="103"/>
      <c r="E4252" s="1137"/>
      <c r="F4252" s="112"/>
      <c r="G4252" s="1110"/>
      <c r="H4252" s="1138"/>
      <c r="I4252" s="1138"/>
      <c r="J4252" s="1139"/>
      <c r="K4252" s="1111"/>
      <c r="L4252" s="1112"/>
      <c r="M4252" s="1113"/>
      <c r="N4252" s="110"/>
      <c r="O4252" s="1140"/>
      <c r="P4252" s="1115"/>
      <c r="Q4252" s="1116"/>
      <c r="R4252" s="1141"/>
      <c r="S4252" s="1113"/>
      <c r="T4252" s="1143"/>
      <c r="U4252" s="1108"/>
      <c r="V4252" s="1108"/>
      <c r="W4252" s="1108"/>
      <c r="X4252" s="1108"/>
      <c r="Y4252" s="1108"/>
      <c r="Z4252" s="1114"/>
      <c r="AA4252" s="1114"/>
      <c r="AB4252" s="1114"/>
      <c r="AC4252" s="1117"/>
      <c r="AD4252" s="1115"/>
      <c r="AE4252" s="1115"/>
      <c r="AF4252" s="1115"/>
      <c r="AG4252" s="1115"/>
      <c r="AH4252" s="1115"/>
      <c r="AI4252" s="1115"/>
      <c r="AJ4252" s="1117"/>
      <c r="AK4252" s="1118"/>
      <c r="AL4252" s="1115"/>
      <c r="AM4252" s="1115"/>
      <c r="AN4252" s="1115"/>
      <c r="AO4252" s="1115"/>
      <c r="AP4252" s="1115"/>
      <c r="AQ4252" s="1115"/>
      <c r="AR4252" s="1115"/>
      <c r="AS4252" s="1117"/>
      <c r="AT4252" s="1075"/>
      <c r="AU4252" s="1193"/>
      <c r="AV4252" s="330"/>
      <c r="AW4252" s="331"/>
      <c r="AX4252" s="331"/>
      <c r="AY4252" s="331"/>
      <c r="AZ4252" s="331"/>
      <c r="BA4252" s="331"/>
      <c r="BB4252" s="331"/>
      <c r="BC4252" s="331"/>
      <c r="BD4252" s="331"/>
      <c r="BE4252" s="333"/>
      <c r="BF4252" s="330"/>
      <c r="BG4252" s="333"/>
      <c r="BH4252" s="1119"/>
      <c r="BI4252" s="319"/>
      <c r="BJ4252" s="319"/>
      <c r="BK4252" s="319"/>
      <c r="BL4252" s="319"/>
      <c r="BM4252" s="319"/>
      <c r="BN4252" s="319"/>
      <c r="BO4252" s="319"/>
      <c r="BP4252" s="953"/>
      <c r="BQ4252" s="319"/>
      <c r="BR4252" s="319"/>
      <c r="BS4252" s="330"/>
      <c r="BT4252" s="331"/>
      <c r="BU4252" s="920"/>
      <c r="BV4252" s="903"/>
      <c r="BW4252" s="908"/>
      <c r="BX4252" s="908"/>
      <c r="BY4252" s="331"/>
      <c r="BZ4252" s="331"/>
      <c r="CA4252" s="462"/>
      <c r="CB4252" s="319"/>
      <c r="CC4252" s="319"/>
      <c r="CD4252" s="319"/>
      <c r="CE4252" s="319"/>
      <c r="CF4252" s="319"/>
      <c r="CG4252" s="319"/>
      <c r="CH4252" s="318"/>
      <c r="CI4252" s="319"/>
      <c r="CJ4252" s="319"/>
      <c r="CK4252" s="342"/>
      <c r="CL4252" s="333"/>
      <c r="CM4252" s="1079"/>
      <c r="CN4252" s="1005"/>
      <c r="CO4252" s="1005"/>
      <c r="CP4252" s="1005"/>
    </row>
    <row r="4253">
      <c r="A4253" s="1257"/>
      <c r="B4253" s="1113"/>
      <c r="C4253" s="1107"/>
      <c r="D4253" s="103"/>
      <c r="E4253" s="1137"/>
      <c r="F4253" s="112"/>
      <c r="G4253" s="1110"/>
      <c r="H4253" s="1138"/>
      <c r="I4253" s="1138"/>
      <c r="J4253" s="1139"/>
      <c r="K4253" s="1111"/>
      <c r="L4253" s="1112"/>
      <c r="M4253" s="1113"/>
      <c r="N4253" s="110"/>
      <c r="O4253" s="1140"/>
      <c r="P4253" s="1115"/>
      <c r="Q4253" s="1116"/>
      <c r="R4253" s="1141"/>
      <c r="S4253" s="1113"/>
      <c r="T4253" s="1143"/>
      <c r="U4253" s="1108"/>
      <c r="V4253" s="1108"/>
      <c r="W4253" s="1108"/>
      <c r="X4253" s="1108"/>
      <c r="Y4253" s="1108"/>
      <c r="Z4253" s="1114"/>
      <c r="AA4253" s="1114"/>
      <c r="AB4253" s="1114"/>
      <c r="AC4253" s="1117"/>
      <c r="AD4253" s="1115"/>
      <c r="AE4253" s="1115"/>
      <c r="AF4253" s="1115"/>
      <c r="AG4253" s="1115"/>
      <c r="AH4253" s="1115"/>
      <c r="AI4253" s="1115"/>
      <c r="AJ4253" s="1117"/>
      <c r="AK4253" s="1118"/>
      <c r="AL4253" s="1115"/>
      <c r="AM4253" s="1115"/>
      <c r="AN4253" s="1115"/>
      <c r="AO4253" s="1115"/>
      <c r="AP4253" s="1115"/>
      <c r="AQ4253" s="1115"/>
      <c r="AR4253" s="1115"/>
      <c r="AS4253" s="1117"/>
      <c r="AT4253" s="1075"/>
      <c r="AU4253" s="1193"/>
      <c r="AV4253" s="330"/>
      <c r="AW4253" s="331"/>
      <c r="AX4253" s="331"/>
      <c r="AY4253" s="331"/>
      <c r="AZ4253" s="331"/>
      <c r="BA4253" s="331"/>
      <c r="BB4253" s="331"/>
      <c r="BC4253" s="331"/>
      <c r="BD4253" s="331"/>
      <c r="BE4253" s="333"/>
      <c r="BF4253" s="330"/>
      <c r="BG4253" s="333"/>
      <c r="BH4253" s="1119"/>
      <c r="BI4253" s="319"/>
      <c r="BJ4253" s="319"/>
      <c r="BK4253" s="319"/>
      <c r="BL4253" s="319"/>
      <c r="BM4253" s="319"/>
      <c r="BN4253" s="319"/>
      <c r="BO4253" s="319"/>
      <c r="BP4253" s="953"/>
      <c r="BQ4253" s="319"/>
      <c r="BR4253" s="319"/>
      <c r="BS4253" s="330"/>
      <c r="BT4253" s="331"/>
      <c r="BU4253" s="920"/>
      <c r="BV4253" s="903"/>
      <c r="BW4253" s="908"/>
      <c r="BX4253" s="908"/>
      <c r="BY4253" s="331"/>
      <c r="BZ4253" s="331"/>
      <c r="CA4253" s="462"/>
      <c r="CB4253" s="319"/>
      <c r="CC4253" s="319"/>
      <c r="CD4253" s="319"/>
      <c r="CE4253" s="319"/>
      <c r="CF4253" s="319"/>
      <c r="CG4253" s="319"/>
      <c r="CH4253" s="318"/>
      <c r="CI4253" s="319"/>
      <c r="CJ4253" s="319"/>
      <c r="CK4253" s="342"/>
      <c r="CL4253" s="333"/>
      <c r="CM4253" s="1079"/>
      <c r="CN4253" s="1005"/>
      <c r="CO4253" s="1005"/>
      <c r="CP4253" s="1005"/>
    </row>
    <row r="4254">
      <c r="A4254" s="1257"/>
      <c r="B4254" s="1113"/>
      <c r="C4254" s="1107"/>
      <c r="D4254" s="103"/>
      <c r="E4254" s="1137"/>
      <c r="F4254" s="112"/>
      <c r="G4254" s="1110"/>
      <c r="H4254" s="1138"/>
      <c r="I4254" s="1138"/>
      <c r="J4254" s="1139"/>
      <c r="K4254" s="1111"/>
      <c r="L4254" s="1112"/>
      <c r="M4254" s="1113"/>
      <c r="N4254" s="110"/>
      <c r="O4254" s="1140"/>
      <c r="P4254" s="1115"/>
      <c r="Q4254" s="1116"/>
      <c r="R4254" s="1141"/>
      <c r="S4254" s="1113"/>
      <c r="T4254" s="1143"/>
      <c r="U4254" s="1108"/>
      <c r="V4254" s="1108"/>
      <c r="W4254" s="1108"/>
      <c r="X4254" s="1108"/>
      <c r="Y4254" s="1108"/>
      <c r="Z4254" s="1114"/>
      <c r="AA4254" s="1114"/>
      <c r="AB4254" s="1114"/>
      <c r="AC4254" s="1117"/>
      <c r="AD4254" s="1115"/>
      <c r="AE4254" s="1115"/>
      <c r="AF4254" s="1115"/>
      <c r="AG4254" s="1115"/>
      <c r="AH4254" s="1115"/>
      <c r="AI4254" s="1115"/>
      <c r="AJ4254" s="1117"/>
      <c r="AK4254" s="1118"/>
      <c r="AL4254" s="1115"/>
      <c r="AM4254" s="1115"/>
      <c r="AN4254" s="1115"/>
      <c r="AO4254" s="1115"/>
      <c r="AP4254" s="1115"/>
      <c r="AQ4254" s="1115"/>
      <c r="AR4254" s="1115"/>
      <c r="AS4254" s="1117"/>
      <c r="AT4254" s="1075"/>
      <c r="AU4254" s="1193"/>
      <c r="AV4254" s="330"/>
      <c r="AW4254" s="331"/>
      <c r="AX4254" s="331"/>
      <c r="AY4254" s="331"/>
      <c r="AZ4254" s="331"/>
      <c r="BA4254" s="331"/>
      <c r="BB4254" s="331"/>
      <c r="BC4254" s="331"/>
      <c r="BD4254" s="331"/>
      <c r="BE4254" s="333"/>
      <c r="BF4254" s="330"/>
      <c r="BG4254" s="333"/>
      <c r="BH4254" s="1119"/>
      <c r="BI4254" s="319"/>
      <c r="BJ4254" s="319"/>
      <c r="BK4254" s="319"/>
      <c r="BL4254" s="319"/>
      <c r="BM4254" s="319"/>
      <c r="BN4254" s="319"/>
      <c r="BO4254" s="319"/>
      <c r="BP4254" s="953"/>
      <c r="BQ4254" s="319"/>
      <c r="BR4254" s="319"/>
      <c r="BS4254" s="330"/>
      <c r="BT4254" s="331"/>
      <c r="BU4254" s="920"/>
      <c r="BV4254" s="903"/>
      <c r="BW4254" s="908"/>
      <c r="BX4254" s="908"/>
      <c r="BY4254" s="331"/>
      <c r="BZ4254" s="331"/>
      <c r="CA4254" s="462"/>
      <c r="CB4254" s="319"/>
      <c r="CC4254" s="319"/>
      <c r="CD4254" s="319"/>
      <c r="CE4254" s="319"/>
      <c r="CF4254" s="319"/>
      <c r="CG4254" s="319"/>
      <c r="CH4254" s="318"/>
      <c r="CI4254" s="319"/>
      <c r="CJ4254" s="319"/>
      <c r="CK4254" s="342"/>
      <c r="CL4254" s="333"/>
      <c r="CM4254" s="1079"/>
      <c r="CN4254" s="1005"/>
      <c r="CO4254" s="1005"/>
      <c r="CP4254" s="1005"/>
    </row>
    <row r="4255">
      <c r="A4255" s="1257"/>
      <c r="B4255" s="1113"/>
      <c r="C4255" s="1107"/>
      <c r="D4255" s="103"/>
      <c r="E4255" s="1137"/>
      <c r="F4255" s="112"/>
      <c r="G4255" s="1110"/>
      <c r="H4255" s="1138"/>
      <c r="I4255" s="1138"/>
      <c r="J4255" s="1139"/>
      <c r="K4255" s="1111"/>
      <c r="L4255" s="1112"/>
      <c r="M4255" s="1113"/>
      <c r="N4255" s="110"/>
      <c r="O4255" s="1140"/>
      <c r="P4255" s="1115"/>
      <c r="Q4255" s="1116"/>
      <c r="R4255" s="1141"/>
      <c r="S4255" s="1113"/>
      <c r="T4255" s="1143"/>
      <c r="U4255" s="1108"/>
      <c r="V4255" s="1108"/>
      <c r="W4255" s="1108"/>
      <c r="X4255" s="1108"/>
      <c r="Y4255" s="1108"/>
      <c r="Z4255" s="1114"/>
      <c r="AA4255" s="1114"/>
      <c r="AB4255" s="1114"/>
      <c r="AC4255" s="1117"/>
      <c r="AD4255" s="1115"/>
      <c r="AE4255" s="1115"/>
      <c r="AF4255" s="1115"/>
      <c r="AG4255" s="1115"/>
      <c r="AH4255" s="1115"/>
      <c r="AI4255" s="1115"/>
      <c r="AJ4255" s="1117"/>
      <c r="AK4255" s="1118"/>
      <c r="AL4255" s="1115"/>
      <c r="AM4255" s="1115"/>
      <c r="AN4255" s="1115"/>
      <c r="AO4255" s="1115"/>
      <c r="AP4255" s="1115"/>
      <c r="AQ4255" s="1115"/>
      <c r="AR4255" s="1115"/>
      <c r="AS4255" s="1117"/>
      <c r="AT4255" s="1075"/>
      <c r="AU4255" s="1193"/>
      <c r="AV4255" s="330"/>
      <c r="AW4255" s="331"/>
      <c r="AX4255" s="331"/>
      <c r="AY4255" s="331"/>
      <c r="AZ4255" s="331"/>
      <c r="BA4255" s="331"/>
      <c r="BB4255" s="331"/>
      <c r="BC4255" s="331"/>
      <c r="BD4255" s="331"/>
      <c r="BE4255" s="333"/>
      <c r="BF4255" s="330"/>
      <c r="BG4255" s="333"/>
      <c r="BH4255" s="1119"/>
      <c r="BI4255" s="319"/>
      <c r="BJ4255" s="319"/>
      <c r="BK4255" s="319"/>
      <c r="BL4255" s="319"/>
      <c r="BM4255" s="319"/>
      <c r="BN4255" s="319"/>
      <c r="BO4255" s="319"/>
      <c r="BP4255" s="953"/>
      <c r="BQ4255" s="319"/>
      <c r="BR4255" s="319"/>
      <c r="BS4255" s="330"/>
      <c r="BT4255" s="331"/>
      <c r="BU4255" s="920"/>
      <c r="BV4255" s="903"/>
      <c r="BW4255" s="908"/>
      <c r="BX4255" s="908"/>
      <c r="BY4255" s="331"/>
      <c r="BZ4255" s="331"/>
      <c r="CA4255" s="462"/>
      <c r="CB4255" s="319"/>
      <c r="CC4255" s="319"/>
      <c r="CD4255" s="319"/>
      <c r="CE4255" s="319"/>
      <c r="CF4255" s="319"/>
      <c r="CG4255" s="319"/>
      <c r="CH4255" s="318"/>
      <c r="CI4255" s="319"/>
      <c r="CJ4255" s="319"/>
      <c r="CK4255" s="342"/>
      <c r="CL4255" s="333"/>
      <c r="CM4255" s="1079"/>
      <c r="CN4255" s="1005"/>
      <c r="CO4255" s="1005"/>
      <c r="CP4255" s="1005"/>
    </row>
    <row r="4256">
      <c r="A4256" s="1257"/>
      <c r="B4256" s="1113"/>
      <c r="C4256" s="1107"/>
      <c r="D4256" s="103"/>
      <c r="E4256" s="1137"/>
      <c r="F4256" s="112"/>
      <c r="G4256" s="1110"/>
      <c r="H4256" s="1138"/>
      <c r="I4256" s="1138"/>
      <c r="J4256" s="1139"/>
      <c r="K4256" s="1111"/>
      <c r="L4256" s="1112"/>
      <c r="M4256" s="1113"/>
      <c r="N4256" s="110"/>
      <c r="O4256" s="1140"/>
      <c r="P4256" s="1115"/>
      <c r="Q4256" s="1116"/>
      <c r="R4256" s="1141"/>
      <c r="S4256" s="1113"/>
      <c r="T4256" s="1143"/>
      <c r="U4256" s="1108"/>
      <c r="V4256" s="1108"/>
      <c r="W4256" s="1108"/>
      <c r="X4256" s="1108"/>
      <c r="Y4256" s="1108"/>
      <c r="Z4256" s="1114"/>
      <c r="AA4256" s="1114"/>
      <c r="AB4256" s="1114"/>
      <c r="AC4256" s="1117"/>
      <c r="AD4256" s="1115"/>
      <c r="AE4256" s="1115"/>
      <c r="AF4256" s="1115"/>
      <c r="AG4256" s="1115"/>
      <c r="AH4256" s="1115"/>
      <c r="AI4256" s="1115"/>
      <c r="AJ4256" s="1117"/>
      <c r="AK4256" s="1118"/>
      <c r="AL4256" s="1115"/>
      <c r="AM4256" s="1115"/>
      <c r="AN4256" s="1115"/>
      <c r="AO4256" s="1115"/>
      <c r="AP4256" s="1115"/>
      <c r="AQ4256" s="1115"/>
      <c r="AR4256" s="1115"/>
      <c r="AS4256" s="1117"/>
      <c r="AT4256" s="1075"/>
      <c r="AU4256" s="1193"/>
      <c r="AV4256" s="330"/>
      <c r="AW4256" s="331"/>
      <c r="AX4256" s="331"/>
      <c r="AY4256" s="331"/>
      <c r="AZ4256" s="331"/>
      <c r="BA4256" s="331"/>
      <c r="BB4256" s="331"/>
      <c r="BC4256" s="331"/>
      <c r="BD4256" s="331"/>
      <c r="BE4256" s="333"/>
      <c r="BF4256" s="330"/>
      <c r="BG4256" s="333"/>
      <c r="BH4256" s="1119"/>
      <c r="BI4256" s="319"/>
      <c r="BJ4256" s="319"/>
      <c r="BK4256" s="319"/>
      <c r="BL4256" s="319"/>
      <c r="BM4256" s="319"/>
      <c r="BN4256" s="319"/>
      <c r="BO4256" s="319"/>
      <c r="BP4256" s="953"/>
      <c r="BQ4256" s="319"/>
      <c r="BR4256" s="319"/>
      <c r="BS4256" s="330"/>
      <c r="BT4256" s="331"/>
      <c r="BU4256" s="920"/>
      <c r="BV4256" s="903"/>
      <c r="BW4256" s="908"/>
      <c r="BX4256" s="908"/>
      <c r="BY4256" s="331"/>
      <c r="BZ4256" s="331"/>
      <c r="CA4256" s="462"/>
      <c r="CB4256" s="319"/>
      <c r="CC4256" s="319"/>
      <c r="CD4256" s="319"/>
      <c r="CE4256" s="319"/>
      <c r="CF4256" s="319"/>
      <c r="CG4256" s="319"/>
      <c r="CH4256" s="318"/>
      <c r="CI4256" s="319"/>
      <c r="CJ4256" s="319"/>
      <c r="CK4256" s="342"/>
      <c r="CL4256" s="333"/>
      <c r="CM4256" s="1079"/>
      <c r="CN4256" s="1005"/>
      <c r="CO4256" s="1005"/>
      <c r="CP4256" s="1005"/>
    </row>
    <row r="4257">
      <c r="A4257" s="1257"/>
      <c r="B4257" s="1113"/>
      <c r="C4257" s="1107"/>
      <c r="D4257" s="103"/>
      <c r="E4257" s="1137"/>
      <c r="F4257" s="112"/>
      <c r="G4257" s="1110"/>
      <c r="H4257" s="1138"/>
      <c r="I4257" s="1138"/>
      <c r="J4257" s="1139"/>
      <c r="K4257" s="1111"/>
      <c r="L4257" s="1112"/>
      <c r="M4257" s="1113"/>
      <c r="N4257" s="110"/>
      <c r="O4257" s="1140"/>
      <c r="P4257" s="1115"/>
      <c r="Q4257" s="1116"/>
      <c r="R4257" s="1141"/>
      <c r="S4257" s="1113"/>
      <c r="T4257" s="1143"/>
      <c r="U4257" s="1108"/>
      <c r="V4257" s="1108"/>
      <c r="W4257" s="1108"/>
      <c r="X4257" s="1108"/>
      <c r="Y4257" s="1108"/>
      <c r="Z4257" s="1114"/>
      <c r="AA4257" s="1114"/>
      <c r="AB4257" s="1114"/>
      <c r="AC4257" s="1117"/>
      <c r="AD4257" s="1115"/>
      <c r="AE4257" s="1115"/>
      <c r="AF4257" s="1115"/>
      <c r="AG4257" s="1115"/>
      <c r="AH4257" s="1115"/>
      <c r="AI4257" s="1115"/>
      <c r="AJ4257" s="1117"/>
      <c r="AK4257" s="1118"/>
      <c r="AL4257" s="1115"/>
      <c r="AM4257" s="1115"/>
      <c r="AN4257" s="1115"/>
      <c r="AO4257" s="1115"/>
      <c r="AP4257" s="1115"/>
      <c r="AQ4257" s="1115"/>
      <c r="AR4257" s="1115"/>
      <c r="AS4257" s="1117"/>
      <c r="AT4257" s="1075"/>
      <c r="AU4257" s="1193"/>
      <c r="AV4257" s="330"/>
      <c r="AW4257" s="331"/>
      <c r="AX4257" s="331"/>
      <c r="AY4257" s="331"/>
      <c r="AZ4257" s="331"/>
      <c r="BA4257" s="331"/>
      <c r="BB4257" s="331"/>
      <c r="BC4257" s="331"/>
      <c r="BD4257" s="331"/>
      <c r="BE4257" s="333"/>
      <c r="BF4257" s="330"/>
      <c r="BG4257" s="333"/>
      <c r="BH4257" s="1119"/>
      <c r="BI4257" s="319"/>
      <c r="BJ4257" s="319"/>
      <c r="BK4257" s="319"/>
      <c r="BL4257" s="319"/>
      <c r="BM4257" s="319"/>
      <c r="BN4257" s="319"/>
      <c r="BO4257" s="319"/>
      <c r="BP4257" s="953"/>
      <c r="BQ4257" s="319"/>
      <c r="BR4257" s="319"/>
      <c r="BS4257" s="330"/>
      <c r="BT4257" s="331"/>
      <c r="BU4257" s="920"/>
      <c r="BV4257" s="903"/>
      <c r="BW4257" s="908"/>
      <c r="BX4257" s="908"/>
      <c r="BY4257" s="331"/>
      <c r="BZ4257" s="331"/>
      <c r="CA4257" s="462"/>
      <c r="CB4257" s="319"/>
      <c r="CC4257" s="319"/>
      <c r="CD4257" s="319"/>
      <c r="CE4257" s="319"/>
      <c r="CF4257" s="319"/>
      <c r="CG4257" s="319"/>
      <c r="CH4257" s="318"/>
      <c r="CI4257" s="319"/>
      <c r="CJ4257" s="319"/>
      <c r="CK4257" s="342"/>
      <c r="CL4257" s="333"/>
      <c r="CM4257" s="1079"/>
      <c r="CN4257" s="1005"/>
      <c r="CO4257" s="1005"/>
      <c r="CP4257" s="1005"/>
    </row>
    <row r="4258">
      <c r="A4258" s="1257"/>
      <c r="B4258" s="1113"/>
      <c r="C4258" s="1107"/>
      <c r="D4258" s="103"/>
      <c r="E4258" s="1137"/>
      <c r="F4258" s="112"/>
      <c r="G4258" s="1110"/>
      <c r="H4258" s="1138"/>
      <c r="I4258" s="1138"/>
      <c r="J4258" s="1139"/>
      <c r="K4258" s="1111"/>
      <c r="L4258" s="1112"/>
      <c r="M4258" s="1113"/>
      <c r="N4258" s="110"/>
      <c r="O4258" s="1140"/>
      <c r="P4258" s="1115"/>
      <c r="Q4258" s="1116"/>
      <c r="R4258" s="1141"/>
      <c r="S4258" s="1113"/>
      <c r="T4258" s="1143"/>
      <c r="U4258" s="1108"/>
      <c r="V4258" s="1108"/>
      <c r="W4258" s="1108"/>
      <c r="X4258" s="1108"/>
      <c r="Y4258" s="1108"/>
      <c r="Z4258" s="1114"/>
      <c r="AA4258" s="1114"/>
      <c r="AB4258" s="1114"/>
      <c r="AC4258" s="1117"/>
      <c r="AD4258" s="1115"/>
      <c r="AE4258" s="1115"/>
      <c r="AF4258" s="1115"/>
      <c r="AG4258" s="1115"/>
      <c r="AH4258" s="1115"/>
      <c r="AI4258" s="1115"/>
      <c r="AJ4258" s="1117"/>
      <c r="AK4258" s="1118"/>
      <c r="AL4258" s="1115"/>
      <c r="AM4258" s="1115"/>
      <c r="AN4258" s="1115"/>
      <c r="AO4258" s="1115"/>
      <c r="AP4258" s="1115"/>
      <c r="AQ4258" s="1115"/>
      <c r="AR4258" s="1115"/>
      <c r="AS4258" s="1117"/>
      <c r="AT4258" s="1075"/>
      <c r="AU4258" s="1193"/>
      <c r="AV4258" s="330"/>
      <c r="AW4258" s="331"/>
      <c r="AX4258" s="331"/>
      <c r="AY4258" s="331"/>
      <c r="AZ4258" s="331"/>
      <c r="BA4258" s="331"/>
      <c r="BB4258" s="331"/>
      <c r="BC4258" s="331"/>
      <c r="BD4258" s="331"/>
      <c r="BE4258" s="333"/>
      <c r="BF4258" s="330"/>
      <c r="BG4258" s="333"/>
      <c r="BH4258" s="1119"/>
      <c r="BI4258" s="319"/>
      <c r="BJ4258" s="319"/>
      <c r="BK4258" s="319"/>
      <c r="BL4258" s="319"/>
      <c r="BM4258" s="319"/>
      <c r="BN4258" s="319"/>
      <c r="BO4258" s="319"/>
      <c r="BP4258" s="953"/>
      <c r="BQ4258" s="319"/>
      <c r="BR4258" s="319"/>
      <c r="BS4258" s="330"/>
      <c r="BT4258" s="331"/>
      <c r="BU4258" s="920"/>
      <c r="BV4258" s="903"/>
      <c r="BW4258" s="908"/>
      <c r="BX4258" s="908"/>
      <c r="BY4258" s="331"/>
      <c r="BZ4258" s="331"/>
      <c r="CA4258" s="462"/>
      <c r="CB4258" s="319"/>
      <c r="CC4258" s="319"/>
      <c r="CD4258" s="319"/>
      <c r="CE4258" s="319"/>
      <c r="CF4258" s="319"/>
      <c r="CG4258" s="319"/>
      <c r="CH4258" s="318"/>
      <c r="CI4258" s="319"/>
      <c r="CJ4258" s="319"/>
      <c r="CK4258" s="342"/>
      <c r="CL4258" s="333"/>
      <c r="CM4258" s="1079"/>
      <c r="CN4258" s="1005"/>
      <c r="CO4258" s="1005"/>
      <c r="CP4258" s="1005"/>
    </row>
    <row r="4259">
      <c r="A4259" s="1257"/>
      <c r="B4259" s="1113"/>
      <c r="C4259" s="1107"/>
      <c r="D4259" s="103"/>
      <c r="E4259" s="1137"/>
      <c r="F4259" s="112"/>
      <c r="G4259" s="1110"/>
      <c r="H4259" s="1138"/>
      <c r="I4259" s="1138"/>
      <c r="J4259" s="1139"/>
      <c r="K4259" s="1111"/>
      <c r="L4259" s="1112"/>
      <c r="M4259" s="1113"/>
      <c r="N4259" s="110"/>
      <c r="O4259" s="1140"/>
      <c r="P4259" s="1115"/>
      <c r="Q4259" s="1116"/>
      <c r="R4259" s="1141"/>
      <c r="S4259" s="1113"/>
      <c r="T4259" s="1143"/>
      <c r="U4259" s="1108"/>
      <c r="V4259" s="1108"/>
      <c r="W4259" s="1108"/>
      <c r="X4259" s="1108"/>
      <c r="Y4259" s="1108"/>
      <c r="Z4259" s="1114"/>
      <c r="AA4259" s="1114"/>
      <c r="AB4259" s="1114"/>
      <c r="AC4259" s="1117"/>
      <c r="AD4259" s="1115"/>
      <c r="AE4259" s="1115"/>
      <c r="AF4259" s="1115"/>
      <c r="AG4259" s="1115"/>
      <c r="AH4259" s="1115"/>
      <c r="AI4259" s="1115"/>
      <c r="AJ4259" s="1117"/>
      <c r="AK4259" s="1118"/>
      <c r="AL4259" s="1115"/>
      <c r="AM4259" s="1115"/>
      <c r="AN4259" s="1115"/>
      <c r="AO4259" s="1115"/>
      <c r="AP4259" s="1115"/>
      <c r="AQ4259" s="1115"/>
      <c r="AR4259" s="1115"/>
      <c r="AS4259" s="1117"/>
      <c r="AT4259" s="1075"/>
      <c r="AU4259" s="1193"/>
      <c r="AV4259" s="330"/>
      <c r="AW4259" s="331"/>
      <c r="AX4259" s="331"/>
      <c r="AY4259" s="331"/>
      <c r="AZ4259" s="331"/>
      <c r="BA4259" s="331"/>
      <c r="BB4259" s="331"/>
      <c r="BC4259" s="331"/>
      <c r="BD4259" s="331"/>
      <c r="BE4259" s="333"/>
      <c r="BF4259" s="330"/>
      <c r="BG4259" s="333"/>
      <c r="BH4259" s="1119"/>
      <c r="BI4259" s="319"/>
      <c r="BJ4259" s="319"/>
      <c r="BK4259" s="319"/>
      <c r="BL4259" s="319"/>
      <c r="BM4259" s="319"/>
      <c r="BN4259" s="319"/>
      <c r="BO4259" s="319"/>
      <c r="BP4259" s="953"/>
      <c r="BQ4259" s="319"/>
      <c r="BR4259" s="319"/>
      <c r="BS4259" s="330"/>
      <c r="BT4259" s="331"/>
      <c r="BU4259" s="920"/>
      <c r="BV4259" s="903"/>
      <c r="BW4259" s="908"/>
      <c r="BX4259" s="908"/>
      <c r="BY4259" s="331"/>
      <c r="BZ4259" s="331"/>
      <c r="CA4259" s="462"/>
      <c r="CB4259" s="319"/>
      <c r="CC4259" s="319"/>
      <c r="CD4259" s="319"/>
      <c r="CE4259" s="319"/>
      <c r="CF4259" s="319"/>
      <c r="CG4259" s="319"/>
      <c r="CH4259" s="318"/>
      <c r="CI4259" s="319"/>
      <c r="CJ4259" s="319"/>
      <c r="CK4259" s="342"/>
      <c r="CL4259" s="333"/>
      <c r="CM4259" s="1079"/>
      <c r="CN4259" s="1005"/>
      <c r="CO4259" s="1005"/>
      <c r="CP4259" s="1005"/>
    </row>
    <row r="4260">
      <c r="A4260" s="1257"/>
      <c r="B4260" s="1113"/>
      <c r="C4260" s="1107"/>
      <c r="D4260" s="103"/>
      <c r="E4260" s="1137"/>
      <c r="F4260" s="112"/>
      <c r="G4260" s="1110"/>
      <c r="H4260" s="1138"/>
      <c r="I4260" s="1138"/>
      <c r="J4260" s="1139"/>
      <c r="K4260" s="1111"/>
      <c r="L4260" s="1112"/>
      <c r="M4260" s="1113"/>
      <c r="N4260" s="110"/>
      <c r="O4260" s="1140"/>
      <c r="P4260" s="1115"/>
      <c r="Q4260" s="1116"/>
      <c r="R4260" s="1141"/>
      <c r="S4260" s="1113"/>
      <c r="T4260" s="1143"/>
      <c r="U4260" s="1108"/>
      <c r="V4260" s="1108"/>
      <c r="W4260" s="1108"/>
      <c r="X4260" s="1108"/>
      <c r="Y4260" s="1108"/>
      <c r="Z4260" s="1114"/>
      <c r="AA4260" s="1114"/>
      <c r="AB4260" s="1114"/>
      <c r="AC4260" s="1117"/>
      <c r="AD4260" s="1115"/>
      <c r="AE4260" s="1115"/>
      <c r="AF4260" s="1115"/>
      <c r="AG4260" s="1115"/>
      <c r="AH4260" s="1115"/>
      <c r="AI4260" s="1115"/>
      <c r="AJ4260" s="1117"/>
      <c r="AK4260" s="1118"/>
      <c r="AL4260" s="1115"/>
      <c r="AM4260" s="1115"/>
      <c r="AN4260" s="1115"/>
      <c r="AO4260" s="1115"/>
      <c r="AP4260" s="1115"/>
      <c r="AQ4260" s="1115"/>
      <c r="AR4260" s="1115"/>
      <c r="AS4260" s="1117"/>
      <c r="AT4260" s="1075"/>
      <c r="AU4260" s="1193"/>
      <c r="AV4260" s="330"/>
      <c r="AW4260" s="331"/>
      <c r="AX4260" s="331"/>
      <c r="AY4260" s="331"/>
      <c r="AZ4260" s="331"/>
      <c r="BA4260" s="331"/>
      <c r="BB4260" s="331"/>
      <c r="BC4260" s="331"/>
      <c r="BD4260" s="331"/>
      <c r="BE4260" s="333"/>
      <c r="BF4260" s="330"/>
      <c r="BG4260" s="333"/>
      <c r="BH4260" s="1119"/>
      <c r="BI4260" s="319"/>
      <c r="BJ4260" s="319"/>
      <c r="BK4260" s="319"/>
      <c r="BL4260" s="319"/>
      <c r="BM4260" s="319"/>
      <c r="BN4260" s="319"/>
      <c r="BO4260" s="319"/>
      <c r="BP4260" s="953"/>
      <c r="BQ4260" s="319"/>
      <c r="BR4260" s="319"/>
      <c r="BS4260" s="330"/>
      <c r="BT4260" s="331"/>
      <c r="BU4260" s="920"/>
      <c r="BV4260" s="903"/>
      <c r="BW4260" s="908"/>
      <c r="BX4260" s="908"/>
      <c r="BY4260" s="331"/>
      <c r="BZ4260" s="331"/>
      <c r="CA4260" s="462"/>
      <c r="CB4260" s="319"/>
      <c r="CC4260" s="319"/>
      <c r="CD4260" s="319"/>
      <c r="CE4260" s="319"/>
      <c r="CF4260" s="319"/>
      <c r="CG4260" s="319"/>
      <c r="CH4260" s="318"/>
      <c r="CI4260" s="319"/>
      <c r="CJ4260" s="319"/>
      <c r="CK4260" s="342"/>
      <c r="CL4260" s="333"/>
      <c r="CM4260" s="1079"/>
      <c r="CN4260" s="1005"/>
      <c r="CO4260" s="1005"/>
      <c r="CP4260" s="1005"/>
    </row>
    <row r="4261">
      <c r="A4261" s="1257"/>
      <c r="B4261" s="1113"/>
      <c r="C4261" s="1107"/>
      <c r="D4261" s="103"/>
      <c r="E4261" s="1137"/>
      <c r="F4261" s="112"/>
      <c r="G4261" s="1110"/>
      <c r="H4261" s="1138"/>
      <c r="I4261" s="1138"/>
      <c r="J4261" s="1139"/>
      <c r="K4261" s="1111"/>
      <c r="L4261" s="1112"/>
      <c r="M4261" s="1113"/>
      <c r="N4261" s="110"/>
      <c r="O4261" s="1140"/>
      <c r="P4261" s="1115"/>
      <c r="Q4261" s="1116"/>
      <c r="R4261" s="1141"/>
      <c r="S4261" s="1113"/>
      <c r="T4261" s="1143"/>
      <c r="U4261" s="1108"/>
      <c r="V4261" s="1108"/>
      <c r="W4261" s="1108"/>
      <c r="X4261" s="1108"/>
      <c r="Y4261" s="1108"/>
      <c r="Z4261" s="1114"/>
      <c r="AA4261" s="1114"/>
      <c r="AB4261" s="1114"/>
      <c r="AC4261" s="1117"/>
      <c r="AD4261" s="1115"/>
      <c r="AE4261" s="1115"/>
      <c r="AF4261" s="1115"/>
      <c r="AG4261" s="1115"/>
      <c r="AH4261" s="1115"/>
      <c r="AI4261" s="1115"/>
      <c r="AJ4261" s="1117"/>
      <c r="AK4261" s="1118"/>
      <c r="AL4261" s="1115"/>
      <c r="AM4261" s="1115"/>
      <c r="AN4261" s="1115"/>
      <c r="AO4261" s="1115"/>
      <c r="AP4261" s="1115"/>
      <c r="AQ4261" s="1115"/>
      <c r="AR4261" s="1115"/>
      <c r="AS4261" s="1117"/>
      <c r="AT4261" s="1075"/>
      <c r="AU4261" s="1193"/>
      <c r="AV4261" s="330"/>
      <c r="AW4261" s="331"/>
      <c r="AX4261" s="331"/>
      <c r="AY4261" s="331"/>
      <c r="AZ4261" s="331"/>
      <c r="BA4261" s="331"/>
      <c r="BB4261" s="331"/>
      <c r="BC4261" s="331"/>
      <c r="BD4261" s="331"/>
      <c r="BE4261" s="333"/>
      <c r="BF4261" s="330"/>
      <c r="BG4261" s="333"/>
      <c r="BH4261" s="1119"/>
      <c r="BI4261" s="319"/>
      <c r="BJ4261" s="319"/>
      <c r="BK4261" s="319"/>
      <c r="BL4261" s="319"/>
      <c r="BM4261" s="319"/>
      <c r="BN4261" s="319"/>
      <c r="BO4261" s="319"/>
      <c r="BP4261" s="953"/>
      <c r="BQ4261" s="319"/>
      <c r="BR4261" s="319"/>
      <c r="BS4261" s="330"/>
      <c r="BT4261" s="331"/>
      <c r="BU4261" s="920"/>
      <c r="BV4261" s="903"/>
      <c r="BW4261" s="908"/>
      <c r="BX4261" s="908"/>
      <c r="BY4261" s="331"/>
      <c r="BZ4261" s="331"/>
      <c r="CA4261" s="462"/>
      <c r="CB4261" s="319"/>
      <c r="CC4261" s="319"/>
      <c r="CD4261" s="319"/>
      <c r="CE4261" s="319"/>
      <c r="CF4261" s="319"/>
      <c r="CG4261" s="319"/>
      <c r="CH4261" s="318"/>
      <c r="CI4261" s="319"/>
      <c r="CJ4261" s="319"/>
      <c r="CK4261" s="342"/>
      <c r="CL4261" s="333"/>
      <c r="CM4261" s="1079"/>
      <c r="CN4261" s="1005"/>
      <c r="CO4261" s="1005"/>
      <c r="CP4261" s="1005"/>
    </row>
    <row r="4262">
      <c r="A4262" s="1257"/>
      <c r="B4262" s="1113"/>
      <c r="C4262" s="1107"/>
      <c r="D4262" s="103"/>
      <c r="E4262" s="1137"/>
      <c r="F4262" s="112"/>
      <c r="G4262" s="1110"/>
      <c r="H4262" s="1138"/>
      <c r="I4262" s="1138"/>
      <c r="J4262" s="1139"/>
      <c r="K4262" s="1111"/>
      <c r="L4262" s="1112"/>
      <c r="M4262" s="1113"/>
      <c r="N4262" s="110"/>
      <c r="O4262" s="1140"/>
      <c r="P4262" s="1115"/>
      <c r="Q4262" s="1116"/>
      <c r="R4262" s="1141"/>
      <c r="S4262" s="1113"/>
      <c r="T4262" s="1143"/>
      <c r="U4262" s="1108"/>
      <c r="V4262" s="1108"/>
      <c r="W4262" s="1108"/>
      <c r="X4262" s="1108"/>
      <c r="Y4262" s="1108"/>
      <c r="Z4262" s="1114"/>
      <c r="AA4262" s="1114"/>
      <c r="AB4262" s="1114"/>
      <c r="AC4262" s="1117"/>
      <c r="AD4262" s="1115"/>
      <c r="AE4262" s="1115"/>
      <c r="AF4262" s="1115"/>
      <c r="AG4262" s="1115"/>
      <c r="AH4262" s="1115"/>
      <c r="AI4262" s="1115"/>
      <c r="AJ4262" s="1117"/>
      <c r="AK4262" s="1118"/>
      <c r="AL4262" s="1115"/>
      <c r="AM4262" s="1115"/>
      <c r="AN4262" s="1115"/>
      <c r="AO4262" s="1115"/>
      <c r="AP4262" s="1115"/>
      <c r="AQ4262" s="1115"/>
      <c r="AR4262" s="1115"/>
      <c r="AS4262" s="1117"/>
      <c r="AT4262" s="1075"/>
      <c r="AU4262" s="1193"/>
      <c r="AV4262" s="330"/>
      <c r="AW4262" s="331"/>
      <c r="AX4262" s="331"/>
      <c r="AY4262" s="331"/>
      <c r="AZ4262" s="331"/>
      <c r="BA4262" s="331"/>
      <c r="BB4262" s="331"/>
      <c r="BC4262" s="331"/>
      <c r="BD4262" s="331"/>
      <c r="BE4262" s="333"/>
      <c r="BF4262" s="330"/>
      <c r="BG4262" s="333"/>
      <c r="BH4262" s="1119"/>
      <c r="BI4262" s="319"/>
      <c r="BJ4262" s="319"/>
      <c r="BK4262" s="319"/>
      <c r="BL4262" s="319"/>
      <c r="BM4262" s="319"/>
      <c r="BN4262" s="319"/>
      <c r="BO4262" s="319"/>
      <c r="BP4262" s="953"/>
      <c r="BQ4262" s="319"/>
      <c r="BR4262" s="319"/>
      <c r="BS4262" s="330"/>
      <c r="BT4262" s="331"/>
      <c r="BU4262" s="920"/>
      <c r="BV4262" s="903"/>
      <c r="BW4262" s="908"/>
      <c r="BX4262" s="908"/>
      <c r="BY4262" s="331"/>
      <c r="BZ4262" s="331"/>
      <c r="CA4262" s="462"/>
      <c r="CB4262" s="319"/>
      <c r="CC4262" s="319"/>
      <c r="CD4262" s="319"/>
      <c r="CE4262" s="319"/>
      <c r="CF4262" s="319"/>
      <c r="CG4262" s="319"/>
      <c r="CH4262" s="318"/>
      <c r="CI4262" s="319"/>
      <c r="CJ4262" s="319"/>
      <c r="CK4262" s="342"/>
      <c r="CL4262" s="333"/>
      <c r="CM4262" s="1079"/>
      <c r="CN4262" s="1005"/>
      <c r="CO4262" s="1005"/>
      <c r="CP4262" s="1005"/>
    </row>
    <row r="4263">
      <c r="A4263" s="1257"/>
      <c r="B4263" s="1113"/>
      <c r="C4263" s="1107"/>
      <c r="D4263" s="103"/>
      <c r="E4263" s="1137"/>
      <c r="F4263" s="112"/>
      <c r="G4263" s="1110"/>
      <c r="H4263" s="1138"/>
      <c r="I4263" s="1138"/>
      <c r="J4263" s="1139"/>
      <c r="K4263" s="1111"/>
      <c r="L4263" s="1112"/>
      <c r="M4263" s="1113"/>
      <c r="N4263" s="110"/>
      <c r="O4263" s="1140"/>
      <c r="P4263" s="1115"/>
      <c r="Q4263" s="1116"/>
      <c r="R4263" s="1141"/>
      <c r="S4263" s="1113"/>
      <c r="T4263" s="1143"/>
      <c r="U4263" s="1108"/>
      <c r="V4263" s="1108"/>
      <c r="W4263" s="1108"/>
      <c r="X4263" s="1108"/>
      <c r="Y4263" s="1108"/>
      <c r="Z4263" s="1114"/>
      <c r="AA4263" s="1114"/>
      <c r="AB4263" s="1114"/>
      <c r="AC4263" s="1117"/>
      <c r="AD4263" s="1115"/>
      <c r="AE4263" s="1115"/>
      <c r="AF4263" s="1115"/>
      <c r="AG4263" s="1115"/>
      <c r="AH4263" s="1115"/>
      <c r="AI4263" s="1115"/>
      <c r="AJ4263" s="1117"/>
      <c r="AK4263" s="1118"/>
      <c r="AL4263" s="1115"/>
      <c r="AM4263" s="1115"/>
      <c r="AN4263" s="1115"/>
      <c r="AO4263" s="1115"/>
      <c r="AP4263" s="1115"/>
      <c r="AQ4263" s="1115"/>
      <c r="AR4263" s="1115"/>
      <c r="AS4263" s="1117"/>
      <c r="AT4263" s="1075"/>
      <c r="AU4263" s="1193"/>
      <c r="AV4263" s="330"/>
      <c r="AW4263" s="331"/>
      <c r="AX4263" s="331"/>
      <c r="AY4263" s="331"/>
      <c r="AZ4263" s="331"/>
      <c r="BA4263" s="331"/>
      <c r="BB4263" s="331"/>
      <c r="BC4263" s="331"/>
      <c r="BD4263" s="331"/>
      <c r="BE4263" s="333"/>
      <c r="BF4263" s="330"/>
      <c r="BG4263" s="333"/>
      <c r="BH4263" s="1119"/>
      <c r="BI4263" s="319"/>
      <c r="BJ4263" s="319"/>
      <c r="BK4263" s="319"/>
      <c r="BL4263" s="319"/>
      <c r="BM4263" s="319"/>
      <c r="BN4263" s="319"/>
      <c r="BO4263" s="319"/>
      <c r="BP4263" s="953"/>
      <c r="BQ4263" s="319"/>
      <c r="BR4263" s="319"/>
      <c r="BS4263" s="330"/>
      <c r="BT4263" s="331"/>
      <c r="BU4263" s="920"/>
      <c r="BV4263" s="903"/>
      <c r="BW4263" s="908"/>
      <c r="BX4263" s="908"/>
      <c r="BY4263" s="331"/>
      <c r="BZ4263" s="331"/>
      <c r="CA4263" s="462"/>
      <c r="CB4263" s="319"/>
      <c r="CC4263" s="319"/>
      <c r="CD4263" s="319"/>
      <c r="CE4263" s="319"/>
      <c r="CF4263" s="319"/>
      <c r="CG4263" s="319"/>
      <c r="CH4263" s="318"/>
      <c r="CI4263" s="319"/>
      <c r="CJ4263" s="319"/>
      <c r="CK4263" s="342"/>
      <c r="CL4263" s="333"/>
      <c r="CM4263" s="1079"/>
      <c r="CN4263" s="1005"/>
      <c r="CO4263" s="1005"/>
      <c r="CP4263" s="1005"/>
    </row>
    <row r="4264">
      <c r="A4264" s="1257"/>
      <c r="B4264" s="1113"/>
      <c r="C4264" s="1107"/>
      <c r="D4264" s="103"/>
      <c r="E4264" s="1137"/>
      <c r="F4264" s="112"/>
      <c r="G4264" s="1110"/>
      <c r="H4264" s="1138"/>
      <c r="I4264" s="1138"/>
      <c r="J4264" s="1139"/>
      <c r="K4264" s="1111"/>
      <c r="L4264" s="1112"/>
      <c r="M4264" s="1113"/>
      <c r="N4264" s="110"/>
      <c r="O4264" s="1140"/>
      <c r="P4264" s="1115"/>
      <c r="Q4264" s="1116"/>
      <c r="R4264" s="1141"/>
      <c r="S4264" s="1113"/>
      <c r="T4264" s="1143"/>
      <c r="U4264" s="1108"/>
      <c r="V4264" s="1108"/>
      <c r="W4264" s="1108"/>
      <c r="X4264" s="1108"/>
      <c r="Y4264" s="1108"/>
      <c r="Z4264" s="1114"/>
      <c r="AA4264" s="1114"/>
      <c r="AB4264" s="1114"/>
      <c r="AC4264" s="1117"/>
      <c r="AD4264" s="1115"/>
      <c r="AE4264" s="1115"/>
      <c r="AF4264" s="1115"/>
      <c r="AG4264" s="1115"/>
      <c r="AH4264" s="1115"/>
      <c r="AI4264" s="1115"/>
      <c r="AJ4264" s="1117"/>
      <c r="AK4264" s="1118"/>
      <c r="AL4264" s="1115"/>
      <c r="AM4264" s="1115"/>
      <c r="AN4264" s="1115"/>
      <c r="AO4264" s="1115"/>
      <c r="AP4264" s="1115"/>
      <c r="AQ4264" s="1115"/>
      <c r="AR4264" s="1115"/>
      <c r="AS4264" s="1117"/>
      <c r="AT4264" s="1075"/>
      <c r="AU4264" s="1193"/>
      <c r="AV4264" s="330"/>
      <c r="AW4264" s="331"/>
      <c r="AX4264" s="331"/>
      <c r="AY4264" s="331"/>
      <c r="AZ4264" s="331"/>
      <c r="BA4264" s="331"/>
      <c r="BB4264" s="331"/>
      <c r="BC4264" s="331"/>
      <c r="BD4264" s="331"/>
      <c r="BE4264" s="333"/>
      <c r="BF4264" s="330"/>
      <c r="BG4264" s="333"/>
      <c r="BH4264" s="1119"/>
      <c r="BI4264" s="319"/>
      <c r="BJ4264" s="319"/>
      <c r="BK4264" s="319"/>
      <c r="BL4264" s="319"/>
      <c r="BM4264" s="319"/>
      <c r="BN4264" s="319"/>
      <c r="BO4264" s="319"/>
      <c r="BP4264" s="953"/>
      <c r="BQ4264" s="319"/>
      <c r="BR4264" s="319"/>
      <c r="BS4264" s="330"/>
      <c r="BT4264" s="331"/>
      <c r="BU4264" s="920"/>
      <c r="BV4264" s="903"/>
      <c r="BW4264" s="908"/>
      <c r="BX4264" s="908"/>
      <c r="BY4264" s="331"/>
      <c r="BZ4264" s="331"/>
      <c r="CA4264" s="462"/>
      <c r="CB4264" s="319"/>
      <c r="CC4264" s="319"/>
      <c r="CD4264" s="319"/>
      <c r="CE4264" s="319"/>
      <c r="CF4264" s="319"/>
      <c r="CG4264" s="319"/>
      <c r="CH4264" s="318"/>
      <c r="CI4264" s="319"/>
      <c r="CJ4264" s="319"/>
      <c r="CK4264" s="342"/>
      <c r="CL4264" s="333"/>
      <c r="CM4264" s="1079"/>
      <c r="CN4264" s="1005"/>
      <c r="CO4264" s="1005"/>
      <c r="CP4264" s="1005"/>
    </row>
    <row r="4265">
      <c r="A4265" s="1257"/>
      <c r="B4265" s="1113"/>
      <c r="C4265" s="1107"/>
      <c r="D4265" s="103"/>
      <c r="E4265" s="1137"/>
      <c r="F4265" s="112"/>
      <c r="G4265" s="1110"/>
      <c r="H4265" s="1138"/>
      <c r="I4265" s="1138"/>
      <c r="J4265" s="1139"/>
      <c r="K4265" s="1111"/>
      <c r="L4265" s="1112"/>
      <c r="M4265" s="1113"/>
      <c r="N4265" s="110"/>
      <c r="O4265" s="1140"/>
      <c r="P4265" s="1115"/>
      <c r="Q4265" s="1116"/>
      <c r="R4265" s="1141"/>
      <c r="S4265" s="1113"/>
      <c r="T4265" s="1143"/>
      <c r="U4265" s="1108"/>
      <c r="V4265" s="1108"/>
      <c r="W4265" s="1108"/>
      <c r="X4265" s="1108"/>
      <c r="Y4265" s="1108"/>
      <c r="Z4265" s="1114"/>
      <c r="AA4265" s="1114"/>
      <c r="AB4265" s="1114"/>
      <c r="AC4265" s="1117"/>
      <c r="AD4265" s="1115"/>
      <c r="AE4265" s="1115"/>
      <c r="AF4265" s="1115"/>
      <c r="AG4265" s="1115"/>
      <c r="AH4265" s="1115"/>
      <c r="AI4265" s="1115"/>
      <c r="AJ4265" s="1117"/>
      <c r="AK4265" s="1118"/>
      <c r="AL4265" s="1115"/>
      <c r="AM4265" s="1115"/>
      <c r="AN4265" s="1115"/>
      <c r="AO4265" s="1115"/>
      <c r="AP4265" s="1115"/>
      <c r="AQ4265" s="1115"/>
      <c r="AR4265" s="1115"/>
      <c r="AS4265" s="1117"/>
      <c r="AT4265" s="1075"/>
      <c r="AU4265" s="1193"/>
      <c r="AV4265" s="330"/>
      <c r="AW4265" s="331"/>
      <c r="AX4265" s="331"/>
      <c r="AY4265" s="331"/>
      <c r="AZ4265" s="331"/>
      <c r="BA4265" s="331"/>
      <c r="BB4265" s="331"/>
      <c r="BC4265" s="331"/>
      <c r="BD4265" s="331"/>
      <c r="BE4265" s="333"/>
      <c r="BF4265" s="330"/>
      <c r="BG4265" s="333"/>
      <c r="BH4265" s="1119"/>
      <c r="BI4265" s="319"/>
      <c r="BJ4265" s="319"/>
      <c r="BK4265" s="319"/>
      <c r="BL4265" s="319"/>
      <c r="BM4265" s="319"/>
      <c r="BN4265" s="319"/>
      <c r="BO4265" s="319"/>
      <c r="BP4265" s="953"/>
      <c r="BQ4265" s="319"/>
      <c r="BR4265" s="319"/>
      <c r="BS4265" s="330"/>
      <c r="BT4265" s="331"/>
      <c r="BU4265" s="920"/>
      <c r="BV4265" s="903"/>
      <c r="BW4265" s="908"/>
      <c r="BX4265" s="908"/>
      <c r="BY4265" s="331"/>
      <c r="BZ4265" s="331"/>
      <c r="CA4265" s="462"/>
      <c r="CB4265" s="319"/>
      <c r="CC4265" s="319"/>
      <c r="CD4265" s="319"/>
      <c r="CE4265" s="319"/>
      <c r="CF4265" s="319"/>
      <c r="CG4265" s="319"/>
      <c r="CH4265" s="318"/>
      <c r="CI4265" s="319"/>
      <c r="CJ4265" s="319"/>
      <c r="CK4265" s="342"/>
      <c r="CL4265" s="333"/>
      <c r="CM4265" s="1079"/>
      <c r="CN4265" s="1005"/>
      <c r="CO4265" s="1005"/>
      <c r="CP4265" s="1005"/>
    </row>
    <row r="4266">
      <c r="A4266" s="1257"/>
      <c r="B4266" s="1113"/>
      <c r="C4266" s="1107"/>
      <c r="D4266" s="103"/>
      <c r="E4266" s="1137"/>
      <c r="F4266" s="112"/>
      <c r="G4266" s="1110"/>
      <c r="H4266" s="1138"/>
      <c r="I4266" s="1138"/>
      <c r="J4266" s="1139"/>
      <c r="K4266" s="1111"/>
      <c r="L4266" s="1112"/>
      <c r="M4266" s="1113"/>
      <c r="N4266" s="110"/>
      <c r="O4266" s="1140"/>
      <c r="P4266" s="1115"/>
      <c r="Q4266" s="1116"/>
      <c r="R4266" s="1141"/>
      <c r="S4266" s="1113"/>
      <c r="T4266" s="1143"/>
      <c r="U4266" s="1108"/>
      <c r="V4266" s="1108"/>
      <c r="W4266" s="1108"/>
      <c r="X4266" s="1108"/>
      <c r="Y4266" s="1108"/>
      <c r="Z4266" s="1114"/>
      <c r="AA4266" s="1114"/>
      <c r="AB4266" s="1114"/>
      <c r="AC4266" s="1117"/>
      <c r="AD4266" s="1115"/>
      <c r="AE4266" s="1115"/>
      <c r="AF4266" s="1115"/>
      <c r="AG4266" s="1115"/>
      <c r="AH4266" s="1115"/>
      <c r="AI4266" s="1115"/>
      <c r="AJ4266" s="1117"/>
      <c r="AK4266" s="1118"/>
      <c r="AL4266" s="1115"/>
      <c r="AM4266" s="1115"/>
      <c r="AN4266" s="1115"/>
      <c r="AO4266" s="1115"/>
      <c r="AP4266" s="1115"/>
      <c r="AQ4266" s="1115"/>
      <c r="AR4266" s="1115"/>
      <c r="AS4266" s="1117"/>
      <c r="AT4266" s="1075"/>
      <c r="AU4266" s="1193"/>
      <c r="AV4266" s="330"/>
      <c r="AW4266" s="331"/>
      <c r="AX4266" s="331"/>
      <c r="AY4266" s="331"/>
      <c r="AZ4266" s="331"/>
      <c r="BA4266" s="331"/>
      <c r="BB4266" s="331"/>
      <c r="BC4266" s="331"/>
      <c r="BD4266" s="331"/>
      <c r="BE4266" s="333"/>
      <c r="BF4266" s="330"/>
      <c r="BG4266" s="333"/>
      <c r="BH4266" s="1119"/>
      <c r="BI4266" s="319"/>
      <c r="BJ4266" s="319"/>
      <c r="BK4266" s="319"/>
      <c r="BL4266" s="319"/>
      <c r="BM4266" s="319"/>
      <c r="BN4266" s="319"/>
      <c r="BO4266" s="319"/>
      <c r="BP4266" s="953"/>
      <c r="BQ4266" s="319"/>
      <c r="BR4266" s="319"/>
      <c r="BS4266" s="330"/>
      <c r="BT4266" s="331"/>
      <c r="BU4266" s="920"/>
      <c r="BV4266" s="903"/>
      <c r="BW4266" s="908"/>
      <c r="BX4266" s="908"/>
      <c r="BY4266" s="331"/>
      <c r="BZ4266" s="331"/>
      <c r="CA4266" s="462"/>
      <c r="CB4266" s="319"/>
      <c r="CC4266" s="319"/>
      <c r="CD4266" s="319"/>
      <c r="CE4266" s="319"/>
      <c r="CF4266" s="319"/>
      <c r="CG4266" s="319"/>
      <c r="CH4266" s="318"/>
      <c r="CI4266" s="319"/>
      <c r="CJ4266" s="319"/>
      <c r="CK4266" s="342"/>
      <c r="CL4266" s="333"/>
      <c r="CM4266" s="1079"/>
      <c r="CN4266" s="1005"/>
      <c r="CO4266" s="1005"/>
      <c r="CP4266" s="1005"/>
    </row>
    <row r="4267">
      <c r="A4267" s="1257"/>
      <c r="B4267" s="1113"/>
      <c r="C4267" s="1107"/>
      <c r="D4267" s="103"/>
      <c r="E4267" s="1137"/>
      <c r="F4267" s="112"/>
      <c r="G4267" s="1110"/>
      <c r="H4267" s="1138"/>
      <c r="I4267" s="1138"/>
      <c r="J4267" s="1139"/>
      <c r="K4267" s="1111"/>
      <c r="L4267" s="1112"/>
      <c r="M4267" s="1113"/>
      <c r="N4267" s="110"/>
      <c r="O4267" s="1140"/>
      <c r="P4267" s="1115"/>
      <c r="Q4267" s="1116"/>
      <c r="R4267" s="1141"/>
      <c r="S4267" s="1113"/>
      <c r="T4267" s="1143"/>
      <c r="U4267" s="1108"/>
      <c r="V4267" s="1108"/>
      <c r="W4267" s="1108"/>
      <c r="X4267" s="1108"/>
      <c r="Y4267" s="1108"/>
      <c r="Z4267" s="1114"/>
      <c r="AA4267" s="1114"/>
      <c r="AB4267" s="1114"/>
      <c r="AC4267" s="1117"/>
      <c r="AD4267" s="1115"/>
      <c r="AE4267" s="1115"/>
      <c r="AF4267" s="1115"/>
      <c r="AG4267" s="1115"/>
      <c r="AH4267" s="1115"/>
      <c r="AI4267" s="1115"/>
      <c r="AJ4267" s="1117"/>
      <c r="AK4267" s="1118"/>
      <c r="AL4267" s="1115"/>
      <c r="AM4267" s="1115"/>
      <c r="AN4267" s="1115"/>
      <c r="AO4267" s="1115"/>
      <c r="AP4267" s="1115"/>
      <c r="AQ4267" s="1115"/>
      <c r="AR4267" s="1115"/>
      <c r="AS4267" s="1117"/>
      <c r="AT4267" s="1075"/>
      <c r="AU4267" s="1193"/>
      <c r="AV4267" s="330"/>
      <c r="AW4267" s="331"/>
      <c r="AX4267" s="331"/>
      <c r="AY4267" s="331"/>
      <c r="AZ4267" s="331"/>
      <c r="BA4267" s="331"/>
      <c r="BB4267" s="331"/>
      <c r="BC4267" s="331"/>
      <c r="BD4267" s="331"/>
      <c r="BE4267" s="333"/>
      <c r="BF4267" s="330"/>
      <c r="BG4267" s="333"/>
      <c r="BH4267" s="1119"/>
      <c r="BI4267" s="319"/>
      <c r="BJ4267" s="319"/>
      <c r="BK4267" s="319"/>
      <c r="BL4267" s="319"/>
      <c r="BM4267" s="319"/>
      <c r="BN4267" s="319"/>
      <c r="BO4267" s="319"/>
      <c r="BP4267" s="953"/>
      <c r="BQ4267" s="319"/>
      <c r="BR4267" s="319"/>
      <c r="BS4267" s="330"/>
      <c r="BT4267" s="331"/>
      <c r="BU4267" s="920"/>
      <c r="BV4267" s="903"/>
      <c r="BW4267" s="908"/>
      <c r="BX4267" s="908"/>
      <c r="BY4267" s="331"/>
      <c r="BZ4267" s="331"/>
      <c r="CA4267" s="462"/>
      <c r="CB4267" s="319"/>
      <c r="CC4267" s="319"/>
      <c r="CD4267" s="319"/>
      <c r="CE4267" s="319"/>
      <c r="CF4267" s="319"/>
      <c r="CG4267" s="319"/>
      <c r="CH4267" s="318"/>
      <c r="CI4267" s="319"/>
      <c r="CJ4267" s="319"/>
      <c r="CK4267" s="342"/>
      <c r="CL4267" s="333"/>
      <c r="CM4267" s="1079"/>
      <c r="CN4267" s="1005"/>
      <c r="CO4267" s="1005"/>
      <c r="CP4267" s="1005"/>
    </row>
    <row r="4268">
      <c r="A4268" s="1257"/>
      <c r="B4268" s="1113"/>
      <c r="C4268" s="1107"/>
      <c r="D4268" s="103"/>
      <c r="E4268" s="1137"/>
      <c r="F4268" s="112"/>
      <c r="G4268" s="1110"/>
      <c r="H4268" s="1138"/>
      <c r="I4268" s="1138"/>
      <c r="J4268" s="1139"/>
      <c r="K4268" s="1111"/>
      <c r="L4268" s="1112"/>
      <c r="M4268" s="1113"/>
      <c r="N4268" s="110"/>
      <c r="O4268" s="1140"/>
      <c r="P4268" s="1115"/>
      <c r="Q4268" s="1116"/>
      <c r="R4268" s="1141"/>
      <c r="S4268" s="1113"/>
      <c r="T4268" s="1143"/>
      <c r="U4268" s="1108"/>
      <c r="V4268" s="1108"/>
      <c r="W4268" s="1108"/>
      <c r="X4268" s="1108"/>
      <c r="Y4268" s="1108"/>
      <c r="Z4268" s="1114"/>
      <c r="AA4268" s="1114"/>
      <c r="AB4268" s="1114"/>
      <c r="AC4268" s="1117"/>
      <c r="AD4268" s="1115"/>
      <c r="AE4268" s="1115"/>
      <c r="AF4268" s="1115"/>
      <c r="AG4268" s="1115"/>
      <c r="AH4268" s="1115"/>
      <c r="AI4268" s="1115"/>
      <c r="AJ4268" s="1117"/>
      <c r="AK4268" s="1118"/>
      <c r="AL4268" s="1115"/>
      <c r="AM4268" s="1115"/>
      <c r="AN4268" s="1115"/>
      <c r="AO4268" s="1115"/>
      <c r="AP4268" s="1115"/>
      <c r="AQ4268" s="1115"/>
      <c r="AR4268" s="1115"/>
      <c r="AS4268" s="1117"/>
      <c r="AT4268" s="1075"/>
      <c r="AU4268" s="1193"/>
      <c r="AV4268" s="330"/>
      <c r="AW4268" s="331"/>
      <c r="AX4268" s="331"/>
      <c r="AY4268" s="331"/>
      <c r="AZ4268" s="331"/>
      <c r="BA4268" s="331"/>
      <c r="BB4268" s="331"/>
      <c r="BC4268" s="331"/>
      <c r="BD4268" s="331"/>
      <c r="BE4268" s="333"/>
      <c r="BF4268" s="330"/>
      <c r="BG4268" s="333"/>
      <c r="BH4268" s="1119"/>
      <c r="BI4268" s="319"/>
      <c r="BJ4268" s="319"/>
      <c r="BK4268" s="319"/>
      <c r="BL4268" s="319"/>
      <c r="BM4268" s="319"/>
      <c r="BN4268" s="319"/>
      <c r="BO4268" s="319"/>
      <c r="BP4268" s="953"/>
      <c r="BQ4268" s="319"/>
      <c r="BR4268" s="319"/>
      <c r="BS4268" s="330"/>
      <c r="BT4268" s="331"/>
      <c r="BU4268" s="920"/>
      <c r="BV4268" s="903"/>
      <c r="BW4268" s="908"/>
      <c r="BX4268" s="908"/>
      <c r="BY4268" s="331"/>
      <c r="BZ4268" s="331"/>
      <c r="CA4268" s="462"/>
      <c r="CB4268" s="319"/>
      <c r="CC4268" s="319"/>
      <c r="CD4268" s="319"/>
      <c r="CE4268" s="319"/>
      <c r="CF4268" s="319"/>
      <c r="CG4268" s="319"/>
      <c r="CH4268" s="318"/>
      <c r="CI4268" s="319"/>
      <c r="CJ4268" s="319"/>
      <c r="CK4268" s="342"/>
      <c r="CL4268" s="333"/>
      <c r="CM4268" s="1079"/>
      <c r="CN4268" s="1005"/>
      <c r="CO4268" s="1005"/>
      <c r="CP4268" s="1005"/>
    </row>
    <row r="4269">
      <c r="A4269" s="1257"/>
      <c r="B4269" s="1113"/>
      <c r="C4269" s="1107"/>
      <c r="D4269" s="103"/>
      <c r="E4269" s="1137"/>
      <c r="F4269" s="112"/>
      <c r="G4269" s="1110"/>
      <c r="H4269" s="1138"/>
      <c r="I4269" s="1138"/>
      <c r="J4269" s="1139"/>
      <c r="K4269" s="1111"/>
      <c r="L4269" s="1112"/>
      <c r="M4269" s="1113"/>
      <c r="N4269" s="110"/>
      <c r="O4269" s="1140"/>
      <c r="P4269" s="1115"/>
      <c r="Q4269" s="1116"/>
      <c r="R4269" s="1141"/>
      <c r="S4269" s="1113"/>
      <c r="T4269" s="1143"/>
      <c r="U4269" s="1108"/>
      <c r="V4269" s="1108"/>
      <c r="W4269" s="1108"/>
      <c r="X4269" s="1108"/>
      <c r="Y4269" s="1108"/>
      <c r="Z4269" s="1114"/>
      <c r="AA4269" s="1114"/>
      <c r="AB4269" s="1114"/>
      <c r="AC4269" s="1117"/>
      <c r="AD4269" s="1115"/>
      <c r="AE4269" s="1115"/>
      <c r="AF4269" s="1115"/>
      <c r="AG4269" s="1115"/>
      <c r="AH4269" s="1115"/>
      <c r="AI4269" s="1115"/>
      <c r="AJ4269" s="1117"/>
      <c r="AK4269" s="1118"/>
      <c r="AL4269" s="1115"/>
      <c r="AM4269" s="1115"/>
      <c r="AN4269" s="1115"/>
      <c r="AO4269" s="1115"/>
      <c r="AP4269" s="1115"/>
      <c r="AQ4269" s="1115"/>
      <c r="AR4269" s="1115"/>
      <c r="AS4269" s="1117"/>
      <c r="AT4269" s="1075"/>
      <c r="AU4269" s="1193"/>
      <c r="AV4269" s="330"/>
      <c r="AW4269" s="331"/>
      <c r="AX4269" s="331"/>
      <c r="AY4269" s="331"/>
      <c r="AZ4269" s="331"/>
      <c r="BA4269" s="331"/>
      <c r="BB4269" s="331"/>
      <c r="BC4269" s="331"/>
      <c r="BD4269" s="331"/>
      <c r="BE4269" s="333"/>
      <c r="BF4269" s="330"/>
      <c r="BG4269" s="333"/>
      <c r="BH4269" s="1119"/>
      <c r="BI4269" s="319"/>
      <c r="BJ4269" s="319"/>
      <c r="BK4269" s="319"/>
      <c r="BL4269" s="319"/>
      <c r="BM4269" s="319"/>
      <c r="BN4269" s="319"/>
      <c r="BO4269" s="319"/>
      <c r="BP4269" s="953"/>
      <c r="BQ4269" s="319"/>
      <c r="BR4269" s="319"/>
      <c r="BS4269" s="330"/>
      <c r="BT4269" s="331"/>
      <c r="BU4269" s="920"/>
      <c r="BV4269" s="903"/>
      <c r="BW4269" s="908"/>
      <c r="BX4269" s="908"/>
      <c r="BY4269" s="331"/>
      <c r="BZ4269" s="331"/>
      <c r="CA4269" s="462"/>
      <c r="CB4269" s="319"/>
      <c r="CC4269" s="319"/>
      <c r="CD4269" s="319"/>
      <c r="CE4269" s="319"/>
      <c r="CF4269" s="319"/>
      <c r="CG4269" s="319"/>
      <c r="CH4269" s="318"/>
      <c r="CI4269" s="319"/>
      <c r="CJ4269" s="319"/>
      <c r="CK4269" s="342"/>
      <c r="CL4269" s="333"/>
      <c r="CM4269" s="1079"/>
      <c r="CN4269" s="1005"/>
      <c r="CO4269" s="1005"/>
      <c r="CP4269" s="1005"/>
    </row>
    <row r="4270">
      <c r="A4270" s="1257"/>
      <c r="B4270" s="1113"/>
      <c r="C4270" s="1107"/>
      <c r="D4270" s="103"/>
      <c r="E4270" s="1137"/>
      <c r="F4270" s="112"/>
      <c r="G4270" s="1110"/>
      <c r="H4270" s="1138"/>
      <c r="I4270" s="1138"/>
      <c r="J4270" s="1139"/>
      <c r="K4270" s="1111"/>
      <c r="L4270" s="1112"/>
      <c r="M4270" s="1113"/>
      <c r="N4270" s="110"/>
      <c r="O4270" s="1140"/>
      <c r="P4270" s="1115"/>
      <c r="Q4270" s="1116"/>
      <c r="R4270" s="1141"/>
      <c r="S4270" s="1113"/>
      <c r="T4270" s="1143"/>
      <c r="U4270" s="1108"/>
      <c r="V4270" s="1108"/>
      <c r="W4270" s="1108"/>
      <c r="X4270" s="1108"/>
      <c r="Y4270" s="1108"/>
      <c r="Z4270" s="1114"/>
      <c r="AA4270" s="1114"/>
      <c r="AB4270" s="1114"/>
      <c r="AC4270" s="1117"/>
      <c r="AD4270" s="1115"/>
      <c r="AE4270" s="1115"/>
      <c r="AF4270" s="1115"/>
      <c r="AG4270" s="1115"/>
      <c r="AH4270" s="1115"/>
      <c r="AI4270" s="1115"/>
      <c r="AJ4270" s="1117"/>
      <c r="AK4270" s="1118"/>
      <c r="AL4270" s="1115"/>
      <c r="AM4270" s="1115"/>
      <c r="AN4270" s="1115"/>
      <c r="AO4270" s="1115"/>
      <c r="AP4270" s="1115"/>
      <c r="AQ4270" s="1115"/>
      <c r="AR4270" s="1115"/>
      <c r="AS4270" s="1117"/>
      <c r="AT4270" s="1075"/>
      <c r="AU4270" s="1193"/>
      <c r="AV4270" s="330"/>
      <c r="AW4270" s="331"/>
      <c r="AX4270" s="331"/>
      <c r="AY4270" s="331"/>
      <c r="AZ4270" s="331"/>
      <c r="BA4270" s="331"/>
      <c r="BB4270" s="331"/>
      <c r="BC4270" s="331"/>
      <c r="BD4270" s="331"/>
      <c r="BE4270" s="333"/>
      <c r="BF4270" s="330"/>
      <c r="BG4270" s="333"/>
      <c r="BH4270" s="1119"/>
      <c r="BI4270" s="319"/>
      <c r="BJ4270" s="319"/>
      <c r="BK4270" s="319"/>
      <c r="BL4270" s="319"/>
      <c r="BM4270" s="319"/>
      <c r="BN4270" s="319"/>
      <c r="BO4270" s="319"/>
      <c r="BP4270" s="953"/>
      <c r="BQ4270" s="319"/>
      <c r="BR4270" s="319"/>
      <c r="BS4270" s="330"/>
      <c r="BT4270" s="331"/>
      <c r="BU4270" s="920"/>
      <c r="BV4270" s="903"/>
      <c r="BW4270" s="908"/>
      <c r="BX4270" s="908"/>
      <c r="BY4270" s="331"/>
      <c r="BZ4270" s="331"/>
      <c r="CA4270" s="462"/>
      <c r="CB4270" s="319"/>
      <c r="CC4270" s="319"/>
      <c r="CD4270" s="319"/>
      <c r="CE4270" s="319"/>
      <c r="CF4270" s="319"/>
      <c r="CG4270" s="319"/>
      <c r="CH4270" s="318"/>
      <c r="CI4270" s="319"/>
      <c r="CJ4270" s="319"/>
      <c r="CK4270" s="342"/>
      <c r="CL4270" s="333"/>
      <c r="CM4270" s="1079"/>
      <c r="CN4270" s="1005"/>
      <c r="CO4270" s="1005"/>
      <c r="CP4270" s="1005"/>
    </row>
    <row r="4271">
      <c r="A4271" s="1257"/>
      <c r="B4271" s="1113"/>
      <c r="C4271" s="1107"/>
      <c r="D4271" s="103"/>
      <c r="E4271" s="1137"/>
      <c r="F4271" s="112"/>
      <c r="G4271" s="1110"/>
      <c r="H4271" s="1138"/>
      <c r="I4271" s="1138"/>
      <c r="J4271" s="1139"/>
      <c r="K4271" s="1111"/>
      <c r="L4271" s="1112"/>
      <c r="M4271" s="1113"/>
      <c r="N4271" s="110"/>
      <c r="O4271" s="1140"/>
      <c r="P4271" s="1115"/>
      <c r="Q4271" s="1116"/>
      <c r="R4271" s="1141"/>
      <c r="S4271" s="1113"/>
      <c r="T4271" s="1143"/>
      <c r="U4271" s="1108"/>
      <c r="V4271" s="1108"/>
      <c r="W4271" s="1108"/>
      <c r="X4271" s="1108"/>
      <c r="Y4271" s="1108"/>
      <c r="Z4271" s="1114"/>
      <c r="AA4271" s="1114"/>
      <c r="AB4271" s="1114"/>
      <c r="AC4271" s="1117"/>
      <c r="AD4271" s="1115"/>
      <c r="AE4271" s="1115"/>
      <c r="AF4271" s="1115"/>
      <c r="AG4271" s="1115"/>
      <c r="AH4271" s="1115"/>
      <c r="AI4271" s="1115"/>
      <c r="AJ4271" s="1117"/>
      <c r="AK4271" s="1118"/>
      <c r="AL4271" s="1115"/>
      <c r="AM4271" s="1115"/>
      <c r="AN4271" s="1115"/>
      <c r="AO4271" s="1115"/>
      <c r="AP4271" s="1115"/>
      <c r="AQ4271" s="1115"/>
      <c r="AR4271" s="1115"/>
      <c r="AS4271" s="1117"/>
      <c r="AT4271" s="1075"/>
      <c r="AU4271" s="1193"/>
      <c r="AV4271" s="330"/>
      <c r="AW4271" s="331"/>
      <c r="AX4271" s="331"/>
      <c r="AY4271" s="331"/>
      <c r="AZ4271" s="331"/>
      <c r="BA4271" s="331"/>
      <c r="BB4271" s="331"/>
      <c r="BC4271" s="331"/>
      <c r="BD4271" s="331"/>
      <c r="BE4271" s="333"/>
      <c r="BF4271" s="330"/>
      <c r="BG4271" s="333"/>
      <c r="BH4271" s="1119"/>
      <c r="BI4271" s="319"/>
      <c r="BJ4271" s="319"/>
      <c r="BK4271" s="319"/>
      <c r="BL4271" s="319"/>
      <c r="BM4271" s="319"/>
      <c r="BN4271" s="319"/>
      <c r="BO4271" s="319"/>
      <c r="BP4271" s="953"/>
      <c r="BQ4271" s="319"/>
      <c r="BR4271" s="319"/>
      <c r="BS4271" s="330"/>
      <c r="BT4271" s="331"/>
      <c r="BU4271" s="920"/>
      <c r="BV4271" s="903"/>
      <c r="BW4271" s="908"/>
      <c r="BX4271" s="908"/>
      <c r="BY4271" s="331"/>
      <c r="BZ4271" s="331"/>
      <c r="CA4271" s="462"/>
      <c r="CB4271" s="319"/>
      <c r="CC4271" s="319"/>
      <c r="CD4271" s="319"/>
      <c r="CE4271" s="319"/>
      <c r="CF4271" s="319"/>
      <c r="CG4271" s="319"/>
      <c r="CH4271" s="318"/>
      <c r="CI4271" s="319"/>
      <c r="CJ4271" s="319"/>
      <c r="CK4271" s="342"/>
      <c r="CL4271" s="333"/>
      <c r="CM4271" s="1079"/>
      <c r="CN4271" s="1005"/>
      <c r="CO4271" s="1005"/>
      <c r="CP4271" s="1005"/>
    </row>
    <row r="4272">
      <c r="A4272" s="1257"/>
      <c r="B4272" s="1113"/>
      <c r="C4272" s="1107"/>
      <c r="D4272" s="103"/>
      <c r="E4272" s="1137"/>
      <c r="F4272" s="112"/>
      <c r="G4272" s="1110"/>
      <c r="H4272" s="1138"/>
      <c r="I4272" s="1138"/>
      <c r="J4272" s="1139"/>
      <c r="K4272" s="1111"/>
      <c r="L4272" s="1112"/>
      <c r="M4272" s="1113"/>
      <c r="N4272" s="110"/>
      <c r="O4272" s="1140"/>
      <c r="P4272" s="1115"/>
      <c r="Q4272" s="1116"/>
      <c r="R4272" s="1141"/>
      <c r="S4272" s="1113"/>
      <c r="T4272" s="1143"/>
      <c r="U4272" s="1108"/>
      <c r="V4272" s="1108"/>
      <c r="W4272" s="1108"/>
      <c r="X4272" s="1108"/>
      <c r="Y4272" s="1108"/>
      <c r="Z4272" s="1114"/>
      <c r="AA4272" s="1114"/>
      <c r="AB4272" s="1114"/>
      <c r="AC4272" s="1117"/>
      <c r="AD4272" s="1115"/>
      <c r="AE4272" s="1115"/>
      <c r="AF4272" s="1115"/>
      <c r="AG4272" s="1115"/>
      <c r="AH4272" s="1115"/>
      <c r="AI4272" s="1115"/>
      <c r="AJ4272" s="1117"/>
      <c r="AK4272" s="1118"/>
      <c r="AL4272" s="1115"/>
      <c r="AM4272" s="1115"/>
      <c r="AN4272" s="1115"/>
      <c r="AO4272" s="1115"/>
      <c r="AP4272" s="1115"/>
      <c r="AQ4272" s="1115"/>
      <c r="AR4272" s="1115"/>
      <c r="AS4272" s="1117"/>
      <c r="AT4272" s="1075"/>
      <c r="AU4272" s="1193"/>
      <c r="AV4272" s="330"/>
      <c r="AW4272" s="331"/>
      <c r="AX4272" s="331"/>
      <c r="AY4272" s="331"/>
      <c r="AZ4272" s="331"/>
      <c r="BA4272" s="331"/>
      <c r="BB4272" s="331"/>
      <c r="BC4272" s="331"/>
      <c r="BD4272" s="331"/>
      <c r="BE4272" s="333"/>
      <c r="BF4272" s="330"/>
      <c r="BG4272" s="333"/>
      <c r="BH4272" s="1119"/>
      <c r="BI4272" s="319"/>
      <c r="BJ4272" s="319"/>
      <c r="BK4272" s="319"/>
      <c r="BL4272" s="319"/>
      <c r="BM4272" s="319"/>
      <c r="BN4272" s="319"/>
      <c r="BO4272" s="319"/>
      <c r="BP4272" s="953"/>
      <c r="BQ4272" s="319"/>
      <c r="BR4272" s="319"/>
      <c r="BS4272" s="330"/>
      <c r="BT4272" s="331"/>
      <c r="BU4272" s="920"/>
      <c r="BV4272" s="903"/>
      <c r="BW4272" s="908"/>
      <c r="BX4272" s="908"/>
      <c r="BY4272" s="331"/>
      <c r="BZ4272" s="331"/>
      <c r="CA4272" s="462"/>
      <c r="CB4272" s="319"/>
      <c r="CC4272" s="319"/>
      <c r="CD4272" s="319"/>
      <c r="CE4272" s="319"/>
      <c r="CF4272" s="319"/>
      <c r="CG4272" s="319"/>
      <c r="CH4272" s="318"/>
      <c r="CI4272" s="319"/>
      <c r="CJ4272" s="319"/>
      <c r="CK4272" s="342"/>
      <c r="CL4272" s="333"/>
      <c r="CM4272" s="1079"/>
      <c r="CN4272" s="1005"/>
      <c r="CO4272" s="1005"/>
      <c r="CP4272" s="1005"/>
    </row>
    <row r="4273">
      <c r="A4273" s="1257"/>
      <c r="B4273" s="1113"/>
      <c r="C4273" s="1107"/>
      <c r="D4273" s="103"/>
      <c r="E4273" s="1137"/>
      <c r="F4273" s="112"/>
      <c r="G4273" s="1110"/>
      <c r="H4273" s="1138"/>
      <c r="I4273" s="1138"/>
      <c r="J4273" s="1139"/>
      <c r="K4273" s="1111"/>
      <c r="L4273" s="1112"/>
      <c r="M4273" s="1113"/>
      <c r="N4273" s="110"/>
      <c r="O4273" s="1140"/>
      <c r="P4273" s="1115"/>
      <c r="Q4273" s="1116"/>
      <c r="R4273" s="1141"/>
      <c r="S4273" s="1113"/>
      <c r="T4273" s="1143"/>
      <c r="U4273" s="1108"/>
      <c r="V4273" s="1108"/>
      <c r="W4273" s="1108"/>
      <c r="X4273" s="1108"/>
      <c r="Y4273" s="1108"/>
      <c r="Z4273" s="1114"/>
      <c r="AA4273" s="1114"/>
      <c r="AB4273" s="1114"/>
      <c r="AC4273" s="1117"/>
      <c r="AD4273" s="1115"/>
      <c r="AE4273" s="1115"/>
      <c r="AF4273" s="1115"/>
      <c r="AG4273" s="1115"/>
      <c r="AH4273" s="1115"/>
      <c r="AI4273" s="1115"/>
      <c r="AJ4273" s="1117"/>
      <c r="AK4273" s="1118"/>
      <c r="AL4273" s="1115"/>
      <c r="AM4273" s="1115"/>
      <c r="AN4273" s="1115"/>
      <c r="AO4273" s="1115"/>
      <c r="AP4273" s="1115"/>
      <c r="AQ4273" s="1115"/>
      <c r="AR4273" s="1115"/>
      <c r="AS4273" s="1117"/>
      <c r="AT4273" s="1075"/>
      <c r="AU4273" s="1193"/>
      <c r="AV4273" s="330"/>
      <c r="AW4273" s="331"/>
      <c r="AX4273" s="331"/>
      <c r="AY4273" s="331"/>
      <c r="AZ4273" s="331"/>
      <c r="BA4273" s="331"/>
      <c r="BB4273" s="331"/>
      <c r="BC4273" s="331"/>
      <c r="BD4273" s="331"/>
      <c r="BE4273" s="333"/>
      <c r="BF4273" s="330"/>
      <c r="BG4273" s="333"/>
      <c r="BH4273" s="1119"/>
      <c r="BI4273" s="319"/>
      <c r="BJ4273" s="319"/>
      <c r="BK4273" s="319"/>
      <c r="BL4273" s="319"/>
      <c r="BM4273" s="319"/>
      <c r="BN4273" s="319"/>
      <c r="BO4273" s="319"/>
      <c r="BP4273" s="953"/>
      <c r="BQ4273" s="319"/>
      <c r="BR4273" s="319"/>
      <c r="BS4273" s="330"/>
      <c r="BT4273" s="331"/>
      <c r="BU4273" s="920"/>
      <c r="BV4273" s="903"/>
      <c r="BW4273" s="908"/>
      <c r="BX4273" s="908"/>
      <c r="BY4273" s="331"/>
      <c r="BZ4273" s="331"/>
      <c r="CA4273" s="462"/>
      <c r="CB4273" s="319"/>
      <c r="CC4273" s="319"/>
      <c r="CD4273" s="319"/>
      <c r="CE4273" s="319"/>
      <c r="CF4273" s="319"/>
      <c r="CG4273" s="319"/>
      <c r="CH4273" s="318"/>
      <c r="CI4273" s="319"/>
      <c r="CJ4273" s="319"/>
      <c r="CK4273" s="342"/>
      <c r="CL4273" s="333"/>
      <c r="CM4273" s="1079"/>
      <c r="CN4273" s="1005"/>
      <c r="CO4273" s="1005"/>
      <c r="CP4273" s="1005"/>
    </row>
    <row r="4274">
      <c r="A4274" s="1257"/>
      <c r="B4274" s="1113"/>
      <c r="C4274" s="1107"/>
      <c r="D4274" s="103"/>
      <c r="E4274" s="1137"/>
      <c r="F4274" s="112"/>
      <c r="G4274" s="1110"/>
      <c r="H4274" s="1138"/>
      <c r="I4274" s="1138"/>
      <c r="J4274" s="1139"/>
      <c r="K4274" s="1111"/>
      <c r="L4274" s="1112"/>
      <c r="M4274" s="1113"/>
      <c r="N4274" s="110"/>
      <c r="O4274" s="1140"/>
      <c r="P4274" s="1115"/>
      <c r="Q4274" s="1116"/>
      <c r="R4274" s="1141"/>
      <c r="S4274" s="1113"/>
      <c r="T4274" s="1143"/>
      <c r="U4274" s="1108"/>
      <c r="V4274" s="1108"/>
      <c r="W4274" s="1108"/>
      <c r="X4274" s="1108"/>
      <c r="Y4274" s="1108"/>
      <c r="Z4274" s="1114"/>
      <c r="AA4274" s="1114"/>
      <c r="AB4274" s="1114"/>
      <c r="AC4274" s="1117"/>
      <c r="AD4274" s="1115"/>
      <c r="AE4274" s="1115"/>
      <c r="AF4274" s="1115"/>
      <c r="AG4274" s="1115"/>
      <c r="AH4274" s="1115"/>
      <c r="AI4274" s="1115"/>
      <c r="AJ4274" s="1117"/>
      <c r="AK4274" s="1118"/>
      <c r="AL4274" s="1115"/>
      <c r="AM4274" s="1115"/>
      <c r="AN4274" s="1115"/>
      <c r="AO4274" s="1115"/>
      <c r="AP4274" s="1115"/>
      <c r="AQ4274" s="1115"/>
      <c r="AR4274" s="1115"/>
      <c r="AS4274" s="1117"/>
      <c r="AT4274" s="1075"/>
      <c r="AU4274" s="1193"/>
      <c r="AV4274" s="330"/>
      <c r="AW4274" s="331"/>
      <c r="AX4274" s="331"/>
      <c r="AY4274" s="331"/>
      <c r="AZ4274" s="331"/>
      <c r="BA4274" s="331"/>
      <c r="BB4274" s="331"/>
      <c r="BC4274" s="331"/>
      <c r="BD4274" s="331"/>
      <c r="BE4274" s="333"/>
      <c r="BF4274" s="330"/>
      <c r="BG4274" s="333"/>
      <c r="BH4274" s="1119"/>
      <c r="BI4274" s="319"/>
      <c r="BJ4274" s="319"/>
      <c r="BK4274" s="319"/>
      <c r="BL4274" s="319"/>
      <c r="BM4274" s="319"/>
      <c r="BN4274" s="319"/>
      <c r="BO4274" s="319"/>
      <c r="BP4274" s="953"/>
      <c r="BQ4274" s="319"/>
      <c r="BR4274" s="319"/>
      <c r="BS4274" s="330"/>
      <c r="BT4274" s="331"/>
      <c r="BU4274" s="920"/>
      <c r="BV4274" s="903"/>
      <c r="BW4274" s="908"/>
      <c r="BX4274" s="908"/>
      <c r="BY4274" s="331"/>
      <c r="BZ4274" s="331"/>
      <c r="CA4274" s="462"/>
      <c r="CB4274" s="319"/>
      <c r="CC4274" s="319"/>
      <c r="CD4274" s="319"/>
      <c r="CE4274" s="319"/>
      <c r="CF4274" s="319"/>
      <c r="CG4274" s="319"/>
      <c r="CH4274" s="318"/>
      <c r="CI4274" s="319"/>
      <c r="CJ4274" s="319"/>
      <c r="CK4274" s="342"/>
      <c r="CL4274" s="333"/>
      <c r="CM4274" s="1079"/>
      <c r="CN4274" s="1005"/>
      <c r="CO4274" s="1005"/>
      <c r="CP4274" s="1005"/>
    </row>
    <row r="4275">
      <c r="A4275" s="1257"/>
      <c r="B4275" s="1113"/>
      <c r="C4275" s="1107"/>
      <c r="D4275" s="103"/>
      <c r="E4275" s="1137"/>
      <c r="F4275" s="112"/>
      <c r="G4275" s="1110"/>
      <c r="H4275" s="1138"/>
      <c r="I4275" s="1138"/>
      <c r="J4275" s="1139"/>
      <c r="K4275" s="1111"/>
      <c r="L4275" s="1112"/>
      <c r="M4275" s="1113"/>
      <c r="N4275" s="110"/>
      <c r="O4275" s="1140"/>
      <c r="P4275" s="1115"/>
      <c r="Q4275" s="1116"/>
      <c r="R4275" s="1141"/>
      <c r="S4275" s="1113"/>
      <c r="T4275" s="1143"/>
      <c r="U4275" s="1108"/>
      <c r="V4275" s="1108"/>
      <c r="W4275" s="1108"/>
      <c r="X4275" s="1108"/>
      <c r="Y4275" s="1108"/>
      <c r="Z4275" s="1114"/>
      <c r="AA4275" s="1114"/>
      <c r="AB4275" s="1114"/>
      <c r="AC4275" s="1117"/>
      <c r="AD4275" s="1115"/>
      <c r="AE4275" s="1115"/>
      <c r="AF4275" s="1115"/>
      <c r="AG4275" s="1115"/>
      <c r="AH4275" s="1115"/>
      <c r="AI4275" s="1115"/>
      <c r="AJ4275" s="1117"/>
      <c r="AK4275" s="1118"/>
      <c r="AL4275" s="1115"/>
      <c r="AM4275" s="1115"/>
      <c r="AN4275" s="1115"/>
      <c r="AO4275" s="1115"/>
      <c r="AP4275" s="1115"/>
      <c r="AQ4275" s="1115"/>
      <c r="AR4275" s="1115"/>
      <c r="AS4275" s="1117"/>
      <c r="AT4275" s="1075"/>
      <c r="AU4275" s="1193"/>
      <c r="AV4275" s="330"/>
      <c r="AW4275" s="331"/>
      <c r="AX4275" s="331"/>
      <c r="AY4275" s="331"/>
      <c r="AZ4275" s="331"/>
      <c r="BA4275" s="331"/>
      <c r="BB4275" s="331"/>
      <c r="BC4275" s="331"/>
      <c r="BD4275" s="331"/>
      <c r="BE4275" s="333"/>
      <c r="BF4275" s="330"/>
      <c r="BG4275" s="333"/>
      <c r="BH4275" s="1119"/>
      <c r="BI4275" s="319"/>
      <c r="BJ4275" s="319"/>
      <c r="BK4275" s="319"/>
      <c r="BL4275" s="319"/>
      <c r="BM4275" s="319"/>
      <c r="BN4275" s="319"/>
      <c r="BO4275" s="319"/>
      <c r="BP4275" s="953"/>
      <c r="BQ4275" s="319"/>
      <c r="BR4275" s="319"/>
      <c r="BS4275" s="330"/>
      <c r="BT4275" s="331"/>
      <c r="BU4275" s="920"/>
      <c r="BV4275" s="903"/>
      <c r="BW4275" s="908"/>
      <c r="BX4275" s="908"/>
      <c r="BY4275" s="331"/>
      <c r="BZ4275" s="331"/>
      <c r="CA4275" s="462"/>
      <c r="CB4275" s="319"/>
      <c r="CC4275" s="319"/>
      <c r="CD4275" s="319"/>
      <c r="CE4275" s="319"/>
      <c r="CF4275" s="319"/>
      <c r="CG4275" s="319"/>
      <c r="CH4275" s="318"/>
      <c r="CI4275" s="319"/>
      <c r="CJ4275" s="319"/>
      <c r="CK4275" s="342"/>
      <c r="CL4275" s="333"/>
      <c r="CM4275" s="1079"/>
      <c r="CN4275" s="1005"/>
      <c r="CO4275" s="1005"/>
      <c r="CP4275" s="1005"/>
    </row>
    <row r="4276">
      <c r="A4276" s="1257"/>
      <c r="B4276" s="1113"/>
      <c r="C4276" s="1107"/>
      <c r="D4276" s="103"/>
      <c r="E4276" s="1137"/>
      <c r="F4276" s="112"/>
      <c r="G4276" s="1110"/>
      <c r="H4276" s="1138"/>
      <c r="I4276" s="1138"/>
      <c r="J4276" s="1139"/>
      <c r="K4276" s="1111"/>
      <c r="L4276" s="1112"/>
      <c r="M4276" s="1113"/>
      <c r="N4276" s="110"/>
      <c r="O4276" s="1140"/>
      <c r="P4276" s="1115"/>
      <c r="Q4276" s="1116"/>
      <c r="R4276" s="1141"/>
      <c r="S4276" s="1113"/>
      <c r="T4276" s="1143"/>
      <c r="U4276" s="1108"/>
      <c r="V4276" s="1108"/>
      <c r="W4276" s="1108"/>
      <c r="X4276" s="1108"/>
      <c r="Y4276" s="1108"/>
      <c r="Z4276" s="1114"/>
      <c r="AA4276" s="1114"/>
      <c r="AB4276" s="1114"/>
      <c r="AC4276" s="1117"/>
      <c r="AD4276" s="1115"/>
      <c r="AE4276" s="1115"/>
      <c r="AF4276" s="1115"/>
      <c r="AG4276" s="1115"/>
      <c r="AH4276" s="1115"/>
      <c r="AI4276" s="1115"/>
      <c r="AJ4276" s="1117"/>
      <c r="AK4276" s="1118"/>
      <c r="AL4276" s="1115"/>
      <c r="AM4276" s="1115"/>
      <c r="AN4276" s="1115"/>
      <c r="AO4276" s="1115"/>
      <c r="AP4276" s="1115"/>
      <c r="AQ4276" s="1115"/>
      <c r="AR4276" s="1115"/>
      <c r="AS4276" s="1117"/>
      <c r="AT4276" s="1075"/>
      <c r="AU4276" s="1193"/>
      <c r="AV4276" s="330"/>
      <c r="AW4276" s="331"/>
      <c r="AX4276" s="331"/>
      <c r="AY4276" s="331"/>
      <c r="AZ4276" s="331"/>
      <c r="BA4276" s="331"/>
      <c r="BB4276" s="331"/>
      <c r="BC4276" s="331"/>
      <c r="BD4276" s="331"/>
      <c r="BE4276" s="333"/>
      <c r="BF4276" s="330"/>
      <c r="BG4276" s="333"/>
      <c r="BH4276" s="1119"/>
      <c r="BI4276" s="319"/>
      <c r="BJ4276" s="319"/>
      <c r="BK4276" s="319"/>
      <c r="BL4276" s="319"/>
      <c r="BM4276" s="319"/>
      <c r="BN4276" s="319"/>
      <c r="BO4276" s="319"/>
      <c r="BP4276" s="953"/>
      <c r="BQ4276" s="319"/>
      <c r="BR4276" s="319"/>
      <c r="BS4276" s="330"/>
      <c r="BT4276" s="331"/>
      <c r="BU4276" s="920"/>
      <c r="BV4276" s="903"/>
      <c r="BW4276" s="908"/>
      <c r="BX4276" s="908"/>
      <c r="BY4276" s="331"/>
      <c r="BZ4276" s="331"/>
      <c r="CA4276" s="462"/>
      <c r="CB4276" s="319"/>
      <c r="CC4276" s="319"/>
      <c r="CD4276" s="319"/>
      <c r="CE4276" s="319"/>
      <c r="CF4276" s="319"/>
      <c r="CG4276" s="319"/>
      <c r="CH4276" s="318"/>
      <c r="CI4276" s="319"/>
      <c r="CJ4276" s="319"/>
      <c r="CK4276" s="342"/>
      <c r="CL4276" s="333"/>
      <c r="CM4276" s="1079"/>
      <c r="CN4276" s="1005"/>
      <c r="CO4276" s="1005"/>
      <c r="CP4276" s="1005"/>
    </row>
    <row r="4277">
      <c r="A4277" s="1257"/>
      <c r="B4277" s="1113"/>
      <c r="C4277" s="1107"/>
      <c r="D4277" s="103"/>
      <c r="E4277" s="1137"/>
      <c r="F4277" s="112"/>
      <c r="G4277" s="1110"/>
      <c r="H4277" s="1138"/>
      <c r="I4277" s="1138"/>
      <c r="J4277" s="1139"/>
      <c r="K4277" s="1111"/>
      <c r="L4277" s="1112"/>
      <c r="M4277" s="1113"/>
      <c r="N4277" s="110"/>
      <c r="O4277" s="1140"/>
      <c r="P4277" s="1115"/>
      <c r="Q4277" s="1116"/>
      <c r="R4277" s="1141"/>
      <c r="S4277" s="1113"/>
      <c r="T4277" s="1143"/>
      <c r="U4277" s="1108"/>
      <c r="V4277" s="1108"/>
      <c r="W4277" s="1108"/>
      <c r="X4277" s="1108"/>
      <c r="Y4277" s="1108"/>
      <c r="Z4277" s="1114"/>
      <c r="AA4277" s="1114"/>
      <c r="AB4277" s="1114"/>
      <c r="AC4277" s="1117"/>
      <c r="AD4277" s="1115"/>
      <c r="AE4277" s="1115"/>
      <c r="AF4277" s="1115"/>
      <c r="AG4277" s="1115"/>
      <c r="AH4277" s="1115"/>
      <c r="AI4277" s="1115"/>
      <c r="AJ4277" s="1117"/>
      <c r="AK4277" s="1118"/>
      <c r="AL4277" s="1115"/>
      <c r="AM4277" s="1115"/>
      <c r="AN4277" s="1115"/>
      <c r="AO4277" s="1115"/>
      <c r="AP4277" s="1115"/>
      <c r="AQ4277" s="1115"/>
      <c r="AR4277" s="1115"/>
      <c r="AS4277" s="1117"/>
      <c r="AT4277" s="1075"/>
      <c r="AU4277" s="1193"/>
      <c r="AV4277" s="330"/>
      <c r="AW4277" s="331"/>
      <c r="AX4277" s="331"/>
      <c r="AY4277" s="331"/>
      <c r="AZ4277" s="331"/>
      <c r="BA4277" s="331"/>
      <c r="BB4277" s="331"/>
      <c r="BC4277" s="331"/>
      <c r="BD4277" s="331"/>
      <c r="BE4277" s="333"/>
      <c r="BF4277" s="330"/>
      <c r="BG4277" s="333"/>
      <c r="BH4277" s="1119"/>
      <c r="BI4277" s="319"/>
      <c r="BJ4277" s="319"/>
      <c r="BK4277" s="319"/>
      <c r="BL4277" s="319"/>
      <c r="BM4277" s="319"/>
      <c r="BN4277" s="319"/>
      <c r="BO4277" s="319"/>
      <c r="BP4277" s="953"/>
      <c r="BQ4277" s="319"/>
      <c r="BR4277" s="319"/>
      <c r="BS4277" s="330"/>
      <c r="BT4277" s="331"/>
      <c r="BU4277" s="920"/>
      <c r="BV4277" s="903"/>
      <c r="BW4277" s="908"/>
      <c r="BX4277" s="908"/>
      <c r="BY4277" s="331"/>
      <c r="BZ4277" s="331"/>
      <c r="CA4277" s="462"/>
      <c r="CB4277" s="319"/>
      <c r="CC4277" s="319"/>
      <c r="CD4277" s="319"/>
      <c r="CE4277" s="319"/>
      <c r="CF4277" s="319"/>
      <c r="CG4277" s="319"/>
      <c r="CH4277" s="318"/>
      <c r="CI4277" s="319"/>
      <c r="CJ4277" s="319"/>
      <c r="CK4277" s="342"/>
      <c r="CL4277" s="333"/>
      <c r="CM4277" s="1079"/>
      <c r="CN4277" s="1005"/>
      <c r="CO4277" s="1005"/>
      <c r="CP4277" s="1005"/>
    </row>
    <row r="4278">
      <c r="A4278" s="1257"/>
      <c r="B4278" s="1113"/>
      <c r="C4278" s="1107"/>
      <c r="D4278" s="103"/>
      <c r="E4278" s="1137"/>
      <c r="F4278" s="112"/>
      <c r="G4278" s="1110"/>
      <c r="H4278" s="1138"/>
      <c r="I4278" s="1138"/>
      <c r="J4278" s="1139"/>
      <c r="K4278" s="1111"/>
      <c r="L4278" s="1112"/>
      <c r="M4278" s="1113"/>
      <c r="N4278" s="110"/>
      <c r="O4278" s="1140"/>
      <c r="P4278" s="1115"/>
      <c r="Q4278" s="1116"/>
      <c r="R4278" s="1141"/>
      <c r="S4278" s="1113"/>
      <c r="T4278" s="1143"/>
      <c r="U4278" s="1108"/>
      <c r="V4278" s="1108"/>
      <c r="W4278" s="1108"/>
      <c r="X4278" s="1108"/>
      <c r="Y4278" s="1108"/>
      <c r="Z4278" s="1114"/>
      <c r="AA4278" s="1114"/>
      <c r="AB4278" s="1114"/>
      <c r="AC4278" s="1117"/>
      <c r="AD4278" s="1115"/>
      <c r="AE4278" s="1115"/>
      <c r="AF4278" s="1115"/>
      <c r="AG4278" s="1115"/>
      <c r="AH4278" s="1115"/>
      <c r="AI4278" s="1115"/>
      <c r="AJ4278" s="1117"/>
      <c r="AK4278" s="1118"/>
      <c r="AL4278" s="1115"/>
      <c r="AM4278" s="1115"/>
      <c r="AN4278" s="1115"/>
      <c r="AO4278" s="1115"/>
      <c r="AP4278" s="1115"/>
      <c r="AQ4278" s="1115"/>
      <c r="AR4278" s="1115"/>
      <c r="AS4278" s="1117"/>
      <c r="AT4278" s="1075"/>
      <c r="AU4278" s="1193"/>
      <c r="AV4278" s="330"/>
      <c r="AW4278" s="331"/>
      <c r="AX4278" s="331"/>
      <c r="AY4278" s="331"/>
      <c r="AZ4278" s="331"/>
      <c r="BA4278" s="331"/>
      <c r="BB4278" s="331"/>
      <c r="BC4278" s="331"/>
      <c r="BD4278" s="331"/>
      <c r="BE4278" s="333"/>
      <c r="BF4278" s="330"/>
      <c r="BG4278" s="333"/>
      <c r="BH4278" s="1119"/>
      <c r="BI4278" s="319"/>
      <c r="BJ4278" s="319"/>
      <c r="BK4278" s="319"/>
      <c r="BL4278" s="319"/>
      <c r="BM4278" s="319"/>
      <c r="BN4278" s="319"/>
      <c r="BO4278" s="319"/>
      <c r="BP4278" s="953"/>
      <c r="BQ4278" s="319"/>
      <c r="BR4278" s="319"/>
      <c r="BS4278" s="330"/>
      <c r="BT4278" s="331"/>
      <c r="BU4278" s="920"/>
      <c r="BV4278" s="903"/>
      <c r="BW4278" s="908"/>
      <c r="BX4278" s="908"/>
      <c r="BY4278" s="331"/>
      <c r="BZ4278" s="331"/>
      <c r="CA4278" s="462"/>
      <c r="CB4278" s="319"/>
      <c r="CC4278" s="319"/>
      <c r="CD4278" s="319"/>
      <c r="CE4278" s="319"/>
      <c r="CF4278" s="319"/>
      <c r="CG4278" s="319"/>
      <c r="CH4278" s="318"/>
      <c r="CI4278" s="319"/>
      <c r="CJ4278" s="319"/>
      <c r="CK4278" s="342"/>
      <c r="CL4278" s="333"/>
      <c r="CM4278" s="1079"/>
      <c r="CN4278" s="1005"/>
      <c r="CO4278" s="1005"/>
      <c r="CP4278" s="1005"/>
    </row>
    <row r="4279">
      <c r="A4279" s="1257"/>
      <c r="B4279" s="1113"/>
      <c r="C4279" s="1107"/>
      <c r="D4279" s="103"/>
      <c r="E4279" s="1137"/>
      <c r="F4279" s="112"/>
      <c r="G4279" s="1110"/>
      <c r="H4279" s="1138"/>
      <c r="I4279" s="1138"/>
      <c r="J4279" s="1139"/>
      <c r="K4279" s="1111"/>
      <c r="L4279" s="1112"/>
      <c r="M4279" s="1113"/>
      <c r="N4279" s="110"/>
      <c r="O4279" s="1140"/>
      <c r="P4279" s="1115"/>
      <c r="Q4279" s="1116"/>
      <c r="R4279" s="1141"/>
      <c r="S4279" s="1113"/>
      <c r="T4279" s="1143"/>
      <c r="U4279" s="1108"/>
      <c r="V4279" s="1108"/>
      <c r="W4279" s="1108"/>
      <c r="X4279" s="1108"/>
      <c r="Y4279" s="1108"/>
      <c r="Z4279" s="1114"/>
      <c r="AA4279" s="1114"/>
      <c r="AB4279" s="1114"/>
      <c r="AC4279" s="1117"/>
      <c r="AD4279" s="1115"/>
      <c r="AE4279" s="1115"/>
      <c r="AF4279" s="1115"/>
      <c r="AG4279" s="1115"/>
      <c r="AH4279" s="1115"/>
      <c r="AI4279" s="1115"/>
      <c r="AJ4279" s="1117"/>
      <c r="AK4279" s="1118"/>
      <c r="AL4279" s="1115"/>
      <c r="AM4279" s="1115"/>
      <c r="AN4279" s="1115"/>
      <c r="AO4279" s="1115"/>
      <c r="AP4279" s="1115"/>
      <c r="AQ4279" s="1115"/>
      <c r="AR4279" s="1115"/>
      <c r="AS4279" s="1117"/>
      <c r="AT4279" s="1075"/>
      <c r="AU4279" s="1193"/>
      <c r="AV4279" s="330"/>
      <c r="AW4279" s="331"/>
      <c r="AX4279" s="331"/>
      <c r="AY4279" s="331"/>
      <c r="AZ4279" s="331"/>
      <c r="BA4279" s="331"/>
      <c r="BB4279" s="331"/>
      <c r="BC4279" s="331"/>
      <c r="BD4279" s="331"/>
      <c r="BE4279" s="333"/>
      <c r="BF4279" s="330"/>
      <c r="BG4279" s="333"/>
      <c r="BH4279" s="1119"/>
      <c r="BI4279" s="319"/>
      <c r="BJ4279" s="319"/>
      <c r="BK4279" s="319"/>
      <c r="BL4279" s="319"/>
      <c r="BM4279" s="319"/>
      <c r="BN4279" s="319"/>
      <c r="BO4279" s="319"/>
      <c r="BP4279" s="953"/>
      <c r="BQ4279" s="319"/>
      <c r="BR4279" s="319"/>
      <c r="BS4279" s="330"/>
      <c r="BT4279" s="331"/>
      <c r="BU4279" s="920"/>
      <c r="BV4279" s="903"/>
      <c r="BW4279" s="908"/>
      <c r="BX4279" s="908"/>
      <c r="BY4279" s="331"/>
      <c r="BZ4279" s="331"/>
      <c r="CA4279" s="462"/>
      <c r="CB4279" s="319"/>
      <c r="CC4279" s="319"/>
      <c r="CD4279" s="319"/>
      <c r="CE4279" s="319"/>
      <c r="CF4279" s="319"/>
      <c r="CG4279" s="319"/>
      <c r="CH4279" s="318"/>
      <c r="CI4279" s="319"/>
      <c r="CJ4279" s="319"/>
      <c r="CK4279" s="342"/>
      <c r="CL4279" s="333"/>
      <c r="CM4279" s="1079"/>
      <c r="CN4279" s="1005"/>
      <c r="CO4279" s="1005"/>
      <c r="CP4279" s="1005"/>
    </row>
    <row r="4280">
      <c r="A4280" s="1257"/>
      <c r="B4280" s="1113"/>
      <c r="C4280" s="1107"/>
      <c r="D4280" s="103"/>
      <c r="E4280" s="1137"/>
      <c r="F4280" s="112"/>
      <c r="G4280" s="1110"/>
      <c r="H4280" s="1138"/>
      <c r="I4280" s="1138"/>
      <c r="J4280" s="1139"/>
      <c r="K4280" s="1111"/>
      <c r="L4280" s="1112"/>
      <c r="M4280" s="1113"/>
      <c r="N4280" s="110"/>
      <c r="O4280" s="1140"/>
      <c r="P4280" s="1115"/>
      <c r="Q4280" s="1116"/>
      <c r="R4280" s="1141"/>
      <c r="S4280" s="1113"/>
      <c r="T4280" s="1143"/>
      <c r="U4280" s="1108"/>
      <c r="V4280" s="1108"/>
      <c r="W4280" s="1108"/>
      <c r="X4280" s="1108"/>
      <c r="Y4280" s="1108"/>
      <c r="Z4280" s="1114"/>
      <c r="AA4280" s="1114"/>
      <c r="AB4280" s="1114"/>
      <c r="AC4280" s="1117"/>
      <c r="AD4280" s="1115"/>
      <c r="AE4280" s="1115"/>
      <c r="AF4280" s="1115"/>
      <c r="AG4280" s="1115"/>
      <c r="AH4280" s="1115"/>
      <c r="AI4280" s="1115"/>
      <c r="AJ4280" s="1117"/>
      <c r="AK4280" s="1118"/>
      <c r="AL4280" s="1115"/>
      <c r="AM4280" s="1115"/>
      <c r="AN4280" s="1115"/>
      <c r="AO4280" s="1115"/>
      <c r="AP4280" s="1115"/>
      <c r="AQ4280" s="1115"/>
      <c r="AR4280" s="1115"/>
      <c r="AS4280" s="1117"/>
      <c r="AT4280" s="1075"/>
      <c r="AU4280" s="1193"/>
      <c r="AV4280" s="330"/>
      <c r="AW4280" s="331"/>
      <c r="AX4280" s="331"/>
      <c r="AY4280" s="331"/>
      <c r="AZ4280" s="331"/>
      <c r="BA4280" s="331"/>
      <c r="BB4280" s="331"/>
      <c r="BC4280" s="331"/>
      <c r="BD4280" s="331"/>
      <c r="BE4280" s="333"/>
      <c r="BF4280" s="330"/>
      <c r="BG4280" s="333"/>
      <c r="BH4280" s="1119"/>
      <c r="BI4280" s="319"/>
      <c r="BJ4280" s="319"/>
      <c r="BK4280" s="319"/>
      <c r="BL4280" s="319"/>
      <c r="BM4280" s="319"/>
      <c r="BN4280" s="319"/>
      <c r="BO4280" s="319"/>
      <c r="BP4280" s="953"/>
      <c r="BQ4280" s="319"/>
      <c r="BR4280" s="319"/>
      <c r="BS4280" s="330"/>
      <c r="BT4280" s="331"/>
      <c r="BU4280" s="920"/>
      <c r="BV4280" s="903"/>
      <c r="BW4280" s="908"/>
      <c r="BX4280" s="908"/>
      <c r="BY4280" s="331"/>
      <c r="BZ4280" s="331"/>
      <c r="CA4280" s="462"/>
      <c r="CB4280" s="319"/>
      <c r="CC4280" s="319"/>
      <c r="CD4280" s="319"/>
      <c r="CE4280" s="319"/>
      <c r="CF4280" s="319"/>
      <c r="CG4280" s="319"/>
      <c r="CH4280" s="318"/>
      <c r="CI4280" s="319"/>
      <c r="CJ4280" s="319"/>
      <c r="CK4280" s="342"/>
      <c r="CL4280" s="333"/>
      <c r="CM4280" s="1079"/>
      <c r="CN4280" s="1005"/>
      <c r="CO4280" s="1005"/>
      <c r="CP4280" s="1005"/>
    </row>
    <row r="4281">
      <c r="A4281" s="1257"/>
      <c r="B4281" s="1113"/>
      <c r="C4281" s="1107"/>
      <c r="D4281" s="103"/>
      <c r="E4281" s="1137"/>
      <c r="F4281" s="112"/>
      <c r="G4281" s="1110"/>
      <c r="H4281" s="1138"/>
      <c r="I4281" s="1138"/>
      <c r="J4281" s="1139"/>
      <c r="K4281" s="1111"/>
      <c r="L4281" s="1112"/>
      <c r="M4281" s="1113"/>
      <c r="N4281" s="110"/>
      <c r="O4281" s="1140"/>
      <c r="P4281" s="1115"/>
      <c r="Q4281" s="1116"/>
      <c r="R4281" s="1141"/>
      <c r="S4281" s="1113"/>
      <c r="T4281" s="1143"/>
      <c r="U4281" s="1108"/>
      <c r="V4281" s="1108"/>
      <c r="W4281" s="1108"/>
      <c r="X4281" s="1108"/>
      <c r="Y4281" s="1108"/>
      <c r="Z4281" s="1114"/>
      <c r="AA4281" s="1114"/>
      <c r="AB4281" s="1114"/>
      <c r="AC4281" s="1117"/>
      <c r="AD4281" s="1115"/>
      <c r="AE4281" s="1115"/>
      <c r="AF4281" s="1115"/>
      <c r="AG4281" s="1115"/>
      <c r="AH4281" s="1115"/>
      <c r="AI4281" s="1115"/>
      <c r="AJ4281" s="1117"/>
      <c r="AK4281" s="1118"/>
      <c r="AL4281" s="1115"/>
      <c r="AM4281" s="1115"/>
      <c r="AN4281" s="1115"/>
      <c r="AO4281" s="1115"/>
      <c r="AP4281" s="1115"/>
      <c r="AQ4281" s="1115"/>
      <c r="AR4281" s="1115"/>
      <c r="AS4281" s="1117"/>
      <c r="AT4281" s="1075"/>
      <c r="AU4281" s="1193"/>
      <c r="AV4281" s="330"/>
      <c r="AW4281" s="331"/>
      <c r="AX4281" s="331"/>
      <c r="AY4281" s="331"/>
      <c r="AZ4281" s="331"/>
      <c r="BA4281" s="331"/>
      <c r="BB4281" s="331"/>
      <c r="BC4281" s="331"/>
      <c r="BD4281" s="331"/>
      <c r="BE4281" s="333"/>
      <c r="BF4281" s="330"/>
      <c r="BG4281" s="333"/>
      <c r="BH4281" s="1119"/>
      <c r="BI4281" s="319"/>
      <c r="BJ4281" s="319"/>
      <c r="BK4281" s="319"/>
      <c r="BL4281" s="319"/>
      <c r="BM4281" s="319"/>
      <c r="BN4281" s="319"/>
      <c r="BO4281" s="319"/>
      <c r="BP4281" s="953"/>
      <c r="BQ4281" s="319"/>
      <c r="BR4281" s="319"/>
      <c r="BS4281" s="330"/>
      <c r="BT4281" s="331"/>
      <c r="BU4281" s="920"/>
      <c r="BV4281" s="903"/>
      <c r="BW4281" s="908"/>
      <c r="BX4281" s="908"/>
      <c r="BY4281" s="331"/>
      <c r="BZ4281" s="331"/>
      <c r="CA4281" s="462"/>
      <c r="CB4281" s="319"/>
      <c r="CC4281" s="319"/>
      <c r="CD4281" s="319"/>
      <c r="CE4281" s="319"/>
      <c r="CF4281" s="319"/>
      <c r="CG4281" s="319"/>
      <c r="CH4281" s="318"/>
      <c r="CI4281" s="319"/>
      <c r="CJ4281" s="319"/>
      <c r="CK4281" s="342"/>
      <c r="CL4281" s="333"/>
      <c r="CM4281" s="1079"/>
      <c r="CN4281" s="1005"/>
      <c r="CO4281" s="1005"/>
      <c r="CP4281" s="1005"/>
    </row>
    <row r="4282">
      <c r="A4282" s="1257"/>
      <c r="B4282" s="1113"/>
      <c r="C4282" s="1107"/>
      <c r="D4282" s="103"/>
      <c r="E4282" s="1137"/>
      <c r="F4282" s="112"/>
      <c r="G4282" s="1110"/>
      <c r="H4282" s="1138"/>
      <c r="I4282" s="1138"/>
      <c r="J4282" s="1139"/>
      <c r="K4282" s="1111"/>
      <c r="L4282" s="1112"/>
      <c r="M4282" s="1113"/>
      <c r="N4282" s="110"/>
      <c r="O4282" s="1140"/>
      <c r="P4282" s="1115"/>
      <c r="Q4282" s="1116"/>
      <c r="R4282" s="1141"/>
      <c r="S4282" s="1113"/>
      <c r="T4282" s="1143"/>
      <c r="U4282" s="1108"/>
      <c r="V4282" s="1108"/>
      <c r="W4282" s="1108"/>
      <c r="X4282" s="1108"/>
      <c r="Y4282" s="1108"/>
      <c r="Z4282" s="1114"/>
      <c r="AA4282" s="1114"/>
      <c r="AB4282" s="1114"/>
      <c r="AC4282" s="1117"/>
      <c r="AD4282" s="1115"/>
      <c r="AE4282" s="1115"/>
      <c r="AF4282" s="1115"/>
      <c r="AG4282" s="1115"/>
      <c r="AH4282" s="1115"/>
      <c r="AI4282" s="1115"/>
      <c r="AJ4282" s="1117"/>
      <c r="AK4282" s="1118"/>
      <c r="AL4282" s="1115"/>
      <c r="AM4282" s="1115"/>
      <c r="AN4282" s="1115"/>
      <c r="AO4282" s="1115"/>
      <c r="AP4282" s="1115"/>
      <c r="AQ4282" s="1115"/>
      <c r="AR4282" s="1115"/>
      <c r="AS4282" s="1117"/>
      <c r="AT4282" s="1075"/>
      <c r="AU4282" s="1193"/>
      <c r="AV4282" s="330"/>
      <c r="AW4282" s="331"/>
      <c r="AX4282" s="331"/>
      <c r="AY4282" s="331"/>
      <c r="AZ4282" s="331"/>
      <c r="BA4282" s="331"/>
      <c r="BB4282" s="331"/>
      <c r="BC4282" s="331"/>
      <c r="BD4282" s="331"/>
      <c r="BE4282" s="333"/>
      <c r="BF4282" s="330"/>
      <c r="BG4282" s="333"/>
      <c r="BH4282" s="1119"/>
      <c r="BI4282" s="319"/>
      <c r="BJ4282" s="319"/>
      <c r="BK4282" s="319"/>
      <c r="BL4282" s="319"/>
      <c r="BM4282" s="319"/>
      <c r="BN4282" s="319"/>
      <c r="BO4282" s="319"/>
      <c r="BP4282" s="953"/>
      <c r="BQ4282" s="319"/>
      <c r="BR4282" s="319"/>
      <c r="BS4282" s="330"/>
      <c r="BT4282" s="331"/>
      <c r="BU4282" s="920"/>
      <c r="BV4282" s="903"/>
      <c r="BW4282" s="908"/>
      <c r="BX4282" s="908"/>
      <c r="BY4282" s="331"/>
      <c r="BZ4282" s="331"/>
      <c r="CA4282" s="462"/>
      <c r="CB4282" s="319"/>
      <c r="CC4282" s="319"/>
      <c r="CD4282" s="319"/>
      <c r="CE4282" s="319"/>
      <c r="CF4282" s="319"/>
      <c r="CG4282" s="319"/>
      <c r="CH4282" s="318"/>
      <c r="CI4282" s="319"/>
      <c r="CJ4282" s="319"/>
      <c r="CK4282" s="342"/>
      <c r="CL4282" s="333"/>
      <c r="CM4282" s="1079"/>
      <c r="CN4282" s="1005"/>
      <c r="CO4282" s="1005"/>
      <c r="CP4282" s="1005"/>
    </row>
    <row r="4283">
      <c r="A4283" s="1257"/>
      <c r="B4283" s="1113"/>
      <c r="C4283" s="1107"/>
      <c r="D4283" s="103"/>
      <c r="E4283" s="1137"/>
      <c r="F4283" s="112"/>
      <c r="G4283" s="1110"/>
      <c r="H4283" s="1138"/>
      <c r="I4283" s="1138"/>
      <c r="J4283" s="1139"/>
      <c r="K4283" s="1111"/>
      <c r="L4283" s="1112"/>
      <c r="M4283" s="1113"/>
      <c r="N4283" s="110"/>
      <c r="O4283" s="1140"/>
      <c r="P4283" s="1115"/>
      <c r="Q4283" s="1116"/>
      <c r="R4283" s="1141"/>
      <c r="S4283" s="1113"/>
      <c r="T4283" s="1143"/>
      <c r="U4283" s="1108"/>
      <c r="V4283" s="1108"/>
      <c r="W4283" s="1108"/>
      <c r="X4283" s="1108"/>
      <c r="Y4283" s="1108"/>
      <c r="Z4283" s="1114"/>
      <c r="AA4283" s="1114"/>
      <c r="AB4283" s="1114"/>
      <c r="AC4283" s="1117"/>
      <c r="AD4283" s="1115"/>
      <c r="AE4283" s="1115"/>
      <c r="AF4283" s="1115"/>
      <c r="AG4283" s="1115"/>
      <c r="AH4283" s="1115"/>
      <c r="AI4283" s="1115"/>
      <c r="AJ4283" s="1117"/>
      <c r="AK4283" s="1118"/>
      <c r="AL4283" s="1115"/>
      <c r="AM4283" s="1115"/>
      <c r="AN4283" s="1115"/>
      <c r="AO4283" s="1115"/>
      <c r="AP4283" s="1115"/>
      <c r="AQ4283" s="1115"/>
      <c r="AR4283" s="1115"/>
      <c r="AS4283" s="1117"/>
      <c r="AT4283" s="1075"/>
      <c r="AU4283" s="1193"/>
      <c r="AV4283" s="330"/>
      <c r="AW4283" s="331"/>
      <c r="AX4283" s="331"/>
      <c r="AY4283" s="331"/>
      <c r="AZ4283" s="331"/>
      <c r="BA4283" s="331"/>
      <c r="BB4283" s="331"/>
      <c r="BC4283" s="331"/>
      <c r="BD4283" s="331"/>
      <c r="BE4283" s="333"/>
      <c r="BF4283" s="330"/>
      <c r="BG4283" s="333"/>
      <c r="BH4283" s="1119"/>
      <c r="BI4283" s="319"/>
      <c r="BJ4283" s="319"/>
      <c r="BK4283" s="319"/>
      <c r="BL4283" s="319"/>
      <c r="BM4283" s="319"/>
      <c r="BN4283" s="319"/>
      <c r="BO4283" s="319"/>
      <c r="BP4283" s="953"/>
      <c r="BQ4283" s="319"/>
      <c r="BR4283" s="319"/>
      <c r="BS4283" s="330"/>
      <c r="BT4283" s="331"/>
      <c r="BU4283" s="920"/>
      <c r="BV4283" s="903"/>
      <c r="BW4283" s="908"/>
      <c r="BX4283" s="908"/>
      <c r="BY4283" s="331"/>
      <c r="BZ4283" s="331"/>
      <c r="CA4283" s="462"/>
      <c r="CB4283" s="319"/>
      <c r="CC4283" s="319"/>
      <c r="CD4283" s="319"/>
      <c r="CE4283" s="319"/>
      <c r="CF4283" s="319"/>
      <c r="CG4283" s="319"/>
      <c r="CH4283" s="318"/>
      <c r="CI4283" s="319"/>
      <c r="CJ4283" s="319"/>
      <c r="CK4283" s="342"/>
      <c r="CL4283" s="333"/>
      <c r="CM4283" s="1079"/>
      <c r="CN4283" s="1005"/>
      <c r="CO4283" s="1005"/>
      <c r="CP4283" s="1005"/>
    </row>
    <row r="4284">
      <c r="A4284" s="1257"/>
      <c r="B4284" s="1113"/>
      <c r="C4284" s="1107"/>
      <c r="D4284" s="103"/>
      <c r="E4284" s="1137"/>
      <c r="F4284" s="112"/>
      <c r="G4284" s="1110"/>
      <c r="H4284" s="1138"/>
      <c r="I4284" s="1138"/>
      <c r="J4284" s="1139"/>
      <c r="K4284" s="1111"/>
      <c r="L4284" s="1112"/>
      <c r="M4284" s="1113"/>
      <c r="N4284" s="110"/>
      <c r="O4284" s="1140"/>
      <c r="P4284" s="1115"/>
      <c r="Q4284" s="1116"/>
      <c r="R4284" s="1141"/>
      <c r="S4284" s="1113"/>
      <c r="T4284" s="1143"/>
      <c r="U4284" s="1108"/>
      <c r="V4284" s="1108"/>
      <c r="W4284" s="1108"/>
      <c r="X4284" s="1108"/>
      <c r="Y4284" s="1108"/>
      <c r="Z4284" s="1114"/>
      <c r="AA4284" s="1114"/>
      <c r="AB4284" s="1114"/>
      <c r="AC4284" s="1117"/>
      <c r="AD4284" s="1115"/>
      <c r="AE4284" s="1115"/>
      <c r="AF4284" s="1115"/>
      <c r="AG4284" s="1115"/>
      <c r="AH4284" s="1115"/>
      <c r="AI4284" s="1115"/>
      <c r="AJ4284" s="1117"/>
      <c r="AK4284" s="1118"/>
      <c r="AL4284" s="1115"/>
      <c r="AM4284" s="1115"/>
      <c r="AN4284" s="1115"/>
      <c r="AO4284" s="1115"/>
      <c r="AP4284" s="1115"/>
      <c r="AQ4284" s="1115"/>
      <c r="AR4284" s="1115"/>
      <c r="AS4284" s="1117"/>
      <c r="AT4284" s="1075"/>
      <c r="AU4284" s="1193"/>
      <c r="AV4284" s="330"/>
      <c r="AW4284" s="331"/>
      <c r="AX4284" s="331"/>
      <c r="AY4284" s="331"/>
      <c r="AZ4284" s="331"/>
      <c r="BA4284" s="331"/>
      <c r="BB4284" s="331"/>
      <c r="BC4284" s="331"/>
      <c r="BD4284" s="331"/>
      <c r="BE4284" s="333"/>
      <c r="BF4284" s="330"/>
      <c r="BG4284" s="333"/>
      <c r="BH4284" s="1119"/>
      <c r="BI4284" s="319"/>
      <c r="BJ4284" s="319"/>
      <c r="BK4284" s="319"/>
      <c r="BL4284" s="319"/>
      <c r="BM4284" s="319"/>
      <c r="BN4284" s="319"/>
      <c r="BO4284" s="319"/>
      <c r="BP4284" s="953"/>
      <c r="BQ4284" s="319"/>
      <c r="BR4284" s="319"/>
      <c r="BS4284" s="330"/>
      <c r="BT4284" s="331"/>
      <c r="BU4284" s="920"/>
      <c r="BV4284" s="903"/>
      <c r="BW4284" s="908"/>
      <c r="BX4284" s="908"/>
      <c r="BY4284" s="331"/>
      <c r="BZ4284" s="331"/>
      <c r="CA4284" s="462"/>
      <c r="CB4284" s="319"/>
      <c r="CC4284" s="319"/>
      <c r="CD4284" s="319"/>
      <c r="CE4284" s="319"/>
      <c r="CF4284" s="319"/>
      <c r="CG4284" s="319"/>
      <c r="CH4284" s="318"/>
      <c r="CI4284" s="319"/>
      <c r="CJ4284" s="319"/>
      <c r="CK4284" s="342"/>
      <c r="CL4284" s="333"/>
      <c r="CM4284" s="1079"/>
      <c r="CN4284" s="1005"/>
      <c r="CO4284" s="1005"/>
      <c r="CP4284" s="1005"/>
    </row>
    <row r="4285">
      <c r="A4285" s="1257"/>
      <c r="B4285" s="1113"/>
      <c r="C4285" s="1107"/>
      <c r="D4285" s="103"/>
      <c r="E4285" s="1137"/>
      <c r="F4285" s="112"/>
      <c r="G4285" s="1110"/>
      <c r="H4285" s="1138"/>
      <c r="I4285" s="1138"/>
      <c r="J4285" s="1139"/>
      <c r="K4285" s="1111"/>
      <c r="L4285" s="1112"/>
      <c r="M4285" s="1113"/>
      <c r="N4285" s="110"/>
      <c r="O4285" s="1140"/>
      <c r="P4285" s="1115"/>
      <c r="Q4285" s="1116"/>
      <c r="R4285" s="1141"/>
      <c r="S4285" s="1113"/>
      <c r="T4285" s="1143"/>
      <c r="U4285" s="1108"/>
      <c r="V4285" s="1108"/>
      <c r="W4285" s="1108"/>
      <c r="X4285" s="1108"/>
      <c r="Y4285" s="1108"/>
      <c r="Z4285" s="1114"/>
      <c r="AA4285" s="1114"/>
      <c r="AB4285" s="1114"/>
      <c r="AC4285" s="1117"/>
      <c r="AD4285" s="1115"/>
      <c r="AE4285" s="1115"/>
      <c r="AF4285" s="1115"/>
      <c r="AG4285" s="1115"/>
      <c r="AH4285" s="1115"/>
      <c r="AI4285" s="1115"/>
      <c r="AJ4285" s="1117"/>
      <c r="AK4285" s="1118"/>
      <c r="AL4285" s="1115"/>
      <c r="AM4285" s="1115"/>
      <c r="AN4285" s="1115"/>
      <c r="AO4285" s="1115"/>
      <c r="AP4285" s="1115"/>
      <c r="AQ4285" s="1115"/>
      <c r="AR4285" s="1115"/>
      <c r="AS4285" s="1117"/>
      <c r="AT4285" s="1075"/>
      <c r="AU4285" s="1193"/>
      <c r="AV4285" s="330"/>
      <c r="AW4285" s="331"/>
      <c r="AX4285" s="331"/>
      <c r="AY4285" s="331"/>
      <c r="AZ4285" s="331"/>
      <c r="BA4285" s="331"/>
      <c r="BB4285" s="331"/>
      <c r="BC4285" s="331"/>
      <c r="BD4285" s="331"/>
      <c r="BE4285" s="333"/>
      <c r="BF4285" s="330"/>
      <c r="BG4285" s="333"/>
      <c r="BH4285" s="1119"/>
      <c r="BI4285" s="319"/>
      <c r="BJ4285" s="319"/>
      <c r="BK4285" s="319"/>
      <c r="BL4285" s="319"/>
      <c r="BM4285" s="319"/>
      <c r="BN4285" s="319"/>
      <c r="BO4285" s="319"/>
      <c r="BP4285" s="953"/>
      <c r="BQ4285" s="319"/>
      <c r="BR4285" s="319"/>
      <c r="BS4285" s="330"/>
      <c r="BT4285" s="331"/>
      <c r="BU4285" s="920"/>
      <c r="BV4285" s="903"/>
      <c r="BW4285" s="908"/>
      <c r="BX4285" s="908"/>
      <c r="BY4285" s="331"/>
      <c r="BZ4285" s="331"/>
      <c r="CA4285" s="462"/>
      <c r="CB4285" s="319"/>
      <c r="CC4285" s="319"/>
      <c r="CD4285" s="319"/>
      <c r="CE4285" s="319"/>
      <c r="CF4285" s="319"/>
      <c r="CG4285" s="319"/>
      <c r="CH4285" s="318"/>
      <c r="CI4285" s="319"/>
      <c r="CJ4285" s="319"/>
      <c r="CK4285" s="342"/>
      <c r="CL4285" s="333"/>
      <c r="CM4285" s="1079"/>
      <c r="CN4285" s="1005"/>
      <c r="CO4285" s="1005"/>
      <c r="CP4285" s="1005"/>
    </row>
    <row r="4286">
      <c r="A4286" s="1257"/>
      <c r="B4286" s="1113"/>
      <c r="C4286" s="1107"/>
      <c r="D4286" s="103"/>
      <c r="E4286" s="1137"/>
      <c r="F4286" s="112"/>
      <c r="G4286" s="1110"/>
      <c r="H4286" s="1138"/>
      <c r="I4286" s="1138"/>
      <c r="J4286" s="1139"/>
      <c r="K4286" s="1111"/>
      <c r="L4286" s="1112"/>
      <c r="M4286" s="1113"/>
      <c r="N4286" s="110"/>
      <c r="O4286" s="1140"/>
      <c r="P4286" s="1115"/>
      <c r="Q4286" s="1116"/>
      <c r="R4286" s="1141"/>
      <c r="S4286" s="1113"/>
      <c r="T4286" s="1143"/>
      <c r="U4286" s="1108"/>
      <c r="V4286" s="1108"/>
      <c r="W4286" s="1108"/>
      <c r="X4286" s="1108"/>
      <c r="Y4286" s="1108"/>
      <c r="Z4286" s="1114"/>
      <c r="AA4286" s="1114"/>
      <c r="AB4286" s="1114"/>
      <c r="AC4286" s="1117"/>
      <c r="AD4286" s="1115"/>
      <c r="AE4286" s="1115"/>
      <c r="AF4286" s="1115"/>
      <c r="AG4286" s="1115"/>
      <c r="AH4286" s="1115"/>
      <c r="AI4286" s="1115"/>
      <c r="AJ4286" s="1117"/>
      <c r="AK4286" s="1118"/>
      <c r="AL4286" s="1115"/>
      <c r="AM4286" s="1115"/>
      <c r="AN4286" s="1115"/>
      <c r="AO4286" s="1115"/>
      <c r="AP4286" s="1115"/>
      <c r="AQ4286" s="1115"/>
      <c r="AR4286" s="1115"/>
      <c r="AS4286" s="1117"/>
      <c r="AT4286" s="1075"/>
      <c r="AU4286" s="1193"/>
      <c r="AV4286" s="330"/>
      <c r="AW4286" s="331"/>
      <c r="AX4286" s="331"/>
      <c r="AY4286" s="331"/>
      <c r="AZ4286" s="331"/>
      <c r="BA4286" s="331"/>
      <c r="BB4286" s="331"/>
      <c r="BC4286" s="331"/>
      <c r="BD4286" s="331"/>
      <c r="BE4286" s="333"/>
      <c r="BF4286" s="330"/>
      <c r="BG4286" s="333"/>
      <c r="BH4286" s="1119"/>
      <c r="BI4286" s="319"/>
      <c r="BJ4286" s="319"/>
      <c r="BK4286" s="319"/>
      <c r="BL4286" s="319"/>
      <c r="BM4286" s="319"/>
      <c r="BN4286" s="319"/>
      <c r="BO4286" s="319"/>
      <c r="BP4286" s="953"/>
      <c r="BQ4286" s="319"/>
      <c r="BR4286" s="319"/>
      <c r="BS4286" s="330"/>
      <c r="BT4286" s="331"/>
      <c r="BU4286" s="920"/>
      <c r="BV4286" s="903"/>
      <c r="BW4286" s="908"/>
      <c r="BX4286" s="908"/>
      <c r="BY4286" s="331"/>
      <c r="BZ4286" s="331"/>
      <c r="CA4286" s="462"/>
      <c r="CB4286" s="319"/>
      <c r="CC4286" s="319"/>
      <c r="CD4286" s="319"/>
      <c r="CE4286" s="319"/>
      <c r="CF4286" s="319"/>
      <c r="CG4286" s="319"/>
      <c r="CH4286" s="318"/>
      <c r="CI4286" s="319"/>
      <c r="CJ4286" s="319"/>
      <c r="CK4286" s="342"/>
      <c r="CL4286" s="333"/>
      <c r="CM4286" s="1079"/>
      <c r="CN4286" s="1005"/>
      <c r="CO4286" s="1005"/>
      <c r="CP4286" s="1005"/>
    </row>
    <row r="4287">
      <c r="A4287" s="1257"/>
      <c r="B4287" s="1113"/>
      <c r="C4287" s="1107"/>
      <c r="D4287" s="103"/>
      <c r="E4287" s="1137"/>
      <c r="F4287" s="112"/>
      <c r="G4287" s="1110"/>
      <c r="H4287" s="1138"/>
      <c r="I4287" s="1138"/>
      <c r="J4287" s="1139"/>
      <c r="K4287" s="1111"/>
      <c r="L4287" s="1112"/>
      <c r="M4287" s="1113"/>
      <c r="N4287" s="110"/>
      <c r="O4287" s="1140"/>
      <c r="P4287" s="1115"/>
      <c r="Q4287" s="1116"/>
      <c r="R4287" s="1141"/>
      <c r="S4287" s="1113"/>
      <c r="T4287" s="1143"/>
      <c r="U4287" s="1108"/>
      <c r="V4287" s="1108"/>
      <c r="W4287" s="1108"/>
      <c r="X4287" s="1108"/>
      <c r="Y4287" s="1108"/>
      <c r="Z4287" s="1114"/>
      <c r="AA4287" s="1114"/>
      <c r="AB4287" s="1114"/>
      <c r="AC4287" s="1117"/>
      <c r="AD4287" s="1115"/>
      <c r="AE4287" s="1115"/>
      <c r="AF4287" s="1115"/>
      <c r="AG4287" s="1115"/>
      <c r="AH4287" s="1115"/>
      <c r="AI4287" s="1115"/>
      <c r="AJ4287" s="1117"/>
      <c r="AK4287" s="1118"/>
      <c r="AL4287" s="1115"/>
      <c r="AM4287" s="1115"/>
      <c r="AN4287" s="1115"/>
      <c r="AO4287" s="1115"/>
      <c r="AP4287" s="1115"/>
      <c r="AQ4287" s="1115"/>
      <c r="AR4287" s="1115"/>
      <c r="AS4287" s="1117"/>
      <c r="AT4287" s="1075"/>
      <c r="AU4287" s="1193"/>
      <c r="AV4287" s="330"/>
      <c r="AW4287" s="331"/>
      <c r="AX4287" s="331"/>
      <c r="AY4287" s="331"/>
      <c r="AZ4287" s="331"/>
      <c r="BA4287" s="331"/>
      <c r="BB4287" s="331"/>
      <c r="BC4287" s="331"/>
      <c r="BD4287" s="331"/>
      <c r="BE4287" s="333"/>
      <c r="BF4287" s="330"/>
      <c r="BG4287" s="333"/>
      <c r="BH4287" s="1119"/>
      <c r="BI4287" s="319"/>
      <c r="BJ4287" s="319"/>
      <c r="BK4287" s="319"/>
      <c r="BL4287" s="319"/>
      <c r="BM4287" s="319"/>
      <c r="BN4287" s="319"/>
      <c r="BO4287" s="319"/>
      <c r="BP4287" s="953"/>
      <c r="BQ4287" s="319"/>
      <c r="BR4287" s="319"/>
      <c r="BS4287" s="330"/>
      <c r="BT4287" s="331"/>
      <c r="BU4287" s="920"/>
      <c r="BV4287" s="903"/>
      <c r="BW4287" s="908"/>
      <c r="BX4287" s="908"/>
      <c r="BY4287" s="331"/>
      <c r="BZ4287" s="331"/>
      <c r="CA4287" s="462"/>
      <c r="CB4287" s="319"/>
      <c r="CC4287" s="319"/>
      <c r="CD4287" s="319"/>
      <c r="CE4287" s="319"/>
      <c r="CF4287" s="319"/>
      <c r="CG4287" s="319"/>
      <c r="CH4287" s="318"/>
      <c r="CI4287" s="319"/>
      <c r="CJ4287" s="319"/>
      <c r="CK4287" s="342"/>
      <c r="CL4287" s="333"/>
      <c r="CM4287" s="1079"/>
      <c r="CN4287" s="1005"/>
      <c r="CO4287" s="1005"/>
      <c r="CP4287" s="1005"/>
    </row>
    <row r="4288">
      <c r="A4288" s="1257"/>
      <c r="B4288" s="1113"/>
      <c r="C4288" s="1107"/>
      <c r="D4288" s="103"/>
      <c r="E4288" s="1137"/>
      <c r="F4288" s="112"/>
      <c r="G4288" s="1110"/>
      <c r="H4288" s="1138"/>
      <c r="I4288" s="1138"/>
      <c r="J4288" s="1139"/>
      <c r="K4288" s="1111"/>
      <c r="L4288" s="1112"/>
      <c r="M4288" s="1113"/>
      <c r="N4288" s="110"/>
      <c r="O4288" s="1140"/>
      <c r="P4288" s="1115"/>
      <c r="Q4288" s="1116"/>
      <c r="R4288" s="1141"/>
      <c r="S4288" s="1113"/>
      <c r="T4288" s="1143"/>
      <c r="U4288" s="1108"/>
      <c r="V4288" s="1108"/>
      <c r="W4288" s="1108"/>
      <c r="X4288" s="1108"/>
      <c r="Y4288" s="1108"/>
      <c r="Z4288" s="1114"/>
      <c r="AA4288" s="1114"/>
      <c r="AB4288" s="1114"/>
      <c r="AC4288" s="1117"/>
      <c r="AD4288" s="1115"/>
      <c r="AE4288" s="1115"/>
      <c r="AF4288" s="1115"/>
      <c r="AG4288" s="1115"/>
      <c r="AH4288" s="1115"/>
      <c r="AI4288" s="1115"/>
      <c r="AJ4288" s="1117"/>
      <c r="AK4288" s="1118"/>
      <c r="AL4288" s="1115"/>
      <c r="AM4288" s="1115"/>
      <c r="AN4288" s="1115"/>
      <c r="AO4288" s="1115"/>
      <c r="AP4288" s="1115"/>
      <c r="AQ4288" s="1115"/>
      <c r="AR4288" s="1115"/>
      <c r="AS4288" s="1117"/>
      <c r="AT4288" s="1075"/>
      <c r="AU4288" s="1193"/>
      <c r="AV4288" s="330"/>
      <c r="AW4288" s="331"/>
      <c r="AX4288" s="331"/>
      <c r="AY4288" s="331"/>
      <c r="AZ4288" s="331"/>
      <c r="BA4288" s="331"/>
      <c r="BB4288" s="331"/>
      <c r="BC4288" s="331"/>
      <c r="BD4288" s="331"/>
      <c r="BE4288" s="333"/>
      <c r="BF4288" s="330"/>
      <c r="BG4288" s="333"/>
      <c r="BH4288" s="1119"/>
      <c r="BI4288" s="319"/>
      <c r="BJ4288" s="319"/>
      <c r="BK4288" s="319"/>
      <c r="BL4288" s="319"/>
      <c r="BM4288" s="319"/>
      <c r="BN4288" s="319"/>
      <c r="BO4288" s="319"/>
      <c r="BP4288" s="953"/>
      <c r="BQ4288" s="319"/>
      <c r="BR4288" s="319"/>
      <c r="BS4288" s="330"/>
      <c r="BT4288" s="331"/>
      <c r="BU4288" s="920"/>
      <c r="BV4288" s="903"/>
      <c r="BW4288" s="908"/>
      <c r="BX4288" s="908"/>
      <c r="BY4288" s="331"/>
      <c r="BZ4288" s="331"/>
      <c r="CA4288" s="462"/>
      <c r="CB4288" s="319"/>
      <c r="CC4288" s="319"/>
      <c r="CD4288" s="319"/>
      <c r="CE4288" s="319"/>
      <c r="CF4288" s="319"/>
      <c r="CG4288" s="319"/>
      <c r="CH4288" s="318"/>
      <c r="CI4288" s="319"/>
      <c r="CJ4288" s="319"/>
      <c r="CK4288" s="342"/>
      <c r="CL4288" s="333"/>
      <c r="CM4288" s="1079"/>
      <c r="CN4288" s="1005"/>
      <c r="CO4288" s="1005"/>
      <c r="CP4288" s="1005"/>
    </row>
    <row r="4289">
      <c r="A4289" s="1257"/>
      <c r="B4289" s="1113"/>
      <c r="C4289" s="1107"/>
      <c r="D4289" s="103"/>
      <c r="E4289" s="1137"/>
      <c r="F4289" s="112"/>
      <c r="G4289" s="1110"/>
      <c r="H4289" s="1138"/>
      <c r="I4289" s="1138"/>
      <c r="J4289" s="1139"/>
      <c r="K4289" s="1111"/>
      <c r="L4289" s="1112"/>
      <c r="M4289" s="1113"/>
      <c r="N4289" s="110"/>
      <c r="O4289" s="1140"/>
      <c r="P4289" s="1115"/>
      <c r="Q4289" s="1116"/>
      <c r="R4289" s="1141"/>
      <c r="S4289" s="1113"/>
      <c r="T4289" s="1143"/>
      <c r="U4289" s="1108"/>
      <c r="V4289" s="1108"/>
      <c r="W4289" s="1108"/>
      <c r="X4289" s="1108"/>
      <c r="Y4289" s="1108"/>
      <c r="Z4289" s="1114"/>
      <c r="AA4289" s="1114"/>
      <c r="AB4289" s="1114"/>
      <c r="AC4289" s="1117"/>
      <c r="AD4289" s="1115"/>
      <c r="AE4289" s="1115"/>
      <c r="AF4289" s="1115"/>
      <c r="AG4289" s="1115"/>
      <c r="AH4289" s="1115"/>
      <c r="AI4289" s="1115"/>
      <c r="AJ4289" s="1117"/>
      <c r="AK4289" s="1118"/>
      <c r="AL4289" s="1115"/>
      <c r="AM4289" s="1115"/>
      <c r="AN4289" s="1115"/>
      <c r="AO4289" s="1115"/>
      <c r="AP4289" s="1115"/>
      <c r="AQ4289" s="1115"/>
      <c r="AR4289" s="1115"/>
      <c r="AS4289" s="1117"/>
      <c r="AT4289" s="1075"/>
      <c r="AU4289" s="1193"/>
      <c r="AV4289" s="330"/>
      <c r="AW4289" s="331"/>
      <c r="AX4289" s="331"/>
      <c r="AY4289" s="331"/>
      <c r="AZ4289" s="331"/>
      <c r="BA4289" s="331"/>
      <c r="BB4289" s="331"/>
      <c r="BC4289" s="331"/>
      <c r="BD4289" s="331"/>
      <c r="BE4289" s="333"/>
      <c r="BF4289" s="330"/>
      <c r="BG4289" s="333"/>
      <c r="BH4289" s="1119"/>
      <c r="BI4289" s="319"/>
      <c r="BJ4289" s="319"/>
      <c r="BK4289" s="319"/>
      <c r="BL4289" s="319"/>
      <c r="BM4289" s="319"/>
      <c r="BN4289" s="319"/>
      <c r="BO4289" s="319"/>
      <c r="BP4289" s="953"/>
      <c r="BQ4289" s="319"/>
      <c r="BR4289" s="319"/>
      <c r="BS4289" s="330"/>
      <c r="BT4289" s="331"/>
      <c r="BU4289" s="920"/>
      <c r="BV4289" s="903"/>
      <c r="BW4289" s="908"/>
      <c r="BX4289" s="908"/>
      <c r="BY4289" s="331"/>
      <c r="BZ4289" s="331"/>
      <c r="CA4289" s="462"/>
      <c r="CB4289" s="319"/>
      <c r="CC4289" s="319"/>
      <c r="CD4289" s="319"/>
      <c r="CE4289" s="319"/>
      <c r="CF4289" s="319"/>
      <c r="CG4289" s="319"/>
      <c r="CH4289" s="318"/>
      <c r="CI4289" s="319"/>
      <c r="CJ4289" s="319"/>
      <c r="CK4289" s="342"/>
      <c r="CL4289" s="333"/>
      <c r="CM4289" s="1079"/>
      <c r="CN4289" s="1005"/>
      <c r="CO4289" s="1005"/>
      <c r="CP4289" s="1005"/>
    </row>
    <row r="4290">
      <c r="A4290" s="1257"/>
      <c r="B4290" s="1113"/>
      <c r="C4290" s="1107"/>
      <c r="D4290" s="103"/>
      <c r="E4290" s="1137"/>
      <c r="F4290" s="112"/>
      <c r="G4290" s="1110"/>
      <c r="H4290" s="1138"/>
      <c r="I4290" s="1138"/>
      <c r="J4290" s="1139"/>
      <c r="K4290" s="1111"/>
      <c r="L4290" s="1112"/>
      <c r="M4290" s="1113"/>
      <c r="N4290" s="110"/>
      <c r="O4290" s="1140"/>
      <c r="P4290" s="1115"/>
      <c r="Q4290" s="1116"/>
      <c r="R4290" s="1141"/>
      <c r="S4290" s="1113"/>
      <c r="T4290" s="1143"/>
      <c r="U4290" s="1108"/>
      <c r="V4290" s="1108"/>
      <c r="W4290" s="1108"/>
      <c r="X4290" s="1108"/>
      <c r="Y4290" s="1108"/>
      <c r="Z4290" s="1114"/>
      <c r="AA4290" s="1114"/>
      <c r="AB4290" s="1114"/>
      <c r="AC4290" s="1117"/>
      <c r="AD4290" s="1115"/>
      <c r="AE4290" s="1115"/>
      <c r="AF4290" s="1115"/>
      <c r="AG4290" s="1115"/>
      <c r="AH4290" s="1115"/>
      <c r="AI4290" s="1115"/>
      <c r="AJ4290" s="1117"/>
      <c r="AK4290" s="1118"/>
      <c r="AL4290" s="1115"/>
      <c r="AM4290" s="1115"/>
      <c r="AN4290" s="1115"/>
      <c r="AO4290" s="1115"/>
      <c r="AP4290" s="1115"/>
      <c r="AQ4290" s="1115"/>
      <c r="AR4290" s="1115"/>
      <c r="AS4290" s="1117"/>
      <c r="AT4290" s="1075"/>
      <c r="AU4290" s="1193"/>
      <c r="AV4290" s="330"/>
      <c r="AW4290" s="331"/>
      <c r="AX4290" s="331"/>
      <c r="AY4290" s="331"/>
      <c r="AZ4290" s="331"/>
      <c r="BA4290" s="331"/>
      <c r="BB4290" s="331"/>
      <c r="BC4290" s="331"/>
      <c r="BD4290" s="331"/>
      <c r="BE4290" s="333"/>
      <c r="BF4290" s="330"/>
      <c r="BG4290" s="333"/>
      <c r="BH4290" s="1119"/>
      <c r="BI4290" s="319"/>
      <c r="BJ4290" s="319"/>
      <c r="BK4290" s="319"/>
      <c r="BL4290" s="319"/>
      <c r="BM4290" s="319"/>
      <c r="BN4290" s="319"/>
      <c r="BO4290" s="319"/>
      <c r="BP4290" s="953"/>
      <c r="BQ4290" s="319"/>
      <c r="BR4290" s="319"/>
      <c r="BS4290" s="330"/>
      <c r="BT4290" s="331"/>
      <c r="BU4290" s="920"/>
      <c r="BV4290" s="903"/>
      <c r="BW4290" s="908"/>
      <c r="BX4290" s="908"/>
      <c r="BY4290" s="331"/>
      <c r="BZ4290" s="331"/>
      <c r="CA4290" s="462"/>
      <c r="CB4290" s="319"/>
      <c r="CC4290" s="319"/>
      <c r="CD4290" s="319"/>
      <c r="CE4290" s="319"/>
      <c r="CF4290" s="319"/>
      <c r="CG4290" s="319"/>
      <c r="CH4290" s="318"/>
      <c r="CI4290" s="319"/>
      <c r="CJ4290" s="319"/>
      <c r="CK4290" s="342"/>
      <c r="CL4290" s="333"/>
      <c r="CM4290" s="1079"/>
      <c r="CN4290" s="1005"/>
      <c r="CO4290" s="1005"/>
      <c r="CP4290" s="1005"/>
    </row>
    <row r="4291">
      <c r="A4291" s="1257"/>
      <c r="B4291" s="1113"/>
      <c r="C4291" s="1107"/>
      <c r="D4291" s="103"/>
      <c r="E4291" s="1137"/>
      <c r="F4291" s="112"/>
      <c r="G4291" s="1110"/>
      <c r="H4291" s="1138"/>
      <c r="I4291" s="1138"/>
      <c r="J4291" s="1139"/>
      <c r="K4291" s="1111"/>
      <c r="L4291" s="1112"/>
      <c r="M4291" s="1113"/>
      <c r="N4291" s="110"/>
      <c r="O4291" s="1140"/>
      <c r="P4291" s="1115"/>
      <c r="Q4291" s="1116"/>
      <c r="R4291" s="1141"/>
      <c r="S4291" s="1113"/>
      <c r="T4291" s="1143"/>
      <c r="U4291" s="1108"/>
      <c r="V4291" s="1108"/>
      <c r="W4291" s="1108"/>
      <c r="X4291" s="1108"/>
      <c r="Y4291" s="1108"/>
      <c r="Z4291" s="1114"/>
      <c r="AA4291" s="1114"/>
      <c r="AB4291" s="1114"/>
      <c r="AC4291" s="1117"/>
      <c r="AD4291" s="1115"/>
      <c r="AE4291" s="1115"/>
      <c r="AF4291" s="1115"/>
      <c r="AG4291" s="1115"/>
      <c r="AH4291" s="1115"/>
      <c r="AI4291" s="1115"/>
      <c r="AJ4291" s="1117"/>
      <c r="AK4291" s="1118"/>
      <c r="AL4291" s="1115"/>
      <c r="AM4291" s="1115"/>
      <c r="AN4291" s="1115"/>
      <c r="AO4291" s="1115"/>
      <c r="AP4291" s="1115"/>
      <c r="AQ4291" s="1115"/>
      <c r="AR4291" s="1115"/>
      <c r="AS4291" s="1117"/>
      <c r="AT4291" s="1075"/>
      <c r="AU4291" s="1193"/>
      <c r="AV4291" s="330"/>
      <c r="AW4291" s="331"/>
      <c r="AX4291" s="331"/>
      <c r="AY4291" s="331"/>
      <c r="AZ4291" s="331"/>
      <c r="BA4291" s="331"/>
      <c r="BB4291" s="331"/>
      <c r="BC4291" s="331"/>
      <c r="BD4291" s="331"/>
      <c r="BE4291" s="333"/>
      <c r="BF4291" s="330"/>
      <c r="BG4291" s="333"/>
      <c r="BH4291" s="1119"/>
      <c r="BI4291" s="319"/>
      <c r="BJ4291" s="319"/>
      <c r="BK4291" s="319"/>
      <c r="BL4291" s="319"/>
      <c r="BM4291" s="319"/>
      <c r="BN4291" s="319"/>
      <c r="BO4291" s="319"/>
      <c r="BP4291" s="953"/>
      <c r="BQ4291" s="319"/>
      <c r="BR4291" s="319"/>
      <c r="BS4291" s="330"/>
      <c r="BT4291" s="331"/>
      <c r="BU4291" s="920"/>
      <c r="BV4291" s="903"/>
      <c r="BW4291" s="908"/>
      <c r="BX4291" s="908"/>
      <c r="BY4291" s="331"/>
      <c r="BZ4291" s="331"/>
      <c r="CA4291" s="462"/>
      <c r="CB4291" s="319"/>
      <c r="CC4291" s="319"/>
      <c r="CD4291" s="319"/>
      <c r="CE4291" s="319"/>
      <c r="CF4291" s="319"/>
      <c r="CG4291" s="319"/>
      <c r="CH4291" s="318"/>
      <c r="CI4291" s="319"/>
      <c r="CJ4291" s="319"/>
      <c r="CK4291" s="342"/>
      <c r="CL4291" s="333"/>
      <c r="CM4291" s="1079"/>
      <c r="CN4291" s="1005"/>
      <c r="CO4291" s="1005"/>
      <c r="CP4291" s="1005"/>
    </row>
    <row r="4292">
      <c r="A4292" s="1257"/>
      <c r="B4292" s="1113"/>
      <c r="C4292" s="1107"/>
      <c r="D4292" s="103"/>
      <c r="E4292" s="1137"/>
      <c r="F4292" s="112"/>
      <c r="G4292" s="1110"/>
      <c r="H4292" s="1138"/>
      <c r="I4292" s="1138"/>
      <c r="J4292" s="1139"/>
      <c r="K4292" s="1111"/>
      <c r="L4292" s="1112"/>
      <c r="M4292" s="1113"/>
      <c r="N4292" s="110"/>
      <c r="O4292" s="1140"/>
      <c r="P4292" s="1115"/>
      <c r="Q4292" s="1116"/>
      <c r="R4292" s="1141"/>
      <c r="S4292" s="1113"/>
      <c r="T4292" s="1143"/>
      <c r="U4292" s="1108"/>
      <c r="V4292" s="1108"/>
      <c r="W4292" s="1108"/>
      <c r="X4292" s="1108"/>
      <c r="Y4292" s="1108"/>
      <c r="Z4292" s="1114"/>
      <c r="AA4292" s="1114"/>
      <c r="AB4292" s="1114"/>
      <c r="AC4292" s="1117"/>
      <c r="AD4292" s="1115"/>
      <c r="AE4292" s="1115"/>
      <c r="AF4292" s="1115"/>
      <c r="AG4292" s="1115"/>
      <c r="AH4292" s="1115"/>
      <c r="AI4292" s="1115"/>
      <c r="AJ4292" s="1117"/>
      <c r="AK4292" s="1118"/>
      <c r="AL4292" s="1115"/>
      <c r="AM4292" s="1115"/>
      <c r="AN4292" s="1115"/>
      <c r="AO4292" s="1115"/>
      <c r="AP4292" s="1115"/>
      <c r="AQ4292" s="1115"/>
      <c r="AR4292" s="1115"/>
      <c r="AS4292" s="1117"/>
      <c r="AT4292" s="1075"/>
      <c r="AU4292" s="1193"/>
      <c r="AV4292" s="330"/>
      <c r="AW4292" s="331"/>
      <c r="AX4292" s="331"/>
      <c r="AY4292" s="331"/>
      <c r="AZ4292" s="331"/>
      <c r="BA4292" s="331"/>
      <c r="BB4292" s="331"/>
      <c r="BC4292" s="331"/>
      <c r="BD4292" s="331"/>
      <c r="BE4292" s="333"/>
      <c r="BF4292" s="330"/>
      <c r="BG4292" s="333"/>
      <c r="BH4292" s="1119"/>
      <c r="BI4292" s="319"/>
      <c r="BJ4292" s="319"/>
      <c r="BK4292" s="319"/>
      <c r="BL4292" s="319"/>
      <c r="BM4292" s="319"/>
      <c r="BN4292" s="319"/>
      <c r="BO4292" s="319"/>
      <c r="BP4292" s="953"/>
      <c r="BQ4292" s="319"/>
      <c r="BR4292" s="319"/>
      <c r="BS4292" s="330"/>
      <c r="BT4292" s="331"/>
      <c r="BU4292" s="920"/>
      <c r="BV4292" s="903"/>
      <c r="BW4292" s="908"/>
      <c r="BX4292" s="908"/>
      <c r="BY4292" s="331"/>
      <c r="BZ4292" s="331"/>
      <c r="CA4292" s="462"/>
      <c r="CB4292" s="319"/>
      <c r="CC4292" s="319"/>
      <c r="CD4292" s="319"/>
      <c r="CE4292" s="319"/>
      <c r="CF4292" s="319"/>
      <c r="CG4292" s="319"/>
      <c r="CH4292" s="318"/>
      <c r="CI4292" s="319"/>
      <c r="CJ4292" s="319"/>
      <c r="CK4292" s="342"/>
      <c r="CL4292" s="333"/>
      <c r="CM4292" s="1079"/>
      <c r="CN4292" s="1005"/>
      <c r="CO4292" s="1005"/>
      <c r="CP4292" s="1005"/>
    </row>
    <row r="4293">
      <c r="A4293" s="1257"/>
      <c r="B4293" s="1113"/>
      <c r="C4293" s="1107"/>
      <c r="D4293" s="103"/>
      <c r="E4293" s="1137"/>
      <c r="F4293" s="112"/>
      <c r="G4293" s="1110"/>
      <c r="H4293" s="1138"/>
      <c r="I4293" s="1138"/>
      <c r="J4293" s="1139"/>
      <c r="K4293" s="1111"/>
      <c r="L4293" s="1112"/>
      <c r="M4293" s="1113"/>
      <c r="N4293" s="110"/>
      <c r="O4293" s="1140"/>
      <c r="P4293" s="1115"/>
      <c r="Q4293" s="1116"/>
      <c r="R4293" s="1141"/>
      <c r="S4293" s="1113"/>
      <c r="T4293" s="1143"/>
      <c r="U4293" s="1108"/>
      <c r="V4293" s="1108"/>
      <c r="W4293" s="1108"/>
      <c r="X4293" s="1108"/>
      <c r="Y4293" s="1108"/>
      <c r="Z4293" s="1114"/>
      <c r="AA4293" s="1114"/>
      <c r="AB4293" s="1114"/>
      <c r="AC4293" s="1117"/>
      <c r="AD4293" s="1115"/>
      <c r="AE4293" s="1115"/>
      <c r="AF4293" s="1115"/>
      <c r="AG4293" s="1115"/>
      <c r="AH4293" s="1115"/>
      <c r="AI4293" s="1115"/>
      <c r="AJ4293" s="1117"/>
      <c r="AK4293" s="1118"/>
      <c r="AL4293" s="1115"/>
      <c r="AM4293" s="1115"/>
      <c r="AN4293" s="1115"/>
      <c r="AO4293" s="1115"/>
      <c r="AP4293" s="1115"/>
      <c r="AQ4293" s="1115"/>
      <c r="AR4293" s="1115"/>
      <c r="AS4293" s="1117"/>
      <c r="AT4293" s="1075"/>
      <c r="AU4293" s="1193"/>
      <c r="AV4293" s="330"/>
      <c r="AW4293" s="331"/>
      <c r="AX4293" s="331"/>
      <c r="AY4293" s="331"/>
      <c r="AZ4293" s="331"/>
      <c r="BA4293" s="331"/>
      <c r="BB4293" s="331"/>
      <c r="BC4293" s="331"/>
      <c r="BD4293" s="331"/>
      <c r="BE4293" s="333"/>
      <c r="BF4293" s="330"/>
      <c r="BG4293" s="333"/>
      <c r="BH4293" s="1119"/>
      <c r="BI4293" s="319"/>
      <c r="BJ4293" s="319"/>
      <c r="BK4293" s="319"/>
      <c r="BL4293" s="319"/>
      <c r="BM4293" s="319"/>
      <c r="BN4293" s="319"/>
      <c r="BO4293" s="319"/>
      <c r="BP4293" s="953"/>
      <c r="BQ4293" s="319"/>
      <c r="BR4293" s="319"/>
      <c r="BS4293" s="330"/>
      <c r="BT4293" s="331"/>
      <c r="BU4293" s="920"/>
      <c r="BV4293" s="903"/>
      <c r="BW4293" s="908"/>
      <c r="BX4293" s="908"/>
      <c r="BY4293" s="331"/>
      <c r="BZ4293" s="331"/>
      <c r="CA4293" s="462"/>
      <c r="CB4293" s="319"/>
      <c r="CC4293" s="319"/>
      <c r="CD4293" s="319"/>
      <c r="CE4293" s="319"/>
      <c r="CF4293" s="319"/>
      <c r="CG4293" s="319"/>
      <c r="CH4293" s="318"/>
      <c r="CI4293" s="319"/>
      <c r="CJ4293" s="319"/>
      <c r="CK4293" s="342"/>
      <c r="CL4293" s="333"/>
      <c r="CM4293" s="1079"/>
      <c r="CN4293" s="1005"/>
      <c r="CO4293" s="1005"/>
      <c r="CP4293" s="1005"/>
    </row>
    <row r="4294">
      <c r="A4294" s="1257"/>
      <c r="B4294" s="1113"/>
      <c r="C4294" s="1107"/>
      <c r="D4294" s="103"/>
      <c r="E4294" s="1137"/>
      <c r="F4294" s="112"/>
      <c r="G4294" s="1110"/>
      <c r="H4294" s="1138"/>
      <c r="I4294" s="1138"/>
      <c r="J4294" s="1139"/>
      <c r="K4294" s="1111"/>
      <c r="L4294" s="1112"/>
      <c r="M4294" s="1113"/>
      <c r="N4294" s="110"/>
      <c r="O4294" s="1140"/>
      <c r="P4294" s="1115"/>
      <c r="Q4294" s="1116"/>
      <c r="R4294" s="1141"/>
      <c r="S4294" s="1113"/>
      <c r="T4294" s="1143"/>
      <c r="U4294" s="1108"/>
      <c r="V4294" s="1108"/>
      <c r="W4294" s="1108"/>
      <c r="X4294" s="1108"/>
      <c r="Y4294" s="1108"/>
      <c r="Z4294" s="1114"/>
      <c r="AA4294" s="1114"/>
      <c r="AB4294" s="1114"/>
      <c r="AC4294" s="1117"/>
      <c r="AD4294" s="1115"/>
      <c r="AE4294" s="1115"/>
      <c r="AF4294" s="1115"/>
      <c r="AG4294" s="1115"/>
      <c r="AH4294" s="1115"/>
      <c r="AI4294" s="1115"/>
      <c r="AJ4294" s="1117"/>
      <c r="AK4294" s="1118"/>
      <c r="AL4294" s="1115"/>
      <c r="AM4294" s="1115"/>
      <c r="AN4294" s="1115"/>
      <c r="AO4294" s="1115"/>
      <c r="AP4294" s="1115"/>
      <c r="AQ4294" s="1115"/>
      <c r="AR4294" s="1115"/>
      <c r="AS4294" s="1117"/>
      <c r="AT4294" s="1075"/>
      <c r="AU4294" s="1193"/>
      <c r="AV4294" s="330"/>
      <c r="AW4294" s="331"/>
      <c r="AX4294" s="331"/>
      <c r="AY4294" s="331"/>
      <c r="AZ4294" s="331"/>
      <c r="BA4294" s="331"/>
      <c r="BB4294" s="331"/>
      <c r="BC4294" s="331"/>
      <c r="BD4294" s="331"/>
      <c r="BE4294" s="333"/>
      <c r="BF4294" s="330"/>
      <c r="BG4294" s="333"/>
      <c r="BH4294" s="1119"/>
      <c r="BI4294" s="319"/>
      <c r="BJ4294" s="319"/>
      <c r="BK4294" s="319"/>
      <c r="BL4294" s="319"/>
      <c r="BM4294" s="319"/>
      <c r="BN4294" s="319"/>
      <c r="BO4294" s="319"/>
      <c r="BP4294" s="953"/>
      <c r="BQ4294" s="319"/>
      <c r="BR4294" s="319"/>
      <c r="BS4294" s="330"/>
      <c r="BT4294" s="331"/>
      <c r="BU4294" s="920"/>
      <c r="BV4294" s="903"/>
      <c r="BW4294" s="908"/>
      <c r="BX4294" s="908"/>
      <c r="BY4294" s="331"/>
      <c r="BZ4294" s="331"/>
      <c r="CA4294" s="462"/>
      <c r="CB4294" s="319"/>
      <c r="CC4294" s="319"/>
      <c r="CD4294" s="319"/>
      <c r="CE4294" s="319"/>
      <c r="CF4294" s="319"/>
      <c r="CG4294" s="319"/>
      <c r="CH4294" s="318"/>
      <c r="CI4294" s="319"/>
      <c r="CJ4294" s="319"/>
      <c r="CK4294" s="342"/>
      <c r="CL4294" s="333"/>
      <c r="CM4294" s="1079"/>
      <c r="CN4294" s="1005"/>
      <c r="CO4294" s="1005"/>
      <c r="CP4294" s="1005"/>
    </row>
    <row r="4295">
      <c r="A4295" s="1257"/>
      <c r="B4295" s="1113"/>
      <c r="C4295" s="1107"/>
      <c r="D4295" s="103"/>
      <c r="E4295" s="1137"/>
      <c r="F4295" s="112"/>
      <c r="G4295" s="1110"/>
      <c r="H4295" s="1138"/>
      <c r="I4295" s="1138"/>
      <c r="J4295" s="1139"/>
      <c r="K4295" s="1111"/>
      <c r="L4295" s="1112"/>
      <c r="M4295" s="1113"/>
      <c r="N4295" s="110"/>
      <c r="O4295" s="1140"/>
      <c r="P4295" s="1115"/>
      <c r="Q4295" s="1116"/>
      <c r="R4295" s="1141"/>
      <c r="S4295" s="1113"/>
      <c r="T4295" s="1143"/>
      <c r="U4295" s="1108"/>
      <c r="V4295" s="1108"/>
      <c r="W4295" s="1108"/>
      <c r="X4295" s="1108"/>
      <c r="Y4295" s="1108"/>
      <c r="Z4295" s="1114"/>
      <c r="AA4295" s="1114"/>
      <c r="AB4295" s="1114"/>
      <c r="AC4295" s="1117"/>
      <c r="AD4295" s="1115"/>
      <c r="AE4295" s="1115"/>
      <c r="AF4295" s="1115"/>
      <c r="AG4295" s="1115"/>
      <c r="AH4295" s="1115"/>
      <c r="AI4295" s="1115"/>
      <c r="AJ4295" s="1117"/>
      <c r="AK4295" s="1118"/>
      <c r="AL4295" s="1115"/>
      <c r="AM4295" s="1115"/>
      <c r="AN4295" s="1115"/>
      <c r="AO4295" s="1115"/>
      <c r="AP4295" s="1115"/>
      <c r="AQ4295" s="1115"/>
      <c r="AR4295" s="1115"/>
      <c r="AS4295" s="1117"/>
      <c r="AT4295" s="1075"/>
      <c r="AU4295" s="1193"/>
      <c r="AV4295" s="330"/>
      <c r="AW4295" s="331"/>
      <c r="AX4295" s="331"/>
      <c r="AY4295" s="331"/>
      <c r="AZ4295" s="331"/>
      <c r="BA4295" s="331"/>
      <c r="BB4295" s="331"/>
      <c r="BC4295" s="331"/>
      <c r="BD4295" s="331"/>
      <c r="BE4295" s="333"/>
      <c r="BF4295" s="330"/>
      <c r="BG4295" s="333"/>
      <c r="BH4295" s="1119"/>
      <c r="BI4295" s="319"/>
      <c r="BJ4295" s="319"/>
      <c r="BK4295" s="319"/>
      <c r="BL4295" s="319"/>
      <c r="BM4295" s="319"/>
      <c r="BN4295" s="319"/>
      <c r="BO4295" s="319"/>
      <c r="BP4295" s="953"/>
      <c r="BQ4295" s="319"/>
      <c r="BR4295" s="319"/>
      <c r="BS4295" s="330"/>
      <c r="BT4295" s="331"/>
      <c r="BU4295" s="920"/>
      <c r="BV4295" s="903"/>
      <c r="BW4295" s="908"/>
      <c r="BX4295" s="908"/>
      <c r="BY4295" s="331"/>
      <c r="BZ4295" s="331"/>
      <c r="CA4295" s="462"/>
      <c r="CB4295" s="319"/>
      <c r="CC4295" s="319"/>
      <c r="CD4295" s="319"/>
      <c r="CE4295" s="319"/>
      <c r="CF4295" s="319"/>
      <c r="CG4295" s="319"/>
      <c r="CH4295" s="318"/>
      <c r="CI4295" s="319"/>
      <c r="CJ4295" s="319"/>
      <c r="CK4295" s="342"/>
      <c r="CL4295" s="333"/>
      <c r="CM4295" s="1079"/>
      <c r="CN4295" s="1005"/>
      <c r="CO4295" s="1005"/>
      <c r="CP4295" s="1005"/>
    </row>
    <row r="4296">
      <c r="A4296" s="1257"/>
      <c r="B4296" s="1113"/>
      <c r="C4296" s="1107"/>
      <c r="D4296" s="103"/>
      <c r="E4296" s="1137"/>
      <c r="F4296" s="112"/>
      <c r="G4296" s="1110"/>
      <c r="H4296" s="1138"/>
      <c r="I4296" s="1138"/>
      <c r="J4296" s="1139"/>
      <c r="K4296" s="1111"/>
      <c r="L4296" s="1112"/>
      <c r="M4296" s="1113"/>
      <c r="N4296" s="110"/>
      <c r="O4296" s="1140"/>
      <c r="P4296" s="1115"/>
      <c r="Q4296" s="1116"/>
      <c r="R4296" s="1141"/>
      <c r="S4296" s="1113"/>
      <c r="T4296" s="1143"/>
      <c r="U4296" s="1108"/>
      <c r="V4296" s="1108"/>
      <c r="W4296" s="1108"/>
      <c r="X4296" s="1108"/>
      <c r="Y4296" s="1108"/>
      <c r="Z4296" s="1114"/>
      <c r="AA4296" s="1114"/>
      <c r="AB4296" s="1114"/>
      <c r="AC4296" s="1117"/>
      <c r="AD4296" s="1115"/>
      <c r="AE4296" s="1115"/>
      <c r="AF4296" s="1115"/>
      <c r="AG4296" s="1115"/>
      <c r="AH4296" s="1115"/>
      <c r="AI4296" s="1115"/>
      <c r="AJ4296" s="1117"/>
      <c r="AK4296" s="1118"/>
      <c r="AL4296" s="1115"/>
      <c r="AM4296" s="1115"/>
      <c r="AN4296" s="1115"/>
      <c r="AO4296" s="1115"/>
      <c r="AP4296" s="1115"/>
      <c r="AQ4296" s="1115"/>
      <c r="AR4296" s="1115"/>
      <c r="AS4296" s="1117"/>
      <c r="AT4296" s="1075"/>
      <c r="AU4296" s="1193"/>
      <c r="AV4296" s="330"/>
      <c r="AW4296" s="331"/>
      <c r="AX4296" s="331"/>
      <c r="AY4296" s="331"/>
      <c r="AZ4296" s="331"/>
      <c r="BA4296" s="331"/>
      <c r="BB4296" s="331"/>
      <c r="BC4296" s="331"/>
      <c r="BD4296" s="331"/>
      <c r="BE4296" s="333"/>
      <c r="BF4296" s="330"/>
      <c r="BG4296" s="333"/>
      <c r="BH4296" s="1119"/>
      <c r="BI4296" s="319"/>
      <c r="BJ4296" s="319"/>
      <c r="BK4296" s="319"/>
      <c r="BL4296" s="319"/>
      <c r="BM4296" s="319"/>
      <c r="BN4296" s="319"/>
      <c r="BO4296" s="319"/>
      <c r="BP4296" s="953"/>
      <c r="BQ4296" s="319"/>
      <c r="BR4296" s="319"/>
      <c r="BS4296" s="330"/>
      <c r="BT4296" s="331"/>
      <c r="BU4296" s="920"/>
      <c r="BV4296" s="903"/>
      <c r="BW4296" s="908"/>
      <c r="BX4296" s="908"/>
      <c r="BY4296" s="331"/>
      <c r="BZ4296" s="331"/>
      <c r="CA4296" s="462"/>
      <c r="CB4296" s="319"/>
      <c r="CC4296" s="319"/>
      <c r="CD4296" s="319"/>
      <c r="CE4296" s="319"/>
      <c r="CF4296" s="319"/>
      <c r="CG4296" s="319"/>
      <c r="CH4296" s="318"/>
      <c r="CI4296" s="319"/>
      <c r="CJ4296" s="319"/>
      <c r="CK4296" s="342"/>
      <c r="CL4296" s="333"/>
      <c r="CM4296" s="1079"/>
      <c r="CN4296" s="1005"/>
      <c r="CO4296" s="1005"/>
      <c r="CP4296" s="1005"/>
    </row>
    <row r="4297">
      <c r="A4297" s="1257"/>
      <c r="B4297" s="1113"/>
      <c r="C4297" s="1107"/>
      <c r="D4297" s="103"/>
      <c r="E4297" s="1137"/>
      <c r="F4297" s="112"/>
      <c r="G4297" s="1110"/>
      <c r="H4297" s="1138"/>
      <c r="I4297" s="1138"/>
      <c r="J4297" s="1139"/>
      <c r="K4297" s="1111"/>
      <c r="L4297" s="1112"/>
      <c r="M4297" s="1113"/>
      <c r="N4297" s="110"/>
      <c r="O4297" s="1140"/>
      <c r="P4297" s="1115"/>
      <c r="Q4297" s="1116"/>
      <c r="R4297" s="1141"/>
      <c r="S4297" s="1113"/>
      <c r="T4297" s="1143"/>
      <c r="U4297" s="1108"/>
      <c r="V4297" s="1108"/>
      <c r="W4297" s="1108"/>
      <c r="X4297" s="1108"/>
      <c r="Y4297" s="1108"/>
      <c r="Z4297" s="1114"/>
      <c r="AA4297" s="1114"/>
      <c r="AB4297" s="1114"/>
      <c r="AC4297" s="1117"/>
      <c r="AD4297" s="1115"/>
      <c r="AE4297" s="1115"/>
      <c r="AF4297" s="1115"/>
      <c r="AG4297" s="1115"/>
      <c r="AH4297" s="1115"/>
      <c r="AI4297" s="1115"/>
      <c r="AJ4297" s="1117"/>
      <c r="AK4297" s="1118"/>
      <c r="AL4297" s="1115"/>
      <c r="AM4297" s="1115"/>
      <c r="AN4297" s="1115"/>
      <c r="AO4297" s="1115"/>
      <c r="AP4297" s="1115"/>
      <c r="AQ4297" s="1115"/>
      <c r="AR4297" s="1115"/>
      <c r="AS4297" s="1117"/>
      <c r="AT4297" s="1075"/>
      <c r="AU4297" s="1193"/>
      <c r="AV4297" s="330"/>
      <c r="AW4297" s="331"/>
      <c r="AX4297" s="331"/>
      <c r="AY4297" s="331"/>
      <c r="AZ4297" s="331"/>
      <c r="BA4297" s="331"/>
      <c r="BB4297" s="331"/>
      <c r="BC4297" s="331"/>
      <c r="BD4297" s="331"/>
      <c r="BE4297" s="333"/>
      <c r="BF4297" s="330"/>
      <c r="BG4297" s="333"/>
      <c r="BH4297" s="1119"/>
      <c r="BI4297" s="319"/>
      <c r="BJ4297" s="319"/>
      <c r="BK4297" s="319"/>
      <c r="BL4297" s="319"/>
      <c r="BM4297" s="319"/>
      <c r="BN4297" s="319"/>
      <c r="BO4297" s="319"/>
      <c r="BP4297" s="953"/>
      <c r="BQ4297" s="319"/>
      <c r="BR4297" s="319"/>
      <c r="BS4297" s="330"/>
      <c r="BT4297" s="331"/>
      <c r="BU4297" s="920"/>
      <c r="BV4297" s="903"/>
      <c r="BW4297" s="908"/>
      <c r="BX4297" s="908"/>
      <c r="BY4297" s="331"/>
      <c r="BZ4297" s="331"/>
      <c r="CA4297" s="462"/>
      <c r="CB4297" s="319"/>
      <c r="CC4297" s="319"/>
      <c r="CD4297" s="319"/>
      <c r="CE4297" s="319"/>
      <c r="CF4297" s="319"/>
      <c r="CG4297" s="319"/>
      <c r="CH4297" s="318"/>
      <c r="CI4297" s="319"/>
      <c r="CJ4297" s="319"/>
      <c r="CK4297" s="342"/>
      <c r="CL4297" s="333"/>
      <c r="CM4297" s="1079"/>
      <c r="CN4297" s="1005"/>
      <c r="CO4297" s="1005"/>
      <c r="CP4297" s="1005"/>
    </row>
    <row r="4298">
      <c r="A4298" s="1257"/>
      <c r="B4298" s="1113"/>
      <c r="C4298" s="1107"/>
      <c r="D4298" s="103"/>
      <c r="E4298" s="1137"/>
      <c r="F4298" s="112"/>
      <c r="G4298" s="1110"/>
      <c r="H4298" s="1138"/>
      <c r="I4298" s="1138"/>
      <c r="J4298" s="1139"/>
      <c r="K4298" s="1111"/>
      <c r="L4298" s="1112"/>
      <c r="M4298" s="1113"/>
      <c r="N4298" s="110"/>
      <c r="O4298" s="1140"/>
      <c r="P4298" s="1115"/>
      <c r="Q4298" s="1116"/>
      <c r="R4298" s="1141"/>
      <c r="S4298" s="1113"/>
      <c r="T4298" s="1143"/>
      <c r="U4298" s="1108"/>
      <c r="V4298" s="1108"/>
      <c r="W4298" s="1108"/>
      <c r="X4298" s="1108"/>
      <c r="Y4298" s="1108"/>
      <c r="Z4298" s="1114"/>
      <c r="AA4298" s="1114"/>
      <c r="AB4298" s="1114"/>
      <c r="AC4298" s="1117"/>
      <c r="AD4298" s="1115"/>
      <c r="AE4298" s="1115"/>
      <c r="AF4298" s="1115"/>
      <c r="AG4298" s="1115"/>
      <c r="AH4298" s="1115"/>
      <c r="AI4298" s="1115"/>
      <c r="AJ4298" s="1117"/>
      <c r="AK4298" s="1118"/>
      <c r="AL4298" s="1115"/>
      <c r="AM4298" s="1115"/>
      <c r="AN4298" s="1115"/>
      <c r="AO4298" s="1115"/>
      <c r="AP4298" s="1115"/>
      <c r="AQ4298" s="1115"/>
      <c r="AR4298" s="1115"/>
      <c r="AS4298" s="1117"/>
      <c r="AT4298" s="1075"/>
      <c r="AU4298" s="1193"/>
      <c r="AV4298" s="330"/>
      <c r="AW4298" s="331"/>
      <c r="AX4298" s="331"/>
      <c r="AY4298" s="331"/>
      <c r="AZ4298" s="331"/>
      <c r="BA4298" s="331"/>
      <c r="BB4298" s="331"/>
      <c r="BC4298" s="331"/>
      <c r="BD4298" s="331"/>
      <c r="BE4298" s="333"/>
      <c r="BF4298" s="330"/>
      <c r="BG4298" s="333"/>
      <c r="BH4298" s="1119"/>
      <c r="BI4298" s="319"/>
      <c r="BJ4298" s="319"/>
      <c r="BK4298" s="319"/>
      <c r="BL4298" s="319"/>
      <c r="BM4298" s="319"/>
      <c r="BN4298" s="319"/>
      <c r="BO4298" s="319"/>
      <c r="BP4298" s="953"/>
      <c r="BQ4298" s="319"/>
      <c r="BR4298" s="319"/>
      <c r="BS4298" s="330"/>
      <c r="BT4298" s="331"/>
      <c r="BU4298" s="920"/>
      <c r="BV4298" s="903"/>
      <c r="BW4298" s="908"/>
      <c r="BX4298" s="908"/>
      <c r="BY4298" s="331"/>
      <c r="BZ4298" s="331"/>
      <c r="CA4298" s="462"/>
      <c r="CB4298" s="319"/>
      <c r="CC4298" s="319"/>
      <c r="CD4298" s="319"/>
      <c r="CE4298" s="319"/>
      <c r="CF4298" s="319"/>
      <c r="CG4298" s="319"/>
      <c r="CH4298" s="318"/>
      <c r="CI4298" s="319"/>
      <c r="CJ4298" s="319"/>
      <c r="CK4298" s="342"/>
      <c r="CL4298" s="333"/>
      <c r="CM4298" s="1079"/>
      <c r="CN4298" s="1005"/>
      <c r="CO4298" s="1005"/>
      <c r="CP4298" s="1005"/>
    </row>
    <row r="4299">
      <c r="A4299" s="1257"/>
      <c r="B4299" s="1113"/>
      <c r="C4299" s="1107"/>
      <c r="D4299" s="103"/>
      <c r="E4299" s="1137"/>
      <c r="F4299" s="112"/>
      <c r="G4299" s="1110"/>
      <c r="H4299" s="1138"/>
      <c r="I4299" s="1138"/>
      <c r="J4299" s="1139"/>
      <c r="K4299" s="1111"/>
      <c r="L4299" s="1112"/>
      <c r="M4299" s="1113"/>
      <c r="N4299" s="110"/>
      <c r="O4299" s="1140"/>
      <c r="P4299" s="1115"/>
      <c r="Q4299" s="1116"/>
      <c r="R4299" s="1141"/>
      <c r="S4299" s="1113"/>
      <c r="T4299" s="1143"/>
      <c r="U4299" s="1108"/>
      <c r="V4299" s="1108"/>
      <c r="W4299" s="1108"/>
      <c r="X4299" s="1108"/>
      <c r="Y4299" s="1108"/>
      <c r="Z4299" s="1114"/>
      <c r="AA4299" s="1114"/>
      <c r="AB4299" s="1114"/>
      <c r="AC4299" s="1117"/>
      <c r="AD4299" s="1115"/>
      <c r="AE4299" s="1115"/>
      <c r="AF4299" s="1115"/>
      <c r="AG4299" s="1115"/>
      <c r="AH4299" s="1115"/>
      <c r="AI4299" s="1115"/>
      <c r="AJ4299" s="1117"/>
      <c r="AK4299" s="1118"/>
      <c r="AL4299" s="1115"/>
      <c r="AM4299" s="1115"/>
      <c r="AN4299" s="1115"/>
      <c r="AO4299" s="1115"/>
      <c r="AP4299" s="1115"/>
      <c r="AQ4299" s="1115"/>
      <c r="AR4299" s="1115"/>
      <c r="AS4299" s="1117"/>
      <c r="AT4299" s="1075"/>
      <c r="AU4299" s="1193"/>
      <c r="AV4299" s="330"/>
      <c r="AW4299" s="331"/>
      <c r="AX4299" s="331"/>
      <c r="AY4299" s="331"/>
      <c r="AZ4299" s="331"/>
      <c r="BA4299" s="331"/>
      <c r="BB4299" s="331"/>
      <c r="BC4299" s="331"/>
      <c r="BD4299" s="331"/>
      <c r="BE4299" s="333"/>
      <c r="BF4299" s="330"/>
      <c r="BG4299" s="333"/>
      <c r="BH4299" s="1119"/>
      <c r="BI4299" s="319"/>
      <c r="BJ4299" s="319"/>
      <c r="BK4299" s="319"/>
      <c r="BL4299" s="319"/>
      <c r="BM4299" s="319"/>
      <c r="BN4299" s="319"/>
      <c r="BO4299" s="319"/>
      <c r="BP4299" s="953"/>
      <c r="BQ4299" s="319"/>
      <c r="BR4299" s="319"/>
      <c r="BS4299" s="330"/>
      <c r="BT4299" s="331"/>
      <c r="BU4299" s="920"/>
      <c r="BV4299" s="903"/>
      <c r="BW4299" s="908"/>
      <c r="BX4299" s="908"/>
      <c r="BY4299" s="331"/>
      <c r="BZ4299" s="331"/>
      <c r="CA4299" s="462"/>
      <c r="CB4299" s="319"/>
      <c r="CC4299" s="319"/>
      <c r="CD4299" s="319"/>
      <c r="CE4299" s="319"/>
      <c r="CF4299" s="319"/>
      <c r="CG4299" s="319"/>
      <c r="CH4299" s="318"/>
      <c r="CI4299" s="319"/>
      <c r="CJ4299" s="319"/>
      <c r="CK4299" s="342"/>
      <c r="CL4299" s="333"/>
      <c r="CM4299" s="1079"/>
      <c r="CN4299" s="1005"/>
      <c r="CO4299" s="1005"/>
      <c r="CP4299" s="1005"/>
    </row>
    <row r="4300">
      <c r="A4300" s="1257"/>
      <c r="B4300" s="1113"/>
      <c r="C4300" s="1107"/>
      <c r="D4300" s="103"/>
      <c r="E4300" s="1137"/>
      <c r="F4300" s="112"/>
      <c r="G4300" s="1110"/>
      <c r="H4300" s="1138"/>
      <c r="I4300" s="1138"/>
      <c r="J4300" s="1139"/>
      <c r="K4300" s="1111"/>
      <c r="L4300" s="1112"/>
      <c r="M4300" s="1113"/>
      <c r="N4300" s="110"/>
      <c r="O4300" s="1140"/>
      <c r="P4300" s="1115"/>
      <c r="Q4300" s="1116"/>
      <c r="R4300" s="1141"/>
      <c r="S4300" s="1113"/>
      <c r="T4300" s="1143"/>
      <c r="U4300" s="1108"/>
      <c r="V4300" s="1108"/>
      <c r="W4300" s="1108"/>
      <c r="X4300" s="1108"/>
      <c r="Y4300" s="1108"/>
      <c r="Z4300" s="1114"/>
      <c r="AA4300" s="1114"/>
      <c r="AB4300" s="1114"/>
      <c r="AC4300" s="1117"/>
      <c r="AD4300" s="1115"/>
      <c r="AE4300" s="1115"/>
      <c r="AF4300" s="1115"/>
      <c r="AG4300" s="1115"/>
      <c r="AH4300" s="1115"/>
      <c r="AI4300" s="1115"/>
      <c r="AJ4300" s="1117"/>
      <c r="AK4300" s="1118"/>
      <c r="AL4300" s="1115"/>
      <c r="AM4300" s="1115"/>
      <c r="AN4300" s="1115"/>
      <c r="AO4300" s="1115"/>
      <c r="AP4300" s="1115"/>
      <c r="AQ4300" s="1115"/>
      <c r="AR4300" s="1115"/>
      <c r="AS4300" s="1117"/>
      <c r="AT4300" s="1075"/>
      <c r="AU4300" s="1193"/>
      <c r="AV4300" s="330"/>
      <c r="AW4300" s="331"/>
      <c r="AX4300" s="331"/>
      <c r="AY4300" s="331"/>
      <c r="AZ4300" s="331"/>
      <c r="BA4300" s="331"/>
      <c r="BB4300" s="331"/>
      <c r="BC4300" s="331"/>
      <c r="BD4300" s="331"/>
      <c r="BE4300" s="333"/>
      <c r="BF4300" s="330"/>
      <c r="BG4300" s="333"/>
      <c r="BH4300" s="1119"/>
      <c r="BI4300" s="319"/>
      <c r="BJ4300" s="319"/>
      <c r="BK4300" s="319"/>
      <c r="BL4300" s="319"/>
      <c r="BM4300" s="319"/>
      <c r="BN4300" s="319"/>
      <c r="BO4300" s="319"/>
      <c r="BP4300" s="953"/>
      <c r="BQ4300" s="319"/>
      <c r="BR4300" s="319"/>
      <c r="BS4300" s="330"/>
      <c r="BT4300" s="331"/>
      <c r="BU4300" s="920"/>
      <c r="BV4300" s="903"/>
      <c r="BW4300" s="908"/>
      <c r="BX4300" s="908"/>
      <c r="BY4300" s="331"/>
      <c r="BZ4300" s="331"/>
      <c r="CA4300" s="462"/>
      <c r="CB4300" s="319"/>
      <c r="CC4300" s="319"/>
      <c r="CD4300" s="319"/>
      <c r="CE4300" s="319"/>
      <c r="CF4300" s="319"/>
      <c r="CG4300" s="319"/>
      <c r="CH4300" s="318"/>
      <c r="CI4300" s="319"/>
      <c r="CJ4300" s="319"/>
      <c r="CK4300" s="342"/>
      <c r="CL4300" s="333"/>
      <c r="CM4300" s="1079"/>
      <c r="CN4300" s="1005"/>
      <c r="CO4300" s="1005"/>
      <c r="CP4300" s="1005"/>
    </row>
    <row r="4301">
      <c r="A4301" s="1257"/>
      <c r="B4301" s="1113"/>
      <c r="C4301" s="1107"/>
      <c r="D4301" s="103"/>
      <c r="E4301" s="1137"/>
      <c r="F4301" s="112"/>
      <c r="G4301" s="1110"/>
      <c r="H4301" s="1138"/>
      <c r="I4301" s="1138"/>
      <c r="J4301" s="1139"/>
      <c r="K4301" s="1111"/>
      <c r="L4301" s="1112"/>
      <c r="M4301" s="1113"/>
      <c r="N4301" s="110"/>
      <c r="O4301" s="1140"/>
      <c r="P4301" s="1115"/>
      <c r="Q4301" s="1116"/>
      <c r="R4301" s="1141"/>
      <c r="S4301" s="1113"/>
      <c r="T4301" s="1143"/>
      <c r="U4301" s="1108"/>
      <c r="V4301" s="1108"/>
      <c r="W4301" s="1108"/>
      <c r="X4301" s="1108"/>
      <c r="Y4301" s="1108"/>
      <c r="Z4301" s="1114"/>
      <c r="AA4301" s="1114"/>
      <c r="AB4301" s="1114"/>
      <c r="AC4301" s="1117"/>
      <c r="AD4301" s="1115"/>
      <c r="AE4301" s="1115"/>
      <c r="AF4301" s="1115"/>
      <c r="AG4301" s="1115"/>
      <c r="AH4301" s="1115"/>
      <c r="AI4301" s="1115"/>
      <c r="AJ4301" s="1117"/>
      <c r="AK4301" s="1118"/>
      <c r="AL4301" s="1115"/>
      <c r="AM4301" s="1115"/>
      <c r="AN4301" s="1115"/>
      <c r="AO4301" s="1115"/>
      <c r="AP4301" s="1115"/>
      <c r="AQ4301" s="1115"/>
      <c r="AR4301" s="1115"/>
      <c r="AS4301" s="1117"/>
      <c r="AT4301" s="1075"/>
      <c r="AU4301" s="1193"/>
      <c r="AV4301" s="330"/>
      <c r="AW4301" s="331"/>
      <c r="AX4301" s="331"/>
      <c r="AY4301" s="331"/>
      <c r="AZ4301" s="331"/>
      <c r="BA4301" s="331"/>
      <c r="BB4301" s="331"/>
      <c r="BC4301" s="331"/>
      <c r="BD4301" s="331"/>
      <c r="BE4301" s="333"/>
      <c r="BF4301" s="330"/>
      <c r="BG4301" s="333"/>
      <c r="BH4301" s="1119"/>
      <c r="BI4301" s="319"/>
      <c r="BJ4301" s="319"/>
      <c r="BK4301" s="319"/>
      <c r="BL4301" s="319"/>
      <c r="BM4301" s="319"/>
      <c r="BN4301" s="319"/>
      <c r="BO4301" s="319"/>
      <c r="BP4301" s="953"/>
      <c r="BQ4301" s="319"/>
      <c r="BR4301" s="319"/>
      <c r="BS4301" s="330"/>
      <c r="BT4301" s="331"/>
      <c r="BU4301" s="920"/>
      <c r="BV4301" s="903"/>
      <c r="BW4301" s="908"/>
      <c r="BX4301" s="908"/>
      <c r="BY4301" s="331"/>
      <c r="BZ4301" s="331"/>
      <c r="CA4301" s="462"/>
      <c r="CB4301" s="319"/>
      <c r="CC4301" s="319"/>
      <c r="CD4301" s="319"/>
      <c r="CE4301" s="319"/>
      <c r="CF4301" s="319"/>
      <c r="CG4301" s="319"/>
      <c r="CH4301" s="318"/>
      <c r="CI4301" s="319"/>
      <c r="CJ4301" s="319"/>
      <c r="CK4301" s="342"/>
      <c r="CL4301" s="333"/>
      <c r="CM4301" s="1079"/>
      <c r="CN4301" s="1005"/>
      <c r="CO4301" s="1005"/>
      <c r="CP4301" s="1005"/>
    </row>
    <row r="4302">
      <c r="A4302" s="1257"/>
      <c r="B4302" s="1113"/>
      <c r="C4302" s="1107"/>
      <c r="D4302" s="103"/>
      <c r="E4302" s="1137"/>
      <c r="F4302" s="112"/>
      <c r="G4302" s="1110"/>
      <c r="H4302" s="1138"/>
      <c r="I4302" s="1138"/>
      <c r="J4302" s="1139"/>
      <c r="K4302" s="1111"/>
      <c r="L4302" s="1112"/>
      <c r="M4302" s="1113"/>
      <c r="N4302" s="110"/>
      <c r="O4302" s="1140"/>
      <c r="P4302" s="1115"/>
      <c r="Q4302" s="1116"/>
      <c r="R4302" s="1141"/>
      <c r="S4302" s="1113"/>
      <c r="T4302" s="1143"/>
      <c r="U4302" s="1108"/>
      <c r="V4302" s="1108"/>
      <c r="W4302" s="1108"/>
      <c r="X4302" s="1108"/>
      <c r="Y4302" s="1108"/>
      <c r="Z4302" s="1114"/>
      <c r="AA4302" s="1114"/>
      <c r="AB4302" s="1114"/>
      <c r="AC4302" s="1117"/>
      <c r="AD4302" s="1115"/>
      <c r="AE4302" s="1115"/>
      <c r="AF4302" s="1115"/>
      <c r="AG4302" s="1115"/>
      <c r="AH4302" s="1115"/>
      <c r="AI4302" s="1115"/>
      <c r="AJ4302" s="1117"/>
      <c r="AK4302" s="1118"/>
      <c r="AL4302" s="1115"/>
      <c r="AM4302" s="1115"/>
      <c r="AN4302" s="1115"/>
      <c r="AO4302" s="1115"/>
      <c r="AP4302" s="1115"/>
      <c r="AQ4302" s="1115"/>
      <c r="AR4302" s="1115"/>
      <c r="AS4302" s="1117"/>
      <c r="AT4302" s="1075"/>
      <c r="AU4302" s="1193"/>
      <c r="AV4302" s="330"/>
      <c r="AW4302" s="331"/>
      <c r="AX4302" s="331"/>
      <c r="AY4302" s="331"/>
      <c r="AZ4302" s="331"/>
      <c r="BA4302" s="331"/>
      <c r="BB4302" s="331"/>
      <c r="BC4302" s="331"/>
      <c r="BD4302" s="331"/>
      <c r="BE4302" s="333"/>
      <c r="BF4302" s="330"/>
      <c r="BG4302" s="333"/>
      <c r="BH4302" s="1119"/>
      <c r="BI4302" s="319"/>
      <c r="BJ4302" s="319"/>
      <c r="BK4302" s="319"/>
      <c r="BL4302" s="319"/>
      <c r="BM4302" s="319"/>
      <c r="BN4302" s="319"/>
      <c r="BO4302" s="319"/>
      <c r="BP4302" s="953"/>
      <c r="BQ4302" s="319"/>
      <c r="BR4302" s="319"/>
      <c r="BS4302" s="330"/>
      <c r="BT4302" s="331"/>
      <c r="BU4302" s="920"/>
      <c r="BV4302" s="903"/>
      <c r="BW4302" s="908"/>
      <c r="BX4302" s="908"/>
      <c r="BY4302" s="331"/>
      <c r="BZ4302" s="331"/>
      <c r="CA4302" s="462"/>
      <c r="CB4302" s="319"/>
      <c r="CC4302" s="319"/>
      <c r="CD4302" s="319"/>
      <c r="CE4302" s="319"/>
      <c r="CF4302" s="319"/>
      <c r="CG4302" s="319"/>
      <c r="CH4302" s="318"/>
      <c r="CI4302" s="319"/>
      <c r="CJ4302" s="319"/>
      <c r="CK4302" s="342"/>
      <c r="CL4302" s="333"/>
      <c r="CM4302" s="1079"/>
      <c r="CN4302" s="1005"/>
      <c r="CO4302" s="1005"/>
      <c r="CP4302" s="1005"/>
    </row>
    <row r="4303">
      <c r="A4303" s="1257"/>
      <c r="B4303" s="1113"/>
      <c r="C4303" s="1107"/>
      <c r="D4303" s="103"/>
      <c r="E4303" s="1137"/>
      <c r="F4303" s="112"/>
      <c r="G4303" s="1110"/>
      <c r="H4303" s="1138"/>
      <c r="I4303" s="1138"/>
      <c r="J4303" s="1139"/>
      <c r="K4303" s="1111"/>
      <c r="L4303" s="1112"/>
      <c r="M4303" s="1113"/>
      <c r="N4303" s="110"/>
      <c r="O4303" s="1140"/>
      <c r="P4303" s="1115"/>
      <c r="Q4303" s="1116"/>
      <c r="R4303" s="1141"/>
      <c r="S4303" s="1113"/>
      <c r="T4303" s="1143"/>
      <c r="U4303" s="1108"/>
      <c r="V4303" s="1108"/>
      <c r="W4303" s="1108"/>
      <c r="X4303" s="1108"/>
      <c r="Y4303" s="1108"/>
      <c r="Z4303" s="1114"/>
      <c r="AA4303" s="1114"/>
      <c r="AB4303" s="1114"/>
      <c r="AC4303" s="1117"/>
      <c r="AD4303" s="1115"/>
      <c r="AE4303" s="1115"/>
      <c r="AF4303" s="1115"/>
      <c r="AG4303" s="1115"/>
      <c r="AH4303" s="1115"/>
      <c r="AI4303" s="1115"/>
      <c r="AJ4303" s="1117"/>
      <c r="AK4303" s="1118"/>
      <c r="AL4303" s="1115"/>
      <c r="AM4303" s="1115"/>
      <c r="AN4303" s="1115"/>
      <c r="AO4303" s="1115"/>
      <c r="AP4303" s="1115"/>
      <c r="AQ4303" s="1115"/>
      <c r="AR4303" s="1115"/>
      <c r="AS4303" s="1117"/>
      <c r="AT4303" s="1075"/>
      <c r="AU4303" s="1193"/>
      <c r="AV4303" s="330"/>
      <c r="AW4303" s="331"/>
      <c r="AX4303" s="331"/>
      <c r="AY4303" s="331"/>
      <c r="AZ4303" s="331"/>
      <c r="BA4303" s="331"/>
      <c r="BB4303" s="331"/>
      <c r="BC4303" s="331"/>
      <c r="BD4303" s="331"/>
      <c r="BE4303" s="333"/>
      <c r="BF4303" s="330"/>
      <c r="BG4303" s="333"/>
      <c r="BH4303" s="1119"/>
      <c r="BI4303" s="319"/>
      <c r="BJ4303" s="319"/>
      <c r="BK4303" s="319"/>
      <c r="BL4303" s="319"/>
      <c r="BM4303" s="319"/>
      <c r="BN4303" s="319"/>
      <c r="BO4303" s="319"/>
      <c r="BP4303" s="953"/>
      <c r="BQ4303" s="319"/>
      <c r="BR4303" s="319"/>
      <c r="BS4303" s="330"/>
      <c r="BT4303" s="331"/>
      <c r="BU4303" s="920"/>
      <c r="BV4303" s="903"/>
      <c r="BW4303" s="908"/>
      <c r="BX4303" s="908"/>
      <c r="BY4303" s="331"/>
      <c r="BZ4303" s="331"/>
      <c r="CA4303" s="462"/>
      <c r="CB4303" s="319"/>
      <c r="CC4303" s="319"/>
      <c r="CD4303" s="319"/>
      <c r="CE4303" s="319"/>
      <c r="CF4303" s="319"/>
      <c r="CG4303" s="319"/>
      <c r="CH4303" s="318"/>
      <c r="CI4303" s="319"/>
      <c r="CJ4303" s="319"/>
      <c r="CK4303" s="342"/>
      <c r="CL4303" s="333"/>
      <c r="CM4303" s="1079"/>
      <c r="CN4303" s="1005"/>
      <c r="CO4303" s="1005"/>
      <c r="CP4303" s="1005"/>
    </row>
    <row r="4304">
      <c r="A4304" s="1257"/>
      <c r="B4304" s="1113"/>
      <c r="C4304" s="1107"/>
      <c r="D4304" s="103"/>
      <c r="E4304" s="1137"/>
      <c r="F4304" s="112"/>
      <c r="G4304" s="1110"/>
      <c r="H4304" s="1138"/>
      <c r="I4304" s="1138"/>
      <c r="J4304" s="1139"/>
      <c r="K4304" s="1111"/>
      <c r="L4304" s="1112"/>
      <c r="M4304" s="1113"/>
      <c r="N4304" s="110"/>
      <c r="O4304" s="1140"/>
      <c r="P4304" s="1115"/>
      <c r="Q4304" s="1116"/>
      <c r="R4304" s="1141"/>
      <c r="S4304" s="1113"/>
      <c r="T4304" s="1143"/>
      <c r="U4304" s="1108"/>
      <c r="V4304" s="1108"/>
      <c r="W4304" s="1108"/>
      <c r="X4304" s="1108"/>
      <c r="Y4304" s="1108"/>
      <c r="Z4304" s="1114"/>
      <c r="AA4304" s="1114"/>
      <c r="AB4304" s="1114"/>
      <c r="AC4304" s="1117"/>
      <c r="AD4304" s="1115"/>
      <c r="AE4304" s="1115"/>
      <c r="AF4304" s="1115"/>
      <c r="AG4304" s="1115"/>
      <c r="AH4304" s="1115"/>
      <c r="AI4304" s="1115"/>
      <c r="AJ4304" s="1117"/>
      <c r="AK4304" s="1118"/>
      <c r="AL4304" s="1115"/>
      <c r="AM4304" s="1115"/>
      <c r="AN4304" s="1115"/>
      <c r="AO4304" s="1115"/>
      <c r="AP4304" s="1115"/>
      <c r="AQ4304" s="1115"/>
      <c r="AR4304" s="1115"/>
      <c r="AS4304" s="1117"/>
      <c r="AT4304" s="1075"/>
      <c r="AU4304" s="1193"/>
      <c r="AV4304" s="330"/>
      <c r="AW4304" s="331"/>
      <c r="AX4304" s="331"/>
      <c r="AY4304" s="331"/>
      <c r="AZ4304" s="331"/>
      <c r="BA4304" s="331"/>
      <c r="BB4304" s="331"/>
      <c r="BC4304" s="331"/>
      <c r="BD4304" s="331"/>
      <c r="BE4304" s="333"/>
      <c r="BF4304" s="330"/>
      <c r="BG4304" s="333"/>
      <c r="BH4304" s="1119"/>
      <c r="BI4304" s="319"/>
      <c r="BJ4304" s="319"/>
      <c r="BK4304" s="319"/>
      <c r="BL4304" s="319"/>
      <c r="BM4304" s="319"/>
      <c r="BN4304" s="319"/>
      <c r="BO4304" s="319"/>
      <c r="BP4304" s="953"/>
      <c r="BQ4304" s="319"/>
      <c r="BR4304" s="319"/>
      <c r="BS4304" s="330"/>
      <c r="BT4304" s="331"/>
      <c r="BU4304" s="920"/>
      <c r="BV4304" s="903"/>
      <c r="BW4304" s="908"/>
      <c r="BX4304" s="908"/>
      <c r="BY4304" s="331"/>
      <c r="BZ4304" s="331"/>
      <c r="CA4304" s="462"/>
      <c r="CB4304" s="319"/>
      <c r="CC4304" s="319"/>
      <c r="CD4304" s="319"/>
      <c r="CE4304" s="319"/>
      <c r="CF4304" s="319"/>
      <c r="CG4304" s="319"/>
      <c r="CH4304" s="318"/>
      <c r="CI4304" s="319"/>
      <c r="CJ4304" s="319"/>
      <c r="CK4304" s="342"/>
      <c r="CL4304" s="333"/>
      <c r="CM4304" s="1079"/>
      <c r="CN4304" s="1005"/>
      <c r="CO4304" s="1005"/>
      <c r="CP4304" s="1005"/>
    </row>
    <row r="4305">
      <c r="A4305" s="1257"/>
      <c r="B4305" s="1113"/>
      <c r="C4305" s="1107"/>
      <c r="D4305" s="103"/>
      <c r="E4305" s="1137"/>
      <c r="F4305" s="112"/>
      <c r="G4305" s="1110"/>
      <c r="H4305" s="1138"/>
      <c r="I4305" s="1138"/>
      <c r="J4305" s="1139"/>
      <c r="K4305" s="1111"/>
      <c r="L4305" s="1112"/>
      <c r="M4305" s="1113"/>
      <c r="N4305" s="110"/>
      <c r="O4305" s="1140"/>
      <c r="P4305" s="1115"/>
      <c r="Q4305" s="1116"/>
      <c r="R4305" s="1141"/>
      <c r="S4305" s="1113"/>
      <c r="T4305" s="1143"/>
      <c r="U4305" s="1108"/>
      <c r="V4305" s="1108"/>
      <c r="W4305" s="1108"/>
      <c r="X4305" s="1108"/>
      <c r="Y4305" s="1108"/>
      <c r="Z4305" s="1114"/>
      <c r="AA4305" s="1114"/>
      <c r="AB4305" s="1114"/>
      <c r="AC4305" s="1117"/>
      <c r="AD4305" s="1115"/>
      <c r="AE4305" s="1115"/>
      <c r="AF4305" s="1115"/>
      <c r="AG4305" s="1115"/>
      <c r="AH4305" s="1115"/>
      <c r="AI4305" s="1115"/>
      <c r="AJ4305" s="1117"/>
      <c r="AK4305" s="1118"/>
      <c r="AL4305" s="1115"/>
      <c r="AM4305" s="1115"/>
      <c r="AN4305" s="1115"/>
      <c r="AO4305" s="1115"/>
      <c r="AP4305" s="1115"/>
      <c r="AQ4305" s="1115"/>
      <c r="AR4305" s="1115"/>
      <c r="AS4305" s="1117"/>
      <c r="AT4305" s="1075"/>
      <c r="AU4305" s="1193"/>
      <c r="AV4305" s="330"/>
      <c r="AW4305" s="331"/>
      <c r="AX4305" s="331"/>
      <c r="AY4305" s="331"/>
      <c r="AZ4305" s="331"/>
      <c r="BA4305" s="331"/>
      <c r="BB4305" s="331"/>
      <c r="BC4305" s="331"/>
      <c r="BD4305" s="331"/>
      <c r="BE4305" s="333"/>
      <c r="BF4305" s="330"/>
      <c r="BG4305" s="333"/>
      <c r="BH4305" s="1119"/>
      <c r="BI4305" s="319"/>
      <c r="BJ4305" s="319"/>
      <c r="BK4305" s="319"/>
      <c r="BL4305" s="319"/>
      <c r="BM4305" s="319"/>
      <c r="BN4305" s="319"/>
      <c r="BO4305" s="319"/>
      <c r="BP4305" s="953"/>
      <c r="BQ4305" s="319"/>
      <c r="BR4305" s="319"/>
      <c r="BS4305" s="330"/>
      <c r="BT4305" s="331"/>
      <c r="BU4305" s="920"/>
      <c r="BV4305" s="903"/>
      <c r="BW4305" s="908"/>
      <c r="BX4305" s="908"/>
      <c r="BY4305" s="331"/>
      <c r="BZ4305" s="331"/>
      <c r="CA4305" s="462"/>
      <c r="CB4305" s="319"/>
      <c r="CC4305" s="319"/>
      <c r="CD4305" s="319"/>
      <c r="CE4305" s="319"/>
      <c r="CF4305" s="319"/>
      <c r="CG4305" s="319"/>
      <c r="CH4305" s="318"/>
      <c r="CI4305" s="319"/>
      <c r="CJ4305" s="319"/>
      <c r="CK4305" s="342"/>
      <c r="CL4305" s="333"/>
      <c r="CM4305" s="1079"/>
      <c r="CN4305" s="1005"/>
      <c r="CO4305" s="1005"/>
      <c r="CP4305" s="1005"/>
    </row>
    <row r="4306">
      <c r="A4306" s="1257"/>
      <c r="B4306" s="1113"/>
      <c r="C4306" s="1107"/>
      <c r="D4306" s="103"/>
      <c r="E4306" s="1137"/>
      <c r="F4306" s="112"/>
      <c r="G4306" s="1110"/>
      <c r="H4306" s="1138"/>
      <c r="I4306" s="1138"/>
      <c r="J4306" s="1139"/>
      <c r="K4306" s="1111"/>
      <c r="L4306" s="1112"/>
      <c r="M4306" s="1113"/>
      <c r="N4306" s="110"/>
      <c r="O4306" s="1140"/>
      <c r="P4306" s="1115"/>
      <c r="Q4306" s="1116"/>
      <c r="R4306" s="1141"/>
      <c r="S4306" s="1113"/>
      <c r="T4306" s="1143"/>
      <c r="U4306" s="1108"/>
      <c r="V4306" s="1108"/>
      <c r="W4306" s="1108"/>
      <c r="X4306" s="1108"/>
      <c r="Y4306" s="1108"/>
      <c r="Z4306" s="1114"/>
      <c r="AA4306" s="1114"/>
      <c r="AB4306" s="1114"/>
      <c r="AC4306" s="1117"/>
      <c r="AD4306" s="1115"/>
      <c r="AE4306" s="1115"/>
      <c r="AF4306" s="1115"/>
      <c r="AG4306" s="1115"/>
      <c r="AH4306" s="1115"/>
      <c r="AI4306" s="1115"/>
      <c r="AJ4306" s="1117"/>
      <c r="AK4306" s="1118"/>
      <c r="AL4306" s="1115"/>
      <c r="AM4306" s="1115"/>
      <c r="AN4306" s="1115"/>
      <c r="AO4306" s="1115"/>
      <c r="AP4306" s="1115"/>
      <c r="AQ4306" s="1115"/>
      <c r="AR4306" s="1115"/>
      <c r="AS4306" s="1117"/>
      <c r="AT4306" s="1075"/>
      <c r="AU4306" s="1193"/>
      <c r="AV4306" s="330"/>
      <c r="AW4306" s="331"/>
      <c r="AX4306" s="331"/>
      <c r="AY4306" s="331"/>
      <c r="AZ4306" s="331"/>
      <c r="BA4306" s="331"/>
      <c r="BB4306" s="331"/>
      <c r="BC4306" s="331"/>
      <c r="BD4306" s="331"/>
      <c r="BE4306" s="333"/>
      <c r="BF4306" s="330"/>
      <c r="BG4306" s="333"/>
      <c r="BH4306" s="1119"/>
      <c r="BI4306" s="319"/>
      <c r="BJ4306" s="319"/>
      <c r="BK4306" s="319"/>
      <c r="BL4306" s="319"/>
      <c r="BM4306" s="319"/>
      <c r="BN4306" s="319"/>
      <c r="BO4306" s="319"/>
      <c r="BP4306" s="953"/>
      <c r="BQ4306" s="319"/>
      <c r="BR4306" s="319"/>
      <c r="BS4306" s="330"/>
      <c r="BT4306" s="331"/>
      <c r="BU4306" s="920"/>
      <c r="BV4306" s="903"/>
      <c r="BW4306" s="908"/>
      <c r="BX4306" s="908"/>
      <c r="BY4306" s="331"/>
      <c r="BZ4306" s="331"/>
      <c r="CA4306" s="462"/>
      <c r="CB4306" s="319"/>
      <c r="CC4306" s="319"/>
      <c r="CD4306" s="319"/>
      <c r="CE4306" s="319"/>
      <c r="CF4306" s="319"/>
      <c r="CG4306" s="319"/>
      <c r="CH4306" s="318"/>
      <c r="CI4306" s="319"/>
      <c r="CJ4306" s="319"/>
      <c r="CK4306" s="342"/>
      <c r="CL4306" s="333"/>
      <c r="CM4306" s="1079"/>
      <c r="CN4306" s="1005"/>
      <c r="CO4306" s="1005"/>
      <c r="CP4306" s="1005"/>
    </row>
    <row r="4307">
      <c r="A4307" s="1257"/>
      <c r="B4307" s="1113"/>
      <c r="C4307" s="1107"/>
      <c r="D4307" s="103"/>
      <c r="E4307" s="1137"/>
      <c r="F4307" s="112"/>
      <c r="G4307" s="1110"/>
      <c r="H4307" s="1138"/>
      <c r="I4307" s="1138"/>
      <c r="J4307" s="1139"/>
      <c r="K4307" s="1111"/>
      <c r="L4307" s="1112"/>
      <c r="M4307" s="1113"/>
      <c r="N4307" s="110"/>
      <c r="O4307" s="1140"/>
      <c r="P4307" s="1115"/>
      <c r="Q4307" s="1116"/>
      <c r="R4307" s="1141"/>
      <c r="S4307" s="1113"/>
      <c r="T4307" s="1143"/>
      <c r="U4307" s="1108"/>
      <c r="V4307" s="1108"/>
      <c r="W4307" s="1108"/>
      <c r="X4307" s="1108"/>
      <c r="Y4307" s="1108"/>
      <c r="Z4307" s="1114"/>
      <c r="AA4307" s="1114"/>
      <c r="AB4307" s="1114"/>
      <c r="AC4307" s="1117"/>
      <c r="AD4307" s="1115"/>
      <c r="AE4307" s="1115"/>
      <c r="AF4307" s="1115"/>
      <c r="AG4307" s="1115"/>
      <c r="AH4307" s="1115"/>
      <c r="AI4307" s="1115"/>
      <c r="AJ4307" s="1117"/>
      <c r="AK4307" s="1118"/>
      <c r="AL4307" s="1115"/>
      <c r="AM4307" s="1115"/>
      <c r="AN4307" s="1115"/>
      <c r="AO4307" s="1115"/>
      <c r="AP4307" s="1115"/>
      <c r="AQ4307" s="1115"/>
      <c r="AR4307" s="1115"/>
      <c r="AS4307" s="1117"/>
      <c r="AT4307" s="1075"/>
      <c r="AU4307" s="1193"/>
      <c r="AV4307" s="330"/>
      <c r="AW4307" s="331"/>
      <c r="AX4307" s="331"/>
      <c r="AY4307" s="331"/>
      <c r="AZ4307" s="331"/>
      <c r="BA4307" s="331"/>
      <c r="BB4307" s="331"/>
      <c r="BC4307" s="331"/>
      <c r="BD4307" s="331"/>
      <c r="BE4307" s="333"/>
      <c r="BF4307" s="330"/>
      <c r="BG4307" s="333"/>
      <c r="BH4307" s="1119"/>
      <c r="BI4307" s="319"/>
      <c r="BJ4307" s="319"/>
      <c r="BK4307" s="319"/>
      <c r="BL4307" s="319"/>
      <c r="BM4307" s="319"/>
      <c r="BN4307" s="319"/>
      <c r="BO4307" s="319"/>
      <c r="BP4307" s="953"/>
      <c r="BQ4307" s="319"/>
      <c r="BR4307" s="319"/>
      <c r="BS4307" s="330"/>
      <c r="BT4307" s="331"/>
      <c r="BU4307" s="920"/>
      <c r="BV4307" s="903"/>
      <c r="BW4307" s="908"/>
      <c r="BX4307" s="908"/>
      <c r="BY4307" s="331"/>
      <c r="BZ4307" s="331"/>
      <c r="CA4307" s="462"/>
      <c r="CB4307" s="319"/>
      <c r="CC4307" s="319"/>
      <c r="CD4307" s="319"/>
      <c r="CE4307" s="319"/>
      <c r="CF4307" s="319"/>
      <c r="CG4307" s="319"/>
      <c r="CH4307" s="318"/>
      <c r="CI4307" s="319"/>
      <c r="CJ4307" s="319"/>
      <c r="CK4307" s="342"/>
      <c r="CL4307" s="333"/>
      <c r="CM4307" s="1079"/>
      <c r="CN4307" s="1005"/>
      <c r="CO4307" s="1005"/>
      <c r="CP4307" s="1005"/>
    </row>
    <row r="4308">
      <c r="A4308" s="1257"/>
      <c r="B4308" s="1113"/>
      <c r="C4308" s="1107"/>
      <c r="D4308" s="103"/>
      <c r="E4308" s="1137"/>
      <c r="F4308" s="112"/>
      <c r="G4308" s="1110"/>
      <c r="H4308" s="1138"/>
      <c r="I4308" s="1138"/>
      <c r="J4308" s="1139"/>
      <c r="K4308" s="1111"/>
      <c r="L4308" s="1112"/>
      <c r="M4308" s="1113"/>
      <c r="N4308" s="110"/>
      <c r="O4308" s="1140"/>
      <c r="P4308" s="1115"/>
      <c r="Q4308" s="1116"/>
      <c r="R4308" s="1141"/>
      <c r="S4308" s="1113"/>
      <c r="T4308" s="1143"/>
      <c r="U4308" s="1108"/>
      <c r="V4308" s="1108"/>
      <c r="W4308" s="1108"/>
      <c r="X4308" s="1108"/>
      <c r="Y4308" s="1108"/>
      <c r="Z4308" s="1114"/>
      <c r="AA4308" s="1114"/>
      <c r="AB4308" s="1114"/>
      <c r="AC4308" s="1117"/>
      <c r="AD4308" s="1115"/>
      <c r="AE4308" s="1115"/>
      <c r="AF4308" s="1115"/>
      <c r="AG4308" s="1115"/>
      <c r="AH4308" s="1115"/>
      <c r="AI4308" s="1115"/>
      <c r="AJ4308" s="1117"/>
      <c r="AK4308" s="1118"/>
      <c r="AL4308" s="1115"/>
      <c r="AM4308" s="1115"/>
      <c r="AN4308" s="1115"/>
      <c r="AO4308" s="1115"/>
      <c r="AP4308" s="1115"/>
      <c r="AQ4308" s="1115"/>
      <c r="AR4308" s="1115"/>
      <c r="AS4308" s="1117"/>
      <c r="AT4308" s="1075"/>
      <c r="AU4308" s="1193"/>
      <c r="AV4308" s="330"/>
      <c r="AW4308" s="331"/>
      <c r="AX4308" s="331"/>
      <c r="AY4308" s="331"/>
      <c r="AZ4308" s="331"/>
      <c r="BA4308" s="331"/>
      <c r="BB4308" s="331"/>
      <c r="BC4308" s="331"/>
      <c r="BD4308" s="331"/>
      <c r="BE4308" s="333"/>
      <c r="BF4308" s="330"/>
      <c r="BG4308" s="333"/>
      <c r="BH4308" s="1119"/>
      <c r="BI4308" s="319"/>
      <c r="BJ4308" s="319"/>
      <c r="BK4308" s="319"/>
      <c r="BL4308" s="319"/>
      <c r="BM4308" s="319"/>
      <c r="BN4308" s="319"/>
      <c r="BO4308" s="319"/>
      <c r="BP4308" s="953"/>
      <c r="BQ4308" s="319"/>
      <c r="BR4308" s="319"/>
      <c r="BS4308" s="330"/>
      <c r="BT4308" s="331"/>
      <c r="BU4308" s="920"/>
      <c r="BV4308" s="903"/>
      <c r="BW4308" s="908"/>
      <c r="BX4308" s="908"/>
      <c r="BY4308" s="331"/>
      <c r="BZ4308" s="331"/>
      <c r="CA4308" s="462"/>
      <c r="CB4308" s="319"/>
      <c r="CC4308" s="319"/>
      <c r="CD4308" s="319"/>
      <c r="CE4308" s="319"/>
      <c r="CF4308" s="319"/>
      <c r="CG4308" s="319"/>
      <c r="CH4308" s="318"/>
      <c r="CI4308" s="319"/>
      <c r="CJ4308" s="319"/>
      <c r="CK4308" s="342"/>
      <c r="CL4308" s="333"/>
      <c r="CM4308" s="1079"/>
      <c r="CN4308" s="1005"/>
      <c r="CO4308" s="1005"/>
      <c r="CP4308" s="1005"/>
    </row>
    <row r="4309">
      <c r="A4309" s="1257"/>
      <c r="B4309" s="1113"/>
      <c r="C4309" s="1107"/>
      <c r="D4309" s="103"/>
      <c r="E4309" s="1137"/>
      <c r="F4309" s="112"/>
      <c r="G4309" s="1110"/>
      <c r="H4309" s="1138"/>
      <c r="I4309" s="1138"/>
      <c r="J4309" s="1139"/>
      <c r="K4309" s="1111"/>
      <c r="L4309" s="1112"/>
      <c r="M4309" s="1113"/>
      <c r="N4309" s="110"/>
      <c r="O4309" s="1140"/>
      <c r="P4309" s="1115"/>
      <c r="Q4309" s="1116"/>
      <c r="R4309" s="1141"/>
      <c r="S4309" s="1113"/>
      <c r="T4309" s="1143"/>
      <c r="U4309" s="1108"/>
      <c r="V4309" s="1108"/>
      <c r="W4309" s="1108"/>
      <c r="X4309" s="1108"/>
      <c r="Y4309" s="1108"/>
      <c r="Z4309" s="1114"/>
      <c r="AA4309" s="1114"/>
      <c r="AB4309" s="1114"/>
      <c r="AC4309" s="1117"/>
      <c r="AD4309" s="1115"/>
      <c r="AE4309" s="1115"/>
      <c r="AF4309" s="1115"/>
      <c r="AG4309" s="1115"/>
      <c r="AH4309" s="1115"/>
      <c r="AI4309" s="1115"/>
      <c r="AJ4309" s="1117"/>
      <c r="AK4309" s="1118"/>
      <c r="AL4309" s="1115"/>
      <c r="AM4309" s="1115"/>
      <c r="AN4309" s="1115"/>
      <c r="AO4309" s="1115"/>
      <c r="AP4309" s="1115"/>
      <c r="AQ4309" s="1115"/>
      <c r="AR4309" s="1115"/>
      <c r="AS4309" s="1117"/>
      <c r="AT4309" s="1075"/>
      <c r="AU4309" s="1193"/>
      <c r="AV4309" s="330"/>
      <c r="AW4309" s="331"/>
      <c r="AX4309" s="331"/>
      <c r="AY4309" s="331"/>
      <c r="AZ4309" s="331"/>
      <c r="BA4309" s="331"/>
      <c r="BB4309" s="331"/>
      <c r="BC4309" s="331"/>
      <c r="BD4309" s="331"/>
      <c r="BE4309" s="333"/>
      <c r="BF4309" s="330"/>
      <c r="BG4309" s="333"/>
      <c r="BH4309" s="1119"/>
      <c r="BI4309" s="319"/>
      <c r="BJ4309" s="319"/>
      <c r="BK4309" s="319"/>
      <c r="BL4309" s="319"/>
      <c r="BM4309" s="319"/>
      <c r="BN4309" s="319"/>
      <c r="BO4309" s="319"/>
      <c r="BP4309" s="953"/>
      <c r="BQ4309" s="319"/>
      <c r="BR4309" s="319"/>
      <c r="BS4309" s="330"/>
      <c r="BT4309" s="331"/>
      <c r="BU4309" s="920"/>
      <c r="BV4309" s="903"/>
      <c r="BW4309" s="908"/>
      <c r="BX4309" s="908"/>
      <c r="BY4309" s="331"/>
      <c r="BZ4309" s="331"/>
      <c r="CA4309" s="462"/>
      <c r="CB4309" s="319"/>
      <c r="CC4309" s="319"/>
      <c r="CD4309" s="319"/>
      <c r="CE4309" s="319"/>
      <c r="CF4309" s="319"/>
      <c r="CG4309" s="319"/>
      <c r="CH4309" s="318"/>
      <c r="CI4309" s="319"/>
      <c r="CJ4309" s="319"/>
      <c r="CK4309" s="342"/>
      <c r="CL4309" s="333"/>
      <c r="CM4309" s="1079"/>
      <c r="CN4309" s="1005"/>
      <c r="CO4309" s="1005"/>
      <c r="CP4309" s="1005"/>
    </row>
    <row r="4310">
      <c r="A4310" s="1257"/>
      <c r="B4310" s="1113"/>
      <c r="C4310" s="1107"/>
      <c r="D4310" s="103"/>
      <c r="E4310" s="1137"/>
      <c r="F4310" s="112"/>
      <c r="G4310" s="1110"/>
      <c r="H4310" s="1138"/>
      <c r="I4310" s="1138"/>
      <c r="J4310" s="1139"/>
      <c r="K4310" s="1111"/>
      <c r="L4310" s="1112"/>
      <c r="M4310" s="1113"/>
      <c r="N4310" s="110"/>
      <c r="O4310" s="1140"/>
      <c r="P4310" s="1115"/>
      <c r="Q4310" s="1116"/>
      <c r="R4310" s="1141"/>
      <c r="S4310" s="1113"/>
      <c r="T4310" s="1143"/>
      <c r="U4310" s="1108"/>
      <c r="V4310" s="1108"/>
      <c r="W4310" s="1108"/>
      <c r="X4310" s="1108"/>
      <c r="Y4310" s="1108"/>
      <c r="Z4310" s="1114"/>
      <c r="AA4310" s="1114"/>
      <c r="AB4310" s="1114"/>
      <c r="AC4310" s="1117"/>
      <c r="AD4310" s="1115"/>
      <c r="AE4310" s="1115"/>
      <c r="AF4310" s="1115"/>
      <c r="AG4310" s="1115"/>
      <c r="AH4310" s="1115"/>
      <c r="AI4310" s="1115"/>
      <c r="AJ4310" s="1117"/>
      <c r="AK4310" s="1118"/>
      <c r="AL4310" s="1115"/>
      <c r="AM4310" s="1115"/>
      <c r="AN4310" s="1115"/>
      <c r="AO4310" s="1115"/>
      <c r="AP4310" s="1115"/>
      <c r="AQ4310" s="1115"/>
      <c r="AR4310" s="1115"/>
      <c r="AS4310" s="1117"/>
      <c r="AT4310" s="1075"/>
      <c r="AU4310" s="1193"/>
      <c r="AV4310" s="330"/>
      <c r="AW4310" s="331"/>
      <c r="AX4310" s="331"/>
      <c r="AY4310" s="331"/>
      <c r="AZ4310" s="331"/>
      <c r="BA4310" s="331"/>
      <c r="BB4310" s="331"/>
      <c r="BC4310" s="331"/>
      <c r="BD4310" s="331"/>
      <c r="BE4310" s="333"/>
      <c r="BF4310" s="330"/>
      <c r="BG4310" s="333"/>
      <c r="BH4310" s="1119"/>
      <c r="BI4310" s="319"/>
      <c r="BJ4310" s="319"/>
      <c r="BK4310" s="319"/>
      <c r="BL4310" s="319"/>
      <c r="BM4310" s="319"/>
      <c r="BN4310" s="319"/>
      <c r="BO4310" s="319"/>
      <c r="BP4310" s="953"/>
      <c r="BQ4310" s="319"/>
      <c r="BR4310" s="319"/>
      <c r="BS4310" s="330"/>
      <c r="BT4310" s="331"/>
      <c r="BU4310" s="920"/>
      <c r="BV4310" s="903"/>
      <c r="BW4310" s="908"/>
      <c r="BX4310" s="908"/>
      <c r="BY4310" s="331"/>
      <c r="BZ4310" s="331"/>
      <c r="CA4310" s="462"/>
      <c r="CB4310" s="319"/>
      <c r="CC4310" s="319"/>
      <c r="CD4310" s="319"/>
      <c r="CE4310" s="319"/>
      <c r="CF4310" s="319"/>
      <c r="CG4310" s="319"/>
      <c r="CH4310" s="318"/>
      <c r="CI4310" s="319"/>
      <c r="CJ4310" s="319"/>
      <c r="CK4310" s="342"/>
      <c r="CL4310" s="333"/>
      <c r="CM4310" s="1079"/>
      <c r="CN4310" s="1005"/>
      <c r="CO4310" s="1005"/>
      <c r="CP4310" s="1005"/>
    </row>
    <row r="4311">
      <c r="A4311" s="1257"/>
      <c r="B4311" s="1113"/>
      <c r="C4311" s="1107"/>
      <c r="D4311" s="103"/>
      <c r="E4311" s="1137"/>
      <c r="F4311" s="112"/>
      <c r="G4311" s="1110"/>
      <c r="H4311" s="1138"/>
      <c r="I4311" s="1138"/>
      <c r="J4311" s="1139"/>
      <c r="K4311" s="1111"/>
      <c r="L4311" s="1112"/>
      <c r="M4311" s="1113"/>
      <c r="N4311" s="110"/>
      <c r="O4311" s="1140"/>
      <c r="P4311" s="1115"/>
      <c r="Q4311" s="1116"/>
      <c r="R4311" s="1141"/>
      <c r="S4311" s="1113"/>
      <c r="T4311" s="1143"/>
      <c r="U4311" s="1108"/>
      <c r="V4311" s="1108"/>
      <c r="W4311" s="1108"/>
      <c r="X4311" s="1108"/>
      <c r="Y4311" s="1108"/>
      <c r="Z4311" s="1114"/>
      <c r="AA4311" s="1114"/>
      <c r="AB4311" s="1114"/>
      <c r="AC4311" s="1117"/>
      <c r="AD4311" s="1115"/>
      <c r="AE4311" s="1115"/>
      <c r="AF4311" s="1115"/>
      <c r="AG4311" s="1115"/>
      <c r="AH4311" s="1115"/>
      <c r="AI4311" s="1115"/>
      <c r="AJ4311" s="1117"/>
      <c r="AK4311" s="1118"/>
      <c r="AL4311" s="1115"/>
      <c r="AM4311" s="1115"/>
      <c r="AN4311" s="1115"/>
      <c r="AO4311" s="1115"/>
      <c r="AP4311" s="1115"/>
      <c r="AQ4311" s="1115"/>
      <c r="AR4311" s="1115"/>
      <c r="AS4311" s="1117"/>
      <c r="AT4311" s="1075"/>
      <c r="AU4311" s="1193"/>
      <c r="AV4311" s="330"/>
      <c r="AW4311" s="331"/>
      <c r="AX4311" s="331"/>
      <c r="AY4311" s="331"/>
      <c r="AZ4311" s="331"/>
      <c r="BA4311" s="331"/>
      <c r="BB4311" s="331"/>
      <c r="BC4311" s="331"/>
      <c r="BD4311" s="331"/>
      <c r="BE4311" s="333"/>
      <c r="BF4311" s="330"/>
      <c r="BG4311" s="333"/>
      <c r="BH4311" s="1119"/>
      <c r="BI4311" s="319"/>
      <c r="BJ4311" s="319"/>
      <c r="BK4311" s="319"/>
      <c r="BL4311" s="319"/>
      <c r="BM4311" s="319"/>
      <c r="BN4311" s="319"/>
      <c r="BO4311" s="319"/>
      <c r="BP4311" s="953"/>
      <c r="BQ4311" s="319"/>
      <c r="BR4311" s="319"/>
      <c r="BS4311" s="330"/>
      <c r="BT4311" s="331"/>
      <c r="BU4311" s="920"/>
      <c r="BV4311" s="903"/>
      <c r="BW4311" s="908"/>
      <c r="BX4311" s="908"/>
      <c r="BY4311" s="331"/>
      <c r="BZ4311" s="331"/>
      <c r="CA4311" s="462"/>
      <c r="CB4311" s="319"/>
      <c r="CC4311" s="319"/>
      <c r="CD4311" s="319"/>
      <c r="CE4311" s="319"/>
      <c r="CF4311" s="319"/>
      <c r="CG4311" s="319"/>
      <c r="CH4311" s="318"/>
      <c r="CI4311" s="319"/>
      <c r="CJ4311" s="319"/>
      <c r="CK4311" s="342"/>
      <c r="CL4311" s="333"/>
      <c r="CM4311" s="1079"/>
      <c r="CN4311" s="1005"/>
      <c r="CO4311" s="1005"/>
      <c r="CP4311" s="1005"/>
    </row>
    <row r="4312">
      <c r="A4312" s="1257"/>
      <c r="B4312" s="1113"/>
      <c r="C4312" s="1107"/>
      <c r="D4312" s="103"/>
      <c r="E4312" s="1137"/>
      <c r="F4312" s="112"/>
      <c r="G4312" s="1110"/>
      <c r="H4312" s="1138"/>
      <c r="I4312" s="1138"/>
      <c r="J4312" s="1139"/>
      <c r="K4312" s="1111"/>
      <c r="L4312" s="1112"/>
      <c r="M4312" s="1113"/>
      <c r="N4312" s="110"/>
      <c r="O4312" s="1140"/>
      <c r="P4312" s="1115"/>
      <c r="Q4312" s="1116"/>
      <c r="R4312" s="1141"/>
      <c r="S4312" s="1113"/>
      <c r="T4312" s="1143"/>
      <c r="U4312" s="1108"/>
      <c r="V4312" s="1108"/>
      <c r="W4312" s="1108"/>
      <c r="X4312" s="1108"/>
      <c r="Y4312" s="1108"/>
      <c r="Z4312" s="1114"/>
      <c r="AA4312" s="1114"/>
      <c r="AB4312" s="1114"/>
      <c r="AC4312" s="1117"/>
      <c r="AD4312" s="1115"/>
      <c r="AE4312" s="1115"/>
      <c r="AF4312" s="1115"/>
      <c r="AG4312" s="1115"/>
      <c r="AH4312" s="1115"/>
      <c r="AI4312" s="1115"/>
      <c r="AJ4312" s="1117"/>
      <c r="AK4312" s="1118"/>
      <c r="AL4312" s="1115"/>
      <c r="AM4312" s="1115"/>
      <c r="AN4312" s="1115"/>
      <c r="AO4312" s="1115"/>
      <c r="AP4312" s="1115"/>
      <c r="AQ4312" s="1115"/>
      <c r="AR4312" s="1115"/>
      <c r="AS4312" s="1117"/>
      <c r="AT4312" s="1075"/>
      <c r="AU4312" s="1193"/>
      <c r="AV4312" s="330"/>
      <c r="AW4312" s="331"/>
      <c r="AX4312" s="331"/>
      <c r="AY4312" s="331"/>
      <c r="AZ4312" s="331"/>
      <c r="BA4312" s="331"/>
      <c r="BB4312" s="331"/>
      <c r="BC4312" s="331"/>
      <c r="BD4312" s="331"/>
      <c r="BE4312" s="333"/>
      <c r="BF4312" s="330"/>
      <c r="BG4312" s="333"/>
      <c r="BH4312" s="1119"/>
      <c r="BI4312" s="319"/>
      <c r="BJ4312" s="319"/>
      <c r="BK4312" s="319"/>
      <c r="BL4312" s="319"/>
      <c r="BM4312" s="319"/>
      <c r="BN4312" s="319"/>
      <c r="BO4312" s="319"/>
      <c r="BP4312" s="953"/>
      <c r="BQ4312" s="319"/>
      <c r="BR4312" s="319"/>
      <c r="BS4312" s="330"/>
      <c r="BT4312" s="331"/>
      <c r="BU4312" s="920"/>
      <c r="BV4312" s="903"/>
      <c r="BW4312" s="908"/>
      <c r="BX4312" s="908"/>
      <c r="BY4312" s="331"/>
      <c r="BZ4312" s="331"/>
      <c r="CA4312" s="462"/>
      <c r="CB4312" s="319"/>
      <c r="CC4312" s="319"/>
      <c r="CD4312" s="319"/>
      <c r="CE4312" s="319"/>
      <c r="CF4312" s="319"/>
      <c r="CG4312" s="319"/>
      <c r="CH4312" s="318"/>
      <c r="CI4312" s="319"/>
      <c r="CJ4312" s="319"/>
      <c r="CK4312" s="342"/>
      <c r="CL4312" s="333"/>
      <c r="CM4312" s="1079"/>
      <c r="CN4312" s="1005"/>
      <c r="CO4312" s="1005"/>
      <c r="CP4312" s="1005"/>
    </row>
    <row r="4313">
      <c r="A4313" s="1257"/>
      <c r="B4313" s="1113"/>
      <c r="C4313" s="1107"/>
      <c r="D4313" s="103"/>
      <c r="E4313" s="1137"/>
      <c r="F4313" s="112"/>
      <c r="G4313" s="1110"/>
      <c r="H4313" s="1138"/>
      <c r="I4313" s="1138"/>
      <c r="J4313" s="1139"/>
      <c r="K4313" s="1111"/>
      <c r="L4313" s="1112"/>
      <c r="M4313" s="1113"/>
      <c r="N4313" s="110"/>
      <c r="O4313" s="1140"/>
      <c r="P4313" s="1115"/>
      <c r="Q4313" s="1116"/>
      <c r="R4313" s="1141"/>
      <c r="S4313" s="1113"/>
      <c r="T4313" s="1143"/>
      <c r="U4313" s="1108"/>
      <c r="V4313" s="1108"/>
      <c r="W4313" s="1108"/>
      <c r="X4313" s="1108"/>
      <c r="Y4313" s="1108"/>
      <c r="Z4313" s="1114"/>
      <c r="AA4313" s="1114"/>
      <c r="AB4313" s="1114"/>
      <c r="AC4313" s="1117"/>
      <c r="AD4313" s="1115"/>
      <c r="AE4313" s="1115"/>
      <c r="AF4313" s="1115"/>
      <c r="AG4313" s="1115"/>
      <c r="AH4313" s="1115"/>
      <c r="AI4313" s="1115"/>
      <c r="AJ4313" s="1117"/>
      <c r="AK4313" s="1118"/>
      <c r="AL4313" s="1115"/>
      <c r="AM4313" s="1115"/>
      <c r="AN4313" s="1115"/>
      <c r="AO4313" s="1115"/>
      <c r="AP4313" s="1115"/>
      <c r="AQ4313" s="1115"/>
      <c r="AR4313" s="1115"/>
      <c r="AS4313" s="1117"/>
      <c r="AT4313" s="1075"/>
      <c r="AU4313" s="1193"/>
      <c r="AV4313" s="330"/>
      <c r="AW4313" s="331"/>
      <c r="AX4313" s="331"/>
      <c r="AY4313" s="331"/>
      <c r="AZ4313" s="331"/>
      <c r="BA4313" s="331"/>
      <c r="BB4313" s="331"/>
      <c r="BC4313" s="331"/>
      <c r="BD4313" s="331"/>
      <c r="BE4313" s="333"/>
      <c r="BF4313" s="330"/>
      <c r="BG4313" s="333"/>
      <c r="BH4313" s="1119"/>
      <c r="BI4313" s="319"/>
      <c r="BJ4313" s="319"/>
      <c r="BK4313" s="319"/>
      <c r="BL4313" s="319"/>
      <c r="BM4313" s="319"/>
      <c r="BN4313" s="319"/>
      <c r="BO4313" s="319"/>
      <c r="BP4313" s="953"/>
      <c r="BQ4313" s="319"/>
      <c r="BR4313" s="319"/>
      <c r="BS4313" s="330"/>
      <c r="BT4313" s="331"/>
      <c r="BU4313" s="920"/>
      <c r="BV4313" s="903"/>
      <c r="BW4313" s="908"/>
      <c r="BX4313" s="908"/>
      <c r="BY4313" s="331"/>
      <c r="BZ4313" s="331"/>
      <c r="CA4313" s="462"/>
      <c r="CB4313" s="319"/>
      <c r="CC4313" s="319"/>
      <c r="CD4313" s="319"/>
      <c r="CE4313" s="319"/>
      <c r="CF4313" s="319"/>
      <c r="CG4313" s="319"/>
      <c r="CH4313" s="318"/>
      <c r="CI4313" s="319"/>
      <c r="CJ4313" s="319"/>
      <c r="CK4313" s="342"/>
      <c r="CL4313" s="333"/>
      <c r="CM4313" s="1079"/>
      <c r="CN4313" s="1005"/>
      <c r="CO4313" s="1005"/>
      <c r="CP4313" s="1005"/>
    </row>
    <row r="4314">
      <c r="A4314" s="1257"/>
      <c r="B4314" s="1113"/>
      <c r="C4314" s="1107"/>
      <c r="D4314" s="103"/>
      <c r="E4314" s="1137"/>
      <c r="F4314" s="112"/>
      <c r="G4314" s="1110"/>
      <c r="H4314" s="1138"/>
      <c r="I4314" s="1138"/>
      <c r="J4314" s="1139"/>
      <c r="K4314" s="1111"/>
      <c r="L4314" s="1112"/>
      <c r="M4314" s="1113"/>
      <c r="N4314" s="110"/>
      <c r="O4314" s="1140"/>
      <c r="P4314" s="1115"/>
      <c r="Q4314" s="1116"/>
      <c r="R4314" s="1141"/>
      <c r="S4314" s="1113"/>
      <c r="T4314" s="1143"/>
      <c r="U4314" s="1108"/>
      <c r="V4314" s="1108"/>
      <c r="W4314" s="1108"/>
      <c r="X4314" s="1108"/>
      <c r="Y4314" s="1108"/>
      <c r="Z4314" s="1114"/>
      <c r="AA4314" s="1114"/>
      <c r="AB4314" s="1114"/>
      <c r="AC4314" s="1117"/>
      <c r="AD4314" s="1115"/>
      <c r="AE4314" s="1115"/>
      <c r="AF4314" s="1115"/>
      <c r="AG4314" s="1115"/>
      <c r="AH4314" s="1115"/>
      <c r="AI4314" s="1115"/>
      <c r="AJ4314" s="1117"/>
      <c r="AK4314" s="1118"/>
      <c r="AL4314" s="1115"/>
      <c r="AM4314" s="1115"/>
      <c r="AN4314" s="1115"/>
      <c r="AO4314" s="1115"/>
      <c r="AP4314" s="1115"/>
      <c r="AQ4314" s="1115"/>
      <c r="AR4314" s="1115"/>
      <c r="AS4314" s="1117"/>
      <c r="AT4314" s="1075"/>
      <c r="AU4314" s="1193"/>
      <c r="AV4314" s="330"/>
      <c r="AW4314" s="331"/>
      <c r="AX4314" s="331"/>
      <c r="AY4314" s="331"/>
      <c r="AZ4314" s="331"/>
      <c r="BA4314" s="331"/>
      <c r="BB4314" s="331"/>
      <c r="BC4314" s="331"/>
      <c r="BD4314" s="331"/>
      <c r="BE4314" s="333"/>
      <c r="BF4314" s="330"/>
      <c r="BG4314" s="333"/>
      <c r="BH4314" s="1119"/>
      <c r="BI4314" s="319"/>
      <c r="BJ4314" s="319"/>
      <c r="BK4314" s="319"/>
      <c r="BL4314" s="319"/>
      <c r="BM4314" s="319"/>
      <c r="BN4314" s="319"/>
      <c r="BO4314" s="319"/>
      <c r="BP4314" s="953"/>
      <c r="BQ4314" s="319"/>
      <c r="BR4314" s="319"/>
      <c r="BS4314" s="330"/>
      <c r="BT4314" s="331"/>
      <c r="BU4314" s="920"/>
      <c r="BV4314" s="903"/>
      <c r="BW4314" s="908"/>
      <c r="BX4314" s="908"/>
      <c r="BY4314" s="331"/>
      <c r="BZ4314" s="331"/>
      <c r="CA4314" s="462"/>
      <c r="CB4314" s="319"/>
      <c r="CC4314" s="319"/>
      <c r="CD4314" s="319"/>
      <c r="CE4314" s="319"/>
      <c r="CF4314" s="319"/>
      <c r="CG4314" s="319"/>
      <c r="CH4314" s="318"/>
      <c r="CI4314" s="319"/>
      <c r="CJ4314" s="319"/>
      <c r="CK4314" s="342"/>
      <c r="CL4314" s="333"/>
      <c r="CM4314" s="1079"/>
      <c r="CN4314" s="1005"/>
      <c r="CO4314" s="1005"/>
      <c r="CP4314" s="1005"/>
    </row>
    <row r="4315">
      <c r="A4315" s="1257"/>
      <c r="B4315" s="1113"/>
      <c r="C4315" s="1107"/>
      <c r="D4315" s="103"/>
      <c r="E4315" s="1137"/>
      <c r="F4315" s="112"/>
      <c r="G4315" s="1110"/>
      <c r="H4315" s="1138"/>
      <c r="I4315" s="1138"/>
      <c r="J4315" s="1139"/>
      <c r="K4315" s="1111"/>
      <c r="L4315" s="1112"/>
      <c r="M4315" s="1113"/>
      <c r="N4315" s="110"/>
      <c r="O4315" s="1140"/>
      <c r="P4315" s="1115"/>
      <c r="Q4315" s="1116"/>
      <c r="R4315" s="1141"/>
      <c r="S4315" s="1113"/>
      <c r="T4315" s="1143"/>
      <c r="U4315" s="1108"/>
      <c r="V4315" s="1108"/>
      <c r="W4315" s="1108"/>
      <c r="X4315" s="1108"/>
      <c r="Y4315" s="1108"/>
      <c r="Z4315" s="1114"/>
      <c r="AA4315" s="1114"/>
      <c r="AB4315" s="1114"/>
      <c r="AC4315" s="1117"/>
      <c r="AD4315" s="1115"/>
      <c r="AE4315" s="1115"/>
      <c r="AF4315" s="1115"/>
      <c r="AG4315" s="1115"/>
      <c r="AH4315" s="1115"/>
      <c r="AI4315" s="1115"/>
      <c r="AJ4315" s="1117"/>
      <c r="AK4315" s="1118"/>
      <c r="AL4315" s="1115"/>
      <c r="AM4315" s="1115"/>
      <c r="AN4315" s="1115"/>
      <c r="AO4315" s="1115"/>
      <c r="AP4315" s="1115"/>
      <c r="AQ4315" s="1115"/>
      <c r="AR4315" s="1115"/>
      <c r="AS4315" s="1117"/>
      <c r="AT4315" s="1075"/>
      <c r="AU4315" s="1193"/>
      <c r="AV4315" s="330"/>
      <c r="AW4315" s="331"/>
      <c r="AX4315" s="331"/>
      <c r="AY4315" s="331"/>
      <c r="AZ4315" s="331"/>
      <c r="BA4315" s="331"/>
      <c r="BB4315" s="331"/>
      <c r="BC4315" s="331"/>
      <c r="BD4315" s="331"/>
      <c r="BE4315" s="333"/>
      <c r="BF4315" s="330"/>
      <c r="BG4315" s="333"/>
      <c r="BH4315" s="1119"/>
      <c r="BI4315" s="319"/>
      <c r="BJ4315" s="319"/>
      <c r="BK4315" s="319"/>
      <c r="BL4315" s="319"/>
      <c r="BM4315" s="319"/>
      <c r="BN4315" s="319"/>
      <c r="BO4315" s="319"/>
      <c r="BP4315" s="953"/>
      <c r="BQ4315" s="319"/>
      <c r="BR4315" s="319"/>
      <c r="BS4315" s="330"/>
      <c r="BT4315" s="331"/>
      <c r="BU4315" s="920"/>
      <c r="BV4315" s="903"/>
      <c r="BW4315" s="908"/>
      <c r="BX4315" s="908"/>
      <c r="BY4315" s="331"/>
      <c r="BZ4315" s="331"/>
      <c r="CA4315" s="462"/>
      <c r="CB4315" s="319"/>
      <c r="CC4315" s="319"/>
      <c r="CD4315" s="319"/>
      <c r="CE4315" s="319"/>
      <c r="CF4315" s="319"/>
      <c r="CG4315" s="319"/>
      <c r="CH4315" s="318"/>
      <c r="CI4315" s="319"/>
      <c r="CJ4315" s="319"/>
      <c r="CK4315" s="342"/>
      <c r="CL4315" s="333"/>
      <c r="CM4315" s="1079"/>
      <c r="CN4315" s="1005"/>
      <c r="CO4315" s="1005"/>
      <c r="CP4315" s="1005"/>
    </row>
    <row r="4316">
      <c r="A4316" s="1257"/>
      <c r="B4316" s="1113"/>
      <c r="C4316" s="1107"/>
      <c r="D4316" s="103"/>
      <c r="E4316" s="1137"/>
      <c r="F4316" s="112"/>
      <c r="G4316" s="1110"/>
      <c r="H4316" s="1138"/>
      <c r="I4316" s="1138"/>
      <c r="J4316" s="1139"/>
      <c r="K4316" s="1111"/>
      <c r="L4316" s="1112"/>
      <c r="M4316" s="1113"/>
      <c r="N4316" s="110"/>
      <c r="O4316" s="1140"/>
      <c r="P4316" s="1115"/>
      <c r="Q4316" s="1116"/>
      <c r="R4316" s="1141"/>
      <c r="S4316" s="1113"/>
      <c r="T4316" s="1143"/>
      <c r="U4316" s="1108"/>
      <c r="V4316" s="1108"/>
      <c r="W4316" s="1108"/>
      <c r="X4316" s="1108"/>
      <c r="Y4316" s="1108"/>
      <c r="Z4316" s="1114"/>
      <c r="AA4316" s="1114"/>
      <c r="AB4316" s="1114"/>
      <c r="AC4316" s="1117"/>
      <c r="AD4316" s="1115"/>
      <c r="AE4316" s="1115"/>
      <c r="AF4316" s="1115"/>
      <c r="AG4316" s="1115"/>
      <c r="AH4316" s="1115"/>
      <c r="AI4316" s="1115"/>
      <c r="AJ4316" s="1117"/>
      <c r="AK4316" s="1118"/>
      <c r="AL4316" s="1115"/>
      <c r="AM4316" s="1115"/>
      <c r="AN4316" s="1115"/>
      <c r="AO4316" s="1115"/>
      <c r="AP4316" s="1115"/>
      <c r="AQ4316" s="1115"/>
      <c r="AR4316" s="1115"/>
      <c r="AS4316" s="1117"/>
      <c r="AT4316" s="1075"/>
      <c r="AU4316" s="1193"/>
      <c r="AV4316" s="330"/>
      <c r="AW4316" s="331"/>
      <c r="AX4316" s="331"/>
      <c r="AY4316" s="331"/>
      <c r="AZ4316" s="331"/>
      <c r="BA4316" s="331"/>
      <c r="BB4316" s="331"/>
      <c r="BC4316" s="331"/>
      <c r="BD4316" s="331"/>
      <c r="BE4316" s="333"/>
      <c r="BF4316" s="330"/>
      <c r="BG4316" s="333"/>
      <c r="BH4316" s="1119"/>
      <c r="BI4316" s="319"/>
      <c r="BJ4316" s="319"/>
      <c r="BK4316" s="319"/>
      <c r="BL4316" s="319"/>
      <c r="BM4316" s="319"/>
      <c r="BN4316" s="319"/>
      <c r="BO4316" s="319"/>
      <c r="BP4316" s="953"/>
      <c r="BQ4316" s="319"/>
      <c r="BR4316" s="319"/>
      <c r="BS4316" s="330"/>
      <c r="BT4316" s="331"/>
      <c r="BU4316" s="920"/>
      <c r="BV4316" s="903"/>
      <c r="BW4316" s="908"/>
      <c r="BX4316" s="908"/>
      <c r="BY4316" s="331"/>
      <c r="BZ4316" s="331"/>
      <c r="CA4316" s="462"/>
      <c r="CB4316" s="319"/>
      <c r="CC4316" s="319"/>
      <c r="CD4316" s="319"/>
      <c r="CE4316" s="319"/>
      <c r="CF4316" s="319"/>
      <c r="CG4316" s="319"/>
      <c r="CH4316" s="318"/>
      <c r="CI4316" s="319"/>
      <c r="CJ4316" s="319"/>
      <c r="CK4316" s="342"/>
      <c r="CL4316" s="333"/>
      <c r="CM4316" s="1079"/>
      <c r="CN4316" s="1005"/>
      <c r="CO4316" s="1005"/>
      <c r="CP4316" s="1005"/>
    </row>
    <row r="4317">
      <c r="A4317" s="1257"/>
      <c r="B4317" s="1113"/>
      <c r="C4317" s="1107"/>
      <c r="D4317" s="103"/>
      <c r="E4317" s="1137"/>
      <c r="F4317" s="112"/>
      <c r="G4317" s="1110"/>
      <c r="H4317" s="1138"/>
      <c r="I4317" s="1138"/>
      <c r="J4317" s="1139"/>
      <c r="K4317" s="1111"/>
      <c r="L4317" s="1112"/>
      <c r="M4317" s="1113"/>
      <c r="N4317" s="110"/>
      <c r="O4317" s="1140"/>
      <c r="P4317" s="1115"/>
      <c r="Q4317" s="1116"/>
      <c r="R4317" s="1141"/>
      <c r="S4317" s="1113"/>
      <c r="T4317" s="1143"/>
      <c r="U4317" s="1108"/>
      <c r="V4317" s="1108"/>
      <c r="W4317" s="1108"/>
      <c r="X4317" s="1108"/>
      <c r="Y4317" s="1108"/>
      <c r="Z4317" s="1114"/>
      <c r="AA4317" s="1114"/>
      <c r="AB4317" s="1114"/>
      <c r="AC4317" s="1117"/>
      <c r="AD4317" s="1115"/>
      <c r="AE4317" s="1115"/>
      <c r="AF4317" s="1115"/>
      <c r="AG4317" s="1115"/>
      <c r="AH4317" s="1115"/>
      <c r="AI4317" s="1115"/>
      <c r="AJ4317" s="1117"/>
      <c r="AK4317" s="1118"/>
      <c r="AL4317" s="1115"/>
      <c r="AM4317" s="1115"/>
      <c r="AN4317" s="1115"/>
      <c r="AO4317" s="1115"/>
      <c r="AP4317" s="1115"/>
      <c r="AQ4317" s="1115"/>
      <c r="AR4317" s="1115"/>
      <c r="AS4317" s="1117"/>
      <c r="AT4317" s="1075"/>
      <c r="AU4317" s="1193"/>
      <c r="AV4317" s="330"/>
      <c r="AW4317" s="331"/>
      <c r="AX4317" s="331"/>
      <c r="AY4317" s="331"/>
      <c r="AZ4317" s="331"/>
      <c r="BA4317" s="331"/>
      <c r="BB4317" s="331"/>
      <c r="BC4317" s="331"/>
      <c r="BD4317" s="331"/>
      <c r="BE4317" s="333"/>
      <c r="BF4317" s="330"/>
      <c r="BG4317" s="333"/>
      <c r="BH4317" s="1119"/>
      <c r="BI4317" s="319"/>
      <c r="BJ4317" s="319"/>
      <c r="BK4317" s="319"/>
      <c r="BL4317" s="319"/>
      <c r="BM4317" s="319"/>
      <c r="BN4317" s="319"/>
      <c r="BO4317" s="319"/>
      <c r="BP4317" s="953"/>
      <c r="BQ4317" s="319"/>
      <c r="BR4317" s="319"/>
      <c r="BS4317" s="330"/>
      <c r="BT4317" s="331"/>
      <c r="BU4317" s="920"/>
      <c r="BV4317" s="903"/>
      <c r="BW4317" s="908"/>
      <c r="BX4317" s="908"/>
      <c r="BY4317" s="331"/>
      <c r="BZ4317" s="331"/>
      <c r="CA4317" s="462"/>
      <c r="CB4317" s="319"/>
      <c r="CC4317" s="319"/>
      <c r="CD4317" s="319"/>
      <c r="CE4317" s="319"/>
      <c r="CF4317" s="319"/>
      <c r="CG4317" s="319"/>
      <c r="CH4317" s="318"/>
      <c r="CI4317" s="319"/>
      <c r="CJ4317" s="319"/>
      <c r="CK4317" s="342"/>
      <c r="CL4317" s="333"/>
      <c r="CM4317" s="1079"/>
      <c r="CN4317" s="1005"/>
      <c r="CO4317" s="1005"/>
      <c r="CP4317" s="1005"/>
    </row>
    <row r="4318">
      <c r="A4318" s="1257"/>
      <c r="B4318" s="1113"/>
      <c r="C4318" s="1107"/>
      <c r="D4318" s="103"/>
      <c r="E4318" s="1137"/>
      <c r="F4318" s="112"/>
      <c r="G4318" s="1110"/>
      <c r="H4318" s="1138"/>
      <c r="I4318" s="1138"/>
      <c r="J4318" s="1139"/>
      <c r="K4318" s="1111"/>
      <c r="L4318" s="1112"/>
      <c r="M4318" s="1113"/>
      <c r="N4318" s="110"/>
      <c r="O4318" s="1140"/>
      <c r="P4318" s="1115"/>
      <c r="Q4318" s="1116"/>
      <c r="R4318" s="1141"/>
      <c r="S4318" s="1113"/>
      <c r="T4318" s="1143"/>
      <c r="U4318" s="1108"/>
      <c r="V4318" s="1108"/>
      <c r="W4318" s="1108"/>
      <c r="X4318" s="1108"/>
      <c r="Y4318" s="1108"/>
      <c r="Z4318" s="1114"/>
      <c r="AA4318" s="1114"/>
      <c r="AB4318" s="1114"/>
      <c r="AC4318" s="1117"/>
      <c r="AD4318" s="1115"/>
      <c r="AE4318" s="1115"/>
      <c r="AF4318" s="1115"/>
      <c r="AG4318" s="1115"/>
      <c r="AH4318" s="1115"/>
      <c r="AI4318" s="1115"/>
      <c r="AJ4318" s="1117"/>
      <c r="AK4318" s="1118"/>
      <c r="AL4318" s="1115"/>
      <c r="AM4318" s="1115"/>
      <c r="AN4318" s="1115"/>
      <c r="AO4318" s="1115"/>
      <c r="AP4318" s="1115"/>
      <c r="AQ4318" s="1115"/>
      <c r="AR4318" s="1115"/>
      <c r="AS4318" s="1117"/>
      <c r="AT4318" s="1075"/>
      <c r="AU4318" s="1193"/>
      <c r="AV4318" s="330"/>
      <c r="AW4318" s="331"/>
      <c r="AX4318" s="331"/>
      <c r="AY4318" s="331"/>
      <c r="AZ4318" s="331"/>
      <c r="BA4318" s="331"/>
      <c r="BB4318" s="331"/>
      <c r="BC4318" s="331"/>
      <c r="BD4318" s="331"/>
      <c r="BE4318" s="333"/>
      <c r="BF4318" s="330"/>
      <c r="BG4318" s="333"/>
      <c r="BH4318" s="1119"/>
      <c r="BI4318" s="319"/>
      <c r="BJ4318" s="319"/>
      <c r="BK4318" s="319"/>
      <c r="BL4318" s="319"/>
      <c r="BM4318" s="319"/>
      <c r="BN4318" s="319"/>
      <c r="BO4318" s="319"/>
      <c r="BP4318" s="953"/>
      <c r="BQ4318" s="319"/>
      <c r="BR4318" s="319"/>
      <c r="BS4318" s="330"/>
      <c r="BT4318" s="331"/>
      <c r="BU4318" s="920"/>
      <c r="BV4318" s="903"/>
      <c r="BW4318" s="908"/>
      <c r="BX4318" s="908"/>
      <c r="BY4318" s="331"/>
      <c r="BZ4318" s="331"/>
      <c r="CA4318" s="462"/>
      <c r="CB4318" s="319"/>
      <c r="CC4318" s="319"/>
      <c r="CD4318" s="319"/>
      <c r="CE4318" s="319"/>
      <c r="CF4318" s="319"/>
      <c r="CG4318" s="319"/>
      <c r="CH4318" s="318"/>
      <c r="CI4318" s="319"/>
      <c r="CJ4318" s="319"/>
      <c r="CK4318" s="342"/>
      <c r="CL4318" s="333"/>
      <c r="CM4318" s="1079"/>
      <c r="CN4318" s="1005"/>
      <c r="CO4318" s="1005"/>
      <c r="CP4318" s="1005"/>
    </row>
    <row r="4319">
      <c r="A4319" s="1257"/>
      <c r="B4319" s="1113"/>
      <c r="C4319" s="1107"/>
      <c r="D4319" s="103"/>
      <c r="E4319" s="1137"/>
      <c r="F4319" s="112"/>
      <c r="G4319" s="1110"/>
      <c r="H4319" s="1138"/>
      <c r="I4319" s="1138"/>
      <c r="J4319" s="1139"/>
      <c r="K4319" s="1111"/>
      <c r="L4319" s="1112"/>
      <c r="M4319" s="1113"/>
      <c r="N4319" s="110"/>
      <c r="O4319" s="1140"/>
      <c r="P4319" s="1115"/>
      <c r="Q4319" s="1116"/>
      <c r="R4319" s="1141"/>
      <c r="S4319" s="1113"/>
      <c r="T4319" s="1143"/>
      <c r="U4319" s="1108"/>
      <c r="V4319" s="1108"/>
      <c r="W4319" s="1108"/>
      <c r="X4319" s="1108"/>
      <c r="Y4319" s="1108"/>
      <c r="Z4319" s="1114"/>
      <c r="AA4319" s="1114"/>
      <c r="AB4319" s="1114"/>
      <c r="AC4319" s="1117"/>
      <c r="AD4319" s="1115"/>
      <c r="AE4319" s="1115"/>
      <c r="AF4319" s="1115"/>
      <c r="AG4319" s="1115"/>
      <c r="AH4319" s="1115"/>
      <c r="AI4319" s="1115"/>
      <c r="AJ4319" s="1117"/>
      <c r="AK4319" s="1118"/>
      <c r="AL4319" s="1115"/>
      <c r="AM4319" s="1115"/>
      <c r="AN4319" s="1115"/>
      <c r="AO4319" s="1115"/>
      <c r="AP4319" s="1115"/>
      <c r="AQ4319" s="1115"/>
      <c r="AR4319" s="1115"/>
      <c r="AS4319" s="1117"/>
      <c r="AT4319" s="1075"/>
      <c r="AU4319" s="1193"/>
      <c r="AV4319" s="330"/>
      <c r="AW4319" s="331"/>
      <c r="AX4319" s="331"/>
      <c r="AY4319" s="331"/>
      <c r="AZ4319" s="331"/>
      <c r="BA4319" s="331"/>
      <c r="BB4319" s="331"/>
      <c r="BC4319" s="331"/>
      <c r="BD4319" s="331"/>
      <c r="BE4319" s="333"/>
      <c r="BF4319" s="330"/>
      <c r="BG4319" s="333"/>
      <c r="BH4319" s="1119"/>
      <c r="BI4319" s="319"/>
      <c r="BJ4319" s="319"/>
      <c r="BK4319" s="319"/>
      <c r="BL4319" s="319"/>
      <c r="BM4319" s="319"/>
      <c r="BN4319" s="319"/>
      <c r="BO4319" s="319"/>
      <c r="BP4319" s="953"/>
      <c r="BQ4319" s="319"/>
      <c r="BR4319" s="319"/>
      <c r="BS4319" s="330"/>
      <c r="BT4319" s="331"/>
      <c r="BU4319" s="920"/>
      <c r="BV4319" s="903"/>
      <c r="BW4319" s="908"/>
      <c r="BX4319" s="908"/>
      <c r="BY4319" s="331"/>
      <c r="BZ4319" s="331"/>
      <c r="CA4319" s="462"/>
      <c r="CB4319" s="319"/>
      <c r="CC4319" s="319"/>
      <c r="CD4319" s="319"/>
      <c r="CE4319" s="319"/>
      <c r="CF4319" s="319"/>
      <c r="CG4319" s="319"/>
      <c r="CH4319" s="318"/>
      <c r="CI4319" s="319"/>
      <c r="CJ4319" s="319"/>
      <c r="CK4319" s="342"/>
      <c r="CL4319" s="333"/>
      <c r="CM4319" s="1079"/>
      <c r="CN4319" s="1005"/>
      <c r="CO4319" s="1005"/>
      <c r="CP4319" s="1005"/>
    </row>
    <row r="4320">
      <c r="A4320" s="1257"/>
      <c r="B4320" s="1113"/>
      <c r="C4320" s="1107"/>
      <c r="D4320" s="103"/>
      <c r="E4320" s="1137"/>
      <c r="F4320" s="112"/>
      <c r="G4320" s="1110"/>
      <c r="H4320" s="1138"/>
      <c r="I4320" s="1138"/>
      <c r="J4320" s="1139"/>
      <c r="K4320" s="1111"/>
      <c r="L4320" s="1112"/>
      <c r="M4320" s="1113"/>
      <c r="N4320" s="110"/>
      <c r="O4320" s="1140"/>
      <c r="P4320" s="1115"/>
      <c r="Q4320" s="1116"/>
      <c r="R4320" s="1141"/>
      <c r="S4320" s="1113"/>
      <c r="T4320" s="1143"/>
      <c r="U4320" s="1108"/>
      <c r="V4320" s="1108"/>
      <c r="W4320" s="1108"/>
      <c r="X4320" s="1108"/>
      <c r="Y4320" s="1108"/>
      <c r="Z4320" s="1114"/>
      <c r="AA4320" s="1114"/>
      <c r="AB4320" s="1114"/>
      <c r="AC4320" s="1117"/>
      <c r="AD4320" s="1115"/>
      <c r="AE4320" s="1115"/>
      <c r="AF4320" s="1115"/>
      <c r="AG4320" s="1115"/>
      <c r="AH4320" s="1115"/>
      <c r="AI4320" s="1115"/>
      <c r="AJ4320" s="1117"/>
      <c r="AK4320" s="1118"/>
      <c r="AL4320" s="1115"/>
      <c r="AM4320" s="1115"/>
      <c r="AN4320" s="1115"/>
      <c r="AO4320" s="1115"/>
      <c r="AP4320" s="1115"/>
      <c r="AQ4320" s="1115"/>
      <c r="AR4320" s="1115"/>
      <c r="AS4320" s="1117"/>
      <c r="AT4320" s="1075"/>
      <c r="AU4320" s="1193"/>
      <c r="AV4320" s="330"/>
      <c r="AW4320" s="331"/>
      <c r="AX4320" s="331"/>
      <c r="AY4320" s="331"/>
      <c r="AZ4320" s="331"/>
      <c r="BA4320" s="331"/>
      <c r="BB4320" s="331"/>
      <c r="BC4320" s="331"/>
      <c r="BD4320" s="331"/>
      <c r="BE4320" s="333"/>
      <c r="BF4320" s="330"/>
      <c r="BG4320" s="333"/>
      <c r="BH4320" s="1119"/>
      <c r="BI4320" s="319"/>
      <c r="BJ4320" s="319"/>
      <c r="BK4320" s="319"/>
      <c r="BL4320" s="319"/>
      <c r="BM4320" s="319"/>
      <c r="BN4320" s="319"/>
      <c r="BO4320" s="319"/>
      <c r="BP4320" s="953"/>
      <c r="BQ4320" s="319"/>
      <c r="BR4320" s="319"/>
      <c r="BS4320" s="330"/>
      <c r="BT4320" s="331"/>
      <c r="BU4320" s="920"/>
      <c r="BV4320" s="903"/>
      <c r="BW4320" s="908"/>
      <c r="BX4320" s="908"/>
      <c r="BY4320" s="331"/>
      <c r="BZ4320" s="331"/>
      <c r="CA4320" s="462"/>
      <c r="CB4320" s="319"/>
      <c r="CC4320" s="319"/>
      <c r="CD4320" s="319"/>
      <c r="CE4320" s="319"/>
      <c r="CF4320" s="319"/>
      <c r="CG4320" s="319"/>
      <c r="CH4320" s="318"/>
      <c r="CI4320" s="319"/>
      <c r="CJ4320" s="319"/>
      <c r="CK4320" s="342"/>
      <c r="CL4320" s="333"/>
      <c r="CM4320" s="1079"/>
      <c r="CN4320" s="1005"/>
      <c r="CO4320" s="1005"/>
      <c r="CP4320" s="1005"/>
    </row>
    <row r="4321">
      <c r="A4321" s="1257"/>
      <c r="B4321" s="1113"/>
      <c r="C4321" s="1107"/>
      <c r="D4321" s="103"/>
      <c r="E4321" s="1137"/>
      <c r="F4321" s="112"/>
      <c r="G4321" s="1110"/>
      <c r="H4321" s="1138"/>
      <c r="I4321" s="1138"/>
      <c r="J4321" s="1139"/>
      <c r="K4321" s="1111"/>
      <c r="L4321" s="1112"/>
      <c r="M4321" s="1113"/>
      <c r="N4321" s="110"/>
      <c r="O4321" s="1140"/>
      <c r="P4321" s="1115"/>
      <c r="Q4321" s="1116"/>
      <c r="R4321" s="1141"/>
      <c r="S4321" s="1113"/>
      <c r="T4321" s="1143"/>
      <c r="U4321" s="1108"/>
      <c r="V4321" s="1108"/>
      <c r="W4321" s="1108"/>
      <c r="X4321" s="1108"/>
      <c r="Y4321" s="1108"/>
      <c r="Z4321" s="1114"/>
      <c r="AA4321" s="1114"/>
      <c r="AB4321" s="1114"/>
      <c r="AC4321" s="1117"/>
      <c r="AD4321" s="1115"/>
      <c r="AE4321" s="1115"/>
      <c r="AF4321" s="1115"/>
      <c r="AG4321" s="1115"/>
      <c r="AH4321" s="1115"/>
      <c r="AI4321" s="1115"/>
      <c r="AJ4321" s="1117"/>
      <c r="AK4321" s="1118"/>
      <c r="AL4321" s="1115"/>
      <c r="AM4321" s="1115"/>
      <c r="AN4321" s="1115"/>
      <c r="AO4321" s="1115"/>
      <c r="AP4321" s="1115"/>
      <c r="AQ4321" s="1115"/>
      <c r="AR4321" s="1115"/>
      <c r="AS4321" s="1117"/>
      <c r="AT4321" s="1075"/>
      <c r="AU4321" s="1193"/>
      <c r="AV4321" s="330"/>
      <c r="AW4321" s="331"/>
      <c r="AX4321" s="331"/>
      <c r="AY4321" s="331"/>
      <c r="AZ4321" s="331"/>
      <c r="BA4321" s="331"/>
      <c r="BB4321" s="331"/>
      <c r="BC4321" s="331"/>
      <c r="BD4321" s="331"/>
      <c r="BE4321" s="333"/>
      <c r="BF4321" s="330"/>
      <c r="BG4321" s="333"/>
      <c r="BH4321" s="1119"/>
      <c r="BI4321" s="319"/>
      <c r="BJ4321" s="319"/>
      <c r="BK4321" s="319"/>
      <c r="BL4321" s="319"/>
      <c r="BM4321" s="319"/>
      <c r="BN4321" s="319"/>
      <c r="BO4321" s="319"/>
      <c r="BP4321" s="953"/>
      <c r="BQ4321" s="319"/>
      <c r="BR4321" s="319"/>
      <c r="BS4321" s="330"/>
      <c r="BT4321" s="331"/>
      <c r="BU4321" s="920"/>
      <c r="BV4321" s="903"/>
      <c r="BW4321" s="908"/>
      <c r="BX4321" s="908"/>
      <c r="BY4321" s="331"/>
      <c r="BZ4321" s="331"/>
      <c r="CA4321" s="462"/>
      <c r="CB4321" s="319"/>
      <c r="CC4321" s="319"/>
      <c r="CD4321" s="319"/>
      <c r="CE4321" s="319"/>
      <c r="CF4321" s="319"/>
      <c r="CG4321" s="319"/>
      <c r="CH4321" s="318"/>
      <c r="CI4321" s="319"/>
      <c r="CJ4321" s="319"/>
      <c r="CK4321" s="342"/>
      <c r="CL4321" s="333"/>
      <c r="CM4321" s="1079"/>
      <c r="CN4321" s="1005"/>
      <c r="CO4321" s="1005"/>
      <c r="CP4321" s="1005"/>
    </row>
    <row r="4322">
      <c r="A4322" s="1257"/>
      <c r="B4322" s="1113"/>
      <c r="C4322" s="1107"/>
      <c r="D4322" s="103"/>
      <c r="E4322" s="1137"/>
      <c r="F4322" s="112"/>
      <c r="G4322" s="1110"/>
      <c r="H4322" s="1138"/>
      <c r="I4322" s="1138"/>
      <c r="J4322" s="1139"/>
      <c r="K4322" s="1111"/>
      <c r="L4322" s="1112"/>
      <c r="M4322" s="1113"/>
      <c r="N4322" s="110"/>
      <c r="O4322" s="1140"/>
      <c r="P4322" s="1115"/>
      <c r="Q4322" s="1116"/>
      <c r="R4322" s="1141"/>
      <c r="S4322" s="1113"/>
      <c r="T4322" s="1143"/>
      <c r="U4322" s="1108"/>
      <c r="V4322" s="1108"/>
      <c r="W4322" s="1108"/>
      <c r="X4322" s="1108"/>
      <c r="Y4322" s="1108"/>
      <c r="Z4322" s="1114"/>
      <c r="AA4322" s="1114"/>
      <c r="AB4322" s="1114"/>
      <c r="AC4322" s="1117"/>
      <c r="AD4322" s="1115"/>
      <c r="AE4322" s="1115"/>
      <c r="AF4322" s="1115"/>
      <c r="AG4322" s="1115"/>
      <c r="AH4322" s="1115"/>
      <c r="AI4322" s="1115"/>
      <c r="AJ4322" s="1117"/>
      <c r="AK4322" s="1118"/>
      <c r="AL4322" s="1115"/>
      <c r="AM4322" s="1115"/>
      <c r="AN4322" s="1115"/>
      <c r="AO4322" s="1115"/>
      <c r="AP4322" s="1115"/>
      <c r="AQ4322" s="1115"/>
      <c r="AR4322" s="1115"/>
      <c r="AS4322" s="1117"/>
      <c r="AT4322" s="1075"/>
      <c r="AU4322" s="1193"/>
      <c r="AV4322" s="330"/>
      <c r="AW4322" s="331"/>
      <c r="AX4322" s="331"/>
      <c r="AY4322" s="331"/>
      <c r="AZ4322" s="331"/>
      <c r="BA4322" s="331"/>
      <c r="BB4322" s="331"/>
      <c r="BC4322" s="331"/>
      <c r="BD4322" s="331"/>
      <c r="BE4322" s="333"/>
      <c r="BF4322" s="330"/>
      <c r="BG4322" s="333"/>
      <c r="BH4322" s="1119"/>
      <c r="BI4322" s="319"/>
      <c r="BJ4322" s="319"/>
      <c r="BK4322" s="319"/>
      <c r="BL4322" s="319"/>
      <c r="BM4322" s="319"/>
      <c r="BN4322" s="319"/>
      <c r="BO4322" s="319"/>
      <c r="BP4322" s="953"/>
      <c r="BQ4322" s="319"/>
      <c r="BR4322" s="319"/>
      <c r="BS4322" s="330"/>
      <c r="BT4322" s="331"/>
      <c r="BU4322" s="920"/>
      <c r="BV4322" s="903"/>
      <c r="BW4322" s="908"/>
      <c r="BX4322" s="908"/>
      <c r="BY4322" s="331"/>
      <c r="BZ4322" s="331"/>
      <c r="CA4322" s="462"/>
      <c r="CB4322" s="319"/>
      <c r="CC4322" s="319"/>
      <c r="CD4322" s="319"/>
      <c r="CE4322" s="319"/>
      <c r="CF4322" s="319"/>
      <c r="CG4322" s="319"/>
      <c r="CH4322" s="318"/>
      <c r="CI4322" s="319"/>
      <c r="CJ4322" s="319"/>
      <c r="CK4322" s="342"/>
      <c r="CL4322" s="333"/>
      <c r="CM4322" s="1079"/>
      <c r="CN4322" s="1005"/>
      <c r="CO4322" s="1005"/>
      <c r="CP4322" s="1005"/>
    </row>
    <row r="4323">
      <c r="A4323" s="1257"/>
      <c r="B4323" s="1113"/>
      <c r="C4323" s="1107"/>
      <c r="D4323" s="103"/>
      <c r="E4323" s="1137"/>
      <c r="F4323" s="112"/>
      <c r="G4323" s="1110"/>
      <c r="H4323" s="1138"/>
      <c r="I4323" s="1138"/>
      <c r="J4323" s="1139"/>
      <c r="K4323" s="1111"/>
      <c r="L4323" s="1112"/>
      <c r="M4323" s="1113"/>
      <c r="N4323" s="110"/>
      <c r="O4323" s="1140"/>
      <c r="P4323" s="1115"/>
      <c r="Q4323" s="1116"/>
      <c r="R4323" s="1141"/>
      <c r="S4323" s="1113"/>
      <c r="T4323" s="1143"/>
      <c r="U4323" s="1108"/>
      <c r="V4323" s="1108"/>
      <c r="W4323" s="1108"/>
      <c r="X4323" s="1108"/>
      <c r="Y4323" s="1108"/>
      <c r="Z4323" s="1114"/>
      <c r="AA4323" s="1114"/>
      <c r="AB4323" s="1114"/>
      <c r="AC4323" s="1117"/>
      <c r="AD4323" s="1115"/>
      <c r="AE4323" s="1115"/>
      <c r="AF4323" s="1115"/>
      <c r="AG4323" s="1115"/>
      <c r="AH4323" s="1115"/>
      <c r="AI4323" s="1115"/>
      <c r="AJ4323" s="1117"/>
      <c r="AK4323" s="1118"/>
      <c r="AL4323" s="1115"/>
      <c r="AM4323" s="1115"/>
      <c r="AN4323" s="1115"/>
      <c r="AO4323" s="1115"/>
      <c r="AP4323" s="1115"/>
      <c r="AQ4323" s="1115"/>
      <c r="AR4323" s="1115"/>
      <c r="AS4323" s="1117"/>
      <c r="AT4323" s="1075"/>
      <c r="AU4323" s="1193"/>
      <c r="AV4323" s="330"/>
      <c r="AW4323" s="331"/>
      <c r="AX4323" s="331"/>
      <c r="AY4323" s="331"/>
      <c r="AZ4323" s="331"/>
      <c r="BA4323" s="331"/>
      <c r="BB4323" s="331"/>
      <c r="BC4323" s="331"/>
      <c r="BD4323" s="331"/>
      <c r="BE4323" s="333"/>
      <c r="BF4323" s="330"/>
      <c r="BG4323" s="333"/>
      <c r="BH4323" s="1119"/>
      <c r="BI4323" s="319"/>
      <c r="BJ4323" s="319"/>
      <c r="BK4323" s="319"/>
      <c r="BL4323" s="319"/>
      <c r="BM4323" s="319"/>
      <c r="BN4323" s="319"/>
      <c r="BO4323" s="319"/>
      <c r="BP4323" s="953"/>
      <c r="BQ4323" s="319"/>
      <c r="BR4323" s="319"/>
      <c r="BS4323" s="330"/>
      <c r="BT4323" s="331"/>
      <c r="BU4323" s="920"/>
      <c r="BV4323" s="903"/>
      <c r="BW4323" s="908"/>
      <c r="BX4323" s="908"/>
      <c r="BY4323" s="331"/>
      <c r="BZ4323" s="331"/>
      <c r="CA4323" s="462"/>
      <c r="CB4323" s="319"/>
      <c r="CC4323" s="319"/>
      <c r="CD4323" s="319"/>
      <c r="CE4323" s="319"/>
      <c r="CF4323" s="319"/>
      <c r="CG4323" s="319"/>
      <c r="CH4323" s="318"/>
      <c r="CI4323" s="319"/>
      <c r="CJ4323" s="319"/>
      <c r="CK4323" s="342"/>
      <c r="CL4323" s="333"/>
      <c r="CM4323" s="1079"/>
      <c r="CN4323" s="1005"/>
      <c r="CO4323" s="1005"/>
      <c r="CP4323" s="1005"/>
    </row>
    <row r="4324">
      <c r="A4324" s="1257"/>
      <c r="B4324" s="1113"/>
      <c r="C4324" s="1107"/>
      <c r="D4324" s="103"/>
      <c r="E4324" s="1137"/>
      <c r="F4324" s="112"/>
      <c r="G4324" s="1110"/>
      <c r="H4324" s="1138"/>
      <c r="I4324" s="1138"/>
      <c r="J4324" s="1139"/>
      <c r="K4324" s="1111"/>
      <c r="L4324" s="1112"/>
      <c r="M4324" s="1113"/>
      <c r="N4324" s="110"/>
      <c r="O4324" s="1140"/>
      <c r="P4324" s="1115"/>
      <c r="Q4324" s="1116"/>
      <c r="R4324" s="1141"/>
      <c r="S4324" s="1113"/>
      <c r="T4324" s="1143"/>
      <c r="U4324" s="1108"/>
      <c r="V4324" s="1108"/>
      <c r="W4324" s="1108"/>
      <c r="X4324" s="1108"/>
      <c r="Y4324" s="1108"/>
      <c r="Z4324" s="1114"/>
      <c r="AA4324" s="1114"/>
      <c r="AB4324" s="1114"/>
      <c r="AC4324" s="1117"/>
      <c r="AD4324" s="1115"/>
      <c r="AE4324" s="1115"/>
      <c r="AF4324" s="1115"/>
      <c r="AG4324" s="1115"/>
      <c r="AH4324" s="1115"/>
      <c r="AI4324" s="1115"/>
      <c r="AJ4324" s="1117"/>
      <c r="AK4324" s="1118"/>
      <c r="AL4324" s="1115"/>
      <c r="AM4324" s="1115"/>
      <c r="AN4324" s="1115"/>
      <c r="AO4324" s="1115"/>
      <c r="AP4324" s="1115"/>
      <c r="AQ4324" s="1115"/>
      <c r="AR4324" s="1115"/>
      <c r="AS4324" s="1117"/>
      <c r="AT4324" s="1075"/>
      <c r="AU4324" s="1193"/>
      <c r="AV4324" s="330"/>
      <c r="AW4324" s="331"/>
      <c r="AX4324" s="331"/>
      <c r="AY4324" s="331"/>
      <c r="AZ4324" s="331"/>
      <c r="BA4324" s="331"/>
      <c r="BB4324" s="331"/>
      <c r="BC4324" s="331"/>
      <c r="BD4324" s="331"/>
      <c r="BE4324" s="333"/>
      <c r="BF4324" s="330"/>
      <c r="BG4324" s="333"/>
      <c r="BH4324" s="1119"/>
      <c r="BI4324" s="319"/>
      <c r="BJ4324" s="319"/>
      <c r="BK4324" s="319"/>
      <c r="BL4324" s="319"/>
      <c r="BM4324" s="319"/>
      <c r="BN4324" s="319"/>
      <c r="BO4324" s="319"/>
      <c r="BP4324" s="953"/>
      <c r="BQ4324" s="319"/>
      <c r="BR4324" s="319"/>
      <c r="BS4324" s="330"/>
      <c r="BT4324" s="331"/>
      <c r="BU4324" s="920"/>
      <c r="BV4324" s="903"/>
      <c r="BW4324" s="908"/>
      <c r="BX4324" s="908"/>
      <c r="BY4324" s="331"/>
      <c r="BZ4324" s="331"/>
      <c r="CA4324" s="462"/>
      <c r="CB4324" s="319"/>
      <c r="CC4324" s="319"/>
      <c r="CD4324" s="319"/>
      <c r="CE4324" s="319"/>
      <c r="CF4324" s="319"/>
      <c r="CG4324" s="319"/>
      <c r="CH4324" s="318"/>
      <c r="CI4324" s="319"/>
      <c r="CJ4324" s="319"/>
      <c r="CK4324" s="342"/>
      <c r="CL4324" s="333"/>
      <c r="CM4324" s="1079"/>
      <c r="CN4324" s="1005"/>
      <c r="CO4324" s="1005"/>
      <c r="CP4324" s="1005"/>
    </row>
    <row r="4325">
      <c r="A4325" s="1257"/>
      <c r="B4325" s="1113"/>
      <c r="C4325" s="1107"/>
      <c r="D4325" s="103"/>
      <c r="E4325" s="1137"/>
      <c r="F4325" s="112"/>
      <c r="G4325" s="1110"/>
      <c r="H4325" s="1138"/>
      <c r="I4325" s="1138"/>
      <c r="J4325" s="1139"/>
      <c r="K4325" s="1111"/>
      <c r="L4325" s="1112"/>
      <c r="M4325" s="1113"/>
      <c r="N4325" s="110"/>
      <c r="O4325" s="1140"/>
      <c r="P4325" s="1115"/>
      <c r="Q4325" s="1116"/>
      <c r="R4325" s="1141"/>
      <c r="S4325" s="1113"/>
      <c r="T4325" s="1143"/>
      <c r="U4325" s="1108"/>
      <c r="V4325" s="1108"/>
      <c r="W4325" s="1108"/>
      <c r="X4325" s="1108"/>
      <c r="Y4325" s="1108"/>
      <c r="Z4325" s="1114"/>
      <c r="AA4325" s="1114"/>
      <c r="AB4325" s="1114"/>
      <c r="AC4325" s="1117"/>
      <c r="AD4325" s="1115"/>
      <c r="AE4325" s="1115"/>
      <c r="AF4325" s="1115"/>
      <c r="AG4325" s="1115"/>
      <c r="AH4325" s="1115"/>
      <c r="AI4325" s="1115"/>
      <c r="AJ4325" s="1117"/>
      <c r="AK4325" s="1118"/>
      <c r="AL4325" s="1115"/>
      <c r="AM4325" s="1115"/>
      <c r="AN4325" s="1115"/>
      <c r="AO4325" s="1115"/>
      <c r="AP4325" s="1115"/>
      <c r="AQ4325" s="1115"/>
      <c r="AR4325" s="1115"/>
      <c r="AS4325" s="1117"/>
      <c r="AT4325" s="1075"/>
      <c r="AU4325" s="1193"/>
      <c r="AV4325" s="330"/>
      <c r="AW4325" s="331"/>
      <c r="AX4325" s="331"/>
      <c r="AY4325" s="331"/>
      <c r="AZ4325" s="331"/>
      <c r="BA4325" s="331"/>
      <c r="BB4325" s="331"/>
      <c r="BC4325" s="331"/>
      <c r="BD4325" s="331"/>
      <c r="BE4325" s="333"/>
      <c r="BF4325" s="330"/>
      <c r="BG4325" s="333"/>
      <c r="BH4325" s="1119"/>
      <c r="BI4325" s="319"/>
      <c r="BJ4325" s="319"/>
      <c r="BK4325" s="319"/>
      <c r="BL4325" s="319"/>
      <c r="BM4325" s="319"/>
      <c r="BN4325" s="319"/>
      <c r="BO4325" s="319"/>
      <c r="BP4325" s="953"/>
      <c r="BQ4325" s="319"/>
      <c r="BR4325" s="319"/>
      <c r="BS4325" s="330"/>
      <c r="BT4325" s="331"/>
      <c r="BU4325" s="920"/>
      <c r="BV4325" s="903"/>
      <c r="BW4325" s="908"/>
      <c r="BX4325" s="908"/>
      <c r="BY4325" s="331"/>
      <c r="BZ4325" s="331"/>
      <c r="CA4325" s="462"/>
      <c r="CB4325" s="319"/>
      <c r="CC4325" s="319"/>
      <c r="CD4325" s="319"/>
      <c r="CE4325" s="319"/>
      <c r="CF4325" s="319"/>
      <c r="CG4325" s="319"/>
      <c r="CH4325" s="318"/>
      <c r="CI4325" s="319"/>
      <c r="CJ4325" s="319"/>
      <c r="CK4325" s="342"/>
      <c r="CL4325" s="333"/>
      <c r="CM4325" s="1079"/>
      <c r="CN4325" s="1005"/>
      <c r="CO4325" s="1005"/>
      <c r="CP4325" s="1005"/>
    </row>
    <row r="4326">
      <c r="A4326" s="1257"/>
      <c r="B4326" s="1113"/>
      <c r="C4326" s="1107"/>
      <c r="D4326" s="103"/>
      <c r="E4326" s="1137"/>
      <c r="F4326" s="112"/>
      <c r="G4326" s="1110"/>
      <c r="H4326" s="1138"/>
      <c r="I4326" s="1138"/>
      <c r="J4326" s="1139"/>
      <c r="K4326" s="1111"/>
      <c r="L4326" s="1112"/>
      <c r="M4326" s="1113"/>
      <c r="N4326" s="110"/>
      <c r="O4326" s="1140"/>
      <c r="P4326" s="1115"/>
      <c r="Q4326" s="1116"/>
      <c r="R4326" s="1141"/>
      <c r="S4326" s="1113"/>
      <c r="T4326" s="1143"/>
      <c r="U4326" s="1108"/>
      <c r="V4326" s="1108"/>
      <c r="W4326" s="1108"/>
      <c r="X4326" s="1108"/>
      <c r="Y4326" s="1108"/>
      <c r="Z4326" s="1114"/>
      <c r="AA4326" s="1114"/>
      <c r="AB4326" s="1114"/>
      <c r="AC4326" s="1117"/>
      <c r="AD4326" s="1115"/>
      <c r="AE4326" s="1115"/>
      <c r="AF4326" s="1115"/>
      <c r="AG4326" s="1115"/>
      <c r="AH4326" s="1115"/>
      <c r="AI4326" s="1115"/>
      <c r="AJ4326" s="1117"/>
      <c r="AK4326" s="1118"/>
      <c r="AL4326" s="1115"/>
      <c r="AM4326" s="1115"/>
      <c r="AN4326" s="1115"/>
      <c r="AO4326" s="1115"/>
      <c r="AP4326" s="1115"/>
      <c r="AQ4326" s="1115"/>
      <c r="AR4326" s="1115"/>
      <c r="AS4326" s="1117"/>
      <c r="AT4326" s="1075"/>
      <c r="AU4326" s="1193"/>
      <c r="AV4326" s="330"/>
      <c r="AW4326" s="331"/>
      <c r="AX4326" s="331"/>
      <c r="AY4326" s="331"/>
      <c r="AZ4326" s="331"/>
      <c r="BA4326" s="331"/>
      <c r="BB4326" s="331"/>
      <c r="BC4326" s="331"/>
      <c r="BD4326" s="331"/>
      <c r="BE4326" s="333"/>
      <c r="BF4326" s="330"/>
      <c r="BG4326" s="333"/>
      <c r="BH4326" s="1119"/>
      <c r="BI4326" s="319"/>
      <c r="BJ4326" s="319"/>
      <c r="BK4326" s="319"/>
      <c r="BL4326" s="319"/>
      <c r="BM4326" s="319"/>
      <c r="BN4326" s="319"/>
      <c r="BO4326" s="319"/>
      <c r="BP4326" s="953"/>
      <c r="BQ4326" s="319"/>
      <c r="BR4326" s="319"/>
      <c r="BS4326" s="330"/>
      <c r="BT4326" s="331"/>
      <c r="BU4326" s="920"/>
      <c r="BV4326" s="903"/>
      <c r="BW4326" s="908"/>
      <c r="BX4326" s="908"/>
      <c r="BY4326" s="331"/>
      <c r="BZ4326" s="331"/>
      <c r="CA4326" s="462"/>
      <c r="CB4326" s="319"/>
      <c r="CC4326" s="319"/>
      <c r="CD4326" s="319"/>
      <c r="CE4326" s="319"/>
      <c r="CF4326" s="319"/>
      <c r="CG4326" s="319"/>
      <c r="CH4326" s="318"/>
      <c r="CI4326" s="319"/>
      <c r="CJ4326" s="319"/>
      <c r="CK4326" s="342"/>
      <c r="CL4326" s="333"/>
      <c r="CM4326" s="1079"/>
      <c r="CN4326" s="1005"/>
      <c r="CO4326" s="1005"/>
      <c r="CP4326" s="1005"/>
    </row>
    <row r="4327">
      <c r="A4327" s="1257"/>
      <c r="B4327" s="1113"/>
      <c r="C4327" s="1107"/>
      <c r="D4327" s="103"/>
      <c r="E4327" s="1137"/>
      <c r="F4327" s="112"/>
      <c r="G4327" s="1110"/>
      <c r="H4327" s="1138"/>
      <c r="I4327" s="1138"/>
      <c r="J4327" s="1139"/>
      <c r="K4327" s="1111"/>
      <c r="L4327" s="1112"/>
      <c r="M4327" s="1113"/>
      <c r="N4327" s="110"/>
      <c r="O4327" s="1140"/>
      <c r="P4327" s="1115"/>
      <c r="Q4327" s="1116"/>
      <c r="R4327" s="1141"/>
      <c r="S4327" s="1113"/>
      <c r="T4327" s="1143"/>
      <c r="U4327" s="1108"/>
      <c r="V4327" s="1108"/>
      <c r="W4327" s="1108"/>
      <c r="X4327" s="1108"/>
      <c r="Y4327" s="1108"/>
      <c r="Z4327" s="1114"/>
      <c r="AA4327" s="1114"/>
      <c r="AB4327" s="1114"/>
      <c r="AC4327" s="1117"/>
      <c r="AD4327" s="1115"/>
      <c r="AE4327" s="1115"/>
      <c r="AF4327" s="1115"/>
      <c r="AG4327" s="1115"/>
      <c r="AH4327" s="1115"/>
      <c r="AI4327" s="1115"/>
      <c r="AJ4327" s="1117"/>
      <c r="AK4327" s="1118"/>
      <c r="AL4327" s="1115"/>
      <c r="AM4327" s="1115"/>
      <c r="AN4327" s="1115"/>
      <c r="AO4327" s="1115"/>
      <c r="AP4327" s="1115"/>
      <c r="AQ4327" s="1115"/>
      <c r="AR4327" s="1115"/>
      <c r="AS4327" s="1117"/>
      <c r="AT4327" s="1075"/>
      <c r="AU4327" s="1193"/>
      <c r="AV4327" s="330"/>
      <c r="AW4327" s="331"/>
      <c r="AX4327" s="331"/>
      <c r="AY4327" s="331"/>
      <c r="AZ4327" s="331"/>
      <c r="BA4327" s="331"/>
      <c r="BB4327" s="331"/>
      <c r="BC4327" s="331"/>
      <c r="BD4327" s="331"/>
      <c r="BE4327" s="333"/>
      <c r="BF4327" s="330"/>
      <c r="BG4327" s="333"/>
      <c r="BH4327" s="1119"/>
      <c r="BI4327" s="319"/>
      <c r="BJ4327" s="319"/>
      <c r="BK4327" s="319"/>
      <c r="BL4327" s="319"/>
      <c r="BM4327" s="319"/>
      <c r="BN4327" s="319"/>
      <c r="BO4327" s="319"/>
      <c r="BP4327" s="953"/>
      <c r="BQ4327" s="319"/>
      <c r="BR4327" s="319"/>
      <c r="BS4327" s="330"/>
      <c r="BT4327" s="331"/>
      <c r="BU4327" s="920"/>
      <c r="BV4327" s="903"/>
      <c r="BW4327" s="908"/>
      <c r="BX4327" s="908"/>
      <c r="BY4327" s="331"/>
      <c r="BZ4327" s="331"/>
      <c r="CA4327" s="462"/>
      <c r="CB4327" s="319"/>
      <c r="CC4327" s="319"/>
      <c r="CD4327" s="319"/>
      <c r="CE4327" s="319"/>
      <c r="CF4327" s="319"/>
      <c r="CG4327" s="319"/>
      <c r="CH4327" s="318"/>
      <c r="CI4327" s="319"/>
      <c r="CJ4327" s="319"/>
      <c r="CK4327" s="342"/>
      <c r="CL4327" s="333"/>
      <c r="CM4327" s="1079"/>
      <c r="CN4327" s="1005"/>
      <c r="CO4327" s="1005"/>
      <c r="CP4327" s="1005"/>
    </row>
    <row r="4328">
      <c r="A4328" s="1257"/>
      <c r="B4328" s="1113"/>
      <c r="C4328" s="1107"/>
      <c r="D4328" s="103"/>
      <c r="E4328" s="1137"/>
      <c r="F4328" s="112"/>
      <c r="G4328" s="1110"/>
      <c r="H4328" s="1138"/>
      <c r="I4328" s="1138"/>
      <c r="J4328" s="1139"/>
      <c r="K4328" s="1111"/>
      <c r="L4328" s="1112"/>
      <c r="M4328" s="1113"/>
      <c r="N4328" s="110"/>
      <c r="O4328" s="1140"/>
      <c r="P4328" s="1115"/>
      <c r="Q4328" s="1116"/>
      <c r="R4328" s="1141"/>
      <c r="S4328" s="1113"/>
      <c r="T4328" s="1143"/>
      <c r="U4328" s="1108"/>
      <c r="V4328" s="1108"/>
      <c r="W4328" s="1108"/>
      <c r="X4328" s="1108"/>
      <c r="Y4328" s="1108"/>
      <c r="Z4328" s="1114"/>
      <c r="AA4328" s="1114"/>
      <c r="AB4328" s="1114"/>
      <c r="AC4328" s="1117"/>
      <c r="AD4328" s="1115"/>
      <c r="AE4328" s="1115"/>
      <c r="AF4328" s="1115"/>
      <c r="AG4328" s="1115"/>
      <c r="AH4328" s="1115"/>
      <c r="AI4328" s="1115"/>
      <c r="AJ4328" s="1117"/>
      <c r="AK4328" s="1118"/>
      <c r="AL4328" s="1115"/>
      <c r="AM4328" s="1115"/>
      <c r="AN4328" s="1115"/>
      <c r="AO4328" s="1115"/>
      <c r="AP4328" s="1115"/>
      <c r="AQ4328" s="1115"/>
      <c r="AR4328" s="1115"/>
      <c r="AS4328" s="1117"/>
      <c r="AT4328" s="1075"/>
      <c r="AU4328" s="1193"/>
      <c r="AV4328" s="330"/>
      <c r="AW4328" s="331"/>
      <c r="AX4328" s="331"/>
      <c r="AY4328" s="331"/>
      <c r="AZ4328" s="331"/>
      <c r="BA4328" s="331"/>
      <c r="BB4328" s="331"/>
      <c r="BC4328" s="331"/>
      <c r="BD4328" s="331"/>
      <c r="BE4328" s="333"/>
      <c r="BF4328" s="330"/>
      <c r="BG4328" s="333"/>
      <c r="BH4328" s="1119"/>
      <c r="BI4328" s="319"/>
      <c r="BJ4328" s="319"/>
      <c r="BK4328" s="319"/>
      <c r="BL4328" s="319"/>
      <c r="BM4328" s="319"/>
      <c r="BN4328" s="319"/>
      <c r="BO4328" s="319"/>
      <c r="BP4328" s="953"/>
      <c r="BQ4328" s="319"/>
      <c r="BR4328" s="319"/>
      <c r="BS4328" s="330"/>
      <c r="BT4328" s="331"/>
      <c r="BU4328" s="920"/>
      <c r="BV4328" s="903"/>
      <c r="BW4328" s="908"/>
      <c r="BX4328" s="908"/>
      <c r="BY4328" s="331"/>
      <c r="BZ4328" s="331"/>
      <c r="CA4328" s="462"/>
      <c r="CB4328" s="319"/>
      <c r="CC4328" s="319"/>
      <c r="CD4328" s="319"/>
      <c r="CE4328" s="319"/>
      <c r="CF4328" s="319"/>
      <c r="CG4328" s="319"/>
      <c r="CH4328" s="318"/>
      <c r="CI4328" s="319"/>
      <c r="CJ4328" s="319"/>
      <c r="CK4328" s="342"/>
      <c r="CL4328" s="333"/>
      <c r="CM4328" s="1079"/>
      <c r="CN4328" s="1005"/>
      <c r="CO4328" s="1005"/>
      <c r="CP4328" s="1005"/>
    </row>
    <row r="4329">
      <c r="A4329" s="1257"/>
      <c r="B4329" s="1113"/>
      <c r="C4329" s="1107"/>
      <c r="D4329" s="103"/>
      <c r="E4329" s="1137"/>
      <c r="F4329" s="112"/>
      <c r="G4329" s="1110"/>
      <c r="H4329" s="1138"/>
      <c r="I4329" s="1138"/>
      <c r="J4329" s="1139"/>
      <c r="K4329" s="1111"/>
      <c r="L4329" s="1112"/>
      <c r="M4329" s="1113"/>
      <c r="N4329" s="110"/>
      <c r="O4329" s="1140"/>
      <c r="P4329" s="1115"/>
      <c r="Q4329" s="1116"/>
      <c r="R4329" s="1141"/>
      <c r="S4329" s="1113"/>
      <c r="T4329" s="1143"/>
      <c r="U4329" s="1108"/>
      <c r="V4329" s="1108"/>
      <c r="W4329" s="1108"/>
      <c r="X4329" s="1108"/>
      <c r="Y4329" s="1108"/>
      <c r="Z4329" s="1114"/>
      <c r="AA4329" s="1114"/>
      <c r="AB4329" s="1114"/>
      <c r="AC4329" s="1117"/>
      <c r="AD4329" s="1115"/>
      <c r="AE4329" s="1115"/>
      <c r="AF4329" s="1115"/>
      <c r="AG4329" s="1115"/>
      <c r="AH4329" s="1115"/>
      <c r="AI4329" s="1115"/>
      <c r="AJ4329" s="1117"/>
      <c r="AK4329" s="1118"/>
      <c r="AL4329" s="1115"/>
      <c r="AM4329" s="1115"/>
      <c r="AN4329" s="1115"/>
      <c r="AO4329" s="1115"/>
      <c r="AP4329" s="1115"/>
      <c r="AQ4329" s="1115"/>
      <c r="AR4329" s="1115"/>
      <c r="AS4329" s="1117"/>
      <c r="AT4329" s="1075"/>
      <c r="AU4329" s="1193"/>
      <c r="AV4329" s="330"/>
      <c r="AW4329" s="331"/>
      <c r="AX4329" s="331"/>
      <c r="AY4329" s="331"/>
      <c r="AZ4329" s="331"/>
      <c r="BA4329" s="331"/>
      <c r="BB4329" s="331"/>
      <c r="BC4329" s="331"/>
      <c r="BD4329" s="331"/>
      <c r="BE4329" s="333"/>
      <c r="BF4329" s="330"/>
      <c r="BG4329" s="333"/>
      <c r="BH4329" s="1119"/>
      <c r="BI4329" s="319"/>
      <c r="BJ4329" s="319"/>
      <c r="BK4329" s="319"/>
      <c r="BL4329" s="319"/>
      <c r="BM4329" s="319"/>
      <c r="BN4329" s="319"/>
      <c r="BO4329" s="319"/>
      <c r="BP4329" s="953"/>
      <c r="BQ4329" s="319"/>
      <c r="BR4329" s="319"/>
      <c r="BS4329" s="330"/>
      <c r="BT4329" s="331"/>
      <c r="BU4329" s="920"/>
      <c r="BV4329" s="903"/>
      <c r="BW4329" s="908"/>
      <c r="BX4329" s="908"/>
      <c r="BY4329" s="331"/>
      <c r="BZ4329" s="331"/>
      <c r="CA4329" s="462"/>
      <c r="CB4329" s="319"/>
      <c r="CC4329" s="319"/>
      <c r="CD4329" s="319"/>
      <c r="CE4329" s="319"/>
      <c r="CF4329" s="319"/>
      <c r="CG4329" s="319"/>
      <c r="CH4329" s="318"/>
      <c r="CI4329" s="319"/>
      <c r="CJ4329" s="319"/>
      <c r="CK4329" s="342"/>
      <c r="CL4329" s="333"/>
      <c r="CM4329" s="1079"/>
      <c r="CN4329" s="1005"/>
      <c r="CO4329" s="1005"/>
      <c r="CP4329" s="1005"/>
    </row>
    <row r="4330">
      <c r="A4330" s="1257"/>
      <c r="B4330" s="1113"/>
      <c r="C4330" s="1107"/>
      <c r="D4330" s="103"/>
      <c r="E4330" s="1137"/>
      <c r="F4330" s="112"/>
      <c r="G4330" s="1110"/>
      <c r="H4330" s="1138"/>
      <c r="I4330" s="1138"/>
      <c r="J4330" s="1139"/>
      <c r="K4330" s="1111"/>
      <c r="L4330" s="1112"/>
      <c r="M4330" s="1113"/>
      <c r="N4330" s="110"/>
      <c r="O4330" s="1140"/>
      <c r="P4330" s="1115"/>
      <c r="Q4330" s="1116"/>
      <c r="R4330" s="1141"/>
      <c r="S4330" s="1113"/>
      <c r="T4330" s="1143"/>
      <c r="U4330" s="1108"/>
      <c r="V4330" s="1108"/>
      <c r="W4330" s="1108"/>
      <c r="X4330" s="1108"/>
      <c r="Y4330" s="1108"/>
      <c r="Z4330" s="1114"/>
      <c r="AA4330" s="1114"/>
      <c r="AB4330" s="1114"/>
      <c r="AC4330" s="1117"/>
      <c r="AD4330" s="1115"/>
      <c r="AE4330" s="1115"/>
      <c r="AF4330" s="1115"/>
      <c r="AG4330" s="1115"/>
      <c r="AH4330" s="1115"/>
      <c r="AI4330" s="1115"/>
      <c r="AJ4330" s="1117"/>
      <c r="AK4330" s="1118"/>
      <c r="AL4330" s="1115"/>
      <c r="AM4330" s="1115"/>
      <c r="AN4330" s="1115"/>
      <c r="AO4330" s="1115"/>
      <c r="AP4330" s="1115"/>
      <c r="AQ4330" s="1115"/>
      <c r="AR4330" s="1115"/>
      <c r="AS4330" s="1117"/>
      <c r="AT4330" s="1075"/>
      <c r="AU4330" s="1193"/>
      <c r="AV4330" s="330"/>
      <c r="AW4330" s="331"/>
      <c r="AX4330" s="331"/>
      <c r="AY4330" s="331"/>
      <c r="AZ4330" s="331"/>
      <c r="BA4330" s="331"/>
      <c r="BB4330" s="331"/>
      <c r="BC4330" s="331"/>
      <c r="BD4330" s="331"/>
      <c r="BE4330" s="333"/>
      <c r="BF4330" s="330"/>
      <c r="BG4330" s="333"/>
      <c r="BH4330" s="1119"/>
      <c r="BI4330" s="319"/>
      <c r="BJ4330" s="319"/>
      <c r="BK4330" s="319"/>
      <c r="BL4330" s="319"/>
      <c r="BM4330" s="319"/>
      <c r="BN4330" s="319"/>
      <c r="BO4330" s="319"/>
      <c r="BP4330" s="953"/>
      <c r="BQ4330" s="319"/>
      <c r="BR4330" s="319"/>
      <c r="BS4330" s="330"/>
      <c r="BT4330" s="331"/>
      <c r="BU4330" s="920"/>
      <c r="BV4330" s="903"/>
      <c r="BW4330" s="908"/>
      <c r="BX4330" s="908"/>
      <c r="BY4330" s="331"/>
      <c r="BZ4330" s="331"/>
      <c r="CA4330" s="462"/>
      <c r="CB4330" s="319"/>
      <c r="CC4330" s="319"/>
      <c r="CD4330" s="319"/>
      <c r="CE4330" s="319"/>
      <c r="CF4330" s="319"/>
      <c r="CG4330" s="319"/>
      <c r="CH4330" s="318"/>
      <c r="CI4330" s="319"/>
      <c r="CJ4330" s="319"/>
      <c r="CK4330" s="342"/>
      <c r="CL4330" s="333"/>
      <c r="CM4330" s="1079"/>
      <c r="CN4330" s="1005"/>
      <c r="CO4330" s="1005"/>
      <c r="CP4330" s="1005"/>
    </row>
    <row r="4331">
      <c r="A4331" s="1257"/>
      <c r="B4331" s="1113"/>
      <c r="C4331" s="1107"/>
      <c r="D4331" s="103"/>
      <c r="E4331" s="1137"/>
      <c r="F4331" s="112"/>
      <c r="G4331" s="1110"/>
      <c r="H4331" s="1138"/>
      <c r="I4331" s="1138"/>
      <c r="J4331" s="1139"/>
      <c r="K4331" s="1111"/>
      <c r="L4331" s="1112"/>
      <c r="M4331" s="1113"/>
      <c r="N4331" s="110"/>
      <c r="O4331" s="1140"/>
      <c r="P4331" s="1115"/>
      <c r="Q4331" s="1116"/>
      <c r="R4331" s="1141"/>
      <c r="S4331" s="1113"/>
      <c r="T4331" s="1143"/>
      <c r="U4331" s="1108"/>
      <c r="V4331" s="1108"/>
      <c r="W4331" s="1108"/>
      <c r="X4331" s="1108"/>
      <c r="Y4331" s="1108"/>
      <c r="Z4331" s="1114"/>
      <c r="AA4331" s="1114"/>
      <c r="AB4331" s="1114"/>
      <c r="AC4331" s="1117"/>
      <c r="AD4331" s="1115"/>
      <c r="AE4331" s="1115"/>
      <c r="AF4331" s="1115"/>
      <c r="AG4331" s="1115"/>
      <c r="AH4331" s="1115"/>
      <c r="AI4331" s="1115"/>
      <c r="AJ4331" s="1117"/>
      <c r="AK4331" s="1118"/>
      <c r="AL4331" s="1115"/>
      <c r="AM4331" s="1115"/>
      <c r="AN4331" s="1115"/>
      <c r="AO4331" s="1115"/>
      <c r="AP4331" s="1115"/>
      <c r="AQ4331" s="1115"/>
      <c r="AR4331" s="1115"/>
      <c r="AS4331" s="1117"/>
      <c r="AT4331" s="1075"/>
      <c r="AU4331" s="1193"/>
      <c r="AV4331" s="330"/>
      <c r="AW4331" s="331"/>
      <c r="AX4331" s="331"/>
      <c r="AY4331" s="331"/>
      <c r="AZ4331" s="331"/>
      <c r="BA4331" s="331"/>
      <c r="BB4331" s="331"/>
      <c r="BC4331" s="331"/>
      <c r="BD4331" s="331"/>
      <c r="BE4331" s="333"/>
      <c r="BF4331" s="330"/>
      <c r="BG4331" s="333"/>
      <c r="BH4331" s="1119"/>
      <c r="BI4331" s="319"/>
      <c r="BJ4331" s="319"/>
      <c r="BK4331" s="319"/>
      <c r="BL4331" s="319"/>
      <c r="BM4331" s="319"/>
      <c r="BN4331" s="319"/>
      <c r="BO4331" s="319"/>
      <c r="BP4331" s="953"/>
      <c r="BQ4331" s="319"/>
      <c r="BR4331" s="319"/>
      <c r="BS4331" s="330"/>
      <c r="BT4331" s="331"/>
      <c r="BU4331" s="920"/>
      <c r="BV4331" s="903"/>
      <c r="BW4331" s="908"/>
      <c r="BX4331" s="908"/>
      <c r="BY4331" s="331"/>
      <c r="BZ4331" s="331"/>
      <c r="CA4331" s="462"/>
      <c r="CB4331" s="319"/>
      <c r="CC4331" s="319"/>
      <c r="CD4331" s="319"/>
      <c r="CE4331" s="319"/>
      <c r="CF4331" s="319"/>
      <c r="CG4331" s="319"/>
      <c r="CH4331" s="318"/>
      <c r="CI4331" s="319"/>
      <c r="CJ4331" s="319"/>
      <c r="CK4331" s="342"/>
      <c r="CL4331" s="333"/>
      <c r="CM4331" s="1079"/>
      <c r="CN4331" s="1005"/>
      <c r="CO4331" s="1005"/>
      <c r="CP4331" s="1005"/>
    </row>
    <row r="4332">
      <c r="A4332" s="1257"/>
      <c r="B4332" s="1113"/>
      <c r="C4332" s="1107"/>
      <c r="D4332" s="103"/>
      <c r="E4332" s="1137"/>
      <c r="F4332" s="112"/>
      <c r="G4332" s="1110"/>
      <c r="H4332" s="1138"/>
      <c r="I4332" s="1138"/>
      <c r="J4332" s="1139"/>
      <c r="K4332" s="1111"/>
      <c r="L4332" s="1112"/>
      <c r="M4332" s="1113"/>
      <c r="N4332" s="110"/>
      <c r="O4332" s="1140"/>
      <c r="P4332" s="1115"/>
      <c r="Q4332" s="1116"/>
      <c r="R4332" s="1141"/>
      <c r="S4332" s="1113"/>
      <c r="T4332" s="1143"/>
      <c r="U4332" s="1108"/>
      <c r="V4332" s="1108"/>
      <c r="W4332" s="1108"/>
      <c r="X4332" s="1108"/>
      <c r="Y4332" s="1108"/>
      <c r="Z4332" s="1114"/>
      <c r="AA4332" s="1114"/>
      <c r="AB4332" s="1114"/>
      <c r="AC4332" s="1117"/>
      <c r="AD4332" s="1115"/>
      <c r="AE4332" s="1115"/>
      <c r="AF4332" s="1115"/>
      <c r="AG4332" s="1115"/>
      <c r="AH4332" s="1115"/>
      <c r="AI4332" s="1115"/>
      <c r="AJ4332" s="1117"/>
      <c r="AK4332" s="1118"/>
      <c r="AL4332" s="1115"/>
      <c r="AM4332" s="1115"/>
      <c r="AN4332" s="1115"/>
      <c r="AO4332" s="1115"/>
      <c r="AP4332" s="1115"/>
      <c r="AQ4332" s="1115"/>
      <c r="AR4332" s="1115"/>
      <c r="AS4332" s="1117"/>
      <c r="AT4332" s="1075"/>
      <c r="AU4332" s="1193"/>
      <c r="AV4332" s="330"/>
      <c r="AW4332" s="331"/>
      <c r="AX4332" s="331"/>
      <c r="AY4332" s="331"/>
      <c r="AZ4332" s="331"/>
      <c r="BA4332" s="331"/>
      <c r="BB4332" s="331"/>
      <c r="BC4332" s="331"/>
      <c r="BD4332" s="331"/>
      <c r="BE4332" s="333"/>
      <c r="BF4332" s="330"/>
      <c r="BG4332" s="333"/>
      <c r="BH4332" s="1119"/>
      <c r="BI4332" s="319"/>
      <c r="BJ4332" s="319"/>
      <c r="BK4332" s="319"/>
      <c r="BL4332" s="319"/>
      <c r="BM4332" s="319"/>
      <c r="BN4332" s="319"/>
      <c r="BO4332" s="319"/>
      <c r="BP4332" s="953"/>
      <c r="BQ4332" s="319"/>
      <c r="BR4332" s="319"/>
      <c r="BS4332" s="330"/>
      <c r="BT4332" s="331"/>
      <c r="BU4332" s="920"/>
      <c r="BV4332" s="903"/>
      <c r="BW4332" s="908"/>
      <c r="BX4332" s="908"/>
      <c r="BY4332" s="331"/>
      <c r="BZ4332" s="331"/>
      <c r="CA4332" s="462"/>
      <c r="CB4332" s="319"/>
      <c r="CC4332" s="319"/>
      <c r="CD4332" s="319"/>
      <c r="CE4332" s="319"/>
      <c r="CF4332" s="319"/>
      <c r="CG4332" s="319"/>
      <c r="CH4332" s="318"/>
      <c r="CI4332" s="319"/>
      <c r="CJ4332" s="319"/>
      <c r="CK4332" s="342"/>
      <c r="CL4332" s="333"/>
      <c r="CM4332" s="1079"/>
      <c r="CN4332" s="1005"/>
      <c r="CO4332" s="1005"/>
      <c r="CP4332" s="1005"/>
    </row>
    <row r="4333">
      <c r="A4333" s="1257"/>
      <c r="B4333" s="1113"/>
      <c r="C4333" s="1107"/>
      <c r="D4333" s="103"/>
      <c r="E4333" s="1137"/>
      <c r="F4333" s="112"/>
      <c r="G4333" s="1110"/>
      <c r="H4333" s="1138"/>
      <c r="I4333" s="1138"/>
      <c r="J4333" s="1139"/>
      <c r="K4333" s="1111"/>
      <c r="L4333" s="1112"/>
      <c r="M4333" s="1113"/>
      <c r="N4333" s="110"/>
      <c r="O4333" s="1140"/>
      <c r="P4333" s="1115"/>
      <c r="Q4333" s="1116"/>
      <c r="R4333" s="1141"/>
      <c r="S4333" s="1113"/>
      <c r="T4333" s="1143"/>
      <c r="U4333" s="1108"/>
      <c r="V4333" s="1108"/>
      <c r="W4333" s="1108"/>
      <c r="X4333" s="1108"/>
      <c r="Y4333" s="1108"/>
      <c r="Z4333" s="1114"/>
      <c r="AA4333" s="1114"/>
      <c r="AB4333" s="1114"/>
      <c r="AC4333" s="1117"/>
      <c r="AD4333" s="1115"/>
      <c r="AE4333" s="1115"/>
      <c r="AF4333" s="1115"/>
      <c r="AG4333" s="1115"/>
      <c r="AH4333" s="1115"/>
      <c r="AI4333" s="1115"/>
      <c r="AJ4333" s="1117"/>
      <c r="AK4333" s="1118"/>
      <c r="AL4333" s="1115"/>
      <c r="AM4333" s="1115"/>
      <c r="AN4333" s="1115"/>
      <c r="AO4333" s="1115"/>
      <c r="AP4333" s="1115"/>
      <c r="AQ4333" s="1115"/>
      <c r="AR4333" s="1115"/>
      <c r="AS4333" s="1117"/>
      <c r="AT4333" s="1075"/>
      <c r="AU4333" s="1193"/>
      <c r="AV4333" s="330"/>
      <c r="AW4333" s="331"/>
      <c r="AX4333" s="331"/>
      <c r="AY4333" s="331"/>
      <c r="AZ4333" s="331"/>
      <c r="BA4333" s="331"/>
      <c r="BB4333" s="331"/>
      <c r="BC4333" s="331"/>
      <c r="BD4333" s="331"/>
      <c r="BE4333" s="333"/>
      <c r="BF4333" s="330"/>
      <c r="BG4333" s="333"/>
      <c r="BH4333" s="1119"/>
      <c r="BI4333" s="319"/>
      <c r="BJ4333" s="319"/>
      <c r="BK4333" s="319"/>
      <c r="BL4333" s="319"/>
      <c r="BM4333" s="319"/>
      <c r="BN4333" s="319"/>
      <c r="BO4333" s="319"/>
      <c r="BP4333" s="953"/>
      <c r="BQ4333" s="319"/>
      <c r="BR4333" s="319"/>
      <c r="BS4333" s="330"/>
      <c r="BT4333" s="331"/>
      <c r="BU4333" s="920"/>
      <c r="BV4333" s="903"/>
      <c r="BW4333" s="908"/>
      <c r="BX4333" s="908"/>
      <c r="BY4333" s="331"/>
      <c r="BZ4333" s="331"/>
      <c r="CA4333" s="462"/>
      <c r="CB4333" s="319"/>
      <c r="CC4333" s="319"/>
      <c r="CD4333" s="319"/>
      <c r="CE4333" s="319"/>
      <c r="CF4333" s="319"/>
      <c r="CG4333" s="319"/>
      <c r="CH4333" s="318"/>
      <c r="CI4333" s="319"/>
      <c r="CJ4333" s="319"/>
      <c r="CK4333" s="342"/>
      <c r="CL4333" s="333"/>
      <c r="CM4333" s="1079"/>
      <c r="CN4333" s="1005"/>
      <c r="CO4333" s="1005"/>
      <c r="CP4333" s="1005"/>
    </row>
    <row r="4334">
      <c r="A4334" s="1257"/>
      <c r="B4334" s="1113"/>
      <c r="C4334" s="1107"/>
      <c r="D4334" s="103"/>
      <c r="E4334" s="1137"/>
      <c r="F4334" s="112"/>
      <c r="G4334" s="1110"/>
      <c r="H4334" s="1138"/>
      <c r="I4334" s="1138"/>
      <c r="J4334" s="1139"/>
      <c r="K4334" s="1111"/>
      <c r="L4334" s="1112"/>
      <c r="M4334" s="1113"/>
      <c r="N4334" s="110"/>
      <c r="O4334" s="1140"/>
      <c r="P4334" s="1115"/>
      <c r="Q4334" s="1116"/>
      <c r="R4334" s="1141"/>
      <c r="S4334" s="1113"/>
      <c r="T4334" s="1143"/>
      <c r="U4334" s="1108"/>
      <c r="V4334" s="1108"/>
      <c r="W4334" s="1108"/>
      <c r="X4334" s="1108"/>
      <c r="Y4334" s="1108"/>
      <c r="Z4334" s="1114"/>
      <c r="AA4334" s="1114"/>
      <c r="AB4334" s="1114"/>
      <c r="AC4334" s="1117"/>
      <c r="AD4334" s="1115"/>
      <c r="AE4334" s="1115"/>
      <c r="AF4334" s="1115"/>
      <c r="AG4334" s="1115"/>
      <c r="AH4334" s="1115"/>
      <c r="AI4334" s="1115"/>
      <c r="AJ4334" s="1117"/>
      <c r="AK4334" s="1118"/>
      <c r="AL4334" s="1115"/>
      <c r="AM4334" s="1115"/>
      <c r="AN4334" s="1115"/>
      <c r="AO4334" s="1115"/>
      <c r="AP4334" s="1115"/>
      <c r="AQ4334" s="1115"/>
      <c r="AR4334" s="1115"/>
      <c r="AS4334" s="1117"/>
      <c r="AT4334" s="1075"/>
      <c r="AU4334" s="1193"/>
      <c r="AV4334" s="330"/>
      <c r="AW4334" s="331"/>
      <c r="AX4334" s="331"/>
      <c r="AY4334" s="331"/>
      <c r="AZ4334" s="331"/>
      <c r="BA4334" s="331"/>
      <c r="BB4334" s="331"/>
      <c r="BC4334" s="331"/>
      <c r="BD4334" s="331"/>
      <c r="BE4334" s="333"/>
      <c r="BF4334" s="330"/>
      <c r="BG4334" s="333"/>
      <c r="BH4334" s="1119"/>
      <c r="BI4334" s="319"/>
      <c r="BJ4334" s="319"/>
      <c r="BK4334" s="319"/>
      <c r="BL4334" s="319"/>
      <c r="BM4334" s="319"/>
      <c r="BN4334" s="319"/>
      <c r="BO4334" s="319"/>
      <c r="BP4334" s="953"/>
      <c r="BQ4334" s="319"/>
      <c r="BR4334" s="319"/>
      <c r="BS4334" s="330"/>
      <c r="BT4334" s="331"/>
      <c r="BU4334" s="920"/>
      <c r="BV4334" s="903"/>
      <c r="BW4334" s="908"/>
      <c r="BX4334" s="908"/>
      <c r="BY4334" s="331"/>
      <c r="BZ4334" s="331"/>
      <c r="CA4334" s="462"/>
      <c r="CB4334" s="319"/>
      <c r="CC4334" s="319"/>
      <c r="CD4334" s="319"/>
      <c r="CE4334" s="319"/>
      <c r="CF4334" s="319"/>
      <c r="CG4334" s="319"/>
      <c r="CH4334" s="318"/>
      <c r="CI4334" s="319"/>
      <c r="CJ4334" s="319"/>
      <c r="CK4334" s="342"/>
      <c r="CL4334" s="333"/>
      <c r="CM4334" s="1079"/>
      <c r="CN4334" s="1005"/>
      <c r="CO4334" s="1005"/>
      <c r="CP4334" s="1005"/>
    </row>
    <row r="4335">
      <c r="A4335" s="1257"/>
      <c r="B4335" s="1113"/>
      <c r="C4335" s="1107"/>
      <c r="D4335" s="103"/>
      <c r="E4335" s="1137"/>
      <c r="F4335" s="112"/>
      <c r="G4335" s="1110"/>
      <c r="H4335" s="1138"/>
      <c r="I4335" s="1138"/>
      <c r="J4335" s="1139"/>
      <c r="K4335" s="1111"/>
      <c r="L4335" s="1112"/>
      <c r="M4335" s="1113"/>
      <c r="N4335" s="110"/>
      <c r="O4335" s="1140"/>
      <c r="P4335" s="1115"/>
      <c r="Q4335" s="1116"/>
      <c r="R4335" s="1141"/>
      <c r="S4335" s="1113"/>
      <c r="T4335" s="1143"/>
      <c r="U4335" s="1108"/>
      <c r="V4335" s="1108"/>
      <c r="W4335" s="1108"/>
      <c r="X4335" s="1108"/>
      <c r="Y4335" s="1108"/>
      <c r="Z4335" s="1114"/>
      <c r="AA4335" s="1114"/>
      <c r="AB4335" s="1114"/>
      <c r="AC4335" s="1117"/>
      <c r="AD4335" s="1115"/>
      <c r="AE4335" s="1115"/>
      <c r="AF4335" s="1115"/>
      <c r="AG4335" s="1115"/>
      <c r="AH4335" s="1115"/>
      <c r="AI4335" s="1115"/>
      <c r="AJ4335" s="1117"/>
      <c r="AK4335" s="1118"/>
      <c r="AL4335" s="1115"/>
      <c r="AM4335" s="1115"/>
      <c r="AN4335" s="1115"/>
      <c r="AO4335" s="1115"/>
      <c r="AP4335" s="1115"/>
      <c r="AQ4335" s="1115"/>
      <c r="AR4335" s="1115"/>
      <c r="AS4335" s="1117"/>
      <c r="AT4335" s="1075"/>
      <c r="AU4335" s="1193"/>
      <c r="AV4335" s="330"/>
      <c r="AW4335" s="331"/>
      <c r="AX4335" s="331"/>
      <c r="AY4335" s="331"/>
      <c r="AZ4335" s="331"/>
      <c r="BA4335" s="331"/>
      <c r="BB4335" s="331"/>
      <c r="BC4335" s="331"/>
      <c r="BD4335" s="331"/>
      <c r="BE4335" s="333"/>
      <c r="BF4335" s="330"/>
      <c r="BG4335" s="333"/>
      <c r="BH4335" s="1119"/>
      <c r="BI4335" s="319"/>
      <c r="BJ4335" s="319"/>
      <c r="BK4335" s="319"/>
      <c r="BL4335" s="319"/>
      <c r="BM4335" s="319"/>
      <c r="BN4335" s="319"/>
      <c r="BO4335" s="319"/>
      <c r="BP4335" s="953"/>
      <c r="BQ4335" s="319"/>
      <c r="BR4335" s="319"/>
      <c r="BS4335" s="330"/>
      <c r="BT4335" s="331"/>
      <c r="BU4335" s="920"/>
      <c r="BV4335" s="903"/>
      <c r="BW4335" s="908"/>
      <c r="BX4335" s="908"/>
      <c r="BY4335" s="331"/>
      <c r="BZ4335" s="331"/>
      <c r="CA4335" s="462"/>
      <c r="CB4335" s="319"/>
      <c r="CC4335" s="319"/>
      <c r="CD4335" s="319"/>
      <c r="CE4335" s="319"/>
      <c r="CF4335" s="319"/>
      <c r="CG4335" s="319"/>
      <c r="CH4335" s="318"/>
      <c r="CI4335" s="319"/>
      <c r="CJ4335" s="319"/>
      <c r="CK4335" s="342"/>
      <c r="CL4335" s="333"/>
      <c r="CM4335" s="1079"/>
      <c r="CN4335" s="1005"/>
      <c r="CO4335" s="1005"/>
      <c r="CP4335" s="1005"/>
    </row>
    <row r="4336">
      <c r="A4336" s="1257"/>
      <c r="B4336" s="1113"/>
      <c r="C4336" s="1107"/>
      <c r="D4336" s="103"/>
      <c r="E4336" s="1137"/>
      <c r="F4336" s="112"/>
      <c r="G4336" s="1110"/>
      <c r="H4336" s="1138"/>
      <c r="I4336" s="1138"/>
      <c r="J4336" s="1139"/>
      <c r="K4336" s="1111"/>
      <c r="L4336" s="1112"/>
      <c r="M4336" s="1113"/>
      <c r="N4336" s="110"/>
      <c r="O4336" s="1140"/>
      <c r="P4336" s="1115"/>
      <c r="Q4336" s="1116"/>
      <c r="R4336" s="1141"/>
      <c r="S4336" s="1113"/>
      <c r="T4336" s="1143"/>
      <c r="U4336" s="1108"/>
      <c r="V4336" s="1108"/>
      <c r="W4336" s="1108"/>
      <c r="X4336" s="1108"/>
      <c r="Y4336" s="1108"/>
      <c r="Z4336" s="1114"/>
      <c r="AA4336" s="1114"/>
      <c r="AB4336" s="1114"/>
      <c r="AC4336" s="1117"/>
      <c r="AD4336" s="1115"/>
      <c r="AE4336" s="1115"/>
      <c r="AF4336" s="1115"/>
      <c r="AG4336" s="1115"/>
      <c r="AH4336" s="1115"/>
      <c r="AI4336" s="1115"/>
      <c r="AJ4336" s="1117"/>
      <c r="AK4336" s="1118"/>
      <c r="AL4336" s="1115"/>
      <c r="AM4336" s="1115"/>
      <c r="AN4336" s="1115"/>
      <c r="AO4336" s="1115"/>
      <c r="AP4336" s="1115"/>
      <c r="AQ4336" s="1115"/>
      <c r="AR4336" s="1115"/>
      <c r="AS4336" s="1117"/>
      <c r="AT4336" s="1075"/>
      <c r="AU4336" s="1193"/>
      <c r="AV4336" s="330"/>
      <c r="AW4336" s="331"/>
      <c r="AX4336" s="331"/>
      <c r="AY4336" s="331"/>
      <c r="AZ4336" s="331"/>
      <c r="BA4336" s="331"/>
      <c r="BB4336" s="331"/>
      <c r="BC4336" s="331"/>
      <c r="BD4336" s="331"/>
      <c r="BE4336" s="333"/>
      <c r="BF4336" s="330"/>
      <c r="BG4336" s="333"/>
      <c r="BH4336" s="1119"/>
      <c r="BI4336" s="319"/>
      <c r="BJ4336" s="319"/>
      <c r="BK4336" s="319"/>
      <c r="BL4336" s="319"/>
      <c r="BM4336" s="319"/>
      <c r="BN4336" s="319"/>
      <c r="BO4336" s="319"/>
      <c r="BP4336" s="953"/>
      <c r="BQ4336" s="319"/>
      <c r="BR4336" s="319"/>
      <c r="BS4336" s="330"/>
      <c r="BT4336" s="331"/>
      <c r="BU4336" s="920"/>
      <c r="BV4336" s="903"/>
      <c r="BW4336" s="908"/>
      <c r="BX4336" s="908"/>
      <c r="BY4336" s="331"/>
      <c r="BZ4336" s="331"/>
      <c r="CA4336" s="462"/>
      <c r="CB4336" s="319"/>
      <c r="CC4336" s="319"/>
      <c r="CD4336" s="319"/>
      <c r="CE4336" s="319"/>
      <c r="CF4336" s="319"/>
      <c r="CG4336" s="319"/>
      <c r="CH4336" s="318"/>
      <c r="CI4336" s="319"/>
      <c r="CJ4336" s="319"/>
      <c r="CK4336" s="342"/>
      <c r="CL4336" s="333"/>
      <c r="CM4336" s="1079"/>
      <c r="CN4336" s="1005"/>
      <c r="CO4336" s="1005"/>
      <c r="CP4336" s="1005"/>
    </row>
    <row r="4337">
      <c r="A4337" s="1257"/>
      <c r="B4337" s="1113"/>
      <c r="C4337" s="1107"/>
      <c r="D4337" s="103"/>
      <c r="E4337" s="1137"/>
      <c r="F4337" s="112"/>
      <c r="G4337" s="1110"/>
      <c r="H4337" s="1138"/>
      <c r="I4337" s="1138"/>
      <c r="J4337" s="1139"/>
      <c r="K4337" s="1111"/>
      <c r="L4337" s="1112"/>
      <c r="M4337" s="1113"/>
      <c r="N4337" s="110"/>
      <c r="O4337" s="1140"/>
      <c r="P4337" s="1115"/>
      <c r="Q4337" s="1116"/>
      <c r="R4337" s="1141"/>
      <c r="S4337" s="1113"/>
      <c r="T4337" s="1143"/>
      <c r="U4337" s="1108"/>
      <c r="V4337" s="1108"/>
      <c r="W4337" s="1108"/>
      <c r="X4337" s="1108"/>
      <c r="Y4337" s="1108"/>
      <c r="Z4337" s="1114"/>
      <c r="AA4337" s="1114"/>
      <c r="AB4337" s="1114"/>
      <c r="AC4337" s="1117"/>
      <c r="AD4337" s="1115"/>
      <c r="AE4337" s="1115"/>
      <c r="AF4337" s="1115"/>
      <c r="AG4337" s="1115"/>
      <c r="AH4337" s="1115"/>
      <c r="AI4337" s="1115"/>
      <c r="AJ4337" s="1117"/>
      <c r="AK4337" s="1118"/>
      <c r="AL4337" s="1115"/>
      <c r="AM4337" s="1115"/>
      <c r="AN4337" s="1115"/>
      <c r="AO4337" s="1115"/>
      <c r="AP4337" s="1115"/>
      <c r="AQ4337" s="1115"/>
      <c r="AR4337" s="1115"/>
      <c r="AS4337" s="1117"/>
      <c r="AT4337" s="1075"/>
      <c r="AU4337" s="1193"/>
      <c r="AV4337" s="330"/>
      <c r="AW4337" s="331"/>
      <c r="AX4337" s="331"/>
      <c r="AY4337" s="331"/>
      <c r="AZ4337" s="331"/>
      <c r="BA4337" s="331"/>
      <c r="BB4337" s="331"/>
      <c r="BC4337" s="331"/>
      <c r="BD4337" s="331"/>
      <c r="BE4337" s="333"/>
      <c r="BF4337" s="330"/>
      <c r="BG4337" s="333"/>
      <c r="BH4337" s="1119"/>
      <c r="BI4337" s="319"/>
      <c r="BJ4337" s="319"/>
      <c r="BK4337" s="319"/>
      <c r="BL4337" s="319"/>
      <c r="BM4337" s="319"/>
      <c r="BN4337" s="319"/>
      <c r="BO4337" s="319"/>
      <c r="BP4337" s="953"/>
      <c r="BQ4337" s="319"/>
      <c r="BR4337" s="319"/>
      <c r="BS4337" s="330"/>
      <c r="BT4337" s="331"/>
      <c r="BU4337" s="920"/>
      <c r="BV4337" s="903"/>
      <c r="BW4337" s="908"/>
      <c r="BX4337" s="908"/>
      <c r="BY4337" s="331"/>
      <c r="BZ4337" s="331"/>
      <c r="CA4337" s="462"/>
      <c r="CB4337" s="319"/>
      <c r="CC4337" s="319"/>
      <c r="CD4337" s="319"/>
      <c r="CE4337" s="319"/>
      <c r="CF4337" s="319"/>
      <c r="CG4337" s="319"/>
      <c r="CH4337" s="318"/>
      <c r="CI4337" s="319"/>
      <c r="CJ4337" s="319"/>
      <c r="CK4337" s="342"/>
      <c r="CL4337" s="333"/>
      <c r="CM4337" s="1079"/>
      <c r="CN4337" s="1005"/>
      <c r="CO4337" s="1005"/>
      <c r="CP4337" s="1005"/>
    </row>
    <row r="4338">
      <c r="A4338" s="1257"/>
      <c r="B4338" s="1113"/>
      <c r="C4338" s="1107"/>
      <c r="D4338" s="103"/>
      <c r="E4338" s="1137"/>
      <c r="F4338" s="112"/>
      <c r="G4338" s="1110"/>
      <c r="H4338" s="1138"/>
      <c r="I4338" s="1138"/>
      <c r="J4338" s="1139"/>
      <c r="K4338" s="1111"/>
      <c r="L4338" s="1112"/>
      <c r="M4338" s="1113"/>
      <c r="N4338" s="110"/>
      <c r="O4338" s="1140"/>
      <c r="P4338" s="1115"/>
      <c r="Q4338" s="1116"/>
      <c r="R4338" s="1141"/>
      <c r="S4338" s="1113"/>
      <c r="T4338" s="1143"/>
      <c r="U4338" s="1108"/>
      <c r="V4338" s="1108"/>
      <c r="W4338" s="1108"/>
      <c r="X4338" s="1108"/>
      <c r="Y4338" s="1108"/>
      <c r="Z4338" s="1114"/>
      <c r="AA4338" s="1114"/>
      <c r="AB4338" s="1114"/>
      <c r="AC4338" s="1117"/>
      <c r="AD4338" s="1115"/>
      <c r="AE4338" s="1115"/>
      <c r="AF4338" s="1115"/>
      <c r="AG4338" s="1115"/>
      <c r="AH4338" s="1115"/>
      <c r="AI4338" s="1115"/>
      <c r="AJ4338" s="1117"/>
      <c r="AK4338" s="1118"/>
      <c r="AL4338" s="1115"/>
      <c r="AM4338" s="1115"/>
      <c r="AN4338" s="1115"/>
      <c r="AO4338" s="1115"/>
      <c r="AP4338" s="1115"/>
      <c r="AQ4338" s="1115"/>
      <c r="AR4338" s="1115"/>
      <c r="AS4338" s="1117"/>
      <c r="AT4338" s="1075"/>
      <c r="AU4338" s="1193"/>
      <c r="AV4338" s="330"/>
      <c r="AW4338" s="331"/>
      <c r="AX4338" s="331"/>
      <c r="AY4338" s="331"/>
      <c r="AZ4338" s="331"/>
      <c r="BA4338" s="331"/>
      <c r="BB4338" s="331"/>
      <c r="BC4338" s="331"/>
      <c r="BD4338" s="331"/>
      <c r="BE4338" s="333"/>
      <c r="BF4338" s="330"/>
      <c r="BG4338" s="333"/>
      <c r="BH4338" s="1119"/>
      <c r="BI4338" s="319"/>
      <c r="BJ4338" s="319"/>
      <c r="BK4338" s="319"/>
      <c r="BL4338" s="319"/>
      <c r="BM4338" s="319"/>
      <c r="BN4338" s="319"/>
      <c r="BO4338" s="319"/>
      <c r="BP4338" s="953"/>
      <c r="BQ4338" s="319"/>
      <c r="BR4338" s="319"/>
      <c r="BS4338" s="330"/>
      <c r="BT4338" s="331"/>
      <c r="BU4338" s="920"/>
      <c r="BV4338" s="903"/>
      <c r="BW4338" s="908"/>
      <c r="BX4338" s="908"/>
      <c r="BY4338" s="331"/>
      <c r="BZ4338" s="331"/>
      <c r="CA4338" s="462"/>
      <c r="CB4338" s="319"/>
      <c r="CC4338" s="319"/>
      <c r="CD4338" s="319"/>
      <c r="CE4338" s="319"/>
      <c r="CF4338" s="319"/>
      <c r="CG4338" s="319"/>
      <c r="CH4338" s="318"/>
      <c r="CI4338" s="319"/>
      <c r="CJ4338" s="319"/>
      <c r="CK4338" s="342"/>
      <c r="CL4338" s="333"/>
      <c r="CM4338" s="1079"/>
      <c r="CN4338" s="1005"/>
      <c r="CO4338" s="1005"/>
      <c r="CP4338" s="1005"/>
    </row>
    <row r="4339">
      <c r="A4339" s="1257"/>
      <c r="B4339" s="1113"/>
      <c r="C4339" s="1107"/>
      <c r="D4339" s="103"/>
      <c r="E4339" s="1137"/>
      <c r="F4339" s="112"/>
      <c r="G4339" s="1110"/>
      <c r="H4339" s="1138"/>
      <c r="I4339" s="1138"/>
      <c r="J4339" s="1139"/>
      <c r="K4339" s="1111"/>
      <c r="L4339" s="1112"/>
      <c r="M4339" s="1113"/>
      <c r="N4339" s="110"/>
      <c r="O4339" s="1140"/>
      <c r="P4339" s="1115"/>
      <c r="Q4339" s="1116"/>
      <c r="R4339" s="1141"/>
      <c r="S4339" s="1113"/>
      <c r="T4339" s="1143"/>
      <c r="U4339" s="1108"/>
      <c r="V4339" s="1108"/>
      <c r="W4339" s="1108"/>
      <c r="X4339" s="1108"/>
      <c r="Y4339" s="1108"/>
      <c r="Z4339" s="1114"/>
      <c r="AA4339" s="1114"/>
      <c r="AB4339" s="1114"/>
      <c r="AC4339" s="1117"/>
      <c r="AD4339" s="1115"/>
      <c r="AE4339" s="1115"/>
      <c r="AF4339" s="1115"/>
      <c r="AG4339" s="1115"/>
      <c r="AH4339" s="1115"/>
      <c r="AI4339" s="1115"/>
      <c r="AJ4339" s="1117"/>
      <c r="AK4339" s="1118"/>
      <c r="AL4339" s="1115"/>
      <c r="AM4339" s="1115"/>
      <c r="AN4339" s="1115"/>
      <c r="AO4339" s="1115"/>
      <c r="AP4339" s="1115"/>
      <c r="AQ4339" s="1115"/>
      <c r="AR4339" s="1115"/>
      <c r="AS4339" s="1117"/>
      <c r="AT4339" s="1075"/>
      <c r="AU4339" s="1193"/>
      <c r="AV4339" s="330"/>
      <c r="AW4339" s="331"/>
      <c r="AX4339" s="331"/>
      <c r="AY4339" s="331"/>
      <c r="AZ4339" s="331"/>
      <c r="BA4339" s="331"/>
      <c r="BB4339" s="331"/>
      <c r="BC4339" s="331"/>
      <c r="BD4339" s="331"/>
      <c r="BE4339" s="333"/>
      <c r="BF4339" s="330"/>
      <c r="BG4339" s="333"/>
      <c r="BH4339" s="1119"/>
      <c r="BI4339" s="319"/>
      <c r="BJ4339" s="319"/>
      <c r="BK4339" s="319"/>
      <c r="BL4339" s="319"/>
      <c r="BM4339" s="319"/>
      <c r="BN4339" s="319"/>
      <c r="BO4339" s="319"/>
      <c r="BP4339" s="953"/>
      <c r="BQ4339" s="319"/>
      <c r="BR4339" s="319"/>
      <c r="BS4339" s="330"/>
      <c r="BT4339" s="331"/>
      <c r="BU4339" s="920"/>
      <c r="BV4339" s="903"/>
      <c r="BW4339" s="908"/>
      <c r="BX4339" s="908"/>
      <c r="BY4339" s="331"/>
      <c r="BZ4339" s="331"/>
      <c r="CA4339" s="462"/>
      <c r="CB4339" s="319"/>
      <c r="CC4339" s="319"/>
      <c r="CD4339" s="319"/>
      <c r="CE4339" s="319"/>
      <c r="CF4339" s="319"/>
      <c r="CG4339" s="319"/>
      <c r="CH4339" s="318"/>
      <c r="CI4339" s="319"/>
      <c r="CJ4339" s="319"/>
      <c r="CK4339" s="342"/>
      <c r="CL4339" s="333"/>
      <c r="CM4339" s="1079"/>
      <c r="CN4339" s="1005"/>
      <c r="CO4339" s="1005"/>
      <c r="CP4339" s="1005"/>
    </row>
    <row r="4340">
      <c r="A4340" s="1257"/>
      <c r="B4340" s="1113"/>
      <c r="C4340" s="1107"/>
      <c r="D4340" s="103"/>
      <c r="E4340" s="1137"/>
      <c r="F4340" s="112"/>
      <c r="G4340" s="1110"/>
      <c r="H4340" s="1138"/>
      <c r="I4340" s="1138"/>
      <c r="J4340" s="1139"/>
      <c r="K4340" s="1111"/>
      <c r="L4340" s="1112"/>
      <c r="M4340" s="1113"/>
      <c r="N4340" s="110"/>
      <c r="O4340" s="1140"/>
      <c r="P4340" s="1115"/>
      <c r="Q4340" s="1116"/>
      <c r="R4340" s="1141"/>
      <c r="S4340" s="1113"/>
      <c r="T4340" s="1143"/>
      <c r="U4340" s="1108"/>
      <c r="V4340" s="1108"/>
      <c r="W4340" s="1108"/>
      <c r="X4340" s="1108"/>
      <c r="Y4340" s="1108"/>
      <c r="Z4340" s="1114"/>
      <c r="AA4340" s="1114"/>
      <c r="AB4340" s="1114"/>
      <c r="AC4340" s="1117"/>
      <c r="AD4340" s="1115"/>
      <c r="AE4340" s="1115"/>
      <c r="AF4340" s="1115"/>
      <c r="AG4340" s="1115"/>
      <c r="AH4340" s="1115"/>
      <c r="AI4340" s="1115"/>
      <c r="AJ4340" s="1117"/>
      <c r="AK4340" s="1118"/>
      <c r="AL4340" s="1115"/>
      <c r="AM4340" s="1115"/>
      <c r="AN4340" s="1115"/>
      <c r="AO4340" s="1115"/>
      <c r="AP4340" s="1115"/>
      <c r="AQ4340" s="1115"/>
      <c r="AR4340" s="1115"/>
      <c r="AS4340" s="1117"/>
      <c r="AT4340" s="1075"/>
      <c r="AU4340" s="1193"/>
      <c r="AV4340" s="330"/>
      <c r="AW4340" s="331"/>
      <c r="AX4340" s="331"/>
      <c r="AY4340" s="331"/>
      <c r="AZ4340" s="331"/>
      <c r="BA4340" s="331"/>
      <c r="BB4340" s="331"/>
      <c r="BC4340" s="331"/>
      <c r="BD4340" s="331"/>
      <c r="BE4340" s="333"/>
      <c r="BF4340" s="330"/>
      <c r="BG4340" s="333"/>
      <c r="BH4340" s="1119"/>
      <c r="BI4340" s="319"/>
      <c r="BJ4340" s="319"/>
      <c r="BK4340" s="319"/>
      <c r="BL4340" s="319"/>
      <c r="BM4340" s="319"/>
      <c r="BN4340" s="319"/>
      <c r="BO4340" s="319"/>
      <c r="BP4340" s="953"/>
      <c r="BQ4340" s="319"/>
      <c r="BR4340" s="319"/>
      <c r="BS4340" s="330"/>
      <c r="BT4340" s="331"/>
      <c r="BU4340" s="920"/>
      <c r="BV4340" s="903"/>
      <c r="BW4340" s="908"/>
      <c r="BX4340" s="908"/>
      <c r="BY4340" s="331"/>
      <c r="BZ4340" s="331"/>
      <c r="CA4340" s="462"/>
      <c r="CB4340" s="319"/>
      <c r="CC4340" s="319"/>
      <c r="CD4340" s="319"/>
      <c r="CE4340" s="319"/>
      <c r="CF4340" s="319"/>
      <c r="CG4340" s="319"/>
      <c r="CH4340" s="318"/>
      <c r="CI4340" s="319"/>
      <c r="CJ4340" s="319"/>
      <c r="CK4340" s="342"/>
      <c r="CL4340" s="333"/>
      <c r="CM4340" s="1079"/>
      <c r="CN4340" s="1005"/>
      <c r="CO4340" s="1005"/>
      <c r="CP4340" s="1005"/>
    </row>
    <row r="4341">
      <c r="A4341" s="1257"/>
      <c r="B4341" s="1113"/>
      <c r="C4341" s="1107"/>
      <c r="D4341" s="103"/>
      <c r="E4341" s="1137"/>
      <c r="F4341" s="112"/>
      <c r="G4341" s="1110"/>
      <c r="H4341" s="1138"/>
      <c r="I4341" s="1138"/>
      <c r="J4341" s="1139"/>
      <c r="K4341" s="1111"/>
      <c r="L4341" s="1112"/>
      <c r="M4341" s="1113"/>
      <c r="N4341" s="110"/>
      <c r="O4341" s="1140"/>
      <c r="P4341" s="1115"/>
      <c r="Q4341" s="1116"/>
      <c r="R4341" s="1141"/>
      <c r="S4341" s="1113"/>
      <c r="T4341" s="1143"/>
      <c r="U4341" s="1108"/>
      <c r="V4341" s="1108"/>
      <c r="W4341" s="1108"/>
      <c r="X4341" s="1108"/>
      <c r="Y4341" s="1108"/>
      <c r="Z4341" s="1114"/>
      <c r="AA4341" s="1114"/>
      <c r="AB4341" s="1114"/>
      <c r="AC4341" s="1117"/>
      <c r="AD4341" s="1115"/>
      <c r="AE4341" s="1115"/>
      <c r="AF4341" s="1115"/>
      <c r="AG4341" s="1115"/>
      <c r="AH4341" s="1115"/>
      <c r="AI4341" s="1115"/>
      <c r="AJ4341" s="1117"/>
      <c r="AK4341" s="1118"/>
      <c r="AL4341" s="1115"/>
      <c r="AM4341" s="1115"/>
      <c r="AN4341" s="1115"/>
      <c r="AO4341" s="1115"/>
      <c r="AP4341" s="1115"/>
      <c r="AQ4341" s="1115"/>
      <c r="AR4341" s="1115"/>
      <c r="AS4341" s="1117"/>
      <c r="AT4341" s="1075"/>
      <c r="AU4341" s="1193"/>
      <c r="AV4341" s="330"/>
      <c r="AW4341" s="331"/>
      <c r="AX4341" s="331"/>
      <c r="AY4341" s="331"/>
      <c r="AZ4341" s="331"/>
      <c r="BA4341" s="331"/>
      <c r="BB4341" s="331"/>
      <c r="BC4341" s="331"/>
      <c r="BD4341" s="331"/>
      <c r="BE4341" s="333"/>
      <c r="BF4341" s="330"/>
      <c r="BG4341" s="333"/>
      <c r="BH4341" s="1119"/>
      <c r="BI4341" s="319"/>
      <c r="BJ4341" s="319"/>
      <c r="BK4341" s="319"/>
      <c r="BL4341" s="319"/>
      <c r="BM4341" s="319"/>
      <c r="BN4341" s="319"/>
      <c r="BO4341" s="319"/>
      <c r="BP4341" s="953"/>
      <c r="BQ4341" s="319"/>
      <c r="BR4341" s="319"/>
      <c r="BS4341" s="330"/>
      <c r="BT4341" s="331"/>
      <c r="BU4341" s="920"/>
      <c r="BV4341" s="903"/>
      <c r="BW4341" s="908"/>
      <c r="BX4341" s="908"/>
      <c r="BY4341" s="331"/>
      <c r="BZ4341" s="331"/>
      <c r="CA4341" s="462"/>
      <c r="CB4341" s="319"/>
      <c r="CC4341" s="319"/>
      <c r="CD4341" s="319"/>
      <c r="CE4341" s="319"/>
      <c r="CF4341" s="319"/>
      <c r="CG4341" s="319"/>
      <c r="CH4341" s="318"/>
      <c r="CI4341" s="319"/>
      <c r="CJ4341" s="319"/>
      <c r="CK4341" s="342"/>
      <c r="CL4341" s="333"/>
      <c r="CM4341" s="1079"/>
      <c r="CN4341" s="1005"/>
      <c r="CO4341" s="1005"/>
      <c r="CP4341" s="1005"/>
    </row>
    <row r="4342">
      <c r="A4342" s="1257"/>
      <c r="B4342" s="1113"/>
      <c r="C4342" s="1107"/>
      <c r="D4342" s="103"/>
      <c r="E4342" s="1137"/>
      <c r="F4342" s="112"/>
      <c r="G4342" s="1110"/>
      <c r="H4342" s="1138"/>
      <c r="I4342" s="1138"/>
      <c r="J4342" s="1139"/>
      <c r="K4342" s="1111"/>
      <c r="L4342" s="1112"/>
      <c r="M4342" s="1113"/>
      <c r="N4342" s="110"/>
      <c r="O4342" s="1140"/>
      <c r="P4342" s="1115"/>
      <c r="Q4342" s="1116"/>
      <c r="R4342" s="1141"/>
      <c r="S4342" s="1113"/>
      <c r="T4342" s="1143"/>
      <c r="U4342" s="1108"/>
      <c r="V4342" s="1108"/>
      <c r="W4342" s="1108"/>
      <c r="X4342" s="1108"/>
      <c r="Y4342" s="1108"/>
      <c r="Z4342" s="1114"/>
      <c r="AA4342" s="1114"/>
      <c r="AB4342" s="1114"/>
      <c r="AC4342" s="1117"/>
      <c r="AD4342" s="1115"/>
      <c r="AE4342" s="1115"/>
      <c r="AF4342" s="1115"/>
      <c r="AG4342" s="1115"/>
      <c r="AH4342" s="1115"/>
      <c r="AI4342" s="1115"/>
      <c r="AJ4342" s="1117"/>
      <c r="AK4342" s="1118"/>
      <c r="AL4342" s="1115"/>
      <c r="AM4342" s="1115"/>
      <c r="AN4342" s="1115"/>
      <c r="AO4342" s="1115"/>
      <c r="AP4342" s="1115"/>
      <c r="AQ4342" s="1115"/>
      <c r="AR4342" s="1115"/>
      <c r="AS4342" s="1117"/>
      <c r="AT4342" s="1075"/>
      <c r="AU4342" s="1193"/>
      <c r="AV4342" s="330"/>
      <c r="AW4342" s="331"/>
      <c r="AX4342" s="331"/>
      <c r="AY4342" s="331"/>
      <c r="AZ4342" s="331"/>
      <c r="BA4342" s="331"/>
      <c r="BB4342" s="331"/>
      <c r="BC4342" s="331"/>
      <c r="BD4342" s="331"/>
      <c r="BE4342" s="333"/>
      <c r="BF4342" s="330"/>
      <c r="BG4342" s="333"/>
      <c r="BH4342" s="1119"/>
      <c r="BI4342" s="319"/>
      <c r="BJ4342" s="319"/>
      <c r="BK4342" s="319"/>
      <c r="BL4342" s="319"/>
      <c r="BM4342" s="319"/>
      <c r="BN4342" s="319"/>
      <c r="BO4342" s="319"/>
      <c r="BP4342" s="953"/>
      <c r="BQ4342" s="319"/>
      <c r="BR4342" s="319"/>
      <c r="BS4342" s="330"/>
      <c r="BT4342" s="331"/>
      <c r="BU4342" s="920"/>
      <c r="BV4342" s="903"/>
      <c r="BW4342" s="908"/>
      <c r="BX4342" s="908"/>
      <c r="BY4342" s="331"/>
      <c r="BZ4342" s="331"/>
      <c r="CA4342" s="462"/>
      <c r="CB4342" s="319"/>
      <c r="CC4342" s="319"/>
      <c r="CD4342" s="319"/>
      <c r="CE4342" s="319"/>
      <c r="CF4342" s="319"/>
      <c r="CG4342" s="319"/>
      <c r="CH4342" s="318"/>
      <c r="CI4342" s="319"/>
      <c r="CJ4342" s="319"/>
      <c r="CK4342" s="342"/>
      <c r="CL4342" s="333"/>
      <c r="CM4342" s="1079"/>
      <c r="CN4342" s="1005"/>
      <c r="CO4342" s="1005"/>
      <c r="CP4342" s="1005"/>
    </row>
    <row r="4343">
      <c r="A4343" s="1257"/>
      <c r="B4343" s="1113"/>
      <c r="C4343" s="1107"/>
      <c r="D4343" s="103"/>
      <c r="E4343" s="1137"/>
      <c r="F4343" s="112"/>
      <c r="G4343" s="1110"/>
      <c r="H4343" s="1138"/>
      <c r="I4343" s="1138"/>
      <c r="J4343" s="1139"/>
      <c r="K4343" s="1111"/>
      <c r="L4343" s="1112"/>
      <c r="M4343" s="1113"/>
      <c r="N4343" s="110"/>
      <c r="O4343" s="1140"/>
      <c r="P4343" s="1115"/>
      <c r="Q4343" s="1116"/>
      <c r="R4343" s="1141"/>
      <c r="S4343" s="1113"/>
      <c r="T4343" s="1143"/>
      <c r="U4343" s="1108"/>
      <c r="V4343" s="1108"/>
      <c r="W4343" s="1108"/>
      <c r="X4343" s="1108"/>
      <c r="Y4343" s="1108"/>
      <c r="Z4343" s="1114"/>
      <c r="AA4343" s="1114"/>
      <c r="AB4343" s="1114"/>
      <c r="AC4343" s="1117"/>
      <c r="AD4343" s="1115"/>
      <c r="AE4343" s="1115"/>
      <c r="AF4343" s="1115"/>
      <c r="AG4343" s="1115"/>
      <c r="AH4343" s="1115"/>
      <c r="AI4343" s="1115"/>
      <c r="AJ4343" s="1117"/>
      <c r="AK4343" s="1118"/>
      <c r="AL4343" s="1115"/>
      <c r="AM4343" s="1115"/>
      <c r="AN4343" s="1115"/>
      <c r="AO4343" s="1115"/>
      <c r="AP4343" s="1115"/>
      <c r="AQ4343" s="1115"/>
      <c r="AR4343" s="1115"/>
      <c r="AS4343" s="1117"/>
      <c r="AT4343" s="1075"/>
      <c r="AU4343" s="1193"/>
      <c r="AV4343" s="330"/>
      <c r="AW4343" s="331"/>
      <c r="AX4343" s="331"/>
      <c r="AY4343" s="331"/>
      <c r="AZ4343" s="331"/>
      <c r="BA4343" s="331"/>
      <c r="BB4343" s="331"/>
      <c r="BC4343" s="331"/>
      <c r="BD4343" s="331"/>
      <c r="BE4343" s="333"/>
      <c r="BF4343" s="330"/>
      <c r="BG4343" s="333"/>
      <c r="BH4343" s="1119"/>
      <c r="BI4343" s="319"/>
      <c r="BJ4343" s="319"/>
      <c r="BK4343" s="319"/>
      <c r="BL4343" s="319"/>
      <c r="BM4343" s="319"/>
      <c r="BN4343" s="319"/>
      <c r="BO4343" s="319"/>
      <c r="BP4343" s="953"/>
      <c r="BQ4343" s="319"/>
      <c r="BR4343" s="319"/>
      <c r="BS4343" s="330"/>
      <c r="BT4343" s="331"/>
      <c r="BU4343" s="920"/>
      <c r="BV4343" s="903"/>
      <c r="BW4343" s="908"/>
      <c r="BX4343" s="908"/>
      <c r="BY4343" s="331"/>
      <c r="BZ4343" s="331"/>
      <c r="CA4343" s="462"/>
      <c r="CB4343" s="319"/>
      <c r="CC4343" s="319"/>
      <c r="CD4343" s="319"/>
      <c r="CE4343" s="319"/>
      <c r="CF4343" s="319"/>
      <c r="CG4343" s="319"/>
      <c r="CH4343" s="318"/>
      <c r="CI4343" s="319"/>
      <c r="CJ4343" s="319"/>
      <c r="CK4343" s="342"/>
      <c r="CL4343" s="333"/>
      <c r="CM4343" s="1079"/>
      <c r="CN4343" s="1005"/>
      <c r="CO4343" s="1005"/>
      <c r="CP4343" s="1005"/>
    </row>
    <row r="4344">
      <c r="A4344" s="1257"/>
      <c r="B4344" s="1113"/>
      <c r="C4344" s="1107"/>
      <c r="D4344" s="103"/>
      <c r="E4344" s="1137"/>
      <c r="F4344" s="112"/>
      <c r="G4344" s="1110"/>
      <c r="H4344" s="1138"/>
      <c r="I4344" s="1138"/>
      <c r="J4344" s="1139"/>
      <c r="K4344" s="1111"/>
      <c r="L4344" s="1112"/>
      <c r="M4344" s="1113"/>
      <c r="N4344" s="110"/>
      <c r="O4344" s="1140"/>
      <c r="P4344" s="1115"/>
      <c r="Q4344" s="1116"/>
      <c r="R4344" s="1141"/>
      <c r="S4344" s="1113"/>
      <c r="T4344" s="1143"/>
      <c r="U4344" s="1108"/>
      <c r="V4344" s="1108"/>
      <c r="W4344" s="1108"/>
      <c r="X4344" s="1108"/>
      <c r="Y4344" s="1108"/>
      <c r="Z4344" s="1114"/>
      <c r="AA4344" s="1114"/>
      <c r="AB4344" s="1114"/>
      <c r="AC4344" s="1117"/>
      <c r="AD4344" s="1115"/>
      <c r="AE4344" s="1115"/>
      <c r="AF4344" s="1115"/>
      <c r="AG4344" s="1115"/>
      <c r="AH4344" s="1115"/>
      <c r="AI4344" s="1115"/>
      <c r="AJ4344" s="1117"/>
      <c r="AK4344" s="1118"/>
      <c r="AL4344" s="1115"/>
      <c r="AM4344" s="1115"/>
      <c r="AN4344" s="1115"/>
      <c r="AO4344" s="1115"/>
      <c r="AP4344" s="1115"/>
      <c r="AQ4344" s="1115"/>
      <c r="AR4344" s="1115"/>
      <c r="AS4344" s="1117"/>
      <c r="AT4344" s="1075"/>
      <c r="AU4344" s="1193"/>
      <c r="AV4344" s="330"/>
      <c r="AW4344" s="331"/>
      <c r="AX4344" s="331"/>
      <c r="AY4344" s="331"/>
      <c r="AZ4344" s="331"/>
      <c r="BA4344" s="331"/>
      <c r="BB4344" s="331"/>
      <c r="BC4344" s="331"/>
      <c r="BD4344" s="331"/>
      <c r="BE4344" s="333"/>
      <c r="BF4344" s="330"/>
      <c r="BG4344" s="333"/>
      <c r="BH4344" s="1119"/>
      <c r="BI4344" s="319"/>
      <c r="BJ4344" s="319"/>
      <c r="BK4344" s="319"/>
      <c r="BL4344" s="319"/>
      <c r="BM4344" s="319"/>
      <c r="BN4344" s="319"/>
      <c r="BO4344" s="319"/>
      <c r="BP4344" s="953"/>
      <c r="BQ4344" s="319"/>
      <c r="BR4344" s="319"/>
      <c r="BS4344" s="330"/>
      <c r="BT4344" s="331"/>
      <c r="BU4344" s="920"/>
      <c r="BV4344" s="903"/>
      <c r="BW4344" s="908"/>
      <c r="BX4344" s="908"/>
      <c r="BY4344" s="331"/>
      <c r="BZ4344" s="331"/>
      <c r="CA4344" s="462"/>
      <c r="CB4344" s="319"/>
      <c r="CC4344" s="319"/>
      <c r="CD4344" s="319"/>
      <c r="CE4344" s="319"/>
      <c r="CF4344" s="319"/>
      <c r="CG4344" s="319"/>
      <c r="CH4344" s="318"/>
      <c r="CI4344" s="319"/>
      <c r="CJ4344" s="319"/>
      <c r="CK4344" s="342"/>
      <c r="CL4344" s="333"/>
      <c r="CM4344" s="1079"/>
      <c r="CN4344" s="1005"/>
      <c r="CO4344" s="1005"/>
      <c r="CP4344" s="1005"/>
    </row>
    <row r="4345">
      <c r="A4345" s="1257"/>
      <c r="B4345" s="1113"/>
      <c r="C4345" s="1107"/>
      <c r="D4345" s="103"/>
      <c r="E4345" s="1137"/>
      <c r="F4345" s="112"/>
      <c r="G4345" s="1110"/>
      <c r="H4345" s="1138"/>
      <c r="I4345" s="1138"/>
      <c r="J4345" s="1139"/>
      <c r="K4345" s="1111"/>
      <c r="L4345" s="1112"/>
      <c r="M4345" s="1113"/>
      <c r="N4345" s="110"/>
      <c r="O4345" s="1140"/>
      <c r="P4345" s="1115"/>
      <c r="Q4345" s="1116"/>
      <c r="R4345" s="1141"/>
      <c r="S4345" s="1113"/>
      <c r="T4345" s="1143"/>
      <c r="U4345" s="1108"/>
      <c r="V4345" s="1108"/>
      <c r="W4345" s="1108"/>
      <c r="X4345" s="1108"/>
      <c r="Y4345" s="1108"/>
      <c r="Z4345" s="1114"/>
      <c r="AA4345" s="1114"/>
      <c r="AB4345" s="1114"/>
      <c r="AC4345" s="1117"/>
      <c r="AD4345" s="1115"/>
      <c r="AE4345" s="1115"/>
      <c r="AF4345" s="1115"/>
      <c r="AG4345" s="1115"/>
      <c r="AH4345" s="1115"/>
      <c r="AI4345" s="1115"/>
      <c r="AJ4345" s="1117"/>
      <c r="AK4345" s="1118"/>
      <c r="AL4345" s="1115"/>
      <c r="AM4345" s="1115"/>
      <c r="AN4345" s="1115"/>
      <c r="AO4345" s="1115"/>
      <c r="AP4345" s="1115"/>
      <c r="AQ4345" s="1115"/>
      <c r="AR4345" s="1115"/>
      <c r="AS4345" s="1117"/>
      <c r="AT4345" s="1075"/>
      <c r="AU4345" s="1193"/>
      <c r="AV4345" s="330"/>
      <c r="AW4345" s="331"/>
      <c r="AX4345" s="331"/>
      <c r="AY4345" s="331"/>
      <c r="AZ4345" s="331"/>
      <c r="BA4345" s="331"/>
      <c r="BB4345" s="331"/>
      <c r="BC4345" s="331"/>
      <c r="BD4345" s="331"/>
      <c r="BE4345" s="333"/>
      <c r="BF4345" s="330"/>
      <c r="BG4345" s="333"/>
      <c r="BH4345" s="1119"/>
      <c r="BI4345" s="319"/>
      <c r="BJ4345" s="319"/>
      <c r="BK4345" s="319"/>
      <c r="BL4345" s="319"/>
      <c r="BM4345" s="319"/>
      <c r="BN4345" s="319"/>
      <c r="BO4345" s="319"/>
      <c r="BP4345" s="953"/>
      <c r="BQ4345" s="319"/>
      <c r="BR4345" s="319"/>
      <c r="BS4345" s="330"/>
      <c r="BT4345" s="331"/>
      <c r="BU4345" s="920"/>
      <c r="BV4345" s="903"/>
      <c r="BW4345" s="908"/>
      <c r="BX4345" s="908"/>
      <c r="BY4345" s="331"/>
      <c r="BZ4345" s="331"/>
      <c r="CA4345" s="462"/>
      <c r="CB4345" s="319"/>
      <c r="CC4345" s="319"/>
      <c r="CD4345" s="319"/>
      <c r="CE4345" s="319"/>
      <c r="CF4345" s="319"/>
      <c r="CG4345" s="319"/>
      <c r="CH4345" s="318"/>
      <c r="CI4345" s="319"/>
      <c r="CJ4345" s="319"/>
      <c r="CK4345" s="342"/>
      <c r="CL4345" s="333"/>
      <c r="CM4345" s="1079"/>
      <c r="CN4345" s="1005"/>
      <c r="CO4345" s="1005"/>
      <c r="CP4345" s="1005"/>
    </row>
    <row r="4346">
      <c r="A4346" s="1257"/>
      <c r="B4346" s="1113"/>
      <c r="C4346" s="1107"/>
      <c r="D4346" s="103"/>
      <c r="E4346" s="1137"/>
      <c r="F4346" s="112"/>
      <c r="G4346" s="1110"/>
      <c r="H4346" s="1138"/>
      <c r="I4346" s="1138"/>
      <c r="J4346" s="1139"/>
      <c r="K4346" s="1111"/>
      <c r="L4346" s="1112"/>
      <c r="M4346" s="1113"/>
      <c r="N4346" s="110"/>
      <c r="O4346" s="1140"/>
      <c r="P4346" s="1115"/>
      <c r="Q4346" s="1116"/>
      <c r="R4346" s="1141"/>
      <c r="S4346" s="1113"/>
      <c r="T4346" s="1143"/>
      <c r="U4346" s="1108"/>
      <c r="V4346" s="1108"/>
      <c r="W4346" s="1108"/>
      <c r="X4346" s="1108"/>
      <c r="Y4346" s="1108"/>
      <c r="Z4346" s="1114"/>
      <c r="AA4346" s="1114"/>
      <c r="AB4346" s="1114"/>
      <c r="AC4346" s="1117"/>
      <c r="AD4346" s="1115"/>
      <c r="AE4346" s="1115"/>
      <c r="AF4346" s="1115"/>
      <c r="AG4346" s="1115"/>
      <c r="AH4346" s="1115"/>
      <c r="AI4346" s="1115"/>
      <c r="AJ4346" s="1117"/>
      <c r="AK4346" s="1118"/>
      <c r="AL4346" s="1115"/>
      <c r="AM4346" s="1115"/>
      <c r="AN4346" s="1115"/>
      <c r="AO4346" s="1115"/>
      <c r="AP4346" s="1115"/>
      <c r="AQ4346" s="1115"/>
      <c r="AR4346" s="1115"/>
      <c r="AS4346" s="1117"/>
      <c r="AT4346" s="1075"/>
      <c r="AU4346" s="1193"/>
      <c r="AV4346" s="330"/>
      <c r="AW4346" s="331"/>
      <c r="AX4346" s="331"/>
      <c r="AY4346" s="331"/>
      <c r="AZ4346" s="331"/>
      <c r="BA4346" s="331"/>
      <c r="BB4346" s="331"/>
      <c r="BC4346" s="331"/>
      <c r="BD4346" s="331"/>
      <c r="BE4346" s="333"/>
      <c r="BF4346" s="330"/>
      <c r="BG4346" s="333"/>
      <c r="BH4346" s="1119"/>
      <c r="BI4346" s="319"/>
      <c r="BJ4346" s="319"/>
      <c r="BK4346" s="319"/>
      <c r="BL4346" s="319"/>
      <c r="BM4346" s="319"/>
      <c r="BN4346" s="319"/>
      <c r="BO4346" s="319"/>
      <c r="BP4346" s="953"/>
      <c r="BQ4346" s="319"/>
      <c r="BR4346" s="319"/>
      <c r="BS4346" s="330"/>
      <c r="BT4346" s="331"/>
      <c r="BU4346" s="920"/>
      <c r="BV4346" s="903"/>
      <c r="BW4346" s="908"/>
      <c r="BX4346" s="908"/>
      <c r="BY4346" s="331"/>
      <c r="BZ4346" s="331"/>
      <c r="CA4346" s="462"/>
      <c r="CB4346" s="319"/>
      <c r="CC4346" s="319"/>
      <c r="CD4346" s="319"/>
      <c r="CE4346" s="319"/>
      <c r="CF4346" s="319"/>
      <c r="CG4346" s="319"/>
      <c r="CH4346" s="318"/>
      <c r="CI4346" s="319"/>
      <c r="CJ4346" s="319"/>
      <c r="CK4346" s="342"/>
      <c r="CL4346" s="333"/>
      <c r="CM4346" s="1079"/>
      <c r="CN4346" s="1005"/>
      <c r="CO4346" s="1005"/>
      <c r="CP4346" s="1005"/>
    </row>
    <row r="4347">
      <c r="A4347" s="1257"/>
      <c r="B4347" s="1113"/>
      <c r="C4347" s="1107"/>
      <c r="D4347" s="103"/>
      <c r="E4347" s="1137"/>
      <c r="F4347" s="112"/>
      <c r="G4347" s="1110"/>
      <c r="H4347" s="1138"/>
      <c r="I4347" s="1138"/>
      <c r="J4347" s="1139"/>
      <c r="K4347" s="1111"/>
      <c r="L4347" s="1112"/>
      <c r="M4347" s="1113"/>
      <c r="N4347" s="110"/>
      <c r="O4347" s="1140"/>
      <c r="P4347" s="1115"/>
      <c r="Q4347" s="1116"/>
      <c r="R4347" s="1141"/>
      <c r="S4347" s="1113"/>
      <c r="T4347" s="1143"/>
      <c r="U4347" s="1108"/>
      <c r="V4347" s="1108"/>
      <c r="W4347" s="1108"/>
      <c r="X4347" s="1108"/>
      <c r="Y4347" s="1108"/>
      <c r="Z4347" s="1114"/>
      <c r="AA4347" s="1114"/>
      <c r="AB4347" s="1114"/>
      <c r="AC4347" s="1117"/>
      <c r="AD4347" s="1115"/>
      <c r="AE4347" s="1115"/>
      <c r="AF4347" s="1115"/>
      <c r="AG4347" s="1115"/>
      <c r="AH4347" s="1115"/>
      <c r="AI4347" s="1115"/>
      <c r="AJ4347" s="1117"/>
      <c r="AK4347" s="1118"/>
      <c r="AL4347" s="1115"/>
      <c r="AM4347" s="1115"/>
      <c r="AN4347" s="1115"/>
      <c r="AO4347" s="1115"/>
      <c r="AP4347" s="1115"/>
      <c r="AQ4347" s="1115"/>
      <c r="AR4347" s="1115"/>
      <c r="AS4347" s="1117"/>
      <c r="AT4347" s="1075"/>
      <c r="AU4347" s="1193"/>
      <c r="AV4347" s="330"/>
      <c r="AW4347" s="331"/>
      <c r="AX4347" s="331"/>
      <c r="AY4347" s="331"/>
      <c r="AZ4347" s="331"/>
      <c r="BA4347" s="331"/>
      <c r="BB4347" s="331"/>
      <c r="BC4347" s="331"/>
      <c r="BD4347" s="331"/>
      <c r="BE4347" s="333"/>
      <c r="BF4347" s="330"/>
      <c r="BG4347" s="333"/>
      <c r="BH4347" s="1119"/>
      <c r="BI4347" s="319"/>
      <c r="BJ4347" s="319"/>
      <c r="BK4347" s="319"/>
      <c r="BL4347" s="319"/>
      <c r="BM4347" s="319"/>
      <c r="BN4347" s="319"/>
      <c r="BO4347" s="319"/>
      <c r="BP4347" s="953"/>
      <c r="BQ4347" s="319"/>
      <c r="BR4347" s="319"/>
      <c r="BS4347" s="330"/>
      <c r="BT4347" s="331"/>
      <c r="BU4347" s="920"/>
      <c r="BV4347" s="903"/>
      <c r="BW4347" s="908"/>
      <c r="BX4347" s="908"/>
      <c r="BY4347" s="331"/>
      <c r="BZ4347" s="331"/>
      <c r="CA4347" s="462"/>
      <c r="CB4347" s="319"/>
      <c r="CC4347" s="319"/>
      <c r="CD4347" s="319"/>
      <c r="CE4347" s="319"/>
      <c r="CF4347" s="319"/>
      <c r="CG4347" s="319"/>
      <c r="CH4347" s="318"/>
      <c r="CI4347" s="319"/>
      <c r="CJ4347" s="319"/>
      <c r="CK4347" s="342"/>
      <c r="CL4347" s="333"/>
      <c r="CM4347" s="1079"/>
      <c r="CN4347" s="1005"/>
      <c r="CO4347" s="1005"/>
      <c r="CP4347" s="1005"/>
    </row>
    <row r="4348">
      <c r="A4348" s="1257"/>
      <c r="B4348" s="1113"/>
      <c r="C4348" s="1107"/>
      <c r="D4348" s="103"/>
      <c r="E4348" s="1137"/>
      <c r="F4348" s="112"/>
      <c r="G4348" s="1110"/>
      <c r="H4348" s="1138"/>
      <c r="I4348" s="1138"/>
      <c r="J4348" s="1139"/>
      <c r="K4348" s="1111"/>
      <c r="L4348" s="1112"/>
      <c r="M4348" s="1113"/>
      <c r="N4348" s="110"/>
      <c r="O4348" s="1140"/>
      <c r="P4348" s="1115"/>
      <c r="Q4348" s="1116"/>
      <c r="R4348" s="1141"/>
      <c r="S4348" s="1113"/>
      <c r="T4348" s="1143"/>
      <c r="U4348" s="1108"/>
      <c r="V4348" s="1108"/>
      <c r="W4348" s="1108"/>
      <c r="X4348" s="1108"/>
      <c r="Y4348" s="1108"/>
      <c r="Z4348" s="1114"/>
      <c r="AA4348" s="1114"/>
      <c r="AB4348" s="1114"/>
      <c r="AC4348" s="1117"/>
      <c r="AD4348" s="1115"/>
      <c r="AE4348" s="1115"/>
      <c r="AF4348" s="1115"/>
      <c r="AG4348" s="1115"/>
      <c r="AH4348" s="1115"/>
      <c r="AI4348" s="1115"/>
      <c r="AJ4348" s="1117"/>
      <c r="AK4348" s="1118"/>
      <c r="AL4348" s="1115"/>
      <c r="AM4348" s="1115"/>
      <c r="AN4348" s="1115"/>
      <c r="AO4348" s="1115"/>
      <c r="AP4348" s="1115"/>
      <c r="AQ4348" s="1115"/>
      <c r="AR4348" s="1115"/>
      <c r="AS4348" s="1117"/>
      <c r="AT4348" s="1075"/>
      <c r="AU4348" s="1193"/>
      <c r="AV4348" s="330"/>
      <c r="AW4348" s="331"/>
      <c r="AX4348" s="331"/>
      <c r="AY4348" s="331"/>
      <c r="AZ4348" s="331"/>
      <c r="BA4348" s="331"/>
      <c r="BB4348" s="331"/>
      <c r="BC4348" s="331"/>
      <c r="BD4348" s="331"/>
      <c r="BE4348" s="333"/>
      <c r="BF4348" s="330"/>
      <c r="BG4348" s="333"/>
      <c r="BH4348" s="1119"/>
      <c r="BI4348" s="319"/>
      <c r="BJ4348" s="319"/>
      <c r="BK4348" s="319"/>
      <c r="BL4348" s="319"/>
      <c r="BM4348" s="319"/>
      <c r="BN4348" s="319"/>
      <c r="BO4348" s="319"/>
      <c r="BP4348" s="953"/>
      <c r="BQ4348" s="319"/>
      <c r="BR4348" s="319"/>
      <c r="BS4348" s="330"/>
      <c r="BT4348" s="331"/>
      <c r="BU4348" s="920"/>
      <c r="BV4348" s="903"/>
      <c r="BW4348" s="908"/>
      <c r="BX4348" s="908"/>
      <c r="BY4348" s="331"/>
      <c r="BZ4348" s="331"/>
      <c r="CA4348" s="462"/>
      <c r="CB4348" s="319"/>
      <c r="CC4348" s="319"/>
      <c r="CD4348" s="319"/>
      <c r="CE4348" s="319"/>
      <c r="CF4348" s="319"/>
      <c r="CG4348" s="319"/>
      <c r="CH4348" s="318"/>
      <c r="CI4348" s="319"/>
      <c r="CJ4348" s="319"/>
      <c r="CK4348" s="342"/>
      <c r="CL4348" s="333"/>
      <c r="CM4348" s="1079"/>
      <c r="CN4348" s="1005"/>
      <c r="CO4348" s="1005"/>
      <c r="CP4348" s="1005"/>
    </row>
    <row r="4349">
      <c r="A4349" s="1257"/>
      <c r="B4349" s="1113"/>
      <c r="C4349" s="1107"/>
      <c r="D4349" s="103"/>
      <c r="E4349" s="1137"/>
      <c r="F4349" s="112"/>
      <c r="G4349" s="1110"/>
      <c r="H4349" s="1138"/>
      <c r="I4349" s="1138"/>
      <c r="J4349" s="1139"/>
      <c r="K4349" s="1111"/>
      <c r="L4349" s="1112"/>
      <c r="M4349" s="1113"/>
      <c r="N4349" s="110"/>
      <c r="O4349" s="1140"/>
      <c r="P4349" s="1115"/>
      <c r="Q4349" s="1116"/>
      <c r="R4349" s="1141"/>
      <c r="S4349" s="1113"/>
      <c r="T4349" s="1143"/>
      <c r="U4349" s="1108"/>
      <c r="V4349" s="1108"/>
      <c r="W4349" s="1108"/>
      <c r="X4349" s="1108"/>
      <c r="Y4349" s="1108"/>
      <c r="Z4349" s="1114"/>
      <c r="AA4349" s="1114"/>
      <c r="AB4349" s="1114"/>
      <c r="AC4349" s="1117"/>
      <c r="AD4349" s="1115"/>
      <c r="AE4349" s="1115"/>
      <c r="AF4349" s="1115"/>
      <c r="AG4349" s="1115"/>
      <c r="AH4349" s="1115"/>
      <c r="AI4349" s="1115"/>
      <c r="AJ4349" s="1117"/>
      <c r="AK4349" s="1118"/>
      <c r="AL4349" s="1115"/>
      <c r="AM4349" s="1115"/>
      <c r="AN4349" s="1115"/>
      <c r="AO4349" s="1115"/>
      <c r="AP4349" s="1115"/>
      <c r="AQ4349" s="1115"/>
      <c r="AR4349" s="1115"/>
      <c r="AS4349" s="1117"/>
      <c r="AT4349" s="1075"/>
      <c r="AU4349" s="1193"/>
      <c r="AV4349" s="330"/>
      <c r="AW4349" s="331"/>
      <c r="AX4349" s="331"/>
      <c r="AY4349" s="331"/>
      <c r="AZ4349" s="331"/>
      <c r="BA4349" s="331"/>
      <c r="BB4349" s="331"/>
      <c r="BC4349" s="331"/>
      <c r="BD4349" s="331"/>
      <c r="BE4349" s="333"/>
      <c r="BF4349" s="330"/>
      <c r="BG4349" s="333"/>
      <c r="BH4349" s="1119"/>
      <c r="BI4349" s="319"/>
      <c r="BJ4349" s="319"/>
      <c r="BK4349" s="319"/>
      <c r="BL4349" s="319"/>
      <c r="BM4349" s="319"/>
      <c r="BN4349" s="319"/>
      <c r="BO4349" s="319"/>
      <c r="BP4349" s="953"/>
      <c r="BQ4349" s="319"/>
      <c r="BR4349" s="319"/>
      <c r="BS4349" s="330"/>
      <c r="BT4349" s="331"/>
      <c r="BU4349" s="920"/>
      <c r="BV4349" s="903"/>
      <c r="BW4349" s="908"/>
      <c r="BX4349" s="908"/>
      <c r="BY4349" s="331"/>
      <c r="BZ4349" s="331"/>
      <c r="CA4349" s="462"/>
      <c r="CB4349" s="319"/>
      <c r="CC4349" s="319"/>
      <c r="CD4349" s="319"/>
      <c r="CE4349" s="319"/>
      <c r="CF4349" s="319"/>
      <c r="CG4349" s="319"/>
      <c r="CH4349" s="318"/>
      <c r="CI4349" s="319"/>
      <c r="CJ4349" s="319"/>
      <c r="CK4349" s="342"/>
      <c r="CL4349" s="333"/>
      <c r="CM4349" s="1079"/>
      <c r="CN4349" s="1005"/>
      <c r="CO4349" s="1005"/>
      <c r="CP4349" s="1005"/>
    </row>
    <row r="4350">
      <c r="A4350" s="1257"/>
      <c r="B4350" s="1113"/>
      <c r="C4350" s="1107"/>
      <c r="D4350" s="103"/>
      <c r="E4350" s="1137"/>
      <c r="F4350" s="112"/>
      <c r="G4350" s="1110"/>
      <c r="H4350" s="1138"/>
      <c r="I4350" s="1138"/>
      <c r="J4350" s="1139"/>
      <c r="K4350" s="1111"/>
      <c r="L4350" s="1112"/>
      <c r="M4350" s="1113"/>
      <c r="N4350" s="110"/>
      <c r="O4350" s="1140"/>
      <c r="P4350" s="1115"/>
      <c r="Q4350" s="1116"/>
      <c r="R4350" s="1141"/>
      <c r="S4350" s="1113"/>
      <c r="T4350" s="1143"/>
      <c r="U4350" s="1108"/>
      <c r="V4350" s="1108"/>
      <c r="W4350" s="1108"/>
      <c r="X4350" s="1108"/>
      <c r="Y4350" s="1108"/>
      <c r="Z4350" s="1114"/>
      <c r="AA4350" s="1114"/>
      <c r="AB4350" s="1114"/>
      <c r="AC4350" s="1117"/>
      <c r="AD4350" s="1115"/>
      <c r="AE4350" s="1115"/>
      <c r="AF4350" s="1115"/>
      <c r="AG4350" s="1115"/>
      <c r="AH4350" s="1115"/>
      <c r="AI4350" s="1115"/>
      <c r="AJ4350" s="1117"/>
      <c r="AK4350" s="1118"/>
      <c r="AL4350" s="1115"/>
      <c r="AM4350" s="1115"/>
      <c r="AN4350" s="1115"/>
      <c r="AO4350" s="1115"/>
      <c r="AP4350" s="1115"/>
      <c r="AQ4350" s="1115"/>
      <c r="AR4350" s="1115"/>
      <c r="AS4350" s="1117"/>
      <c r="AT4350" s="1075"/>
      <c r="AU4350" s="1193"/>
      <c r="AV4350" s="330"/>
      <c r="AW4350" s="331"/>
      <c r="AX4350" s="331"/>
      <c r="AY4350" s="331"/>
      <c r="AZ4350" s="331"/>
      <c r="BA4350" s="331"/>
      <c r="BB4350" s="331"/>
      <c r="BC4350" s="331"/>
      <c r="BD4350" s="331"/>
      <c r="BE4350" s="333"/>
      <c r="BF4350" s="330"/>
      <c r="BG4350" s="333"/>
      <c r="BH4350" s="1119"/>
      <c r="BI4350" s="319"/>
      <c r="BJ4350" s="319"/>
      <c r="BK4350" s="319"/>
      <c r="BL4350" s="319"/>
      <c r="BM4350" s="319"/>
      <c r="BN4350" s="319"/>
      <c r="BO4350" s="319"/>
      <c r="BP4350" s="953"/>
      <c r="BQ4350" s="319"/>
      <c r="BR4350" s="319"/>
      <c r="BS4350" s="330"/>
      <c r="BT4350" s="331"/>
      <c r="BU4350" s="920"/>
      <c r="BV4350" s="903"/>
      <c r="BW4350" s="908"/>
      <c r="BX4350" s="908"/>
      <c r="BY4350" s="331"/>
      <c r="BZ4350" s="331"/>
      <c r="CA4350" s="462"/>
      <c r="CB4350" s="319"/>
      <c r="CC4350" s="319"/>
      <c r="CD4350" s="319"/>
      <c r="CE4350" s="319"/>
      <c r="CF4350" s="319"/>
      <c r="CG4350" s="319"/>
      <c r="CH4350" s="318"/>
      <c r="CI4350" s="319"/>
      <c r="CJ4350" s="319"/>
      <c r="CK4350" s="342"/>
      <c r="CL4350" s="333"/>
      <c r="CM4350" s="1079"/>
      <c r="CN4350" s="1005"/>
      <c r="CO4350" s="1005"/>
      <c r="CP4350" s="1005"/>
    </row>
    <row r="4351">
      <c r="A4351" s="1257"/>
      <c r="B4351" s="1113"/>
      <c r="C4351" s="1107"/>
      <c r="D4351" s="103"/>
      <c r="E4351" s="1137"/>
      <c r="F4351" s="112"/>
      <c r="G4351" s="1110"/>
      <c r="H4351" s="1138"/>
      <c r="I4351" s="1138"/>
      <c r="J4351" s="1139"/>
      <c r="K4351" s="1111"/>
      <c r="L4351" s="1112"/>
      <c r="M4351" s="1113"/>
      <c r="N4351" s="110"/>
      <c r="O4351" s="1140"/>
      <c r="P4351" s="1115"/>
      <c r="Q4351" s="1116"/>
      <c r="R4351" s="1141"/>
      <c r="S4351" s="1113"/>
      <c r="T4351" s="1143"/>
      <c r="U4351" s="1108"/>
      <c r="V4351" s="1108"/>
      <c r="W4351" s="1108"/>
      <c r="X4351" s="1108"/>
      <c r="Y4351" s="1108"/>
      <c r="Z4351" s="1114"/>
      <c r="AA4351" s="1114"/>
      <c r="AB4351" s="1114"/>
      <c r="AC4351" s="1117"/>
      <c r="AD4351" s="1115"/>
      <c r="AE4351" s="1115"/>
      <c r="AF4351" s="1115"/>
      <c r="AG4351" s="1115"/>
      <c r="AH4351" s="1115"/>
      <c r="AI4351" s="1115"/>
      <c r="AJ4351" s="1117"/>
      <c r="AK4351" s="1118"/>
      <c r="AL4351" s="1115"/>
      <c r="AM4351" s="1115"/>
      <c r="AN4351" s="1115"/>
      <c r="AO4351" s="1115"/>
      <c r="AP4351" s="1115"/>
      <c r="AQ4351" s="1115"/>
      <c r="AR4351" s="1115"/>
      <c r="AS4351" s="1117"/>
      <c r="AT4351" s="1075"/>
      <c r="AU4351" s="1193"/>
      <c r="AV4351" s="330"/>
      <c r="AW4351" s="331"/>
      <c r="AX4351" s="331"/>
      <c r="AY4351" s="331"/>
      <c r="AZ4351" s="331"/>
      <c r="BA4351" s="331"/>
      <c r="BB4351" s="331"/>
      <c r="BC4351" s="331"/>
      <c r="BD4351" s="331"/>
      <c r="BE4351" s="333"/>
      <c r="BF4351" s="330"/>
      <c r="BG4351" s="333"/>
      <c r="BH4351" s="1119"/>
      <c r="BI4351" s="319"/>
      <c r="BJ4351" s="319"/>
      <c r="BK4351" s="319"/>
      <c r="BL4351" s="319"/>
      <c r="BM4351" s="319"/>
      <c r="BN4351" s="319"/>
      <c r="BO4351" s="319"/>
      <c r="BP4351" s="953"/>
      <c r="BQ4351" s="319"/>
      <c r="BR4351" s="319"/>
      <c r="BS4351" s="330"/>
      <c r="BT4351" s="331"/>
      <c r="BU4351" s="920"/>
      <c r="BV4351" s="903"/>
      <c r="BW4351" s="908"/>
      <c r="BX4351" s="908"/>
      <c r="BY4351" s="331"/>
      <c r="BZ4351" s="331"/>
      <c r="CA4351" s="462"/>
      <c r="CB4351" s="319"/>
      <c r="CC4351" s="319"/>
      <c r="CD4351" s="319"/>
      <c r="CE4351" s="319"/>
      <c r="CF4351" s="319"/>
      <c r="CG4351" s="319"/>
      <c r="CH4351" s="318"/>
      <c r="CI4351" s="319"/>
      <c r="CJ4351" s="319"/>
      <c r="CK4351" s="342"/>
      <c r="CL4351" s="333"/>
      <c r="CM4351" s="1079"/>
      <c r="CN4351" s="1005"/>
      <c r="CO4351" s="1005"/>
      <c r="CP4351" s="1005"/>
    </row>
    <row r="4352">
      <c r="A4352" s="1257"/>
      <c r="B4352" s="1113"/>
      <c r="C4352" s="1107"/>
      <c r="D4352" s="103"/>
      <c r="E4352" s="1137"/>
      <c r="F4352" s="112"/>
      <c r="G4352" s="1110"/>
      <c r="H4352" s="1138"/>
      <c r="I4352" s="1138"/>
      <c r="J4352" s="1139"/>
      <c r="K4352" s="1111"/>
      <c r="L4352" s="1112"/>
      <c r="M4352" s="1113"/>
      <c r="N4352" s="110"/>
      <c r="O4352" s="1140"/>
      <c r="P4352" s="1115"/>
      <c r="Q4352" s="1116"/>
      <c r="R4352" s="1141"/>
      <c r="S4352" s="1113"/>
      <c r="T4352" s="1143"/>
      <c r="U4352" s="1108"/>
      <c r="V4352" s="1108"/>
      <c r="W4352" s="1108"/>
      <c r="X4352" s="1108"/>
      <c r="Y4352" s="1108"/>
      <c r="Z4352" s="1114"/>
      <c r="AA4352" s="1114"/>
      <c r="AB4352" s="1114"/>
      <c r="AC4352" s="1117"/>
      <c r="AD4352" s="1115"/>
      <c r="AE4352" s="1115"/>
      <c r="AF4352" s="1115"/>
      <c r="AG4352" s="1115"/>
      <c r="AH4352" s="1115"/>
      <c r="AI4352" s="1115"/>
      <c r="AJ4352" s="1117"/>
      <c r="AK4352" s="1118"/>
      <c r="AL4352" s="1115"/>
      <c r="AM4352" s="1115"/>
      <c r="AN4352" s="1115"/>
      <c r="AO4352" s="1115"/>
      <c r="AP4352" s="1115"/>
      <c r="AQ4352" s="1115"/>
      <c r="AR4352" s="1115"/>
      <c r="AS4352" s="1117"/>
      <c r="AT4352" s="1075"/>
      <c r="AU4352" s="1193"/>
      <c r="AV4352" s="330"/>
      <c r="AW4352" s="331"/>
      <c r="AX4352" s="331"/>
      <c r="AY4352" s="331"/>
      <c r="AZ4352" s="331"/>
      <c r="BA4352" s="331"/>
      <c r="BB4352" s="331"/>
      <c r="BC4352" s="331"/>
      <c r="BD4352" s="331"/>
      <c r="BE4352" s="333"/>
      <c r="BF4352" s="330"/>
      <c r="BG4352" s="333"/>
      <c r="BH4352" s="1119"/>
      <c r="BI4352" s="319"/>
      <c r="BJ4352" s="319"/>
      <c r="BK4352" s="319"/>
      <c r="BL4352" s="319"/>
      <c r="BM4352" s="319"/>
      <c r="BN4352" s="319"/>
      <c r="BO4352" s="319"/>
      <c r="BP4352" s="953"/>
      <c r="BQ4352" s="319"/>
      <c r="BR4352" s="319"/>
      <c r="BS4352" s="330"/>
      <c r="BT4352" s="331"/>
      <c r="BU4352" s="920"/>
      <c r="BV4352" s="903"/>
      <c r="BW4352" s="908"/>
      <c r="BX4352" s="908"/>
      <c r="BY4352" s="331"/>
      <c r="BZ4352" s="331"/>
      <c r="CA4352" s="462"/>
      <c r="CB4352" s="319"/>
      <c r="CC4352" s="319"/>
      <c r="CD4352" s="319"/>
      <c r="CE4352" s="319"/>
      <c r="CF4352" s="319"/>
      <c r="CG4352" s="319"/>
      <c r="CH4352" s="318"/>
      <c r="CI4352" s="319"/>
      <c r="CJ4352" s="319"/>
      <c r="CK4352" s="342"/>
      <c r="CL4352" s="333"/>
      <c r="CM4352" s="1079"/>
      <c r="CN4352" s="1005"/>
      <c r="CO4352" s="1005"/>
      <c r="CP4352" s="1005"/>
    </row>
    <row r="4353">
      <c r="A4353" s="1257"/>
      <c r="B4353" s="1113"/>
      <c r="C4353" s="1107"/>
      <c r="D4353" s="103"/>
      <c r="E4353" s="1137"/>
      <c r="F4353" s="112"/>
      <c r="G4353" s="1110"/>
      <c r="H4353" s="1138"/>
      <c r="I4353" s="1138"/>
      <c r="J4353" s="1139"/>
      <c r="K4353" s="1111"/>
      <c r="L4353" s="1112"/>
      <c r="M4353" s="1113"/>
      <c r="N4353" s="110"/>
      <c r="O4353" s="1140"/>
      <c r="P4353" s="1115"/>
      <c r="Q4353" s="1116"/>
      <c r="R4353" s="1141"/>
      <c r="S4353" s="1113"/>
      <c r="T4353" s="1143"/>
      <c r="U4353" s="1108"/>
      <c r="V4353" s="1108"/>
      <c r="W4353" s="1108"/>
      <c r="X4353" s="1108"/>
      <c r="Y4353" s="1108"/>
      <c r="Z4353" s="1114"/>
      <c r="AA4353" s="1114"/>
      <c r="AB4353" s="1114"/>
      <c r="AC4353" s="1117"/>
      <c r="AD4353" s="1115"/>
      <c r="AE4353" s="1115"/>
      <c r="AF4353" s="1115"/>
      <c r="AG4353" s="1115"/>
      <c r="AH4353" s="1115"/>
      <c r="AI4353" s="1115"/>
      <c r="AJ4353" s="1117"/>
      <c r="AK4353" s="1118"/>
      <c r="AL4353" s="1115"/>
      <c r="AM4353" s="1115"/>
      <c r="AN4353" s="1115"/>
      <c r="AO4353" s="1115"/>
      <c r="AP4353" s="1115"/>
      <c r="AQ4353" s="1115"/>
      <c r="AR4353" s="1115"/>
      <c r="AS4353" s="1117"/>
      <c r="AT4353" s="1075"/>
      <c r="AU4353" s="1193"/>
      <c r="AV4353" s="330"/>
      <c r="AW4353" s="331"/>
      <c r="AX4353" s="331"/>
      <c r="AY4353" s="331"/>
      <c r="AZ4353" s="331"/>
      <c r="BA4353" s="331"/>
      <c r="BB4353" s="331"/>
      <c r="BC4353" s="331"/>
      <c r="BD4353" s="331"/>
      <c r="BE4353" s="333"/>
      <c r="BF4353" s="330"/>
      <c r="BG4353" s="333"/>
      <c r="BH4353" s="1119"/>
      <c r="BI4353" s="319"/>
      <c r="BJ4353" s="319"/>
      <c r="BK4353" s="319"/>
      <c r="BL4353" s="319"/>
      <c r="BM4353" s="319"/>
      <c r="BN4353" s="319"/>
      <c r="BO4353" s="319"/>
      <c r="BP4353" s="953"/>
      <c r="BQ4353" s="319"/>
      <c r="BR4353" s="319"/>
      <c r="BS4353" s="330"/>
      <c r="BT4353" s="331"/>
      <c r="BU4353" s="920"/>
      <c r="BV4353" s="903"/>
      <c r="BW4353" s="908"/>
      <c r="BX4353" s="908"/>
      <c r="BY4353" s="331"/>
      <c r="BZ4353" s="331"/>
      <c r="CA4353" s="462"/>
      <c r="CB4353" s="319"/>
      <c r="CC4353" s="319"/>
      <c r="CD4353" s="319"/>
      <c r="CE4353" s="319"/>
      <c r="CF4353" s="319"/>
      <c r="CG4353" s="319"/>
      <c r="CH4353" s="318"/>
      <c r="CI4353" s="319"/>
      <c r="CJ4353" s="319"/>
      <c r="CK4353" s="342"/>
      <c r="CL4353" s="333"/>
      <c r="CM4353" s="1079"/>
      <c r="CN4353" s="1005"/>
      <c r="CO4353" s="1005"/>
      <c r="CP4353" s="1005"/>
    </row>
    <row r="4354">
      <c r="A4354" s="1257"/>
      <c r="B4354" s="1113"/>
      <c r="C4354" s="1107"/>
      <c r="D4354" s="103"/>
      <c r="E4354" s="1137"/>
      <c r="F4354" s="112"/>
      <c r="G4354" s="1110"/>
      <c r="H4354" s="1138"/>
      <c r="I4354" s="1138"/>
      <c r="J4354" s="1139"/>
      <c r="K4354" s="1111"/>
      <c r="L4354" s="1112"/>
      <c r="M4354" s="1113"/>
      <c r="N4354" s="110"/>
      <c r="O4354" s="1140"/>
      <c r="P4354" s="1115"/>
      <c r="Q4354" s="1116"/>
      <c r="R4354" s="1141"/>
      <c r="S4354" s="1113"/>
      <c r="T4354" s="1143"/>
      <c r="U4354" s="1108"/>
      <c r="V4354" s="1108"/>
      <c r="W4354" s="1108"/>
      <c r="X4354" s="1108"/>
      <c r="Y4354" s="1108"/>
      <c r="Z4354" s="1114"/>
      <c r="AA4354" s="1114"/>
      <c r="AB4354" s="1114"/>
      <c r="AC4354" s="1117"/>
      <c r="AD4354" s="1115"/>
      <c r="AE4354" s="1115"/>
      <c r="AF4354" s="1115"/>
      <c r="AG4354" s="1115"/>
      <c r="AH4354" s="1115"/>
      <c r="AI4354" s="1115"/>
      <c r="AJ4354" s="1117"/>
      <c r="AK4354" s="1118"/>
      <c r="AL4354" s="1115"/>
      <c r="AM4354" s="1115"/>
      <c r="AN4354" s="1115"/>
      <c r="AO4354" s="1115"/>
      <c r="AP4354" s="1115"/>
      <c r="AQ4354" s="1115"/>
      <c r="AR4354" s="1115"/>
      <c r="AS4354" s="1117"/>
      <c r="AT4354" s="1075"/>
      <c r="AU4354" s="1193"/>
      <c r="AV4354" s="330"/>
      <c r="AW4354" s="331"/>
      <c r="AX4354" s="331"/>
      <c r="AY4354" s="331"/>
      <c r="AZ4354" s="331"/>
      <c r="BA4354" s="331"/>
      <c r="BB4354" s="331"/>
      <c r="BC4354" s="331"/>
      <c r="BD4354" s="331"/>
      <c r="BE4354" s="333"/>
      <c r="BF4354" s="330"/>
      <c r="BG4354" s="333"/>
      <c r="BH4354" s="1119"/>
      <c r="BI4354" s="319"/>
      <c r="BJ4354" s="319"/>
      <c r="BK4354" s="319"/>
      <c r="BL4354" s="319"/>
      <c r="BM4354" s="319"/>
      <c r="BN4354" s="319"/>
      <c r="BO4354" s="319"/>
      <c r="BP4354" s="953"/>
      <c r="BQ4354" s="319"/>
      <c r="BR4354" s="319"/>
      <c r="BS4354" s="330"/>
      <c r="BT4354" s="331"/>
      <c r="BU4354" s="920"/>
      <c r="BV4354" s="903"/>
      <c r="BW4354" s="908"/>
      <c r="BX4354" s="908"/>
      <c r="BY4354" s="331"/>
      <c r="BZ4354" s="331"/>
      <c r="CA4354" s="462"/>
      <c r="CB4354" s="319"/>
      <c r="CC4354" s="319"/>
      <c r="CD4354" s="319"/>
      <c r="CE4354" s="319"/>
      <c r="CF4354" s="319"/>
      <c r="CG4354" s="319"/>
      <c r="CH4354" s="318"/>
      <c r="CI4354" s="319"/>
      <c r="CJ4354" s="319"/>
      <c r="CK4354" s="342"/>
      <c r="CL4354" s="333"/>
      <c r="CM4354" s="1079"/>
      <c r="CN4354" s="1005"/>
      <c r="CO4354" s="1005"/>
      <c r="CP4354" s="1005"/>
    </row>
    <row r="4355">
      <c r="A4355" s="1257"/>
      <c r="B4355" s="1113"/>
      <c r="C4355" s="1107"/>
      <c r="D4355" s="103"/>
      <c r="E4355" s="1137"/>
      <c r="F4355" s="112"/>
      <c r="G4355" s="1110"/>
      <c r="H4355" s="1138"/>
      <c r="I4355" s="1138"/>
      <c r="J4355" s="1139"/>
      <c r="K4355" s="1111"/>
      <c r="L4355" s="1112"/>
      <c r="M4355" s="1113"/>
      <c r="N4355" s="110"/>
      <c r="O4355" s="1140"/>
      <c r="P4355" s="1115"/>
      <c r="Q4355" s="1116"/>
      <c r="R4355" s="1141"/>
      <c r="S4355" s="1113"/>
      <c r="T4355" s="1143"/>
      <c r="U4355" s="1108"/>
      <c r="V4355" s="1108"/>
      <c r="W4355" s="1108"/>
      <c r="X4355" s="1108"/>
      <c r="Y4355" s="1108"/>
      <c r="Z4355" s="1114"/>
      <c r="AA4355" s="1114"/>
      <c r="AB4355" s="1114"/>
      <c r="AC4355" s="1117"/>
      <c r="AD4355" s="1115"/>
      <c r="AE4355" s="1115"/>
      <c r="AF4355" s="1115"/>
      <c r="AG4355" s="1115"/>
      <c r="AH4355" s="1115"/>
      <c r="AI4355" s="1115"/>
      <c r="AJ4355" s="1117"/>
      <c r="AK4355" s="1118"/>
      <c r="AL4355" s="1115"/>
      <c r="AM4355" s="1115"/>
      <c r="AN4355" s="1115"/>
      <c r="AO4355" s="1115"/>
      <c r="AP4355" s="1115"/>
      <c r="AQ4355" s="1115"/>
      <c r="AR4355" s="1115"/>
      <c r="AS4355" s="1117"/>
      <c r="AT4355" s="1075"/>
      <c r="AU4355" s="1193"/>
      <c r="AV4355" s="330"/>
      <c r="AW4355" s="331"/>
      <c r="AX4355" s="331"/>
      <c r="AY4355" s="331"/>
      <c r="AZ4355" s="331"/>
      <c r="BA4355" s="331"/>
      <c r="BB4355" s="331"/>
      <c r="BC4355" s="331"/>
      <c r="BD4355" s="331"/>
      <c r="BE4355" s="333"/>
      <c r="BF4355" s="330"/>
      <c r="BG4355" s="333"/>
      <c r="BH4355" s="1119"/>
      <c r="BI4355" s="319"/>
      <c r="BJ4355" s="319"/>
      <c r="BK4355" s="319"/>
      <c r="BL4355" s="319"/>
      <c r="BM4355" s="319"/>
      <c r="BN4355" s="319"/>
      <c r="BO4355" s="319"/>
      <c r="BP4355" s="953"/>
      <c r="BQ4355" s="319"/>
      <c r="BR4355" s="319"/>
      <c r="BS4355" s="330"/>
      <c r="BT4355" s="331"/>
      <c r="BU4355" s="920"/>
      <c r="BV4355" s="903"/>
      <c r="BW4355" s="908"/>
      <c r="BX4355" s="908"/>
      <c r="BY4355" s="331"/>
      <c r="BZ4355" s="331"/>
      <c r="CA4355" s="462"/>
      <c r="CB4355" s="319"/>
      <c r="CC4355" s="319"/>
      <c r="CD4355" s="319"/>
      <c r="CE4355" s="319"/>
      <c r="CF4355" s="319"/>
      <c r="CG4355" s="319"/>
      <c r="CH4355" s="318"/>
      <c r="CI4355" s="319"/>
      <c r="CJ4355" s="319"/>
      <c r="CK4355" s="342"/>
      <c r="CL4355" s="333"/>
      <c r="CM4355" s="1079"/>
      <c r="CN4355" s="1005"/>
      <c r="CO4355" s="1005"/>
      <c r="CP4355" s="1005"/>
    </row>
    <row r="4356">
      <c r="A4356" s="1257"/>
      <c r="B4356" s="1113"/>
      <c r="C4356" s="1107"/>
      <c r="D4356" s="103"/>
      <c r="E4356" s="1137"/>
      <c r="F4356" s="112"/>
      <c r="G4356" s="1110"/>
      <c r="H4356" s="1138"/>
      <c r="I4356" s="1138"/>
      <c r="J4356" s="1139"/>
      <c r="K4356" s="1111"/>
      <c r="L4356" s="1112"/>
      <c r="M4356" s="1113"/>
      <c r="N4356" s="110"/>
      <c r="O4356" s="1140"/>
      <c r="P4356" s="1115"/>
      <c r="Q4356" s="1116"/>
      <c r="R4356" s="1141"/>
      <c r="S4356" s="1113"/>
      <c r="T4356" s="1143"/>
      <c r="U4356" s="1108"/>
      <c r="V4356" s="1108"/>
      <c r="W4356" s="1108"/>
      <c r="X4356" s="1108"/>
      <c r="Y4356" s="1108"/>
      <c r="Z4356" s="1114"/>
      <c r="AA4356" s="1114"/>
      <c r="AB4356" s="1114"/>
      <c r="AC4356" s="1117"/>
      <c r="AD4356" s="1115"/>
      <c r="AE4356" s="1115"/>
      <c r="AF4356" s="1115"/>
      <c r="AG4356" s="1115"/>
      <c r="AH4356" s="1115"/>
      <c r="AI4356" s="1115"/>
      <c r="AJ4356" s="1117"/>
      <c r="AK4356" s="1118"/>
      <c r="AL4356" s="1115"/>
      <c r="AM4356" s="1115"/>
      <c r="AN4356" s="1115"/>
      <c r="AO4356" s="1115"/>
      <c r="AP4356" s="1115"/>
      <c r="AQ4356" s="1115"/>
      <c r="AR4356" s="1115"/>
      <c r="AS4356" s="1117"/>
      <c r="AT4356" s="1075"/>
      <c r="AU4356" s="1193"/>
      <c r="AV4356" s="330"/>
      <c r="AW4356" s="331"/>
      <c r="AX4356" s="331"/>
      <c r="AY4356" s="331"/>
      <c r="AZ4356" s="331"/>
      <c r="BA4356" s="331"/>
      <c r="BB4356" s="331"/>
      <c r="BC4356" s="331"/>
      <c r="BD4356" s="331"/>
      <c r="BE4356" s="333"/>
      <c r="BF4356" s="330"/>
      <c r="BG4356" s="333"/>
      <c r="BH4356" s="1119"/>
      <c r="BI4356" s="319"/>
      <c r="BJ4356" s="319"/>
      <c r="BK4356" s="319"/>
      <c r="BL4356" s="319"/>
      <c r="BM4356" s="319"/>
      <c r="BN4356" s="319"/>
      <c r="BO4356" s="319"/>
      <c r="BP4356" s="953"/>
      <c r="BQ4356" s="319"/>
      <c r="BR4356" s="319"/>
      <c r="BS4356" s="330"/>
      <c r="BT4356" s="331"/>
      <c r="BU4356" s="920"/>
      <c r="BV4356" s="903"/>
      <c r="BW4356" s="908"/>
      <c r="BX4356" s="908"/>
      <c r="BY4356" s="331"/>
      <c r="BZ4356" s="331"/>
      <c r="CA4356" s="462"/>
      <c r="CB4356" s="319"/>
      <c r="CC4356" s="319"/>
      <c r="CD4356" s="319"/>
      <c r="CE4356" s="319"/>
      <c r="CF4356" s="319"/>
      <c r="CG4356" s="319"/>
      <c r="CH4356" s="318"/>
      <c r="CI4356" s="319"/>
      <c r="CJ4356" s="319"/>
      <c r="CK4356" s="342"/>
      <c r="CL4356" s="333"/>
      <c r="CM4356" s="1079"/>
      <c r="CN4356" s="1005"/>
      <c r="CO4356" s="1005"/>
      <c r="CP4356" s="1005"/>
    </row>
    <row r="4357">
      <c r="A4357" s="1257"/>
      <c r="B4357" s="1113"/>
      <c r="C4357" s="1107"/>
      <c r="D4357" s="103"/>
      <c r="E4357" s="1137"/>
      <c r="F4357" s="112"/>
      <c r="G4357" s="1110"/>
      <c r="H4357" s="1138"/>
      <c r="I4357" s="1138"/>
      <c r="J4357" s="1139"/>
      <c r="K4357" s="1111"/>
      <c r="L4357" s="1112"/>
      <c r="M4357" s="1113"/>
      <c r="N4357" s="110"/>
      <c r="O4357" s="1140"/>
      <c r="P4357" s="1115"/>
      <c r="Q4357" s="1116"/>
      <c r="R4357" s="1141"/>
      <c r="S4357" s="1113"/>
      <c r="T4357" s="1143"/>
      <c r="U4357" s="1108"/>
      <c r="V4357" s="1108"/>
      <c r="W4357" s="1108"/>
      <c r="X4357" s="1108"/>
      <c r="Y4357" s="1108"/>
      <c r="Z4357" s="1114"/>
      <c r="AA4357" s="1114"/>
      <c r="AB4357" s="1114"/>
      <c r="AC4357" s="1117"/>
      <c r="AD4357" s="1115"/>
      <c r="AE4357" s="1115"/>
      <c r="AF4357" s="1115"/>
      <c r="AG4357" s="1115"/>
      <c r="AH4357" s="1115"/>
      <c r="AI4357" s="1115"/>
      <c r="AJ4357" s="1117"/>
      <c r="AK4357" s="1118"/>
      <c r="AL4357" s="1115"/>
      <c r="AM4357" s="1115"/>
      <c r="AN4357" s="1115"/>
      <c r="AO4357" s="1115"/>
      <c r="AP4357" s="1115"/>
      <c r="AQ4357" s="1115"/>
      <c r="AR4357" s="1115"/>
      <c r="AS4357" s="1117"/>
      <c r="AT4357" s="1075"/>
      <c r="AU4357" s="1193"/>
      <c r="AV4357" s="330"/>
      <c r="AW4357" s="331"/>
      <c r="AX4357" s="331"/>
      <c r="AY4357" s="331"/>
      <c r="AZ4357" s="331"/>
      <c r="BA4357" s="331"/>
      <c r="BB4357" s="331"/>
      <c r="BC4357" s="331"/>
      <c r="BD4357" s="331"/>
      <c r="BE4357" s="333"/>
      <c r="BF4357" s="330"/>
      <c r="BG4357" s="333"/>
      <c r="BH4357" s="1119"/>
      <c r="BI4357" s="319"/>
      <c r="BJ4357" s="319"/>
      <c r="BK4357" s="319"/>
      <c r="BL4357" s="319"/>
      <c r="BM4357" s="319"/>
      <c r="BN4357" s="319"/>
      <c r="BO4357" s="319"/>
      <c r="BP4357" s="953"/>
      <c r="BQ4357" s="319"/>
      <c r="BR4357" s="319"/>
      <c r="BS4357" s="330"/>
      <c r="BT4357" s="331"/>
      <c r="BU4357" s="920"/>
      <c r="BV4357" s="903"/>
      <c r="BW4357" s="908"/>
      <c r="BX4357" s="908"/>
      <c r="BY4357" s="331"/>
      <c r="BZ4357" s="331"/>
      <c r="CA4357" s="462"/>
      <c r="CB4357" s="319"/>
      <c r="CC4357" s="319"/>
      <c r="CD4357" s="319"/>
      <c r="CE4357" s="319"/>
      <c r="CF4357" s="319"/>
      <c r="CG4357" s="319"/>
      <c r="CH4357" s="318"/>
      <c r="CI4357" s="319"/>
      <c r="CJ4357" s="319"/>
      <c r="CK4357" s="342"/>
      <c r="CL4357" s="333"/>
      <c r="CM4357" s="1079"/>
      <c r="CN4357" s="1005"/>
      <c r="CO4357" s="1005"/>
      <c r="CP4357" s="1005"/>
    </row>
    <row r="4358">
      <c r="A4358" s="1257"/>
      <c r="B4358" s="1113"/>
      <c r="C4358" s="1107"/>
      <c r="D4358" s="103"/>
      <c r="E4358" s="1137"/>
      <c r="F4358" s="112"/>
      <c r="G4358" s="1110"/>
      <c r="H4358" s="1138"/>
      <c r="I4358" s="1138"/>
      <c r="J4358" s="1139"/>
      <c r="K4358" s="1111"/>
      <c r="L4358" s="1112"/>
      <c r="M4358" s="1113"/>
      <c r="N4358" s="110"/>
      <c r="O4358" s="1140"/>
      <c r="P4358" s="1115"/>
      <c r="Q4358" s="1116"/>
      <c r="R4358" s="1141"/>
      <c r="S4358" s="1113"/>
      <c r="T4358" s="1143"/>
      <c r="U4358" s="1108"/>
      <c r="V4358" s="1108"/>
      <c r="W4358" s="1108"/>
      <c r="X4358" s="1108"/>
      <c r="Y4358" s="1108"/>
      <c r="Z4358" s="1114"/>
      <c r="AA4358" s="1114"/>
      <c r="AB4358" s="1114"/>
      <c r="AC4358" s="1117"/>
      <c r="AD4358" s="1115"/>
      <c r="AE4358" s="1115"/>
      <c r="AF4358" s="1115"/>
      <c r="AG4358" s="1115"/>
      <c r="AH4358" s="1115"/>
      <c r="AI4358" s="1115"/>
      <c r="AJ4358" s="1117"/>
      <c r="AK4358" s="1118"/>
      <c r="AL4358" s="1115"/>
      <c r="AM4358" s="1115"/>
      <c r="AN4358" s="1115"/>
      <c r="AO4358" s="1115"/>
      <c r="AP4358" s="1115"/>
      <c r="AQ4358" s="1115"/>
      <c r="AR4358" s="1115"/>
      <c r="AS4358" s="1117"/>
      <c r="AT4358" s="1075"/>
      <c r="AU4358" s="1193"/>
      <c r="AV4358" s="330"/>
      <c r="AW4358" s="331"/>
      <c r="AX4358" s="331"/>
      <c r="AY4358" s="331"/>
      <c r="AZ4358" s="331"/>
      <c r="BA4358" s="331"/>
      <c r="BB4358" s="331"/>
      <c r="BC4358" s="331"/>
      <c r="BD4358" s="331"/>
      <c r="BE4358" s="333"/>
      <c r="BF4358" s="330"/>
      <c r="BG4358" s="333"/>
      <c r="BH4358" s="1119"/>
      <c r="BI4358" s="319"/>
      <c r="BJ4358" s="319"/>
      <c r="BK4358" s="319"/>
      <c r="BL4358" s="319"/>
      <c r="BM4358" s="319"/>
      <c r="BN4358" s="319"/>
      <c r="BO4358" s="319"/>
      <c r="BP4358" s="953"/>
      <c r="BQ4358" s="319"/>
      <c r="BR4358" s="319"/>
      <c r="BS4358" s="330"/>
      <c r="BT4358" s="331"/>
      <c r="BU4358" s="920"/>
      <c r="BV4358" s="903"/>
      <c r="BW4358" s="908"/>
      <c r="BX4358" s="908"/>
      <c r="BY4358" s="331"/>
      <c r="BZ4358" s="331"/>
      <c r="CA4358" s="462"/>
      <c r="CB4358" s="319"/>
      <c r="CC4358" s="319"/>
      <c r="CD4358" s="319"/>
      <c r="CE4358" s="319"/>
      <c r="CF4358" s="319"/>
      <c r="CG4358" s="319"/>
      <c r="CH4358" s="318"/>
      <c r="CI4358" s="319"/>
      <c r="CJ4358" s="319"/>
      <c r="CK4358" s="342"/>
      <c r="CL4358" s="333"/>
      <c r="CM4358" s="1079"/>
      <c r="CN4358" s="1005"/>
      <c r="CO4358" s="1005"/>
      <c r="CP4358" s="1005"/>
    </row>
    <row r="4359">
      <c r="A4359" s="1257"/>
      <c r="B4359" s="1113"/>
      <c r="C4359" s="1107"/>
      <c r="D4359" s="103"/>
      <c r="E4359" s="1137"/>
      <c r="F4359" s="112"/>
      <c r="G4359" s="1110"/>
      <c r="H4359" s="1138"/>
      <c r="I4359" s="1138"/>
      <c r="J4359" s="1139"/>
      <c r="K4359" s="1111"/>
      <c r="L4359" s="1112"/>
      <c r="M4359" s="1113"/>
      <c r="N4359" s="110"/>
      <c r="O4359" s="1140"/>
      <c r="P4359" s="1115"/>
      <c r="Q4359" s="1116"/>
      <c r="R4359" s="1141"/>
      <c r="S4359" s="1113"/>
      <c r="T4359" s="1143"/>
      <c r="U4359" s="1108"/>
      <c r="V4359" s="1108"/>
      <c r="W4359" s="1108"/>
      <c r="X4359" s="1108"/>
      <c r="Y4359" s="1108"/>
      <c r="Z4359" s="1114"/>
      <c r="AA4359" s="1114"/>
      <c r="AB4359" s="1114"/>
      <c r="AC4359" s="1117"/>
      <c r="AD4359" s="1115"/>
      <c r="AE4359" s="1115"/>
      <c r="AF4359" s="1115"/>
      <c r="AG4359" s="1115"/>
      <c r="AH4359" s="1115"/>
      <c r="AI4359" s="1115"/>
      <c r="AJ4359" s="1117"/>
      <c r="AK4359" s="1118"/>
      <c r="AL4359" s="1115"/>
      <c r="AM4359" s="1115"/>
      <c r="AN4359" s="1115"/>
      <c r="AO4359" s="1115"/>
      <c r="AP4359" s="1115"/>
      <c r="AQ4359" s="1115"/>
      <c r="AR4359" s="1115"/>
      <c r="AS4359" s="1117"/>
      <c r="AT4359" s="1075"/>
      <c r="AU4359" s="1193"/>
      <c r="AV4359" s="330"/>
      <c r="AW4359" s="331"/>
      <c r="AX4359" s="331"/>
      <c r="AY4359" s="331"/>
      <c r="AZ4359" s="331"/>
      <c r="BA4359" s="331"/>
      <c r="BB4359" s="331"/>
      <c r="BC4359" s="331"/>
      <c r="BD4359" s="331"/>
      <c r="BE4359" s="333"/>
      <c r="BF4359" s="330"/>
      <c r="BG4359" s="333"/>
      <c r="BH4359" s="1119"/>
      <c r="BI4359" s="319"/>
      <c r="BJ4359" s="319"/>
      <c r="BK4359" s="319"/>
      <c r="BL4359" s="319"/>
      <c r="BM4359" s="319"/>
      <c r="BN4359" s="319"/>
      <c r="BO4359" s="319"/>
      <c r="BP4359" s="953"/>
      <c r="BQ4359" s="319"/>
      <c r="BR4359" s="319"/>
      <c r="BS4359" s="330"/>
      <c r="BT4359" s="331"/>
      <c r="BU4359" s="920"/>
      <c r="BV4359" s="903"/>
      <c r="BW4359" s="908"/>
      <c r="BX4359" s="908"/>
      <c r="BY4359" s="331"/>
      <c r="BZ4359" s="331"/>
      <c r="CA4359" s="462"/>
      <c r="CB4359" s="319"/>
      <c r="CC4359" s="319"/>
      <c r="CD4359" s="319"/>
      <c r="CE4359" s="319"/>
      <c r="CF4359" s="319"/>
      <c r="CG4359" s="319"/>
      <c r="CH4359" s="318"/>
      <c r="CI4359" s="319"/>
      <c r="CJ4359" s="319"/>
      <c r="CK4359" s="342"/>
      <c r="CL4359" s="333"/>
      <c r="CM4359" s="1079"/>
      <c r="CN4359" s="1005"/>
      <c r="CO4359" s="1005"/>
      <c r="CP4359" s="1005"/>
    </row>
    <row r="4360">
      <c r="A4360" s="1257"/>
      <c r="B4360" s="1113"/>
      <c r="C4360" s="1107"/>
      <c r="D4360" s="103"/>
      <c r="E4360" s="1137"/>
      <c r="F4360" s="112"/>
      <c r="G4360" s="1110"/>
      <c r="H4360" s="1138"/>
      <c r="I4360" s="1138"/>
      <c r="J4360" s="1139"/>
      <c r="K4360" s="1111"/>
      <c r="L4360" s="1112"/>
      <c r="M4360" s="1113"/>
      <c r="N4360" s="110"/>
      <c r="O4360" s="1140"/>
      <c r="P4360" s="1115"/>
      <c r="Q4360" s="1116"/>
      <c r="R4360" s="1141"/>
      <c r="S4360" s="1113"/>
      <c r="T4360" s="1143"/>
      <c r="U4360" s="1108"/>
      <c r="V4360" s="1108"/>
      <c r="W4360" s="1108"/>
      <c r="X4360" s="1108"/>
      <c r="Y4360" s="1108"/>
      <c r="Z4360" s="1114"/>
      <c r="AA4360" s="1114"/>
      <c r="AB4360" s="1114"/>
      <c r="AC4360" s="1117"/>
      <c r="AD4360" s="1115"/>
      <c r="AE4360" s="1115"/>
      <c r="AF4360" s="1115"/>
      <c r="AG4360" s="1115"/>
      <c r="AH4360" s="1115"/>
      <c r="AI4360" s="1115"/>
      <c r="AJ4360" s="1117"/>
      <c r="AK4360" s="1118"/>
      <c r="AL4360" s="1115"/>
      <c r="AM4360" s="1115"/>
      <c r="AN4360" s="1115"/>
      <c r="AO4360" s="1115"/>
      <c r="AP4360" s="1115"/>
      <c r="AQ4360" s="1115"/>
      <c r="AR4360" s="1115"/>
      <c r="AS4360" s="1117"/>
      <c r="AT4360" s="1075"/>
      <c r="AU4360" s="1193"/>
      <c r="AV4360" s="330"/>
      <c r="AW4360" s="331"/>
      <c r="AX4360" s="331"/>
      <c r="AY4360" s="331"/>
      <c r="AZ4360" s="331"/>
      <c r="BA4360" s="331"/>
      <c r="BB4360" s="331"/>
      <c r="BC4360" s="331"/>
      <c r="BD4360" s="331"/>
      <c r="BE4360" s="333"/>
      <c r="BF4360" s="330"/>
      <c r="BG4360" s="333"/>
      <c r="BH4360" s="1119"/>
      <c r="BI4360" s="319"/>
      <c r="BJ4360" s="319"/>
      <c r="BK4360" s="319"/>
      <c r="BL4360" s="319"/>
      <c r="BM4360" s="319"/>
      <c r="BN4360" s="319"/>
      <c r="BO4360" s="319"/>
      <c r="BP4360" s="953"/>
      <c r="BQ4360" s="319"/>
      <c r="BR4360" s="319"/>
      <c r="BS4360" s="330"/>
      <c r="BT4360" s="331"/>
      <c r="BU4360" s="920"/>
      <c r="BV4360" s="903"/>
      <c r="BW4360" s="908"/>
      <c r="BX4360" s="908"/>
      <c r="BY4360" s="331"/>
      <c r="BZ4360" s="331"/>
      <c r="CA4360" s="462"/>
      <c r="CB4360" s="319"/>
      <c r="CC4360" s="319"/>
      <c r="CD4360" s="319"/>
      <c r="CE4360" s="319"/>
      <c r="CF4360" s="319"/>
      <c r="CG4360" s="319"/>
      <c r="CH4360" s="318"/>
      <c r="CI4360" s="319"/>
      <c r="CJ4360" s="319"/>
      <c r="CK4360" s="342"/>
      <c r="CL4360" s="333"/>
      <c r="CM4360" s="1079"/>
      <c r="CN4360" s="1005"/>
      <c r="CO4360" s="1005"/>
      <c r="CP4360" s="1005"/>
    </row>
    <row r="4361">
      <c r="A4361" s="1257"/>
      <c r="B4361" s="1113"/>
      <c r="C4361" s="1107"/>
      <c r="D4361" s="103"/>
      <c r="E4361" s="1137"/>
      <c r="F4361" s="112"/>
      <c r="G4361" s="1110"/>
      <c r="H4361" s="1138"/>
      <c r="I4361" s="1138"/>
      <c r="J4361" s="1139"/>
      <c r="K4361" s="1111"/>
      <c r="L4361" s="1112"/>
      <c r="M4361" s="1113"/>
      <c r="N4361" s="110"/>
      <c r="O4361" s="1140"/>
      <c r="P4361" s="1115"/>
      <c r="Q4361" s="1116"/>
      <c r="R4361" s="1141"/>
      <c r="S4361" s="1113"/>
      <c r="T4361" s="1143"/>
      <c r="U4361" s="1108"/>
      <c r="V4361" s="1108"/>
      <c r="W4361" s="1108"/>
      <c r="X4361" s="1108"/>
      <c r="Y4361" s="1108"/>
      <c r="Z4361" s="1114"/>
      <c r="AA4361" s="1114"/>
      <c r="AB4361" s="1114"/>
      <c r="AC4361" s="1117"/>
      <c r="AD4361" s="1115"/>
      <c r="AE4361" s="1115"/>
      <c r="AF4361" s="1115"/>
      <c r="AG4361" s="1115"/>
      <c r="AH4361" s="1115"/>
      <c r="AI4361" s="1115"/>
      <c r="AJ4361" s="1117"/>
      <c r="AK4361" s="1118"/>
      <c r="AL4361" s="1115"/>
      <c r="AM4361" s="1115"/>
      <c r="AN4361" s="1115"/>
      <c r="AO4361" s="1115"/>
      <c r="AP4361" s="1115"/>
      <c r="AQ4361" s="1115"/>
      <c r="AR4361" s="1115"/>
      <c r="AS4361" s="1117"/>
      <c r="AT4361" s="1075"/>
      <c r="AU4361" s="1193"/>
      <c r="AV4361" s="330"/>
      <c r="AW4361" s="331"/>
      <c r="AX4361" s="331"/>
      <c r="AY4361" s="331"/>
      <c r="AZ4361" s="331"/>
      <c r="BA4361" s="331"/>
      <c r="BB4361" s="331"/>
      <c r="BC4361" s="331"/>
      <c r="BD4361" s="331"/>
      <c r="BE4361" s="333"/>
      <c r="BF4361" s="330"/>
      <c r="BG4361" s="333"/>
      <c r="BH4361" s="1119"/>
      <c r="BI4361" s="319"/>
      <c r="BJ4361" s="319"/>
      <c r="BK4361" s="319"/>
      <c r="BL4361" s="319"/>
      <c r="BM4361" s="319"/>
      <c r="BN4361" s="319"/>
      <c r="BO4361" s="319"/>
      <c r="BP4361" s="953"/>
      <c r="BQ4361" s="319"/>
      <c r="BR4361" s="319"/>
      <c r="BS4361" s="330"/>
      <c r="BT4361" s="331"/>
      <c r="BU4361" s="920"/>
      <c r="BV4361" s="903"/>
      <c r="BW4361" s="908"/>
      <c r="BX4361" s="908"/>
      <c r="BY4361" s="331"/>
      <c r="BZ4361" s="331"/>
      <c r="CA4361" s="462"/>
      <c r="CB4361" s="319"/>
      <c r="CC4361" s="319"/>
      <c r="CD4361" s="319"/>
      <c r="CE4361" s="319"/>
      <c r="CF4361" s="319"/>
      <c r="CG4361" s="319"/>
      <c r="CH4361" s="318"/>
      <c r="CI4361" s="319"/>
      <c r="CJ4361" s="319"/>
      <c r="CK4361" s="342"/>
      <c r="CL4361" s="333"/>
      <c r="CM4361" s="1079"/>
      <c r="CN4361" s="1005"/>
      <c r="CO4361" s="1005"/>
      <c r="CP4361" s="1005"/>
    </row>
    <row r="4362">
      <c r="A4362" s="1257"/>
      <c r="B4362" s="1113"/>
      <c r="C4362" s="1107"/>
      <c r="D4362" s="103"/>
      <c r="E4362" s="1137"/>
      <c r="F4362" s="112"/>
      <c r="G4362" s="1110"/>
      <c r="H4362" s="1138"/>
      <c r="I4362" s="1138"/>
      <c r="J4362" s="1139"/>
      <c r="K4362" s="1111"/>
      <c r="L4362" s="1112"/>
      <c r="M4362" s="1113"/>
      <c r="N4362" s="110"/>
      <c r="O4362" s="1140"/>
      <c r="P4362" s="1115"/>
      <c r="Q4362" s="1116"/>
      <c r="R4362" s="1141"/>
      <c r="S4362" s="1113"/>
      <c r="T4362" s="1143"/>
      <c r="U4362" s="1108"/>
      <c r="V4362" s="1108"/>
      <c r="W4362" s="1108"/>
      <c r="X4362" s="1108"/>
      <c r="Y4362" s="1108"/>
      <c r="Z4362" s="1114"/>
      <c r="AA4362" s="1114"/>
      <c r="AB4362" s="1114"/>
      <c r="AC4362" s="1117"/>
      <c r="AD4362" s="1115"/>
      <c r="AE4362" s="1115"/>
      <c r="AF4362" s="1115"/>
      <c r="AG4362" s="1115"/>
      <c r="AH4362" s="1115"/>
      <c r="AI4362" s="1115"/>
      <c r="AJ4362" s="1117"/>
      <c r="AK4362" s="1118"/>
      <c r="AL4362" s="1115"/>
      <c r="AM4362" s="1115"/>
      <c r="AN4362" s="1115"/>
      <c r="AO4362" s="1115"/>
      <c r="AP4362" s="1115"/>
      <c r="AQ4362" s="1115"/>
      <c r="AR4362" s="1115"/>
      <c r="AS4362" s="1117"/>
      <c r="AT4362" s="1075"/>
      <c r="AU4362" s="1193"/>
      <c r="AV4362" s="330"/>
      <c r="AW4362" s="331"/>
      <c r="AX4362" s="331"/>
      <c r="AY4362" s="331"/>
      <c r="AZ4362" s="331"/>
      <c r="BA4362" s="331"/>
      <c r="BB4362" s="331"/>
      <c r="BC4362" s="331"/>
      <c r="BD4362" s="331"/>
      <c r="BE4362" s="333"/>
      <c r="BF4362" s="330"/>
      <c r="BG4362" s="333"/>
      <c r="BH4362" s="1119"/>
      <c r="BI4362" s="319"/>
      <c r="BJ4362" s="319"/>
      <c r="BK4362" s="319"/>
      <c r="BL4362" s="319"/>
      <c r="BM4362" s="319"/>
      <c r="BN4362" s="319"/>
      <c r="BO4362" s="319"/>
      <c r="BP4362" s="953"/>
      <c r="BQ4362" s="319"/>
      <c r="BR4362" s="319"/>
      <c r="BS4362" s="330"/>
      <c r="BT4362" s="331"/>
      <c r="BU4362" s="920"/>
      <c r="BV4362" s="903"/>
      <c r="BW4362" s="908"/>
      <c r="BX4362" s="908"/>
      <c r="BY4362" s="331"/>
      <c r="BZ4362" s="331"/>
      <c r="CA4362" s="462"/>
      <c r="CB4362" s="319"/>
      <c r="CC4362" s="319"/>
      <c r="CD4362" s="319"/>
      <c r="CE4362" s="319"/>
      <c r="CF4362" s="319"/>
      <c r="CG4362" s="319"/>
      <c r="CH4362" s="318"/>
      <c r="CI4362" s="319"/>
      <c r="CJ4362" s="319"/>
      <c r="CK4362" s="342"/>
      <c r="CL4362" s="333"/>
      <c r="CM4362" s="1079"/>
      <c r="CN4362" s="1005"/>
      <c r="CO4362" s="1005"/>
      <c r="CP4362" s="1005"/>
    </row>
    <row r="4363">
      <c r="A4363" s="1257"/>
      <c r="B4363" s="1113"/>
      <c r="C4363" s="1107"/>
      <c r="D4363" s="103"/>
      <c r="E4363" s="1137"/>
      <c r="F4363" s="112"/>
      <c r="G4363" s="1110"/>
      <c r="H4363" s="1138"/>
      <c r="I4363" s="1138"/>
      <c r="J4363" s="1139"/>
      <c r="K4363" s="1111"/>
      <c r="L4363" s="1112"/>
      <c r="M4363" s="1113"/>
      <c r="N4363" s="110"/>
      <c r="O4363" s="1140"/>
      <c r="P4363" s="1115"/>
      <c r="Q4363" s="1116"/>
      <c r="R4363" s="1141"/>
      <c r="S4363" s="1113"/>
      <c r="T4363" s="1143"/>
      <c r="U4363" s="1108"/>
      <c r="V4363" s="1108"/>
      <c r="W4363" s="1108"/>
      <c r="X4363" s="1108"/>
      <c r="Y4363" s="1108"/>
      <c r="Z4363" s="1114"/>
      <c r="AA4363" s="1114"/>
      <c r="AB4363" s="1114"/>
      <c r="AC4363" s="1117"/>
      <c r="AD4363" s="1115"/>
      <c r="AE4363" s="1115"/>
      <c r="AF4363" s="1115"/>
      <c r="AG4363" s="1115"/>
      <c r="AH4363" s="1115"/>
      <c r="AI4363" s="1115"/>
      <c r="AJ4363" s="1117"/>
      <c r="AK4363" s="1118"/>
      <c r="AL4363" s="1115"/>
      <c r="AM4363" s="1115"/>
      <c r="AN4363" s="1115"/>
      <c r="AO4363" s="1115"/>
      <c r="AP4363" s="1115"/>
      <c r="AQ4363" s="1115"/>
      <c r="AR4363" s="1115"/>
      <c r="AS4363" s="1117"/>
      <c r="AT4363" s="1075"/>
      <c r="AU4363" s="1193"/>
      <c r="AV4363" s="330"/>
      <c r="AW4363" s="331"/>
      <c r="AX4363" s="331"/>
      <c r="AY4363" s="331"/>
      <c r="AZ4363" s="331"/>
      <c r="BA4363" s="331"/>
      <c r="BB4363" s="331"/>
      <c r="BC4363" s="331"/>
      <c r="BD4363" s="331"/>
      <c r="BE4363" s="333"/>
      <c r="BF4363" s="330"/>
      <c r="BG4363" s="333"/>
      <c r="BH4363" s="1119"/>
      <c r="BI4363" s="319"/>
      <c r="BJ4363" s="319"/>
      <c r="BK4363" s="319"/>
      <c r="BL4363" s="319"/>
      <c r="BM4363" s="319"/>
      <c r="BN4363" s="319"/>
      <c r="BO4363" s="319"/>
      <c r="BP4363" s="953"/>
      <c r="BQ4363" s="319"/>
      <c r="BR4363" s="319"/>
      <c r="BS4363" s="330"/>
      <c r="BT4363" s="331"/>
      <c r="BU4363" s="920"/>
      <c r="BV4363" s="903"/>
      <c r="BW4363" s="908"/>
      <c r="BX4363" s="908"/>
      <c r="BY4363" s="331"/>
      <c r="BZ4363" s="331"/>
      <c r="CA4363" s="462"/>
      <c r="CB4363" s="319"/>
      <c r="CC4363" s="319"/>
      <c r="CD4363" s="319"/>
      <c r="CE4363" s="319"/>
      <c r="CF4363" s="319"/>
      <c r="CG4363" s="319"/>
      <c r="CH4363" s="318"/>
      <c r="CI4363" s="319"/>
      <c r="CJ4363" s="319"/>
      <c r="CK4363" s="342"/>
      <c r="CL4363" s="333"/>
      <c r="CM4363" s="1079"/>
      <c r="CN4363" s="1005"/>
      <c r="CO4363" s="1005"/>
      <c r="CP4363" s="1005"/>
    </row>
    <row r="4364">
      <c r="A4364" s="1257"/>
      <c r="B4364" s="1113"/>
      <c r="C4364" s="1107"/>
      <c r="D4364" s="103"/>
      <c r="E4364" s="1137"/>
      <c r="F4364" s="112"/>
      <c r="G4364" s="1110"/>
      <c r="H4364" s="1138"/>
      <c r="I4364" s="1138"/>
      <c r="J4364" s="1139"/>
      <c r="K4364" s="1111"/>
      <c r="L4364" s="1112"/>
      <c r="M4364" s="1113"/>
      <c r="N4364" s="110"/>
      <c r="O4364" s="1140"/>
      <c r="P4364" s="1115"/>
      <c r="Q4364" s="1116"/>
      <c r="R4364" s="1141"/>
      <c r="S4364" s="1113"/>
      <c r="T4364" s="1143"/>
      <c r="U4364" s="1108"/>
      <c r="V4364" s="1108"/>
      <c r="W4364" s="1108"/>
      <c r="X4364" s="1108"/>
      <c r="Y4364" s="1108"/>
      <c r="Z4364" s="1114"/>
      <c r="AA4364" s="1114"/>
      <c r="AB4364" s="1114"/>
      <c r="AC4364" s="1117"/>
      <c r="AD4364" s="1115"/>
      <c r="AE4364" s="1115"/>
      <c r="AF4364" s="1115"/>
      <c r="AG4364" s="1115"/>
      <c r="AH4364" s="1115"/>
      <c r="AI4364" s="1115"/>
      <c r="AJ4364" s="1117"/>
      <c r="AK4364" s="1118"/>
      <c r="AL4364" s="1115"/>
      <c r="AM4364" s="1115"/>
      <c r="AN4364" s="1115"/>
      <c r="AO4364" s="1115"/>
      <c r="AP4364" s="1115"/>
      <c r="AQ4364" s="1115"/>
      <c r="AR4364" s="1115"/>
      <c r="AS4364" s="1117"/>
      <c r="AT4364" s="1075"/>
      <c r="AU4364" s="1193"/>
      <c r="AV4364" s="330"/>
      <c r="AW4364" s="331"/>
      <c r="AX4364" s="331"/>
      <c r="AY4364" s="331"/>
      <c r="AZ4364" s="331"/>
      <c r="BA4364" s="331"/>
      <c r="BB4364" s="331"/>
      <c r="BC4364" s="331"/>
      <c r="BD4364" s="331"/>
      <c r="BE4364" s="333"/>
      <c r="BF4364" s="330"/>
      <c r="BG4364" s="333"/>
      <c r="BH4364" s="1119"/>
      <c r="BI4364" s="319"/>
      <c r="BJ4364" s="319"/>
      <c r="BK4364" s="319"/>
      <c r="BL4364" s="319"/>
      <c r="BM4364" s="319"/>
      <c r="BN4364" s="319"/>
      <c r="BO4364" s="319"/>
      <c r="BP4364" s="953"/>
      <c r="BQ4364" s="319"/>
      <c r="BR4364" s="319"/>
      <c r="BS4364" s="330"/>
      <c r="BT4364" s="331"/>
      <c r="BU4364" s="920"/>
      <c r="BV4364" s="903"/>
      <c r="BW4364" s="908"/>
      <c r="BX4364" s="908"/>
      <c r="BY4364" s="331"/>
      <c r="BZ4364" s="331"/>
      <c r="CA4364" s="462"/>
      <c r="CB4364" s="319"/>
      <c r="CC4364" s="319"/>
      <c r="CD4364" s="319"/>
      <c r="CE4364" s="319"/>
      <c r="CF4364" s="319"/>
      <c r="CG4364" s="319"/>
      <c r="CH4364" s="318"/>
      <c r="CI4364" s="319"/>
      <c r="CJ4364" s="319"/>
      <c r="CK4364" s="342"/>
      <c r="CL4364" s="333"/>
      <c r="CM4364" s="1079"/>
      <c r="CN4364" s="1005"/>
      <c r="CO4364" s="1005"/>
      <c r="CP4364" s="1005"/>
    </row>
    <row r="4365">
      <c r="A4365" s="1257"/>
      <c r="B4365" s="1113"/>
      <c r="C4365" s="1107"/>
      <c r="D4365" s="103"/>
      <c r="E4365" s="1137"/>
      <c r="F4365" s="112"/>
      <c r="G4365" s="1110"/>
      <c r="H4365" s="1138"/>
      <c r="I4365" s="1138"/>
      <c r="J4365" s="1139"/>
      <c r="K4365" s="1111"/>
      <c r="L4365" s="1112"/>
      <c r="M4365" s="1113"/>
      <c r="N4365" s="110"/>
      <c r="O4365" s="1140"/>
      <c r="P4365" s="1115"/>
      <c r="Q4365" s="1116"/>
      <c r="R4365" s="1141"/>
      <c r="S4365" s="1113"/>
      <c r="T4365" s="1143"/>
      <c r="U4365" s="1108"/>
      <c r="V4365" s="1108"/>
      <c r="W4365" s="1108"/>
      <c r="X4365" s="1108"/>
      <c r="Y4365" s="1108"/>
      <c r="Z4365" s="1114"/>
      <c r="AA4365" s="1114"/>
      <c r="AB4365" s="1114"/>
      <c r="AC4365" s="1117"/>
      <c r="AD4365" s="1115"/>
      <c r="AE4365" s="1115"/>
      <c r="AF4365" s="1115"/>
      <c r="AG4365" s="1115"/>
      <c r="AH4365" s="1115"/>
      <c r="AI4365" s="1115"/>
      <c r="AJ4365" s="1117"/>
      <c r="AK4365" s="1118"/>
      <c r="AL4365" s="1115"/>
      <c r="AM4365" s="1115"/>
      <c r="AN4365" s="1115"/>
      <c r="AO4365" s="1115"/>
      <c r="AP4365" s="1115"/>
      <c r="AQ4365" s="1115"/>
      <c r="AR4365" s="1115"/>
      <c r="AS4365" s="1117"/>
      <c r="AT4365" s="1075"/>
      <c r="AU4365" s="1193"/>
      <c r="AV4365" s="330"/>
      <c r="AW4365" s="331"/>
      <c r="AX4365" s="331"/>
      <c r="AY4365" s="331"/>
      <c r="AZ4365" s="331"/>
      <c r="BA4365" s="331"/>
      <c r="BB4365" s="331"/>
      <c r="BC4365" s="331"/>
      <c r="BD4365" s="331"/>
      <c r="BE4365" s="333"/>
      <c r="BF4365" s="330"/>
      <c r="BG4365" s="333"/>
      <c r="BH4365" s="1119"/>
      <c r="BI4365" s="319"/>
      <c r="BJ4365" s="319"/>
      <c r="BK4365" s="319"/>
      <c r="BL4365" s="319"/>
      <c r="BM4365" s="319"/>
      <c r="BN4365" s="319"/>
      <c r="BO4365" s="319"/>
      <c r="BP4365" s="953"/>
      <c r="BQ4365" s="319"/>
      <c r="BR4365" s="319"/>
      <c r="BS4365" s="330"/>
      <c r="BT4365" s="331"/>
      <c r="BU4365" s="920"/>
      <c r="BV4365" s="903"/>
      <c r="BW4365" s="908"/>
      <c r="BX4365" s="908"/>
      <c r="BY4365" s="331"/>
      <c r="BZ4365" s="331"/>
      <c r="CA4365" s="462"/>
      <c r="CB4365" s="319"/>
      <c r="CC4365" s="319"/>
      <c r="CD4365" s="319"/>
      <c r="CE4365" s="319"/>
      <c r="CF4365" s="319"/>
      <c r="CG4365" s="319"/>
      <c r="CH4365" s="318"/>
      <c r="CI4365" s="319"/>
      <c r="CJ4365" s="319"/>
      <c r="CK4365" s="342"/>
      <c r="CL4365" s="333"/>
      <c r="CM4365" s="1079"/>
      <c r="CN4365" s="1005"/>
      <c r="CO4365" s="1005"/>
      <c r="CP4365" s="1005"/>
    </row>
    <row r="4366">
      <c r="A4366" s="1257"/>
      <c r="B4366" s="1113"/>
      <c r="C4366" s="1107"/>
      <c r="D4366" s="103"/>
      <c r="E4366" s="1137"/>
      <c r="F4366" s="112"/>
      <c r="G4366" s="1110"/>
      <c r="H4366" s="1138"/>
      <c r="I4366" s="1138"/>
      <c r="J4366" s="1139"/>
      <c r="K4366" s="1111"/>
      <c r="L4366" s="1112"/>
      <c r="M4366" s="1113"/>
      <c r="N4366" s="110"/>
      <c r="O4366" s="1140"/>
      <c r="P4366" s="1115"/>
      <c r="Q4366" s="1116"/>
      <c r="R4366" s="1141"/>
      <c r="S4366" s="1113"/>
      <c r="T4366" s="1143"/>
      <c r="U4366" s="1108"/>
      <c r="V4366" s="1108"/>
      <c r="W4366" s="1108"/>
      <c r="X4366" s="1108"/>
      <c r="Y4366" s="1108"/>
      <c r="Z4366" s="1114"/>
      <c r="AA4366" s="1114"/>
      <c r="AB4366" s="1114"/>
      <c r="AC4366" s="1117"/>
      <c r="AD4366" s="1115"/>
      <c r="AE4366" s="1115"/>
      <c r="AF4366" s="1115"/>
      <c r="AG4366" s="1115"/>
      <c r="AH4366" s="1115"/>
      <c r="AI4366" s="1115"/>
      <c r="AJ4366" s="1117"/>
      <c r="AK4366" s="1118"/>
      <c r="AL4366" s="1115"/>
      <c r="AM4366" s="1115"/>
      <c r="AN4366" s="1115"/>
      <c r="AO4366" s="1115"/>
      <c r="AP4366" s="1115"/>
      <c r="AQ4366" s="1115"/>
      <c r="AR4366" s="1115"/>
      <c r="AS4366" s="1117"/>
      <c r="AT4366" s="1075"/>
      <c r="AU4366" s="1193"/>
      <c r="AV4366" s="330"/>
      <c r="AW4366" s="331"/>
      <c r="AX4366" s="331"/>
      <c r="AY4366" s="331"/>
      <c r="AZ4366" s="331"/>
      <c r="BA4366" s="331"/>
      <c r="BB4366" s="331"/>
      <c r="BC4366" s="331"/>
      <c r="BD4366" s="331"/>
      <c r="BE4366" s="333"/>
      <c r="BF4366" s="330"/>
      <c r="BG4366" s="333"/>
      <c r="BH4366" s="1119"/>
      <c r="BI4366" s="319"/>
      <c r="BJ4366" s="319"/>
      <c r="BK4366" s="319"/>
      <c r="BL4366" s="319"/>
      <c r="BM4366" s="319"/>
      <c r="BN4366" s="319"/>
      <c r="BO4366" s="319"/>
      <c r="BP4366" s="953"/>
      <c r="BQ4366" s="319"/>
      <c r="BR4366" s="319"/>
      <c r="BS4366" s="330"/>
      <c r="BT4366" s="331"/>
      <c r="BU4366" s="920"/>
      <c r="BV4366" s="903"/>
      <c r="BW4366" s="908"/>
      <c r="BX4366" s="908"/>
      <c r="BY4366" s="331"/>
      <c r="BZ4366" s="331"/>
      <c r="CA4366" s="462"/>
      <c r="CB4366" s="319"/>
      <c r="CC4366" s="319"/>
      <c r="CD4366" s="319"/>
      <c r="CE4366" s="319"/>
      <c r="CF4366" s="319"/>
      <c r="CG4366" s="319"/>
      <c r="CH4366" s="318"/>
      <c r="CI4366" s="319"/>
      <c r="CJ4366" s="319"/>
      <c r="CK4366" s="342"/>
      <c r="CL4366" s="333"/>
      <c r="CM4366" s="1079"/>
      <c r="CN4366" s="1005"/>
      <c r="CO4366" s="1005"/>
      <c r="CP4366" s="1005"/>
    </row>
    <row r="4367">
      <c r="A4367" s="1257"/>
      <c r="B4367" s="1113"/>
      <c r="C4367" s="1107"/>
      <c r="D4367" s="103"/>
      <c r="E4367" s="1137"/>
      <c r="F4367" s="112"/>
      <c r="G4367" s="1110"/>
      <c r="H4367" s="1138"/>
      <c r="I4367" s="1138"/>
      <c r="J4367" s="1139"/>
      <c r="K4367" s="1111"/>
      <c r="L4367" s="1112"/>
      <c r="M4367" s="1113"/>
      <c r="N4367" s="110"/>
      <c r="O4367" s="1140"/>
      <c r="P4367" s="1115"/>
      <c r="Q4367" s="1116"/>
      <c r="R4367" s="1141"/>
      <c r="S4367" s="1113"/>
      <c r="T4367" s="1143"/>
      <c r="U4367" s="1108"/>
      <c r="V4367" s="1108"/>
      <c r="W4367" s="1108"/>
      <c r="X4367" s="1108"/>
      <c r="Y4367" s="1108"/>
      <c r="Z4367" s="1114"/>
      <c r="AA4367" s="1114"/>
      <c r="AB4367" s="1114"/>
      <c r="AC4367" s="1117"/>
      <c r="AD4367" s="1115"/>
      <c r="AE4367" s="1115"/>
      <c r="AF4367" s="1115"/>
      <c r="AG4367" s="1115"/>
      <c r="AH4367" s="1115"/>
      <c r="AI4367" s="1115"/>
      <c r="AJ4367" s="1117"/>
      <c r="AK4367" s="1118"/>
      <c r="AL4367" s="1115"/>
      <c r="AM4367" s="1115"/>
      <c r="AN4367" s="1115"/>
      <c r="AO4367" s="1115"/>
      <c r="AP4367" s="1115"/>
      <c r="AQ4367" s="1115"/>
      <c r="AR4367" s="1115"/>
      <c r="AS4367" s="1117"/>
      <c r="AT4367" s="1075"/>
      <c r="AU4367" s="1193"/>
      <c r="AV4367" s="330"/>
      <c r="AW4367" s="331"/>
      <c r="AX4367" s="331"/>
      <c r="AY4367" s="331"/>
      <c r="AZ4367" s="331"/>
      <c r="BA4367" s="331"/>
      <c r="BB4367" s="331"/>
      <c r="BC4367" s="331"/>
      <c r="BD4367" s="331"/>
      <c r="BE4367" s="333"/>
      <c r="BF4367" s="330"/>
      <c r="BG4367" s="333"/>
      <c r="BH4367" s="1119"/>
      <c r="BI4367" s="319"/>
      <c r="BJ4367" s="319"/>
      <c r="BK4367" s="319"/>
      <c r="BL4367" s="319"/>
      <c r="BM4367" s="319"/>
      <c r="BN4367" s="319"/>
      <c r="BO4367" s="319"/>
      <c r="BP4367" s="953"/>
      <c r="BQ4367" s="319"/>
      <c r="BR4367" s="319"/>
      <c r="BS4367" s="330"/>
      <c r="BT4367" s="331"/>
      <c r="BU4367" s="920"/>
      <c r="BV4367" s="903"/>
      <c r="BW4367" s="908"/>
      <c r="BX4367" s="908"/>
      <c r="BY4367" s="331"/>
      <c r="BZ4367" s="331"/>
      <c r="CA4367" s="462"/>
      <c r="CB4367" s="319"/>
      <c r="CC4367" s="319"/>
      <c r="CD4367" s="319"/>
      <c r="CE4367" s="319"/>
      <c r="CF4367" s="319"/>
      <c r="CG4367" s="319"/>
      <c r="CH4367" s="318"/>
      <c r="CI4367" s="319"/>
      <c r="CJ4367" s="319"/>
      <c r="CK4367" s="342"/>
      <c r="CL4367" s="333"/>
      <c r="CM4367" s="1079"/>
      <c r="CN4367" s="1005"/>
      <c r="CO4367" s="1005"/>
      <c r="CP4367" s="1005"/>
    </row>
    <row r="4368">
      <c r="A4368" s="1257"/>
      <c r="B4368" s="1113"/>
      <c r="C4368" s="1107"/>
      <c r="D4368" s="103"/>
      <c r="E4368" s="1137"/>
      <c r="F4368" s="112"/>
      <c r="G4368" s="1110"/>
      <c r="H4368" s="1138"/>
      <c r="I4368" s="1138"/>
      <c r="J4368" s="1139"/>
      <c r="K4368" s="1111"/>
      <c r="L4368" s="1112"/>
      <c r="M4368" s="1113"/>
      <c r="N4368" s="110"/>
      <c r="O4368" s="1140"/>
      <c r="P4368" s="1115"/>
      <c r="Q4368" s="1116"/>
      <c r="R4368" s="1141"/>
      <c r="S4368" s="1113"/>
      <c r="T4368" s="1143"/>
      <c r="U4368" s="1108"/>
      <c r="V4368" s="1108"/>
      <c r="W4368" s="1108"/>
      <c r="X4368" s="1108"/>
      <c r="Y4368" s="1108"/>
      <c r="Z4368" s="1114"/>
      <c r="AA4368" s="1114"/>
      <c r="AB4368" s="1114"/>
      <c r="AC4368" s="1117"/>
      <c r="AD4368" s="1115"/>
      <c r="AE4368" s="1115"/>
      <c r="AF4368" s="1115"/>
      <c r="AG4368" s="1115"/>
      <c r="AH4368" s="1115"/>
      <c r="AI4368" s="1115"/>
      <c r="AJ4368" s="1117"/>
      <c r="AK4368" s="1118"/>
      <c r="AL4368" s="1115"/>
      <c r="AM4368" s="1115"/>
      <c r="AN4368" s="1115"/>
      <c r="AO4368" s="1115"/>
      <c r="AP4368" s="1115"/>
      <c r="AQ4368" s="1115"/>
      <c r="AR4368" s="1115"/>
      <c r="AS4368" s="1117"/>
      <c r="AT4368" s="1075"/>
      <c r="AU4368" s="1193"/>
      <c r="AV4368" s="330"/>
      <c r="AW4368" s="331"/>
      <c r="AX4368" s="331"/>
      <c r="AY4368" s="331"/>
      <c r="AZ4368" s="331"/>
      <c r="BA4368" s="331"/>
      <c r="BB4368" s="331"/>
      <c r="BC4368" s="331"/>
      <c r="BD4368" s="331"/>
      <c r="BE4368" s="333"/>
      <c r="BF4368" s="330"/>
      <c r="BG4368" s="333"/>
      <c r="BH4368" s="1119"/>
      <c r="BI4368" s="319"/>
      <c r="BJ4368" s="319"/>
      <c r="BK4368" s="319"/>
      <c r="BL4368" s="319"/>
      <c r="BM4368" s="319"/>
      <c r="BN4368" s="319"/>
      <c r="BO4368" s="319"/>
      <c r="BP4368" s="953"/>
      <c r="BQ4368" s="319"/>
      <c r="BR4368" s="319"/>
      <c r="BS4368" s="330"/>
      <c r="BT4368" s="331"/>
      <c r="BU4368" s="920"/>
      <c r="BV4368" s="903"/>
      <c r="BW4368" s="908"/>
      <c r="BX4368" s="908"/>
      <c r="BY4368" s="331"/>
      <c r="BZ4368" s="331"/>
      <c r="CA4368" s="462"/>
      <c r="CB4368" s="319"/>
      <c r="CC4368" s="319"/>
      <c r="CD4368" s="319"/>
      <c r="CE4368" s="319"/>
      <c r="CF4368" s="319"/>
      <c r="CG4368" s="319"/>
      <c r="CH4368" s="318"/>
      <c r="CI4368" s="319"/>
      <c r="CJ4368" s="319"/>
      <c r="CK4368" s="342"/>
      <c r="CL4368" s="333"/>
      <c r="CM4368" s="1079"/>
      <c r="CN4368" s="1005"/>
      <c r="CO4368" s="1005"/>
      <c r="CP4368" s="1005"/>
    </row>
    <row r="4369">
      <c r="A4369" s="1257"/>
      <c r="B4369" s="1113"/>
      <c r="C4369" s="1107"/>
      <c r="D4369" s="103"/>
      <c r="E4369" s="1137"/>
      <c r="F4369" s="112"/>
      <c r="G4369" s="1110"/>
      <c r="H4369" s="1138"/>
      <c r="I4369" s="1138"/>
      <c r="J4369" s="1139"/>
      <c r="K4369" s="1111"/>
      <c r="L4369" s="1112"/>
      <c r="M4369" s="1113"/>
      <c r="N4369" s="110"/>
      <c r="O4369" s="1140"/>
      <c r="P4369" s="1115"/>
      <c r="Q4369" s="1116"/>
      <c r="R4369" s="1141"/>
      <c r="S4369" s="1113"/>
      <c r="T4369" s="1143"/>
      <c r="U4369" s="1108"/>
      <c r="V4369" s="1108"/>
      <c r="W4369" s="1108"/>
      <c r="X4369" s="1108"/>
      <c r="Y4369" s="1108"/>
      <c r="Z4369" s="1114"/>
      <c r="AA4369" s="1114"/>
      <c r="AB4369" s="1114"/>
      <c r="AC4369" s="1117"/>
      <c r="AD4369" s="1115"/>
      <c r="AE4369" s="1115"/>
      <c r="AF4369" s="1115"/>
      <c r="AG4369" s="1115"/>
      <c r="AH4369" s="1115"/>
      <c r="AI4369" s="1115"/>
      <c r="AJ4369" s="1117"/>
      <c r="AK4369" s="1118"/>
      <c r="AL4369" s="1115"/>
      <c r="AM4369" s="1115"/>
      <c r="AN4369" s="1115"/>
      <c r="AO4369" s="1115"/>
      <c r="AP4369" s="1115"/>
      <c r="AQ4369" s="1115"/>
      <c r="AR4369" s="1115"/>
      <c r="AS4369" s="1117"/>
      <c r="AT4369" s="1075"/>
      <c r="AU4369" s="1193"/>
      <c r="AV4369" s="330"/>
      <c r="AW4369" s="331"/>
      <c r="AX4369" s="331"/>
      <c r="AY4369" s="331"/>
      <c r="AZ4369" s="331"/>
      <c r="BA4369" s="331"/>
      <c r="BB4369" s="331"/>
      <c r="BC4369" s="331"/>
      <c r="BD4369" s="331"/>
      <c r="BE4369" s="333"/>
      <c r="BF4369" s="330"/>
      <c r="BG4369" s="333"/>
      <c r="BH4369" s="1119"/>
      <c r="BI4369" s="319"/>
      <c r="BJ4369" s="319"/>
      <c r="BK4369" s="319"/>
      <c r="BL4369" s="319"/>
      <c r="BM4369" s="319"/>
      <c r="BN4369" s="319"/>
      <c r="BO4369" s="319"/>
      <c r="BP4369" s="953"/>
      <c r="BQ4369" s="319"/>
      <c r="BR4369" s="319"/>
      <c r="BS4369" s="330"/>
      <c r="BT4369" s="331"/>
      <c r="BU4369" s="920"/>
      <c r="BV4369" s="903"/>
      <c r="BW4369" s="908"/>
      <c r="BX4369" s="908"/>
      <c r="BY4369" s="331"/>
      <c r="BZ4369" s="331"/>
      <c r="CA4369" s="462"/>
      <c r="CB4369" s="319"/>
      <c r="CC4369" s="319"/>
      <c r="CD4369" s="319"/>
      <c r="CE4369" s="319"/>
      <c r="CF4369" s="319"/>
      <c r="CG4369" s="319"/>
      <c r="CH4369" s="318"/>
      <c r="CI4369" s="319"/>
      <c r="CJ4369" s="319"/>
      <c r="CK4369" s="342"/>
      <c r="CL4369" s="333"/>
      <c r="CM4369" s="1079"/>
      <c r="CN4369" s="1005"/>
      <c r="CO4369" s="1005"/>
      <c r="CP4369" s="1005"/>
    </row>
    <row r="4370">
      <c r="A4370" s="1257"/>
      <c r="B4370" s="1113"/>
      <c r="C4370" s="1107"/>
      <c r="D4370" s="103"/>
      <c r="E4370" s="1137"/>
      <c r="F4370" s="112"/>
      <c r="G4370" s="1110"/>
      <c r="H4370" s="1138"/>
      <c r="I4370" s="1138"/>
      <c r="J4370" s="1139"/>
      <c r="K4370" s="1111"/>
      <c r="L4370" s="1112"/>
      <c r="M4370" s="1113"/>
      <c r="N4370" s="110"/>
      <c r="O4370" s="1140"/>
      <c r="P4370" s="1115"/>
      <c r="Q4370" s="1116"/>
      <c r="R4370" s="1141"/>
      <c r="S4370" s="1113"/>
      <c r="T4370" s="1143"/>
      <c r="U4370" s="1108"/>
      <c r="V4370" s="1108"/>
      <c r="W4370" s="1108"/>
      <c r="X4370" s="1108"/>
      <c r="Y4370" s="1108"/>
      <c r="Z4370" s="1114"/>
      <c r="AA4370" s="1114"/>
      <c r="AB4370" s="1114"/>
      <c r="AC4370" s="1117"/>
      <c r="AD4370" s="1115"/>
      <c r="AE4370" s="1115"/>
      <c r="AF4370" s="1115"/>
      <c r="AG4370" s="1115"/>
      <c r="AH4370" s="1115"/>
      <c r="AI4370" s="1115"/>
      <c r="AJ4370" s="1117"/>
      <c r="AK4370" s="1118"/>
      <c r="AL4370" s="1115"/>
      <c r="AM4370" s="1115"/>
      <c r="AN4370" s="1115"/>
      <c r="AO4370" s="1115"/>
      <c r="AP4370" s="1115"/>
      <c r="AQ4370" s="1115"/>
      <c r="AR4370" s="1115"/>
      <c r="AS4370" s="1117"/>
      <c r="AT4370" s="1075"/>
      <c r="AU4370" s="1193"/>
      <c r="AV4370" s="330"/>
      <c r="AW4370" s="331"/>
      <c r="AX4370" s="331"/>
      <c r="AY4370" s="331"/>
      <c r="AZ4370" s="331"/>
      <c r="BA4370" s="331"/>
      <c r="BB4370" s="331"/>
      <c r="BC4370" s="331"/>
      <c r="BD4370" s="331"/>
      <c r="BE4370" s="333"/>
      <c r="BF4370" s="330"/>
      <c r="BG4370" s="333"/>
      <c r="BH4370" s="1119"/>
      <c r="BI4370" s="319"/>
      <c r="BJ4370" s="319"/>
      <c r="BK4370" s="319"/>
      <c r="BL4370" s="319"/>
      <c r="BM4370" s="319"/>
      <c r="BN4370" s="319"/>
      <c r="BO4370" s="319"/>
      <c r="BP4370" s="953"/>
      <c r="BQ4370" s="319"/>
      <c r="BR4370" s="319"/>
      <c r="BS4370" s="330"/>
      <c r="BT4370" s="331"/>
      <c r="BU4370" s="920"/>
      <c r="BV4370" s="903"/>
      <c r="BW4370" s="908"/>
      <c r="BX4370" s="908"/>
      <c r="BY4370" s="331"/>
      <c r="BZ4370" s="331"/>
      <c r="CA4370" s="462"/>
      <c r="CB4370" s="319"/>
      <c r="CC4370" s="319"/>
      <c r="CD4370" s="319"/>
      <c r="CE4370" s="319"/>
      <c r="CF4370" s="319"/>
      <c r="CG4370" s="319"/>
      <c r="CH4370" s="318"/>
      <c r="CI4370" s="319"/>
      <c r="CJ4370" s="319"/>
      <c r="CK4370" s="342"/>
      <c r="CL4370" s="333"/>
      <c r="CM4370" s="1079"/>
      <c r="CN4370" s="1005"/>
      <c r="CO4370" s="1005"/>
      <c r="CP4370" s="1005"/>
    </row>
    <row r="4371">
      <c r="A4371" s="1257"/>
      <c r="B4371" s="1113"/>
      <c r="C4371" s="1107"/>
      <c r="D4371" s="103"/>
      <c r="E4371" s="1137"/>
      <c r="F4371" s="112"/>
      <c r="G4371" s="1110"/>
      <c r="H4371" s="1138"/>
      <c r="I4371" s="1138"/>
      <c r="J4371" s="1139"/>
      <c r="K4371" s="1111"/>
      <c r="L4371" s="1112"/>
      <c r="M4371" s="1113"/>
      <c r="N4371" s="110"/>
      <c r="O4371" s="1140"/>
      <c r="P4371" s="1115"/>
      <c r="Q4371" s="1116"/>
      <c r="R4371" s="1141"/>
      <c r="S4371" s="1113"/>
      <c r="T4371" s="1143"/>
      <c r="U4371" s="1108"/>
      <c r="V4371" s="1108"/>
      <c r="W4371" s="1108"/>
      <c r="X4371" s="1108"/>
      <c r="Y4371" s="1108"/>
      <c r="Z4371" s="1114"/>
      <c r="AA4371" s="1114"/>
      <c r="AB4371" s="1114"/>
      <c r="AC4371" s="1117"/>
      <c r="AD4371" s="1115"/>
      <c r="AE4371" s="1115"/>
      <c r="AF4371" s="1115"/>
      <c r="AG4371" s="1115"/>
      <c r="AH4371" s="1115"/>
      <c r="AI4371" s="1115"/>
      <c r="AJ4371" s="1117"/>
      <c r="AK4371" s="1118"/>
      <c r="AL4371" s="1115"/>
      <c r="AM4371" s="1115"/>
      <c r="AN4371" s="1115"/>
      <c r="AO4371" s="1115"/>
      <c r="AP4371" s="1115"/>
      <c r="AQ4371" s="1115"/>
      <c r="AR4371" s="1115"/>
      <c r="AS4371" s="1117"/>
      <c r="AT4371" s="1075"/>
      <c r="AU4371" s="1193"/>
      <c r="AV4371" s="330"/>
      <c r="AW4371" s="331"/>
      <c r="AX4371" s="331"/>
      <c r="AY4371" s="331"/>
      <c r="AZ4371" s="331"/>
      <c r="BA4371" s="331"/>
      <c r="BB4371" s="331"/>
      <c r="BC4371" s="331"/>
      <c r="BD4371" s="331"/>
      <c r="BE4371" s="333"/>
      <c r="BF4371" s="330"/>
      <c r="BG4371" s="333"/>
      <c r="BH4371" s="1119"/>
      <c r="BI4371" s="319"/>
      <c r="BJ4371" s="319"/>
      <c r="BK4371" s="319"/>
      <c r="BL4371" s="319"/>
      <c r="BM4371" s="319"/>
      <c r="BN4371" s="319"/>
      <c r="BO4371" s="319"/>
      <c r="BP4371" s="953"/>
      <c r="BQ4371" s="319"/>
      <c r="BR4371" s="319"/>
      <c r="BS4371" s="330"/>
      <c r="BT4371" s="331"/>
      <c r="BU4371" s="920"/>
      <c r="BV4371" s="903"/>
      <c r="BW4371" s="908"/>
      <c r="BX4371" s="908"/>
      <c r="BY4371" s="331"/>
      <c r="BZ4371" s="331"/>
      <c r="CA4371" s="462"/>
      <c r="CB4371" s="319"/>
      <c r="CC4371" s="319"/>
      <c r="CD4371" s="319"/>
      <c r="CE4371" s="319"/>
      <c r="CF4371" s="319"/>
      <c r="CG4371" s="319"/>
      <c r="CH4371" s="318"/>
      <c r="CI4371" s="319"/>
      <c r="CJ4371" s="319"/>
      <c r="CK4371" s="342"/>
      <c r="CL4371" s="333"/>
      <c r="CM4371" s="1079"/>
      <c r="CN4371" s="1005"/>
      <c r="CO4371" s="1005"/>
      <c r="CP4371" s="1005"/>
    </row>
    <row r="4372">
      <c r="A4372" s="1257"/>
      <c r="B4372" s="1113"/>
      <c r="C4372" s="1107"/>
      <c r="D4372" s="103"/>
      <c r="E4372" s="1137"/>
      <c r="F4372" s="112"/>
      <c r="G4372" s="1110"/>
      <c r="H4372" s="1138"/>
      <c r="I4372" s="1138"/>
      <c r="J4372" s="1139"/>
      <c r="K4372" s="1111"/>
      <c r="L4372" s="1112"/>
      <c r="M4372" s="1113"/>
      <c r="N4372" s="110"/>
      <c r="O4372" s="1140"/>
      <c r="P4372" s="1115"/>
      <c r="Q4372" s="1116"/>
      <c r="R4372" s="1141"/>
      <c r="S4372" s="1113"/>
      <c r="T4372" s="1143"/>
      <c r="U4372" s="1108"/>
      <c r="V4372" s="1108"/>
      <c r="W4372" s="1108"/>
      <c r="X4372" s="1108"/>
      <c r="Y4372" s="1108"/>
      <c r="Z4372" s="1114"/>
      <c r="AA4372" s="1114"/>
      <c r="AB4372" s="1114"/>
      <c r="AC4372" s="1117"/>
      <c r="AD4372" s="1115"/>
      <c r="AE4372" s="1115"/>
      <c r="AF4372" s="1115"/>
      <c r="AG4372" s="1115"/>
      <c r="AH4372" s="1115"/>
      <c r="AI4372" s="1115"/>
      <c r="AJ4372" s="1117"/>
      <c r="AK4372" s="1118"/>
      <c r="AL4372" s="1115"/>
      <c r="AM4372" s="1115"/>
      <c r="AN4372" s="1115"/>
      <c r="AO4372" s="1115"/>
      <c r="AP4372" s="1115"/>
      <c r="AQ4372" s="1115"/>
      <c r="AR4372" s="1115"/>
      <c r="AS4372" s="1117"/>
      <c r="AT4372" s="1075"/>
      <c r="AU4372" s="1193"/>
      <c r="AV4372" s="330"/>
      <c r="AW4372" s="331"/>
      <c r="AX4372" s="331"/>
      <c r="AY4372" s="331"/>
      <c r="AZ4372" s="331"/>
      <c r="BA4372" s="331"/>
      <c r="BB4372" s="331"/>
      <c r="BC4372" s="331"/>
      <c r="BD4372" s="331"/>
      <c r="BE4372" s="333"/>
      <c r="BF4372" s="330"/>
      <c r="BG4372" s="333"/>
      <c r="BH4372" s="1119"/>
      <c r="BI4372" s="319"/>
      <c r="BJ4372" s="319"/>
      <c r="BK4372" s="319"/>
      <c r="BL4372" s="319"/>
      <c r="BM4372" s="319"/>
      <c r="BN4372" s="319"/>
      <c r="BO4372" s="319"/>
      <c r="BP4372" s="953"/>
      <c r="BQ4372" s="319"/>
      <c r="BR4372" s="319"/>
      <c r="BS4372" s="330"/>
      <c r="BT4372" s="331"/>
      <c r="BU4372" s="920"/>
      <c r="BV4372" s="903"/>
      <c r="BW4372" s="908"/>
      <c r="BX4372" s="908"/>
      <c r="BY4372" s="331"/>
      <c r="BZ4372" s="331"/>
      <c r="CA4372" s="462"/>
      <c r="CB4372" s="319"/>
      <c r="CC4372" s="319"/>
      <c r="CD4372" s="319"/>
      <c r="CE4372" s="319"/>
      <c r="CF4372" s="319"/>
      <c r="CG4372" s="319"/>
      <c r="CH4372" s="318"/>
      <c r="CI4372" s="319"/>
      <c r="CJ4372" s="319"/>
      <c r="CK4372" s="342"/>
      <c r="CL4372" s="333"/>
      <c r="CM4372" s="1079"/>
      <c r="CN4372" s="1005"/>
      <c r="CO4372" s="1005"/>
      <c r="CP4372" s="1005"/>
    </row>
    <row r="4373">
      <c r="A4373" s="1257"/>
      <c r="B4373" s="1113"/>
      <c r="C4373" s="1107"/>
      <c r="D4373" s="103"/>
      <c r="E4373" s="1137"/>
      <c r="F4373" s="112"/>
      <c r="G4373" s="1110"/>
      <c r="H4373" s="1138"/>
      <c r="I4373" s="1138"/>
      <c r="J4373" s="1139"/>
      <c r="K4373" s="1111"/>
      <c r="L4373" s="1112"/>
      <c r="M4373" s="1113"/>
      <c r="N4373" s="110"/>
      <c r="O4373" s="1140"/>
      <c r="P4373" s="1115"/>
      <c r="Q4373" s="1116"/>
      <c r="R4373" s="1141"/>
      <c r="S4373" s="1113"/>
      <c r="T4373" s="1143"/>
      <c r="U4373" s="1108"/>
      <c r="V4373" s="1108"/>
      <c r="W4373" s="1108"/>
      <c r="X4373" s="1108"/>
      <c r="Y4373" s="1108"/>
      <c r="Z4373" s="1114"/>
      <c r="AA4373" s="1114"/>
      <c r="AB4373" s="1114"/>
      <c r="AC4373" s="1117"/>
      <c r="AD4373" s="1115"/>
      <c r="AE4373" s="1115"/>
      <c r="AF4373" s="1115"/>
      <c r="AG4373" s="1115"/>
      <c r="AH4373" s="1115"/>
      <c r="AI4373" s="1115"/>
      <c r="AJ4373" s="1117"/>
      <c r="AK4373" s="1118"/>
      <c r="AL4373" s="1115"/>
      <c r="AM4373" s="1115"/>
      <c r="AN4373" s="1115"/>
      <c r="AO4373" s="1115"/>
      <c r="AP4373" s="1115"/>
      <c r="AQ4373" s="1115"/>
      <c r="AR4373" s="1115"/>
      <c r="AS4373" s="1117"/>
      <c r="AT4373" s="1075"/>
      <c r="AU4373" s="1193"/>
      <c r="AV4373" s="330"/>
      <c r="AW4373" s="331"/>
      <c r="AX4373" s="331"/>
      <c r="AY4373" s="331"/>
      <c r="AZ4373" s="331"/>
      <c r="BA4373" s="331"/>
      <c r="BB4373" s="331"/>
      <c r="BC4373" s="331"/>
      <c r="BD4373" s="331"/>
      <c r="BE4373" s="333"/>
      <c r="BF4373" s="330"/>
      <c r="BG4373" s="333"/>
      <c r="BH4373" s="1119"/>
      <c r="BI4373" s="319"/>
      <c r="BJ4373" s="319"/>
      <c r="BK4373" s="319"/>
      <c r="BL4373" s="319"/>
      <c r="BM4373" s="319"/>
      <c r="BN4373" s="319"/>
      <c r="BO4373" s="319"/>
      <c r="BP4373" s="953"/>
      <c r="BQ4373" s="319"/>
      <c r="BR4373" s="319"/>
      <c r="BS4373" s="330"/>
      <c r="BT4373" s="331"/>
      <c r="BU4373" s="920"/>
      <c r="BV4373" s="903"/>
      <c r="BW4373" s="908"/>
      <c r="BX4373" s="908"/>
      <c r="BY4373" s="331"/>
      <c r="BZ4373" s="331"/>
      <c r="CA4373" s="462"/>
      <c r="CB4373" s="319"/>
      <c r="CC4373" s="319"/>
      <c r="CD4373" s="319"/>
      <c r="CE4373" s="319"/>
      <c r="CF4373" s="319"/>
      <c r="CG4373" s="319"/>
      <c r="CH4373" s="318"/>
      <c r="CI4373" s="319"/>
      <c r="CJ4373" s="319"/>
      <c r="CK4373" s="342"/>
      <c r="CL4373" s="333"/>
      <c r="CM4373" s="1079"/>
      <c r="CN4373" s="1005"/>
      <c r="CO4373" s="1005"/>
      <c r="CP4373" s="1005"/>
    </row>
    <row r="4374">
      <c r="A4374" s="1257"/>
      <c r="B4374" s="1113"/>
      <c r="C4374" s="1107"/>
      <c r="D4374" s="103"/>
      <c r="E4374" s="1137"/>
      <c r="F4374" s="112"/>
      <c r="G4374" s="1110"/>
      <c r="H4374" s="1138"/>
      <c r="I4374" s="1138"/>
      <c r="J4374" s="1139"/>
      <c r="K4374" s="1111"/>
      <c r="L4374" s="1112"/>
      <c r="M4374" s="1113"/>
      <c r="N4374" s="110"/>
      <c r="O4374" s="1140"/>
      <c r="P4374" s="1115"/>
      <c r="Q4374" s="1116"/>
      <c r="R4374" s="1141"/>
      <c r="S4374" s="1113"/>
      <c r="T4374" s="1143"/>
      <c r="U4374" s="1108"/>
      <c r="V4374" s="1108"/>
      <c r="W4374" s="1108"/>
      <c r="X4374" s="1108"/>
      <c r="Y4374" s="1108"/>
      <c r="Z4374" s="1114"/>
      <c r="AA4374" s="1114"/>
      <c r="AB4374" s="1114"/>
      <c r="AC4374" s="1117"/>
      <c r="AD4374" s="1115"/>
      <c r="AE4374" s="1115"/>
      <c r="AF4374" s="1115"/>
      <c r="AG4374" s="1115"/>
      <c r="AH4374" s="1115"/>
      <c r="AI4374" s="1115"/>
      <c r="AJ4374" s="1117"/>
      <c r="AK4374" s="1118"/>
      <c r="AL4374" s="1115"/>
      <c r="AM4374" s="1115"/>
      <c r="AN4374" s="1115"/>
      <c r="AO4374" s="1115"/>
      <c r="AP4374" s="1115"/>
      <c r="AQ4374" s="1115"/>
      <c r="AR4374" s="1115"/>
      <c r="AS4374" s="1117"/>
      <c r="AT4374" s="1075"/>
      <c r="AU4374" s="1193"/>
      <c r="AV4374" s="330"/>
      <c r="AW4374" s="331"/>
      <c r="AX4374" s="331"/>
      <c r="AY4374" s="331"/>
      <c r="AZ4374" s="331"/>
      <c r="BA4374" s="331"/>
      <c r="BB4374" s="331"/>
      <c r="BC4374" s="331"/>
      <c r="BD4374" s="331"/>
      <c r="BE4374" s="333"/>
      <c r="BF4374" s="330"/>
      <c r="BG4374" s="333"/>
      <c r="BH4374" s="1119"/>
      <c r="BI4374" s="319"/>
      <c r="BJ4374" s="319"/>
      <c r="BK4374" s="319"/>
      <c r="BL4374" s="319"/>
      <c r="BM4374" s="319"/>
      <c r="BN4374" s="319"/>
      <c r="BO4374" s="319"/>
      <c r="BP4374" s="953"/>
      <c r="BQ4374" s="319"/>
      <c r="BR4374" s="319"/>
      <c r="BS4374" s="330"/>
      <c r="BT4374" s="331"/>
      <c r="BU4374" s="920"/>
      <c r="BV4374" s="903"/>
      <c r="BW4374" s="908"/>
      <c r="BX4374" s="908"/>
      <c r="BY4374" s="331"/>
      <c r="BZ4374" s="331"/>
      <c r="CA4374" s="462"/>
      <c r="CB4374" s="319"/>
      <c r="CC4374" s="319"/>
      <c r="CD4374" s="319"/>
      <c r="CE4374" s="319"/>
      <c r="CF4374" s="319"/>
      <c r="CG4374" s="319"/>
      <c r="CH4374" s="318"/>
      <c r="CI4374" s="319"/>
      <c r="CJ4374" s="319"/>
      <c r="CK4374" s="342"/>
      <c r="CL4374" s="333"/>
      <c r="CM4374" s="1079"/>
      <c r="CN4374" s="1005"/>
      <c r="CO4374" s="1005"/>
      <c r="CP4374" s="1005"/>
    </row>
    <row r="4375">
      <c r="A4375" s="1257"/>
      <c r="B4375" s="1113"/>
      <c r="C4375" s="1107"/>
      <c r="D4375" s="103"/>
      <c r="E4375" s="1137"/>
      <c r="F4375" s="112"/>
      <c r="G4375" s="1110"/>
      <c r="H4375" s="1138"/>
      <c r="I4375" s="1138"/>
      <c r="J4375" s="1139"/>
      <c r="K4375" s="1111"/>
      <c r="L4375" s="1112"/>
      <c r="M4375" s="1113"/>
      <c r="N4375" s="110"/>
      <c r="O4375" s="1140"/>
      <c r="P4375" s="1115"/>
      <c r="Q4375" s="1116"/>
      <c r="R4375" s="1141"/>
      <c r="S4375" s="1113"/>
      <c r="T4375" s="1143"/>
      <c r="U4375" s="1108"/>
      <c r="V4375" s="1108"/>
      <c r="W4375" s="1108"/>
      <c r="X4375" s="1108"/>
      <c r="Y4375" s="1108"/>
      <c r="Z4375" s="1114"/>
      <c r="AA4375" s="1114"/>
      <c r="AB4375" s="1114"/>
      <c r="AC4375" s="1117"/>
      <c r="AD4375" s="1115"/>
      <c r="AE4375" s="1115"/>
      <c r="AF4375" s="1115"/>
      <c r="AG4375" s="1115"/>
      <c r="AH4375" s="1115"/>
      <c r="AI4375" s="1115"/>
      <c r="AJ4375" s="1117"/>
      <c r="AK4375" s="1118"/>
      <c r="AL4375" s="1115"/>
      <c r="AM4375" s="1115"/>
      <c r="AN4375" s="1115"/>
      <c r="AO4375" s="1115"/>
      <c r="AP4375" s="1115"/>
      <c r="AQ4375" s="1115"/>
      <c r="AR4375" s="1115"/>
      <c r="AS4375" s="1117"/>
      <c r="AT4375" s="1075"/>
      <c r="AU4375" s="1193"/>
      <c r="AV4375" s="330"/>
      <c r="AW4375" s="331"/>
      <c r="AX4375" s="331"/>
      <c r="AY4375" s="331"/>
      <c r="AZ4375" s="331"/>
      <c r="BA4375" s="331"/>
      <c r="BB4375" s="331"/>
      <c r="BC4375" s="331"/>
      <c r="BD4375" s="331"/>
      <c r="BE4375" s="333"/>
      <c r="BF4375" s="330"/>
      <c r="BG4375" s="333"/>
      <c r="BH4375" s="1119"/>
      <c r="BI4375" s="319"/>
      <c r="BJ4375" s="319"/>
      <c r="BK4375" s="319"/>
      <c r="BL4375" s="319"/>
      <c r="BM4375" s="319"/>
      <c r="BN4375" s="319"/>
      <c r="BO4375" s="319"/>
      <c r="BP4375" s="953"/>
      <c r="BQ4375" s="319"/>
      <c r="BR4375" s="319"/>
      <c r="BS4375" s="330"/>
      <c r="BT4375" s="331"/>
      <c r="BU4375" s="920"/>
      <c r="BV4375" s="903"/>
      <c r="BW4375" s="908"/>
      <c r="BX4375" s="908"/>
      <c r="BY4375" s="331"/>
      <c r="BZ4375" s="331"/>
      <c r="CA4375" s="462"/>
      <c r="CB4375" s="319"/>
      <c r="CC4375" s="319"/>
      <c r="CD4375" s="319"/>
      <c r="CE4375" s="319"/>
      <c r="CF4375" s="319"/>
      <c r="CG4375" s="319"/>
      <c r="CH4375" s="318"/>
      <c r="CI4375" s="319"/>
      <c r="CJ4375" s="319"/>
      <c r="CK4375" s="342"/>
      <c r="CL4375" s="333"/>
      <c r="CM4375" s="1079"/>
      <c r="CN4375" s="1005"/>
      <c r="CO4375" s="1005"/>
      <c r="CP4375" s="1005"/>
    </row>
    <row r="4376">
      <c r="A4376" s="1257"/>
      <c r="B4376" s="1113"/>
      <c r="C4376" s="1107"/>
      <c r="D4376" s="103"/>
      <c r="E4376" s="1137"/>
      <c r="F4376" s="112"/>
      <c r="G4376" s="1110"/>
      <c r="H4376" s="1138"/>
      <c r="I4376" s="1138"/>
      <c r="J4376" s="1139"/>
      <c r="K4376" s="1111"/>
      <c r="L4376" s="1112"/>
      <c r="M4376" s="1113"/>
      <c r="N4376" s="110"/>
      <c r="O4376" s="1140"/>
      <c r="P4376" s="1115"/>
      <c r="Q4376" s="1116"/>
      <c r="R4376" s="1141"/>
      <c r="S4376" s="1113"/>
      <c r="T4376" s="1143"/>
      <c r="U4376" s="1108"/>
      <c r="V4376" s="1108"/>
      <c r="W4376" s="1108"/>
      <c r="X4376" s="1108"/>
      <c r="Y4376" s="1108"/>
      <c r="Z4376" s="1114"/>
      <c r="AA4376" s="1114"/>
      <c r="AB4376" s="1114"/>
      <c r="AC4376" s="1117"/>
      <c r="AD4376" s="1115"/>
      <c r="AE4376" s="1115"/>
      <c r="AF4376" s="1115"/>
      <c r="AG4376" s="1115"/>
      <c r="AH4376" s="1115"/>
      <c r="AI4376" s="1115"/>
      <c r="AJ4376" s="1117"/>
      <c r="AK4376" s="1118"/>
      <c r="AL4376" s="1115"/>
      <c r="AM4376" s="1115"/>
      <c r="AN4376" s="1115"/>
      <c r="AO4376" s="1115"/>
      <c r="AP4376" s="1115"/>
      <c r="AQ4376" s="1115"/>
      <c r="AR4376" s="1115"/>
      <c r="AS4376" s="1117"/>
      <c r="AT4376" s="1075"/>
      <c r="AU4376" s="1193"/>
      <c r="AV4376" s="330"/>
      <c r="AW4376" s="331"/>
      <c r="AX4376" s="331"/>
      <c r="AY4376" s="331"/>
      <c r="AZ4376" s="331"/>
      <c r="BA4376" s="331"/>
      <c r="BB4376" s="331"/>
      <c r="BC4376" s="331"/>
      <c r="BD4376" s="331"/>
      <c r="BE4376" s="333"/>
      <c r="BF4376" s="330"/>
      <c r="BG4376" s="333"/>
      <c r="BH4376" s="1119"/>
      <c r="BI4376" s="319"/>
      <c r="BJ4376" s="319"/>
      <c r="BK4376" s="319"/>
      <c r="BL4376" s="319"/>
      <c r="BM4376" s="319"/>
      <c r="BN4376" s="319"/>
      <c r="BO4376" s="319"/>
      <c r="BP4376" s="953"/>
      <c r="BQ4376" s="319"/>
      <c r="BR4376" s="319"/>
      <c r="BS4376" s="330"/>
      <c r="BT4376" s="331"/>
      <c r="BU4376" s="920"/>
      <c r="BV4376" s="903"/>
      <c r="BW4376" s="908"/>
      <c r="BX4376" s="908"/>
      <c r="BY4376" s="331"/>
      <c r="BZ4376" s="331"/>
      <c r="CA4376" s="462"/>
      <c r="CB4376" s="319"/>
      <c r="CC4376" s="319"/>
      <c r="CD4376" s="319"/>
      <c r="CE4376" s="319"/>
      <c r="CF4376" s="319"/>
      <c r="CG4376" s="319"/>
      <c r="CH4376" s="318"/>
      <c r="CI4376" s="319"/>
      <c r="CJ4376" s="319"/>
      <c r="CK4376" s="342"/>
      <c r="CL4376" s="333"/>
      <c r="CM4376" s="1079"/>
      <c r="CN4376" s="1005"/>
      <c r="CO4376" s="1005"/>
      <c r="CP4376" s="1005"/>
    </row>
    <row r="4377">
      <c r="A4377" s="1257"/>
      <c r="B4377" s="1113"/>
      <c r="C4377" s="1107"/>
      <c r="D4377" s="103"/>
      <c r="E4377" s="1137"/>
      <c r="F4377" s="112"/>
      <c r="G4377" s="1110"/>
      <c r="H4377" s="1138"/>
      <c r="I4377" s="1138"/>
      <c r="J4377" s="1139"/>
      <c r="K4377" s="1111"/>
      <c r="L4377" s="1112"/>
      <c r="M4377" s="1113"/>
      <c r="N4377" s="110"/>
      <c r="O4377" s="1140"/>
      <c r="P4377" s="1115"/>
      <c r="Q4377" s="1116"/>
      <c r="R4377" s="1141"/>
      <c r="S4377" s="1113"/>
      <c r="T4377" s="1143"/>
      <c r="U4377" s="1108"/>
      <c r="V4377" s="1108"/>
      <c r="W4377" s="1108"/>
      <c r="X4377" s="1108"/>
      <c r="Y4377" s="1108"/>
      <c r="Z4377" s="1114"/>
      <c r="AA4377" s="1114"/>
      <c r="AB4377" s="1114"/>
      <c r="AC4377" s="1117"/>
      <c r="AD4377" s="1115"/>
      <c r="AE4377" s="1115"/>
      <c r="AF4377" s="1115"/>
      <c r="AG4377" s="1115"/>
      <c r="AH4377" s="1115"/>
      <c r="AI4377" s="1115"/>
      <c r="AJ4377" s="1117"/>
      <c r="AK4377" s="1118"/>
      <c r="AL4377" s="1115"/>
      <c r="AM4377" s="1115"/>
      <c r="AN4377" s="1115"/>
      <c r="AO4377" s="1115"/>
      <c r="AP4377" s="1115"/>
      <c r="AQ4377" s="1115"/>
      <c r="AR4377" s="1115"/>
      <c r="AS4377" s="1117"/>
      <c r="AT4377" s="1075"/>
      <c r="AU4377" s="1193"/>
      <c r="AV4377" s="330"/>
      <c r="AW4377" s="331"/>
      <c r="AX4377" s="331"/>
      <c r="AY4377" s="331"/>
      <c r="AZ4377" s="331"/>
      <c r="BA4377" s="331"/>
      <c r="BB4377" s="331"/>
      <c r="BC4377" s="331"/>
      <c r="BD4377" s="331"/>
      <c r="BE4377" s="333"/>
      <c r="BF4377" s="330"/>
      <c r="BG4377" s="333"/>
      <c r="BH4377" s="1119"/>
      <c r="BI4377" s="319"/>
      <c r="BJ4377" s="319"/>
      <c r="BK4377" s="319"/>
      <c r="BL4377" s="319"/>
      <c r="BM4377" s="319"/>
      <c r="BN4377" s="319"/>
      <c r="BO4377" s="319"/>
      <c r="BP4377" s="953"/>
      <c r="BQ4377" s="319"/>
      <c r="BR4377" s="319"/>
      <c r="BS4377" s="330"/>
      <c r="BT4377" s="331"/>
      <c r="BU4377" s="920"/>
      <c r="BV4377" s="903"/>
      <c r="BW4377" s="908"/>
      <c r="BX4377" s="908"/>
      <c r="BY4377" s="331"/>
      <c r="BZ4377" s="331"/>
      <c r="CA4377" s="462"/>
      <c r="CB4377" s="319"/>
      <c r="CC4377" s="319"/>
      <c r="CD4377" s="319"/>
      <c r="CE4377" s="319"/>
      <c r="CF4377" s="319"/>
      <c r="CG4377" s="319"/>
      <c r="CH4377" s="318"/>
      <c r="CI4377" s="319"/>
      <c r="CJ4377" s="319"/>
      <c r="CK4377" s="342"/>
      <c r="CL4377" s="333"/>
      <c r="CM4377" s="1079"/>
      <c r="CN4377" s="1005"/>
      <c r="CO4377" s="1005"/>
      <c r="CP4377" s="1005"/>
    </row>
    <row r="4378">
      <c r="A4378" s="1257"/>
      <c r="B4378" s="1113"/>
      <c r="C4378" s="1107"/>
      <c r="D4378" s="103"/>
      <c r="E4378" s="1137"/>
      <c r="F4378" s="112"/>
      <c r="G4378" s="1110"/>
      <c r="H4378" s="1138"/>
      <c r="I4378" s="1138"/>
      <c r="J4378" s="1139"/>
      <c r="K4378" s="1111"/>
      <c r="L4378" s="1112"/>
      <c r="M4378" s="1113"/>
      <c r="N4378" s="110"/>
      <c r="O4378" s="1140"/>
      <c r="P4378" s="1115"/>
      <c r="Q4378" s="1116"/>
      <c r="R4378" s="1141"/>
      <c r="S4378" s="1113"/>
      <c r="T4378" s="1143"/>
      <c r="U4378" s="1108"/>
      <c r="V4378" s="1108"/>
      <c r="W4378" s="1108"/>
      <c r="X4378" s="1108"/>
      <c r="Y4378" s="1108"/>
      <c r="Z4378" s="1114"/>
      <c r="AA4378" s="1114"/>
      <c r="AB4378" s="1114"/>
      <c r="AC4378" s="1117"/>
      <c r="AD4378" s="1115"/>
      <c r="AE4378" s="1115"/>
      <c r="AF4378" s="1115"/>
      <c r="AG4378" s="1115"/>
      <c r="AH4378" s="1115"/>
      <c r="AI4378" s="1115"/>
      <c r="AJ4378" s="1117"/>
      <c r="AK4378" s="1118"/>
      <c r="AL4378" s="1115"/>
      <c r="AM4378" s="1115"/>
      <c r="AN4378" s="1115"/>
      <c r="AO4378" s="1115"/>
      <c r="AP4378" s="1115"/>
      <c r="AQ4378" s="1115"/>
      <c r="AR4378" s="1115"/>
      <c r="AS4378" s="1117"/>
      <c r="AT4378" s="1075"/>
      <c r="AU4378" s="1193"/>
      <c r="AV4378" s="330"/>
      <c r="AW4378" s="331"/>
      <c r="AX4378" s="331"/>
      <c r="AY4378" s="331"/>
      <c r="AZ4378" s="331"/>
      <c r="BA4378" s="331"/>
      <c r="BB4378" s="331"/>
      <c r="BC4378" s="331"/>
      <c r="BD4378" s="331"/>
      <c r="BE4378" s="333"/>
      <c r="BF4378" s="330"/>
      <c r="BG4378" s="333"/>
      <c r="BH4378" s="1119"/>
      <c r="BI4378" s="319"/>
      <c r="BJ4378" s="319"/>
      <c r="BK4378" s="319"/>
      <c r="BL4378" s="319"/>
      <c r="BM4378" s="319"/>
      <c r="BN4378" s="319"/>
      <c r="BO4378" s="319"/>
      <c r="BP4378" s="953"/>
      <c r="BQ4378" s="319"/>
      <c r="BR4378" s="319"/>
      <c r="BS4378" s="330"/>
      <c r="BT4378" s="331"/>
      <c r="BU4378" s="920"/>
      <c r="BV4378" s="903"/>
      <c r="BW4378" s="908"/>
      <c r="BX4378" s="908"/>
      <c r="BY4378" s="331"/>
      <c r="BZ4378" s="331"/>
      <c r="CA4378" s="462"/>
      <c r="CB4378" s="319"/>
      <c r="CC4378" s="319"/>
      <c r="CD4378" s="319"/>
      <c r="CE4378" s="319"/>
      <c r="CF4378" s="319"/>
      <c r="CG4378" s="319"/>
      <c r="CH4378" s="318"/>
      <c r="CI4378" s="319"/>
      <c r="CJ4378" s="319"/>
      <c r="CK4378" s="342"/>
      <c r="CL4378" s="333"/>
      <c r="CM4378" s="1079"/>
      <c r="CN4378" s="1005"/>
      <c r="CO4378" s="1005"/>
      <c r="CP4378" s="1005"/>
    </row>
    <row r="4379">
      <c r="A4379" s="1257"/>
      <c r="B4379" s="1113"/>
      <c r="C4379" s="1107"/>
      <c r="D4379" s="103"/>
      <c r="E4379" s="1137"/>
      <c r="F4379" s="112"/>
      <c r="G4379" s="1110"/>
      <c r="H4379" s="1138"/>
      <c r="I4379" s="1138"/>
      <c r="J4379" s="1139"/>
      <c r="K4379" s="1111"/>
      <c r="L4379" s="1112"/>
      <c r="M4379" s="1113"/>
      <c r="N4379" s="110"/>
      <c r="O4379" s="1140"/>
      <c r="P4379" s="1115"/>
      <c r="Q4379" s="1116"/>
      <c r="R4379" s="1141"/>
      <c r="S4379" s="1113"/>
      <c r="T4379" s="1143"/>
      <c r="U4379" s="1108"/>
      <c r="V4379" s="1108"/>
      <c r="W4379" s="1108"/>
      <c r="X4379" s="1108"/>
      <c r="Y4379" s="1108"/>
      <c r="Z4379" s="1114"/>
      <c r="AA4379" s="1114"/>
      <c r="AB4379" s="1114"/>
      <c r="AC4379" s="1117"/>
      <c r="AD4379" s="1115"/>
      <c r="AE4379" s="1115"/>
      <c r="AF4379" s="1115"/>
      <c r="AG4379" s="1115"/>
      <c r="AH4379" s="1115"/>
      <c r="AI4379" s="1115"/>
      <c r="AJ4379" s="1117"/>
      <c r="AK4379" s="1118"/>
      <c r="AL4379" s="1115"/>
      <c r="AM4379" s="1115"/>
      <c r="AN4379" s="1115"/>
      <c r="AO4379" s="1115"/>
      <c r="AP4379" s="1115"/>
      <c r="AQ4379" s="1115"/>
      <c r="AR4379" s="1115"/>
      <c r="AS4379" s="1117"/>
      <c r="AT4379" s="1075"/>
      <c r="AU4379" s="1193"/>
      <c r="AV4379" s="330"/>
      <c r="AW4379" s="331"/>
      <c r="AX4379" s="331"/>
      <c r="AY4379" s="331"/>
      <c r="AZ4379" s="331"/>
      <c r="BA4379" s="331"/>
      <c r="BB4379" s="331"/>
      <c r="BC4379" s="331"/>
      <c r="BD4379" s="331"/>
      <c r="BE4379" s="333"/>
      <c r="BF4379" s="330"/>
      <c r="BG4379" s="333"/>
      <c r="BH4379" s="1119"/>
      <c r="BI4379" s="319"/>
      <c r="BJ4379" s="319"/>
      <c r="BK4379" s="319"/>
      <c r="BL4379" s="319"/>
      <c r="BM4379" s="319"/>
      <c r="BN4379" s="319"/>
      <c r="BO4379" s="319"/>
      <c r="BP4379" s="953"/>
      <c r="BQ4379" s="319"/>
      <c r="BR4379" s="319"/>
      <c r="BS4379" s="330"/>
      <c r="BT4379" s="331"/>
      <c r="BU4379" s="920"/>
      <c r="BV4379" s="903"/>
      <c r="BW4379" s="908"/>
      <c r="BX4379" s="908"/>
      <c r="BY4379" s="331"/>
      <c r="BZ4379" s="331"/>
      <c r="CA4379" s="462"/>
      <c r="CB4379" s="319"/>
      <c r="CC4379" s="319"/>
      <c r="CD4379" s="319"/>
      <c r="CE4379" s="319"/>
      <c r="CF4379" s="319"/>
      <c r="CG4379" s="319"/>
      <c r="CH4379" s="318"/>
      <c r="CI4379" s="319"/>
      <c r="CJ4379" s="319"/>
      <c r="CK4379" s="342"/>
      <c r="CL4379" s="333"/>
      <c r="CM4379" s="1079"/>
      <c r="CN4379" s="1005"/>
      <c r="CO4379" s="1005"/>
      <c r="CP4379" s="1005"/>
    </row>
    <row r="4380">
      <c r="A4380" s="1257"/>
      <c r="B4380" s="1113"/>
      <c r="C4380" s="1107"/>
      <c r="D4380" s="103"/>
      <c r="E4380" s="1137"/>
      <c r="F4380" s="112"/>
      <c r="G4380" s="1110"/>
      <c r="H4380" s="1138"/>
      <c r="I4380" s="1138"/>
      <c r="J4380" s="1139"/>
      <c r="K4380" s="1111"/>
      <c r="L4380" s="1112"/>
      <c r="M4380" s="1113"/>
      <c r="N4380" s="110"/>
      <c r="O4380" s="1140"/>
      <c r="P4380" s="1115"/>
      <c r="Q4380" s="1116"/>
      <c r="R4380" s="1141"/>
      <c r="S4380" s="1113"/>
      <c r="T4380" s="1143"/>
      <c r="U4380" s="1108"/>
      <c r="V4380" s="1108"/>
      <c r="W4380" s="1108"/>
      <c r="X4380" s="1108"/>
      <c r="Y4380" s="1108"/>
      <c r="Z4380" s="1114"/>
      <c r="AA4380" s="1114"/>
      <c r="AB4380" s="1114"/>
      <c r="AC4380" s="1117"/>
      <c r="AD4380" s="1115"/>
      <c r="AE4380" s="1115"/>
      <c r="AF4380" s="1115"/>
      <c r="AG4380" s="1115"/>
      <c r="AH4380" s="1115"/>
      <c r="AI4380" s="1115"/>
      <c r="AJ4380" s="1117"/>
      <c r="AK4380" s="1118"/>
      <c r="AL4380" s="1115"/>
      <c r="AM4380" s="1115"/>
      <c r="AN4380" s="1115"/>
      <c r="AO4380" s="1115"/>
      <c r="AP4380" s="1115"/>
      <c r="AQ4380" s="1115"/>
      <c r="AR4380" s="1115"/>
      <c r="AS4380" s="1117"/>
      <c r="AT4380" s="1075"/>
      <c r="AU4380" s="1193"/>
      <c r="AV4380" s="330"/>
      <c r="AW4380" s="331"/>
      <c r="AX4380" s="331"/>
      <c r="AY4380" s="331"/>
      <c r="AZ4380" s="331"/>
      <c r="BA4380" s="331"/>
      <c r="BB4380" s="331"/>
      <c r="BC4380" s="331"/>
      <c r="BD4380" s="331"/>
      <c r="BE4380" s="333"/>
      <c r="BF4380" s="330"/>
      <c r="BG4380" s="333"/>
      <c r="BH4380" s="1119"/>
      <c r="BI4380" s="319"/>
      <c r="BJ4380" s="319"/>
      <c r="BK4380" s="319"/>
      <c r="BL4380" s="319"/>
      <c r="BM4380" s="319"/>
      <c r="BN4380" s="319"/>
      <c r="BO4380" s="319"/>
      <c r="BP4380" s="953"/>
      <c r="BQ4380" s="319"/>
      <c r="BR4380" s="319"/>
      <c r="BS4380" s="330"/>
      <c r="BT4380" s="331"/>
      <c r="BU4380" s="920"/>
      <c r="BV4380" s="903"/>
      <c r="BW4380" s="908"/>
      <c r="BX4380" s="908"/>
      <c r="BY4380" s="331"/>
      <c r="BZ4380" s="331"/>
      <c r="CA4380" s="462"/>
      <c r="CB4380" s="319"/>
      <c r="CC4380" s="319"/>
      <c r="CD4380" s="319"/>
      <c r="CE4380" s="319"/>
      <c r="CF4380" s="319"/>
      <c r="CG4380" s="319"/>
      <c r="CH4380" s="318"/>
      <c r="CI4380" s="319"/>
      <c r="CJ4380" s="319"/>
      <c r="CK4380" s="342"/>
      <c r="CL4380" s="333"/>
      <c r="CM4380" s="1079"/>
      <c r="CN4380" s="1005"/>
      <c r="CO4380" s="1005"/>
      <c r="CP4380" s="1005"/>
    </row>
    <row r="4381">
      <c r="A4381" s="1257"/>
      <c r="B4381" s="1113"/>
      <c r="C4381" s="1107"/>
      <c r="D4381" s="103"/>
      <c r="E4381" s="1137"/>
      <c r="F4381" s="112"/>
      <c r="G4381" s="1110"/>
      <c r="H4381" s="1138"/>
      <c r="I4381" s="1138"/>
      <c r="J4381" s="1139"/>
      <c r="K4381" s="1111"/>
      <c r="L4381" s="1112"/>
      <c r="M4381" s="1113"/>
      <c r="N4381" s="110"/>
      <c r="O4381" s="1140"/>
      <c r="P4381" s="1115"/>
      <c r="Q4381" s="1116"/>
      <c r="R4381" s="1141"/>
      <c r="S4381" s="1113"/>
      <c r="T4381" s="1143"/>
      <c r="U4381" s="1108"/>
      <c r="V4381" s="1108"/>
      <c r="W4381" s="1108"/>
      <c r="X4381" s="1108"/>
      <c r="Y4381" s="1108"/>
      <c r="Z4381" s="1114"/>
      <c r="AA4381" s="1114"/>
      <c r="AB4381" s="1114"/>
      <c r="AC4381" s="1117"/>
      <c r="AD4381" s="1115"/>
      <c r="AE4381" s="1115"/>
      <c r="AF4381" s="1115"/>
      <c r="AG4381" s="1115"/>
      <c r="AH4381" s="1115"/>
      <c r="AI4381" s="1115"/>
      <c r="AJ4381" s="1117"/>
      <c r="AK4381" s="1118"/>
      <c r="AL4381" s="1115"/>
      <c r="AM4381" s="1115"/>
      <c r="AN4381" s="1115"/>
      <c r="AO4381" s="1115"/>
      <c r="AP4381" s="1115"/>
      <c r="AQ4381" s="1115"/>
      <c r="AR4381" s="1115"/>
      <c r="AS4381" s="1117"/>
      <c r="AT4381" s="1075"/>
      <c r="AU4381" s="1193"/>
      <c r="AV4381" s="330"/>
      <c r="AW4381" s="331"/>
      <c r="AX4381" s="331"/>
      <c r="AY4381" s="331"/>
      <c r="AZ4381" s="331"/>
      <c r="BA4381" s="331"/>
      <c r="BB4381" s="331"/>
      <c r="BC4381" s="331"/>
      <c r="BD4381" s="331"/>
      <c r="BE4381" s="333"/>
      <c r="BF4381" s="330"/>
      <c r="BG4381" s="333"/>
      <c r="BH4381" s="1119"/>
      <c r="BI4381" s="319"/>
      <c r="BJ4381" s="319"/>
      <c r="BK4381" s="319"/>
      <c r="BL4381" s="319"/>
      <c r="BM4381" s="319"/>
      <c r="BN4381" s="319"/>
      <c r="BO4381" s="319"/>
      <c r="BP4381" s="953"/>
      <c r="BQ4381" s="319"/>
      <c r="BR4381" s="319"/>
      <c r="BS4381" s="330"/>
      <c r="BT4381" s="331"/>
      <c r="BU4381" s="920"/>
      <c r="BV4381" s="903"/>
      <c r="BW4381" s="908"/>
      <c r="BX4381" s="908"/>
      <c r="BY4381" s="331"/>
      <c r="BZ4381" s="331"/>
      <c r="CA4381" s="462"/>
      <c r="CB4381" s="319"/>
      <c r="CC4381" s="319"/>
      <c r="CD4381" s="319"/>
      <c r="CE4381" s="319"/>
      <c r="CF4381" s="319"/>
      <c r="CG4381" s="319"/>
      <c r="CH4381" s="318"/>
      <c r="CI4381" s="319"/>
      <c r="CJ4381" s="319"/>
      <c r="CK4381" s="342"/>
      <c r="CL4381" s="333"/>
      <c r="CM4381" s="1079"/>
      <c r="CN4381" s="1005"/>
      <c r="CO4381" s="1005"/>
      <c r="CP4381" s="1005"/>
    </row>
    <row r="4382">
      <c r="A4382" s="1257"/>
      <c r="B4382" s="1113"/>
      <c r="C4382" s="1107"/>
      <c r="D4382" s="103"/>
      <c r="E4382" s="1137"/>
      <c r="F4382" s="112"/>
      <c r="G4382" s="1110"/>
      <c r="H4382" s="1138"/>
      <c r="I4382" s="1138"/>
      <c r="J4382" s="1139"/>
      <c r="K4382" s="1111"/>
      <c r="L4382" s="1112"/>
      <c r="M4382" s="1113"/>
      <c r="N4382" s="110"/>
      <c r="O4382" s="1140"/>
      <c r="P4382" s="1115"/>
      <c r="Q4382" s="1116"/>
      <c r="R4382" s="1141"/>
      <c r="S4382" s="1113"/>
      <c r="T4382" s="1143"/>
      <c r="U4382" s="1108"/>
      <c r="V4382" s="1108"/>
      <c r="W4382" s="1108"/>
      <c r="X4382" s="1108"/>
      <c r="Y4382" s="1108"/>
      <c r="Z4382" s="1114"/>
      <c r="AA4382" s="1114"/>
      <c r="AB4382" s="1114"/>
      <c r="AC4382" s="1117"/>
      <c r="AD4382" s="1115"/>
      <c r="AE4382" s="1115"/>
      <c r="AF4382" s="1115"/>
      <c r="AG4382" s="1115"/>
      <c r="AH4382" s="1115"/>
      <c r="AI4382" s="1115"/>
      <c r="AJ4382" s="1117"/>
      <c r="AK4382" s="1118"/>
      <c r="AL4382" s="1115"/>
      <c r="AM4382" s="1115"/>
      <c r="AN4382" s="1115"/>
      <c r="AO4382" s="1115"/>
      <c r="AP4382" s="1115"/>
      <c r="AQ4382" s="1115"/>
      <c r="AR4382" s="1115"/>
      <c r="AS4382" s="1117"/>
      <c r="AT4382" s="1075"/>
      <c r="AU4382" s="1193"/>
      <c r="AV4382" s="330"/>
      <c r="AW4382" s="331"/>
      <c r="AX4382" s="331"/>
      <c r="AY4382" s="331"/>
      <c r="AZ4382" s="331"/>
      <c r="BA4382" s="331"/>
      <c r="BB4382" s="331"/>
      <c r="BC4382" s="331"/>
      <c r="BD4382" s="331"/>
      <c r="BE4382" s="333"/>
      <c r="BF4382" s="330"/>
      <c r="BG4382" s="333"/>
      <c r="BH4382" s="1119"/>
      <c r="BI4382" s="319"/>
      <c r="BJ4382" s="319"/>
      <c r="BK4382" s="319"/>
      <c r="BL4382" s="319"/>
      <c r="BM4382" s="319"/>
      <c r="BN4382" s="319"/>
      <c r="BO4382" s="319"/>
      <c r="BP4382" s="953"/>
      <c r="BQ4382" s="319"/>
      <c r="BR4382" s="319"/>
      <c r="BS4382" s="330"/>
      <c r="BT4382" s="331"/>
      <c r="BU4382" s="920"/>
      <c r="BV4382" s="903"/>
      <c r="BW4382" s="908"/>
      <c r="BX4382" s="908"/>
      <c r="BY4382" s="331"/>
      <c r="BZ4382" s="331"/>
      <c r="CA4382" s="462"/>
      <c r="CB4382" s="319"/>
      <c r="CC4382" s="319"/>
      <c r="CD4382" s="319"/>
      <c r="CE4382" s="319"/>
      <c r="CF4382" s="319"/>
      <c r="CG4382" s="319"/>
      <c r="CH4382" s="318"/>
      <c r="CI4382" s="319"/>
      <c r="CJ4382" s="319"/>
      <c r="CK4382" s="342"/>
      <c r="CL4382" s="333"/>
      <c r="CM4382" s="1079"/>
      <c r="CN4382" s="1005"/>
      <c r="CO4382" s="1005"/>
      <c r="CP4382" s="1005"/>
    </row>
    <row r="4383">
      <c r="A4383" s="1257"/>
      <c r="B4383" s="1113"/>
      <c r="C4383" s="1107"/>
      <c r="D4383" s="103"/>
      <c r="E4383" s="1137"/>
      <c r="F4383" s="112"/>
      <c r="G4383" s="1110"/>
      <c r="H4383" s="1138"/>
      <c r="I4383" s="1138"/>
      <c r="J4383" s="1139"/>
      <c r="K4383" s="1111"/>
      <c r="L4383" s="1112"/>
      <c r="M4383" s="1113"/>
      <c r="N4383" s="110"/>
      <c r="O4383" s="1140"/>
      <c r="P4383" s="1115"/>
      <c r="Q4383" s="1116"/>
      <c r="R4383" s="1141"/>
      <c r="S4383" s="1113"/>
      <c r="T4383" s="1143"/>
      <c r="U4383" s="1108"/>
      <c r="V4383" s="1108"/>
      <c r="W4383" s="1108"/>
      <c r="X4383" s="1108"/>
      <c r="Y4383" s="1108"/>
      <c r="Z4383" s="1114"/>
      <c r="AA4383" s="1114"/>
      <c r="AB4383" s="1114"/>
      <c r="AC4383" s="1117"/>
      <c r="AD4383" s="1115"/>
      <c r="AE4383" s="1115"/>
      <c r="AF4383" s="1115"/>
      <c r="AG4383" s="1115"/>
      <c r="AH4383" s="1115"/>
      <c r="AI4383" s="1115"/>
      <c r="AJ4383" s="1117"/>
      <c r="AK4383" s="1118"/>
      <c r="AL4383" s="1115"/>
      <c r="AM4383" s="1115"/>
      <c r="AN4383" s="1115"/>
      <c r="AO4383" s="1115"/>
      <c r="AP4383" s="1115"/>
      <c r="AQ4383" s="1115"/>
      <c r="AR4383" s="1115"/>
      <c r="AS4383" s="1117"/>
      <c r="AT4383" s="1075"/>
      <c r="AU4383" s="1193"/>
      <c r="AV4383" s="330"/>
      <c r="AW4383" s="331"/>
      <c r="AX4383" s="331"/>
      <c r="AY4383" s="331"/>
      <c r="AZ4383" s="331"/>
      <c r="BA4383" s="331"/>
      <c r="BB4383" s="331"/>
      <c r="BC4383" s="331"/>
      <c r="BD4383" s="331"/>
      <c r="BE4383" s="333"/>
      <c r="BF4383" s="330"/>
      <c r="BG4383" s="333"/>
      <c r="BH4383" s="1119"/>
      <c r="BI4383" s="319"/>
      <c r="BJ4383" s="319"/>
      <c r="BK4383" s="319"/>
      <c r="BL4383" s="319"/>
      <c r="BM4383" s="319"/>
      <c r="BN4383" s="319"/>
      <c r="BO4383" s="319"/>
      <c r="BP4383" s="953"/>
      <c r="BQ4383" s="319"/>
      <c r="BR4383" s="319"/>
      <c r="BS4383" s="330"/>
      <c r="BT4383" s="331"/>
      <c r="BU4383" s="920"/>
      <c r="BV4383" s="903"/>
      <c r="BW4383" s="908"/>
      <c r="BX4383" s="908"/>
      <c r="BY4383" s="331"/>
      <c r="BZ4383" s="331"/>
      <c r="CA4383" s="462"/>
      <c r="CB4383" s="319"/>
      <c r="CC4383" s="319"/>
      <c r="CD4383" s="319"/>
      <c r="CE4383" s="319"/>
      <c r="CF4383" s="319"/>
      <c r="CG4383" s="319"/>
      <c r="CH4383" s="318"/>
      <c r="CI4383" s="319"/>
      <c r="CJ4383" s="319"/>
      <c r="CK4383" s="342"/>
      <c r="CL4383" s="333"/>
      <c r="CM4383" s="1079"/>
      <c r="CN4383" s="1005"/>
      <c r="CO4383" s="1005"/>
      <c r="CP4383" s="1005"/>
    </row>
    <row r="4384">
      <c r="A4384" s="1257"/>
      <c r="B4384" s="1113"/>
      <c r="C4384" s="1107"/>
      <c r="D4384" s="103"/>
      <c r="E4384" s="1137"/>
      <c r="F4384" s="112"/>
      <c r="G4384" s="1110"/>
      <c r="H4384" s="1138"/>
      <c r="I4384" s="1138"/>
      <c r="J4384" s="1139"/>
      <c r="K4384" s="1111"/>
      <c r="L4384" s="1112"/>
      <c r="M4384" s="1113"/>
      <c r="N4384" s="110"/>
      <c r="O4384" s="1140"/>
      <c r="P4384" s="1115"/>
      <c r="Q4384" s="1116"/>
      <c r="R4384" s="1141"/>
      <c r="S4384" s="1113"/>
      <c r="T4384" s="1143"/>
      <c r="U4384" s="1108"/>
      <c r="V4384" s="1108"/>
      <c r="W4384" s="1108"/>
      <c r="X4384" s="1108"/>
      <c r="Y4384" s="1108"/>
      <c r="Z4384" s="1114"/>
      <c r="AA4384" s="1114"/>
      <c r="AB4384" s="1114"/>
      <c r="AC4384" s="1117"/>
      <c r="AD4384" s="1115"/>
      <c r="AE4384" s="1115"/>
      <c r="AF4384" s="1115"/>
      <c r="AG4384" s="1115"/>
      <c r="AH4384" s="1115"/>
      <c r="AI4384" s="1115"/>
      <c r="AJ4384" s="1117"/>
      <c r="AK4384" s="1118"/>
      <c r="AL4384" s="1115"/>
      <c r="AM4384" s="1115"/>
      <c r="AN4384" s="1115"/>
      <c r="AO4384" s="1115"/>
      <c r="AP4384" s="1115"/>
      <c r="AQ4384" s="1115"/>
      <c r="AR4384" s="1115"/>
      <c r="AS4384" s="1117"/>
      <c r="AT4384" s="1075"/>
      <c r="AU4384" s="1193"/>
      <c r="AV4384" s="330"/>
      <c r="AW4384" s="331"/>
      <c r="AX4384" s="331"/>
      <c r="AY4384" s="331"/>
      <c r="AZ4384" s="331"/>
      <c r="BA4384" s="331"/>
      <c r="BB4384" s="331"/>
      <c r="BC4384" s="331"/>
      <c r="BD4384" s="331"/>
      <c r="BE4384" s="333"/>
      <c r="BF4384" s="330"/>
      <c r="BG4384" s="333"/>
      <c r="BH4384" s="1119"/>
      <c r="BI4384" s="319"/>
      <c r="BJ4384" s="319"/>
      <c r="BK4384" s="319"/>
      <c r="BL4384" s="319"/>
      <c r="BM4384" s="319"/>
      <c r="BN4384" s="319"/>
      <c r="BO4384" s="319"/>
      <c r="BP4384" s="953"/>
      <c r="BQ4384" s="319"/>
      <c r="BR4384" s="319"/>
      <c r="BS4384" s="330"/>
      <c r="BT4384" s="331"/>
      <c r="BU4384" s="920"/>
      <c r="BV4384" s="903"/>
      <c r="BW4384" s="908"/>
      <c r="BX4384" s="908"/>
      <c r="BY4384" s="331"/>
      <c r="BZ4384" s="331"/>
      <c r="CA4384" s="462"/>
      <c r="CB4384" s="319"/>
      <c r="CC4384" s="319"/>
      <c r="CD4384" s="319"/>
      <c r="CE4384" s="319"/>
      <c r="CF4384" s="319"/>
      <c r="CG4384" s="319"/>
      <c r="CH4384" s="318"/>
      <c r="CI4384" s="319"/>
      <c r="CJ4384" s="319"/>
      <c r="CK4384" s="342"/>
      <c r="CL4384" s="333"/>
      <c r="CM4384" s="1079"/>
      <c r="CN4384" s="1005"/>
      <c r="CO4384" s="1005"/>
      <c r="CP4384" s="1005"/>
    </row>
    <row r="4385">
      <c r="A4385" s="1257"/>
      <c r="B4385" s="1113"/>
      <c r="C4385" s="1107"/>
      <c r="D4385" s="103"/>
      <c r="E4385" s="1137"/>
      <c r="F4385" s="112"/>
      <c r="G4385" s="1110"/>
      <c r="H4385" s="1138"/>
      <c r="I4385" s="1138"/>
      <c r="J4385" s="1139"/>
      <c r="K4385" s="1111"/>
      <c r="L4385" s="1112"/>
      <c r="M4385" s="1113"/>
      <c r="N4385" s="110"/>
      <c r="O4385" s="1140"/>
      <c r="P4385" s="1115"/>
      <c r="Q4385" s="1116"/>
      <c r="R4385" s="1141"/>
      <c r="S4385" s="1113"/>
      <c r="T4385" s="1143"/>
      <c r="U4385" s="1108"/>
      <c r="V4385" s="1108"/>
      <c r="W4385" s="1108"/>
      <c r="X4385" s="1108"/>
      <c r="Y4385" s="1108"/>
      <c r="Z4385" s="1114"/>
      <c r="AA4385" s="1114"/>
      <c r="AB4385" s="1114"/>
      <c r="AC4385" s="1117"/>
      <c r="AD4385" s="1115"/>
      <c r="AE4385" s="1115"/>
      <c r="AF4385" s="1115"/>
      <c r="AG4385" s="1115"/>
      <c r="AH4385" s="1115"/>
      <c r="AI4385" s="1115"/>
      <c r="AJ4385" s="1117"/>
      <c r="AK4385" s="1118"/>
      <c r="AL4385" s="1115"/>
      <c r="AM4385" s="1115"/>
      <c r="AN4385" s="1115"/>
      <c r="AO4385" s="1115"/>
      <c r="AP4385" s="1115"/>
      <c r="AQ4385" s="1115"/>
      <c r="AR4385" s="1115"/>
      <c r="AS4385" s="1117"/>
      <c r="AT4385" s="1075"/>
      <c r="AU4385" s="1193"/>
      <c r="AV4385" s="330"/>
      <c r="AW4385" s="331"/>
      <c r="AX4385" s="331"/>
      <c r="AY4385" s="331"/>
      <c r="AZ4385" s="331"/>
      <c r="BA4385" s="331"/>
      <c r="BB4385" s="331"/>
      <c r="BC4385" s="331"/>
      <c r="BD4385" s="331"/>
      <c r="BE4385" s="333"/>
      <c r="BF4385" s="330"/>
      <c r="BG4385" s="333"/>
      <c r="BH4385" s="1119"/>
      <c r="BI4385" s="319"/>
      <c r="BJ4385" s="319"/>
      <c r="BK4385" s="319"/>
      <c r="BL4385" s="319"/>
      <c r="BM4385" s="319"/>
      <c r="BN4385" s="319"/>
      <c r="BO4385" s="319"/>
      <c r="BP4385" s="953"/>
      <c r="BQ4385" s="319"/>
      <c r="BR4385" s="319"/>
      <c r="BS4385" s="330"/>
      <c r="BT4385" s="331"/>
      <c r="BU4385" s="920"/>
      <c r="BV4385" s="903"/>
      <c r="BW4385" s="908"/>
      <c r="BX4385" s="908"/>
      <c r="BY4385" s="331"/>
      <c r="BZ4385" s="331"/>
      <c r="CA4385" s="462"/>
      <c r="CB4385" s="319"/>
      <c r="CC4385" s="319"/>
      <c r="CD4385" s="319"/>
      <c r="CE4385" s="319"/>
      <c r="CF4385" s="319"/>
      <c r="CG4385" s="319"/>
      <c r="CH4385" s="318"/>
      <c r="CI4385" s="319"/>
      <c r="CJ4385" s="319"/>
      <c r="CK4385" s="342"/>
      <c r="CL4385" s="333"/>
      <c r="CM4385" s="1079"/>
      <c r="CN4385" s="1005"/>
      <c r="CO4385" s="1005"/>
      <c r="CP4385" s="1005"/>
    </row>
    <row r="4386">
      <c r="A4386" s="1257"/>
      <c r="B4386" s="1113"/>
      <c r="C4386" s="1107"/>
      <c r="D4386" s="103"/>
      <c r="E4386" s="1137"/>
      <c r="F4386" s="112"/>
      <c r="G4386" s="1110"/>
      <c r="H4386" s="1138"/>
      <c r="I4386" s="1138"/>
      <c r="J4386" s="1139"/>
      <c r="K4386" s="1111"/>
      <c r="L4386" s="1112"/>
      <c r="M4386" s="1113"/>
      <c r="N4386" s="110"/>
      <c r="O4386" s="1140"/>
      <c r="P4386" s="1115"/>
      <c r="Q4386" s="1116"/>
      <c r="R4386" s="1141"/>
      <c r="S4386" s="1113"/>
      <c r="T4386" s="1143"/>
      <c r="U4386" s="1108"/>
      <c r="V4386" s="1108"/>
      <c r="W4386" s="1108"/>
      <c r="X4386" s="1108"/>
      <c r="Y4386" s="1108"/>
      <c r="Z4386" s="1114"/>
      <c r="AA4386" s="1114"/>
      <c r="AB4386" s="1114"/>
      <c r="AC4386" s="1117"/>
      <c r="AD4386" s="1115"/>
      <c r="AE4386" s="1115"/>
      <c r="AF4386" s="1115"/>
      <c r="AG4386" s="1115"/>
      <c r="AH4386" s="1115"/>
      <c r="AI4386" s="1115"/>
      <c r="AJ4386" s="1117"/>
      <c r="AK4386" s="1118"/>
      <c r="AL4386" s="1115"/>
      <c r="AM4386" s="1115"/>
      <c r="AN4386" s="1115"/>
      <c r="AO4386" s="1115"/>
      <c r="AP4386" s="1115"/>
      <c r="AQ4386" s="1115"/>
      <c r="AR4386" s="1115"/>
      <c r="AS4386" s="1117"/>
      <c r="AT4386" s="1075"/>
      <c r="AU4386" s="1193"/>
      <c r="AV4386" s="330"/>
      <c r="AW4386" s="331"/>
      <c r="AX4386" s="331"/>
      <c r="AY4386" s="331"/>
      <c r="AZ4386" s="331"/>
      <c r="BA4386" s="331"/>
      <c r="BB4386" s="331"/>
      <c r="BC4386" s="331"/>
      <c r="BD4386" s="331"/>
      <c r="BE4386" s="333"/>
      <c r="BF4386" s="330"/>
      <c r="BG4386" s="333"/>
      <c r="BH4386" s="1119"/>
      <c r="BI4386" s="319"/>
      <c r="BJ4386" s="319"/>
      <c r="BK4386" s="319"/>
      <c r="BL4386" s="319"/>
      <c r="BM4386" s="319"/>
      <c r="BN4386" s="319"/>
      <c r="BO4386" s="319"/>
      <c r="BP4386" s="953"/>
      <c r="BQ4386" s="319"/>
      <c r="BR4386" s="319"/>
      <c r="BS4386" s="330"/>
      <c r="BT4386" s="331"/>
      <c r="BU4386" s="920"/>
      <c r="BV4386" s="903"/>
      <c r="BW4386" s="908"/>
      <c r="BX4386" s="908"/>
      <c r="BY4386" s="331"/>
      <c r="BZ4386" s="331"/>
      <c r="CA4386" s="462"/>
      <c r="CB4386" s="319"/>
      <c r="CC4386" s="319"/>
      <c r="CD4386" s="319"/>
      <c r="CE4386" s="319"/>
      <c r="CF4386" s="319"/>
      <c r="CG4386" s="319"/>
      <c r="CH4386" s="318"/>
      <c r="CI4386" s="319"/>
      <c r="CJ4386" s="319"/>
      <c r="CK4386" s="342"/>
      <c r="CL4386" s="333"/>
      <c r="CM4386" s="1079"/>
      <c r="CN4386" s="1005"/>
      <c r="CO4386" s="1005"/>
      <c r="CP4386" s="1005"/>
    </row>
    <row r="4387">
      <c r="A4387" s="1257"/>
      <c r="B4387" s="1113"/>
      <c r="C4387" s="1107"/>
      <c r="D4387" s="103"/>
      <c r="E4387" s="1137"/>
      <c r="F4387" s="112"/>
      <c r="G4387" s="1110"/>
      <c r="H4387" s="1138"/>
      <c r="I4387" s="1138"/>
      <c r="J4387" s="1139"/>
      <c r="K4387" s="1111"/>
      <c r="L4387" s="1112"/>
      <c r="M4387" s="1113"/>
      <c r="N4387" s="110"/>
      <c r="O4387" s="1140"/>
      <c r="P4387" s="1115"/>
      <c r="Q4387" s="1116"/>
      <c r="R4387" s="1141"/>
      <c r="S4387" s="1113"/>
      <c r="T4387" s="1143"/>
      <c r="U4387" s="1108"/>
      <c r="V4387" s="1108"/>
      <c r="W4387" s="1108"/>
      <c r="X4387" s="1108"/>
      <c r="Y4387" s="1108"/>
      <c r="Z4387" s="1114"/>
      <c r="AA4387" s="1114"/>
      <c r="AB4387" s="1114"/>
      <c r="AC4387" s="1117"/>
      <c r="AD4387" s="1115"/>
      <c r="AE4387" s="1115"/>
      <c r="AF4387" s="1115"/>
      <c r="AG4387" s="1115"/>
      <c r="AH4387" s="1115"/>
      <c r="AI4387" s="1115"/>
      <c r="AJ4387" s="1117"/>
      <c r="AK4387" s="1118"/>
      <c r="AL4387" s="1115"/>
      <c r="AM4387" s="1115"/>
      <c r="AN4387" s="1115"/>
      <c r="AO4387" s="1115"/>
      <c r="AP4387" s="1115"/>
      <c r="AQ4387" s="1115"/>
      <c r="AR4387" s="1115"/>
      <c r="AS4387" s="1117"/>
      <c r="AT4387" s="1075"/>
      <c r="AU4387" s="1193"/>
      <c r="AV4387" s="330"/>
      <c r="AW4387" s="331"/>
      <c r="AX4387" s="331"/>
      <c r="AY4387" s="331"/>
      <c r="AZ4387" s="331"/>
      <c r="BA4387" s="331"/>
      <c r="BB4387" s="331"/>
      <c r="BC4387" s="331"/>
      <c r="BD4387" s="331"/>
      <c r="BE4387" s="333"/>
      <c r="BF4387" s="330"/>
      <c r="BG4387" s="333"/>
      <c r="BH4387" s="1119"/>
      <c r="BI4387" s="319"/>
      <c r="BJ4387" s="319"/>
      <c r="BK4387" s="319"/>
      <c r="BL4387" s="319"/>
      <c r="BM4387" s="319"/>
      <c r="BN4387" s="319"/>
      <c r="BO4387" s="319"/>
      <c r="BP4387" s="953"/>
      <c r="BQ4387" s="319"/>
      <c r="BR4387" s="319"/>
      <c r="BS4387" s="330"/>
      <c r="BT4387" s="331"/>
      <c r="BU4387" s="920"/>
      <c r="BV4387" s="903"/>
      <c r="BW4387" s="908"/>
      <c r="BX4387" s="908"/>
      <c r="BY4387" s="331"/>
      <c r="BZ4387" s="331"/>
      <c r="CA4387" s="462"/>
      <c r="CB4387" s="319"/>
      <c r="CC4387" s="319"/>
      <c r="CD4387" s="319"/>
      <c r="CE4387" s="319"/>
      <c r="CF4387" s="319"/>
      <c r="CG4387" s="319"/>
      <c r="CH4387" s="318"/>
      <c r="CI4387" s="319"/>
      <c r="CJ4387" s="319"/>
      <c r="CK4387" s="342"/>
      <c r="CL4387" s="333"/>
      <c r="CM4387" s="1079"/>
      <c r="CN4387" s="1005"/>
      <c r="CO4387" s="1005"/>
      <c r="CP4387" s="1005"/>
    </row>
    <row r="4388">
      <c r="A4388" s="1257"/>
      <c r="B4388" s="1113"/>
      <c r="C4388" s="1107"/>
      <c r="D4388" s="103"/>
      <c r="E4388" s="1137"/>
      <c r="F4388" s="112"/>
      <c r="G4388" s="1110"/>
      <c r="H4388" s="1138"/>
      <c r="I4388" s="1138"/>
      <c r="J4388" s="1139"/>
      <c r="K4388" s="1111"/>
      <c r="L4388" s="1112"/>
      <c r="M4388" s="1113"/>
      <c r="N4388" s="110"/>
      <c r="O4388" s="1140"/>
      <c r="P4388" s="1115"/>
      <c r="Q4388" s="1116"/>
      <c r="R4388" s="1141"/>
      <c r="S4388" s="1113"/>
      <c r="T4388" s="1143"/>
      <c r="U4388" s="1108"/>
      <c r="V4388" s="1108"/>
      <c r="W4388" s="1108"/>
      <c r="X4388" s="1108"/>
      <c r="Y4388" s="1108"/>
      <c r="Z4388" s="1114"/>
      <c r="AA4388" s="1114"/>
      <c r="AB4388" s="1114"/>
      <c r="AC4388" s="1117"/>
      <c r="AD4388" s="1115"/>
      <c r="AE4388" s="1115"/>
      <c r="AF4388" s="1115"/>
      <c r="AG4388" s="1115"/>
      <c r="AH4388" s="1115"/>
      <c r="AI4388" s="1115"/>
      <c r="AJ4388" s="1117"/>
      <c r="AK4388" s="1118"/>
      <c r="AL4388" s="1115"/>
      <c r="AM4388" s="1115"/>
      <c r="AN4388" s="1115"/>
      <c r="AO4388" s="1115"/>
      <c r="AP4388" s="1115"/>
      <c r="AQ4388" s="1115"/>
      <c r="AR4388" s="1115"/>
      <c r="AS4388" s="1117"/>
      <c r="AT4388" s="1075"/>
      <c r="AU4388" s="1193"/>
      <c r="AV4388" s="330"/>
      <c r="AW4388" s="331"/>
      <c r="AX4388" s="331"/>
      <c r="AY4388" s="331"/>
      <c r="AZ4388" s="331"/>
      <c r="BA4388" s="331"/>
      <c r="BB4388" s="331"/>
      <c r="BC4388" s="331"/>
      <c r="BD4388" s="331"/>
      <c r="BE4388" s="333"/>
      <c r="BF4388" s="330"/>
      <c r="BG4388" s="333"/>
      <c r="BH4388" s="1119"/>
      <c r="BI4388" s="319"/>
      <c r="BJ4388" s="319"/>
      <c r="BK4388" s="319"/>
      <c r="BL4388" s="319"/>
      <c r="BM4388" s="319"/>
      <c r="BN4388" s="319"/>
      <c r="BO4388" s="319"/>
      <c r="BP4388" s="953"/>
      <c r="BQ4388" s="319"/>
      <c r="BR4388" s="319"/>
      <c r="BS4388" s="330"/>
      <c r="BT4388" s="331"/>
      <c r="BU4388" s="920"/>
      <c r="BV4388" s="903"/>
      <c r="BW4388" s="908"/>
      <c r="BX4388" s="908"/>
      <c r="BY4388" s="331"/>
      <c r="BZ4388" s="331"/>
      <c r="CA4388" s="462"/>
      <c r="CB4388" s="319"/>
      <c r="CC4388" s="319"/>
      <c r="CD4388" s="319"/>
      <c r="CE4388" s="319"/>
      <c r="CF4388" s="319"/>
      <c r="CG4388" s="319"/>
      <c r="CH4388" s="318"/>
      <c r="CI4388" s="319"/>
      <c r="CJ4388" s="319"/>
      <c r="CK4388" s="342"/>
      <c r="CL4388" s="333"/>
      <c r="CM4388" s="1079"/>
      <c r="CN4388" s="1005"/>
      <c r="CO4388" s="1005"/>
      <c r="CP4388" s="1005"/>
    </row>
    <row r="4389">
      <c r="A4389" s="1257"/>
      <c r="B4389" s="1113"/>
      <c r="C4389" s="1107"/>
      <c r="D4389" s="103"/>
      <c r="E4389" s="1137"/>
      <c r="F4389" s="112"/>
      <c r="G4389" s="1110"/>
      <c r="H4389" s="1138"/>
      <c r="I4389" s="1138"/>
      <c r="J4389" s="1139"/>
      <c r="K4389" s="1111"/>
      <c r="L4389" s="1112"/>
      <c r="M4389" s="1113"/>
      <c r="N4389" s="110"/>
      <c r="O4389" s="1140"/>
      <c r="P4389" s="1115"/>
      <c r="Q4389" s="1116"/>
      <c r="R4389" s="1141"/>
      <c r="S4389" s="1113"/>
      <c r="T4389" s="1143"/>
      <c r="U4389" s="1108"/>
      <c r="V4389" s="1108"/>
      <c r="W4389" s="1108"/>
      <c r="X4389" s="1108"/>
      <c r="Y4389" s="1108"/>
      <c r="Z4389" s="1114"/>
      <c r="AA4389" s="1114"/>
      <c r="AB4389" s="1114"/>
      <c r="AC4389" s="1117"/>
      <c r="AD4389" s="1115"/>
      <c r="AE4389" s="1115"/>
      <c r="AF4389" s="1115"/>
      <c r="AG4389" s="1115"/>
      <c r="AH4389" s="1115"/>
      <c r="AI4389" s="1115"/>
      <c r="AJ4389" s="1117"/>
      <c r="AK4389" s="1118"/>
      <c r="AL4389" s="1115"/>
      <c r="AM4389" s="1115"/>
      <c r="AN4389" s="1115"/>
      <c r="AO4389" s="1115"/>
      <c r="AP4389" s="1115"/>
      <c r="AQ4389" s="1115"/>
      <c r="AR4389" s="1115"/>
      <c r="AS4389" s="1117"/>
      <c r="AT4389" s="1075"/>
      <c r="AU4389" s="1193"/>
      <c r="AV4389" s="330"/>
      <c r="AW4389" s="331"/>
      <c r="AX4389" s="331"/>
      <c r="AY4389" s="331"/>
      <c r="AZ4389" s="331"/>
      <c r="BA4389" s="331"/>
      <c r="BB4389" s="331"/>
      <c r="BC4389" s="331"/>
      <c r="BD4389" s="331"/>
      <c r="BE4389" s="333"/>
      <c r="BF4389" s="330"/>
      <c r="BG4389" s="333"/>
      <c r="BH4389" s="1119"/>
      <c r="BI4389" s="319"/>
      <c r="BJ4389" s="319"/>
      <c r="BK4389" s="319"/>
      <c r="BL4389" s="319"/>
      <c r="BM4389" s="319"/>
      <c r="BN4389" s="319"/>
      <c r="BO4389" s="319"/>
      <c r="BP4389" s="953"/>
      <c r="BQ4389" s="319"/>
      <c r="BR4389" s="319"/>
      <c r="BS4389" s="330"/>
      <c r="BT4389" s="331"/>
      <c r="BU4389" s="920"/>
      <c r="BV4389" s="903"/>
      <c r="BW4389" s="908"/>
      <c r="BX4389" s="908"/>
      <c r="BY4389" s="331"/>
      <c r="BZ4389" s="331"/>
      <c r="CA4389" s="462"/>
      <c r="CB4389" s="319"/>
      <c r="CC4389" s="319"/>
      <c r="CD4389" s="319"/>
      <c r="CE4389" s="319"/>
      <c r="CF4389" s="319"/>
      <c r="CG4389" s="319"/>
      <c r="CH4389" s="318"/>
      <c r="CI4389" s="319"/>
      <c r="CJ4389" s="319"/>
      <c r="CK4389" s="342"/>
      <c r="CL4389" s="333"/>
      <c r="CM4389" s="1079"/>
      <c r="CN4389" s="1005"/>
      <c r="CO4389" s="1005"/>
      <c r="CP4389" s="1005"/>
    </row>
    <row r="4390">
      <c r="A4390" s="1257"/>
      <c r="B4390" s="1113"/>
      <c r="C4390" s="1107"/>
      <c r="D4390" s="103"/>
      <c r="E4390" s="1137"/>
      <c r="F4390" s="112"/>
      <c r="G4390" s="1110"/>
      <c r="H4390" s="1138"/>
      <c r="I4390" s="1138"/>
      <c r="J4390" s="1139"/>
      <c r="K4390" s="1111"/>
      <c r="L4390" s="1112"/>
      <c r="M4390" s="1113"/>
      <c r="N4390" s="110"/>
      <c r="O4390" s="1140"/>
      <c r="P4390" s="1115"/>
      <c r="Q4390" s="1116"/>
      <c r="R4390" s="1141"/>
      <c r="S4390" s="1113"/>
      <c r="T4390" s="1143"/>
      <c r="U4390" s="1108"/>
      <c r="V4390" s="1108"/>
      <c r="W4390" s="1108"/>
      <c r="X4390" s="1108"/>
      <c r="Y4390" s="1108"/>
      <c r="Z4390" s="1114"/>
      <c r="AA4390" s="1114"/>
      <c r="AB4390" s="1114"/>
      <c r="AC4390" s="1117"/>
      <c r="AD4390" s="1115"/>
      <c r="AE4390" s="1115"/>
      <c r="AF4390" s="1115"/>
      <c r="AG4390" s="1115"/>
      <c r="AH4390" s="1115"/>
      <c r="AI4390" s="1115"/>
      <c r="AJ4390" s="1117"/>
      <c r="AK4390" s="1118"/>
      <c r="AL4390" s="1115"/>
      <c r="AM4390" s="1115"/>
      <c r="AN4390" s="1115"/>
      <c r="AO4390" s="1115"/>
      <c r="AP4390" s="1115"/>
      <c r="AQ4390" s="1115"/>
      <c r="AR4390" s="1115"/>
      <c r="AS4390" s="1117"/>
      <c r="AT4390" s="1075"/>
      <c r="AU4390" s="1193"/>
      <c r="AV4390" s="330"/>
      <c r="AW4390" s="331"/>
      <c r="AX4390" s="331"/>
      <c r="AY4390" s="331"/>
      <c r="AZ4390" s="331"/>
      <c r="BA4390" s="331"/>
      <c r="BB4390" s="331"/>
      <c r="BC4390" s="331"/>
      <c r="BD4390" s="331"/>
      <c r="BE4390" s="333"/>
      <c r="BF4390" s="330"/>
      <c r="BG4390" s="333"/>
      <c r="BH4390" s="1119"/>
      <c r="BI4390" s="319"/>
      <c r="BJ4390" s="319"/>
      <c r="BK4390" s="319"/>
      <c r="BL4390" s="319"/>
      <c r="BM4390" s="319"/>
      <c r="BN4390" s="319"/>
      <c r="BO4390" s="319"/>
      <c r="BP4390" s="953"/>
      <c r="BQ4390" s="319"/>
      <c r="BR4390" s="319"/>
      <c r="BS4390" s="330"/>
      <c r="BT4390" s="331"/>
      <c r="BU4390" s="920"/>
      <c r="BV4390" s="903"/>
      <c r="BW4390" s="908"/>
      <c r="BX4390" s="908"/>
      <c r="BY4390" s="331"/>
      <c r="BZ4390" s="331"/>
      <c r="CA4390" s="462"/>
      <c r="CB4390" s="319"/>
      <c r="CC4390" s="319"/>
      <c r="CD4390" s="319"/>
      <c r="CE4390" s="319"/>
      <c r="CF4390" s="319"/>
      <c r="CG4390" s="319"/>
      <c r="CH4390" s="318"/>
      <c r="CI4390" s="319"/>
      <c r="CJ4390" s="319"/>
      <c r="CK4390" s="342"/>
      <c r="CL4390" s="333"/>
      <c r="CM4390" s="1079"/>
      <c r="CN4390" s="1005"/>
      <c r="CO4390" s="1005"/>
      <c r="CP4390" s="1005"/>
    </row>
    <row r="4391">
      <c r="A4391" s="1257"/>
      <c r="B4391" s="1113"/>
      <c r="C4391" s="1107"/>
      <c r="D4391" s="103"/>
      <c r="E4391" s="1137"/>
      <c r="F4391" s="112"/>
      <c r="G4391" s="1110"/>
      <c r="H4391" s="1138"/>
      <c r="I4391" s="1138"/>
      <c r="J4391" s="1139"/>
      <c r="K4391" s="1111"/>
      <c r="L4391" s="1112"/>
      <c r="M4391" s="1113"/>
      <c r="N4391" s="110"/>
      <c r="O4391" s="1140"/>
      <c r="P4391" s="1115"/>
      <c r="Q4391" s="1116"/>
      <c r="R4391" s="1141"/>
      <c r="S4391" s="1113"/>
      <c r="T4391" s="1143"/>
      <c r="U4391" s="1108"/>
      <c r="V4391" s="1108"/>
      <c r="W4391" s="1108"/>
      <c r="X4391" s="1108"/>
      <c r="Y4391" s="1108"/>
      <c r="Z4391" s="1114"/>
      <c r="AA4391" s="1114"/>
      <c r="AB4391" s="1114"/>
      <c r="AC4391" s="1117"/>
      <c r="AD4391" s="1115"/>
      <c r="AE4391" s="1115"/>
      <c r="AF4391" s="1115"/>
      <c r="AG4391" s="1115"/>
      <c r="AH4391" s="1115"/>
      <c r="AI4391" s="1115"/>
      <c r="AJ4391" s="1117"/>
      <c r="AK4391" s="1118"/>
      <c r="AL4391" s="1115"/>
      <c r="AM4391" s="1115"/>
      <c r="AN4391" s="1115"/>
      <c r="AO4391" s="1115"/>
      <c r="AP4391" s="1115"/>
      <c r="AQ4391" s="1115"/>
      <c r="AR4391" s="1115"/>
      <c r="AS4391" s="1117"/>
      <c r="AT4391" s="1075"/>
      <c r="AU4391" s="1193"/>
      <c r="AV4391" s="330"/>
      <c r="AW4391" s="331"/>
      <c r="AX4391" s="331"/>
      <c r="AY4391" s="331"/>
      <c r="AZ4391" s="331"/>
      <c r="BA4391" s="331"/>
      <c r="BB4391" s="331"/>
      <c r="BC4391" s="331"/>
      <c r="BD4391" s="331"/>
      <c r="BE4391" s="333"/>
      <c r="BF4391" s="330"/>
      <c r="BG4391" s="333"/>
      <c r="BH4391" s="1119"/>
      <c r="BI4391" s="319"/>
      <c r="BJ4391" s="319"/>
      <c r="BK4391" s="319"/>
      <c r="BL4391" s="319"/>
      <c r="BM4391" s="319"/>
      <c r="BN4391" s="319"/>
      <c r="BO4391" s="319"/>
      <c r="BP4391" s="953"/>
      <c r="BQ4391" s="319"/>
      <c r="BR4391" s="319"/>
      <c r="BS4391" s="330"/>
      <c r="BT4391" s="331"/>
      <c r="BU4391" s="920"/>
      <c r="BV4391" s="903"/>
      <c r="BW4391" s="908"/>
      <c r="BX4391" s="908"/>
      <c r="BY4391" s="331"/>
      <c r="BZ4391" s="331"/>
      <c r="CA4391" s="462"/>
      <c r="CB4391" s="319"/>
      <c r="CC4391" s="319"/>
      <c r="CD4391" s="319"/>
      <c r="CE4391" s="319"/>
      <c r="CF4391" s="319"/>
      <c r="CG4391" s="319"/>
      <c r="CH4391" s="318"/>
      <c r="CI4391" s="319"/>
      <c r="CJ4391" s="319"/>
      <c r="CK4391" s="342"/>
      <c r="CL4391" s="333"/>
      <c r="CM4391" s="1079"/>
      <c r="CN4391" s="1005"/>
      <c r="CO4391" s="1005"/>
      <c r="CP4391" s="1005"/>
    </row>
    <row r="4392">
      <c r="A4392" s="1257"/>
      <c r="B4392" s="1113"/>
      <c r="C4392" s="1107"/>
      <c r="D4392" s="103"/>
      <c r="E4392" s="1137"/>
      <c r="F4392" s="112"/>
      <c r="G4392" s="1110"/>
      <c r="H4392" s="1138"/>
      <c r="I4392" s="1138"/>
      <c r="J4392" s="1139"/>
      <c r="K4392" s="1111"/>
      <c r="L4392" s="1112"/>
      <c r="M4392" s="1113"/>
      <c r="N4392" s="110"/>
      <c r="O4392" s="1140"/>
      <c r="P4392" s="1115"/>
      <c r="Q4392" s="1116"/>
      <c r="R4392" s="1141"/>
      <c r="S4392" s="1113"/>
      <c r="T4392" s="1143"/>
      <c r="U4392" s="1108"/>
      <c r="V4392" s="1108"/>
      <c r="W4392" s="1108"/>
      <c r="X4392" s="1108"/>
      <c r="Y4392" s="1108"/>
      <c r="Z4392" s="1114"/>
      <c r="AA4392" s="1114"/>
      <c r="AB4392" s="1114"/>
      <c r="AC4392" s="1117"/>
      <c r="AD4392" s="1115"/>
      <c r="AE4392" s="1115"/>
      <c r="AF4392" s="1115"/>
      <c r="AG4392" s="1115"/>
      <c r="AH4392" s="1115"/>
      <c r="AI4392" s="1115"/>
      <c r="AJ4392" s="1117"/>
      <c r="AK4392" s="1118"/>
      <c r="AL4392" s="1115"/>
      <c r="AM4392" s="1115"/>
      <c r="AN4392" s="1115"/>
      <c r="AO4392" s="1115"/>
      <c r="AP4392" s="1115"/>
      <c r="AQ4392" s="1115"/>
      <c r="AR4392" s="1115"/>
      <c r="AS4392" s="1117"/>
      <c r="AT4392" s="1075"/>
      <c r="AU4392" s="1193"/>
      <c r="AV4392" s="330"/>
      <c r="AW4392" s="331"/>
      <c r="AX4392" s="331"/>
      <c r="AY4392" s="331"/>
      <c r="AZ4392" s="331"/>
      <c r="BA4392" s="331"/>
      <c r="BB4392" s="331"/>
      <c r="BC4392" s="331"/>
      <c r="BD4392" s="331"/>
      <c r="BE4392" s="333"/>
      <c r="BF4392" s="330"/>
      <c r="BG4392" s="333"/>
      <c r="BH4392" s="1119"/>
      <c r="BI4392" s="319"/>
      <c r="BJ4392" s="319"/>
      <c r="BK4392" s="319"/>
      <c r="BL4392" s="319"/>
      <c r="BM4392" s="319"/>
      <c r="BN4392" s="319"/>
      <c r="BO4392" s="319"/>
      <c r="BP4392" s="953"/>
      <c r="BQ4392" s="319"/>
      <c r="BR4392" s="319"/>
      <c r="BS4392" s="330"/>
      <c r="BT4392" s="331"/>
      <c r="BU4392" s="920"/>
      <c r="BV4392" s="903"/>
      <c r="BW4392" s="908"/>
      <c r="BX4392" s="908"/>
      <c r="BY4392" s="331"/>
      <c r="BZ4392" s="331"/>
      <c r="CA4392" s="462"/>
      <c r="CB4392" s="319"/>
      <c r="CC4392" s="319"/>
      <c r="CD4392" s="319"/>
      <c r="CE4392" s="319"/>
      <c r="CF4392" s="319"/>
      <c r="CG4392" s="319"/>
      <c r="CH4392" s="318"/>
      <c r="CI4392" s="319"/>
      <c r="CJ4392" s="319"/>
      <c r="CK4392" s="342"/>
      <c r="CL4392" s="333"/>
      <c r="CM4392" s="1079"/>
      <c r="CN4392" s="1005"/>
      <c r="CO4392" s="1005"/>
      <c r="CP4392" s="1005"/>
    </row>
    <row r="4393">
      <c r="A4393" s="1257"/>
      <c r="B4393" s="1113"/>
      <c r="C4393" s="1107"/>
      <c r="D4393" s="103"/>
      <c r="E4393" s="1137"/>
      <c r="F4393" s="112"/>
      <c r="G4393" s="1110"/>
      <c r="H4393" s="1138"/>
      <c r="I4393" s="1138"/>
      <c r="J4393" s="1139"/>
      <c r="K4393" s="1111"/>
      <c r="L4393" s="1112"/>
      <c r="M4393" s="1113"/>
      <c r="N4393" s="110"/>
      <c r="O4393" s="1140"/>
      <c r="P4393" s="1115"/>
      <c r="Q4393" s="1116"/>
      <c r="R4393" s="1141"/>
      <c r="S4393" s="1113"/>
      <c r="T4393" s="1143"/>
      <c r="U4393" s="1108"/>
      <c r="V4393" s="1108"/>
      <c r="W4393" s="1108"/>
      <c r="X4393" s="1108"/>
      <c r="Y4393" s="1108"/>
      <c r="Z4393" s="1114"/>
      <c r="AA4393" s="1114"/>
      <c r="AB4393" s="1114"/>
      <c r="AC4393" s="1117"/>
      <c r="AD4393" s="1115"/>
      <c r="AE4393" s="1115"/>
      <c r="AF4393" s="1115"/>
      <c r="AG4393" s="1115"/>
      <c r="AH4393" s="1115"/>
      <c r="AI4393" s="1115"/>
      <c r="AJ4393" s="1117"/>
      <c r="AK4393" s="1118"/>
      <c r="AL4393" s="1115"/>
      <c r="AM4393" s="1115"/>
      <c r="AN4393" s="1115"/>
      <c r="AO4393" s="1115"/>
      <c r="AP4393" s="1115"/>
      <c r="AQ4393" s="1115"/>
      <c r="AR4393" s="1115"/>
      <c r="AS4393" s="1117"/>
      <c r="AT4393" s="1075"/>
      <c r="AU4393" s="1193"/>
      <c r="AV4393" s="330"/>
      <c r="AW4393" s="331"/>
      <c r="AX4393" s="331"/>
      <c r="AY4393" s="331"/>
      <c r="AZ4393" s="331"/>
      <c r="BA4393" s="331"/>
      <c r="BB4393" s="331"/>
      <c r="BC4393" s="331"/>
      <c r="BD4393" s="331"/>
      <c r="BE4393" s="333"/>
      <c r="BF4393" s="330"/>
      <c r="BG4393" s="333"/>
      <c r="BH4393" s="1119"/>
      <c r="BI4393" s="319"/>
      <c r="BJ4393" s="319"/>
      <c r="BK4393" s="319"/>
      <c r="BL4393" s="319"/>
      <c r="BM4393" s="319"/>
      <c r="BN4393" s="319"/>
      <c r="BO4393" s="319"/>
      <c r="BP4393" s="953"/>
      <c r="BQ4393" s="319"/>
      <c r="BR4393" s="319"/>
      <c r="BS4393" s="330"/>
      <c r="BT4393" s="331"/>
      <c r="BU4393" s="920"/>
      <c r="BV4393" s="903"/>
      <c r="BW4393" s="908"/>
      <c r="BX4393" s="908"/>
      <c r="BY4393" s="331"/>
      <c r="BZ4393" s="331"/>
      <c r="CA4393" s="462"/>
      <c r="CB4393" s="319"/>
      <c r="CC4393" s="319"/>
      <c r="CD4393" s="319"/>
      <c r="CE4393" s="319"/>
      <c r="CF4393" s="319"/>
      <c r="CG4393" s="319"/>
      <c r="CH4393" s="318"/>
      <c r="CI4393" s="319"/>
      <c r="CJ4393" s="319"/>
      <c r="CK4393" s="342"/>
      <c r="CL4393" s="333"/>
      <c r="CM4393" s="1079"/>
      <c r="CN4393" s="1005"/>
      <c r="CO4393" s="1005"/>
      <c r="CP4393" s="1005"/>
    </row>
    <row r="4394">
      <c r="A4394" s="1257"/>
      <c r="B4394" s="1113"/>
      <c r="C4394" s="1107"/>
      <c r="D4394" s="103"/>
      <c r="E4394" s="1137"/>
      <c r="F4394" s="112"/>
      <c r="G4394" s="1110"/>
      <c r="H4394" s="1138"/>
      <c r="I4394" s="1138"/>
      <c r="J4394" s="1139"/>
      <c r="K4394" s="1111"/>
      <c r="L4394" s="1112"/>
      <c r="M4394" s="1113"/>
      <c r="N4394" s="110"/>
      <c r="O4394" s="1140"/>
      <c r="P4394" s="1115"/>
      <c r="Q4394" s="1116"/>
      <c r="R4394" s="1141"/>
      <c r="S4394" s="1113"/>
      <c r="T4394" s="1143"/>
      <c r="U4394" s="1108"/>
      <c r="V4394" s="1108"/>
      <c r="W4394" s="1108"/>
      <c r="X4394" s="1108"/>
      <c r="Y4394" s="1108"/>
      <c r="Z4394" s="1114"/>
      <c r="AA4394" s="1114"/>
      <c r="AB4394" s="1114"/>
      <c r="AC4394" s="1117"/>
      <c r="AD4394" s="1115"/>
      <c r="AE4394" s="1115"/>
      <c r="AF4394" s="1115"/>
      <c r="AG4394" s="1115"/>
      <c r="AH4394" s="1115"/>
      <c r="AI4394" s="1115"/>
      <c r="AJ4394" s="1117"/>
      <c r="AK4394" s="1118"/>
      <c r="AL4394" s="1115"/>
      <c r="AM4394" s="1115"/>
      <c r="AN4394" s="1115"/>
      <c r="AO4394" s="1115"/>
      <c r="AP4394" s="1115"/>
      <c r="AQ4394" s="1115"/>
      <c r="AR4394" s="1115"/>
      <c r="AS4394" s="1117"/>
      <c r="AT4394" s="1075"/>
      <c r="AU4394" s="1193"/>
      <c r="AV4394" s="330"/>
      <c r="AW4394" s="331"/>
      <c r="AX4394" s="331"/>
      <c r="AY4394" s="331"/>
      <c r="AZ4394" s="331"/>
      <c r="BA4394" s="331"/>
      <c r="BB4394" s="331"/>
      <c r="BC4394" s="331"/>
      <c r="BD4394" s="331"/>
      <c r="BE4394" s="333"/>
      <c r="BF4394" s="330"/>
      <c r="BG4394" s="333"/>
      <c r="BH4394" s="1119"/>
      <c r="BI4394" s="319"/>
      <c r="BJ4394" s="319"/>
      <c r="BK4394" s="319"/>
      <c r="BL4394" s="319"/>
      <c r="BM4394" s="319"/>
      <c r="BN4394" s="319"/>
      <c r="BO4394" s="319"/>
      <c r="BP4394" s="953"/>
      <c r="BQ4394" s="319"/>
      <c r="BR4394" s="319"/>
      <c r="BS4394" s="330"/>
      <c r="BT4394" s="331"/>
      <c r="BU4394" s="920"/>
      <c r="BV4394" s="903"/>
      <c r="BW4394" s="908"/>
      <c r="BX4394" s="908"/>
      <c r="BY4394" s="331"/>
      <c r="BZ4394" s="331"/>
      <c r="CA4394" s="462"/>
      <c r="CB4394" s="319"/>
      <c r="CC4394" s="319"/>
      <c r="CD4394" s="319"/>
      <c r="CE4394" s="319"/>
      <c r="CF4394" s="319"/>
      <c r="CG4394" s="319"/>
      <c r="CH4394" s="318"/>
      <c r="CI4394" s="319"/>
      <c r="CJ4394" s="319"/>
      <c r="CK4394" s="342"/>
      <c r="CL4394" s="333"/>
      <c r="CM4394" s="1079"/>
      <c r="CN4394" s="1005"/>
      <c r="CO4394" s="1005"/>
      <c r="CP4394" s="1005"/>
    </row>
    <row r="4395">
      <c r="A4395" s="1257"/>
      <c r="B4395" s="1113"/>
      <c r="C4395" s="1107"/>
      <c r="D4395" s="103"/>
      <c r="E4395" s="1137"/>
      <c r="F4395" s="112"/>
      <c r="G4395" s="1110"/>
      <c r="H4395" s="1138"/>
      <c r="I4395" s="1138"/>
      <c r="J4395" s="1139"/>
      <c r="K4395" s="1111"/>
      <c r="L4395" s="1112"/>
      <c r="M4395" s="1113"/>
      <c r="N4395" s="110"/>
      <c r="O4395" s="1140"/>
      <c r="P4395" s="1115"/>
      <c r="Q4395" s="1116"/>
      <c r="R4395" s="1141"/>
      <c r="S4395" s="1113"/>
      <c r="T4395" s="1143"/>
      <c r="U4395" s="1108"/>
      <c r="V4395" s="1108"/>
      <c r="W4395" s="1108"/>
      <c r="X4395" s="1108"/>
      <c r="Y4395" s="1108"/>
      <c r="Z4395" s="1114"/>
      <c r="AA4395" s="1114"/>
      <c r="AB4395" s="1114"/>
      <c r="AC4395" s="1117"/>
      <c r="AD4395" s="1115"/>
      <c r="AE4395" s="1115"/>
      <c r="AF4395" s="1115"/>
      <c r="AG4395" s="1115"/>
      <c r="AH4395" s="1115"/>
      <c r="AI4395" s="1115"/>
      <c r="AJ4395" s="1117"/>
      <c r="AK4395" s="1118"/>
      <c r="AL4395" s="1115"/>
      <c r="AM4395" s="1115"/>
      <c r="AN4395" s="1115"/>
      <c r="AO4395" s="1115"/>
      <c r="AP4395" s="1115"/>
      <c r="AQ4395" s="1115"/>
      <c r="AR4395" s="1115"/>
      <c r="AS4395" s="1117"/>
      <c r="AT4395" s="1075"/>
      <c r="AU4395" s="1193"/>
      <c r="AV4395" s="330"/>
      <c r="AW4395" s="331"/>
      <c r="AX4395" s="331"/>
      <c r="AY4395" s="331"/>
      <c r="AZ4395" s="331"/>
      <c r="BA4395" s="331"/>
      <c r="BB4395" s="331"/>
      <c r="BC4395" s="331"/>
      <c r="BD4395" s="331"/>
      <c r="BE4395" s="333"/>
      <c r="BF4395" s="330"/>
      <c r="BG4395" s="333"/>
      <c r="BH4395" s="1119"/>
      <c r="BI4395" s="319"/>
      <c r="BJ4395" s="319"/>
      <c r="BK4395" s="319"/>
      <c r="BL4395" s="319"/>
      <c r="BM4395" s="319"/>
      <c r="BN4395" s="319"/>
      <c r="BO4395" s="319"/>
      <c r="BP4395" s="953"/>
      <c r="BQ4395" s="319"/>
      <c r="BR4395" s="319"/>
      <c r="BS4395" s="330"/>
      <c r="BT4395" s="331"/>
      <c r="BU4395" s="920"/>
      <c r="BV4395" s="903"/>
      <c r="BW4395" s="908"/>
      <c r="BX4395" s="908"/>
      <c r="BY4395" s="331"/>
      <c r="BZ4395" s="331"/>
      <c r="CA4395" s="462"/>
      <c r="CB4395" s="319"/>
      <c r="CC4395" s="319"/>
      <c r="CD4395" s="319"/>
      <c r="CE4395" s="319"/>
      <c r="CF4395" s="319"/>
      <c r="CG4395" s="319"/>
      <c r="CH4395" s="318"/>
      <c r="CI4395" s="319"/>
      <c r="CJ4395" s="319"/>
      <c r="CK4395" s="342"/>
      <c r="CL4395" s="333"/>
      <c r="CM4395" s="1079"/>
      <c r="CN4395" s="1005"/>
      <c r="CO4395" s="1005"/>
      <c r="CP4395" s="1005"/>
    </row>
    <row r="4396">
      <c r="A4396" s="1257"/>
      <c r="B4396" s="1113"/>
      <c r="C4396" s="1107"/>
      <c r="D4396" s="103"/>
      <c r="E4396" s="1137"/>
      <c r="F4396" s="112"/>
      <c r="G4396" s="1110"/>
      <c r="H4396" s="1138"/>
      <c r="I4396" s="1138"/>
      <c r="J4396" s="1139"/>
      <c r="K4396" s="1111"/>
      <c r="L4396" s="1112"/>
      <c r="M4396" s="1113"/>
      <c r="N4396" s="110"/>
      <c r="O4396" s="1140"/>
      <c r="P4396" s="1115"/>
      <c r="Q4396" s="1116"/>
      <c r="R4396" s="1141"/>
      <c r="S4396" s="1113"/>
      <c r="T4396" s="1143"/>
      <c r="U4396" s="1108"/>
      <c r="V4396" s="1108"/>
      <c r="W4396" s="1108"/>
      <c r="X4396" s="1108"/>
      <c r="Y4396" s="1108"/>
      <c r="Z4396" s="1114"/>
      <c r="AA4396" s="1114"/>
      <c r="AB4396" s="1114"/>
      <c r="AC4396" s="1117"/>
      <c r="AD4396" s="1115"/>
      <c r="AE4396" s="1115"/>
      <c r="AF4396" s="1115"/>
      <c r="AG4396" s="1115"/>
      <c r="AH4396" s="1115"/>
      <c r="AI4396" s="1115"/>
      <c r="AJ4396" s="1117"/>
      <c r="AK4396" s="1118"/>
      <c r="AL4396" s="1115"/>
      <c r="AM4396" s="1115"/>
      <c r="AN4396" s="1115"/>
      <c r="AO4396" s="1115"/>
      <c r="AP4396" s="1115"/>
      <c r="AQ4396" s="1115"/>
      <c r="AR4396" s="1115"/>
      <c r="AS4396" s="1117"/>
      <c r="AT4396" s="1075"/>
      <c r="AU4396" s="1193"/>
      <c r="AV4396" s="330"/>
      <c r="AW4396" s="331"/>
      <c r="AX4396" s="331"/>
      <c r="AY4396" s="331"/>
      <c r="AZ4396" s="331"/>
      <c r="BA4396" s="331"/>
      <c r="BB4396" s="331"/>
      <c r="BC4396" s="331"/>
      <c r="BD4396" s="331"/>
      <c r="BE4396" s="333"/>
      <c r="BF4396" s="330"/>
      <c r="BG4396" s="333"/>
      <c r="BH4396" s="1119"/>
      <c r="BI4396" s="319"/>
      <c r="BJ4396" s="319"/>
      <c r="BK4396" s="319"/>
      <c r="BL4396" s="319"/>
      <c r="BM4396" s="319"/>
      <c r="BN4396" s="319"/>
      <c r="BO4396" s="319"/>
      <c r="BP4396" s="953"/>
      <c r="BQ4396" s="319"/>
      <c r="BR4396" s="319"/>
      <c r="BS4396" s="330"/>
      <c r="BT4396" s="331"/>
      <c r="BU4396" s="920"/>
      <c r="BV4396" s="903"/>
      <c r="BW4396" s="908"/>
      <c r="BX4396" s="908"/>
      <c r="BY4396" s="331"/>
      <c r="BZ4396" s="331"/>
      <c r="CA4396" s="462"/>
      <c r="CB4396" s="319"/>
      <c r="CC4396" s="319"/>
      <c r="CD4396" s="319"/>
      <c r="CE4396" s="319"/>
      <c r="CF4396" s="319"/>
      <c r="CG4396" s="319"/>
      <c r="CH4396" s="318"/>
      <c r="CI4396" s="319"/>
      <c r="CJ4396" s="319"/>
      <c r="CK4396" s="342"/>
      <c r="CL4396" s="333"/>
      <c r="CM4396" s="1079"/>
      <c r="CN4396" s="1005"/>
      <c r="CO4396" s="1005"/>
      <c r="CP4396" s="1005"/>
    </row>
    <row r="4397">
      <c r="A4397" s="1257"/>
      <c r="B4397" s="1113"/>
      <c r="C4397" s="1107"/>
      <c r="D4397" s="103"/>
      <c r="E4397" s="1137"/>
      <c r="F4397" s="112"/>
      <c r="G4397" s="1110"/>
      <c r="H4397" s="1138"/>
      <c r="I4397" s="1138"/>
      <c r="J4397" s="1139"/>
      <c r="K4397" s="1111"/>
      <c r="L4397" s="1112"/>
      <c r="M4397" s="1113"/>
      <c r="N4397" s="110"/>
      <c r="O4397" s="1140"/>
      <c r="P4397" s="1115"/>
      <c r="Q4397" s="1116"/>
      <c r="R4397" s="1141"/>
      <c r="S4397" s="1113"/>
      <c r="T4397" s="1143"/>
      <c r="U4397" s="1108"/>
      <c r="V4397" s="1108"/>
      <c r="W4397" s="1108"/>
      <c r="X4397" s="1108"/>
      <c r="Y4397" s="1108"/>
      <c r="Z4397" s="1114"/>
      <c r="AA4397" s="1114"/>
      <c r="AB4397" s="1114"/>
      <c r="AC4397" s="1117"/>
      <c r="AD4397" s="1115"/>
      <c r="AE4397" s="1115"/>
      <c r="AF4397" s="1115"/>
      <c r="AG4397" s="1115"/>
      <c r="AH4397" s="1115"/>
      <c r="AI4397" s="1115"/>
      <c r="AJ4397" s="1117"/>
      <c r="AK4397" s="1118"/>
      <c r="AL4397" s="1115"/>
      <c r="AM4397" s="1115"/>
      <c r="AN4397" s="1115"/>
      <c r="AO4397" s="1115"/>
      <c r="AP4397" s="1115"/>
      <c r="AQ4397" s="1115"/>
      <c r="AR4397" s="1115"/>
      <c r="AS4397" s="1117"/>
      <c r="AT4397" s="1075"/>
      <c r="AU4397" s="1193"/>
      <c r="AV4397" s="330"/>
      <c r="AW4397" s="331"/>
      <c r="AX4397" s="331"/>
      <c r="AY4397" s="331"/>
      <c r="AZ4397" s="331"/>
      <c r="BA4397" s="331"/>
      <c r="BB4397" s="331"/>
      <c r="BC4397" s="331"/>
      <c r="BD4397" s="331"/>
      <c r="BE4397" s="333"/>
      <c r="BF4397" s="330"/>
      <c r="BG4397" s="333"/>
      <c r="BH4397" s="1119"/>
      <c r="BI4397" s="319"/>
      <c r="BJ4397" s="319"/>
      <c r="BK4397" s="319"/>
      <c r="BL4397" s="319"/>
      <c r="BM4397" s="319"/>
      <c r="BN4397" s="319"/>
      <c r="BO4397" s="319"/>
      <c r="BP4397" s="953"/>
      <c r="BQ4397" s="319"/>
      <c r="BR4397" s="319"/>
      <c r="BS4397" s="330"/>
      <c r="BT4397" s="331"/>
      <c r="BU4397" s="920"/>
      <c r="BV4397" s="903"/>
      <c r="BW4397" s="908"/>
      <c r="BX4397" s="908"/>
      <c r="BY4397" s="331"/>
      <c r="BZ4397" s="331"/>
      <c r="CA4397" s="462"/>
      <c r="CB4397" s="319"/>
      <c r="CC4397" s="319"/>
      <c r="CD4397" s="319"/>
      <c r="CE4397" s="319"/>
      <c r="CF4397" s="319"/>
      <c r="CG4397" s="319"/>
      <c r="CH4397" s="318"/>
      <c r="CI4397" s="319"/>
      <c r="CJ4397" s="319"/>
      <c r="CK4397" s="342"/>
      <c r="CL4397" s="333"/>
      <c r="CM4397" s="1079"/>
      <c r="CN4397" s="1005"/>
      <c r="CO4397" s="1005"/>
      <c r="CP4397" s="1005"/>
    </row>
    <row r="4398">
      <c r="A4398" s="1257"/>
      <c r="B4398" s="1113"/>
      <c r="C4398" s="1107"/>
      <c r="D4398" s="103"/>
      <c r="E4398" s="1137"/>
      <c r="F4398" s="112"/>
      <c r="G4398" s="1110"/>
      <c r="H4398" s="1138"/>
      <c r="I4398" s="1138"/>
      <c r="J4398" s="1139"/>
      <c r="K4398" s="1111"/>
      <c r="L4398" s="1112"/>
      <c r="M4398" s="1113"/>
      <c r="N4398" s="110"/>
      <c r="O4398" s="1140"/>
      <c r="P4398" s="1115"/>
      <c r="Q4398" s="1116"/>
      <c r="R4398" s="1141"/>
      <c r="S4398" s="1113"/>
      <c r="T4398" s="1143"/>
      <c r="U4398" s="1108"/>
      <c r="V4398" s="1108"/>
      <c r="W4398" s="1108"/>
      <c r="X4398" s="1108"/>
      <c r="Y4398" s="1108"/>
      <c r="Z4398" s="1114"/>
      <c r="AA4398" s="1114"/>
      <c r="AB4398" s="1114"/>
      <c r="AC4398" s="1117"/>
      <c r="AD4398" s="1115"/>
      <c r="AE4398" s="1115"/>
      <c r="AF4398" s="1115"/>
      <c r="AG4398" s="1115"/>
      <c r="AH4398" s="1115"/>
      <c r="AI4398" s="1115"/>
      <c r="AJ4398" s="1117"/>
      <c r="AK4398" s="1118"/>
      <c r="AL4398" s="1115"/>
      <c r="AM4398" s="1115"/>
      <c r="AN4398" s="1115"/>
      <c r="AO4398" s="1115"/>
      <c r="AP4398" s="1115"/>
      <c r="AQ4398" s="1115"/>
      <c r="AR4398" s="1115"/>
      <c r="AS4398" s="1117"/>
      <c r="AT4398" s="1075"/>
      <c r="AU4398" s="1193"/>
      <c r="AV4398" s="330"/>
      <c r="AW4398" s="331"/>
      <c r="AX4398" s="331"/>
      <c r="AY4398" s="331"/>
      <c r="AZ4398" s="331"/>
      <c r="BA4398" s="331"/>
      <c r="BB4398" s="331"/>
      <c r="BC4398" s="331"/>
      <c r="BD4398" s="331"/>
      <c r="BE4398" s="333"/>
      <c r="BF4398" s="330"/>
      <c r="BG4398" s="333"/>
      <c r="BH4398" s="1119"/>
      <c r="BI4398" s="319"/>
      <c r="BJ4398" s="319"/>
      <c r="BK4398" s="319"/>
      <c r="BL4398" s="319"/>
      <c r="BM4398" s="319"/>
      <c r="BN4398" s="319"/>
      <c r="BO4398" s="319"/>
      <c r="BP4398" s="953"/>
      <c r="BQ4398" s="319"/>
      <c r="BR4398" s="319"/>
      <c r="BS4398" s="330"/>
      <c r="BT4398" s="331"/>
      <c r="BU4398" s="920"/>
      <c r="BV4398" s="903"/>
      <c r="BW4398" s="908"/>
      <c r="BX4398" s="908"/>
      <c r="BY4398" s="331"/>
      <c r="BZ4398" s="331"/>
      <c r="CA4398" s="462"/>
      <c r="CB4398" s="319"/>
      <c r="CC4398" s="319"/>
      <c r="CD4398" s="319"/>
      <c r="CE4398" s="319"/>
      <c r="CF4398" s="319"/>
      <c r="CG4398" s="319"/>
      <c r="CH4398" s="318"/>
      <c r="CI4398" s="319"/>
      <c r="CJ4398" s="319"/>
      <c r="CK4398" s="342"/>
      <c r="CL4398" s="333"/>
      <c r="CM4398" s="1079"/>
      <c r="CN4398" s="1005"/>
      <c r="CO4398" s="1005"/>
      <c r="CP4398" s="1005"/>
    </row>
    <row r="4399">
      <c r="A4399" s="1257"/>
      <c r="B4399" s="1113"/>
      <c r="C4399" s="1107"/>
      <c r="D4399" s="103"/>
      <c r="E4399" s="1137"/>
      <c r="F4399" s="112"/>
      <c r="G4399" s="1110"/>
      <c r="H4399" s="1138"/>
      <c r="I4399" s="1138"/>
      <c r="J4399" s="1139"/>
      <c r="K4399" s="1111"/>
      <c r="L4399" s="1112"/>
      <c r="M4399" s="1113"/>
      <c r="N4399" s="110"/>
      <c r="O4399" s="1140"/>
      <c r="P4399" s="1115"/>
      <c r="Q4399" s="1116"/>
      <c r="R4399" s="1141"/>
      <c r="S4399" s="1113"/>
      <c r="T4399" s="1143"/>
      <c r="U4399" s="1108"/>
      <c r="V4399" s="1108"/>
      <c r="W4399" s="1108"/>
      <c r="X4399" s="1108"/>
      <c r="Y4399" s="1108"/>
      <c r="Z4399" s="1114"/>
      <c r="AA4399" s="1114"/>
      <c r="AB4399" s="1114"/>
      <c r="AC4399" s="1117"/>
      <c r="AD4399" s="1115"/>
      <c r="AE4399" s="1115"/>
      <c r="AF4399" s="1115"/>
      <c r="AG4399" s="1115"/>
      <c r="AH4399" s="1115"/>
      <c r="AI4399" s="1115"/>
      <c r="AJ4399" s="1117"/>
      <c r="AK4399" s="1118"/>
      <c r="AL4399" s="1115"/>
      <c r="AM4399" s="1115"/>
      <c r="AN4399" s="1115"/>
      <c r="AO4399" s="1115"/>
      <c r="AP4399" s="1115"/>
      <c r="AQ4399" s="1115"/>
      <c r="AR4399" s="1115"/>
      <c r="AS4399" s="1117"/>
      <c r="AT4399" s="1075"/>
      <c r="AU4399" s="1193"/>
      <c r="AV4399" s="330"/>
      <c r="AW4399" s="331"/>
      <c r="AX4399" s="331"/>
      <c r="AY4399" s="331"/>
      <c r="AZ4399" s="331"/>
      <c r="BA4399" s="331"/>
      <c r="BB4399" s="331"/>
      <c r="BC4399" s="331"/>
      <c r="BD4399" s="331"/>
      <c r="BE4399" s="333"/>
      <c r="BF4399" s="330"/>
      <c r="BG4399" s="333"/>
      <c r="BH4399" s="1119"/>
      <c r="BI4399" s="319"/>
      <c r="BJ4399" s="319"/>
      <c r="BK4399" s="319"/>
      <c r="BL4399" s="319"/>
      <c r="BM4399" s="319"/>
      <c r="BN4399" s="319"/>
      <c r="BO4399" s="319"/>
      <c r="BP4399" s="953"/>
      <c r="BQ4399" s="319"/>
      <c r="BR4399" s="319"/>
      <c r="BS4399" s="330"/>
      <c r="BT4399" s="331"/>
      <c r="BU4399" s="920"/>
      <c r="BV4399" s="903"/>
      <c r="BW4399" s="908"/>
      <c r="BX4399" s="908"/>
      <c r="BY4399" s="331"/>
      <c r="BZ4399" s="331"/>
      <c r="CA4399" s="462"/>
      <c r="CB4399" s="319"/>
      <c r="CC4399" s="319"/>
      <c r="CD4399" s="319"/>
      <c r="CE4399" s="319"/>
      <c r="CF4399" s="319"/>
      <c r="CG4399" s="319"/>
      <c r="CH4399" s="318"/>
      <c r="CI4399" s="319"/>
      <c r="CJ4399" s="319"/>
      <c r="CK4399" s="342"/>
      <c r="CL4399" s="333"/>
      <c r="CM4399" s="1079"/>
      <c r="CN4399" s="1005"/>
      <c r="CO4399" s="1005"/>
      <c r="CP4399" s="1005"/>
    </row>
    <row r="4400">
      <c r="A4400" s="1257"/>
      <c r="B4400" s="1113"/>
      <c r="C4400" s="1107"/>
      <c r="D4400" s="103"/>
      <c r="E4400" s="1137"/>
      <c r="F4400" s="112"/>
      <c r="G4400" s="1110"/>
      <c r="H4400" s="1138"/>
      <c r="I4400" s="1138"/>
      <c r="J4400" s="1139"/>
      <c r="K4400" s="1111"/>
      <c r="L4400" s="1112"/>
      <c r="M4400" s="1113"/>
      <c r="N4400" s="110"/>
      <c r="O4400" s="1140"/>
      <c r="P4400" s="1115"/>
      <c r="Q4400" s="1116"/>
      <c r="R4400" s="1141"/>
      <c r="S4400" s="1113"/>
      <c r="T4400" s="1143"/>
      <c r="U4400" s="1108"/>
      <c r="V4400" s="1108"/>
      <c r="W4400" s="1108"/>
      <c r="X4400" s="1108"/>
      <c r="Y4400" s="1108"/>
      <c r="Z4400" s="1114"/>
      <c r="AA4400" s="1114"/>
      <c r="AB4400" s="1114"/>
      <c r="AC4400" s="1117"/>
      <c r="AD4400" s="1115"/>
      <c r="AE4400" s="1115"/>
      <c r="AF4400" s="1115"/>
      <c r="AG4400" s="1115"/>
      <c r="AH4400" s="1115"/>
      <c r="AI4400" s="1115"/>
      <c r="AJ4400" s="1117"/>
      <c r="AK4400" s="1118"/>
      <c r="AL4400" s="1115"/>
      <c r="AM4400" s="1115"/>
      <c r="AN4400" s="1115"/>
      <c r="AO4400" s="1115"/>
      <c r="AP4400" s="1115"/>
      <c r="AQ4400" s="1115"/>
      <c r="AR4400" s="1115"/>
      <c r="AS4400" s="1117"/>
      <c r="AT4400" s="1075"/>
      <c r="AU4400" s="1193"/>
      <c r="AV4400" s="330"/>
      <c r="AW4400" s="331"/>
      <c r="AX4400" s="331"/>
      <c r="AY4400" s="331"/>
      <c r="AZ4400" s="331"/>
      <c r="BA4400" s="331"/>
      <c r="BB4400" s="331"/>
      <c r="BC4400" s="331"/>
      <c r="BD4400" s="331"/>
      <c r="BE4400" s="333"/>
      <c r="BF4400" s="330"/>
      <c r="BG4400" s="333"/>
      <c r="BH4400" s="1119"/>
      <c r="BI4400" s="319"/>
      <c r="BJ4400" s="319"/>
      <c r="BK4400" s="319"/>
      <c r="BL4400" s="319"/>
      <c r="BM4400" s="319"/>
      <c r="BN4400" s="319"/>
      <c r="BO4400" s="319"/>
      <c r="BP4400" s="953"/>
      <c r="BQ4400" s="319"/>
      <c r="BR4400" s="319"/>
      <c r="BS4400" s="330"/>
      <c r="BT4400" s="331"/>
      <c r="BU4400" s="920"/>
      <c r="BV4400" s="903"/>
      <c r="BW4400" s="908"/>
      <c r="BX4400" s="908"/>
      <c r="BY4400" s="331"/>
      <c r="BZ4400" s="331"/>
      <c r="CA4400" s="462"/>
      <c r="CB4400" s="319"/>
      <c r="CC4400" s="319"/>
      <c r="CD4400" s="319"/>
      <c r="CE4400" s="319"/>
      <c r="CF4400" s="319"/>
      <c r="CG4400" s="319"/>
      <c r="CH4400" s="318"/>
      <c r="CI4400" s="319"/>
      <c r="CJ4400" s="319"/>
      <c r="CK4400" s="342"/>
      <c r="CL4400" s="333"/>
      <c r="CM4400" s="1079"/>
      <c r="CN4400" s="1005"/>
      <c r="CO4400" s="1005"/>
      <c r="CP4400" s="1005"/>
    </row>
    <row r="4401">
      <c r="A4401" s="1257"/>
      <c r="B4401" s="1113"/>
      <c r="C4401" s="1107"/>
      <c r="D4401" s="103"/>
      <c r="E4401" s="1137"/>
      <c r="F4401" s="112"/>
      <c r="G4401" s="1110"/>
      <c r="H4401" s="1138"/>
      <c r="I4401" s="1138"/>
      <c r="J4401" s="1139"/>
      <c r="K4401" s="1111"/>
      <c r="L4401" s="1112"/>
      <c r="M4401" s="1113"/>
      <c r="N4401" s="110"/>
      <c r="O4401" s="1140"/>
      <c r="P4401" s="1115"/>
      <c r="Q4401" s="1116"/>
      <c r="R4401" s="1141"/>
      <c r="S4401" s="1113"/>
      <c r="T4401" s="1143"/>
      <c r="U4401" s="1108"/>
      <c r="V4401" s="1108"/>
      <c r="W4401" s="1108"/>
      <c r="X4401" s="1108"/>
      <c r="Y4401" s="1108"/>
      <c r="Z4401" s="1114"/>
      <c r="AA4401" s="1114"/>
      <c r="AB4401" s="1114"/>
      <c r="AC4401" s="1117"/>
      <c r="AD4401" s="1115"/>
      <c r="AE4401" s="1115"/>
      <c r="AF4401" s="1115"/>
      <c r="AG4401" s="1115"/>
      <c r="AH4401" s="1115"/>
      <c r="AI4401" s="1115"/>
      <c r="AJ4401" s="1117"/>
      <c r="AK4401" s="1118"/>
      <c r="AL4401" s="1115"/>
      <c r="AM4401" s="1115"/>
      <c r="AN4401" s="1115"/>
      <c r="AO4401" s="1115"/>
      <c r="AP4401" s="1115"/>
      <c r="AQ4401" s="1115"/>
      <c r="AR4401" s="1115"/>
      <c r="AS4401" s="1117"/>
      <c r="AT4401" s="1075"/>
      <c r="AU4401" s="1193"/>
      <c r="AV4401" s="330"/>
      <c r="AW4401" s="331"/>
      <c r="AX4401" s="331"/>
      <c r="AY4401" s="331"/>
      <c r="AZ4401" s="331"/>
      <c r="BA4401" s="331"/>
      <c r="BB4401" s="331"/>
      <c r="BC4401" s="331"/>
      <c r="BD4401" s="331"/>
      <c r="BE4401" s="333"/>
      <c r="BF4401" s="330"/>
      <c r="BG4401" s="333"/>
      <c r="BH4401" s="1119"/>
      <c r="BI4401" s="319"/>
      <c r="BJ4401" s="319"/>
      <c r="BK4401" s="319"/>
      <c r="BL4401" s="319"/>
      <c r="BM4401" s="319"/>
      <c r="BN4401" s="319"/>
      <c r="BO4401" s="319"/>
      <c r="BP4401" s="953"/>
      <c r="BQ4401" s="319"/>
      <c r="BR4401" s="319"/>
      <c r="BS4401" s="330"/>
      <c r="BT4401" s="331"/>
      <c r="BU4401" s="920"/>
      <c r="BV4401" s="903"/>
      <c r="BW4401" s="908"/>
      <c r="BX4401" s="908"/>
      <c r="BY4401" s="331"/>
      <c r="BZ4401" s="331"/>
      <c r="CA4401" s="462"/>
      <c r="CB4401" s="319"/>
      <c r="CC4401" s="319"/>
      <c r="CD4401" s="319"/>
      <c r="CE4401" s="319"/>
      <c r="CF4401" s="319"/>
      <c r="CG4401" s="319"/>
      <c r="CH4401" s="318"/>
      <c r="CI4401" s="319"/>
      <c r="CJ4401" s="319"/>
      <c r="CK4401" s="342"/>
      <c r="CL4401" s="333"/>
      <c r="CM4401" s="1079"/>
      <c r="CN4401" s="1005"/>
      <c r="CO4401" s="1005"/>
      <c r="CP4401" s="1005"/>
    </row>
    <row r="4402">
      <c r="A4402" s="1257"/>
      <c r="B4402" s="1113"/>
      <c r="C4402" s="1107"/>
      <c r="D4402" s="103"/>
      <c r="E4402" s="1137"/>
      <c r="F4402" s="112"/>
      <c r="G4402" s="1110"/>
      <c r="H4402" s="1138"/>
      <c r="I4402" s="1138"/>
      <c r="J4402" s="1139"/>
      <c r="K4402" s="1111"/>
      <c r="L4402" s="1112"/>
      <c r="M4402" s="1113"/>
      <c r="N4402" s="110"/>
      <c r="O4402" s="1140"/>
      <c r="P4402" s="1115"/>
      <c r="Q4402" s="1116"/>
      <c r="R4402" s="1141"/>
      <c r="S4402" s="1113"/>
      <c r="T4402" s="1143"/>
      <c r="U4402" s="1108"/>
      <c r="V4402" s="1108"/>
      <c r="W4402" s="1108"/>
      <c r="X4402" s="1108"/>
      <c r="Y4402" s="1108"/>
      <c r="Z4402" s="1114"/>
      <c r="AA4402" s="1114"/>
      <c r="AB4402" s="1114"/>
      <c r="AC4402" s="1117"/>
      <c r="AD4402" s="1115"/>
      <c r="AE4402" s="1115"/>
      <c r="AF4402" s="1115"/>
      <c r="AG4402" s="1115"/>
      <c r="AH4402" s="1115"/>
      <c r="AI4402" s="1115"/>
      <c r="AJ4402" s="1117"/>
      <c r="AK4402" s="1118"/>
      <c r="AL4402" s="1115"/>
      <c r="AM4402" s="1115"/>
      <c r="AN4402" s="1115"/>
      <c r="AO4402" s="1115"/>
      <c r="AP4402" s="1115"/>
      <c r="AQ4402" s="1115"/>
      <c r="AR4402" s="1115"/>
      <c r="AS4402" s="1117"/>
      <c r="AT4402" s="1075"/>
      <c r="AU4402" s="1193"/>
      <c r="AV4402" s="330"/>
      <c r="AW4402" s="331"/>
      <c r="AX4402" s="331"/>
      <c r="AY4402" s="331"/>
      <c r="AZ4402" s="331"/>
      <c r="BA4402" s="331"/>
      <c r="BB4402" s="331"/>
      <c r="BC4402" s="331"/>
      <c r="BD4402" s="331"/>
      <c r="BE4402" s="333"/>
      <c r="BF4402" s="330"/>
      <c r="BG4402" s="333"/>
      <c r="BH4402" s="1119"/>
      <c r="BI4402" s="319"/>
      <c r="BJ4402" s="319"/>
      <c r="BK4402" s="319"/>
      <c r="BL4402" s="319"/>
      <c r="BM4402" s="319"/>
      <c r="BN4402" s="319"/>
      <c r="BO4402" s="319"/>
      <c r="BP4402" s="953"/>
      <c r="BQ4402" s="319"/>
      <c r="BR4402" s="319"/>
      <c r="BS4402" s="330"/>
      <c r="BT4402" s="331"/>
      <c r="BU4402" s="920"/>
      <c r="BV4402" s="903"/>
      <c r="BW4402" s="908"/>
      <c r="BX4402" s="908"/>
      <c r="BY4402" s="331"/>
      <c r="BZ4402" s="331"/>
      <c r="CA4402" s="462"/>
      <c r="CB4402" s="319"/>
      <c r="CC4402" s="319"/>
      <c r="CD4402" s="319"/>
      <c r="CE4402" s="319"/>
      <c r="CF4402" s="319"/>
      <c r="CG4402" s="319"/>
      <c r="CH4402" s="318"/>
      <c r="CI4402" s="319"/>
      <c r="CJ4402" s="319"/>
      <c r="CK4402" s="342"/>
      <c r="CL4402" s="333"/>
      <c r="CM4402" s="1079"/>
      <c r="CN4402" s="1005"/>
      <c r="CO4402" s="1005"/>
      <c r="CP4402" s="1005"/>
    </row>
    <row r="4403">
      <c r="A4403" s="1257"/>
      <c r="B4403" s="1113"/>
      <c r="C4403" s="1107"/>
      <c r="D4403" s="103"/>
      <c r="E4403" s="1137"/>
      <c r="F4403" s="112"/>
      <c r="G4403" s="1110"/>
      <c r="H4403" s="1138"/>
      <c r="I4403" s="1138"/>
      <c r="J4403" s="1139"/>
      <c r="K4403" s="1111"/>
      <c r="L4403" s="1112"/>
      <c r="M4403" s="1113"/>
      <c r="N4403" s="110"/>
      <c r="O4403" s="1140"/>
      <c r="P4403" s="1115"/>
      <c r="Q4403" s="1116"/>
      <c r="R4403" s="1141"/>
      <c r="S4403" s="1113"/>
      <c r="T4403" s="1143"/>
      <c r="U4403" s="1108"/>
      <c r="V4403" s="1108"/>
      <c r="W4403" s="1108"/>
      <c r="X4403" s="1108"/>
      <c r="Y4403" s="1108"/>
      <c r="Z4403" s="1114"/>
      <c r="AA4403" s="1114"/>
      <c r="AB4403" s="1114"/>
      <c r="AC4403" s="1117"/>
      <c r="AD4403" s="1115"/>
      <c r="AE4403" s="1115"/>
      <c r="AF4403" s="1115"/>
      <c r="AG4403" s="1115"/>
      <c r="AH4403" s="1115"/>
      <c r="AI4403" s="1115"/>
      <c r="AJ4403" s="1117"/>
      <c r="AK4403" s="1118"/>
      <c r="AL4403" s="1115"/>
      <c r="AM4403" s="1115"/>
      <c r="AN4403" s="1115"/>
      <c r="AO4403" s="1115"/>
      <c r="AP4403" s="1115"/>
      <c r="AQ4403" s="1115"/>
      <c r="AR4403" s="1115"/>
      <c r="AS4403" s="1117"/>
      <c r="AT4403" s="1075"/>
      <c r="AU4403" s="1193"/>
      <c r="AV4403" s="330"/>
      <c r="AW4403" s="331"/>
      <c r="AX4403" s="331"/>
      <c r="AY4403" s="331"/>
      <c r="AZ4403" s="331"/>
      <c r="BA4403" s="331"/>
      <c r="BB4403" s="331"/>
      <c r="BC4403" s="331"/>
      <c r="BD4403" s="331"/>
      <c r="BE4403" s="333"/>
      <c r="BF4403" s="330"/>
      <c r="BG4403" s="333"/>
      <c r="BH4403" s="1119"/>
      <c r="BI4403" s="319"/>
      <c r="BJ4403" s="319"/>
      <c r="BK4403" s="319"/>
      <c r="BL4403" s="319"/>
      <c r="BM4403" s="319"/>
      <c r="BN4403" s="319"/>
      <c r="BO4403" s="319"/>
      <c r="BP4403" s="953"/>
      <c r="BQ4403" s="319"/>
      <c r="BR4403" s="319"/>
      <c r="BS4403" s="330"/>
      <c r="BT4403" s="331"/>
      <c r="BU4403" s="920"/>
      <c r="BV4403" s="903"/>
      <c r="BW4403" s="908"/>
      <c r="BX4403" s="908"/>
      <c r="BY4403" s="331"/>
      <c r="BZ4403" s="331"/>
      <c r="CA4403" s="462"/>
      <c r="CB4403" s="319"/>
      <c r="CC4403" s="319"/>
      <c r="CD4403" s="319"/>
      <c r="CE4403" s="319"/>
      <c r="CF4403" s="319"/>
      <c r="CG4403" s="319"/>
      <c r="CH4403" s="318"/>
      <c r="CI4403" s="319"/>
      <c r="CJ4403" s="319"/>
      <c r="CK4403" s="342"/>
      <c r="CL4403" s="333"/>
      <c r="CM4403" s="1079"/>
      <c r="CN4403" s="1005"/>
      <c r="CO4403" s="1005"/>
      <c r="CP4403" s="1005"/>
    </row>
    <row r="4404">
      <c r="A4404" s="1257"/>
      <c r="B4404" s="1113"/>
      <c r="C4404" s="1107"/>
      <c r="D4404" s="103"/>
      <c r="E4404" s="1137"/>
      <c r="F4404" s="112"/>
      <c r="G4404" s="1110"/>
      <c r="H4404" s="1138"/>
      <c r="I4404" s="1138"/>
      <c r="J4404" s="1139"/>
      <c r="K4404" s="1111"/>
      <c r="L4404" s="1112"/>
      <c r="M4404" s="1113"/>
      <c r="N4404" s="110"/>
      <c r="O4404" s="1140"/>
      <c r="P4404" s="1115"/>
      <c r="Q4404" s="1116"/>
      <c r="R4404" s="1141"/>
      <c r="S4404" s="1113"/>
      <c r="T4404" s="1143"/>
      <c r="U4404" s="1108"/>
      <c r="V4404" s="1108"/>
      <c r="W4404" s="1108"/>
      <c r="X4404" s="1108"/>
      <c r="Y4404" s="1108"/>
      <c r="Z4404" s="1114"/>
      <c r="AA4404" s="1114"/>
      <c r="AB4404" s="1114"/>
      <c r="AC4404" s="1117"/>
      <c r="AD4404" s="1115"/>
      <c r="AE4404" s="1115"/>
      <c r="AF4404" s="1115"/>
      <c r="AG4404" s="1115"/>
      <c r="AH4404" s="1115"/>
      <c r="AI4404" s="1115"/>
      <c r="AJ4404" s="1117"/>
      <c r="AK4404" s="1118"/>
      <c r="AL4404" s="1115"/>
      <c r="AM4404" s="1115"/>
      <c r="AN4404" s="1115"/>
      <c r="AO4404" s="1115"/>
      <c r="AP4404" s="1115"/>
      <c r="AQ4404" s="1115"/>
      <c r="AR4404" s="1115"/>
      <c r="AS4404" s="1117"/>
      <c r="AT4404" s="1075"/>
      <c r="AU4404" s="1193"/>
      <c r="AV4404" s="330"/>
      <c r="AW4404" s="331"/>
      <c r="AX4404" s="331"/>
      <c r="AY4404" s="331"/>
      <c r="AZ4404" s="331"/>
      <c r="BA4404" s="331"/>
      <c r="BB4404" s="331"/>
      <c r="BC4404" s="331"/>
      <c r="BD4404" s="331"/>
      <c r="BE4404" s="333"/>
      <c r="BF4404" s="330"/>
      <c r="BG4404" s="333"/>
      <c r="BH4404" s="1119"/>
      <c r="BI4404" s="319"/>
      <c r="BJ4404" s="319"/>
      <c r="BK4404" s="319"/>
      <c r="BL4404" s="319"/>
      <c r="BM4404" s="319"/>
      <c r="BN4404" s="319"/>
      <c r="BO4404" s="319"/>
      <c r="BP4404" s="953"/>
      <c r="BQ4404" s="319"/>
      <c r="BR4404" s="319"/>
      <c r="BS4404" s="330"/>
      <c r="BT4404" s="331"/>
      <c r="BU4404" s="920"/>
      <c r="BV4404" s="903"/>
      <c r="BW4404" s="908"/>
      <c r="BX4404" s="908"/>
      <c r="BY4404" s="331"/>
      <c r="BZ4404" s="331"/>
      <c r="CA4404" s="462"/>
      <c r="CB4404" s="319"/>
      <c r="CC4404" s="319"/>
      <c r="CD4404" s="319"/>
      <c r="CE4404" s="319"/>
      <c r="CF4404" s="319"/>
      <c r="CG4404" s="319"/>
      <c r="CH4404" s="318"/>
      <c r="CI4404" s="319"/>
      <c r="CJ4404" s="319"/>
      <c r="CK4404" s="342"/>
      <c r="CL4404" s="333"/>
      <c r="CM4404" s="1079"/>
      <c r="CN4404" s="1005"/>
      <c r="CO4404" s="1005"/>
      <c r="CP4404" s="1005"/>
    </row>
    <row r="4405">
      <c r="A4405" s="1257"/>
      <c r="B4405" s="1113"/>
      <c r="C4405" s="1107"/>
      <c r="D4405" s="103"/>
      <c r="E4405" s="1137"/>
      <c r="F4405" s="112"/>
      <c r="G4405" s="1110"/>
      <c r="H4405" s="1138"/>
      <c r="I4405" s="1138"/>
      <c r="J4405" s="1139"/>
      <c r="K4405" s="1111"/>
      <c r="L4405" s="1112"/>
      <c r="M4405" s="1113"/>
      <c r="N4405" s="110"/>
      <c r="O4405" s="1140"/>
      <c r="P4405" s="1115"/>
      <c r="Q4405" s="1116"/>
      <c r="R4405" s="1141"/>
      <c r="S4405" s="1113"/>
      <c r="T4405" s="1143"/>
      <c r="U4405" s="1108"/>
      <c r="V4405" s="1108"/>
      <c r="W4405" s="1108"/>
      <c r="X4405" s="1108"/>
      <c r="Y4405" s="1108"/>
      <c r="Z4405" s="1114"/>
      <c r="AA4405" s="1114"/>
      <c r="AB4405" s="1114"/>
      <c r="AC4405" s="1117"/>
      <c r="AD4405" s="1115"/>
      <c r="AE4405" s="1115"/>
      <c r="AF4405" s="1115"/>
      <c r="AG4405" s="1115"/>
      <c r="AH4405" s="1115"/>
      <c r="AI4405" s="1115"/>
      <c r="AJ4405" s="1117"/>
      <c r="AK4405" s="1118"/>
      <c r="AL4405" s="1115"/>
      <c r="AM4405" s="1115"/>
      <c r="AN4405" s="1115"/>
      <c r="AO4405" s="1115"/>
      <c r="AP4405" s="1115"/>
      <c r="AQ4405" s="1115"/>
      <c r="AR4405" s="1115"/>
      <c r="AS4405" s="1117"/>
      <c r="AT4405" s="1075"/>
      <c r="AU4405" s="1193"/>
      <c r="AV4405" s="330"/>
      <c r="AW4405" s="331"/>
      <c r="AX4405" s="331"/>
      <c r="AY4405" s="331"/>
      <c r="AZ4405" s="331"/>
      <c r="BA4405" s="331"/>
      <c r="BB4405" s="331"/>
      <c r="BC4405" s="331"/>
      <c r="BD4405" s="331"/>
      <c r="BE4405" s="333"/>
      <c r="BF4405" s="330"/>
      <c r="BG4405" s="333"/>
      <c r="BH4405" s="1119"/>
      <c r="BI4405" s="319"/>
      <c r="BJ4405" s="319"/>
      <c r="BK4405" s="319"/>
      <c r="BL4405" s="319"/>
      <c r="BM4405" s="319"/>
      <c r="BN4405" s="319"/>
      <c r="BO4405" s="319"/>
      <c r="BP4405" s="953"/>
      <c r="BQ4405" s="319"/>
      <c r="BR4405" s="319"/>
      <c r="BS4405" s="330"/>
      <c r="BT4405" s="331"/>
      <c r="BU4405" s="920"/>
      <c r="BV4405" s="903"/>
      <c r="BW4405" s="908"/>
      <c r="BX4405" s="908"/>
      <c r="BY4405" s="331"/>
      <c r="BZ4405" s="331"/>
      <c r="CA4405" s="462"/>
      <c r="CB4405" s="319"/>
      <c r="CC4405" s="319"/>
      <c r="CD4405" s="319"/>
      <c r="CE4405" s="319"/>
      <c r="CF4405" s="319"/>
      <c r="CG4405" s="319"/>
      <c r="CH4405" s="318"/>
      <c r="CI4405" s="319"/>
      <c r="CJ4405" s="319"/>
      <c r="CK4405" s="342"/>
      <c r="CL4405" s="333"/>
      <c r="CM4405" s="1079"/>
      <c r="CN4405" s="1005"/>
      <c r="CO4405" s="1005"/>
      <c r="CP4405" s="1005"/>
    </row>
    <row r="4406">
      <c r="A4406" s="1257"/>
      <c r="B4406" s="1113"/>
      <c r="C4406" s="1107"/>
      <c r="D4406" s="103"/>
      <c r="E4406" s="1137"/>
      <c r="F4406" s="112"/>
      <c r="G4406" s="1110"/>
      <c r="H4406" s="1138"/>
      <c r="I4406" s="1138"/>
      <c r="J4406" s="1139"/>
      <c r="K4406" s="1111"/>
      <c r="L4406" s="1112"/>
      <c r="M4406" s="1113"/>
      <c r="N4406" s="110"/>
      <c r="O4406" s="1140"/>
      <c r="P4406" s="1115"/>
      <c r="Q4406" s="1116"/>
      <c r="R4406" s="1141"/>
      <c r="S4406" s="1113"/>
      <c r="T4406" s="1143"/>
      <c r="U4406" s="1108"/>
      <c r="V4406" s="1108"/>
      <c r="W4406" s="1108"/>
      <c r="X4406" s="1108"/>
      <c r="Y4406" s="1108"/>
      <c r="Z4406" s="1114"/>
      <c r="AA4406" s="1114"/>
      <c r="AB4406" s="1114"/>
      <c r="AC4406" s="1117"/>
      <c r="AD4406" s="1115"/>
      <c r="AE4406" s="1115"/>
      <c r="AF4406" s="1115"/>
      <c r="AG4406" s="1115"/>
      <c r="AH4406" s="1115"/>
      <c r="AI4406" s="1115"/>
      <c r="AJ4406" s="1117"/>
      <c r="AK4406" s="1118"/>
      <c r="AL4406" s="1115"/>
      <c r="AM4406" s="1115"/>
      <c r="AN4406" s="1115"/>
      <c r="AO4406" s="1115"/>
      <c r="AP4406" s="1115"/>
      <c r="AQ4406" s="1115"/>
      <c r="AR4406" s="1115"/>
      <c r="AS4406" s="1117"/>
      <c r="AT4406" s="1075"/>
      <c r="AU4406" s="1193"/>
      <c r="AV4406" s="330"/>
      <c r="AW4406" s="331"/>
      <c r="AX4406" s="331"/>
      <c r="AY4406" s="331"/>
      <c r="AZ4406" s="331"/>
      <c r="BA4406" s="331"/>
      <c r="BB4406" s="331"/>
      <c r="BC4406" s="331"/>
      <c r="BD4406" s="331"/>
      <c r="BE4406" s="333"/>
      <c r="BF4406" s="330"/>
      <c r="BG4406" s="333"/>
      <c r="BH4406" s="1119"/>
      <c r="BI4406" s="319"/>
      <c r="BJ4406" s="319"/>
      <c r="BK4406" s="319"/>
      <c r="BL4406" s="319"/>
      <c r="BM4406" s="319"/>
      <c r="BN4406" s="319"/>
      <c r="BO4406" s="319"/>
      <c r="BP4406" s="953"/>
      <c r="BQ4406" s="319"/>
      <c r="BR4406" s="319"/>
      <c r="BS4406" s="330"/>
      <c r="BT4406" s="331"/>
      <c r="BU4406" s="920"/>
      <c r="BV4406" s="903"/>
      <c r="BW4406" s="908"/>
      <c r="BX4406" s="908"/>
      <c r="BY4406" s="331"/>
      <c r="BZ4406" s="331"/>
      <c r="CA4406" s="462"/>
      <c r="CB4406" s="319"/>
      <c r="CC4406" s="319"/>
      <c r="CD4406" s="319"/>
      <c r="CE4406" s="319"/>
      <c r="CF4406" s="319"/>
      <c r="CG4406" s="319"/>
      <c r="CH4406" s="318"/>
      <c r="CI4406" s="319"/>
      <c r="CJ4406" s="319"/>
      <c r="CK4406" s="342"/>
      <c r="CL4406" s="333"/>
      <c r="CM4406" s="1079"/>
      <c r="CN4406" s="1005"/>
      <c r="CO4406" s="1005"/>
      <c r="CP4406" s="1005"/>
    </row>
    <row r="4407">
      <c r="A4407" s="1257"/>
      <c r="B4407" s="1113"/>
      <c r="C4407" s="1107"/>
      <c r="D4407" s="103"/>
      <c r="E4407" s="1137"/>
      <c r="F4407" s="112"/>
      <c r="G4407" s="1110"/>
      <c r="H4407" s="1138"/>
      <c r="I4407" s="1138"/>
      <c r="J4407" s="1139"/>
      <c r="K4407" s="1111"/>
      <c r="L4407" s="1112"/>
      <c r="M4407" s="1113"/>
      <c r="N4407" s="110"/>
      <c r="O4407" s="1140"/>
      <c r="P4407" s="1115"/>
      <c r="Q4407" s="1116"/>
      <c r="R4407" s="1141"/>
      <c r="S4407" s="1113"/>
      <c r="T4407" s="1143"/>
      <c r="U4407" s="1108"/>
      <c r="V4407" s="1108"/>
      <c r="W4407" s="1108"/>
      <c r="X4407" s="1108"/>
      <c r="Y4407" s="1108"/>
      <c r="Z4407" s="1114"/>
      <c r="AA4407" s="1114"/>
      <c r="AB4407" s="1114"/>
      <c r="AC4407" s="1117"/>
      <c r="AD4407" s="1115"/>
      <c r="AE4407" s="1115"/>
      <c r="AF4407" s="1115"/>
      <c r="AG4407" s="1115"/>
      <c r="AH4407" s="1115"/>
      <c r="AI4407" s="1115"/>
      <c r="AJ4407" s="1117"/>
      <c r="AK4407" s="1118"/>
      <c r="AL4407" s="1115"/>
      <c r="AM4407" s="1115"/>
      <c r="AN4407" s="1115"/>
      <c r="AO4407" s="1115"/>
      <c r="AP4407" s="1115"/>
      <c r="AQ4407" s="1115"/>
      <c r="AR4407" s="1115"/>
      <c r="AS4407" s="1117"/>
      <c r="AT4407" s="1075"/>
      <c r="AU4407" s="1193"/>
      <c r="AV4407" s="330"/>
      <c r="AW4407" s="331"/>
      <c r="AX4407" s="331"/>
      <c r="AY4407" s="331"/>
      <c r="AZ4407" s="331"/>
      <c r="BA4407" s="331"/>
      <c r="BB4407" s="331"/>
      <c r="BC4407" s="331"/>
      <c r="BD4407" s="331"/>
      <c r="BE4407" s="333"/>
      <c r="BF4407" s="330"/>
      <c r="BG4407" s="333"/>
      <c r="BH4407" s="1119"/>
      <c r="BI4407" s="319"/>
      <c r="BJ4407" s="319"/>
      <c r="BK4407" s="319"/>
      <c r="BL4407" s="319"/>
      <c r="BM4407" s="319"/>
      <c r="BN4407" s="319"/>
      <c r="BO4407" s="319"/>
      <c r="BP4407" s="953"/>
      <c r="BQ4407" s="319"/>
      <c r="BR4407" s="319"/>
      <c r="BS4407" s="330"/>
      <c r="BT4407" s="331"/>
      <c r="BU4407" s="920"/>
      <c r="BV4407" s="903"/>
      <c r="BW4407" s="908"/>
      <c r="BX4407" s="908"/>
      <c r="BY4407" s="331"/>
      <c r="BZ4407" s="331"/>
      <c r="CA4407" s="462"/>
      <c r="CB4407" s="319"/>
      <c r="CC4407" s="319"/>
      <c r="CD4407" s="319"/>
      <c r="CE4407" s="319"/>
      <c r="CF4407" s="319"/>
      <c r="CG4407" s="319"/>
      <c r="CH4407" s="318"/>
      <c r="CI4407" s="319"/>
      <c r="CJ4407" s="319"/>
      <c r="CK4407" s="342"/>
      <c r="CL4407" s="333"/>
      <c r="CM4407" s="1079"/>
      <c r="CN4407" s="1005"/>
      <c r="CO4407" s="1005"/>
      <c r="CP4407" s="1005"/>
    </row>
    <row r="4408">
      <c r="A4408" s="1257"/>
      <c r="B4408" s="1113"/>
      <c r="C4408" s="1107"/>
      <c r="D4408" s="103"/>
      <c r="E4408" s="1137"/>
      <c r="F4408" s="112"/>
      <c r="G4408" s="1110"/>
      <c r="H4408" s="1138"/>
      <c r="I4408" s="1138"/>
      <c r="J4408" s="1139"/>
      <c r="K4408" s="1111"/>
      <c r="L4408" s="1112"/>
      <c r="M4408" s="1113"/>
      <c r="N4408" s="110"/>
      <c r="O4408" s="1140"/>
      <c r="P4408" s="1115"/>
      <c r="Q4408" s="1116"/>
      <c r="R4408" s="1141"/>
      <c r="S4408" s="1113"/>
      <c r="T4408" s="1143"/>
      <c r="U4408" s="1108"/>
      <c r="V4408" s="1108"/>
      <c r="W4408" s="1108"/>
      <c r="X4408" s="1108"/>
      <c r="Y4408" s="1108"/>
      <c r="Z4408" s="1114"/>
      <c r="AA4408" s="1114"/>
      <c r="AB4408" s="1114"/>
      <c r="AC4408" s="1117"/>
      <c r="AD4408" s="1115"/>
      <c r="AE4408" s="1115"/>
      <c r="AF4408" s="1115"/>
      <c r="AG4408" s="1115"/>
      <c r="AH4408" s="1115"/>
      <c r="AI4408" s="1115"/>
      <c r="AJ4408" s="1117"/>
      <c r="AK4408" s="1118"/>
      <c r="AL4408" s="1115"/>
      <c r="AM4408" s="1115"/>
      <c r="AN4408" s="1115"/>
      <c r="AO4408" s="1115"/>
      <c r="AP4408" s="1115"/>
      <c r="AQ4408" s="1115"/>
      <c r="AR4408" s="1115"/>
      <c r="AS4408" s="1117"/>
      <c r="AT4408" s="1075"/>
      <c r="AU4408" s="1193"/>
      <c r="AV4408" s="330"/>
      <c r="AW4408" s="331"/>
      <c r="AX4408" s="331"/>
      <c r="AY4408" s="331"/>
      <c r="AZ4408" s="331"/>
      <c r="BA4408" s="331"/>
      <c r="BB4408" s="331"/>
      <c r="BC4408" s="331"/>
      <c r="BD4408" s="331"/>
      <c r="BE4408" s="333"/>
      <c r="BF4408" s="330"/>
      <c r="BG4408" s="333"/>
      <c r="BH4408" s="1119"/>
      <c r="BI4408" s="319"/>
      <c r="BJ4408" s="319"/>
      <c r="BK4408" s="319"/>
      <c r="BL4408" s="319"/>
      <c r="BM4408" s="319"/>
      <c r="BN4408" s="319"/>
      <c r="BO4408" s="319"/>
      <c r="BP4408" s="953"/>
      <c r="BQ4408" s="319"/>
      <c r="BR4408" s="319"/>
      <c r="BS4408" s="330"/>
      <c r="BT4408" s="331"/>
      <c r="BU4408" s="920"/>
      <c r="BV4408" s="903"/>
      <c r="BW4408" s="908"/>
      <c r="BX4408" s="908"/>
      <c r="BY4408" s="331"/>
      <c r="BZ4408" s="331"/>
      <c r="CA4408" s="462"/>
      <c r="CB4408" s="319"/>
      <c r="CC4408" s="319"/>
      <c r="CD4408" s="319"/>
      <c r="CE4408" s="319"/>
      <c r="CF4408" s="319"/>
      <c r="CG4408" s="319"/>
      <c r="CH4408" s="318"/>
      <c r="CI4408" s="319"/>
      <c r="CJ4408" s="319"/>
      <c r="CK4408" s="342"/>
      <c r="CL4408" s="333"/>
      <c r="CM4408" s="1079"/>
      <c r="CN4408" s="1005"/>
      <c r="CO4408" s="1005"/>
      <c r="CP4408" s="1005"/>
    </row>
    <row r="4409">
      <c r="A4409" s="1257"/>
      <c r="B4409" s="1113"/>
      <c r="C4409" s="1107"/>
      <c r="D4409" s="103"/>
      <c r="E4409" s="1137"/>
      <c r="F4409" s="112"/>
      <c r="G4409" s="1110"/>
      <c r="H4409" s="1138"/>
      <c r="I4409" s="1138"/>
      <c r="J4409" s="1139"/>
      <c r="K4409" s="1111"/>
      <c r="L4409" s="1112"/>
      <c r="M4409" s="1113"/>
      <c r="N4409" s="110"/>
      <c r="O4409" s="1140"/>
      <c r="P4409" s="1115"/>
      <c r="Q4409" s="1116"/>
      <c r="R4409" s="1141"/>
      <c r="S4409" s="1113"/>
      <c r="T4409" s="1143"/>
      <c r="U4409" s="1108"/>
      <c r="V4409" s="1108"/>
      <c r="W4409" s="1108"/>
      <c r="X4409" s="1108"/>
      <c r="Y4409" s="1108"/>
      <c r="Z4409" s="1114"/>
      <c r="AA4409" s="1114"/>
      <c r="AB4409" s="1114"/>
      <c r="AC4409" s="1117"/>
      <c r="AD4409" s="1115"/>
      <c r="AE4409" s="1115"/>
      <c r="AF4409" s="1115"/>
      <c r="AG4409" s="1115"/>
      <c r="AH4409" s="1115"/>
      <c r="AI4409" s="1115"/>
      <c r="AJ4409" s="1117"/>
      <c r="AK4409" s="1118"/>
      <c r="AL4409" s="1115"/>
      <c r="AM4409" s="1115"/>
      <c r="AN4409" s="1115"/>
      <c r="AO4409" s="1115"/>
      <c r="AP4409" s="1115"/>
      <c r="AQ4409" s="1115"/>
      <c r="AR4409" s="1115"/>
      <c r="AS4409" s="1117"/>
      <c r="AT4409" s="1075"/>
      <c r="AU4409" s="1193"/>
      <c r="AV4409" s="330"/>
      <c r="AW4409" s="331"/>
      <c r="AX4409" s="331"/>
      <c r="AY4409" s="331"/>
      <c r="AZ4409" s="331"/>
      <c r="BA4409" s="331"/>
      <c r="BB4409" s="331"/>
      <c r="BC4409" s="331"/>
      <c r="BD4409" s="331"/>
      <c r="BE4409" s="333"/>
      <c r="BF4409" s="330"/>
      <c r="BG4409" s="333"/>
      <c r="BH4409" s="1119"/>
      <c r="BI4409" s="319"/>
      <c r="BJ4409" s="319"/>
      <c r="BK4409" s="319"/>
      <c r="BL4409" s="319"/>
      <c r="BM4409" s="319"/>
      <c r="BN4409" s="319"/>
      <c r="BO4409" s="319"/>
      <c r="BP4409" s="953"/>
      <c r="BQ4409" s="319"/>
      <c r="BR4409" s="319"/>
      <c r="BS4409" s="330"/>
      <c r="BT4409" s="331"/>
      <c r="BU4409" s="920"/>
      <c r="BV4409" s="903"/>
      <c r="BW4409" s="908"/>
      <c r="BX4409" s="908"/>
      <c r="BY4409" s="331"/>
      <c r="BZ4409" s="331"/>
      <c r="CA4409" s="462"/>
      <c r="CB4409" s="319"/>
      <c r="CC4409" s="319"/>
      <c r="CD4409" s="319"/>
      <c r="CE4409" s="319"/>
      <c r="CF4409" s="319"/>
      <c r="CG4409" s="319"/>
      <c r="CH4409" s="318"/>
      <c r="CI4409" s="319"/>
      <c r="CJ4409" s="319"/>
      <c r="CK4409" s="342"/>
      <c r="CL4409" s="333"/>
      <c r="CM4409" s="1079"/>
      <c r="CN4409" s="1005"/>
      <c r="CO4409" s="1005"/>
      <c r="CP4409" s="1005"/>
    </row>
    <row r="4410">
      <c r="A4410" s="1257"/>
      <c r="B4410" s="1113"/>
      <c r="C4410" s="1107"/>
      <c r="D4410" s="103"/>
      <c r="E4410" s="1137"/>
      <c r="F4410" s="112"/>
      <c r="G4410" s="1110"/>
      <c r="H4410" s="1138"/>
      <c r="I4410" s="1138"/>
      <c r="J4410" s="1139"/>
      <c r="K4410" s="1111"/>
      <c r="L4410" s="1112"/>
      <c r="M4410" s="1113"/>
      <c r="N4410" s="110"/>
      <c r="O4410" s="1140"/>
      <c r="P4410" s="1115"/>
      <c r="Q4410" s="1116"/>
      <c r="R4410" s="1141"/>
      <c r="S4410" s="1113"/>
      <c r="T4410" s="1143"/>
      <c r="U4410" s="1108"/>
      <c r="V4410" s="1108"/>
      <c r="W4410" s="1108"/>
      <c r="X4410" s="1108"/>
      <c r="Y4410" s="1108"/>
      <c r="Z4410" s="1114"/>
      <c r="AA4410" s="1114"/>
      <c r="AB4410" s="1114"/>
      <c r="AC4410" s="1117"/>
      <c r="AD4410" s="1115"/>
      <c r="AE4410" s="1115"/>
      <c r="AF4410" s="1115"/>
      <c r="AG4410" s="1115"/>
      <c r="AH4410" s="1115"/>
      <c r="AI4410" s="1115"/>
      <c r="AJ4410" s="1117"/>
      <c r="AK4410" s="1118"/>
      <c r="AL4410" s="1115"/>
      <c r="AM4410" s="1115"/>
      <c r="AN4410" s="1115"/>
      <c r="AO4410" s="1115"/>
      <c r="AP4410" s="1115"/>
      <c r="AQ4410" s="1115"/>
      <c r="AR4410" s="1115"/>
      <c r="AS4410" s="1117"/>
      <c r="AT4410" s="1075"/>
      <c r="AU4410" s="1193"/>
      <c r="AV4410" s="330"/>
      <c r="AW4410" s="331"/>
      <c r="AX4410" s="331"/>
      <c r="AY4410" s="331"/>
      <c r="AZ4410" s="331"/>
      <c r="BA4410" s="331"/>
      <c r="BB4410" s="331"/>
      <c r="BC4410" s="331"/>
      <c r="BD4410" s="331"/>
      <c r="BE4410" s="333"/>
      <c r="BF4410" s="330"/>
      <c r="BG4410" s="333"/>
      <c r="BH4410" s="1119"/>
      <c r="BI4410" s="319"/>
      <c r="BJ4410" s="319"/>
      <c r="BK4410" s="319"/>
      <c r="BL4410" s="319"/>
      <c r="BM4410" s="319"/>
      <c r="BN4410" s="319"/>
      <c r="BO4410" s="319"/>
      <c r="BP4410" s="953"/>
      <c r="BQ4410" s="319"/>
      <c r="BR4410" s="319"/>
      <c r="BS4410" s="330"/>
      <c r="BT4410" s="331"/>
      <c r="BU4410" s="920"/>
      <c r="BV4410" s="903"/>
      <c r="BW4410" s="908"/>
      <c r="BX4410" s="908"/>
      <c r="BY4410" s="331"/>
      <c r="BZ4410" s="331"/>
      <c r="CA4410" s="462"/>
      <c r="CB4410" s="319"/>
      <c r="CC4410" s="319"/>
      <c r="CD4410" s="319"/>
      <c r="CE4410" s="319"/>
      <c r="CF4410" s="319"/>
      <c r="CG4410" s="319"/>
      <c r="CH4410" s="318"/>
      <c r="CI4410" s="319"/>
      <c r="CJ4410" s="319"/>
      <c r="CK4410" s="342"/>
      <c r="CL4410" s="333"/>
      <c r="CM4410" s="1079"/>
      <c r="CN4410" s="1005"/>
      <c r="CO4410" s="1005"/>
      <c r="CP4410" s="1005"/>
    </row>
    <row r="4411">
      <c r="A4411" s="1257"/>
      <c r="B4411" s="1113"/>
      <c r="C4411" s="1107"/>
      <c r="D4411" s="103"/>
      <c r="E4411" s="1137"/>
      <c r="F4411" s="112"/>
      <c r="G4411" s="1110"/>
      <c r="H4411" s="1138"/>
      <c r="I4411" s="1138"/>
      <c r="J4411" s="1139"/>
      <c r="K4411" s="1111"/>
      <c r="L4411" s="1112"/>
      <c r="M4411" s="1113"/>
      <c r="N4411" s="110"/>
      <c r="O4411" s="1140"/>
      <c r="P4411" s="1115"/>
      <c r="Q4411" s="1116"/>
      <c r="R4411" s="1141"/>
      <c r="S4411" s="1113"/>
      <c r="T4411" s="1143"/>
      <c r="U4411" s="1108"/>
      <c r="V4411" s="1108"/>
      <c r="W4411" s="1108"/>
      <c r="X4411" s="1108"/>
      <c r="Y4411" s="1108"/>
      <c r="Z4411" s="1114"/>
      <c r="AA4411" s="1114"/>
      <c r="AB4411" s="1114"/>
      <c r="AC4411" s="1117"/>
      <c r="AD4411" s="1115"/>
      <c r="AE4411" s="1115"/>
      <c r="AF4411" s="1115"/>
      <c r="AG4411" s="1115"/>
      <c r="AH4411" s="1115"/>
      <c r="AI4411" s="1115"/>
      <c r="AJ4411" s="1117"/>
      <c r="AK4411" s="1118"/>
      <c r="AL4411" s="1115"/>
      <c r="AM4411" s="1115"/>
      <c r="AN4411" s="1115"/>
      <c r="AO4411" s="1115"/>
      <c r="AP4411" s="1115"/>
      <c r="AQ4411" s="1115"/>
      <c r="AR4411" s="1115"/>
      <c r="AS4411" s="1117"/>
      <c r="AT4411" s="1075"/>
      <c r="AU4411" s="1193"/>
      <c r="AV4411" s="330"/>
      <c r="AW4411" s="331"/>
      <c r="AX4411" s="331"/>
      <c r="AY4411" s="331"/>
      <c r="AZ4411" s="331"/>
      <c r="BA4411" s="331"/>
      <c r="BB4411" s="331"/>
      <c r="BC4411" s="331"/>
      <c r="BD4411" s="331"/>
      <c r="BE4411" s="333"/>
      <c r="BF4411" s="330"/>
      <c r="BG4411" s="333"/>
      <c r="BH4411" s="1119"/>
      <c r="BI4411" s="319"/>
      <c r="BJ4411" s="319"/>
      <c r="BK4411" s="319"/>
      <c r="BL4411" s="319"/>
      <c r="BM4411" s="319"/>
      <c r="BN4411" s="319"/>
      <c r="BO4411" s="319"/>
      <c r="BP4411" s="953"/>
      <c r="BQ4411" s="319"/>
      <c r="BR4411" s="319"/>
      <c r="BS4411" s="330"/>
      <c r="BT4411" s="331"/>
      <c r="BU4411" s="920"/>
      <c r="BV4411" s="903"/>
      <c r="BW4411" s="908"/>
      <c r="BX4411" s="908"/>
      <c r="BY4411" s="331"/>
      <c r="BZ4411" s="331"/>
      <c r="CA4411" s="462"/>
      <c r="CB4411" s="319"/>
      <c r="CC4411" s="319"/>
      <c r="CD4411" s="319"/>
      <c r="CE4411" s="319"/>
      <c r="CF4411" s="319"/>
      <c r="CG4411" s="319"/>
      <c r="CH4411" s="318"/>
      <c r="CI4411" s="319"/>
      <c r="CJ4411" s="319"/>
      <c r="CK4411" s="342"/>
      <c r="CL4411" s="333"/>
      <c r="CM4411" s="1079"/>
      <c r="CN4411" s="1005"/>
      <c r="CO4411" s="1005"/>
      <c r="CP4411" s="1005"/>
    </row>
    <row r="4412">
      <c r="A4412" s="1257"/>
      <c r="B4412" s="1113"/>
      <c r="C4412" s="1107"/>
      <c r="D4412" s="103"/>
      <c r="E4412" s="1137"/>
      <c r="F4412" s="112"/>
      <c r="G4412" s="1110"/>
      <c r="H4412" s="1138"/>
      <c r="I4412" s="1138"/>
      <c r="J4412" s="1139"/>
      <c r="K4412" s="1111"/>
      <c r="L4412" s="1112"/>
      <c r="M4412" s="1113"/>
      <c r="N4412" s="110"/>
      <c r="O4412" s="1140"/>
      <c r="P4412" s="1115"/>
      <c r="Q4412" s="1116"/>
      <c r="R4412" s="1141"/>
      <c r="S4412" s="1113"/>
      <c r="T4412" s="1143"/>
      <c r="U4412" s="1108"/>
      <c r="V4412" s="1108"/>
      <c r="W4412" s="1108"/>
      <c r="X4412" s="1108"/>
      <c r="Y4412" s="1108"/>
      <c r="Z4412" s="1114"/>
      <c r="AA4412" s="1114"/>
      <c r="AB4412" s="1114"/>
      <c r="AC4412" s="1117"/>
      <c r="AD4412" s="1115"/>
      <c r="AE4412" s="1115"/>
      <c r="AF4412" s="1115"/>
      <c r="AG4412" s="1115"/>
      <c r="AH4412" s="1115"/>
      <c r="AI4412" s="1115"/>
      <c r="AJ4412" s="1117"/>
      <c r="AK4412" s="1118"/>
      <c r="AL4412" s="1115"/>
      <c r="AM4412" s="1115"/>
      <c r="AN4412" s="1115"/>
      <c r="AO4412" s="1115"/>
      <c r="AP4412" s="1115"/>
      <c r="AQ4412" s="1115"/>
      <c r="AR4412" s="1115"/>
      <c r="AS4412" s="1117"/>
      <c r="AT4412" s="1075"/>
      <c r="AU4412" s="1193"/>
      <c r="AV4412" s="330"/>
      <c r="AW4412" s="331"/>
      <c r="AX4412" s="331"/>
      <c r="AY4412" s="331"/>
      <c r="AZ4412" s="331"/>
      <c r="BA4412" s="331"/>
      <c r="BB4412" s="331"/>
      <c r="BC4412" s="331"/>
      <c r="BD4412" s="331"/>
      <c r="BE4412" s="333"/>
      <c r="BF4412" s="330"/>
      <c r="BG4412" s="333"/>
      <c r="BH4412" s="1119"/>
      <c r="BI4412" s="319"/>
      <c r="BJ4412" s="319"/>
      <c r="BK4412" s="319"/>
      <c r="BL4412" s="319"/>
      <c r="BM4412" s="319"/>
      <c r="BN4412" s="319"/>
      <c r="BO4412" s="319"/>
      <c r="BP4412" s="953"/>
      <c r="BQ4412" s="319"/>
      <c r="BR4412" s="319"/>
      <c r="BS4412" s="330"/>
      <c r="BT4412" s="331"/>
      <c r="BU4412" s="920"/>
      <c r="BV4412" s="903"/>
      <c r="BW4412" s="908"/>
      <c r="BX4412" s="908"/>
      <c r="BY4412" s="331"/>
      <c r="BZ4412" s="331"/>
      <c r="CA4412" s="462"/>
      <c r="CB4412" s="319"/>
      <c r="CC4412" s="319"/>
      <c r="CD4412" s="319"/>
      <c r="CE4412" s="319"/>
      <c r="CF4412" s="319"/>
      <c r="CG4412" s="319"/>
      <c r="CH4412" s="318"/>
      <c r="CI4412" s="319"/>
      <c r="CJ4412" s="319"/>
      <c r="CK4412" s="342"/>
      <c r="CL4412" s="333"/>
      <c r="CM4412" s="1079"/>
      <c r="CN4412" s="1005"/>
      <c r="CO4412" s="1005"/>
      <c r="CP4412" s="1005"/>
    </row>
    <row r="4413">
      <c r="A4413" s="1257"/>
      <c r="B4413" s="1113"/>
      <c r="C4413" s="1107"/>
      <c r="D4413" s="103"/>
      <c r="E4413" s="1137"/>
      <c r="F4413" s="112"/>
      <c r="G4413" s="1110"/>
      <c r="H4413" s="1138"/>
      <c r="I4413" s="1138"/>
      <c r="J4413" s="1139"/>
      <c r="K4413" s="1111"/>
      <c r="L4413" s="1112"/>
      <c r="M4413" s="1113"/>
      <c r="N4413" s="110"/>
      <c r="O4413" s="1140"/>
      <c r="P4413" s="1115"/>
      <c r="Q4413" s="1116"/>
      <c r="R4413" s="1141"/>
      <c r="S4413" s="1113"/>
      <c r="T4413" s="1143"/>
      <c r="U4413" s="1108"/>
      <c r="V4413" s="1108"/>
      <c r="W4413" s="1108"/>
      <c r="X4413" s="1108"/>
      <c r="Y4413" s="1108"/>
      <c r="Z4413" s="1114"/>
      <c r="AA4413" s="1114"/>
      <c r="AB4413" s="1114"/>
      <c r="AC4413" s="1117"/>
      <c r="AD4413" s="1115"/>
      <c r="AE4413" s="1115"/>
      <c r="AF4413" s="1115"/>
      <c r="AG4413" s="1115"/>
      <c r="AH4413" s="1115"/>
      <c r="AI4413" s="1115"/>
      <c r="AJ4413" s="1117"/>
      <c r="AK4413" s="1118"/>
      <c r="AL4413" s="1115"/>
      <c r="AM4413" s="1115"/>
      <c r="AN4413" s="1115"/>
      <c r="AO4413" s="1115"/>
      <c r="AP4413" s="1115"/>
      <c r="AQ4413" s="1115"/>
      <c r="AR4413" s="1115"/>
      <c r="AS4413" s="1117"/>
      <c r="AT4413" s="1075"/>
      <c r="AU4413" s="1193"/>
      <c r="AV4413" s="330"/>
      <c r="AW4413" s="331"/>
      <c r="AX4413" s="331"/>
      <c r="AY4413" s="331"/>
      <c r="AZ4413" s="331"/>
      <c r="BA4413" s="331"/>
      <c r="BB4413" s="331"/>
      <c r="BC4413" s="331"/>
      <c r="BD4413" s="331"/>
      <c r="BE4413" s="333"/>
      <c r="BF4413" s="330"/>
      <c r="BG4413" s="333"/>
      <c r="BH4413" s="1119"/>
      <c r="BI4413" s="319"/>
      <c r="BJ4413" s="319"/>
      <c r="BK4413" s="319"/>
      <c r="BL4413" s="319"/>
      <c r="BM4413" s="319"/>
      <c r="BN4413" s="319"/>
      <c r="BO4413" s="319"/>
      <c r="BP4413" s="953"/>
      <c r="BQ4413" s="319"/>
      <c r="BR4413" s="319"/>
      <c r="BS4413" s="330"/>
      <c r="BT4413" s="331"/>
      <c r="BU4413" s="920"/>
      <c r="BV4413" s="903"/>
      <c r="BW4413" s="908"/>
      <c r="BX4413" s="908"/>
      <c r="BY4413" s="331"/>
      <c r="BZ4413" s="331"/>
      <c r="CA4413" s="462"/>
      <c r="CB4413" s="319"/>
      <c r="CC4413" s="319"/>
      <c r="CD4413" s="319"/>
      <c r="CE4413" s="319"/>
      <c r="CF4413" s="319"/>
      <c r="CG4413" s="319"/>
      <c r="CH4413" s="318"/>
      <c r="CI4413" s="319"/>
      <c r="CJ4413" s="319"/>
      <c r="CK4413" s="342"/>
      <c r="CL4413" s="333"/>
      <c r="CM4413" s="1079"/>
      <c r="CN4413" s="1005"/>
      <c r="CO4413" s="1005"/>
      <c r="CP4413" s="1005"/>
    </row>
    <row r="4414">
      <c r="A4414" s="1257"/>
      <c r="B4414" s="1113"/>
      <c r="C4414" s="1107"/>
      <c r="D4414" s="103"/>
      <c r="E4414" s="1137"/>
      <c r="F4414" s="112"/>
      <c r="G4414" s="1110"/>
      <c r="H4414" s="1138"/>
      <c r="I4414" s="1138"/>
      <c r="J4414" s="1139"/>
      <c r="K4414" s="1111"/>
      <c r="L4414" s="1112"/>
      <c r="M4414" s="1113"/>
      <c r="N4414" s="110"/>
      <c r="O4414" s="1140"/>
      <c r="P4414" s="1115"/>
      <c r="Q4414" s="1116"/>
      <c r="R4414" s="1141"/>
      <c r="S4414" s="1113"/>
      <c r="T4414" s="1143"/>
      <c r="U4414" s="1108"/>
      <c r="V4414" s="1108"/>
      <c r="W4414" s="1108"/>
      <c r="X4414" s="1108"/>
      <c r="Y4414" s="1108"/>
      <c r="Z4414" s="1114"/>
      <c r="AA4414" s="1114"/>
      <c r="AB4414" s="1114"/>
      <c r="AC4414" s="1117"/>
      <c r="AD4414" s="1115"/>
      <c r="AE4414" s="1115"/>
      <c r="AF4414" s="1115"/>
      <c r="AG4414" s="1115"/>
      <c r="AH4414" s="1115"/>
      <c r="AI4414" s="1115"/>
      <c r="AJ4414" s="1117"/>
      <c r="AK4414" s="1118"/>
      <c r="AL4414" s="1115"/>
      <c r="AM4414" s="1115"/>
      <c r="AN4414" s="1115"/>
      <c r="AO4414" s="1115"/>
      <c r="AP4414" s="1115"/>
      <c r="AQ4414" s="1115"/>
      <c r="AR4414" s="1115"/>
      <c r="AS4414" s="1117"/>
      <c r="AT4414" s="1075"/>
      <c r="AU4414" s="1193"/>
      <c r="AV4414" s="330"/>
      <c r="AW4414" s="331"/>
      <c r="AX4414" s="331"/>
      <c r="AY4414" s="331"/>
      <c r="AZ4414" s="331"/>
      <c r="BA4414" s="331"/>
      <c r="BB4414" s="331"/>
      <c r="BC4414" s="331"/>
      <c r="BD4414" s="331"/>
      <c r="BE4414" s="333"/>
      <c r="BF4414" s="330"/>
      <c r="BG4414" s="333"/>
      <c r="BH4414" s="1119"/>
      <c r="BI4414" s="319"/>
      <c r="BJ4414" s="319"/>
      <c r="BK4414" s="319"/>
      <c r="BL4414" s="319"/>
      <c r="BM4414" s="319"/>
      <c r="BN4414" s="319"/>
      <c r="BO4414" s="319"/>
      <c r="BP4414" s="953"/>
      <c r="BQ4414" s="319"/>
      <c r="BR4414" s="319"/>
      <c r="BS4414" s="330"/>
      <c r="BT4414" s="331"/>
      <c r="BU4414" s="920"/>
      <c r="BV4414" s="903"/>
      <c r="BW4414" s="908"/>
      <c r="BX4414" s="908"/>
      <c r="BY4414" s="331"/>
      <c r="BZ4414" s="331"/>
      <c r="CA4414" s="462"/>
      <c r="CB4414" s="319"/>
      <c r="CC4414" s="319"/>
      <c r="CD4414" s="319"/>
      <c r="CE4414" s="319"/>
      <c r="CF4414" s="319"/>
      <c r="CG4414" s="319"/>
      <c r="CH4414" s="318"/>
      <c r="CI4414" s="319"/>
      <c r="CJ4414" s="319"/>
      <c r="CK4414" s="342"/>
      <c r="CL4414" s="333"/>
      <c r="CM4414" s="1079"/>
      <c r="CN4414" s="1005"/>
      <c r="CO4414" s="1005"/>
      <c r="CP4414" s="1005"/>
    </row>
    <row r="4415">
      <c r="A4415" s="1257"/>
      <c r="B4415" s="1113"/>
      <c r="C4415" s="1107"/>
      <c r="D4415" s="103"/>
      <c r="E4415" s="1137"/>
      <c r="F4415" s="112"/>
      <c r="G4415" s="1110"/>
      <c r="H4415" s="1138"/>
      <c r="I4415" s="1138"/>
      <c r="J4415" s="1139"/>
      <c r="K4415" s="1111"/>
      <c r="L4415" s="1112"/>
      <c r="M4415" s="1113"/>
      <c r="N4415" s="110"/>
      <c r="O4415" s="1140"/>
      <c r="P4415" s="1115"/>
      <c r="Q4415" s="1116"/>
      <c r="R4415" s="1141"/>
      <c r="S4415" s="1113"/>
      <c r="T4415" s="1143"/>
      <c r="U4415" s="1108"/>
      <c r="V4415" s="1108"/>
      <c r="W4415" s="1108"/>
      <c r="X4415" s="1108"/>
      <c r="Y4415" s="1108"/>
      <c r="Z4415" s="1114"/>
      <c r="AA4415" s="1114"/>
      <c r="AB4415" s="1114"/>
      <c r="AC4415" s="1117"/>
      <c r="AD4415" s="1115"/>
      <c r="AE4415" s="1115"/>
      <c r="AF4415" s="1115"/>
      <c r="AG4415" s="1115"/>
      <c r="AH4415" s="1115"/>
      <c r="AI4415" s="1115"/>
      <c r="AJ4415" s="1117"/>
      <c r="AK4415" s="1118"/>
      <c r="AL4415" s="1115"/>
      <c r="AM4415" s="1115"/>
      <c r="AN4415" s="1115"/>
      <c r="AO4415" s="1115"/>
      <c r="AP4415" s="1115"/>
      <c r="AQ4415" s="1115"/>
      <c r="AR4415" s="1115"/>
      <c r="AS4415" s="1117"/>
      <c r="AT4415" s="1075"/>
      <c r="AU4415" s="1193"/>
      <c r="AV4415" s="330"/>
      <c r="AW4415" s="331"/>
      <c r="AX4415" s="331"/>
      <c r="AY4415" s="331"/>
      <c r="AZ4415" s="331"/>
      <c r="BA4415" s="331"/>
      <c r="BB4415" s="331"/>
      <c r="BC4415" s="331"/>
      <c r="BD4415" s="331"/>
      <c r="BE4415" s="333"/>
      <c r="BF4415" s="330"/>
      <c r="BG4415" s="333"/>
      <c r="BH4415" s="1119"/>
      <c r="BI4415" s="319"/>
      <c r="BJ4415" s="319"/>
      <c r="BK4415" s="319"/>
      <c r="BL4415" s="319"/>
      <c r="BM4415" s="319"/>
      <c r="BN4415" s="319"/>
      <c r="BO4415" s="319"/>
      <c r="BP4415" s="953"/>
      <c r="BQ4415" s="319"/>
      <c r="BR4415" s="319"/>
      <c r="BS4415" s="330"/>
      <c r="BT4415" s="331"/>
      <c r="BU4415" s="920"/>
      <c r="BV4415" s="903"/>
      <c r="BW4415" s="908"/>
      <c r="BX4415" s="908"/>
      <c r="BY4415" s="331"/>
      <c r="BZ4415" s="331"/>
      <c r="CA4415" s="462"/>
      <c r="CB4415" s="319"/>
      <c r="CC4415" s="319"/>
      <c r="CD4415" s="319"/>
      <c r="CE4415" s="319"/>
      <c r="CF4415" s="319"/>
      <c r="CG4415" s="319"/>
      <c r="CH4415" s="318"/>
      <c r="CI4415" s="319"/>
      <c r="CJ4415" s="319"/>
      <c r="CK4415" s="342"/>
      <c r="CL4415" s="333"/>
      <c r="CM4415" s="1079"/>
      <c r="CN4415" s="1005"/>
      <c r="CO4415" s="1005"/>
      <c r="CP4415" s="1005"/>
    </row>
    <row r="4416">
      <c r="A4416" s="1257"/>
      <c r="B4416" s="1113"/>
      <c r="C4416" s="1107"/>
      <c r="D4416" s="103"/>
      <c r="E4416" s="1137"/>
      <c r="F4416" s="112"/>
      <c r="G4416" s="1110"/>
      <c r="H4416" s="1138"/>
      <c r="I4416" s="1138"/>
      <c r="J4416" s="1139"/>
      <c r="K4416" s="1111"/>
      <c r="L4416" s="1112"/>
      <c r="M4416" s="1113"/>
      <c r="N4416" s="110"/>
      <c r="O4416" s="1140"/>
      <c r="P4416" s="1115"/>
      <c r="Q4416" s="1116"/>
      <c r="R4416" s="1141"/>
      <c r="S4416" s="1113"/>
      <c r="T4416" s="1143"/>
      <c r="U4416" s="1108"/>
      <c r="V4416" s="1108"/>
      <c r="W4416" s="1108"/>
      <c r="X4416" s="1108"/>
      <c r="Y4416" s="1108"/>
      <c r="Z4416" s="1114"/>
      <c r="AA4416" s="1114"/>
      <c r="AB4416" s="1114"/>
      <c r="AC4416" s="1117"/>
      <c r="AD4416" s="1115"/>
      <c r="AE4416" s="1115"/>
      <c r="AF4416" s="1115"/>
      <c r="AG4416" s="1115"/>
      <c r="AH4416" s="1115"/>
      <c r="AI4416" s="1115"/>
      <c r="AJ4416" s="1117"/>
      <c r="AK4416" s="1118"/>
      <c r="AL4416" s="1115"/>
      <c r="AM4416" s="1115"/>
      <c r="AN4416" s="1115"/>
      <c r="AO4416" s="1115"/>
      <c r="AP4416" s="1115"/>
      <c r="AQ4416" s="1115"/>
      <c r="AR4416" s="1115"/>
      <c r="AS4416" s="1117"/>
      <c r="AT4416" s="1075"/>
      <c r="AU4416" s="1193"/>
      <c r="AV4416" s="330"/>
      <c r="AW4416" s="331"/>
      <c r="AX4416" s="331"/>
      <c r="AY4416" s="331"/>
      <c r="AZ4416" s="331"/>
      <c r="BA4416" s="331"/>
      <c r="BB4416" s="331"/>
      <c r="BC4416" s="331"/>
      <c r="BD4416" s="331"/>
      <c r="BE4416" s="333"/>
      <c r="BF4416" s="330"/>
      <c r="BG4416" s="333"/>
      <c r="BH4416" s="1119"/>
      <c r="BI4416" s="319"/>
      <c r="BJ4416" s="319"/>
      <c r="BK4416" s="319"/>
      <c r="BL4416" s="319"/>
      <c r="BM4416" s="319"/>
      <c r="BN4416" s="319"/>
      <c r="BO4416" s="319"/>
      <c r="BP4416" s="953"/>
      <c r="BQ4416" s="319"/>
      <c r="BR4416" s="319"/>
      <c r="BS4416" s="330"/>
      <c r="BT4416" s="331"/>
      <c r="BU4416" s="920"/>
      <c r="BV4416" s="903"/>
      <c r="BW4416" s="908"/>
      <c r="BX4416" s="908"/>
      <c r="BY4416" s="331"/>
      <c r="BZ4416" s="331"/>
      <c r="CA4416" s="462"/>
      <c r="CB4416" s="319"/>
      <c r="CC4416" s="319"/>
      <c r="CD4416" s="319"/>
      <c r="CE4416" s="319"/>
      <c r="CF4416" s="319"/>
      <c r="CG4416" s="319"/>
      <c r="CH4416" s="318"/>
      <c r="CI4416" s="319"/>
      <c r="CJ4416" s="319"/>
      <c r="CK4416" s="342"/>
      <c r="CL4416" s="333"/>
      <c r="CM4416" s="1079"/>
      <c r="CN4416" s="1005"/>
      <c r="CO4416" s="1005"/>
      <c r="CP4416" s="1005"/>
    </row>
    <row r="4417">
      <c r="A4417" s="1257"/>
      <c r="B4417" s="1113"/>
      <c r="C4417" s="1107"/>
      <c r="D4417" s="103"/>
      <c r="E4417" s="1137"/>
      <c r="F4417" s="112"/>
      <c r="G4417" s="1110"/>
      <c r="H4417" s="1138"/>
      <c r="I4417" s="1138"/>
      <c r="J4417" s="1139"/>
      <c r="K4417" s="1111"/>
      <c r="L4417" s="1112"/>
      <c r="M4417" s="1113"/>
      <c r="N4417" s="110"/>
      <c r="O4417" s="1140"/>
      <c r="P4417" s="1115"/>
      <c r="Q4417" s="1116"/>
      <c r="R4417" s="1141"/>
      <c r="S4417" s="1113"/>
      <c r="T4417" s="1143"/>
      <c r="U4417" s="1108"/>
      <c r="V4417" s="1108"/>
      <c r="W4417" s="1108"/>
      <c r="X4417" s="1108"/>
      <c r="Y4417" s="1108"/>
      <c r="Z4417" s="1114"/>
      <c r="AA4417" s="1114"/>
      <c r="AB4417" s="1114"/>
      <c r="AC4417" s="1117"/>
      <c r="AD4417" s="1115"/>
      <c r="AE4417" s="1115"/>
      <c r="AF4417" s="1115"/>
      <c r="AG4417" s="1115"/>
      <c r="AH4417" s="1115"/>
      <c r="AI4417" s="1115"/>
      <c r="AJ4417" s="1117"/>
      <c r="AK4417" s="1118"/>
      <c r="AL4417" s="1115"/>
      <c r="AM4417" s="1115"/>
      <c r="AN4417" s="1115"/>
      <c r="AO4417" s="1115"/>
      <c r="AP4417" s="1115"/>
      <c r="AQ4417" s="1115"/>
      <c r="AR4417" s="1115"/>
      <c r="AS4417" s="1117"/>
      <c r="AT4417" s="1075"/>
      <c r="AU4417" s="1193"/>
      <c r="AV4417" s="330"/>
      <c r="AW4417" s="331"/>
      <c r="AX4417" s="331"/>
      <c r="AY4417" s="331"/>
      <c r="AZ4417" s="331"/>
      <c r="BA4417" s="331"/>
      <c r="BB4417" s="331"/>
      <c r="BC4417" s="331"/>
      <c r="BD4417" s="331"/>
      <c r="BE4417" s="333"/>
      <c r="BF4417" s="330"/>
      <c r="BG4417" s="333"/>
      <c r="BH4417" s="1119"/>
      <c r="BI4417" s="319"/>
      <c r="BJ4417" s="319"/>
      <c r="BK4417" s="319"/>
      <c r="BL4417" s="319"/>
      <c r="BM4417" s="319"/>
      <c r="BN4417" s="319"/>
      <c r="BO4417" s="319"/>
      <c r="BP4417" s="953"/>
      <c r="BQ4417" s="319"/>
      <c r="BR4417" s="319"/>
      <c r="BS4417" s="330"/>
      <c r="BT4417" s="331"/>
      <c r="BU4417" s="920"/>
      <c r="BV4417" s="903"/>
      <c r="BW4417" s="908"/>
      <c r="BX4417" s="908"/>
      <c r="BY4417" s="331"/>
      <c r="BZ4417" s="331"/>
      <c r="CA4417" s="462"/>
      <c r="CB4417" s="319"/>
      <c r="CC4417" s="319"/>
      <c r="CD4417" s="319"/>
      <c r="CE4417" s="319"/>
      <c r="CF4417" s="319"/>
      <c r="CG4417" s="319"/>
      <c r="CH4417" s="318"/>
      <c r="CI4417" s="319"/>
      <c r="CJ4417" s="319"/>
      <c r="CK4417" s="342"/>
      <c r="CL4417" s="333"/>
      <c r="CM4417" s="1079"/>
      <c r="CN4417" s="1005"/>
      <c r="CO4417" s="1005"/>
      <c r="CP4417" s="1005"/>
    </row>
    <row r="4418">
      <c r="A4418" s="1257"/>
      <c r="B4418" s="1113"/>
      <c r="C4418" s="1107"/>
      <c r="D4418" s="103"/>
      <c r="E4418" s="1137"/>
      <c r="F4418" s="112"/>
      <c r="G4418" s="1110"/>
      <c r="H4418" s="1138"/>
      <c r="I4418" s="1138"/>
      <c r="J4418" s="1139"/>
      <c r="K4418" s="1111"/>
      <c r="L4418" s="1112"/>
      <c r="M4418" s="1113"/>
      <c r="N4418" s="110"/>
      <c r="O4418" s="1140"/>
      <c r="P4418" s="1115"/>
      <c r="Q4418" s="1116"/>
      <c r="R4418" s="1141"/>
      <c r="S4418" s="1113"/>
      <c r="T4418" s="1143"/>
      <c r="U4418" s="1108"/>
      <c r="V4418" s="1108"/>
      <c r="W4418" s="1108"/>
      <c r="X4418" s="1108"/>
      <c r="Y4418" s="1108"/>
      <c r="Z4418" s="1114"/>
      <c r="AA4418" s="1114"/>
      <c r="AB4418" s="1114"/>
      <c r="AC4418" s="1117"/>
      <c r="AD4418" s="1115"/>
      <c r="AE4418" s="1115"/>
      <c r="AF4418" s="1115"/>
      <c r="AG4418" s="1115"/>
      <c r="AH4418" s="1115"/>
      <c r="AI4418" s="1115"/>
      <c r="AJ4418" s="1117"/>
      <c r="AK4418" s="1118"/>
      <c r="AL4418" s="1115"/>
      <c r="AM4418" s="1115"/>
      <c r="AN4418" s="1115"/>
      <c r="AO4418" s="1115"/>
      <c r="AP4418" s="1115"/>
      <c r="AQ4418" s="1115"/>
      <c r="AR4418" s="1115"/>
      <c r="AS4418" s="1117"/>
      <c r="AT4418" s="1075"/>
      <c r="AU4418" s="1193"/>
      <c r="AV4418" s="330"/>
      <c r="AW4418" s="331"/>
      <c r="AX4418" s="331"/>
      <c r="AY4418" s="331"/>
      <c r="AZ4418" s="331"/>
      <c r="BA4418" s="331"/>
      <c r="BB4418" s="331"/>
      <c r="BC4418" s="331"/>
      <c r="BD4418" s="331"/>
      <c r="BE4418" s="333"/>
      <c r="BF4418" s="330"/>
      <c r="BG4418" s="333"/>
      <c r="BH4418" s="1119"/>
      <c r="BI4418" s="319"/>
      <c r="BJ4418" s="319"/>
      <c r="BK4418" s="319"/>
      <c r="BL4418" s="319"/>
      <c r="BM4418" s="319"/>
      <c r="BN4418" s="319"/>
      <c r="BO4418" s="319"/>
      <c r="BP4418" s="953"/>
      <c r="BQ4418" s="319"/>
      <c r="BR4418" s="319"/>
      <c r="BS4418" s="330"/>
      <c r="BT4418" s="331"/>
      <c r="BU4418" s="920"/>
      <c r="BV4418" s="903"/>
      <c r="BW4418" s="908"/>
      <c r="BX4418" s="908"/>
      <c r="BY4418" s="331"/>
      <c r="BZ4418" s="331"/>
      <c r="CA4418" s="462"/>
      <c r="CB4418" s="319"/>
      <c r="CC4418" s="319"/>
      <c r="CD4418" s="319"/>
      <c r="CE4418" s="319"/>
      <c r="CF4418" s="319"/>
      <c r="CG4418" s="319"/>
      <c r="CH4418" s="318"/>
      <c r="CI4418" s="319"/>
      <c r="CJ4418" s="319"/>
      <c r="CK4418" s="342"/>
      <c r="CL4418" s="333"/>
      <c r="CM4418" s="1079"/>
      <c r="CN4418" s="1005"/>
      <c r="CO4418" s="1005"/>
      <c r="CP4418" s="1005"/>
    </row>
    <row r="4419">
      <c r="A4419" s="1257"/>
      <c r="B4419" s="1113"/>
      <c r="C4419" s="1107"/>
      <c r="D4419" s="103"/>
      <c r="E4419" s="1137"/>
      <c r="F4419" s="112"/>
      <c r="G4419" s="1110"/>
      <c r="H4419" s="1138"/>
      <c r="I4419" s="1138"/>
      <c r="J4419" s="1139"/>
      <c r="K4419" s="1111"/>
      <c r="L4419" s="1112"/>
      <c r="M4419" s="1113"/>
      <c r="N4419" s="110"/>
      <c r="O4419" s="1140"/>
      <c r="P4419" s="1115"/>
      <c r="Q4419" s="1116"/>
      <c r="R4419" s="1141"/>
      <c r="S4419" s="1113"/>
      <c r="T4419" s="1143"/>
      <c r="U4419" s="1108"/>
      <c r="V4419" s="1108"/>
      <c r="W4419" s="1108"/>
      <c r="X4419" s="1108"/>
      <c r="Y4419" s="1108"/>
      <c r="Z4419" s="1114"/>
      <c r="AA4419" s="1114"/>
      <c r="AB4419" s="1114"/>
      <c r="AC4419" s="1117"/>
      <c r="AD4419" s="1115"/>
      <c r="AE4419" s="1115"/>
      <c r="AF4419" s="1115"/>
      <c r="AG4419" s="1115"/>
      <c r="AH4419" s="1115"/>
      <c r="AI4419" s="1115"/>
      <c r="AJ4419" s="1117"/>
      <c r="AK4419" s="1118"/>
      <c r="AL4419" s="1115"/>
      <c r="AM4419" s="1115"/>
      <c r="AN4419" s="1115"/>
      <c r="AO4419" s="1115"/>
      <c r="AP4419" s="1115"/>
      <c r="AQ4419" s="1115"/>
      <c r="AR4419" s="1115"/>
      <c r="AS4419" s="1117"/>
      <c r="AT4419" s="1075"/>
      <c r="AU4419" s="1193"/>
      <c r="AV4419" s="330"/>
      <c r="AW4419" s="331"/>
      <c r="AX4419" s="331"/>
      <c r="AY4419" s="331"/>
      <c r="AZ4419" s="331"/>
      <c r="BA4419" s="331"/>
      <c r="BB4419" s="331"/>
      <c r="BC4419" s="331"/>
      <c r="BD4419" s="331"/>
      <c r="BE4419" s="333"/>
      <c r="BF4419" s="330"/>
      <c r="BG4419" s="333"/>
      <c r="BH4419" s="1119"/>
      <c r="BI4419" s="319"/>
      <c r="BJ4419" s="319"/>
      <c r="BK4419" s="319"/>
      <c r="BL4419" s="319"/>
      <c r="BM4419" s="319"/>
      <c r="BN4419" s="319"/>
      <c r="BO4419" s="319"/>
      <c r="BP4419" s="953"/>
      <c r="BQ4419" s="319"/>
      <c r="BR4419" s="319"/>
      <c r="BS4419" s="330"/>
      <c r="BT4419" s="331"/>
      <c r="BU4419" s="920"/>
      <c r="BV4419" s="903"/>
      <c r="BW4419" s="908"/>
      <c r="BX4419" s="908"/>
      <c r="BY4419" s="331"/>
      <c r="BZ4419" s="331"/>
      <c r="CA4419" s="462"/>
      <c r="CB4419" s="319"/>
      <c r="CC4419" s="319"/>
      <c r="CD4419" s="319"/>
      <c r="CE4419" s="319"/>
      <c r="CF4419" s="319"/>
      <c r="CG4419" s="319"/>
      <c r="CH4419" s="318"/>
      <c r="CI4419" s="319"/>
      <c r="CJ4419" s="319"/>
      <c r="CK4419" s="342"/>
      <c r="CL4419" s="333"/>
      <c r="CM4419" s="1079"/>
      <c r="CN4419" s="1005"/>
      <c r="CO4419" s="1005"/>
      <c r="CP4419" s="1005"/>
    </row>
    <row r="4420">
      <c r="A4420" s="1257"/>
      <c r="B4420" s="1113"/>
      <c r="C4420" s="1107"/>
      <c r="D4420" s="103"/>
      <c r="E4420" s="1137"/>
      <c r="F4420" s="112"/>
      <c r="G4420" s="1110"/>
      <c r="H4420" s="1138"/>
      <c r="I4420" s="1138"/>
      <c r="J4420" s="1139"/>
      <c r="K4420" s="1111"/>
      <c r="L4420" s="1112"/>
      <c r="M4420" s="1113"/>
      <c r="N4420" s="110"/>
      <c r="O4420" s="1140"/>
      <c r="P4420" s="1115"/>
      <c r="Q4420" s="1116"/>
      <c r="R4420" s="1141"/>
      <c r="S4420" s="1113"/>
      <c r="T4420" s="1143"/>
      <c r="U4420" s="1108"/>
      <c r="V4420" s="1108"/>
      <c r="W4420" s="1108"/>
      <c r="X4420" s="1108"/>
      <c r="Y4420" s="1108"/>
      <c r="Z4420" s="1114"/>
      <c r="AA4420" s="1114"/>
      <c r="AB4420" s="1114"/>
      <c r="AC4420" s="1117"/>
      <c r="AD4420" s="1115"/>
      <c r="AE4420" s="1115"/>
      <c r="AF4420" s="1115"/>
      <c r="AG4420" s="1115"/>
      <c r="AH4420" s="1115"/>
      <c r="AI4420" s="1115"/>
      <c r="AJ4420" s="1117"/>
      <c r="AK4420" s="1118"/>
      <c r="AL4420" s="1115"/>
      <c r="AM4420" s="1115"/>
      <c r="AN4420" s="1115"/>
      <c r="AO4420" s="1115"/>
      <c r="AP4420" s="1115"/>
      <c r="AQ4420" s="1115"/>
      <c r="AR4420" s="1115"/>
      <c r="AS4420" s="1117"/>
      <c r="AT4420" s="1075"/>
      <c r="AU4420" s="1193"/>
      <c r="AV4420" s="330"/>
      <c r="AW4420" s="331"/>
      <c r="AX4420" s="331"/>
      <c r="AY4420" s="331"/>
      <c r="AZ4420" s="331"/>
      <c r="BA4420" s="331"/>
      <c r="BB4420" s="331"/>
      <c r="BC4420" s="331"/>
      <c r="BD4420" s="331"/>
      <c r="BE4420" s="333"/>
      <c r="BF4420" s="330"/>
      <c r="BG4420" s="333"/>
      <c r="BH4420" s="1119"/>
      <c r="BI4420" s="319"/>
      <c r="BJ4420" s="319"/>
      <c r="BK4420" s="319"/>
      <c r="BL4420" s="319"/>
      <c r="BM4420" s="319"/>
      <c r="BN4420" s="319"/>
      <c r="BO4420" s="319"/>
      <c r="BP4420" s="953"/>
      <c r="BQ4420" s="319"/>
      <c r="BR4420" s="319"/>
      <c r="BS4420" s="330"/>
      <c r="BT4420" s="331"/>
      <c r="BU4420" s="920"/>
      <c r="BV4420" s="903"/>
      <c r="BW4420" s="908"/>
      <c r="BX4420" s="908"/>
      <c r="BY4420" s="331"/>
      <c r="BZ4420" s="331"/>
      <c r="CA4420" s="462"/>
      <c r="CB4420" s="319"/>
      <c r="CC4420" s="319"/>
      <c r="CD4420" s="319"/>
      <c r="CE4420" s="319"/>
      <c r="CF4420" s="319"/>
      <c r="CG4420" s="319"/>
      <c r="CH4420" s="318"/>
      <c r="CI4420" s="319"/>
      <c r="CJ4420" s="319"/>
      <c r="CK4420" s="342"/>
      <c r="CL4420" s="333"/>
      <c r="CM4420" s="1079"/>
      <c r="CN4420" s="1005"/>
      <c r="CO4420" s="1005"/>
      <c r="CP4420" s="1005"/>
    </row>
    <row r="4421">
      <c r="A4421" s="1257"/>
      <c r="B4421" s="1113"/>
      <c r="C4421" s="1107"/>
      <c r="D4421" s="103"/>
      <c r="E4421" s="1137"/>
      <c r="F4421" s="112"/>
      <c r="G4421" s="1110"/>
      <c r="H4421" s="1138"/>
      <c r="I4421" s="1138"/>
      <c r="J4421" s="1139"/>
      <c r="K4421" s="1111"/>
      <c r="L4421" s="1112"/>
      <c r="M4421" s="1113"/>
      <c r="N4421" s="110"/>
      <c r="O4421" s="1140"/>
      <c r="P4421" s="1115"/>
      <c r="Q4421" s="1116"/>
      <c r="R4421" s="1141"/>
      <c r="S4421" s="1113"/>
      <c r="T4421" s="1143"/>
      <c r="U4421" s="1108"/>
      <c r="V4421" s="1108"/>
      <c r="W4421" s="1108"/>
      <c r="X4421" s="1108"/>
      <c r="Y4421" s="1108"/>
      <c r="Z4421" s="1114"/>
      <c r="AA4421" s="1114"/>
      <c r="AB4421" s="1114"/>
      <c r="AC4421" s="1117"/>
      <c r="AD4421" s="1115"/>
      <c r="AE4421" s="1115"/>
      <c r="AF4421" s="1115"/>
      <c r="AG4421" s="1115"/>
      <c r="AH4421" s="1115"/>
      <c r="AI4421" s="1115"/>
      <c r="AJ4421" s="1117"/>
      <c r="AK4421" s="1118"/>
      <c r="AL4421" s="1115"/>
      <c r="AM4421" s="1115"/>
      <c r="AN4421" s="1115"/>
      <c r="AO4421" s="1115"/>
      <c r="AP4421" s="1115"/>
      <c r="AQ4421" s="1115"/>
      <c r="AR4421" s="1115"/>
      <c r="AS4421" s="1117"/>
      <c r="AT4421" s="1075"/>
      <c r="AU4421" s="1193"/>
      <c r="AV4421" s="330"/>
      <c r="AW4421" s="331"/>
      <c r="AX4421" s="331"/>
      <c r="AY4421" s="331"/>
      <c r="AZ4421" s="331"/>
      <c r="BA4421" s="331"/>
      <c r="BB4421" s="331"/>
      <c r="BC4421" s="331"/>
      <c r="BD4421" s="331"/>
      <c r="BE4421" s="333"/>
      <c r="BF4421" s="330"/>
      <c r="BG4421" s="333"/>
      <c r="BH4421" s="1119"/>
      <c r="BI4421" s="319"/>
      <c r="BJ4421" s="319"/>
      <c r="BK4421" s="319"/>
      <c r="BL4421" s="319"/>
      <c r="BM4421" s="319"/>
      <c r="BN4421" s="319"/>
      <c r="BO4421" s="319"/>
      <c r="BP4421" s="953"/>
      <c r="BQ4421" s="319"/>
      <c r="BR4421" s="319"/>
      <c r="BS4421" s="330"/>
      <c r="BT4421" s="331"/>
      <c r="BU4421" s="920"/>
      <c r="BV4421" s="903"/>
      <c r="BW4421" s="908"/>
      <c r="BX4421" s="908"/>
      <c r="BY4421" s="331"/>
      <c r="BZ4421" s="331"/>
      <c r="CA4421" s="462"/>
      <c r="CB4421" s="319"/>
      <c r="CC4421" s="319"/>
      <c r="CD4421" s="319"/>
      <c r="CE4421" s="319"/>
      <c r="CF4421" s="319"/>
      <c r="CG4421" s="319"/>
      <c r="CH4421" s="318"/>
      <c r="CI4421" s="319"/>
      <c r="CJ4421" s="319"/>
      <c r="CK4421" s="342"/>
      <c r="CL4421" s="333"/>
      <c r="CM4421" s="1079"/>
      <c r="CN4421" s="1005"/>
      <c r="CO4421" s="1005"/>
      <c r="CP4421" s="1005"/>
    </row>
    <row r="4422">
      <c r="A4422" s="1257"/>
      <c r="B4422" s="1113"/>
      <c r="C4422" s="1107"/>
      <c r="D4422" s="103"/>
      <c r="E4422" s="1137"/>
      <c r="F4422" s="112"/>
      <c r="G4422" s="1110"/>
      <c r="H4422" s="1138"/>
      <c r="I4422" s="1138"/>
      <c r="J4422" s="1139"/>
      <c r="K4422" s="1111"/>
      <c r="L4422" s="1112"/>
      <c r="M4422" s="1113"/>
      <c r="N4422" s="110"/>
      <c r="O4422" s="1140"/>
      <c r="P4422" s="1115"/>
      <c r="Q4422" s="1116"/>
      <c r="R4422" s="1141"/>
      <c r="S4422" s="1113"/>
      <c r="T4422" s="1143"/>
      <c r="U4422" s="1108"/>
      <c r="V4422" s="1108"/>
      <c r="W4422" s="1108"/>
      <c r="X4422" s="1108"/>
      <c r="Y4422" s="1108"/>
      <c r="Z4422" s="1114"/>
      <c r="AA4422" s="1114"/>
      <c r="AB4422" s="1114"/>
      <c r="AC4422" s="1117"/>
      <c r="AD4422" s="1115"/>
      <c r="AE4422" s="1115"/>
      <c r="AF4422" s="1115"/>
      <c r="AG4422" s="1115"/>
      <c r="AH4422" s="1115"/>
      <c r="AI4422" s="1115"/>
      <c r="AJ4422" s="1117"/>
      <c r="AK4422" s="1118"/>
      <c r="AL4422" s="1115"/>
      <c r="AM4422" s="1115"/>
      <c r="AN4422" s="1115"/>
      <c r="AO4422" s="1115"/>
      <c r="AP4422" s="1115"/>
      <c r="AQ4422" s="1115"/>
      <c r="AR4422" s="1115"/>
      <c r="AS4422" s="1117"/>
      <c r="AT4422" s="1075"/>
      <c r="AU4422" s="1193"/>
      <c r="AV4422" s="330"/>
      <c r="AW4422" s="331"/>
      <c r="AX4422" s="331"/>
      <c r="AY4422" s="331"/>
      <c r="AZ4422" s="331"/>
      <c r="BA4422" s="331"/>
      <c r="BB4422" s="331"/>
      <c r="BC4422" s="331"/>
      <c r="BD4422" s="331"/>
      <c r="BE4422" s="333"/>
      <c r="BF4422" s="330"/>
      <c r="BG4422" s="333"/>
      <c r="BH4422" s="1119"/>
      <c r="BI4422" s="319"/>
      <c r="BJ4422" s="319"/>
      <c r="BK4422" s="319"/>
      <c r="BL4422" s="319"/>
      <c r="BM4422" s="319"/>
      <c r="BN4422" s="319"/>
      <c r="BO4422" s="319"/>
      <c r="BP4422" s="953"/>
      <c r="BQ4422" s="319"/>
      <c r="BR4422" s="319"/>
      <c r="BS4422" s="330"/>
      <c r="BT4422" s="331"/>
      <c r="BU4422" s="920"/>
      <c r="BV4422" s="903"/>
      <c r="BW4422" s="908"/>
      <c r="BX4422" s="908"/>
      <c r="BY4422" s="331"/>
      <c r="BZ4422" s="331"/>
      <c r="CA4422" s="462"/>
      <c r="CB4422" s="319"/>
      <c r="CC4422" s="319"/>
      <c r="CD4422" s="319"/>
      <c r="CE4422" s="319"/>
      <c r="CF4422" s="319"/>
      <c r="CG4422" s="319"/>
      <c r="CH4422" s="318"/>
      <c r="CI4422" s="319"/>
      <c r="CJ4422" s="319"/>
      <c r="CK4422" s="342"/>
      <c r="CL4422" s="333"/>
      <c r="CM4422" s="1079"/>
      <c r="CN4422" s="1005"/>
      <c r="CO4422" s="1005"/>
      <c r="CP4422" s="1005"/>
    </row>
    <row r="4423">
      <c r="A4423" s="1257"/>
      <c r="B4423" s="1113"/>
      <c r="C4423" s="1107"/>
      <c r="D4423" s="103"/>
      <c r="E4423" s="1137"/>
      <c r="F4423" s="112"/>
      <c r="G4423" s="1110"/>
      <c r="H4423" s="1138"/>
      <c r="I4423" s="1138"/>
      <c r="J4423" s="1139"/>
      <c r="K4423" s="1111"/>
      <c r="L4423" s="1112"/>
      <c r="M4423" s="1113"/>
      <c r="N4423" s="110"/>
      <c r="O4423" s="1140"/>
      <c r="P4423" s="1115"/>
      <c r="Q4423" s="1116"/>
      <c r="R4423" s="1141"/>
      <c r="S4423" s="1113"/>
      <c r="T4423" s="1143"/>
      <c r="U4423" s="1108"/>
      <c r="V4423" s="1108"/>
      <c r="W4423" s="1108"/>
      <c r="X4423" s="1108"/>
      <c r="Y4423" s="1108"/>
      <c r="Z4423" s="1114"/>
      <c r="AA4423" s="1114"/>
      <c r="AB4423" s="1114"/>
      <c r="AC4423" s="1117"/>
      <c r="AD4423" s="1115"/>
      <c r="AE4423" s="1115"/>
      <c r="AF4423" s="1115"/>
      <c r="AG4423" s="1115"/>
      <c r="AH4423" s="1115"/>
      <c r="AI4423" s="1115"/>
      <c r="AJ4423" s="1117"/>
      <c r="AK4423" s="1118"/>
      <c r="AL4423" s="1115"/>
      <c r="AM4423" s="1115"/>
      <c r="AN4423" s="1115"/>
      <c r="AO4423" s="1115"/>
      <c r="AP4423" s="1115"/>
      <c r="AQ4423" s="1115"/>
      <c r="AR4423" s="1115"/>
      <c r="AS4423" s="1117"/>
      <c r="AT4423" s="1075"/>
      <c r="AU4423" s="1193"/>
      <c r="AV4423" s="330"/>
      <c r="AW4423" s="331"/>
      <c r="AX4423" s="331"/>
      <c r="AY4423" s="331"/>
      <c r="AZ4423" s="331"/>
      <c r="BA4423" s="331"/>
      <c r="BB4423" s="331"/>
      <c r="BC4423" s="331"/>
      <c r="BD4423" s="331"/>
      <c r="BE4423" s="333"/>
      <c r="BF4423" s="330"/>
      <c r="BG4423" s="333"/>
      <c r="BH4423" s="1119"/>
      <c r="BI4423" s="319"/>
      <c r="BJ4423" s="319"/>
      <c r="BK4423" s="319"/>
      <c r="BL4423" s="319"/>
      <c r="BM4423" s="319"/>
      <c r="BN4423" s="319"/>
      <c r="BO4423" s="319"/>
      <c r="BP4423" s="953"/>
      <c r="BQ4423" s="319"/>
      <c r="BR4423" s="319"/>
      <c r="BS4423" s="330"/>
      <c r="BT4423" s="331"/>
      <c r="BU4423" s="920"/>
      <c r="BV4423" s="903"/>
      <c r="BW4423" s="908"/>
      <c r="BX4423" s="908"/>
      <c r="BY4423" s="331"/>
      <c r="BZ4423" s="331"/>
      <c r="CA4423" s="462"/>
      <c r="CB4423" s="319"/>
      <c r="CC4423" s="319"/>
      <c r="CD4423" s="319"/>
      <c r="CE4423" s="319"/>
      <c r="CF4423" s="319"/>
      <c r="CG4423" s="319"/>
      <c r="CH4423" s="318"/>
      <c r="CI4423" s="319"/>
      <c r="CJ4423" s="319"/>
      <c r="CK4423" s="342"/>
      <c r="CL4423" s="333"/>
      <c r="CM4423" s="1079"/>
      <c r="CN4423" s="1005"/>
      <c r="CO4423" s="1005"/>
      <c r="CP4423" s="1005"/>
    </row>
    <row r="4424">
      <c r="A4424" s="1257"/>
      <c r="B4424" s="1113"/>
      <c r="C4424" s="1107"/>
      <c r="D4424" s="103"/>
      <c r="E4424" s="1137"/>
      <c r="F4424" s="112"/>
      <c r="G4424" s="1110"/>
      <c r="H4424" s="1138"/>
      <c r="I4424" s="1138"/>
      <c r="J4424" s="1139"/>
      <c r="K4424" s="1111"/>
      <c r="L4424" s="1112"/>
      <c r="M4424" s="1113"/>
      <c r="N4424" s="110"/>
      <c r="O4424" s="1140"/>
      <c r="P4424" s="1115"/>
      <c r="Q4424" s="1116"/>
      <c r="R4424" s="1141"/>
      <c r="S4424" s="1113"/>
      <c r="T4424" s="1143"/>
      <c r="U4424" s="1108"/>
      <c r="V4424" s="1108"/>
      <c r="W4424" s="1108"/>
      <c r="X4424" s="1108"/>
      <c r="Y4424" s="1108"/>
      <c r="Z4424" s="1114"/>
      <c r="AA4424" s="1114"/>
      <c r="AB4424" s="1114"/>
      <c r="AC4424" s="1117"/>
      <c r="AD4424" s="1115"/>
      <c r="AE4424" s="1115"/>
      <c r="AF4424" s="1115"/>
      <c r="AG4424" s="1115"/>
      <c r="AH4424" s="1115"/>
      <c r="AI4424" s="1115"/>
      <c r="AJ4424" s="1117"/>
      <c r="AK4424" s="1118"/>
      <c r="AL4424" s="1115"/>
      <c r="AM4424" s="1115"/>
      <c r="AN4424" s="1115"/>
      <c r="AO4424" s="1115"/>
      <c r="AP4424" s="1115"/>
      <c r="AQ4424" s="1115"/>
      <c r="AR4424" s="1115"/>
      <c r="AS4424" s="1117"/>
      <c r="AT4424" s="1075"/>
      <c r="AU4424" s="1193"/>
      <c r="AV4424" s="330"/>
      <c r="AW4424" s="331"/>
      <c r="AX4424" s="331"/>
      <c r="AY4424" s="331"/>
      <c r="AZ4424" s="331"/>
      <c r="BA4424" s="331"/>
      <c r="BB4424" s="331"/>
      <c r="BC4424" s="331"/>
      <c r="BD4424" s="331"/>
      <c r="BE4424" s="333"/>
      <c r="BF4424" s="330"/>
      <c r="BG4424" s="333"/>
      <c r="BH4424" s="1119"/>
      <c r="BI4424" s="319"/>
      <c r="BJ4424" s="319"/>
      <c r="BK4424" s="319"/>
      <c r="BL4424" s="319"/>
      <c r="BM4424" s="319"/>
      <c r="BN4424" s="319"/>
      <c r="BO4424" s="319"/>
      <c r="BP4424" s="953"/>
      <c r="BQ4424" s="319"/>
      <c r="BR4424" s="319"/>
      <c r="BS4424" s="330"/>
      <c r="BT4424" s="331"/>
      <c r="BU4424" s="920"/>
      <c r="BV4424" s="903"/>
      <c r="BW4424" s="908"/>
      <c r="BX4424" s="908"/>
      <c r="BY4424" s="331"/>
      <c r="BZ4424" s="331"/>
      <c r="CA4424" s="462"/>
      <c r="CB4424" s="319"/>
      <c r="CC4424" s="319"/>
      <c r="CD4424" s="319"/>
      <c r="CE4424" s="319"/>
      <c r="CF4424" s="319"/>
      <c r="CG4424" s="319"/>
      <c r="CH4424" s="318"/>
      <c r="CI4424" s="319"/>
      <c r="CJ4424" s="319"/>
      <c r="CK4424" s="342"/>
      <c r="CL4424" s="333"/>
      <c r="CM4424" s="1079"/>
      <c r="CN4424" s="1005"/>
      <c r="CO4424" s="1005"/>
      <c r="CP4424" s="1005"/>
    </row>
    <row r="4425">
      <c r="A4425" s="1257"/>
      <c r="B4425" s="1113"/>
      <c r="C4425" s="1107"/>
      <c r="D4425" s="103"/>
      <c r="E4425" s="1137"/>
      <c r="F4425" s="112"/>
      <c r="G4425" s="1110"/>
      <c r="H4425" s="1138"/>
      <c r="I4425" s="1138"/>
      <c r="J4425" s="1139"/>
      <c r="K4425" s="1111"/>
      <c r="L4425" s="1112"/>
      <c r="M4425" s="1113"/>
      <c r="N4425" s="110"/>
      <c r="O4425" s="1140"/>
      <c r="P4425" s="1115"/>
      <c r="Q4425" s="1116"/>
      <c r="R4425" s="1141"/>
      <c r="S4425" s="1113"/>
      <c r="T4425" s="1143"/>
      <c r="U4425" s="1108"/>
      <c r="V4425" s="1108"/>
      <c r="W4425" s="1108"/>
      <c r="X4425" s="1108"/>
      <c r="Y4425" s="1108"/>
      <c r="Z4425" s="1114"/>
      <c r="AA4425" s="1114"/>
      <c r="AB4425" s="1114"/>
      <c r="AC4425" s="1117"/>
      <c r="AD4425" s="1115"/>
      <c r="AE4425" s="1115"/>
      <c r="AF4425" s="1115"/>
      <c r="AG4425" s="1115"/>
      <c r="AH4425" s="1115"/>
      <c r="AI4425" s="1115"/>
      <c r="AJ4425" s="1117"/>
      <c r="AK4425" s="1118"/>
      <c r="AL4425" s="1115"/>
      <c r="AM4425" s="1115"/>
      <c r="AN4425" s="1115"/>
      <c r="AO4425" s="1115"/>
      <c r="AP4425" s="1115"/>
      <c r="AQ4425" s="1115"/>
      <c r="AR4425" s="1115"/>
      <c r="AS4425" s="1117"/>
      <c r="AT4425" s="1075"/>
      <c r="AU4425" s="1193"/>
      <c r="AV4425" s="330"/>
      <c r="AW4425" s="331"/>
      <c r="AX4425" s="331"/>
      <c r="AY4425" s="331"/>
      <c r="AZ4425" s="331"/>
      <c r="BA4425" s="331"/>
      <c r="BB4425" s="331"/>
      <c r="BC4425" s="331"/>
      <c r="BD4425" s="331"/>
      <c r="BE4425" s="333"/>
      <c r="BF4425" s="330"/>
      <c r="BG4425" s="333"/>
      <c r="BH4425" s="1119"/>
      <c r="BI4425" s="319"/>
      <c r="BJ4425" s="319"/>
      <c r="BK4425" s="319"/>
      <c r="BL4425" s="319"/>
      <c r="BM4425" s="319"/>
      <c r="BN4425" s="319"/>
      <c r="BO4425" s="319"/>
      <c r="BP4425" s="953"/>
      <c r="BQ4425" s="319"/>
      <c r="BR4425" s="319"/>
      <c r="BS4425" s="330"/>
      <c r="BT4425" s="331"/>
      <c r="BU4425" s="920"/>
      <c r="BV4425" s="903"/>
      <c r="BW4425" s="908"/>
      <c r="BX4425" s="908"/>
      <c r="BY4425" s="331"/>
      <c r="BZ4425" s="331"/>
      <c r="CA4425" s="462"/>
      <c r="CB4425" s="319"/>
      <c r="CC4425" s="319"/>
      <c r="CD4425" s="319"/>
      <c r="CE4425" s="319"/>
      <c r="CF4425" s="319"/>
      <c r="CG4425" s="319"/>
      <c r="CH4425" s="318"/>
      <c r="CI4425" s="319"/>
      <c r="CJ4425" s="319"/>
      <c r="CK4425" s="342"/>
      <c r="CL4425" s="333"/>
      <c r="CM4425" s="1079"/>
      <c r="CN4425" s="1005"/>
      <c r="CO4425" s="1005"/>
      <c r="CP4425" s="1005"/>
    </row>
    <row r="4426">
      <c r="A4426" s="1257"/>
      <c r="B4426" s="1113"/>
      <c r="C4426" s="1107"/>
      <c r="D4426" s="103"/>
      <c r="E4426" s="1137"/>
      <c r="F4426" s="112"/>
      <c r="G4426" s="1110"/>
      <c r="H4426" s="1138"/>
      <c r="I4426" s="1138"/>
      <c r="J4426" s="1139"/>
      <c r="K4426" s="1111"/>
      <c r="L4426" s="1112"/>
      <c r="M4426" s="1113"/>
      <c r="N4426" s="110"/>
      <c r="O4426" s="1140"/>
      <c r="P4426" s="1115"/>
      <c r="Q4426" s="1116"/>
      <c r="R4426" s="1141"/>
      <c r="S4426" s="1113"/>
      <c r="T4426" s="1143"/>
      <c r="U4426" s="1108"/>
      <c r="V4426" s="1108"/>
      <c r="W4426" s="1108"/>
      <c r="X4426" s="1108"/>
      <c r="Y4426" s="1108"/>
      <c r="Z4426" s="1114"/>
      <c r="AA4426" s="1114"/>
      <c r="AB4426" s="1114"/>
      <c r="AC4426" s="1117"/>
      <c r="AD4426" s="1115"/>
      <c r="AE4426" s="1115"/>
      <c r="AF4426" s="1115"/>
      <c r="AG4426" s="1115"/>
      <c r="AH4426" s="1115"/>
      <c r="AI4426" s="1115"/>
      <c r="AJ4426" s="1117"/>
      <c r="AK4426" s="1118"/>
      <c r="AL4426" s="1115"/>
      <c r="AM4426" s="1115"/>
      <c r="AN4426" s="1115"/>
      <c r="AO4426" s="1115"/>
      <c r="AP4426" s="1115"/>
      <c r="AQ4426" s="1115"/>
      <c r="AR4426" s="1115"/>
      <c r="AS4426" s="1117"/>
      <c r="AT4426" s="1075"/>
      <c r="AU4426" s="1193"/>
      <c r="AV4426" s="330"/>
      <c r="AW4426" s="331"/>
      <c r="AX4426" s="331"/>
      <c r="AY4426" s="331"/>
      <c r="AZ4426" s="331"/>
      <c r="BA4426" s="331"/>
      <c r="BB4426" s="331"/>
      <c r="BC4426" s="331"/>
      <c r="BD4426" s="331"/>
      <c r="BE4426" s="333"/>
      <c r="BF4426" s="330"/>
      <c r="BG4426" s="333"/>
      <c r="BH4426" s="1119"/>
      <c r="BI4426" s="319"/>
      <c r="BJ4426" s="319"/>
      <c r="BK4426" s="319"/>
      <c r="BL4426" s="319"/>
      <c r="BM4426" s="319"/>
      <c r="BN4426" s="319"/>
      <c r="BO4426" s="319"/>
      <c r="BP4426" s="953"/>
      <c r="BQ4426" s="319"/>
      <c r="BR4426" s="319"/>
      <c r="BS4426" s="330"/>
      <c r="BT4426" s="331"/>
      <c r="BU4426" s="920"/>
      <c r="BV4426" s="903"/>
      <c r="BW4426" s="908"/>
      <c r="BX4426" s="908"/>
      <c r="BY4426" s="331"/>
      <c r="BZ4426" s="331"/>
      <c r="CA4426" s="462"/>
      <c r="CB4426" s="319"/>
      <c r="CC4426" s="319"/>
      <c r="CD4426" s="319"/>
      <c r="CE4426" s="319"/>
      <c r="CF4426" s="319"/>
      <c r="CG4426" s="319"/>
      <c r="CH4426" s="318"/>
      <c r="CI4426" s="319"/>
      <c r="CJ4426" s="319"/>
      <c r="CK4426" s="342"/>
      <c r="CL4426" s="333"/>
      <c r="CM4426" s="1079"/>
      <c r="CN4426" s="1005"/>
      <c r="CO4426" s="1005"/>
      <c r="CP4426" s="1005"/>
    </row>
    <row r="4427">
      <c r="A4427" s="1257"/>
      <c r="B4427" s="1113"/>
      <c r="C4427" s="1107"/>
      <c r="D4427" s="103"/>
      <c r="E4427" s="1137"/>
      <c r="F4427" s="112"/>
      <c r="G4427" s="1110"/>
      <c r="H4427" s="1138"/>
      <c r="I4427" s="1138"/>
      <c r="J4427" s="1139"/>
      <c r="K4427" s="1111"/>
      <c r="L4427" s="1112"/>
      <c r="M4427" s="1113"/>
      <c r="N4427" s="110"/>
      <c r="O4427" s="1140"/>
      <c r="P4427" s="1115"/>
      <c r="Q4427" s="1116"/>
      <c r="R4427" s="1141"/>
      <c r="S4427" s="1113"/>
      <c r="T4427" s="1143"/>
      <c r="U4427" s="1108"/>
      <c r="V4427" s="1108"/>
      <c r="W4427" s="1108"/>
      <c r="X4427" s="1108"/>
      <c r="Y4427" s="1108"/>
      <c r="Z4427" s="1114"/>
      <c r="AA4427" s="1114"/>
      <c r="AB4427" s="1114"/>
      <c r="AC4427" s="1117"/>
      <c r="AD4427" s="1115"/>
      <c r="AE4427" s="1115"/>
      <c r="AF4427" s="1115"/>
      <c r="AG4427" s="1115"/>
      <c r="AH4427" s="1115"/>
      <c r="AI4427" s="1115"/>
      <c r="AJ4427" s="1117"/>
      <c r="AK4427" s="1118"/>
      <c r="AL4427" s="1115"/>
      <c r="AM4427" s="1115"/>
      <c r="AN4427" s="1115"/>
      <c r="AO4427" s="1115"/>
      <c r="AP4427" s="1115"/>
      <c r="AQ4427" s="1115"/>
      <c r="AR4427" s="1115"/>
      <c r="AS4427" s="1117"/>
      <c r="AT4427" s="1075"/>
      <c r="AU4427" s="1193"/>
      <c r="AV4427" s="330"/>
      <c r="AW4427" s="331"/>
      <c r="AX4427" s="331"/>
      <c r="AY4427" s="331"/>
      <c r="AZ4427" s="331"/>
      <c r="BA4427" s="331"/>
      <c r="BB4427" s="331"/>
      <c r="BC4427" s="331"/>
      <c r="BD4427" s="331"/>
      <c r="BE4427" s="333"/>
      <c r="BF4427" s="330"/>
      <c r="BG4427" s="333"/>
      <c r="BH4427" s="1119"/>
      <c r="BI4427" s="319"/>
      <c r="BJ4427" s="319"/>
      <c r="BK4427" s="319"/>
      <c r="BL4427" s="319"/>
      <c r="BM4427" s="319"/>
      <c r="BN4427" s="319"/>
      <c r="BO4427" s="319"/>
      <c r="BP4427" s="953"/>
      <c r="BQ4427" s="319"/>
      <c r="BR4427" s="319"/>
      <c r="BS4427" s="330"/>
      <c r="BT4427" s="331"/>
      <c r="BU4427" s="920"/>
      <c r="BV4427" s="903"/>
      <c r="BW4427" s="908"/>
      <c r="BX4427" s="908"/>
      <c r="BY4427" s="331"/>
      <c r="BZ4427" s="331"/>
      <c r="CA4427" s="462"/>
      <c r="CB4427" s="319"/>
      <c r="CC4427" s="319"/>
      <c r="CD4427" s="319"/>
      <c r="CE4427" s="319"/>
      <c r="CF4427" s="319"/>
      <c r="CG4427" s="319"/>
      <c r="CH4427" s="318"/>
      <c r="CI4427" s="319"/>
      <c r="CJ4427" s="319"/>
      <c r="CK4427" s="342"/>
      <c r="CL4427" s="333"/>
      <c r="CM4427" s="1079"/>
      <c r="CN4427" s="1005"/>
      <c r="CO4427" s="1005"/>
      <c r="CP4427" s="1005"/>
    </row>
    <row r="4428">
      <c r="A4428" s="1257"/>
      <c r="B4428" s="1113"/>
      <c r="C4428" s="1107"/>
      <c r="D4428" s="103"/>
      <c r="E4428" s="1137"/>
      <c r="F4428" s="112"/>
      <c r="G4428" s="1110"/>
      <c r="H4428" s="1138"/>
      <c r="I4428" s="1138"/>
      <c r="J4428" s="1139"/>
      <c r="K4428" s="1111"/>
      <c r="L4428" s="1112"/>
      <c r="M4428" s="1113"/>
      <c r="N4428" s="110"/>
      <c r="O4428" s="1140"/>
      <c r="P4428" s="1115"/>
      <c r="Q4428" s="1116"/>
      <c r="R4428" s="1141"/>
      <c r="S4428" s="1113"/>
      <c r="T4428" s="1143"/>
      <c r="U4428" s="1108"/>
      <c r="V4428" s="1108"/>
      <c r="W4428" s="1108"/>
      <c r="X4428" s="1108"/>
      <c r="Y4428" s="1108"/>
      <c r="Z4428" s="1114"/>
      <c r="AA4428" s="1114"/>
      <c r="AB4428" s="1114"/>
      <c r="AC4428" s="1117"/>
      <c r="AD4428" s="1115"/>
      <c r="AE4428" s="1115"/>
      <c r="AF4428" s="1115"/>
      <c r="AG4428" s="1115"/>
      <c r="AH4428" s="1115"/>
      <c r="AI4428" s="1115"/>
      <c r="AJ4428" s="1117"/>
      <c r="AK4428" s="1118"/>
      <c r="AL4428" s="1115"/>
      <c r="AM4428" s="1115"/>
      <c r="AN4428" s="1115"/>
      <c r="AO4428" s="1115"/>
      <c r="AP4428" s="1115"/>
      <c r="AQ4428" s="1115"/>
      <c r="AR4428" s="1115"/>
      <c r="AS4428" s="1117"/>
      <c r="AT4428" s="1075"/>
      <c r="AU4428" s="1193"/>
      <c r="AV4428" s="330"/>
      <c r="AW4428" s="331"/>
      <c r="AX4428" s="331"/>
      <c r="AY4428" s="331"/>
      <c r="AZ4428" s="331"/>
      <c r="BA4428" s="331"/>
      <c r="BB4428" s="331"/>
      <c r="BC4428" s="331"/>
      <c r="BD4428" s="331"/>
      <c r="BE4428" s="333"/>
      <c r="BF4428" s="330"/>
      <c r="BG4428" s="333"/>
      <c r="BH4428" s="1119"/>
      <c r="BI4428" s="319"/>
      <c r="BJ4428" s="319"/>
      <c r="BK4428" s="319"/>
      <c r="BL4428" s="319"/>
      <c r="BM4428" s="319"/>
      <c r="BN4428" s="319"/>
      <c r="BO4428" s="319"/>
      <c r="BP4428" s="953"/>
      <c r="BQ4428" s="319"/>
      <c r="BR4428" s="319"/>
      <c r="BS4428" s="330"/>
      <c r="BT4428" s="331"/>
      <c r="BU4428" s="920"/>
      <c r="BV4428" s="903"/>
      <c r="BW4428" s="908"/>
      <c r="BX4428" s="908"/>
      <c r="BY4428" s="331"/>
      <c r="BZ4428" s="331"/>
      <c r="CA4428" s="462"/>
      <c r="CB4428" s="319"/>
      <c r="CC4428" s="319"/>
      <c r="CD4428" s="319"/>
      <c r="CE4428" s="319"/>
      <c r="CF4428" s="319"/>
      <c r="CG4428" s="319"/>
      <c r="CH4428" s="318"/>
      <c r="CI4428" s="319"/>
      <c r="CJ4428" s="319"/>
      <c r="CK4428" s="342"/>
      <c r="CL4428" s="333"/>
      <c r="CM4428" s="1079"/>
      <c r="CN4428" s="1005"/>
      <c r="CO4428" s="1005"/>
      <c r="CP4428" s="1005"/>
    </row>
    <row r="4429">
      <c r="A4429" s="1257"/>
      <c r="B4429" s="1113"/>
      <c r="C4429" s="1107"/>
      <c r="D4429" s="103"/>
      <c r="E4429" s="1137"/>
      <c r="F4429" s="112"/>
      <c r="G4429" s="1110"/>
      <c r="H4429" s="1138"/>
      <c r="I4429" s="1138"/>
      <c r="J4429" s="1139"/>
      <c r="K4429" s="1111"/>
      <c r="L4429" s="1112"/>
      <c r="M4429" s="1113"/>
      <c r="N4429" s="110"/>
      <c r="O4429" s="1140"/>
      <c r="P4429" s="1115"/>
      <c r="Q4429" s="1116"/>
      <c r="R4429" s="1141"/>
      <c r="S4429" s="1113"/>
      <c r="T4429" s="1143"/>
      <c r="U4429" s="1108"/>
      <c r="V4429" s="1108"/>
      <c r="W4429" s="1108"/>
      <c r="X4429" s="1108"/>
      <c r="Y4429" s="1108"/>
      <c r="Z4429" s="1114"/>
      <c r="AA4429" s="1114"/>
      <c r="AB4429" s="1114"/>
      <c r="AC4429" s="1117"/>
      <c r="AD4429" s="1115"/>
      <c r="AE4429" s="1115"/>
      <c r="AF4429" s="1115"/>
      <c r="AG4429" s="1115"/>
      <c r="AH4429" s="1115"/>
      <c r="AI4429" s="1115"/>
      <c r="AJ4429" s="1117"/>
      <c r="AK4429" s="1118"/>
      <c r="AL4429" s="1115"/>
      <c r="AM4429" s="1115"/>
      <c r="AN4429" s="1115"/>
      <c r="AO4429" s="1115"/>
      <c r="AP4429" s="1115"/>
      <c r="AQ4429" s="1115"/>
      <c r="AR4429" s="1115"/>
      <c r="AS4429" s="1117"/>
      <c r="AT4429" s="1075"/>
      <c r="AU4429" s="1193"/>
      <c r="AV4429" s="330"/>
      <c r="AW4429" s="331"/>
      <c r="AX4429" s="331"/>
      <c r="AY4429" s="331"/>
      <c r="AZ4429" s="331"/>
      <c r="BA4429" s="331"/>
      <c r="BB4429" s="331"/>
      <c r="BC4429" s="331"/>
      <c r="BD4429" s="331"/>
      <c r="BE4429" s="333"/>
      <c r="BF4429" s="330"/>
      <c r="BG4429" s="333"/>
      <c r="BH4429" s="1119"/>
      <c r="BI4429" s="319"/>
      <c r="BJ4429" s="319"/>
      <c r="BK4429" s="319"/>
      <c r="BL4429" s="319"/>
      <c r="BM4429" s="319"/>
      <c r="BN4429" s="319"/>
      <c r="BO4429" s="319"/>
      <c r="BP4429" s="953"/>
      <c r="BQ4429" s="319"/>
      <c r="BR4429" s="319"/>
      <c r="BS4429" s="330"/>
      <c r="BT4429" s="331"/>
      <c r="BU4429" s="920"/>
      <c r="BV4429" s="903"/>
      <c r="BW4429" s="908"/>
      <c r="BX4429" s="908"/>
      <c r="BY4429" s="331"/>
      <c r="BZ4429" s="331"/>
      <c r="CA4429" s="462"/>
      <c r="CB4429" s="319"/>
      <c r="CC4429" s="319"/>
      <c r="CD4429" s="319"/>
      <c r="CE4429" s="319"/>
      <c r="CF4429" s="319"/>
      <c r="CG4429" s="319"/>
      <c r="CH4429" s="318"/>
      <c r="CI4429" s="319"/>
      <c r="CJ4429" s="319"/>
      <c r="CK4429" s="342"/>
      <c r="CL4429" s="333"/>
      <c r="CM4429" s="1079"/>
      <c r="CN4429" s="1005"/>
      <c r="CO4429" s="1005"/>
      <c r="CP4429" s="1005"/>
    </row>
    <row r="4430">
      <c r="A4430" s="1257"/>
      <c r="B4430" s="1113"/>
      <c r="C4430" s="1107"/>
      <c r="D4430" s="103"/>
      <c r="E4430" s="1137"/>
      <c r="F4430" s="112"/>
      <c r="G4430" s="1110"/>
      <c r="H4430" s="1138"/>
      <c r="I4430" s="1138"/>
      <c r="J4430" s="1139"/>
      <c r="K4430" s="1111"/>
      <c r="L4430" s="1112"/>
      <c r="M4430" s="1113"/>
      <c r="N4430" s="110"/>
      <c r="O4430" s="1140"/>
      <c r="P4430" s="1115"/>
      <c r="Q4430" s="1116"/>
      <c r="R4430" s="1141"/>
      <c r="S4430" s="1113"/>
      <c r="T4430" s="1143"/>
      <c r="U4430" s="1108"/>
      <c r="V4430" s="1108"/>
      <c r="W4430" s="1108"/>
      <c r="X4430" s="1108"/>
      <c r="Y4430" s="1108"/>
      <c r="Z4430" s="1114"/>
      <c r="AA4430" s="1114"/>
      <c r="AB4430" s="1114"/>
      <c r="AC4430" s="1117"/>
      <c r="AD4430" s="1115"/>
      <c r="AE4430" s="1115"/>
      <c r="AF4430" s="1115"/>
      <c r="AG4430" s="1115"/>
      <c r="AH4430" s="1115"/>
      <c r="AI4430" s="1115"/>
      <c r="AJ4430" s="1117"/>
      <c r="AK4430" s="1118"/>
      <c r="AL4430" s="1115"/>
      <c r="AM4430" s="1115"/>
      <c r="AN4430" s="1115"/>
      <c r="AO4430" s="1115"/>
      <c r="AP4430" s="1115"/>
      <c r="AQ4430" s="1115"/>
      <c r="AR4430" s="1115"/>
      <c r="AS4430" s="1117"/>
      <c r="AT4430" s="1075"/>
      <c r="AU4430" s="1193"/>
      <c r="AV4430" s="330"/>
      <c r="AW4430" s="331"/>
      <c r="AX4430" s="331"/>
      <c r="AY4430" s="331"/>
      <c r="AZ4430" s="331"/>
      <c r="BA4430" s="331"/>
      <c r="BB4430" s="331"/>
      <c r="BC4430" s="331"/>
      <c r="BD4430" s="331"/>
      <c r="BE4430" s="333"/>
      <c r="BF4430" s="330"/>
      <c r="BG4430" s="333"/>
      <c r="BH4430" s="1119"/>
      <c r="BI4430" s="319"/>
      <c r="BJ4430" s="319"/>
      <c r="BK4430" s="319"/>
      <c r="BL4430" s="319"/>
      <c r="BM4430" s="319"/>
      <c r="BN4430" s="319"/>
      <c r="BO4430" s="319"/>
      <c r="BP4430" s="953"/>
      <c r="BQ4430" s="319"/>
      <c r="BR4430" s="319"/>
      <c r="BS4430" s="330"/>
      <c r="BT4430" s="331"/>
      <c r="BU4430" s="920"/>
      <c r="BV4430" s="903"/>
      <c r="BW4430" s="908"/>
      <c r="BX4430" s="908"/>
      <c r="BY4430" s="331"/>
      <c r="BZ4430" s="331"/>
      <c r="CA4430" s="462"/>
      <c r="CB4430" s="319"/>
      <c r="CC4430" s="319"/>
      <c r="CD4430" s="319"/>
      <c r="CE4430" s="319"/>
      <c r="CF4430" s="319"/>
      <c r="CG4430" s="319"/>
      <c r="CH4430" s="318"/>
      <c r="CI4430" s="319"/>
      <c r="CJ4430" s="319"/>
      <c r="CK4430" s="342"/>
      <c r="CL4430" s="333"/>
      <c r="CM4430" s="1079"/>
      <c r="CN4430" s="1005"/>
      <c r="CO4430" s="1005"/>
      <c r="CP4430" s="1005"/>
    </row>
    <row r="4431">
      <c r="A4431" s="1257"/>
      <c r="B4431" s="1113"/>
      <c r="C4431" s="1107"/>
      <c r="D4431" s="103"/>
      <c r="E4431" s="1137"/>
      <c r="F4431" s="112"/>
      <c r="G4431" s="1110"/>
      <c r="H4431" s="1138"/>
      <c r="I4431" s="1138"/>
      <c r="J4431" s="1139"/>
      <c r="K4431" s="1111"/>
      <c r="L4431" s="1112"/>
      <c r="M4431" s="1113"/>
      <c r="N4431" s="110"/>
      <c r="O4431" s="1140"/>
      <c r="P4431" s="1115"/>
      <c r="Q4431" s="1116"/>
      <c r="R4431" s="1141"/>
      <c r="S4431" s="1113"/>
      <c r="T4431" s="1143"/>
      <c r="U4431" s="1108"/>
      <c r="V4431" s="1108"/>
      <c r="W4431" s="1108"/>
      <c r="X4431" s="1108"/>
      <c r="Y4431" s="1108"/>
      <c r="Z4431" s="1114"/>
      <c r="AA4431" s="1114"/>
      <c r="AB4431" s="1114"/>
      <c r="AC4431" s="1117"/>
      <c r="AD4431" s="1115"/>
      <c r="AE4431" s="1115"/>
      <c r="AF4431" s="1115"/>
      <c r="AG4431" s="1115"/>
      <c r="AH4431" s="1115"/>
      <c r="AI4431" s="1115"/>
      <c r="AJ4431" s="1117"/>
      <c r="AK4431" s="1118"/>
      <c r="AL4431" s="1115"/>
      <c r="AM4431" s="1115"/>
      <c r="AN4431" s="1115"/>
      <c r="AO4431" s="1115"/>
      <c r="AP4431" s="1115"/>
      <c r="AQ4431" s="1115"/>
      <c r="AR4431" s="1115"/>
      <c r="AS4431" s="1117"/>
      <c r="AT4431" s="1075"/>
      <c r="AU4431" s="1193"/>
      <c r="AV4431" s="330"/>
      <c r="AW4431" s="331"/>
      <c r="AX4431" s="331"/>
      <c r="AY4431" s="331"/>
      <c r="AZ4431" s="331"/>
      <c r="BA4431" s="331"/>
      <c r="BB4431" s="331"/>
      <c r="BC4431" s="331"/>
      <c r="BD4431" s="331"/>
      <c r="BE4431" s="333"/>
      <c r="BF4431" s="330"/>
      <c r="BG4431" s="333"/>
      <c r="BH4431" s="1119"/>
      <c r="BI4431" s="319"/>
      <c r="BJ4431" s="319"/>
      <c r="BK4431" s="319"/>
      <c r="BL4431" s="319"/>
      <c r="BM4431" s="319"/>
      <c r="BN4431" s="319"/>
      <c r="BO4431" s="319"/>
      <c r="BP4431" s="953"/>
      <c r="BQ4431" s="319"/>
      <c r="BR4431" s="319"/>
      <c r="BS4431" s="330"/>
      <c r="BT4431" s="331"/>
      <c r="BU4431" s="920"/>
      <c r="BV4431" s="903"/>
      <c r="BW4431" s="908"/>
      <c r="BX4431" s="908"/>
      <c r="BY4431" s="331"/>
      <c r="BZ4431" s="331"/>
      <c r="CA4431" s="462"/>
      <c r="CB4431" s="319"/>
      <c r="CC4431" s="319"/>
      <c r="CD4431" s="319"/>
      <c r="CE4431" s="319"/>
      <c r="CF4431" s="319"/>
      <c r="CG4431" s="319"/>
      <c r="CH4431" s="318"/>
      <c r="CI4431" s="319"/>
      <c r="CJ4431" s="319"/>
      <c r="CK4431" s="342"/>
      <c r="CL4431" s="333"/>
      <c r="CM4431" s="1079"/>
      <c r="CN4431" s="1005"/>
      <c r="CO4431" s="1005"/>
      <c r="CP4431" s="1005"/>
    </row>
    <row r="4432">
      <c r="A4432" s="1257"/>
      <c r="B4432" s="1113"/>
      <c r="C4432" s="1107"/>
      <c r="D4432" s="103"/>
      <c r="E4432" s="1137"/>
      <c r="F4432" s="112"/>
      <c r="G4432" s="1110"/>
      <c r="H4432" s="1138"/>
      <c r="I4432" s="1138"/>
      <c r="J4432" s="1139"/>
      <c r="K4432" s="1111"/>
      <c r="L4432" s="1112"/>
      <c r="M4432" s="1113"/>
      <c r="N4432" s="110"/>
      <c r="O4432" s="1140"/>
      <c r="P4432" s="1115"/>
      <c r="Q4432" s="1116"/>
      <c r="R4432" s="1141"/>
      <c r="S4432" s="1113"/>
      <c r="T4432" s="1143"/>
      <c r="U4432" s="1108"/>
      <c r="V4432" s="1108"/>
      <c r="W4432" s="1108"/>
      <c r="X4432" s="1108"/>
      <c r="Y4432" s="1108"/>
      <c r="Z4432" s="1114"/>
      <c r="AA4432" s="1114"/>
      <c r="AB4432" s="1114"/>
      <c r="AC4432" s="1117"/>
      <c r="AD4432" s="1115"/>
      <c r="AE4432" s="1115"/>
      <c r="AF4432" s="1115"/>
      <c r="AG4432" s="1115"/>
      <c r="AH4432" s="1115"/>
      <c r="AI4432" s="1115"/>
      <c r="AJ4432" s="1117"/>
      <c r="AK4432" s="1118"/>
      <c r="AL4432" s="1115"/>
      <c r="AM4432" s="1115"/>
      <c r="AN4432" s="1115"/>
      <c r="AO4432" s="1115"/>
      <c r="AP4432" s="1115"/>
      <c r="AQ4432" s="1115"/>
      <c r="AR4432" s="1115"/>
      <c r="AS4432" s="1117"/>
      <c r="AT4432" s="1075"/>
      <c r="AU4432" s="1193"/>
      <c r="AV4432" s="330"/>
      <c r="AW4432" s="331"/>
      <c r="AX4432" s="331"/>
      <c r="AY4432" s="331"/>
      <c r="AZ4432" s="331"/>
      <c r="BA4432" s="331"/>
      <c r="BB4432" s="331"/>
      <c r="BC4432" s="331"/>
      <c r="BD4432" s="331"/>
      <c r="BE4432" s="333"/>
      <c r="BF4432" s="330"/>
      <c r="BG4432" s="333"/>
      <c r="BH4432" s="1119"/>
      <c r="BI4432" s="319"/>
      <c r="BJ4432" s="319"/>
      <c r="BK4432" s="319"/>
      <c r="BL4432" s="319"/>
      <c r="BM4432" s="319"/>
      <c r="BN4432" s="319"/>
      <c r="BO4432" s="319"/>
      <c r="BP4432" s="953"/>
      <c r="BQ4432" s="319"/>
      <c r="BR4432" s="319"/>
      <c r="BS4432" s="330"/>
      <c r="BT4432" s="331"/>
      <c r="BU4432" s="920"/>
      <c r="BV4432" s="903"/>
      <c r="BW4432" s="908"/>
      <c r="BX4432" s="908"/>
      <c r="BY4432" s="331"/>
      <c r="BZ4432" s="331"/>
      <c r="CA4432" s="462"/>
      <c r="CB4432" s="319"/>
      <c r="CC4432" s="319"/>
      <c r="CD4432" s="319"/>
      <c r="CE4432" s="319"/>
      <c r="CF4432" s="319"/>
      <c r="CG4432" s="319"/>
      <c r="CH4432" s="318"/>
      <c r="CI4432" s="319"/>
      <c r="CJ4432" s="319"/>
      <c r="CK4432" s="342"/>
      <c r="CL4432" s="333"/>
      <c r="CM4432" s="1079"/>
      <c r="CN4432" s="1005"/>
      <c r="CO4432" s="1005"/>
      <c r="CP4432" s="1005"/>
    </row>
    <row r="4433">
      <c r="A4433" s="1257"/>
      <c r="B4433" s="1113"/>
      <c r="C4433" s="1107"/>
      <c r="D4433" s="103"/>
      <c r="E4433" s="1137"/>
      <c r="F4433" s="112"/>
      <c r="G4433" s="1110"/>
      <c r="H4433" s="1138"/>
      <c r="I4433" s="1138"/>
      <c r="J4433" s="1139"/>
      <c r="K4433" s="1111"/>
      <c r="L4433" s="1112"/>
      <c r="M4433" s="1113"/>
      <c r="N4433" s="110"/>
      <c r="O4433" s="1140"/>
      <c r="P4433" s="1115"/>
      <c r="Q4433" s="1116"/>
      <c r="R4433" s="1141"/>
      <c r="S4433" s="1113"/>
      <c r="T4433" s="1143"/>
      <c r="U4433" s="1108"/>
      <c r="V4433" s="1108"/>
      <c r="W4433" s="1108"/>
      <c r="X4433" s="1108"/>
      <c r="Y4433" s="1108"/>
      <c r="Z4433" s="1114"/>
      <c r="AA4433" s="1114"/>
      <c r="AB4433" s="1114"/>
      <c r="AC4433" s="1117"/>
      <c r="AD4433" s="1115"/>
      <c r="AE4433" s="1115"/>
      <c r="AF4433" s="1115"/>
      <c r="AG4433" s="1115"/>
      <c r="AH4433" s="1115"/>
      <c r="AI4433" s="1115"/>
      <c r="AJ4433" s="1117"/>
      <c r="AK4433" s="1118"/>
      <c r="AL4433" s="1115"/>
      <c r="AM4433" s="1115"/>
      <c r="AN4433" s="1115"/>
      <c r="AO4433" s="1115"/>
      <c r="AP4433" s="1115"/>
      <c r="AQ4433" s="1115"/>
      <c r="AR4433" s="1115"/>
      <c r="AS4433" s="1117"/>
      <c r="AT4433" s="1075"/>
      <c r="AU4433" s="1193"/>
      <c r="AV4433" s="330"/>
      <c r="AW4433" s="331"/>
      <c r="AX4433" s="331"/>
      <c r="AY4433" s="331"/>
      <c r="AZ4433" s="331"/>
      <c r="BA4433" s="331"/>
      <c r="BB4433" s="331"/>
      <c r="BC4433" s="331"/>
      <c r="BD4433" s="331"/>
      <c r="BE4433" s="333"/>
      <c r="BF4433" s="330"/>
      <c r="BG4433" s="333"/>
      <c r="BH4433" s="1119"/>
      <c r="BI4433" s="319"/>
      <c r="BJ4433" s="319"/>
      <c r="BK4433" s="319"/>
      <c r="BL4433" s="319"/>
      <c r="BM4433" s="319"/>
      <c r="BN4433" s="319"/>
      <c r="BO4433" s="319"/>
      <c r="BP4433" s="953"/>
      <c r="BQ4433" s="319"/>
      <c r="BR4433" s="319"/>
      <c r="BS4433" s="330"/>
      <c r="BT4433" s="331"/>
      <c r="BU4433" s="920"/>
      <c r="BV4433" s="903"/>
      <c r="BW4433" s="908"/>
      <c r="BX4433" s="908"/>
      <c r="BY4433" s="331"/>
      <c r="BZ4433" s="331"/>
      <c r="CA4433" s="462"/>
      <c r="CB4433" s="319"/>
      <c r="CC4433" s="319"/>
      <c r="CD4433" s="319"/>
      <c r="CE4433" s="319"/>
      <c r="CF4433" s="319"/>
      <c r="CG4433" s="319"/>
      <c r="CH4433" s="318"/>
      <c r="CI4433" s="319"/>
      <c r="CJ4433" s="319"/>
      <c r="CK4433" s="342"/>
      <c r="CL4433" s="333"/>
      <c r="CM4433" s="1079"/>
      <c r="CN4433" s="1005"/>
      <c r="CO4433" s="1005"/>
      <c r="CP4433" s="1005"/>
    </row>
    <row r="4434">
      <c r="A4434" s="1257"/>
      <c r="B4434" s="1113"/>
      <c r="C4434" s="1107"/>
      <c r="D4434" s="103"/>
      <c r="E4434" s="1137"/>
      <c r="F4434" s="112"/>
      <c r="G4434" s="1110"/>
      <c r="H4434" s="1138"/>
      <c r="I4434" s="1138"/>
      <c r="J4434" s="1139"/>
      <c r="K4434" s="1111"/>
      <c r="L4434" s="1112"/>
      <c r="M4434" s="1113"/>
      <c r="N4434" s="110"/>
      <c r="O4434" s="1140"/>
      <c r="P4434" s="1115"/>
      <c r="Q4434" s="1116"/>
      <c r="R4434" s="1141"/>
      <c r="S4434" s="1113"/>
      <c r="T4434" s="1143"/>
      <c r="U4434" s="1108"/>
      <c r="V4434" s="1108"/>
      <c r="W4434" s="1108"/>
      <c r="X4434" s="1108"/>
      <c r="Y4434" s="1108"/>
      <c r="Z4434" s="1114"/>
      <c r="AA4434" s="1114"/>
      <c r="AB4434" s="1114"/>
      <c r="AC4434" s="1117"/>
      <c r="AD4434" s="1115"/>
      <c r="AE4434" s="1115"/>
      <c r="AF4434" s="1115"/>
      <c r="AG4434" s="1115"/>
      <c r="AH4434" s="1115"/>
      <c r="AI4434" s="1115"/>
      <c r="AJ4434" s="1117"/>
      <c r="AK4434" s="1118"/>
      <c r="AL4434" s="1115"/>
      <c r="AM4434" s="1115"/>
      <c r="AN4434" s="1115"/>
      <c r="AO4434" s="1115"/>
      <c r="AP4434" s="1115"/>
      <c r="AQ4434" s="1115"/>
      <c r="AR4434" s="1115"/>
      <c r="AS4434" s="1117"/>
      <c r="AT4434" s="1075"/>
      <c r="AU4434" s="1193"/>
      <c r="AV4434" s="330"/>
      <c r="AW4434" s="331"/>
      <c r="AX4434" s="331"/>
      <c r="AY4434" s="331"/>
      <c r="AZ4434" s="331"/>
      <c r="BA4434" s="331"/>
      <c r="BB4434" s="331"/>
      <c r="BC4434" s="331"/>
      <c r="BD4434" s="331"/>
      <c r="BE4434" s="333"/>
      <c r="BF4434" s="330"/>
      <c r="BG4434" s="333"/>
      <c r="BH4434" s="1119"/>
      <c r="BI4434" s="319"/>
      <c r="BJ4434" s="319"/>
      <c r="BK4434" s="319"/>
      <c r="BL4434" s="319"/>
      <c r="BM4434" s="319"/>
      <c r="BN4434" s="319"/>
      <c r="BO4434" s="319"/>
      <c r="BP4434" s="953"/>
      <c r="BQ4434" s="319"/>
      <c r="BR4434" s="319"/>
      <c r="BS4434" s="330"/>
      <c r="BT4434" s="331"/>
      <c r="BU4434" s="920"/>
      <c r="BV4434" s="903"/>
      <c r="BW4434" s="908"/>
      <c r="BX4434" s="908"/>
      <c r="BY4434" s="331"/>
      <c r="BZ4434" s="331"/>
      <c r="CA4434" s="462"/>
      <c r="CB4434" s="319"/>
      <c r="CC4434" s="319"/>
      <c r="CD4434" s="319"/>
      <c r="CE4434" s="319"/>
      <c r="CF4434" s="319"/>
      <c r="CG4434" s="319"/>
      <c r="CH4434" s="318"/>
      <c r="CI4434" s="319"/>
      <c r="CJ4434" s="319"/>
      <c r="CK4434" s="342"/>
      <c r="CL4434" s="333"/>
      <c r="CM4434" s="1079"/>
      <c r="CN4434" s="1005"/>
      <c r="CO4434" s="1005"/>
      <c r="CP4434" s="1005"/>
    </row>
    <row r="4435">
      <c r="A4435" s="1257"/>
      <c r="B4435" s="1113"/>
      <c r="C4435" s="1107"/>
      <c r="D4435" s="103"/>
      <c r="E4435" s="1137"/>
      <c r="F4435" s="112"/>
      <c r="G4435" s="1110"/>
      <c r="H4435" s="1138"/>
      <c r="I4435" s="1138"/>
      <c r="J4435" s="1139"/>
      <c r="K4435" s="1111"/>
      <c r="L4435" s="1112"/>
      <c r="M4435" s="1113"/>
      <c r="N4435" s="110"/>
      <c r="O4435" s="1140"/>
      <c r="P4435" s="1115"/>
      <c r="Q4435" s="1116"/>
      <c r="R4435" s="1141"/>
      <c r="S4435" s="1113"/>
      <c r="T4435" s="1143"/>
      <c r="U4435" s="1108"/>
      <c r="V4435" s="1108"/>
      <c r="W4435" s="1108"/>
      <c r="X4435" s="1108"/>
      <c r="Y4435" s="1108"/>
      <c r="Z4435" s="1114"/>
      <c r="AA4435" s="1114"/>
      <c r="AB4435" s="1114"/>
      <c r="AC4435" s="1117"/>
      <c r="AD4435" s="1115"/>
      <c r="AE4435" s="1115"/>
      <c r="AF4435" s="1115"/>
      <c r="AG4435" s="1115"/>
      <c r="AH4435" s="1115"/>
      <c r="AI4435" s="1115"/>
      <c r="AJ4435" s="1117"/>
      <c r="AK4435" s="1118"/>
      <c r="AL4435" s="1115"/>
      <c r="AM4435" s="1115"/>
      <c r="AN4435" s="1115"/>
      <c r="AO4435" s="1115"/>
      <c r="AP4435" s="1115"/>
      <c r="AQ4435" s="1115"/>
      <c r="AR4435" s="1115"/>
      <c r="AS4435" s="1117"/>
      <c r="AT4435" s="1075"/>
      <c r="AU4435" s="1193"/>
      <c r="AV4435" s="330"/>
      <c r="AW4435" s="331"/>
      <c r="AX4435" s="331"/>
      <c r="AY4435" s="331"/>
      <c r="AZ4435" s="331"/>
      <c r="BA4435" s="331"/>
      <c r="BB4435" s="331"/>
      <c r="BC4435" s="331"/>
      <c r="BD4435" s="331"/>
      <c r="BE4435" s="333"/>
      <c r="BF4435" s="330"/>
      <c r="BG4435" s="333"/>
      <c r="BH4435" s="1119"/>
      <c r="BI4435" s="319"/>
      <c r="BJ4435" s="319"/>
      <c r="BK4435" s="319"/>
      <c r="BL4435" s="319"/>
      <c r="BM4435" s="319"/>
      <c r="BN4435" s="319"/>
      <c r="BO4435" s="319"/>
      <c r="BP4435" s="953"/>
      <c r="BQ4435" s="319"/>
      <c r="BR4435" s="319"/>
      <c r="BS4435" s="330"/>
      <c r="BT4435" s="331"/>
      <c r="BU4435" s="920"/>
      <c r="BV4435" s="903"/>
      <c r="BW4435" s="908"/>
      <c r="BX4435" s="908"/>
      <c r="BY4435" s="331"/>
      <c r="BZ4435" s="331"/>
      <c r="CA4435" s="462"/>
      <c r="CB4435" s="319"/>
      <c r="CC4435" s="319"/>
      <c r="CD4435" s="319"/>
      <c r="CE4435" s="319"/>
      <c r="CF4435" s="319"/>
      <c r="CG4435" s="319"/>
      <c r="CH4435" s="318"/>
      <c r="CI4435" s="319"/>
      <c r="CJ4435" s="319"/>
      <c r="CK4435" s="342"/>
      <c r="CL4435" s="333"/>
      <c r="CM4435" s="1079"/>
      <c r="CN4435" s="1005"/>
      <c r="CO4435" s="1005"/>
      <c r="CP4435" s="1005"/>
    </row>
    <row r="4436">
      <c r="A4436" s="1257"/>
      <c r="B4436" s="1113"/>
      <c r="C4436" s="1107"/>
      <c r="D4436" s="103"/>
      <c r="E4436" s="1137"/>
      <c r="F4436" s="112"/>
      <c r="G4436" s="1110"/>
      <c r="H4436" s="1138"/>
      <c r="I4436" s="1138"/>
      <c r="J4436" s="1139"/>
      <c r="K4436" s="1111"/>
      <c r="L4436" s="1112"/>
      <c r="M4436" s="1113"/>
      <c r="N4436" s="110"/>
      <c r="O4436" s="1140"/>
      <c r="P4436" s="1115"/>
      <c r="Q4436" s="1116"/>
      <c r="R4436" s="1141"/>
      <c r="S4436" s="1113"/>
      <c r="T4436" s="1143"/>
      <c r="U4436" s="1108"/>
      <c r="V4436" s="1108"/>
      <c r="W4436" s="1108"/>
      <c r="X4436" s="1108"/>
      <c r="Y4436" s="1108"/>
      <c r="Z4436" s="1114"/>
      <c r="AA4436" s="1114"/>
      <c r="AB4436" s="1114"/>
      <c r="AC4436" s="1117"/>
      <c r="AD4436" s="1115"/>
      <c r="AE4436" s="1115"/>
      <c r="AF4436" s="1115"/>
      <c r="AG4436" s="1115"/>
      <c r="AH4436" s="1115"/>
      <c r="AI4436" s="1115"/>
      <c r="AJ4436" s="1117"/>
      <c r="AK4436" s="1118"/>
      <c r="AL4436" s="1115"/>
      <c r="AM4436" s="1115"/>
      <c r="AN4436" s="1115"/>
      <c r="AO4436" s="1115"/>
      <c r="AP4436" s="1115"/>
      <c r="AQ4436" s="1115"/>
      <c r="AR4436" s="1115"/>
      <c r="AS4436" s="1117"/>
      <c r="AT4436" s="1075"/>
      <c r="AU4436" s="1193"/>
      <c r="AV4436" s="330"/>
      <c r="AW4436" s="331"/>
      <c r="AX4436" s="331"/>
      <c r="AY4436" s="331"/>
      <c r="AZ4436" s="331"/>
      <c r="BA4436" s="331"/>
      <c r="BB4436" s="331"/>
      <c r="BC4436" s="331"/>
      <c r="BD4436" s="331"/>
      <c r="BE4436" s="333"/>
      <c r="BF4436" s="330"/>
      <c r="BG4436" s="333"/>
      <c r="BH4436" s="1119"/>
      <c r="BI4436" s="319"/>
      <c r="BJ4436" s="319"/>
      <c r="BK4436" s="319"/>
      <c r="BL4436" s="319"/>
      <c r="BM4436" s="319"/>
      <c r="BN4436" s="319"/>
      <c r="BO4436" s="319"/>
      <c r="BP4436" s="953"/>
      <c r="BQ4436" s="319"/>
      <c r="BR4436" s="319"/>
      <c r="BS4436" s="330"/>
      <c r="BT4436" s="331"/>
      <c r="BU4436" s="920"/>
      <c r="BV4436" s="903"/>
      <c r="BW4436" s="908"/>
      <c r="BX4436" s="908"/>
      <c r="BY4436" s="331"/>
      <c r="BZ4436" s="331"/>
      <c r="CA4436" s="462"/>
      <c r="CB4436" s="319"/>
      <c r="CC4436" s="319"/>
      <c r="CD4436" s="319"/>
      <c r="CE4436" s="319"/>
      <c r="CF4436" s="319"/>
      <c r="CG4436" s="319"/>
      <c r="CH4436" s="318"/>
      <c r="CI4436" s="319"/>
      <c r="CJ4436" s="319"/>
      <c r="CK4436" s="342"/>
      <c r="CL4436" s="333"/>
      <c r="CM4436" s="1079"/>
      <c r="CN4436" s="1005"/>
      <c r="CO4436" s="1005"/>
      <c r="CP4436" s="1005"/>
    </row>
    <row r="4437">
      <c r="A4437" s="1257"/>
      <c r="B4437" s="1113"/>
      <c r="C4437" s="1107"/>
      <c r="D4437" s="103"/>
      <c r="E4437" s="1137"/>
      <c r="F4437" s="112"/>
      <c r="G4437" s="1110"/>
      <c r="H4437" s="1138"/>
      <c r="I4437" s="1138"/>
      <c r="J4437" s="1139"/>
      <c r="K4437" s="1111"/>
      <c r="L4437" s="1112"/>
      <c r="M4437" s="1113"/>
      <c r="N4437" s="110"/>
      <c r="O4437" s="1140"/>
      <c r="P4437" s="1115"/>
      <c r="Q4437" s="1116"/>
      <c r="R4437" s="1141"/>
      <c r="S4437" s="1113"/>
      <c r="T4437" s="1143"/>
      <c r="U4437" s="1108"/>
      <c r="V4437" s="1108"/>
      <c r="W4437" s="1108"/>
      <c r="X4437" s="1108"/>
      <c r="Y4437" s="1108"/>
      <c r="Z4437" s="1114"/>
      <c r="AA4437" s="1114"/>
      <c r="AB4437" s="1114"/>
      <c r="AC4437" s="1117"/>
      <c r="AD4437" s="1115"/>
      <c r="AE4437" s="1115"/>
      <c r="AF4437" s="1115"/>
      <c r="AG4437" s="1115"/>
      <c r="AH4437" s="1115"/>
      <c r="AI4437" s="1115"/>
      <c r="AJ4437" s="1117"/>
      <c r="AK4437" s="1118"/>
      <c r="AL4437" s="1115"/>
      <c r="AM4437" s="1115"/>
      <c r="AN4437" s="1115"/>
      <c r="AO4437" s="1115"/>
      <c r="AP4437" s="1115"/>
      <c r="AQ4437" s="1115"/>
      <c r="AR4437" s="1115"/>
      <c r="AS4437" s="1117"/>
      <c r="AT4437" s="1075"/>
      <c r="AU4437" s="1193"/>
      <c r="AV4437" s="330"/>
      <c r="AW4437" s="331"/>
      <c r="AX4437" s="331"/>
      <c r="AY4437" s="331"/>
      <c r="AZ4437" s="331"/>
      <c r="BA4437" s="331"/>
      <c r="BB4437" s="331"/>
      <c r="BC4437" s="331"/>
      <c r="BD4437" s="331"/>
      <c r="BE4437" s="333"/>
      <c r="BF4437" s="330"/>
      <c r="BG4437" s="333"/>
      <c r="BH4437" s="1119"/>
      <c r="BI4437" s="319"/>
      <c r="BJ4437" s="319"/>
      <c r="BK4437" s="319"/>
      <c r="BL4437" s="319"/>
      <c r="BM4437" s="319"/>
      <c r="BN4437" s="319"/>
      <c r="BO4437" s="319"/>
      <c r="BP4437" s="953"/>
      <c r="BQ4437" s="319"/>
      <c r="BR4437" s="319"/>
      <c r="BS4437" s="330"/>
      <c r="BT4437" s="331"/>
      <c r="BU4437" s="920"/>
      <c r="BV4437" s="903"/>
      <c r="BW4437" s="908"/>
      <c r="BX4437" s="908"/>
      <c r="BY4437" s="331"/>
      <c r="BZ4437" s="331"/>
      <c r="CA4437" s="462"/>
      <c r="CB4437" s="319"/>
      <c r="CC4437" s="319"/>
      <c r="CD4437" s="319"/>
      <c r="CE4437" s="319"/>
      <c r="CF4437" s="319"/>
      <c r="CG4437" s="319"/>
      <c r="CH4437" s="318"/>
      <c r="CI4437" s="319"/>
      <c r="CJ4437" s="319"/>
      <c r="CK4437" s="342"/>
      <c r="CL4437" s="333"/>
      <c r="CM4437" s="1079"/>
      <c r="CN4437" s="1005"/>
      <c r="CO4437" s="1005"/>
      <c r="CP4437" s="1005"/>
    </row>
    <row r="4438">
      <c r="A4438" s="1257"/>
      <c r="B4438" s="1113"/>
      <c r="C4438" s="1107"/>
      <c r="D4438" s="103"/>
      <c r="E4438" s="1137"/>
      <c r="F4438" s="112"/>
      <c r="G4438" s="1110"/>
      <c r="H4438" s="1138"/>
      <c r="I4438" s="1138"/>
      <c r="J4438" s="1139"/>
      <c r="K4438" s="1111"/>
      <c r="L4438" s="1112"/>
      <c r="M4438" s="1113"/>
      <c r="N4438" s="110"/>
      <c r="O4438" s="1140"/>
      <c r="P4438" s="1115"/>
      <c r="Q4438" s="1116"/>
      <c r="R4438" s="1141"/>
      <c r="S4438" s="1113"/>
      <c r="T4438" s="1143"/>
      <c r="U4438" s="1108"/>
      <c r="V4438" s="1108"/>
      <c r="W4438" s="1108"/>
      <c r="X4438" s="1108"/>
      <c r="Y4438" s="1108"/>
      <c r="Z4438" s="1114"/>
      <c r="AA4438" s="1114"/>
      <c r="AB4438" s="1114"/>
      <c r="AC4438" s="1117"/>
      <c r="AD4438" s="1115"/>
      <c r="AE4438" s="1115"/>
      <c r="AF4438" s="1115"/>
      <c r="AG4438" s="1115"/>
      <c r="AH4438" s="1115"/>
      <c r="AI4438" s="1115"/>
      <c r="AJ4438" s="1117"/>
      <c r="AK4438" s="1118"/>
      <c r="AL4438" s="1115"/>
      <c r="AM4438" s="1115"/>
      <c r="AN4438" s="1115"/>
      <c r="AO4438" s="1115"/>
      <c r="AP4438" s="1115"/>
      <c r="AQ4438" s="1115"/>
      <c r="AR4438" s="1115"/>
      <c r="AS4438" s="1117"/>
      <c r="AT4438" s="1075"/>
      <c r="AU4438" s="1193"/>
      <c r="AV4438" s="330"/>
      <c r="AW4438" s="331"/>
      <c r="AX4438" s="331"/>
      <c r="AY4438" s="331"/>
      <c r="AZ4438" s="331"/>
      <c r="BA4438" s="331"/>
      <c r="BB4438" s="331"/>
      <c r="BC4438" s="331"/>
      <c r="BD4438" s="331"/>
      <c r="BE4438" s="333"/>
      <c r="BF4438" s="330"/>
      <c r="BG4438" s="333"/>
      <c r="BH4438" s="1119"/>
      <c r="BI4438" s="319"/>
      <c r="BJ4438" s="319"/>
      <c r="BK4438" s="319"/>
      <c r="BL4438" s="319"/>
      <c r="BM4438" s="319"/>
      <c r="BN4438" s="319"/>
      <c r="BO4438" s="319"/>
      <c r="BP4438" s="953"/>
      <c r="BQ4438" s="319"/>
      <c r="BR4438" s="319"/>
      <c r="BS4438" s="330"/>
      <c r="BT4438" s="331"/>
      <c r="BU4438" s="920"/>
      <c r="BV4438" s="903"/>
      <c r="BW4438" s="908"/>
      <c r="BX4438" s="908"/>
      <c r="BY4438" s="331"/>
      <c r="BZ4438" s="331"/>
      <c r="CA4438" s="462"/>
      <c r="CB4438" s="319"/>
      <c r="CC4438" s="319"/>
      <c r="CD4438" s="319"/>
      <c r="CE4438" s="319"/>
      <c r="CF4438" s="319"/>
      <c r="CG4438" s="319"/>
      <c r="CH4438" s="318"/>
      <c r="CI4438" s="319"/>
      <c r="CJ4438" s="319"/>
      <c r="CK4438" s="342"/>
      <c r="CL4438" s="333"/>
      <c r="CM4438" s="1079"/>
      <c r="CN4438" s="1005"/>
      <c r="CO4438" s="1005"/>
      <c r="CP4438" s="1005"/>
    </row>
    <row r="4439">
      <c r="A4439" s="1257"/>
      <c r="B4439" s="1113"/>
      <c r="C4439" s="1107"/>
      <c r="D4439" s="103"/>
      <c r="E4439" s="1137"/>
      <c r="F4439" s="112"/>
      <c r="G4439" s="1110"/>
      <c r="H4439" s="1138"/>
      <c r="I4439" s="1138"/>
      <c r="J4439" s="1139"/>
      <c r="K4439" s="1111"/>
      <c r="L4439" s="1112"/>
      <c r="M4439" s="1113"/>
      <c r="N4439" s="110"/>
      <c r="O4439" s="1140"/>
      <c r="P4439" s="1115"/>
      <c r="Q4439" s="1116"/>
      <c r="R4439" s="1141"/>
      <c r="S4439" s="1113"/>
      <c r="T4439" s="1143"/>
      <c r="U4439" s="1108"/>
      <c r="V4439" s="1108"/>
      <c r="W4439" s="1108"/>
      <c r="X4439" s="1108"/>
      <c r="Y4439" s="1108"/>
      <c r="Z4439" s="1114"/>
      <c r="AA4439" s="1114"/>
      <c r="AB4439" s="1114"/>
      <c r="AC4439" s="1117"/>
      <c r="AD4439" s="1115"/>
      <c r="AE4439" s="1115"/>
      <c r="AF4439" s="1115"/>
      <c r="AG4439" s="1115"/>
      <c r="AH4439" s="1115"/>
      <c r="AI4439" s="1115"/>
      <c r="AJ4439" s="1117"/>
      <c r="AK4439" s="1118"/>
      <c r="AL4439" s="1115"/>
      <c r="AM4439" s="1115"/>
      <c r="AN4439" s="1115"/>
      <c r="AO4439" s="1115"/>
      <c r="AP4439" s="1115"/>
      <c r="AQ4439" s="1115"/>
      <c r="AR4439" s="1115"/>
      <c r="AS4439" s="1117"/>
      <c r="AT4439" s="1075"/>
      <c r="AU4439" s="1193"/>
      <c r="AV4439" s="330"/>
      <c r="AW4439" s="331"/>
      <c r="AX4439" s="331"/>
      <c r="AY4439" s="331"/>
      <c r="AZ4439" s="331"/>
      <c r="BA4439" s="331"/>
      <c r="BB4439" s="331"/>
      <c r="BC4439" s="331"/>
      <c r="BD4439" s="331"/>
      <c r="BE4439" s="333"/>
      <c r="BF4439" s="330"/>
      <c r="BG4439" s="333"/>
      <c r="BH4439" s="1119"/>
      <c r="BI4439" s="319"/>
      <c r="BJ4439" s="319"/>
      <c r="BK4439" s="319"/>
      <c r="BL4439" s="319"/>
      <c r="BM4439" s="319"/>
      <c r="BN4439" s="319"/>
      <c r="BO4439" s="319"/>
      <c r="BP4439" s="953"/>
      <c r="BQ4439" s="319"/>
      <c r="BR4439" s="319"/>
      <c r="BS4439" s="330"/>
      <c r="BT4439" s="331"/>
      <c r="BU4439" s="920"/>
      <c r="BV4439" s="903"/>
      <c r="BW4439" s="908"/>
      <c r="BX4439" s="908"/>
      <c r="BY4439" s="331"/>
      <c r="BZ4439" s="331"/>
      <c r="CA4439" s="462"/>
      <c r="CB4439" s="319"/>
      <c r="CC4439" s="319"/>
      <c r="CD4439" s="319"/>
      <c r="CE4439" s="319"/>
      <c r="CF4439" s="319"/>
      <c r="CG4439" s="319"/>
      <c r="CH4439" s="318"/>
      <c r="CI4439" s="319"/>
      <c r="CJ4439" s="319"/>
      <c r="CK4439" s="342"/>
      <c r="CL4439" s="333"/>
      <c r="CM4439" s="1079"/>
      <c r="CN4439" s="1005"/>
      <c r="CO4439" s="1005"/>
      <c r="CP4439" s="1005"/>
    </row>
    <row r="4440">
      <c r="A4440" s="1257"/>
      <c r="B4440" s="1113"/>
      <c r="C4440" s="1107"/>
      <c r="D4440" s="103"/>
      <c r="E4440" s="1137"/>
      <c r="F4440" s="112"/>
      <c r="G4440" s="1110"/>
      <c r="H4440" s="1138"/>
      <c r="I4440" s="1138"/>
      <c r="J4440" s="1139"/>
      <c r="K4440" s="1111"/>
      <c r="L4440" s="1112"/>
      <c r="M4440" s="1113"/>
      <c r="N4440" s="110"/>
      <c r="O4440" s="1140"/>
      <c r="P4440" s="1115"/>
      <c r="Q4440" s="1116"/>
      <c r="R4440" s="1141"/>
      <c r="S4440" s="1113"/>
      <c r="T4440" s="1143"/>
      <c r="U4440" s="1108"/>
      <c r="V4440" s="1108"/>
      <c r="W4440" s="1108"/>
      <c r="X4440" s="1108"/>
      <c r="Y4440" s="1108"/>
      <c r="Z4440" s="1114"/>
      <c r="AA4440" s="1114"/>
      <c r="AB4440" s="1114"/>
      <c r="AC4440" s="1117"/>
      <c r="AD4440" s="1115"/>
      <c r="AE4440" s="1115"/>
      <c r="AF4440" s="1115"/>
      <c r="AG4440" s="1115"/>
      <c r="AH4440" s="1115"/>
      <c r="AI4440" s="1115"/>
      <c r="AJ4440" s="1117"/>
      <c r="AK4440" s="1118"/>
      <c r="AL4440" s="1115"/>
      <c r="AM4440" s="1115"/>
      <c r="AN4440" s="1115"/>
      <c r="AO4440" s="1115"/>
      <c r="AP4440" s="1115"/>
      <c r="AQ4440" s="1115"/>
      <c r="AR4440" s="1115"/>
      <c r="AS4440" s="1117"/>
      <c r="AT4440" s="1075"/>
      <c r="AU4440" s="1193"/>
      <c r="AV4440" s="330"/>
      <c r="AW4440" s="331"/>
      <c r="AX4440" s="331"/>
      <c r="AY4440" s="331"/>
      <c r="AZ4440" s="331"/>
      <c r="BA4440" s="331"/>
      <c r="BB4440" s="331"/>
      <c r="BC4440" s="331"/>
      <c r="BD4440" s="331"/>
      <c r="BE4440" s="333"/>
      <c r="BF4440" s="330"/>
      <c r="BG4440" s="333"/>
      <c r="BH4440" s="1119"/>
      <c r="BI4440" s="319"/>
      <c r="BJ4440" s="319"/>
      <c r="BK4440" s="319"/>
      <c r="BL4440" s="319"/>
      <c r="BM4440" s="319"/>
      <c r="BN4440" s="319"/>
      <c r="BO4440" s="319"/>
      <c r="BP4440" s="953"/>
      <c r="BQ4440" s="319"/>
      <c r="BR4440" s="319"/>
      <c r="BS4440" s="330"/>
      <c r="BT4440" s="331"/>
      <c r="BU4440" s="920"/>
      <c r="BV4440" s="903"/>
      <c r="BW4440" s="908"/>
      <c r="BX4440" s="908"/>
      <c r="BY4440" s="331"/>
      <c r="BZ4440" s="331"/>
      <c r="CA4440" s="462"/>
      <c r="CB4440" s="319"/>
      <c r="CC4440" s="319"/>
      <c r="CD4440" s="319"/>
      <c r="CE4440" s="319"/>
      <c r="CF4440" s="319"/>
      <c r="CG4440" s="319"/>
      <c r="CH4440" s="318"/>
      <c r="CI4440" s="319"/>
      <c r="CJ4440" s="319"/>
      <c r="CK4440" s="342"/>
      <c r="CL4440" s="333"/>
      <c r="CM4440" s="1079"/>
      <c r="CN4440" s="1005"/>
      <c r="CO4440" s="1005"/>
      <c r="CP4440" s="1005"/>
    </row>
    <row r="4441">
      <c r="A4441" s="1257"/>
      <c r="B4441" s="1113"/>
      <c r="C4441" s="1107"/>
      <c r="D4441" s="103"/>
      <c r="E4441" s="1137"/>
      <c r="F4441" s="112"/>
      <c r="G4441" s="1110"/>
      <c r="H4441" s="1138"/>
      <c r="I4441" s="1138"/>
      <c r="J4441" s="1139"/>
      <c r="K4441" s="1111"/>
      <c r="L4441" s="1112"/>
      <c r="M4441" s="1113"/>
      <c r="N4441" s="110"/>
      <c r="O4441" s="1140"/>
      <c r="P4441" s="1115"/>
      <c r="Q4441" s="1116"/>
      <c r="R4441" s="1141"/>
      <c r="S4441" s="1113"/>
      <c r="T4441" s="1143"/>
      <c r="U4441" s="1108"/>
      <c r="V4441" s="1108"/>
      <c r="W4441" s="1108"/>
      <c r="X4441" s="1108"/>
      <c r="Y4441" s="1108"/>
      <c r="Z4441" s="1114"/>
      <c r="AA4441" s="1114"/>
      <c r="AB4441" s="1114"/>
      <c r="AC4441" s="1117"/>
      <c r="AD4441" s="1115"/>
      <c r="AE4441" s="1115"/>
      <c r="AF4441" s="1115"/>
      <c r="AG4441" s="1115"/>
      <c r="AH4441" s="1115"/>
      <c r="AI4441" s="1115"/>
      <c r="AJ4441" s="1117"/>
      <c r="AK4441" s="1118"/>
      <c r="AL4441" s="1115"/>
      <c r="AM4441" s="1115"/>
      <c r="AN4441" s="1115"/>
      <c r="AO4441" s="1115"/>
      <c r="AP4441" s="1115"/>
      <c r="AQ4441" s="1115"/>
      <c r="AR4441" s="1115"/>
      <c r="AS4441" s="1117"/>
      <c r="AT4441" s="1075"/>
      <c r="AU4441" s="1193"/>
      <c r="AV4441" s="330"/>
      <c r="AW4441" s="331"/>
      <c r="AX4441" s="331"/>
      <c r="AY4441" s="331"/>
      <c r="AZ4441" s="331"/>
      <c r="BA4441" s="331"/>
      <c r="BB4441" s="331"/>
      <c r="BC4441" s="331"/>
      <c r="BD4441" s="331"/>
      <c r="BE4441" s="333"/>
      <c r="BF4441" s="330"/>
      <c r="BG4441" s="333"/>
      <c r="BH4441" s="1119"/>
      <c r="BI4441" s="319"/>
      <c r="BJ4441" s="319"/>
      <c r="BK4441" s="319"/>
      <c r="BL4441" s="319"/>
      <c r="BM4441" s="319"/>
      <c r="BN4441" s="319"/>
      <c r="BO4441" s="319"/>
      <c r="BP4441" s="953"/>
      <c r="BQ4441" s="319"/>
      <c r="BR4441" s="319"/>
      <c r="BS4441" s="330"/>
      <c r="BT4441" s="331"/>
      <c r="BU4441" s="920"/>
      <c r="BV4441" s="903"/>
      <c r="BW4441" s="908"/>
      <c r="BX4441" s="908"/>
      <c r="BY4441" s="331"/>
      <c r="BZ4441" s="331"/>
      <c r="CA4441" s="462"/>
      <c r="CB4441" s="319"/>
      <c r="CC4441" s="319"/>
      <c r="CD4441" s="319"/>
      <c r="CE4441" s="319"/>
      <c r="CF4441" s="319"/>
      <c r="CG4441" s="319"/>
      <c r="CH4441" s="318"/>
      <c r="CI4441" s="319"/>
      <c r="CJ4441" s="319"/>
      <c r="CK4441" s="342"/>
      <c r="CL4441" s="333"/>
      <c r="CM4441" s="1079"/>
      <c r="CN4441" s="1005"/>
      <c r="CO4441" s="1005"/>
      <c r="CP4441" s="1005"/>
    </row>
    <row r="4442">
      <c r="A4442" s="1257"/>
      <c r="B4442" s="1113"/>
      <c r="C4442" s="1107"/>
      <c r="D4442" s="103"/>
      <c r="E4442" s="1137"/>
      <c r="F4442" s="112"/>
      <c r="G4442" s="1110"/>
      <c r="H4442" s="1138"/>
      <c r="I4442" s="1138"/>
      <c r="J4442" s="1139"/>
      <c r="K4442" s="1111"/>
      <c r="L4442" s="1112"/>
      <c r="M4442" s="1113"/>
      <c r="N4442" s="110"/>
      <c r="O4442" s="1140"/>
      <c r="P4442" s="1115"/>
      <c r="Q4442" s="1116"/>
      <c r="R4442" s="1141"/>
      <c r="S4442" s="1113"/>
      <c r="T4442" s="1143"/>
      <c r="U4442" s="1108"/>
      <c r="V4442" s="1108"/>
      <c r="W4442" s="1108"/>
      <c r="X4442" s="1108"/>
      <c r="Y4442" s="1108"/>
      <c r="Z4442" s="1114"/>
      <c r="AA4442" s="1114"/>
      <c r="AB4442" s="1114"/>
      <c r="AC4442" s="1117"/>
      <c r="AD4442" s="1115"/>
      <c r="AE4442" s="1115"/>
      <c r="AF4442" s="1115"/>
      <c r="AG4442" s="1115"/>
      <c r="AH4442" s="1115"/>
      <c r="AI4442" s="1115"/>
      <c r="AJ4442" s="1117"/>
      <c r="AK4442" s="1118"/>
      <c r="AL4442" s="1115"/>
      <c r="AM4442" s="1115"/>
      <c r="AN4442" s="1115"/>
      <c r="AO4442" s="1115"/>
      <c r="AP4442" s="1115"/>
      <c r="AQ4442" s="1115"/>
      <c r="AR4442" s="1115"/>
      <c r="AS4442" s="1117"/>
      <c r="AT4442" s="1075"/>
      <c r="AU4442" s="1193"/>
      <c r="AV4442" s="330"/>
      <c r="AW4442" s="331"/>
      <c r="AX4442" s="331"/>
      <c r="AY4442" s="331"/>
      <c r="AZ4442" s="331"/>
      <c r="BA4442" s="331"/>
      <c r="BB4442" s="331"/>
      <c r="BC4442" s="331"/>
      <c r="BD4442" s="331"/>
      <c r="BE4442" s="333"/>
      <c r="BF4442" s="330"/>
      <c r="BG4442" s="333"/>
      <c r="BH4442" s="1119"/>
      <c r="BI4442" s="319"/>
      <c r="BJ4442" s="319"/>
      <c r="BK4442" s="319"/>
      <c r="BL4442" s="319"/>
      <c r="BM4442" s="319"/>
      <c r="BN4442" s="319"/>
      <c r="BO4442" s="319"/>
      <c r="BP4442" s="953"/>
      <c r="BQ4442" s="319"/>
      <c r="BR4442" s="319"/>
      <c r="BS4442" s="330"/>
      <c r="BT4442" s="331"/>
      <c r="BU4442" s="920"/>
      <c r="BV4442" s="903"/>
      <c r="BW4442" s="908"/>
      <c r="BX4442" s="908"/>
      <c r="BY4442" s="331"/>
      <c r="BZ4442" s="331"/>
      <c r="CA4442" s="462"/>
      <c r="CB4442" s="319"/>
      <c r="CC4442" s="319"/>
      <c r="CD4442" s="319"/>
      <c r="CE4442" s="319"/>
      <c r="CF4442" s="319"/>
      <c r="CG4442" s="319"/>
      <c r="CH4442" s="318"/>
      <c r="CI4442" s="319"/>
      <c r="CJ4442" s="319"/>
      <c r="CK4442" s="342"/>
      <c r="CL4442" s="333"/>
      <c r="CM4442" s="1079"/>
      <c r="CN4442" s="1005"/>
      <c r="CO4442" s="1005"/>
      <c r="CP4442" s="1005"/>
    </row>
    <row r="4443">
      <c r="A4443" s="1257"/>
      <c r="B4443" s="1113"/>
      <c r="C4443" s="1107"/>
      <c r="D4443" s="103"/>
      <c r="E4443" s="1137"/>
      <c r="F4443" s="112"/>
      <c r="G4443" s="1110"/>
      <c r="H4443" s="1138"/>
      <c r="I4443" s="1138"/>
      <c r="J4443" s="1139"/>
      <c r="K4443" s="1111"/>
      <c r="L4443" s="1112"/>
      <c r="M4443" s="1113"/>
      <c r="N4443" s="110"/>
      <c r="O4443" s="1140"/>
      <c r="P4443" s="1115"/>
      <c r="Q4443" s="1116"/>
      <c r="R4443" s="1141"/>
      <c r="S4443" s="1113"/>
      <c r="T4443" s="1143"/>
      <c r="U4443" s="1108"/>
      <c r="V4443" s="1108"/>
      <c r="W4443" s="1108"/>
      <c r="X4443" s="1108"/>
      <c r="Y4443" s="1108"/>
      <c r="Z4443" s="1114"/>
      <c r="AA4443" s="1114"/>
      <c r="AB4443" s="1114"/>
      <c r="AC4443" s="1117"/>
      <c r="AD4443" s="1115"/>
      <c r="AE4443" s="1115"/>
      <c r="AF4443" s="1115"/>
      <c r="AG4443" s="1115"/>
      <c r="AH4443" s="1115"/>
      <c r="AI4443" s="1115"/>
      <c r="AJ4443" s="1117"/>
      <c r="AK4443" s="1118"/>
      <c r="AL4443" s="1115"/>
      <c r="AM4443" s="1115"/>
      <c r="AN4443" s="1115"/>
      <c r="AO4443" s="1115"/>
      <c r="AP4443" s="1115"/>
      <c r="AQ4443" s="1115"/>
      <c r="AR4443" s="1115"/>
      <c r="AS4443" s="1117"/>
      <c r="AT4443" s="1075"/>
      <c r="AU4443" s="1193"/>
      <c r="AV4443" s="330"/>
      <c r="AW4443" s="331"/>
      <c r="AX4443" s="331"/>
      <c r="AY4443" s="331"/>
      <c r="AZ4443" s="331"/>
      <c r="BA4443" s="331"/>
      <c r="BB4443" s="331"/>
      <c r="BC4443" s="331"/>
      <c r="BD4443" s="331"/>
      <c r="BE4443" s="333"/>
      <c r="BF4443" s="330"/>
      <c r="BG4443" s="333"/>
      <c r="BH4443" s="1119"/>
      <c r="BI4443" s="319"/>
      <c r="BJ4443" s="319"/>
      <c r="BK4443" s="319"/>
      <c r="BL4443" s="319"/>
      <c r="BM4443" s="319"/>
      <c r="BN4443" s="319"/>
      <c r="BO4443" s="319"/>
      <c r="BP4443" s="953"/>
      <c r="BQ4443" s="319"/>
      <c r="BR4443" s="319"/>
      <c r="BS4443" s="330"/>
      <c r="BT4443" s="331"/>
      <c r="BU4443" s="920"/>
      <c r="BV4443" s="903"/>
      <c r="BW4443" s="908"/>
      <c r="BX4443" s="908"/>
      <c r="BY4443" s="331"/>
      <c r="BZ4443" s="331"/>
      <c r="CA4443" s="462"/>
      <c r="CB4443" s="319"/>
      <c r="CC4443" s="319"/>
      <c r="CD4443" s="319"/>
      <c r="CE4443" s="319"/>
      <c r="CF4443" s="319"/>
      <c r="CG4443" s="319"/>
      <c r="CH4443" s="318"/>
      <c r="CI4443" s="319"/>
      <c r="CJ4443" s="319"/>
      <c r="CK4443" s="342"/>
      <c r="CL4443" s="333"/>
      <c r="CM4443" s="1079"/>
      <c r="CN4443" s="1005"/>
      <c r="CO4443" s="1005"/>
      <c r="CP4443" s="1005"/>
    </row>
    <row r="4444">
      <c r="A4444" s="1257"/>
      <c r="B4444" s="1113"/>
      <c r="C4444" s="1107"/>
      <c r="D4444" s="103"/>
      <c r="E4444" s="1137"/>
      <c r="F4444" s="112"/>
      <c r="G4444" s="1110"/>
      <c r="H4444" s="1138"/>
      <c r="I4444" s="1138"/>
      <c r="J4444" s="1139"/>
      <c r="K4444" s="1111"/>
      <c r="L4444" s="1112"/>
      <c r="M4444" s="1113"/>
      <c r="N4444" s="110"/>
      <c r="O4444" s="1140"/>
      <c r="P4444" s="1115"/>
      <c r="Q4444" s="1116"/>
      <c r="R4444" s="1141"/>
      <c r="S4444" s="1113"/>
      <c r="T4444" s="1143"/>
      <c r="U4444" s="1108"/>
      <c r="V4444" s="1108"/>
      <c r="W4444" s="1108"/>
      <c r="X4444" s="1108"/>
      <c r="Y4444" s="1108"/>
      <c r="Z4444" s="1114"/>
      <c r="AA4444" s="1114"/>
      <c r="AB4444" s="1114"/>
      <c r="AC4444" s="1117"/>
      <c r="AD4444" s="1115"/>
      <c r="AE4444" s="1115"/>
      <c r="AF4444" s="1115"/>
      <c r="AG4444" s="1115"/>
      <c r="AH4444" s="1115"/>
      <c r="AI4444" s="1115"/>
      <c r="AJ4444" s="1117"/>
      <c r="AK4444" s="1118"/>
      <c r="AL4444" s="1115"/>
      <c r="AM4444" s="1115"/>
      <c r="AN4444" s="1115"/>
      <c r="AO4444" s="1115"/>
      <c r="AP4444" s="1115"/>
      <c r="AQ4444" s="1115"/>
      <c r="AR4444" s="1115"/>
      <c r="AS4444" s="1117"/>
      <c r="AT4444" s="1075"/>
      <c r="AU4444" s="1193"/>
      <c r="AV4444" s="330"/>
      <c r="AW4444" s="331"/>
      <c r="AX4444" s="331"/>
      <c r="AY4444" s="331"/>
      <c r="AZ4444" s="331"/>
      <c r="BA4444" s="331"/>
      <c r="BB4444" s="331"/>
      <c r="BC4444" s="331"/>
      <c r="BD4444" s="331"/>
      <c r="BE4444" s="333"/>
      <c r="BF4444" s="330"/>
      <c r="BG4444" s="333"/>
      <c r="BH4444" s="1119"/>
      <c r="BI4444" s="319"/>
      <c r="BJ4444" s="319"/>
      <c r="BK4444" s="319"/>
      <c r="BL4444" s="319"/>
      <c r="BM4444" s="319"/>
      <c r="BN4444" s="319"/>
      <c r="BO4444" s="319"/>
      <c r="BP4444" s="953"/>
      <c r="BQ4444" s="319"/>
      <c r="BR4444" s="319"/>
      <c r="BS4444" s="330"/>
      <c r="BT4444" s="331"/>
      <c r="BU4444" s="920"/>
      <c r="BV4444" s="903"/>
      <c r="BW4444" s="908"/>
      <c r="BX4444" s="908"/>
      <c r="BY4444" s="331"/>
      <c r="BZ4444" s="331"/>
      <c r="CA4444" s="462"/>
      <c r="CB4444" s="319"/>
      <c r="CC4444" s="319"/>
      <c r="CD4444" s="319"/>
      <c r="CE4444" s="319"/>
      <c r="CF4444" s="319"/>
      <c r="CG4444" s="319"/>
      <c r="CH4444" s="318"/>
      <c r="CI4444" s="319"/>
      <c r="CJ4444" s="319"/>
      <c r="CK4444" s="342"/>
      <c r="CL4444" s="333"/>
      <c r="CM4444" s="1079"/>
      <c r="CN4444" s="1005"/>
      <c r="CO4444" s="1005"/>
      <c r="CP4444" s="1005"/>
    </row>
    <row r="4445">
      <c r="A4445" s="1257"/>
      <c r="B4445" s="1113"/>
      <c r="C4445" s="1107"/>
      <c r="D4445" s="103"/>
      <c r="E4445" s="1137"/>
      <c r="F4445" s="112"/>
      <c r="G4445" s="1110"/>
      <c r="H4445" s="1138"/>
      <c r="I4445" s="1138"/>
      <c r="J4445" s="1139"/>
      <c r="K4445" s="1111"/>
      <c r="L4445" s="1112"/>
      <c r="M4445" s="1113"/>
      <c r="N4445" s="110"/>
      <c r="O4445" s="1140"/>
      <c r="P4445" s="1115"/>
      <c r="Q4445" s="1116"/>
      <c r="R4445" s="1141"/>
      <c r="S4445" s="1113"/>
      <c r="T4445" s="1143"/>
      <c r="U4445" s="1108"/>
      <c r="V4445" s="1108"/>
      <c r="W4445" s="1108"/>
      <c r="X4445" s="1108"/>
      <c r="Y4445" s="1108"/>
      <c r="Z4445" s="1114"/>
      <c r="AA4445" s="1114"/>
      <c r="AB4445" s="1114"/>
      <c r="AC4445" s="1117"/>
      <c r="AD4445" s="1115"/>
      <c r="AE4445" s="1115"/>
      <c r="AF4445" s="1115"/>
      <c r="AG4445" s="1115"/>
      <c r="AH4445" s="1115"/>
      <c r="AI4445" s="1115"/>
      <c r="AJ4445" s="1117"/>
      <c r="AK4445" s="1118"/>
      <c r="AL4445" s="1115"/>
      <c r="AM4445" s="1115"/>
      <c r="AN4445" s="1115"/>
      <c r="AO4445" s="1115"/>
      <c r="AP4445" s="1115"/>
      <c r="AQ4445" s="1115"/>
      <c r="AR4445" s="1115"/>
      <c r="AS4445" s="1117"/>
      <c r="AT4445" s="1075"/>
      <c r="AU4445" s="1193"/>
      <c r="AV4445" s="330"/>
      <c r="AW4445" s="331"/>
      <c r="AX4445" s="331"/>
      <c r="AY4445" s="331"/>
      <c r="AZ4445" s="331"/>
      <c r="BA4445" s="331"/>
      <c r="BB4445" s="331"/>
      <c r="BC4445" s="331"/>
      <c r="BD4445" s="331"/>
      <c r="BE4445" s="333"/>
      <c r="BF4445" s="330"/>
      <c r="BG4445" s="333"/>
      <c r="BH4445" s="1119"/>
      <c r="BI4445" s="319"/>
      <c r="BJ4445" s="319"/>
      <c r="BK4445" s="319"/>
      <c r="BL4445" s="319"/>
      <c r="BM4445" s="319"/>
      <c r="BN4445" s="319"/>
      <c r="BO4445" s="319"/>
      <c r="BP4445" s="953"/>
      <c r="BQ4445" s="319"/>
      <c r="BR4445" s="319"/>
      <c r="BS4445" s="330"/>
      <c r="BT4445" s="331"/>
      <c r="BU4445" s="920"/>
      <c r="BV4445" s="903"/>
      <c r="BW4445" s="908"/>
      <c r="BX4445" s="908"/>
      <c r="BY4445" s="331"/>
      <c r="BZ4445" s="331"/>
      <c r="CA4445" s="462"/>
      <c r="CB4445" s="319"/>
      <c r="CC4445" s="319"/>
      <c r="CD4445" s="319"/>
      <c r="CE4445" s="319"/>
      <c r="CF4445" s="319"/>
      <c r="CG4445" s="319"/>
      <c r="CH4445" s="318"/>
      <c r="CI4445" s="319"/>
      <c r="CJ4445" s="319"/>
      <c r="CK4445" s="342"/>
      <c r="CL4445" s="333"/>
      <c r="CM4445" s="1079"/>
      <c r="CN4445" s="1005"/>
      <c r="CO4445" s="1005"/>
      <c r="CP4445" s="1005"/>
    </row>
    <row r="4446">
      <c r="A4446" s="1257"/>
      <c r="B4446" s="1113"/>
      <c r="C4446" s="1107"/>
      <c r="D4446" s="103"/>
      <c r="E4446" s="1137"/>
      <c r="F4446" s="112"/>
      <c r="G4446" s="1110"/>
      <c r="H4446" s="1138"/>
      <c r="I4446" s="1138"/>
      <c r="J4446" s="1139"/>
      <c r="K4446" s="1111"/>
      <c r="L4446" s="1112"/>
      <c r="M4446" s="1113"/>
      <c r="N4446" s="110"/>
      <c r="O4446" s="1140"/>
      <c r="P4446" s="1115"/>
      <c r="Q4446" s="1116"/>
      <c r="R4446" s="1141"/>
      <c r="S4446" s="1113"/>
      <c r="T4446" s="1143"/>
      <c r="U4446" s="1108"/>
      <c r="V4446" s="1108"/>
      <c r="W4446" s="1108"/>
      <c r="X4446" s="1108"/>
      <c r="Y4446" s="1108"/>
      <c r="Z4446" s="1114"/>
      <c r="AA4446" s="1114"/>
      <c r="AB4446" s="1114"/>
      <c r="AC4446" s="1117"/>
      <c r="AD4446" s="1115"/>
      <c r="AE4446" s="1115"/>
      <c r="AF4446" s="1115"/>
      <c r="AG4446" s="1115"/>
      <c r="AH4446" s="1115"/>
      <c r="AI4446" s="1115"/>
      <c r="AJ4446" s="1117"/>
      <c r="AK4446" s="1118"/>
      <c r="AL4446" s="1115"/>
      <c r="AM4446" s="1115"/>
      <c r="AN4446" s="1115"/>
      <c r="AO4446" s="1115"/>
      <c r="AP4446" s="1115"/>
      <c r="AQ4446" s="1115"/>
      <c r="AR4446" s="1115"/>
      <c r="AS4446" s="1117"/>
      <c r="AT4446" s="1075"/>
      <c r="AU4446" s="1193"/>
      <c r="AV4446" s="330"/>
      <c r="AW4446" s="331"/>
      <c r="AX4446" s="331"/>
      <c r="AY4446" s="331"/>
      <c r="AZ4446" s="331"/>
      <c r="BA4446" s="331"/>
      <c r="BB4446" s="331"/>
      <c r="BC4446" s="331"/>
      <c r="BD4446" s="331"/>
      <c r="BE4446" s="333"/>
      <c r="BF4446" s="330"/>
      <c r="BG4446" s="333"/>
      <c r="BH4446" s="1119"/>
      <c r="BI4446" s="319"/>
      <c r="BJ4446" s="319"/>
      <c r="BK4446" s="319"/>
      <c r="BL4446" s="319"/>
      <c r="BM4446" s="319"/>
      <c r="BN4446" s="319"/>
      <c r="BO4446" s="319"/>
      <c r="BP4446" s="953"/>
      <c r="BQ4446" s="319"/>
      <c r="BR4446" s="319"/>
      <c r="BS4446" s="330"/>
      <c r="BT4446" s="331"/>
      <c r="BU4446" s="920"/>
      <c r="BV4446" s="903"/>
      <c r="BW4446" s="908"/>
      <c r="BX4446" s="908"/>
      <c r="BY4446" s="331"/>
      <c r="BZ4446" s="331"/>
      <c r="CA4446" s="462"/>
      <c r="CB4446" s="319"/>
      <c r="CC4446" s="319"/>
      <c r="CD4446" s="319"/>
      <c r="CE4446" s="319"/>
      <c r="CF4446" s="319"/>
      <c r="CG4446" s="319"/>
      <c r="CH4446" s="318"/>
      <c r="CI4446" s="319"/>
      <c r="CJ4446" s="319"/>
      <c r="CK4446" s="342"/>
      <c r="CL4446" s="333"/>
      <c r="CM4446" s="1079"/>
      <c r="CN4446" s="1005"/>
      <c r="CO4446" s="1005"/>
      <c r="CP4446" s="1005"/>
    </row>
    <row r="4447">
      <c r="A4447" s="1257"/>
      <c r="B4447" s="1113"/>
      <c r="C4447" s="1107"/>
      <c r="D4447" s="103"/>
      <c r="E4447" s="1137"/>
      <c r="F4447" s="112"/>
      <c r="G4447" s="1110"/>
      <c r="H4447" s="1138"/>
      <c r="I4447" s="1138"/>
      <c r="J4447" s="1139"/>
      <c r="K4447" s="1111"/>
      <c r="L4447" s="1112"/>
      <c r="M4447" s="1113"/>
      <c r="N4447" s="110"/>
      <c r="O4447" s="1140"/>
      <c r="P4447" s="1115"/>
      <c r="Q4447" s="1116"/>
      <c r="R4447" s="1141"/>
      <c r="S4447" s="1113"/>
      <c r="T4447" s="1143"/>
      <c r="U4447" s="1108"/>
      <c r="V4447" s="1108"/>
      <c r="W4447" s="1108"/>
      <c r="X4447" s="1108"/>
      <c r="Y4447" s="1108"/>
      <c r="Z4447" s="1114"/>
      <c r="AA4447" s="1114"/>
      <c r="AB4447" s="1114"/>
      <c r="AC4447" s="1117"/>
      <c r="AD4447" s="1115"/>
      <c r="AE4447" s="1115"/>
      <c r="AF4447" s="1115"/>
      <c r="AG4447" s="1115"/>
      <c r="AH4447" s="1115"/>
      <c r="AI4447" s="1115"/>
      <c r="AJ4447" s="1117"/>
      <c r="AK4447" s="1118"/>
      <c r="AL4447" s="1115"/>
      <c r="AM4447" s="1115"/>
      <c r="AN4447" s="1115"/>
      <c r="AO4447" s="1115"/>
      <c r="AP4447" s="1115"/>
      <c r="AQ4447" s="1115"/>
      <c r="AR4447" s="1115"/>
      <c r="AS4447" s="1117"/>
      <c r="AT4447" s="1075"/>
      <c r="AU4447" s="1193"/>
      <c r="AV4447" s="330"/>
      <c r="AW4447" s="331"/>
      <c r="AX4447" s="331"/>
      <c r="AY4447" s="331"/>
      <c r="AZ4447" s="331"/>
      <c r="BA4447" s="331"/>
      <c r="BB4447" s="331"/>
      <c r="BC4447" s="331"/>
      <c r="BD4447" s="331"/>
      <c r="BE4447" s="333"/>
      <c r="BF4447" s="330"/>
      <c r="BG4447" s="333"/>
      <c r="BH4447" s="1119"/>
      <c r="BI4447" s="319"/>
      <c r="BJ4447" s="319"/>
      <c r="BK4447" s="319"/>
      <c r="BL4447" s="319"/>
      <c r="BM4447" s="319"/>
      <c r="BN4447" s="319"/>
      <c r="BO4447" s="319"/>
      <c r="BP4447" s="953"/>
      <c r="BQ4447" s="319"/>
      <c r="BR4447" s="319"/>
      <c r="BS4447" s="330"/>
      <c r="BT4447" s="331"/>
      <c r="BU4447" s="920"/>
      <c r="BV4447" s="903"/>
      <c r="BW4447" s="908"/>
      <c r="BX4447" s="908"/>
      <c r="BY4447" s="331"/>
      <c r="BZ4447" s="331"/>
      <c r="CA4447" s="462"/>
      <c r="CB4447" s="319"/>
      <c r="CC4447" s="319"/>
      <c r="CD4447" s="319"/>
      <c r="CE4447" s="319"/>
      <c r="CF4447" s="319"/>
      <c r="CG4447" s="319"/>
      <c r="CH4447" s="318"/>
      <c r="CI4447" s="319"/>
      <c r="CJ4447" s="319"/>
      <c r="CK4447" s="342"/>
      <c r="CL4447" s="333"/>
      <c r="CM4447" s="1079"/>
      <c r="CN4447" s="1005"/>
      <c r="CO4447" s="1005"/>
      <c r="CP4447" s="1005"/>
    </row>
    <row r="4448">
      <c r="A4448" s="1257"/>
      <c r="B4448" s="1113"/>
      <c r="C4448" s="1107"/>
      <c r="D4448" s="103"/>
      <c r="E4448" s="1137"/>
      <c r="F4448" s="112"/>
      <c r="G4448" s="1110"/>
      <c r="H4448" s="1138"/>
      <c r="I4448" s="1138"/>
      <c r="J4448" s="1139"/>
      <c r="K4448" s="1111"/>
      <c r="L4448" s="1112"/>
      <c r="M4448" s="1113"/>
      <c r="N4448" s="110"/>
      <c r="O4448" s="1140"/>
      <c r="P4448" s="1115"/>
      <c r="Q4448" s="1116"/>
      <c r="R4448" s="1141"/>
      <c r="S4448" s="1113"/>
      <c r="T4448" s="1143"/>
      <c r="U4448" s="1108"/>
      <c r="V4448" s="1108"/>
      <c r="W4448" s="1108"/>
      <c r="X4448" s="1108"/>
      <c r="Y4448" s="1108"/>
      <c r="Z4448" s="1114"/>
      <c r="AA4448" s="1114"/>
      <c r="AB4448" s="1114"/>
      <c r="AC4448" s="1117"/>
      <c r="AD4448" s="1115"/>
      <c r="AE4448" s="1115"/>
      <c r="AF4448" s="1115"/>
      <c r="AG4448" s="1115"/>
      <c r="AH4448" s="1115"/>
      <c r="AI4448" s="1115"/>
      <c r="AJ4448" s="1117"/>
      <c r="AK4448" s="1118"/>
      <c r="AL4448" s="1115"/>
      <c r="AM4448" s="1115"/>
      <c r="AN4448" s="1115"/>
      <c r="AO4448" s="1115"/>
      <c r="AP4448" s="1115"/>
      <c r="AQ4448" s="1115"/>
      <c r="AR4448" s="1115"/>
      <c r="AS4448" s="1117"/>
      <c r="AT4448" s="1075"/>
      <c r="AU4448" s="1193"/>
      <c r="AV4448" s="330"/>
      <c r="AW4448" s="331"/>
      <c r="AX4448" s="331"/>
      <c r="AY4448" s="331"/>
      <c r="AZ4448" s="331"/>
      <c r="BA4448" s="331"/>
      <c r="BB4448" s="331"/>
      <c r="BC4448" s="331"/>
      <c r="BD4448" s="331"/>
      <c r="BE4448" s="333"/>
      <c r="BF4448" s="330"/>
      <c r="BG4448" s="333"/>
      <c r="BH4448" s="1119"/>
      <c r="BI4448" s="319"/>
      <c r="BJ4448" s="319"/>
      <c r="BK4448" s="319"/>
      <c r="BL4448" s="319"/>
      <c r="BM4448" s="319"/>
      <c r="BN4448" s="319"/>
      <c r="BO4448" s="319"/>
      <c r="BP4448" s="953"/>
      <c r="BQ4448" s="319"/>
      <c r="BR4448" s="319"/>
      <c r="BS4448" s="330"/>
      <c r="BT4448" s="331"/>
      <c r="BU4448" s="920"/>
      <c r="BV4448" s="903"/>
      <c r="BW4448" s="908"/>
      <c r="BX4448" s="908"/>
      <c r="BY4448" s="331"/>
      <c r="BZ4448" s="331"/>
      <c r="CA4448" s="462"/>
      <c r="CB4448" s="319"/>
      <c r="CC4448" s="319"/>
      <c r="CD4448" s="319"/>
      <c r="CE4448" s="319"/>
      <c r="CF4448" s="319"/>
      <c r="CG4448" s="319"/>
      <c r="CH4448" s="318"/>
      <c r="CI4448" s="319"/>
      <c r="CJ4448" s="319"/>
      <c r="CK4448" s="342"/>
      <c r="CL4448" s="333"/>
      <c r="CM4448" s="1079"/>
      <c r="CN4448" s="1005"/>
      <c r="CO4448" s="1005"/>
      <c r="CP4448" s="1005"/>
    </row>
    <row r="4449">
      <c r="A4449" s="1257"/>
      <c r="B4449" s="1113"/>
      <c r="C4449" s="1107"/>
      <c r="D4449" s="103"/>
      <c r="E4449" s="1137"/>
      <c r="F4449" s="112"/>
      <c r="G4449" s="1110"/>
      <c r="H4449" s="1138"/>
      <c r="I4449" s="1138"/>
      <c r="J4449" s="1139"/>
      <c r="K4449" s="1111"/>
      <c r="L4449" s="1112"/>
      <c r="M4449" s="1113"/>
      <c r="N4449" s="110"/>
      <c r="O4449" s="1140"/>
      <c r="P4449" s="1115"/>
      <c r="Q4449" s="1116"/>
      <c r="R4449" s="1141"/>
      <c r="S4449" s="1113"/>
      <c r="T4449" s="1143"/>
      <c r="U4449" s="1108"/>
      <c r="V4449" s="1108"/>
      <c r="W4449" s="1108"/>
      <c r="X4449" s="1108"/>
      <c r="Y4449" s="1108"/>
      <c r="Z4449" s="1114"/>
      <c r="AA4449" s="1114"/>
      <c r="AB4449" s="1114"/>
      <c r="AC4449" s="1117"/>
      <c r="AD4449" s="1115"/>
      <c r="AE4449" s="1115"/>
      <c r="AF4449" s="1115"/>
      <c r="AG4449" s="1115"/>
      <c r="AH4449" s="1115"/>
      <c r="AI4449" s="1115"/>
      <c r="AJ4449" s="1117"/>
      <c r="AK4449" s="1118"/>
      <c r="AL4449" s="1115"/>
      <c r="AM4449" s="1115"/>
      <c r="AN4449" s="1115"/>
      <c r="AO4449" s="1115"/>
      <c r="AP4449" s="1115"/>
      <c r="AQ4449" s="1115"/>
      <c r="AR4449" s="1115"/>
      <c r="AS4449" s="1117"/>
      <c r="AT4449" s="1075"/>
      <c r="AU4449" s="1193"/>
      <c r="AV4449" s="330"/>
      <c r="AW4449" s="331"/>
      <c r="AX4449" s="331"/>
      <c r="AY4449" s="331"/>
      <c r="AZ4449" s="331"/>
      <c r="BA4449" s="331"/>
      <c r="BB4449" s="331"/>
      <c r="BC4449" s="331"/>
      <c r="BD4449" s="331"/>
      <c r="BE4449" s="333"/>
      <c r="BF4449" s="330"/>
      <c r="BG4449" s="333"/>
      <c r="BH4449" s="1119"/>
      <c r="BI4449" s="319"/>
      <c r="BJ4449" s="319"/>
      <c r="BK4449" s="319"/>
      <c r="BL4449" s="319"/>
      <c r="BM4449" s="319"/>
      <c r="BN4449" s="319"/>
      <c r="BO4449" s="319"/>
      <c r="BP4449" s="953"/>
      <c r="BQ4449" s="319"/>
      <c r="BR4449" s="319"/>
      <c r="BS4449" s="330"/>
      <c r="BT4449" s="331"/>
      <c r="BU4449" s="920"/>
      <c r="BV4449" s="903"/>
      <c r="BW4449" s="908"/>
      <c r="BX4449" s="908"/>
      <c r="BY4449" s="331"/>
      <c r="BZ4449" s="331"/>
      <c r="CA4449" s="462"/>
      <c r="CB4449" s="319"/>
      <c r="CC4449" s="319"/>
      <c r="CD4449" s="319"/>
      <c r="CE4449" s="319"/>
      <c r="CF4449" s="319"/>
      <c r="CG4449" s="319"/>
      <c r="CH4449" s="318"/>
      <c r="CI4449" s="319"/>
      <c r="CJ4449" s="319"/>
      <c r="CK4449" s="342"/>
      <c r="CL4449" s="333"/>
      <c r="CM4449" s="1079"/>
      <c r="CN4449" s="1005"/>
      <c r="CO4449" s="1005"/>
      <c r="CP4449" s="1005"/>
    </row>
    <row r="4450">
      <c r="A4450" s="1257"/>
      <c r="B4450" s="1113"/>
      <c r="C4450" s="1107"/>
      <c r="D4450" s="103"/>
      <c r="E4450" s="1137"/>
      <c r="F4450" s="112"/>
      <c r="G4450" s="1110"/>
      <c r="H4450" s="1138"/>
      <c r="I4450" s="1138"/>
      <c r="J4450" s="1139"/>
      <c r="K4450" s="1111"/>
      <c r="L4450" s="1112"/>
      <c r="M4450" s="1113"/>
      <c r="N4450" s="110"/>
      <c r="O4450" s="1140"/>
      <c r="P4450" s="1115"/>
      <c r="Q4450" s="1116"/>
      <c r="R4450" s="1141"/>
      <c r="S4450" s="1113"/>
      <c r="T4450" s="1143"/>
      <c r="U4450" s="1108"/>
      <c r="V4450" s="1108"/>
      <c r="W4450" s="1108"/>
      <c r="X4450" s="1108"/>
      <c r="Y4450" s="1108"/>
      <c r="Z4450" s="1114"/>
      <c r="AA4450" s="1114"/>
      <c r="AB4450" s="1114"/>
      <c r="AC4450" s="1117"/>
      <c r="AD4450" s="1115"/>
      <c r="AE4450" s="1115"/>
      <c r="AF4450" s="1115"/>
      <c r="AG4450" s="1115"/>
      <c r="AH4450" s="1115"/>
      <c r="AI4450" s="1115"/>
      <c r="AJ4450" s="1117"/>
      <c r="AK4450" s="1118"/>
      <c r="AL4450" s="1115"/>
      <c r="AM4450" s="1115"/>
      <c r="AN4450" s="1115"/>
      <c r="AO4450" s="1115"/>
      <c r="AP4450" s="1115"/>
      <c r="AQ4450" s="1115"/>
      <c r="AR4450" s="1115"/>
      <c r="AS4450" s="1117"/>
      <c r="AT4450" s="1075"/>
      <c r="AU4450" s="1193"/>
      <c r="AV4450" s="330"/>
      <c r="AW4450" s="331"/>
      <c r="AX4450" s="331"/>
      <c r="AY4450" s="331"/>
      <c r="AZ4450" s="331"/>
      <c r="BA4450" s="331"/>
      <c r="BB4450" s="331"/>
      <c r="BC4450" s="331"/>
      <c r="BD4450" s="331"/>
      <c r="BE4450" s="333"/>
      <c r="BF4450" s="330"/>
      <c r="BG4450" s="333"/>
      <c r="BH4450" s="1119"/>
      <c r="BI4450" s="319"/>
      <c r="BJ4450" s="319"/>
      <c r="BK4450" s="319"/>
      <c r="BL4450" s="319"/>
      <c r="BM4450" s="319"/>
      <c r="BN4450" s="319"/>
      <c r="BO4450" s="319"/>
      <c r="BP4450" s="953"/>
      <c r="BQ4450" s="319"/>
      <c r="BR4450" s="319"/>
      <c r="BS4450" s="330"/>
      <c r="BT4450" s="331"/>
      <c r="BU4450" s="920"/>
      <c r="BV4450" s="903"/>
      <c r="BW4450" s="908"/>
      <c r="BX4450" s="908"/>
      <c r="BY4450" s="331"/>
      <c r="BZ4450" s="331"/>
      <c r="CA4450" s="462"/>
      <c r="CB4450" s="319"/>
      <c r="CC4450" s="319"/>
      <c r="CD4450" s="319"/>
      <c r="CE4450" s="319"/>
      <c r="CF4450" s="319"/>
      <c r="CG4450" s="319"/>
      <c r="CH4450" s="318"/>
      <c r="CI4450" s="319"/>
      <c r="CJ4450" s="319"/>
      <c r="CK4450" s="342"/>
      <c r="CL4450" s="333"/>
      <c r="CM4450" s="1079"/>
      <c r="CN4450" s="1005"/>
      <c r="CO4450" s="1005"/>
      <c r="CP4450" s="1005"/>
    </row>
    <row r="4451">
      <c r="A4451" s="1257"/>
      <c r="B4451" s="1113"/>
      <c r="C4451" s="1107"/>
      <c r="D4451" s="103"/>
      <c r="E4451" s="1137"/>
      <c r="F4451" s="112"/>
      <c r="G4451" s="1110"/>
      <c r="H4451" s="1138"/>
      <c r="I4451" s="1138"/>
      <c r="J4451" s="1139"/>
      <c r="K4451" s="1111"/>
      <c r="L4451" s="1112"/>
      <c r="M4451" s="1113"/>
      <c r="N4451" s="110"/>
      <c r="O4451" s="1140"/>
      <c r="P4451" s="1115"/>
      <c r="Q4451" s="1116"/>
      <c r="R4451" s="1141"/>
      <c r="S4451" s="1113"/>
      <c r="T4451" s="1143"/>
      <c r="U4451" s="1108"/>
      <c r="V4451" s="1108"/>
      <c r="W4451" s="1108"/>
      <c r="X4451" s="1108"/>
      <c r="Y4451" s="1108"/>
      <c r="Z4451" s="1114"/>
      <c r="AA4451" s="1114"/>
      <c r="AB4451" s="1114"/>
      <c r="AC4451" s="1117"/>
      <c r="AD4451" s="1115"/>
      <c r="AE4451" s="1115"/>
      <c r="AF4451" s="1115"/>
      <c r="AG4451" s="1115"/>
      <c r="AH4451" s="1115"/>
      <c r="AI4451" s="1115"/>
      <c r="AJ4451" s="1117"/>
      <c r="AK4451" s="1118"/>
      <c r="AL4451" s="1115"/>
      <c r="AM4451" s="1115"/>
      <c r="AN4451" s="1115"/>
      <c r="AO4451" s="1115"/>
      <c r="AP4451" s="1115"/>
      <c r="AQ4451" s="1115"/>
      <c r="AR4451" s="1115"/>
      <c r="AS4451" s="1117"/>
      <c r="AT4451" s="1075"/>
      <c r="AU4451" s="1193"/>
      <c r="AV4451" s="330"/>
      <c r="AW4451" s="331"/>
      <c r="AX4451" s="331"/>
      <c r="AY4451" s="331"/>
      <c r="AZ4451" s="331"/>
      <c r="BA4451" s="331"/>
      <c r="BB4451" s="331"/>
      <c r="BC4451" s="331"/>
      <c r="BD4451" s="331"/>
      <c r="BE4451" s="333"/>
      <c r="BF4451" s="330"/>
      <c r="BG4451" s="333"/>
      <c r="BH4451" s="1119"/>
      <c r="BI4451" s="319"/>
      <c r="BJ4451" s="319"/>
      <c r="BK4451" s="319"/>
      <c r="BL4451" s="319"/>
      <c r="BM4451" s="319"/>
      <c r="BN4451" s="319"/>
      <c r="BO4451" s="319"/>
      <c r="BP4451" s="953"/>
      <c r="BQ4451" s="319"/>
      <c r="BR4451" s="319"/>
      <c r="BS4451" s="330"/>
      <c r="BT4451" s="331"/>
      <c r="BU4451" s="920"/>
      <c r="BV4451" s="903"/>
      <c r="BW4451" s="908"/>
      <c r="BX4451" s="908"/>
      <c r="BY4451" s="331"/>
      <c r="BZ4451" s="331"/>
      <c r="CA4451" s="462"/>
      <c r="CB4451" s="319"/>
      <c r="CC4451" s="319"/>
      <c r="CD4451" s="319"/>
      <c r="CE4451" s="319"/>
      <c r="CF4451" s="319"/>
      <c r="CG4451" s="319"/>
      <c r="CH4451" s="318"/>
      <c r="CI4451" s="319"/>
      <c r="CJ4451" s="319"/>
      <c r="CK4451" s="342"/>
      <c r="CL4451" s="333"/>
      <c r="CM4451" s="1079"/>
      <c r="CN4451" s="1005"/>
      <c r="CO4451" s="1005"/>
      <c r="CP4451" s="1005"/>
    </row>
    <row r="4452">
      <c r="A4452" s="1257"/>
      <c r="B4452" s="1113"/>
      <c r="C4452" s="1107"/>
      <c r="D4452" s="103"/>
      <c r="E4452" s="1137"/>
      <c r="F4452" s="112"/>
      <c r="G4452" s="1110"/>
      <c r="H4452" s="1138"/>
      <c r="I4452" s="1138"/>
      <c r="J4452" s="1139"/>
      <c r="K4452" s="1111"/>
      <c r="L4452" s="1112"/>
      <c r="M4452" s="1113"/>
      <c r="N4452" s="110"/>
      <c r="O4452" s="1140"/>
      <c r="P4452" s="1115"/>
      <c r="Q4452" s="1116"/>
      <c r="R4452" s="1141"/>
      <c r="S4452" s="1113"/>
      <c r="T4452" s="1143"/>
      <c r="U4452" s="1108"/>
      <c r="V4452" s="1108"/>
      <c r="W4452" s="1108"/>
      <c r="X4452" s="1108"/>
      <c r="Y4452" s="1108"/>
      <c r="Z4452" s="1114"/>
      <c r="AA4452" s="1114"/>
      <c r="AB4452" s="1114"/>
      <c r="AC4452" s="1117"/>
      <c r="AD4452" s="1115"/>
      <c r="AE4452" s="1115"/>
      <c r="AF4452" s="1115"/>
      <c r="AG4452" s="1115"/>
      <c r="AH4452" s="1115"/>
      <c r="AI4452" s="1115"/>
      <c r="AJ4452" s="1117"/>
      <c r="AK4452" s="1118"/>
      <c r="AL4452" s="1115"/>
      <c r="AM4452" s="1115"/>
      <c r="AN4452" s="1115"/>
      <c r="AO4452" s="1115"/>
      <c r="AP4452" s="1115"/>
      <c r="AQ4452" s="1115"/>
      <c r="AR4452" s="1115"/>
      <c r="AS4452" s="1117"/>
      <c r="AT4452" s="1075"/>
      <c r="AU4452" s="1193"/>
      <c r="AV4452" s="330"/>
      <c r="AW4452" s="331"/>
      <c r="AX4452" s="331"/>
      <c r="AY4452" s="331"/>
      <c r="AZ4452" s="331"/>
      <c r="BA4452" s="331"/>
      <c r="BB4452" s="331"/>
      <c r="BC4452" s="331"/>
      <c r="BD4452" s="331"/>
      <c r="BE4452" s="333"/>
      <c r="BF4452" s="330"/>
      <c r="BG4452" s="333"/>
      <c r="BH4452" s="1119"/>
      <c r="BI4452" s="319"/>
      <c r="BJ4452" s="319"/>
      <c r="BK4452" s="319"/>
      <c r="BL4452" s="319"/>
      <c r="BM4452" s="319"/>
      <c r="BN4452" s="319"/>
      <c r="BO4452" s="319"/>
      <c r="BP4452" s="953"/>
      <c r="BQ4452" s="319"/>
      <c r="BR4452" s="319"/>
      <c r="BS4452" s="330"/>
      <c r="BT4452" s="331"/>
      <c r="BU4452" s="920"/>
      <c r="BV4452" s="903"/>
      <c r="BW4452" s="908"/>
      <c r="BX4452" s="908"/>
      <c r="BY4452" s="331"/>
      <c r="BZ4452" s="331"/>
      <c r="CA4452" s="462"/>
      <c r="CB4452" s="319"/>
      <c r="CC4452" s="319"/>
      <c r="CD4452" s="319"/>
      <c r="CE4452" s="319"/>
      <c r="CF4452" s="319"/>
      <c r="CG4452" s="319"/>
      <c r="CH4452" s="318"/>
      <c r="CI4452" s="319"/>
      <c r="CJ4452" s="319"/>
      <c r="CK4452" s="342"/>
      <c r="CL4452" s="333"/>
      <c r="CM4452" s="1079"/>
      <c r="CN4452" s="1005"/>
      <c r="CO4452" s="1005"/>
      <c r="CP4452" s="1005"/>
    </row>
    <row r="4453">
      <c r="A4453" s="1257"/>
      <c r="B4453" s="1113"/>
      <c r="C4453" s="1107"/>
      <c r="D4453" s="103"/>
      <c r="E4453" s="1137"/>
      <c r="F4453" s="112"/>
      <c r="G4453" s="1110"/>
      <c r="H4453" s="1138"/>
      <c r="I4453" s="1138"/>
      <c r="J4453" s="1139"/>
      <c r="K4453" s="1111"/>
      <c r="L4453" s="1112"/>
      <c r="M4453" s="1113"/>
      <c r="N4453" s="110"/>
      <c r="O4453" s="1140"/>
      <c r="P4453" s="1115"/>
      <c r="Q4453" s="1116"/>
      <c r="R4453" s="1141"/>
      <c r="S4453" s="1113"/>
      <c r="T4453" s="1143"/>
      <c r="U4453" s="1108"/>
      <c r="V4453" s="1108"/>
      <c r="W4453" s="1108"/>
      <c r="X4453" s="1108"/>
      <c r="Y4453" s="1108"/>
      <c r="Z4453" s="1114"/>
      <c r="AA4453" s="1114"/>
      <c r="AB4453" s="1114"/>
      <c r="AC4453" s="1117"/>
      <c r="AD4453" s="1115"/>
      <c r="AE4453" s="1115"/>
      <c r="AF4453" s="1115"/>
      <c r="AG4453" s="1115"/>
      <c r="AH4453" s="1115"/>
      <c r="AI4453" s="1115"/>
      <c r="AJ4453" s="1117"/>
      <c r="AK4453" s="1118"/>
      <c r="AL4453" s="1115"/>
      <c r="AM4453" s="1115"/>
      <c r="AN4453" s="1115"/>
      <c r="AO4453" s="1115"/>
      <c r="AP4453" s="1115"/>
      <c r="AQ4453" s="1115"/>
      <c r="AR4453" s="1115"/>
      <c r="AS4453" s="1117"/>
      <c r="AT4453" s="1075"/>
      <c r="AU4453" s="1193"/>
      <c r="AV4453" s="330"/>
      <c r="AW4453" s="331"/>
      <c r="AX4453" s="331"/>
      <c r="AY4453" s="331"/>
      <c r="AZ4453" s="331"/>
      <c r="BA4453" s="331"/>
      <c r="BB4453" s="331"/>
      <c r="BC4453" s="331"/>
      <c r="BD4453" s="331"/>
      <c r="BE4453" s="333"/>
      <c r="BF4453" s="330"/>
      <c r="BG4453" s="333"/>
      <c r="BH4453" s="1119"/>
      <c r="BI4453" s="319"/>
      <c r="BJ4453" s="319"/>
      <c r="BK4453" s="319"/>
      <c r="BL4453" s="319"/>
      <c r="BM4453" s="319"/>
      <c r="BN4453" s="319"/>
      <c r="BO4453" s="319"/>
      <c r="BP4453" s="953"/>
      <c r="BQ4453" s="319"/>
      <c r="BR4453" s="319"/>
      <c r="BS4453" s="330"/>
      <c r="BT4453" s="331"/>
      <c r="BU4453" s="920"/>
      <c r="BV4453" s="903"/>
      <c r="BW4453" s="908"/>
      <c r="BX4453" s="908"/>
      <c r="BY4453" s="331"/>
      <c r="BZ4453" s="331"/>
      <c r="CA4453" s="462"/>
      <c r="CB4453" s="319"/>
      <c r="CC4453" s="319"/>
      <c r="CD4453" s="319"/>
      <c r="CE4453" s="319"/>
      <c r="CF4453" s="319"/>
      <c r="CG4453" s="319"/>
      <c r="CH4453" s="318"/>
      <c r="CI4453" s="319"/>
      <c r="CJ4453" s="319"/>
      <c r="CK4453" s="342"/>
      <c r="CL4453" s="333"/>
      <c r="CM4453" s="1079"/>
      <c r="CN4453" s="1005"/>
      <c r="CO4453" s="1005"/>
      <c r="CP4453" s="1005"/>
    </row>
    <row r="4454">
      <c r="A4454" s="1257"/>
      <c r="B4454" s="1113"/>
      <c r="C4454" s="1107"/>
      <c r="D4454" s="103"/>
      <c r="E4454" s="1137"/>
      <c r="F4454" s="112"/>
      <c r="G4454" s="1110"/>
      <c r="H4454" s="1138"/>
      <c r="I4454" s="1138"/>
      <c r="J4454" s="1139"/>
      <c r="K4454" s="1111"/>
      <c r="L4454" s="1112"/>
      <c r="M4454" s="1113"/>
      <c r="N4454" s="110"/>
      <c r="O4454" s="1140"/>
      <c r="P4454" s="1115"/>
      <c r="Q4454" s="1116"/>
      <c r="R4454" s="1141"/>
      <c r="S4454" s="1113"/>
      <c r="T4454" s="1143"/>
      <c r="U4454" s="1108"/>
      <c r="V4454" s="1108"/>
      <c r="W4454" s="1108"/>
      <c r="X4454" s="1108"/>
      <c r="Y4454" s="1108"/>
      <c r="Z4454" s="1114"/>
      <c r="AA4454" s="1114"/>
      <c r="AB4454" s="1114"/>
      <c r="AC4454" s="1117"/>
      <c r="AD4454" s="1115"/>
      <c r="AE4454" s="1115"/>
      <c r="AF4454" s="1115"/>
      <c r="AG4454" s="1115"/>
      <c r="AH4454" s="1115"/>
      <c r="AI4454" s="1115"/>
      <c r="AJ4454" s="1117"/>
      <c r="AK4454" s="1118"/>
      <c r="AL4454" s="1115"/>
      <c r="AM4454" s="1115"/>
      <c r="AN4454" s="1115"/>
      <c r="AO4454" s="1115"/>
      <c r="AP4454" s="1115"/>
      <c r="AQ4454" s="1115"/>
      <c r="AR4454" s="1115"/>
      <c r="AS4454" s="1117"/>
      <c r="AT4454" s="1075"/>
      <c r="AU4454" s="1193"/>
      <c r="AV4454" s="330"/>
      <c r="AW4454" s="331"/>
      <c r="AX4454" s="331"/>
      <c r="AY4454" s="331"/>
      <c r="AZ4454" s="331"/>
      <c r="BA4454" s="331"/>
      <c r="BB4454" s="331"/>
      <c r="BC4454" s="331"/>
      <c r="BD4454" s="331"/>
      <c r="BE4454" s="333"/>
      <c r="BF4454" s="330"/>
      <c r="BG4454" s="333"/>
      <c r="BH4454" s="1119"/>
      <c r="BI4454" s="319"/>
      <c r="BJ4454" s="319"/>
      <c r="BK4454" s="319"/>
      <c r="BL4454" s="319"/>
      <c r="BM4454" s="319"/>
      <c r="BN4454" s="319"/>
      <c r="BO4454" s="319"/>
      <c r="BP4454" s="953"/>
      <c r="BQ4454" s="319"/>
      <c r="BR4454" s="319"/>
      <c r="BS4454" s="330"/>
      <c r="BT4454" s="331"/>
      <c r="BU4454" s="920"/>
      <c r="BV4454" s="903"/>
      <c r="BW4454" s="908"/>
      <c r="BX4454" s="908"/>
      <c r="BY4454" s="331"/>
      <c r="BZ4454" s="331"/>
      <c r="CA4454" s="462"/>
      <c r="CB4454" s="319"/>
      <c r="CC4454" s="319"/>
      <c r="CD4454" s="319"/>
      <c r="CE4454" s="319"/>
      <c r="CF4454" s="319"/>
      <c r="CG4454" s="319"/>
      <c r="CH4454" s="318"/>
      <c r="CI4454" s="319"/>
      <c r="CJ4454" s="319"/>
      <c r="CK4454" s="342"/>
      <c r="CL4454" s="333"/>
      <c r="CM4454" s="1079"/>
      <c r="CN4454" s="1005"/>
      <c r="CO4454" s="1005"/>
      <c r="CP4454" s="1005"/>
    </row>
    <row r="4455">
      <c r="A4455" s="1257"/>
      <c r="B4455" s="1113"/>
      <c r="C4455" s="1107"/>
      <c r="D4455" s="103"/>
      <c r="E4455" s="1137"/>
      <c r="F4455" s="112"/>
      <c r="G4455" s="1110"/>
      <c r="H4455" s="1138"/>
      <c r="I4455" s="1138"/>
      <c r="J4455" s="1139"/>
      <c r="K4455" s="1111"/>
      <c r="L4455" s="1112"/>
      <c r="M4455" s="1113"/>
      <c r="N4455" s="110"/>
      <c r="O4455" s="1140"/>
      <c r="P4455" s="1115"/>
      <c r="Q4455" s="1116"/>
      <c r="R4455" s="1141"/>
      <c r="S4455" s="1113"/>
      <c r="T4455" s="1143"/>
      <c r="U4455" s="1108"/>
      <c r="V4455" s="1108"/>
      <c r="W4455" s="1108"/>
      <c r="X4455" s="1108"/>
      <c r="Y4455" s="1108"/>
      <c r="Z4455" s="1114"/>
      <c r="AA4455" s="1114"/>
      <c r="AB4455" s="1114"/>
      <c r="AC4455" s="1117"/>
      <c r="AD4455" s="1115"/>
      <c r="AE4455" s="1115"/>
      <c r="AF4455" s="1115"/>
      <c r="AG4455" s="1115"/>
      <c r="AH4455" s="1115"/>
      <c r="AI4455" s="1115"/>
      <c r="AJ4455" s="1117"/>
      <c r="AK4455" s="1118"/>
      <c r="AL4455" s="1115"/>
      <c r="AM4455" s="1115"/>
      <c r="AN4455" s="1115"/>
      <c r="AO4455" s="1115"/>
      <c r="AP4455" s="1115"/>
      <c r="AQ4455" s="1115"/>
      <c r="AR4455" s="1115"/>
      <c r="AS4455" s="1117"/>
      <c r="AT4455" s="1075"/>
      <c r="AU4455" s="1193"/>
      <c r="AV4455" s="330"/>
      <c r="AW4455" s="331"/>
      <c r="AX4455" s="331"/>
      <c r="AY4455" s="331"/>
      <c r="AZ4455" s="331"/>
      <c r="BA4455" s="331"/>
      <c r="BB4455" s="331"/>
      <c r="BC4455" s="331"/>
      <c r="BD4455" s="331"/>
      <c r="BE4455" s="333"/>
      <c r="BF4455" s="330"/>
      <c r="BG4455" s="333"/>
      <c r="BH4455" s="1119"/>
      <c r="BI4455" s="319"/>
      <c r="BJ4455" s="319"/>
      <c r="BK4455" s="319"/>
      <c r="BL4455" s="319"/>
      <c r="BM4455" s="319"/>
      <c r="BN4455" s="319"/>
      <c r="BO4455" s="319"/>
      <c r="BP4455" s="953"/>
      <c r="BQ4455" s="319"/>
      <c r="BR4455" s="319"/>
      <c r="BS4455" s="330"/>
      <c r="BT4455" s="331"/>
      <c r="BU4455" s="920"/>
      <c r="BV4455" s="903"/>
      <c r="BW4455" s="908"/>
      <c r="BX4455" s="908"/>
      <c r="BY4455" s="331"/>
      <c r="BZ4455" s="331"/>
      <c r="CA4455" s="462"/>
      <c r="CB4455" s="319"/>
      <c r="CC4455" s="319"/>
      <c r="CD4455" s="319"/>
      <c r="CE4455" s="319"/>
      <c r="CF4455" s="319"/>
      <c r="CG4455" s="319"/>
      <c r="CH4455" s="318"/>
      <c r="CI4455" s="319"/>
      <c r="CJ4455" s="319"/>
      <c r="CK4455" s="342"/>
      <c r="CL4455" s="333"/>
      <c r="CM4455" s="1079"/>
      <c r="CN4455" s="1005"/>
      <c r="CO4455" s="1005"/>
      <c r="CP4455" s="1005"/>
    </row>
    <row r="4456">
      <c r="A4456" s="1257"/>
      <c r="B4456" s="1113"/>
      <c r="C4456" s="1107"/>
      <c r="D4456" s="103"/>
      <c r="E4456" s="1137"/>
      <c r="F4456" s="112"/>
      <c r="G4456" s="1110"/>
      <c r="H4456" s="1138"/>
      <c r="I4456" s="1138"/>
      <c r="J4456" s="1139"/>
      <c r="K4456" s="1111"/>
      <c r="L4456" s="1112"/>
      <c r="M4456" s="1113"/>
      <c r="N4456" s="110"/>
      <c r="O4456" s="1140"/>
      <c r="P4456" s="1115"/>
      <c r="Q4456" s="1116"/>
      <c r="R4456" s="1141"/>
      <c r="S4456" s="1113"/>
      <c r="T4456" s="1143"/>
      <c r="U4456" s="1108"/>
      <c r="V4456" s="1108"/>
      <c r="W4456" s="1108"/>
      <c r="X4456" s="1108"/>
      <c r="Y4456" s="1108"/>
      <c r="Z4456" s="1114"/>
      <c r="AA4456" s="1114"/>
      <c r="AB4456" s="1114"/>
      <c r="AC4456" s="1117"/>
      <c r="AD4456" s="1115"/>
      <c r="AE4456" s="1115"/>
      <c r="AF4456" s="1115"/>
      <c r="AG4456" s="1115"/>
      <c r="AH4456" s="1115"/>
      <c r="AI4456" s="1115"/>
      <c r="AJ4456" s="1117"/>
      <c r="AK4456" s="1118"/>
      <c r="AL4456" s="1115"/>
      <c r="AM4456" s="1115"/>
      <c r="AN4456" s="1115"/>
      <c r="AO4456" s="1115"/>
      <c r="AP4456" s="1115"/>
      <c r="AQ4456" s="1115"/>
      <c r="AR4456" s="1115"/>
      <c r="AS4456" s="1117"/>
      <c r="AT4456" s="1075"/>
      <c r="AU4456" s="1193"/>
      <c r="AV4456" s="330"/>
      <c r="AW4456" s="331"/>
      <c r="AX4456" s="331"/>
      <c r="AY4456" s="331"/>
      <c r="AZ4456" s="331"/>
      <c r="BA4456" s="331"/>
      <c r="BB4456" s="331"/>
      <c r="BC4456" s="331"/>
      <c r="BD4456" s="331"/>
      <c r="BE4456" s="333"/>
      <c r="BF4456" s="330"/>
      <c r="BG4456" s="333"/>
      <c r="BH4456" s="1119"/>
      <c r="BI4456" s="319"/>
      <c r="BJ4456" s="319"/>
      <c r="BK4456" s="319"/>
      <c r="BL4456" s="319"/>
      <c r="BM4456" s="319"/>
      <c r="BN4456" s="319"/>
      <c r="BO4456" s="319"/>
      <c r="BP4456" s="953"/>
      <c r="BQ4456" s="319"/>
      <c r="BR4456" s="319"/>
      <c r="BS4456" s="330"/>
      <c r="BT4456" s="331"/>
      <c r="BU4456" s="920"/>
      <c r="BV4456" s="903"/>
      <c r="BW4456" s="908"/>
      <c r="BX4456" s="908"/>
      <c r="BY4456" s="331"/>
      <c r="BZ4456" s="331"/>
      <c r="CA4456" s="462"/>
      <c r="CB4456" s="319"/>
      <c r="CC4456" s="319"/>
      <c r="CD4456" s="319"/>
      <c r="CE4456" s="319"/>
      <c r="CF4456" s="319"/>
      <c r="CG4456" s="319"/>
      <c r="CH4456" s="318"/>
      <c r="CI4456" s="319"/>
      <c r="CJ4456" s="319"/>
      <c r="CK4456" s="342"/>
      <c r="CL4456" s="333"/>
      <c r="CM4456" s="1079"/>
      <c r="CN4456" s="1005"/>
      <c r="CO4456" s="1005"/>
      <c r="CP4456" s="1005"/>
    </row>
    <row r="4457">
      <c r="A4457" s="1257"/>
      <c r="B4457" s="1113"/>
      <c r="C4457" s="1107"/>
      <c r="D4457" s="103"/>
      <c r="E4457" s="1137"/>
      <c r="F4457" s="112"/>
      <c r="G4457" s="1110"/>
      <c r="H4457" s="1138"/>
      <c r="I4457" s="1138"/>
      <c r="J4457" s="1139"/>
      <c r="K4457" s="1111"/>
      <c r="L4457" s="1112"/>
      <c r="M4457" s="1113"/>
      <c r="N4457" s="110"/>
      <c r="O4457" s="1140"/>
      <c r="P4457" s="1115"/>
      <c r="Q4457" s="1116"/>
      <c r="R4457" s="1141"/>
      <c r="S4457" s="1113"/>
      <c r="T4457" s="1143"/>
      <c r="U4457" s="1108"/>
      <c r="V4457" s="1108"/>
      <c r="W4457" s="1108"/>
      <c r="X4457" s="1108"/>
      <c r="Y4457" s="1108"/>
      <c r="Z4457" s="1114"/>
      <c r="AA4457" s="1114"/>
      <c r="AB4457" s="1114"/>
      <c r="AC4457" s="1117"/>
      <c r="AD4457" s="1115"/>
      <c r="AE4457" s="1115"/>
      <c r="AF4457" s="1115"/>
      <c r="AG4457" s="1115"/>
      <c r="AH4457" s="1115"/>
      <c r="AI4457" s="1115"/>
      <c r="AJ4457" s="1117"/>
      <c r="AK4457" s="1118"/>
      <c r="AL4457" s="1115"/>
      <c r="AM4457" s="1115"/>
      <c r="AN4457" s="1115"/>
      <c r="AO4457" s="1115"/>
      <c r="AP4457" s="1115"/>
      <c r="AQ4457" s="1115"/>
      <c r="AR4457" s="1115"/>
      <c r="AS4457" s="1117"/>
      <c r="AT4457" s="1075"/>
      <c r="AU4457" s="1193"/>
      <c r="AV4457" s="330"/>
      <c r="AW4457" s="331"/>
      <c r="AX4457" s="331"/>
      <c r="AY4457" s="331"/>
      <c r="AZ4457" s="331"/>
      <c r="BA4457" s="331"/>
      <c r="BB4457" s="331"/>
      <c r="BC4457" s="331"/>
      <c r="BD4457" s="331"/>
      <c r="BE4457" s="333"/>
      <c r="BF4457" s="330"/>
      <c r="BG4457" s="333"/>
      <c r="BH4457" s="1119"/>
      <c r="BI4457" s="319"/>
      <c r="BJ4457" s="319"/>
      <c r="BK4457" s="319"/>
      <c r="BL4457" s="319"/>
      <c r="BM4457" s="319"/>
      <c r="BN4457" s="319"/>
      <c r="BO4457" s="319"/>
      <c r="BP4457" s="953"/>
      <c r="BQ4457" s="319"/>
      <c r="BR4457" s="319"/>
      <c r="BS4457" s="330"/>
      <c r="BT4457" s="331"/>
      <c r="BU4457" s="920"/>
      <c r="BV4457" s="903"/>
      <c r="BW4457" s="908"/>
      <c r="BX4457" s="908"/>
      <c r="BY4457" s="331"/>
      <c r="BZ4457" s="331"/>
      <c r="CA4457" s="462"/>
      <c r="CB4457" s="319"/>
      <c r="CC4457" s="319"/>
      <c r="CD4457" s="319"/>
      <c r="CE4457" s="319"/>
      <c r="CF4457" s="319"/>
      <c r="CG4457" s="319"/>
      <c r="CH4457" s="318"/>
      <c r="CI4457" s="319"/>
      <c r="CJ4457" s="319"/>
      <c r="CK4457" s="342"/>
      <c r="CL4457" s="333"/>
      <c r="CM4457" s="1079"/>
      <c r="CN4457" s="1005"/>
      <c r="CO4457" s="1005"/>
      <c r="CP4457" s="1005"/>
    </row>
    <row r="4458">
      <c r="A4458" s="1257"/>
      <c r="B4458" s="1113"/>
      <c r="C4458" s="1107"/>
      <c r="D4458" s="103"/>
      <c r="E4458" s="1137"/>
      <c r="F4458" s="112"/>
      <c r="G4458" s="1110"/>
      <c r="H4458" s="1138"/>
      <c r="I4458" s="1138"/>
      <c r="J4458" s="1139"/>
      <c r="K4458" s="1111"/>
      <c r="L4458" s="1112"/>
      <c r="M4458" s="1113"/>
      <c r="N4458" s="110"/>
      <c r="O4458" s="1140"/>
      <c r="P4458" s="1115"/>
      <c r="Q4458" s="1116"/>
      <c r="R4458" s="1141"/>
      <c r="S4458" s="1113"/>
      <c r="T4458" s="1143"/>
      <c r="U4458" s="1108"/>
      <c r="V4458" s="1108"/>
      <c r="W4458" s="1108"/>
      <c r="X4458" s="1108"/>
      <c r="Y4458" s="1108"/>
      <c r="Z4458" s="1114"/>
      <c r="AA4458" s="1114"/>
      <c r="AB4458" s="1114"/>
      <c r="AC4458" s="1117"/>
      <c r="AD4458" s="1115"/>
      <c r="AE4458" s="1115"/>
      <c r="AF4458" s="1115"/>
      <c r="AG4458" s="1115"/>
      <c r="AH4458" s="1115"/>
      <c r="AI4458" s="1115"/>
      <c r="AJ4458" s="1117"/>
      <c r="AK4458" s="1118"/>
      <c r="AL4458" s="1115"/>
      <c r="AM4458" s="1115"/>
      <c r="AN4458" s="1115"/>
      <c r="AO4458" s="1115"/>
      <c r="AP4458" s="1115"/>
      <c r="AQ4458" s="1115"/>
      <c r="AR4458" s="1115"/>
      <c r="AS4458" s="1117"/>
      <c r="AT4458" s="1075"/>
      <c r="AU4458" s="1193"/>
      <c r="AV4458" s="330"/>
      <c r="AW4458" s="331"/>
      <c r="AX4458" s="331"/>
      <c r="AY4458" s="331"/>
      <c r="AZ4458" s="331"/>
      <c r="BA4458" s="331"/>
      <c r="BB4458" s="331"/>
      <c r="BC4458" s="331"/>
      <c r="BD4458" s="331"/>
      <c r="BE4458" s="333"/>
      <c r="BF4458" s="330"/>
      <c r="BG4458" s="333"/>
      <c r="BH4458" s="1119"/>
      <c r="BI4458" s="319"/>
      <c r="BJ4458" s="319"/>
      <c r="BK4458" s="319"/>
      <c r="BL4458" s="319"/>
      <c r="BM4458" s="319"/>
      <c r="BN4458" s="319"/>
      <c r="BO4458" s="319"/>
      <c r="BP4458" s="953"/>
      <c r="BQ4458" s="319"/>
      <c r="BR4458" s="319"/>
      <c r="BS4458" s="330"/>
      <c r="BT4458" s="331"/>
      <c r="BU4458" s="920"/>
      <c r="BV4458" s="903"/>
      <c r="BW4458" s="908"/>
      <c r="BX4458" s="908"/>
      <c r="BY4458" s="331"/>
      <c r="BZ4458" s="331"/>
      <c r="CA4458" s="462"/>
      <c r="CB4458" s="319"/>
      <c r="CC4458" s="319"/>
      <c r="CD4458" s="319"/>
      <c r="CE4458" s="319"/>
      <c r="CF4458" s="319"/>
      <c r="CG4458" s="319"/>
      <c r="CH4458" s="318"/>
      <c r="CI4458" s="319"/>
      <c r="CJ4458" s="319"/>
      <c r="CK4458" s="342"/>
      <c r="CL4458" s="333"/>
      <c r="CM4458" s="1079"/>
      <c r="CN4458" s="1005"/>
      <c r="CO4458" s="1005"/>
      <c r="CP4458" s="1005"/>
    </row>
    <row r="4459">
      <c r="A4459" s="1257"/>
      <c r="B4459" s="1113"/>
      <c r="C4459" s="1107"/>
      <c r="D4459" s="103"/>
      <c r="E4459" s="1137"/>
      <c r="F4459" s="112"/>
      <c r="G4459" s="1110"/>
      <c r="H4459" s="1138"/>
      <c r="I4459" s="1138"/>
      <c r="J4459" s="1139"/>
      <c r="K4459" s="1111"/>
      <c r="L4459" s="1112"/>
      <c r="M4459" s="1113"/>
      <c r="N4459" s="110"/>
      <c r="O4459" s="1140"/>
      <c r="P4459" s="1115"/>
      <c r="Q4459" s="1116"/>
      <c r="R4459" s="1141"/>
      <c r="S4459" s="1113"/>
      <c r="T4459" s="1143"/>
      <c r="U4459" s="1108"/>
      <c r="V4459" s="1108"/>
      <c r="W4459" s="1108"/>
      <c r="X4459" s="1108"/>
      <c r="Y4459" s="1108"/>
      <c r="Z4459" s="1114"/>
      <c r="AA4459" s="1114"/>
      <c r="AB4459" s="1114"/>
      <c r="AC4459" s="1117"/>
      <c r="AD4459" s="1115"/>
      <c r="AE4459" s="1115"/>
      <c r="AF4459" s="1115"/>
      <c r="AG4459" s="1115"/>
      <c r="AH4459" s="1115"/>
      <c r="AI4459" s="1115"/>
      <c r="AJ4459" s="1117"/>
      <c r="AK4459" s="1118"/>
      <c r="AL4459" s="1115"/>
      <c r="AM4459" s="1115"/>
      <c r="AN4459" s="1115"/>
      <c r="AO4459" s="1115"/>
      <c r="AP4459" s="1115"/>
      <c r="AQ4459" s="1115"/>
      <c r="AR4459" s="1115"/>
      <c r="AS4459" s="1117"/>
      <c r="AT4459" s="1075"/>
      <c r="AU4459" s="1193"/>
      <c r="AV4459" s="330"/>
      <c r="AW4459" s="331"/>
      <c r="AX4459" s="331"/>
      <c r="AY4459" s="331"/>
      <c r="AZ4459" s="331"/>
      <c r="BA4459" s="331"/>
      <c r="BB4459" s="331"/>
      <c r="BC4459" s="331"/>
      <c r="BD4459" s="331"/>
      <c r="BE4459" s="333"/>
      <c r="BF4459" s="330"/>
      <c r="BG4459" s="333"/>
      <c r="BH4459" s="1119"/>
      <c r="BI4459" s="319"/>
      <c r="BJ4459" s="319"/>
      <c r="BK4459" s="319"/>
      <c r="BL4459" s="319"/>
      <c r="BM4459" s="319"/>
      <c r="BN4459" s="319"/>
      <c r="BO4459" s="319"/>
      <c r="BP4459" s="953"/>
      <c r="BQ4459" s="319"/>
      <c r="BR4459" s="319"/>
      <c r="BS4459" s="330"/>
      <c r="BT4459" s="331"/>
      <c r="BU4459" s="920"/>
      <c r="BV4459" s="903"/>
      <c r="BW4459" s="908"/>
      <c r="BX4459" s="908"/>
      <c r="BY4459" s="331"/>
      <c r="BZ4459" s="331"/>
      <c r="CA4459" s="462"/>
      <c r="CB4459" s="319"/>
      <c r="CC4459" s="319"/>
      <c r="CD4459" s="319"/>
      <c r="CE4459" s="319"/>
      <c r="CF4459" s="319"/>
      <c r="CG4459" s="319"/>
      <c r="CH4459" s="318"/>
      <c r="CI4459" s="319"/>
      <c r="CJ4459" s="319"/>
      <c r="CK4459" s="342"/>
      <c r="CL4459" s="333"/>
      <c r="CM4459" s="1079"/>
      <c r="CN4459" s="1005"/>
      <c r="CO4459" s="1005"/>
      <c r="CP4459" s="1005"/>
    </row>
    <row r="4460">
      <c r="A4460" s="1257"/>
      <c r="B4460" s="1113"/>
      <c r="C4460" s="1107"/>
      <c r="D4460" s="103"/>
      <c r="E4460" s="1137"/>
      <c r="F4460" s="112"/>
      <c r="G4460" s="1110"/>
      <c r="H4460" s="1138"/>
      <c r="I4460" s="1138"/>
      <c r="J4460" s="1139"/>
      <c r="K4460" s="1111"/>
      <c r="L4460" s="1112"/>
      <c r="M4460" s="1113"/>
      <c r="N4460" s="110"/>
      <c r="O4460" s="1140"/>
      <c r="P4460" s="1115"/>
      <c r="Q4460" s="1116"/>
      <c r="R4460" s="1141"/>
      <c r="S4460" s="1113"/>
      <c r="T4460" s="1143"/>
      <c r="U4460" s="1108"/>
      <c r="V4460" s="1108"/>
      <c r="W4460" s="1108"/>
      <c r="X4460" s="1108"/>
      <c r="Y4460" s="1108"/>
      <c r="Z4460" s="1114"/>
      <c r="AA4460" s="1114"/>
      <c r="AB4460" s="1114"/>
      <c r="AC4460" s="1117"/>
      <c r="AD4460" s="1115"/>
      <c r="AE4460" s="1115"/>
      <c r="AF4460" s="1115"/>
      <c r="AG4460" s="1115"/>
      <c r="AH4460" s="1115"/>
      <c r="AI4460" s="1115"/>
      <c r="AJ4460" s="1117"/>
      <c r="AK4460" s="1118"/>
      <c r="AL4460" s="1115"/>
      <c r="AM4460" s="1115"/>
      <c r="AN4460" s="1115"/>
      <c r="AO4460" s="1115"/>
      <c r="AP4460" s="1115"/>
      <c r="AQ4460" s="1115"/>
      <c r="AR4460" s="1115"/>
      <c r="AS4460" s="1117"/>
      <c r="AT4460" s="1075"/>
      <c r="AU4460" s="1193"/>
      <c r="AV4460" s="330"/>
      <c r="AW4460" s="331"/>
      <c r="AX4460" s="331"/>
      <c r="AY4460" s="331"/>
      <c r="AZ4460" s="331"/>
      <c r="BA4460" s="331"/>
      <c r="BB4460" s="331"/>
      <c r="BC4460" s="331"/>
      <c r="BD4460" s="331"/>
      <c r="BE4460" s="333"/>
      <c r="BF4460" s="330"/>
      <c r="BG4460" s="333"/>
      <c r="BH4460" s="1119"/>
      <c r="BI4460" s="319"/>
      <c r="BJ4460" s="319"/>
      <c r="BK4460" s="319"/>
      <c r="BL4460" s="319"/>
      <c r="BM4460" s="319"/>
      <c r="BN4460" s="319"/>
      <c r="BO4460" s="319"/>
      <c r="BP4460" s="953"/>
      <c r="BQ4460" s="319"/>
      <c r="BR4460" s="319"/>
      <c r="BS4460" s="330"/>
      <c r="BT4460" s="331"/>
      <c r="BU4460" s="920"/>
      <c r="BV4460" s="903"/>
      <c r="BW4460" s="908"/>
      <c r="BX4460" s="908"/>
      <c r="BY4460" s="331"/>
      <c r="BZ4460" s="331"/>
      <c r="CA4460" s="462"/>
      <c r="CB4460" s="319"/>
      <c r="CC4460" s="319"/>
      <c r="CD4460" s="319"/>
      <c r="CE4460" s="319"/>
      <c r="CF4460" s="319"/>
      <c r="CG4460" s="319"/>
      <c r="CH4460" s="318"/>
      <c r="CI4460" s="319"/>
      <c r="CJ4460" s="319"/>
      <c r="CK4460" s="342"/>
      <c r="CL4460" s="333"/>
      <c r="CM4460" s="1079"/>
      <c r="CN4460" s="1005"/>
      <c r="CO4460" s="1005"/>
      <c r="CP4460" s="1005"/>
    </row>
    <row r="4461">
      <c r="A4461" s="1257"/>
      <c r="B4461" s="1113"/>
      <c r="C4461" s="1107"/>
      <c r="D4461" s="103"/>
      <c r="E4461" s="1137"/>
      <c r="F4461" s="112"/>
      <c r="G4461" s="1110"/>
      <c r="H4461" s="1138"/>
      <c r="I4461" s="1138"/>
      <c r="J4461" s="1139"/>
      <c r="K4461" s="1111"/>
      <c r="L4461" s="1112"/>
      <c r="M4461" s="1113"/>
      <c r="N4461" s="110"/>
      <c r="O4461" s="1140"/>
      <c r="P4461" s="1115"/>
      <c r="Q4461" s="1116"/>
      <c r="R4461" s="1141"/>
      <c r="S4461" s="1113"/>
      <c r="T4461" s="1143"/>
      <c r="U4461" s="1108"/>
      <c r="V4461" s="1108"/>
      <c r="W4461" s="1108"/>
      <c r="X4461" s="1108"/>
      <c r="Y4461" s="1108"/>
      <c r="Z4461" s="1114"/>
      <c r="AA4461" s="1114"/>
      <c r="AB4461" s="1114"/>
      <c r="AC4461" s="1117"/>
      <c r="AD4461" s="1115"/>
      <c r="AE4461" s="1115"/>
      <c r="AF4461" s="1115"/>
      <c r="AG4461" s="1115"/>
      <c r="AH4461" s="1115"/>
      <c r="AI4461" s="1115"/>
      <c r="AJ4461" s="1117"/>
      <c r="AK4461" s="1118"/>
      <c r="AL4461" s="1115"/>
      <c r="AM4461" s="1115"/>
      <c r="AN4461" s="1115"/>
      <c r="AO4461" s="1115"/>
      <c r="AP4461" s="1115"/>
      <c r="AQ4461" s="1115"/>
      <c r="AR4461" s="1115"/>
      <c r="AS4461" s="1117"/>
      <c r="AT4461" s="1075"/>
      <c r="AU4461" s="1193"/>
      <c r="AV4461" s="330"/>
      <c r="AW4461" s="331"/>
      <c r="AX4461" s="331"/>
      <c r="AY4461" s="331"/>
      <c r="AZ4461" s="331"/>
      <c r="BA4461" s="331"/>
      <c r="BB4461" s="331"/>
      <c r="BC4461" s="331"/>
      <c r="BD4461" s="331"/>
      <c r="BE4461" s="333"/>
      <c r="BF4461" s="330"/>
      <c r="BG4461" s="333"/>
      <c r="BH4461" s="1119"/>
      <c r="BI4461" s="319"/>
      <c r="BJ4461" s="319"/>
      <c r="BK4461" s="319"/>
      <c r="BL4461" s="319"/>
      <c r="BM4461" s="319"/>
      <c r="BN4461" s="319"/>
      <c r="BO4461" s="319"/>
      <c r="BP4461" s="953"/>
      <c r="BQ4461" s="319"/>
      <c r="BR4461" s="319"/>
      <c r="BS4461" s="330"/>
      <c r="BT4461" s="331"/>
      <c r="BU4461" s="920"/>
      <c r="BV4461" s="903"/>
      <c r="BW4461" s="908"/>
      <c r="BX4461" s="908"/>
      <c r="BY4461" s="331"/>
      <c r="BZ4461" s="331"/>
      <c r="CA4461" s="462"/>
      <c r="CB4461" s="319"/>
      <c r="CC4461" s="319"/>
      <c r="CD4461" s="319"/>
      <c r="CE4461" s="319"/>
      <c r="CF4461" s="319"/>
      <c r="CG4461" s="319"/>
      <c r="CH4461" s="318"/>
      <c r="CI4461" s="319"/>
      <c r="CJ4461" s="319"/>
      <c r="CK4461" s="342"/>
      <c r="CL4461" s="333"/>
      <c r="CM4461" s="1079"/>
      <c r="CN4461" s="1005"/>
      <c r="CO4461" s="1005"/>
      <c r="CP4461" s="1005"/>
    </row>
    <row r="4462">
      <c r="A4462" s="1257"/>
      <c r="B4462" s="1113"/>
      <c r="C4462" s="1107"/>
      <c r="D4462" s="103"/>
      <c r="E4462" s="1137"/>
      <c r="F4462" s="112"/>
      <c r="G4462" s="1110"/>
      <c r="H4462" s="1138"/>
      <c r="I4462" s="1138"/>
      <c r="J4462" s="1139"/>
      <c r="K4462" s="1111"/>
      <c r="L4462" s="1112"/>
      <c r="M4462" s="1113"/>
      <c r="N4462" s="110"/>
      <c r="O4462" s="1140"/>
      <c r="P4462" s="1115"/>
      <c r="Q4462" s="1116"/>
      <c r="R4462" s="1141"/>
      <c r="S4462" s="1113"/>
      <c r="T4462" s="1143"/>
      <c r="U4462" s="1108"/>
      <c r="V4462" s="1108"/>
      <c r="W4462" s="1108"/>
      <c r="X4462" s="1108"/>
      <c r="Y4462" s="1108"/>
      <c r="Z4462" s="1114"/>
      <c r="AA4462" s="1114"/>
      <c r="AB4462" s="1114"/>
      <c r="AC4462" s="1117"/>
      <c r="AD4462" s="1115"/>
      <c r="AE4462" s="1115"/>
      <c r="AF4462" s="1115"/>
      <c r="AG4462" s="1115"/>
      <c r="AH4462" s="1115"/>
      <c r="AI4462" s="1115"/>
      <c r="AJ4462" s="1117"/>
      <c r="AK4462" s="1118"/>
      <c r="AL4462" s="1115"/>
      <c r="AM4462" s="1115"/>
      <c r="AN4462" s="1115"/>
      <c r="AO4462" s="1115"/>
      <c r="AP4462" s="1115"/>
      <c r="AQ4462" s="1115"/>
      <c r="AR4462" s="1115"/>
      <c r="AS4462" s="1117"/>
      <c r="AT4462" s="1075"/>
      <c r="AU4462" s="1193"/>
      <c r="AV4462" s="330"/>
      <c r="AW4462" s="331"/>
      <c r="AX4462" s="331"/>
      <c r="AY4462" s="331"/>
      <c r="AZ4462" s="331"/>
      <c r="BA4462" s="331"/>
      <c r="BB4462" s="331"/>
      <c r="BC4462" s="331"/>
      <c r="BD4462" s="331"/>
      <c r="BE4462" s="333"/>
      <c r="BF4462" s="330"/>
      <c r="BG4462" s="333"/>
      <c r="BH4462" s="1119"/>
      <c r="BI4462" s="319"/>
      <c r="BJ4462" s="319"/>
      <c r="BK4462" s="319"/>
      <c r="BL4462" s="319"/>
      <c r="BM4462" s="319"/>
      <c r="BN4462" s="319"/>
      <c r="BO4462" s="319"/>
      <c r="BP4462" s="953"/>
      <c r="BQ4462" s="319"/>
      <c r="BR4462" s="319"/>
      <c r="BS4462" s="330"/>
      <c r="BT4462" s="331"/>
      <c r="BU4462" s="920"/>
      <c r="BV4462" s="903"/>
      <c r="BW4462" s="908"/>
      <c r="BX4462" s="908"/>
      <c r="BY4462" s="331"/>
      <c r="BZ4462" s="331"/>
      <c r="CA4462" s="462"/>
      <c r="CB4462" s="319"/>
      <c r="CC4462" s="319"/>
      <c r="CD4462" s="319"/>
      <c r="CE4462" s="319"/>
      <c r="CF4462" s="319"/>
      <c r="CG4462" s="319"/>
      <c r="CH4462" s="318"/>
      <c r="CI4462" s="319"/>
      <c r="CJ4462" s="319"/>
      <c r="CK4462" s="342"/>
      <c r="CL4462" s="333"/>
      <c r="CM4462" s="1079"/>
      <c r="CN4462" s="1005"/>
      <c r="CO4462" s="1005"/>
      <c r="CP4462" s="1005"/>
    </row>
    <row r="4463">
      <c r="A4463" s="1257"/>
      <c r="B4463" s="1113"/>
      <c r="C4463" s="1107"/>
      <c r="D4463" s="103"/>
      <c r="E4463" s="1137"/>
      <c r="F4463" s="112"/>
      <c r="G4463" s="1110"/>
      <c r="H4463" s="1138"/>
      <c r="I4463" s="1138"/>
      <c r="J4463" s="1139"/>
      <c r="K4463" s="1111"/>
      <c r="L4463" s="1112"/>
      <c r="M4463" s="1113"/>
      <c r="N4463" s="110"/>
      <c r="O4463" s="1140"/>
      <c r="P4463" s="1115"/>
      <c r="Q4463" s="1116"/>
      <c r="R4463" s="1141"/>
      <c r="S4463" s="1113"/>
      <c r="T4463" s="1143"/>
      <c r="U4463" s="1108"/>
      <c r="V4463" s="1108"/>
      <c r="W4463" s="1108"/>
      <c r="X4463" s="1108"/>
      <c r="Y4463" s="1108"/>
      <c r="Z4463" s="1114"/>
      <c r="AA4463" s="1114"/>
      <c r="AB4463" s="1114"/>
      <c r="AC4463" s="1117"/>
      <c r="AD4463" s="1115"/>
      <c r="AE4463" s="1115"/>
      <c r="AF4463" s="1115"/>
      <c r="AG4463" s="1115"/>
      <c r="AH4463" s="1115"/>
      <c r="AI4463" s="1115"/>
      <c r="AJ4463" s="1117"/>
      <c r="AK4463" s="1118"/>
      <c r="AL4463" s="1115"/>
      <c r="AM4463" s="1115"/>
      <c r="AN4463" s="1115"/>
      <c r="AO4463" s="1115"/>
      <c r="AP4463" s="1115"/>
      <c r="AQ4463" s="1115"/>
      <c r="AR4463" s="1115"/>
      <c r="AS4463" s="1117"/>
      <c r="AT4463" s="1075"/>
      <c r="AU4463" s="1193"/>
      <c r="AV4463" s="330"/>
      <c r="AW4463" s="331"/>
      <c r="AX4463" s="331"/>
      <c r="AY4463" s="331"/>
      <c r="AZ4463" s="331"/>
      <c r="BA4463" s="331"/>
      <c r="BB4463" s="331"/>
      <c r="BC4463" s="331"/>
      <c r="BD4463" s="331"/>
      <c r="BE4463" s="333"/>
      <c r="BF4463" s="330"/>
      <c r="BG4463" s="333"/>
      <c r="BH4463" s="1119"/>
      <c r="BI4463" s="319"/>
      <c r="BJ4463" s="319"/>
      <c r="BK4463" s="319"/>
      <c r="BL4463" s="319"/>
      <c r="BM4463" s="319"/>
      <c r="BN4463" s="319"/>
      <c r="BO4463" s="319"/>
      <c r="BP4463" s="953"/>
      <c r="BQ4463" s="319"/>
      <c r="BR4463" s="319"/>
      <c r="BS4463" s="330"/>
      <c r="BT4463" s="331"/>
      <c r="BU4463" s="920"/>
      <c r="BV4463" s="903"/>
      <c r="BW4463" s="908"/>
      <c r="BX4463" s="908"/>
      <c r="BY4463" s="331"/>
      <c r="BZ4463" s="331"/>
      <c r="CA4463" s="462"/>
      <c r="CB4463" s="319"/>
      <c r="CC4463" s="319"/>
      <c r="CD4463" s="319"/>
      <c r="CE4463" s="319"/>
      <c r="CF4463" s="319"/>
      <c r="CG4463" s="319"/>
      <c r="CH4463" s="318"/>
      <c r="CI4463" s="319"/>
      <c r="CJ4463" s="319"/>
      <c r="CK4463" s="342"/>
      <c r="CL4463" s="333"/>
      <c r="CM4463" s="1079"/>
      <c r="CN4463" s="1005"/>
      <c r="CO4463" s="1005"/>
      <c r="CP4463" s="1005"/>
    </row>
    <row r="4464">
      <c r="A4464" s="1257"/>
      <c r="B4464" s="1113"/>
      <c r="C4464" s="1107"/>
      <c r="D4464" s="103"/>
      <c r="E4464" s="1137"/>
      <c r="F4464" s="112"/>
      <c r="G4464" s="1110"/>
      <c r="H4464" s="1138"/>
      <c r="I4464" s="1138"/>
      <c r="J4464" s="1139"/>
      <c r="K4464" s="1111"/>
      <c r="L4464" s="1112"/>
      <c r="M4464" s="1113"/>
      <c r="N4464" s="110"/>
      <c r="O4464" s="1140"/>
      <c r="P4464" s="1115"/>
      <c r="Q4464" s="1116"/>
      <c r="R4464" s="1141"/>
      <c r="S4464" s="1113"/>
      <c r="T4464" s="1143"/>
      <c r="U4464" s="1108"/>
      <c r="V4464" s="1108"/>
      <c r="W4464" s="1108"/>
      <c r="X4464" s="1108"/>
      <c r="Y4464" s="1108"/>
      <c r="Z4464" s="1114"/>
      <c r="AA4464" s="1114"/>
      <c r="AB4464" s="1114"/>
      <c r="AC4464" s="1117"/>
      <c r="AD4464" s="1115"/>
      <c r="AE4464" s="1115"/>
      <c r="AF4464" s="1115"/>
      <c r="AG4464" s="1115"/>
      <c r="AH4464" s="1115"/>
      <c r="AI4464" s="1115"/>
      <c r="AJ4464" s="1117"/>
      <c r="AK4464" s="1118"/>
      <c r="AL4464" s="1115"/>
      <c r="AM4464" s="1115"/>
      <c r="AN4464" s="1115"/>
      <c r="AO4464" s="1115"/>
      <c r="AP4464" s="1115"/>
      <c r="AQ4464" s="1115"/>
      <c r="AR4464" s="1115"/>
      <c r="AS4464" s="1117"/>
      <c r="AT4464" s="1075"/>
      <c r="AU4464" s="1193"/>
      <c r="AV4464" s="330"/>
      <c r="AW4464" s="331"/>
      <c r="AX4464" s="331"/>
      <c r="AY4464" s="331"/>
      <c r="AZ4464" s="331"/>
      <c r="BA4464" s="331"/>
      <c r="BB4464" s="331"/>
      <c r="BC4464" s="331"/>
      <c r="BD4464" s="331"/>
      <c r="BE4464" s="333"/>
      <c r="BF4464" s="330"/>
      <c r="BG4464" s="333"/>
      <c r="BH4464" s="1119"/>
      <c r="BI4464" s="319"/>
      <c r="BJ4464" s="319"/>
      <c r="BK4464" s="319"/>
      <c r="BL4464" s="319"/>
      <c r="BM4464" s="319"/>
      <c r="BN4464" s="319"/>
      <c r="BO4464" s="319"/>
      <c r="BP4464" s="953"/>
      <c r="BQ4464" s="319"/>
      <c r="BR4464" s="319"/>
      <c r="BS4464" s="330"/>
      <c r="BT4464" s="331"/>
      <c r="BU4464" s="920"/>
      <c r="BV4464" s="903"/>
      <c r="BW4464" s="908"/>
      <c r="BX4464" s="908"/>
      <c r="BY4464" s="331"/>
      <c r="BZ4464" s="331"/>
      <c r="CA4464" s="462"/>
      <c r="CB4464" s="319"/>
      <c r="CC4464" s="319"/>
      <c r="CD4464" s="319"/>
      <c r="CE4464" s="319"/>
      <c r="CF4464" s="319"/>
      <c r="CG4464" s="319"/>
      <c r="CH4464" s="318"/>
      <c r="CI4464" s="319"/>
      <c r="CJ4464" s="319"/>
      <c r="CK4464" s="342"/>
      <c r="CL4464" s="333"/>
      <c r="CM4464" s="1079"/>
      <c r="CN4464" s="1005"/>
      <c r="CO4464" s="1005"/>
      <c r="CP4464" s="1005"/>
    </row>
    <row r="4465">
      <c r="A4465" s="1257"/>
      <c r="B4465" s="1113"/>
      <c r="C4465" s="1107"/>
      <c r="D4465" s="103"/>
      <c r="E4465" s="1137"/>
      <c r="F4465" s="112"/>
      <c r="G4465" s="1110"/>
      <c r="H4465" s="1138"/>
      <c r="I4465" s="1138"/>
      <c r="J4465" s="1139"/>
      <c r="K4465" s="1111"/>
      <c r="L4465" s="1112"/>
      <c r="M4465" s="1113"/>
      <c r="N4465" s="110"/>
      <c r="O4465" s="1140"/>
      <c r="P4465" s="1115"/>
      <c r="Q4465" s="1116"/>
      <c r="R4465" s="1141"/>
      <c r="S4465" s="1113"/>
      <c r="T4465" s="1143"/>
      <c r="U4465" s="1108"/>
      <c r="V4465" s="1108"/>
      <c r="W4465" s="1108"/>
      <c r="X4465" s="1108"/>
      <c r="Y4465" s="1108"/>
      <c r="Z4465" s="1114"/>
      <c r="AA4465" s="1114"/>
      <c r="AB4465" s="1114"/>
      <c r="AC4465" s="1117"/>
      <c r="AD4465" s="1115"/>
      <c r="AE4465" s="1115"/>
      <c r="AF4465" s="1115"/>
      <c r="AG4465" s="1115"/>
      <c r="AH4465" s="1115"/>
      <c r="AI4465" s="1115"/>
      <c r="AJ4465" s="1117"/>
      <c r="AK4465" s="1118"/>
      <c r="AL4465" s="1115"/>
      <c r="AM4465" s="1115"/>
      <c r="AN4465" s="1115"/>
      <c r="AO4465" s="1115"/>
      <c r="AP4465" s="1115"/>
      <c r="AQ4465" s="1115"/>
      <c r="AR4465" s="1115"/>
      <c r="AS4465" s="1117"/>
      <c r="AT4465" s="1075"/>
      <c r="AU4465" s="1193"/>
      <c r="AV4465" s="330"/>
      <c r="AW4465" s="331"/>
      <c r="AX4465" s="331"/>
      <c r="AY4465" s="331"/>
      <c r="AZ4465" s="331"/>
      <c r="BA4465" s="331"/>
      <c r="BB4465" s="331"/>
      <c r="BC4465" s="331"/>
      <c r="BD4465" s="331"/>
      <c r="BE4465" s="333"/>
      <c r="BF4465" s="330"/>
      <c r="BG4465" s="333"/>
      <c r="BH4465" s="1119"/>
      <c r="BI4465" s="319"/>
      <c r="BJ4465" s="319"/>
      <c r="BK4465" s="319"/>
      <c r="BL4465" s="319"/>
      <c r="BM4465" s="319"/>
      <c r="BN4465" s="319"/>
      <c r="BO4465" s="319"/>
      <c r="BP4465" s="953"/>
      <c r="BQ4465" s="319"/>
      <c r="BR4465" s="319"/>
      <c r="BS4465" s="330"/>
      <c r="BT4465" s="331"/>
      <c r="BU4465" s="920"/>
      <c r="BV4465" s="903"/>
      <c r="BW4465" s="908"/>
      <c r="BX4465" s="908"/>
      <c r="BY4465" s="331"/>
      <c r="BZ4465" s="331"/>
      <c r="CA4465" s="462"/>
      <c r="CB4465" s="319"/>
      <c r="CC4465" s="319"/>
      <c r="CD4465" s="319"/>
      <c r="CE4465" s="319"/>
      <c r="CF4465" s="319"/>
      <c r="CG4465" s="319"/>
      <c r="CH4465" s="318"/>
      <c r="CI4465" s="319"/>
      <c r="CJ4465" s="319"/>
      <c r="CK4465" s="342"/>
      <c r="CL4465" s="333"/>
      <c r="CM4465" s="1079"/>
      <c r="CN4465" s="1005"/>
      <c r="CO4465" s="1005"/>
      <c r="CP4465" s="1005"/>
    </row>
    <row r="4466">
      <c r="A4466" s="1257"/>
      <c r="B4466" s="1113"/>
      <c r="C4466" s="1107"/>
      <c r="D4466" s="103"/>
      <c r="E4466" s="1137"/>
      <c r="F4466" s="112"/>
      <c r="G4466" s="1110"/>
      <c r="H4466" s="1138"/>
      <c r="I4466" s="1138"/>
      <c r="J4466" s="1139"/>
      <c r="K4466" s="1111"/>
      <c r="L4466" s="1112"/>
      <c r="M4466" s="1113"/>
      <c r="N4466" s="110"/>
      <c r="O4466" s="1140"/>
      <c r="P4466" s="1115"/>
      <c r="Q4466" s="1116"/>
      <c r="R4466" s="1141"/>
      <c r="S4466" s="1113"/>
      <c r="T4466" s="1143"/>
      <c r="U4466" s="1108"/>
      <c r="V4466" s="1108"/>
      <c r="W4466" s="1108"/>
      <c r="X4466" s="1108"/>
      <c r="Y4466" s="1108"/>
      <c r="Z4466" s="1114"/>
      <c r="AA4466" s="1114"/>
      <c r="AB4466" s="1114"/>
      <c r="AC4466" s="1117"/>
      <c r="AD4466" s="1115"/>
      <c r="AE4466" s="1115"/>
      <c r="AF4466" s="1115"/>
      <c r="AG4466" s="1115"/>
      <c r="AH4466" s="1115"/>
      <c r="AI4466" s="1115"/>
      <c r="AJ4466" s="1117"/>
      <c r="AK4466" s="1118"/>
      <c r="AL4466" s="1115"/>
      <c r="AM4466" s="1115"/>
      <c r="AN4466" s="1115"/>
      <c r="AO4466" s="1115"/>
      <c r="AP4466" s="1115"/>
      <c r="AQ4466" s="1115"/>
      <c r="AR4466" s="1115"/>
      <c r="AS4466" s="1117"/>
      <c r="AT4466" s="1075"/>
      <c r="AU4466" s="1193"/>
      <c r="AV4466" s="330"/>
      <c r="AW4466" s="331"/>
      <c r="AX4466" s="331"/>
      <c r="AY4466" s="331"/>
      <c r="AZ4466" s="331"/>
      <c r="BA4466" s="331"/>
      <c r="BB4466" s="331"/>
      <c r="BC4466" s="331"/>
      <c r="BD4466" s="331"/>
      <c r="BE4466" s="333"/>
      <c r="BF4466" s="330"/>
      <c r="BG4466" s="333"/>
      <c r="BH4466" s="1119"/>
      <c r="BI4466" s="319"/>
      <c r="BJ4466" s="319"/>
      <c r="BK4466" s="319"/>
      <c r="BL4466" s="319"/>
      <c r="BM4466" s="319"/>
      <c r="BN4466" s="319"/>
      <c r="BO4466" s="319"/>
      <c r="BP4466" s="953"/>
      <c r="BQ4466" s="319"/>
      <c r="BR4466" s="319"/>
      <c r="BS4466" s="330"/>
      <c r="BT4466" s="331"/>
      <c r="BU4466" s="920"/>
      <c r="BV4466" s="903"/>
      <c r="BW4466" s="908"/>
      <c r="BX4466" s="908"/>
      <c r="BY4466" s="331"/>
      <c r="BZ4466" s="331"/>
      <c r="CA4466" s="462"/>
      <c r="CB4466" s="319"/>
      <c r="CC4466" s="319"/>
      <c r="CD4466" s="319"/>
      <c r="CE4466" s="319"/>
      <c r="CF4466" s="319"/>
      <c r="CG4466" s="319"/>
      <c r="CH4466" s="318"/>
      <c r="CI4466" s="319"/>
      <c r="CJ4466" s="319"/>
      <c r="CK4466" s="342"/>
      <c r="CL4466" s="333"/>
      <c r="CM4466" s="1079"/>
      <c r="CN4466" s="1005"/>
      <c r="CO4466" s="1005"/>
      <c r="CP4466" s="1005"/>
    </row>
    <row r="4467">
      <c r="A4467" s="1257"/>
      <c r="B4467" s="1113"/>
      <c r="C4467" s="1107"/>
      <c r="D4467" s="103"/>
      <c r="E4467" s="1137"/>
      <c r="F4467" s="112"/>
      <c r="G4467" s="1110"/>
      <c r="H4467" s="1138"/>
      <c r="I4467" s="1138"/>
      <c r="J4467" s="1139"/>
      <c r="K4467" s="1111"/>
      <c r="L4467" s="1112"/>
      <c r="M4467" s="1113"/>
      <c r="N4467" s="110"/>
      <c r="O4467" s="1140"/>
      <c r="P4467" s="1115"/>
      <c r="Q4467" s="1116"/>
      <c r="R4467" s="1141"/>
      <c r="S4467" s="1113"/>
      <c r="T4467" s="1143"/>
      <c r="U4467" s="1108"/>
      <c r="V4467" s="1108"/>
      <c r="W4467" s="1108"/>
      <c r="X4467" s="1108"/>
      <c r="Y4467" s="1108"/>
      <c r="Z4467" s="1114"/>
      <c r="AA4467" s="1114"/>
      <c r="AB4467" s="1114"/>
      <c r="AC4467" s="1117"/>
      <c r="AD4467" s="1115"/>
      <c r="AE4467" s="1115"/>
      <c r="AF4467" s="1115"/>
      <c r="AG4467" s="1115"/>
      <c r="AH4467" s="1115"/>
      <c r="AI4467" s="1115"/>
      <c r="AJ4467" s="1117"/>
      <c r="AK4467" s="1118"/>
      <c r="AL4467" s="1115"/>
      <c r="AM4467" s="1115"/>
      <c r="AN4467" s="1115"/>
      <c r="AO4467" s="1115"/>
      <c r="AP4467" s="1115"/>
      <c r="AQ4467" s="1115"/>
      <c r="AR4467" s="1115"/>
      <c r="AS4467" s="1117"/>
      <c r="AT4467" s="1075"/>
      <c r="AU4467" s="1193"/>
      <c r="AV4467" s="330"/>
      <c r="AW4467" s="331"/>
      <c r="AX4467" s="331"/>
      <c r="AY4467" s="331"/>
      <c r="AZ4467" s="331"/>
      <c r="BA4467" s="331"/>
      <c r="BB4467" s="331"/>
      <c r="BC4467" s="331"/>
      <c r="BD4467" s="331"/>
      <c r="BE4467" s="333"/>
      <c r="BF4467" s="330"/>
      <c r="BG4467" s="333"/>
      <c r="BH4467" s="1119"/>
      <c r="BI4467" s="319"/>
      <c r="BJ4467" s="319"/>
      <c r="BK4467" s="319"/>
      <c r="BL4467" s="319"/>
      <c r="BM4467" s="319"/>
      <c r="BN4467" s="319"/>
      <c r="BO4467" s="319"/>
      <c r="BP4467" s="953"/>
      <c r="BQ4467" s="319"/>
      <c r="BR4467" s="319"/>
      <c r="BS4467" s="330"/>
      <c r="BT4467" s="331"/>
      <c r="BU4467" s="920"/>
      <c r="BV4467" s="903"/>
      <c r="BW4467" s="908"/>
      <c r="BX4467" s="908"/>
      <c r="BY4467" s="331"/>
      <c r="BZ4467" s="331"/>
      <c r="CA4467" s="462"/>
      <c r="CB4467" s="319"/>
      <c r="CC4467" s="319"/>
      <c r="CD4467" s="319"/>
      <c r="CE4467" s="319"/>
      <c r="CF4467" s="319"/>
      <c r="CG4467" s="319"/>
      <c r="CH4467" s="318"/>
      <c r="CI4467" s="319"/>
      <c r="CJ4467" s="319"/>
      <c r="CK4467" s="342"/>
      <c r="CL4467" s="333"/>
      <c r="CM4467" s="1079"/>
      <c r="CN4467" s="1005"/>
      <c r="CO4467" s="1005"/>
      <c r="CP4467" s="1005"/>
    </row>
    <row r="4468">
      <c r="A4468" s="1257"/>
      <c r="B4468" s="1113"/>
      <c r="C4468" s="1107"/>
      <c r="D4468" s="103"/>
      <c r="E4468" s="1137"/>
      <c r="F4468" s="112"/>
      <c r="G4468" s="1110"/>
      <c r="H4468" s="1138"/>
      <c r="I4468" s="1138"/>
      <c r="J4468" s="1139"/>
      <c r="K4468" s="1111"/>
      <c r="L4468" s="1112"/>
      <c r="M4468" s="1113"/>
      <c r="N4468" s="110"/>
      <c r="O4468" s="1140"/>
      <c r="P4468" s="1115"/>
      <c r="Q4468" s="1116"/>
      <c r="R4468" s="1141"/>
      <c r="S4468" s="1113"/>
      <c r="T4468" s="1143"/>
      <c r="U4468" s="1108"/>
      <c r="V4468" s="1108"/>
      <c r="W4468" s="1108"/>
      <c r="X4468" s="1108"/>
      <c r="Y4468" s="1108"/>
      <c r="Z4468" s="1114"/>
      <c r="AA4468" s="1114"/>
      <c r="AB4468" s="1114"/>
      <c r="AC4468" s="1117"/>
      <c r="AD4468" s="1115"/>
      <c r="AE4468" s="1115"/>
      <c r="AF4468" s="1115"/>
      <c r="AG4468" s="1115"/>
      <c r="AH4468" s="1115"/>
      <c r="AI4468" s="1115"/>
      <c r="AJ4468" s="1117"/>
      <c r="AK4468" s="1118"/>
      <c r="AL4468" s="1115"/>
      <c r="AM4468" s="1115"/>
      <c r="AN4468" s="1115"/>
      <c r="AO4468" s="1115"/>
      <c r="AP4468" s="1115"/>
      <c r="AQ4468" s="1115"/>
      <c r="AR4468" s="1115"/>
      <c r="AS4468" s="1117"/>
      <c r="AT4468" s="1075"/>
      <c r="AU4468" s="1193"/>
      <c r="AV4468" s="330"/>
      <c r="AW4468" s="331"/>
      <c r="AX4468" s="331"/>
      <c r="AY4468" s="331"/>
      <c r="AZ4468" s="331"/>
      <c r="BA4468" s="331"/>
      <c r="BB4468" s="331"/>
      <c r="BC4468" s="331"/>
      <c r="BD4468" s="331"/>
      <c r="BE4468" s="333"/>
      <c r="BF4468" s="330"/>
      <c r="BG4468" s="333"/>
      <c r="BH4468" s="1119"/>
      <c r="BI4468" s="319"/>
      <c r="BJ4468" s="319"/>
      <c r="BK4468" s="319"/>
      <c r="BL4468" s="319"/>
      <c r="BM4468" s="319"/>
      <c r="BN4468" s="319"/>
      <c r="BO4468" s="319"/>
      <c r="BP4468" s="953"/>
      <c r="BQ4468" s="319"/>
      <c r="BR4468" s="319"/>
      <c r="BS4468" s="330"/>
      <c r="BT4468" s="331"/>
      <c r="BU4468" s="920"/>
      <c r="BV4468" s="903"/>
      <c r="BW4468" s="908"/>
      <c r="BX4468" s="908"/>
      <c r="BY4468" s="331"/>
      <c r="BZ4468" s="331"/>
      <c r="CA4468" s="462"/>
      <c r="CB4468" s="319"/>
      <c r="CC4468" s="319"/>
      <c r="CD4468" s="319"/>
      <c r="CE4468" s="319"/>
      <c r="CF4468" s="319"/>
      <c r="CG4468" s="319"/>
      <c r="CH4468" s="318"/>
      <c r="CI4468" s="319"/>
      <c r="CJ4468" s="319"/>
      <c r="CK4468" s="342"/>
      <c r="CL4468" s="333"/>
      <c r="CM4468" s="1079"/>
      <c r="CN4468" s="1005"/>
      <c r="CO4468" s="1005"/>
      <c r="CP4468" s="1005"/>
    </row>
    <row r="4469">
      <c r="A4469" s="1257"/>
      <c r="B4469" s="1113"/>
      <c r="C4469" s="1107"/>
      <c r="D4469" s="103"/>
      <c r="E4469" s="1137"/>
      <c r="F4469" s="112"/>
      <c r="G4469" s="1110"/>
      <c r="H4469" s="1138"/>
      <c r="I4469" s="1138"/>
      <c r="J4469" s="1139"/>
      <c r="K4469" s="1111"/>
      <c r="L4469" s="1112"/>
      <c r="M4469" s="1113"/>
      <c r="N4469" s="110"/>
      <c r="O4469" s="1140"/>
      <c r="P4469" s="1115"/>
      <c r="Q4469" s="1116"/>
      <c r="R4469" s="1141"/>
      <c r="S4469" s="1113"/>
      <c r="T4469" s="1143"/>
      <c r="U4469" s="1108"/>
      <c r="V4469" s="1108"/>
      <c r="W4469" s="1108"/>
      <c r="X4469" s="1108"/>
      <c r="Y4469" s="1108"/>
      <c r="Z4469" s="1114"/>
      <c r="AA4469" s="1114"/>
      <c r="AB4469" s="1114"/>
      <c r="AC4469" s="1117"/>
      <c r="AD4469" s="1115"/>
      <c r="AE4469" s="1115"/>
      <c r="AF4469" s="1115"/>
      <c r="AG4469" s="1115"/>
      <c r="AH4469" s="1115"/>
      <c r="AI4469" s="1115"/>
      <c r="AJ4469" s="1117"/>
      <c r="AK4469" s="1118"/>
      <c r="AL4469" s="1115"/>
      <c r="AM4469" s="1115"/>
      <c r="AN4469" s="1115"/>
      <c r="AO4469" s="1115"/>
      <c r="AP4469" s="1115"/>
      <c r="AQ4469" s="1115"/>
      <c r="AR4469" s="1115"/>
      <c r="AS4469" s="1117"/>
      <c r="AT4469" s="1075"/>
      <c r="AU4469" s="1193"/>
      <c r="AV4469" s="330"/>
      <c r="AW4469" s="331"/>
      <c r="AX4469" s="331"/>
      <c r="AY4469" s="331"/>
      <c r="AZ4469" s="331"/>
      <c r="BA4469" s="331"/>
      <c r="BB4469" s="331"/>
      <c r="BC4469" s="331"/>
      <c r="BD4469" s="331"/>
      <c r="BE4469" s="333"/>
      <c r="BF4469" s="330"/>
      <c r="BG4469" s="333"/>
      <c r="BH4469" s="1119"/>
      <c r="BI4469" s="319"/>
      <c r="BJ4469" s="319"/>
      <c r="BK4469" s="319"/>
      <c r="BL4469" s="319"/>
      <c r="BM4469" s="319"/>
      <c r="BN4469" s="319"/>
      <c r="BO4469" s="319"/>
      <c r="BP4469" s="953"/>
      <c r="BQ4469" s="319"/>
      <c r="BR4469" s="319"/>
      <c r="BS4469" s="330"/>
      <c r="BT4469" s="331"/>
      <c r="BU4469" s="920"/>
      <c r="BV4469" s="903"/>
      <c r="BW4469" s="908"/>
      <c r="BX4469" s="908"/>
      <c r="BY4469" s="331"/>
      <c r="BZ4469" s="331"/>
      <c r="CA4469" s="462"/>
      <c r="CB4469" s="319"/>
      <c r="CC4469" s="319"/>
      <c r="CD4469" s="319"/>
      <c r="CE4469" s="319"/>
      <c r="CF4469" s="319"/>
      <c r="CG4469" s="319"/>
      <c r="CH4469" s="318"/>
      <c r="CI4469" s="319"/>
      <c r="CJ4469" s="319"/>
      <c r="CK4469" s="342"/>
      <c r="CL4469" s="333"/>
      <c r="CM4469" s="1079"/>
      <c r="CN4469" s="1005"/>
      <c r="CO4469" s="1005"/>
      <c r="CP4469" s="1005"/>
    </row>
    <row r="4470">
      <c r="A4470" s="1257"/>
      <c r="B4470" s="1113"/>
      <c r="C4470" s="1107"/>
      <c r="D4470" s="103"/>
      <c r="E4470" s="1137"/>
      <c r="F4470" s="112"/>
      <c r="G4470" s="1110"/>
      <c r="H4470" s="1138"/>
      <c r="I4470" s="1138"/>
      <c r="J4470" s="1139"/>
      <c r="K4470" s="1111"/>
      <c r="L4470" s="1112"/>
      <c r="M4470" s="1113"/>
      <c r="N4470" s="110"/>
      <c r="O4470" s="1140"/>
      <c r="P4470" s="1115"/>
      <c r="Q4470" s="1116"/>
      <c r="R4470" s="1141"/>
      <c r="S4470" s="1113"/>
      <c r="T4470" s="1143"/>
      <c r="U4470" s="1108"/>
      <c r="V4470" s="1108"/>
      <c r="W4470" s="1108"/>
      <c r="X4470" s="1108"/>
      <c r="Y4470" s="1108"/>
      <c r="Z4470" s="1114"/>
      <c r="AA4470" s="1114"/>
      <c r="AB4470" s="1114"/>
      <c r="AC4470" s="1117"/>
      <c r="AD4470" s="1115"/>
      <c r="AE4470" s="1115"/>
      <c r="AF4470" s="1115"/>
      <c r="AG4470" s="1115"/>
      <c r="AH4470" s="1115"/>
      <c r="AI4470" s="1115"/>
      <c r="AJ4470" s="1117"/>
      <c r="AK4470" s="1118"/>
      <c r="AL4470" s="1115"/>
      <c r="AM4470" s="1115"/>
      <c r="AN4470" s="1115"/>
      <c r="AO4470" s="1115"/>
      <c r="AP4470" s="1115"/>
      <c r="AQ4470" s="1115"/>
      <c r="AR4470" s="1115"/>
      <c r="AS4470" s="1117"/>
      <c r="AT4470" s="1075"/>
      <c r="AU4470" s="1193"/>
      <c r="AV4470" s="330"/>
      <c r="AW4470" s="331"/>
      <c r="AX4470" s="331"/>
      <c r="AY4470" s="331"/>
      <c r="AZ4470" s="331"/>
      <c r="BA4470" s="331"/>
      <c r="BB4470" s="331"/>
      <c r="BC4470" s="331"/>
      <c r="BD4470" s="331"/>
      <c r="BE4470" s="333"/>
      <c r="BF4470" s="330"/>
      <c r="BG4470" s="333"/>
      <c r="BH4470" s="1119"/>
      <c r="BI4470" s="319"/>
      <c r="BJ4470" s="319"/>
      <c r="BK4470" s="319"/>
      <c r="BL4470" s="319"/>
      <c r="BM4470" s="319"/>
      <c r="BN4470" s="319"/>
      <c r="BO4470" s="319"/>
      <c r="BP4470" s="953"/>
      <c r="BQ4470" s="319"/>
      <c r="BR4470" s="319"/>
      <c r="BS4470" s="330"/>
      <c r="BT4470" s="331"/>
      <c r="BU4470" s="920"/>
      <c r="BV4470" s="903"/>
      <c r="BW4470" s="908"/>
      <c r="BX4470" s="908"/>
      <c r="BY4470" s="331"/>
      <c r="BZ4470" s="331"/>
      <c r="CA4470" s="462"/>
      <c r="CB4470" s="319"/>
      <c r="CC4470" s="319"/>
      <c r="CD4470" s="319"/>
      <c r="CE4470" s="319"/>
      <c r="CF4470" s="319"/>
      <c r="CG4470" s="319"/>
      <c r="CH4470" s="318"/>
      <c r="CI4470" s="319"/>
      <c r="CJ4470" s="319"/>
      <c r="CK4470" s="342"/>
      <c r="CL4470" s="333"/>
      <c r="CM4470" s="1079"/>
      <c r="CN4470" s="1005"/>
      <c r="CO4470" s="1005"/>
      <c r="CP4470" s="1005"/>
    </row>
    <row r="4471">
      <c r="A4471" s="1257"/>
      <c r="B4471" s="1113"/>
      <c r="C4471" s="1107"/>
      <c r="D4471" s="103"/>
      <c r="E4471" s="1137"/>
      <c r="F4471" s="112"/>
      <c r="G4471" s="1110"/>
      <c r="H4471" s="1138"/>
      <c r="I4471" s="1138"/>
      <c r="J4471" s="1139"/>
      <c r="K4471" s="1111"/>
      <c r="L4471" s="1112"/>
      <c r="M4471" s="1113"/>
      <c r="N4471" s="110"/>
      <c r="O4471" s="1140"/>
      <c r="P4471" s="1115"/>
      <c r="Q4471" s="1116"/>
      <c r="R4471" s="1141"/>
      <c r="S4471" s="1113"/>
      <c r="T4471" s="1143"/>
      <c r="U4471" s="1108"/>
      <c r="V4471" s="1108"/>
      <c r="W4471" s="1108"/>
      <c r="X4471" s="1108"/>
      <c r="Y4471" s="1108"/>
      <c r="Z4471" s="1114"/>
      <c r="AA4471" s="1114"/>
      <c r="AB4471" s="1114"/>
      <c r="AC4471" s="1117"/>
      <c r="AD4471" s="1115"/>
      <c r="AE4471" s="1115"/>
      <c r="AF4471" s="1115"/>
      <c r="AG4471" s="1115"/>
      <c r="AH4471" s="1115"/>
      <c r="AI4471" s="1115"/>
      <c r="AJ4471" s="1117"/>
      <c r="AK4471" s="1118"/>
      <c r="AL4471" s="1115"/>
      <c r="AM4471" s="1115"/>
      <c r="AN4471" s="1115"/>
      <c r="AO4471" s="1115"/>
      <c r="AP4471" s="1115"/>
      <c r="AQ4471" s="1115"/>
      <c r="AR4471" s="1115"/>
      <c r="AS4471" s="1117"/>
      <c r="AT4471" s="1075"/>
      <c r="AU4471" s="1193"/>
      <c r="AV4471" s="330"/>
      <c r="AW4471" s="331"/>
      <c r="AX4471" s="331"/>
      <c r="AY4471" s="331"/>
      <c r="AZ4471" s="331"/>
      <c r="BA4471" s="331"/>
      <c r="BB4471" s="331"/>
      <c r="BC4471" s="331"/>
      <c r="BD4471" s="331"/>
      <c r="BE4471" s="333"/>
      <c r="BF4471" s="330"/>
      <c r="BG4471" s="333"/>
      <c r="BH4471" s="1119"/>
      <c r="BI4471" s="319"/>
      <c r="BJ4471" s="319"/>
      <c r="BK4471" s="319"/>
      <c r="BL4471" s="319"/>
      <c r="BM4471" s="319"/>
      <c r="BN4471" s="319"/>
      <c r="BO4471" s="319"/>
      <c r="BP4471" s="953"/>
      <c r="BQ4471" s="319"/>
      <c r="BR4471" s="319"/>
      <c r="BS4471" s="330"/>
      <c r="BT4471" s="331"/>
      <c r="BU4471" s="920"/>
      <c r="BV4471" s="903"/>
      <c r="BW4471" s="908"/>
      <c r="BX4471" s="908"/>
      <c r="BY4471" s="331"/>
      <c r="BZ4471" s="331"/>
      <c r="CA4471" s="462"/>
      <c r="CB4471" s="319"/>
      <c r="CC4471" s="319"/>
      <c r="CD4471" s="319"/>
      <c r="CE4471" s="319"/>
      <c r="CF4471" s="319"/>
      <c r="CG4471" s="319"/>
      <c r="CH4471" s="318"/>
      <c r="CI4471" s="319"/>
      <c r="CJ4471" s="319"/>
      <c r="CK4471" s="342"/>
      <c r="CL4471" s="333"/>
      <c r="CM4471" s="1079"/>
      <c r="CN4471" s="1005"/>
      <c r="CO4471" s="1005"/>
      <c r="CP4471" s="1005"/>
    </row>
    <row r="4472">
      <c r="A4472" s="1257"/>
      <c r="B4472" s="1113"/>
      <c r="C4472" s="1107"/>
      <c r="D4472" s="103"/>
      <c r="E4472" s="1137"/>
      <c r="F4472" s="112"/>
      <c r="G4472" s="1110"/>
      <c r="H4472" s="1138"/>
      <c r="I4472" s="1138"/>
      <c r="J4472" s="1139"/>
      <c r="K4472" s="1111"/>
      <c r="L4472" s="1112"/>
      <c r="M4472" s="1113"/>
      <c r="N4472" s="110"/>
      <c r="O4472" s="1140"/>
      <c r="P4472" s="1115"/>
      <c r="Q4472" s="1116"/>
      <c r="R4472" s="1141"/>
      <c r="S4472" s="1113"/>
      <c r="T4472" s="1143"/>
      <c r="U4472" s="1108"/>
      <c r="V4472" s="1108"/>
      <c r="W4472" s="1108"/>
      <c r="X4472" s="1108"/>
      <c r="Y4472" s="1108"/>
      <c r="Z4472" s="1114"/>
      <c r="AA4472" s="1114"/>
      <c r="AB4472" s="1114"/>
      <c r="AC4472" s="1117"/>
      <c r="AD4472" s="1115"/>
      <c r="AE4472" s="1115"/>
      <c r="AF4472" s="1115"/>
      <c r="AG4472" s="1115"/>
      <c r="AH4472" s="1115"/>
      <c r="AI4472" s="1115"/>
      <c r="AJ4472" s="1117"/>
      <c r="AK4472" s="1118"/>
      <c r="AL4472" s="1115"/>
      <c r="AM4472" s="1115"/>
      <c r="AN4472" s="1115"/>
      <c r="AO4472" s="1115"/>
      <c r="AP4472" s="1115"/>
      <c r="AQ4472" s="1115"/>
      <c r="AR4472" s="1115"/>
      <c r="AS4472" s="1117"/>
      <c r="AT4472" s="1075"/>
      <c r="AU4472" s="1193"/>
      <c r="AV4472" s="330"/>
      <c r="AW4472" s="331"/>
      <c r="AX4472" s="331"/>
      <c r="AY4472" s="331"/>
      <c r="AZ4472" s="331"/>
      <c r="BA4472" s="331"/>
      <c r="BB4472" s="331"/>
      <c r="BC4472" s="331"/>
      <c r="BD4472" s="331"/>
      <c r="BE4472" s="333"/>
      <c r="BF4472" s="330"/>
      <c r="BG4472" s="333"/>
      <c r="BH4472" s="1119"/>
      <c r="BI4472" s="319"/>
      <c r="BJ4472" s="319"/>
      <c r="BK4472" s="319"/>
      <c r="BL4472" s="319"/>
      <c r="BM4472" s="319"/>
      <c r="BN4472" s="319"/>
      <c r="BO4472" s="319"/>
      <c r="BP4472" s="953"/>
      <c r="BQ4472" s="319"/>
      <c r="BR4472" s="319"/>
      <c r="BS4472" s="330"/>
      <c r="BT4472" s="331"/>
      <c r="BU4472" s="920"/>
      <c r="BV4472" s="903"/>
      <c r="BW4472" s="908"/>
      <c r="BX4472" s="908"/>
      <c r="BY4472" s="331"/>
      <c r="BZ4472" s="331"/>
      <c r="CA4472" s="462"/>
      <c r="CB4472" s="319"/>
      <c r="CC4472" s="319"/>
      <c r="CD4472" s="319"/>
      <c r="CE4472" s="319"/>
      <c r="CF4472" s="319"/>
      <c r="CG4472" s="319"/>
      <c r="CH4472" s="318"/>
      <c r="CI4472" s="319"/>
      <c r="CJ4472" s="319"/>
      <c r="CK4472" s="342"/>
      <c r="CL4472" s="333"/>
      <c r="CM4472" s="1079"/>
      <c r="CN4472" s="1005"/>
      <c r="CO4472" s="1005"/>
      <c r="CP4472" s="1005"/>
    </row>
    <row r="4473">
      <c r="A4473" s="1257"/>
      <c r="B4473" s="1113"/>
      <c r="C4473" s="1107"/>
      <c r="D4473" s="103"/>
      <c r="E4473" s="1137"/>
      <c r="F4473" s="112"/>
      <c r="G4473" s="1110"/>
      <c r="H4473" s="1138"/>
      <c r="I4473" s="1138"/>
      <c r="J4473" s="1139"/>
      <c r="K4473" s="1111"/>
      <c r="L4473" s="1112"/>
      <c r="M4473" s="1113"/>
      <c r="N4473" s="110"/>
      <c r="O4473" s="1140"/>
      <c r="P4473" s="1115"/>
      <c r="Q4473" s="1116"/>
      <c r="R4473" s="1141"/>
      <c r="S4473" s="1113"/>
      <c r="T4473" s="1143"/>
      <c r="U4473" s="1108"/>
      <c r="V4473" s="1108"/>
      <c r="W4473" s="1108"/>
      <c r="X4473" s="1108"/>
      <c r="Y4473" s="1108"/>
      <c r="Z4473" s="1114"/>
      <c r="AA4473" s="1114"/>
      <c r="AB4473" s="1114"/>
      <c r="AC4473" s="1117"/>
      <c r="AD4473" s="1115"/>
      <c r="AE4473" s="1115"/>
      <c r="AF4473" s="1115"/>
      <c r="AG4473" s="1115"/>
      <c r="AH4473" s="1115"/>
      <c r="AI4473" s="1115"/>
      <c r="AJ4473" s="1117"/>
      <c r="AK4473" s="1118"/>
      <c r="AL4473" s="1115"/>
      <c r="AM4473" s="1115"/>
      <c r="AN4473" s="1115"/>
      <c r="AO4473" s="1115"/>
      <c r="AP4473" s="1115"/>
      <c r="AQ4473" s="1115"/>
      <c r="AR4473" s="1115"/>
      <c r="AS4473" s="1117"/>
      <c r="AT4473" s="1075"/>
      <c r="AU4473" s="1193"/>
      <c r="AV4473" s="330"/>
      <c r="AW4473" s="331"/>
      <c r="AX4473" s="331"/>
      <c r="AY4473" s="331"/>
      <c r="AZ4473" s="331"/>
      <c r="BA4473" s="331"/>
      <c r="BB4473" s="331"/>
      <c r="BC4473" s="331"/>
      <c r="BD4473" s="331"/>
      <c r="BE4473" s="333"/>
      <c r="BF4473" s="330"/>
      <c r="BG4473" s="333"/>
      <c r="BH4473" s="1119"/>
      <c r="BI4473" s="319"/>
      <c r="BJ4473" s="319"/>
      <c r="BK4473" s="319"/>
      <c r="BL4473" s="319"/>
      <c r="BM4473" s="319"/>
      <c r="BN4473" s="319"/>
      <c r="BO4473" s="319"/>
      <c r="BP4473" s="953"/>
      <c r="BQ4473" s="319"/>
      <c r="BR4473" s="319"/>
      <c r="BS4473" s="330"/>
      <c r="BT4473" s="331"/>
      <c r="BU4473" s="920"/>
      <c r="BV4473" s="903"/>
      <c r="BW4473" s="908"/>
      <c r="BX4473" s="908"/>
      <c r="BY4473" s="331"/>
      <c r="BZ4473" s="331"/>
      <c r="CA4473" s="462"/>
      <c r="CB4473" s="319"/>
      <c r="CC4473" s="319"/>
      <c r="CD4473" s="319"/>
      <c r="CE4473" s="319"/>
      <c r="CF4473" s="319"/>
      <c r="CG4473" s="319"/>
      <c r="CH4473" s="318"/>
      <c r="CI4473" s="319"/>
      <c r="CJ4473" s="319"/>
      <c r="CK4473" s="342"/>
      <c r="CL4473" s="333"/>
      <c r="CM4473" s="1079"/>
      <c r="CN4473" s="1005"/>
      <c r="CO4473" s="1005"/>
      <c r="CP4473" s="1005"/>
    </row>
    <row r="4474">
      <c r="A4474" s="1257"/>
      <c r="B4474" s="1113"/>
      <c r="C4474" s="1107"/>
      <c r="D4474" s="103"/>
      <c r="E4474" s="1137"/>
      <c r="F4474" s="112"/>
      <c r="G4474" s="1110"/>
      <c r="H4474" s="1138"/>
      <c r="I4474" s="1138"/>
      <c r="J4474" s="1139"/>
      <c r="K4474" s="1111"/>
      <c r="L4474" s="1112"/>
      <c r="M4474" s="1113"/>
      <c r="N4474" s="110"/>
      <c r="O4474" s="1140"/>
      <c r="P4474" s="1115"/>
      <c r="Q4474" s="1116"/>
      <c r="R4474" s="1141"/>
      <c r="S4474" s="1113"/>
      <c r="T4474" s="1143"/>
      <c r="U4474" s="1108"/>
      <c r="V4474" s="1108"/>
      <c r="W4474" s="1108"/>
      <c r="X4474" s="1108"/>
      <c r="Y4474" s="1108"/>
      <c r="Z4474" s="1114"/>
      <c r="AA4474" s="1114"/>
      <c r="AB4474" s="1114"/>
      <c r="AC4474" s="1117"/>
      <c r="AD4474" s="1115"/>
      <c r="AE4474" s="1115"/>
      <c r="AF4474" s="1115"/>
      <c r="AG4474" s="1115"/>
      <c r="AH4474" s="1115"/>
      <c r="AI4474" s="1115"/>
      <c r="AJ4474" s="1117"/>
      <c r="AK4474" s="1118"/>
      <c r="AL4474" s="1115"/>
      <c r="AM4474" s="1115"/>
      <c r="AN4474" s="1115"/>
      <c r="AO4474" s="1115"/>
      <c r="AP4474" s="1115"/>
      <c r="AQ4474" s="1115"/>
      <c r="AR4474" s="1115"/>
      <c r="AS4474" s="1117"/>
      <c r="AT4474" s="1075"/>
      <c r="AU4474" s="1193"/>
      <c r="AV4474" s="330"/>
      <c r="AW4474" s="331"/>
      <c r="AX4474" s="331"/>
      <c r="AY4474" s="331"/>
      <c r="AZ4474" s="331"/>
      <c r="BA4474" s="331"/>
      <c r="BB4474" s="331"/>
      <c r="BC4474" s="331"/>
      <c r="BD4474" s="331"/>
      <c r="BE4474" s="333"/>
      <c r="BF4474" s="330"/>
      <c r="BG4474" s="333"/>
      <c r="BH4474" s="1119"/>
      <c r="BI4474" s="319"/>
      <c r="BJ4474" s="319"/>
      <c r="BK4474" s="319"/>
      <c r="BL4474" s="319"/>
      <c r="BM4474" s="319"/>
      <c r="BN4474" s="319"/>
      <c r="BO4474" s="319"/>
      <c r="BP4474" s="953"/>
      <c r="BQ4474" s="319"/>
      <c r="BR4474" s="319"/>
      <c r="BS4474" s="330"/>
      <c r="BT4474" s="331"/>
      <c r="BU4474" s="920"/>
      <c r="BV4474" s="903"/>
      <c r="BW4474" s="908"/>
      <c r="BX4474" s="908"/>
      <c r="BY4474" s="331"/>
      <c r="BZ4474" s="331"/>
      <c r="CA4474" s="462"/>
      <c r="CB4474" s="319"/>
      <c r="CC4474" s="319"/>
      <c r="CD4474" s="319"/>
      <c r="CE4474" s="319"/>
      <c r="CF4474" s="319"/>
      <c r="CG4474" s="319"/>
      <c r="CH4474" s="318"/>
      <c r="CI4474" s="319"/>
      <c r="CJ4474" s="319"/>
      <c r="CK4474" s="342"/>
      <c r="CL4474" s="333"/>
      <c r="CM4474" s="1079"/>
      <c r="CN4474" s="1005"/>
      <c r="CO4474" s="1005"/>
      <c r="CP4474" s="1005"/>
    </row>
    <row r="4475">
      <c r="A4475" s="1257"/>
      <c r="B4475" s="1113"/>
      <c r="C4475" s="1107"/>
      <c r="D4475" s="103"/>
      <c r="E4475" s="1137"/>
      <c r="F4475" s="112"/>
      <c r="G4475" s="1110"/>
      <c r="H4475" s="1138"/>
      <c r="I4475" s="1138"/>
      <c r="J4475" s="1139"/>
      <c r="K4475" s="1111"/>
      <c r="L4475" s="1112"/>
      <c r="M4475" s="1113"/>
      <c r="N4475" s="110"/>
      <c r="O4475" s="1140"/>
      <c r="P4475" s="1115"/>
      <c r="Q4475" s="1116"/>
      <c r="R4475" s="1141"/>
      <c r="S4475" s="1113"/>
      <c r="T4475" s="1143"/>
      <c r="U4475" s="1108"/>
      <c r="V4475" s="1108"/>
      <c r="W4475" s="1108"/>
      <c r="X4475" s="1108"/>
      <c r="Y4475" s="1108"/>
      <c r="Z4475" s="1114"/>
      <c r="AA4475" s="1114"/>
      <c r="AB4475" s="1114"/>
      <c r="AC4475" s="1117"/>
      <c r="AD4475" s="1115"/>
      <c r="AE4475" s="1115"/>
      <c r="AF4475" s="1115"/>
      <c r="AG4475" s="1115"/>
      <c r="AH4475" s="1115"/>
      <c r="AI4475" s="1115"/>
      <c r="AJ4475" s="1117"/>
      <c r="AK4475" s="1118"/>
      <c r="AL4475" s="1115"/>
      <c r="AM4475" s="1115"/>
      <c r="AN4475" s="1115"/>
      <c r="AO4475" s="1115"/>
      <c r="AP4475" s="1115"/>
      <c r="AQ4475" s="1115"/>
      <c r="AR4475" s="1115"/>
      <c r="AS4475" s="1117"/>
      <c r="AT4475" s="1075"/>
      <c r="AU4475" s="1193"/>
      <c r="AV4475" s="330"/>
      <c r="AW4475" s="331"/>
      <c r="AX4475" s="331"/>
      <c r="AY4475" s="331"/>
      <c r="AZ4475" s="331"/>
      <c r="BA4475" s="331"/>
      <c r="BB4475" s="331"/>
      <c r="BC4475" s="331"/>
      <c r="BD4475" s="331"/>
      <c r="BE4475" s="333"/>
      <c r="BF4475" s="330"/>
      <c r="BG4475" s="333"/>
      <c r="BH4475" s="1119"/>
      <c r="BI4475" s="319"/>
      <c r="BJ4475" s="319"/>
      <c r="BK4475" s="319"/>
      <c r="BL4475" s="319"/>
      <c r="BM4475" s="319"/>
      <c r="BN4475" s="319"/>
      <c r="BO4475" s="319"/>
      <c r="BP4475" s="953"/>
      <c r="BQ4475" s="319"/>
      <c r="BR4475" s="319"/>
      <c r="BS4475" s="330"/>
      <c r="BT4475" s="331"/>
      <c r="BU4475" s="920"/>
      <c r="BV4475" s="903"/>
      <c r="BW4475" s="908"/>
      <c r="BX4475" s="908"/>
      <c r="BY4475" s="331"/>
      <c r="BZ4475" s="331"/>
      <c r="CA4475" s="462"/>
      <c r="CB4475" s="319"/>
      <c r="CC4475" s="319"/>
      <c r="CD4475" s="319"/>
      <c r="CE4475" s="319"/>
      <c r="CF4475" s="319"/>
      <c r="CG4475" s="319"/>
      <c r="CH4475" s="318"/>
      <c r="CI4475" s="319"/>
      <c r="CJ4475" s="319"/>
      <c r="CK4475" s="342"/>
      <c r="CL4475" s="333"/>
      <c r="CM4475" s="1079"/>
      <c r="CN4475" s="1005"/>
      <c r="CO4475" s="1005"/>
      <c r="CP4475" s="1005"/>
    </row>
    <row r="4476">
      <c r="A4476" s="1257"/>
      <c r="B4476" s="1113"/>
      <c r="C4476" s="1107"/>
      <c r="D4476" s="103"/>
      <c r="E4476" s="1137"/>
      <c r="F4476" s="112"/>
      <c r="G4476" s="1110"/>
      <c r="H4476" s="1138"/>
      <c r="I4476" s="1138"/>
      <c r="J4476" s="1139"/>
      <c r="K4476" s="1111"/>
      <c r="L4476" s="1112"/>
      <c r="M4476" s="1113"/>
      <c r="N4476" s="110"/>
      <c r="O4476" s="1140"/>
      <c r="P4476" s="1115"/>
      <c r="Q4476" s="1116"/>
      <c r="R4476" s="1141"/>
      <c r="S4476" s="1113"/>
      <c r="T4476" s="1143"/>
      <c r="U4476" s="1108"/>
      <c r="V4476" s="1108"/>
      <c r="W4476" s="1108"/>
      <c r="X4476" s="1108"/>
      <c r="Y4476" s="1108"/>
      <c r="Z4476" s="1114"/>
      <c r="AA4476" s="1114"/>
      <c r="AB4476" s="1114"/>
      <c r="AC4476" s="1117"/>
      <c r="AD4476" s="1115"/>
      <c r="AE4476" s="1115"/>
      <c r="AF4476" s="1115"/>
      <c r="AG4476" s="1115"/>
      <c r="AH4476" s="1115"/>
      <c r="AI4476" s="1115"/>
      <c r="AJ4476" s="1117"/>
      <c r="AK4476" s="1118"/>
      <c r="AL4476" s="1115"/>
      <c r="AM4476" s="1115"/>
      <c r="AN4476" s="1115"/>
      <c r="AO4476" s="1115"/>
      <c r="AP4476" s="1115"/>
      <c r="AQ4476" s="1115"/>
      <c r="AR4476" s="1115"/>
      <c r="AS4476" s="1117"/>
      <c r="AT4476" s="1075"/>
      <c r="AU4476" s="1193"/>
      <c r="AV4476" s="330"/>
      <c r="AW4476" s="331"/>
      <c r="AX4476" s="331"/>
      <c r="AY4476" s="331"/>
      <c r="AZ4476" s="331"/>
      <c r="BA4476" s="331"/>
      <c r="BB4476" s="331"/>
      <c r="BC4476" s="331"/>
      <c r="BD4476" s="331"/>
      <c r="BE4476" s="333"/>
      <c r="BF4476" s="330"/>
      <c r="BG4476" s="333"/>
      <c r="BH4476" s="1119"/>
      <c r="BI4476" s="319"/>
      <c r="BJ4476" s="319"/>
      <c r="BK4476" s="319"/>
      <c r="BL4476" s="319"/>
      <c r="BM4476" s="319"/>
      <c r="BN4476" s="319"/>
      <c r="BO4476" s="319"/>
      <c r="BP4476" s="953"/>
      <c r="BQ4476" s="319"/>
      <c r="BR4476" s="319"/>
      <c r="BS4476" s="330"/>
      <c r="BT4476" s="331"/>
      <c r="BU4476" s="920"/>
      <c r="BV4476" s="903"/>
      <c r="BW4476" s="908"/>
      <c r="BX4476" s="908"/>
      <c r="BY4476" s="331"/>
      <c r="BZ4476" s="331"/>
      <c r="CA4476" s="462"/>
      <c r="CB4476" s="319"/>
      <c r="CC4476" s="319"/>
      <c r="CD4476" s="319"/>
      <c r="CE4476" s="319"/>
      <c r="CF4476" s="319"/>
      <c r="CG4476" s="319"/>
      <c r="CH4476" s="318"/>
      <c r="CI4476" s="319"/>
      <c r="CJ4476" s="319"/>
      <c r="CK4476" s="342"/>
      <c r="CL4476" s="333"/>
      <c r="CM4476" s="1079"/>
      <c r="CN4476" s="1005"/>
      <c r="CO4476" s="1005"/>
      <c r="CP4476" s="1005"/>
    </row>
    <row r="4477">
      <c r="A4477" s="1257"/>
      <c r="B4477" s="1113"/>
      <c r="C4477" s="1107"/>
      <c r="D4477" s="103"/>
      <c r="E4477" s="1137"/>
      <c r="F4477" s="112"/>
      <c r="G4477" s="1110"/>
      <c r="H4477" s="1138"/>
      <c r="I4477" s="1138"/>
      <c r="J4477" s="1139"/>
      <c r="K4477" s="1111"/>
      <c r="L4477" s="1112"/>
      <c r="M4477" s="1113"/>
      <c r="N4477" s="110"/>
      <c r="O4477" s="1140"/>
      <c r="P4477" s="1115"/>
      <c r="Q4477" s="1116"/>
      <c r="R4477" s="1141"/>
      <c r="S4477" s="1113"/>
      <c r="T4477" s="1143"/>
      <c r="U4477" s="1108"/>
      <c r="V4477" s="1108"/>
      <c r="W4477" s="1108"/>
      <c r="X4477" s="1108"/>
      <c r="Y4477" s="1108"/>
      <c r="Z4477" s="1114"/>
      <c r="AA4477" s="1114"/>
      <c r="AB4477" s="1114"/>
      <c r="AC4477" s="1117"/>
      <c r="AD4477" s="1115"/>
      <c r="AE4477" s="1115"/>
      <c r="AF4477" s="1115"/>
      <c r="AG4477" s="1115"/>
      <c r="AH4477" s="1115"/>
      <c r="AI4477" s="1115"/>
      <c r="AJ4477" s="1117"/>
      <c r="AK4477" s="1118"/>
      <c r="AL4477" s="1115"/>
      <c r="AM4477" s="1115"/>
      <c r="AN4477" s="1115"/>
      <c r="AO4477" s="1115"/>
      <c r="AP4477" s="1115"/>
      <c r="AQ4477" s="1115"/>
      <c r="AR4477" s="1115"/>
      <c r="AS4477" s="1117"/>
      <c r="AT4477" s="1075"/>
      <c r="AU4477" s="1193"/>
      <c r="AV4477" s="330"/>
      <c r="AW4477" s="331"/>
      <c r="AX4477" s="331"/>
      <c r="AY4477" s="331"/>
      <c r="AZ4477" s="331"/>
      <c r="BA4477" s="331"/>
      <c r="BB4477" s="331"/>
      <c r="BC4477" s="331"/>
      <c r="BD4477" s="331"/>
      <c r="BE4477" s="333"/>
      <c r="BF4477" s="330"/>
      <c r="BG4477" s="333"/>
      <c r="BH4477" s="1119"/>
      <c r="BI4477" s="319"/>
      <c r="BJ4477" s="319"/>
      <c r="BK4477" s="319"/>
      <c r="BL4477" s="319"/>
      <c r="BM4477" s="319"/>
      <c r="BN4477" s="319"/>
      <c r="BO4477" s="319"/>
      <c r="BP4477" s="953"/>
      <c r="BQ4477" s="319"/>
      <c r="BR4477" s="319"/>
      <c r="BS4477" s="330"/>
      <c r="BT4477" s="331"/>
      <c r="BU4477" s="920"/>
      <c r="BV4477" s="903"/>
      <c r="BW4477" s="908"/>
      <c r="BX4477" s="908"/>
      <c r="BY4477" s="331"/>
      <c r="BZ4477" s="331"/>
      <c r="CA4477" s="462"/>
      <c r="CB4477" s="319"/>
      <c r="CC4477" s="319"/>
      <c r="CD4477" s="319"/>
      <c r="CE4477" s="319"/>
      <c r="CF4477" s="319"/>
      <c r="CG4477" s="319"/>
      <c r="CH4477" s="318"/>
      <c r="CI4477" s="319"/>
      <c r="CJ4477" s="319"/>
      <c r="CK4477" s="342"/>
      <c r="CL4477" s="333"/>
      <c r="CM4477" s="1079"/>
      <c r="CN4477" s="1005"/>
      <c r="CO4477" s="1005"/>
      <c r="CP4477" s="1005"/>
    </row>
    <row r="4478">
      <c r="A4478" s="1257"/>
      <c r="B4478" s="1113"/>
      <c r="C4478" s="1107"/>
      <c r="D4478" s="103"/>
      <c r="E4478" s="1137"/>
      <c r="F4478" s="112"/>
      <c r="G4478" s="1110"/>
      <c r="H4478" s="1138"/>
      <c r="I4478" s="1138"/>
      <c r="J4478" s="1139"/>
      <c r="K4478" s="1111"/>
      <c r="L4478" s="1112"/>
      <c r="M4478" s="1113"/>
      <c r="N4478" s="110"/>
      <c r="O4478" s="1140"/>
      <c r="P4478" s="1115"/>
      <c r="Q4478" s="1116"/>
      <c r="R4478" s="1141"/>
      <c r="S4478" s="1113"/>
      <c r="T4478" s="1143"/>
      <c r="U4478" s="1108"/>
      <c r="V4478" s="1108"/>
      <c r="W4478" s="1108"/>
      <c r="X4478" s="1108"/>
      <c r="Y4478" s="1108"/>
      <c r="Z4478" s="1114"/>
      <c r="AA4478" s="1114"/>
      <c r="AB4478" s="1114"/>
      <c r="AC4478" s="1117"/>
      <c r="AD4478" s="1115"/>
      <c r="AE4478" s="1115"/>
      <c r="AF4478" s="1115"/>
      <c r="AG4478" s="1115"/>
      <c r="AH4478" s="1115"/>
      <c r="AI4478" s="1115"/>
      <c r="AJ4478" s="1117"/>
      <c r="AK4478" s="1118"/>
      <c r="AL4478" s="1115"/>
      <c r="AM4478" s="1115"/>
      <c r="AN4478" s="1115"/>
      <c r="AO4478" s="1115"/>
      <c r="AP4478" s="1115"/>
      <c r="AQ4478" s="1115"/>
      <c r="AR4478" s="1115"/>
      <c r="AS4478" s="1117"/>
      <c r="AT4478" s="1075"/>
      <c r="AU4478" s="1193"/>
      <c r="AV4478" s="330"/>
      <c r="AW4478" s="331"/>
      <c r="AX4478" s="331"/>
      <c r="AY4478" s="331"/>
      <c r="AZ4478" s="331"/>
      <c r="BA4478" s="331"/>
      <c r="BB4478" s="331"/>
      <c r="BC4478" s="331"/>
      <c r="BD4478" s="331"/>
      <c r="BE4478" s="333"/>
      <c r="BF4478" s="330"/>
      <c r="BG4478" s="333"/>
      <c r="BH4478" s="1119"/>
      <c r="BI4478" s="319"/>
      <c r="BJ4478" s="319"/>
      <c r="BK4478" s="319"/>
      <c r="BL4478" s="319"/>
      <c r="BM4478" s="319"/>
      <c r="BN4478" s="319"/>
      <c r="BO4478" s="319"/>
      <c r="BP4478" s="953"/>
      <c r="BQ4478" s="319"/>
      <c r="BR4478" s="319"/>
      <c r="BS4478" s="330"/>
      <c r="BT4478" s="331"/>
      <c r="BU4478" s="920"/>
      <c r="BV4478" s="903"/>
      <c r="BW4478" s="908"/>
      <c r="BX4478" s="908"/>
      <c r="BY4478" s="331"/>
      <c r="BZ4478" s="331"/>
      <c r="CA4478" s="462"/>
      <c r="CB4478" s="319"/>
      <c r="CC4478" s="319"/>
      <c r="CD4478" s="319"/>
      <c r="CE4478" s="319"/>
      <c r="CF4478" s="319"/>
      <c r="CG4478" s="319"/>
      <c r="CH4478" s="318"/>
      <c r="CI4478" s="319"/>
      <c r="CJ4478" s="319"/>
      <c r="CK4478" s="342"/>
      <c r="CL4478" s="333"/>
      <c r="CM4478" s="1079"/>
      <c r="CN4478" s="1005"/>
      <c r="CO4478" s="1005"/>
      <c r="CP4478" s="1005"/>
    </row>
    <row r="4479">
      <c r="A4479" s="1257"/>
      <c r="B4479" s="1113"/>
      <c r="C4479" s="1107"/>
      <c r="D4479" s="103"/>
      <c r="E4479" s="1137"/>
      <c r="F4479" s="112"/>
      <c r="G4479" s="1110"/>
      <c r="H4479" s="1138"/>
      <c r="I4479" s="1138"/>
      <c r="J4479" s="1139"/>
      <c r="K4479" s="1111"/>
      <c r="L4479" s="1112"/>
      <c r="M4479" s="1113"/>
      <c r="N4479" s="110"/>
      <c r="O4479" s="1140"/>
      <c r="P4479" s="1115"/>
      <c r="Q4479" s="1116"/>
      <c r="R4479" s="1141"/>
      <c r="S4479" s="1113"/>
      <c r="T4479" s="1143"/>
      <c r="U4479" s="1108"/>
      <c r="V4479" s="1108"/>
      <c r="W4479" s="1108"/>
      <c r="X4479" s="1108"/>
      <c r="Y4479" s="1108"/>
      <c r="Z4479" s="1114"/>
      <c r="AA4479" s="1114"/>
      <c r="AB4479" s="1114"/>
      <c r="AC4479" s="1117"/>
      <c r="AD4479" s="1115"/>
      <c r="AE4479" s="1115"/>
      <c r="AF4479" s="1115"/>
      <c r="AG4479" s="1115"/>
      <c r="AH4479" s="1115"/>
      <c r="AI4479" s="1115"/>
      <c r="AJ4479" s="1117"/>
      <c r="AK4479" s="1118"/>
      <c r="AL4479" s="1115"/>
      <c r="AM4479" s="1115"/>
      <c r="AN4479" s="1115"/>
      <c r="AO4479" s="1115"/>
      <c r="AP4479" s="1115"/>
      <c r="AQ4479" s="1115"/>
      <c r="AR4479" s="1115"/>
      <c r="AS4479" s="1117"/>
      <c r="AT4479" s="1075"/>
      <c r="AU4479" s="1193"/>
      <c r="AV4479" s="330"/>
      <c r="AW4479" s="331"/>
      <c r="AX4479" s="331"/>
      <c r="AY4479" s="331"/>
      <c r="AZ4479" s="331"/>
      <c r="BA4479" s="331"/>
      <c r="BB4479" s="331"/>
      <c r="BC4479" s="331"/>
      <c r="BD4479" s="331"/>
      <c r="BE4479" s="333"/>
      <c r="BF4479" s="330"/>
      <c r="BG4479" s="333"/>
      <c r="BH4479" s="1119"/>
      <c r="BI4479" s="319"/>
      <c r="BJ4479" s="319"/>
      <c r="BK4479" s="319"/>
      <c r="BL4479" s="319"/>
      <c r="BM4479" s="319"/>
      <c r="BN4479" s="319"/>
      <c r="BO4479" s="319"/>
      <c r="BP4479" s="953"/>
      <c r="BQ4479" s="319"/>
      <c r="BR4479" s="319"/>
      <c r="BS4479" s="330"/>
      <c r="BT4479" s="331"/>
      <c r="BU4479" s="920"/>
      <c r="BV4479" s="903"/>
      <c r="BW4479" s="908"/>
      <c r="BX4479" s="908"/>
      <c r="BY4479" s="331"/>
      <c r="BZ4479" s="331"/>
      <c r="CA4479" s="462"/>
      <c r="CB4479" s="319"/>
      <c r="CC4479" s="319"/>
      <c r="CD4479" s="319"/>
      <c r="CE4479" s="319"/>
      <c r="CF4479" s="319"/>
      <c r="CG4479" s="319"/>
      <c r="CH4479" s="318"/>
      <c r="CI4479" s="319"/>
      <c r="CJ4479" s="319"/>
      <c r="CK4479" s="342"/>
      <c r="CL4479" s="333"/>
      <c r="CM4479" s="1079"/>
      <c r="CN4479" s="1005"/>
      <c r="CO4479" s="1005"/>
      <c r="CP4479" s="1005"/>
    </row>
    <row r="4480">
      <c r="A4480" s="1257"/>
      <c r="B4480" s="1113"/>
      <c r="C4480" s="1107"/>
      <c r="D4480" s="103"/>
      <c r="E4480" s="1137"/>
      <c r="F4480" s="112"/>
      <c r="G4480" s="1110"/>
      <c r="H4480" s="1138"/>
      <c r="I4480" s="1138"/>
      <c r="J4480" s="1139"/>
      <c r="K4480" s="1111"/>
      <c r="L4480" s="1112"/>
      <c r="M4480" s="1113"/>
      <c r="N4480" s="110"/>
      <c r="O4480" s="1140"/>
      <c r="P4480" s="1115"/>
      <c r="Q4480" s="1116"/>
      <c r="R4480" s="1141"/>
      <c r="S4480" s="1113"/>
      <c r="T4480" s="1143"/>
      <c r="U4480" s="1108"/>
      <c r="V4480" s="1108"/>
      <c r="W4480" s="1108"/>
      <c r="X4480" s="1108"/>
      <c r="Y4480" s="1108"/>
      <c r="Z4480" s="1114"/>
      <c r="AA4480" s="1114"/>
      <c r="AB4480" s="1114"/>
      <c r="AC4480" s="1117"/>
      <c r="AD4480" s="1115"/>
      <c r="AE4480" s="1115"/>
      <c r="AF4480" s="1115"/>
      <c r="AG4480" s="1115"/>
      <c r="AH4480" s="1115"/>
      <c r="AI4480" s="1115"/>
      <c r="AJ4480" s="1117"/>
      <c r="AK4480" s="1118"/>
      <c r="AL4480" s="1115"/>
      <c r="AM4480" s="1115"/>
      <c r="AN4480" s="1115"/>
      <c r="AO4480" s="1115"/>
      <c r="AP4480" s="1115"/>
      <c r="AQ4480" s="1115"/>
      <c r="AR4480" s="1115"/>
      <c r="AS4480" s="1117"/>
      <c r="AT4480" s="1075"/>
      <c r="AU4480" s="1193"/>
      <c r="AV4480" s="330"/>
      <c r="AW4480" s="331"/>
      <c r="AX4480" s="331"/>
      <c r="AY4480" s="331"/>
      <c r="AZ4480" s="331"/>
      <c r="BA4480" s="331"/>
      <c r="BB4480" s="331"/>
      <c r="BC4480" s="331"/>
      <c r="BD4480" s="331"/>
      <c r="BE4480" s="333"/>
      <c r="BF4480" s="330"/>
      <c r="BG4480" s="333"/>
      <c r="BH4480" s="1119"/>
      <c r="BI4480" s="319"/>
      <c r="BJ4480" s="319"/>
      <c r="BK4480" s="319"/>
      <c r="BL4480" s="319"/>
      <c r="BM4480" s="319"/>
      <c r="BN4480" s="319"/>
      <c r="BO4480" s="319"/>
      <c r="BP4480" s="953"/>
      <c r="BQ4480" s="319"/>
      <c r="BR4480" s="319"/>
      <c r="BS4480" s="330"/>
      <c r="BT4480" s="331"/>
      <c r="BU4480" s="920"/>
      <c r="BV4480" s="903"/>
      <c r="BW4480" s="908"/>
      <c r="BX4480" s="908"/>
      <c r="BY4480" s="331"/>
      <c r="BZ4480" s="331"/>
      <c r="CA4480" s="462"/>
      <c r="CB4480" s="319"/>
      <c r="CC4480" s="319"/>
      <c r="CD4480" s="319"/>
      <c r="CE4480" s="319"/>
      <c r="CF4480" s="319"/>
      <c r="CG4480" s="319"/>
      <c r="CH4480" s="318"/>
      <c r="CI4480" s="319"/>
      <c r="CJ4480" s="319"/>
      <c r="CK4480" s="342"/>
      <c r="CL4480" s="333"/>
      <c r="CM4480" s="1079"/>
      <c r="CN4480" s="1005"/>
      <c r="CO4480" s="1005"/>
      <c r="CP4480" s="1005"/>
    </row>
    <row r="4481">
      <c r="A4481" s="1257"/>
      <c r="B4481" s="1113"/>
      <c r="C4481" s="1107"/>
      <c r="D4481" s="103"/>
      <c r="E4481" s="1137"/>
      <c r="F4481" s="112"/>
      <c r="G4481" s="1110"/>
      <c r="H4481" s="1138"/>
      <c r="I4481" s="1138"/>
      <c r="J4481" s="1139"/>
      <c r="K4481" s="1111"/>
      <c r="L4481" s="1112"/>
      <c r="M4481" s="1113"/>
      <c r="N4481" s="110"/>
      <c r="O4481" s="1140"/>
      <c r="P4481" s="1115"/>
      <c r="Q4481" s="1116"/>
      <c r="R4481" s="1141"/>
      <c r="S4481" s="1113"/>
      <c r="T4481" s="1143"/>
      <c r="U4481" s="1108"/>
      <c r="V4481" s="1108"/>
      <c r="W4481" s="1108"/>
      <c r="X4481" s="1108"/>
      <c r="Y4481" s="1108"/>
      <c r="Z4481" s="1114"/>
      <c r="AA4481" s="1114"/>
      <c r="AB4481" s="1114"/>
      <c r="AC4481" s="1117"/>
      <c r="AD4481" s="1115"/>
      <c r="AE4481" s="1115"/>
      <c r="AF4481" s="1115"/>
      <c r="AG4481" s="1115"/>
      <c r="AH4481" s="1115"/>
      <c r="AI4481" s="1115"/>
      <c r="AJ4481" s="1117"/>
      <c r="AK4481" s="1118"/>
      <c r="AL4481" s="1115"/>
      <c r="AM4481" s="1115"/>
      <c r="AN4481" s="1115"/>
      <c r="AO4481" s="1115"/>
      <c r="AP4481" s="1115"/>
      <c r="AQ4481" s="1115"/>
      <c r="AR4481" s="1115"/>
      <c r="AS4481" s="1117"/>
      <c r="AT4481" s="1075"/>
      <c r="AU4481" s="1193"/>
      <c r="AV4481" s="330"/>
      <c r="AW4481" s="331"/>
      <c r="AX4481" s="331"/>
      <c r="AY4481" s="331"/>
      <c r="AZ4481" s="331"/>
      <c r="BA4481" s="331"/>
      <c r="BB4481" s="331"/>
      <c r="BC4481" s="331"/>
      <c r="BD4481" s="331"/>
      <c r="BE4481" s="333"/>
      <c r="BF4481" s="330"/>
      <c r="BG4481" s="333"/>
      <c r="BH4481" s="1119"/>
      <c r="BI4481" s="319"/>
      <c r="BJ4481" s="319"/>
      <c r="BK4481" s="319"/>
      <c r="BL4481" s="319"/>
      <c r="BM4481" s="319"/>
      <c r="BN4481" s="319"/>
      <c r="BO4481" s="319"/>
      <c r="BP4481" s="953"/>
      <c r="BQ4481" s="319"/>
      <c r="BR4481" s="319"/>
      <c r="BS4481" s="330"/>
      <c r="BT4481" s="331"/>
      <c r="BU4481" s="920"/>
      <c r="BV4481" s="903"/>
      <c r="BW4481" s="908"/>
      <c r="BX4481" s="908"/>
      <c r="BY4481" s="331"/>
      <c r="BZ4481" s="331"/>
      <c r="CA4481" s="462"/>
      <c r="CB4481" s="319"/>
      <c r="CC4481" s="319"/>
      <c r="CD4481" s="319"/>
      <c r="CE4481" s="319"/>
      <c r="CF4481" s="319"/>
      <c r="CG4481" s="319"/>
      <c r="CH4481" s="318"/>
      <c r="CI4481" s="319"/>
      <c r="CJ4481" s="319"/>
      <c r="CK4481" s="342"/>
      <c r="CL4481" s="333"/>
      <c r="CM4481" s="1079"/>
      <c r="CN4481" s="1005"/>
      <c r="CO4481" s="1005"/>
      <c r="CP4481" s="1005"/>
    </row>
    <row r="4482">
      <c r="A4482" s="1257"/>
      <c r="B4482" s="1113"/>
      <c r="C4482" s="1107"/>
      <c r="D4482" s="103"/>
      <c r="E4482" s="1137"/>
      <c r="F4482" s="112"/>
      <c r="G4482" s="1110"/>
      <c r="H4482" s="1138"/>
      <c r="I4482" s="1138"/>
      <c r="J4482" s="1139"/>
      <c r="K4482" s="1111"/>
      <c r="L4482" s="1112"/>
      <c r="M4482" s="1113"/>
      <c r="N4482" s="110"/>
      <c r="O4482" s="1140"/>
      <c r="P4482" s="1115"/>
      <c r="Q4482" s="1116"/>
      <c r="R4482" s="1141"/>
      <c r="S4482" s="1113"/>
      <c r="T4482" s="1143"/>
      <c r="U4482" s="1108"/>
      <c r="V4482" s="1108"/>
      <c r="W4482" s="1108"/>
      <c r="X4482" s="1108"/>
      <c r="Y4482" s="1108"/>
      <c r="Z4482" s="1114"/>
      <c r="AA4482" s="1114"/>
      <c r="AB4482" s="1114"/>
      <c r="AC4482" s="1117"/>
      <c r="AD4482" s="1115"/>
      <c r="AE4482" s="1115"/>
      <c r="AF4482" s="1115"/>
      <c r="AG4482" s="1115"/>
      <c r="AH4482" s="1115"/>
      <c r="AI4482" s="1115"/>
      <c r="AJ4482" s="1117"/>
      <c r="AK4482" s="1118"/>
      <c r="AL4482" s="1115"/>
      <c r="AM4482" s="1115"/>
      <c r="AN4482" s="1115"/>
      <c r="AO4482" s="1115"/>
      <c r="AP4482" s="1115"/>
      <c r="AQ4482" s="1115"/>
      <c r="AR4482" s="1115"/>
      <c r="AS4482" s="1117"/>
      <c r="AT4482" s="1075"/>
      <c r="AU4482" s="1193"/>
      <c r="AV4482" s="330"/>
      <c r="AW4482" s="331"/>
      <c r="AX4482" s="331"/>
      <c r="AY4482" s="331"/>
      <c r="AZ4482" s="331"/>
      <c r="BA4482" s="331"/>
      <c r="BB4482" s="331"/>
      <c r="BC4482" s="331"/>
      <c r="BD4482" s="331"/>
      <c r="BE4482" s="333"/>
      <c r="BF4482" s="330"/>
      <c r="BG4482" s="333"/>
      <c r="BH4482" s="1119"/>
      <c r="BI4482" s="319"/>
      <c r="BJ4482" s="319"/>
      <c r="BK4482" s="319"/>
      <c r="BL4482" s="319"/>
      <c r="BM4482" s="319"/>
      <c r="BN4482" s="319"/>
      <c r="BO4482" s="319"/>
      <c r="BP4482" s="953"/>
      <c r="BQ4482" s="319"/>
      <c r="BR4482" s="319"/>
      <c r="BS4482" s="330"/>
      <c r="BT4482" s="331"/>
      <c r="BU4482" s="920"/>
      <c r="BV4482" s="903"/>
      <c r="BW4482" s="908"/>
      <c r="BX4482" s="908"/>
      <c r="BY4482" s="331"/>
      <c r="BZ4482" s="331"/>
      <c r="CA4482" s="462"/>
      <c r="CB4482" s="319"/>
      <c r="CC4482" s="319"/>
      <c r="CD4482" s="319"/>
      <c r="CE4482" s="319"/>
      <c r="CF4482" s="319"/>
      <c r="CG4482" s="319"/>
      <c r="CH4482" s="318"/>
      <c r="CI4482" s="319"/>
      <c r="CJ4482" s="319"/>
      <c r="CK4482" s="342"/>
      <c r="CL4482" s="333"/>
      <c r="CM4482" s="1079"/>
      <c r="CN4482" s="1005"/>
      <c r="CO4482" s="1005"/>
      <c r="CP4482" s="1005"/>
    </row>
    <row r="4483">
      <c r="A4483" s="1257"/>
      <c r="B4483" s="1113"/>
      <c r="C4483" s="1107"/>
      <c r="D4483" s="103"/>
      <c r="E4483" s="1137"/>
      <c r="F4483" s="112"/>
      <c r="G4483" s="1110"/>
      <c r="H4483" s="1138"/>
      <c r="I4483" s="1138"/>
      <c r="J4483" s="1139"/>
      <c r="K4483" s="1111"/>
      <c r="L4483" s="1112"/>
      <c r="M4483" s="1113"/>
      <c r="N4483" s="110"/>
      <c r="O4483" s="1140"/>
      <c r="P4483" s="1115"/>
      <c r="Q4483" s="1116"/>
      <c r="R4483" s="1141"/>
      <c r="S4483" s="1113"/>
      <c r="T4483" s="1143"/>
      <c r="U4483" s="1108"/>
      <c r="V4483" s="1108"/>
      <c r="W4483" s="1108"/>
      <c r="X4483" s="1108"/>
      <c r="Y4483" s="1108"/>
      <c r="Z4483" s="1114"/>
      <c r="AA4483" s="1114"/>
      <c r="AB4483" s="1114"/>
      <c r="AC4483" s="1117"/>
      <c r="AD4483" s="1115"/>
      <c r="AE4483" s="1115"/>
      <c r="AF4483" s="1115"/>
      <c r="AG4483" s="1115"/>
      <c r="AH4483" s="1115"/>
      <c r="AI4483" s="1115"/>
      <c r="AJ4483" s="1117"/>
      <c r="AK4483" s="1118"/>
      <c r="AL4483" s="1115"/>
      <c r="AM4483" s="1115"/>
      <c r="AN4483" s="1115"/>
      <c r="AO4483" s="1115"/>
      <c r="AP4483" s="1115"/>
      <c r="AQ4483" s="1115"/>
      <c r="AR4483" s="1115"/>
      <c r="AS4483" s="1117"/>
      <c r="AT4483" s="1075"/>
      <c r="AU4483" s="1193"/>
      <c r="AV4483" s="330"/>
      <c r="AW4483" s="331"/>
      <c r="AX4483" s="331"/>
      <c r="AY4483" s="331"/>
      <c r="AZ4483" s="331"/>
      <c r="BA4483" s="331"/>
      <c r="BB4483" s="331"/>
      <c r="BC4483" s="331"/>
      <c r="BD4483" s="331"/>
      <c r="BE4483" s="333"/>
      <c r="BF4483" s="330"/>
      <c r="BG4483" s="333"/>
      <c r="BH4483" s="1119"/>
      <c r="BI4483" s="319"/>
      <c r="BJ4483" s="319"/>
      <c r="BK4483" s="319"/>
      <c r="BL4483" s="319"/>
      <c r="BM4483" s="319"/>
      <c r="BN4483" s="319"/>
      <c r="BO4483" s="319"/>
      <c r="BP4483" s="953"/>
      <c r="BQ4483" s="319"/>
      <c r="BR4483" s="319"/>
      <c r="BS4483" s="330"/>
      <c r="BT4483" s="331"/>
      <c r="BU4483" s="920"/>
      <c r="BV4483" s="903"/>
      <c r="BW4483" s="908"/>
      <c r="BX4483" s="908"/>
      <c r="BY4483" s="331"/>
      <c r="BZ4483" s="331"/>
      <c r="CA4483" s="462"/>
      <c r="CB4483" s="319"/>
      <c r="CC4483" s="319"/>
      <c r="CD4483" s="319"/>
      <c r="CE4483" s="319"/>
      <c r="CF4483" s="319"/>
      <c r="CG4483" s="319"/>
      <c r="CH4483" s="318"/>
      <c r="CI4483" s="319"/>
      <c r="CJ4483" s="319"/>
      <c r="CK4483" s="342"/>
      <c r="CL4483" s="333"/>
      <c r="CM4483" s="1079"/>
      <c r="CN4483" s="1005"/>
      <c r="CO4483" s="1005"/>
      <c r="CP4483" s="1005"/>
    </row>
    <row r="4484">
      <c r="A4484" s="1257"/>
      <c r="B4484" s="1113"/>
      <c r="C4484" s="1107"/>
      <c r="D4484" s="103"/>
      <c r="E4484" s="1137"/>
      <c r="F4484" s="112"/>
      <c r="G4484" s="1110"/>
      <c r="H4484" s="1138"/>
      <c r="I4484" s="1138"/>
      <c r="J4484" s="1139"/>
      <c r="K4484" s="1111"/>
      <c r="L4484" s="1112"/>
      <c r="M4484" s="1113"/>
      <c r="N4484" s="110"/>
      <c r="O4484" s="1140"/>
      <c r="P4484" s="1115"/>
      <c r="Q4484" s="1116"/>
      <c r="R4484" s="1141"/>
      <c r="S4484" s="1113"/>
      <c r="T4484" s="1143"/>
      <c r="U4484" s="1108"/>
      <c r="V4484" s="1108"/>
      <c r="W4484" s="1108"/>
      <c r="X4484" s="1108"/>
      <c r="Y4484" s="1108"/>
      <c r="Z4484" s="1114"/>
      <c r="AA4484" s="1114"/>
      <c r="AB4484" s="1114"/>
      <c r="AC4484" s="1117"/>
      <c r="AD4484" s="1115"/>
      <c r="AE4484" s="1115"/>
      <c r="AF4484" s="1115"/>
      <c r="AG4484" s="1115"/>
      <c r="AH4484" s="1115"/>
      <c r="AI4484" s="1115"/>
      <c r="AJ4484" s="1117"/>
      <c r="AK4484" s="1118"/>
      <c r="AL4484" s="1115"/>
      <c r="AM4484" s="1115"/>
      <c r="AN4484" s="1115"/>
      <c r="AO4484" s="1115"/>
      <c r="AP4484" s="1115"/>
      <c r="AQ4484" s="1115"/>
      <c r="AR4484" s="1115"/>
      <c r="AS4484" s="1117"/>
      <c r="AT4484" s="1075"/>
      <c r="AU4484" s="1193"/>
      <c r="AV4484" s="330"/>
      <c r="AW4484" s="331"/>
      <c r="AX4484" s="331"/>
      <c r="AY4484" s="331"/>
      <c r="AZ4484" s="331"/>
      <c r="BA4484" s="331"/>
      <c r="BB4484" s="331"/>
      <c r="BC4484" s="331"/>
      <c r="BD4484" s="331"/>
      <c r="BE4484" s="333"/>
      <c r="BF4484" s="330"/>
      <c r="BG4484" s="333"/>
      <c r="BH4484" s="1119"/>
      <c r="BI4484" s="319"/>
      <c r="BJ4484" s="319"/>
      <c r="BK4484" s="319"/>
      <c r="BL4484" s="319"/>
      <c r="BM4484" s="319"/>
      <c r="BN4484" s="319"/>
      <c r="BO4484" s="319"/>
      <c r="BP4484" s="953"/>
      <c r="BQ4484" s="319"/>
      <c r="BR4484" s="319"/>
      <c r="BS4484" s="330"/>
      <c r="BT4484" s="331"/>
      <c r="BU4484" s="920"/>
      <c r="BV4484" s="903"/>
      <c r="BW4484" s="908"/>
      <c r="BX4484" s="908"/>
      <c r="BY4484" s="331"/>
      <c r="BZ4484" s="331"/>
      <c r="CA4484" s="462"/>
      <c r="CB4484" s="319"/>
      <c r="CC4484" s="319"/>
      <c r="CD4484" s="319"/>
      <c r="CE4484" s="319"/>
      <c r="CF4484" s="319"/>
      <c r="CG4484" s="319"/>
      <c r="CH4484" s="318"/>
      <c r="CI4484" s="319"/>
      <c r="CJ4484" s="319"/>
      <c r="CK4484" s="342"/>
      <c r="CL4484" s="333"/>
      <c r="CM4484" s="1079"/>
      <c r="CN4484" s="1005"/>
      <c r="CO4484" s="1005"/>
      <c r="CP4484" s="1005"/>
    </row>
    <row r="4485">
      <c r="A4485" s="1257"/>
      <c r="B4485" s="1113"/>
      <c r="C4485" s="1107"/>
      <c r="D4485" s="103"/>
      <c r="E4485" s="1137"/>
      <c r="F4485" s="112"/>
      <c r="G4485" s="1110"/>
      <c r="H4485" s="1138"/>
      <c r="I4485" s="1138"/>
      <c r="J4485" s="1139"/>
      <c r="K4485" s="1111"/>
      <c r="L4485" s="1112"/>
      <c r="M4485" s="1113"/>
      <c r="N4485" s="110"/>
      <c r="O4485" s="1140"/>
      <c r="P4485" s="1115"/>
      <c r="Q4485" s="1116"/>
      <c r="R4485" s="1141"/>
      <c r="S4485" s="1113"/>
      <c r="T4485" s="1143"/>
      <c r="U4485" s="1108"/>
      <c r="V4485" s="1108"/>
      <c r="W4485" s="1108"/>
      <c r="X4485" s="1108"/>
      <c r="Y4485" s="1108"/>
      <c r="Z4485" s="1114"/>
      <c r="AA4485" s="1114"/>
      <c r="AB4485" s="1114"/>
      <c r="AC4485" s="1117"/>
      <c r="AD4485" s="1115"/>
      <c r="AE4485" s="1115"/>
      <c r="AF4485" s="1115"/>
      <c r="AG4485" s="1115"/>
      <c r="AH4485" s="1115"/>
      <c r="AI4485" s="1115"/>
      <c r="AJ4485" s="1117"/>
      <c r="AK4485" s="1118"/>
      <c r="AL4485" s="1115"/>
      <c r="AM4485" s="1115"/>
      <c r="AN4485" s="1115"/>
      <c r="AO4485" s="1115"/>
      <c r="AP4485" s="1115"/>
      <c r="AQ4485" s="1115"/>
      <c r="AR4485" s="1115"/>
      <c r="AS4485" s="1117"/>
      <c r="AT4485" s="1075"/>
      <c r="AU4485" s="1193"/>
      <c r="AV4485" s="330"/>
      <c r="AW4485" s="331"/>
      <c r="AX4485" s="331"/>
      <c r="AY4485" s="331"/>
      <c r="AZ4485" s="331"/>
      <c r="BA4485" s="331"/>
      <c r="BB4485" s="331"/>
      <c r="BC4485" s="331"/>
      <c r="BD4485" s="331"/>
      <c r="BE4485" s="333"/>
      <c r="BF4485" s="330"/>
      <c r="BG4485" s="333"/>
      <c r="BH4485" s="1119"/>
      <c r="BI4485" s="319"/>
      <c r="BJ4485" s="319"/>
      <c r="BK4485" s="319"/>
      <c r="BL4485" s="319"/>
      <c r="BM4485" s="319"/>
      <c r="BN4485" s="319"/>
      <c r="BO4485" s="319"/>
      <c r="BP4485" s="953"/>
      <c r="BQ4485" s="319"/>
      <c r="BR4485" s="319"/>
      <c r="BS4485" s="330"/>
      <c r="BT4485" s="331"/>
      <c r="BU4485" s="920"/>
      <c r="BV4485" s="903"/>
      <c r="BW4485" s="908"/>
      <c r="BX4485" s="908"/>
      <c r="BY4485" s="331"/>
      <c r="BZ4485" s="331"/>
      <c r="CA4485" s="462"/>
      <c r="CB4485" s="319"/>
      <c r="CC4485" s="319"/>
      <c r="CD4485" s="319"/>
      <c r="CE4485" s="319"/>
      <c r="CF4485" s="319"/>
      <c r="CG4485" s="319"/>
      <c r="CH4485" s="318"/>
      <c r="CI4485" s="319"/>
      <c r="CJ4485" s="319"/>
      <c r="CK4485" s="342"/>
      <c r="CL4485" s="333"/>
      <c r="CM4485" s="1079"/>
      <c r="CN4485" s="1005"/>
      <c r="CO4485" s="1005"/>
      <c r="CP4485" s="1005"/>
    </row>
    <row r="4486">
      <c r="A4486" s="1257"/>
      <c r="B4486" s="1113"/>
      <c r="C4486" s="1107"/>
      <c r="D4486" s="103"/>
      <c r="E4486" s="1137"/>
      <c r="F4486" s="112"/>
      <c r="G4486" s="1110"/>
      <c r="H4486" s="1138"/>
      <c r="I4486" s="1138"/>
      <c r="J4486" s="1139"/>
      <c r="K4486" s="1111"/>
      <c r="L4486" s="1112"/>
      <c r="M4486" s="1113"/>
      <c r="N4486" s="110"/>
      <c r="O4486" s="1140"/>
      <c r="P4486" s="1115"/>
      <c r="Q4486" s="1116"/>
      <c r="R4486" s="1141"/>
      <c r="S4486" s="1113"/>
      <c r="T4486" s="1143"/>
      <c r="U4486" s="1108"/>
      <c r="V4486" s="1108"/>
      <c r="W4486" s="1108"/>
      <c r="X4486" s="1108"/>
      <c r="Y4486" s="1108"/>
      <c r="Z4486" s="1114"/>
      <c r="AA4486" s="1114"/>
      <c r="AB4486" s="1114"/>
      <c r="AC4486" s="1117"/>
      <c r="AD4486" s="1115"/>
      <c r="AE4486" s="1115"/>
      <c r="AF4486" s="1115"/>
      <c r="AG4486" s="1115"/>
      <c r="AH4486" s="1115"/>
      <c r="AI4486" s="1115"/>
      <c r="AJ4486" s="1117"/>
      <c r="AK4486" s="1118"/>
      <c r="AL4486" s="1115"/>
      <c r="AM4486" s="1115"/>
      <c r="AN4486" s="1115"/>
      <c r="AO4486" s="1115"/>
      <c r="AP4486" s="1115"/>
      <c r="AQ4486" s="1115"/>
      <c r="AR4486" s="1115"/>
      <c r="AS4486" s="1117"/>
      <c r="AT4486" s="1075"/>
      <c r="AU4486" s="1193"/>
      <c r="AV4486" s="330"/>
      <c r="AW4486" s="331"/>
      <c r="AX4486" s="331"/>
      <c r="AY4486" s="331"/>
      <c r="AZ4486" s="331"/>
      <c r="BA4486" s="331"/>
      <c r="BB4486" s="331"/>
      <c r="BC4486" s="331"/>
      <c r="BD4486" s="331"/>
      <c r="BE4486" s="333"/>
      <c r="BF4486" s="330"/>
      <c r="BG4486" s="333"/>
      <c r="BH4486" s="1119"/>
      <c r="BI4486" s="319"/>
      <c r="BJ4486" s="319"/>
      <c r="BK4486" s="319"/>
      <c r="BL4486" s="319"/>
      <c r="BM4486" s="319"/>
      <c r="BN4486" s="319"/>
      <c r="BO4486" s="319"/>
      <c r="BP4486" s="953"/>
      <c r="BQ4486" s="319"/>
      <c r="BR4486" s="319"/>
      <c r="BS4486" s="330"/>
      <c r="BT4486" s="331"/>
      <c r="BU4486" s="920"/>
      <c r="BV4486" s="903"/>
      <c r="BW4486" s="908"/>
      <c r="BX4486" s="908"/>
      <c r="BY4486" s="331"/>
      <c r="BZ4486" s="331"/>
      <c r="CA4486" s="462"/>
      <c r="CB4486" s="319"/>
      <c r="CC4486" s="319"/>
      <c r="CD4486" s="319"/>
      <c r="CE4486" s="319"/>
      <c r="CF4486" s="319"/>
      <c r="CG4486" s="319"/>
      <c r="CH4486" s="318"/>
      <c r="CI4486" s="319"/>
      <c r="CJ4486" s="319"/>
      <c r="CK4486" s="342"/>
      <c r="CL4486" s="333"/>
      <c r="CM4486" s="1079"/>
      <c r="CN4486" s="1005"/>
      <c r="CO4486" s="1005"/>
      <c r="CP4486" s="1005"/>
    </row>
    <row r="4487">
      <c r="A4487" s="1257"/>
      <c r="B4487" s="1113"/>
      <c r="C4487" s="1107"/>
      <c r="D4487" s="103"/>
      <c r="E4487" s="1137"/>
      <c r="F4487" s="112"/>
      <c r="G4487" s="1110"/>
      <c r="H4487" s="1138"/>
      <c r="I4487" s="1138"/>
      <c r="J4487" s="1139"/>
      <c r="K4487" s="1111"/>
      <c r="L4487" s="1112"/>
      <c r="M4487" s="1113"/>
      <c r="N4487" s="110"/>
      <c r="O4487" s="1140"/>
      <c r="P4487" s="1115"/>
      <c r="Q4487" s="1116"/>
      <c r="R4487" s="1141"/>
      <c r="S4487" s="1113"/>
      <c r="T4487" s="1143"/>
      <c r="U4487" s="1108"/>
      <c r="V4487" s="1108"/>
      <c r="W4487" s="1108"/>
      <c r="X4487" s="1108"/>
      <c r="Y4487" s="1108"/>
      <c r="Z4487" s="1114"/>
      <c r="AA4487" s="1114"/>
      <c r="AB4487" s="1114"/>
      <c r="AC4487" s="1117"/>
      <c r="AD4487" s="1115"/>
      <c r="AE4487" s="1115"/>
      <c r="AF4487" s="1115"/>
      <c r="AG4487" s="1115"/>
      <c r="AH4487" s="1115"/>
      <c r="AI4487" s="1115"/>
      <c r="AJ4487" s="1117"/>
      <c r="AK4487" s="1118"/>
      <c r="AL4487" s="1115"/>
      <c r="AM4487" s="1115"/>
      <c r="AN4487" s="1115"/>
      <c r="AO4487" s="1115"/>
      <c r="AP4487" s="1115"/>
      <c r="AQ4487" s="1115"/>
      <c r="AR4487" s="1115"/>
      <c r="AS4487" s="1117"/>
      <c r="AT4487" s="1075"/>
      <c r="AU4487" s="1193"/>
      <c r="AV4487" s="330"/>
      <c r="AW4487" s="331"/>
      <c r="AX4487" s="331"/>
      <c r="AY4487" s="331"/>
      <c r="AZ4487" s="331"/>
      <c r="BA4487" s="331"/>
      <c r="BB4487" s="331"/>
      <c r="BC4487" s="331"/>
      <c r="BD4487" s="331"/>
      <c r="BE4487" s="333"/>
      <c r="BF4487" s="330"/>
      <c r="BG4487" s="333"/>
      <c r="BH4487" s="1119"/>
      <c r="BI4487" s="319"/>
      <c r="BJ4487" s="319"/>
      <c r="BK4487" s="319"/>
      <c r="BL4487" s="319"/>
      <c r="BM4487" s="319"/>
      <c r="BN4487" s="319"/>
      <c r="BO4487" s="319"/>
      <c r="BP4487" s="953"/>
      <c r="BQ4487" s="319"/>
      <c r="BR4487" s="319"/>
      <c r="BS4487" s="330"/>
      <c r="BT4487" s="331"/>
      <c r="BU4487" s="920"/>
      <c r="BV4487" s="903"/>
      <c r="BW4487" s="908"/>
      <c r="BX4487" s="908"/>
      <c r="BY4487" s="331"/>
      <c r="BZ4487" s="331"/>
      <c r="CA4487" s="462"/>
      <c r="CB4487" s="319"/>
      <c r="CC4487" s="319"/>
      <c r="CD4487" s="319"/>
      <c r="CE4487" s="319"/>
      <c r="CF4487" s="319"/>
      <c r="CG4487" s="319"/>
      <c r="CH4487" s="318"/>
      <c r="CI4487" s="319"/>
      <c r="CJ4487" s="319"/>
      <c r="CK4487" s="342"/>
      <c r="CL4487" s="333"/>
      <c r="CM4487" s="1079"/>
      <c r="CN4487" s="1005"/>
      <c r="CO4487" s="1005"/>
      <c r="CP4487" s="1005"/>
    </row>
    <row r="4488">
      <c r="A4488" s="1257"/>
      <c r="B4488" s="1113"/>
      <c r="C4488" s="1107"/>
      <c r="D4488" s="103"/>
      <c r="E4488" s="1137"/>
      <c r="F4488" s="112"/>
      <c r="G4488" s="1110"/>
      <c r="H4488" s="1138"/>
      <c r="I4488" s="1138"/>
      <c r="J4488" s="1139"/>
      <c r="K4488" s="1111"/>
      <c r="L4488" s="1112"/>
      <c r="M4488" s="1113"/>
      <c r="N4488" s="110"/>
      <c r="O4488" s="1140"/>
      <c r="P4488" s="1115"/>
      <c r="Q4488" s="1116"/>
      <c r="R4488" s="1141"/>
      <c r="S4488" s="1113"/>
      <c r="T4488" s="1143"/>
      <c r="U4488" s="1108"/>
      <c r="V4488" s="1108"/>
      <c r="W4488" s="1108"/>
      <c r="X4488" s="1108"/>
      <c r="Y4488" s="1108"/>
      <c r="Z4488" s="1114"/>
      <c r="AA4488" s="1114"/>
      <c r="AB4488" s="1114"/>
      <c r="AC4488" s="1117"/>
      <c r="AD4488" s="1115"/>
      <c r="AE4488" s="1115"/>
      <c r="AF4488" s="1115"/>
      <c r="AG4488" s="1115"/>
      <c r="AH4488" s="1115"/>
      <c r="AI4488" s="1115"/>
      <c r="AJ4488" s="1117"/>
      <c r="AK4488" s="1118"/>
      <c r="AL4488" s="1115"/>
      <c r="AM4488" s="1115"/>
      <c r="AN4488" s="1115"/>
      <c r="AO4488" s="1115"/>
      <c r="AP4488" s="1115"/>
      <c r="AQ4488" s="1115"/>
      <c r="AR4488" s="1115"/>
      <c r="AS4488" s="1117"/>
      <c r="AT4488" s="1075"/>
      <c r="AU4488" s="1193"/>
      <c r="AV4488" s="330"/>
      <c r="AW4488" s="331"/>
      <c r="AX4488" s="331"/>
      <c r="AY4488" s="331"/>
      <c r="AZ4488" s="331"/>
      <c r="BA4488" s="331"/>
      <c r="BB4488" s="331"/>
      <c r="BC4488" s="331"/>
      <c r="BD4488" s="331"/>
      <c r="BE4488" s="333"/>
      <c r="BF4488" s="330"/>
      <c r="BG4488" s="333"/>
      <c r="BH4488" s="1119"/>
      <c r="BI4488" s="319"/>
      <c r="BJ4488" s="319"/>
      <c r="BK4488" s="319"/>
      <c r="BL4488" s="319"/>
      <c r="BM4488" s="319"/>
      <c r="BN4488" s="319"/>
      <c r="BO4488" s="319"/>
      <c r="BP4488" s="953"/>
      <c r="BQ4488" s="319"/>
      <c r="BR4488" s="319"/>
      <c r="BS4488" s="330"/>
      <c r="BT4488" s="331"/>
      <c r="BU4488" s="920"/>
      <c r="BV4488" s="903"/>
      <c r="BW4488" s="908"/>
      <c r="BX4488" s="908"/>
      <c r="BY4488" s="331"/>
      <c r="BZ4488" s="331"/>
      <c r="CA4488" s="462"/>
      <c r="CB4488" s="319"/>
      <c r="CC4488" s="319"/>
      <c r="CD4488" s="319"/>
      <c r="CE4488" s="319"/>
      <c r="CF4488" s="319"/>
      <c r="CG4488" s="319"/>
      <c r="CH4488" s="318"/>
      <c r="CI4488" s="319"/>
      <c r="CJ4488" s="319"/>
      <c r="CK4488" s="342"/>
      <c r="CL4488" s="333"/>
      <c r="CM4488" s="1079"/>
      <c r="CN4488" s="1005"/>
      <c r="CO4488" s="1005"/>
      <c r="CP4488" s="1005"/>
    </row>
    <row r="4489">
      <c r="A4489" s="1257"/>
      <c r="B4489" s="1113"/>
      <c r="C4489" s="1107"/>
      <c r="D4489" s="103"/>
      <c r="E4489" s="1137"/>
      <c r="F4489" s="112"/>
      <c r="G4489" s="1110"/>
      <c r="H4489" s="1138"/>
      <c r="I4489" s="1138"/>
      <c r="J4489" s="1139"/>
      <c r="K4489" s="1111"/>
      <c r="L4489" s="1112"/>
      <c r="M4489" s="1113"/>
      <c r="N4489" s="110"/>
      <c r="O4489" s="1140"/>
      <c r="P4489" s="1115"/>
      <c r="Q4489" s="1116"/>
      <c r="R4489" s="1141"/>
      <c r="S4489" s="1113"/>
      <c r="T4489" s="1143"/>
      <c r="U4489" s="1108"/>
      <c r="V4489" s="1108"/>
      <c r="W4489" s="1108"/>
      <c r="X4489" s="1108"/>
      <c r="Y4489" s="1108"/>
      <c r="Z4489" s="1114"/>
      <c r="AA4489" s="1114"/>
      <c r="AB4489" s="1114"/>
      <c r="AC4489" s="1117"/>
      <c r="AD4489" s="1115"/>
      <c r="AE4489" s="1115"/>
      <c r="AF4489" s="1115"/>
      <c r="AG4489" s="1115"/>
      <c r="AH4489" s="1115"/>
      <c r="AI4489" s="1115"/>
      <c r="AJ4489" s="1117"/>
      <c r="AK4489" s="1118"/>
      <c r="AL4489" s="1115"/>
      <c r="AM4489" s="1115"/>
      <c r="AN4489" s="1115"/>
      <c r="AO4489" s="1115"/>
      <c r="AP4489" s="1115"/>
      <c r="AQ4489" s="1115"/>
      <c r="AR4489" s="1115"/>
      <c r="AS4489" s="1117"/>
      <c r="AT4489" s="1075"/>
      <c r="AU4489" s="1193"/>
      <c r="AV4489" s="330"/>
      <c r="AW4489" s="331"/>
      <c r="AX4489" s="331"/>
      <c r="AY4489" s="331"/>
      <c r="AZ4489" s="331"/>
      <c r="BA4489" s="331"/>
      <c r="BB4489" s="331"/>
      <c r="BC4489" s="331"/>
      <c r="BD4489" s="331"/>
      <c r="BE4489" s="333"/>
      <c r="BF4489" s="330"/>
      <c r="BG4489" s="333"/>
      <c r="BH4489" s="1119"/>
      <c r="BI4489" s="319"/>
      <c r="BJ4489" s="319"/>
      <c r="BK4489" s="319"/>
      <c r="BL4489" s="319"/>
      <c r="BM4489" s="319"/>
      <c r="BN4489" s="319"/>
      <c r="BO4489" s="319"/>
      <c r="BP4489" s="953"/>
      <c r="BQ4489" s="319"/>
      <c r="BR4489" s="319"/>
      <c r="BS4489" s="330"/>
      <c r="BT4489" s="331"/>
      <c r="BU4489" s="920"/>
      <c r="BV4489" s="903"/>
      <c r="BW4489" s="908"/>
      <c r="BX4489" s="908"/>
      <c r="BY4489" s="331"/>
      <c r="BZ4489" s="331"/>
      <c r="CA4489" s="462"/>
      <c r="CB4489" s="319"/>
      <c r="CC4489" s="319"/>
      <c r="CD4489" s="319"/>
      <c r="CE4489" s="319"/>
      <c r="CF4489" s="319"/>
      <c r="CG4489" s="319"/>
      <c r="CH4489" s="318"/>
      <c r="CI4489" s="319"/>
      <c r="CJ4489" s="319"/>
      <c r="CK4489" s="342"/>
      <c r="CL4489" s="333"/>
      <c r="CM4489" s="1079"/>
      <c r="CN4489" s="1005"/>
      <c r="CO4489" s="1005"/>
      <c r="CP4489" s="1005"/>
    </row>
    <row r="4490">
      <c r="A4490" s="1257"/>
      <c r="B4490" s="1113"/>
      <c r="C4490" s="1107"/>
      <c r="D4490" s="103"/>
      <c r="E4490" s="1137"/>
      <c r="F4490" s="112"/>
      <c r="G4490" s="1110"/>
      <c r="H4490" s="1138"/>
      <c r="I4490" s="1138"/>
      <c r="J4490" s="1139"/>
      <c r="K4490" s="1111"/>
      <c r="L4490" s="1112"/>
      <c r="M4490" s="1113"/>
      <c r="N4490" s="110"/>
      <c r="O4490" s="1140"/>
      <c r="P4490" s="1115"/>
      <c r="Q4490" s="1116"/>
      <c r="R4490" s="1141"/>
      <c r="S4490" s="1113"/>
      <c r="T4490" s="1143"/>
      <c r="U4490" s="1108"/>
      <c r="V4490" s="1108"/>
      <c r="W4490" s="1108"/>
      <c r="X4490" s="1108"/>
      <c r="Y4490" s="1108"/>
      <c r="Z4490" s="1114"/>
      <c r="AA4490" s="1114"/>
      <c r="AB4490" s="1114"/>
      <c r="AC4490" s="1117"/>
      <c r="AD4490" s="1115"/>
      <c r="AE4490" s="1115"/>
      <c r="AF4490" s="1115"/>
      <c r="AG4490" s="1115"/>
      <c r="AH4490" s="1115"/>
      <c r="AI4490" s="1115"/>
      <c r="AJ4490" s="1117"/>
      <c r="AK4490" s="1118"/>
      <c r="AL4490" s="1115"/>
      <c r="AM4490" s="1115"/>
      <c r="AN4490" s="1115"/>
      <c r="AO4490" s="1115"/>
      <c r="AP4490" s="1115"/>
      <c r="AQ4490" s="1115"/>
      <c r="AR4490" s="1115"/>
      <c r="AS4490" s="1117"/>
      <c r="AT4490" s="1075"/>
      <c r="AU4490" s="1193"/>
      <c r="AV4490" s="330"/>
      <c r="AW4490" s="331"/>
      <c r="AX4490" s="331"/>
      <c r="AY4490" s="331"/>
      <c r="AZ4490" s="331"/>
      <c r="BA4490" s="331"/>
      <c r="BB4490" s="331"/>
      <c r="BC4490" s="331"/>
      <c r="BD4490" s="331"/>
      <c r="BE4490" s="333"/>
      <c r="BF4490" s="330"/>
      <c r="BG4490" s="333"/>
      <c r="BH4490" s="1119"/>
      <c r="BI4490" s="319"/>
      <c r="BJ4490" s="319"/>
      <c r="BK4490" s="319"/>
      <c r="BL4490" s="319"/>
      <c r="BM4490" s="319"/>
      <c r="BN4490" s="319"/>
      <c r="BO4490" s="319"/>
      <c r="BP4490" s="953"/>
      <c r="BQ4490" s="319"/>
      <c r="BR4490" s="319"/>
      <c r="BS4490" s="330"/>
      <c r="BT4490" s="331"/>
      <c r="BU4490" s="920"/>
      <c r="BV4490" s="903"/>
      <c r="BW4490" s="908"/>
      <c r="BX4490" s="908"/>
      <c r="BY4490" s="331"/>
      <c r="BZ4490" s="331"/>
      <c r="CA4490" s="462"/>
      <c r="CB4490" s="319"/>
      <c r="CC4490" s="319"/>
      <c r="CD4490" s="319"/>
      <c r="CE4490" s="319"/>
      <c r="CF4490" s="319"/>
      <c r="CG4490" s="319"/>
      <c r="CH4490" s="318"/>
      <c r="CI4490" s="319"/>
      <c r="CJ4490" s="319"/>
      <c r="CK4490" s="342"/>
      <c r="CL4490" s="333"/>
      <c r="CM4490" s="1079"/>
      <c r="CN4490" s="1005"/>
      <c r="CO4490" s="1005"/>
      <c r="CP4490" s="1005"/>
    </row>
    <row r="4491">
      <c r="A4491" s="1257"/>
      <c r="B4491" s="1113"/>
      <c r="C4491" s="1107"/>
      <c r="D4491" s="103"/>
      <c r="E4491" s="1137"/>
      <c r="F4491" s="112"/>
      <c r="G4491" s="1110"/>
      <c r="H4491" s="1138"/>
      <c r="I4491" s="1138"/>
      <c r="J4491" s="1139"/>
      <c r="K4491" s="1111"/>
      <c r="L4491" s="1112"/>
      <c r="M4491" s="1113"/>
      <c r="N4491" s="110"/>
      <c r="O4491" s="1140"/>
      <c r="P4491" s="1115"/>
      <c r="Q4491" s="1116"/>
      <c r="R4491" s="1141"/>
      <c r="S4491" s="1113"/>
      <c r="T4491" s="1143"/>
      <c r="U4491" s="1108"/>
      <c r="V4491" s="1108"/>
      <c r="W4491" s="1108"/>
      <c r="X4491" s="1108"/>
      <c r="Y4491" s="1108"/>
      <c r="Z4491" s="1114"/>
      <c r="AA4491" s="1114"/>
      <c r="AB4491" s="1114"/>
      <c r="AC4491" s="1117"/>
      <c r="AD4491" s="1115"/>
      <c r="AE4491" s="1115"/>
      <c r="AF4491" s="1115"/>
      <c r="AG4491" s="1115"/>
      <c r="AH4491" s="1115"/>
      <c r="AI4491" s="1115"/>
      <c r="AJ4491" s="1117"/>
      <c r="AK4491" s="1118"/>
      <c r="AL4491" s="1115"/>
      <c r="AM4491" s="1115"/>
      <c r="AN4491" s="1115"/>
      <c r="AO4491" s="1115"/>
      <c r="AP4491" s="1115"/>
      <c r="AQ4491" s="1115"/>
      <c r="AR4491" s="1115"/>
      <c r="AS4491" s="1117"/>
      <c r="AT4491" s="1075"/>
      <c r="AU4491" s="1193"/>
      <c r="AV4491" s="330"/>
      <c r="AW4491" s="331"/>
      <c r="AX4491" s="331"/>
      <c r="AY4491" s="331"/>
      <c r="AZ4491" s="331"/>
      <c r="BA4491" s="331"/>
      <c r="BB4491" s="331"/>
      <c r="BC4491" s="331"/>
      <c r="BD4491" s="331"/>
      <c r="BE4491" s="333"/>
      <c r="BF4491" s="330"/>
      <c r="BG4491" s="333"/>
      <c r="BH4491" s="1119"/>
      <c r="BI4491" s="319"/>
      <c r="BJ4491" s="319"/>
      <c r="BK4491" s="319"/>
      <c r="BL4491" s="319"/>
      <c r="BM4491" s="319"/>
      <c r="BN4491" s="319"/>
      <c r="BO4491" s="319"/>
      <c r="BP4491" s="953"/>
      <c r="BQ4491" s="319"/>
      <c r="BR4491" s="319"/>
      <c r="BS4491" s="330"/>
      <c r="BT4491" s="331"/>
      <c r="BU4491" s="920"/>
      <c r="BV4491" s="903"/>
      <c r="BW4491" s="908"/>
      <c r="BX4491" s="908"/>
      <c r="BY4491" s="331"/>
      <c r="BZ4491" s="331"/>
      <c r="CA4491" s="462"/>
      <c r="CB4491" s="319"/>
      <c r="CC4491" s="319"/>
      <c r="CD4491" s="319"/>
      <c r="CE4491" s="319"/>
      <c r="CF4491" s="319"/>
      <c r="CG4491" s="319"/>
      <c r="CH4491" s="318"/>
      <c r="CI4491" s="319"/>
      <c r="CJ4491" s="319"/>
      <c r="CK4491" s="342"/>
      <c r="CL4491" s="333"/>
      <c r="CM4491" s="1079"/>
      <c r="CN4491" s="1005"/>
      <c r="CO4491" s="1005"/>
      <c r="CP4491" s="1005"/>
    </row>
    <row r="4492">
      <c r="A4492" s="1257"/>
      <c r="B4492" s="1113"/>
      <c r="C4492" s="1107"/>
      <c r="D4492" s="103"/>
      <c r="E4492" s="1137"/>
      <c r="F4492" s="112"/>
      <c r="G4492" s="1110"/>
      <c r="H4492" s="1138"/>
      <c r="I4492" s="1138"/>
      <c r="J4492" s="1139"/>
      <c r="K4492" s="1111"/>
      <c r="L4492" s="1112"/>
      <c r="M4492" s="1113"/>
      <c r="N4492" s="110"/>
      <c r="O4492" s="1140"/>
      <c r="P4492" s="1115"/>
      <c r="Q4492" s="1116"/>
      <c r="R4492" s="1141"/>
      <c r="S4492" s="1113"/>
      <c r="T4492" s="1143"/>
      <c r="U4492" s="1108"/>
      <c r="V4492" s="1108"/>
      <c r="W4492" s="1108"/>
      <c r="X4492" s="1108"/>
      <c r="Y4492" s="1108"/>
      <c r="Z4492" s="1114"/>
      <c r="AA4492" s="1114"/>
      <c r="AB4492" s="1114"/>
      <c r="AC4492" s="1117"/>
      <c r="AD4492" s="1115"/>
      <c r="AE4492" s="1115"/>
      <c r="AF4492" s="1115"/>
      <c r="AG4492" s="1115"/>
      <c r="AH4492" s="1115"/>
      <c r="AI4492" s="1115"/>
      <c r="AJ4492" s="1117"/>
      <c r="AK4492" s="1118"/>
      <c r="AL4492" s="1115"/>
      <c r="AM4492" s="1115"/>
      <c r="AN4492" s="1115"/>
      <c r="AO4492" s="1115"/>
      <c r="AP4492" s="1115"/>
      <c r="AQ4492" s="1115"/>
      <c r="AR4492" s="1115"/>
      <c r="AS4492" s="1117"/>
      <c r="AT4492" s="1075"/>
      <c r="AU4492" s="1193"/>
      <c r="AV4492" s="330"/>
      <c r="AW4492" s="331"/>
      <c r="AX4492" s="331"/>
      <c r="AY4492" s="331"/>
      <c r="AZ4492" s="331"/>
      <c r="BA4492" s="331"/>
      <c r="BB4492" s="331"/>
      <c r="BC4492" s="331"/>
      <c r="BD4492" s="331"/>
      <c r="BE4492" s="333"/>
      <c r="BF4492" s="330"/>
      <c r="BG4492" s="333"/>
      <c r="BH4492" s="1119"/>
      <c r="BI4492" s="319"/>
      <c r="BJ4492" s="319"/>
      <c r="BK4492" s="319"/>
      <c r="BL4492" s="319"/>
      <c r="BM4492" s="319"/>
      <c r="BN4492" s="319"/>
      <c r="BO4492" s="319"/>
      <c r="BP4492" s="953"/>
      <c r="BQ4492" s="319"/>
      <c r="BR4492" s="319"/>
      <c r="BS4492" s="330"/>
      <c r="BT4492" s="331"/>
      <c r="BU4492" s="920"/>
      <c r="BV4492" s="903"/>
      <c r="BW4492" s="908"/>
      <c r="BX4492" s="908"/>
      <c r="BY4492" s="331"/>
      <c r="BZ4492" s="331"/>
      <c r="CA4492" s="462"/>
      <c r="CB4492" s="319"/>
      <c r="CC4492" s="319"/>
      <c r="CD4492" s="319"/>
      <c r="CE4492" s="319"/>
      <c r="CF4492" s="319"/>
      <c r="CG4492" s="319"/>
      <c r="CH4492" s="318"/>
      <c r="CI4492" s="319"/>
      <c r="CJ4492" s="319"/>
      <c r="CK4492" s="342"/>
      <c r="CL4492" s="333"/>
      <c r="CM4492" s="1079"/>
      <c r="CN4492" s="1005"/>
      <c r="CO4492" s="1005"/>
      <c r="CP4492" s="1005"/>
    </row>
    <row r="4493">
      <c r="A4493" s="1257"/>
      <c r="B4493" s="1113"/>
      <c r="C4493" s="1107"/>
      <c r="D4493" s="103"/>
      <c r="E4493" s="1137"/>
      <c r="F4493" s="112"/>
      <c r="G4493" s="1110"/>
      <c r="H4493" s="1138"/>
      <c r="I4493" s="1138"/>
      <c r="J4493" s="1139"/>
      <c r="K4493" s="1111"/>
      <c r="L4493" s="1112"/>
      <c r="M4493" s="1113"/>
      <c r="N4493" s="110"/>
      <c r="O4493" s="1140"/>
      <c r="P4493" s="1115"/>
      <c r="Q4493" s="1116"/>
      <c r="R4493" s="1141"/>
      <c r="S4493" s="1113"/>
      <c r="T4493" s="1143"/>
      <c r="U4493" s="1108"/>
      <c r="V4493" s="1108"/>
      <c r="W4493" s="1108"/>
      <c r="X4493" s="1108"/>
      <c r="Y4493" s="1108"/>
      <c r="Z4493" s="1114"/>
      <c r="AA4493" s="1114"/>
      <c r="AB4493" s="1114"/>
      <c r="AC4493" s="1117"/>
      <c r="AD4493" s="1115"/>
      <c r="AE4493" s="1115"/>
      <c r="AF4493" s="1115"/>
      <c r="AG4493" s="1115"/>
      <c r="AH4493" s="1115"/>
      <c r="AI4493" s="1115"/>
      <c r="AJ4493" s="1117"/>
      <c r="AK4493" s="1118"/>
      <c r="AL4493" s="1115"/>
      <c r="AM4493" s="1115"/>
      <c r="AN4493" s="1115"/>
      <c r="AO4493" s="1115"/>
      <c r="AP4493" s="1115"/>
      <c r="AQ4493" s="1115"/>
      <c r="AR4493" s="1115"/>
      <c r="AS4493" s="1117"/>
      <c r="AT4493" s="1075"/>
      <c r="AU4493" s="1193"/>
      <c r="AV4493" s="330"/>
      <c r="AW4493" s="331"/>
      <c r="AX4493" s="331"/>
      <c r="AY4493" s="331"/>
      <c r="AZ4493" s="331"/>
      <c r="BA4493" s="331"/>
      <c r="BB4493" s="331"/>
      <c r="BC4493" s="331"/>
      <c r="BD4493" s="331"/>
      <c r="BE4493" s="333"/>
      <c r="BF4493" s="330"/>
      <c r="BG4493" s="333"/>
      <c r="BH4493" s="1119"/>
      <c r="BI4493" s="319"/>
      <c r="BJ4493" s="319"/>
      <c r="BK4493" s="319"/>
      <c r="BL4493" s="319"/>
      <c r="BM4493" s="319"/>
      <c r="BN4493" s="319"/>
      <c r="BO4493" s="319"/>
      <c r="BP4493" s="953"/>
      <c r="BQ4493" s="319"/>
      <c r="BR4493" s="319"/>
      <c r="BS4493" s="330"/>
      <c r="BT4493" s="331"/>
      <c r="BU4493" s="920"/>
      <c r="BV4493" s="903"/>
      <c r="BW4493" s="908"/>
      <c r="BX4493" s="908"/>
      <c r="BY4493" s="331"/>
      <c r="BZ4493" s="331"/>
      <c r="CA4493" s="462"/>
      <c r="CB4493" s="319"/>
      <c r="CC4493" s="319"/>
      <c r="CD4493" s="319"/>
      <c r="CE4493" s="319"/>
      <c r="CF4493" s="319"/>
      <c r="CG4493" s="319"/>
      <c r="CH4493" s="318"/>
      <c r="CI4493" s="319"/>
      <c r="CJ4493" s="319"/>
      <c r="CK4493" s="342"/>
      <c r="CL4493" s="333"/>
      <c r="CM4493" s="1079"/>
      <c r="CN4493" s="1005"/>
      <c r="CO4493" s="1005"/>
      <c r="CP4493" s="1005"/>
    </row>
    <row r="4494">
      <c r="A4494" s="1257"/>
      <c r="B4494" s="1113"/>
      <c r="C4494" s="1107"/>
      <c r="D4494" s="103"/>
      <c r="E4494" s="1137"/>
      <c r="F4494" s="112"/>
      <c r="G4494" s="1110"/>
      <c r="H4494" s="1138"/>
      <c r="I4494" s="1138"/>
      <c r="J4494" s="1139"/>
      <c r="K4494" s="1111"/>
      <c r="L4494" s="1112"/>
      <c r="M4494" s="1113"/>
      <c r="N4494" s="110"/>
      <c r="O4494" s="1140"/>
      <c r="P4494" s="1115"/>
      <c r="Q4494" s="1116"/>
      <c r="R4494" s="1141"/>
      <c r="S4494" s="1113"/>
      <c r="T4494" s="1143"/>
      <c r="U4494" s="1108"/>
      <c r="V4494" s="1108"/>
      <c r="W4494" s="1108"/>
      <c r="X4494" s="1108"/>
      <c r="Y4494" s="1108"/>
      <c r="Z4494" s="1114"/>
      <c r="AA4494" s="1114"/>
      <c r="AB4494" s="1114"/>
      <c r="AC4494" s="1117"/>
      <c r="AD4494" s="1115"/>
      <c r="AE4494" s="1115"/>
      <c r="AF4494" s="1115"/>
      <c r="AG4494" s="1115"/>
      <c r="AH4494" s="1115"/>
      <c r="AI4494" s="1115"/>
      <c r="AJ4494" s="1117"/>
      <c r="AK4494" s="1118"/>
      <c r="AL4494" s="1115"/>
      <c r="AM4494" s="1115"/>
      <c r="AN4494" s="1115"/>
      <c r="AO4494" s="1115"/>
      <c r="AP4494" s="1115"/>
      <c r="AQ4494" s="1115"/>
      <c r="AR4494" s="1115"/>
      <c r="AS4494" s="1117"/>
      <c r="AT4494" s="1075"/>
      <c r="AU4494" s="1193"/>
      <c r="AV4494" s="330"/>
      <c r="AW4494" s="331"/>
      <c r="AX4494" s="331"/>
      <c r="AY4494" s="331"/>
      <c r="AZ4494" s="331"/>
      <c r="BA4494" s="331"/>
      <c r="BB4494" s="331"/>
      <c r="BC4494" s="331"/>
      <c r="BD4494" s="331"/>
      <c r="BE4494" s="333"/>
      <c r="BF4494" s="330"/>
      <c r="BG4494" s="333"/>
      <c r="BH4494" s="1119"/>
      <c r="BI4494" s="319"/>
      <c r="BJ4494" s="319"/>
      <c r="BK4494" s="319"/>
      <c r="BL4494" s="319"/>
      <c r="BM4494" s="319"/>
      <c r="BN4494" s="319"/>
      <c r="BO4494" s="319"/>
      <c r="BP4494" s="953"/>
      <c r="BQ4494" s="319"/>
      <c r="BR4494" s="319"/>
      <c r="BS4494" s="330"/>
      <c r="BT4494" s="331"/>
      <c r="BU4494" s="920"/>
      <c r="BV4494" s="903"/>
      <c r="BW4494" s="908"/>
      <c r="BX4494" s="908"/>
      <c r="BY4494" s="331"/>
      <c r="BZ4494" s="331"/>
      <c r="CA4494" s="462"/>
      <c r="CB4494" s="319"/>
      <c r="CC4494" s="319"/>
      <c r="CD4494" s="319"/>
      <c r="CE4494" s="319"/>
      <c r="CF4494" s="319"/>
      <c r="CG4494" s="319"/>
      <c r="CH4494" s="318"/>
      <c r="CI4494" s="319"/>
      <c r="CJ4494" s="319"/>
      <c r="CK4494" s="342"/>
      <c r="CL4494" s="333"/>
      <c r="CM4494" s="1079"/>
      <c r="CN4494" s="1005"/>
      <c r="CO4494" s="1005"/>
      <c r="CP4494" s="1005"/>
    </row>
    <row r="4495">
      <c r="A4495" s="1257"/>
      <c r="B4495" s="1113"/>
      <c r="C4495" s="1107"/>
      <c r="D4495" s="103"/>
      <c r="E4495" s="1137"/>
      <c r="F4495" s="112"/>
      <c r="G4495" s="1110"/>
      <c r="H4495" s="1138"/>
      <c r="I4495" s="1138"/>
      <c r="J4495" s="1139"/>
      <c r="K4495" s="1111"/>
      <c r="L4495" s="1112"/>
      <c r="M4495" s="1113"/>
      <c r="N4495" s="110"/>
      <c r="O4495" s="1140"/>
      <c r="P4495" s="1115"/>
      <c r="Q4495" s="1116"/>
      <c r="R4495" s="1141"/>
      <c r="S4495" s="1113"/>
      <c r="T4495" s="1143"/>
      <c r="U4495" s="1108"/>
      <c r="V4495" s="1108"/>
      <c r="W4495" s="1108"/>
      <c r="X4495" s="1108"/>
      <c r="Y4495" s="1108"/>
      <c r="Z4495" s="1114"/>
      <c r="AA4495" s="1114"/>
      <c r="AB4495" s="1114"/>
      <c r="AC4495" s="1117"/>
      <c r="AD4495" s="1115"/>
      <c r="AE4495" s="1115"/>
      <c r="AF4495" s="1115"/>
      <c r="AG4495" s="1115"/>
      <c r="AH4495" s="1115"/>
      <c r="AI4495" s="1115"/>
      <c r="AJ4495" s="1117"/>
      <c r="AK4495" s="1118"/>
      <c r="AL4495" s="1115"/>
      <c r="AM4495" s="1115"/>
      <c r="AN4495" s="1115"/>
      <c r="AO4495" s="1115"/>
      <c r="AP4495" s="1115"/>
      <c r="AQ4495" s="1115"/>
      <c r="AR4495" s="1115"/>
      <c r="AS4495" s="1117"/>
      <c r="AT4495" s="1075"/>
      <c r="AU4495" s="1193"/>
      <c r="AV4495" s="330"/>
      <c r="AW4495" s="331"/>
      <c r="AX4495" s="331"/>
      <c r="AY4495" s="331"/>
      <c r="AZ4495" s="331"/>
      <c r="BA4495" s="331"/>
      <c r="BB4495" s="331"/>
      <c r="BC4495" s="331"/>
      <c r="BD4495" s="331"/>
      <c r="BE4495" s="333"/>
      <c r="BF4495" s="330"/>
      <c r="BG4495" s="333"/>
      <c r="BH4495" s="1119"/>
      <c r="BI4495" s="319"/>
      <c r="BJ4495" s="319"/>
      <c r="BK4495" s="319"/>
      <c r="BL4495" s="319"/>
      <c r="BM4495" s="319"/>
      <c r="BN4495" s="319"/>
      <c r="BO4495" s="319"/>
      <c r="BP4495" s="953"/>
      <c r="BQ4495" s="319"/>
      <c r="BR4495" s="319"/>
      <c r="BS4495" s="330"/>
      <c r="BT4495" s="331"/>
      <c r="BU4495" s="920"/>
      <c r="BV4495" s="903"/>
      <c r="BW4495" s="908"/>
      <c r="BX4495" s="908"/>
      <c r="BY4495" s="331"/>
      <c r="BZ4495" s="331"/>
      <c r="CA4495" s="462"/>
      <c r="CB4495" s="319"/>
      <c r="CC4495" s="319"/>
      <c r="CD4495" s="319"/>
      <c r="CE4495" s="319"/>
      <c r="CF4495" s="319"/>
      <c r="CG4495" s="319"/>
      <c r="CH4495" s="318"/>
      <c r="CI4495" s="319"/>
      <c r="CJ4495" s="319"/>
      <c r="CK4495" s="342"/>
      <c r="CL4495" s="333"/>
      <c r="CM4495" s="1079"/>
      <c r="CN4495" s="1005"/>
      <c r="CO4495" s="1005"/>
      <c r="CP4495" s="1005"/>
    </row>
    <row r="4496">
      <c r="A4496" s="1257"/>
      <c r="B4496" s="1113"/>
      <c r="C4496" s="1107"/>
      <c r="D4496" s="103"/>
      <c r="E4496" s="1137"/>
      <c r="F4496" s="112"/>
      <c r="G4496" s="1110"/>
      <c r="H4496" s="1138"/>
      <c r="I4496" s="1138"/>
      <c r="J4496" s="1139"/>
      <c r="K4496" s="1111"/>
      <c r="L4496" s="1112"/>
      <c r="M4496" s="1113"/>
      <c r="N4496" s="110"/>
      <c r="O4496" s="1140"/>
      <c r="P4496" s="1115"/>
      <c r="Q4496" s="1116"/>
      <c r="R4496" s="1141"/>
      <c r="S4496" s="1113"/>
      <c r="T4496" s="1143"/>
      <c r="U4496" s="1108"/>
      <c r="V4496" s="1108"/>
      <c r="W4496" s="1108"/>
      <c r="X4496" s="1108"/>
      <c r="Y4496" s="1108"/>
      <c r="Z4496" s="1114"/>
      <c r="AA4496" s="1114"/>
      <c r="AB4496" s="1114"/>
      <c r="AC4496" s="1117"/>
      <c r="AD4496" s="1115"/>
      <c r="AE4496" s="1115"/>
      <c r="AF4496" s="1115"/>
      <c r="AG4496" s="1115"/>
      <c r="AH4496" s="1115"/>
      <c r="AI4496" s="1115"/>
      <c r="AJ4496" s="1117"/>
      <c r="AK4496" s="1118"/>
      <c r="AL4496" s="1115"/>
      <c r="AM4496" s="1115"/>
      <c r="AN4496" s="1115"/>
      <c r="AO4496" s="1115"/>
      <c r="AP4496" s="1115"/>
      <c r="AQ4496" s="1115"/>
      <c r="AR4496" s="1115"/>
      <c r="AS4496" s="1117"/>
      <c r="AT4496" s="1075"/>
      <c r="AU4496" s="1193"/>
      <c r="AV4496" s="330"/>
      <c r="AW4496" s="331"/>
      <c r="AX4496" s="331"/>
      <c r="AY4496" s="331"/>
      <c r="AZ4496" s="331"/>
      <c r="BA4496" s="331"/>
      <c r="BB4496" s="331"/>
      <c r="BC4496" s="331"/>
      <c r="BD4496" s="331"/>
      <c r="BE4496" s="333"/>
      <c r="BF4496" s="330"/>
      <c r="BG4496" s="333"/>
      <c r="BH4496" s="1119"/>
      <c r="BI4496" s="319"/>
      <c r="BJ4496" s="319"/>
      <c r="BK4496" s="319"/>
      <c r="BL4496" s="319"/>
      <c r="BM4496" s="319"/>
      <c r="BN4496" s="319"/>
      <c r="BO4496" s="319"/>
      <c r="BP4496" s="953"/>
      <c r="BQ4496" s="319"/>
      <c r="BR4496" s="319"/>
      <c r="BS4496" s="330"/>
      <c r="BT4496" s="331"/>
      <c r="BU4496" s="920"/>
      <c r="BV4496" s="903"/>
      <c r="BW4496" s="908"/>
      <c r="BX4496" s="908"/>
      <c r="BY4496" s="331"/>
      <c r="BZ4496" s="331"/>
      <c r="CA4496" s="462"/>
      <c r="CB4496" s="319"/>
      <c r="CC4496" s="319"/>
      <c r="CD4496" s="319"/>
      <c r="CE4496" s="319"/>
      <c r="CF4496" s="319"/>
      <c r="CG4496" s="319"/>
      <c r="CH4496" s="318"/>
      <c r="CI4496" s="319"/>
      <c r="CJ4496" s="319"/>
      <c r="CK4496" s="342"/>
      <c r="CL4496" s="333"/>
      <c r="CM4496" s="1079"/>
      <c r="CN4496" s="1005"/>
      <c r="CO4496" s="1005"/>
      <c r="CP4496" s="1005"/>
    </row>
    <row r="4497">
      <c r="A4497" s="1257"/>
      <c r="B4497" s="1113"/>
      <c r="C4497" s="1107"/>
      <c r="D4497" s="103"/>
      <c r="E4497" s="1137"/>
      <c r="F4497" s="112"/>
      <c r="G4497" s="1110"/>
      <c r="H4497" s="1138"/>
      <c r="I4497" s="1138"/>
      <c r="J4497" s="1139"/>
      <c r="K4497" s="1111"/>
      <c r="L4497" s="1112"/>
      <c r="M4497" s="1113"/>
      <c r="N4497" s="110"/>
      <c r="O4497" s="1140"/>
      <c r="P4497" s="1115"/>
      <c r="Q4497" s="1116"/>
      <c r="R4497" s="1141"/>
      <c r="S4497" s="1113"/>
      <c r="T4497" s="1143"/>
      <c r="U4497" s="1108"/>
      <c r="V4497" s="1108"/>
      <c r="W4497" s="1108"/>
      <c r="X4497" s="1108"/>
      <c r="Y4497" s="1108"/>
      <c r="Z4497" s="1114"/>
      <c r="AA4497" s="1114"/>
      <c r="AB4497" s="1114"/>
      <c r="AC4497" s="1117"/>
      <c r="AD4497" s="1115"/>
      <c r="AE4497" s="1115"/>
      <c r="AF4497" s="1115"/>
      <c r="AG4497" s="1115"/>
      <c r="AH4497" s="1115"/>
      <c r="AI4497" s="1115"/>
      <c r="AJ4497" s="1117"/>
      <c r="AK4497" s="1118"/>
      <c r="AL4497" s="1115"/>
      <c r="AM4497" s="1115"/>
      <c r="AN4497" s="1115"/>
      <c r="AO4497" s="1115"/>
      <c r="AP4497" s="1115"/>
      <c r="AQ4497" s="1115"/>
      <c r="AR4497" s="1115"/>
      <c r="AS4497" s="1117"/>
      <c r="AT4497" s="1075"/>
      <c r="AU4497" s="1193"/>
      <c r="AV4497" s="330"/>
      <c r="AW4497" s="331"/>
      <c r="AX4497" s="331"/>
      <c r="AY4497" s="331"/>
      <c r="AZ4497" s="331"/>
      <c r="BA4497" s="331"/>
      <c r="BB4497" s="331"/>
      <c r="BC4497" s="331"/>
      <c r="BD4497" s="331"/>
      <c r="BE4497" s="333"/>
      <c r="BF4497" s="330"/>
      <c r="BG4497" s="333"/>
      <c r="BH4497" s="1119"/>
      <c r="BI4497" s="319"/>
      <c r="BJ4497" s="319"/>
      <c r="BK4497" s="319"/>
      <c r="BL4497" s="319"/>
      <c r="BM4497" s="319"/>
      <c r="BN4497" s="319"/>
      <c r="BO4497" s="319"/>
      <c r="BP4497" s="953"/>
      <c r="BQ4497" s="319"/>
      <c r="BR4497" s="319"/>
      <c r="BS4497" s="330"/>
      <c r="BT4497" s="331"/>
      <c r="BU4497" s="920"/>
      <c r="BV4497" s="903"/>
      <c r="BW4497" s="908"/>
      <c r="BX4497" s="908"/>
      <c r="BY4497" s="331"/>
      <c r="BZ4497" s="331"/>
      <c r="CA4497" s="462"/>
      <c r="CB4497" s="319"/>
      <c r="CC4497" s="319"/>
      <c r="CD4497" s="319"/>
      <c r="CE4497" s="319"/>
      <c r="CF4497" s="319"/>
      <c r="CG4497" s="319"/>
      <c r="CH4497" s="318"/>
      <c r="CI4497" s="319"/>
      <c r="CJ4497" s="319"/>
      <c r="CK4497" s="342"/>
      <c r="CL4497" s="333"/>
      <c r="CM4497" s="1079"/>
      <c r="CN4497" s="1005"/>
      <c r="CO4497" s="1005"/>
      <c r="CP4497" s="1005"/>
    </row>
    <row r="4498">
      <c r="A4498" s="1257"/>
      <c r="B4498" s="1113"/>
      <c r="C4498" s="1107"/>
      <c r="D4498" s="103"/>
      <c r="E4498" s="1137"/>
      <c r="F4498" s="112"/>
      <c r="G4498" s="1110"/>
      <c r="H4498" s="1138"/>
      <c r="I4498" s="1138"/>
      <c r="J4498" s="1139"/>
      <c r="K4498" s="1111"/>
      <c r="L4498" s="1112"/>
      <c r="M4498" s="1113"/>
      <c r="N4498" s="110"/>
      <c r="O4498" s="1140"/>
      <c r="P4498" s="1115"/>
      <c r="Q4498" s="1116"/>
      <c r="R4498" s="1141"/>
      <c r="S4498" s="1113"/>
      <c r="T4498" s="1143"/>
      <c r="U4498" s="1108"/>
      <c r="V4498" s="1108"/>
      <c r="W4498" s="1108"/>
      <c r="X4498" s="1108"/>
      <c r="Y4498" s="1108"/>
      <c r="Z4498" s="1114"/>
      <c r="AA4498" s="1114"/>
      <c r="AB4498" s="1114"/>
      <c r="AC4498" s="1117"/>
      <c r="AD4498" s="1115"/>
      <c r="AE4498" s="1115"/>
      <c r="AF4498" s="1115"/>
      <c r="AG4498" s="1115"/>
      <c r="AH4498" s="1115"/>
      <c r="AI4498" s="1115"/>
      <c r="AJ4498" s="1117"/>
      <c r="AK4498" s="1118"/>
      <c r="AL4498" s="1115"/>
      <c r="AM4498" s="1115"/>
      <c r="AN4498" s="1115"/>
      <c r="AO4498" s="1115"/>
      <c r="AP4498" s="1115"/>
      <c r="AQ4498" s="1115"/>
      <c r="AR4498" s="1115"/>
      <c r="AS4498" s="1117"/>
      <c r="AT4498" s="1075"/>
      <c r="AU4498" s="1193"/>
      <c r="AV4498" s="330"/>
      <c r="AW4498" s="331"/>
      <c r="AX4498" s="331"/>
      <c r="AY4498" s="331"/>
      <c r="AZ4498" s="331"/>
      <c r="BA4498" s="331"/>
      <c r="BB4498" s="331"/>
      <c r="BC4498" s="331"/>
      <c r="BD4498" s="331"/>
      <c r="BE4498" s="333"/>
      <c r="BF4498" s="330"/>
      <c r="BG4498" s="333"/>
      <c r="BH4498" s="1119"/>
      <c r="BI4498" s="319"/>
      <c r="BJ4498" s="319"/>
      <c r="BK4498" s="319"/>
      <c r="BL4498" s="319"/>
      <c r="BM4498" s="319"/>
      <c r="BN4498" s="319"/>
      <c r="BO4498" s="319"/>
      <c r="BP4498" s="953"/>
      <c r="BQ4498" s="319"/>
      <c r="BR4498" s="319"/>
      <c r="BS4498" s="330"/>
      <c r="BT4498" s="331"/>
      <c r="BU4498" s="920"/>
      <c r="BV4498" s="903"/>
      <c r="BW4498" s="908"/>
      <c r="BX4498" s="908"/>
      <c r="BY4498" s="331"/>
      <c r="BZ4498" s="331"/>
      <c r="CA4498" s="462"/>
      <c r="CB4498" s="319"/>
      <c r="CC4498" s="319"/>
      <c r="CD4498" s="319"/>
      <c r="CE4498" s="319"/>
      <c r="CF4498" s="319"/>
      <c r="CG4498" s="319"/>
      <c r="CH4498" s="318"/>
      <c r="CI4498" s="319"/>
      <c r="CJ4498" s="319"/>
      <c r="CK4498" s="342"/>
      <c r="CL4498" s="333"/>
      <c r="CM4498" s="1079"/>
      <c r="CN4498" s="1005"/>
      <c r="CO4498" s="1005"/>
      <c r="CP4498" s="1005"/>
    </row>
    <row r="4499">
      <c r="A4499" s="1257"/>
      <c r="B4499" s="1113"/>
      <c r="C4499" s="1107"/>
      <c r="D4499" s="103"/>
      <c r="E4499" s="1137"/>
      <c r="F4499" s="112"/>
      <c r="G4499" s="1110"/>
      <c r="H4499" s="1138"/>
      <c r="I4499" s="1138"/>
      <c r="J4499" s="1139"/>
      <c r="K4499" s="1111"/>
      <c r="L4499" s="1112"/>
      <c r="M4499" s="1113"/>
      <c r="N4499" s="110"/>
      <c r="O4499" s="1140"/>
      <c r="P4499" s="1115"/>
      <c r="Q4499" s="1116"/>
      <c r="R4499" s="1141"/>
      <c r="S4499" s="1113"/>
      <c r="T4499" s="1143"/>
      <c r="U4499" s="1108"/>
      <c r="V4499" s="1108"/>
      <c r="W4499" s="1108"/>
      <c r="X4499" s="1108"/>
      <c r="Y4499" s="1108"/>
      <c r="Z4499" s="1114"/>
      <c r="AA4499" s="1114"/>
      <c r="AB4499" s="1114"/>
      <c r="AC4499" s="1117"/>
      <c r="AD4499" s="1115"/>
      <c r="AE4499" s="1115"/>
      <c r="AF4499" s="1115"/>
      <c r="AG4499" s="1115"/>
      <c r="AH4499" s="1115"/>
      <c r="AI4499" s="1115"/>
      <c r="AJ4499" s="1117"/>
      <c r="AK4499" s="1118"/>
      <c r="AL4499" s="1115"/>
      <c r="AM4499" s="1115"/>
      <c r="AN4499" s="1115"/>
      <c r="AO4499" s="1115"/>
      <c r="AP4499" s="1115"/>
      <c r="AQ4499" s="1115"/>
      <c r="AR4499" s="1115"/>
      <c r="AS4499" s="1117"/>
      <c r="AT4499" s="1075"/>
      <c r="AU4499" s="1193"/>
      <c r="AV4499" s="330"/>
      <c r="AW4499" s="331"/>
      <c r="AX4499" s="331"/>
      <c r="AY4499" s="331"/>
      <c r="AZ4499" s="331"/>
      <c r="BA4499" s="331"/>
      <c r="BB4499" s="331"/>
      <c r="BC4499" s="331"/>
      <c r="BD4499" s="331"/>
      <c r="BE4499" s="333"/>
      <c r="BF4499" s="330"/>
      <c r="BG4499" s="333"/>
      <c r="BH4499" s="1119"/>
      <c r="BI4499" s="319"/>
      <c r="BJ4499" s="319"/>
      <c r="BK4499" s="319"/>
      <c r="BL4499" s="319"/>
      <c r="BM4499" s="319"/>
      <c r="BN4499" s="319"/>
      <c r="BO4499" s="319"/>
      <c r="BP4499" s="953"/>
      <c r="BQ4499" s="319"/>
      <c r="BR4499" s="319"/>
      <c r="BS4499" s="330"/>
      <c r="BT4499" s="331"/>
      <c r="BU4499" s="920"/>
      <c r="BV4499" s="903"/>
      <c r="BW4499" s="908"/>
      <c r="BX4499" s="908"/>
      <c r="BY4499" s="331"/>
      <c r="BZ4499" s="331"/>
      <c r="CA4499" s="462"/>
      <c r="CB4499" s="319"/>
      <c r="CC4499" s="319"/>
      <c r="CD4499" s="319"/>
      <c r="CE4499" s="319"/>
      <c r="CF4499" s="319"/>
      <c r="CG4499" s="319"/>
      <c r="CH4499" s="318"/>
      <c r="CI4499" s="319"/>
      <c r="CJ4499" s="319"/>
      <c r="CK4499" s="342"/>
      <c r="CL4499" s="333"/>
      <c r="CM4499" s="1079"/>
      <c r="CN4499" s="1005"/>
      <c r="CO4499" s="1005"/>
      <c r="CP4499" s="1005"/>
    </row>
    <row r="4500">
      <c r="A4500" s="1257"/>
      <c r="B4500" s="1113"/>
      <c r="C4500" s="1107"/>
      <c r="D4500" s="103"/>
      <c r="E4500" s="1137"/>
      <c r="F4500" s="112"/>
      <c r="G4500" s="1110"/>
      <c r="H4500" s="1138"/>
      <c r="I4500" s="1138"/>
      <c r="J4500" s="1139"/>
      <c r="K4500" s="1111"/>
      <c r="L4500" s="1112"/>
      <c r="M4500" s="1113"/>
      <c r="N4500" s="110"/>
      <c r="O4500" s="1140"/>
      <c r="P4500" s="1115"/>
      <c r="Q4500" s="1116"/>
      <c r="R4500" s="1141"/>
      <c r="S4500" s="1113"/>
      <c r="T4500" s="1143"/>
      <c r="U4500" s="1108"/>
      <c r="V4500" s="1108"/>
      <c r="W4500" s="1108"/>
      <c r="X4500" s="1108"/>
      <c r="Y4500" s="1108"/>
      <c r="Z4500" s="1114"/>
      <c r="AA4500" s="1114"/>
      <c r="AB4500" s="1114"/>
      <c r="AC4500" s="1117"/>
      <c r="AD4500" s="1115"/>
      <c r="AE4500" s="1115"/>
      <c r="AF4500" s="1115"/>
      <c r="AG4500" s="1115"/>
      <c r="AH4500" s="1115"/>
      <c r="AI4500" s="1115"/>
      <c r="AJ4500" s="1117"/>
      <c r="AK4500" s="1118"/>
      <c r="AL4500" s="1115"/>
      <c r="AM4500" s="1115"/>
      <c r="AN4500" s="1115"/>
      <c r="AO4500" s="1115"/>
      <c r="AP4500" s="1115"/>
      <c r="AQ4500" s="1115"/>
      <c r="AR4500" s="1115"/>
      <c r="AS4500" s="1117"/>
      <c r="AT4500" s="1075"/>
      <c r="AU4500" s="1193"/>
      <c r="AV4500" s="330"/>
      <c r="AW4500" s="331"/>
      <c r="AX4500" s="331"/>
      <c r="AY4500" s="331"/>
      <c r="AZ4500" s="331"/>
      <c r="BA4500" s="331"/>
      <c r="BB4500" s="331"/>
      <c r="BC4500" s="331"/>
      <c r="BD4500" s="331"/>
      <c r="BE4500" s="333"/>
      <c r="BF4500" s="330"/>
      <c r="BG4500" s="333"/>
      <c r="BH4500" s="1119"/>
      <c r="BI4500" s="319"/>
      <c r="BJ4500" s="319"/>
      <c r="BK4500" s="319"/>
      <c r="BL4500" s="319"/>
      <c r="BM4500" s="319"/>
      <c r="BN4500" s="319"/>
      <c r="BO4500" s="319"/>
      <c r="BP4500" s="953"/>
      <c r="BQ4500" s="319"/>
      <c r="BR4500" s="319"/>
      <c r="BS4500" s="330"/>
      <c r="BT4500" s="331"/>
      <c r="BU4500" s="920"/>
      <c r="BV4500" s="903"/>
      <c r="BW4500" s="908"/>
      <c r="BX4500" s="908"/>
      <c r="BY4500" s="331"/>
      <c r="BZ4500" s="331"/>
      <c r="CA4500" s="462"/>
      <c r="CB4500" s="319"/>
      <c r="CC4500" s="319"/>
      <c r="CD4500" s="319"/>
      <c r="CE4500" s="319"/>
      <c r="CF4500" s="319"/>
      <c r="CG4500" s="319"/>
      <c r="CH4500" s="318"/>
      <c r="CI4500" s="319"/>
      <c r="CJ4500" s="319"/>
      <c r="CK4500" s="342"/>
      <c r="CL4500" s="333"/>
      <c r="CM4500" s="1079"/>
      <c r="CN4500" s="1005"/>
      <c r="CO4500" s="1005"/>
      <c r="CP4500" s="1005"/>
    </row>
    <row r="4501">
      <c r="A4501" s="1257"/>
      <c r="B4501" s="1113"/>
      <c r="C4501" s="1107"/>
      <c r="D4501" s="103"/>
      <c r="E4501" s="1137"/>
      <c r="F4501" s="112"/>
      <c r="G4501" s="1110"/>
      <c r="H4501" s="1138"/>
      <c r="I4501" s="1138"/>
      <c r="J4501" s="1139"/>
      <c r="K4501" s="1111"/>
      <c r="L4501" s="1112"/>
      <c r="M4501" s="1113"/>
      <c r="N4501" s="110"/>
      <c r="O4501" s="1140"/>
      <c r="P4501" s="1115"/>
      <c r="Q4501" s="1116"/>
      <c r="R4501" s="1141"/>
      <c r="S4501" s="1113"/>
      <c r="T4501" s="1143"/>
      <c r="U4501" s="1108"/>
      <c r="V4501" s="1108"/>
      <c r="W4501" s="1108"/>
      <c r="X4501" s="1108"/>
      <c r="Y4501" s="1108"/>
      <c r="Z4501" s="1114"/>
      <c r="AA4501" s="1114"/>
      <c r="AB4501" s="1114"/>
      <c r="AC4501" s="1117"/>
      <c r="AD4501" s="1115"/>
      <c r="AE4501" s="1115"/>
      <c r="AF4501" s="1115"/>
      <c r="AG4501" s="1115"/>
      <c r="AH4501" s="1115"/>
      <c r="AI4501" s="1115"/>
      <c r="AJ4501" s="1117"/>
      <c r="AK4501" s="1118"/>
      <c r="AL4501" s="1115"/>
      <c r="AM4501" s="1115"/>
      <c r="AN4501" s="1115"/>
      <c r="AO4501" s="1115"/>
      <c r="AP4501" s="1115"/>
      <c r="AQ4501" s="1115"/>
      <c r="AR4501" s="1115"/>
      <c r="AS4501" s="1117"/>
      <c r="AT4501" s="1075"/>
      <c r="AU4501" s="1193"/>
      <c r="AV4501" s="330"/>
      <c r="AW4501" s="331"/>
      <c r="AX4501" s="331"/>
      <c r="AY4501" s="331"/>
      <c r="AZ4501" s="331"/>
      <c r="BA4501" s="331"/>
      <c r="BB4501" s="331"/>
      <c r="BC4501" s="331"/>
      <c r="BD4501" s="331"/>
      <c r="BE4501" s="333"/>
      <c r="BF4501" s="330"/>
      <c r="BG4501" s="333"/>
      <c r="BH4501" s="1119"/>
      <c r="BI4501" s="319"/>
      <c r="BJ4501" s="319"/>
      <c r="BK4501" s="319"/>
      <c r="BL4501" s="319"/>
      <c r="BM4501" s="319"/>
      <c r="BN4501" s="319"/>
      <c r="BO4501" s="319"/>
      <c r="BP4501" s="953"/>
      <c r="BQ4501" s="319"/>
      <c r="BR4501" s="319"/>
      <c r="BS4501" s="330"/>
      <c r="BT4501" s="331"/>
      <c r="BU4501" s="920"/>
      <c r="BV4501" s="903"/>
      <c r="BW4501" s="908"/>
      <c r="BX4501" s="908"/>
      <c r="BY4501" s="331"/>
      <c r="BZ4501" s="331"/>
      <c r="CA4501" s="462"/>
      <c r="CB4501" s="319"/>
      <c r="CC4501" s="319"/>
      <c r="CD4501" s="319"/>
      <c r="CE4501" s="319"/>
      <c r="CF4501" s="319"/>
      <c r="CG4501" s="319"/>
      <c r="CH4501" s="318"/>
      <c r="CI4501" s="319"/>
      <c r="CJ4501" s="319"/>
      <c r="CK4501" s="342"/>
      <c r="CL4501" s="333"/>
      <c r="CM4501" s="1079"/>
      <c r="CN4501" s="1005"/>
      <c r="CO4501" s="1005"/>
      <c r="CP4501" s="1005"/>
    </row>
    <row r="4502">
      <c r="A4502" s="1257"/>
      <c r="B4502" s="1113"/>
      <c r="C4502" s="1107"/>
      <c r="D4502" s="103"/>
      <c r="E4502" s="1137"/>
      <c r="F4502" s="112"/>
      <c r="G4502" s="1110"/>
      <c r="H4502" s="1138"/>
      <c r="I4502" s="1138"/>
      <c r="J4502" s="1139"/>
      <c r="K4502" s="1111"/>
      <c r="L4502" s="1112"/>
      <c r="M4502" s="1113"/>
      <c r="N4502" s="110"/>
      <c r="O4502" s="1140"/>
      <c r="P4502" s="1115"/>
      <c r="Q4502" s="1116"/>
      <c r="R4502" s="1141"/>
      <c r="S4502" s="1113"/>
      <c r="T4502" s="1143"/>
      <c r="U4502" s="1108"/>
      <c r="V4502" s="1108"/>
      <c r="W4502" s="1108"/>
      <c r="X4502" s="1108"/>
      <c r="Y4502" s="1108"/>
      <c r="Z4502" s="1114"/>
      <c r="AA4502" s="1114"/>
      <c r="AB4502" s="1114"/>
      <c r="AC4502" s="1117"/>
      <c r="AD4502" s="1115"/>
      <c r="AE4502" s="1115"/>
      <c r="AF4502" s="1115"/>
      <c r="AG4502" s="1115"/>
      <c r="AH4502" s="1115"/>
      <c r="AI4502" s="1115"/>
      <c r="AJ4502" s="1117"/>
      <c r="AK4502" s="1118"/>
      <c r="AL4502" s="1115"/>
      <c r="AM4502" s="1115"/>
      <c r="AN4502" s="1115"/>
      <c r="AO4502" s="1115"/>
      <c r="AP4502" s="1115"/>
      <c r="AQ4502" s="1115"/>
      <c r="AR4502" s="1115"/>
      <c r="AS4502" s="1117"/>
      <c r="AT4502" s="1075"/>
      <c r="AU4502" s="1193"/>
      <c r="AV4502" s="330"/>
      <c r="AW4502" s="331"/>
      <c r="AX4502" s="331"/>
      <c r="AY4502" s="331"/>
      <c r="AZ4502" s="331"/>
      <c r="BA4502" s="331"/>
      <c r="BB4502" s="331"/>
      <c r="BC4502" s="331"/>
      <c r="BD4502" s="331"/>
      <c r="BE4502" s="333"/>
      <c r="BF4502" s="330"/>
      <c r="BG4502" s="333"/>
      <c r="BH4502" s="1119"/>
      <c r="BI4502" s="319"/>
      <c r="BJ4502" s="319"/>
      <c r="BK4502" s="319"/>
      <c r="BL4502" s="319"/>
      <c r="BM4502" s="319"/>
      <c r="BN4502" s="319"/>
      <c r="BO4502" s="319"/>
      <c r="BP4502" s="953"/>
      <c r="BQ4502" s="319"/>
      <c r="BR4502" s="319"/>
      <c r="BS4502" s="330"/>
      <c r="BT4502" s="331"/>
      <c r="BU4502" s="920"/>
      <c r="BV4502" s="903"/>
      <c r="BW4502" s="908"/>
      <c r="BX4502" s="908"/>
      <c r="BY4502" s="331"/>
      <c r="BZ4502" s="331"/>
      <c r="CA4502" s="462"/>
      <c r="CB4502" s="319"/>
      <c r="CC4502" s="319"/>
      <c r="CD4502" s="319"/>
      <c r="CE4502" s="319"/>
      <c r="CF4502" s="319"/>
      <c r="CG4502" s="319"/>
      <c r="CH4502" s="318"/>
      <c r="CI4502" s="319"/>
      <c r="CJ4502" s="319"/>
      <c r="CK4502" s="342"/>
      <c r="CL4502" s="333"/>
      <c r="CM4502" s="1079"/>
      <c r="CN4502" s="1005"/>
      <c r="CO4502" s="1005"/>
      <c r="CP4502" s="1005"/>
    </row>
    <row r="4503">
      <c r="A4503" s="1257"/>
      <c r="B4503" s="1113"/>
      <c r="C4503" s="1107"/>
      <c r="D4503" s="103"/>
      <c r="E4503" s="1137"/>
      <c r="F4503" s="112"/>
      <c r="G4503" s="1110"/>
      <c r="H4503" s="1138"/>
      <c r="I4503" s="1138"/>
      <c r="J4503" s="1139"/>
      <c r="K4503" s="1111"/>
      <c r="L4503" s="1112"/>
      <c r="M4503" s="1113"/>
      <c r="N4503" s="110"/>
      <c r="O4503" s="1140"/>
      <c r="P4503" s="1115"/>
      <c r="Q4503" s="1116"/>
      <c r="R4503" s="1141"/>
      <c r="S4503" s="1113"/>
      <c r="T4503" s="1143"/>
      <c r="U4503" s="1108"/>
      <c r="V4503" s="1108"/>
      <c r="W4503" s="1108"/>
      <c r="X4503" s="1108"/>
      <c r="Y4503" s="1108"/>
      <c r="Z4503" s="1114"/>
      <c r="AA4503" s="1114"/>
      <c r="AB4503" s="1114"/>
      <c r="AC4503" s="1117"/>
      <c r="AD4503" s="1115"/>
      <c r="AE4503" s="1115"/>
      <c r="AF4503" s="1115"/>
      <c r="AG4503" s="1115"/>
      <c r="AH4503" s="1115"/>
      <c r="AI4503" s="1115"/>
      <c r="AJ4503" s="1117"/>
      <c r="AK4503" s="1118"/>
      <c r="AL4503" s="1115"/>
      <c r="AM4503" s="1115"/>
      <c r="AN4503" s="1115"/>
      <c r="AO4503" s="1115"/>
      <c r="AP4503" s="1115"/>
      <c r="AQ4503" s="1115"/>
      <c r="AR4503" s="1115"/>
      <c r="AS4503" s="1117"/>
      <c r="AT4503" s="1075"/>
      <c r="AU4503" s="1193"/>
      <c r="AV4503" s="330"/>
      <c r="AW4503" s="331"/>
      <c r="AX4503" s="331"/>
      <c r="AY4503" s="331"/>
      <c r="AZ4503" s="331"/>
      <c r="BA4503" s="331"/>
      <c r="BB4503" s="331"/>
      <c r="BC4503" s="331"/>
      <c r="BD4503" s="331"/>
      <c r="BE4503" s="333"/>
      <c r="BF4503" s="330"/>
      <c r="BG4503" s="333"/>
      <c r="BH4503" s="1119"/>
      <c r="BI4503" s="319"/>
      <c r="BJ4503" s="319"/>
      <c r="BK4503" s="319"/>
      <c r="BL4503" s="319"/>
      <c r="BM4503" s="319"/>
      <c r="BN4503" s="319"/>
      <c r="BO4503" s="319"/>
      <c r="BP4503" s="953"/>
      <c r="BQ4503" s="319"/>
      <c r="BR4503" s="319"/>
      <c r="BS4503" s="330"/>
      <c r="BT4503" s="331"/>
      <c r="BU4503" s="920"/>
      <c r="BV4503" s="903"/>
      <c r="BW4503" s="908"/>
      <c r="BX4503" s="908"/>
      <c r="BY4503" s="331"/>
      <c r="BZ4503" s="331"/>
      <c r="CA4503" s="462"/>
      <c r="CB4503" s="319"/>
      <c r="CC4503" s="319"/>
      <c r="CD4503" s="319"/>
      <c r="CE4503" s="319"/>
      <c r="CF4503" s="319"/>
      <c r="CG4503" s="319"/>
      <c r="CH4503" s="318"/>
      <c r="CI4503" s="319"/>
      <c r="CJ4503" s="319"/>
      <c r="CK4503" s="342"/>
      <c r="CL4503" s="333"/>
      <c r="CM4503" s="1079"/>
      <c r="CN4503" s="1005"/>
      <c r="CO4503" s="1005"/>
      <c r="CP4503" s="1005"/>
    </row>
    <row r="4504">
      <c r="A4504" s="1257"/>
      <c r="B4504" s="1113"/>
      <c r="C4504" s="1107"/>
      <c r="D4504" s="103"/>
      <c r="E4504" s="1137"/>
      <c r="F4504" s="112"/>
      <c r="G4504" s="1110"/>
      <c r="H4504" s="1138"/>
      <c r="I4504" s="1138"/>
      <c r="J4504" s="1139"/>
      <c r="K4504" s="1111"/>
      <c r="L4504" s="1112"/>
      <c r="M4504" s="1113"/>
      <c r="N4504" s="110"/>
      <c r="O4504" s="1140"/>
      <c r="P4504" s="1115"/>
      <c r="Q4504" s="1116"/>
      <c r="R4504" s="1141"/>
      <c r="S4504" s="1113"/>
      <c r="T4504" s="1143"/>
      <c r="U4504" s="1108"/>
      <c r="V4504" s="1108"/>
      <c r="W4504" s="1108"/>
      <c r="X4504" s="1108"/>
      <c r="Y4504" s="1108"/>
      <c r="Z4504" s="1114"/>
      <c r="AA4504" s="1114"/>
      <c r="AB4504" s="1114"/>
      <c r="AC4504" s="1117"/>
      <c r="AD4504" s="1115"/>
      <c r="AE4504" s="1115"/>
      <c r="AF4504" s="1115"/>
      <c r="AG4504" s="1115"/>
      <c r="AH4504" s="1115"/>
      <c r="AI4504" s="1115"/>
      <c r="AJ4504" s="1117"/>
      <c r="AK4504" s="1118"/>
      <c r="AL4504" s="1115"/>
      <c r="AM4504" s="1115"/>
      <c r="AN4504" s="1115"/>
      <c r="AO4504" s="1115"/>
      <c r="AP4504" s="1115"/>
      <c r="AQ4504" s="1115"/>
      <c r="AR4504" s="1115"/>
      <c r="AS4504" s="1117"/>
      <c r="AT4504" s="1075"/>
      <c r="AU4504" s="1193"/>
      <c r="AV4504" s="330"/>
      <c r="AW4504" s="331"/>
      <c r="AX4504" s="331"/>
      <c r="AY4504" s="331"/>
      <c r="AZ4504" s="331"/>
      <c r="BA4504" s="331"/>
      <c r="BB4504" s="331"/>
      <c r="BC4504" s="331"/>
      <c r="BD4504" s="331"/>
      <c r="BE4504" s="333"/>
      <c r="BF4504" s="330"/>
      <c r="BG4504" s="333"/>
      <c r="BH4504" s="1119"/>
      <c r="BI4504" s="319"/>
      <c r="BJ4504" s="319"/>
      <c r="BK4504" s="319"/>
      <c r="BL4504" s="319"/>
      <c r="BM4504" s="319"/>
      <c r="BN4504" s="319"/>
      <c r="BO4504" s="319"/>
      <c r="BP4504" s="953"/>
      <c r="BQ4504" s="319"/>
      <c r="BR4504" s="319"/>
      <c r="BS4504" s="330"/>
      <c r="BT4504" s="331"/>
      <c r="BU4504" s="920"/>
      <c r="BV4504" s="903"/>
      <c r="BW4504" s="908"/>
      <c r="BX4504" s="908"/>
      <c r="BY4504" s="331"/>
      <c r="BZ4504" s="331"/>
      <c r="CA4504" s="462"/>
      <c r="CB4504" s="319"/>
      <c r="CC4504" s="319"/>
      <c r="CD4504" s="319"/>
      <c r="CE4504" s="319"/>
      <c r="CF4504" s="319"/>
      <c r="CG4504" s="319"/>
      <c r="CH4504" s="318"/>
      <c r="CI4504" s="319"/>
      <c r="CJ4504" s="319"/>
      <c r="CK4504" s="342"/>
      <c r="CL4504" s="333"/>
      <c r="CM4504" s="1079"/>
      <c r="CN4504" s="1005"/>
      <c r="CO4504" s="1005"/>
      <c r="CP4504" s="1005"/>
    </row>
    <row r="4505">
      <c r="A4505" s="1257"/>
      <c r="B4505" s="1113"/>
      <c r="C4505" s="1107"/>
      <c r="D4505" s="103"/>
      <c r="E4505" s="1137"/>
      <c r="F4505" s="112"/>
      <c r="G4505" s="1110"/>
      <c r="H4505" s="1138"/>
      <c r="I4505" s="1138"/>
      <c r="J4505" s="1139"/>
      <c r="K4505" s="1111"/>
      <c r="L4505" s="1112"/>
      <c r="M4505" s="1113"/>
      <c r="N4505" s="110"/>
      <c r="O4505" s="1140"/>
      <c r="P4505" s="1115"/>
      <c r="Q4505" s="1116"/>
      <c r="R4505" s="1141"/>
      <c r="S4505" s="1113"/>
      <c r="T4505" s="1143"/>
      <c r="U4505" s="1108"/>
      <c r="V4505" s="1108"/>
      <c r="W4505" s="1108"/>
      <c r="X4505" s="1108"/>
      <c r="Y4505" s="1108"/>
      <c r="Z4505" s="1114"/>
      <c r="AA4505" s="1114"/>
      <c r="AB4505" s="1114"/>
      <c r="AC4505" s="1117"/>
      <c r="AD4505" s="1115"/>
      <c r="AE4505" s="1115"/>
      <c r="AF4505" s="1115"/>
      <c r="AG4505" s="1115"/>
      <c r="AH4505" s="1115"/>
      <c r="AI4505" s="1115"/>
      <c r="AJ4505" s="1117"/>
      <c r="AK4505" s="1118"/>
      <c r="AL4505" s="1115"/>
      <c r="AM4505" s="1115"/>
      <c r="AN4505" s="1115"/>
      <c r="AO4505" s="1115"/>
      <c r="AP4505" s="1115"/>
      <c r="AQ4505" s="1115"/>
      <c r="AR4505" s="1115"/>
      <c r="AS4505" s="1117"/>
      <c r="AT4505" s="1075"/>
      <c r="AU4505" s="1193"/>
      <c r="AV4505" s="330"/>
      <c r="AW4505" s="331"/>
      <c r="AX4505" s="331"/>
      <c r="AY4505" s="331"/>
      <c r="AZ4505" s="331"/>
      <c r="BA4505" s="331"/>
      <c r="BB4505" s="331"/>
      <c r="BC4505" s="331"/>
      <c r="BD4505" s="331"/>
      <c r="BE4505" s="333"/>
      <c r="BF4505" s="330"/>
      <c r="BG4505" s="333"/>
      <c r="BH4505" s="1119"/>
      <c r="BI4505" s="319"/>
      <c r="BJ4505" s="319"/>
      <c r="BK4505" s="319"/>
      <c r="BL4505" s="319"/>
      <c r="BM4505" s="319"/>
      <c r="BN4505" s="319"/>
      <c r="BO4505" s="319"/>
      <c r="BP4505" s="953"/>
      <c r="BQ4505" s="319"/>
      <c r="BR4505" s="319"/>
      <c r="BS4505" s="330"/>
      <c r="BT4505" s="331"/>
      <c r="BU4505" s="920"/>
      <c r="BV4505" s="903"/>
      <c r="BW4505" s="908"/>
      <c r="BX4505" s="908"/>
      <c r="BY4505" s="331"/>
      <c r="BZ4505" s="331"/>
      <c r="CA4505" s="462"/>
      <c r="CB4505" s="319"/>
      <c r="CC4505" s="319"/>
      <c r="CD4505" s="319"/>
      <c r="CE4505" s="319"/>
      <c r="CF4505" s="319"/>
      <c r="CG4505" s="319"/>
      <c r="CH4505" s="318"/>
      <c r="CI4505" s="319"/>
      <c r="CJ4505" s="319"/>
      <c r="CK4505" s="342"/>
      <c r="CL4505" s="333"/>
      <c r="CM4505" s="1079"/>
      <c r="CN4505" s="1005"/>
      <c r="CO4505" s="1005"/>
      <c r="CP4505" s="1005"/>
    </row>
    <row r="4506">
      <c r="A4506" s="1257"/>
      <c r="B4506" s="1113"/>
      <c r="C4506" s="1107"/>
      <c r="D4506" s="103"/>
      <c r="E4506" s="1137"/>
      <c r="F4506" s="112"/>
      <c r="G4506" s="1110"/>
      <c r="H4506" s="1138"/>
      <c r="I4506" s="1138"/>
      <c r="J4506" s="1139"/>
      <c r="K4506" s="1111"/>
      <c r="L4506" s="1112"/>
      <c r="M4506" s="1113"/>
      <c r="N4506" s="110"/>
      <c r="O4506" s="1140"/>
      <c r="P4506" s="1115"/>
      <c r="Q4506" s="1116"/>
      <c r="R4506" s="1141"/>
      <c r="S4506" s="1113"/>
      <c r="T4506" s="1143"/>
      <c r="U4506" s="1108"/>
      <c r="V4506" s="1108"/>
      <c r="W4506" s="1108"/>
      <c r="X4506" s="1108"/>
      <c r="Y4506" s="1108"/>
      <c r="Z4506" s="1114"/>
      <c r="AA4506" s="1114"/>
      <c r="AB4506" s="1114"/>
      <c r="AC4506" s="1117"/>
      <c r="AD4506" s="1115"/>
      <c r="AE4506" s="1115"/>
      <c r="AF4506" s="1115"/>
      <c r="AG4506" s="1115"/>
      <c r="AH4506" s="1115"/>
      <c r="AI4506" s="1115"/>
      <c r="AJ4506" s="1117"/>
      <c r="AK4506" s="1118"/>
      <c r="AL4506" s="1115"/>
      <c r="AM4506" s="1115"/>
      <c r="AN4506" s="1115"/>
      <c r="AO4506" s="1115"/>
      <c r="AP4506" s="1115"/>
      <c r="AQ4506" s="1115"/>
      <c r="AR4506" s="1115"/>
      <c r="AS4506" s="1117"/>
      <c r="AT4506" s="1075"/>
      <c r="AU4506" s="1193"/>
      <c r="AV4506" s="330"/>
      <c r="AW4506" s="331"/>
      <c r="AX4506" s="331"/>
      <c r="AY4506" s="331"/>
      <c r="AZ4506" s="331"/>
      <c r="BA4506" s="331"/>
      <c r="BB4506" s="331"/>
      <c r="BC4506" s="331"/>
      <c r="BD4506" s="331"/>
      <c r="BE4506" s="333"/>
      <c r="BF4506" s="330"/>
      <c r="BG4506" s="333"/>
      <c r="BH4506" s="1119"/>
      <c r="BI4506" s="319"/>
      <c r="BJ4506" s="319"/>
      <c r="BK4506" s="319"/>
      <c r="BL4506" s="319"/>
      <c r="BM4506" s="319"/>
      <c r="BN4506" s="319"/>
      <c r="BO4506" s="319"/>
      <c r="BP4506" s="953"/>
      <c r="BQ4506" s="319"/>
      <c r="BR4506" s="319"/>
      <c r="BS4506" s="330"/>
      <c r="BT4506" s="331"/>
      <c r="BU4506" s="920"/>
      <c r="BV4506" s="903"/>
      <c r="BW4506" s="908"/>
      <c r="BX4506" s="908"/>
      <c r="BY4506" s="331"/>
      <c r="BZ4506" s="331"/>
      <c r="CA4506" s="462"/>
      <c r="CB4506" s="319"/>
      <c r="CC4506" s="319"/>
      <c r="CD4506" s="319"/>
      <c r="CE4506" s="319"/>
      <c r="CF4506" s="319"/>
      <c r="CG4506" s="319"/>
      <c r="CH4506" s="318"/>
      <c r="CI4506" s="319"/>
      <c r="CJ4506" s="319"/>
      <c r="CK4506" s="342"/>
      <c r="CL4506" s="333"/>
      <c r="CM4506" s="1079"/>
      <c r="CN4506" s="1005"/>
      <c r="CO4506" s="1005"/>
      <c r="CP4506" s="1005"/>
    </row>
    <row r="4507">
      <c r="A4507" s="1257"/>
      <c r="B4507" s="1113"/>
      <c r="C4507" s="1107"/>
      <c r="D4507" s="103"/>
      <c r="E4507" s="1137"/>
      <c r="F4507" s="112"/>
      <c r="G4507" s="1110"/>
      <c r="H4507" s="1138"/>
      <c r="I4507" s="1138"/>
      <c r="J4507" s="1139"/>
      <c r="K4507" s="1111"/>
      <c r="L4507" s="1112"/>
      <c r="M4507" s="1113"/>
      <c r="N4507" s="110"/>
      <c r="O4507" s="1140"/>
      <c r="P4507" s="1115"/>
      <c r="Q4507" s="1116"/>
      <c r="R4507" s="1141"/>
      <c r="S4507" s="1113"/>
      <c r="T4507" s="1143"/>
      <c r="U4507" s="1108"/>
      <c r="V4507" s="1108"/>
      <c r="W4507" s="1108"/>
      <c r="X4507" s="1108"/>
      <c r="Y4507" s="1108"/>
      <c r="Z4507" s="1114"/>
      <c r="AA4507" s="1114"/>
      <c r="AB4507" s="1114"/>
      <c r="AC4507" s="1117"/>
      <c r="AD4507" s="1115"/>
      <c r="AE4507" s="1115"/>
      <c r="AF4507" s="1115"/>
      <c r="AG4507" s="1115"/>
      <c r="AH4507" s="1115"/>
      <c r="AI4507" s="1115"/>
      <c r="AJ4507" s="1117"/>
      <c r="AK4507" s="1118"/>
      <c r="AL4507" s="1115"/>
      <c r="AM4507" s="1115"/>
      <c r="AN4507" s="1115"/>
      <c r="AO4507" s="1115"/>
      <c r="AP4507" s="1115"/>
      <c r="AQ4507" s="1115"/>
      <c r="AR4507" s="1115"/>
      <c r="AS4507" s="1117"/>
      <c r="AT4507" s="1075"/>
      <c r="AU4507" s="1193"/>
      <c r="AV4507" s="330"/>
      <c r="AW4507" s="331"/>
      <c r="AX4507" s="331"/>
      <c r="AY4507" s="331"/>
      <c r="AZ4507" s="331"/>
      <c r="BA4507" s="331"/>
      <c r="BB4507" s="331"/>
      <c r="BC4507" s="331"/>
      <c r="BD4507" s="331"/>
      <c r="BE4507" s="333"/>
      <c r="BF4507" s="330"/>
      <c r="BG4507" s="333"/>
      <c r="BH4507" s="1119"/>
      <c r="BI4507" s="319"/>
      <c r="BJ4507" s="319"/>
      <c r="BK4507" s="319"/>
      <c r="BL4507" s="319"/>
      <c r="BM4507" s="319"/>
      <c r="BN4507" s="319"/>
      <c r="BO4507" s="319"/>
      <c r="BP4507" s="953"/>
      <c r="BQ4507" s="319"/>
      <c r="BR4507" s="319"/>
      <c r="BS4507" s="330"/>
      <c r="BT4507" s="331"/>
      <c r="BU4507" s="920"/>
      <c r="BV4507" s="903"/>
      <c r="BW4507" s="908"/>
      <c r="BX4507" s="908"/>
      <c r="BY4507" s="331"/>
      <c r="BZ4507" s="331"/>
      <c r="CA4507" s="462"/>
      <c r="CB4507" s="319"/>
      <c r="CC4507" s="319"/>
      <c r="CD4507" s="319"/>
      <c r="CE4507" s="319"/>
      <c r="CF4507" s="319"/>
      <c r="CG4507" s="319"/>
      <c r="CH4507" s="318"/>
      <c r="CI4507" s="319"/>
      <c r="CJ4507" s="319"/>
      <c r="CK4507" s="342"/>
      <c r="CL4507" s="333"/>
      <c r="CM4507" s="1079"/>
      <c r="CN4507" s="1005"/>
      <c r="CO4507" s="1005"/>
      <c r="CP4507" s="1005"/>
    </row>
    <row r="4508">
      <c r="A4508" s="1257"/>
      <c r="B4508" s="1113"/>
      <c r="C4508" s="1107"/>
      <c r="D4508" s="103"/>
      <c r="E4508" s="1137"/>
      <c r="F4508" s="112"/>
      <c r="G4508" s="1110"/>
      <c r="H4508" s="1138"/>
      <c r="I4508" s="1138"/>
      <c r="J4508" s="1139"/>
      <c r="K4508" s="1111"/>
      <c r="L4508" s="1112"/>
      <c r="M4508" s="1113"/>
      <c r="N4508" s="110"/>
      <c r="O4508" s="1140"/>
      <c r="P4508" s="1115"/>
      <c r="Q4508" s="1116"/>
      <c r="R4508" s="1141"/>
      <c r="S4508" s="1113"/>
      <c r="T4508" s="1143"/>
      <c r="U4508" s="1108"/>
      <c r="V4508" s="1108"/>
      <c r="W4508" s="1108"/>
      <c r="X4508" s="1108"/>
      <c r="Y4508" s="1108"/>
      <c r="Z4508" s="1114"/>
      <c r="AA4508" s="1114"/>
      <c r="AB4508" s="1114"/>
      <c r="AC4508" s="1117"/>
      <c r="AD4508" s="1115"/>
      <c r="AE4508" s="1115"/>
      <c r="AF4508" s="1115"/>
      <c r="AG4508" s="1115"/>
      <c r="AH4508" s="1115"/>
      <c r="AI4508" s="1115"/>
      <c r="AJ4508" s="1117"/>
      <c r="AK4508" s="1118"/>
      <c r="AL4508" s="1115"/>
      <c r="AM4508" s="1115"/>
      <c r="AN4508" s="1115"/>
      <c r="AO4508" s="1115"/>
      <c r="AP4508" s="1115"/>
      <c r="AQ4508" s="1115"/>
      <c r="AR4508" s="1115"/>
      <c r="AS4508" s="1117"/>
      <c r="AT4508" s="1075"/>
      <c r="AU4508" s="1193"/>
      <c r="AV4508" s="330"/>
      <c r="AW4508" s="331"/>
      <c r="AX4508" s="331"/>
      <c r="AY4508" s="331"/>
      <c r="AZ4508" s="331"/>
      <c r="BA4508" s="331"/>
      <c r="BB4508" s="331"/>
      <c r="BC4508" s="331"/>
      <c r="BD4508" s="331"/>
      <c r="BE4508" s="333"/>
      <c r="BF4508" s="330"/>
      <c r="BG4508" s="333"/>
      <c r="BH4508" s="1119"/>
      <c r="BI4508" s="319"/>
      <c r="BJ4508" s="319"/>
      <c r="BK4508" s="319"/>
      <c r="BL4508" s="319"/>
      <c r="BM4508" s="319"/>
      <c r="BN4508" s="319"/>
      <c r="BO4508" s="319"/>
      <c r="BP4508" s="953"/>
      <c r="BQ4508" s="319"/>
      <c r="BR4508" s="319"/>
      <c r="BS4508" s="330"/>
      <c r="BT4508" s="331"/>
      <c r="BU4508" s="920"/>
      <c r="BV4508" s="903"/>
      <c r="BW4508" s="908"/>
      <c r="BX4508" s="908"/>
      <c r="BY4508" s="331"/>
      <c r="BZ4508" s="331"/>
      <c r="CA4508" s="462"/>
      <c r="CB4508" s="319"/>
      <c r="CC4508" s="319"/>
      <c r="CD4508" s="319"/>
      <c r="CE4508" s="319"/>
      <c r="CF4508" s="319"/>
      <c r="CG4508" s="319"/>
      <c r="CH4508" s="318"/>
      <c r="CI4508" s="319"/>
      <c r="CJ4508" s="319"/>
      <c r="CK4508" s="342"/>
      <c r="CL4508" s="333"/>
      <c r="CM4508" s="1079"/>
      <c r="CN4508" s="1005"/>
      <c r="CO4508" s="1005"/>
      <c r="CP4508" s="1005"/>
    </row>
    <row r="4509">
      <c r="A4509" s="1257"/>
      <c r="B4509" s="1113"/>
      <c r="C4509" s="1107"/>
      <c r="D4509" s="103"/>
      <c r="E4509" s="1137"/>
      <c r="F4509" s="112"/>
      <c r="G4509" s="1110"/>
      <c r="H4509" s="1138"/>
      <c r="I4509" s="1138"/>
      <c r="J4509" s="1139"/>
      <c r="K4509" s="1111"/>
      <c r="L4509" s="1112"/>
      <c r="M4509" s="1113"/>
      <c r="N4509" s="110"/>
      <c r="O4509" s="1140"/>
      <c r="P4509" s="1115"/>
      <c r="Q4509" s="1116"/>
      <c r="R4509" s="1141"/>
      <c r="S4509" s="1113"/>
      <c r="T4509" s="1143"/>
      <c r="U4509" s="1108"/>
      <c r="V4509" s="1108"/>
      <c r="W4509" s="1108"/>
      <c r="X4509" s="1108"/>
      <c r="Y4509" s="1108"/>
      <c r="Z4509" s="1114"/>
      <c r="AA4509" s="1114"/>
      <c r="AB4509" s="1114"/>
      <c r="AC4509" s="1117"/>
      <c r="AD4509" s="1115"/>
      <c r="AE4509" s="1115"/>
      <c r="AF4509" s="1115"/>
      <c r="AG4509" s="1115"/>
      <c r="AH4509" s="1115"/>
      <c r="AI4509" s="1115"/>
      <c r="AJ4509" s="1117"/>
      <c r="AK4509" s="1118"/>
      <c r="AL4509" s="1115"/>
      <c r="AM4509" s="1115"/>
      <c r="AN4509" s="1115"/>
      <c r="AO4509" s="1115"/>
      <c r="AP4509" s="1115"/>
      <c r="AQ4509" s="1115"/>
      <c r="AR4509" s="1115"/>
      <c r="AS4509" s="1117"/>
      <c r="AT4509" s="1075"/>
      <c r="AU4509" s="1193"/>
      <c r="AV4509" s="330"/>
      <c r="AW4509" s="331"/>
      <c r="AX4509" s="331"/>
      <c r="AY4509" s="331"/>
      <c r="AZ4509" s="331"/>
      <c r="BA4509" s="331"/>
      <c r="BB4509" s="331"/>
      <c r="BC4509" s="331"/>
      <c r="BD4509" s="331"/>
      <c r="BE4509" s="333"/>
      <c r="BF4509" s="330"/>
      <c r="BG4509" s="333"/>
      <c r="BH4509" s="1119"/>
      <c r="BI4509" s="319"/>
      <c r="BJ4509" s="319"/>
      <c r="BK4509" s="319"/>
      <c r="BL4509" s="319"/>
      <c r="BM4509" s="319"/>
      <c r="BN4509" s="319"/>
      <c r="BO4509" s="319"/>
      <c r="BP4509" s="953"/>
      <c r="BQ4509" s="319"/>
      <c r="BR4509" s="319"/>
      <c r="BS4509" s="330"/>
      <c r="BT4509" s="331"/>
      <c r="BU4509" s="920"/>
      <c r="BV4509" s="903"/>
      <c r="BW4509" s="908"/>
      <c r="BX4509" s="908"/>
      <c r="BY4509" s="331"/>
      <c r="BZ4509" s="331"/>
      <c r="CA4509" s="462"/>
      <c r="CB4509" s="319"/>
      <c r="CC4509" s="319"/>
      <c r="CD4509" s="319"/>
      <c r="CE4509" s="319"/>
      <c r="CF4509" s="319"/>
      <c r="CG4509" s="319"/>
      <c r="CH4509" s="318"/>
      <c r="CI4509" s="319"/>
      <c r="CJ4509" s="319"/>
      <c r="CK4509" s="342"/>
      <c r="CL4509" s="333"/>
      <c r="CM4509" s="1079"/>
      <c r="CN4509" s="1005"/>
      <c r="CO4509" s="1005"/>
      <c r="CP4509" s="1005"/>
    </row>
    <row r="4510">
      <c r="A4510" s="1257"/>
      <c r="B4510" s="1113"/>
      <c r="C4510" s="1107"/>
      <c r="D4510" s="103"/>
      <c r="E4510" s="1137"/>
      <c r="F4510" s="112"/>
      <c r="G4510" s="1110"/>
      <c r="H4510" s="1138"/>
      <c r="I4510" s="1138"/>
      <c r="J4510" s="1139"/>
      <c r="K4510" s="1111"/>
      <c r="L4510" s="1112"/>
      <c r="M4510" s="1113"/>
      <c r="N4510" s="110"/>
      <c r="O4510" s="1140"/>
      <c r="P4510" s="1115"/>
      <c r="Q4510" s="1116"/>
      <c r="R4510" s="1141"/>
      <c r="S4510" s="1113"/>
      <c r="T4510" s="1143"/>
      <c r="U4510" s="1108"/>
      <c r="V4510" s="1108"/>
      <c r="W4510" s="1108"/>
      <c r="X4510" s="1108"/>
      <c r="Y4510" s="1108"/>
      <c r="Z4510" s="1114"/>
      <c r="AA4510" s="1114"/>
      <c r="AB4510" s="1114"/>
      <c r="AC4510" s="1117"/>
      <c r="AD4510" s="1115"/>
      <c r="AE4510" s="1115"/>
      <c r="AF4510" s="1115"/>
      <c r="AG4510" s="1115"/>
      <c r="AH4510" s="1115"/>
      <c r="AI4510" s="1115"/>
      <c r="AJ4510" s="1117"/>
      <c r="AK4510" s="1118"/>
      <c r="AL4510" s="1115"/>
      <c r="AM4510" s="1115"/>
      <c r="AN4510" s="1115"/>
      <c r="AO4510" s="1115"/>
      <c r="AP4510" s="1115"/>
      <c r="AQ4510" s="1115"/>
      <c r="AR4510" s="1115"/>
      <c r="AS4510" s="1117"/>
      <c r="AT4510" s="1075"/>
      <c r="AU4510" s="1193"/>
      <c r="AV4510" s="330"/>
      <c r="AW4510" s="331"/>
      <c r="AX4510" s="331"/>
      <c r="AY4510" s="331"/>
      <c r="AZ4510" s="331"/>
      <c r="BA4510" s="331"/>
      <c r="BB4510" s="331"/>
      <c r="BC4510" s="331"/>
      <c r="BD4510" s="331"/>
      <c r="BE4510" s="333"/>
      <c r="BF4510" s="330"/>
      <c r="BG4510" s="333"/>
      <c r="BH4510" s="1119"/>
      <c r="BI4510" s="319"/>
      <c r="BJ4510" s="319"/>
      <c r="BK4510" s="319"/>
      <c r="BL4510" s="319"/>
      <c r="BM4510" s="319"/>
      <c r="BN4510" s="319"/>
      <c r="BO4510" s="319"/>
      <c r="BP4510" s="953"/>
      <c r="BQ4510" s="319"/>
      <c r="BR4510" s="319"/>
      <c r="BS4510" s="330"/>
      <c r="BT4510" s="331"/>
      <c r="BU4510" s="920"/>
      <c r="BV4510" s="903"/>
      <c r="BW4510" s="908"/>
      <c r="BX4510" s="908"/>
      <c r="BY4510" s="331"/>
      <c r="BZ4510" s="331"/>
      <c r="CA4510" s="462"/>
      <c r="CB4510" s="319"/>
      <c r="CC4510" s="319"/>
      <c r="CD4510" s="319"/>
      <c r="CE4510" s="319"/>
      <c r="CF4510" s="319"/>
      <c r="CG4510" s="319"/>
      <c r="CH4510" s="318"/>
      <c r="CI4510" s="319"/>
      <c r="CJ4510" s="319"/>
      <c r="CK4510" s="342"/>
      <c r="CL4510" s="333"/>
      <c r="CM4510" s="1079"/>
      <c r="CN4510" s="1005"/>
      <c r="CO4510" s="1005"/>
      <c r="CP4510" s="1005"/>
    </row>
    <row r="4511">
      <c r="A4511" s="1257"/>
      <c r="B4511" s="1113"/>
      <c r="C4511" s="1107"/>
      <c r="D4511" s="103"/>
      <c r="E4511" s="1137"/>
      <c r="F4511" s="112"/>
      <c r="G4511" s="1110"/>
      <c r="H4511" s="1138"/>
      <c r="I4511" s="1138"/>
      <c r="J4511" s="1139"/>
      <c r="K4511" s="1111"/>
      <c r="L4511" s="1112"/>
      <c r="M4511" s="1113"/>
      <c r="N4511" s="110"/>
      <c r="O4511" s="1140"/>
      <c r="P4511" s="1115"/>
      <c r="Q4511" s="1116"/>
      <c r="R4511" s="1141"/>
      <c r="S4511" s="1113"/>
      <c r="T4511" s="1143"/>
      <c r="U4511" s="1108"/>
      <c r="V4511" s="1108"/>
      <c r="W4511" s="1108"/>
      <c r="X4511" s="1108"/>
      <c r="Y4511" s="1108"/>
      <c r="Z4511" s="1114"/>
      <c r="AA4511" s="1114"/>
      <c r="AB4511" s="1114"/>
      <c r="AC4511" s="1117"/>
      <c r="AD4511" s="1115"/>
      <c r="AE4511" s="1115"/>
      <c r="AF4511" s="1115"/>
      <c r="AG4511" s="1115"/>
      <c r="AH4511" s="1115"/>
      <c r="AI4511" s="1115"/>
      <c r="AJ4511" s="1117"/>
      <c r="AK4511" s="1118"/>
      <c r="AL4511" s="1115"/>
      <c r="AM4511" s="1115"/>
      <c r="AN4511" s="1115"/>
      <c r="AO4511" s="1115"/>
      <c r="AP4511" s="1115"/>
      <c r="AQ4511" s="1115"/>
      <c r="AR4511" s="1115"/>
      <c r="AS4511" s="1117"/>
      <c r="AT4511" s="1075"/>
      <c r="AU4511" s="1193"/>
      <c r="AV4511" s="330"/>
      <c r="AW4511" s="331"/>
      <c r="AX4511" s="331"/>
      <c r="AY4511" s="331"/>
      <c r="AZ4511" s="331"/>
      <c r="BA4511" s="331"/>
      <c r="BB4511" s="331"/>
      <c r="BC4511" s="331"/>
      <c r="BD4511" s="331"/>
      <c r="BE4511" s="333"/>
      <c r="BF4511" s="330"/>
      <c r="BG4511" s="333"/>
      <c r="BH4511" s="1119"/>
      <c r="BI4511" s="319"/>
      <c r="BJ4511" s="319"/>
      <c r="BK4511" s="319"/>
      <c r="BL4511" s="319"/>
      <c r="BM4511" s="319"/>
      <c r="BN4511" s="319"/>
      <c r="BO4511" s="319"/>
      <c r="BP4511" s="953"/>
      <c r="BQ4511" s="319"/>
      <c r="BR4511" s="319"/>
      <c r="BS4511" s="330"/>
      <c r="BT4511" s="331"/>
      <c r="BU4511" s="920"/>
      <c r="BV4511" s="903"/>
      <c r="BW4511" s="908"/>
      <c r="BX4511" s="908"/>
      <c r="BY4511" s="331"/>
      <c r="BZ4511" s="331"/>
      <c r="CA4511" s="462"/>
      <c r="CB4511" s="319"/>
      <c r="CC4511" s="319"/>
      <c r="CD4511" s="319"/>
      <c r="CE4511" s="319"/>
      <c r="CF4511" s="319"/>
      <c r="CG4511" s="319"/>
      <c r="CH4511" s="318"/>
      <c r="CI4511" s="319"/>
      <c r="CJ4511" s="319"/>
      <c r="CK4511" s="342"/>
      <c r="CL4511" s="333"/>
      <c r="CM4511" s="1079"/>
      <c r="CN4511" s="1005"/>
      <c r="CO4511" s="1005"/>
      <c r="CP4511" s="1005"/>
    </row>
    <row r="4512">
      <c r="A4512" s="1257"/>
      <c r="B4512" s="1113"/>
      <c r="C4512" s="1107"/>
      <c r="D4512" s="103"/>
      <c r="E4512" s="1137"/>
      <c r="F4512" s="112"/>
      <c r="G4512" s="1110"/>
      <c r="H4512" s="1138"/>
      <c r="I4512" s="1138"/>
      <c r="J4512" s="1139"/>
      <c r="K4512" s="1111"/>
      <c r="L4512" s="1112"/>
      <c r="M4512" s="1113"/>
      <c r="N4512" s="110"/>
      <c r="O4512" s="1140"/>
      <c r="P4512" s="1115"/>
      <c r="Q4512" s="1116"/>
      <c r="R4512" s="1141"/>
      <c r="S4512" s="1113"/>
      <c r="T4512" s="1143"/>
      <c r="U4512" s="1108"/>
      <c r="V4512" s="1108"/>
      <c r="W4512" s="1108"/>
      <c r="X4512" s="1108"/>
      <c r="Y4512" s="1108"/>
      <c r="Z4512" s="1114"/>
      <c r="AA4512" s="1114"/>
      <c r="AB4512" s="1114"/>
      <c r="AC4512" s="1117"/>
      <c r="AD4512" s="1115"/>
      <c r="AE4512" s="1115"/>
      <c r="AF4512" s="1115"/>
      <c r="AG4512" s="1115"/>
      <c r="AH4512" s="1115"/>
      <c r="AI4512" s="1115"/>
      <c r="AJ4512" s="1117"/>
      <c r="AK4512" s="1118"/>
      <c r="AL4512" s="1115"/>
      <c r="AM4512" s="1115"/>
      <c r="AN4512" s="1115"/>
      <c r="AO4512" s="1115"/>
      <c r="AP4512" s="1115"/>
      <c r="AQ4512" s="1115"/>
      <c r="AR4512" s="1115"/>
      <c r="AS4512" s="1117"/>
      <c r="AT4512" s="1075"/>
      <c r="AU4512" s="1193"/>
      <c r="AV4512" s="330"/>
      <c r="AW4512" s="331"/>
      <c r="AX4512" s="331"/>
      <c r="AY4512" s="331"/>
      <c r="AZ4512" s="331"/>
      <c r="BA4512" s="331"/>
      <c r="BB4512" s="331"/>
      <c r="BC4512" s="331"/>
      <c r="BD4512" s="331"/>
      <c r="BE4512" s="333"/>
      <c r="BF4512" s="330"/>
      <c r="BG4512" s="333"/>
      <c r="BH4512" s="1119"/>
      <c r="BI4512" s="319"/>
      <c r="BJ4512" s="319"/>
      <c r="BK4512" s="319"/>
      <c r="BL4512" s="319"/>
      <c r="BM4512" s="319"/>
      <c r="BN4512" s="319"/>
      <c r="BO4512" s="319"/>
      <c r="BP4512" s="953"/>
      <c r="BQ4512" s="319"/>
      <c r="BR4512" s="319"/>
      <c r="BS4512" s="330"/>
      <c r="BT4512" s="331"/>
      <c r="BU4512" s="920"/>
      <c r="BV4512" s="903"/>
      <c r="BW4512" s="908"/>
      <c r="BX4512" s="908"/>
      <c r="BY4512" s="331"/>
      <c r="BZ4512" s="331"/>
      <c r="CA4512" s="462"/>
      <c r="CB4512" s="319"/>
      <c r="CC4512" s="319"/>
      <c r="CD4512" s="319"/>
      <c r="CE4512" s="319"/>
      <c r="CF4512" s="319"/>
      <c r="CG4512" s="319"/>
      <c r="CH4512" s="318"/>
      <c r="CI4512" s="319"/>
      <c r="CJ4512" s="319"/>
      <c r="CK4512" s="342"/>
      <c r="CL4512" s="333"/>
      <c r="CM4512" s="1079"/>
      <c r="CN4512" s="1005"/>
      <c r="CO4512" s="1005"/>
      <c r="CP4512" s="1005"/>
    </row>
    <row r="4513">
      <c r="A4513" s="1257"/>
      <c r="B4513" s="1113"/>
      <c r="C4513" s="1107"/>
      <c r="D4513" s="103"/>
      <c r="E4513" s="1137"/>
      <c r="F4513" s="112"/>
      <c r="G4513" s="1110"/>
      <c r="H4513" s="1138"/>
      <c r="I4513" s="1138"/>
      <c r="J4513" s="1139"/>
      <c r="K4513" s="1111"/>
      <c r="L4513" s="1112"/>
      <c r="M4513" s="1113"/>
      <c r="N4513" s="110"/>
      <c r="O4513" s="1140"/>
      <c r="P4513" s="1115"/>
      <c r="Q4513" s="1116"/>
      <c r="R4513" s="1141"/>
      <c r="S4513" s="1113"/>
      <c r="T4513" s="1143"/>
      <c r="U4513" s="1108"/>
      <c r="V4513" s="1108"/>
      <c r="W4513" s="1108"/>
      <c r="X4513" s="1108"/>
      <c r="Y4513" s="1108"/>
      <c r="Z4513" s="1114"/>
      <c r="AA4513" s="1114"/>
      <c r="AB4513" s="1114"/>
      <c r="AC4513" s="1117"/>
      <c r="AD4513" s="1115"/>
      <c r="AE4513" s="1115"/>
      <c r="AF4513" s="1115"/>
      <c r="AG4513" s="1115"/>
      <c r="AH4513" s="1115"/>
      <c r="AI4513" s="1115"/>
      <c r="AJ4513" s="1117"/>
      <c r="AK4513" s="1118"/>
      <c r="AL4513" s="1115"/>
      <c r="AM4513" s="1115"/>
      <c r="AN4513" s="1115"/>
      <c r="AO4513" s="1115"/>
      <c r="AP4513" s="1115"/>
      <c r="AQ4513" s="1115"/>
      <c r="AR4513" s="1115"/>
      <c r="AS4513" s="1117"/>
      <c r="AT4513" s="1075"/>
      <c r="AU4513" s="1193"/>
      <c r="AV4513" s="330"/>
      <c r="AW4513" s="331"/>
      <c r="AX4513" s="331"/>
      <c r="AY4513" s="331"/>
      <c r="AZ4513" s="331"/>
      <c r="BA4513" s="331"/>
      <c r="BB4513" s="331"/>
      <c r="BC4513" s="331"/>
      <c r="BD4513" s="331"/>
      <c r="BE4513" s="333"/>
      <c r="BF4513" s="330"/>
      <c r="BG4513" s="333"/>
      <c r="BH4513" s="1119"/>
      <c r="BI4513" s="319"/>
      <c r="BJ4513" s="319"/>
      <c r="BK4513" s="319"/>
      <c r="BL4513" s="319"/>
      <c r="BM4513" s="319"/>
      <c r="BN4513" s="319"/>
      <c r="BO4513" s="319"/>
      <c r="BP4513" s="953"/>
      <c r="BQ4513" s="319"/>
      <c r="BR4513" s="319"/>
      <c r="BS4513" s="330"/>
      <c r="BT4513" s="331"/>
      <c r="BU4513" s="920"/>
      <c r="BV4513" s="903"/>
      <c r="BW4513" s="908"/>
      <c r="BX4513" s="908"/>
      <c r="BY4513" s="331"/>
      <c r="BZ4513" s="331"/>
      <c r="CA4513" s="462"/>
      <c r="CB4513" s="319"/>
      <c r="CC4513" s="319"/>
      <c r="CD4513" s="319"/>
      <c r="CE4513" s="319"/>
      <c r="CF4513" s="319"/>
      <c r="CG4513" s="319"/>
      <c r="CH4513" s="318"/>
      <c r="CI4513" s="319"/>
      <c r="CJ4513" s="319"/>
      <c r="CK4513" s="342"/>
      <c r="CL4513" s="333"/>
      <c r="CM4513" s="1079"/>
      <c r="CN4513" s="1005"/>
      <c r="CO4513" s="1005"/>
      <c r="CP4513" s="1005"/>
    </row>
    <row r="4514">
      <c r="A4514" s="1257"/>
      <c r="B4514" s="1113"/>
      <c r="C4514" s="1107"/>
      <c r="D4514" s="103"/>
      <c r="E4514" s="1137"/>
      <c r="F4514" s="112"/>
      <c r="G4514" s="1110"/>
      <c r="H4514" s="1138"/>
      <c r="I4514" s="1138"/>
      <c r="J4514" s="1139"/>
      <c r="K4514" s="1111"/>
      <c r="L4514" s="1112"/>
      <c r="M4514" s="1113"/>
      <c r="N4514" s="110"/>
      <c r="O4514" s="1140"/>
      <c r="P4514" s="1115"/>
      <c r="Q4514" s="1116"/>
      <c r="R4514" s="1141"/>
      <c r="S4514" s="1113"/>
      <c r="T4514" s="1143"/>
      <c r="U4514" s="1108"/>
      <c r="V4514" s="1108"/>
      <c r="W4514" s="1108"/>
      <c r="X4514" s="1108"/>
      <c r="Y4514" s="1108"/>
      <c r="Z4514" s="1114"/>
      <c r="AA4514" s="1114"/>
      <c r="AB4514" s="1114"/>
      <c r="AC4514" s="1117"/>
      <c r="AD4514" s="1115"/>
      <c r="AE4514" s="1115"/>
      <c r="AF4514" s="1115"/>
      <c r="AG4514" s="1115"/>
      <c r="AH4514" s="1115"/>
      <c r="AI4514" s="1115"/>
      <c r="AJ4514" s="1117"/>
      <c r="AK4514" s="1118"/>
      <c r="AL4514" s="1115"/>
      <c r="AM4514" s="1115"/>
      <c r="AN4514" s="1115"/>
      <c r="AO4514" s="1115"/>
      <c r="AP4514" s="1115"/>
      <c r="AQ4514" s="1115"/>
      <c r="AR4514" s="1115"/>
      <c r="AS4514" s="1117"/>
      <c r="AT4514" s="1075"/>
      <c r="AU4514" s="1193"/>
      <c r="AV4514" s="330"/>
      <c r="AW4514" s="331"/>
      <c r="AX4514" s="331"/>
      <c r="AY4514" s="331"/>
      <c r="AZ4514" s="331"/>
      <c r="BA4514" s="331"/>
      <c r="BB4514" s="331"/>
      <c r="BC4514" s="331"/>
      <c r="BD4514" s="331"/>
      <c r="BE4514" s="333"/>
      <c r="BF4514" s="330"/>
      <c r="BG4514" s="333"/>
      <c r="BH4514" s="1119"/>
      <c r="BI4514" s="319"/>
      <c r="BJ4514" s="319"/>
      <c r="BK4514" s="319"/>
      <c r="BL4514" s="319"/>
      <c r="BM4514" s="319"/>
      <c r="BN4514" s="319"/>
      <c r="BO4514" s="319"/>
      <c r="BP4514" s="953"/>
      <c r="BQ4514" s="319"/>
      <c r="BR4514" s="319"/>
      <c r="BS4514" s="330"/>
      <c r="BT4514" s="331"/>
      <c r="BU4514" s="920"/>
      <c r="BV4514" s="903"/>
      <c r="BW4514" s="908"/>
      <c r="BX4514" s="908"/>
      <c r="BY4514" s="331"/>
      <c r="BZ4514" s="331"/>
      <c r="CA4514" s="462"/>
      <c r="CB4514" s="319"/>
      <c r="CC4514" s="319"/>
      <c r="CD4514" s="319"/>
      <c r="CE4514" s="319"/>
      <c r="CF4514" s="319"/>
      <c r="CG4514" s="319"/>
      <c r="CH4514" s="318"/>
      <c r="CI4514" s="319"/>
      <c r="CJ4514" s="319"/>
      <c r="CK4514" s="342"/>
      <c r="CL4514" s="333"/>
      <c r="CM4514" s="1079"/>
      <c r="CN4514" s="1005"/>
      <c r="CO4514" s="1005"/>
      <c r="CP4514" s="1005"/>
    </row>
    <row r="4515">
      <c r="A4515" s="1257"/>
      <c r="B4515" s="1113"/>
      <c r="C4515" s="1107"/>
      <c r="D4515" s="103"/>
      <c r="E4515" s="1137"/>
      <c r="F4515" s="112"/>
      <c r="G4515" s="1110"/>
      <c r="H4515" s="1138"/>
      <c r="I4515" s="1138"/>
      <c r="J4515" s="1139"/>
      <c r="K4515" s="1111"/>
      <c r="L4515" s="1112"/>
      <c r="M4515" s="1113"/>
      <c r="N4515" s="110"/>
      <c r="O4515" s="1140"/>
      <c r="P4515" s="1115"/>
      <c r="Q4515" s="1116"/>
      <c r="R4515" s="1141"/>
      <c r="S4515" s="1113"/>
      <c r="T4515" s="1143"/>
      <c r="U4515" s="1108"/>
      <c r="V4515" s="1108"/>
      <c r="W4515" s="1108"/>
      <c r="X4515" s="1108"/>
      <c r="Y4515" s="1108"/>
      <c r="Z4515" s="1114"/>
      <c r="AA4515" s="1114"/>
      <c r="AB4515" s="1114"/>
      <c r="AC4515" s="1117"/>
      <c r="AD4515" s="1115"/>
      <c r="AE4515" s="1115"/>
      <c r="AF4515" s="1115"/>
      <c r="AG4515" s="1115"/>
      <c r="AH4515" s="1115"/>
      <c r="AI4515" s="1115"/>
      <c r="AJ4515" s="1117"/>
      <c r="AK4515" s="1118"/>
      <c r="AL4515" s="1115"/>
      <c r="AM4515" s="1115"/>
      <c r="AN4515" s="1115"/>
      <c r="AO4515" s="1115"/>
      <c r="AP4515" s="1115"/>
      <c r="AQ4515" s="1115"/>
      <c r="AR4515" s="1115"/>
      <c r="AS4515" s="1117"/>
      <c r="AT4515" s="1075"/>
      <c r="AU4515" s="1193"/>
      <c r="AV4515" s="330"/>
      <c r="AW4515" s="331"/>
      <c r="AX4515" s="331"/>
      <c r="AY4515" s="331"/>
      <c r="AZ4515" s="331"/>
      <c r="BA4515" s="331"/>
      <c r="BB4515" s="331"/>
      <c r="BC4515" s="331"/>
      <c r="BD4515" s="331"/>
      <c r="BE4515" s="333"/>
      <c r="BF4515" s="330"/>
      <c r="BG4515" s="333"/>
      <c r="BH4515" s="1119"/>
      <c r="BI4515" s="319"/>
      <c r="BJ4515" s="319"/>
      <c r="BK4515" s="319"/>
      <c r="BL4515" s="319"/>
      <c r="BM4515" s="319"/>
      <c r="BN4515" s="319"/>
      <c r="BO4515" s="319"/>
      <c r="BP4515" s="953"/>
      <c r="BQ4515" s="319"/>
      <c r="BR4515" s="319"/>
      <c r="BS4515" s="330"/>
      <c r="BT4515" s="331"/>
      <c r="BU4515" s="920"/>
      <c r="BV4515" s="903"/>
      <c r="BW4515" s="908"/>
      <c r="BX4515" s="908"/>
      <c r="BY4515" s="331"/>
      <c r="BZ4515" s="331"/>
      <c r="CA4515" s="462"/>
      <c r="CB4515" s="319"/>
      <c r="CC4515" s="319"/>
      <c r="CD4515" s="319"/>
      <c r="CE4515" s="319"/>
      <c r="CF4515" s="319"/>
      <c r="CG4515" s="319"/>
      <c r="CH4515" s="318"/>
      <c r="CI4515" s="319"/>
      <c r="CJ4515" s="319"/>
      <c r="CK4515" s="342"/>
      <c r="CL4515" s="333"/>
      <c r="CM4515" s="1079"/>
      <c r="CN4515" s="1005"/>
      <c r="CO4515" s="1005"/>
      <c r="CP4515" s="1005"/>
    </row>
    <row r="4516">
      <c r="A4516" s="1257"/>
      <c r="B4516" s="1113"/>
      <c r="C4516" s="1107"/>
      <c r="D4516" s="103"/>
      <c r="E4516" s="1137"/>
      <c r="F4516" s="112"/>
      <c r="G4516" s="1110"/>
      <c r="H4516" s="1138"/>
      <c r="I4516" s="1138"/>
      <c r="J4516" s="1139"/>
      <c r="K4516" s="1111"/>
      <c r="L4516" s="1112"/>
      <c r="M4516" s="1113"/>
      <c r="N4516" s="110"/>
      <c r="O4516" s="1140"/>
      <c r="P4516" s="1115"/>
      <c r="Q4516" s="1116"/>
      <c r="R4516" s="1141"/>
      <c r="S4516" s="1113"/>
      <c r="T4516" s="1143"/>
      <c r="U4516" s="1108"/>
      <c r="V4516" s="1108"/>
      <c r="W4516" s="1108"/>
      <c r="X4516" s="1108"/>
      <c r="Y4516" s="1108"/>
      <c r="Z4516" s="1114"/>
      <c r="AA4516" s="1114"/>
      <c r="AB4516" s="1114"/>
      <c r="AC4516" s="1117"/>
      <c r="AD4516" s="1115"/>
      <c r="AE4516" s="1115"/>
      <c r="AF4516" s="1115"/>
      <c r="AG4516" s="1115"/>
      <c r="AH4516" s="1115"/>
      <c r="AI4516" s="1115"/>
      <c r="AJ4516" s="1117"/>
      <c r="AK4516" s="1118"/>
      <c r="AL4516" s="1115"/>
      <c r="AM4516" s="1115"/>
      <c r="AN4516" s="1115"/>
      <c r="AO4516" s="1115"/>
      <c r="AP4516" s="1115"/>
      <c r="AQ4516" s="1115"/>
      <c r="AR4516" s="1115"/>
      <c r="AS4516" s="1117"/>
      <c r="AT4516" s="1075"/>
      <c r="AU4516" s="1193"/>
      <c r="AV4516" s="330"/>
      <c r="AW4516" s="331"/>
      <c r="AX4516" s="331"/>
      <c r="AY4516" s="331"/>
      <c r="AZ4516" s="331"/>
      <c r="BA4516" s="331"/>
      <c r="BB4516" s="331"/>
      <c r="BC4516" s="331"/>
      <c r="BD4516" s="331"/>
      <c r="BE4516" s="333"/>
      <c r="BF4516" s="330"/>
      <c r="BG4516" s="333"/>
      <c r="BH4516" s="1119"/>
      <c r="BI4516" s="319"/>
      <c r="BJ4516" s="319"/>
      <c r="BK4516" s="319"/>
      <c r="BL4516" s="319"/>
      <c r="BM4516" s="319"/>
      <c r="BN4516" s="319"/>
      <c r="BO4516" s="319"/>
      <c r="BP4516" s="953"/>
      <c r="BQ4516" s="319"/>
      <c r="BR4516" s="319"/>
      <c r="BS4516" s="330"/>
      <c r="BT4516" s="331"/>
      <c r="BU4516" s="920"/>
      <c r="BV4516" s="903"/>
      <c r="BW4516" s="908"/>
      <c r="BX4516" s="908"/>
      <c r="BY4516" s="331"/>
      <c r="BZ4516" s="331"/>
      <c r="CA4516" s="462"/>
      <c r="CB4516" s="319"/>
      <c r="CC4516" s="319"/>
      <c r="CD4516" s="319"/>
      <c r="CE4516" s="319"/>
      <c r="CF4516" s="319"/>
      <c r="CG4516" s="319"/>
      <c r="CH4516" s="318"/>
      <c r="CI4516" s="319"/>
      <c r="CJ4516" s="319"/>
      <c r="CK4516" s="342"/>
      <c r="CL4516" s="333"/>
      <c r="CM4516" s="1079"/>
      <c r="CN4516" s="1005"/>
      <c r="CO4516" s="1005"/>
      <c r="CP4516" s="1005"/>
    </row>
    <row r="4517">
      <c r="A4517" s="1257"/>
      <c r="B4517" s="1113"/>
      <c r="C4517" s="1107"/>
      <c r="D4517" s="103"/>
      <c r="E4517" s="1137"/>
      <c r="F4517" s="112"/>
      <c r="G4517" s="1110"/>
      <c r="H4517" s="1138"/>
      <c r="I4517" s="1138"/>
      <c r="J4517" s="1139"/>
      <c r="K4517" s="1111"/>
      <c r="L4517" s="1112"/>
      <c r="M4517" s="1113"/>
      <c r="N4517" s="110"/>
      <c r="O4517" s="1140"/>
      <c r="P4517" s="1115"/>
      <c r="Q4517" s="1116"/>
      <c r="R4517" s="1141"/>
      <c r="S4517" s="1113"/>
      <c r="T4517" s="1143"/>
      <c r="U4517" s="1108"/>
      <c r="V4517" s="1108"/>
      <c r="W4517" s="1108"/>
      <c r="X4517" s="1108"/>
      <c r="Y4517" s="1108"/>
      <c r="Z4517" s="1114"/>
      <c r="AA4517" s="1114"/>
      <c r="AB4517" s="1114"/>
      <c r="AC4517" s="1117"/>
      <c r="AD4517" s="1115"/>
      <c r="AE4517" s="1115"/>
      <c r="AF4517" s="1115"/>
      <c r="AG4517" s="1115"/>
      <c r="AH4517" s="1115"/>
      <c r="AI4517" s="1115"/>
      <c r="AJ4517" s="1117"/>
      <c r="AK4517" s="1118"/>
      <c r="AL4517" s="1115"/>
      <c r="AM4517" s="1115"/>
      <c r="AN4517" s="1115"/>
      <c r="AO4517" s="1115"/>
      <c r="AP4517" s="1115"/>
      <c r="AQ4517" s="1115"/>
      <c r="AR4517" s="1115"/>
      <c r="AS4517" s="1117"/>
      <c r="AT4517" s="1075"/>
      <c r="AU4517" s="1193"/>
      <c r="AV4517" s="330"/>
      <c r="AW4517" s="331"/>
      <c r="AX4517" s="331"/>
      <c r="AY4517" s="331"/>
      <c r="AZ4517" s="331"/>
      <c r="BA4517" s="331"/>
      <c r="BB4517" s="331"/>
      <c r="BC4517" s="331"/>
      <c r="BD4517" s="331"/>
      <c r="BE4517" s="333"/>
      <c r="BF4517" s="330"/>
      <c r="BG4517" s="333"/>
      <c r="BH4517" s="1119"/>
      <c r="BI4517" s="319"/>
      <c r="BJ4517" s="319"/>
      <c r="BK4517" s="319"/>
      <c r="BL4517" s="319"/>
      <c r="BM4517" s="319"/>
      <c r="BN4517" s="319"/>
      <c r="BO4517" s="319"/>
      <c r="BP4517" s="953"/>
      <c r="BQ4517" s="319"/>
      <c r="BR4517" s="319"/>
      <c r="BS4517" s="330"/>
      <c r="BT4517" s="331"/>
      <c r="BU4517" s="920"/>
      <c r="BV4517" s="903"/>
      <c r="BW4517" s="908"/>
      <c r="BX4517" s="908"/>
      <c r="BY4517" s="331"/>
      <c r="BZ4517" s="331"/>
      <c r="CA4517" s="462"/>
      <c r="CB4517" s="319"/>
      <c r="CC4517" s="319"/>
      <c r="CD4517" s="319"/>
      <c r="CE4517" s="319"/>
      <c r="CF4517" s="319"/>
      <c r="CG4517" s="319"/>
      <c r="CH4517" s="318"/>
      <c r="CI4517" s="319"/>
      <c r="CJ4517" s="319"/>
      <c r="CK4517" s="342"/>
      <c r="CL4517" s="333"/>
      <c r="CM4517" s="1079"/>
      <c r="CN4517" s="1005"/>
      <c r="CO4517" s="1005"/>
      <c r="CP4517" s="1005"/>
    </row>
    <row r="4518">
      <c r="A4518" s="1257"/>
      <c r="B4518" s="1113"/>
      <c r="C4518" s="1107"/>
      <c r="D4518" s="103"/>
      <c r="E4518" s="1137"/>
      <c r="F4518" s="112"/>
      <c r="G4518" s="1110"/>
      <c r="H4518" s="1138"/>
      <c r="I4518" s="1138"/>
      <c r="J4518" s="1139"/>
      <c r="K4518" s="1111"/>
      <c r="L4518" s="1112"/>
      <c r="M4518" s="1113"/>
      <c r="N4518" s="110"/>
      <c r="O4518" s="1140"/>
      <c r="P4518" s="1115"/>
      <c r="Q4518" s="1116"/>
      <c r="R4518" s="1141"/>
      <c r="S4518" s="1113"/>
      <c r="T4518" s="1143"/>
      <c r="U4518" s="1108"/>
      <c r="V4518" s="1108"/>
      <c r="W4518" s="1108"/>
      <c r="X4518" s="1108"/>
      <c r="Y4518" s="1108"/>
      <c r="Z4518" s="1114"/>
      <c r="AA4518" s="1114"/>
      <c r="AB4518" s="1114"/>
      <c r="AC4518" s="1117"/>
      <c r="AD4518" s="1115"/>
      <c r="AE4518" s="1115"/>
      <c r="AF4518" s="1115"/>
      <c r="AG4518" s="1115"/>
      <c r="AH4518" s="1115"/>
      <c r="AI4518" s="1115"/>
      <c r="AJ4518" s="1117"/>
      <c r="AK4518" s="1118"/>
      <c r="AL4518" s="1115"/>
      <c r="AM4518" s="1115"/>
      <c r="AN4518" s="1115"/>
      <c r="AO4518" s="1115"/>
      <c r="AP4518" s="1115"/>
      <c r="AQ4518" s="1115"/>
      <c r="AR4518" s="1115"/>
      <c r="AS4518" s="1117"/>
      <c r="AT4518" s="1075"/>
      <c r="AU4518" s="1193"/>
      <c r="AV4518" s="330"/>
      <c r="AW4518" s="331"/>
      <c r="AX4518" s="331"/>
      <c r="AY4518" s="331"/>
      <c r="AZ4518" s="331"/>
      <c r="BA4518" s="331"/>
      <c r="BB4518" s="331"/>
      <c r="BC4518" s="331"/>
      <c r="BD4518" s="331"/>
      <c r="BE4518" s="333"/>
      <c r="BF4518" s="330"/>
      <c r="BG4518" s="333"/>
      <c r="BH4518" s="1119"/>
      <c r="BI4518" s="319"/>
      <c r="BJ4518" s="319"/>
      <c r="BK4518" s="319"/>
      <c r="BL4518" s="319"/>
      <c r="BM4518" s="319"/>
      <c r="BN4518" s="319"/>
      <c r="BO4518" s="319"/>
      <c r="BP4518" s="953"/>
      <c r="BQ4518" s="319"/>
      <c r="BR4518" s="319"/>
      <c r="BS4518" s="330"/>
      <c r="BT4518" s="331"/>
      <c r="BU4518" s="920"/>
      <c r="BV4518" s="903"/>
      <c r="BW4518" s="908"/>
      <c r="BX4518" s="908"/>
      <c r="BY4518" s="331"/>
      <c r="BZ4518" s="331"/>
      <c r="CA4518" s="462"/>
      <c r="CB4518" s="319"/>
      <c r="CC4518" s="319"/>
      <c r="CD4518" s="319"/>
      <c r="CE4518" s="319"/>
      <c r="CF4518" s="319"/>
      <c r="CG4518" s="319"/>
      <c r="CH4518" s="318"/>
      <c r="CI4518" s="319"/>
      <c r="CJ4518" s="319"/>
      <c r="CK4518" s="342"/>
      <c r="CL4518" s="333"/>
      <c r="CM4518" s="1079"/>
      <c r="CN4518" s="1005"/>
      <c r="CO4518" s="1005"/>
      <c r="CP4518" s="1005"/>
    </row>
    <row r="4519">
      <c r="A4519" s="1257"/>
      <c r="B4519" s="1113"/>
      <c r="C4519" s="1107"/>
      <c r="D4519" s="103"/>
      <c r="E4519" s="1137"/>
      <c r="F4519" s="112"/>
      <c r="G4519" s="1110"/>
      <c r="H4519" s="1138"/>
      <c r="I4519" s="1138"/>
      <c r="J4519" s="1139"/>
      <c r="K4519" s="1111"/>
      <c r="L4519" s="1112"/>
      <c r="M4519" s="1113"/>
      <c r="N4519" s="110"/>
      <c r="O4519" s="1140"/>
      <c r="P4519" s="1115"/>
      <c r="Q4519" s="1116"/>
      <c r="R4519" s="1141"/>
      <c r="S4519" s="1113"/>
      <c r="T4519" s="1143"/>
      <c r="U4519" s="1108"/>
      <c r="V4519" s="1108"/>
      <c r="W4519" s="1108"/>
      <c r="X4519" s="1108"/>
      <c r="Y4519" s="1108"/>
      <c r="Z4519" s="1114"/>
      <c r="AA4519" s="1114"/>
      <c r="AB4519" s="1114"/>
      <c r="AC4519" s="1117"/>
      <c r="AD4519" s="1115"/>
      <c r="AE4519" s="1115"/>
      <c r="AF4519" s="1115"/>
      <c r="AG4519" s="1115"/>
      <c r="AH4519" s="1115"/>
      <c r="AI4519" s="1115"/>
      <c r="AJ4519" s="1117"/>
      <c r="AK4519" s="1118"/>
      <c r="AL4519" s="1115"/>
      <c r="AM4519" s="1115"/>
      <c r="AN4519" s="1115"/>
      <c r="AO4519" s="1115"/>
      <c r="AP4519" s="1115"/>
      <c r="AQ4519" s="1115"/>
      <c r="AR4519" s="1115"/>
      <c r="AS4519" s="1117"/>
      <c r="AT4519" s="1075"/>
      <c r="AU4519" s="1193"/>
      <c r="AV4519" s="330"/>
      <c r="AW4519" s="331"/>
      <c r="AX4519" s="331"/>
      <c r="AY4519" s="331"/>
      <c r="AZ4519" s="331"/>
      <c r="BA4519" s="331"/>
      <c r="BB4519" s="331"/>
      <c r="BC4519" s="331"/>
      <c r="BD4519" s="331"/>
      <c r="BE4519" s="333"/>
      <c r="BF4519" s="330"/>
      <c r="BG4519" s="333"/>
      <c r="BH4519" s="1119"/>
      <c r="BI4519" s="319"/>
      <c r="BJ4519" s="319"/>
      <c r="BK4519" s="319"/>
      <c r="BL4519" s="319"/>
      <c r="BM4519" s="319"/>
      <c r="BN4519" s="319"/>
      <c r="BO4519" s="319"/>
      <c r="BP4519" s="953"/>
      <c r="BQ4519" s="319"/>
      <c r="BR4519" s="319"/>
      <c r="BS4519" s="330"/>
      <c r="BT4519" s="331"/>
      <c r="BU4519" s="920"/>
      <c r="BV4519" s="903"/>
      <c r="BW4519" s="908"/>
      <c r="BX4519" s="908"/>
      <c r="BY4519" s="331"/>
      <c r="BZ4519" s="331"/>
      <c r="CA4519" s="462"/>
      <c r="CB4519" s="319"/>
      <c r="CC4519" s="319"/>
      <c r="CD4519" s="319"/>
      <c r="CE4519" s="319"/>
      <c r="CF4519" s="319"/>
      <c r="CG4519" s="319"/>
      <c r="CH4519" s="318"/>
      <c r="CI4519" s="319"/>
      <c r="CJ4519" s="319"/>
      <c r="CK4519" s="342"/>
      <c r="CL4519" s="333"/>
      <c r="CM4519" s="1079"/>
      <c r="CN4519" s="1005"/>
      <c r="CO4519" s="1005"/>
      <c r="CP4519" s="1005"/>
    </row>
    <row r="4520">
      <c r="A4520" s="1257"/>
      <c r="B4520" s="1113"/>
      <c r="C4520" s="1107"/>
      <c r="D4520" s="103"/>
      <c r="E4520" s="1137"/>
      <c r="F4520" s="112"/>
      <c r="G4520" s="1110"/>
      <c r="H4520" s="1138"/>
      <c r="I4520" s="1138"/>
      <c r="J4520" s="1139"/>
      <c r="K4520" s="1111"/>
      <c r="L4520" s="1112"/>
      <c r="M4520" s="1113"/>
      <c r="N4520" s="110"/>
      <c r="O4520" s="1140"/>
      <c r="P4520" s="1115"/>
      <c r="Q4520" s="1116"/>
      <c r="R4520" s="1141"/>
      <c r="S4520" s="1113"/>
      <c r="T4520" s="1143"/>
      <c r="U4520" s="1108"/>
      <c r="V4520" s="1108"/>
      <c r="W4520" s="1108"/>
      <c r="X4520" s="1108"/>
      <c r="Y4520" s="1108"/>
      <c r="Z4520" s="1114"/>
      <c r="AA4520" s="1114"/>
      <c r="AB4520" s="1114"/>
      <c r="AC4520" s="1117"/>
      <c r="AD4520" s="1115"/>
      <c r="AE4520" s="1115"/>
      <c r="AF4520" s="1115"/>
      <c r="AG4520" s="1115"/>
      <c r="AH4520" s="1115"/>
      <c r="AI4520" s="1115"/>
      <c r="AJ4520" s="1117"/>
      <c r="AK4520" s="1118"/>
      <c r="AL4520" s="1115"/>
      <c r="AM4520" s="1115"/>
      <c r="AN4520" s="1115"/>
      <c r="AO4520" s="1115"/>
      <c r="AP4520" s="1115"/>
      <c r="AQ4520" s="1115"/>
      <c r="AR4520" s="1115"/>
      <c r="AS4520" s="1117"/>
      <c r="AT4520" s="1075"/>
      <c r="AU4520" s="1193"/>
      <c r="AV4520" s="330"/>
      <c r="AW4520" s="331"/>
      <c r="AX4520" s="331"/>
      <c r="AY4520" s="331"/>
      <c r="AZ4520" s="331"/>
      <c r="BA4520" s="331"/>
      <c r="BB4520" s="331"/>
      <c r="BC4520" s="331"/>
      <c r="BD4520" s="331"/>
      <c r="BE4520" s="333"/>
      <c r="BF4520" s="330"/>
      <c r="BG4520" s="333"/>
      <c r="BH4520" s="1119"/>
      <c r="BI4520" s="319"/>
      <c r="BJ4520" s="319"/>
      <c r="BK4520" s="319"/>
      <c r="BL4520" s="319"/>
      <c r="BM4520" s="319"/>
      <c r="BN4520" s="319"/>
      <c r="BO4520" s="319"/>
      <c r="BP4520" s="953"/>
      <c r="BQ4520" s="319"/>
      <c r="BR4520" s="319"/>
      <c r="BS4520" s="330"/>
      <c r="BT4520" s="331"/>
      <c r="BU4520" s="920"/>
      <c r="BV4520" s="903"/>
      <c r="BW4520" s="908"/>
      <c r="BX4520" s="908"/>
      <c r="BY4520" s="331"/>
      <c r="BZ4520" s="331"/>
      <c r="CA4520" s="462"/>
      <c r="CB4520" s="319"/>
      <c r="CC4520" s="319"/>
      <c r="CD4520" s="319"/>
      <c r="CE4520" s="319"/>
      <c r="CF4520" s="319"/>
      <c r="CG4520" s="319"/>
      <c r="CH4520" s="318"/>
      <c r="CI4520" s="319"/>
      <c r="CJ4520" s="319"/>
      <c r="CK4520" s="342"/>
      <c r="CL4520" s="333"/>
      <c r="CM4520" s="1079"/>
      <c r="CN4520" s="1005"/>
      <c r="CO4520" s="1005"/>
      <c r="CP4520" s="1005"/>
    </row>
    <row r="4521">
      <c r="A4521" s="1257"/>
      <c r="B4521" s="1113"/>
      <c r="C4521" s="1107"/>
      <c r="D4521" s="103"/>
      <c r="E4521" s="1137"/>
      <c r="F4521" s="112"/>
      <c r="G4521" s="1110"/>
      <c r="H4521" s="1138"/>
      <c r="I4521" s="1138"/>
      <c r="J4521" s="1139"/>
      <c r="K4521" s="1111"/>
      <c r="L4521" s="1112"/>
      <c r="M4521" s="1113"/>
      <c r="N4521" s="110"/>
      <c r="O4521" s="1140"/>
      <c r="P4521" s="1115"/>
      <c r="Q4521" s="1116"/>
      <c r="R4521" s="1141"/>
      <c r="S4521" s="1113"/>
      <c r="T4521" s="1143"/>
      <c r="U4521" s="1108"/>
      <c r="V4521" s="1108"/>
      <c r="W4521" s="1108"/>
      <c r="X4521" s="1108"/>
      <c r="Y4521" s="1108"/>
      <c r="Z4521" s="1114"/>
      <c r="AA4521" s="1114"/>
      <c r="AB4521" s="1114"/>
      <c r="AC4521" s="1117"/>
      <c r="AD4521" s="1115"/>
      <c r="AE4521" s="1115"/>
      <c r="AF4521" s="1115"/>
      <c r="AG4521" s="1115"/>
      <c r="AH4521" s="1115"/>
      <c r="AI4521" s="1115"/>
      <c r="AJ4521" s="1117"/>
      <c r="AK4521" s="1118"/>
      <c r="AL4521" s="1115"/>
      <c r="AM4521" s="1115"/>
      <c r="AN4521" s="1115"/>
      <c r="AO4521" s="1115"/>
      <c r="AP4521" s="1115"/>
      <c r="AQ4521" s="1115"/>
      <c r="AR4521" s="1115"/>
      <c r="AS4521" s="1117"/>
      <c r="AT4521" s="1075"/>
      <c r="AU4521" s="1193"/>
      <c r="AV4521" s="330"/>
      <c r="AW4521" s="331"/>
      <c r="AX4521" s="331"/>
      <c r="AY4521" s="331"/>
      <c r="AZ4521" s="331"/>
      <c r="BA4521" s="331"/>
      <c r="BB4521" s="331"/>
      <c r="BC4521" s="331"/>
      <c r="BD4521" s="331"/>
      <c r="BE4521" s="333"/>
      <c r="BF4521" s="330"/>
      <c r="BG4521" s="333"/>
      <c r="BH4521" s="1119"/>
      <c r="BI4521" s="319"/>
      <c r="BJ4521" s="319"/>
      <c r="BK4521" s="319"/>
      <c r="BL4521" s="319"/>
      <c r="BM4521" s="319"/>
      <c r="BN4521" s="319"/>
      <c r="BO4521" s="319"/>
      <c r="BP4521" s="953"/>
      <c r="BQ4521" s="319"/>
      <c r="BR4521" s="319"/>
      <c r="BS4521" s="330"/>
      <c r="BT4521" s="331"/>
      <c r="BU4521" s="920"/>
      <c r="BV4521" s="903"/>
      <c r="BW4521" s="908"/>
      <c r="BX4521" s="908"/>
      <c r="BY4521" s="331"/>
      <c r="BZ4521" s="331"/>
      <c r="CA4521" s="462"/>
      <c r="CB4521" s="319"/>
      <c r="CC4521" s="319"/>
      <c r="CD4521" s="319"/>
      <c r="CE4521" s="319"/>
      <c r="CF4521" s="319"/>
      <c r="CG4521" s="319"/>
      <c r="CH4521" s="318"/>
      <c r="CI4521" s="319"/>
      <c r="CJ4521" s="319"/>
      <c r="CK4521" s="342"/>
      <c r="CL4521" s="333"/>
      <c r="CM4521" s="1079"/>
      <c r="CN4521" s="1005"/>
      <c r="CO4521" s="1005"/>
      <c r="CP4521" s="1005"/>
    </row>
    <row r="4522">
      <c r="A4522" s="1257"/>
      <c r="B4522" s="1113"/>
      <c r="C4522" s="1107"/>
      <c r="D4522" s="103"/>
      <c r="E4522" s="1137"/>
      <c r="F4522" s="112"/>
      <c r="G4522" s="1110"/>
      <c r="H4522" s="1138"/>
      <c r="I4522" s="1138"/>
      <c r="J4522" s="1139"/>
      <c r="K4522" s="1111"/>
      <c r="L4522" s="1112"/>
      <c r="M4522" s="1113"/>
      <c r="N4522" s="110"/>
      <c r="O4522" s="1140"/>
      <c r="P4522" s="1115"/>
      <c r="Q4522" s="1116"/>
      <c r="R4522" s="1141"/>
      <c r="S4522" s="1113"/>
      <c r="T4522" s="1143"/>
      <c r="U4522" s="1108"/>
      <c r="V4522" s="1108"/>
      <c r="W4522" s="1108"/>
      <c r="X4522" s="1108"/>
      <c r="Y4522" s="1108"/>
      <c r="Z4522" s="1114"/>
      <c r="AA4522" s="1114"/>
      <c r="AB4522" s="1114"/>
      <c r="AC4522" s="1117"/>
      <c r="AD4522" s="1115"/>
      <c r="AE4522" s="1115"/>
      <c r="AF4522" s="1115"/>
      <c r="AG4522" s="1115"/>
      <c r="AH4522" s="1115"/>
      <c r="AI4522" s="1115"/>
      <c r="AJ4522" s="1117"/>
      <c r="AK4522" s="1118"/>
      <c r="AL4522" s="1115"/>
      <c r="AM4522" s="1115"/>
      <c r="AN4522" s="1115"/>
      <c r="AO4522" s="1115"/>
      <c r="AP4522" s="1115"/>
      <c r="AQ4522" s="1115"/>
      <c r="AR4522" s="1115"/>
      <c r="AS4522" s="1117"/>
      <c r="AT4522" s="1075"/>
      <c r="AU4522" s="1193"/>
      <c r="AV4522" s="330"/>
      <c r="AW4522" s="331"/>
      <c r="AX4522" s="331"/>
      <c r="AY4522" s="331"/>
      <c r="AZ4522" s="331"/>
      <c r="BA4522" s="331"/>
      <c r="BB4522" s="331"/>
      <c r="BC4522" s="331"/>
      <c r="BD4522" s="331"/>
      <c r="BE4522" s="333"/>
      <c r="BF4522" s="330"/>
      <c r="BG4522" s="333"/>
      <c r="BH4522" s="1119"/>
      <c r="BI4522" s="319"/>
      <c r="BJ4522" s="319"/>
      <c r="BK4522" s="319"/>
      <c r="BL4522" s="319"/>
      <c r="BM4522" s="319"/>
      <c r="BN4522" s="319"/>
      <c r="BO4522" s="319"/>
      <c r="BP4522" s="953"/>
      <c r="BQ4522" s="319"/>
      <c r="BR4522" s="319"/>
      <c r="BS4522" s="330"/>
      <c r="BT4522" s="331"/>
      <c r="BU4522" s="920"/>
      <c r="BV4522" s="903"/>
      <c r="BW4522" s="908"/>
      <c r="BX4522" s="908"/>
      <c r="BY4522" s="331"/>
      <c r="BZ4522" s="331"/>
      <c r="CA4522" s="462"/>
      <c r="CB4522" s="319"/>
      <c r="CC4522" s="319"/>
      <c r="CD4522" s="319"/>
      <c r="CE4522" s="319"/>
      <c r="CF4522" s="319"/>
      <c r="CG4522" s="319"/>
      <c r="CH4522" s="318"/>
      <c r="CI4522" s="319"/>
      <c r="CJ4522" s="319"/>
      <c r="CK4522" s="342"/>
      <c r="CL4522" s="333"/>
      <c r="CM4522" s="1079"/>
      <c r="CN4522" s="1005"/>
      <c r="CO4522" s="1005"/>
      <c r="CP4522" s="1005"/>
    </row>
    <row r="4523">
      <c r="A4523" s="1257"/>
      <c r="B4523" s="1113"/>
      <c r="C4523" s="1107"/>
      <c r="D4523" s="103"/>
      <c r="E4523" s="1137"/>
      <c r="F4523" s="112"/>
      <c r="G4523" s="1110"/>
      <c r="H4523" s="1138"/>
      <c r="I4523" s="1138"/>
      <c r="J4523" s="1139"/>
      <c r="K4523" s="1111"/>
      <c r="L4523" s="1112"/>
      <c r="M4523" s="1113"/>
      <c r="N4523" s="110"/>
      <c r="O4523" s="1140"/>
      <c r="P4523" s="1115"/>
      <c r="Q4523" s="1116"/>
      <c r="R4523" s="1141"/>
      <c r="S4523" s="1113"/>
      <c r="T4523" s="1143"/>
      <c r="U4523" s="1108"/>
      <c r="V4523" s="1108"/>
      <c r="W4523" s="1108"/>
      <c r="X4523" s="1108"/>
      <c r="Y4523" s="1108"/>
      <c r="Z4523" s="1114"/>
      <c r="AA4523" s="1114"/>
      <c r="AB4523" s="1114"/>
      <c r="AC4523" s="1117"/>
      <c r="AD4523" s="1115"/>
      <c r="AE4523" s="1115"/>
      <c r="AF4523" s="1115"/>
      <c r="AG4523" s="1115"/>
      <c r="AH4523" s="1115"/>
      <c r="AI4523" s="1115"/>
      <c r="AJ4523" s="1117"/>
      <c r="AK4523" s="1118"/>
      <c r="AL4523" s="1115"/>
      <c r="AM4523" s="1115"/>
      <c r="AN4523" s="1115"/>
      <c r="AO4523" s="1115"/>
      <c r="AP4523" s="1115"/>
      <c r="AQ4523" s="1115"/>
      <c r="AR4523" s="1115"/>
      <c r="AS4523" s="1117"/>
      <c r="AT4523" s="1075"/>
      <c r="AU4523" s="1193"/>
      <c r="AV4523" s="330"/>
      <c r="AW4523" s="331"/>
      <c r="AX4523" s="331"/>
      <c r="AY4523" s="331"/>
      <c r="AZ4523" s="331"/>
      <c r="BA4523" s="331"/>
      <c r="BB4523" s="331"/>
      <c r="BC4523" s="331"/>
      <c r="BD4523" s="331"/>
      <c r="BE4523" s="333"/>
      <c r="BF4523" s="330"/>
      <c r="BG4523" s="333"/>
      <c r="BH4523" s="1119"/>
      <c r="BI4523" s="319"/>
      <c r="BJ4523" s="319"/>
      <c r="BK4523" s="319"/>
      <c r="BL4523" s="319"/>
      <c r="BM4523" s="319"/>
      <c r="BN4523" s="319"/>
      <c r="BO4523" s="319"/>
      <c r="BP4523" s="953"/>
      <c r="BQ4523" s="319"/>
      <c r="BR4523" s="319"/>
      <c r="BS4523" s="330"/>
      <c r="BT4523" s="331"/>
      <c r="BU4523" s="920"/>
      <c r="BV4523" s="903"/>
      <c r="BW4523" s="908"/>
      <c r="BX4523" s="908"/>
      <c r="BY4523" s="331"/>
      <c r="BZ4523" s="331"/>
      <c r="CA4523" s="462"/>
      <c r="CB4523" s="319"/>
      <c r="CC4523" s="319"/>
      <c r="CD4523" s="319"/>
      <c r="CE4523" s="319"/>
      <c r="CF4523" s="319"/>
      <c r="CG4523" s="319"/>
      <c r="CH4523" s="318"/>
      <c r="CI4523" s="319"/>
      <c r="CJ4523" s="319"/>
      <c r="CK4523" s="342"/>
      <c r="CL4523" s="333"/>
      <c r="CM4523" s="1079"/>
      <c r="CN4523" s="1005"/>
      <c r="CO4523" s="1005"/>
      <c r="CP4523" s="1005"/>
    </row>
    <row r="4524">
      <c r="A4524" s="1257"/>
      <c r="B4524" s="1113"/>
      <c r="C4524" s="1107"/>
      <c r="D4524" s="103"/>
      <c r="E4524" s="1137"/>
      <c r="F4524" s="112"/>
      <c r="G4524" s="1110"/>
      <c r="H4524" s="1138"/>
      <c r="I4524" s="1138"/>
      <c r="J4524" s="1139"/>
      <c r="K4524" s="1111"/>
      <c r="L4524" s="1112"/>
      <c r="M4524" s="1113"/>
      <c r="N4524" s="110"/>
      <c r="O4524" s="1140"/>
      <c r="P4524" s="1115"/>
      <c r="Q4524" s="1116"/>
      <c r="R4524" s="1141"/>
      <c r="S4524" s="1113"/>
      <c r="T4524" s="1143"/>
      <c r="U4524" s="1108"/>
      <c r="V4524" s="1108"/>
      <c r="W4524" s="1108"/>
      <c r="X4524" s="1108"/>
      <c r="Y4524" s="1108"/>
      <c r="Z4524" s="1114"/>
      <c r="AA4524" s="1114"/>
      <c r="AB4524" s="1114"/>
      <c r="AC4524" s="1117"/>
      <c r="AD4524" s="1115"/>
      <c r="AE4524" s="1115"/>
      <c r="AF4524" s="1115"/>
      <c r="AG4524" s="1115"/>
      <c r="AH4524" s="1115"/>
      <c r="AI4524" s="1115"/>
      <c r="AJ4524" s="1117"/>
      <c r="AK4524" s="1118"/>
      <c r="AL4524" s="1115"/>
      <c r="AM4524" s="1115"/>
      <c r="AN4524" s="1115"/>
      <c r="AO4524" s="1115"/>
      <c r="AP4524" s="1115"/>
      <c r="AQ4524" s="1115"/>
      <c r="AR4524" s="1115"/>
      <c r="AS4524" s="1117"/>
      <c r="AT4524" s="1075"/>
      <c r="AU4524" s="1193"/>
      <c r="AV4524" s="330"/>
      <c r="AW4524" s="331"/>
      <c r="AX4524" s="331"/>
      <c r="AY4524" s="331"/>
      <c r="AZ4524" s="331"/>
      <c r="BA4524" s="331"/>
      <c r="BB4524" s="331"/>
      <c r="BC4524" s="331"/>
      <c r="BD4524" s="331"/>
      <c r="BE4524" s="333"/>
      <c r="BF4524" s="330"/>
      <c r="BG4524" s="333"/>
      <c r="BH4524" s="1119"/>
      <c r="BI4524" s="319"/>
      <c r="BJ4524" s="319"/>
      <c r="BK4524" s="319"/>
      <c r="BL4524" s="319"/>
      <c r="BM4524" s="319"/>
      <c r="BN4524" s="319"/>
      <c r="BO4524" s="319"/>
      <c r="BP4524" s="953"/>
      <c r="BQ4524" s="319"/>
      <c r="BR4524" s="319"/>
      <c r="BS4524" s="330"/>
      <c r="BT4524" s="331"/>
      <c r="BU4524" s="920"/>
      <c r="BV4524" s="903"/>
      <c r="BW4524" s="908"/>
      <c r="BX4524" s="908"/>
      <c r="BY4524" s="331"/>
      <c r="BZ4524" s="331"/>
      <c r="CA4524" s="462"/>
      <c r="CB4524" s="319"/>
      <c r="CC4524" s="319"/>
      <c r="CD4524" s="319"/>
      <c r="CE4524" s="319"/>
      <c r="CF4524" s="319"/>
      <c r="CG4524" s="319"/>
      <c r="CH4524" s="318"/>
      <c r="CI4524" s="319"/>
      <c r="CJ4524" s="319"/>
      <c r="CK4524" s="342"/>
      <c r="CL4524" s="333"/>
      <c r="CM4524" s="1079"/>
      <c r="CN4524" s="1005"/>
      <c r="CO4524" s="1005"/>
      <c r="CP4524" s="1005"/>
    </row>
    <row r="4525">
      <c r="A4525" s="1257"/>
      <c r="B4525" s="1113"/>
      <c r="C4525" s="1107"/>
      <c r="D4525" s="103"/>
      <c r="E4525" s="1137"/>
      <c r="F4525" s="112"/>
      <c r="G4525" s="1110"/>
      <c r="H4525" s="1138"/>
      <c r="I4525" s="1138"/>
      <c r="J4525" s="1139"/>
      <c r="K4525" s="1111"/>
      <c r="L4525" s="1112"/>
      <c r="M4525" s="1113"/>
      <c r="N4525" s="110"/>
      <c r="O4525" s="1140"/>
      <c r="P4525" s="1115"/>
      <c r="Q4525" s="1116"/>
      <c r="R4525" s="1141"/>
      <c r="S4525" s="1113"/>
      <c r="T4525" s="1143"/>
      <c r="U4525" s="1108"/>
      <c r="V4525" s="1108"/>
      <c r="W4525" s="1108"/>
      <c r="X4525" s="1108"/>
      <c r="Y4525" s="1108"/>
      <c r="Z4525" s="1114"/>
      <c r="AA4525" s="1114"/>
      <c r="AB4525" s="1114"/>
      <c r="AC4525" s="1117"/>
      <c r="AD4525" s="1115"/>
      <c r="AE4525" s="1115"/>
      <c r="AF4525" s="1115"/>
      <c r="AG4525" s="1115"/>
      <c r="AH4525" s="1115"/>
      <c r="AI4525" s="1115"/>
      <c r="AJ4525" s="1117"/>
      <c r="AK4525" s="1118"/>
      <c r="AL4525" s="1115"/>
      <c r="AM4525" s="1115"/>
      <c r="AN4525" s="1115"/>
      <c r="AO4525" s="1115"/>
      <c r="AP4525" s="1115"/>
      <c r="AQ4525" s="1115"/>
      <c r="AR4525" s="1115"/>
      <c r="AS4525" s="1117"/>
      <c r="AT4525" s="1075"/>
      <c r="AU4525" s="1193"/>
      <c r="AV4525" s="330"/>
      <c r="AW4525" s="331"/>
      <c r="AX4525" s="331"/>
      <c r="AY4525" s="331"/>
      <c r="AZ4525" s="331"/>
      <c r="BA4525" s="331"/>
      <c r="BB4525" s="331"/>
      <c r="BC4525" s="331"/>
      <c r="BD4525" s="331"/>
      <c r="BE4525" s="333"/>
      <c r="BF4525" s="330"/>
      <c r="BG4525" s="333"/>
      <c r="BH4525" s="1119"/>
      <c r="BI4525" s="319"/>
      <c r="BJ4525" s="319"/>
      <c r="BK4525" s="319"/>
      <c r="BL4525" s="319"/>
      <c r="BM4525" s="319"/>
      <c r="BN4525" s="319"/>
      <c r="BO4525" s="319"/>
      <c r="BP4525" s="953"/>
      <c r="BQ4525" s="319"/>
      <c r="BR4525" s="319"/>
      <c r="BS4525" s="330"/>
      <c r="BT4525" s="331"/>
      <c r="BU4525" s="920"/>
      <c r="BV4525" s="903"/>
      <c r="BW4525" s="908"/>
      <c r="BX4525" s="908"/>
      <c r="BY4525" s="331"/>
      <c r="BZ4525" s="331"/>
      <c r="CA4525" s="462"/>
      <c r="CB4525" s="319"/>
      <c r="CC4525" s="319"/>
      <c r="CD4525" s="319"/>
      <c r="CE4525" s="319"/>
      <c r="CF4525" s="319"/>
      <c r="CG4525" s="319"/>
      <c r="CH4525" s="318"/>
      <c r="CI4525" s="319"/>
      <c r="CJ4525" s="319"/>
      <c r="CK4525" s="342"/>
      <c r="CL4525" s="333"/>
      <c r="CM4525" s="1079"/>
      <c r="CN4525" s="1005"/>
      <c r="CO4525" s="1005"/>
      <c r="CP4525" s="1005"/>
    </row>
    <row r="4526">
      <c r="A4526" s="1257"/>
      <c r="B4526" s="1113"/>
      <c r="C4526" s="1107"/>
      <c r="D4526" s="103"/>
      <c r="E4526" s="1137"/>
      <c r="F4526" s="112"/>
      <c r="G4526" s="1110"/>
      <c r="H4526" s="1138"/>
      <c r="I4526" s="1138"/>
      <c r="J4526" s="1139"/>
      <c r="K4526" s="1111"/>
      <c r="L4526" s="1112"/>
      <c r="M4526" s="1113"/>
      <c r="N4526" s="110"/>
      <c r="O4526" s="1140"/>
      <c r="P4526" s="1115"/>
      <c r="Q4526" s="1116"/>
      <c r="R4526" s="1141"/>
      <c r="S4526" s="1113"/>
      <c r="T4526" s="1143"/>
      <c r="U4526" s="1108"/>
      <c r="V4526" s="1108"/>
      <c r="W4526" s="1108"/>
      <c r="X4526" s="1108"/>
      <c r="Y4526" s="1108"/>
      <c r="Z4526" s="1114"/>
      <c r="AA4526" s="1114"/>
      <c r="AB4526" s="1114"/>
      <c r="AC4526" s="1117"/>
      <c r="AD4526" s="1115"/>
      <c r="AE4526" s="1115"/>
      <c r="AF4526" s="1115"/>
      <c r="AG4526" s="1115"/>
      <c r="AH4526" s="1115"/>
      <c r="AI4526" s="1115"/>
      <c r="AJ4526" s="1117"/>
      <c r="AK4526" s="1118"/>
      <c r="AL4526" s="1115"/>
      <c r="AM4526" s="1115"/>
      <c r="AN4526" s="1115"/>
      <c r="AO4526" s="1115"/>
      <c r="AP4526" s="1115"/>
      <c r="AQ4526" s="1115"/>
      <c r="AR4526" s="1115"/>
      <c r="AS4526" s="1117"/>
      <c r="AT4526" s="1075"/>
      <c r="AU4526" s="1193"/>
      <c r="AV4526" s="330"/>
      <c r="AW4526" s="331"/>
      <c r="AX4526" s="331"/>
      <c r="AY4526" s="331"/>
      <c r="AZ4526" s="331"/>
      <c r="BA4526" s="331"/>
      <c r="BB4526" s="331"/>
      <c r="BC4526" s="331"/>
      <c r="BD4526" s="331"/>
      <c r="BE4526" s="333"/>
      <c r="BF4526" s="330"/>
      <c r="BG4526" s="333"/>
      <c r="BH4526" s="1119"/>
      <c r="BI4526" s="319"/>
      <c r="BJ4526" s="319"/>
      <c r="BK4526" s="319"/>
      <c r="BL4526" s="319"/>
      <c r="BM4526" s="319"/>
      <c r="BN4526" s="319"/>
      <c r="BO4526" s="319"/>
      <c r="BP4526" s="953"/>
      <c r="BQ4526" s="319"/>
      <c r="BR4526" s="319"/>
      <c r="BS4526" s="330"/>
      <c r="BT4526" s="331"/>
      <c r="BU4526" s="920"/>
      <c r="BV4526" s="903"/>
      <c r="BW4526" s="908"/>
      <c r="BX4526" s="908"/>
      <c r="BY4526" s="331"/>
      <c r="BZ4526" s="331"/>
      <c r="CA4526" s="462"/>
      <c r="CB4526" s="319"/>
      <c r="CC4526" s="319"/>
      <c r="CD4526" s="319"/>
      <c r="CE4526" s="319"/>
      <c r="CF4526" s="319"/>
      <c r="CG4526" s="319"/>
      <c r="CH4526" s="318"/>
      <c r="CI4526" s="319"/>
      <c r="CJ4526" s="319"/>
      <c r="CK4526" s="342"/>
      <c r="CL4526" s="333"/>
      <c r="CM4526" s="1079"/>
      <c r="CN4526" s="1005"/>
      <c r="CO4526" s="1005"/>
      <c r="CP4526" s="1005"/>
    </row>
    <row r="4527">
      <c r="A4527" s="1257"/>
      <c r="B4527" s="1113"/>
      <c r="C4527" s="1107"/>
      <c r="D4527" s="103"/>
      <c r="E4527" s="1137"/>
      <c r="F4527" s="112"/>
      <c r="G4527" s="1110"/>
      <c r="H4527" s="1138"/>
      <c r="I4527" s="1138"/>
      <c r="J4527" s="1139"/>
      <c r="K4527" s="1111"/>
      <c r="L4527" s="1112"/>
      <c r="M4527" s="1113"/>
      <c r="N4527" s="110"/>
      <c r="O4527" s="1140"/>
      <c r="P4527" s="1115"/>
      <c r="Q4527" s="1116"/>
      <c r="R4527" s="1141"/>
      <c r="S4527" s="1113"/>
      <c r="T4527" s="1143"/>
      <c r="U4527" s="1108"/>
      <c r="V4527" s="1108"/>
      <c r="W4527" s="1108"/>
      <c r="X4527" s="1108"/>
      <c r="Y4527" s="1108"/>
      <c r="Z4527" s="1114"/>
      <c r="AA4527" s="1114"/>
      <c r="AB4527" s="1114"/>
      <c r="AC4527" s="1117"/>
      <c r="AD4527" s="1115"/>
      <c r="AE4527" s="1115"/>
      <c r="AF4527" s="1115"/>
      <c r="AG4527" s="1115"/>
      <c r="AH4527" s="1115"/>
      <c r="AI4527" s="1115"/>
      <c r="AJ4527" s="1117"/>
      <c r="AK4527" s="1118"/>
      <c r="AL4527" s="1115"/>
      <c r="AM4527" s="1115"/>
      <c r="AN4527" s="1115"/>
      <c r="AO4527" s="1115"/>
      <c r="AP4527" s="1115"/>
      <c r="AQ4527" s="1115"/>
      <c r="AR4527" s="1115"/>
      <c r="AS4527" s="1117"/>
      <c r="AT4527" s="1075"/>
      <c r="AU4527" s="1193"/>
      <c r="AV4527" s="330"/>
      <c r="AW4527" s="331"/>
      <c r="AX4527" s="331"/>
      <c r="AY4527" s="331"/>
      <c r="AZ4527" s="331"/>
      <c r="BA4527" s="331"/>
      <c r="BB4527" s="331"/>
      <c r="BC4527" s="331"/>
      <c r="BD4527" s="331"/>
      <c r="BE4527" s="333"/>
      <c r="BF4527" s="330"/>
      <c r="BG4527" s="333"/>
      <c r="BH4527" s="1119"/>
      <c r="BI4527" s="319"/>
      <c r="BJ4527" s="319"/>
      <c r="BK4527" s="319"/>
      <c r="BL4527" s="319"/>
      <c r="BM4527" s="319"/>
      <c r="BN4527" s="319"/>
      <c r="BO4527" s="319"/>
      <c r="BP4527" s="953"/>
      <c r="BQ4527" s="319"/>
      <c r="BR4527" s="319"/>
      <c r="BS4527" s="330"/>
      <c r="BT4527" s="331"/>
      <c r="BU4527" s="920"/>
      <c r="BV4527" s="903"/>
      <c r="BW4527" s="908"/>
      <c r="BX4527" s="908"/>
      <c r="BY4527" s="331"/>
      <c r="BZ4527" s="331"/>
      <c r="CA4527" s="462"/>
      <c r="CB4527" s="319"/>
      <c r="CC4527" s="319"/>
      <c r="CD4527" s="319"/>
      <c r="CE4527" s="319"/>
      <c r="CF4527" s="319"/>
      <c r="CG4527" s="319"/>
      <c r="CH4527" s="318"/>
      <c r="CI4527" s="319"/>
      <c r="CJ4527" s="319"/>
      <c r="CK4527" s="342"/>
      <c r="CL4527" s="333"/>
      <c r="CM4527" s="1079"/>
      <c r="CN4527" s="1005"/>
      <c r="CO4527" s="1005"/>
      <c r="CP4527" s="1005"/>
    </row>
    <row r="4528">
      <c r="A4528" s="1257"/>
      <c r="B4528" s="1113"/>
      <c r="C4528" s="1107"/>
      <c r="D4528" s="103"/>
      <c r="E4528" s="1137"/>
      <c r="F4528" s="112"/>
      <c r="G4528" s="1110"/>
      <c r="H4528" s="1138"/>
      <c r="I4528" s="1138"/>
      <c r="J4528" s="1139"/>
      <c r="K4528" s="1111"/>
      <c r="L4528" s="1112"/>
      <c r="M4528" s="1113"/>
      <c r="N4528" s="110"/>
      <c r="O4528" s="1140"/>
      <c r="P4528" s="1115"/>
      <c r="Q4528" s="1116"/>
      <c r="R4528" s="1141"/>
      <c r="S4528" s="1113"/>
      <c r="T4528" s="1143"/>
      <c r="U4528" s="1108"/>
      <c r="V4528" s="1108"/>
      <c r="W4528" s="1108"/>
      <c r="X4528" s="1108"/>
      <c r="Y4528" s="1108"/>
      <c r="Z4528" s="1114"/>
      <c r="AA4528" s="1114"/>
      <c r="AB4528" s="1114"/>
      <c r="AC4528" s="1117"/>
      <c r="AD4528" s="1115"/>
      <c r="AE4528" s="1115"/>
      <c r="AF4528" s="1115"/>
      <c r="AG4528" s="1115"/>
      <c r="AH4528" s="1115"/>
      <c r="AI4528" s="1115"/>
      <c r="AJ4528" s="1117"/>
      <c r="AK4528" s="1118"/>
      <c r="AL4528" s="1115"/>
      <c r="AM4528" s="1115"/>
      <c r="AN4528" s="1115"/>
      <c r="AO4528" s="1115"/>
      <c r="AP4528" s="1115"/>
      <c r="AQ4528" s="1115"/>
      <c r="AR4528" s="1115"/>
      <c r="AS4528" s="1117"/>
      <c r="AT4528" s="1075"/>
      <c r="AU4528" s="1193"/>
      <c r="AV4528" s="330"/>
      <c r="AW4528" s="331"/>
      <c r="AX4528" s="331"/>
      <c r="AY4528" s="331"/>
      <c r="AZ4528" s="331"/>
      <c r="BA4528" s="331"/>
      <c r="BB4528" s="331"/>
      <c r="BC4528" s="331"/>
      <c r="BD4528" s="331"/>
      <c r="BE4528" s="333"/>
      <c r="BF4528" s="330"/>
      <c r="BG4528" s="333"/>
      <c r="BH4528" s="1119"/>
      <c r="BI4528" s="319"/>
      <c r="BJ4528" s="319"/>
      <c r="BK4528" s="319"/>
      <c r="BL4528" s="319"/>
      <c r="BM4528" s="319"/>
      <c r="BN4528" s="319"/>
      <c r="BO4528" s="319"/>
      <c r="BP4528" s="953"/>
      <c r="BQ4528" s="319"/>
      <c r="BR4528" s="319"/>
      <c r="BS4528" s="330"/>
      <c r="BT4528" s="331"/>
      <c r="BU4528" s="920"/>
      <c r="BV4528" s="903"/>
      <c r="BW4528" s="908"/>
      <c r="BX4528" s="908"/>
      <c r="BY4528" s="331"/>
      <c r="BZ4528" s="331"/>
      <c r="CA4528" s="462"/>
      <c r="CB4528" s="319"/>
      <c r="CC4528" s="319"/>
      <c r="CD4528" s="319"/>
      <c r="CE4528" s="319"/>
      <c r="CF4528" s="319"/>
      <c r="CG4528" s="319"/>
      <c r="CH4528" s="318"/>
      <c r="CI4528" s="319"/>
      <c r="CJ4528" s="319"/>
      <c r="CK4528" s="342"/>
      <c r="CL4528" s="333"/>
      <c r="CM4528" s="1079"/>
      <c r="CN4528" s="1005"/>
      <c r="CO4528" s="1005"/>
      <c r="CP4528" s="1005"/>
    </row>
    <row r="4529">
      <c r="A4529" s="1257"/>
      <c r="B4529" s="1113"/>
      <c r="C4529" s="1107"/>
      <c r="D4529" s="103"/>
      <c r="E4529" s="1137"/>
      <c r="F4529" s="112"/>
      <c r="G4529" s="1110"/>
      <c r="H4529" s="1138"/>
      <c r="I4529" s="1138"/>
      <c r="J4529" s="1139"/>
      <c r="K4529" s="1111"/>
      <c r="L4529" s="1112"/>
      <c r="M4529" s="1113"/>
      <c r="N4529" s="110"/>
      <c r="O4529" s="1140"/>
      <c r="P4529" s="1115"/>
      <c r="Q4529" s="1116"/>
      <c r="R4529" s="1141"/>
      <c r="S4529" s="1113"/>
      <c r="T4529" s="1143"/>
      <c r="U4529" s="1108"/>
      <c r="V4529" s="1108"/>
      <c r="W4529" s="1108"/>
      <c r="X4529" s="1108"/>
      <c r="Y4529" s="1108"/>
      <c r="Z4529" s="1114"/>
      <c r="AA4529" s="1114"/>
      <c r="AB4529" s="1114"/>
      <c r="AC4529" s="1117"/>
      <c r="AD4529" s="1115"/>
      <c r="AE4529" s="1115"/>
      <c r="AF4529" s="1115"/>
      <c r="AG4529" s="1115"/>
      <c r="AH4529" s="1115"/>
      <c r="AI4529" s="1115"/>
      <c r="AJ4529" s="1117"/>
      <c r="AK4529" s="1118"/>
      <c r="AL4529" s="1115"/>
      <c r="AM4529" s="1115"/>
      <c r="AN4529" s="1115"/>
      <c r="AO4529" s="1115"/>
      <c r="AP4529" s="1115"/>
      <c r="AQ4529" s="1115"/>
      <c r="AR4529" s="1115"/>
      <c r="AS4529" s="1117"/>
      <c r="AT4529" s="1075"/>
      <c r="AU4529" s="1193"/>
      <c r="AV4529" s="330"/>
      <c r="AW4529" s="331"/>
      <c r="AX4529" s="331"/>
      <c r="AY4529" s="331"/>
      <c r="AZ4529" s="331"/>
      <c r="BA4529" s="331"/>
      <c r="BB4529" s="331"/>
      <c r="BC4529" s="331"/>
      <c r="BD4529" s="331"/>
      <c r="BE4529" s="333"/>
      <c r="BF4529" s="330"/>
      <c r="BG4529" s="333"/>
      <c r="BH4529" s="1119"/>
      <c r="BI4529" s="319"/>
      <c r="BJ4529" s="319"/>
      <c r="BK4529" s="319"/>
      <c r="BL4529" s="319"/>
      <c r="BM4529" s="319"/>
      <c r="BN4529" s="319"/>
      <c r="BO4529" s="319"/>
      <c r="BP4529" s="953"/>
      <c r="BQ4529" s="319"/>
      <c r="BR4529" s="319"/>
      <c r="BS4529" s="330"/>
      <c r="BT4529" s="331"/>
      <c r="BU4529" s="920"/>
      <c r="BV4529" s="903"/>
      <c r="BW4529" s="908"/>
      <c r="BX4529" s="908"/>
      <c r="BY4529" s="331"/>
      <c r="BZ4529" s="331"/>
      <c r="CA4529" s="462"/>
      <c r="CB4529" s="319"/>
      <c r="CC4529" s="319"/>
      <c r="CD4529" s="319"/>
      <c r="CE4529" s="319"/>
      <c r="CF4529" s="319"/>
      <c r="CG4529" s="319"/>
      <c r="CH4529" s="318"/>
      <c r="CI4529" s="319"/>
      <c r="CJ4529" s="319"/>
      <c r="CK4529" s="342"/>
      <c r="CL4529" s="333"/>
      <c r="CM4529" s="1079"/>
      <c r="CN4529" s="1005"/>
      <c r="CO4529" s="1005"/>
      <c r="CP4529" s="1005"/>
    </row>
    <row r="4530">
      <c r="A4530" s="1257"/>
      <c r="B4530" s="1113"/>
      <c r="C4530" s="1107"/>
      <c r="D4530" s="103"/>
      <c r="E4530" s="1137"/>
      <c r="F4530" s="112"/>
      <c r="G4530" s="1110"/>
      <c r="H4530" s="1138"/>
      <c r="I4530" s="1138"/>
      <c r="J4530" s="1139"/>
      <c r="K4530" s="1111"/>
      <c r="L4530" s="1112"/>
      <c r="M4530" s="1113"/>
      <c r="N4530" s="110"/>
      <c r="O4530" s="1140"/>
      <c r="P4530" s="1115"/>
      <c r="Q4530" s="1116"/>
      <c r="R4530" s="1141"/>
      <c r="S4530" s="1113"/>
      <c r="T4530" s="1143"/>
      <c r="U4530" s="1108"/>
      <c r="V4530" s="1108"/>
      <c r="W4530" s="1108"/>
      <c r="X4530" s="1108"/>
      <c r="Y4530" s="1108"/>
      <c r="Z4530" s="1114"/>
      <c r="AA4530" s="1114"/>
      <c r="AB4530" s="1114"/>
      <c r="AC4530" s="1117"/>
      <c r="AD4530" s="1115"/>
      <c r="AE4530" s="1115"/>
      <c r="AF4530" s="1115"/>
      <c r="AG4530" s="1115"/>
      <c r="AH4530" s="1115"/>
      <c r="AI4530" s="1115"/>
      <c r="AJ4530" s="1117"/>
      <c r="AK4530" s="1118"/>
      <c r="AL4530" s="1115"/>
      <c r="AM4530" s="1115"/>
      <c r="AN4530" s="1115"/>
      <c r="AO4530" s="1115"/>
      <c r="AP4530" s="1115"/>
      <c r="AQ4530" s="1115"/>
      <c r="AR4530" s="1115"/>
      <c r="AS4530" s="1117"/>
      <c r="AT4530" s="1075"/>
      <c r="AU4530" s="1193"/>
      <c r="AV4530" s="330"/>
      <c r="AW4530" s="331"/>
      <c r="AX4530" s="331"/>
      <c r="AY4530" s="331"/>
      <c r="AZ4530" s="331"/>
      <c r="BA4530" s="331"/>
      <c r="BB4530" s="331"/>
      <c r="BC4530" s="331"/>
      <c r="BD4530" s="331"/>
      <c r="BE4530" s="333"/>
      <c r="BF4530" s="330"/>
      <c r="BG4530" s="333"/>
      <c r="BH4530" s="1119"/>
      <c r="BI4530" s="319"/>
      <c r="BJ4530" s="319"/>
      <c r="BK4530" s="319"/>
      <c r="BL4530" s="319"/>
      <c r="BM4530" s="319"/>
      <c r="BN4530" s="319"/>
      <c r="BO4530" s="319"/>
      <c r="BP4530" s="953"/>
      <c r="BQ4530" s="319"/>
      <c r="BR4530" s="319"/>
      <c r="BS4530" s="330"/>
      <c r="BT4530" s="331"/>
      <c r="BU4530" s="920"/>
      <c r="BV4530" s="903"/>
      <c r="BW4530" s="908"/>
      <c r="BX4530" s="908"/>
      <c r="BY4530" s="331"/>
      <c r="BZ4530" s="331"/>
      <c r="CA4530" s="462"/>
      <c r="CB4530" s="319"/>
      <c r="CC4530" s="319"/>
      <c r="CD4530" s="319"/>
      <c r="CE4530" s="319"/>
      <c r="CF4530" s="319"/>
      <c r="CG4530" s="319"/>
      <c r="CH4530" s="318"/>
      <c r="CI4530" s="319"/>
      <c r="CJ4530" s="319"/>
      <c r="CK4530" s="342"/>
      <c r="CL4530" s="333"/>
      <c r="CM4530" s="1079"/>
      <c r="CN4530" s="1005"/>
      <c r="CO4530" s="1005"/>
      <c r="CP4530" s="1005"/>
    </row>
    <row r="4531">
      <c r="A4531" s="1257"/>
      <c r="B4531" s="1113"/>
      <c r="C4531" s="1107"/>
      <c r="D4531" s="103"/>
      <c r="E4531" s="1137"/>
      <c r="F4531" s="112"/>
      <c r="G4531" s="1110"/>
      <c r="H4531" s="1138"/>
      <c r="I4531" s="1138"/>
      <c r="J4531" s="1139"/>
      <c r="K4531" s="1111"/>
      <c r="L4531" s="1112"/>
      <c r="M4531" s="1113"/>
      <c r="N4531" s="110"/>
      <c r="O4531" s="1140"/>
      <c r="P4531" s="1115"/>
      <c r="Q4531" s="1116"/>
      <c r="R4531" s="1141"/>
      <c r="S4531" s="1113"/>
      <c r="T4531" s="1143"/>
      <c r="U4531" s="1108"/>
      <c r="V4531" s="1108"/>
      <c r="W4531" s="1108"/>
      <c r="X4531" s="1108"/>
      <c r="Y4531" s="1108"/>
      <c r="Z4531" s="1114"/>
      <c r="AA4531" s="1114"/>
      <c r="AB4531" s="1114"/>
      <c r="AC4531" s="1117"/>
      <c r="AD4531" s="1115"/>
      <c r="AE4531" s="1115"/>
      <c r="AF4531" s="1115"/>
      <c r="AG4531" s="1115"/>
      <c r="AH4531" s="1115"/>
      <c r="AI4531" s="1115"/>
      <c r="AJ4531" s="1117"/>
      <c r="AK4531" s="1118"/>
      <c r="AL4531" s="1115"/>
      <c r="AM4531" s="1115"/>
      <c r="AN4531" s="1115"/>
      <c r="AO4531" s="1115"/>
      <c r="AP4531" s="1115"/>
      <c r="AQ4531" s="1115"/>
      <c r="AR4531" s="1115"/>
      <c r="AS4531" s="1117"/>
      <c r="AT4531" s="1075"/>
      <c r="AU4531" s="1193"/>
      <c r="AV4531" s="330"/>
      <c r="AW4531" s="331"/>
      <c r="AX4531" s="331"/>
      <c r="AY4531" s="331"/>
      <c r="AZ4531" s="331"/>
      <c r="BA4531" s="331"/>
      <c r="BB4531" s="331"/>
      <c r="BC4531" s="331"/>
      <c r="BD4531" s="331"/>
      <c r="BE4531" s="333"/>
      <c r="BF4531" s="330"/>
      <c r="BG4531" s="333"/>
      <c r="BH4531" s="1119"/>
      <c r="BI4531" s="319"/>
      <c r="BJ4531" s="319"/>
      <c r="BK4531" s="319"/>
      <c r="BL4531" s="319"/>
      <c r="BM4531" s="319"/>
      <c r="BN4531" s="319"/>
      <c r="BO4531" s="319"/>
      <c r="BP4531" s="953"/>
      <c r="BQ4531" s="319"/>
      <c r="BR4531" s="319"/>
      <c r="BS4531" s="330"/>
      <c r="BT4531" s="331"/>
      <c r="BU4531" s="920"/>
      <c r="BV4531" s="903"/>
      <c r="BW4531" s="908"/>
      <c r="BX4531" s="908"/>
      <c r="BY4531" s="331"/>
      <c r="BZ4531" s="331"/>
      <c r="CA4531" s="462"/>
      <c r="CB4531" s="319"/>
      <c r="CC4531" s="319"/>
      <c r="CD4531" s="319"/>
      <c r="CE4531" s="319"/>
      <c r="CF4531" s="319"/>
      <c r="CG4531" s="319"/>
      <c r="CH4531" s="318"/>
      <c r="CI4531" s="319"/>
      <c r="CJ4531" s="319"/>
      <c r="CK4531" s="342"/>
      <c r="CL4531" s="333"/>
      <c r="CM4531" s="1079"/>
      <c r="CN4531" s="1005"/>
      <c r="CO4531" s="1005"/>
      <c r="CP4531" s="1005"/>
    </row>
    <row r="4532">
      <c r="A4532" s="1257"/>
      <c r="B4532" s="1113"/>
      <c r="C4532" s="1107"/>
      <c r="D4532" s="103"/>
      <c r="E4532" s="1137"/>
      <c r="F4532" s="112"/>
      <c r="G4532" s="1110"/>
      <c r="H4532" s="1138"/>
      <c r="I4532" s="1138"/>
      <c r="J4532" s="1139"/>
      <c r="K4532" s="1111"/>
      <c r="L4532" s="1112"/>
      <c r="M4532" s="1113"/>
      <c r="N4532" s="110"/>
      <c r="O4532" s="1140"/>
      <c r="P4532" s="1115"/>
      <c r="Q4532" s="1116"/>
      <c r="R4532" s="1141"/>
      <c r="S4532" s="1113"/>
      <c r="T4532" s="1143"/>
      <c r="U4532" s="1108"/>
      <c r="V4532" s="1108"/>
      <c r="W4532" s="1108"/>
      <c r="X4532" s="1108"/>
      <c r="Y4532" s="1108"/>
      <c r="Z4532" s="1114"/>
      <c r="AA4532" s="1114"/>
      <c r="AB4532" s="1114"/>
      <c r="AC4532" s="1117"/>
      <c r="AD4532" s="1115"/>
      <c r="AE4532" s="1115"/>
      <c r="AF4532" s="1115"/>
      <c r="AG4532" s="1115"/>
      <c r="AH4532" s="1115"/>
      <c r="AI4532" s="1115"/>
      <c r="AJ4532" s="1117"/>
      <c r="AK4532" s="1118"/>
      <c r="AL4532" s="1115"/>
      <c r="AM4532" s="1115"/>
      <c r="AN4532" s="1115"/>
      <c r="AO4532" s="1115"/>
      <c r="AP4532" s="1115"/>
      <c r="AQ4532" s="1115"/>
      <c r="AR4532" s="1115"/>
      <c r="AS4532" s="1117"/>
      <c r="AT4532" s="1075"/>
      <c r="AU4532" s="1193"/>
      <c r="AV4532" s="330"/>
      <c r="AW4532" s="331"/>
      <c r="AX4532" s="331"/>
      <c r="AY4532" s="331"/>
      <c r="AZ4532" s="331"/>
      <c r="BA4532" s="331"/>
      <c r="BB4532" s="331"/>
      <c r="BC4532" s="331"/>
      <c r="BD4532" s="331"/>
      <c r="BE4532" s="333"/>
      <c r="BF4532" s="330"/>
      <c r="BG4532" s="333"/>
      <c r="BH4532" s="1119"/>
      <c r="BI4532" s="319"/>
      <c r="BJ4532" s="319"/>
      <c r="BK4532" s="319"/>
      <c r="BL4532" s="319"/>
      <c r="BM4532" s="319"/>
      <c r="BN4532" s="319"/>
      <c r="BO4532" s="319"/>
      <c r="BP4532" s="953"/>
      <c r="BQ4532" s="319"/>
      <c r="BR4532" s="319"/>
      <c r="BS4532" s="330"/>
      <c r="BT4532" s="331"/>
      <c r="BU4532" s="920"/>
      <c r="BV4532" s="903"/>
      <c r="BW4532" s="908"/>
      <c r="BX4532" s="908"/>
      <c r="BY4532" s="331"/>
      <c r="BZ4532" s="331"/>
      <c r="CA4532" s="462"/>
      <c r="CB4532" s="319"/>
      <c r="CC4532" s="319"/>
      <c r="CD4532" s="319"/>
      <c r="CE4532" s="319"/>
      <c r="CF4532" s="319"/>
      <c r="CG4532" s="319"/>
      <c r="CH4532" s="318"/>
      <c r="CI4532" s="319"/>
      <c r="CJ4532" s="319"/>
      <c r="CK4532" s="342"/>
      <c r="CL4532" s="333"/>
      <c r="CM4532" s="1079"/>
      <c r="CN4532" s="1005"/>
      <c r="CO4532" s="1005"/>
      <c r="CP4532" s="1005"/>
    </row>
    <row r="4533">
      <c r="A4533" s="1257"/>
      <c r="B4533" s="1113"/>
      <c r="C4533" s="1107"/>
      <c r="D4533" s="103"/>
      <c r="E4533" s="1137"/>
      <c r="F4533" s="112"/>
      <c r="G4533" s="1110"/>
      <c r="H4533" s="1138"/>
      <c r="I4533" s="1138"/>
      <c r="J4533" s="1139"/>
      <c r="K4533" s="1111"/>
      <c r="L4533" s="1112"/>
      <c r="M4533" s="1113"/>
      <c r="N4533" s="110"/>
      <c r="O4533" s="1140"/>
      <c r="P4533" s="1115"/>
      <c r="Q4533" s="1116"/>
      <c r="R4533" s="1141"/>
      <c r="S4533" s="1113"/>
      <c r="T4533" s="1143"/>
      <c r="U4533" s="1108"/>
      <c r="V4533" s="1108"/>
      <c r="W4533" s="1108"/>
      <c r="X4533" s="1108"/>
      <c r="Y4533" s="1108"/>
      <c r="Z4533" s="1114"/>
      <c r="AA4533" s="1114"/>
      <c r="AB4533" s="1114"/>
      <c r="AC4533" s="1117"/>
      <c r="AD4533" s="1115"/>
      <c r="AE4533" s="1115"/>
      <c r="AF4533" s="1115"/>
      <c r="AG4533" s="1115"/>
      <c r="AH4533" s="1115"/>
      <c r="AI4533" s="1115"/>
      <c r="AJ4533" s="1117"/>
      <c r="AK4533" s="1118"/>
      <c r="AL4533" s="1115"/>
      <c r="AM4533" s="1115"/>
      <c r="AN4533" s="1115"/>
      <c r="AO4533" s="1115"/>
      <c r="AP4533" s="1115"/>
      <c r="AQ4533" s="1115"/>
      <c r="AR4533" s="1115"/>
      <c r="AS4533" s="1117"/>
      <c r="AT4533" s="1075"/>
      <c r="AU4533" s="1193"/>
      <c r="AV4533" s="330"/>
      <c r="AW4533" s="331"/>
      <c r="AX4533" s="331"/>
      <c r="AY4533" s="331"/>
      <c r="AZ4533" s="331"/>
      <c r="BA4533" s="331"/>
      <c r="BB4533" s="331"/>
      <c r="BC4533" s="331"/>
      <c r="BD4533" s="331"/>
      <c r="BE4533" s="333"/>
      <c r="BF4533" s="330"/>
      <c r="BG4533" s="333"/>
      <c r="BH4533" s="1119"/>
      <c r="BI4533" s="319"/>
      <c r="BJ4533" s="319"/>
      <c r="BK4533" s="319"/>
      <c r="BL4533" s="319"/>
      <c r="BM4533" s="319"/>
      <c r="BN4533" s="319"/>
      <c r="BO4533" s="319"/>
      <c r="BP4533" s="953"/>
      <c r="BQ4533" s="319"/>
      <c r="BR4533" s="319"/>
      <c r="BS4533" s="330"/>
      <c r="BT4533" s="331"/>
      <c r="BU4533" s="920"/>
      <c r="BV4533" s="903"/>
      <c r="BW4533" s="908"/>
      <c r="BX4533" s="908"/>
      <c r="BY4533" s="331"/>
      <c r="BZ4533" s="331"/>
      <c r="CA4533" s="462"/>
      <c r="CB4533" s="319"/>
      <c r="CC4533" s="319"/>
      <c r="CD4533" s="319"/>
      <c r="CE4533" s="319"/>
      <c r="CF4533" s="319"/>
      <c r="CG4533" s="319"/>
      <c r="CH4533" s="318"/>
      <c r="CI4533" s="319"/>
      <c r="CJ4533" s="319"/>
      <c r="CK4533" s="342"/>
      <c r="CL4533" s="333"/>
      <c r="CM4533" s="1079"/>
      <c r="CN4533" s="1005"/>
      <c r="CO4533" s="1005"/>
      <c r="CP4533" s="1005"/>
    </row>
    <row r="4534">
      <c r="A4534" s="1257"/>
      <c r="B4534" s="1113"/>
      <c r="C4534" s="1107"/>
      <c r="D4534" s="103"/>
      <c r="E4534" s="1137"/>
      <c r="F4534" s="112"/>
      <c r="G4534" s="1110"/>
      <c r="H4534" s="1138"/>
      <c r="I4534" s="1138"/>
      <c r="J4534" s="1139"/>
      <c r="K4534" s="1111"/>
      <c r="L4534" s="1112"/>
      <c r="M4534" s="1113"/>
      <c r="N4534" s="110"/>
      <c r="O4534" s="1140"/>
      <c r="P4534" s="1115"/>
      <c r="Q4534" s="1116"/>
      <c r="R4534" s="1141"/>
      <c r="S4534" s="1113"/>
      <c r="T4534" s="1143"/>
      <c r="U4534" s="1108"/>
      <c r="V4534" s="1108"/>
      <c r="W4534" s="1108"/>
      <c r="X4534" s="1108"/>
      <c r="Y4534" s="1108"/>
      <c r="Z4534" s="1114"/>
      <c r="AA4534" s="1114"/>
      <c r="AB4534" s="1114"/>
      <c r="AC4534" s="1117"/>
      <c r="AD4534" s="1115"/>
      <c r="AE4534" s="1115"/>
      <c r="AF4534" s="1115"/>
      <c r="AG4534" s="1115"/>
      <c r="AH4534" s="1115"/>
      <c r="AI4534" s="1115"/>
      <c r="AJ4534" s="1117"/>
      <c r="AK4534" s="1118"/>
      <c r="AL4534" s="1115"/>
      <c r="AM4534" s="1115"/>
      <c r="AN4534" s="1115"/>
      <c r="AO4534" s="1115"/>
      <c r="AP4534" s="1115"/>
      <c r="AQ4534" s="1115"/>
      <c r="AR4534" s="1115"/>
      <c r="AS4534" s="1117"/>
      <c r="AT4534" s="1075"/>
      <c r="AU4534" s="1193"/>
      <c r="AV4534" s="330"/>
      <c r="AW4534" s="331"/>
      <c r="AX4534" s="331"/>
      <c r="AY4534" s="331"/>
      <c r="AZ4534" s="331"/>
      <c r="BA4534" s="331"/>
      <c r="BB4534" s="331"/>
      <c r="BC4534" s="331"/>
      <c r="BD4534" s="331"/>
      <c r="BE4534" s="333"/>
      <c r="BF4534" s="330"/>
      <c r="BG4534" s="333"/>
      <c r="BH4534" s="1119"/>
      <c r="BI4534" s="319"/>
      <c r="BJ4534" s="319"/>
      <c r="BK4534" s="319"/>
      <c r="BL4534" s="319"/>
      <c r="BM4534" s="319"/>
      <c r="BN4534" s="319"/>
      <c r="BO4534" s="319"/>
      <c r="BP4534" s="953"/>
      <c r="BQ4534" s="319"/>
      <c r="BR4534" s="319"/>
      <c r="BS4534" s="330"/>
      <c r="BT4534" s="331"/>
      <c r="BU4534" s="920"/>
      <c r="BV4534" s="903"/>
      <c r="BW4534" s="908"/>
      <c r="BX4534" s="908"/>
      <c r="BY4534" s="331"/>
      <c r="BZ4534" s="331"/>
      <c r="CA4534" s="462"/>
      <c r="CB4534" s="319"/>
      <c r="CC4534" s="319"/>
      <c r="CD4534" s="319"/>
      <c r="CE4534" s="319"/>
      <c r="CF4534" s="319"/>
      <c r="CG4534" s="319"/>
      <c r="CH4534" s="318"/>
      <c r="CI4534" s="319"/>
      <c r="CJ4534" s="319"/>
      <c r="CK4534" s="342"/>
      <c r="CL4534" s="333"/>
      <c r="CM4534" s="1079"/>
      <c r="CN4534" s="1005"/>
      <c r="CO4534" s="1005"/>
      <c r="CP4534" s="1005"/>
    </row>
    <row r="4535">
      <c r="A4535" s="1257"/>
      <c r="B4535" s="1113"/>
      <c r="C4535" s="1107"/>
      <c r="D4535" s="103"/>
      <c r="E4535" s="1137"/>
      <c r="F4535" s="112"/>
      <c r="G4535" s="1110"/>
      <c r="H4535" s="1138"/>
      <c r="I4535" s="1138"/>
      <c r="J4535" s="1139"/>
      <c r="K4535" s="1111"/>
      <c r="L4535" s="1112"/>
      <c r="M4535" s="1113"/>
      <c r="N4535" s="110"/>
      <c r="O4535" s="1140"/>
      <c r="P4535" s="1115"/>
      <c r="Q4535" s="1116"/>
      <c r="R4535" s="1141"/>
      <c r="S4535" s="1113"/>
      <c r="T4535" s="1143"/>
      <c r="U4535" s="1108"/>
      <c r="V4535" s="1108"/>
      <c r="W4535" s="1108"/>
      <c r="X4535" s="1108"/>
      <c r="Y4535" s="1108"/>
      <c r="Z4535" s="1114"/>
      <c r="AA4535" s="1114"/>
      <c r="AB4535" s="1114"/>
      <c r="AC4535" s="1117"/>
      <c r="AD4535" s="1115"/>
      <c r="AE4535" s="1115"/>
      <c r="AF4535" s="1115"/>
      <c r="AG4535" s="1115"/>
      <c r="AH4535" s="1115"/>
      <c r="AI4535" s="1115"/>
      <c r="AJ4535" s="1117"/>
      <c r="AK4535" s="1118"/>
      <c r="AL4535" s="1115"/>
      <c r="AM4535" s="1115"/>
      <c r="AN4535" s="1115"/>
      <c r="AO4535" s="1115"/>
      <c r="AP4535" s="1115"/>
      <c r="AQ4535" s="1115"/>
      <c r="AR4535" s="1115"/>
      <c r="AS4535" s="1117"/>
      <c r="AT4535" s="1075"/>
      <c r="AU4535" s="1193"/>
      <c r="AV4535" s="330"/>
      <c r="AW4535" s="331"/>
      <c r="AX4535" s="331"/>
      <c r="AY4535" s="331"/>
      <c r="AZ4535" s="331"/>
      <c r="BA4535" s="331"/>
      <c r="BB4535" s="331"/>
      <c r="BC4535" s="331"/>
      <c r="BD4535" s="331"/>
      <c r="BE4535" s="333"/>
      <c r="BF4535" s="330"/>
      <c r="BG4535" s="333"/>
      <c r="BH4535" s="1119"/>
      <c r="BI4535" s="319"/>
      <c r="BJ4535" s="319"/>
      <c r="BK4535" s="319"/>
      <c r="BL4535" s="319"/>
      <c r="BM4535" s="319"/>
      <c r="BN4535" s="319"/>
      <c r="BO4535" s="319"/>
      <c r="BP4535" s="953"/>
      <c r="BQ4535" s="319"/>
      <c r="BR4535" s="319"/>
      <c r="BS4535" s="330"/>
      <c r="BT4535" s="331"/>
      <c r="BU4535" s="920"/>
      <c r="BV4535" s="903"/>
      <c r="BW4535" s="908"/>
      <c r="BX4535" s="908"/>
      <c r="BY4535" s="331"/>
      <c r="BZ4535" s="331"/>
      <c r="CA4535" s="462"/>
      <c r="CB4535" s="319"/>
      <c r="CC4535" s="319"/>
      <c r="CD4535" s="319"/>
      <c r="CE4535" s="319"/>
      <c r="CF4535" s="319"/>
      <c r="CG4535" s="319"/>
      <c r="CH4535" s="318"/>
      <c r="CI4535" s="319"/>
      <c r="CJ4535" s="319"/>
      <c r="CK4535" s="342"/>
      <c r="CL4535" s="333"/>
      <c r="CM4535" s="1079"/>
      <c r="CN4535" s="1005"/>
      <c r="CO4535" s="1005"/>
      <c r="CP4535" s="1005"/>
    </row>
    <row r="4536">
      <c r="A4536" s="1257"/>
      <c r="B4536" s="1113"/>
      <c r="C4536" s="1107"/>
      <c r="D4536" s="103"/>
      <c r="E4536" s="1137"/>
      <c r="F4536" s="112"/>
      <c r="G4536" s="1110"/>
      <c r="H4536" s="1138"/>
      <c r="I4536" s="1138"/>
      <c r="J4536" s="1139"/>
      <c r="K4536" s="1111"/>
      <c r="L4536" s="1112"/>
      <c r="M4536" s="1113"/>
      <c r="N4536" s="110"/>
      <c r="O4536" s="1140"/>
      <c r="P4536" s="1115"/>
      <c r="Q4536" s="1116"/>
      <c r="R4536" s="1141"/>
      <c r="S4536" s="1113"/>
      <c r="T4536" s="1143"/>
      <c r="U4536" s="1108"/>
      <c r="V4536" s="1108"/>
      <c r="W4536" s="1108"/>
      <c r="X4536" s="1108"/>
      <c r="Y4536" s="1108"/>
      <c r="Z4536" s="1114"/>
      <c r="AA4536" s="1114"/>
      <c r="AB4536" s="1114"/>
      <c r="AC4536" s="1117"/>
      <c r="AD4536" s="1115"/>
      <c r="AE4536" s="1115"/>
      <c r="AF4536" s="1115"/>
      <c r="AG4536" s="1115"/>
      <c r="AH4536" s="1115"/>
      <c r="AI4536" s="1115"/>
      <c r="AJ4536" s="1117"/>
      <c r="AK4536" s="1118"/>
      <c r="AL4536" s="1115"/>
      <c r="AM4536" s="1115"/>
      <c r="AN4536" s="1115"/>
      <c r="AO4536" s="1115"/>
      <c r="AP4536" s="1115"/>
      <c r="AQ4536" s="1115"/>
      <c r="AR4536" s="1115"/>
      <c r="AS4536" s="1117"/>
      <c r="AT4536" s="1075"/>
      <c r="AU4536" s="1193"/>
      <c r="AV4536" s="330"/>
      <c r="AW4536" s="331"/>
      <c r="AX4536" s="331"/>
      <c r="AY4536" s="331"/>
      <c r="AZ4536" s="331"/>
      <c r="BA4536" s="331"/>
      <c r="BB4536" s="331"/>
      <c r="BC4536" s="331"/>
      <c r="BD4536" s="331"/>
      <c r="BE4536" s="333"/>
      <c r="BF4536" s="330"/>
      <c r="BG4536" s="333"/>
      <c r="BH4536" s="1119"/>
      <c r="BI4536" s="319"/>
      <c r="BJ4536" s="319"/>
      <c r="BK4536" s="319"/>
      <c r="BL4536" s="319"/>
      <c r="BM4536" s="319"/>
      <c r="BN4536" s="319"/>
      <c r="BO4536" s="319"/>
      <c r="BP4536" s="953"/>
      <c r="BQ4536" s="319"/>
      <c r="BR4536" s="319"/>
      <c r="BS4536" s="330"/>
      <c r="BT4536" s="331"/>
      <c r="BU4536" s="920"/>
      <c r="BV4536" s="903"/>
      <c r="BW4536" s="908"/>
      <c r="BX4536" s="908"/>
      <c r="BY4536" s="331"/>
      <c r="BZ4536" s="331"/>
      <c r="CA4536" s="462"/>
      <c r="CB4536" s="319"/>
      <c r="CC4536" s="319"/>
      <c r="CD4536" s="319"/>
      <c r="CE4536" s="319"/>
      <c r="CF4536" s="319"/>
      <c r="CG4536" s="319"/>
      <c r="CH4536" s="318"/>
      <c r="CI4536" s="319"/>
      <c r="CJ4536" s="319"/>
      <c r="CK4536" s="342"/>
      <c r="CL4536" s="333"/>
      <c r="CM4536" s="1079"/>
      <c r="CN4536" s="1005"/>
      <c r="CO4536" s="1005"/>
      <c r="CP4536" s="1005"/>
    </row>
    <row r="4537">
      <c r="A4537" s="1257"/>
      <c r="B4537" s="1113"/>
      <c r="C4537" s="1107"/>
      <c r="D4537" s="103"/>
      <c r="E4537" s="1137"/>
      <c r="F4537" s="112"/>
      <c r="G4537" s="1110"/>
      <c r="H4537" s="1138"/>
      <c r="I4537" s="1138"/>
      <c r="J4537" s="1139"/>
      <c r="K4537" s="1111"/>
      <c r="L4537" s="1112"/>
      <c r="M4537" s="1113"/>
      <c r="N4537" s="110"/>
      <c r="O4537" s="1140"/>
      <c r="P4537" s="1115"/>
      <c r="Q4537" s="1116"/>
      <c r="R4537" s="1141"/>
      <c r="S4537" s="1113"/>
      <c r="T4537" s="1143"/>
      <c r="U4537" s="1108"/>
      <c r="V4537" s="1108"/>
      <c r="W4537" s="1108"/>
      <c r="X4537" s="1108"/>
      <c r="Y4537" s="1108"/>
      <c r="Z4537" s="1114"/>
      <c r="AA4537" s="1114"/>
      <c r="AB4537" s="1114"/>
      <c r="AC4537" s="1117"/>
      <c r="AD4537" s="1115"/>
      <c r="AE4537" s="1115"/>
      <c r="AF4537" s="1115"/>
      <c r="AG4537" s="1115"/>
      <c r="AH4537" s="1115"/>
      <c r="AI4537" s="1115"/>
      <c r="AJ4537" s="1117"/>
      <c r="AK4537" s="1118"/>
      <c r="AL4537" s="1115"/>
      <c r="AM4537" s="1115"/>
      <c r="AN4537" s="1115"/>
      <c r="AO4537" s="1115"/>
      <c r="AP4537" s="1115"/>
      <c r="AQ4537" s="1115"/>
      <c r="AR4537" s="1115"/>
      <c r="AS4537" s="1117"/>
      <c r="AT4537" s="1075"/>
      <c r="AU4537" s="1193"/>
      <c r="AV4537" s="330"/>
      <c r="AW4537" s="331"/>
      <c r="AX4537" s="331"/>
      <c r="AY4537" s="331"/>
      <c r="AZ4537" s="331"/>
      <c r="BA4537" s="331"/>
      <c r="BB4537" s="331"/>
      <c r="BC4537" s="331"/>
      <c r="BD4537" s="331"/>
      <c r="BE4537" s="333"/>
      <c r="BF4537" s="330"/>
      <c r="BG4537" s="333"/>
      <c r="BH4537" s="1119"/>
      <c r="BI4537" s="319"/>
      <c r="BJ4537" s="319"/>
      <c r="BK4537" s="319"/>
      <c r="BL4537" s="319"/>
      <c r="BM4537" s="319"/>
      <c r="BN4537" s="319"/>
      <c r="BO4537" s="319"/>
      <c r="BP4537" s="953"/>
      <c r="BQ4537" s="319"/>
      <c r="BR4537" s="319"/>
      <c r="BS4537" s="330"/>
      <c r="BT4537" s="331"/>
      <c r="BU4537" s="920"/>
      <c r="BV4537" s="903"/>
      <c r="BW4537" s="908"/>
      <c r="BX4537" s="908"/>
      <c r="BY4537" s="331"/>
      <c r="BZ4537" s="331"/>
      <c r="CA4537" s="462"/>
      <c r="CB4537" s="319"/>
      <c r="CC4537" s="319"/>
      <c r="CD4537" s="319"/>
      <c r="CE4537" s="319"/>
      <c r="CF4537" s="319"/>
      <c r="CG4537" s="319"/>
      <c r="CH4537" s="318"/>
      <c r="CI4537" s="319"/>
      <c r="CJ4537" s="319"/>
      <c r="CK4537" s="342"/>
      <c r="CL4537" s="333"/>
      <c r="CM4537" s="1079"/>
      <c r="CN4537" s="1005"/>
      <c r="CO4537" s="1005"/>
      <c r="CP4537" s="1005"/>
    </row>
    <row r="4538">
      <c r="A4538" s="1257"/>
      <c r="B4538" s="1113"/>
      <c r="C4538" s="1107"/>
      <c r="D4538" s="103"/>
      <c r="E4538" s="1137"/>
      <c r="F4538" s="112"/>
      <c r="G4538" s="1110"/>
      <c r="H4538" s="1138"/>
      <c r="I4538" s="1138"/>
      <c r="J4538" s="1139"/>
      <c r="K4538" s="1111"/>
      <c r="L4538" s="1112"/>
      <c r="M4538" s="1113"/>
      <c r="N4538" s="110"/>
      <c r="O4538" s="1140"/>
      <c r="P4538" s="1115"/>
      <c r="Q4538" s="1116"/>
      <c r="R4538" s="1141"/>
      <c r="S4538" s="1113"/>
      <c r="T4538" s="1143"/>
      <c r="U4538" s="1108"/>
      <c r="V4538" s="1108"/>
      <c r="W4538" s="1108"/>
      <c r="X4538" s="1108"/>
      <c r="Y4538" s="1108"/>
      <c r="Z4538" s="1114"/>
      <c r="AA4538" s="1114"/>
      <c r="AB4538" s="1114"/>
      <c r="AC4538" s="1117"/>
      <c r="AD4538" s="1115"/>
      <c r="AE4538" s="1115"/>
      <c r="AF4538" s="1115"/>
      <c r="AG4538" s="1115"/>
      <c r="AH4538" s="1115"/>
      <c r="AI4538" s="1115"/>
      <c r="AJ4538" s="1117"/>
      <c r="AK4538" s="1118"/>
      <c r="AL4538" s="1115"/>
      <c r="AM4538" s="1115"/>
      <c r="AN4538" s="1115"/>
      <c r="AO4538" s="1115"/>
      <c r="AP4538" s="1115"/>
      <c r="AQ4538" s="1115"/>
      <c r="AR4538" s="1115"/>
      <c r="AS4538" s="1117"/>
      <c r="AT4538" s="1075"/>
      <c r="AU4538" s="1193"/>
      <c r="AV4538" s="330"/>
      <c r="AW4538" s="331"/>
      <c r="AX4538" s="331"/>
      <c r="AY4538" s="331"/>
      <c r="AZ4538" s="331"/>
      <c r="BA4538" s="331"/>
      <c r="BB4538" s="331"/>
      <c r="BC4538" s="331"/>
      <c r="BD4538" s="331"/>
      <c r="BE4538" s="333"/>
      <c r="BF4538" s="330"/>
      <c r="BG4538" s="333"/>
      <c r="BH4538" s="1119"/>
      <c r="BI4538" s="319"/>
      <c r="BJ4538" s="319"/>
      <c r="BK4538" s="319"/>
      <c r="BL4538" s="319"/>
      <c r="BM4538" s="319"/>
      <c r="BN4538" s="319"/>
      <c r="BO4538" s="319"/>
      <c r="BP4538" s="953"/>
      <c r="BQ4538" s="319"/>
      <c r="BR4538" s="319"/>
      <c r="BS4538" s="330"/>
      <c r="BT4538" s="331"/>
      <c r="BU4538" s="920"/>
      <c r="BV4538" s="903"/>
      <c r="BW4538" s="908"/>
      <c r="BX4538" s="908"/>
      <c r="BY4538" s="331"/>
      <c r="BZ4538" s="331"/>
      <c r="CA4538" s="462"/>
      <c r="CB4538" s="319"/>
      <c r="CC4538" s="319"/>
      <c r="CD4538" s="319"/>
      <c r="CE4538" s="319"/>
      <c r="CF4538" s="319"/>
      <c r="CG4538" s="319"/>
      <c r="CH4538" s="318"/>
      <c r="CI4538" s="319"/>
      <c r="CJ4538" s="319"/>
      <c r="CK4538" s="342"/>
      <c r="CL4538" s="333"/>
      <c r="CM4538" s="1079"/>
      <c r="CN4538" s="1005"/>
      <c r="CO4538" s="1005"/>
      <c r="CP4538" s="1005"/>
    </row>
    <row r="4539">
      <c r="A4539" s="1257"/>
      <c r="B4539" s="1113"/>
      <c r="C4539" s="1107"/>
      <c r="D4539" s="103"/>
      <c r="E4539" s="1137"/>
      <c r="F4539" s="112"/>
      <c r="G4539" s="1110"/>
      <c r="H4539" s="1138"/>
      <c r="I4539" s="1138"/>
      <c r="J4539" s="1139"/>
      <c r="K4539" s="1111"/>
      <c r="L4539" s="1112"/>
      <c r="M4539" s="1113"/>
      <c r="N4539" s="110"/>
      <c r="O4539" s="1140"/>
      <c r="P4539" s="1115"/>
      <c r="Q4539" s="1116"/>
      <c r="R4539" s="1141"/>
      <c r="S4539" s="1113"/>
      <c r="T4539" s="1143"/>
      <c r="U4539" s="1108"/>
      <c r="V4539" s="1108"/>
      <c r="W4539" s="1108"/>
      <c r="X4539" s="1108"/>
      <c r="Y4539" s="1108"/>
      <c r="Z4539" s="1114"/>
      <c r="AA4539" s="1114"/>
      <c r="AB4539" s="1114"/>
      <c r="AC4539" s="1117"/>
      <c r="AD4539" s="1115"/>
      <c r="AE4539" s="1115"/>
      <c r="AF4539" s="1115"/>
      <c r="AG4539" s="1115"/>
      <c r="AH4539" s="1115"/>
      <c r="AI4539" s="1115"/>
      <c r="AJ4539" s="1117"/>
      <c r="AK4539" s="1118"/>
      <c r="AL4539" s="1115"/>
      <c r="AM4539" s="1115"/>
      <c r="AN4539" s="1115"/>
      <c r="AO4539" s="1115"/>
      <c r="AP4539" s="1115"/>
      <c r="AQ4539" s="1115"/>
      <c r="AR4539" s="1115"/>
      <c r="AS4539" s="1117"/>
      <c r="AT4539" s="1075"/>
      <c r="AU4539" s="1193"/>
      <c r="AV4539" s="330"/>
      <c r="AW4539" s="331"/>
      <c r="AX4539" s="331"/>
      <c r="AY4539" s="331"/>
      <c r="AZ4539" s="331"/>
      <c r="BA4539" s="331"/>
      <c r="BB4539" s="331"/>
      <c r="BC4539" s="331"/>
      <c r="BD4539" s="331"/>
      <c r="BE4539" s="333"/>
      <c r="BF4539" s="330"/>
      <c r="BG4539" s="333"/>
      <c r="BH4539" s="1119"/>
      <c r="BI4539" s="319"/>
      <c r="BJ4539" s="319"/>
      <c r="BK4539" s="319"/>
      <c r="BL4539" s="319"/>
      <c r="BM4539" s="319"/>
      <c r="BN4539" s="319"/>
      <c r="BO4539" s="319"/>
      <c r="BP4539" s="953"/>
      <c r="BQ4539" s="319"/>
      <c r="BR4539" s="319"/>
      <c r="BS4539" s="330"/>
      <c r="BT4539" s="331"/>
      <c r="BU4539" s="920"/>
      <c r="BV4539" s="903"/>
      <c r="BW4539" s="908"/>
      <c r="BX4539" s="908"/>
      <c r="BY4539" s="331"/>
      <c r="BZ4539" s="331"/>
      <c r="CA4539" s="462"/>
      <c r="CB4539" s="319"/>
      <c r="CC4539" s="319"/>
      <c r="CD4539" s="319"/>
      <c r="CE4539" s="319"/>
      <c r="CF4539" s="319"/>
      <c r="CG4539" s="319"/>
      <c r="CH4539" s="318"/>
      <c r="CI4539" s="319"/>
      <c r="CJ4539" s="319"/>
      <c r="CK4539" s="342"/>
      <c r="CL4539" s="333"/>
      <c r="CM4539" s="1079"/>
      <c r="CN4539" s="1005"/>
      <c r="CO4539" s="1005"/>
      <c r="CP4539" s="1005"/>
    </row>
    <row r="4540">
      <c r="A4540" s="1257"/>
      <c r="B4540" s="1113"/>
      <c r="C4540" s="1107"/>
      <c r="D4540" s="103"/>
      <c r="E4540" s="1137"/>
      <c r="F4540" s="112"/>
      <c r="G4540" s="1110"/>
      <c r="H4540" s="1138"/>
      <c r="I4540" s="1138"/>
      <c r="J4540" s="1139"/>
      <c r="K4540" s="1111"/>
      <c r="L4540" s="1112"/>
      <c r="M4540" s="1113"/>
      <c r="N4540" s="110"/>
      <c r="O4540" s="1140"/>
      <c r="P4540" s="1115"/>
      <c r="Q4540" s="1116"/>
      <c r="R4540" s="1141"/>
      <c r="S4540" s="1113"/>
      <c r="T4540" s="1143"/>
      <c r="U4540" s="1108"/>
      <c r="V4540" s="1108"/>
      <c r="W4540" s="1108"/>
      <c r="X4540" s="1108"/>
      <c r="Y4540" s="1108"/>
      <c r="Z4540" s="1114"/>
      <c r="AA4540" s="1114"/>
      <c r="AB4540" s="1114"/>
      <c r="AC4540" s="1117"/>
      <c r="AD4540" s="1115"/>
      <c r="AE4540" s="1115"/>
      <c r="AF4540" s="1115"/>
      <c r="AG4540" s="1115"/>
      <c r="AH4540" s="1115"/>
      <c r="AI4540" s="1115"/>
      <c r="AJ4540" s="1117"/>
      <c r="AK4540" s="1118"/>
      <c r="AL4540" s="1115"/>
      <c r="AM4540" s="1115"/>
      <c r="AN4540" s="1115"/>
      <c r="AO4540" s="1115"/>
      <c r="AP4540" s="1115"/>
      <c r="AQ4540" s="1115"/>
      <c r="AR4540" s="1115"/>
      <c r="AS4540" s="1117"/>
      <c r="AT4540" s="1075"/>
      <c r="AU4540" s="1193"/>
      <c r="AV4540" s="330"/>
      <c r="AW4540" s="331"/>
      <c r="AX4540" s="331"/>
      <c r="AY4540" s="331"/>
      <c r="AZ4540" s="331"/>
      <c r="BA4540" s="331"/>
      <c r="BB4540" s="331"/>
      <c r="BC4540" s="331"/>
      <c r="BD4540" s="331"/>
      <c r="BE4540" s="333"/>
      <c r="BF4540" s="330"/>
      <c r="BG4540" s="333"/>
      <c r="BH4540" s="1119"/>
      <c r="BI4540" s="319"/>
      <c r="BJ4540" s="319"/>
      <c r="BK4540" s="319"/>
      <c r="BL4540" s="319"/>
      <c r="BM4540" s="319"/>
      <c r="BN4540" s="319"/>
      <c r="BO4540" s="319"/>
      <c r="BP4540" s="953"/>
      <c r="BQ4540" s="319"/>
      <c r="BR4540" s="319"/>
      <c r="BS4540" s="330"/>
      <c r="BT4540" s="331"/>
      <c r="BU4540" s="920"/>
      <c r="BV4540" s="903"/>
      <c r="BW4540" s="908"/>
      <c r="BX4540" s="908"/>
      <c r="BY4540" s="331"/>
      <c r="BZ4540" s="331"/>
      <c r="CA4540" s="462"/>
      <c r="CB4540" s="319"/>
      <c r="CC4540" s="319"/>
      <c r="CD4540" s="319"/>
      <c r="CE4540" s="319"/>
      <c r="CF4540" s="319"/>
      <c r="CG4540" s="319"/>
      <c r="CH4540" s="318"/>
      <c r="CI4540" s="319"/>
      <c r="CJ4540" s="319"/>
      <c r="CK4540" s="342"/>
      <c r="CL4540" s="333"/>
      <c r="CM4540" s="1079"/>
      <c r="CN4540" s="1005"/>
      <c r="CO4540" s="1005"/>
      <c r="CP4540" s="1005"/>
    </row>
    <row r="4541">
      <c r="A4541" s="1257"/>
      <c r="B4541" s="1113"/>
      <c r="C4541" s="1107"/>
      <c r="D4541" s="103"/>
      <c r="E4541" s="1137"/>
      <c r="F4541" s="112"/>
      <c r="G4541" s="1110"/>
      <c r="H4541" s="1138"/>
      <c r="I4541" s="1138"/>
      <c r="J4541" s="1139"/>
      <c r="K4541" s="1111"/>
      <c r="L4541" s="1112"/>
      <c r="M4541" s="1113"/>
      <c r="N4541" s="110"/>
      <c r="O4541" s="1140"/>
      <c r="P4541" s="1115"/>
      <c r="Q4541" s="1116"/>
      <c r="R4541" s="1141"/>
      <c r="S4541" s="1113"/>
      <c r="T4541" s="1143"/>
      <c r="U4541" s="1108"/>
      <c r="V4541" s="1108"/>
      <c r="W4541" s="1108"/>
      <c r="X4541" s="1108"/>
      <c r="Y4541" s="1108"/>
      <c r="Z4541" s="1114"/>
      <c r="AA4541" s="1114"/>
      <c r="AB4541" s="1114"/>
      <c r="AC4541" s="1117"/>
      <c r="AD4541" s="1115"/>
      <c r="AE4541" s="1115"/>
      <c r="AF4541" s="1115"/>
      <c r="AG4541" s="1115"/>
      <c r="AH4541" s="1115"/>
      <c r="AI4541" s="1115"/>
      <c r="AJ4541" s="1117"/>
      <c r="AK4541" s="1118"/>
      <c r="AL4541" s="1115"/>
      <c r="AM4541" s="1115"/>
      <c r="AN4541" s="1115"/>
      <c r="AO4541" s="1115"/>
      <c r="AP4541" s="1115"/>
      <c r="AQ4541" s="1115"/>
      <c r="AR4541" s="1115"/>
      <c r="AS4541" s="1117"/>
      <c r="AT4541" s="1075"/>
      <c r="AU4541" s="1193"/>
      <c r="AV4541" s="330"/>
      <c r="AW4541" s="331"/>
      <c r="AX4541" s="331"/>
      <c r="AY4541" s="331"/>
      <c r="AZ4541" s="331"/>
      <c r="BA4541" s="331"/>
      <c r="BB4541" s="331"/>
      <c r="BC4541" s="331"/>
      <c r="BD4541" s="331"/>
      <c r="BE4541" s="333"/>
      <c r="BF4541" s="330"/>
      <c r="BG4541" s="333"/>
      <c r="BH4541" s="1119"/>
      <c r="BI4541" s="319"/>
      <c r="BJ4541" s="319"/>
      <c r="BK4541" s="319"/>
      <c r="BL4541" s="319"/>
      <c r="BM4541" s="319"/>
      <c r="BN4541" s="319"/>
      <c r="BO4541" s="319"/>
      <c r="BP4541" s="953"/>
      <c r="BQ4541" s="319"/>
      <c r="BR4541" s="319"/>
      <c r="BS4541" s="330"/>
      <c r="BT4541" s="331"/>
      <c r="BU4541" s="920"/>
      <c r="BV4541" s="903"/>
      <c r="BW4541" s="908"/>
      <c r="BX4541" s="908"/>
      <c r="BY4541" s="331"/>
      <c r="BZ4541" s="331"/>
      <c r="CA4541" s="462"/>
      <c r="CB4541" s="319"/>
      <c r="CC4541" s="319"/>
      <c r="CD4541" s="319"/>
      <c r="CE4541" s="319"/>
      <c r="CF4541" s="319"/>
      <c r="CG4541" s="319"/>
      <c r="CH4541" s="318"/>
      <c r="CI4541" s="319"/>
      <c r="CJ4541" s="319"/>
      <c r="CK4541" s="342"/>
      <c r="CL4541" s="333"/>
      <c r="CM4541" s="1079"/>
      <c r="CN4541" s="1005"/>
      <c r="CO4541" s="1005"/>
      <c r="CP4541" s="1005"/>
    </row>
    <row r="4542">
      <c r="A4542" s="1257"/>
      <c r="B4542" s="1113"/>
      <c r="C4542" s="1107"/>
      <c r="D4542" s="103"/>
      <c r="E4542" s="1137"/>
      <c r="F4542" s="112"/>
      <c r="G4542" s="1110"/>
      <c r="H4542" s="1138"/>
      <c r="I4542" s="1138"/>
      <c r="J4542" s="1139"/>
      <c r="K4542" s="1111"/>
      <c r="L4542" s="1112"/>
      <c r="M4542" s="1113"/>
      <c r="N4542" s="110"/>
      <c r="O4542" s="1140"/>
      <c r="P4542" s="1115"/>
      <c r="Q4542" s="1116"/>
      <c r="R4542" s="1141"/>
      <c r="S4542" s="1113"/>
      <c r="T4542" s="1143"/>
      <c r="U4542" s="1108"/>
      <c r="V4542" s="1108"/>
      <c r="W4542" s="1108"/>
      <c r="X4542" s="1108"/>
      <c r="Y4542" s="1108"/>
      <c r="Z4542" s="1114"/>
      <c r="AA4542" s="1114"/>
      <c r="AB4542" s="1114"/>
      <c r="AC4542" s="1117"/>
      <c r="AD4542" s="1115"/>
      <c r="AE4542" s="1115"/>
      <c r="AF4542" s="1115"/>
      <c r="AG4542" s="1115"/>
      <c r="AH4542" s="1115"/>
      <c r="AI4542" s="1115"/>
      <c r="AJ4542" s="1117"/>
      <c r="AK4542" s="1118"/>
      <c r="AL4542" s="1115"/>
      <c r="AM4542" s="1115"/>
      <c r="AN4542" s="1115"/>
      <c r="AO4542" s="1115"/>
      <c r="AP4542" s="1115"/>
      <c r="AQ4542" s="1115"/>
      <c r="AR4542" s="1115"/>
      <c r="AS4542" s="1117"/>
      <c r="AT4542" s="1075"/>
      <c r="AU4542" s="1193"/>
      <c r="AV4542" s="330"/>
      <c r="AW4542" s="331"/>
      <c r="AX4542" s="331"/>
      <c r="AY4542" s="331"/>
      <c r="AZ4542" s="331"/>
      <c r="BA4542" s="331"/>
      <c r="BB4542" s="331"/>
      <c r="BC4542" s="331"/>
      <c r="BD4542" s="331"/>
      <c r="BE4542" s="333"/>
      <c r="BF4542" s="330"/>
      <c r="BG4542" s="333"/>
      <c r="BH4542" s="1119"/>
      <c r="BI4542" s="319"/>
      <c r="BJ4542" s="319"/>
      <c r="BK4542" s="319"/>
      <c r="BL4542" s="319"/>
      <c r="BM4542" s="319"/>
      <c r="BN4542" s="319"/>
      <c r="BO4542" s="319"/>
      <c r="BP4542" s="953"/>
      <c r="BQ4542" s="319"/>
      <c r="BR4542" s="319"/>
      <c r="BS4542" s="330"/>
      <c r="BT4542" s="331"/>
      <c r="BU4542" s="920"/>
      <c r="BV4542" s="903"/>
      <c r="BW4542" s="908"/>
      <c r="BX4542" s="908"/>
      <c r="BY4542" s="331"/>
      <c r="BZ4542" s="331"/>
      <c r="CA4542" s="462"/>
      <c r="CB4542" s="319"/>
      <c r="CC4542" s="319"/>
      <c r="CD4542" s="319"/>
      <c r="CE4542" s="319"/>
      <c r="CF4542" s="319"/>
      <c r="CG4542" s="319"/>
      <c r="CH4542" s="318"/>
      <c r="CI4542" s="319"/>
      <c r="CJ4542" s="319"/>
      <c r="CK4542" s="342"/>
      <c r="CL4542" s="333"/>
      <c r="CM4542" s="1079"/>
      <c r="CN4542" s="1005"/>
      <c r="CO4542" s="1005"/>
      <c r="CP4542" s="1005"/>
    </row>
    <row r="4543">
      <c r="A4543" s="1257"/>
      <c r="B4543" s="1113"/>
      <c r="C4543" s="1107"/>
      <c r="D4543" s="103"/>
      <c r="E4543" s="1137"/>
      <c r="F4543" s="112"/>
      <c r="G4543" s="1110"/>
      <c r="H4543" s="1138"/>
      <c r="I4543" s="1138"/>
      <c r="J4543" s="1139"/>
      <c r="K4543" s="1111"/>
      <c r="L4543" s="1112"/>
      <c r="M4543" s="1113"/>
      <c r="N4543" s="110"/>
      <c r="O4543" s="1140"/>
      <c r="P4543" s="1115"/>
      <c r="Q4543" s="1116"/>
      <c r="R4543" s="1141"/>
      <c r="S4543" s="1113"/>
      <c r="T4543" s="1143"/>
      <c r="U4543" s="1108"/>
      <c r="V4543" s="1108"/>
      <c r="W4543" s="1108"/>
      <c r="X4543" s="1108"/>
      <c r="Y4543" s="1108"/>
      <c r="Z4543" s="1114"/>
      <c r="AA4543" s="1114"/>
      <c r="AB4543" s="1114"/>
      <c r="AC4543" s="1117"/>
      <c r="AD4543" s="1115"/>
      <c r="AE4543" s="1115"/>
      <c r="AF4543" s="1115"/>
      <c r="AG4543" s="1115"/>
      <c r="AH4543" s="1115"/>
      <c r="AI4543" s="1115"/>
      <c r="AJ4543" s="1117"/>
      <c r="AK4543" s="1118"/>
      <c r="AL4543" s="1115"/>
      <c r="AM4543" s="1115"/>
      <c r="AN4543" s="1115"/>
      <c r="AO4543" s="1115"/>
      <c r="AP4543" s="1115"/>
      <c r="AQ4543" s="1115"/>
      <c r="AR4543" s="1115"/>
      <c r="AS4543" s="1117"/>
      <c r="AT4543" s="1075"/>
      <c r="AU4543" s="1193"/>
      <c r="AV4543" s="330"/>
      <c r="AW4543" s="331"/>
      <c r="AX4543" s="331"/>
      <c r="AY4543" s="331"/>
      <c r="AZ4543" s="331"/>
      <c r="BA4543" s="331"/>
      <c r="BB4543" s="331"/>
      <c r="BC4543" s="331"/>
      <c r="BD4543" s="331"/>
      <c r="BE4543" s="333"/>
      <c r="BF4543" s="330"/>
      <c r="BG4543" s="333"/>
      <c r="BH4543" s="1119"/>
      <c r="BI4543" s="319"/>
      <c r="BJ4543" s="319"/>
      <c r="BK4543" s="319"/>
      <c r="BL4543" s="319"/>
      <c r="BM4543" s="319"/>
      <c r="BN4543" s="319"/>
      <c r="BO4543" s="319"/>
      <c r="BP4543" s="953"/>
      <c r="BQ4543" s="319"/>
      <c r="BR4543" s="319"/>
      <c r="BS4543" s="330"/>
      <c r="BT4543" s="331"/>
      <c r="BU4543" s="920"/>
      <c r="BV4543" s="903"/>
      <c r="BW4543" s="908"/>
      <c r="BX4543" s="908"/>
      <c r="BY4543" s="331"/>
      <c r="BZ4543" s="331"/>
      <c r="CA4543" s="462"/>
      <c r="CB4543" s="319"/>
      <c r="CC4543" s="319"/>
      <c r="CD4543" s="319"/>
      <c r="CE4543" s="319"/>
      <c r="CF4543" s="319"/>
      <c r="CG4543" s="319"/>
      <c r="CH4543" s="318"/>
      <c r="CI4543" s="319"/>
      <c r="CJ4543" s="319"/>
      <c r="CK4543" s="342"/>
      <c r="CL4543" s="333"/>
      <c r="CM4543" s="1079"/>
      <c r="CN4543" s="1005"/>
      <c r="CO4543" s="1005"/>
      <c r="CP4543" s="1005"/>
    </row>
    <row r="4544">
      <c r="A4544" s="1257"/>
      <c r="B4544" s="1113"/>
      <c r="C4544" s="1107"/>
      <c r="D4544" s="103"/>
      <c r="E4544" s="1137"/>
      <c r="F4544" s="112"/>
      <c r="G4544" s="1110"/>
      <c r="H4544" s="1138"/>
      <c r="I4544" s="1138"/>
      <c r="J4544" s="1139"/>
      <c r="K4544" s="1111"/>
      <c r="L4544" s="1112"/>
      <c r="M4544" s="1113"/>
      <c r="N4544" s="110"/>
      <c r="O4544" s="1140"/>
      <c r="P4544" s="1115"/>
      <c r="Q4544" s="1116"/>
      <c r="R4544" s="1141"/>
      <c r="S4544" s="1113"/>
      <c r="T4544" s="1143"/>
      <c r="U4544" s="1108"/>
      <c r="V4544" s="1108"/>
      <c r="W4544" s="1108"/>
      <c r="X4544" s="1108"/>
      <c r="Y4544" s="1108"/>
      <c r="Z4544" s="1114"/>
      <c r="AA4544" s="1114"/>
      <c r="AB4544" s="1114"/>
      <c r="AC4544" s="1117"/>
      <c r="AD4544" s="1115"/>
      <c r="AE4544" s="1115"/>
      <c r="AF4544" s="1115"/>
      <c r="AG4544" s="1115"/>
      <c r="AH4544" s="1115"/>
      <c r="AI4544" s="1115"/>
      <c r="AJ4544" s="1117"/>
      <c r="AK4544" s="1118"/>
      <c r="AL4544" s="1115"/>
      <c r="AM4544" s="1115"/>
      <c r="AN4544" s="1115"/>
      <c r="AO4544" s="1115"/>
      <c r="AP4544" s="1115"/>
      <c r="AQ4544" s="1115"/>
      <c r="AR4544" s="1115"/>
      <c r="AS4544" s="1117"/>
      <c r="AT4544" s="1075"/>
      <c r="AU4544" s="1193"/>
      <c r="AV4544" s="330"/>
      <c r="AW4544" s="331"/>
      <c r="AX4544" s="331"/>
      <c r="AY4544" s="331"/>
      <c r="AZ4544" s="331"/>
      <c r="BA4544" s="331"/>
      <c r="BB4544" s="331"/>
      <c r="BC4544" s="331"/>
      <c r="BD4544" s="331"/>
      <c r="BE4544" s="333"/>
      <c r="BF4544" s="330"/>
      <c r="BG4544" s="333"/>
      <c r="BH4544" s="1119"/>
      <c r="BI4544" s="319"/>
      <c r="BJ4544" s="319"/>
      <c r="BK4544" s="319"/>
      <c r="BL4544" s="319"/>
      <c r="BM4544" s="319"/>
      <c r="BN4544" s="319"/>
      <c r="BO4544" s="319"/>
      <c r="BP4544" s="953"/>
      <c r="BQ4544" s="319"/>
      <c r="BR4544" s="319"/>
      <c r="BS4544" s="330"/>
      <c r="BT4544" s="331"/>
      <c r="BU4544" s="920"/>
      <c r="BV4544" s="903"/>
      <c r="BW4544" s="908"/>
      <c r="BX4544" s="908"/>
      <c r="BY4544" s="331"/>
      <c r="BZ4544" s="331"/>
      <c r="CA4544" s="462"/>
      <c r="CB4544" s="319"/>
      <c r="CC4544" s="319"/>
      <c r="CD4544" s="319"/>
      <c r="CE4544" s="319"/>
      <c r="CF4544" s="319"/>
      <c r="CG4544" s="319"/>
      <c r="CH4544" s="318"/>
      <c r="CI4544" s="319"/>
      <c r="CJ4544" s="319"/>
      <c r="CK4544" s="342"/>
      <c r="CL4544" s="333"/>
      <c r="CM4544" s="1079"/>
      <c r="CN4544" s="1005"/>
      <c r="CO4544" s="1005"/>
      <c r="CP4544" s="1005"/>
    </row>
    <row r="4545">
      <c r="A4545" s="1257"/>
      <c r="B4545" s="1113"/>
      <c r="C4545" s="1107"/>
      <c r="D4545" s="103"/>
      <c r="E4545" s="1137"/>
      <c r="F4545" s="112"/>
      <c r="G4545" s="1110"/>
      <c r="H4545" s="1138"/>
      <c r="I4545" s="1138"/>
      <c r="J4545" s="1139"/>
      <c r="K4545" s="1111"/>
      <c r="L4545" s="1112"/>
      <c r="M4545" s="1113"/>
      <c r="N4545" s="110"/>
      <c r="O4545" s="1140"/>
      <c r="P4545" s="1115"/>
      <c r="Q4545" s="1116"/>
      <c r="R4545" s="1141"/>
      <c r="S4545" s="1113"/>
      <c r="T4545" s="1143"/>
      <c r="U4545" s="1108"/>
      <c r="V4545" s="1108"/>
      <c r="W4545" s="1108"/>
      <c r="X4545" s="1108"/>
      <c r="Y4545" s="1108"/>
      <c r="Z4545" s="1114"/>
      <c r="AA4545" s="1114"/>
      <c r="AB4545" s="1114"/>
      <c r="AC4545" s="1117"/>
      <c r="AD4545" s="1115"/>
      <c r="AE4545" s="1115"/>
      <c r="AF4545" s="1115"/>
      <c r="AG4545" s="1115"/>
      <c r="AH4545" s="1115"/>
      <c r="AI4545" s="1115"/>
      <c r="AJ4545" s="1117"/>
      <c r="AK4545" s="1118"/>
      <c r="AL4545" s="1115"/>
      <c r="AM4545" s="1115"/>
      <c r="AN4545" s="1115"/>
      <c r="AO4545" s="1115"/>
      <c r="AP4545" s="1115"/>
      <c r="AQ4545" s="1115"/>
      <c r="AR4545" s="1115"/>
      <c r="AS4545" s="1117"/>
      <c r="AT4545" s="1075"/>
      <c r="AU4545" s="1193"/>
      <c r="AV4545" s="330"/>
      <c r="AW4545" s="331"/>
      <c r="AX4545" s="331"/>
      <c r="AY4545" s="331"/>
      <c r="AZ4545" s="331"/>
      <c r="BA4545" s="331"/>
      <c r="BB4545" s="331"/>
      <c r="BC4545" s="331"/>
      <c r="BD4545" s="331"/>
      <c r="BE4545" s="333"/>
      <c r="BF4545" s="330"/>
      <c r="BG4545" s="333"/>
      <c r="BH4545" s="1119"/>
      <c r="BI4545" s="319"/>
      <c r="BJ4545" s="319"/>
      <c r="BK4545" s="319"/>
      <c r="BL4545" s="319"/>
      <c r="BM4545" s="319"/>
      <c r="BN4545" s="319"/>
      <c r="BO4545" s="319"/>
      <c r="BP4545" s="953"/>
      <c r="BQ4545" s="319"/>
      <c r="BR4545" s="319"/>
      <c r="BS4545" s="330"/>
      <c r="BT4545" s="331"/>
      <c r="BU4545" s="920"/>
      <c r="BV4545" s="903"/>
      <c r="BW4545" s="908"/>
      <c r="BX4545" s="908"/>
      <c r="BY4545" s="331"/>
      <c r="BZ4545" s="331"/>
      <c r="CA4545" s="462"/>
      <c r="CB4545" s="319"/>
      <c r="CC4545" s="319"/>
      <c r="CD4545" s="319"/>
      <c r="CE4545" s="319"/>
      <c r="CF4545" s="319"/>
      <c r="CG4545" s="319"/>
      <c r="CH4545" s="318"/>
      <c r="CI4545" s="319"/>
      <c r="CJ4545" s="319"/>
      <c r="CK4545" s="342"/>
      <c r="CL4545" s="333"/>
      <c r="CM4545" s="1079"/>
      <c r="CN4545" s="1005"/>
      <c r="CO4545" s="1005"/>
      <c r="CP4545" s="1005"/>
    </row>
    <row r="4546">
      <c r="A4546" s="1257"/>
      <c r="B4546" s="1113"/>
      <c r="C4546" s="1107"/>
      <c r="D4546" s="103"/>
      <c r="E4546" s="1137"/>
      <c r="F4546" s="112"/>
      <c r="G4546" s="1110"/>
      <c r="H4546" s="1138"/>
      <c r="I4546" s="1138"/>
      <c r="J4546" s="1139"/>
      <c r="K4546" s="1111"/>
      <c r="L4546" s="1112"/>
      <c r="M4546" s="1113"/>
      <c r="N4546" s="110"/>
      <c r="O4546" s="1140"/>
      <c r="P4546" s="1115"/>
      <c r="Q4546" s="1116"/>
      <c r="R4546" s="1141"/>
      <c r="S4546" s="1113"/>
      <c r="T4546" s="1143"/>
      <c r="U4546" s="1108"/>
      <c r="V4546" s="1108"/>
      <c r="W4546" s="1108"/>
      <c r="X4546" s="1108"/>
      <c r="Y4546" s="1108"/>
      <c r="Z4546" s="1114"/>
      <c r="AA4546" s="1114"/>
      <c r="AB4546" s="1114"/>
      <c r="AC4546" s="1117"/>
      <c r="AD4546" s="1115"/>
      <c r="AE4546" s="1115"/>
      <c r="AF4546" s="1115"/>
      <c r="AG4546" s="1115"/>
      <c r="AH4546" s="1115"/>
      <c r="AI4546" s="1115"/>
      <c r="AJ4546" s="1117"/>
      <c r="AK4546" s="1118"/>
      <c r="AL4546" s="1115"/>
      <c r="AM4546" s="1115"/>
      <c r="AN4546" s="1115"/>
      <c r="AO4546" s="1115"/>
      <c r="AP4546" s="1115"/>
      <c r="AQ4546" s="1115"/>
      <c r="AR4546" s="1115"/>
      <c r="AS4546" s="1117"/>
      <c r="AT4546" s="1075"/>
      <c r="AU4546" s="1193"/>
      <c r="AV4546" s="330"/>
      <c r="AW4546" s="331"/>
      <c r="AX4546" s="331"/>
      <c r="AY4546" s="331"/>
      <c r="AZ4546" s="331"/>
      <c r="BA4546" s="331"/>
      <c r="BB4546" s="331"/>
      <c r="BC4546" s="331"/>
      <c r="BD4546" s="331"/>
      <c r="BE4546" s="333"/>
      <c r="BF4546" s="330"/>
      <c r="BG4546" s="333"/>
      <c r="BH4546" s="1119"/>
      <c r="BI4546" s="319"/>
      <c r="BJ4546" s="319"/>
      <c r="BK4546" s="319"/>
      <c r="BL4546" s="319"/>
      <c r="BM4546" s="319"/>
      <c r="BN4546" s="319"/>
      <c r="BO4546" s="319"/>
      <c r="BP4546" s="953"/>
      <c r="BQ4546" s="319"/>
      <c r="BR4546" s="319"/>
      <c r="BS4546" s="330"/>
      <c r="BT4546" s="331"/>
      <c r="BU4546" s="920"/>
      <c r="BV4546" s="903"/>
      <c r="BW4546" s="908"/>
      <c r="BX4546" s="908"/>
      <c r="BY4546" s="331"/>
      <c r="BZ4546" s="331"/>
      <c r="CA4546" s="462"/>
      <c r="CB4546" s="319"/>
      <c r="CC4546" s="319"/>
      <c r="CD4546" s="319"/>
      <c r="CE4546" s="319"/>
      <c r="CF4546" s="319"/>
      <c r="CG4546" s="319"/>
      <c r="CH4546" s="318"/>
      <c r="CI4546" s="319"/>
      <c r="CJ4546" s="319"/>
      <c r="CK4546" s="342"/>
      <c r="CL4546" s="333"/>
      <c r="CM4546" s="1079"/>
      <c r="CN4546" s="1005"/>
      <c r="CO4546" s="1005"/>
      <c r="CP4546" s="1005"/>
    </row>
    <row r="4547">
      <c r="A4547" s="1257"/>
      <c r="B4547" s="1113"/>
      <c r="C4547" s="1107"/>
      <c r="D4547" s="103"/>
      <c r="E4547" s="1137"/>
      <c r="F4547" s="112"/>
      <c r="G4547" s="1110"/>
      <c r="H4547" s="1138"/>
      <c r="I4547" s="1138"/>
      <c r="J4547" s="1139"/>
      <c r="K4547" s="1111"/>
      <c r="L4547" s="1112"/>
      <c r="M4547" s="1113"/>
      <c r="N4547" s="110"/>
      <c r="O4547" s="1140"/>
      <c r="P4547" s="1115"/>
      <c r="Q4547" s="1116"/>
      <c r="R4547" s="1141"/>
      <c r="S4547" s="1113"/>
      <c r="T4547" s="1143"/>
      <c r="U4547" s="1108"/>
      <c r="V4547" s="1108"/>
      <c r="W4547" s="1108"/>
      <c r="X4547" s="1108"/>
      <c r="Y4547" s="1108"/>
      <c r="Z4547" s="1114"/>
      <c r="AA4547" s="1114"/>
      <c r="AB4547" s="1114"/>
      <c r="AC4547" s="1117"/>
      <c r="AD4547" s="1115"/>
      <c r="AE4547" s="1115"/>
      <c r="AF4547" s="1115"/>
      <c r="AG4547" s="1115"/>
      <c r="AH4547" s="1115"/>
      <c r="AI4547" s="1115"/>
      <c r="AJ4547" s="1117"/>
      <c r="AK4547" s="1118"/>
      <c r="AL4547" s="1115"/>
      <c r="AM4547" s="1115"/>
      <c r="AN4547" s="1115"/>
      <c r="AO4547" s="1115"/>
      <c r="AP4547" s="1115"/>
      <c r="AQ4547" s="1115"/>
      <c r="AR4547" s="1115"/>
      <c r="AS4547" s="1117"/>
      <c r="AT4547" s="1075"/>
      <c r="AU4547" s="1193"/>
      <c r="AV4547" s="330"/>
      <c r="AW4547" s="331"/>
      <c r="AX4547" s="331"/>
      <c r="AY4547" s="331"/>
      <c r="AZ4547" s="331"/>
      <c r="BA4547" s="331"/>
      <c r="BB4547" s="331"/>
      <c r="BC4547" s="331"/>
      <c r="BD4547" s="331"/>
      <c r="BE4547" s="333"/>
      <c r="BF4547" s="330"/>
      <c r="BG4547" s="333"/>
      <c r="BH4547" s="1119"/>
      <c r="BI4547" s="319"/>
      <c r="BJ4547" s="319"/>
      <c r="BK4547" s="319"/>
      <c r="BL4547" s="319"/>
      <c r="BM4547" s="319"/>
      <c r="BN4547" s="319"/>
      <c r="BO4547" s="319"/>
      <c r="BP4547" s="953"/>
      <c r="BQ4547" s="319"/>
      <c r="BR4547" s="319"/>
      <c r="BS4547" s="330"/>
      <c r="BT4547" s="331"/>
      <c r="BU4547" s="920"/>
      <c r="BV4547" s="903"/>
      <c r="BW4547" s="908"/>
      <c r="BX4547" s="908"/>
      <c r="BY4547" s="331"/>
      <c r="BZ4547" s="331"/>
      <c r="CA4547" s="462"/>
      <c r="CB4547" s="319"/>
      <c r="CC4547" s="319"/>
      <c r="CD4547" s="319"/>
      <c r="CE4547" s="319"/>
      <c r="CF4547" s="319"/>
      <c r="CG4547" s="319"/>
      <c r="CH4547" s="318"/>
      <c r="CI4547" s="319"/>
      <c r="CJ4547" s="319"/>
      <c r="CK4547" s="342"/>
      <c r="CL4547" s="333"/>
      <c r="CM4547" s="1079"/>
      <c r="CN4547" s="1005"/>
      <c r="CO4547" s="1005"/>
      <c r="CP4547" s="1005"/>
    </row>
    <row r="4548">
      <c r="A4548" s="1257"/>
      <c r="B4548" s="1113"/>
      <c r="C4548" s="1107"/>
      <c r="D4548" s="103"/>
      <c r="E4548" s="1137"/>
      <c r="F4548" s="112"/>
      <c r="G4548" s="1110"/>
      <c r="H4548" s="1138"/>
      <c r="I4548" s="1138"/>
      <c r="J4548" s="1139"/>
      <c r="K4548" s="1111"/>
      <c r="L4548" s="1112"/>
      <c r="M4548" s="1113"/>
      <c r="N4548" s="110"/>
      <c r="O4548" s="1140"/>
      <c r="P4548" s="1115"/>
      <c r="Q4548" s="1116"/>
      <c r="R4548" s="1141"/>
      <c r="S4548" s="1113"/>
      <c r="T4548" s="1143"/>
      <c r="U4548" s="1108"/>
      <c r="V4548" s="1108"/>
      <c r="W4548" s="1108"/>
      <c r="X4548" s="1108"/>
      <c r="Y4548" s="1108"/>
      <c r="Z4548" s="1114"/>
      <c r="AA4548" s="1114"/>
      <c r="AB4548" s="1114"/>
      <c r="AC4548" s="1117"/>
      <c r="AD4548" s="1115"/>
      <c r="AE4548" s="1115"/>
      <c r="AF4548" s="1115"/>
      <c r="AG4548" s="1115"/>
      <c r="AH4548" s="1115"/>
      <c r="AI4548" s="1115"/>
      <c r="AJ4548" s="1117"/>
      <c r="AK4548" s="1118"/>
      <c r="AL4548" s="1115"/>
      <c r="AM4548" s="1115"/>
      <c r="AN4548" s="1115"/>
      <c r="AO4548" s="1115"/>
      <c r="AP4548" s="1115"/>
      <c r="AQ4548" s="1115"/>
      <c r="AR4548" s="1115"/>
      <c r="AS4548" s="1117"/>
      <c r="AT4548" s="1075"/>
      <c r="AU4548" s="1193"/>
      <c r="AV4548" s="330"/>
      <c r="AW4548" s="331"/>
      <c r="AX4548" s="331"/>
      <c r="AY4548" s="331"/>
      <c r="AZ4548" s="331"/>
      <c r="BA4548" s="331"/>
      <c r="BB4548" s="331"/>
      <c r="BC4548" s="331"/>
      <c r="BD4548" s="331"/>
      <c r="BE4548" s="333"/>
      <c r="BF4548" s="330"/>
      <c r="BG4548" s="333"/>
      <c r="BH4548" s="1119"/>
      <c r="BI4548" s="319"/>
      <c r="BJ4548" s="319"/>
      <c r="BK4548" s="319"/>
      <c r="BL4548" s="319"/>
      <c r="BM4548" s="319"/>
      <c r="BN4548" s="319"/>
      <c r="BO4548" s="319"/>
      <c r="BP4548" s="953"/>
      <c r="BQ4548" s="319"/>
      <c r="BR4548" s="319"/>
      <c r="BS4548" s="330"/>
      <c r="BT4548" s="331"/>
      <c r="BU4548" s="920"/>
      <c r="BV4548" s="903"/>
      <c r="BW4548" s="908"/>
      <c r="BX4548" s="908"/>
      <c r="BY4548" s="331"/>
      <c r="BZ4548" s="331"/>
      <c r="CA4548" s="462"/>
      <c r="CB4548" s="319"/>
      <c r="CC4548" s="319"/>
      <c r="CD4548" s="319"/>
      <c r="CE4548" s="319"/>
      <c r="CF4548" s="319"/>
      <c r="CG4548" s="319"/>
      <c r="CH4548" s="318"/>
      <c r="CI4548" s="319"/>
      <c r="CJ4548" s="319"/>
      <c r="CK4548" s="342"/>
      <c r="CL4548" s="333"/>
      <c r="CM4548" s="1079"/>
      <c r="CN4548" s="1005"/>
      <c r="CO4548" s="1005"/>
      <c r="CP4548" s="1005"/>
    </row>
    <row r="4549">
      <c r="A4549" s="1257"/>
      <c r="B4549" s="1113"/>
      <c r="C4549" s="1107"/>
      <c r="D4549" s="103"/>
      <c r="E4549" s="1137"/>
      <c r="F4549" s="112"/>
      <c r="G4549" s="1110"/>
      <c r="H4549" s="1138"/>
      <c r="I4549" s="1138"/>
      <c r="J4549" s="1139"/>
      <c r="K4549" s="1111"/>
      <c r="L4549" s="1112"/>
      <c r="M4549" s="1113"/>
      <c r="N4549" s="110"/>
      <c r="O4549" s="1140"/>
      <c r="P4549" s="1115"/>
      <c r="Q4549" s="1116"/>
      <c r="R4549" s="1141"/>
      <c r="S4549" s="1113"/>
      <c r="T4549" s="1143"/>
      <c r="U4549" s="1108"/>
      <c r="V4549" s="1108"/>
      <c r="W4549" s="1108"/>
      <c r="X4549" s="1108"/>
      <c r="Y4549" s="1108"/>
      <c r="Z4549" s="1114"/>
      <c r="AA4549" s="1114"/>
      <c r="AB4549" s="1114"/>
      <c r="AC4549" s="1117"/>
      <c r="AD4549" s="1115"/>
      <c r="AE4549" s="1115"/>
      <c r="AF4549" s="1115"/>
      <c r="AG4549" s="1115"/>
      <c r="AH4549" s="1115"/>
      <c r="AI4549" s="1115"/>
      <c r="AJ4549" s="1117"/>
      <c r="AK4549" s="1118"/>
      <c r="AL4549" s="1115"/>
      <c r="AM4549" s="1115"/>
      <c r="AN4549" s="1115"/>
      <c r="AO4549" s="1115"/>
      <c r="AP4549" s="1115"/>
      <c r="AQ4549" s="1115"/>
      <c r="AR4549" s="1115"/>
      <c r="AS4549" s="1117"/>
      <c r="AT4549" s="1075"/>
      <c r="AU4549" s="1193"/>
      <c r="AV4549" s="330"/>
      <c r="AW4549" s="331"/>
      <c r="AX4549" s="331"/>
      <c r="AY4549" s="331"/>
      <c r="AZ4549" s="331"/>
      <c r="BA4549" s="331"/>
      <c r="BB4549" s="331"/>
      <c r="BC4549" s="331"/>
      <c r="BD4549" s="331"/>
      <c r="BE4549" s="333"/>
      <c r="BF4549" s="330"/>
      <c r="BG4549" s="333"/>
      <c r="BH4549" s="1119"/>
      <c r="BI4549" s="319"/>
      <c r="BJ4549" s="319"/>
      <c r="BK4549" s="319"/>
      <c r="BL4549" s="319"/>
      <c r="BM4549" s="319"/>
      <c r="BN4549" s="319"/>
      <c r="BO4549" s="319"/>
      <c r="BP4549" s="953"/>
      <c r="BQ4549" s="319"/>
      <c r="BR4549" s="319"/>
      <c r="BS4549" s="330"/>
      <c r="BT4549" s="331"/>
      <c r="BU4549" s="920"/>
      <c r="BV4549" s="903"/>
      <c r="BW4549" s="908"/>
      <c r="BX4549" s="908"/>
      <c r="BY4549" s="331"/>
      <c r="BZ4549" s="331"/>
      <c r="CA4549" s="462"/>
      <c r="CB4549" s="319"/>
      <c r="CC4549" s="319"/>
      <c r="CD4549" s="319"/>
      <c r="CE4549" s="319"/>
      <c r="CF4549" s="319"/>
      <c r="CG4549" s="319"/>
      <c r="CH4549" s="318"/>
      <c r="CI4549" s="319"/>
      <c r="CJ4549" s="319"/>
      <c r="CK4549" s="342"/>
      <c r="CL4549" s="333"/>
      <c r="CM4549" s="1079"/>
      <c r="CN4549" s="1005"/>
      <c r="CO4549" s="1005"/>
      <c r="CP4549" s="1005"/>
    </row>
    <row r="4550">
      <c r="A4550" s="1257"/>
      <c r="B4550" s="1113"/>
      <c r="C4550" s="1107"/>
      <c r="D4550" s="103"/>
      <c r="E4550" s="1137"/>
      <c r="F4550" s="112"/>
      <c r="G4550" s="1110"/>
      <c r="H4550" s="1138"/>
      <c r="I4550" s="1138"/>
      <c r="J4550" s="1139"/>
      <c r="K4550" s="1111"/>
      <c r="L4550" s="1112"/>
      <c r="M4550" s="1113"/>
      <c r="N4550" s="110"/>
      <c r="O4550" s="1140"/>
      <c r="P4550" s="1115"/>
      <c r="Q4550" s="1116"/>
      <c r="R4550" s="1141"/>
      <c r="S4550" s="1113"/>
      <c r="T4550" s="1143"/>
      <c r="U4550" s="1108"/>
      <c r="V4550" s="1108"/>
      <c r="W4550" s="1108"/>
      <c r="X4550" s="1108"/>
      <c r="Y4550" s="1108"/>
      <c r="Z4550" s="1114"/>
      <c r="AA4550" s="1114"/>
      <c r="AB4550" s="1114"/>
      <c r="AC4550" s="1117"/>
      <c r="AD4550" s="1115"/>
      <c r="AE4550" s="1115"/>
      <c r="AF4550" s="1115"/>
      <c r="AG4550" s="1115"/>
      <c r="AH4550" s="1115"/>
      <c r="AI4550" s="1115"/>
      <c r="AJ4550" s="1117"/>
      <c r="AK4550" s="1118"/>
      <c r="AL4550" s="1115"/>
      <c r="AM4550" s="1115"/>
      <c r="AN4550" s="1115"/>
      <c r="AO4550" s="1115"/>
      <c r="AP4550" s="1115"/>
      <c r="AQ4550" s="1115"/>
      <c r="AR4550" s="1115"/>
      <c r="AS4550" s="1117"/>
      <c r="AT4550" s="1075"/>
      <c r="AU4550" s="1193"/>
      <c r="AV4550" s="330"/>
      <c r="AW4550" s="331"/>
      <c r="AX4550" s="331"/>
      <c r="AY4550" s="331"/>
      <c r="AZ4550" s="331"/>
      <c r="BA4550" s="331"/>
      <c r="BB4550" s="331"/>
      <c r="BC4550" s="331"/>
      <c r="BD4550" s="331"/>
      <c r="BE4550" s="333"/>
      <c r="BF4550" s="330"/>
      <c r="BG4550" s="333"/>
      <c r="BH4550" s="1119"/>
      <c r="BI4550" s="319"/>
      <c r="BJ4550" s="319"/>
      <c r="BK4550" s="319"/>
      <c r="BL4550" s="319"/>
      <c r="BM4550" s="319"/>
      <c r="BN4550" s="319"/>
      <c r="BO4550" s="319"/>
      <c r="BP4550" s="953"/>
      <c r="BQ4550" s="319"/>
      <c r="BR4550" s="319"/>
      <c r="BS4550" s="330"/>
      <c r="BT4550" s="331"/>
      <c r="BU4550" s="920"/>
      <c r="BV4550" s="903"/>
      <c r="BW4550" s="908"/>
      <c r="BX4550" s="908"/>
      <c r="BY4550" s="331"/>
      <c r="BZ4550" s="331"/>
      <c r="CA4550" s="462"/>
      <c r="CB4550" s="319"/>
      <c r="CC4550" s="319"/>
      <c r="CD4550" s="319"/>
      <c r="CE4550" s="319"/>
      <c r="CF4550" s="319"/>
      <c r="CG4550" s="319"/>
      <c r="CH4550" s="318"/>
      <c r="CI4550" s="319"/>
      <c r="CJ4550" s="319"/>
      <c r="CK4550" s="342"/>
      <c r="CL4550" s="333"/>
      <c r="CM4550" s="1079"/>
      <c r="CN4550" s="1005"/>
      <c r="CO4550" s="1005"/>
      <c r="CP4550" s="1005"/>
    </row>
    <row r="4551">
      <c r="A4551" s="1257"/>
      <c r="B4551" s="1113"/>
      <c r="C4551" s="1107"/>
      <c r="D4551" s="103"/>
      <c r="E4551" s="1137"/>
      <c r="F4551" s="112"/>
      <c r="G4551" s="1110"/>
      <c r="H4551" s="1138"/>
      <c r="I4551" s="1138"/>
      <c r="J4551" s="1139"/>
      <c r="K4551" s="1111"/>
      <c r="L4551" s="1112"/>
      <c r="M4551" s="1113"/>
      <c r="N4551" s="110"/>
      <c r="O4551" s="1140"/>
      <c r="P4551" s="1115"/>
      <c r="Q4551" s="1116"/>
      <c r="R4551" s="1141"/>
      <c r="S4551" s="1113"/>
      <c r="T4551" s="1143"/>
      <c r="U4551" s="1108"/>
      <c r="V4551" s="1108"/>
      <c r="W4551" s="1108"/>
      <c r="X4551" s="1108"/>
      <c r="Y4551" s="1108"/>
      <c r="Z4551" s="1114"/>
      <c r="AA4551" s="1114"/>
      <c r="AB4551" s="1114"/>
      <c r="AC4551" s="1117"/>
      <c r="AD4551" s="1115"/>
      <c r="AE4551" s="1115"/>
      <c r="AF4551" s="1115"/>
      <c r="AG4551" s="1115"/>
      <c r="AH4551" s="1115"/>
      <c r="AI4551" s="1115"/>
      <c r="AJ4551" s="1117"/>
      <c r="AK4551" s="1118"/>
      <c r="AL4551" s="1115"/>
      <c r="AM4551" s="1115"/>
      <c r="AN4551" s="1115"/>
      <c r="AO4551" s="1115"/>
      <c r="AP4551" s="1115"/>
      <c r="AQ4551" s="1115"/>
      <c r="AR4551" s="1115"/>
      <c r="AS4551" s="1117"/>
      <c r="AT4551" s="1075"/>
      <c r="AU4551" s="1193"/>
      <c r="AV4551" s="330"/>
      <c r="AW4551" s="331"/>
      <c r="AX4551" s="331"/>
      <c r="AY4551" s="331"/>
      <c r="AZ4551" s="331"/>
      <c r="BA4551" s="331"/>
      <c r="BB4551" s="331"/>
      <c r="BC4551" s="331"/>
      <c r="BD4551" s="331"/>
      <c r="BE4551" s="333"/>
      <c r="BF4551" s="330"/>
      <c r="BG4551" s="333"/>
      <c r="BH4551" s="1119"/>
      <c r="BI4551" s="319"/>
      <c r="BJ4551" s="319"/>
      <c r="BK4551" s="319"/>
      <c r="BL4551" s="319"/>
      <c r="BM4551" s="319"/>
      <c r="BN4551" s="319"/>
      <c r="BO4551" s="319"/>
      <c r="BP4551" s="953"/>
      <c r="BQ4551" s="319"/>
      <c r="BR4551" s="319"/>
      <c r="BS4551" s="330"/>
      <c r="BT4551" s="331"/>
      <c r="BU4551" s="920"/>
      <c r="BV4551" s="903"/>
      <c r="BW4551" s="908"/>
      <c r="BX4551" s="908"/>
      <c r="BY4551" s="331"/>
      <c r="BZ4551" s="331"/>
      <c r="CA4551" s="462"/>
      <c r="CB4551" s="319"/>
      <c r="CC4551" s="319"/>
      <c r="CD4551" s="319"/>
      <c r="CE4551" s="319"/>
      <c r="CF4551" s="319"/>
      <c r="CG4551" s="319"/>
      <c r="CH4551" s="318"/>
      <c r="CI4551" s="319"/>
      <c r="CJ4551" s="319"/>
      <c r="CK4551" s="342"/>
      <c r="CL4551" s="333"/>
      <c r="CM4551" s="1079"/>
      <c r="CN4551" s="1005"/>
      <c r="CO4551" s="1005"/>
      <c r="CP4551" s="1005"/>
    </row>
    <row r="4552">
      <c r="A4552" s="1257"/>
      <c r="B4552" s="1113"/>
      <c r="C4552" s="1107"/>
      <c r="D4552" s="103"/>
      <c r="E4552" s="1137"/>
      <c r="F4552" s="112"/>
      <c r="G4552" s="1110"/>
      <c r="H4552" s="1138"/>
      <c r="I4552" s="1138"/>
      <c r="J4552" s="1139"/>
      <c r="K4552" s="1111"/>
      <c r="L4552" s="1112"/>
      <c r="M4552" s="1113"/>
      <c r="N4552" s="110"/>
      <c r="O4552" s="1140"/>
      <c r="P4552" s="1115"/>
      <c r="Q4552" s="1116"/>
      <c r="R4552" s="1141"/>
      <c r="S4552" s="1113"/>
      <c r="T4552" s="1143"/>
      <c r="U4552" s="1108"/>
      <c r="V4552" s="1108"/>
      <c r="W4552" s="1108"/>
      <c r="X4552" s="1108"/>
      <c r="Y4552" s="1108"/>
      <c r="Z4552" s="1114"/>
      <c r="AA4552" s="1114"/>
      <c r="AB4552" s="1114"/>
      <c r="AC4552" s="1117"/>
      <c r="AD4552" s="1115"/>
      <c r="AE4552" s="1115"/>
      <c r="AF4552" s="1115"/>
      <c r="AG4552" s="1115"/>
      <c r="AH4552" s="1115"/>
      <c r="AI4552" s="1115"/>
      <c r="AJ4552" s="1117"/>
      <c r="AK4552" s="1118"/>
      <c r="AL4552" s="1115"/>
      <c r="AM4552" s="1115"/>
      <c r="AN4552" s="1115"/>
      <c r="AO4552" s="1115"/>
      <c r="AP4552" s="1115"/>
      <c r="AQ4552" s="1115"/>
      <c r="AR4552" s="1115"/>
      <c r="AS4552" s="1117"/>
      <c r="AT4552" s="1075"/>
      <c r="AU4552" s="1193"/>
      <c r="AV4552" s="330"/>
      <c r="AW4552" s="331"/>
      <c r="AX4552" s="331"/>
      <c r="AY4552" s="331"/>
      <c r="AZ4552" s="331"/>
      <c r="BA4552" s="331"/>
      <c r="BB4552" s="331"/>
      <c r="BC4552" s="331"/>
      <c r="BD4552" s="331"/>
      <c r="BE4552" s="333"/>
      <c r="BF4552" s="330"/>
      <c r="BG4552" s="333"/>
      <c r="BH4552" s="1119"/>
      <c r="BI4552" s="319"/>
      <c r="BJ4552" s="319"/>
      <c r="BK4552" s="319"/>
      <c r="BL4552" s="319"/>
      <c r="BM4552" s="319"/>
      <c r="BN4552" s="319"/>
      <c r="BO4552" s="319"/>
      <c r="BP4552" s="953"/>
      <c r="BQ4552" s="319"/>
      <c r="BR4552" s="319"/>
      <c r="BS4552" s="330"/>
      <c r="BT4552" s="331"/>
      <c r="BU4552" s="920"/>
      <c r="BV4552" s="903"/>
      <c r="BW4552" s="908"/>
      <c r="BX4552" s="908"/>
      <c r="BY4552" s="331"/>
      <c r="BZ4552" s="331"/>
      <c r="CA4552" s="462"/>
      <c r="CB4552" s="319"/>
      <c r="CC4552" s="319"/>
      <c r="CD4552" s="319"/>
      <c r="CE4552" s="319"/>
      <c r="CF4552" s="319"/>
      <c r="CG4552" s="319"/>
      <c r="CH4552" s="318"/>
      <c r="CI4552" s="319"/>
      <c r="CJ4552" s="319"/>
      <c r="CK4552" s="342"/>
      <c r="CL4552" s="333"/>
      <c r="CM4552" s="1079"/>
      <c r="CN4552" s="1005"/>
      <c r="CO4552" s="1005"/>
      <c r="CP4552" s="1005"/>
    </row>
    <row r="4553">
      <c r="A4553" s="1257"/>
      <c r="B4553" s="1113"/>
      <c r="C4553" s="1107"/>
      <c r="D4553" s="103"/>
      <c r="E4553" s="1137"/>
      <c r="F4553" s="112"/>
      <c r="G4553" s="1110"/>
      <c r="H4553" s="1138"/>
      <c r="I4553" s="1138"/>
      <c r="J4553" s="1139"/>
      <c r="K4553" s="1111"/>
      <c r="L4553" s="1112"/>
      <c r="M4553" s="1113"/>
      <c r="N4553" s="110"/>
      <c r="O4553" s="1140"/>
      <c r="P4553" s="1115"/>
      <c r="Q4553" s="1116"/>
      <c r="R4553" s="1141"/>
      <c r="S4553" s="1113"/>
      <c r="T4553" s="1143"/>
      <c r="U4553" s="1108"/>
      <c r="V4553" s="1108"/>
      <c r="W4553" s="1108"/>
      <c r="X4553" s="1108"/>
      <c r="Y4553" s="1108"/>
      <c r="Z4553" s="1114"/>
      <c r="AA4553" s="1114"/>
      <c r="AB4553" s="1114"/>
      <c r="AC4553" s="1117"/>
      <c r="AD4553" s="1115"/>
      <c r="AE4553" s="1115"/>
      <c r="AF4553" s="1115"/>
      <c r="AG4553" s="1115"/>
      <c r="AH4553" s="1115"/>
      <c r="AI4553" s="1115"/>
      <c r="AJ4553" s="1117"/>
      <c r="AK4553" s="1118"/>
      <c r="AL4553" s="1115"/>
      <c r="AM4553" s="1115"/>
      <c r="AN4553" s="1115"/>
      <c r="AO4553" s="1115"/>
      <c r="AP4553" s="1115"/>
      <c r="AQ4553" s="1115"/>
      <c r="AR4553" s="1115"/>
      <c r="AS4553" s="1117"/>
      <c r="AT4553" s="1075"/>
      <c r="AU4553" s="1193"/>
      <c r="AV4553" s="330"/>
      <c r="AW4553" s="331"/>
      <c r="AX4553" s="331"/>
      <c r="AY4553" s="331"/>
      <c r="AZ4553" s="331"/>
      <c r="BA4553" s="331"/>
      <c r="BB4553" s="331"/>
      <c r="BC4553" s="331"/>
      <c r="BD4553" s="331"/>
      <c r="BE4553" s="333"/>
      <c r="BF4553" s="330"/>
      <c r="BG4553" s="333"/>
      <c r="BH4553" s="1119"/>
      <c r="BI4553" s="319"/>
      <c r="BJ4553" s="319"/>
      <c r="BK4553" s="319"/>
      <c r="BL4553" s="319"/>
      <c r="BM4553" s="319"/>
      <c r="BN4553" s="319"/>
      <c r="BO4553" s="319"/>
      <c r="BP4553" s="953"/>
      <c r="BQ4553" s="319"/>
      <c r="BR4553" s="319"/>
      <c r="BS4553" s="330"/>
      <c r="BT4553" s="331"/>
      <c r="BU4553" s="920"/>
      <c r="BV4553" s="903"/>
      <c r="BW4553" s="908"/>
      <c r="BX4553" s="908"/>
      <c r="BY4553" s="331"/>
      <c r="BZ4553" s="331"/>
      <c r="CA4553" s="462"/>
      <c r="CB4553" s="319"/>
      <c r="CC4553" s="319"/>
      <c r="CD4553" s="319"/>
      <c r="CE4553" s="319"/>
      <c r="CF4553" s="319"/>
      <c r="CG4553" s="319"/>
      <c r="CH4553" s="318"/>
      <c r="CI4553" s="319"/>
      <c r="CJ4553" s="319"/>
      <c r="CK4553" s="342"/>
      <c r="CL4553" s="333"/>
      <c r="CM4553" s="1079"/>
      <c r="CN4553" s="1005"/>
      <c r="CO4553" s="1005"/>
      <c r="CP4553" s="1005"/>
    </row>
    <row r="4554">
      <c r="A4554" s="1257"/>
      <c r="B4554" s="1113"/>
      <c r="C4554" s="1107"/>
      <c r="D4554" s="103"/>
      <c r="E4554" s="1137"/>
      <c r="F4554" s="112"/>
      <c r="G4554" s="1110"/>
      <c r="H4554" s="1138"/>
      <c r="I4554" s="1138"/>
      <c r="J4554" s="1139"/>
      <c r="K4554" s="1111"/>
      <c r="L4554" s="1112"/>
      <c r="M4554" s="1113"/>
      <c r="N4554" s="110"/>
      <c r="O4554" s="1140"/>
      <c r="P4554" s="1115"/>
      <c r="Q4554" s="1116"/>
      <c r="R4554" s="1141"/>
      <c r="S4554" s="1113"/>
      <c r="T4554" s="1143"/>
      <c r="U4554" s="1108"/>
      <c r="V4554" s="1108"/>
      <c r="W4554" s="1108"/>
      <c r="X4554" s="1108"/>
      <c r="Y4554" s="1108"/>
      <c r="Z4554" s="1114"/>
      <c r="AA4554" s="1114"/>
      <c r="AB4554" s="1114"/>
      <c r="AC4554" s="1117"/>
      <c r="AD4554" s="1115"/>
      <c r="AE4554" s="1115"/>
      <c r="AF4554" s="1115"/>
      <c r="AG4554" s="1115"/>
      <c r="AH4554" s="1115"/>
      <c r="AI4554" s="1115"/>
      <c r="AJ4554" s="1117"/>
      <c r="AK4554" s="1118"/>
      <c r="AL4554" s="1115"/>
      <c r="AM4554" s="1115"/>
      <c r="AN4554" s="1115"/>
      <c r="AO4554" s="1115"/>
      <c r="AP4554" s="1115"/>
      <c r="AQ4554" s="1115"/>
      <c r="AR4554" s="1115"/>
      <c r="AS4554" s="1117"/>
      <c r="AT4554" s="1075"/>
      <c r="AU4554" s="1193"/>
      <c r="AV4554" s="330"/>
      <c r="AW4554" s="331"/>
      <c r="AX4554" s="331"/>
      <c r="AY4554" s="331"/>
      <c r="AZ4554" s="331"/>
      <c r="BA4554" s="331"/>
      <c r="BB4554" s="331"/>
      <c r="BC4554" s="331"/>
      <c r="BD4554" s="331"/>
      <c r="BE4554" s="333"/>
      <c r="BF4554" s="330"/>
      <c r="BG4554" s="333"/>
      <c r="BH4554" s="1119"/>
      <c r="BI4554" s="319"/>
      <c r="BJ4554" s="319"/>
      <c r="BK4554" s="319"/>
      <c r="BL4554" s="319"/>
      <c r="BM4554" s="319"/>
      <c r="BN4554" s="319"/>
      <c r="BO4554" s="319"/>
      <c r="BP4554" s="953"/>
      <c r="BQ4554" s="319"/>
      <c r="BR4554" s="319"/>
      <c r="BS4554" s="330"/>
      <c r="BT4554" s="331"/>
      <c r="BU4554" s="920"/>
      <c r="BV4554" s="903"/>
      <c r="BW4554" s="908"/>
      <c r="BX4554" s="908"/>
      <c r="BY4554" s="331"/>
      <c r="BZ4554" s="331"/>
      <c r="CA4554" s="462"/>
      <c r="CB4554" s="319"/>
      <c r="CC4554" s="319"/>
      <c r="CD4554" s="319"/>
      <c r="CE4554" s="319"/>
      <c r="CF4554" s="319"/>
      <c r="CG4554" s="319"/>
      <c r="CH4554" s="318"/>
      <c r="CI4554" s="319"/>
      <c r="CJ4554" s="319"/>
      <c r="CK4554" s="342"/>
      <c r="CL4554" s="333"/>
      <c r="CM4554" s="1079"/>
      <c r="CN4554" s="1005"/>
      <c r="CO4554" s="1005"/>
      <c r="CP4554" s="1005"/>
    </row>
    <row r="4555">
      <c r="A4555" s="1257"/>
      <c r="B4555" s="1113"/>
      <c r="C4555" s="1107"/>
      <c r="D4555" s="103"/>
      <c r="E4555" s="1137"/>
      <c r="F4555" s="112"/>
      <c r="G4555" s="1110"/>
      <c r="H4555" s="1138"/>
      <c r="I4555" s="1138"/>
      <c r="J4555" s="1139"/>
      <c r="K4555" s="1111"/>
      <c r="L4555" s="1112"/>
      <c r="M4555" s="1113"/>
      <c r="N4555" s="110"/>
      <c r="O4555" s="1140"/>
      <c r="P4555" s="1115"/>
      <c r="Q4555" s="1116"/>
      <c r="R4555" s="1141"/>
      <c r="S4555" s="1113"/>
      <c r="T4555" s="1143"/>
      <c r="U4555" s="1108"/>
      <c r="V4555" s="1108"/>
      <c r="W4555" s="1108"/>
      <c r="X4555" s="1108"/>
      <c r="Y4555" s="1108"/>
      <c r="Z4555" s="1114"/>
      <c r="AA4555" s="1114"/>
      <c r="AB4555" s="1114"/>
      <c r="AC4555" s="1117"/>
      <c r="AD4555" s="1115"/>
      <c r="AE4555" s="1115"/>
      <c r="AF4555" s="1115"/>
      <c r="AG4555" s="1115"/>
      <c r="AH4555" s="1115"/>
      <c r="AI4555" s="1115"/>
      <c r="AJ4555" s="1117"/>
      <c r="AK4555" s="1118"/>
      <c r="AL4555" s="1115"/>
      <c r="AM4555" s="1115"/>
      <c r="AN4555" s="1115"/>
      <c r="AO4555" s="1115"/>
      <c r="AP4555" s="1115"/>
      <c r="AQ4555" s="1115"/>
      <c r="AR4555" s="1115"/>
      <c r="AS4555" s="1117"/>
      <c r="AT4555" s="1075"/>
      <c r="AU4555" s="1193"/>
      <c r="AV4555" s="330"/>
      <c r="AW4555" s="331"/>
      <c r="AX4555" s="331"/>
      <c r="AY4555" s="331"/>
      <c r="AZ4555" s="331"/>
      <c r="BA4555" s="331"/>
      <c r="BB4555" s="331"/>
      <c r="BC4555" s="331"/>
      <c r="BD4555" s="331"/>
      <c r="BE4555" s="333"/>
      <c r="BF4555" s="330"/>
      <c r="BG4555" s="333"/>
      <c r="BH4555" s="1119"/>
      <c r="BI4555" s="319"/>
      <c r="BJ4555" s="319"/>
      <c r="BK4555" s="319"/>
      <c r="BL4555" s="319"/>
      <c r="BM4555" s="319"/>
      <c r="BN4555" s="319"/>
      <c r="BO4555" s="319"/>
      <c r="BP4555" s="953"/>
      <c r="BQ4555" s="319"/>
      <c r="BR4555" s="319"/>
      <c r="BS4555" s="330"/>
      <c r="BT4555" s="331"/>
      <c r="BU4555" s="920"/>
      <c r="BV4555" s="903"/>
      <c r="BW4555" s="908"/>
      <c r="BX4555" s="908"/>
      <c r="BY4555" s="331"/>
      <c r="BZ4555" s="331"/>
      <c r="CA4555" s="462"/>
      <c r="CB4555" s="319"/>
      <c r="CC4555" s="319"/>
      <c r="CD4555" s="319"/>
      <c r="CE4555" s="319"/>
      <c r="CF4555" s="319"/>
      <c r="CG4555" s="319"/>
      <c r="CH4555" s="318"/>
      <c r="CI4555" s="319"/>
      <c r="CJ4555" s="319"/>
      <c r="CK4555" s="342"/>
      <c r="CL4555" s="333"/>
      <c r="CM4555" s="1079"/>
      <c r="CN4555" s="1005"/>
      <c r="CO4555" s="1005"/>
      <c r="CP4555" s="1005"/>
    </row>
    <row r="4556">
      <c r="A4556" s="1257"/>
      <c r="B4556" s="1113"/>
      <c r="C4556" s="1107"/>
      <c r="D4556" s="103"/>
      <c r="E4556" s="1137"/>
      <c r="F4556" s="112"/>
      <c r="G4556" s="1110"/>
      <c r="H4556" s="1138"/>
      <c r="I4556" s="1138"/>
      <c r="J4556" s="1139"/>
      <c r="K4556" s="1111"/>
      <c r="L4556" s="1112"/>
      <c r="M4556" s="1113"/>
      <c r="N4556" s="110"/>
      <c r="O4556" s="1140"/>
      <c r="P4556" s="1115"/>
      <c r="Q4556" s="1116"/>
      <c r="R4556" s="1141"/>
      <c r="S4556" s="1113"/>
      <c r="T4556" s="1143"/>
      <c r="U4556" s="1108"/>
      <c r="V4556" s="1108"/>
      <c r="W4556" s="1108"/>
      <c r="X4556" s="1108"/>
      <c r="Y4556" s="1108"/>
      <c r="Z4556" s="1114"/>
      <c r="AA4556" s="1114"/>
      <c r="AB4556" s="1114"/>
      <c r="AC4556" s="1117"/>
      <c r="AD4556" s="1115"/>
      <c r="AE4556" s="1115"/>
      <c r="AF4556" s="1115"/>
      <c r="AG4556" s="1115"/>
      <c r="AH4556" s="1115"/>
      <c r="AI4556" s="1115"/>
      <c r="AJ4556" s="1117"/>
      <c r="AK4556" s="1118"/>
      <c r="AL4556" s="1115"/>
      <c r="AM4556" s="1115"/>
      <c r="AN4556" s="1115"/>
      <c r="AO4556" s="1115"/>
      <c r="AP4556" s="1115"/>
      <c r="AQ4556" s="1115"/>
      <c r="AR4556" s="1115"/>
      <c r="AS4556" s="1117"/>
      <c r="AT4556" s="1075"/>
      <c r="AU4556" s="1193"/>
      <c r="AV4556" s="330"/>
      <c r="AW4556" s="331"/>
      <c r="AX4556" s="331"/>
      <c r="AY4556" s="331"/>
      <c r="AZ4556" s="331"/>
      <c r="BA4556" s="331"/>
      <c r="BB4556" s="331"/>
      <c r="BC4556" s="331"/>
      <c r="BD4556" s="331"/>
      <c r="BE4556" s="333"/>
      <c r="BF4556" s="330"/>
      <c r="BG4556" s="333"/>
      <c r="BH4556" s="1119"/>
      <c r="BI4556" s="319"/>
      <c r="BJ4556" s="319"/>
      <c r="BK4556" s="319"/>
      <c r="BL4556" s="319"/>
      <c r="BM4556" s="319"/>
      <c r="BN4556" s="319"/>
      <c r="BO4556" s="319"/>
      <c r="BP4556" s="953"/>
      <c r="BQ4556" s="319"/>
      <c r="BR4556" s="319"/>
      <c r="BS4556" s="330"/>
      <c r="BT4556" s="331"/>
      <c r="BU4556" s="920"/>
      <c r="BV4556" s="903"/>
      <c r="BW4556" s="908"/>
      <c r="BX4556" s="908"/>
      <c r="BY4556" s="331"/>
      <c r="BZ4556" s="331"/>
      <c r="CA4556" s="462"/>
      <c r="CB4556" s="319"/>
      <c r="CC4556" s="319"/>
      <c r="CD4556" s="319"/>
      <c r="CE4556" s="319"/>
      <c r="CF4556" s="319"/>
      <c r="CG4556" s="319"/>
      <c r="CH4556" s="318"/>
      <c r="CI4556" s="319"/>
      <c r="CJ4556" s="319"/>
      <c r="CK4556" s="342"/>
      <c r="CL4556" s="333"/>
      <c r="CM4556" s="1079"/>
      <c r="CN4556" s="1005"/>
      <c r="CO4556" s="1005"/>
      <c r="CP4556" s="1005"/>
    </row>
    <row r="4557">
      <c r="A4557" s="1257"/>
      <c r="B4557" s="1113"/>
      <c r="C4557" s="1107"/>
      <c r="D4557" s="103"/>
      <c r="E4557" s="1137"/>
      <c r="F4557" s="112"/>
      <c r="G4557" s="1110"/>
      <c r="H4557" s="1138"/>
      <c r="I4557" s="1138"/>
      <c r="J4557" s="1139"/>
      <c r="K4557" s="1111"/>
      <c r="L4557" s="1112"/>
      <c r="M4557" s="1113"/>
      <c r="N4557" s="110"/>
      <c r="O4557" s="1140"/>
      <c r="P4557" s="1115"/>
      <c r="Q4557" s="1116"/>
      <c r="R4557" s="1141"/>
      <c r="S4557" s="1113"/>
      <c r="T4557" s="1143"/>
      <c r="U4557" s="1108"/>
      <c r="V4557" s="1108"/>
      <c r="W4557" s="1108"/>
      <c r="X4557" s="1108"/>
      <c r="Y4557" s="1108"/>
      <c r="Z4557" s="1114"/>
      <c r="AA4557" s="1114"/>
      <c r="AB4557" s="1114"/>
      <c r="AC4557" s="1117"/>
      <c r="AD4557" s="1115"/>
      <c r="AE4557" s="1115"/>
      <c r="AF4557" s="1115"/>
      <c r="AG4557" s="1115"/>
      <c r="AH4557" s="1115"/>
      <c r="AI4557" s="1115"/>
      <c r="AJ4557" s="1117"/>
      <c r="AK4557" s="1118"/>
      <c r="AL4557" s="1115"/>
      <c r="AM4557" s="1115"/>
      <c r="AN4557" s="1115"/>
      <c r="AO4557" s="1115"/>
      <c r="AP4557" s="1115"/>
      <c r="AQ4557" s="1115"/>
      <c r="AR4557" s="1115"/>
      <c r="AS4557" s="1117"/>
      <c r="AT4557" s="1075"/>
      <c r="AU4557" s="1193"/>
      <c r="AV4557" s="330"/>
      <c r="AW4557" s="331"/>
      <c r="AX4557" s="331"/>
      <c r="AY4557" s="331"/>
      <c r="AZ4557" s="331"/>
      <c r="BA4557" s="331"/>
      <c r="BB4557" s="331"/>
      <c r="BC4557" s="331"/>
      <c r="BD4557" s="331"/>
      <c r="BE4557" s="333"/>
      <c r="BF4557" s="330"/>
      <c r="BG4557" s="333"/>
      <c r="BH4557" s="1119"/>
      <c r="BI4557" s="319"/>
      <c r="BJ4557" s="319"/>
      <c r="BK4557" s="319"/>
      <c r="BL4557" s="319"/>
      <c r="BM4557" s="319"/>
      <c r="BN4557" s="319"/>
      <c r="BO4557" s="319"/>
      <c r="BP4557" s="953"/>
      <c r="BQ4557" s="319"/>
      <c r="BR4557" s="319"/>
      <c r="BS4557" s="330"/>
      <c r="BT4557" s="331"/>
      <c r="BU4557" s="920"/>
      <c r="BV4557" s="903"/>
      <c r="BW4557" s="908"/>
      <c r="BX4557" s="908"/>
      <c r="BY4557" s="331"/>
      <c r="BZ4557" s="331"/>
      <c r="CA4557" s="462"/>
      <c r="CB4557" s="319"/>
      <c r="CC4557" s="319"/>
      <c r="CD4557" s="319"/>
      <c r="CE4557" s="319"/>
      <c r="CF4557" s="319"/>
      <c r="CG4557" s="319"/>
      <c r="CH4557" s="318"/>
      <c r="CI4557" s="319"/>
      <c r="CJ4557" s="319"/>
      <c r="CK4557" s="342"/>
      <c r="CL4557" s="333"/>
      <c r="CM4557" s="1079"/>
      <c r="CN4557" s="1005"/>
      <c r="CO4557" s="1005"/>
      <c r="CP4557" s="1005"/>
    </row>
    <row r="4558">
      <c r="A4558" s="1257"/>
      <c r="B4558" s="1113"/>
      <c r="C4558" s="1107"/>
      <c r="D4558" s="103"/>
      <c r="E4558" s="1137"/>
      <c r="F4558" s="112"/>
      <c r="G4558" s="1110"/>
      <c r="H4558" s="1138"/>
      <c r="I4558" s="1138"/>
      <c r="J4558" s="1139"/>
      <c r="K4558" s="1111"/>
      <c r="L4558" s="1112"/>
      <c r="M4558" s="1113"/>
      <c r="N4558" s="110"/>
      <c r="O4558" s="1140"/>
      <c r="P4558" s="1115"/>
      <c r="Q4558" s="1116"/>
      <c r="R4558" s="1141"/>
      <c r="S4558" s="1113"/>
      <c r="T4558" s="1143"/>
      <c r="U4558" s="1108"/>
      <c r="V4558" s="1108"/>
      <c r="W4558" s="1108"/>
      <c r="X4558" s="1108"/>
      <c r="Y4558" s="1108"/>
      <c r="Z4558" s="1114"/>
      <c r="AA4558" s="1114"/>
      <c r="AB4558" s="1114"/>
      <c r="AC4558" s="1117"/>
      <c r="AD4558" s="1115"/>
      <c r="AE4558" s="1115"/>
      <c r="AF4558" s="1115"/>
      <c r="AG4558" s="1115"/>
      <c r="AH4558" s="1115"/>
      <c r="AI4558" s="1115"/>
      <c r="AJ4558" s="1117"/>
      <c r="AK4558" s="1118"/>
      <c r="AL4558" s="1115"/>
      <c r="AM4558" s="1115"/>
      <c r="AN4558" s="1115"/>
      <c r="AO4558" s="1115"/>
      <c r="AP4558" s="1115"/>
      <c r="AQ4558" s="1115"/>
      <c r="AR4558" s="1115"/>
      <c r="AS4558" s="1117"/>
      <c r="AT4558" s="1075"/>
      <c r="AU4558" s="1193"/>
      <c r="AV4558" s="330"/>
      <c r="AW4558" s="331"/>
      <c r="AX4558" s="331"/>
      <c r="AY4558" s="331"/>
      <c r="AZ4558" s="331"/>
      <c r="BA4558" s="331"/>
      <c r="BB4558" s="331"/>
      <c r="BC4558" s="331"/>
      <c r="BD4558" s="331"/>
      <c r="BE4558" s="333"/>
      <c r="BF4558" s="330"/>
      <c r="BG4558" s="333"/>
      <c r="BH4558" s="1119"/>
      <c r="BI4558" s="319"/>
      <c r="BJ4558" s="319"/>
      <c r="BK4558" s="319"/>
      <c r="BL4558" s="319"/>
      <c r="BM4558" s="319"/>
      <c r="BN4558" s="319"/>
      <c r="BO4558" s="319"/>
      <c r="BP4558" s="953"/>
      <c r="BQ4558" s="319"/>
      <c r="BR4558" s="319"/>
      <c r="BS4558" s="330"/>
      <c r="BT4558" s="331"/>
      <c r="BU4558" s="920"/>
      <c r="BV4558" s="903"/>
      <c r="BW4558" s="908"/>
      <c r="BX4558" s="908"/>
      <c r="BY4558" s="331"/>
      <c r="BZ4558" s="331"/>
      <c r="CA4558" s="462"/>
      <c r="CB4558" s="319"/>
      <c r="CC4558" s="319"/>
      <c r="CD4558" s="319"/>
      <c r="CE4558" s="319"/>
      <c r="CF4558" s="319"/>
      <c r="CG4558" s="319"/>
      <c r="CH4558" s="318"/>
      <c r="CI4558" s="319"/>
      <c r="CJ4558" s="319"/>
      <c r="CK4558" s="342"/>
      <c r="CL4558" s="333"/>
      <c r="CM4558" s="1079"/>
      <c r="CN4558" s="1005"/>
      <c r="CO4558" s="1005"/>
      <c r="CP4558" s="1005"/>
    </row>
    <row r="4559">
      <c r="A4559" s="1257"/>
      <c r="B4559" s="1113"/>
      <c r="C4559" s="1107"/>
      <c r="D4559" s="103"/>
      <c r="E4559" s="1137"/>
      <c r="F4559" s="112"/>
      <c r="G4559" s="1110"/>
      <c r="H4559" s="1138"/>
      <c r="I4559" s="1138"/>
      <c r="J4559" s="1139"/>
      <c r="K4559" s="1111"/>
      <c r="L4559" s="1112"/>
      <c r="M4559" s="1113"/>
      <c r="N4559" s="110"/>
      <c r="O4559" s="1140"/>
      <c r="P4559" s="1115"/>
      <c r="Q4559" s="1116"/>
      <c r="R4559" s="1141"/>
      <c r="S4559" s="1113"/>
      <c r="T4559" s="1143"/>
      <c r="U4559" s="1108"/>
      <c r="V4559" s="1108"/>
      <c r="W4559" s="1108"/>
      <c r="X4559" s="1108"/>
      <c r="Y4559" s="1108"/>
      <c r="Z4559" s="1114"/>
      <c r="AA4559" s="1114"/>
      <c r="AB4559" s="1114"/>
      <c r="AC4559" s="1117"/>
      <c r="AD4559" s="1115"/>
      <c r="AE4559" s="1115"/>
      <c r="AF4559" s="1115"/>
      <c r="AG4559" s="1115"/>
      <c r="AH4559" s="1115"/>
      <c r="AI4559" s="1115"/>
      <c r="AJ4559" s="1117"/>
      <c r="AK4559" s="1118"/>
      <c r="AL4559" s="1115"/>
      <c r="AM4559" s="1115"/>
      <c r="AN4559" s="1115"/>
      <c r="AO4559" s="1115"/>
      <c r="AP4559" s="1115"/>
      <c r="AQ4559" s="1115"/>
      <c r="AR4559" s="1115"/>
      <c r="AS4559" s="1117"/>
      <c r="AT4559" s="1075"/>
      <c r="AU4559" s="1193"/>
      <c r="AV4559" s="330"/>
      <c r="AW4559" s="331"/>
      <c r="AX4559" s="331"/>
      <c r="AY4559" s="331"/>
      <c r="AZ4559" s="331"/>
      <c r="BA4559" s="331"/>
      <c r="BB4559" s="331"/>
      <c r="BC4559" s="331"/>
      <c r="BD4559" s="331"/>
      <c r="BE4559" s="333"/>
      <c r="BF4559" s="330"/>
      <c r="BG4559" s="333"/>
      <c r="BH4559" s="1119"/>
      <c r="BI4559" s="319"/>
      <c r="BJ4559" s="319"/>
      <c r="BK4559" s="319"/>
      <c r="BL4559" s="319"/>
      <c r="BM4559" s="319"/>
      <c r="BN4559" s="319"/>
      <c r="BO4559" s="319"/>
      <c r="BP4559" s="953"/>
      <c r="BQ4559" s="319"/>
      <c r="BR4559" s="319"/>
      <c r="BS4559" s="330"/>
      <c r="BT4559" s="331"/>
      <c r="BU4559" s="920"/>
      <c r="BV4559" s="903"/>
      <c r="BW4559" s="908"/>
      <c r="BX4559" s="908"/>
      <c r="BY4559" s="331"/>
      <c r="BZ4559" s="331"/>
      <c r="CA4559" s="462"/>
      <c r="CB4559" s="319"/>
      <c r="CC4559" s="319"/>
      <c r="CD4559" s="319"/>
      <c r="CE4559" s="319"/>
      <c r="CF4559" s="319"/>
      <c r="CG4559" s="319"/>
      <c r="CH4559" s="318"/>
      <c r="CI4559" s="319"/>
      <c r="CJ4559" s="319"/>
      <c r="CK4559" s="342"/>
      <c r="CL4559" s="333"/>
      <c r="CM4559" s="1079"/>
      <c r="CN4559" s="1005"/>
      <c r="CO4559" s="1005"/>
      <c r="CP4559" s="1005"/>
    </row>
    <row r="4560">
      <c r="A4560" s="1257"/>
      <c r="B4560" s="1113"/>
      <c r="C4560" s="1107"/>
      <c r="D4560" s="103"/>
      <c r="E4560" s="1137"/>
      <c r="F4560" s="112"/>
      <c r="G4560" s="1110"/>
      <c r="H4560" s="1138"/>
      <c r="I4560" s="1138"/>
      <c r="J4560" s="1139"/>
      <c r="K4560" s="1111"/>
      <c r="L4560" s="1112"/>
      <c r="M4560" s="1113"/>
      <c r="N4560" s="110"/>
      <c r="O4560" s="1140"/>
      <c r="P4560" s="1115"/>
      <c r="Q4560" s="1116"/>
      <c r="R4560" s="1141"/>
      <c r="S4560" s="1113"/>
      <c r="T4560" s="1143"/>
      <c r="U4560" s="1108"/>
      <c r="V4560" s="1108"/>
      <c r="W4560" s="1108"/>
      <c r="X4560" s="1108"/>
      <c r="Y4560" s="1108"/>
      <c r="Z4560" s="1114"/>
      <c r="AA4560" s="1114"/>
      <c r="AB4560" s="1114"/>
      <c r="AC4560" s="1117"/>
      <c r="AD4560" s="1115"/>
      <c r="AE4560" s="1115"/>
      <c r="AF4560" s="1115"/>
      <c r="AG4560" s="1115"/>
      <c r="AH4560" s="1115"/>
      <c r="AI4560" s="1115"/>
      <c r="AJ4560" s="1117"/>
      <c r="AK4560" s="1118"/>
      <c r="AL4560" s="1115"/>
      <c r="AM4560" s="1115"/>
      <c r="AN4560" s="1115"/>
      <c r="AO4560" s="1115"/>
      <c r="AP4560" s="1115"/>
      <c r="AQ4560" s="1115"/>
      <c r="AR4560" s="1115"/>
      <c r="AS4560" s="1117"/>
      <c r="AT4560" s="1075"/>
      <c r="AU4560" s="1193"/>
      <c r="AV4560" s="330"/>
      <c r="AW4560" s="331"/>
      <c r="AX4560" s="331"/>
      <c r="AY4560" s="331"/>
      <c r="AZ4560" s="331"/>
      <c r="BA4560" s="331"/>
      <c r="BB4560" s="331"/>
      <c r="BC4560" s="331"/>
      <c r="BD4560" s="331"/>
      <c r="BE4560" s="333"/>
      <c r="BF4560" s="330"/>
      <c r="BG4560" s="333"/>
      <c r="BH4560" s="1119"/>
      <c r="BI4560" s="319"/>
      <c r="BJ4560" s="319"/>
      <c r="BK4560" s="319"/>
      <c r="BL4560" s="319"/>
      <c r="BM4560" s="319"/>
      <c r="BN4560" s="319"/>
      <c r="BO4560" s="319"/>
      <c r="BP4560" s="953"/>
      <c r="BQ4560" s="319"/>
      <c r="BR4560" s="319"/>
      <c r="BS4560" s="330"/>
      <c r="BT4560" s="331"/>
      <c r="BU4560" s="920"/>
      <c r="BV4560" s="903"/>
      <c r="BW4560" s="908"/>
      <c r="BX4560" s="908"/>
      <c r="BY4560" s="331"/>
      <c r="BZ4560" s="331"/>
      <c r="CA4560" s="462"/>
      <c r="CB4560" s="319"/>
      <c r="CC4560" s="319"/>
      <c r="CD4560" s="319"/>
      <c r="CE4560" s="319"/>
      <c r="CF4560" s="319"/>
      <c r="CG4560" s="319"/>
      <c r="CH4560" s="318"/>
      <c r="CI4560" s="319"/>
      <c r="CJ4560" s="319"/>
      <c r="CK4560" s="342"/>
      <c r="CL4560" s="333"/>
      <c r="CM4560" s="1079"/>
      <c r="CN4560" s="1005"/>
      <c r="CO4560" s="1005"/>
      <c r="CP4560" s="1005"/>
    </row>
    <row r="4561">
      <c r="A4561" s="1257"/>
      <c r="B4561" s="1113"/>
      <c r="C4561" s="1107"/>
      <c r="D4561" s="103"/>
      <c r="E4561" s="1137"/>
      <c r="F4561" s="112"/>
      <c r="G4561" s="1110"/>
      <c r="H4561" s="1138"/>
      <c r="I4561" s="1138"/>
      <c r="J4561" s="1139"/>
      <c r="K4561" s="1111"/>
      <c r="L4561" s="1112"/>
      <c r="M4561" s="1113"/>
      <c r="N4561" s="110"/>
      <c r="O4561" s="1140"/>
      <c r="P4561" s="1115"/>
      <c r="Q4561" s="1116"/>
      <c r="R4561" s="1141"/>
      <c r="S4561" s="1113"/>
      <c r="T4561" s="1143"/>
      <c r="U4561" s="1108"/>
      <c r="V4561" s="1108"/>
      <c r="W4561" s="1108"/>
      <c r="X4561" s="1108"/>
      <c r="Y4561" s="1108"/>
      <c r="Z4561" s="1114"/>
      <c r="AA4561" s="1114"/>
      <c r="AB4561" s="1114"/>
      <c r="AC4561" s="1117"/>
      <c r="AD4561" s="1115"/>
      <c r="AE4561" s="1115"/>
      <c r="AF4561" s="1115"/>
      <c r="AG4561" s="1115"/>
      <c r="AH4561" s="1115"/>
      <c r="AI4561" s="1115"/>
      <c r="AJ4561" s="1117"/>
      <c r="AK4561" s="1118"/>
      <c r="AL4561" s="1115"/>
      <c r="AM4561" s="1115"/>
      <c r="AN4561" s="1115"/>
      <c r="AO4561" s="1115"/>
      <c r="AP4561" s="1115"/>
      <c r="AQ4561" s="1115"/>
      <c r="AR4561" s="1115"/>
      <c r="AS4561" s="1117"/>
      <c r="AT4561" s="1075"/>
      <c r="AU4561" s="1193"/>
      <c r="AV4561" s="330"/>
      <c r="AW4561" s="331"/>
      <c r="AX4561" s="331"/>
      <c r="AY4561" s="331"/>
      <c r="AZ4561" s="331"/>
      <c r="BA4561" s="331"/>
      <c r="BB4561" s="331"/>
      <c r="BC4561" s="331"/>
      <c r="BD4561" s="331"/>
      <c r="BE4561" s="333"/>
      <c r="BF4561" s="330"/>
      <c r="BG4561" s="333"/>
      <c r="BH4561" s="1119"/>
      <c r="BI4561" s="319"/>
      <c r="BJ4561" s="319"/>
      <c r="BK4561" s="319"/>
      <c r="BL4561" s="319"/>
      <c r="BM4561" s="319"/>
      <c r="BN4561" s="319"/>
      <c r="BO4561" s="319"/>
      <c r="BP4561" s="953"/>
      <c r="BQ4561" s="319"/>
      <c r="BR4561" s="319"/>
      <c r="BS4561" s="330"/>
      <c r="BT4561" s="331"/>
      <c r="BU4561" s="920"/>
      <c r="BV4561" s="903"/>
      <c r="BW4561" s="908"/>
      <c r="BX4561" s="908"/>
      <c r="BY4561" s="331"/>
      <c r="BZ4561" s="331"/>
      <c r="CA4561" s="462"/>
      <c r="CB4561" s="319"/>
      <c r="CC4561" s="319"/>
      <c r="CD4561" s="319"/>
      <c r="CE4561" s="319"/>
      <c r="CF4561" s="319"/>
      <c r="CG4561" s="319"/>
      <c r="CH4561" s="318"/>
      <c r="CI4561" s="319"/>
      <c r="CJ4561" s="319"/>
      <c r="CK4561" s="342"/>
      <c r="CL4561" s="333"/>
      <c r="CM4561" s="1079"/>
      <c r="CN4561" s="1005"/>
      <c r="CO4561" s="1005"/>
      <c r="CP4561" s="1005"/>
    </row>
    <row r="4562">
      <c r="A4562" s="1257"/>
      <c r="B4562" s="1113"/>
      <c r="C4562" s="1107"/>
      <c r="D4562" s="103"/>
      <c r="E4562" s="1137"/>
      <c r="F4562" s="112"/>
      <c r="G4562" s="1110"/>
      <c r="H4562" s="1138"/>
      <c r="I4562" s="1138"/>
      <c r="J4562" s="1139"/>
      <c r="K4562" s="1111"/>
      <c r="L4562" s="1112"/>
      <c r="M4562" s="1113"/>
      <c r="N4562" s="110"/>
      <c r="O4562" s="1140"/>
      <c r="P4562" s="1115"/>
      <c r="Q4562" s="1116"/>
      <c r="R4562" s="1141"/>
      <c r="S4562" s="1113"/>
      <c r="T4562" s="1143"/>
      <c r="U4562" s="1108"/>
      <c r="V4562" s="1108"/>
      <c r="W4562" s="1108"/>
      <c r="X4562" s="1108"/>
      <c r="Y4562" s="1108"/>
      <c r="Z4562" s="1114"/>
      <c r="AA4562" s="1114"/>
      <c r="AB4562" s="1114"/>
      <c r="AC4562" s="1117"/>
      <c r="AD4562" s="1115"/>
      <c r="AE4562" s="1115"/>
      <c r="AF4562" s="1115"/>
      <c r="AG4562" s="1115"/>
      <c r="AH4562" s="1115"/>
      <c r="AI4562" s="1115"/>
      <c r="AJ4562" s="1117"/>
      <c r="AK4562" s="1118"/>
      <c r="AL4562" s="1115"/>
      <c r="AM4562" s="1115"/>
      <c r="AN4562" s="1115"/>
      <c r="AO4562" s="1115"/>
      <c r="AP4562" s="1115"/>
      <c r="AQ4562" s="1115"/>
      <c r="AR4562" s="1115"/>
      <c r="AS4562" s="1117"/>
      <c r="AT4562" s="1075"/>
      <c r="AU4562" s="1193"/>
      <c r="AV4562" s="330"/>
      <c r="AW4562" s="331"/>
      <c r="AX4562" s="331"/>
      <c r="AY4562" s="331"/>
      <c r="AZ4562" s="331"/>
      <c r="BA4562" s="331"/>
      <c r="BB4562" s="331"/>
      <c r="BC4562" s="331"/>
      <c r="BD4562" s="331"/>
      <c r="BE4562" s="333"/>
      <c r="BF4562" s="330"/>
      <c r="BG4562" s="333"/>
      <c r="BH4562" s="1119"/>
      <c r="BI4562" s="319"/>
      <c r="BJ4562" s="319"/>
      <c r="BK4562" s="319"/>
      <c r="BL4562" s="319"/>
      <c r="BM4562" s="319"/>
      <c r="BN4562" s="319"/>
      <c r="BO4562" s="319"/>
      <c r="BP4562" s="953"/>
      <c r="BQ4562" s="319"/>
      <c r="BR4562" s="319"/>
      <c r="BS4562" s="330"/>
      <c r="BT4562" s="331"/>
      <c r="BU4562" s="920"/>
      <c r="BV4562" s="903"/>
      <c r="BW4562" s="908"/>
      <c r="BX4562" s="908"/>
      <c r="BY4562" s="331"/>
      <c r="BZ4562" s="331"/>
      <c r="CA4562" s="462"/>
      <c r="CB4562" s="319"/>
      <c r="CC4562" s="319"/>
      <c r="CD4562" s="319"/>
      <c r="CE4562" s="319"/>
      <c r="CF4562" s="319"/>
      <c r="CG4562" s="319"/>
      <c r="CH4562" s="318"/>
      <c r="CI4562" s="319"/>
      <c r="CJ4562" s="319"/>
      <c r="CK4562" s="342"/>
      <c r="CL4562" s="333"/>
      <c r="CM4562" s="1079"/>
      <c r="CN4562" s="1005"/>
      <c r="CO4562" s="1005"/>
      <c r="CP4562" s="1005"/>
    </row>
    <row r="4563">
      <c r="A4563" s="1257"/>
      <c r="B4563" s="1113"/>
      <c r="C4563" s="1107"/>
      <c r="D4563" s="103"/>
      <c r="E4563" s="1137"/>
      <c r="F4563" s="112"/>
      <c r="G4563" s="1110"/>
      <c r="H4563" s="1138"/>
      <c r="I4563" s="1138"/>
      <c r="J4563" s="1139"/>
      <c r="K4563" s="1111"/>
      <c r="L4563" s="1112"/>
      <c r="M4563" s="1113"/>
      <c r="N4563" s="110"/>
      <c r="O4563" s="1140"/>
      <c r="P4563" s="1115"/>
      <c r="Q4563" s="1116"/>
      <c r="R4563" s="1141"/>
      <c r="S4563" s="1113"/>
      <c r="T4563" s="1143"/>
      <c r="U4563" s="1108"/>
      <c r="V4563" s="1108"/>
      <c r="W4563" s="1108"/>
      <c r="X4563" s="1108"/>
      <c r="Y4563" s="1108"/>
      <c r="Z4563" s="1114"/>
      <c r="AA4563" s="1114"/>
      <c r="AB4563" s="1114"/>
      <c r="AC4563" s="1117"/>
      <c r="AD4563" s="1115"/>
      <c r="AE4563" s="1115"/>
      <c r="AF4563" s="1115"/>
      <c r="AG4563" s="1115"/>
      <c r="AH4563" s="1115"/>
      <c r="AI4563" s="1115"/>
      <c r="AJ4563" s="1117"/>
      <c r="AK4563" s="1118"/>
      <c r="AL4563" s="1115"/>
      <c r="AM4563" s="1115"/>
      <c r="AN4563" s="1115"/>
      <c r="AO4563" s="1115"/>
      <c r="AP4563" s="1115"/>
      <c r="AQ4563" s="1115"/>
      <c r="AR4563" s="1115"/>
      <c r="AS4563" s="1117"/>
      <c r="AT4563" s="1075"/>
      <c r="AU4563" s="1193"/>
      <c r="AV4563" s="330"/>
      <c r="AW4563" s="331"/>
      <c r="AX4563" s="331"/>
      <c r="AY4563" s="331"/>
      <c r="AZ4563" s="331"/>
      <c r="BA4563" s="331"/>
      <c r="BB4563" s="331"/>
      <c r="BC4563" s="331"/>
      <c r="BD4563" s="331"/>
      <c r="BE4563" s="333"/>
      <c r="BF4563" s="330"/>
      <c r="BG4563" s="333"/>
      <c r="BH4563" s="1119"/>
      <c r="BI4563" s="319"/>
      <c r="BJ4563" s="319"/>
      <c r="BK4563" s="319"/>
      <c r="BL4563" s="319"/>
      <c r="BM4563" s="319"/>
      <c r="BN4563" s="319"/>
      <c r="BO4563" s="319"/>
      <c r="BP4563" s="953"/>
      <c r="BQ4563" s="319"/>
      <c r="BR4563" s="319"/>
      <c r="BS4563" s="330"/>
      <c r="BT4563" s="331"/>
      <c r="BU4563" s="920"/>
      <c r="BV4563" s="903"/>
      <c r="BW4563" s="908"/>
      <c r="BX4563" s="908"/>
      <c r="BY4563" s="331"/>
      <c r="BZ4563" s="331"/>
      <c r="CA4563" s="462"/>
      <c r="CB4563" s="319"/>
      <c r="CC4563" s="319"/>
      <c r="CD4563" s="319"/>
      <c r="CE4563" s="319"/>
      <c r="CF4563" s="319"/>
      <c r="CG4563" s="319"/>
      <c r="CH4563" s="318"/>
      <c r="CI4563" s="319"/>
      <c r="CJ4563" s="319"/>
      <c r="CK4563" s="342"/>
      <c r="CL4563" s="333"/>
      <c r="CM4563" s="1079"/>
      <c r="CN4563" s="1005"/>
      <c r="CO4563" s="1005"/>
      <c r="CP4563" s="1005"/>
    </row>
    <row r="4564">
      <c r="A4564" s="1257"/>
      <c r="B4564" s="1113"/>
      <c r="C4564" s="1107"/>
      <c r="D4564" s="103"/>
      <c r="E4564" s="1137"/>
      <c r="F4564" s="112"/>
      <c r="G4564" s="1110"/>
      <c r="H4564" s="1138"/>
      <c r="I4564" s="1138"/>
      <c r="J4564" s="1139"/>
      <c r="K4564" s="1111"/>
      <c r="L4564" s="1112"/>
      <c r="M4564" s="1113"/>
      <c r="N4564" s="110"/>
      <c r="O4564" s="1140"/>
      <c r="P4564" s="1115"/>
      <c r="Q4564" s="1116"/>
      <c r="R4564" s="1141"/>
      <c r="S4564" s="1113"/>
      <c r="T4564" s="1143"/>
      <c r="U4564" s="1108"/>
      <c r="V4564" s="1108"/>
      <c r="W4564" s="1108"/>
      <c r="X4564" s="1108"/>
      <c r="Y4564" s="1108"/>
      <c r="Z4564" s="1114"/>
      <c r="AA4564" s="1114"/>
      <c r="AB4564" s="1114"/>
      <c r="AC4564" s="1117"/>
      <c r="AD4564" s="1115"/>
      <c r="AE4564" s="1115"/>
      <c r="AF4564" s="1115"/>
      <c r="AG4564" s="1115"/>
      <c r="AH4564" s="1115"/>
      <c r="AI4564" s="1115"/>
      <c r="AJ4564" s="1117"/>
      <c r="AK4564" s="1118"/>
      <c r="AL4564" s="1115"/>
      <c r="AM4564" s="1115"/>
      <c r="AN4564" s="1115"/>
      <c r="AO4564" s="1115"/>
      <c r="AP4564" s="1115"/>
      <c r="AQ4564" s="1115"/>
      <c r="AR4564" s="1115"/>
      <c r="AS4564" s="1117"/>
      <c r="AT4564" s="1075"/>
      <c r="AU4564" s="1193"/>
      <c r="AV4564" s="330"/>
      <c r="AW4564" s="331"/>
      <c r="AX4564" s="331"/>
      <c r="AY4564" s="331"/>
      <c r="AZ4564" s="331"/>
      <c r="BA4564" s="331"/>
      <c r="BB4564" s="331"/>
      <c r="BC4564" s="331"/>
      <c r="BD4564" s="331"/>
      <c r="BE4564" s="333"/>
      <c r="BF4564" s="330"/>
      <c r="BG4564" s="333"/>
      <c r="BH4564" s="1119"/>
      <c r="BI4564" s="319"/>
      <c r="BJ4564" s="319"/>
      <c r="BK4564" s="319"/>
      <c r="BL4564" s="319"/>
      <c r="BM4564" s="319"/>
      <c r="BN4564" s="319"/>
      <c r="BO4564" s="319"/>
      <c r="BP4564" s="953"/>
      <c r="BQ4564" s="319"/>
      <c r="BR4564" s="319"/>
      <c r="BS4564" s="330"/>
      <c r="BT4564" s="331"/>
      <c r="BU4564" s="920"/>
      <c r="BV4564" s="903"/>
      <c r="BW4564" s="908"/>
      <c r="BX4564" s="908"/>
      <c r="BY4564" s="331"/>
      <c r="BZ4564" s="331"/>
      <c r="CA4564" s="462"/>
      <c r="CB4564" s="319"/>
      <c r="CC4564" s="319"/>
      <c r="CD4564" s="319"/>
      <c r="CE4564" s="319"/>
      <c r="CF4564" s="319"/>
      <c r="CG4564" s="319"/>
      <c r="CH4564" s="318"/>
      <c r="CI4564" s="319"/>
      <c r="CJ4564" s="319"/>
      <c r="CK4564" s="342"/>
      <c r="CL4564" s="333"/>
      <c r="CM4564" s="1079"/>
      <c r="CN4564" s="1005"/>
      <c r="CO4564" s="1005"/>
      <c r="CP4564" s="1005"/>
    </row>
    <row r="4565">
      <c r="A4565" s="1257"/>
      <c r="B4565" s="1113"/>
      <c r="C4565" s="1107"/>
      <c r="D4565" s="103"/>
      <c r="E4565" s="1137"/>
      <c r="F4565" s="112"/>
      <c r="G4565" s="1110"/>
      <c r="H4565" s="1138"/>
      <c r="I4565" s="1138"/>
      <c r="J4565" s="1139"/>
      <c r="K4565" s="1111"/>
      <c r="L4565" s="1112"/>
      <c r="M4565" s="1113"/>
      <c r="N4565" s="110"/>
      <c r="O4565" s="1140"/>
      <c r="P4565" s="1115"/>
      <c r="Q4565" s="1116"/>
      <c r="R4565" s="1141"/>
      <c r="S4565" s="1113"/>
      <c r="T4565" s="1143"/>
      <c r="U4565" s="1108"/>
      <c r="V4565" s="1108"/>
      <c r="W4565" s="1108"/>
      <c r="X4565" s="1108"/>
      <c r="Y4565" s="1108"/>
      <c r="Z4565" s="1114"/>
      <c r="AA4565" s="1114"/>
      <c r="AB4565" s="1114"/>
      <c r="AC4565" s="1117"/>
      <c r="AD4565" s="1115"/>
      <c r="AE4565" s="1115"/>
      <c r="AF4565" s="1115"/>
      <c r="AG4565" s="1115"/>
      <c r="AH4565" s="1115"/>
      <c r="AI4565" s="1115"/>
      <c r="AJ4565" s="1117"/>
      <c r="AK4565" s="1118"/>
      <c r="AL4565" s="1115"/>
      <c r="AM4565" s="1115"/>
      <c r="AN4565" s="1115"/>
      <c r="AO4565" s="1115"/>
      <c r="AP4565" s="1115"/>
      <c r="AQ4565" s="1115"/>
      <c r="AR4565" s="1115"/>
      <c r="AS4565" s="1117"/>
      <c r="AT4565" s="1075"/>
      <c r="AU4565" s="1193"/>
      <c r="AV4565" s="330"/>
      <c r="AW4565" s="331"/>
      <c r="AX4565" s="331"/>
      <c r="AY4565" s="331"/>
      <c r="AZ4565" s="331"/>
      <c r="BA4565" s="331"/>
      <c r="BB4565" s="331"/>
      <c r="BC4565" s="331"/>
      <c r="BD4565" s="331"/>
      <c r="BE4565" s="333"/>
      <c r="BF4565" s="330"/>
      <c r="BG4565" s="333"/>
      <c r="BH4565" s="1119"/>
      <c r="BI4565" s="319"/>
      <c r="BJ4565" s="319"/>
      <c r="BK4565" s="319"/>
      <c r="BL4565" s="319"/>
      <c r="BM4565" s="319"/>
      <c r="BN4565" s="319"/>
      <c r="BO4565" s="319"/>
      <c r="BP4565" s="953"/>
      <c r="BQ4565" s="319"/>
      <c r="BR4565" s="319"/>
      <c r="BS4565" s="330"/>
      <c r="BT4565" s="331"/>
      <c r="BU4565" s="920"/>
      <c r="BV4565" s="903"/>
      <c r="BW4565" s="908"/>
      <c r="BX4565" s="908"/>
      <c r="BY4565" s="331"/>
      <c r="BZ4565" s="331"/>
      <c r="CA4565" s="462"/>
      <c r="CB4565" s="319"/>
      <c r="CC4565" s="319"/>
      <c r="CD4565" s="319"/>
      <c r="CE4565" s="319"/>
      <c r="CF4565" s="319"/>
      <c r="CG4565" s="319"/>
      <c r="CH4565" s="318"/>
      <c r="CI4565" s="319"/>
      <c r="CJ4565" s="319"/>
      <c r="CK4565" s="342"/>
      <c r="CL4565" s="333"/>
      <c r="CM4565" s="1079"/>
      <c r="CN4565" s="1005"/>
      <c r="CO4565" s="1005"/>
      <c r="CP4565" s="1005"/>
    </row>
    <row r="4566">
      <c r="A4566" s="1257"/>
      <c r="B4566" s="1113"/>
      <c r="C4566" s="1107"/>
      <c r="D4566" s="103"/>
      <c r="E4566" s="1137"/>
      <c r="F4566" s="112"/>
      <c r="G4566" s="1110"/>
      <c r="H4566" s="1138"/>
      <c r="I4566" s="1138"/>
      <c r="J4566" s="1139"/>
      <c r="K4566" s="1111"/>
      <c r="L4566" s="1112"/>
      <c r="M4566" s="1113"/>
      <c r="N4566" s="110"/>
      <c r="O4566" s="1140"/>
      <c r="P4566" s="1115"/>
      <c r="Q4566" s="1116"/>
      <c r="R4566" s="1141"/>
      <c r="S4566" s="1113"/>
      <c r="T4566" s="1143"/>
      <c r="U4566" s="1108"/>
      <c r="V4566" s="1108"/>
      <c r="W4566" s="1108"/>
      <c r="X4566" s="1108"/>
      <c r="Y4566" s="1108"/>
      <c r="Z4566" s="1114"/>
      <c r="AA4566" s="1114"/>
      <c r="AB4566" s="1114"/>
      <c r="AC4566" s="1117"/>
      <c r="AD4566" s="1115"/>
      <c r="AE4566" s="1115"/>
      <c r="AF4566" s="1115"/>
      <c r="AG4566" s="1115"/>
      <c r="AH4566" s="1115"/>
      <c r="AI4566" s="1115"/>
      <c r="AJ4566" s="1117"/>
      <c r="AK4566" s="1118"/>
      <c r="AL4566" s="1115"/>
      <c r="AM4566" s="1115"/>
      <c r="AN4566" s="1115"/>
      <c r="AO4566" s="1115"/>
      <c r="AP4566" s="1115"/>
      <c r="AQ4566" s="1115"/>
      <c r="AR4566" s="1115"/>
      <c r="AS4566" s="1117"/>
      <c r="AT4566" s="1075"/>
      <c r="AU4566" s="1193"/>
      <c r="AV4566" s="330"/>
      <c r="AW4566" s="331"/>
      <c r="AX4566" s="331"/>
      <c r="AY4566" s="331"/>
      <c r="AZ4566" s="331"/>
      <c r="BA4566" s="331"/>
      <c r="BB4566" s="331"/>
      <c r="BC4566" s="331"/>
      <c r="BD4566" s="331"/>
      <c r="BE4566" s="333"/>
      <c r="BF4566" s="330"/>
      <c r="BG4566" s="333"/>
      <c r="BH4566" s="1119"/>
      <c r="BI4566" s="319"/>
      <c r="BJ4566" s="319"/>
      <c r="BK4566" s="319"/>
      <c r="BL4566" s="319"/>
      <c r="BM4566" s="319"/>
      <c r="BN4566" s="319"/>
      <c r="BO4566" s="319"/>
      <c r="BP4566" s="953"/>
      <c r="BQ4566" s="319"/>
      <c r="BR4566" s="319"/>
      <c r="BS4566" s="330"/>
      <c r="BT4566" s="331"/>
      <c r="BU4566" s="920"/>
      <c r="BV4566" s="903"/>
      <c r="BW4566" s="908"/>
      <c r="BX4566" s="908"/>
      <c r="BY4566" s="331"/>
      <c r="BZ4566" s="331"/>
      <c r="CA4566" s="462"/>
      <c r="CB4566" s="319"/>
      <c r="CC4566" s="319"/>
      <c r="CD4566" s="319"/>
      <c r="CE4566" s="319"/>
      <c r="CF4566" s="319"/>
      <c r="CG4566" s="319"/>
      <c r="CH4566" s="318"/>
      <c r="CI4566" s="319"/>
      <c r="CJ4566" s="319"/>
      <c r="CK4566" s="342"/>
      <c r="CL4566" s="333"/>
      <c r="CM4566" s="1079"/>
      <c r="CN4566" s="1005"/>
      <c r="CO4566" s="1005"/>
      <c r="CP4566" s="1005"/>
    </row>
    <row r="4567">
      <c r="A4567" s="1257"/>
      <c r="B4567" s="1113"/>
      <c r="C4567" s="1107"/>
      <c r="D4567" s="103"/>
      <c r="E4567" s="1137"/>
      <c r="F4567" s="112"/>
      <c r="G4567" s="1110"/>
      <c r="H4567" s="1138"/>
      <c r="I4567" s="1138"/>
      <c r="J4567" s="1139"/>
      <c r="K4567" s="1111"/>
      <c r="L4567" s="1112"/>
      <c r="M4567" s="1113"/>
      <c r="N4567" s="110"/>
      <c r="O4567" s="1140"/>
      <c r="P4567" s="1115"/>
      <c r="Q4567" s="1116"/>
      <c r="R4567" s="1141"/>
      <c r="S4567" s="1113"/>
      <c r="T4567" s="1143"/>
      <c r="U4567" s="1108"/>
      <c r="V4567" s="1108"/>
      <c r="W4567" s="1108"/>
      <c r="X4567" s="1108"/>
      <c r="Y4567" s="1108"/>
      <c r="Z4567" s="1114"/>
      <c r="AA4567" s="1114"/>
      <c r="AB4567" s="1114"/>
      <c r="AC4567" s="1117"/>
      <c r="AD4567" s="1115"/>
      <c r="AE4567" s="1115"/>
      <c r="AF4567" s="1115"/>
      <c r="AG4567" s="1115"/>
      <c r="AH4567" s="1115"/>
      <c r="AI4567" s="1115"/>
      <c r="AJ4567" s="1117"/>
      <c r="AK4567" s="1118"/>
      <c r="AL4567" s="1115"/>
      <c r="AM4567" s="1115"/>
      <c r="AN4567" s="1115"/>
      <c r="AO4567" s="1115"/>
      <c r="AP4567" s="1115"/>
      <c r="AQ4567" s="1115"/>
      <c r="AR4567" s="1115"/>
      <c r="AS4567" s="1117"/>
      <c r="AT4567" s="1075"/>
      <c r="AU4567" s="1193"/>
      <c r="AV4567" s="330"/>
      <c r="AW4567" s="331"/>
      <c r="AX4567" s="331"/>
      <c r="AY4567" s="331"/>
      <c r="AZ4567" s="331"/>
      <c r="BA4567" s="331"/>
      <c r="BB4567" s="331"/>
      <c r="BC4567" s="331"/>
      <c r="BD4567" s="331"/>
      <c r="BE4567" s="333"/>
      <c r="BF4567" s="330"/>
      <c r="BG4567" s="333"/>
      <c r="BH4567" s="1119"/>
      <c r="BI4567" s="319"/>
      <c r="BJ4567" s="319"/>
      <c r="BK4567" s="319"/>
      <c r="BL4567" s="319"/>
      <c r="BM4567" s="319"/>
      <c r="BN4567" s="319"/>
      <c r="BO4567" s="319"/>
      <c r="BP4567" s="953"/>
      <c r="BQ4567" s="319"/>
      <c r="BR4567" s="319"/>
      <c r="BS4567" s="330"/>
      <c r="BT4567" s="331"/>
      <c r="BU4567" s="920"/>
      <c r="BV4567" s="903"/>
      <c r="BW4567" s="908"/>
      <c r="BX4567" s="908"/>
      <c r="BY4567" s="331"/>
      <c r="BZ4567" s="331"/>
      <c r="CA4567" s="462"/>
      <c r="CB4567" s="319"/>
      <c r="CC4567" s="319"/>
      <c r="CD4567" s="319"/>
      <c r="CE4567" s="319"/>
      <c r="CF4567" s="319"/>
      <c r="CG4567" s="319"/>
      <c r="CH4567" s="318"/>
      <c r="CI4567" s="319"/>
      <c r="CJ4567" s="319"/>
      <c r="CK4567" s="342"/>
      <c r="CL4567" s="333"/>
      <c r="CM4567" s="1079"/>
      <c r="CN4567" s="1005"/>
      <c r="CO4567" s="1005"/>
      <c r="CP4567" s="1005"/>
    </row>
    <row r="4568">
      <c r="A4568" s="1257"/>
      <c r="B4568" s="1113"/>
      <c r="C4568" s="1107"/>
      <c r="D4568" s="103"/>
      <c r="E4568" s="1137"/>
      <c r="F4568" s="112"/>
      <c r="G4568" s="1110"/>
      <c r="H4568" s="1138"/>
      <c r="I4568" s="1138"/>
      <c r="J4568" s="1139"/>
      <c r="K4568" s="1111"/>
      <c r="L4568" s="1112"/>
      <c r="M4568" s="1113"/>
      <c r="N4568" s="110"/>
      <c r="O4568" s="1140"/>
      <c r="P4568" s="1115"/>
      <c r="Q4568" s="1116"/>
      <c r="R4568" s="1141"/>
      <c r="S4568" s="1113"/>
      <c r="T4568" s="1143"/>
      <c r="U4568" s="1108"/>
      <c r="V4568" s="1108"/>
      <c r="W4568" s="1108"/>
      <c r="X4568" s="1108"/>
      <c r="Y4568" s="1108"/>
      <c r="Z4568" s="1114"/>
      <c r="AA4568" s="1114"/>
      <c r="AB4568" s="1114"/>
      <c r="AC4568" s="1117"/>
      <c r="AD4568" s="1115"/>
      <c r="AE4568" s="1115"/>
      <c r="AF4568" s="1115"/>
      <c r="AG4568" s="1115"/>
      <c r="AH4568" s="1115"/>
      <c r="AI4568" s="1115"/>
      <c r="AJ4568" s="1117"/>
      <c r="AK4568" s="1118"/>
      <c r="AL4568" s="1115"/>
      <c r="AM4568" s="1115"/>
      <c r="AN4568" s="1115"/>
      <c r="AO4568" s="1115"/>
      <c r="AP4568" s="1115"/>
      <c r="AQ4568" s="1115"/>
      <c r="AR4568" s="1115"/>
      <c r="AS4568" s="1117"/>
      <c r="AT4568" s="1075"/>
      <c r="AU4568" s="1193"/>
      <c r="AV4568" s="330"/>
      <c r="AW4568" s="331"/>
      <c r="AX4568" s="331"/>
      <c r="AY4568" s="331"/>
      <c r="AZ4568" s="331"/>
      <c r="BA4568" s="331"/>
      <c r="BB4568" s="331"/>
      <c r="BC4568" s="331"/>
      <c r="BD4568" s="331"/>
      <c r="BE4568" s="333"/>
      <c r="BF4568" s="330"/>
      <c r="BG4568" s="333"/>
      <c r="BH4568" s="1119"/>
      <c r="BI4568" s="319"/>
      <c r="BJ4568" s="319"/>
      <c r="BK4568" s="319"/>
      <c r="BL4568" s="319"/>
      <c r="BM4568" s="319"/>
      <c r="BN4568" s="319"/>
      <c r="BO4568" s="319"/>
      <c r="BP4568" s="953"/>
      <c r="BQ4568" s="319"/>
      <c r="BR4568" s="319"/>
      <c r="BS4568" s="330"/>
      <c r="BT4568" s="331"/>
      <c r="BU4568" s="920"/>
      <c r="BV4568" s="903"/>
      <c r="BW4568" s="908"/>
      <c r="BX4568" s="908"/>
      <c r="BY4568" s="331"/>
      <c r="BZ4568" s="331"/>
      <c r="CA4568" s="462"/>
      <c r="CB4568" s="319"/>
      <c r="CC4568" s="319"/>
      <c r="CD4568" s="319"/>
      <c r="CE4568" s="319"/>
      <c r="CF4568" s="319"/>
      <c r="CG4568" s="319"/>
      <c r="CH4568" s="318"/>
      <c r="CI4568" s="319"/>
      <c r="CJ4568" s="319"/>
      <c r="CK4568" s="342"/>
      <c r="CL4568" s="333"/>
      <c r="CM4568" s="1079"/>
      <c r="CN4568" s="1005"/>
      <c r="CO4568" s="1005"/>
      <c r="CP4568" s="1005"/>
    </row>
    <row r="4569">
      <c r="A4569" s="1257"/>
      <c r="B4569" s="1113"/>
      <c r="C4569" s="1107"/>
      <c r="D4569" s="103"/>
      <c r="E4569" s="1137"/>
      <c r="F4569" s="112"/>
      <c r="G4569" s="1110"/>
      <c r="H4569" s="1138"/>
      <c r="I4569" s="1138"/>
      <c r="J4569" s="1139"/>
      <c r="K4569" s="1111"/>
      <c r="L4569" s="1112"/>
      <c r="M4569" s="1113"/>
      <c r="N4569" s="110"/>
      <c r="O4569" s="1140"/>
      <c r="P4569" s="1115"/>
      <c r="Q4569" s="1116"/>
      <c r="R4569" s="1141"/>
      <c r="S4569" s="1113"/>
      <c r="T4569" s="1143"/>
      <c r="U4569" s="1108"/>
      <c r="V4569" s="1108"/>
      <c r="W4569" s="1108"/>
      <c r="X4569" s="1108"/>
      <c r="Y4569" s="1108"/>
      <c r="Z4569" s="1114"/>
      <c r="AA4569" s="1114"/>
      <c r="AB4569" s="1114"/>
      <c r="AC4569" s="1117"/>
      <c r="AD4569" s="1115"/>
      <c r="AE4569" s="1115"/>
      <c r="AF4569" s="1115"/>
      <c r="AG4569" s="1115"/>
      <c r="AH4569" s="1115"/>
      <c r="AI4569" s="1115"/>
      <c r="AJ4569" s="1117"/>
      <c r="AK4569" s="1118"/>
      <c r="AL4569" s="1115"/>
      <c r="AM4569" s="1115"/>
      <c r="AN4569" s="1115"/>
      <c r="AO4569" s="1115"/>
      <c r="AP4569" s="1115"/>
      <c r="AQ4569" s="1115"/>
      <c r="AR4569" s="1115"/>
      <c r="AS4569" s="1117"/>
      <c r="AT4569" s="1075"/>
      <c r="AU4569" s="1193"/>
      <c r="AV4569" s="330"/>
      <c r="AW4569" s="331"/>
      <c r="AX4569" s="331"/>
      <c r="AY4569" s="331"/>
      <c r="AZ4569" s="331"/>
      <c r="BA4569" s="331"/>
      <c r="BB4569" s="331"/>
      <c r="BC4569" s="331"/>
      <c r="BD4569" s="331"/>
      <c r="BE4569" s="333"/>
      <c r="BF4569" s="330"/>
      <c r="BG4569" s="333"/>
      <c r="BH4569" s="1119"/>
      <c r="BI4569" s="319"/>
      <c r="BJ4569" s="319"/>
      <c r="BK4569" s="319"/>
      <c r="BL4569" s="319"/>
      <c r="BM4569" s="319"/>
      <c r="BN4569" s="319"/>
      <c r="BO4569" s="319"/>
      <c r="BP4569" s="953"/>
      <c r="BQ4569" s="319"/>
      <c r="BR4569" s="319"/>
      <c r="BS4569" s="330"/>
      <c r="BT4569" s="331"/>
      <c r="BU4569" s="920"/>
      <c r="BV4569" s="903"/>
      <c r="BW4569" s="908"/>
      <c r="BX4569" s="908"/>
      <c r="BY4569" s="331"/>
      <c r="BZ4569" s="331"/>
      <c r="CA4569" s="462"/>
      <c r="CB4569" s="319"/>
      <c r="CC4569" s="319"/>
      <c r="CD4569" s="319"/>
      <c r="CE4569" s="319"/>
      <c r="CF4569" s="319"/>
      <c r="CG4569" s="319"/>
      <c r="CH4569" s="318"/>
      <c r="CI4569" s="319"/>
      <c r="CJ4569" s="319"/>
      <c r="CK4569" s="342"/>
      <c r="CL4569" s="333"/>
      <c r="CM4569" s="1079"/>
      <c r="CN4569" s="1005"/>
      <c r="CO4569" s="1005"/>
      <c r="CP4569" s="1005"/>
    </row>
    <row r="4570">
      <c r="A4570" s="1257"/>
      <c r="B4570" s="1113"/>
      <c r="C4570" s="1107"/>
      <c r="D4570" s="103"/>
      <c r="E4570" s="1137"/>
      <c r="F4570" s="112"/>
      <c r="G4570" s="1110"/>
      <c r="H4570" s="1138"/>
      <c r="I4570" s="1138"/>
      <c r="J4570" s="1139"/>
      <c r="K4570" s="1111"/>
      <c r="L4570" s="1112"/>
      <c r="M4570" s="1113"/>
      <c r="N4570" s="110"/>
      <c r="O4570" s="1140"/>
      <c r="P4570" s="1115"/>
      <c r="Q4570" s="1116"/>
      <c r="R4570" s="1141"/>
      <c r="S4570" s="1113"/>
      <c r="T4570" s="1143"/>
      <c r="U4570" s="1108"/>
      <c r="V4570" s="1108"/>
      <c r="W4570" s="1108"/>
      <c r="X4570" s="1108"/>
      <c r="Y4570" s="1108"/>
      <c r="Z4570" s="1114"/>
      <c r="AA4570" s="1114"/>
      <c r="AB4570" s="1114"/>
      <c r="AC4570" s="1117"/>
      <c r="AD4570" s="1115"/>
      <c r="AE4570" s="1115"/>
      <c r="AF4570" s="1115"/>
      <c r="AG4570" s="1115"/>
      <c r="AH4570" s="1115"/>
      <c r="AI4570" s="1115"/>
      <c r="AJ4570" s="1117"/>
      <c r="AK4570" s="1118"/>
      <c r="AL4570" s="1115"/>
      <c r="AM4570" s="1115"/>
      <c r="AN4570" s="1115"/>
      <c r="AO4570" s="1115"/>
      <c r="AP4570" s="1115"/>
      <c r="AQ4570" s="1115"/>
      <c r="AR4570" s="1115"/>
      <c r="AS4570" s="1117"/>
      <c r="AT4570" s="1075"/>
      <c r="AU4570" s="1193"/>
      <c r="AV4570" s="330"/>
      <c r="AW4570" s="331"/>
      <c r="AX4570" s="331"/>
      <c r="AY4570" s="331"/>
      <c r="AZ4570" s="331"/>
      <c r="BA4570" s="331"/>
      <c r="BB4570" s="331"/>
      <c r="BC4570" s="331"/>
      <c r="BD4570" s="331"/>
      <c r="BE4570" s="333"/>
      <c r="BF4570" s="330"/>
      <c r="BG4570" s="333"/>
      <c r="BH4570" s="1119"/>
      <c r="BI4570" s="319"/>
      <c r="BJ4570" s="319"/>
      <c r="BK4570" s="319"/>
      <c r="BL4570" s="319"/>
      <c r="BM4570" s="319"/>
      <c r="BN4570" s="319"/>
      <c r="BO4570" s="319"/>
      <c r="BP4570" s="953"/>
      <c r="BQ4570" s="319"/>
      <c r="BR4570" s="319"/>
      <c r="BS4570" s="330"/>
      <c r="BT4570" s="331"/>
      <c r="BU4570" s="920"/>
      <c r="BV4570" s="903"/>
      <c r="BW4570" s="908"/>
      <c r="BX4570" s="908"/>
      <c r="BY4570" s="331"/>
      <c r="BZ4570" s="331"/>
      <c r="CA4570" s="462"/>
      <c r="CB4570" s="319"/>
      <c r="CC4570" s="319"/>
      <c r="CD4570" s="319"/>
      <c r="CE4570" s="319"/>
      <c r="CF4570" s="319"/>
      <c r="CG4570" s="319"/>
      <c r="CH4570" s="318"/>
      <c r="CI4570" s="319"/>
      <c r="CJ4570" s="319"/>
      <c r="CK4570" s="342"/>
      <c r="CL4570" s="333"/>
      <c r="CM4570" s="1079"/>
      <c r="CN4570" s="1005"/>
      <c r="CO4570" s="1005"/>
      <c r="CP4570" s="1005"/>
    </row>
    <row r="4571">
      <c r="A4571" s="1257"/>
      <c r="B4571" s="1113"/>
      <c r="C4571" s="1107"/>
      <c r="D4571" s="103"/>
      <c r="E4571" s="1137"/>
      <c r="F4571" s="112"/>
      <c r="G4571" s="1110"/>
      <c r="H4571" s="1138"/>
      <c r="I4571" s="1138"/>
      <c r="J4571" s="1139"/>
      <c r="K4571" s="1111"/>
      <c r="L4571" s="1112"/>
      <c r="M4571" s="1113"/>
      <c r="N4571" s="110"/>
      <c r="O4571" s="1140"/>
      <c r="P4571" s="1115"/>
      <c r="Q4571" s="1116"/>
      <c r="R4571" s="1141"/>
      <c r="S4571" s="1113"/>
      <c r="T4571" s="1143"/>
      <c r="U4571" s="1108"/>
      <c r="V4571" s="1108"/>
      <c r="W4571" s="1108"/>
      <c r="X4571" s="1108"/>
      <c r="Y4571" s="1108"/>
      <c r="Z4571" s="1114"/>
      <c r="AA4571" s="1114"/>
      <c r="AB4571" s="1114"/>
      <c r="AC4571" s="1117"/>
      <c r="AD4571" s="1115"/>
      <c r="AE4571" s="1115"/>
      <c r="AF4571" s="1115"/>
      <c r="AG4571" s="1115"/>
      <c r="AH4571" s="1115"/>
      <c r="AI4571" s="1115"/>
      <c r="AJ4571" s="1117"/>
      <c r="AK4571" s="1118"/>
      <c r="AL4571" s="1115"/>
      <c r="AM4571" s="1115"/>
      <c r="AN4571" s="1115"/>
      <c r="AO4571" s="1115"/>
      <c r="AP4571" s="1115"/>
      <c r="AQ4571" s="1115"/>
      <c r="AR4571" s="1115"/>
      <c r="AS4571" s="1117"/>
      <c r="AT4571" s="1075"/>
      <c r="AU4571" s="1193"/>
      <c r="AV4571" s="330"/>
      <c r="AW4571" s="331"/>
      <c r="AX4571" s="331"/>
      <c r="AY4571" s="331"/>
      <c r="AZ4571" s="331"/>
      <c r="BA4571" s="331"/>
      <c r="BB4571" s="331"/>
      <c r="BC4571" s="331"/>
      <c r="BD4571" s="331"/>
      <c r="BE4571" s="333"/>
      <c r="BF4571" s="330"/>
      <c r="BG4571" s="333"/>
      <c r="BH4571" s="1119"/>
      <c r="BI4571" s="319"/>
      <c r="BJ4571" s="319"/>
      <c r="BK4571" s="319"/>
      <c r="BL4571" s="319"/>
      <c r="BM4571" s="319"/>
      <c r="BN4571" s="319"/>
      <c r="BO4571" s="319"/>
      <c r="BP4571" s="953"/>
      <c r="BQ4571" s="319"/>
      <c r="BR4571" s="319"/>
      <c r="BS4571" s="330"/>
      <c r="BT4571" s="331"/>
      <c r="BU4571" s="920"/>
      <c r="BV4571" s="903"/>
      <c r="BW4571" s="908"/>
      <c r="BX4571" s="908"/>
      <c r="BY4571" s="331"/>
      <c r="BZ4571" s="331"/>
      <c r="CA4571" s="462"/>
      <c r="CB4571" s="319"/>
      <c r="CC4571" s="319"/>
      <c r="CD4571" s="319"/>
      <c r="CE4571" s="319"/>
      <c r="CF4571" s="319"/>
      <c r="CG4571" s="319"/>
      <c r="CH4571" s="318"/>
      <c r="CI4571" s="319"/>
      <c r="CJ4571" s="319"/>
      <c r="CK4571" s="342"/>
      <c r="CL4571" s="333"/>
      <c r="CM4571" s="1079"/>
      <c r="CN4571" s="1005"/>
      <c r="CO4571" s="1005"/>
      <c r="CP4571" s="1005"/>
    </row>
    <row r="4572">
      <c r="A4572" s="1257"/>
      <c r="B4572" s="1113"/>
      <c r="C4572" s="1107"/>
      <c r="D4572" s="103"/>
      <c r="E4572" s="1137"/>
      <c r="F4572" s="112"/>
      <c r="G4572" s="1110"/>
      <c r="H4572" s="1138"/>
      <c r="I4572" s="1138"/>
      <c r="J4572" s="1139"/>
      <c r="K4572" s="1111"/>
      <c r="L4572" s="1112"/>
      <c r="M4572" s="1113"/>
      <c r="N4572" s="110"/>
      <c r="O4572" s="1140"/>
      <c r="P4572" s="1115"/>
      <c r="Q4572" s="1116"/>
      <c r="R4572" s="1141"/>
      <c r="S4572" s="1113"/>
      <c r="T4572" s="1143"/>
      <c r="U4572" s="1108"/>
      <c r="V4572" s="1108"/>
      <c r="W4572" s="1108"/>
      <c r="X4572" s="1108"/>
      <c r="Y4572" s="1108"/>
      <c r="Z4572" s="1114"/>
      <c r="AA4572" s="1114"/>
      <c r="AB4572" s="1114"/>
      <c r="AC4572" s="1117"/>
      <c r="AD4572" s="1115"/>
      <c r="AE4572" s="1115"/>
      <c r="AF4572" s="1115"/>
      <c r="AG4572" s="1115"/>
      <c r="AH4572" s="1115"/>
      <c r="AI4572" s="1115"/>
      <c r="AJ4572" s="1117"/>
      <c r="AK4572" s="1118"/>
      <c r="AL4572" s="1115"/>
      <c r="AM4572" s="1115"/>
      <c r="AN4572" s="1115"/>
      <c r="AO4572" s="1115"/>
      <c r="AP4572" s="1115"/>
      <c r="AQ4572" s="1115"/>
      <c r="AR4572" s="1115"/>
      <c r="AS4572" s="1117"/>
      <c r="AT4572" s="1075"/>
      <c r="AU4572" s="1193"/>
      <c r="AV4572" s="330"/>
      <c r="AW4572" s="331"/>
      <c r="AX4572" s="331"/>
      <c r="AY4572" s="331"/>
      <c r="AZ4572" s="331"/>
      <c r="BA4572" s="331"/>
      <c r="BB4572" s="331"/>
      <c r="BC4572" s="331"/>
      <c r="BD4572" s="331"/>
      <c r="BE4572" s="333"/>
      <c r="BF4572" s="330"/>
      <c r="BG4572" s="333"/>
      <c r="BH4572" s="1119"/>
      <c r="BI4572" s="319"/>
      <c r="BJ4572" s="319"/>
      <c r="BK4572" s="319"/>
      <c r="BL4572" s="319"/>
      <c r="BM4572" s="319"/>
      <c r="BN4572" s="319"/>
      <c r="BO4572" s="319"/>
      <c r="BP4572" s="953"/>
      <c r="BQ4572" s="319"/>
      <c r="BR4572" s="319"/>
      <c r="BS4572" s="330"/>
      <c r="BT4572" s="331"/>
      <c r="BU4572" s="920"/>
      <c r="BV4572" s="903"/>
      <c r="BW4572" s="908"/>
      <c r="BX4572" s="908"/>
      <c r="BY4572" s="331"/>
      <c r="BZ4572" s="331"/>
      <c r="CA4572" s="462"/>
      <c r="CB4572" s="319"/>
      <c r="CC4572" s="319"/>
      <c r="CD4572" s="319"/>
      <c r="CE4572" s="319"/>
      <c r="CF4572" s="319"/>
      <c r="CG4572" s="319"/>
      <c r="CH4572" s="318"/>
      <c r="CI4572" s="319"/>
      <c r="CJ4572" s="319"/>
      <c r="CK4572" s="342"/>
      <c r="CL4572" s="333"/>
      <c r="CM4572" s="1079"/>
      <c r="CN4572" s="1005"/>
      <c r="CO4572" s="1005"/>
      <c r="CP4572" s="1005"/>
    </row>
    <row r="4573">
      <c r="A4573" s="1257"/>
      <c r="B4573" s="1113"/>
      <c r="C4573" s="1107"/>
      <c r="D4573" s="103"/>
      <c r="E4573" s="1137"/>
      <c r="F4573" s="112"/>
      <c r="G4573" s="1110"/>
      <c r="H4573" s="1138"/>
      <c r="I4573" s="1138"/>
      <c r="J4573" s="1139"/>
      <c r="K4573" s="1111"/>
      <c r="L4573" s="1112"/>
      <c r="M4573" s="1113"/>
      <c r="N4573" s="110"/>
      <c r="O4573" s="1140"/>
      <c r="P4573" s="1115"/>
      <c r="Q4573" s="1116"/>
      <c r="R4573" s="1141"/>
      <c r="S4573" s="1113"/>
      <c r="T4573" s="1143"/>
      <c r="U4573" s="1108"/>
      <c r="V4573" s="1108"/>
      <c r="W4573" s="1108"/>
      <c r="X4573" s="1108"/>
      <c r="Y4573" s="1108"/>
      <c r="Z4573" s="1114"/>
      <c r="AA4573" s="1114"/>
      <c r="AB4573" s="1114"/>
      <c r="AC4573" s="1117"/>
      <c r="AD4573" s="1115"/>
      <c r="AE4573" s="1115"/>
      <c r="AF4573" s="1115"/>
      <c r="AG4573" s="1115"/>
      <c r="AH4573" s="1115"/>
      <c r="AI4573" s="1115"/>
      <c r="AJ4573" s="1117"/>
      <c r="AK4573" s="1118"/>
      <c r="AL4573" s="1115"/>
      <c r="AM4573" s="1115"/>
      <c r="AN4573" s="1115"/>
      <c r="AO4573" s="1115"/>
      <c r="AP4573" s="1115"/>
      <c r="AQ4573" s="1115"/>
      <c r="AR4573" s="1115"/>
      <c r="AS4573" s="1117"/>
      <c r="AT4573" s="1075"/>
      <c r="AU4573" s="1193"/>
      <c r="AV4573" s="330"/>
      <c r="AW4573" s="331"/>
      <c r="AX4573" s="331"/>
      <c r="AY4573" s="331"/>
      <c r="AZ4573" s="331"/>
      <c r="BA4573" s="331"/>
      <c r="BB4573" s="331"/>
      <c r="BC4573" s="331"/>
      <c r="BD4573" s="331"/>
      <c r="BE4573" s="333"/>
      <c r="BF4573" s="330"/>
      <c r="BG4573" s="333"/>
      <c r="BH4573" s="1119"/>
      <c r="BI4573" s="319"/>
      <c r="BJ4573" s="319"/>
      <c r="BK4573" s="319"/>
      <c r="BL4573" s="319"/>
      <c r="BM4573" s="319"/>
      <c r="BN4573" s="319"/>
      <c r="BO4573" s="319"/>
      <c r="BP4573" s="953"/>
      <c r="BQ4573" s="319"/>
      <c r="BR4573" s="319"/>
      <c r="BS4573" s="330"/>
      <c r="BT4573" s="331"/>
      <c r="BU4573" s="920"/>
      <c r="BV4573" s="903"/>
      <c r="BW4573" s="908"/>
      <c r="BX4573" s="908"/>
      <c r="BY4573" s="331"/>
      <c r="BZ4573" s="331"/>
      <c r="CA4573" s="462"/>
      <c r="CB4573" s="319"/>
      <c r="CC4573" s="319"/>
      <c r="CD4573" s="319"/>
      <c r="CE4573" s="319"/>
      <c r="CF4573" s="319"/>
      <c r="CG4573" s="319"/>
      <c r="CH4573" s="318"/>
      <c r="CI4573" s="319"/>
      <c r="CJ4573" s="319"/>
      <c r="CK4573" s="342"/>
      <c r="CL4573" s="333"/>
      <c r="CM4573" s="1079"/>
      <c r="CN4573" s="1005"/>
      <c r="CO4573" s="1005"/>
      <c r="CP4573" s="1005"/>
    </row>
    <row r="4574">
      <c r="A4574" s="1257"/>
      <c r="B4574" s="1113"/>
      <c r="C4574" s="1107"/>
      <c r="D4574" s="103"/>
      <c r="E4574" s="1137"/>
      <c r="F4574" s="112"/>
      <c r="G4574" s="1110"/>
      <c r="H4574" s="1138"/>
      <c r="I4574" s="1138"/>
      <c r="J4574" s="1139"/>
      <c r="K4574" s="1111"/>
      <c r="L4574" s="1112"/>
      <c r="M4574" s="1113"/>
      <c r="N4574" s="110"/>
      <c r="O4574" s="1140"/>
      <c r="P4574" s="1115"/>
      <c r="Q4574" s="1116"/>
      <c r="R4574" s="1141"/>
      <c r="S4574" s="1113"/>
      <c r="T4574" s="1143"/>
      <c r="U4574" s="1108"/>
      <c r="V4574" s="1108"/>
      <c r="W4574" s="1108"/>
      <c r="X4574" s="1108"/>
      <c r="Y4574" s="1108"/>
      <c r="Z4574" s="1114"/>
      <c r="AA4574" s="1114"/>
      <c r="AB4574" s="1114"/>
      <c r="AC4574" s="1117"/>
      <c r="AD4574" s="1115"/>
      <c r="AE4574" s="1115"/>
      <c r="AF4574" s="1115"/>
      <c r="AG4574" s="1115"/>
      <c r="AH4574" s="1115"/>
      <c r="AI4574" s="1115"/>
      <c r="AJ4574" s="1117"/>
      <c r="AK4574" s="1118"/>
      <c r="AL4574" s="1115"/>
      <c r="AM4574" s="1115"/>
      <c r="AN4574" s="1115"/>
      <c r="AO4574" s="1115"/>
      <c r="AP4574" s="1115"/>
      <c r="AQ4574" s="1115"/>
      <c r="AR4574" s="1115"/>
      <c r="AS4574" s="1117"/>
      <c r="AT4574" s="1075"/>
      <c r="AU4574" s="1193"/>
      <c r="AV4574" s="330"/>
      <c r="AW4574" s="331"/>
      <c r="AX4574" s="331"/>
      <c r="AY4574" s="331"/>
      <c r="AZ4574" s="331"/>
      <c r="BA4574" s="331"/>
      <c r="BB4574" s="331"/>
      <c r="BC4574" s="331"/>
      <c r="BD4574" s="331"/>
      <c r="BE4574" s="333"/>
      <c r="BF4574" s="330"/>
      <c r="BG4574" s="333"/>
      <c r="BH4574" s="1119"/>
      <c r="BI4574" s="319"/>
      <c r="BJ4574" s="319"/>
      <c r="BK4574" s="319"/>
      <c r="BL4574" s="319"/>
      <c r="BM4574" s="319"/>
      <c r="BN4574" s="319"/>
      <c r="BO4574" s="319"/>
      <c r="BP4574" s="953"/>
      <c r="BQ4574" s="319"/>
      <c r="BR4574" s="319"/>
      <c r="BS4574" s="330"/>
      <c r="BT4574" s="331"/>
      <c r="BU4574" s="920"/>
      <c r="BV4574" s="903"/>
      <c r="BW4574" s="908"/>
      <c r="BX4574" s="908"/>
      <c r="BY4574" s="331"/>
      <c r="BZ4574" s="331"/>
      <c r="CA4574" s="462"/>
      <c r="CB4574" s="319"/>
      <c r="CC4574" s="319"/>
      <c r="CD4574" s="319"/>
      <c r="CE4574" s="319"/>
      <c r="CF4574" s="319"/>
      <c r="CG4574" s="319"/>
      <c r="CH4574" s="318"/>
      <c r="CI4574" s="319"/>
      <c r="CJ4574" s="319"/>
      <c r="CK4574" s="342"/>
      <c r="CL4574" s="333"/>
      <c r="CM4574" s="1079"/>
      <c r="CN4574" s="1005"/>
      <c r="CO4574" s="1005"/>
      <c r="CP4574" s="1005"/>
    </row>
    <row r="4575">
      <c r="A4575" s="1257"/>
      <c r="B4575" s="1113"/>
      <c r="C4575" s="1107"/>
      <c r="D4575" s="103"/>
      <c r="E4575" s="1137"/>
      <c r="F4575" s="112"/>
      <c r="G4575" s="1110"/>
      <c r="H4575" s="1138"/>
      <c r="I4575" s="1138"/>
      <c r="J4575" s="1139"/>
      <c r="K4575" s="1111"/>
      <c r="L4575" s="1112"/>
      <c r="M4575" s="1113"/>
      <c r="N4575" s="110"/>
      <c r="O4575" s="1140"/>
      <c r="P4575" s="1115"/>
      <c r="Q4575" s="1116"/>
      <c r="R4575" s="1141"/>
      <c r="S4575" s="1113"/>
      <c r="T4575" s="1143"/>
      <c r="U4575" s="1108"/>
      <c r="V4575" s="1108"/>
      <c r="W4575" s="1108"/>
      <c r="X4575" s="1108"/>
      <c r="Y4575" s="1108"/>
      <c r="Z4575" s="1114"/>
      <c r="AA4575" s="1114"/>
      <c r="AB4575" s="1114"/>
      <c r="AC4575" s="1117"/>
      <c r="AD4575" s="1115"/>
      <c r="AE4575" s="1115"/>
      <c r="AF4575" s="1115"/>
      <c r="AG4575" s="1115"/>
      <c r="AH4575" s="1115"/>
      <c r="AI4575" s="1115"/>
      <c r="AJ4575" s="1117"/>
      <c r="AK4575" s="1118"/>
      <c r="AL4575" s="1115"/>
      <c r="AM4575" s="1115"/>
      <c r="AN4575" s="1115"/>
      <c r="AO4575" s="1115"/>
      <c r="AP4575" s="1115"/>
      <c r="AQ4575" s="1115"/>
      <c r="AR4575" s="1115"/>
      <c r="AS4575" s="1117"/>
      <c r="AT4575" s="1075"/>
      <c r="AU4575" s="1193"/>
      <c r="AV4575" s="330"/>
      <c r="AW4575" s="331"/>
      <c r="AX4575" s="331"/>
      <c r="AY4575" s="331"/>
      <c r="AZ4575" s="331"/>
      <c r="BA4575" s="331"/>
      <c r="BB4575" s="331"/>
      <c r="BC4575" s="331"/>
      <c r="BD4575" s="331"/>
      <c r="BE4575" s="333"/>
      <c r="BF4575" s="330"/>
      <c r="BG4575" s="333"/>
      <c r="BH4575" s="1119"/>
      <c r="BI4575" s="319"/>
      <c r="BJ4575" s="319"/>
      <c r="BK4575" s="319"/>
      <c r="BL4575" s="319"/>
      <c r="BM4575" s="319"/>
      <c r="BN4575" s="319"/>
      <c r="BO4575" s="319"/>
      <c r="BP4575" s="953"/>
      <c r="BQ4575" s="319"/>
      <c r="BR4575" s="319"/>
      <c r="BS4575" s="330"/>
      <c r="BT4575" s="331"/>
      <c r="BU4575" s="920"/>
      <c r="BV4575" s="903"/>
      <c r="BW4575" s="908"/>
      <c r="BX4575" s="908"/>
      <c r="BY4575" s="331"/>
      <c r="BZ4575" s="331"/>
      <c r="CA4575" s="462"/>
      <c r="CB4575" s="319"/>
      <c r="CC4575" s="319"/>
      <c r="CD4575" s="319"/>
      <c r="CE4575" s="319"/>
      <c r="CF4575" s="319"/>
      <c r="CG4575" s="319"/>
      <c r="CH4575" s="318"/>
      <c r="CI4575" s="319"/>
      <c r="CJ4575" s="319"/>
      <c r="CK4575" s="342"/>
      <c r="CL4575" s="333"/>
      <c r="CM4575" s="1079"/>
      <c r="CN4575" s="1005"/>
      <c r="CO4575" s="1005"/>
      <c r="CP4575" s="1005"/>
    </row>
    <row r="4576">
      <c r="A4576" s="1257"/>
      <c r="B4576" s="1113"/>
      <c r="C4576" s="1107"/>
      <c r="D4576" s="103"/>
      <c r="E4576" s="1137"/>
      <c r="F4576" s="112"/>
      <c r="G4576" s="1110"/>
      <c r="H4576" s="1138"/>
      <c r="I4576" s="1138"/>
      <c r="J4576" s="1139"/>
      <c r="K4576" s="1111"/>
      <c r="L4576" s="1112"/>
      <c r="M4576" s="1113"/>
      <c r="N4576" s="110"/>
      <c r="O4576" s="1140"/>
      <c r="P4576" s="1115"/>
      <c r="Q4576" s="1116"/>
      <c r="R4576" s="1141"/>
      <c r="S4576" s="1113"/>
      <c r="T4576" s="1143"/>
      <c r="U4576" s="1108"/>
      <c r="V4576" s="1108"/>
      <c r="W4576" s="1108"/>
      <c r="X4576" s="1108"/>
      <c r="Y4576" s="1108"/>
      <c r="Z4576" s="1114"/>
      <c r="AA4576" s="1114"/>
      <c r="AB4576" s="1114"/>
      <c r="AC4576" s="1117"/>
      <c r="AD4576" s="1115"/>
      <c r="AE4576" s="1115"/>
      <c r="AF4576" s="1115"/>
      <c r="AG4576" s="1115"/>
      <c r="AH4576" s="1115"/>
      <c r="AI4576" s="1115"/>
      <c r="AJ4576" s="1117"/>
      <c r="AK4576" s="1118"/>
      <c r="AL4576" s="1115"/>
      <c r="AM4576" s="1115"/>
      <c r="AN4576" s="1115"/>
      <c r="AO4576" s="1115"/>
      <c r="AP4576" s="1115"/>
      <c r="AQ4576" s="1115"/>
      <c r="AR4576" s="1115"/>
      <c r="AS4576" s="1117"/>
      <c r="AT4576" s="1075"/>
      <c r="AU4576" s="1193"/>
      <c r="AV4576" s="330"/>
      <c r="AW4576" s="331"/>
      <c r="AX4576" s="331"/>
      <c r="AY4576" s="331"/>
      <c r="AZ4576" s="331"/>
      <c r="BA4576" s="331"/>
      <c r="BB4576" s="331"/>
      <c r="BC4576" s="331"/>
      <c r="BD4576" s="331"/>
      <c r="BE4576" s="333"/>
      <c r="BF4576" s="330"/>
      <c r="BG4576" s="333"/>
      <c r="BH4576" s="1119"/>
      <c r="BI4576" s="319"/>
      <c r="BJ4576" s="319"/>
      <c r="BK4576" s="319"/>
      <c r="BL4576" s="319"/>
      <c r="BM4576" s="319"/>
      <c r="BN4576" s="319"/>
      <c r="BO4576" s="319"/>
      <c r="BP4576" s="953"/>
      <c r="BQ4576" s="319"/>
      <c r="BR4576" s="319"/>
      <c r="BS4576" s="330"/>
      <c r="BT4576" s="331"/>
      <c r="BU4576" s="920"/>
      <c r="BV4576" s="903"/>
      <c r="BW4576" s="908"/>
      <c r="BX4576" s="908"/>
      <c r="BY4576" s="331"/>
      <c r="BZ4576" s="331"/>
      <c r="CA4576" s="462"/>
      <c r="CB4576" s="319"/>
      <c r="CC4576" s="319"/>
      <c r="CD4576" s="319"/>
      <c r="CE4576" s="319"/>
      <c r="CF4576" s="319"/>
      <c r="CG4576" s="319"/>
      <c r="CH4576" s="318"/>
      <c r="CI4576" s="319"/>
      <c r="CJ4576" s="319"/>
      <c r="CK4576" s="342"/>
      <c r="CL4576" s="333"/>
      <c r="CM4576" s="1079"/>
      <c r="CN4576" s="1005"/>
      <c r="CO4576" s="1005"/>
      <c r="CP4576" s="1005"/>
    </row>
    <row r="4577">
      <c r="A4577" s="1257"/>
      <c r="B4577" s="1113"/>
      <c r="C4577" s="1107"/>
      <c r="D4577" s="103"/>
      <c r="E4577" s="1137"/>
      <c r="F4577" s="112"/>
      <c r="G4577" s="1110"/>
      <c r="H4577" s="1138"/>
      <c r="I4577" s="1138"/>
      <c r="J4577" s="1139"/>
      <c r="K4577" s="1111"/>
      <c r="L4577" s="1112"/>
      <c r="M4577" s="1113"/>
      <c r="N4577" s="110"/>
      <c r="O4577" s="1140"/>
      <c r="P4577" s="1115"/>
      <c r="Q4577" s="1116"/>
      <c r="R4577" s="1141"/>
      <c r="S4577" s="1113"/>
      <c r="T4577" s="1143"/>
      <c r="U4577" s="1108"/>
      <c r="V4577" s="1108"/>
      <c r="W4577" s="1108"/>
      <c r="X4577" s="1108"/>
      <c r="Y4577" s="1108"/>
      <c r="Z4577" s="1114"/>
      <c r="AA4577" s="1114"/>
      <c r="AB4577" s="1114"/>
      <c r="AC4577" s="1117"/>
      <c r="AD4577" s="1115"/>
      <c r="AE4577" s="1115"/>
      <c r="AF4577" s="1115"/>
      <c r="AG4577" s="1115"/>
      <c r="AH4577" s="1115"/>
      <c r="AI4577" s="1115"/>
      <c r="AJ4577" s="1117"/>
      <c r="AK4577" s="1118"/>
      <c r="AL4577" s="1115"/>
      <c r="AM4577" s="1115"/>
      <c r="AN4577" s="1115"/>
      <c r="AO4577" s="1115"/>
      <c r="AP4577" s="1115"/>
      <c r="AQ4577" s="1115"/>
      <c r="AR4577" s="1115"/>
      <c r="AS4577" s="1117"/>
      <c r="AT4577" s="1075"/>
      <c r="AU4577" s="1193"/>
      <c r="AV4577" s="330"/>
      <c r="AW4577" s="331"/>
      <c r="AX4577" s="331"/>
      <c r="AY4577" s="331"/>
      <c r="AZ4577" s="331"/>
      <c r="BA4577" s="331"/>
      <c r="BB4577" s="331"/>
      <c r="BC4577" s="331"/>
      <c r="BD4577" s="331"/>
      <c r="BE4577" s="333"/>
      <c r="BF4577" s="330"/>
      <c r="BG4577" s="333"/>
      <c r="BH4577" s="1119"/>
      <c r="BI4577" s="319"/>
      <c r="BJ4577" s="319"/>
      <c r="BK4577" s="319"/>
      <c r="BL4577" s="319"/>
      <c r="BM4577" s="319"/>
      <c r="BN4577" s="319"/>
      <c r="BO4577" s="319"/>
      <c r="BP4577" s="953"/>
      <c r="BQ4577" s="319"/>
      <c r="BR4577" s="319"/>
      <c r="BS4577" s="330"/>
      <c r="BT4577" s="331"/>
      <c r="BU4577" s="920"/>
      <c r="BV4577" s="903"/>
      <c r="BW4577" s="908"/>
      <c r="BX4577" s="908"/>
      <c r="BY4577" s="331"/>
      <c r="BZ4577" s="331"/>
      <c r="CA4577" s="462"/>
      <c r="CB4577" s="319"/>
      <c r="CC4577" s="319"/>
      <c r="CD4577" s="319"/>
      <c r="CE4577" s="319"/>
      <c r="CF4577" s="319"/>
      <c r="CG4577" s="319"/>
      <c r="CH4577" s="318"/>
      <c r="CI4577" s="319"/>
      <c r="CJ4577" s="319"/>
      <c r="CK4577" s="342"/>
      <c r="CL4577" s="333"/>
      <c r="CM4577" s="1079"/>
      <c r="CN4577" s="1005"/>
      <c r="CO4577" s="1005"/>
      <c r="CP4577" s="1005"/>
    </row>
    <row r="4578">
      <c r="A4578" s="1257"/>
      <c r="B4578" s="1113"/>
      <c r="C4578" s="1107"/>
      <c r="D4578" s="103"/>
      <c r="E4578" s="1137"/>
      <c r="F4578" s="112"/>
      <c r="G4578" s="1110"/>
      <c r="H4578" s="1138"/>
      <c r="I4578" s="1138"/>
      <c r="J4578" s="1139"/>
      <c r="K4578" s="1111"/>
      <c r="L4578" s="1112"/>
      <c r="M4578" s="1113"/>
      <c r="N4578" s="110"/>
      <c r="O4578" s="1140"/>
      <c r="P4578" s="1115"/>
      <c r="Q4578" s="1116"/>
      <c r="R4578" s="1141"/>
      <c r="S4578" s="1113"/>
      <c r="T4578" s="1143"/>
      <c r="U4578" s="1108"/>
      <c r="V4578" s="1108"/>
      <c r="W4578" s="1108"/>
      <c r="X4578" s="1108"/>
      <c r="Y4578" s="1108"/>
      <c r="Z4578" s="1114"/>
      <c r="AA4578" s="1114"/>
      <c r="AB4578" s="1114"/>
      <c r="AC4578" s="1117"/>
      <c r="AD4578" s="1115"/>
      <c r="AE4578" s="1115"/>
      <c r="AF4578" s="1115"/>
      <c r="AG4578" s="1115"/>
      <c r="AH4578" s="1115"/>
      <c r="AI4578" s="1115"/>
      <c r="AJ4578" s="1117"/>
      <c r="AK4578" s="1118"/>
      <c r="AL4578" s="1115"/>
      <c r="AM4578" s="1115"/>
      <c r="AN4578" s="1115"/>
      <c r="AO4578" s="1115"/>
      <c r="AP4578" s="1115"/>
      <c r="AQ4578" s="1115"/>
      <c r="AR4578" s="1115"/>
      <c r="AS4578" s="1117"/>
      <c r="AT4578" s="1075"/>
      <c r="AU4578" s="1193"/>
      <c r="AV4578" s="330"/>
      <c r="AW4578" s="331"/>
      <c r="AX4578" s="331"/>
      <c r="AY4578" s="331"/>
      <c r="AZ4578" s="331"/>
      <c r="BA4578" s="331"/>
      <c r="BB4578" s="331"/>
      <c r="BC4578" s="331"/>
      <c r="BD4578" s="331"/>
      <c r="BE4578" s="333"/>
      <c r="BF4578" s="330"/>
      <c r="BG4578" s="333"/>
      <c r="BH4578" s="1119"/>
      <c r="BI4578" s="319"/>
      <c r="BJ4578" s="319"/>
      <c r="BK4578" s="319"/>
      <c r="BL4578" s="319"/>
      <c r="BM4578" s="319"/>
      <c r="BN4578" s="319"/>
      <c r="BO4578" s="319"/>
      <c r="BP4578" s="953"/>
      <c r="BQ4578" s="319"/>
      <c r="BR4578" s="319"/>
      <c r="BS4578" s="330"/>
      <c r="BT4578" s="331"/>
      <c r="BU4578" s="920"/>
      <c r="BV4578" s="903"/>
      <c r="BW4578" s="908"/>
      <c r="BX4578" s="908"/>
      <c r="BY4578" s="331"/>
      <c r="BZ4578" s="331"/>
      <c r="CA4578" s="462"/>
      <c r="CB4578" s="319"/>
      <c r="CC4578" s="319"/>
      <c r="CD4578" s="319"/>
      <c r="CE4578" s="319"/>
      <c r="CF4578" s="319"/>
      <c r="CG4578" s="319"/>
      <c r="CH4578" s="318"/>
      <c r="CI4578" s="319"/>
      <c r="CJ4578" s="319"/>
      <c r="CK4578" s="342"/>
      <c r="CL4578" s="333"/>
      <c r="CM4578" s="1079"/>
      <c r="CN4578" s="1005"/>
      <c r="CO4578" s="1005"/>
      <c r="CP4578" s="1005"/>
    </row>
    <row r="4579">
      <c r="A4579" s="1257"/>
      <c r="B4579" s="1113"/>
      <c r="C4579" s="1107"/>
      <c r="D4579" s="103"/>
      <c r="E4579" s="1137"/>
      <c r="F4579" s="112"/>
      <c r="G4579" s="1110"/>
      <c r="H4579" s="1138"/>
      <c r="I4579" s="1138"/>
      <c r="J4579" s="1139"/>
      <c r="K4579" s="1111"/>
      <c r="L4579" s="1112"/>
      <c r="M4579" s="1113"/>
      <c r="N4579" s="110"/>
      <c r="O4579" s="1140"/>
      <c r="P4579" s="1115"/>
      <c r="Q4579" s="1116"/>
      <c r="R4579" s="1141"/>
      <c r="S4579" s="1113"/>
      <c r="T4579" s="1143"/>
      <c r="U4579" s="1108"/>
      <c r="V4579" s="1108"/>
      <c r="W4579" s="1108"/>
      <c r="X4579" s="1108"/>
      <c r="Y4579" s="1108"/>
      <c r="Z4579" s="1114"/>
      <c r="AA4579" s="1114"/>
      <c r="AB4579" s="1114"/>
      <c r="AC4579" s="1117"/>
      <c r="AD4579" s="1115"/>
      <c r="AE4579" s="1115"/>
      <c r="AF4579" s="1115"/>
      <c r="AG4579" s="1115"/>
      <c r="AH4579" s="1115"/>
      <c r="AI4579" s="1115"/>
      <c r="AJ4579" s="1117"/>
      <c r="AK4579" s="1118"/>
      <c r="AL4579" s="1115"/>
      <c r="AM4579" s="1115"/>
      <c r="AN4579" s="1115"/>
      <c r="AO4579" s="1115"/>
      <c r="AP4579" s="1115"/>
      <c r="AQ4579" s="1115"/>
      <c r="AR4579" s="1115"/>
      <c r="AS4579" s="1117"/>
      <c r="AT4579" s="1075"/>
      <c r="AU4579" s="1193"/>
      <c r="AV4579" s="330"/>
      <c r="AW4579" s="331"/>
      <c r="AX4579" s="331"/>
      <c r="AY4579" s="331"/>
      <c r="AZ4579" s="331"/>
      <c r="BA4579" s="331"/>
      <c r="BB4579" s="331"/>
      <c r="BC4579" s="331"/>
      <c r="BD4579" s="331"/>
      <c r="BE4579" s="333"/>
      <c r="BF4579" s="330"/>
      <c r="BG4579" s="333"/>
      <c r="BH4579" s="1119"/>
      <c r="BI4579" s="319"/>
      <c r="BJ4579" s="319"/>
      <c r="BK4579" s="319"/>
      <c r="BL4579" s="319"/>
      <c r="BM4579" s="319"/>
      <c r="BN4579" s="319"/>
      <c r="BO4579" s="319"/>
      <c r="BP4579" s="953"/>
      <c r="BQ4579" s="319"/>
      <c r="BR4579" s="319"/>
      <c r="BS4579" s="330"/>
      <c r="BT4579" s="331"/>
      <c r="BU4579" s="920"/>
      <c r="BV4579" s="903"/>
      <c r="BW4579" s="908"/>
      <c r="BX4579" s="908"/>
      <c r="BY4579" s="331"/>
      <c r="BZ4579" s="331"/>
      <c r="CA4579" s="462"/>
      <c r="CB4579" s="319"/>
      <c r="CC4579" s="319"/>
      <c r="CD4579" s="319"/>
      <c r="CE4579" s="319"/>
      <c r="CF4579" s="319"/>
      <c r="CG4579" s="319"/>
      <c r="CH4579" s="318"/>
      <c r="CI4579" s="319"/>
      <c r="CJ4579" s="319"/>
      <c r="CK4579" s="342"/>
      <c r="CL4579" s="333"/>
      <c r="CM4579" s="1079"/>
      <c r="CN4579" s="1005"/>
      <c r="CO4579" s="1005"/>
      <c r="CP4579" s="1005"/>
    </row>
    <row r="4580">
      <c r="A4580" s="1257"/>
      <c r="B4580" s="1113"/>
      <c r="C4580" s="1107"/>
      <c r="D4580" s="103"/>
      <c r="E4580" s="1137"/>
      <c r="F4580" s="112"/>
      <c r="G4580" s="1110"/>
      <c r="H4580" s="1138"/>
      <c r="I4580" s="1138"/>
      <c r="J4580" s="1139"/>
      <c r="K4580" s="1111"/>
      <c r="L4580" s="1112"/>
      <c r="M4580" s="1113"/>
      <c r="N4580" s="110"/>
      <c r="O4580" s="1140"/>
      <c r="P4580" s="1115"/>
      <c r="Q4580" s="1116"/>
      <c r="R4580" s="1141"/>
      <c r="S4580" s="1113"/>
      <c r="T4580" s="1143"/>
      <c r="U4580" s="1108"/>
      <c r="V4580" s="1108"/>
      <c r="W4580" s="1108"/>
      <c r="X4580" s="1108"/>
      <c r="Y4580" s="1108"/>
      <c r="Z4580" s="1114"/>
      <c r="AA4580" s="1114"/>
      <c r="AB4580" s="1114"/>
      <c r="AC4580" s="1117"/>
      <c r="AD4580" s="1115"/>
      <c r="AE4580" s="1115"/>
      <c r="AF4580" s="1115"/>
      <c r="AG4580" s="1115"/>
      <c r="AH4580" s="1115"/>
      <c r="AI4580" s="1115"/>
      <c r="AJ4580" s="1117"/>
      <c r="AK4580" s="1118"/>
      <c r="AL4580" s="1115"/>
      <c r="AM4580" s="1115"/>
      <c r="AN4580" s="1115"/>
      <c r="AO4580" s="1115"/>
      <c r="AP4580" s="1115"/>
      <c r="AQ4580" s="1115"/>
      <c r="AR4580" s="1115"/>
      <c r="AS4580" s="1117"/>
      <c r="AT4580" s="1075"/>
      <c r="AU4580" s="1193"/>
      <c r="AV4580" s="330"/>
      <c r="AW4580" s="331"/>
      <c r="AX4580" s="331"/>
      <c r="AY4580" s="331"/>
      <c r="AZ4580" s="331"/>
      <c r="BA4580" s="331"/>
      <c r="BB4580" s="331"/>
      <c r="BC4580" s="331"/>
      <c r="BD4580" s="331"/>
      <c r="BE4580" s="333"/>
      <c r="BF4580" s="330"/>
      <c r="BG4580" s="333"/>
      <c r="BH4580" s="1119"/>
      <c r="BI4580" s="319"/>
      <c r="BJ4580" s="319"/>
      <c r="BK4580" s="319"/>
      <c r="BL4580" s="319"/>
      <c r="BM4580" s="319"/>
      <c r="BN4580" s="319"/>
      <c r="BO4580" s="319"/>
      <c r="BP4580" s="953"/>
      <c r="BQ4580" s="319"/>
      <c r="BR4580" s="319"/>
      <c r="BS4580" s="330"/>
      <c r="BT4580" s="331"/>
      <c r="BU4580" s="920"/>
      <c r="BV4580" s="903"/>
      <c r="BW4580" s="908"/>
      <c r="BX4580" s="908"/>
      <c r="BY4580" s="331"/>
      <c r="BZ4580" s="331"/>
      <c r="CA4580" s="462"/>
      <c r="CB4580" s="319"/>
      <c r="CC4580" s="319"/>
      <c r="CD4580" s="319"/>
      <c r="CE4580" s="319"/>
      <c r="CF4580" s="319"/>
      <c r="CG4580" s="319"/>
      <c r="CH4580" s="318"/>
      <c r="CI4580" s="319"/>
      <c r="CJ4580" s="319"/>
      <c r="CK4580" s="342"/>
      <c r="CL4580" s="333"/>
      <c r="CM4580" s="1079"/>
      <c r="CN4580" s="1005"/>
      <c r="CO4580" s="1005"/>
      <c r="CP4580" s="1005"/>
    </row>
    <row r="4581">
      <c r="A4581" s="1257"/>
      <c r="B4581" s="1113"/>
      <c r="C4581" s="1107"/>
      <c r="D4581" s="103"/>
      <c r="E4581" s="1137"/>
      <c r="F4581" s="112"/>
      <c r="G4581" s="1110"/>
      <c r="H4581" s="1138"/>
      <c r="I4581" s="1138"/>
      <c r="J4581" s="1139"/>
      <c r="K4581" s="1111"/>
      <c r="L4581" s="1112"/>
      <c r="M4581" s="1113"/>
      <c r="N4581" s="110"/>
      <c r="O4581" s="1140"/>
      <c r="P4581" s="1115"/>
      <c r="Q4581" s="1116"/>
      <c r="R4581" s="1141"/>
      <c r="S4581" s="1113"/>
      <c r="T4581" s="1143"/>
      <c r="U4581" s="1108"/>
      <c r="V4581" s="1108"/>
      <c r="W4581" s="1108"/>
      <c r="X4581" s="1108"/>
      <c r="Y4581" s="1108"/>
      <c r="Z4581" s="1114"/>
      <c r="AA4581" s="1114"/>
      <c r="AB4581" s="1114"/>
      <c r="AC4581" s="1117"/>
      <c r="AD4581" s="1115"/>
      <c r="AE4581" s="1115"/>
      <c r="AF4581" s="1115"/>
      <c r="AG4581" s="1115"/>
      <c r="AH4581" s="1115"/>
      <c r="AI4581" s="1115"/>
      <c r="AJ4581" s="1117"/>
      <c r="AK4581" s="1118"/>
      <c r="AL4581" s="1115"/>
      <c r="AM4581" s="1115"/>
      <c r="AN4581" s="1115"/>
      <c r="AO4581" s="1115"/>
      <c r="AP4581" s="1115"/>
      <c r="AQ4581" s="1115"/>
      <c r="AR4581" s="1115"/>
      <c r="AS4581" s="1117"/>
      <c r="AT4581" s="1075"/>
      <c r="AU4581" s="1193"/>
      <c r="AV4581" s="330"/>
      <c r="AW4581" s="331"/>
      <c r="AX4581" s="331"/>
      <c r="AY4581" s="331"/>
      <c r="AZ4581" s="331"/>
      <c r="BA4581" s="331"/>
      <c r="BB4581" s="331"/>
      <c r="BC4581" s="331"/>
      <c r="BD4581" s="331"/>
      <c r="BE4581" s="333"/>
      <c r="BF4581" s="330"/>
      <c r="BG4581" s="333"/>
      <c r="BH4581" s="1119"/>
      <c r="BI4581" s="319"/>
      <c r="BJ4581" s="319"/>
      <c r="BK4581" s="319"/>
      <c r="BL4581" s="319"/>
      <c r="BM4581" s="319"/>
      <c r="BN4581" s="319"/>
      <c r="BO4581" s="319"/>
      <c r="BP4581" s="953"/>
      <c r="BQ4581" s="319"/>
      <c r="BR4581" s="319"/>
      <c r="BS4581" s="330"/>
      <c r="BT4581" s="331"/>
      <c r="BU4581" s="920"/>
      <c r="BV4581" s="903"/>
      <c r="BW4581" s="908"/>
      <c r="BX4581" s="908"/>
      <c r="BY4581" s="331"/>
      <c r="BZ4581" s="331"/>
      <c r="CA4581" s="462"/>
      <c r="CB4581" s="319"/>
      <c r="CC4581" s="319"/>
      <c r="CD4581" s="319"/>
      <c r="CE4581" s="319"/>
      <c r="CF4581" s="319"/>
      <c r="CG4581" s="319"/>
      <c r="CH4581" s="318"/>
      <c r="CI4581" s="319"/>
      <c r="CJ4581" s="319"/>
      <c r="CK4581" s="342"/>
      <c r="CL4581" s="333"/>
      <c r="CM4581" s="1079"/>
      <c r="CN4581" s="1005"/>
      <c r="CO4581" s="1005"/>
      <c r="CP4581" s="1005"/>
    </row>
    <row r="4582">
      <c r="A4582" s="1257"/>
      <c r="B4582" s="1113"/>
      <c r="C4582" s="1107"/>
      <c r="D4582" s="103"/>
      <c r="E4582" s="1137"/>
      <c r="F4582" s="112"/>
      <c r="G4582" s="1110"/>
      <c r="H4582" s="1138"/>
      <c r="I4582" s="1138"/>
      <c r="J4582" s="1139"/>
      <c r="K4582" s="1111"/>
      <c r="L4582" s="1112"/>
      <c r="M4582" s="1113"/>
      <c r="N4582" s="110"/>
      <c r="O4582" s="1140"/>
      <c r="P4582" s="1115"/>
      <c r="Q4582" s="1116"/>
      <c r="R4582" s="1141"/>
      <c r="S4582" s="1113"/>
      <c r="T4582" s="1143"/>
      <c r="U4582" s="1108"/>
      <c r="V4582" s="1108"/>
      <c r="W4582" s="1108"/>
      <c r="X4582" s="1108"/>
      <c r="Y4582" s="1108"/>
      <c r="Z4582" s="1114"/>
      <c r="AA4582" s="1114"/>
      <c r="AB4582" s="1114"/>
      <c r="AC4582" s="1117"/>
      <c r="AD4582" s="1115"/>
      <c r="AE4582" s="1115"/>
      <c r="AF4582" s="1115"/>
      <c r="AG4582" s="1115"/>
      <c r="AH4582" s="1115"/>
      <c r="AI4582" s="1115"/>
      <c r="AJ4582" s="1117"/>
      <c r="AK4582" s="1118"/>
      <c r="AL4582" s="1115"/>
      <c r="AM4582" s="1115"/>
      <c r="AN4582" s="1115"/>
      <c r="AO4582" s="1115"/>
      <c r="AP4582" s="1115"/>
      <c r="AQ4582" s="1115"/>
      <c r="AR4582" s="1115"/>
      <c r="AS4582" s="1117"/>
      <c r="AT4582" s="1075"/>
      <c r="AU4582" s="1193"/>
      <c r="AV4582" s="330"/>
      <c r="AW4582" s="331"/>
      <c r="AX4582" s="331"/>
      <c r="AY4582" s="331"/>
      <c r="AZ4582" s="331"/>
      <c r="BA4582" s="331"/>
      <c r="BB4582" s="331"/>
      <c r="BC4582" s="331"/>
      <c r="BD4582" s="331"/>
      <c r="BE4582" s="333"/>
      <c r="BF4582" s="330"/>
      <c r="BG4582" s="333"/>
      <c r="BH4582" s="1119"/>
      <c r="BI4582" s="319"/>
      <c r="BJ4582" s="319"/>
      <c r="BK4582" s="319"/>
      <c r="BL4582" s="319"/>
      <c r="BM4582" s="319"/>
      <c r="BN4582" s="319"/>
      <c r="BO4582" s="319"/>
      <c r="BP4582" s="953"/>
      <c r="BQ4582" s="319"/>
      <c r="BR4582" s="319"/>
      <c r="BS4582" s="330"/>
      <c r="BT4582" s="331"/>
      <c r="BU4582" s="920"/>
      <c r="BV4582" s="903"/>
      <c r="BW4582" s="908"/>
      <c r="BX4582" s="908"/>
      <c r="BY4582" s="331"/>
      <c r="BZ4582" s="331"/>
      <c r="CA4582" s="462"/>
      <c r="CB4582" s="319"/>
      <c r="CC4582" s="319"/>
      <c r="CD4582" s="319"/>
      <c r="CE4582" s="319"/>
      <c r="CF4582" s="319"/>
      <c r="CG4582" s="319"/>
      <c r="CH4582" s="318"/>
      <c r="CI4582" s="319"/>
      <c r="CJ4582" s="319"/>
      <c r="CK4582" s="342"/>
      <c r="CL4582" s="333"/>
      <c r="CM4582" s="1079"/>
      <c r="CN4582" s="1005"/>
      <c r="CO4582" s="1005"/>
      <c r="CP4582" s="1005"/>
    </row>
    <row r="4583">
      <c r="A4583" s="1257"/>
      <c r="B4583" s="1113"/>
      <c r="C4583" s="1107"/>
      <c r="D4583" s="103"/>
      <c r="E4583" s="1137"/>
      <c r="F4583" s="112"/>
      <c r="G4583" s="1110"/>
      <c r="H4583" s="1138"/>
      <c r="I4583" s="1138"/>
      <c r="J4583" s="1139"/>
      <c r="K4583" s="1111"/>
      <c r="L4583" s="1112"/>
      <c r="M4583" s="1113"/>
      <c r="N4583" s="110"/>
      <c r="O4583" s="1140"/>
      <c r="P4583" s="1115"/>
      <c r="Q4583" s="1116"/>
      <c r="R4583" s="1141"/>
      <c r="S4583" s="1113"/>
      <c r="T4583" s="1143"/>
      <c r="U4583" s="1108"/>
      <c r="V4583" s="1108"/>
      <c r="W4583" s="1108"/>
      <c r="X4583" s="1108"/>
      <c r="Y4583" s="1108"/>
      <c r="Z4583" s="1114"/>
      <c r="AA4583" s="1114"/>
      <c r="AB4583" s="1114"/>
      <c r="AC4583" s="1117"/>
      <c r="AD4583" s="1115"/>
      <c r="AE4583" s="1115"/>
      <c r="AF4583" s="1115"/>
      <c r="AG4583" s="1115"/>
      <c r="AH4583" s="1115"/>
      <c r="AI4583" s="1115"/>
      <c r="AJ4583" s="1117"/>
      <c r="AK4583" s="1118"/>
      <c r="AL4583" s="1115"/>
      <c r="AM4583" s="1115"/>
      <c r="AN4583" s="1115"/>
      <c r="AO4583" s="1115"/>
      <c r="AP4583" s="1115"/>
      <c r="AQ4583" s="1115"/>
      <c r="AR4583" s="1115"/>
      <c r="AS4583" s="1117"/>
      <c r="AT4583" s="1075"/>
      <c r="AU4583" s="1193"/>
      <c r="AV4583" s="330"/>
      <c r="AW4583" s="331"/>
      <c r="AX4583" s="331"/>
      <c r="AY4583" s="331"/>
      <c r="AZ4583" s="331"/>
      <c r="BA4583" s="331"/>
      <c r="BB4583" s="331"/>
      <c r="BC4583" s="331"/>
      <c r="BD4583" s="331"/>
      <c r="BE4583" s="333"/>
      <c r="BF4583" s="330"/>
      <c r="BG4583" s="333"/>
      <c r="BH4583" s="1119"/>
      <c r="BI4583" s="319"/>
      <c r="BJ4583" s="319"/>
      <c r="BK4583" s="319"/>
      <c r="BL4583" s="319"/>
      <c r="BM4583" s="319"/>
      <c r="BN4583" s="319"/>
      <c r="BO4583" s="319"/>
      <c r="BP4583" s="953"/>
      <c r="BQ4583" s="319"/>
      <c r="BR4583" s="319"/>
      <c r="BS4583" s="330"/>
      <c r="BT4583" s="331"/>
      <c r="BU4583" s="920"/>
      <c r="BV4583" s="903"/>
      <c r="BW4583" s="908"/>
      <c r="BX4583" s="908"/>
      <c r="BY4583" s="331"/>
      <c r="BZ4583" s="331"/>
      <c r="CA4583" s="462"/>
      <c r="CB4583" s="319"/>
      <c r="CC4583" s="319"/>
      <c r="CD4583" s="319"/>
      <c r="CE4583" s="319"/>
      <c r="CF4583" s="319"/>
      <c r="CG4583" s="319"/>
      <c r="CH4583" s="318"/>
      <c r="CI4583" s="319"/>
      <c r="CJ4583" s="319"/>
      <c r="CK4583" s="342"/>
      <c r="CL4583" s="333"/>
      <c r="CM4583" s="1079"/>
      <c r="CN4583" s="1005"/>
      <c r="CO4583" s="1005"/>
      <c r="CP4583" s="1005"/>
    </row>
    <row r="4584">
      <c r="A4584" s="1257"/>
      <c r="B4584" s="1113"/>
      <c r="C4584" s="1107"/>
      <c r="D4584" s="103"/>
      <c r="E4584" s="1137"/>
      <c r="F4584" s="112"/>
      <c r="G4584" s="1110"/>
      <c r="H4584" s="1138"/>
      <c r="I4584" s="1138"/>
      <c r="J4584" s="1139"/>
      <c r="K4584" s="1111"/>
      <c r="L4584" s="1112"/>
      <c r="M4584" s="1113"/>
      <c r="N4584" s="110"/>
      <c r="O4584" s="1140"/>
      <c r="P4584" s="1115"/>
      <c r="Q4584" s="1116"/>
      <c r="R4584" s="1141"/>
      <c r="S4584" s="1113"/>
      <c r="T4584" s="1143"/>
      <c r="U4584" s="1108"/>
      <c r="V4584" s="1108"/>
      <c r="W4584" s="1108"/>
      <c r="X4584" s="1108"/>
      <c r="Y4584" s="1108"/>
      <c r="Z4584" s="1114"/>
      <c r="AA4584" s="1114"/>
      <c r="AB4584" s="1114"/>
      <c r="AC4584" s="1117"/>
      <c r="AD4584" s="1115"/>
      <c r="AE4584" s="1115"/>
      <c r="AF4584" s="1115"/>
      <c r="AG4584" s="1115"/>
      <c r="AH4584" s="1115"/>
      <c r="AI4584" s="1115"/>
      <c r="AJ4584" s="1117"/>
      <c r="AK4584" s="1118"/>
      <c r="AL4584" s="1115"/>
      <c r="AM4584" s="1115"/>
      <c r="AN4584" s="1115"/>
      <c r="AO4584" s="1115"/>
      <c r="AP4584" s="1115"/>
      <c r="AQ4584" s="1115"/>
      <c r="AR4584" s="1115"/>
      <c r="AS4584" s="1117"/>
      <c r="AT4584" s="1075"/>
      <c r="AU4584" s="1193"/>
      <c r="AV4584" s="330"/>
      <c r="AW4584" s="331"/>
      <c r="AX4584" s="331"/>
      <c r="AY4584" s="331"/>
      <c r="AZ4584" s="331"/>
      <c r="BA4584" s="331"/>
      <c r="BB4584" s="331"/>
      <c r="BC4584" s="331"/>
      <c r="BD4584" s="331"/>
      <c r="BE4584" s="333"/>
      <c r="BF4584" s="330"/>
      <c r="BG4584" s="333"/>
      <c r="BH4584" s="1119"/>
      <c r="BI4584" s="319"/>
      <c r="BJ4584" s="319"/>
      <c r="BK4584" s="319"/>
      <c r="BL4584" s="319"/>
      <c r="BM4584" s="319"/>
      <c r="BN4584" s="319"/>
      <c r="BO4584" s="319"/>
      <c r="BP4584" s="953"/>
      <c r="BQ4584" s="319"/>
      <c r="BR4584" s="319"/>
      <c r="BS4584" s="330"/>
      <c r="BT4584" s="331"/>
      <c r="BU4584" s="920"/>
      <c r="BV4584" s="903"/>
      <c r="BW4584" s="908"/>
      <c r="BX4584" s="908"/>
      <c r="BY4584" s="331"/>
      <c r="BZ4584" s="331"/>
      <c r="CA4584" s="462"/>
      <c r="CB4584" s="319"/>
      <c r="CC4584" s="319"/>
      <c r="CD4584" s="319"/>
      <c r="CE4584" s="319"/>
      <c r="CF4584" s="319"/>
      <c r="CG4584" s="319"/>
      <c r="CH4584" s="318"/>
      <c r="CI4584" s="319"/>
      <c r="CJ4584" s="319"/>
      <c r="CK4584" s="342"/>
      <c r="CL4584" s="333"/>
      <c r="CM4584" s="1079"/>
      <c r="CN4584" s="1005"/>
      <c r="CO4584" s="1005"/>
      <c r="CP4584" s="1005"/>
    </row>
    <row r="4585">
      <c r="A4585" s="1257"/>
      <c r="B4585" s="1113"/>
      <c r="C4585" s="1107"/>
      <c r="D4585" s="103"/>
      <c r="E4585" s="1137"/>
      <c r="F4585" s="112"/>
      <c r="G4585" s="1110"/>
      <c r="H4585" s="1138"/>
      <c r="I4585" s="1138"/>
      <c r="J4585" s="1139"/>
      <c r="K4585" s="1111"/>
      <c r="L4585" s="1112"/>
      <c r="M4585" s="1113"/>
      <c r="N4585" s="110"/>
      <c r="O4585" s="1140"/>
      <c r="P4585" s="1115"/>
      <c r="Q4585" s="1116"/>
      <c r="R4585" s="1141"/>
      <c r="S4585" s="1113"/>
      <c r="T4585" s="1143"/>
      <c r="U4585" s="1108"/>
      <c r="V4585" s="1108"/>
      <c r="W4585" s="1108"/>
      <c r="X4585" s="1108"/>
      <c r="Y4585" s="1108"/>
      <c r="Z4585" s="1114"/>
      <c r="AA4585" s="1114"/>
      <c r="AB4585" s="1114"/>
      <c r="AC4585" s="1117"/>
      <c r="AD4585" s="1115"/>
      <c r="AE4585" s="1115"/>
      <c r="AF4585" s="1115"/>
      <c r="AG4585" s="1115"/>
      <c r="AH4585" s="1115"/>
      <c r="AI4585" s="1115"/>
      <c r="AJ4585" s="1117"/>
      <c r="AK4585" s="1118"/>
      <c r="AL4585" s="1115"/>
      <c r="AM4585" s="1115"/>
      <c r="AN4585" s="1115"/>
      <c r="AO4585" s="1115"/>
      <c r="AP4585" s="1115"/>
      <c r="AQ4585" s="1115"/>
      <c r="AR4585" s="1115"/>
      <c r="AS4585" s="1117"/>
      <c r="AT4585" s="1075"/>
      <c r="AU4585" s="1193"/>
      <c r="AV4585" s="330"/>
      <c r="AW4585" s="331"/>
      <c r="AX4585" s="331"/>
      <c r="AY4585" s="331"/>
      <c r="AZ4585" s="331"/>
      <c r="BA4585" s="331"/>
      <c r="BB4585" s="331"/>
      <c r="BC4585" s="331"/>
      <c r="BD4585" s="331"/>
      <c r="BE4585" s="333"/>
      <c r="BF4585" s="330"/>
      <c r="BG4585" s="333"/>
      <c r="BH4585" s="1119"/>
      <c r="BI4585" s="319"/>
      <c r="BJ4585" s="319"/>
      <c r="BK4585" s="319"/>
      <c r="BL4585" s="319"/>
      <c r="BM4585" s="319"/>
      <c r="BN4585" s="319"/>
      <c r="BO4585" s="319"/>
      <c r="BP4585" s="953"/>
      <c r="BQ4585" s="319"/>
      <c r="BR4585" s="319"/>
      <c r="BS4585" s="330"/>
      <c r="BT4585" s="331"/>
      <c r="BU4585" s="920"/>
      <c r="BV4585" s="903"/>
      <c r="BW4585" s="908"/>
      <c r="BX4585" s="908"/>
      <c r="BY4585" s="331"/>
      <c r="BZ4585" s="331"/>
      <c r="CA4585" s="462"/>
      <c r="CB4585" s="319"/>
      <c r="CC4585" s="319"/>
      <c r="CD4585" s="319"/>
      <c r="CE4585" s="319"/>
      <c r="CF4585" s="319"/>
      <c r="CG4585" s="319"/>
      <c r="CH4585" s="318"/>
      <c r="CI4585" s="319"/>
      <c r="CJ4585" s="319"/>
      <c r="CK4585" s="342"/>
      <c r="CL4585" s="333"/>
      <c r="CM4585" s="1079"/>
      <c r="CN4585" s="1005"/>
      <c r="CO4585" s="1005"/>
      <c r="CP4585" s="1005"/>
    </row>
    <row r="4586">
      <c r="A4586" s="1257"/>
      <c r="B4586" s="1113"/>
      <c r="C4586" s="1107"/>
      <c r="D4586" s="103"/>
      <c r="E4586" s="1137"/>
      <c r="F4586" s="112"/>
      <c r="G4586" s="1110"/>
      <c r="H4586" s="1138"/>
      <c r="I4586" s="1138"/>
      <c r="J4586" s="1139"/>
      <c r="K4586" s="1111"/>
      <c r="L4586" s="1112"/>
      <c r="M4586" s="1113"/>
      <c r="N4586" s="110"/>
      <c r="O4586" s="1140"/>
      <c r="P4586" s="1115"/>
      <c r="Q4586" s="1116"/>
      <c r="R4586" s="1141"/>
      <c r="S4586" s="1113"/>
      <c r="T4586" s="1143"/>
      <c r="U4586" s="1108"/>
      <c r="V4586" s="1108"/>
      <c r="W4586" s="1108"/>
      <c r="X4586" s="1108"/>
      <c r="Y4586" s="1108"/>
      <c r="Z4586" s="1114"/>
      <c r="AA4586" s="1114"/>
      <c r="AB4586" s="1114"/>
      <c r="AC4586" s="1117"/>
      <c r="AD4586" s="1115"/>
      <c r="AE4586" s="1115"/>
      <c r="AF4586" s="1115"/>
      <c r="AG4586" s="1115"/>
      <c r="AH4586" s="1115"/>
      <c r="AI4586" s="1115"/>
      <c r="AJ4586" s="1117"/>
      <c r="AK4586" s="1118"/>
      <c r="AL4586" s="1115"/>
      <c r="AM4586" s="1115"/>
      <c r="AN4586" s="1115"/>
      <c r="AO4586" s="1115"/>
      <c r="AP4586" s="1115"/>
      <c r="AQ4586" s="1115"/>
      <c r="AR4586" s="1115"/>
      <c r="AS4586" s="1117"/>
      <c r="AT4586" s="1075"/>
      <c r="AU4586" s="1193"/>
      <c r="AV4586" s="330"/>
      <c r="AW4586" s="331"/>
      <c r="AX4586" s="331"/>
      <c r="AY4586" s="331"/>
      <c r="AZ4586" s="331"/>
      <c r="BA4586" s="331"/>
      <c r="BB4586" s="331"/>
      <c r="BC4586" s="331"/>
      <c r="BD4586" s="331"/>
      <c r="BE4586" s="333"/>
      <c r="BF4586" s="330"/>
      <c r="BG4586" s="333"/>
      <c r="BH4586" s="1119"/>
      <c r="BI4586" s="319"/>
      <c r="BJ4586" s="319"/>
      <c r="BK4586" s="319"/>
      <c r="BL4586" s="319"/>
      <c r="BM4586" s="319"/>
      <c r="BN4586" s="319"/>
      <c r="BO4586" s="319"/>
      <c r="BP4586" s="953"/>
      <c r="BQ4586" s="319"/>
      <c r="BR4586" s="319"/>
      <c r="BS4586" s="330"/>
      <c r="BT4586" s="331"/>
      <c r="BU4586" s="920"/>
      <c r="BV4586" s="903"/>
      <c r="BW4586" s="908"/>
      <c r="BX4586" s="908"/>
      <c r="BY4586" s="331"/>
      <c r="BZ4586" s="331"/>
      <c r="CA4586" s="462"/>
      <c r="CB4586" s="319"/>
      <c r="CC4586" s="319"/>
      <c r="CD4586" s="319"/>
      <c r="CE4586" s="319"/>
      <c r="CF4586" s="319"/>
      <c r="CG4586" s="319"/>
      <c r="CH4586" s="318"/>
      <c r="CI4586" s="319"/>
      <c r="CJ4586" s="319"/>
      <c r="CK4586" s="342"/>
      <c r="CL4586" s="333"/>
      <c r="CM4586" s="1079"/>
      <c r="CN4586" s="1005"/>
      <c r="CO4586" s="1005"/>
      <c r="CP4586" s="1005"/>
    </row>
    <row r="4587">
      <c r="A4587" s="1257"/>
      <c r="B4587" s="1113"/>
      <c r="C4587" s="1107"/>
      <c r="D4587" s="103"/>
      <c r="E4587" s="1137"/>
      <c r="F4587" s="112"/>
      <c r="G4587" s="1110"/>
      <c r="H4587" s="1138"/>
      <c r="I4587" s="1138"/>
      <c r="J4587" s="1139"/>
      <c r="K4587" s="1111"/>
      <c r="L4587" s="1112"/>
      <c r="M4587" s="1113"/>
      <c r="N4587" s="110"/>
      <c r="O4587" s="1140"/>
      <c r="P4587" s="1115"/>
      <c r="Q4587" s="1116"/>
      <c r="R4587" s="1141"/>
      <c r="S4587" s="1113"/>
      <c r="T4587" s="1143"/>
      <c r="U4587" s="1108"/>
      <c r="V4587" s="1108"/>
      <c r="W4587" s="1108"/>
      <c r="X4587" s="1108"/>
      <c r="Y4587" s="1108"/>
      <c r="Z4587" s="1114"/>
      <c r="AA4587" s="1114"/>
      <c r="AB4587" s="1114"/>
      <c r="AC4587" s="1117"/>
      <c r="AD4587" s="1115"/>
      <c r="AE4587" s="1115"/>
      <c r="AF4587" s="1115"/>
      <c r="AG4587" s="1115"/>
      <c r="AH4587" s="1115"/>
      <c r="AI4587" s="1115"/>
      <c r="AJ4587" s="1117"/>
      <c r="AK4587" s="1118"/>
      <c r="AL4587" s="1115"/>
      <c r="AM4587" s="1115"/>
      <c r="AN4587" s="1115"/>
      <c r="AO4587" s="1115"/>
      <c r="AP4587" s="1115"/>
      <c r="AQ4587" s="1115"/>
      <c r="AR4587" s="1115"/>
      <c r="AS4587" s="1117"/>
      <c r="AT4587" s="1075"/>
      <c r="AU4587" s="1193"/>
      <c r="AV4587" s="330"/>
      <c r="AW4587" s="331"/>
      <c r="AX4587" s="331"/>
      <c r="AY4587" s="331"/>
      <c r="AZ4587" s="331"/>
      <c r="BA4587" s="331"/>
      <c r="BB4587" s="331"/>
      <c r="BC4587" s="331"/>
      <c r="BD4587" s="331"/>
      <c r="BE4587" s="333"/>
      <c r="BF4587" s="330"/>
      <c r="BG4587" s="333"/>
      <c r="BH4587" s="1119"/>
      <c r="BI4587" s="319"/>
      <c r="BJ4587" s="319"/>
      <c r="BK4587" s="319"/>
      <c r="BL4587" s="319"/>
      <c r="BM4587" s="319"/>
      <c r="BN4587" s="319"/>
      <c r="BO4587" s="319"/>
      <c r="BP4587" s="953"/>
      <c r="BQ4587" s="319"/>
      <c r="BR4587" s="319"/>
      <c r="BS4587" s="330"/>
      <c r="BT4587" s="331"/>
      <c r="BU4587" s="920"/>
      <c r="BV4587" s="903"/>
      <c r="BW4587" s="908"/>
      <c r="BX4587" s="908"/>
      <c r="BY4587" s="331"/>
      <c r="BZ4587" s="331"/>
      <c r="CA4587" s="462"/>
      <c r="CB4587" s="319"/>
      <c r="CC4587" s="319"/>
      <c r="CD4587" s="319"/>
      <c r="CE4587" s="319"/>
      <c r="CF4587" s="319"/>
      <c r="CG4587" s="319"/>
      <c r="CH4587" s="318"/>
      <c r="CI4587" s="319"/>
      <c r="CJ4587" s="319"/>
      <c r="CK4587" s="342"/>
      <c r="CL4587" s="333"/>
      <c r="CM4587" s="1079"/>
      <c r="CN4587" s="1005"/>
      <c r="CO4587" s="1005"/>
      <c r="CP4587" s="1005"/>
    </row>
    <row r="4588">
      <c r="A4588" s="1257"/>
      <c r="B4588" s="1113"/>
      <c r="C4588" s="1107"/>
      <c r="D4588" s="103"/>
      <c r="E4588" s="1137"/>
      <c r="F4588" s="112"/>
      <c r="G4588" s="1110"/>
      <c r="H4588" s="1138"/>
      <c r="I4588" s="1138"/>
      <c r="J4588" s="1139"/>
      <c r="K4588" s="1111"/>
      <c r="L4588" s="1112"/>
      <c r="M4588" s="1113"/>
      <c r="N4588" s="110"/>
      <c r="O4588" s="1140"/>
      <c r="P4588" s="1115"/>
      <c r="Q4588" s="1116"/>
      <c r="R4588" s="1141"/>
      <c r="S4588" s="1113"/>
      <c r="T4588" s="1143"/>
      <c r="U4588" s="1108"/>
      <c r="V4588" s="1108"/>
      <c r="W4588" s="1108"/>
      <c r="X4588" s="1108"/>
      <c r="Y4588" s="1108"/>
      <c r="Z4588" s="1114"/>
      <c r="AA4588" s="1114"/>
      <c r="AB4588" s="1114"/>
      <c r="AC4588" s="1117"/>
      <c r="AD4588" s="1115"/>
      <c r="AE4588" s="1115"/>
      <c r="AF4588" s="1115"/>
      <c r="AG4588" s="1115"/>
      <c r="AH4588" s="1115"/>
      <c r="AI4588" s="1115"/>
      <c r="AJ4588" s="1117"/>
      <c r="AK4588" s="1118"/>
      <c r="AL4588" s="1115"/>
      <c r="AM4588" s="1115"/>
      <c r="AN4588" s="1115"/>
      <c r="AO4588" s="1115"/>
      <c r="AP4588" s="1115"/>
      <c r="AQ4588" s="1115"/>
      <c r="AR4588" s="1115"/>
      <c r="AS4588" s="1117"/>
      <c r="AT4588" s="1075"/>
      <c r="AU4588" s="1193"/>
      <c r="AV4588" s="330"/>
      <c r="AW4588" s="331"/>
      <c r="AX4588" s="331"/>
      <c r="AY4588" s="331"/>
      <c r="AZ4588" s="331"/>
      <c r="BA4588" s="331"/>
      <c r="BB4588" s="331"/>
      <c r="BC4588" s="331"/>
      <c r="BD4588" s="331"/>
      <c r="BE4588" s="333"/>
      <c r="BF4588" s="330"/>
      <c r="BG4588" s="333"/>
      <c r="BH4588" s="1119"/>
      <c r="BI4588" s="319"/>
      <c r="BJ4588" s="319"/>
      <c r="BK4588" s="319"/>
      <c r="BL4588" s="319"/>
      <c r="BM4588" s="319"/>
      <c r="BN4588" s="319"/>
      <c r="BO4588" s="319"/>
      <c r="BP4588" s="953"/>
      <c r="BQ4588" s="319"/>
      <c r="BR4588" s="319"/>
      <c r="BS4588" s="330"/>
      <c r="BT4588" s="331"/>
      <c r="BU4588" s="920"/>
      <c r="BV4588" s="903"/>
      <c r="BW4588" s="908"/>
      <c r="BX4588" s="908"/>
      <c r="BY4588" s="331"/>
      <c r="BZ4588" s="331"/>
      <c r="CA4588" s="462"/>
      <c r="CB4588" s="319"/>
      <c r="CC4588" s="319"/>
      <c r="CD4588" s="319"/>
      <c r="CE4588" s="319"/>
      <c r="CF4588" s="319"/>
      <c r="CG4588" s="319"/>
      <c r="CH4588" s="318"/>
      <c r="CI4588" s="319"/>
      <c r="CJ4588" s="319"/>
      <c r="CK4588" s="342"/>
      <c r="CL4588" s="333"/>
      <c r="CM4588" s="1079"/>
      <c r="CN4588" s="1005"/>
      <c r="CO4588" s="1005"/>
      <c r="CP4588" s="1005"/>
    </row>
    <row r="4589">
      <c r="A4589" s="1257"/>
      <c r="B4589" s="1113"/>
      <c r="C4589" s="1107"/>
      <c r="D4589" s="103"/>
      <c r="E4589" s="1137"/>
      <c r="F4589" s="112"/>
      <c r="G4589" s="1110"/>
      <c r="H4589" s="1138"/>
      <c r="I4589" s="1138"/>
      <c r="J4589" s="1139"/>
      <c r="K4589" s="1111"/>
      <c r="L4589" s="1112"/>
      <c r="M4589" s="1113"/>
      <c r="N4589" s="110"/>
      <c r="O4589" s="1140"/>
      <c r="P4589" s="1115"/>
      <c r="Q4589" s="1116"/>
      <c r="R4589" s="1141"/>
      <c r="S4589" s="1113"/>
      <c r="T4589" s="1143"/>
      <c r="U4589" s="1108"/>
      <c r="V4589" s="1108"/>
      <c r="W4589" s="1108"/>
      <c r="X4589" s="1108"/>
      <c r="Y4589" s="1108"/>
      <c r="Z4589" s="1114"/>
      <c r="AA4589" s="1114"/>
      <c r="AB4589" s="1114"/>
      <c r="AC4589" s="1117"/>
      <c r="AD4589" s="1115"/>
      <c r="AE4589" s="1115"/>
      <c r="AF4589" s="1115"/>
      <c r="AG4589" s="1115"/>
      <c r="AH4589" s="1115"/>
      <c r="AI4589" s="1115"/>
      <c r="AJ4589" s="1117"/>
      <c r="AK4589" s="1118"/>
      <c r="AL4589" s="1115"/>
      <c r="AM4589" s="1115"/>
      <c r="AN4589" s="1115"/>
      <c r="AO4589" s="1115"/>
      <c r="AP4589" s="1115"/>
      <c r="AQ4589" s="1115"/>
      <c r="AR4589" s="1115"/>
      <c r="AS4589" s="1117"/>
      <c r="AT4589" s="1075"/>
      <c r="AU4589" s="1193"/>
      <c r="AV4589" s="330"/>
      <c r="AW4589" s="331"/>
      <c r="AX4589" s="331"/>
      <c r="AY4589" s="331"/>
      <c r="AZ4589" s="331"/>
      <c r="BA4589" s="331"/>
      <c r="BB4589" s="331"/>
      <c r="BC4589" s="331"/>
      <c r="BD4589" s="331"/>
      <c r="BE4589" s="333"/>
      <c r="BF4589" s="330"/>
      <c r="BG4589" s="333"/>
      <c r="BH4589" s="1119"/>
      <c r="BI4589" s="319"/>
      <c r="BJ4589" s="319"/>
      <c r="BK4589" s="319"/>
      <c r="BL4589" s="319"/>
      <c r="BM4589" s="319"/>
      <c r="BN4589" s="319"/>
      <c r="BO4589" s="319"/>
      <c r="BP4589" s="953"/>
      <c r="BQ4589" s="319"/>
      <c r="BR4589" s="319"/>
      <c r="BS4589" s="330"/>
      <c r="BT4589" s="331"/>
      <c r="BU4589" s="920"/>
      <c r="BV4589" s="903"/>
      <c r="BW4589" s="908"/>
      <c r="BX4589" s="908"/>
      <c r="BY4589" s="331"/>
      <c r="BZ4589" s="331"/>
      <c r="CA4589" s="462"/>
      <c r="CB4589" s="319"/>
      <c r="CC4589" s="319"/>
      <c r="CD4589" s="319"/>
      <c r="CE4589" s="319"/>
      <c r="CF4589" s="319"/>
      <c r="CG4589" s="319"/>
      <c r="CH4589" s="318"/>
      <c r="CI4589" s="319"/>
      <c r="CJ4589" s="319"/>
      <c r="CK4589" s="342"/>
      <c r="CL4589" s="333"/>
      <c r="CM4589" s="1079"/>
      <c r="CN4589" s="1005"/>
      <c r="CO4589" s="1005"/>
      <c r="CP4589" s="1005"/>
    </row>
    <row r="4590">
      <c r="A4590" s="1257"/>
      <c r="B4590" s="1113"/>
      <c r="C4590" s="1107"/>
      <c r="D4590" s="103"/>
      <c r="E4590" s="1137"/>
      <c r="F4590" s="112"/>
      <c r="G4590" s="1110"/>
      <c r="H4590" s="1138"/>
      <c r="I4590" s="1138"/>
      <c r="J4590" s="1139"/>
      <c r="K4590" s="1111"/>
      <c r="L4590" s="1112"/>
      <c r="M4590" s="1113"/>
      <c r="N4590" s="110"/>
      <c r="O4590" s="1140"/>
      <c r="P4590" s="1115"/>
      <c r="Q4590" s="1116"/>
      <c r="R4590" s="1141"/>
      <c r="S4590" s="1113"/>
      <c r="T4590" s="1143"/>
      <c r="U4590" s="1108"/>
      <c r="V4590" s="1108"/>
      <c r="W4590" s="1108"/>
      <c r="X4590" s="1108"/>
      <c r="Y4590" s="1108"/>
      <c r="Z4590" s="1114"/>
      <c r="AA4590" s="1114"/>
      <c r="AB4590" s="1114"/>
      <c r="AC4590" s="1117"/>
      <c r="AD4590" s="1115"/>
      <c r="AE4590" s="1115"/>
      <c r="AF4590" s="1115"/>
      <c r="AG4590" s="1115"/>
      <c r="AH4590" s="1115"/>
      <c r="AI4590" s="1115"/>
      <c r="AJ4590" s="1117"/>
      <c r="AK4590" s="1118"/>
      <c r="AL4590" s="1115"/>
      <c r="AM4590" s="1115"/>
      <c r="AN4590" s="1115"/>
      <c r="AO4590" s="1115"/>
      <c r="AP4590" s="1115"/>
      <c r="AQ4590" s="1115"/>
      <c r="AR4590" s="1115"/>
      <c r="AS4590" s="1117"/>
      <c r="AT4590" s="1075"/>
      <c r="AU4590" s="1193"/>
      <c r="AV4590" s="330"/>
      <c r="AW4590" s="331"/>
      <c r="AX4590" s="331"/>
      <c r="AY4590" s="331"/>
      <c r="AZ4590" s="331"/>
      <c r="BA4590" s="331"/>
      <c r="BB4590" s="331"/>
      <c r="BC4590" s="331"/>
      <c r="BD4590" s="331"/>
      <c r="BE4590" s="333"/>
      <c r="BF4590" s="330"/>
      <c r="BG4590" s="333"/>
      <c r="BH4590" s="1119"/>
      <c r="BI4590" s="319"/>
      <c r="BJ4590" s="319"/>
      <c r="BK4590" s="319"/>
      <c r="BL4590" s="319"/>
      <c r="BM4590" s="319"/>
      <c r="BN4590" s="319"/>
      <c r="BO4590" s="319"/>
      <c r="BP4590" s="953"/>
      <c r="BQ4590" s="319"/>
      <c r="BR4590" s="319"/>
      <c r="BS4590" s="330"/>
      <c r="BT4590" s="331"/>
      <c r="BU4590" s="920"/>
      <c r="BV4590" s="903"/>
      <c r="BW4590" s="908"/>
      <c r="BX4590" s="908"/>
      <c r="BY4590" s="331"/>
      <c r="BZ4590" s="331"/>
      <c r="CA4590" s="462"/>
      <c r="CB4590" s="319"/>
      <c r="CC4590" s="319"/>
      <c r="CD4590" s="319"/>
      <c r="CE4590" s="319"/>
      <c r="CF4590" s="319"/>
      <c r="CG4590" s="319"/>
      <c r="CH4590" s="318"/>
      <c r="CI4590" s="319"/>
      <c r="CJ4590" s="319"/>
      <c r="CK4590" s="342"/>
      <c r="CL4590" s="333"/>
      <c r="CM4590" s="1079"/>
      <c r="CN4590" s="1005"/>
      <c r="CO4590" s="1005"/>
      <c r="CP4590" s="1005"/>
    </row>
    <row r="4591">
      <c r="A4591" s="1257"/>
      <c r="B4591" s="1113"/>
      <c r="C4591" s="1107"/>
      <c r="D4591" s="103"/>
      <c r="E4591" s="1137"/>
      <c r="F4591" s="112"/>
      <c r="G4591" s="1110"/>
      <c r="H4591" s="1138"/>
      <c r="I4591" s="1138"/>
      <c r="J4591" s="1139"/>
      <c r="K4591" s="1111"/>
      <c r="L4591" s="1112"/>
      <c r="M4591" s="1113"/>
      <c r="N4591" s="110"/>
      <c r="O4591" s="1140"/>
      <c r="P4591" s="1115"/>
      <c r="Q4591" s="1116"/>
      <c r="R4591" s="1141"/>
      <c r="S4591" s="1113"/>
      <c r="T4591" s="1143"/>
      <c r="U4591" s="1108"/>
      <c r="V4591" s="1108"/>
      <c r="W4591" s="1108"/>
      <c r="X4591" s="1108"/>
      <c r="Y4591" s="1108"/>
      <c r="Z4591" s="1114"/>
      <c r="AA4591" s="1114"/>
      <c r="AB4591" s="1114"/>
      <c r="AC4591" s="1117"/>
      <c r="AD4591" s="1115"/>
      <c r="AE4591" s="1115"/>
      <c r="AF4591" s="1115"/>
      <c r="AG4591" s="1115"/>
      <c r="AH4591" s="1115"/>
      <c r="AI4591" s="1115"/>
      <c r="AJ4591" s="1117"/>
      <c r="AK4591" s="1118"/>
      <c r="AL4591" s="1115"/>
      <c r="AM4591" s="1115"/>
      <c r="AN4591" s="1115"/>
      <c r="AO4591" s="1115"/>
      <c r="AP4591" s="1115"/>
      <c r="AQ4591" s="1115"/>
      <c r="AR4591" s="1115"/>
      <c r="AS4591" s="1117"/>
      <c r="AT4591" s="1075"/>
      <c r="AU4591" s="1193"/>
      <c r="AV4591" s="330"/>
      <c r="AW4591" s="331"/>
      <c r="AX4591" s="331"/>
      <c r="AY4591" s="331"/>
      <c r="AZ4591" s="331"/>
      <c r="BA4591" s="331"/>
      <c r="BB4591" s="331"/>
      <c r="BC4591" s="331"/>
      <c r="BD4591" s="331"/>
      <c r="BE4591" s="333"/>
      <c r="BF4591" s="330"/>
      <c r="BG4591" s="333"/>
      <c r="BH4591" s="1119"/>
      <c r="BI4591" s="319"/>
      <c r="BJ4591" s="319"/>
      <c r="BK4591" s="319"/>
      <c r="BL4591" s="319"/>
      <c r="BM4591" s="319"/>
      <c r="BN4591" s="319"/>
      <c r="BO4591" s="319"/>
      <c r="BP4591" s="953"/>
      <c r="BQ4591" s="319"/>
      <c r="BR4591" s="319"/>
      <c r="BS4591" s="330"/>
      <c r="BT4591" s="331"/>
      <c r="BU4591" s="920"/>
      <c r="BV4591" s="903"/>
      <c r="BW4591" s="908"/>
      <c r="BX4591" s="908"/>
      <c r="BY4591" s="331"/>
      <c r="BZ4591" s="331"/>
      <c r="CA4591" s="462"/>
      <c r="CB4591" s="319"/>
      <c r="CC4591" s="319"/>
      <c r="CD4591" s="319"/>
      <c r="CE4591" s="319"/>
      <c r="CF4591" s="319"/>
      <c r="CG4591" s="319"/>
      <c r="CH4591" s="318"/>
      <c r="CI4591" s="319"/>
      <c r="CJ4591" s="319"/>
      <c r="CK4591" s="342"/>
      <c r="CL4591" s="333"/>
      <c r="CM4591" s="1079"/>
      <c r="CN4591" s="1005"/>
      <c r="CO4591" s="1005"/>
      <c r="CP4591" s="1005"/>
    </row>
    <row r="4592">
      <c r="A4592" s="1257"/>
      <c r="B4592" s="1113"/>
      <c r="C4592" s="1107"/>
      <c r="D4592" s="103"/>
      <c r="E4592" s="1137"/>
      <c r="F4592" s="112"/>
      <c r="G4592" s="1110"/>
      <c r="H4592" s="1138"/>
      <c r="I4592" s="1138"/>
      <c r="J4592" s="1139"/>
      <c r="K4592" s="1111"/>
      <c r="L4592" s="1112"/>
      <c r="M4592" s="1113"/>
      <c r="N4592" s="110"/>
      <c r="O4592" s="1140"/>
      <c r="P4592" s="1115"/>
      <c r="Q4592" s="1116"/>
      <c r="R4592" s="1141"/>
      <c r="S4592" s="1113"/>
      <c r="T4592" s="1143"/>
      <c r="U4592" s="1108"/>
      <c r="V4592" s="1108"/>
      <c r="W4592" s="1108"/>
      <c r="X4592" s="1108"/>
      <c r="Y4592" s="1108"/>
      <c r="Z4592" s="1114"/>
      <c r="AA4592" s="1114"/>
      <c r="AB4592" s="1114"/>
      <c r="AC4592" s="1117"/>
      <c r="AD4592" s="1115"/>
      <c r="AE4592" s="1115"/>
      <c r="AF4592" s="1115"/>
      <c r="AG4592" s="1115"/>
      <c r="AH4592" s="1115"/>
      <c r="AI4592" s="1115"/>
      <c r="AJ4592" s="1117"/>
      <c r="AK4592" s="1118"/>
      <c r="AL4592" s="1115"/>
      <c r="AM4592" s="1115"/>
      <c r="AN4592" s="1115"/>
      <c r="AO4592" s="1115"/>
      <c r="AP4592" s="1115"/>
      <c r="AQ4592" s="1115"/>
      <c r="AR4592" s="1115"/>
      <c r="AS4592" s="1117"/>
      <c r="AT4592" s="1075"/>
      <c r="AU4592" s="1193"/>
      <c r="AV4592" s="330"/>
      <c r="AW4592" s="331"/>
      <c r="AX4592" s="331"/>
      <c r="AY4592" s="331"/>
      <c r="AZ4592" s="331"/>
      <c r="BA4592" s="331"/>
      <c r="BB4592" s="331"/>
      <c r="BC4592" s="331"/>
      <c r="BD4592" s="331"/>
      <c r="BE4592" s="333"/>
      <c r="BF4592" s="330"/>
      <c r="BG4592" s="333"/>
      <c r="BH4592" s="1119"/>
      <c r="BI4592" s="319"/>
      <c r="BJ4592" s="319"/>
      <c r="BK4592" s="319"/>
      <c r="BL4592" s="319"/>
      <c r="BM4592" s="319"/>
      <c r="BN4592" s="319"/>
      <c r="BO4592" s="319"/>
      <c r="BP4592" s="953"/>
      <c r="BQ4592" s="319"/>
      <c r="BR4592" s="319"/>
      <c r="BS4592" s="330"/>
      <c r="BT4592" s="331"/>
      <c r="BU4592" s="920"/>
      <c r="BV4592" s="903"/>
      <c r="BW4592" s="908"/>
      <c r="BX4592" s="908"/>
      <c r="BY4592" s="331"/>
      <c r="BZ4592" s="331"/>
      <c r="CA4592" s="462"/>
      <c r="CB4592" s="319"/>
      <c r="CC4592" s="319"/>
      <c r="CD4592" s="319"/>
      <c r="CE4592" s="319"/>
      <c r="CF4592" s="319"/>
      <c r="CG4592" s="319"/>
      <c r="CH4592" s="318"/>
      <c r="CI4592" s="319"/>
      <c r="CJ4592" s="319"/>
      <c r="CK4592" s="342"/>
      <c r="CL4592" s="333"/>
      <c r="CM4592" s="1079"/>
      <c r="CN4592" s="1005"/>
      <c r="CO4592" s="1005"/>
      <c r="CP4592" s="1005"/>
    </row>
    <row r="4593">
      <c r="A4593" s="1257"/>
      <c r="B4593" s="1113"/>
      <c r="C4593" s="1107"/>
      <c r="D4593" s="103"/>
      <c r="E4593" s="1137"/>
      <c r="F4593" s="112"/>
      <c r="G4593" s="1110"/>
      <c r="H4593" s="1138"/>
      <c r="I4593" s="1138"/>
      <c r="J4593" s="1139"/>
      <c r="K4593" s="1111"/>
      <c r="L4593" s="1112"/>
      <c r="M4593" s="1113"/>
      <c r="N4593" s="110"/>
      <c r="O4593" s="1140"/>
      <c r="P4593" s="1115"/>
      <c r="Q4593" s="1116"/>
      <c r="R4593" s="1141"/>
      <c r="S4593" s="1113"/>
      <c r="T4593" s="1143"/>
      <c r="U4593" s="1108"/>
      <c r="V4593" s="1108"/>
      <c r="W4593" s="1108"/>
      <c r="X4593" s="1108"/>
      <c r="Y4593" s="1108"/>
      <c r="Z4593" s="1114"/>
      <c r="AA4593" s="1114"/>
      <c r="AB4593" s="1114"/>
      <c r="AC4593" s="1117"/>
      <c r="AD4593" s="1115"/>
      <c r="AE4593" s="1115"/>
      <c r="AF4593" s="1115"/>
      <c r="AG4593" s="1115"/>
      <c r="AH4593" s="1115"/>
      <c r="AI4593" s="1115"/>
      <c r="AJ4593" s="1117"/>
      <c r="AK4593" s="1118"/>
      <c r="AL4593" s="1115"/>
      <c r="AM4593" s="1115"/>
      <c r="AN4593" s="1115"/>
      <c r="AO4593" s="1115"/>
      <c r="AP4593" s="1115"/>
      <c r="AQ4593" s="1115"/>
      <c r="AR4593" s="1115"/>
      <c r="AS4593" s="1117"/>
      <c r="AT4593" s="1075"/>
      <c r="AU4593" s="1193"/>
      <c r="AV4593" s="330"/>
      <c r="AW4593" s="331"/>
      <c r="AX4593" s="331"/>
      <c r="AY4593" s="331"/>
      <c r="AZ4593" s="331"/>
      <c r="BA4593" s="331"/>
      <c r="BB4593" s="331"/>
      <c r="BC4593" s="331"/>
      <c r="BD4593" s="331"/>
      <c r="BE4593" s="333"/>
      <c r="BF4593" s="330"/>
      <c r="BG4593" s="333"/>
      <c r="BH4593" s="1119"/>
      <c r="BI4593" s="319"/>
      <c r="BJ4593" s="319"/>
      <c r="BK4593" s="319"/>
      <c r="BL4593" s="319"/>
      <c r="BM4593" s="319"/>
      <c r="BN4593" s="319"/>
      <c r="BO4593" s="319"/>
      <c r="BP4593" s="953"/>
      <c r="BQ4593" s="319"/>
      <c r="BR4593" s="319"/>
      <c r="BS4593" s="330"/>
      <c r="BT4593" s="331"/>
      <c r="BU4593" s="920"/>
      <c r="BV4593" s="903"/>
      <c r="BW4593" s="908"/>
      <c r="BX4593" s="908"/>
      <c r="BY4593" s="331"/>
      <c r="BZ4593" s="331"/>
      <c r="CA4593" s="462"/>
      <c r="CB4593" s="319"/>
      <c r="CC4593" s="319"/>
      <c r="CD4593" s="319"/>
      <c r="CE4593" s="319"/>
      <c r="CF4593" s="319"/>
      <c r="CG4593" s="319"/>
      <c r="CH4593" s="318"/>
      <c r="CI4593" s="319"/>
      <c r="CJ4593" s="319"/>
      <c r="CK4593" s="342"/>
      <c r="CL4593" s="333"/>
      <c r="CM4593" s="1079"/>
      <c r="CN4593" s="1005"/>
      <c r="CO4593" s="1005"/>
      <c r="CP4593" s="1005"/>
    </row>
    <row r="4594">
      <c r="A4594" s="1257"/>
      <c r="B4594" s="1113"/>
      <c r="C4594" s="1107"/>
      <c r="D4594" s="103"/>
      <c r="E4594" s="1137"/>
      <c r="F4594" s="112"/>
      <c r="G4594" s="1110"/>
      <c r="H4594" s="1138"/>
      <c r="I4594" s="1138"/>
      <c r="J4594" s="1139"/>
      <c r="K4594" s="1111"/>
      <c r="L4594" s="1112"/>
      <c r="M4594" s="1113"/>
      <c r="N4594" s="110"/>
      <c r="O4594" s="1140"/>
      <c r="P4594" s="1115"/>
      <c r="Q4594" s="1116"/>
      <c r="R4594" s="1141"/>
      <c r="S4594" s="1113"/>
      <c r="T4594" s="1143"/>
      <c r="U4594" s="1108"/>
      <c r="V4594" s="1108"/>
      <c r="W4594" s="1108"/>
      <c r="X4594" s="1108"/>
      <c r="Y4594" s="1108"/>
      <c r="Z4594" s="1114"/>
      <c r="AA4594" s="1114"/>
      <c r="AB4594" s="1114"/>
      <c r="AC4594" s="1117"/>
      <c r="AD4594" s="1115"/>
      <c r="AE4594" s="1115"/>
      <c r="AF4594" s="1115"/>
      <c r="AG4594" s="1115"/>
      <c r="AH4594" s="1115"/>
      <c r="AI4594" s="1115"/>
      <c r="AJ4594" s="1117"/>
      <c r="AK4594" s="1118"/>
      <c r="AL4594" s="1115"/>
      <c r="AM4594" s="1115"/>
      <c r="AN4594" s="1115"/>
      <c r="AO4594" s="1115"/>
      <c r="AP4594" s="1115"/>
      <c r="AQ4594" s="1115"/>
      <c r="AR4594" s="1115"/>
      <c r="AS4594" s="1117"/>
      <c r="AT4594" s="1075"/>
      <c r="AU4594" s="1193"/>
      <c r="AV4594" s="330"/>
      <c r="AW4594" s="331"/>
      <c r="AX4594" s="331"/>
      <c r="AY4594" s="331"/>
      <c r="AZ4594" s="331"/>
      <c r="BA4594" s="331"/>
      <c r="BB4594" s="331"/>
      <c r="BC4594" s="331"/>
      <c r="BD4594" s="331"/>
      <c r="BE4594" s="333"/>
      <c r="BF4594" s="330"/>
      <c r="BG4594" s="333"/>
      <c r="BH4594" s="1119"/>
      <c r="BI4594" s="319"/>
      <c r="BJ4594" s="319"/>
      <c r="BK4594" s="319"/>
      <c r="BL4594" s="319"/>
      <c r="BM4594" s="319"/>
      <c r="BN4594" s="319"/>
      <c r="BO4594" s="319"/>
      <c r="BP4594" s="953"/>
      <c r="BQ4594" s="319"/>
      <c r="BR4594" s="319"/>
      <c r="BS4594" s="330"/>
      <c r="BT4594" s="331"/>
      <c r="BU4594" s="920"/>
      <c r="BV4594" s="903"/>
      <c r="BW4594" s="908"/>
      <c r="BX4594" s="908"/>
      <c r="BY4594" s="331"/>
      <c r="BZ4594" s="331"/>
      <c r="CA4594" s="462"/>
      <c r="CB4594" s="319"/>
      <c r="CC4594" s="319"/>
      <c r="CD4594" s="319"/>
      <c r="CE4594" s="319"/>
      <c r="CF4594" s="319"/>
      <c r="CG4594" s="319"/>
      <c r="CH4594" s="318"/>
      <c r="CI4594" s="319"/>
      <c r="CJ4594" s="319"/>
      <c r="CK4594" s="342"/>
      <c r="CL4594" s="333"/>
      <c r="CM4594" s="1079"/>
      <c r="CN4594" s="1005"/>
      <c r="CO4594" s="1005"/>
      <c r="CP4594" s="1005"/>
    </row>
    <row r="4595">
      <c r="A4595" s="1257"/>
      <c r="B4595" s="1113"/>
      <c r="C4595" s="1107"/>
      <c r="D4595" s="103"/>
      <c r="E4595" s="1137"/>
      <c r="F4595" s="112"/>
      <c r="G4595" s="1110"/>
      <c r="H4595" s="1138"/>
      <c r="I4595" s="1138"/>
      <c r="J4595" s="1139"/>
      <c r="K4595" s="1111"/>
      <c r="L4595" s="1112"/>
      <c r="M4595" s="1113"/>
      <c r="N4595" s="110"/>
      <c r="O4595" s="1140"/>
      <c r="P4595" s="1115"/>
      <c r="Q4595" s="1116"/>
      <c r="R4595" s="1141"/>
      <c r="S4595" s="1113"/>
      <c r="T4595" s="1143"/>
      <c r="U4595" s="1108"/>
      <c r="V4595" s="1108"/>
      <c r="W4595" s="1108"/>
      <c r="X4595" s="1108"/>
      <c r="Y4595" s="1108"/>
      <c r="Z4595" s="1114"/>
      <c r="AA4595" s="1114"/>
      <c r="AB4595" s="1114"/>
      <c r="AC4595" s="1117"/>
      <c r="AD4595" s="1115"/>
      <c r="AE4595" s="1115"/>
      <c r="AF4595" s="1115"/>
      <c r="AG4595" s="1115"/>
      <c r="AH4595" s="1115"/>
      <c r="AI4595" s="1115"/>
      <c r="AJ4595" s="1117"/>
      <c r="AK4595" s="1118"/>
      <c r="AL4595" s="1115"/>
      <c r="AM4595" s="1115"/>
      <c r="AN4595" s="1115"/>
      <c r="AO4595" s="1115"/>
      <c r="AP4595" s="1115"/>
      <c r="AQ4595" s="1115"/>
      <c r="AR4595" s="1115"/>
      <c r="AS4595" s="1117"/>
      <c r="AT4595" s="1075"/>
      <c r="AU4595" s="1193"/>
      <c r="AV4595" s="330"/>
      <c r="AW4595" s="331"/>
      <c r="AX4595" s="331"/>
      <c r="AY4595" s="331"/>
      <c r="AZ4595" s="331"/>
      <c r="BA4595" s="331"/>
      <c r="BB4595" s="331"/>
      <c r="BC4595" s="331"/>
      <c r="BD4595" s="331"/>
      <c r="BE4595" s="333"/>
      <c r="BF4595" s="330"/>
      <c r="BG4595" s="333"/>
      <c r="BH4595" s="1119"/>
      <c r="BI4595" s="319"/>
      <c r="BJ4595" s="319"/>
      <c r="BK4595" s="319"/>
      <c r="BL4595" s="319"/>
      <c r="BM4595" s="319"/>
      <c r="BN4595" s="319"/>
      <c r="BO4595" s="319"/>
      <c r="BP4595" s="953"/>
      <c r="BQ4595" s="319"/>
      <c r="BR4595" s="319"/>
      <c r="BS4595" s="330"/>
      <c r="BT4595" s="331"/>
      <c r="BU4595" s="920"/>
      <c r="BV4595" s="903"/>
      <c r="BW4595" s="908"/>
      <c r="BX4595" s="908"/>
      <c r="BY4595" s="331"/>
      <c r="BZ4595" s="331"/>
      <c r="CA4595" s="462"/>
      <c r="CB4595" s="319"/>
      <c r="CC4595" s="319"/>
      <c r="CD4595" s="319"/>
      <c r="CE4595" s="319"/>
      <c r="CF4595" s="319"/>
      <c r="CG4595" s="319"/>
      <c r="CH4595" s="318"/>
      <c r="CI4595" s="319"/>
      <c r="CJ4595" s="319"/>
      <c r="CK4595" s="342"/>
      <c r="CL4595" s="333"/>
      <c r="CM4595" s="1079"/>
      <c r="CN4595" s="1005"/>
      <c r="CO4595" s="1005"/>
      <c r="CP4595" s="1005"/>
    </row>
    <row r="4596">
      <c r="A4596" s="1257"/>
      <c r="B4596" s="1113"/>
      <c r="C4596" s="1107"/>
      <c r="D4596" s="103"/>
      <c r="E4596" s="1137"/>
      <c r="F4596" s="112"/>
      <c r="G4596" s="1110"/>
      <c r="H4596" s="1138"/>
      <c r="I4596" s="1138"/>
      <c r="J4596" s="1139"/>
      <c r="K4596" s="1111"/>
      <c r="L4596" s="1112"/>
      <c r="M4596" s="1113"/>
      <c r="N4596" s="110"/>
      <c r="O4596" s="1140"/>
      <c r="P4596" s="1115"/>
      <c r="Q4596" s="1116"/>
      <c r="R4596" s="1141"/>
      <c r="S4596" s="1113"/>
      <c r="T4596" s="1143"/>
      <c r="U4596" s="1108"/>
      <c r="V4596" s="1108"/>
      <c r="W4596" s="1108"/>
      <c r="X4596" s="1108"/>
      <c r="Y4596" s="1108"/>
      <c r="Z4596" s="1114"/>
      <c r="AA4596" s="1114"/>
      <c r="AB4596" s="1114"/>
      <c r="AC4596" s="1117"/>
      <c r="AD4596" s="1115"/>
      <c r="AE4596" s="1115"/>
      <c r="AF4596" s="1115"/>
      <c r="AG4596" s="1115"/>
      <c r="AH4596" s="1115"/>
      <c r="AI4596" s="1115"/>
      <c r="AJ4596" s="1117"/>
      <c r="AK4596" s="1118"/>
      <c r="AL4596" s="1115"/>
      <c r="AM4596" s="1115"/>
      <c r="AN4596" s="1115"/>
      <c r="AO4596" s="1115"/>
      <c r="AP4596" s="1115"/>
      <c r="AQ4596" s="1115"/>
      <c r="AR4596" s="1115"/>
      <c r="AS4596" s="1117"/>
      <c r="AT4596" s="1075"/>
      <c r="AU4596" s="1193"/>
      <c r="AV4596" s="330"/>
      <c r="AW4596" s="331"/>
      <c r="AX4596" s="331"/>
      <c r="AY4596" s="331"/>
      <c r="AZ4596" s="331"/>
      <c r="BA4596" s="331"/>
      <c r="BB4596" s="331"/>
      <c r="BC4596" s="331"/>
      <c r="BD4596" s="331"/>
      <c r="BE4596" s="333"/>
      <c r="BF4596" s="330"/>
      <c r="BG4596" s="333"/>
      <c r="BH4596" s="1119"/>
      <c r="BI4596" s="319"/>
      <c r="BJ4596" s="319"/>
      <c r="BK4596" s="319"/>
      <c r="BL4596" s="319"/>
      <c r="BM4596" s="319"/>
      <c r="BN4596" s="319"/>
      <c r="BO4596" s="319"/>
      <c r="BP4596" s="953"/>
      <c r="BQ4596" s="319"/>
      <c r="BR4596" s="319"/>
      <c r="BS4596" s="330"/>
      <c r="BT4596" s="331"/>
      <c r="BU4596" s="920"/>
      <c r="BV4596" s="903"/>
      <c r="BW4596" s="908"/>
      <c r="BX4596" s="908"/>
      <c r="BY4596" s="331"/>
      <c r="BZ4596" s="331"/>
      <c r="CA4596" s="462"/>
      <c r="CB4596" s="319"/>
      <c r="CC4596" s="319"/>
      <c r="CD4596" s="319"/>
      <c r="CE4596" s="319"/>
      <c r="CF4596" s="319"/>
      <c r="CG4596" s="319"/>
      <c r="CH4596" s="318"/>
      <c r="CI4596" s="319"/>
      <c r="CJ4596" s="319"/>
      <c r="CK4596" s="342"/>
      <c r="CL4596" s="333"/>
      <c r="CM4596" s="1079"/>
      <c r="CN4596" s="1005"/>
      <c r="CO4596" s="1005"/>
      <c r="CP4596" s="1005"/>
    </row>
    <row r="4597">
      <c r="A4597" s="1257"/>
      <c r="B4597" s="1113"/>
      <c r="C4597" s="1107"/>
      <c r="D4597" s="103"/>
      <c r="E4597" s="1137"/>
      <c r="F4597" s="112"/>
      <c r="G4597" s="1110"/>
      <c r="H4597" s="1138"/>
      <c r="I4597" s="1138"/>
      <c r="J4597" s="1139"/>
      <c r="K4597" s="1111"/>
      <c r="L4597" s="1112"/>
      <c r="M4597" s="1113"/>
      <c r="N4597" s="110"/>
      <c r="O4597" s="1140"/>
      <c r="P4597" s="1115"/>
      <c r="Q4597" s="1116"/>
      <c r="R4597" s="1141"/>
      <c r="S4597" s="1113"/>
      <c r="T4597" s="1143"/>
      <c r="U4597" s="1108"/>
      <c r="V4597" s="1108"/>
      <c r="W4597" s="1108"/>
      <c r="X4597" s="1108"/>
      <c r="Y4597" s="1108"/>
      <c r="Z4597" s="1114"/>
      <c r="AA4597" s="1114"/>
      <c r="AB4597" s="1114"/>
      <c r="AC4597" s="1117"/>
      <c r="AD4597" s="1115"/>
      <c r="AE4597" s="1115"/>
      <c r="AF4597" s="1115"/>
      <c r="AG4597" s="1115"/>
      <c r="AH4597" s="1115"/>
      <c r="AI4597" s="1115"/>
      <c r="AJ4597" s="1117"/>
      <c r="AK4597" s="1118"/>
      <c r="AL4597" s="1115"/>
      <c r="AM4597" s="1115"/>
      <c r="AN4597" s="1115"/>
      <c r="AO4597" s="1115"/>
      <c r="AP4597" s="1115"/>
      <c r="AQ4597" s="1115"/>
      <c r="AR4597" s="1115"/>
      <c r="AS4597" s="1117"/>
      <c r="AT4597" s="1075"/>
      <c r="AU4597" s="1193"/>
      <c r="AV4597" s="330"/>
      <c r="AW4597" s="331"/>
      <c r="AX4597" s="331"/>
      <c r="AY4597" s="331"/>
      <c r="AZ4597" s="331"/>
      <c r="BA4597" s="331"/>
      <c r="BB4597" s="331"/>
      <c r="BC4597" s="331"/>
      <c r="BD4597" s="331"/>
      <c r="BE4597" s="333"/>
      <c r="BF4597" s="330"/>
      <c r="BG4597" s="333"/>
      <c r="BH4597" s="1119"/>
      <c r="BI4597" s="319"/>
      <c r="BJ4597" s="319"/>
      <c r="BK4597" s="319"/>
      <c r="BL4597" s="319"/>
      <c r="BM4597" s="319"/>
      <c r="BN4597" s="319"/>
      <c r="BO4597" s="319"/>
      <c r="BP4597" s="953"/>
      <c r="BQ4597" s="319"/>
      <c r="BR4597" s="319"/>
      <c r="BS4597" s="330"/>
      <c r="BT4597" s="331"/>
      <c r="BU4597" s="920"/>
      <c r="BV4597" s="903"/>
      <c r="BW4597" s="908"/>
      <c r="BX4597" s="908"/>
      <c r="BY4597" s="331"/>
      <c r="BZ4597" s="331"/>
      <c r="CA4597" s="462"/>
      <c r="CB4597" s="319"/>
      <c r="CC4597" s="319"/>
      <c r="CD4597" s="319"/>
      <c r="CE4597" s="319"/>
      <c r="CF4597" s="319"/>
      <c r="CG4597" s="319"/>
      <c r="CH4597" s="318"/>
      <c r="CI4597" s="319"/>
      <c r="CJ4597" s="319"/>
      <c r="CK4597" s="342"/>
      <c r="CL4597" s="333"/>
      <c r="CM4597" s="1079"/>
      <c r="CN4597" s="1005"/>
      <c r="CO4597" s="1005"/>
      <c r="CP4597" s="1005"/>
    </row>
    <row r="4598">
      <c r="A4598" s="1257"/>
      <c r="B4598" s="1113"/>
      <c r="C4598" s="1107"/>
      <c r="D4598" s="103"/>
      <c r="E4598" s="1137"/>
      <c r="F4598" s="112"/>
      <c r="G4598" s="1110"/>
      <c r="H4598" s="1138"/>
      <c r="I4598" s="1138"/>
      <c r="J4598" s="1139"/>
      <c r="K4598" s="1111"/>
      <c r="L4598" s="1112"/>
      <c r="M4598" s="1113"/>
      <c r="N4598" s="110"/>
      <c r="O4598" s="1140"/>
      <c r="P4598" s="1115"/>
      <c r="Q4598" s="1116"/>
      <c r="R4598" s="1141"/>
      <c r="S4598" s="1113"/>
      <c r="T4598" s="1143"/>
      <c r="U4598" s="1108"/>
      <c r="V4598" s="1108"/>
      <c r="W4598" s="1108"/>
      <c r="X4598" s="1108"/>
      <c r="Y4598" s="1108"/>
      <c r="Z4598" s="1114"/>
      <c r="AA4598" s="1114"/>
      <c r="AB4598" s="1114"/>
      <c r="AC4598" s="1117"/>
      <c r="AD4598" s="1115"/>
      <c r="AE4598" s="1115"/>
      <c r="AF4598" s="1115"/>
      <c r="AG4598" s="1115"/>
      <c r="AH4598" s="1115"/>
      <c r="AI4598" s="1115"/>
      <c r="AJ4598" s="1117"/>
      <c r="AK4598" s="1118"/>
      <c r="AL4598" s="1115"/>
      <c r="AM4598" s="1115"/>
      <c r="AN4598" s="1115"/>
      <c r="AO4598" s="1115"/>
      <c r="AP4598" s="1115"/>
      <c r="AQ4598" s="1115"/>
      <c r="AR4598" s="1115"/>
      <c r="AS4598" s="1117"/>
      <c r="AT4598" s="1075"/>
      <c r="AU4598" s="1193"/>
      <c r="AV4598" s="330"/>
      <c r="AW4598" s="331"/>
      <c r="AX4598" s="331"/>
      <c r="AY4598" s="331"/>
      <c r="AZ4598" s="331"/>
      <c r="BA4598" s="331"/>
      <c r="BB4598" s="331"/>
      <c r="BC4598" s="331"/>
      <c r="BD4598" s="331"/>
      <c r="BE4598" s="333"/>
      <c r="BF4598" s="330"/>
      <c r="BG4598" s="333"/>
      <c r="BH4598" s="1119"/>
      <c r="BI4598" s="319"/>
      <c r="BJ4598" s="319"/>
      <c r="BK4598" s="319"/>
      <c r="BL4598" s="319"/>
      <c r="BM4598" s="319"/>
      <c r="BN4598" s="319"/>
      <c r="BO4598" s="319"/>
      <c r="BP4598" s="953"/>
      <c r="BQ4598" s="319"/>
      <c r="BR4598" s="319"/>
      <c r="BS4598" s="330"/>
      <c r="BT4598" s="331"/>
      <c r="BU4598" s="920"/>
      <c r="BV4598" s="903"/>
      <c r="BW4598" s="908"/>
      <c r="BX4598" s="908"/>
      <c r="BY4598" s="331"/>
      <c r="BZ4598" s="331"/>
      <c r="CA4598" s="462"/>
      <c r="CB4598" s="319"/>
      <c r="CC4598" s="319"/>
      <c r="CD4598" s="319"/>
      <c r="CE4598" s="319"/>
      <c r="CF4598" s="319"/>
      <c r="CG4598" s="319"/>
      <c r="CH4598" s="318"/>
      <c r="CI4598" s="319"/>
      <c r="CJ4598" s="319"/>
      <c r="CK4598" s="342"/>
      <c r="CL4598" s="333"/>
      <c r="CM4598" s="1079"/>
      <c r="CN4598" s="1005"/>
      <c r="CO4598" s="1005"/>
      <c r="CP4598" s="1005"/>
    </row>
    <row r="4599">
      <c r="A4599" s="1257"/>
      <c r="B4599" s="1113"/>
      <c r="C4599" s="1107"/>
      <c r="D4599" s="103"/>
      <c r="E4599" s="1137"/>
      <c r="F4599" s="112"/>
      <c r="G4599" s="1110"/>
      <c r="H4599" s="1138"/>
      <c r="I4599" s="1138"/>
      <c r="J4599" s="1139"/>
      <c r="K4599" s="1111"/>
      <c r="L4599" s="1112"/>
      <c r="M4599" s="1113"/>
      <c r="N4599" s="110"/>
      <c r="O4599" s="1140"/>
      <c r="P4599" s="1115"/>
      <c r="Q4599" s="1116"/>
      <c r="R4599" s="1141"/>
      <c r="S4599" s="1113"/>
      <c r="T4599" s="1143"/>
      <c r="U4599" s="1108"/>
      <c r="V4599" s="1108"/>
      <c r="W4599" s="1108"/>
      <c r="X4599" s="1108"/>
      <c r="Y4599" s="1108"/>
      <c r="Z4599" s="1114"/>
      <c r="AA4599" s="1114"/>
      <c r="AB4599" s="1114"/>
      <c r="AC4599" s="1117"/>
      <c r="AD4599" s="1115"/>
      <c r="AE4599" s="1115"/>
      <c r="AF4599" s="1115"/>
      <c r="AG4599" s="1115"/>
      <c r="AH4599" s="1115"/>
      <c r="AI4599" s="1115"/>
      <c r="AJ4599" s="1117"/>
      <c r="AK4599" s="1118"/>
      <c r="AL4599" s="1115"/>
      <c r="AM4599" s="1115"/>
      <c r="AN4599" s="1115"/>
      <c r="AO4599" s="1115"/>
      <c r="AP4599" s="1115"/>
      <c r="AQ4599" s="1115"/>
      <c r="AR4599" s="1115"/>
      <c r="AS4599" s="1117"/>
      <c r="AT4599" s="1075"/>
      <c r="AU4599" s="1193"/>
      <c r="AV4599" s="330"/>
      <c r="AW4599" s="331"/>
      <c r="AX4599" s="331"/>
      <c r="AY4599" s="331"/>
      <c r="AZ4599" s="331"/>
      <c r="BA4599" s="331"/>
      <c r="BB4599" s="331"/>
      <c r="BC4599" s="331"/>
      <c r="BD4599" s="331"/>
      <c r="BE4599" s="333"/>
      <c r="BF4599" s="330"/>
      <c r="BG4599" s="333"/>
      <c r="BH4599" s="1119"/>
      <c r="BI4599" s="319"/>
      <c r="BJ4599" s="319"/>
      <c r="BK4599" s="319"/>
      <c r="BL4599" s="319"/>
      <c r="BM4599" s="319"/>
      <c r="BN4599" s="319"/>
      <c r="BO4599" s="319"/>
      <c r="BP4599" s="953"/>
      <c r="BQ4599" s="319"/>
      <c r="BR4599" s="319"/>
      <c r="BS4599" s="330"/>
      <c r="BT4599" s="331"/>
      <c r="BU4599" s="920"/>
      <c r="BV4599" s="903"/>
      <c r="BW4599" s="908"/>
      <c r="BX4599" s="908"/>
      <c r="BY4599" s="331"/>
      <c r="BZ4599" s="331"/>
      <c r="CA4599" s="462"/>
      <c r="CB4599" s="319"/>
      <c r="CC4599" s="319"/>
      <c r="CD4599" s="319"/>
      <c r="CE4599" s="319"/>
      <c r="CF4599" s="319"/>
      <c r="CG4599" s="319"/>
      <c r="CH4599" s="318"/>
      <c r="CI4599" s="319"/>
      <c r="CJ4599" s="319"/>
      <c r="CK4599" s="342"/>
      <c r="CL4599" s="333"/>
      <c r="CM4599" s="1079"/>
      <c r="CN4599" s="1005"/>
      <c r="CO4599" s="1005"/>
      <c r="CP4599" s="1005"/>
    </row>
    <row r="4600">
      <c r="A4600" s="1257"/>
      <c r="B4600" s="1113"/>
      <c r="C4600" s="1107"/>
      <c r="D4600" s="103"/>
      <c r="E4600" s="1137"/>
      <c r="F4600" s="112"/>
      <c r="G4600" s="1110"/>
      <c r="H4600" s="1138"/>
      <c r="I4600" s="1138"/>
      <c r="J4600" s="1139"/>
      <c r="K4600" s="1111"/>
      <c r="L4600" s="1112"/>
      <c r="M4600" s="1113"/>
      <c r="N4600" s="110"/>
      <c r="O4600" s="1140"/>
      <c r="P4600" s="1115"/>
      <c r="Q4600" s="1116"/>
      <c r="R4600" s="1141"/>
      <c r="S4600" s="1113"/>
      <c r="T4600" s="1143"/>
      <c r="U4600" s="1108"/>
      <c r="V4600" s="1108"/>
      <c r="W4600" s="1108"/>
      <c r="X4600" s="1108"/>
      <c r="Y4600" s="1108"/>
      <c r="Z4600" s="1114"/>
      <c r="AA4600" s="1114"/>
      <c r="AB4600" s="1114"/>
      <c r="AC4600" s="1117"/>
      <c r="AD4600" s="1115"/>
      <c r="AE4600" s="1115"/>
      <c r="AF4600" s="1115"/>
      <c r="AG4600" s="1115"/>
      <c r="AH4600" s="1115"/>
      <c r="AI4600" s="1115"/>
      <c r="AJ4600" s="1117"/>
      <c r="AK4600" s="1118"/>
      <c r="AL4600" s="1115"/>
      <c r="AM4600" s="1115"/>
      <c r="AN4600" s="1115"/>
      <c r="AO4600" s="1115"/>
      <c r="AP4600" s="1115"/>
      <c r="AQ4600" s="1115"/>
      <c r="AR4600" s="1115"/>
      <c r="AS4600" s="1117"/>
      <c r="AT4600" s="1075"/>
      <c r="AU4600" s="1193"/>
      <c r="AV4600" s="330"/>
      <c r="AW4600" s="331"/>
      <c r="AX4600" s="331"/>
      <c r="AY4600" s="331"/>
      <c r="AZ4600" s="331"/>
      <c r="BA4600" s="331"/>
      <c r="BB4600" s="331"/>
      <c r="BC4600" s="331"/>
      <c r="BD4600" s="331"/>
      <c r="BE4600" s="333"/>
      <c r="BF4600" s="330"/>
      <c r="BG4600" s="333"/>
      <c r="BH4600" s="1119"/>
      <c r="BI4600" s="319"/>
      <c r="BJ4600" s="319"/>
      <c r="BK4600" s="319"/>
      <c r="BL4600" s="319"/>
      <c r="BM4600" s="319"/>
      <c r="BN4600" s="319"/>
      <c r="BO4600" s="319"/>
      <c r="BP4600" s="953"/>
      <c r="BQ4600" s="319"/>
      <c r="BR4600" s="319"/>
      <c r="BS4600" s="330"/>
      <c r="BT4600" s="331"/>
      <c r="BU4600" s="920"/>
      <c r="BV4600" s="903"/>
      <c r="BW4600" s="908"/>
      <c r="BX4600" s="908"/>
      <c r="BY4600" s="331"/>
      <c r="BZ4600" s="331"/>
      <c r="CA4600" s="462"/>
      <c r="CB4600" s="319"/>
      <c r="CC4600" s="319"/>
      <c r="CD4600" s="319"/>
      <c r="CE4600" s="319"/>
      <c r="CF4600" s="319"/>
      <c r="CG4600" s="319"/>
      <c r="CH4600" s="318"/>
      <c r="CI4600" s="319"/>
      <c r="CJ4600" s="319"/>
      <c r="CK4600" s="342"/>
      <c r="CL4600" s="333"/>
      <c r="CM4600" s="1079"/>
      <c r="CN4600" s="1005"/>
      <c r="CO4600" s="1005"/>
      <c r="CP4600" s="1005"/>
    </row>
    <row r="4601">
      <c r="A4601" s="1257"/>
      <c r="B4601" s="1113"/>
      <c r="C4601" s="1107"/>
      <c r="D4601" s="103"/>
      <c r="E4601" s="1137"/>
      <c r="F4601" s="112"/>
      <c r="G4601" s="1110"/>
      <c r="H4601" s="1138"/>
      <c r="I4601" s="1138"/>
      <c r="J4601" s="1139"/>
      <c r="K4601" s="1111"/>
      <c r="L4601" s="1112"/>
      <c r="M4601" s="1113"/>
      <c r="N4601" s="110"/>
      <c r="O4601" s="1140"/>
      <c r="P4601" s="1115"/>
      <c r="Q4601" s="1116"/>
      <c r="R4601" s="1141"/>
      <c r="S4601" s="1113"/>
      <c r="T4601" s="1143"/>
      <c r="U4601" s="1108"/>
      <c r="V4601" s="1108"/>
      <c r="W4601" s="1108"/>
      <c r="X4601" s="1108"/>
      <c r="Y4601" s="1108"/>
      <c r="Z4601" s="1114"/>
      <c r="AA4601" s="1114"/>
      <c r="AB4601" s="1114"/>
      <c r="AC4601" s="1117"/>
      <c r="AD4601" s="1115"/>
      <c r="AE4601" s="1115"/>
      <c r="AF4601" s="1115"/>
      <c r="AG4601" s="1115"/>
      <c r="AH4601" s="1115"/>
      <c r="AI4601" s="1115"/>
      <c r="AJ4601" s="1117"/>
      <c r="AK4601" s="1118"/>
      <c r="AL4601" s="1115"/>
      <c r="AM4601" s="1115"/>
      <c r="AN4601" s="1115"/>
      <c r="AO4601" s="1115"/>
      <c r="AP4601" s="1115"/>
      <c r="AQ4601" s="1115"/>
      <c r="AR4601" s="1115"/>
      <c r="AS4601" s="1117"/>
      <c r="AT4601" s="1075"/>
      <c r="AU4601" s="1193"/>
      <c r="AV4601" s="330"/>
      <c r="AW4601" s="331"/>
      <c r="AX4601" s="331"/>
      <c r="AY4601" s="331"/>
      <c r="AZ4601" s="331"/>
      <c r="BA4601" s="331"/>
      <c r="BB4601" s="331"/>
      <c r="BC4601" s="331"/>
      <c r="BD4601" s="331"/>
      <c r="BE4601" s="333"/>
      <c r="BF4601" s="330"/>
      <c r="BG4601" s="333"/>
      <c r="BH4601" s="1119"/>
      <c r="BI4601" s="319"/>
      <c r="BJ4601" s="319"/>
      <c r="BK4601" s="319"/>
      <c r="BL4601" s="319"/>
      <c r="BM4601" s="319"/>
      <c r="BN4601" s="319"/>
      <c r="BO4601" s="319"/>
      <c r="BP4601" s="953"/>
      <c r="BQ4601" s="319"/>
      <c r="BR4601" s="319"/>
      <c r="BS4601" s="330"/>
      <c r="BT4601" s="331"/>
      <c r="BU4601" s="920"/>
      <c r="BV4601" s="903"/>
      <c r="BW4601" s="908"/>
      <c r="BX4601" s="908"/>
      <c r="BY4601" s="331"/>
      <c r="BZ4601" s="331"/>
      <c r="CA4601" s="462"/>
      <c r="CB4601" s="319"/>
      <c r="CC4601" s="319"/>
      <c r="CD4601" s="319"/>
      <c r="CE4601" s="319"/>
      <c r="CF4601" s="319"/>
      <c r="CG4601" s="319"/>
      <c r="CH4601" s="318"/>
      <c r="CI4601" s="319"/>
      <c r="CJ4601" s="319"/>
      <c r="CK4601" s="342"/>
      <c r="CL4601" s="333"/>
      <c r="CM4601" s="1079"/>
      <c r="CN4601" s="1005"/>
      <c r="CO4601" s="1005"/>
      <c r="CP4601" s="1005"/>
    </row>
    <row r="4602">
      <c r="A4602" s="1257"/>
      <c r="B4602" s="1113"/>
      <c r="C4602" s="1107"/>
      <c r="D4602" s="103"/>
      <c r="E4602" s="1137"/>
      <c r="F4602" s="112"/>
      <c r="G4602" s="1110"/>
      <c r="H4602" s="1138"/>
      <c r="I4602" s="1138"/>
      <c r="J4602" s="1139"/>
      <c r="K4602" s="1111"/>
      <c r="L4602" s="1112"/>
      <c r="M4602" s="1113"/>
      <c r="N4602" s="110"/>
      <c r="O4602" s="1140"/>
      <c r="P4602" s="1115"/>
      <c r="Q4602" s="1116"/>
      <c r="R4602" s="1141"/>
      <c r="S4602" s="1113"/>
      <c r="T4602" s="1143"/>
      <c r="U4602" s="1108"/>
      <c r="V4602" s="1108"/>
      <c r="W4602" s="1108"/>
      <c r="X4602" s="1108"/>
      <c r="Y4602" s="1108"/>
      <c r="Z4602" s="1114"/>
      <c r="AA4602" s="1114"/>
      <c r="AB4602" s="1114"/>
      <c r="AC4602" s="1117"/>
      <c r="AD4602" s="1115"/>
      <c r="AE4602" s="1115"/>
      <c r="AF4602" s="1115"/>
      <c r="AG4602" s="1115"/>
      <c r="AH4602" s="1115"/>
      <c r="AI4602" s="1115"/>
      <c r="AJ4602" s="1117"/>
      <c r="AK4602" s="1118"/>
      <c r="AL4602" s="1115"/>
      <c r="AM4602" s="1115"/>
      <c r="AN4602" s="1115"/>
      <c r="AO4602" s="1115"/>
      <c r="AP4602" s="1115"/>
      <c r="AQ4602" s="1115"/>
      <c r="AR4602" s="1115"/>
      <c r="AS4602" s="1117"/>
      <c r="AT4602" s="1075"/>
      <c r="AU4602" s="1193"/>
      <c r="AV4602" s="330"/>
      <c r="AW4602" s="331"/>
      <c r="AX4602" s="331"/>
      <c r="AY4602" s="331"/>
      <c r="AZ4602" s="331"/>
      <c r="BA4602" s="331"/>
      <c r="BB4602" s="331"/>
      <c r="BC4602" s="331"/>
      <c r="BD4602" s="331"/>
      <c r="BE4602" s="333"/>
      <c r="BF4602" s="330"/>
      <c r="BG4602" s="333"/>
      <c r="BH4602" s="1119"/>
      <c r="BI4602" s="319"/>
      <c r="BJ4602" s="319"/>
      <c r="BK4602" s="319"/>
      <c r="BL4602" s="319"/>
      <c r="BM4602" s="319"/>
      <c r="BN4602" s="319"/>
      <c r="BO4602" s="319"/>
      <c r="BP4602" s="953"/>
      <c r="BQ4602" s="319"/>
      <c r="BR4602" s="319"/>
      <c r="BS4602" s="330"/>
      <c r="BT4602" s="331"/>
      <c r="BU4602" s="920"/>
      <c r="BV4602" s="903"/>
      <c r="BW4602" s="908"/>
      <c r="BX4602" s="908"/>
      <c r="BY4602" s="331"/>
      <c r="BZ4602" s="331"/>
      <c r="CA4602" s="462"/>
      <c r="CB4602" s="319"/>
      <c r="CC4602" s="319"/>
      <c r="CD4602" s="319"/>
      <c r="CE4602" s="319"/>
      <c r="CF4602" s="319"/>
      <c r="CG4602" s="319"/>
      <c r="CH4602" s="318"/>
      <c r="CI4602" s="319"/>
      <c r="CJ4602" s="319"/>
      <c r="CK4602" s="342"/>
      <c r="CL4602" s="333"/>
      <c r="CM4602" s="1079"/>
      <c r="CN4602" s="1005"/>
      <c r="CO4602" s="1005"/>
      <c r="CP4602" s="1005"/>
    </row>
    <row r="4603">
      <c r="A4603" s="1257"/>
      <c r="B4603" s="1113"/>
      <c r="C4603" s="1107"/>
      <c r="D4603" s="103"/>
      <c r="E4603" s="1137"/>
      <c r="F4603" s="112"/>
      <c r="G4603" s="1110"/>
      <c r="H4603" s="1138"/>
      <c r="I4603" s="1138"/>
      <c r="J4603" s="1139"/>
      <c r="K4603" s="1111"/>
      <c r="L4603" s="1112"/>
      <c r="M4603" s="1113"/>
      <c r="N4603" s="110"/>
      <c r="O4603" s="1140"/>
      <c r="P4603" s="1115"/>
      <c r="Q4603" s="1116"/>
      <c r="R4603" s="1141"/>
      <c r="S4603" s="1113"/>
      <c r="T4603" s="1143"/>
      <c r="U4603" s="1108"/>
      <c r="V4603" s="1108"/>
      <c r="W4603" s="1108"/>
      <c r="X4603" s="1108"/>
      <c r="Y4603" s="1108"/>
      <c r="Z4603" s="1114"/>
      <c r="AA4603" s="1114"/>
      <c r="AB4603" s="1114"/>
      <c r="AC4603" s="1117"/>
      <c r="AD4603" s="1115"/>
      <c r="AE4603" s="1115"/>
      <c r="AF4603" s="1115"/>
      <c r="AG4603" s="1115"/>
      <c r="AH4603" s="1115"/>
      <c r="AI4603" s="1115"/>
      <c r="AJ4603" s="1117"/>
      <c r="AK4603" s="1118"/>
      <c r="AL4603" s="1115"/>
      <c r="AM4603" s="1115"/>
      <c r="AN4603" s="1115"/>
      <c r="AO4603" s="1115"/>
      <c r="AP4603" s="1115"/>
      <c r="AQ4603" s="1115"/>
      <c r="AR4603" s="1115"/>
      <c r="AS4603" s="1117"/>
      <c r="AT4603" s="1075"/>
      <c r="AU4603" s="1193"/>
      <c r="AV4603" s="330"/>
      <c r="AW4603" s="331"/>
      <c r="AX4603" s="331"/>
      <c r="AY4603" s="331"/>
      <c r="AZ4603" s="331"/>
      <c r="BA4603" s="331"/>
      <c r="BB4603" s="331"/>
      <c r="BC4603" s="331"/>
      <c r="BD4603" s="331"/>
      <c r="BE4603" s="333"/>
      <c r="BF4603" s="330"/>
      <c r="BG4603" s="333"/>
      <c r="BH4603" s="1119"/>
      <c r="BI4603" s="319"/>
      <c r="BJ4603" s="319"/>
      <c r="BK4603" s="319"/>
      <c r="BL4603" s="319"/>
      <c r="BM4603" s="319"/>
      <c r="BN4603" s="319"/>
      <c r="BO4603" s="319"/>
      <c r="BP4603" s="953"/>
      <c r="BQ4603" s="319"/>
      <c r="BR4603" s="319"/>
      <c r="BS4603" s="330"/>
      <c r="BT4603" s="331"/>
      <c r="BU4603" s="920"/>
      <c r="BV4603" s="903"/>
      <c r="BW4603" s="908"/>
      <c r="BX4603" s="908"/>
      <c r="BY4603" s="331"/>
      <c r="BZ4603" s="331"/>
      <c r="CA4603" s="462"/>
      <c r="CB4603" s="319"/>
      <c r="CC4603" s="319"/>
      <c r="CD4603" s="319"/>
      <c r="CE4603" s="319"/>
      <c r="CF4603" s="319"/>
      <c r="CG4603" s="319"/>
      <c r="CH4603" s="318"/>
      <c r="CI4603" s="319"/>
      <c r="CJ4603" s="319"/>
      <c r="CK4603" s="342"/>
      <c r="CL4603" s="333"/>
      <c r="CM4603" s="1079"/>
      <c r="CN4603" s="1005"/>
      <c r="CO4603" s="1005"/>
      <c r="CP4603" s="1005"/>
    </row>
    <row r="4604">
      <c r="A4604" s="1257"/>
      <c r="B4604" s="1113"/>
      <c r="C4604" s="1107"/>
      <c r="D4604" s="103"/>
      <c r="E4604" s="1137"/>
      <c r="F4604" s="112"/>
      <c r="G4604" s="1110"/>
      <c r="H4604" s="1138"/>
      <c r="I4604" s="1138"/>
      <c r="J4604" s="1139"/>
      <c r="K4604" s="1111"/>
      <c r="L4604" s="1112"/>
      <c r="M4604" s="1113"/>
      <c r="N4604" s="110"/>
      <c r="O4604" s="1140"/>
      <c r="P4604" s="1115"/>
      <c r="Q4604" s="1116"/>
      <c r="R4604" s="1141"/>
      <c r="S4604" s="1113"/>
      <c r="T4604" s="1143"/>
      <c r="U4604" s="1108"/>
      <c r="V4604" s="1108"/>
      <c r="W4604" s="1108"/>
      <c r="X4604" s="1108"/>
      <c r="Y4604" s="1108"/>
      <c r="Z4604" s="1114"/>
      <c r="AA4604" s="1114"/>
      <c r="AB4604" s="1114"/>
      <c r="AC4604" s="1117"/>
      <c r="AD4604" s="1115"/>
      <c r="AE4604" s="1115"/>
      <c r="AF4604" s="1115"/>
      <c r="AG4604" s="1115"/>
      <c r="AH4604" s="1115"/>
      <c r="AI4604" s="1115"/>
      <c r="AJ4604" s="1117"/>
      <c r="AK4604" s="1118"/>
      <c r="AL4604" s="1115"/>
      <c r="AM4604" s="1115"/>
      <c r="AN4604" s="1115"/>
      <c r="AO4604" s="1115"/>
      <c r="AP4604" s="1115"/>
      <c r="AQ4604" s="1115"/>
      <c r="AR4604" s="1115"/>
      <c r="AS4604" s="1117"/>
      <c r="AT4604" s="1075"/>
      <c r="AU4604" s="1193"/>
      <c r="AV4604" s="330"/>
      <c r="AW4604" s="331"/>
      <c r="AX4604" s="331"/>
      <c r="AY4604" s="331"/>
      <c r="AZ4604" s="331"/>
      <c r="BA4604" s="331"/>
      <c r="BB4604" s="331"/>
      <c r="BC4604" s="331"/>
      <c r="BD4604" s="331"/>
      <c r="BE4604" s="333"/>
      <c r="BF4604" s="330"/>
      <c r="BG4604" s="333"/>
      <c r="BH4604" s="1119"/>
      <c r="BI4604" s="319"/>
      <c r="BJ4604" s="319"/>
      <c r="BK4604" s="319"/>
      <c r="BL4604" s="319"/>
      <c r="BM4604" s="319"/>
      <c r="BN4604" s="319"/>
      <c r="BO4604" s="319"/>
      <c r="BP4604" s="953"/>
      <c r="BQ4604" s="319"/>
      <c r="BR4604" s="319"/>
      <c r="BS4604" s="330"/>
      <c r="BT4604" s="331"/>
      <c r="BU4604" s="920"/>
      <c r="BV4604" s="903"/>
      <c r="BW4604" s="908"/>
      <c r="BX4604" s="908"/>
      <c r="BY4604" s="331"/>
      <c r="BZ4604" s="331"/>
      <c r="CA4604" s="462"/>
      <c r="CB4604" s="319"/>
      <c r="CC4604" s="319"/>
      <c r="CD4604" s="319"/>
      <c r="CE4604" s="319"/>
      <c r="CF4604" s="319"/>
      <c r="CG4604" s="319"/>
      <c r="CH4604" s="318"/>
      <c r="CI4604" s="319"/>
      <c r="CJ4604" s="319"/>
      <c r="CK4604" s="342"/>
      <c r="CL4604" s="333"/>
      <c r="CM4604" s="1079"/>
      <c r="CN4604" s="1005"/>
      <c r="CO4604" s="1005"/>
      <c r="CP4604" s="1005"/>
    </row>
    <row r="4605">
      <c r="A4605" s="1257"/>
      <c r="B4605" s="1113"/>
      <c r="C4605" s="1107"/>
      <c r="D4605" s="103"/>
      <c r="E4605" s="1137"/>
      <c r="F4605" s="112"/>
      <c r="G4605" s="1110"/>
      <c r="H4605" s="1138"/>
      <c r="I4605" s="1138"/>
      <c r="J4605" s="1139"/>
      <c r="K4605" s="1111"/>
      <c r="L4605" s="1112"/>
      <c r="M4605" s="1113"/>
      <c r="N4605" s="110"/>
      <c r="O4605" s="1140"/>
      <c r="P4605" s="1115"/>
      <c r="Q4605" s="1116"/>
      <c r="R4605" s="1141"/>
      <c r="S4605" s="1113"/>
      <c r="T4605" s="1143"/>
      <c r="U4605" s="1108"/>
      <c r="V4605" s="1108"/>
      <c r="W4605" s="1108"/>
      <c r="X4605" s="1108"/>
      <c r="Y4605" s="1108"/>
      <c r="Z4605" s="1114"/>
      <c r="AA4605" s="1114"/>
      <c r="AB4605" s="1114"/>
      <c r="AC4605" s="1117"/>
      <c r="AD4605" s="1115"/>
      <c r="AE4605" s="1115"/>
      <c r="AF4605" s="1115"/>
      <c r="AG4605" s="1115"/>
      <c r="AH4605" s="1115"/>
      <c r="AI4605" s="1115"/>
      <c r="AJ4605" s="1117"/>
      <c r="AK4605" s="1118"/>
      <c r="AL4605" s="1115"/>
      <c r="AM4605" s="1115"/>
      <c r="AN4605" s="1115"/>
      <c r="AO4605" s="1115"/>
      <c r="AP4605" s="1115"/>
      <c r="AQ4605" s="1115"/>
      <c r="AR4605" s="1115"/>
      <c r="AS4605" s="1117"/>
      <c r="AT4605" s="1075"/>
      <c r="AU4605" s="1193"/>
      <c r="AV4605" s="330"/>
      <c r="AW4605" s="331"/>
      <c r="AX4605" s="331"/>
      <c r="AY4605" s="331"/>
      <c r="AZ4605" s="331"/>
      <c r="BA4605" s="331"/>
      <c r="BB4605" s="331"/>
      <c r="BC4605" s="331"/>
      <c r="BD4605" s="331"/>
      <c r="BE4605" s="333"/>
      <c r="BF4605" s="330"/>
      <c r="BG4605" s="333"/>
      <c r="BH4605" s="1119"/>
      <c r="BI4605" s="319"/>
      <c r="BJ4605" s="319"/>
      <c r="BK4605" s="319"/>
      <c r="BL4605" s="319"/>
      <c r="BM4605" s="319"/>
      <c r="BN4605" s="319"/>
      <c r="BO4605" s="319"/>
      <c r="BP4605" s="953"/>
      <c r="BQ4605" s="319"/>
      <c r="BR4605" s="319"/>
      <c r="BS4605" s="330"/>
      <c r="BT4605" s="331"/>
      <c r="BU4605" s="920"/>
      <c r="BV4605" s="903"/>
      <c r="BW4605" s="908"/>
      <c r="BX4605" s="908"/>
      <c r="BY4605" s="331"/>
      <c r="BZ4605" s="331"/>
      <c r="CA4605" s="462"/>
      <c r="CB4605" s="319"/>
      <c r="CC4605" s="319"/>
      <c r="CD4605" s="319"/>
      <c r="CE4605" s="319"/>
      <c r="CF4605" s="319"/>
      <c r="CG4605" s="319"/>
      <c r="CH4605" s="318"/>
      <c r="CI4605" s="319"/>
      <c r="CJ4605" s="319"/>
      <c r="CK4605" s="342"/>
      <c r="CL4605" s="333"/>
      <c r="CM4605" s="1079"/>
      <c r="CN4605" s="1005"/>
      <c r="CO4605" s="1005"/>
      <c r="CP4605" s="1005"/>
    </row>
    <row r="4606">
      <c r="A4606" s="1257"/>
      <c r="B4606" s="1113"/>
      <c r="C4606" s="1107"/>
      <c r="D4606" s="103"/>
      <c r="E4606" s="1137"/>
      <c r="F4606" s="112"/>
      <c r="G4606" s="1110"/>
      <c r="H4606" s="1138"/>
      <c r="I4606" s="1138"/>
      <c r="J4606" s="1139"/>
      <c r="K4606" s="1111"/>
      <c r="L4606" s="1112"/>
      <c r="M4606" s="1113"/>
      <c r="N4606" s="110"/>
      <c r="O4606" s="1140"/>
      <c r="P4606" s="1115"/>
      <c r="Q4606" s="1116"/>
      <c r="R4606" s="1141"/>
      <c r="S4606" s="1113"/>
      <c r="T4606" s="1143"/>
      <c r="U4606" s="1108"/>
      <c r="V4606" s="1108"/>
      <c r="W4606" s="1108"/>
      <c r="X4606" s="1108"/>
      <c r="Y4606" s="1108"/>
      <c r="Z4606" s="1114"/>
      <c r="AA4606" s="1114"/>
      <c r="AB4606" s="1114"/>
      <c r="AC4606" s="1117"/>
      <c r="AD4606" s="1115"/>
      <c r="AE4606" s="1115"/>
      <c r="AF4606" s="1115"/>
      <c r="AG4606" s="1115"/>
      <c r="AH4606" s="1115"/>
      <c r="AI4606" s="1115"/>
      <c r="AJ4606" s="1117"/>
      <c r="AK4606" s="1118"/>
      <c r="AL4606" s="1115"/>
      <c r="AM4606" s="1115"/>
      <c r="AN4606" s="1115"/>
      <c r="AO4606" s="1115"/>
      <c r="AP4606" s="1115"/>
      <c r="AQ4606" s="1115"/>
      <c r="AR4606" s="1115"/>
      <c r="AS4606" s="1117"/>
      <c r="AT4606" s="1075"/>
      <c r="AU4606" s="1193"/>
      <c r="AV4606" s="330"/>
      <c r="AW4606" s="331"/>
      <c r="AX4606" s="331"/>
      <c r="AY4606" s="331"/>
      <c r="AZ4606" s="331"/>
      <c r="BA4606" s="331"/>
      <c r="BB4606" s="331"/>
      <c r="BC4606" s="331"/>
      <c r="BD4606" s="331"/>
      <c r="BE4606" s="333"/>
      <c r="BF4606" s="330"/>
      <c r="BG4606" s="333"/>
      <c r="BH4606" s="1119"/>
      <c r="BI4606" s="319"/>
      <c r="BJ4606" s="319"/>
      <c r="BK4606" s="319"/>
      <c r="BL4606" s="319"/>
      <c r="BM4606" s="319"/>
      <c r="BN4606" s="319"/>
      <c r="BO4606" s="319"/>
      <c r="BP4606" s="953"/>
      <c r="BQ4606" s="319"/>
      <c r="BR4606" s="319"/>
      <c r="BS4606" s="330"/>
      <c r="BT4606" s="331"/>
      <c r="BU4606" s="920"/>
      <c r="BV4606" s="903"/>
      <c r="BW4606" s="908"/>
      <c r="BX4606" s="908"/>
      <c r="BY4606" s="331"/>
      <c r="BZ4606" s="331"/>
      <c r="CA4606" s="462"/>
      <c r="CB4606" s="319"/>
      <c r="CC4606" s="319"/>
      <c r="CD4606" s="319"/>
      <c r="CE4606" s="319"/>
      <c r="CF4606" s="319"/>
      <c r="CG4606" s="319"/>
      <c r="CH4606" s="318"/>
      <c r="CI4606" s="319"/>
      <c r="CJ4606" s="319"/>
      <c r="CK4606" s="342"/>
      <c r="CL4606" s="333"/>
      <c r="CM4606" s="1079"/>
      <c r="CN4606" s="1005"/>
      <c r="CO4606" s="1005"/>
      <c r="CP4606" s="1005"/>
    </row>
    <row r="4607">
      <c r="A4607" s="1257"/>
      <c r="B4607" s="1113"/>
      <c r="C4607" s="1107"/>
      <c r="D4607" s="103"/>
      <c r="E4607" s="1137"/>
      <c r="F4607" s="112"/>
      <c r="G4607" s="1110"/>
      <c r="H4607" s="1138"/>
      <c r="I4607" s="1138"/>
      <c r="J4607" s="1139"/>
      <c r="K4607" s="1111"/>
      <c r="L4607" s="1112"/>
      <c r="M4607" s="1113"/>
      <c r="N4607" s="110"/>
      <c r="O4607" s="1140"/>
      <c r="P4607" s="1115"/>
      <c r="Q4607" s="1116"/>
      <c r="R4607" s="1141"/>
      <c r="S4607" s="1113"/>
      <c r="T4607" s="1143"/>
      <c r="U4607" s="1108"/>
      <c r="V4607" s="1108"/>
      <c r="W4607" s="1108"/>
      <c r="X4607" s="1108"/>
      <c r="Y4607" s="1108"/>
      <c r="Z4607" s="1114"/>
      <c r="AA4607" s="1114"/>
      <c r="AB4607" s="1114"/>
      <c r="AC4607" s="1117"/>
      <c r="AD4607" s="1115"/>
      <c r="AE4607" s="1115"/>
      <c r="AF4607" s="1115"/>
      <c r="AG4607" s="1115"/>
      <c r="AH4607" s="1115"/>
      <c r="AI4607" s="1115"/>
      <c r="AJ4607" s="1117"/>
      <c r="AK4607" s="1118"/>
      <c r="AL4607" s="1115"/>
      <c r="AM4607" s="1115"/>
      <c r="AN4607" s="1115"/>
      <c r="AO4607" s="1115"/>
      <c r="AP4607" s="1115"/>
      <c r="AQ4607" s="1115"/>
      <c r="AR4607" s="1115"/>
      <c r="AS4607" s="1117"/>
      <c r="AT4607" s="1075"/>
      <c r="AU4607" s="1193"/>
      <c r="AV4607" s="330"/>
      <c r="AW4607" s="331"/>
      <c r="AX4607" s="331"/>
      <c r="AY4607" s="331"/>
      <c r="AZ4607" s="331"/>
      <c r="BA4607" s="331"/>
      <c r="BB4607" s="331"/>
      <c r="BC4607" s="331"/>
      <c r="BD4607" s="331"/>
      <c r="BE4607" s="333"/>
      <c r="BF4607" s="330"/>
      <c r="BG4607" s="333"/>
      <c r="BH4607" s="1119"/>
      <c r="BI4607" s="319"/>
      <c r="BJ4607" s="319"/>
      <c r="BK4607" s="319"/>
      <c r="BL4607" s="319"/>
      <c r="BM4607" s="319"/>
      <c r="BN4607" s="319"/>
      <c r="BO4607" s="319"/>
      <c r="BP4607" s="953"/>
      <c r="BQ4607" s="319"/>
      <c r="BR4607" s="319"/>
      <c r="BS4607" s="330"/>
      <c r="BT4607" s="331"/>
      <c r="BU4607" s="920"/>
      <c r="BV4607" s="903"/>
      <c r="BW4607" s="908"/>
      <c r="BX4607" s="908"/>
      <c r="BY4607" s="331"/>
      <c r="BZ4607" s="331"/>
      <c r="CA4607" s="462"/>
      <c r="CB4607" s="319"/>
      <c r="CC4607" s="319"/>
      <c r="CD4607" s="319"/>
      <c r="CE4607" s="319"/>
      <c r="CF4607" s="319"/>
      <c r="CG4607" s="319"/>
      <c r="CH4607" s="318"/>
      <c r="CI4607" s="319"/>
      <c r="CJ4607" s="319"/>
      <c r="CK4607" s="342"/>
      <c r="CL4607" s="333"/>
      <c r="CM4607" s="1079"/>
      <c r="CN4607" s="1005"/>
      <c r="CO4607" s="1005"/>
      <c r="CP4607" s="1005"/>
    </row>
    <row r="4608">
      <c r="A4608" s="1257"/>
      <c r="B4608" s="1113"/>
      <c r="C4608" s="1107"/>
      <c r="D4608" s="103"/>
      <c r="E4608" s="1137"/>
      <c r="F4608" s="112"/>
      <c r="G4608" s="1110"/>
      <c r="H4608" s="1138"/>
      <c r="I4608" s="1138"/>
      <c r="J4608" s="1139"/>
      <c r="K4608" s="1111"/>
      <c r="L4608" s="1112"/>
      <c r="M4608" s="1113"/>
      <c r="N4608" s="110"/>
      <c r="O4608" s="1140"/>
      <c r="P4608" s="1115"/>
      <c r="Q4608" s="1116"/>
      <c r="R4608" s="1141"/>
      <c r="S4608" s="1113"/>
      <c r="T4608" s="1143"/>
      <c r="U4608" s="1108"/>
      <c r="V4608" s="1108"/>
      <c r="W4608" s="1108"/>
      <c r="X4608" s="1108"/>
      <c r="Y4608" s="1108"/>
      <c r="Z4608" s="1114"/>
      <c r="AA4608" s="1114"/>
      <c r="AB4608" s="1114"/>
      <c r="AC4608" s="1117"/>
      <c r="AD4608" s="1115"/>
      <c r="AE4608" s="1115"/>
      <c r="AF4608" s="1115"/>
      <c r="AG4608" s="1115"/>
      <c r="AH4608" s="1115"/>
      <c r="AI4608" s="1115"/>
      <c r="AJ4608" s="1117"/>
      <c r="AK4608" s="1118"/>
      <c r="AL4608" s="1115"/>
      <c r="AM4608" s="1115"/>
      <c r="AN4608" s="1115"/>
      <c r="AO4608" s="1115"/>
      <c r="AP4608" s="1115"/>
      <c r="AQ4608" s="1115"/>
      <c r="AR4608" s="1115"/>
      <c r="AS4608" s="1117"/>
      <c r="AT4608" s="1075"/>
      <c r="AU4608" s="1193"/>
      <c r="AV4608" s="330"/>
      <c r="AW4608" s="331"/>
      <c r="AX4608" s="331"/>
      <c r="AY4608" s="331"/>
      <c r="AZ4608" s="331"/>
      <c r="BA4608" s="331"/>
      <c r="BB4608" s="331"/>
      <c r="BC4608" s="331"/>
      <c r="BD4608" s="331"/>
      <c r="BE4608" s="333"/>
      <c r="BF4608" s="330"/>
      <c r="BG4608" s="333"/>
      <c r="BH4608" s="1119"/>
      <c r="BI4608" s="319"/>
      <c r="BJ4608" s="319"/>
      <c r="BK4608" s="319"/>
      <c r="BL4608" s="319"/>
      <c r="BM4608" s="319"/>
      <c r="BN4608" s="319"/>
      <c r="BO4608" s="319"/>
      <c r="BP4608" s="953"/>
      <c r="BQ4608" s="319"/>
      <c r="BR4608" s="319"/>
      <c r="BS4608" s="330"/>
      <c r="BT4608" s="331"/>
      <c r="BU4608" s="920"/>
      <c r="BV4608" s="903"/>
      <c r="BW4608" s="908"/>
      <c r="BX4608" s="908"/>
      <c r="BY4608" s="331"/>
      <c r="BZ4608" s="331"/>
      <c r="CA4608" s="462"/>
      <c r="CB4608" s="319"/>
      <c r="CC4608" s="319"/>
      <c r="CD4608" s="319"/>
      <c r="CE4608" s="319"/>
      <c r="CF4608" s="319"/>
      <c r="CG4608" s="319"/>
      <c r="CH4608" s="318"/>
      <c r="CI4608" s="319"/>
      <c r="CJ4608" s="319"/>
      <c r="CK4608" s="342"/>
      <c r="CL4608" s="333"/>
      <c r="CM4608" s="1079"/>
      <c r="CN4608" s="1005"/>
      <c r="CO4608" s="1005"/>
      <c r="CP4608" s="1005"/>
    </row>
    <row r="4609">
      <c r="A4609" s="1257"/>
      <c r="B4609" s="1113"/>
      <c r="C4609" s="1107"/>
      <c r="D4609" s="103"/>
      <c r="E4609" s="1137"/>
      <c r="F4609" s="112"/>
      <c r="G4609" s="1110"/>
      <c r="H4609" s="1138"/>
      <c r="I4609" s="1138"/>
      <c r="J4609" s="1139"/>
      <c r="K4609" s="1111"/>
      <c r="L4609" s="1112"/>
      <c r="M4609" s="1113"/>
      <c r="N4609" s="110"/>
      <c r="O4609" s="1140"/>
      <c r="P4609" s="1115"/>
      <c r="Q4609" s="1116"/>
      <c r="R4609" s="1141"/>
      <c r="S4609" s="1113"/>
      <c r="T4609" s="1143"/>
      <c r="U4609" s="1108"/>
      <c r="V4609" s="1108"/>
      <c r="W4609" s="1108"/>
      <c r="X4609" s="1108"/>
      <c r="Y4609" s="1108"/>
      <c r="Z4609" s="1114"/>
      <c r="AA4609" s="1114"/>
      <c r="AB4609" s="1114"/>
      <c r="AC4609" s="1117"/>
      <c r="AD4609" s="1115"/>
      <c r="AE4609" s="1115"/>
      <c r="AF4609" s="1115"/>
      <c r="AG4609" s="1115"/>
      <c r="AH4609" s="1115"/>
      <c r="AI4609" s="1115"/>
      <c r="AJ4609" s="1117"/>
      <c r="AK4609" s="1118"/>
      <c r="AL4609" s="1115"/>
      <c r="AM4609" s="1115"/>
      <c r="AN4609" s="1115"/>
      <c r="AO4609" s="1115"/>
      <c r="AP4609" s="1115"/>
      <c r="AQ4609" s="1115"/>
      <c r="AR4609" s="1115"/>
      <c r="AS4609" s="1117"/>
      <c r="AT4609" s="1075"/>
      <c r="AU4609" s="1193"/>
      <c r="AV4609" s="330"/>
      <c r="AW4609" s="331"/>
      <c r="AX4609" s="331"/>
      <c r="AY4609" s="331"/>
      <c r="AZ4609" s="331"/>
      <c r="BA4609" s="331"/>
      <c r="BB4609" s="331"/>
      <c r="BC4609" s="331"/>
      <c r="BD4609" s="331"/>
      <c r="BE4609" s="333"/>
      <c r="BF4609" s="330"/>
      <c r="BG4609" s="333"/>
      <c r="BH4609" s="1119"/>
      <c r="BI4609" s="319"/>
      <c r="BJ4609" s="319"/>
      <c r="BK4609" s="319"/>
      <c r="BL4609" s="319"/>
      <c r="BM4609" s="319"/>
      <c r="BN4609" s="319"/>
      <c r="BO4609" s="319"/>
      <c r="BP4609" s="953"/>
      <c r="BQ4609" s="319"/>
      <c r="BR4609" s="319"/>
      <c r="BS4609" s="330"/>
      <c r="BT4609" s="331"/>
      <c r="BU4609" s="920"/>
      <c r="BV4609" s="903"/>
      <c r="BW4609" s="908"/>
      <c r="BX4609" s="908"/>
      <c r="BY4609" s="331"/>
      <c r="BZ4609" s="331"/>
      <c r="CA4609" s="462"/>
      <c r="CB4609" s="319"/>
      <c r="CC4609" s="319"/>
      <c r="CD4609" s="319"/>
      <c r="CE4609" s="319"/>
      <c r="CF4609" s="319"/>
      <c r="CG4609" s="319"/>
      <c r="CH4609" s="318"/>
      <c r="CI4609" s="319"/>
      <c r="CJ4609" s="319"/>
      <c r="CK4609" s="342"/>
      <c r="CL4609" s="333"/>
      <c r="CM4609" s="1079"/>
      <c r="CN4609" s="1005"/>
      <c r="CO4609" s="1005"/>
      <c r="CP4609" s="1005"/>
    </row>
    <row r="4610">
      <c r="A4610" s="1257"/>
      <c r="B4610" s="1113"/>
      <c r="C4610" s="1107"/>
      <c r="D4610" s="103"/>
      <c r="E4610" s="1137"/>
      <c r="F4610" s="112"/>
      <c r="G4610" s="1110"/>
      <c r="H4610" s="1138"/>
      <c r="I4610" s="1138"/>
      <c r="J4610" s="1139"/>
      <c r="K4610" s="1111"/>
      <c r="L4610" s="1112"/>
      <c r="M4610" s="1113"/>
      <c r="N4610" s="110"/>
      <c r="O4610" s="1140"/>
      <c r="P4610" s="1115"/>
      <c r="Q4610" s="1116"/>
      <c r="R4610" s="1141"/>
      <c r="S4610" s="1113"/>
      <c r="T4610" s="1143"/>
      <c r="U4610" s="1108"/>
      <c r="V4610" s="1108"/>
      <c r="W4610" s="1108"/>
      <c r="X4610" s="1108"/>
      <c r="Y4610" s="1108"/>
      <c r="Z4610" s="1114"/>
      <c r="AA4610" s="1114"/>
      <c r="AB4610" s="1114"/>
      <c r="AC4610" s="1117"/>
      <c r="AD4610" s="1115"/>
      <c r="AE4610" s="1115"/>
      <c r="AF4610" s="1115"/>
      <c r="AG4610" s="1115"/>
      <c r="AH4610" s="1115"/>
      <c r="AI4610" s="1115"/>
      <c r="AJ4610" s="1117"/>
      <c r="AK4610" s="1118"/>
      <c r="AL4610" s="1115"/>
      <c r="AM4610" s="1115"/>
      <c r="AN4610" s="1115"/>
      <c r="AO4610" s="1115"/>
      <c r="AP4610" s="1115"/>
      <c r="AQ4610" s="1115"/>
      <c r="AR4610" s="1115"/>
      <c r="AS4610" s="1117"/>
      <c r="AT4610" s="1075"/>
      <c r="AU4610" s="1193"/>
      <c r="AV4610" s="330"/>
      <c r="AW4610" s="331"/>
      <c r="AX4610" s="331"/>
      <c r="AY4610" s="331"/>
      <c r="AZ4610" s="331"/>
      <c r="BA4610" s="331"/>
      <c r="BB4610" s="331"/>
      <c r="BC4610" s="331"/>
      <c r="BD4610" s="331"/>
      <c r="BE4610" s="333"/>
      <c r="BF4610" s="330"/>
      <c r="BG4610" s="333"/>
      <c r="BH4610" s="1119"/>
      <c r="BI4610" s="319"/>
      <c r="BJ4610" s="319"/>
      <c r="BK4610" s="319"/>
      <c r="BL4610" s="319"/>
      <c r="BM4610" s="319"/>
      <c r="BN4610" s="319"/>
      <c r="BO4610" s="319"/>
      <c r="BP4610" s="953"/>
      <c r="BQ4610" s="319"/>
      <c r="BR4610" s="319"/>
      <c r="BS4610" s="330"/>
      <c r="BT4610" s="331"/>
      <c r="BU4610" s="920"/>
      <c r="BV4610" s="903"/>
      <c r="BW4610" s="908"/>
      <c r="BX4610" s="908"/>
      <c r="BY4610" s="331"/>
      <c r="BZ4610" s="331"/>
      <c r="CA4610" s="462"/>
      <c r="CB4610" s="319"/>
      <c r="CC4610" s="319"/>
      <c r="CD4610" s="319"/>
      <c r="CE4610" s="319"/>
      <c r="CF4610" s="319"/>
      <c r="CG4610" s="319"/>
      <c r="CH4610" s="318"/>
      <c r="CI4610" s="319"/>
      <c r="CJ4610" s="319"/>
      <c r="CK4610" s="342"/>
      <c r="CL4610" s="333"/>
      <c r="CM4610" s="1079"/>
      <c r="CN4610" s="1005"/>
      <c r="CO4610" s="1005"/>
      <c r="CP4610" s="1005"/>
    </row>
    <row r="4611">
      <c r="A4611" s="1257"/>
      <c r="B4611" s="1113"/>
      <c r="C4611" s="1107"/>
      <c r="D4611" s="103"/>
      <c r="E4611" s="1137"/>
      <c r="F4611" s="112"/>
      <c r="G4611" s="1110"/>
      <c r="H4611" s="1138"/>
      <c r="I4611" s="1138"/>
      <c r="J4611" s="1139"/>
      <c r="K4611" s="1111"/>
      <c r="L4611" s="1112"/>
      <c r="M4611" s="1113"/>
      <c r="N4611" s="110"/>
      <c r="O4611" s="1140"/>
      <c r="P4611" s="1115"/>
      <c r="Q4611" s="1116"/>
      <c r="R4611" s="1141"/>
      <c r="S4611" s="1113"/>
      <c r="T4611" s="1143"/>
      <c r="U4611" s="1108"/>
      <c r="V4611" s="1108"/>
      <c r="W4611" s="1108"/>
      <c r="X4611" s="1108"/>
      <c r="Y4611" s="1108"/>
      <c r="Z4611" s="1114"/>
      <c r="AA4611" s="1114"/>
      <c r="AB4611" s="1114"/>
      <c r="AC4611" s="1117"/>
      <c r="AD4611" s="1115"/>
      <c r="AE4611" s="1115"/>
      <c r="AF4611" s="1115"/>
      <c r="AG4611" s="1115"/>
      <c r="AH4611" s="1115"/>
      <c r="AI4611" s="1115"/>
      <c r="AJ4611" s="1117"/>
      <c r="AK4611" s="1118"/>
      <c r="AL4611" s="1115"/>
      <c r="AM4611" s="1115"/>
      <c r="AN4611" s="1115"/>
      <c r="AO4611" s="1115"/>
      <c r="AP4611" s="1115"/>
      <c r="AQ4611" s="1115"/>
      <c r="AR4611" s="1115"/>
      <c r="AS4611" s="1117"/>
      <c r="AT4611" s="1075"/>
      <c r="AU4611" s="1193"/>
      <c r="AV4611" s="330"/>
      <c r="AW4611" s="331"/>
      <c r="AX4611" s="331"/>
      <c r="AY4611" s="331"/>
      <c r="AZ4611" s="331"/>
      <c r="BA4611" s="331"/>
      <c r="BB4611" s="331"/>
      <c r="BC4611" s="331"/>
      <c r="BD4611" s="331"/>
      <c r="BE4611" s="333"/>
      <c r="BF4611" s="330"/>
      <c r="BG4611" s="333"/>
      <c r="BH4611" s="1119"/>
      <c r="BI4611" s="319"/>
      <c r="BJ4611" s="319"/>
      <c r="BK4611" s="319"/>
      <c r="BL4611" s="319"/>
      <c r="BM4611" s="319"/>
      <c r="BN4611" s="319"/>
      <c r="BO4611" s="319"/>
      <c r="BP4611" s="953"/>
      <c r="BQ4611" s="319"/>
      <c r="BR4611" s="319"/>
      <c r="BS4611" s="330"/>
      <c r="BT4611" s="331"/>
      <c r="BU4611" s="920"/>
      <c r="BV4611" s="903"/>
      <c r="BW4611" s="908"/>
      <c r="BX4611" s="908"/>
      <c r="BY4611" s="331"/>
      <c r="BZ4611" s="331"/>
      <c r="CA4611" s="462"/>
      <c r="CB4611" s="319"/>
      <c r="CC4611" s="319"/>
      <c r="CD4611" s="319"/>
      <c r="CE4611" s="319"/>
      <c r="CF4611" s="319"/>
      <c r="CG4611" s="319"/>
      <c r="CH4611" s="318"/>
      <c r="CI4611" s="319"/>
      <c r="CJ4611" s="319"/>
      <c r="CK4611" s="342"/>
      <c r="CL4611" s="333"/>
      <c r="CM4611" s="1079"/>
      <c r="CN4611" s="1005"/>
      <c r="CO4611" s="1005"/>
      <c r="CP4611" s="1005"/>
    </row>
    <row r="4612">
      <c r="A4612" s="1257"/>
      <c r="B4612" s="1113"/>
      <c r="C4612" s="1107"/>
      <c r="D4612" s="103"/>
      <c r="E4612" s="1137"/>
      <c r="F4612" s="112"/>
      <c r="G4612" s="1110"/>
      <c r="H4612" s="1138"/>
      <c r="I4612" s="1138"/>
      <c r="J4612" s="1139"/>
      <c r="K4612" s="1111"/>
      <c r="L4612" s="1112"/>
      <c r="M4612" s="1113"/>
      <c r="N4612" s="110"/>
      <c r="O4612" s="1140"/>
      <c r="P4612" s="1115"/>
      <c r="Q4612" s="1116"/>
      <c r="R4612" s="1141"/>
      <c r="S4612" s="1113"/>
      <c r="T4612" s="1143"/>
      <c r="U4612" s="1108"/>
      <c r="V4612" s="1108"/>
      <c r="W4612" s="1108"/>
      <c r="X4612" s="1108"/>
      <c r="Y4612" s="1108"/>
      <c r="Z4612" s="1114"/>
      <c r="AA4612" s="1114"/>
      <c r="AB4612" s="1114"/>
      <c r="AC4612" s="1117"/>
      <c r="AD4612" s="1115"/>
      <c r="AE4612" s="1115"/>
      <c r="AF4612" s="1115"/>
      <c r="AG4612" s="1115"/>
      <c r="AH4612" s="1115"/>
      <c r="AI4612" s="1115"/>
      <c r="AJ4612" s="1117"/>
      <c r="AK4612" s="1118"/>
      <c r="AL4612" s="1115"/>
      <c r="AM4612" s="1115"/>
      <c r="AN4612" s="1115"/>
      <c r="AO4612" s="1115"/>
      <c r="AP4612" s="1115"/>
      <c r="AQ4612" s="1115"/>
      <c r="AR4612" s="1115"/>
      <c r="AS4612" s="1117"/>
      <c r="AT4612" s="1075"/>
      <c r="AU4612" s="1193"/>
      <c r="AV4612" s="330"/>
      <c r="AW4612" s="331"/>
      <c r="AX4612" s="331"/>
      <c r="AY4612" s="331"/>
      <c r="AZ4612" s="331"/>
      <c r="BA4612" s="331"/>
      <c r="BB4612" s="331"/>
      <c r="BC4612" s="331"/>
      <c r="BD4612" s="331"/>
      <c r="BE4612" s="333"/>
      <c r="BF4612" s="330"/>
      <c r="BG4612" s="333"/>
      <c r="BH4612" s="1119"/>
      <c r="BI4612" s="319"/>
      <c r="BJ4612" s="319"/>
      <c r="BK4612" s="319"/>
      <c r="BL4612" s="319"/>
      <c r="BM4612" s="319"/>
      <c r="BN4612" s="319"/>
      <c r="BO4612" s="319"/>
      <c r="BP4612" s="953"/>
      <c r="BQ4612" s="319"/>
      <c r="BR4612" s="319"/>
      <c r="BS4612" s="330"/>
      <c r="BT4612" s="331"/>
      <c r="BU4612" s="920"/>
      <c r="BV4612" s="903"/>
      <c r="BW4612" s="908"/>
      <c r="BX4612" s="908"/>
      <c r="BY4612" s="331"/>
      <c r="BZ4612" s="331"/>
      <c r="CA4612" s="462"/>
      <c r="CB4612" s="319"/>
      <c r="CC4612" s="319"/>
      <c r="CD4612" s="319"/>
      <c r="CE4612" s="319"/>
      <c r="CF4612" s="319"/>
      <c r="CG4612" s="319"/>
      <c r="CH4612" s="318"/>
      <c r="CI4612" s="319"/>
      <c r="CJ4612" s="319"/>
      <c r="CK4612" s="342"/>
      <c r="CL4612" s="333"/>
      <c r="CM4612" s="1079"/>
      <c r="CN4612" s="1005"/>
      <c r="CO4612" s="1005"/>
      <c r="CP4612" s="1005"/>
    </row>
    <row r="4613">
      <c r="A4613" s="1257"/>
      <c r="B4613" s="1113"/>
      <c r="C4613" s="1107"/>
      <c r="D4613" s="103"/>
      <c r="E4613" s="1137"/>
      <c r="F4613" s="112"/>
      <c r="G4613" s="1110"/>
      <c r="H4613" s="1138"/>
      <c r="I4613" s="1138"/>
      <c r="J4613" s="1139"/>
      <c r="K4613" s="1111"/>
      <c r="L4613" s="1112"/>
      <c r="M4613" s="1113"/>
      <c r="N4613" s="110"/>
      <c r="O4613" s="1140"/>
      <c r="P4613" s="1115"/>
      <c r="Q4613" s="1116"/>
      <c r="R4613" s="1141"/>
      <c r="S4613" s="1113"/>
      <c r="T4613" s="1143"/>
      <c r="U4613" s="1108"/>
      <c r="V4613" s="1108"/>
      <c r="W4613" s="1108"/>
      <c r="X4613" s="1108"/>
      <c r="Y4613" s="1108"/>
      <c r="Z4613" s="1114"/>
      <c r="AA4613" s="1114"/>
      <c r="AB4613" s="1114"/>
      <c r="AC4613" s="1117"/>
      <c r="AD4613" s="1115"/>
      <c r="AE4613" s="1115"/>
      <c r="AF4613" s="1115"/>
      <c r="AG4613" s="1115"/>
      <c r="AH4613" s="1115"/>
      <c r="AI4613" s="1115"/>
      <c r="AJ4613" s="1117"/>
      <c r="AK4613" s="1118"/>
      <c r="AL4613" s="1115"/>
      <c r="AM4613" s="1115"/>
      <c r="AN4613" s="1115"/>
      <c r="AO4613" s="1115"/>
      <c r="AP4613" s="1115"/>
      <c r="AQ4613" s="1115"/>
      <c r="AR4613" s="1115"/>
      <c r="AS4613" s="1117"/>
      <c r="AT4613" s="1075"/>
      <c r="AU4613" s="1193"/>
      <c r="AV4613" s="330"/>
      <c r="AW4613" s="331"/>
      <c r="AX4613" s="331"/>
      <c r="AY4613" s="331"/>
      <c r="AZ4613" s="331"/>
      <c r="BA4613" s="331"/>
      <c r="BB4613" s="331"/>
      <c r="BC4613" s="331"/>
      <c r="BD4613" s="331"/>
      <c r="BE4613" s="333"/>
      <c r="BF4613" s="330"/>
      <c r="BG4613" s="333"/>
      <c r="BH4613" s="1119"/>
      <c r="BI4613" s="319"/>
      <c r="BJ4613" s="319"/>
      <c r="BK4613" s="319"/>
      <c r="BL4613" s="319"/>
      <c r="BM4613" s="319"/>
      <c r="BN4613" s="319"/>
      <c r="BO4613" s="319"/>
      <c r="BP4613" s="953"/>
      <c r="BQ4613" s="319"/>
      <c r="BR4613" s="319"/>
      <c r="BS4613" s="330"/>
      <c r="BT4613" s="331"/>
      <c r="BU4613" s="920"/>
      <c r="BV4613" s="903"/>
      <c r="BW4613" s="908"/>
      <c r="BX4613" s="908"/>
      <c r="BY4613" s="331"/>
      <c r="BZ4613" s="331"/>
      <c r="CA4613" s="462"/>
      <c r="CB4613" s="319"/>
      <c r="CC4613" s="319"/>
      <c r="CD4613" s="319"/>
      <c r="CE4613" s="319"/>
      <c r="CF4613" s="319"/>
      <c r="CG4613" s="319"/>
      <c r="CH4613" s="318"/>
      <c r="CI4613" s="319"/>
      <c r="CJ4613" s="319"/>
      <c r="CK4613" s="342"/>
      <c r="CL4613" s="333"/>
      <c r="CM4613" s="1079"/>
      <c r="CN4613" s="1005"/>
      <c r="CO4613" s="1005"/>
      <c r="CP4613" s="1005"/>
    </row>
    <row r="4614">
      <c r="A4614" s="1257"/>
      <c r="B4614" s="1113"/>
      <c r="C4614" s="1107"/>
      <c r="D4614" s="103"/>
      <c r="E4614" s="1137"/>
      <c r="F4614" s="112"/>
      <c r="G4614" s="1110"/>
      <c r="H4614" s="1138"/>
      <c r="I4614" s="1138"/>
      <c r="J4614" s="1139"/>
      <c r="K4614" s="1111"/>
      <c r="L4614" s="1112"/>
      <c r="M4614" s="1113"/>
      <c r="N4614" s="110"/>
      <c r="O4614" s="1140"/>
      <c r="P4614" s="1115"/>
      <c r="Q4614" s="1116"/>
      <c r="R4614" s="1141"/>
      <c r="S4614" s="1113"/>
      <c r="T4614" s="1143"/>
      <c r="U4614" s="1108"/>
      <c r="V4614" s="1108"/>
      <c r="W4614" s="1108"/>
      <c r="X4614" s="1108"/>
      <c r="Y4614" s="1108"/>
      <c r="Z4614" s="1114"/>
      <c r="AA4614" s="1114"/>
      <c r="AB4614" s="1114"/>
      <c r="AC4614" s="1117"/>
      <c r="AD4614" s="1115"/>
      <c r="AE4614" s="1115"/>
      <c r="AF4614" s="1115"/>
      <c r="AG4614" s="1115"/>
      <c r="AH4614" s="1115"/>
      <c r="AI4614" s="1115"/>
      <c r="AJ4614" s="1117"/>
      <c r="AK4614" s="1118"/>
      <c r="AL4614" s="1115"/>
      <c r="AM4614" s="1115"/>
      <c r="AN4614" s="1115"/>
      <c r="AO4614" s="1115"/>
      <c r="AP4614" s="1115"/>
      <c r="AQ4614" s="1115"/>
      <c r="AR4614" s="1115"/>
      <c r="AS4614" s="1117"/>
      <c r="AT4614" s="1075"/>
      <c r="AU4614" s="1193"/>
      <c r="AV4614" s="330"/>
      <c r="AW4614" s="331"/>
      <c r="AX4614" s="331"/>
      <c r="AY4614" s="331"/>
      <c r="AZ4614" s="331"/>
      <c r="BA4614" s="331"/>
      <c r="BB4614" s="331"/>
      <c r="BC4614" s="331"/>
      <c r="BD4614" s="331"/>
      <c r="BE4614" s="333"/>
      <c r="BF4614" s="330"/>
      <c r="BG4614" s="333"/>
      <c r="BH4614" s="1119"/>
      <c r="BI4614" s="319"/>
      <c r="BJ4614" s="319"/>
      <c r="BK4614" s="319"/>
      <c r="BL4614" s="319"/>
      <c r="BM4614" s="319"/>
      <c r="BN4614" s="319"/>
      <c r="BO4614" s="319"/>
      <c r="BP4614" s="953"/>
      <c r="BQ4614" s="319"/>
      <c r="BR4614" s="319"/>
      <c r="BS4614" s="330"/>
      <c r="BT4614" s="331"/>
      <c r="BU4614" s="920"/>
      <c r="BV4614" s="903"/>
      <c r="BW4614" s="908"/>
      <c r="BX4614" s="908"/>
      <c r="BY4614" s="331"/>
      <c r="BZ4614" s="331"/>
      <c r="CA4614" s="462"/>
      <c r="CB4614" s="319"/>
      <c r="CC4614" s="319"/>
      <c r="CD4614" s="319"/>
      <c r="CE4614" s="319"/>
      <c r="CF4614" s="319"/>
      <c r="CG4614" s="319"/>
      <c r="CH4614" s="318"/>
      <c r="CI4614" s="319"/>
      <c r="CJ4614" s="319"/>
      <c r="CK4614" s="342"/>
      <c r="CL4614" s="333"/>
      <c r="CM4614" s="1079"/>
      <c r="CN4614" s="1005"/>
      <c r="CO4614" s="1005"/>
      <c r="CP4614" s="1005"/>
    </row>
    <row r="4615">
      <c r="A4615" s="1257"/>
      <c r="B4615" s="1113"/>
      <c r="C4615" s="1107"/>
      <c r="D4615" s="103"/>
      <c r="E4615" s="1137"/>
      <c r="F4615" s="112"/>
      <c r="G4615" s="1110"/>
      <c r="H4615" s="1138"/>
      <c r="I4615" s="1138"/>
      <c r="J4615" s="1139"/>
      <c r="K4615" s="1111"/>
      <c r="L4615" s="1112"/>
      <c r="M4615" s="1113"/>
      <c r="N4615" s="110"/>
      <c r="O4615" s="1140"/>
      <c r="P4615" s="1115"/>
      <c r="Q4615" s="1116"/>
      <c r="R4615" s="1141"/>
      <c r="S4615" s="1113"/>
      <c r="T4615" s="1143"/>
      <c r="U4615" s="1108"/>
      <c r="V4615" s="1108"/>
      <c r="W4615" s="1108"/>
      <c r="X4615" s="1108"/>
      <c r="Y4615" s="1108"/>
      <c r="Z4615" s="1114"/>
      <c r="AA4615" s="1114"/>
      <c r="AB4615" s="1114"/>
      <c r="AC4615" s="1117"/>
      <c r="AD4615" s="1115"/>
      <c r="AE4615" s="1115"/>
      <c r="AF4615" s="1115"/>
      <c r="AG4615" s="1115"/>
      <c r="AH4615" s="1115"/>
      <c r="AI4615" s="1115"/>
      <c r="AJ4615" s="1117"/>
      <c r="AK4615" s="1118"/>
      <c r="AL4615" s="1115"/>
      <c r="AM4615" s="1115"/>
      <c r="AN4615" s="1115"/>
      <c r="AO4615" s="1115"/>
      <c r="AP4615" s="1115"/>
      <c r="AQ4615" s="1115"/>
      <c r="AR4615" s="1115"/>
      <c r="AS4615" s="1117"/>
      <c r="AT4615" s="1075"/>
      <c r="AU4615" s="1193"/>
      <c r="AV4615" s="330"/>
      <c r="AW4615" s="331"/>
      <c r="AX4615" s="331"/>
      <c r="AY4615" s="331"/>
      <c r="AZ4615" s="331"/>
      <c r="BA4615" s="331"/>
      <c r="BB4615" s="331"/>
      <c r="BC4615" s="331"/>
      <c r="BD4615" s="331"/>
      <c r="BE4615" s="333"/>
      <c r="BF4615" s="330"/>
      <c r="BG4615" s="333"/>
      <c r="BH4615" s="1119"/>
      <c r="BI4615" s="319"/>
      <c r="BJ4615" s="319"/>
      <c r="BK4615" s="319"/>
      <c r="BL4615" s="319"/>
      <c r="BM4615" s="319"/>
      <c r="BN4615" s="319"/>
      <c r="BO4615" s="319"/>
      <c r="BP4615" s="953"/>
      <c r="BQ4615" s="319"/>
      <c r="BR4615" s="319"/>
      <c r="BS4615" s="330"/>
      <c r="BT4615" s="331"/>
      <c r="BU4615" s="920"/>
      <c r="BV4615" s="903"/>
      <c r="BW4615" s="908"/>
      <c r="BX4615" s="908"/>
      <c r="BY4615" s="331"/>
      <c r="BZ4615" s="331"/>
      <c r="CA4615" s="462"/>
      <c r="CB4615" s="319"/>
      <c r="CC4615" s="319"/>
      <c r="CD4615" s="319"/>
      <c r="CE4615" s="319"/>
      <c r="CF4615" s="319"/>
      <c r="CG4615" s="319"/>
      <c r="CH4615" s="318"/>
      <c r="CI4615" s="319"/>
      <c r="CJ4615" s="319"/>
      <c r="CK4615" s="342"/>
      <c r="CL4615" s="333"/>
      <c r="CM4615" s="1079"/>
      <c r="CN4615" s="1005"/>
      <c r="CO4615" s="1005"/>
      <c r="CP4615" s="1005"/>
    </row>
    <row r="4616">
      <c r="A4616" s="1257"/>
      <c r="B4616" s="1113"/>
      <c r="C4616" s="1107"/>
      <c r="D4616" s="103"/>
      <c r="E4616" s="1137"/>
      <c r="F4616" s="112"/>
      <c r="G4616" s="1110"/>
      <c r="H4616" s="1138"/>
      <c r="I4616" s="1138"/>
      <c r="J4616" s="1139"/>
      <c r="K4616" s="1111"/>
      <c r="L4616" s="1112"/>
      <c r="M4616" s="1113"/>
      <c r="N4616" s="110"/>
      <c r="O4616" s="1140"/>
      <c r="P4616" s="1115"/>
      <c r="Q4616" s="1116"/>
      <c r="R4616" s="1141"/>
      <c r="S4616" s="1113"/>
      <c r="T4616" s="1143"/>
      <c r="U4616" s="1108"/>
      <c r="V4616" s="1108"/>
      <c r="W4616" s="1108"/>
      <c r="X4616" s="1108"/>
      <c r="Y4616" s="1108"/>
      <c r="Z4616" s="1114"/>
      <c r="AA4616" s="1114"/>
      <c r="AB4616" s="1114"/>
      <c r="AC4616" s="1117"/>
      <c r="AD4616" s="1115"/>
      <c r="AE4616" s="1115"/>
      <c r="AF4616" s="1115"/>
      <c r="AG4616" s="1115"/>
      <c r="AH4616" s="1115"/>
      <c r="AI4616" s="1115"/>
      <c r="AJ4616" s="1117"/>
      <c r="AK4616" s="1118"/>
      <c r="AL4616" s="1115"/>
      <c r="AM4616" s="1115"/>
      <c r="AN4616" s="1115"/>
      <c r="AO4616" s="1115"/>
      <c r="AP4616" s="1115"/>
      <c r="AQ4616" s="1115"/>
      <c r="AR4616" s="1115"/>
      <c r="AS4616" s="1117"/>
      <c r="AT4616" s="1075"/>
      <c r="AU4616" s="1193"/>
      <c r="AV4616" s="330"/>
      <c r="AW4616" s="331"/>
      <c r="AX4616" s="331"/>
      <c r="AY4616" s="331"/>
      <c r="AZ4616" s="331"/>
      <c r="BA4616" s="331"/>
      <c r="BB4616" s="331"/>
      <c r="BC4616" s="331"/>
      <c r="BD4616" s="331"/>
      <c r="BE4616" s="333"/>
      <c r="BF4616" s="330"/>
      <c r="BG4616" s="333"/>
      <c r="BH4616" s="1119"/>
      <c r="BI4616" s="319"/>
      <c r="BJ4616" s="319"/>
      <c r="BK4616" s="319"/>
      <c r="BL4616" s="319"/>
      <c r="BM4616" s="319"/>
      <c r="BN4616" s="319"/>
      <c r="BO4616" s="319"/>
      <c r="BP4616" s="953"/>
      <c r="BQ4616" s="319"/>
      <c r="BR4616" s="319"/>
      <c r="BS4616" s="330"/>
      <c r="BT4616" s="331"/>
      <c r="BU4616" s="920"/>
      <c r="BV4616" s="903"/>
      <c r="BW4616" s="908"/>
      <c r="BX4616" s="908"/>
      <c r="BY4616" s="331"/>
      <c r="BZ4616" s="331"/>
      <c r="CA4616" s="462"/>
      <c r="CB4616" s="319"/>
      <c r="CC4616" s="319"/>
      <c r="CD4616" s="319"/>
      <c r="CE4616" s="319"/>
      <c r="CF4616" s="319"/>
      <c r="CG4616" s="319"/>
      <c r="CH4616" s="318"/>
      <c r="CI4616" s="319"/>
      <c r="CJ4616" s="319"/>
      <c r="CK4616" s="342"/>
      <c r="CL4616" s="333"/>
      <c r="CM4616" s="1079"/>
      <c r="CN4616" s="1005"/>
      <c r="CO4616" s="1005"/>
      <c r="CP4616" s="1005"/>
    </row>
    <row r="4617">
      <c r="A4617" s="1257"/>
      <c r="B4617" s="1113"/>
      <c r="C4617" s="1107"/>
      <c r="D4617" s="103"/>
      <c r="E4617" s="1137"/>
      <c r="F4617" s="112"/>
      <c r="G4617" s="1110"/>
      <c r="H4617" s="1138"/>
      <c r="I4617" s="1138"/>
      <c r="J4617" s="1139"/>
      <c r="K4617" s="1111"/>
      <c r="L4617" s="1112"/>
      <c r="M4617" s="1113"/>
      <c r="N4617" s="110"/>
      <c r="O4617" s="1140"/>
      <c r="P4617" s="1115"/>
      <c r="Q4617" s="1116"/>
      <c r="R4617" s="1141"/>
      <c r="S4617" s="1113"/>
      <c r="T4617" s="1143"/>
      <c r="U4617" s="1108"/>
      <c r="V4617" s="1108"/>
      <c r="W4617" s="1108"/>
      <c r="X4617" s="1108"/>
      <c r="Y4617" s="1108"/>
      <c r="Z4617" s="1114"/>
      <c r="AA4617" s="1114"/>
      <c r="AB4617" s="1114"/>
      <c r="AC4617" s="1117"/>
      <c r="AD4617" s="1115"/>
      <c r="AE4617" s="1115"/>
      <c r="AF4617" s="1115"/>
      <c r="AG4617" s="1115"/>
      <c r="AH4617" s="1115"/>
      <c r="AI4617" s="1115"/>
      <c r="AJ4617" s="1117"/>
      <c r="AK4617" s="1118"/>
      <c r="AL4617" s="1115"/>
      <c r="AM4617" s="1115"/>
      <c r="AN4617" s="1115"/>
      <c r="AO4617" s="1115"/>
      <c r="AP4617" s="1115"/>
      <c r="AQ4617" s="1115"/>
      <c r="AR4617" s="1115"/>
      <c r="AS4617" s="1117"/>
      <c r="AT4617" s="1075"/>
      <c r="AU4617" s="1193"/>
      <c r="AV4617" s="330"/>
      <c r="AW4617" s="331"/>
      <c r="AX4617" s="331"/>
      <c r="AY4617" s="331"/>
      <c r="AZ4617" s="331"/>
      <c r="BA4617" s="331"/>
      <c r="BB4617" s="331"/>
      <c r="BC4617" s="331"/>
      <c r="BD4617" s="331"/>
      <c r="BE4617" s="333"/>
      <c r="BF4617" s="330"/>
      <c r="BG4617" s="333"/>
      <c r="BH4617" s="1119"/>
      <c r="BI4617" s="319"/>
      <c r="BJ4617" s="319"/>
      <c r="BK4617" s="319"/>
      <c r="BL4617" s="319"/>
      <c r="BM4617" s="319"/>
      <c r="BN4617" s="319"/>
      <c r="BO4617" s="319"/>
      <c r="BP4617" s="953"/>
      <c r="BQ4617" s="319"/>
      <c r="BR4617" s="319"/>
      <c r="BS4617" s="330"/>
      <c r="BT4617" s="331"/>
      <c r="BU4617" s="920"/>
      <c r="BV4617" s="903"/>
      <c r="BW4617" s="908"/>
      <c r="BX4617" s="908"/>
      <c r="BY4617" s="331"/>
      <c r="BZ4617" s="331"/>
      <c r="CA4617" s="462"/>
      <c r="CB4617" s="319"/>
      <c r="CC4617" s="319"/>
      <c r="CD4617" s="319"/>
      <c r="CE4617" s="319"/>
      <c r="CF4617" s="319"/>
      <c r="CG4617" s="319"/>
      <c r="CH4617" s="318"/>
      <c r="CI4617" s="319"/>
      <c r="CJ4617" s="319"/>
      <c r="CK4617" s="342"/>
      <c r="CL4617" s="333"/>
      <c r="CM4617" s="1079"/>
      <c r="CN4617" s="1005"/>
      <c r="CO4617" s="1005"/>
      <c r="CP4617" s="1005"/>
    </row>
    <row r="4618">
      <c r="A4618" s="1257"/>
      <c r="B4618" s="1113"/>
      <c r="C4618" s="1107"/>
      <c r="D4618" s="103"/>
      <c r="E4618" s="1137"/>
      <c r="F4618" s="112"/>
      <c r="G4618" s="1110"/>
      <c r="H4618" s="1138"/>
      <c r="I4618" s="1138"/>
      <c r="J4618" s="1139"/>
      <c r="K4618" s="1111"/>
      <c r="L4618" s="1112"/>
      <c r="M4618" s="1113"/>
      <c r="N4618" s="110"/>
      <c r="O4618" s="1140"/>
      <c r="P4618" s="1115"/>
      <c r="Q4618" s="1116"/>
      <c r="R4618" s="1141"/>
      <c r="S4618" s="1113"/>
      <c r="T4618" s="1143"/>
      <c r="U4618" s="1108"/>
      <c r="V4618" s="1108"/>
      <c r="W4618" s="1108"/>
      <c r="X4618" s="1108"/>
      <c r="Y4618" s="1108"/>
      <c r="Z4618" s="1114"/>
      <c r="AA4618" s="1114"/>
      <c r="AB4618" s="1114"/>
      <c r="AC4618" s="1117"/>
      <c r="AD4618" s="1115"/>
      <c r="AE4618" s="1115"/>
      <c r="AF4618" s="1115"/>
      <c r="AG4618" s="1115"/>
      <c r="AH4618" s="1115"/>
      <c r="AI4618" s="1115"/>
      <c r="AJ4618" s="1117"/>
      <c r="AK4618" s="1118"/>
      <c r="AL4618" s="1115"/>
      <c r="AM4618" s="1115"/>
      <c r="AN4618" s="1115"/>
      <c r="AO4618" s="1115"/>
      <c r="AP4618" s="1115"/>
      <c r="AQ4618" s="1115"/>
      <c r="AR4618" s="1115"/>
      <c r="AS4618" s="1117"/>
      <c r="AT4618" s="1075"/>
      <c r="AU4618" s="1193"/>
      <c r="AV4618" s="330"/>
      <c r="AW4618" s="331"/>
      <c r="AX4618" s="331"/>
      <c r="AY4618" s="331"/>
      <c r="AZ4618" s="331"/>
      <c r="BA4618" s="331"/>
      <c r="BB4618" s="331"/>
      <c r="BC4618" s="331"/>
      <c r="BD4618" s="331"/>
      <c r="BE4618" s="333"/>
      <c r="BF4618" s="330"/>
      <c r="BG4618" s="333"/>
      <c r="BH4618" s="1119"/>
      <c r="BI4618" s="319"/>
      <c r="BJ4618" s="319"/>
      <c r="BK4618" s="319"/>
      <c r="BL4618" s="319"/>
      <c r="BM4618" s="319"/>
      <c r="BN4618" s="319"/>
      <c r="BO4618" s="319"/>
      <c r="BP4618" s="953"/>
      <c r="BQ4618" s="319"/>
      <c r="BR4618" s="319"/>
      <c r="BS4618" s="330"/>
      <c r="BT4618" s="331"/>
      <c r="BU4618" s="920"/>
      <c r="BV4618" s="903"/>
      <c r="BW4618" s="908"/>
      <c r="BX4618" s="908"/>
      <c r="BY4618" s="331"/>
      <c r="BZ4618" s="331"/>
      <c r="CA4618" s="462"/>
      <c r="CB4618" s="319"/>
      <c r="CC4618" s="319"/>
      <c r="CD4618" s="319"/>
      <c r="CE4618" s="319"/>
      <c r="CF4618" s="319"/>
      <c r="CG4618" s="319"/>
      <c r="CH4618" s="318"/>
      <c r="CI4618" s="319"/>
      <c r="CJ4618" s="319"/>
      <c r="CK4618" s="342"/>
      <c r="CL4618" s="333"/>
      <c r="CM4618" s="1079"/>
      <c r="CN4618" s="1005"/>
      <c r="CO4618" s="1005"/>
      <c r="CP4618" s="1005"/>
    </row>
    <row r="4619">
      <c r="A4619" s="1257"/>
      <c r="B4619" s="1113"/>
      <c r="C4619" s="1107"/>
      <c r="D4619" s="103"/>
      <c r="E4619" s="1137"/>
      <c r="F4619" s="112"/>
      <c r="G4619" s="1110"/>
      <c r="H4619" s="1138"/>
      <c r="I4619" s="1138"/>
      <c r="J4619" s="1139"/>
      <c r="K4619" s="1111"/>
      <c r="L4619" s="1112"/>
      <c r="M4619" s="1113"/>
      <c r="N4619" s="110"/>
      <c r="O4619" s="1140"/>
      <c r="P4619" s="1115"/>
      <c r="Q4619" s="1116"/>
      <c r="R4619" s="1141"/>
      <c r="S4619" s="1113"/>
      <c r="T4619" s="1143"/>
      <c r="U4619" s="1108"/>
      <c r="V4619" s="1108"/>
      <c r="W4619" s="1108"/>
      <c r="X4619" s="1108"/>
      <c r="Y4619" s="1108"/>
      <c r="Z4619" s="1114"/>
      <c r="AA4619" s="1114"/>
      <c r="AB4619" s="1114"/>
      <c r="AC4619" s="1117"/>
      <c r="AD4619" s="1115"/>
      <c r="AE4619" s="1115"/>
      <c r="AF4619" s="1115"/>
      <c r="AG4619" s="1115"/>
      <c r="AH4619" s="1115"/>
      <c r="AI4619" s="1115"/>
      <c r="AJ4619" s="1117"/>
      <c r="AK4619" s="1118"/>
      <c r="AL4619" s="1115"/>
      <c r="AM4619" s="1115"/>
      <c r="AN4619" s="1115"/>
      <c r="AO4619" s="1115"/>
      <c r="AP4619" s="1115"/>
      <c r="AQ4619" s="1115"/>
      <c r="AR4619" s="1115"/>
      <c r="AS4619" s="1117"/>
      <c r="AT4619" s="1075"/>
      <c r="AU4619" s="1193"/>
      <c r="AV4619" s="330"/>
      <c r="AW4619" s="331"/>
      <c r="AX4619" s="331"/>
      <c r="AY4619" s="331"/>
      <c r="AZ4619" s="331"/>
      <c r="BA4619" s="331"/>
      <c r="BB4619" s="331"/>
      <c r="BC4619" s="331"/>
      <c r="BD4619" s="331"/>
      <c r="BE4619" s="333"/>
      <c r="BF4619" s="330"/>
      <c r="BG4619" s="333"/>
      <c r="BH4619" s="1119"/>
      <c r="BI4619" s="319"/>
      <c r="BJ4619" s="319"/>
      <c r="BK4619" s="319"/>
      <c r="BL4619" s="319"/>
      <c r="BM4619" s="319"/>
      <c r="BN4619" s="319"/>
      <c r="BO4619" s="319"/>
      <c r="BP4619" s="953"/>
      <c r="BQ4619" s="319"/>
      <c r="BR4619" s="319"/>
      <c r="BS4619" s="330"/>
      <c r="BT4619" s="331"/>
      <c r="BU4619" s="920"/>
      <c r="BV4619" s="903"/>
      <c r="BW4619" s="908"/>
      <c r="BX4619" s="908"/>
      <c r="BY4619" s="331"/>
      <c r="BZ4619" s="331"/>
      <c r="CA4619" s="462"/>
      <c r="CB4619" s="319"/>
      <c r="CC4619" s="319"/>
      <c r="CD4619" s="319"/>
      <c r="CE4619" s="319"/>
      <c r="CF4619" s="319"/>
      <c r="CG4619" s="319"/>
      <c r="CH4619" s="318"/>
      <c r="CI4619" s="319"/>
      <c r="CJ4619" s="319"/>
      <c r="CK4619" s="342"/>
      <c r="CL4619" s="333"/>
      <c r="CM4619" s="1079"/>
      <c r="CN4619" s="1005"/>
      <c r="CO4619" s="1005"/>
      <c r="CP4619" s="1005"/>
    </row>
    <row r="4620">
      <c r="A4620" s="1257"/>
      <c r="B4620" s="1113"/>
      <c r="C4620" s="1107"/>
      <c r="D4620" s="103"/>
      <c r="E4620" s="1137"/>
      <c r="F4620" s="112"/>
      <c r="G4620" s="1110"/>
      <c r="H4620" s="1138"/>
      <c r="I4620" s="1138"/>
      <c r="J4620" s="1139"/>
      <c r="K4620" s="1111"/>
      <c r="L4620" s="1112"/>
      <c r="M4620" s="1113"/>
      <c r="N4620" s="110"/>
      <c r="O4620" s="1140"/>
      <c r="P4620" s="1115"/>
      <c r="Q4620" s="1116"/>
      <c r="R4620" s="1141"/>
      <c r="S4620" s="1113"/>
      <c r="T4620" s="1143"/>
      <c r="U4620" s="1108"/>
      <c r="V4620" s="1108"/>
      <c r="W4620" s="1108"/>
      <c r="X4620" s="1108"/>
      <c r="Y4620" s="1108"/>
      <c r="Z4620" s="1114"/>
      <c r="AA4620" s="1114"/>
      <c r="AB4620" s="1114"/>
      <c r="AC4620" s="1117"/>
      <c r="AD4620" s="1115"/>
      <c r="AE4620" s="1115"/>
      <c r="AF4620" s="1115"/>
      <c r="AG4620" s="1115"/>
      <c r="AH4620" s="1115"/>
      <c r="AI4620" s="1115"/>
      <c r="AJ4620" s="1117"/>
      <c r="AK4620" s="1118"/>
      <c r="AL4620" s="1115"/>
      <c r="AM4620" s="1115"/>
      <c r="AN4620" s="1115"/>
      <c r="AO4620" s="1115"/>
      <c r="AP4620" s="1115"/>
      <c r="AQ4620" s="1115"/>
      <c r="AR4620" s="1115"/>
      <c r="AS4620" s="1117"/>
      <c r="AT4620" s="1075"/>
      <c r="AU4620" s="1193"/>
      <c r="AV4620" s="330"/>
      <c r="AW4620" s="331"/>
      <c r="AX4620" s="331"/>
      <c r="AY4620" s="331"/>
      <c r="AZ4620" s="331"/>
      <c r="BA4620" s="331"/>
      <c r="BB4620" s="331"/>
      <c r="BC4620" s="331"/>
      <c r="BD4620" s="331"/>
      <c r="BE4620" s="333"/>
      <c r="BF4620" s="330"/>
      <c r="BG4620" s="333"/>
      <c r="BH4620" s="1119"/>
      <c r="BI4620" s="319"/>
      <c r="BJ4620" s="319"/>
      <c r="BK4620" s="319"/>
      <c r="BL4620" s="319"/>
      <c r="BM4620" s="319"/>
      <c r="BN4620" s="319"/>
      <c r="BO4620" s="319"/>
      <c r="BP4620" s="953"/>
      <c r="BQ4620" s="319"/>
      <c r="BR4620" s="319"/>
      <c r="BS4620" s="330"/>
      <c r="BT4620" s="331"/>
      <c r="BU4620" s="920"/>
      <c r="BV4620" s="903"/>
      <c r="BW4620" s="908"/>
      <c r="BX4620" s="908"/>
      <c r="BY4620" s="331"/>
      <c r="BZ4620" s="331"/>
      <c r="CA4620" s="462"/>
      <c r="CB4620" s="319"/>
      <c r="CC4620" s="319"/>
      <c r="CD4620" s="319"/>
      <c r="CE4620" s="319"/>
      <c r="CF4620" s="319"/>
      <c r="CG4620" s="319"/>
      <c r="CH4620" s="318"/>
      <c r="CI4620" s="319"/>
      <c r="CJ4620" s="319"/>
      <c r="CK4620" s="342"/>
      <c r="CL4620" s="333"/>
      <c r="CM4620" s="1079"/>
      <c r="CN4620" s="1005"/>
      <c r="CO4620" s="1005"/>
      <c r="CP4620" s="1005"/>
    </row>
    <row r="4621">
      <c r="A4621" s="1257"/>
      <c r="B4621" s="1113"/>
      <c r="C4621" s="1107"/>
      <c r="D4621" s="103"/>
      <c r="E4621" s="1137"/>
      <c r="F4621" s="112"/>
      <c r="G4621" s="1110"/>
      <c r="H4621" s="1138"/>
      <c r="I4621" s="1138"/>
      <c r="J4621" s="1139"/>
      <c r="K4621" s="1111"/>
      <c r="L4621" s="1112"/>
      <c r="M4621" s="1113"/>
      <c r="N4621" s="110"/>
      <c r="O4621" s="1140"/>
      <c r="P4621" s="1115"/>
      <c r="Q4621" s="1116"/>
      <c r="R4621" s="1141"/>
      <c r="S4621" s="1113"/>
      <c r="T4621" s="1143"/>
      <c r="U4621" s="1108"/>
      <c r="V4621" s="1108"/>
      <c r="W4621" s="1108"/>
      <c r="X4621" s="1108"/>
      <c r="Y4621" s="1108"/>
      <c r="Z4621" s="1114"/>
      <c r="AA4621" s="1114"/>
      <c r="AB4621" s="1114"/>
      <c r="AC4621" s="1117"/>
      <c r="AD4621" s="1115"/>
      <c r="AE4621" s="1115"/>
      <c r="AF4621" s="1115"/>
      <c r="AG4621" s="1115"/>
      <c r="AH4621" s="1115"/>
      <c r="AI4621" s="1115"/>
      <c r="AJ4621" s="1117"/>
      <c r="AK4621" s="1118"/>
      <c r="AL4621" s="1115"/>
      <c r="AM4621" s="1115"/>
      <c r="AN4621" s="1115"/>
      <c r="AO4621" s="1115"/>
      <c r="AP4621" s="1115"/>
      <c r="AQ4621" s="1115"/>
      <c r="AR4621" s="1115"/>
      <c r="AS4621" s="1117"/>
      <c r="AT4621" s="1075"/>
      <c r="AU4621" s="1193"/>
      <c r="AV4621" s="330"/>
      <c r="AW4621" s="331"/>
      <c r="AX4621" s="331"/>
      <c r="AY4621" s="331"/>
      <c r="AZ4621" s="331"/>
      <c r="BA4621" s="331"/>
      <c r="BB4621" s="331"/>
      <c r="BC4621" s="331"/>
      <c r="BD4621" s="331"/>
      <c r="BE4621" s="333"/>
      <c r="BF4621" s="330"/>
      <c r="BG4621" s="333"/>
      <c r="BH4621" s="1119"/>
      <c r="BI4621" s="319"/>
      <c r="BJ4621" s="319"/>
      <c r="BK4621" s="319"/>
      <c r="BL4621" s="319"/>
      <c r="BM4621" s="319"/>
      <c r="BN4621" s="319"/>
      <c r="BO4621" s="319"/>
      <c r="BP4621" s="953"/>
      <c r="BQ4621" s="319"/>
      <c r="BR4621" s="319"/>
      <c r="BS4621" s="330"/>
      <c r="BT4621" s="331"/>
      <c r="BU4621" s="920"/>
      <c r="BV4621" s="903"/>
      <c r="BW4621" s="908"/>
      <c r="BX4621" s="908"/>
      <c r="BY4621" s="331"/>
      <c r="BZ4621" s="331"/>
      <c r="CA4621" s="462"/>
      <c r="CB4621" s="319"/>
      <c r="CC4621" s="319"/>
      <c r="CD4621" s="319"/>
      <c r="CE4621" s="319"/>
      <c r="CF4621" s="319"/>
      <c r="CG4621" s="319"/>
      <c r="CH4621" s="318"/>
      <c r="CI4621" s="319"/>
      <c r="CJ4621" s="319"/>
      <c r="CK4621" s="342"/>
      <c r="CL4621" s="333"/>
      <c r="CM4621" s="1079"/>
      <c r="CN4621" s="1005"/>
      <c r="CO4621" s="1005"/>
      <c r="CP4621" s="1005"/>
    </row>
    <row r="4622">
      <c r="A4622" s="1257"/>
      <c r="B4622" s="1113"/>
      <c r="C4622" s="1107"/>
      <c r="D4622" s="103"/>
      <c r="E4622" s="1137"/>
      <c r="F4622" s="112"/>
      <c r="G4622" s="1110"/>
      <c r="H4622" s="1138"/>
      <c r="I4622" s="1138"/>
      <c r="J4622" s="1139"/>
      <c r="K4622" s="1111"/>
      <c r="L4622" s="1112"/>
      <c r="M4622" s="1113"/>
      <c r="N4622" s="110"/>
      <c r="O4622" s="1140"/>
      <c r="P4622" s="1115"/>
      <c r="Q4622" s="1116"/>
      <c r="R4622" s="1141"/>
      <c r="S4622" s="1113"/>
      <c r="T4622" s="1143"/>
      <c r="U4622" s="1108"/>
      <c r="V4622" s="1108"/>
      <c r="W4622" s="1108"/>
      <c r="X4622" s="1108"/>
      <c r="Y4622" s="1108"/>
      <c r="Z4622" s="1114"/>
      <c r="AA4622" s="1114"/>
      <c r="AB4622" s="1114"/>
      <c r="AC4622" s="1117"/>
      <c r="AD4622" s="1115"/>
      <c r="AE4622" s="1115"/>
      <c r="AF4622" s="1115"/>
      <c r="AG4622" s="1115"/>
      <c r="AH4622" s="1115"/>
      <c r="AI4622" s="1115"/>
      <c r="AJ4622" s="1117"/>
      <c r="AK4622" s="1118"/>
      <c r="AL4622" s="1115"/>
      <c r="AM4622" s="1115"/>
      <c r="AN4622" s="1115"/>
      <c r="AO4622" s="1115"/>
      <c r="AP4622" s="1115"/>
      <c r="AQ4622" s="1115"/>
      <c r="AR4622" s="1115"/>
      <c r="AS4622" s="1117"/>
      <c r="AT4622" s="1075"/>
      <c r="AU4622" s="1193"/>
      <c r="AV4622" s="330"/>
      <c r="AW4622" s="331"/>
      <c r="AX4622" s="331"/>
      <c r="AY4622" s="331"/>
      <c r="AZ4622" s="331"/>
      <c r="BA4622" s="331"/>
      <c r="BB4622" s="331"/>
      <c r="BC4622" s="331"/>
      <c r="BD4622" s="331"/>
      <c r="BE4622" s="333"/>
      <c r="BF4622" s="330"/>
      <c r="BG4622" s="333"/>
      <c r="BH4622" s="1119"/>
      <c r="BI4622" s="319"/>
      <c r="BJ4622" s="319"/>
      <c r="BK4622" s="319"/>
      <c r="BL4622" s="319"/>
      <c r="BM4622" s="319"/>
      <c r="BN4622" s="319"/>
      <c r="BO4622" s="319"/>
      <c r="BP4622" s="953"/>
      <c r="BQ4622" s="319"/>
      <c r="BR4622" s="319"/>
      <c r="BS4622" s="330"/>
      <c r="BT4622" s="331"/>
      <c r="BU4622" s="920"/>
      <c r="BV4622" s="903"/>
      <c r="BW4622" s="908"/>
      <c r="BX4622" s="908"/>
      <c r="BY4622" s="331"/>
      <c r="BZ4622" s="331"/>
      <c r="CA4622" s="462"/>
      <c r="CB4622" s="319"/>
      <c r="CC4622" s="319"/>
      <c r="CD4622" s="319"/>
      <c r="CE4622" s="319"/>
      <c r="CF4622" s="319"/>
      <c r="CG4622" s="319"/>
      <c r="CH4622" s="318"/>
      <c r="CI4622" s="319"/>
      <c r="CJ4622" s="319"/>
      <c r="CK4622" s="342"/>
      <c r="CL4622" s="333"/>
      <c r="CM4622" s="1079"/>
      <c r="CN4622" s="1005"/>
      <c r="CO4622" s="1005"/>
      <c r="CP4622" s="1005"/>
    </row>
    <row r="4623">
      <c r="A4623" s="1257"/>
      <c r="B4623" s="1113"/>
      <c r="C4623" s="1107"/>
      <c r="D4623" s="103"/>
      <c r="E4623" s="1137"/>
      <c r="F4623" s="112"/>
      <c r="G4623" s="1110"/>
      <c r="H4623" s="1138"/>
      <c r="I4623" s="1138"/>
      <c r="J4623" s="1139"/>
      <c r="K4623" s="1111"/>
      <c r="L4623" s="1112"/>
      <c r="M4623" s="1113"/>
      <c r="N4623" s="110"/>
      <c r="O4623" s="1140"/>
      <c r="P4623" s="1115"/>
      <c r="Q4623" s="1116"/>
      <c r="R4623" s="1141"/>
      <c r="S4623" s="1113"/>
      <c r="T4623" s="1143"/>
      <c r="U4623" s="1108"/>
      <c r="V4623" s="1108"/>
      <c r="W4623" s="1108"/>
      <c r="X4623" s="1108"/>
      <c r="Y4623" s="1108"/>
      <c r="Z4623" s="1114"/>
      <c r="AA4623" s="1114"/>
      <c r="AB4623" s="1114"/>
      <c r="AC4623" s="1117"/>
      <c r="AD4623" s="1115"/>
      <c r="AE4623" s="1115"/>
      <c r="AF4623" s="1115"/>
      <c r="AG4623" s="1115"/>
      <c r="AH4623" s="1115"/>
      <c r="AI4623" s="1115"/>
      <c r="AJ4623" s="1117"/>
      <c r="AK4623" s="1118"/>
      <c r="AL4623" s="1115"/>
      <c r="AM4623" s="1115"/>
      <c r="AN4623" s="1115"/>
      <c r="AO4623" s="1115"/>
      <c r="AP4623" s="1115"/>
      <c r="AQ4623" s="1115"/>
      <c r="AR4623" s="1115"/>
      <c r="AS4623" s="1117"/>
      <c r="AT4623" s="1075"/>
      <c r="AU4623" s="1193"/>
      <c r="AV4623" s="330"/>
      <c r="AW4623" s="331"/>
      <c r="AX4623" s="331"/>
      <c r="AY4623" s="331"/>
      <c r="AZ4623" s="331"/>
      <c r="BA4623" s="331"/>
      <c r="BB4623" s="331"/>
      <c r="BC4623" s="331"/>
      <c r="BD4623" s="331"/>
      <c r="BE4623" s="333"/>
      <c r="BF4623" s="330"/>
      <c r="BG4623" s="333"/>
      <c r="BH4623" s="1119"/>
      <c r="BI4623" s="319"/>
      <c r="BJ4623" s="319"/>
      <c r="BK4623" s="319"/>
      <c r="BL4623" s="319"/>
      <c r="BM4623" s="319"/>
      <c r="BN4623" s="319"/>
      <c r="BO4623" s="319"/>
      <c r="BP4623" s="953"/>
      <c r="BQ4623" s="319"/>
      <c r="BR4623" s="319"/>
      <c r="BS4623" s="330"/>
      <c r="BT4623" s="331"/>
      <c r="BU4623" s="920"/>
      <c r="BV4623" s="903"/>
      <c r="BW4623" s="908"/>
      <c r="BX4623" s="908"/>
      <c r="BY4623" s="331"/>
      <c r="BZ4623" s="331"/>
      <c r="CA4623" s="462"/>
      <c r="CB4623" s="319"/>
      <c r="CC4623" s="319"/>
      <c r="CD4623" s="319"/>
      <c r="CE4623" s="319"/>
      <c r="CF4623" s="319"/>
      <c r="CG4623" s="319"/>
      <c r="CH4623" s="318"/>
      <c r="CI4623" s="319"/>
      <c r="CJ4623" s="319"/>
      <c r="CK4623" s="342"/>
      <c r="CL4623" s="333"/>
      <c r="CM4623" s="1079"/>
      <c r="CN4623" s="1005"/>
      <c r="CO4623" s="1005"/>
      <c r="CP4623" s="1005"/>
    </row>
    <row r="4624">
      <c r="A4624" s="1257"/>
      <c r="B4624" s="1113"/>
      <c r="C4624" s="1107"/>
      <c r="D4624" s="103"/>
      <c r="E4624" s="1137"/>
      <c r="F4624" s="112"/>
      <c r="G4624" s="1110"/>
      <c r="H4624" s="1138"/>
      <c r="I4624" s="1138"/>
      <c r="J4624" s="1139"/>
      <c r="K4624" s="1111"/>
      <c r="L4624" s="1112"/>
      <c r="M4624" s="1113"/>
      <c r="N4624" s="110"/>
      <c r="O4624" s="1140"/>
      <c r="P4624" s="1115"/>
      <c r="Q4624" s="1116"/>
      <c r="R4624" s="1141"/>
      <c r="S4624" s="1113"/>
      <c r="T4624" s="1143"/>
      <c r="U4624" s="1108"/>
      <c r="V4624" s="1108"/>
      <c r="W4624" s="1108"/>
      <c r="X4624" s="1108"/>
      <c r="Y4624" s="1108"/>
      <c r="Z4624" s="1114"/>
      <c r="AA4624" s="1114"/>
      <c r="AB4624" s="1114"/>
      <c r="AC4624" s="1117"/>
      <c r="AD4624" s="1115"/>
      <c r="AE4624" s="1115"/>
      <c r="AF4624" s="1115"/>
      <c r="AG4624" s="1115"/>
      <c r="AH4624" s="1115"/>
      <c r="AI4624" s="1115"/>
      <c r="AJ4624" s="1117"/>
      <c r="AK4624" s="1118"/>
      <c r="AL4624" s="1115"/>
      <c r="AM4624" s="1115"/>
      <c r="AN4624" s="1115"/>
      <c r="AO4624" s="1115"/>
      <c r="AP4624" s="1115"/>
      <c r="AQ4624" s="1115"/>
      <c r="AR4624" s="1115"/>
      <c r="AS4624" s="1117"/>
      <c r="AT4624" s="1075"/>
      <c r="AU4624" s="1193"/>
      <c r="AV4624" s="330"/>
      <c r="AW4624" s="331"/>
      <c r="AX4624" s="331"/>
      <c r="AY4624" s="331"/>
      <c r="AZ4624" s="331"/>
      <c r="BA4624" s="331"/>
      <c r="BB4624" s="331"/>
      <c r="BC4624" s="331"/>
      <c r="BD4624" s="331"/>
      <c r="BE4624" s="333"/>
      <c r="BF4624" s="330"/>
      <c r="BG4624" s="333"/>
      <c r="BH4624" s="1119"/>
      <c r="BI4624" s="319"/>
      <c r="BJ4624" s="319"/>
      <c r="BK4624" s="319"/>
      <c r="BL4624" s="319"/>
      <c r="BM4624" s="319"/>
      <c r="BN4624" s="319"/>
      <c r="BO4624" s="319"/>
      <c r="BP4624" s="953"/>
      <c r="BQ4624" s="319"/>
      <c r="BR4624" s="319"/>
      <c r="BS4624" s="330"/>
      <c r="BT4624" s="331"/>
      <c r="BU4624" s="920"/>
      <c r="BV4624" s="903"/>
      <c r="BW4624" s="908"/>
      <c r="BX4624" s="908"/>
      <c r="BY4624" s="331"/>
      <c r="BZ4624" s="331"/>
      <c r="CA4624" s="462"/>
      <c r="CB4624" s="319"/>
      <c r="CC4624" s="319"/>
      <c r="CD4624" s="319"/>
      <c r="CE4624" s="319"/>
      <c r="CF4624" s="319"/>
      <c r="CG4624" s="319"/>
      <c r="CH4624" s="318"/>
      <c r="CI4624" s="319"/>
      <c r="CJ4624" s="319"/>
      <c r="CK4624" s="342"/>
      <c r="CL4624" s="333"/>
      <c r="CM4624" s="1079"/>
      <c r="CN4624" s="1005"/>
      <c r="CO4624" s="1005"/>
      <c r="CP4624" s="1005"/>
    </row>
    <row r="4625">
      <c r="A4625" s="1257"/>
      <c r="B4625" s="1113"/>
      <c r="C4625" s="1107"/>
      <c r="D4625" s="103"/>
      <c r="E4625" s="1137"/>
      <c r="F4625" s="112"/>
      <c r="G4625" s="1110"/>
      <c r="H4625" s="1138"/>
      <c r="I4625" s="1138"/>
      <c r="J4625" s="1139"/>
      <c r="K4625" s="1111"/>
      <c r="L4625" s="1112"/>
      <c r="M4625" s="1113"/>
      <c r="N4625" s="110"/>
      <c r="O4625" s="1140"/>
      <c r="P4625" s="1115"/>
      <c r="Q4625" s="1116"/>
      <c r="R4625" s="1141"/>
      <c r="S4625" s="1113"/>
      <c r="T4625" s="1143"/>
      <c r="U4625" s="1108"/>
      <c r="V4625" s="1108"/>
      <c r="W4625" s="1108"/>
      <c r="X4625" s="1108"/>
      <c r="Y4625" s="1108"/>
      <c r="Z4625" s="1114"/>
      <c r="AA4625" s="1114"/>
      <c r="AB4625" s="1114"/>
      <c r="AC4625" s="1117"/>
      <c r="AD4625" s="1115"/>
      <c r="AE4625" s="1115"/>
      <c r="AF4625" s="1115"/>
      <c r="AG4625" s="1115"/>
      <c r="AH4625" s="1115"/>
      <c r="AI4625" s="1115"/>
      <c r="AJ4625" s="1117"/>
      <c r="AK4625" s="1118"/>
      <c r="AL4625" s="1115"/>
      <c r="AM4625" s="1115"/>
      <c r="AN4625" s="1115"/>
      <c r="AO4625" s="1115"/>
      <c r="AP4625" s="1115"/>
      <c r="AQ4625" s="1115"/>
      <c r="AR4625" s="1115"/>
      <c r="AS4625" s="1117"/>
      <c r="AT4625" s="1075"/>
      <c r="AU4625" s="1193"/>
      <c r="AV4625" s="330"/>
      <c r="AW4625" s="331"/>
      <c r="AX4625" s="331"/>
      <c r="AY4625" s="331"/>
      <c r="AZ4625" s="331"/>
      <c r="BA4625" s="331"/>
      <c r="BB4625" s="331"/>
      <c r="BC4625" s="331"/>
      <c r="BD4625" s="331"/>
      <c r="BE4625" s="333"/>
      <c r="BF4625" s="330"/>
      <c r="BG4625" s="333"/>
      <c r="BH4625" s="1119"/>
      <c r="BI4625" s="319"/>
      <c r="BJ4625" s="319"/>
      <c r="BK4625" s="319"/>
      <c r="BL4625" s="319"/>
      <c r="BM4625" s="319"/>
      <c r="BN4625" s="319"/>
      <c r="BO4625" s="319"/>
      <c r="BP4625" s="953"/>
      <c r="BQ4625" s="319"/>
      <c r="BR4625" s="319"/>
      <c r="BS4625" s="330"/>
      <c r="BT4625" s="331"/>
      <c r="BU4625" s="920"/>
      <c r="BV4625" s="903"/>
      <c r="BW4625" s="908"/>
      <c r="BX4625" s="908"/>
      <c r="BY4625" s="331"/>
      <c r="BZ4625" s="331"/>
      <c r="CA4625" s="462"/>
      <c r="CB4625" s="319"/>
      <c r="CC4625" s="319"/>
      <c r="CD4625" s="319"/>
      <c r="CE4625" s="319"/>
      <c r="CF4625" s="319"/>
      <c r="CG4625" s="319"/>
      <c r="CH4625" s="318"/>
      <c r="CI4625" s="319"/>
      <c r="CJ4625" s="319"/>
      <c r="CK4625" s="342"/>
      <c r="CL4625" s="333"/>
      <c r="CM4625" s="1079"/>
      <c r="CN4625" s="1005"/>
      <c r="CO4625" s="1005"/>
      <c r="CP4625" s="1005"/>
    </row>
    <row r="4626">
      <c r="A4626" s="1257"/>
      <c r="B4626" s="1113"/>
      <c r="C4626" s="1107"/>
      <c r="D4626" s="103"/>
      <c r="E4626" s="1137"/>
      <c r="F4626" s="112"/>
      <c r="G4626" s="1110"/>
      <c r="H4626" s="1138"/>
      <c r="I4626" s="1138"/>
      <c r="J4626" s="1139"/>
      <c r="K4626" s="1111"/>
      <c r="L4626" s="1112"/>
      <c r="M4626" s="1113"/>
      <c r="N4626" s="110"/>
      <c r="O4626" s="1140"/>
      <c r="P4626" s="1115"/>
      <c r="Q4626" s="1116"/>
      <c r="R4626" s="1141"/>
      <c r="S4626" s="1113"/>
      <c r="T4626" s="1143"/>
      <c r="U4626" s="1108"/>
      <c r="V4626" s="1108"/>
      <c r="W4626" s="1108"/>
      <c r="X4626" s="1108"/>
      <c r="Y4626" s="1108"/>
      <c r="Z4626" s="1114"/>
      <c r="AA4626" s="1114"/>
      <c r="AB4626" s="1114"/>
      <c r="AC4626" s="1117"/>
      <c r="AD4626" s="1115"/>
      <c r="AE4626" s="1115"/>
      <c r="AF4626" s="1115"/>
      <c r="AG4626" s="1115"/>
      <c r="AH4626" s="1115"/>
      <c r="AI4626" s="1115"/>
      <c r="AJ4626" s="1117"/>
      <c r="AK4626" s="1118"/>
      <c r="AL4626" s="1115"/>
      <c r="AM4626" s="1115"/>
      <c r="AN4626" s="1115"/>
      <c r="AO4626" s="1115"/>
      <c r="AP4626" s="1115"/>
      <c r="AQ4626" s="1115"/>
      <c r="AR4626" s="1115"/>
      <c r="AS4626" s="1117"/>
      <c r="AT4626" s="1075"/>
      <c r="AU4626" s="1193"/>
      <c r="AV4626" s="330"/>
      <c r="AW4626" s="331"/>
      <c r="AX4626" s="331"/>
      <c r="AY4626" s="331"/>
      <c r="AZ4626" s="331"/>
      <c r="BA4626" s="331"/>
      <c r="BB4626" s="331"/>
      <c r="BC4626" s="331"/>
      <c r="BD4626" s="331"/>
      <c r="BE4626" s="333"/>
      <c r="BF4626" s="330"/>
      <c r="BG4626" s="333"/>
      <c r="BH4626" s="1119"/>
      <c r="BI4626" s="319"/>
      <c r="BJ4626" s="319"/>
      <c r="BK4626" s="319"/>
      <c r="BL4626" s="319"/>
      <c r="BM4626" s="319"/>
      <c r="BN4626" s="319"/>
      <c r="BO4626" s="319"/>
      <c r="BP4626" s="953"/>
      <c r="BQ4626" s="319"/>
      <c r="BR4626" s="319"/>
      <c r="BS4626" s="330"/>
      <c r="BT4626" s="331"/>
      <c r="BU4626" s="920"/>
      <c r="BV4626" s="903"/>
      <c r="BW4626" s="908"/>
      <c r="BX4626" s="908"/>
      <c r="BY4626" s="331"/>
      <c r="BZ4626" s="331"/>
      <c r="CA4626" s="462"/>
      <c r="CB4626" s="319"/>
      <c r="CC4626" s="319"/>
      <c r="CD4626" s="319"/>
      <c r="CE4626" s="319"/>
      <c r="CF4626" s="319"/>
      <c r="CG4626" s="319"/>
      <c r="CH4626" s="318"/>
      <c r="CI4626" s="319"/>
      <c r="CJ4626" s="319"/>
      <c r="CK4626" s="342"/>
      <c r="CL4626" s="333"/>
      <c r="CM4626" s="1079"/>
      <c r="CN4626" s="1005"/>
      <c r="CO4626" s="1005"/>
      <c r="CP4626" s="1005"/>
    </row>
    <row r="4627">
      <c r="A4627" s="1257"/>
      <c r="B4627" s="1113"/>
      <c r="C4627" s="1107"/>
      <c r="D4627" s="103"/>
      <c r="E4627" s="1137"/>
      <c r="F4627" s="112"/>
      <c r="G4627" s="1110"/>
      <c r="H4627" s="1138"/>
      <c r="I4627" s="1138"/>
      <c r="J4627" s="1139"/>
      <c r="K4627" s="1111"/>
      <c r="L4627" s="1112"/>
      <c r="M4627" s="1113"/>
      <c r="N4627" s="110"/>
      <c r="O4627" s="1140"/>
      <c r="P4627" s="1115"/>
      <c r="Q4627" s="1116"/>
      <c r="R4627" s="1141"/>
      <c r="S4627" s="1113"/>
      <c r="T4627" s="1143"/>
      <c r="U4627" s="1108"/>
      <c r="V4627" s="1108"/>
      <c r="W4627" s="1108"/>
      <c r="X4627" s="1108"/>
      <c r="Y4627" s="1108"/>
      <c r="Z4627" s="1114"/>
      <c r="AA4627" s="1114"/>
      <c r="AB4627" s="1114"/>
      <c r="AC4627" s="1117"/>
      <c r="AD4627" s="1115"/>
      <c r="AE4627" s="1115"/>
      <c r="AF4627" s="1115"/>
      <c r="AG4627" s="1115"/>
      <c r="AH4627" s="1115"/>
      <c r="AI4627" s="1115"/>
      <c r="AJ4627" s="1117"/>
      <c r="AK4627" s="1118"/>
      <c r="AL4627" s="1115"/>
      <c r="AM4627" s="1115"/>
      <c r="AN4627" s="1115"/>
      <c r="AO4627" s="1115"/>
      <c r="AP4627" s="1115"/>
      <c r="AQ4627" s="1115"/>
      <c r="AR4627" s="1115"/>
      <c r="AS4627" s="1117"/>
      <c r="AT4627" s="1075"/>
      <c r="AU4627" s="1193"/>
      <c r="AV4627" s="330"/>
      <c r="AW4627" s="331"/>
      <c r="AX4627" s="331"/>
      <c r="AY4627" s="331"/>
      <c r="AZ4627" s="331"/>
      <c r="BA4627" s="331"/>
      <c r="BB4627" s="331"/>
      <c r="BC4627" s="331"/>
      <c r="BD4627" s="331"/>
      <c r="BE4627" s="333"/>
      <c r="BF4627" s="330"/>
      <c r="BG4627" s="333"/>
      <c r="BH4627" s="1119"/>
      <c r="BI4627" s="319"/>
      <c r="BJ4627" s="319"/>
      <c r="BK4627" s="319"/>
      <c r="BL4627" s="319"/>
      <c r="BM4627" s="319"/>
      <c r="BN4627" s="319"/>
      <c r="BO4627" s="319"/>
      <c r="BP4627" s="953"/>
      <c r="BQ4627" s="319"/>
      <c r="BR4627" s="319"/>
      <c r="BS4627" s="330"/>
      <c r="BT4627" s="331"/>
      <c r="BU4627" s="920"/>
      <c r="BV4627" s="903"/>
      <c r="BW4627" s="908"/>
      <c r="BX4627" s="908"/>
      <c r="BY4627" s="331"/>
      <c r="BZ4627" s="331"/>
      <c r="CA4627" s="462"/>
      <c r="CB4627" s="319"/>
      <c r="CC4627" s="319"/>
      <c r="CD4627" s="319"/>
      <c r="CE4627" s="319"/>
      <c r="CF4627" s="319"/>
      <c r="CG4627" s="319"/>
      <c r="CH4627" s="318"/>
      <c r="CI4627" s="319"/>
      <c r="CJ4627" s="319"/>
      <c r="CK4627" s="342"/>
      <c r="CL4627" s="333"/>
      <c r="CM4627" s="1079"/>
      <c r="CN4627" s="1005"/>
      <c r="CO4627" s="1005"/>
      <c r="CP4627" s="1005"/>
    </row>
    <row r="4628">
      <c r="A4628" s="1257"/>
      <c r="B4628" s="1113"/>
      <c r="C4628" s="1107"/>
      <c r="D4628" s="103"/>
      <c r="E4628" s="1137"/>
      <c r="F4628" s="112"/>
      <c r="G4628" s="1110"/>
      <c r="H4628" s="1138"/>
      <c r="I4628" s="1138"/>
      <c r="J4628" s="1139"/>
      <c r="K4628" s="1111"/>
      <c r="L4628" s="1112"/>
      <c r="M4628" s="1113"/>
      <c r="N4628" s="110"/>
      <c r="O4628" s="1140"/>
      <c r="P4628" s="1115"/>
      <c r="Q4628" s="1116"/>
      <c r="R4628" s="1141"/>
      <c r="S4628" s="1113"/>
      <c r="T4628" s="1143"/>
      <c r="U4628" s="1108"/>
      <c r="V4628" s="1108"/>
      <c r="W4628" s="1108"/>
      <c r="X4628" s="1108"/>
      <c r="Y4628" s="1108"/>
      <c r="Z4628" s="1114"/>
      <c r="AA4628" s="1114"/>
      <c r="AB4628" s="1114"/>
      <c r="AC4628" s="1117"/>
      <c r="AD4628" s="1115"/>
      <c r="AE4628" s="1115"/>
      <c r="AF4628" s="1115"/>
      <c r="AG4628" s="1115"/>
      <c r="AH4628" s="1115"/>
      <c r="AI4628" s="1115"/>
      <c r="AJ4628" s="1117"/>
      <c r="AK4628" s="1118"/>
      <c r="AL4628" s="1115"/>
      <c r="AM4628" s="1115"/>
      <c r="AN4628" s="1115"/>
      <c r="AO4628" s="1115"/>
      <c r="AP4628" s="1115"/>
      <c r="AQ4628" s="1115"/>
      <c r="AR4628" s="1115"/>
      <c r="AS4628" s="1117"/>
      <c r="AT4628" s="1075"/>
      <c r="AU4628" s="1193"/>
      <c r="AV4628" s="330"/>
      <c r="AW4628" s="331"/>
      <c r="AX4628" s="331"/>
      <c r="AY4628" s="331"/>
      <c r="AZ4628" s="331"/>
      <c r="BA4628" s="331"/>
      <c r="BB4628" s="331"/>
      <c r="BC4628" s="331"/>
      <c r="BD4628" s="331"/>
      <c r="BE4628" s="333"/>
      <c r="BF4628" s="330"/>
      <c r="BG4628" s="333"/>
      <c r="BH4628" s="1119"/>
      <c r="BI4628" s="319"/>
      <c r="BJ4628" s="319"/>
      <c r="BK4628" s="319"/>
      <c r="BL4628" s="319"/>
      <c r="BM4628" s="319"/>
      <c r="BN4628" s="319"/>
      <c r="BO4628" s="319"/>
      <c r="BP4628" s="953"/>
      <c r="BQ4628" s="319"/>
      <c r="BR4628" s="319"/>
      <c r="BS4628" s="330"/>
      <c r="BT4628" s="331"/>
      <c r="BU4628" s="920"/>
      <c r="BV4628" s="903"/>
      <c r="BW4628" s="908"/>
      <c r="BX4628" s="908"/>
      <c r="BY4628" s="331"/>
      <c r="BZ4628" s="331"/>
      <c r="CA4628" s="462"/>
      <c r="CB4628" s="319"/>
      <c r="CC4628" s="319"/>
      <c r="CD4628" s="319"/>
      <c r="CE4628" s="319"/>
      <c r="CF4628" s="319"/>
      <c r="CG4628" s="319"/>
      <c r="CH4628" s="318"/>
      <c r="CI4628" s="319"/>
      <c r="CJ4628" s="319"/>
      <c r="CK4628" s="342"/>
      <c r="CL4628" s="333"/>
      <c r="CM4628" s="1079"/>
      <c r="CN4628" s="1005"/>
      <c r="CO4628" s="1005"/>
      <c r="CP4628" s="1005"/>
    </row>
    <row r="4629">
      <c r="A4629" s="1257"/>
      <c r="B4629" s="1113"/>
      <c r="C4629" s="1107"/>
      <c r="D4629" s="103"/>
      <c r="E4629" s="1137"/>
      <c r="F4629" s="112"/>
      <c r="G4629" s="1110"/>
      <c r="H4629" s="1138"/>
      <c r="I4629" s="1138"/>
      <c r="J4629" s="1139"/>
      <c r="K4629" s="1111"/>
      <c r="L4629" s="1112"/>
      <c r="M4629" s="1113"/>
      <c r="N4629" s="110"/>
      <c r="O4629" s="1140"/>
      <c r="P4629" s="1115"/>
      <c r="Q4629" s="1116"/>
      <c r="R4629" s="1141"/>
      <c r="S4629" s="1113"/>
      <c r="T4629" s="1143"/>
      <c r="U4629" s="1108"/>
      <c r="V4629" s="1108"/>
      <c r="W4629" s="1108"/>
      <c r="X4629" s="1108"/>
      <c r="Y4629" s="1108"/>
      <c r="Z4629" s="1114"/>
      <c r="AA4629" s="1114"/>
      <c r="AB4629" s="1114"/>
      <c r="AC4629" s="1117"/>
      <c r="AD4629" s="1115"/>
      <c r="AE4629" s="1115"/>
      <c r="AF4629" s="1115"/>
      <c r="AG4629" s="1115"/>
      <c r="AH4629" s="1115"/>
      <c r="AI4629" s="1115"/>
      <c r="AJ4629" s="1117"/>
      <c r="AK4629" s="1118"/>
      <c r="AL4629" s="1115"/>
      <c r="AM4629" s="1115"/>
      <c r="AN4629" s="1115"/>
      <c r="AO4629" s="1115"/>
      <c r="AP4629" s="1115"/>
      <c r="AQ4629" s="1115"/>
      <c r="AR4629" s="1115"/>
      <c r="AS4629" s="1117"/>
      <c r="AT4629" s="1075"/>
      <c r="AU4629" s="1193"/>
      <c r="AV4629" s="330"/>
      <c r="AW4629" s="331"/>
      <c r="AX4629" s="331"/>
      <c r="AY4629" s="331"/>
      <c r="AZ4629" s="331"/>
      <c r="BA4629" s="331"/>
      <c r="BB4629" s="331"/>
      <c r="BC4629" s="331"/>
      <c r="BD4629" s="331"/>
      <c r="BE4629" s="333"/>
      <c r="BF4629" s="330"/>
      <c r="BG4629" s="333"/>
      <c r="BH4629" s="1119"/>
      <c r="BI4629" s="319"/>
      <c r="BJ4629" s="319"/>
      <c r="BK4629" s="319"/>
      <c r="BL4629" s="319"/>
      <c r="BM4629" s="319"/>
      <c r="BN4629" s="319"/>
      <c r="BO4629" s="319"/>
      <c r="BP4629" s="953"/>
      <c r="BQ4629" s="319"/>
      <c r="BR4629" s="319"/>
      <c r="BS4629" s="330"/>
      <c r="BT4629" s="331"/>
      <c r="BU4629" s="920"/>
      <c r="BV4629" s="903"/>
      <c r="BW4629" s="908"/>
      <c r="BX4629" s="908"/>
      <c r="BY4629" s="331"/>
      <c r="BZ4629" s="331"/>
      <c r="CA4629" s="462"/>
      <c r="CB4629" s="319"/>
      <c r="CC4629" s="319"/>
      <c r="CD4629" s="319"/>
      <c r="CE4629" s="319"/>
      <c r="CF4629" s="319"/>
      <c r="CG4629" s="319"/>
      <c r="CH4629" s="318"/>
      <c r="CI4629" s="319"/>
      <c r="CJ4629" s="319"/>
      <c r="CK4629" s="342"/>
      <c r="CL4629" s="333"/>
      <c r="CM4629" s="1079"/>
      <c r="CN4629" s="1005"/>
      <c r="CO4629" s="1005"/>
      <c r="CP4629" s="1005"/>
    </row>
    <row r="4630">
      <c r="A4630" s="1257"/>
      <c r="B4630" s="1113"/>
      <c r="C4630" s="1107"/>
      <c r="D4630" s="103"/>
      <c r="E4630" s="1137"/>
      <c r="F4630" s="112"/>
      <c r="G4630" s="1110"/>
      <c r="H4630" s="1138"/>
      <c r="I4630" s="1138"/>
      <c r="J4630" s="1139"/>
      <c r="K4630" s="1111"/>
      <c r="L4630" s="1112"/>
      <c r="M4630" s="1113"/>
      <c r="N4630" s="110"/>
      <c r="O4630" s="1140"/>
      <c r="P4630" s="1115"/>
      <c r="Q4630" s="1116"/>
      <c r="R4630" s="1141"/>
      <c r="S4630" s="1113"/>
      <c r="T4630" s="1143"/>
      <c r="U4630" s="1108"/>
      <c r="V4630" s="1108"/>
      <c r="W4630" s="1108"/>
      <c r="X4630" s="1108"/>
      <c r="Y4630" s="1108"/>
      <c r="Z4630" s="1114"/>
      <c r="AA4630" s="1114"/>
      <c r="AB4630" s="1114"/>
      <c r="AC4630" s="1117"/>
      <c r="AD4630" s="1115"/>
      <c r="AE4630" s="1115"/>
      <c r="AF4630" s="1115"/>
      <c r="AG4630" s="1115"/>
      <c r="AH4630" s="1115"/>
      <c r="AI4630" s="1115"/>
      <c r="AJ4630" s="1117"/>
      <c r="AK4630" s="1118"/>
      <c r="AL4630" s="1115"/>
      <c r="AM4630" s="1115"/>
      <c r="AN4630" s="1115"/>
      <c r="AO4630" s="1115"/>
      <c r="AP4630" s="1115"/>
      <c r="AQ4630" s="1115"/>
      <c r="AR4630" s="1115"/>
      <c r="AS4630" s="1117"/>
      <c r="AT4630" s="1075"/>
      <c r="AU4630" s="1193"/>
      <c r="AV4630" s="330"/>
      <c r="AW4630" s="331"/>
      <c r="AX4630" s="331"/>
      <c r="AY4630" s="331"/>
      <c r="AZ4630" s="331"/>
      <c r="BA4630" s="331"/>
      <c r="BB4630" s="331"/>
      <c r="BC4630" s="331"/>
      <c r="BD4630" s="331"/>
      <c r="BE4630" s="333"/>
      <c r="BF4630" s="330"/>
      <c r="BG4630" s="333"/>
      <c r="BH4630" s="1119"/>
      <c r="BI4630" s="319"/>
      <c r="BJ4630" s="319"/>
      <c r="BK4630" s="319"/>
      <c r="BL4630" s="319"/>
      <c r="BM4630" s="319"/>
      <c r="BN4630" s="319"/>
      <c r="BO4630" s="319"/>
      <c r="BP4630" s="953"/>
      <c r="BQ4630" s="319"/>
      <c r="BR4630" s="319"/>
      <c r="BS4630" s="330"/>
      <c r="BT4630" s="331"/>
      <c r="BU4630" s="920"/>
      <c r="BV4630" s="903"/>
      <c r="BW4630" s="908"/>
      <c r="BX4630" s="908"/>
      <c r="BY4630" s="331"/>
      <c r="BZ4630" s="331"/>
      <c r="CA4630" s="462"/>
      <c r="CB4630" s="319"/>
      <c r="CC4630" s="319"/>
      <c r="CD4630" s="319"/>
      <c r="CE4630" s="319"/>
      <c r="CF4630" s="319"/>
      <c r="CG4630" s="319"/>
      <c r="CH4630" s="318"/>
      <c r="CI4630" s="319"/>
      <c r="CJ4630" s="319"/>
      <c r="CK4630" s="342"/>
      <c r="CL4630" s="333"/>
      <c r="CM4630" s="1079"/>
      <c r="CN4630" s="1005"/>
      <c r="CO4630" s="1005"/>
      <c r="CP4630" s="1005"/>
    </row>
    <row r="4631">
      <c r="A4631" s="1257"/>
      <c r="B4631" s="1113"/>
      <c r="C4631" s="1107"/>
      <c r="D4631" s="103"/>
      <c r="E4631" s="1137"/>
      <c r="F4631" s="112"/>
      <c r="G4631" s="1110"/>
      <c r="H4631" s="1138"/>
      <c r="I4631" s="1138"/>
      <c r="J4631" s="1139"/>
      <c r="K4631" s="1111"/>
      <c r="L4631" s="1112"/>
      <c r="M4631" s="1113"/>
      <c r="N4631" s="110"/>
      <c r="O4631" s="1140"/>
      <c r="P4631" s="1115"/>
      <c r="Q4631" s="1116"/>
      <c r="R4631" s="1141"/>
      <c r="S4631" s="1113"/>
      <c r="T4631" s="1143"/>
      <c r="U4631" s="1108"/>
      <c r="V4631" s="1108"/>
      <c r="W4631" s="1108"/>
      <c r="X4631" s="1108"/>
      <c r="Y4631" s="1108"/>
      <c r="Z4631" s="1114"/>
      <c r="AA4631" s="1114"/>
      <c r="AB4631" s="1114"/>
      <c r="AC4631" s="1117"/>
      <c r="AD4631" s="1115"/>
      <c r="AE4631" s="1115"/>
      <c r="AF4631" s="1115"/>
      <c r="AG4631" s="1115"/>
      <c r="AH4631" s="1115"/>
      <c r="AI4631" s="1115"/>
      <c r="AJ4631" s="1117"/>
      <c r="AK4631" s="1118"/>
      <c r="AL4631" s="1115"/>
      <c r="AM4631" s="1115"/>
      <c r="AN4631" s="1115"/>
      <c r="AO4631" s="1115"/>
      <c r="AP4631" s="1115"/>
      <c r="AQ4631" s="1115"/>
      <c r="AR4631" s="1115"/>
      <c r="AS4631" s="1117"/>
      <c r="AT4631" s="1075"/>
      <c r="AU4631" s="1193"/>
      <c r="AV4631" s="330"/>
      <c r="AW4631" s="331"/>
      <c r="AX4631" s="331"/>
      <c r="AY4631" s="331"/>
      <c r="AZ4631" s="331"/>
      <c r="BA4631" s="331"/>
      <c r="BB4631" s="331"/>
      <c r="BC4631" s="331"/>
      <c r="BD4631" s="331"/>
      <c r="BE4631" s="333"/>
      <c r="BF4631" s="330"/>
      <c r="BG4631" s="333"/>
      <c r="BH4631" s="1119"/>
      <c r="BI4631" s="319"/>
      <c r="BJ4631" s="319"/>
      <c r="BK4631" s="319"/>
      <c r="BL4631" s="319"/>
      <c r="BM4631" s="319"/>
      <c r="BN4631" s="319"/>
      <c r="BO4631" s="319"/>
      <c r="BP4631" s="953"/>
      <c r="BQ4631" s="319"/>
      <c r="BR4631" s="319"/>
      <c r="BS4631" s="330"/>
      <c r="BT4631" s="331"/>
      <c r="BU4631" s="920"/>
      <c r="BV4631" s="903"/>
      <c r="BW4631" s="908"/>
      <c r="BX4631" s="908"/>
      <c r="BY4631" s="331"/>
      <c r="BZ4631" s="331"/>
      <c r="CA4631" s="462"/>
      <c r="CB4631" s="319"/>
      <c r="CC4631" s="319"/>
      <c r="CD4631" s="319"/>
      <c r="CE4631" s="319"/>
      <c r="CF4631" s="319"/>
      <c r="CG4631" s="319"/>
      <c r="CH4631" s="318"/>
      <c r="CI4631" s="319"/>
      <c r="CJ4631" s="319"/>
      <c r="CK4631" s="342"/>
      <c r="CL4631" s="333"/>
      <c r="CM4631" s="1079"/>
      <c r="CN4631" s="1005"/>
      <c r="CO4631" s="1005"/>
      <c r="CP4631" s="1005"/>
    </row>
    <row r="4632">
      <c r="A4632" s="1257"/>
      <c r="B4632" s="1113"/>
      <c r="C4632" s="1107"/>
      <c r="D4632" s="103"/>
      <c r="E4632" s="1137"/>
      <c r="F4632" s="112"/>
      <c r="G4632" s="1110"/>
      <c r="H4632" s="1138"/>
      <c r="I4632" s="1138"/>
      <c r="J4632" s="1139"/>
      <c r="K4632" s="1111"/>
      <c r="L4632" s="1112"/>
      <c r="M4632" s="1113"/>
      <c r="N4632" s="110"/>
      <c r="O4632" s="1140"/>
      <c r="P4632" s="1115"/>
      <c r="Q4632" s="1116"/>
      <c r="R4632" s="1141"/>
      <c r="S4632" s="1113"/>
      <c r="T4632" s="1143"/>
      <c r="U4632" s="1108"/>
      <c r="V4632" s="1108"/>
      <c r="W4632" s="1108"/>
      <c r="X4632" s="1108"/>
      <c r="Y4632" s="1108"/>
      <c r="Z4632" s="1114"/>
      <c r="AA4632" s="1114"/>
      <c r="AB4632" s="1114"/>
      <c r="AC4632" s="1117"/>
      <c r="AD4632" s="1115"/>
      <c r="AE4632" s="1115"/>
      <c r="AF4632" s="1115"/>
      <c r="AG4632" s="1115"/>
      <c r="AH4632" s="1115"/>
      <c r="AI4632" s="1115"/>
      <c r="AJ4632" s="1117"/>
      <c r="AK4632" s="1118"/>
      <c r="AL4632" s="1115"/>
      <c r="AM4632" s="1115"/>
      <c r="AN4632" s="1115"/>
      <c r="AO4632" s="1115"/>
      <c r="AP4632" s="1115"/>
      <c r="AQ4632" s="1115"/>
      <c r="AR4632" s="1115"/>
      <c r="AS4632" s="1117"/>
      <c r="AT4632" s="1075"/>
      <c r="AU4632" s="1193"/>
      <c r="AV4632" s="330"/>
      <c r="AW4632" s="331"/>
      <c r="AX4632" s="331"/>
      <c r="AY4632" s="331"/>
      <c r="AZ4632" s="331"/>
      <c r="BA4632" s="331"/>
      <c r="BB4632" s="331"/>
      <c r="BC4632" s="331"/>
      <c r="BD4632" s="331"/>
      <c r="BE4632" s="333"/>
      <c r="BF4632" s="330"/>
      <c r="BG4632" s="333"/>
      <c r="BH4632" s="1119"/>
      <c r="BI4632" s="319"/>
      <c r="BJ4632" s="319"/>
      <c r="BK4632" s="319"/>
      <c r="BL4632" s="319"/>
      <c r="BM4632" s="319"/>
      <c r="BN4632" s="319"/>
      <c r="BO4632" s="319"/>
      <c r="BP4632" s="953"/>
      <c r="BQ4632" s="319"/>
      <c r="BR4632" s="319"/>
      <c r="BS4632" s="330"/>
      <c r="BT4632" s="331"/>
      <c r="BU4632" s="920"/>
      <c r="BV4632" s="903"/>
      <c r="BW4632" s="908"/>
      <c r="BX4632" s="908"/>
      <c r="BY4632" s="331"/>
      <c r="BZ4632" s="331"/>
      <c r="CA4632" s="462"/>
      <c r="CB4632" s="319"/>
      <c r="CC4632" s="319"/>
      <c r="CD4632" s="319"/>
      <c r="CE4632" s="319"/>
      <c r="CF4632" s="319"/>
      <c r="CG4632" s="319"/>
      <c r="CH4632" s="318"/>
      <c r="CI4632" s="319"/>
      <c r="CJ4632" s="319"/>
      <c r="CK4632" s="342"/>
      <c r="CL4632" s="333"/>
      <c r="CM4632" s="1079"/>
      <c r="CN4632" s="1005"/>
      <c r="CO4632" s="1005"/>
      <c r="CP4632" s="1005"/>
    </row>
    <row r="4633">
      <c r="A4633" s="1257"/>
      <c r="B4633" s="1113"/>
      <c r="C4633" s="1107"/>
      <c r="D4633" s="103"/>
      <c r="E4633" s="1137"/>
      <c r="F4633" s="112"/>
      <c r="G4633" s="1110"/>
      <c r="H4633" s="1138"/>
      <c r="I4633" s="1138"/>
      <c r="J4633" s="1139"/>
      <c r="K4633" s="1111"/>
      <c r="L4633" s="1112"/>
      <c r="M4633" s="1113"/>
      <c r="N4633" s="110"/>
      <c r="O4633" s="1140"/>
      <c r="P4633" s="1115"/>
      <c r="Q4633" s="1116"/>
      <c r="R4633" s="1141"/>
      <c r="S4633" s="1113"/>
      <c r="T4633" s="1143"/>
      <c r="U4633" s="1108"/>
      <c r="V4633" s="1108"/>
      <c r="W4633" s="1108"/>
      <c r="X4633" s="1108"/>
      <c r="Y4633" s="1108"/>
      <c r="Z4633" s="1114"/>
      <c r="AA4633" s="1114"/>
      <c r="AB4633" s="1114"/>
      <c r="AC4633" s="1117"/>
      <c r="AD4633" s="1115"/>
      <c r="AE4633" s="1115"/>
      <c r="AF4633" s="1115"/>
      <c r="AG4633" s="1115"/>
      <c r="AH4633" s="1115"/>
      <c r="AI4633" s="1115"/>
      <c r="AJ4633" s="1117"/>
      <c r="AK4633" s="1118"/>
      <c r="AL4633" s="1115"/>
      <c r="AM4633" s="1115"/>
      <c r="AN4633" s="1115"/>
      <c r="AO4633" s="1115"/>
      <c r="AP4633" s="1115"/>
      <c r="AQ4633" s="1115"/>
      <c r="AR4633" s="1115"/>
      <c r="AS4633" s="1117"/>
      <c r="AT4633" s="1075"/>
      <c r="AU4633" s="1193"/>
      <c r="AV4633" s="330"/>
      <c r="AW4633" s="331"/>
      <c r="AX4633" s="331"/>
      <c r="AY4633" s="331"/>
      <c r="AZ4633" s="331"/>
      <c r="BA4633" s="331"/>
      <c r="BB4633" s="331"/>
      <c r="BC4633" s="331"/>
      <c r="BD4633" s="331"/>
      <c r="BE4633" s="333"/>
      <c r="BF4633" s="330"/>
      <c r="BG4633" s="333"/>
      <c r="BH4633" s="1119"/>
      <c r="BI4633" s="319"/>
      <c r="BJ4633" s="319"/>
      <c r="BK4633" s="319"/>
      <c r="BL4633" s="319"/>
      <c r="BM4633" s="319"/>
      <c r="BN4633" s="319"/>
      <c r="BO4633" s="319"/>
      <c r="BP4633" s="953"/>
      <c r="BQ4633" s="319"/>
      <c r="BR4633" s="319"/>
      <c r="BS4633" s="330"/>
      <c r="BT4633" s="331"/>
      <c r="BU4633" s="920"/>
      <c r="BV4633" s="903"/>
      <c r="BW4633" s="908"/>
      <c r="BX4633" s="908"/>
      <c r="BY4633" s="331"/>
      <c r="BZ4633" s="331"/>
      <c r="CA4633" s="462"/>
      <c r="CB4633" s="319"/>
      <c r="CC4633" s="319"/>
      <c r="CD4633" s="319"/>
      <c r="CE4633" s="319"/>
      <c r="CF4633" s="319"/>
      <c r="CG4633" s="319"/>
      <c r="CH4633" s="318"/>
      <c r="CI4633" s="319"/>
      <c r="CJ4633" s="319"/>
      <c r="CK4633" s="342"/>
      <c r="CL4633" s="333"/>
      <c r="CM4633" s="1079"/>
      <c r="CN4633" s="1005"/>
      <c r="CO4633" s="1005"/>
      <c r="CP4633" s="1005"/>
    </row>
    <row r="4634">
      <c r="A4634" s="1257"/>
      <c r="B4634" s="1113"/>
      <c r="C4634" s="1107"/>
      <c r="D4634" s="103"/>
      <c r="E4634" s="1137"/>
      <c r="F4634" s="112"/>
      <c r="G4634" s="1110"/>
      <c r="H4634" s="1138"/>
      <c r="I4634" s="1138"/>
      <c r="J4634" s="1139"/>
      <c r="K4634" s="1111"/>
      <c r="L4634" s="1112"/>
      <c r="M4634" s="1113"/>
      <c r="N4634" s="110"/>
      <c r="O4634" s="1140"/>
      <c r="P4634" s="1115"/>
      <c r="Q4634" s="1116"/>
      <c r="R4634" s="1141"/>
      <c r="S4634" s="1113"/>
      <c r="T4634" s="1143"/>
      <c r="U4634" s="1108"/>
      <c r="V4634" s="1108"/>
      <c r="W4634" s="1108"/>
      <c r="X4634" s="1108"/>
      <c r="Y4634" s="1108"/>
      <c r="Z4634" s="1114"/>
      <c r="AA4634" s="1114"/>
      <c r="AB4634" s="1114"/>
      <c r="AC4634" s="1117"/>
      <c r="AD4634" s="1115"/>
      <c r="AE4634" s="1115"/>
      <c r="AF4634" s="1115"/>
      <c r="AG4634" s="1115"/>
      <c r="AH4634" s="1115"/>
      <c r="AI4634" s="1115"/>
      <c r="AJ4634" s="1117"/>
      <c r="AK4634" s="1118"/>
      <c r="AL4634" s="1115"/>
      <c r="AM4634" s="1115"/>
      <c r="AN4634" s="1115"/>
      <c r="AO4634" s="1115"/>
      <c r="AP4634" s="1115"/>
      <c r="AQ4634" s="1115"/>
      <c r="AR4634" s="1115"/>
      <c r="AS4634" s="1117"/>
      <c r="AT4634" s="1075"/>
      <c r="AU4634" s="1193"/>
      <c r="AV4634" s="330"/>
      <c r="AW4634" s="331"/>
      <c r="AX4634" s="331"/>
      <c r="AY4634" s="331"/>
      <c r="AZ4634" s="331"/>
      <c r="BA4634" s="331"/>
      <c r="BB4634" s="331"/>
      <c r="BC4634" s="331"/>
      <c r="BD4634" s="331"/>
      <c r="BE4634" s="333"/>
      <c r="BF4634" s="330"/>
      <c r="BG4634" s="333"/>
      <c r="BH4634" s="1119"/>
      <c r="BI4634" s="319"/>
      <c r="BJ4634" s="319"/>
      <c r="BK4634" s="319"/>
      <c r="BL4634" s="319"/>
      <c r="BM4634" s="319"/>
      <c r="BN4634" s="319"/>
      <c r="BO4634" s="319"/>
      <c r="BP4634" s="953"/>
      <c r="BQ4634" s="319"/>
      <c r="BR4634" s="319"/>
      <c r="BS4634" s="330"/>
      <c r="BT4634" s="331"/>
      <c r="BU4634" s="920"/>
      <c r="BV4634" s="903"/>
      <c r="BW4634" s="908"/>
      <c r="BX4634" s="908"/>
      <c r="BY4634" s="331"/>
      <c r="BZ4634" s="331"/>
      <c r="CA4634" s="462"/>
      <c r="CB4634" s="319"/>
      <c r="CC4634" s="319"/>
      <c r="CD4634" s="319"/>
      <c r="CE4634" s="319"/>
      <c r="CF4634" s="319"/>
      <c r="CG4634" s="319"/>
      <c r="CH4634" s="318"/>
      <c r="CI4634" s="319"/>
      <c r="CJ4634" s="319"/>
      <c r="CK4634" s="342"/>
      <c r="CL4634" s="333"/>
      <c r="CM4634" s="1079"/>
      <c r="CN4634" s="1005"/>
      <c r="CO4634" s="1005"/>
      <c r="CP4634" s="1005"/>
    </row>
    <row r="4635">
      <c r="A4635" s="1257"/>
      <c r="B4635" s="1113"/>
      <c r="C4635" s="1107"/>
      <c r="D4635" s="103"/>
      <c r="E4635" s="1137"/>
      <c r="F4635" s="112"/>
      <c r="G4635" s="1110"/>
      <c r="H4635" s="1138"/>
      <c r="I4635" s="1138"/>
      <c r="J4635" s="1139"/>
      <c r="K4635" s="1111"/>
      <c r="L4635" s="1112"/>
      <c r="M4635" s="1113"/>
      <c r="N4635" s="110"/>
      <c r="O4635" s="1140"/>
      <c r="P4635" s="1115"/>
      <c r="Q4635" s="1116"/>
      <c r="R4635" s="1141"/>
      <c r="S4635" s="1113"/>
      <c r="T4635" s="1143"/>
      <c r="U4635" s="1108"/>
      <c r="V4635" s="1108"/>
      <c r="W4635" s="1108"/>
      <c r="X4635" s="1108"/>
      <c r="Y4635" s="1108"/>
      <c r="Z4635" s="1114"/>
      <c r="AA4635" s="1114"/>
      <c r="AB4635" s="1114"/>
      <c r="AC4635" s="1117"/>
      <c r="AD4635" s="1115"/>
      <c r="AE4635" s="1115"/>
      <c r="AF4635" s="1115"/>
      <c r="AG4635" s="1115"/>
      <c r="AH4635" s="1115"/>
      <c r="AI4635" s="1115"/>
      <c r="AJ4635" s="1117"/>
      <c r="AK4635" s="1118"/>
      <c r="AL4635" s="1115"/>
      <c r="AM4635" s="1115"/>
      <c r="AN4635" s="1115"/>
      <c r="AO4635" s="1115"/>
      <c r="AP4635" s="1115"/>
      <c r="AQ4635" s="1115"/>
      <c r="AR4635" s="1115"/>
      <c r="AS4635" s="1117"/>
      <c r="AT4635" s="1075"/>
      <c r="AU4635" s="1193"/>
      <c r="AV4635" s="330"/>
      <c r="AW4635" s="331"/>
      <c r="AX4635" s="331"/>
      <c r="AY4635" s="331"/>
      <c r="AZ4635" s="331"/>
      <c r="BA4635" s="331"/>
      <c r="BB4635" s="331"/>
      <c r="BC4635" s="331"/>
      <c r="BD4635" s="331"/>
      <c r="BE4635" s="333"/>
      <c r="BF4635" s="330"/>
      <c r="BG4635" s="333"/>
      <c r="BH4635" s="1119"/>
      <c r="BI4635" s="319"/>
      <c r="BJ4635" s="319"/>
      <c r="BK4635" s="319"/>
      <c r="BL4635" s="319"/>
      <c r="BM4635" s="319"/>
      <c r="BN4635" s="319"/>
      <c r="BO4635" s="319"/>
      <c r="BP4635" s="953"/>
      <c r="BQ4635" s="319"/>
      <c r="BR4635" s="319"/>
      <c r="BS4635" s="330"/>
      <c r="BT4635" s="331"/>
      <c r="BU4635" s="920"/>
      <c r="BV4635" s="903"/>
      <c r="BW4635" s="908"/>
      <c r="BX4635" s="908"/>
      <c r="BY4635" s="331"/>
      <c r="BZ4635" s="331"/>
      <c r="CA4635" s="462"/>
      <c r="CB4635" s="319"/>
      <c r="CC4635" s="319"/>
      <c r="CD4635" s="319"/>
      <c r="CE4635" s="319"/>
      <c r="CF4635" s="319"/>
      <c r="CG4635" s="319"/>
      <c r="CH4635" s="318"/>
      <c r="CI4635" s="319"/>
      <c r="CJ4635" s="319"/>
      <c r="CK4635" s="342"/>
      <c r="CL4635" s="333"/>
      <c r="CM4635" s="1079"/>
      <c r="CN4635" s="1005"/>
      <c r="CO4635" s="1005"/>
      <c r="CP4635" s="1005"/>
    </row>
    <row r="4636">
      <c r="A4636" s="1257"/>
      <c r="B4636" s="1113"/>
      <c r="C4636" s="1107"/>
      <c r="D4636" s="103"/>
      <c r="E4636" s="1137"/>
      <c r="F4636" s="112"/>
      <c r="G4636" s="1110"/>
      <c r="H4636" s="1138"/>
      <c r="I4636" s="1138"/>
      <c r="J4636" s="1139"/>
      <c r="K4636" s="1111"/>
      <c r="L4636" s="1112"/>
      <c r="M4636" s="1113"/>
      <c r="N4636" s="110"/>
      <c r="O4636" s="1140"/>
      <c r="P4636" s="1115"/>
      <c r="Q4636" s="1116"/>
      <c r="R4636" s="1141"/>
      <c r="S4636" s="1113"/>
      <c r="T4636" s="1143"/>
      <c r="U4636" s="1108"/>
      <c r="V4636" s="1108"/>
      <c r="W4636" s="1108"/>
      <c r="X4636" s="1108"/>
      <c r="Y4636" s="1108"/>
      <c r="Z4636" s="1114"/>
      <c r="AA4636" s="1114"/>
      <c r="AB4636" s="1114"/>
      <c r="AC4636" s="1117"/>
      <c r="AD4636" s="1115"/>
      <c r="AE4636" s="1115"/>
      <c r="AF4636" s="1115"/>
      <c r="AG4636" s="1115"/>
      <c r="AH4636" s="1115"/>
      <c r="AI4636" s="1115"/>
      <c r="AJ4636" s="1117"/>
      <c r="AK4636" s="1118"/>
      <c r="AL4636" s="1115"/>
      <c r="AM4636" s="1115"/>
      <c r="AN4636" s="1115"/>
      <c r="AO4636" s="1115"/>
      <c r="AP4636" s="1115"/>
      <c r="AQ4636" s="1115"/>
      <c r="AR4636" s="1115"/>
      <c r="AS4636" s="1117"/>
      <c r="AT4636" s="1075"/>
      <c r="AU4636" s="1193"/>
      <c r="AV4636" s="330"/>
      <c r="AW4636" s="331"/>
      <c r="AX4636" s="331"/>
      <c r="AY4636" s="331"/>
      <c r="AZ4636" s="331"/>
      <c r="BA4636" s="331"/>
      <c r="BB4636" s="331"/>
      <c r="BC4636" s="331"/>
      <c r="BD4636" s="331"/>
      <c r="BE4636" s="333"/>
      <c r="BF4636" s="330"/>
      <c r="BG4636" s="333"/>
      <c r="BH4636" s="1119"/>
      <c r="BI4636" s="319"/>
      <c r="BJ4636" s="319"/>
      <c r="BK4636" s="319"/>
      <c r="BL4636" s="319"/>
      <c r="BM4636" s="319"/>
      <c r="BN4636" s="319"/>
      <c r="BO4636" s="319"/>
      <c r="BP4636" s="953"/>
      <c r="BQ4636" s="319"/>
      <c r="BR4636" s="319"/>
      <c r="BS4636" s="330"/>
      <c r="BT4636" s="331"/>
      <c r="BU4636" s="920"/>
      <c r="BV4636" s="903"/>
      <c r="BW4636" s="908"/>
      <c r="BX4636" s="908"/>
      <c r="BY4636" s="331"/>
      <c r="BZ4636" s="331"/>
      <c r="CA4636" s="462"/>
      <c r="CB4636" s="319"/>
      <c r="CC4636" s="319"/>
      <c r="CD4636" s="319"/>
      <c r="CE4636" s="319"/>
      <c r="CF4636" s="319"/>
      <c r="CG4636" s="319"/>
      <c r="CH4636" s="318"/>
      <c r="CI4636" s="319"/>
      <c r="CJ4636" s="319"/>
      <c r="CK4636" s="342"/>
      <c r="CL4636" s="333"/>
      <c r="CM4636" s="1079"/>
      <c r="CN4636" s="1005"/>
      <c r="CO4636" s="1005"/>
      <c r="CP4636" s="1005"/>
    </row>
    <row r="4637">
      <c r="A4637" s="1257"/>
      <c r="B4637" s="1113"/>
      <c r="C4637" s="1107"/>
      <c r="D4637" s="103"/>
      <c r="E4637" s="1137"/>
      <c r="F4637" s="112"/>
      <c r="G4637" s="1110"/>
      <c r="H4637" s="1138"/>
      <c r="I4637" s="1138"/>
      <c r="J4637" s="1139"/>
      <c r="K4637" s="1111"/>
      <c r="L4637" s="1112"/>
      <c r="M4637" s="1113"/>
      <c r="N4637" s="110"/>
      <c r="O4637" s="1140"/>
      <c r="P4637" s="1115"/>
      <c r="Q4637" s="1116"/>
      <c r="R4637" s="1141"/>
      <c r="S4637" s="1113"/>
      <c r="T4637" s="1143"/>
      <c r="U4637" s="1108"/>
      <c r="V4637" s="1108"/>
      <c r="W4637" s="1108"/>
      <c r="X4637" s="1108"/>
      <c r="Y4637" s="1108"/>
      <c r="Z4637" s="1114"/>
      <c r="AA4637" s="1114"/>
      <c r="AB4637" s="1114"/>
      <c r="AC4637" s="1117"/>
      <c r="AD4637" s="1115"/>
      <c r="AE4637" s="1115"/>
      <c r="AF4637" s="1115"/>
      <c r="AG4637" s="1115"/>
      <c r="AH4637" s="1115"/>
      <c r="AI4637" s="1115"/>
      <c r="AJ4637" s="1117"/>
      <c r="AK4637" s="1118"/>
      <c r="AL4637" s="1115"/>
      <c r="AM4637" s="1115"/>
      <c r="AN4637" s="1115"/>
      <c r="AO4637" s="1115"/>
      <c r="AP4637" s="1115"/>
      <c r="AQ4637" s="1115"/>
      <c r="AR4637" s="1115"/>
      <c r="AS4637" s="1117"/>
      <c r="AT4637" s="1075"/>
      <c r="AU4637" s="1193"/>
      <c r="AV4637" s="330"/>
      <c r="AW4637" s="331"/>
      <c r="AX4637" s="331"/>
      <c r="AY4637" s="331"/>
      <c r="AZ4637" s="331"/>
      <c r="BA4637" s="331"/>
      <c r="BB4637" s="331"/>
      <c r="BC4637" s="331"/>
      <c r="BD4637" s="331"/>
      <c r="BE4637" s="333"/>
      <c r="BF4637" s="330"/>
      <c r="BG4637" s="333"/>
      <c r="BH4637" s="1119"/>
      <c r="BI4637" s="319"/>
      <c r="BJ4637" s="319"/>
      <c r="BK4637" s="319"/>
      <c r="BL4637" s="319"/>
      <c r="BM4637" s="319"/>
      <c r="BN4637" s="319"/>
      <c r="BO4637" s="319"/>
      <c r="BP4637" s="953"/>
      <c r="BQ4637" s="319"/>
      <c r="BR4637" s="319"/>
      <c r="BS4637" s="330"/>
      <c r="BT4637" s="331"/>
      <c r="BU4637" s="920"/>
      <c r="BV4637" s="903"/>
      <c r="BW4637" s="908"/>
      <c r="BX4637" s="908"/>
      <c r="BY4637" s="331"/>
      <c r="BZ4637" s="331"/>
      <c r="CA4637" s="462"/>
      <c r="CB4637" s="319"/>
      <c r="CC4637" s="319"/>
      <c r="CD4637" s="319"/>
      <c r="CE4637" s="319"/>
      <c r="CF4637" s="319"/>
      <c r="CG4637" s="319"/>
      <c r="CH4637" s="318"/>
      <c r="CI4637" s="319"/>
      <c r="CJ4637" s="319"/>
      <c r="CK4637" s="342"/>
      <c r="CL4637" s="333"/>
      <c r="CM4637" s="1079"/>
      <c r="CN4637" s="1005"/>
      <c r="CO4637" s="1005"/>
      <c r="CP4637" s="1005"/>
    </row>
    <row r="4638">
      <c r="A4638" s="1257"/>
      <c r="B4638" s="1113"/>
      <c r="C4638" s="1107"/>
      <c r="D4638" s="103"/>
      <c r="E4638" s="1137"/>
      <c r="F4638" s="112"/>
      <c r="G4638" s="1110"/>
      <c r="H4638" s="1138"/>
      <c r="I4638" s="1138"/>
      <c r="J4638" s="1139"/>
      <c r="K4638" s="1111"/>
      <c r="L4638" s="1112"/>
      <c r="M4638" s="1113"/>
      <c r="N4638" s="110"/>
      <c r="O4638" s="1140"/>
      <c r="P4638" s="1115"/>
      <c r="Q4638" s="1116"/>
      <c r="R4638" s="1141"/>
      <c r="S4638" s="1113"/>
      <c r="T4638" s="1143"/>
      <c r="U4638" s="1108"/>
      <c r="V4638" s="1108"/>
      <c r="W4638" s="1108"/>
      <c r="X4638" s="1108"/>
      <c r="Y4638" s="1108"/>
      <c r="Z4638" s="1114"/>
      <c r="AA4638" s="1114"/>
      <c r="AB4638" s="1114"/>
      <c r="AC4638" s="1117"/>
      <c r="AD4638" s="1115"/>
      <c r="AE4638" s="1115"/>
      <c r="AF4638" s="1115"/>
      <c r="AG4638" s="1115"/>
      <c r="AH4638" s="1115"/>
      <c r="AI4638" s="1115"/>
      <c r="AJ4638" s="1117"/>
      <c r="AK4638" s="1118"/>
      <c r="AL4638" s="1115"/>
      <c r="AM4638" s="1115"/>
      <c r="AN4638" s="1115"/>
      <c r="AO4638" s="1115"/>
      <c r="AP4638" s="1115"/>
      <c r="AQ4638" s="1115"/>
      <c r="AR4638" s="1115"/>
      <c r="AS4638" s="1117"/>
      <c r="AT4638" s="1075"/>
      <c r="AU4638" s="1193"/>
      <c r="AV4638" s="330"/>
      <c r="AW4638" s="331"/>
      <c r="AX4638" s="331"/>
      <c r="AY4638" s="331"/>
      <c r="AZ4638" s="331"/>
      <c r="BA4638" s="331"/>
      <c r="BB4638" s="331"/>
      <c r="BC4638" s="331"/>
      <c r="BD4638" s="331"/>
      <c r="BE4638" s="333"/>
      <c r="BF4638" s="330"/>
      <c r="BG4638" s="333"/>
      <c r="BH4638" s="1119"/>
      <c r="BI4638" s="319"/>
      <c r="BJ4638" s="319"/>
      <c r="BK4638" s="319"/>
      <c r="BL4638" s="319"/>
      <c r="BM4638" s="319"/>
      <c r="BN4638" s="319"/>
      <c r="BO4638" s="319"/>
      <c r="BP4638" s="953"/>
      <c r="BQ4638" s="319"/>
      <c r="BR4638" s="319"/>
      <c r="BS4638" s="330"/>
      <c r="BT4638" s="331"/>
      <c r="BU4638" s="920"/>
      <c r="BV4638" s="903"/>
      <c r="BW4638" s="908"/>
      <c r="BX4638" s="908"/>
      <c r="BY4638" s="331"/>
      <c r="BZ4638" s="331"/>
      <c r="CA4638" s="462"/>
      <c r="CB4638" s="319"/>
      <c r="CC4638" s="319"/>
      <c r="CD4638" s="319"/>
      <c r="CE4638" s="319"/>
      <c r="CF4638" s="319"/>
      <c r="CG4638" s="319"/>
      <c r="CH4638" s="318"/>
      <c r="CI4638" s="319"/>
      <c r="CJ4638" s="319"/>
      <c r="CK4638" s="342"/>
      <c r="CL4638" s="333"/>
      <c r="CM4638" s="1079"/>
      <c r="CN4638" s="1005"/>
      <c r="CO4638" s="1005"/>
      <c r="CP4638" s="1005"/>
    </row>
    <row r="4639">
      <c r="A4639" s="1257"/>
      <c r="B4639" s="1113"/>
      <c r="C4639" s="1107"/>
      <c r="D4639" s="103"/>
      <c r="E4639" s="1137"/>
      <c r="F4639" s="112"/>
      <c r="G4639" s="1110"/>
      <c r="H4639" s="1138"/>
      <c r="I4639" s="1138"/>
      <c r="J4639" s="1139"/>
      <c r="K4639" s="1111"/>
      <c r="L4639" s="1112"/>
      <c r="M4639" s="1113"/>
      <c r="N4639" s="110"/>
      <c r="O4639" s="1140"/>
      <c r="P4639" s="1115"/>
      <c r="Q4639" s="1116"/>
      <c r="R4639" s="1141"/>
      <c r="S4639" s="1113"/>
      <c r="T4639" s="1143"/>
      <c r="U4639" s="1108"/>
      <c r="V4639" s="1108"/>
      <c r="W4639" s="1108"/>
      <c r="X4639" s="1108"/>
      <c r="Y4639" s="1108"/>
      <c r="Z4639" s="1114"/>
      <c r="AA4639" s="1114"/>
      <c r="AB4639" s="1114"/>
      <c r="AC4639" s="1117"/>
      <c r="AD4639" s="1115"/>
      <c r="AE4639" s="1115"/>
      <c r="AF4639" s="1115"/>
      <c r="AG4639" s="1115"/>
      <c r="AH4639" s="1115"/>
      <c r="AI4639" s="1115"/>
      <c r="AJ4639" s="1117"/>
      <c r="AK4639" s="1118"/>
      <c r="AL4639" s="1115"/>
      <c r="AM4639" s="1115"/>
      <c r="AN4639" s="1115"/>
      <c r="AO4639" s="1115"/>
      <c r="AP4639" s="1115"/>
      <c r="AQ4639" s="1115"/>
      <c r="AR4639" s="1115"/>
      <c r="AS4639" s="1117"/>
      <c r="AT4639" s="1075"/>
      <c r="AU4639" s="1193"/>
      <c r="AV4639" s="330"/>
      <c r="AW4639" s="331"/>
      <c r="AX4639" s="331"/>
      <c r="AY4639" s="331"/>
      <c r="AZ4639" s="331"/>
      <c r="BA4639" s="331"/>
      <c r="BB4639" s="331"/>
      <c r="BC4639" s="331"/>
      <c r="BD4639" s="331"/>
      <c r="BE4639" s="333"/>
      <c r="BF4639" s="330"/>
      <c r="BG4639" s="333"/>
      <c r="BH4639" s="1119"/>
      <c r="BI4639" s="319"/>
      <c r="BJ4639" s="319"/>
      <c r="BK4639" s="319"/>
      <c r="BL4639" s="319"/>
      <c r="BM4639" s="319"/>
      <c r="BN4639" s="319"/>
      <c r="BO4639" s="319"/>
      <c r="BP4639" s="953"/>
      <c r="BQ4639" s="319"/>
      <c r="BR4639" s="319"/>
      <c r="BS4639" s="330"/>
      <c r="BT4639" s="331"/>
      <c r="BU4639" s="920"/>
      <c r="BV4639" s="903"/>
      <c r="BW4639" s="908"/>
      <c r="BX4639" s="908"/>
      <c r="BY4639" s="331"/>
      <c r="BZ4639" s="331"/>
      <c r="CA4639" s="462"/>
      <c r="CB4639" s="319"/>
      <c r="CC4639" s="319"/>
      <c r="CD4639" s="319"/>
      <c r="CE4639" s="319"/>
      <c r="CF4639" s="319"/>
      <c r="CG4639" s="319"/>
      <c r="CH4639" s="318"/>
      <c r="CI4639" s="319"/>
      <c r="CJ4639" s="319"/>
      <c r="CK4639" s="342"/>
      <c r="CL4639" s="333"/>
      <c r="CM4639" s="1079"/>
      <c r="CN4639" s="1005"/>
      <c r="CO4639" s="1005"/>
      <c r="CP4639" s="1005"/>
    </row>
    <row r="4640">
      <c r="A4640" s="1257"/>
      <c r="B4640" s="1113"/>
      <c r="C4640" s="1107"/>
      <c r="D4640" s="103"/>
      <c r="E4640" s="1137"/>
      <c r="F4640" s="112"/>
      <c r="G4640" s="1110"/>
      <c r="H4640" s="1138"/>
      <c r="I4640" s="1138"/>
      <c r="J4640" s="1139"/>
      <c r="K4640" s="1111"/>
      <c r="L4640" s="1112"/>
      <c r="M4640" s="1113"/>
      <c r="N4640" s="110"/>
      <c r="O4640" s="1140"/>
      <c r="P4640" s="1115"/>
      <c r="Q4640" s="1116"/>
      <c r="R4640" s="1141"/>
      <c r="S4640" s="1113"/>
      <c r="T4640" s="1143"/>
      <c r="U4640" s="1108"/>
      <c r="V4640" s="1108"/>
      <c r="W4640" s="1108"/>
      <c r="X4640" s="1108"/>
      <c r="Y4640" s="1108"/>
      <c r="Z4640" s="1114"/>
      <c r="AA4640" s="1114"/>
      <c r="AB4640" s="1114"/>
      <c r="AC4640" s="1117"/>
      <c r="AD4640" s="1115"/>
      <c r="AE4640" s="1115"/>
      <c r="AF4640" s="1115"/>
      <c r="AG4640" s="1115"/>
      <c r="AH4640" s="1115"/>
      <c r="AI4640" s="1115"/>
      <c r="AJ4640" s="1117"/>
      <c r="AK4640" s="1118"/>
      <c r="AL4640" s="1115"/>
      <c r="AM4640" s="1115"/>
      <c r="AN4640" s="1115"/>
      <c r="AO4640" s="1115"/>
      <c r="AP4640" s="1115"/>
      <c r="AQ4640" s="1115"/>
      <c r="AR4640" s="1115"/>
      <c r="AS4640" s="1117"/>
      <c r="AT4640" s="1075"/>
      <c r="AU4640" s="1193"/>
      <c r="AV4640" s="330"/>
      <c r="AW4640" s="331"/>
      <c r="AX4640" s="331"/>
      <c r="AY4640" s="331"/>
      <c r="AZ4640" s="331"/>
      <c r="BA4640" s="331"/>
      <c r="BB4640" s="331"/>
      <c r="BC4640" s="331"/>
      <c r="BD4640" s="331"/>
      <c r="BE4640" s="333"/>
      <c r="BF4640" s="330"/>
      <c r="BG4640" s="333"/>
      <c r="BH4640" s="1119"/>
      <c r="BI4640" s="319"/>
      <c r="BJ4640" s="319"/>
      <c r="BK4640" s="319"/>
      <c r="BL4640" s="319"/>
      <c r="BM4640" s="319"/>
      <c r="BN4640" s="319"/>
      <c r="BO4640" s="319"/>
      <c r="BP4640" s="953"/>
      <c r="BQ4640" s="319"/>
      <c r="BR4640" s="319"/>
      <c r="BS4640" s="330"/>
      <c r="BT4640" s="331"/>
      <c r="BU4640" s="920"/>
      <c r="BV4640" s="903"/>
      <c r="BW4640" s="908"/>
      <c r="BX4640" s="908"/>
      <c r="BY4640" s="331"/>
      <c r="BZ4640" s="331"/>
      <c r="CA4640" s="462"/>
      <c r="CB4640" s="319"/>
      <c r="CC4640" s="319"/>
      <c r="CD4640" s="319"/>
      <c r="CE4640" s="319"/>
      <c r="CF4640" s="319"/>
      <c r="CG4640" s="319"/>
      <c r="CH4640" s="318"/>
      <c r="CI4640" s="319"/>
      <c r="CJ4640" s="319"/>
      <c r="CK4640" s="342"/>
      <c r="CL4640" s="333"/>
      <c r="CM4640" s="1079"/>
      <c r="CN4640" s="1005"/>
      <c r="CO4640" s="1005"/>
      <c r="CP4640" s="1005"/>
    </row>
    <row r="4641">
      <c r="A4641" s="1257"/>
      <c r="B4641" s="1113"/>
      <c r="C4641" s="1107"/>
      <c r="D4641" s="103"/>
      <c r="E4641" s="1137"/>
      <c r="F4641" s="112"/>
      <c r="G4641" s="1110"/>
      <c r="H4641" s="1138"/>
      <c r="I4641" s="1138"/>
      <c r="J4641" s="1139"/>
      <c r="K4641" s="1111"/>
      <c r="L4641" s="1112"/>
      <c r="M4641" s="1113"/>
      <c r="N4641" s="110"/>
      <c r="O4641" s="1140"/>
      <c r="P4641" s="1115"/>
      <c r="Q4641" s="1116"/>
      <c r="R4641" s="1141"/>
      <c r="S4641" s="1113"/>
      <c r="T4641" s="1143"/>
      <c r="U4641" s="1108"/>
      <c r="V4641" s="1108"/>
      <c r="W4641" s="1108"/>
      <c r="X4641" s="1108"/>
      <c r="Y4641" s="1108"/>
      <c r="Z4641" s="1114"/>
      <c r="AA4641" s="1114"/>
      <c r="AB4641" s="1114"/>
      <c r="AC4641" s="1117"/>
      <c r="AD4641" s="1115"/>
      <c r="AE4641" s="1115"/>
      <c r="AF4641" s="1115"/>
      <c r="AG4641" s="1115"/>
      <c r="AH4641" s="1115"/>
      <c r="AI4641" s="1115"/>
      <c r="AJ4641" s="1117"/>
      <c r="AK4641" s="1118"/>
      <c r="AL4641" s="1115"/>
      <c r="AM4641" s="1115"/>
      <c r="AN4641" s="1115"/>
      <c r="AO4641" s="1115"/>
      <c r="AP4641" s="1115"/>
      <c r="AQ4641" s="1115"/>
      <c r="AR4641" s="1115"/>
      <c r="AS4641" s="1117"/>
      <c r="AT4641" s="1075"/>
      <c r="AU4641" s="1193"/>
      <c r="AV4641" s="330"/>
      <c r="AW4641" s="331"/>
      <c r="AX4641" s="331"/>
      <c r="AY4641" s="331"/>
      <c r="AZ4641" s="331"/>
      <c r="BA4641" s="331"/>
      <c r="BB4641" s="331"/>
      <c r="BC4641" s="331"/>
      <c r="BD4641" s="331"/>
      <c r="BE4641" s="333"/>
      <c r="BF4641" s="330"/>
      <c r="BG4641" s="333"/>
      <c r="BH4641" s="1119"/>
      <c r="BI4641" s="319"/>
      <c r="BJ4641" s="319"/>
      <c r="BK4641" s="319"/>
      <c r="BL4641" s="319"/>
      <c r="BM4641" s="319"/>
      <c r="BN4641" s="319"/>
      <c r="BO4641" s="319"/>
      <c r="BP4641" s="953"/>
      <c r="BQ4641" s="319"/>
      <c r="BR4641" s="319"/>
      <c r="BS4641" s="330"/>
      <c r="BT4641" s="331"/>
      <c r="BU4641" s="920"/>
      <c r="BV4641" s="903"/>
      <c r="BW4641" s="908"/>
      <c r="BX4641" s="908"/>
      <c r="BY4641" s="331"/>
      <c r="BZ4641" s="331"/>
      <c r="CA4641" s="462"/>
      <c r="CB4641" s="319"/>
      <c r="CC4641" s="319"/>
      <c r="CD4641" s="319"/>
      <c r="CE4641" s="319"/>
      <c r="CF4641" s="319"/>
      <c r="CG4641" s="319"/>
      <c r="CH4641" s="318"/>
      <c r="CI4641" s="319"/>
      <c r="CJ4641" s="319"/>
      <c r="CK4641" s="342"/>
      <c r="CL4641" s="333"/>
      <c r="CM4641" s="1079"/>
      <c r="CN4641" s="1005"/>
      <c r="CO4641" s="1005"/>
      <c r="CP4641" s="1005"/>
    </row>
    <row r="4642">
      <c r="A4642" s="1257"/>
      <c r="B4642" s="1113"/>
      <c r="C4642" s="1107"/>
      <c r="D4642" s="103"/>
      <c r="E4642" s="1137"/>
      <c r="F4642" s="112"/>
      <c r="G4642" s="1110"/>
      <c r="H4642" s="1138"/>
      <c r="I4642" s="1138"/>
      <c r="J4642" s="1139"/>
      <c r="K4642" s="1111"/>
      <c r="L4642" s="1112"/>
      <c r="M4642" s="1113"/>
      <c r="N4642" s="110"/>
      <c r="O4642" s="1140"/>
      <c r="P4642" s="1115"/>
      <c r="Q4642" s="1116"/>
      <c r="R4642" s="1141"/>
      <c r="S4642" s="1113"/>
      <c r="T4642" s="1143"/>
      <c r="U4642" s="1108"/>
      <c r="V4642" s="1108"/>
      <c r="W4642" s="1108"/>
      <c r="X4642" s="1108"/>
      <c r="Y4642" s="1108"/>
      <c r="Z4642" s="1114"/>
      <c r="AA4642" s="1114"/>
      <c r="AB4642" s="1114"/>
      <c r="AC4642" s="1117"/>
      <c r="AD4642" s="1115"/>
      <c r="AE4642" s="1115"/>
      <c r="AF4642" s="1115"/>
      <c r="AG4642" s="1115"/>
      <c r="AH4642" s="1115"/>
      <c r="AI4642" s="1115"/>
      <c r="AJ4642" s="1117"/>
      <c r="AK4642" s="1118"/>
      <c r="AL4642" s="1115"/>
      <c r="AM4642" s="1115"/>
      <c r="AN4642" s="1115"/>
      <c r="AO4642" s="1115"/>
      <c r="AP4642" s="1115"/>
      <c r="AQ4642" s="1115"/>
      <c r="AR4642" s="1115"/>
      <c r="AS4642" s="1117"/>
      <c r="AT4642" s="1075"/>
      <c r="AU4642" s="1193"/>
      <c r="AV4642" s="330"/>
      <c r="AW4642" s="331"/>
      <c r="AX4642" s="331"/>
      <c r="AY4642" s="331"/>
      <c r="AZ4642" s="331"/>
      <c r="BA4642" s="331"/>
      <c r="BB4642" s="331"/>
      <c r="BC4642" s="331"/>
      <c r="BD4642" s="331"/>
      <c r="BE4642" s="333"/>
      <c r="BF4642" s="330"/>
      <c r="BG4642" s="333"/>
      <c r="BH4642" s="1119"/>
      <c r="BI4642" s="319"/>
      <c r="BJ4642" s="319"/>
      <c r="BK4642" s="319"/>
      <c r="BL4642" s="319"/>
      <c r="BM4642" s="319"/>
      <c r="BN4642" s="319"/>
      <c r="BO4642" s="319"/>
      <c r="BP4642" s="953"/>
      <c r="BQ4642" s="319"/>
      <c r="BR4642" s="319"/>
      <c r="BS4642" s="330"/>
      <c r="BT4642" s="331"/>
      <c r="BU4642" s="920"/>
      <c r="BV4642" s="903"/>
      <c r="BW4642" s="908"/>
      <c r="BX4642" s="908"/>
      <c r="BY4642" s="331"/>
      <c r="BZ4642" s="331"/>
      <c r="CA4642" s="462"/>
      <c r="CB4642" s="319"/>
      <c r="CC4642" s="319"/>
      <c r="CD4642" s="319"/>
      <c r="CE4642" s="319"/>
      <c r="CF4642" s="319"/>
      <c r="CG4642" s="319"/>
      <c r="CH4642" s="318"/>
      <c r="CI4642" s="319"/>
      <c r="CJ4642" s="319"/>
      <c r="CK4642" s="342"/>
      <c r="CL4642" s="333"/>
      <c r="CM4642" s="1079"/>
      <c r="CN4642" s="1005"/>
      <c r="CO4642" s="1005"/>
      <c r="CP4642" s="1005"/>
    </row>
    <row r="4643">
      <c r="A4643" s="1257"/>
      <c r="B4643" s="1113"/>
      <c r="C4643" s="1107"/>
      <c r="D4643" s="103"/>
      <c r="E4643" s="1137"/>
      <c r="F4643" s="112"/>
      <c r="G4643" s="1110"/>
      <c r="H4643" s="1138"/>
      <c r="I4643" s="1138"/>
      <c r="J4643" s="1139"/>
      <c r="K4643" s="1111"/>
      <c r="L4643" s="1112"/>
      <c r="M4643" s="1113"/>
      <c r="N4643" s="110"/>
      <c r="O4643" s="1140"/>
      <c r="P4643" s="1115"/>
      <c r="Q4643" s="1116"/>
      <c r="R4643" s="1141"/>
      <c r="S4643" s="1113"/>
      <c r="T4643" s="1143"/>
      <c r="U4643" s="1108"/>
      <c r="V4643" s="1108"/>
      <c r="W4643" s="1108"/>
      <c r="X4643" s="1108"/>
      <c r="Y4643" s="1108"/>
      <c r="Z4643" s="1114"/>
      <c r="AA4643" s="1114"/>
      <c r="AB4643" s="1114"/>
      <c r="AC4643" s="1117"/>
      <c r="AD4643" s="1115"/>
      <c r="AE4643" s="1115"/>
      <c r="AF4643" s="1115"/>
      <c r="AG4643" s="1115"/>
      <c r="AH4643" s="1115"/>
      <c r="AI4643" s="1115"/>
      <c r="AJ4643" s="1117"/>
      <c r="AK4643" s="1118"/>
      <c r="AL4643" s="1115"/>
      <c r="AM4643" s="1115"/>
      <c r="AN4643" s="1115"/>
      <c r="AO4643" s="1115"/>
      <c r="AP4643" s="1115"/>
      <c r="AQ4643" s="1115"/>
      <c r="AR4643" s="1115"/>
      <c r="AS4643" s="1117"/>
      <c r="AT4643" s="1075"/>
      <c r="AU4643" s="1193"/>
      <c r="AV4643" s="330"/>
      <c r="AW4643" s="331"/>
      <c r="AX4643" s="331"/>
      <c r="AY4643" s="331"/>
      <c r="AZ4643" s="331"/>
      <c r="BA4643" s="331"/>
      <c r="BB4643" s="331"/>
      <c r="BC4643" s="331"/>
      <c r="BD4643" s="331"/>
      <c r="BE4643" s="333"/>
      <c r="BF4643" s="330"/>
      <c r="BG4643" s="333"/>
      <c r="BH4643" s="1119"/>
      <c r="BI4643" s="319"/>
      <c r="BJ4643" s="319"/>
      <c r="BK4643" s="319"/>
      <c r="BL4643" s="319"/>
      <c r="BM4643" s="319"/>
      <c r="BN4643" s="319"/>
      <c r="BO4643" s="319"/>
      <c r="BP4643" s="953"/>
      <c r="BQ4643" s="319"/>
      <c r="BR4643" s="319"/>
      <c r="BS4643" s="330"/>
      <c r="BT4643" s="331"/>
      <c r="BU4643" s="920"/>
      <c r="BV4643" s="903"/>
      <c r="BW4643" s="908"/>
      <c r="BX4643" s="908"/>
      <c r="BY4643" s="331"/>
      <c r="BZ4643" s="331"/>
      <c r="CA4643" s="462"/>
      <c r="CB4643" s="319"/>
      <c r="CC4643" s="319"/>
      <c r="CD4643" s="319"/>
      <c r="CE4643" s="319"/>
      <c r="CF4643" s="319"/>
      <c r="CG4643" s="319"/>
      <c r="CH4643" s="318"/>
      <c r="CI4643" s="319"/>
      <c r="CJ4643" s="319"/>
      <c r="CK4643" s="342"/>
      <c r="CL4643" s="333"/>
      <c r="CM4643" s="1079"/>
      <c r="CN4643" s="1005"/>
      <c r="CO4643" s="1005"/>
      <c r="CP4643" s="1005"/>
    </row>
    <row r="4644">
      <c r="A4644" s="1257"/>
      <c r="B4644" s="1113"/>
      <c r="C4644" s="1107"/>
      <c r="D4644" s="103"/>
      <c r="E4644" s="1137"/>
      <c r="F4644" s="112"/>
      <c r="G4644" s="1110"/>
      <c r="H4644" s="1138"/>
      <c r="I4644" s="1138"/>
      <c r="J4644" s="1139"/>
      <c r="K4644" s="1111"/>
      <c r="L4644" s="1112"/>
      <c r="M4644" s="1113"/>
      <c r="N4644" s="110"/>
      <c r="O4644" s="1140"/>
      <c r="P4644" s="1115"/>
      <c r="Q4644" s="1116"/>
      <c r="R4644" s="1141"/>
      <c r="S4644" s="1113"/>
      <c r="T4644" s="1143"/>
      <c r="U4644" s="1108"/>
      <c r="V4644" s="1108"/>
      <c r="W4644" s="1108"/>
      <c r="X4644" s="1108"/>
      <c r="Y4644" s="1108"/>
      <c r="Z4644" s="1114"/>
      <c r="AA4644" s="1114"/>
      <c r="AB4644" s="1114"/>
      <c r="AC4644" s="1117"/>
      <c r="AD4644" s="1115"/>
      <c r="AE4644" s="1115"/>
      <c r="AF4644" s="1115"/>
      <c r="AG4644" s="1115"/>
      <c r="AH4644" s="1115"/>
      <c r="AI4644" s="1115"/>
      <c r="AJ4644" s="1117"/>
      <c r="AK4644" s="1118"/>
      <c r="AL4644" s="1115"/>
      <c r="AM4644" s="1115"/>
      <c r="AN4644" s="1115"/>
      <c r="AO4644" s="1115"/>
      <c r="AP4644" s="1115"/>
      <c r="AQ4644" s="1115"/>
      <c r="AR4644" s="1115"/>
      <c r="AS4644" s="1117"/>
      <c r="AT4644" s="1075"/>
      <c r="AU4644" s="1193"/>
      <c r="AV4644" s="330"/>
      <c r="AW4644" s="331"/>
      <c r="AX4644" s="331"/>
      <c r="AY4644" s="331"/>
      <c r="AZ4644" s="331"/>
      <c r="BA4644" s="331"/>
      <c r="BB4644" s="331"/>
      <c r="BC4644" s="331"/>
      <c r="BD4644" s="331"/>
      <c r="BE4644" s="333"/>
      <c r="BF4644" s="330"/>
      <c r="BG4644" s="333"/>
      <c r="BH4644" s="1119"/>
      <c r="BI4644" s="319"/>
      <c r="BJ4644" s="319"/>
      <c r="BK4644" s="319"/>
      <c r="BL4644" s="319"/>
      <c r="BM4644" s="319"/>
      <c r="BN4644" s="319"/>
      <c r="BO4644" s="319"/>
      <c r="BP4644" s="953"/>
      <c r="BQ4644" s="319"/>
      <c r="BR4644" s="319"/>
      <c r="BS4644" s="330"/>
      <c r="BT4644" s="331"/>
      <c r="BU4644" s="920"/>
      <c r="BV4644" s="903"/>
      <c r="BW4644" s="908"/>
      <c r="BX4644" s="908"/>
      <c r="BY4644" s="331"/>
      <c r="BZ4644" s="331"/>
      <c r="CA4644" s="462"/>
      <c r="CB4644" s="319"/>
      <c r="CC4644" s="319"/>
      <c r="CD4644" s="319"/>
      <c r="CE4644" s="319"/>
      <c r="CF4644" s="319"/>
      <c r="CG4644" s="319"/>
      <c r="CH4644" s="318"/>
      <c r="CI4644" s="319"/>
      <c r="CJ4644" s="319"/>
      <c r="CK4644" s="342"/>
      <c r="CL4644" s="333"/>
      <c r="CM4644" s="1079"/>
      <c r="CN4644" s="1005"/>
      <c r="CO4644" s="1005"/>
      <c r="CP4644" s="1005"/>
    </row>
    <row r="4645">
      <c r="A4645" s="1257"/>
      <c r="B4645" s="1113"/>
      <c r="C4645" s="1107"/>
      <c r="D4645" s="103"/>
      <c r="E4645" s="1137"/>
      <c r="F4645" s="112"/>
      <c r="G4645" s="1110"/>
      <c r="H4645" s="1138"/>
      <c r="I4645" s="1138"/>
      <c r="J4645" s="1139"/>
      <c r="K4645" s="1111"/>
      <c r="L4645" s="1112"/>
      <c r="M4645" s="1113"/>
      <c r="N4645" s="110"/>
      <c r="O4645" s="1140"/>
      <c r="P4645" s="1115"/>
      <c r="Q4645" s="1116"/>
      <c r="R4645" s="1141"/>
      <c r="S4645" s="1113"/>
      <c r="T4645" s="1143"/>
      <c r="U4645" s="1108"/>
      <c r="V4645" s="1108"/>
      <c r="W4645" s="1108"/>
      <c r="X4645" s="1108"/>
      <c r="Y4645" s="1108"/>
      <c r="Z4645" s="1114"/>
      <c r="AA4645" s="1114"/>
      <c r="AB4645" s="1114"/>
      <c r="AC4645" s="1117"/>
      <c r="AD4645" s="1115"/>
      <c r="AE4645" s="1115"/>
      <c r="AF4645" s="1115"/>
      <c r="AG4645" s="1115"/>
      <c r="AH4645" s="1115"/>
      <c r="AI4645" s="1115"/>
      <c r="AJ4645" s="1117"/>
      <c r="AK4645" s="1118"/>
      <c r="AL4645" s="1115"/>
      <c r="AM4645" s="1115"/>
      <c r="AN4645" s="1115"/>
      <c r="AO4645" s="1115"/>
      <c r="AP4645" s="1115"/>
      <c r="AQ4645" s="1115"/>
      <c r="AR4645" s="1115"/>
      <c r="AS4645" s="1117"/>
      <c r="AT4645" s="1075"/>
      <c r="AU4645" s="1193"/>
      <c r="AV4645" s="330"/>
      <c r="AW4645" s="331"/>
      <c r="AX4645" s="331"/>
      <c r="AY4645" s="331"/>
      <c r="AZ4645" s="331"/>
      <c r="BA4645" s="331"/>
      <c r="BB4645" s="331"/>
      <c r="BC4645" s="331"/>
      <c r="BD4645" s="331"/>
      <c r="BE4645" s="333"/>
      <c r="BF4645" s="330"/>
      <c r="BG4645" s="333"/>
      <c r="BH4645" s="1119"/>
      <c r="BI4645" s="319"/>
      <c r="BJ4645" s="319"/>
      <c r="BK4645" s="319"/>
      <c r="BL4645" s="319"/>
      <c r="BM4645" s="319"/>
      <c r="BN4645" s="319"/>
      <c r="BO4645" s="319"/>
      <c r="BP4645" s="953"/>
      <c r="BQ4645" s="319"/>
      <c r="BR4645" s="319"/>
      <c r="BS4645" s="330"/>
      <c r="BT4645" s="331"/>
      <c r="BU4645" s="920"/>
      <c r="BV4645" s="903"/>
      <c r="BW4645" s="908"/>
      <c r="BX4645" s="908"/>
      <c r="BY4645" s="331"/>
      <c r="BZ4645" s="331"/>
      <c r="CA4645" s="462"/>
      <c r="CB4645" s="319"/>
      <c r="CC4645" s="319"/>
      <c r="CD4645" s="319"/>
      <c r="CE4645" s="319"/>
      <c r="CF4645" s="319"/>
      <c r="CG4645" s="319"/>
      <c r="CH4645" s="318"/>
      <c r="CI4645" s="319"/>
      <c r="CJ4645" s="319"/>
      <c r="CK4645" s="342"/>
      <c r="CL4645" s="333"/>
      <c r="CM4645" s="1079"/>
      <c r="CN4645" s="1005"/>
      <c r="CO4645" s="1005"/>
      <c r="CP4645" s="1005"/>
    </row>
    <row r="4646">
      <c r="A4646" s="1257"/>
      <c r="B4646" s="1113"/>
      <c r="C4646" s="1107"/>
      <c r="D4646" s="103"/>
      <c r="E4646" s="1137"/>
      <c r="F4646" s="112"/>
      <c r="G4646" s="1110"/>
      <c r="H4646" s="1138"/>
      <c r="I4646" s="1138"/>
      <c r="J4646" s="1139"/>
      <c r="K4646" s="1111"/>
      <c r="L4646" s="1112"/>
      <c r="M4646" s="1113"/>
      <c r="N4646" s="110"/>
      <c r="O4646" s="1140"/>
      <c r="P4646" s="1115"/>
      <c r="Q4646" s="1116"/>
      <c r="R4646" s="1141"/>
      <c r="S4646" s="1113"/>
      <c r="T4646" s="1143"/>
      <c r="U4646" s="1108"/>
      <c r="V4646" s="1108"/>
      <c r="W4646" s="1108"/>
      <c r="X4646" s="1108"/>
      <c r="Y4646" s="1108"/>
      <c r="Z4646" s="1114"/>
      <c r="AA4646" s="1114"/>
      <c r="AB4646" s="1114"/>
      <c r="AC4646" s="1117"/>
      <c r="AD4646" s="1115"/>
      <c r="AE4646" s="1115"/>
      <c r="AF4646" s="1115"/>
      <c r="AG4646" s="1115"/>
      <c r="AH4646" s="1115"/>
      <c r="AI4646" s="1115"/>
      <c r="AJ4646" s="1117"/>
      <c r="AK4646" s="1118"/>
      <c r="AL4646" s="1115"/>
      <c r="AM4646" s="1115"/>
      <c r="AN4646" s="1115"/>
      <c r="AO4646" s="1115"/>
      <c r="AP4646" s="1115"/>
      <c r="AQ4646" s="1115"/>
      <c r="AR4646" s="1115"/>
      <c r="AS4646" s="1117"/>
      <c r="AT4646" s="1075"/>
      <c r="AU4646" s="1193"/>
      <c r="AV4646" s="330"/>
      <c r="AW4646" s="331"/>
      <c r="AX4646" s="331"/>
      <c r="AY4646" s="331"/>
      <c r="AZ4646" s="331"/>
      <c r="BA4646" s="331"/>
      <c r="BB4646" s="331"/>
      <c r="BC4646" s="331"/>
      <c r="BD4646" s="331"/>
      <c r="BE4646" s="333"/>
      <c r="BF4646" s="330"/>
      <c r="BG4646" s="333"/>
      <c r="BH4646" s="1119"/>
      <c r="BI4646" s="319"/>
      <c r="BJ4646" s="319"/>
      <c r="BK4646" s="319"/>
      <c r="BL4646" s="319"/>
      <c r="BM4646" s="319"/>
      <c r="BN4646" s="319"/>
      <c r="BO4646" s="319"/>
      <c r="BP4646" s="953"/>
      <c r="BQ4646" s="319"/>
      <c r="BR4646" s="319"/>
      <c r="BS4646" s="330"/>
      <c r="BT4646" s="331"/>
      <c r="BU4646" s="920"/>
      <c r="BV4646" s="903"/>
      <c r="BW4646" s="908"/>
      <c r="BX4646" s="908"/>
      <c r="BY4646" s="331"/>
      <c r="BZ4646" s="331"/>
      <c r="CA4646" s="462"/>
      <c r="CB4646" s="319"/>
      <c r="CC4646" s="319"/>
      <c r="CD4646" s="319"/>
      <c r="CE4646" s="319"/>
      <c r="CF4646" s="319"/>
      <c r="CG4646" s="319"/>
      <c r="CH4646" s="318"/>
      <c r="CI4646" s="319"/>
      <c r="CJ4646" s="319"/>
      <c r="CK4646" s="342"/>
      <c r="CL4646" s="333"/>
      <c r="CM4646" s="1079"/>
      <c r="CN4646" s="1005"/>
      <c r="CO4646" s="1005"/>
      <c r="CP4646" s="1005"/>
    </row>
    <row r="4647">
      <c r="A4647" s="1257"/>
      <c r="B4647" s="1113"/>
      <c r="C4647" s="1107"/>
      <c r="D4647" s="103"/>
      <c r="E4647" s="1137"/>
      <c r="F4647" s="112"/>
      <c r="G4647" s="1110"/>
      <c r="H4647" s="1138"/>
      <c r="I4647" s="1138"/>
      <c r="J4647" s="1139"/>
      <c r="K4647" s="1111"/>
      <c r="L4647" s="1112"/>
      <c r="M4647" s="1113"/>
      <c r="N4647" s="110"/>
      <c r="O4647" s="1140"/>
      <c r="P4647" s="1115"/>
      <c r="Q4647" s="1116"/>
      <c r="R4647" s="1141"/>
      <c r="S4647" s="1113"/>
      <c r="T4647" s="1143"/>
      <c r="U4647" s="1108"/>
      <c r="V4647" s="1108"/>
      <c r="W4647" s="1108"/>
      <c r="X4647" s="1108"/>
      <c r="Y4647" s="1108"/>
      <c r="Z4647" s="1114"/>
      <c r="AA4647" s="1114"/>
      <c r="AB4647" s="1114"/>
      <c r="AC4647" s="1117"/>
      <c r="AD4647" s="1115"/>
      <c r="AE4647" s="1115"/>
      <c r="AF4647" s="1115"/>
      <c r="AG4647" s="1115"/>
      <c r="AH4647" s="1115"/>
      <c r="AI4647" s="1115"/>
      <c r="AJ4647" s="1117"/>
      <c r="AK4647" s="1118"/>
      <c r="AL4647" s="1115"/>
      <c r="AM4647" s="1115"/>
      <c r="AN4647" s="1115"/>
      <c r="AO4647" s="1115"/>
      <c r="AP4647" s="1115"/>
      <c r="AQ4647" s="1115"/>
      <c r="AR4647" s="1115"/>
      <c r="AS4647" s="1117"/>
      <c r="AT4647" s="1075"/>
      <c r="AU4647" s="1193"/>
      <c r="AV4647" s="330"/>
      <c r="AW4647" s="331"/>
      <c r="AX4647" s="331"/>
      <c r="AY4647" s="331"/>
      <c r="AZ4647" s="331"/>
      <c r="BA4647" s="331"/>
      <c r="BB4647" s="331"/>
      <c r="BC4647" s="331"/>
      <c r="BD4647" s="331"/>
      <c r="BE4647" s="333"/>
      <c r="BF4647" s="330"/>
      <c r="BG4647" s="333"/>
      <c r="BH4647" s="1119"/>
      <c r="BI4647" s="319"/>
      <c r="BJ4647" s="319"/>
      <c r="BK4647" s="319"/>
      <c r="BL4647" s="319"/>
      <c r="BM4647" s="319"/>
      <c r="BN4647" s="319"/>
      <c r="BO4647" s="319"/>
      <c r="BP4647" s="953"/>
      <c r="BQ4647" s="319"/>
      <c r="BR4647" s="319"/>
      <c r="BS4647" s="330"/>
      <c r="BT4647" s="331"/>
      <c r="BU4647" s="920"/>
      <c r="BV4647" s="903"/>
      <c r="BW4647" s="908"/>
      <c r="BX4647" s="908"/>
      <c r="BY4647" s="331"/>
      <c r="BZ4647" s="331"/>
      <c r="CA4647" s="462"/>
      <c r="CB4647" s="319"/>
      <c r="CC4647" s="319"/>
      <c r="CD4647" s="319"/>
      <c r="CE4647" s="319"/>
      <c r="CF4647" s="319"/>
      <c r="CG4647" s="319"/>
      <c r="CH4647" s="318"/>
      <c r="CI4647" s="319"/>
      <c r="CJ4647" s="319"/>
      <c r="CK4647" s="342"/>
      <c r="CL4647" s="333"/>
      <c r="CM4647" s="1079"/>
      <c r="CN4647" s="1005"/>
      <c r="CO4647" s="1005"/>
      <c r="CP4647" s="1005"/>
    </row>
    <row r="4648">
      <c r="A4648" s="1257"/>
      <c r="B4648" s="1113"/>
      <c r="C4648" s="1107"/>
      <c r="D4648" s="103"/>
      <c r="E4648" s="1137"/>
      <c r="F4648" s="112"/>
      <c r="G4648" s="1110"/>
      <c r="H4648" s="1138"/>
      <c r="I4648" s="1138"/>
      <c r="J4648" s="1139"/>
      <c r="K4648" s="1111"/>
      <c r="L4648" s="1112"/>
      <c r="M4648" s="1113"/>
      <c r="N4648" s="110"/>
      <c r="O4648" s="1140"/>
      <c r="P4648" s="1115"/>
      <c r="Q4648" s="1116"/>
      <c r="R4648" s="1141"/>
      <c r="S4648" s="1113"/>
      <c r="T4648" s="1143"/>
      <c r="U4648" s="1108"/>
      <c r="V4648" s="1108"/>
      <c r="W4648" s="1108"/>
      <c r="X4648" s="1108"/>
      <c r="Y4648" s="1108"/>
      <c r="Z4648" s="1114"/>
      <c r="AA4648" s="1114"/>
      <c r="AB4648" s="1114"/>
      <c r="AC4648" s="1117"/>
      <c r="AD4648" s="1115"/>
      <c r="AE4648" s="1115"/>
      <c r="AF4648" s="1115"/>
      <c r="AG4648" s="1115"/>
      <c r="AH4648" s="1115"/>
      <c r="AI4648" s="1115"/>
      <c r="AJ4648" s="1117"/>
      <c r="AK4648" s="1118"/>
      <c r="AL4648" s="1115"/>
      <c r="AM4648" s="1115"/>
      <c r="AN4648" s="1115"/>
      <c r="AO4648" s="1115"/>
      <c r="AP4648" s="1115"/>
      <c r="AQ4648" s="1115"/>
      <c r="AR4648" s="1115"/>
      <c r="AS4648" s="1117"/>
      <c r="AT4648" s="1075"/>
      <c r="AU4648" s="1193"/>
      <c r="AV4648" s="330"/>
      <c r="AW4648" s="331"/>
      <c r="AX4648" s="331"/>
      <c r="AY4648" s="331"/>
      <c r="AZ4648" s="331"/>
      <c r="BA4648" s="331"/>
      <c r="BB4648" s="331"/>
      <c r="BC4648" s="331"/>
      <c r="BD4648" s="331"/>
      <c r="BE4648" s="333"/>
      <c r="BF4648" s="330"/>
      <c r="BG4648" s="333"/>
      <c r="BH4648" s="1119"/>
      <c r="BI4648" s="319"/>
      <c r="BJ4648" s="319"/>
      <c r="BK4648" s="319"/>
      <c r="BL4648" s="319"/>
      <c r="BM4648" s="319"/>
      <c r="BN4648" s="319"/>
      <c r="BO4648" s="319"/>
      <c r="BP4648" s="953"/>
      <c r="BQ4648" s="319"/>
      <c r="BR4648" s="319"/>
      <c r="BS4648" s="330"/>
      <c r="BT4648" s="331"/>
      <c r="BU4648" s="920"/>
      <c r="BV4648" s="903"/>
      <c r="BW4648" s="908"/>
      <c r="BX4648" s="908"/>
      <c r="BY4648" s="331"/>
      <c r="BZ4648" s="331"/>
      <c r="CA4648" s="462"/>
      <c r="CB4648" s="319"/>
      <c r="CC4648" s="319"/>
      <c r="CD4648" s="319"/>
      <c r="CE4648" s="319"/>
      <c r="CF4648" s="319"/>
      <c r="CG4648" s="319"/>
      <c r="CH4648" s="318"/>
      <c r="CI4648" s="319"/>
      <c r="CJ4648" s="319"/>
      <c r="CK4648" s="342"/>
      <c r="CL4648" s="333"/>
      <c r="CM4648" s="1079"/>
      <c r="CN4648" s="1005"/>
      <c r="CO4648" s="1005"/>
      <c r="CP4648" s="1005"/>
    </row>
    <row r="4649">
      <c r="A4649" s="1257"/>
      <c r="B4649" s="1113"/>
      <c r="C4649" s="1107"/>
      <c r="D4649" s="103"/>
      <c r="E4649" s="1137"/>
      <c r="F4649" s="112"/>
      <c r="G4649" s="1110"/>
      <c r="H4649" s="1138"/>
      <c r="I4649" s="1138"/>
      <c r="J4649" s="1139"/>
      <c r="K4649" s="1111"/>
      <c r="L4649" s="1112"/>
      <c r="M4649" s="1113"/>
      <c r="N4649" s="110"/>
      <c r="O4649" s="1140"/>
      <c r="P4649" s="1115"/>
      <c r="Q4649" s="1116"/>
      <c r="R4649" s="1141"/>
      <c r="S4649" s="1113"/>
      <c r="T4649" s="1143"/>
      <c r="U4649" s="1108"/>
      <c r="V4649" s="1108"/>
      <c r="W4649" s="1108"/>
      <c r="X4649" s="1108"/>
      <c r="Y4649" s="1108"/>
      <c r="Z4649" s="1114"/>
      <c r="AA4649" s="1114"/>
      <c r="AB4649" s="1114"/>
      <c r="AC4649" s="1117"/>
      <c r="AD4649" s="1115"/>
      <c r="AE4649" s="1115"/>
      <c r="AF4649" s="1115"/>
      <c r="AG4649" s="1115"/>
      <c r="AH4649" s="1115"/>
      <c r="AI4649" s="1115"/>
      <c r="AJ4649" s="1117"/>
      <c r="AK4649" s="1118"/>
      <c r="AL4649" s="1115"/>
      <c r="AM4649" s="1115"/>
      <c r="AN4649" s="1115"/>
      <c r="AO4649" s="1115"/>
      <c r="AP4649" s="1115"/>
      <c r="AQ4649" s="1115"/>
      <c r="AR4649" s="1115"/>
      <c r="AS4649" s="1117"/>
      <c r="AT4649" s="1075"/>
      <c r="AU4649" s="1193"/>
      <c r="AV4649" s="330"/>
      <c r="AW4649" s="331"/>
      <c r="AX4649" s="331"/>
      <c r="AY4649" s="331"/>
      <c r="AZ4649" s="331"/>
      <c r="BA4649" s="331"/>
      <c r="BB4649" s="331"/>
      <c r="BC4649" s="331"/>
      <c r="BD4649" s="331"/>
      <c r="BE4649" s="333"/>
      <c r="BF4649" s="330"/>
      <c r="BG4649" s="333"/>
      <c r="BH4649" s="1119"/>
      <c r="BI4649" s="319"/>
      <c r="BJ4649" s="319"/>
      <c r="BK4649" s="319"/>
      <c r="BL4649" s="319"/>
      <c r="BM4649" s="319"/>
      <c r="BN4649" s="319"/>
      <c r="BO4649" s="319"/>
      <c r="BP4649" s="953"/>
      <c r="BQ4649" s="319"/>
      <c r="BR4649" s="319"/>
      <c r="BS4649" s="330"/>
      <c r="BT4649" s="331"/>
      <c r="BU4649" s="920"/>
      <c r="BV4649" s="903"/>
      <c r="BW4649" s="908"/>
      <c r="BX4649" s="908"/>
      <c r="BY4649" s="331"/>
      <c r="BZ4649" s="331"/>
      <c r="CA4649" s="462"/>
      <c r="CB4649" s="319"/>
      <c r="CC4649" s="319"/>
      <c r="CD4649" s="319"/>
      <c r="CE4649" s="319"/>
      <c r="CF4649" s="319"/>
      <c r="CG4649" s="319"/>
      <c r="CH4649" s="318"/>
      <c r="CI4649" s="319"/>
      <c r="CJ4649" s="319"/>
      <c r="CK4649" s="342"/>
      <c r="CL4649" s="333"/>
      <c r="CM4649" s="1079"/>
      <c r="CN4649" s="1005"/>
      <c r="CO4649" s="1005"/>
      <c r="CP4649" s="1005"/>
    </row>
    <row r="4650">
      <c r="A4650" s="1257"/>
      <c r="B4650" s="1113"/>
      <c r="C4650" s="1107"/>
      <c r="D4650" s="103"/>
      <c r="E4650" s="1137"/>
      <c r="F4650" s="112"/>
      <c r="G4650" s="1110"/>
      <c r="H4650" s="1138"/>
      <c r="I4650" s="1138"/>
      <c r="J4650" s="1139"/>
      <c r="K4650" s="1111"/>
      <c r="L4650" s="1112"/>
      <c r="M4650" s="1113"/>
      <c r="N4650" s="110"/>
      <c r="O4650" s="1140"/>
      <c r="P4650" s="1115"/>
      <c r="Q4650" s="1116"/>
      <c r="R4650" s="1141"/>
      <c r="S4650" s="1113"/>
      <c r="T4650" s="1143"/>
      <c r="U4650" s="1108"/>
      <c r="V4650" s="1108"/>
      <c r="W4650" s="1108"/>
      <c r="X4650" s="1108"/>
      <c r="Y4650" s="1108"/>
      <c r="Z4650" s="1114"/>
      <c r="AA4650" s="1114"/>
      <c r="AB4650" s="1114"/>
      <c r="AC4650" s="1117"/>
      <c r="AD4650" s="1115"/>
      <c r="AE4650" s="1115"/>
      <c r="AF4650" s="1115"/>
      <c r="AG4650" s="1115"/>
      <c r="AH4650" s="1115"/>
      <c r="AI4650" s="1115"/>
      <c r="AJ4650" s="1117"/>
      <c r="AK4650" s="1118"/>
      <c r="AL4650" s="1115"/>
      <c r="AM4650" s="1115"/>
      <c r="AN4650" s="1115"/>
      <c r="AO4650" s="1115"/>
      <c r="AP4650" s="1115"/>
      <c r="AQ4650" s="1115"/>
      <c r="AR4650" s="1115"/>
      <c r="AS4650" s="1117"/>
      <c r="AT4650" s="1075"/>
      <c r="AU4650" s="1193"/>
      <c r="AV4650" s="330"/>
      <c r="AW4650" s="331"/>
      <c r="AX4650" s="331"/>
      <c r="AY4650" s="331"/>
      <c r="AZ4650" s="331"/>
      <c r="BA4650" s="331"/>
      <c r="BB4650" s="331"/>
      <c r="BC4650" s="331"/>
      <c r="BD4650" s="331"/>
      <c r="BE4650" s="333"/>
      <c r="BF4650" s="330"/>
      <c r="BG4650" s="333"/>
      <c r="BH4650" s="1119"/>
      <c r="BI4650" s="319"/>
      <c r="BJ4650" s="319"/>
      <c r="BK4650" s="319"/>
      <c r="BL4650" s="319"/>
      <c r="BM4650" s="319"/>
      <c r="BN4650" s="319"/>
      <c r="BO4650" s="319"/>
      <c r="BP4650" s="953"/>
      <c r="BQ4650" s="319"/>
      <c r="BR4650" s="319"/>
      <c r="BS4650" s="330"/>
      <c r="BT4650" s="331"/>
      <c r="BU4650" s="920"/>
      <c r="BV4650" s="903"/>
      <c r="BW4650" s="908"/>
      <c r="BX4650" s="908"/>
      <c r="BY4650" s="331"/>
      <c r="BZ4650" s="331"/>
      <c r="CA4650" s="462"/>
      <c r="CB4650" s="319"/>
      <c r="CC4650" s="319"/>
      <c r="CD4650" s="319"/>
      <c r="CE4650" s="319"/>
      <c r="CF4650" s="319"/>
      <c r="CG4650" s="319"/>
      <c r="CH4650" s="318"/>
      <c r="CI4650" s="319"/>
      <c r="CJ4650" s="319"/>
      <c r="CK4650" s="342"/>
      <c r="CL4650" s="333"/>
      <c r="CM4650" s="1079"/>
      <c r="CN4650" s="1005"/>
      <c r="CO4650" s="1005"/>
      <c r="CP4650" s="1005"/>
    </row>
    <row r="4651">
      <c r="A4651" s="1257"/>
      <c r="B4651" s="1113"/>
      <c r="C4651" s="1107"/>
      <c r="D4651" s="103"/>
      <c r="E4651" s="1137"/>
      <c r="F4651" s="112"/>
      <c r="G4651" s="1110"/>
      <c r="H4651" s="1138"/>
      <c r="I4651" s="1138"/>
      <c r="J4651" s="1139"/>
      <c r="K4651" s="1111"/>
      <c r="L4651" s="1112"/>
      <c r="M4651" s="1113"/>
      <c r="N4651" s="110"/>
      <c r="O4651" s="1140"/>
      <c r="P4651" s="1115"/>
      <c r="Q4651" s="1116"/>
      <c r="R4651" s="1141"/>
      <c r="S4651" s="1113"/>
      <c r="T4651" s="1143"/>
      <c r="U4651" s="1108"/>
      <c r="V4651" s="1108"/>
      <c r="W4651" s="1108"/>
      <c r="X4651" s="1108"/>
      <c r="Y4651" s="1108"/>
      <c r="Z4651" s="1114"/>
      <c r="AA4651" s="1114"/>
      <c r="AB4651" s="1114"/>
      <c r="AC4651" s="1117"/>
      <c r="AD4651" s="1115"/>
      <c r="AE4651" s="1115"/>
      <c r="AF4651" s="1115"/>
      <c r="AG4651" s="1115"/>
      <c r="AH4651" s="1115"/>
      <c r="AI4651" s="1115"/>
      <c r="AJ4651" s="1117"/>
      <c r="AK4651" s="1118"/>
      <c r="AL4651" s="1115"/>
      <c r="AM4651" s="1115"/>
      <c r="AN4651" s="1115"/>
      <c r="AO4651" s="1115"/>
      <c r="AP4651" s="1115"/>
      <c r="AQ4651" s="1115"/>
      <c r="AR4651" s="1115"/>
      <c r="AS4651" s="1117"/>
      <c r="AT4651" s="1075"/>
      <c r="AU4651" s="1193"/>
      <c r="AV4651" s="330"/>
      <c r="AW4651" s="331"/>
      <c r="AX4651" s="331"/>
      <c r="AY4651" s="331"/>
      <c r="AZ4651" s="331"/>
      <c r="BA4651" s="331"/>
      <c r="BB4651" s="331"/>
      <c r="BC4651" s="331"/>
      <c r="BD4651" s="331"/>
      <c r="BE4651" s="333"/>
      <c r="BF4651" s="330"/>
      <c r="BG4651" s="333"/>
      <c r="BH4651" s="1119"/>
      <c r="BI4651" s="319"/>
      <c r="BJ4651" s="319"/>
      <c r="BK4651" s="319"/>
      <c r="BL4651" s="319"/>
      <c r="BM4651" s="319"/>
      <c r="BN4651" s="319"/>
      <c r="BO4651" s="319"/>
      <c r="BP4651" s="953"/>
      <c r="BQ4651" s="319"/>
      <c r="BR4651" s="319"/>
      <c r="BS4651" s="330"/>
      <c r="BT4651" s="331"/>
      <c r="BU4651" s="920"/>
      <c r="BV4651" s="903"/>
      <c r="BW4651" s="908"/>
      <c r="BX4651" s="908"/>
      <c r="BY4651" s="331"/>
      <c r="BZ4651" s="331"/>
      <c r="CA4651" s="462"/>
      <c r="CB4651" s="319"/>
      <c r="CC4651" s="319"/>
      <c r="CD4651" s="319"/>
      <c r="CE4651" s="319"/>
      <c r="CF4651" s="319"/>
      <c r="CG4651" s="319"/>
      <c r="CH4651" s="318"/>
      <c r="CI4651" s="319"/>
      <c r="CJ4651" s="319"/>
      <c r="CK4651" s="342"/>
      <c r="CL4651" s="333"/>
      <c r="CM4651" s="1079"/>
      <c r="CN4651" s="1005"/>
      <c r="CO4651" s="1005"/>
      <c r="CP4651" s="1005"/>
    </row>
    <row r="4652">
      <c r="A4652" s="1257"/>
      <c r="B4652" s="1113"/>
      <c r="C4652" s="1107"/>
      <c r="D4652" s="103"/>
      <c r="E4652" s="1137"/>
      <c r="F4652" s="112"/>
      <c r="G4652" s="1110"/>
      <c r="H4652" s="1138"/>
      <c r="I4652" s="1138"/>
      <c r="J4652" s="1139"/>
      <c r="K4652" s="1111"/>
      <c r="L4652" s="1112"/>
      <c r="M4652" s="1113"/>
      <c r="N4652" s="110"/>
      <c r="O4652" s="1140"/>
      <c r="P4652" s="1115"/>
      <c r="Q4652" s="1116"/>
      <c r="R4652" s="1141"/>
      <c r="S4652" s="1113"/>
      <c r="T4652" s="1143"/>
      <c r="U4652" s="1108"/>
      <c r="V4652" s="1108"/>
      <c r="W4652" s="1108"/>
      <c r="X4652" s="1108"/>
      <c r="Y4652" s="1108"/>
      <c r="Z4652" s="1114"/>
      <c r="AA4652" s="1114"/>
      <c r="AB4652" s="1114"/>
      <c r="AC4652" s="1117"/>
      <c r="AD4652" s="1115"/>
      <c r="AE4652" s="1115"/>
      <c r="AF4652" s="1115"/>
      <c r="AG4652" s="1115"/>
      <c r="AH4652" s="1115"/>
      <c r="AI4652" s="1115"/>
      <c r="AJ4652" s="1117"/>
      <c r="AK4652" s="1118"/>
      <c r="AL4652" s="1115"/>
      <c r="AM4652" s="1115"/>
      <c r="AN4652" s="1115"/>
      <c r="AO4652" s="1115"/>
      <c r="AP4652" s="1115"/>
      <c r="AQ4652" s="1115"/>
      <c r="AR4652" s="1115"/>
      <c r="AS4652" s="1117"/>
      <c r="AT4652" s="1075"/>
      <c r="AU4652" s="1193"/>
      <c r="AV4652" s="330"/>
      <c r="AW4652" s="331"/>
      <c r="AX4652" s="331"/>
      <c r="AY4652" s="331"/>
      <c r="AZ4652" s="331"/>
      <c r="BA4652" s="331"/>
      <c r="BB4652" s="331"/>
      <c r="BC4652" s="331"/>
      <c r="BD4652" s="331"/>
      <c r="BE4652" s="333"/>
      <c r="BF4652" s="330"/>
      <c r="BG4652" s="333"/>
      <c r="BH4652" s="1119"/>
      <c r="BI4652" s="319"/>
      <c r="BJ4652" s="319"/>
      <c r="BK4652" s="319"/>
      <c r="BL4652" s="319"/>
      <c r="BM4652" s="319"/>
      <c r="BN4652" s="319"/>
      <c r="BO4652" s="319"/>
      <c r="BP4652" s="953"/>
      <c r="BQ4652" s="319"/>
      <c r="BR4652" s="319"/>
      <c r="BS4652" s="330"/>
      <c r="BT4652" s="331"/>
      <c r="BU4652" s="920"/>
      <c r="BV4652" s="903"/>
      <c r="BW4652" s="908"/>
      <c r="BX4652" s="908"/>
      <c r="BY4652" s="331"/>
      <c r="BZ4652" s="331"/>
      <c r="CA4652" s="462"/>
      <c r="CB4652" s="319"/>
      <c r="CC4652" s="319"/>
      <c r="CD4652" s="319"/>
      <c r="CE4652" s="319"/>
      <c r="CF4652" s="319"/>
      <c r="CG4652" s="319"/>
      <c r="CH4652" s="318"/>
      <c r="CI4652" s="319"/>
      <c r="CJ4652" s="319"/>
      <c r="CK4652" s="342"/>
      <c r="CL4652" s="333"/>
      <c r="CM4652" s="1079"/>
      <c r="CN4652" s="1005"/>
      <c r="CO4652" s="1005"/>
      <c r="CP4652" s="1005"/>
    </row>
    <row r="4653">
      <c r="A4653" s="1257"/>
      <c r="B4653" s="1113"/>
      <c r="C4653" s="1107"/>
      <c r="D4653" s="103"/>
      <c r="E4653" s="1137"/>
      <c r="F4653" s="112"/>
      <c r="G4653" s="1110"/>
      <c r="H4653" s="1138"/>
      <c r="I4653" s="1138"/>
      <c r="J4653" s="1139"/>
      <c r="K4653" s="1111"/>
      <c r="L4653" s="1112"/>
      <c r="M4653" s="1113"/>
      <c r="N4653" s="110"/>
      <c r="O4653" s="1140"/>
      <c r="P4653" s="1115"/>
      <c r="Q4653" s="1116"/>
      <c r="R4653" s="1141"/>
      <c r="S4653" s="1113"/>
      <c r="T4653" s="1143"/>
      <c r="U4653" s="1108"/>
      <c r="V4653" s="1108"/>
      <c r="W4653" s="1108"/>
      <c r="X4653" s="1108"/>
      <c r="Y4653" s="1108"/>
      <c r="Z4653" s="1114"/>
      <c r="AA4653" s="1114"/>
      <c r="AB4653" s="1114"/>
      <c r="AC4653" s="1117"/>
      <c r="AD4653" s="1115"/>
      <c r="AE4653" s="1115"/>
      <c r="AF4653" s="1115"/>
      <c r="AG4653" s="1115"/>
      <c r="AH4653" s="1115"/>
      <c r="AI4653" s="1115"/>
      <c r="AJ4653" s="1117"/>
      <c r="AK4653" s="1118"/>
      <c r="AL4653" s="1115"/>
      <c r="AM4653" s="1115"/>
      <c r="AN4653" s="1115"/>
      <c r="AO4653" s="1115"/>
      <c r="AP4653" s="1115"/>
      <c r="AQ4653" s="1115"/>
      <c r="AR4653" s="1115"/>
      <c r="AS4653" s="1117"/>
      <c r="AT4653" s="1075"/>
      <c r="AU4653" s="1193"/>
      <c r="AV4653" s="330"/>
      <c r="AW4653" s="331"/>
      <c r="AX4653" s="331"/>
      <c r="AY4653" s="331"/>
      <c r="AZ4653" s="331"/>
      <c r="BA4653" s="331"/>
      <c r="BB4653" s="331"/>
      <c r="BC4653" s="331"/>
      <c r="BD4653" s="331"/>
      <c r="BE4653" s="333"/>
      <c r="BF4653" s="330"/>
      <c r="BG4653" s="333"/>
      <c r="BH4653" s="1119"/>
      <c r="BI4653" s="319"/>
      <c r="BJ4653" s="319"/>
      <c r="BK4653" s="319"/>
      <c r="BL4653" s="319"/>
      <c r="BM4653" s="319"/>
      <c r="BN4653" s="319"/>
      <c r="BO4653" s="319"/>
      <c r="BP4653" s="953"/>
      <c r="BQ4653" s="319"/>
      <c r="BR4653" s="319"/>
      <c r="BS4653" s="330"/>
      <c r="BT4653" s="331"/>
      <c r="BU4653" s="920"/>
      <c r="BV4653" s="903"/>
      <c r="BW4653" s="908"/>
      <c r="BX4653" s="908"/>
      <c r="BY4653" s="331"/>
      <c r="BZ4653" s="331"/>
      <c r="CA4653" s="462"/>
      <c r="CB4653" s="319"/>
      <c r="CC4653" s="319"/>
      <c r="CD4653" s="319"/>
      <c r="CE4653" s="319"/>
      <c r="CF4653" s="319"/>
      <c r="CG4653" s="319"/>
      <c r="CH4653" s="318"/>
      <c r="CI4653" s="319"/>
      <c r="CJ4653" s="319"/>
      <c r="CK4653" s="342"/>
      <c r="CL4653" s="333"/>
      <c r="CM4653" s="1079"/>
      <c r="CN4653" s="1005"/>
      <c r="CO4653" s="1005"/>
      <c r="CP4653" s="1005"/>
    </row>
    <row r="4654">
      <c r="A4654" s="1257"/>
      <c r="B4654" s="1113"/>
      <c r="C4654" s="1107"/>
      <c r="D4654" s="103"/>
      <c r="E4654" s="1137"/>
      <c r="F4654" s="112"/>
      <c r="G4654" s="1110"/>
      <c r="H4654" s="1138"/>
      <c r="I4654" s="1138"/>
      <c r="J4654" s="1139"/>
      <c r="K4654" s="1111"/>
      <c r="L4654" s="1112"/>
      <c r="M4654" s="1113"/>
      <c r="N4654" s="110"/>
      <c r="O4654" s="1140"/>
      <c r="P4654" s="1115"/>
      <c r="Q4654" s="1116"/>
      <c r="R4654" s="1141"/>
      <c r="S4654" s="1113"/>
      <c r="T4654" s="1143"/>
      <c r="U4654" s="1108"/>
      <c r="V4654" s="1108"/>
      <c r="W4654" s="1108"/>
      <c r="X4654" s="1108"/>
      <c r="Y4654" s="1108"/>
      <c r="Z4654" s="1114"/>
      <c r="AA4654" s="1114"/>
      <c r="AB4654" s="1114"/>
      <c r="AC4654" s="1117"/>
      <c r="AD4654" s="1115"/>
      <c r="AE4654" s="1115"/>
      <c r="AF4654" s="1115"/>
      <c r="AG4654" s="1115"/>
      <c r="AH4654" s="1115"/>
      <c r="AI4654" s="1115"/>
      <c r="AJ4654" s="1117"/>
      <c r="AK4654" s="1118"/>
      <c r="AL4654" s="1115"/>
      <c r="AM4654" s="1115"/>
      <c r="AN4654" s="1115"/>
      <c r="AO4654" s="1115"/>
      <c r="AP4654" s="1115"/>
      <c r="AQ4654" s="1115"/>
      <c r="AR4654" s="1115"/>
      <c r="AS4654" s="1117"/>
      <c r="AT4654" s="1075"/>
      <c r="AU4654" s="1193"/>
      <c r="AV4654" s="330"/>
      <c r="AW4654" s="331"/>
      <c r="AX4654" s="331"/>
      <c r="AY4654" s="331"/>
      <c r="AZ4654" s="331"/>
      <c r="BA4654" s="331"/>
      <c r="BB4654" s="331"/>
      <c r="BC4654" s="331"/>
      <c r="BD4654" s="331"/>
      <c r="BE4654" s="333"/>
      <c r="BF4654" s="330"/>
      <c r="BG4654" s="333"/>
      <c r="BH4654" s="1119"/>
      <c r="BI4654" s="319"/>
      <c r="BJ4654" s="319"/>
      <c r="BK4654" s="319"/>
      <c r="BL4654" s="319"/>
      <c r="BM4654" s="319"/>
      <c r="BN4654" s="319"/>
      <c r="BO4654" s="319"/>
      <c r="BP4654" s="953"/>
      <c r="BQ4654" s="319"/>
      <c r="BR4654" s="319"/>
      <c r="BS4654" s="330"/>
      <c r="BT4654" s="331"/>
      <c r="BU4654" s="920"/>
      <c r="BV4654" s="903"/>
      <c r="BW4654" s="908"/>
      <c r="BX4654" s="908"/>
      <c r="BY4654" s="331"/>
      <c r="BZ4654" s="331"/>
      <c r="CA4654" s="462"/>
      <c r="CB4654" s="319"/>
      <c r="CC4654" s="319"/>
      <c r="CD4654" s="319"/>
      <c r="CE4654" s="319"/>
      <c r="CF4654" s="319"/>
      <c r="CG4654" s="319"/>
      <c r="CH4654" s="318"/>
      <c r="CI4654" s="319"/>
      <c r="CJ4654" s="319"/>
      <c r="CK4654" s="342"/>
      <c r="CL4654" s="333"/>
      <c r="CM4654" s="1079"/>
      <c r="CN4654" s="1005"/>
      <c r="CO4654" s="1005"/>
      <c r="CP4654" s="1005"/>
    </row>
    <row r="4655">
      <c r="A4655" s="1257"/>
      <c r="B4655" s="1113"/>
      <c r="C4655" s="1107"/>
      <c r="D4655" s="103"/>
      <c r="E4655" s="1137"/>
      <c r="F4655" s="112"/>
      <c r="G4655" s="1110"/>
      <c r="H4655" s="1138"/>
      <c r="I4655" s="1138"/>
      <c r="J4655" s="1139"/>
      <c r="K4655" s="1111"/>
      <c r="L4655" s="1112"/>
      <c r="M4655" s="1113"/>
      <c r="N4655" s="110"/>
      <c r="O4655" s="1140"/>
      <c r="P4655" s="1115"/>
      <c r="Q4655" s="1116"/>
      <c r="R4655" s="1141"/>
      <c r="S4655" s="1113"/>
      <c r="T4655" s="1143"/>
      <c r="U4655" s="1108"/>
      <c r="V4655" s="1108"/>
      <c r="W4655" s="1108"/>
      <c r="X4655" s="1108"/>
      <c r="Y4655" s="1108"/>
      <c r="Z4655" s="1114"/>
      <c r="AA4655" s="1114"/>
      <c r="AB4655" s="1114"/>
      <c r="AC4655" s="1117"/>
      <c r="AD4655" s="1115"/>
      <c r="AE4655" s="1115"/>
      <c r="AF4655" s="1115"/>
      <c r="AG4655" s="1115"/>
      <c r="AH4655" s="1115"/>
      <c r="AI4655" s="1115"/>
      <c r="AJ4655" s="1117"/>
      <c r="AK4655" s="1118"/>
      <c r="AL4655" s="1115"/>
      <c r="AM4655" s="1115"/>
      <c r="AN4655" s="1115"/>
      <c r="AO4655" s="1115"/>
      <c r="AP4655" s="1115"/>
      <c r="AQ4655" s="1115"/>
      <c r="AR4655" s="1115"/>
      <c r="AS4655" s="1117"/>
      <c r="AT4655" s="1075"/>
      <c r="AU4655" s="1193"/>
      <c r="AV4655" s="330"/>
      <c r="AW4655" s="331"/>
      <c r="AX4655" s="331"/>
      <c r="AY4655" s="331"/>
      <c r="AZ4655" s="331"/>
      <c r="BA4655" s="331"/>
      <c r="BB4655" s="331"/>
      <c r="BC4655" s="331"/>
      <c r="BD4655" s="331"/>
      <c r="BE4655" s="333"/>
      <c r="BF4655" s="330"/>
      <c r="BG4655" s="333"/>
      <c r="BH4655" s="1119"/>
      <c r="BI4655" s="319"/>
      <c r="BJ4655" s="319"/>
      <c r="BK4655" s="319"/>
      <c r="BL4655" s="319"/>
      <c r="BM4655" s="319"/>
      <c r="BN4655" s="319"/>
      <c r="BO4655" s="319"/>
      <c r="BP4655" s="953"/>
      <c r="BQ4655" s="319"/>
      <c r="BR4655" s="319"/>
      <c r="BS4655" s="330"/>
      <c r="BT4655" s="331"/>
      <c r="BU4655" s="920"/>
      <c r="BV4655" s="903"/>
      <c r="BW4655" s="908"/>
      <c r="BX4655" s="908"/>
      <c r="BY4655" s="331"/>
      <c r="BZ4655" s="331"/>
      <c r="CA4655" s="462"/>
      <c r="CB4655" s="319"/>
      <c r="CC4655" s="319"/>
      <c r="CD4655" s="319"/>
      <c r="CE4655" s="319"/>
      <c r="CF4655" s="319"/>
      <c r="CG4655" s="319"/>
      <c r="CH4655" s="318"/>
      <c r="CI4655" s="319"/>
      <c r="CJ4655" s="319"/>
      <c r="CK4655" s="342"/>
      <c r="CL4655" s="333"/>
      <c r="CM4655" s="1079"/>
      <c r="CN4655" s="1005"/>
      <c r="CO4655" s="1005"/>
      <c r="CP4655" s="1005"/>
    </row>
    <row r="4656">
      <c r="A4656" s="1257"/>
      <c r="B4656" s="1113"/>
      <c r="C4656" s="1107"/>
      <c r="D4656" s="103"/>
      <c r="E4656" s="1137"/>
      <c r="F4656" s="112"/>
      <c r="G4656" s="1110"/>
      <c r="H4656" s="1138"/>
      <c r="I4656" s="1138"/>
      <c r="J4656" s="1139"/>
      <c r="K4656" s="1111"/>
      <c r="L4656" s="1112"/>
      <c r="M4656" s="1113"/>
      <c r="N4656" s="110"/>
      <c r="O4656" s="1140"/>
      <c r="P4656" s="1115"/>
      <c r="Q4656" s="1116"/>
      <c r="R4656" s="1141"/>
      <c r="S4656" s="1113"/>
      <c r="T4656" s="1143"/>
      <c r="U4656" s="1108"/>
      <c r="V4656" s="1108"/>
      <c r="W4656" s="1108"/>
      <c r="X4656" s="1108"/>
      <c r="Y4656" s="1108"/>
      <c r="Z4656" s="1114"/>
      <c r="AA4656" s="1114"/>
      <c r="AB4656" s="1114"/>
      <c r="AC4656" s="1117"/>
      <c r="AD4656" s="1115"/>
      <c r="AE4656" s="1115"/>
      <c r="AF4656" s="1115"/>
      <c r="AG4656" s="1115"/>
      <c r="AH4656" s="1115"/>
      <c r="AI4656" s="1115"/>
      <c r="AJ4656" s="1117"/>
      <c r="AK4656" s="1118"/>
      <c r="AL4656" s="1115"/>
      <c r="AM4656" s="1115"/>
      <c r="AN4656" s="1115"/>
      <c r="AO4656" s="1115"/>
      <c r="AP4656" s="1115"/>
      <c r="AQ4656" s="1115"/>
      <c r="AR4656" s="1115"/>
      <c r="AS4656" s="1117"/>
      <c r="AT4656" s="1075"/>
      <c r="AU4656" s="1193"/>
      <c r="AV4656" s="330"/>
      <c r="AW4656" s="331"/>
      <c r="AX4656" s="331"/>
      <c r="AY4656" s="331"/>
      <c r="AZ4656" s="331"/>
      <c r="BA4656" s="331"/>
      <c r="BB4656" s="331"/>
      <c r="BC4656" s="331"/>
      <c r="BD4656" s="331"/>
      <c r="BE4656" s="333"/>
      <c r="BF4656" s="330"/>
      <c r="BG4656" s="333"/>
      <c r="BH4656" s="1119"/>
      <c r="BI4656" s="319"/>
      <c r="BJ4656" s="319"/>
      <c r="BK4656" s="319"/>
      <c r="BL4656" s="319"/>
      <c r="BM4656" s="319"/>
      <c r="BN4656" s="319"/>
      <c r="BO4656" s="319"/>
      <c r="BP4656" s="953"/>
      <c r="BQ4656" s="319"/>
      <c r="BR4656" s="319"/>
      <c r="BS4656" s="330"/>
      <c r="BT4656" s="331"/>
      <c r="BU4656" s="920"/>
      <c r="BV4656" s="903"/>
      <c r="BW4656" s="908"/>
      <c r="BX4656" s="908"/>
      <c r="BY4656" s="331"/>
      <c r="BZ4656" s="331"/>
      <c r="CA4656" s="462"/>
      <c r="CB4656" s="319"/>
      <c r="CC4656" s="319"/>
      <c r="CD4656" s="319"/>
      <c r="CE4656" s="319"/>
      <c r="CF4656" s="319"/>
      <c r="CG4656" s="319"/>
      <c r="CH4656" s="318"/>
      <c r="CI4656" s="319"/>
      <c r="CJ4656" s="319"/>
      <c r="CK4656" s="342"/>
      <c r="CL4656" s="333"/>
      <c r="CM4656" s="1079"/>
      <c r="CN4656" s="1005"/>
      <c r="CO4656" s="1005"/>
      <c r="CP4656" s="1005"/>
    </row>
    <row r="4657">
      <c r="A4657" s="1257"/>
      <c r="B4657" s="1113"/>
      <c r="C4657" s="1107"/>
      <c r="D4657" s="103"/>
      <c r="E4657" s="1137"/>
      <c r="F4657" s="112"/>
      <c r="G4657" s="1110"/>
      <c r="H4657" s="1138"/>
      <c r="I4657" s="1138"/>
      <c r="J4657" s="1139"/>
      <c r="K4657" s="1111"/>
      <c r="L4657" s="1112"/>
      <c r="M4657" s="1113"/>
      <c r="N4657" s="110"/>
      <c r="O4657" s="1140"/>
      <c r="P4657" s="1115"/>
      <c r="Q4657" s="1116"/>
      <c r="R4657" s="1141"/>
      <c r="S4657" s="1113"/>
      <c r="T4657" s="1143"/>
      <c r="U4657" s="1108"/>
      <c r="V4657" s="1108"/>
      <c r="W4657" s="1108"/>
      <c r="X4657" s="1108"/>
      <c r="Y4657" s="1108"/>
      <c r="Z4657" s="1114"/>
      <c r="AA4657" s="1114"/>
      <c r="AB4657" s="1114"/>
      <c r="AC4657" s="1117"/>
      <c r="AD4657" s="1115"/>
      <c r="AE4657" s="1115"/>
      <c r="AF4657" s="1115"/>
      <c r="AG4657" s="1115"/>
      <c r="AH4657" s="1115"/>
      <c r="AI4657" s="1115"/>
      <c r="AJ4657" s="1117"/>
      <c r="AK4657" s="1118"/>
      <c r="AL4657" s="1115"/>
      <c r="AM4657" s="1115"/>
      <c r="AN4657" s="1115"/>
      <c r="AO4657" s="1115"/>
      <c r="AP4657" s="1115"/>
      <c r="AQ4657" s="1115"/>
      <c r="AR4657" s="1115"/>
      <c r="AS4657" s="1117"/>
      <c r="AT4657" s="1075"/>
      <c r="AU4657" s="1193"/>
      <c r="AV4657" s="330"/>
      <c r="AW4657" s="331"/>
      <c r="AX4657" s="331"/>
      <c r="AY4657" s="331"/>
      <c r="AZ4657" s="331"/>
      <c r="BA4657" s="331"/>
      <c r="BB4657" s="331"/>
      <c r="BC4657" s="331"/>
      <c r="BD4657" s="331"/>
      <c r="BE4657" s="333"/>
      <c r="BF4657" s="330"/>
      <c r="BG4657" s="333"/>
      <c r="BH4657" s="1119"/>
      <c r="BI4657" s="319"/>
      <c r="BJ4657" s="319"/>
      <c r="BK4657" s="319"/>
      <c r="BL4657" s="319"/>
      <c r="BM4657" s="319"/>
      <c r="BN4657" s="319"/>
      <c r="BO4657" s="319"/>
      <c r="BP4657" s="953"/>
      <c r="BQ4657" s="319"/>
      <c r="BR4657" s="319"/>
      <c r="BS4657" s="330"/>
      <c r="BT4657" s="331"/>
      <c r="BU4657" s="920"/>
      <c r="BV4657" s="903"/>
      <c r="BW4657" s="908"/>
      <c r="BX4657" s="908"/>
      <c r="BY4657" s="331"/>
      <c r="BZ4657" s="331"/>
      <c r="CA4657" s="462"/>
      <c r="CB4657" s="319"/>
      <c r="CC4657" s="319"/>
      <c r="CD4657" s="319"/>
      <c r="CE4657" s="319"/>
      <c r="CF4657" s="319"/>
      <c r="CG4657" s="319"/>
      <c r="CH4657" s="318"/>
      <c r="CI4657" s="319"/>
      <c r="CJ4657" s="319"/>
      <c r="CK4657" s="342"/>
      <c r="CL4657" s="333"/>
      <c r="CM4657" s="1079"/>
      <c r="CN4657" s="1005"/>
      <c r="CO4657" s="1005"/>
      <c r="CP4657" s="1005"/>
    </row>
    <row r="4658">
      <c r="A4658" s="1257"/>
      <c r="B4658" s="1113"/>
      <c r="C4658" s="1107"/>
      <c r="D4658" s="103"/>
      <c r="E4658" s="1137"/>
      <c r="F4658" s="112"/>
      <c r="G4658" s="1110"/>
      <c r="H4658" s="1138"/>
      <c r="I4658" s="1138"/>
      <c r="J4658" s="1139"/>
      <c r="K4658" s="1111"/>
      <c r="L4658" s="1112"/>
      <c r="M4658" s="1113"/>
      <c r="N4658" s="110"/>
      <c r="O4658" s="1140"/>
      <c r="P4658" s="1115"/>
      <c r="Q4658" s="1116"/>
      <c r="R4658" s="1141"/>
      <c r="S4658" s="1113"/>
      <c r="T4658" s="1143"/>
      <c r="U4658" s="1108"/>
      <c r="V4658" s="1108"/>
      <c r="W4658" s="1108"/>
      <c r="X4658" s="1108"/>
      <c r="Y4658" s="1108"/>
      <c r="Z4658" s="1114"/>
      <c r="AA4658" s="1114"/>
      <c r="AB4658" s="1114"/>
      <c r="AC4658" s="1117"/>
      <c r="AD4658" s="1115"/>
      <c r="AE4658" s="1115"/>
      <c r="AF4658" s="1115"/>
      <c r="AG4658" s="1115"/>
      <c r="AH4658" s="1115"/>
      <c r="AI4658" s="1115"/>
      <c r="AJ4658" s="1117"/>
      <c r="AK4658" s="1118"/>
      <c r="AL4658" s="1115"/>
      <c r="AM4658" s="1115"/>
      <c r="AN4658" s="1115"/>
      <c r="AO4658" s="1115"/>
      <c r="AP4658" s="1115"/>
      <c r="AQ4658" s="1115"/>
      <c r="AR4658" s="1115"/>
      <c r="AS4658" s="1117"/>
      <c r="AT4658" s="1075"/>
      <c r="AU4658" s="1193"/>
      <c r="AV4658" s="330"/>
      <c r="AW4658" s="331"/>
      <c r="AX4658" s="331"/>
      <c r="AY4658" s="331"/>
      <c r="AZ4658" s="331"/>
      <c r="BA4658" s="331"/>
      <c r="BB4658" s="331"/>
      <c r="BC4658" s="331"/>
      <c r="BD4658" s="331"/>
      <c r="BE4658" s="333"/>
      <c r="BF4658" s="330"/>
      <c r="BG4658" s="333"/>
      <c r="BH4658" s="1119"/>
      <c r="BI4658" s="319"/>
      <c r="BJ4658" s="319"/>
      <c r="BK4658" s="319"/>
      <c r="BL4658" s="319"/>
      <c r="BM4658" s="319"/>
      <c r="BN4658" s="319"/>
      <c r="BO4658" s="319"/>
      <c r="BP4658" s="953"/>
      <c r="BQ4658" s="319"/>
      <c r="BR4658" s="319"/>
      <c r="BS4658" s="330"/>
      <c r="BT4658" s="331"/>
      <c r="BU4658" s="920"/>
      <c r="BV4658" s="903"/>
      <c r="BW4658" s="908"/>
      <c r="BX4658" s="908"/>
      <c r="BY4658" s="331"/>
      <c r="BZ4658" s="331"/>
      <c r="CA4658" s="462"/>
      <c r="CB4658" s="319"/>
      <c r="CC4658" s="319"/>
      <c r="CD4658" s="319"/>
      <c r="CE4658" s="319"/>
      <c r="CF4658" s="319"/>
      <c r="CG4658" s="319"/>
      <c r="CH4658" s="318"/>
      <c r="CI4658" s="319"/>
      <c r="CJ4658" s="319"/>
      <c r="CK4658" s="342"/>
      <c r="CL4658" s="333"/>
      <c r="CM4658" s="1079"/>
      <c r="CN4658" s="1005"/>
      <c r="CO4658" s="1005"/>
      <c r="CP4658" s="1005"/>
    </row>
    <row r="4659">
      <c r="A4659" s="1257"/>
      <c r="B4659" s="1113"/>
      <c r="C4659" s="1107"/>
      <c r="D4659" s="103"/>
      <c r="E4659" s="1137"/>
      <c r="F4659" s="112"/>
      <c r="G4659" s="1110"/>
      <c r="H4659" s="1138"/>
      <c r="I4659" s="1138"/>
      <c r="J4659" s="1139"/>
      <c r="K4659" s="1111"/>
      <c r="L4659" s="1112"/>
      <c r="M4659" s="1113"/>
      <c r="N4659" s="110"/>
      <c r="O4659" s="1140"/>
      <c r="P4659" s="1115"/>
      <c r="Q4659" s="1116"/>
      <c r="R4659" s="1141"/>
      <c r="S4659" s="1113"/>
      <c r="T4659" s="1143"/>
      <c r="U4659" s="1108"/>
      <c r="V4659" s="1108"/>
      <c r="W4659" s="1108"/>
      <c r="X4659" s="1108"/>
      <c r="Y4659" s="1108"/>
      <c r="Z4659" s="1114"/>
      <c r="AA4659" s="1114"/>
      <c r="AB4659" s="1114"/>
      <c r="AC4659" s="1117"/>
      <c r="AD4659" s="1115"/>
      <c r="AE4659" s="1115"/>
      <c r="AF4659" s="1115"/>
      <c r="AG4659" s="1115"/>
      <c r="AH4659" s="1115"/>
      <c r="AI4659" s="1115"/>
      <c r="AJ4659" s="1117"/>
      <c r="AK4659" s="1118"/>
      <c r="AL4659" s="1115"/>
      <c r="AM4659" s="1115"/>
      <c r="AN4659" s="1115"/>
      <c r="AO4659" s="1115"/>
      <c r="AP4659" s="1115"/>
      <c r="AQ4659" s="1115"/>
      <c r="AR4659" s="1115"/>
      <c r="AS4659" s="1117"/>
      <c r="AT4659" s="1075"/>
      <c r="AU4659" s="1193"/>
      <c r="AV4659" s="330"/>
      <c r="AW4659" s="331"/>
      <c r="AX4659" s="331"/>
      <c r="AY4659" s="331"/>
      <c r="AZ4659" s="331"/>
      <c r="BA4659" s="331"/>
      <c r="BB4659" s="331"/>
      <c r="BC4659" s="331"/>
      <c r="BD4659" s="331"/>
      <c r="BE4659" s="333"/>
      <c r="BF4659" s="330"/>
      <c r="BG4659" s="333"/>
      <c r="BH4659" s="1119"/>
      <c r="BI4659" s="319"/>
      <c r="BJ4659" s="319"/>
      <c r="BK4659" s="319"/>
      <c r="BL4659" s="319"/>
      <c r="BM4659" s="319"/>
      <c r="BN4659" s="319"/>
      <c r="BO4659" s="319"/>
      <c r="BP4659" s="953"/>
      <c r="BQ4659" s="319"/>
      <c r="BR4659" s="319"/>
      <c r="BS4659" s="330"/>
      <c r="BT4659" s="331"/>
      <c r="BU4659" s="920"/>
      <c r="BV4659" s="903"/>
      <c r="BW4659" s="908"/>
      <c r="BX4659" s="908"/>
      <c r="BY4659" s="331"/>
      <c r="BZ4659" s="331"/>
      <c r="CA4659" s="462"/>
      <c r="CB4659" s="319"/>
      <c r="CC4659" s="319"/>
      <c r="CD4659" s="319"/>
      <c r="CE4659" s="319"/>
      <c r="CF4659" s="319"/>
      <c r="CG4659" s="319"/>
      <c r="CH4659" s="318"/>
      <c r="CI4659" s="319"/>
      <c r="CJ4659" s="319"/>
      <c r="CK4659" s="342"/>
      <c r="CL4659" s="333"/>
      <c r="CM4659" s="1079"/>
      <c r="CN4659" s="1005"/>
      <c r="CO4659" s="1005"/>
      <c r="CP4659" s="1005"/>
    </row>
    <row r="4660">
      <c r="A4660" s="1257"/>
      <c r="B4660" s="1113"/>
      <c r="C4660" s="1107"/>
      <c r="D4660" s="103"/>
      <c r="E4660" s="1137"/>
      <c r="F4660" s="112"/>
      <c r="G4660" s="1110"/>
      <c r="H4660" s="1138"/>
      <c r="I4660" s="1138"/>
      <c r="J4660" s="1139"/>
      <c r="K4660" s="1111"/>
      <c r="L4660" s="1112"/>
      <c r="M4660" s="1113"/>
      <c r="N4660" s="110"/>
      <c r="O4660" s="1140"/>
      <c r="P4660" s="1115"/>
      <c r="Q4660" s="1116"/>
      <c r="R4660" s="1141"/>
      <c r="S4660" s="1113"/>
      <c r="T4660" s="1143"/>
      <c r="U4660" s="1108"/>
      <c r="V4660" s="1108"/>
      <c r="W4660" s="1108"/>
      <c r="X4660" s="1108"/>
      <c r="Y4660" s="1108"/>
      <c r="Z4660" s="1114"/>
      <c r="AA4660" s="1114"/>
      <c r="AB4660" s="1114"/>
      <c r="AC4660" s="1117"/>
      <c r="AD4660" s="1115"/>
      <c r="AE4660" s="1115"/>
      <c r="AF4660" s="1115"/>
      <c r="AG4660" s="1115"/>
      <c r="AH4660" s="1115"/>
      <c r="AI4660" s="1115"/>
      <c r="AJ4660" s="1117"/>
      <c r="AK4660" s="1118"/>
      <c r="AL4660" s="1115"/>
      <c r="AM4660" s="1115"/>
      <c r="AN4660" s="1115"/>
      <c r="AO4660" s="1115"/>
      <c r="AP4660" s="1115"/>
      <c r="AQ4660" s="1115"/>
      <c r="AR4660" s="1115"/>
      <c r="AS4660" s="1117"/>
      <c r="AT4660" s="1075"/>
      <c r="AU4660" s="1193"/>
      <c r="AV4660" s="330"/>
      <c r="AW4660" s="331"/>
      <c r="AX4660" s="331"/>
      <c r="AY4660" s="331"/>
      <c r="AZ4660" s="331"/>
      <c r="BA4660" s="331"/>
      <c r="BB4660" s="331"/>
      <c r="BC4660" s="331"/>
      <c r="BD4660" s="331"/>
      <c r="BE4660" s="333"/>
      <c r="BF4660" s="330"/>
      <c r="BG4660" s="333"/>
      <c r="BH4660" s="1119"/>
      <c r="BI4660" s="319"/>
      <c r="BJ4660" s="319"/>
      <c r="BK4660" s="319"/>
      <c r="BL4660" s="319"/>
      <c r="BM4660" s="319"/>
      <c r="BN4660" s="319"/>
      <c r="BO4660" s="319"/>
      <c r="BP4660" s="953"/>
      <c r="BQ4660" s="319"/>
      <c r="BR4660" s="319"/>
      <c r="BS4660" s="330"/>
      <c r="BT4660" s="331"/>
      <c r="BU4660" s="920"/>
      <c r="BV4660" s="903"/>
      <c r="BW4660" s="908"/>
      <c r="BX4660" s="908"/>
      <c r="BY4660" s="331"/>
      <c r="BZ4660" s="331"/>
      <c r="CA4660" s="462"/>
      <c r="CB4660" s="319"/>
      <c r="CC4660" s="319"/>
      <c r="CD4660" s="319"/>
      <c r="CE4660" s="319"/>
      <c r="CF4660" s="319"/>
      <c r="CG4660" s="319"/>
      <c r="CH4660" s="318"/>
      <c r="CI4660" s="319"/>
      <c r="CJ4660" s="319"/>
      <c r="CK4660" s="342"/>
      <c r="CL4660" s="333"/>
      <c r="CM4660" s="1079"/>
      <c r="CN4660" s="1005"/>
      <c r="CO4660" s="1005"/>
      <c r="CP4660" s="1005"/>
    </row>
    <row r="4661">
      <c r="A4661" s="1257"/>
      <c r="B4661" s="1113"/>
      <c r="C4661" s="1107"/>
      <c r="D4661" s="103"/>
      <c r="E4661" s="1137"/>
      <c r="F4661" s="112"/>
      <c r="G4661" s="1110"/>
      <c r="H4661" s="1138"/>
      <c r="I4661" s="1138"/>
      <c r="J4661" s="1139"/>
      <c r="K4661" s="1111"/>
      <c r="L4661" s="1112"/>
      <c r="M4661" s="1113"/>
      <c r="N4661" s="110"/>
      <c r="O4661" s="1140"/>
      <c r="P4661" s="1115"/>
      <c r="Q4661" s="1116"/>
      <c r="R4661" s="1141"/>
      <c r="S4661" s="1113"/>
      <c r="T4661" s="1143"/>
      <c r="U4661" s="1108"/>
      <c r="V4661" s="1108"/>
      <c r="W4661" s="1108"/>
      <c r="X4661" s="1108"/>
      <c r="Y4661" s="1108"/>
      <c r="Z4661" s="1114"/>
      <c r="AA4661" s="1114"/>
      <c r="AB4661" s="1114"/>
      <c r="AC4661" s="1117"/>
      <c r="AD4661" s="1115"/>
      <c r="AE4661" s="1115"/>
      <c r="AF4661" s="1115"/>
      <c r="AG4661" s="1115"/>
      <c r="AH4661" s="1115"/>
      <c r="AI4661" s="1115"/>
      <c r="AJ4661" s="1117"/>
      <c r="AK4661" s="1118"/>
      <c r="AL4661" s="1115"/>
      <c r="AM4661" s="1115"/>
      <c r="AN4661" s="1115"/>
      <c r="AO4661" s="1115"/>
      <c r="AP4661" s="1115"/>
      <c r="AQ4661" s="1115"/>
      <c r="AR4661" s="1115"/>
      <c r="AS4661" s="1117"/>
      <c r="AT4661" s="1075"/>
      <c r="AU4661" s="1193"/>
      <c r="AV4661" s="330"/>
      <c r="AW4661" s="331"/>
      <c r="AX4661" s="331"/>
      <c r="AY4661" s="331"/>
      <c r="AZ4661" s="331"/>
      <c r="BA4661" s="331"/>
      <c r="BB4661" s="331"/>
      <c r="BC4661" s="331"/>
      <c r="BD4661" s="331"/>
      <c r="BE4661" s="333"/>
      <c r="BF4661" s="330"/>
      <c r="BG4661" s="333"/>
      <c r="BH4661" s="1119"/>
      <c r="BI4661" s="319"/>
      <c r="BJ4661" s="319"/>
      <c r="BK4661" s="319"/>
      <c r="BL4661" s="319"/>
      <c r="BM4661" s="319"/>
      <c r="BN4661" s="319"/>
      <c r="BO4661" s="319"/>
      <c r="BP4661" s="953"/>
      <c r="BQ4661" s="319"/>
      <c r="BR4661" s="319"/>
      <c r="BS4661" s="330"/>
      <c r="BT4661" s="331"/>
      <c r="BU4661" s="920"/>
      <c r="BV4661" s="903"/>
      <c r="BW4661" s="908"/>
      <c r="BX4661" s="908"/>
      <c r="BY4661" s="331"/>
      <c r="BZ4661" s="331"/>
      <c r="CA4661" s="462"/>
      <c r="CB4661" s="319"/>
      <c r="CC4661" s="319"/>
      <c r="CD4661" s="319"/>
      <c r="CE4661" s="319"/>
      <c r="CF4661" s="319"/>
      <c r="CG4661" s="319"/>
      <c r="CH4661" s="318"/>
      <c r="CI4661" s="319"/>
      <c r="CJ4661" s="319"/>
      <c r="CK4661" s="342"/>
      <c r="CL4661" s="333"/>
      <c r="CM4661" s="1079"/>
      <c r="CN4661" s="1005"/>
      <c r="CO4661" s="1005"/>
      <c r="CP4661" s="1005"/>
    </row>
    <row r="4662">
      <c r="A4662" s="1257"/>
      <c r="B4662" s="1113"/>
      <c r="C4662" s="1107"/>
      <c r="D4662" s="103"/>
      <c r="E4662" s="1137"/>
      <c r="F4662" s="112"/>
      <c r="G4662" s="1110"/>
      <c r="H4662" s="1138"/>
      <c r="I4662" s="1138"/>
      <c r="J4662" s="1139"/>
      <c r="K4662" s="1111"/>
      <c r="L4662" s="1112"/>
      <c r="M4662" s="1113"/>
      <c r="N4662" s="110"/>
      <c r="O4662" s="1140"/>
      <c r="P4662" s="1115"/>
      <c r="Q4662" s="1116"/>
      <c r="R4662" s="1141"/>
      <c r="S4662" s="1113"/>
      <c r="T4662" s="1143"/>
      <c r="U4662" s="1108"/>
      <c r="V4662" s="1108"/>
      <c r="W4662" s="1108"/>
      <c r="X4662" s="1108"/>
      <c r="Y4662" s="1108"/>
      <c r="Z4662" s="1114"/>
      <c r="AA4662" s="1114"/>
      <c r="AB4662" s="1114"/>
      <c r="AC4662" s="1117"/>
      <c r="AD4662" s="1115"/>
      <c r="AE4662" s="1115"/>
      <c r="AF4662" s="1115"/>
      <c r="AG4662" s="1115"/>
      <c r="AH4662" s="1115"/>
      <c r="AI4662" s="1115"/>
      <c r="AJ4662" s="1117"/>
      <c r="AK4662" s="1118"/>
      <c r="AL4662" s="1115"/>
      <c r="AM4662" s="1115"/>
      <c r="AN4662" s="1115"/>
      <c r="AO4662" s="1115"/>
      <c r="AP4662" s="1115"/>
      <c r="AQ4662" s="1115"/>
      <c r="AR4662" s="1115"/>
      <c r="AS4662" s="1117"/>
      <c r="AT4662" s="1075"/>
      <c r="AU4662" s="1193"/>
      <c r="AV4662" s="330"/>
      <c r="AW4662" s="331"/>
      <c r="AX4662" s="331"/>
      <c r="AY4662" s="331"/>
      <c r="AZ4662" s="331"/>
      <c r="BA4662" s="331"/>
      <c r="BB4662" s="331"/>
      <c r="BC4662" s="331"/>
      <c r="BD4662" s="331"/>
      <c r="BE4662" s="333"/>
      <c r="BF4662" s="330"/>
      <c r="BG4662" s="333"/>
      <c r="BH4662" s="1119"/>
      <c r="BI4662" s="319"/>
      <c r="BJ4662" s="319"/>
      <c r="BK4662" s="319"/>
      <c r="BL4662" s="319"/>
      <c r="BM4662" s="319"/>
      <c r="BN4662" s="319"/>
      <c r="BO4662" s="319"/>
      <c r="BP4662" s="953"/>
      <c r="BQ4662" s="319"/>
      <c r="BR4662" s="319"/>
      <c r="BS4662" s="330"/>
      <c r="BT4662" s="331"/>
      <c r="BU4662" s="920"/>
      <c r="BV4662" s="903"/>
      <c r="BW4662" s="908"/>
      <c r="BX4662" s="908"/>
      <c r="BY4662" s="331"/>
      <c r="BZ4662" s="331"/>
      <c r="CA4662" s="462"/>
      <c r="CB4662" s="319"/>
      <c r="CC4662" s="319"/>
      <c r="CD4662" s="319"/>
      <c r="CE4662" s="319"/>
      <c r="CF4662" s="319"/>
      <c r="CG4662" s="319"/>
      <c r="CH4662" s="318"/>
      <c r="CI4662" s="319"/>
      <c r="CJ4662" s="319"/>
      <c r="CK4662" s="342"/>
      <c r="CL4662" s="333"/>
      <c r="CM4662" s="1079"/>
      <c r="CN4662" s="1005"/>
      <c r="CO4662" s="1005"/>
      <c r="CP4662" s="1005"/>
    </row>
    <row r="4663">
      <c r="A4663" s="1257"/>
      <c r="B4663" s="1113"/>
      <c r="C4663" s="1107"/>
      <c r="D4663" s="103"/>
      <c r="E4663" s="1137"/>
      <c r="F4663" s="112"/>
      <c r="G4663" s="1110"/>
      <c r="H4663" s="1138"/>
      <c r="I4663" s="1138"/>
      <c r="J4663" s="1139"/>
      <c r="K4663" s="1111"/>
      <c r="L4663" s="1112"/>
      <c r="M4663" s="1113"/>
      <c r="N4663" s="110"/>
      <c r="O4663" s="1140"/>
      <c r="P4663" s="1115"/>
      <c r="Q4663" s="1116"/>
      <c r="R4663" s="1141"/>
      <c r="S4663" s="1113"/>
      <c r="T4663" s="1143"/>
      <c r="U4663" s="1108"/>
      <c r="V4663" s="1108"/>
      <c r="W4663" s="1108"/>
      <c r="X4663" s="1108"/>
      <c r="Y4663" s="1108"/>
      <c r="Z4663" s="1114"/>
      <c r="AA4663" s="1114"/>
      <c r="AB4663" s="1114"/>
      <c r="AC4663" s="1117"/>
      <c r="AD4663" s="1115"/>
      <c r="AE4663" s="1115"/>
      <c r="AF4663" s="1115"/>
      <c r="AG4663" s="1115"/>
      <c r="AH4663" s="1115"/>
      <c r="AI4663" s="1115"/>
      <c r="AJ4663" s="1117"/>
      <c r="AK4663" s="1118"/>
      <c r="AL4663" s="1115"/>
      <c r="AM4663" s="1115"/>
      <c r="AN4663" s="1115"/>
      <c r="AO4663" s="1115"/>
      <c r="AP4663" s="1115"/>
      <c r="AQ4663" s="1115"/>
      <c r="AR4663" s="1115"/>
      <c r="AS4663" s="1117"/>
      <c r="AT4663" s="1075"/>
      <c r="AU4663" s="1193"/>
      <c r="AV4663" s="330"/>
      <c r="AW4663" s="331"/>
      <c r="AX4663" s="331"/>
      <c r="AY4663" s="331"/>
      <c r="AZ4663" s="331"/>
      <c r="BA4663" s="331"/>
      <c r="BB4663" s="331"/>
      <c r="BC4663" s="331"/>
      <c r="BD4663" s="331"/>
      <c r="BE4663" s="333"/>
      <c r="BF4663" s="330"/>
      <c r="BG4663" s="333"/>
      <c r="BH4663" s="1119"/>
      <c r="BI4663" s="319"/>
      <c r="BJ4663" s="319"/>
      <c r="BK4663" s="319"/>
      <c r="BL4663" s="319"/>
      <c r="BM4663" s="319"/>
      <c r="BN4663" s="319"/>
      <c r="BO4663" s="319"/>
      <c r="BP4663" s="953"/>
      <c r="BQ4663" s="319"/>
      <c r="BR4663" s="319"/>
      <c r="BS4663" s="330"/>
      <c r="BT4663" s="331"/>
      <c r="BU4663" s="920"/>
      <c r="BV4663" s="903"/>
      <c r="BW4663" s="908"/>
      <c r="BX4663" s="908"/>
      <c r="BY4663" s="331"/>
      <c r="BZ4663" s="331"/>
      <c r="CA4663" s="462"/>
      <c r="CB4663" s="319"/>
      <c r="CC4663" s="319"/>
      <c r="CD4663" s="319"/>
      <c r="CE4663" s="319"/>
      <c r="CF4663" s="319"/>
      <c r="CG4663" s="319"/>
      <c r="CH4663" s="318"/>
      <c r="CI4663" s="319"/>
      <c r="CJ4663" s="319"/>
      <c r="CK4663" s="342"/>
      <c r="CL4663" s="333"/>
      <c r="CM4663" s="1079"/>
      <c r="CN4663" s="1005"/>
      <c r="CO4663" s="1005"/>
      <c r="CP4663" s="1005"/>
    </row>
    <row r="4664">
      <c r="A4664" s="1257"/>
      <c r="B4664" s="1113"/>
      <c r="C4664" s="1107"/>
      <c r="D4664" s="103"/>
      <c r="E4664" s="1137"/>
      <c r="F4664" s="112"/>
      <c r="G4664" s="1110"/>
      <c r="H4664" s="1138"/>
      <c r="I4664" s="1138"/>
      <c r="J4664" s="1139"/>
      <c r="K4664" s="1111"/>
      <c r="L4664" s="1112"/>
      <c r="M4664" s="1113"/>
      <c r="N4664" s="110"/>
      <c r="O4664" s="1140"/>
      <c r="P4664" s="1115"/>
      <c r="Q4664" s="1116"/>
      <c r="R4664" s="1141"/>
      <c r="S4664" s="1113"/>
      <c r="T4664" s="1143"/>
      <c r="U4664" s="1108"/>
      <c r="V4664" s="1108"/>
      <c r="W4664" s="1108"/>
      <c r="X4664" s="1108"/>
      <c r="Y4664" s="1108"/>
      <c r="Z4664" s="1114"/>
      <c r="AA4664" s="1114"/>
      <c r="AB4664" s="1114"/>
      <c r="AC4664" s="1117"/>
      <c r="AD4664" s="1115"/>
      <c r="AE4664" s="1115"/>
      <c r="AF4664" s="1115"/>
      <c r="AG4664" s="1115"/>
      <c r="AH4664" s="1115"/>
      <c r="AI4664" s="1115"/>
      <c r="AJ4664" s="1117"/>
      <c r="AK4664" s="1118"/>
      <c r="AL4664" s="1115"/>
      <c r="AM4664" s="1115"/>
      <c r="AN4664" s="1115"/>
      <c r="AO4664" s="1115"/>
      <c r="AP4664" s="1115"/>
      <c r="AQ4664" s="1115"/>
      <c r="AR4664" s="1115"/>
      <c r="AS4664" s="1117"/>
      <c r="AT4664" s="1075"/>
      <c r="AU4664" s="1193"/>
      <c r="AV4664" s="330"/>
      <c r="AW4664" s="331"/>
      <c r="AX4664" s="331"/>
      <c r="AY4664" s="331"/>
      <c r="AZ4664" s="331"/>
      <c r="BA4664" s="331"/>
      <c r="BB4664" s="331"/>
      <c r="BC4664" s="331"/>
      <c r="BD4664" s="331"/>
      <c r="BE4664" s="333"/>
      <c r="BF4664" s="330"/>
      <c r="BG4664" s="333"/>
      <c r="BH4664" s="1119"/>
      <c r="BI4664" s="319"/>
      <c r="BJ4664" s="319"/>
      <c r="BK4664" s="319"/>
      <c r="BL4664" s="319"/>
      <c r="BM4664" s="319"/>
      <c r="BN4664" s="319"/>
      <c r="BO4664" s="319"/>
      <c r="BP4664" s="953"/>
      <c r="BQ4664" s="319"/>
      <c r="BR4664" s="319"/>
      <c r="BS4664" s="330"/>
      <c r="BT4664" s="331"/>
      <c r="BU4664" s="920"/>
      <c r="BV4664" s="903"/>
      <c r="BW4664" s="908"/>
      <c r="BX4664" s="908"/>
      <c r="BY4664" s="331"/>
      <c r="BZ4664" s="331"/>
      <c r="CA4664" s="462"/>
      <c r="CB4664" s="319"/>
      <c r="CC4664" s="319"/>
      <c r="CD4664" s="319"/>
      <c r="CE4664" s="319"/>
      <c r="CF4664" s="319"/>
      <c r="CG4664" s="319"/>
      <c r="CH4664" s="318"/>
      <c r="CI4664" s="319"/>
      <c r="CJ4664" s="319"/>
      <c r="CK4664" s="342"/>
      <c r="CL4664" s="333"/>
      <c r="CM4664" s="1079"/>
      <c r="CN4664" s="1005"/>
      <c r="CO4664" s="1005"/>
      <c r="CP4664" s="1005"/>
    </row>
    <row r="4665">
      <c r="A4665" s="1257"/>
      <c r="B4665" s="1113"/>
      <c r="C4665" s="1107"/>
      <c r="D4665" s="103"/>
      <c r="E4665" s="1137"/>
      <c r="F4665" s="112"/>
      <c r="G4665" s="1110"/>
      <c r="H4665" s="1138"/>
      <c r="I4665" s="1138"/>
      <c r="J4665" s="1139"/>
      <c r="K4665" s="1111"/>
      <c r="L4665" s="1112"/>
      <c r="M4665" s="1113"/>
      <c r="N4665" s="110"/>
      <c r="O4665" s="1140"/>
      <c r="P4665" s="1115"/>
      <c r="Q4665" s="1116"/>
      <c r="R4665" s="1141"/>
      <c r="S4665" s="1113"/>
      <c r="T4665" s="1143"/>
      <c r="U4665" s="1108"/>
      <c r="V4665" s="1108"/>
      <c r="W4665" s="1108"/>
      <c r="X4665" s="1108"/>
      <c r="Y4665" s="1108"/>
      <c r="Z4665" s="1114"/>
      <c r="AA4665" s="1114"/>
      <c r="AB4665" s="1114"/>
      <c r="AC4665" s="1117"/>
      <c r="AD4665" s="1115"/>
      <c r="AE4665" s="1115"/>
      <c r="AF4665" s="1115"/>
      <c r="AG4665" s="1115"/>
      <c r="AH4665" s="1115"/>
      <c r="AI4665" s="1115"/>
      <c r="AJ4665" s="1117"/>
      <c r="AK4665" s="1118"/>
      <c r="AL4665" s="1115"/>
      <c r="AM4665" s="1115"/>
      <c r="AN4665" s="1115"/>
      <c r="AO4665" s="1115"/>
      <c r="AP4665" s="1115"/>
      <c r="AQ4665" s="1115"/>
      <c r="AR4665" s="1115"/>
      <c r="AS4665" s="1117"/>
      <c r="AT4665" s="1075"/>
      <c r="AU4665" s="1193"/>
      <c r="AV4665" s="330"/>
      <c r="AW4665" s="331"/>
      <c r="AX4665" s="331"/>
      <c r="AY4665" s="331"/>
      <c r="AZ4665" s="331"/>
      <c r="BA4665" s="331"/>
      <c r="BB4665" s="331"/>
      <c r="BC4665" s="331"/>
      <c r="BD4665" s="331"/>
      <c r="BE4665" s="333"/>
      <c r="BF4665" s="330"/>
      <c r="BG4665" s="333"/>
      <c r="BH4665" s="1119"/>
      <c r="BI4665" s="319"/>
      <c r="BJ4665" s="319"/>
      <c r="BK4665" s="319"/>
      <c r="BL4665" s="319"/>
      <c r="BM4665" s="319"/>
      <c r="BN4665" s="319"/>
      <c r="BO4665" s="319"/>
      <c r="BP4665" s="953"/>
      <c r="BQ4665" s="319"/>
      <c r="BR4665" s="319"/>
      <c r="BS4665" s="330"/>
      <c r="BT4665" s="331"/>
      <c r="BU4665" s="920"/>
      <c r="BV4665" s="903"/>
      <c r="BW4665" s="908"/>
      <c r="BX4665" s="908"/>
      <c r="BY4665" s="331"/>
      <c r="BZ4665" s="331"/>
      <c r="CA4665" s="462"/>
      <c r="CB4665" s="319"/>
      <c r="CC4665" s="319"/>
      <c r="CD4665" s="319"/>
      <c r="CE4665" s="319"/>
      <c r="CF4665" s="319"/>
      <c r="CG4665" s="319"/>
      <c r="CH4665" s="318"/>
      <c r="CI4665" s="319"/>
      <c r="CJ4665" s="319"/>
      <c r="CK4665" s="342"/>
      <c r="CL4665" s="333"/>
      <c r="CM4665" s="1079"/>
      <c r="CN4665" s="1005"/>
      <c r="CO4665" s="1005"/>
      <c r="CP4665" s="1005"/>
    </row>
    <row r="4666">
      <c r="A4666" s="1257"/>
      <c r="B4666" s="1113"/>
      <c r="C4666" s="1107"/>
      <c r="D4666" s="103"/>
      <c r="E4666" s="1137"/>
      <c r="F4666" s="112"/>
      <c r="G4666" s="1110"/>
      <c r="H4666" s="1138"/>
      <c r="I4666" s="1138"/>
      <c r="J4666" s="1139"/>
      <c r="K4666" s="1111"/>
      <c r="L4666" s="1112"/>
      <c r="M4666" s="1113"/>
      <c r="N4666" s="110"/>
      <c r="O4666" s="1140"/>
      <c r="P4666" s="1115"/>
      <c r="Q4666" s="1116"/>
      <c r="R4666" s="1141"/>
      <c r="S4666" s="1113"/>
      <c r="T4666" s="1143"/>
      <c r="U4666" s="1108"/>
      <c r="V4666" s="1108"/>
      <c r="W4666" s="1108"/>
      <c r="X4666" s="1108"/>
      <c r="Y4666" s="1108"/>
      <c r="Z4666" s="1114"/>
      <c r="AA4666" s="1114"/>
      <c r="AB4666" s="1114"/>
      <c r="AC4666" s="1117"/>
      <c r="AD4666" s="1115"/>
      <c r="AE4666" s="1115"/>
      <c r="AF4666" s="1115"/>
      <c r="AG4666" s="1115"/>
      <c r="AH4666" s="1115"/>
      <c r="AI4666" s="1115"/>
      <c r="AJ4666" s="1117"/>
      <c r="AK4666" s="1118"/>
      <c r="AL4666" s="1115"/>
      <c r="AM4666" s="1115"/>
      <c r="AN4666" s="1115"/>
      <c r="AO4666" s="1115"/>
      <c r="AP4666" s="1115"/>
      <c r="AQ4666" s="1115"/>
      <c r="AR4666" s="1115"/>
      <c r="AS4666" s="1117"/>
      <c r="AT4666" s="1075"/>
      <c r="AU4666" s="1193"/>
      <c r="AV4666" s="330"/>
      <c r="AW4666" s="331"/>
      <c r="AX4666" s="331"/>
      <c r="AY4666" s="331"/>
      <c r="AZ4666" s="331"/>
      <c r="BA4666" s="331"/>
      <c r="BB4666" s="331"/>
      <c r="BC4666" s="331"/>
      <c r="BD4666" s="331"/>
      <c r="BE4666" s="333"/>
      <c r="BF4666" s="330"/>
      <c r="BG4666" s="333"/>
      <c r="BH4666" s="1119"/>
      <c r="BI4666" s="319"/>
      <c r="BJ4666" s="319"/>
      <c r="BK4666" s="319"/>
      <c r="BL4666" s="319"/>
      <c r="BM4666" s="319"/>
      <c r="BN4666" s="319"/>
      <c r="BO4666" s="319"/>
      <c r="BP4666" s="953"/>
      <c r="BQ4666" s="319"/>
      <c r="BR4666" s="319"/>
      <c r="BS4666" s="330"/>
      <c r="BT4666" s="331"/>
      <c r="BU4666" s="920"/>
      <c r="BV4666" s="903"/>
      <c r="BW4666" s="908"/>
      <c r="BX4666" s="908"/>
      <c r="BY4666" s="331"/>
      <c r="BZ4666" s="331"/>
      <c r="CA4666" s="462"/>
      <c r="CB4666" s="319"/>
      <c r="CC4666" s="319"/>
      <c r="CD4666" s="319"/>
      <c r="CE4666" s="319"/>
      <c r="CF4666" s="319"/>
      <c r="CG4666" s="319"/>
      <c r="CH4666" s="318"/>
      <c r="CI4666" s="319"/>
      <c r="CJ4666" s="319"/>
      <c r="CK4666" s="342"/>
      <c r="CL4666" s="333"/>
      <c r="CM4666" s="1079"/>
      <c r="CN4666" s="1005"/>
      <c r="CO4666" s="1005"/>
      <c r="CP4666" s="1005"/>
    </row>
    <row r="4667">
      <c r="A4667" s="1257"/>
      <c r="B4667" s="1113"/>
      <c r="C4667" s="1107"/>
      <c r="D4667" s="103"/>
      <c r="E4667" s="1137"/>
      <c r="F4667" s="112"/>
      <c r="G4667" s="1110"/>
      <c r="H4667" s="1138"/>
      <c r="I4667" s="1138"/>
      <c r="J4667" s="1139"/>
      <c r="K4667" s="1111"/>
      <c r="L4667" s="1112"/>
      <c r="M4667" s="1113"/>
      <c r="N4667" s="110"/>
      <c r="O4667" s="1140"/>
      <c r="P4667" s="1115"/>
      <c r="Q4667" s="1116"/>
      <c r="R4667" s="1141"/>
      <c r="S4667" s="1113"/>
      <c r="T4667" s="1143"/>
      <c r="U4667" s="1108"/>
      <c r="V4667" s="1108"/>
      <c r="W4667" s="1108"/>
      <c r="X4667" s="1108"/>
      <c r="Y4667" s="1108"/>
      <c r="Z4667" s="1114"/>
      <c r="AA4667" s="1114"/>
      <c r="AB4667" s="1114"/>
      <c r="AC4667" s="1117"/>
      <c r="AD4667" s="1115"/>
      <c r="AE4667" s="1115"/>
      <c r="AF4667" s="1115"/>
      <c r="AG4667" s="1115"/>
      <c r="AH4667" s="1115"/>
      <c r="AI4667" s="1115"/>
      <c r="AJ4667" s="1117"/>
      <c r="AK4667" s="1118"/>
      <c r="AL4667" s="1115"/>
      <c r="AM4667" s="1115"/>
      <c r="AN4667" s="1115"/>
      <c r="AO4667" s="1115"/>
      <c r="AP4667" s="1115"/>
      <c r="AQ4667" s="1115"/>
      <c r="AR4667" s="1115"/>
      <c r="AS4667" s="1117"/>
      <c r="AT4667" s="1075"/>
      <c r="AU4667" s="1193"/>
      <c r="AV4667" s="330"/>
      <c r="AW4667" s="331"/>
      <c r="AX4667" s="331"/>
      <c r="AY4667" s="331"/>
      <c r="AZ4667" s="331"/>
      <c r="BA4667" s="331"/>
      <c r="BB4667" s="331"/>
      <c r="BC4667" s="331"/>
      <c r="BD4667" s="331"/>
      <c r="BE4667" s="333"/>
      <c r="BF4667" s="330"/>
      <c r="BG4667" s="333"/>
      <c r="BH4667" s="1119"/>
      <c r="BI4667" s="319"/>
      <c r="BJ4667" s="319"/>
      <c r="BK4667" s="319"/>
      <c r="BL4667" s="319"/>
      <c r="BM4667" s="319"/>
      <c r="BN4667" s="319"/>
      <c r="BO4667" s="319"/>
      <c r="BP4667" s="953"/>
      <c r="BQ4667" s="319"/>
      <c r="BR4667" s="319"/>
      <c r="BS4667" s="330"/>
      <c r="BT4667" s="331"/>
      <c r="BU4667" s="920"/>
      <c r="BV4667" s="903"/>
      <c r="BW4667" s="908"/>
      <c r="BX4667" s="908"/>
      <c r="BY4667" s="331"/>
      <c r="BZ4667" s="331"/>
      <c r="CA4667" s="462"/>
      <c r="CB4667" s="319"/>
      <c r="CC4667" s="319"/>
      <c r="CD4667" s="319"/>
      <c r="CE4667" s="319"/>
      <c r="CF4667" s="319"/>
      <c r="CG4667" s="319"/>
      <c r="CH4667" s="318"/>
      <c r="CI4667" s="319"/>
      <c r="CJ4667" s="319"/>
      <c r="CK4667" s="342"/>
      <c r="CL4667" s="333"/>
      <c r="CM4667" s="1079"/>
      <c r="CN4667" s="1005"/>
      <c r="CO4667" s="1005"/>
      <c r="CP4667" s="1005"/>
    </row>
    <row r="4668">
      <c r="A4668" s="1257"/>
      <c r="B4668" s="1113"/>
      <c r="C4668" s="1107"/>
      <c r="D4668" s="103"/>
      <c r="E4668" s="1137"/>
      <c r="F4668" s="112"/>
      <c r="G4668" s="1110"/>
      <c r="H4668" s="1138"/>
      <c r="I4668" s="1138"/>
      <c r="J4668" s="1139"/>
      <c r="K4668" s="1111"/>
      <c r="L4668" s="1112"/>
      <c r="M4668" s="1113"/>
      <c r="N4668" s="110"/>
      <c r="O4668" s="1140"/>
      <c r="P4668" s="1115"/>
      <c r="Q4668" s="1116"/>
      <c r="R4668" s="1141"/>
      <c r="S4668" s="1113"/>
      <c r="T4668" s="1143"/>
      <c r="U4668" s="1108"/>
      <c r="V4668" s="1108"/>
      <c r="W4668" s="1108"/>
      <c r="X4668" s="1108"/>
      <c r="Y4668" s="1108"/>
      <c r="Z4668" s="1114"/>
      <c r="AA4668" s="1114"/>
      <c r="AB4668" s="1114"/>
      <c r="AC4668" s="1117"/>
      <c r="AD4668" s="1115"/>
      <c r="AE4668" s="1115"/>
      <c r="AF4668" s="1115"/>
      <c r="AG4668" s="1115"/>
      <c r="AH4668" s="1115"/>
      <c r="AI4668" s="1115"/>
      <c r="AJ4668" s="1117"/>
      <c r="AK4668" s="1118"/>
      <c r="AL4668" s="1115"/>
      <c r="AM4668" s="1115"/>
      <c r="AN4668" s="1115"/>
      <c r="AO4668" s="1115"/>
      <c r="AP4668" s="1115"/>
      <c r="AQ4668" s="1115"/>
      <c r="AR4668" s="1115"/>
      <c r="AS4668" s="1117"/>
      <c r="AT4668" s="1075"/>
      <c r="AU4668" s="1193"/>
      <c r="AV4668" s="330"/>
      <c r="AW4668" s="331"/>
      <c r="AX4668" s="331"/>
      <c r="AY4668" s="331"/>
      <c r="AZ4668" s="331"/>
      <c r="BA4668" s="331"/>
      <c r="BB4668" s="331"/>
      <c r="BC4668" s="331"/>
      <c r="BD4668" s="331"/>
      <c r="BE4668" s="333"/>
      <c r="BF4668" s="330"/>
      <c r="BG4668" s="333"/>
      <c r="BH4668" s="1119"/>
      <c r="BI4668" s="319"/>
      <c r="BJ4668" s="319"/>
      <c r="BK4668" s="319"/>
      <c r="BL4668" s="319"/>
      <c r="BM4668" s="319"/>
      <c r="BN4668" s="319"/>
      <c r="BO4668" s="319"/>
      <c r="BP4668" s="953"/>
      <c r="BQ4668" s="319"/>
      <c r="BR4668" s="319"/>
      <c r="BS4668" s="330"/>
      <c r="BT4668" s="331"/>
      <c r="BU4668" s="920"/>
      <c r="BV4668" s="903"/>
      <c r="BW4668" s="908"/>
      <c r="BX4668" s="908"/>
      <c r="BY4668" s="331"/>
      <c r="BZ4668" s="331"/>
      <c r="CA4668" s="462"/>
      <c r="CB4668" s="319"/>
      <c r="CC4668" s="319"/>
      <c r="CD4668" s="319"/>
      <c r="CE4668" s="319"/>
      <c r="CF4668" s="319"/>
      <c r="CG4668" s="319"/>
      <c r="CH4668" s="318"/>
      <c r="CI4668" s="319"/>
      <c r="CJ4668" s="319"/>
      <c r="CK4668" s="342"/>
      <c r="CL4668" s="333"/>
      <c r="CM4668" s="1079"/>
      <c r="CN4668" s="1005"/>
      <c r="CO4668" s="1005"/>
      <c r="CP4668" s="1005"/>
    </row>
    <row r="4669">
      <c r="A4669" s="1257"/>
      <c r="B4669" s="1113"/>
      <c r="C4669" s="1107"/>
      <c r="D4669" s="103"/>
      <c r="E4669" s="1137"/>
      <c r="F4669" s="112"/>
      <c r="G4669" s="1110"/>
      <c r="H4669" s="1138"/>
      <c r="I4669" s="1138"/>
      <c r="J4669" s="1139"/>
      <c r="K4669" s="1111"/>
      <c r="L4669" s="1112"/>
      <c r="M4669" s="1113"/>
      <c r="N4669" s="110"/>
      <c r="O4669" s="1140"/>
      <c r="P4669" s="1115"/>
      <c r="Q4669" s="1116"/>
      <c r="R4669" s="1141"/>
      <c r="S4669" s="1113"/>
      <c r="T4669" s="1143"/>
      <c r="U4669" s="1108"/>
      <c r="V4669" s="1108"/>
      <c r="W4669" s="1108"/>
      <c r="X4669" s="1108"/>
      <c r="Y4669" s="1108"/>
      <c r="Z4669" s="1114"/>
      <c r="AA4669" s="1114"/>
      <c r="AB4669" s="1114"/>
      <c r="AC4669" s="1117"/>
      <c r="AD4669" s="1115"/>
      <c r="AE4669" s="1115"/>
      <c r="AF4669" s="1115"/>
      <c r="AG4669" s="1115"/>
      <c r="AH4669" s="1115"/>
      <c r="AI4669" s="1115"/>
      <c r="AJ4669" s="1117"/>
      <c r="AK4669" s="1118"/>
      <c r="AL4669" s="1115"/>
      <c r="AM4669" s="1115"/>
      <c r="AN4669" s="1115"/>
      <c r="AO4669" s="1115"/>
      <c r="AP4669" s="1115"/>
      <c r="AQ4669" s="1115"/>
      <c r="AR4669" s="1115"/>
      <c r="AS4669" s="1117"/>
      <c r="AT4669" s="1075"/>
      <c r="AU4669" s="1193"/>
      <c r="AV4669" s="330"/>
      <c r="AW4669" s="331"/>
      <c r="AX4669" s="331"/>
      <c r="AY4669" s="331"/>
      <c r="AZ4669" s="331"/>
      <c r="BA4669" s="331"/>
      <c r="BB4669" s="331"/>
      <c r="BC4669" s="331"/>
      <c r="BD4669" s="331"/>
      <c r="BE4669" s="333"/>
      <c r="BF4669" s="330"/>
      <c r="BG4669" s="333"/>
      <c r="BH4669" s="1119"/>
      <c r="BI4669" s="319"/>
      <c r="BJ4669" s="319"/>
      <c r="BK4669" s="319"/>
      <c r="BL4669" s="319"/>
      <c r="BM4669" s="319"/>
      <c r="BN4669" s="319"/>
      <c r="BO4669" s="319"/>
      <c r="BP4669" s="953"/>
      <c r="BQ4669" s="319"/>
      <c r="BR4669" s="319"/>
      <c r="BS4669" s="330"/>
      <c r="BT4669" s="331"/>
      <c r="BU4669" s="920"/>
      <c r="BV4669" s="903"/>
      <c r="BW4669" s="908"/>
      <c r="BX4669" s="908"/>
      <c r="BY4669" s="331"/>
      <c r="BZ4669" s="331"/>
      <c r="CA4669" s="462"/>
      <c r="CB4669" s="319"/>
      <c r="CC4669" s="319"/>
      <c r="CD4669" s="319"/>
      <c r="CE4669" s="319"/>
      <c r="CF4669" s="319"/>
      <c r="CG4669" s="319"/>
      <c r="CH4669" s="318"/>
      <c r="CI4669" s="319"/>
      <c r="CJ4669" s="319"/>
      <c r="CK4669" s="342"/>
      <c r="CL4669" s="333"/>
      <c r="CM4669" s="1079"/>
      <c r="CN4669" s="1005"/>
      <c r="CO4669" s="1005"/>
      <c r="CP4669" s="1005"/>
    </row>
    <row r="4670">
      <c r="A4670" s="1257"/>
      <c r="B4670" s="1113"/>
      <c r="C4670" s="1107"/>
      <c r="D4670" s="103"/>
      <c r="E4670" s="1137"/>
      <c r="F4670" s="112"/>
      <c r="G4670" s="1110"/>
      <c r="H4670" s="1138"/>
      <c r="I4670" s="1138"/>
      <c r="J4670" s="1139"/>
      <c r="K4670" s="1111"/>
      <c r="L4670" s="1112"/>
      <c r="M4670" s="1113"/>
      <c r="N4670" s="110"/>
      <c r="O4670" s="1140"/>
      <c r="P4670" s="1115"/>
      <c r="Q4670" s="1116"/>
      <c r="R4670" s="1141"/>
      <c r="S4670" s="1113"/>
      <c r="T4670" s="1143"/>
      <c r="U4670" s="1108"/>
      <c r="V4670" s="1108"/>
      <c r="W4670" s="1108"/>
      <c r="X4670" s="1108"/>
      <c r="Y4670" s="1108"/>
      <c r="Z4670" s="1114"/>
      <c r="AA4670" s="1114"/>
      <c r="AB4670" s="1114"/>
      <c r="AC4670" s="1117"/>
      <c r="AD4670" s="1115"/>
      <c r="AE4670" s="1115"/>
      <c r="AF4670" s="1115"/>
      <c r="AG4670" s="1115"/>
      <c r="AH4670" s="1115"/>
      <c r="AI4670" s="1115"/>
      <c r="AJ4670" s="1117"/>
      <c r="AK4670" s="1118"/>
      <c r="AL4670" s="1115"/>
      <c r="AM4670" s="1115"/>
      <c r="AN4670" s="1115"/>
      <c r="AO4670" s="1115"/>
      <c r="AP4670" s="1115"/>
      <c r="AQ4670" s="1115"/>
      <c r="AR4670" s="1115"/>
      <c r="AS4670" s="1117"/>
      <c r="AT4670" s="1075"/>
      <c r="AU4670" s="1193"/>
      <c r="AV4670" s="330"/>
      <c r="AW4670" s="331"/>
      <c r="AX4670" s="331"/>
      <c r="AY4670" s="331"/>
      <c r="AZ4670" s="331"/>
      <c r="BA4670" s="331"/>
      <c r="BB4670" s="331"/>
      <c r="BC4670" s="331"/>
      <c r="BD4670" s="331"/>
      <c r="BE4670" s="333"/>
      <c r="BF4670" s="330"/>
      <c r="BG4670" s="333"/>
      <c r="BH4670" s="1119"/>
      <c r="BI4670" s="319"/>
      <c r="BJ4670" s="319"/>
      <c r="BK4670" s="319"/>
      <c r="BL4670" s="319"/>
      <c r="BM4670" s="319"/>
      <c r="BN4670" s="319"/>
      <c r="BO4670" s="319"/>
      <c r="BP4670" s="953"/>
      <c r="BQ4670" s="319"/>
      <c r="BR4670" s="319"/>
      <c r="BS4670" s="330"/>
      <c r="BT4670" s="331"/>
      <c r="BU4670" s="920"/>
      <c r="BV4670" s="903"/>
      <c r="BW4670" s="908"/>
      <c r="BX4670" s="908"/>
      <c r="BY4670" s="331"/>
      <c r="BZ4670" s="331"/>
      <c r="CA4670" s="462"/>
      <c r="CB4670" s="319"/>
      <c r="CC4670" s="319"/>
      <c r="CD4670" s="319"/>
      <c r="CE4670" s="319"/>
      <c r="CF4670" s="319"/>
      <c r="CG4670" s="319"/>
      <c r="CH4670" s="318"/>
      <c r="CI4670" s="319"/>
      <c r="CJ4670" s="319"/>
      <c r="CK4670" s="342"/>
      <c r="CL4670" s="333"/>
      <c r="CM4670" s="1079"/>
      <c r="CN4670" s="1005"/>
      <c r="CO4670" s="1005"/>
      <c r="CP4670" s="1005"/>
    </row>
    <row r="4671">
      <c r="A4671" s="1257"/>
      <c r="B4671" s="1113"/>
      <c r="C4671" s="1107"/>
      <c r="D4671" s="103"/>
      <c r="E4671" s="1137"/>
      <c r="F4671" s="112"/>
      <c r="G4671" s="1110"/>
      <c r="H4671" s="1138"/>
      <c r="I4671" s="1138"/>
      <c r="J4671" s="1139"/>
      <c r="K4671" s="1111"/>
      <c r="L4671" s="1112"/>
      <c r="M4671" s="1113"/>
      <c r="N4671" s="110"/>
      <c r="O4671" s="1140"/>
      <c r="P4671" s="1115"/>
      <c r="Q4671" s="1116"/>
      <c r="R4671" s="1141"/>
      <c r="S4671" s="1113"/>
      <c r="T4671" s="1143"/>
      <c r="U4671" s="1108"/>
      <c r="V4671" s="1108"/>
      <c r="W4671" s="1108"/>
      <c r="X4671" s="1108"/>
      <c r="Y4671" s="1108"/>
      <c r="Z4671" s="1114"/>
      <c r="AA4671" s="1114"/>
      <c r="AB4671" s="1114"/>
      <c r="AC4671" s="1117"/>
      <c r="AD4671" s="1115"/>
      <c r="AE4671" s="1115"/>
      <c r="AF4671" s="1115"/>
      <c r="AG4671" s="1115"/>
      <c r="AH4671" s="1115"/>
      <c r="AI4671" s="1115"/>
      <c r="AJ4671" s="1117"/>
      <c r="AK4671" s="1118"/>
      <c r="AL4671" s="1115"/>
      <c r="AM4671" s="1115"/>
      <c r="AN4671" s="1115"/>
      <c r="AO4671" s="1115"/>
      <c r="AP4671" s="1115"/>
      <c r="AQ4671" s="1115"/>
      <c r="AR4671" s="1115"/>
      <c r="AS4671" s="1117"/>
      <c r="AT4671" s="1075"/>
      <c r="AU4671" s="1193"/>
      <c r="AV4671" s="330"/>
      <c r="AW4671" s="331"/>
      <c r="AX4671" s="331"/>
      <c r="AY4671" s="331"/>
      <c r="AZ4671" s="331"/>
      <c r="BA4671" s="331"/>
      <c r="BB4671" s="331"/>
      <c r="BC4671" s="331"/>
      <c r="BD4671" s="331"/>
      <c r="BE4671" s="333"/>
      <c r="BF4671" s="330"/>
      <c r="BG4671" s="333"/>
      <c r="BH4671" s="1119"/>
      <c r="BI4671" s="319"/>
      <c r="BJ4671" s="319"/>
      <c r="BK4671" s="319"/>
      <c r="BL4671" s="319"/>
      <c r="BM4671" s="319"/>
      <c r="BN4671" s="319"/>
      <c r="BO4671" s="319"/>
      <c r="BP4671" s="953"/>
      <c r="BQ4671" s="319"/>
      <c r="BR4671" s="319"/>
      <c r="BS4671" s="330"/>
      <c r="BT4671" s="331"/>
      <c r="BU4671" s="920"/>
      <c r="BV4671" s="903"/>
      <c r="BW4671" s="908"/>
      <c r="BX4671" s="908"/>
      <c r="BY4671" s="331"/>
      <c r="BZ4671" s="331"/>
      <c r="CA4671" s="462"/>
      <c r="CB4671" s="319"/>
      <c r="CC4671" s="319"/>
      <c r="CD4671" s="319"/>
      <c r="CE4671" s="319"/>
      <c r="CF4671" s="319"/>
      <c r="CG4671" s="319"/>
      <c r="CH4671" s="318"/>
      <c r="CI4671" s="319"/>
      <c r="CJ4671" s="319"/>
      <c r="CK4671" s="342"/>
      <c r="CL4671" s="333"/>
      <c r="CM4671" s="1079"/>
      <c r="CN4671" s="1005"/>
      <c r="CO4671" s="1005"/>
      <c r="CP4671" s="1005"/>
    </row>
    <row r="4672">
      <c r="A4672" s="1257"/>
      <c r="B4672" s="1113"/>
      <c r="C4672" s="1107"/>
      <c r="D4672" s="103"/>
      <c r="E4672" s="1137"/>
      <c r="F4672" s="112"/>
      <c r="G4672" s="1110"/>
      <c r="H4672" s="1138"/>
      <c r="I4672" s="1138"/>
      <c r="J4672" s="1139"/>
      <c r="K4672" s="1111"/>
      <c r="L4672" s="1112"/>
      <c r="M4672" s="1113"/>
      <c r="N4672" s="110"/>
      <c r="O4672" s="1140"/>
      <c r="P4672" s="1115"/>
      <c r="Q4672" s="1116"/>
      <c r="R4672" s="1141"/>
      <c r="S4672" s="1113"/>
      <c r="T4672" s="1143"/>
      <c r="U4672" s="1108"/>
      <c r="V4672" s="1108"/>
      <c r="W4672" s="1108"/>
      <c r="X4672" s="1108"/>
      <c r="Y4672" s="1108"/>
      <c r="Z4672" s="1114"/>
      <c r="AA4672" s="1114"/>
      <c r="AB4672" s="1114"/>
      <c r="AC4672" s="1117"/>
      <c r="AD4672" s="1115"/>
      <c r="AE4672" s="1115"/>
      <c r="AF4672" s="1115"/>
      <c r="AG4672" s="1115"/>
      <c r="AH4672" s="1115"/>
      <c r="AI4672" s="1115"/>
      <c r="AJ4672" s="1117"/>
      <c r="AK4672" s="1118"/>
      <c r="AL4672" s="1115"/>
      <c r="AM4672" s="1115"/>
      <c r="AN4672" s="1115"/>
      <c r="AO4672" s="1115"/>
      <c r="AP4672" s="1115"/>
      <c r="AQ4672" s="1115"/>
      <c r="AR4672" s="1115"/>
      <c r="AS4672" s="1117"/>
      <c r="AT4672" s="1075"/>
      <c r="AU4672" s="1193"/>
      <c r="AV4672" s="330"/>
      <c r="AW4672" s="331"/>
      <c r="AX4672" s="331"/>
      <c r="AY4672" s="331"/>
      <c r="AZ4672" s="331"/>
      <c r="BA4672" s="331"/>
      <c r="BB4672" s="331"/>
      <c r="BC4672" s="331"/>
      <c r="BD4672" s="331"/>
      <c r="BE4672" s="333"/>
      <c r="BF4672" s="330"/>
      <c r="BG4672" s="333"/>
      <c r="BH4672" s="1119"/>
      <c r="BI4672" s="319"/>
      <c r="BJ4672" s="319"/>
      <c r="BK4672" s="319"/>
      <c r="BL4672" s="319"/>
      <c r="BM4672" s="319"/>
      <c r="BN4672" s="319"/>
      <c r="BO4672" s="319"/>
      <c r="BP4672" s="953"/>
      <c r="BQ4672" s="319"/>
      <c r="BR4672" s="319"/>
      <c r="BS4672" s="330"/>
      <c r="BT4672" s="331"/>
      <c r="BU4672" s="920"/>
      <c r="BV4672" s="903"/>
      <c r="BW4672" s="908"/>
      <c r="BX4672" s="908"/>
      <c r="BY4672" s="331"/>
      <c r="BZ4672" s="331"/>
      <c r="CA4672" s="462"/>
      <c r="CB4672" s="319"/>
      <c r="CC4672" s="319"/>
      <c r="CD4672" s="319"/>
      <c r="CE4672" s="319"/>
      <c r="CF4672" s="319"/>
      <c r="CG4672" s="319"/>
      <c r="CH4672" s="318"/>
      <c r="CI4672" s="319"/>
      <c r="CJ4672" s="319"/>
      <c r="CK4672" s="342"/>
      <c r="CL4672" s="333"/>
      <c r="CM4672" s="1079"/>
      <c r="CN4672" s="1005"/>
      <c r="CO4672" s="1005"/>
      <c r="CP4672" s="1005"/>
    </row>
    <row r="4673">
      <c r="A4673" s="1257"/>
      <c r="B4673" s="1113"/>
      <c r="C4673" s="1107"/>
      <c r="D4673" s="103"/>
      <c r="E4673" s="1137"/>
      <c r="F4673" s="112"/>
      <c r="G4673" s="1110"/>
      <c r="H4673" s="1138"/>
      <c r="I4673" s="1138"/>
      <c r="J4673" s="1139"/>
      <c r="K4673" s="1111"/>
      <c r="L4673" s="1112"/>
      <c r="M4673" s="1113"/>
      <c r="N4673" s="110"/>
      <c r="O4673" s="1140"/>
      <c r="P4673" s="1115"/>
      <c r="Q4673" s="1116"/>
      <c r="R4673" s="1141"/>
      <c r="S4673" s="1113"/>
      <c r="T4673" s="1143"/>
      <c r="U4673" s="1108"/>
      <c r="V4673" s="1108"/>
      <c r="W4673" s="1108"/>
      <c r="X4673" s="1108"/>
      <c r="Y4673" s="1108"/>
      <c r="Z4673" s="1114"/>
      <c r="AA4673" s="1114"/>
      <c r="AB4673" s="1114"/>
      <c r="AC4673" s="1117"/>
      <c r="AD4673" s="1115"/>
      <c r="AE4673" s="1115"/>
      <c r="AF4673" s="1115"/>
      <c r="AG4673" s="1115"/>
      <c r="AH4673" s="1115"/>
      <c r="AI4673" s="1115"/>
      <c r="AJ4673" s="1117"/>
      <c r="AK4673" s="1118"/>
      <c r="AL4673" s="1115"/>
      <c r="AM4673" s="1115"/>
      <c r="AN4673" s="1115"/>
      <c r="AO4673" s="1115"/>
      <c r="AP4673" s="1115"/>
      <c r="AQ4673" s="1115"/>
      <c r="AR4673" s="1115"/>
      <c r="AS4673" s="1117"/>
      <c r="AT4673" s="1075"/>
      <c r="AU4673" s="1193"/>
      <c r="AV4673" s="330"/>
      <c r="AW4673" s="331"/>
      <c r="AX4673" s="331"/>
      <c r="AY4673" s="331"/>
      <c r="AZ4673" s="331"/>
      <c r="BA4673" s="331"/>
      <c r="BB4673" s="331"/>
      <c r="BC4673" s="331"/>
      <c r="BD4673" s="331"/>
      <c r="BE4673" s="333"/>
      <c r="BF4673" s="330"/>
      <c r="BG4673" s="333"/>
      <c r="BH4673" s="1119"/>
      <c r="BI4673" s="319"/>
      <c r="BJ4673" s="319"/>
      <c r="BK4673" s="319"/>
      <c r="BL4673" s="319"/>
      <c r="BM4673" s="319"/>
      <c r="BN4673" s="319"/>
      <c r="BO4673" s="319"/>
      <c r="BP4673" s="953"/>
      <c r="BQ4673" s="319"/>
      <c r="BR4673" s="319"/>
      <c r="BS4673" s="330"/>
      <c r="BT4673" s="331"/>
      <c r="BU4673" s="920"/>
      <c r="BV4673" s="903"/>
      <c r="BW4673" s="908"/>
      <c r="BX4673" s="908"/>
      <c r="BY4673" s="331"/>
      <c r="BZ4673" s="331"/>
      <c r="CA4673" s="462"/>
      <c r="CB4673" s="319"/>
      <c r="CC4673" s="319"/>
      <c r="CD4673" s="319"/>
      <c r="CE4673" s="319"/>
      <c r="CF4673" s="319"/>
      <c r="CG4673" s="319"/>
      <c r="CH4673" s="318"/>
      <c r="CI4673" s="319"/>
      <c r="CJ4673" s="319"/>
      <c r="CK4673" s="342"/>
      <c r="CL4673" s="333"/>
      <c r="CM4673" s="1079"/>
      <c r="CN4673" s="1005"/>
      <c r="CO4673" s="1005"/>
      <c r="CP4673" s="1005"/>
    </row>
    <row r="4674">
      <c r="A4674" s="1257"/>
      <c r="B4674" s="1113"/>
      <c r="C4674" s="1107"/>
      <c r="D4674" s="103"/>
      <c r="E4674" s="1137"/>
      <c r="F4674" s="112"/>
      <c r="G4674" s="1110"/>
      <c r="H4674" s="1138"/>
      <c r="I4674" s="1138"/>
      <c r="J4674" s="1139"/>
      <c r="K4674" s="1111"/>
      <c r="L4674" s="1112"/>
      <c r="M4674" s="1113"/>
      <c r="N4674" s="110"/>
      <c r="O4674" s="1140"/>
      <c r="P4674" s="1115"/>
      <c r="Q4674" s="1116"/>
      <c r="R4674" s="1141"/>
      <c r="S4674" s="1113"/>
      <c r="T4674" s="1143"/>
      <c r="U4674" s="1108"/>
      <c r="V4674" s="1108"/>
      <c r="W4674" s="1108"/>
      <c r="X4674" s="1108"/>
      <c r="Y4674" s="1108"/>
      <c r="Z4674" s="1114"/>
      <c r="AA4674" s="1114"/>
      <c r="AB4674" s="1114"/>
      <c r="AC4674" s="1117"/>
      <c r="AD4674" s="1115"/>
      <c r="AE4674" s="1115"/>
      <c r="AF4674" s="1115"/>
      <c r="AG4674" s="1115"/>
      <c r="AH4674" s="1115"/>
      <c r="AI4674" s="1115"/>
      <c r="AJ4674" s="1117"/>
      <c r="AK4674" s="1118"/>
      <c r="AL4674" s="1115"/>
      <c r="AM4674" s="1115"/>
      <c r="AN4674" s="1115"/>
      <c r="AO4674" s="1115"/>
      <c r="AP4674" s="1115"/>
      <c r="AQ4674" s="1115"/>
      <c r="AR4674" s="1115"/>
      <c r="AS4674" s="1117"/>
      <c r="AT4674" s="1075"/>
      <c r="AU4674" s="1193"/>
      <c r="AV4674" s="330"/>
      <c r="AW4674" s="331"/>
      <c r="AX4674" s="331"/>
      <c r="AY4674" s="331"/>
      <c r="AZ4674" s="331"/>
      <c r="BA4674" s="331"/>
      <c r="BB4674" s="331"/>
      <c r="BC4674" s="331"/>
      <c r="BD4674" s="331"/>
      <c r="BE4674" s="333"/>
      <c r="BF4674" s="330"/>
      <c r="BG4674" s="333"/>
      <c r="BH4674" s="1119"/>
      <c r="BI4674" s="319"/>
      <c r="BJ4674" s="319"/>
      <c r="BK4674" s="319"/>
      <c r="BL4674" s="319"/>
      <c r="BM4674" s="319"/>
      <c r="BN4674" s="319"/>
      <c r="BO4674" s="319"/>
      <c r="BP4674" s="953"/>
      <c r="BQ4674" s="319"/>
      <c r="BR4674" s="319"/>
      <c r="BS4674" s="330"/>
      <c r="BT4674" s="331"/>
      <c r="BU4674" s="920"/>
      <c r="BV4674" s="903"/>
      <c r="BW4674" s="908"/>
      <c r="BX4674" s="908"/>
      <c r="BY4674" s="331"/>
      <c r="BZ4674" s="331"/>
      <c r="CA4674" s="462"/>
      <c r="CB4674" s="319"/>
      <c r="CC4674" s="319"/>
      <c r="CD4674" s="319"/>
      <c r="CE4674" s="319"/>
      <c r="CF4674" s="319"/>
      <c r="CG4674" s="319"/>
      <c r="CH4674" s="318"/>
      <c r="CI4674" s="319"/>
      <c r="CJ4674" s="319"/>
      <c r="CK4674" s="342"/>
      <c r="CL4674" s="333"/>
      <c r="CM4674" s="1079"/>
      <c r="CN4674" s="1005"/>
      <c r="CO4674" s="1005"/>
      <c r="CP4674" s="1005"/>
    </row>
    <row r="4675">
      <c r="A4675" s="1257"/>
      <c r="B4675" s="1113"/>
      <c r="C4675" s="1107"/>
      <c r="D4675" s="103"/>
      <c r="E4675" s="1137"/>
      <c r="F4675" s="112"/>
      <c r="G4675" s="1110"/>
      <c r="H4675" s="1138"/>
      <c r="I4675" s="1138"/>
      <c r="J4675" s="1139"/>
      <c r="K4675" s="1111"/>
      <c r="L4675" s="1112"/>
      <c r="M4675" s="1113"/>
      <c r="N4675" s="110"/>
      <c r="O4675" s="1140"/>
      <c r="P4675" s="1115"/>
      <c r="Q4675" s="1116"/>
      <c r="R4675" s="1141"/>
      <c r="S4675" s="1113"/>
      <c r="T4675" s="1143"/>
      <c r="U4675" s="1108"/>
      <c r="V4675" s="1108"/>
      <c r="W4675" s="1108"/>
      <c r="X4675" s="1108"/>
      <c r="Y4675" s="1108"/>
      <c r="Z4675" s="1114"/>
      <c r="AA4675" s="1114"/>
      <c r="AB4675" s="1114"/>
      <c r="AC4675" s="1117"/>
      <c r="AD4675" s="1115"/>
      <c r="AE4675" s="1115"/>
      <c r="AF4675" s="1115"/>
      <c r="AG4675" s="1115"/>
      <c r="AH4675" s="1115"/>
      <c r="AI4675" s="1115"/>
      <c r="AJ4675" s="1117"/>
      <c r="AK4675" s="1118"/>
      <c r="AL4675" s="1115"/>
      <c r="AM4675" s="1115"/>
      <c r="AN4675" s="1115"/>
      <c r="AO4675" s="1115"/>
      <c r="AP4675" s="1115"/>
      <c r="AQ4675" s="1115"/>
      <c r="AR4675" s="1115"/>
      <c r="AS4675" s="1117"/>
      <c r="AT4675" s="1075"/>
      <c r="AU4675" s="1193"/>
      <c r="AV4675" s="330"/>
      <c r="AW4675" s="331"/>
      <c r="AX4675" s="331"/>
      <c r="AY4675" s="331"/>
      <c r="AZ4675" s="331"/>
      <c r="BA4675" s="331"/>
      <c r="BB4675" s="331"/>
      <c r="BC4675" s="331"/>
      <c r="BD4675" s="331"/>
      <c r="BE4675" s="333"/>
      <c r="BF4675" s="330"/>
      <c r="BG4675" s="333"/>
      <c r="BH4675" s="1119"/>
      <c r="BI4675" s="319"/>
      <c r="BJ4675" s="319"/>
      <c r="BK4675" s="319"/>
      <c r="BL4675" s="319"/>
      <c r="BM4675" s="319"/>
      <c r="BN4675" s="319"/>
      <c r="BO4675" s="319"/>
      <c r="BP4675" s="953"/>
      <c r="BQ4675" s="319"/>
      <c r="BR4675" s="319"/>
      <c r="BS4675" s="330"/>
      <c r="BT4675" s="331"/>
      <c r="BU4675" s="920"/>
      <c r="BV4675" s="903"/>
      <c r="BW4675" s="908"/>
      <c r="BX4675" s="908"/>
      <c r="BY4675" s="331"/>
      <c r="BZ4675" s="331"/>
      <c r="CA4675" s="462"/>
      <c r="CB4675" s="319"/>
      <c r="CC4675" s="319"/>
      <c r="CD4675" s="319"/>
      <c r="CE4675" s="319"/>
      <c r="CF4675" s="319"/>
      <c r="CG4675" s="319"/>
      <c r="CH4675" s="318"/>
      <c r="CI4675" s="319"/>
      <c r="CJ4675" s="319"/>
      <c r="CK4675" s="342"/>
      <c r="CL4675" s="333"/>
      <c r="CM4675" s="1079"/>
      <c r="CN4675" s="1005"/>
      <c r="CO4675" s="1005"/>
      <c r="CP4675" s="1005"/>
    </row>
    <row r="4676">
      <c r="A4676" s="1257"/>
      <c r="B4676" s="1113"/>
      <c r="C4676" s="1107"/>
      <c r="D4676" s="103"/>
      <c r="E4676" s="1137"/>
      <c r="F4676" s="112"/>
      <c r="G4676" s="1110"/>
      <c r="H4676" s="1138"/>
      <c r="I4676" s="1138"/>
      <c r="J4676" s="1139"/>
      <c r="K4676" s="1111"/>
      <c r="L4676" s="1112"/>
      <c r="M4676" s="1113"/>
      <c r="N4676" s="110"/>
      <c r="O4676" s="1140"/>
      <c r="P4676" s="1115"/>
      <c r="Q4676" s="1116"/>
      <c r="R4676" s="1141"/>
      <c r="S4676" s="1113"/>
      <c r="T4676" s="1143"/>
      <c r="U4676" s="1108"/>
      <c r="V4676" s="1108"/>
      <c r="W4676" s="1108"/>
      <c r="X4676" s="1108"/>
      <c r="Y4676" s="1108"/>
      <c r="Z4676" s="1114"/>
      <c r="AA4676" s="1114"/>
      <c r="AB4676" s="1114"/>
      <c r="AC4676" s="1117"/>
      <c r="AD4676" s="1115"/>
      <c r="AE4676" s="1115"/>
      <c r="AF4676" s="1115"/>
      <c r="AG4676" s="1115"/>
      <c r="AH4676" s="1115"/>
      <c r="AI4676" s="1115"/>
      <c r="AJ4676" s="1117"/>
      <c r="AK4676" s="1118"/>
      <c r="AL4676" s="1115"/>
      <c r="AM4676" s="1115"/>
      <c r="AN4676" s="1115"/>
      <c r="AO4676" s="1115"/>
      <c r="AP4676" s="1115"/>
      <c r="AQ4676" s="1115"/>
      <c r="AR4676" s="1115"/>
      <c r="AS4676" s="1117"/>
      <c r="AT4676" s="1075"/>
      <c r="AU4676" s="1193"/>
      <c r="AV4676" s="330"/>
      <c r="AW4676" s="331"/>
      <c r="AX4676" s="331"/>
      <c r="AY4676" s="331"/>
      <c r="AZ4676" s="331"/>
      <c r="BA4676" s="331"/>
      <c r="BB4676" s="331"/>
      <c r="BC4676" s="331"/>
      <c r="BD4676" s="331"/>
      <c r="BE4676" s="333"/>
      <c r="BF4676" s="330"/>
      <c r="BG4676" s="333"/>
      <c r="BH4676" s="1119"/>
      <c r="BI4676" s="319"/>
      <c r="BJ4676" s="319"/>
      <c r="BK4676" s="319"/>
      <c r="BL4676" s="319"/>
      <c r="BM4676" s="319"/>
      <c r="BN4676" s="319"/>
      <c r="BO4676" s="319"/>
      <c r="BP4676" s="953"/>
      <c r="BQ4676" s="319"/>
      <c r="BR4676" s="319"/>
      <c r="BS4676" s="330"/>
      <c r="BT4676" s="331"/>
      <c r="BU4676" s="920"/>
      <c r="BV4676" s="903"/>
      <c r="BW4676" s="908"/>
      <c r="BX4676" s="908"/>
      <c r="BY4676" s="331"/>
      <c r="BZ4676" s="331"/>
      <c r="CA4676" s="462"/>
      <c r="CB4676" s="319"/>
      <c r="CC4676" s="319"/>
      <c r="CD4676" s="319"/>
      <c r="CE4676" s="319"/>
      <c r="CF4676" s="319"/>
      <c r="CG4676" s="319"/>
      <c r="CH4676" s="318"/>
      <c r="CI4676" s="319"/>
      <c r="CJ4676" s="319"/>
      <c r="CK4676" s="342"/>
      <c r="CL4676" s="333"/>
      <c r="CM4676" s="1079"/>
      <c r="CN4676" s="1005"/>
      <c r="CO4676" s="1005"/>
      <c r="CP4676" s="1005"/>
    </row>
    <row r="4677">
      <c r="A4677" s="1257"/>
      <c r="B4677" s="1113"/>
      <c r="C4677" s="1107"/>
      <c r="D4677" s="103"/>
      <c r="E4677" s="1137"/>
      <c r="F4677" s="112"/>
      <c r="G4677" s="1110"/>
      <c r="H4677" s="1138"/>
      <c r="I4677" s="1138"/>
      <c r="J4677" s="1139"/>
      <c r="K4677" s="1111"/>
      <c r="L4677" s="1112"/>
      <c r="M4677" s="1113"/>
      <c r="N4677" s="110"/>
      <c r="O4677" s="1140"/>
      <c r="P4677" s="1115"/>
      <c r="Q4677" s="1116"/>
      <c r="R4677" s="1141"/>
      <c r="S4677" s="1113"/>
      <c r="T4677" s="1143"/>
      <c r="U4677" s="1108"/>
      <c r="V4677" s="1108"/>
      <c r="W4677" s="1108"/>
      <c r="X4677" s="1108"/>
      <c r="Y4677" s="1108"/>
      <c r="Z4677" s="1114"/>
      <c r="AA4677" s="1114"/>
      <c r="AB4677" s="1114"/>
      <c r="AC4677" s="1117"/>
      <c r="AD4677" s="1115"/>
      <c r="AE4677" s="1115"/>
      <c r="AF4677" s="1115"/>
      <c r="AG4677" s="1115"/>
      <c r="AH4677" s="1115"/>
      <c r="AI4677" s="1115"/>
      <c r="AJ4677" s="1117"/>
      <c r="AK4677" s="1118"/>
      <c r="AL4677" s="1115"/>
      <c r="AM4677" s="1115"/>
      <c r="AN4677" s="1115"/>
      <c r="AO4677" s="1115"/>
      <c r="AP4677" s="1115"/>
      <c r="AQ4677" s="1115"/>
      <c r="AR4677" s="1115"/>
      <c r="AS4677" s="1117"/>
      <c r="AT4677" s="1075"/>
      <c r="AU4677" s="1193"/>
      <c r="AV4677" s="330"/>
      <c r="AW4677" s="331"/>
      <c r="AX4677" s="331"/>
      <c r="AY4677" s="331"/>
      <c r="AZ4677" s="331"/>
      <c r="BA4677" s="331"/>
      <c r="BB4677" s="331"/>
      <c r="BC4677" s="331"/>
      <c r="BD4677" s="331"/>
      <c r="BE4677" s="333"/>
      <c r="BF4677" s="330"/>
      <c r="BG4677" s="333"/>
      <c r="BH4677" s="1119"/>
      <c r="BI4677" s="319"/>
      <c r="BJ4677" s="319"/>
      <c r="BK4677" s="319"/>
      <c r="BL4677" s="319"/>
      <c r="BM4677" s="319"/>
      <c r="BN4677" s="319"/>
      <c r="BO4677" s="319"/>
      <c r="BP4677" s="953"/>
      <c r="BQ4677" s="319"/>
      <c r="BR4677" s="319"/>
      <c r="BS4677" s="330"/>
      <c r="BT4677" s="331"/>
      <c r="BU4677" s="920"/>
      <c r="BV4677" s="903"/>
      <c r="BW4677" s="908"/>
      <c r="BX4677" s="908"/>
      <c r="BY4677" s="331"/>
      <c r="BZ4677" s="331"/>
      <c r="CA4677" s="462"/>
      <c r="CB4677" s="319"/>
      <c r="CC4677" s="319"/>
      <c r="CD4677" s="319"/>
      <c r="CE4677" s="319"/>
      <c r="CF4677" s="319"/>
      <c r="CG4677" s="319"/>
      <c r="CH4677" s="318"/>
      <c r="CI4677" s="319"/>
      <c r="CJ4677" s="319"/>
      <c r="CK4677" s="342"/>
      <c r="CL4677" s="333"/>
      <c r="CM4677" s="1079"/>
      <c r="CN4677" s="1005"/>
      <c r="CO4677" s="1005"/>
      <c r="CP4677" s="1005"/>
    </row>
    <row r="4678">
      <c r="A4678" s="1257"/>
      <c r="B4678" s="1113"/>
      <c r="C4678" s="1107"/>
      <c r="D4678" s="103"/>
      <c r="E4678" s="1137"/>
      <c r="F4678" s="112"/>
      <c r="G4678" s="1110"/>
      <c r="H4678" s="1138"/>
      <c r="I4678" s="1138"/>
      <c r="J4678" s="1139"/>
      <c r="K4678" s="1111"/>
      <c r="L4678" s="1112"/>
      <c r="M4678" s="1113"/>
      <c r="N4678" s="110"/>
      <c r="O4678" s="1140"/>
      <c r="P4678" s="1115"/>
      <c r="Q4678" s="1116"/>
      <c r="R4678" s="1141"/>
      <c r="S4678" s="1113"/>
      <c r="T4678" s="1143"/>
      <c r="U4678" s="1108"/>
      <c r="V4678" s="1108"/>
      <c r="W4678" s="1108"/>
      <c r="X4678" s="1108"/>
      <c r="Y4678" s="1108"/>
      <c r="Z4678" s="1114"/>
      <c r="AA4678" s="1114"/>
      <c r="AB4678" s="1114"/>
      <c r="AC4678" s="1117"/>
      <c r="AD4678" s="1115"/>
      <c r="AE4678" s="1115"/>
      <c r="AF4678" s="1115"/>
      <c r="AG4678" s="1115"/>
      <c r="AH4678" s="1115"/>
      <c r="AI4678" s="1115"/>
      <c r="AJ4678" s="1117"/>
      <c r="AK4678" s="1118"/>
      <c r="AL4678" s="1115"/>
      <c r="AM4678" s="1115"/>
      <c r="AN4678" s="1115"/>
      <c r="AO4678" s="1115"/>
      <c r="AP4678" s="1115"/>
      <c r="AQ4678" s="1115"/>
      <c r="AR4678" s="1115"/>
      <c r="AS4678" s="1117"/>
      <c r="AT4678" s="1075"/>
      <c r="AU4678" s="1193"/>
      <c r="AV4678" s="330"/>
      <c r="AW4678" s="331"/>
      <c r="AX4678" s="331"/>
      <c r="AY4678" s="331"/>
      <c r="AZ4678" s="331"/>
      <c r="BA4678" s="331"/>
      <c r="BB4678" s="331"/>
      <c r="BC4678" s="331"/>
      <c r="BD4678" s="331"/>
      <c r="BE4678" s="333"/>
      <c r="BF4678" s="330"/>
      <c r="BG4678" s="333"/>
      <c r="BH4678" s="1119"/>
      <c r="BI4678" s="319"/>
      <c r="BJ4678" s="319"/>
      <c r="BK4678" s="319"/>
      <c r="BL4678" s="319"/>
      <c r="BM4678" s="319"/>
      <c r="BN4678" s="319"/>
      <c r="BO4678" s="319"/>
      <c r="BP4678" s="953"/>
      <c r="BQ4678" s="319"/>
      <c r="BR4678" s="319"/>
      <c r="BS4678" s="330"/>
      <c r="BT4678" s="331"/>
      <c r="BU4678" s="920"/>
      <c r="BV4678" s="903"/>
      <c r="BW4678" s="908"/>
      <c r="BX4678" s="908"/>
      <c r="BY4678" s="331"/>
      <c r="BZ4678" s="331"/>
      <c r="CA4678" s="462"/>
      <c r="CB4678" s="319"/>
      <c r="CC4678" s="319"/>
      <c r="CD4678" s="319"/>
      <c r="CE4678" s="319"/>
      <c r="CF4678" s="319"/>
      <c r="CG4678" s="319"/>
      <c r="CH4678" s="318"/>
      <c r="CI4678" s="319"/>
      <c r="CJ4678" s="319"/>
      <c r="CK4678" s="342"/>
      <c r="CL4678" s="333"/>
      <c r="CM4678" s="1079"/>
      <c r="CN4678" s="1005"/>
      <c r="CO4678" s="1005"/>
      <c r="CP4678" s="1005"/>
    </row>
    <row r="4679">
      <c r="A4679" s="1257"/>
      <c r="B4679" s="1113"/>
      <c r="C4679" s="1107"/>
      <c r="D4679" s="103"/>
      <c r="E4679" s="1137"/>
      <c r="F4679" s="112"/>
      <c r="G4679" s="1110"/>
      <c r="H4679" s="1138"/>
      <c r="I4679" s="1138"/>
      <c r="J4679" s="1139"/>
      <c r="K4679" s="1111"/>
      <c r="L4679" s="1112"/>
      <c r="M4679" s="1113"/>
      <c r="N4679" s="110"/>
      <c r="O4679" s="1140"/>
      <c r="P4679" s="1115"/>
      <c r="Q4679" s="1116"/>
      <c r="R4679" s="1141"/>
      <c r="S4679" s="1113"/>
      <c r="T4679" s="1143"/>
      <c r="U4679" s="1108"/>
      <c r="V4679" s="1108"/>
      <c r="W4679" s="1108"/>
      <c r="X4679" s="1108"/>
      <c r="Y4679" s="1108"/>
      <c r="Z4679" s="1114"/>
      <c r="AA4679" s="1114"/>
      <c r="AB4679" s="1114"/>
      <c r="AC4679" s="1117"/>
      <c r="AD4679" s="1115"/>
      <c r="AE4679" s="1115"/>
      <c r="AF4679" s="1115"/>
      <c r="AG4679" s="1115"/>
      <c r="AH4679" s="1115"/>
      <c r="AI4679" s="1115"/>
      <c r="AJ4679" s="1117"/>
      <c r="AK4679" s="1118"/>
      <c r="AL4679" s="1115"/>
      <c r="AM4679" s="1115"/>
      <c r="AN4679" s="1115"/>
      <c r="AO4679" s="1115"/>
      <c r="AP4679" s="1115"/>
      <c r="AQ4679" s="1115"/>
      <c r="AR4679" s="1115"/>
      <c r="AS4679" s="1117"/>
      <c r="AT4679" s="1075"/>
      <c r="AU4679" s="1193"/>
      <c r="AV4679" s="330"/>
      <c r="AW4679" s="331"/>
      <c r="AX4679" s="331"/>
      <c r="AY4679" s="331"/>
      <c r="AZ4679" s="331"/>
      <c r="BA4679" s="331"/>
      <c r="BB4679" s="331"/>
      <c r="BC4679" s="331"/>
      <c r="BD4679" s="331"/>
      <c r="BE4679" s="333"/>
      <c r="BF4679" s="330"/>
      <c r="BG4679" s="333"/>
      <c r="BH4679" s="1119"/>
      <c r="BI4679" s="319"/>
      <c r="BJ4679" s="319"/>
      <c r="BK4679" s="319"/>
      <c r="BL4679" s="319"/>
      <c r="BM4679" s="319"/>
      <c r="BN4679" s="319"/>
      <c r="BO4679" s="319"/>
      <c r="BP4679" s="953"/>
      <c r="BQ4679" s="319"/>
      <c r="BR4679" s="319"/>
      <c r="BS4679" s="330"/>
      <c r="BT4679" s="331"/>
      <c r="BU4679" s="920"/>
      <c r="BV4679" s="903"/>
      <c r="BW4679" s="908"/>
      <c r="BX4679" s="908"/>
      <c r="BY4679" s="331"/>
      <c r="BZ4679" s="331"/>
      <c r="CA4679" s="462"/>
      <c r="CB4679" s="319"/>
      <c r="CC4679" s="319"/>
      <c r="CD4679" s="319"/>
      <c r="CE4679" s="319"/>
      <c r="CF4679" s="319"/>
      <c r="CG4679" s="319"/>
      <c r="CH4679" s="318"/>
      <c r="CI4679" s="319"/>
      <c r="CJ4679" s="319"/>
      <c r="CK4679" s="342"/>
      <c r="CL4679" s="333"/>
      <c r="CM4679" s="1079"/>
      <c r="CN4679" s="1005"/>
      <c r="CO4679" s="1005"/>
      <c r="CP4679" s="1005"/>
    </row>
    <row r="4680">
      <c r="A4680" s="1257"/>
      <c r="B4680" s="1113"/>
      <c r="C4680" s="1107"/>
      <c r="D4680" s="103"/>
      <c r="E4680" s="1137"/>
      <c r="F4680" s="112"/>
      <c r="G4680" s="1110"/>
      <c r="H4680" s="1138"/>
      <c r="I4680" s="1138"/>
      <c r="J4680" s="1139"/>
      <c r="K4680" s="1111"/>
      <c r="L4680" s="1112"/>
      <c r="M4680" s="1113"/>
      <c r="N4680" s="110"/>
      <c r="O4680" s="1140"/>
      <c r="P4680" s="1115"/>
      <c r="Q4680" s="1116"/>
      <c r="R4680" s="1141"/>
      <c r="S4680" s="1113"/>
      <c r="T4680" s="1143"/>
      <c r="U4680" s="1108"/>
      <c r="V4680" s="1108"/>
      <c r="W4680" s="1108"/>
      <c r="X4680" s="1108"/>
      <c r="Y4680" s="1108"/>
      <c r="Z4680" s="1114"/>
      <c r="AA4680" s="1114"/>
      <c r="AB4680" s="1114"/>
      <c r="AC4680" s="1117"/>
      <c r="AD4680" s="1115"/>
      <c r="AE4680" s="1115"/>
      <c r="AF4680" s="1115"/>
      <c r="AG4680" s="1115"/>
      <c r="AH4680" s="1115"/>
      <c r="AI4680" s="1115"/>
      <c r="AJ4680" s="1117"/>
      <c r="AK4680" s="1118"/>
      <c r="AL4680" s="1115"/>
      <c r="AM4680" s="1115"/>
      <c r="AN4680" s="1115"/>
      <c r="AO4680" s="1115"/>
      <c r="AP4680" s="1115"/>
      <c r="AQ4680" s="1115"/>
      <c r="AR4680" s="1115"/>
      <c r="AS4680" s="1117"/>
      <c r="AT4680" s="1075"/>
      <c r="AU4680" s="1193"/>
      <c r="AV4680" s="330"/>
      <c r="AW4680" s="331"/>
      <c r="AX4680" s="331"/>
      <c r="AY4680" s="331"/>
      <c r="AZ4680" s="331"/>
      <c r="BA4680" s="331"/>
      <c r="BB4680" s="331"/>
      <c r="BC4680" s="331"/>
      <c r="BD4680" s="331"/>
      <c r="BE4680" s="333"/>
      <c r="BF4680" s="330"/>
      <c r="BG4680" s="333"/>
      <c r="BH4680" s="1119"/>
      <c r="BI4680" s="319"/>
      <c r="BJ4680" s="319"/>
      <c r="BK4680" s="319"/>
      <c r="BL4680" s="319"/>
      <c r="BM4680" s="319"/>
      <c r="BN4680" s="319"/>
      <c r="BO4680" s="319"/>
      <c r="BP4680" s="953"/>
      <c r="BQ4680" s="319"/>
      <c r="BR4680" s="319"/>
      <c r="BS4680" s="330"/>
      <c r="BT4680" s="331"/>
      <c r="BU4680" s="920"/>
      <c r="BV4680" s="903"/>
      <c r="BW4680" s="908"/>
      <c r="BX4680" s="908"/>
      <c r="BY4680" s="331"/>
      <c r="BZ4680" s="331"/>
      <c r="CA4680" s="462"/>
      <c r="CB4680" s="319"/>
      <c r="CC4680" s="319"/>
      <c r="CD4680" s="319"/>
      <c r="CE4680" s="319"/>
      <c r="CF4680" s="319"/>
      <c r="CG4680" s="319"/>
      <c r="CH4680" s="318"/>
      <c r="CI4680" s="319"/>
      <c r="CJ4680" s="319"/>
      <c r="CK4680" s="342"/>
      <c r="CL4680" s="333"/>
      <c r="CM4680" s="1079"/>
      <c r="CN4680" s="1005"/>
      <c r="CO4680" s="1005"/>
      <c r="CP4680" s="1005"/>
    </row>
    <row r="4681">
      <c r="A4681" s="1257"/>
      <c r="B4681" s="1113"/>
      <c r="C4681" s="1107"/>
      <c r="D4681" s="103"/>
      <c r="E4681" s="1137"/>
      <c r="F4681" s="112"/>
      <c r="G4681" s="1110"/>
      <c r="H4681" s="1138"/>
      <c r="I4681" s="1138"/>
      <c r="J4681" s="1139"/>
      <c r="K4681" s="1111"/>
      <c r="L4681" s="1112"/>
      <c r="M4681" s="1113"/>
      <c r="N4681" s="110"/>
      <c r="O4681" s="1140"/>
      <c r="P4681" s="1115"/>
      <c r="Q4681" s="1116"/>
      <c r="R4681" s="1141"/>
      <c r="S4681" s="1113"/>
      <c r="T4681" s="1143"/>
      <c r="U4681" s="1108"/>
      <c r="V4681" s="1108"/>
      <c r="W4681" s="1108"/>
      <c r="X4681" s="1108"/>
      <c r="Y4681" s="1108"/>
      <c r="Z4681" s="1114"/>
      <c r="AA4681" s="1114"/>
      <c r="AB4681" s="1114"/>
      <c r="AC4681" s="1117"/>
      <c r="AD4681" s="1115"/>
      <c r="AE4681" s="1115"/>
      <c r="AF4681" s="1115"/>
      <c r="AG4681" s="1115"/>
      <c r="AH4681" s="1115"/>
      <c r="AI4681" s="1115"/>
      <c r="AJ4681" s="1117"/>
      <c r="AK4681" s="1118"/>
      <c r="AL4681" s="1115"/>
      <c r="AM4681" s="1115"/>
      <c r="AN4681" s="1115"/>
      <c r="AO4681" s="1115"/>
      <c r="AP4681" s="1115"/>
      <c r="AQ4681" s="1115"/>
      <c r="AR4681" s="1115"/>
      <c r="AS4681" s="1117"/>
      <c r="AT4681" s="1075"/>
      <c r="AU4681" s="1193"/>
      <c r="AV4681" s="330"/>
      <c r="AW4681" s="331"/>
      <c r="AX4681" s="331"/>
      <c r="AY4681" s="331"/>
      <c r="AZ4681" s="331"/>
      <c r="BA4681" s="331"/>
      <c r="BB4681" s="331"/>
      <c r="BC4681" s="331"/>
      <c r="BD4681" s="331"/>
      <c r="BE4681" s="333"/>
      <c r="BF4681" s="330"/>
      <c r="BG4681" s="333"/>
      <c r="BH4681" s="1119"/>
      <c r="BI4681" s="319"/>
      <c r="BJ4681" s="319"/>
      <c r="BK4681" s="319"/>
      <c r="BL4681" s="319"/>
      <c r="BM4681" s="319"/>
      <c r="BN4681" s="319"/>
      <c r="BO4681" s="319"/>
      <c r="BP4681" s="953"/>
      <c r="BQ4681" s="319"/>
      <c r="BR4681" s="319"/>
      <c r="BS4681" s="330"/>
      <c r="BT4681" s="331"/>
      <c r="BU4681" s="920"/>
      <c r="BV4681" s="903"/>
      <c r="BW4681" s="908"/>
      <c r="BX4681" s="908"/>
      <c r="BY4681" s="331"/>
      <c r="BZ4681" s="331"/>
      <c r="CA4681" s="462"/>
      <c r="CB4681" s="319"/>
      <c r="CC4681" s="319"/>
      <c r="CD4681" s="319"/>
      <c r="CE4681" s="319"/>
      <c r="CF4681" s="319"/>
      <c r="CG4681" s="319"/>
      <c r="CH4681" s="318"/>
      <c r="CI4681" s="319"/>
      <c r="CJ4681" s="319"/>
      <c r="CK4681" s="342"/>
      <c r="CL4681" s="333"/>
      <c r="CM4681" s="1079"/>
      <c r="CN4681" s="1005"/>
      <c r="CO4681" s="1005"/>
      <c r="CP4681" s="1005"/>
    </row>
    <row r="4682">
      <c r="A4682" s="1257"/>
      <c r="B4682" s="1113"/>
      <c r="C4682" s="1107"/>
      <c r="D4682" s="103"/>
      <c r="E4682" s="1137"/>
      <c r="F4682" s="112"/>
      <c r="G4682" s="1110"/>
      <c r="H4682" s="1138"/>
      <c r="I4682" s="1138"/>
      <c r="J4682" s="1139"/>
      <c r="K4682" s="1111"/>
      <c r="L4682" s="1112"/>
      <c r="M4682" s="1113"/>
      <c r="N4682" s="110"/>
      <c r="O4682" s="1140"/>
      <c r="P4682" s="1115"/>
      <c r="Q4682" s="1116"/>
      <c r="R4682" s="1141"/>
      <c r="S4682" s="1113"/>
      <c r="T4682" s="1143"/>
      <c r="U4682" s="1108"/>
      <c r="V4682" s="1108"/>
      <c r="W4682" s="1108"/>
      <c r="X4682" s="1108"/>
      <c r="Y4682" s="1108"/>
      <c r="Z4682" s="1114"/>
      <c r="AA4682" s="1114"/>
      <c r="AB4682" s="1114"/>
      <c r="AC4682" s="1117"/>
      <c r="AD4682" s="1115"/>
      <c r="AE4682" s="1115"/>
      <c r="AF4682" s="1115"/>
      <c r="AG4682" s="1115"/>
      <c r="AH4682" s="1115"/>
      <c r="AI4682" s="1115"/>
      <c r="AJ4682" s="1117"/>
      <c r="AK4682" s="1118"/>
      <c r="AL4682" s="1115"/>
      <c r="AM4682" s="1115"/>
      <c r="AN4682" s="1115"/>
      <c r="AO4682" s="1115"/>
      <c r="AP4682" s="1115"/>
      <c r="AQ4682" s="1115"/>
      <c r="AR4682" s="1115"/>
      <c r="AS4682" s="1117"/>
      <c r="AT4682" s="1075"/>
      <c r="AU4682" s="1193"/>
      <c r="AV4682" s="330"/>
      <c r="AW4682" s="331"/>
      <c r="AX4682" s="331"/>
      <c r="AY4682" s="331"/>
      <c r="AZ4682" s="331"/>
      <c r="BA4682" s="331"/>
      <c r="BB4682" s="331"/>
      <c r="BC4682" s="331"/>
      <c r="BD4682" s="331"/>
      <c r="BE4682" s="333"/>
      <c r="BF4682" s="330"/>
      <c r="BG4682" s="333"/>
      <c r="BH4682" s="1119"/>
      <c r="BI4682" s="319"/>
      <c r="BJ4682" s="319"/>
      <c r="BK4682" s="319"/>
      <c r="BL4682" s="319"/>
      <c r="BM4682" s="319"/>
      <c r="BN4682" s="319"/>
      <c r="BO4682" s="319"/>
      <c r="BP4682" s="953"/>
      <c r="BQ4682" s="319"/>
      <c r="BR4682" s="319"/>
      <c r="BS4682" s="330"/>
      <c r="BT4682" s="331"/>
      <c r="BU4682" s="920"/>
      <c r="BV4682" s="903"/>
      <c r="BW4682" s="908"/>
      <c r="BX4682" s="908"/>
      <c r="BY4682" s="331"/>
      <c r="BZ4682" s="331"/>
      <c r="CA4682" s="462"/>
      <c r="CB4682" s="319"/>
      <c r="CC4682" s="319"/>
      <c r="CD4682" s="319"/>
      <c r="CE4682" s="319"/>
      <c r="CF4682" s="319"/>
      <c r="CG4682" s="319"/>
      <c r="CH4682" s="318"/>
      <c r="CI4682" s="319"/>
      <c r="CJ4682" s="319"/>
      <c r="CK4682" s="342"/>
      <c r="CL4682" s="333"/>
      <c r="CM4682" s="1079"/>
      <c r="CN4682" s="1005"/>
      <c r="CO4682" s="1005"/>
      <c r="CP4682" s="1005"/>
    </row>
    <row r="4683">
      <c r="A4683" s="1257"/>
      <c r="B4683" s="1113"/>
      <c r="C4683" s="1107"/>
      <c r="D4683" s="103"/>
      <c r="E4683" s="1137"/>
      <c r="F4683" s="112"/>
      <c r="G4683" s="1110"/>
      <c r="H4683" s="1138"/>
      <c r="I4683" s="1138"/>
      <c r="J4683" s="1139"/>
      <c r="K4683" s="1111"/>
      <c r="L4683" s="1112"/>
      <c r="M4683" s="1113"/>
      <c r="N4683" s="110"/>
      <c r="O4683" s="1140"/>
      <c r="P4683" s="1115"/>
      <c r="Q4683" s="1116"/>
      <c r="R4683" s="1141"/>
      <c r="S4683" s="1113"/>
      <c r="T4683" s="1143"/>
      <c r="U4683" s="1108"/>
      <c r="V4683" s="1108"/>
      <c r="W4683" s="1108"/>
      <c r="X4683" s="1108"/>
      <c r="Y4683" s="1108"/>
      <c r="Z4683" s="1114"/>
      <c r="AA4683" s="1114"/>
      <c r="AB4683" s="1114"/>
      <c r="AC4683" s="1117"/>
      <c r="AD4683" s="1115"/>
      <c r="AE4683" s="1115"/>
      <c r="AF4683" s="1115"/>
      <c r="AG4683" s="1115"/>
      <c r="AH4683" s="1115"/>
      <c r="AI4683" s="1115"/>
      <c r="AJ4683" s="1117"/>
      <c r="AK4683" s="1118"/>
      <c r="AL4683" s="1115"/>
      <c r="AM4683" s="1115"/>
      <c r="AN4683" s="1115"/>
      <c r="AO4683" s="1115"/>
      <c r="AP4683" s="1115"/>
      <c r="AQ4683" s="1115"/>
      <c r="AR4683" s="1115"/>
      <c r="AS4683" s="1117"/>
      <c r="AT4683" s="1075"/>
      <c r="AU4683" s="1193"/>
      <c r="AV4683" s="330"/>
      <c r="AW4683" s="331"/>
      <c r="AX4683" s="331"/>
      <c r="AY4683" s="331"/>
      <c r="AZ4683" s="331"/>
      <c r="BA4683" s="331"/>
      <c r="BB4683" s="331"/>
      <c r="BC4683" s="331"/>
      <c r="BD4683" s="331"/>
      <c r="BE4683" s="333"/>
      <c r="BF4683" s="330"/>
      <c r="BG4683" s="333"/>
      <c r="BH4683" s="1119"/>
      <c r="BI4683" s="319"/>
      <c r="BJ4683" s="319"/>
      <c r="BK4683" s="319"/>
      <c r="BL4683" s="319"/>
      <c r="BM4683" s="319"/>
      <c r="BN4683" s="319"/>
      <c r="BO4683" s="319"/>
      <c r="BP4683" s="953"/>
      <c r="BQ4683" s="319"/>
      <c r="BR4683" s="319"/>
      <c r="BS4683" s="330"/>
      <c r="BT4683" s="331"/>
      <c r="BU4683" s="920"/>
      <c r="BV4683" s="903"/>
      <c r="BW4683" s="908"/>
      <c r="BX4683" s="908"/>
      <c r="BY4683" s="331"/>
      <c r="BZ4683" s="331"/>
      <c r="CA4683" s="462"/>
      <c r="CB4683" s="319"/>
      <c r="CC4683" s="319"/>
      <c r="CD4683" s="319"/>
      <c r="CE4683" s="319"/>
      <c r="CF4683" s="319"/>
      <c r="CG4683" s="319"/>
      <c r="CH4683" s="318"/>
      <c r="CI4683" s="319"/>
      <c r="CJ4683" s="319"/>
      <c r="CK4683" s="342"/>
      <c r="CL4683" s="333"/>
      <c r="CM4683" s="1079"/>
      <c r="CN4683" s="1005"/>
      <c r="CO4683" s="1005"/>
      <c r="CP4683" s="1005"/>
    </row>
    <row r="4684">
      <c r="A4684" s="1257"/>
      <c r="B4684" s="1113"/>
      <c r="C4684" s="1107"/>
      <c r="D4684" s="103"/>
      <c r="E4684" s="1137"/>
      <c r="F4684" s="112"/>
      <c r="G4684" s="1110"/>
      <c r="H4684" s="1138"/>
      <c r="I4684" s="1138"/>
      <c r="J4684" s="1139"/>
      <c r="K4684" s="1111"/>
      <c r="L4684" s="1112"/>
      <c r="M4684" s="1113"/>
      <c r="N4684" s="110"/>
      <c r="O4684" s="1140"/>
      <c r="P4684" s="1115"/>
      <c r="Q4684" s="1116"/>
      <c r="R4684" s="1141"/>
      <c r="S4684" s="1113"/>
      <c r="T4684" s="1143"/>
      <c r="U4684" s="1108"/>
      <c r="V4684" s="1108"/>
      <c r="W4684" s="1108"/>
      <c r="X4684" s="1108"/>
      <c r="Y4684" s="1108"/>
      <c r="Z4684" s="1114"/>
      <c r="AA4684" s="1114"/>
      <c r="AB4684" s="1114"/>
      <c r="AC4684" s="1117"/>
      <c r="AD4684" s="1115"/>
      <c r="AE4684" s="1115"/>
      <c r="AF4684" s="1115"/>
      <c r="AG4684" s="1115"/>
      <c r="AH4684" s="1115"/>
      <c r="AI4684" s="1115"/>
      <c r="AJ4684" s="1117"/>
      <c r="AK4684" s="1118"/>
      <c r="AL4684" s="1115"/>
      <c r="AM4684" s="1115"/>
      <c r="AN4684" s="1115"/>
      <c r="AO4684" s="1115"/>
      <c r="AP4684" s="1115"/>
      <c r="AQ4684" s="1115"/>
      <c r="AR4684" s="1115"/>
      <c r="AS4684" s="1117"/>
      <c r="AT4684" s="1075"/>
      <c r="AU4684" s="1193"/>
      <c r="AV4684" s="330"/>
      <c r="AW4684" s="331"/>
      <c r="AX4684" s="331"/>
      <c r="AY4684" s="331"/>
      <c r="AZ4684" s="331"/>
      <c r="BA4684" s="331"/>
      <c r="BB4684" s="331"/>
      <c r="BC4684" s="331"/>
      <c r="BD4684" s="331"/>
      <c r="BE4684" s="333"/>
      <c r="BF4684" s="330"/>
      <c r="BG4684" s="333"/>
      <c r="BH4684" s="1119"/>
      <c r="BI4684" s="319"/>
      <c r="BJ4684" s="319"/>
      <c r="BK4684" s="319"/>
      <c r="BL4684" s="319"/>
      <c r="BM4684" s="319"/>
      <c r="BN4684" s="319"/>
      <c r="BO4684" s="319"/>
      <c r="BP4684" s="953"/>
      <c r="BQ4684" s="319"/>
      <c r="BR4684" s="319"/>
      <c r="BS4684" s="330"/>
      <c r="BT4684" s="331"/>
      <c r="BU4684" s="920"/>
      <c r="BV4684" s="903"/>
      <c r="BW4684" s="908"/>
      <c r="BX4684" s="908"/>
      <c r="BY4684" s="331"/>
      <c r="BZ4684" s="331"/>
      <c r="CA4684" s="462"/>
      <c r="CB4684" s="319"/>
      <c r="CC4684" s="319"/>
      <c r="CD4684" s="319"/>
      <c r="CE4684" s="319"/>
      <c r="CF4684" s="319"/>
      <c r="CG4684" s="319"/>
      <c r="CH4684" s="318"/>
      <c r="CI4684" s="319"/>
      <c r="CJ4684" s="319"/>
      <c r="CK4684" s="342"/>
      <c r="CL4684" s="333"/>
      <c r="CM4684" s="1079"/>
      <c r="CN4684" s="1005"/>
      <c r="CO4684" s="1005"/>
      <c r="CP4684" s="1005"/>
    </row>
    <row r="4685">
      <c r="A4685" s="1257"/>
      <c r="B4685" s="1113"/>
      <c r="C4685" s="1107"/>
      <c r="D4685" s="103"/>
      <c r="E4685" s="1137"/>
      <c r="F4685" s="112"/>
      <c r="G4685" s="1110"/>
      <c r="H4685" s="1138"/>
      <c r="I4685" s="1138"/>
      <c r="J4685" s="1139"/>
      <c r="K4685" s="1111"/>
      <c r="L4685" s="1112"/>
      <c r="M4685" s="1113"/>
      <c r="N4685" s="110"/>
      <c r="O4685" s="1140"/>
      <c r="P4685" s="1115"/>
      <c r="Q4685" s="1116"/>
      <c r="R4685" s="1141"/>
      <c r="S4685" s="1113"/>
      <c r="T4685" s="1143"/>
      <c r="U4685" s="1108"/>
      <c r="V4685" s="1108"/>
      <c r="W4685" s="1108"/>
      <c r="X4685" s="1108"/>
      <c r="Y4685" s="1108"/>
      <c r="Z4685" s="1114"/>
      <c r="AA4685" s="1114"/>
      <c r="AB4685" s="1114"/>
      <c r="AC4685" s="1117"/>
      <c r="AD4685" s="1115"/>
      <c r="AE4685" s="1115"/>
      <c r="AF4685" s="1115"/>
      <c r="AG4685" s="1115"/>
      <c r="AH4685" s="1115"/>
      <c r="AI4685" s="1115"/>
      <c r="AJ4685" s="1117"/>
      <c r="AK4685" s="1118"/>
      <c r="AL4685" s="1115"/>
      <c r="AM4685" s="1115"/>
      <c r="AN4685" s="1115"/>
      <c r="AO4685" s="1115"/>
      <c r="AP4685" s="1115"/>
      <c r="AQ4685" s="1115"/>
      <c r="AR4685" s="1115"/>
      <c r="AS4685" s="1117"/>
      <c r="AT4685" s="1075"/>
      <c r="AU4685" s="1193"/>
      <c r="AV4685" s="330"/>
      <c r="AW4685" s="331"/>
      <c r="AX4685" s="331"/>
      <c r="AY4685" s="331"/>
      <c r="AZ4685" s="331"/>
      <c r="BA4685" s="331"/>
      <c r="BB4685" s="331"/>
      <c r="BC4685" s="331"/>
      <c r="BD4685" s="331"/>
      <c r="BE4685" s="333"/>
      <c r="BF4685" s="330"/>
      <c r="BG4685" s="333"/>
      <c r="BH4685" s="1119"/>
      <c r="BI4685" s="319"/>
      <c r="BJ4685" s="319"/>
      <c r="BK4685" s="319"/>
      <c r="BL4685" s="319"/>
      <c r="BM4685" s="319"/>
      <c r="BN4685" s="319"/>
      <c r="BO4685" s="319"/>
      <c r="BP4685" s="953"/>
      <c r="BQ4685" s="319"/>
      <c r="BR4685" s="319"/>
      <c r="BS4685" s="330"/>
      <c r="BT4685" s="331"/>
      <c r="BU4685" s="920"/>
      <c r="BV4685" s="903"/>
      <c r="BW4685" s="908"/>
      <c r="BX4685" s="908"/>
      <c r="BY4685" s="331"/>
      <c r="BZ4685" s="331"/>
      <c r="CA4685" s="462"/>
      <c r="CB4685" s="319"/>
      <c r="CC4685" s="319"/>
      <c r="CD4685" s="319"/>
      <c r="CE4685" s="319"/>
      <c r="CF4685" s="319"/>
      <c r="CG4685" s="319"/>
      <c r="CH4685" s="318"/>
      <c r="CI4685" s="319"/>
      <c r="CJ4685" s="319"/>
      <c r="CK4685" s="342"/>
      <c r="CL4685" s="333"/>
      <c r="CM4685" s="1079"/>
      <c r="CN4685" s="1005"/>
      <c r="CO4685" s="1005"/>
      <c r="CP4685" s="1005"/>
    </row>
    <row r="4686">
      <c r="A4686" s="1257"/>
      <c r="B4686" s="1113"/>
      <c r="C4686" s="1107"/>
      <c r="D4686" s="103"/>
      <c r="E4686" s="1137"/>
      <c r="F4686" s="112"/>
      <c r="G4686" s="1110"/>
      <c r="H4686" s="1138"/>
      <c r="I4686" s="1138"/>
      <c r="J4686" s="1139"/>
      <c r="K4686" s="1111"/>
      <c r="L4686" s="1112"/>
      <c r="M4686" s="1113"/>
      <c r="N4686" s="110"/>
      <c r="O4686" s="1140"/>
      <c r="P4686" s="1115"/>
      <c r="Q4686" s="1116"/>
      <c r="R4686" s="1141"/>
      <c r="S4686" s="1113"/>
      <c r="T4686" s="1143"/>
      <c r="U4686" s="1108"/>
      <c r="V4686" s="1108"/>
      <c r="W4686" s="1108"/>
      <c r="X4686" s="1108"/>
      <c r="Y4686" s="1108"/>
      <c r="Z4686" s="1114"/>
      <c r="AA4686" s="1114"/>
      <c r="AB4686" s="1114"/>
      <c r="AC4686" s="1117"/>
      <c r="AD4686" s="1115"/>
      <c r="AE4686" s="1115"/>
      <c r="AF4686" s="1115"/>
      <c r="AG4686" s="1115"/>
      <c r="AH4686" s="1115"/>
      <c r="AI4686" s="1115"/>
      <c r="AJ4686" s="1117"/>
      <c r="AK4686" s="1118"/>
      <c r="AL4686" s="1115"/>
      <c r="AM4686" s="1115"/>
      <c r="AN4686" s="1115"/>
      <c r="AO4686" s="1115"/>
      <c r="AP4686" s="1115"/>
      <c r="AQ4686" s="1115"/>
      <c r="AR4686" s="1115"/>
      <c r="AS4686" s="1117"/>
      <c r="AT4686" s="1075"/>
      <c r="AU4686" s="1193"/>
      <c r="AV4686" s="330"/>
      <c r="AW4686" s="331"/>
      <c r="AX4686" s="331"/>
      <c r="AY4686" s="331"/>
      <c r="AZ4686" s="331"/>
      <c r="BA4686" s="331"/>
      <c r="BB4686" s="331"/>
      <c r="BC4686" s="331"/>
      <c r="BD4686" s="331"/>
      <c r="BE4686" s="333"/>
      <c r="BF4686" s="330"/>
      <c r="BG4686" s="333"/>
      <c r="BH4686" s="1119"/>
      <c r="BI4686" s="319"/>
      <c r="BJ4686" s="319"/>
      <c r="BK4686" s="319"/>
      <c r="BL4686" s="319"/>
      <c r="BM4686" s="319"/>
      <c r="BN4686" s="319"/>
      <c r="BO4686" s="319"/>
      <c r="BP4686" s="953"/>
      <c r="BQ4686" s="319"/>
      <c r="BR4686" s="319"/>
      <c r="BS4686" s="330"/>
      <c r="BT4686" s="331"/>
      <c r="BU4686" s="920"/>
      <c r="BV4686" s="903"/>
      <c r="BW4686" s="908"/>
      <c r="BX4686" s="908"/>
      <c r="BY4686" s="331"/>
      <c r="BZ4686" s="331"/>
      <c r="CA4686" s="462"/>
      <c r="CB4686" s="319"/>
      <c r="CC4686" s="319"/>
      <c r="CD4686" s="319"/>
      <c r="CE4686" s="319"/>
      <c r="CF4686" s="319"/>
      <c r="CG4686" s="319"/>
      <c r="CH4686" s="318"/>
      <c r="CI4686" s="319"/>
      <c r="CJ4686" s="319"/>
      <c r="CK4686" s="342"/>
      <c r="CL4686" s="333"/>
      <c r="CM4686" s="1079"/>
      <c r="CN4686" s="1005"/>
      <c r="CO4686" s="1005"/>
      <c r="CP4686" s="1005"/>
    </row>
    <row r="4687">
      <c r="A4687" s="1257"/>
      <c r="B4687" s="1113"/>
      <c r="C4687" s="1107"/>
      <c r="D4687" s="103"/>
      <c r="E4687" s="1137"/>
      <c r="F4687" s="112"/>
      <c r="G4687" s="1110"/>
      <c r="H4687" s="1138"/>
      <c r="I4687" s="1138"/>
      <c r="J4687" s="1139"/>
      <c r="K4687" s="1111"/>
      <c r="L4687" s="1112"/>
      <c r="M4687" s="1113"/>
      <c r="N4687" s="110"/>
      <c r="O4687" s="1140"/>
      <c r="P4687" s="1115"/>
      <c r="Q4687" s="1116"/>
      <c r="R4687" s="1141"/>
      <c r="S4687" s="1113"/>
      <c r="T4687" s="1143"/>
      <c r="U4687" s="1108"/>
      <c r="V4687" s="1108"/>
      <c r="W4687" s="1108"/>
      <c r="X4687" s="1108"/>
      <c r="Y4687" s="1108"/>
      <c r="Z4687" s="1114"/>
      <c r="AA4687" s="1114"/>
      <c r="AB4687" s="1114"/>
      <c r="AC4687" s="1117"/>
      <c r="AD4687" s="1115"/>
      <c r="AE4687" s="1115"/>
      <c r="AF4687" s="1115"/>
      <c r="AG4687" s="1115"/>
      <c r="AH4687" s="1115"/>
      <c r="AI4687" s="1115"/>
      <c r="AJ4687" s="1117"/>
      <c r="AK4687" s="1118"/>
      <c r="AL4687" s="1115"/>
      <c r="AM4687" s="1115"/>
      <c r="AN4687" s="1115"/>
      <c r="AO4687" s="1115"/>
      <c r="AP4687" s="1115"/>
      <c r="AQ4687" s="1115"/>
      <c r="AR4687" s="1115"/>
      <c r="AS4687" s="1117"/>
      <c r="AT4687" s="1075"/>
      <c r="AU4687" s="1193"/>
      <c r="AV4687" s="330"/>
      <c r="AW4687" s="331"/>
      <c r="AX4687" s="331"/>
      <c r="AY4687" s="331"/>
      <c r="AZ4687" s="331"/>
      <c r="BA4687" s="331"/>
      <c r="BB4687" s="331"/>
      <c r="BC4687" s="331"/>
      <c r="BD4687" s="331"/>
      <c r="BE4687" s="333"/>
      <c r="BF4687" s="330"/>
      <c r="BG4687" s="333"/>
      <c r="BH4687" s="1119"/>
      <c r="BI4687" s="319"/>
      <c r="BJ4687" s="319"/>
      <c r="BK4687" s="319"/>
      <c r="BL4687" s="319"/>
      <c r="BM4687" s="319"/>
      <c r="BN4687" s="319"/>
      <c r="BO4687" s="319"/>
      <c r="BP4687" s="953"/>
      <c r="BQ4687" s="319"/>
      <c r="BR4687" s="319"/>
      <c r="BS4687" s="330"/>
      <c r="BT4687" s="331"/>
      <c r="BU4687" s="920"/>
      <c r="BV4687" s="903"/>
      <c r="BW4687" s="908"/>
      <c r="BX4687" s="908"/>
      <c r="BY4687" s="331"/>
      <c r="BZ4687" s="331"/>
      <c r="CA4687" s="462"/>
      <c r="CB4687" s="319"/>
      <c r="CC4687" s="319"/>
      <c r="CD4687" s="319"/>
      <c r="CE4687" s="319"/>
      <c r="CF4687" s="319"/>
      <c r="CG4687" s="319"/>
      <c r="CH4687" s="318"/>
      <c r="CI4687" s="319"/>
      <c r="CJ4687" s="319"/>
      <c r="CK4687" s="342"/>
      <c r="CL4687" s="333"/>
      <c r="CM4687" s="1079"/>
      <c r="CN4687" s="1005"/>
      <c r="CO4687" s="1005"/>
      <c r="CP4687" s="1005"/>
    </row>
    <row r="4688">
      <c r="A4688" s="1257"/>
      <c r="B4688" s="1113"/>
      <c r="C4688" s="1107"/>
      <c r="D4688" s="103"/>
      <c r="E4688" s="1137"/>
      <c r="F4688" s="112"/>
      <c r="G4688" s="1110"/>
      <c r="H4688" s="1138"/>
      <c r="I4688" s="1138"/>
      <c r="J4688" s="1139"/>
      <c r="K4688" s="1111"/>
      <c r="L4688" s="1112"/>
      <c r="M4688" s="1113"/>
      <c r="N4688" s="110"/>
      <c r="O4688" s="1140"/>
      <c r="P4688" s="1115"/>
      <c r="Q4688" s="1116"/>
      <c r="R4688" s="1141"/>
      <c r="S4688" s="1113"/>
      <c r="T4688" s="1143"/>
      <c r="U4688" s="1108"/>
      <c r="V4688" s="1108"/>
      <c r="W4688" s="1108"/>
      <c r="X4688" s="1108"/>
      <c r="Y4688" s="1108"/>
      <c r="Z4688" s="1114"/>
      <c r="AA4688" s="1114"/>
      <c r="AB4688" s="1114"/>
      <c r="AC4688" s="1117"/>
      <c r="AD4688" s="1115"/>
      <c r="AE4688" s="1115"/>
      <c r="AF4688" s="1115"/>
      <c r="AG4688" s="1115"/>
      <c r="AH4688" s="1115"/>
      <c r="AI4688" s="1115"/>
      <c r="AJ4688" s="1117"/>
      <c r="AK4688" s="1118"/>
      <c r="AL4688" s="1115"/>
      <c r="AM4688" s="1115"/>
      <c r="AN4688" s="1115"/>
      <c r="AO4688" s="1115"/>
      <c r="AP4688" s="1115"/>
      <c r="AQ4688" s="1115"/>
      <c r="AR4688" s="1115"/>
      <c r="AS4688" s="1117"/>
      <c r="AT4688" s="1075"/>
      <c r="AU4688" s="1193"/>
      <c r="AV4688" s="330"/>
      <c r="AW4688" s="331"/>
      <c r="AX4688" s="331"/>
      <c r="AY4688" s="331"/>
      <c r="AZ4688" s="331"/>
      <c r="BA4688" s="331"/>
      <c r="BB4688" s="331"/>
      <c r="BC4688" s="331"/>
      <c r="BD4688" s="331"/>
      <c r="BE4688" s="333"/>
      <c r="BF4688" s="330"/>
      <c r="BG4688" s="333"/>
      <c r="BH4688" s="1119"/>
      <c r="BI4688" s="319"/>
      <c r="BJ4688" s="319"/>
      <c r="BK4688" s="319"/>
      <c r="BL4688" s="319"/>
      <c r="BM4688" s="319"/>
      <c r="BN4688" s="319"/>
      <c r="BO4688" s="319"/>
      <c r="BP4688" s="953"/>
      <c r="BQ4688" s="319"/>
      <c r="BR4688" s="319"/>
      <c r="BS4688" s="330"/>
      <c r="BT4688" s="331"/>
      <c r="BU4688" s="920"/>
      <c r="BV4688" s="903"/>
      <c r="BW4688" s="908"/>
      <c r="BX4688" s="908"/>
      <c r="BY4688" s="331"/>
      <c r="BZ4688" s="331"/>
      <c r="CA4688" s="462"/>
      <c r="CB4688" s="319"/>
      <c r="CC4688" s="319"/>
      <c r="CD4688" s="319"/>
      <c r="CE4688" s="319"/>
      <c r="CF4688" s="319"/>
      <c r="CG4688" s="319"/>
      <c r="CH4688" s="318"/>
      <c r="CI4688" s="319"/>
      <c r="CJ4688" s="319"/>
      <c r="CK4688" s="342"/>
      <c r="CL4688" s="333"/>
      <c r="CM4688" s="1079"/>
      <c r="CN4688" s="1005"/>
      <c r="CO4688" s="1005"/>
      <c r="CP4688" s="1005"/>
    </row>
    <row r="4689">
      <c r="A4689" s="1257"/>
      <c r="B4689" s="1113"/>
      <c r="C4689" s="1107"/>
      <c r="D4689" s="103"/>
      <c r="E4689" s="1137"/>
      <c r="F4689" s="112"/>
      <c r="G4689" s="1110"/>
      <c r="H4689" s="1138"/>
      <c r="I4689" s="1138"/>
      <c r="J4689" s="1139"/>
      <c r="K4689" s="1111"/>
      <c r="L4689" s="1112"/>
      <c r="M4689" s="1113"/>
      <c r="N4689" s="110"/>
      <c r="O4689" s="1140"/>
      <c r="P4689" s="1115"/>
      <c r="Q4689" s="1116"/>
      <c r="R4689" s="1141"/>
      <c r="S4689" s="1113"/>
      <c r="T4689" s="1143"/>
      <c r="U4689" s="1108"/>
      <c r="V4689" s="1108"/>
      <c r="W4689" s="1108"/>
      <c r="X4689" s="1108"/>
      <c r="Y4689" s="1108"/>
      <c r="Z4689" s="1114"/>
      <c r="AA4689" s="1114"/>
      <c r="AB4689" s="1114"/>
      <c r="AC4689" s="1117"/>
      <c r="AD4689" s="1115"/>
      <c r="AE4689" s="1115"/>
      <c r="AF4689" s="1115"/>
      <c r="AG4689" s="1115"/>
      <c r="AH4689" s="1115"/>
      <c r="AI4689" s="1115"/>
      <c r="AJ4689" s="1117"/>
      <c r="AK4689" s="1118"/>
      <c r="AL4689" s="1115"/>
      <c r="AM4689" s="1115"/>
      <c r="AN4689" s="1115"/>
      <c r="AO4689" s="1115"/>
      <c r="AP4689" s="1115"/>
      <c r="AQ4689" s="1115"/>
      <c r="AR4689" s="1115"/>
      <c r="AS4689" s="1117"/>
      <c r="AT4689" s="1075"/>
      <c r="AU4689" s="1193"/>
      <c r="AV4689" s="330"/>
      <c r="AW4689" s="331"/>
      <c r="AX4689" s="331"/>
      <c r="AY4689" s="331"/>
      <c r="AZ4689" s="331"/>
      <c r="BA4689" s="331"/>
      <c r="BB4689" s="331"/>
      <c r="BC4689" s="331"/>
      <c r="BD4689" s="331"/>
      <c r="BE4689" s="333"/>
      <c r="BF4689" s="330"/>
      <c r="BG4689" s="333"/>
      <c r="BH4689" s="1119"/>
      <c r="BI4689" s="319"/>
      <c r="BJ4689" s="319"/>
      <c r="BK4689" s="319"/>
      <c r="BL4689" s="319"/>
      <c r="BM4689" s="319"/>
      <c r="BN4689" s="319"/>
      <c r="BO4689" s="319"/>
      <c r="BP4689" s="953"/>
      <c r="BQ4689" s="319"/>
      <c r="BR4689" s="319"/>
      <c r="BS4689" s="330"/>
      <c r="BT4689" s="331"/>
      <c r="BU4689" s="920"/>
      <c r="BV4689" s="903"/>
      <c r="BW4689" s="908"/>
      <c r="BX4689" s="908"/>
      <c r="BY4689" s="331"/>
      <c r="BZ4689" s="331"/>
      <c r="CA4689" s="462"/>
      <c r="CB4689" s="319"/>
      <c r="CC4689" s="319"/>
      <c r="CD4689" s="319"/>
      <c r="CE4689" s="319"/>
      <c r="CF4689" s="319"/>
      <c r="CG4689" s="319"/>
      <c r="CH4689" s="318"/>
      <c r="CI4689" s="319"/>
      <c r="CJ4689" s="319"/>
      <c r="CK4689" s="342"/>
      <c r="CL4689" s="333"/>
      <c r="CM4689" s="1079"/>
      <c r="CN4689" s="1005"/>
      <c r="CO4689" s="1005"/>
      <c r="CP4689" s="1005"/>
    </row>
    <row r="4690">
      <c r="A4690" s="1257"/>
      <c r="B4690" s="1113"/>
      <c r="C4690" s="1107"/>
      <c r="D4690" s="103"/>
      <c r="E4690" s="1137"/>
      <c r="F4690" s="112"/>
      <c r="G4690" s="1110"/>
      <c r="H4690" s="1138"/>
      <c r="I4690" s="1138"/>
      <c r="J4690" s="1139"/>
      <c r="K4690" s="1111"/>
      <c r="L4690" s="1112"/>
      <c r="M4690" s="1113"/>
      <c r="N4690" s="110"/>
      <c r="O4690" s="1140"/>
      <c r="P4690" s="1115"/>
      <c r="Q4690" s="1116"/>
      <c r="R4690" s="1141"/>
      <c r="S4690" s="1113"/>
      <c r="T4690" s="1143"/>
      <c r="U4690" s="1108"/>
      <c r="V4690" s="1108"/>
      <c r="W4690" s="1108"/>
      <c r="X4690" s="1108"/>
      <c r="Y4690" s="1108"/>
      <c r="Z4690" s="1114"/>
      <c r="AA4690" s="1114"/>
      <c r="AB4690" s="1114"/>
      <c r="AC4690" s="1117"/>
      <c r="AD4690" s="1115"/>
      <c r="AE4690" s="1115"/>
      <c r="AF4690" s="1115"/>
      <c r="AG4690" s="1115"/>
      <c r="AH4690" s="1115"/>
      <c r="AI4690" s="1115"/>
      <c r="AJ4690" s="1117"/>
      <c r="AK4690" s="1118"/>
      <c r="AL4690" s="1115"/>
      <c r="AM4690" s="1115"/>
      <c r="AN4690" s="1115"/>
      <c r="AO4690" s="1115"/>
      <c r="AP4690" s="1115"/>
      <c r="AQ4690" s="1115"/>
      <c r="AR4690" s="1115"/>
      <c r="AS4690" s="1117"/>
      <c r="AT4690" s="1075"/>
      <c r="AU4690" s="1193"/>
      <c r="AV4690" s="330"/>
      <c r="AW4690" s="331"/>
      <c r="AX4690" s="331"/>
      <c r="AY4690" s="331"/>
      <c r="AZ4690" s="331"/>
      <c r="BA4690" s="331"/>
      <c r="BB4690" s="331"/>
      <c r="BC4690" s="331"/>
      <c r="BD4690" s="331"/>
      <c r="BE4690" s="333"/>
      <c r="BF4690" s="330"/>
      <c r="BG4690" s="333"/>
      <c r="BH4690" s="1119"/>
      <c r="BI4690" s="319"/>
      <c r="BJ4690" s="319"/>
      <c r="BK4690" s="319"/>
      <c r="BL4690" s="319"/>
      <c r="BM4690" s="319"/>
      <c r="BN4690" s="319"/>
      <c r="BO4690" s="319"/>
      <c r="BP4690" s="953"/>
      <c r="BQ4690" s="319"/>
      <c r="BR4690" s="319"/>
      <c r="BS4690" s="330"/>
      <c r="BT4690" s="331"/>
      <c r="BU4690" s="920"/>
      <c r="BV4690" s="903"/>
      <c r="BW4690" s="908"/>
      <c r="BX4690" s="908"/>
      <c r="BY4690" s="331"/>
      <c r="BZ4690" s="331"/>
      <c r="CA4690" s="462"/>
      <c r="CB4690" s="319"/>
      <c r="CC4690" s="319"/>
      <c r="CD4690" s="319"/>
      <c r="CE4690" s="319"/>
      <c r="CF4690" s="319"/>
      <c r="CG4690" s="319"/>
      <c r="CH4690" s="318"/>
      <c r="CI4690" s="319"/>
      <c r="CJ4690" s="319"/>
      <c r="CK4690" s="342"/>
      <c r="CL4690" s="333"/>
      <c r="CM4690" s="1079"/>
      <c r="CN4690" s="1005"/>
      <c r="CO4690" s="1005"/>
      <c r="CP4690" s="1005"/>
    </row>
    <row r="4691">
      <c r="A4691" s="1257"/>
      <c r="B4691" s="1113"/>
      <c r="C4691" s="1107"/>
      <c r="D4691" s="103"/>
      <c r="E4691" s="1137"/>
      <c r="F4691" s="112"/>
      <c r="G4691" s="1110"/>
      <c r="H4691" s="1138"/>
      <c r="I4691" s="1138"/>
      <c r="J4691" s="1139"/>
      <c r="K4691" s="1111"/>
      <c r="L4691" s="1112"/>
      <c r="M4691" s="1113"/>
      <c r="N4691" s="110"/>
      <c r="O4691" s="1140"/>
      <c r="P4691" s="1115"/>
      <c r="Q4691" s="1116"/>
      <c r="R4691" s="1141"/>
      <c r="S4691" s="1113"/>
      <c r="T4691" s="1143"/>
      <c r="U4691" s="1108"/>
      <c r="V4691" s="1108"/>
      <c r="W4691" s="1108"/>
      <c r="X4691" s="1108"/>
      <c r="Y4691" s="1108"/>
      <c r="Z4691" s="1114"/>
      <c r="AA4691" s="1114"/>
      <c r="AB4691" s="1114"/>
      <c r="AC4691" s="1117"/>
      <c r="AD4691" s="1115"/>
      <c r="AE4691" s="1115"/>
      <c r="AF4691" s="1115"/>
      <c r="AG4691" s="1115"/>
      <c r="AH4691" s="1115"/>
      <c r="AI4691" s="1115"/>
      <c r="AJ4691" s="1117"/>
      <c r="AK4691" s="1118"/>
      <c r="AL4691" s="1115"/>
      <c r="AM4691" s="1115"/>
      <c r="AN4691" s="1115"/>
      <c r="AO4691" s="1115"/>
      <c r="AP4691" s="1115"/>
      <c r="AQ4691" s="1115"/>
      <c r="AR4691" s="1115"/>
      <c r="AS4691" s="1117"/>
      <c r="AT4691" s="1075"/>
      <c r="AU4691" s="1193"/>
      <c r="AV4691" s="330"/>
      <c r="AW4691" s="331"/>
      <c r="AX4691" s="331"/>
      <c r="AY4691" s="331"/>
      <c r="AZ4691" s="331"/>
      <c r="BA4691" s="331"/>
      <c r="BB4691" s="331"/>
      <c r="BC4691" s="331"/>
      <c r="BD4691" s="331"/>
      <c r="BE4691" s="333"/>
      <c r="BF4691" s="330"/>
      <c r="BG4691" s="333"/>
      <c r="BH4691" s="1119"/>
      <c r="BI4691" s="319"/>
      <c r="BJ4691" s="319"/>
      <c r="BK4691" s="319"/>
      <c r="BL4691" s="319"/>
      <c r="BM4691" s="319"/>
      <c r="BN4691" s="319"/>
      <c r="BO4691" s="319"/>
      <c r="BP4691" s="953"/>
      <c r="BQ4691" s="319"/>
      <c r="BR4691" s="319"/>
      <c r="BS4691" s="330"/>
      <c r="BT4691" s="331"/>
      <c r="BU4691" s="920"/>
      <c r="BV4691" s="903"/>
      <c r="BW4691" s="908"/>
      <c r="BX4691" s="908"/>
      <c r="BY4691" s="331"/>
      <c r="BZ4691" s="331"/>
      <c r="CA4691" s="462"/>
      <c r="CB4691" s="319"/>
      <c r="CC4691" s="319"/>
      <c r="CD4691" s="319"/>
      <c r="CE4691" s="319"/>
      <c r="CF4691" s="319"/>
      <c r="CG4691" s="319"/>
      <c r="CH4691" s="318"/>
      <c r="CI4691" s="319"/>
      <c r="CJ4691" s="319"/>
      <c r="CK4691" s="342"/>
      <c r="CL4691" s="333"/>
      <c r="CM4691" s="1079"/>
      <c r="CN4691" s="1005"/>
      <c r="CO4691" s="1005"/>
      <c r="CP4691" s="1005"/>
    </row>
    <row r="4692">
      <c r="A4692" s="1257"/>
      <c r="B4692" s="1113"/>
      <c r="C4692" s="1107"/>
      <c r="D4692" s="103"/>
      <c r="E4692" s="1137"/>
      <c r="F4692" s="112"/>
      <c r="G4692" s="1110"/>
      <c r="H4692" s="1138"/>
      <c r="I4692" s="1138"/>
      <c r="J4692" s="1139"/>
      <c r="K4692" s="1111"/>
      <c r="L4692" s="1112"/>
      <c r="M4692" s="1113"/>
      <c r="N4692" s="110"/>
      <c r="O4692" s="1140"/>
      <c r="P4692" s="1115"/>
      <c r="Q4692" s="1116"/>
      <c r="R4692" s="1141"/>
      <c r="S4692" s="1113"/>
      <c r="T4692" s="1143"/>
      <c r="U4692" s="1108"/>
      <c r="V4692" s="1108"/>
      <c r="W4692" s="1108"/>
      <c r="X4692" s="1108"/>
      <c r="Y4692" s="1108"/>
      <c r="Z4692" s="1114"/>
      <c r="AA4692" s="1114"/>
      <c r="AB4692" s="1114"/>
      <c r="AC4692" s="1117"/>
      <c r="AD4692" s="1115"/>
      <c r="AE4692" s="1115"/>
      <c r="AF4692" s="1115"/>
      <c r="AG4692" s="1115"/>
      <c r="AH4692" s="1115"/>
      <c r="AI4692" s="1115"/>
      <c r="AJ4692" s="1117"/>
      <c r="AK4692" s="1118"/>
      <c r="AL4692" s="1115"/>
      <c r="AM4692" s="1115"/>
      <c r="AN4692" s="1115"/>
      <c r="AO4692" s="1115"/>
      <c r="AP4692" s="1115"/>
      <c r="AQ4692" s="1115"/>
      <c r="AR4692" s="1115"/>
      <c r="AS4692" s="1117"/>
      <c r="AT4692" s="1075"/>
      <c r="AU4692" s="1193"/>
      <c r="AV4692" s="330"/>
      <c r="AW4692" s="331"/>
      <c r="AX4692" s="331"/>
      <c r="AY4692" s="331"/>
      <c r="AZ4692" s="331"/>
      <c r="BA4692" s="331"/>
      <c r="BB4692" s="331"/>
      <c r="BC4692" s="331"/>
      <c r="BD4692" s="331"/>
      <c r="BE4692" s="333"/>
      <c r="BF4692" s="330"/>
      <c r="BG4692" s="333"/>
      <c r="BH4692" s="1119"/>
      <c r="BI4692" s="319"/>
      <c r="BJ4692" s="319"/>
      <c r="BK4692" s="319"/>
      <c r="BL4692" s="319"/>
      <c r="BM4692" s="319"/>
      <c r="BN4692" s="319"/>
      <c r="BO4692" s="319"/>
      <c r="BP4692" s="953"/>
      <c r="BQ4692" s="319"/>
      <c r="BR4692" s="319"/>
      <c r="BS4692" s="330"/>
      <c r="BT4692" s="331"/>
      <c r="BU4692" s="920"/>
      <c r="BV4692" s="903"/>
      <c r="BW4692" s="908"/>
      <c r="BX4692" s="908"/>
      <c r="BY4692" s="331"/>
      <c r="BZ4692" s="331"/>
      <c r="CA4692" s="462"/>
      <c r="CB4692" s="319"/>
      <c r="CC4692" s="319"/>
      <c r="CD4692" s="319"/>
      <c r="CE4692" s="319"/>
      <c r="CF4692" s="319"/>
      <c r="CG4692" s="319"/>
      <c r="CH4692" s="318"/>
      <c r="CI4692" s="319"/>
      <c r="CJ4692" s="319"/>
      <c r="CK4692" s="342"/>
      <c r="CL4692" s="333"/>
      <c r="CM4692" s="1079"/>
      <c r="CN4692" s="1005"/>
      <c r="CO4692" s="1005"/>
      <c r="CP4692" s="1005"/>
    </row>
    <row r="4693">
      <c r="A4693" s="1257"/>
      <c r="B4693" s="1113"/>
      <c r="C4693" s="1107"/>
      <c r="D4693" s="103"/>
      <c r="E4693" s="1137"/>
      <c r="F4693" s="112"/>
      <c r="G4693" s="1110"/>
      <c r="H4693" s="1138"/>
      <c r="I4693" s="1138"/>
      <c r="J4693" s="1139"/>
      <c r="K4693" s="1111"/>
      <c r="L4693" s="1112"/>
      <c r="M4693" s="1113"/>
      <c r="N4693" s="110"/>
      <c r="O4693" s="1140"/>
      <c r="P4693" s="1115"/>
      <c r="Q4693" s="1116"/>
      <c r="R4693" s="1141"/>
      <c r="S4693" s="1113"/>
      <c r="T4693" s="1143"/>
      <c r="U4693" s="1108"/>
      <c r="V4693" s="1108"/>
      <c r="W4693" s="1108"/>
      <c r="X4693" s="1108"/>
      <c r="Y4693" s="1108"/>
      <c r="Z4693" s="1114"/>
      <c r="AA4693" s="1114"/>
      <c r="AB4693" s="1114"/>
      <c r="AC4693" s="1117"/>
      <c r="AD4693" s="1115"/>
      <c r="AE4693" s="1115"/>
      <c r="AF4693" s="1115"/>
      <c r="AG4693" s="1115"/>
      <c r="AH4693" s="1115"/>
      <c r="AI4693" s="1115"/>
      <c r="AJ4693" s="1117"/>
      <c r="AK4693" s="1118"/>
      <c r="AL4693" s="1115"/>
      <c r="AM4693" s="1115"/>
      <c r="AN4693" s="1115"/>
      <c r="AO4693" s="1115"/>
      <c r="AP4693" s="1115"/>
      <c r="AQ4693" s="1115"/>
      <c r="AR4693" s="1115"/>
      <c r="AS4693" s="1117"/>
      <c r="AT4693" s="1075"/>
      <c r="AU4693" s="1193"/>
      <c r="AV4693" s="330"/>
      <c r="AW4693" s="331"/>
      <c r="AX4693" s="331"/>
      <c r="AY4693" s="331"/>
      <c r="AZ4693" s="331"/>
      <c r="BA4693" s="331"/>
      <c r="BB4693" s="331"/>
      <c r="BC4693" s="331"/>
      <c r="BD4693" s="331"/>
      <c r="BE4693" s="333"/>
      <c r="BF4693" s="330"/>
      <c r="BG4693" s="333"/>
      <c r="BH4693" s="1119"/>
      <c r="BI4693" s="319"/>
      <c r="BJ4693" s="319"/>
      <c r="BK4693" s="319"/>
      <c r="BL4693" s="319"/>
      <c r="BM4693" s="319"/>
      <c r="BN4693" s="319"/>
      <c r="BO4693" s="319"/>
      <c r="BP4693" s="953"/>
      <c r="BQ4693" s="319"/>
      <c r="BR4693" s="319"/>
      <c r="BS4693" s="330"/>
      <c r="BT4693" s="331"/>
      <c r="BU4693" s="920"/>
      <c r="BV4693" s="903"/>
      <c r="BW4693" s="908"/>
      <c r="BX4693" s="908"/>
      <c r="BY4693" s="331"/>
      <c r="BZ4693" s="331"/>
      <c r="CA4693" s="462"/>
      <c r="CB4693" s="319"/>
      <c r="CC4693" s="319"/>
      <c r="CD4693" s="319"/>
      <c r="CE4693" s="319"/>
      <c r="CF4693" s="319"/>
      <c r="CG4693" s="319"/>
      <c r="CH4693" s="318"/>
      <c r="CI4693" s="319"/>
      <c r="CJ4693" s="319"/>
      <c r="CK4693" s="342"/>
      <c r="CL4693" s="333"/>
      <c r="CM4693" s="1079"/>
      <c r="CN4693" s="1005"/>
      <c r="CO4693" s="1005"/>
      <c r="CP4693" s="1005"/>
    </row>
    <row r="4694">
      <c r="A4694" s="1257"/>
      <c r="B4694" s="1113"/>
      <c r="C4694" s="1107"/>
      <c r="D4694" s="103"/>
      <c r="E4694" s="1137"/>
      <c r="F4694" s="112"/>
      <c r="G4694" s="1110"/>
      <c r="H4694" s="1138"/>
      <c r="I4694" s="1138"/>
      <c r="J4694" s="1139"/>
      <c r="K4694" s="1111"/>
      <c r="L4694" s="1112"/>
      <c r="M4694" s="1113"/>
      <c r="N4694" s="110"/>
      <c r="O4694" s="1140"/>
      <c r="P4694" s="1115"/>
      <c r="Q4694" s="1116"/>
      <c r="R4694" s="1141"/>
      <c r="S4694" s="1113"/>
      <c r="T4694" s="1143"/>
      <c r="U4694" s="1108"/>
      <c r="V4694" s="1108"/>
      <c r="W4694" s="1108"/>
      <c r="X4694" s="1108"/>
      <c r="Y4694" s="1108"/>
      <c r="Z4694" s="1114"/>
      <c r="AA4694" s="1114"/>
      <c r="AB4694" s="1114"/>
      <c r="AC4694" s="1117"/>
      <c r="AD4694" s="1115"/>
      <c r="AE4694" s="1115"/>
      <c r="AF4694" s="1115"/>
      <c r="AG4694" s="1115"/>
      <c r="AH4694" s="1115"/>
      <c r="AI4694" s="1115"/>
      <c r="AJ4694" s="1117"/>
      <c r="AK4694" s="1118"/>
      <c r="AL4694" s="1115"/>
      <c r="AM4694" s="1115"/>
      <c r="AN4694" s="1115"/>
      <c r="AO4694" s="1115"/>
      <c r="AP4694" s="1115"/>
      <c r="AQ4694" s="1115"/>
      <c r="AR4694" s="1115"/>
      <c r="AS4694" s="1117"/>
      <c r="AT4694" s="1075"/>
      <c r="AU4694" s="1193"/>
      <c r="AV4694" s="330"/>
      <c r="AW4694" s="331"/>
      <c r="AX4694" s="331"/>
      <c r="AY4694" s="331"/>
      <c r="AZ4694" s="331"/>
      <c r="BA4694" s="331"/>
      <c r="BB4694" s="331"/>
      <c r="BC4694" s="331"/>
      <c r="BD4694" s="331"/>
      <c r="BE4694" s="333"/>
      <c r="BF4694" s="330"/>
      <c r="BG4694" s="333"/>
      <c r="BH4694" s="1119"/>
      <c r="BI4694" s="319"/>
      <c r="BJ4694" s="319"/>
      <c r="BK4694" s="319"/>
      <c r="BL4694" s="319"/>
      <c r="BM4694" s="319"/>
      <c r="BN4694" s="319"/>
      <c r="BO4694" s="319"/>
      <c r="BP4694" s="953"/>
      <c r="BQ4694" s="319"/>
      <c r="BR4694" s="319"/>
      <c r="BS4694" s="330"/>
      <c r="BT4694" s="331"/>
      <c r="BU4694" s="920"/>
      <c r="BV4694" s="903"/>
      <c r="BW4694" s="908"/>
      <c r="BX4694" s="908"/>
      <c r="BY4694" s="331"/>
      <c r="BZ4694" s="331"/>
      <c r="CA4694" s="462"/>
      <c r="CB4694" s="319"/>
      <c r="CC4694" s="319"/>
      <c r="CD4694" s="319"/>
      <c r="CE4694" s="319"/>
      <c r="CF4694" s="319"/>
      <c r="CG4694" s="319"/>
      <c r="CH4694" s="318"/>
      <c r="CI4694" s="319"/>
      <c r="CJ4694" s="319"/>
      <c r="CK4694" s="342"/>
      <c r="CL4694" s="333"/>
      <c r="CM4694" s="1079"/>
      <c r="CN4694" s="1005"/>
      <c r="CO4694" s="1005"/>
      <c r="CP4694" s="1005"/>
    </row>
    <row r="4695">
      <c r="A4695" s="1257"/>
      <c r="B4695" s="1113"/>
      <c r="C4695" s="1107"/>
      <c r="D4695" s="103"/>
      <c r="E4695" s="1137"/>
      <c r="F4695" s="112"/>
      <c r="G4695" s="1110"/>
      <c r="H4695" s="1138"/>
      <c r="I4695" s="1138"/>
      <c r="J4695" s="1139"/>
      <c r="K4695" s="1111"/>
      <c r="L4695" s="1112"/>
      <c r="M4695" s="1113"/>
      <c r="N4695" s="110"/>
      <c r="O4695" s="1140"/>
      <c r="P4695" s="1115"/>
      <c r="Q4695" s="1116"/>
      <c r="R4695" s="1141"/>
      <c r="S4695" s="1113"/>
      <c r="T4695" s="1143"/>
      <c r="U4695" s="1108"/>
      <c r="V4695" s="1108"/>
      <c r="W4695" s="1108"/>
      <c r="X4695" s="1108"/>
      <c r="Y4695" s="1108"/>
      <c r="Z4695" s="1114"/>
      <c r="AA4695" s="1114"/>
      <c r="AB4695" s="1114"/>
      <c r="AC4695" s="1117"/>
      <c r="AD4695" s="1115"/>
      <c r="AE4695" s="1115"/>
      <c r="AF4695" s="1115"/>
      <c r="AG4695" s="1115"/>
      <c r="AH4695" s="1115"/>
      <c r="AI4695" s="1115"/>
      <c r="AJ4695" s="1117"/>
      <c r="AK4695" s="1118"/>
      <c r="AL4695" s="1115"/>
      <c r="AM4695" s="1115"/>
      <c r="AN4695" s="1115"/>
      <c r="AO4695" s="1115"/>
      <c r="AP4695" s="1115"/>
      <c r="AQ4695" s="1115"/>
      <c r="AR4695" s="1115"/>
      <c r="AS4695" s="1117"/>
      <c r="AT4695" s="1075"/>
      <c r="AU4695" s="1193"/>
      <c r="AV4695" s="330"/>
      <c r="AW4695" s="331"/>
      <c r="AX4695" s="331"/>
      <c r="AY4695" s="331"/>
      <c r="AZ4695" s="331"/>
      <c r="BA4695" s="331"/>
      <c r="BB4695" s="331"/>
      <c r="BC4695" s="331"/>
      <c r="BD4695" s="331"/>
      <c r="BE4695" s="333"/>
      <c r="BF4695" s="330"/>
      <c r="BG4695" s="333"/>
      <c r="BH4695" s="1119"/>
      <c r="BI4695" s="319"/>
      <c r="BJ4695" s="319"/>
      <c r="BK4695" s="319"/>
      <c r="BL4695" s="319"/>
      <c r="BM4695" s="319"/>
      <c r="BN4695" s="319"/>
      <c r="BO4695" s="319"/>
      <c r="BP4695" s="953"/>
      <c r="BQ4695" s="319"/>
      <c r="BR4695" s="319"/>
      <c r="BS4695" s="330"/>
      <c r="BT4695" s="331"/>
      <c r="BU4695" s="920"/>
      <c r="BV4695" s="903"/>
      <c r="BW4695" s="908"/>
      <c r="BX4695" s="908"/>
      <c r="BY4695" s="331"/>
      <c r="BZ4695" s="331"/>
      <c r="CA4695" s="462"/>
      <c r="CB4695" s="319"/>
      <c r="CC4695" s="319"/>
      <c r="CD4695" s="319"/>
      <c r="CE4695" s="319"/>
      <c r="CF4695" s="319"/>
      <c r="CG4695" s="319"/>
      <c r="CH4695" s="318"/>
      <c r="CI4695" s="319"/>
      <c r="CJ4695" s="319"/>
      <c r="CK4695" s="342"/>
      <c r="CL4695" s="333"/>
      <c r="CM4695" s="1079"/>
      <c r="CN4695" s="1005"/>
      <c r="CO4695" s="1005"/>
      <c r="CP4695" s="1005"/>
    </row>
    <row r="4696">
      <c r="A4696" s="1257"/>
      <c r="B4696" s="1113"/>
      <c r="C4696" s="1107"/>
      <c r="D4696" s="103"/>
      <c r="E4696" s="1137"/>
      <c r="F4696" s="112"/>
      <c r="G4696" s="1110"/>
      <c r="H4696" s="1138"/>
      <c r="I4696" s="1138"/>
      <c r="J4696" s="1139"/>
      <c r="K4696" s="1111"/>
      <c r="L4696" s="1112"/>
      <c r="M4696" s="1113"/>
      <c r="N4696" s="110"/>
      <c r="O4696" s="1140"/>
      <c r="P4696" s="1115"/>
      <c r="Q4696" s="1116"/>
      <c r="R4696" s="1141"/>
      <c r="S4696" s="1113"/>
      <c r="T4696" s="1143"/>
      <c r="U4696" s="1108"/>
      <c r="V4696" s="1108"/>
      <c r="W4696" s="1108"/>
      <c r="X4696" s="1108"/>
      <c r="Y4696" s="1108"/>
      <c r="Z4696" s="1114"/>
      <c r="AA4696" s="1114"/>
      <c r="AB4696" s="1114"/>
      <c r="AC4696" s="1117"/>
      <c r="AD4696" s="1115"/>
      <c r="AE4696" s="1115"/>
      <c r="AF4696" s="1115"/>
      <c r="AG4696" s="1115"/>
      <c r="AH4696" s="1115"/>
      <c r="AI4696" s="1115"/>
      <c r="AJ4696" s="1117"/>
      <c r="AK4696" s="1118"/>
      <c r="AL4696" s="1115"/>
      <c r="AM4696" s="1115"/>
      <c r="AN4696" s="1115"/>
      <c r="AO4696" s="1115"/>
      <c r="AP4696" s="1115"/>
      <c r="AQ4696" s="1115"/>
      <c r="AR4696" s="1115"/>
      <c r="AS4696" s="1117"/>
      <c r="AT4696" s="1075"/>
      <c r="AU4696" s="1193"/>
      <c r="AV4696" s="330"/>
      <c r="AW4696" s="331"/>
      <c r="AX4696" s="331"/>
      <c r="AY4696" s="331"/>
      <c r="AZ4696" s="331"/>
      <c r="BA4696" s="331"/>
      <c r="BB4696" s="331"/>
      <c r="BC4696" s="331"/>
      <c r="BD4696" s="331"/>
      <c r="BE4696" s="333"/>
      <c r="BF4696" s="330"/>
      <c r="BG4696" s="333"/>
      <c r="BH4696" s="1119"/>
      <c r="BI4696" s="319"/>
      <c r="BJ4696" s="319"/>
      <c r="BK4696" s="319"/>
      <c r="BL4696" s="319"/>
      <c r="BM4696" s="319"/>
      <c r="BN4696" s="319"/>
      <c r="BO4696" s="319"/>
      <c r="BP4696" s="953"/>
      <c r="BQ4696" s="319"/>
      <c r="BR4696" s="319"/>
      <c r="BS4696" s="330"/>
      <c r="BT4696" s="331"/>
      <c r="BU4696" s="920"/>
      <c r="BV4696" s="903"/>
      <c r="BW4696" s="908"/>
      <c r="BX4696" s="908"/>
      <c r="BY4696" s="331"/>
      <c r="BZ4696" s="331"/>
      <c r="CA4696" s="462"/>
      <c r="CB4696" s="319"/>
      <c r="CC4696" s="319"/>
      <c r="CD4696" s="319"/>
      <c r="CE4696" s="319"/>
      <c r="CF4696" s="319"/>
      <c r="CG4696" s="319"/>
      <c r="CH4696" s="318"/>
      <c r="CI4696" s="319"/>
      <c r="CJ4696" s="319"/>
      <c r="CK4696" s="342"/>
      <c r="CL4696" s="333"/>
      <c r="CM4696" s="1079"/>
      <c r="CN4696" s="1005"/>
      <c r="CO4696" s="1005"/>
      <c r="CP4696" s="1005"/>
    </row>
    <row r="4697">
      <c r="A4697" s="1257"/>
      <c r="B4697" s="1113"/>
      <c r="C4697" s="1107"/>
      <c r="D4697" s="103"/>
      <c r="E4697" s="1137"/>
      <c r="F4697" s="112"/>
      <c r="G4697" s="1110"/>
      <c r="H4697" s="1138"/>
      <c r="I4697" s="1138"/>
      <c r="J4697" s="1139"/>
      <c r="K4697" s="1111"/>
      <c r="L4697" s="1112"/>
      <c r="M4697" s="1113"/>
      <c r="N4697" s="110"/>
      <c r="O4697" s="1140"/>
      <c r="P4697" s="1115"/>
      <c r="Q4697" s="1116"/>
      <c r="R4697" s="1141"/>
      <c r="S4697" s="1113"/>
      <c r="T4697" s="1143"/>
      <c r="U4697" s="1108"/>
      <c r="V4697" s="1108"/>
      <c r="W4697" s="1108"/>
      <c r="X4697" s="1108"/>
      <c r="Y4697" s="1108"/>
      <c r="Z4697" s="1114"/>
      <c r="AA4697" s="1114"/>
      <c r="AB4697" s="1114"/>
      <c r="AC4697" s="1117"/>
      <c r="AD4697" s="1115"/>
      <c r="AE4697" s="1115"/>
      <c r="AF4697" s="1115"/>
      <c r="AG4697" s="1115"/>
      <c r="AH4697" s="1115"/>
      <c r="AI4697" s="1115"/>
      <c r="AJ4697" s="1117"/>
      <c r="AK4697" s="1118"/>
      <c r="AL4697" s="1115"/>
      <c r="AM4697" s="1115"/>
      <c r="AN4697" s="1115"/>
      <c r="AO4697" s="1115"/>
      <c r="AP4697" s="1115"/>
      <c r="AQ4697" s="1115"/>
      <c r="AR4697" s="1115"/>
      <c r="AS4697" s="1117"/>
      <c r="AT4697" s="1075"/>
      <c r="AU4697" s="1193"/>
      <c r="AV4697" s="330"/>
      <c r="AW4697" s="331"/>
      <c r="AX4697" s="331"/>
      <c r="AY4697" s="331"/>
      <c r="AZ4697" s="331"/>
      <c r="BA4697" s="331"/>
      <c r="BB4697" s="331"/>
      <c r="BC4697" s="331"/>
      <c r="BD4697" s="331"/>
      <c r="BE4697" s="333"/>
      <c r="BF4697" s="330"/>
      <c r="BG4697" s="333"/>
      <c r="BH4697" s="1119"/>
      <c r="BI4697" s="319"/>
      <c r="BJ4697" s="319"/>
      <c r="BK4697" s="319"/>
      <c r="BL4697" s="319"/>
      <c r="BM4697" s="319"/>
      <c r="BN4697" s="319"/>
      <c r="BO4697" s="319"/>
      <c r="BP4697" s="953"/>
      <c r="BQ4697" s="319"/>
      <c r="BR4697" s="319"/>
      <c r="BS4697" s="330"/>
      <c r="BT4697" s="331"/>
      <c r="BU4697" s="920"/>
      <c r="BV4697" s="903"/>
      <c r="BW4697" s="908"/>
      <c r="BX4697" s="908"/>
      <c r="BY4697" s="331"/>
      <c r="BZ4697" s="331"/>
      <c r="CA4697" s="462"/>
      <c r="CB4697" s="319"/>
      <c r="CC4697" s="319"/>
      <c r="CD4697" s="319"/>
      <c r="CE4697" s="319"/>
      <c r="CF4697" s="319"/>
      <c r="CG4697" s="319"/>
      <c r="CH4697" s="318"/>
      <c r="CI4697" s="319"/>
      <c r="CJ4697" s="319"/>
      <c r="CK4697" s="342"/>
      <c r="CL4697" s="333"/>
      <c r="CM4697" s="1079"/>
      <c r="CN4697" s="1005"/>
      <c r="CO4697" s="1005"/>
      <c r="CP4697" s="1005"/>
    </row>
    <row r="4698">
      <c r="A4698" s="1257"/>
      <c r="B4698" s="1113"/>
      <c r="C4698" s="1107"/>
      <c r="D4698" s="103"/>
      <c r="E4698" s="1137"/>
      <c r="F4698" s="112"/>
      <c r="G4698" s="1110"/>
      <c r="H4698" s="1138"/>
      <c r="I4698" s="1138"/>
      <c r="J4698" s="1139"/>
      <c r="K4698" s="1111"/>
      <c r="L4698" s="1112"/>
      <c r="M4698" s="1113"/>
      <c r="N4698" s="110"/>
      <c r="O4698" s="1140"/>
      <c r="P4698" s="1115"/>
      <c r="Q4698" s="1116"/>
      <c r="R4698" s="1141"/>
      <c r="S4698" s="1113"/>
      <c r="T4698" s="1143"/>
      <c r="U4698" s="1108"/>
      <c r="V4698" s="1108"/>
      <c r="W4698" s="1108"/>
      <c r="X4698" s="1108"/>
      <c r="Y4698" s="1108"/>
      <c r="Z4698" s="1114"/>
      <c r="AA4698" s="1114"/>
      <c r="AB4698" s="1114"/>
      <c r="AC4698" s="1117"/>
      <c r="AD4698" s="1115"/>
      <c r="AE4698" s="1115"/>
      <c r="AF4698" s="1115"/>
      <c r="AG4698" s="1115"/>
      <c r="AH4698" s="1115"/>
      <c r="AI4698" s="1115"/>
      <c r="AJ4698" s="1117"/>
      <c r="AK4698" s="1118"/>
      <c r="AL4698" s="1115"/>
      <c r="AM4698" s="1115"/>
      <c r="AN4698" s="1115"/>
      <c r="AO4698" s="1115"/>
      <c r="AP4698" s="1115"/>
      <c r="AQ4698" s="1115"/>
      <c r="AR4698" s="1115"/>
      <c r="AS4698" s="1117"/>
      <c r="AT4698" s="1075"/>
      <c r="AU4698" s="1193"/>
      <c r="AV4698" s="330"/>
      <c r="AW4698" s="331"/>
      <c r="AX4698" s="331"/>
      <c r="AY4698" s="331"/>
      <c r="AZ4698" s="331"/>
      <c r="BA4698" s="331"/>
      <c r="BB4698" s="331"/>
      <c r="BC4698" s="331"/>
      <c r="BD4698" s="331"/>
      <c r="BE4698" s="333"/>
      <c r="BF4698" s="330"/>
      <c r="BG4698" s="333"/>
      <c r="BH4698" s="1119"/>
      <c r="BI4698" s="319"/>
      <c r="BJ4698" s="319"/>
      <c r="BK4698" s="319"/>
      <c r="BL4698" s="319"/>
      <c r="BM4698" s="319"/>
      <c r="BN4698" s="319"/>
      <c r="BO4698" s="319"/>
      <c r="BP4698" s="953"/>
      <c r="BQ4698" s="319"/>
      <c r="BR4698" s="319"/>
      <c r="BS4698" s="330"/>
      <c r="BT4698" s="331"/>
      <c r="BU4698" s="920"/>
      <c r="BV4698" s="903"/>
      <c r="BW4698" s="908"/>
      <c r="BX4698" s="908"/>
      <c r="BY4698" s="331"/>
      <c r="BZ4698" s="331"/>
      <c r="CA4698" s="462"/>
      <c r="CB4698" s="319"/>
      <c r="CC4698" s="319"/>
      <c r="CD4698" s="319"/>
      <c r="CE4698" s="319"/>
      <c r="CF4698" s="319"/>
      <c r="CG4698" s="319"/>
      <c r="CH4698" s="318"/>
      <c r="CI4698" s="319"/>
      <c r="CJ4698" s="319"/>
      <c r="CK4698" s="342"/>
      <c r="CL4698" s="333"/>
      <c r="CM4698" s="1079"/>
      <c r="CN4698" s="1005"/>
      <c r="CO4698" s="1005"/>
      <c r="CP4698" s="1005"/>
    </row>
    <row r="4699">
      <c r="A4699" s="1257"/>
      <c r="B4699" s="1113"/>
      <c r="C4699" s="1107"/>
      <c r="D4699" s="103"/>
      <c r="E4699" s="1137"/>
      <c r="F4699" s="112"/>
      <c r="G4699" s="1110"/>
      <c r="H4699" s="1138"/>
      <c r="I4699" s="1138"/>
      <c r="J4699" s="1139"/>
      <c r="K4699" s="1111"/>
      <c r="L4699" s="1112"/>
      <c r="M4699" s="1113"/>
      <c r="N4699" s="110"/>
      <c r="O4699" s="1140"/>
      <c r="P4699" s="1115"/>
      <c r="Q4699" s="1116"/>
      <c r="R4699" s="1141"/>
      <c r="S4699" s="1113"/>
      <c r="T4699" s="1143"/>
      <c r="U4699" s="1108"/>
      <c r="V4699" s="1108"/>
      <c r="W4699" s="1108"/>
      <c r="X4699" s="1108"/>
      <c r="Y4699" s="1108"/>
      <c r="Z4699" s="1114"/>
      <c r="AA4699" s="1114"/>
      <c r="AB4699" s="1114"/>
      <c r="AC4699" s="1117"/>
      <c r="AD4699" s="1115"/>
      <c r="AE4699" s="1115"/>
      <c r="AF4699" s="1115"/>
      <c r="AG4699" s="1115"/>
      <c r="AH4699" s="1115"/>
      <c r="AI4699" s="1115"/>
      <c r="AJ4699" s="1117"/>
      <c r="AK4699" s="1118"/>
      <c r="AL4699" s="1115"/>
      <c r="AM4699" s="1115"/>
      <c r="AN4699" s="1115"/>
      <c r="AO4699" s="1115"/>
      <c r="AP4699" s="1115"/>
      <c r="AQ4699" s="1115"/>
      <c r="AR4699" s="1115"/>
      <c r="AS4699" s="1117"/>
      <c r="AT4699" s="1075"/>
      <c r="AU4699" s="1193"/>
      <c r="AV4699" s="330"/>
      <c r="AW4699" s="331"/>
      <c r="AX4699" s="331"/>
      <c r="AY4699" s="331"/>
      <c r="AZ4699" s="331"/>
      <c r="BA4699" s="331"/>
      <c r="BB4699" s="331"/>
      <c r="BC4699" s="331"/>
      <c r="BD4699" s="331"/>
      <c r="BE4699" s="333"/>
      <c r="BF4699" s="330"/>
      <c r="BG4699" s="333"/>
      <c r="BH4699" s="1119"/>
      <c r="BI4699" s="319"/>
      <c r="BJ4699" s="319"/>
      <c r="BK4699" s="319"/>
      <c r="BL4699" s="319"/>
      <c r="BM4699" s="319"/>
      <c r="BN4699" s="319"/>
      <c r="BO4699" s="319"/>
      <c r="BP4699" s="953"/>
      <c r="BQ4699" s="319"/>
      <c r="BR4699" s="319"/>
      <c r="BS4699" s="330"/>
      <c r="BT4699" s="331"/>
      <c r="BU4699" s="920"/>
      <c r="BV4699" s="903"/>
      <c r="BW4699" s="908"/>
      <c r="BX4699" s="908"/>
      <c r="BY4699" s="331"/>
      <c r="BZ4699" s="331"/>
      <c r="CA4699" s="462"/>
      <c r="CB4699" s="319"/>
      <c r="CC4699" s="319"/>
      <c r="CD4699" s="319"/>
      <c r="CE4699" s="319"/>
      <c r="CF4699" s="319"/>
      <c r="CG4699" s="319"/>
      <c r="CH4699" s="318"/>
      <c r="CI4699" s="319"/>
      <c r="CJ4699" s="319"/>
      <c r="CK4699" s="342"/>
      <c r="CL4699" s="333"/>
      <c r="CM4699" s="1079"/>
      <c r="CN4699" s="1005"/>
      <c r="CO4699" s="1005"/>
      <c r="CP4699" s="1005"/>
    </row>
    <row r="4700">
      <c r="A4700" s="1257"/>
      <c r="B4700" s="1113"/>
      <c r="C4700" s="1107"/>
      <c r="D4700" s="103"/>
      <c r="E4700" s="1137"/>
      <c r="F4700" s="112"/>
      <c r="G4700" s="1110"/>
      <c r="H4700" s="1138"/>
      <c r="I4700" s="1138"/>
      <c r="J4700" s="1139"/>
      <c r="K4700" s="1111"/>
      <c r="L4700" s="1112"/>
      <c r="M4700" s="1113"/>
      <c r="N4700" s="110"/>
      <c r="O4700" s="1140"/>
      <c r="P4700" s="1115"/>
      <c r="Q4700" s="1116"/>
      <c r="R4700" s="1141"/>
      <c r="S4700" s="1113"/>
      <c r="T4700" s="1143"/>
      <c r="U4700" s="1108"/>
      <c r="V4700" s="1108"/>
      <c r="W4700" s="1108"/>
      <c r="X4700" s="1108"/>
      <c r="Y4700" s="1108"/>
      <c r="Z4700" s="1114"/>
      <c r="AA4700" s="1114"/>
      <c r="AB4700" s="1114"/>
      <c r="AC4700" s="1117"/>
      <c r="AD4700" s="1115"/>
      <c r="AE4700" s="1115"/>
      <c r="AF4700" s="1115"/>
      <c r="AG4700" s="1115"/>
      <c r="AH4700" s="1115"/>
      <c r="AI4700" s="1115"/>
      <c r="AJ4700" s="1117"/>
      <c r="AK4700" s="1118"/>
      <c r="AL4700" s="1115"/>
      <c r="AM4700" s="1115"/>
      <c r="AN4700" s="1115"/>
      <c r="AO4700" s="1115"/>
      <c r="AP4700" s="1115"/>
      <c r="AQ4700" s="1115"/>
      <c r="AR4700" s="1115"/>
      <c r="AS4700" s="1117"/>
      <c r="AT4700" s="1075"/>
      <c r="AU4700" s="1193"/>
      <c r="AV4700" s="330"/>
      <c r="AW4700" s="331"/>
      <c r="AX4700" s="331"/>
      <c r="AY4700" s="331"/>
      <c r="AZ4700" s="331"/>
      <c r="BA4700" s="331"/>
      <c r="BB4700" s="331"/>
      <c r="BC4700" s="331"/>
      <c r="BD4700" s="331"/>
      <c r="BE4700" s="333"/>
      <c r="BF4700" s="330"/>
      <c r="BG4700" s="333"/>
      <c r="BH4700" s="1119"/>
      <c r="BI4700" s="319"/>
      <c r="BJ4700" s="319"/>
      <c r="BK4700" s="319"/>
      <c r="BL4700" s="319"/>
      <c r="BM4700" s="319"/>
      <c r="BN4700" s="319"/>
      <c r="BO4700" s="319"/>
      <c r="BP4700" s="953"/>
      <c r="BQ4700" s="319"/>
      <c r="BR4700" s="319"/>
      <c r="BS4700" s="330"/>
      <c r="BT4700" s="331"/>
      <c r="BU4700" s="920"/>
      <c r="BV4700" s="903"/>
      <c r="BW4700" s="908"/>
      <c r="BX4700" s="908"/>
      <c r="BY4700" s="331"/>
      <c r="BZ4700" s="331"/>
      <c r="CA4700" s="462"/>
      <c r="CB4700" s="319"/>
      <c r="CC4700" s="319"/>
      <c r="CD4700" s="319"/>
      <c r="CE4700" s="319"/>
      <c r="CF4700" s="319"/>
      <c r="CG4700" s="319"/>
      <c r="CH4700" s="318"/>
      <c r="CI4700" s="319"/>
      <c r="CJ4700" s="319"/>
      <c r="CK4700" s="342"/>
      <c r="CL4700" s="333"/>
      <c r="CM4700" s="1079"/>
      <c r="CN4700" s="1005"/>
      <c r="CO4700" s="1005"/>
      <c r="CP4700" s="1005"/>
    </row>
    <row r="4701">
      <c r="A4701" s="1257"/>
      <c r="B4701" s="1113"/>
      <c r="C4701" s="1107"/>
      <c r="D4701" s="103"/>
      <c r="E4701" s="1137"/>
      <c r="F4701" s="112"/>
      <c r="G4701" s="1110"/>
      <c r="H4701" s="1138"/>
      <c r="I4701" s="1138"/>
      <c r="J4701" s="1139"/>
      <c r="K4701" s="1111"/>
      <c r="L4701" s="1112"/>
      <c r="M4701" s="1113"/>
      <c r="N4701" s="110"/>
      <c r="O4701" s="1140"/>
      <c r="P4701" s="1115"/>
      <c r="Q4701" s="1116"/>
      <c r="R4701" s="1141"/>
      <c r="S4701" s="1113"/>
      <c r="T4701" s="1143"/>
      <c r="U4701" s="1108"/>
      <c r="V4701" s="1108"/>
      <c r="W4701" s="1108"/>
      <c r="X4701" s="1108"/>
      <c r="Y4701" s="1108"/>
      <c r="Z4701" s="1114"/>
      <c r="AA4701" s="1114"/>
      <c r="AB4701" s="1114"/>
      <c r="AC4701" s="1117"/>
      <c r="AD4701" s="1115"/>
      <c r="AE4701" s="1115"/>
      <c r="AF4701" s="1115"/>
      <c r="AG4701" s="1115"/>
      <c r="AH4701" s="1115"/>
      <c r="AI4701" s="1115"/>
      <c r="AJ4701" s="1117"/>
      <c r="AK4701" s="1118"/>
      <c r="AL4701" s="1115"/>
      <c r="AM4701" s="1115"/>
      <c r="AN4701" s="1115"/>
      <c r="AO4701" s="1115"/>
      <c r="AP4701" s="1115"/>
      <c r="AQ4701" s="1115"/>
      <c r="AR4701" s="1115"/>
      <c r="AS4701" s="1117"/>
      <c r="AT4701" s="1075"/>
      <c r="AU4701" s="1193"/>
      <c r="AV4701" s="330"/>
      <c r="AW4701" s="331"/>
      <c r="AX4701" s="331"/>
      <c r="AY4701" s="331"/>
      <c r="AZ4701" s="331"/>
      <c r="BA4701" s="331"/>
      <c r="BB4701" s="331"/>
      <c r="BC4701" s="331"/>
      <c r="BD4701" s="331"/>
      <c r="BE4701" s="333"/>
      <c r="BF4701" s="330"/>
      <c r="BG4701" s="333"/>
      <c r="BH4701" s="1119"/>
      <c r="BI4701" s="319"/>
      <c r="BJ4701" s="319"/>
      <c r="BK4701" s="319"/>
      <c r="BL4701" s="319"/>
      <c r="BM4701" s="319"/>
      <c r="BN4701" s="319"/>
      <c r="BO4701" s="319"/>
      <c r="BP4701" s="953"/>
      <c r="BQ4701" s="319"/>
      <c r="BR4701" s="319"/>
      <c r="BS4701" s="330"/>
      <c r="BT4701" s="331"/>
      <c r="BU4701" s="920"/>
      <c r="BV4701" s="903"/>
      <c r="BW4701" s="908"/>
      <c r="BX4701" s="908"/>
      <c r="BY4701" s="331"/>
      <c r="BZ4701" s="331"/>
      <c r="CA4701" s="462"/>
      <c r="CB4701" s="319"/>
      <c r="CC4701" s="319"/>
      <c r="CD4701" s="319"/>
      <c r="CE4701" s="319"/>
      <c r="CF4701" s="319"/>
      <c r="CG4701" s="319"/>
      <c r="CH4701" s="318"/>
      <c r="CI4701" s="319"/>
      <c r="CJ4701" s="319"/>
      <c r="CK4701" s="342"/>
      <c r="CL4701" s="333"/>
      <c r="CM4701" s="1079"/>
      <c r="CN4701" s="1005"/>
      <c r="CO4701" s="1005"/>
      <c r="CP4701" s="1005"/>
    </row>
    <row r="4702">
      <c r="A4702" s="1257"/>
      <c r="B4702" s="1113"/>
      <c r="C4702" s="1107"/>
      <c r="D4702" s="103"/>
      <c r="E4702" s="1137"/>
      <c r="F4702" s="112"/>
      <c r="G4702" s="1110"/>
      <c r="H4702" s="1138"/>
      <c r="I4702" s="1138"/>
      <c r="J4702" s="1139"/>
      <c r="K4702" s="1111"/>
      <c r="L4702" s="1112"/>
      <c r="M4702" s="1113"/>
      <c r="N4702" s="110"/>
      <c r="O4702" s="1140"/>
      <c r="P4702" s="1115"/>
      <c r="Q4702" s="1116"/>
      <c r="R4702" s="1141"/>
      <c r="S4702" s="1113"/>
      <c r="T4702" s="1143"/>
      <c r="U4702" s="1108"/>
      <c r="V4702" s="1108"/>
      <c r="W4702" s="1108"/>
      <c r="X4702" s="1108"/>
      <c r="Y4702" s="1108"/>
      <c r="Z4702" s="1114"/>
      <c r="AA4702" s="1114"/>
      <c r="AB4702" s="1114"/>
      <c r="AC4702" s="1117"/>
      <c r="AD4702" s="1115"/>
      <c r="AE4702" s="1115"/>
      <c r="AF4702" s="1115"/>
      <c r="AG4702" s="1115"/>
      <c r="AH4702" s="1115"/>
      <c r="AI4702" s="1115"/>
      <c r="AJ4702" s="1117"/>
      <c r="AK4702" s="1118"/>
      <c r="AL4702" s="1115"/>
      <c r="AM4702" s="1115"/>
      <c r="AN4702" s="1115"/>
      <c r="AO4702" s="1115"/>
      <c r="AP4702" s="1115"/>
      <c r="AQ4702" s="1115"/>
      <c r="AR4702" s="1115"/>
      <c r="AS4702" s="1117"/>
      <c r="AT4702" s="1075"/>
      <c r="AU4702" s="1193"/>
      <c r="AV4702" s="330"/>
      <c r="AW4702" s="331"/>
      <c r="AX4702" s="331"/>
      <c r="AY4702" s="331"/>
      <c r="AZ4702" s="331"/>
      <c r="BA4702" s="331"/>
      <c r="BB4702" s="331"/>
      <c r="BC4702" s="331"/>
      <c r="BD4702" s="331"/>
      <c r="BE4702" s="333"/>
      <c r="BF4702" s="330"/>
      <c r="BG4702" s="333"/>
      <c r="BH4702" s="1119"/>
      <c r="BI4702" s="319"/>
      <c r="BJ4702" s="319"/>
      <c r="BK4702" s="319"/>
      <c r="BL4702" s="319"/>
      <c r="BM4702" s="319"/>
      <c r="BN4702" s="319"/>
      <c r="BO4702" s="319"/>
      <c r="BP4702" s="953"/>
      <c r="BQ4702" s="319"/>
      <c r="BR4702" s="319"/>
      <c r="BS4702" s="330"/>
      <c r="BT4702" s="331"/>
      <c r="BU4702" s="920"/>
      <c r="BV4702" s="903"/>
      <c r="BW4702" s="908"/>
      <c r="BX4702" s="908"/>
      <c r="BY4702" s="331"/>
      <c r="BZ4702" s="331"/>
      <c r="CA4702" s="462"/>
      <c r="CB4702" s="319"/>
      <c r="CC4702" s="319"/>
      <c r="CD4702" s="319"/>
      <c r="CE4702" s="319"/>
      <c r="CF4702" s="319"/>
      <c r="CG4702" s="319"/>
      <c r="CH4702" s="318"/>
      <c r="CI4702" s="319"/>
      <c r="CJ4702" s="319"/>
      <c r="CK4702" s="342"/>
      <c r="CL4702" s="333"/>
      <c r="CM4702" s="1079"/>
      <c r="CN4702" s="1005"/>
      <c r="CO4702" s="1005"/>
      <c r="CP4702" s="1005"/>
    </row>
    <row r="4703">
      <c r="A4703" s="1257"/>
      <c r="B4703" s="1113"/>
      <c r="C4703" s="1107"/>
      <c r="D4703" s="103"/>
      <c r="E4703" s="1137"/>
      <c r="F4703" s="112"/>
      <c r="G4703" s="1110"/>
      <c r="H4703" s="1138"/>
      <c r="I4703" s="1138"/>
      <c r="J4703" s="1139"/>
      <c r="K4703" s="1111"/>
      <c r="L4703" s="1112"/>
      <c r="M4703" s="1113"/>
      <c r="N4703" s="110"/>
      <c r="O4703" s="1140"/>
      <c r="P4703" s="1115"/>
      <c r="Q4703" s="1116"/>
      <c r="R4703" s="1141"/>
      <c r="S4703" s="1113"/>
      <c r="T4703" s="1143"/>
      <c r="U4703" s="1108"/>
      <c r="V4703" s="1108"/>
      <c r="W4703" s="1108"/>
      <c r="X4703" s="1108"/>
      <c r="Y4703" s="1108"/>
      <c r="Z4703" s="1114"/>
      <c r="AA4703" s="1114"/>
      <c r="AB4703" s="1114"/>
      <c r="AC4703" s="1117"/>
      <c r="AD4703" s="1115"/>
      <c r="AE4703" s="1115"/>
      <c r="AF4703" s="1115"/>
      <c r="AG4703" s="1115"/>
      <c r="AH4703" s="1115"/>
      <c r="AI4703" s="1115"/>
      <c r="AJ4703" s="1117"/>
      <c r="AK4703" s="1118"/>
      <c r="AL4703" s="1115"/>
      <c r="AM4703" s="1115"/>
      <c r="AN4703" s="1115"/>
      <c r="AO4703" s="1115"/>
      <c r="AP4703" s="1115"/>
      <c r="AQ4703" s="1115"/>
      <c r="AR4703" s="1115"/>
      <c r="AS4703" s="1117"/>
      <c r="AT4703" s="1075"/>
      <c r="AU4703" s="1193"/>
      <c r="AV4703" s="330"/>
      <c r="AW4703" s="331"/>
      <c r="AX4703" s="331"/>
      <c r="AY4703" s="331"/>
      <c r="AZ4703" s="331"/>
      <c r="BA4703" s="331"/>
      <c r="BB4703" s="331"/>
      <c r="BC4703" s="331"/>
      <c r="BD4703" s="331"/>
      <c r="BE4703" s="333"/>
      <c r="BF4703" s="330"/>
      <c r="BG4703" s="333"/>
      <c r="BH4703" s="1119"/>
      <c r="BI4703" s="319"/>
      <c r="BJ4703" s="319"/>
      <c r="BK4703" s="319"/>
      <c r="BL4703" s="319"/>
      <c r="BM4703" s="319"/>
      <c r="BN4703" s="319"/>
      <c r="BO4703" s="319"/>
      <c r="BP4703" s="953"/>
      <c r="BQ4703" s="319"/>
      <c r="BR4703" s="319"/>
      <c r="BS4703" s="330"/>
      <c r="BT4703" s="331"/>
      <c r="BU4703" s="920"/>
      <c r="BV4703" s="903"/>
      <c r="BW4703" s="908"/>
      <c r="BX4703" s="908"/>
      <c r="BY4703" s="331"/>
      <c r="BZ4703" s="331"/>
      <c r="CA4703" s="462"/>
      <c r="CB4703" s="319"/>
      <c r="CC4703" s="319"/>
      <c r="CD4703" s="319"/>
      <c r="CE4703" s="319"/>
      <c r="CF4703" s="319"/>
      <c r="CG4703" s="319"/>
      <c r="CH4703" s="318"/>
      <c r="CI4703" s="319"/>
      <c r="CJ4703" s="319"/>
      <c r="CK4703" s="342"/>
      <c r="CL4703" s="333"/>
      <c r="CM4703" s="1079"/>
      <c r="CN4703" s="1005"/>
      <c r="CO4703" s="1005"/>
      <c r="CP4703" s="1005"/>
    </row>
    <row r="4704">
      <c r="A4704" s="1257"/>
      <c r="B4704" s="1113"/>
      <c r="C4704" s="1107"/>
      <c r="D4704" s="103"/>
      <c r="E4704" s="1137"/>
      <c r="F4704" s="112"/>
      <c r="G4704" s="1110"/>
      <c r="H4704" s="1138"/>
      <c r="I4704" s="1138"/>
      <c r="J4704" s="1139"/>
      <c r="K4704" s="1111"/>
      <c r="L4704" s="1112"/>
      <c r="M4704" s="1113"/>
      <c r="N4704" s="110"/>
      <c r="O4704" s="1140"/>
      <c r="P4704" s="1115"/>
      <c r="Q4704" s="1116"/>
      <c r="R4704" s="1141"/>
      <c r="S4704" s="1113"/>
      <c r="T4704" s="1143"/>
      <c r="U4704" s="1108"/>
      <c r="V4704" s="1108"/>
      <c r="W4704" s="1108"/>
      <c r="X4704" s="1108"/>
      <c r="Y4704" s="1108"/>
      <c r="Z4704" s="1114"/>
      <c r="AA4704" s="1114"/>
      <c r="AB4704" s="1114"/>
      <c r="AC4704" s="1117"/>
      <c r="AD4704" s="1115"/>
      <c r="AE4704" s="1115"/>
      <c r="AF4704" s="1115"/>
      <c r="AG4704" s="1115"/>
      <c r="AH4704" s="1115"/>
      <c r="AI4704" s="1115"/>
      <c r="AJ4704" s="1117"/>
      <c r="AK4704" s="1118"/>
      <c r="AL4704" s="1115"/>
      <c r="AM4704" s="1115"/>
      <c r="AN4704" s="1115"/>
      <c r="AO4704" s="1115"/>
      <c r="AP4704" s="1115"/>
      <c r="AQ4704" s="1115"/>
      <c r="AR4704" s="1115"/>
      <c r="AS4704" s="1117"/>
      <c r="AT4704" s="1075"/>
      <c r="AU4704" s="1193"/>
      <c r="AV4704" s="330"/>
      <c r="AW4704" s="331"/>
      <c r="AX4704" s="331"/>
      <c r="AY4704" s="331"/>
      <c r="AZ4704" s="331"/>
      <c r="BA4704" s="331"/>
      <c r="BB4704" s="331"/>
      <c r="BC4704" s="331"/>
      <c r="BD4704" s="331"/>
      <c r="BE4704" s="333"/>
      <c r="BF4704" s="330"/>
      <c r="BG4704" s="333"/>
      <c r="BH4704" s="1119"/>
      <c r="BI4704" s="319"/>
      <c r="BJ4704" s="319"/>
      <c r="BK4704" s="319"/>
      <c r="BL4704" s="319"/>
      <c r="BM4704" s="319"/>
      <c r="BN4704" s="319"/>
      <c r="BO4704" s="319"/>
      <c r="BP4704" s="953"/>
      <c r="BQ4704" s="319"/>
      <c r="BR4704" s="319"/>
      <c r="BS4704" s="330"/>
      <c r="BT4704" s="331"/>
      <c r="BU4704" s="920"/>
      <c r="BV4704" s="903"/>
      <c r="BW4704" s="908"/>
      <c r="BX4704" s="908"/>
      <c r="BY4704" s="331"/>
      <c r="BZ4704" s="331"/>
      <c r="CA4704" s="462"/>
      <c r="CB4704" s="319"/>
      <c r="CC4704" s="319"/>
      <c r="CD4704" s="319"/>
      <c r="CE4704" s="319"/>
      <c r="CF4704" s="319"/>
      <c r="CG4704" s="319"/>
      <c r="CH4704" s="318"/>
      <c r="CI4704" s="319"/>
      <c r="CJ4704" s="319"/>
      <c r="CK4704" s="342"/>
      <c r="CL4704" s="333"/>
      <c r="CM4704" s="1079"/>
      <c r="CN4704" s="1005"/>
      <c r="CO4704" s="1005"/>
      <c r="CP4704" s="1005"/>
    </row>
    <row r="4705">
      <c r="A4705" s="1257"/>
      <c r="B4705" s="1113"/>
      <c r="C4705" s="1107"/>
      <c r="D4705" s="103"/>
      <c r="E4705" s="1137"/>
      <c r="F4705" s="112"/>
      <c r="G4705" s="1110"/>
      <c r="H4705" s="1138"/>
      <c r="I4705" s="1138"/>
      <c r="J4705" s="1139"/>
      <c r="K4705" s="1111"/>
      <c r="L4705" s="1112"/>
      <c r="M4705" s="1113"/>
      <c r="N4705" s="110"/>
      <c r="O4705" s="1140"/>
      <c r="P4705" s="1115"/>
      <c r="Q4705" s="1116"/>
      <c r="R4705" s="1141"/>
      <c r="S4705" s="1113"/>
      <c r="T4705" s="1143"/>
      <c r="U4705" s="1108"/>
      <c r="V4705" s="1108"/>
      <c r="W4705" s="1108"/>
      <c r="X4705" s="1108"/>
      <c r="Y4705" s="1108"/>
      <c r="Z4705" s="1114"/>
      <c r="AA4705" s="1114"/>
      <c r="AB4705" s="1114"/>
      <c r="AC4705" s="1117"/>
      <c r="AD4705" s="1115"/>
      <c r="AE4705" s="1115"/>
      <c r="AF4705" s="1115"/>
      <c r="AG4705" s="1115"/>
      <c r="AH4705" s="1115"/>
      <c r="AI4705" s="1115"/>
      <c r="AJ4705" s="1117"/>
      <c r="AK4705" s="1118"/>
      <c r="AL4705" s="1115"/>
      <c r="AM4705" s="1115"/>
      <c r="AN4705" s="1115"/>
      <c r="AO4705" s="1115"/>
      <c r="AP4705" s="1115"/>
      <c r="AQ4705" s="1115"/>
      <c r="AR4705" s="1115"/>
      <c r="AS4705" s="1117"/>
      <c r="AT4705" s="1075"/>
      <c r="AU4705" s="1193"/>
      <c r="AV4705" s="330"/>
      <c r="AW4705" s="331"/>
      <c r="AX4705" s="331"/>
      <c r="AY4705" s="331"/>
      <c r="AZ4705" s="331"/>
      <c r="BA4705" s="331"/>
      <c r="BB4705" s="331"/>
      <c r="BC4705" s="331"/>
      <c r="BD4705" s="331"/>
      <c r="BE4705" s="333"/>
      <c r="BF4705" s="330"/>
      <c r="BG4705" s="333"/>
      <c r="BH4705" s="1119"/>
      <c r="BI4705" s="319"/>
      <c r="BJ4705" s="319"/>
      <c r="BK4705" s="319"/>
      <c r="BL4705" s="319"/>
      <c r="BM4705" s="319"/>
      <c r="BN4705" s="319"/>
      <c r="BO4705" s="319"/>
      <c r="BP4705" s="953"/>
      <c r="BQ4705" s="319"/>
      <c r="BR4705" s="319"/>
      <c r="BS4705" s="330"/>
      <c r="BT4705" s="331"/>
      <c r="BU4705" s="920"/>
      <c r="BV4705" s="903"/>
      <c r="BW4705" s="908"/>
      <c r="BX4705" s="908"/>
      <c r="BY4705" s="331"/>
      <c r="BZ4705" s="331"/>
      <c r="CA4705" s="462"/>
      <c r="CB4705" s="319"/>
      <c r="CC4705" s="319"/>
      <c r="CD4705" s="319"/>
      <c r="CE4705" s="319"/>
      <c r="CF4705" s="319"/>
      <c r="CG4705" s="319"/>
      <c r="CH4705" s="318"/>
      <c r="CI4705" s="319"/>
      <c r="CJ4705" s="319"/>
      <c r="CK4705" s="342"/>
      <c r="CL4705" s="333"/>
      <c r="CM4705" s="1079"/>
      <c r="CN4705" s="1005"/>
      <c r="CO4705" s="1005"/>
      <c r="CP4705" s="1005"/>
    </row>
    <row r="4706">
      <c r="A4706" s="1257"/>
      <c r="B4706" s="1113"/>
      <c r="C4706" s="1107"/>
      <c r="D4706" s="103"/>
      <c r="E4706" s="1137"/>
      <c r="F4706" s="112"/>
      <c r="G4706" s="1110"/>
      <c r="H4706" s="1138"/>
      <c r="I4706" s="1138"/>
      <c r="J4706" s="1139"/>
      <c r="K4706" s="1111"/>
      <c r="L4706" s="1112"/>
      <c r="M4706" s="1113"/>
      <c r="N4706" s="110"/>
      <c r="O4706" s="1140"/>
      <c r="P4706" s="1115"/>
      <c r="Q4706" s="1116"/>
      <c r="R4706" s="1141"/>
      <c r="S4706" s="1113"/>
      <c r="T4706" s="1143"/>
      <c r="U4706" s="1108"/>
      <c r="V4706" s="1108"/>
      <c r="W4706" s="1108"/>
      <c r="X4706" s="1108"/>
      <c r="Y4706" s="1108"/>
      <c r="Z4706" s="1114"/>
      <c r="AA4706" s="1114"/>
      <c r="AB4706" s="1114"/>
      <c r="AC4706" s="1117"/>
      <c r="AD4706" s="1115"/>
      <c r="AE4706" s="1115"/>
      <c r="AF4706" s="1115"/>
      <c r="AG4706" s="1115"/>
      <c r="AH4706" s="1115"/>
      <c r="AI4706" s="1115"/>
      <c r="AJ4706" s="1117"/>
      <c r="AK4706" s="1118"/>
      <c r="AL4706" s="1115"/>
      <c r="AM4706" s="1115"/>
      <c r="AN4706" s="1115"/>
      <c r="AO4706" s="1115"/>
      <c r="AP4706" s="1115"/>
      <c r="AQ4706" s="1115"/>
      <c r="AR4706" s="1115"/>
      <c r="AS4706" s="1117"/>
      <c r="AT4706" s="1075"/>
      <c r="AU4706" s="1193"/>
      <c r="AV4706" s="330"/>
      <c r="AW4706" s="331"/>
      <c r="AX4706" s="331"/>
      <c r="AY4706" s="331"/>
      <c r="AZ4706" s="331"/>
      <c r="BA4706" s="331"/>
      <c r="BB4706" s="331"/>
      <c r="BC4706" s="331"/>
      <c r="BD4706" s="331"/>
      <c r="BE4706" s="333"/>
      <c r="BF4706" s="330"/>
      <c r="BG4706" s="333"/>
      <c r="BH4706" s="1119"/>
      <c r="BI4706" s="319"/>
      <c r="BJ4706" s="319"/>
      <c r="BK4706" s="319"/>
      <c r="BL4706" s="319"/>
      <c r="BM4706" s="319"/>
      <c r="BN4706" s="319"/>
      <c r="BO4706" s="319"/>
      <c r="BP4706" s="953"/>
      <c r="BQ4706" s="319"/>
      <c r="BR4706" s="319"/>
      <c r="BS4706" s="330"/>
      <c r="BT4706" s="331"/>
      <c r="BU4706" s="920"/>
      <c r="BV4706" s="903"/>
      <c r="BW4706" s="908"/>
      <c r="BX4706" s="908"/>
      <c r="BY4706" s="331"/>
      <c r="BZ4706" s="331"/>
      <c r="CA4706" s="462"/>
      <c r="CB4706" s="319"/>
      <c r="CC4706" s="319"/>
      <c r="CD4706" s="319"/>
      <c r="CE4706" s="319"/>
      <c r="CF4706" s="319"/>
      <c r="CG4706" s="319"/>
      <c r="CH4706" s="318"/>
      <c r="CI4706" s="319"/>
      <c r="CJ4706" s="319"/>
      <c r="CK4706" s="342"/>
      <c r="CL4706" s="333"/>
      <c r="CM4706" s="1079"/>
      <c r="CN4706" s="1005"/>
      <c r="CO4706" s="1005"/>
      <c r="CP4706" s="1005"/>
    </row>
    <row r="4707">
      <c r="A4707" s="1257"/>
      <c r="B4707" s="1113"/>
      <c r="C4707" s="1107"/>
      <c r="D4707" s="103"/>
      <c r="E4707" s="1137"/>
      <c r="F4707" s="112"/>
      <c r="G4707" s="1110"/>
      <c r="H4707" s="1138"/>
      <c r="I4707" s="1138"/>
      <c r="J4707" s="1139"/>
      <c r="K4707" s="1111"/>
      <c r="L4707" s="1112"/>
      <c r="M4707" s="1113"/>
      <c r="N4707" s="110"/>
      <c r="O4707" s="1140"/>
      <c r="P4707" s="1115"/>
      <c r="Q4707" s="1116"/>
      <c r="R4707" s="1141"/>
      <c r="S4707" s="1113"/>
      <c r="T4707" s="1143"/>
      <c r="U4707" s="1108"/>
      <c r="V4707" s="1108"/>
      <c r="W4707" s="1108"/>
      <c r="X4707" s="1108"/>
      <c r="Y4707" s="1108"/>
      <c r="Z4707" s="1114"/>
      <c r="AA4707" s="1114"/>
      <c r="AB4707" s="1114"/>
      <c r="AC4707" s="1117"/>
      <c r="AD4707" s="1115"/>
      <c r="AE4707" s="1115"/>
      <c r="AF4707" s="1115"/>
      <c r="AG4707" s="1115"/>
      <c r="AH4707" s="1115"/>
      <c r="AI4707" s="1115"/>
      <c r="AJ4707" s="1117"/>
      <c r="AK4707" s="1118"/>
      <c r="AL4707" s="1115"/>
      <c r="AM4707" s="1115"/>
      <c r="AN4707" s="1115"/>
      <c r="AO4707" s="1115"/>
      <c r="AP4707" s="1115"/>
      <c r="AQ4707" s="1115"/>
      <c r="AR4707" s="1115"/>
      <c r="AS4707" s="1117"/>
      <c r="AT4707" s="1075"/>
      <c r="AU4707" s="1193"/>
      <c r="AV4707" s="330"/>
      <c r="AW4707" s="331"/>
      <c r="AX4707" s="331"/>
      <c r="AY4707" s="331"/>
      <c r="AZ4707" s="331"/>
      <c r="BA4707" s="331"/>
      <c r="BB4707" s="331"/>
      <c r="BC4707" s="331"/>
      <c r="BD4707" s="331"/>
      <c r="BE4707" s="333"/>
      <c r="BF4707" s="330"/>
      <c r="BG4707" s="333"/>
      <c r="BH4707" s="1119"/>
      <c r="BI4707" s="319"/>
      <c r="BJ4707" s="319"/>
      <c r="BK4707" s="319"/>
      <c r="BL4707" s="319"/>
      <c r="BM4707" s="319"/>
      <c r="BN4707" s="319"/>
      <c r="BO4707" s="319"/>
      <c r="BP4707" s="953"/>
      <c r="BQ4707" s="319"/>
      <c r="BR4707" s="319"/>
      <c r="BS4707" s="330"/>
      <c r="BT4707" s="331"/>
      <c r="BU4707" s="920"/>
      <c r="BV4707" s="903"/>
      <c r="BW4707" s="908"/>
      <c r="BX4707" s="908"/>
      <c r="BY4707" s="331"/>
      <c r="BZ4707" s="331"/>
      <c r="CA4707" s="462"/>
      <c r="CB4707" s="319"/>
      <c r="CC4707" s="319"/>
      <c r="CD4707" s="319"/>
      <c r="CE4707" s="319"/>
      <c r="CF4707" s="319"/>
      <c r="CG4707" s="319"/>
      <c r="CH4707" s="318"/>
      <c r="CI4707" s="319"/>
      <c r="CJ4707" s="319"/>
      <c r="CK4707" s="342"/>
      <c r="CL4707" s="333"/>
      <c r="CM4707" s="1079"/>
      <c r="CN4707" s="1005"/>
      <c r="CO4707" s="1005"/>
      <c r="CP4707" s="1005"/>
    </row>
    <row r="4708">
      <c r="A4708" s="1257"/>
      <c r="B4708" s="1113"/>
      <c r="C4708" s="1107"/>
      <c r="D4708" s="103"/>
      <c r="E4708" s="1137"/>
      <c r="F4708" s="112"/>
      <c r="G4708" s="1110"/>
      <c r="H4708" s="1138"/>
      <c r="I4708" s="1138"/>
      <c r="J4708" s="1139"/>
      <c r="K4708" s="1111"/>
      <c r="L4708" s="1112"/>
      <c r="M4708" s="1113"/>
      <c r="N4708" s="110"/>
      <c r="O4708" s="1140"/>
      <c r="P4708" s="1115"/>
      <c r="Q4708" s="1116"/>
      <c r="R4708" s="1141"/>
      <c r="S4708" s="1113"/>
      <c r="T4708" s="1143"/>
      <c r="U4708" s="1108"/>
      <c r="V4708" s="1108"/>
      <c r="W4708" s="1108"/>
      <c r="X4708" s="1108"/>
      <c r="Y4708" s="1108"/>
      <c r="Z4708" s="1114"/>
      <c r="AA4708" s="1114"/>
      <c r="AB4708" s="1114"/>
      <c r="AC4708" s="1117"/>
      <c r="AD4708" s="1115"/>
      <c r="AE4708" s="1115"/>
      <c r="AF4708" s="1115"/>
      <c r="AG4708" s="1115"/>
      <c r="AH4708" s="1115"/>
      <c r="AI4708" s="1115"/>
      <c r="AJ4708" s="1117"/>
      <c r="AK4708" s="1118"/>
      <c r="AL4708" s="1115"/>
      <c r="AM4708" s="1115"/>
      <c r="AN4708" s="1115"/>
      <c r="AO4708" s="1115"/>
      <c r="AP4708" s="1115"/>
      <c r="AQ4708" s="1115"/>
      <c r="AR4708" s="1115"/>
      <c r="AS4708" s="1117"/>
      <c r="AT4708" s="1075"/>
      <c r="AU4708" s="1193"/>
      <c r="AV4708" s="330"/>
      <c r="AW4708" s="331"/>
      <c r="AX4708" s="331"/>
      <c r="AY4708" s="331"/>
      <c r="AZ4708" s="331"/>
      <c r="BA4708" s="331"/>
      <c r="BB4708" s="331"/>
      <c r="BC4708" s="331"/>
      <c r="BD4708" s="331"/>
      <c r="BE4708" s="333"/>
      <c r="BF4708" s="330"/>
      <c r="BG4708" s="333"/>
      <c r="BH4708" s="1119"/>
      <c r="BI4708" s="319"/>
      <c r="BJ4708" s="319"/>
      <c r="BK4708" s="319"/>
      <c r="BL4708" s="319"/>
      <c r="BM4708" s="319"/>
      <c r="BN4708" s="319"/>
      <c r="BO4708" s="319"/>
      <c r="BP4708" s="953"/>
      <c r="BQ4708" s="319"/>
      <c r="BR4708" s="319"/>
      <c r="BS4708" s="330"/>
      <c r="BT4708" s="331"/>
      <c r="BU4708" s="920"/>
      <c r="BV4708" s="903"/>
      <c r="BW4708" s="908"/>
      <c r="BX4708" s="908"/>
      <c r="BY4708" s="331"/>
      <c r="BZ4708" s="331"/>
      <c r="CA4708" s="462"/>
      <c r="CB4708" s="319"/>
      <c r="CC4708" s="319"/>
      <c r="CD4708" s="319"/>
      <c r="CE4708" s="319"/>
      <c r="CF4708" s="319"/>
      <c r="CG4708" s="319"/>
      <c r="CH4708" s="318"/>
      <c r="CI4708" s="319"/>
      <c r="CJ4708" s="319"/>
      <c r="CK4708" s="342"/>
      <c r="CL4708" s="333"/>
      <c r="CM4708" s="1079"/>
      <c r="CN4708" s="1005"/>
      <c r="CO4708" s="1005"/>
      <c r="CP4708" s="1005"/>
    </row>
    <row r="4709">
      <c r="A4709" s="1257"/>
      <c r="B4709" s="1113"/>
      <c r="C4709" s="1107"/>
      <c r="D4709" s="103"/>
      <c r="E4709" s="1137"/>
      <c r="F4709" s="112"/>
      <c r="G4709" s="1110"/>
      <c r="H4709" s="1138"/>
      <c r="I4709" s="1138"/>
      <c r="J4709" s="1139"/>
      <c r="K4709" s="1111"/>
      <c r="L4709" s="1112"/>
      <c r="M4709" s="1113"/>
      <c r="N4709" s="110"/>
      <c r="O4709" s="1140"/>
      <c r="P4709" s="1115"/>
      <c r="Q4709" s="1116"/>
      <c r="R4709" s="1141"/>
      <c r="S4709" s="1113"/>
      <c r="T4709" s="1143"/>
      <c r="U4709" s="1108"/>
      <c r="V4709" s="1108"/>
      <c r="W4709" s="1108"/>
      <c r="X4709" s="1108"/>
      <c r="Y4709" s="1108"/>
      <c r="Z4709" s="1114"/>
      <c r="AA4709" s="1114"/>
      <c r="AB4709" s="1114"/>
      <c r="AC4709" s="1117"/>
      <c r="AD4709" s="1115"/>
      <c r="AE4709" s="1115"/>
      <c r="AF4709" s="1115"/>
      <c r="AG4709" s="1115"/>
      <c r="AH4709" s="1115"/>
      <c r="AI4709" s="1115"/>
      <c r="AJ4709" s="1117"/>
      <c r="AK4709" s="1118"/>
      <c r="AL4709" s="1115"/>
      <c r="AM4709" s="1115"/>
      <c r="AN4709" s="1115"/>
      <c r="AO4709" s="1115"/>
      <c r="AP4709" s="1115"/>
      <c r="AQ4709" s="1115"/>
      <c r="AR4709" s="1115"/>
      <c r="AS4709" s="1117"/>
      <c r="AT4709" s="1075"/>
      <c r="AU4709" s="1193"/>
      <c r="AV4709" s="330"/>
      <c r="AW4709" s="331"/>
      <c r="AX4709" s="331"/>
      <c r="AY4709" s="331"/>
      <c r="AZ4709" s="331"/>
      <c r="BA4709" s="331"/>
      <c r="BB4709" s="331"/>
      <c r="BC4709" s="331"/>
      <c r="BD4709" s="331"/>
      <c r="BE4709" s="333"/>
      <c r="BF4709" s="330"/>
      <c r="BG4709" s="333"/>
      <c r="BH4709" s="1119"/>
      <c r="BI4709" s="319"/>
      <c r="BJ4709" s="319"/>
      <c r="BK4709" s="319"/>
      <c r="BL4709" s="319"/>
      <c r="BM4709" s="319"/>
      <c r="BN4709" s="319"/>
      <c r="BO4709" s="319"/>
      <c r="BP4709" s="953"/>
      <c r="BQ4709" s="319"/>
      <c r="BR4709" s="319"/>
      <c r="BS4709" s="330"/>
      <c r="BT4709" s="331"/>
      <c r="BU4709" s="920"/>
      <c r="BV4709" s="903"/>
      <c r="BW4709" s="908"/>
      <c r="BX4709" s="908"/>
      <c r="BY4709" s="331"/>
      <c r="BZ4709" s="331"/>
      <c r="CA4709" s="462"/>
      <c r="CB4709" s="319"/>
      <c r="CC4709" s="319"/>
      <c r="CD4709" s="319"/>
      <c r="CE4709" s="319"/>
      <c r="CF4709" s="319"/>
      <c r="CG4709" s="319"/>
      <c r="CH4709" s="318"/>
      <c r="CI4709" s="319"/>
      <c r="CJ4709" s="319"/>
      <c r="CK4709" s="342"/>
      <c r="CL4709" s="333"/>
      <c r="CM4709" s="1079"/>
      <c r="CN4709" s="1005"/>
      <c r="CO4709" s="1005"/>
      <c r="CP4709" s="1005"/>
    </row>
    <row r="4710">
      <c r="A4710" s="1257"/>
      <c r="B4710" s="1113"/>
      <c r="C4710" s="1107"/>
      <c r="D4710" s="103"/>
      <c r="E4710" s="1137"/>
      <c r="F4710" s="112"/>
      <c r="G4710" s="1110"/>
      <c r="H4710" s="1138"/>
      <c r="I4710" s="1138"/>
      <c r="J4710" s="1139"/>
      <c r="K4710" s="1111"/>
      <c r="L4710" s="1112"/>
      <c r="M4710" s="1113"/>
      <c r="N4710" s="110"/>
      <c r="O4710" s="1140"/>
      <c r="P4710" s="1115"/>
      <c r="Q4710" s="1116"/>
      <c r="R4710" s="1141"/>
      <c r="S4710" s="1113"/>
      <c r="T4710" s="1143"/>
      <c r="U4710" s="1108"/>
      <c r="V4710" s="1108"/>
      <c r="W4710" s="1108"/>
      <c r="X4710" s="1108"/>
      <c r="Y4710" s="1108"/>
      <c r="Z4710" s="1114"/>
      <c r="AA4710" s="1114"/>
      <c r="AB4710" s="1114"/>
      <c r="AC4710" s="1117"/>
      <c r="AD4710" s="1115"/>
      <c r="AE4710" s="1115"/>
      <c r="AF4710" s="1115"/>
      <c r="AG4710" s="1115"/>
      <c r="AH4710" s="1115"/>
      <c r="AI4710" s="1115"/>
      <c r="AJ4710" s="1117"/>
      <c r="AK4710" s="1118"/>
      <c r="AL4710" s="1115"/>
      <c r="AM4710" s="1115"/>
      <c r="AN4710" s="1115"/>
      <c r="AO4710" s="1115"/>
      <c r="AP4710" s="1115"/>
      <c r="AQ4710" s="1115"/>
      <c r="AR4710" s="1115"/>
      <c r="AS4710" s="1117"/>
      <c r="AT4710" s="1075"/>
      <c r="AU4710" s="1193"/>
      <c r="AV4710" s="330"/>
      <c r="AW4710" s="331"/>
      <c r="AX4710" s="331"/>
      <c r="AY4710" s="331"/>
      <c r="AZ4710" s="331"/>
      <c r="BA4710" s="331"/>
      <c r="BB4710" s="331"/>
      <c r="BC4710" s="331"/>
      <c r="BD4710" s="331"/>
      <c r="BE4710" s="333"/>
      <c r="BF4710" s="330"/>
      <c r="BG4710" s="333"/>
      <c r="BH4710" s="1119"/>
      <c r="BI4710" s="319"/>
      <c r="BJ4710" s="319"/>
      <c r="BK4710" s="319"/>
      <c r="BL4710" s="319"/>
      <c r="BM4710" s="319"/>
      <c r="BN4710" s="319"/>
      <c r="BO4710" s="319"/>
      <c r="BP4710" s="953"/>
      <c r="BQ4710" s="319"/>
      <c r="BR4710" s="319"/>
      <c r="BS4710" s="330"/>
      <c r="BT4710" s="331"/>
      <c r="BU4710" s="920"/>
      <c r="BV4710" s="903"/>
      <c r="BW4710" s="908"/>
      <c r="BX4710" s="908"/>
      <c r="BY4710" s="331"/>
      <c r="BZ4710" s="331"/>
      <c r="CA4710" s="462"/>
      <c r="CB4710" s="319"/>
      <c r="CC4710" s="319"/>
      <c r="CD4710" s="319"/>
      <c r="CE4710" s="319"/>
      <c r="CF4710" s="319"/>
      <c r="CG4710" s="319"/>
      <c r="CH4710" s="318"/>
      <c r="CI4710" s="319"/>
      <c r="CJ4710" s="319"/>
      <c r="CK4710" s="342"/>
      <c r="CL4710" s="333"/>
      <c r="CM4710" s="1079"/>
      <c r="CN4710" s="1005"/>
      <c r="CO4710" s="1005"/>
      <c r="CP4710" s="1005"/>
    </row>
    <row r="4711">
      <c r="A4711" s="1257"/>
      <c r="B4711" s="1113"/>
      <c r="C4711" s="1107"/>
      <c r="D4711" s="103"/>
      <c r="E4711" s="1137"/>
      <c r="F4711" s="112"/>
      <c r="G4711" s="1110"/>
      <c r="H4711" s="1138"/>
      <c r="I4711" s="1138"/>
      <c r="J4711" s="1139"/>
      <c r="K4711" s="1111"/>
      <c r="L4711" s="1112"/>
      <c r="M4711" s="1113"/>
      <c r="N4711" s="110"/>
      <c r="O4711" s="1140"/>
      <c r="P4711" s="1115"/>
      <c r="Q4711" s="1116"/>
      <c r="R4711" s="1141"/>
      <c r="S4711" s="1113"/>
      <c r="T4711" s="1143"/>
      <c r="U4711" s="1108"/>
      <c r="V4711" s="1108"/>
      <c r="W4711" s="1108"/>
      <c r="X4711" s="1108"/>
      <c r="Y4711" s="1108"/>
      <c r="Z4711" s="1114"/>
      <c r="AA4711" s="1114"/>
      <c r="AB4711" s="1114"/>
      <c r="AC4711" s="1117"/>
      <c r="AD4711" s="1115"/>
      <c r="AE4711" s="1115"/>
      <c r="AF4711" s="1115"/>
      <c r="AG4711" s="1115"/>
      <c r="AH4711" s="1115"/>
      <c r="AI4711" s="1115"/>
      <c r="AJ4711" s="1117"/>
      <c r="AK4711" s="1118"/>
      <c r="AL4711" s="1115"/>
      <c r="AM4711" s="1115"/>
      <c r="AN4711" s="1115"/>
      <c r="AO4711" s="1115"/>
      <c r="AP4711" s="1115"/>
      <c r="AQ4711" s="1115"/>
      <c r="AR4711" s="1115"/>
      <c r="AS4711" s="1117"/>
      <c r="AT4711" s="1075"/>
      <c r="AU4711" s="1193"/>
      <c r="AV4711" s="330"/>
      <c r="AW4711" s="331"/>
      <c r="AX4711" s="331"/>
      <c r="AY4711" s="331"/>
      <c r="AZ4711" s="331"/>
      <c r="BA4711" s="331"/>
      <c r="BB4711" s="331"/>
      <c r="BC4711" s="331"/>
      <c r="BD4711" s="331"/>
      <c r="BE4711" s="333"/>
      <c r="BF4711" s="330"/>
      <c r="BG4711" s="333"/>
      <c r="BH4711" s="1119"/>
      <c r="BI4711" s="319"/>
      <c r="BJ4711" s="319"/>
      <c r="BK4711" s="319"/>
      <c r="BL4711" s="319"/>
      <c r="BM4711" s="319"/>
      <c r="BN4711" s="319"/>
      <c r="BO4711" s="319"/>
      <c r="BP4711" s="953"/>
      <c r="BQ4711" s="319"/>
      <c r="BR4711" s="319"/>
      <c r="BS4711" s="330"/>
      <c r="BT4711" s="331"/>
      <c r="BU4711" s="920"/>
      <c r="BV4711" s="903"/>
      <c r="BW4711" s="908"/>
      <c r="BX4711" s="908"/>
      <c r="BY4711" s="331"/>
      <c r="BZ4711" s="331"/>
      <c r="CA4711" s="462"/>
      <c r="CB4711" s="319"/>
      <c r="CC4711" s="319"/>
      <c r="CD4711" s="319"/>
      <c r="CE4711" s="319"/>
      <c r="CF4711" s="319"/>
      <c r="CG4711" s="319"/>
      <c r="CH4711" s="318"/>
      <c r="CI4711" s="319"/>
      <c r="CJ4711" s="319"/>
      <c r="CK4711" s="342"/>
      <c r="CL4711" s="333"/>
      <c r="CM4711" s="1079"/>
      <c r="CN4711" s="1005"/>
      <c r="CO4711" s="1005"/>
      <c r="CP4711" s="1005"/>
    </row>
    <row r="4712">
      <c r="A4712" s="1257"/>
      <c r="B4712" s="1113"/>
      <c r="C4712" s="1107"/>
      <c r="D4712" s="103"/>
      <c r="E4712" s="1137"/>
      <c r="F4712" s="112"/>
      <c r="G4712" s="1110"/>
      <c r="H4712" s="1138"/>
      <c r="I4712" s="1138"/>
      <c r="J4712" s="1139"/>
      <c r="K4712" s="1111"/>
      <c r="L4712" s="1112"/>
      <c r="M4712" s="1113"/>
      <c r="N4712" s="110"/>
      <c r="O4712" s="1140"/>
      <c r="P4712" s="1115"/>
      <c r="Q4712" s="1116"/>
      <c r="R4712" s="1141"/>
      <c r="S4712" s="1113"/>
      <c r="T4712" s="1143"/>
      <c r="U4712" s="1108"/>
      <c r="V4712" s="1108"/>
      <c r="W4712" s="1108"/>
      <c r="X4712" s="1108"/>
      <c r="Y4712" s="1108"/>
      <c r="Z4712" s="1114"/>
      <c r="AA4712" s="1114"/>
      <c r="AB4712" s="1114"/>
      <c r="AC4712" s="1117"/>
      <c r="AD4712" s="1115"/>
      <c r="AE4712" s="1115"/>
      <c r="AF4712" s="1115"/>
      <c r="AG4712" s="1115"/>
      <c r="AH4712" s="1115"/>
      <c r="AI4712" s="1115"/>
      <c r="AJ4712" s="1117"/>
      <c r="AK4712" s="1118"/>
      <c r="AL4712" s="1115"/>
      <c r="AM4712" s="1115"/>
      <c r="AN4712" s="1115"/>
      <c r="AO4712" s="1115"/>
      <c r="AP4712" s="1115"/>
      <c r="AQ4712" s="1115"/>
      <c r="AR4712" s="1115"/>
      <c r="AS4712" s="1117"/>
      <c r="AT4712" s="1075"/>
      <c r="AU4712" s="1193"/>
      <c r="AV4712" s="330"/>
      <c r="AW4712" s="331"/>
      <c r="AX4712" s="331"/>
      <c r="AY4712" s="331"/>
      <c r="AZ4712" s="331"/>
      <c r="BA4712" s="331"/>
      <c r="BB4712" s="331"/>
      <c r="BC4712" s="331"/>
      <c r="BD4712" s="331"/>
      <c r="BE4712" s="333"/>
      <c r="BF4712" s="330"/>
      <c r="BG4712" s="333"/>
      <c r="BH4712" s="1119"/>
      <c r="BI4712" s="319"/>
      <c r="BJ4712" s="319"/>
      <c r="BK4712" s="319"/>
      <c r="BL4712" s="319"/>
      <c r="BM4712" s="319"/>
      <c r="BN4712" s="319"/>
      <c r="BO4712" s="319"/>
      <c r="BP4712" s="953"/>
      <c r="BQ4712" s="319"/>
      <c r="BR4712" s="319"/>
      <c r="BS4712" s="330"/>
      <c r="BT4712" s="331"/>
      <c r="BU4712" s="920"/>
      <c r="BV4712" s="903"/>
      <c r="BW4712" s="908"/>
      <c r="BX4712" s="908"/>
      <c r="BY4712" s="331"/>
      <c r="BZ4712" s="331"/>
      <c r="CA4712" s="462"/>
      <c r="CB4712" s="319"/>
      <c r="CC4712" s="319"/>
      <c r="CD4712" s="319"/>
      <c r="CE4712" s="319"/>
      <c r="CF4712" s="319"/>
      <c r="CG4712" s="319"/>
      <c r="CH4712" s="318"/>
      <c r="CI4712" s="319"/>
      <c r="CJ4712" s="319"/>
      <c r="CK4712" s="342"/>
      <c r="CL4712" s="333"/>
      <c r="CM4712" s="1079"/>
      <c r="CN4712" s="1005"/>
      <c r="CO4712" s="1005"/>
      <c r="CP4712" s="1005"/>
    </row>
    <row r="4713">
      <c r="A4713" s="1257"/>
      <c r="B4713" s="1113"/>
      <c r="C4713" s="1107"/>
      <c r="D4713" s="103"/>
      <c r="E4713" s="1137"/>
      <c r="F4713" s="112"/>
      <c r="G4713" s="1110"/>
      <c r="H4713" s="1138"/>
      <c r="I4713" s="1138"/>
      <c r="J4713" s="1139"/>
      <c r="K4713" s="1111"/>
      <c r="L4713" s="1112"/>
      <c r="M4713" s="1113"/>
      <c r="N4713" s="110"/>
      <c r="O4713" s="1140"/>
      <c r="P4713" s="1115"/>
      <c r="Q4713" s="1116"/>
      <c r="R4713" s="1141"/>
      <c r="S4713" s="1113"/>
      <c r="T4713" s="1143"/>
      <c r="U4713" s="1108"/>
      <c r="V4713" s="1108"/>
      <c r="W4713" s="1108"/>
      <c r="X4713" s="1108"/>
      <c r="Y4713" s="1108"/>
      <c r="Z4713" s="1114"/>
      <c r="AA4713" s="1114"/>
      <c r="AB4713" s="1114"/>
      <c r="AC4713" s="1117"/>
      <c r="AD4713" s="1115"/>
      <c r="AE4713" s="1115"/>
      <c r="AF4713" s="1115"/>
      <c r="AG4713" s="1115"/>
      <c r="AH4713" s="1115"/>
      <c r="AI4713" s="1115"/>
      <c r="AJ4713" s="1117"/>
      <c r="AK4713" s="1118"/>
      <c r="AL4713" s="1115"/>
      <c r="AM4713" s="1115"/>
      <c r="AN4713" s="1115"/>
      <c r="AO4713" s="1115"/>
      <c r="AP4713" s="1115"/>
      <c r="AQ4713" s="1115"/>
      <c r="AR4713" s="1115"/>
      <c r="AS4713" s="1117"/>
      <c r="AT4713" s="1075"/>
      <c r="AU4713" s="1193"/>
      <c r="AV4713" s="330"/>
      <c r="AW4713" s="331"/>
      <c r="AX4713" s="331"/>
      <c r="AY4713" s="331"/>
      <c r="AZ4713" s="331"/>
      <c r="BA4713" s="331"/>
      <c r="BB4713" s="331"/>
      <c r="BC4713" s="331"/>
      <c r="BD4713" s="331"/>
      <c r="BE4713" s="333"/>
      <c r="BF4713" s="330"/>
      <c r="BG4713" s="333"/>
      <c r="BH4713" s="1119"/>
      <c r="BI4713" s="319"/>
      <c r="BJ4713" s="319"/>
      <c r="BK4713" s="319"/>
      <c r="BL4713" s="319"/>
      <c r="BM4713" s="319"/>
      <c r="BN4713" s="319"/>
      <c r="BO4713" s="319"/>
      <c r="BP4713" s="953"/>
      <c r="BQ4713" s="319"/>
      <c r="BR4713" s="319"/>
      <c r="BS4713" s="330"/>
      <c r="BT4713" s="331"/>
      <c r="BU4713" s="920"/>
      <c r="BV4713" s="903"/>
      <c r="BW4713" s="908"/>
      <c r="BX4713" s="908"/>
      <c r="BY4713" s="331"/>
      <c r="BZ4713" s="331"/>
      <c r="CA4713" s="462"/>
      <c r="CB4713" s="319"/>
      <c r="CC4713" s="319"/>
      <c r="CD4713" s="319"/>
      <c r="CE4713" s="319"/>
      <c r="CF4713" s="319"/>
      <c r="CG4713" s="319"/>
      <c r="CH4713" s="318"/>
      <c r="CI4713" s="319"/>
      <c r="CJ4713" s="319"/>
      <c r="CK4713" s="342"/>
      <c r="CL4713" s="333"/>
      <c r="CM4713" s="1079"/>
      <c r="CN4713" s="1005"/>
      <c r="CO4713" s="1005"/>
      <c r="CP4713" s="1005"/>
    </row>
    <row r="4714">
      <c r="A4714" s="1257"/>
      <c r="B4714" s="1113"/>
      <c r="C4714" s="1107"/>
      <c r="D4714" s="103"/>
      <c r="E4714" s="1137"/>
      <c r="F4714" s="112"/>
      <c r="G4714" s="1110"/>
      <c r="H4714" s="1138"/>
      <c r="I4714" s="1138"/>
      <c r="J4714" s="1139"/>
      <c r="K4714" s="1111"/>
      <c r="L4714" s="1112"/>
      <c r="M4714" s="1113"/>
      <c r="N4714" s="110"/>
      <c r="O4714" s="1140"/>
      <c r="P4714" s="1115"/>
      <c r="Q4714" s="1116"/>
      <c r="R4714" s="1141"/>
      <c r="S4714" s="1113"/>
      <c r="T4714" s="1143"/>
      <c r="U4714" s="1108"/>
      <c r="V4714" s="1108"/>
      <c r="W4714" s="1108"/>
      <c r="X4714" s="1108"/>
      <c r="Y4714" s="1108"/>
      <c r="Z4714" s="1114"/>
      <c r="AA4714" s="1114"/>
      <c r="AB4714" s="1114"/>
      <c r="AC4714" s="1117"/>
      <c r="AD4714" s="1115"/>
      <c r="AE4714" s="1115"/>
      <c r="AF4714" s="1115"/>
      <c r="AG4714" s="1115"/>
      <c r="AH4714" s="1115"/>
      <c r="AI4714" s="1115"/>
      <c r="AJ4714" s="1117"/>
      <c r="AK4714" s="1118"/>
      <c r="AL4714" s="1115"/>
      <c r="AM4714" s="1115"/>
      <c r="AN4714" s="1115"/>
      <c r="AO4714" s="1115"/>
      <c r="AP4714" s="1115"/>
      <c r="AQ4714" s="1115"/>
      <c r="AR4714" s="1115"/>
      <c r="AS4714" s="1117"/>
      <c r="AT4714" s="1075"/>
      <c r="AU4714" s="1193"/>
      <c r="AV4714" s="330"/>
      <c r="AW4714" s="331"/>
      <c r="AX4714" s="331"/>
      <c r="AY4714" s="331"/>
      <c r="AZ4714" s="331"/>
      <c r="BA4714" s="331"/>
      <c r="BB4714" s="331"/>
      <c r="BC4714" s="331"/>
      <c r="BD4714" s="331"/>
      <c r="BE4714" s="333"/>
      <c r="BF4714" s="330"/>
      <c r="BG4714" s="333"/>
      <c r="BH4714" s="1119"/>
      <c r="BI4714" s="319"/>
      <c r="BJ4714" s="319"/>
      <c r="BK4714" s="319"/>
      <c r="BL4714" s="319"/>
      <c r="BM4714" s="319"/>
      <c r="BN4714" s="319"/>
      <c r="BO4714" s="319"/>
      <c r="BP4714" s="953"/>
      <c r="BQ4714" s="319"/>
      <c r="BR4714" s="319"/>
      <c r="BS4714" s="330"/>
      <c r="BT4714" s="331"/>
      <c r="BU4714" s="920"/>
      <c r="BV4714" s="903"/>
      <c r="BW4714" s="908"/>
      <c r="BX4714" s="908"/>
      <c r="BY4714" s="331"/>
      <c r="BZ4714" s="331"/>
      <c r="CA4714" s="462"/>
      <c r="CB4714" s="319"/>
      <c r="CC4714" s="319"/>
      <c r="CD4714" s="319"/>
      <c r="CE4714" s="319"/>
      <c r="CF4714" s="319"/>
      <c r="CG4714" s="319"/>
      <c r="CH4714" s="318"/>
      <c r="CI4714" s="319"/>
      <c r="CJ4714" s="319"/>
      <c r="CK4714" s="342"/>
      <c r="CL4714" s="333"/>
      <c r="CM4714" s="1079"/>
      <c r="CN4714" s="1005"/>
      <c r="CO4714" s="1005"/>
      <c r="CP4714" s="1005"/>
    </row>
    <row r="4715">
      <c r="A4715" s="1257"/>
      <c r="B4715" s="1113"/>
      <c r="C4715" s="1107"/>
      <c r="D4715" s="103"/>
      <c r="E4715" s="1137"/>
      <c r="F4715" s="112"/>
      <c r="G4715" s="1110"/>
      <c r="H4715" s="1138"/>
      <c r="I4715" s="1138"/>
      <c r="J4715" s="1139"/>
      <c r="K4715" s="1111"/>
      <c r="L4715" s="1112"/>
      <c r="M4715" s="1113"/>
      <c r="N4715" s="110"/>
      <c r="O4715" s="1140"/>
      <c r="P4715" s="1115"/>
      <c r="Q4715" s="1116"/>
      <c r="R4715" s="1141"/>
      <c r="S4715" s="1113"/>
      <c r="T4715" s="1143"/>
      <c r="U4715" s="1108"/>
      <c r="V4715" s="1108"/>
      <c r="W4715" s="1108"/>
      <c r="X4715" s="1108"/>
      <c r="Y4715" s="1108"/>
      <c r="Z4715" s="1114"/>
      <c r="AA4715" s="1114"/>
      <c r="AB4715" s="1114"/>
      <c r="AC4715" s="1117"/>
      <c r="AD4715" s="1115"/>
      <c r="AE4715" s="1115"/>
      <c r="AF4715" s="1115"/>
      <c r="AG4715" s="1115"/>
      <c r="AH4715" s="1115"/>
      <c r="AI4715" s="1115"/>
      <c r="AJ4715" s="1117"/>
      <c r="AK4715" s="1118"/>
      <c r="AL4715" s="1115"/>
      <c r="AM4715" s="1115"/>
      <c r="AN4715" s="1115"/>
      <c r="AO4715" s="1115"/>
      <c r="AP4715" s="1115"/>
      <c r="AQ4715" s="1115"/>
      <c r="AR4715" s="1115"/>
      <c r="AS4715" s="1117"/>
      <c r="AT4715" s="1075"/>
      <c r="AU4715" s="1193"/>
      <c r="AV4715" s="330"/>
      <c r="AW4715" s="331"/>
      <c r="AX4715" s="331"/>
      <c r="AY4715" s="331"/>
      <c r="AZ4715" s="331"/>
      <c r="BA4715" s="331"/>
      <c r="BB4715" s="331"/>
      <c r="BC4715" s="331"/>
      <c r="BD4715" s="331"/>
      <c r="BE4715" s="333"/>
      <c r="BF4715" s="330"/>
      <c r="BG4715" s="333"/>
      <c r="BH4715" s="1119"/>
      <c r="BI4715" s="319"/>
      <c r="BJ4715" s="319"/>
      <c r="BK4715" s="319"/>
      <c r="BL4715" s="319"/>
      <c r="BM4715" s="319"/>
      <c r="BN4715" s="319"/>
      <c r="BO4715" s="319"/>
      <c r="BP4715" s="953"/>
      <c r="BQ4715" s="319"/>
      <c r="BR4715" s="319"/>
      <c r="BS4715" s="330"/>
      <c r="BT4715" s="331"/>
      <c r="BU4715" s="920"/>
      <c r="BV4715" s="903"/>
      <c r="BW4715" s="908"/>
      <c r="BX4715" s="908"/>
      <c r="BY4715" s="331"/>
      <c r="BZ4715" s="331"/>
      <c r="CA4715" s="462"/>
      <c r="CB4715" s="319"/>
      <c r="CC4715" s="319"/>
      <c r="CD4715" s="319"/>
      <c r="CE4715" s="319"/>
      <c r="CF4715" s="319"/>
      <c r="CG4715" s="319"/>
      <c r="CH4715" s="318"/>
      <c r="CI4715" s="319"/>
      <c r="CJ4715" s="319"/>
      <c r="CK4715" s="342"/>
      <c r="CL4715" s="333"/>
      <c r="CM4715" s="1079"/>
      <c r="CN4715" s="1005"/>
      <c r="CO4715" s="1005"/>
      <c r="CP4715" s="1005"/>
    </row>
    <row r="4716">
      <c r="A4716" s="1257"/>
      <c r="B4716" s="1113"/>
      <c r="C4716" s="1107"/>
      <c r="D4716" s="103"/>
      <c r="E4716" s="1137"/>
      <c r="F4716" s="112"/>
      <c r="G4716" s="1110"/>
      <c r="H4716" s="1138"/>
      <c r="I4716" s="1138"/>
      <c r="J4716" s="1139"/>
      <c r="K4716" s="1111"/>
      <c r="L4716" s="1112"/>
      <c r="M4716" s="1113"/>
      <c r="N4716" s="110"/>
      <c r="O4716" s="1140"/>
      <c r="P4716" s="1115"/>
      <c r="Q4716" s="1116"/>
      <c r="R4716" s="1141"/>
      <c r="S4716" s="1113"/>
      <c r="T4716" s="1143"/>
      <c r="U4716" s="1108"/>
      <c r="V4716" s="1108"/>
      <c r="W4716" s="1108"/>
      <c r="X4716" s="1108"/>
      <c r="Y4716" s="1108"/>
      <c r="Z4716" s="1114"/>
      <c r="AA4716" s="1114"/>
      <c r="AB4716" s="1114"/>
      <c r="AC4716" s="1117"/>
      <c r="AD4716" s="1115"/>
      <c r="AE4716" s="1115"/>
      <c r="AF4716" s="1115"/>
      <c r="AG4716" s="1115"/>
      <c r="AH4716" s="1115"/>
      <c r="AI4716" s="1115"/>
      <c r="AJ4716" s="1117"/>
      <c r="AK4716" s="1118"/>
      <c r="AL4716" s="1115"/>
      <c r="AM4716" s="1115"/>
      <c r="AN4716" s="1115"/>
      <c r="AO4716" s="1115"/>
      <c r="AP4716" s="1115"/>
      <c r="AQ4716" s="1115"/>
      <c r="AR4716" s="1115"/>
      <c r="AS4716" s="1117"/>
      <c r="AT4716" s="1075"/>
      <c r="AU4716" s="1193"/>
      <c r="AV4716" s="330"/>
      <c r="AW4716" s="331"/>
      <c r="AX4716" s="331"/>
      <c r="AY4716" s="331"/>
      <c r="AZ4716" s="331"/>
      <c r="BA4716" s="331"/>
      <c r="BB4716" s="331"/>
      <c r="BC4716" s="331"/>
      <c r="BD4716" s="331"/>
      <c r="BE4716" s="333"/>
      <c r="BF4716" s="330"/>
      <c r="BG4716" s="333"/>
      <c r="BH4716" s="1119"/>
      <c r="BI4716" s="319"/>
      <c r="BJ4716" s="319"/>
      <c r="BK4716" s="319"/>
      <c r="BL4716" s="319"/>
      <c r="BM4716" s="319"/>
      <c r="BN4716" s="319"/>
      <c r="BO4716" s="319"/>
      <c r="BP4716" s="953"/>
      <c r="BQ4716" s="319"/>
      <c r="BR4716" s="319"/>
      <c r="BS4716" s="330"/>
      <c r="BT4716" s="331"/>
      <c r="BU4716" s="920"/>
      <c r="BV4716" s="903"/>
      <c r="BW4716" s="908"/>
      <c r="BX4716" s="908"/>
      <c r="BY4716" s="331"/>
      <c r="BZ4716" s="331"/>
      <c r="CA4716" s="462"/>
      <c r="CB4716" s="319"/>
      <c r="CC4716" s="319"/>
      <c r="CD4716" s="319"/>
      <c r="CE4716" s="319"/>
      <c r="CF4716" s="319"/>
      <c r="CG4716" s="319"/>
      <c r="CH4716" s="318"/>
      <c r="CI4716" s="319"/>
      <c r="CJ4716" s="319"/>
      <c r="CK4716" s="342"/>
      <c r="CL4716" s="333"/>
      <c r="CM4716" s="1079"/>
      <c r="CN4716" s="1005"/>
      <c r="CO4716" s="1005"/>
      <c r="CP4716" s="1005"/>
    </row>
    <row r="4717">
      <c r="A4717" s="1257"/>
      <c r="B4717" s="1113"/>
      <c r="C4717" s="1107"/>
      <c r="D4717" s="103"/>
      <c r="E4717" s="1137"/>
      <c r="F4717" s="112"/>
      <c r="G4717" s="1110"/>
      <c r="H4717" s="1138"/>
      <c r="I4717" s="1138"/>
      <c r="J4717" s="1139"/>
      <c r="K4717" s="1111"/>
      <c r="L4717" s="1112"/>
      <c r="M4717" s="1113"/>
      <c r="N4717" s="110"/>
      <c r="O4717" s="1140"/>
      <c r="P4717" s="1115"/>
      <c r="Q4717" s="1116"/>
      <c r="R4717" s="1141"/>
      <c r="S4717" s="1113"/>
      <c r="T4717" s="1143"/>
      <c r="U4717" s="1108"/>
      <c r="V4717" s="1108"/>
      <c r="W4717" s="1108"/>
      <c r="X4717" s="1108"/>
      <c r="Y4717" s="1108"/>
      <c r="Z4717" s="1114"/>
      <c r="AA4717" s="1114"/>
      <c r="AB4717" s="1114"/>
      <c r="AC4717" s="1117"/>
      <c r="AD4717" s="1115"/>
      <c r="AE4717" s="1115"/>
      <c r="AF4717" s="1115"/>
      <c r="AG4717" s="1115"/>
      <c r="AH4717" s="1115"/>
      <c r="AI4717" s="1115"/>
      <c r="AJ4717" s="1117"/>
      <c r="AK4717" s="1118"/>
      <c r="AL4717" s="1115"/>
      <c r="AM4717" s="1115"/>
      <c r="AN4717" s="1115"/>
      <c r="AO4717" s="1115"/>
      <c r="AP4717" s="1115"/>
      <c r="AQ4717" s="1115"/>
      <c r="AR4717" s="1115"/>
      <c r="AS4717" s="1117"/>
      <c r="AT4717" s="1075"/>
      <c r="AU4717" s="1193"/>
      <c r="AV4717" s="330"/>
      <c r="AW4717" s="331"/>
      <c r="AX4717" s="331"/>
      <c r="AY4717" s="331"/>
      <c r="AZ4717" s="331"/>
      <c r="BA4717" s="331"/>
      <c r="BB4717" s="331"/>
      <c r="BC4717" s="331"/>
      <c r="BD4717" s="331"/>
      <c r="BE4717" s="333"/>
      <c r="BF4717" s="330"/>
      <c r="BG4717" s="333"/>
      <c r="BH4717" s="1119"/>
      <c r="BI4717" s="319"/>
      <c r="BJ4717" s="319"/>
      <c r="BK4717" s="319"/>
      <c r="BL4717" s="319"/>
      <c r="BM4717" s="319"/>
      <c r="BN4717" s="319"/>
      <c r="BO4717" s="319"/>
      <c r="BP4717" s="953"/>
      <c r="BQ4717" s="319"/>
      <c r="BR4717" s="319"/>
      <c r="BS4717" s="330"/>
      <c r="BT4717" s="331"/>
      <c r="BU4717" s="920"/>
      <c r="BV4717" s="903"/>
      <c r="BW4717" s="908"/>
      <c r="BX4717" s="908"/>
      <c r="BY4717" s="331"/>
      <c r="BZ4717" s="331"/>
      <c r="CA4717" s="462"/>
      <c r="CB4717" s="319"/>
      <c r="CC4717" s="319"/>
      <c r="CD4717" s="319"/>
      <c r="CE4717" s="319"/>
      <c r="CF4717" s="319"/>
      <c r="CG4717" s="319"/>
      <c r="CH4717" s="318"/>
      <c r="CI4717" s="319"/>
      <c r="CJ4717" s="319"/>
      <c r="CK4717" s="342"/>
      <c r="CL4717" s="333"/>
      <c r="CM4717" s="1079"/>
      <c r="CN4717" s="1005"/>
      <c r="CO4717" s="1005"/>
      <c r="CP4717" s="1005"/>
    </row>
    <row r="4718">
      <c r="A4718" s="1257"/>
      <c r="B4718" s="1113"/>
      <c r="C4718" s="1107"/>
      <c r="D4718" s="103"/>
      <c r="E4718" s="1137"/>
      <c r="F4718" s="112"/>
      <c r="G4718" s="1110"/>
      <c r="H4718" s="1138"/>
      <c r="I4718" s="1138"/>
      <c r="J4718" s="1139"/>
      <c r="K4718" s="1111"/>
      <c r="L4718" s="1112"/>
      <c r="M4718" s="1113"/>
      <c r="N4718" s="110"/>
      <c r="O4718" s="1140"/>
      <c r="P4718" s="1115"/>
      <c r="Q4718" s="1116"/>
      <c r="R4718" s="1141"/>
      <c r="S4718" s="1113"/>
      <c r="T4718" s="1143"/>
      <c r="U4718" s="1108"/>
      <c r="V4718" s="1108"/>
      <c r="W4718" s="1108"/>
      <c r="X4718" s="1108"/>
      <c r="Y4718" s="1108"/>
      <c r="Z4718" s="1114"/>
      <c r="AA4718" s="1114"/>
      <c r="AB4718" s="1114"/>
      <c r="AC4718" s="1117"/>
      <c r="AD4718" s="1115"/>
      <c r="AE4718" s="1115"/>
      <c r="AF4718" s="1115"/>
      <c r="AG4718" s="1115"/>
      <c r="AH4718" s="1115"/>
      <c r="AI4718" s="1115"/>
      <c r="AJ4718" s="1117"/>
      <c r="AK4718" s="1118"/>
      <c r="AL4718" s="1115"/>
      <c r="AM4718" s="1115"/>
      <c r="AN4718" s="1115"/>
      <c r="AO4718" s="1115"/>
      <c r="AP4718" s="1115"/>
      <c r="AQ4718" s="1115"/>
      <c r="AR4718" s="1115"/>
      <c r="AS4718" s="1117"/>
      <c r="AT4718" s="1075"/>
      <c r="AU4718" s="1193"/>
      <c r="AV4718" s="330"/>
      <c r="AW4718" s="331"/>
      <c r="AX4718" s="331"/>
      <c r="AY4718" s="331"/>
      <c r="AZ4718" s="331"/>
      <c r="BA4718" s="331"/>
      <c r="BB4718" s="331"/>
      <c r="BC4718" s="331"/>
      <c r="BD4718" s="331"/>
      <c r="BE4718" s="333"/>
      <c r="BF4718" s="330"/>
      <c r="BG4718" s="333"/>
      <c r="BH4718" s="1119"/>
      <c r="BI4718" s="319"/>
      <c r="BJ4718" s="319"/>
      <c r="BK4718" s="319"/>
      <c r="BL4718" s="319"/>
      <c r="BM4718" s="319"/>
      <c r="BN4718" s="319"/>
      <c r="BO4718" s="319"/>
      <c r="BP4718" s="953"/>
      <c r="BQ4718" s="319"/>
      <c r="BR4718" s="319"/>
      <c r="BS4718" s="330"/>
      <c r="BT4718" s="331"/>
      <c r="BU4718" s="920"/>
      <c r="BV4718" s="903"/>
      <c r="BW4718" s="908"/>
      <c r="BX4718" s="908"/>
      <c r="BY4718" s="331"/>
      <c r="BZ4718" s="331"/>
      <c r="CA4718" s="462"/>
      <c r="CB4718" s="319"/>
      <c r="CC4718" s="319"/>
      <c r="CD4718" s="319"/>
      <c r="CE4718" s="319"/>
      <c r="CF4718" s="319"/>
      <c r="CG4718" s="319"/>
      <c r="CH4718" s="318"/>
      <c r="CI4718" s="319"/>
      <c r="CJ4718" s="319"/>
      <c r="CK4718" s="342"/>
      <c r="CL4718" s="333"/>
      <c r="CM4718" s="1079"/>
      <c r="CN4718" s="1005"/>
      <c r="CO4718" s="1005"/>
      <c r="CP4718" s="1005"/>
    </row>
    <row r="4719">
      <c r="A4719" s="1257"/>
      <c r="B4719" s="1113"/>
      <c r="C4719" s="1107"/>
      <c r="D4719" s="103"/>
      <c r="E4719" s="1137"/>
      <c r="F4719" s="112"/>
      <c r="G4719" s="1110"/>
      <c r="H4719" s="1138"/>
      <c r="I4719" s="1138"/>
      <c r="J4719" s="1139"/>
      <c r="K4719" s="1111"/>
      <c r="L4719" s="1112"/>
      <c r="M4719" s="1113"/>
      <c r="N4719" s="110"/>
      <c r="O4719" s="1140"/>
      <c r="P4719" s="1115"/>
      <c r="Q4719" s="1116"/>
      <c r="R4719" s="1141"/>
      <c r="S4719" s="1113"/>
      <c r="T4719" s="1143"/>
      <c r="U4719" s="1108"/>
      <c r="V4719" s="1108"/>
      <c r="W4719" s="1108"/>
      <c r="X4719" s="1108"/>
      <c r="Y4719" s="1108"/>
      <c r="Z4719" s="1114"/>
      <c r="AA4719" s="1114"/>
      <c r="AB4719" s="1114"/>
      <c r="AC4719" s="1117"/>
      <c r="AD4719" s="1115"/>
      <c r="AE4719" s="1115"/>
      <c r="AF4719" s="1115"/>
      <c r="AG4719" s="1115"/>
      <c r="AH4719" s="1115"/>
      <c r="AI4719" s="1115"/>
      <c r="AJ4719" s="1117"/>
      <c r="AK4719" s="1118"/>
      <c r="AL4719" s="1115"/>
      <c r="AM4719" s="1115"/>
      <c r="AN4719" s="1115"/>
      <c r="AO4719" s="1115"/>
      <c r="AP4719" s="1115"/>
      <c r="AQ4719" s="1115"/>
      <c r="AR4719" s="1115"/>
      <c r="AS4719" s="1117"/>
      <c r="AT4719" s="1075"/>
      <c r="AU4719" s="1193"/>
      <c r="AV4719" s="330"/>
      <c r="AW4719" s="331"/>
      <c r="AX4719" s="331"/>
      <c r="AY4719" s="331"/>
      <c r="AZ4719" s="331"/>
      <c r="BA4719" s="331"/>
      <c r="BB4719" s="331"/>
      <c r="BC4719" s="331"/>
      <c r="BD4719" s="331"/>
      <c r="BE4719" s="333"/>
      <c r="BF4719" s="330"/>
      <c r="BG4719" s="333"/>
      <c r="BH4719" s="1119"/>
      <c r="BI4719" s="319"/>
      <c r="BJ4719" s="319"/>
      <c r="BK4719" s="319"/>
      <c r="BL4719" s="319"/>
      <c r="BM4719" s="319"/>
      <c r="BN4719" s="319"/>
      <c r="BO4719" s="319"/>
      <c r="BP4719" s="953"/>
      <c r="BQ4719" s="319"/>
      <c r="BR4719" s="319"/>
      <c r="BS4719" s="330"/>
      <c r="BT4719" s="331"/>
      <c r="BU4719" s="920"/>
      <c r="BV4719" s="903"/>
      <c r="BW4719" s="908"/>
      <c r="BX4719" s="908"/>
      <c r="BY4719" s="331"/>
      <c r="BZ4719" s="331"/>
      <c r="CA4719" s="462"/>
      <c r="CB4719" s="319"/>
      <c r="CC4719" s="319"/>
      <c r="CD4719" s="319"/>
      <c r="CE4719" s="319"/>
      <c r="CF4719" s="319"/>
      <c r="CG4719" s="319"/>
      <c r="CH4719" s="318"/>
      <c r="CI4719" s="319"/>
      <c r="CJ4719" s="319"/>
      <c r="CK4719" s="342"/>
      <c r="CL4719" s="333"/>
      <c r="CM4719" s="1079"/>
      <c r="CN4719" s="1005"/>
      <c r="CO4719" s="1005"/>
      <c r="CP4719" s="1005"/>
    </row>
    <row r="4720">
      <c r="A4720" s="1257"/>
      <c r="B4720" s="1113"/>
      <c r="C4720" s="1107"/>
      <c r="D4720" s="103"/>
      <c r="E4720" s="1137"/>
      <c r="F4720" s="112"/>
      <c r="G4720" s="1110"/>
      <c r="H4720" s="1138"/>
      <c r="I4720" s="1138"/>
      <c r="J4720" s="1139"/>
      <c r="K4720" s="1111"/>
      <c r="L4720" s="1112"/>
      <c r="M4720" s="1113"/>
      <c r="N4720" s="110"/>
      <c r="O4720" s="1140"/>
      <c r="P4720" s="1115"/>
      <c r="Q4720" s="1116"/>
      <c r="R4720" s="1141"/>
      <c r="S4720" s="1113"/>
      <c r="T4720" s="1143"/>
      <c r="U4720" s="1108"/>
      <c r="V4720" s="1108"/>
      <c r="W4720" s="1108"/>
      <c r="X4720" s="1108"/>
      <c r="Y4720" s="1108"/>
      <c r="Z4720" s="1114"/>
      <c r="AA4720" s="1114"/>
      <c r="AB4720" s="1114"/>
      <c r="AC4720" s="1117"/>
      <c r="AD4720" s="1115"/>
      <c r="AE4720" s="1115"/>
      <c r="AF4720" s="1115"/>
      <c r="AG4720" s="1115"/>
      <c r="AH4720" s="1115"/>
      <c r="AI4720" s="1115"/>
      <c r="AJ4720" s="1117"/>
      <c r="AK4720" s="1118"/>
      <c r="AL4720" s="1115"/>
      <c r="AM4720" s="1115"/>
      <c r="AN4720" s="1115"/>
      <c r="AO4720" s="1115"/>
      <c r="AP4720" s="1115"/>
      <c r="AQ4720" s="1115"/>
      <c r="AR4720" s="1115"/>
      <c r="AS4720" s="1117"/>
      <c r="AT4720" s="1075"/>
      <c r="AU4720" s="1193"/>
      <c r="AV4720" s="330"/>
      <c r="AW4720" s="331"/>
      <c r="AX4720" s="331"/>
      <c r="AY4720" s="331"/>
      <c r="AZ4720" s="331"/>
      <c r="BA4720" s="331"/>
      <c r="BB4720" s="331"/>
      <c r="BC4720" s="331"/>
      <c r="BD4720" s="331"/>
      <c r="BE4720" s="333"/>
      <c r="BF4720" s="330"/>
      <c r="BG4720" s="333"/>
      <c r="BH4720" s="1119"/>
      <c r="BI4720" s="319"/>
      <c r="BJ4720" s="319"/>
      <c r="BK4720" s="319"/>
      <c r="BL4720" s="319"/>
      <c r="BM4720" s="319"/>
      <c r="BN4720" s="319"/>
      <c r="BO4720" s="319"/>
      <c r="BP4720" s="953"/>
      <c r="BQ4720" s="319"/>
      <c r="BR4720" s="319"/>
      <c r="BS4720" s="330"/>
      <c r="BT4720" s="331"/>
      <c r="BU4720" s="920"/>
      <c r="BV4720" s="903"/>
      <c r="BW4720" s="908"/>
      <c r="BX4720" s="908"/>
      <c r="BY4720" s="331"/>
      <c r="BZ4720" s="331"/>
      <c r="CA4720" s="462"/>
      <c r="CB4720" s="319"/>
      <c r="CC4720" s="319"/>
      <c r="CD4720" s="319"/>
      <c r="CE4720" s="319"/>
      <c r="CF4720" s="319"/>
      <c r="CG4720" s="319"/>
      <c r="CH4720" s="318"/>
      <c r="CI4720" s="319"/>
      <c r="CJ4720" s="319"/>
      <c r="CK4720" s="342"/>
      <c r="CL4720" s="333"/>
      <c r="CM4720" s="1079"/>
      <c r="CN4720" s="1005"/>
      <c r="CO4720" s="1005"/>
      <c r="CP4720" s="1005"/>
    </row>
    <row r="4721">
      <c r="A4721" s="1257"/>
      <c r="B4721" s="1113"/>
      <c r="C4721" s="1107"/>
      <c r="D4721" s="103"/>
      <c r="E4721" s="1137"/>
      <c r="F4721" s="112"/>
      <c r="G4721" s="1110"/>
      <c r="H4721" s="1138"/>
      <c r="I4721" s="1138"/>
      <c r="J4721" s="1139"/>
      <c r="K4721" s="1111"/>
      <c r="L4721" s="1112"/>
      <c r="M4721" s="1113"/>
      <c r="N4721" s="110"/>
      <c r="O4721" s="1140"/>
      <c r="P4721" s="1115"/>
      <c r="Q4721" s="1116"/>
      <c r="R4721" s="1141"/>
      <c r="S4721" s="1113"/>
      <c r="T4721" s="1143"/>
      <c r="U4721" s="1108"/>
      <c r="V4721" s="1108"/>
      <c r="W4721" s="1108"/>
      <c r="X4721" s="1108"/>
      <c r="Y4721" s="1108"/>
      <c r="Z4721" s="1114"/>
      <c r="AA4721" s="1114"/>
      <c r="AB4721" s="1114"/>
      <c r="AC4721" s="1117"/>
      <c r="AD4721" s="1115"/>
      <c r="AE4721" s="1115"/>
      <c r="AF4721" s="1115"/>
      <c r="AG4721" s="1115"/>
      <c r="AH4721" s="1115"/>
      <c r="AI4721" s="1115"/>
      <c r="AJ4721" s="1117"/>
      <c r="AK4721" s="1118"/>
      <c r="AL4721" s="1115"/>
      <c r="AM4721" s="1115"/>
      <c r="AN4721" s="1115"/>
      <c r="AO4721" s="1115"/>
      <c r="AP4721" s="1115"/>
      <c r="AQ4721" s="1115"/>
      <c r="AR4721" s="1115"/>
      <c r="AS4721" s="1117"/>
      <c r="AT4721" s="1075"/>
      <c r="AU4721" s="1193"/>
      <c r="AV4721" s="330"/>
      <c r="AW4721" s="331"/>
      <c r="AX4721" s="331"/>
      <c r="AY4721" s="331"/>
      <c r="AZ4721" s="331"/>
      <c r="BA4721" s="331"/>
      <c r="BB4721" s="331"/>
      <c r="BC4721" s="331"/>
      <c r="BD4721" s="331"/>
      <c r="BE4721" s="333"/>
      <c r="BF4721" s="330"/>
      <c r="BG4721" s="333"/>
      <c r="BH4721" s="1119"/>
      <c r="BI4721" s="319"/>
      <c r="BJ4721" s="319"/>
      <c r="BK4721" s="319"/>
      <c r="BL4721" s="319"/>
      <c r="BM4721" s="319"/>
      <c r="BN4721" s="319"/>
      <c r="BO4721" s="319"/>
      <c r="BP4721" s="953"/>
      <c r="BQ4721" s="319"/>
      <c r="BR4721" s="319"/>
      <c r="BS4721" s="330"/>
      <c r="BT4721" s="331"/>
      <c r="BU4721" s="920"/>
      <c r="BV4721" s="903"/>
      <c r="BW4721" s="908"/>
      <c r="BX4721" s="908"/>
      <c r="BY4721" s="331"/>
      <c r="BZ4721" s="331"/>
      <c r="CA4721" s="462"/>
      <c r="CB4721" s="319"/>
      <c r="CC4721" s="319"/>
      <c r="CD4721" s="319"/>
      <c r="CE4721" s="319"/>
      <c r="CF4721" s="319"/>
      <c r="CG4721" s="319"/>
      <c r="CH4721" s="318"/>
      <c r="CI4721" s="319"/>
      <c r="CJ4721" s="319"/>
      <c r="CK4721" s="342"/>
      <c r="CL4721" s="333"/>
      <c r="CM4721" s="1079"/>
      <c r="CN4721" s="1005"/>
      <c r="CO4721" s="1005"/>
      <c r="CP4721" s="1005"/>
    </row>
    <row r="4722">
      <c r="A4722" s="1257"/>
      <c r="B4722" s="1113"/>
      <c r="C4722" s="1107"/>
      <c r="D4722" s="103"/>
      <c r="E4722" s="1137"/>
      <c r="F4722" s="112"/>
      <c r="G4722" s="1110"/>
      <c r="H4722" s="1138"/>
      <c r="I4722" s="1138"/>
      <c r="J4722" s="1139"/>
      <c r="K4722" s="1111"/>
      <c r="L4722" s="1112"/>
      <c r="M4722" s="1113"/>
      <c r="N4722" s="110"/>
      <c r="O4722" s="1140"/>
      <c r="P4722" s="1115"/>
      <c r="Q4722" s="1116"/>
      <c r="R4722" s="1141"/>
      <c r="S4722" s="1113"/>
      <c r="T4722" s="1143"/>
      <c r="U4722" s="1108"/>
      <c r="V4722" s="1108"/>
      <c r="W4722" s="1108"/>
      <c r="X4722" s="1108"/>
      <c r="Y4722" s="1108"/>
      <c r="Z4722" s="1114"/>
      <c r="AA4722" s="1114"/>
      <c r="AB4722" s="1114"/>
      <c r="AC4722" s="1117"/>
      <c r="AD4722" s="1115"/>
      <c r="AE4722" s="1115"/>
      <c r="AF4722" s="1115"/>
      <c r="AG4722" s="1115"/>
      <c r="AH4722" s="1115"/>
      <c r="AI4722" s="1115"/>
      <c r="AJ4722" s="1117"/>
      <c r="AK4722" s="1118"/>
      <c r="AL4722" s="1115"/>
      <c r="AM4722" s="1115"/>
      <c r="AN4722" s="1115"/>
      <c r="AO4722" s="1115"/>
      <c r="AP4722" s="1115"/>
      <c r="AQ4722" s="1115"/>
      <c r="AR4722" s="1115"/>
      <c r="AS4722" s="1117"/>
      <c r="AT4722" s="1075"/>
      <c r="AU4722" s="1193"/>
      <c r="AV4722" s="330"/>
      <c r="AW4722" s="331"/>
      <c r="AX4722" s="331"/>
      <c r="AY4722" s="331"/>
      <c r="AZ4722" s="331"/>
      <c r="BA4722" s="331"/>
      <c r="BB4722" s="331"/>
      <c r="BC4722" s="331"/>
      <c r="BD4722" s="331"/>
      <c r="BE4722" s="333"/>
      <c r="BF4722" s="330"/>
      <c r="BG4722" s="333"/>
      <c r="BH4722" s="1119"/>
      <c r="BI4722" s="319"/>
      <c r="BJ4722" s="319"/>
      <c r="BK4722" s="319"/>
      <c r="BL4722" s="319"/>
      <c r="BM4722" s="319"/>
      <c r="BN4722" s="319"/>
      <c r="BO4722" s="319"/>
      <c r="BP4722" s="953"/>
      <c r="BQ4722" s="319"/>
      <c r="BR4722" s="319"/>
      <c r="BS4722" s="330"/>
      <c r="BT4722" s="331"/>
      <c r="BU4722" s="920"/>
      <c r="BV4722" s="903"/>
      <c r="BW4722" s="908"/>
      <c r="BX4722" s="908"/>
      <c r="BY4722" s="331"/>
      <c r="BZ4722" s="331"/>
      <c r="CA4722" s="462"/>
      <c r="CB4722" s="319"/>
      <c r="CC4722" s="319"/>
      <c r="CD4722" s="319"/>
      <c r="CE4722" s="319"/>
      <c r="CF4722" s="319"/>
      <c r="CG4722" s="319"/>
      <c r="CH4722" s="318"/>
      <c r="CI4722" s="319"/>
      <c r="CJ4722" s="319"/>
      <c r="CK4722" s="342"/>
      <c r="CL4722" s="333"/>
      <c r="CM4722" s="1079"/>
      <c r="CN4722" s="1005"/>
      <c r="CO4722" s="1005"/>
      <c r="CP4722" s="1005"/>
    </row>
    <row r="4723">
      <c r="A4723" s="1257"/>
      <c r="B4723" s="1113"/>
      <c r="C4723" s="1107"/>
      <c r="D4723" s="103"/>
      <c r="E4723" s="1137"/>
      <c r="F4723" s="112"/>
      <c r="G4723" s="1110"/>
      <c r="H4723" s="1138"/>
      <c r="I4723" s="1138"/>
      <c r="J4723" s="1139"/>
      <c r="K4723" s="1111"/>
      <c r="L4723" s="1112"/>
      <c r="M4723" s="1113"/>
      <c r="N4723" s="110"/>
      <c r="O4723" s="1140"/>
      <c r="P4723" s="1115"/>
      <c r="Q4723" s="1116"/>
      <c r="R4723" s="1141"/>
      <c r="S4723" s="1113"/>
      <c r="T4723" s="1143"/>
      <c r="U4723" s="1108"/>
      <c r="V4723" s="1108"/>
      <c r="W4723" s="1108"/>
      <c r="X4723" s="1108"/>
      <c r="Y4723" s="1108"/>
      <c r="Z4723" s="1114"/>
      <c r="AA4723" s="1114"/>
      <c r="AB4723" s="1114"/>
      <c r="AC4723" s="1117"/>
      <c r="AD4723" s="1115"/>
      <c r="AE4723" s="1115"/>
      <c r="AF4723" s="1115"/>
      <c r="AG4723" s="1115"/>
      <c r="AH4723" s="1115"/>
      <c r="AI4723" s="1115"/>
      <c r="AJ4723" s="1117"/>
      <c r="AK4723" s="1118"/>
      <c r="AL4723" s="1115"/>
      <c r="AM4723" s="1115"/>
      <c r="AN4723" s="1115"/>
      <c r="AO4723" s="1115"/>
      <c r="AP4723" s="1115"/>
      <c r="AQ4723" s="1115"/>
      <c r="AR4723" s="1115"/>
      <c r="AS4723" s="1117"/>
      <c r="AT4723" s="1075"/>
      <c r="AU4723" s="1193"/>
      <c r="AV4723" s="330"/>
      <c r="AW4723" s="331"/>
      <c r="AX4723" s="331"/>
      <c r="AY4723" s="331"/>
      <c r="AZ4723" s="331"/>
      <c r="BA4723" s="331"/>
      <c r="BB4723" s="331"/>
      <c r="BC4723" s="331"/>
      <c r="BD4723" s="331"/>
      <c r="BE4723" s="333"/>
      <c r="BF4723" s="330"/>
      <c r="BG4723" s="333"/>
      <c r="BH4723" s="1119"/>
      <c r="BI4723" s="319"/>
      <c r="BJ4723" s="319"/>
      <c r="BK4723" s="319"/>
      <c r="BL4723" s="319"/>
      <c r="BM4723" s="319"/>
      <c r="BN4723" s="319"/>
      <c r="BO4723" s="319"/>
      <c r="BP4723" s="953"/>
      <c r="BQ4723" s="319"/>
      <c r="BR4723" s="319"/>
      <c r="BS4723" s="330"/>
      <c r="BT4723" s="331"/>
      <c r="BU4723" s="920"/>
      <c r="BV4723" s="903"/>
      <c r="BW4723" s="908"/>
      <c r="BX4723" s="908"/>
      <c r="BY4723" s="331"/>
      <c r="BZ4723" s="331"/>
      <c r="CA4723" s="462"/>
      <c r="CB4723" s="319"/>
      <c r="CC4723" s="319"/>
      <c r="CD4723" s="319"/>
      <c r="CE4723" s="319"/>
      <c r="CF4723" s="319"/>
      <c r="CG4723" s="319"/>
      <c r="CH4723" s="318"/>
      <c r="CI4723" s="319"/>
      <c r="CJ4723" s="319"/>
      <c r="CK4723" s="342"/>
      <c r="CL4723" s="333"/>
      <c r="CM4723" s="1079"/>
      <c r="CN4723" s="1005"/>
      <c r="CO4723" s="1005"/>
      <c r="CP4723" s="1005"/>
    </row>
    <row r="4724">
      <c r="A4724" s="1257"/>
      <c r="B4724" s="1113"/>
      <c r="C4724" s="1107"/>
      <c r="D4724" s="103"/>
      <c r="E4724" s="1137"/>
      <c r="F4724" s="112"/>
      <c r="G4724" s="1110"/>
      <c r="H4724" s="1138"/>
      <c r="I4724" s="1138"/>
      <c r="J4724" s="1139"/>
      <c r="K4724" s="1111"/>
      <c r="L4724" s="1112"/>
      <c r="M4724" s="1113"/>
      <c r="N4724" s="110"/>
      <c r="O4724" s="1140"/>
      <c r="P4724" s="1115"/>
      <c r="Q4724" s="1116"/>
      <c r="R4724" s="1141"/>
      <c r="S4724" s="1113"/>
      <c r="T4724" s="1143"/>
      <c r="U4724" s="1108"/>
      <c r="V4724" s="1108"/>
      <c r="W4724" s="1108"/>
      <c r="X4724" s="1108"/>
      <c r="Y4724" s="1108"/>
      <c r="Z4724" s="1114"/>
      <c r="AA4724" s="1114"/>
      <c r="AB4724" s="1114"/>
      <c r="AC4724" s="1117"/>
      <c r="AD4724" s="1115"/>
      <c r="AE4724" s="1115"/>
      <c r="AF4724" s="1115"/>
      <c r="AG4724" s="1115"/>
      <c r="AH4724" s="1115"/>
      <c r="AI4724" s="1115"/>
      <c r="AJ4724" s="1117"/>
      <c r="AK4724" s="1118"/>
      <c r="AL4724" s="1115"/>
      <c r="AM4724" s="1115"/>
      <c r="AN4724" s="1115"/>
      <c r="AO4724" s="1115"/>
      <c r="AP4724" s="1115"/>
      <c r="AQ4724" s="1115"/>
      <c r="AR4724" s="1115"/>
      <c r="AS4724" s="1117"/>
      <c r="AT4724" s="1075"/>
      <c r="AU4724" s="1193"/>
      <c r="AV4724" s="330"/>
      <c r="AW4724" s="331"/>
      <c r="AX4724" s="331"/>
      <c r="AY4724" s="331"/>
      <c r="AZ4724" s="331"/>
      <c r="BA4724" s="331"/>
      <c r="BB4724" s="331"/>
      <c r="BC4724" s="331"/>
      <c r="BD4724" s="331"/>
      <c r="BE4724" s="333"/>
      <c r="BF4724" s="330"/>
      <c r="BG4724" s="333"/>
      <c r="BH4724" s="1119"/>
      <c r="BI4724" s="319"/>
      <c r="BJ4724" s="319"/>
      <c r="BK4724" s="319"/>
      <c r="BL4724" s="319"/>
      <c r="BM4724" s="319"/>
      <c r="BN4724" s="319"/>
      <c r="BO4724" s="319"/>
      <c r="BP4724" s="953"/>
      <c r="BQ4724" s="319"/>
      <c r="BR4724" s="319"/>
      <c r="BS4724" s="330"/>
      <c r="BT4724" s="331"/>
      <c r="BU4724" s="920"/>
      <c r="BV4724" s="903"/>
      <c r="BW4724" s="908"/>
      <c r="BX4724" s="908"/>
      <c r="BY4724" s="331"/>
      <c r="BZ4724" s="331"/>
      <c r="CA4724" s="462"/>
      <c r="CB4724" s="319"/>
      <c r="CC4724" s="319"/>
      <c r="CD4724" s="319"/>
      <c r="CE4724" s="319"/>
      <c r="CF4724" s="319"/>
      <c r="CG4724" s="319"/>
      <c r="CH4724" s="318"/>
      <c r="CI4724" s="319"/>
      <c r="CJ4724" s="319"/>
      <c r="CK4724" s="342"/>
      <c r="CL4724" s="333"/>
      <c r="CM4724" s="1079"/>
      <c r="CN4724" s="1005"/>
      <c r="CO4724" s="1005"/>
      <c r="CP4724" s="1005"/>
    </row>
    <row r="4725">
      <c r="A4725" s="1257"/>
      <c r="B4725" s="1113"/>
      <c r="C4725" s="1107"/>
      <c r="D4725" s="103"/>
      <c r="E4725" s="1137"/>
      <c r="F4725" s="112"/>
      <c r="G4725" s="1110"/>
      <c r="H4725" s="1138"/>
      <c r="I4725" s="1138"/>
      <c r="J4725" s="1139"/>
      <c r="K4725" s="1111"/>
      <c r="L4725" s="1112"/>
      <c r="M4725" s="1113"/>
      <c r="N4725" s="110"/>
      <c r="O4725" s="1140"/>
      <c r="P4725" s="1115"/>
      <c r="Q4725" s="1116"/>
      <c r="R4725" s="1141"/>
      <c r="S4725" s="1113"/>
      <c r="T4725" s="1143"/>
      <c r="U4725" s="1108"/>
      <c r="V4725" s="1108"/>
      <c r="W4725" s="1108"/>
      <c r="X4725" s="1108"/>
      <c r="Y4725" s="1108"/>
      <c r="Z4725" s="1114"/>
      <c r="AA4725" s="1114"/>
      <c r="AB4725" s="1114"/>
      <c r="AC4725" s="1117"/>
      <c r="AD4725" s="1115"/>
      <c r="AE4725" s="1115"/>
      <c r="AF4725" s="1115"/>
      <c r="AG4725" s="1115"/>
      <c r="AH4725" s="1115"/>
      <c r="AI4725" s="1115"/>
      <c r="AJ4725" s="1117"/>
      <c r="AK4725" s="1118"/>
      <c r="AL4725" s="1115"/>
      <c r="AM4725" s="1115"/>
      <c r="AN4725" s="1115"/>
      <c r="AO4725" s="1115"/>
      <c r="AP4725" s="1115"/>
      <c r="AQ4725" s="1115"/>
      <c r="AR4725" s="1115"/>
      <c r="AS4725" s="1117"/>
      <c r="AT4725" s="1075"/>
      <c r="AU4725" s="1193"/>
      <c r="AV4725" s="330"/>
      <c r="AW4725" s="331"/>
      <c r="AX4725" s="331"/>
      <c r="AY4725" s="331"/>
      <c r="AZ4725" s="331"/>
      <c r="BA4725" s="331"/>
      <c r="BB4725" s="331"/>
      <c r="BC4725" s="331"/>
      <c r="BD4725" s="331"/>
      <c r="BE4725" s="333"/>
      <c r="BF4725" s="330"/>
      <c r="BG4725" s="333"/>
      <c r="BH4725" s="1119"/>
      <c r="BI4725" s="319"/>
      <c r="BJ4725" s="319"/>
      <c r="BK4725" s="319"/>
      <c r="BL4725" s="319"/>
      <c r="BM4725" s="319"/>
      <c r="BN4725" s="319"/>
      <c r="BO4725" s="319"/>
      <c r="BP4725" s="953"/>
      <c r="BQ4725" s="319"/>
      <c r="BR4725" s="319"/>
      <c r="BS4725" s="330"/>
      <c r="BT4725" s="331"/>
      <c r="BU4725" s="920"/>
      <c r="BV4725" s="903"/>
      <c r="BW4725" s="908"/>
      <c r="BX4725" s="908"/>
      <c r="BY4725" s="331"/>
      <c r="BZ4725" s="331"/>
      <c r="CA4725" s="462"/>
      <c r="CB4725" s="319"/>
      <c r="CC4725" s="319"/>
      <c r="CD4725" s="319"/>
      <c r="CE4725" s="319"/>
      <c r="CF4725" s="319"/>
      <c r="CG4725" s="319"/>
      <c r="CH4725" s="318"/>
      <c r="CI4725" s="319"/>
      <c r="CJ4725" s="319"/>
      <c r="CK4725" s="342"/>
      <c r="CL4725" s="333"/>
      <c r="CM4725" s="1079"/>
      <c r="CN4725" s="1005"/>
      <c r="CO4725" s="1005"/>
      <c r="CP4725" s="1005"/>
    </row>
    <row r="4726">
      <c r="A4726" s="1257"/>
      <c r="B4726" s="1113"/>
      <c r="C4726" s="1107"/>
      <c r="D4726" s="103"/>
      <c r="E4726" s="1137"/>
      <c r="F4726" s="112"/>
      <c r="G4726" s="1110"/>
      <c r="H4726" s="1138"/>
      <c r="I4726" s="1138"/>
      <c r="J4726" s="1139"/>
      <c r="K4726" s="1111"/>
      <c r="L4726" s="1112"/>
      <c r="M4726" s="1113"/>
      <c r="N4726" s="110"/>
      <c r="O4726" s="1140"/>
      <c r="P4726" s="1115"/>
      <c r="Q4726" s="1116"/>
      <c r="R4726" s="1141"/>
      <c r="S4726" s="1113"/>
      <c r="T4726" s="1143"/>
      <c r="U4726" s="1108"/>
      <c r="V4726" s="1108"/>
      <c r="W4726" s="1108"/>
      <c r="X4726" s="1108"/>
      <c r="Y4726" s="1108"/>
      <c r="Z4726" s="1114"/>
      <c r="AA4726" s="1114"/>
      <c r="AB4726" s="1114"/>
      <c r="AC4726" s="1117"/>
      <c r="AD4726" s="1115"/>
      <c r="AE4726" s="1115"/>
      <c r="AF4726" s="1115"/>
      <c r="AG4726" s="1115"/>
      <c r="AH4726" s="1115"/>
      <c r="AI4726" s="1115"/>
      <c r="AJ4726" s="1117"/>
      <c r="AK4726" s="1118"/>
      <c r="AL4726" s="1115"/>
      <c r="AM4726" s="1115"/>
      <c r="AN4726" s="1115"/>
      <c r="AO4726" s="1115"/>
      <c r="AP4726" s="1115"/>
      <c r="AQ4726" s="1115"/>
      <c r="AR4726" s="1115"/>
      <c r="AS4726" s="1117"/>
      <c r="AT4726" s="1075"/>
      <c r="AU4726" s="1193"/>
      <c r="AV4726" s="330"/>
      <c r="AW4726" s="331"/>
      <c r="AX4726" s="331"/>
      <c r="AY4726" s="331"/>
      <c r="AZ4726" s="331"/>
      <c r="BA4726" s="331"/>
      <c r="BB4726" s="331"/>
      <c r="BC4726" s="331"/>
      <c r="BD4726" s="331"/>
      <c r="BE4726" s="333"/>
      <c r="BF4726" s="330"/>
      <c r="BG4726" s="333"/>
      <c r="BH4726" s="1119"/>
      <c r="BI4726" s="319"/>
      <c r="BJ4726" s="319"/>
      <c r="BK4726" s="319"/>
      <c r="BL4726" s="319"/>
      <c r="BM4726" s="319"/>
      <c r="BN4726" s="319"/>
      <c r="BO4726" s="319"/>
      <c r="BP4726" s="953"/>
      <c r="BQ4726" s="319"/>
      <c r="BR4726" s="319"/>
      <c r="BS4726" s="330"/>
      <c r="BT4726" s="331"/>
      <c r="BU4726" s="920"/>
      <c r="BV4726" s="903"/>
      <c r="BW4726" s="908"/>
      <c r="BX4726" s="908"/>
      <c r="BY4726" s="331"/>
      <c r="BZ4726" s="331"/>
      <c r="CA4726" s="462"/>
      <c r="CB4726" s="319"/>
      <c r="CC4726" s="319"/>
      <c r="CD4726" s="319"/>
      <c r="CE4726" s="319"/>
      <c r="CF4726" s="319"/>
      <c r="CG4726" s="319"/>
      <c r="CH4726" s="318"/>
      <c r="CI4726" s="319"/>
      <c r="CJ4726" s="319"/>
      <c r="CK4726" s="342"/>
      <c r="CL4726" s="333"/>
      <c r="CM4726" s="1079"/>
      <c r="CN4726" s="1005"/>
      <c r="CO4726" s="1005"/>
      <c r="CP4726" s="1005"/>
    </row>
    <row r="4727">
      <c r="A4727" s="1257"/>
      <c r="B4727" s="1113"/>
      <c r="C4727" s="1107"/>
      <c r="D4727" s="103"/>
      <c r="E4727" s="1137"/>
      <c r="F4727" s="112"/>
      <c r="G4727" s="1110"/>
      <c r="H4727" s="1138"/>
      <c r="I4727" s="1138"/>
      <c r="J4727" s="1139"/>
      <c r="K4727" s="1111"/>
      <c r="L4727" s="1112"/>
      <c r="M4727" s="1113"/>
      <c r="N4727" s="110"/>
      <c r="O4727" s="1140"/>
      <c r="P4727" s="1115"/>
      <c r="Q4727" s="1116"/>
      <c r="R4727" s="1141"/>
      <c r="S4727" s="1113"/>
      <c r="T4727" s="1143"/>
      <c r="U4727" s="1108"/>
      <c r="V4727" s="1108"/>
      <c r="W4727" s="1108"/>
      <c r="X4727" s="1108"/>
      <c r="Y4727" s="1108"/>
      <c r="Z4727" s="1114"/>
      <c r="AA4727" s="1114"/>
      <c r="AB4727" s="1114"/>
      <c r="AC4727" s="1117"/>
      <c r="AD4727" s="1115"/>
      <c r="AE4727" s="1115"/>
      <c r="AF4727" s="1115"/>
      <c r="AG4727" s="1115"/>
      <c r="AH4727" s="1115"/>
      <c r="AI4727" s="1115"/>
      <c r="AJ4727" s="1117"/>
      <c r="AK4727" s="1118"/>
      <c r="AL4727" s="1115"/>
      <c r="AM4727" s="1115"/>
      <c r="AN4727" s="1115"/>
      <c r="AO4727" s="1115"/>
      <c r="AP4727" s="1115"/>
      <c r="AQ4727" s="1115"/>
      <c r="AR4727" s="1115"/>
      <c r="AS4727" s="1117"/>
      <c r="AT4727" s="1075"/>
      <c r="AU4727" s="1193"/>
      <c r="AV4727" s="330"/>
      <c r="AW4727" s="331"/>
      <c r="AX4727" s="331"/>
      <c r="AY4727" s="331"/>
      <c r="AZ4727" s="331"/>
      <c r="BA4727" s="331"/>
      <c r="BB4727" s="331"/>
      <c r="BC4727" s="331"/>
      <c r="BD4727" s="331"/>
      <c r="BE4727" s="333"/>
      <c r="BF4727" s="330"/>
      <c r="BG4727" s="333"/>
      <c r="BH4727" s="1119"/>
      <c r="BI4727" s="319"/>
      <c r="BJ4727" s="319"/>
      <c r="BK4727" s="319"/>
      <c r="BL4727" s="319"/>
      <c r="BM4727" s="319"/>
      <c r="BN4727" s="319"/>
      <c r="BO4727" s="319"/>
      <c r="BP4727" s="953"/>
      <c r="BQ4727" s="319"/>
      <c r="BR4727" s="319"/>
      <c r="BS4727" s="330"/>
      <c r="BT4727" s="331"/>
      <c r="BU4727" s="920"/>
      <c r="BV4727" s="903"/>
      <c r="BW4727" s="908"/>
      <c r="BX4727" s="908"/>
      <c r="BY4727" s="331"/>
      <c r="BZ4727" s="331"/>
      <c r="CA4727" s="462"/>
      <c r="CB4727" s="319"/>
      <c r="CC4727" s="319"/>
      <c r="CD4727" s="319"/>
      <c r="CE4727" s="319"/>
      <c r="CF4727" s="319"/>
      <c r="CG4727" s="319"/>
      <c r="CH4727" s="318"/>
      <c r="CI4727" s="319"/>
      <c r="CJ4727" s="319"/>
      <c r="CK4727" s="342"/>
      <c r="CL4727" s="333"/>
      <c r="CM4727" s="1079"/>
      <c r="CN4727" s="1005"/>
      <c r="CO4727" s="1005"/>
      <c r="CP4727" s="1005"/>
    </row>
    <row r="4728">
      <c r="A4728" s="1257"/>
      <c r="B4728" s="1113"/>
      <c r="C4728" s="1107"/>
      <c r="D4728" s="103"/>
      <c r="E4728" s="1137"/>
      <c r="F4728" s="112"/>
      <c r="G4728" s="1110"/>
      <c r="H4728" s="1138"/>
      <c r="I4728" s="1138"/>
      <c r="J4728" s="1139"/>
      <c r="K4728" s="1111"/>
      <c r="L4728" s="1112"/>
      <c r="M4728" s="1113"/>
      <c r="N4728" s="110"/>
      <c r="O4728" s="1140"/>
      <c r="P4728" s="1115"/>
      <c r="Q4728" s="1116"/>
      <c r="R4728" s="1141"/>
      <c r="S4728" s="1113"/>
      <c r="T4728" s="1143"/>
      <c r="U4728" s="1108"/>
      <c r="V4728" s="1108"/>
      <c r="W4728" s="1108"/>
      <c r="X4728" s="1108"/>
      <c r="Y4728" s="1108"/>
      <c r="Z4728" s="1114"/>
      <c r="AA4728" s="1114"/>
      <c r="AB4728" s="1114"/>
      <c r="AC4728" s="1117"/>
      <c r="AD4728" s="1115"/>
      <c r="AE4728" s="1115"/>
      <c r="AF4728" s="1115"/>
      <c r="AG4728" s="1115"/>
      <c r="AH4728" s="1115"/>
      <c r="AI4728" s="1115"/>
      <c r="AJ4728" s="1117"/>
      <c r="AK4728" s="1118"/>
      <c r="AL4728" s="1115"/>
      <c r="AM4728" s="1115"/>
      <c r="AN4728" s="1115"/>
      <c r="AO4728" s="1115"/>
      <c r="AP4728" s="1115"/>
      <c r="AQ4728" s="1115"/>
      <c r="AR4728" s="1115"/>
      <c r="AS4728" s="1117"/>
      <c r="AT4728" s="1075"/>
      <c r="AU4728" s="1193"/>
      <c r="AV4728" s="330"/>
      <c r="AW4728" s="331"/>
      <c r="AX4728" s="331"/>
      <c r="AY4728" s="331"/>
      <c r="AZ4728" s="331"/>
      <c r="BA4728" s="331"/>
      <c r="BB4728" s="331"/>
      <c r="BC4728" s="331"/>
      <c r="BD4728" s="331"/>
      <c r="BE4728" s="333"/>
      <c r="BF4728" s="330"/>
      <c r="BG4728" s="333"/>
      <c r="BH4728" s="1119"/>
      <c r="BI4728" s="319"/>
      <c r="BJ4728" s="319"/>
      <c r="BK4728" s="319"/>
      <c r="BL4728" s="319"/>
      <c r="BM4728" s="319"/>
      <c r="BN4728" s="319"/>
      <c r="BO4728" s="319"/>
      <c r="BP4728" s="953"/>
      <c r="BQ4728" s="319"/>
      <c r="BR4728" s="319"/>
      <c r="BS4728" s="330"/>
      <c r="BT4728" s="331"/>
      <c r="BU4728" s="920"/>
      <c r="BV4728" s="903"/>
      <c r="BW4728" s="908"/>
      <c r="BX4728" s="908"/>
      <c r="BY4728" s="331"/>
      <c r="BZ4728" s="331"/>
      <c r="CA4728" s="462"/>
      <c r="CB4728" s="319"/>
      <c r="CC4728" s="319"/>
      <c r="CD4728" s="319"/>
      <c r="CE4728" s="319"/>
      <c r="CF4728" s="319"/>
      <c r="CG4728" s="319"/>
      <c r="CH4728" s="318"/>
      <c r="CI4728" s="319"/>
      <c r="CJ4728" s="319"/>
      <c r="CK4728" s="342"/>
      <c r="CL4728" s="333"/>
      <c r="CM4728" s="1079"/>
      <c r="CN4728" s="1005"/>
      <c r="CO4728" s="1005"/>
      <c r="CP4728" s="1005"/>
    </row>
    <row r="4729">
      <c r="A4729" s="1257"/>
      <c r="B4729" s="1113"/>
      <c r="C4729" s="1107"/>
      <c r="D4729" s="103"/>
      <c r="E4729" s="1137"/>
      <c r="F4729" s="112"/>
      <c r="G4729" s="1110"/>
      <c r="H4729" s="1138"/>
      <c r="I4729" s="1138"/>
      <c r="J4729" s="1139"/>
      <c r="K4729" s="1111"/>
      <c r="L4729" s="1112"/>
      <c r="M4729" s="1113"/>
      <c r="N4729" s="110"/>
      <c r="O4729" s="1140"/>
      <c r="P4729" s="1115"/>
      <c r="Q4729" s="1116"/>
      <c r="R4729" s="1141"/>
      <c r="S4729" s="1113"/>
      <c r="T4729" s="1143"/>
      <c r="U4729" s="1108"/>
      <c r="V4729" s="1108"/>
      <c r="W4729" s="1108"/>
      <c r="X4729" s="1108"/>
      <c r="Y4729" s="1108"/>
      <c r="Z4729" s="1114"/>
      <c r="AA4729" s="1114"/>
      <c r="AB4729" s="1114"/>
      <c r="AC4729" s="1117"/>
      <c r="AD4729" s="1115"/>
      <c r="AE4729" s="1115"/>
      <c r="AF4729" s="1115"/>
      <c r="AG4729" s="1115"/>
      <c r="AH4729" s="1115"/>
      <c r="AI4729" s="1115"/>
      <c r="AJ4729" s="1117"/>
      <c r="AK4729" s="1118"/>
      <c r="AL4729" s="1115"/>
      <c r="AM4729" s="1115"/>
      <c r="AN4729" s="1115"/>
      <c r="AO4729" s="1115"/>
      <c r="AP4729" s="1115"/>
      <c r="AQ4729" s="1115"/>
      <c r="AR4729" s="1115"/>
      <c r="AS4729" s="1117"/>
      <c r="AT4729" s="1075"/>
      <c r="AU4729" s="1193"/>
      <c r="AV4729" s="330"/>
      <c r="AW4729" s="331"/>
      <c r="AX4729" s="331"/>
      <c r="AY4729" s="331"/>
      <c r="AZ4729" s="331"/>
      <c r="BA4729" s="331"/>
      <c r="BB4729" s="331"/>
      <c r="BC4729" s="331"/>
      <c r="BD4729" s="331"/>
      <c r="BE4729" s="333"/>
      <c r="BF4729" s="330"/>
      <c r="BG4729" s="333"/>
      <c r="BH4729" s="1119"/>
      <c r="BI4729" s="319"/>
      <c r="BJ4729" s="319"/>
      <c r="BK4729" s="319"/>
      <c r="BL4729" s="319"/>
      <c r="BM4729" s="319"/>
      <c r="BN4729" s="319"/>
      <c r="BO4729" s="319"/>
      <c r="BP4729" s="953"/>
      <c r="BQ4729" s="319"/>
      <c r="BR4729" s="319"/>
      <c r="BS4729" s="330"/>
      <c r="BT4729" s="331"/>
      <c r="BU4729" s="920"/>
      <c r="BV4729" s="903"/>
      <c r="BW4729" s="908"/>
      <c r="BX4729" s="908"/>
      <c r="BY4729" s="331"/>
      <c r="BZ4729" s="331"/>
      <c r="CA4729" s="462"/>
      <c r="CB4729" s="319"/>
      <c r="CC4729" s="319"/>
      <c r="CD4729" s="319"/>
      <c r="CE4729" s="319"/>
      <c r="CF4729" s="319"/>
      <c r="CG4729" s="319"/>
      <c r="CH4729" s="318"/>
      <c r="CI4729" s="319"/>
      <c r="CJ4729" s="319"/>
      <c r="CK4729" s="342"/>
      <c r="CL4729" s="333"/>
      <c r="CM4729" s="1079"/>
      <c r="CN4729" s="1005"/>
      <c r="CO4729" s="1005"/>
      <c r="CP4729" s="1005"/>
    </row>
    <row r="4730">
      <c r="A4730" s="1257"/>
      <c r="B4730" s="1113"/>
      <c r="C4730" s="1107"/>
      <c r="D4730" s="103"/>
      <c r="E4730" s="1137"/>
      <c r="F4730" s="112"/>
      <c r="G4730" s="1110"/>
      <c r="H4730" s="1138"/>
      <c r="I4730" s="1138"/>
      <c r="J4730" s="1139"/>
      <c r="K4730" s="1111"/>
      <c r="L4730" s="1112"/>
      <c r="M4730" s="1113"/>
      <c r="N4730" s="110"/>
      <c r="O4730" s="1140"/>
      <c r="P4730" s="1115"/>
      <c r="Q4730" s="1116"/>
      <c r="R4730" s="1141"/>
      <c r="S4730" s="1113"/>
      <c r="T4730" s="1143"/>
      <c r="U4730" s="1108"/>
      <c r="V4730" s="1108"/>
      <c r="W4730" s="1108"/>
      <c r="X4730" s="1108"/>
      <c r="Y4730" s="1108"/>
      <c r="Z4730" s="1114"/>
      <c r="AA4730" s="1114"/>
      <c r="AB4730" s="1114"/>
      <c r="AC4730" s="1117"/>
      <c r="AD4730" s="1115"/>
      <c r="AE4730" s="1115"/>
      <c r="AF4730" s="1115"/>
      <c r="AG4730" s="1115"/>
      <c r="AH4730" s="1115"/>
      <c r="AI4730" s="1115"/>
      <c r="AJ4730" s="1117"/>
      <c r="AK4730" s="1118"/>
      <c r="AL4730" s="1115"/>
      <c r="AM4730" s="1115"/>
      <c r="AN4730" s="1115"/>
      <c r="AO4730" s="1115"/>
      <c r="AP4730" s="1115"/>
      <c r="AQ4730" s="1115"/>
      <c r="AR4730" s="1115"/>
      <c r="AS4730" s="1117"/>
      <c r="AT4730" s="1075"/>
      <c r="AU4730" s="1193"/>
      <c r="AV4730" s="330"/>
      <c r="AW4730" s="331"/>
      <c r="AX4730" s="331"/>
      <c r="AY4730" s="331"/>
      <c r="AZ4730" s="331"/>
      <c r="BA4730" s="331"/>
      <c r="BB4730" s="331"/>
      <c r="BC4730" s="331"/>
      <c r="BD4730" s="331"/>
      <c r="BE4730" s="333"/>
      <c r="BF4730" s="330"/>
      <c r="BG4730" s="333"/>
      <c r="BH4730" s="1119"/>
      <c r="BI4730" s="319"/>
      <c r="BJ4730" s="319"/>
      <c r="BK4730" s="319"/>
      <c r="BL4730" s="319"/>
      <c r="BM4730" s="319"/>
      <c r="BN4730" s="319"/>
      <c r="BO4730" s="319"/>
      <c r="BP4730" s="953"/>
      <c r="BQ4730" s="319"/>
      <c r="BR4730" s="319"/>
      <c r="BS4730" s="330"/>
      <c r="BT4730" s="331"/>
      <c r="BU4730" s="920"/>
      <c r="BV4730" s="903"/>
      <c r="BW4730" s="908"/>
      <c r="BX4730" s="908"/>
      <c r="BY4730" s="331"/>
      <c r="BZ4730" s="331"/>
      <c r="CA4730" s="462"/>
      <c r="CB4730" s="319"/>
      <c r="CC4730" s="319"/>
      <c r="CD4730" s="319"/>
      <c r="CE4730" s="319"/>
      <c r="CF4730" s="319"/>
      <c r="CG4730" s="319"/>
      <c r="CH4730" s="318"/>
      <c r="CI4730" s="319"/>
      <c r="CJ4730" s="319"/>
      <c r="CK4730" s="342"/>
      <c r="CL4730" s="333"/>
      <c r="CM4730" s="1079"/>
      <c r="CN4730" s="1005"/>
      <c r="CO4730" s="1005"/>
      <c r="CP4730" s="1005"/>
    </row>
    <row r="4731">
      <c r="A4731" s="1257"/>
      <c r="B4731" s="1113"/>
      <c r="C4731" s="1107"/>
      <c r="D4731" s="103"/>
      <c r="E4731" s="1137"/>
      <c r="F4731" s="112"/>
      <c r="G4731" s="1110"/>
      <c r="H4731" s="1138"/>
      <c r="I4731" s="1138"/>
      <c r="J4731" s="1139"/>
      <c r="K4731" s="1111"/>
      <c r="L4731" s="1112"/>
      <c r="M4731" s="1113"/>
      <c r="N4731" s="110"/>
      <c r="O4731" s="1140"/>
      <c r="P4731" s="1115"/>
      <c r="Q4731" s="1116"/>
      <c r="R4731" s="1141"/>
      <c r="S4731" s="1113"/>
      <c r="T4731" s="1143"/>
      <c r="U4731" s="1108"/>
      <c r="V4731" s="1108"/>
      <c r="W4731" s="1108"/>
      <c r="X4731" s="1108"/>
      <c r="Y4731" s="1108"/>
      <c r="Z4731" s="1114"/>
      <c r="AA4731" s="1114"/>
      <c r="AB4731" s="1114"/>
      <c r="AC4731" s="1117"/>
      <c r="AD4731" s="1115"/>
      <c r="AE4731" s="1115"/>
      <c r="AF4731" s="1115"/>
      <c r="AG4731" s="1115"/>
      <c r="AH4731" s="1115"/>
      <c r="AI4731" s="1115"/>
      <c r="AJ4731" s="1117"/>
      <c r="AK4731" s="1118"/>
      <c r="AL4731" s="1115"/>
      <c r="AM4731" s="1115"/>
      <c r="AN4731" s="1115"/>
      <c r="AO4731" s="1115"/>
      <c r="AP4731" s="1115"/>
      <c r="AQ4731" s="1115"/>
      <c r="AR4731" s="1115"/>
      <c r="AS4731" s="1117"/>
      <c r="AT4731" s="1075"/>
      <c r="AU4731" s="1193"/>
      <c r="AV4731" s="330"/>
      <c r="AW4731" s="331"/>
      <c r="AX4731" s="331"/>
      <c r="AY4731" s="331"/>
      <c r="AZ4731" s="331"/>
      <c r="BA4731" s="331"/>
      <c r="BB4731" s="331"/>
      <c r="BC4731" s="331"/>
      <c r="BD4731" s="331"/>
      <c r="BE4731" s="333"/>
      <c r="BF4731" s="330"/>
      <c r="BG4731" s="333"/>
      <c r="BH4731" s="1119"/>
      <c r="BI4731" s="319"/>
      <c r="BJ4731" s="319"/>
      <c r="BK4731" s="319"/>
      <c r="BL4731" s="319"/>
      <c r="BM4731" s="319"/>
      <c r="BN4731" s="319"/>
      <c r="BO4731" s="319"/>
      <c r="BP4731" s="953"/>
      <c r="BQ4731" s="319"/>
      <c r="BR4731" s="319"/>
      <c r="BS4731" s="330"/>
      <c r="BT4731" s="331"/>
      <c r="BU4731" s="920"/>
      <c r="BV4731" s="903"/>
      <c r="BW4731" s="908"/>
      <c r="BX4731" s="908"/>
      <c r="BY4731" s="331"/>
      <c r="BZ4731" s="331"/>
      <c r="CA4731" s="462"/>
      <c r="CB4731" s="319"/>
      <c r="CC4731" s="319"/>
      <c r="CD4731" s="319"/>
      <c r="CE4731" s="319"/>
      <c r="CF4731" s="319"/>
      <c r="CG4731" s="319"/>
      <c r="CH4731" s="318"/>
      <c r="CI4731" s="319"/>
      <c r="CJ4731" s="319"/>
      <c r="CK4731" s="342"/>
      <c r="CL4731" s="333"/>
      <c r="CM4731" s="1079"/>
      <c r="CN4731" s="1005"/>
      <c r="CO4731" s="1005"/>
      <c r="CP4731" s="1005"/>
    </row>
    <row r="4732">
      <c r="A4732" s="1257"/>
      <c r="B4732" s="1113"/>
      <c r="C4732" s="1107"/>
      <c r="D4732" s="103"/>
      <c r="E4732" s="1137"/>
      <c r="F4732" s="112"/>
      <c r="G4732" s="1110"/>
      <c r="H4732" s="1138"/>
      <c r="I4732" s="1138"/>
      <c r="J4732" s="1139"/>
      <c r="K4732" s="1111"/>
      <c r="L4732" s="1112"/>
      <c r="M4732" s="1113"/>
      <c r="N4732" s="110"/>
      <c r="O4732" s="1140"/>
      <c r="P4732" s="1115"/>
      <c r="Q4732" s="1116"/>
      <c r="R4732" s="1141"/>
      <c r="S4732" s="1113"/>
      <c r="T4732" s="1143"/>
      <c r="U4732" s="1108"/>
      <c r="V4732" s="1108"/>
      <c r="W4732" s="1108"/>
      <c r="X4732" s="1108"/>
      <c r="Y4732" s="1108"/>
      <c r="Z4732" s="1114"/>
      <c r="AA4732" s="1114"/>
      <c r="AB4732" s="1114"/>
      <c r="AC4732" s="1117"/>
      <c r="AD4732" s="1115"/>
      <c r="AE4732" s="1115"/>
      <c r="AF4732" s="1115"/>
      <c r="AG4732" s="1115"/>
      <c r="AH4732" s="1115"/>
      <c r="AI4732" s="1115"/>
      <c r="AJ4732" s="1117"/>
      <c r="AK4732" s="1118"/>
      <c r="AL4732" s="1115"/>
      <c r="AM4732" s="1115"/>
      <c r="AN4732" s="1115"/>
      <c r="AO4732" s="1115"/>
      <c r="AP4732" s="1115"/>
      <c r="AQ4732" s="1115"/>
      <c r="AR4732" s="1115"/>
      <c r="AS4732" s="1117"/>
      <c r="AT4732" s="1075"/>
      <c r="AU4732" s="1193"/>
      <c r="AV4732" s="330"/>
      <c r="AW4732" s="331"/>
      <c r="AX4732" s="331"/>
      <c r="AY4732" s="331"/>
      <c r="AZ4732" s="331"/>
      <c r="BA4732" s="331"/>
      <c r="BB4732" s="331"/>
      <c r="BC4732" s="331"/>
      <c r="BD4732" s="331"/>
      <c r="BE4732" s="333"/>
      <c r="BF4732" s="330"/>
      <c r="BG4732" s="333"/>
      <c r="BH4732" s="1119"/>
      <c r="BI4732" s="319"/>
      <c r="BJ4732" s="319"/>
      <c r="BK4732" s="319"/>
      <c r="BL4732" s="319"/>
      <c r="BM4732" s="319"/>
      <c r="BN4732" s="319"/>
      <c r="BO4732" s="319"/>
      <c r="BP4732" s="953"/>
      <c r="BQ4732" s="319"/>
      <c r="BR4732" s="319"/>
      <c r="BS4732" s="330"/>
      <c r="BT4732" s="331"/>
      <c r="BU4732" s="920"/>
      <c r="BV4732" s="903"/>
      <c r="BW4732" s="908"/>
      <c r="BX4732" s="908"/>
      <c r="BY4732" s="331"/>
      <c r="BZ4732" s="331"/>
      <c r="CA4732" s="462"/>
      <c r="CB4732" s="319"/>
      <c r="CC4732" s="319"/>
      <c r="CD4732" s="319"/>
      <c r="CE4732" s="319"/>
      <c r="CF4732" s="319"/>
      <c r="CG4732" s="319"/>
      <c r="CH4732" s="318"/>
      <c r="CI4732" s="319"/>
      <c r="CJ4732" s="319"/>
      <c r="CK4732" s="342"/>
      <c r="CL4732" s="333"/>
      <c r="CM4732" s="1079"/>
      <c r="CN4732" s="1005"/>
      <c r="CO4732" s="1005"/>
      <c r="CP4732" s="1005"/>
    </row>
    <row r="4733">
      <c r="A4733" s="1257"/>
      <c r="B4733" s="1113"/>
      <c r="C4733" s="1107"/>
      <c r="D4733" s="103"/>
      <c r="E4733" s="1137"/>
      <c r="F4733" s="112"/>
      <c r="G4733" s="1110"/>
      <c r="H4733" s="1138"/>
      <c r="I4733" s="1138"/>
      <c r="J4733" s="1139"/>
      <c r="K4733" s="1111"/>
      <c r="L4733" s="1112"/>
      <c r="M4733" s="1113"/>
      <c r="N4733" s="110"/>
      <c r="O4733" s="1140"/>
      <c r="P4733" s="1115"/>
      <c r="Q4733" s="1116"/>
      <c r="R4733" s="1141"/>
      <c r="S4733" s="1113"/>
      <c r="T4733" s="1143"/>
      <c r="U4733" s="1108"/>
      <c r="V4733" s="1108"/>
      <c r="W4733" s="1108"/>
      <c r="X4733" s="1108"/>
      <c r="Y4733" s="1108"/>
      <c r="Z4733" s="1114"/>
      <c r="AA4733" s="1114"/>
      <c r="AB4733" s="1114"/>
      <c r="AC4733" s="1117"/>
      <c r="AD4733" s="1115"/>
      <c r="AE4733" s="1115"/>
      <c r="AF4733" s="1115"/>
      <c r="AG4733" s="1115"/>
      <c r="AH4733" s="1115"/>
      <c r="AI4733" s="1115"/>
      <c r="AJ4733" s="1117"/>
      <c r="AK4733" s="1118"/>
      <c r="AL4733" s="1115"/>
      <c r="AM4733" s="1115"/>
      <c r="AN4733" s="1115"/>
      <c r="AO4733" s="1115"/>
      <c r="AP4733" s="1115"/>
      <c r="AQ4733" s="1115"/>
      <c r="AR4733" s="1115"/>
      <c r="AS4733" s="1117"/>
      <c r="AT4733" s="1075"/>
      <c r="AU4733" s="1193"/>
      <c r="AV4733" s="330"/>
      <c r="AW4733" s="331"/>
      <c r="AX4733" s="331"/>
      <c r="AY4733" s="331"/>
      <c r="AZ4733" s="331"/>
      <c r="BA4733" s="331"/>
      <c r="BB4733" s="331"/>
      <c r="BC4733" s="331"/>
      <c r="BD4733" s="331"/>
      <c r="BE4733" s="333"/>
      <c r="BF4733" s="330"/>
      <c r="BG4733" s="333"/>
      <c r="BH4733" s="1119"/>
      <c r="BI4733" s="319"/>
      <c r="BJ4733" s="319"/>
      <c r="BK4733" s="319"/>
      <c r="BL4733" s="319"/>
      <c r="BM4733" s="319"/>
      <c r="BN4733" s="319"/>
      <c r="BO4733" s="319"/>
      <c r="BP4733" s="953"/>
      <c r="BQ4733" s="319"/>
      <c r="BR4733" s="319"/>
      <c r="BS4733" s="330"/>
      <c r="BT4733" s="331"/>
      <c r="BU4733" s="920"/>
      <c r="BV4733" s="903"/>
      <c r="BW4733" s="908"/>
      <c r="BX4733" s="908"/>
      <c r="BY4733" s="331"/>
      <c r="BZ4733" s="331"/>
      <c r="CA4733" s="462"/>
      <c r="CB4733" s="319"/>
      <c r="CC4733" s="319"/>
      <c r="CD4733" s="319"/>
      <c r="CE4733" s="319"/>
      <c r="CF4733" s="319"/>
      <c r="CG4733" s="319"/>
      <c r="CH4733" s="318"/>
      <c r="CI4733" s="319"/>
      <c r="CJ4733" s="319"/>
      <c r="CK4733" s="342"/>
      <c r="CL4733" s="333"/>
      <c r="CM4733" s="1079"/>
      <c r="CN4733" s="1005"/>
      <c r="CO4733" s="1005"/>
      <c r="CP4733" s="1005"/>
    </row>
    <row r="4734">
      <c r="A4734" s="1257"/>
      <c r="B4734" s="1113"/>
      <c r="C4734" s="1107"/>
      <c r="D4734" s="103"/>
      <c r="E4734" s="1137"/>
      <c r="F4734" s="112"/>
      <c r="G4734" s="1110"/>
      <c r="H4734" s="1138"/>
      <c r="I4734" s="1138"/>
      <c r="J4734" s="1139"/>
      <c r="K4734" s="1111"/>
      <c r="L4734" s="1112"/>
      <c r="M4734" s="1113"/>
      <c r="N4734" s="110"/>
      <c r="O4734" s="1140"/>
      <c r="P4734" s="1115"/>
      <c r="Q4734" s="1116"/>
      <c r="R4734" s="1141"/>
      <c r="S4734" s="1113"/>
      <c r="T4734" s="1143"/>
      <c r="U4734" s="1108"/>
      <c r="V4734" s="1108"/>
      <c r="W4734" s="1108"/>
      <c r="X4734" s="1108"/>
      <c r="Y4734" s="1108"/>
      <c r="Z4734" s="1114"/>
      <c r="AA4734" s="1114"/>
      <c r="AB4734" s="1114"/>
      <c r="AC4734" s="1117"/>
      <c r="AD4734" s="1115"/>
      <c r="AE4734" s="1115"/>
      <c r="AF4734" s="1115"/>
      <c r="AG4734" s="1115"/>
      <c r="AH4734" s="1115"/>
      <c r="AI4734" s="1115"/>
      <c r="AJ4734" s="1117"/>
      <c r="AK4734" s="1118"/>
      <c r="AL4734" s="1115"/>
      <c r="AM4734" s="1115"/>
      <c r="AN4734" s="1115"/>
      <c r="AO4734" s="1115"/>
      <c r="AP4734" s="1115"/>
      <c r="AQ4734" s="1115"/>
      <c r="AR4734" s="1115"/>
      <c r="AS4734" s="1117"/>
      <c r="AT4734" s="1075"/>
      <c r="AU4734" s="1193"/>
      <c r="AV4734" s="330"/>
      <c r="AW4734" s="331"/>
      <c r="AX4734" s="331"/>
      <c r="AY4734" s="331"/>
      <c r="AZ4734" s="331"/>
      <c r="BA4734" s="331"/>
      <c r="BB4734" s="331"/>
      <c r="BC4734" s="331"/>
      <c r="BD4734" s="331"/>
      <c r="BE4734" s="333"/>
      <c r="BF4734" s="330"/>
      <c r="BG4734" s="333"/>
      <c r="BH4734" s="1119"/>
      <c r="BI4734" s="319"/>
      <c r="BJ4734" s="319"/>
      <c r="BK4734" s="319"/>
      <c r="BL4734" s="319"/>
      <c r="BM4734" s="319"/>
      <c r="BN4734" s="319"/>
      <c r="BO4734" s="319"/>
      <c r="BP4734" s="953"/>
      <c r="BQ4734" s="319"/>
      <c r="BR4734" s="319"/>
      <c r="BS4734" s="330"/>
      <c r="BT4734" s="331"/>
      <c r="BU4734" s="920"/>
      <c r="BV4734" s="903"/>
      <c r="BW4734" s="908"/>
      <c r="BX4734" s="908"/>
      <c r="BY4734" s="331"/>
      <c r="BZ4734" s="331"/>
      <c r="CA4734" s="462"/>
      <c r="CB4734" s="319"/>
      <c r="CC4734" s="319"/>
      <c r="CD4734" s="319"/>
      <c r="CE4734" s="319"/>
      <c r="CF4734" s="319"/>
      <c r="CG4734" s="319"/>
      <c r="CH4734" s="318"/>
      <c r="CI4734" s="319"/>
      <c r="CJ4734" s="319"/>
      <c r="CK4734" s="342"/>
      <c r="CL4734" s="333"/>
      <c r="CM4734" s="1079"/>
      <c r="CN4734" s="1005"/>
      <c r="CO4734" s="1005"/>
      <c r="CP4734" s="1005"/>
    </row>
    <row r="4735">
      <c r="A4735" s="1257"/>
      <c r="B4735" s="1113"/>
      <c r="C4735" s="1107"/>
      <c r="D4735" s="103"/>
      <c r="E4735" s="1137"/>
      <c r="F4735" s="112"/>
      <c r="G4735" s="1110"/>
      <c r="H4735" s="1138"/>
      <c r="I4735" s="1138"/>
      <c r="J4735" s="1139"/>
      <c r="K4735" s="1111"/>
      <c r="L4735" s="1112"/>
      <c r="M4735" s="1113"/>
      <c r="N4735" s="110"/>
      <c r="O4735" s="1140"/>
      <c r="P4735" s="1115"/>
      <c r="Q4735" s="1116"/>
      <c r="R4735" s="1141"/>
      <c r="S4735" s="1113"/>
      <c r="T4735" s="1143"/>
      <c r="U4735" s="1108"/>
      <c r="V4735" s="1108"/>
      <c r="W4735" s="1108"/>
      <c r="X4735" s="1108"/>
      <c r="Y4735" s="1108"/>
      <c r="Z4735" s="1114"/>
      <c r="AA4735" s="1114"/>
      <c r="AB4735" s="1114"/>
      <c r="AC4735" s="1117"/>
      <c r="AD4735" s="1115"/>
      <c r="AE4735" s="1115"/>
      <c r="AF4735" s="1115"/>
      <c r="AG4735" s="1115"/>
      <c r="AH4735" s="1115"/>
      <c r="AI4735" s="1115"/>
      <c r="AJ4735" s="1117"/>
      <c r="AK4735" s="1118"/>
      <c r="AL4735" s="1115"/>
      <c r="AM4735" s="1115"/>
      <c r="AN4735" s="1115"/>
      <c r="AO4735" s="1115"/>
      <c r="AP4735" s="1115"/>
      <c r="AQ4735" s="1115"/>
      <c r="AR4735" s="1115"/>
      <c r="AS4735" s="1117"/>
      <c r="AT4735" s="1075"/>
      <c r="AU4735" s="1193"/>
      <c r="AV4735" s="330"/>
      <c r="AW4735" s="331"/>
      <c r="AX4735" s="331"/>
      <c r="AY4735" s="331"/>
      <c r="AZ4735" s="331"/>
      <c r="BA4735" s="331"/>
      <c r="BB4735" s="331"/>
      <c r="BC4735" s="331"/>
      <c r="BD4735" s="331"/>
      <c r="BE4735" s="333"/>
      <c r="BF4735" s="330"/>
      <c r="BG4735" s="333"/>
      <c r="BH4735" s="1119"/>
      <c r="BI4735" s="319"/>
      <c r="BJ4735" s="319"/>
      <c r="BK4735" s="319"/>
      <c r="BL4735" s="319"/>
      <c r="BM4735" s="319"/>
      <c r="BN4735" s="319"/>
      <c r="BO4735" s="319"/>
      <c r="BP4735" s="953"/>
      <c r="BQ4735" s="319"/>
      <c r="BR4735" s="319"/>
      <c r="BS4735" s="330"/>
      <c r="BT4735" s="331"/>
      <c r="BU4735" s="920"/>
      <c r="BV4735" s="903"/>
      <c r="BW4735" s="908"/>
      <c r="BX4735" s="908"/>
      <c r="BY4735" s="331"/>
      <c r="BZ4735" s="331"/>
      <c r="CA4735" s="462"/>
      <c r="CB4735" s="319"/>
      <c r="CC4735" s="319"/>
      <c r="CD4735" s="319"/>
      <c r="CE4735" s="319"/>
      <c r="CF4735" s="319"/>
      <c r="CG4735" s="319"/>
      <c r="CH4735" s="318"/>
      <c r="CI4735" s="319"/>
      <c r="CJ4735" s="319"/>
      <c r="CK4735" s="342"/>
      <c r="CL4735" s="333"/>
      <c r="CM4735" s="1079"/>
      <c r="CN4735" s="1005"/>
      <c r="CO4735" s="1005"/>
      <c r="CP4735" s="1005"/>
    </row>
    <row r="4736">
      <c r="A4736" s="1257"/>
      <c r="B4736" s="1113"/>
      <c r="C4736" s="1107"/>
      <c r="D4736" s="103"/>
      <c r="E4736" s="1137"/>
      <c r="F4736" s="112"/>
      <c r="G4736" s="1110"/>
      <c r="H4736" s="1138"/>
      <c r="I4736" s="1138"/>
      <c r="J4736" s="1139"/>
      <c r="K4736" s="1111"/>
      <c r="L4736" s="1112"/>
      <c r="M4736" s="1113"/>
      <c r="N4736" s="110"/>
      <c r="O4736" s="1140"/>
      <c r="P4736" s="1115"/>
      <c r="Q4736" s="1116"/>
      <c r="R4736" s="1141"/>
      <c r="S4736" s="1113"/>
      <c r="T4736" s="1143"/>
      <c r="U4736" s="1108"/>
      <c r="V4736" s="1108"/>
      <c r="W4736" s="1108"/>
      <c r="X4736" s="1108"/>
      <c r="Y4736" s="1108"/>
      <c r="Z4736" s="1114"/>
      <c r="AA4736" s="1114"/>
      <c r="AB4736" s="1114"/>
      <c r="AC4736" s="1117"/>
      <c r="AD4736" s="1115"/>
      <c r="AE4736" s="1115"/>
      <c r="AF4736" s="1115"/>
      <c r="AG4736" s="1115"/>
      <c r="AH4736" s="1115"/>
      <c r="AI4736" s="1115"/>
      <c r="AJ4736" s="1117"/>
      <c r="AK4736" s="1118"/>
      <c r="AL4736" s="1115"/>
      <c r="AM4736" s="1115"/>
      <c r="AN4736" s="1115"/>
      <c r="AO4736" s="1115"/>
      <c r="AP4736" s="1115"/>
      <c r="AQ4736" s="1115"/>
      <c r="AR4736" s="1115"/>
      <c r="AS4736" s="1117"/>
      <c r="AT4736" s="1075"/>
      <c r="AU4736" s="1193"/>
      <c r="AV4736" s="330"/>
      <c r="AW4736" s="331"/>
      <c r="AX4736" s="331"/>
      <c r="AY4736" s="331"/>
      <c r="AZ4736" s="331"/>
      <c r="BA4736" s="331"/>
      <c r="BB4736" s="331"/>
      <c r="BC4736" s="331"/>
      <c r="BD4736" s="331"/>
      <c r="BE4736" s="333"/>
      <c r="BF4736" s="330"/>
      <c r="BG4736" s="333"/>
      <c r="BH4736" s="1119"/>
      <c r="BI4736" s="319"/>
      <c r="BJ4736" s="319"/>
      <c r="BK4736" s="319"/>
      <c r="BL4736" s="319"/>
      <c r="BM4736" s="319"/>
      <c r="BN4736" s="319"/>
      <c r="BO4736" s="319"/>
      <c r="BP4736" s="953"/>
      <c r="BQ4736" s="319"/>
      <c r="BR4736" s="319"/>
      <c r="BS4736" s="330"/>
      <c r="BT4736" s="331"/>
      <c r="BU4736" s="920"/>
      <c r="BV4736" s="903"/>
      <c r="BW4736" s="908"/>
      <c r="BX4736" s="908"/>
      <c r="BY4736" s="331"/>
      <c r="BZ4736" s="331"/>
      <c r="CA4736" s="462"/>
      <c r="CB4736" s="319"/>
      <c r="CC4736" s="319"/>
      <c r="CD4736" s="319"/>
      <c r="CE4736" s="319"/>
      <c r="CF4736" s="319"/>
      <c r="CG4736" s="319"/>
      <c r="CH4736" s="318"/>
      <c r="CI4736" s="319"/>
      <c r="CJ4736" s="319"/>
      <c r="CK4736" s="342"/>
      <c r="CL4736" s="333"/>
      <c r="CM4736" s="1079"/>
      <c r="CN4736" s="1005"/>
      <c r="CO4736" s="1005"/>
      <c r="CP4736" s="1005"/>
    </row>
    <row r="4737">
      <c r="A4737" s="1257"/>
      <c r="B4737" s="1113"/>
      <c r="C4737" s="1107"/>
      <c r="D4737" s="103"/>
      <c r="E4737" s="1137"/>
      <c r="F4737" s="112"/>
      <c r="G4737" s="1110"/>
      <c r="H4737" s="1138"/>
      <c r="I4737" s="1138"/>
      <c r="J4737" s="1139"/>
      <c r="K4737" s="1111"/>
      <c r="L4737" s="1112"/>
      <c r="M4737" s="1113"/>
      <c r="N4737" s="110"/>
      <c r="O4737" s="1140"/>
      <c r="P4737" s="1115"/>
      <c r="Q4737" s="1116"/>
      <c r="R4737" s="1141"/>
      <c r="S4737" s="1113"/>
      <c r="T4737" s="1143"/>
      <c r="U4737" s="1108"/>
      <c r="V4737" s="1108"/>
      <c r="W4737" s="1108"/>
      <c r="X4737" s="1108"/>
      <c r="Y4737" s="1108"/>
      <c r="Z4737" s="1114"/>
      <c r="AA4737" s="1114"/>
      <c r="AB4737" s="1114"/>
      <c r="AC4737" s="1117"/>
      <c r="AD4737" s="1115"/>
      <c r="AE4737" s="1115"/>
      <c r="AF4737" s="1115"/>
      <c r="AG4737" s="1115"/>
      <c r="AH4737" s="1115"/>
      <c r="AI4737" s="1115"/>
      <c r="AJ4737" s="1117"/>
      <c r="AK4737" s="1118"/>
      <c r="AL4737" s="1115"/>
      <c r="AM4737" s="1115"/>
      <c r="AN4737" s="1115"/>
      <c r="AO4737" s="1115"/>
      <c r="AP4737" s="1115"/>
      <c r="AQ4737" s="1115"/>
      <c r="AR4737" s="1115"/>
      <c r="AS4737" s="1117"/>
      <c r="AT4737" s="1075"/>
      <c r="AU4737" s="1193"/>
      <c r="AV4737" s="330"/>
      <c r="AW4737" s="331"/>
      <c r="AX4737" s="331"/>
      <c r="AY4737" s="331"/>
      <c r="AZ4737" s="331"/>
      <c r="BA4737" s="331"/>
      <c r="BB4737" s="331"/>
      <c r="BC4737" s="331"/>
      <c r="BD4737" s="331"/>
      <c r="BE4737" s="333"/>
      <c r="BF4737" s="330"/>
      <c r="BG4737" s="333"/>
      <c r="BH4737" s="1119"/>
      <c r="BI4737" s="319"/>
      <c r="BJ4737" s="319"/>
      <c r="BK4737" s="319"/>
      <c r="BL4737" s="319"/>
      <c r="BM4737" s="319"/>
      <c r="BN4737" s="319"/>
      <c r="BO4737" s="319"/>
      <c r="BP4737" s="953"/>
      <c r="BQ4737" s="319"/>
      <c r="BR4737" s="319"/>
      <c r="BS4737" s="330"/>
      <c r="BT4737" s="331"/>
      <c r="BU4737" s="920"/>
      <c r="BV4737" s="903"/>
      <c r="BW4737" s="908"/>
      <c r="BX4737" s="908"/>
      <c r="BY4737" s="331"/>
      <c r="BZ4737" s="331"/>
      <c r="CA4737" s="462"/>
      <c r="CB4737" s="319"/>
      <c r="CC4737" s="319"/>
      <c r="CD4737" s="319"/>
      <c r="CE4737" s="319"/>
      <c r="CF4737" s="319"/>
      <c r="CG4737" s="319"/>
      <c r="CH4737" s="318"/>
      <c r="CI4737" s="319"/>
      <c r="CJ4737" s="319"/>
      <c r="CK4737" s="342"/>
      <c r="CL4737" s="333"/>
      <c r="CM4737" s="1079"/>
      <c r="CN4737" s="1005"/>
      <c r="CO4737" s="1005"/>
      <c r="CP4737" s="1005"/>
    </row>
    <row r="4738">
      <c r="A4738" s="1257"/>
      <c r="B4738" s="1113"/>
      <c r="C4738" s="1107"/>
      <c r="D4738" s="103"/>
      <c r="E4738" s="1137"/>
      <c r="F4738" s="112"/>
      <c r="G4738" s="1110"/>
      <c r="H4738" s="1138"/>
      <c r="I4738" s="1138"/>
      <c r="J4738" s="1139"/>
      <c r="K4738" s="1111"/>
      <c r="L4738" s="1112"/>
      <c r="M4738" s="1113"/>
      <c r="N4738" s="110"/>
      <c r="O4738" s="1140"/>
      <c r="P4738" s="1115"/>
      <c r="Q4738" s="1116"/>
      <c r="R4738" s="1141"/>
      <c r="S4738" s="1113"/>
      <c r="T4738" s="1143"/>
      <c r="U4738" s="1108"/>
      <c r="V4738" s="1108"/>
      <c r="W4738" s="1108"/>
      <c r="X4738" s="1108"/>
      <c r="Y4738" s="1108"/>
      <c r="Z4738" s="1114"/>
      <c r="AA4738" s="1114"/>
      <c r="AB4738" s="1114"/>
      <c r="AC4738" s="1117"/>
      <c r="AD4738" s="1115"/>
      <c r="AE4738" s="1115"/>
      <c r="AF4738" s="1115"/>
      <c r="AG4738" s="1115"/>
      <c r="AH4738" s="1115"/>
      <c r="AI4738" s="1115"/>
      <c r="AJ4738" s="1117"/>
      <c r="AK4738" s="1118"/>
      <c r="AL4738" s="1115"/>
      <c r="AM4738" s="1115"/>
      <c r="AN4738" s="1115"/>
      <c r="AO4738" s="1115"/>
      <c r="AP4738" s="1115"/>
      <c r="AQ4738" s="1115"/>
      <c r="AR4738" s="1115"/>
      <c r="AS4738" s="1117"/>
      <c r="AT4738" s="1075"/>
      <c r="AU4738" s="1193"/>
      <c r="AV4738" s="330"/>
      <c r="AW4738" s="331"/>
      <c r="AX4738" s="331"/>
      <c r="AY4738" s="331"/>
      <c r="AZ4738" s="331"/>
      <c r="BA4738" s="331"/>
      <c r="BB4738" s="331"/>
      <c r="BC4738" s="331"/>
      <c r="BD4738" s="331"/>
      <c r="BE4738" s="333"/>
      <c r="BF4738" s="330"/>
      <c r="BG4738" s="333"/>
      <c r="BH4738" s="1119"/>
      <c r="BI4738" s="319"/>
      <c r="BJ4738" s="319"/>
      <c r="BK4738" s="319"/>
      <c r="BL4738" s="319"/>
      <c r="BM4738" s="319"/>
      <c r="BN4738" s="319"/>
      <c r="BO4738" s="319"/>
      <c r="BP4738" s="953"/>
      <c r="BQ4738" s="319"/>
      <c r="BR4738" s="319"/>
      <c r="BS4738" s="330"/>
      <c r="BT4738" s="331"/>
      <c r="BU4738" s="920"/>
      <c r="BV4738" s="903"/>
      <c r="BW4738" s="908"/>
      <c r="BX4738" s="908"/>
      <c r="BY4738" s="331"/>
      <c r="BZ4738" s="331"/>
      <c r="CA4738" s="462"/>
      <c r="CB4738" s="319"/>
      <c r="CC4738" s="319"/>
      <c r="CD4738" s="319"/>
      <c r="CE4738" s="319"/>
      <c r="CF4738" s="319"/>
      <c r="CG4738" s="319"/>
      <c r="CH4738" s="318"/>
      <c r="CI4738" s="319"/>
      <c r="CJ4738" s="319"/>
      <c r="CK4738" s="342"/>
      <c r="CL4738" s="333"/>
      <c r="CM4738" s="1079"/>
      <c r="CN4738" s="1005"/>
      <c r="CO4738" s="1005"/>
      <c r="CP4738" s="1005"/>
    </row>
    <row r="4739">
      <c r="A4739" s="1257"/>
      <c r="B4739" s="1113"/>
      <c r="C4739" s="1107"/>
      <c r="D4739" s="103"/>
      <c r="E4739" s="1137"/>
      <c r="F4739" s="112"/>
      <c r="G4739" s="1110"/>
      <c r="H4739" s="1138"/>
      <c r="I4739" s="1138"/>
      <c r="J4739" s="1139"/>
      <c r="K4739" s="1111"/>
      <c r="L4739" s="1112"/>
      <c r="M4739" s="1113"/>
      <c r="N4739" s="110"/>
      <c r="O4739" s="1140"/>
      <c r="P4739" s="1115"/>
      <c r="Q4739" s="1116"/>
      <c r="R4739" s="1141"/>
      <c r="S4739" s="1113"/>
      <c r="T4739" s="1143"/>
      <c r="U4739" s="1108"/>
      <c r="V4739" s="1108"/>
      <c r="W4739" s="1108"/>
      <c r="X4739" s="1108"/>
      <c r="Y4739" s="1108"/>
      <c r="Z4739" s="1114"/>
      <c r="AA4739" s="1114"/>
      <c r="AB4739" s="1114"/>
      <c r="AC4739" s="1117"/>
      <c r="AD4739" s="1115"/>
      <c r="AE4739" s="1115"/>
      <c r="AF4739" s="1115"/>
      <c r="AG4739" s="1115"/>
      <c r="AH4739" s="1115"/>
      <c r="AI4739" s="1115"/>
      <c r="AJ4739" s="1117"/>
      <c r="AK4739" s="1118"/>
      <c r="AL4739" s="1115"/>
      <c r="AM4739" s="1115"/>
      <c r="AN4739" s="1115"/>
      <c r="AO4739" s="1115"/>
      <c r="AP4739" s="1115"/>
      <c r="AQ4739" s="1115"/>
      <c r="AR4739" s="1115"/>
      <c r="AS4739" s="1117"/>
      <c r="AT4739" s="1075"/>
      <c r="AU4739" s="1193"/>
      <c r="AV4739" s="330"/>
      <c r="AW4739" s="331"/>
      <c r="AX4739" s="331"/>
      <c r="AY4739" s="331"/>
      <c r="AZ4739" s="331"/>
      <c r="BA4739" s="331"/>
      <c r="BB4739" s="331"/>
      <c r="BC4739" s="331"/>
      <c r="BD4739" s="331"/>
      <c r="BE4739" s="333"/>
      <c r="BF4739" s="330"/>
      <c r="BG4739" s="333"/>
      <c r="BH4739" s="1119"/>
      <c r="BI4739" s="319"/>
      <c r="BJ4739" s="319"/>
      <c r="BK4739" s="319"/>
      <c r="BL4739" s="319"/>
      <c r="BM4739" s="319"/>
      <c r="BN4739" s="319"/>
      <c r="BO4739" s="319"/>
      <c r="BP4739" s="953"/>
      <c r="BQ4739" s="319"/>
      <c r="BR4739" s="319"/>
      <c r="BS4739" s="330"/>
      <c r="BT4739" s="331"/>
      <c r="BU4739" s="920"/>
      <c r="BV4739" s="903"/>
      <c r="BW4739" s="908"/>
      <c r="BX4739" s="908"/>
      <c r="BY4739" s="331"/>
      <c r="BZ4739" s="331"/>
      <c r="CA4739" s="462"/>
      <c r="CB4739" s="319"/>
      <c r="CC4739" s="319"/>
      <c r="CD4739" s="319"/>
      <c r="CE4739" s="319"/>
      <c r="CF4739" s="319"/>
      <c r="CG4739" s="319"/>
      <c r="CH4739" s="318"/>
      <c r="CI4739" s="319"/>
      <c r="CJ4739" s="319"/>
      <c r="CK4739" s="342"/>
      <c r="CL4739" s="333"/>
      <c r="CM4739" s="1079"/>
      <c r="CN4739" s="1005"/>
      <c r="CO4739" s="1005"/>
      <c r="CP4739" s="1005"/>
    </row>
    <row r="4740">
      <c r="A4740" s="1257"/>
      <c r="B4740" s="1113"/>
      <c r="C4740" s="1107"/>
      <c r="D4740" s="103"/>
      <c r="E4740" s="1137"/>
      <c r="F4740" s="112"/>
      <c r="G4740" s="1110"/>
      <c r="H4740" s="1138"/>
      <c r="I4740" s="1138"/>
      <c r="J4740" s="1139"/>
      <c r="K4740" s="1111"/>
      <c r="L4740" s="1112"/>
      <c r="M4740" s="1113"/>
      <c r="N4740" s="110"/>
      <c r="O4740" s="1140"/>
      <c r="P4740" s="1115"/>
      <c r="Q4740" s="1116"/>
      <c r="R4740" s="1141"/>
      <c r="S4740" s="1113"/>
      <c r="T4740" s="1143"/>
      <c r="U4740" s="1108"/>
      <c r="V4740" s="1108"/>
      <c r="W4740" s="1108"/>
      <c r="X4740" s="1108"/>
      <c r="Y4740" s="1108"/>
      <c r="Z4740" s="1114"/>
      <c r="AA4740" s="1114"/>
      <c r="AB4740" s="1114"/>
      <c r="AC4740" s="1117"/>
      <c r="AD4740" s="1115"/>
      <c r="AE4740" s="1115"/>
      <c r="AF4740" s="1115"/>
      <c r="AG4740" s="1115"/>
      <c r="AH4740" s="1115"/>
      <c r="AI4740" s="1115"/>
      <c r="AJ4740" s="1117"/>
      <c r="AK4740" s="1118"/>
      <c r="AL4740" s="1115"/>
      <c r="AM4740" s="1115"/>
      <c r="AN4740" s="1115"/>
      <c r="AO4740" s="1115"/>
      <c r="AP4740" s="1115"/>
      <c r="AQ4740" s="1115"/>
      <c r="AR4740" s="1115"/>
      <c r="AS4740" s="1117"/>
      <c r="AT4740" s="1075"/>
      <c r="AU4740" s="1193"/>
      <c r="AV4740" s="330"/>
      <c r="AW4740" s="331"/>
      <c r="AX4740" s="331"/>
      <c r="AY4740" s="331"/>
      <c r="AZ4740" s="331"/>
      <c r="BA4740" s="331"/>
      <c r="BB4740" s="331"/>
      <c r="BC4740" s="331"/>
      <c r="BD4740" s="331"/>
      <c r="BE4740" s="333"/>
      <c r="BF4740" s="330"/>
      <c r="BG4740" s="333"/>
      <c r="BH4740" s="1119"/>
      <c r="BI4740" s="319"/>
      <c r="BJ4740" s="319"/>
      <c r="BK4740" s="319"/>
      <c r="BL4740" s="319"/>
      <c r="BM4740" s="319"/>
      <c r="BN4740" s="319"/>
      <c r="BO4740" s="319"/>
      <c r="BP4740" s="953"/>
      <c r="BQ4740" s="319"/>
      <c r="BR4740" s="319"/>
      <c r="BS4740" s="330"/>
      <c r="BT4740" s="331"/>
      <c r="BU4740" s="920"/>
      <c r="BV4740" s="903"/>
      <c r="BW4740" s="908"/>
      <c r="BX4740" s="908"/>
      <c r="BY4740" s="331"/>
      <c r="BZ4740" s="331"/>
      <c r="CA4740" s="462"/>
      <c r="CB4740" s="319"/>
      <c r="CC4740" s="319"/>
      <c r="CD4740" s="319"/>
      <c r="CE4740" s="319"/>
      <c r="CF4740" s="319"/>
      <c r="CG4740" s="319"/>
      <c r="CH4740" s="318"/>
      <c r="CI4740" s="319"/>
      <c r="CJ4740" s="319"/>
      <c r="CK4740" s="342"/>
      <c r="CL4740" s="333"/>
      <c r="CM4740" s="1079"/>
      <c r="CN4740" s="1005"/>
      <c r="CO4740" s="1005"/>
      <c r="CP4740" s="1005"/>
    </row>
    <row r="4741">
      <c r="A4741" s="1257"/>
      <c r="B4741" s="1113"/>
      <c r="C4741" s="1107"/>
      <c r="D4741" s="103"/>
      <c r="E4741" s="1137"/>
      <c r="F4741" s="112"/>
      <c r="G4741" s="1110"/>
      <c r="H4741" s="1138"/>
      <c r="I4741" s="1138"/>
      <c r="J4741" s="1139"/>
      <c r="K4741" s="1111"/>
      <c r="L4741" s="1112"/>
      <c r="M4741" s="1113"/>
      <c r="N4741" s="110"/>
      <c r="O4741" s="1140"/>
      <c r="P4741" s="1115"/>
      <c r="Q4741" s="1116"/>
      <c r="R4741" s="1141"/>
      <c r="S4741" s="1113"/>
      <c r="T4741" s="1143"/>
      <c r="U4741" s="1108"/>
      <c r="V4741" s="1108"/>
      <c r="W4741" s="1108"/>
      <c r="X4741" s="1108"/>
      <c r="Y4741" s="1108"/>
      <c r="Z4741" s="1114"/>
      <c r="AA4741" s="1114"/>
      <c r="AB4741" s="1114"/>
      <c r="AC4741" s="1117"/>
      <c r="AD4741" s="1115"/>
      <c r="AE4741" s="1115"/>
      <c r="AF4741" s="1115"/>
      <c r="AG4741" s="1115"/>
      <c r="AH4741" s="1115"/>
      <c r="AI4741" s="1115"/>
      <c r="AJ4741" s="1117"/>
      <c r="AK4741" s="1118"/>
      <c r="AL4741" s="1115"/>
      <c r="AM4741" s="1115"/>
      <c r="AN4741" s="1115"/>
      <c r="AO4741" s="1115"/>
      <c r="AP4741" s="1115"/>
      <c r="AQ4741" s="1115"/>
      <c r="AR4741" s="1115"/>
      <c r="AS4741" s="1117"/>
      <c r="AT4741" s="1075"/>
      <c r="AU4741" s="1193"/>
      <c r="AV4741" s="330"/>
      <c r="AW4741" s="331"/>
      <c r="AX4741" s="331"/>
      <c r="AY4741" s="331"/>
      <c r="AZ4741" s="331"/>
      <c r="BA4741" s="331"/>
      <c r="BB4741" s="331"/>
      <c r="BC4741" s="331"/>
      <c r="BD4741" s="331"/>
      <c r="BE4741" s="333"/>
      <c r="BF4741" s="330"/>
      <c r="BG4741" s="333"/>
      <c r="BH4741" s="1119"/>
      <c r="BI4741" s="319"/>
      <c r="BJ4741" s="319"/>
      <c r="BK4741" s="319"/>
      <c r="BL4741" s="319"/>
      <c r="BM4741" s="319"/>
      <c r="BN4741" s="319"/>
      <c r="BO4741" s="319"/>
      <c r="BP4741" s="953"/>
      <c r="BQ4741" s="319"/>
      <c r="BR4741" s="319"/>
      <c r="BS4741" s="330"/>
      <c r="BT4741" s="331"/>
      <c r="BU4741" s="920"/>
      <c r="BV4741" s="903"/>
      <c r="BW4741" s="908"/>
      <c r="BX4741" s="908"/>
      <c r="BY4741" s="331"/>
      <c r="BZ4741" s="331"/>
      <c r="CA4741" s="462"/>
      <c r="CB4741" s="319"/>
      <c r="CC4741" s="319"/>
      <c r="CD4741" s="319"/>
      <c r="CE4741" s="319"/>
      <c r="CF4741" s="319"/>
      <c r="CG4741" s="319"/>
      <c r="CH4741" s="318"/>
      <c r="CI4741" s="319"/>
      <c r="CJ4741" s="319"/>
      <c r="CK4741" s="342"/>
      <c r="CL4741" s="333"/>
      <c r="CM4741" s="1079"/>
      <c r="CN4741" s="1005"/>
      <c r="CO4741" s="1005"/>
      <c r="CP4741" s="1005"/>
    </row>
    <row r="4742">
      <c r="A4742" s="1257"/>
      <c r="B4742" s="1113"/>
      <c r="C4742" s="1107"/>
      <c r="D4742" s="103"/>
      <c r="E4742" s="1137"/>
      <c r="F4742" s="112"/>
      <c r="G4742" s="1110"/>
      <c r="H4742" s="1138"/>
      <c r="I4742" s="1138"/>
      <c r="J4742" s="1139"/>
      <c r="K4742" s="1111"/>
      <c r="L4742" s="1112"/>
      <c r="M4742" s="1113"/>
      <c r="N4742" s="110"/>
      <c r="O4742" s="1140"/>
      <c r="P4742" s="1115"/>
      <c r="Q4742" s="1116"/>
      <c r="R4742" s="1141"/>
      <c r="S4742" s="1113"/>
      <c r="T4742" s="1143"/>
      <c r="U4742" s="1108"/>
      <c r="V4742" s="1108"/>
      <c r="W4742" s="1108"/>
      <c r="X4742" s="1108"/>
      <c r="Y4742" s="1108"/>
      <c r="Z4742" s="1114"/>
      <c r="AA4742" s="1114"/>
      <c r="AB4742" s="1114"/>
      <c r="AC4742" s="1117"/>
      <c r="AD4742" s="1115"/>
      <c r="AE4742" s="1115"/>
      <c r="AF4742" s="1115"/>
      <c r="AG4742" s="1115"/>
      <c r="AH4742" s="1115"/>
      <c r="AI4742" s="1115"/>
      <c r="AJ4742" s="1117"/>
      <c r="AK4742" s="1118"/>
      <c r="AL4742" s="1115"/>
      <c r="AM4742" s="1115"/>
      <c r="AN4742" s="1115"/>
      <c r="AO4742" s="1115"/>
      <c r="AP4742" s="1115"/>
      <c r="AQ4742" s="1115"/>
      <c r="AR4742" s="1115"/>
      <c r="AS4742" s="1117"/>
      <c r="AT4742" s="1075"/>
      <c r="AU4742" s="1193"/>
      <c r="AV4742" s="330"/>
      <c r="AW4742" s="331"/>
      <c r="AX4742" s="331"/>
      <c r="AY4742" s="331"/>
      <c r="AZ4742" s="331"/>
      <c r="BA4742" s="331"/>
      <c r="BB4742" s="331"/>
      <c r="BC4742" s="331"/>
      <c r="BD4742" s="331"/>
      <c r="BE4742" s="333"/>
      <c r="BF4742" s="330"/>
      <c r="BG4742" s="333"/>
      <c r="BH4742" s="1119"/>
      <c r="BI4742" s="319"/>
      <c r="BJ4742" s="319"/>
      <c r="BK4742" s="319"/>
      <c r="BL4742" s="319"/>
      <c r="BM4742" s="319"/>
      <c r="BN4742" s="319"/>
      <c r="BO4742" s="319"/>
      <c r="BP4742" s="953"/>
      <c r="BQ4742" s="319"/>
      <c r="BR4742" s="319"/>
      <c r="BS4742" s="330"/>
      <c r="BT4742" s="331"/>
      <c r="BU4742" s="920"/>
      <c r="BV4742" s="903"/>
      <c r="BW4742" s="908"/>
      <c r="BX4742" s="908"/>
      <c r="BY4742" s="331"/>
      <c r="BZ4742" s="331"/>
      <c r="CA4742" s="462"/>
      <c r="CB4742" s="319"/>
      <c r="CC4742" s="319"/>
      <c r="CD4742" s="319"/>
      <c r="CE4742" s="319"/>
      <c r="CF4742" s="319"/>
      <c r="CG4742" s="319"/>
      <c r="CH4742" s="318"/>
      <c r="CI4742" s="319"/>
      <c r="CJ4742" s="319"/>
      <c r="CK4742" s="342"/>
      <c r="CL4742" s="333"/>
      <c r="CM4742" s="1079"/>
      <c r="CN4742" s="1005"/>
      <c r="CO4742" s="1005"/>
      <c r="CP4742" s="1005"/>
    </row>
    <row r="4743">
      <c r="A4743" s="1257"/>
      <c r="B4743" s="1113"/>
      <c r="C4743" s="1107"/>
      <c r="D4743" s="103"/>
      <c r="E4743" s="1137"/>
      <c r="F4743" s="112"/>
      <c r="G4743" s="1110"/>
      <c r="H4743" s="1138"/>
      <c r="I4743" s="1138"/>
      <c r="J4743" s="1139"/>
      <c r="K4743" s="1111"/>
      <c r="L4743" s="1112"/>
      <c r="M4743" s="1113"/>
      <c r="N4743" s="110"/>
      <c r="O4743" s="1140"/>
      <c r="P4743" s="1115"/>
      <c r="Q4743" s="1116"/>
      <c r="R4743" s="1141"/>
      <c r="S4743" s="1113"/>
      <c r="T4743" s="1143"/>
      <c r="U4743" s="1108"/>
      <c r="V4743" s="1108"/>
      <c r="W4743" s="1108"/>
      <c r="X4743" s="1108"/>
      <c r="Y4743" s="1108"/>
      <c r="Z4743" s="1114"/>
      <c r="AA4743" s="1114"/>
      <c r="AB4743" s="1114"/>
      <c r="AC4743" s="1117"/>
      <c r="AD4743" s="1115"/>
      <c r="AE4743" s="1115"/>
      <c r="AF4743" s="1115"/>
      <c r="AG4743" s="1115"/>
      <c r="AH4743" s="1115"/>
      <c r="AI4743" s="1115"/>
      <c r="AJ4743" s="1117"/>
      <c r="AK4743" s="1118"/>
      <c r="AL4743" s="1115"/>
      <c r="AM4743" s="1115"/>
      <c r="AN4743" s="1115"/>
      <c r="AO4743" s="1115"/>
      <c r="AP4743" s="1115"/>
      <c r="AQ4743" s="1115"/>
      <c r="AR4743" s="1115"/>
      <c r="AS4743" s="1117"/>
      <c r="AT4743" s="1075"/>
      <c r="AU4743" s="1193"/>
      <c r="AV4743" s="330"/>
      <c r="AW4743" s="331"/>
      <c r="AX4743" s="331"/>
      <c r="AY4743" s="331"/>
      <c r="AZ4743" s="331"/>
      <c r="BA4743" s="331"/>
      <c r="BB4743" s="331"/>
      <c r="BC4743" s="331"/>
      <c r="BD4743" s="331"/>
      <c r="BE4743" s="333"/>
      <c r="BF4743" s="330"/>
      <c r="BG4743" s="333"/>
      <c r="BH4743" s="1119"/>
      <c r="BI4743" s="319"/>
      <c r="BJ4743" s="319"/>
      <c r="BK4743" s="319"/>
      <c r="BL4743" s="319"/>
      <c r="BM4743" s="319"/>
      <c r="BN4743" s="319"/>
      <c r="BO4743" s="319"/>
      <c r="BP4743" s="953"/>
      <c r="BQ4743" s="319"/>
      <c r="BR4743" s="319"/>
      <c r="BS4743" s="330"/>
      <c r="BT4743" s="331"/>
      <c r="BU4743" s="920"/>
      <c r="BV4743" s="903"/>
      <c r="BW4743" s="908"/>
      <c r="BX4743" s="908"/>
      <c r="BY4743" s="331"/>
      <c r="BZ4743" s="331"/>
      <c r="CA4743" s="462"/>
      <c r="CB4743" s="319"/>
      <c r="CC4743" s="319"/>
      <c r="CD4743" s="319"/>
      <c r="CE4743" s="319"/>
      <c r="CF4743" s="319"/>
      <c r="CG4743" s="319"/>
      <c r="CH4743" s="318"/>
      <c r="CI4743" s="319"/>
      <c r="CJ4743" s="319"/>
      <c r="CK4743" s="342"/>
      <c r="CL4743" s="333"/>
      <c r="CM4743" s="1079"/>
      <c r="CN4743" s="1005"/>
      <c r="CO4743" s="1005"/>
      <c r="CP4743" s="1005"/>
    </row>
    <row r="4744">
      <c r="A4744" s="1257"/>
      <c r="B4744" s="1113"/>
      <c r="C4744" s="1107"/>
      <c r="D4744" s="103"/>
      <c r="E4744" s="1137"/>
      <c r="F4744" s="112"/>
      <c r="G4744" s="1110"/>
      <c r="H4744" s="1138"/>
      <c r="I4744" s="1138"/>
      <c r="J4744" s="1139"/>
      <c r="K4744" s="1111"/>
      <c r="L4744" s="1112"/>
      <c r="M4744" s="1113"/>
      <c r="N4744" s="110"/>
      <c r="O4744" s="1140"/>
      <c r="P4744" s="1115"/>
      <c r="Q4744" s="1116"/>
      <c r="R4744" s="1141"/>
      <c r="S4744" s="1113"/>
      <c r="T4744" s="1143"/>
      <c r="U4744" s="1108"/>
      <c r="V4744" s="1108"/>
      <c r="W4744" s="1108"/>
      <c r="X4744" s="1108"/>
      <c r="Y4744" s="1108"/>
      <c r="Z4744" s="1114"/>
      <c r="AA4744" s="1114"/>
      <c r="AB4744" s="1114"/>
      <c r="AC4744" s="1117"/>
      <c r="AD4744" s="1115"/>
      <c r="AE4744" s="1115"/>
      <c r="AF4744" s="1115"/>
      <c r="AG4744" s="1115"/>
      <c r="AH4744" s="1115"/>
      <c r="AI4744" s="1115"/>
      <c r="AJ4744" s="1117"/>
      <c r="AK4744" s="1118"/>
      <c r="AL4744" s="1115"/>
      <c r="AM4744" s="1115"/>
      <c r="AN4744" s="1115"/>
      <c r="AO4744" s="1115"/>
      <c r="AP4744" s="1115"/>
      <c r="AQ4744" s="1115"/>
      <c r="AR4744" s="1115"/>
      <c r="AS4744" s="1117"/>
      <c r="AT4744" s="1075"/>
      <c r="AU4744" s="1193"/>
      <c r="AV4744" s="330"/>
      <c r="AW4744" s="331"/>
      <c r="AX4744" s="331"/>
      <c r="AY4744" s="331"/>
      <c r="AZ4744" s="331"/>
      <c r="BA4744" s="331"/>
      <c r="BB4744" s="331"/>
      <c r="BC4744" s="331"/>
      <c r="BD4744" s="331"/>
      <c r="BE4744" s="333"/>
      <c r="BF4744" s="330"/>
      <c r="BG4744" s="333"/>
      <c r="BH4744" s="1119"/>
      <c r="BI4744" s="319"/>
      <c r="BJ4744" s="319"/>
      <c r="BK4744" s="319"/>
      <c r="BL4744" s="319"/>
      <c r="BM4744" s="319"/>
      <c r="BN4744" s="319"/>
      <c r="BO4744" s="319"/>
      <c r="BP4744" s="953"/>
      <c r="BQ4744" s="319"/>
      <c r="BR4744" s="319"/>
      <c r="BS4744" s="330"/>
      <c r="BT4744" s="331"/>
      <c r="BU4744" s="920"/>
      <c r="BV4744" s="903"/>
      <c r="BW4744" s="908"/>
      <c r="BX4744" s="908"/>
      <c r="BY4744" s="331"/>
      <c r="BZ4744" s="331"/>
      <c r="CA4744" s="462"/>
      <c r="CB4744" s="319"/>
      <c r="CC4744" s="319"/>
      <c r="CD4744" s="319"/>
      <c r="CE4744" s="319"/>
      <c r="CF4744" s="319"/>
      <c r="CG4744" s="319"/>
      <c r="CH4744" s="318"/>
      <c r="CI4744" s="319"/>
      <c r="CJ4744" s="319"/>
      <c r="CK4744" s="342"/>
      <c r="CL4744" s="333"/>
      <c r="CM4744" s="1079"/>
      <c r="CN4744" s="1005"/>
      <c r="CO4744" s="1005"/>
      <c r="CP4744" s="1005"/>
    </row>
    <row r="4745">
      <c r="A4745" s="1257"/>
      <c r="B4745" s="1113"/>
      <c r="C4745" s="1107"/>
      <c r="D4745" s="103"/>
      <c r="E4745" s="1137"/>
      <c r="F4745" s="112"/>
      <c r="G4745" s="1110"/>
      <c r="H4745" s="1138"/>
      <c r="I4745" s="1138"/>
      <c r="J4745" s="1139"/>
      <c r="K4745" s="1111"/>
      <c r="L4745" s="1112"/>
      <c r="M4745" s="1113"/>
      <c r="N4745" s="110"/>
      <c r="O4745" s="1140"/>
      <c r="P4745" s="1115"/>
      <c r="Q4745" s="1116"/>
      <c r="R4745" s="1141"/>
      <c r="S4745" s="1113"/>
      <c r="T4745" s="1143"/>
      <c r="U4745" s="1108"/>
      <c r="V4745" s="1108"/>
      <c r="W4745" s="1108"/>
      <c r="X4745" s="1108"/>
      <c r="Y4745" s="1108"/>
      <c r="Z4745" s="1114"/>
      <c r="AA4745" s="1114"/>
      <c r="AB4745" s="1114"/>
      <c r="AC4745" s="1117"/>
      <c r="AD4745" s="1115"/>
      <c r="AE4745" s="1115"/>
      <c r="AF4745" s="1115"/>
      <c r="AG4745" s="1115"/>
      <c r="AH4745" s="1115"/>
      <c r="AI4745" s="1115"/>
      <c r="AJ4745" s="1117"/>
      <c r="AK4745" s="1118"/>
      <c r="AL4745" s="1115"/>
      <c r="AM4745" s="1115"/>
      <c r="AN4745" s="1115"/>
      <c r="AO4745" s="1115"/>
      <c r="AP4745" s="1115"/>
      <c r="AQ4745" s="1115"/>
      <c r="AR4745" s="1115"/>
      <c r="AS4745" s="1117"/>
      <c r="AT4745" s="1075"/>
      <c r="AU4745" s="1193"/>
      <c r="AV4745" s="330"/>
      <c r="AW4745" s="331"/>
      <c r="AX4745" s="331"/>
      <c r="AY4745" s="331"/>
      <c r="AZ4745" s="331"/>
      <c r="BA4745" s="331"/>
      <c r="BB4745" s="331"/>
      <c r="BC4745" s="331"/>
      <c r="BD4745" s="331"/>
      <c r="BE4745" s="333"/>
      <c r="BF4745" s="330"/>
      <c r="BG4745" s="333"/>
      <c r="BH4745" s="1119"/>
      <c r="BI4745" s="319"/>
      <c r="BJ4745" s="319"/>
      <c r="BK4745" s="319"/>
      <c r="BL4745" s="319"/>
      <c r="BM4745" s="319"/>
      <c r="BN4745" s="319"/>
      <c r="BO4745" s="319"/>
      <c r="BP4745" s="953"/>
      <c r="BQ4745" s="319"/>
      <c r="BR4745" s="319"/>
      <c r="BS4745" s="330"/>
      <c r="BT4745" s="331"/>
      <c r="BU4745" s="920"/>
      <c r="BV4745" s="903"/>
      <c r="BW4745" s="908"/>
      <c r="BX4745" s="908"/>
      <c r="BY4745" s="331"/>
      <c r="BZ4745" s="331"/>
      <c r="CA4745" s="462"/>
      <c r="CB4745" s="319"/>
      <c r="CC4745" s="319"/>
      <c r="CD4745" s="319"/>
      <c r="CE4745" s="319"/>
      <c r="CF4745" s="319"/>
      <c r="CG4745" s="319"/>
      <c r="CH4745" s="318"/>
      <c r="CI4745" s="319"/>
      <c r="CJ4745" s="319"/>
      <c r="CK4745" s="342"/>
      <c r="CL4745" s="333"/>
      <c r="CM4745" s="1079"/>
      <c r="CN4745" s="1005"/>
      <c r="CO4745" s="1005"/>
      <c r="CP4745" s="1005"/>
    </row>
    <row r="4746">
      <c r="A4746" s="1257"/>
      <c r="B4746" s="1113"/>
      <c r="C4746" s="1107"/>
      <c r="D4746" s="103"/>
      <c r="E4746" s="1137"/>
      <c r="F4746" s="112"/>
      <c r="G4746" s="1110"/>
      <c r="H4746" s="1138"/>
      <c r="I4746" s="1138"/>
      <c r="J4746" s="1139"/>
      <c r="K4746" s="1111"/>
      <c r="L4746" s="1112"/>
      <c r="M4746" s="1113"/>
      <c r="N4746" s="110"/>
      <c r="O4746" s="1140"/>
      <c r="P4746" s="1115"/>
      <c r="Q4746" s="1116"/>
      <c r="R4746" s="1141"/>
      <c r="S4746" s="1113"/>
      <c r="T4746" s="1143"/>
      <c r="U4746" s="1108"/>
      <c r="V4746" s="1108"/>
      <c r="W4746" s="1108"/>
      <c r="X4746" s="1108"/>
      <c r="Y4746" s="1108"/>
      <c r="Z4746" s="1114"/>
      <c r="AA4746" s="1114"/>
      <c r="AB4746" s="1114"/>
      <c r="AC4746" s="1117"/>
      <c r="AD4746" s="1115"/>
      <c r="AE4746" s="1115"/>
      <c r="AF4746" s="1115"/>
      <c r="AG4746" s="1115"/>
      <c r="AH4746" s="1115"/>
      <c r="AI4746" s="1115"/>
      <c r="AJ4746" s="1117"/>
      <c r="AK4746" s="1118"/>
      <c r="AL4746" s="1115"/>
      <c r="AM4746" s="1115"/>
      <c r="AN4746" s="1115"/>
      <c r="AO4746" s="1115"/>
      <c r="AP4746" s="1115"/>
      <c r="AQ4746" s="1115"/>
      <c r="AR4746" s="1115"/>
      <c r="AS4746" s="1117"/>
      <c r="AT4746" s="1075"/>
      <c r="AU4746" s="1193"/>
      <c r="AV4746" s="330"/>
      <c r="AW4746" s="331"/>
      <c r="AX4746" s="331"/>
      <c r="AY4746" s="331"/>
      <c r="AZ4746" s="331"/>
      <c r="BA4746" s="331"/>
      <c r="BB4746" s="331"/>
      <c r="BC4746" s="331"/>
      <c r="BD4746" s="331"/>
      <c r="BE4746" s="333"/>
      <c r="BF4746" s="330"/>
      <c r="BG4746" s="333"/>
      <c r="BH4746" s="1119"/>
      <c r="BI4746" s="319"/>
      <c r="BJ4746" s="319"/>
      <c r="BK4746" s="319"/>
      <c r="BL4746" s="319"/>
      <c r="BM4746" s="319"/>
      <c r="BN4746" s="319"/>
      <c r="BO4746" s="319"/>
      <c r="BP4746" s="953"/>
      <c r="BQ4746" s="319"/>
      <c r="BR4746" s="319"/>
      <c r="BS4746" s="330"/>
      <c r="BT4746" s="331"/>
      <c r="BU4746" s="920"/>
      <c r="BV4746" s="903"/>
      <c r="BW4746" s="908"/>
      <c r="BX4746" s="908"/>
      <c r="BY4746" s="331"/>
      <c r="BZ4746" s="331"/>
      <c r="CA4746" s="462"/>
      <c r="CB4746" s="319"/>
      <c r="CC4746" s="319"/>
      <c r="CD4746" s="319"/>
      <c r="CE4746" s="319"/>
      <c r="CF4746" s="319"/>
      <c r="CG4746" s="319"/>
      <c r="CH4746" s="318"/>
      <c r="CI4746" s="319"/>
      <c r="CJ4746" s="319"/>
      <c r="CK4746" s="342"/>
      <c r="CL4746" s="333"/>
      <c r="CM4746" s="1079"/>
      <c r="CN4746" s="1005"/>
      <c r="CO4746" s="1005"/>
      <c r="CP4746" s="1005"/>
    </row>
    <row r="4747">
      <c r="A4747" s="1257"/>
      <c r="B4747" s="1113"/>
      <c r="C4747" s="1107"/>
      <c r="D4747" s="103"/>
      <c r="E4747" s="1137"/>
      <c r="F4747" s="112"/>
      <c r="G4747" s="1110"/>
      <c r="H4747" s="1138"/>
      <c r="I4747" s="1138"/>
      <c r="J4747" s="1139"/>
      <c r="K4747" s="1111"/>
      <c r="L4747" s="1112"/>
      <c r="M4747" s="1113"/>
      <c r="N4747" s="110"/>
      <c r="O4747" s="1140"/>
      <c r="P4747" s="1115"/>
      <c r="Q4747" s="1116"/>
      <c r="R4747" s="1141"/>
      <c r="S4747" s="1113"/>
      <c r="T4747" s="1143"/>
      <c r="U4747" s="1108"/>
      <c r="V4747" s="1108"/>
      <c r="W4747" s="1108"/>
      <c r="X4747" s="1108"/>
      <c r="Y4747" s="1108"/>
      <c r="Z4747" s="1114"/>
      <c r="AA4747" s="1114"/>
      <c r="AB4747" s="1114"/>
      <c r="AC4747" s="1117"/>
      <c r="AD4747" s="1115"/>
      <c r="AE4747" s="1115"/>
      <c r="AF4747" s="1115"/>
      <c r="AG4747" s="1115"/>
      <c r="AH4747" s="1115"/>
      <c r="AI4747" s="1115"/>
      <c r="AJ4747" s="1117"/>
      <c r="AK4747" s="1118"/>
      <c r="AL4747" s="1115"/>
      <c r="AM4747" s="1115"/>
      <c r="AN4747" s="1115"/>
      <c r="AO4747" s="1115"/>
      <c r="AP4747" s="1115"/>
      <c r="AQ4747" s="1115"/>
      <c r="AR4747" s="1115"/>
      <c r="AS4747" s="1117"/>
      <c r="AT4747" s="1075"/>
      <c r="AU4747" s="1193"/>
      <c r="AV4747" s="330"/>
      <c r="AW4747" s="331"/>
      <c r="AX4747" s="331"/>
      <c r="AY4747" s="331"/>
      <c r="AZ4747" s="331"/>
      <c r="BA4747" s="331"/>
      <c r="BB4747" s="331"/>
      <c r="BC4747" s="331"/>
      <c r="BD4747" s="331"/>
      <c r="BE4747" s="333"/>
      <c r="BF4747" s="330"/>
      <c r="BG4747" s="333"/>
      <c r="BH4747" s="1119"/>
      <c r="BI4747" s="319"/>
      <c r="BJ4747" s="319"/>
      <c r="BK4747" s="319"/>
      <c r="BL4747" s="319"/>
      <c r="BM4747" s="319"/>
      <c r="BN4747" s="319"/>
      <c r="BO4747" s="319"/>
      <c r="BP4747" s="953"/>
      <c r="BQ4747" s="319"/>
      <c r="BR4747" s="319"/>
      <c r="BS4747" s="330"/>
      <c r="BT4747" s="331"/>
      <c r="BU4747" s="920"/>
      <c r="BV4747" s="903"/>
      <c r="BW4747" s="908"/>
      <c r="BX4747" s="908"/>
      <c r="BY4747" s="331"/>
      <c r="BZ4747" s="331"/>
      <c r="CA4747" s="462"/>
      <c r="CB4747" s="319"/>
      <c r="CC4747" s="319"/>
      <c r="CD4747" s="319"/>
      <c r="CE4747" s="319"/>
      <c r="CF4747" s="319"/>
      <c r="CG4747" s="319"/>
      <c r="CH4747" s="318"/>
      <c r="CI4747" s="319"/>
      <c r="CJ4747" s="319"/>
      <c r="CK4747" s="342"/>
      <c r="CL4747" s="333"/>
      <c r="CM4747" s="1079"/>
      <c r="CN4747" s="1005"/>
      <c r="CO4747" s="1005"/>
      <c r="CP4747" s="1005"/>
    </row>
    <row r="4748">
      <c r="A4748" s="1257"/>
      <c r="B4748" s="1113"/>
      <c r="C4748" s="1107"/>
      <c r="D4748" s="103"/>
      <c r="E4748" s="1137"/>
      <c r="F4748" s="112"/>
      <c r="G4748" s="1110"/>
      <c r="H4748" s="1138"/>
      <c r="I4748" s="1138"/>
      <c r="J4748" s="1139"/>
      <c r="K4748" s="1111"/>
      <c r="L4748" s="1112"/>
      <c r="M4748" s="1113"/>
      <c r="N4748" s="110"/>
      <c r="O4748" s="1140"/>
      <c r="P4748" s="1115"/>
      <c r="Q4748" s="1116"/>
      <c r="R4748" s="1141"/>
      <c r="S4748" s="1113"/>
      <c r="T4748" s="1143"/>
      <c r="U4748" s="1108"/>
      <c r="V4748" s="1108"/>
      <c r="W4748" s="1108"/>
      <c r="X4748" s="1108"/>
      <c r="Y4748" s="1108"/>
      <c r="Z4748" s="1114"/>
      <c r="AA4748" s="1114"/>
      <c r="AB4748" s="1114"/>
      <c r="AC4748" s="1117"/>
      <c r="AD4748" s="1115"/>
      <c r="AE4748" s="1115"/>
      <c r="AF4748" s="1115"/>
      <c r="AG4748" s="1115"/>
      <c r="AH4748" s="1115"/>
      <c r="AI4748" s="1115"/>
      <c r="AJ4748" s="1117"/>
      <c r="AK4748" s="1118"/>
      <c r="AL4748" s="1115"/>
      <c r="AM4748" s="1115"/>
      <c r="AN4748" s="1115"/>
      <c r="AO4748" s="1115"/>
      <c r="AP4748" s="1115"/>
      <c r="AQ4748" s="1115"/>
      <c r="AR4748" s="1115"/>
      <c r="AS4748" s="1117"/>
      <c r="AT4748" s="1075"/>
      <c r="AU4748" s="1193"/>
      <c r="AV4748" s="330"/>
      <c r="AW4748" s="331"/>
      <c r="AX4748" s="331"/>
      <c r="AY4748" s="331"/>
      <c r="AZ4748" s="331"/>
      <c r="BA4748" s="331"/>
      <c r="BB4748" s="331"/>
      <c r="BC4748" s="331"/>
      <c r="BD4748" s="331"/>
      <c r="BE4748" s="333"/>
      <c r="BF4748" s="330"/>
      <c r="BG4748" s="333"/>
      <c r="BH4748" s="1119"/>
      <c r="BI4748" s="319"/>
      <c r="BJ4748" s="319"/>
      <c r="BK4748" s="319"/>
      <c r="BL4748" s="319"/>
      <c r="BM4748" s="319"/>
      <c r="BN4748" s="319"/>
      <c r="BO4748" s="319"/>
      <c r="BP4748" s="953"/>
      <c r="BQ4748" s="319"/>
      <c r="BR4748" s="319"/>
      <c r="BS4748" s="330"/>
      <c r="BT4748" s="331"/>
      <c r="BU4748" s="920"/>
      <c r="BV4748" s="903"/>
      <c r="BW4748" s="908"/>
      <c r="BX4748" s="908"/>
      <c r="BY4748" s="331"/>
      <c r="BZ4748" s="331"/>
      <c r="CA4748" s="462"/>
      <c r="CB4748" s="319"/>
      <c r="CC4748" s="319"/>
      <c r="CD4748" s="319"/>
      <c r="CE4748" s="319"/>
      <c r="CF4748" s="319"/>
      <c r="CG4748" s="319"/>
      <c r="CH4748" s="318"/>
      <c r="CI4748" s="319"/>
      <c r="CJ4748" s="319"/>
      <c r="CK4748" s="342"/>
      <c r="CL4748" s="333"/>
      <c r="CM4748" s="1079"/>
      <c r="CN4748" s="1005"/>
      <c r="CO4748" s="1005"/>
      <c r="CP4748" s="1005"/>
    </row>
    <row r="4749">
      <c r="A4749" s="1257"/>
      <c r="B4749" s="1113"/>
      <c r="C4749" s="1107"/>
      <c r="D4749" s="103"/>
      <c r="E4749" s="1137"/>
      <c r="F4749" s="112"/>
      <c r="G4749" s="1110"/>
      <c r="H4749" s="1138"/>
      <c r="I4749" s="1138"/>
      <c r="J4749" s="1139"/>
      <c r="K4749" s="1111"/>
      <c r="L4749" s="1112"/>
      <c r="M4749" s="1113"/>
      <c r="N4749" s="110"/>
      <c r="O4749" s="1140"/>
      <c r="P4749" s="1115"/>
      <c r="Q4749" s="1116"/>
      <c r="R4749" s="1141"/>
      <c r="S4749" s="1113"/>
      <c r="T4749" s="1143"/>
      <c r="U4749" s="1108"/>
      <c r="V4749" s="1108"/>
      <c r="W4749" s="1108"/>
      <c r="X4749" s="1108"/>
      <c r="Y4749" s="1108"/>
      <c r="Z4749" s="1114"/>
      <c r="AA4749" s="1114"/>
      <c r="AB4749" s="1114"/>
      <c r="AC4749" s="1117"/>
      <c r="AD4749" s="1115"/>
      <c r="AE4749" s="1115"/>
      <c r="AF4749" s="1115"/>
      <c r="AG4749" s="1115"/>
      <c r="AH4749" s="1115"/>
      <c r="AI4749" s="1115"/>
      <c r="AJ4749" s="1117"/>
      <c r="AK4749" s="1118"/>
      <c r="AL4749" s="1115"/>
      <c r="AM4749" s="1115"/>
      <c r="AN4749" s="1115"/>
      <c r="AO4749" s="1115"/>
      <c r="AP4749" s="1115"/>
      <c r="AQ4749" s="1115"/>
      <c r="AR4749" s="1115"/>
      <c r="AS4749" s="1117"/>
      <c r="AT4749" s="1075"/>
      <c r="AU4749" s="1193"/>
      <c r="AV4749" s="330"/>
      <c r="AW4749" s="331"/>
      <c r="AX4749" s="331"/>
      <c r="AY4749" s="331"/>
      <c r="AZ4749" s="331"/>
      <c r="BA4749" s="331"/>
      <c r="BB4749" s="331"/>
      <c r="BC4749" s="331"/>
      <c r="BD4749" s="331"/>
      <c r="BE4749" s="333"/>
      <c r="BF4749" s="330"/>
      <c r="BG4749" s="333"/>
      <c r="BH4749" s="1119"/>
      <c r="BI4749" s="319"/>
      <c r="BJ4749" s="319"/>
      <c r="BK4749" s="319"/>
      <c r="BL4749" s="319"/>
      <c r="BM4749" s="319"/>
      <c r="BN4749" s="319"/>
      <c r="BO4749" s="319"/>
      <c r="BP4749" s="953"/>
      <c r="BQ4749" s="319"/>
      <c r="BR4749" s="319"/>
      <c r="BS4749" s="330"/>
      <c r="BT4749" s="331"/>
      <c r="BU4749" s="920"/>
      <c r="BV4749" s="903"/>
      <c r="BW4749" s="908"/>
      <c r="BX4749" s="908"/>
      <c r="BY4749" s="331"/>
      <c r="BZ4749" s="331"/>
      <c r="CA4749" s="462"/>
      <c r="CB4749" s="319"/>
      <c r="CC4749" s="319"/>
      <c r="CD4749" s="319"/>
      <c r="CE4749" s="319"/>
      <c r="CF4749" s="319"/>
      <c r="CG4749" s="319"/>
      <c r="CH4749" s="318"/>
      <c r="CI4749" s="319"/>
      <c r="CJ4749" s="319"/>
      <c r="CK4749" s="342"/>
      <c r="CL4749" s="333"/>
      <c r="CM4749" s="1079"/>
      <c r="CN4749" s="1005"/>
      <c r="CO4749" s="1005"/>
      <c r="CP4749" s="1005"/>
    </row>
    <row r="4750">
      <c r="A4750" s="1257"/>
      <c r="B4750" s="1113"/>
      <c r="C4750" s="1107"/>
      <c r="D4750" s="103"/>
      <c r="E4750" s="1137"/>
      <c r="F4750" s="112"/>
      <c r="G4750" s="1110"/>
      <c r="H4750" s="1138"/>
      <c r="I4750" s="1138"/>
      <c r="J4750" s="1139"/>
      <c r="K4750" s="1111"/>
      <c r="L4750" s="1112"/>
      <c r="M4750" s="1113"/>
      <c r="N4750" s="110"/>
      <c r="O4750" s="1140"/>
      <c r="P4750" s="1115"/>
      <c r="Q4750" s="1116"/>
      <c r="R4750" s="1141"/>
      <c r="S4750" s="1113"/>
      <c r="T4750" s="1143"/>
      <c r="U4750" s="1108"/>
      <c r="V4750" s="1108"/>
      <c r="W4750" s="1108"/>
      <c r="X4750" s="1108"/>
      <c r="Y4750" s="1108"/>
      <c r="Z4750" s="1114"/>
      <c r="AA4750" s="1114"/>
      <c r="AB4750" s="1114"/>
      <c r="AC4750" s="1117"/>
      <c r="AD4750" s="1115"/>
      <c r="AE4750" s="1115"/>
      <c r="AF4750" s="1115"/>
      <c r="AG4750" s="1115"/>
      <c r="AH4750" s="1115"/>
      <c r="AI4750" s="1115"/>
      <c r="AJ4750" s="1117"/>
      <c r="AK4750" s="1118"/>
      <c r="AL4750" s="1115"/>
      <c r="AM4750" s="1115"/>
      <c r="AN4750" s="1115"/>
      <c r="AO4750" s="1115"/>
      <c r="AP4750" s="1115"/>
      <c r="AQ4750" s="1115"/>
      <c r="AR4750" s="1115"/>
      <c r="AS4750" s="1117"/>
      <c r="AT4750" s="1075"/>
      <c r="AU4750" s="1193"/>
      <c r="AV4750" s="330"/>
      <c r="AW4750" s="331"/>
      <c r="AX4750" s="331"/>
      <c r="AY4750" s="331"/>
      <c r="AZ4750" s="331"/>
      <c r="BA4750" s="331"/>
      <c r="BB4750" s="331"/>
      <c r="BC4750" s="331"/>
      <c r="BD4750" s="331"/>
      <c r="BE4750" s="333"/>
      <c r="BF4750" s="330"/>
      <c r="BG4750" s="333"/>
      <c r="BH4750" s="1119"/>
      <c r="BI4750" s="319"/>
      <c r="BJ4750" s="319"/>
      <c r="BK4750" s="319"/>
      <c r="BL4750" s="319"/>
      <c r="BM4750" s="319"/>
      <c r="BN4750" s="319"/>
      <c r="BO4750" s="319"/>
      <c r="BP4750" s="953"/>
      <c r="BQ4750" s="319"/>
      <c r="BR4750" s="319"/>
      <c r="BS4750" s="330"/>
      <c r="BT4750" s="331"/>
      <c r="BU4750" s="920"/>
      <c r="BV4750" s="903"/>
      <c r="BW4750" s="908"/>
      <c r="BX4750" s="908"/>
      <c r="BY4750" s="331"/>
      <c r="BZ4750" s="331"/>
      <c r="CA4750" s="462"/>
      <c r="CB4750" s="319"/>
      <c r="CC4750" s="319"/>
      <c r="CD4750" s="319"/>
      <c r="CE4750" s="319"/>
      <c r="CF4750" s="319"/>
      <c r="CG4750" s="319"/>
      <c r="CH4750" s="318"/>
      <c r="CI4750" s="319"/>
      <c r="CJ4750" s="319"/>
      <c r="CK4750" s="342"/>
      <c r="CL4750" s="333"/>
      <c r="CM4750" s="1079"/>
      <c r="CN4750" s="1005"/>
      <c r="CO4750" s="1005"/>
      <c r="CP4750" s="1005"/>
    </row>
    <row r="4751">
      <c r="A4751" s="1257"/>
      <c r="B4751" s="1113"/>
      <c r="C4751" s="1107"/>
      <c r="D4751" s="103"/>
      <c r="E4751" s="1137"/>
      <c r="F4751" s="112"/>
      <c r="G4751" s="1110"/>
      <c r="H4751" s="1138"/>
      <c r="I4751" s="1138"/>
      <c r="J4751" s="1139"/>
      <c r="K4751" s="1111"/>
      <c r="L4751" s="1112"/>
      <c r="M4751" s="1113"/>
      <c r="N4751" s="110"/>
      <c r="O4751" s="1140"/>
      <c r="P4751" s="1115"/>
      <c r="Q4751" s="1116"/>
      <c r="R4751" s="1141"/>
      <c r="S4751" s="1113"/>
      <c r="T4751" s="1143"/>
      <c r="U4751" s="1108"/>
      <c r="V4751" s="1108"/>
      <c r="W4751" s="1108"/>
      <c r="X4751" s="1108"/>
      <c r="Y4751" s="1108"/>
      <c r="Z4751" s="1114"/>
      <c r="AA4751" s="1114"/>
      <c r="AB4751" s="1114"/>
      <c r="AC4751" s="1117"/>
      <c r="AD4751" s="1115"/>
      <c r="AE4751" s="1115"/>
      <c r="AF4751" s="1115"/>
      <c r="AG4751" s="1115"/>
      <c r="AH4751" s="1115"/>
      <c r="AI4751" s="1115"/>
      <c r="AJ4751" s="1117"/>
      <c r="AK4751" s="1118"/>
      <c r="AL4751" s="1115"/>
      <c r="AM4751" s="1115"/>
      <c r="AN4751" s="1115"/>
      <c r="AO4751" s="1115"/>
      <c r="AP4751" s="1115"/>
      <c r="AQ4751" s="1115"/>
      <c r="AR4751" s="1115"/>
      <c r="AS4751" s="1117"/>
      <c r="AT4751" s="1075"/>
      <c r="AU4751" s="1193"/>
      <c r="AV4751" s="330"/>
      <c r="AW4751" s="331"/>
      <c r="AX4751" s="331"/>
      <c r="AY4751" s="331"/>
      <c r="AZ4751" s="331"/>
      <c r="BA4751" s="331"/>
      <c r="BB4751" s="331"/>
      <c r="BC4751" s="331"/>
      <c r="BD4751" s="331"/>
      <c r="BE4751" s="333"/>
      <c r="BF4751" s="330"/>
      <c r="BG4751" s="333"/>
      <c r="BH4751" s="1119"/>
      <c r="BI4751" s="319"/>
      <c r="BJ4751" s="319"/>
      <c r="BK4751" s="319"/>
      <c r="BL4751" s="319"/>
      <c r="BM4751" s="319"/>
      <c r="BN4751" s="319"/>
      <c r="BO4751" s="319"/>
      <c r="BP4751" s="953"/>
      <c r="BQ4751" s="319"/>
      <c r="BR4751" s="319"/>
      <c r="BS4751" s="330"/>
      <c r="BT4751" s="331"/>
      <c r="BU4751" s="920"/>
      <c r="BV4751" s="903"/>
      <c r="BW4751" s="908"/>
      <c r="BX4751" s="908"/>
      <c r="BY4751" s="331"/>
      <c r="BZ4751" s="331"/>
      <c r="CA4751" s="462"/>
      <c r="CB4751" s="319"/>
      <c r="CC4751" s="319"/>
      <c r="CD4751" s="319"/>
      <c r="CE4751" s="319"/>
      <c r="CF4751" s="319"/>
      <c r="CG4751" s="319"/>
      <c r="CH4751" s="318"/>
      <c r="CI4751" s="319"/>
      <c r="CJ4751" s="319"/>
      <c r="CK4751" s="342"/>
      <c r="CL4751" s="333"/>
      <c r="CM4751" s="1079"/>
      <c r="CN4751" s="1005"/>
      <c r="CO4751" s="1005"/>
      <c r="CP4751" s="1005"/>
    </row>
    <row r="4752">
      <c r="A4752" s="1257"/>
      <c r="B4752" s="1113"/>
      <c r="C4752" s="1107"/>
      <c r="D4752" s="103"/>
      <c r="E4752" s="1137"/>
      <c r="F4752" s="112"/>
      <c r="G4752" s="1110"/>
      <c r="H4752" s="1138"/>
      <c r="I4752" s="1138"/>
      <c r="J4752" s="1139"/>
      <c r="K4752" s="1111"/>
      <c r="L4752" s="1112"/>
      <c r="M4752" s="1113"/>
      <c r="N4752" s="110"/>
      <c r="O4752" s="1140"/>
      <c r="P4752" s="1115"/>
      <c r="Q4752" s="1116"/>
      <c r="R4752" s="1141"/>
      <c r="S4752" s="1113"/>
      <c r="T4752" s="1143"/>
      <c r="U4752" s="1108"/>
      <c r="V4752" s="1108"/>
      <c r="W4752" s="1108"/>
      <c r="X4752" s="1108"/>
      <c r="Y4752" s="1108"/>
      <c r="Z4752" s="1114"/>
      <c r="AA4752" s="1114"/>
      <c r="AB4752" s="1114"/>
      <c r="AC4752" s="1117"/>
      <c r="AD4752" s="1115"/>
      <c r="AE4752" s="1115"/>
      <c r="AF4752" s="1115"/>
      <c r="AG4752" s="1115"/>
      <c r="AH4752" s="1115"/>
      <c r="AI4752" s="1115"/>
      <c r="AJ4752" s="1117"/>
      <c r="AK4752" s="1118"/>
      <c r="AL4752" s="1115"/>
      <c r="AM4752" s="1115"/>
      <c r="AN4752" s="1115"/>
      <c r="AO4752" s="1115"/>
      <c r="AP4752" s="1115"/>
      <c r="AQ4752" s="1115"/>
      <c r="AR4752" s="1115"/>
      <c r="AS4752" s="1117"/>
      <c r="AT4752" s="1075"/>
      <c r="AU4752" s="1193"/>
      <c r="AV4752" s="330"/>
      <c r="AW4752" s="331"/>
      <c r="AX4752" s="331"/>
      <c r="AY4752" s="331"/>
      <c r="AZ4752" s="331"/>
      <c r="BA4752" s="331"/>
      <c r="BB4752" s="331"/>
      <c r="BC4752" s="331"/>
      <c r="BD4752" s="331"/>
      <c r="BE4752" s="333"/>
      <c r="BF4752" s="330"/>
      <c r="BG4752" s="333"/>
      <c r="BH4752" s="1119"/>
      <c r="BI4752" s="319"/>
      <c r="BJ4752" s="319"/>
      <c r="BK4752" s="319"/>
      <c r="BL4752" s="319"/>
      <c r="BM4752" s="319"/>
      <c r="BN4752" s="319"/>
      <c r="BO4752" s="319"/>
      <c r="BP4752" s="953"/>
      <c r="BQ4752" s="319"/>
      <c r="BR4752" s="319"/>
      <c r="BS4752" s="330"/>
      <c r="BT4752" s="331"/>
      <c r="BU4752" s="920"/>
      <c r="BV4752" s="903"/>
      <c r="BW4752" s="908"/>
      <c r="BX4752" s="908"/>
      <c r="BY4752" s="331"/>
      <c r="BZ4752" s="331"/>
      <c r="CA4752" s="462"/>
      <c r="CB4752" s="319"/>
      <c r="CC4752" s="319"/>
      <c r="CD4752" s="319"/>
      <c r="CE4752" s="319"/>
      <c r="CF4752" s="319"/>
      <c r="CG4752" s="319"/>
      <c r="CH4752" s="318"/>
      <c r="CI4752" s="319"/>
      <c r="CJ4752" s="319"/>
      <c r="CK4752" s="342"/>
      <c r="CL4752" s="333"/>
      <c r="CM4752" s="1079"/>
      <c r="CN4752" s="1005"/>
      <c r="CO4752" s="1005"/>
      <c r="CP4752" s="1005"/>
    </row>
    <row r="4753">
      <c r="A4753" s="1257"/>
      <c r="B4753" s="1113"/>
      <c r="C4753" s="1107"/>
      <c r="D4753" s="103"/>
      <c r="E4753" s="1137"/>
      <c r="F4753" s="112"/>
      <c r="G4753" s="1110"/>
      <c r="H4753" s="1138"/>
      <c r="I4753" s="1138"/>
      <c r="J4753" s="1139"/>
      <c r="K4753" s="1111"/>
      <c r="L4753" s="1112"/>
      <c r="M4753" s="1113"/>
      <c r="N4753" s="110"/>
      <c r="O4753" s="1140"/>
      <c r="P4753" s="1115"/>
      <c r="Q4753" s="1116"/>
      <c r="R4753" s="1141"/>
      <c r="S4753" s="1113"/>
      <c r="T4753" s="1143"/>
      <c r="U4753" s="1108"/>
      <c r="V4753" s="1108"/>
      <c r="W4753" s="1108"/>
      <c r="X4753" s="1108"/>
      <c r="Y4753" s="1108"/>
      <c r="Z4753" s="1114"/>
      <c r="AA4753" s="1114"/>
      <c r="AB4753" s="1114"/>
      <c r="AC4753" s="1117"/>
      <c r="AD4753" s="1115"/>
      <c r="AE4753" s="1115"/>
      <c r="AF4753" s="1115"/>
      <c r="AG4753" s="1115"/>
      <c r="AH4753" s="1115"/>
      <c r="AI4753" s="1115"/>
      <c r="AJ4753" s="1117"/>
      <c r="AK4753" s="1118"/>
      <c r="AL4753" s="1115"/>
      <c r="AM4753" s="1115"/>
      <c r="AN4753" s="1115"/>
      <c r="AO4753" s="1115"/>
      <c r="AP4753" s="1115"/>
      <c r="AQ4753" s="1115"/>
      <c r="AR4753" s="1115"/>
      <c r="AS4753" s="1117"/>
      <c r="AT4753" s="1075"/>
      <c r="AU4753" s="1193"/>
      <c r="AV4753" s="330"/>
      <c r="AW4753" s="331"/>
      <c r="AX4753" s="331"/>
      <c r="AY4753" s="331"/>
      <c r="AZ4753" s="331"/>
      <c r="BA4753" s="331"/>
      <c r="BB4753" s="331"/>
      <c r="BC4753" s="331"/>
      <c r="BD4753" s="331"/>
      <c r="BE4753" s="333"/>
      <c r="BF4753" s="330"/>
      <c r="BG4753" s="333"/>
      <c r="BH4753" s="1119"/>
      <c r="BI4753" s="319"/>
      <c r="BJ4753" s="319"/>
      <c r="BK4753" s="319"/>
      <c r="BL4753" s="319"/>
      <c r="BM4753" s="319"/>
      <c r="BN4753" s="319"/>
      <c r="BO4753" s="319"/>
      <c r="BP4753" s="953"/>
      <c r="BQ4753" s="319"/>
      <c r="BR4753" s="319"/>
      <c r="BS4753" s="330"/>
      <c r="BT4753" s="331"/>
      <c r="BU4753" s="920"/>
      <c r="BV4753" s="903"/>
      <c r="BW4753" s="908"/>
      <c r="BX4753" s="908"/>
      <c r="BY4753" s="331"/>
      <c r="BZ4753" s="331"/>
      <c r="CA4753" s="462"/>
      <c r="CB4753" s="319"/>
      <c r="CC4753" s="319"/>
      <c r="CD4753" s="319"/>
      <c r="CE4753" s="319"/>
      <c r="CF4753" s="319"/>
      <c r="CG4753" s="319"/>
      <c r="CH4753" s="318"/>
      <c r="CI4753" s="319"/>
      <c r="CJ4753" s="319"/>
      <c r="CK4753" s="342"/>
      <c r="CL4753" s="333"/>
      <c r="CM4753" s="1079"/>
      <c r="CN4753" s="1005"/>
      <c r="CO4753" s="1005"/>
      <c r="CP4753" s="1005"/>
    </row>
    <row r="4754">
      <c r="A4754" s="1257"/>
      <c r="B4754" s="1113"/>
      <c r="C4754" s="1107"/>
      <c r="D4754" s="103"/>
      <c r="E4754" s="1137"/>
      <c r="F4754" s="112"/>
      <c r="G4754" s="1110"/>
      <c r="H4754" s="1138"/>
      <c r="I4754" s="1138"/>
      <c r="J4754" s="1139"/>
      <c r="K4754" s="1111"/>
      <c r="L4754" s="1112"/>
      <c r="M4754" s="1113"/>
      <c r="N4754" s="110"/>
      <c r="O4754" s="1140"/>
      <c r="P4754" s="1115"/>
      <c r="Q4754" s="1116"/>
      <c r="R4754" s="1141"/>
      <c r="S4754" s="1113"/>
      <c r="T4754" s="1143"/>
      <c r="U4754" s="1108"/>
      <c r="V4754" s="1108"/>
      <c r="W4754" s="1108"/>
      <c r="X4754" s="1108"/>
      <c r="Y4754" s="1108"/>
      <c r="Z4754" s="1114"/>
      <c r="AA4754" s="1114"/>
      <c r="AB4754" s="1114"/>
      <c r="AC4754" s="1117"/>
      <c r="AD4754" s="1115"/>
      <c r="AE4754" s="1115"/>
      <c r="AF4754" s="1115"/>
      <c r="AG4754" s="1115"/>
      <c r="AH4754" s="1115"/>
      <c r="AI4754" s="1115"/>
      <c r="AJ4754" s="1117"/>
      <c r="AK4754" s="1118"/>
      <c r="AL4754" s="1115"/>
      <c r="AM4754" s="1115"/>
      <c r="AN4754" s="1115"/>
      <c r="AO4754" s="1115"/>
      <c r="AP4754" s="1115"/>
      <c r="AQ4754" s="1115"/>
      <c r="AR4754" s="1115"/>
      <c r="AS4754" s="1117"/>
      <c r="AT4754" s="1075"/>
      <c r="AU4754" s="1193"/>
      <c r="AV4754" s="330"/>
      <c r="AW4754" s="331"/>
      <c r="AX4754" s="331"/>
      <c r="AY4754" s="331"/>
      <c r="AZ4754" s="331"/>
      <c r="BA4754" s="331"/>
      <c r="BB4754" s="331"/>
      <c r="BC4754" s="331"/>
      <c r="BD4754" s="331"/>
      <c r="BE4754" s="333"/>
      <c r="BF4754" s="330"/>
      <c r="BG4754" s="333"/>
      <c r="BH4754" s="1119"/>
      <c r="BI4754" s="319"/>
      <c r="BJ4754" s="319"/>
      <c r="BK4754" s="319"/>
      <c r="BL4754" s="319"/>
      <c r="BM4754" s="319"/>
      <c r="BN4754" s="319"/>
      <c r="BO4754" s="319"/>
      <c r="BP4754" s="953"/>
      <c r="BQ4754" s="319"/>
      <c r="BR4754" s="319"/>
      <c r="BS4754" s="330"/>
      <c r="BT4754" s="331"/>
      <c r="BU4754" s="920"/>
      <c r="BV4754" s="903"/>
      <c r="BW4754" s="908"/>
      <c r="BX4754" s="908"/>
      <c r="BY4754" s="331"/>
      <c r="BZ4754" s="331"/>
      <c r="CA4754" s="462"/>
      <c r="CB4754" s="319"/>
      <c r="CC4754" s="319"/>
      <c r="CD4754" s="319"/>
      <c r="CE4754" s="319"/>
      <c r="CF4754" s="319"/>
      <c r="CG4754" s="319"/>
      <c r="CH4754" s="318"/>
      <c r="CI4754" s="319"/>
      <c r="CJ4754" s="319"/>
      <c r="CK4754" s="342"/>
      <c r="CL4754" s="333"/>
      <c r="CM4754" s="1079"/>
      <c r="CN4754" s="1005"/>
      <c r="CO4754" s="1005"/>
      <c r="CP4754" s="1005"/>
    </row>
    <row r="4755">
      <c r="A4755" s="1257"/>
      <c r="B4755" s="1113"/>
      <c r="C4755" s="1107"/>
      <c r="D4755" s="103"/>
      <c r="E4755" s="1137"/>
      <c r="F4755" s="112"/>
      <c r="G4755" s="1110"/>
      <c r="H4755" s="1138"/>
      <c r="I4755" s="1138"/>
      <c r="J4755" s="1139"/>
      <c r="K4755" s="1111"/>
      <c r="L4755" s="1112"/>
      <c r="M4755" s="1113"/>
      <c r="N4755" s="110"/>
      <c r="O4755" s="1140"/>
      <c r="P4755" s="1115"/>
      <c r="Q4755" s="1116"/>
      <c r="R4755" s="1141"/>
      <c r="S4755" s="1113"/>
      <c r="T4755" s="1143"/>
      <c r="U4755" s="1108"/>
      <c r="V4755" s="1108"/>
      <c r="W4755" s="1108"/>
      <c r="X4755" s="1108"/>
      <c r="Y4755" s="1108"/>
      <c r="Z4755" s="1114"/>
      <c r="AA4755" s="1114"/>
      <c r="AB4755" s="1114"/>
      <c r="AC4755" s="1117"/>
      <c r="AD4755" s="1115"/>
      <c r="AE4755" s="1115"/>
      <c r="AF4755" s="1115"/>
      <c r="AG4755" s="1115"/>
      <c r="AH4755" s="1115"/>
      <c r="AI4755" s="1115"/>
      <c r="AJ4755" s="1117"/>
      <c r="AK4755" s="1118"/>
      <c r="AL4755" s="1115"/>
      <c r="AM4755" s="1115"/>
      <c r="AN4755" s="1115"/>
      <c r="AO4755" s="1115"/>
      <c r="AP4755" s="1115"/>
      <c r="AQ4755" s="1115"/>
      <c r="AR4755" s="1115"/>
      <c r="AS4755" s="1117"/>
      <c r="AT4755" s="1075"/>
      <c r="AU4755" s="1193"/>
      <c r="AV4755" s="330"/>
      <c r="AW4755" s="331"/>
      <c r="AX4755" s="331"/>
      <c r="AY4755" s="331"/>
      <c r="AZ4755" s="331"/>
      <c r="BA4755" s="331"/>
      <c r="BB4755" s="331"/>
      <c r="BC4755" s="331"/>
      <c r="BD4755" s="331"/>
      <c r="BE4755" s="333"/>
      <c r="BF4755" s="330"/>
      <c r="BG4755" s="333"/>
      <c r="BH4755" s="1119"/>
      <c r="BI4755" s="319"/>
      <c r="BJ4755" s="319"/>
      <c r="BK4755" s="319"/>
      <c r="BL4755" s="319"/>
      <c r="BM4755" s="319"/>
      <c r="BN4755" s="319"/>
      <c r="BO4755" s="319"/>
      <c r="BP4755" s="953"/>
      <c r="BQ4755" s="319"/>
      <c r="BR4755" s="319"/>
      <c r="BS4755" s="330"/>
      <c r="BT4755" s="331"/>
      <c r="BU4755" s="920"/>
      <c r="BV4755" s="903"/>
      <c r="BW4755" s="908"/>
      <c r="BX4755" s="908"/>
      <c r="BY4755" s="331"/>
      <c r="BZ4755" s="331"/>
      <c r="CA4755" s="462"/>
      <c r="CB4755" s="319"/>
      <c r="CC4755" s="319"/>
      <c r="CD4755" s="319"/>
      <c r="CE4755" s="319"/>
      <c r="CF4755" s="319"/>
      <c r="CG4755" s="319"/>
      <c r="CH4755" s="318"/>
      <c r="CI4755" s="319"/>
      <c r="CJ4755" s="319"/>
      <c r="CK4755" s="342"/>
      <c r="CL4755" s="333"/>
      <c r="CM4755" s="1079"/>
      <c r="CN4755" s="1005"/>
      <c r="CO4755" s="1005"/>
      <c r="CP4755" s="1005"/>
    </row>
    <row r="4756">
      <c r="A4756" s="1257"/>
      <c r="B4756" s="1113"/>
      <c r="C4756" s="1107"/>
      <c r="D4756" s="103"/>
      <c r="E4756" s="1137"/>
      <c r="F4756" s="112"/>
      <c r="G4756" s="1110"/>
      <c r="H4756" s="1138"/>
      <c r="I4756" s="1138"/>
      <c r="J4756" s="1139"/>
      <c r="K4756" s="1111"/>
      <c r="L4756" s="1112"/>
      <c r="M4756" s="1113"/>
      <c r="N4756" s="110"/>
      <c r="O4756" s="1140"/>
      <c r="P4756" s="1115"/>
      <c r="Q4756" s="1116"/>
      <c r="R4756" s="1141"/>
      <c r="S4756" s="1113"/>
      <c r="T4756" s="1143"/>
      <c r="U4756" s="1108"/>
      <c r="V4756" s="1108"/>
      <c r="W4756" s="1108"/>
      <c r="X4756" s="1108"/>
      <c r="Y4756" s="1108"/>
      <c r="Z4756" s="1114"/>
      <c r="AA4756" s="1114"/>
      <c r="AB4756" s="1114"/>
      <c r="AC4756" s="1117"/>
      <c r="AD4756" s="1115"/>
      <c r="AE4756" s="1115"/>
      <c r="AF4756" s="1115"/>
      <c r="AG4756" s="1115"/>
      <c r="AH4756" s="1115"/>
      <c r="AI4756" s="1115"/>
      <c r="AJ4756" s="1117"/>
      <c r="AK4756" s="1118"/>
      <c r="AL4756" s="1115"/>
      <c r="AM4756" s="1115"/>
      <c r="AN4756" s="1115"/>
      <c r="AO4756" s="1115"/>
      <c r="AP4756" s="1115"/>
      <c r="AQ4756" s="1115"/>
      <c r="AR4756" s="1115"/>
      <c r="AS4756" s="1117"/>
      <c r="AT4756" s="1075"/>
      <c r="AU4756" s="1193"/>
      <c r="AV4756" s="330"/>
      <c r="AW4756" s="331"/>
      <c r="AX4756" s="331"/>
      <c r="AY4756" s="331"/>
      <c r="AZ4756" s="331"/>
      <c r="BA4756" s="331"/>
      <c r="BB4756" s="331"/>
      <c r="BC4756" s="331"/>
      <c r="BD4756" s="331"/>
      <c r="BE4756" s="333"/>
      <c r="BF4756" s="330"/>
      <c r="BG4756" s="333"/>
      <c r="BH4756" s="1119"/>
      <c r="BI4756" s="319"/>
      <c r="BJ4756" s="319"/>
      <c r="BK4756" s="319"/>
      <c r="BL4756" s="319"/>
      <c r="BM4756" s="319"/>
      <c r="BN4756" s="319"/>
      <c r="BO4756" s="319"/>
      <c r="BP4756" s="953"/>
      <c r="BQ4756" s="319"/>
      <c r="BR4756" s="319"/>
      <c r="BS4756" s="330"/>
      <c r="BT4756" s="331"/>
      <c r="BU4756" s="920"/>
      <c r="BV4756" s="903"/>
      <c r="BW4756" s="908"/>
      <c r="BX4756" s="908"/>
      <c r="BY4756" s="331"/>
      <c r="BZ4756" s="331"/>
      <c r="CA4756" s="462"/>
      <c r="CB4756" s="319"/>
      <c r="CC4756" s="319"/>
      <c r="CD4756" s="319"/>
      <c r="CE4756" s="319"/>
      <c r="CF4756" s="319"/>
      <c r="CG4756" s="319"/>
      <c r="CH4756" s="318"/>
      <c r="CI4756" s="319"/>
      <c r="CJ4756" s="319"/>
      <c r="CK4756" s="342"/>
      <c r="CL4756" s="333"/>
      <c r="CM4756" s="1079"/>
      <c r="CN4756" s="1005"/>
      <c r="CO4756" s="1005"/>
      <c r="CP4756" s="1005"/>
    </row>
    <row r="4757">
      <c r="A4757" s="1257"/>
      <c r="B4757" s="1113"/>
      <c r="C4757" s="1107"/>
      <c r="D4757" s="103"/>
      <c r="E4757" s="1137"/>
      <c r="F4757" s="112"/>
      <c r="G4757" s="1110"/>
      <c r="H4757" s="1138"/>
      <c r="I4757" s="1138"/>
      <c r="J4757" s="1139"/>
      <c r="K4757" s="1111"/>
      <c r="L4757" s="1112"/>
      <c r="M4757" s="1113"/>
      <c r="N4757" s="110"/>
      <c r="O4757" s="1140"/>
      <c r="P4757" s="1115"/>
      <c r="Q4757" s="1116"/>
      <c r="R4757" s="1141"/>
      <c r="S4757" s="1113"/>
      <c r="T4757" s="1143"/>
      <c r="U4757" s="1108"/>
      <c r="V4757" s="1108"/>
      <c r="W4757" s="1108"/>
      <c r="X4757" s="1108"/>
      <c r="Y4757" s="1108"/>
      <c r="Z4757" s="1114"/>
      <c r="AA4757" s="1114"/>
      <c r="AB4757" s="1114"/>
      <c r="AC4757" s="1117"/>
      <c r="AD4757" s="1115"/>
      <c r="AE4757" s="1115"/>
      <c r="AF4757" s="1115"/>
      <c r="AG4757" s="1115"/>
      <c r="AH4757" s="1115"/>
      <c r="AI4757" s="1115"/>
      <c r="AJ4757" s="1117"/>
      <c r="AK4757" s="1118"/>
      <c r="AL4757" s="1115"/>
      <c r="AM4757" s="1115"/>
      <c r="AN4757" s="1115"/>
      <c r="AO4757" s="1115"/>
      <c r="AP4757" s="1115"/>
      <c r="AQ4757" s="1115"/>
      <c r="AR4757" s="1115"/>
      <c r="AS4757" s="1117"/>
      <c r="AT4757" s="1075"/>
      <c r="AU4757" s="1193"/>
      <c r="AV4757" s="330"/>
      <c r="AW4757" s="331"/>
      <c r="AX4757" s="331"/>
      <c r="AY4757" s="331"/>
      <c r="AZ4757" s="331"/>
      <c r="BA4757" s="331"/>
      <c r="BB4757" s="331"/>
      <c r="BC4757" s="331"/>
      <c r="BD4757" s="331"/>
      <c r="BE4757" s="333"/>
      <c r="BF4757" s="330"/>
      <c r="BG4757" s="333"/>
      <c r="BH4757" s="1119"/>
      <c r="BI4757" s="319"/>
      <c r="BJ4757" s="319"/>
      <c r="BK4757" s="319"/>
      <c r="BL4757" s="319"/>
      <c r="BM4757" s="319"/>
      <c r="BN4757" s="319"/>
      <c r="BO4757" s="319"/>
      <c r="BP4757" s="953"/>
      <c r="BQ4757" s="319"/>
      <c r="BR4757" s="319"/>
      <c r="BS4757" s="330"/>
      <c r="BT4757" s="331"/>
      <c r="BU4757" s="920"/>
      <c r="BV4757" s="903"/>
      <c r="BW4757" s="908"/>
      <c r="BX4757" s="908"/>
      <c r="BY4757" s="331"/>
      <c r="BZ4757" s="331"/>
      <c r="CA4757" s="462"/>
      <c r="CB4757" s="319"/>
      <c r="CC4757" s="319"/>
      <c r="CD4757" s="319"/>
      <c r="CE4757" s="319"/>
      <c r="CF4757" s="319"/>
      <c r="CG4757" s="319"/>
      <c r="CH4757" s="318"/>
      <c r="CI4757" s="319"/>
      <c r="CJ4757" s="319"/>
      <c r="CK4757" s="342"/>
      <c r="CL4757" s="333"/>
      <c r="CM4757" s="1079"/>
      <c r="CN4757" s="1005"/>
      <c r="CO4757" s="1005"/>
      <c r="CP4757" s="1005"/>
    </row>
    <row r="4758">
      <c r="A4758" s="1257"/>
      <c r="B4758" s="1113"/>
      <c r="C4758" s="1107"/>
      <c r="D4758" s="103"/>
      <c r="E4758" s="1137"/>
      <c r="F4758" s="112"/>
      <c r="G4758" s="1110"/>
      <c r="H4758" s="1138"/>
      <c r="I4758" s="1138"/>
      <c r="J4758" s="1139"/>
      <c r="K4758" s="1111"/>
      <c r="L4758" s="1112"/>
      <c r="M4758" s="1113"/>
      <c r="N4758" s="110"/>
      <c r="O4758" s="1140"/>
      <c r="P4758" s="1115"/>
      <c r="Q4758" s="1116"/>
      <c r="R4758" s="1141"/>
      <c r="S4758" s="1113"/>
      <c r="T4758" s="1143"/>
      <c r="U4758" s="1108"/>
      <c r="V4758" s="1108"/>
      <c r="W4758" s="1108"/>
      <c r="X4758" s="1108"/>
      <c r="Y4758" s="1108"/>
      <c r="Z4758" s="1114"/>
      <c r="AA4758" s="1114"/>
      <c r="AB4758" s="1114"/>
      <c r="AC4758" s="1117"/>
      <c r="AD4758" s="1115"/>
      <c r="AE4758" s="1115"/>
      <c r="AF4758" s="1115"/>
      <c r="AG4758" s="1115"/>
      <c r="AH4758" s="1115"/>
      <c r="AI4758" s="1115"/>
      <c r="AJ4758" s="1117"/>
      <c r="AK4758" s="1118"/>
      <c r="AL4758" s="1115"/>
      <c r="AM4758" s="1115"/>
      <c r="AN4758" s="1115"/>
      <c r="AO4758" s="1115"/>
      <c r="AP4758" s="1115"/>
      <c r="AQ4758" s="1115"/>
      <c r="AR4758" s="1115"/>
      <c r="AS4758" s="1117"/>
      <c r="AT4758" s="1075"/>
      <c r="AU4758" s="1193"/>
      <c r="AV4758" s="330"/>
      <c r="AW4758" s="331"/>
      <c r="AX4758" s="331"/>
      <c r="AY4758" s="331"/>
      <c r="AZ4758" s="331"/>
      <c r="BA4758" s="331"/>
      <c r="BB4758" s="331"/>
      <c r="BC4758" s="331"/>
      <c r="BD4758" s="331"/>
      <c r="BE4758" s="333"/>
      <c r="BF4758" s="330"/>
      <c r="BG4758" s="333"/>
      <c r="BH4758" s="1119"/>
      <c r="BI4758" s="319"/>
      <c r="BJ4758" s="319"/>
      <c r="BK4758" s="319"/>
      <c r="BL4758" s="319"/>
      <c r="BM4758" s="319"/>
      <c r="BN4758" s="319"/>
      <c r="BO4758" s="319"/>
      <c r="BP4758" s="953"/>
      <c r="BQ4758" s="319"/>
      <c r="BR4758" s="319"/>
      <c r="BS4758" s="330"/>
      <c r="BT4758" s="331"/>
      <c r="BU4758" s="920"/>
      <c r="BV4758" s="903"/>
      <c r="BW4758" s="908"/>
      <c r="BX4758" s="908"/>
      <c r="BY4758" s="331"/>
      <c r="BZ4758" s="331"/>
      <c r="CA4758" s="462"/>
      <c r="CB4758" s="319"/>
      <c r="CC4758" s="319"/>
      <c r="CD4758" s="319"/>
      <c r="CE4758" s="319"/>
      <c r="CF4758" s="319"/>
      <c r="CG4758" s="319"/>
      <c r="CH4758" s="318"/>
      <c r="CI4758" s="319"/>
      <c r="CJ4758" s="319"/>
      <c r="CK4758" s="342"/>
      <c r="CL4758" s="333"/>
      <c r="CM4758" s="1079"/>
      <c r="CN4758" s="1005"/>
      <c r="CO4758" s="1005"/>
      <c r="CP4758" s="1005"/>
    </row>
    <row r="4759">
      <c r="A4759" s="1257"/>
      <c r="B4759" s="1113"/>
      <c r="C4759" s="1107"/>
      <c r="D4759" s="103"/>
      <c r="E4759" s="1137"/>
      <c r="F4759" s="112"/>
      <c r="G4759" s="1110"/>
      <c r="H4759" s="1138"/>
      <c r="I4759" s="1138"/>
      <c r="J4759" s="1139"/>
      <c r="K4759" s="1111"/>
      <c r="L4759" s="1112"/>
      <c r="M4759" s="1113"/>
      <c r="N4759" s="110"/>
      <c r="O4759" s="1140"/>
      <c r="P4759" s="1115"/>
      <c r="Q4759" s="1116"/>
      <c r="R4759" s="1141"/>
      <c r="S4759" s="1113"/>
      <c r="T4759" s="1143"/>
      <c r="U4759" s="1108"/>
      <c r="V4759" s="1108"/>
      <c r="W4759" s="1108"/>
      <c r="X4759" s="1108"/>
      <c r="Y4759" s="1108"/>
      <c r="Z4759" s="1114"/>
      <c r="AA4759" s="1114"/>
      <c r="AB4759" s="1114"/>
      <c r="AC4759" s="1117"/>
      <c r="AD4759" s="1115"/>
      <c r="AE4759" s="1115"/>
      <c r="AF4759" s="1115"/>
      <c r="AG4759" s="1115"/>
      <c r="AH4759" s="1115"/>
      <c r="AI4759" s="1115"/>
      <c r="AJ4759" s="1117"/>
      <c r="AK4759" s="1118"/>
      <c r="AL4759" s="1115"/>
      <c r="AM4759" s="1115"/>
      <c r="AN4759" s="1115"/>
      <c r="AO4759" s="1115"/>
      <c r="AP4759" s="1115"/>
      <c r="AQ4759" s="1115"/>
      <c r="AR4759" s="1115"/>
      <c r="AS4759" s="1117"/>
      <c r="AT4759" s="1075"/>
      <c r="AU4759" s="1193"/>
      <c r="AV4759" s="330"/>
      <c r="AW4759" s="331"/>
      <c r="AX4759" s="331"/>
      <c r="AY4759" s="331"/>
      <c r="AZ4759" s="331"/>
      <c r="BA4759" s="331"/>
      <c r="BB4759" s="331"/>
      <c r="BC4759" s="331"/>
      <c r="BD4759" s="331"/>
      <c r="BE4759" s="333"/>
      <c r="BF4759" s="330"/>
      <c r="BG4759" s="333"/>
      <c r="BH4759" s="1119"/>
      <c r="BI4759" s="319"/>
      <c r="BJ4759" s="319"/>
      <c r="BK4759" s="319"/>
      <c r="BL4759" s="319"/>
      <c r="BM4759" s="319"/>
      <c r="BN4759" s="319"/>
      <c r="BO4759" s="319"/>
      <c r="BP4759" s="953"/>
      <c r="BQ4759" s="319"/>
      <c r="BR4759" s="319"/>
      <c r="BS4759" s="330"/>
      <c r="BT4759" s="331"/>
      <c r="BU4759" s="920"/>
      <c r="BV4759" s="903"/>
      <c r="BW4759" s="908"/>
      <c r="BX4759" s="908"/>
      <c r="BY4759" s="331"/>
      <c r="BZ4759" s="331"/>
      <c r="CA4759" s="462"/>
      <c r="CB4759" s="319"/>
      <c r="CC4759" s="319"/>
      <c r="CD4759" s="319"/>
      <c r="CE4759" s="319"/>
      <c r="CF4759" s="319"/>
      <c r="CG4759" s="319"/>
      <c r="CH4759" s="318"/>
      <c r="CI4759" s="319"/>
      <c r="CJ4759" s="319"/>
      <c r="CK4759" s="342"/>
      <c r="CL4759" s="333"/>
      <c r="CM4759" s="1079"/>
      <c r="CN4759" s="1005"/>
      <c r="CO4759" s="1005"/>
      <c r="CP4759" s="1005"/>
    </row>
    <row r="4760">
      <c r="A4760" s="1257"/>
      <c r="B4760" s="1113"/>
      <c r="C4760" s="1107"/>
      <c r="D4760" s="103"/>
      <c r="E4760" s="1137"/>
      <c r="F4760" s="112"/>
      <c r="G4760" s="1110"/>
      <c r="H4760" s="1138"/>
      <c r="I4760" s="1138"/>
      <c r="J4760" s="1139"/>
      <c r="K4760" s="1111"/>
      <c r="L4760" s="1112"/>
      <c r="M4760" s="1113"/>
      <c r="N4760" s="110"/>
      <c r="O4760" s="1140"/>
      <c r="P4760" s="1115"/>
      <c r="Q4760" s="1116"/>
      <c r="R4760" s="1141"/>
      <c r="S4760" s="1113"/>
      <c r="T4760" s="1143"/>
      <c r="U4760" s="1108"/>
      <c r="V4760" s="1108"/>
      <c r="W4760" s="1108"/>
      <c r="X4760" s="1108"/>
      <c r="Y4760" s="1108"/>
      <c r="Z4760" s="1114"/>
      <c r="AA4760" s="1114"/>
      <c r="AB4760" s="1114"/>
      <c r="AC4760" s="1117"/>
      <c r="AD4760" s="1115"/>
      <c r="AE4760" s="1115"/>
      <c r="AF4760" s="1115"/>
      <c r="AG4760" s="1115"/>
      <c r="AH4760" s="1115"/>
      <c r="AI4760" s="1115"/>
      <c r="AJ4760" s="1117"/>
      <c r="AK4760" s="1118"/>
      <c r="AL4760" s="1115"/>
      <c r="AM4760" s="1115"/>
      <c r="AN4760" s="1115"/>
      <c r="AO4760" s="1115"/>
      <c r="AP4760" s="1115"/>
      <c r="AQ4760" s="1115"/>
      <c r="AR4760" s="1115"/>
      <c r="AS4760" s="1117"/>
      <c r="AT4760" s="1075"/>
      <c r="AU4760" s="1193"/>
      <c r="AV4760" s="330"/>
      <c r="AW4760" s="331"/>
      <c r="AX4760" s="331"/>
      <c r="AY4760" s="331"/>
      <c r="AZ4760" s="331"/>
      <c r="BA4760" s="331"/>
      <c r="BB4760" s="331"/>
      <c r="BC4760" s="331"/>
      <c r="BD4760" s="331"/>
      <c r="BE4760" s="333"/>
      <c r="BF4760" s="330"/>
      <c r="BG4760" s="333"/>
      <c r="BH4760" s="1119"/>
      <c r="BI4760" s="319"/>
      <c r="BJ4760" s="319"/>
      <c r="BK4760" s="319"/>
      <c r="BL4760" s="319"/>
      <c r="BM4760" s="319"/>
      <c r="BN4760" s="319"/>
      <c r="BO4760" s="319"/>
      <c r="BP4760" s="953"/>
      <c r="BQ4760" s="319"/>
      <c r="BR4760" s="319"/>
      <c r="BS4760" s="330"/>
      <c r="BT4760" s="331"/>
      <c r="BU4760" s="920"/>
      <c r="BV4760" s="903"/>
      <c r="BW4760" s="908"/>
      <c r="BX4760" s="908"/>
      <c r="BY4760" s="331"/>
      <c r="BZ4760" s="331"/>
      <c r="CA4760" s="462"/>
      <c r="CB4760" s="319"/>
      <c r="CC4760" s="319"/>
      <c r="CD4760" s="319"/>
      <c r="CE4760" s="319"/>
      <c r="CF4760" s="319"/>
      <c r="CG4760" s="319"/>
      <c r="CH4760" s="318"/>
      <c r="CI4760" s="319"/>
      <c r="CJ4760" s="319"/>
      <c r="CK4760" s="342"/>
      <c r="CL4760" s="333"/>
      <c r="CM4760" s="1079"/>
      <c r="CN4760" s="1005"/>
      <c r="CO4760" s="1005"/>
      <c r="CP4760" s="1005"/>
    </row>
    <row r="4761">
      <c r="A4761" s="1257"/>
      <c r="B4761" s="1113"/>
      <c r="C4761" s="1107"/>
      <c r="D4761" s="103"/>
      <c r="E4761" s="1137"/>
      <c r="F4761" s="112"/>
      <c r="G4761" s="1110"/>
      <c r="H4761" s="1138"/>
      <c r="I4761" s="1138"/>
      <c r="J4761" s="1139"/>
      <c r="K4761" s="1111"/>
      <c r="L4761" s="1112"/>
      <c r="M4761" s="1113"/>
      <c r="N4761" s="110"/>
      <c r="O4761" s="1140"/>
      <c r="P4761" s="1115"/>
      <c r="Q4761" s="1116"/>
      <c r="R4761" s="1141"/>
      <c r="S4761" s="1113"/>
      <c r="T4761" s="1143"/>
      <c r="U4761" s="1108"/>
      <c r="V4761" s="1108"/>
      <c r="W4761" s="1108"/>
      <c r="X4761" s="1108"/>
      <c r="Y4761" s="1108"/>
      <c r="Z4761" s="1114"/>
      <c r="AA4761" s="1114"/>
      <c r="AB4761" s="1114"/>
      <c r="AC4761" s="1117"/>
      <c r="AD4761" s="1115"/>
      <c r="AE4761" s="1115"/>
      <c r="AF4761" s="1115"/>
      <c r="AG4761" s="1115"/>
      <c r="AH4761" s="1115"/>
      <c r="AI4761" s="1115"/>
      <c r="AJ4761" s="1117"/>
      <c r="AK4761" s="1118"/>
      <c r="AL4761" s="1115"/>
      <c r="AM4761" s="1115"/>
      <c r="AN4761" s="1115"/>
      <c r="AO4761" s="1115"/>
      <c r="AP4761" s="1115"/>
      <c r="AQ4761" s="1115"/>
      <c r="AR4761" s="1115"/>
      <c r="AS4761" s="1117"/>
      <c r="AT4761" s="1075"/>
      <c r="AU4761" s="1193"/>
      <c r="AV4761" s="330"/>
      <c r="AW4761" s="331"/>
      <c r="AX4761" s="331"/>
      <c r="AY4761" s="331"/>
      <c r="AZ4761" s="331"/>
      <c r="BA4761" s="331"/>
      <c r="BB4761" s="331"/>
      <c r="BC4761" s="331"/>
      <c r="BD4761" s="331"/>
      <c r="BE4761" s="333"/>
      <c r="BF4761" s="330"/>
      <c r="BG4761" s="333"/>
      <c r="BH4761" s="1119"/>
      <c r="BI4761" s="319"/>
      <c r="BJ4761" s="319"/>
      <c r="BK4761" s="319"/>
      <c r="BL4761" s="319"/>
      <c r="BM4761" s="319"/>
      <c r="BN4761" s="319"/>
      <c r="BO4761" s="319"/>
      <c r="BP4761" s="953"/>
      <c r="BQ4761" s="319"/>
      <c r="BR4761" s="319"/>
      <c r="BS4761" s="330"/>
      <c r="BT4761" s="331"/>
      <c r="BU4761" s="920"/>
      <c r="BV4761" s="903"/>
      <c r="BW4761" s="908"/>
      <c r="BX4761" s="908"/>
      <c r="BY4761" s="331"/>
      <c r="BZ4761" s="331"/>
      <c r="CA4761" s="462"/>
      <c r="CB4761" s="319"/>
      <c r="CC4761" s="319"/>
      <c r="CD4761" s="319"/>
      <c r="CE4761" s="319"/>
      <c r="CF4761" s="319"/>
      <c r="CG4761" s="319"/>
      <c r="CH4761" s="318"/>
      <c r="CI4761" s="319"/>
      <c r="CJ4761" s="319"/>
      <c r="CK4761" s="342"/>
      <c r="CL4761" s="333"/>
      <c r="CM4761" s="1079"/>
      <c r="CN4761" s="1005"/>
      <c r="CO4761" s="1005"/>
      <c r="CP4761" s="1005"/>
    </row>
    <row r="4762">
      <c r="A4762" s="1257"/>
      <c r="B4762" s="1113"/>
      <c r="C4762" s="1107"/>
      <c r="D4762" s="103"/>
      <c r="E4762" s="1137"/>
      <c r="F4762" s="112"/>
      <c r="G4762" s="1110"/>
      <c r="H4762" s="1138"/>
      <c r="I4762" s="1138"/>
      <c r="J4762" s="1139"/>
      <c r="K4762" s="1111"/>
      <c r="L4762" s="1112"/>
      <c r="M4762" s="1113"/>
      <c r="N4762" s="110"/>
      <c r="O4762" s="1140"/>
      <c r="P4762" s="1115"/>
      <c r="Q4762" s="1116"/>
      <c r="R4762" s="1141"/>
      <c r="S4762" s="1113"/>
      <c r="T4762" s="1143"/>
      <c r="U4762" s="1108"/>
      <c r="V4762" s="1108"/>
      <c r="W4762" s="1108"/>
      <c r="X4762" s="1108"/>
      <c r="Y4762" s="1108"/>
      <c r="Z4762" s="1114"/>
      <c r="AA4762" s="1114"/>
      <c r="AB4762" s="1114"/>
      <c r="AC4762" s="1117"/>
      <c r="AD4762" s="1115"/>
      <c r="AE4762" s="1115"/>
      <c r="AF4762" s="1115"/>
      <c r="AG4762" s="1115"/>
      <c r="AH4762" s="1115"/>
      <c r="AI4762" s="1115"/>
      <c r="AJ4762" s="1117"/>
      <c r="AK4762" s="1118"/>
      <c r="AL4762" s="1115"/>
      <c r="AM4762" s="1115"/>
      <c r="AN4762" s="1115"/>
      <c r="AO4762" s="1115"/>
      <c r="AP4762" s="1115"/>
      <c r="AQ4762" s="1115"/>
      <c r="AR4762" s="1115"/>
      <c r="AS4762" s="1117"/>
      <c r="AT4762" s="1075"/>
      <c r="AU4762" s="1193"/>
      <c r="AV4762" s="330"/>
      <c r="AW4762" s="331"/>
      <c r="AX4762" s="331"/>
      <c r="AY4762" s="331"/>
      <c r="AZ4762" s="331"/>
      <c r="BA4762" s="331"/>
      <c r="BB4762" s="331"/>
      <c r="BC4762" s="331"/>
      <c r="BD4762" s="331"/>
      <c r="BE4762" s="333"/>
      <c r="BF4762" s="330"/>
      <c r="BG4762" s="333"/>
      <c r="BH4762" s="1119"/>
      <c r="BI4762" s="319"/>
      <c r="BJ4762" s="319"/>
      <c r="BK4762" s="319"/>
      <c r="BL4762" s="319"/>
      <c r="BM4762" s="319"/>
      <c r="BN4762" s="319"/>
      <c r="BO4762" s="319"/>
      <c r="BP4762" s="953"/>
      <c r="BQ4762" s="319"/>
      <c r="BR4762" s="319"/>
      <c r="BS4762" s="330"/>
      <c r="BT4762" s="331"/>
      <c r="BU4762" s="920"/>
      <c r="BV4762" s="903"/>
      <c r="BW4762" s="908"/>
      <c r="BX4762" s="908"/>
      <c r="BY4762" s="331"/>
      <c r="BZ4762" s="331"/>
      <c r="CA4762" s="462"/>
      <c r="CB4762" s="319"/>
      <c r="CC4762" s="319"/>
      <c r="CD4762" s="319"/>
      <c r="CE4762" s="319"/>
      <c r="CF4762" s="319"/>
      <c r="CG4762" s="319"/>
      <c r="CH4762" s="318"/>
      <c r="CI4762" s="319"/>
      <c r="CJ4762" s="319"/>
      <c r="CK4762" s="342"/>
      <c r="CL4762" s="333"/>
      <c r="CM4762" s="1079"/>
      <c r="CN4762" s="1005"/>
      <c r="CO4762" s="1005"/>
      <c r="CP4762" s="1005"/>
    </row>
    <row r="4763">
      <c r="A4763" s="1257"/>
      <c r="B4763" s="1113"/>
      <c r="C4763" s="1107"/>
      <c r="D4763" s="103"/>
      <c r="E4763" s="1137"/>
      <c r="F4763" s="112"/>
      <c r="G4763" s="1110"/>
      <c r="H4763" s="1138"/>
      <c r="I4763" s="1138"/>
      <c r="J4763" s="1139"/>
      <c r="K4763" s="1111"/>
      <c r="L4763" s="1112"/>
      <c r="M4763" s="1113"/>
      <c r="N4763" s="110"/>
      <c r="O4763" s="1140"/>
      <c r="P4763" s="1115"/>
      <c r="Q4763" s="1116"/>
      <c r="R4763" s="1141"/>
      <c r="S4763" s="1113"/>
      <c r="T4763" s="1143"/>
      <c r="U4763" s="1108"/>
      <c r="V4763" s="1108"/>
      <c r="W4763" s="1108"/>
      <c r="X4763" s="1108"/>
      <c r="Y4763" s="1108"/>
      <c r="Z4763" s="1114"/>
      <c r="AA4763" s="1114"/>
      <c r="AB4763" s="1114"/>
      <c r="AC4763" s="1117"/>
      <c r="AD4763" s="1115"/>
      <c r="AE4763" s="1115"/>
      <c r="AF4763" s="1115"/>
      <c r="AG4763" s="1115"/>
      <c r="AH4763" s="1115"/>
      <c r="AI4763" s="1115"/>
      <c r="AJ4763" s="1117"/>
      <c r="AK4763" s="1118"/>
      <c r="AL4763" s="1115"/>
      <c r="AM4763" s="1115"/>
      <c r="AN4763" s="1115"/>
      <c r="AO4763" s="1115"/>
      <c r="AP4763" s="1115"/>
      <c r="AQ4763" s="1115"/>
      <c r="AR4763" s="1115"/>
      <c r="AS4763" s="1117"/>
      <c r="AT4763" s="1075"/>
      <c r="AU4763" s="1193"/>
      <c r="AV4763" s="330"/>
      <c r="AW4763" s="331"/>
      <c r="AX4763" s="331"/>
      <c r="AY4763" s="331"/>
      <c r="AZ4763" s="331"/>
      <c r="BA4763" s="331"/>
      <c r="BB4763" s="331"/>
      <c r="BC4763" s="331"/>
      <c r="BD4763" s="331"/>
      <c r="BE4763" s="333"/>
      <c r="BF4763" s="330"/>
      <c r="BG4763" s="333"/>
      <c r="BH4763" s="1119"/>
      <c r="BI4763" s="319"/>
      <c r="BJ4763" s="319"/>
      <c r="BK4763" s="319"/>
      <c r="BL4763" s="319"/>
      <c r="BM4763" s="319"/>
      <c r="BN4763" s="319"/>
      <c r="BO4763" s="319"/>
      <c r="BP4763" s="953"/>
      <c r="BQ4763" s="319"/>
      <c r="BR4763" s="319"/>
      <c r="BS4763" s="330"/>
      <c r="BT4763" s="331"/>
      <c r="BU4763" s="920"/>
      <c r="BV4763" s="903"/>
      <c r="BW4763" s="908"/>
      <c r="BX4763" s="908"/>
      <c r="BY4763" s="331"/>
      <c r="BZ4763" s="331"/>
      <c r="CA4763" s="462"/>
      <c r="CB4763" s="319"/>
      <c r="CC4763" s="319"/>
      <c r="CD4763" s="319"/>
      <c r="CE4763" s="319"/>
      <c r="CF4763" s="319"/>
      <c r="CG4763" s="319"/>
      <c r="CH4763" s="318"/>
      <c r="CI4763" s="319"/>
      <c r="CJ4763" s="319"/>
      <c r="CK4763" s="342"/>
      <c r="CL4763" s="333"/>
      <c r="CM4763" s="1079"/>
      <c r="CN4763" s="1005"/>
      <c r="CO4763" s="1005"/>
      <c r="CP4763" s="1005"/>
    </row>
    <row r="4764">
      <c r="A4764" s="1257"/>
      <c r="B4764" s="1113"/>
      <c r="C4764" s="1107"/>
      <c r="D4764" s="103"/>
      <c r="E4764" s="1137"/>
      <c r="F4764" s="112"/>
      <c r="G4764" s="1110"/>
      <c r="H4764" s="1138"/>
      <c r="I4764" s="1138"/>
      <c r="J4764" s="1139"/>
      <c r="K4764" s="1111"/>
      <c r="L4764" s="1112"/>
      <c r="M4764" s="1113"/>
      <c r="N4764" s="110"/>
      <c r="O4764" s="1140"/>
      <c r="P4764" s="1115"/>
      <c r="Q4764" s="1116"/>
      <c r="R4764" s="1141"/>
      <c r="S4764" s="1113"/>
      <c r="T4764" s="1143"/>
      <c r="U4764" s="1108"/>
      <c r="V4764" s="1108"/>
      <c r="W4764" s="1108"/>
      <c r="X4764" s="1108"/>
      <c r="Y4764" s="1108"/>
      <c r="Z4764" s="1114"/>
      <c r="AA4764" s="1114"/>
      <c r="AB4764" s="1114"/>
      <c r="AC4764" s="1117"/>
      <c r="AD4764" s="1115"/>
      <c r="AE4764" s="1115"/>
      <c r="AF4764" s="1115"/>
      <c r="AG4764" s="1115"/>
      <c r="AH4764" s="1115"/>
      <c r="AI4764" s="1115"/>
      <c r="AJ4764" s="1117"/>
      <c r="AK4764" s="1118"/>
      <c r="AL4764" s="1115"/>
      <c r="AM4764" s="1115"/>
      <c r="AN4764" s="1115"/>
      <c r="AO4764" s="1115"/>
      <c r="AP4764" s="1115"/>
      <c r="AQ4764" s="1115"/>
      <c r="AR4764" s="1115"/>
      <c r="AS4764" s="1117"/>
      <c r="AT4764" s="1075"/>
      <c r="AU4764" s="1193"/>
      <c r="AV4764" s="330"/>
      <c r="AW4764" s="331"/>
      <c r="AX4764" s="331"/>
      <c r="AY4764" s="331"/>
      <c r="AZ4764" s="331"/>
      <c r="BA4764" s="331"/>
      <c r="BB4764" s="331"/>
      <c r="BC4764" s="331"/>
      <c r="BD4764" s="331"/>
      <c r="BE4764" s="333"/>
      <c r="BF4764" s="330"/>
      <c r="BG4764" s="333"/>
      <c r="BH4764" s="1119"/>
      <c r="BI4764" s="319"/>
      <c r="BJ4764" s="319"/>
      <c r="BK4764" s="319"/>
      <c r="BL4764" s="319"/>
      <c r="BM4764" s="319"/>
      <c r="BN4764" s="319"/>
      <c r="BO4764" s="319"/>
      <c r="BP4764" s="953"/>
      <c r="BQ4764" s="319"/>
      <c r="BR4764" s="319"/>
      <c r="BS4764" s="330"/>
      <c r="BT4764" s="331"/>
      <c r="BU4764" s="920"/>
      <c r="BV4764" s="903"/>
      <c r="BW4764" s="908"/>
      <c r="BX4764" s="908"/>
      <c r="BY4764" s="331"/>
      <c r="BZ4764" s="331"/>
      <c r="CA4764" s="462"/>
      <c r="CB4764" s="319"/>
      <c r="CC4764" s="319"/>
      <c r="CD4764" s="319"/>
      <c r="CE4764" s="319"/>
      <c r="CF4764" s="319"/>
      <c r="CG4764" s="319"/>
      <c r="CH4764" s="318"/>
      <c r="CI4764" s="319"/>
      <c r="CJ4764" s="319"/>
      <c r="CK4764" s="342"/>
      <c r="CL4764" s="333"/>
      <c r="CM4764" s="1079"/>
      <c r="CN4764" s="1005"/>
      <c r="CO4764" s="1005"/>
      <c r="CP4764" s="1005"/>
    </row>
    <row r="4765">
      <c r="A4765" s="1257"/>
      <c r="B4765" s="1113"/>
      <c r="C4765" s="1107"/>
      <c r="D4765" s="103"/>
      <c r="E4765" s="1137"/>
      <c r="F4765" s="112"/>
      <c r="G4765" s="1110"/>
      <c r="H4765" s="1138"/>
      <c r="I4765" s="1138"/>
      <c r="J4765" s="1139"/>
      <c r="K4765" s="1111"/>
      <c r="L4765" s="1112"/>
      <c r="M4765" s="1113"/>
      <c r="N4765" s="110"/>
      <c r="O4765" s="1140"/>
      <c r="P4765" s="1115"/>
      <c r="Q4765" s="1116"/>
      <c r="R4765" s="1141"/>
      <c r="S4765" s="1113"/>
      <c r="T4765" s="1143"/>
      <c r="U4765" s="1108"/>
      <c r="V4765" s="1108"/>
      <c r="W4765" s="1108"/>
      <c r="X4765" s="1108"/>
      <c r="Y4765" s="1108"/>
      <c r="Z4765" s="1114"/>
      <c r="AA4765" s="1114"/>
      <c r="AB4765" s="1114"/>
      <c r="AC4765" s="1117"/>
      <c r="AD4765" s="1115"/>
      <c r="AE4765" s="1115"/>
      <c r="AF4765" s="1115"/>
      <c r="AG4765" s="1115"/>
      <c r="AH4765" s="1115"/>
      <c r="AI4765" s="1115"/>
      <c r="AJ4765" s="1117"/>
      <c r="AK4765" s="1118"/>
      <c r="AL4765" s="1115"/>
      <c r="AM4765" s="1115"/>
      <c r="AN4765" s="1115"/>
      <c r="AO4765" s="1115"/>
      <c r="AP4765" s="1115"/>
      <c r="AQ4765" s="1115"/>
      <c r="AR4765" s="1115"/>
      <c r="AS4765" s="1117"/>
      <c r="AT4765" s="1075"/>
      <c r="AU4765" s="1193"/>
      <c r="AV4765" s="330"/>
      <c r="AW4765" s="331"/>
      <c r="AX4765" s="331"/>
      <c r="AY4765" s="331"/>
      <c r="AZ4765" s="331"/>
      <c r="BA4765" s="331"/>
      <c r="BB4765" s="331"/>
      <c r="BC4765" s="331"/>
      <c r="BD4765" s="331"/>
      <c r="BE4765" s="333"/>
      <c r="BF4765" s="330"/>
      <c r="BG4765" s="333"/>
      <c r="BH4765" s="1119"/>
      <c r="BI4765" s="319"/>
      <c r="BJ4765" s="319"/>
      <c r="BK4765" s="319"/>
      <c r="BL4765" s="319"/>
      <c r="BM4765" s="319"/>
      <c r="BN4765" s="319"/>
      <c r="BO4765" s="319"/>
      <c r="BP4765" s="953"/>
      <c r="BQ4765" s="319"/>
      <c r="BR4765" s="319"/>
      <c r="BS4765" s="330"/>
      <c r="BT4765" s="331"/>
      <c r="BU4765" s="920"/>
      <c r="BV4765" s="903"/>
      <c r="BW4765" s="908"/>
      <c r="BX4765" s="908"/>
      <c r="BY4765" s="331"/>
      <c r="BZ4765" s="331"/>
      <c r="CA4765" s="462"/>
      <c r="CB4765" s="319"/>
      <c r="CC4765" s="319"/>
      <c r="CD4765" s="319"/>
      <c r="CE4765" s="319"/>
      <c r="CF4765" s="319"/>
      <c r="CG4765" s="319"/>
      <c r="CH4765" s="318"/>
      <c r="CI4765" s="319"/>
      <c r="CJ4765" s="319"/>
      <c r="CK4765" s="342"/>
      <c r="CL4765" s="333"/>
      <c r="CM4765" s="1079"/>
      <c r="CN4765" s="1005"/>
      <c r="CO4765" s="1005"/>
      <c r="CP4765" s="1005"/>
    </row>
    <row r="4766">
      <c r="A4766" s="1257"/>
      <c r="B4766" s="1113"/>
      <c r="C4766" s="1107"/>
      <c r="D4766" s="103"/>
      <c r="E4766" s="1137"/>
      <c r="F4766" s="112"/>
      <c r="G4766" s="1110"/>
      <c r="H4766" s="1138"/>
      <c r="I4766" s="1138"/>
      <c r="J4766" s="1139"/>
      <c r="K4766" s="1111"/>
      <c r="L4766" s="1112"/>
      <c r="M4766" s="1113"/>
      <c r="N4766" s="110"/>
      <c r="O4766" s="1140"/>
      <c r="P4766" s="1115"/>
      <c r="Q4766" s="1116"/>
      <c r="R4766" s="1141"/>
      <c r="S4766" s="1113"/>
      <c r="T4766" s="1143"/>
      <c r="U4766" s="1108"/>
      <c r="V4766" s="1108"/>
      <c r="W4766" s="1108"/>
      <c r="X4766" s="1108"/>
      <c r="Y4766" s="1108"/>
      <c r="Z4766" s="1114"/>
      <c r="AA4766" s="1114"/>
      <c r="AB4766" s="1114"/>
      <c r="AC4766" s="1117"/>
      <c r="AD4766" s="1115"/>
      <c r="AE4766" s="1115"/>
      <c r="AF4766" s="1115"/>
      <c r="AG4766" s="1115"/>
      <c r="AH4766" s="1115"/>
      <c r="AI4766" s="1115"/>
      <c r="AJ4766" s="1117"/>
      <c r="AK4766" s="1118"/>
      <c r="AL4766" s="1115"/>
      <c r="AM4766" s="1115"/>
      <c r="AN4766" s="1115"/>
      <c r="AO4766" s="1115"/>
      <c r="AP4766" s="1115"/>
      <c r="AQ4766" s="1115"/>
      <c r="AR4766" s="1115"/>
      <c r="AS4766" s="1117"/>
      <c r="AT4766" s="1075"/>
      <c r="AU4766" s="1193"/>
      <c r="AV4766" s="330"/>
      <c r="AW4766" s="331"/>
      <c r="AX4766" s="331"/>
      <c r="AY4766" s="331"/>
      <c r="AZ4766" s="331"/>
      <c r="BA4766" s="331"/>
      <c r="BB4766" s="331"/>
      <c r="BC4766" s="331"/>
      <c r="BD4766" s="331"/>
      <c r="BE4766" s="333"/>
      <c r="BF4766" s="330"/>
      <c r="BG4766" s="333"/>
      <c r="BH4766" s="1119"/>
      <c r="BI4766" s="319"/>
      <c r="BJ4766" s="319"/>
      <c r="BK4766" s="319"/>
      <c r="BL4766" s="319"/>
      <c r="BM4766" s="319"/>
      <c r="BN4766" s="319"/>
      <c r="BO4766" s="319"/>
      <c r="BP4766" s="953"/>
      <c r="BQ4766" s="319"/>
      <c r="BR4766" s="319"/>
      <c r="BS4766" s="330"/>
      <c r="BT4766" s="331"/>
      <c r="BU4766" s="920"/>
      <c r="BV4766" s="903"/>
      <c r="BW4766" s="908"/>
      <c r="BX4766" s="908"/>
      <c r="BY4766" s="331"/>
      <c r="BZ4766" s="331"/>
      <c r="CA4766" s="462"/>
      <c r="CB4766" s="319"/>
      <c r="CC4766" s="319"/>
      <c r="CD4766" s="319"/>
      <c r="CE4766" s="319"/>
      <c r="CF4766" s="319"/>
      <c r="CG4766" s="319"/>
      <c r="CH4766" s="318"/>
      <c r="CI4766" s="319"/>
      <c r="CJ4766" s="319"/>
      <c r="CK4766" s="342"/>
      <c r="CL4766" s="333"/>
      <c r="CM4766" s="1079"/>
      <c r="CN4766" s="1005"/>
      <c r="CO4766" s="1005"/>
      <c r="CP4766" s="1005"/>
    </row>
    <row r="4767">
      <c r="A4767" s="1257"/>
      <c r="B4767" s="1113"/>
      <c r="C4767" s="1107"/>
      <c r="D4767" s="103"/>
      <c r="E4767" s="1137"/>
      <c r="F4767" s="112"/>
      <c r="G4767" s="1110"/>
      <c r="H4767" s="1138"/>
      <c r="I4767" s="1138"/>
      <c r="J4767" s="1139"/>
      <c r="K4767" s="1111"/>
      <c r="L4767" s="1112"/>
      <c r="M4767" s="1113"/>
      <c r="N4767" s="110"/>
      <c r="O4767" s="1140"/>
      <c r="P4767" s="1115"/>
      <c r="Q4767" s="1116"/>
      <c r="R4767" s="1141"/>
      <c r="S4767" s="1113"/>
      <c r="T4767" s="1143"/>
      <c r="U4767" s="1108"/>
      <c r="V4767" s="1108"/>
      <c r="W4767" s="1108"/>
      <c r="X4767" s="1108"/>
      <c r="Y4767" s="1108"/>
      <c r="Z4767" s="1114"/>
      <c r="AA4767" s="1114"/>
      <c r="AB4767" s="1114"/>
      <c r="AC4767" s="1117"/>
      <c r="AD4767" s="1115"/>
      <c r="AE4767" s="1115"/>
      <c r="AF4767" s="1115"/>
      <c r="AG4767" s="1115"/>
      <c r="AH4767" s="1115"/>
      <c r="AI4767" s="1115"/>
      <c r="AJ4767" s="1117"/>
      <c r="AK4767" s="1118"/>
      <c r="AL4767" s="1115"/>
      <c r="AM4767" s="1115"/>
      <c r="AN4767" s="1115"/>
      <c r="AO4767" s="1115"/>
      <c r="AP4767" s="1115"/>
      <c r="AQ4767" s="1115"/>
      <c r="AR4767" s="1115"/>
      <c r="AS4767" s="1117"/>
      <c r="AT4767" s="1075"/>
      <c r="AU4767" s="1193"/>
      <c r="AV4767" s="330"/>
      <c r="AW4767" s="331"/>
      <c r="AX4767" s="331"/>
      <c r="AY4767" s="331"/>
      <c r="AZ4767" s="331"/>
      <c r="BA4767" s="331"/>
      <c r="BB4767" s="331"/>
      <c r="BC4767" s="331"/>
      <c r="BD4767" s="331"/>
      <c r="BE4767" s="333"/>
      <c r="BF4767" s="330"/>
      <c r="BG4767" s="333"/>
      <c r="BH4767" s="1119"/>
      <c r="BI4767" s="319"/>
      <c r="BJ4767" s="319"/>
      <c r="BK4767" s="319"/>
      <c r="BL4767" s="319"/>
      <c r="BM4767" s="319"/>
      <c r="BN4767" s="319"/>
      <c r="BO4767" s="319"/>
      <c r="BP4767" s="953"/>
      <c r="BQ4767" s="319"/>
      <c r="BR4767" s="319"/>
      <c r="BS4767" s="330"/>
      <c r="BT4767" s="331"/>
      <c r="BU4767" s="920"/>
      <c r="BV4767" s="903"/>
      <c r="BW4767" s="908"/>
      <c r="BX4767" s="908"/>
      <c r="BY4767" s="331"/>
      <c r="BZ4767" s="331"/>
      <c r="CA4767" s="462"/>
      <c r="CB4767" s="319"/>
      <c r="CC4767" s="319"/>
      <c r="CD4767" s="319"/>
      <c r="CE4767" s="319"/>
      <c r="CF4767" s="319"/>
      <c r="CG4767" s="319"/>
      <c r="CH4767" s="318"/>
      <c r="CI4767" s="319"/>
      <c r="CJ4767" s="319"/>
      <c r="CK4767" s="342"/>
      <c r="CL4767" s="333"/>
      <c r="CM4767" s="1079"/>
      <c r="CN4767" s="1005"/>
      <c r="CO4767" s="1005"/>
      <c r="CP4767" s="1005"/>
    </row>
    <row r="4768">
      <c r="A4768" s="1257"/>
      <c r="B4768" s="1113"/>
      <c r="C4768" s="1107"/>
      <c r="D4768" s="103"/>
      <c r="E4768" s="1137"/>
      <c r="F4768" s="112"/>
      <c r="G4768" s="1110"/>
      <c r="H4768" s="1138"/>
      <c r="I4768" s="1138"/>
      <c r="J4768" s="1139"/>
      <c r="K4768" s="1111"/>
      <c r="L4768" s="1112"/>
      <c r="M4768" s="1113"/>
      <c r="N4768" s="110"/>
      <c r="O4768" s="1140"/>
      <c r="P4768" s="1115"/>
      <c r="Q4768" s="1116"/>
      <c r="R4768" s="1141"/>
      <c r="S4768" s="1113"/>
      <c r="T4768" s="1143"/>
      <c r="U4768" s="1108"/>
      <c r="V4768" s="1108"/>
      <c r="W4768" s="1108"/>
      <c r="X4768" s="1108"/>
      <c r="Y4768" s="1108"/>
      <c r="Z4768" s="1114"/>
      <c r="AA4768" s="1114"/>
      <c r="AB4768" s="1114"/>
      <c r="AC4768" s="1117"/>
      <c r="AD4768" s="1115"/>
      <c r="AE4768" s="1115"/>
      <c r="AF4768" s="1115"/>
      <c r="AG4768" s="1115"/>
      <c r="AH4768" s="1115"/>
      <c r="AI4768" s="1115"/>
      <c r="AJ4768" s="1117"/>
      <c r="AK4768" s="1118"/>
      <c r="AL4768" s="1115"/>
      <c r="AM4768" s="1115"/>
      <c r="AN4768" s="1115"/>
      <c r="AO4768" s="1115"/>
      <c r="AP4768" s="1115"/>
      <c r="AQ4768" s="1115"/>
      <c r="AR4768" s="1115"/>
      <c r="AS4768" s="1117"/>
      <c r="AT4768" s="1075"/>
      <c r="AU4768" s="1193"/>
      <c r="AV4768" s="330"/>
      <c r="AW4768" s="331"/>
      <c r="AX4768" s="331"/>
      <c r="AY4768" s="331"/>
      <c r="AZ4768" s="331"/>
      <c r="BA4768" s="331"/>
      <c r="BB4768" s="331"/>
      <c r="BC4768" s="331"/>
      <c r="BD4768" s="331"/>
      <c r="BE4768" s="333"/>
      <c r="BF4768" s="330"/>
      <c r="BG4768" s="333"/>
      <c r="BH4768" s="1119"/>
      <c r="BI4768" s="319"/>
      <c r="BJ4768" s="319"/>
      <c r="BK4768" s="319"/>
      <c r="BL4768" s="319"/>
      <c r="BM4768" s="319"/>
      <c r="BN4768" s="319"/>
      <c r="BO4768" s="319"/>
      <c r="BP4768" s="953"/>
      <c r="BQ4768" s="319"/>
      <c r="BR4768" s="319"/>
      <c r="BS4768" s="330"/>
      <c r="BT4768" s="331"/>
      <c r="BU4768" s="920"/>
      <c r="BV4768" s="903"/>
      <c r="BW4768" s="908"/>
      <c r="BX4768" s="908"/>
      <c r="BY4768" s="331"/>
      <c r="BZ4768" s="331"/>
      <c r="CA4768" s="462"/>
      <c r="CB4768" s="319"/>
      <c r="CC4768" s="319"/>
      <c r="CD4768" s="319"/>
      <c r="CE4768" s="319"/>
      <c r="CF4768" s="319"/>
      <c r="CG4768" s="319"/>
      <c r="CH4768" s="318"/>
      <c r="CI4768" s="319"/>
      <c r="CJ4768" s="319"/>
      <c r="CK4768" s="342"/>
      <c r="CL4768" s="333"/>
      <c r="CM4768" s="1079"/>
      <c r="CN4768" s="1005"/>
      <c r="CO4768" s="1005"/>
      <c r="CP4768" s="1005"/>
    </row>
    <row r="4769">
      <c r="A4769" s="1257"/>
      <c r="B4769" s="1113"/>
      <c r="C4769" s="1107"/>
      <c r="D4769" s="103"/>
      <c r="E4769" s="1137"/>
      <c r="F4769" s="112"/>
      <c r="G4769" s="1110"/>
      <c r="H4769" s="1138"/>
      <c r="I4769" s="1138"/>
      <c r="J4769" s="1139"/>
      <c r="K4769" s="1111"/>
      <c r="L4769" s="1112"/>
      <c r="M4769" s="1113"/>
      <c r="N4769" s="110"/>
      <c r="O4769" s="1140"/>
      <c r="P4769" s="1115"/>
      <c r="Q4769" s="1116"/>
      <c r="R4769" s="1141"/>
      <c r="S4769" s="1113"/>
      <c r="T4769" s="1143"/>
      <c r="U4769" s="1108"/>
      <c r="V4769" s="1108"/>
      <c r="W4769" s="1108"/>
      <c r="X4769" s="1108"/>
      <c r="Y4769" s="1108"/>
      <c r="Z4769" s="1114"/>
      <c r="AA4769" s="1114"/>
      <c r="AB4769" s="1114"/>
      <c r="AC4769" s="1117"/>
      <c r="AD4769" s="1115"/>
      <c r="AE4769" s="1115"/>
      <c r="AF4769" s="1115"/>
      <c r="AG4769" s="1115"/>
      <c r="AH4769" s="1115"/>
      <c r="AI4769" s="1115"/>
      <c r="AJ4769" s="1117"/>
      <c r="AK4769" s="1118"/>
      <c r="AL4769" s="1115"/>
      <c r="AM4769" s="1115"/>
      <c r="AN4769" s="1115"/>
      <c r="AO4769" s="1115"/>
      <c r="AP4769" s="1115"/>
      <c r="AQ4769" s="1115"/>
      <c r="AR4769" s="1115"/>
      <c r="AS4769" s="1117"/>
      <c r="AT4769" s="1075"/>
      <c r="AU4769" s="1193"/>
      <c r="AV4769" s="330"/>
      <c r="AW4769" s="331"/>
      <c r="AX4769" s="331"/>
      <c r="AY4769" s="331"/>
      <c r="AZ4769" s="331"/>
      <c r="BA4769" s="331"/>
      <c r="BB4769" s="331"/>
      <c r="BC4769" s="331"/>
      <c r="BD4769" s="331"/>
      <c r="BE4769" s="333"/>
      <c r="BF4769" s="330"/>
      <c r="BG4769" s="333"/>
      <c r="BH4769" s="1119"/>
      <c r="BI4769" s="319"/>
      <c r="BJ4769" s="319"/>
      <c r="BK4769" s="319"/>
      <c r="BL4769" s="319"/>
      <c r="BM4769" s="319"/>
      <c r="BN4769" s="319"/>
      <c r="BO4769" s="319"/>
      <c r="BP4769" s="953"/>
      <c r="BQ4769" s="319"/>
      <c r="BR4769" s="319"/>
      <c r="BS4769" s="330"/>
      <c r="BT4769" s="331"/>
      <c r="BU4769" s="920"/>
      <c r="BV4769" s="903"/>
      <c r="BW4769" s="908"/>
      <c r="BX4769" s="908"/>
      <c r="BY4769" s="331"/>
      <c r="BZ4769" s="331"/>
      <c r="CA4769" s="462"/>
      <c r="CB4769" s="319"/>
      <c r="CC4769" s="319"/>
      <c r="CD4769" s="319"/>
      <c r="CE4769" s="319"/>
      <c r="CF4769" s="319"/>
      <c r="CG4769" s="319"/>
      <c r="CH4769" s="318"/>
      <c r="CI4769" s="319"/>
      <c r="CJ4769" s="319"/>
      <c r="CK4769" s="342"/>
      <c r="CL4769" s="333"/>
      <c r="CM4769" s="1079"/>
      <c r="CN4769" s="1005"/>
      <c r="CO4769" s="1005"/>
      <c r="CP4769" s="1005"/>
    </row>
    <row r="4770">
      <c r="A4770" s="1257"/>
      <c r="B4770" s="1113"/>
      <c r="C4770" s="1107"/>
      <c r="D4770" s="103"/>
      <c r="E4770" s="1137"/>
      <c r="F4770" s="112"/>
      <c r="G4770" s="1110"/>
      <c r="H4770" s="1138"/>
      <c r="I4770" s="1138"/>
      <c r="J4770" s="1139"/>
      <c r="K4770" s="1111"/>
      <c r="L4770" s="1112"/>
      <c r="M4770" s="1113"/>
      <c r="N4770" s="110"/>
      <c r="O4770" s="1140"/>
      <c r="P4770" s="1115"/>
      <c r="Q4770" s="1116"/>
      <c r="R4770" s="1141"/>
      <c r="S4770" s="1113"/>
      <c r="T4770" s="1143"/>
      <c r="U4770" s="1108"/>
      <c r="V4770" s="1108"/>
      <c r="W4770" s="1108"/>
      <c r="X4770" s="1108"/>
      <c r="Y4770" s="1108"/>
      <c r="Z4770" s="1114"/>
      <c r="AA4770" s="1114"/>
      <c r="AB4770" s="1114"/>
      <c r="AC4770" s="1117"/>
      <c r="AD4770" s="1115"/>
      <c r="AE4770" s="1115"/>
      <c r="AF4770" s="1115"/>
      <c r="AG4770" s="1115"/>
      <c r="AH4770" s="1115"/>
      <c r="AI4770" s="1115"/>
      <c r="AJ4770" s="1117"/>
      <c r="AK4770" s="1118"/>
      <c r="AL4770" s="1115"/>
      <c r="AM4770" s="1115"/>
      <c r="AN4770" s="1115"/>
      <c r="AO4770" s="1115"/>
      <c r="AP4770" s="1115"/>
      <c r="AQ4770" s="1115"/>
      <c r="AR4770" s="1115"/>
      <c r="AS4770" s="1117"/>
      <c r="AT4770" s="1075"/>
      <c r="AU4770" s="1193"/>
      <c r="AV4770" s="330"/>
      <c r="AW4770" s="331"/>
      <c r="AX4770" s="331"/>
      <c r="AY4770" s="331"/>
      <c r="AZ4770" s="331"/>
      <c r="BA4770" s="331"/>
      <c r="BB4770" s="331"/>
      <c r="BC4770" s="331"/>
      <c r="BD4770" s="331"/>
      <c r="BE4770" s="333"/>
      <c r="BF4770" s="330"/>
      <c r="BG4770" s="333"/>
      <c r="BH4770" s="1119"/>
      <c r="BI4770" s="319"/>
      <c r="BJ4770" s="319"/>
      <c r="BK4770" s="319"/>
      <c r="BL4770" s="319"/>
      <c r="BM4770" s="319"/>
      <c r="BN4770" s="319"/>
      <c r="BO4770" s="319"/>
      <c r="BP4770" s="953"/>
      <c r="BQ4770" s="319"/>
      <c r="BR4770" s="319"/>
      <c r="BS4770" s="330"/>
      <c r="BT4770" s="331"/>
      <c r="BU4770" s="920"/>
      <c r="BV4770" s="903"/>
      <c r="BW4770" s="908"/>
      <c r="BX4770" s="908"/>
      <c r="BY4770" s="331"/>
      <c r="BZ4770" s="331"/>
      <c r="CA4770" s="462"/>
      <c r="CB4770" s="319"/>
      <c r="CC4770" s="319"/>
      <c r="CD4770" s="319"/>
      <c r="CE4770" s="319"/>
      <c r="CF4770" s="319"/>
      <c r="CG4770" s="319"/>
      <c r="CH4770" s="318"/>
      <c r="CI4770" s="319"/>
      <c r="CJ4770" s="319"/>
      <c r="CK4770" s="342"/>
      <c r="CL4770" s="333"/>
      <c r="CM4770" s="1079"/>
      <c r="CN4770" s="1005"/>
      <c r="CO4770" s="1005"/>
      <c r="CP4770" s="1005"/>
    </row>
    <row r="4771">
      <c r="A4771" s="1257"/>
      <c r="B4771" s="1113"/>
      <c r="C4771" s="1107"/>
      <c r="D4771" s="103"/>
      <c r="E4771" s="1137"/>
      <c r="F4771" s="112"/>
      <c r="G4771" s="1110"/>
      <c r="H4771" s="1138"/>
      <c r="I4771" s="1138"/>
      <c r="J4771" s="1139"/>
      <c r="K4771" s="1111"/>
      <c r="L4771" s="1112"/>
      <c r="M4771" s="1113"/>
      <c r="N4771" s="110"/>
      <c r="O4771" s="1140"/>
      <c r="P4771" s="1115"/>
      <c r="Q4771" s="1116"/>
      <c r="R4771" s="1141"/>
      <c r="S4771" s="1113"/>
      <c r="T4771" s="1143"/>
      <c r="U4771" s="1108"/>
      <c r="V4771" s="1108"/>
      <c r="W4771" s="1108"/>
      <c r="X4771" s="1108"/>
      <c r="Y4771" s="1108"/>
      <c r="Z4771" s="1114"/>
      <c r="AA4771" s="1114"/>
      <c r="AB4771" s="1114"/>
      <c r="AC4771" s="1117"/>
      <c r="AD4771" s="1115"/>
      <c r="AE4771" s="1115"/>
      <c r="AF4771" s="1115"/>
      <c r="AG4771" s="1115"/>
      <c r="AH4771" s="1115"/>
      <c r="AI4771" s="1115"/>
      <c r="AJ4771" s="1117"/>
      <c r="AK4771" s="1118"/>
      <c r="AL4771" s="1115"/>
      <c r="AM4771" s="1115"/>
      <c r="AN4771" s="1115"/>
      <c r="AO4771" s="1115"/>
      <c r="AP4771" s="1115"/>
      <c r="AQ4771" s="1115"/>
      <c r="AR4771" s="1115"/>
      <c r="AS4771" s="1117"/>
      <c r="AT4771" s="1075"/>
      <c r="AU4771" s="1193"/>
      <c r="AV4771" s="330"/>
      <c r="AW4771" s="331"/>
      <c r="AX4771" s="331"/>
      <c r="AY4771" s="331"/>
      <c r="AZ4771" s="331"/>
      <c r="BA4771" s="331"/>
      <c r="BB4771" s="331"/>
      <c r="BC4771" s="331"/>
      <c r="BD4771" s="331"/>
      <c r="BE4771" s="333"/>
      <c r="BF4771" s="330"/>
      <c r="BG4771" s="333"/>
      <c r="BH4771" s="1119"/>
      <c r="BI4771" s="319"/>
      <c r="BJ4771" s="319"/>
      <c r="BK4771" s="319"/>
      <c r="BL4771" s="319"/>
      <c r="BM4771" s="319"/>
      <c r="BN4771" s="319"/>
      <c r="BO4771" s="319"/>
      <c r="BP4771" s="953"/>
      <c r="BQ4771" s="319"/>
      <c r="BR4771" s="319"/>
      <c r="BS4771" s="330"/>
      <c r="BT4771" s="331"/>
      <c r="BU4771" s="920"/>
      <c r="BV4771" s="903"/>
      <c r="BW4771" s="908"/>
      <c r="BX4771" s="908"/>
      <c r="BY4771" s="331"/>
      <c r="BZ4771" s="331"/>
      <c r="CA4771" s="462"/>
      <c r="CB4771" s="319"/>
      <c r="CC4771" s="319"/>
      <c r="CD4771" s="319"/>
      <c r="CE4771" s="319"/>
      <c r="CF4771" s="319"/>
      <c r="CG4771" s="319"/>
      <c r="CH4771" s="318"/>
      <c r="CI4771" s="319"/>
      <c r="CJ4771" s="319"/>
      <c r="CK4771" s="342"/>
      <c r="CL4771" s="333"/>
      <c r="CM4771" s="1079"/>
      <c r="CN4771" s="1005"/>
      <c r="CO4771" s="1005"/>
      <c r="CP4771" s="1005"/>
    </row>
    <row r="4772">
      <c r="A4772" s="1257"/>
      <c r="B4772" s="1113"/>
      <c r="C4772" s="1107"/>
      <c r="D4772" s="103"/>
      <c r="E4772" s="1137"/>
      <c r="F4772" s="112"/>
      <c r="G4772" s="1110"/>
      <c r="H4772" s="1138"/>
      <c r="I4772" s="1138"/>
      <c r="J4772" s="1139"/>
      <c r="K4772" s="1111"/>
      <c r="L4772" s="1112"/>
      <c r="M4772" s="1113"/>
      <c r="N4772" s="110"/>
      <c r="O4772" s="1140"/>
      <c r="P4772" s="1115"/>
      <c r="Q4772" s="1116"/>
      <c r="R4772" s="1141"/>
      <c r="S4772" s="1113"/>
      <c r="T4772" s="1143"/>
      <c r="U4772" s="1108"/>
      <c r="V4772" s="1108"/>
      <c r="W4772" s="1108"/>
      <c r="X4772" s="1108"/>
      <c r="Y4772" s="1108"/>
      <c r="Z4772" s="1114"/>
      <c r="AA4772" s="1114"/>
      <c r="AB4772" s="1114"/>
      <c r="AC4772" s="1117"/>
      <c r="AD4772" s="1115"/>
      <c r="AE4772" s="1115"/>
      <c r="AF4772" s="1115"/>
      <c r="AG4772" s="1115"/>
      <c r="AH4772" s="1115"/>
      <c r="AI4772" s="1115"/>
      <c r="AJ4772" s="1117"/>
      <c r="AK4772" s="1118"/>
      <c r="AL4772" s="1115"/>
      <c r="AM4772" s="1115"/>
      <c r="AN4772" s="1115"/>
      <c r="AO4772" s="1115"/>
      <c r="AP4772" s="1115"/>
      <c r="AQ4772" s="1115"/>
      <c r="AR4772" s="1115"/>
      <c r="AS4772" s="1117"/>
      <c r="AT4772" s="1075"/>
      <c r="AU4772" s="1193"/>
      <c r="AV4772" s="330"/>
      <c r="AW4772" s="331"/>
      <c r="AX4772" s="331"/>
      <c r="AY4772" s="331"/>
      <c r="AZ4772" s="331"/>
      <c r="BA4772" s="331"/>
      <c r="BB4772" s="331"/>
      <c r="BC4772" s="331"/>
      <c r="BD4772" s="331"/>
      <c r="BE4772" s="333"/>
      <c r="BF4772" s="330"/>
      <c r="BG4772" s="333"/>
      <c r="BH4772" s="1119"/>
      <c r="BI4772" s="319"/>
      <c r="BJ4772" s="319"/>
      <c r="BK4772" s="319"/>
      <c r="BL4772" s="319"/>
      <c r="BM4772" s="319"/>
      <c r="BN4772" s="319"/>
      <c r="BO4772" s="319"/>
      <c r="BP4772" s="953"/>
      <c r="BQ4772" s="319"/>
      <c r="BR4772" s="319"/>
      <c r="BS4772" s="330"/>
      <c r="BT4772" s="331"/>
      <c r="BU4772" s="920"/>
      <c r="BV4772" s="903"/>
      <c r="BW4772" s="908"/>
      <c r="BX4772" s="908"/>
      <c r="BY4772" s="331"/>
      <c r="BZ4772" s="331"/>
      <c r="CA4772" s="462"/>
      <c r="CB4772" s="319"/>
      <c r="CC4772" s="319"/>
      <c r="CD4772" s="319"/>
      <c r="CE4772" s="319"/>
      <c r="CF4772" s="319"/>
      <c r="CG4772" s="319"/>
      <c r="CH4772" s="318"/>
      <c r="CI4772" s="319"/>
      <c r="CJ4772" s="319"/>
      <c r="CK4772" s="342"/>
      <c r="CL4772" s="333"/>
      <c r="CM4772" s="1079"/>
      <c r="CN4772" s="1005"/>
      <c r="CO4772" s="1005"/>
      <c r="CP4772" s="1005"/>
    </row>
    <row r="4773">
      <c r="A4773" s="1257"/>
      <c r="B4773" s="1113"/>
      <c r="C4773" s="1107"/>
      <c r="D4773" s="103"/>
      <c r="E4773" s="1137"/>
      <c r="F4773" s="112"/>
      <c r="G4773" s="1110"/>
      <c r="H4773" s="1138"/>
      <c r="I4773" s="1138"/>
      <c r="J4773" s="1139"/>
      <c r="K4773" s="1111"/>
      <c r="L4773" s="1112"/>
      <c r="M4773" s="1113"/>
      <c r="N4773" s="110"/>
      <c r="O4773" s="1140"/>
      <c r="P4773" s="1115"/>
      <c r="Q4773" s="1116"/>
      <c r="R4773" s="1141"/>
      <c r="S4773" s="1113"/>
      <c r="T4773" s="1143"/>
      <c r="U4773" s="1108"/>
      <c r="V4773" s="1108"/>
      <c r="W4773" s="1108"/>
      <c r="X4773" s="1108"/>
      <c r="Y4773" s="1108"/>
      <c r="Z4773" s="1114"/>
      <c r="AA4773" s="1114"/>
      <c r="AB4773" s="1114"/>
      <c r="AC4773" s="1117"/>
      <c r="AD4773" s="1115"/>
      <c r="AE4773" s="1115"/>
      <c r="AF4773" s="1115"/>
      <c r="AG4773" s="1115"/>
      <c r="AH4773" s="1115"/>
      <c r="AI4773" s="1115"/>
      <c r="AJ4773" s="1117"/>
      <c r="AK4773" s="1118"/>
      <c r="AL4773" s="1115"/>
      <c r="AM4773" s="1115"/>
      <c r="AN4773" s="1115"/>
      <c r="AO4773" s="1115"/>
      <c r="AP4773" s="1115"/>
      <c r="AQ4773" s="1115"/>
      <c r="AR4773" s="1115"/>
      <c r="AS4773" s="1117"/>
      <c r="AT4773" s="1075"/>
      <c r="AU4773" s="1193"/>
      <c r="AV4773" s="330"/>
      <c r="AW4773" s="331"/>
      <c r="AX4773" s="331"/>
      <c r="AY4773" s="331"/>
      <c r="AZ4773" s="331"/>
      <c r="BA4773" s="331"/>
      <c r="BB4773" s="331"/>
      <c r="BC4773" s="331"/>
      <c r="BD4773" s="331"/>
      <c r="BE4773" s="333"/>
      <c r="BF4773" s="330"/>
      <c r="BG4773" s="333"/>
      <c r="BH4773" s="1119"/>
      <c r="BI4773" s="319"/>
      <c r="BJ4773" s="319"/>
      <c r="BK4773" s="319"/>
      <c r="BL4773" s="319"/>
      <c r="BM4773" s="319"/>
      <c r="BN4773" s="319"/>
      <c r="BO4773" s="319"/>
      <c r="BP4773" s="953"/>
      <c r="BQ4773" s="319"/>
      <c r="BR4773" s="319"/>
      <c r="BS4773" s="330"/>
      <c r="BT4773" s="331"/>
      <c r="BU4773" s="920"/>
      <c r="BV4773" s="903"/>
      <c r="BW4773" s="908"/>
      <c r="BX4773" s="908"/>
      <c r="BY4773" s="331"/>
      <c r="BZ4773" s="331"/>
      <c r="CA4773" s="462"/>
      <c r="CB4773" s="319"/>
      <c r="CC4773" s="319"/>
      <c r="CD4773" s="319"/>
      <c r="CE4773" s="319"/>
      <c r="CF4773" s="319"/>
      <c r="CG4773" s="319"/>
      <c r="CH4773" s="318"/>
      <c r="CI4773" s="319"/>
      <c r="CJ4773" s="319"/>
      <c r="CK4773" s="342"/>
      <c r="CL4773" s="333"/>
      <c r="CM4773" s="1079"/>
      <c r="CN4773" s="1005"/>
      <c r="CO4773" s="1005"/>
      <c r="CP4773" s="1005"/>
    </row>
    <row r="4774">
      <c r="A4774" s="1257"/>
      <c r="B4774" s="1113"/>
      <c r="C4774" s="1107"/>
      <c r="D4774" s="103"/>
      <c r="E4774" s="1137"/>
      <c r="F4774" s="112"/>
      <c r="G4774" s="1110"/>
      <c r="H4774" s="1138"/>
      <c r="I4774" s="1138"/>
      <c r="J4774" s="1139"/>
      <c r="K4774" s="1111"/>
      <c r="L4774" s="1112"/>
      <c r="M4774" s="1113"/>
      <c r="N4774" s="110"/>
      <c r="O4774" s="1140"/>
      <c r="P4774" s="1115"/>
      <c r="Q4774" s="1116"/>
      <c r="R4774" s="1141"/>
      <c r="S4774" s="1113"/>
      <c r="T4774" s="1143"/>
      <c r="U4774" s="1108"/>
      <c r="V4774" s="1108"/>
      <c r="W4774" s="1108"/>
      <c r="X4774" s="1108"/>
      <c r="Y4774" s="1108"/>
      <c r="Z4774" s="1114"/>
      <c r="AA4774" s="1114"/>
      <c r="AB4774" s="1114"/>
      <c r="AC4774" s="1117"/>
      <c r="AD4774" s="1115"/>
      <c r="AE4774" s="1115"/>
      <c r="AF4774" s="1115"/>
      <c r="AG4774" s="1115"/>
      <c r="AH4774" s="1115"/>
      <c r="AI4774" s="1115"/>
      <c r="AJ4774" s="1117"/>
      <c r="AK4774" s="1118"/>
      <c r="AL4774" s="1115"/>
      <c r="AM4774" s="1115"/>
      <c r="AN4774" s="1115"/>
      <c r="AO4774" s="1115"/>
      <c r="AP4774" s="1115"/>
      <c r="AQ4774" s="1115"/>
      <c r="AR4774" s="1115"/>
      <c r="AS4774" s="1117"/>
      <c r="AT4774" s="1075"/>
      <c r="AU4774" s="1193"/>
      <c r="AV4774" s="330"/>
      <c r="AW4774" s="331"/>
      <c r="AX4774" s="331"/>
      <c r="AY4774" s="331"/>
      <c r="AZ4774" s="331"/>
      <c r="BA4774" s="331"/>
      <c r="BB4774" s="331"/>
      <c r="BC4774" s="331"/>
      <c r="BD4774" s="331"/>
      <c r="BE4774" s="333"/>
      <c r="BF4774" s="330"/>
      <c r="BG4774" s="333"/>
      <c r="BH4774" s="1119"/>
      <c r="BI4774" s="319"/>
      <c r="BJ4774" s="319"/>
      <c r="BK4774" s="319"/>
      <c r="BL4774" s="319"/>
      <c r="BM4774" s="319"/>
      <c r="BN4774" s="319"/>
      <c r="BO4774" s="319"/>
      <c r="BP4774" s="953"/>
      <c r="BQ4774" s="319"/>
      <c r="BR4774" s="319"/>
      <c r="BS4774" s="330"/>
      <c r="BT4774" s="331"/>
      <c r="BU4774" s="920"/>
      <c r="BV4774" s="903"/>
      <c r="BW4774" s="908"/>
      <c r="BX4774" s="908"/>
      <c r="BY4774" s="331"/>
      <c r="BZ4774" s="331"/>
      <c r="CA4774" s="462"/>
      <c r="CB4774" s="319"/>
      <c r="CC4774" s="319"/>
      <c r="CD4774" s="319"/>
      <c r="CE4774" s="319"/>
      <c r="CF4774" s="319"/>
      <c r="CG4774" s="319"/>
      <c r="CH4774" s="318"/>
      <c r="CI4774" s="319"/>
      <c r="CJ4774" s="319"/>
      <c r="CK4774" s="342"/>
      <c r="CL4774" s="333"/>
      <c r="CM4774" s="1079"/>
      <c r="CN4774" s="1005"/>
      <c r="CO4774" s="1005"/>
      <c r="CP4774" s="1005"/>
    </row>
    <row r="4775">
      <c r="A4775" s="1257"/>
      <c r="B4775" s="1113"/>
      <c r="C4775" s="1107"/>
      <c r="D4775" s="103"/>
      <c r="E4775" s="1137"/>
      <c r="F4775" s="112"/>
      <c r="G4775" s="1110"/>
      <c r="H4775" s="1138"/>
      <c r="I4775" s="1138"/>
      <c r="J4775" s="1139"/>
      <c r="K4775" s="1111"/>
      <c r="L4775" s="1112"/>
      <c r="M4775" s="1113"/>
      <c r="N4775" s="110"/>
      <c r="O4775" s="1140"/>
      <c r="P4775" s="1115"/>
      <c r="Q4775" s="1116"/>
      <c r="R4775" s="1141"/>
      <c r="S4775" s="1113"/>
      <c r="T4775" s="1143"/>
      <c r="U4775" s="1108"/>
      <c r="V4775" s="1108"/>
      <c r="W4775" s="1108"/>
      <c r="X4775" s="1108"/>
      <c r="Y4775" s="1108"/>
      <c r="Z4775" s="1114"/>
      <c r="AA4775" s="1114"/>
      <c r="AB4775" s="1114"/>
      <c r="AC4775" s="1117"/>
      <c r="AD4775" s="1115"/>
      <c r="AE4775" s="1115"/>
      <c r="AF4775" s="1115"/>
      <c r="AG4775" s="1115"/>
      <c r="AH4775" s="1115"/>
      <c r="AI4775" s="1115"/>
      <c r="AJ4775" s="1117"/>
      <c r="AK4775" s="1118"/>
      <c r="AL4775" s="1115"/>
      <c r="AM4775" s="1115"/>
      <c r="AN4775" s="1115"/>
      <c r="AO4775" s="1115"/>
      <c r="AP4775" s="1115"/>
      <c r="AQ4775" s="1115"/>
      <c r="AR4775" s="1115"/>
      <c r="AS4775" s="1117"/>
      <c r="AT4775" s="1075"/>
      <c r="AU4775" s="1193"/>
      <c r="AV4775" s="330"/>
      <c r="AW4775" s="331"/>
      <c r="AX4775" s="331"/>
      <c r="AY4775" s="331"/>
      <c r="AZ4775" s="331"/>
      <c r="BA4775" s="331"/>
      <c r="BB4775" s="331"/>
      <c r="BC4775" s="331"/>
      <c r="BD4775" s="331"/>
      <c r="BE4775" s="333"/>
      <c r="BF4775" s="330"/>
      <c r="BG4775" s="333"/>
      <c r="BH4775" s="1119"/>
      <c r="BI4775" s="319"/>
      <c r="BJ4775" s="319"/>
      <c r="BK4775" s="319"/>
      <c r="BL4775" s="319"/>
      <c r="BM4775" s="319"/>
      <c r="BN4775" s="319"/>
      <c r="BO4775" s="319"/>
      <c r="BP4775" s="953"/>
      <c r="BQ4775" s="319"/>
      <c r="BR4775" s="319"/>
      <c r="BS4775" s="330"/>
      <c r="BT4775" s="331"/>
      <c r="BU4775" s="920"/>
      <c r="BV4775" s="903"/>
      <c r="BW4775" s="908"/>
      <c r="BX4775" s="908"/>
      <c r="BY4775" s="331"/>
      <c r="BZ4775" s="331"/>
      <c r="CA4775" s="462"/>
      <c r="CB4775" s="319"/>
      <c r="CC4775" s="319"/>
      <c r="CD4775" s="319"/>
      <c r="CE4775" s="319"/>
      <c r="CF4775" s="319"/>
      <c r="CG4775" s="319"/>
      <c r="CH4775" s="318"/>
      <c r="CI4775" s="319"/>
      <c r="CJ4775" s="319"/>
      <c r="CK4775" s="342"/>
      <c r="CL4775" s="333"/>
      <c r="CM4775" s="1079"/>
      <c r="CN4775" s="1005"/>
      <c r="CO4775" s="1005"/>
      <c r="CP4775" s="1005"/>
    </row>
    <row r="4776">
      <c r="A4776" s="1257"/>
      <c r="B4776" s="1113"/>
      <c r="C4776" s="1107"/>
      <c r="D4776" s="103"/>
      <c r="E4776" s="1137"/>
      <c r="F4776" s="112"/>
      <c r="G4776" s="1110"/>
      <c r="H4776" s="1138"/>
      <c r="I4776" s="1138"/>
      <c r="J4776" s="1139"/>
      <c r="K4776" s="1111"/>
      <c r="L4776" s="1112"/>
      <c r="M4776" s="1113"/>
      <c r="N4776" s="110"/>
      <c r="O4776" s="1140"/>
      <c r="P4776" s="1115"/>
      <c r="Q4776" s="1116"/>
      <c r="R4776" s="1141"/>
      <c r="S4776" s="1113"/>
      <c r="T4776" s="1143"/>
      <c r="U4776" s="1108"/>
      <c r="V4776" s="1108"/>
      <c r="W4776" s="1108"/>
      <c r="X4776" s="1108"/>
      <c r="Y4776" s="1108"/>
      <c r="Z4776" s="1114"/>
      <c r="AA4776" s="1114"/>
      <c r="AB4776" s="1114"/>
      <c r="AC4776" s="1117"/>
      <c r="AD4776" s="1115"/>
      <c r="AE4776" s="1115"/>
      <c r="AF4776" s="1115"/>
      <c r="AG4776" s="1115"/>
      <c r="AH4776" s="1115"/>
      <c r="AI4776" s="1115"/>
      <c r="AJ4776" s="1117"/>
      <c r="AK4776" s="1118"/>
      <c r="AL4776" s="1115"/>
      <c r="AM4776" s="1115"/>
      <c r="AN4776" s="1115"/>
      <c r="AO4776" s="1115"/>
      <c r="AP4776" s="1115"/>
      <c r="AQ4776" s="1115"/>
      <c r="AR4776" s="1115"/>
      <c r="AS4776" s="1117"/>
      <c r="AT4776" s="1075"/>
      <c r="AU4776" s="1193"/>
      <c r="AV4776" s="330"/>
      <c r="AW4776" s="331"/>
      <c r="AX4776" s="331"/>
      <c r="AY4776" s="331"/>
      <c r="AZ4776" s="331"/>
      <c r="BA4776" s="331"/>
      <c r="BB4776" s="331"/>
      <c r="BC4776" s="331"/>
      <c r="BD4776" s="331"/>
      <c r="BE4776" s="333"/>
      <c r="BF4776" s="330"/>
      <c r="BG4776" s="333"/>
      <c r="BH4776" s="1119"/>
      <c r="BI4776" s="319"/>
      <c r="BJ4776" s="319"/>
      <c r="BK4776" s="319"/>
      <c r="BL4776" s="319"/>
      <c r="BM4776" s="319"/>
      <c r="BN4776" s="319"/>
      <c r="BO4776" s="319"/>
      <c r="BP4776" s="953"/>
      <c r="BQ4776" s="319"/>
      <c r="BR4776" s="319"/>
      <c r="BS4776" s="330"/>
      <c r="BT4776" s="331"/>
      <c r="BU4776" s="920"/>
      <c r="BV4776" s="903"/>
      <c r="BW4776" s="908"/>
      <c r="BX4776" s="908"/>
      <c r="BY4776" s="331"/>
      <c r="BZ4776" s="331"/>
      <c r="CA4776" s="462"/>
      <c r="CB4776" s="319"/>
      <c r="CC4776" s="319"/>
      <c r="CD4776" s="319"/>
      <c r="CE4776" s="319"/>
      <c r="CF4776" s="319"/>
      <c r="CG4776" s="319"/>
      <c r="CH4776" s="318"/>
      <c r="CI4776" s="319"/>
      <c r="CJ4776" s="319"/>
      <c r="CK4776" s="342"/>
      <c r="CL4776" s="333"/>
      <c r="CM4776" s="1079"/>
      <c r="CN4776" s="1005"/>
      <c r="CO4776" s="1005"/>
      <c r="CP4776" s="1005"/>
    </row>
    <row r="4777">
      <c r="A4777" s="1257"/>
      <c r="B4777" s="1113"/>
      <c r="C4777" s="1107"/>
      <c r="D4777" s="103"/>
      <c r="E4777" s="1137"/>
      <c r="F4777" s="112"/>
      <c r="G4777" s="1110"/>
      <c r="H4777" s="1138"/>
      <c r="I4777" s="1138"/>
      <c r="J4777" s="1139"/>
      <c r="K4777" s="1111"/>
      <c r="L4777" s="1112"/>
      <c r="M4777" s="1113"/>
      <c r="N4777" s="110"/>
      <c r="O4777" s="1140"/>
      <c r="P4777" s="1115"/>
      <c r="Q4777" s="1116"/>
      <c r="R4777" s="1141"/>
      <c r="S4777" s="1113"/>
      <c r="T4777" s="1143"/>
      <c r="U4777" s="1108"/>
      <c r="V4777" s="1108"/>
      <c r="W4777" s="1108"/>
      <c r="X4777" s="1108"/>
      <c r="Y4777" s="1108"/>
      <c r="Z4777" s="1114"/>
      <c r="AA4777" s="1114"/>
      <c r="AB4777" s="1114"/>
      <c r="AC4777" s="1117"/>
      <c r="AD4777" s="1115"/>
      <c r="AE4777" s="1115"/>
      <c r="AF4777" s="1115"/>
      <c r="AG4777" s="1115"/>
      <c r="AH4777" s="1115"/>
      <c r="AI4777" s="1115"/>
      <c r="AJ4777" s="1117"/>
      <c r="AK4777" s="1118"/>
      <c r="AL4777" s="1115"/>
      <c r="AM4777" s="1115"/>
      <c r="AN4777" s="1115"/>
      <c r="AO4777" s="1115"/>
      <c r="AP4777" s="1115"/>
      <c r="AQ4777" s="1115"/>
      <c r="AR4777" s="1115"/>
      <c r="AS4777" s="1117"/>
      <c r="AT4777" s="1075"/>
      <c r="AU4777" s="1193"/>
      <c r="AV4777" s="330"/>
      <c r="AW4777" s="331"/>
      <c r="AX4777" s="331"/>
      <c r="AY4777" s="331"/>
      <c r="AZ4777" s="331"/>
      <c r="BA4777" s="331"/>
      <c r="BB4777" s="331"/>
      <c r="BC4777" s="331"/>
      <c r="BD4777" s="331"/>
      <c r="BE4777" s="333"/>
      <c r="BF4777" s="330"/>
      <c r="BG4777" s="333"/>
      <c r="BH4777" s="1119"/>
      <c r="BI4777" s="319"/>
      <c r="BJ4777" s="319"/>
      <c r="BK4777" s="319"/>
      <c r="BL4777" s="319"/>
      <c r="BM4777" s="319"/>
      <c r="BN4777" s="319"/>
      <c r="BO4777" s="319"/>
      <c r="BP4777" s="953"/>
      <c r="BQ4777" s="319"/>
      <c r="BR4777" s="319"/>
      <c r="BS4777" s="330"/>
      <c r="BT4777" s="331"/>
      <c r="BU4777" s="920"/>
      <c r="BV4777" s="903"/>
      <c r="BW4777" s="908"/>
      <c r="BX4777" s="908"/>
      <c r="BY4777" s="331"/>
      <c r="BZ4777" s="331"/>
      <c r="CA4777" s="462"/>
      <c r="CB4777" s="319"/>
      <c r="CC4777" s="319"/>
      <c r="CD4777" s="319"/>
      <c r="CE4777" s="319"/>
      <c r="CF4777" s="319"/>
      <c r="CG4777" s="319"/>
      <c r="CH4777" s="318"/>
      <c r="CI4777" s="319"/>
      <c r="CJ4777" s="319"/>
      <c r="CK4777" s="342"/>
      <c r="CL4777" s="333"/>
      <c r="CM4777" s="1079"/>
      <c r="CN4777" s="1005"/>
      <c r="CO4777" s="1005"/>
      <c r="CP4777" s="1005"/>
    </row>
    <row r="4778">
      <c r="A4778" s="1257"/>
      <c r="B4778" s="1113"/>
      <c r="C4778" s="1107"/>
      <c r="D4778" s="103"/>
      <c r="E4778" s="1137"/>
      <c r="F4778" s="112"/>
      <c r="G4778" s="1110"/>
      <c r="H4778" s="1138"/>
      <c r="I4778" s="1138"/>
      <c r="J4778" s="1139"/>
      <c r="K4778" s="1111"/>
      <c r="L4778" s="1112"/>
      <c r="M4778" s="1113"/>
      <c r="N4778" s="110"/>
      <c r="O4778" s="1140"/>
      <c r="P4778" s="1115"/>
      <c r="Q4778" s="1116"/>
      <c r="R4778" s="1141"/>
      <c r="S4778" s="1113"/>
      <c r="T4778" s="1143"/>
      <c r="U4778" s="1108"/>
      <c r="V4778" s="1108"/>
      <c r="W4778" s="1108"/>
      <c r="X4778" s="1108"/>
      <c r="Y4778" s="1108"/>
      <c r="Z4778" s="1114"/>
      <c r="AA4778" s="1114"/>
      <c r="AB4778" s="1114"/>
      <c r="AC4778" s="1117"/>
      <c r="AD4778" s="1115"/>
      <c r="AE4778" s="1115"/>
      <c r="AF4778" s="1115"/>
      <c r="AG4778" s="1115"/>
      <c r="AH4778" s="1115"/>
      <c r="AI4778" s="1115"/>
      <c r="AJ4778" s="1117"/>
      <c r="AK4778" s="1118"/>
      <c r="AL4778" s="1115"/>
      <c r="AM4778" s="1115"/>
      <c r="AN4778" s="1115"/>
      <c r="AO4778" s="1115"/>
      <c r="AP4778" s="1115"/>
      <c r="AQ4778" s="1115"/>
      <c r="AR4778" s="1115"/>
      <c r="AS4778" s="1117"/>
      <c r="AT4778" s="1075"/>
      <c r="AU4778" s="1193"/>
      <c r="AV4778" s="330"/>
      <c r="AW4778" s="331"/>
      <c r="AX4778" s="331"/>
      <c r="AY4778" s="331"/>
      <c r="AZ4778" s="331"/>
      <c r="BA4778" s="331"/>
      <c r="BB4778" s="331"/>
      <c r="BC4778" s="331"/>
      <c r="BD4778" s="331"/>
      <c r="BE4778" s="333"/>
      <c r="BF4778" s="330"/>
      <c r="BG4778" s="333"/>
      <c r="BH4778" s="1119"/>
      <c r="BI4778" s="319"/>
      <c r="BJ4778" s="319"/>
      <c r="BK4778" s="319"/>
      <c r="BL4778" s="319"/>
      <c r="BM4778" s="319"/>
      <c r="BN4778" s="319"/>
      <c r="BO4778" s="319"/>
      <c r="BP4778" s="953"/>
      <c r="BQ4778" s="319"/>
      <c r="BR4778" s="319"/>
      <c r="BS4778" s="330"/>
      <c r="BT4778" s="331"/>
      <c r="BU4778" s="920"/>
      <c r="BV4778" s="903"/>
      <c r="BW4778" s="908"/>
      <c r="BX4778" s="908"/>
      <c r="BY4778" s="331"/>
      <c r="BZ4778" s="331"/>
      <c r="CA4778" s="462"/>
      <c r="CB4778" s="319"/>
      <c r="CC4778" s="319"/>
      <c r="CD4778" s="319"/>
      <c r="CE4778" s="319"/>
      <c r="CF4778" s="319"/>
      <c r="CG4778" s="319"/>
      <c r="CH4778" s="318"/>
      <c r="CI4778" s="319"/>
      <c r="CJ4778" s="319"/>
      <c r="CK4778" s="342"/>
      <c r="CL4778" s="333"/>
      <c r="CM4778" s="1079"/>
      <c r="CN4778" s="1005"/>
      <c r="CO4778" s="1005"/>
      <c r="CP4778" s="1005"/>
    </row>
    <row r="4779">
      <c r="A4779" s="1257"/>
      <c r="B4779" s="1113"/>
      <c r="C4779" s="1107"/>
      <c r="D4779" s="103"/>
      <c r="E4779" s="1137"/>
      <c r="F4779" s="112"/>
      <c r="G4779" s="1110"/>
      <c r="H4779" s="1138"/>
      <c r="I4779" s="1138"/>
      <c r="J4779" s="1139"/>
      <c r="K4779" s="1111"/>
      <c r="L4779" s="1112"/>
      <c r="M4779" s="1113"/>
      <c r="N4779" s="110"/>
      <c r="O4779" s="1140"/>
      <c r="P4779" s="1115"/>
      <c r="Q4779" s="1116"/>
      <c r="R4779" s="1141"/>
      <c r="S4779" s="1113"/>
      <c r="T4779" s="1143"/>
      <c r="U4779" s="1108"/>
      <c r="V4779" s="1108"/>
      <c r="W4779" s="1108"/>
      <c r="X4779" s="1108"/>
      <c r="Y4779" s="1108"/>
      <c r="Z4779" s="1114"/>
      <c r="AA4779" s="1114"/>
      <c r="AB4779" s="1114"/>
      <c r="AC4779" s="1117"/>
      <c r="AD4779" s="1115"/>
      <c r="AE4779" s="1115"/>
      <c r="AF4779" s="1115"/>
      <c r="AG4779" s="1115"/>
      <c r="AH4779" s="1115"/>
      <c r="AI4779" s="1115"/>
      <c r="AJ4779" s="1117"/>
      <c r="AK4779" s="1118"/>
      <c r="AL4779" s="1115"/>
      <c r="AM4779" s="1115"/>
      <c r="AN4779" s="1115"/>
      <c r="AO4779" s="1115"/>
      <c r="AP4779" s="1115"/>
      <c r="AQ4779" s="1115"/>
      <c r="AR4779" s="1115"/>
      <c r="AS4779" s="1117"/>
      <c r="AT4779" s="1075"/>
      <c r="AU4779" s="1193"/>
      <c r="AV4779" s="330"/>
      <c r="AW4779" s="331"/>
      <c r="AX4779" s="331"/>
      <c r="AY4779" s="331"/>
      <c r="AZ4779" s="331"/>
      <c r="BA4779" s="331"/>
      <c r="BB4779" s="331"/>
      <c r="BC4779" s="331"/>
      <c r="BD4779" s="331"/>
      <c r="BE4779" s="333"/>
      <c r="BF4779" s="330"/>
      <c r="BG4779" s="333"/>
      <c r="BH4779" s="1119"/>
      <c r="BI4779" s="319"/>
      <c r="BJ4779" s="319"/>
      <c r="BK4779" s="319"/>
      <c r="BL4779" s="319"/>
      <c r="BM4779" s="319"/>
      <c r="BN4779" s="319"/>
      <c r="BO4779" s="319"/>
      <c r="BP4779" s="953"/>
      <c r="BQ4779" s="319"/>
      <c r="BR4779" s="319"/>
      <c r="BS4779" s="330"/>
      <c r="BT4779" s="331"/>
      <c r="BU4779" s="920"/>
      <c r="BV4779" s="903"/>
      <c r="BW4779" s="908"/>
      <c r="BX4779" s="908"/>
      <c r="BY4779" s="331"/>
      <c r="BZ4779" s="331"/>
      <c r="CA4779" s="462"/>
      <c r="CB4779" s="319"/>
      <c r="CC4779" s="319"/>
      <c r="CD4779" s="319"/>
      <c r="CE4779" s="319"/>
      <c r="CF4779" s="319"/>
      <c r="CG4779" s="319"/>
      <c r="CH4779" s="318"/>
      <c r="CI4779" s="319"/>
      <c r="CJ4779" s="319"/>
      <c r="CK4779" s="342"/>
      <c r="CL4779" s="333"/>
      <c r="CM4779" s="1079"/>
      <c r="CN4779" s="1005"/>
      <c r="CO4779" s="1005"/>
      <c r="CP4779" s="1005"/>
    </row>
    <row r="4780">
      <c r="A4780" s="1257"/>
      <c r="B4780" s="1113"/>
      <c r="C4780" s="1107"/>
      <c r="D4780" s="103"/>
      <c r="E4780" s="1137"/>
      <c r="F4780" s="112"/>
      <c r="G4780" s="1110"/>
      <c r="H4780" s="1138"/>
      <c r="I4780" s="1138"/>
      <c r="J4780" s="1139"/>
      <c r="K4780" s="1111"/>
      <c r="L4780" s="1112"/>
      <c r="M4780" s="1113"/>
      <c r="N4780" s="110"/>
      <c r="O4780" s="1140"/>
      <c r="P4780" s="1115"/>
      <c r="Q4780" s="1116"/>
      <c r="R4780" s="1141"/>
      <c r="S4780" s="1113"/>
      <c r="T4780" s="1143"/>
      <c r="U4780" s="1108"/>
      <c r="V4780" s="1108"/>
      <c r="W4780" s="1108"/>
      <c r="X4780" s="1108"/>
      <c r="Y4780" s="1108"/>
      <c r="Z4780" s="1114"/>
      <c r="AA4780" s="1114"/>
      <c r="AB4780" s="1114"/>
      <c r="AC4780" s="1117"/>
      <c r="AD4780" s="1115"/>
      <c r="AE4780" s="1115"/>
      <c r="AF4780" s="1115"/>
      <c r="AG4780" s="1115"/>
      <c r="AH4780" s="1115"/>
      <c r="AI4780" s="1115"/>
      <c r="AJ4780" s="1117"/>
      <c r="AK4780" s="1118"/>
      <c r="AL4780" s="1115"/>
      <c r="AM4780" s="1115"/>
      <c r="AN4780" s="1115"/>
      <c r="AO4780" s="1115"/>
      <c r="AP4780" s="1115"/>
      <c r="AQ4780" s="1115"/>
      <c r="AR4780" s="1115"/>
      <c r="AS4780" s="1117"/>
      <c r="AT4780" s="1075"/>
      <c r="AU4780" s="1193"/>
      <c r="AV4780" s="330"/>
      <c r="AW4780" s="331"/>
      <c r="AX4780" s="331"/>
      <c r="AY4780" s="331"/>
      <c r="AZ4780" s="331"/>
      <c r="BA4780" s="331"/>
      <c r="BB4780" s="331"/>
      <c r="BC4780" s="331"/>
      <c r="BD4780" s="331"/>
      <c r="BE4780" s="333"/>
      <c r="BF4780" s="330"/>
      <c r="BG4780" s="333"/>
      <c r="BH4780" s="1119"/>
      <c r="BI4780" s="319"/>
      <c r="BJ4780" s="319"/>
      <c r="BK4780" s="319"/>
      <c r="BL4780" s="319"/>
      <c r="BM4780" s="319"/>
      <c r="BN4780" s="319"/>
      <c r="BO4780" s="319"/>
      <c r="BP4780" s="953"/>
      <c r="BQ4780" s="319"/>
      <c r="BR4780" s="319"/>
      <c r="BS4780" s="330"/>
      <c r="BT4780" s="331"/>
      <c r="BU4780" s="920"/>
      <c r="BV4780" s="903"/>
      <c r="BW4780" s="908"/>
      <c r="BX4780" s="908"/>
      <c r="BY4780" s="331"/>
      <c r="BZ4780" s="331"/>
      <c r="CA4780" s="462"/>
      <c r="CB4780" s="319"/>
      <c r="CC4780" s="319"/>
      <c r="CD4780" s="319"/>
      <c r="CE4780" s="319"/>
      <c r="CF4780" s="319"/>
      <c r="CG4780" s="319"/>
      <c r="CH4780" s="318"/>
      <c r="CI4780" s="319"/>
      <c r="CJ4780" s="319"/>
      <c r="CK4780" s="342"/>
      <c r="CL4780" s="333"/>
      <c r="CM4780" s="1079"/>
      <c r="CN4780" s="1005"/>
      <c r="CO4780" s="1005"/>
      <c r="CP4780" s="1005"/>
    </row>
    <row r="4781">
      <c r="A4781" s="1257"/>
      <c r="B4781" s="1113"/>
      <c r="C4781" s="1107"/>
      <c r="D4781" s="103"/>
      <c r="E4781" s="1137"/>
      <c r="F4781" s="112"/>
      <c r="G4781" s="1110"/>
      <c r="H4781" s="1138"/>
      <c r="I4781" s="1138"/>
      <c r="J4781" s="1139"/>
      <c r="K4781" s="1111"/>
      <c r="L4781" s="1112"/>
      <c r="M4781" s="1113"/>
      <c r="N4781" s="110"/>
      <c r="O4781" s="1140"/>
      <c r="P4781" s="1115"/>
      <c r="Q4781" s="1116"/>
      <c r="R4781" s="1141"/>
      <c r="S4781" s="1113"/>
      <c r="T4781" s="1143"/>
      <c r="U4781" s="1108"/>
      <c r="V4781" s="1108"/>
      <c r="W4781" s="1108"/>
      <c r="X4781" s="1108"/>
      <c r="Y4781" s="1108"/>
      <c r="Z4781" s="1114"/>
      <c r="AA4781" s="1114"/>
      <c r="AB4781" s="1114"/>
      <c r="AC4781" s="1117"/>
      <c r="AD4781" s="1115"/>
      <c r="AE4781" s="1115"/>
      <c r="AF4781" s="1115"/>
      <c r="AG4781" s="1115"/>
      <c r="AH4781" s="1115"/>
      <c r="AI4781" s="1115"/>
      <c r="AJ4781" s="1117"/>
      <c r="AK4781" s="1118"/>
      <c r="AL4781" s="1115"/>
      <c r="AM4781" s="1115"/>
      <c r="AN4781" s="1115"/>
      <c r="AO4781" s="1115"/>
      <c r="AP4781" s="1115"/>
      <c r="AQ4781" s="1115"/>
      <c r="AR4781" s="1115"/>
      <c r="AS4781" s="1117"/>
      <c r="AT4781" s="1075"/>
      <c r="AU4781" s="1193"/>
      <c r="AV4781" s="330"/>
      <c r="AW4781" s="331"/>
      <c r="AX4781" s="331"/>
      <c r="AY4781" s="331"/>
      <c r="AZ4781" s="331"/>
      <c r="BA4781" s="331"/>
      <c r="BB4781" s="331"/>
      <c r="BC4781" s="331"/>
      <c r="BD4781" s="331"/>
      <c r="BE4781" s="333"/>
      <c r="BF4781" s="330"/>
      <c r="BG4781" s="333"/>
      <c r="BH4781" s="1119"/>
      <c r="BI4781" s="319"/>
      <c r="BJ4781" s="319"/>
      <c r="BK4781" s="319"/>
      <c r="BL4781" s="319"/>
      <c r="BM4781" s="319"/>
      <c r="BN4781" s="319"/>
      <c r="BO4781" s="319"/>
      <c r="BP4781" s="953"/>
      <c r="BQ4781" s="319"/>
      <c r="BR4781" s="319"/>
      <c r="BS4781" s="330"/>
      <c r="BT4781" s="331"/>
      <c r="BU4781" s="920"/>
      <c r="BV4781" s="903"/>
      <c r="BW4781" s="908"/>
      <c r="BX4781" s="908"/>
      <c r="BY4781" s="331"/>
      <c r="BZ4781" s="331"/>
      <c r="CA4781" s="462"/>
      <c r="CB4781" s="319"/>
      <c r="CC4781" s="319"/>
      <c r="CD4781" s="319"/>
      <c r="CE4781" s="319"/>
      <c r="CF4781" s="319"/>
      <c r="CG4781" s="319"/>
      <c r="CH4781" s="318"/>
      <c r="CI4781" s="319"/>
      <c r="CJ4781" s="319"/>
      <c r="CK4781" s="342"/>
      <c r="CL4781" s="333"/>
      <c r="CM4781" s="1079"/>
      <c r="CN4781" s="1005"/>
      <c r="CO4781" s="1005"/>
      <c r="CP4781" s="1005"/>
    </row>
    <row r="4782">
      <c r="A4782" s="1257"/>
      <c r="B4782" s="1113"/>
      <c r="C4782" s="1107"/>
      <c r="D4782" s="103"/>
      <c r="E4782" s="1137"/>
      <c r="F4782" s="112"/>
      <c r="G4782" s="1110"/>
      <c r="H4782" s="1138"/>
      <c r="I4782" s="1138"/>
      <c r="J4782" s="1139"/>
      <c r="K4782" s="1111"/>
      <c r="L4782" s="1112"/>
      <c r="M4782" s="1113"/>
      <c r="N4782" s="110"/>
      <c r="O4782" s="1140"/>
      <c r="P4782" s="1115"/>
      <c r="Q4782" s="1116"/>
      <c r="R4782" s="1141"/>
      <c r="S4782" s="1113"/>
      <c r="T4782" s="1143"/>
      <c r="U4782" s="1108"/>
      <c r="V4782" s="1108"/>
      <c r="W4782" s="1108"/>
      <c r="X4782" s="1108"/>
      <c r="Y4782" s="1108"/>
      <c r="Z4782" s="1114"/>
      <c r="AA4782" s="1114"/>
      <c r="AB4782" s="1114"/>
      <c r="AC4782" s="1117"/>
      <c r="AD4782" s="1115"/>
      <c r="AE4782" s="1115"/>
      <c r="AF4782" s="1115"/>
      <c r="AG4782" s="1115"/>
      <c r="AH4782" s="1115"/>
      <c r="AI4782" s="1115"/>
      <c r="AJ4782" s="1117"/>
      <c r="AK4782" s="1118"/>
      <c r="AL4782" s="1115"/>
      <c r="AM4782" s="1115"/>
      <c r="AN4782" s="1115"/>
      <c r="AO4782" s="1115"/>
      <c r="AP4782" s="1115"/>
      <c r="AQ4782" s="1115"/>
      <c r="AR4782" s="1115"/>
      <c r="AS4782" s="1117"/>
      <c r="AT4782" s="1075"/>
      <c r="AU4782" s="1193"/>
      <c r="AV4782" s="330"/>
      <c r="AW4782" s="331"/>
      <c r="AX4782" s="331"/>
      <c r="AY4782" s="331"/>
      <c r="AZ4782" s="331"/>
      <c r="BA4782" s="331"/>
      <c r="BB4782" s="331"/>
      <c r="BC4782" s="331"/>
      <c r="BD4782" s="331"/>
      <c r="BE4782" s="333"/>
      <c r="BF4782" s="330"/>
      <c r="BG4782" s="333"/>
      <c r="BH4782" s="1119"/>
      <c r="BI4782" s="319"/>
      <c r="BJ4782" s="319"/>
      <c r="BK4782" s="319"/>
      <c r="BL4782" s="319"/>
      <c r="BM4782" s="319"/>
      <c r="BN4782" s="319"/>
      <c r="BO4782" s="319"/>
      <c r="BP4782" s="953"/>
      <c r="BQ4782" s="319"/>
      <c r="BR4782" s="319"/>
      <c r="BS4782" s="330"/>
      <c r="BT4782" s="331"/>
      <c r="BU4782" s="920"/>
      <c r="BV4782" s="903"/>
      <c r="BW4782" s="908"/>
      <c r="BX4782" s="908"/>
      <c r="BY4782" s="331"/>
      <c r="BZ4782" s="331"/>
      <c r="CA4782" s="462"/>
      <c r="CB4782" s="319"/>
      <c r="CC4782" s="319"/>
      <c r="CD4782" s="319"/>
      <c r="CE4782" s="319"/>
      <c r="CF4782" s="319"/>
      <c r="CG4782" s="319"/>
      <c r="CH4782" s="318"/>
      <c r="CI4782" s="319"/>
      <c r="CJ4782" s="319"/>
      <c r="CK4782" s="342"/>
      <c r="CL4782" s="333"/>
      <c r="CM4782" s="1079"/>
      <c r="CN4782" s="1005"/>
      <c r="CO4782" s="1005"/>
      <c r="CP4782" s="1005"/>
    </row>
    <row r="4783">
      <c r="A4783" s="1257"/>
      <c r="B4783" s="1113"/>
      <c r="C4783" s="1107"/>
      <c r="D4783" s="103"/>
      <c r="E4783" s="1137"/>
      <c r="F4783" s="112"/>
      <c r="G4783" s="1110"/>
      <c r="H4783" s="1138"/>
      <c r="I4783" s="1138"/>
      <c r="J4783" s="1139"/>
      <c r="K4783" s="1111"/>
      <c r="L4783" s="1112"/>
      <c r="M4783" s="1113"/>
      <c r="N4783" s="110"/>
      <c r="O4783" s="1140"/>
      <c r="P4783" s="1115"/>
      <c r="Q4783" s="1116"/>
      <c r="R4783" s="1141"/>
      <c r="S4783" s="1113"/>
      <c r="T4783" s="1143"/>
      <c r="U4783" s="1108"/>
      <c r="V4783" s="1108"/>
      <c r="W4783" s="1108"/>
      <c r="X4783" s="1108"/>
      <c r="Y4783" s="1108"/>
      <c r="Z4783" s="1114"/>
      <c r="AA4783" s="1114"/>
      <c r="AB4783" s="1114"/>
      <c r="AC4783" s="1117"/>
      <c r="AD4783" s="1115"/>
      <c r="AE4783" s="1115"/>
      <c r="AF4783" s="1115"/>
      <c r="AG4783" s="1115"/>
      <c r="AH4783" s="1115"/>
      <c r="AI4783" s="1115"/>
      <c r="AJ4783" s="1117"/>
      <c r="AK4783" s="1118"/>
      <c r="AL4783" s="1115"/>
      <c r="AM4783" s="1115"/>
      <c r="AN4783" s="1115"/>
      <c r="AO4783" s="1115"/>
      <c r="AP4783" s="1115"/>
      <c r="AQ4783" s="1115"/>
      <c r="AR4783" s="1115"/>
      <c r="AS4783" s="1117"/>
      <c r="AT4783" s="1075"/>
      <c r="AU4783" s="1193"/>
      <c r="AV4783" s="330"/>
      <c r="AW4783" s="331"/>
      <c r="AX4783" s="331"/>
      <c r="AY4783" s="331"/>
      <c r="AZ4783" s="331"/>
      <c r="BA4783" s="331"/>
      <c r="BB4783" s="331"/>
      <c r="BC4783" s="331"/>
      <c r="BD4783" s="331"/>
      <c r="BE4783" s="333"/>
      <c r="BF4783" s="330"/>
      <c r="BG4783" s="333"/>
      <c r="BH4783" s="1119"/>
      <c r="BI4783" s="319"/>
      <c r="BJ4783" s="319"/>
      <c r="BK4783" s="319"/>
      <c r="BL4783" s="319"/>
      <c r="BM4783" s="319"/>
      <c r="BN4783" s="319"/>
      <c r="BO4783" s="319"/>
      <c r="BP4783" s="953"/>
      <c r="BQ4783" s="319"/>
      <c r="BR4783" s="319"/>
      <c r="BS4783" s="330"/>
      <c r="BT4783" s="331"/>
      <c r="BU4783" s="920"/>
      <c r="BV4783" s="903"/>
      <c r="BW4783" s="908"/>
      <c r="BX4783" s="908"/>
      <c r="BY4783" s="331"/>
      <c r="BZ4783" s="331"/>
      <c r="CA4783" s="462"/>
      <c r="CB4783" s="319"/>
      <c r="CC4783" s="319"/>
      <c r="CD4783" s="319"/>
      <c r="CE4783" s="319"/>
      <c r="CF4783" s="319"/>
      <c r="CG4783" s="319"/>
      <c r="CH4783" s="318"/>
      <c r="CI4783" s="319"/>
      <c r="CJ4783" s="319"/>
      <c r="CK4783" s="342"/>
      <c r="CL4783" s="333"/>
      <c r="CM4783" s="1079"/>
      <c r="CN4783" s="1005"/>
      <c r="CO4783" s="1005"/>
      <c r="CP4783" s="1005"/>
    </row>
    <row r="4784">
      <c r="A4784" s="1257"/>
      <c r="B4784" s="1113"/>
      <c r="C4784" s="1107"/>
      <c r="D4784" s="103"/>
      <c r="E4784" s="1137"/>
      <c r="F4784" s="112"/>
      <c r="G4784" s="1110"/>
      <c r="H4784" s="1138"/>
      <c r="I4784" s="1138"/>
      <c r="J4784" s="1139"/>
      <c r="K4784" s="1111"/>
      <c r="L4784" s="1112"/>
      <c r="M4784" s="1113"/>
      <c r="N4784" s="110"/>
      <c r="O4784" s="1140"/>
      <c r="P4784" s="1115"/>
      <c r="Q4784" s="1116"/>
      <c r="R4784" s="1141"/>
      <c r="S4784" s="1113"/>
      <c r="T4784" s="1143"/>
      <c r="U4784" s="1108"/>
      <c r="V4784" s="1108"/>
      <c r="W4784" s="1108"/>
      <c r="X4784" s="1108"/>
      <c r="Y4784" s="1108"/>
      <c r="Z4784" s="1114"/>
      <c r="AA4784" s="1114"/>
      <c r="AB4784" s="1114"/>
      <c r="AC4784" s="1117"/>
      <c r="AD4784" s="1115"/>
      <c r="AE4784" s="1115"/>
      <c r="AF4784" s="1115"/>
      <c r="AG4784" s="1115"/>
      <c r="AH4784" s="1115"/>
      <c r="AI4784" s="1115"/>
      <c r="AJ4784" s="1117"/>
      <c r="AK4784" s="1118"/>
      <c r="AL4784" s="1115"/>
      <c r="AM4784" s="1115"/>
      <c r="AN4784" s="1115"/>
      <c r="AO4784" s="1115"/>
      <c r="AP4784" s="1115"/>
      <c r="AQ4784" s="1115"/>
      <c r="AR4784" s="1115"/>
      <c r="AS4784" s="1117"/>
      <c r="AT4784" s="1075"/>
      <c r="AU4784" s="1193"/>
      <c r="AV4784" s="330"/>
      <c r="AW4784" s="331"/>
      <c r="AX4784" s="331"/>
      <c r="AY4784" s="331"/>
      <c r="AZ4784" s="331"/>
      <c r="BA4784" s="331"/>
      <c r="BB4784" s="331"/>
      <c r="BC4784" s="331"/>
      <c r="BD4784" s="331"/>
      <c r="BE4784" s="333"/>
      <c r="BF4784" s="330"/>
      <c r="BG4784" s="333"/>
      <c r="BH4784" s="1119"/>
      <c r="BI4784" s="319"/>
      <c r="BJ4784" s="319"/>
      <c r="BK4784" s="319"/>
      <c r="BL4784" s="319"/>
      <c r="BM4784" s="319"/>
      <c r="BN4784" s="319"/>
      <c r="BO4784" s="319"/>
      <c r="BP4784" s="953"/>
      <c r="BQ4784" s="319"/>
      <c r="BR4784" s="319"/>
      <c r="BS4784" s="330"/>
      <c r="BT4784" s="331"/>
      <c r="BU4784" s="920"/>
      <c r="BV4784" s="903"/>
      <c r="BW4784" s="908"/>
      <c r="BX4784" s="908"/>
      <c r="BY4784" s="331"/>
      <c r="BZ4784" s="331"/>
      <c r="CA4784" s="462"/>
      <c r="CB4784" s="319"/>
      <c r="CC4784" s="319"/>
      <c r="CD4784" s="319"/>
      <c r="CE4784" s="319"/>
      <c r="CF4784" s="319"/>
      <c r="CG4784" s="319"/>
      <c r="CH4784" s="318"/>
      <c r="CI4784" s="319"/>
      <c r="CJ4784" s="319"/>
      <c r="CK4784" s="342"/>
      <c r="CL4784" s="333"/>
      <c r="CM4784" s="1079"/>
      <c r="CN4784" s="1005"/>
      <c r="CO4784" s="1005"/>
      <c r="CP4784" s="1005"/>
    </row>
    <row r="4785">
      <c r="A4785" s="1257"/>
      <c r="B4785" s="1113"/>
      <c r="C4785" s="1107"/>
      <c r="D4785" s="103"/>
      <c r="E4785" s="1137"/>
      <c r="F4785" s="112"/>
      <c r="G4785" s="1110"/>
      <c r="H4785" s="1138"/>
      <c r="I4785" s="1138"/>
      <c r="J4785" s="1139"/>
      <c r="K4785" s="1111"/>
      <c r="L4785" s="1112"/>
      <c r="M4785" s="1113"/>
      <c r="N4785" s="110"/>
      <c r="O4785" s="1140"/>
      <c r="P4785" s="1115"/>
      <c r="Q4785" s="1116"/>
      <c r="R4785" s="1141"/>
      <c r="S4785" s="1113"/>
      <c r="T4785" s="1143"/>
      <c r="U4785" s="1108"/>
      <c r="V4785" s="1108"/>
      <c r="W4785" s="1108"/>
      <c r="X4785" s="1108"/>
      <c r="Y4785" s="1108"/>
      <c r="Z4785" s="1114"/>
      <c r="AA4785" s="1114"/>
      <c r="AB4785" s="1114"/>
      <c r="AC4785" s="1117"/>
      <c r="AD4785" s="1115"/>
      <c r="AE4785" s="1115"/>
      <c r="AF4785" s="1115"/>
      <c r="AG4785" s="1115"/>
      <c r="AH4785" s="1115"/>
      <c r="AI4785" s="1115"/>
      <c r="AJ4785" s="1117"/>
      <c r="AK4785" s="1118"/>
      <c r="AL4785" s="1115"/>
      <c r="AM4785" s="1115"/>
      <c r="AN4785" s="1115"/>
      <c r="AO4785" s="1115"/>
      <c r="AP4785" s="1115"/>
      <c r="AQ4785" s="1115"/>
      <c r="AR4785" s="1115"/>
      <c r="AS4785" s="1117"/>
      <c r="AT4785" s="1075"/>
      <c r="AU4785" s="1193"/>
      <c r="AV4785" s="330"/>
      <c r="AW4785" s="331"/>
      <c r="AX4785" s="331"/>
      <c r="AY4785" s="331"/>
      <c r="AZ4785" s="331"/>
      <c r="BA4785" s="331"/>
      <c r="BB4785" s="331"/>
      <c r="BC4785" s="331"/>
      <c r="BD4785" s="331"/>
      <c r="BE4785" s="333"/>
      <c r="BF4785" s="330"/>
      <c r="BG4785" s="333"/>
      <c r="BH4785" s="1119"/>
      <c r="BI4785" s="319"/>
      <c r="BJ4785" s="319"/>
      <c r="BK4785" s="319"/>
      <c r="BL4785" s="319"/>
      <c r="BM4785" s="319"/>
      <c r="BN4785" s="319"/>
      <c r="BO4785" s="319"/>
      <c r="BP4785" s="953"/>
      <c r="BQ4785" s="319"/>
      <c r="BR4785" s="319"/>
      <c r="BS4785" s="330"/>
      <c r="BT4785" s="331"/>
      <c r="BU4785" s="920"/>
      <c r="BV4785" s="903"/>
      <c r="BW4785" s="908"/>
      <c r="BX4785" s="908"/>
      <c r="BY4785" s="331"/>
      <c r="BZ4785" s="331"/>
      <c r="CA4785" s="462"/>
      <c r="CB4785" s="319"/>
      <c r="CC4785" s="319"/>
      <c r="CD4785" s="319"/>
      <c r="CE4785" s="319"/>
      <c r="CF4785" s="319"/>
      <c r="CG4785" s="319"/>
      <c r="CH4785" s="318"/>
      <c r="CI4785" s="319"/>
      <c r="CJ4785" s="319"/>
      <c r="CK4785" s="342"/>
      <c r="CL4785" s="333"/>
      <c r="CM4785" s="1079"/>
      <c r="CN4785" s="1005"/>
      <c r="CO4785" s="1005"/>
      <c r="CP4785" s="1005"/>
    </row>
    <row r="4786">
      <c r="A4786" s="1257"/>
      <c r="B4786" s="1113"/>
      <c r="C4786" s="1107"/>
      <c r="D4786" s="103"/>
      <c r="E4786" s="1137"/>
      <c r="F4786" s="112"/>
      <c r="G4786" s="1110"/>
      <c r="H4786" s="1138"/>
      <c r="I4786" s="1138"/>
      <c r="J4786" s="1139"/>
      <c r="K4786" s="1111"/>
      <c r="L4786" s="1112"/>
      <c r="M4786" s="1113"/>
      <c r="N4786" s="110"/>
      <c r="O4786" s="1140"/>
      <c r="P4786" s="1115"/>
      <c r="Q4786" s="1116"/>
      <c r="R4786" s="1141"/>
      <c r="S4786" s="1113"/>
      <c r="T4786" s="1143"/>
      <c r="U4786" s="1108"/>
      <c r="V4786" s="1108"/>
      <c r="W4786" s="1108"/>
      <c r="X4786" s="1108"/>
      <c r="Y4786" s="1108"/>
      <c r="Z4786" s="1114"/>
      <c r="AA4786" s="1114"/>
      <c r="AB4786" s="1114"/>
      <c r="AC4786" s="1117"/>
      <c r="AD4786" s="1115"/>
      <c r="AE4786" s="1115"/>
      <c r="AF4786" s="1115"/>
      <c r="AG4786" s="1115"/>
      <c r="AH4786" s="1115"/>
      <c r="AI4786" s="1115"/>
      <c r="AJ4786" s="1117"/>
      <c r="AK4786" s="1118"/>
      <c r="AL4786" s="1115"/>
      <c r="AM4786" s="1115"/>
      <c r="AN4786" s="1115"/>
      <c r="AO4786" s="1115"/>
      <c r="AP4786" s="1115"/>
      <c r="AQ4786" s="1115"/>
      <c r="AR4786" s="1115"/>
      <c r="AS4786" s="1117"/>
      <c r="AT4786" s="1075"/>
      <c r="AU4786" s="1193"/>
      <c r="AV4786" s="330"/>
      <c r="AW4786" s="331"/>
      <c r="AX4786" s="331"/>
      <c r="AY4786" s="331"/>
      <c r="AZ4786" s="331"/>
      <c r="BA4786" s="331"/>
      <c r="BB4786" s="331"/>
      <c r="BC4786" s="331"/>
      <c r="BD4786" s="331"/>
      <c r="BE4786" s="333"/>
      <c r="BF4786" s="330"/>
      <c r="BG4786" s="333"/>
      <c r="BH4786" s="1119"/>
      <c r="BI4786" s="319"/>
      <c r="BJ4786" s="319"/>
      <c r="BK4786" s="319"/>
      <c r="BL4786" s="319"/>
      <c r="BM4786" s="319"/>
      <c r="BN4786" s="319"/>
      <c r="BO4786" s="319"/>
      <c r="BP4786" s="953"/>
      <c r="BQ4786" s="319"/>
      <c r="BR4786" s="319"/>
      <c r="BS4786" s="330"/>
      <c r="BT4786" s="331"/>
      <c r="BU4786" s="920"/>
      <c r="BV4786" s="903"/>
      <c r="BW4786" s="908"/>
      <c r="BX4786" s="908"/>
      <c r="BY4786" s="331"/>
      <c r="BZ4786" s="331"/>
      <c r="CA4786" s="462"/>
      <c r="CB4786" s="319"/>
      <c r="CC4786" s="319"/>
      <c r="CD4786" s="319"/>
      <c r="CE4786" s="319"/>
      <c r="CF4786" s="319"/>
      <c r="CG4786" s="319"/>
      <c r="CH4786" s="318"/>
      <c r="CI4786" s="319"/>
      <c r="CJ4786" s="319"/>
      <c r="CK4786" s="342"/>
      <c r="CL4786" s="333"/>
      <c r="CM4786" s="1079"/>
      <c r="CN4786" s="1005"/>
      <c r="CO4786" s="1005"/>
      <c r="CP4786" s="1005"/>
    </row>
    <row r="4787">
      <c r="A4787" s="1257"/>
      <c r="B4787" s="1113"/>
      <c r="C4787" s="1107"/>
      <c r="D4787" s="103"/>
      <c r="E4787" s="1137"/>
      <c r="F4787" s="112"/>
      <c r="G4787" s="1110"/>
      <c r="H4787" s="1138"/>
      <c r="I4787" s="1138"/>
      <c r="J4787" s="1139"/>
      <c r="K4787" s="1111"/>
      <c r="L4787" s="1112"/>
      <c r="M4787" s="1113"/>
      <c r="N4787" s="110"/>
      <c r="O4787" s="1140"/>
      <c r="P4787" s="1115"/>
      <c r="Q4787" s="1116"/>
      <c r="R4787" s="1141"/>
      <c r="S4787" s="1113"/>
      <c r="T4787" s="1143"/>
      <c r="U4787" s="1108"/>
      <c r="V4787" s="1108"/>
      <c r="W4787" s="1108"/>
      <c r="X4787" s="1108"/>
      <c r="Y4787" s="1108"/>
      <c r="Z4787" s="1114"/>
      <c r="AA4787" s="1114"/>
      <c r="AB4787" s="1114"/>
      <c r="AC4787" s="1117"/>
      <c r="AD4787" s="1115"/>
      <c r="AE4787" s="1115"/>
      <c r="AF4787" s="1115"/>
      <c r="AG4787" s="1115"/>
      <c r="AH4787" s="1115"/>
      <c r="AI4787" s="1115"/>
      <c r="AJ4787" s="1117"/>
      <c r="AK4787" s="1118"/>
      <c r="AL4787" s="1115"/>
      <c r="AM4787" s="1115"/>
      <c r="AN4787" s="1115"/>
      <c r="AO4787" s="1115"/>
      <c r="AP4787" s="1115"/>
      <c r="AQ4787" s="1115"/>
      <c r="AR4787" s="1115"/>
      <c r="AS4787" s="1117"/>
      <c r="AT4787" s="1075"/>
      <c r="AU4787" s="1193"/>
      <c r="AV4787" s="330"/>
      <c r="AW4787" s="331"/>
      <c r="AX4787" s="331"/>
      <c r="AY4787" s="331"/>
      <c r="AZ4787" s="331"/>
      <c r="BA4787" s="331"/>
      <c r="BB4787" s="331"/>
      <c r="BC4787" s="331"/>
      <c r="BD4787" s="331"/>
      <c r="BE4787" s="333"/>
      <c r="BF4787" s="330"/>
      <c r="BG4787" s="333"/>
      <c r="BH4787" s="1119"/>
      <c r="BI4787" s="319"/>
      <c r="BJ4787" s="319"/>
      <c r="BK4787" s="319"/>
      <c r="BL4787" s="319"/>
      <c r="BM4787" s="319"/>
      <c r="BN4787" s="319"/>
      <c r="BO4787" s="319"/>
      <c r="BP4787" s="953"/>
      <c r="BQ4787" s="319"/>
      <c r="BR4787" s="319"/>
      <c r="BS4787" s="330"/>
      <c r="BT4787" s="331"/>
      <c r="BU4787" s="920"/>
      <c r="BV4787" s="903"/>
      <c r="BW4787" s="908"/>
      <c r="BX4787" s="908"/>
      <c r="BY4787" s="331"/>
      <c r="BZ4787" s="331"/>
      <c r="CA4787" s="462"/>
      <c r="CB4787" s="319"/>
      <c r="CC4787" s="319"/>
      <c r="CD4787" s="319"/>
      <c r="CE4787" s="319"/>
      <c r="CF4787" s="319"/>
      <c r="CG4787" s="319"/>
      <c r="CH4787" s="318"/>
      <c r="CI4787" s="319"/>
      <c r="CJ4787" s="319"/>
      <c r="CK4787" s="342"/>
      <c r="CL4787" s="333"/>
      <c r="CM4787" s="1079"/>
      <c r="CN4787" s="1005"/>
      <c r="CO4787" s="1005"/>
      <c r="CP4787" s="1005"/>
    </row>
    <row r="4788">
      <c r="A4788" s="1257"/>
      <c r="B4788" s="1113"/>
      <c r="C4788" s="1107"/>
      <c r="D4788" s="103"/>
      <c r="E4788" s="1137"/>
      <c r="F4788" s="112"/>
      <c r="G4788" s="1110"/>
      <c r="H4788" s="1138"/>
      <c r="I4788" s="1138"/>
      <c r="J4788" s="1139"/>
      <c r="K4788" s="1111"/>
      <c r="L4788" s="1112"/>
      <c r="M4788" s="1113"/>
      <c r="N4788" s="110"/>
      <c r="O4788" s="1140"/>
      <c r="P4788" s="1115"/>
      <c r="Q4788" s="1116"/>
      <c r="R4788" s="1141"/>
      <c r="S4788" s="1113"/>
      <c r="T4788" s="1143"/>
      <c r="U4788" s="1108"/>
      <c r="V4788" s="1108"/>
      <c r="W4788" s="1108"/>
      <c r="X4788" s="1108"/>
      <c r="Y4788" s="1108"/>
      <c r="Z4788" s="1114"/>
      <c r="AA4788" s="1114"/>
      <c r="AB4788" s="1114"/>
      <c r="AC4788" s="1117"/>
      <c r="AD4788" s="1115"/>
      <c r="AE4788" s="1115"/>
      <c r="AF4788" s="1115"/>
      <c r="AG4788" s="1115"/>
      <c r="AH4788" s="1115"/>
      <c r="AI4788" s="1115"/>
      <c r="AJ4788" s="1117"/>
      <c r="AK4788" s="1118"/>
      <c r="AL4788" s="1115"/>
      <c r="AM4788" s="1115"/>
      <c r="AN4788" s="1115"/>
      <c r="AO4788" s="1115"/>
      <c r="AP4788" s="1115"/>
      <c r="AQ4788" s="1115"/>
      <c r="AR4788" s="1115"/>
      <c r="AS4788" s="1117"/>
      <c r="AT4788" s="1075"/>
      <c r="AU4788" s="1193"/>
      <c r="AV4788" s="330"/>
      <c r="AW4788" s="331"/>
      <c r="AX4788" s="331"/>
      <c r="AY4788" s="331"/>
      <c r="AZ4788" s="331"/>
      <c r="BA4788" s="331"/>
      <c r="BB4788" s="331"/>
      <c r="BC4788" s="331"/>
      <c r="BD4788" s="331"/>
      <c r="BE4788" s="333"/>
      <c r="BF4788" s="330"/>
      <c r="BG4788" s="333"/>
      <c r="BH4788" s="1119"/>
      <c r="BI4788" s="319"/>
      <c r="BJ4788" s="319"/>
      <c r="BK4788" s="319"/>
      <c r="BL4788" s="319"/>
      <c r="BM4788" s="319"/>
      <c r="BN4788" s="319"/>
      <c r="BO4788" s="319"/>
      <c r="BP4788" s="953"/>
      <c r="BQ4788" s="319"/>
      <c r="BR4788" s="319"/>
      <c r="BS4788" s="330"/>
      <c r="BT4788" s="331"/>
      <c r="BU4788" s="920"/>
      <c r="BV4788" s="903"/>
      <c r="BW4788" s="908"/>
      <c r="BX4788" s="908"/>
      <c r="BY4788" s="331"/>
      <c r="BZ4788" s="331"/>
      <c r="CA4788" s="462"/>
      <c r="CB4788" s="319"/>
      <c r="CC4788" s="319"/>
      <c r="CD4788" s="319"/>
      <c r="CE4788" s="319"/>
      <c r="CF4788" s="319"/>
      <c r="CG4788" s="319"/>
      <c r="CH4788" s="318"/>
      <c r="CI4788" s="319"/>
      <c r="CJ4788" s="319"/>
      <c r="CK4788" s="342"/>
      <c r="CL4788" s="333"/>
      <c r="CM4788" s="1079"/>
      <c r="CN4788" s="1005"/>
      <c r="CO4788" s="1005"/>
      <c r="CP4788" s="1005"/>
    </row>
    <row r="4789">
      <c r="A4789" s="1257"/>
      <c r="B4789" s="1113"/>
      <c r="C4789" s="1107"/>
      <c r="D4789" s="103"/>
      <c r="E4789" s="1137"/>
      <c r="F4789" s="112"/>
      <c r="G4789" s="1110"/>
      <c r="H4789" s="1138"/>
      <c r="I4789" s="1138"/>
      <c r="J4789" s="1139"/>
      <c r="K4789" s="1111"/>
      <c r="L4789" s="1112"/>
      <c r="M4789" s="1113"/>
      <c r="N4789" s="110"/>
      <c r="O4789" s="1140"/>
      <c r="P4789" s="1115"/>
      <c r="Q4789" s="1116"/>
      <c r="R4789" s="1141"/>
      <c r="S4789" s="1113"/>
      <c r="T4789" s="1143"/>
      <c r="U4789" s="1108"/>
      <c r="V4789" s="1108"/>
      <c r="W4789" s="1108"/>
      <c r="X4789" s="1108"/>
      <c r="Y4789" s="1108"/>
      <c r="Z4789" s="1114"/>
      <c r="AA4789" s="1114"/>
      <c r="AB4789" s="1114"/>
      <c r="AC4789" s="1117"/>
      <c r="AD4789" s="1115"/>
      <c r="AE4789" s="1115"/>
      <c r="AF4789" s="1115"/>
      <c r="AG4789" s="1115"/>
      <c r="AH4789" s="1115"/>
      <c r="AI4789" s="1115"/>
      <c r="AJ4789" s="1117"/>
      <c r="AK4789" s="1118"/>
      <c r="AL4789" s="1115"/>
      <c r="AM4789" s="1115"/>
      <c r="AN4789" s="1115"/>
      <c r="AO4789" s="1115"/>
      <c r="AP4789" s="1115"/>
      <c r="AQ4789" s="1115"/>
      <c r="AR4789" s="1115"/>
      <c r="AS4789" s="1117"/>
      <c r="AT4789" s="1075"/>
      <c r="AU4789" s="1193"/>
      <c r="AV4789" s="330"/>
      <c r="AW4789" s="331"/>
      <c r="AX4789" s="331"/>
      <c r="AY4789" s="331"/>
      <c r="AZ4789" s="331"/>
      <c r="BA4789" s="331"/>
      <c r="BB4789" s="331"/>
      <c r="BC4789" s="331"/>
      <c r="BD4789" s="331"/>
      <c r="BE4789" s="333"/>
      <c r="BF4789" s="330"/>
      <c r="BG4789" s="333"/>
      <c r="BH4789" s="1119"/>
      <c r="BI4789" s="319"/>
      <c r="BJ4789" s="319"/>
      <c r="BK4789" s="319"/>
      <c r="BL4789" s="319"/>
      <c r="BM4789" s="319"/>
      <c r="BN4789" s="319"/>
      <c r="BO4789" s="319"/>
      <c r="BP4789" s="953"/>
      <c r="BQ4789" s="319"/>
      <c r="BR4789" s="319"/>
      <c r="BS4789" s="330"/>
      <c r="BT4789" s="331"/>
      <c r="BU4789" s="920"/>
      <c r="BV4789" s="903"/>
      <c r="BW4789" s="908"/>
      <c r="BX4789" s="908"/>
      <c r="BY4789" s="331"/>
      <c r="BZ4789" s="331"/>
      <c r="CA4789" s="462"/>
      <c r="CB4789" s="319"/>
      <c r="CC4789" s="319"/>
      <c r="CD4789" s="319"/>
      <c r="CE4789" s="319"/>
      <c r="CF4789" s="319"/>
      <c r="CG4789" s="319"/>
      <c r="CH4789" s="318"/>
      <c r="CI4789" s="319"/>
      <c r="CJ4789" s="319"/>
      <c r="CK4789" s="342"/>
      <c r="CL4789" s="333"/>
      <c r="CM4789" s="1079"/>
      <c r="CN4789" s="1005"/>
      <c r="CO4789" s="1005"/>
      <c r="CP4789" s="1005"/>
    </row>
    <row r="4790">
      <c r="A4790" s="1257"/>
      <c r="B4790" s="1113"/>
      <c r="C4790" s="1107"/>
      <c r="D4790" s="103"/>
      <c r="E4790" s="1137"/>
      <c r="F4790" s="112"/>
      <c r="G4790" s="1110"/>
      <c r="H4790" s="1138"/>
      <c r="I4790" s="1138"/>
      <c r="J4790" s="1139"/>
      <c r="K4790" s="1111"/>
      <c r="L4790" s="1112"/>
      <c r="M4790" s="1113"/>
      <c r="N4790" s="110"/>
      <c r="O4790" s="1140"/>
      <c r="P4790" s="1115"/>
      <c r="Q4790" s="1116"/>
      <c r="R4790" s="1141"/>
      <c r="S4790" s="1113"/>
      <c r="T4790" s="1143"/>
      <c r="U4790" s="1108"/>
      <c r="V4790" s="1108"/>
      <c r="W4790" s="1108"/>
      <c r="X4790" s="1108"/>
      <c r="Y4790" s="1108"/>
      <c r="Z4790" s="1114"/>
      <c r="AA4790" s="1114"/>
      <c r="AB4790" s="1114"/>
      <c r="AC4790" s="1117"/>
      <c r="AD4790" s="1115"/>
      <c r="AE4790" s="1115"/>
      <c r="AF4790" s="1115"/>
      <c r="AG4790" s="1115"/>
      <c r="AH4790" s="1115"/>
      <c r="AI4790" s="1115"/>
      <c r="AJ4790" s="1117"/>
      <c r="AK4790" s="1118"/>
      <c r="AL4790" s="1115"/>
      <c r="AM4790" s="1115"/>
      <c r="AN4790" s="1115"/>
      <c r="AO4790" s="1115"/>
      <c r="AP4790" s="1115"/>
      <c r="AQ4790" s="1115"/>
      <c r="AR4790" s="1115"/>
      <c r="AS4790" s="1117"/>
      <c r="AT4790" s="1075"/>
      <c r="AU4790" s="1193"/>
      <c r="AV4790" s="330"/>
      <c r="AW4790" s="331"/>
      <c r="AX4790" s="331"/>
      <c r="AY4790" s="331"/>
      <c r="AZ4790" s="331"/>
      <c r="BA4790" s="331"/>
      <c r="BB4790" s="331"/>
      <c r="BC4790" s="331"/>
      <c r="BD4790" s="331"/>
      <c r="BE4790" s="333"/>
      <c r="BF4790" s="330"/>
      <c r="BG4790" s="333"/>
      <c r="BH4790" s="1119"/>
      <c r="BI4790" s="319"/>
      <c r="BJ4790" s="319"/>
      <c r="BK4790" s="319"/>
      <c r="BL4790" s="319"/>
      <c r="BM4790" s="319"/>
      <c r="BN4790" s="319"/>
      <c r="BO4790" s="319"/>
      <c r="BP4790" s="953"/>
      <c r="BQ4790" s="319"/>
      <c r="BR4790" s="319"/>
      <c r="BS4790" s="330"/>
      <c r="BT4790" s="331"/>
      <c r="BU4790" s="920"/>
      <c r="BV4790" s="903"/>
      <c r="BW4790" s="908"/>
      <c r="BX4790" s="908"/>
      <c r="BY4790" s="331"/>
      <c r="BZ4790" s="331"/>
      <c r="CA4790" s="462"/>
      <c r="CB4790" s="319"/>
      <c r="CC4790" s="319"/>
      <c r="CD4790" s="319"/>
      <c r="CE4790" s="319"/>
      <c r="CF4790" s="319"/>
      <c r="CG4790" s="319"/>
      <c r="CH4790" s="318"/>
      <c r="CI4790" s="319"/>
      <c r="CJ4790" s="319"/>
      <c r="CK4790" s="342"/>
      <c r="CL4790" s="333"/>
      <c r="CM4790" s="1079"/>
      <c r="CN4790" s="1005"/>
      <c r="CO4790" s="1005"/>
      <c r="CP4790" s="1005"/>
    </row>
    <row r="4791">
      <c r="A4791" s="1257"/>
      <c r="B4791" s="1113"/>
      <c r="C4791" s="1107"/>
      <c r="D4791" s="103"/>
      <c r="E4791" s="1137"/>
      <c r="F4791" s="112"/>
      <c r="G4791" s="1110"/>
      <c r="H4791" s="1138"/>
      <c r="I4791" s="1138"/>
      <c r="J4791" s="1139"/>
      <c r="K4791" s="1111"/>
      <c r="L4791" s="1112"/>
      <c r="M4791" s="1113"/>
      <c r="N4791" s="110"/>
      <c r="O4791" s="1140"/>
      <c r="P4791" s="1115"/>
      <c r="Q4791" s="1116"/>
      <c r="R4791" s="1141"/>
      <c r="S4791" s="1113"/>
      <c r="T4791" s="1143"/>
      <c r="U4791" s="1108"/>
      <c r="V4791" s="1108"/>
      <c r="W4791" s="1108"/>
      <c r="X4791" s="1108"/>
      <c r="Y4791" s="1108"/>
      <c r="Z4791" s="1114"/>
      <c r="AA4791" s="1114"/>
      <c r="AB4791" s="1114"/>
      <c r="AC4791" s="1117"/>
      <c r="AD4791" s="1115"/>
      <c r="AE4791" s="1115"/>
      <c r="AF4791" s="1115"/>
      <c r="AG4791" s="1115"/>
      <c r="AH4791" s="1115"/>
      <c r="AI4791" s="1115"/>
      <c r="AJ4791" s="1117"/>
      <c r="AK4791" s="1118"/>
      <c r="AL4791" s="1115"/>
      <c r="AM4791" s="1115"/>
      <c r="AN4791" s="1115"/>
      <c r="AO4791" s="1115"/>
      <c r="AP4791" s="1115"/>
      <c r="AQ4791" s="1115"/>
      <c r="AR4791" s="1115"/>
      <c r="AS4791" s="1117"/>
      <c r="AT4791" s="1075"/>
      <c r="AU4791" s="1193"/>
      <c r="AV4791" s="330"/>
      <c r="AW4791" s="331"/>
      <c r="AX4791" s="331"/>
      <c r="AY4791" s="331"/>
      <c r="AZ4791" s="331"/>
      <c r="BA4791" s="331"/>
      <c r="BB4791" s="331"/>
      <c r="BC4791" s="331"/>
      <c r="BD4791" s="331"/>
      <c r="BE4791" s="333"/>
      <c r="BF4791" s="330"/>
      <c r="BG4791" s="333"/>
      <c r="BH4791" s="1119"/>
      <c r="BI4791" s="319"/>
      <c r="BJ4791" s="319"/>
      <c r="BK4791" s="319"/>
      <c r="BL4791" s="319"/>
      <c r="BM4791" s="319"/>
      <c r="BN4791" s="319"/>
      <c r="BO4791" s="319"/>
      <c r="BP4791" s="953"/>
      <c r="BQ4791" s="319"/>
      <c r="BR4791" s="319"/>
      <c r="BS4791" s="330"/>
      <c r="BT4791" s="331"/>
      <c r="BU4791" s="920"/>
      <c r="BV4791" s="903"/>
      <c r="BW4791" s="908"/>
      <c r="BX4791" s="908"/>
      <c r="BY4791" s="331"/>
      <c r="BZ4791" s="331"/>
      <c r="CA4791" s="462"/>
      <c r="CB4791" s="319"/>
      <c r="CC4791" s="319"/>
      <c r="CD4791" s="319"/>
      <c r="CE4791" s="319"/>
      <c r="CF4791" s="319"/>
      <c r="CG4791" s="319"/>
      <c r="CH4791" s="318"/>
      <c r="CI4791" s="319"/>
      <c r="CJ4791" s="319"/>
      <c r="CK4791" s="342"/>
      <c r="CL4791" s="333"/>
      <c r="CM4791" s="1079"/>
      <c r="CN4791" s="1005"/>
      <c r="CO4791" s="1005"/>
      <c r="CP4791" s="1005"/>
    </row>
    <row r="4792">
      <c r="A4792" s="1257"/>
      <c r="B4792" s="1113"/>
      <c r="C4792" s="1107"/>
      <c r="D4792" s="103"/>
      <c r="E4792" s="1137"/>
      <c r="F4792" s="112"/>
      <c r="G4792" s="1110"/>
      <c r="H4792" s="1138"/>
      <c r="I4792" s="1138"/>
      <c r="J4792" s="1139"/>
      <c r="K4792" s="1111"/>
      <c r="L4792" s="1112"/>
      <c r="M4792" s="1113"/>
      <c r="N4792" s="110"/>
      <c r="O4792" s="1140"/>
      <c r="P4792" s="1115"/>
      <c r="Q4792" s="1116"/>
      <c r="R4792" s="1141"/>
      <c r="S4792" s="1113"/>
      <c r="T4792" s="1143"/>
      <c r="U4792" s="1108"/>
      <c r="V4792" s="1108"/>
      <c r="W4792" s="1108"/>
      <c r="X4792" s="1108"/>
      <c r="Y4792" s="1108"/>
      <c r="Z4792" s="1114"/>
      <c r="AA4792" s="1114"/>
      <c r="AB4792" s="1114"/>
      <c r="AC4792" s="1117"/>
      <c r="AD4792" s="1115"/>
      <c r="AE4792" s="1115"/>
      <c r="AF4792" s="1115"/>
      <c r="AG4792" s="1115"/>
      <c r="AH4792" s="1115"/>
      <c r="AI4792" s="1115"/>
      <c r="AJ4792" s="1117"/>
      <c r="AK4792" s="1118"/>
      <c r="AL4792" s="1115"/>
      <c r="AM4792" s="1115"/>
      <c r="AN4792" s="1115"/>
      <c r="AO4792" s="1115"/>
      <c r="AP4792" s="1115"/>
      <c r="AQ4792" s="1115"/>
      <c r="AR4792" s="1115"/>
      <c r="AS4792" s="1117"/>
      <c r="AT4792" s="1075"/>
      <c r="AU4792" s="1193"/>
      <c r="AV4792" s="330"/>
      <c r="AW4792" s="331"/>
      <c r="AX4792" s="331"/>
      <c r="AY4792" s="331"/>
      <c r="AZ4792" s="331"/>
      <c r="BA4792" s="331"/>
      <c r="BB4792" s="331"/>
      <c r="BC4792" s="331"/>
      <c r="BD4792" s="331"/>
      <c r="BE4792" s="333"/>
      <c r="BF4792" s="330"/>
      <c r="BG4792" s="333"/>
      <c r="BH4792" s="1119"/>
      <c r="BI4792" s="319"/>
      <c r="BJ4792" s="319"/>
      <c r="BK4792" s="319"/>
      <c r="BL4792" s="319"/>
      <c r="BM4792" s="319"/>
      <c r="BN4792" s="319"/>
      <c r="BO4792" s="319"/>
      <c r="BP4792" s="953"/>
      <c r="BQ4792" s="319"/>
      <c r="BR4792" s="319"/>
      <c r="BS4792" s="330"/>
      <c r="BT4792" s="331"/>
      <c r="BU4792" s="920"/>
      <c r="BV4792" s="903"/>
      <c r="BW4792" s="908"/>
      <c r="BX4792" s="908"/>
      <c r="BY4792" s="331"/>
      <c r="BZ4792" s="331"/>
      <c r="CA4792" s="462"/>
      <c r="CB4792" s="319"/>
      <c r="CC4792" s="319"/>
      <c r="CD4792" s="319"/>
      <c r="CE4792" s="319"/>
      <c r="CF4792" s="319"/>
      <c r="CG4792" s="319"/>
      <c r="CH4792" s="318"/>
      <c r="CI4792" s="319"/>
      <c r="CJ4792" s="319"/>
      <c r="CK4792" s="342"/>
      <c r="CL4792" s="333"/>
      <c r="CM4792" s="1079"/>
      <c r="CN4792" s="1005"/>
      <c r="CO4792" s="1005"/>
      <c r="CP4792" s="1005"/>
    </row>
    <row r="4793">
      <c r="A4793" s="1257"/>
      <c r="B4793" s="1113"/>
      <c r="C4793" s="1107"/>
      <c r="D4793" s="103"/>
      <c r="E4793" s="1137"/>
      <c r="F4793" s="112"/>
      <c r="G4793" s="1110"/>
      <c r="H4793" s="1138"/>
      <c r="I4793" s="1138"/>
      <c r="J4793" s="1139"/>
      <c r="K4793" s="1111"/>
      <c r="L4793" s="1112"/>
      <c r="M4793" s="1113"/>
      <c r="N4793" s="110"/>
      <c r="O4793" s="1140"/>
      <c r="P4793" s="1115"/>
      <c r="Q4793" s="1116"/>
      <c r="R4793" s="1141"/>
      <c r="S4793" s="1113"/>
      <c r="T4793" s="1143"/>
      <c r="U4793" s="1108"/>
      <c r="V4793" s="1108"/>
      <c r="W4793" s="1108"/>
      <c r="X4793" s="1108"/>
      <c r="Y4793" s="1108"/>
      <c r="Z4793" s="1114"/>
      <c r="AA4793" s="1114"/>
      <c r="AB4793" s="1114"/>
      <c r="AC4793" s="1117"/>
      <c r="AD4793" s="1115"/>
      <c r="AE4793" s="1115"/>
      <c r="AF4793" s="1115"/>
      <c r="AG4793" s="1115"/>
      <c r="AH4793" s="1115"/>
      <c r="AI4793" s="1115"/>
      <c r="AJ4793" s="1117"/>
      <c r="AK4793" s="1118"/>
      <c r="AL4793" s="1115"/>
      <c r="AM4793" s="1115"/>
      <c r="AN4793" s="1115"/>
      <c r="AO4793" s="1115"/>
      <c r="AP4793" s="1115"/>
      <c r="AQ4793" s="1115"/>
      <c r="AR4793" s="1115"/>
      <c r="AS4793" s="1117"/>
      <c r="AT4793" s="1075"/>
      <c r="AU4793" s="1193"/>
      <c r="AV4793" s="330"/>
      <c r="AW4793" s="331"/>
      <c r="AX4793" s="331"/>
      <c r="AY4793" s="331"/>
      <c r="AZ4793" s="331"/>
      <c r="BA4793" s="331"/>
      <c r="BB4793" s="331"/>
      <c r="BC4793" s="331"/>
      <c r="BD4793" s="331"/>
      <c r="BE4793" s="333"/>
      <c r="BF4793" s="330"/>
      <c r="BG4793" s="333"/>
      <c r="BH4793" s="1119"/>
      <c r="BI4793" s="319"/>
      <c r="BJ4793" s="319"/>
      <c r="BK4793" s="319"/>
      <c r="BL4793" s="319"/>
      <c r="BM4793" s="319"/>
      <c r="BN4793" s="319"/>
      <c r="BO4793" s="319"/>
      <c r="BP4793" s="953"/>
      <c r="BQ4793" s="319"/>
      <c r="BR4793" s="319"/>
      <c r="BS4793" s="330"/>
      <c r="BT4793" s="331"/>
      <c r="BU4793" s="920"/>
      <c r="BV4793" s="903"/>
      <c r="BW4793" s="908"/>
      <c r="BX4793" s="908"/>
      <c r="BY4793" s="331"/>
      <c r="BZ4793" s="331"/>
      <c r="CA4793" s="462"/>
      <c r="CB4793" s="319"/>
      <c r="CC4793" s="319"/>
      <c r="CD4793" s="319"/>
      <c r="CE4793" s="319"/>
      <c r="CF4793" s="319"/>
      <c r="CG4793" s="319"/>
      <c r="CH4793" s="318"/>
      <c r="CI4793" s="319"/>
      <c r="CJ4793" s="319"/>
      <c r="CK4793" s="342"/>
      <c r="CL4793" s="333"/>
      <c r="CM4793" s="1079"/>
      <c r="CN4793" s="1005"/>
      <c r="CO4793" s="1005"/>
      <c r="CP4793" s="1005"/>
    </row>
    <row r="4794">
      <c r="A4794" s="1257"/>
      <c r="B4794" s="1113"/>
      <c r="C4794" s="1107"/>
      <c r="D4794" s="103"/>
      <c r="E4794" s="1137"/>
      <c r="F4794" s="112"/>
      <c r="G4794" s="1110"/>
      <c r="H4794" s="1138"/>
      <c r="I4794" s="1138"/>
      <c r="J4794" s="1139"/>
      <c r="K4794" s="1111"/>
      <c r="L4794" s="1112"/>
      <c r="M4794" s="1113"/>
      <c r="N4794" s="110"/>
      <c r="O4794" s="1140"/>
      <c r="P4794" s="1115"/>
      <c r="Q4794" s="1116"/>
      <c r="R4794" s="1141"/>
      <c r="S4794" s="1113"/>
      <c r="T4794" s="1143"/>
      <c r="U4794" s="1108"/>
      <c r="V4794" s="1108"/>
      <c r="W4794" s="1108"/>
      <c r="X4794" s="1108"/>
      <c r="Y4794" s="1108"/>
      <c r="Z4794" s="1114"/>
      <c r="AA4794" s="1114"/>
      <c r="AB4794" s="1114"/>
      <c r="AC4794" s="1117"/>
      <c r="AD4794" s="1115"/>
      <c r="AE4794" s="1115"/>
      <c r="AF4794" s="1115"/>
      <c r="AG4794" s="1115"/>
      <c r="AH4794" s="1115"/>
      <c r="AI4794" s="1115"/>
      <c r="AJ4794" s="1117"/>
      <c r="AK4794" s="1118"/>
      <c r="AL4794" s="1115"/>
      <c r="AM4794" s="1115"/>
      <c r="AN4794" s="1115"/>
      <c r="AO4794" s="1115"/>
      <c r="AP4794" s="1115"/>
      <c r="AQ4794" s="1115"/>
      <c r="AR4794" s="1115"/>
      <c r="AS4794" s="1117"/>
      <c r="AT4794" s="1075"/>
      <c r="AU4794" s="1193"/>
      <c r="AV4794" s="330"/>
      <c r="AW4794" s="331"/>
      <c r="AX4794" s="331"/>
      <c r="AY4794" s="331"/>
      <c r="AZ4794" s="331"/>
      <c r="BA4794" s="331"/>
      <c r="BB4794" s="331"/>
      <c r="BC4794" s="331"/>
      <c r="BD4794" s="331"/>
      <c r="BE4794" s="333"/>
      <c r="BF4794" s="330"/>
      <c r="BG4794" s="333"/>
      <c r="BH4794" s="1119"/>
      <c r="BI4794" s="319"/>
      <c r="BJ4794" s="319"/>
      <c r="BK4794" s="319"/>
      <c r="BL4794" s="319"/>
      <c r="BM4794" s="319"/>
      <c r="BN4794" s="319"/>
      <c r="BO4794" s="319"/>
      <c r="BP4794" s="953"/>
      <c r="BQ4794" s="319"/>
      <c r="BR4794" s="319"/>
      <c r="BS4794" s="330"/>
      <c r="BT4794" s="331"/>
      <c r="BU4794" s="920"/>
      <c r="BV4794" s="903"/>
      <c r="BW4794" s="908"/>
      <c r="BX4794" s="908"/>
      <c r="BY4794" s="331"/>
      <c r="BZ4794" s="331"/>
      <c r="CA4794" s="462"/>
      <c r="CB4794" s="319"/>
      <c r="CC4794" s="319"/>
      <c r="CD4794" s="319"/>
      <c r="CE4794" s="319"/>
      <c r="CF4794" s="319"/>
      <c r="CG4794" s="319"/>
      <c r="CH4794" s="318"/>
      <c r="CI4794" s="319"/>
      <c r="CJ4794" s="319"/>
      <c r="CK4794" s="342"/>
      <c r="CL4794" s="333"/>
      <c r="CM4794" s="1079"/>
      <c r="CN4794" s="1005"/>
      <c r="CO4794" s="1005"/>
      <c r="CP4794" s="1005"/>
    </row>
    <row r="4795">
      <c r="A4795" s="1257"/>
      <c r="B4795" s="1113"/>
      <c r="C4795" s="1107"/>
      <c r="D4795" s="103"/>
      <c r="E4795" s="1137"/>
      <c r="F4795" s="112"/>
      <c r="G4795" s="1110"/>
      <c r="H4795" s="1138"/>
      <c r="I4795" s="1138"/>
      <c r="J4795" s="1139"/>
      <c r="K4795" s="1111"/>
      <c r="L4795" s="1112"/>
      <c r="M4795" s="1113"/>
      <c r="N4795" s="110"/>
      <c r="O4795" s="1140"/>
      <c r="P4795" s="1115"/>
      <c r="Q4795" s="1116"/>
      <c r="R4795" s="1141"/>
      <c r="S4795" s="1113"/>
      <c r="T4795" s="1143"/>
      <c r="U4795" s="1108"/>
      <c r="V4795" s="1108"/>
      <c r="W4795" s="1108"/>
      <c r="X4795" s="1108"/>
      <c r="Y4795" s="1108"/>
      <c r="Z4795" s="1114"/>
      <c r="AA4795" s="1114"/>
      <c r="AB4795" s="1114"/>
      <c r="AC4795" s="1117"/>
      <c r="AD4795" s="1115"/>
      <c r="AE4795" s="1115"/>
      <c r="AF4795" s="1115"/>
      <c r="AG4795" s="1115"/>
      <c r="AH4795" s="1115"/>
      <c r="AI4795" s="1115"/>
      <c r="AJ4795" s="1117"/>
      <c r="AK4795" s="1118"/>
      <c r="AL4795" s="1115"/>
      <c r="AM4795" s="1115"/>
      <c r="AN4795" s="1115"/>
      <c r="AO4795" s="1115"/>
      <c r="AP4795" s="1115"/>
      <c r="AQ4795" s="1115"/>
      <c r="AR4795" s="1115"/>
      <c r="AS4795" s="1117"/>
      <c r="AT4795" s="1075"/>
      <c r="AU4795" s="1193"/>
      <c r="AV4795" s="330"/>
      <c r="AW4795" s="331"/>
      <c r="AX4795" s="331"/>
      <c r="AY4795" s="331"/>
      <c r="AZ4795" s="331"/>
      <c r="BA4795" s="331"/>
      <c r="BB4795" s="331"/>
      <c r="BC4795" s="331"/>
      <c r="BD4795" s="331"/>
      <c r="BE4795" s="333"/>
      <c r="BF4795" s="330"/>
      <c r="BG4795" s="333"/>
      <c r="BH4795" s="1119"/>
      <c r="BI4795" s="319"/>
      <c r="BJ4795" s="319"/>
      <c r="BK4795" s="319"/>
      <c r="BL4795" s="319"/>
      <c r="BM4795" s="319"/>
      <c r="BN4795" s="319"/>
      <c r="BO4795" s="319"/>
      <c r="BP4795" s="953"/>
      <c r="BQ4795" s="319"/>
      <c r="BR4795" s="319"/>
      <c r="BS4795" s="330"/>
      <c r="BT4795" s="331"/>
      <c r="BU4795" s="920"/>
      <c r="BV4795" s="903"/>
      <c r="BW4795" s="908"/>
      <c r="BX4795" s="908"/>
      <c r="BY4795" s="331"/>
      <c r="BZ4795" s="331"/>
      <c r="CA4795" s="462"/>
      <c r="CB4795" s="319"/>
      <c r="CC4795" s="319"/>
      <c r="CD4795" s="319"/>
      <c r="CE4795" s="319"/>
      <c r="CF4795" s="319"/>
      <c r="CG4795" s="319"/>
      <c r="CH4795" s="318"/>
      <c r="CI4795" s="319"/>
      <c r="CJ4795" s="319"/>
      <c r="CK4795" s="342"/>
      <c r="CL4795" s="333"/>
      <c r="CM4795" s="1079"/>
      <c r="CN4795" s="1005"/>
      <c r="CO4795" s="1005"/>
      <c r="CP4795" s="1005"/>
    </row>
    <row r="4796">
      <c r="A4796" s="1257"/>
      <c r="B4796" s="1113"/>
      <c r="C4796" s="1107"/>
      <c r="D4796" s="103"/>
      <c r="E4796" s="1137"/>
      <c r="F4796" s="112"/>
      <c r="G4796" s="1110"/>
      <c r="H4796" s="1138"/>
      <c r="I4796" s="1138"/>
      <c r="J4796" s="1139"/>
      <c r="K4796" s="1111"/>
      <c r="L4796" s="1112"/>
      <c r="M4796" s="1113"/>
      <c r="N4796" s="110"/>
      <c r="O4796" s="1140"/>
      <c r="P4796" s="1115"/>
      <c r="Q4796" s="1116"/>
      <c r="R4796" s="1141"/>
      <c r="S4796" s="1113"/>
      <c r="T4796" s="1143"/>
      <c r="U4796" s="1108"/>
      <c r="V4796" s="1108"/>
      <c r="W4796" s="1108"/>
      <c r="X4796" s="1108"/>
      <c r="Y4796" s="1108"/>
      <c r="Z4796" s="1114"/>
      <c r="AA4796" s="1114"/>
      <c r="AB4796" s="1114"/>
      <c r="AC4796" s="1117"/>
      <c r="AD4796" s="1115"/>
      <c r="AE4796" s="1115"/>
      <c r="AF4796" s="1115"/>
      <c r="AG4796" s="1115"/>
      <c r="AH4796" s="1115"/>
      <c r="AI4796" s="1115"/>
      <c r="AJ4796" s="1117"/>
      <c r="AK4796" s="1118"/>
      <c r="AL4796" s="1115"/>
      <c r="AM4796" s="1115"/>
      <c r="AN4796" s="1115"/>
      <c r="AO4796" s="1115"/>
      <c r="AP4796" s="1115"/>
      <c r="AQ4796" s="1115"/>
      <c r="AR4796" s="1115"/>
      <c r="AS4796" s="1117"/>
      <c r="AT4796" s="1075"/>
      <c r="AU4796" s="1193"/>
      <c r="AV4796" s="330"/>
      <c r="AW4796" s="331"/>
      <c r="AX4796" s="331"/>
      <c r="AY4796" s="331"/>
      <c r="AZ4796" s="331"/>
      <c r="BA4796" s="331"/>
      <c r="BB4796" s="331"/>
      <c r="BC4796" s="331"/>
      <c r="BD4796" s="331"/>
      <c r="BE4796" s="333"/>
      <c r="BF4796" s="330"/>
      <c r="BG4796" s="333"/>
      <c r="BH4796" s="1119"/>
      <c r="BI4796" s="319"/>
      <c r="BJ4796" s="319"/>
      <c r="BK4796" s="319"/>
      <c r="BL4796" s="319"/>
      <c r="BM4796" s="319"/>
      <c r="BN4796" s="319"/>
      <c r="BO4796" s="319"/>
      <c r="BP4796" s="953"/>
      <c r="BQ4796" s="319"/>
      <c r="BR4796" s="319"/>
      <c r="BS4796" s="330"/>
      <c r="BT4796" s="331"/>
      <c r="BU4796" s="920"/>
      <c r="BV4796" s="903"/>
      <c r="BW4796" s="908"/>
      <c r="BX4796" s="908"/>
      <c r="BY4796" s="331"/>
      <c r="BZ4796" s="331"/>
      <c r="CA4796" s="462"/>
      <c r="CB4796" s="319"/>
      <c r="CC4796" s="319"/>
      <c r="CD4796" s="319"/>
      <c r="CE4796" s="319"/>
      <c r="CF4796" s="319"/>
      <c r="CG4796" s="319"/>
      <c r="CH4796" s="318"/>
      <c r="CI4796" s="319"/>
      <c r="CJ4796" s="319"/>
      <c r="CK4796" s="342"/>
      <c r="CL4796" s="333"/>
      <c r="CM4796" s="1079"/>
      <c r="CN4796" s="1005"/>
      <c r="CO4796" s="1005"/>
      <c r="CP4796" s="1005"/>
    </row>
    <row r="4797">
      <c r="A4797" s="1257"/>
      <c r="B4797" s="1113"/>
      <c r="C4797" s="1107"/>
      <c r="D4797" s="103"/>
      <c r="E4797" s="1137"/>
      <c r="F4797" s="112"/>
      <c r="G4797" s="1110"/>
      <c r="H4797" s="1138"/>
      <c r="I4797" s="1138"/>
      <c r="J4797" s="1139"/>
      <c r="K4797" s="1111"/>
      <c r="L4797" s="1112"/>
      <c r="M4797" s="1113"/>
      <c r="N4797" s="110"/>
      <c r="O4797" s="1140"/>
      <c r="P4797" s="1115"/>
      <c r="Q4797" s="1116"/>
      <c r="R4797" s="1141"/>
      <c r="S4797" s="1113"/>
      <c r="T4797" s="1143"/>
      <c r="U4797" s="1108"/>
      <c r="V4797" s="1108"/>
      <c r="W4797" s="1108"/>
      <c r="X4797" s="1108"/>
      <c r="Y4797" s="1108"/>
      <c r="Z4797" s="1114"/>
      <c r="AA4797" s="1114"/>
      <c r="AB4797" s="1114"/>
      <c r="AC4797" s="1117"/>
      <c r="AD4797" s="1115"/>
      <c r="AE4797" s="1115"/>
      <c r="AF4797" s="1115"/>
      <c r="AG4797" s="1115"/>
      <c r="AH4797" s="1115"/>
      <c r="AI4797" s="1115"/>
      <c r="AJ4797" s="1117"/>
      <c r="AK4797" s="1118"/>
      <c r="AL4797" s="1115"/>
      <c r="AM4797" s="1115"/>
      <c r="AN4797" s="1115"/>
      <c r="AO4797" s="1115"/>
      <c r="AP4797" s="1115"/>
      <c r="AQ4797" s="1115"/>
      <c r="AR4797" s="1115"/>
      <c r="AS4797" s="1117"/>
      <c r="AT4797" s="1075"/>
      <c r="AU4797" s="1193"/>
      <c r="AV4797" s="330"/>
      <c r="AW4797" s="331"/>
      <c r="AX4797" s="331"/>
      <c r="AY4797" s="331"/>
      <c r="AZ4797" s="331"/>
      <c r="BA4797" s="331"/>
      <c r="BB4797" s="331"/>
      <c r="BC4797" s="331"/>
      <c r="BD4797" s="331"/>
      <c r="BE4797" s="333"/>
      <c r="BF4797" s="330"/>
      <c r="BG4797" s="333"/>
      <c r="BH4797" s="1119"/>
      <c r="BI4797" s="319"/>
      <c r="BJ4797" s="319"/>
      <c r="BK4797" s="319"/>
      <c r="BL4797" s="319"/>
      <c r="BM4797" s="319"/>
      <c r="BN4797" s="319"/>
      <c r="BO4797" s="319"/>
      <c r="BP4797" s="953"/>
      <c r="BQ4797" s="319"/>
      <c r="BR4797" s="319"/>
      <c r="BS4797" s="330"/>
      <c r="BT4797" s="331"/>
      <c r="BU4797" s="920"/>
      <c r="BV4797" s="903"/>
      <c r="BW4797" s="908"/>
      <c r="BX4797" s="908"/>
      <c r="BY4797" s="331"/>
      <c r="BZ4797" s="331"/>
      <c r="CA4797" s="462"/>
      <c r="CB4797" s="319"/>
      <c r="CC4797" s="319"/>
      <c r="CD4797" s="319"/>
      <c r="CE4797" s="319"/>
      <c r="CF4797" s="319"/>
      <c r="CG4797" s="319"/>
      <c r="CH4797" s="318"/>
      <c r="CI4797" s="319"/>
      <c r="CJ4797" s="319"/>
      <c r="CK4797" s="342"/>
      <c r="CL4797" s="333"/>
      <c r="CM4797" s="1079"/>
      <c r="CN4797" s="1005"/>
      <c r="CO4797" s="1005"/>
      <c r="CP4797" s="1005"/>
    </row>
    <row r="4798">
      <c r="A4798" s="1257"/>
      <c r="B4798" s="1113"/>
      <c r="C4798" s="1107"/>
      <c r="D4798" s="103"/>
      <c r="E4798" s="1137"/>
      <c r="F4798" s="112"/>
      <c r="G4798" s="1110"/>
      <c r="H4798" s="1138"/>
      <c r="I4798" s="1138"/>
      <c r="J4798" s="1139"/>
      <c r="K4798" s="1111"/>
      <c r="L4798" s="1112"/>
      <c r="M4798" s="1113"/>
      <c r="N4798" s="110"/>
      <c r="O4798" s="1140"/>
      <c r="P4798" s="1115"/>
      <c r="Q4798" s="1116"/>
      <c r="R4798" s="1141"/>
      <c r="S4798" s="1113"/>
      <c r="T4798" s="1143"/>
      <c r="U4798" s="1108"/>
      <c r="V4798" s="1108"/>
      <c r="W4798" s="1108"/>
      <c r="X4798" s="1108"/>
      <c r="Y4798" s="1108"/>
      <c r="Z4798" s="1114"/>
      <c r="AA4798" s="1114"/>
      <c r="AB4798" s="1114"/>
      <c r="AC4798" s="1117"/>
      <c r="AD4798" s="1115"/>
      <c r="AE4798" s="1115"/>
      <c r="AF4798" s="1115"/>
      <c r="AG4798" s="1115"/>
      <c r="AH4798" s="1115"/>
      <c r="AI4798" s="1115"/>
      <c r="AJ4798" s="1117"/>
      <c r="AK4798" s="1118"/>
      <c r="AL4798" s="1115"/>
      <c r="AM4798" s="1115"/>
      <c r="AN4798" s="1115"/>
      <c r="AO4798" s="1115"/>
      <c r="AP4798" s="1115"/>
      <c r="AQ4798" s="1115"/>
      <c r="AR4798" s="1115"/>
      <c r="AS4798" s="1117"/>
      <c r="AT4798" s="1075"/>
      <c r="AU4798" s="1193"/>
      <c r="AV4798" s="330"/>
      <c r="AW4798" s="331"/>
      <c r="AX4798" s="331"/>
      <c r="AY4798" s="331"/>
      <c r="AZ4798" s="331"/>
      <c r="BA4798" s="331"/>
      <c r="BB4798" s="331"/>
      <c r="BC4798" s="331"/>
      <c r="BD4798" s="331"/>
      <c r="BE4798" s="333"/>
      <c r="BF4798" s="330"/>
      <c r="BG4798" s="333"/>
      <c r="BH4798" s="1119"/>
      <c r="BI4798" s="319"/>
      <c r="BJ4798" s="319"/>
      <c r="BK4798" s="319"/>
      <c r="BL4798" s="319"/>
      <c r="BM4798" s="319"/>
      <c r="BN4798" s="319"/>
      <c r="BO4798" s="319"/>
      <c r="BP4798" s="953"/>
      <c r="BQ4798" s="319"/>
      <c r="BR4798" s="319"/>
      <c r="BS4798" s="330"/>
      <c r="BT4798" s="331"/>
      <c r="BU4798" s="920"/>
      <c r="BV4798" s="903"/>
      <c r="BW4798" s="908"/>
      <c r="BX4798" s="908"/>
      <c r="BY4798" s="331"/>
      <c r="BZ4798" s="331"/>
      <c r="CA4798" s="462"/>
      <c r="CB4798" s="319"/>
      <c r="CC4798" s="319"/>
      <c r="CD4798" s="319"/>
      <c r="CE4798" s="319"/>
      <c r="CF4798" s="319"/>
      <c r="CG4798" s="319"/>
      <c r="CH4798" s="318"/>
      <c r="CI4798" s="319"/>
      <c r="CJ4798" s="319"/>
      <c r="CK4798" s="342"/>
      <c r="CL4798" s="333"/>
      <c r="CM4798" s="1079"/>
      <c r="CN4798" s="1005"/>
      <c r="CO4798" s="1005"/>
      <c r="CP4798" s="1005"/>
    </row>
    <row r="4799">
      <c r="A4799" s="1257"/>
      <c r="B4799" s="1113"/>
      <c r="C4799" s="1107"/>
      <c r="D4799" s="103"/>
      <c r="E4799" s="1137"/>
      <c r="F4799" s="112"/>
      <c r="G4799" s="1110"/>
      <c r="H4799" s="1138"/>
      <c r="I4799" s="1138"/>
      <c r="J4799" s="1139"/>
      <c r="K4799" s="1111"/>
      <c r="L4799" s="1112"/>
      <c r="M4799" s="1113"/>
      <c r="N4799" s="110"/>
      <c r="O4799" s="1140"/>
      <c r="P4799" s="1115"/>
      <c r="Q4799" s="1116"/>
      <c r="R4799" s="1141"/>
      <c r="S4799" s="1113"/>
      <c r="T4799" s="1143"/>
      <c r="U4799" s="1108"/>
      <c r="V4799" s="1108"/>
      <c r="W4799" s="1108"/>
      <c r="X4799" s="1108"/>
      <c r="Y4799" s="1108"/>
      <c r="Z4799" s="1114"/>
      <c r="AA4799" s="1114"/>
      <c r="AB4799" s="1114"/>
      <c r="AC4799" s="1117"/>
      <c r="AD4799" s="1115"/>
      <c r="AE4799" s="1115"/>
      <c r="AF4799" s="1115"/>
      <c r="AG4799" s="1115"/>
      <c r="AH4799" s="1115"/>
      <c r="AI4799" s="1115"/>
      <c r="AJ4799" s="1117"/>
      <c r="AK4799" s="1118"/>
      <c r="AL4799" s="1115"/>
      <c r="AM4799" s="1115"/>
      <c r="AN4799" s="1115"/>
      <c r="AO4799" s="1115"/>
      <c r="AP4799" s="1115"/>
      <c r="AQ4799" s="1115"/>
      <c r="AR4799" s="1115"/>
      <c r="AS4799" s="1117"/>
      <c r="AT4799" s="1075"/>
      <c r="AU4799" s="1193"/>
      <c r="AV4799" s="330"/>
      <c r="AW4799" s="331"/>
      <c r="AX4799" s="331"/>
      <c r="AY4799" s="331"/>
      <c r="AZ4799" s="331"/>
      <c r="BA4799" s="331"/>
      <c r="BB4799" s="331"/>
      <c r="BC4799" s="331"/>
      <c r="BD4799" s="331"/>
      <c r="BE4799" s="333"/>
      <c r="BF4799" s="330"/>
      <c r="BG4799" s="333"/>
      <c r="BH4799" s="1119"/>
      <c r="BI4799" s="319"/>
      <c r="BJ4799" s="319"/>
      <c r="BK4799" s="319"/>
      <c r="BL4799" s="319"/>
      <c r="BM4799" s="319"/>
      <c r="BN4799" s="319"/>
      <c r="BO4799" s="319"/>
      <c r="BP4799" s="953"/>
      <c r="BQ4799" s="319"/>
      <c r="BR4799" s="319"/>
      <c r="BS4799" s="330"/>
      <c r="BT4799" s="331"/>
      <c r="BU4799" s="920"/>
      <c r="BV4799" s="903"/>
      <c r="BW4799" s="908"/>
      <c r="BX4799" s="908"/>
      <c r="BY4799" s="331"/>
      <c r="BZ4799" s="331"/>
      <c r="CA4799" s="462"/>
      <c r="CB4799" s="319"/>
      <c r="CC4799" s="319"/>
      <c r="CD4799" s="319"/>
      <c r="CE4799" s="319"/>
      <c r="CF4799" s="319"/>
      <c r="CG4799" s="319"/>
      <c r="CH4799" s="318"/>
      <c r="CI4799" s="319"/>
      <c r="CJ4799" s="319"/>
      <c r="CK4799" s="342"/>
      <c r="CL4799" s="333"/>
      <c r="CM4799" s="1079"/>
      <c r="CN4799" s="1005"/>
      <c r="CO4799" s="1005"/>
      <c r="CP4799" s="1005"/>
    </row>
    <row r="4800">
      <c r="A4800" s="1257"/>
      <c r="B4800" s="1113"/>
      <c r="C4800" s="1107"/>
      <c r="D4800" s="103"/>
      <c r="E4800" s="1137"/>
      <c r="F4800" s="112"/>
      <c r="G4800" s="1110"/>
      <c r="H4800" s="1138"/>
      <c r="I4800" s="1138"/>
      <c r="J4800" s="1139"/>
      <c r="K4800" s="1111"/>
      <c r="L4800" s="1112"/>
      <c r="M4800" s="1113"/>
      <c r="N4800" s="110"/>
      <c r="O4800" s="1140"/>
      <c r="P4800" s="1115"/>
      <c r="Q4800" s="1116"/>
      <c r="R4800" s="1141"/>
      <c r="S4800" s="1113"/>
      <c r="T4800" s="1143"/>
      <c r="U4800" s="1108"/>
      <c r="V4800" s="1108"/>
      <c r="W4800" s="1108"/>
      <c r="X4800" s="1108"/>
      <c r="Y4800" s="1108"/>
      <c r="Z4800" s="1114"/>
      <c r="AA4800" s="1114"/>
      <c r="AB4800" s="1114"/>
      <c r="AC4800" s="1117"/>
      <c r="AD4800" s="1115"/>
      <c r="AE4800" s="1115"/>
      <c r="AF4800" s="1115"/>
      <c r="AG4800" s="1115"/>
      <c r="AH4800" s="1115"/>
      <c r="AI4800" s="1115"/>
      <c r="AJ4800" s="1117"/>
      <c r="AK4800" s="1118"/>
      <c r="AL4800" s="1115"/>
      <c r="AM4800" s="1115"/>
      <c r="AN4800" s="1115"/>
      <c r="AO4800" s="1115"/>
      <c r="AP4800" s="1115"/>
      <c r="AQ4800" s="1115"/>
      <c r="AR4800" s="1115"/>
      <c r="AS4800" s="1117"/>
      <c r="AT4800" s="1075"/>
      <c r="AU4800" s="1193"/>
      <c r="AV4800" s="330"/>
      <c r="AW4800" s="331"/>
      <c r="AX4800" s="331"/>
      <c r="AY4800" s="331"/>
      <c r="AZ4800" s="331"/>
      <c r="BA4800" s="331"/>
      <c r="BB4800" s="331"/>
      <c r="BC4800" s="331"/>
      <c r="BD4800" s="331"/>
      <c r="BE4800" s="333"/>
      <c r="BF4800" s="330"/>
      <c r="BG4800" s="333"/>
      <c r="BH4800" s="1119"/>
      <c r="BI4800" s="319"/>
      <c r="BJ4800" s="319"/>
      <c r="BK4800" s="319"/>
      <c r="BL4800" s="319"/>
      <c r="BM4800" s="319"/>
      <c r="BN4800" s="319"/>
      <c r="BO4800" s="319"/>
      <c r="BP4800" s="953"/>
      <c r="BQ4800" s="319"/>
      <c r="BR4800" s="319"/>
      <c r="BS4800" s="330"/>
      <c r="BT4800" s="331"/>
      <c r="BU4800" s="920"/>
      <c r="BV4800" s="903"/>
      <c r="BW4800" s="908"/>
      <c r="BX4800" s="908"/>
      <c r="BY4800" s="331"/>
      <c r="BZ4800" s="331"/>
      <c r="CA4800" s="462"/>
      <c r="CB4800" s="319"/>
      <c r="CC4800" s="319"/>
      <c r="CD4800" s="319"/>
      <c r="CE4800" s="319"/>
      <c r="CF4800" s="319"/>
      <c r="CG4800" s="319"/>
      <c r="CH4800" s="318"/>
      <c r="CI4800" s="319"/>
      <c r="CJ4800" s="319"/>
      <c r="CK4800" s="342"/>
      <c r="CL4800" s="333"/>
      <c r="CM4800" s="1079"/>
      <c r="CN4800" s="1005"/>
      <c r="CO4800" s="1005"/>
      <c r="CP4800" s="1005"/>
    </row>
    <row r="4801">
      <c r="A4801" s="1257"/>
      <c r="B4801" s="1113"/>
      <c r="C4801" s="1107"/>
      <c r="D4801" s="103"/>
      <c r="E4801" s="1137"/>
      <c r="F4801" s="112"/>
      <c r="G4801" s="1110"/>
      <c r="H4801" s="1138"/>
      <c r="I4801" s="1138"/>
      <c r="J4801" s="1139"/>
      <c r="K4801" s="1111"/>
      <c r="L4801" s="1112"/>
      <c r="M4801" s="1113"/>
      <c r="N4801" s="110"/>
      <c r="O4801" s="1140"/>
      <c r="P4801" s="1115"/>
      <c r="Q4801" s="1116"/>
      <c r="R4801" s="1141"/>
      <c r="S4801" s="1113"/>
      <c r="T4801" s="1143"/>
      <c r="U4801" s="1108"/>
      <c r="V4801" s="1108"/>
      <c r="W4801" s="1108"/>
      <c r="X4801" s="1108"/>
      <c r="Y4801" s="1108"/>
      <c r="Z4801" s="1114"/>
      <c r="AA4801" s="1114"/>
      <c r="AB4801" s="1114"/>
      <c r="AC4801" s="1117"/>
      <c r="AD4801" s="1115"/>
      <c r="AE4801" s="1115"/>
      <c r="AF4801" s="1115"/>
      <c r="AG4801" s="1115"/>
      <c r="AH4801" s="1115"/>
      <c r="AI4801" s="1115"/>
      <c r="AJ4801" s="1117"/>
      <c r="AK4801" s="1118"/>
      <c r="AL4801" s="1115"/>
      <c r="AM4801" s="1115"/>
      <c r="AN4801" s="1115"/>
      <c r="AO4801" s="1115"/>
      <c r="AP4801" s="1115"/>
      <c r="AQ4801" s="1115"/>
      <c r="AR4801" s="1115"/>
      <c r="AS4801" s="1117"/>
      <c r="AT4801" s="1075"/>
      <c r="AU4801" s="1193"/>
      <c r="AV4801" s="330"/>
      <c r="AW4801" s="331"/>
      <c r="AX4801" s="331"/>
      <c r="AY4801" s="331"/>
      <c r="AZ4801" s="331"/>
      <c r="BA4801" s="331"/>
      <c r="BB4801" s="331"/>
      <c r="BC4801" s="331"/>
      <c r="BD4801" s="331"/>
      <c r="BE4801" s="333"/>
      <c r="BF4801" s="330"/>
      <c r="BG4801" s="333"/>
      <c r="BH4801" s="1119"/>
      <c r="BI4801" s="319"/>
      <c r="BJ4801" s="319"/>
      <c r="BK4801" s="319"/>
      <c r="BL4801" s="319"/>
      <c r="BM4801" s="319"/>
      <c r="BN4801" s="319"/>
      <c r="BO4801" s="319"/>
      <c r="BP4801" s="953"/>
      <c r="BQ4801" s="319"/>
      <c r="BR4801" s="319"/>
      <c r="BS4801" s="330"/>
      <c r="BT4801" s="331"/>
      <c r="BU4801" s="920"/>
      <c r="BV4801" s="903"/>
      <c r="BW4801" s="908"/>
      <c r="BX4801" s="908"/>
      <c r="BY4801" s="331"/>
      <c r="BZ4801" s="331"/>
      <c r="CA4801" s="462"/>
      <c r="CB4801" s="319"/>
      <c r="CC4801" s="319"/>
      <c r="CD4801" s="319"/>
      <c r="CE4801" s="319"/>
      <c r="CF4801" s="319"/>
      <c r="CG4801" s="319"/>
      <c r="CH4801" s="318"/>
      <c r="CI4801" s="319"/>
      <c r="CJ4801" s="319"/>
      <c r="CK4801" s="342"/>
      <c r="CL4801" s="333"/>
      <c r="CM4801" s="1079"/>
      <c r="CN4801" s="1005"/>
      <c r="CO4801" s="1005"/>
      <c r="CP4801" s="1005"/>
    </row>
    <row r="4802">
      <c r="A4802" s="1257"/>
      <c r="B4802" s="1113"/>
      <c r="C4802" s="1107"/>
      <c r="D4802" s="103"/>
      <c r="E4802" s="1137"/>
      <c r="F4802" s="112"/>
      <c r="G4802" s="1110"/>
      <c r="H4802" s="1138"/>
      <c r="I4802" s="1138"/>
      <c r="J4802" s="1139"/>
      <c r="K4802" s="1111"/>
      <c r="L4802" s="1112"/>
      <c r="M4802" s="1113"/>
      <c r="N4802" s="110"/>
      <c r="O4802" s="1140"/>
      <c r="P4802" s="1115"/>
      <c r="Q4802" s="1116"/>
      <c r="R4802" s="1141"/>
      <c r="S4802" s="1113"/>
      <c r="T4802" s="1143"/>
      <c r="U4802" s="1108"/>
      <c r="V4802" s="1108"/>
      <c r="W4802" s="1108"/>
      <c r="X4802" s="1108"/>
      <c r="Y4802" s="1108"/>
      <c r="Z4802" s="1114"/>
      <c r="AA4802" s="1114"/>
      <c r="AB4802" s="1114"/>
      <c r="AC4802" s="1117"/>
      <c r="AD4802" s="1115"/>
      <c r="AE4802" s="1115"/>
      <c r="AF4802" s="1115"/>
      <c r="AG4802" s="1115"/>
      <c r="AH4802" s="1115"/>
      <c r="AI4802" s="1115"/>
      <c r="AJ4802" s="1117"/>
      <c r="AK4802" s="1118"/>
      <c r="AL4802" s="1115"/>
      <c r="AM4802" s="1115"/>
      <c r="AN4802" s="1115"/>
      <c r="AO4802" s="1115"/>
      <c r="AP4802" s="1115"/>
      <c r="AQ4802" s="1115"/>
      <c r="AR4802" s="1115"/>
      <c r="AS4802" s="1117"/>
      <c r="AT4802" s="1075"/>
      <c r="AU4802" s="1193"/>
      <c r="AV4802" s="330"/>
      <c r="AW4802" s="331"/>
      <c r="AX4802" s="331"/>
      <c r="AY4802" s="331"/>
      <c r="AZ4802" s="331"/>
      <c r="BA4802" s="331"/>
      <c r="BB4802" s="331"/>
      <c r="BC4802" s="331"/>
      <c r="BD4802" s="331"/>
      <c r="BE4802" s="333"/>
      <c r="BF4802" s="330"/>
      <c r="BG4802" s="333"/>
      <c r="BH4802" s="1119"/>
      <c r="BI4802" s="319"/>
      <c r="BJ4802" s="319"/>
      <c r="BK4802" s="319"/>
      <c r="BL4802" s="319"/>
      <c r="BM4802" s="319"/>
      <c r="BN4802" s="319"/>
      <c r="BO4802" s="319"/>
      <c r="BP4802" s="953"/>
      <c r="BQ4802" s="319"/>
      <c r="BR4802" s="319"/>
      <c r="BS4802" s="330"/>
      <c r="BT4802" s="331"/>
      <c r="BU4802" s="920"/>
      <c r="BV4802" s="903"/>
      <c r="BW4802" s="908"/>
      <c r="BX4802" s="908"/>
      <c r="BY4802" s="331"/>
      <c r="BZ4802" s="331"/>
      <c r="CA4802" s="462"/>
      <c r="CB4802" s="319"/>
      <c r="CC4802" s="319"/>
      <c r="CD4802" s="319"/>
      <c r="CE4802" s="319"/>
      <c r="CF4802" s="319"/>
      <c r="CG4802" s="319"/>
      <c r="CH4802" s="318"/>
      <c r="CI4802" s="319"/>
      <c r="CJ4802" s="319"/>
      <c r="CK4802" s="342"/>
      <c r="CL4802" s="333"/>
      <c r="CM4802" s="1079"/>
      <c r="CN4802" s="1005"/>
      <c r="CO4802" s="1005"/>
      <c r="CP4802" s="1005"/>
    </row>
    <row r="4803">
      <c r="A4803" s="1257"/>
      <c r="B4803" s="1113"/>
      <c r="C4803" s="1107"/>
      <c r="D4803" s="103"/>
      <c r="E4803" s="1137"/>
      <c r="F4803" s="112"/>
      <c r="G4803" s="1110"/>
      <c r="H4803" s="1138"/>
      <c r="I4803" s="1138"/>
      <c r="J4803" s="1139"/>
      <c r="K4803" s="1111"/>
      <c r="L4803" s="1112"/>
      <c r="M4803" s="1113"/>
      <c r="N4803" s="110"/>
      <c r="O4803" s="1140"/>
      <c r="P4803" s="1115"/>
      <c r="Q4803" s="1116"/>
      <c r="R4803" s="1141"/>
      <c r="S4803" s="1113"/>
      <c r="T4803" s="1143"/>
      <c r="U4803" s="1108"/>
      <c r="V4803" s="1108"/>
      <c r="W4803" s="1108"/>
      <c r="X4803" s="1108"/>
      <c r="Y4803" s="1108"/>
      <c r="Z4803" s="1114"/>
      <c r="AA4803" s="1114"/>
      <c r="AB4803" s="1114"/>
      <c r="AC4803" s="1117"/>
      <c r="AD4803" s="1115"/>
      <c r="AE4803" s="1115"/>
      <c r="AF4803" s="1115"/>
      <c r="AG4803" s="1115"/>
      <c r="AH4803" s="1115"/>
      <c r="AI4803" s="1115"/>
      <c r="AJ4803" s="1117"/>
      <c r="AK4803" s="1118"/>
      <c r="AL4803" s="1115"/>
      <c r="AM4803" s="1115"/>
      <c r="AN4803" s="1115"/>
      <c r="AO4803" s="1115"/>
      <c r="AP4803" s="1115"/>
      <c r="AQ4803" s="1115"/>
      <c r="AR4803" s="1115"/>
      <c r="AS4803" s="1117"/>
      <c r="AT4803" s="1075"/>
      <c r="AU4803" s="1193"/>
      <c r="AV4803" s="330"/>
      <c r="AW4803" s="331"/>
      <c r="AX4803" s="331"/>
      <c r="AY4803" s="331"/>
      <c r="AZ4803" s="331"/>
      <c r="BA4803" s="331"/>
      <c r="BB4803" s="331"/>
      <c r="BC4803" s="331"/>
      <c r="BD4803" s="331"/>
      <c r="BE4803" s="333"/>
      <c r="BF4803" s="330"/>
      <c r="BG4803" s="333"/>
      <c r="BH4803" s="1119"/>
      <c r="BI4803" s="319"/>
      <c r="BJ4803" s="319"/>
      <c r="BK4803" s="319"/>
      <c r="BL4803" s="319"/>
      <c r="BM4803" s="319"/>
      <c r="BN4803" s="319"/>
      <c r="BO4803" s="319"/>
      <c r="BP4803" s="953"/>
      <c r="BQ4803" s="319"/>
      <c r="BR4803" s="319"/>
      <c r="BS4803" s="330"/>
      <c r="BT4803" s="331"/>
      <c r="BU4803" s="920"/>
      <c r="BV4803" s="903"/>
      <c r="BW4803" s="908"/>
      <c r="BX4803" s="908"/>
      <c r="BY4803" s="331"/>
      <c r="BZ4803" s="331"/>
      <c r="CA4803" s="462"/>
      <c r="CB4803" s="319"/>
      <c r="CC4803" s="319"/>
      <c r="CD4803" s="319"/>
      <c r="CE4803" s="319"/>
      <c r="CF4803" s="319"/>
      <c r="CG4803" s="319"/>
      <c r="CH4803" s="318"/>
      <c r="CI4803" s="319"/>
      <c r="CJ4803" s="319"/>
      <c r="CK4803" s="342"/>
      <c r="CL4803" s="333"/>
      <c r="CM4803" s="1079"/>
      <c r="CN4803" s="1005"/>
      <c r="CO4803" s="1005"/>
      <c r="CP4803" s="1005"/>
    </row>
    <row r="4804">
      <c r="A4804" s="1257"/>
      <c r="B4804" s="1113"/>
      <c r="C4804" s="1107"/>
      <c r="D4804" s="103"/>
      <c r="E4804" s="1137"/>
      <c r="F4804" s="112"/>
      <c r="G4804" s="1110"/>
      <c r="H4804" s="1138"/>
      <c r="I4804" s="1138"/>
      <c r="J4804" s="1139"/>
      <c r="K4804" s="1111"/>
      <c r="L4804" s="1112"/>
      <c r="M4804" s="1113"/>
      <c r="N4804" s="110"/>
      <c r="O4804" s="1140"/>
      <c r="P4804" s="1115"/>
      <c r="Q4804" s="1116"/>
      <c r="R4804" s="1141"/>
      <c r="S4804" s="1113"/>
      <c r="T4804" s="1143"/>
      <c r="U4804" s="1108"/>
      <c r="V4804" s="1108"/>
      <c r="W4804" s="1108"/>
      <c r="X4804" s="1108"/>
      <c r="Y4804" s="1108"/>
      <c r="Z4804" s="1114"/>
      <c r="AA4804" s="1114"/>
      <c r="AB4804" s="1114"/>
      <c r="AC4804" s="1117"/>
      <c r="AD4804" s="1115"/>
      <c r="AE4804" s="1115"/>
      <c r="AF4804" s="1115"/>
      <c r="AG4804" s="1115"/>
      <c r="AH4804" s="1115"/>
      <c r="AI4804" s="1115"/>
      <c r="AJ4804" s="1117"/>
      <c r="AK4804" s="1118"/>
      <c r="AL4804" s="1115"/>
      <c r="AM4804" s="1115"/>
      <c r="AN4804" s="1115"/>
      <c r="AO4804" s="1115"/>
      <c r="AP4804" s="1115"/>
      <c r="AQ4804" s="1115"/>
      <c r="AR4804" s="1115"/>
      <c r="AS4804" s="1117"/>
      <c r="AT4804" s="1075"/>
      <c r="AU4804" s="1193"/>
      <c r="AV4804" s="330"/>
      <c r="AW4804" s="331"/>
      <c r="AX4804" s="331"/>
      <c r="AY4804" s="331"/>
      <c r="AZ4804" s="331"/>
      <c r="BA4804" s="331"/>
      <c r="BB4804" s="331"/>
      <c r="BC4804" s="331"/>
      <c r="BD4804" s="331"/>
      <c r="BE4804" s="333"/>
      <c r="BF4804" s="330"/>
      <c r="BG4804" s="333"/>
      <c r="BH4804" s="1119"/>
      <c r="BI4804" s="319"/>
      <c r="BJ4804" s="319"/>
      <c r="BK4804" s="319"/>
      <c r="BL4804" s="319"/>
      <c r="BM4804" s="319"/>
      <c r="BN4804" s="319"/>
      <c r="BO4804" s="319"/>
      <c r="BP4804" s="953"/>
      <c r="BQ4804" s="319"/>
      <c r="BR4804" s="319"/>
      <c r="BS4804" s="330"/>
      <c r="BT4804" s="331"/>
      <c r="BU4804" s="920"/>
      <c r="BV4804" s="903"/>
      <c r="BW4804" s="908"/>
      <c r="BX4804" s="908"/>
      <c r="BY4804" s="331"/>
      <c r="BZ4804" s="331"/>
      <c r="CA4804" s="462"/>
      <c r="CB4804" s="319"/>
      <c r="CC4804" s="319"/>
      <c r="CD4804" s="319"/>
      <c r="CE4804" s="319"/>
      <c r="CF4804" s="319"/>
      <c r="CG4804" s="319"/>
      <c r="CH4804" s="318"/>
      <c r="CI4804" s="319"/>
      <c r="CJ4804" s="319"/>
      <c r="CK4804" s="342"/>
      <c r="CL4804" s="333"/>
      <c r="CM4804" s="1079"/>
      <c r="CN4804" s="1005"/>
      <c r="CO4804" s="1005"/>
      <c r="CP4804" s="1005"/>
    </row>
    <row r="4805">
      <c r="A4805" s="1257"/>
      <c r="B4805" s="1113"/>
      <c r="C4805" s="1107"/>
      <c r="D4805" s="103"/>
      <c r="E4805" s="1137"/>
      <c r="F4805" s="112"/>
      <c r="G4805" s="1110"/>
      <c r="H4805" s="1138"/>
      <c r="I4805" s="1138"/>
      <c r="J4805" s="1139"/>
      <c r="K4805" s="1111"/>
      <c r="L4805" s="1112"/>
      <c r="M4805" s="1113"/>
      <c r="N4805" s="110"/>
      <c r="O4805" s="1140"/>
      <c r="P4805" s="1115"/>
      <c r="Q4805" s="1116"/>
      <c r="R4805" s="1141"/>
      <c r="S4805" s="1113"/>
      <c r="T4805" s="1143"/>
      <c r="U4805" s="1108"/>
      <c r="V4805" s="1108"/>
      <c r="W4805" s="1108"/>
      <c r="X4805" s="1108"/>
      <c r="Y4805" s="1108"/>
      <c r="Z4805" s="1114"/>
      <c r="AA4805" s="1114"/>
      <c r="AB4805" s="1114"/>
      <c r="AC4805" s="1117"/>
      <c r="AD4805" s="1115"/>
      <c r="AE4805" s="1115"/>
      <c r="AF4805" s="1115"/>
      <c r="AG4805" s="1115"/>
      <c r="AH4805" s="1115"/>
      <c r="AI4805" s="1115"/>
      <c r="AJ4805" s="1117"/>
      <c r="AK4805" s="1118"/>
      <c r="AL4805" s="1115"/>
      <c r="AM4805" s="1115"/>
      <c r="AN4805" s="1115"/>
      <c r="AO4805" s="1115"/>
      <c r="AP4805" s="1115"/>
      <c r="AQ4805" s="1115"/>
      <c r="AR4805" s="1115"/>
      <c r="AS4805" s="1117"/>
      <c r="AT4805" s="1075"/>
      <c r="AU4805" s="1193"/>
      <c r="AV4805" s="330"/>
      <c r="AW4805" s="331"/>
      <c r="AX4805" s="331"/>
      <c r="AY4805" s="331"/>
      <c r="AZ4805" s="331"/>
      <c r="BA4805" s="331"/>
      <c r="BB4805" s="331"/>
      <c r="BC4805" s="331"/>
      <c r="BD4805" s="331"/>
      <c r="BE4805" s="333"/>
      <c r="BF4805" s="330"/>
      <c r="BG4805" s="333"/>
      <c r="BH4805" s="1119"/>
      <c r="BI4805" s="319"/>
      <c r="BJ4805" s="319"/>
      <c r="BK4805" s="319"/>
      <c r="BL4805" s="319"/>
      <c r="BM4805" s="319"/>
      <c r="BN4805" s="319"/>
      <c r="BO4805" s="319"/>
      <c r="BP4805" s="953"/>
      <c r="BQ4805" s="319"/>
      <c r="BR4805" s="319"/>
      <c r="BS4805" s="330"/>
      <c r="BT4805" s="331"/>
      <c r="BU4805" s="920"/>
      <c r="BV4805" s="903"/>
      <c r="BW4805" s="908"/>
      <c r="BX4805" s="908"/>
      <c r="BY4805" s="331"/>
      <c r="BZ4805" s="331"/>
      <c r="CA4805" s="462"/>
      <c r="CB4805" s="319"/>
      <c r="CC4805" s="319"/>
      <c r="CD4805" s="319"/>
      <c r="CE4805" s="319"/>
      <c r="CF4805" s="319"/>
      <c r="CG4805" s="319"/>
      <c r="CH4805" s="318"/>
      <c r="CI4805" s="319"/>
      <c r="CJ4805" s="319"/>
      <c r="CK4805" s="342"/>
      <c r="CL4805" s="333"/>
      <c r="CM4805" s="1079"/>
      <c r="CN4805" s="1005"/>
      <c r="CO4805" s="1005"/>
      <c r="CP4805" s="1005"/>
    </row>
    <row r="4806">
      <c r="A4806" s="1257"/>
      <c r="B4806" s="1113"/>
      <c r="C4806" s="1107"/>
      <c r="D4806" s="103"/>
      <c r="E4806" s="1137"/>
      <c r="F4806" s="112"/>
      <c r="G4806" s="1110"/>
      <c r="H4806" s="1138"/>
      <c r="I4806" s="1138"/>
      <c r="J4806" s="1139"/>
      <c r="K4806" s="1111"/>
      <c r="L4806" s="1112"/>
      <c r="M4806" s="1113"/>
      <c r="N4806" s="110"/>
      <c r="O4806" s="1140"/>
      <c r="P4806" s="1115"/>
      <c r="Q4806" s="1116"/>
      <c r="R4806" s="1141"/>
      <c r="S4806" s="1113"/>
      <c r="T4806" s="1143"/>
      <c r="U4806" s="1108"/>
      <c r="V4806" s="1108"/>
      <c r="W4806" s="1108"/>
      <c r="X4806" s="1108"/>
      <c r="Y4806" s="1108"/>
      <c r="Z4806" s="1114"/>
      <c r="AA4806" s="1114"/>
      <c r="AB4806" s="1114"/>
      <c r="AC4806" s="1117"/>
      <c r="AD4806" s="1115"/>
      <c r="AE4806" s="1115"/>
      <c r="AF4806" s="1115"/>
      <c r="AG4806" s="1115"/>
      <c r="AH4806" s="1115"/>
      <c r="AI4806" s="1115"/>
      <c r="AJ4806" s="1117"/>
      <c r="AK4806" s="1118"/>
      <c r="AL4806" s="1115"/>
      <c r="AM4806" s="1115"/>
      <c r="AN4806" s="1115"/>
      <c r="AO4806" s="1115"/>
      <c r="AP4806" s="1115"/>
      <c r="AQ4806" s="1115"/>
      <c r="AR4806" s="1115"/>
      <c r="AS4806" s="1117"/>
      <c r="AT4806" s="1075"/>
      <c r="AU4806" s="1193"/>
      <c r="AV4806" s="330"/>
      <c r="AW4806" s="331"/>
      <c r="AX4806" s="331"/>
      <c r="AY4806" s="331"/>
      <c r="AZ4806" s="331"/>
      <c r="BA4806" s="331"/>
      <c r="BB4806" s="331"/>
      <c r="BC4806" s="331"/>
      <c r="BD4806" s="331"/>
      <c r="BE4806" s="333"/>
      <c r="BF4806" s="330"/>
      <c r="BG4806" s="333"/>
      <c r="BH4806" s="1119"/>
      <c r="BI4806" s="319"/>
      <c r="BJ4806" s="319"/>
      <c r="BK4806" s="319"/>
      <c r="BL4806" s="319"/>
      <c r="BM4806" s="319"/>
      <c r="BN4806" s="319"/>
      <c r="BO4806" s="319"/>
      <c r="BP4806" s="953"/>
      <c r="BQ4806" s="319"/>
      <c r="BR4806" s="319"/>
      <c r="BS4806" s="330"/>
      <c r="BT4806" s="331"/>
      <c r="BU4806" s="920"/>
      <c r="BV4806" s="903"/>
      <c r="BW4806" s="908"/>
      <c r="BX4806" s="908"/>
      <c r="BY4806" s="331"/>
      <c r="BZ4806" s="331"/>
      <c r="CA4806" s="462"/>
      <c r="CB4806" s="319"/>
      <c r="CC4806" s="319"/>
      <c r="CD4806" s="319"/>
      <c r="CE4806" s="319"/>
      <c r="CF4806" s="319"/>
      <c r="CG4806" s="319"/>
      <c r="CH4806" s="318"/>
      <c r="CI4806" s="319"/>
      <c r="CJ4806" s="319"/>
      <c r="CK4806" s="342"/>
      <c r="CL4806" s="333"/>
      <c r="CM4806" s="1079"/>
      <c r="CN4806" s="1005"/>
      <c r="CO4806" s="1005"/>
      <c r="CP4806" s="1005"/>
    </row>
    <row r="4807">
      <c r="A4807" s="1257"/>
      <c r="B4807" s="1113"/>
      <c r="C4807" s="1107"/>
      <c r="D4807" s="103"/>
      <c r="E4807" s="1137"/>
      <c r="F4807" s="112"/>
      <c r="G4807" s="1110"/>
      <c r="H4807" s="1138"/>
      <c r="I4807" s="1138"/>
      <c r="J4807" s="1139"/>
      <c r="K4807" s="1111"/>
      <c r="L4807" s="1112"/>
      <c r="M4807" s="1113"/>
      <c r="N4807" s="110"/>
      <c r="O4807" s="1140"/>
      <c r="P4807" s="1115"/>
      <c r="Q4807" s="1116"/>
      <c r="R4807" s="1141"/>
      <c r="S4807" s="1113"/>
      <c r="T4807" s="1143"/>
      <c r="U4807" s="1108"/>
      <c r="V4807" s="1108"/>
      <c r="W4807" s="1108"/>
      <c r="X4807" s="1108"/>
      <c r="Y4807" s="1108"/>
      <c r="Z4807" s="1114"/>
      <c r="AA4807" s="1114"/>
      <c r="AB4807" s="1114"/>
      <c r="AC4807" s="1117"/>
      <c r="AD4807" s="1115"/>
      <c r="AE4807" s="1115"/>
      <c r="AF4807" s="1115"/>
      <c r="AG4807" s="1115"/>
      <c r="AH4807" s="1115"/>
      <c r="AI4807" s="1115"/>
      <c r="AJ4807" s="1117"/>
      <c r="AK4807" s="1118"/>
      <c r="AL4807" s="1115"/>
      <c r="AM4807" s="1115"/>
      <c r="AN4807" s="1115"/>
      <c r="AO4807" s="1115"/>
      <c r="AP4807" s="1115"/>
      <c r="AQ4807" s="1115"/>
      <c r="AR4807" s="1115"/>
      <c r="AS4807" s="1117"/>
      <c r="AT4807" s="1075"/>
      <c r="AU4807" s="1193"/>
      <c r="AV4807" s="330"/>
      <c r="AW4807" s="331"/>
      <c r="AX4807" s="331"/>
      <c r="AY4807" s="331"/>
      <c r="AZ4807" s="331"/>
      <c r="BA4807" s="331"/>
      <c r="BB4807" s="331"/>
      <c r="BC4807" s="331"/>
      <c r="BD4807" s="331"/>
      <c r="BE4807" s="333"/>
      <c r="BF4807" s="330"/>
      <c r="BG4807" s="333"/>
      <c r="BH4807" s="1119"/>
      <c r="BI4807" s="319"/>
      <c r="BJ4807" s="319"/>
      <c r="BK4807" s="319"/>
      <c r="BL4807" s="319"/>
      <c r="BM4807" s="319"/>
      <c r="BN4807" s="319"/>
      <c r="BO4807" s="319"/>
      <c r="BP4807" s="953"/>
      <c r="BQ4807" s="319"/>
      <c r="BR4807" s="319"/>
      <c r="BS4807" s="330"/>
      <c r="BT4807" s="331"/>
      <c r="BU4807" s="920"/>
      <c r="BV4807" s="903"/>
      <c r="BW4807" s="908"/>
      <c r="BX4807" s="908"/>
      <c r="BY4807" s="331"/>
      <c r="BZ4807" s="331"/>
      <c r="CA4807" s="462"/>
      <c r="CB4807" s="319"/>
      <c r="CC4807" s="319"/>
      <c r="CD4807" s="319"/>
      <c r="CE4807" s="319"/>
      <c r="CF4807" s="319"/>
      <c r="CG4807" s="319"/>
      <c r="CH4807" s="318"/>
      <c r="CI4807" s="319"/>
      <c r="CJ4807" s="319"/>
      <c r="CK4807" s="342"/>
      <c r="CL4807" s="333"/>
      <c r="CM4807" s="1079"/>
      <c r="CN4807" s="1005"/>
      <c r="CO4807" s="1005"/>
      <c r="CP4807" s="1005"/>
    </row>
    <row r="4808">
      <c r="A4808" s="1257"/>
      <c r="B4808" s="1113"/>
      <c r="C4808" s="1107"/>
      <c r="D4808" s="103"/>
      <c r="E4808" s="1137"/>
      <c r="F4808" s="112"/>
      <c r="G4808" s="1110"/>
      <c r="H4808" s="1138"/>
      <c r="I4808" s="1138"/>
      <c r="J4808" s="1139"/>
      <c r="K4808" s="1111"/>
      <c r="L4808" s="1112"/>
      <c r="M4808" s="1113"/>
      <c r="N4808" s="110"/>
      <c r="O4808" s="1140"/>
      <c r="P4808" s="1115"/>
      <c r="Q4808" s="1116"/>
      <c r="R4808" s="1141"/>
      <c r="S4808" s="1113"/>
      <c r="T4808" s="1143"/>
      <c r="U4808" s="1108"/>
      <c r="V4808" s="1108"/>
      <c r="W4808" s="1108"/>
      <c r="X4808" s="1108"/>
      <c r="Y4808" s="1108"/>
      <c r="Z4808" s="1114"/>
      <c r="AA4808" s="1114"/>
      <c r="AB4808" s="1114"/>
      <c r="AC4808" s="1117"/>
      <c r="AD4808" s="1115"/>
      <c r="AE4808" s="1115"/>
      <c r="AF4808" s="1115"/>
      <c r="AG4808" s="1115"/>
      <c r="AH4808" s="1115"/>
      <c r="AI4808" s="1115"/>
      <c r="AJ4808" s="1117"/>
      <c r="AK4808" s="1118"/>
      <c r="AL4808" s="1115"/>
      <c r="AM4808" s="1115"/>
      <c r="AN4808" s="1115"/>
      <c r="AO4808" s="1115"/>
      <c r="AP4808" s="1115"/>
      <c r="AQ4808" s="1115"/>
      <c r="AR4808" s="1115"/>
      <c r="AS4808" s="1117"/>
      <c r="AT4808" s="1075"/>
      <c r="AU4808" s="1193"/>
      <c r="AV4808" s="330"/>
      <c r="AW4808" s="331"/>
      <c r="AX4808" s="331"/>
      <c r="AY4808" s="331"/>
      <c r="AZ4808" s="331"/>
      <c r="BA4808" s="331"/>
      <c r="BB4808" s="331"/>
      <c r="BC4808" s="331"/>
      <c r="BD4808" s="331"/>
      <c r="BE4808" s="333"/>
      <c r="BF4808" s="330"/>
      <c r="BG4808" s="333"/>
      <c r="BH4808" s="1119"/>
      <c r="BI4808" s="319"/>
      <c r="BJ4808" s="319"/>
      <c r="BK4808" s="319"/>
      <c r="BL4808" s="319"/>
      <c r="BM4808" s="319"/>
      <c r="BN4808" s="319"/>
      <c r="BO4808" s="319"/>
      <c r="BP4808" s="953"/>
      <c r="BQ4808" s="319"/>
      <c r="BR4808" s="319"/>
      <c r="BS4808" s="330"/>
      <c r="BT4808" s="331"/>
      <c r="BU4808" s="920"/>
      <c r="BV4808" s="903"/>
      <c r="BW4808" s="908"/>
      <c r="BX4808" s="908"/>
      <c r="BY4808" s="331"/>
      <c r="BZ4808" s="331"/>
      <c r="CA4808" s="462"/>
      <c r="CB4808" s="319"/>
      <c r="CC4808" s="319"/>
      <c r="CD4808" s="319"/>
      <c r="CE4808" s="319"/>
      <c r="CF4808" s="319"/>
      <c r="CG4808" s="319"/>
      <c r="CH4808" s="318"/>
      <c r="CI4808" s="319"/>
      <c r="CJ4808" s="319"/>
      <c r="CK4808" s="342"/>
      <c r="CL4808" s="333"/>
      <c r="CM4808" s="1079"/>
      <c r="CN4808" s="1005"/>
      <c r="CO4808" s="1005"/>
      <c r="CP4808" s="1005"/>
    </row>
    <row r="4809">
      <c r="A4809" s="1257"/>
      <c r="B4809" s="1113"/>
      <c r="C4809" s="1107"/>
      <c r="D4809" s="103"/>
      <c r="E4809" s="1137"/>
      <c r="F4809" s="112"/>
      <c r="G4809" s="1110"/>
      <c r="H4809" s="1138"/>
      <c r="I4809" s="1138"/>
      <c r="J4809" s="1139"/>
      <c r="K4809" s="1111"/>
      <c r="L4809" s="1112"/>
      <c r="M4809" s="1113"/>
      <c r="N4809" s="110"/>
      <c r="O4809" s="1140"/>
      <c r="P4809" s="1115"/>
      <c r="Q4809" s="1116"/>
      <c r="R4809" s="1141"/>
      <c r="S4809" s="1113"/>
      <c r="T4809" s="1143"/>
      <c r="U4809" s="1108"/>
      <c r="V4809" s="1108"/>
      <c r="W4809" s="1108"/>
      <c r="X4809" s="1108"/>
      <c r="Y4809" s="1108"/>
      <c r="Z4809" s="1114"/>
      <c r="AA4809" s="1114"/>
      <c r="AB4809" s="1114"/>
      <c r="AC4809" s="1117"/>
      <c r="AD4809" s="1115"/>
      <c r="AE4809" s="1115"/>
      <c r="AF4809" s="1115"/>
      <c r="AG4809" s="1115"/>
      <c r="AH4809" s="1115"/>
      <c r="AI4809" s="1115"/>
      <c r="AJ4809" s="1117"/>
      <c r="AK4809" s="1118"/>
      <c r="AL4809" s="1115"/>
      <c r="AM4809" s="1115"/>
      <c r="AN4809" s="1115"/>
      <c r="AO4809" s="1115"/>
      <c r="AP4809" s="1115"/>
      <c r="AQ4809" s="1115"/>
      <c r="AR4809" s="1115"/>
      <c r="AS4809" s="1117"/>
      <c r="AT4809" s="1075"/>
      <c r="AU4809" s="1193"/>
      <c r="AV4809" s="330"/>
      <c r="AW4809" s="331"/>
      <c r="AX4809" s="331"/>
      <c r="AY4809" s="331"/>
      <c r="AZ4809" s="331"/>
      <c r="BA4809" s="331"/>
      <c r="BB4809" s="331"/>
      <c r="BC4809" s="331"/>
      <c r="BD4809" s="331"/>
      <c r="BE4809" s="333"/>
      <c r="BF4809" s="330"/>
      <c r="BG4809" s="333"/>
      <c r="BH4809" s="1119"/>
      <c r="BI4809" s="319"/>
      <c r="BJ4809" s="319"/>
      <c r="BK4809" s="319"/>
      <c r="BL4809" s="319"/>
      <c r="BM4809" s="319"/>
      <c r="BN4809" s="319"/>
      <c r="BO4809" s="319"/>
      <c r="BP4809" s="953"/>
      <c r="BQ4809" s="319"/>
      <c r="BR4809" s="319"/>
      <c r="BS4809" s="330"/>
      <c r="BT4809" s="331"/>
      <c r="BU4809" s="920"/>
      <c r="BV4809" s="903"/>
      <c r="BW4809" s="908"/>
      <c r="BX4809" s="908"/>
      <c r="BY4809" s="331"/>
      <c r="BZ4809" s="331"/>
      <c r="CA4809" s="462"/>
      <c r="CB4809" s="319"/>
      <c r="CC4809" s="319"/>
      <c r="CD4809" s="319"/>
      <c r="CE4809" s="319"/>
      <c r="CF4809" s="319"/>
      <c r="CG4809" s="319"/>
      <c r="CH4809" s="318"/>
      <c r="CI4809" s="319"/>
      <c r="CJ4809" s="319"/>
      <c r="CK4809" s="342"/>
      <c r="CL4809" s="333"/>
      <c r="CM4809" s="1079"/>
      <c r="CN4809" s="1005"/>
      <c r="CO4809" s="1005"/>
      <c r="CP4809" s="1005"/>
    </row>
    <row r="4810">
      <c r="A4810" s="1257"/>
      <c r="B4810" s="1113"/>
      <c r="C4810" s="1107"/>
      <c r="D4810" s="103"/>
      <c r="E4810" s="1137"/>
      <c r="F4810" s="112"/>
      <c r="G4810" s="1110"/>
      <c r="H4810" s="1138"/>
      <c r="I4810" s="1138"/>
      <c r="J4810" s="1139"/>
      <c r="K4810" s="1111"/>
      <c r="L4810" s="1112"/>
      <c r="M4810" s="1113"/>
      <c r="N4810" s="110"/>
      <c r="O4810" s="1140"/>
      <c r="P4810" s="1115"/>
      <c r="Q4810" s="1116"/>
      <c r="R4810" s="1141"/>
      <c r="S4810" s="1113"/>
      <c r="T4810" s="1143"/>
      <c r="U4810" s="1108"/>
      <c r="V4810" s="1108"/>
      <c r="W4810" s="1108"/>
      <c r="X4810" s="1108"/>
      <c r="Y4810" s="1108"/>
      <c r="Z4810" s="1114"/>
      <c r="AA4810" s="1114"/>
      <c r="AB4810" s="1114"/>
      <c r="AC4810" s="1117"/>
      <c r="AD4810" s="1115"/>
      <c r="AE4810" s="1115"/>
      <c r="AF4810" s="1115"/>
      <c r="AG4810" s="1115"/>
      <c r="AH4810" s="1115"/>
      <c r="AI4810" s="1115"/>
      <c r="AJ4810" s="1117"/>
      <c r="AK4810" s="1118"/>
      <c r="AL4810" s="1115"/>
      <c r="AM4810" s="1115"/>
      <c r="AN4810" s="1115"/>
      <c r="AO4810" s="1115"/>
      <c r="AP4810" s="1115"/>
      <c r="AQ4810" s="1115"/>
      <c r="AR4810" s="1115"/>
      <c r="AS4810" s="1117"/>
      <c r="AT4810" s="1075"/>
      <c r="AU4810" s="1193"/>
      <c r="AV4810" s="330"/>
      <c r="AW4810" s="331"/>
      <c r="AX4810" s="331"/>
      <c r="AY4810" s="331"/>
      <c r="AZ4810" s="331"/>
      <c r="BA4810" s="331"/>
      <c r="BB4810" s="331"/>
      <c r="BC4810" s="331"/>
      <c r="BD4810" s="331"/>
      <c r="BE4810" s="333"/>
      <c r="BF4810" s="330"/>
      <c r="BG4810" s="333"/>
      <c r="BH4810" s="1119"/>
      <c r="BI4810" s="319"/>
      <c r="BJ4810" s="319"/>
      <c r="BK4810" s="319"/>
      <c r="BL4810" s="319"/>
      <c r="BM4810" s="319"/>
      <c r="BN4810" s="319"/>
      <c r="BO4810" s="319"/>
      <c r="BP4810" s="953"/>
      <c r="BQ4810" s="319"/>
      <c r="BR4810" s="319"/>
      <c r="BS4810" s="330"/>
      <c r="BT4810" s="331"/>
      <c r="BU4810" s="920"/>
      <c r="BV4810" s="903"/>
      <c r="BW4810" s="908"/>
      <c r="BX4810" s="908"/>
      <c r="BY4810" s="331"/>
      <c r="BZ4810" s="331"/>
      <c r="CA4810" s="462"/>
      <c r="CB4810" s="319"/>
      <c r="CC4810" s="319"/>
      <c r="CD4810" s="319"/>
      <c r="CE4810" s="319"/>
      <c r="CF4810" s="319"/>
      <c r="CG4810" s="319"/>
      <c r="CH4810" s="318"/>
      <c r="CI4810" s="319"/>
      <c r="CJ4810" s="319"/>
      <c r="CK4810" s="342"/>
      <c r="CL4810" s="333"/>
      <c r="CM4810" s="1079"/>
      <c r="CN4810" s="1005"/>
      <c r="CO4810" s="1005"/>
      <c r="CP4810" s="1005"/>
    </row>
    <row r="4811">
      <c r="A4811" s="1257"/>
      <c r="B4811" s="1113"/>
      <c r="C4811" s="1107"/>
      <c r="D4811" s="103"/>
      <c r="E4811" s="1137"/>
      <c r="F4811" s="112"/>
      <c r="G4811" s="1110"/>
      <c r="H4811" s="1138"/>
      <c r="I4811" s="1138"/>
      <c r="J4811" s="1139"/>
      <c r="K4811" s="1111"/>
      <c r="L4811" s="1112"/>
      <c r="M4811" s="1113"/>
      <c r="N4811" s="110"/>
      <c r="O4811" s="1140"/>
      <c r="P4811" s="1115"/>
      <c r="Q4811" s="1116"/>
      <c r="R4811" s="1141"/>
      <c r="S4811" s="1113"/>
      <c r="T4811" s="1143"/>
      <c r="U4811" s="1108"/>
      <c r="V4811" s="1108"/>
      <c r="W4811" s="1108"/>
      <c r="X4811" s="1108"/>
      <c r="Y4811" s="1108"/>
      <c r="Z4811" s="1114"/>
      <c r="AA4811" s="1114"/>
      <c r="AB4811" s="1114"/>
      <c r="AC4811" s="1117"/>
      <c r="AD4811" s="1115"/>
      <c r="AE4811" s="1115"/>
      <c r="AF4811" s="1115"/>
      <c r="AG4811" s="1115"/>
      <c r="AH4811" s="1115"/>
      <c r="AI4811" s="1115"/>
      <c r="AJ4811" s="1117"/>
      <c r="AK4811" s="1118"/>
      <c r="AL4811" s="1115"/>
      <c r="AM4811" s="1115"/>
      <c r="AN4811" s="1115"/>
      <c r="AO4811" s="1115"/>
      <c r="AP4811" s="1115"/>
      <c r="AQ4811" s="1115"/>
      <c r="AR4811" s="1115"/>
      <c r="AS4811" s="1117"/>
      <c r="AT4811" s="1075"/>
      <c r="AU4811" s="1193"/>
      <c r="AV4811" s="330"/>
      <c r="AW4811" s="331"/>
      <c r="AX4811" s="331"/>
      <c r="AY4811" s="331"/>
      <c r="AZ4811" s="331"/>
      <c r="BA4811" s="331"/>
      <c r="BB4811" s="331"/>
      <c r="BC4811" s="331"/>
      <c r="BD4811" s="331"/>
      <c r="BE4811" s="333"/>
      <c r="BF4811" s="330"/>
      <c r="BG4811" s="333"/>
      <c r="BH4811" s="1119"/>
      <c r="BI4811" s="319"/>
      <c r="BJ4811" s="319"/>
      <c r="BK4811" s="319"/>
      <c r="BL4811" s="319"/>
      <c r="BM4811" s="319"/>
      <c r="BN4811" s="319"/>
      <c r="BO4811" s="319"/>
      <c r="BP4811" s="953"/>
      <c r="BQ4811" s="319"/>
      <c r="BR4811" s="319"/>
      <c r="BS4811" s="330"/>
      <c r="BT4811" s="331"/>
      <c r="BU4811" s="920"/>
      <c r="BV4811" s="903"/>
      <c r="BW4811" s="908"/>
      <c r="BX4811" s="908"/>
      <c r="BY4811" s="331"/>
      <c r="BZ4811" s="331"/>
      <c r="CA4811" s="462"/>
      <c r="CB4811" s="319"/>
      <c r="CC4811" s="319"/>
      <c r="CD4811" s="319"/>
      <c r="CE4811" s="319"/>
      <c r="CF4811" s="319"/>
      <c r="CG4811" s="319"/>
      <c r="CH4811" s="318"/>
      <c r="CI4811" s="319"/>
      <c r="CJ4811" s="319"/>
      <c r="CK4811" s="342"/>
      <c r="CL4811" s="333"/>
      <c r="CM4811" s="1079"/>
      <c r="CN4811" s="1005"/>
      <c r="CO4811" s="1005"/>
      <c r="CP4811" s="1005"/>
    </row>
    <row r="4812">
      <c r="A4812" s="1257"/>
      <c r="B4812" s="1113"/>
      <c r="C4812" s="1107"/>
      <c r="D4812" s="103"/>
      <c r="E4812" s="1137"/>
      <c r="F4812" s="112"/>
      <c r="G4812" s="1110"/>
      <c r="H4812" s="1138"/>
      <c r="I4812" s="1138"/>
      <c r="J4812" s="1139"/>
      <c r="K4812" s="1111"/>
      <c r="L4812" s="1112"/>
      <c r="M4812" s="1113"/>
      <c r="N4812" s="110"/>
      <c r="O4812" s="1140"/>
      <c r="P4812" s="1115"/>
      <c r="Q4812" s="1116"/>
      <c r="R4812" s="1141"/>
      <c r="S4812" s="1113"/>
      <c r="T4812" s="1143"/>
      <c r="U4812" s="1108"/>
      <c r="V4812" s="1108"/>
      <c r="W4812" s="1108"/>
      <c r="X4812" s="1108"/>
      <c r="Y4812" s="1108"/>
      <c r="Z4812" s="1114"/>
      <c r="AA4812" s="1114"/>
      <c r="AB4812" s="1114"/>
      <c r="AC4812" s="1117"/>
      <c r="AD4812" s="1115"/>
      <c r="AE4812" s="1115"/>
      <c r="AF4812" s="1115"/>
      <c r="AG4812" s="1115"/>
      <c r="AH4812" s="1115"/>
      <c r="AI4812" s="1115"/>
      <c r="AJ4812" s="1117"/>
      <c r="AK4812" s="1118"/>
      <c r="AL4812" s="1115"/>
      <c r="AM4812" s="1115"/>
      <c r="AN4812" s="1115"/>
      <c r="AO4812" s="1115"/>
      <c r="AP4812" s="1115"/>
      <c r="AQ4812" s="1115"/>
      <c r="AR4812" s="1115"/>
      <c r="AS4812" s="1117"/>
      <c r="AT4812" s="1075"/>
      <c r="AU4812" s="1193"/>
      <c r="AV4812" s="330"/>
      <c r="AW4812" s="331"/>
      <c r="AX4812" s="331"/>
      <c r="AY4812" s="331"/>
      <c r="AZ4812" s="331"/>
      <c r="BA4812" s="331"/>
      <c r="BB4812" s="331"/>
      <c r="BC4812" s="331"/>
      <c r="BD4812" s="331"/>
      <c r="BE4812" s="333"/>
      <c r="BF4812" s="330"/>
      <c r="BG4812" s="333"/>
      <c r="BH4812" s="1119"/>
      <c r="BI4812" s="319"/>
      <c r="BJ4812" s="319"/>
      <c r="BK4812" s="319"/>
      <c r="BL4812" s="319"/>
      <c r="BM4812" s="319"/>
      <c r="BN4812" s="319"/>
      <c r="BO4812" s="319"/>
      <c r="BP4812" s="953"/>
      <c r="BQ4812" s="319"/>
      <c r="BR4812" s="319"/>
      <c r="BS4812" s="330"/>
      <c r="BT4812" s="331"/>
      <c r="BU4812" s="920"/>
      <c r="BV4812" s="903"/>
      <c r="BW4812" s="908"/>
      <c r="BX4812" s="908"/>
      <c r="BY4812" s="331"/>
      <c r="BZ4812" s="331"/>
      <c r="CA4812" s="462"/>
      <c r="CB4812" s="319"/>
      <c r="CC4812" s="319"/>
      <c r="CD4812" s="319"/>
      <c r="CE4812" s="319"/>
      <c r="CF4812" s="319"/>
      <c r="CG4812" s="319"/>
      <c r="CH4812" s="318"/>
      <c r="CI4812" s="319"/>
      <c r="CJ4812" s="319"/>
      <c r="CK4812" s="342"/>
      <c r="CL4812" s="333"/>
      <c r="CM4812" s="1079"/>
      <c r="CN4812" s="1005"/>
      <c r="CO4812" s="1005"/>
      <c r="CP4812" s="1005"/>
    </row>
    <row r="4813">
      <c r="A4813" s="1257"/>
      <c r="B4813" s="1113"/>
      <c r="C4813" s="1107"/>
      <c r="D4813" s="103"/>
      <c r="E4813" s="1137"/>
      <c r="F4813" s="112"/>
      <c r="G4813" s="1110"/>
      <c r="H4813" s="1138"/>
      <c r="I4813" s="1138"/>
      <c r="J4813" s="1139"/>
      <c r="K4813" s="1111"/>
      <c r="L4813" s="1112"/>
      <c r="M4813" s="1113"/>
      <c r="N4813" s="110"/>
      <c r="O4813" s="1140"/>
      <c r="P4813" s="1115"/>
      <c r="Q4813" s="1116"/>
      <c r="R4813" s="1141"/>
      <c r="S4813" s="1113"/>
      <c r="T4813" s="1143"/>
      <c r="U4813" s="1108"/>
      <c r="V4813" s="1108"/>
      <c r="W4813" s="1108"/>
      <c r="X4813" s="1108"/>
      <c r="Y4813" s="1108"/>
      <c r="Z4813" s="1114"/>
      <c r="AA4813" s="1114"/>
      <c r="AB4813" s="1114"/>
      <c r="AC4813" s="1117"/>
      <c r="AD4813" s="1115"/>
      <c r="AE4813" s="1115"/>
      <c r="AF4813" s="1115"/>
      <c r="AG4813" s="1115"/>
      <c r="AH4813" s="1115"/>
      <c r="AI4813" s="1115"/>
      <c r="AJ4813" s="1117"/>
      <c r="AK4813" s="1118"/>
      <c r="AL4813" s="1115"/>
      <c r="AM4813" s="1115"/>
      <c r="AN4813" s="1115"/>
      <c r="AO4813" s="1115"/>
      <c r="AP4813" s="1115"/>
      <c r="AQ4813" s="1115"/>
      <c r="AR4813" s="1115"/>
      <c r="AS4813" s="1117"/>
      <c r="AT4813" s="1075"/>
      <c r="AU4813" s="1193"/>
      <c r="AV4813" s="330"/>
      <c r="AW4813" s="331"/>
      <c r="AX4813" s="331"/>
      <c r="AY4813" s="331"/>
      <c r="AZ4813" s="331"/>
      <c r="BA4813" s="331"/>
      <c r="BB4813" s="331"/>
      <c r="BC4813" s="331"/>
      <c r="BD4813" s="331"/>
      <c r="BE4813" s="333"/>
      <c r="BF4813" s="330"/>
      <c r="BG4813" s="333"/>
      <c r="BH4813" s="1119"/>
      <c r="BI4813" s="319"/>
      <c r="BJ4813" s="319"/>
      <c r="BK4813" s="319"/>
      <c r="BL4813" s="319"/>
      <c r="BM4813" s="319"/>
      <c r="BN4813" s="319"/>
      <c r="BO4813" s="319"/>
      <c r="BP4813" s="953"/>
      <c r="BQ4813" s="319"/>
      <c r="BR4813" s="319"/>
      <c r="BS4813" s="330"/>
      <c r="BT4813" s="331"/>
      <c r="BU4813" s="920"/>
      <c r="BV4813" s="903"/>
      <c r="BW4813" s="908"/>
      <c r="BX4813" s="908"/>
      <c r="BY4813" s="331"/>
      <c r="BZ4813" s="331"/>
      <c r="CA4813" s="462"/>
      <c r="CB4813" s="319"/>
      <c r="CC4813" s="319"/>
      <c r="CD4813" s="319"/>
      <c r="CE4813" s="319"/>
      <c r="CF4813" s="319"/>
      <c r="CG4813" s="319"/>
      <c r="CH4813" s="318"/>
      <c r="CI4813" s="319"/>
      <c r="CJ4813" s="319"/>
      <c r="CK4813" s="342"/>
      <c r="CL4813" s="333"/>
      <c r="CM4813" s="1079"/>
      <c r="CN4813" s="1005"/>
      <c r="CO4813" s="1005"/>
      <c r="CP4813" s="1005"/>
    </row>
    <row r="4814">
      <c r="A4814" s="1257"/>
      <c r="B4814" s="1113"/>
      <c r="C4814" s="1107"/>
      <c r="D4814" s="103"/>
      <c r="E4814" s="1137"/>
      <c r="F4814" s="112"/>
      <c r="G4814" s="1110"/>
      <c r="H4814" s="1138"/>
      <c r="I4814" s="1138"/>
      <c r="J4814" s="1139"/>
      <c r="K4814" s="1111"/>
      <c r="L4814" s="1112"/>
      <c r="M4814" s="1113"/>
      <c r="N4814" s="110"/>
      <c r="O4814" s="1140"/>
      <c r="P4814" s="1115"/>
      <c r="Q4814" s="1116"/>
      <c r="R4814" s="1141"/>
      <c r="S4814" s="1113"/>
      <c r="T4814" s="1143"/>
      <c r="U4814" s="1108"/>
      <c r="V4814" s="1108"/>
      <c r="W4814" s="1108"/>
      <c r="X4814" s="1108"/>
      <c r="Y4814" s="1108"/>
      <c r="Z4814" s="1114"/>
      <c r="AA4814" s="1114"/>
      <c r="AB4814" s="1114"/>
      <c r="AC4814" s="1117"/>
      <c r="AD4814" s="1115"/>
      <c r="AE4814" s="1115"/>
      <c r="AF4814" s="1115"/>
      <c r="AG4814" s="1115"/>
      <c r="AH4814" s="1115"/>
      <c r="AI4814" s="1115"/>
      <c r="AJ4814" s="1117"/>
      <c r="AK4814" s="1118"/>
      <c r="AL4814" s="1115"/>
      <c r="AM4814" s="1115"/>
      <c r="AN4814" s="1115"/>
      <c r="AO4814" s="1115"/>
      <c r="AP4814" s="1115"/>
      <c r="AQ4814" s="1115"/>
      <c r="AR4814" s="1115"/>
      <c r="AS4814" s="1117"/>
      <c r="AT4814" s="1075"/>
      <c r="AU4814" s="1193"/>
      <c r="AV4814" s="330"/>
      <c r="AW4814" s="331"/>
      <c r="AX4814" s="331"/>
      <c r="AY4814" s="331"/>
      <c r="AZ4814" s="331"/>
      <c r="BA4814" s="331"/>
      <c r="BB4814" s="331"/>
      <c r="BC4814" s="331"/>
      <c r="BD4814" s="331"/>
      <c r="BE4814" s="333"/>
      <c r="BF4814" s="330"/>
      <c r="BG4814" s="333"/>
      <c r="BH4814" s="1119"/>
      <c r="BI4814" s="319"/>
      <c r="BJ4814" s="319"/>
      <c r="BK4814" s="319"/>
      <c r="BL4814" s="319"/>
      <c r="BM4814" s="319"/>
      <c r="BN4814" s="319"/>
      <c r="BO4814" s="319"/>
      <c r="BP4814" s="953"/>
      <c r="BQ4814" s="319"/>
      <c r="BR4814" s="319"/>
      <c r="BS4814" s="330"/>
      <c r="BT4814" s="331"/>
      <c r="BU4814" s="920"/>
      <c r="BV4814" s="903"/>
      <c r="BW4814" s="908"/>
      <c r="BX4814" s="908"/>
      <c r="BY4814" s="331"/>
      <c r="BZ4814" s="331"/>
      <c r="CA4814" s="462"/>
      <c r="CB4814" s="319"/>
      <c r="CC4814" s="319"/>
      <c r="CD4814" s="319"/>
      <c r="CE4814" s="319"/>
      <c r="CF4814" s="319"/>
      <c r="CG4814" s="319"/>
      <c r="CH4814" s="318"/>
      <c r="CI4814" s="319"/>
      <c r="CJ4814" s="319"/>
      <c r="CK4814" s="342"/>
      <c r="CL4814" s="333"/>
      <c r="CM4814" s="1079"/>
      <c r="CN4814" s="1005"/>
      <c r="CO4814" s="1005"/>
      <c r="CP4814" s="1005"/>
    </row>
    <row r="4815">
      <c r="A4815" s="1257"/>
      <c r="B4815" s="1113"/>
      <c r="C4815" s="1107"/>
      <c r="D4815" s="103"/>
      <c r="E4815" s="1137"/>
      <c r="F4815" s="112"/>
      <c r="G4815" s="1110"/>
      <c r="H4815" s="1138"/>
      <c r="I4815" s="1138"/>
      <c r="J4815" s="1139"/>
      <c r="K4815" s="1111"/>
      <c r="L4815" s="1112"/>
      <c r="M4815" s="1113"/>
      <c r="N4815" s="110"/>
      <c r="O4815" s="1140"/>
      <c r="P4815" s="1115"/>
      <c r="Q4815" s="1116"/>
      <c r="R4815" s="1141"/>
      <c r="S4815" s="1113"/>
      <c r="T4815" s="1143"/>
      <c r="U4815" s="1108"/>
      <c r="V4815" s="1108"/>
      <c r="W4815" s="1108"/>
      <c r="X4815" s="1108"/>
      <c r="Y4815" s="1108"/>
      <c r="Z4815" s="1114"/>
      <c r="AA4815" s="1114"/>
      <c r="AB4815" s="1114"/>
      <c r="AC4815" s="1117"/>
      <c r="AD4815" s="1115"/>
      <c r="AE4815" s="1115"/>
      <c r="AF4815" s="1115"/>
      <c r="AG4815" s="1115"/>
      <c r="AH4815" s="1115"/>
      <c r="AI4815" s="1115"/>
      <c r="AJ4815" s="1117"/>
      <c r="AK4815" s="1118"/>
      <c r="AL4815" s="1115"/>
      <c r="AM4815" s="1115"/>
      <c r="AN4815" s="1115"/>
      <c r="AO4815" s="1115"/>
      <c r="AP4815" s="1115"/>
      <c r="AQ4815" s="1115"/>
      <c r="AR4815" s="1115"/>
      <c r="AS4815" s="1117"/>
      <c r="AT4815" s="1075"/>
      <c r="AU4815" s="1193"/>
      <c r="AV4815" s="330"/>
      <c r="AW4815" s="331"/>
      <c r="AX4815" s="331"/>
      <c r="AY4815" s="331"/>
      <c r="AZ4815" s="331"/>
      <c r="BA4815" s="331"/>
      <c r="BB4815" s="331"/>
      <c r="BC4815" s="331"/>
      <c r="BD4815" s="331"/>
      <c r="BE4815" s="333"/>
      <c r="BF4815" s="330"/>
      <c r="BG4815" s="333"/>
      <c r="BH4815" s="1119"/>
      <c r="BI4815" s="319"/>
      <c r="BJ4815" s="319"/>
      <c r="BK4815" s="319"/>
      <c r="BL4815" s="319"/>
      <c r="BM4815" s="319"/>
      <c r="BN4815" s="319"/>
      <c r="BO4815" s="319"/>
      <c r="BP4815" s="953"/>
      <c r="BQ4815" s="319"/>
      <c r="BR4815" s="319"/>
      <c r="BS4815" s="330"/>
      <c r="BT4815" s="331"/>
      <c r="BU4815" s="920"/>
      <c r="BV4815" s="903"/>
      <c r="BW4815" s="908"/>
      <c r="BX4815" s="908"/>
      <c r="BY4815" s="331"/>
      <c r="BZ4815" s="331"/>
      <c r="CA4815" s="462"/>
      <c r="CB4815" s="319"/>
      <c r="CC4815" s="319"/>
      <c r="CD4815" s="319"/>
      <c r="CE4815" s="319"/>
      <c r="CF4815" s="319"/>
      <c r="CG4815" s="319"/>
      <c r="CH4815" s="318"/>
      <c r="CI4815" s="319"/>
      <c r="CJ4815" s="319"/>
      <c r="CK4815" s="342"/>
      <c r="CL4815" s="333"/>
      <c r="CM4815" s="1079"/>
      <c r="CN4815" s="1005"/>
      <c r="CO4815" s="1005"/>
      <c r="CP4815" s="1005"/>
    </row>
    <row r="4816">
      <c r="A4816" s="1257"/>
      <c r="B4816" s="1113"/>
      <c r="C4816" s="1107"/>
      <c r="D4816" s="103"/>
      <c r="E4816" s="1137"/>
      <c r="F4816" s="112"/>
      <c r="G4816" s="1110"/>
      <c r="H4816" s="1138"/>
      <c r="I4816" s="1138"/>
      <c r="J4816" s="1139"/>
      <c r="K4816" s="1111"/>
      <c r="L4816" s="1112"/>
      <c r="M4816" s="1113"/>
      <c r="N4816" s="110"/>
      <c r="O4816" s="1140"/>
      <c r="P4816" s="1115"/>
      <c r="Q4816" s="1116"/>
      <c r="R4816" s="1141"/>
      <c r="S4816" s="1113"/>
      <c r="T4816" s="1143"/>
      <c r="U4816" s="1108"/>
      <c r="V4816" s="1108"/>
      <c r="W4816" s="1108"/>
      <c r="X4816" s="1108"/>
      <c r="Y4816" s="1108"/>
      <c r="Z4816" s="1114"/>
      <c r="AA4816" s="1114"/>
      <c r="AB4816" s="1114"/>
      <c r="AC4816" s="1117"/>
      <c r="AD4816" s="1115"/>
      <c r="AE4816" s="1115"/>
      <c r="AF4816" s="1115"/>
      <c r="AG4816" s="1115"/>
      <c r="AH4816" s="1115"/>
      <c r="AI4816" s="1115"/>
      <c r="AJ4816" s="1117"/>
      <c r="AK4816" s="1118"/>
      <c r="AL4816" s="1115"/>
      <c r="AM4816" s="1115"/>
      <c r="AN4816" s="1115"/>
      <c r="AO4816" s="1115"/>
      <c r="AP4816" s="1115"/>
      <c r="AQ4816" s="1115"/>
      <c r="AR4816" s="1115"/>
      <c r="AS4816" s="1117"/>
      <c r="AT4816" s="1075"/>
      <c r="AU4816" s="1193"/>
      <c r="AV4816" s="330"/>
      <c r="AW4816" s="331"/>
      <c r="AX4816" s="331"/>
      <c r="AY4816" s="331"/>
      <c r="AZ4816" s="331"/>
      <c r="BA4816" s="331"/>
      <c r="BB4816" s="331"/>
      <c r="BC4816" s="331"/>
      <c r="BD4816" s="331"/>
      <c r="BE4816" s="333"/>
      <c r="BF4816" s="330"/>
      <c r="BG4816" s="333"/>
      <c r="BH4816" s="1119"/>
      <c r="BI4816" s="319"/>
      <c r="BJ4816" s="319"/>
      <c r="BK4816" s="319"/>
      <c r="BL4816" s="319"/>
      <c r="BM4816" s="319"/>
      <c r="BN4816" s="319"/>
      <c r="BO4816" s="319"/>
      <c r="BP4816" s="953"/>
      <c r="BQ4816" s="319"/>
      <c r="BR4816" s="319"/>
      <c r="BS4816" s="330"/>
      <c r="BT4816" s="331"/>
      <c r="BU4816" s="920"/>
      <c r="BV4816" s="903"/>
      <c r="BW4816" s="908"/>
      <c r="BX4816" s="908"/>
      <c r="BY4816" s="331"/>
      <c r="BZ4816" s="331"/>
      <c r="CA4816" s="462"/>
      <c r="CB4816" s="319"/>
      <c r="CC4816" s="319"/>
      <c r="CD4816" s="319"/>
      <c r="CE4816" s="319"/>
      <c r="CF4816" s="319"/>
      <c r="CG4816" s="319"/>
      <c r="CH4816" s="318"/>
      <c r="CI4816" s="319"/>
      <c r="CJ4816" s="319"/>
      <c r="CK4816" s="342"/>
      <c r="CL4816" s="333"/>
      <c r="CM4816" s="1079"/>
      <c r="CN4816" s="1005"/>
      <c r="CO4816" s="1005"/>
      <c r="CP4816" s="1005"/>
    </row>
    <row r="4817">
      <c r="A4817" s="1257"/>
      <c r="B4817" s="1113"/>
      <c r="C4817" s="1107"/>
      <c r="D4817" s="103"/>
      <c r="E4817" s="1137"/>
      <c r="F4817" s="112"/>
      <c r="G4817" s="1110"/>
      <c r="H4817" s="1138"/>
      <c r="I4817" s="1138"/>
      <c r="J4817" s="1139"/>
      <c r="K4817" s="1111"/>
      <c r="L4817" s="1112"/>
      <c r="M4817" s="1113"/>
      <c r="N4817" s="110"/>
      <c r="O4817" s="1140"/>
      <c r="P4817" s="1115"/>
      <c r="Q4817" s="1116"/>
      <c r="R4817" s="1141"/>
      <c r="S4817" s="1113"/>
      <c r="T4817" s="1143"/>
      <c r="U4817" s="1108"/>
      <c r="V4817" s="1108"/>
      <c r="W4817" s="1108"/>
      <c r="X4817" s="1108"/>
      <c r="Y4817" s="1108"/>
      <c r="Z4817" s="1114"/>
      <c r="AA4817" s="1114"/>
      <c r="AB4817" s="1114"/>
      <c r="AC4817" s="1117"/>
      <c r="AD4817" s="1115"/>
      <c r="AE4817" s="1115"/>
      <c r="AF4817" s="1115"/>
      <c r="AG4817" s="1115"/>
      <c r="AH4817" s="1115"/>
      <c r="AI4817" s="1115"/>
      <c r="AJ4817" s="1117"/>
      <c r="AK4817" s="1118"/>
      <c r="AL4817" s="1115"/>
      <c r="AM4817" s="1115"/>
      <c r="AN4817" s="1115"/>
      <c r="AO4817" s="1115"/>
      <c r="AP4817" s="1115"/>
      <c r="AQ4817" s="1115"/>
      <c r="AR4817" s="1115"/>
      <c r="AS4817" s="1117"/>
      <c r="AT4817" s="1075"/>
      <c r="AU4817" s="1193"/>
      <c r="AV4817" s="330"/>
      <c r="AW4817" s="331"/>
      <c r="AX4817" s="331"/>
      <c r="AY4817" s="331"/>
      <c r="AZ4817" s="331"/>
      <c r="BA4817" s="331"/>
      <c r="BB4817" s="331"/>
      <c r="BC4817" s="331"/>
      <c r="BD4817" s="331"/>
      <c r="BE4817" s="333"/>
      <c r="BF4817" s="330"/>
      <c r="BG4817" s="333"/>
      <c r="BH4817" s="1119"/>
      <c r="BI4817" s="319"/>
      <c r="BJ4817" s="319"/>
      <c r="BK4817" s="319"/>
      <c r="BL4817" s="319"/>
      <c r="BM4817" s="319"/>
      <c r="BN4817" s="319"/>
      <c r="BO4817" s="319"/>
      <c r="BP4817" s="953"/>
      <c r="BQ4817" s="319"/>
      <c r="BR4817" s="319"/>
      <c r="BS4817" s="330"/>
      <c r="BT4817" s="331"/>
      <c r="BU4817" s="920"/>
      <c r="BV4817" s="903"/>
      <c r="BW4817" s="908"/>
      <c r="BX4817" s="908"/>
      <c r="BY4817" s="331"/>
      <c r="BZ4817" s="331"/>
      <c r="CA4817" s="462"/>
      <c r="CB4817" s="319"/>
      <c r="CC4817" s="319"/>
      <c r="CD4817" s="319"/>
      <c r="CE4817" s="319"/>
      <c r="CF4817" s="319"/>
      <c r="CG4817" s="319"/>
      <c r="CH4817" s="318"/>
      <c r="CI4817" s="319"/>
      <c r="CJ4817" s="319"/>
      <c r="CK4817" s="342"/>
      <c r="CL4817" s="333"/>
      <c r="CM4817" s="1079"/>
      <c r="CN4817" s="1005"/>
      <c r="CO4817" s="1005"/>
      <c r="CP4817" s="1005"/>
    </row>
    <row r="4818">
      <c r="A4818" s="1257"/>
      <c r="B4818" s="1113"/>
      <c r="C4818" s="1107"/>
      <c r="D4818" s="103"/>
      <c r="E4818" s="1137"/>
      <c r="F4818" s="112"/>
      <c r="G4818" s="1110"/>
      <c r="H4818" s="1138"/>
      <c r="I4818" s="1138"/>
      <c r="J4818" s="1139"/>
      <c r="K4818" s="1111"/>
      <c r="L4818" s="1112"/>
      <c r="M4818" s="1113"/>
      <c r="N4818" s="110"/>
      <c r="O4818" s="1140"/>
      <c r="P4818" s="1115"/>
      <c r="Q4818" s="1116"/>
      <c r="R4818" s="1141"/>
      <c r="S4818" s="1113"/>
      <c r="T4818" s="1143"/>
      <c r="U4818" s="1108"/>
      <c r="V4818" s="1108"/>
      <c r="W4818" s="1108"/>
      <c r="X4818" s="1108"/>
      <c r="Y4818" s="1108"/>
      <c r="Z4818" s="1114"/>
      <c r="AA4818" s="1114"/>
      <c r="AB4818" s="1114"/>
      <c r="AC4818" s="1117"/>
      <c r="AD4818" s="1115"/>
      <c r="AE4818" s="1115"/>
      <c r="AF4818" s="1115"/>
      <c r="AG4818" s="1115"/>
      <c r="AH4818" s="1115"/>
      <c r="AI4818" s="1115"/>
      <c r="AJ4818" s="1117"/>
      <c r="AK4818" s="1118"/>
      <c r="AL4818" s="1115"/>
      <c r="AM4818" s="1115"/>
      <c r="AN4818" s="1115"/>
      <c r="AO4818" s="1115"/>
      <c r="AP4818" s="1115"/>
      <c r="AQ4818" s="1115"/>
      <c r="AR4818" s="1115"/>
      <c r="AS4818" s="1117"/>
      <c r="AT4818" s="1075"/>
      <c r="AU4818" s="1193"/>
      <c r="AV4818" s="330"/>
      <c r="AW4818" s="331"/>
      <c r="AX4818" s="331"/>
      <c r="AY4818" s="331"/>
      <c r="AZ4818" s="331"/>
      <c r="BA4818" s="331"/>
      <c r="BB4818" s="331"/>
      <c r="BC4818" s="331"/>
      <c r="BD4818" s="331"/>
      <c r="BE4818" s="333"/>
      <c r="BF4818" s="330"/>
      <c r="BG4818" s="333"/>
      <c r="BH4818" s="1119"/>
      <c r="BI4818" s="319"/>
      <c r="BJ4818" s="319"/>
      <c r="BK4818" s="319"/>
      <c r="BL4818" s="319"/>
      <c r="BM4818" s="319"/>
      <c r="BN4818" s="319"/>
      <c r="BO4818" s="319"/>
      <c r="BP4818" s="953"/>
      <c r="BQ4818" s="319"/>
      <c r="BR4818" s="319"/>
      <c r="BS4818" s="330"/>
      <c r="BT4818" s="331"/>
      <c r="BU4818" s="920"/>
      <c r="BV4818" s="903"/>
      <c r="BW4818" s="908"/>
      <c r="BX4818" s="908"/>
      <c r="BY4818" s="331"/>
      <c r="BZ4818" s="331"/>
      <c r="CA4818" s="462"/>
      <c r="CB4818" s="319"/>
      <c r="CC4818" s="319"/>
      <c r="CD4818" s="319"/>
      <c r="CE4818" s="319"/>
      <c r="CF4818" s="319"/>
      <c r="CG4818" s="319"/>
      <c r="CH4818" s="318"/>
      <c r="CI4818" s="319"/>
      <c r="CJ4818" s="319"/>
      <c r="CK4818" s="342"/>
      <c r="CL4818" s="333"/>
      <c r="CM4818" s="1079"/>
      <c r="CN4818" s="1005"/>
      <c r="CO4818" s="1005"/>
      <c r="CP4818" s="1005"/>
    </row>
    <row r="4819">
      <c r="A4819" s="1257"/>
      <c r="B4819" s="1113"/>
      <c r="C4819" s="1107"/>
      <c r="D4819" s="103"/>
      <c r="E4819" s="1137"/>
      <c r="F4819" s="112"/>
      <c r="G4819" s="1110"/>
      <c r="H4819" s="1138"/>
      <c r="I4819" s="1138"/>
      <c r="J4819" s="1139"/>
      <c r="K4819" s="1111"/>
      <c r="L4819" s="1112"/>
      <c r="M4819" s="1113"/>
      <c r="N4819" s="110"/>
      <c r="O4819" s="1140"/>
      <c r="P4819" s="1115"/>
      <c r="Q4819" s="1116"/>
      <c r="R4819" s="1141"/>
      <c r="S4819" s="1113"/>
      <c r="T4819" s="1143"/>
      <c r="U4819" s="1108"/>
      <c r="V4819" s="1108"/>
      <c r="W4819" s="1108"/>
      <c r="X4819" s="1108"/>
      <c r="Y4819" s="1108"/>
      <c r="Z4819" s="1114"/>
      <c r="AA4819" s="1114"/>
      <c r="AB4819" s="1114"/>
      <c r="AC4819" s="1117"/>
      <c r="AD4819" s="1115"/>
      <c r="AE4819" s="1115"/>
      <c r="AF4819" s="1115"/>
      <c r="AG4819" s="1115"/>
      <c r="AH4819" s="1115"/>
      <c r="AI4819" s="1115"/>
      <c r="AJ4819" s="1117"/>
      <c r="AK4819" s="1118"/>
      <c r="AL4819" s="1115"/>
      <c r="AM4819" s="1115"/>
      <c r="AN4819" s="1115"/>
      <c r="AO4819" s="1115"/>
      <c r="AP4819" s="1115"/>
      <c r="AQ4819" s="1115"/>
      <c r="AR4819" s="1115"/>
      <c r="AS4819" s="1117"/>
      <c r="AT4819" s="1075"/>
      <c r="AU4819" s="1193"/>
      <c r="AV4819" s="330"/>
      <c r="AW4819" s="331"/>
      <c r="AX4819" s="331"/>
      <c r="AY4819" s="331"/>
      <c r="AZ4819" s="331"/>
      <c r="BA4819" s="331"/>
      <c r="BB4819" s="331"/>
      <c r="BC4819" s="331"/>
      <c r="BD4819" s="331"/>
      <c r="BE4819" s="333"/>
      <c r="BF4819" s="330"/>
      <c r="BG4819" s="333"/>
      <c r="BH4819" s="1119"/>
      <c r="BI4819" s="319"/>
      <c r="BJ4819" s="319"/>
      <c r="BK4819" s="319"/>
      <c r="BL4819" s="319"/>
      <c r="BM4819" s="319"/>
      <c r="BN4819" s="319"/>
      <c r="BO4819" s="319"/>
      <c r="BP4819" s="953"/>
      <c r="BQ4819" s="319"/>
      <c r="BR4819" s="319"/>
      <c r="BS4819" s="330"/>
      <c r="BT4819" s="331"/>
      <c r="BU4819" s="920"/>
      <c r="BV4819" s="903"/>
      <c r="BW4819" s="908"/>
      <c r="BX4819" s="908"/>
      <c r="BY4819" s="331"/>
      <c r="BZ4819" s="331"/>
      <c r="CA4819" s="462"/>
      <c r="CB4819" s="319"/>
      <c r="CC4819" s="319"/>
      <c r="CD4819" s="319"/>
      <c r="CE4819" s="319"/>
      <c r="CF4819" s="319"/>
      <c r="CG4819" s="319"/>
      <c r="CH4819" s="318"/>
      <c r="CI4819" s="319"/>
      <c r="CJ4819" s="319"/>
      <c r="CK4819" s="342"/>
      <c r="CL4819" s="333"/>
      <c r="CM4819" s="1079"/>
      <c r="CN4819" s="1005"/>
      <c r="CO4819" s="1005"/>
      <c r="CP4819" s="1005"/>
    </row>
    <row r="4820">
      <c r="A4820" s="1257"/>
      <c r="B4820" s="1113"/>
      <c r="C4820" s="1107"/>
      <c r="D4820" s="103"/>
      <c r="E4820" s="1137"/>
      <c r="F4820" s="112"/>
      <c r="G4820" s="1110"/>
      <c r="H4820" s="1138"/>
      <c r="I4820" s="1138"/>
      <c r="J4820" s="1139"/>
      <c r="K4820" s="1111"/>
      <c r="L4820" s="1112"/>
      <c r="M4820" s="1113"/>
      <c r="N4820" s="110"/>
      <c r="O4820" s="1140"/>
      <c r="P4820" s="1115"/>
      <c r="Q4820" s="1116"/>
      <c r="R4820" s="1141"/>
      <c r="S4820" s="1113"/>
      <c r="T4820" s="1143"/>
      <c r="U4820" s="1108"/>
      <c r="V4820" s="1108"/>
      <c r="W4820" s="1108"/>
      <c r="X4820" s="1108"/>
      <c r="Y4820" s="1108"/>
      <c r="Z4820" s="1114"/>
      <c r="AA4820" s="1114"/>
      <c r="AB4820" s="1114"/>
      <c r="AC4820" s="1117"/>
      <c r="AD4820" s="1115"/>
      <c r="AE4820" s="1115"/>
      <c r="AF4820" s="1115"/>
      <c r="AG4820" s="1115"/>
      <c r="AH4820" s="1115"/>
      <c r="AI4820" s="1115"/>
      <c r="AJ4820" s="1117"/>
      <c r="AK4820" s="1118"/>
      <c r="AL4820" s="1115"/>
      <c r="AM4820" s="1115"/>
      <c r="AN4820" s="1115"/>
      <c r="AO4820" s="1115"/>
      <c r="AP4820" s="1115"/>
      <c r="AQ4820" s="1115"/>
      <c r="AR4820" s="1115"/>
      <c r="AS4820" s="1117"/>
      <c r="AT4820" s="1075"/>
      <c r="AU4820" s="1193"/>
      <c r="AV4820" s="330"/>
      <c r="AW4820" s="331"/>
      <c r="AX4820" s="331"/>
      <c r="AY4820" s="331"/>
      <c r="AZ4820" s="331"/>
      <c r="BA4820" s="331"/>
      <c r="BB4820" s="331"/>
      <c r="BC4820" s="331"/>
      <c r="BD4820" s="331"/>
      <c r="BE4820" s="333"/>
      <c r="BF4820" s="330"/>
      <c r="BG4820" s="333"/>
      <c r="BH4820" s="1119"/>
      <c r="BI4820" s="319"/>
      <c r="BJ4820" s="319"/>
      <c r="BK4820" s="319"/>
      <c r="BL4820" s="319"/>
      <c r="BM4820" s="319"/>
      <c r="BN4820" s="319"/>
      <c r="BO4820" s="319"/>
      <c r="BP4820" s="953"/>
      <c r="BQ4820" s="319"/>
      <c r="BR4820" s="319"/>
      <c r="BS4820" s="330"/>
      <c r="BT4820" s="331"/>
      <c r="BU4820" s="920"/>
      <c r="BV4820" s="903"/>
      <c r="BW4820" s="908"/>
      <c r="BX4820" s="908"/>
      <c r="BY4820" s="331"/>
      <c r="BZ4820" s="331"/>
      <c r="CA4820" s="462"/>
      <c r="CB4820" s="319"/>
      <c r="CC4820" s="319"/>
      <c r="CD4820" s="319"/>
      <c r="CE4820" s="319"/>
      <c r="CF4820" s="319"/>
      <c r="CG4820" s="319"/>
      <c r="CH4820" s="318"/>
      <c r="CI4820" s="319"/>
      <c r="CJ4820" s="319"/>
      <c r="CK4820" s="342"/>
      <c r="CL4820" s="333"/>
      <c r="CM4820" s="1079"/>
      <c r="CN4820" s="1005"/>
      <c r="CO4820" s="1005"/>
      <c r="CP4820" s="1005"/>
    </row>
    <row r="4821">
      <c r="A4821" s="1257"/>
      <c r="B4821" s="1113"/>
      <c r="C4821" s="1107"/>
      <c r="D4821" s="103"/>
      <c r="E4821" s="1137"/>
      <c r="F4821" s="112"/>
      <c r="G4821" s="1110"/>
      <c r="H4821" s="1138"/>
      <c r="I4821" s="1138"/>
      <c r="J4821" s="1139"/>
      <c r="K4821" s="1111"/>
      <c r="L4821" s="1112"/>
      <c r="M4821" s="1113"/>
      <c r="N4821" s="110"/>
      <c r="O4821" s="1140"/>
      <c r="P4821" s="1115"/>
      <c r="Q4821" s="1116"/>
      <c r="R4821" s="1141"/>
      <c r="S4821" s="1113"/>
      <c r="T4821" s="1143"/>
      <c r="U4821" s="1108"/>
      <c r="V4821" s="1108"/>
      <c r="W4821" s="1108"/>
      <c r="X4821" s="1108"/>
      <c r="Y4821" s="1108"/>
      <c r="Z4821" s="1114"/>
      <c r="AA4821" s="1114"/>
      <c r="AB4821" s="1114"/>
      <c r="AC4821" s="1117"/>
      <c r="AD4821" s="1115"/>
      <c r="AE4821" s="1115"/>
      <c r="AF4821" s="1115"/>
      <c r="AG4821" s="1115"/>
      <c r="AH4821" s="1115"/>
      <c r="AI4821" s="1115"/>
      <c r="AJ4821" s="1117"/>
      <c r="AK4821" s="1118"/>
      <c r="AL4821" s="1115"/>
      <c r="AM4821" s="1115"/>
      <c r="AN4821" s="1115"/>
      <c r="AO4821" s="1115"/>
      <c r="AP4821" s="1115"/>
      <c r="AQ4821" s="1115"/>
      <c r="AR4821" s="1115"/>
      <c r="AS4821" s="1117"/>
      <c r="AT4821" s="1075"/>
      <c r="AU4821" s="1193"/>
      <c r="AV4821" s="330"/>
      <c r="AW4821" s="331"/>
      <c r="AX4821" s="331"/>
      <c r="AY4821" s="331"/>
      <c r="AZ4821" s="331"/>
      <c r="BA4821" s="331"/>
      <c r="BB4821" s="331"/>
      <c r="BC4821" s="331"/>
      <c r="BD4821" s="331"/>
      <c r="BE4821" s="333"/>
      <c r="BF4821" s="330"/>
      <c r="BG4821" s="333"/>
      <c r="BH4821" s="1119"/>
      <c r="BI4821" s="319"/>
      <c r="BJ4821" s="319"/>
      <c r="BK4821" s="319"/>
      <c r="BL4821" s="319"/>
      <c r="BM4821" s="319"/>
      <c r="BN4821" s="319"/>
      <c r="BO4821" s="319"/>
      <c r="BP4821" s="953"/>
      <c r="BQ4821" s="319"/>
      <c r="BR4821" s="319"/>
      <c r="BS4821" s="330"/>
      <c r="BT4821" s="331"/>
      <c r="BU4821" s="920"/>
      <c r="BV4821" s="903"/>
      <c r="BW4821" s="908"/>
      <c r="BX4821" s="908"/>
      <c r="BY4821" s="331"/>
      <c r="BZ4821" s="331"/>
      <c r="CA4821" s="462"/>
      <c r="CB4821" s="319"/>
      <c r="CC4821" s="319"/>
      <c r="CD4821" s="319"/>
      <c r="CE4821" s="319"/>
      <c r="CF4821" s="319"/>
      <c r="CG4821" s="319"/>
      <c r="CH4821" s="318"/>
      <c r="CI4821" s="319"/>
      <c r="CJ4821" s="319"/>
      <c r="CK4821" s="342"/>
      <c r="CL4821" s="333"/>
      <c r="CM4821" s="1079"/>
      <c r="CN4821" s="1005"/>
      <c r="CO4821" s="1005"/>
      <c r="CP4821" s="1005"/>
    </row>
    <row r="4822">
      <c r="A4822" s="1257"/>
      <c r="B4822" s="1113"/>
      <c r="C4822" s="1107"/>
      <c r="D4822" s="103"/>
      <c r="E4822" s="1137"/>
      <c r="F4822" s="112"/>
      <c r="G4822" s="1110"/>
      <c r="H4822" s="1138"/>
      <c r="I4822" s="1138"/>
      <c r="J4822" s="1139"/>
      <c r="K4822" s="1111"/>
      <c r="L4822" s="1112"/>
      <c r="M4822" s="1113"/>
      <c r="N4822" s="110"/>
      <c r="O4822" s="1140"/>
      <c r="P4822" s="1115"/>
      <c r="Q4822" s="1116"/>
      <c r="R4822" s="1141"/>
      <c r="S4822" s="1113"/>
      <c r="T4822" s="1143"/>
      <c r="U4822" s="1108"/>
      <c r="V4822" s="1108"/>
      <c r="W4822" s="1108"/>
      <c r="X4822" s="1108"/>
      <c r="Y4822" s="1108"/>
      <c r="Z4822" s="1114"/>
      <c r="AA4822" s="1114"/>
      <c r="AB4822" s="1114"/>
      <c r="AC4822" s="1117"/>
      <c r="AD4822" s="1115"/>
      <c r="AE4822" s="1115"/>
      <c r="AF4822" s="1115"/>
      <c r="AG4822" s="1115"/>
      <c r="AH4822" s="1115"/>
      <c r="AI4822" s="1115"/>
      <c r="AJ4822" s="1117"/>
      <c r="AK4822" s="1118"/>
      <c r="AL4822" s="1115"/>
      <c r="AM4822" s="1115"/>
      <c r="AN4822" s="1115"/>
      <c r="AO4822" s="1115"/>
      <c r="AP4822" s="1115"/>
      <c r="AQ4822" s="1115"/>
      <c r="AR4822" s="1115"/>
      <c r="AS4822" s="1117"/>
      <c r="AT4822" s="1075"/>
      <c r="AU4822" s="1193"/>
      <c r="AV4822" s="330"/>
      <c r="AW4822" s="331"/>
      <c r="AX4822" s="331"/>
      <c r="AY4822" s="331"/>
      <c r="AZ4822" s="331"/>
      <c r="BA4822" s="331"/>
      <c r="BB4822" s="331"/>
      <c r="BC4822" s="331"/>
      <c r="BD4822" s="331"/>
      <c r="BE4822" s="333"/>
      <c r="BF4822" s="330"/>
      <c r="BG4822" s="333"/>
      <c r="BH4822" s="1119"/>
      <c r="BI4822" s="319"/>
      <c r="BJ4822" s="319"/>
      <c r="BK4822" s="319"/>
      <c r="BL4822" s="319"/>
      <c r="BM4822" s="319"/>
      <c r="BN4822" s="319"/>
      <c r="BO4822" s="319"/>
      <c r="BP4822" s="953"/>
      <c r="BQ4822" s="319"/>
      <c r="BR4822" s="319"/>
      <c r="BS4822" s="330"/>
      <c r="BT4822" s="331"/>
      <c r="BU4822" s="920"/>
      <c r="BV4822" s="903"/>
      <c r="BW4822" s="908"/>
      <c r="BX4822" s="908"/>
      <c r="BY4822" s="331"/>
      <c r="BZ4822" s="331"/>
      <c r="CA4822" s="462"/>
      <c r="CB4822" s="319"/>
      <c r="CC4822" s="319"/>
      <c r="CD4822" s="319"/>
      <c r="CE4822" s="319"/>
      <c r="CF4822" s="319"/>
      <c r="CG4822" s="319"/>
      <c r="CH4822" s="318"/>
      <c r="CI4822" s="319"/>
      <c r="CJ4822" s="319"/>
      <c r="CK4822" s="342"/>
      <c r="CL4822" s="333"/>
      <c r="CM4822" s="1079"/>
      <c r="CN4822" s="1005"/>
      <c r="CO4822" s="1005"/>
      <c r="CP4822" s="1005"/>
    </row>
    <row r="4823">
      <c r="A4823" s="1257"/>
      <c r="B4823" s="1113"/>
      <c r="C4823" s="1107"/>
      <c r="D4823" s="103"/>
      <c r="E4823" s="1137"/>
      <c r="F4823" s="112"/>
      <c r="G4823" s="1110"/>
      <c r="H4823" s="1138"/>
      <c r="I4823" s="1138"/>
      <c r="J4823" s="1139"/>
      <c r="K4823" s="1111"/>
      <c r="L4823" s="1112"/>
      <c r="M4823" s="1113"/>
      <c r="N4823" s="110"/>
      <c r="O4823" s="1140"/>
      <c r="P4823" s="1115"/>
      <c r="Q4823" s="1116"/>
      <c r="R4823" s="1141"/>
      <c r="S4823" s="1113"/>
      <c r="T4823" s="1143"/>
      <c r="U4823" s="1108"/>
      <c r="V4823" s="1108"/>
      <c r="W4823" s="1108"/>
      <c r="X4823" s="1108"/>
      <c r="Y4823" s="1108"/>
      <c r="Z4823" s="1114"/>
      <c r="AA4823" s="1114"/>
      <c r="AB4823" s="1114"/>
      <c r="AC4823" s="1117"/>
      <c r="AD4823" s="1115"/>
      <c r="AE4823" s="1115"/>
      <c r="AF4823" s="1115"/>
      <c r="AG4823" s="1115"/>
      <c r="AH4823" s="1115"/>
      <c r="AI4823" s="1115"/>
      <c r="AJ4823" s="1117"/>
      <c r="AK4823" s="1118"/>
      <c r="AL4823" s="1115"/>
      <c r="AM4823" s="1115"/>
      <c r="AN4823" s="1115"/>
      <c r="AO4823" s="1115"/>
      <c r="AP4823" s="1115"/>
      <c r="AQ4823" s="1115"/>
      <c r="AR4823" s="1115"/>
      <c r="AS4823" s="1117"/>
      <c r="AT4823" s="1075"/>
      <c r="AU4823" s="1193"/>
      <c r="AV4823" s="330"/>
      <c r="AW4823" s="331"/>
      <c r="AX4823" s="331"/>
      <c r="AY4823" s="331"/>
      <c r="AZ4823" s="331"/>
      <c r="BA4823" s="331"/>
      <c r="BB4823" s="331"/>
      <c r="BC4823" s="331"/>
      <c r="BD4823" s="331"/>
      <c r="BE4823" s="333"/>
      <c r="BF4823" s="330"/>
      <c r="BG4823" s="333"/>
      <c r="BH4823" s="1119"/>
      <c r="BI4823" s="319"/>
      <c r="BJ4823" s="319"/>
      <c r="BK4823" s="319"/>
      <c r="BL4823" s="319"/>
      <c r="BM4823" s="319"/>
      <c r="BN4823" s="319"/>
      <c r="BO4823" s="319"/>
      <c r="BP4823" s="953"/>
      <c r="BQ4823" s="319"/>
      <c r="BR4823" s="319"/>
      <c r="BS4823" s="330"/>
      <c r="BT4823" s="331"/>
      <c r="BU4823" s="920"/>
      <c r="BV4823" s="903"/>
      <c r="BW4823" s="908"/>
      <c r="BX4823" s="908"/>
      <c r="BY4823" s="331"/>
      <c r="BZ4823" s="331"/>
      <c r="CA4823" s="462"/>
      <c r="CB4823" s="319"/>
      <c r="CC4823" s="319"/>
      <c r="CD4823" s="319"/>
      <c r="CE4823" s="319"/>
      <c r="CF4823" s="319"/>
      <c r="CG4823" s="319"/>
      <c r="CH4823" s="318"/>
      <c r="CI4823" s="319"/>
      <c r="CJ4823" s="319"/>
      <c r="CK4823" s="342"/>
      <c r="CL4823" s="333"/>
      <c r="CM4823" s="1079"/>
      <c r="CN4823" s="1005"/>
      <c r="CO4823" s="1005"/>
      <c r="CP4823" s="1005"/>
    </row>
    <row r="4824">
      <c r="A4824" s="1257"/>
      <c r="B4824" s="1113"/>
      <c r="C4824" s="1107"/>
      <c r="D4824" s="103"/>
      <c r="E4824" s="1137"/>
      <c r="F4824" s="112"/>
      <c r="G4824" s="1110"/>
      <c r="H4824" s="1138"/>
      <c r="I4824" s="1138"/>
      <c r="J4824" s="1139"/>
      <c r="K4824" s="1111"/>
      <c r="L4824" s="1112"/>
      <c r="M4824" s="1113"/>
      <c r="N4824" s="110"/>
      <c r="O4824" s="1140"/>
      <c r="P4824" s="1115"/>
      <c r="Q4824" s="1116"/>
      <c r="R4824" s="1141"/>
      <c r="S4824" s="1113"/>
      <c r="T4824" s="1143"/>
      <c r="U4824" s="1108"/>
      <c r="V4824" s="1108"/>
      <c r="W4824" s="1108"/>
      <c r="X4824" s="1108"/>
      <c r="Y4824" s="1108"/>
      <c r="Z4824" s="1114"/>
      <c r="AA4824" s="1114"/>
      <c r="AB4824" s="1114"/>
      <c r="AC4824" s="1117"/>
      <c r="AD4824" s="1115"/>
      <c r="AE4824" s="1115"/>
      <c r="AF4824" s="1115"/>
      <c r="AG4824" s="1115"/>
      <c r="AH4824" s="1115"/>
      <c r="AI4824" s="1115"/>
      <c r="AJ4824" s="1117"/>
      <c r="AK4824" s="1118"/>
      <c r="AL4824" s="1115"/>
      <c r="AM4824" s="1115"/>
      <c r="AN4824" s="1115"/>
      <c r="AO4824" s="1115"/>
      <c r="AP4824" s="1115"/>
      <c r="AQ4824" s="1115"/>
      <c r="AR4824" s="1115"/>
      <c r="AS4824" s="1117"/>
      <c r="AT4824" s="1075"/>
      <c r="AU4824" s="1193"/>
      <c r="AV4824" s="330"/>
      <c r="AW4824" s="331"/>
      <c r="AX4824" s="331"/>
      <c r="AY4824" s="331"/>
      <c r="AZ4824" s="331"/>
      <c r="BA4824" s="331"/>
      <c r="BB4824" s="331"/>
      <c r="BC4824" s="331"/>
      <c r="BD4824" s="331"/>
      <c r="BE4824" s="333"/>
      <c r="BF4824" s="330"/>
      <c r="BG4824" s="333"/>
      <c r="BH4824" s="1119"/>
      <c r="BI4824" s="319"/>
      <c r="BJ4824" s="319"/>
      <c r="BK4824" s="319"/>
      <c r="BL4824" s="319"/>
      <c r="BM4824" s="319"/>
      <c r="BN4824" s="319"/>
      <c r="BO4824" s="319"/>
      <c r="BP4824" s="953"/>
      <c r="BQ4824" s="319"/>
      <c r="BR4824" s="319"/>
      <c r="BS4824" s="330"/>
      <c r="BT4824" s="331"/>
      <c r="BU4824" s="920"/>
      <c r="BV4824" s="903"/>
      <c r="BW4824" s="908"/>
      <c r="BX4824" s="908"/>
      <c r="BY4824" s="331"/>
      <c r="BZ4824" s="331"/>
      <c r="CA4824" s="462"/>
      <c r="CB4824" s="319"/>
      <c r="CC4824" s="319"/>
      <c r="CD4824" s="319"/>
      <c r="CE4824" s="319"/>
      <c r="CF4824" s="319"/>
      <c r="CG4824" s="319"/>
      <c r="CH4824" s="318"/>
      <c r="CI4824" s="319"/>
      <c r="CJ4824" s="319"/>
      <c r="CK4824" s="342"/>
      <c r="CL4824" s="333"/>
      <c r="CM4824" s="1079"/>
      <c r="CN4824" s="1005"/>
      <c r="CO4824" s="1005"/>
      <c r="CP4824" s="1005"/>
    </row>
    <row r="4825">
      <c r="A4825" s="1257"/>
      <c r="B4825" s="1113"/>
      <c r="C4825" s="1107"/>
      <c r="D4825" s="103"/>
      <c r="E4825" s="1137"/>
      <c r="F4825" s="112"/>
      <c r="G4825" s="1110"/>
      <c r="H4825" s="1138"/>
      <c r="I4825" s="1138"/>
      <c r="J4825" s="1139"/>
      <c r="K4825" s="1111"/>
      <c r="L4825" s="1112"/>
      <c r="M4825" s="1113"/>
      <c r="N4825" s="110"/>
      <c r="O4825" s="1140"/>
      <c r="P4825" s="1115"/>
      <c r="Q4825" s="1116"/>
      <c r="R4825" s="1141"/>
      <c r="S4825" s="1113"/>
      <c r="T4825" s="1143"/>
      <c r="U4825" s="1108"/>
      <c r="V4825" s="1108"/>
      <c r="W4825" s="1108"/>
      <c r="X4825" s="1108"/>
      <c r="Y4825" s="1108"/>
      <c r="Z4825" s="1114"/>
      <c r="AA4825" s="1114"/>
      <c r="AB4825" s="1114"/>
      <c r="AC4825" s="1117"/>
      <c r="AD4825" s="1115"/>
      <c r="AE4825" s="1115"/>
      <c r="AF4825" s="1115"/>
      <c r="AG4825" s="1115"/>
      <c r="AH4825" s="1115"/>
      <c r="AI4825" s="1115"/>
      <c r="AJ4825" s="1117"/>
      <c r="AK4825" s="1118"/>
      <c r="AL4825" s="1115"/>
      <c r="AM4825" s="1115"/>
      <c r="AN4825" s="1115"/>
      <c r="AO4825" s="1115"/>
      <c r="AP4825" s="1115"/>
      <c r="AQ4825" s="1115"/>
      <c r="AR4825" s="1115"/>
      <c r="AS4825" s="1117"/>
      <c r="AT4825" s="1075"/>
      <c r="AU4825" s="1193"/>
      <c r="AV4825" s="330"/>
      <c r="AW4825" s="331"/>
      <c r="AX4825" s="331"/>
      <c r="AY4825" s="331"/>
      <c r="AZ4825" s="331"/>
      <c r="BA4825" s="331"/>
      <c r="BB4825" s="331"/>
      <c r="BC4825" s="331"/>
      <c r="BD4825" s="331"/>
      <c r="BE4825" s="333"/>
      <c r="BF4825" s="330"/>
      <c r="BG4825" s="333"/>
      <c r="BH4825" s="1119"/>
      <c r="BI4825" s="319"/>
      <c r="BJ4825" s="319"/>
      <c r="BK4825" s="319"/>
      <c r="BL4825" s="319"/>
      <c r="BM4825" s="319"/>
      <c r="BN4825" s="319"/>
      <c r="BO4825" s="319"/>
      <c r="BP4825" s="953"/>
      <c r="BQ4825" s="319"/>
      <c r="BR4825" s="319"/>
      <c r="BS4825" s="330"/>
      <c r="BT4825" s="331"/>
      <c r="BU4825" s="920"/>
      <c r="BV4825" s="903"/>
      <c r="BW4825" s="908"/>
      <c r="BX4825" s="908"/>
      <c r="BY4825" s="331"/>
      <c r="BZ4825" s="331"/>
      <c r="CA4825" s="462"/>
      <c r="CB4825" s="319"/>
      <c r="CC4825" s="319"/>
      <c r="CD4825" s="319"/>
      <c r="CE4825" s="319"/>
      <c r="CF4825" s="319"/>
      <c r="CG4825" s="319"/>
      <c r="CH4825" s="318"/>
      <c r="CI4825" s="319"/>
      <c r="CJ4825" s="319"/>
      <c r="CK4825" s="342"/>
      <c r="CL4825" s="333"/>
      <c r="CM4825" s="1079"/>
      <c r="CN4825" s="1005"/>
      <c r="CO4825" s="1005"/>
      <c r="CP4825" s="1005"/>
    </row>
    <row r="4826">
      <c r="A4826" s="1257"/>
      <c r="B4826" s="1113"/>
      <c r="C4826" s="1107"/>
      <c r="D4826" s="103"/>
      <c r="E4826" s="1137"/>
      <c r="F4826" s="112"/>
      <c r="G4826" s="1110"/>
      <c r="H4826" s="1138"/>
      <c r="I4826" s="1138"/>
      <c r="J4826" s="1139"/>
      <c r="K4826" s="1111"/>
      <c r="L4826" s="1112"/>
      <c r="M4826" s="1113"/>
      <c r="N4826" s="110"/>
      <c r="O4826" s="1140"/>
      <c r="P4826" s="1115"/>
      <c r="Q4826" s="1116"/>
      <c r="R4826" s="1141"/>
      <c r="S4826" s="1113"/>
      <c r="T4826" s="1143"/>
      <c r="U4826" s="1108"/>
      <c r="V4826" s="1108"/>
      <c r="W4826" s="1108"/>
      <c r="X4826" s="1108"/>
      <c r="Y4826" s="1108"/>
      <c r="Z4826" s="1114"/>
      <c r="AA4826" s="1114"/>
      <c r="AB4826" s="1114"/>
      <c r="AC4826" s="1117"/>
      <c r="AD4826" s="1115"/>
      <c r="AE4826" s="1115"/>
      <c r="AF4826" s="1115"/>
      <c r="AG4826" s="1115"/>
      <c r="AH4826" s="1115"/>
      <c r="AI4826" s="1115"/>
      <c r="AJ4826" s="1117"/>
      <c r="AK4826" s="1118"/>
      <c r="AL4826" s="1115"/>
      <c r="AM4826" s="1115"/>
      <c r="AN4826" s="1115"/>
      <c r="AO4826" s="1115"/>
      <c r="AP4826" s="1115"/>
      <c r="AQ4826" s="1115"/>
      <c r="AR4826" s="1115"/>
      <c r="AS4826" s="1117"/>
      <c r="AT4826" s="1075"/>
      <c r="AU4826" s="1193"/>
      <c r="AV4826" s="330"/>
      <c r="AW4826" s="331"/>
      <c r="AX4826" s="331"/>
      <c r="AY4826" s="331"/>
      <c r="AZ4826" s="331"/>
      <c r="BA4826" s="331"/>
      <c r="BB4826" s="331"/>
      <c r="BC4826" s="331"/>
      <c r="BD4826" s="331"/>
      <c r="BE4826" s="333"/>
      <c r="BF4826" s="330"/>
      <c r="BG4826" s="333"/>
      <c r="BH4826" s="1119"/>
      <c r="BI4826" s="319"/>
      <c r="BJ4826" s="319"/>
      <c r="BK4826" s="319"/>
      <c r="BL4826" s="319"/>
      <c r="BM4826" s="319"/>
      <c r="BN4826" s="319"/>
      <c r="BO4826" s="319"/>
      <c r="BP4826" s="953"/>
      <c r="BQ4826" s="319"/>
      <c r="BR4826" s="319"/>
      <c r="BS4826" s="330"/>
      <c r="BT4826" s="331"/>
      <c r="BU4826" s="920"/>
      <c r="BV4826" s="903"/>
      <c r="BW4826" s="908"/>
      <c r="BX4826" s="908"/>
      <c r="BY4826" s="331"/>
      <c r="BZ4826" s="331"/>
      <c r="CA4826" s="462"/>
      <c r="CB4826" s="319"/>
      <c r="CC4826" s="319"/>
      <c r="CD4826" s="319"/>
      <c r="CE4826" s="319"/>
      <c r="CF4826" s="319"/>
      <c r="CG4826" s="319"/>
      <c r="CH4826" s="318"/>
      <c r="CI4826" s="319"/>
      <c r="CJ4826" s="319"/>
      <c r="CK4826" s="342"/>
      <c r="CL4826" s="333"/>
      <c r="CM4826" s="1079"/>
      <c r="CN4826" s="1005"/>
      <c r="CO4826" s="1005"/>
      <c r="CP4826" s="1005"/>
    </row>
    <row r="4827">
      <c r="A4827" s="1257"/>
      <c r="B4827" s="1113"/>
      <c r="C4827" s="1107"/>
      <c r="D4827" s="103"/>
      <c r="E4827" s="1137"/>
      <c r="F4827" s="112"/>
      <c r="G4827" s="1110"/>
      <c r="H4827" s="1138"/>
      <c r="I4827" s="1138"/>
      <c r="J4827" s="1139"/>
      <c r="K4827" s="1111"/>
      <c r="L4827" s="1112"/>
      <c r="M4827" s="1113"/>
      <c r="N4827" s="110"/>
      <c r="O4827" s="1140"/>
      <c r="P4827" s="1115"/>
      <c r="Q4827" s="1116"/>
      <c r="R4827" s="1141"/>
      <c r="S4827" s="1113"/>
      <c r="T4827" s="1143"/>
      <c r="U4827" s="1108"/>
      <c r="V4827" s="1108"/>
      <c r="W4827" s="1108"/>
      <c r="X4827" s="1108"/>
      <c r="Y4827" s="1108"/>
      <c r="Z4827" s="1114"/>
      <c r="AA4827" s="1114"/>
      <c r="AB4827" s="1114"/>
      <c r="AC4827" s="1117"/>
      <c r="AD4827" s="1115"/>
      <c r="AE4827" s="1115"/>
      <c r="AF4827" s="1115"/>
      <c r="AG4827" s="1115"/>
      <c r="AH4827" s="1115"/>
      <c r="AI4827" s="1115"/>
      <c r="AJ4827" s="1117"/>
      <c r="AK4827" s="1118"/>
      <c r="AL4827" s="1115"/>
      <c r="AM4827" s="1115"/>
      <c r="AN4827" s="1115"/>
      <c r="AO4827" s="1115"/>
      <c r="AP4827" s="1115"/>
      <c r="AQ4827" s="1115"/>
      <c r="AR4827" s="1115"/>
      <c r="AS4827" s="1117"/>
      <c r="AT4827" s="1075"/>
      <c r="AU4827" s="1193"/>
      <c r="AV4827" s="330"/>
      <c r="AW4827" s="331"/>
      <c r="AX4827" s="331"/>
      <c r="AY4827" s="331"/>
      <c r="AZ4827" s="331"/>
      <c r="BA4827" s="331"/>
      <c r="BB4827" s="331"/>
      <c r="BC4827" s="331"/>
      <c r="BD4827" s="331"/>
      <c r="BE4827" s="333"/>
      <c r="BF4827" s="330"/>
      <c r="BG4827" s="333"/>
      <c r="BH4827" s="1119"/>
      <c r="BI4827" s="319"/>
      <c r="BJ4827" s="319"/>
      <c r="BK4827" s="319"/>
      <c r="BL4827" s="319"/>
      <c r="BM4827" s="319"/>
      <c r="BN4827" s="319"/>
      <c r="BO4827" s="319"/>
      <c r="BP4827" s="953"/>
      <c r="BQ4827" s="319"/>
      <c r="BR4827" s="319"/>
      <c r="BS4827" s="330"/>
      <c r="BT4827" s="331"/>
      <c r="BU4827" s="920"/>
      <c r="BV4827" s="903"/>
      <c r="BW4827" s="908"/>
      <c r="BX4827" s="908"/>
      <c r="BY4827" s="331"/>
      <c r="BZ4827" s="331"/>
      <c r="CA4827" s="462"/>
      <c r="CB4827" s="319"/>
      <c r="CC4827" s="319"/>
      <c r="CD4827" s="319"/>
      <c r="CE4827" s="319"/>
      <c r="CF4827" s="319"/>
      <c r="CG4827" s="319"/>
      <c r="CH4827" s="318"/>
      <c r="CI4827" s="319"/>
      <c r="CJ4827" s="319"/>
      <c r="CK4827" s="342"/>
      <c r="CL4827" s="333"/>
      <c r="CM4827" s="1079"/>
      <c r="CN4827" s="1005"/>
      <c r="CO4827" s="1005"/>
      <c r="CP4827" s="1005"/>
    </row>
    <row r="4828">
      <c r="A4828" s="1257"/>
      <c r="B4828" s="1113"/>
      <c r="C4828" s="1107"/>
      <c r="D4828" s="103"/>
      <c r="E4828" s="1137"/>
      <c r="F4828" s="112"/>
      <c r="G4828" s="1110"/>
      <c r="H4828" s="1138"/>
      <c r="I4828" s="1138"/>
      <c r="J4828" s="1139"/>
      <c r="K4828" s="1111"/>
      <c r="L4828" s="1112"/>
      <c r="M4828" s="1113"/>
      <c r="N4828" s="110"/>
      <c r="O4828" s="1140"/>
      <c r="P4828" s="1115"/>
      <c r="Q4828" s="1116"/>
      <c r="R4828" s="1141"/>
      <c r="S4828" s="1113"/>
      <c r="T4828" s="1143"/>
      <c r="U4828" s="1108"/>
      <c r="V4828" s="1108"/>
      <c r="W4828" s="1108"/>
      <c r="X4828" s="1108"/>
      <c r="Y4828" s="1108"/>
      <c r="Z4828" s="1114"/>
      <c r="AA4828" s="1114"/>
      <c r="AB4828" s="1114"/>
      <c r="AC4828" s="1117"/>
      <c r="AD4828" s="1115"/>
      <c r="AE4828" s="1115"/>
      <c r="AF4828" s="1115"/>
      <c r="AG4828" s="1115"/>
      <c r="AH4828" s="1115"/>
      <c r="AI4828" s="1115"/>
      <c r="AJ4828" s="1117"/>
      <c r="AK4828" s="1118"/>
      <c r="AL4828" s="1115"/>
      <c r="AM4828" s="1115"/>
      <c r="AN4828" s="1115"/>
      <c r="AO4828" s="1115"/>
      <c r="AP4828" s="1115"/>
      <c r="AQ4828" s="1115"/>
      <c r="AR4828" s="1115"/>
      <c r="AS4828" s="1117"/>
      <c r="AT4828" s="1075"/>
      <c r="AU4828" s="1193"/>
      <c r="AV4828" s="330"/>
      <c r="AW4828" s="331"/>
      <c r="AX4828" s="331"/>
      <c r="AY4828" s="331"/>
      <c r="AZ4828" s="331"/>
      <c r="BA4828" s="331"/>
      <c r="BB4828" s="331"/>
      <c r="BC4828" s="331"/>
      <c r="BD4828" s="331"/>
      <c r="BE4828" s="333"/>
      <c r="BF4828" s="330"/>
      <c r="BG4828" s="333"/>
      <c r="BH4828" s="1119"/>
      <c r="BI4828" s="319"/>
      <c r="BJ4828" s="319"/>
      <c r="BK4828" s="319"/>
      <c r="BL4828" s="319"/>
      <c r="BM4828" s="319"/>
      <c r="BN4828" s="319"/>
      <c r="BO4828" s="319"/>
      <c r="BP4828" s="953"/>
      <c r="BQ4828" s="319"/>
      <c r="BR4828" s="319"/>
      <c r="BS4828" s="330"/>
      <c r="BT4828" s="331"/>
      <c r="BU4828" s="920"/>
      <c r="BV4828" s="903"/>
      <c r="BW4828" s="908"/>
      <c r="BX4828" s="908"/>
      <c r="BY4828" s="331"/>
      <c r="BZ4828" s="331"/>
      <c r="CA4828" s="462"/>
      <c r="CB4828" s="319"/>
      <c r="CC4828" s="319"/>
      <c r="CD4828" s="319"/>
      <c r="CE4828" s="319"/>
      <c r="CF4828" s="319"/>
      <c r="CG4828" s="319"/>
      <c r="CH4828" s="318"/>
      <c r="CI4828" s="319"/>
      <c r="CJ4828" s="319"/>
      <c r="CK4828" s="342"/>
      <c r="CL4828" s="333"/>
      <c r="CM4828" s="1079"/>
      <c r="CN4828" s="1005"/>
      <c r="CO4828" s="1005"/>
      <c r="CP4828" s="1005"/>
    </row>
    <row r="4829">
      <c r="A4829" s="1257"/>
      <c r="B4829" s="1113"/>
      <c r="C4829" s="1107"/>
      <c r="D4829" s="103"/>
      <c r="E4829" s="1137"/>
      <c r="F4829" s="112"/>
      <c r="G4829" s="1110"/>
      <c r="H4829" s="1138"/>
      <c r="I4829" s="1138"/>
      <c r="J4829" s="1139"/>
      <c r="K4829" s="1111"/>
      <c r="L4829" s="1112"/>
      <c r="M4829" s="1113"/>
      <c r="N4829" s="110"/>
      <c r="O4829" s="1140"/>
      <c r="P4829" s="1115"/>
      <c r="Q4829" s="1116"/>
      <c r="R4829" s="1141"/>
      <c r="S4829" s="1113"/>
      <c r="T4829" s="1143"/>
      <c r="U4829" s="1108"/>
      <c r="V4829" s="1108"/>
      <c r="W4829" s="1108"/>
      <c r="X4829" s="1108"/>
      <c r="Y4829" s="1108"/>
      <c r="Z4829" s="1114"/>
      <c r="AA4829" s="1114"/>
      <c r="AB4829" s="1114"/>
      <c r="AC4829" s="1117"/>
      <c r="AD4829" s="1115"/>
      <c r="AE4829" s="1115"/>
      <c r="AF4829" s="1115"/>
      <c r="AG4829" s="1115"/>
      <c r="AH4829" s="1115"/>
      <c r="AI4829" s="1115"/>
      <c r="AJ4829" s="1117"/>
      <c r="AK4829" s="1118"/>
      <c r="AL4829" s="1115"/>
      <c r="AM4829" s="1115"/>
      <c r="AN4829" s="1115"/>
      <c r="AO4829" s="1115"/>
      <c r="AP4829" s="1115"/>
      <c r="AQ4829" s="1115"/>
      <c r="AR4829" s="1115"/>
      <c r="AS4829" s="1117"/>
      <c r="AT4829" s="1075"/>
      <c r="AU4829" s="1193"/>
      <c r="AV4829" s="330"/>
      <c r="AW4829" s="331"/>
      <c r="AX4829" s="331"/>
      <c r="AY4829" s="331"/>
      <c r="AZ4829" s="331"/>
      <c r="BA4829" s="331"/>
      <c r="BB4829" s="331"/>
      <c r="BC4829" s="331"/>
      <c r="BD4829" s="331"/>
      <c r="BE4829" s="333"/>
      <c r="BF4829" s="330"/>
      <c r="BG4829" s="333"/>
      <c r="BH4829" s="1119"/>
      <c r="BI4829" s="319"/>
      <c r="BJ4829" s="319"/>
      <c r="BK4829" s="319"/>
      <c r="BL4829" s="319"/>
      <c r="BM4829" s="319"/>
      <c r="BN4829" s="319"/>
      <c r="BO4829" s="319"/>
      <c r="BP4829" s="953"/>
      <c r="BQ4829" s="319"/>
      <c r="BR4829" s="319"/>
      <c r="BS4829" s="330"/>
      <c r="BT4829" s="331"/>
      <c r="BU4829" s="920"/>
      <c r="BV4829" s="903"/>
      <c r="BW4829" s="908"/>
      <c r="BX4829" s="908"/>
      <c r="BY4829" s="331"/>
      <c r="BZ4829" s="331"/>
      <c r="CA4829" s="462"/>
      <c r="CB4829" s="319"/>
      <c r="CC4829" s="319"/>
      <c r="CD4829" s="319"/>
      <c r="CE4829" s="319"/>
      <c r="CF4829" s="319"/>
      <c r="CG4829" s="319"/>
      <c r="CH4829" s="318"/>
      <c r="CI4829" s="319"/>
      <c r="CJ4829" s="319"/>
      <c r="CK4829" s="342"/>
      <c r="CL4829" s="333"/>
      <c r="CM4829" s="1079"/>
      <c r="CN4829" s="1005"/>
      <c r="CO4829" s="1005"/>
      <c r="CP4829" s="1005"/>
    </row>
    <row r="4830">
      <c r="A4830" s="1257"/>
      <c r="B4830" s="1113"/>
      <c r="C4830" s="1107"/>
      <c r="D4830" s="103"/>
      <c r="E4830" s="1137"/>
      <c r="F4830" s="112"/>
      <c r="G4830" s="1110"/>
      <c r="H4830" s="1138"/>
      <c r="I4830" s="1138"/>
      <c r="J4830" s="1139"/>
      <c r="K4830" s="1111"/>
      <c r="L4830" s="1112"/>
      <c r="M4830" s="1113"/>
      <c r="N4830" s="110"/>
      <c r="O4830" s="1140"/>
      <c r="P4830" s="1115"/>
      <c r="Q4830" s="1116"/>
      <c r="R4830" s="1141"/>
      <c r="S4830" s="1113"/>
      <c r="T4830" s="1143"/>
      <c r="U4830" s="1108"/>
      <c r="V4830" s="1108"/>
      <c r="W4830" s="1108"/>
      <c r="X4830" s="1108"/>
      <c r="Y4830" s="1108"/>
      <c r="Z4830" s="1114"/>
      <c r="AA4830" s="1114"/>
      <c r="AB4830" s="1114"/>
      <c r="AC4830" s="1117"/>
      <c r="AD4830" s="1115"/>
      <c r="AE4830" s="1115"/>
      <c r="AF4830" s="1115"/>
      <c r="AG4830" s="1115"/>
      <c r="AH4830" s="1115"/>
      <c r="AI4830" s="1115"/>
      <c r="AJ4830" s="1117"/>
      <c r="AK4830" s="1118"/>
      <c r="AL4830" s="1115"/>
      <c r="AM4830" s="1115"/>
      <c r="AN4830" s="1115"/>
      <c r="AO4830" s="1115"/>
      <c r="AP4830" s="1115"/>
      <c r="AQ4830" s="1115"/>
      <c r="AR4830" s="1115"/>
      <c r="AS4830" s="1117"/>
      <c r="AT4830" s="1075"/>
      <c r="AU4830" s="1193"/>
      <c r="AV4830" s="330"/>
      <c r="AW4830" s="331"/>
      <c r="AX4830" s="331"/>
      <c r="AY4830" s="331"/>
      <c r="AZ4830" s="331"/>
      <c r="BA4830" s="331"/>
      <c r="BB4830" s="331"/>
      <c r="BC4830" s="331"/>
      <c r="BD4830" s="331"/>
      <c r="BE4830" s="333"/>
      <c r="BF4830" s="330"/>
      <c r="BG4830" s="333"/>
      <c r="BH4830" s="1119"/>
      <c r="BI4830" s="319"/>
      <c r="BJ4830" s="319"/>
      <c r="BK4830" s="319"/>
      <c r="BL4830" s="319"/>
      <c r="BM4830" s="319"/>
      <c r="BN4830" s="319"/>
      <c r="BO4830" s="319"/>
      <c r="BP4830" s="953"/>
      <c r="BQ4830" s="319"/>
      <c r="BR4830" s="319"/>
      <c r="BS4830" s="330"/>
      <c r="BT4830" s="331"/>
      <c r="BU4830" s="920"/>
      <c r="BV4830" s="903"/>
      <c r="BW4830" s="908"/>
      <c r="BX4830" s="908"/>
      <c r="BY4830" s="331"/>
      <c r="BZ4830" s="331"/>
      <c r="CA4830" s="462"/>
      <c r="CB4830" s="319"/>
      <c r="CC4830" s="319"/>
      <c r="CD4830" s="319"/>
      <c r="CE4830" s="319"/>
      <c r="CF4830" s="319"/>
      <c r="CG4830" s="319"/>
      <c r="CH4830" s="318"/>
      <c r="CI4830" s="319"/>
      <c r="CJ4830" s="319"/>
      <c r="CK4830" s="342"/>
      <c r="CL4830" s="333"/>
      <c r="CM4830" s="1079"/>
      <c r="CN4830" s="1005"/>
      <c r="CO4830" s="1005"/>
      <c r="CP4830" s="1005"/>
    </row>
    <row r="4831">
      <c r="A4831" s="1257"/>
      <c r="B4831" s="1113"/>
      <c r="C4831" s="1107"/>
      <c r="D4831" s="103"/>
      <c r="E4831" s="1137"/>
      <c r="F4831" s="112"/>
      <c r="G4831" s="1110"/>
      <c r="H4831" s="1138"/>
      <c r="I4831" s="1138"/>
      <c r="J4831" s="1139"/>
      <c r="K4831" s="1111"/>
      <c r="L4831" s="1112"/>
      <c r="M4831" s="1113"/>
      <c r="N4831" s="110"/>
      <c r="O4831" s="1140"/>
      <c r="P4831" s="1115"/>
      <c r="Q4831" s="1116"/>
      <c r="R4831" s="1141"/>
      <c r="S4831" s="1113"/>
      <c r="T4831" s="1143"/>
      <c r="U4831" s="1108"/>
      <c r="V4831" s="1108"/>
      <c r="W4831" s="1108"/>
      <c r="X4831" s="1108"/>
      <c r="Y4831" s="1108"/>
      <c r="Z4831" s="1114"/>
      <c r="AA4831" s="1114"/>
      <c r="AB4831" s="1114"/>
      <c r="AC4831" s="1117"/>
      <c r="AD4831" s="1115"/>
      <c r="AE4831" s="1115"/>
      <c r="AF4831" s="1115"/>
      <c r="AG4831" s="1115"/>
      <c r="AH4831" s="1115"/>
      <c r="AI4831" s="1115"/>
      <c r="AJ4831" s="1117"/>
      <c r="AK4831" s="1118"/>
      <c r="AL4831" s="1115"/>
      <c r="AM4831" s="1115"/>
      <c r="AN4831" s="1115"/>
      <c r="AO4831" s="1115"/>
      <c r="AP4831" s="1115"/>
      <c r="AQ4831" s="1115"/>
      <c r="AR4831" s="1115"/>
      <c r="AS4831" s="1117"/>
      <c r="AT4831" s="1075"/>
      <c r="AU4831" s="1193"/>
      <c r="AV4831" s="330"/>
      <c r="AW4831" s="331"/>
      <c r="AX4831" s="331"/>
      <c r="AY4831" s="331"/>
      <c r="AZ4831" s="331"/>
      <c r="BA4831" s="331"/>
      <c r="BB4831" s="331"/>
      <c r="BC4831" s="331"/>
      <c r="BD4831" s="331"/>
      <c r="BE4831" s="333"/>
      <c r="BF4831" s="330"/>
      <c r="BG4831" s="333"/>
      <c r="BH4831" s="1119"/>
      <c r="BI4831" s="319"/>
      <c r="BJ4831" s="319"/>
      <c r="BK4831" s="319"/>
      <c r="BL4831" s="319"/>
      <c r="BM4831" s="319"/>
      <c r="BN4831" s="319"/>
      <c r="BO4831" s="319"/>
      <c r="BP4831" s="953"/>
      <c r="BQ4831" s="319"/>
      <c r="BR4831" s="319"/>
      <c r="BS4831" s="330"/>
      <c r="BT4831" s="331"/>
      <c r="BU4831" s="920"/>
      <c r="BV4831" s="903"/>
      <c r="BW4831" s="908"/>
      <c r="BX4831" s="908"/>
      <c r="BY4831" s="331"/>
      <c r="BZ4831" s="331"/>
      <c r="CA4831" s="462"/>
      <c r="CB4831" s="319"/>
      <c r="CC4831" s="319"/>
      <c r="CD4831" s="319"/>
      <c r="CE4831" s="319"/>
      <c r="CF4831" s="319"/>
      <c r="CG4831" s="319"/>
      <c r="CH4831" s="318"/>
      <c r="CI4831" s="319"/>
      <c r="CJ4831" s="319"/>
      <c r="CK4831" s="342"/>
      <c r="CL4831" s="333"/>
      <c r="CM4831" s="1079"/>
      <c r="CN4831" s="1005"/>
      <c r="CO4831" s="1005"/>
      <c r="CP4831" s="1005"/>
    </row>
    <row r="4832">
      <c r="A4832" s="1257"/>
      <c r="B4832" s="1113"/>
      <c r="C4832" s="1107"/>
      <c r="D4832" s="103"/>
      <c r="E4832" s="1137"/>
      <c r="F4832" s="112"/>
      <c r="G4832" s="1110"/>
      <c r="H4832" s="1138"/>
      <c r="I4832" s="1138"/>
      <c r="J4832" s="1139"/>
      <c r="K4832" s="1111"/>
      <c r="L4832" s="1112"/>
      <c r="M4832" s="1113"/>
      <c r="N4832" s="110"/>
      <c r="O4832" s="1140"/>
      <c r="P4832" s="1115"/>
      <c r="Q4832" s="1116"/>
      <c r="R4832" s="1141"/>
      <c r="S4832" s="1113"/>
      <c r="T4832" s="1143"/>
      <c r="U4832" s="1108"/>
      <c r="V4832" s="1108"/>
      <c r="W4832" s="1108"/>
      <c r="X4832" s="1108"/>
      <c r="Y4832" s="1108"/>
      <c r="Z4832" s="1114"/>
      <c r="AA4832" s="1114"/>
      <c r="AB4832" s="1114"/>
      <c r="AC4832" s="1117"/>
      <c r="AD4832" s="1115"/>
      <c r="AE4832" s="1115"/>
      <c r="AF4832" s="1115"/>
      <c r="AG4832" s="1115"/>
      <c r="AH4832" s="1115"/>
      <c r="AI4832" s="1115"/>
      <c r="AJ4832" s="1117"/>
      <c r="AK4832" s="1118"/>
      <c r="AL4832" s="1115"/>
      <c r="AM4832" s="1115"/>
      <c r="AN4832" s="1115"/>
      <c r="AO4832" s="1115"/>
      <c r="AP4832" s="1115"/>
      <c r="AQ4832" s="1115"/>
      <c r="AR4832" s="1115"/>
      <c r="AS4832" s="1117"/>
      <c r="AT4832" s="1075"/>
      <c r="AU4832" s="1193"/>
      <c r="AV4832" s="330"/>
      <c r="AW4832" s="331"/>
      <c r="AX4832" s="331"/>
      <c r="AY4832" s="331"/>
      <c r="AZ4832" s="331"/>
      <c r="BA4832" s="331"/>
      <c r="BB4832" s="331"/>
      <c r="BC4832" s="331"/>
      <c r="BD4832" s="331"/>
      <c r="BE4832" s="333"/>
      <c r="BF4832" s="330"/>
      <c r="BG4832" s="333"/>
      <c r="BH4832" s="1119"/>
      <c r="BI4832" s="319"/>
      <c r="BJ4832" s="319"/>
      <c r="BK4832" s="319"/>
      <c r="BL4832" s="319"/>
      <c r="BM4832" s="319"/>
      <c r="BN4832" s="319"/>
      <c r="BO4832" s="319"/>
      <c r="BP4832" s="953"/>
      <c r="BQ4832" s="319"/>
      <c r="BR4832" s="319"/>
      <c r="BS4832" s="330"/>
      <c r="BT4832" s="331"/>
      <c r="BU4832" s="920"/>
      <c r="BV4832" s="903"/>
      <c r="BW4832" s="908"/>
      <c r="BX4832" s="908"/>
      <c r="BY4832" s="331"/>
      <c r="BZ4832" s="331"/>
      <c r="CA4832" s="462"/>
      <c r="CB4832" s="319"/>
      <c r="CC4832" s="319"/>
      <c r="CD4832" s="319"/>
      <c r="CE4832" s="319"/>
      <c r="CF4832" s="319"/>
      <c r="CG4832" s="319"/>
      <c r="CH4832" s="318"/>
      <c r="CI4832" s="319"/>
      <c r="CJ4832" s="319"/>
      <c r="CK4832" s="342"/>
      <c r="CL4832" s="333"/>
      <c r="CM4832" s="1079"/>
      <c r="CN4832" s="1005"/>
      <c r="CO4832" s="1005"/>
      <c r="CP4832" s="1005"/>
    </row>
    <row r="4833">
      <c r="A4833" s="1257"/>
      <c r="B4833" s="1113"/>
      <c r="C4833" s="1107"/>
      <c r="D4833" s="103"/>
      <c r="E4833" s="1137"/>
      <c r="F4833" s="112"/>
      <c r="G4833" s="1110"/>
      <c r="H4833" s="1138"/>
      <c r="I4833" s="1138"/>
      <c r="J4833" s="1139"/>
      <c r="K4833" s="1111"/>
      <c r="L4833" s="1112"/>
      <c r="M4833" s="1113"/>
      <c r="N4833" s="110"/>
      <c r="O4833" s="1140"/>
      <c r="P4833" s="1115"/>
      <c r="Q4833" s="1116"/>
      <c r="R4833" s="1141"/>
      <c r="S4833" s="1113"/>
      <c r="T4833" s="1143"/>
      <c r="U4833" s="1108"/>
      <c r="V4833" s="1108"/>
      <c r="W4833" s="1108"/>
      <c r="X4833" s="1108"/>
      <c r="Y4833" s="1108"/>
      <c r="Z4833" s="1114"/>
      <c r="AA4833" s="1114"/>
      <c r="AB4833" s="1114"/>
      <c r="AC4833" s="1117"/>
      <c r="AD4833" s="1115"/>
      <c r="AE4833" s="1115"/>
      <c r="AF4833" s="1115"/>
      <c r="AG4833" s="1115"/>
      <c r="AH4833" s="1115"/>
      <c r="AI4833" s="1115"/>
      <c r="AJ4833" s="1117"/>
      <c r="AK4833" s="1118"/>
      <c r="AL4833" s="1115"/>
      <c r="AM4833" s="1115"/>
      <c r="AN4833" s="1115"/>
      <c r="AO4833" s="1115"/>
      <c r="AP4833" s="1115"/>
      <c r="AQ4833" s="1115"/>
      <c r="AR4833" s="1115"/>
      <c r="AS4833" s="1117"/>
      <c r="AT4833" s="1075"/>
      <c r="AU4833" s="1193"/>
      <c r="AV4833" s="330"/>
      <c r="AW4833" s="331"/>
      <c r="AX4833" s="331"/>
      <c r="AY4833" s="331"/>
      <c r="AZ4833" s="331"/>
      <c r="BA4833" s="331"/>
      <c r="BB4833" s="331"/>
      <c r="BC4833" s="331"/>
      <c r="BD4833" s="331"/>
      <c r="BE4833" s="333"/>
      <c r="BF4833" s="330"/>
      <c r="BG4833" s="333"/>
      <c r="BH4833" s="1119"/>
      <c r="BI4833" s="319"/>
      <c r="BJ4833" s="319"/>
      <c r="BK4833" s="319"/>
      <c r="BL4833" s="319"/>
      <c r="BM4833" s="319"/>
      <c r="BN4833" s="319"/>
      <c r="BO4833" s="319"/>
      <c r="BP4833" s="953"/>
      <c r="BQ4833" s="319"/>
      <c r="BR4833" s="319"/>
      <c r="BS4833" s="330"/>
      <c r="BT4833" s="331"/>
      <c r="BU4833" s="920"/>
      <c r="BV4833" s="903"/>
      <c r="BW4833" s="908"/>
      <c r="BX4833" s="908"/>
      <c r="BY4833" s="331"/>
      <c r="BZ4833" s="331"/>
      <c r="CA4833" s="462"/>
      <c r="CB4833" s="319"/>
      <c r="CC4833" s="319"/>
      <c r="CD4833" s="319"/>
      <c r="CE4833" s="319"/>
      <c r="CF4833" s="319"/>
      <c r="CG4833" s="319"/>
      <c r="CH4833" s="318"/>
      <c r="CI4833" s="319"/>
      <c r="CJ4833" s="319"/>
      <c r="CK4833" s="342"/>
      <c r="CL4833" s="333"/>
      <c r="CM4833" s="1079"/>
      <c r="CN4833" s="1005"/>
      <c r="CO4833" s="1005"/>
      <c r="CP4833" s="1005"/>
    </row>
    <row r="4834">
      <c r="A4834" s="1257"/>
      <c r="B4834" s="1113"/>
      <c r="C4834" s="1107"/>
      <c r="D4834" s="103"/>
      <c r="E4834" s="1137"/>
      <c r="F4834" s="112"/>
      <c r="G4834" s="1110"/>
      <c r="H4834" s="1138"/>
      <c r="I4834" s="1138"/>
      <c r="J4834" s="1139"/>
      <c r="K4834" s="1111"/>
      <c r="L4834" s="1112"/>
      <c r="M4834" s="1113"/>
      <c r="N4834" s="110"/>
      <c r="O4834" s="1140"/>
      <c r="P4834" s="1115"/>
      <c r="Q4834" s="1116"/>
      <c r="R4834" s="1141"/>
      <c r="S4834" s="1113"/>
      <c r="T4834" s="1143"/>
      <c r="U4834" s="1108"/>
      <c r="V4834" s="1108"/>
      <c r="W4834" s="1108"/>
      <c r="X4834" s="1108"/>
      <c r="Y4834" s="1108"/>
      <c r="Z4834" s="1114"/>
      <c r="AA4834" s="1114"/>
      <c r="AB4834" s="1114"/>
      <c r="AC4834" s="1117"/>
      <c r="AD4834" s="1115"/>
      <c r="AE4834" s="1115"/>
      <c r="AF4834" s="1115"/>
      <c r="AG4834" s="1115"/>
      <c r="AH4834" s="1115"/>
      <c r="AI4834" s="1115"/>
      <c r="AJ4834" s="1117"/>
      <c r="AK4834" s="1118"/>
      <c r="AL4834" s="1115"/>
      <c r="AM4834" s="1115"/>
      <c r="AN4834" s="1115"/>
      <c r="AO4834" s="1115"/>
      <c r="AP4834" s="1115"/>
      <c r="AQ4834" s="1115"/>
      <c r="AR4834" s="1115"/>
      <c r="AS4834" s="1117"/>
      <c r="AT4834" s="1075"/>
      <c r="AU4834" s="1193"/>
      <c r="AV4834" s="330"/>
      <c r="AW4834" s="331"/>
      <c r="AX4834" s="331"/>
      <c r="AY4834" s="331"/>
      <c r="AZ4834" s="331"/>
      <c r="BA4834" s="331"/>
      <c r="BB4834" s="331"/>
      <c r="BC4834" s="331"/>
      <c r="BD4834" s="331"/>
      <c r="BE4834" s="333"/>
      <c r="BF4834" s="330"/>
      <c r="BG4834" s="333"/>
      <c r="BH4834" s="1119"/>
      <c r="BI4834" s="319"/>
      <c r="BJ4834" s="319"/>
      <c r="BK4834" s="319"/>
      <c r="BL4834" s="319"/>
      <c r="BM4834" s="319"/>
      <c r="BN4834" s="319"/>
      <c r="BO4834" s="319"/>
      <c r="BP4834" s="953"/>
      <c r="BQ4834" s="319"/>
      <c r="BR4834" s="319"/>
      <c r="BS4834" s="330"/>
      <c r="BT4834" s="331"/>
      <c r="BU4834" s="920"/>
      <c r="BV4834" s="903"/>
      <c r="BW4834" s="908"/>
      <c r="BX4834" s="908"/>
      <c r="BY4834" s="331"/>
      <c r="BZ4834" s="331"/>
      <c r="CA4834" s="462"/>
      <c r="CB4834" s="319"/>
      <c r="CC4834" s="319"/>
      <c r="CD4834" s="319"/>
      <c r="CE4834" s="319"/>
      <c r="CF4834" s="319"/>
      <c r="CG4834" s="319"/>
      <c r="CH4834" s="318"/>
      <c r="CI4834" s="319"/>
      <c r="CJ4834" s="319"/>
      <c r="CK4834" s="342"/>
      <c r="CL4834" s="333"/>
      <c r="CM4834" s="1079"/>
      <c r="CN4834" s="1005"/>
      <c r="CO4834" s="1005"/>
      <c r="CP4834" s="1005"/>
    </row>
    <row r="4835">
      <c r="A4835" s="1257"/>
      <c r="B4835" s="1113"/>
      <c r="C4835" s="1107"/>
      <c r="D4835" s="103"/>
      <c r="E4835" s="1137"/>
      <c r="F4835" s="112"/>
      <c r="G4835" s="1110"/>
      <c r="H4835" s="1138"/>
      <c r="I4835" s="1138"/>
      <c r="J4835" s="1139"/>
      <c r="K4835" s="1111"/>
      <c r="L4835" s="1112"/>
      <c r="M4835" s="1113"/>
      <c r="N4835" s="110"/>
      <c r="O4835" s="1140"/>
      <c r="P4835" s="1115"/>
      <c r="Q4835" s="1116"/>
      <c r="R4835" s="1141"/>
      <c r="S4835" s="1113"/>
      <c r="T4835" s="1143"/>
      <c r="U4835" s="1108"/>
      <c r="V4835" s="1108"/>
      <c r="W4835" s="1108"/>
      <c r="X4835" s="1108"/>
      <c r="Y4835" s="1108"/>
      <c r="Z4835" s="1114"/>
      <c r="AA4835" s="1114"/>
      <c r="AB4835" s="1114"/>
      <c r="AC4835" s="1117"/>
      <c r="AD4835" s="1115"/>
      <c r="AE4835" s="1115"/>
      <c r="AF4835" s="1115"/>
      <c r="AG4835" s="1115"/>
      <c r="AH4835" s="1115"/>
      <c r="AI4835" s="1115"/>
      <c r="AJ4835" s="1117"/>
      <c r="AK4835" s="1118"/>
      <c r="AL4835" s="1115"/>
      <c r="AM4835" s="1115"/>
      <c r="AN4835" s="1115"/>
      <c r="AO4835" s="1115"/>
      <c r="AP4835" s="1115"/>
      <c r="AQ4835" s="1115"/>
      <c r="AR4835" s="1115"/>
      <c r="AS4835" s="1117"/>
      <c r="AT4835" s="1075"/>
      <c r="AU4835" s="1193"/>
      <c r="AV4835" s="330"/>
      <c r="AW4835" s="331"/>
      <c r="AX4835" s="331"/>
      <c r="AY4835" s="331"/>
      <c r="AZ4835" s="331"/>
      <c r="BA4835" s="331"/>
      <c r="BB4835" s="331"/>
      <c r="BC4835" s="331"/>
      <c r="BD4835" s="331"/>
      <c r="BE4835" s="333"/>
      <c r="BF4835" s="330"/>
      <c r="BG4835" s="333"/>
      <c r="BH4835" s="1119"/>
      <c r="BI4835" s="319"/>
      <c r="BJ4835" s="319"/>
      <c r="BK4835" s="319"/>
      <c r="BL4835" s="319"/>
      <c r="BM4835" s="319"/>
      <c r="BN4835" s="319"/>
      <c r="BO4835" s="319"/>
      <c r="BP4835" s="953"/>
      <c r="BQ4835" s="319"/>
      <c r="BR4835" s="319"/>
      <c r="BS4835" s="330"/>
      <c r="BT4835" s="331"/>
      <c r="BU4835" s="920"/>
      <c r="BV4835" s="903"/>
      <c r="BW4835" s="908"/>
      <c r="BX4835" s="908"/>
      <c r="BY4835" s="331"/>
      <c r="BZ4835" s="331"/>
      <c r="CA4835" s="462"/>
      <c r="CB4835" s="319"/>
      <c r="CC4835" s="319"/>
      <c r="CD4835" s="319"/>
      <c r="CE4835" s="319"/>
      <c r="CF4835" s="319"/>
      <c r="CG4835" s="319"/>
      <c r="CH4835" s="318"/>
      <c r="CI4835" s="319"/>
      <c r="CJ4835" s="319"/>
      <c r="CK4835" s="342"/>
      <c r="CL4835" s="333"/>
      <c r="CM4835" s="1079"/>
      <c r="CN4835" s="1005"/>
      <c r="CO4835" s="1005"/>
      <c r="CP4835" s="1005"/>
    </row>
    <row r="4836">
      <c r="A4836" s="1257"/>
      <c r="B4836" s="1113"/>
      <c r="C4836" s="1107"/>
      <c r="D4836" s="103"/>
      <c r="E4836" s="1137"/>
      <c r="F4836" s="112"/>
      <c r="G4836" s="1110"/>
      <c r="H4836" s="1138"/>
      <c r="I4836" s="1138"/>
      <c r="J4836" s="1139"/>
      <c r="K4836" s="1111"/>
      <c r="L4836" s="1112"/>
      <c r="M4836" s="1113"/>
      <c r="N4836" s="110"/>
      <c r="O4836" s="1140"/>
      <c r="P4836" s="1115"/>
      <c r="Q4836" s="1116"/>
      <c r="R4836" s="1141"/>
      <c r="S4836" s="1113"/>
      <c r="T4836" s="1143"/>
      <c r="U4836" s="1108"/>
      <c r="V4836" s="1108"/>
      <c r="W4836" s="1108"/>
      <c r="X4836" s="1108"/>
      <c r="Y4836" s="1108"/>
      <c r="Z4836" s="1114"/>
      <c r="AA4836" s="1114"/>
      <c r="AB4836" s="1114"/>
      <c r="AC4836" s="1117"/>
      <c r="AD4836" s="1115"/>
      <c r="AE4836" s="1115"/>
      <c r="AF4836" s="1115"/>
      <c r="AG4836" s="1115"/>
      <c r="AH4836" s="1115"/>
      <c r="AI4836" s="1115"/>
      <c r="AJ4836" s="1117"/>
      <c r="AK4836" s="1118"/>
      <c r="AL4836" s="1115"/>
      <c r="AM4836" s="1115"/>
      <c r="AN4836" s="1115"/>
      <c r="AO4836" s="1115"/>
      <c r="AP4836" s="1115"/>
      <c r="AQ4836" s="1115"/>
      <c r="AR4836" s="1115"/>
      <c r="AS4836" s="1117"/>
      <c r="AT4836" s="1075"/>
      <c r="AU4836" s="1193"/>
      <c r="AV4836" s="330"/>
      <c r="AW4836" s="331"/>
      <c r="AX4836" s="331"/>
      <c r="AY4836" s="331"/>
      <c r="AZ4836" s="331"/>
      <c r="BA4836" s="331"/>
      <c r="BB4836" s="331"/>
      <c r="BC4836" s="331"/>
      <c r="BD4836" s="331"/>
      <c r="BE4836" s="333"/>
      <c r="BF4836" s="330"/>
      <c r="BG4836" s="333"/>
      <c r="BH4836" s="1119"/>
      <c r="BI4836" s="319"/>
      <c r="BJ4836" s="319"/>
      <c r="BK4836" s="319"/>
      <c r="BL4836" s="319"/>
      <c r="BM4836" s="319"/>
      <c r="BN4836" s="319"/>
      <c r="BO4836" s="319"/>
      <c r="BP4836" s="953"/>
      <c r="BQ4836" s="319"/>
      <c r="BR4836" s="319"/>
      <c r="BS4836" s="330"/>
      <c r="BT4836" s="331"/>
      <c r="BU4836" s="920"/>
      <c r="BV4836" s="903"/>
      <c r="BW4836" s="908"/>
      <c r="BX4836" s="908"/>
      <c r="BY4836" s="331"/>
      <c r="BZ4836" s="331"/>
      <c r="CA4836" s="462"/>
      <c r="CB4836" s="319"/>
      <c r="CC4836" s="319"/>
      <c r="CD4836" s="319"/>
      <c r="CE4836" s="319"/>
      <c r="CF4836" s="319"/>
      <c r="CG4836" s="319"/>
      <c r="CH4836" s="318"/>
      <c r="CI4836" s="319"/>
      <c r="CJ4836" s="319"/>
      <c r="CK4836" s="342"/>
      <c r="CL4836" s="333"/>
      <c r="CM4836" s="1079"/>
      <c r="CN4836" s="1005"/>
      <c r="CO4836" s="1005"/>
      <c r="CP4836" s="1005"/>
    </row>
    <row r="4837">
      <c r="A4837" s="1257"/>
      <c r="B4837" s="1113"/>
      <c r="C4837" s="1107"/>
      <c r="D4837" s="103"/>
      <c r="E4837" s="1137"/>
      <c r="F4837" s="112"/>
      <c r="G4837" s="1110"/>
      <c r="H4837" s="1138"/>
      <c r="I4837" s="1138"/>
      <c r="J4837" s="1139"/>
      <c r="K4837" s="1111"/>
      <c r="L4837" s="1112"/>
      <c r="M4837" s="1113"/>
      <c r="N4837" s="110"/>
      <c r="O4837" s="1140"/>
      <c r="P4837" s="1115"/>
      <c r="Q4837" s="1116"/>
      <c r="R4837" s="1141"/>
      <c r="S4837" s="1113"/>
      <c r="T4837" s="1143"/>
      <c r="U4837" s="1108"/>
      <c r="V4837" s="1108"/>
      <c r="W4837" s="1108"/>
      <c r="X4837" s="1108"/>
      <c r="Y4837" s="1108"/>
      <c r="Z4837" s="1114"/>
      <c r="AA4837" s="1114"/>
      <c r="AB4837" s="1114"/>
      <c r="AC4837" s="1117"/>
      <c r="AD4837" s="1115"/>
      <c r="AE4837" s="1115"/>
      <c r="AF4837" s="1115"/>
      <c r="AG4837" s="1115"/>
      <c r="AH4837" s="1115"/>
      <c r="AI4837" s="1115"/>
      <c r="AJ4837" s="1117"/>
      <c r="AK4837" s="1118"/>
      <c r="AL4837" s="1115"/>
      <c r="AM4837" s="1115"/>
      <c r="AN4837" s="1115"/>
      <c r="AO4837" s="1115"/>
      <c r="AP4837" s="1115"/>
      <c r="AQ4837" s="1115"/>
      <c r="AR4837" s="1115"/>
      <c r="AS4837" s="1117"/>
      <c r="AT4837" s="1075"/>
      <c r="AU4837" s="1193"/>
      <c r="AV4837" s="330"/>
      <c r="AW4837" s="331"/>
      <c r="AX4837" s="331"/>
      <c r="AY4837" s="331"/>
      <c r="AZ4837" s="331"/>
      <c r="BA4837" s="331"/>
      <c r="BB4837" s="331"/>
      <c r="BC4837" s="331"/>
      <c r="BD4837" s="331"/>
      <c r="BE4837" s="333"/>
      <c r="BF4837" s="330"/>
      <c r="BG4837" s="333"/>
      <c r="BH4837" s="1119"/>
      <c r="BI4837" s="319"/>
      <c r="BJ4837" s="319"/>
      <c r="BK4837" s="319"/>
      <c r="BL4837" s="319"/>
      <c r="BM4837" s="319"/>
      <c r="BN4837" s="319"/>
      <c r="BO4837" s="319"/>
      <c r="BP4837" s="953"/>
      <c r="BQ4837" s="319"/>
      <c r="BR4837" s="319"/>
      <c r="BS4837" s="330"/>
      <c r="BT4837" s="331"/>
      <c r="BU4837" s="920"/>
      <c r="BV4837" s="903"/>
      <c r="BW4837" s="908"/>
      <c r="BX4837" s="908"/>
      <c r="BY4837" s="331"/>
      <c r="BZ4837" s="331"/>
      <c r="CA4837" s="462"/>
      <c r="CB4837" s="319"/>
      <c r="CC4837" s="319"/>
      <c r="CD4837" s="319"/>
      <c r="CE4837" s="319"/>
      <c r="CF4837" s="319"/>
      <c r="CG4837" s="319"/>
      <c r="CH4837" s="318"/>
      <c r="CI4837" s="319"/>
      <c r="CJ4837" s="319"/>
      <c r="CK4837" s="342"/>
      <c r="CL4837" s="333"/>
      <c r="CM4837" s="1079"/>
      <c r="CN4837" s="1005"/>
      <c r="CO4837" s="1005"/>
      <c r="CP4837" s="1005"/>
    </row>
    <row r="4838">
      <c r="A4838" s="1257"/>
      <c r="B4838" s="1113"/>
      <c r="C4838" s="1107"/>
      <c r="D4838" s="103"/>
      <c r="E4838" s="1137"/>
      <c r="F4838" s="112"/>
      <c r="G4838" s="1110"/>
      <c r="H4838" s="1138"/>
      <c r="I4838" s="1138"/>
      <c r="J4838" s="1139"/>
      <c r="K4838" s="1111"/>
      <c r="L4838" s="1112"/>
      <c r="M4838" s="1113"/>
      <c r="N4838" s="110"/>
      <c r="O4838" s="1140"/>
      <c r="P4838" s="1115"/>
      <c r="Q4838" s="1116"/>
      <c r="R4838" s="1141"/>
      <c r="S4838" s="1113"/>
      <c r="T4838" s="1143"/>
      <c r="U4838" s="1108"/>
      <c r="V4838" s="1108"/>
      <c r="W4838" s="1108"/>
      <c r="X4838" s="1108"/>
      <c r="Y4838" s="1108"/>
      <c r="Z4838" s="1114"/>
      <c r="AA4838" s="1114"/>
      <c r="AB4838" s="1114"/>
      <c r="AC4838" s="1117"/>
      <c r="AD4838" s="1115"/>
      <c r="AE4838" s="1115"/>
      <c r="AF4838" s="1115"/>
      <c r="AG4838" s="1115"/>
      <c r="AH4838" s="1115"/>
      <c r="AI4838" s="1115"/>
      <c r="AJ4838" s="1117"/>
      <c r="AK4838" s="1118"/>
      <c r="AL4838" s="1115"/>
      <c r="AM4838" s="1115"/>
      <c r="AN4838" s="1115"/>
      <c r="AO4838" s="1115"/>
      <c r="AP4838" s="1115"/>
      <c r="AQ4838" s="1115"/>
      <c r="AR4838" s="1115"/>
      <c r="AS4838" s="1117"/>
      <c r="AT4838" s="1075"/>
      <c r="AU4838" s="1193"/>
      <c r="AV4838" s="330"/>
      <c r="AW4838" s="331"/>
      <c r="AX4838" s="331"/>
      <c r="AY4838" s="331"/>
      <c r="AZ4838" s="331"/>
      <c r="BA4838" s="331"/>
      <c r="BB4838" s="331"/>
      <c r="BC4838" s="331"/>
      <c r="BD4838" s="331"/>
      <c r="BE4838" s="333"/>
      <c r="BF4838" s="330"/>
      <c r="BG4838" s="333"/>
      <c r="BH4838" s="1119"/>
      <c r="BI4838" s="319"/>
      <c r="BJ4838" s="319"/>
      <c r="BK4838" s="319"/>
      <c r="BL4838" s="319"/>
      <c r="BM4838" s="319"/>
      <c r="BN4838" s="319"/>
      <c r="BO4838" s="319"/>
      <c r="BP4838" s="953"/>
      <c r="BQ4838" s="319"/>
      <c r="BR4838" s="319"/>
      <c r="BS4838" s="330"/>
      <c r="BT4838" s="331"/>
      <c r="BU4838" s="920"/>
      <c r="BV4838" s="903"/>
      <c r="BW4838" s="908"/>
      <c r="BX4838" s="908"/>
      <c r="BY4838" s="331"/>
      <c r="BZ4838" s="331"/>
      <c r="CA4838" s="462"/>
      <c r="CB4838" s="319"/>
      <c r="CC4838" s="319"/>
      <c r="CD4838" s="319"/>
      <c r="CE4838" s="319"/>
      <c r="CF4838" s="319"/>
      <c r="CG4838" s="319"/>
      <c r="CH4838" s="318"/>
      <c r="CI4838" s="319"/>
      <c r="CJ4838" s="319"/>
      <c r="CK4838" s="342"/>
      <c r="CL4838" s="333"/>
      <c r="CM4838" s="1079"/>
      <c r="CN4838" s="1005"/>
      <c r="CO4838" s="1005"/>
      <c r="CP4838" s="1005"/>
    </row>
    <row r="4839">
      <c r="A4839" s="1257"/>
      <c r="B4839" s="1113"/>
      <c r="C4839" s="1107"/>
      <c r="D4839" s="103"/>
      <c r="E4839" s="1137"/>
      <c r="F4839" s="112"/>
      <c r="G4839" s="1110"/>
      <c r="H4839" s="1138"/>
      <c r="I4839" s="1138"/>
      <c r="J4839" s="1139"/>
      <c r="K4839" s="1111"/>
      <c r="L4839" s="1112"/>
      <c r="M4839" s="1113"/>
      <c r="N4839" s="110"/>
      <c r="O4839" s="1140"/>
      <c r="P4839" s="1115"/>
      <c r="Q4839" s="1116"/>
      <c r="R4839" s="1141"/>
      <c r="S4839" s="1113"/>
      <c r="T4839" s="1143"/>
      <c r="U4839" s="1108"/>
      <c r="V4839" s="1108"/>
      <c r="W4839" s="1108"/>
      <c r="X4839" s="1108"/>
      <c r="Y4839" s="1108"/>
      <c r="Z4839" s="1114"/>
      <c r="AA4839" s="1114"/>
      <c r="AB4839" s="1114"/>
      <c r="AC4839" s="1117"/>
      <c r="AD4839" s="1115"/>
      <c r="AE4839" s="1115"/>
      <c r="AF4839" s="1115"/>
      <c r="AG4839" s="1115"/>
      <c r="AH4839" s="1115"/>
      <c r="AI4839" s="1115"/>
      <c r="AJ4839" s="1117"/>
      <c r="AK4839" s="1118"/>
      <c r="AL4839" s="1115"/>
      <c r="AM4839" s="1115"/>
      <c r="AN4839" s="1115"/>
      <c r="AO4839" s="1115"/>
      <c r="AP4839" s="1115"/>
      <c r="AQ4839" s="1115"/>
      <c r="AR4839" s="1115"/>
      <c r="AS4839" s="1117"/>
      <c r="AT4839" s="1075"/>
      <c r="AU4839" s="1193"/>
      <c r="AV4839" s="330"/>
      <c r="AW4839" s="331"/>
      <c r="AX4839" s="331"/>
      <c r="AY4839" s="331"/>
      <c r="AZ4839" s="331"/>
      <c r="BA4839" s="331"/>
      <c r="BB4839" s="331"/>
      <c r="BC4839" s="331"/>
      <c r="BD4839" s="331"/>
      <c r="BE4839" s="333"/>
      <c r="BF4839" s="330"/>
      <c r="BG4839" s="333"/>
      <c r="BH4839" s="1119"/>
      <c r="BI4839" s="319"/>
      <c r="BJ4839" s="319"/>
      <c r="BK4839" s="319"/>
      <c r="BL4839" s="319"/>
      <c r="BM4839" s="319"/>
      <c r="BN4839" s="319"/>
      <c r="BO4839" s="319"/>
      <c r="BP4839" s="953"/>
      <c r="BQ4839" s="319"/>
      <c r="BR4839" s="319"/>
      <c r="BS4839" s="330"/>
      <c r="BT4839" s="331"/>
      <c r="BU4839" s="920"/>
      <c r="BV4839" s="903"/>
      <c r="BW4839" s="908"/>
      <c r="BX4839" s="908"/>
      <c r="BY4839" s="331"/>
      <c r="BZ4839" s="331"/>
      <c r="CA4839" s="462"/>
      <c r="CB4839" s="319"/>
      <c r="CC4839" s="319"/>
      <c r="CD4839" s="319"/>
      <c r="CE4839" s="319"/>
      <c r="CF4839" s="319"/>
      <c r="CG4839" s="319"/>
      <c r="CH4839" s="318"/>
      <c r="CI4839" s="319"/>
      <c r="CJ4839" s="319"/>
      <c r="CK4839" s="342"/>
      <c r="CL4839" s="333"/>
      <c r="CM4839" s="1079"/>
      <c r="CN4839" s="1005"/>
      <c r="CO4839" s="1005"/>
      <c r="CP4839" s="1005"/>
    </row>
    <row r="4840">
      <c r="A4840" s="1257"/>
      <c r="B4840" s="1113"/>
      <c r="C4840" s="1107"/>
      <c r="D4840" s="103"/>
      <c r="E4840" s="1137"/>
      <c r="F4840" s="112"/>
      <c r="G4840" s="1110"/>
      <c r="H4840" s="1138"/>
      <c r="I4840" s="1138"/>
      <c r="J4840" s="1139"/>
      <c r="K4840" s="1111"/>
      <c r="L4840" s="1112"/>
      <c r="M4840" s="1113"/>
      <c r="N4840" s="110"/>
      <c r="O4840" s="1140"/>
      <c r="P4840" s="1115"/>
      <c r="Q4840" s="1116"/>
      <c r="R4840" s="1141"/>
      <c r="S4840" s="1113"/>
      <c r="T4840" s="1143"/>
      <c r="U4840" s="1108"/>
      <c r="V4840" s="1108"/>
      <c r="W4840" s="1108"/>
      <c r="X4840" s="1108"/>
      <c r="Y4840" s="1108"/>
      <c r="Z4840" s="1114"/>
      <c r="AA4840" s="1114"/>
      <c r="AB4840" s="1114"/>
      <c r="AC4840" s="1117"/>
      <c r="AD4840" s="1115"/>
      <c r="AE4840" s="1115"/>
      <c r="AF4840" s="1115"/>
      <c r="AG4840" s="1115"/>
      <c r="AH4840" s="1115"/>
      <c r="AI4840" s="1115"/>
      <c r="AJ4840" s="1117"/>
      <c r="AK4840" s="1118"/>
      <c r="AL4840" s="1115"/>
      <c r="AM4840" s="1115"/>
      <c r="AN4840" s="1115"/>
      <c r="AO4840" s="1115"/>
      <c r="AP4840" s="1115"/>
      <c r="AQ4840" s="1115"/>
      <c r="AR4840" s="1115"/>
      <c r="AS4840" s="1117"/>
      <c r="AT4840" s="1075"/>
      <c r="AU4840" s="1193"/>
      <c r="AV4840" s="330"/>
      <c r="AW4840" s="331"/>
      <c r="AX4840" s="331"/>
      <c r="AY4840" s="331"/>
      <c r="AZ4840" s="331"/>
      <c r="BA4840" s="331"/>
      <c r="BB4840" s="331"/>
      <c r="BC4840" s="331"/>
      <c r="BD4840" s="331"/>
      <c r="BE4840" s="333"/>
      <c r="BF4840" s="330"/>
      <c r="BG4840" s="333"/>
      <c r="BH4840" s="1119"/>
      <c r="BI4840" s="319"/>
      <c r="BJ4840" s="319"/>
      <c r="BK4840" s="319"/>
      <c r="BL4840" s="319"/>
      <c r="BM4840" s="319"/>
      <c r="BN4840" s="319"/>
      <c r="BO4840" s="319"/>
      <c r="BP4840" s="953"/>
      <c r="BQ4840" s="319"/>
      <c r="BR4840" s="319"/>
      <c r="BS4840" s="330"/>
      <c r="BT4840" s="331"/>
      <c r="BU4840" s="920"/>
      <c r="BV4840" s="903"/>
      <c r="BW4840" s="908"/>
      <c r="BX4840" s="908"/>
      <c r="BY4840" s="331"/>
      <c r="BZ4840" s="331"/>
      <c r="CA4840" s="462"/>
      <c r="CB4840" s="319"/>
      <c r="CC4840" s="319"/>
      <c r="CD4840" s="319"/>
      <c r="CE4840" s="319"/>
      <c r="CF4840" s="319"/>
      <c r="CG4840" s="319"/>
      <c r="CH4840" s="318"/>
      <c r="CI4840" s="319"/>
      <c r="CJ4840" s="319"/>
      <c r="CK4840" s="342"/>
      <c r="CL4840" s="333"/>
      <c r="CM4840" s="1079"/>
      <c r="CN4840" s="1005"/>
      <c r="CO4840" s="1005"/>
      <c r="CP4840" s="1005"/>
    </row>
    <row r="4841">
      <c r="A4841" s="1257"/>
      <c r="B4841" s="1113"/>
      <c r="C4841" s="1107"/>
      <c r="D4841" s="103"/>
      <c r="E4841" s="1137"/>
      <c r="F4841" s="112"/>
      <c r="G4841" s="1110"/>
      <c r="H4841" s="1138"/>
      <c r="I4841" s="1138"/>
      <c r="J4841" s="1139"/>
      <c r="K4841" s="1111"/>
      <c r="L4841" s="1112"/>
      <c r="M4841" s="1113"/>
      <c r="N4841" s="110"/>
      <c r="O4841" s="1140"/>
      <c r="P4841" s="1115"/>
      <c r="Q4841" s="1116"/>
      <c r="R4841" s="1141"/>
      <c r="S4841" s="1113"/>
      <c r="T4841" s="1143"/>
      <c r="U4841" s="1108"/>
      <c r="V4841" s="1108"/>
      <c r="W4841" s="1108"/>
      <c r="X4841" s="1108"/>
      <c r="Y4841" s="1108"/>
      <c r="Z4841" s="1114"/>
      <c r="AA4841" s="1114"/>
      <c r="AB4841" s="1114"/>
      <c r="AC4841" s="1117"/>
      <c r="AD4841" s="1115"/>
      <c r="AE4841" s="1115"/>
      <c r="AF4841" s="1115"/>
      <c r="AG4841" s="1115"/>
      <c r="AH4841" s="1115"/>
      <c r="AI4841" s="1115"/>
      <c r="AJ4841" s="1117"/>
      <c r="AK4841" s="1118"/>
      <c r="AL4841" s="1115"/>
      <c r="AM4841" s="1115"/>
      <c r="AN4841" s="1115"/>
      <c r="AO4841" s="1115"/>
      <c r="AP4841" s="1115"/>
      <c r="AQ4841" s="1115"/>
      <c r="AR4841" s="1115"/>
      <c r="AS4841" s="1117"/>
      <c r="AT4841" s="1075"/>
      <c r="AU4841" s="1193"/>
      <c r="AV4841" s="330"/>
      <c r="AW4841" s="331"/>
      <c r="AX4841" s="331"/>
      <c r="AY4841" s="331"/>
      <c r="AZ4841" s="331"/>
      <c r="BA4841" s="331"/>
      <c r="BB4841" s="331"/>
      <c r="BC4841" s="331"/>
      <c r="BD4841" s="331"/>
      <c r="BE4841" s="333"/>
      <c r="BF4841" s="330"/>
      <c r="BG4841" s="333"/>
      <c r="BH4841" s="1119"/>
      <c r="BI4841" s="319"/>
      <c r="BJ4841" s="319"/>
      <c r="BK4841" s="319"/>
      <c r="BL4841" s="319"/>
      <c r="BM4841" s="319"/>
      <c r="BN4841" s="319"/>
      <c r="BO4841" s="319"/>
      <c r="BP4841" s="953"/>
      <c r="BQ4841" s="319"/>
      <c r="BR4841" s="319"/>
      <c r="BS4841" s="330"/>
      <c r="BT4841" s="331"/>
      <c r="BU4841" s="920"/>
      <c r="BV4841" s="903"/>
      <c r="BW4841" s="908"/>
      <c r="BX4841" s="908"/>
      <c r="BY4841" s="331"/>
      <c r="BZ4841" s="331"/>
      <c r="CA4841" s="462"/>
      <c r="CB4841" s="319"/>
      <c r="CC4841" s="319"/>
      <c r="CD4841" s="319"/>
      <c r="CE4841" s="319"/>
      <c r="CF4841" s="319"/>
      <c r="CG4841" s="319"/>
      <c r="CH4841" s="318"/>
      <c r="CI4841" s="319"/>
      <c r="CJ4841" s="319"/>
      <c r="CK4841" s="342"/>
      <c r="CL4841" s="333"/>
      <c r="CM4841" s="1079"/>
      <c r="CN4841" s="1005"/>
      <c r="CO4841" s="1005"/>
      <c r="CP4841" s="1005"/>
    </row>
    <row r="4842">
      <c r="A4842" s="1257"/>
      <c r="B4842" s="1113"/>
      <c r="C4842" s="1107"/>
      <c r="D4842" s="103"/>
      <c r="E4842" s="1137"/>
      <c r="F4842" s="112"/>
      <c r="G4842" s="1110"/>
      <c r="H4842" s="1138"/>
      <c r="I4842" s="1138"/>
      <c r="J4842" s="1139"/>
      <c r="K4842" s="1111"/>
      <c r="L4842" s="1112"/>
      <c r="M4842" s="1113"/>
      <c r="N4842" s="110"/>
      <c r="O4842" s="1140"/>
      <c r="P4842" s="1115"/>
      <c r="Q4842" s="1116"/>
      <c r="R4842" s="1141"/>
      <c r="S4842" s="1113"/>
      <c r="T4842" s="1143"/>
      <c r="U4842" s="1108"/>
      <c r="V4842" s="1108"/>
      <c r="W4842" s="1108"/>
      <c r="X4842" s="1108"/>
      <c r="Y4842" s="1108"/>
      <c r="Z4842" s="1114"/>
      <c r="AA4842" s="1114"/>
      <c r="AB4842" s="1114"/>
      <c r="AC4842" s="1117"/>
      <c r="AD4842" s="1115"/>
      <c r="AE4842" s="1115"/>
      <c r="AF4842" s="1115"/>
      <c r="AG4842" s="1115"/>
      <c r="AH4842" s="1115"/>
      <c r="AI4842" s="1115"/>
      <c r="AJ4842" s="1117"/>
      <c r="AK4842" s="1118"/>
      <c r="AL4842" s="1115"/>
      <c r="AM4842" s="1115"/>
      <c r="AN4842" s="1115"/>
      <c r="AO4842" s="1115"/>
      <c r="AP4842" s="1115"/>
      <c r="AQ4842" s="1115"/>
      <c r="AR4842" s="1115"/>
      <c r="AS4842" s="1117"/>
      <c r="AT4842" s="1075"/>
      <c r="AU4842" s="1193"/>
      <c r="AV4842" s="330"/>
      <c r="AW4842" s="331"/>
      <c r="AX4842" s="331"/>
      <c r="AY4842" s="331"/>
      <c r="AZ4842" s="331"/>
      <c r="BA4842" s="331"/>
      <c r="BB4842" s="331"/>
      <c r="BC4842" s="331"/>
      <c r="BD4842" s="331"/>
      <c r="BE4842" s="333"/>
      <c r="BF4842" s="330"/>
      <c r="BG4842" s="333"/>
      <c r="BH4842" s="1119"/>
      <c r="BI4842" s="319"/>
      <c r="BJ4842" s="319"/>
      <c r="BK4842" s="319"/>
      <c r="BL4842" s="319"/>
      <c r="BM4842" s="319"/>
      <c r="BN4842" s="319"/>
      <c r="BO4842" s="319"/>
      <c r="BP4842" s="953"/>
      <c r="BQ4842" s="319"/>
      <c r="BR4842" s="319"/>
      <c r="BS4842" s="330"/>
      <c r="BT4842" s="331"/>
      <c r="BU4842" s="920"/>
      <c r="BV4842" s="903"/>
      <c r="BW4842" s="908"/>
      <c r="BX4842" s="908"/>
      <c r="BY4842" s="331"/>
      <c r="BZ4842" s="331"/>
      <c r="CA4842" s="462"/>
      <c r="CB4842" s="319"/>
      <c r="CC4842" s="319"/>
      <c r="CD4842" s="319"/>
      <c r="CE4842" s="319"/>
      <c r="CF4842" s="319"/>
      <c r="CG4842" s="319"/>
      <c r="CH4842" s="318"/>
      <c r="CI4842" s="319"/>
      <c r="CJ4842" s="319"/>
      <c r="CK4842" s="342"/>
      <c r="CL4842" s="333"/>
      <c r="CM4842" s="1079"/>
      <c r="CN4842" s="1005"/>
      <c r="CO4842" s="1005"/>
      <c r="CP4842" s="1005"/>
    </row>
    <row r="4843">
      <c r="A4843" s="1257"/>
      <c r="B4843" s="1113"/>
      <c r="C4843" s="1107"/>
      <c r="D4843" s="103"/>
      <c r="E4843" s="1137"/>
      <c r="F4843" s="112"/>
      <c r="G4843" s="1110"/>
      <c r="H4843" s="1138"/>
      <c r="I4843" s="1138"/>
      <c r="J4843" s="1139"/>
      <c r="K4843" s="1111"/>
      <c r="L4843" s="1112"/>
      <c r="M4843" s="1113"/>
      <c r="N4843" s="110"/>
      <c r="O4843" s="1140"/>
      <c r="P4843" s="1115"/>
      <c r="Q4843" s="1116"/>
      <c r="R4843" s="1141"/>
      <c r="S4843" s="1113"/>
      <c r="T4843" s="1143"/>
      <c r="U4843" s="1108"/>
      <c r="V4843" s="1108"/>
      <c r="W4843" s="1108"/>
      <c r="X4843" s="1108"/>
      <c r="Y4843" s="1108"/>
      <c r="Z4843" s="1114"/>
      <c r="AA4843" s="1114"/>
      <c r="AB4843" s="1114"/>
      <c r="AC4843" s="1117"/>
      <c r="AD4843" s="1115"/>
      <c r="AE4843" s="1115"/>
      <c r="AF4843" s="1115"/>
      <c r="AG4843" s="1115"/>
      <c r="AH4843" s="1115"/>
      <c r="AI4843" s="1115"/>
      <c r="AJ4843" s="1117"/>
      <c r="AK4843" s="1118"/>
      <c r="AL4843" s="1115"/>
      <c r="AM4843" s="1115"/>
      <c r="AN4843" s="1115"/>
      <c r="AO4843" s="1115"/>
      <c r="AP4843" s="1115"/>
      <c r="AQ4843" s="1115"/>
      <c r="AR4843" s="1115"/>
      <c r="AS4843" s="1117"/>
      <c r="AT4843" s="1075"/>
      <c r="AU4843" s="1193"/>
      <c r="AV4843" s="330"/>
      <c r="AW4843" s="331"/>
      <c r="AX4843" s="331"/>
      <c r="AY4843" s="331"/>
      <c r="AZ4843" s="331"/>
      <c r="BA4843" s="331"/>
      <c r="BB4843" s="331"/>
      <c r="BC4843" s="331"/>
      <c r="BD4843" s="331"/>
      <c r="BE4843" s="333"/>
      <c r="BF4843" s="330"/>
      <c r="BG4843" s="333"/>
      <c r="BH4843" s="1119"/>
      <c r="BI4843" s="319"/>
      <c r="BJ4843" s="319"/>
      <c r="BK4843" s="319"/>
      <c r="BL4843" s="319"/>
      <c r="BM4843" s="319"/>
      <c r="BN4843" s="319"/>
      <c r="BO4843" s="319"/>
      <c r="BP4843" s="953"/>
      <c r="BQ4843" s="319"/>
      <c r="BR4843" s="319"/>
      <c r="BS4843" s="330"/>
      <c r="BT4843" s="331"/>
      <c r="BU4843" s="920"/>
      <c r="BV4843" s="903"/>
      <c r="BW4843" s="908"/>
      <c r="BX4843" s="908"/>
      <c r="BY4843" s="331"/>
      <c r="BZ4843" s="331"/>
      <c r="CA4843" s="462"/>
      <c r="CB4843" s="319"/>
      <c r="CC4843" s="319"/>
      <c r="CD4843" s="319"/>
      <c r="CE4843" s="319"/>
      <c r="CF4843" s="319"/>
      <c r="CG4843" s="319"/>
      <c r="CH4843" s="318"/>
      <c r="CI4843" s="319"/>
      <c r="CJ4843" s="319"/>
      <c r="CK4843" s="342"/>
      <c r="CL4843" s="333"/>
      <c r="CM4843" s="1079"/>
      <c r="CN4843" s="1005"/>
      <c r="CO4843" s="1005"/>
      <c r="CP4843" s="1005"/>
    </row>
    <row r="4844">
      <c r="A4844" s="1257"/>
      <c r="B4844" s="1113"/>
      <c r="C4844" s="1107"/>
      <c r="D4844" s="103"/>
      <c r="E4844" s="1137"/>
      <c r="F4844" s="112"/>
      <c r="G4844" s="1110"/>
      <c r="H4844" s="1138"/>
      <c r="I4844" s="1138"/>
      <c r="J4844" s="1139"/>
      <c r="K4844" s="1111"/>
      <c r="L4844" s="1112"/>
      <c r="M4844" s="1113"/>
      <c r="N4844" s="110"/>
      <c r="O4844" s="1140"/>
      <c r="P4844" s="1115"/>
      <c r="Q4844" s="1116"/>
      <c r="R4844" s="1141"/>
      <c r="S4844" s="1113"/>
      <c r="T4844" s="1143"/>
      <c r="U4844" s="1108"/>
      <c r="V4844" s="1108"/>
      <c r="W4844" s="1108"/>
      <c r="X4844" s="1108"/>
      <c r="Y4844" s="1108"/>
      <c r="Z4844" s="1114"/>
      <c r="AA4844" s="1114"/>
      <c r="AB4844" s="1114"/>
      <c r="AC4844" s="1117"/>
      <c r="AD4844" s="1115"/>
      <c r="AE4844" s="1115"/>
      <c r="AF4844" s="1115"/>
      <c r="AG4844" s="1115"/>
      <c r="AH4844" s="1115"/>
      <c r="AI4844" s="1115"/>
      <c r="AJ4844" s="1117"/>
      <c r="AK4844" s="1118"/>
      <c r="AL4844" s="1115"/>
      <c r="AM4844" s="1115"/>
      <c r="AN4844" s="1115"/>
      <c r="AO4844" s="1115"/>
      <c r="AP4844" s="1115"/>
      <c r="AQ4844" s="1115"/>
      <c r="AR4844" s="1115"/>
      <c r="AS4844" s="1117"/>
      <c r="AT4844" s="1075"/>
      <c r="AU4844" s="1193"/>
      <c r="AV4844" s="330"/>
      <c r="AW4844" s="331"/>
      <c r="AX4844" s="331"/>
      <c r="AY4844" s="331"/>
      <c r="AZ4844" s="331"/>
      <c r="BA4844" s="331"/>
      <c r="BB4844" s="331"/>
      <c r="BC4844" s="331"/>
      <c r="BD4844" s="331"/>
      <c r="BE4844" s="333"/>
      <c r="BF4844" s="330"/>
      <c r="BG4844" s="333"/>
      <c r="BH4844" s="1119"/>
      <c r="BI4844" s="319"/>
      <c r="BJ4844" s="319"/>
      <c r="BK4844" s="319"/>
      <c r="BL4844" s="319"/>
      <c r="BM4844" s="319"/>
      <c r="BN4844" s="319"/>
      <c r="BO4844" s="319"/>
      <c r="BP4844" s="953"/>
      <c r="BQ4844" s="319"/>
      <c r="BR4844" s="319"/>
      <c r="BS4844" s="330"/>
      <c r="BT4844" s="331"/>
      <c r="BU4844" s="920"/>
      <c r="BV4844" s="903"/>
      <c r="BW4844" s="908"/>
      <c r="BX4844" s="908"/>
      <c r="BY4844" s="331"/>
      <c r="BZ4844" s="331"/>
      <c r="CA4844" s="462"/>
      <c r="CB4844" s="319"/>
      <c r="CC4844" s="319"/>
      <c r="CD4844" s="319"/>
      <c r="CE4844" s="319"/>
      <c r="CF4844" s="319"/>
      <c r="CG4844" s="319"/>
      <c r="CH4844" s="318"/>
      <c r="CI4844" s="319"/>
      <c r="CJ4844" s="319"/>
      <c r="CK4844" s="342"/>
      <c r="CL4844" s="333"/>
      <c r="CM4844" s="1079"/>
      <c r="CN4844" s="1005"/>
      <c r="CO4844" s="1005"/>
      <c r="CP4844" s="1005"/>
    </row>
    <row r="4845">
      <c r="A4845" s="1257"/>
      <c r="B4845" s="1113"/>
      <c r="C4845" s="1107"/>
      <c r="D4845" s="103"/>
      <c r="E4845" s="1137"/>
      <c r="F4845" s="112"/>
      <c r="G4845" s="1110"/>
      <c r="H4845" s="1138"/>
      <c r="I4845" s="1138"/>
      <c r="J4845" s="1139"/>
      <c r="K4845" s="1111"/>
      <c r="L4845" s="1112"/>
      <c r="M4845" s="1113"/>
      <c r="N4845" s="110"/>
      <c r="O4845" s="1140"/>
      <c r="P4845" s="1115"/>
      <c r="Q4845" s="1116"/>
      <c r="R4845" s="1141"/>
      <c r="S4845" s="1113"/>
      <c r="T4845" s="1143"/>
      <c r="U4845" s="1108"/>
      <c r="V4845" s="1108"/>
      <c r="W4845" s="1108"/>
      <c r="X4845" s="1108"/>
      <c r="Y4845" s="1108"/>
      <c r="Z4845" s="1114"/>
      <c r="AA4845" s="1114"/>
      <c r="AB4845" s="1114"/>
      <c r="AC4845" s="1117"/>
      <c r="AD4845" s="1115"/>
      <c r="AE4845" s="1115"/>
      <c r="AF4845" s="1115"/>
      <c r="AG4845" s="1115"/>
      <c r="AH4845" s="1115"/>
      <c r="AI4845" s="1115"/>
      <c r="AJ4845" s="1117"/>
      <c r="AK4845" s="1118"/>
      <c r="AL4845" s="1115"/>
      <c r="AM4845" s="1115"/>
      <c r="AN4845" s="1115"/>
      <c r="AO4845" s="1115"/>
      <c r="AP4845" s="1115"/>
      <c r="AQ4845" s="1115"/>
      <c r="AR4845" s="1115"/>
      <c r="AS4845" s="1117"/>
      <c r="AT4845" s="1075"/>
      <c r="AU4845" s="1193"/>
      <c r="AV4845" s="330"/>
      <c r="AW4845" s="331"/>
      <c r="AX4845" s="331"/>
      <c r="AY4845" s="331"/>
      <c r="AZ4845" s="331"/>
      <c r="BA4845" s="331"/>
      <c r="BB4845" s="331"/>
      <c r="BC4845" s="331"/>
      <c r="BD4845" s="331"/>
      <c r="BE4845" s="333"/>
      <c r="BF4845" s="330"/>
      <c r="BG4845" s="333"/>
      <c r="BH4845" s="1119"/>
      <c r="BI4845" s="319"/>
      <c r="BJ4845" s="319"/>
      <c r="BK4845" s="319"/>
      <c r="BL4845" s="319"/>
      <c r="BM4845" s="319"/>
      <c r="BN4845" s="319"/>
      <c r="BO4845" s="319"/>
      <c r="BP4845" s="953"/>
      <c r="BQ4845" s="319"/>
      <c r="BR4845" s="319"/>
      <c r="BS4845" s="330"/>
      <c r="BT4845" s="331"/>
      <c r="BU4845" s="920"/>
      <c r="BV4845" s="903"/>
      <c r="BW4845" s="908"/>
      <c r="BX4845" s="908"/>
      <c r="BY4845" s="331"/>
      <c r="BZ4845" s="331"/>
      <c r="CA4845" s="462"/>
      <c r="CB4845" s="319"/>
      <c r="CC4845" s="319"/>
      <c r="CD4845" s="319"/>
      <c r="CE4845" s="319"/>
      <c r="CF4845" s="319"/>
      <c r="CG4845" s="319"/>
      <c r="CH4845" s="318"/>
      <c r="CI4845" s="319"/>
      <c r="CJ4845" s="319"/>
      <c r="CK4845" s="342"/>
      <c r="CL4845" s="333"/>
      <c r="CM4845" s="1079"/>
      <c r="CN4845" s="1005"/>
      <c r="CO4845" s="1005"/>
      <c r="CP4845" s="1005"/>
    </row>
    <row r="4846">
      <c r="A4846" s="1257"/>
      <c r="B4846" s="1113"/>
      <c r="C4846" s="1107"/>
      <c r="D4846" s="103"/>
      <c r="E4846" s="1137"/>
      <c r="F4846" s="112"/>
      <c r="G4846" s="1110"/>
      <c r="H4846" s="1138"/>
      <c r="I4846" s="1138"/>
      <c r="J4846" s="1139"/>
      <c r="K4846" s="1111"/>
      <c r="L4846" s="1112"/>
      <c r="M4846" s="1113"/>
      <c r="N4846" s="110"/>
      <c r="O4846" s="1140"/>
      <c r="P4846" s="1115"/>
      <c r="Q4846" s="1116"/>
      <c r="R4846" s="1141"/>
      <c r="S4846" s="1113"/>
      <c r="T4846" s="1143"/>
      <c r="U4846" s="1108"/>
      <c r="V4846" s="1108"/>
      <c r="W4846" s="1108"/>
      <c r="X4846" s="1108"/>
      <c r="Y4846" s="1108"/>
      <c r="Z4846" s="1114"/>
      <c r="AA4846" s="1114"/>
      <c r="AB4846" s="1114"/>
      <c r="AC4846" s="1117"/>
      <c r="AD4846" s="1115"/>
      <c r="AE4846" s="1115"/>
      <c r="AF4846" s="1115"/>
      <c r="AG4846" s="1115"/>
      <c r="AH4846" s="1115"/>
      <c r="AI4846" s="1115"/>
      <c r="AJ4846" s="1117"/>
      <c r="AK4846" s="1118"/>
      <c r="AL4846" s="1115"/>
      <c r="AM4846" s="1115"/>
      <c r="AN4846" s="1115"/>
      <c r="AO4846" s="1115"/>
      <c r="AP4846" s="1115"/>
      <c r="AQ4846" s="1115"/>
      <c r="AR4846" s="1115"/>
      <c r="AS4846" s="1117"/>
      <c r="AT4846" s="1075"/>
      <c r="AU4846" s="1193"/>
      <c r="AV4846" s="330"/>
      <c r="AW4846" s="331"/>
      <c r="AX4846" s="331"/>
      <c r="AY4846" s="331"/>
      <c r="AZ4846" s="331"/>
      <c r="BA4846" s="331"/>
      <c r="BB4846" s="331"/>
      <c r="BC4846" s="331"/>
      <c r="BD4846" s="331"/>
      <c r="BE4846" s="333"/>
      <c r="BF4846" s="330"/>
      <c r="BG4846" s="333"/>
      <c r="BH4846" s="1119"/>
      <c r="BI4846" s="319"/>
      <c r="BJ4846" s="319"/>
      <c r="BK4846" s="319"/>
      <c r="BL4846" s="319"/>
      <c r="BM4846" s="319"/>
      <c r="BN4846" s="319"/>
      <c r="BO4846" s="319"/>
      <c r="BP4846" s="953"/>
      <c r="BQ4846" s="319"/>
      <c r="BR4846" s="319"/>
      <c r="BS4846" s="330"/>
      <c r="BT4846" s="331"/>
      <c r="BU4846" s="920"/>
      <c r="BV4846" s="903"/>
      <c r="BW4846" s="908"/>
      <c r="BX4846" s="908"/>
      <c r="BY4846" s="331"/>
      <c r="BZ4846" s="331"/>
      <c r="CA4846" s="462"/>
      <c r="CB4846" s="319"/>
      <c r="CC4846" s="319"/>
      <c r="CD4846" s="319"/>
      <c r="CE4846" s="319"/>
      <c r="CF4846" s="319"/>
      <c r="CG4846" s="319"/>
      <c r="CH4846" s="318"/>
      <c r="CI4846" s="319"/>
      <c r="CJ4846" s="319"/>
      <c r="CK4846" s="342"/>
      <c r="CL4846" s="333"/>
      <c r="CM4846" s="1079"/>
      <c r="CN4846" s="1005"/>
      <c r="CO4846" s="1005"/>
      <c r="CP4846" s="1005"/>
    </row>
    <row r="4847">
      <c r="A4847" s="1257"/>
      <c r="B4847" s="1113"/>
      <c r="C4847" s="1107"/>
      <c r="D4847" s="103"/>
      <c r="E4847" s="1137"/>
      <c r="F4847" s="112"/>
      <c r="G4847" s="1110"/>
      <c r="H4847" s="1138"/>
      <c r="I4847" s="1138"/>
      <c r="J4847" s="1139"/>
      <c r="K4847" s="1111"/>
      <c r="L4847" s="1112"/>
      <c r="M4847" s="1113"/>
      <c r="N4847" s="110"/>
      <c r="O4847" s="1140"/>
      <c r="P4847" s="1115"/>
      <c r="Q4847" s="1116"/>
      <c r="R4847" s="1141"/>
      <c r="S4847" s="1113"/>
      <c r="T4847" s="1143"/>
      <c r="U4847" s="1108"/>
      <c r="V4847" s="1108"/>
      <c r="W4847" s="1108"/>
      <c r="X4847" s="1108"/>
      <c r="Y4847" s="1108"/>
      <c r="Z4847" s="1114"/>
      <c r="AA4847" s="1114"/>
      <c r="AB4847" s="1114"/>
      <c r="AC4847" s="1117"/>
      <c r="AD4847" s="1115"/>
      <c r="AE4847" s="1115"/>
      <c r="AF4847" s="1115"/>
      <c r="AG4847" s="1115"/>
      <c r="AH4847" s="1115"/>
      <c r="AI4847" s="1115"/>
      <c r="AJ4847" s="1117"/>
      <c r="AK4847" s="1118"/>
      <c r="AL4847" s="1115"/>
      <c r="AM4847" s="1115"/>
      <c r="AN4847" s="1115"/>
      <c r="AO4847" s="1115"/>
      <c r="AP4847" s="1115"/>
      <c r="AQ4847" s="1115"/>
      <c r="AR4847" s="1115"/>
      <c r="AS4847" s="1117"/>
      <c r="AT4847" s="1075"/>
      <c r="AU4847" s="1193"/>
      <c r="AV4847" s="330"/>
      <c r="AW4847" s="331"/>
      <c r="AX4847" s="331"/>
      <c r="AY4847" s="331"/>
      <c r="AZ4847" s="331"/>
      <c r="BA4847" s="331"/>
      <c r="BB4847" s="331"/>
      <c r="BC4847" s="331"/>
      <c r="BD4847" s="331"/>
      <c r="BE4847" s="333"/>
      <c r="BF4847" s="330"/>
      <c r="BG4847" s="333"/>
      <c r="BH4847" s="1119"/>
      <c r="BI4847" s="319"/>
      <c r="BJ4847" s="319"/>
      <c r="BK4847" s="319"/>
      <c r="BL4847" s="319"/>
      <c r="BM4847" s="319"/>
      <c r="BN4847" s="319"/>
      <c r="BO4847" s="319"/>
      <c r="BP4847" s="953"/>
      <c r="BQ4847" s="319"/>
      <c r="BR4847" s="319"/>
      <c r="BS4847" s="330"/>
      <c r="BT4847" s="331"/>
      <c r="BU4847" s="920"/>
      <c r="BV4847" s="903"/>
      <c r="BW4847" s="908"/>
      <c r="BX4847" s="908"/>
      <c r="BY4847" s="331"/>
      <c r="BZ4847" s="331"/>
      <c r="CA4847" s="462"/>
      <c r="CB4847" s="319"/>
      <c r="CC4847" s="319"/>
      <c r="CD4847" s="319"/>
      <c r="CE4847" s="319"/>
      <c r="CF4847" s="319"/>
      <c r="CG4847" s="319"/>
      <c r="CH4847" s="318"/>
      <c r="CI4847" s="319"/>
      <c r="CJ4847" s="319"/>
      <c r="CK4847" s="342"/>
      <c r="CL4847" s="333"/>
      <c r="CM4847" s="1079"/>
      <c r="CN4847" s="1005"/>
      <c r="CO4847" s="1005"/>
      <c r="CP4847" s="1005"/>
    </row>
    <row r="4848">
      <c r="A4848" s="1257"/>
      <c r="B4848" s="1113"/>
      <c r="C4848" s="1107"/>
      <c r="D4848" s="103"/>
      <c r="E4848" s="1137"/>
      <c r="F4848" s="112"/>
      <c r="G4848" s="1110"/>
      <c r="H4848" s="1138"/>
      <c r="I4848" s="1138"/>
      <c r="J4848" s="1139"/>
      <c r="K4848" s="1111"/>
      <c r="L4848" s="1112"/>
      <c r="M4848" s="1113"/>
      <c r="N4848" s="110"/>
      <c r="O4848" s="1140"/>
      <c r="P4848" s="1115"/>
      <c r="Q4848" s="1116"/>
      <c r="R4848" s="1141"/>
      <c r="S4848" s="1113"/>
      <c r="T4848" s="1143"/>
      <c r="U4848" s="1108"/>
      <c r="V4848" s="1108"/>
      <c r="W4848" s="1108"/>
      <c r="X4848" s="1108"/>
      <c r="Y4848" s="1108"/>
      <c r="Z4848" s="1114"/>
      <c r="AA4848" s="1114"/>
      <c r="AB4848" s="1114"/>
      <c r="AC4848" s="1117"/>
      <c r="AD4848" s="1115"/>
      <c r="AE4848" s="1115"/>
      <c r="AF4848" s="1115"/>
      <c r="AG4848" s="1115"/>
      <c r="AH4848" s="1115"/>
      <c r="AI4848" s="1115"/>
      <c r="AJ4848" s="1117"/>
      <c r="AK4848" s="1118"/>
      <c r="AL4848" s="1115"/>
      <c r="AM4848" s="1115"/>
      <c r="AN4848" s="1115"/>
      <c r="AO4848" s="1115"/>
      <c r="AP4848" s="1115"/>
      <c r="AQ4848" s="1115"/>
      <c r="AR4848" s="1115"/>
      <c r="AS4848" s="1117"/>
      <c r="AT4848" s="1075"/>
      <c r="AU4848" s="1193"/>
      <c r="AV4848" s="330"/>
      <c r="AW4848" s="331"/>
      <c r="AX4848" s="331"/>
      <c r="AY4848" s="331"/>
      <c r="AZ4848" s="331"/>
      <c r="BA4848" s="331"/>
      <c r="BB4848" s="331"/>
      <c r="BC4848" s="331"/>
      <c r="BD4848" s="331"/>
      <c r="BE4848" s="333"/>
      <c r="BF4848" s="330"/>
      <c r="BG4848" s="333"/>
      <c r="BH4848" s="1119"/>
      <c r="BI4848" s="319"/>
      <c r="BJ4848" s="319"/>
      <c r="BK4848" s="319"/>
      <c r="BL4848" s="319"/>
      <c r="BM4848" s="319"/>
      <c r="BN4848" s="319"/>
      <c r="BO4848" s="319"/>
      <c r="BP4848" s="953"/>
      <c r="BQ4848" s="319"/>
      <c r="BR4848" s="319"/>
      <c r="BS4848" s="330"/>
      <c r="BT4848" s="331"/>
      <c r="BU4848" s="920"/>
      <c r="BV4848" s="903"/>
      <c r="BW4848" s="908"/>
      <c r="BX4848" s="908"/>
      <c r="BY4848" s="331"/>
      <c r="BZ4848" s="331"/>
      <c r="CA4848" s="462"/>
      <c r="CB4848" s="319"/>
      <c r="CC4848" s="319"/>
      <c r="CD4848" s="319"/>
      <c r="CE4848" s="319"/>
      <c r="CF4848" s="319"/>
      <c r="CG4848" s="319"/>
      <c r="CH4848" s="318"/>
      <c r="CI4848" s="319"/>
      <c r="CJ4848" s="319"/>
      <c r="CK4848" s="342"/>
      <c r="CL4848" s="333"/>
      <c r="CM4848" s="1079"/>
      <c r="CN4848" s="1005"/>
      <c r="CO4848" s="1005"/>
      <c r="CP4848" s="1005"/>
    </row>
    <row r="4849">
      <c r="A4849" s="1257"/>
      <c r="B4849" s="1113"/>
      <c r="C4849" s="1107"/>
      <c r="D4849" s="103"/>
      <c r="E4849" s="1137"/>
      <c r="F4849" s="112"/>
      <c r="G4849" s="1110"/>
      <c r="H4849" s="1138"/>
      <c r="I4849" s="1138"/>
      <c r="J4849" s="1139"/>
      <c r="K4849" s="1111"/>
      <c r="L4849" s="1112"/>
      <c r="M4849" s="1113"/>
      <c r="N4849" s="110"/>
      <c r="O4849" s="1140"/>
      <c r="P4849" s="1115"/>
      <c r="Q4849" s="1116"/>
      <c r="R4849" s="1141"/>
      <c r="S4849" s="1113"/>
      <c r="T4849" s="1143"/>
      <c r="U4849" s="1108"/>
      <c r="V4849" s="1108"/>
      <c r="W4849" s="1108"/>
      <c r="X4849" s="1108"/>
      <c r="Y4849" s="1108"/>
      <c r="Z4849" s="1114"/>
      <c r="AA4849" s="1114"/>
      <c r="AB4849" s="1114"/>
      <c r="AC4849" s="1117"/>
      <c r="AD4849" s="1115"/>
      <c r="AE4849" s="1115"/>
      <c r="AF4849" s="1115"/>
      <c r="AG4849" s="1115"/>
      <c r="AH4849" s="1115"/>
      <c r="AI4849" s="1115"/>
      <c r="AJ4849" s="1117"/>
      <c r="AK4849" s="1118"/>
      <c r="AL4849" s="1115"/>
      <c r="AM4849" s="1115"/>
      <c r="AN4849" s="1115"/>
      <c r="AO4849" s="1115"/>
      <c r="AP4849" s="1115"/>
      <c r="AQ4849" s="1115"/>
      <c r="AR4849" s="1115"/>
      <c r="AS4849" s="1117"/>
      <c r="AT4849" s="1075"/>
      <c r="AU4849" s="1193"/>
      <c r="AV4849" s="330"/>
      <c r="AW4849" s="331"/>
      <c r="AX4849" s="331"/>
      <c r="AY4849" s="331"/>
      <c r="AZ4849" s="331"/>
      <c r="BA4849" s="331"/>
      <c r="BB4849" s="331"/>
      <c r="BC4849" s="331"/>
      <c r="BD4849" s="331"/>
      <c r="BE4849" s="333"/>
      <c r="BF4849" s="330"/>
      <c r="BG4849" s="333"/>
      <c r="BH4849" s="1119"/>
      <c r="BI4849" s="319"/>
      <c r="BJ4849" s="319"/>
      <c r="BK4849" s="319"/>
      <c r="BL4849" s="319"/>
      <c r="BM4849" s="319"/>
      <c r="BN4849" s="319"/>
      <c r="BO4849" s="319"/>
      <c r="BP4849" s="953"/>
      <c r="BQ4849" s="319"/>
      <c r="BR4849" s="319"/>
      <c r="BS4849" s="330"/>
      <c r="BT4849" s="331"/>
      <c r="BU4849" s="920"/>
      <c r="BV4849" s="903"/>
      <c r="BW4849" s="908"/>
      <c r="BX4849" s="908"/>
      <c r="BY4849" s="331"/>
      <c r="BZ4849" s="331"/>
      <c r="CA4849" s="462"/>
      <c r="CB4849" s="319"/>
      <c r="CC4849" s="319"/>
      <c r="CD4849" s="319"/>
      <c r="CE4849" s="319"/>
      <c r="CF4849" s="319"/>
      <c r="CG4849" s="319"/>
      <c r="CH4849" s="318"/>
      <c r="CI4849" s="319"/>
      <c r="CJ4849" s="319"/>
      <c r="CK4849" s="342"/>
      <c r="CL4849" s="333"/>
      <c r="CM4849" s="1079"/>
      <c r="CN4849" s="1005"/>
      <c r="CO4849" s="1005"/>
      <c r="CP4849" s="1005"/>
    </row>
    <row r="4850">
      <c r="A4850" s="1257"/>
      <c r="B4850" s="1113"/>
      <c r="C4850" s="1107"/>
      <c r="D4850" s="103"/>
      <c r="E4850" s="1137"/>
      <c r="F4850" s="112"/>
      <c r="G4850" s="1110"/>
      <c r="H4850" s="1138"/>
      <c r="I4850" s="1138"/>
      <c r="J4850" s="1139"/>
      <c r="K4850" s="1111"/>
      <c r="L4850" s="1112"/>
      <c r="M4850" s="1113"/>
      <c r="N4850" s="110"/>
      <c r="O4850" s="1140"/>
      <c r="P4850" s="1115"/>
      <c r="Q4850" s="1116"/>
      <c r="R4850" s="1141"/>
      <c r="S4850" s="1113"/>
      <c r="T4850" s="1143"/>
      <c r="U4850" s="1108"/>
      <c r="V4850" s="1108"/>
      <c r="W4850" s="1108"/>
      <c r="X4850" s="1108"/>
      <c r="Y4850" s="1108"/>
      <c r="Z4850" s="1114"/>
      <c r="AA4850" s="1114"/>
      <c r="AB4850" s="1114"/>
      <c r="AC4850" s="1117"/>
      <c r="AD4850" s="1115"/>
      <c r="AE4850" s="1115"/>
      <c r="AF4850" s="1115"/>
      <c r="AG4850" s="1115"/>
      <c r="AH4850" s="1115"/>
      <c r="AI4850" s="1115"/>
      <c r="AJ4850" s="1117"/>
      <c r="AK4850" s="1118"/>
      <c r="AL4850" s="1115"/>
      <c r="AM4850" s="1115"/>
      <c r="AN4850" s="1115"/>
      <c r="AO4850" s="1115"/>
      <c r="AP4850" s="1115"/>
      <c r="AQ4850" s="1115"/>
      <c r="AR4850" s="1115"/>
      <c r="AS4850" s="1117"/>
      <c r="AT4850" s="1075"/>
      <c r="AU4850" s="1193"/>
      <c r="AV4850" s="330"/>
      <c r="AW4850" s="331"/>
      <c r="AX4850" s="331"/>
      <c r="AY4850" s="331"/>
      <c r="AZ4850" s="331"/>
      <c r="BA4850" s="331"/>
      <c r="BB4850" s="331"/>
      <c r="BC4850" s="331"/>
      <c r="BD4850" s="331"/>
      <c r="BE4850" s="333"/>
      <c r="BF4850" s="330"/>
      <c r="BG4850" s="333"/>
      <c r="BH4850" s="1119"/>
      <c r="BI4850" s="319"/>
      <c r="BJ4850" s="319"/>
      <c r="BK4850" s="319"/>
      <c r="BL4850" s="319"/>
      <c r="BM4850" s="319"/>
      <c r="BN4850" s="319"/>
      <c r="BO4850" s="319"/>
      <c r="BP4850" s="953"/>
      <c r="BQ4850" s="319"/>
      <c r="BR4850" s="319"/>
      <c r="BS4850" s="330"/>
      <c r="BT4850" s="331"/>
      <c r="BU4850" s="920"/>
      <c r="BV4850" s="903"/>
      <c r="BW4850" s="908"/>
      <c r="BX4850" s="908"/>
      <c r="BY4850" s="331"/>
      <c r="BZ4850" s="331"/>
      <c r="CA4850" s="462"/>
      <c r="CB4850" s="319"/>
      <c r="CC4850" s="319"/>
      <c r="CD4850" s="319"/>
      <c r="CE4850" s="319"/>
      <c r="CF4850" s="319"/>
      <c r="CG4850" s="319"/>
      <c r="CH4850" s="318"/>
      <c r="CI4850" s="319"/>
      <c r="CJ4850" s="319"/>
      <c r="CK4850" s="342"/>
      <c r="CL4850" s="333"/>
      <c r="CM4850" s="1079"/>
      <c r="CN4850" s="1005"/>
      <c r="CO4850" s="1005"/>
      <c r="CP4850" s="1005"/>
    </row>
    <row r="4851">
      <c r="A4851" s="1257"/>
      <c r="B4851" s="1113"/>
      <c r="C4851" s="1107"/>
      <c r="D4851" s="103"/>
      <c r="E4851" s="1137"/>
      <c r="F4851" s="112"/>
      <c r="G4851" s="1110"/>
      <c r="H4851" s="1138"/>
      <c r="I4851" s="1138"/>
      <c r="J4851" s="1139"/>
      <c r="K4851" s="1111"/>
      <c r="L4851" s="1112"/>
      <c r="M4851" s="1113"/>
      <c r="N4851" s="110"/>
      <c r="O4851" s="1140"/>
      <c r="P4851" s="1115"/>
      <c r="Q4851" s="1116"/>
      <c r="R4851" s="1141"/>
      <c r="S4851" s="1113"/>
      <c r="T4851" s="1143"/>
      <c r="U4851" s="1108"/>
      <c r="V4851" s="1108"/>
      <c r="W4851" s="1108"/>
      <c r="X4851" s="1108"/>
      <c r="Y4851" s="1108"/>
      <c r="Z4851" s="1114"/>
      <c r="AA4851" s="1114"/>
      <c r="AB4851" s="1114"/>
      <c r="AC4851" s="1117"/>
      <c r="AD4851" s="1115"/>
      <c r="AE4851" s="1115"/>
      <c r="AF4851" s="1115"/>
      <c r="AG4851" s="1115"/>
      <c r="AH4851" s="1115"/>
      <c r="AI4851" s="1115"/>
      <c r="AJ4851" s="1117"/>
      <c r="AK4851" s="1118"/>
      <c r="AL4851" s="1115"/>
      <c r="AM4851" s="1115"/>
      <c r="AN4851" s="1115"/>
      <c r="AO4851" s="1115"/>
      <c r="AP4851" s="1115"/>
      <c r="AQ4851" s="1115"/>
      <c r="AR4851" s="1115"/>
      <c r="AS4851" s="1117"/>
      <c r="AT4851" s="1075"/>
      <c r="AU4851" s="1193"/>
      <c r="AV4851" s="330"/>
      <c r="AW4851" s="331"/>
      <c r="AX4851" s="331"/>
      <c r="AY4851" s="331"/>
      <c r="AZ4851" s="331"/>
      <c r="BA4851" s="331"/>
      <c r="BB4851" s="331"/>
      <c r="BC4851" s="331"/>
      <c r="BD4851" s="331"/>
      <c r="BE4851" s="333"/>
      <c r="BF4851" s="330"/>
      <c r="BG4851" s="333"/>
      <c r="BH4851" s="1119"/>
      <c r="BI4851" s="319"/>
      <c r="BJ4851" s="319"/>
      <c r="BK4851" s="319"/>
      <c r="BL4851" s="319"/>
      <c r="BM4851" s="319"/>
      <c r="BN4851" s="319"/>
      <c r="BO4851" s="319"/>
      <c r="BP4851" s="953"/>
      <c r="BQ4851" s="319"/>
      <c r="BR4851" s="319"/>
      <c r="BS4851" s="330"/>
      <c r="BT4851" s="331"/>
      <c r="BU4851" s="920"/>
      <c r="BV4851" s="903"/>
      <c r="BW4851" s="908"/>
      <c r="BX4851" s="908"/>
      <c r="BY4851" s="331"/>
      <c r="BZ4851" s="331"/>
      <c r="CA4851" s="462"/>
      <c r="CB4851" s="319"/>
      <c r="CC4851" s="319"/>
      <c r="CD4851" s="319"/>
      <c r="CE4851" s="319"/>
      <c r="CF4851" s="319"/>
      <c r="CG4851" s="319"/>
      <c r="CH4851" s="318"/>
      <c r="CI4851" s="319"/>
      <c r="CJ4851" s="319"/>
      <c r="CK4851" s="342"/>
      <c r="CL4851" s="333"/>
      <c r="CM4851" s="1079"/>
      <c r="CN4851" s="1005"/>
      <c r="CO4851" s="1005"/>
      <c r="CP4851" s="1005"/>
    </row>
    <row r="4852">
      <c r="A4852" s="1257"/>
      <c r="B4852" s="1113"/>
      <c r="C4852" s="1107"/>
      <c r="D4852" s="103"/>
      <c r="E4852" s="1137"/>
      <c r="F4852" s="112"/>
      <c r="G4852" s="1110"/>
      <c r="H4852" s="1138"/>
      <c r="I4852" s="1138"/>
      <c r="J4852" s="1139"/>
      <c r="K4852" s="1111"/>
      <c r="L4852" s="1112"/>
      <c r="M4852" s="1113"/>
      <c r="N4852" s="110"/>
      <c r="O4852" s="1140"/>
      <c r="P4852" s="1115"/>
      <c r="Q4852" s="1116"/>
      <c r="R4852" s="1141"/>
      <c r="S4852" s="1113"/>
      <c r="T4852" s="1143"/>
      <c r="U4852" s="1108"/>
      <c r="V4852" s="1108"/>
      <c r="W4852" s="1108"/>
      <c r="X4852" s="1108"/>
      <c r="Y4852" s="1108"/>
      <c r="Z4852" s="1114"/>
      <c r="AA4852" s="1114"/>
      <c r="AB4852" s="1114"/>
      <c r="AC4852" s="1117"/>
      <c r="AD4852" s="1115"/>
      <c r="AE4852" s="1115"/>
      <c r="AF4852" s="1115"/>
      <c r="AG4852" s="1115"/>
      <c r="AH4852" s="1115"/>
      <c r="AI4852" s="1115"/>
      <c r="AJ4852" s="1117"/>
      <c r="AK4852" s="1118"/>
      <c r="AL4852" s="1115"/>
      <c r="AM4852" s="1115"/>
      <c r="AN4852" s="1115"/>
      <c r="AO4852" s="1115"/>
      <c r="AP4852" s="1115"/>
      <c r="AQ4852" s="1115"/>
      <c r="AR4852" s="1115"/>
      <c r="AS4852" s="1117"/>
      <c r="AT4852" s="1075"/>
      <c r="AU4852" s="1193"/>
      <c r="AV4852" s="330"/>
      <c r="AW4852" s="331"/>
      <c r="AX4852" s="331"/>
      <c r="AY4852" s="331"/>
      <c r="AZ4852" s="331"/>
      <c r="BA4852" s="331"/>
      <c r="BB4852" s="331"/>
      <c r="BC4852" s="331"/>
      <c r="BD4852" s="331"/>
      <c r="BE4852" s="333"/>
      <c r="BF4852" s="330"/>
      <c r="BG4852" s="333"/>
      <c r="BH4852" s="1119"/>
      <c r="BI4852" s="319"/>
      <c r="BJ4852" s="319"/>
      <c r="BK4852" s="319"/>
      <c r="BL4852" s="319"/>
      <c r="BM4852" s="319"/>
      <c r="BN4852" s="319"/>
      <c r="BO4852" s="319"/>
      <c r="BP4852" s="953"/>
      <c r="BQ4852" s="319"/>
      <c r="BR4852" s="319"/>
      <c r="BS4852" s="330"/>
      <c r="BT4852" s="331"/>
      <c r="BU4852" s="920"/>
      <c r="BV4852" s="903"/>
      <c r="BW4852" s="908"/>
      <c r="BX4852" s="908"/>
      <c r="BY4852" s="331"/>
      <c r="BZ4852" s="331"/>
      <c r="CA4852" s="462"/>
      <c r="CB4852" s="319"/>
      <c r="CC4852" s="319"/>
      <c r="CD4852" s="319"/>
      <c r="CE4852" s="319"/>
      <c r="CF4852" s="319"/>
      <c r="CG4852" s="319"/>
      <c r="CH4852" s="318"/>
      <c r="CI4852" s="319"/>
      <c r="CJ4852" s="319"/>
      <c r="CK4852" s="342"/>
      <c r="CL4852" s="333"/>
      <c r="CM4852" s="1079"/>
      <c r="CN4852" s="1005"/>
      <c r="CO4852" s="1005"/>
      <c r="CP4852" s="1005"/>
    </row>
    <row r="4853">
      <c r="A4853" s="1257"/>
      <c r="B4853" s="1113"/>
      <c r="C4853" s="1107"/>
      <c r="D4853" s="103"/>
      <c r="E4853" s="1137"/>
      <c r="F4853" s="112"/>
      <c r="G4853" s="1110"/>
      <c r="H4853" s="1138"/>
      <c r="I4853" s="1138"/>
      <c r="J4853" s="1139"/>
      <c r="K4853" s="1111"/>
      <c r="L4853" s="1112"/>
      <c r="M4853" s="1113"/>
      <c r="N4853" s="110"/>
      <c r="O4853" s="1140"/>
      <c r="P4853" s="1115"/>
      <c r="Q4853" s="1116"/>
      <c r="R4853" s="1141"/>
      <c r="S4853" s="1113"/>
      <c r="T4853" s="1143"/>
      <c r="U4853" s="1108"/>
      <c r="V4853" s="1108"/>
      <c r="W4853" s="1108"/>
      <c r="X4853" s="1108"/>
      <c r="Y4853" s="1108"/>
      <c r="Z4853" s="1114"/>
      <c r="AA4853" s="1114"/>
      <c r="AB4853" s="1114"/>
      <c r="AC4853" s="1117"/>
      <c r="AD4853" s="1115"/>
      <c r="AE4853" s="1115"/>
      <c r="AF4853" s="1115"/>
      <c r="AG4853" s="1115"/>
      <c r="AH4853" s="1115"/>
      <c r="AI4853" s="1115"/>
      <c r="AJ4853" s="1117"/>
      <c r="AK4853" s="1118"/>
      <c r="AL4853" s="1115"/>
      <c r="AM4853" s="1115"/>
      <c r="AN4853" s="1115"/>
      <c r="AO4853" s="1115"/>
      <c r="AP4853" s="1115"/>
      <c r="AQ4853" s="1115"/>
      <c r="AR4853" s="1115"/>
      <c r="AS4853" s="1117"/>
      <c r="AT4853" s="1075"/>
      <c r="AU4853" s="1193"/>
      <c r="AV4853" s="330"/>
      <c r="AW4853" s="331"/>
      <c r="AX4853" s="331"/>
      <c r="AY4853" s="331"/>
      <c r="AZ4853" s="331"/>
      <c r="BA4853" s="331"/>
      <c r="BB4853" s="331"/>
      <c r="BC4853" s="331"/>
      <c r="BD4853" s="331"/>
      <c r="BE4853" s="333"/>
      <c r="BF4853" s="330"/>
      <c r="BG4853" s="333"/>
      <c r="BH4853" s="1119"/>
      <c r="BI4853" s="319"/>
      <c r="BJ4853" s="319"/>
      <c r="BK4853" s="319"/>
      <c r="BL4853" s="319"/>
      <c r="BM4853" s="319"/>
      <c r="BN4853" s="319"/>
      <c r="BO4853" s="319"/>
      <c r="BP4853" s="953"/>
      <c r="BQ4853" s="319"/>
      <c r="BR4853" s="319"/>
      <c r="BS4853" s="330"/>
      <c r="BT4853" s="331"/>
      <c r="BU4853" s="920"/>
      <c r="BV4853" s="903"/>
      <c r="BW4853" s="908"/>
      <c r="BX4853" s="908"/>
      <c r="BY4853" s="331"/>
      <c r="BZ4853" s="331"/>
      <c r="CA4853" s="462"/>
      <c r="CB4853" s="319"/>
      <c r="CC4853" s="319"/>
      <c r="CD4853" s="319"/>
      <c r="CE4853" s="319"/>
      <c r="CF4853" s="319"/>
      <c r="CG4853" s="319"/>
      <c r="CH4853" s="318"/>
      <c r="CI4853" s="319"/>
      <c r="CJ4853" s="319"/>
      <c r="CK4853" s="342"/>
      <c r="CL4853" s="333"/>
      <c r="CM4853" s="1079"/>
      <c r="CN4853" s="1005"/>
      <c r="CO4853" s="1005"/>
      <c r="CP4853" s="1005"/>
    </row>
    <row r="4854">
      <c r="A4854" s="1257"/>
      <c r="B4854" s="1113"/>
      <c r="C4854" s="1107"/>
      <c r="D4854" s="103"/>
      <c r="E4854" s="1137"/>
      <c r="F4854" s="112"/>
      <c r="G4854" s="1110"/>
      <c r="H4854" s="1138"/>
      <c r="I4854" s="1138"/>
      <c r="J4854" s="1139"/>
      <c r="K4854" s="1111"/>
      <c r="L4854" s="1112"/>
      <c r="M4854" s="1113"/>
      <c r="N4854" s="110"/>
      <c r="O4854" s="1140"/>
      <c r="P4854" s="1115"/>
      <c r="Q4854" s="1116"/>
      <c r="R4854" s="1141"/>
      <c r="S4854" s="1113"/>
      <c r="T4854" s="1143"/>
      <c r="U4854" s="1108"/>
      <c r="V4854" s="1108"/>
      <c r="W4854" s="1108"/>
      <c r="X4854" s="1108"/>
      <c r="Y4854" s="1108"/>
      <c r="Z4854" s="1114"/>
      <c r="AA4854" s="1114"/>
      <c r="AB4854" s="1114"/>
      <c r="AC4854" s="1117"/>
      <c r="AD4854" s="1115"/>
      <c r="AE4854" s="1115"/>
      <c r="AF4854" s="1115"/>
      <c r="AG4854" s="1115"/>
      <c r="AH4854" s="1115"/>
      <c r="AI4854" s="1115"/>
      <c r="AJ4854" s="1117"/>
      <c r="AK4854" s="1118"/>
      <c r="AL4854" s="1115"/>
      <c r="AM4854" s="1115"/>
      <c r="AN4854" s="1115"/>
      <c r="AO4854" s="1115"/>
      <c r="AP4854" s="1115"/>
      <c r="AQ4854" s="1115"/>
      <c r="AR4854" s="1115"/>
      <c r="AS4854" s="1117"/>
      <c r="AT4854" s="1075"/>
      <c r="AU4854" s="1193"/>
      <c r="AV4854" s="330"/>
      <c r="AW4854" s="331"/>
      <c r="AX4854" s="331"/>
      <c r="AY4854" s="331"/>
      <c r="AZ4854" s="331"/>
      <c r="BA4854" s="331"/>
      <c r="BB4854" s="331"/>
      <c r="BC4854" s="331"/>
      <c r="BD4854" s="331"/>
      <c r="BE4854" s="333"/>
      <c r="BF4854" s="330"/>
      <c r="BG4854" s="333"/>
      <c r="BH4854" s="1119"/>
      <c r="BI4854" s="319"/>
      <c r="BJ4854" s="319"/>
      <c r="BK4854" s="319"/>
      <c r="BL4854" s="319"/>
      <c r="BM4854" s="319"/>
      <c r="BN4854" s="319"/>
      <c r="BO4854" s="319"/>
      <c r="BP4854" s="953"/>
      <c r="BQ4854" s="319"/>
      <c r="BR4854" s="319"/>
      <c r="BS4854" s="330"/>
      <c r="BT4854" s="331"/>
      <c r="BU4854" s="920"/>
      <c r="BV4854" s="903"/>
      <c r="BW4854" s="908"/>
      <c r="BX4854" s="908"/>
      <c r="BY4854" s="331"/>
      <c r="BZ4854" s="331"/>
      <c r="CA4854" s="462"/>
      <c r="CB4854" s="319"/>
      <c r="CC4854" s="319"/>
      <c r="CD4854" s="319"/>
      <c r="CE4854" s="319"/>
      <c r="CF4854" s="319"/>
      <c r="CG4854" s="319"/>
      <c r="CH4854" s="318"/>
      <c r="CI4854" s="319"/>
      <c r="CJ4854" s="319"/>
      <c r="CK4854" s="342"/>
      <c r="CL4854" s="333"/>
      <c r="CM4854" s="1079"/>
      <c r="CN4854" s="1005"/>
      <c r="CO4854" s="1005"/>
      <c r="CP4854" s="1005"/>
    </row>
    <row r="4855">
      <c r="A4855" s="1257"/>
      <c r="B4855" s="1113"/>
      <c r="C4855" s="1107"/>
      <c r="D4855" s="103"/>
      <c r="E4855" s="1137"/>
      <c r="F4855" s="112"/>
      <c r="G4855" s="1110"/>
      <c r="H4855" s="1138"/>
      <c r="I4855" s="1138"/>
      <c r="J4855" s="1139"/>
      <c r="K4855" s="1111"/>
      <c r="L4855" s="1112"/>
      <c r="M4855" s="1113"/>
      <c r="N4855" s="110"/>
      <c r="O4855" s="1140"/>
      <c r="P4855" s="1115"/>
      <c r="Q4855" s="1116"/>
      <c r="R4855" s="1141"/>
      <c r="S4855" s="1113"/>
      <c r="T4855" s="1143"/>
      <c r="U4855" s="1108"/>
      <c r="V4855" s="1108"/>
      <c r="W4855" s="1108"/>
      <c r="X4855" s="1108"/>
      <c r="Y4855" s="1108"/>
      <c r="Z4855" s="1114"/>
      <c r="AA4855" s="1114"/>
      <c r="AB4855" s="1114"/>
      <c r="AC4855" s="1117"/>
      <c r="AD4855" s="1115"/>
      <c r="AE4855" s="1115"/>
      <c r="AF4855" s="1115"/>
      <c r="AG4855" s="1115"/>
      <c r="AH4855" s="1115"/>
      <c r="AI4855" s="1115"/>
      <c r="AJ4855" s="1117"/>
      <c r="AK4855" s="1118"/>
      <c r="AL4855" s="1115"/>
      <c r="AM4855" s="1115"/>
      <c r="AN4855" s="1115"/>
      <c r="AO4855" s="1115"/>
      <c r="AP4855" s="1115"/>
      <c r="AQ4855" s="1115"/>
      <c r="AR4855" s="1115"/>
      <c r="AS4855" s="1117"/>
      <c r="AT4855" s="1075"/>
      <c r="AU4855" s="1193"/>
      <c r="AV4855" s="330"/>
      <c r="AW4855" s="331"/>
      <c r="AX4855" s="331"/>
      <c r="AY4855" s="331"/>
      <c r="AZ4855" s="331"/>
      <c r="BA4855" s="331"/>
      <c r="BB4855" s="331"/>
      <c r="BC4855" s="331"/>
      <c r="BD4855" s="331"/>
      <c r="BE4855" s="333"/>
      <c r="BF4855" s="330"/>
      <c r="BG4855" s="333"/>
      <c r="BH4855" s="1119"/>
      <c r="BI4855" s="319"/>
      <c r="BJ4855" s="319"/>
      <c r="BK4855" s="319"/>
      <c r="BL4855" s="319"/>
      <c r="BM4855" s="319"/>
      <c r="BN4855" s="319"/>
      <c r="BO4855" s="319"/>
      <c r="BP4855" s="953"/>
      <c r="BQ4855" s="319"/>
      <c r="BR4855" s="319"/>
      <c r="BS4855" s="330"/>
      <c r="BT4855" s="331"/>
      <c r="BU4855" s="920"/>
      <c r="BV4855" s="903"/>
      <c r="BW4855" s="908"/>
      <c r="BX4855" s="908"/>
      <c r="BY4855" s="331"/>
      <c r="BZ4855" s="331"/>
      <c r="CA4855" s="462"/>
      <c r="CB4855" s="319"/>
      <c r="CC4855" s="319"/>
      <c r="CD4855" s="319"/>
      <c r="CE4855" s="319"/>
      <c r="CF4855" s="319"/>
      <c r="CG4855" s="319"/>
      <c r="CH4855" s="318"/>
      <c r="CI4855" s="319"/>
      <c r="CJ4855" s="319"/>
      <c r="CK4855" s="342"/>
      <c r="CL4855" s="333"/>
      <c r="CM4855" s="1079"/>
      <c r="CN4855" s="1005"/>
      <c r="CO4855" s="1005"/>
      <c r="CP4855" s="1005"/>
    </row>
    <row r="4856">
      <c r="A4856" s="1257"/>
      <c r="B4856" s="1113"/>
      <c r="C4856" s="1107"/>
      <c r="D4856" s="103"/>
      <c r="E4856" s="1137"/>
      <c r="F4856" s="112"/>
      <c r="G4856" s="1110"/>
      <c r="H4856" s="1138"/>
      <c r="I4856" s="1138"/>
      <c r="J4856" s="1139"/>
      <c r="K4856" s="1111"/>
      <c r="L4856" s="1112"/>
      <c r="M4856" s="1113"/>
      <c r="N4856" s="110"/>
      <c r="O4856" s="1140"/>
      <c r="P4856" s="1115"/>
      <c r="Q4856" s="1116"/>
      <c r="R4856" s="1141"/>
      <c r="S4856" s="1113"/>
      <c r="T4856" s="1143"/>
      <c r="U4856" s="1108"/>
      <c r="V4856" s="1108"/>
      <c r="W4856" s="1108"/>
      <c r="X4856" s="1108"/>
      <c r="Y4856" s="1108"/>
      <c r="Z4856" s="1114"/>
      <c r="AA4856" s="1114"/>
      <c r="AB4856" s="1114"/>
      <c r="AC4856" s="1117"/>
      <c r="AD4856" s="1115"/>
      <c r="AE4856" s="1115"/>
      <c r="AF4856" s="1115"/>
      <c r="AG4856" s="1115"/>
      <c r="AH4856" s="1115"/>
      <c r="AI4856" s="1115"/>
      <c r="AJ4856" s="1117"/>
      <c r="AK4856" s="1118"/>
      <c r="AL4856" s="1115"/>
      <c r="AM4856" s="1115"/>
      <c r="AN4856" s="1115"/>
      <c r="AO4856" s="1115"/>
      <c r="AP4856" s="1115"/>
      <c r="AQ4856" s="1115"/>
      <c r="AR4856" s="1115"/>
      <c r="AS4856" s="1117"/>
      <c r="AT4856" s="1075"/>
      <c r="AU4856" s="1193"/>
      <c r="AV4856" s="330"/>
      <c r="AW4856" s="331"/>
      <c r="AX4856" s="331"/>
      <c r="AY4856" s="331"/>
      <c r="AZ4856" s="331"/>
      <c r="BA4856" s="331"/>
      <c r="BB4856" s="331"/>
      <c r="BC4856" s="331"/>
      <c r="BD4856" s="331"/>
      <c r="BE4856" s="333"/>
      <c r="BF4856" s="330"/>
      <c r="BG4856" s="333"/>
      <c r="BH4856" s="1119"/>
      <c r="BI4856" s="319"/>
      <c r="BJ4856" s="319"/>
      <c r="BK4856" s="319"/>
      <c r="BL4856" s="319"/>
      <c r="BM4856" s="319"/>
      <c r="BN4856" s="319"/>
      <c r="BO4856" s="319"/>
      <c r="BP4856" s="953"/>
      <c r="BQ4856" s="319"/>
      <c r="BR4856" s="319"/>
      <c r="BS4856" s="330"/>
      <c r="BT4856" s="331"/>
      <c r="BU4856" s="920"/>
      <c r="BV4856" s="903"/>
      <c r="BW4856" s="908"/>
      <c r="BX4856" s="908"/>
      <c r="BY4856" s="331"/>
      <c r="BZ4856" s="331"/>
      <c r="CA4856" s="462"/>
      <c r="CB4856" s="319"/>
      <c r="CC4856" s="319"/>
      <c r="CD4856" s="319"/>
      <c r="CE4856" s="319"/>
      <c r="CF4856" s="319"/>
      <c r="CG4856" s="319"/>
      <c r="CH4856" s="318"/>
      <c r="CI4856" s="319"/>
      <c r="CJ4856" s="319"/>
      <c r="CK4856" s="342"/>
      <c r="CL4856" s="333"/>
      <c r="CM4856" s="1079"/>
      <c r="CN4856" s="1005"/>
      <c r="CO4856" s="1005"/>
      <c r="CP4856" s="1005"/>
    </row>
    <row r="4857">
      <c r="A4857" s="1257"/>
      <c r="B4857" s="1113"/>
      <c r="C4857" s="1107"/>
      <c r="D4857" s="103"/>
      <c r="E4857" s="1137"/>
      <c r="F4857" s="112"/>
      <c r="G4857" s="1110"/>
      <c r="H4857" s="1138"/>
      <c r="I4857" s="1138"/>
      <c r="J4857" s="1139"/>
      <c r="K4857" s="1111"/>
      <c r="L4857" s="1112"/>
      <c r="M4857" s="1113"/>
      <c r="N4857" s="110"/>
      <c r="O4857" s="1140"/>
      <c r="P4857" s="1115"/>
      <c r="Q4857" s="1116"/>
      <c r="R4857" s="1141"/>
      <c r="S4857" s="1113"/>
      <c r="T4857" s="1143"/>
      <c r="U4857" s="1108"/>
      <c r="V4857" s="1108"/>
      <c r="W4857" s="1108"/>
      <c r="X4857" s="1108"/>
      <c r="Y4857" s="1108"/>
      <c r="Z4857" s="1114"/>
      <c r="AA4857" s="1114"/>
      <c r="AB4857" s="1114"/>
      <c r="AC4857" s="1117"/>
      <c r="AD4857" s="1115"/>
      <c r="AE4857" s="1115"/>
      <c r="AF4857" s="1115"/>
      <c r="AG4857" s="1115"/>
      <c r="AH4857" s="1115"/>
      <c r="AI4857" s="1115"/>
      <c r="AJ4857" s="1117"/>
      <c r="AK4857" s="1118"/>
      <c r="AL4857" s="1115"/>
      <c r="AM4857" s="1115"/>
      <c r="AN4857" s="1115"/>
      <c r="AO4857" s="1115"/>
      <c r="AP4857" s="1115"/>
      <c r="AQ4857" s="1115"/>
      <c r="AR4857" s="1115"/>
      <c r="AS4857" s="1117"/>
      <c r="AT4857" s="1075"/>
      <c r="AU4857" s="1193"/>
      <c r="AV4857" s="330"/>
      <c r="AW4857" s="331"/>
      <c r="AX4857" s="331"/>
      <c r="AY4857" s="331"/>
      <c r="AZ4857" s="331"/>
      <c r="BA4857" s="331"/>
      <c r="BB4857" s="331"/>
      <c r="BC4857" s="331"/>
      <c r="BD4857" s="331"/>
      <c r="BE4857" s="333"/>
      <c r="BF4857" s="330"/>
      <c r="BG4857" s="333"/>
      <c r="BH4857" s="1119"/>
      <c r="BI4857" s="319"/>
      <c r="BJ4857" s="319"/>
      <c r="BK4857" s="319"/>
      <c r="BL4857" s="319"/>
      <c r="BM4857" s="319"/>
      <c r="BN4857" s="319"/>
      <c r="BO4857" s="319"/>
      <c r="BP4857" s="953"/>
      <c r="BQ4857" s="319"/>
      <c r="BR4857" s="319"/>
      <c r="BS4857" s="330"/>
      <c r="BT4857" s="331"/>
      <c r="BU4857" s="920"/>
      <c r="BV4857" s="903"/>
      <c r="BW4857" s="908"/>
      <c r="BX4857" s="908"/>
      <c r="BY4857" s="331"/>
      <c r="BZ4857" s="331"/>
      <c r="CA4857" s="462"/>
      <c r="CB4857" s="319"/>
      <c r="CC4857" s="319"/>
      <c r="CD4857" s="319"/>
      <c r="CE4857" s="319"/>
      <c r="CF4857" s="319"/>
      <c r="CG4857" s="319"/>
      <c r="CH4857" s="318"/>
      <c r="CI4857" s="319"/>
      <c r="CJ4857" s="319"/>
      <c r="CK4857" s="342"/>
      <c r="CL4857" s="333"/>
      <c r="CM4857" s="1079"/>
      <c r="CN4857" s="1005"/>
      <c r="CO4857" s="1005"/>
      <c r="CP4857" s="1005"/>
    </row>
    <row r="4858">
      <c r="A4858" s="1257"/>
      <c r="B4858" s="1113"/>
      <c r="C4858" s="1107"/>
      <c r="D4858" s="103"/>
      <c r="E4858" s="1137"/>
      <c r="F4858" s="112"/>
      <c r="G4858" s="1110"/>
      <c r="H4858" s="1138"/>
      <c r="I4858" s="1138"/>
      <c r="J4858" s="1139"/>
      <c r="K4858" s="1111"/>
      <c r="L4858" s="1112"/>
      <c r="M4858" s="1113"/>
      <c r="N4858" s="110"/>
      <c r="O4858" s="1140"/>
      <c r="P4858" s="1115"/>
      <c r="Q4858" s="1116"/>
      <c r="R4858" s="1141"/>
      <c r="S4858" s="1113"/>
      <c r="T4858" s="1143"/>
      <c r="U4858" s="1108"/>
      <c r="V4858" s="1108"/>
      <c r="W4858" s="1108"/>
      <c r="X4858" s="1108"/>
      <c r="Y4858" s="1108"/>
      <c r="Z4858" s="1114"/>
      <c r="AA4858" s="1114"/>
      <c r="AB4858" s="1114"/>
      <c r="AC4858" s="1117"/>
      <c r="AD4858" s="1115"/>
      <c r="AE4858" s="1115"/>
      <c r="AF4858" s="1115"/>
      <c r="AG4858" s="1115"/>
      <c r="AH4858" s="1115"/>
      <c r="AI4858" s="1115"/>
      <c r="AJ4858" s="1117"/>
      <c r="AK4858" s="1118"/>
      <c r="AL4858" s="1115"/>
      <c r="AM4858" s="1115"/>
      <c r="AN4858" s="1115"/>
      <c r="AO4858" s="1115"/>
      <c r="AP4858" s="1115"/>
      <c r="AQ4858" s="1115"/>
      <c r="AR4858" s="1115"/>
      <c r="AS4858" s="1117"/>
      <c r="AT4858" s="1075"/>
      <c r="AU4858" s="1193"/>
      <c r="AV4858" s="330"/>
      <c r="AW4858" s="331"/>
      <c r="AX4858" s="331"/>
      <c r="AY4858" s="331"/>
      <c r="AZ4858" s="331"/>
      <c r="BA4858" s="331"/>
      <c r="BB4858" s="331"/>
      <c r="BC4858" s="331"/>
      <c r="BD4858" s="331"/>
      <c r="BE4858" s="333"/>
      <c r="BF4858" s="330"/>
      <c r="BG4858" s="333"/>
      <c r="BH4858" s="1119"/>
      <c r="BI4858" s="319"/>
      <c r="BJ4858" s="319"/>
      <c r="BK4858" s="319"/>
      <c r="BL4858" s="319"/>
      <c r="BM4858" s="319"/>
      <c r="BN4858" s="319"/>
      <c r="BO4858" s="319"/>
      <c r="BP4858" s="953"/>
      <c r="BQ4858" s="319"/>
      <c r="BR4858" s="319"/>
      <c r="BS4858" s="330"/>
      <c r="BT4858" s="331"/>
      <c r="BU4858" s="920"/>
      <c r="BV4858" s="903"/>
      <c r="BW4858" s="908"/>
      <c r="BX4858" s="908"/>
      <c r="BY4858" s="331"/>
      <c r="BZ4858" s="331"/>
      <c r="CA4858" s="462"/>
      <c r="CB4858" s="319"/>
      <c r="CC4858" s="319"/>
      <c r="CD4858" s="319"/>
      <c r="CE4858" s="319"/>
      <c r="CF4858" s="319"/>
      <c r="CG4858" s="319"/>
      <c r="CH4858" s="318"/>
      <c r="CI4858" s="319"/>
      <c r="CJ4858" s="319"/>
      <c r="CK4858" s="342"/>
      <c r="CL4858" s="333"/>
      <c r="CM4858" s="1079"/>
      <c r="CN4858" s="1005"/>
      <c r="CO4858" s="1005"/>
      <c r="CP4858" s="1005"/>
    </row>
    <row r="4859">
      <c r="A4859" s="1257"/>
      <c r="B4859" s="1113"/>
      <c r="C4859" s="1107"/>
      <c r="D4859" s="103"/>
      <c r="E4859" s="1137"/>
      <c r="F4859" s="112"/>
      <c r="G4859" s="1110"/>
      <c r="H4859" s="1138"/>
      <c r="I4859" s="1138"/>
      <c r="J4859" s="1139"/>
      <c r="K4859" s="1111"/>
      <c r="L4859" s="1112"/>
      <c r="M4859" s="1113"/>
      <c r="N4859" s="110"/>
      <c r="O4859" s="1140"/>
      <c r="P4859" s="1115"/>
      <c r="Q4859" s="1116"/>
      <c r="R4859" s="1141"/>
      <c r="S4859" s="1113"/>
      <c r="T4859" s="1143"/>
      <c r="U4859" s="1108"/>
      <c r="V4859" s="1108"/>
      <c r="W4859" s="1108"/>
      <c r="X4859" s="1108"/>
      <c r="Y4859" s="1108"/>
      <c r="Z4859" s="1114"/>
      <c r="AA4859" s="1114"/>
      <c r="AB4859" s="1114"/>
      <c r="AC4859" s="1117"/>
      <c r="AD4859" s="1115"/>
      <c r="AE4859" s="1115"/>
      <c r="AF4859" s="1115"/>
      <c r="AG4859" s="1115"/>
      <c r="AH4859" s="1115"/>
      <c r="AI4859" s="1115"/>
      <c r="AJ4859" s="1117"/>
      <c r="AK4859" s="1118"/>
      <c r="AL4859" s="1115"/>
      <c r="AM4859" s="1115"/>
      <c r="AN4859" s="1115"/>
      <c r="AO4859" s="1115"/>
      <c r="AP4859" s="1115"/>
      <c r="AQ4859" s="1115"/>
      <c r="AR4859" s="1115"/>
      <c r="AS4859" s="1117"/>
      <c r="AT4859" s="1075"/>
      <c r="AU4859" s="1193"/>
      <c r="AV4859" s="330"/>
      <c r="AW4859" s="331"/>
      <c r="AX4859" s="331"/>
      <c r="AY4859" s="331"/>
      <c r="AZ4859" s="331"/>
      <c r="BA4859" s="331"/>
      <c r="BB4859" s="331"/>
      <c r="BC4859" s="331"/>
      <c r="BD4859" s="331"/>
      <c r="BE4859" s="333"/>
      <c r="BF4859" s="330"/>
      <c r="BG4859" s="333"/>
      <c r="BH4859" s="1119"/>
      <c r="BI4859" s="319"/>
      <c r="BJ4859" s="319"/>
      <c r="BK4859" s="319"/>
      <c r="BL4859" s="319"/>
      <c r="BM4859" s="319"/>
      <c r="BN4859" s="319"/>
      <c r="BO4859" s="319"/>
      <c r="BP4859" s="953"/>
      <c r="BQ4859" s="319"/>
      <c r="BR4859" s="319"/>
      <c r="BS4859" s="330"/>
      <c r="BT4859" s="331"/>
      <c r="BU4859" s="920"/>
      <c r="BV4859" s="903"/>
      <c r="BW4859" s="908"/>
      <c r="BX4859" s="908"/>
      <c r="BY4859" s="331"/>
      <c r="BZ4859" s="331"/>
      <c r="CA4859" s="462"/>
      <c r="CB4859" s="319"/>
      <c r="CC4859" s="319"/>
      <c r="CD4859" s="319"/>
      <c r="CE4859" s="319"/>
      <c r="CF4859" s="319"/>
      <c r="CG4859" s="319"/>
      <c r="CH4859" s="318"/>
      <c r="CI4859" s="319"/>
      <c r="CJ4859" s="319"/>
      <c r="CK4859" s="342"/>
      <c r="CL4859" s="333"/>
      <c r="CM4859" s="1079"/>
      <c r="CN4859" s="1005"/>
      <c r="CO4859" s="1005"/>
      <c r="CP4859" s="1005"/>
    </row>
    <row r="4860">
      <c r="A4860" s="1257"/>
      <c r="B4860" s="1113"/>
      <c r="C4860" s="1107"/>
      <c r="D4860" s="103"/>
      <c r="E4860" s="1137"/>
      <c r="F4860" s="112"/>
      <c r="G4860" s="1110"/>
      <c r="H4860" s="1138"/>
      <c r="I4860" s="1138"/>
      <c r="J4860" s="1139"/>
      <c r="K4860" s="1111"/>
      <c r="L4860" s="1112"/>
      <c r="M4860" s="1113"/>
      <c r="N4860" s="110"/>
      <c r="O4860" s="1140"/>
      <c r="P4860" s="1115"/>
      <c r="Q4860" s="1116"/>
      <c r="R4860" s="1141"/>
      <c r="S4860" s="1113"/>
      <c r="T4860" s="1143"/>
      <c r="U4860" s="1108"/>
      <c r="V4860" s="1108"/>
      <c r="W4860" s="1108"/>
      <c r="X4860" s="1108"/>
      <c r="Y4860" s="1108"/>
      <c r="Z4860" s="1114"/>
      <c r="AA4860" s="1114"/>
      <c r="AB4860" s="1114"/>
      <c r="AC4860" s="1117"/>
      <c r="AD4860" s="1115"/>
      <c r="AE4860" s="1115"/>
      <c r="AF4860" s="1115"/>
      <c r="AG4860" s="1115"/>
      <c r="AH4860" s="1115"/>
      <c r="AI4860" s="1115"/>
      <c r="AJ4860" s="1117"/>
      <c r="AK4860" s="1118"/>
      <c r="AL4860" s="1115"/>
      <c r="AM4860" s="1115"/>
      <c r="AN4860" s="1115"/>
      <c r="AO4860" s="1115"/>
      <c r="AP4860" s="1115"/>
      <c r="AQ4860" s="1115"/>
      <c r="AR4860" s="1115"/>
      <c r="AS4860" s="1117"/>
      <c r="AT4860" s="1075"/>
      <c r="AU4860" s="1193"/>
      <c r="AV4860" s="330"/>
      <c r="AW4860" s="331"/>
      <c r="AX4860" s="331"/>
      <c r="AY4860" s="331"/>
      <c r="AZ4860" s="331"/>
      <c r="BA4860" s="331"/>
      <c r="BB4860" s="331"/>
      <c r="BC4860" s="331"/>
      <c r="BD4860" s="331"/>
      <c r="BE4860" s="333"/>
      <c r="BF4860" s="330"/>
      <c r="BG4860" s="333"/>
      <c r="BH4860" s="1119"/>
      <c r="BI4860" s="319"/>
      <c r="BJ4860" s="319"/>
      <c r="BK4860" s="319"/>
      <c r="BL4860" s="319"/>
      <c r="BM4860" s="319"/>
      <c r="BN4860" s="319"/>
      <c r="BO4860" s="319"/>
      <c r="BP4860" s="953"/>
      <c r="BQ4860" s="319"/>
      <c r="BR4860" s="319"/>
      <c r="BS4860" s="330"/>
      <c r="BT4860" s="331"/>
      <c r="BU4860" s="920"/>
      <c r="BV4860" s="903"/>
      <c r="BW4860" s="908"/>
      <c r="BX4860" s="908"/>
      <c r="BY4860" s="331"/>
      <c r="BZ4860" s="331"/>
      <c r="CA4860" s="462"/>
      <c r="CB4860" s="319"/>
      <c r="CC4860" s="319"/>
      <c r="CD4860" s="319"/>
      <c r="CE4860" s="319"/>
      <c r="CF4860" s="319"/>
      <c r="CG4860" s="319"/>
      <c r="CH4860" s="318"/>
      <c r="CI4860" s="319"/>
      <c r="CJ4860" s="319"/>
      <c r="CK4860" s="342"/>
      <c r="CL4860" s="333"/>
      <c r="CM4860" s="1079"/>
      <c r="CN4860" s="1005"/>
      <c r="CO4860" s="1005"/>
      <c r="CP4860" s="1005"/>
    </row>
    <row r="4861">
      <c r="A4861" s="1257"/>
      <c r="B4861" s="1113"/>
      <c r="C4861" s="1107"/>
      <c r="D4861" s="103"/>
      <c r="E4861" s="1137"/>
      <c r="F4861" s="112"/>
      <c r="G4861" s="1110"/>
      <c r="H4861" s="1138"/>
      <c r="I4861" s="1138"/>
      <c r="J4861" s="1139"/>
      <c r="K4861" s="1111"/>
      <c r="L4861" s="1112"/>
      <c r="M4861" s="1113"/>
      <c r="N4861" s="110"/>
      <c r="O4861" s="1140"/>
      <c r="P4861" s="1115"/>
      <c r="Q4861" s="1116"/>
      <c r="R4861" s="1141"/>
      <c r="S4861" s="1113"/>
      <c r="T4861" s="1143"/>
      <c r="U4861" s="1108"/>
      <c r="V4861" s="1108"/>
      <c r="W4861" s="1108"/>
      <c r="X4861" s="1108"/>
      <c r="Y4861" s="1108"/>
      <c r="Z4861" s="1114"/>
      <c r="AA4861" s="1114"/>
      <c r="AB4861" s="1114"/>
      <c r="AC4861" s="1117"/>
      <c r="AD4861" s="1115"/>
      <c r="AE4861" s="1115"/>
      <c r="AF4861" s="1115"/>
      <c r="AG4861" s="1115"/>
      <c r="AH4861" s="1115"/>
      <c r="AI4861" s="1115"/>
      <c r="AJ4861" s="1117"/>
      <c r="AK4861" s="1118"/>
      <c r="AL4861" s="1115"/>
      <c r="AM4861" s="1115"/>
      <c r="AN4861" s="1115"/>
      <c r="AO4861" s="1115"/>
      <c r="AP4861" s="1115"/>
      <c r="AQ4861" s="1115"/>
      <c r="AR4861" s="1115"/>
      <c r="AS4861" s="1117"/>
      <c r="AT4861" s="1075"/>
      <c r="AU4861" s="1193"/>
      <c r="AV4861" s="330"/>
      <c r="AW4861" s="331"/>
      <c r="AX4861" s="331"/>
      <c r="AY4861" s="331"/>
      <c r="AZ4861" s="331"/>
      <c r="BA4861" s="331"/>
      <c r="BB4861" s="331"/>
      <c r="BC4861" s="331"/>
      <c r="BD4861" s="331"/>
      <c r="BE4861" s="333"/>
      <c r="BF4861" s="330"/>
      <c r="BG4861" s="333"/>
      <c r="BH4861" s="1119"/>
      <c r="BI4861" s="319"/>
      <c r="BJ4861" s="319"/>
      <c r="BK4861" s="319"/>
      <c r="BL4861" s="319"/>
      <c r="BM4861" s="319"/>
      <c r="BN4861" s="319"/>
      <c r="BO4861" s="319"/>
      <c r="BP4861" s="953"/>
      <c r="BQ4861" s="319"/>
      <c r="BR4861" s="319"/>
      <c r="BS4861" s="330"/>
      <c r="BT4861" s="331"/>
      <c r="BU4861" s="920"/>
      <c r="BV4861" s="903"/>
      <c r="BW4861" s="908"/>
      <c r="BX4861" s="908"/>
      <c r="BY4861" s="331"/>
      <c r="BZ4861" s="331"/>
      <c r="CA4861" s="462"/>
      <c r="CB4861" s="319"/>
      <c r="CC4861" s="319"/>
      <c r="CD4861" s="319"/>
      <c r="CE4861" s="319"/>
      <c r="CF4861" s="319"/>
      <c r="CG4861" s="319"/>
      <c r="CH4861" s="318"/>
      <c r="CI4861" s="319"/>
      <c r="CJ4861" s="319"/>
      <c r="CK4861" s="342"/>
      <c r="CL4861" s="333"/>
      <c r="CM4861" s="1079"/>
      <c r="CN4861" s="1005"/>
      <c r="CO4861" s="1005"/>
      <c r="CP4861" s="1005"/>
    </row>
    <row r="4862">
      <c r="A4862" s="1257"/>
      <c r="B4862" s="1113"/>
      <c r="C4862" s="1107"/>
      <c r="D4862" s="103"/>
      <c r="E4862" s="1137"/>
      <c r="F4862" s="112"/>
      <c r="G4862" s="1110"/>
      <c r="H4862" s="1138"/>
      <c r="I4862" s="1138"/>
      <c r="J4862" s="1139"/>
      <c r="K4862" s="1111"/>
      <c r="L4862" s="1112"/>
      <c r="M4862" s="1113"/>
      <c r="N4862" s="110"/>
      <c r="O4862" s="1140"/>
      <c r="P4862" s="1115"/>
      <c r="Q4862" s="1116"/>
      <c r="R4862" s="1141"/>
      <c r="S4862" s="1113"/>
      <c r="T4862" s="1143"/>
      <c r="U4862" s="1108"/>
      <c r="V4862" s="1108"/>
      <c r="W4862" s="1108"/>
      <c r="X4862" s="1108"/>
      <c r="Y4862" s="1108"/>
      <c r="Z4862" s="1114"/>
      <c r="AA4862" s="1114"/>
      <c r="AB4862" s="1114"/>
      <c r="AC4862" s="1117"/>
      <c r="AD4862" s="1115"/>
      <c r="AE4862" s="1115"/>
      <c r="AF4862" s="1115"/>
      <c r="AG4862" s="1115"/>
      <c r="AH4862" s="1115"/>
      <c r="AI4862" s="1115"/>
      <c r="AJ4862" s="1117"/>
      <c r="AK4862" s="1118"/>
      <c r="AL4862" s="1115"/>
      <c r="AM4862" s="1115"/>
      <c r="AN4862" s="1115"/>
      <c r="AO4862" s="1115"/>
      <c r="AP4862" s="1115"/>
      <c r="AQ4862" s="1115"/>
      <c r="AR4862" s="1115"/>
      <c r="AS4862" s="1117"/>
      <c r="AT4862" s="1075"/>
      <c r="AU4862" s="1193"/>
      <c r="AV4862" s="330"/>
      <c r="AW4862" s="331"/>
      <c r="AX4862" s="331"/>
      <c r="AY4862" s="331"/>
      <c r="AZ4862" s="331"/>
      <c r="BA4862" s="331"/>
      <c r="BB4862" s="331"/>
      <c r="BC4862" s="331"/>
      <c r="BD4862" s="331"/>
      <c r="BE4862" s="333"/>
      <c r="BF4862" s="330"/>
      <c r="BG4862" s="333"/>
      <c r="BH4862" s="1119"/>
      <c r="BI4862" s="319"/>
      <c r="BJ4862" s="319"/>
      <c r="BK4862" s="319"/>
      <c r="BL4862" s="319"/>
      <c r="BM4862" s="319"/>
      <c r="BN4862" s="319"/>
      <c r="BO4862" s="319"/>
      <c r="BP4862" s="953"/>
      <c r="BQ4862" s="319"/>
      <c r="BR4862" s="319"/>
      <c r="BS4862" s="330"/>
      <c r="BT4862" s="331"/>
      <c r="BU4862" s="920"/>
      <c r="BV4862" s="903"/>
      <c r="BW4862" s="908"/>
      <c r="BX4862" s="908"/>
      <c r="BY4862" s="331"/>
      <c r="BZ4862" s="331"/>
      <c r="CA4862" s="462"/>
      <c r="CB4862" s="319"/>
      <c r="CC4862" s="319"/>
      <c r="CD4862" s="319"/>
      <c r="CE4862" s="319"/>
      <c r="CF4862" s="319"/>
      <c r="CG4862" s="319"/>
      <c r="CH4862" s="318"/>
      <c r="CI4862" s="319"/>
      <c r="CJ4862" s="319"/>
      <c r="CK4862" s="342"/>
      <c r="CL4862" s="333"/>
      <c r="CM4862" s="1079"/>
      <c r="CN4862" s="1005"/>
      <c r="CO4862" s="1005"/>
      <c r="CP4862" s="1005"/>
    </row>
    <row r="4863">
      <c r="A4863" s="1257"/>
      <c r="B4863" s="1113"/>
      <c r="C4863" s="1107"/>
      <c r="D4863" s="103"/>
      <c r="E4863" s="1137"/>
      <c r="F4863" s="112"/>
      <c r="G4863" s="1110"/>
      <c r="H4863" s="1138"/>
      <c r="I4863" s="1138"/>
      <c r="J4863" s="1139"/>
      <c r="K4863" s="1111"/>
      <c r="L4863" s="1112"/>
      <c r="M4863" s="1113"/>
      <c r="N4863" s="110"/>
      <c r="O4863" s="1140"/>
      <c r="P4863" s="1115"/>
      <c r="Q4863" s="1116"/>
      <c r="R4863" s="1141"/>
      <c r="S4863" s="1113"/>
      <c r="T4863" s="1143"/>
      <c r="U4863" s="1108"/>
      <c r="V4863" s="1108"/>
      <c r="W4863" s="1108"/>
      <c r="X4863" s="1108"/>
      <c r="Y4863" s="1108"/>
      <c r="Z4863" s="1114"/>
      <c r="AA4863" s="1114"/>
      <c r="AB4863" s="1114"/>
      <c r="AC4863" s="1117"/>
      <c r="AD4863" s="1115"/>
      <c r="AE4863" s="1115"/>
      <c r="AF4863" s="1115"/>
      <c r="AG4863" s="1115"/>
      <c r="AH4863" s="1115"/>
      <c r="AI4863" s="1115"/>
      <c r="AJ4863" s="1117"/>
      <c r="AK4863" s="1118"/>
      <c r="AL4863" s="1115"/>
      <c r="AM4863" s="1115"/>
      <c r="AN4863" s="1115"/>
      <c r="AO4863" s="1115"/>
      <c r="AP4863" s="1115"/>
      <c r="AQ4863" s="1115"/>
      <c r="AR4863" s="1115"/>
      <c r="AS4863" s="1117"/>
      <c r="AT4863" s="1075"/>
      <c r="AU4863" s="1193"/>
      <c r="AV4863" s="330"/>
      <c r="AW4863" s="331"/>
      <c r="AX4863" s="331"/>
      <c r="AY4863" s="331"/>
      <c r="AZ4863" s="331"/>
      <c r="BA4863" s="331"/>
      <c r="BB4863" s="331"/>
      <c r="BC4863" s="331"/>
      <c r="BD4863" s="331"/>
      <c r="BE4863" s="333"/>
      <c r="BF4863" s="330"/>
      <c r="BG4863" s="333"/>
      <c r="BH4863" s="1119"/>
      <c r="BI4863" s="319"/>
      <c r="BJ4863" s="319"/>
      <c r="BK4863" s="319"/>
      <c r="BL4863" s="319"/>
      <c r="BM4863" s="319"/>
      <c r="BN4863" s="319"/>
      <c r="BO4863" s="319"/>
      <c r="BP4863" s="953"/>
      <c r="BQ4863" s="319"/>
      <c r="BR4863" s="319"/>
      <c r="BS4863" s="330"/>
      <c r="BT4863" s="331"/>
      <c r="BU4863" s="920"/>
      <c r="BV4863" s="903"/>
      <c r="BW4863" s="908"/>
      <c r="BX4863" s="908"/>
      <c r="BY4863" s="331"/>
      <c r="BZ4863" s="331"/>
      <c r="CA4863" s="462"/>
      <c r="CB4863" s="319"/>
      <c r="CC4863" s="319"/>
      <c r="CD4863" s="319"/>
      <c r="CE4863" s="319"/>
      <c r="CF4863" s="319"/>
      <c r="CG4863" s="319"/>
      <c r="CH4863" s="318"/>
      <c r="CI4863" s="319"/>
      <c r="CJ4863" s="319"/>
      <c r="CK4863" s="342"/>
      <c r="CL4863" s="333"/>
      <c r="CM4863" s="1079"/>
      <c r="CN4863" s="1005"/>
      <c r="CO4863" s="1005"/>
      <c r="CP4863" s="1005"/>
    </row>
    <row r="4864">
      <c r="A4864" s="1257"/>
      <c r="B4864" s="1113"/>
      <c r="C4864" s="1107"/>
      <c r="D4864" s="103"/>
      <c r="E4864" s="1137"/>
      <c r="F4864" s="112"/>
      <c r="G4864" s="1110"/>
      <c r="H4864" s="1138"/>
      <c r="I4864" s="1138"/>
      <c r="J4864" s="1139"/>
      <c r="K4864" s="1111"/>
      <c r="L4864" s="1112"/>
      <c r="M4864" s="1113"/>
      <c r="N4864" s="110"/>
      <c r="O4864" s="1140"/>
      <c r="P4864" s="1115"/>
      <c r="Q4864" s="1116"/>
      <c r="R4864" s="1141"/>
      <c r="S4864" s="1113"/>
      <c r="T4864" s="1143"/>
      <c r="U4864" s="1108"/>
      <c r="V4864" s="1108"/>
      <c r="W4864" s="1108"/>
      <c r="X4864" s="1108"/>
      <c r="Y4864" s="1108"/>
      <c r="Z4864" s="1114"/>
      <c r="AA4864" s="1114"/>
      <c r="AB4864" s="1114"/>
      <c r="AC4864" s="1117"/>
      <c r="AD4864" s="1115"/>
      <c r="AE4864" s="1115"/>
      <c r="AF4864" s="1115"/>
      <c r="AG4864" s="1115"/>
      <c r="AH4864" s="1115"/>
      <c r="AI4864" s="1115"/>
      <c r="AJ4864" s="1117"/>
      <c r="AK4864" s="1118"/>
      <c r="AL4864" s="1115"/>
      <c r="AM4864" s="1115"/>
      <c r="AN4864" s="1115"/>
      <c r="AO4864" s="1115"/>
      <c r="AP4864" s="1115"/>
      <c r="AQ4864" s="1115"/>
      <c r="AR4864" s="1115"/>
      <c r="AS4864" s="1117"/>
      <c r="AT4864" s="1075"/>
      <c r="AU4864" s="1193"/>
      <c r="AV4864" s="330"/>
      <c r="AW4864" s="331"/>
      <c r="AX4864" s="331"/>
      <c r="AY4864" s="331"/>
      <c r="AZ4864" s="331"/>
      <c r="BA4864" s="331"/>
      <c r="BB4864" s="331"/>
      <c r="BC4864" s="331"/>
      <c r="BD4864" s="331"/>
      <c r="BE4864" s="333"/>
      <c r="BF4864" s="330"/>
      <c r="BG4864" s="333"/>
      <c r="BH4864" s="1119"/>
      <c r="BI4864" s="319"/>
      <c r="BJ4864" s="319"/>
      <c r="BK4864" s="319"/>
      <c r="BL4864" s="319"/>
      <c r="BM4864" s="319"/>
      <c r="BN4864" s="319"/>
      <c r="BO4864" s="319"/>
      <c r="BP4864" s="953"/>
      <c r="BQ4864" s="319"/>
      <c r="BR4864" s="319"/>
      <c r="BS4864" s="330"/>
      <c r="BT4864" s="331"/>
      <c r="BU4864" s="920"/>
      <c r="BV4864" s="903"/>
      <c r="BW4864" s="908"/>
      <c r="BX4864" s="908"/>
      <c r="BY4864" s="331"/>
      <c r="BZ4864" s="331"/>
      <c r="CA4864" s="462"/>
      <c r="CB4864" s="319"/>
      <c r="CC4864" s="319"/>
      <c r="CD4864" s="319"/>
      <c r="CE4864" s="319"/>
      <c r="CF4864" s="319"/>
      <c r="CG4864" s="319"/>
      <c r="CH4864" s="318"/>
      <c r="CI4864" s="319"/>
      <c r="CJ4864" s="319"/>
      <c r="CK4864" s="342"/>
      <c r="CL4864" s="333"/>
      <c r="CM4864" s="1079"/>
      <c r="CN4864" s="1005"/>
      <c r="CO4864" s="1005"/>
      <c r="CP4864" s="1005"/>
    </row>
    <row r="4865">
      <c r="A4865" s="1257"/>
      <c r="B4865" s="1113"/>
      <c r="C4865" s="1107"/>
      <c r="D4865" s="103"/>
      <c r="E4865" s="1137"/>
      <c r="F4865" s="112"/>
      <c r="G4865" s="1110"/>
      <c r="H4865" s="1138"/>
      <c r="I4865" s="1138"/>
      <c r="J4865" s="1139"/>
      <c r="K4865" s="1111"/>
      <c r="L4865" s="1112"/>
      <c r="M4865" s="1113"/>
      <c r="N4865" s="110"/>
      <c r="O4865" s="1140"/>
      <c r="P4865" s="1115"/>
      <c r="Q4865" s="1116"/>
      <c r="R4865" s="1141"/>
      <c r="S4865" s="1113"/>
      <c r="T4865" s="1143"/>
      <c r="U4865" s="1108"/>
      <c r="V4865" s="1108"/>
      <c r="W4865" s="1108"/>
      <c r="X4865" s="1108"/>
      <c r="Y4865" s="1108"/>
      <c r="Z4865" s="1114"/>
      <c r="AA4865" s="1114"/>
      <c r="AB4865" s="1114"/>
      <c r="AC4865" s="1117"/>
      <c r="AD4865" s="1115"/>
      <c r="AE4865" s="1115"/>
      <c r="AF4865" s="1115"/>
      <c r="AG4865" s="1115"/>
      <c r="AH4865" s="1115"/>
      <c r="AI4865" s="1115"/>
      <c r="AJ4865" s="1117"/>
      <c r="AK4865" s="1118"/>
      <c r="AL4865" s="1115"/>
      <c r="AM4865" s="1115"/>
      <c r="AN4865" s="1115"/>
      <c r="AO4865" s="1115"/>
      <c r="AP4865" s="1115"/>
      <c r="AQ4865" s="1115"/>
      <c r="AR4865" s="1115"/>
      <c r="AS4865" s="1117"/>
      <c r="AT4865" s="1075"/>
      <c r="AU4865" s="1193"/>
      <c r="AV4865" s="330"/>
      <c r="AW4865" s="331"/>
      <c r="AX4865" s="331"/>
      <c r="AY4865" s="331"/>
      <c r="AZ4865" s="331"/>
      <c r="BA4865" s="331"/>
      <c r="BB4865" s="331"/>
      <c r="BC4865" s="331"/>
      <c r="BD4865" s="331"/>
      <c r="BE4865" s="333"/>
      <c r="BF4865" s="330"/>
      <c r="BG4865" s="333"/>
      <c r="BH4865" s="1119"/>
      <c r="BI4865" s="319"/>
      <c r="BJ4865" s="319"/>
      <c r="BK4865" s="319"/>
      <c r="BL4865" s="319"/>
      <c r="BM4865" s="319"/>
      <c r="BN4865" s="319"/>
      <c r="BO4865" s="319"/>
      <c r="BP4865" s="953"/>
      <c r="BQ4865" s="319"/>
      <c r="BR4865" s="319"/>
      <c r="BS4865" s="330"/>
      <c r="BT4865" s="331"/>
      <c r="BU4865" s="920"/>
      <c r="BV4865" s="903"/>
      <c r="BW4865" s="908"/>
      <c r="BX4865" s="908"/>
      <c r="BY4865" s="331"/>
      <c r="BZ4865" s="331"/>
      <c r="CA4865" s="462"/>
      <c r="CB4865" s="319"/>
      <c r="CC4865" s="319"/>
      <c r="CD4865" s="319"/>
      <c r="CE4865" s="319"/>
      <c r="CF4865" s="319"/>
      <c r="CG4865" s="319"/>
      <c r="CH4865" s="318"/>
      <c r="CI4865" s="319"/>
      <c r="CJ4865" s="319"/>
      <c r="CK4865" s="342"/>
      <c r="CL4865" s="333"/>
      <c r="CM4865" s="1079"/>
      <c r="CN4865" s="1005"/>
      <c r="CO4865" s="1005"/>
      <c r="CP4865" s="1005"/>
    </row>
    <row r="4866">
      <c r="A4866" s="1257"/>
      <c r="B4866" s="1113"/>
      <c r="C4866" s="1107"/>
      <c r="D4866" s="103"/>
      <c r="E4866" s="1137"/>
      <c r="F4866" s="112"/>
      <c r="G4866" s="1110"/>
      <c r="H4866" s="1138"/>
      <c r="I4866" s="1138"/>
      <c r="J4866" s="1139"/>
      <c r="K4866" s="1111"/>
      <c r="L4866" s="1112"/>
      <c r="M4866" s="1113"/>
      <c r="N4866" s="110"/>
      <c r="O4866" s="1140"/>
      <c r="P4866" s="1115"/>
      <c r="Q4866" s="1116"/>
      <c r="R4866" s="1141"/>
      <c r="S4866" s="1113"/>
      <c r="T4866" s="1143"/>
      <c r="U4866" s="1108"/>
      <c r="V4866" s="1108"/>
      <c r="W4866" s="1108"/>
      <c r="X4866" s="1108"/>
      <c r="Y4866" s="1108"/>
      <c r="Z4866" s="1114"/>
      <c r="AA4866" s="1114"/>
      <c r="AB4866" s="1114"/>
      <c r="AC4866" s="1117"/>
      <c r="AD4866" s="1115"/>
      <c r="AE4866" s="1115"/>
      <c r="AF4866" s="1115"/>
      <c r="AG4866" s="1115"/>
      <c r="AH4866" s="1115"/>
      <c r="AI4866" s="1115"/>
      <c r="AJ4866" s="1117"/>
      <c r="AK4866" s="1118"/>
      <c r="AL4866" s="1115"/>
      <c r="AM4866" s="1115"/>
      <c r="AN4866" s="1115"/>
      <c r="AO4866" s="1115"/>
      <c r="AP4866" s="1115"/>
      <c r="AQ4866" s="1115"/>
      <c r="AR4866" s="1115"/>
      <c r="AS4866" s="1117"/>
      <c r="AT4866" s="1075"/>
      <c r="AU4866" s="1193"/>
      <c r="AV4866" s="330"/>
      <c r="AW4866" s="331"/>
      <c r="AX4866" s="331"/>
      <c r="AY4866" s="331"/>
      <c r="AZ4866" s="331"/>
      <c r="BA4866" s="331"/>
      <c r="BB4866" s="331"/>
      <c r="BC4866" s="331"/>
      <c r="BD4866" s="331"/>
      <c r="BE4866" s="333"/>
      <c r="BF4866" s="330"/>
      <c r="BG4866" s="333"/>
      <c r="BH4866" s="1119"/>
      <c r="BI4866" s="319"/>
      <c r="BJ4866" s="319"/>
      <c r="BK4866" s="319"/>
      <c r="BL4866" s="319"/>
      <c r="BM4866" s="319"/>
      <c r="BN4866" s="319"/>
      <c r="BO4866" s="319"/>
      <c r="BP4866" s="953"/>
      <c r="BQ4866" s="319"/>
      <c r="BR4866" s="319"/>
      <c r="BS4866" s="330"/>
      <c r="BT4866" s="331"/>
      <c r="BU4866" s="920"/>
      <c r="BV4866" s="903"/>
      <c r="BW4866" s="908"/>
      <c r="BX4866" s="908"/>
      <c r="BY4866" s="331"/>
      <c r="BZ4866" s="331"/>
      <c r="CA4866" s="462"/>
      <c r="CB4866" s="319"/>
      <c r="CC4866" s="319"/>
      <c r="CD4866" s="319"/>
      <c r="CE4866" s="319"/>
      <c r="CF4866" s="319"/>
      <c r="CG4866" s="319"/>
      <c r="CH4866" s="318"/>
      <c r="CI4866" s="319"/>
      <c r="CJ4866" s="319"/>
      <c r="CK4866" s="342"/>
      <c r="CL4866" s="333"/>
      <c r="CM4866" s="1079"/>
      <c r="CN4866" s="1005"/>
      <c r="CO4866" s="1005"/>
      <c r="CP4866" s="1005"/>
    </row>
    <row r="4867">
      <c r="A4867" s="1257"/>
      <c r="B4867" s="1113"/>
      <c r="C4867" s="1107"/>
      <c r="D4867" s="103"/>
      <c r="E4867" s="1137"/>
      <c r="F4867" s="112"/>
      <c r="G4867" s="1110"/>
      <c r="H4867" s="1138"/>
      <c r="I4867" s="1138"/>
      <c r="J4867" s="1139"/>
      <c r="K4867" s="1111"/>
      <c r="L4867" s="1112"/>
      <c r="M4867" s="1113"/>
      <c r="N4867" s="110"/>
      <c r="O4867" s="1140"/>
      <c r="P4867" s="1115"/>
      <c r="Q4867" s="1116"/>
      <c r="R4867" s="1141"/>
      <c r="S4867" s="1113"/>
      <c r="T4867" s="1143"/>
      <c r="U4867" s="1108"/>
      <c r="V4867" s="1108"/>
      <c r="W4867" s="1108"/>
      <c r="X4867" s="1108"/>
      <c r="Y4867" s="1108"/>
      <c r="Z4867" s="1114"/>
      <c r="AA4867" s="1114"/>
      <c r="AB4867" s="1114"/>
      <c r="AC4867" s="1117"/>
      <c r="AD4867" s="1115"/>
      <c r="AE4867" s="1115"/>
      <c r="AF4867" s="1115"/>
      <c r="AG4867" s="1115"/>
      <c r="AH4867" s="1115"/>
      <c r="AI4867" s="1115"/>
      <c r="AJ4867" s="1117"/>
      <c r="AK4867" s="1118"/>
      <c r="AL4867" s="1115"/>
      <c r="AM4867" s="1115"/>
      <c r="AN4867" s="1115"/>
      <c r="AO4867" s="1115"/>
      <c r="AP4867" s="1115"/>
      <c r="AQ4867" s="1115"/>
      <c r="AR4867" s="1115"/>
      <c r="AS4867" s="1117"/>
      <c r="AT4867" s="1075"/>
      <c r="AU4867" s="1193"/>
      <c r="AV4867" s="330"/>
      <c r="AW4867" s="331"/>
      <c r="AX4867" s="331"/>
      <c r="AY4867" s="331"/>
      <c r="AZ4867" s="331"/>
      <c r="BA4867" s="331"/>
      <c r="BB4867" s="331"/>
      <c r="BC4867" s="331"/>
      <c r="BD4867" s="331"/>
      <c r="BE4867" s="333"/>
      <c r="BF4867" s="330"/>
      <c r="BG4867" s="333"/>
      <c r="BH4867" s="1119"/>
      <c r="BI4867" s="319"/>
      <c r="BJ4867" s="319"/>
      <c r="BK4867" s="319"/>
      <c r="BL4867" s="319"/>
      <c r="BM4867" s="319"/>
      <c r="BN4867" s="319"/>
      <c r="BO4867" s="319"/>
      <c r="BP4867" s="953"/>
      <c r="BQ4867" s="319"/>
      <c r="BR4867" s="319"/>
      <c r="BS4867" s="330"/>
      <c r="BT4867" s="331"/>
      <c r="BU4867" s="920"/>
      <c r="BV4867" s="903"/>
      <c r="BW4867" s="908"/>
      <c r="BX4867" s="908"/>
      <c r="BY4867" s="331"/>
      <c r="BZ4867" s="331"/>
      <c r="CA4867" s="462"/>
      <c r="CB4867" s="319"/>
      <c r="CC4867" s="319"/>
      <c r="CD4867" s="319"/>
      <c r="CE4867" s="319"/>
      <c r="CF4867" s="319"/>
      <c r="CG4867" s="319"/>
      <c r="CH4867" s="318"/>
      <c r="CI4867" s="319"/>
      <c r="CJ4867" s="319"/>
      <c r="CK4867" s="342"/>
      <c r="CL4867" s="333"/>
      <c r="CM4867" s="1079"/>
      <c r="CN4867" s="1005"/>
      <c r="CO4867" s="1005"/>
      <c r="CP4867" s="1005"/>
    </row>
    <row r="4868">
      <c r="A4868" s="1257"/>
      <c r="B4868" s="1113"/>
      <c r="C4868" s="1107"/>
      <c r="D4868" s="103"/>
      <c r="E4868" s="1137"/>
      <c r="F4868" s="112"/>
      <c r="G4868" s="1110"/>
      <c r="H4868" s="1138"/>
      <c r="I4868" s="1138"/>
      <c r="J4868" s="1139"/>
      <c r="K4868" s="1111"/>
      <c r="L4868" s="1112"/>
      <c r="M4868" s="1113"/>
      <c r="N4868" s="110"/>
      <c r="O4868" s="1140"/>
      <c r="P4868" s="1115"/>
      <c r="Q4868" s="1116"/>
      <c r="R4868" s="1141"/>
      <c r="S4868" s="1113"/>
      <c r="T4868" s="1143"/>
      <c r="U4868" s="1108"/>
      <c r="V4868" s="1108"/>
      <c r="W4868" s="1108"/>
      <c r="X4868" s="1108"/>
      <c r="Y4868" s="1108"/>
      <c r="Z4868" s="1114"/>
      <c r="AA4868" s="1114"/>
      <c r="AB4868" s="1114"/>
      <c r="AC4868" s="1117"/>
      <c r="AD4868" s="1115"/>
      <c r="AE4868" s="1115"/>
      <c r="AF4868" s="1115"/>
      <c r="AG4868" s="1115"/>
      <c r="AH4868" s="1115"/>
      <c r="AI4868" s="1115"/>
      <c r="AJ4868" s="1117"/>
      <c r="AK4868" s="1118"/>
      <c r="AL4868" s="1115"/>
      <c r="AM4868" s="1115"/>
      <c r="AN4868" s="1115"/>
      <c r="AO4868" s="1115"/>
      <c r="AP4868" s="1115"/>
      <c r="AQ4868" s="1115"/>
      <c r="AR4868" s="1115"/>
      <c r="AS4868" s="1117"/>
      <c r="AT4868" s="1075"/>
      <c r="AU4868" s="1193"/>
      <c r="AV4868" s="330"/>
      <c r="AW4868" s="331"/>
      <c r="AX4868" s="331"/>
      <c r="AY4868" s="331"/>
      <c r="AZ4868" s="331"/>
      <c r="BA4868" s="331"/>
      <c r="BB4868" s="331"/>
      <c r="BC4868" s="331"/>
      <c r="BD4868" s="331"/>
      <c r="BE4868" s="333"/>
      <c r="BF4868" s="330"/>
      <c r="BG4868" s="333"/>
      <c r="BH4868" s="1119"/>
      <c r="BI4868" s="319"/>
      <c r="BJ4868" s="319"/>
      <c r="BK4868" s="319"/>
      <c r="BL4868" s="319"/>
      <c r="BM4868" s="319"/>
      <c r="BN4868" s="319"/>
      <c r="BO4868" s="319"/>
      <c r="BP4868" s="953"/>
      <c r="BQ4868" s="319"/>
      <c r="BR4868" s="319"/>
      <c r="BS4868" s="330"/>
      <c r="BT4868" s="331"/>
      <c r="BU4868" s="920"/>
      <c r="BV4868" s="903"/>
      <c r="BW4868" s="908"/>
      <c r="BX4868" s="908"/>
      <c r="BY4868" s="331"/>
      <c r="BZ4868" s="331"/>
      <c r="CA4868" s="462"/>
      <c r="CB4868" s="319"/>
      <c r="CC4868" s="319"/>
      <c r="CD4868" s="319"/>
      <c r="CE4868" s="319"/>
      <c r="CF4868" s="319"/>
      <c r="CG4868" s="319"/>
      <c r="CH4868" s="318"/>
      <c r="CI4868" s="319"/>
      <c r="CJ4868" s="319"/>
      <c r="CK4868" s="342"/>
      <c r="CL4868" s="333"/>
      <c r="CM4868" s="1079"/>
      <c r="CN4868" s="1005"/>
      <c r="CO4868" s="1005"/>
      <c r="CP4868" s="1005"/>
    </row>
    <row r="4869">
      <c r="A4869" s="1257"/>
      <c r="B4869" s="1113"/>
      <c r="C4869" s="1107"/>
      <c r="D4869" s="103"/>
      <c r="E4869" s="1137"/>
      <c r="F4869" s="112"/>
      <c r="G4869" s="1110"/>
      <c r="H4869" s="1138"/>
      <c r="I4869" s="1138"/>
      <c r="J4869" s="1139"/>
      <c r="K4869" s="1111"/>
      <c r="L4869" s="1112"/>
      <c r="M4869" s="1113"/>
      <c r="N4869" s="110"/>
      <c r="O4869" s="1140"/>
      <c r="P4869" s="1115"/>
      <c r="Q4869" s="1116"/>
      <c r="R4869" s="1141"/>
      <c r="S4869" s="1113"/>
      <c r="T4869" s="1143"/>
      <c r="U4869" s="1108"/>
      <c r="V4869" s="1108"/>
      <c r="W4869" s="1108"/>
      <c r="X4869" s="1108"/>
      <c r="Y4869" s="1108"/>
      <c r="Z4869" s="1114"/>
      <c r="AA4869" s="1114"/>
      <c r="AB4869" s="1114"/>
      <c r="AC4869" s="1117"/>
      <c r="AD4869" s="1115"/>
      <c r="AE4869" s="1115"/>
      <c r="AF4869" s="1115"/>
      <c r="AG4869" s="1115"/>
      <c r="AH4869" s="1115"/>
      <c r="AI4869" s="1115"/>
      <c r="AJ4869" s="1117"/>
      <c r="AK4869" s="1118"/>
      <c r="AL4869" s="1115"/>
      <c r="AM4869" s="1115"/>
      <c r="AN4869" s="1115"/>
      <c r="AO4869" s="1115"/>
      <c r="AP4869" s="1115"/>
      <c r="AQ4869" s="1115"/>
      <c r="AR4869" s="1115"/>
      <c r="AS4869" s="1117"/>
      <c r="AT4869" s="1075"/>
      <c r="AU4869" s="1193"/>
      <c r="AV4869" s="330"/>
      <c r="AW4869" s="331"/>
      <c r="AX4869" s="331"/>
      <c r="AY4869" s="331"/>
      <c r="AZ4869" s="331"/>
      <c r="BA4869" s="331"/>
      <c r="BB4869" s="331"/>
      <c r="BC4869" s="331"/>
      <c r="BD4869" s="331"/>
      <c r="BE4869" s="333"/>
      <c r="BF4869" s="330"/>
      <c r="BG4869" s="333"/>
      <c r="BH4869" s="1119"/>
      <c r="BI4869" s="319"/>
      <c r="BJ4869" s="319"/>
      <c r="BK4869" s="319"/>
      <c r="BL4869" s="319"/>
      <c r="BM4869" s="319"/>
      <c r="BN4869" s="319"/>
      <c r="BO4869" s="319"/>
      <c r="BP4869" s="953"/>
      <c r="BQ4869" s="319"/>
      <c r="BR4869" s="319"/>
      <c r="BS4869" s="330"/>
      <c r="BT4869" s="331"/>
      <c r="BU4869" s="920"/>
      <c r="BV4869" s="903"/>
      <c r="BW4869" s="908"/>
      <c r="BX4869" s="908"/>
      <c r="BY4869" s="331"/>
      <c r="BZ4869" s="331"/>
      <c r="CA4869" s="462"/>
      <c r="CB4869" s="319"/>
      <c r="CC4869" s="319"/>
      <c r="CD4869" s="319"/>
      <c r="CE4869" s="319"/>
      <c r="CF4869" s="319"/>
      <c r="CG4869" s="319"/>
      <c r="CH4869" s="318"/>
      <c r="CI4869" s="319"/>
      <c r="CJ4869" s="319"/>
      <c r="CK4869" s="342"/>
      <c r="CL4869" s="333"/>
      <c r="CM4869" s="1079"/>
      <c r="CN4869" s="1005"/>
      <c r="CO4869" s="1005"/>
      <c r="CP4869" s="1005"/>
    </row>
    <row r="4870">
      <c r="A4870" s="1257"/>
      <c r="B4870" s="1113"/>
      <c r="C4870" s="1107"/>
      <c r="D4870" s="103"/>
      <c r="E4870" s="1137"/>
      <c r="F4870" s="112"/>
      <c r="G4870" s="1110"/>
      <c r="H4870" s="1138"/>
      <c r="I4870" s="1138"/>
      <c r="J4870" s="1139"/>
      <c r="K4870" s="1111"/>
      <c r="L4870" s="1112"/>
      <c r="M4870" s="1113"/>
      <c r="N4870" s="110"/>
      <c r="O4870" s="1140"/>
      <c r="P4870" s="1115"/>
      <c r="Q4870" s="1116"/>
      <c r="R4870" s="1141"/>
      <c r="S4870" s="1113"/>
      <c r="T4870" s="1143"/>
      <c r="U4870" s="1108"/>
      <c r="V4870" s="1108"/>
      <c r="W4870" s="1108"/>
      <c r="X4870" s="1108"/>
      <c r="Y4870" s="1108"/>
      <c r="Z4870" s="1114"/>
      <c r="AA4870" s="1114"/>
      <c r="AB4870" s="1114"/>
      <c r="AC4870" s="1117"/>
      <c r="AD4870" s="1115"/>
      <c r="AE4870" s="1115"/>
      <c r="AF4870" s="1115"/>
      <c r="AG4870" s="1115"/>
      <c r="AH4870" s="1115"/>
      <c r="AI4870" s="1115"/>
      <c r="AJ4870" s="1117"/>
      <c r="AK4870" s="1118"/>
      <c r="AL4870" s="1115"/>
      <c r="AM4870" s="1115"/>
      <c r="AN4870" s="1115"/>
      <c r="AO4870" s="1115"/>
      <c r="AP4870" s="1115"/>
      <c r="AQ4870" s="1115"/>
      <c r="AR4870" s="1115"/>
      <c r="AS4870" s="1117"/>
      <c r="AT4870" s="1075"/>
      <c r="AU4870" s="1193"/>
      <c r="AV4870" s="330"/>
      <c r="AW4870" s="331"/>
      <c r="AX4870" s="331"/>
      <c r="AY4870" s="331"/>
      <c r="AZ4870" s="331"/>
      <c r="BA4870" s="331"/>
      <c r="BB4870" s="331"/>
      <c r="BC4870" s="331"/>
      <c r="BD4870" s="331"/>
      <c r="BE4870" s="333"/>
      <c r="BF4870" s="330"/>
      <c r="BG4870" s="333"/>
      <c r="BH4870" s="1119"/>
      <c r="BI4870" s="319"/>
      <c r="BJ4870" s="319"/>
      <c r="BK4870" s="319"/>
      <c r="BL4870" s="319"/>
      <c r="BM4870" s="319"/>
      <c r="BN4870" s="319"/>
      <c r="BO4870" s="319"/>
      <c r="BP4870" s="953"/>
      <c r="BQ4870" s="319"/>
      <c r="BR4870" s="319"/>
      <c r="BS4870" s="330"/>
      <c r="BT4870" s="331"/>
      <c r="BU4870" s="920"/>
      <c r="BV4870" s="903"/>
      <c r="BW4870" s="908"/>
      <c r="BX4870" s="908"/>
      <c r="BY4870" s="331"/>
      <c r="BZ4870" s="331"/>
      <c r="CA4870" s="462"/>
      <c r="CB4870" s="319"/>
      <c r="CC4870" s="319"/>
      <c r="CD4870" s="319"/>
      <c r="CE4870" s="319"/>
      <c r="CF4870" s="319"/>
      <c r="CG4870" s="319"/>
      <c r="CH4870" s="318"/>
      <c r="CI4870" s="319"/>
      <c r="CJ4870" s="319"/>
      <c r="CK4870" s="342"/>
      <c r="CL4870" s="333"/>
      <c r="CM4870" s="1079"/>
      <c r="CN4870" s="1005"/>
      <c r="CO4870" s="1005"/>
      <c r="CP4870" s="1005"/>
    </row>
    <row r="4871">
      <c r="A4871" s="1257"/>
      <c r="B4871" s="1113"/>
      <c r="C4871" s="1107"/>
      <c r="D4871" s="103"/>
      <c r="E4871" s="1137"/>
      <c r="F4871" s="112"/>
      <c r="G4871" s="1110"/>
      <c r="H4871" s="1138"/>
      <c r="I4871" s="1138"/>
      <c r="J4871" s="1139"/>
      <c r="K4871" s="1111"/>
      <c r="L4871" s="1112"/>
      <c r="M4871" s="1113"/>
      <c r="N4871" s="110"/>
      <c r="O4871" s="1140"/>
      <c r="P4871" s="1115"/>
      <c r="Q4871" s="1116"/>
      <c r="R4871" s="1141"/>
      <c r="S4871" s="1113"/>
      <c r="T4871" s="1143"/>
      <c r="U4871" s="1108"/>
      <c r="V4871" s="1108"/>
      <c r="W4871" s="1108"/>
      <c r="X4871" s="1108"/>
      <c r="Y4871" s="1108"/>
      <c r="Z4871" s="1114"/>
      <c r="AA4871" s="1114"/>
      <c r="AB4871" s="1114"/>
      <c r="AC4871" s="1117"/>
      <c r="AD4871" s="1115"/>
      <c r="AE4871" s="1115"/>
      <c r="AF4871" s="1115"/>
      <c r="AG4871" s="1115"/>
      <c r="AH4871" s="1115"/>
      <c r="AI4871" s="1115"/>
      <c r="AJ4871" s="1117"/>
      <c r="AK4871" s="1118"/>
      <c r="AL4871" s="1115"/>
      <c r="AM4871" s="1115"/>
      <c r="AN4871" s="1115"/>
      <c r="AO4871" s="1115"/>
      <c r="AP4871" s="1115"/>
      <c r="AQ4871" s="1115"/>
      <c r="AR4871" s="1115"/>
      <c r="AS4871" s="1117"/>
      <c r="AT4871" s="1075"/>
      <c r="AU4871" s="1193"/>
      <c r="AV4871" s="330"/>
      <c r="AW4871" s="331"/>
      <c r="AX4871" s="331"/>
      <c r="AY4871" s="331"/>
      <c r="AZ4871" s="331"/>
      <c r="BA4871" s="331"/>
      <c r="BB4871" s="331"/>
      <c r="BC4871" s="331"/>
      <c r="BD4871" s="331"/>
      <c r="BE4871" s="333"/>
      <c r="BF4871" s="330"/>
      <c r="BG4871" s="333"/>
      <c r="BH4871" s="1119"/>
      <c r="BI4871" s="319"/>
      <c r="BJ4871" s="319"/>
      <c r="BK4871" s="319"/>
      <c r="BL4871" s="319"/>
      <c r="BM4871" s="319"/>
      <c r="BN4871" s="319"/>
      <c r="BO4871" s="319"/>
      <c r="BP4871" s="953"/>
      <c r="BQ4871" s="319"/>
      <c r="BR4871" s="319"/>
      <c r="BS4871" s="330"/>
      <c r="BT4871" s="331"/>
      <c r="BU4871" s="920"/>
      <c r="BV4871" s="903"/>
      <c r="BW4871" s="908"/>
      <c r="BX4871" s="908"/>
      <c r="BY4871" s="331"/>
      <c r="BZ4871" s="331"/>
      <c r="CA4871" s="462"/>
      <c r="CB4871" s="319"/>
      <c r="CC4871" s="319"/>
      <c r="CD4871" s="319"/>
      <c r="CE4871" s="319"/>
      <c r="CF4871" s="319"/>
      <c r="CG4871" s="319"/>
      <c r="CH4871" s="318"/>
      <c r="CI4871" s="319"/>
      <c r="CJ4871" s="319"/>
      <c r="CK4871" s="342"/>
      <c r="CL4871" s="333"/>
      <c r="CM4871" s="1079"/>
      <c r="CN4871" s="1005"/>
      <c r="CO4871" s="1005"/>
      <c r="CP4871" s="1005"/>
    </row>
    <row r="4872">
      <c r="A4872" s="1257"/>
      <c r="B4872" s="1113"/>
      <c r="C4872" s="1107"/>
      <c r="D4872" s="103"/>
      <c r="E4872" s="1137"/>
      <c r="F4872" s="112"/>
      <c r="G4872" s="1110"/>
      <c r="H4872" s="1138"/>
      <c r="I4872" s="1138"/>
      <c r="J4872" s="1139"/>
      <c r="K4872" s="1111"/>
      <c r="L4872" s="1112"/>
      <c r="M4872" s="1113"/>
      <c r="N4872" s="110"/>
      <c r="O4872" s="1140"/>
      <c r="P4872" s="1115"/>
      <c r="Q4872" s="1116"/>
      <c r="R4872" s="1141"/>
      <c r="S4872" s="1113"/>
      <c r="T4872" s="1143"/>
      <c r="U4872" s="1108"/>
      <c r="V4872" s="1108"/>
      <c r="W4872" s="1108"/>
      <c r="X4872" s="1108"/>
      <c r="Y4872" s="1108"/>
      <c r="Z4872" s="1114"/>
      <c r="AA4872" s="1114"/>
      <c r="AB4872" s="1114"/>
      <c r="AC4872" s="1117"/>
      <c r="AD4872" s="1115"/>
      <c r="AE4872" s="1115"/>
      <c r="AF4872" s="1115"/>
      <c r="AG4872" s="1115"/>
      <c r="AH4872" s="1115"/>
      <c r="AI4872" s="1115"/>
      <c r="AJ4872" s="1117"/>
      <c r="AK4872" s="1118"/>
      <c r="AL4872" s="1115"/>
      <c r="AM4872" s="1115"/>
      <c r="AN4872" s="1115"/>
      <c r="AO4872" s="1115"/>
      <c r="AP4872" s="1115"/>
      <c r="AQ4872" s="1115"/>
      <c r="AR4872" s="1115"/>
      <c r="AS4872" s="1117"/>
      <c r="AT4872" s="1075"/>
      <c r="AU4872" s="1193"/>
      <c r="AV4872" s="330"/>
      <c r="AW4872" s="331"/>
      <c r="AX4872" s="331"/>
      <c r="AY4872" s="331"/>
      <c r="AZ4872" s="331"/>
      <c r="BA4872" s="331"/>
      <c r="BB4872" s="331"/>
      <c r="BC4872" s="331"/>
      <c r="BD4872" s="331"/>
      <c r="BE4872" s="333"/>
      <c r="BF4872" s="330"/>
      <c r="BG4872" s="333"/>
      <c r="BH4872" s="1119"/>
      <c r="BI4872" s="319"/>
      <c r="BJ4872" s="319"/>
      <c r="BK4872" s="319"/>
      <c r="BL4872" s="319"/>
      <c r="BM4872" s="319"/>
      <c r="BN4872" s="319"/>
      <c r="BO4872" s="319"/>
      <c r="BP4872" s="953"/>
      <c r="BQ4872" s="319"/>
      <c r="BR4872" s="319"/>
      <c r="BS4872" s="330"/>
      <c r="BT4872" s="331"/>
      <c r="BU4872" s="920"/>
      <c r="BV4872" s="903"/>
      <c r="BW4872" s="908"/>
      <c r="BX4872" s="908"/>
      <c r="BY4872" s="331"/>
      <c r="BZ4872" s="331"/>
      <c r="CA4872" s="462"/>
      <c r="CB4872" s="319"/>
      <c r="CC4872" s="319"/>
      <c r="CD4872" s="319"/>
      <c r="CE4872" s="319"/>
      <c r="CF4872" s="319"/>
      <c r="CG4872" s="319"/>
      <c r="CH4872" s="318"/>
      <c r="CI4872" s="319"/>
      <c r="CJ4872" s="319"/>
      <c r="CK4872" s="342"/>
      <c r="CL4872" s="333"/>
      <c r="CM4872" s="1079"/>
      <c r="CN4872" s="1005"/>
      <c r="CO4872" s="1005"/>
      <c r="CP4872" s="1005"/>
    </row>
    <row r="4873">
      <c r="A4873" s="1257"/>
      <c r="B4873" s="1113"/>
      <c r="C4873" s="1107"/>
      <c r="D4873" s="103"/>
      <c r="E4873" s="1137"/>
      <c r="F4873" s="112"/>
      <c r="G4873" s="1110"/>
      <c r="H4873" s="1138"/>
      <c r="I4873" s="1138"/>
      <c r="J4873" s="1139"/>
      <c r="K4873" s="1111"/>
      <c r="L4873" s="1112"/>
      <c r="M4873" s="1113"/>
      <c r="N4873" s="110"/>
      <c r="O4873" s="1140"/>
      <c r="P4873" s="1115"/>
      <c r="Q4873" s="1116"/>
      <c r="R4873" s="1141"/>
      <c r="S4873" s="1113"/>
      <c r="T4873" s="1143"/>
      <c r="U4873" s="1108"/>
      <c r="V4873" s="1108"/>
      <c r="W4873" s="1108"/>
      <c r="X4873" s="1108"/>
      <c r="Y4873" s="1108"/>
      <c r="Z4873" s="1114"/>
      <c r="AA4873" s="1114"/>
      <c r="AB4873" s="1114"/>
      <c r="AC4873" s="1117"/>
      <c r="AD4873" s="1115"/>
      <c r="AE4873" s="1115"/>
      <c r="AF4873" s="1115"/>
      <c r="AG4873" s="1115"/>
      <c r="AH4873" s="1115"/>
      <c r="AI4873" s="1115"/>
      <c r="AJ4873" s="1117"/>
      <c r="AK4873" s="1118"/>
      <c r="AL4873" s="1115"/>
      <c r="AM4873" s="1115"/>
      <c r="AN4873" s="1115"/>
      <c r="AO4873" s="1115"/>
      <c r="AP4873" s="1115"/>
      <c r="AQ4873" s="1115"/>
      <c r="AR4873" s="1115"/>
      <c r="AS4873" s="1117"/>
      <c r="AT4873" s="1075"/>
      <c r="AU4873" s="1193"/>
      <c r="AV4873" s="330"/>
      <c r="AW4873" s="331"/>
      <c r="AX4873" s="331"/>
      <c r="AY4873" s="331"/>
      <c r="AZ4873" s="331"/>
      <c r="BA4873" s="331"/>
      <c r="BB4873" s="331"/>
      <c r="BC4873" s="331"/>
      <c r="BD4873" s="331"/>
      <c r="BE4873" s="333"/>
      <c r="BF4873" s="330"/>
      <c r="BG4873" s="333"/>
      <c r="BH4873" s="1119"/>
      <c r="BI4873" s="319"/>
      <c r="BJ4873" s="319"/>
      <c r="BK4873" s="319"/>
      <c r="BL4873" s="319"/>
      <c r="BM4873" s="319"/>
      <c r="BN4873" s="319"/>
      <c r="BO4873" s="319"/>
      <c r="BP4873" s="953"/>
      <c r="BQ4873" s="319"/>
      <c r="BR4873" s="319"/>
      <c r="BS4873" s="330"/>
      <c r="BT4873" s="331"/>
      <c r="BU4873" s="920"/>
      <c r="BV4873" s="903"/>
      <c r="BW4873" s="908"/>
      <c r="BX4873" s="908"/>
      <c r="BY4873" s="331"/>
      <c r="BZ4873" s="331"/>
      <c r="CA4873" s="462"/>
      <c r="CB4873" s="319"/>
      <c r="CC4873" s="319"/>
      <c r="CD4873" s="319"/>
      <c r="CE4873" s="319"/>
      <c r="CF4873" s="319"/>
      <c r="CG4873" s="319"/>
      <c r="CH4873" s="318"/>
      <c r="CI4873" s="319"/>
      <c r="CJ4873" s="319"/>
      <c r="CK4873" s="342"/>
      <c r="CL4873" s="333"/>
      <c r="CM4873" s="1079"/>
      <c r="CN4873" s="1005"/>
      <c r="CO4873" s="1005"/>
      <c r="CP4873" s="1005"/>
    </row>
    <row r="4874">
      <c r="A4874" s="1257"/>
      <c r="B4874" s="1113"/>
      <c r="C4874" s="1107"/>
      <c r="D4874" s="103"/>
      <c r="E4874" s="1137"/>
      <c r="F4874" s="112"/>
      <c r="G4874" s="1110"/>
      <c r="H4874" s="1138"/>
      <c r="I4874" s="1138"/>
      <c r="J4874" s="1139"/>
      <c r="K4874" s="1111"/>
      <c r="L4874" s="1112"/>
      <c r="M4874" s="1113"/>
      <c r="N4874" s="110"/>
      <c r="O4874" s="1140"/>
      <c r="P4874" s="1115"/>
      <c r="Q4874" s="1116"/>
      <c r="R4874" s="1141"/>
      <c r="S4874" s="1113"/>
      <c r="T4874" s="1143"/>
      <c r="U4874" s="1108"/>
      <c r="V4874" s="1108"/>
      <c r="W4874" s="1108"/>
      <c r="X4874" s="1108"/>
      <c r="Y4874" s="1108"/>
      <c r="Z4874" s="1114"/>
      <c r="AA4874" s="1114"/>
      <c r="AB4874" s="1114"/>
      <c r="AC4874" s="1117"/>
      <c r="AD4874" s="1115"/>
      <c r="AE4874" s="1115"/>
      <c r="AF4874" s="1115"/>
      <c r="AG4874" s="1115"/>
      <c r="AH4874" s="1115"/>
      <c r="AI4874" s="1115"/>
      <c r="AJ4874" s="1117"/>
      <c r="AK4874" s="1118"/>
      <c r="AL4874" s="1115"/>
      <c r="AM4874" s="1115"/>
      <c r="AN4874" s="1115"/>
      <c r="AO4874" s="1115"/>
      <c r="AP4874" s="1115"/>
      <c r="AQ4874" s="1115"/>
      <c r="AR4874" s="1115"/>
      <c r="AS4874" s="1117"/>
      <c r="AT4874" s="1075"/>
      <c r="AU4874" s="1193"/>
      <c r="AV4874" s="330"/>
      <c r="AW4874" s="331"/>
      <c r="AX4874" s="331"/>
      <c r="AY4874" s="331"/>
      <c r="AZ4874" s="331"/>
      <c r="BA4874" s="331"/>
      <c r="BB4874" s="331"/>
      <c r="BC4874" s="331"/>
      <c r="BD4874" s="331"/>
      <c r="BE4874" s="333"/>
      <c r="BF4874" s="330"/>
      <c r="BG4874" s="333"/>
      <c r="BH4874" s="1119"/>
      <c r="BI4874" s="319"/>
      <c r="BJ4874" s="319"/>
      <c r="BK4874" s="319"/>
      <c r="BL4874" s="319"/>
      <c r="BM4874" s="319"/>
      <c r="BN4874" s="319"/>
      <c r="BO4874" s="319"/>
      <c r="BP4874" s="953"/>
      <c r="BQ4874" s="319"/>
      <c r="BR4874" s="319"/>
      <c r="BS4874" s="330"/>
      <c r="BT4874" s="331"/>
      <c r="BU4874" s="920"/>
      <c r="BV4874" s="903"/>
      <c r="BW4874" s="908"/>
      <c r="BX4874" s="908"/>
      <c r="BY4874" s="331"/>
      <c r="BZ4874" s="331"/>
      <c r="CA4874" s="462"/>
      <c r="CB4874" s="319"/>
      <c r="CC4874" s="319"/>
      <c r="CD4874" s="319"/>
      <c r="CE4874" s="319"/>
      <c r="CF4874" s="319"/>
      <c r="CG4874" s="319"/>
      <c r="CH4874" s="318"/>
      <c r="CI4874" s="319"/>
      <c r="CJ4874" s="319"/>
      <c r="CK4874" s="342"/>
      <c r="CL4874" s="333"/>
      <c r="CM4874" s="1079"/>
      <c r="CN4874" s="1005"/>
      <c r="CO4874" s="1005"/>
      <c r="CP4874" s="1005"/>
    </row>
    <row r="4875">
      <c r="A4875" s="1257"/>
      <c r="B4875" s="1113"/>
      <c r="C4875" s="1107"/>
      <c r="D4875" s="103"/>
      <c r="E4875" s="1137"/>
      <c r="F4875" s="112"/>
      <c r="G4875" s="1110"/>
      <c r="H4875" s="1138"/>
      <c r="I4875" s="1138"/>
      <c r="J4875" s="1139"/>
      <c r="K4875" s="1111"/>
      <c r="L4875" s="1112"/>
      <c r="M4875" s="1113"/>
      <c r="N4875" s="110"/>
      <c r="O4875" s="1140"/>
      <c r="P4875" s="1115"/>
      <c r="Q4875" s="1116"/>
      <c r="R4875" s="1141"/>
      <c r="S4875" s="1113"/>
      <c r="T4875" s="1143"/>
      <c r="U4875" s="1108"/>
      <c r="V4875" s="1108"/>
      <c r="W4875" s="1108"/>
      <c r="X4875" s="1108"/>
      <c r="Y4875" s="1108"/>
      <c r="Z4875" s="1114"/>
      <c r="AA4875" s="1114"/>
      <c r="AB4875" s="1114"/>
      <c r="AC4875" s="1117"/>
      <c r="AD4875" s="1115"/>
      <c r="AE4875" s="1115"/>
      <c r="AF4875" s="1115"/>
      <c r="AG4875" s="1115"/>
      <c r="AH4875" s="1115"/>
      <c r="AI4875" s="1115"/>
      <c r="AJ4875" s="1117"/>
      <c r="AK4875" s="1118"/>
      <c r="AL4875" s="1115"/>
      <c r="AM4875" s="1115"/>
      <c r="AN4875" s="1115"/>
      <c r="AO4875" s="1115"/>
      <c r="AP4875" s="1115"/>
      <c r="AQ4875" s="1115"/>
      <c r="AR4875" s="1115"/>
      <c r="AS4875" s="1117"/>
      <c r="AT4875" s="1075"/>
      <c r="AU4875" s="1193"/>
      <c r="AV4875" s="330"/>
      <c r="AW4875" s="331"/>
      <c r="AX4875" s="331"/>
      <c r="AY4875" s="331"/>
      <c r="AZ4875" s="331"/>
      <c r="BA4875" s="331"/>
      <c r="BB4875" s="331"/>
      <c r="BC4875" s="331"/>
      <c r="BD4875" s="331"/>
      <c r="BE4875" s="333"/>
      <c r="BF4875" s="330"/>
      <c r="BG4875" s="333"/>
      <c r="BH4875" s="1119"/>
      <c r="BI4875" s="319"/>
      <c r="BJ4875" s="319"/>
      <c r="BK4875" s="319"/>
      <c r="BL4875" s="319"/>
      <c r="BM4875" s="319"/>
      <c r="BN4875" s="319"/>
      <c r="BO4875" s="319"/>
      <c r="BP4875" s="953"/>
      <c r="BQ4875" s="319"/>
      <c r="BR4875" s="319"/>
      <c r="BS4875" s="330"/>
      <c r="BT4875" s="331"/>
      <c r="BU4875" s="920"/>
      <c r="BV4875" s="903"/>
      <c r="BW4875" s="908"/>
      <c r="BX4875" s="908"/>
      <c r="BY4875" s="331"/>
      <c r="BZ4875" s="331"/>
      <c r="CA4875" s="462"/>
      <c r="CB4875" s="319"/>
      <c r="CC4875" s="319"/>
      <c r="CD4875" s="319"/>
      <c r="CE4875" s="319"/>
      <c r="CF4875" s="319"/>
      <c r="CG4875" s="319"/>
      <c r="CH4875" s="318"/>
      <c r="CI4875" s="319"/>
      <c r="CJ4875" s="319"/>
      <c r="CK4875" s="342"/>
      <c r="CL4875" s="333"/>
      <c r="CM4875" s="1079"/>
      <c r="CN4875" s="1005"/>
      <c r="CO4875" s="1005"/>
      <c r="CP4875" s="1005"/>
    </row>
    <row r="4876">
      <c r="A4876" s="1257"/>
      <c r="B4876" s="1113"/>
      <c r="C4876" s="1107"/>
      <c r="D4876" s="103"/>
      <c r="E4876" s="1137"/>
      <c r="F4876" s="112"/>
      <c r="G4876" s="1110"/>
      <c r="H4876" s="1138"/>
      <c r="I4876" s="1138"/>
      <c r="J4876" s="1139"/>
      <c r="K4876" s="1111"/>
      <c r="L4876" s="1112"/>
      <c r="M4876" s="1113"/>
      <c r="N4876" s="110"/>
      <c r="O4876" s="1140"/>
      <c r="P4876" s="1115"/>
      <c r="Q4876" s="1116"/>
      <c r="R4876" s="1141"/>
      <c r="S4876" s="1113"/>
      <c r="T4876" s="1143"/>
      <c r="U4876" s="1108"/>
      <c r="V4876" s="1108"/>
      <c r="W4876" s="1108"/>
      <c r="X4876" s="1108"/>
      <c r="Y4876" s="1108"/>
      <c r="Z4876" s="1114"/>
      <c r="AA4876" s="1114"/>
      <c r="AB4876" s="1114"/>
      <c r="AC4876" s="1117"/>
      <c r="AD4876" s="1115"/>
      <c r="AE4876" s="1115"/>
      <c r="AF4876" s="1115"/>
      <c r="AG4876" s="1115"/>
      <c r="AH4876" s="1115"/>
      <c r="AI4876" s="1115"/>
      <c r="AJ4876" s="1117"/>
      <c r="AK4876" s="1118"/>
      <c r="AL4876" s="1115"/>
      <c r="AM4876" s="1115"/>
      <c r="AN4876" s="1115"/>
      <c r="AO4876" s="1115"/>
      <c r="AP4876" s="1115"/>
      <c r="AQ4876" s="1115"/>
      <c r="AR4876" s="1115"/>
      <c r="AS4876" s="1117"/>
      <c r="AT4876" s="1075"/>
      <c r="AU4876" s="1193"/>
      <c r="AV4876" s="330"/>
      <c r="AW4876" s="331"/>
      <c r="AX4876" s="331"/>
      <c r="AY4876" s="331"/>
      <c r="AZ4876" s="331"/>
      <c r="BA4876" s="331"/>
      <c r="BB4876" s="331"/>
      <c r="BC4876" s="331"/>
      <c r="BD4876" s="331"/>
      <c r="BE4876" s="333"/>
      <c r="BF4876" s="330"/>
      <c r="BG4876" s="333"/>
      <c r="BH4876" s="1119"/>
      <c r="BI4876" s="319"/>
      <c r="BJ4876" s="319"/>
      <c r="BK4876" s="319"/>
      <c r="BL4876" s="319"/>
      <c r="BM4876" s="319"/>
      <c r="BN4876" s="319"/>
      <c r="BO4876" s="319"/>
      <c r="BP4876" s="953"/>
      <c r="BQ4876" s="319"/>
      <c r="BR4876" s="319"/>
      <c r="BS4876" s="330"/>
      <c r="BT4876" s="331"/>
      <c r="BU4876" s="920"/>
      <c r="BV4876" s="903"/>
      <c r="BW4876" s="908"/>
      <c r="BX4876" s="908"/>
      <c r="BY4876" s="331"/>
      <c r="BZ4876" s="331"/>
      <c r="CA4876" s="462"/>
      <c r="CB4876" s="319"/>
      <c r="CC4876" s="319"/>
      <c r="CD4876" s="319"/>
      <c r="CE4876" s="319"/>
      <c r="CF4876" s="319"/>
      <c r="CG4876" s="319"/>
      <c r="CH4876" s="318"/>
      <c r="CI4876" s="319"/>
      <c r="CJ4876" s="319"/>
      <c r="CK4876" s="342"/>
      <c r="CL4876" s="333"/>
      <c r="CM4876" s="1079"/>
      <c r="CN4876" s="1005"/>
      <c r="CO4876" s="1005"/>
      <c r="CP4876" s="1005"/>
    </row>
    <row r="4877">
      <c r="A4877" s="1257"/>
      <c r="B4877" s="1113"/>
      <c r="C4877" s="1107"/>
      <c r="D4877" s="103"/>
      <c r="E4877" s="1137"/>
      <c r="F4877" s="112"/>
      <c r="G4877" s="1110"/>
      <c r="H4877" s="1138"/>
      <c r="I4877" s="1138"/>
      <c r="J4877" s="1139"/>
      <c r="K4877" s="1111"/>
      <c r="L4877" s="1112"/>
      <c r="M4877" s="1113"/>
      <c r="N4877" s="110"/>
      <c r="O4877" s="1140"/>
      <c r="P4877" s="1115"/>
      <c r="Q4877" s="1116"/>
      <c r="R4877" s="1141"/>
      <c r="S4877" s="1113"/>
      <c r="T4877" s="1143"/>
      <c r="U4877" s="1108"/>
      <c r="V4877" s="1108"/>
      <c r="W4877" s="1108"/>
      <c r="X4877" s="1108"/>
      <c r="Y4877" s="1108"/>
      <c r="Z4877" s="1114"/>
      <c r="AA4877" s="1114"/>
      <c r="AB4877" s="1114"/>
      <c r="AC4877" s="1117"/>
      <c r="AD4877" s="1115"/>
      <c r="AE4877" s="1115"/>
      <c r="AF4877" s="1115"/>
      <c r="AG4877" s="1115"/>
      <c r="AH4877" s="1115"/>
      <c r="AI4877" s="1115"/>
      <c r="AJ4877" s="1117"/>
      <c r="AK4877" s="1118"/>
      <c r="AL4877" s="1115"/>
      <c r="AM4877" s="1115"/>
      <c r="AN4877" s="1115"/>
      <c r="AO4877" s="1115"/>
      <c r="AP4877" s="1115"/>
      <c r="AQ4877" s="1115"/>
      <c r="AR4877" s="1115"/>
      <c r="AS4877" s="1117"/>
      <c r="AT4877" s="1075"/>
      <c r="AU4877" s="1193"/>
      <c r="AV4877" s="330"/>
      <c r="AW4877" s="331"/>
      <c r="AX4877" s="331"/>
      <c r="AY4877" s="331"/>
      <c r="AZ4877" s="331"/>
      <c r="BA4877" s="331"/>
      <c r="BB4877" s="331"/>
      <c r="BC4877" s="331"/>
      <c r="BD4877" s="331"/>
      <c r="BE4877" s="333"/>
      <c r="BF4877" s="330"/>
      <c r="BG4877" s="333"/>
      <c r="BH4877" s="1119"/>
      <c r="BI4877" s="319"/>
      <c r="BJ4877" s="319"/>
      <c r="BK4877" s="319"/>
      <c r="BL4877" s="319"/>
      <c r="BM4877" s="319"/>
      <c r="BN4877" s="319"/>
      <c r="BO4877" s="319"/>
      <c r="BP4877" s="953"/>
      <c r="BQ4877" s="319"/>
      <c r="BR4877" s="319"/>
      <c r="BS4877" s="330"/>
      <c r="BT4877" s="331"/>
      <c r="BU4877" s="920"/>
      <c r="BV4877" s="903"/>
      <c r="BW4877" s="908"/>
      <c r="BX4877" s="908"/>
      <c r="BY4877" s="331"/>
      <c r="BZ4877" s="331"/>
      <c r="CA4877" s="462"/>
      <c r="CB4877" s="319"/>
      <c r="CC4877" s="319"/>
      <c r="CD4877" s="319"/>
      <c r="CE4877" s="319"/>
      <c r="CF4877" s="319"/>
      <c r="CG4877" s="319"/>
      <c r="CH4877" s="318"/>
      <c r="CI4877" s="319"/>
      <c r="CJ4877" s="319"/>
      <c r="CK4877" s="342"/>
      <c r="CL4877" s="333"/>
      <c r="CM4877" s="1079"/>
      <c r="CN4877" s="1005"/>
      <c r="CO4877" s="1005"/>
      <c r="CP4877" s="1005"/>
    </row>
    <row r="4878">
      <c r="A4878" s="1257"/>
      <c r="B4878" s="1113"/>
      <c r="C4878" s="1107"/>
      <c r="D4878" s="103"/>
      <c r="E4878" s="1137"/>
      <c r="F4878" s="112"/>
      <c r="G4878" s="1110"/>
      <c r="H4878" s="1138"/>
      <c r="I4878" s="1138"/>
      <c r="J4878" s="1139"/>
      <c r="K4878" s="1111"/>
      <c r="L4878" s="1112"/>
      <c r="M4878" s="1113"/>
      <c r="N4878" s="110"/>
      <c r="O4878" s="1140"/>
      <c r="P4878" s="1115"/>
      <c r="Q4878" s="1116"/>
      <c r="R4878" s="1141"/>
      <c r="S4878" s="1113"/>
      <c r="T4878" s="1143"/>
      <c r="U4878" s="1108"/>
      <c r="V4878" s="1108"/>
      <c r="W4878" s="1108"/>
      <c r="X4878" s="1108"/>
      <c r="Y4878" s="1108"/>
      <c r="Z4878" s="1114"/>
      <c r="AA4878" s="1114"/>
      <c r="AB4878" s="1114"/>
      <c r="AC4878" s="1117"/>
      <c r="AD4878" s="1115"/>
      <c r="AE4878" s="1115"/>
      <c r="AF4878" s="1115"/>
      <c r="AG4878" s="1115"/>
      <c r="AH4878" s="1115"/>
      <c r="AI4878" s="1115"/>
      <c r="AJ4878" s="1117"/>
      <c r="AK4878" s="1118"/>
      <c r="AL4878" s="1115"/>
      <c r="AM4878" s="1115"/>
      <c r="AN4878" s="1115"/>
      <c r="AO4878" s="1115"/>
      <c r="AP4878" s="1115"/>
      <c r="AQ4878" s="1115"/>
      <c r="AR4878" s="1115"/>
      <c r="AS4878" s="1117"/>
      <c r="AT4878" s="1075"/>
      <c r="AU4878" s="1193"/>
      <c r="AV4878" s="330"/>
      <c r="AW4878" s="331"/>
      <c r="AX4878" s="331"/>
      <c r="AY4878" s="331"/>
      <c r="AZ4878" s="331"/>
      <c r="BA4878" s="331"/>
      <c r="BB4878" s="331"/>
      <c r="BC4878" s="331"/>
      <c r="BD4878" s="331"/>
      <c r="BE4878" s="333"/>
      <c r="BF4878" s="330"/>
      <c r="BG4878" s="333"/>
      <c r="BH4878" s="1119"/>
      <c r="BI4878" s="319"/>
      <c r="BJ4878" s="319"/>
      <c r="BK4878" s="319"/>
      <c r="BL4878" s="319"/>
      <c r="BM4878" s="319"/>
      <c r="BN4878" s="319"/>
      <c r="BO4878" s="319"/>
      <c r="BP4878" s="953"/>
      <c r="BQ4878" s="319"/>
      <c r="BR4878" s="319"/>
      <c r="BS4878" s="330"/>
      <c r="BT4878" s="331"/>
      <c r="BU4878" s="920"/>
      <c r="BV4878" s="903"/>
      <c r="BW4878" s="908"/>
      <c r="BX4878" s="908"/>
      <c r="BY4878" s="331"/>
      <c r="BZ4878" s="331"/>
      <c r="CA4878" s="462"/>
      <c r="CB4878" s="319"/>
      <c r="CC4878" s="319"/>
      <c r="CD4878" s="319"/>
      <c r="CE4878" s="319"/>
      <c r="CF4878" s="319"/>
      <c r="CG4878" s="319"/>
      <c r="CH4878" s="318"/>
      <c r="CI4878" s="319"/>
      <c r="CJ4878" s="319"/>
      <c r="CK4878" s="342"/>
      <c r="CL4878" s="333"/>
      <c r="CM4878" s="1079"/>
      <c r="CN4878" s="1005"/>
      <c r="CO4878" s="1005"/>
      <c r="CP4878" s="1005"/>
    </row>
    <row r="4879">
      <c r="A4879" s="1257"/>
      <c r="B4879" s="1113"/>
      <c r="C4879" s="1107"/>
      <c r="D4879" s="103"/>
      <c r="E4879" s="1137"/>
      <c r="F4879" s="112"/>
      <c r="G4879" s="1110"/>
      <c r="H4879" s="1138"/>
      <c r="I4879" s="1138"/>
      <c r="J4879" s="1139"/>
      <c r="K4879" s="1111"/>
      <c r="L4879" s="1112"/>
      <c r="M4879" s="1113"/>
      <c r="N4879" s="110"/>
      <c r="O4879" s="1140"/>
      <c r="P4879" s="1115"/>
      <c r="Q4879" s="1116"/>
      <c r="R4879" s="1141"/>
      <c r="S4879" s="1113"/>
      <c r="T4879" s="1143"/>
      <c r="U4879" s="1108"/>
      <c r="V4879" s="1108"/>
      <c r="W4879" s="1108"/>
      <c r="X4879" s="1108"/>
      <c r="Y4879" s="1108"/>
      <c r="Z4879" s="1114"/>
      <c r="AA4879" s="1114"/>
      <c r="AB4879" s="1114"/>
      <c r="AC4879" s="1117"/>
      <c r="AD4879" s="1115"/>
      <c r="AE4879" s="1115"/>
      <c r="AF4879" s="1115"/>
      <c r="AG4879" s="1115"/>
      <c r="AH4879" s="1115"/>
      <c r="AI4879" s="1115"/>
      <c r="AJ4879" s="1117"/>
      <c r="AK4879" s="1118"/>
      <c r="AL4879" s="1115"/>
      <c r="AM4879" s="1115"/>
      <c r="AN4879" s="1115"/>
      <c r="AO4879" s="1115"/>
      <c r="AP4879" s="1115"/>
      <c r="AQ4879" s="1115"/>
      <c r="AR4879" s="1115"/>
      <c r="AS4879" s="1117"/>
      <c r="AT4879" s="1075"/>
      <c r="AU4879" s="1193"/>
      <c r="AV4879" s="330"/>
      <c r="AW4879" s="331"/>
      <c r="AX4879" s="331"/>
      <c r="AY4879" s="331"/>
      <c r="AZ4879" s="331"/>
      <c r="BA4879" s="331"/>
      <c r="BB4879" s="331"/>
      <c r="BC4879" s="331"/>
      <c r="BD4879" s="331"/>
      <c r="BE4879" s="333"/>
      <c r="BF4879" s="330"/>
      <c r="BG4879" s="333"/>
      <c r="BH4879" s="1119"/>
      <c r="BI4879" s="319"/>
      <c r="BJ4879" s="319"/>
      <c r="BK4879" s="319"/>
      <c r="BL4879" s="319"/>
      <c r="BM4879" s="319"/>
      <c r="BN4879" s="319"/>
      <c r="BO4879" s="319"/>
      <c r="BP4879" s="953"/>
      <c r="BQ4879" s="319"/>
      <c r="BR4879" s="319"/>
      <c r="BS4879" s="330"/>
      <c r="BT4879" s="331"/>
      <c r="BU4879" s="920"/>
      <c r="BV4879" s="903"/>
      <c r="BW4879" s="908"/>
      <c r="BX4879" s="908"/>
      <c r="BY4879" s="331"/>
      <c r="BZ4879" s="331"/>
      <c r="CA4879" s="462"/>
      <c r="CB4879" s="319"/>
      <c r="CC4879" s="319"/>
      <c r="CD4879" s="319"/>
      <c r="CE4879" s="319"/>
      <c r="CF4879" s="319"/>
      <c r="CG4879" s="319"/>
      <c r="CH4879" s="318"/>
      <c r="CI4879" s="319"/>
      <c r="CJ4879" s="319"/>
      <c r="CK4879" s="342"/>
      <c r="CL4879" s="333"/>
      <c r="CM4879" s="1079"/>
      <c r="CN4879" s="1005"/>
      <c r="CO4879" s="1005"/>
      <c r="CP4879" s="1005"/>
    </row>
    <row r="4880">
      <c r="A4880" s="1257"/>
      <c r="B4880" s="1113"/>
      <c r="C4880" s="1107"/>
      <c r="D4880" s="103"/>
      <c r="E4880" s="1137"/>
      <c r="F4880" s="112"/>
      <c r="G4880" s="1110"/>
      <c r="H4880" s="1138"/>
      <c r="I4880" s="1138"/>
      <c r="J4880" s="1139"/>
      <c r="K4880" s="1111"/>
      <c r="L4880" s="1112"/>
      <c r="M4880" s="1113"/>
      <c r="N4880" s="110"/>
      <c r="O4880" s="1140"/>
      <c r="P4880" s="1115"/>
      <c r="Q4880" s="1116"/>
      <c r="R4880" s="1141"/>
      <c r="S4880" s="1113"/>
      <c r="T4880" s="1143"/>
      <c r="U4880" s="1108"/>
      <c r="V4880" s="1108"/>
      <c r="W4880" s="1108"/>
      <c r="X4880" s="1108"/>
      <c r="Y4880" s="1108"/>
      <c r="Z4880" s="1114"/>
      <c r="AA4880" s="1114"/>
      <c r="AB4880" s="1114"/>
      <c r="AC4880" s="1117"/>
      <c r="AD4880" s="1115"/>
      <c r="AE4880" s="1115"/>
      <c r="AF4880" s="1115"/>
      <c r="AG4880" s="1115"/>
      <c r="AH4880" s="1115"/>
      <c r="AI4880" s="1115"/>
      <c r="AJ4880" s="1117"/>
      <c r="AK4880" s="1118"/>
      <c r="AL4880" s="1115"/>
      <c r="AM4880" s="1115"/>
      <c r="AN4880" s="1115"/>
      <c r="AO4880" s="1115"/>
      <c r="AP4880" s="1115"/>
      <c r="AQ4880" s="1115"/>
      <c r="AR4880" s="1115"/>
      <c r="AS4880" s="1117"/>
      <c r="AT4880" s="1075"/>
      <c r="AU4880" s="1193"/>
      <c r="AV4880" s="330"/>
      <c r="AW4880" s="331"/>
      <c r="AX4880" s="331"/>
      <c r="AY4880" s="331"/>
      <c r="AZ4880" s="331"/>
      <c r="BA4880" s="331"/>
      <c r="BB4880" s="331"/>
      <c r="BC4880" s="331"/>
      <c r="BD4880" s="331"/>
      <c r="BE4880" s="333"/>
      <c r="BF4880" s="330"/>
      <c r="BG4880" s="333"/>
      <c r="BH4880" s="1119"/>
      <c r="BI4880" s="319"/>
      <c r="BJ4880" s="319"/>
      <c r="BK4880" s="319"/>
      <c r="BL4880" s="319"/>
      <c r="BM4880" s="319"/>
      <c r="BN4880" s="319"/>
      <c r="BO4880" s="319"/>
      <c r="BP4880" s="953"/>
      <c r="BQ4880" s="319"/>
      <c r="BR4880" s="319"/>
      <c r="BS4880" s="330"/>
      <c r="BT4880" s="331"/>
      <c r="BU4880" s="920"/>
      <c r="BV4880" s="903"/>
      <c r="BW4880" s="908"/>
      <c r="BX4880" s="908"/>
      <c r="BY4880" s="331"/>
      <c r="BZ4880" s="331"/>
      <c r="CA4880" s="462"/>
      <c r="CB4880" s="319"/>
      <c r="CC4880" s="319"/>
      <c r="CD4880" s="319"/>
      <c r="CE4880" s="319"/>
      <c r="CF4880" s="319"/>
      <c r="CG4880" s="319"/>
      <c r="CH4880" s="318"/>
      <c r="CI4880" s="319"/>
      <c r="CJ4880" s="319"/>
      <c r="CK4880" s="342"/>
      <c r="CL4880" s="333"/>
      <c r="CM4880" s="1079"/>
      <c r="CN4880" s="1005"/>
      <c r="CO4880" s="1005"/>
      <c r="CP4880" s="1005"/>
    </row>
    <row r="4881">
      <c r="A4881" s="1257"/>
      <c r="B4881" s="1113"/>
      <c r="C4881" s="1107"/>
      <c r="D4881" s="103"/>
      <c r="E4881" s="1137"/>
      <c r="F4881" s="112"/>
      <c r="G4881" s="1110"/>
      <c r="H4881" s="1138"/>
      <c r="I4881" s="1138"/>
      <c r="J4881" s="1139"/>
      <c r="K4881" s="1111"/>
      <c r="L4881" s="1112"/>
      <c r="M4881" s="1113"/>
      <c r="N4881" s="110"/>
      <c r="O4881" s="1140"/>
      <c r="P4881" s="1115"/>
      <c r="Q4881" s="1116"/>
      <c r="R4881" s="1141"/>
      <c r="S4881" s="1113"/>
      <c r="T4881" s="1143"/>
      <c r="U4881" s="1108"/>
      <c r="V4881" s="1108"/>
      <c r="W4881" s="1108"/>
      <c r="X4881" s="1108"/>
      <c r="Y4881" s="1108"/>
      <c r="Z4881" s="1114"/>
      <c r="AA4881" s="1114"/>
      <c r="AB4881" s="1114"/>
      <c r="AC4881" s="1117"/>
      <c r="AD4881" s="1115"/>
      <c r="AE4881" s="1115"/>
      <c r="AF4881" s="1115"/>
      <c r="AG4881" s="1115"/>
      <c r="AH4881" s="1115"/>
      <c r="AI4881" s="1115"/>
      <c r="AJ4881" s="1117"/>
      <c r="AK4881" s="1118"/>
      <c r="AL4881" s="1115"/>
      <c r="AM4881" s="1115"/>
      <c r="AN4881" s="1115"/>
      <c r="AO4881" s="1115"/>
      <c r="AP4881" s="1115"/>
      <c r="AQ4881" s="1115"/>
      <c r="AR4881" s="1115"/>
      <c r="AS4881" s="1117"/>
      <c r="AT4881" s="1075"/>
      <c r="AU4881" s="1193"/>
      <c r="AV4881" s="330"/>
      <c r="AW4881" s="331"/>
      <c r="AX4881" s="331"/>
      <c r="AY4881" s="331"/>
      <c r="AZ4881" s="331"/>
      <c r="BA4881" s="331"/>
      <c r="BB4881" s="331"/>
      <c r="BC4881" s="331"/>
      <c r="BD4881" s="331"/>
      <c r="BE4881" s="333"/>
      <c r="BF4881" s="330"/>
      <c r="BG4881" s="333"/>
      <c r="BH4881" s="1119"/>
      <c r="BI4881" s="319"/>
      <c r="BJ4881" s="319"/>
      <c r="BK4881" s="319"/>
      <c r="BL4881" s="319"/>
      <c r="BM4881" s="319"/>
      <c r="BN4881" s="319"/>
      <c r="BO4881" s="319"/>
      <c r="BP4881" s="953"/>
      <c r="BQ4881" s="319"/>
      <c r="BR4881" s="319"/>
      <c r="BS4881" s="330"/>
      <c r="BT4881" s="331"/>
      <c r="BU4881" s="920"/>
      <c r="BV4881" s="903"/>
      <c r="BW4881" s="908"/>
      <c r="BX4881" s="908"/>
      <c r="BY4881" s="331"/>
      <c r="BZ4881" s="331"/>
      <c r="CA4881" s="462"/>
      <c r="CB4881" s="319"/>
      <c r="CC4881" s="319"/>
      <c r="CD4881" s="319"/>
      <c r="CE4881" s="319"/>
      <c r="CF4881" s="319"/>
      <c r="CG4881" s="319"/>
      <c r="CH4881" s="318"/>
      <c r="CI4881" s="319"/>
      <c r="CJ4881" s="319"/>
      <c r="CK4881" s="342"/>
      <c r="CL4881" s="333"/>
      <c r="CM4881" s="1079"/>
      <c r="CN4881" s="1005"/>
      <c r="CO4881" s="1005"/>
      <c r="CP4881" s="1005"/>
    </row>
    <row r="4882">
      <c r="A4882" s="1257"/>
      <c r="B4882" s="1113"/>
      <c r="C4882" s="1107"/>
      <c r="D4882" s="103"/>
      <c r="E4882" s="1137"/>
      <c r="F4882" s="112"/>
      <c r="G4882" s="1110"/>
      <c r="H4882" s="1138"/>
      <c r="I4882" s="1138"/>
      <c r="J4882" s="1139"/>
      <c r="K4882" s="1111"/>
      <c r="L4882" s="1112"/>
      <c r="M4882" s="1113"/>
      <c r="N4882" s="110"/>
      <c r="O4882" s="1140"/>
      <c r="P4882" s="1115"/>
      <c r="Q4882" s="1116"/>
      <c r="R4882" s="1141"/>
      <c r="S4882" s="1113"/>
      <c r="T4882" s="1143"/>
      <c r="U4882" s="1108"/>
      <c r="V4882" s="1108"/>
      <c r="W4882" s="1108"/>
      <c r="X4882" s="1108"/>
      <c r="Y4882" s="1108"/>
      <c r="Z4882" s="1114"/>
      <c r="AA4882" s="1114"/>
      <c r="AB4882" s="1114"/>
      <c r="AC4882" s="1117"/>
      <c r="AD4882" s="1115"/>
      <c r="AE4882" s="1115"/>
      <c r="AF4882" s="1115"/>
      <c r="AG4882" s="1115"/>
      <c r="AH4882" s="1115"/>
      <c r="AI4882" s="1115"/>
      <c r="AJ4882" s="1117"/>
      <c r="AK4882" s="1118"/>
      <c r="AL4882" s="1115"/>
      <c r="AM4882" s="1115"/>
      <c r="AN4882" s="1115"/>
      <c r="AO4882" s="1115"/>
      <c r="AP4882" s="1115"/>
      <c r="AQ4882" s="1115"/>
      <c r="AR4882" s="1115"/>
      <c r="AS4882" s="1117"/>
      <c r="AT4882" s="1075"/>
      <c r="AU4882" s="1193"/>
      <c r="AV4882" s="330"/>
      <c r="AW4882" s="331"/>
      <c r="AX4882" s="331"/>
      <c r="AY4882" s="331"/>
      <c r="AZ4882" s="331"/>
      <c r="BA4882" s="331"/>
      <c r="BB4882" s="331"/>
      <c r="BC4882" s="331"/>
      <c r="BD4882" s="331"/>
      <c r="BE4882" s="333"/>
      <c r="BF4882" s="330"/>
      <c r="BG4882" s="333"/>
      <c r="BH4882" s="1119"/>
      <c r="BI4882" s="319"/>
      <c r="BJ4882" s="319"/>
      <c r="BK4882" s="319"/>
      <c r="BL4882" s="319"/>
      <c r="BM4882" s="319"/>
      <c r="BN4882" s="319"/>
      <c r="BO4882" s="319"/>
      <c r="BP4882" s="953"/>
      <c r="BQ4882" s="319"/>
      <c r="BR4882" s="319"/>
      <c r="BS4882" s="330"/>
      <c r="BT4882" s="331"/>
      <c r="BU4882" s="920"/>
      <c r="BV4882" s="903"/>
      <c r="BW4882" s="908"/>
      <c r="BX4882" s="908"/>
      <c r="BY4882" s="331"/>
      <c r="BZ4882" s="331"/>
      <c r="CA4882" s="462"/>
      <c r="CB4882" s="319"/>
      <c r="CC4882" s="319"/>
      <c r="CD4882" s="319"/>
      <c r="CE4882" s="319"/>
      <c r="CF4882" s="319"/>
      <c r="CG4882" s="319"/>
      <c r="CH4882" s="318"/>
      <c r="CI4882" s="319"/>
      <c r="CJ4882" s="319"/>
      <c r="CK4882" s="342"/>
      <c r="CL4882" s="333"/>
      <c r="CM4882" s="1079"/>
      <c r="CN4882" s="1005"/>
      <c r="CO4882" s="1005"/>
      <c r="CP4882" s="1005"/>
    </row>
    <row r="4883">
      <c r="A4883" s="1257"/>
      <c r="B4883" s="1113"/>
      <c r="C4883" s="1107"/>
      <c r="D4883" s="103"/>
      <c r="E4883" s="1137"/>
      <c r="F4883" s="112"/>
      <c r="G4883" s="1110"/>
      <c r="H4883" s="1138"/>
      <c r="I4883" s="1138"/>
      <c r="J4883" s="1139"/>
      <c r="K4883" s="1111"/>
      <c r="L4883" s="1112"/>
      <c r="M4883" s="1113"/>
      <c r="N4883" s="110"/>
      <c r="O4883" s="1140"/>
      <c r="P4883" s="1115"/>
      <c r="Q4883" s="1116"/>
      <c r="R4883" s="1141"/>
      <c r="S4883" s="1113"/>
      <c r="T4883" s="1143"/>
      <c r="U4883" s="1108"/>
      <c r="V4883" s="1108"/>
      <c r="W4883" s="1108"/>
      <c r="X4883" s="1108"/>
      <c r="Y4883" s="1108"/>
      <c r="Z4883" s="1114"/>
      <c r="AA4883" s="1114"/>
      <c r="AB4883" s="1114"/>
      <c r="AC4883" s="1117"/>
      <c r="AD4883" s="1115"/>
      <c r="AE4883" s="1115"/>
      <c r="AF4883" s="1115"/>
      <c r="AG4883" s="1115"/>
      <c r="AH4883" s="1115"/>
      <c r="AI4883" s="1115"/>
      <c r="AJ4883" s="1117"/>
      <c r="AK4883" s="1118"/>
      <c r="AL4883" s="1115"/>
      <c r="AM4883" s="1115"/>
      <c r="AN4883" s="1115"/>
      <c r="AO4883" s="1115"/>
      <c r="AP4883" s="1115"/>
      <c r="AQ4883" s="1115"/>
      <c r="AR4883" s="1115"/>
      <c r="AS4883" s="1117"/>
      <c r="AT4883" s="1075"/>
      <c r="AU4883" s="1193"/>
      <c r="AV4883" s="330"/>
      <c r="AW4883" s="331"/>
      <c r="AX4883" s="331"/>
      <c r="AY4883" s="331"/>
      <c r="AZ4883" s="331"/>
      <c r="BA4883" s="331"/>
      <c r="BB4883" s="331"/>
      <c r="BC4883" s="331"/>
      <c r="BD4883" s="331"/>
      <c r="BE4883" s="333"/>
      <c r="BF4883" s="330"/>
      <c r="BG4883" s="333"/>
      <c r="BH4883" s="1119"/>
      <c r="BI4883" s="319"/>
      <c r="BJ4883" s="319"/>
      <c r="BK4883" s="319"/>
      <c r="BL4883" s="319"/>
      <c r="BM4883" s="319"/>
      <c r="BN4883" s="319"/>
      <c r="BO4883" s="319"/>
      <c r="BP4883" s="953"/>
      <c r="BQ4883" s="319"/>
      <c r="BR4883" s="319"/>
      <c r="BS4883" s="330"/>
      <c r="BT4883" s="331"/>
      <c r="BU4883" s="920"/>
      <c r="BV4883" s="903"/>
      <c r="BW4883" s="908"/>
      <c r="BX4883" s="908"/>
      <c r="BY4883" s="331"/>
      <c r="BZ4883" s="331"/>
      <c r="CA4883" s="462"/>
      <c r="CB4883" s="319"/>
      <c r="CC4883" s="319"/>
      <c r="CD4883" s="319"/>
      <c r="CE4883" s="319"/>
      <c r="CF4883" s="319"/>
      <c r="CG4883" s="319"/>
      <c r="CH4883" s="318"/>
      <c r="CI4883" s="319"/>
      <c r="CJ4883" s="319"/>
      <c r="CK4883" s="342"/>
      <c r="CL4883" s="333"/>
      <c r="CM4883" s="1079"/>
      <c r="CN4883" s="1005"/>
      <c r="CO4883" s="1005"/>
      <c r="CP4883" s="1005"/>
    </row>
    <row r="4884">
      <c r="A4884" s="1257"/>
      <c r="B4884" s="1113"/>
      <c r="C4884" s="1107"/>
      <c r="D4884" s="103"/>
      <c r="E4884" s="1137"/>
      <c r="F4884" s="112"/>
      <c r="G4884" s="1110"/>
      <c r="H4884" s="1138"/>
      <c r="I4884" s="1138"/>
      <c r="J4884" s="1139"/>
      <c r="K4884" s="1111"/>
      <c r="L4884" s="1112"/>
      <c r="M4884" s="1113"/>
      <c r="N4884" s="110"/>
      <c r="O4884" s="1140"/>
      <c r="P4884" s="1115"/>
      <c r="Q4884" s="1116"/>
      <c r="R4884" s="1141"/>
      <c r="S4884" s="1113"/>
      <c r="T4884" s="1143"/>
      <c r="U4884" s="1108"/>
      <c r="V4884" s="1108"/>
      <c r="W4884" s="1108"/>
      <c r="X4884" s="1108"/>
      <c r="Y4884" s="1108"/>
      <c r="Z4884" s="1114"/>
      <c r="AA4884" s="1114"/>
      <c r="AB4884" s="1114"/>
      <c r="AC4884" s="1117"/>
      <c r="AD4884" s="1115"/>
      <c r="AE4884" s="1115"/>
      <c r="AF4884" s="1115"/>
      <c r="AG4884" s="1115"/>
      <c r="AH4884" s="1115"/>
      <c r="AI4884" s="1115"/>
      <c r="AJ4884" s="1117"/>
      <c r="AK4884" s="1118"/>
      <c r="AL4884" s="1115"/>
      <c r="AM4884" s="1115"/>
      <c r="AN4884" s="1115"/>
      <c r="AO4884" s="1115"/>
      <c r="AP4884" s="1115"/>
      <c r="AQ4884" s="1115"/>
      <c r="AR4884" s="1115"/>
      <c r="AS4884" s="1117"/>
      <c r="AT4884" s="1075"/>
      <c r="AU4884" s="1193"/>
      <c r="AV4884" s="330"/>
      <c r="AW4884" s="331"/>
      <c r="AX4884" s="331"/>
      <c r="AY4884" s="331"/>
      <c r="AZ4884" s="331"/>
      <c r="BA4884" s="331"/>
      <c r="BB4884" s="331"/>
      <c r="BC4884" s="331"/>
      <c r="BD4884" s="331"/>
      <c r="BE4884" s="333"/>
      <c r="BF4884" s="330"/>
      <c r="BG4884" s="333"/>
      <c r="BH4884" s="1119"/>
      <c r="BI4884" s="319"/>
      <c r="BJ4884" s="319"/>
      <c r="BK4884" s="319"/>
      <c r="BL4884" s="319"/>
      <c r="BM4884" s="319"/>
      <c r="BN4884" s="319"/>
      <c r="BO4884" s="319"/>
      <c r="BP4884" s="953"/>
      <c r="BQ4884" s="319"/>
      <c r="BR4884" s="319"/>
      <c r="BS4884" s="330"/>
      <c r="BT4884" s="331"/>
      <c r="BU4884" s="920"/>
      <c r="BV4884" s="903"/>
      <c r="BW4884" s="908"/>
      <c r="BX4884" s="908"/>
      <c r="BY4884" s="331"/>
      <c r="BZ4884" s="331"/>
      <c r="CA4884" s="462"/>
      <c r="CB4884" s="319"/>
      <c r="CC4884" s="319"/>
      <c r="CD4884" s="319"/>
      <c r="CE4884" s="319"/>
      <c r="CF4884" s="319"/>
      <c r="CG4884" s="319"/>
      <c r="CH4884" s="318"/>
      <c r="CI4884" s="319"/>
      <c r="CJ4884" s="319"/>
      <c r="CK4884" s="342"/>
      <c r="CL4884" s="333"/>
      <c r="CM4884" s="1079"/>
      <c r="CN4884" s="1005"/>
      <c r="CO4884" s="1005"/>
      <c r="CP4884" s="1005"/>
    </row>
    <row r="4885">
      <c r="A4885" s="1257"/>
      <c r="B4885" s="1113"/>
      <c r="C4885" s="1107"/>
      <c r="D4885" s="103"/>
      <c r="E4885" s="1137"/>
      <c r="F4885" s="112"/>
      <c r="G4885" s="1110"/>
      <c r="H4885" s="1138"/>
      <c r="I4885" s="1138"/>
      <c r="J4885" s="1139"/>
      <c r="K4885" s="1111"/>
      <c r="L4885" s="1112"/>
      <c r="M4885" s="1113"/>
      <c r="N4885" s="110"/>
      <c r="O4885" s="1140"/>
      <c r="P4885" s="1115"/>
      <c r="Q4885" s="1116"/>
      <c r="R4885" s="1141"/>
      <c r="S4885" s="1113"/>
      <c r="T4885" s="1143"/>
      <c r="U4885" s="1108"/>
      <c r="V4885" s="1108"/>
      <c r="W4885" s="1108"/>
      <c r="X4885" s="1108"/>
      <c r="Y4885" s="1108"/>
      <c r="Z4885" s="1114"/>
      <c r="AA4885" s="1114"/>
      <c r="AB4885" s="1114"/>
      <c r="AC4885" s="1117"/>
      <c r="AD4885" s="1115"/>
      <c r="AE4885" s="1115"/>
      <c r="AF4885" s="1115"/>
      <c r="AG4885" s="1115"/>
      <c r="AH4885" s="1115"/>
      <c r="AI4885" s="1115"/>
      <c r="AJ4885" s="1117"/>
      <c r="AK4885" s="1118"/>
      <c r="AL4885" s="1115"/>
      <c r="AM4885" s="1115"/>
      <c r="AN4885" s="1115"/>
      <c r="AO4885" s="1115"/>
      <c r="AP4885" s="1115"/>
      <c r="AQ4885" s="1115"/>
      <c r="AR4885" s="1115"/>
      <c r="AS4885" s="1117"/>
      <c r="AT4885" s="1075"/>
      <c r="AU4885" s="1193"/>
      <c r="AV4885" s="330"/>
      <c r="AW4885" s="331"/>
      <c r="AX4885" s="331"/>
      <c r="AY4885" s="331"/>
      <c r="AZ4885" s="331"/>
      <c r="BA4885" s="331"/>
      <c r="BB4885" s="331"/>
      <c r="BC4885" s="331"/>
      <c r="BD4885" s="331"/>
      <c r="BE4885" s="333"/>
      <c r="BF4885" s="330"/>
      <c r="BG4885" s="333"/>
      <c r="BH4885" s="1119"/>
      <c r="BI4885" s="319"/>
      <c r="BJ4885" s="319"/>
      <c r="BK4885" s="319"/>
      <c r="BL4885" s="319"/>
      <c r="BM4885" s="319"/>
      <c r="BN4885" s="319"/>
      <c r="BO4885" s="319"/>
      <c r="BP4885" s="953"/>
      <c r="BQ4885" s="319"/>
      <c r="BR4885" s="319"/>
      <c r="BS4885" s="330"/>
      <c r="BT4885" s="331"/>
      <c r="BU4885" s="920"/>
      <c r="BV4885" s="903"/>
      <c r="BW4885" s="908"/>
      <c r="BX4885" s="908"/>
      <c r="BY4885" s="331"/>
      <c r="BZ4885" s="331"/>
      <c r="CA4885" s="462"/>
      <c r="CB4885" s="319"/>
      <c r="CC4885" s="319"/>
      <c r="CD4885" s="319"/>
      <c r="CE4885" s="319"/>
      <c r="CF4885" s="319"/>
      <c r="CG4885" s="319"/>
      <c r="CH4885" s="318"/>
      <c r="CI4885" s="319"/>
      <c r="CJ4885" s="319"/>
      <c r="CK4885" s="342"/>
      <c r="CL4885" s="333"/>
      <c r="CM4885" s="1079"/>
      <c r="CN4885" s="1005"/>
      <c r="CO4885" s="1005"/>
      <c r="CP4885" s="1005"/>
    </row>
    <row r="4886">
      <c r="A4886" s="1257"/>
      <c r="B4886" s="1113"/>
      <c r="C4886" s="1107"/>
      <c r="D4886" s="103"/>
      <c r="E4886" s="1137"/>
      <c r="F4886" s="112"/>
      <c r="G4886" s="1110"/>
      <c r="H4886" s="1138"/>
      <c r="I4886" s="1138"/>
      <c r="J4886" s="1139"/>
      <c r="K4886" s="1111"/>
      <c r="L4886" s="1112"/>
      <c r="M4886" s="1113"/>
      <c r="N4886" s="110"/>
      <c r="O4886" s="1140"/>
      <c r="P4886" s="1115"/>
      <c r="Q4886" s="1116"/>
      <c r="R4886" s="1141"/>
      <c r="S4886" s="1113"/>
      <c r="T4886" s="1143"/>
      <c r="U4886" s="1108"/>
      <c r="V4886" s="1108"/>
      <c r="W4886" s="1108"/>
      <c r="X4886" s="1108"/>
      <c r="Y4886" s="1108"/>
      <c r="Z4886" s="1114"/>
      <c r="AA4886" s="1114"/>
      <c r="AB4886" s="1114"/>
      <c r="AC4886" s="1117"/>
      <c r="AD4886" s="1115"/>
      <c r="AE4886" s="1115"/>
      <c r="AF4886" s="1115"/>
      <c r="AG4886" s="1115"/>
      <c r="AH4886" s="1115"/>
      <c r="AI4886" s="1115"/>
      <c r="AJ4886" s="1117"/>
      <c r="AK4886" s="1118"/>
      <c r="AL4886" s="1115"/>
      <c r="AM4886" s="1115"/>
      <c r="AN4886" s="1115"/>
      <c r="AO4886" s="1115"/>
      <c r="AP4886" s="1115"/>
      <c r="AQ4886" s="1115"/>
      <c r="AR4886" s="1115"/>
      <c r="AS4886" s="1117"/>
      <c r="AT4886" s="1075"/>
      <c r="AU4886" s="1193"/>
      <c r="AV4886" s="330"/>
      <c r="AW4886" s="331"/>
      <c r="AX4886" s="331"/>
      <c r="AY4886" s="331"/>
      <c r="AZ4886" s="331"/>
      <c r="BA4886" s="331"/>
      <c r="BB4886" s="331"/>
      <c r="BC4886" s="331"/>
      <c r="BD4886" s="331"/>
      <c r="BE4886" s="333"/>
      <c r="BF4886" s="330"/>
      <c r="BG4886" s="333"/>
      <c r="BH4886" s="1119"/>
      <c r="BI4886" s="319"/>
      <c r="BJ4886" s="319"/>
      <c r="BK4886" s="319"/>
      <c r="BL4886" s="319"/>
      <c r="BM4886" s="319"/>
      <c r="BN4886" s="319"/>
      <c r="BO4886" s="319"/>
      <c r="BP4886" s="953"/>
      <c r="BQ4886" s="319"/>
      <c r="BR4886" s="319"/>
      <c r="BS4886" s="330"/>
      <c r="BT4886" s="331"/>
      <c r="BU4886" s="920"/>
      <c r="BV4886" s="903"/>
      <c r="BW4886" s="908"/>
      <c r="BX4886" s="908"/>
      <c r="BY4886" s="331"/>
      <c r="BZ4886" s="331"/>
      <c r="CA4886" s="462"/>
      <c r="CB4886" s="319"/>
      <c r="CC4886" s="319"/>
      <c r="CD4886" s="319"/>
      <c r="CE4886" s="319"/>
      <c r="CF4886" s="319"/>
      <c r="CG4886" s="319"/>
      <c r="CH4886" s="318"/>
      <c r="CI4886" s="319"/>
      <c r="CJ4886" s="319"/>
      <c r="CK4886" s="342"/>
      <c r="CL4886" s="333"/>
      <c r="CM4886" s="1079"/>
      <c r="CN4886" s="1005"/>
      <c r="CO4886" s="1005"/>
      <c r="CP4886" s="1005"/>
    </row>
    <row r="4887">
      <c r="A4887" s="1257"/>
      <c r="B4887" s="1113"/>
      <c r="C4887" s="1107"/>
      <c r="D4887" s="103"/>
      <c r="E4887" s="1137"/>
      <c r="F4887" s="112"/>
      <c r="G4887" s="1110"/>
      <c r="H4887" s="1138"/>
      <c r="I4887" s="1138"/>
      <c r="J4887" s="1139"/>
      <c r="K4887" s="1111"/>
      <c r="L4887" s="1112"/>
      <c r="M4887" s="1113"/>
      <c r="N4887" s="110"/>
      <c r="O4887" s="1140"/>
      <c r="P4887" s="1115"/>
      <c r="Q4887" s="1116"/>
      <c r="R4887" s="1141"/>
      <c r="S4887" s="1113"/>
      <c r="T4887" s="1143"/>
      <c r="U4887" s="1108"/>
      <c r="V4887" s="1108"/>
      <c r="W4887" s="1108"/>
      <c r="X4887" s="1108"/>
      <c r="Y4887" s="1108"/>
      <c r="Z4887" s="1114"/>
      <c r="AA4887" s="1114"/>
      <c r="AB4887" s="1114"/>
      <c r="AC4887" s="1117"/>
      <c r="AD4887" s="1115"/>
      <c r="AE4887" s="1115"/>
      <c r="AF4887" s="1115"/>
      <c r="AG4887" s="1115"/>
      <c r="AH4887" s="1115"/>
      <c r="AI4887" s="1115"/>
      <c r="AJ4887" s="1117"/>
      <c r="AK4887" s="1118"/>
      <c r="AL4887" s="1115"/>
      <c r="AM4887" s="1115"/>
      <c r="AN4887" s="1115"/>
      <c r="AO4887" s="1115"/>
      <c r="AP4887" s="1115"/>
      <c r="AQ4887" s="1115"/>
      <c r="AR4887" s="1115"/>
      <c r="AS4887" s="1117"/>
      <c r="AT4887" s="1075"/>
      <c r="AU4887" s="1193"/>
      <c r="AV4887" s="330"/>
      <c r="AW4887" s="331"/>
      <c r="AX4887" s="331"/>
      <c r="AY4887" s="331"/>
      <c r="AZ4887" s="331"/>
      <c r="BA4887" s="331"/>
      <c r="BB4887" s="331"/>
      <c r="BC4887" s="331"/>
      <c r="BD4887" s="331"/>
      <c r="BE4887" s="333"/>
      <c r="BF4887" s="330"/>
      <c r="BG4887" s="333"/>
      <c r="BH4887" s="1119"/>
      <c r="BI4887" s="319"/>
      <c r="BJ4887" s="319"/>
      <c r="BK4887" s="319"/>
      <c r="BL4887" s="319"/>
      <c r="BM4887" s="319"/>
      <c r="BN4887" s="319"/>
      <c r="BO4887" s="319"/>
      <c r="BP4887" s="953"/>
      <c r="BQ4887" s="319"/>
      <c r="BR4887" s="319"/>
      <c r="BS4887" s="330"/>
      <c r="BT4887" s="331"/>
      <c r="BU4887" s="920"/>
      <c r="BV4887" s="903"/>
      <c r="BW4887" s="908"/>
      <c r="BX4887" s="908"/>
      <c r="BY4887" s="331"/>
      <c r="BZ4887" s="331"/>
      <c r="CA4887" s="462"/>
      <c r="CB4887" s="319"/>
      <c r="CC4887" s="319"/>
      <c r="CD4887" s="319"/>
      <c r="CE4887" s="319"/>
      <c r="CF4887" s="319"/>
      <c r="CG4887" s="319"/>
      <c r="CH4887" s="318"/>
      <c r="CI4887" s="319"/>
      <c r="CJ4887" s="319"/>
      <c r="CK4887" s="342"/>
      <c r="CL4887" s="333"/>
      <c r="CM4887" s="1079"/>
      <c r="CN4887" s="1005"/>
      <c r="CO4887" s="1005"/>
      <c r="CP4887" s="1005"/>
    </row>
    <row r="4888">
      <c r="A4888" s="1257"/>
      <c r="B4888" s="1113"/>
      <c r="C4888" s="1107"/>
      <c r="D4888" s="103"/>
      <c r="E4888" s="1137"/>
      <c r="F4888" s="112"/>
      <c r="G4888" s="1110"/>
      <c r="H4888" s="1138"/>
      <c r="I4888" s="1138"/>
      <c r="J4888" s="1139"/>
      <c r="K4888" s="1111"/>
      <c r="L4888" s="1112"/>
      <c r="M4888" s="1113"/>
      <c r="N4888" s="110"/>
      <c r="O4888" s="1140"/>
      <c r="P4888" s="1115"/>
      <c r="Q4888" s="1116"/>
      <c r="R4888" s="1141"/>
      <c r="S4888" s="1113"/>
      <c r="T4888" s="1143"/>
      <c r="U4888" s="1108"/>
      <c r="V4888" s="1108"/>
      <c r="W4888" s="1108"/>
      <c r="X4888" s="1108"/>
      <c r="Y4888" s="1108"/>
      <c r="Z4888" s="1114"/>
      <c r="AA4888" s="1114"/>
      <c r="AB4888" s="1114"/>
      <c r="AC4888" s="1117"/>
      <c r="AD4888" s="1115"/>
      <c r="AE4888" s="1115"/>
      <c r="AF4888" s="1115"/>
      <c r="AG4888" s="1115"/>
      <c r="AH4888" s="1115"/>
      <c r="AI4888" s="1115"/>
      <c r="AJ4888" s="1117"/>
      <c r="AK4888" s="1118"/>
      <c r="AL4888" s="1115"/>
      <c r="AM4888" s="1115"/>
      <c r="AN4888" s="1115"/>
      <c r="AO4888" s="1115"/>
      <c r="AP4888" s="1115"/>
      <c r="AQ4888" s="1115"/>
      <c r="AR4888" s="1115"/>
      <c r="AS4888" s="1117"/>
      <c r="AT4888" s="1075"/>
      <c r="AU4888" s="1193"/>
      <c r="AV4888" s="330"/>
      <c r="AW4888" s="331"/>
      <c r="AX4888" s="331"/>
      <c r="AY4888" s="331"/>
      <c r="AZ4888" s="331"/>
      <c r="BA4888" s="331"/>
      <c r="BB4888" s="331"/>
      <c r="BC4888" s="331"/>
      <c r="BD4888" s="331"/>
      <c r="BE4888" s="333"/>
      <c r="BF4888" s="330"/>
      <c r="BG4888" s="333"/>
      <c r="BH4888" s="1119"/>
      <c r="BI4888" s="319"/>
      <c r="BJ4888" s="319"/>
      <c r="BK4888" s="319"/>
      <c r="BL4888" s="319"/>
      <c r="BM4888" s="319"/>
      <c r="BN4888" s="319"/>
      <c r="BO4888" s="319"/>
      <c r="BP4888" s="953"/>
      <c r="BQ4888" s="319"/>
      <c r="BR4888" s="319"/>
      <c r="BS4888" s="330"/>
      <c r="BT4888" s="331"/>
      <c r="BU4888" s="920"/>
      <c r="BV4888" s="903"/>
      <c r="BW4888" s="908"/>
      <c r="BX4888" s="908"/>
      <c r="BY4888" s="331"/>
      <c r="BZ4888" s="331"/>
      <c r="CA4888" s="462"/>
      <c r="CB4888" s="319"/>
      <c r="CC4888" s="319"/>
      <c r="CD4888" s="319"/>
      <c r="CE4888" s="319"/>
      <c r="CF4888" s="319"/>
      <c r="CG4888" s="319"/>
      <c r="CH4888" s="318"/>
      <c r="CI4888" s="319"/>
      <c r="CJ4888" s="319"/>
      <c r="CK4888" s="342"/>
      <c r="CL4888" s="333"/>
      <c r="CM4888" s="1079"/>
      <c r="CN4888" s="1005"/>
      <c r="CO4888" s="1005"/>
      <c r="CP4888" s="1005"/>
    </row>
    <row r="4889">
      <c r="A4889" s="1257"/>
      <c r="B4889" s="1113"/>
      <c r="C4889" s="1107"/>
      <c r="D4889" s="103"/>
      <c r="E4889" s="1137"/>
      <c r="F4889" s="112"/>
      <c r="G4889" s="1110"/>
      <c r="H4889" s="1138"/>
      <c r="I4889" s="1138"/>
      <c r="J4889" s="1139"/>
      <c r="K4889" s="1111"/>
      <c r="L4889" s="1112"/>
      <c r="M4889" s="1113"/>
      <c r="N4889" s="110"/>
      <c r="O4889" s="1140"/>
      <c r="P4889" s="1115"/>
      <c r="Q4889" s="1116"/>
      <c r="R4889" s="1141"/>
      <c r="S4889" s="1113"/>
      <c r="T4889" s="1143"/>
      <c r="U4889" s="1108"/>
      <c r="V4889" s="1108"/>
      <c r="W4889" s="1108"/>
      <c r="X4889" s="1108"/>
      <c r="Y4889" s="1108"/>
      <c r="Z4889" s="1114"/>
      <c r="AA4889" s="1114"/>
      <c r="AB4889" s="1114"/>
      <c r="AC4889" s="1117"/>
      <c r="AD4889" s="1115"/>
      <c r="AE4889" s="1115"/>
      <c r="AF4889" s="1115"/>
      <c r="AG4889" s="1115"/>
      <c r="AH4889" s="1115"/>
      <c r="AI4889" s="1115"/>
      <c r="AJ4889" s="1117"/>
      <c r="AK4889" s="1118"/>
      <c r="AL4889" s="1115"/>
      <c r="AM4889" s="1115"/>
      <c r="AN4889" s="1115"/>
      <c r="AO4889" s="1115"/>
      <c r="AP4889" s="1115"/>
      <c r="AQ4889" s="1115"/>
      <c r="AR4889" s="1115"/>
      <c r="AS4889" s="1117"/>
      <c r="AT4889" s="1075"/>
      <c r="AU4889" s="1193"/>
      <c r="AV4889" s="330"/>
      <c r="AW4889" s="331"/>
      <c r="AX4889" s="331"/>
      <c r="AY4889" s="331"/>
      <c r="AZ4889" s="331"/>
      <c r="BA4889" s="331"/>
      <c r="BB4889" s="331"/>
      <c r="BC4889" s="331"/>
      <c r="BD4889" s="331"/>
      <c r="BE4889" s="333"/>
      <c r="BF4889" s="330"/>
      <c r="BG4889" s="333"/>
      <c r="BH4889" s="1119"/>
      <c r="BI4889" s="319"/>
      <c r="BJ4889" s="319"/>
      <c r="BK4889" s="319"/>
      <c r="BL4889" s="319"/>
      <c r="BM4889" s="319"/>
      <c r="BN4889" s="319"/>
      <c r="BO4889" s="319"/>
      <c r="BP4889" s="953"/>
      <c r="BQ4889" s="319"/>
      <c r="BR4889" s="319"/>
      <c r="BS4889" s="330"/>
      <c r="BT4889" s="331"/>
      <c r="BU4889" s="920"/>
      <c r="BV4889" s="903"/>
      <c r="BW4889" s="908"/>
      <c r="BX4889" s="908"/>
      <c r="BY4889" s="331"/>
      <c r="BZ4889" s="331"/>
      <c r="CA4889" s="462"/>
      <c r="CB4889" s="319"/>
      <c r="CC4889" s="319"/>
      <c r="CD4889" s="319"/>
      <c r="CE4889" s="319"/>
      <c r="CF4889" s="319"/>
      <c r="CG4889" s="319"/>
      <c r="CH4889" s="318"/>
      <c r="CI4889" s="319"/>
      <c r="CJ4889" s="319"/>
      <c r="CK4889" s="342"/>
      <c r="CL4889" s="333"/>
      <c r="CM4889" s="1079"/>
      <c r="CN4889" s="1005"/>
      <c r="CO4889" s="1005"/>
      <c r="CP4889" s="1005"/>
    </row>
    <row r="4890">
      <c r="A4890" s="1257"/>
      <c r="B4890" s="1113"/>
      <c r="C4890" s="1107"/>
      <c r="D4890" s="103"/>
      <c r="E4890" s="1137"/>
      <c r="F4890" s="112"/>
      <c r="G4890" s="1110"/>
      <c r="H4890" s="1138"/>
      <c r="I4890" s="1138"/>
      <c r="J4890" s="1139"/>
      <c r="K4890" s="1111"/>
      <c r="L4890" s="1112"/>
      <c r="M4890" s="1113"/>
      <c r="N4890" s="110"/>
      <c r="O4890" s="1140"/>
      <c r="P4890" s="1115"/>
      <c r="Q4890" s="1116"/>
      <c r="R4890" s="1141"/>
      <c r="S4890" s="1113"/>
      <c r="T4890" s="1143"/>
      <c r="U4890" s="1108"/>
      <c r="V4890" s="1108"/>
      <c r="W4890" s="1108"/>
      <c r="X4890" s="1108"/>
      <c r="Y4890" s="1108"/>
      <c r="Z4890" s="1114"/>
      <c r="AA4890" s="1114"/>
      <c r="AB4890" s="1114"/>
      <c r="AC4890" s="1117"/>
      <c r="AD4890" s="1115"/>
      <c r="AE4890" s="1115"/>
      <c r="AF4890" s="1115"/>
      <c r="AG4890" s="1115"/>
      <c r="AH4890" s="1115"/>
      <c r="AI4890" s="1115"/>
      <c r="AJ4890" s="1117"/>
      <c r="AK4890" s="1118"/>
      <c r="AL4890" s="1115"/>
      <c r="AM4890" s="1115"/>
      <c r="AN4890" s="1115"/>
      <c r="AO4890" s="1115"/>
      <c r="AP4890" s="1115"/>
      <c r="AQ4890" s="1115"/>
      <c r="AR4890" s="1115"/>
      <c r="AS4890" s="1117"/>
      <c r="AT4890" s="1075"/>
      <c r="AU4890" s="1193"/>
      <c r="AV4890" s="330"/>
      <c r="AW4890" s="331"/>
      <c r="AX4890" s="331"/>
      <c r="AY4890" s="331"/>
      <c r="AZ4890" s="331"/>
      <c r="BA4890" s="331"/>
      <c r="BB4890" s="331"/>
      <c r="BC4890" s="331"/>
      <c r="BD4890" s="331"/>
      <c r="BE4890" s="333"/>
      <c r="BF4890" s="330"/>
      <c r="BG4890" s="333"/>
      <c r="BH4890" s="1119"/>
      <c r="BI4890" s="319"/>
      <c r="BJ4890" s="319"/>
      <c r="BK4890" s="319"/>
      <c r="BL4890" s="319"/>
      <c r="BM4890" s="319"/>
      <c r="BN4890" s="319"/>
      <c r="BO4890" s="319"/>
      <c r="BP4890" s="953"/>
      <c r="BQ4890" s="319"/>
      <c r="BR4890" s="319"/>
      <c r="BS4890" s="330"/>
      <c r="BT4890" s="331"/>
      <c r="BU4890" s="920"/>
      <c r="BV4890" s="903"/>
      <c r="BW4890" s="908"/>
      <c r="BX4890" s="908"/>
      <c r="BY4890" s="331"/>
      <c r="BZ4890" s="331"/>
      <c r="CA4890" s="462"/>
      <c r="CB4890" s="319"/>
      <c r="CC4890" s="319"/>
      <c r="CD4890" s="319"/>
      <c r="CE4890" s="319"/>
      <c r="CF4890" s="319"/>
      <c r="CG4890" s="319"/>
      <c r="CH4890" s="318"/>
      <c r="CI4890" s="319"/>
      <c r="CJ4890" s="319"/>
      <c r="CK4890" s="342"/>
      <c r="CL4890" s="333"/>
      <c r="CM4890" s="1079"/>
      <c r="CN4890" s="1005"/>
      <c r="CO4890" s="1005"/>
      <c r="CP4890" s="1005"/>
    </row>
    <row r="4891">
      <c r="A4891" s="1257"/>
      <c r="B4891" s="1113"/>
      <c r="C4891" s="1107"/>
      <c r="D4891" s="103"/>
      <c r="E4891" s="1137"/>
      <c r="F4891" s="112"/>
      <c r="G4891" s="1110"/>
      <c r="H4891" s="1138"/>
      <c r="I4891" s="1138"/>
      <c r="J4891" s="1139"/>
      <c r="K4891" s="1111"/>
      <c r="L4891" s="1112"/>
      <c r="M4891" s="1113"/>
      <c r="N4891" s="110"/>
      <c r="O4891" s="1140"/>
      <c r="P4891" s="1115"/>
      <c r="Q4891" s="1116"/>
      <c r="R4891" s="1141"/>
      <c r="S4891" s="1113"/>
      <c r="T4891" s="1143"/>
      <c r="U4891" s="1108"/>
      <c r="V4891" s="1108"/>
      <c r="W4891" s="1108"/>
      <c r="X4891" s="1108"/>
      <c r="Y4891" s="1108"/>
      <c r="Z4891" s="1114"/>
      <c r="AA4891" s="1114"/>
      <c r="AB4891" s="1114"/>
      <c r="AC4891" s="1117"/>
      <c r="AD4891" s="1115"/>
      <c r="AE4891" s="1115"/>
      <c r="AF4891" s="1115"/>
      <c r="AG4891" s="1115"/>
      <c r="AH4891" s="1115"/>
      <c r="AI4891" s="1115"/>
      <c r="AJ4891" s="1117"/>
      <c r="AK4891" s="1118"/>
      <c r="AL4891" s="1115"/>
      <c r="AM4891" s="1115"/>
      <c r="AN4891" s="1115"/>
      <c r="AO4891" s="1115"/>
      <c r="AP4891" s="1115"/>
      <c r="AQ4891" s="1115"/>
      <c r="AR4891" s="1115"/>
      <c r="AS4891" s="1117"/>
      <c r="AT4891" s="1075"/>
      <c r="AU4891" s="1193"/>
      <c r="AV4891" s="330"/>
      <c r="AW4891" s="331"/>
      <c r="AX4891" s="331"/>
      <c r="AY4891" s="331"/>
      <c r="AZ4891" s="331"/>
      <c r="BA4891" s="331"/>
      <c r="BB4891" s="331"/>
      <c r="BC4891" s="331"/>
      <c r="BD4891" s="331"/>
      <c r="BE4891" s="333"/>
      <c r="BF4891" s="330"/>
      <c r="BG4891" s="333"/>
      <c r="BH4891" s="1119"/>
      <c r="BI4891" s="319"/>
      <c r="BJ4891" s="319"/>
      <c r="BK4891" s="319"/>
      <c r="BL4891" s="319"/>
      <c r="BM4891" s="319"/>
      <c r="BN4891" s="319"/>
      <c r="BO4891" s="319"/>
      <c r="BP4891" s="953"/>
      <c r="BQ4891" s="319"/>
      <c r="BR4891" s="319"/>
      <c r="BS4891" s="330"/>
      <c r="BT4891" s="331"/>
      <c r="BU4891" s="920"/>
      <c r="BV4891" s="903"/>
      <c r="BW4891" s="908"/>
      <c r="BX4891" s="908"/>
      <c r="BY4891" s="331"/>
      <c r="BZ4891" s="331"/>
      <c r="CA4891" s="462"/>
      <c r="CB4891" s="319"/>
      <c r="CC4891" s="319"/>
      <c r="CD4891" s="319"/>
      <c r="CE4891" s="319"/>
      <c r="CF4891" s="319"/>
      <c r="CG4891" s="319"/>
      <c r="CH4891" s="318"/>
      <c r="CI4891" s="319"/>
      <c r="CJ4891" s="319"/>
      <c r="CK4891" s="342"/>
      <c r="CL4891" s="333"/>
      <c r="CM4891" s="1079"/>
      <c r="CN4891" s="1005"/>
      <c r="CO4891" s="1005"/>
      <c r="CP4891" s="1005"/>
    </row>
    <row r="4892">
      <c r="A4892" s="1257"/>
      <c r="B4892" s="1113"/>
      <c r="C4892" s="1107"/>
      <c r="D4892" s="103"/>
      <c r="E4892" s="1137"/>
      <c r="F4892" s="112"/>
      <c r="G4892" s="1110"/>
      <c r="H4892" s="1138"/>
      <c r="I4892" s="1138"/>
      <c r="J4892" s="1139"/>
      <c r="K4892" s="1111"/>
      <c r="L4892" s="1112"/>
      <c r="M4892" s="1113"/>
      <c r="N4892" s="110"/>
      <c r="O4892" s="1140"/>
      <c r="P4892" s="1115"/>
      <c r="Q4892" s="1116"/>
      <c r="R4892" s="1141"/>
      <c r="S4892" s="1113"/>
      <c r="T4892" s="1143"/>
      <c r="U4892" s="1108"/>
      <c r="V4892" s="1108"/>
      <c r="W4892" s="1108"/>
      <c r="X4892" s="1108"/>
      <c r="Y4892" s="1108"/>
      <c r="Z4892" s="1114"/>
      <c r="AA4892" s="1114"/>
      <c r="AB4892" s="1114"/>
      <c r="AC4892" s="1117"/>
      <c r="AD4892" s="1115"/>
      <c r="AE4892" s="1115"/>
      <c r="AF4892" s="1115"/>
      <c r="AG4892" s="1115"/>
      <c r="AH4892" s="1115"/>
      <c r="AI4892" s="1115"/>
      <c r="AJ4892" s="1117"/>
      <c r="AK4892" s="1118"/>
      <c r="AL4892" s="1115"/>
      <c r="AM4892" s="1115"/>
      <c r="AN4892" s="1115"/>
      <c r="AO4892" s="1115"/>
      <c r="AP4892" s="1115"/>
      <c r="AQ4892" s="1115"/>
      <c r="AR4892" s="1115"/>
      <c r="AS4892" s="1117"/>
      <c r="AT4892" s="1075"/>
      <c r="AU4892" s="1193"/>
      <c r="AV4892" s="330"/>
      <c r="AW4892" s="331"/>
      <c r="AX4892" s="331"/>
      <c r="AY4892" s="331"/>
      <c r="AZ4892" s="331"/>
      <c r="BA4892" s="331"/>
      <c r="BB4892" s="331"/>
      <c r="BC4892" s="331"/>
      <c r="BD4892" s="331"/>
      <c r="BE4892" s="333"/>
      <c r="BF4892" s="330"/>
      <c r="BG4892" s="333"/>
      <c r="BH4892" s="1119"/>
      <c r="BI4892" s="319"/>
      <c r="BJ4892" s="319"/>
      <c r="BK4892" s="319"/>
      <c r="BL4892" s="319"/>
      <c r="BM4892" s="319"/>
      <c r="BN4892" s="319"/>
      <c r="BO4892" s="319"/>
      <c r="BP4892" s="953"/>
      <c r="BQ4892" s="319"/>
      <c r="BR4892" s="319"/>
      <c r="BS4892" s="330"/>
      <c r="BT4892" s="331"/>
      <c r="BU4892" s="920"/>
      <c r="BV4892" s="903"/>
      <c r="BW4892" s="908"/>
      <c r="BX4892" s="908"/>
      <c r="BY4892" s="331"/>
      <c r="BZ4892" s="331"/>
      <c r="CA4892" s="462"/>
      <c r="CB4892" s="319"/>
      <c r="CC4892" s="319"/>
      <c r="CD4892" s="319"/>
      <c r="CE4892" s="319"/>
      <c r="CF4892" s="319"/>
      <c r="CG4892" s="319"/>
      <c r="CH4892" s="318"/>
      <c r="CI4892" s="319"/>
      <c r="CJ4892" s="319"/>
      <c r="CK4892" s="342"/>
      <c r="CL4892" s="333"/>
      <c r="CM4892" s="1079"/>
      <c r="CN4892" s="1005"/>
      <c r="CO4892" s="1005"/>
      <c r="CP4892" s="1005"/>
    </row>
    <row r="4893">
      <c r="A4893" s="1257"/>
      <c r="B4893" s="1113"/>
      <c r="C4893" s="1107"/>
      <c r="D4893" s="103"/>
      <c r="E4893" s="1137"/>
      <c r="F4893" s="112"/>
      <c r="G4893" s="1110"/>
      <c r="H4893" s="1138"/>
      <c r="I4893" s="1138"/>
      <c r="J4893" s="1139"/>
      <c r="K4893" s="1111"/>
      <c r="L4893" s="1112"/>
      <c r="M4893" s="1113"/>
      <c r="N4893" s="110"/>
      <c r="O4893" s="1140"/>
      <c r="P4893" s="1115"/>
      <c r="Q4893" s="1116"/>
      <c r="R4893" s="1141"/>
      <c r="S4893" s="1113"/>
      <c r="T4893" s="1143"/>
      <c r="U4893" s="1108"/>
      <c r="V4893" s="1108"/>
      <c r="W4893" s="1108"/>
      <c r="X4893" s="1108"/>
      <c r="Y4893" s="1108"/>
      <c r="Z4893" s="1114"/>
      <c r="AA4893" s="1114"/>
      <c r="AB4893" s="1114"/>
      <c r="AC4893" s="1117"/>
      <c r="AD4893" s="1115"/>
      <c r="AE4893" s="1115"/>
      <c r="AF4893" s="1115"/>
      <c r="AG4893" s="1115"/>
      <c r="AH4893" s="1115"/>
      <c r="AI4893" s="1115"/>
      <c r="AJ4893" s="1117"/>
      <c r="AK4893" s="1118"/>
      <c r="AL4893" s="1115"/>
      <c r="AM4893" s="1115"/>
      <c r="AN4893" s="1115"/>
      <c r="AO4893" s="1115"/>
      <c r="AP4893" s="1115"/>
      <c r="AQ4893" s="1115"/>
      <c r="AR4893" s="1115"/>
      <c r="AS4893" s="1117"/>
      <c r="AT4893" s="1075"/>
      <c r="AU4893" s="1193"/>
      <c r="AV4893" s="330"/>
      <c r="AW4893" s="331"/>
      <c r="AX4893" s="331"/>
      <c r="AY4893" s="331"/>
      <c r="AZ4893" s="331"/>
      <c r="BA4893" s="331"/>
      <c r="BB4893" s="331"/>
      <c r="BC4893" s="331"/>
      <c r="BD4893" s="331"/>
      <c r="BE4893" s="333"/>
      <c r="BF4893" s="330"/>
      <c r="BG4893" s="333"/>
      <c r="BH4893" s="1119"/>
      <c r="BI4893" s="319"/>
      <c r="BJ4893" s="319"/>
      <c r="BK4893" s="319"/>
      <c r="BL4893" s="319"/>
      <c r="BM4893" s="319"/>
      <c r="BN4893" s="319"/>
      <c r="BO4893" s="319"/>
      <c r="BP4893" s="953"/>
      <c r="BQ4893" s="319"/>
      <c r="BR4893" s="319"/>
      <c r="BS4893" s="330"/>
      <c r="BT4893" s="331"/>
      <c r="BU4893" s="920"/>
      <c r="BV4893" s="903"/>
      <c r="BW4893" s="908"/>
      <c r="BX4893" s="908"/>
      <c r="BY4893" s="331"/>
      <c r="BZ4893" s="331"/>
      <c r="CA4893" s="462"/>
      <c r="CB4893" s="319"/>
      <c r="CC4893" s="319"/>
      <c r="CD4893" s="319"/>
      <c r="CE4893" s="319"/>
      <c r="CF4893" s="319"/>
      <c r="CG4893" s="319"/>
      <c r="CH4893" s="318"/>
      <c r="CI4893" s="319"/>
      <c r="CJ4893" s="319"/>
      <c r="CK4893" s="342"/>
      <c r="CL4893" s="333"/>
      <c r="CM4893" s="1079"/>
      <c r="CN4893" s="1005"/>
      <c r="CO4893" s="1005"/>
      <c r="CP4893" s="1005"/>
    </row>
    <row r="4894">
      <c r="A4894" s="1257"/>
      <c r="B4894" s="1113"/>
      <c r="C4894" s="1107"/>
      <c r="D4894" s="103"/>
      <c r="E4894" s="1137"/>
      <c r="F4894" s="112"/>
      <c r="G4894" s="1110"/>
      <c r="H4894" s="1138"/>
      <c r="I4894" s="1138"/>
      <c r="J4894" s="1139"/>
      <c r="K4894" s="1111"/>
      <c r="L4894" s="1112"/>
      <c r="M4894" s="1113"/>
      <c r="N4894" s="110"/>
      <c r="O4894" s="1140"/>
      <c r="P4894" s="1115"/>
      <c r="Q4894" s="1116"/>
      <c r="R4894" s="1141"/>
      <c r="S4894" s="1113"/>
      <c r="T4894" s="1143"/>
      <c r="U4894" s="1108"/>
      <c r="V4894" s="1108"/>
      <c r="W4894" s="1108"/>
      <c r="X4894" s="1108"/>
      <c r="Y4894" s="1108"/>
      <c r="Z4894" s="1114"/>
      <c r="AA4894" s="1114"/>
      <c r="AB4894" s="1114"/>
      <c r="AC4894" s="1117"/>
      <c r="AD4894" s="1115"/>
      <c r="AE4894" s="1115"/>
      <c r="AF4894" s="1115"/>
      <c r="AG4894" s="1115"/>
      <c r="AH4894" s="1115"/>
      <c r="AI4894" s="1115"/>
      <c r="AJ4894" s="1117"/>
      <c r="AK4894" s="1118"/>
      <c r="AL4894" s="1115"/>
      <c r="AM4894" s="1115"/>
      <c r="AN4894" s="1115"/>
      <c r="AO4894" s="1115"/>
      <c r="AP4894" s="1115"/>
      <c r="AQ4894" s="1115"/>
      <c r="AR4894" s="1115"/>
      <c r="AS4894" s="1117"/>
      <c r="AT4894" s="1075"/>
      <c r="AU4894" s="1193"/>
      <c r="AV4894" s="330"/>
      <c r="AW4894" s="331"/>
      <c r="AX4894" s="331"/>
      <c r="AY4894" s="331"/>
      <c r="AZ4894" s="331"/>
      <c r="BA4894" s="331"/>
      <c r="BB4894" s="331"/>
      <c r="BC4894" s="331"/>
      <c r="BD4894" s="331"/>
      <c r="BE4894" s="333"/>
      <c r="BF4894" s="330"/>
      <c r="BG4894" s="333"/>
      <c r="BH4894" s="1119"/>
      <c r="BI4894" s="319"/>
      <c r="BJ4894" s="319"/>
      <c r="BK4894" s="319"/>
      <c r="BL4894" s="319"/>
      <c r="BM4894" s="319"/>
      <c r="BN4894" s="319"/>
      <c r="BO4894" s="319"/>
      <c r="BP4894" s="953"/>
      <c r="BQ4894" s="319"/>
      <c r="BR4894" s="319"/>
      <c r="BS4894" s="330"/>
      <c r="BT4894" s="331"/>
      <c r="BU4894" s="920"/>
      <c r="BV4894" s="903"/>
      <c r="BW4894" s="908"/>
      <c r="BX4894" s="908"/>
      <c r="BY4894" s="331"/>
      <c r="BZ4894" s="331"/>
      <c r="CA4894" s="462"/>
      <c r="CB4894" s="319"/>
      <c r="CC4894" s="319"/>
      <c r="CD4894" s="319"/>
      <c r="CE4894" s="319"/>
      <c r="CF4894" s="319"/>
      <c r="CG4894" s="319"/>
      <c r="CH4894" s="318"/>
      <c r="CI4894" s="319"/>
      <c r="CJ4894" s="319"/>
      <c r="CK4894" s="342"/>
      <c r="CL4894" s="333"/>
      <c r="CM4894" s="1079"/>
      <c r="CN4894" s="1005"/>
      <c r="CO4894" s="1005"/>
      <c r="CP4894" s="1005"/>
    </row>
    <row r="4895">
      <c r="A4895" s="1257"/>
      <c r="B4895" s="1113"/>
      <c r="C4895" s="1107"/>
      <c r="D4895" s="103"/>
      <c r="E4895" s="1137"/>
      <c r="F4895" s="112"/>
      <c r="G4895" s="1110"/>
      <c r="H4895" s="1138"/>
      <c r="I4895" s="1138"/>
      <c r="J4895" s="1139"/>
      <c r="K4895" s="1111"/>
      <c r="L4895" s="1112"/>
      <c r="M4895" s="1113"/>
      <c r="N4895" s="110"/>
      <c r="O4895" s="1140"/>
      <c r="P4895" s="1115"/>
      <c r="Q4895" s="1116"/>
      <c r="R4895" s="1141"/>
      <c r="S4895" s="1113"/>
      <c r="T4895" s="1143"/>
      <c r="U4895" s="1108"/>
      <c r="V4895" s="1108"/>
      <c r="W4895" s="1108"/>
      <c r="X4895" s="1108"/>
      <c r="Y4895" s="1108"/>
      <c r="Z4895" s="1114"/>
      <c r="AA4895" s="1114"/>
      <c r="AB4895" s="1114"/>
      <c r="AC4895" s="1117"/>
      <c r="AD4895" s="1115"/>
      <c r="AE4895" s="1115"/>
      <c r="AF4895" s="1115"/>
      <c r="AG4895" s="1115"/>
      <c r="AH4895" s="1115"/>
      <c r="AI4895" s="1115"/>
      <c r="AJ4895" s="1117"/>
      <c r="AK4895" s="1118"/>
      <c r="AL4895" s="1115"/>
      <c r="AM4895" s="1115"/>
      <c r="AN4895" s="1115"/>
      <c r="AO4895" s="1115"/>
      <c r="AP4895" s="1115"/>
      <c r="AQ4895" s="1115"/>
      <c r="AR4895" s="1115"/>
      <c r="AS4895" s="1117"/>
      <c r="AT4895" s="1075"/>
      <c r="AU4895" s="1193"/>
      <c r="AV4895" s="330"/>
      <c r="AW4895" s="331"/>
      <c r="AX4895" s="331"/>
      <c r="AY4895" s="331"/>
      <c r="AZ4895" s="331"/>
      <c r="BA4895" s="331"/>
      <c r="BB4895" s="331"/>
      <c r="BC4895" s="331"/>
      <c r="BD4895" s="331"/>
      <c r="BE4895" s="333"/>
      <c r="BF4895" s="330"/>
      <c r="BG4895" s="333"/>
      <c r="BH4895" s="1119"/>
      <c r="BI4895" s="319"/>
      <c r="BJ4895" s="319"/>
      <c r="BK4895" s="319"/>
      <c r="BL4895" s="319"/>
      <c r="BM4895" s="319"/>
      <c r="BN4895" s="319"/>
      <c r="BO4895" s="319"/>
      <c r="BP4895" s="953"/>
      <c r="BQ4895" s="319"/>
      <c r="BR4895" s="319"/>
      <c r="BS4895" s="330"/>
      <c r="BT4895" s="331"/>
      <c r="BU4895" s="920"/>
      <c r="BV4895" s="903"/>
      <c r="BW4895" s="908"/>
      <c r="BX4895" s="908"/>
      <c r="BY4895" s="331"/>
      <c r="BZ4895" s="331"/>
      <c r="CA4895" s="462"/>
      <c r="CB4895" s="319"/>
      <c r="CC4895" s="319"/>
      <c r="CD4895" s="319"/>
      <c r="CE4895" s="319"/>
      <c r="CF4895" s="319"/>
      <c r="CG4895" s="319"/>
      <c r="CH4895" s="318"/>
      <c r="CI4895" s="319"/>
      <c r="CJ4895" s="319"/>
      <c r="CK4895" s="342"/>
      <c r="CL4895" s="333"/>
      <c r="CM4895" s="1079"/>
      <c r="CN4895" s="1005"/>
      <c r="CO4895" s="1005"/>
      <c r="CP4895" s="1005"/>
    </row>
    <row r="4896">
      <c r="A4896" s="1257"/>
      <c r="B4896" s="1113"/>
      <c r="C4896" s="1107"/>
      <c r="D4896" s="103"/>
      <c r="E4896" s="1137"/>
      <c r="F4896" s="112"/>
      <c r="G4896" s="1110"/>
      <c r="H4896" s="1138"/>
      <c r="I4896" s="1138"/>
      <c r="J4896" s="1139"/>
      <c r="K4896" s="1111"/>
      <c r="L4896" s="1112"/>
      <c r="M4896" s="1113"/>
      <c r="N4896" s="110"/>
      <c r="O4896" s="1140"/>
      <c r="P4896" s="1115"/>
      <c r="Q4896" s="1116"/>
      <c r="R4896" s="1141"/>
      <c r="S4896" s="1113"/>
      <c r="T4896" s="1143"/>
      <c r="U4896" s="1108"/>
      <c r="V4896" s="1108"/>
      <c r="W4896" s="1108"/>
      <c r="X4896" s="1108"/>
      <c r="Y4896" s="1108"/>
      <c r="Z4896" s="1114"/>
      <c r="AA4896" s="1114"/>
      <c r="AB4896" s="1114"/>
      <c r="AC4896" s="1117"/>
      <c r="AD4896" s="1115"/>
      <c r="AE4896" s="1115"/>
      <c r="AF4896" s="1115"/>
      <c r="AG4896" s="1115"/>
      <c r="AH4896" s="1115"/>
      <c r="AI4896" s="1115"/>
      <c r="AJ4896" s="1117"/>
      <c r="AK4896" s="1118"/>
      <c r="AL4896" s="1115"/>
      <c r="AM4896" s="1115"/>
      <c r="AN4896" s="1115"/>
      <c r="AO4896" s="1115"/>
      <c r="AP4896" s="1115"/>
      <c r="AQ4896" s="1115"/>
      <c r="AR4896" s="1115"/>
      <c r="AS4896" s="1117"/>
      <c r="AT4896" s="1075"/>
      <c r="AU4896" s="1193"/>
      <c r="AV4896" s="330"/>
      <c r="AW4896" s="331"/>
      <c r="AX4896" s="331"/>
      <c r="AY4896" s="331"/>
      <c r="AZ4896" s="331"/>
      <c r="BA4896" s="331"/>
      <c r="BB4896" s="331"/>
      <c r="BC4896" s="331"/>
      <c r="BD4896" s="331"/>
      <c r="BE4896" s="333"/>
      <c r="BF4896" s="330"/>
      <c r="BG4896" s="333"/>
      <c r="BH4896" s="1119"/>
      <c r="BI4896" s="319"/>
      <c r="BJ4896" s="319"/>
      <c r="BK4896" s="319"/>
      <c r="BL4896" s="319"/>
      <c r="BM4896" s="319"/>
      <c r="BN4896" s="319"/>
      <c r="BO4896" s="319"/>
      <c r="BP4896" s="953"/>
      <c r="BQ4896" s="319"/>
      <c r="BR4896" s="319"/>
      <c r="BS4896" s="330"/>
      <c r="BT4896" s="331"/>
      <c r="BU4896" s="920"/>
      <c r="BV4896" s="903"/>
      <c r="BW4896" s="908"/>
      <c r="BX4896" s="908"/>
      <c r="BY4896" s="331"/>
      <c r="BZ4896" s="331"/>
      <c r="CA4896" s="462"/>
      <c r="CB4896" s="319"/>
      <c r="CC4896" s="319"/>
      <c r="CD4896" s="319"/>
      <c r="CE4896" s="319"/>
      <c r="CF4896" s="319"/>
      <c r="CG4896" s="319"/>
      <c r="CH4896" s="318"/>
      <c r="CI4896" s="319"/>
      <c r="CJ4896" s="319"/>
      <c r="CK4896" s="342"/>
      <c r="CL4896" s="333"/>
      <c r="CM4896" s="1079"/>
      <c r="CN4896" s="1005"/>
      <c r="CO4896" s="1005"/>
      <c r="CP4896" s="1005"/>
    </row>
    <row r="4897">
      <c r="A4897" s="1257"/>
      <c r="B4897" s="1113"/>
      <c r="C4897" s="1107"/>
      <c r="D4897" s="103"/>
      <c r="E4897" s="1137"/>
      <c r="F4897" s="112"/>
      <c r="G4897" s="1110"/>
      <c r="H4897" s="1138"/>
      <c r="I4897" s="1138"/>
      <c r="J4897" s="1139"/>
      <c r="K4897" s="1111"/>
      <c r="L4897" s="1112"/>
      <c r="M4897" s="1113"/>
      <c r="N4897" s="110"/>
      <c r="O4897" s="1140"/>
      <c r="P4897" s="1115"/>
      <c r="Q4897" s="1116"/>
      <c r="R4897" s="1141"/>
      <c r="S4897" s="1113"/>
      <c r="T4897" s="1143"/>
      <c r="U4897" s="1108"/>
      <c r="V4897" s="1108"/>
      <c r="W4897" s="1108"/>
      <c r="X4897" s="1108"/>
      <c r="Y4897" s="1108"/>
      <c r="Z4897" s="1114"/>
      <c r="AA4897" s="1114"/>
      <c r="AB4897" s="1114"/>
      <c r="AC4897" s="1117"/>
      <c r="AD4897" s="1115"/>
      <c r="AE4897" s="1115"/>
      <c r="AF4897" s="1115"/>
      <c r="AG4897" s="1115"/>
      <c r="AH4897" s="1115"/>
      <c r="AI4897" s="1115"/>
      <c r="AJ4897" s="1117"/>
      <c r="AK4897" s="1118"/>
      <c r="AL4897" s="1115"/>
      <c r="AM4897" s="1115"/>
      <c r="AN4897" s="1115"/>
      <c r="AO4897" s="1115"/>
      <c r="AP4897" s="1115"/>
      <c r="AQ4897" s="1115"/>
      <c r="AR4897" s="1115"/>
      <c r="AS4897" s="1117"/>
      <c r="AT4897" s="1075"/>
      <c r="AU4897" s="1193"/>
      <c r="AV4897" s="330"/>
      <c r="AW4897" s="331"/>
      <c r="AX4897" s="331"/>
      <c r="AY4897" s="331"/>
      <c r="AZ4897" s="331"/>
      <c r="BA4897" s="331"/>
      <c r="BB4897" s="331"/>
      <c r="BC4897" s="331"/>
      <c r="BD4897" s="331"/>
      <c r="BE4897" s="333"/>
      <c r="BF4897" s="330"/>
      <c r="BG4897" s="333"/>
      <c r="BH4897" s="1119"/>
      <c r="BI4897" s="319"/>
      <c r="BJ4897" s="319"/>
      <c r="BK4897" s="319"/>
      <c r="BL4897" s="319"/>
      <c r="BM4897" s="319"/>
      <c r="BN4897" s="319"/>
      <c r="BO4897" s="319"/>
      <c r="BP4897" s="953"/>
      <c r="BQ4897" s="319"/>
      <c r="BR4897" s="319"/>
      <c r="BS4897" s="330"/>
      <c r="BT4897" s="331"/>
      <c r="BU4897" s="920"/>
      <c r="BV4897" s="903"/>
      <c r="BW4897" s="908"/>
      <c r="BX4897" s="908"/>
      <c r="BY4897" s="331"/>
      <c r="BZ4897" s="331"/>
      <c r="CA4897" s="462"/>
      <c r="CB4897" s="319"/>
      <c r="CC4897" s="319"/>
      <c r="CD4897" s="319"/>
      <c r="CE4897" s="319"/>
      <c r="CF4897" s="319"/>
      <c r="CG4897" s="319"/>
      <c r="CH4897" s="318"/>
      <c r="CI4897" s="319"/>
      <c r="CJ4897" s="319"/>
      <c r="CK4897" s="342"/>
      <c r="CL4897" s="333"/>
      <c r="CM4897" s="1079"/>
      <c r="CN4897" s="1005"/>
      <c r="CO4897" s="1005"/>
      <c r="CP4897" s="1005"/>
    </row>
    <row r="4898">
      <c r="A4898" s="1257"/>
      <c r="B4898" s="1113"/>
      <c r="C4898" s="1107"/>
      <c r="D4898" s="103"/>
      <c r="E4898" s="1137"/>
      <c r="F4898" s="112"/>
      <c r="G4898" s="1110"/>
      <c r="H4898" s="1138"/>
      <c r="I4898" s="1138"/>
      <c r="J4898" s="1139"/>
      <c r="K4898" s="1111"/>
      <c r="L4898" s="1112"/>
      <c r="M4898" s="1113"/>
      <c r="N4898" s="110"/>
      <c r="O4898" s="1140"/>
      <c r="P4898" s="1115"/>
      <c r="Q4898" s="1116"/>
      <c r="R4898" s="1141"/>
      <c r="S4898" s="1113"/>
      <c r="T4898" s="1143"/>
      <c r="U4898" s="1108"/>
      <c r="V4898" s="1108"/>
      <c r="W4898" s="1108"/>
      <c r="X4898" s="1108"/>
      <c r="Y4898" s="1108"/>
      <c r="Z4898" s="1114"/>
      <c r="AA4898" s="1114"/>
      <c r="AB4898" s="1114"/>
      <c r="AC4898" s="1117"/>
      <c r="AD4898" s="1115"/>
      <c r="AE4898" s="1115"/>
      <c r="AF4898" s="1115"/>
      <c r="AG4898" s="1115"/>
      <c r="AH4898" s="1115"/>
      <c r="AI4898" s="1115"/>
      <c r="AJ4898" s="1117"/>
      <c r="AK4898" s="1118"/>
      <c r="AL4898" s="1115"/>
      <c r="AM4898" s="1115"/>
      <c r="AN4898" s="1115"/>
      <c r="AO4898" s="1115"/>
      <c r="AP4898" s="1115"/>
      <c r="AQ4898" s="1115"/>
      <c r="AR4898" s="1115"/>
      <c r="AS4898" s="1117"/>
      <c r="AT4898" s="1075"/>
      <c r="AU4898" s="1193"/>
      <c r="AV4898" s="330"/>
      <c r="AW4898" s="331"/>
      <c r="AX4898" s="331"/>
      <c r="AY4898" s="331"/>
      <c r="AZ4898" s="331"/>
      <c r="BA4898" s="331"/>
      <c r="BB4898" s="331"/>
      <c r="BC4898" s="331"/>
      <c r="BD4898" s="331"/>
      <c r="BE4898" s="333"/>
      <c r="BF4898" s="330"/>
      <c r="BG4898" s="333"/>
      <c r="BH4898" s="1119"/>
      <c r="BI4898" s="319"/>
      <c r="BJ4898" s="319"/>
      <c r="BK4898" s="319"/>
      <c r="BL4898" s="319"/>
      <c r="BM4898" s="319"/>
      <c r="BN4898" s="319"/>
      <c r="BO4898" s="319"/>
      <c r="BP4898" s="953"/>
      <c r="BQ4898" s="319"/>
      <c r="BR4898" s="319"/>
      <c r="BS4898" s="330"/>
      <c r="BT4898" s="331"/>
      <c r="BU4898" s="920"/>
      <c r="BV4898" s="903"/>
      <c r="BW4898" s="908"/>
      <c r="BX4898" s="908"/>
      <c r="BY4898" s="331"/>
      <c r="BZ4898" s="331"/>
      <c r="CA4898" s="462"/>
      <c r="CB4898" s="319"/>
      <c r="CC4898" s="319"/>
      <c r="CD4898" s="319"/>
      <c r="CE4898" s="319"/>
      <c r="CF4898" s="319"/>
      <c r="CG4898" s="319"/>
      <c r="CH4898" s="318"/>
      <c r="CI4898" s="319"/>
      <c r="CJ4898" s="319"/>
      <c r="CK4898" s="342"/>
      <c r="CL4898" s="333"/>
      <c r="CM4898" s="1079"/>
      <c r="CN4898" s="1005"/>
      <c r="CO4898" s="1005"/>
      <c r="CP4898" s="1005"/>
    </row>
    <row r="4899">
      <c r="A4899" s="1257"/>
      <c r="B4899" s="1113"/>
      <c r="C4899" s="1107"/>
      <c r="D4899" s="103"/>
      <c r="E4899" s="1137"/>
      <c r="F4899" s="112"/>
      <c r="G4899" s="1110"/>
      <c r="H4899" s="1138"/>
      <c r="I4899" s="1138"/>
      <c r="J4899" s="1139"/>
      <c r="K4899" s="1111"/>
      <c r="L4899" s="1112"/>
      <c r="M4899" s="1113"/>
      <c r="N4899" s="110"/>
      <c r="O4899" s="1140"/>
      <c r="P4899" s="1115"/>
      <c r="Q4899" s="1116"/>
      <c r="R4899" s="1141"/>
      <c r="S4899" s="1113"/>
      <c r="T4899" s="1143"/>
      <c r="U4899" s="1108"/>
      <c r="V4899" s="1108"/>
      <c r="W4899" s="1108"/>
      <c r="X4899" s="1108"/>
      <c r="Y4899" s="1108"/>
      <c r="Z4899" s="1114"/>
      <c r="AA4899" s="1114"/>
      <c r="AB4899" s="1114"/>
      <c r="AC4899" s="1117"/>
      <c r="AD4899" s="1115"/>
      <c r="AE4899" s="1115"/>
      <c r="AF4899" s="1115"/>
      <c r="AG4899" s="1115"/>
      <c r="AH4899" s="1115"/>
      <c r="AI4899" s="1115"/>
      <c r="AJ4899" s="1117"/>
      <c r="AK4899" s="1118"/>
      <c r="AL4899" s="1115"/>
      <c r="AM4899" s="1115"/>
      <c r="AN4899" s="1115"/>
      <c r="AO4899" s="1115"/>
      <c r="AP4899" s="1115"/>
      <c r="AQ4899" s="1115"/>
      <c r="AR4899" s="1115"/>
      <c r="AS4899" s="1117"/>
      <c r="AT4899" s="1075"/>
      <c r="AU4899" s="1193"/>
      <c r="AV4899" s="330"/>
      <c r="AW4899" s="331"/>
      <c r="AX4899" s="331"/>
      <c r="AY4899" s="331"/>
      <c r="AZ4899" s="331"/>
      <c r="BA4899" s="331"/>
      <c r="BB4899" s="331"/>
      <c r="BC4899" s="331"/>
      <c r="BD4899" s="331"/>
      <c r="BE4899" s="333"/>
      <c r="BF4899" s="330"/>
      <c r="BG4899" s="333"/>
      <c r="BH4899" s="1119"/>
      <c r="BI4899" s="319"/>
      <c r="BJ4899" s="319"/>
      <c r="BK4899" s="319"/>
      <c r="BL4899" s="319"/>
      <c r="BM4899" s="319"/>
      <c r="BN4899" s="319"/>
      <c r="BO4899" s="319"/>
      <c r="BP4899" s="953"/>
      <c r="BQ4899" s="319"/>
      <c r="BR4899" s="319"/>
      <c r="BS4899" s="330"/>
      <c r="BT4899" s="331"/>
      <c r="BU4899" s="920"/>
      <c r="BV4899" s="903"/>
      <c r="BW4899" s="908"/>
      <c r="BX4899" s="908"/>
      <c r="BY4899" s="331"/>
      <c r="BZ4899" s="331"/>
      <c r="CA4899" s="462"/>
      <c r="CB4899" s="319"/>
      <c r="CC4899" s="319"/>
      <c r="CD4899" s="319"/>
      <c r="CE4899" s="319"/>
      <c r="CF4899" s="319"/>
      <c r="CG4899" s="319"/>
      <c r="CH4899" s="318"/>
      <c r="CI4899" s="319"/>
      <c r="CJ4899" s="319"/>
      <c r="CK4899" s="342"/>
      <c r="CL4899" s="333"/>
      <c r="CM4899" s="1079"/>
      <c r="CN4899" s="1005"/>
      <c r="CO4899" s="1005"/>
      <c r="CP4899" s="1005"/>
    </row>
    <row r="4900">
      <c r="A4900" s="1257"/>
      <c r="B4900" s="1113"/>
      <c r="C4900" s="1107"/>
      <c r="D4900" s="103"/>
      <c r="E4900" s="1137"/>
      <c r="F4900" s="112"/>
      <c r="G4900" s="1110"/>
      <c r="H4900" s="1138"/>
      <c r="I4900" s="1138"/>
      <c r="J4900" s="1139"/>
      <c r="K4900" s="1111"/>
      <c r="L4900" s="1112"/>
      <c r="M4900" s="1113"/>
      <c r="N4900" s="110"/>
      <c r="O4900" s="1140"/>
      <c r="P4900" s="1115"/>
      <c r="Q4900" s="1116"/>
      <c r="R4900" s="1141"/>
      <c r="S4900" s="1113"/>
      <c r="T4900" s="1143"/>
      <c r="U4900" s="1108"/>
      <c r="V4900" s="1108"/>
      <c r="W4900" s="1108"/>
      <c r="X4900" s="1108"/>
      <c r="Y4900" s="1108"/>
      <c r="Z4900" s="1114"/>
      <c r="AA4900" s="1114"/>
      <c r="AB4900" s="1114"/>
      <c r="AC4900" s="1117"/>
      <c r="AD4900" s="1115"/>
      <c r="AE4900" s="1115"/>
      <c r="AF4900" s="1115"/>
      <c r="AG4900" s="1115"/>
      <c r="AH4900" s="1115"/>
      <c r="AI4900" s="1115"/>
      <c r="AJ4900" s="1117"/>
      <c r="AK4900" s="1118"/>
      <c r="AL4900" s="1115"/>
      <c r="AM4900" s="1115"/>
      <c r="AN4900" s="1115"/>
      <c r="AO4900" s="1115"/>
      <c r="AP4900" s="1115"/>
      <c r="AQ4900" s="1115"/>
      <c r="AR4900" s="1115"/>
      <c r="AS4900" s="1117"/>
      <c r="AT4900" s="1075"/>
      <c r="AU4900" s="1193"/>
      <c r="AV4900" s="330"/>
      <c r="AW4900" s="331"/>
      <c r="AX4900" s="331"/>
      <c r="AY4900" s="331"/>
      <c r="AZ4900" s="331"/>
      <c r="BA4900" s="331"/>
      <c r="BB4900" s="331"/>
      <c r="BC4900" s="331"/>
      <c r="BD4900" s="331"/>
      <c r="BE4900" s="333"/>
      <c r="BF4900" s="330"/>
      <c r="BG4900" s="333"/>
      <c r="BH4900" s="1119"/>
      <c r="BI4900" s="319"/>
      <c r="BJ4900" s="319"/>
      <c r="BK4900" s="319"/>
      <c r="BL4900" s="319"/>
      <c r="BM4900" s="319"/>
      <c r="BN4900" s="319"/>
      <c r="BO4900" s="319"/>
      <c r="BP4900" s="953"/>
      <c r="BQ4900" s="319"/>
      <c r="BR4900" s="319"/>
      <c r="BS4900" s="330"/>
      <c r="BT4900" s="331"/>
      <c r="BU4900" s="920"/>
      <c r="BV4900" s="903"/>
      <c r="BW4900" s="908"/>
      <c r="BX4900" s="908"/>
      <c r="BY4900" s="331"/>
      <c r="BZ4900" s="331"/>
      <c r="CA4900" s="462"/>
      <c r="CB4900" s="319"/>
      <c r="CC4900" s="319"/>
      <c r="CD4900" s="319"/>
      <c r="CE4900" s="319"/>
      <c r="CF4900" s="319"/>
      <c r="CG4900" s="319"/>
      <c r="CH4900" s="318"/>
      <c r="CI4900" s="319"/>
      <c r="CJ4900" s="319"/>
      <c r="CK4900" s="342"/>
      <c r="CL4900" s="333"/>
      <c r="CM4900" s="1079"/>
      <c r="CN4900" s="1005"/>
      <c r="CO4900" s="1005"/>
      <c r="CP4900" s="1005"/>
    </row>
    <row r="4901">
      <c r="A4901" s="1257"/>
      <c r="B4901" s="1113"/>
      <c r="C4901" s="1107"/>
      <c r="D4901" s="103"/>
      <c r="E4901" s="1137"/>
      <c r="F4901" s="112"/>
      <c r="G4901" s="1110"/>
      <c r="H4901" s="1138"/>
      <c r="I4901" s="1138"/>
      <c r="J4901" s="1139"/>
      <c r="K4901" s="1111"/>
      <c r="L4901" s="1112"/>
      <c r="M4901" s="1113"/>
      <c r="N4901" s="110"/>
      <c r="O4901" s="1140"/>
      <c r="P4901" s="1115"/>
      <c r="Q4901" s="1116"/>
      <c r="R4901" s="1141"/>
      <c r="S4901" s="1113"/>
      <c r="T4901" s="1143"/>
      <c r="U4901" s="1108"/>
      <c r="V4901" s="1108"/>
      <c r="W4901" s="1108"/>
      <c r="X4901" s="1108"/>
      <c r="Y4901" s="1108"/>
      <c r="Z4901" s="1114"/>
      <c r="AA4901" s="1114"/>
      <c r="AB4901" s="1114"/>
      <c r="AC4901" s="1117"/>
      <c r="AD4901" s="1115"/>
      <c r="AE4901" s="1115"/>
      <c r="AF4901" s="1115"/>
      <c r="AG4901" s="1115"/>
      <c r="AH4901" s="1115"/>
      <c r="AI4901" s="1115"/>
      <c r="AJ4901" s="1117"/>
      <c r="AK4901" s="1118"/>
      <c r="AL4901" s="1115"/>
      <c r="AM4901" s="1115"/>
      <c r="AN4901" s="1115"/>
      <c r="AO4901" s="1115"/>
      <c r="AP4901" s="1115"/>
      <c r="AQ4901" s="1115"/>
      <c r="AR4901" s="1115"/>
      <c r="AS4901" s="1117"/>
      <c r="AT4901" s="1075"/>
      <c r="AU4901" s="1193"/>
      <c r="AV4901" s="330"/>
      <c r="AW4901" s="331"/>
      <c r="AX4901" s="331"/>
      <c r="AY4901" s="331"/>
      <c r="AZ4901" s="331"/>
      <c r="BA4901" s="331"/>
      <c r="BB4901" s="331"/>
      <c r="BC4901" s="331"/>
      <c r="BD4901" s="331"/>
      <c r="BE4901" s="333"/>
      <c r="BF4901" s="330"/>
      <c r="BG4901" s="333"/>
      <c r="BH4901" s="1119"/>
      <c r="BI4901" s="319"/>
      <c r="BJ4901" s="319"/>
      <c r="BK4901" s="319"/>
      <c r="BL4901" s="319"/>
      <c r="BM4901" s="319"/>
      <c r="BN4901" s="319"/>
      <c r="BO4901" s="319"/>
      <c r="BP4901" s="953"/>
      <c r="BQ4901" s="319"/>
      <c r="BR4901" s="319"/>
      <c r="BS4901" s="330"/>
      <c r="BT4901" s="331"/>
      <c r="BU4901" s="920"/>
      <c r="BV4901" s="903"/>
      <c r="BW4901" s="908"/>
      <c r="BX4901" s="908"/>
      <c r="BY4901" s="331"/>
      <c r="BZ4901" s="331"/>
      <c r="CA4901" s="462"/>
      <c r="CB4901" s="319"/>
      <c r="CC4901" s="319"/>
      <c r="CD4901" s="319"/>
      <c r="CE4901" s="319"/>
      <c r="CF4901" s="319"/>
      <c r="CG4901" s="319"/>
      <c r="CH4901" s="318"/>
      <c r="CI4901" s="319"/>
      <c r="CJ4901" s="319"/>
      <c r="CK4901" s="342"/>
      <c r="CL4901" s="333"/>
      <c r="CM4901" s="1079"/>
      <c r="CN4901" s="1005"/>
      <c r="CO4901" s="1005"/>
      <c r="CP4901" s="1005"/>
    </row>
    <row r="4902">
      <c r="A4902" s="1257"/>
      <c r="B4902" s="1113"/>
      <c r="C4902" s="1107"/>
      <c r="D4902" s="103"/>
      <c r="E4902" s="1137"/>
      <c r="F4902" s="112"/>
      <c r="G4902" s="1110"/>
      <c r="H4902" s="1138"/>
      <c r="I4902" s="1138"/>
      <c r="J4902" s="1139"/>
      <c r="K4902" s="1111"/>
      <c r="L4902" s="1112"/>
      <c r="M4902" s="1113"/>
      <c r="N4902" s="110"/>
      <c r="O4902" s="1140"/>
      <c r="P4902" s="1115"/>
      <c r="Q4902" s="1116"/>
      <c r="R4902" s="1141"/>
      <c r="S4902" s="1113"/>
      <c r="T4902" s="1143"/>
      <c r="U4902" s="1108"/>
      <c r="V4902" s="1108"/>
      <c r="W4902" s="1108"/>
      <c r="X4902" s="1108"/>
      <c r="Y4902" s="1108"/>
      <c r="Z4902" s="1114"/>
      <c r="AA4902" s="1114"/>
      <c r="AB4902" s="1114"/>
      <c r="AC4902" s="1117"/>
      <c r="AD4902" s="1115"/>
      <c r="AE4902" s="1115"/>
      <c r="AF4902" s="1115"/>
      <c r="AG4902" s="1115"/>
      <c r="AH4902" s="1115"/>
      <c r="AI4902" s="1115"/>
      <c r="AJ4902" s="1117"/>
      <c r="AK4902" s="1118"/>
      <c r="AL4902" s="1115"/>
      <c r="AM4902" s="1115"/>
      <c r="AN4902" s="1115"/>
      <c r="AO4902" s="1115"/>
      <c r="AP4902" s="1115"/>
      <c r="AQ4902" s="1115"/>
      <c r="AR4902" s="1115"/>
      <c r="AS4902" s="1117"/>
      <c r="AT4902" s="1075"/>
      <c r="AU4902" s="1193"/>
      <c r="AV4902" s="330"/>
      <c r="AW4902" s="331"/>
      <c r="AX4902" s="331"/>
      <c r="AY4902" s="331"/>
      <c r="AZ4902" s="331"/>
      <c r="BA4902" s="331"/>
      <c r="BB4902" s="331"/>
      <c r="BC4902" s="331"/>
      <c r="BD4902" s="331"/>
      <c r="BE4902" s="333"/>
      <c r="BF4902" s="330"/>
      <c r="BG4902" s="333"/>
      <c r="BH4902" s="1119"/>
      <c r="BI4902" s="319"/>
      <c r="BJ4902" s="319"/>
      <c r="BK4902" s="319"/>
      <c r="BL4902" s="319"/>
      <c r="BM4902" s="319"/>
      <c r="BN4902" s="319"/>
      <c r="BO4902" s="319"/>
      <c r="BP4902" s="953"/>
      <c r="BQ4902" s="319"/>
      <c r="BR4902" s="319"/>
      <c r="BS4902" s="330"/>
      <c r="BT4902" s="331"/>
      <c r="BU4902" s="920"/>
      <c r="BV4902" s="903"/>
      <c r="BW4902" s="908"/>
      <c r="BX4902" s="908"/>
      <c r="BY4902" s="331"/>
      <c r="BZ4902" s="331"/>
      <c r="CA4902" s="462"/>
      <c r="CB4902" s="319"/>
      <c r="CC4902" s="319"/>
      <c r="CD4902" s="319"/>
      <c r="CE4902" s="319"/>
      <c r="CF4902" s="319"/>
      <c r="CG4902" s="319"/>
      <c r="CH4902" s="318"/>
      <c r="CI4902" s="319"/>
      <c r="CJ4902" s="319"/>
      <c r="CK4902" s="342"/>
      <c r="CL4902" s="333"/>
      <c r="CM4902" s="1079"/>
      <c r="CN4902" s="1005"/>
      <c r="CO4902" s="1005"/>
      <c r="CP4902" s="1005"/>
    </row>
    <row r="4903">
      <c r="A4903" s="1257"/>
      <c r="B4903" s="1113"/>
      <c r="C4903" s="1107"/>
      <c r="D4903" s="103"/>
      <c r="E4903" s="1137"/>
      <c r="F4903" s="112"/>
      <c r="G4903" s="1110"/>
      <c r="H4903" s="1138"/>
      <c r="I4903" s="1138"/>
      <c r="J4903" s="1139"/>
      <c r="K4903" s="1111"/>
      <c r="L4903" s="1112"/>
      <c r="M4903" s="1113"/>
      <c r="N4903" s="110"/>
      <c r="O4903" s="1140"/>
      <c r="P4903" s="1115"/>
      <c r="Q4903" s="1116"/>
      <c r="R4903" s="1141"/>
      <c r="S4903" s="1113"/>
      <c r="T4903" s="1143"/>
      <c r="U4903" s="1108"/>
      <c r="V4903" s="1108"/>
      <c r="W4903" s="1108"/>
      <c r="X4903" s="1108"/>
      <c r="Y4903" s="1108"/>
      <c r="Z4903" s="1114"/>
      <c r="AA4903" s="1114"/>
      <c r="AB4903" s="1114"/>
      <c r="AC4903" s="1117"/>
      <c r="AD4903" s="1115"/>
      <c r="AE4903" s="1115"/>
      <c r="AF4903" s="1115"/>
      <c r="AG4903" s="1115"/>
      <c r="AH4903" s="1115"/>
      <c r="AI4903" s="1115"/>
      <c r="AJ4903" s="1117"/>
      <c r="AK4903" s="1118"/>
      <c r="AL4903" s="1115"/>
      <c r="AM4903" s="1115"/>
      <c r="AN4903" s="1115"/>
      <c r="AO4903" s="1115"/>
      <c r="AP4903" s="1115"/>
      <c r="AQ4903" s="1115"/>
      <c r="AR4903" s="1115"/>
      <c r="AS4903" s="1117"/>
      <c r="AT4903" s="1075"/>
      <c r="AU4903" s="1193"/>
      <c r="AV4903" s="330"/>
      <c r="AW4903" s="331"/>
      <c r="AX4903" s="331"/>
      <c r="AY4903" s="331"/>
      <c r="AZ4903" s="331"/>
      <c r="BA4903" s="331"/>
      <c r="BB4903" s="331"/>
      <c r="BC4903" s="331"/>
      <c r="BD4903" s="331"/>
      <c r="BE4903" s="333"/>
      <c r="BF4903" s="330"/>
      <c r="BG4903" s="333"/>
      <c r="BH4903" s="1119"/>
      <c r="BI4903" s="319"/>
      <c r="BJ4903" s="319"/>
      <c r="BK4903" s="319"/>
      <c r="BL4903" s="319"/>
      <c r="BM4903" s="319"/>
      <c r="BN4903" s="319"/>
      <c r="BO4903" s="319"/>
      <c r="BP4903" s="953"/>
      <c r="BQ4903" s="319"/>
      <c r="BR4903" s="319"/>
      <c r="BS4903" s="330"/>
      <c r="BT4903" s="331"/>
      <c r="BU4903" s="920"/>
      <c r="BV4903" s="903"/>
      <c r="BW4903" s="908"/>
      <c r="BX4903" s="908"/>
      <c r="BY4903" s="331"/>
      <c r="BZ4903" s="331"/>
      <c r="CA4903" s="462"/>
      <c r="CB4903" s="319"/>
      <c r="CC4903" s="319"/>
      <c r="CD4903" s="319"/>
      <c r="CE4903" s="319"/>
      <c r="CF4903" s="319"/>
      <c r="CG4903" s="319"/>
      <c r="CH4903" s="318"/>
      <c r="CI4903" s="319"/>
      <c r="CJ4903" s="319"/>
      <c r="CK4903" s="342"/>
      <c r="CL4903" s="333"/>
      <c r="CM4903" s="1079"/>
      <c r="CN4903" s="1005"/>
      <c r="CO4903" s="1005"/>
      <c r="CP4903" s="1005"/>
    </row>
    <row r="4904">
      <c r="A4904" s="1257"/>
      <c r="B4904" s="1113"/>
      <c r="C4904" s="1107"/>
      <c r="D4904" s="103"/>
      <c r="E4904" s="1137"/>
      <c r="F4904" s="112"/>
      <c r="G4904" s="1110"/>
      <c r="H4904" s="1138"/>
      <c r="I4904" s="1138"/>
      <c r="J4904" s="1139"/>
      <c r="K4904" s="1111"/>
      <c r="L4904" s="1112"/>
      <c r="M4904" s="1113"/>
      <c r="N4904" s="110"/>
      <c r="O4904" s="1140"/>
      <c r="P4904" s="1115"/>
      <c r="Q4904" s="1116"/>
      <c r="R4904" s="1141"/>
      <c r="S4904" s="1113"/>
      <c r="T4904" s="1143"/>
      <c r="U4904" s="1108"/>
      <c r="V4904" s="1108"/>
      <c r="W4904" s="1108"/>
      <c r="X4904" s="1108"/>
      <c r="Y4904" s="1108"/>
      <c r="Z4904" s="1114"/>
      <c r="AA4904" s="1114"/>
      <c r="AB4904" s="1114"/>
      <c r="AC4904" s="1117"/>
      <c r="AD4904" s="1115"/>
      <c r="AE4904" s="1115"/>
      <c r="AF4904" s="1115"/>
      <c r="AG4904" s="1115"/>
      <c r="AH4904" s="1115"/>
      <c r="AI4904" s="1115"/>
      <c r="AJ4904" s="1117"/>
      <c r="AK4904" s="1118"/>
      <c r="AL4904" s="1115"/>
      <c r="AM4904" s="1115"/>
      <c r="AN4904" s="1115"/>
      <c r="AO4904" s="1115"/>
      <c r="AP4904" s="1115"/>
      <c r="AQ4904" s="1115"/>
      <c r="AR4904" s="1115"/>
      <c r="AS4904" s="1117"/>
      <c r="AT4904" s="1075"/>
      <c r="AU4904" s="1193"/>
      <c r="AV4904" s="330"/>
      <c r="AW4904" s="331"/>
      <c r="AX4904" s="331"/>
      <c r="AY4904" s="331"/>
      <c r="AZ4904" s="331"/>
      <c r="BA4904" s="331"/>
      <c r="BB4904" s="331"/>
      <c r="BC4904" s="331"/>
      <c r="BD4904" s="331"/>
      <c r="BE4904" s="333"/>
      <c r="BF4904" s="330"/>
      <c r="BG4904" s="333"/>
      <c r="BH4904" s="1119"/>
      <c r="BI4904" s="319"/>
      <c r="BJ4904" s="319"/>
      <c r="BK4904" s="319"/>
      <c r="BL4904" s="319"/>
      <c r="BM4904" s="319"/>
      <c r="BN4904" s="319"/>
      <c r="BO4904" s="319"/>
      <c r="BP4904" s="953"/>
      <c r="BQ4904" s="319"/>
      <c r="BR4904" s="319"/>
      <c r="BS4904" s="330"/>
      <c r="BT4904" s="331"/>
      <c r="BU4904" s="920"/>
      <c r="BV4904" s="903"/>
      <c r="BW4904" s="908"/>
      <c r="BX4904" s="908"/>
      <c r="BY4904" s="331"/>
      <c r="BZ4904" s="331"/>
      <c r="CA4904" s="462"/>
      <c r="CB4904" s="319"/>
      <c r="CC4904" s="319"/>
      <c r="CD4904" s="319"/>
      <c r="CE4904" s="319"/>
      <c r="CF4904" s="319"/>
      <c r="CG4904" s="319"/>
      <c r="CH4904" s="318"/>
      <c r="CI4904" s="319"/>
      <c r="CJ4904" s="319"/>
      <c r="CK4904" s="342"/>
      <c r="CL4904" s="333"/>
      <c r="CM4904" s="1079"/>
      <c r="CN4904" s="1005"/>
      <c r="CO4904" s="1005"/>
      <c r="CP4904" s="1005"/>
    </row>
    <row r="4905">
      <c r="A4905" s="1257"/>
      <c r="B4905" s="1113"/>
      <c r="C4905" s="1107"/>
      <c r="D4905" s="103"/>
      <c r="E4905" s="1137"/>
      <c r="F4905" s="112"/>
      <c r="G4905" s="1110"/>
      <c r="H4905" s="1138"/>
      <c r="I4905" s="1138"/>
      <c r="J4905" s="1139"/>
      <c r="K4905" s="1111"/>
      <c r="L4905" s="1112"/>
      <c r="M4905" s="1113"/>
      <c r="N4905" s="110"/>
      <c r="O4905" s="1140"/>
      <c r="P4905" s="1115"/>
      <c r="Q4905" s="1116"/>
      <c r="R4905" s="1141"/>
      <c r="S4905" s="1113"/>
      <c r="T4905" s="1143"/>
      <c r="U4905" s="1108"/>
      <c r="V4905" s="1108"/>
      <c r="W4905" s="1108"/>
      <c r="X4905" s="1108"/>
      <c r="Y4905" s="1108"/>
      <c r="Z4905" s="1114"/>
      <c r="AA4905" s="1114"/>
      <c r="AB4905" s="1114"/>
      <c r="AC4905" s="1117"/>
      <c r="AD4905" s="1115"/>
      <c r="AE4905" s="1115"/>
      <c r="AF4905" s="1115"/>
      <c r="AG4905" s="1115"/>
      <c r="AH4905" s="1115"/>
      <c r="AI4905" s="1115"/>
      <c r="AJ4905" s="1117"/>
      <c r="AK4905" s="1118"/>
      <c r="AL4905" s="1115"/>
      <c r="AM4905" s="1115"/>
      <c r="AN4905" s="1115"/>
      <c r="AO4905" s="1115"/>
      <c r="AP4905" s="1115"/>
      <c r="AQ4905" s="1115"/>
      <c r="AR4905" s="1115"/>
      <c r="AS4905" s="1117"/>
      <c r="AT4905" s="1075"/>
      <c r="AU4905" s="1193"/>
      <c r="AV4905" s="330"/>
      <c r="AW4905" s="331"/>
      <c r="AX4905" s="331"/>
      <c r="AY4905" s="331"/>
      <c r="AZ4905" s="331"/>
      <c r="BA4905" s="331"/>
      <c r="BB4905" s="331"/>
      <c r="BC4905" s="331"/>
      <c r="BD4905" s="331"/>
      <c r="BE4905" s="333"/>
      <c r="BF4905" s="330"/>
      <c r="BG4905" s="333"/>
      <c r="BH4905" s="1119"/>
      <c r="BI4905" s="319"/>
      <c r="BJ4905" s="319"/>
      <c r="BK4905" s="319"/>
      <c r="BL4905" s="319"/>
      <c r="BM4905" s="319"/>
      <c r="BN4905" s="319"/>
      <c r="BO4905" s="319"/>
      <c r="BP4905" s="953"/>
      <c r="BQ4905" s="319"/>
      <c r="BR4905" s="319"/>
      <c r="BS4905" s="330"/>
      <c r="BT4905" s="331"/>
      <c r="BU4905" s="920"/>
      <c r="BV4905" s="903"/>
      <c r="BW4905" s="908"/>
      <c r="BX4905" s="908"/>
      <c r="BY4905" s="331"/>
      <c r="BZ4905" s="331"/>
      <c r="CA4905" s="462"/>
      <c r="CB4905" s="319"/>
      <c r="CC4905" s="319"/>
      <c r="CD4905" s="319"/>
      <c r="CE4905" s="319"/>
      <c r="CF4905" s="319"/>
      <c r="CG4905" s="319"/>
      <c r="CH4905" s="318"/>
      <c r="CI4905" s="319"/>
      <c r="CJ4905" s="319"/>
      <c r="CK4905" s="342"/>
      <c r="CL4905" s="333"/>
      <c r="CM4905" s="1079"/>
      <c r="CN4905" s="1005"/>
      <c r="CO4905" s="1005"/>
      <c r="CP4905" s="1005"/>
    </row>
    <row r="4906">
      <c r="A4906" s="1257"/>
      <c r="B4906" s="1113"/>
      <c r="C4906" s="1107"/>
      <c r="D4906" s="103"/>
      <c r="E4906" s="1137"/>
      <c r="F4906" s="112"/>
      <c r="G4906" s="1110"/>
      <c r="H4906" s="1138"/>
      <c r="I4906" s="1138"/>
      <c r="J4906" s="1139"/>
      <c r="K4906" s="1111"/>
      <c r="L4906" s="1112"/>
      <c r="M4906" s="1113"/>
      <c r="N4906" s="110"/>
      <c r="O4906" s="1140"/>
      <c r="P4906" s="1115"/>
      <c r="Q4906" s="1116"/>
      <c r="R4906" s="1141"/>
      <c r="S4906" s="1113"/>
      <c r="T4906" s="1143"/>
      <c r="U4906" s="1108"/>
      <c r="V4906" s="1108"/>
      <c r="W4906" s="1108"/>
      <c r="X4906" s="1108"/>
      <c r="Y4906" s="1108"/>
      <c r="Z4906" s="1114"/>
      <c r="AA4906" s="1114"/>
      <c r="AB4906" s="1114"/>
      <c r="AC4906" s="1117"/>
      <c r="AD4906" s="1115"/>
      <c r="AE4906" s="1115"/>
      <c r="AF4906" s="1115"/>
      <c r="AG4906" s="1115"/>
      <c r="AH4906" s="1115"/>
      <c r="AI4906" s="1115"/>
      <c r="AJ4906" s="1117"/>
      <c r="AK4906" s="1118"/>
      <c r="AL4906" s="1115"/>
      <c r="AM4906" s="1115"/>
      <c r="AN4906" s="1115"/>
      <c r="AO4906" s="1115"/>
      <c r="AP4906" s="1115"/>
      <c r="AQ4906" s="1115"/>
      <c r="AR4906" s="1115"/>
      <c r="AS4906" s="1117"/>
      <c r="AT4906" s="1075"/>
      <c r="AU4906" s="1193"/>
      <c r="AV4906" s="330"/>
      <c r="AW4906" s="331"/>
      <c r="AX4906" s="331"/>
      <c r="AY4906" s="331"/>
      <c r="AZ4906" s="331"/>
      <c r="BA4906" s="331"/>
      <c r="BB4906" s="331"/>
      <c r="BC4906" s="331"/>
      <c r="BD4906" s="331"/>
      <c r="BE4906" s="333"/>
      <c r="BF4906" s="330"/>
      <c r="BG4906" s="333"/>
      <c r="BH4906" s="1119"/>
      <c r="BI4906" s="319"/>
      <c r="BJ4906" s="319"/>
      <c r="BK4906" s="319"/>
      <c r="BL4906" s="319"/>
      <c r="BM4906" s="319"/>
      <c r="BN4906" s="319"/>
      <c r="BO4906" s="319"/>
      <c r="BP4906" s="953"/>
      <c r="BQ4906" s="319"/>
      <c r="BR4906" s="319"/>
      <c r="BS4906" s="330"/>
      <c r="BT4906" s="331"/>
      <c r="BU4906" s="920"/>
      <c r="BV4906" s="903"/>
      <c r="BW4906" s="908"/>
      <c r="BX4906" s="908"/>
      <c r="BY4906" s="331"/>
      <c r="BZ4906" s="331"/>
      <c r="CA4906" s="462"/>
      <c r="CB4906" s="319"/>
      <c r="CC4906" s="319"/>
      <c r="CD4906" s="319"/>
      <c r="CE4906" s="319"/>
      <c r="CF4906" s="319"/>
      <c r="CG4906" s="319"/>
      <c r="CH4906" s="318"/>
      <c r="CI4906" s="319"/>
      <c r="CJ4906" s="319"/>
      <c r="CK4906" s="342"/>
      <c r="CL4906" s="333"/>
      <c r="CM4906" s="1079"/>
      <c r="CN4906" s="1005"/>
      <c r="CO4906" s="1005"/>
      <c r="CP4906" s="1005"/>
    </row>
    <row r="4907">
      <c r="A4907" s="1257"/>
      <c r="B4907" s="1113"/>
      <c r="C4907" s="1107"/>
      <c r="D4907" s="103"/>
      <c r="E4907" s="1137"/>
      <c r="F4907" s="112"/>
      <c r="G4907" s="1110"/>
      <c r="H4907" s="1138"/>
      <c r="I4907" s="1138"/>
      <c r="J4907" s="1139"/>
      <c r="K4907" s="1111"/>
      <c r="L4907" s="1112"/>
      <c r="M4907" s="1113"/>
      <c r="N4907" s="110"/>
      <c r="O4907" s="1140"/>
      <c r="P4907" s="1115"/>
      <c r="Q4907" s="1116"/>
      <c r="R4907" s="1141"/>
      <c r="S4907" s="1113"/>
      <c r="T4907" s="1143"/>
      <c r="U4907" s="1108"/>
      <c r="V4907" s="1108"/>
      <c r="W4907" s="1108"/>
      <c r="X4907" s="1108"/>
      <c r="Y4907" s="1108"/>
      <c r="Z4907" s="1114"/>
      <c r="AA4907" s="1114"/>
      <c r="AB4907" s="1114"/>
      <c r="AC4907" s="1117"/>
      <c r="AD4907" s="1115"/>
      <c r="AE4907" s="1115"/>
      <c r="AF4907" s="1115"/>
      <c r="AG4907" s="1115"/>
      <c r="AH4907" s="1115"/>
      <c r="AI4907" s="1115"/>
      <c r="AJ4907" s="1117"/>
      <c r="AK4907" s="1118"/>
      <c r="AL4907" s="1115"/>
      <c r="AM4907" s="1115"/>
      <c r="AN4907" s="1115"/>
      <c r="AO4907" s="1115"/>
      <c r="AP4907" s="1115"/>
      <c r="AQ4907" s="1115"/>
      <c r="AR4907" s="1115"/>
      <c r="AS4907" s="1117"/>
      <c r="AT4907" s="1075"/>
      <c r="AU4907" s="1193"/>
      <c r="AV4907" s="330"/>
      <c r="AW4907" s="331"/>
      <c r="AX4907" s="331"/>
      <c r="AY4907" s="331"/>
      <c r="AZ4907" s="331"/>
      <c r="BA4907" s="331"/>
      <c r="BB4907" s="331"/>
      <c r="BC4907" s="331"/>
      <c r="BD4907" s="331"/>
      <c r="BE4907" s="333"/>
      <c r="BF4907" s="330"/>
      <c r="BG4907" s="333"/>
      <c r="BH4907" s="1119"/>
      <c r="BI4907" s="319"/>
      <c r="BJ4907" s="319"/>
      <c r="BK4907" s="319"/>
      <c r="BL4907" s="319"/>
      <c r="BM4907" s="319"/>
      <c r="BN4907" s="319"/>
      <c r="BO4907" s="319"/>
      <c r="BP4907" s="953"/>
      <c r="BQ4907" s="319"/>
      <c r="BR4907" s="319"/>
      <c r="BS4907" s="330"/>
      <c r="BT4907" s="331"/>
      <c r="BU4907" s="920"/>
      <c r="BV4907" s="903"/>
      <c r="BW4907" s="908"/>
      <c r="BX4907" s="908"/>
      <c r="BY4907" s="331"/>
      <c r="BZ4907" s="331"/>
      <c r="CA4907" s="462"/>
      <c r="CB4907" s="319"/>
      <c r="CC4907" s="319"/>
      <c r="CD4907" s="319"/>
      <c r="CE4907" s="319"/>
      <c r="CF4907" s="319"/>
      <c r="CG4907" s="319"/>
      <c r="CH4907" s="318"/>
      <c r="CI4907" s="319"/>
      <c r="CJ4907" s="319"/>
      <c r="CK4907" s="342"/>
      <c r="CL4907" s="333"/>
      <c r="CM4907" s="1079"/>
      <c r="CN4907" s="1005"/>
      <c r="CO4907" s="1005"/>
      <c r="CP4907" s="1005"/>
    </row>
    <row r="4908">
      <c r="A4908" s="1257"/>
      <c r="B4908" s="1113"/>
      <c r="C4908" s="1107"/>
      <c r="D4908" s="103"/>
      <c r="E4908" s="1137"/>
      <c r="F4908" s="112"/>
      <c r="G4908" s="1110"/>
      <c r="H4908" s="1138"/>
      <c r="I4908" s="1138"/>
      <c r="J4908" s="1139"/>
      <c r="K4908" s="1111"/>
      <c r="L4908" s="1112"/>
      <c r="M4908" s="1113"/>
      <c r="N4908" s="110"/>
      <c r="O4908" s="1140"/>
      <c r="P4908" s="1115"/>
      <c r="Q4908" s="1116"/>
      <c r="R4908" s="1141"/>
      <c r="S4908" s="1113"/>
      <c r="T4908" s="1143"/>
      <c r="U4908" s="1108"/>
      <c r="V4908" s="1108"/>
      <c r="W4908" s="1108"/>
      <c r="X4908" s="1108"/>
      <c r="Y4908" s="1108"/>
      <c r="Z4908" s="1114"/>
      <c r="AA4908" s="1114"/>
      <c r="AB4908" s="1114"/>
      <c r="AC4908" s="1117"/>
      <c r="AD4908" s="1115"/>
      <c r="AE4908" s="1115"/>
      <c r="AF4908" s="1115"/>
      <c r="AG4908" s="1115"/>
      <c r="AH4908" s="1115"/>
      <c r="AI4908" s="1115"/>
      <c r="AJ4908" s="1117"/>
      <c r="AK4908" s="1118"/>
      <c r="AL4908" s="1115"/>
      <c r="AM4908" s="1115"/>
      <c r="AN4908" s="1115"/>
      <c r="AO4908" s="1115"/>
      <c r="AP4908" s="1115"/>
      <c r="AQ4908" s="1115"/>
      <c r="AR4908" s="1115"/>
      <c r="AS4908" s="1117"/>
      <c r="AT4908" s="1075"/>
      <c r="AU4908" s="1193"/>
      <c r="AV4908" s="330"/>
      <c r="AW4908" s="331"/>
      <c r="AX4908" s="331"/>
      <c r="AY4908" s="331"/>
      <c r="AZ4908" s="331"/>
      <c r="BA4908" s="331"/>
      <c r="BB4908" s="331"/>
      <c r="BC4908" s="331"/>
      <c r="BD4908" s="331"/>
      <c r="BE4908" s="333"/>
      <c r="BF4908" s="330"/>
      <c r="BG4908" s="333"/>
      <c r="BH4908" s="1119"/>
      <c r="BI4908" s="319"/>
      <c r="BJ4908" s="319"/>
      <c r="BK4908" s="319"/>
      <c r="BL4908" s="319"/>
      <c r="BM4908" s="319"/>
      <c r="BN4908" s="319"/>
      <c r="BO4908" s="319"/>
      <c r="BP4908" s="953"/>
      <c r="BQ4908" s="319"/>
      <c r="BR4908" s="319"/>
      <c r="BS4908" s="330"/>
      <c r="BT4908" s="331"/>
      <c r="BU4908" s="920"/>
      <c r="BV4908" s="903"/>
      <c r="BW4908" s="908"/>
      <c r="BX4908" s="908"/>
      <c r="BY4908" s="331"/>
      <c r="BZ4908" s="331"/>
      <c r="CA4908" s="462"/>
      <c r="CB4908" s="319"/>
      <c r="CC4908" s="319"/>
      <c r="CD4908" s="319"/>
      <c r="CE4908" s="319"/>
      <c r="CF4908" s="319"/>
      <c r="CG4908" s="319"/>
      <c r="CH4908" s="318"/>
      <c r="CI4908" s="319"/>
      <c r="CJ4908" s="319"/>
      <c r="CK4908" s="342"/>
      <c r="CL4908" s="333"/>
      <c r="CM4908" s="1079"/>
      <c r="CN4908" s="1005"/>
      <c r="CO4908" s="1005"/>
      <c r="CP4908" s="1005"/>
    </row>
    <row r="4909">
      <c r="A4909" s="1257"/>
      <c r="B4909" s="1113"/>
      <c r="C4909" s="1107"/>
      <c r="D4909" s="103"/>
      <c r="E4909" s="1137"/>
      <c r="F4909" s="112"/>
      <c r="G4909" s="1110"/>
      <c r="H4909" s="1138"/>
      <c r="I4909" s="1138"/>
      <c r="J4909" s="1139"/>
      <c r="K4909" s="1111"/>
      <c r="L4909" s="1112"/>
      <c r="M4909" s="1113"/>
      <c r="N4909" s="110"/>
      <c r="O4909" s="1140"/>
      <c r="P4909" s="1115"/>
      <c r="Q4909" s="1116"/>
      <c r="R4909" s="1141"/>
      <c r="S4909" s="1113"/>
      <c r="T4909" s="1143"/>
      <c r="U4909" s="1108"/>
      <c r="V4909" s="1108"/>
      <c r="W4909" s="1108"/>
      <c r="X4909" s="1108"/>
      <c r="Y4909" s="1108"/>
      <c r="Z4909" s="1114"/>
      <c r="AA4909" s="1114"/>
      <c r="AB4909" s="1114"/>
      <c r="AC4909" s="1117"/>
      <c r="AD4909" s="1115"/>
      <c r="AE4909" s="1115"/>
      <c r="AF4909" s="1115"/>
      <c r="AG4909" s="1115"/>
      <c r="AH4909" s="1115"/>
      <c r="AI4909" s="1115"/>
      <c r="AJ4909" s="1117"/>
      <c r="AK4909" s="1118"/>
      <c r="AL4909" s="1115"/>
      <c r="AM4909" s="1115"/>
      <c r="AN4909" s="1115"/>
      <c r="AO4909" s="1115"/>
      <c r="AP4909" s="1115"/>
      <c r="AQ4909" s="1115"/>
      <c r="AR4909" s="1115"/>
      <c r="AS4909" s="1117"/>
      <c r="AT4909" s="1075"/>
      <c r="AU4909" s="1193"/>
      <c r="AV4909" s="330"/>
      <c r="AW4909" s="331"/>
      <c r="AX4909" s="331"/>
      <c r="AY4909" s="331"/>
      <c r="AZ4909" s="331"/>
      <c r="BA4909" s="331"/>
      <c r="BB4909" s="331"/>
      <c r="BC4909" s="331"/>
      <c r="BD4909" s="331"/>
      <c r="BE4909" s="333"/>
      <c r="BF4909" s="330"/>
      <c r="BG4909" s="333"/>
      <c r="BH4909" s="1119"/>
      <c r="BI4909" s="319"/>
      <c r="BJ4909" s="319"/>
      <c r="BK4909" s="319"/>
      <c r="BL4909" s="319"/>
      <c r="BM4909" s="319"/>
      <c r="BN4909" s="319"/>
      <c r="BO4909" s="319"/>
      <c r="BP4909" s="953"/>
      <c r="BQ4909" s="319"/>
      <c r="BR4909" s="319"/>
      <c r="BS4909" s="330"/>
      <c r="BT4909" s="331"/>
      <c r="BU4909" s="920"/>
      <c r="BV4909" s="903"/>
      <c r="BW4909" s="908"/>
      <c r="BX4909" s="908"/>
      <c r="BY4909" s="331"/>
      <c r="BZ4909" s="331"/>
      <c r="CA4909" s="462"/>
      <c r="CB4909" s="319"/>
      <c r="CC4909" s="319"/>
      <c r="CD4909" s="319"/>
      <c r="CE4909" s="319"/>
      <c r="CF4909" s="319"/>
      <c r="CG4909" s="319"/>
      <c r="CH4909" s="318"/>
      <c r="CI4909" s="319"/>
      <c r="CJ4909" s="319"/>
      <c r="CK4909" s="342"/>
      <c r="CL4909" s="333"/>
      <c r="CM4909" s="1079"/>
      <c r="CN4909" s="1005"/>
      <c r="CO4909" s="1005"/>
      <c r="CP4909" s="1005"/>
    </row>
    <row r="4910">
      <c r="A4910" s="1257"/>
      <c r="B4910" s="1113"/>
      <c r="C4910" s="1107"/>
      <c r="D4910" s="103"/>
      <c r="E4910" s="1137"/>
      <c r="F4910" s="112"/>
      <c r="G4910" s="1110"/>
      <c r="H4910" s="1138"/>
      <c r="I4910" s="1138"/>
      <c r="J4910" s="1139"/>
      <c r="K4910" s="1111"/>
      <c r="L4910" s="1112"/>
      <c r="M4910" s="1113"/>
      <c r="N4910" s="110"/>
      <c r="O4910" s="1140"/>
      <c r="P4910" s="1115"/>
      <c r="Q4910" s="1116"/>
      <c r="R4910" s="1141"/>
      <c r="S4910" s="1113"/>
      <c r="T4910" s="1143"/>
      <c r="U4910" s="1108"/>
      <c r="V4910" s="1108"/>
      <c r="W4910" s="1108"/>
      <c r="X4910" s="1108"/>
      <c r="Y4910" s="1108"/>
      <c r="Z4910" s="1114"/>
      <c r="AA4910" s="1114"/>
      <c r="AB4910" s="1114"/>
      <c r="AC4910" s="1117"/>
      <c r="AD4910" s="1115"/>
      <c r="AE4910" s="1115"/>
      <c r="AF4910" s="1115"/>
      <c r="AG4910" s="1115"/>
      <c r="AH4910" s="1115"/>
      <c r="AI4910" s="1115"/>
      <c r="AJ4910" s="1117"/>
      <c r="AK4910" s="1118"/>
      <c r="AL4910" s="1115"/>
      <c r="AM4910" s="1115"/>
      <c r="AN4910" s="1115"/>
      <c r="AO4910" s="1115"/>
      <c r="AP4910" s="1115"/>
      <c r="AQ4910" s="1115"/>
      <c r="AR4910" s="1115"/>
      <c r="AS4910" s="1117"/>
      <c r="AT4910" s="1075"/>
      <c r="AU4910" s="1193"/>
      <c r="AV4910" s="330"/>
      <c r="AW4910" s="331"/>
      <c r="AX4910" s="331"/>
      <c r="AY4910" s="331"/>
      <c r="AZ4910" s="331"/>
      <c r="BA4910" s="331"/>
      <c r="BB4910" s="331"/>
      <c r="BC4910" s="331"/>
      <c r="BD4910" s="331"/>
      <c r="BE4910" s="333"/>
      <c r="BF4910" s="330"/>
      <c r="BG4910" s="333"/>
      <c r="BH4910" s="1119"/>
      <c r="BI4910" s="319"/>
      <c r="BJ4910" s="319"/>
      <c r="BK4910" s="319"/>
      <c r="BL4910" s="319"/>
      <c r="BM4910" s="319"/>
      <c r="BN4910" s="319"/>
      <c r="BO4910" s="319"/>
      <c r="BP4910" s="953"/>
      <c r="BQ4910" s="319"/>
      <c r="BR4910" s="319"/>
      <c r="BS4910" s="330"/>
      <c r="BT4910" s="331"/>
      <c r="BU4910" s="920"/>
      <c r="BV4910" s="903"/>
      <c r="BW4910" s="908"/>
      <c r="BX4910" s="908"/>
      <c r="BY4910" s="331"/>
      <c r="BZ4910" s="331"/>
      <c r="CA4910" s="462"/>
      <c r="CB4910" s="319"/>
      <c r="CC4910" s="319"/>
      <c r="CD4910" s="319"/>
      <c r="CE4910" s="319"/>
      <c r="CF4910" s="319"/>
      <c r="CG4910" s="319"/>
      <c r="CH4910" s="318"/>
      <c r="CI4910" s="319"/>
      <c r="CJ4910" s="319"/>
      <c r="CK4910" s="342"/>
      <c r="CL4910" s="333"/>
      <c r="CM4910" s="1079"/>
      <c r="CN4910" s="1005"/>
      <c r="CO4910" s="1005"/>
      <c r="CP4910" s="1005"/>
    </row>
    <row r="4911">
      <c r="A4911" s="1257"/>
      <c r="B4911" s="1113"/>
      <c r="C4911" s="1107"/>
      <c r="D4911" s="103"/>
      <c r="E4911" s="1137"/>
      <c r="F4911" s="112"/>
      <c r="G4911" s="1110"/>
      <c r="H4911" s="1138"/>
      <c r="I4911" s="1138"/>
      <c r="J4911" s="1139"/>
      <c r="K4911" s="1111"/>
      <c r="L4911" s="1112"/>
      <c r="M4911" s="1113"/>
      <c r="N4911" s="110"/>
      <c r="O4911" s="1140"/>
      <c r="P4911" s="1115"/>
      <c r="Q4911" s="1116"/>
      <c r="R4911" s="1141"/>
      <c r="S4911" s="1113"/>
      <c r="T4911" s="1143"/>
      <c r="U4911" s="1108"/>
      <c r="V4911" s="1108"/>
      <c r="W4911" s="1108"/>
      <c r="X4911" s="1108"/>
      <c r="Y4911" s="1108"/>
      <c r="Z4911" s="1114"/>
      <c r="AA4911" s="1114"/>
      <c r="AB4911" s="1114"/>
      <c r="AC4911" s="1117"/>
      <c r="AD4911" s="1115"/>
      <c r="AE4911" s="1115"/>
      <c r="AF4911" s="1115"/>
      <c r="AG4911" s="1115"/>
      <c r="AH4911" s="1115"/>
      <c r="AI4911" s="1115"/>
      <c r="AJ4911" s="1117"/>
      <c r="AK4911" s="1118"/>
      <c r="AL4911" s="1115"/>
      <c r="AM4911" s="1115"/>
      <c r="AN4911" s="1115"/>
      <c r="AO4911" s="1115"/>
      <c r="AP4911" s="1115"/>
      <c r="AQ4911" s="1115"/>
      <c r="AR4911" s="1115"/>
      <c r="AS4911" s="1117"/>
      <c r="AT4911" s="1075"/>
      <c r="AU4911" s="1193"/>
      <c r="AV4911" s="330"/>
      <c r="AW4911" s="331"/>
      <c r="AX4911" s="331"/>
      <c r="AY4911" s="331"/>
      <c r="AZ4911" s="331"/>
      <c r="BA4911" s="331"/>
      <c r="BB4911" s="331"/>
      <c r="BC4911" s="331"/>
      <c r="BD4911" s="331"/>
      <c r="BE4911" s="333"/>
      <c r="BF4911" s="330"/>
      <c r="BG4911" s="333"/>
      <c r="BH4911" s="1119"/>
      <c r="BI4911" s="319"/>
      <c r="BJ4911" s="319"/>
      <c r="BK4911" s="319"/>
      <c r="BL4911" s="319"/>
      <c r="BM4911" s="319"/>
      <c r="BN4911" s="319"/>
      <c r="BO4911" s="319"/>
      <c r="BP4911" s="953"/>
      <c r="BQ4911" s="319"/>
      <c r="BR4911" s="319"/>
      <c r="BS4911" s="330"/>
      <c r="BT4911" s="331"/>
      <c r="BU4911" s="920"/>
      <c r="BV4911" s="903"/>
      <c r="BW4911" s="908"/>
      <c r="BX4911" s="908"/>
      <c r="BY4911" s="331"/>
      <c r="BZ4911" s="331"/>
      <c r="CA4911" s="462"/>
      <c r="CB4911" s="319"/>
      <c r="CC4911" s="319"/>
      <c r="CD4911" s="319"/>
      <c r="CE4911" s="319"/>
      <c r="CF4911" s="319"/>
      <c r="CG4911" s="319"/>
      <c r="CH4911" s="318"/>
      <c r="CI4911" s="319"/>
      <c r="CJ4911" s="319"/>
      <c r="CK4911" s="342"/>
      <c r="CL4911" s="333"/>
      <c r="CM4911" s="1079"/>
      <c r="CN4911" s="1005"/>
      <c r="CO4911" s="1005"/>
      <c r="CP4911" s="1005"/>
    </row>
    <row r="4912">
      <c r="A4912" s="1257"/>
      <c r="B4912" s="1113"/>
      <c r="C4912" s="1107"/>
      <c r="D4912" s="103"/>
      <c r="E4912" s="1137"/>
      <c r="F4912" s="112"/>
      <c r="G4912" s="1110"/>
      <c r="H4912" s="1138"/>
      <c r="I4912" s="1138"/>
      <c r="J4912" s="1139"/>
      <c r="K4912" s="1111"/>
      <c r="L4912" s="1112"/>
      <c r="M4912" s="1113"/>
      <c r="N4912" s="110"/>
      <c r="O4912" s="1140"/>
      <c r="P4912" s="1115"/>
      <c r="Q4912" s="1116"/>
      <c r="R4912" s="1141"/>
      <c r="S4912" s="1113"/>
      <c r="T4912" s="1143"/>
      <c r="U4912" s="1108"/>
      <c r="V4912" s="1108"/>
      <c r="W4912" s="1108"/>
      <c r="X4912" s="1108"/>
      <c r="Y4912" s="1108"/>
      <c r="Z4912" s="1114"/>
      <c r="AA4912" s="1114"/>
      <c r="AB4912" s="1114"/>
      <c r="AC4912" s="1117"/>
      <c r="AD4912" s="1115"/>
      <c r="AE4912" s="1115"/>
      <c r="AF4912" s="1115"/>
      <c r="AG4912" s="1115"/>
      <c r="AH4912" s="1115"/>
      <c r="AI4912" s="1115"/>
      <c r="AJ4912" s="1117"/>
      <c r="AK4912" s="1118"/>
      <c r="AL4912" s="1115"/>
      <c r="AM4912" s="1115"/>
      <c r="AN4912" s="1115"/>
      <c r="AO4912" s="1115"/>
      <c r="AP4912" s="1115"/>
      <c r="AQ4912" s="1115"/>
      <c r="AR4912" s="1115"/>
      <c r="AS4912" s="1117"/>
      <c r="AT4912" s="1075"/>
      <c r="AU4912" s="1193"/>
      <c r="AV4912" s="330"/>
      <c r="AW4912" s="331"/>
      <c r="AX4912" s="331"/>
      <c r="AY4912" s="331"/>
      <c r="AZ4912" s="331"/>
      <c r="BA4912" s="331"/>
      <c r="BB4912" s="331"/>
      <c r="BC4912" s="331"/>
      <c r="BD4912" s="331"/>
      <c r="BE4912" s="333"/>
      <c r="BF4912" s="330"/>
      <c r="BG4912" s="333"/>
      <c r="BH4912" s="1119"/>
      <c r="BI4912" s="319"/>
      <c r="BJ4912" s="319"/>
      <c r="BK4912" s="319"/>
      <c r="BL4912" s="319"/>
      <c r="BM4912" s="319"/>
      <c r="BN4912" s="319"/>
      <c r="BO4912" s="319"/>
      <c r="BP4912" s="953"/>
      <c r="BQ4912" s="319"/>
      <c r="BR4912" s="319"/>
      <c r="BS4912" s="330"/>
      <c r="BT4912" s="331"/>
      <c r="BU4912" s="920"/>
      <c r="BV4912" s="903"/>
      <c r="BW4912" s="908"/>
      <c r="BX4912" s="908"/>
      <c r="BY4912" s="331"/>
      <c r="BZ4912" s="331"/>
      <c r="CA4912" s="462"/>
      <c r="CB4912" s="319"/>
      <c r="CC4912" s="319"/>
      <c r="CD4912" s="319"/>
      <c r="CE4912" s="319"/>
      <c r="CF4912" s="319"/>
      <c r="CG4912" s="319"/>
      <c r="CH4912" s="318"/>
      <c r="CI4912" s="319"/>
      <c r="CJ4912" s="319"/>
      <c r="CK4912" s="342"/>
      <c r="CL4912" s="333"/>
      <c r="CM4912" s="1079"/>
      <c r="CN4912" s="1005"/>
      <c r="CO4912" s="1005"/>
      <c r="CP4912" s="1005"/>
    </row>
    <row r="4913">
      <c r="A4913" s="1257"/>
      <c r="B4913" s="1113"/>
      <c r="C4913" s="1107"/>
      <c r="D4913" s="103"/>
      <c r="E4913" s="1137"/>
      <c r="F4913" s="112"/>
      <c r="G4913" s="1110"/>
      <c r="H4913" s="1138"/>
      <c r="I4913" s="1138"/>
      <c r="J4913" s="1139"/>
      <c r="K4913" s="1111"/>
      <c r="L4913" s="1112"/>
      <c r="M4913" s="1113"/>
      <c r="N4913" s="110"/>
      <c r="O4913" s="1140"/>
      <c r="P4913" s="1115"/>
      <c r="Q4913" s="1116"/>
      <c r="R4913" s="1141"/>
      <c r="S4913" s="1113"/>
      <c r="T4913" s="1143"/>
      <c r="U4913" s="1108"/>
      <c r="V4913" s="1108"/>
      <c r="W4913" s="1108"/>
      <c r="X4913" s="1108"/>
      <c r="Y4913" s="1108"/>
      <c r="Z4913" s="1114"/>
      <c r="AA4913" s="1114"/>
      <c r="AB4913" s="1114"/>
      <c r="AC4913" s="1117"/>
      <c r="AD4913" s="1115"/>
      <c r="AE4913" s="1115"/>
      <c r="AF4913" s="1115"/>
      <c r="AG4913" s="1115"/>
      <c r="AH4913" s="1115"/>
      <c r="AI4913" s="1115"/>
      <c r="AJ4913" s="1117"/>
      <c r="AK4913" s="1118"/>
      <c r="AL4913" s="1115"/>
      <c r="AM4913" s="1115"/>
      <c r="AN4913" s="1115"/>
      <c r="AO4913" s="1115"/>
      <c r="AP4913" s="1115"/>
      <c r="AQ4913" s="1115"/>
      <c r="AR4913" s="1115"/>
      <c r="AS4913" s="1117"/>
      <c r="AT4913" s="1075"/>
      <c r="AU4913" s="1193"/>
      <c r="AV4913" s="330"/>
      <c r="AW4913" s="331"/>
      <c r="AX4913" s="331"/>
      <c r="AY4913" s="331"/>
      <c r="AZ4913" s="331"/>
      <c r="BA4913" s="331"/>
      <c r="BB4913" s="331"/>
      <c r="BC4913" s="331"/>
      <c r="BD4913" s="331"/>
      <c r="BE4913" s="333"/>
      <c r="BF4913" s="330"/>
      <c r="BG4913" s="333"/>
      <c r="BH4913" s="1119"/>
      <c r="BI4913" s="319"/>
      <c r="BJ4913" s="319"/>
      <c r="BK4913" s="319"/>
      <c r="BL4913" s="319"/>
      <c r="BM4913" s="319"/>
      <c r="BN4913" s="319"/>
      <c r="BO4913" s="319"/>
      <c r="BP4913" s="953"/>
      <c r="BQ4913" s="319"/>
      <c r="BR4913" s="319"/>
      <c r="BS4913" s="330"/>
      <c r="BT4913" s="331"/>
      <c r="BU4913" s="920"/>
      <c r="BV4913" s="903"/>
      <c r="BW4913" s="908"/>
      <c r="BX4913" s="908"/>
      <c r="BY4913" s="331"/>
      <c r="BZ4913" s="331"/>
      <c r="CA4913" s="462"/>
      <c r="CB4913" s="319"/>
      <c r="CC4913" s="319"/>
      <c r="CD4913" s="319"/>
      <c r="CE4913" s="319"/>
      <c r="CF4913" s="319"/>
      <c r="CG4913" s="319"/>
      <c r="CH4913" s="318"/>
      <c r="CI4913" s="319"/>
      <c r="CJ4913" s="319"/>
      <c r="CK4913" s="342"/>
      <c r="CL4913" s="333"/>
      <c r="CM4913" s="1079"/>
      <c r="CN4913" s="1005"/>
      <c r="CO4913" s="1005"/>
      <c r="CP4913" s="1005"/>
    </row>
    <row r="4914">
      <c r="A4914" s="1257"/>
      <c r="B4914" s="1113"/>
      <c r="C4914" s="1107"/>
      <c r="D4914" s="103"/>
      <c r="E4914" s="1137"/>
      <c r="F4914" s="112"/>
      <c r="G4914" s="1110"/>
      <c r="H4914" s="1138"/>
      <c r="I4914" s="1138"/>
      <c r="J4914" s="1139"/>
      <c r="K4914" s="1111"/>
      <c r="L4914" s="1112"/>
      <c r="M4914" s="1113"/>
      <c r="N4914" s="110"/>
      <c r="O4914" s="1140"/>
      <c r="P4914" s="1115"/>
      <c r="Q4914" s="1116"/>
      <c r="R4914" s="1141"/>
      <c r="S4914" s="1113"/>
      <c r="T4914" s="1143"/>
      <c r="U4914" s="1108"/>
      <c r="V4914" s="1108"/>
      <c r="W4914" s="1108"/>
      <c r="X4914" s="1108"/>
      <c r="Y4914" s="1108"/>
      <c r="Z4914" s="1114"/>
      <c r="AA4914" s="1114"/>
      <c r="AB4914" s="1114"/>
      <c r="AC4914" s="1117"/>
      <c r="AD4914" s="1115"/>
      <c r="AE4914" s="1115"/>
      <c r="AF4914" s="1115"/>
      <c r="AG4914" s="1115"/>
      <c r="AH4914" s="1115"/>
      <c r="AI4914" s="1115"/>
      <c r="AJ4914" s="1117"/>
      <c r="AK4914" s="1118"/>
      <c r="AL4914" s="1115"/>
      <c r="AM4914" s="1115"/>
      <c r="AN4914" s="1115"/>
      <c r="AO4914" s="1115"/>
      <c r="AP4914" s="1115"/>
      <c r="AQ4914" s="1115"/>
      <c r="AR4914" s="1115"/>
      <c r="AS4914" s="1117"/>
      <c r="AT4914" s="1075"/>
      <c r="AU4914" s="1193"/>
      <c r="AV4914" s="330"/>
      <c r="AW4914" s="331"/>
      <c r="AX4914" s="331"/>
      <c r="AY4914" s="331"/>
      <c r="AZ4914" s="331"/>
      <c r="BA4914" s="331"/>
      <c r="BB4914" s="331"/>
      <c r="BC4914" s="331"/>
      <c r="BD4914" s="331"/>
      <c r="BE4914" s="333"/>
      <c r="BF4914" s="330"/>
      <c r="BG4914" s="333"/>
      <c r="BH4914" s="1119"/>
      <c r="BI4914" s="319"/>
      <c r="BJ4914" s="319"/>
      <c r="BK4914" s="319"/>
      <c r="BL4914" s="319"/>
      <c r="BM4914" s="319"/>
      <c r="BN4914" s="319"/>
      <c r="BO4914" s="319"/>
      <c r="BP4914" s="953"/>
      <c r="BQ4914" s="319"/>
      <c r="BR4914" s="319"/>
      <c r="BS4914" s="330"/>
      <c r="BT4914" s="331"/>
      <c r="BU4914" s="920"/>
      <c r="BV4914" s="903"/>
      <c r="BW4914" s="908"/>
      <c r="BX4914" s="908"/>
      <c r="BY4914" s="331"/>
      <c r="BZ4914" s="331"/>
      <c r="CA4914" s="462"/>
      <c r="CB4914" s="319"/>
      <c r="CC4914" s="319"/>
      <c r="CD4914" s="319"/>
      <c r="CE4914" s="319"/>
      <c r="CF4914" s="319"/>
      <c r="CG4914" s="319"/>
      <c r="CH4914" s="318"/>
      <c r="CI4914" s="319"/>
      <c r="CJ4914" s="319"/>
      <c r="CK4914" s="342"/>
      <c r="CL4914" s="333"/>
      <c r="CM4914" s="1079"/>
      <c r="CN4914" s="1005"/>
      <c r="CO4914" s="1005"/>
      <c r="CP4914" s="1005"/>
    </row>
    <row r="4915">
      <c r="A4915" s="1257"/>
      <c r="B4915" s="1113"/>
      <c r="C4915" s="1107"/>
      <c r="D4915" s="103"/>
      <c r="E4915" s="1137"/>
      <c r="F4915" s="112"/>
      <c r="G4915" s="1110"/>
      <c r="H4915" s="1138"/>
      <c r="I4915" s="1138"/>
      <c r="J4915" s="1139"/>
      <c r="K4915" s="1111"/>
      <c r="L4915" s="1112"/>
      <c r="M4915" s="1113"/>
      <c r="N4915" s="110"/>
      <c r="O4915" s="1140"/>
      <c r="P4915" s="1115"/>
      <c r="Q4915" s="1116"/>
      <c r="R4915" s="1141"/>
      <c r="S4915" s="1113"/>
      <c r="T4915" s="1143"/>
      <c r="U4915" s="1108"/>
      <c r="V4915" s="1108"/>
      <c r="W4915" s="1108"/>
      <c r="X4915" s="1108"/>
      <c r="Y4915" s="1108"/>
      <c r="Z4915" s="1114"/>
      <c r="AA4915" s="1114"/>
      <c r="AB4915" s="1114"/>
      <c r="AC4915" s="1117"/>
      <c r="AD4915" s="1115"/>
      <c r="AE4915" s="1115"/>
      <c r="AF4915" s="1115"/>
      <c r="AG4915" s="1115"/>
      <c r="AH4915" s="1115"/>
      <c r="AI4915" s="1115"/>
      <c r="AJ4915" s="1117"/>
      <c r="AK4915" s="1118"/>
      <c r="AL4915" s="1115"/>
      <c r="AM4915" s="1115"/>
      <c r="AN4915" s="1115"/>
      <c r="AO4915" s="1115"/>
      <c r="AP4915" s="1115"/>
      <c r="AQ4915" s="1115"/>
      <c r="AR4915" s="1115"/>
      <c r="AS4915" s="1117"/>
      <c r="AT4915" s="1075"/>
      <c r="AU4915" s="1193"/>
      <c r="AV4915" s="330"/>
      <c r="AW4915" s="331"/>
      <c r="AX4915" s="331"/>
      <c r="AY4915" s="331"/>
      <c r="AZ4915" s="331"/>
      <c r="BA4915" s="331"/>
      <c r="BB4915" s="331"/>
      <c r="BC4915" s="331"/>
      <c r="BD4915" s="331"/>
      <c r="BE4915" s="333"/>
      <c r="BF4915" s="330"/>
      <c r="BG4915" s="333"/>
      <c r="BH4915" s="1119"/>
      <c r="BI4915" s="319"/>
      <c r="BJ4915" s="319"/>
      <c r="BK4915" s="319"/>
      <c r="BL4915" s="319"/>
      <c r="BM4915" s="319"/>
      <c r="BN4915" s="319"/>
      <c r="BO4915" s="319"/>
      <c r="BP4915" s="953"/>
      <c r="BQ4915" s="319"/>
      <c r="BR4915" s="319"/>
      <c r="BS4915" s="330"/>
      <c r="BT4915" s="331"/>
      <c r="BU4915" s="920"/>
      <c r="BV4915" s="903"/>
      <c r="BW4915" s="908"/>
      <c r="BX4915" s="908"/>
      <c r="BY4915" s="331"/>
      <c r="BZ4915" s="331"/>
      <c r="CA4915" s="462"/>
      <c r="CB4915" s="319"/>
      <c r="CC4915" s="319"/>
      <c r="CD4915" s="319"/>
      <c r="CE4915" s="319"/>
      <c r="CF4915" s="319"/>
      <c r="CG4915" s="319"/>
      <c r="CH4915" s="318"/>
      <c r="CI4915" s="319"/>
      <c r="CJ4915" s="319"/>
      <c r="CK4915" s="342"/>
      <c r="CL4915" s="333"/>
      <c r="CM4915" s="1079"/>
      <c r="CN4915" s="1005"/>
      <c r="CO4915" s="1005"/>
      <c r="CP4915" s="1005"/>
    </row>
    <row r="4916">
      <c r="A4916" s="1257"/>
      <c r="B4916" s="1113"/>
      <c r="C4916" s="1107"/>
      <c r="D4916" s="103"/>
      <c r="E4916" s="1137"/>
      <c r="F4916" s="112"/>
      <c r="G4916" s="1110"/>
      <c r="H4916" s="1138"/>
      <c r="I4916" s="1138"/>
      <c r="J4916" s="1139"/>
      <c r="K4916" s="1111"/>
      <c r="L4916" s="1112"/>
      <c r="M4916" s="1113"/>
      <c r="N4916" s="110"/>
      <c r="O4916" s="1140"/>
      <c r="P4916" s="1115"/>
      <c r="Q4916" s="1116"/>
      <c r="R4916" s="1141"/>
      <c r="S4916" s="1113"/>
      <c r="T4916" s="1143"/>
      <c r="U4916" s="1108"/>
      <c r="V4916" s="1108"/>
      <c r="W4916" s="1108"/>
      <c r="X4916" s="1108"/>
      <c r="Y4916" s="1108"/>
      <c r="Z4916" s="1114"/>
      <c r="AA4916" s="1114"/>
      <c r="AB4916" s="1114"/>
      <c r="AC4916" s="1117"/>
      <c r="AD4916" s="1115"/>
      <c r="AE4916" s="1115"/>
      <c r="AF4916" s="1115"/>
      <c r="AG4916" s="1115"/>
      <c r="AH4916" s="1115"/>
      <c r="AI4916" s="1115"/>
      <c r="AJ4916" s="1117"/>
      <c r="AK4916" s="1118"/>
      <c r="AL4916" s="1115"/>
      <c r="AM4916" s="1115"/>
      <c r="AN4916" s="1115"/>
      <c r="AO4916" s="1115"/>
      <c r="AP4916" s="1115"/>
      <c r="AQ4916" s="1115"/>
      <c r="AR4916" s="1115"/>
      <c r="AS4916" s="1117"/>
      <c r="AT4916" s="1075"/>
      <c r="AU4916" s="1193"/>
      <c r="AV4916" s="330"/>
      <c r="AW4916" s="331"/>
      <c r="AX4916" s="331"/>
      <c r="AY4916" s="331"/>
      <c r="AZ4916" s="331"/>
      <c r="BA4916" s="331"/>
      <c r="BB4916" s="331"/>
      <c r="BC4916" s="331"/>
      <c r="BD4916" s="331"/>
      <c r="BE4916" s="333"/>
      <c r="BF4916" s="330"/>
      <c r="BG4916" s="333"/>
      <c r="BH4916" s="1119"/>
      <c r="BI4916" s="319"/>
      <c r="BJ4916" s="319"/>
      <c r="BK4916" s="319"/>
      <c r="BL4916" s="319"/>
      <c r="BM4916" s="319"/>
      <c r="BN4916" s="319"/>
      <c r="BO4916" s="319"/>
      <c r="BP4916" s="953"/>
      <c r="BQ4916" s="319"/>
      <c r="BR4916" s="319"/>
      <c r="BS4916" s="330"/>
      <c r="BT4916" s="331"/>
      <c r="BU4916" s="920"/>
      <c r="BV4916" s="903"/>
      <c r="BW4916" s="908"/>
      <c r="BX4916" s="908"/>
      <c r="BY4916" s="331"/>
      <c r="BZ4916" s="331"/>
      <c r="CA4916" s="462"/>
      <c r="CB4916" s="319"/>
      <c r="CC4916" s="319"/>
      <c r="CD4916" s="319"/>
      <c r="CE4916" s="319"/>
      <c r="CF4916" s="319"/>
      <c r="CG4916" s="319"/>
      <c r="CH4916" s="318"/>
      <c r="CI4916" s="319"/>
      <c r="CJ4916" s="319"/>
      <c r="CK4916" s="342"/>
      <c r="CL4916" s="333"/>
      <c r="CM4916" s="1079"/>
      <c r="CN4916" s="1005"/>
      <c r="CO4916" s="1005"/>
      <c r="CP4916" s="1005"/>
    </row>
    <row r="4917">
      <c r="A4917" s="1257"/>
      <c r="B4917" s="1113"/>
      <c r="C4917" s="1107"/>
      <c r="D4917" s="103"/>
      <c r="E4917" s="1137"/>
      <c r="F4917" s="112"/>
      <c r="G4917" s="1110"/>
      <c r="H4917" s="1138"/>
      <c r="I4917" s="1138"/>
      <c r="J4917" s="1139"/>
      <c r="K4917" s="1111"/>
      <c r="L4917" s="1112"/>
      <c r="M4917" s="1113"/>
      <c r="N4917" s="110"/>
      <c r="O4917" s="1140"/>
      <c r="P4917" s="1115"/>
      <c r="Q4917" s="1116"/>
      <c r="R4917" s="1141"/>
      <c r="S4917" s="1113"/>
      <c r="T4917" s="1143"/>
      <c r="U4917" s="1108"/>
      <c r="V4917" s="1108"/>
      <c r="W4917" s="1108"/>
      <c r="X4917" s="1108"/>
      <c r="Y4917" s="1108"/>
      <c r="Z4917" s="1114"/>
      <c r="AA4917" s="1114"/>
      <c r="AB4917" s="1114"/>
      <c r="AC4917" s="1117"/>
      <c r="AD4917" s="1115"/>
      <c r="AE4917" s="1115"/>
      <c r="AF4917" s="1115"/>
      <c r="AG4917" s="1115"/>
      <c r="AH4917" s="1115"/>
      <c r="AI4917" s="1115"/>
      <c r="AJ4917" s="1117"/>
      <c r="AK4917" s="1118"/>
      <c r="AL4917" s="1115"/>
      <c r="AM4917" s="1115"/>
      <c r="AN4917" s="1115"/>
      <c r="AO4917" s="1115"/>
      <c r="AP4917" s="1115"/>
      <c r="AQ4917" s="1115"/>
      <c r="AR4917" s="1115"/>
      <c r="AS4917" s="1117"/>
      <c r="AT4917" s="1075"/>
      <c r="AU4917" s="1193"/>
      <c r="AV4917" s="330"/>
      <c r="AW4917" s="331"/>
      <c r="AX4917" s="331"/>
      <c r="AY4917" s="331"/>
      <c r="AZ4917" s="331"/>
      <c r="BA4917" s="331"/>
      <c r="BB4917" s="331"/>
      <c r="BC4917" s="331"/>
      <c r="BD4917" s="331"/>
      <c r="BE4917" s="333"/>
      <c r="BF4917" s="330"/>
      <c r="BG4917" s="333"/>
      <c r="BH4917" s="1119"/>
      <c r="BI4917" s="319"/>
      <c r="BJ4917" s="319"/>
      <c r="BK4917" s="319"/>
      <c r="BL4917" s="319"/>
      <c r="BM4917" s="319"/>
      <c r="BN4917" s="319"/>
      <c r="BO4917" s="319"/>
      <c r="BP4917" s="953"/>
      <c r="BQ4917" s="319"/>
      <c r="BR4917" s="319"/>
      <c r="BS4917" s="330"/>
      <c r="BT4917" s="331"/>
      <c r="BU4917" s="920"/>
      <c r="BV4917" s="903"/>
      <c r="BW4917" s="908"/>
      <c r="BX4917" s="908"/>
      <c r="BY4917" s="331"/>
      <c r="BZ4917" s="331"/>
      <c r="CA4917" s="462"/>
      <c r="CB4917" s="319"/>
      <c r="CC4917" s="319"/>
      <c r="CD4917" s="319"/>
      <c r="CE4917" s="319"/>
      <c r="CF4917" s="319"/>
      <c r="CG4917" s="319"/>
      <c r="CH4917" s="318"/>
      <c r="CI4917" s="319"/>
      <c r="CJ4917" s="319"/>
      <c r="CK4917" s="342"/>
      <c r="CL4917" s="333"/>
      <c r="CM4917" s="1079"/>
      <c r="CN4917" s="1005"/>
      <c r="CO4917" s="1005"/>
      <c r="CP4917" s="1005"/>
    </row>
    <row r="4918">
      <c r="A4918" s="1257"/>
      <c r="B4918" s="1113"/>
      <c r="C4918" s="1107"/>
      <c r="D4918" s="103"/>
      <c r="E4918" s="1137"/>
      <c r="F4918" s="112"/>
      <c r="G4918" s="1110"/>
      <c r="H4918" s="1138"/>
      <c r="I4918" s="1138"/>
      <c r="J4918" s="1139"/>
      <c r="K4918" s="1111"/>
      <c r="L4918" s="1112"/>
      <c r="M4918" s="1113"/>
      <c r="N4918" s="110"/>
      <c r="O4918" s="1140"/>
      <c r="P4918" s="1115"/>
      <c r="Q4918" s="1116"/>
      <c r="R4918" s="1141"/>
      <c r="S4918" s="1113"/>
      <c r="T4918" s="1143"/>
      <c r="U4918" s="1108"/>
      <c r="V4918" s="1108"/>
      <c r="W4918" s="1108"/>
      <c r="X4918" s="1108"/>
      <c r="Y4918" s="1108"/>
      <c r="Z4918" s="1114"/>
      <c r="AA4918" s="1114"/>
      <c r="AB4918" s="1114"/>
      <c r="AC4918" s="1117"/>
      <c r="AD4918" s="1115"/>
      <c r="AE4918" s="1115"/>
      <c r="AF4918" s="1115"/>
      <c r="AG4918" s="1115"/>
      <c r="AH4918" s="1115"/>
      <c r="AI4918" s="1115"/>
      <c r="AJ4918" s="1117"/>
      <c r="AK4918" s="1118"/>
      <c r="AL4918" s="1115"/>
      <c r="AM4918" s="1115"/>
      <c r="AN4918" s="1115"/>
      <c r="AO4918" s="1115"/>
      <c r="AP4918" s="1115"/>
      <c r="AQ4918" s="1115"/>
      <c r="AR4918" s="1115"/>
      <c r="AS4918" s="1117"/>
      <c r="AT4918" s="1075"/>
      <c r="AU4918" s="1193"/>
      <c r="AV4918" s="330"/>
      <c r="AW4918" s="331"/>
      <c r="AX4918" s="331"/>
      <c r="AY4918" s="331"/>
      <c r="AZ4918" s="331"/>
      <c r="BA4918" s="331"/>
      <c r="BB4918" s="331"/>
      <c r="BC4918" s="331"/>
      <c r="BD4918" s="331"/>
      <c r="BE4918" s="333"/>
      <c r="BF4918" s="330"/>
      <c r="BG4918" s="333"/>
      <c r="BH4918" s="1119"/>
      <c r="BI4918" s="319"/>
      <c r="BJ4918" s="319"/>
      <c r="BK4918" s="319"/>
      <c r="BL4918" s="319"/>
      <c r="BM4918" s="319"/>
      <c r="BN4918" s="319"/>
      <c r="BO4918" s="319"/>
      <c r="BP4918" s="953"/>
      <c r="BQ4918" s="319"/>
      <c r="BR4918" s="319"/>
      <c r="BS4918" s="330"/>
      <c r="BT4918" s="331"/>
      <c r="BU4918" s="920"/>
      <c r="BV4918" s="903"/>
      <c r="BW4918" s="908"/>
      <c r="BX4918" s="908"/>
      <c r="BY4918" s="331"/>
      <c r="BZ4918" s="331"/>
      <c r="CA4918" s="462"/>
      <c r="CB4918" s="319"/>
      <c r="CC4918" s="319"/>
      <c r="CD4918" s="319"/>
      <c r="CE4918" s="319"/>
      <c r="CF4918" s="319"/>
      <c r="CG4918" s="319"/>
      <c r="CH4918" s="318"/>
      <c r="CI4918" s="319"/>
      <c r="CJ4918" s="319"/>
      <c r="CK4918" s="342"/>
      <c r="CL4918" s="333"/>
      <c r="CM4918" s="1079"/>
      <c r="CN4918" s="1005"/>
      <c r="CO4918" s="1005"/>
      <c r="CP4918" s="1005"/>
    </row>
    <row r="4919">
      <c r="A4919" s="1257"/>
      <c r="B4919" s="1113"/>
      <c r="C4919" s="1107"/>
      <c r="D4919" s="103"/>
      <c r="E4919" s="1137"/>
      <c r="F4919" s="112"/>
      <c r="G4919" s="1110"/>
      <c r="H4919" s="1138"/>
      <c r="I4919" s="1138"/>
      <c r="J4919" s="1139"/>
      <c r="K4919" s="1111"/>
      <c r="L4919" s="1112"/>
      <c r="M4919" s="1113"/>
      <c r="N4919" s="110"/>
      <c r="O4919" s="1140"/>
      <c r="P4919" s="1115"/>
      <c r="Q4919" s="1116"/>
      <c r="R4919" s="1141"/>
      <c r="S4919" s="1113"/>
      <c r="T4919" s="1143"/>
      <c r="U4919" s="1108"/>
      <c r="V4919" s="1108"/>
      <c r="W4919" s="1108"/>
      <c r="X4919" s="1108"/>
      <c r="Y4919" s="1108"/>
      <c r="Z4919" s="1114"/>
      <c r="AA4919" s="1114"/>
      <c r="AB4919" s="1114"/>
      <c r="AC4919" s="1117"/>
      <c r="AD4919" s="1115"/>
      <c r="AE4919" s="1115"/>
      <c r="AF4919" s="1115"/>
      <c r="AG4919" s="1115"/>
      <c r="AH4919" s="1115"/>
      <c r="AI4919" s="1115"/>
      <c r="AJ4919" s="1117"/>
      <c r="AK4919" s="1118"/>
      <c r="AL4919" s="1115"/>
      <c r="AM4919" s="1115"/>
      <c r="AN4919" s="1115"/>
      <c r="AO4919" s="1115"/>
      <c r="AP4919" s="1115"/>
      <c r="AQ4919" s="1115"/>
      <c r="AR4919" s="1115"/>
      <c r="AS4919" s="1117"/>
      <c r="AT4919" s="1075"/>
      <c r="AU4919" s="1193"/>
      <c r="AV4919" s="330"/>
      <c r="AW4919" s="331"/>
      <c r="AX4919" s="331"/>
      <c r="AY4919" s="331"/>
      <c r="AZ4919" s="331"/>
      <c r="BA4919" s="331"/>
      <c r="BB4919" s="331"/>
      <c r="BC4919" s="331"/>
      <c r="BD4919" s="331"/>
      <c r="BE4919" s="333"/>
      <c r="BF4919" s="330"/>
      <c r="BG4919" s="333"/>
      <c r="BH4919" s="1119"/>
      <c r="BI4919" s="319"/>
      <c r="BJ4919" s="319"/>
      <c r="BK4919" s="319"/>
      <c r="BL4919" s="319"/>
      <c r="BM4919" s="319"/>
      <c r="BN4919" s="319"/>
      <c r="BO4919" s="319"/>
      <c r="BP4919" s="953"/>
      <c r="BQ4919" s="319"/>
      <c r="BR4919" s="319"/>
      <c r="BS4919" s="330"/>
      <c r="BT4919" s="331"/>
      <c r="BU4919" s="920"/>
      <c r="BV4919" s="903"/>
      <c r="BW4919" s="908"/>
      <c r="BX4919" s="908"/>
      <c r="BY4919" s="331"/>
      <c r="BZ4919" s="331"/>
      <c r="CA4919" s="462"/>
      <c r="CB4919" s="319"/>
      <c r="CC4919" s="319"/>
      <c r="CD4919" s="319"/>
      <c r="CE4919" s="319"/>
      <c r="CF4919" s="319"/>
      <c r="CG4919" s="319"/>
      <c r="CH4919" s="318"/>
      <c r="CI4919" s="319"/>
      <c r="CJ4919" s="319"/>
      <c r="CK4919" s="342"/>
      <c r="CL4919" s="333"/>
      <c r="CM4919" s="1079"/>
      <c r="CN4919" s="1005"/>
      <c r="CO4919" s="1005"/>
      <c r="CP4919" s="1005"/>
    </row>
    <row r="4920">
      <c r="A4920" s="1257"/>
      <c r="B4920" s="1113"/>
      <c r="C4920" s="1107"/>
      <c r="D4920" s="103"/>
      <c r="E4920" s="1137"/>
      <c r="F4920" s="112"/>
      <c r="G4920" s="1110"/>
      <c r="H4920" s="1138"/>
      <c r="I4920" s="1138"/>
      <c r="J4920" s="1139"/>
      <c r="K4920" s="1111"/>
      <c r="L4920" s="1112"/>
      <c r="M4920" s="1113"/>
      <c r="N4920" s="110"/>
      <c r="O4920" s="1140"/>
      <c r="P4920" s="1115"/>
      <c r="Q4920" s="1116"/>
      <c r="R4920" s="1141"/>
      <c r="S4920" s="1113"/>
      <c r="T4920" s="1143"/>
      <c r="U4920" s="1108"/>
      <c r="V4920" s="1108"/>
      <c r="W4920" s="1108"/>
      <c r="X4920" s="1108"/>
      <c r="Y4920" s="1108"/>
      <c r="Z4920" s="1114"/>
      <c r="AA4920" s="1114"/>
      <c r="AB4920" s="1114"/>
      <c r="AC4920" s="1117"/>
      <c r="AD4920" s="1115"/>
      <c r="AE4920" s="1115"/>
      <c r="AF4920" s="1115"/>
      <c r="AG4920" s="1115"/>
      <c r="AH4920" s="1115"/>
      <c r="AI4920" s="1115"/>
      <c r="AJ4920" s="1117"/>
      <c r="AK4920" s="1118"/>
      <c r="AL4920" s="1115"/>
      <c r="AM4920" s="1115"/>
      <c r="AN4920" s="1115"/>
      <c r="AO4920" s="1115"/>
      <c r="AP4920" s="1115"/>
      <c r="AQ4920" s="1115"/>
      <c r="AR4920" s="1115"/>
      <c r="AS4920" s="1117"/>
      <c r="AT4920" s="1075"/>
      <c r="AU4920" s="1193"/>
      <c r="AV4920" s="330"/>
      <c r="AW4920" s="331"/>
      <c r="AX4920" s="331"/>
      <c r="AY4920" s="331"/>
      <c r="AZ4920" s="331"/>
      <c r="BA4920" s="331"/>
      <c r="BB4920" s="331"/>
      <c r="BC4920" s="331"/>
      <c r="BD4920" s="331"/>
      <c r="BE4920" s="333"/>
      <c r="BF4920" s="330"/>
      <c r="BG4920" s="333"/>
      <c r="BH4920" s="1119"/>
      <c r="BI4920" s="319"/>
      <c r="BJ4920" s="319"/>
      <c r="BK4920" s="319"/>
      <c r="BL4920" s="319"/>
      <c r="BM4920" s="319"/>
      <c r="BN4920" s="319"/>
      <c r="BO4920" s="319"/>
      <c r="BP4920" s="953"/>
      <c r="BQ4920" s="319"/>
      <c r="BR4920" s="319"/>
      <c r="BS4920" s="330"/>
      <c r="BT4920" s="331"/>
      <c r="BU4920" s="920"/>
      <c r="BV4920" s="903"/>
      <c r="BW4920" s="908"/>
      <c r="BX4920" s="908"/>
      <c r="BY4920" s="331"/>
      <c r="BZ4920" s="331"/>
      <c r="CA4920" s="462"/>
      <c r="CB4920" s="319"/>
      <c r="CC4920" s="319"/>
      <c r="CD4920" s="319"/>
      <c r="CE4920" s="319"/>
      <c r="CF4920" s="319"/>
      <c r="CG4920" s="319"/>
      <c r="CH4920" s="318"/>
      <c r="CI4920" s="319"/>
      <c r="CJ4920" s="319"/>
      <c r="CK4920" s="342"/>
      <c r="CL4920" s="333"/>
      <c r="CM4920" s="1079"/>
      <c r="CN4920" s="1005"/>
      <c r="CO4920" s="1005"/>
      <c r="CP4920" s="1005"/>
    </row>
    <row r="4921">
      <c r="A4921" s="1257"/>
      <c r="B4921" s="1113"/>
      <c r="C4921" s="1107"/>
      <c r="D4921" s="103"/>
      <c r="E4921" s="1137"/>
      <c r="F4921" s="112"/>
      <c r="G4921" s="1110"/>
      <c r="H4921" s="1138"/>
      <c r="I4921" s="1138"/>
      <c r="J4921" s="1139"/>
      <c r="K4921" s="1111"/>
      <c r="L4921" s="1112"/>
      <c r="M4921" s="1113"/>
      <c r="N4921" s="110"/>
      <c r="O4921" s="1140"/>
      <c r="P4921" s="1115"/>
      <c r="Q4921" s="1116"/>
      <c r="R4921" s="1141"/>
      <c r="S4921" s="1113"/>
      <c r="T4921" s="1143"/>
      <c r="U4921" s="1108"/>
      <c r="V4921" s="1108"/>
      <c r="W4921" s="1108"/>
      <c r="X4921" s="1108"/>
      <c r="Y4921" s="1108"/>
      <c r="Z4921" s="1114"/>
      <c r="AA4921" s="1114"/>
      <c r="AB4921" s="1114"/>
      <c r="AC4921" s="1117"/>
      <c r="AD4921" s="1115"/>
      <c r="AE4921" s="1115"/>
      <c r="AF4921" s="1115"/>
      <c r="AG4921" s="1115"/>
      <c r="AH4921" s="1115"/>
      <c r="AI4921" s="1115"/>
      <c r="AJ4921" s="1117"/>
      <c r="AK4921" s="1118"/>
      <c r="AL4921" s="1115"/>
      <c r="AM4921" s="1115"/>
      <c r="AN4921" s="1115"/>
      <c r="AO4921" s="1115"/>
      <c r="AP4921" s="1115"/>
      <c r="AQ4921" s="1115"/>
      <c r="AR4921" s="1115"/>
      <c r="AS4921" s="1117"/>
      <c r="AT4921" s="1075"/>
      <c r="AU4921" s="1193"/>
      <c r="AV4921" s="330"/>
      <c r="AW4921" s="331"/>
      <c r="AX4921" s="331"/>
      <c r="AY4921" s="331"/>
      <c r="AZ4921" s="331"/>
      <c r="BA4921" s="331"/>
      <c r="BB4921" s="331"/>
      <c r="BC4921" s="331"/>
      <c r="BD4921" s="331"/>
      <c r="BE4921" s="333"/>
      <c r="BF4921" s="330"/>
      <c r="BG4921" s="333"/>
      <c r="BH4921" s="1119"/>
      <c r="BI4921" s="319"/>
      <c r="BJ4921" s="319"/>
      <c r="BK4921" s="319"/>
      <c r="BL4921" s="319"/>
      <c r="BM4921" s="319"/>
      <c r="BN4921" s="319"/>
      <c r="BO4921" s="319"/>
      <c r="BP4921" s="953"/>
      <c r="BQ4921" s="319"/>
      <c r="BR4921" s="319"/>
      <c r="BS4921" s="330"/>
      <c r="BT4921" s="331"/>
      <c r="BU4921" s="920"/>
      <c r="BV4921" s="903"/>
      <c r="BW4921" s="908"/>
      <c r="BX4921" s="908"/>
      <c r="BY4921" s="331"/>
      <c r="BZ4921" s="331"/>
      <c r="CA4921" s="462"/>
      <c r="CB4921" s="319"/>
      <c r="CC4921" s="319"/>
      <c r="CD4921" s="319"/>
      <c r="CE4921" s="319"/>
      <c r="CF4921" s="319"/>
      <c r="CG4921" s="319"/>
      <c r="CH4921" s="318"/>
      <c r="CI4921" s="319"/>
      <c r="CJ4921" s="319"/>
      <c r="CK4921" s="342"/>
      <c r="CL4921" s="333"/>
      <c r="CM4921" s="1079"/>
      <c r="CN4921" s="1005"/>
      <c r="CO4921" s="1005"/>
      <c r="CP4921" s="1005"/>
    </row>
    <row r="4922">
      <c r="A4922" s="1257"/>
      <c r="B4922" s="1113"/>
      <c r="C4922" s="1107"/>
      <c r="D4922" s="103"/>
      <c r="E4922" s="1137"/>
      <c r="F4922" s="112"/>
      <c r="G4922" s="1110"/>
      <c r="H4922" s="1138"/>
      <c r="I4922" s="1138"/>
      <c r="J4922" s="1139"/>
      <c r="K4922" s="1111"/>
      <c r="L4922" s="1112"/>
      <c r="M4922" s="1113"/>
      <c r="N4922" s="110"/>
      <c r="O4922" s="1140"/>
      <c r="P4922" s="1115"/>
      <c r="Q4922" s="1116"/>
      <c r="R4922" s="1141"/>
      <c r="S4922" s="1113"/>
      <c r="T4922" s="1143"/>
      <c r="U4922" s="1108"/>
      <c r="V4922" s="1108"/>
      <c r="W4922" s="1108"/>
      <c r="X4922" s="1108"/>
      <c r="Y4922" s="1108"/>
      <c r="Z4922" s="1114"/>
      <c r="AA4922" s="1114"/>
      <c r="AB4922" s="1114"/>
      <c r="AC4922" s="1117"/>
      <c r="AD4922" s="1115"/>
      <c r="AE4922" s="1115"/>
      <c r="AF4922" s="1115"/>
      <c r="AG4922" s="1115"/>
      <c r="AH4922" s="1115"/>
      <c r="AI4922" s="1115"/>
      <c r="AJ4922" s="1117"/>
      <c r="AK4922" s="1118"/>
      <c r="AL4922" s="1115"/>
      <c r="AM4922" s="1115"/>
      <c r="AN4922" s="1115"/>
      <c r="AO4922" s="1115"/>
      <c r="AP4922" s="1115"/>
      <c r="AQ4922" s="1115"/>
      <c r="AR4922" s="1115"/>
      <c r="AS4922" s="1117"/>
      <c r="AT4922" s="1075"/>
      <c r="AU4922" s="1193"/>
      <c r="AV4922" s="330"/>
      <c r="AW4922" s="331"/>
      <c r="AX4922" s="331"/>
      <c r="AY4922" s="331"/>
      <c r="AZ4922" s="331"/>
      <c r="BA4922" s="331"/>
      <c r="BB4922" s="331"/>
      <c r="BC4922" s="331"/>
      <c r="BD4922" s="331"/>
      <c r="BE4922" s="333"/>
      <c r="BF4922" s="330"/>
      <c r="BG4922" s="333"/>
      <c r="BH4922" s="1119"/>
      <c r="BI4922" s="319"/>
      <c r="BJ4922" s="319"/>
      <c r="BK4922" s="319"/>
      <c r="BL4922" s="319"/>
      <c r="BM4922" s="319"/>
      <c r="BN4922" s="319"/>
      <c r="BO4922" s="319"/>
      <c r="BP4922" s="953"/>
      <c r="BQ4922" s="319"/>
      <c r="BR4922" s="319"/>
      <c r="BS4922" s="330"/>
      <c r="BT4922" s="331"/>
      <c r="BU4922" s="920"/>
      <c r="BV4922" s="903"/>
      <c r="BW4922" s="908"/>
      <c r="BX4922" s="908"/>
      <c r="BY4922" s="331"/>
      <c r="BZ4922" s="331"/>
      <c r="CA4922" s="462"/>
      <c r="CB4922" s="319"/>
      <c r="CC4922" s="319"/>
      <c r="CD4922" s="319"/>
      <c r="CE4922" s="319"/>
      <c r="CF4922" s="319"/>
      <c r="CG4922" s="319"/>
      <c r="CH4922" s="318"/>
      <c r="CI4922" s="319"/>
      <c r="CJ4922" s="319"/>
      <c r="CK4922" s="342"/>
      <c r="CL4922" s="333"/>
      <c r="CM4922" s="1079"/>
      <c r="CN4922" s="1005"/>
      <c r="CO4922" s="1005"/>
      <c r="CP4922" s="1005"/>
    </row>
    <row r="4923">
      <c r="A4923" s="1257"/>
      <c r="B4923" s="1113"/>
      <c r="C4923" s="1107"/>
      <c r="D4923" s="103"/>
      <c r="E4923" s="1137"/>
      <c r="F4923" s="112"/>
      <c r="G4923" s="1110"/>
      <c r="H4923" s="1138"/>
      <c r="I4923" s="1138"/>
      <c r="J4923" s="1139"/>
      <c r="K4923" s="1111"/>
      <c r="L4923" s="1112"/>
      <c r="M4923" s="1113"/>
      <c r="N4923" s="110"/>
      <c r="O4923" s="1140"/>
      <c r="P4923" s="1115"/>
      <c r="Q4923" s="1116"/>
      <c r="R4923" s="1141"/>
      <c r="S4923" s="1113"/>
      <c r="T4923" s="1143"/>
      <c r="U4923" s="1108"/>
      <c r="V4923" s="1108"/>
      <c r="W4923" s="1108"/>
      <c r="X4923" s="1108"/>
      <c r="Y4923" s="1108"/>
      <c r="Z4923" s="1114"/>
      <c r="AA4923" s="1114"/>
      <c r="AB4923" s="1114"/>
      <c r="AC4923" s="1117"/>
      <c r="AD4923" s="1115"/>
      <c r="AE4923" s="1115"/>
      <c r="AF4923" s="1115"/>
      <c r="AG4923" s="1115"/>
      <c r="AH4923" s="1115"/>
      <c r="AI4923" s="1115"/>
      <c r="AJ4923" s="1117"/>
      <c r="AK4923" s="1118"/>
      <c r="AL4923" s="1115"/>
      <c r="AM4923" s="1115"/>
      <c r="AN4923" s="1115"/>
      <c r="AO4923" s="1115"/>
      <c r="AP4923" s="1115"/>
      <c r="AQ4923" s="1115"/>
      <c r="AR4923" s="1115"/>
      <c r="AS4923" s="1117"/>
      <c r="AT4923" s="1075"/>
      <c r="AU4923" s="1193"/>
      <c r="AV4923" s="330"/>
      <c r="AW4923" s="331"/>
      <c r="AX4923" s="331"/>
      <c r="AY4923" s="331"/>
      <c r="AZ4923" s="331"/>
      <c r="BA4923" s="331"/>
      <c r="BB4923" s="331"/>
      <c r="BC4923" s="331"/>
      <c r="BD4923" s="331"/>
      <c r="BE4923" s="333"/>
      <c r="BF4923" s="330"/>
      <c r="BG4923" s="333"/>
      <c r="BH4923" s="1119"/>
      <c r="BI4923" s="319"/>
      <c r="BJ4923" s="319"/>
      <c r="BK4923" s="319"/>
      <c r="BL4923" s="319"/>
      <c r="BM4923" s="319"/>
      <c r="BN4923" s="319"/>
      <c r="BO4923" s="319"/>
      <c r="BP4923" s="953"/>
      <c r="BQ4923" s="319"/>
      <c r="BR4923" s="319"/>
      <c r="BS4923" s="330"/>
      <c r="BT4923" s="331"/>
      <c r="BU4923" s="920"/>
      <c r="BV4923" s="903"/>
      <c r="BW4923" s="908"/>
      <c r="BX4923" s="908"/>
      <c r="BY4923" s="331"/>
      <c r="BZ4923" s="331"/>
      <c r="CA4923" s="462"/>
      <c r="CB4923" s="319"/>
      <c r="CC4923" s="319"/>
      <c r="CD4923" s="319"/>
      <c r="CE4923" s="319"/>
      <c r="CF4923" s="319"/>
      <c r="CG4923" s="319"/>
      <c r="CH4923" s="318"/>
      <c r="CI4923" s="319"/>
      <c r="CJ4923" s="319"/>
      <c r="CK4923" s="342"/>
      <c r="CL4923" s="333"/>
      <c r="CM4923" s="1079"/>
      <c r="CN4923" s="1005"/>
      <c r="CO4923" s="1005"/>
      <c r="CP4923" s="1005"/>
    </row>
    <row r="4924">
      <c r="A4924" s="1257"/>
      <c r="B4924" s="1113"/>
      <c r="C4924" s="1107"/>
      <c r="D4924" s="103"/>
      <c r="E4924" s="1137"/>
      <c r="F4924" s="112"/>
      <c r="G4924" s="1110"/>
      <c r="H4924" s="1138"/>
      <c r="I4924" s="1138"/>
      <c r="J4924" s="1139"/>
      <c r="K4924" s="1111"/>
      <c r="L4924" s="1112"/>
      <c r="M4924" s="1113"/>
      <c r="N4924" s="110"/>
      <c r="O4924" s="1140"/>
      <c r="P4924" s="1115"/>
      <c r="Q4924" s="1116"/>
      <c r="R4924" s="1141"/>
      <c r="S4924" s="1113"/>
      <c r="T4924" s="1143"/>
      <c r="U4924" s="1108"/>
      <c r="V4924" s="1108"/>
      <c r="W4924" s="1108"/>
      <c r="X4924" s="1108"/>
      <c r="Y4924" s="1108"/>
      <c r="Z4924" s="1114"/>
      <c r="AA4924" s="1114"/>
      <c r="AB4924" s="1114"/>
      <c r="AC4924" s="1117"/>
      <c r="AD4924" s="1115"/>
      <c r="AE4924" s="1115"/>
      <c r="AF4924" s="1115"/>
      <c r="AG4924" s="1115"/>
      <c r="AH4924" s="1115"/>
      <c r="AI4924" s="1115"/>
      <c r="AJ4924" s="1117"/>
      <c r="AK4924" s="1118"/>
      <c r="AL4924" s="1115"/>
      <c r="AM4924" s="1115"/>
      <c r="AN4924" s="1115"/>
      <c r="AO4924" s="1115"/>
      <c r="AP4924" s="1115"/>
      <c r="AQ4924" s="1115"/>
      <c r="AR4924" s="1115"/>
      <c r="AS4924" s="1117"/>
      <c r="AT4924" s="1075"/>
      <c r="AU4924" s="1193"/>
      <c r="AV4924" s="330"/>
      <c r="AW4924" s="331"/>
      <c r="AX4924" s="331"/>
      <c r="AY4924" s="331"/>
      <c r="AZ4924" s="331"/>
      <c r="BA4924" s="331"/>
      <c r="BB4924" s="331"/>
      <c r="BC4924" s="331"/>
      <c r="BD4924" s="331"/>
      <c r="BE4924" s="333"/>
      <c r="BF4924" s="330"/>
      <c r="BG4924" s="333"/>
      <c r="BH4924" s="1119"/>
      <c r="BI4924" s="319"/>
      <c r="BJ4924" s="319"/>
      <c r="BK4924" s="319"/>
      <c r="BL4924" s="319"/>
      <c r="BM4924" s="319"/>
      <c r="BN4924" s="319"/>
      <c r="BO4924" s="319"/>
      <c r="BP4924" s="953"/>
      <c r="BQ4924" s="319"/>
      <c r="BR4924" s="319"/>
      <c r="BS4924" s="330"/>
      <c r="BT4924" s="331"/>
      <c r="BU4924" s="920"/>
      <c r="BV4924" s="903"/>
      <c r="BW4924" s="908"/>
      <c r="BX4924" s="908"/>
      <c r="BY4924" s="331"/>
      <c r="BZ4924" s="331"/>
      <c r="CA4924" s="462"/>
      <c r="CB4924" s="319"/>
      <c r="CC4924" s="319"/>
      <c r="CD4924" s="319"/>
      <c r="CE4924" s="319"/>
      <c r="CF4924" s="319"/>
      <c r="CG4924" s="319"/>
      <c r="CH4924" s="318"/>
      <c r="CI4924" s="319"/>
      <c r="CJ4924" s="319"/>
      <c r="CK4924" s="342"/>
      <c r="CL4924" s="333"/>
      <c r="CM4924" s="1079"/>
      <c r="CN4924" s="1005"/>
      <c r="CO4924" s="1005"/>
      <c r="CP4924" s="1005"/>
    </row>
    <row r="4925">
      <c r="A4925" s="1257"/>
      <c r="B4925" s="1113"/>
      <c r="C4925" s="1107"/>
      <c r="D4925" s="103"/>
      <c r="E4925" s="1137"/>
      <c r="F4925" s="112"/>
      <c r="G4925" s="1110"/>
      <c r="H4925" s="1138"/>
      <c r="I4925" s="1138"/>
      <c r="J4925" s="1139"/>
      <c r="K4925" s="1111"/>
      <c r="L4925" s="1112"/>
      <c r="M4925" s="1113"/>
      <c r="N4925" s="110"/>
      <c r="O4925" s="1140"/>
      <c r="P4925" s="1115"/>
      <c r="Q4925" s="1116"/>
      <c r="R4925" s="1141"/>
      <c r="S4925" s="1113"/>
      <c r="T4925" s="1143"/>
      <c r="U4925" s="1108"/>
      <c r="V4925" s="1108"/>
      <c r="W4925" s="1108"/>
      <c r="X4925" s="1108"/>
      <c r="Y4925" s="1108"/>
      <c r="Z4925" s="1114"/>
      <c r="AA4925" s="1114"/>
      <c r="AB4925" s="1114"/>
      <c r="AC4925" s="1117"/>
      <c r="AD4925" s="1115"/>
      <c r="AE4925" s="1115"/>
      <c r="AF4925" s="1115"/>
      <c r="AG4925" s="1115"/>
      <c r="AH4925" s="1115"/>
      <c r="AI4925" s="1115"/>
      <c r="AJ4925" s="1117"/>
      <c r="AK4925" s="1118"/>
      <c r="AL4925" s="1115"/>
      <c r="AM4925" s="1115"/>
      <c r="AN4925" s="1115"/>
      <c r="AO4925" s="1115"/>
      <c r="AP4925" s="1115"/>
      <c r="AQ4925" s="1115"/>
      <c r="AR4925" s="1115"/>
      <c r="AS4925" s="1117"/>
      <c r="AT4925" s="1075"/>
      <c r="AU4925" s="1193"/>
      <c r="AV4925" s="330"/>
      <c r="AW4925" s="331"/>
      <c r="AX4925" s="331"/>
      <c r="AY4925" s="331"/>
      <c r="AZ4925" s="331"/>
      <c r="BA4925" s="331"/>
      <c r="BB4925" s="331"/>
      <c r="BC4925" s="331"/>
      <c r="BD4925" s="331"/>
      <c r="BE4925" s="333"/>
      <c r="BF4925" s="330"/>
      <c r="BG4925" s="333"/>
      <c r="BH4925" s="1119"/>
      <c r="BI4925" s="319"/>
      <c r="BJ4925" s="319"/>
      <c r="BK4925" s="319"/>
      <c r="BL4925" s="319"/>
      <c r="BM4925" s="319"/>
      <c r="BN4925" s="319"/>
      <c r="BO4925" s="319"/>
      <c r="BP4925" s="953"/>
      <c r="BQ4925" s="319"/>
      <c r="BR4925" s="319"/>
      <c r="BS4925" s="330"/>
      <c r="BT4925" s="331"/>
      <c r="BU4925" s="920"/>
      <c r="BV4925" s="903"/>
      <c r="BW4925" s="908"/>
      <c r="BX4925" s="908"/>
      <c r="BY4925" s="331"/>
      <c r="BZ4925" s="331"/>
      <c r="CA4925" s="462"/>
      <c r="CB4925" s="319"/>
      <c r="CC4925" s="319"/>
      <c r="CD4925" s="319"/>
      <c r="CE4925" s="319"/>
      <c r="CF4925" s="319"/>
      <c r="CG4925" s="319"/>
      <c r="CH4925" s="318"/>
      <c r="CI4925" s="319"/>
      <c r="CJ4925" s="319"/>
      <c r="CK4925" s="342"/>
      <c r="CL4925" s="333"/>
      <c r="CM4925" s="1079"/>
      <c r="CN4925" s="1005"/>
      <c r="CO4925" s="1005"/>
      <c r="CP4925" s="1005"/>
    </row>
    <row r="4926">
      <c r="A4926" s="1257"/>
      <c r="B4926" s="1113"/>
      <c r="C4926" s="1107"/>
      <c r="D4926" s="103"/>
      <c r="E4926" s="1137"/>
      <c r="F4926" s="112"/>
      <c r="G4926" s="1110"/>
      <c r="H4926" s="1138"/>
      <c r="I4926" s="1138"/>
      <c r="J4926" s="1139"/>
      <c r="K4926" s="1111"/>
      <c r="L4926" s="1112"/>
      <c r="M4926" s="1113"/>
      <c r="N4926" s="110"/>
      <c r="O4926" s="1140"/>
      <c r="P4926" s="1115"/>
      <c r="Q4926" s="1116"/>
      <c r="R4926" s="1141"/>
      <c r="S4926" s="1113"/>
      <c r="T4926" s="1143"/>
      <c r="U4926" s="1108"/>
      <c r="V4926" s="1108"/>
      <c r="W4926" s="1108"/>
      <c r="X4926" s="1108"/>
      <c r="Y4926" s="1108"/>
      <c r="Z4926" s="1114"/>
      <c r="AA4926" s="1114"/>
      <c r="AB4926" s="1114"/>
      <c r="AC4926" s="1117"/>
      <c r="AD4926" s="1115"/>
      <c r="AE4926" s="1115"/>
      <c r="AF4926" s="1115"/>
      <c r="AG4926" s="1115"/>
      <c r="AH4926" s="1115"/>
      <c r="AI4926" s="1115"/>
      <c r="AJ4926" s="1117"/>
      <c r="AK4926" s="1118"/>
      <c r="AL4926" s="1115"/>
      <c r="AM4926" s="1115"/>
      <c r="AN4926" s="1115"/>
      <c r="AO4926" s="1115"/>
      <c r="AP4926" s="1115"/>
      <c r="AQ4926" s="1115"/>
      <c r="AR4926" s="1115"/>
      <c r="AS4926" s="1117"/>
      <c r="AT4926" s="1075"/>
      <c r="AU4926" s="1193"/>
      <c r="AV4926" s="330"/>
      <c r="AW4926" s="331"/>
      <c r="AX4926" s="331"/>
      <c r="AY4926" s="331"/>
      <c r="AZ4926" s="331"/>
      <c r="BA4926" s="331"/>
      <c r="BB4926" s="331"/>
      <c r="BC4926" s="331"/>
      <c r="BD4926" s="331"/>
      <c r="BE4926" s="333"/>
      <c r="BF4926" s="330"/>
      <c r="BG4926" s="333"/>
      <c r="BH4926" s="1119"/>
      <c r="BI4926" s="319"/>
      <c r="BJ4926" s="319"/>
      <c r="BK4926" s="319"/>
      <c r="BL4926" s="319"/>
      <c r="BM4926" s="319"/>
      <c r="BN4926" s="319"/>
      <c r="BO4926" s="319"/>
      <c r="BP4926" s="953"/>
      <c r="BQ4926" s="319"/>
      <c r="BR4926" s="319"/>
      <c r="BS4926" s="330"/>
      <c r="BT4926" s="331"/>
      <c r="BU4926" s="920"/>
      <c r="BV4926" s="903"/>
      <c r="BW4926" s="908"/>
      <c r="BX4926" s="908"/>
      <c r="BY4926" s="331"/>
      <c r="BZ4926" s="331"/>
      <c r="CA4926" s="462"/>
      <c r="CB4926" s="319"/>
      <c r="CC4926" s="319"/>
      <c r="CD4926" s="319"/>
      <c r="CE4926" s="319"/>
      <c r="CF4926" s="319"/>
      <c r="CG4926" s="319"/>
      <c r="CH4926" s="318"/>
      <c r="CI4926" s="319"/>
      <c r="CJ4926" s="319"/>
      <c r="CK4926" s="342"/>
      <c r="CL4926" s="333"/>
      <c r="CM4926" s="1079"/>
      <c r="CN4926" s="1005"/>
      <c r="CO4926" s="1005"/>
      <c r="CP4926" s="1005"/>
    </row>
    <row r="4927">
      <c r="A4927" s="1257"/>
      <c r="B4927" s="1113"/>
      <c r="C4927" s="1107"/>
      <c r="D4927" s="103"/>
      <c r="E4927" s="1137"/>
      <c r="F4927" s="112"/>
      <c r="G4927" s="1110"/>
      <c r="H4927" s="1138"/>
      <c r="I4927" s="1138"/>
      <c r="J4927" s="1139"/>
      <c r="K4927" s="1111"/>
      <c r="L4927" s="1112"/>
      <c r="M4927" s="1113"/>
      <c r="N4927" s="110"/>
      <c r="O4927" s="1140"/>
      <c r="P4927" s="1115"/>
      <c r="Q4927" s="1116"/>
      <c r="R4927" s="1141"/>
      <c r="S4927" s="1113"/>
      <c r="T4927" s="1143"/>
      <c r="U4927" s="1108"/>
      <c r="V4927" s="1108"/>
      <c r="W4927" s="1108"/>
      <c r="X4927" s="1108"/>
      <c r="Y4927" s="1108"/>
      <c r="Z4927" s="1114"/>
      <c r="AA4927" s="1114"/>
      <c r="AB4927" s="1114"/>
      <c r="AC4927" s="1117"/>
      <c r="AD4927" s="1115"/>
      <c r="AE4927" s="1115"/>
      <c r="AF4927" s="1115"/>
      <c r="AG4927" s="1115"/>
      <c r="AH4927" s="1115"/>
      <c r="AI4927" s="1115"/>
      <c r="AJ4927" s="1117"/>
      <c r="AK4927" s="1118"/>
      <c r="AL4927" s="1115"/>
      <c r="AM4927" s="1115"/>
      <c r="AN4927" s="1115"/>
      <c r="AO4927" s="1115"/>
      <c r="AP4927" s="1115"/>
      <c r="AQ4927" s="1115"/>
      <c r="AR4927" s="1115"/>
      <c r="AS4927" s="1117"/>
      <c r="AT4927" s="1075"/>
      <c r="AU4927" s="1193"/>
      <c r="AV4927" s="330"/>
      <c r="AW4927" s="331"/>
      <c r="AX4927" s="331"/>
      <c r="AY4927" s="331"/>
      <c r="AZ4927" s="331"/>
      <c r="BA4927" s="331"/>
      <c r="BB4927" s="331"/>
      <c r="BC4927" s="331"/>
      <c r="BD4927" s="331"/>
      <c r="BE4927" s="333"/>
      <c r="BF4927" s="330"/>
      <c r="BG4927" s="333"/>
      <c r="BH4927" s="1119"/>
      <c r="BI4927" s="319"/>
      <c r="BJ4927" s="319"/>
      <c r="BK4927" s="319"/>
      <c r="BL4927" s="319"/>
      <c r="BM4927" s="319"/>
      <c r="BN4927" s="319"/>
      <c r="BO4927" s="319"/>
      <c r="BP4927" s="953"/>
      <c r="BQ4927" s="319"/>
      <c r="BR4927" s="319"/>
      <c r="BS4927" s="330"/>
      <c r="BT4927" s="331"/>
      <c r="BU4927" s="920"/>
      <c r="BV4927" s="903"/>
      <c r="BW4927" s="908"/>
      <c r="BX4927" s="908"/>
      <c r="BY4927" s="331"/>
      <c r="BZ4927" s="331"/>
      <c r="CA4927" s="462"/>
      <c r="CB4927" s="319"/>
      <c r="CC4927" s="319"/>
      <c r="CD4927" s="319"/>
      <c r="CE4927" s="319"/>
      <c r="CF4927" s="319"/>
      <c r="CG4927" s="319"/>
      <c r="CH4927" s="318"/>
      <c r="CI4927" s="319"/>
      <c r="CJ4927" s="319"/>
      <c r="CK4927" s="342"/>
      <c r="CL4927" s="333"/>
      <c r="CM4927" s="1079"/>
      <c r="CN4927" s="1005"/>
      <c r="CO4927" s="1005"/>
      <c r="CP4927" s="1005"/>
    </row>
    <row r="4928">
      <c r="A4928" s="1257"/>
      <c r="B4928" s="1113"/>
      <c r="C4928" s="1107"/>
      <c r="D4928" s="103"/>
      <c r="E4928" s="1137"/>
      <c r="F4928" s="112"/>
      <c r="G4928" s="1110"/>
      <c r="H4928" s="1138"/>
      <c r="I4928" s="1138"/>
      <c r="J4928" s="1139"/>
      <c r="K4928" s="1111"/>
      <c r="L4928" s="1112"/>
      <c r="M4928" s="1113"/>
      <c r="N4928" s="110"/>
      <c r="O4928" s="1140"/>
      <c r="P4928" s="1115"/>
      <c r="Q4928" s="1116"/>
      <c r="R4928" s="1141"/>
      <c r="S4928" s="1113"/>
      <c r="T4928" s="1143"/>
      <c r="U4928" s="1108"/>
      <c r="V4928" s="1108"/>
      <c r="W4928" s="1108"/>
      <c r="X4928" s="1108"/>
      <c r="Y4928" s="1108"/>
      <c r="Z4928" s="1114"/>
      <c r="AA4928" s="1114"/>
      <c r="AB4928" s="1114"/>
      <c r="AC4928" s="1117"/>
      <c r="AD4928" s="1115"/>
      <c r="AE4928" s="1115"/>
      <c r="AF4928" s="1115"/>
      <c r="AG4928" s="1115"/>
      <c r="AH4928" s="1115"/>
      <c r="AI4928" s="1115"/>
      <c r="AJ4928" s="1117"/>
      <c r="AK4928" s="1118"/>
      <c r="AL4928" s="1115"/>
      <c r="AM4928" s="1115"/>
      <c r="AN4928" s="1115"/>
      <c r="AO4928" s="1115"/>
      <c r="AP4928" s="1115"/>
      <c r="AQ4928" s="1115"/>
      <c r="AR4928" s="1115"/>
      <c r="AS4928" s="1117"/>
      <c r="AT4928" s="1075"/>
      <c r="AU4928" s="1193"/>
      <c r="AV4928" s="330"/>
      <c r="AW4928" s="331"/>
      <c r="AX4928" s="331"/>
      <c r="AY4928" s="331"/>
      <c r="AZ4928" s="331"/>
      <c r="BA4928" s="331"/>
      <c r="BB4928" s="331"/>
      <c r="BC4928" s="331"/>
      <c r="BD4928" s="331"/>
      <c r="BE4928" s="333"/>
      <c r="BF4928" s="330"/>
      <c r="BG4928" s="333"/>
      <c r="BH4928" s="1119"/>
      <c r="BI4928" s="319"/>
      <c r="BJ4928" s="319"/>
      <c r="BK4928" s="319"/>
      <c r="BL4928" s="319"/>
      <c r="BM4928" s="319"/>
      <c r="BN4928" s="319"/>
      <c r="BO4928" s="319"/>
      <c r="BP4928" s="953"/>
      <c r="BQ4928" s="319"/>
      <c r="BR4928" s="319"/>
      <c r="BS4928" s="330"/>
      <c r="BT4928" s="331"/>
      <c r="BU4928" s="920"/>
      <c r="BV4928" s="903"/>
      <c r="BW4928" s="908"/>
      <c r="BX4928" s="908"/>
      <c r="BY4928" s="331"/>
      <c r="BZ4928" s="331"/>
      <c r="CA4928" s="462"/>
      <c r="CB4928" s="319"/>
      <c r="CC4928" s="319"/>
      <c r="CD4928" s="319"/>
      <c r="CE4928" s="319"/>
      <c r="CF4928" s="319"/>
      <c r="CG4928" s="319"/>
      <c r="CH4928" s="318"/>
      <c r="CI4928" s="319"/>
      <c r="CJ4928" s="319"/>
      <c r="CK4928" s="342"/>
      <c r="CL4928" s="333"/>
      <c r="CM4928" s="1079"/>
      <c r="CN4928" s="1005"/>
      <c r="CO4928" s="1005"/>
      <c r="CP4928" s="1005"/>
    </row>
    <row r="4929">
      <c r="A4929" s="1257"/>
      <c r="B4929" s="1113"/>
      <c r="C4929" s="1107"/>
      <c r="D4929" s="103"/>
      <c r="E4929" s="1137"/>
      <c r="F4929" s="112"/>
      <c r="G4929" s="1110"/>
      <c r="H4929" s="1138"/>
      <c r="I4929" s="1138"/>
      <c r="J4929" s="1139"/>
      <c r="K4929" s="1111"/>
      <c r="L4929" s="1112"/>
      <c r="M4929" s="1113"/>
      <c r="N4929" s="110"/>
      <c r="O4929" s="1140"/>
      <c r="P4929" s="1115"/>
      <c r="Q4929" s="1116"/>
      <c r="R4929" s="1141"/>
      <c r="S4929" s="1113"/>
      <c r="T4929" s="1143"/>
      <c r="U4929" s="1108"/>
      <c r="V4929" s="1108"/>
      <c r="W4929" s="1108"/>
      <c r="X4929" s="1108"/>
      <c r="Y4929" s="1108"/>
      <c r="Z4929" s="1114"/>
      <c r="AA4929" s="1114"/>
      <c r="AB4929" s="1114"/>
      <c r="AC4929" s="1117"/>
      <c r="AD4929" s="1115"/>
      <c r="AE4929" s="1115"/>
      <c r="AF4929" s="1115"/>
      <c r="AG4929" s="1115"/>
      <c r="AH4929" s="1115"/>
      <c r="AI4929" s="1115"/>
      <c r="AJ4929" s="1117"/>
      <c r="AK4929" s="1118"/>
      <c r="AL4929" s="1115"/>
      <c r="AM4929" s="1115"/>
      <c r="AN4929" s="1115"/>
      <c r="AO4929" s="1115"/>
      <c r="AP4929" s="1115"/>
      <c r="AQ4929" s="1115"/>
      <c r="AR4929" s="1115"/>
      <c r="AS4929" s="1117"/>
      <c r="AT4929" s="1075"/>
      <c r="AU4929" s="1193"/>
      <c r="AV4929" s="330"/>
      <c r="AW4929" s="331"/>
      <c r="AX4929" s="331"/>
      <c r="AY4929" s="331"/>
      <c r="AZ4929" s="331"/>
      <c r="BA4929" s="331"/>
      <c r="BB4929" s="331"/>
      <c r="BC4929" s="331"/>
      <c r="BD4929" s="331"/>
      <c r="BE4929" s="333"/>
      <c r="BF4929" s="330"/>
      <c r="BG4929" s="333"/>
      <c r="BH4929" s="1119"/>
      <c r="BI4929" s="319"/>
      <c r="BJ4929" s="319"/>
      <c r="BK4929" s="319"/>
      <c r="BL4929" s="319"/>
      <c r="BM4929" s="319"/>
      <c r="BN4929" s="319"/>
      <c r="BO4929" s="319"/>
      <c r="BP4929" s="953"/>
      <c r="BQ4929" s="319"/>
      <c r="BR4929" s="319"/>
      <c r="BS4929" s="330"/>
      <c r="BT4929" s="331"/>
      <c r="BU4929" s="920"/>
      <c r="BV4929" s="903"/>
      <c r="BW4929" s="908"/>
      <c r="BX4929" s="908"/>
      <c r="BY4929" s="331"/>
      <c r="BZ4929" s="331"/>
      <c r="CA4929" s="462"/>
      <c r="CB4929" s="319"/>
      <c r="CC4929" s="319"/>
      <c r="CD4929" s="319"/>
      <c r="CE4929" s="319"/>
      <c r="CF4929" s="319"/>
      <c r="CG4929" s="319"/>
      <c r="CH4929" s="318"/>
      <c r="CI4929" s="319"/>
      <c r="CJ4929" s="319"/>
      <c r="CK4929" s="342"/>
      <c r="CL4929" s="333"/>
      <c r="CM4929" s="1079"/>
      <c r="CN4929" s="1005"/>
      <c r="CO4929" s="1005"/>
      <c r="CP4929" s="1005"/>
    </row>
    <row r="4930">
      <c r="A4930" s="1257"/>
      <c r="B4930" s="1113"/>
      <c r="C4930" s="1107"/>
      <c r="D4930" s="103"/>
      <c r="E4930" s="1137"/>
      <c r="F4930" s="112"/>
      <c r="G4930" s="1110"/>
      <c r="H4930" s="1138"/>
      <c r="I4930" s="1138"/>
      <c r="J4930" s="1139"/>
      <c r="K4930" s="1111"/>
      <c r="L4930" s="1112"/>
      <c r="M4930" s="1113"/>
      <c r="N4930" s="110"/>
      <c r="O4930" s="1140"/>
      <c r="P4930" s="1115"/>
      <c r="Q4930" s="1116"/>
      <c r="R4930" s="1141"/>
      <c r="S4930" s="1113"/>
      <c r="T4930" s="1143"/>
      <c r="U4930" s="1108"/>
      <c r="V4930" s="1108"/>
      <c r="W4930" s="1108"/>
      <c r="X4930" s="1108"/>
      <c r="Y4930" s="1108"/>
      <c r="Z4930" s="1114"/>
      <c r="AA4930" s="1114"/>
      <c r="AB4930" s="1114"/>
      <c r="AC4930" s="1117"/>
      <c r="AD4930" s="1115"/>
      <c r="AE4930" s="1115"/>
      <c r="AF4930" s="1115"/>
      <c r="AG4930" s="1115"/>
      <c r="AH4930" s="1115"/>
      <c r="AI4930" s="1115"/>
      <c r="AJ4930" s="1117"/>
      <c r="AK4930" s="1118"/>
      <c r="AL4930" s="1115"/>
      <c r="AM4930" s="1115"/>
      <c r="AN4930" s="1115"/>
      <c r="AO4930" s="1115"/>
      <c r="AP4930" s="1115"/>
      <c r="AQ4930" s="1115"/>
      <c r="AR4930" s="1115"/>
      <c r="AS4930" s="1117"/>
      <c r="AT4930" s="1075"/>
      <c r="AU4930" s="1193"/>
      <c r="AV4930" s="330"/>
      <c r="AW4930" s="331"/>
      <c r="AX4930" s="331"/>
      <c r="AY4930" s="331"/>
      <c r="AZ4930" s="331"/>
      <c r="BA4930" s="331"/>
      <c r="BB4930" s="331"/>
      <c r="BC4930" s="331"/>
      <c r="BD4930" s="331"/>
      <c r="BE4930" s="333"/>
      <c r="BF4930" s="330"/>
      <c r="BG4930" s="333"/>
      <c r="BH4930" s="1119"/>
      <c r="BI4930" s="319"/>
      <c r="BJ4930" s="319"/>
      <c r="BK4930" s="319"/>
      <c r="BL4930" s="319"/>
      <c r="BM4930" s="319"/>
      <c r="BN4930" s="319"/>
      <c r="BO4930" s="319"/>
      <c r="BP4930" s="953"/>
      <c r="BQ4930" s="319"/>
      <c r="BR4930" s="319"/>
      <c r="BS4930" s="330"/>
      <c r="BT4930" s="331"/>
      <c r="BU4930" s="920"/>
      <c r="BV4930" s="903"/>
      <c r="BW4930" s="908"/>
      <c r="BX4930" s="908"/>
      <c r="BY4930" s="331"/>
      <c r="BZ4930" s="331"/>
      <c r="CA4930" s="462"/>
      <c r="CB4930" s="319"/>
      <c r="CC4930" s="319"/>
      <c r="CD4930" s="319"/>
      <c r="CE4930" s="319"/>
      <c r="CF4930" s="319"/>
      <c r="CG4930" s="319"/>
      <c r="CH4930" s="318"/>
      <c r="CI4930" s="319"/>
      <c r="CJ4930" s="319"/>
      <c r="CK4930" s="342"/>
      <c r="CL4930" s="333"/>
      <c r="CM4930" s="1079"/>
      <c r="CN4930" s="1005"/>
      <c r="CO4930" s="1005"/>
      <c r="CP4930" s="1005"/>
    </row>
    <row r="4931">
      <c r="A4931" s="1257"/>
      <c r="B4931" s="1113"/>
      <c r="C4931" s="1107"/>
      <c r="D4931" s="103"/>
      <c r="E4931" s="1137"/>
      <c r="F4931" s="112"/>
      <c r="G4931" s="1110"/>
      <c r="H4931" s="1138"/>
      <c r="I4931" s="1138"/>
      <c r="J4931" s="1139"/>
      <c r="K4931" s="1111"/>
      <c r="L4931" s="1112"/>
      <c r="M4931" s="1113"/>
      <c r="N4931" s="110"/>
      <c r="O4931" s="1140"/>
      <c r="P4931" s="1115"/>
      <c r="Q4931" s="1116"/>
      <c r="R4931" s="1141"/>
      <c r="S4931" s="1113"/>
      <c r="T4931" s="1143"/>
      <c r="U4931" s="1108"/>
      <c r="V4931" s="1108"/>
      <c r="W4931" s="1108"/>
      <c r="X4931" s="1108"/>
      <c r="Y4931" s="1108"/>
      <c r="Z4931" s="1114"/>
      <c r="AA4931" s="1114"/>
      <c r="AB4931" s="1114"/>
      <c r="AC4931" s="1117"/>
      <c r="AD4931" s="1115"/>
      <c r="AE4931" s="1115"/>
      <c r="AF4931" s="1115"/>
      <c r="AG4931" s="1115"/>
      <c r="AH4931" s="1115"/>
      <c r="AI4931" s="1115"/>
      <c r="AJ4931" s="1117"/>
      <c r="AK4931" s="1118"/>
      <c r="AL4931" s="1115"/>
      <c r="AM4931" s="1115"/>
      <c r="AN4931" s="1115"/>
      <c r="AO4931" s="1115"/>
      <c r="AP4931" s="1115"/>
      <c r="AQ4931" s="1115"/>
      <c r="AR4931" s="1115"/>
      <c r="AS4931" s="1117"/>
      <c r="AT4931" s="1075"/>
      <c r="AU4931" s="1193"/>
      <c r="AV4931" s="330"/>
      <c r="AW4931" s="331"/>
      <c r="AX4931" s="331"/>
      <c r="AY4931" s="331"/>
      <c r="AZ4931" s="331"/>
      <c r="BA4931" s="331"/>
      <c r="BB4931" s="331"/>
      <c r="BC4931" s="331"/>
      <c r="BD4931" s="331"/>
      <c r="BE4931" s="333"/>
      <c r="BF4931" s="330"/>
      <c r="BG4931" s="333"/>
      <c r="BH4931" s="1119"/>
      <c r="BI4931" s="319"/>
      <c r="BJ4931" s="319"/>
      <c r="BK4931" s="319"/>
      <c r="BL4931" s="319"/>
      <c r="BM4931" s="319"/>
      <c r="BN4931" s="319"/>
      <c r="BO4931" s="319"/>
      <c r="BP4931" s="953"/>
      <c r="BQ4931" s="319"/>
      <c r="BR4931" s="319"/>
      <c r="BS4931" s="330"/>
      <c r="BT4931" s="331"/>
      <c r="BU4931" s="920"/>
      <c r="BV4931" s="903"/>
      <c r="BW4931" s="908"/>
      <c r="BX4931" s="908"/>
      <c r="BY4931" s="331"/>
      <c r="BZ4931" s="331"/>
      <c r="CA4931" s="462"/>
      <c r="CB4931" s="319"/>
      <c r="CC4931" s="319"/>
      <c r="CD4931" s="319"/>
      <c r="CE4931" s="319"/>
      <c r="CF4931" s="319"/>
      <c r="CG4931" s="319"/>
      <c r="CH4931" s="318"/>
      <c r="CI4931" s="319"/>
      <c r="CJ4931" s="319"/>
      <c r="CK4931" s="342"/>
      <c r="CL4931" s="333"/>
      <c r="CM4931" s="1079"/>
      <c r="CN4931" s="1005"/>
      <c r="CO4931" s="1005"/>
      <c r="CP4931" s="1005"/>
    </row>
    <row r="4932">
      <c r="A4932" s="1257"/>
      <c r="B4932" s="1113"/>
      <c r="C4932" s="1107"/>
      <c r="D4932" s="103"/>
      <c r="E4932" s="1137"/>
      <c r="F4932" s="112"/>
      <c r="G4932" s="1110"/>
      <c r="H4932" s="1138"/>
      <c r="I4932" s="1138"/>
      <c r="J4932" s="1139"/>
      <c r="K4932" s="1111"/>
      <c r="L4932" s="1112"/>
      <c r="M4932" s="1113"/>
      <c r="N4932" s="110"/>
      <c r="O4932" s="1140"/>
      <c r="P4932" s="1115"/>
      <c r="Q4932" s="1116"/>
      <c r="R4932" s="1141"/>
      <c r="S4932" s="1113"/>
      <c r="T4932" s="1143"/>
      <c r="U4932" s="1108"/>
      <c r="V4932" s="1108"/>
      <c r="W4932" s="1108"/>
      <c r="X4932" s="1108"/>
      <c r="Y4932" s="1108"/>
      <c r="Z4932" s="1114"/>
      <c r="AA4932" s="1114"/>
      <c r="AB4932" s="1114"/>
      <c r="AC4932" s="1117"/>
      <c r="AD4932" s="1115"/>
      <c r="AE4932" s="1115"/>
      <c r="AF4932" s="1115"/>
      <c r="AG4932" s="1115"/>
      <c r="AH4932" s="1115"/>
      <c r="AI4932" s="1115"/>
      <c r="AJ4932" s="1117"/>
      <c r="AK4932" s="1118"/>
      <c r="AL4932" s="1115"/>
      <c r="AM4932" s="1115"/>
      <c r="AN4932" s="1115"/>
      <c r="AO4932" s="1115"/>
      <c r="AP4932" s="1115"/>
      <c r="AQ4932" s="1115"/>
      <c r="AR4932" s="1115"/>
      <c r="AS4932" s="1117"/>
      <c r="AT4932" s="1075"/>
      <c r="AU4932" s="1193"/>
      <c r="AV4932" s="330"/>
      <c r="AW4932" s="331"/>
      <c r="AX4932" s="331"/>
      <c r="AY4932" s="331"/>
      <c r="AZ4932" s="331"/>
      <c r="BA4932" s="331"/>
      <c r="BB4932" s="331"/>
      <c r="BC4932" s="331"/>
      <c r="BD4932" s="331"/>
      <c r="BE4932" s="333"/>
      <c r="BF4932" s="330"/>
      <c r="BG4932" s="333"/>
      <c r="BH4932" s="1119"/>
      <c r="BI4932" s="319"/>
      <c r="BJ4932" s="319"/>
      <c r="BK4932" s="319"/>
      <c r="BL4932" s="319"/>
      <c r="BM4932" s="319"/>
      <c r="BN4932" s="319"/>
      <c r="BO4932" s="319"/>
      <c r="BP4932" s="953"/>
      <c r="BQ4932" s="319"/>
      <c r="BR4932" s="319"/>
      <c r="BS4932" s="330"/>
      <c r="BT4932" s="331"/>
      <c r="BU4932" s="920"/>
      <c r="BV4932" s="903"/>
      <c r="BW4932" s="908"/>
      <c r="BX4932" s="908"/>
      <c r="BY4932" s="331"/>
      <c r="BZ4932" s="331"/>
      <c r="CA4932" s="462"/>
      <c r="CB4932" s="319"/>
      <c r="CC4932" s="319"/>
      <c r="CD4932" s="319"/>
      <c r="CE4932" s="319"/>
      <c r="CF4932" s="319"/>
      <c r="CG4932" s="319"/>
      <c r="CH4932" s="318"/>
      <c r="CI4932" s="319"/>
      <c r="CJ4932" s="319"/>
      <c r="CK4932" s="342"/>
      <c r="CL4932" s="333"/>
      <c r="CM4932" s="1079"/>
      <c r="CN4932" s="1005"/>
      <c r="CO4932" s="1005"/>
      <c r="CP4932" s="1005"/>
    </row>
    <row r="4933">
      <c r="A4933" s="1257"/>
      <c r="B4933" s="1113"/>
      <c r="C4933" s="1107"/>
      <c r="D4933" s="103"/>
      <c r="E4933" s="1137"/>
      <c r="F4933" s="112"/>
      <c r="G4933" s="1110"/>
      <c r="H4933" s="1138"/>
      <c r="I4933" s="1138"/>
      <c r="J4933" s="1139"/>
      <c r="K4933" s="1111"/>
      <c r="L4933" s="1112"/>
      <c r="M4933" s="1113"/>
      <c r="N4933" s="110"/>
      <c r="O4933" s="1140"/>
      <c r="P4933" s="1115"/>
      <c r="Q4933" s="1116"/>
      <c r="R4933" s="1141"/>
      <c r="S4933" s="1113"/>
      <c r="T4933" s="1143"/>
      <c r="U4933" s="1108"/>
      <c r="V4933" s="1108"/>
      <c r="W4933" s="1108"/>
      <c r="X4933" s="1108"/>
      <c r="Y4933" s="1108"/>
      <c r="Z4933" s="1114"/>
      <c r="AA4933" s="1114"/>
      <c r="AB4933" s="1114"/>
      <c r="AC4933" s="1117"/>
      <c r="AD4933" s="1115"/>
      <c r="AE4933" s="1115"/>
      <c r="AF4933" s="1115"/>
      <c r="AG4933" s="1115"/>
      <c r="AH4933" s="1115"/>
      <c r="AI4933" s="1115"/>
      <c r="AJ4933" s="1117"/>
      <c r="AK4933" s="1118"/>
      <c r="AL4933" s="1115"/>
      <c r="AM4933" s="1115"/>
      <c r="AN4933" s="1115"/>
      <c r="AO4933" s="1115"/>
      <c r="AP4933" s="1115"/>
      <c r="AQ4933" s="1115"/>
      <c r="AR4933" s="1115"/>
      <c r="AS4933" s="1117"/>
      <c r="AT4933" s="1075"/>
      <c r="AU4933" s="1193"/>
      <c r="AV4933" s="330"/>
      <c r="AW4933" s="331"/>
      <c r="AX4933" s="331"/>
      <c r="AY4933" s="331"/>
      <c r="AZ4933" s="331"/>
      <c r="BA4933" s="331"/>
      <c r="BB4933" s="331"/>
      <c r="BC4933" s="331"/>
      <c r="BD4933" s="331"/>
      <c r="BE4933" s="333"/>
      <c r="BF4933" s="330"/>
      <c r="BG4933" s="333"/>
      <c r="BH4933" s="1119"/>
      <c r="BI4933" s="319"/>
      <c r="BJ4933" s="319"/>
      <c r="BK4933" s="319"/>
      <c r="BL4933" s="319"/>
      <c r="BM4933" s="319"/>
      <c r="BN4933" s="319"/>
      <c r="BO4933" s="319"/>
      <c r="BP4933" s="953"/>
      <c r="BQ4933" s="319"/>
      <c r="BR4933" s="319"/>
      <c r="BS4933" s="330"/>
      <c r="BT4933" s="331"/>
      <c r="BU4933" s="920"/>
      <c r="BV4933" s="903"/>
      <c r="BW4933" s="908"/>
      <c r="BX4933" s="908"/>
      <c r="BY4933" s="331"/>
      <c r="BZ4933" s="331"/>
      <c r="CA4933" s="462"/>
      <c r="CB4933" s="319"/>
      <c r="CC4933" s="319"/>
      <c r="CD4933" s="319"/>
      <c r="CE4933" s="319"/>
      <c r="CF4933" s="319"/>
      <c r="CG4933" s="319"/>
      <c r="CH4933" s="318"/>
      <c r="CI4933" s="319"/>
      <c r="CJ4933" s="319"/>
      <c r="CK4933" s="342"/>
      <c r="CL4933" s="333"/>
      <c r="CM4933" s="1079"/>
      <c r="CN4933" s="1005"/>
      <c r="CO4933" s="1005"/>
      <c r="CP4933" s="1005"/>
    </row>
    <row r="4934">
      <c r="A4934" s="1257"/>
      <c r="B4934" s="1113"/>
      <c r="C4934" s="1107"/>
      <c r="D4934" s="103"/>
      <c r="E4934" s="1137"/>
      <c r="F4934" s="112"/>
      <c r="G4934" s="1110"/>
      <c r="H4934" s="1138"/>
      <c r="I4934" s="1138"/>
      <c r="J4934" s="1139"/>
      <c r="K4934" s="1111"/>
      <c r="L4934" s="1112"/>
      <c r="M4934" s="1113"/>
      <c r="N4934" s="110"/>
      <c r="O4934" s="1140"/>
      <c r="P4934" s="1115"/>
      <c r="Q4934" s="1116"/>
      <c r="R4934" s="1141"/>
      <c r="S4934" s="1113"/>
      <c r="T4934" s="1143"/>
      <c r="U4934" s="1108"/>
      <c r="V4934" s="1108"/>
      <c r="W4934" s="1108"/>
      <c r="X4934" s="1108"/>
      <c r="Y4934" s="1108"/>
      <c r="Z4934" s="1114"/>
      <c r="AA4934" s="1114"/>
      <c r="AB4934" s="1114"/>
      <c r="AC4934" s="1117"/>
      <c r="AD4934" s="1115"/>
      <c r="AE4934" s="1115"/>
      <c r="AF4934" s="1115"/>
      <c r="AG4934" s="1115"/>
      <c r="AH4934" s="1115"/>
      <c r="AI4934" s="1115"/>
      <c r="AJ4934" s="1117"/>
      <c r="AK4934" s="1118"/>
      <c r="AL4934" s="1115"/>
      <c r="AM4934" s="1115"/>
      <c r="AN4934" s="1115"/>
      <c r="AO4934" s="1115"/>
      <c r="AP4934" s="1115"/>
      <c r="AQ4934" s="1115"/>
      <c r="AR4934" s="1115"/>
      <c r="AS4934" s="1117"/>
      <c r="AT4934" s="1075"/>
      <c r="AU4934" s="1193"/>
      <c r="AV4934" s="330"/>
      <c r="AW4934" s="331"/>
      <c r="AX4934" s="331"/>
      <c r="AY4934" s="331"/>
      <c r="AZ4934" s="331"/>
      <c r="BA4934" s="331"/>
      <c r="BB4934" s="331"/>
      <c r="BC4934" s="331"/>
      <c r="BD4934" s="331"/>
      <c r="BE4934" s="333"/>
      <c r="BF4934" s="330"/>
      <c r="BG4934" s="333"/>
      <c r="BH4934" s="1119"/>
      <c r="BI4934" s="319"/>
      <c r="BJ4934" s="319"/>
      <c r="BK4934" s="319"/>
      <c r="BL4934" s="319"/>
      <c r="BM4934" s="319"/>
      <c r="BN4934" s="319"/>
      <c r="BO4934" s="319"/>
      <c r="BP4934" s="953"/>
      <c r="BQ4934" s="319"/>
      <c r="BR4934" s="319"/>
      <c r="BS4934" s="330"/>
      <c r="BT4934" s="331"/>
      <c r="BU4934" s="920"/>
      <c r="BV4934" s="903"/>
      <c r="BW4934" s="908"/>
      <c r="BX4934" s="908"/>
      <c r="BY4934" s="331"/>
      <c r="BZ4934" s="331"/>
      <c r="CA4934" s="462"/>
      <c r="CB4934" s="319"/>
      <c r="CC4934" s="319"/>
      <c r="CD4934" s="319"/>
      <c r="CE4934" s="319"/>
      <c r="CF4934" s="319"/>
      <c r="CG4934" s="319"/>
      <c r="CH4934" s="318"/>
      <c r="CI4934" s="319"/>
      <c r="CJ4934" s="319"/>
      <c r="CK4934" s="342"/>
      <c r="CL4934" s="333"/>
      <c r="CM4934" s="1079"/>
      <c r="CN4934" s="1005"/>
      <c r="CO4934" s="1005"/>
      <c r="CP4934" s="1005"/>
    </row>
    <row r="4935">
      <c r="A4935" s="1257"/>
      <c r="B4935" s="1113"/>
      <c r="C4935" s="1107"/>
      <c r="D4935" s="103"/>
      <c r="E4935" s="1137"/>
      <c r="F4935" s="112"/>
      <c r="G4935" s="1110"/>
      <c r="H4935" s="1138"/>
      <c r="I4935" s="1138"/>
      <c r="J4935" s="1139"/>
      <c r="K4935" s="1111"/>
      <c r="L4935" s="1112"/>
      <c r="M4935" s="1113"/>
      <c r="N4935" s="110"/>
      <c r="O4935" s="1140"/>
      <c r="P4935" s="1115"/>
      <c r="Q4935" s="1116"/>
      <c r="R4935" s="1141"/>
      <c r="S4935" s="1113"/>
      <c r="T4935" s="1143"/>
      <c r="U4935" s="1108"/>
      <c r="V4935" s="1108"/>
      <c r="W4935" s="1108"/>
      <c r="X4935" s="1108"/>
      <c r="Y4935" s="1108"/>
      <c r="Z4935" s="1114"/>
      <c r="AA4935" s="1114"/>
      <c r="AB4935" s="1114"/>
      <c r="AC4935" s="1117"/>
      <c r="AD4935" s="1115"/>
      <c r="AE4935" s="1115"/>
      <c r="AF4935" s="1115"/>
      <c r="AG4935" s="1115"/>
      <c r="AH4935" s="1115"/>
      <c r="AI4935" s="1115"/>
      <c r="AJ4935" s="1117"/>
      <c r="AK4935" s="1118"/>
      <c r="AL4935" s="1115"/>
      <c r="AM4935" s="1115"/>
      <c r="AN4935" s="1115"/>
      <c r="AO4935" s="1115"/>
      <c r="AP4935" s="1115"/>
      <c r="AQ4935" s="1115"/>
      <c r="AR4935" s="1115"/>
      <c r="AS4935" s="1117"/>
      <c r="AT4935" s="1075"/>
      <c r="AU4935" s="1193"/>
      <c r="AV4935" s="330"/>
      <c r="AW4935" s="331"/>
      <c r="AX4935" s="331"/>
      <c r="AY4935" s="331"/>
      <c r="AZ4935" s="331"/>
      <c r="BA4935" s="331"/>
      <c r="BB4935" s="331"/>
      <c r="BC4935" s="331"/>
      <c r="BD4935" s="331"/>
      <c r="BE4935" s="333"/>
      <c r="BF4935" s="330"/>
      <c r="BG4935" s="333"/>
      <c r="BH4935" s="1119"/>
      <c r="BI4935" s="319"/>
      <c r="BJ4935" s="319"/>
      <c r="BK4935" s="319"/>
      <c r="BL4935" s="319"/>
      <c r="BM4935" s="319"/>
      <c r="BN4935" s="319"/>
      <c r="BO4935" s="319"/>
      <c r="BP4935" s="953"/>
      <c r="BQ4935" s="319"/>
      <c r="BR4935" s="319"/>
      <c r="BS4935" s="330"/>
      <c r="BT4935" s="331"/>
      <c r="BU4935" s="920"/>
      <c r="BV4935" s="903"/>
      <c r="BW4935" s="908"/>
      <c r="BX4935" s="908"/>
      <c r="BY4935" s="331"/>
      <c r="BZ4935" s="331"/>
      <c r="CA4935" s="462"/>
      <c r="CB4935" s="319"/>
      <c r="CC4935" s="319"/>
      <c r="CD4935" s="319"/>
      <c r="CE4935" s="319"/>
      <c r="CF4935" s="319"/>
      <c r="CG4935" s="319"/>
      <c r="CH4935" s="318"/>
      <c r="CI4935" s="319"/>
      <c r="CJ4935" s="319"/>
      <c r="CK4935" s="342"/>
      <c r="CL4935" s="333"/>
      <c r="CM4935" s="1079"/>
      <c r="CN4935" s="1005"/>
      <c r="CO4935" s="1005"/>
      <c r="CP4935" s="1005"/>
    </row>
    <row r="4936">
      <c r="A4936" s="1257"/>
      <c r="B4936" s="1113"/>
      <c r="C4936" s="1107"/>
      <c r="D4936" s="103"/>
      <c r="E4936" s="1137"/>
      <c r="F4936" s="112"/>
      <c r="G4936" s="1110"/>
      <c r="H4936" s="1138"/>
      <c r="I4936" s="1138"/>
      <c r="J4936" s="1139"/>
      <c r="K4936" s="1111"/>
      <c r="L4936" s="1112"/>
      <c r="M4936" s="1113"/>
      <c r="N4936" s="110"/>
      <c r="O4936" s="1140"/>
      <c r="P4936" s="1115"/>
      <c r="Q4936" s="1116"/>
      <c r="R4936" s="1141"/>
      <c r="S4936" s="1113"/>
      <c r="T4936" s="1143"/>
      <c r="U4936" s="1108"/>
      <c r="V4936" s="1108"/>
      <c r="W4936" s="1108"/>
      <c r="X4936" s="1108"/>
      <c r="Y4936" s="1108"/>
      <c r="Z4936" s="1114"/>
      <c r="AA4936" s="1114"/>
      <c r="AB4936" s="1114"/>
      <c r="AC4936" s="1117"/>
      <c r="AD4936" s="1115"/>
      <c r="AE4936" s="1115"/>
      <c r="AF4936" s="1115"/>
      <c r="AG4936" s="1115"/>
      <c r="AH4936" s="1115"/>
      <c r="AI4936" s="1115"/>
      <c r="AJ4936" s="1117"/>
      <c r="AK4936" s="1118"/>
      <c r="AL4936" s="1115"/>
      <c r="AM4936" s="1115"/>
      <c r="AN4936" s="1115"/>
      <c r="AO4936" s="1115"/>
      <c r="AP4936" s="1115"/>
      <c r="AQ4936" s="1115"/>
      <c r="AR4936" s="1115"/>
      <c r="AS4936" s="1117"/>
      <c r="AT4936" s="1075"/>
      <c r="AU4936" s="1193"/>
      <c r="AV4936" s="330"/>
      <c r="AW4936" s="331"/>
      <c r="AX4936" s="331"/>
      <c r="AY4936" s="331"/>
      <c r="AZ4936" s="331"/>
      <c r="BA4936" s="331"/>
      <c r="BB4936" s="331"/>
      <c r="BC4936" s="331"/>
      <c r="BD4936" s="331"/>
      <c r="BE4936" s="333"/>
      <c r="BF4936" s="330"/>
      <c r="BG4936" s="333"/>
      <c r="BH4936" s="1119"/>
      <c r="BI4936" s="319"/>
      <c r="BJ4936" s="319"/>
      <c r="BK4936" s="319"/>
      <c r="BL4936" s="319"/>
      <c r="BM4936" s="319"/>
      <c r="BN4936" s="319"/>
      <c r="BO4936" s="319"/>
      <c r="BP4936" s="953"/>
      <c r="BQ4936" s="319"/>
      <c r="BR4936" s="319"/>
      <c r="BS4936" s="330"/>
      <c r="BT4936" s="331"/>
      <c r="BU4936" s="920"/>
      <c r="BV4936" s="903"/>
      <c r="BW4936" s="908"/>
      <c r="BX4936" s="908"/>
      <c r="BY4936" s="331"/>
      <c r="BZ4936" s="331"/>
      <c r="CA4936" s="462"/>
      <c r="CB4936" s="319"/>
      <c r="CC4936" s="319"/>
      <c r="CD4936" s="319"/>
      <c r="CE4936" s="319"/>
      <c r="CF4936" s="319"/>
      <c r="CG4936" s="319"/>
      <c r="CH4936" s="318"/>
      <c r="CI4936" s="319"/>
      <c r="CJ4936" s="319"/>
      <c r="CK4936" s="342"/>
      <c r="CL4936" s="333"/>
      <c r="CM4936" s="1079"/>
      <c r="CN4936" s="1005"/>
      <c r="CO4936" s="1005"/>
      <c r="CP4936" s="1005"/>
    </row>
    <row r="4937">
      <c r="A4937" s="1257"/>
      <c r="B4937" s="1113"/>
      <c r="C4937" s="1107"/>
      <c r="D4937" s="103"/>
      <c r="E4937" s="1137"/>
      <c r="F4937" s="112"/>
      <c r="G4937" s="1110"/>
      <c r="H4937" s="1138"/>
      <c r="I4937" s="1138"/>
      <c r="J4937" s="1139"/>
      <c r="K4937" s="1111"/>
      <c r="L4937" s="1112"/>
      <c r="M4937" s="1113"/>
      <c r="N4937" s="110"/>
      <c r="O4937" s="1140"/>
      <c r="P4937" s="1115"/>
      <c r="Q4937" s="1116"/>
      <c r="R4937" s="1141"/>
      <c r="S4937" s="1113"/>
      <c r="T4937" s="1143"/>
      <c r="U4937" s="1108"/>
      <c r="V4937" s="1108"/>
      <c r="W4937" s="1108"/>
      <c r="X4937" s="1108"/>
      <c r="Y4937" s="1108"/>
      <c r="Z4937" s="1114"/>
      <c r="AA4937" s="1114"/>
      <c r="AB4937" s="1114"/>
      <c r="AC4937" s="1117"/>
      <c r="AD4937" s="1115"/>
      <c r="AE4937" s="1115"/>
      <c r="AF4937" s="1115"/>
      <c r="AG4937" s="1115"/>
      <c r="AH4937" s="1115"/>
      <c r="AI4937" s="1115"/>
      <c r="AJ4937" s="1117"/>
      <c r="AK4937" s="1118"/>
      <c r="AL4937" s="1115"/>
      <c r="AM4937" s="1115"/>
      <c r="AN4937" s="1115"/>
      <c r="AO4937" s="1115"/>
      <c r="AP4937" s="1115"/>
      <c r="AQ4937" s="1115"/>
      <c r="AR4937" s="1115"/>
      <c r="AS4937" s="1117"/>
      <c r="AT4937" s="1075"/>
      <c r="AU4937" s="1193"/>
      <c r="AV4937" s="330"/>
      <c r="AW4937" s="331"/>
      <c r="AX4937" s="331"/>
      <c r="AY4937" s="331"/>
      <c r="AZ4937" s="331"/>
      <c r="BA4937" s="331"/>
      <c r="BB4937" s="331"/>
      <c r="BC4937" s="331"/>
      <c r="BD4937" s="331"/>
      <c r="BE4937" s="333"/>
      <c r="BF4937" s="330"/>
      <c r="BG4937" s="333"/>
      <c r="BH4937" s="1119"/>
      <c r="BI4937" s="319"/>
      <c r="BJ4937" s="319"/>
      <c r="BK4937" s="319"/>
      <c r="BL4937" s="319"/>
      <c r="BM4937" s="319"/>
      <c r="BN4937" s="319"/>
      <c r="BO4937" s="319"/>
      <c r="BP4937" s="953"/>
      <c r="BQ4937" s="319"/>
      <c r="BR4937" s="319"/>
      <c r="BS4937" s="330"/>
      <c r="BT4937" s="331"/>
      <c r="BU4937" s="920"/>
      <c r="BV4937" s="903"/>
      <c r="BW4937" s="908"/>
      <c r="BX4937" s="908"/>
      <c r="BY4937" s="331"/>
      <c r="BZ4937" s="331"/>
      <c r="CA4937" s="462"/>
      <c r="CB4937" s="319"/>
      <c r="CC4937" s="319"/>
      <c r="CD4937" s="319"/>
      <c r="CE4937" s="319"/>
      <c r="CF4937" s="319"/>
      <c r="CG4937" s="319"/>
      <c r="CH4937" s="318"/>
      <c r="CI4937" s="319"/>
      <c r="CJ4937" s="319"/>
      <c r="CK4937" s="342"/>
      <c r="CL4937" s="333"/>
      <c r="CM4937" s="1079"/>
      <c r="CN4937" s="1005"/>
      <c r="CO4937" s="1005"/>
      <c r="CP4937" s="1005"/>
    </row>
    <row r="4938">
      <c r="A4938" s="1257"/>
      <c r="B4938" s="1113"/>
      <c r="C4938" s="1107"/>
      <c r="D4938" s="103"/>
      <c r="E4938" s="1137"/>
      <c r="F4938" s="112"/>
      <c r="G4938" s="1110"/>
      <c r="H4938" s="1138"/>
      <c r="I4938" s="1138"/>
      <c r="J4938" s="1139"/>
      <c r="K4938" s="1111"/>
      <c r="L4938" s="1112"/>
      <c r="M4938" s="1113"/>
      <c r="N4938" s="110"/>
      <c r="O4938" s="1140"/>
      <c r="P4938" s="1115"/>
      <c r="Q4938" s="1116"/>
      <c r="R4938" s="1141"/>
      <c r="S4938" s="1113"/>
      <c r="T4938" s="1143"/>
      <c r="U4938" s="1108"/>
      <c r="V4938" s="1108"/>
      <c r="W4938" s="1108"/>
      <c r="X4938" s="1108"/>
      <c r="Y4938" s="1108"/>
      <c r="Z4938" s="1114"/>
      <c r="AA4938" s="1114"/>
      <c r="AB4938" s="1114"/>
      <c r="AC4938" s="1117"/>
      <c r="AD4938" s="1115"/>
      <c r="AE4938" s="1115"/>
      <c r="AF4938" s="1115"/>
      <c r="AG4938" s="1115"/>
      <c r="AH4938" s="1115"/>
      <c r="AI4938" s="1115"/>
      <c r="AJ4938" s="1117"/>
      <c r="AK4938" s="1118"/>
      <c r="AL4938" s="1115"/>
      <c r="AM4938" s="1115"/>
      <c r="AN4938" s="1115"/>
      <c r="AO4938" s="1115"/>
      <c r="AP4938" s="1115"/>
      <c r="AQ4938" s="1115"/>
      <c r="AR4938" s="1115"/>
      <c r="AS4938" s="1117"/>
      <c r="AT4938" s="1075"/>
      <c r="AU4938" s="1193"/>
      <c r="AV4938" s="330"/>
      <c r="AW4938" s="331"/>
      <c r="AX4938" s="331"/>
      <c r="AY4938" s="331"/>
      <c r="AZ4938" s="331"/>
      <c r="BA4938" s="331"/>
      <c r="BB4938" s="331"/>
      <c r="BC4938" s="331"/>
      <c r="BD4938" s="331"/>
      <c r="BE4938" s="333"/>
      <c r="BF4938" s="330"/>
      <c r="BG4938" s="333"/>
      <c r="BH4938" s="1119"/>
      <c r="BI4938" s="319"/>
      <c r="BJ4938" s="319"/>
      <c r="BK4938" s="319"/>
      <c r="BL4938" s="319"/>
      <c r="BM4938" s="319"/>
      <c r="BN4938" s="319"/>
      <c r="BO4938" s="319"/>
      <c r="BP4938" s="953"/>
      <c r="BQ4938" s="319"/>
      <c r="BR4938" s="319"/>
      <c r="BS4938" s="330"/>
      <c r="BT4938" s="331"/>
      <c r="BU4938" s="920"/>
      <c r="BV4938" s="903"/>
      <c r="BW4938" s="908"/>
      <c r="BX4938" s="908"/>
      <c r="BY4938" s="331"/>
      <c r="BZ4938" s="331"/>
      <c r="CA4938" s="462"/>
      <c r="CB4938" s="319"/>
      <c r="CC4938" s="319"/>
      <c r="CD4938" s="319"/>
      <c r="CE4938" s="319"/>
      <c r="CF4938" s="319"/>
      <c r="CG4938" s="319"/>
      <c r="CH4938" s="318"/>
      <c r="CI4938" s="319"/>
      <c r="CJ4938" s="319"/>
      <c r="CK4938" s="342"/>
      <c r="CL4938" s="333"/>
      <c r="CM4938" s="1079"/>
      <c r="CN4938" s="1005"/>
      <c r="CO4938" s="1005"/>
      <c r="CP4938" s="1005"/>
    </row>
    <row r="4939">
      <c r="A4939" s="1257"/>
      <c r="B4939" s="1113"/>
      <c r="C4939" s="1107"/>
      <c r="D4939" s="103"/>
      <c r="E4939" s="1137"/>
      <c r="F4939" s="112"/>
      <c r="G4939" s="1110"/>
      <c r="H4939" s="1138"/>
      <c r="I4939" s="1138"/>
      <c r="J4939" s="1139"/>
      <c r="K4939" s="1111"/>
      <c r="L4939" s="1112"/>
      <c r="M4939" s="1113"/>
      <c r="N4939" s="110"/>
      <c r="O4939" s="1140"/>
      <c r="P4939" s="1115"/>
      <c r="Q4939" s="1116"/>
      <c r="R4939" s="1141"/>
      <c r="S4939" s="1113"/>
      <c r="T4939" s="1143"/>
      <c r="U4939" s="1108"/>
      <c r="V4939" s="1108"/>
      <c r="W4939" s="1108"/>
      <c r="X4939" s="1108"/>
      <c r="Y4939" s="1108"/>
      <c r="Z4939" s="1114"/>
      <c r="AA4939" s="1114"/>
      <c r="AB4939" s="1114"/>
      <c r="AC4939" s="1117"/>
      <c r="AD4939" s="1115"/>
      <c r="AE4939" s="1115"/>
      <c r="AF4939" s="1115"/>
      <c r="AG4939" s="1115"/>
      <c r="AH4939" s="1115"/>
      <c r="AI4939" s="1115"/>
      <c r="AJ4939" s="1117"/>
      <c r="AK4939" s="1118"/>
      <c r="AL4939" s="1115"/>
      <c r="AM4939" s="1115"/>
      <c r="AN4939" s="1115"/>
      <c r="AO4939" s="1115"/>
      <c r="AP4939" s="1115"/>
      <c r="AQ4939" s="1115"/>
      <c r="AR4939" s="1115"/>
      <c r="AS4939" s="1117"/>
      <c r="AT4939" s="1075"/>
      <c r="AU4939" s="1193"/>
      <c r="AV4939" s="330"/>
      <c r="AW4939" s="331"/>
      <c r="AX4939" s="331"/>
      <c r="AY4939" s="331"/>
      <c r="AZ4939" s="331"/>
      <c r="BA4939" s="331"/>
      <c r="BB4939" s="331"/>
      <c r="BC4939" s="331"/>
      <c r="BD4939" s="331"/>
      <c r="BE4939" s="333"/>
      <c r="BF4939" s="330"/>
      <c r="BG4939" s="333"/>
      <c r="BH4939" s="1119"/>
      <c r="BI4939" s="319"/>
      <c r="BJ4939" s="319"/>
      <c r="BK4939" s="319"/>
      <c r="BL4939" s="319"/>
      <c r="BM4939" s="319"/>
      <c r="BN4939" s="319"/>
      <c r="BO4939" s="319"/>
      <c r="BP4939" s="953"/>
      <c r="BQ4939" s="319"/>
      <c r="BR4939" s="319"/>
      <c r="BS4939" s="330"/>
      <c r="BT4939" s="331"/>
      <c r="BU4939" s="920"/>
      <c r="BV4939" s="903"/>
      <c r="BW4939" s="908"/>
      <c r="BX4939" s="908"/>
      <c r="BY4939" s="331"/>
      <c r="BZ4939" s="331"/>
      <c r="CA4939" s="462"/>
      <c r="CB4939" s="319"/>
      <c r="CC4939" s="319"/>
      <c r="CD4939" s="319"/>
      <c r="CE4939" s="319"/>
      <c r="CF4939" s="319"/>
      <c r="CG4939" s="319"/>
      <c r="CH4939" s="318"/>
      <c r="CI4939" s="319"/>
      <c r="CJ4939" s="319"/>
      <c r="CK4939" s="342"/>
      <c r="CL4939" s="333"/>
      <c r="CM4939" s="1079"/>
      <c r="CN4939" s="1005"/>
      <c r="CO4939" s="1005"/>
      <c r="CP4939" s="1005"/>
    </row>
    <row r="4940">
      <c r="A4940" s="1257"/>
      <c r="B4940" s="1113"/>
      <c r="C4940" s="1107"/>
      <c r="D4940" s="103"/>
      <c r="E4940" s="1137"/>
      <c r="F4940" s="112"/>
      <c r="G4940" s="1110"/>
      <c r="H4940" s="1138"/>
      <c r="I4940" s="1138"/>
      <c r="J4940" s="1139"/>
      <c r="K4940" s="1111"/>
      <c r="L4940" s="1112"/>
      <c r="M4940" s="1113"/>
      <c r="N4940" s="110"/>
      <c r="O4940" s="1140"/>
      <c r="P4940" s="1115"/>
      <c r="Q4940" s="1116"/>
      <c r="R4940" s="1141"/>
      <c r="S4940" s="1113"/>
      <c r="T4940" s="1143"/>
      <c r="U4940" s="1108"/>
      <c r="V4940" s="1108"/>
      <c r="W4940" s="1108"/>
      <c r="X4940" s="1108"/>
      <c r="Y4940" s="1108"/>
      <c r="Z4940" s="1114"/>
      <c r="AA4940" s="1114"/>
      <c r="AB4940" s="1114"/>
      <c r="AC4940" s="1117"/>
      <c r="AD4940" s="1115"/>
      <c r="AE4940" s="1115"/>
      <c r="AF4940" s="1115"/>
      <c r="AG4940" s="1115"/>
      <c r="AH4940" s="1115"/>
      <c r="AI4940" s="1115"/>
      <c r="AJ4940" s="1117"/>
      <c r="AK4940" s="1118"/>
      <c r="AL4940" s="1115"/>
      <c r="AM4940" s="1115"/>
      <c r="AN4940" s="1115"/>
      <c r="AO4940" s="1115"/>
      <c r="AP4940" s="1115"/>
      <c r="AQ4940" s="1115"/>
      <c r="AR4940" s="1115"/>
      <c r="AS4940" s="1117"/>
      <c r="AT4940" s="1075"/>
      <c r="AU4940" s="1193"/>
      <c r="AV4940" s="330"/>
      <c r="AW4940" s="331"/>
      <c r="AX4940" s="331"/>
      <c r="AY4940" s="331"/>
      <c r="AZ4940" s="331"/>
      <c r="BA4940" s="331"/>
      <c r="BB4940" s="331"/>
      <c r="BC4940" s="331"/>
      <c r="BD4940" s="331"/>
      <c r="BE4940" s="333"/>
      <c r="BF4940" s="330"/>
      <c r="BG4940" s="333"/>
      <c r="BH4940" s="1119"/>
      <c r="BI4940" s="319"/>
      <c r="BJ4940" s="319"/>
      <c r="BK4940" s="319"/>
      <c r="BL4940" s="319"/>
      <c r="BM4940" s="319"/>
      <c r="BN4940" s="319"/>
      <c r="BO4940" s="319"/>
      <c r="BP4940" s="953"/>
      <c r="BQ4940" s="319"/>
      <c r="BR4940" s="319"/>
      <c r="BS4940" s="330"/>
      <c r="BT4940" s="331"/>
      <c r="BU4940" s="920"/>
      <c r="BV4940" s="903"/>
      <c r="BW4940" s="908"/>
      <c r="BX4940" s="908"/>
      <c r="BY4940" s="331"/>
      <c r="BZ4940" s="331"/>
      <c r="CA4940" s="462"/>
      <c r="CB4940" s="319"/>
      <c r="CC4940" s="319"/>
      <c r="CD4940" s="319"/>
      <c r="CE4940" s="319"/>
      <c r="CF4940" s="319"/>
      <c r="CG4940" s="319"/>
      <c r="CH4940" s="318"/>
      <c r="CI4940" s="319"/>
      <c r="CJ4940" s="319"/>
      <c r="CK4940" s="342"/>
      <c r="CL4940" s="333"/>
      <c r="CM4940" s="1079"/>
      <c r="CN4940" s="1005"/>
      <c r="CO4940" s="1005"/>
      <c r="CP4940" s="1005"/>
    </row>
    <row r="4941">
      <c r="A4941" s="1257"/>
      <c r="B4941" s="1113"/>
      <c r="C4941" s="1107"/>
      <c r="D4941" s="103"/>
      <c r="E4941" s="1137"/>
      <c r="F4941" s="112"/>
      <c r="G4941" s="1110"/>
      <c r="H4941" s="1138"/>
      <c r="I4941" s="1138"/>
      <c r="J4941" s="1139"/>
      <c r="K4941" s="1111"/>
      <c r="L4941" s="1112"/>
      <c r="M4941" s="1113"/>
      <c r="N4941" s="110"/>
      <c r="O4941" s="1140"/>
      <c r="P4941" s="1115"/>
      <c r="Q4941" s="1116"/>
      <c r="R4941" s="1141"/>
      <c r="S4941" s="1113"/>
      <c r="T4941" s="1143"/>
      <c r="U4941" s="1108"/>
      <c r="V4941" s="1108"/>
      <c r="W4941" s="1108"/>
      <c r="X4941" s="1108"/>
      <c r="Y4941" s="1108"/>
      <c r="Z4941" s="1114"/>
      <c r="AA4941" s="1114"/>
      <c r="AB4941" s="1114"/>
      <c r="AC4941" s="1117"/>
      <c r="AD4941" s="1115"/>
      <c r="AE4941" s="1115"/>
      <c r="AF4941" s="1115"/>
      <c r="AG4941" s="1115"/>
      <c r="AH4941" s="1115"/>
      <c r="AI4941" s="1115"/>
      <c r="AJ4941" s="1117"/>
      <c r="AK4941" s="1118"/>
      <c r="AL4941" s="1115"/>
      <c r="AM4941" s="1115"/>
      <c r="AN4941" s="1115"/>
      <c r="AO4941" s="1115"/>
      <c r="AP4941" s="1115"/>
      <c r="AQ4941" s="1115"/>
      <c r="AR4941" s="1115"/>
      <c r="AS4941" s="1117"/>
      <c r="AT4941" s="1075"/>
      <c r="AU4941" s="1193"/>
      <c r="AV4941" s="330"/>
      <c r="AW4941" s="331"/>
      <c r="AX4941" s="331"/>
      <c r="AY4941" s="331"/>
      <c r="AZ4941" s="331"/>
      <c r="BA4941" s="331"/>
      <c r="BB4941" s="331"/>
      <c r="BC4941" s="331"/>
      <c r="BD4941" s="331"/>
      <c r="BE4941" s="333"/>
      <c r="BF4941" s="330"/>
      <c r="BG4941" s="333"/>
      <c r="BH4941" s="1119"/>
      <c r="BI4941" s="319"/>
      <c r="BJ4941" s="319"/>
      <c r="BK4941" s="319"/>
      <c r="BL4941" s="319"/>
      <c r="BM4941" s="319"/>
      <c r="BN4941" s="319"/>
      <c r="BO4941" s="319"/>
      <c r="BP4941" s="953"/>
      <c r="BQ4941" s="319"/>
      <c r="BR4941" s="319"/>
      <c r="BS4941" s="330"/>
      <c r="BT4941" s="331"/>
      <c r="BU4941" s="920"/>
      <c r="BV4941" s="903"/>
      <c r="BW4941" s="908"/>
      <c r="BX4941" s="908"/>
      <c r="BY4941" s="331"/>
      <c r="BZ4941" s="331"/>
      <c r="CA4941" s="462"/>
      <c r="CB4941" s="319"/>
      <c r="CC4941" s="319"/>
      <c r="CD4941" s="319"/>
      <c r="CE4941" s="319"/>
      <c r="CF4941" s="319"/>
      <c r="CG4941" s="319"/>
      <c r="CH4941" s="318"/>
      <c r="CI4941" s="319"/>
      <c r="CJ4941" s="319"/>
      <c r="CK4941" s="342"/>
      <c r="CL4941" s="333"/>
      <c r="CM4941" s="1079"/>
      <c r="CN4941" s="1005"/>
      <c r="CO4941" s="1005"/>
      <c r="CP4941" s="1005"/>
    </row>
    <row r="4942">
      <c r="A4942" s="1257"/>
      <c r="B4942" s="1113"/>
      <c r="C4942" s="1107"/>
      <c r="D4942" s="103"/>
      <c r="E4942" s="1137"/>
      <c r="F4942" s="112"/>
      <c r="G4942" s="1110"/>
      <c r="H4942" s="1138"/>
      <c r="I4942" s="1138"/>
      <c r="J4942" s="1139"/>
      <c r="K4942" s="1111"/>
      <c r="L4942" s="1112"/>
      <c r="M4942" s="1113"/>
      <c r="N4942" s="110"/>
      <c r="O4942" s="1140"/>
      <c r="P4942" s="1115"/>
      <c r="Q4942" s="1116"/>
      <c r="R4942" s="1141"/>
      <c r="S4942" s="1113"/>
      <c r="T4942" s="1143"/>
      <c r="U4942" s="1108"/>
      <c r="V4942" s="1108"/>
      <c r="W4942" s="1108"/>
      <c r="X4942" s="1108"/>
      <c r="Y4942" s="1108"/>
      <c r="Z4942" s="1114"/>
      <c r="AA4942" s="1114"/>
      <c r="AB4942" s="1114"/>
      <c r="AC4942" s="1117"/>
      <c r="AD4942" s="1115"/>
      <c r="AE4942" s="1115"/>
      <c r="AF4942" s="1115"/>
      <c r="AG4942" s="1115"/>
      <c r="AH4942" s="1115"/>
      <c r="AI4942" s="1115"/>
      <c r="AJ4942" s="1117"/>
      <c r="AK4942" s="1118"/>
      <c r="AL4942" s="1115"/>
      <c r="AM4942" s="1115"/>
      <c r="AN4942" s="1115"/>
      <c r="AO4942" s="1115"/>
      <c r="AP4942" s="1115"/>
      <c r="AQ4942" s="1115"/>
      <c r="AR4942" s="1115"/>
      <c r="AS4942" s="1117"/>
      <c r="AT4942" s="1075"/>
      <c r="AU4942" s="1193"/>
      <c r="AV4942" s="330"/>
      <c r="AW4942" s="331"/>
      <c r="AX4942" s="331"/>
      <c r="AY4942" s="331"/>
      <c r="AZ4942" s="331"/>
      <c r="BA4942" s="331"/>
      <c r="BB4942" s="331"/>
      <c r="BC4942" s="331"/>
      <c r="BD4942" s="331"/>
      <c r="BE4942" s="333"/>
      <c r="BF4942" s="330"/>
      <c r="BG4942" s="333"/>
      <c r="BH4942" s="1119"/>
      <c r="BI4942" s="319"/>
      <c r="BJ4942" s="319"/>
      <c r="BK4942" s="319"/>
      <c r="BL4942" s="319"/>
      <c r="BM4942" s="319"/>
      <c r="BN4942" s="319"/>
      <c r="BO4942" s="319"/>
      <c r="BP4942" s="953"/>
      <c r="BQ4942" s="319"/>
      <c r="BR4942" s="319"/>
      <c r="BS4942" s="330"/>
      <c r="BT4942" s="331"/>
      <c r="BU4942" s="920"/>
      <c r="BV4942" s="903"/>
      <c r="BW4942" s="908"/>
      <c r="BX4942" s="908"/>
      <c r="BY4942" s="331"/>
      <c r="BZ4942" s="331"/>
      <c r="CA4942" s="462"/>
      <c r="CB4942" s="319"/>
      <c r="CC4942" s="319"/>
      <c r="CD4942" s="319"/>
      <c r="CE4942" s="319"/>
      <c r="CF4942" s="319"/>
      <c r="CG4942" s="319"/>
      <c r="CH4942" s="318"/>
      <c r="CI4942" s="319"/>
      <c r="CJ4942" s="319"/>
      <c r="CK4942" s="342"/>
      <c r="CL4942" s="333"/>
      <c r="CM4942" s="1079"/>
      <c r="CN4942" s="1005"/>
      <c r="CO4942" s="1005"/>
      <c r="CP4942" s="1005"/>
    </row>
    <row r="4943">
      <c r="A4943" s="1257"/>
      <c r="B4943" s="1113"/>
      <c r="C4943" s="1107"/>
      <c r="D4943" s="103"/>
      <c r="E4943" s="1137"/>
      <c r="F4943" s="112"/>
      <c r="G4943" s="1110"/>
      <c r="H4943" s="1138"/>
      <c r="I4943" s="1138"/>
      <c r="J4943" s="1139"/>
      <c r="K4943" s="1111"/>
      <c r="L4943" s="1112"/>
      <c r="M4943" s="1113"/>
      <c r="N4943" s="110"/>
      <c r="O4943" s="1140"/>
      <c r="P4943" s="1115"/>
      <c r="Q4943" s="1116"/>
      <c r="R4943" s="1141"/>
      <c r="S4943" s="1113"/>
      <c r="T4943" s="1143"/>
      <c r="U4943" s="1108"/>
      <c r="V4943" s="1108"/>
      <c r="W4943" s="1108"/>
      <c r="X4943" s="1108"/>
      <c r="Y4943" s="1108"/>
      <c r="Z4943" s="1114"/>
      <c r="AA4943" s="1114"/>
      <c r="AB4943" s="1114"/>
      <c r="AC4943" s="1117"/>
      <c r="AD4943" s="1115"/>
      <c r="AE4943" s="1115"/>
      <c r="AF4943" s="1115"/>
      <c r="AG4943" s="1115"/>
      <c r="AH4943" s="1115"/>
      <c r="AI4943" s="1115"/>
      <c r="AJ4943" s="1117"/>
      <c r="AK4943" s="1118"/>
      <c r="AL4943" s="1115"/>
      <c r="AM4943" s="1115"/>
      <c r="AN4943" s="1115"/>
      <c r="AO4943" s="1115"/>
      <c r="AP4943" s="1115"/>
      <c r="AQ4943" s="1115"/>
      <c r="AR4943" s="1115"/>
      <c r="AS4943" s="1117"/>
      <c r="AT4943" s="1075"/>
      <c r="AU4943" s="1193"/>
      <c r="AV4943" s="330"/>
      <c r="AW4943" s="331"/>
      <c r="AX4943" s="331"/>
      <c r="AY4943" s="331"/>
      <c r="AZ4943" s="331"/>
      <c r="BA4943" s="331"/>
      <c r="BB4943" s="331"/>
      <c r="BC4943" s="331"/>
      <c r="BD4943" s="331"/>
      <c r="BE4943" s="333"/>
      <c r="BF4943" s="330"/>
      <c r="BG4943" s="333"/>
      <c r="BH4943" s="1119"/>
      <c r="BI4943" s="319"/>
      <c r="BJ4943" s="319"/>
      <c r="BK4943" s="319"/>
      <c r="BL4943" s="319"/>
      <c r="BM4943" s="319"/>
      <c r="BN4943" s="319"/>
      <c r="BO4943" s="319"/>
      <c r="BP4943" s="953"/>
      <c r="BQ4943" s="319"/>
      <c r="BR4943" s="319"/>
      <c r="BS4943" s="330"/>
      <c r="BT4943" s="331"/>
      <c r="BU4943" s="920"/>
      <c r="BV4943" s="903"/>
      <c r="BW4943" s="908"/>
      <c r="BX4943" s="908"/>
      <c r="BY4943" s="331"/>
      <c r="BZ4943" s="331"/>
      <c r="CA4943" s="462"/>
      <c r="CB4943" s="319"/>
      <c r="CC4943" s="319"/>
      <c r="CD4943" s="319"/>
      <c r="CE4943" s="319"/>
      <c r="CF4943" s="319"/>
      <c r="CG4943" s="319"/>
      <c r="CH4943" s="318"/>
      <c r="CI4943" s="319"/>
      <c r="CJ4943" s="319"/>
      <c r="CK4943" s="342"/>
      <c r="CL4943" s="333"/>
      <c r="CM4943" s="1079"/>
      <c r="CN4943" s="1005"/>
      <c r="CO4943" s="1005"/>
      <c r="CP4943" s="1005"/>
    </row>
    <row r="4944">
      <c r="A4944" s="1257"/>
      <c r="B4944" s="1113"/>
      <c r="C4944" s="1107"/>
      <c r="D4944" s="103"/>
      <c r="E4944" s="1137"/>
      <c r="F4944" s="112"/>
      <c r="G4944" s="1110"/>
      <c r="H4944" s="1138"/>
      <c r="I4944" s="1138"/>
      <c r="J4944" s="1139"/>
      <c r="K4944" s="1111"/>
      <c r="L4944" s="1112"/>
      <c r="M4944" s="1113"/>
      <c r="N4944" s="110"/>
      <c r="O4944" s="1140"/>
      <c r="P4944" s="1115"/>
      <c r="Q4944" s="1116"/>
      <c r="R4944" s="1141"/>
      <c r="S4944" s="1113"/>
      <c r="T4944" s="1143"/>
      <c r="U4944" s="1108"/>
      <c r="V4944" s="1108"/>
      <c r="W4944" s="1108"/>
      <c r="X4944" s="1108"/>
      <c r="Y4944" s="1108"/>
      <c r="Z4944" s="1114"/>
      <c r="AA4944" s="1114"/>
      <c r="AB4944" s="1114"/>
      <c r="AC4944" s="1117"/>
      <c r="AD4944" s="1115"/>
      <c r="AE4944" s="1115"/>
      <c r="AF4944" s="1115"/>
      <c r="AG4944" s="1115"/>
      <c r="AH4944" s="1115"/>
      <c r="AI4944" s="1115"/>
      <c r="AJ4944" s="1117"/>
      <c r="AK4944" s="1118"/>
      <c r="AL4944" s="1115"/>
      <c r="AM4944" s="1115"/>
      <c r="AN4944" s="1115"/>
      <c r="AO4944" s="1115"/>
      <c r="AP4944" s="1115"/>
      <c r="AQ4944" s="1115"/>
      <c r="AR4944" s="1115"/>
      <c r="AS4944" s="1117"/>
      <c r="AT4944" s="1075"/>
      <c r="AU4944" s="1193"/>
      <c r="AV4944" s="330"/>
      <c r="AW4944" s="331"/>
      <c r="AX4944" s="331"/>
      <c r="AY4944" s="331"/>
      <c r="AZ4944" s="331"/>
      <c r="BA4944" s="331"/>
      <c r="BB4944" s="331"/>
      <c r="BC4944" s="331"/>
      <c r="BD4944" s="331"/>
      <c r="BE4944" s="333"/>
      <c r="BF4944" s="330"/>
      <c r="BG4944" s="333"/>
      <c r="BH4944" s="1119"/>
      <c r="BI4944" s="319"/>
      <c r="BJ4944" s="319"/>
      <c r="BK4944" s="319"/>
      <c r="BL4944" s="319"/>
      <c r="BM4944" s="319"/>
      <c r="BN4944" s="319"/>
      <c r="BO4944" s="319"/>
      <c r="BP4944" s="953"/>
      <c r="BQ4944" s="319"/>
      <c r="BR4944" s="319"/>
      <c r="BS4944" s="330"/>
      <c r="BT4944" s="331"/>
      <c r="BU4944" s="920"/>
      <c r="BV4944" s="903"/>
      <c r="BW4944" s="908"/>
      <c r="BX4944" s="908"/>
      <c r="BY4944" s="331"/>
      <c r="BZ4944" s="331"/>
      <c r="CA4944" s="462"/>
      <c r="CB4944" s="319"/>
      <c r="CC4944" s="319"/>
      <c r="CD4944" s="319"/>
      <c r="CE4944" s="319"/>
      <c r="CF4944" s="319"/>
      <c r="CG4944" s="319"/>
      <c r="CH4944" s="318"/>
      <c r="CI4944" s="319"/>
      <c r="CJ4944" s="319"/>
      <c r="CK4944" s="342"/>
      <c r="CL4944" s="333"/>
      <c r="CM4944" s="1079"/>
      <c r="CN4944" s="1005"/>
      <c r="CO4944" s="1005"/>
      <c r="CP4944" s="1005"/>
    </row>
    <row r="4945">
      <c r="A4945" s="1257"/>
      <c r="B4945" s="1113"/>
      <c r="C4945" s="1107"/>
      <c r="D4945" s="103"/>
      <c r="E4945" s="1137"/>
      <c r="F4945" s="112"/>
      <c r="G4945" s="1110"/>
      <c r="H4945" s="1138"/>
      <c r="I4945" s="1138"/>
      <c r="J4945" s="1139"/>
      <c r="K4945" s="1111"/>
      <c r="L4945" s="1112"/>
      <c r="M4945" s="1113"/>
      <c r="N4945" s="110"/>
      <c r="O4945" s="1140"/>
      <c r="P4945" s="1115"/>
      <c r="Q4945" s="1116"/>
      <c r="R4945" s="1141"/>
      <c r="S4945" s="1113"/>
      <c r="T4945" s="1143"/>
      <c r="U4945" s="1108"/>
      <c r="V4945" s="1108"/>
      <c r="W4945" s="1108"/>
      <c r="X4945" s="1108"/>
      <c r="Y4945" s="1108"/>
      <c r="Z4945" s="1114"/>
      <c r="AA4945" s="1114"/>
      <c r="AB4945" s="1114"/>
      <c r="AC4945" s="1117"/>
      <c r="AD4945" s="1115"/>
      <c r="AE4945" s="1115"/>
      <c r="AF4945" s="1115"/>
      <c r="AG4945" s="1115"/>
      <c r="AH4945" s="1115"/>
      <c r="AI4945" s="1115"/>
      <c r="AJ4945" s="1117"/>
      <c r="AK4945" s="1118"/>
      <c r="AL4945" s="1115"/>
      <c r="AM4945" s="1115"/>
      <c r="AN4945" s="1115"/>
      <c r="AO4945" s="1115"/>
      <c r="AP4945" s="1115"/>
      <c r="AQ4945" s="1115"/>
      <c r="AR4945" s="1115"/>
      <c r="AS4945" s="1117"/>
      <c r="AT4945" s="1075"/>
      <c r="AU4945" s="1193"/>
      <c r="AV4945" s="330"/>
      <c r="AW4945" s="331"/>
      <c r="AX4945" s="331"/>
      <c r="AY4945" s="331"/>
      <c r="AZ4945" s="331"/>
      <c r="BA4945" s="331"/>
      <c r="BB4945" s="331"/>
      <c r="BC4945" s="331"/>
      <c r="BD4945" s="331"/>
      <c r="BE4945" s="333"/>
      <c r="BF4945" s="330"/>
      <c r="BG4945" s="333"/>
      <c r="BH4945" s="1119"/>
      <c r="BI4945" s="319"/>
      <c r="BJ4945" s="319"/>
      <c r="BK4945" s="319"/>
      <c r="BL4945" s="319"/>
      <c r="BM4945" s="319"/>
      <c r="BN4945" s="319"/>
      <c r="BO4945" s="319"/>
      <c r="BP4945" s="953"/>
      <c r="BQ4945" s="319"/>
      <c r="BR4945" s="319"/>
      <c r="BS4945" s="330"/>
      <c r="BT4945" s="331"/>
      <c r="BU4945" s="920"/>
      <c r="BV4945" s="903"/>
      <c r="BW4945" s="908"/>
      <c r="BX4945" s="908"/>
      <c r="BY4945" s="331"/>
      <c r="BZ4945" s="331"/>
      <c r="CA4945" s="462"/>
      <c r="CB4945" s="319"/>
      <c r="CC4945" s="319"/>
      <c r="CD4945" s="319"/>
      <c r="CE4945" s="319"/>
      <c r="CF4945" s="319"/>
      <c r="CG4945" s="319"/>
      <c r="CH4945" s="318"/>
      <c r="CI4945" s="319"/>
      <c r="CJ4945" s="319"/>
      <c r="CK4945" s="342"/>
      <c r="CL4945" s="333"/>
      <c r="CM4945" s="1079"/>
      <c r="CN4945" s="1005"/>
      <c r="CO4945" s="1005"/>
      <c r="CP4945" s="1005"/>
    </row>
    <row r="4946">
      <c r="A4946" s="1257"/>
      <c r="B4946" s="1113"/>
      <c r="C4946" s="1107"/>
      <c r="D4946" s="103"/>
      <c r="E4946" s="1137"/>
      <c r="F4946" s="112"/>
      <c r="G4946" s="1110"/>
      <c r="H4946" s="1138"/>
      <c r="I4946" s="1138"/>
      <c r="J4946" s="1139"/>
      <c r="K4946" s="1111"/>
      <c r="L4946" s="1112"/>
      <c r="M4946" s="1113"/>
      <c r="N4946" s="110"/>
      <c r="O4946" s="1140"/>
      <c r="P4946" s="1115"/>
      <c r="Q4946" s="1116"/>
      <c r="R4946" s="1141"/>
      <c r="S4946" s="1113"/>
      <c r="T4946" s="1143"/>
      <c r="U4946" s="1108"/>
      <c r="V4946" s="1108"/>
      <c r="W4946" s="1108"/>
      <c r="X4946" s="1108"/>
      <c r="Y4946" s="1108"/>
      <c r="Z4946" s="1114"/>
      <c r="AA4946" s="1114"/>
      <c r="AB4946" s="1114"/>
      <c r="AC4946" s="1117"/>
      <c r="AD4946" s="1115"/>
      <c r="AE4946" s="1115"/>
      <c r="AF4946" s="1115"/>
      <c r="AG4946" s="1115"/>
      <c r="AH4946" s="1115"/>
      <c r="AI4946" s="1115"/>
      <c r="AJ4946" s="1117"/>
      <c r="AK4946" s="1118"/>
      <c r="AL4946" s="1115"/>
      <c r="AM4946" s="1115"/>
      <c r="AN4946" s="1115"/>
      <c r="AO4946" s="1115"/>
      <c r="AP4946" s="1115"/>
      <c r="AQ4946" s="1115"/>
      <c r="AR4946" s="1115"/>
      <c r="AS4946" s="1117"/>
      <c r="AT4946" s="1075"/>
      <c r="AU4946" s="1193"/>
      <c r="AV4946" s="330"/>
      <c r="AW4946" s="331"/>
      <c r="AX4946" s="331"/>
      <c r="AY4946" s="331"/>
      <c r="AZ4946" s="331"/>
      <c r="BA4946" s="331"/>
      <c r="BB4946" s="331"/>
      <c r="BC4946" s="331"/>
      <c r="BD4946" s="331"/>
      <c r="BE4946" s="333"/>
      <c r="BF4946" s="330"/>
      <c r="BG4946" s="333"/>
      <c r="BH4946" s="1119"/>
      <c r="BI4946" s="319"/>
      <c r="BJ4946" s="319"/>
      <c r="BK4946" s="319"/>
      <c r="BL4946" s="319"/>
      <c r="BM4946" s="319"/>
      <c r="BN4946" s="319"/>
      <c r="BO4946" s="319"/>
      <c r="BP4946" s="953"/>
      <c r="BQ4946" s="319"/>
      <c r="BR4946" s="319"/>
      <c r="BS4946" s="330"/>
      <c r="BT4946" s="331"/>
      <c r="BU4946" s="920"/>
      <c r="BV4946" s="903"/>
      <c r="BW4946" s="908"/>
      <c r="BX4946" s="908"/>
      <c r="BY4946" s="331"/>
      <c r="BZ4946" s="331"/>
      <c r="CA4946" s="462"/>
      <c r="CB4946" s="319"/>
      <c r="CC4946" s="319"/>
      <c r="CD4946" s="319"/>
      <c r="CE4946" s="319"/>
      <c r="CF4946" s="319"/>
      <c r="CG4946" s="319"/>
      <c r="CH4946" s="318"/>
      <c r="CI4946" s="319"/>
      <c r="CJ4946" s="319"/>
      <c r="CK4946" s="342"/>
      <c r="CL4946" s="333"/>
      <c r="CM4946" s="1079"/>
      <c r="CN4946" s="1005"/>
      <c r="CO4946" s="1005"/>
      <c r="CP4946" s="1005"/>
    </row>
    <row r="4947">
      <c r="A4947" s="1257"/>
      <c r="B4947" s="1113"/>
      <c r="C4947" s="1107"/>
      <c r="D4947" s="103"/>
      <c r="E4947" s="1137"/>
      <c r="F4947" s="112"/>
      <c r="G4947" s="1110"/>
      <c r="H4947" s="1138"/>
      <c r="I4947" s="1138"/>
      <c r="J4947" s="1139"/>
      <c r="K4947" s="1111"/>
      <c r="L4947" s="1112"/>
      <c r="M4947" s="1113"/>
      <c r="N4947" s="110"/>
      <c r="O4947" s="1140"/>
      <c r="P4947" s="1115"/>
      <c r="Q4947" s="1116"/>
      <c r="R4947" s="1141"/>
      <c r="S4947" s="1113"/>
      <c r="T4947" s="1143"/>
      <c r="U4947" s="1108"/>
      <c r="V4947" s="1108"/>
      <c r="W4947" s="1108"/>
      <c r="X4947" s="1108"/>
      <c r="Y4947" s="1108"/>
      <c r="Z4947" s="1114"/>
      <c r="AA4947" s="1114"/>
      <c r="AB4947" s="1114"/>
      <c r="AC4947" s="1117"/>
      <c r="AD4947" s="1115"/>
      <c r="AE4947" s="1115"/>
      <c r="AF4947" s="1115"/>
      <c r="AG4947" s="1115"/>
      <c r="AH4947" s="1115"/>
      <c r="AI4947" s="1115"/>
      <c r="AJ4947" s="1117"/>
      <c r="AK4947" s="1118"/>
      <c r="AL4947" s="1115"/>
      <c r="AM4947" s="1115"/>
      <c r="AN4947" s="1115"/>
      <c r="AO4947" s="1115"/>
      <c r="AP4947" s="1115"/>
      <c r="AQ4947" s="1115"/>
      <c r="AR4947" s="1115"/>
      <c r="AS4947" s="1117"/>
      <c r="AT4947" s="1075"/>
      <c r="AU4947" s="1193"/>
      <c r="AV4947" s="330"/>
      <c r="AW4947" s="331"/>
      <c r="AX4947" s="331"/>
      <c r="AY4947" s="331"/>
      <c r="AZ4947" s="331"/>
      <c r="BA4947" s="331"/>
      <c r="BB4947" s="331"/>
      <c r="BC4947" s="331"/>
      <c r="BD4947" s="331"/>
      <c r="BE4947" s="333"/>
      <c r="BF4947" s="330"/>
      <c r="BG4947" s="333"/>
      <c r="BH4947" s="1119"/>
      <c r="BI4947" s="319"/>
      <c r="BJ4947" s="319"/>
      <c r="BK4947" s="319"/>
      <c r="BL4947" s="319"/>
      <c r="BM4947" s="319"/>
      <c r="BN4947" s="319"/>
      <c r="BO4947" s="319"/>
      <c r="BP4947" s="953"/>
      <c r="BQ4947" s="319"/>
      <c r="BR4947" s="319"/>
      <c r="BS4947" s="330"/>
      <c r="BT4947" s="331"/>
      <c r="BU4947" s="920"/>
      <c r="BV4947" s="903"/>
      <c r="BW4947" s="908"/>
      <c r="BX4947" s="908"/>
      <c r="BY4947" s="331"/>
      <c r="BZ4947" s="331"/>
      <c r="CA4947" s="462"/>
      <c r="CB4947" s="319"/>
      <c r="CC4947" s="319"/>
      <c r="CD4947" s="319"/>
      <c r="CE4947" s="319"/>
      <c r="CF4947" s="319"/>
      <c r="CG4947" s="319"/>
      <c r="CH4947" s="318"/>
      <c r="CI4947" s="319"/>
      <c r="CJ4947" s="319"/>
      <c r="CK4947" s="342"/>
      <c r="CL4947" s="333"/>
      <c r="CM4947" s="1079"/>
      <c r="CN4947" s="1005"/>
      <c r="CO4947" s="1005"/>
      <c r="CP4947" s="1005"/>
    </row>
    <row r="4948">
      <c r="A4948" s="1257"/>
      <c r="B4948" s="1113"/>
      <c r="C4948" s="1107"/>
      <c r="D4948" s="103"/>
      <c r="E4948" s="1137"/>
      <c r="F4948" s="112"/>
      <c r="G4948" s="1110"/>
      <c r="H4948" s="1138"/>
      <c r="I4948" s="1138"/>
      <c r="J4948" s="1139"/>
      <c r="K4948" s="1111"/>
      <c r="L4948" s="1112"/>
      <c r="M4948" s="1113"/>
      <c r="N4948" s="110"/>
      <c r="O4948" s="1140"/>
      <c r="P4948" s="1115"/>
      <c r="Q4948" s="1116"/>
      <c r="R4948" s="1141"/>
      <c r="S4948" s="1113"/>
      <c r="T4948" s="1143"/>
      <c r="U4948" s="1108"/>
      <c r="V4948" s="1108"/>
      <c r="W4948" s="1108"/>
      <c r="X4948" s="1108"/>
      <c r="Y4948" s="1108"/>
      <c r="Z4948" s="1114"/>
      <c r="AA4948" s="1114"/>
      <c r="AB4948" s="1114"/>
      <c r="AC4948" s="1117"/>
      <c r="AD4948" s="1115"/>
      <c r="AE4948" s="1115"/>
      <c r="AF4948" s="1115"/>
      <c r="AG4948" s="1115"/>
      <c r="AH4948" s="1115"/>
      <c r="AI4948" s="1115"/>
      <c r="AJ4948" s="1117"/>
      <c r="AK4948" s="1118"/>
      <c r="AL4948" s="1115"/>
      <c r="AM4948" s="1115"/>
      <c r="AN4948" s="1115"/>
      <c r="AO4948" s="1115"/>
      <c r="AP4948" s="1115"/>
      <c r="AQ4948" s="1115"/>
      <c r="AR4948" s="1115"/>
      <c r="AS4948" s="1117"/>
      <c r="AT4948" s="1075"/>
      <c r="AU4948" s="1193"/>
      <c r="AV4948" s="330"/>
      <c r="AW4948" s="331"/>
      <c r="AX4948" s="331"/>
      <c r="AY4948" s="331"/>
      <c r="AZ4948" s="331"/>
      <c r="BA4948" s="331"/>
      <c r="BB4948" s="331"/>
      <c r="BC4948" s="331"/>
      <c r="BD4948" s="331"/>
      <c r="BE4948" s="333"/>
      <c r="BF4948" s="330"/>
      <c r="BG4948" s="333"/>
      <c r="BH4948" s="1119"/>
      <c r="BI4948" s="319"/>
      <c r="BJ4948" s="319"/>
      <c r="BK4948" s="319"/>
      <c r="BL4948" s="319"/>
      <c r="BM4948" s="319"/>
      <c r="BN4948" s="319"/>
      <c r="BO4948" s="319"/>
      <c r="BP4948" s="953"/>
      <c r="BQ4948" s="319"/>
      <c r="BR4948" s="319"/>
      <c r="BS4948" s="330"/>
      <c r="BT4948" s="331"/>
      <c r="BU4948" s="920"/>
      <c r="BV4948" s="903"/>
      <c r="BW4948" s="908"/>
      <c r="BX4948" s="908"/>
      <c r="BY4948" s="331"/>
      <c r="BZ4948" s="331"/>
      <c r="CA4948" s="462"/>
      <c r="CB4948" s="319"/>
      <c r="CC4948" s="319"/>
      <c r="CD4948" s="319"/>
      <c r="CE4948" s="319"/>
      <c r="CF4948" s="319"/>
      <c r="CG4948" s="319"/>
      <c r="CH4948" s="318"/>
      <c r="CI4948" s="319"/>
      <c r="CJ4948" s="319"/>
      <c r="CK4948" s="342"/>
      <c r="CL4948" s="333"/>
      <c r="CM4948" s="1079"/>
      <c r="CN4948" s="1005"/>
      <c r="CO4948" s="1005"/>
      <c r="CP4948" s="1005"/>
    </row>
    <row r="4949">
      <c r="A4949" s="1257"/>
      <c r="B4949" s="1113"/>
      <c r="C4949" s="1107"/>
      <c r="D4949" s="103"/>
      <c r="E4949" s="1137"/>
      <c r="F4949" s="112"/>
      <c r="G4949" s="1110"/>
      <c r="H4949" s="1138"/>
      <c r="I4949" s="1138"/>
      <c r="J4949" s="1139"/>
      <c r="K4949" s="1111"/>
      <c r="L4949" s="1112"/>
      <c r="M4949" s="1113"/>
      <c r="N4949" s="110"/>
      <c r="O4949" s="1140"/>
      <c r="P4949" s="1115"/>
      <c r="Q4949" s="1116"/>
      <c r="R4949" s="1141"/>
      <c r="S4949" s="1113"/>
      <c r="T4949" s="1143"/>
      <c r="U4949" s="1108"/>
      <c r="V4949" s="1108"/>
      <c r="W4949" s="1108"/>
      <c r="X4949" s="1108"/>
      <c r="Y4949" s="1108"/>
      <c r="Z4949" s="1114"/>
      <c r="AA4949" s="1114"/>
      <c r="AB4949" s="1114"/>
      <c r="AC4949" s="1117"/>
      <c r="AD4949" s="1115"/>
      <c r="AE4949" s="1115"/>
      <c r="AF4949" s="1115"/>
      <c r="AG4949" s="1115"/>
      <c r="AH4949" s="1115"/>
      <c r="AI4949" s="1115"/>
      <c r="AJ4949" s="1117"/>
      <c r="AK4949" s="1118"/>
      <c r="AL4949" s="1115"/>
      <c r="AM4949" s="1115"/>
      <c r="AN4949" s="1115"/>
      <c r="AO4949" s="1115"/>
      <c r="AP4949" s="1115"/>
      <c r="AQ4949" s="1115"/>
      <c r="AR4949" s="1115"/>
      <c r="AS4949" s="1117"/>
      <c r="AT4949" s="1075"/>
      <c r="AU4949" s="1193"/>
      <c r="AV4949" s="330"/>
      <c r="AW4949" s="331"/>
      <c r="AX4949" s="331"/>
      <c r="AY4949" s="331"/>
      <c r="AZ4949" s="331"/>
      <c r="BA4949" s="331"/>
      <c r="BB4949" s="331"/>
      <c r="BC4949" s="331"/>
      <c r="BD4949" s="331"/>
      <c r="BE4949" s="333"/>
      <c r="BF4949" s="330"/>
      <c r="BG4949" s="333"/>
      <c r="BH4949" s="1119"/>
      <c r="BI4949" s="319"/>
      <c r="BJ4949" s="319"/>
      <c r="BK4949" s="319"/>
      <c r="BL4949" s="319"/>
      <c r="BM4949" s="319"/>
      <c r="BN4949" s="319"/>
      <c r="BO4949" s="319"/>
      <c r="BP4949" s="953"/>
      <c r="BQ4949" s="319"/>
      <c r="BR4949" s="319"/>
      <c r="BS4949" s="330"/>
      <c r="BT4949" s="331"/>
      <c r="BU4949" s="920"/>
      <c r="BV4949" s="903"/>
      <c r="BW4949" s="908"/>
      <c r="BX4949" s="908"/>
      <c r="BY4949" s="331"/>
      <c r="BZ4949" s="331"/>
      <c r="CA4949" s="462"/>
      <c r="CB4949" s="319"/>
      <c r="CC4949" s="319"/>
      <c r="CD4949" s="319"/>
      <c r="CE4949" s="319"/>
      <c r="CF4949" s="319"/>
      <c r="CG4949" s="319"/>
      <c r="CH4949" s="318"/>
      <c r="CI4949" s="319"/>
      <c r="CJ4949" s="319"/>
      <c r="CK4949" s="342"/>
      <c r="CL4949" s="333"/>
      <c r="CM4949" s="1079"/>
      <c r="CN4949" s="1005"/>
      <c r="CO4949" s="1005"/>
      <c r="CP4949" s="1005"/>
    </row>
    <row r="4950">
      <c r="A4950" s="1257"/>
      <c r="B4950" s="1113"/>
      <c r="C4950" s="1107"/>
      <c r="D4950" s="103"/>
      <c r="E4950" s="1137"/>
      <c r="F4950" s="112"/>
      <c r="G4950" s="1110"/>
      <c r="H4950" s="1138"/>
      <c r="I4950" s="1138"/>
      <c r="J4950" s="1139"/>
      <c r="K4950" s="1111"/>
      <c r="L4950" s="1112"/>
      <c r="M4950" s="1113"/>
      <c r="N4950" s="110"/>
      <c r="O4950" s="1140"/>
      <c r="P4950" s="1115"/>
      <c r="Q4950" s="1116"/>
      <c r="R4950" s="1141"/>
      <c r="S4950" s="1113"/>
      <c r="T4950" s="1143"/>
      <c r="U4950" s="1108"/>
      <c r="V4950" s="1108"/>
      <c r="W4950" s="1108"/>
      <c r="X4950" s="1108"/>
      <c r="Y4950" s="1108"/>
      <c r="Z4950" s="1114"/>
      <c r="AA4950" s="1114"/>
      <c r="AB4950" s="1114"/>
      <c r="AC4950" s="1117"/>
      <c r="AD4950" s="1115"/>
      <c r="AE4950" s="1115"/>
      <c r="AF4950" s="1115"/>
      <c r="AG4950" s="1115"/>
      <c r="AH4950" s="1115"/>
      <c r="AI4950" s="1115"/>
      <c r="AJ4950" s="1117"/>
      <c r="AK4950" s="1118"/>
      <c r="AL4950" s="1115"/>
      <c r="AM4950" s="1115"/>
      <c r="AN4950" s="1115"/>
      <c r="AO4950" s="1115"/>
      <c r="AP4950" s="1115"/>
      <c r="AQ4950" s="1115"/>
      <c r="AR4950" s="1115"/>
      <c r="AS4950" s="1117"/>
      <c r="AT4950" s="1075"/>
      <c r="AU4950" s="1193"/>
      <c r="AV4950" s="330"/>
      <c r="AW4950" s="331"/>
      <c r="AX4950" s="331"/>
      <c r="AY4950" s="331"/>
      <c r="AZ4950" s="331"/>
      <c r="BA4950" s="331"/>
      <c r="BB4950" s="331"/>
      <c r="BC4950" s="331"/>
      <c r="BD4950" s="331"/>
      <c r="BE4950" s="333"/>
      <c r="BF4950" s="330"/>
      <c r="BG4950" s="333"/>
      <c r="BH4950" s="1119"/>
      <c r="BI4950" s="319"/>
      <c r="BJ4950" s="319"/>
      <c r="BK4950" s="319"/>
      <c r="BL4950" s="319"/>
      <c r="BM4950" s="319"/>
      <c r="BN4950" s="319"/>
      <c r="BO4950" s="319"/>
      <c r="BP4950" s="953"/>
      <c r="BQ4950" s="319"/>
      <c r="BR4950" s="319"/>
      <c r="BS4950" s="330"/>
      <c r="BT4950" s="331"/>
      <c r="BU4950" s="920"/>
      <c r="BV4950" s="903"/>
      <c r="BW4950" s="908"/>
      <c r="BX4950" s="908"/>
      <c r="BY4950" s="331"/>
      <c r="BZ4950" s="331"/>
      <c r="CA4950" s="462"/>
      <c r="CB4950" s="319"/>
      <c r="CC4950" s="319"/>
      <c r="CD4950" s="319"/>
      <c r="CE4950" s="319"/>
      <c r="CF4950" s="319"/>
      <c r="CG4950" s="319"/>
      <c r="CH4950" s="318"/>
      <c r="CI4950" s="319"/>
      <c r="CJ4950" s="319"/>
      <c r="CK4950" s="342"/>
      <c r="CL4950" s="333"/>
      <c r="CM4950" s="1079"/>
      <c r="CN4950" s="1005"/>
      <c r="CO4950" s="1005"/>
      <c r="CP4950" s="1005"/>
    </row>
    <row r="4951">
      <c r="A4951" s="1257"/>
      <c r="B4951" s="1113"/>
      <c r="C4951" s="1107"/>
      <c r="D4951" s="103"/>
      <c r="E4951" s="1137"/>
      <c r="F4951" s="112"/>
      <c r="G4951" s="1110"/>
      <c r="H4951" s="1138"/>
      <c r="I4951" s="1138"/>
      <c r="J4951" s="1139"/>
      <c r="K4951" s="1111"/>
      <c r="L4951" s="1112"/>
      <c r="M4951" s="1113"/>
      <c r="N4951" s="110"/>
      <c r="O4951" s="1140"/>
      <c r="P4951" s="1115"/>
      <c r="Q4951" s="1116"/>
      <c r="R4951" s="1141"/>
      <c r="S4951" s="1113"/>
      <c r="T4951" s="1143"/>
      <c r="U4951" s="1108"/>
      <c r="V4951" s="1108"/>
      <c r="W4951" s="1108"/>
      <c r="X4951" s="1108"/>
      <c r="Y4951" s="1108"/>
      <c r="Z4951" s="1114"/>
      <c r="AA4951" s="1114"/>
      <c r="AB4951" s="1114"/>
      <c r="AC4951" s="1117"/>
      <c r="AD4951" s="1115"/>
      <c r="AE4951" s="1115"/>
      <c r="AF4951" s="1115"/>
      <c r="AG4951" s="1115"/>
      <c r="AH4951" s="1115"/>
      <c r="AI4951" s="1115"/>
      <c r="AJ4951" s="1117"/>
      <c r="AK4951" s="1118"/>
      <c r="AL4951" s="1115"/>
      <c r="AM4951" s="1115"/>
      <c r="AN4951" s="1115"/>
      <c r="AO4951" s="1115"/>
      <c r="AP4951" s="1115"/>
      <c r="AQ4951" s="1115"/>
      <c r="AR4951" s="1115"/>
      <c r="AS4951" s="1117"/>
      <c r="AT4951" s="1075"/>
      <c r="AU4951" s="1193"/>
      <c r="AV4951" s="330"/>
      <c r="AW4951" s="331"/>
      <c r="AX4951" s="331"/>
      <c r="AY4951" s="331"/>
      <c r="AZ4951" s="331"/>
      <c r="BA4951" s="331"/>
      <c r="BB4951" s="331"/>
      <c r="BC4951" s="331"/>
      <c r="BD4951" s="331"/>
      <c r="BE4951" s="333"/>
      <c r="BF4951" s="330"/>
      <c r="BG4951" s="333"/>
      <c r="BH4951" s="1119"/>
      <c r="BI4951" s="319"/>
      <c r="BJ4951" s="319"/>
      <c r="BK4951" s="319"/>
      <c r="BL4951" s="319"/>
      <c r="BM4951" s="319"/>
      <c r="BN4951" s="319"/>
      <c r="BO4951" s="319"/>
      <c r="BP4951" s="953"/>
      <c r="BQ4951" s="319"/>
      <c r="BR4951" s="319"/>
      <c r="BS4951" s="330"/>
      <c r="BT4951" s="331"/>
      <c r="BU4951" s="920"/>
      <c r="BV4951" s="903"/>
      <c r="BW4951" s="908"/>
      <c r="BX4951" s="908"/>
      <c r="BY4951" s="331"/>
      <c r="BZ4951" s="331"/>
      <c r="CA4951" s="462"/>
      <c r="CB4951" s="319"/>
      <c r="CC4951" s="319"/>
      <c r="CD4951" s="319"/>
      <c r="CE4951" s="319"/>
      <c r="CF4951" s="319"/>
      <c r="CG4951" s="319"/>
      <c r="CH4951" s="318"/>
      <c r="CI4951" s="319"/>
      <c r="CJ4951" s="319"/>
      <c r="CK4951" s="342"/>
      <c r="CL4951" s="333"/>
      <c r="CM4951" s="1079"/>
      <c r="CN4951" s="1005"/>
      <c r="CO4951" s="1005"/>
      <c r="CP4951" s="1005"/>
    </row>
    <row r="4952">
      <c r="A4952" s="1257"/>
      <c r="B4952" s="1113"/>
      <c r="C4952" s="1107"/>
      <c r="D4952" s="103"/>
      <c r="E4952" s="1137"/>
      <c r="F4952" s="112"/>
      <c r="G4952" s="1110"/>
      <c r="H4952" s="1138"/>
      <c r="I4952" s="1138"/>
      <c r="J4952" s="1139"/>
      <c r="K4952" s="1111"/>
      <c r="L4952" s="1112"/>
      <c r="M4952" s="1113"/>
      <c r="N4952" s="110"/>
      <c r="O4952" s="1140"/>
      <c r="P4952" s="1115"/>
      <c r="Q4952" s="1116"/>
      <c r="R4952" s="1141"/>
      <c r="S4952" s="1113"/>
      <c r="T4952" s="1143"/>
      <c r="U4952" s="1108"/>
      <c r="V4952" s="1108"/>
      <c r="W4952" s="1108"/>
      <c r="X4952" s="1108"/>
      <c r="Y4952" s="1108"/>
      <c r="Z4952" s="1114"/>
      <c r="AA4952" s="1114"/>
      <c r="AB4952" s="1114"/>
      <c r="AC4952" s="1117"/>
      <c r="AD4952" s="1115"/>
      <c r="AE4952" s="1115"/>
      <c r="AF4952" s="1115"/>
      <c r="AG4952" s="1115"/>
      <c r="AH4952" s="1115"/>
      <c r="AI4952" s="1115"/>
      <c r="AJ4952" s="1117"/>
      <c r="AK4952" s="1118"/>
      <c r="AL4952" s="1115"/>
      <c r="AM4952" s="1115"/>
      <c r="AN4952" s="1115"/>
      <c r="AO4952" s="1115"/>
      <c r="AP4952" s="1115"/>
      <c r="AQ4952" s="1115"/>
      <c r="AR4952" s="1115"/>
      <c r="AS4952" s="1117"/>
      <c r="AT4952" s="1075"/>
      <c r="AU4952" s="1193"/>
      <c r="AV4952" s="330"/>
      <c r="AW4952" s="331"/>
      <c r="AX4952" s="331"/>
      <c r="AY4952" s="331"/>
      <c r="AZ4952" s="331"/>
      <c r="BA4952" s="331"/>
      <c r="BB4952" s="331"/>
      <c r="BC4952" s="331"/>
      <c r="BD4952" s="331"/>
      <c r="BE4952" s="333"/>
      <c r="BF4952" s="330"/>
      <c r="BG4952" s="333"/>
      <c r="BH4952" s="1119"/>
      <c r="BI4952" s="319"/>
      <c r="BJ4952" s="319"/>
      <c r="BK4952" s="319"/>
      <c r="BL4952" s="319"/>
      <c r="BM4952" s="319"/>
      <c r="BN4952" s="319"/>
      <c r="BO4952" s="319"/>
      <c r="BP4952" s="953"/>
      <c r="BQ4952" s="319"/>
      <c r="BR4952" s="319"/>
      <c r="BS4952" s="330"/>
      <c r="BT4952" s="331"/>
      <c r="BU4952" s="920"/>
      <c r="BV4952" s="903"/>
      <c r="BW4952" s="908"/>
      <c r="BX4952" s="908"/>
      <c r="BY4952" s="331"/>
      <c r="BZ4952" s="331"/>
      <c r="CA4952" s="462"/>
      <c r="CB4952" s="319"/>
      <c r="CC4952" s="319"/>
      <c r="CD4952" s="319"/>
      <c r="CE4952" s="319"/>
      <c r="CF4952" s="319"/>
      <c r="CG4952" s="319"/>
      <c r="CH4952" s="318"/>
      <c r="CI4952" s="319"/>
      <c r="CJ4952" s="319"/>
      <c r="CK4952" s="342"/>
      <c r="CL4952" s="333"/>
      <c r="CM4952" s="1079"/>
      <c r="CN4952" s="1005"/>
      <c r="CO4952" s="1005"/>
      <c r="CP4952" s="1005"/>
    </row>
    <row r="4953">
      <c r="A4953" s="1257"/>
      <c r="B4953" s="1113"/>
      <c r="C4953" s="1107"/>
      <c r="D4953" s="103"/>
      <c r="E4953" s="1137"/>
      <c r="F4953" s="112"/>
      <c r="G4953" s="1110"/>
      <c r="H4953" s="1138"/>
      <c r="I4953" s="1138"/>
      <c r="J4953" s="1139"/>
      <c r="K4953" s="1111"/>
      <c r="L4953" s="1112"/>
      <c r="M4953" s="1113"/>
      <c r="N4953" s="110"/>
      <c r="O4953" s="1140"/>
      <c r="P4953" s="1115"/>
      <c r="Q4953" s="1116"/>
      <c r="R4953" s="1141"/>
      <c r="S4953" s="1113"/>
      <c r="T4953" s="1143"/>
      <c r="U4953" s="1108"/>
      <c r="V4953" s="1108"/>
      <c r="W4953" s="1108"/>
      <c r="X4953" s="1108"/>
      <c r="Y4953" s="1108"/>
      <c r="Z4953" s="1114"/>
      <c r="AA4953" s="1114"/>
      <c r="AB4953" s="1114"/>
      <c r="AC4953" s="1117"/>
      <c r="AD4953" s="1115"/>
      <c r="AE4953" s="1115"/>
      <c r="AF4953" s="1115"/>
      <c r="AG4953" s="1115"/>
      <c r="AH4953" s="1115"/>
      <c r="AI4953" s="1115"/>
      <c r="AJ4953" s="1117"/>
      <c r="AK4953" s="1118"/>
      <c r="AL4953" s="1115"/>
      <c r="AM4953" s="1115"/>
      <c r="AN4953" s="1115"/>
      <c r="AO4953" s="1115"/>
      <c r="AP4953" s="1115"/>
      <c r="AQ4953" s="1115"/>
      <c r="AR4953" s="1115"/>
      <c r="AS4953" s="1117"/>
      <c r="AT4953" s="1075"/>
      <c r="AU4953" s="1193"/>
      <c r="AV4953" s="330"/>
      <c r="AW4953" s="331"/>
      <c r="AX4953" s="331"/>
      <c r="AY4953" s="331"/>
      <c r="AZ4953" s="331"/>
      <c r="BA4953" s="331"/>
      <c r="BB4953" s="331"/>
      <c r="BC4953" s="331"/>
      <c r="BD4953" s="331"/>
      <c r="BE4953" s="333"/>
      <c r="BF4953" s="330"/>
      <c r="BG4953" s="333"/>
      <c r="BH4953" s="1119"/>
      <c r="BI4953" s="319"/>
      <c r="BJ4953" s="319"/>
      <c r="BK4953" s="319"/>
      <c r="BL4953" s="319"/>
      <c r="BM4953" s="319"/>
      <c r="BN4953" s="319"/>
      <c r="BO4953" s="319"/>
      <c r="BP4953" s="953"/>
      <c r="BQ4953" s="319"/>
      <c r="BR4953" s="319"/>
      <c r="BS4953" s="330"/>
      <c r="BT4953" s="331"/>
      <c r="BU4953" s="920"/>
      <c r="BV4953" s="903"/>
      <c r="BW4953" s="908"/>
      <c r="BX4953" s="908"/>
      <c r="BY4953" s="331"/>
      <c r="BZ4953" s="331"/>
      <c r="CA4953" s="462"/>
      <c r="CB4953" s="319"/>
      <c r="CC4953" s="319"/>
      <c r="CD4953" s="319"/>
      <c r="CE4953" s="319"/>
      <c r="CF4953" s="319"/>
      <c r="CG4953" s="319"/>
      <c r="CH4953" s="318"/>
      <c r="CI4953" s="319"/>
      <c r="CJ4953" s="319"/>
      <c r="CK4953" s="342"/>
      <c r="CL4953" s="333"/>
      <c r="CM4953" s="1079"/>
      <c r="CN4953" s="1005"/>
      <c r="CO4953" s="1005"/>
      <c r="CP4953" s="1005"/>
    </row>
    <row r="4954">
      <c r="A4954" s="1257"/>
      <c r="B4954" s="1113"/>
      <c r="C4954" s="1107"/>
      <c r="D4954" s="103"/>
      <c r="E4954" s="1137"/>
      <c r="F4954" s="112"/>
      <c r="G4954" s="1110"/>
      <c r="H4954" s="1138"/>
      <c r="I4954" s="1138"/>
      <c r="J4954" s="1139"/>
      <c r="K4954" s="1111"/>
      <c r="L4954" s="1112"/>
      <c r="M4954" s="1113"/>
      <c r="N4954" s="110"/>
      <c r="O4954" s="1140"/>
      <c r="P4954" s="1115"/>
      <c r="Q4954" s="1116"/>
      <c r="R4954" s="1141"/>
      <c r="S4954" s="1113"/>
      <c r="T4954" s="1143"/>
      <c r="U4954" s="1108"/>
      <c r="V4954" s="1108"/>
      <c r="W4954" s="1108"/>
      <c r="X4954" s="1108"/>
      <c r="Y4954" s="1108"/>
      <c r="Z4954" s="1114"/>
      <c r="AA4954" s="1114"/>
      <c r="AB4954" s="1114"/>
      <c r="AC4954" s="1117"/>
      <c r="AD4954" s="1115"/>
      <c r="AE4954" s="1115"/>
      <c r="AF4954" s="1115"/>
      <c r="AG4954" s="1115"/>
      <c r="AH4954" s="1115"/>
      <c r="AI4954" s="1115"/>
      <c r="AJ4954" s="1117"/>
      <c r="AK4954" s="1118"/>
      <c r="AL4954" s="1115"/>
      <c r="AM4954" s="1115"/>
      <c r="AN4954" s="1115"/>
      <c r="AO4954" s="1115"/>
      <c r="AP4954" s="1115"/>
      <c r="AQ4954" s="1115"/>
      <c r="AR4954" s="1115"/>
      <c r="AS4954" s="1117"/>
      <c r="AT4954" s="1075"/>
      <c r="AU4954" s="1193"/>
      <c r="AV4954" s="330"/>
      <c r="AW4954" s="331"/>
      <c r="AX4954" s="331"/>
      <c r="AY4954" s="331"/>
      <c r="AZ4954" s="331"/>
      <c r="BA4954" s="331"/>
      <c r="BB4954" s="331"/>
      <c r="BC4954" s="331"/>
      <c r="BD4954" s="331"/>
      <c r="BE4954" s="333"/>
      <c r="BF4954" s="330"/>
      <c r="BG4954" s="333"/>
      <c r="BH4954" s="1119"/>
      <c r="BI4954" s="319"/>
      <c r="BJ4954" s="319"/>
      <c r="BK4954" s="319"/>
      <c r="BL4954" s="319"/>
      <c r="BM4954" s="319"/>
      <c r="BN4954" s="319"/>
      <c r="BO4954" s="319"/>
      <c r="BP4954" s="953"/>
      <c r="BQ4954" s="319"/>
      <c r="BR4954" s="319"/>
      <c r="BS4954" s="330"/>
      <c r="BT4954" s="331"/>
      <c r="BU4954" s="920"/>
      <c r="BV4954" s="903"/>
      <c r="BW4954" s="908"/>
      <c r="BX4954" s="908"/>
      <c r="BY4954" s="331"/>
      <c r="BZ4954" s="331"/>
      <c r="CA4954" s="462"/>
      <c r="CB4954" s="319"/>
      <c r="CC4954" s="319"/>
      <c r="CD4954" s="319"/>
      <c r="CE4954" s="319"/>
      <c r="CF4954" s="319"/>
      <c r="CG4954" s="319"/>
      <c r="CH4954" s="318"/>
      <c r="CI4954" s="319"/>
      <c r="CJ4954" s="319"/>
      <c r="CK4954" s="342"/>
      <c r="CL4954" s="333"/>
      <c r="CM4954" s="1079"/>
      <c r="CN4954" s="1005"/>
      <c r="CO4954" s="1005"/>
      <c r="CP4954" s="1005"/>
    </row>
    <row r="4955">
      <c r="A4955" s="1257"/>
      <c r="B4955" s="1113"/>
      <c r="C4955" s="1107"/>
      <c r="D4955" s="103"/>
      <c r="E4955" s="1137"/>
      <c r="F4955" s="112"/>
      <c r="G4955" s="1110"/>
      <c r="H4955" s="1138"/>
      <c r="I4955" s="1138"/>
      <c r="J4955" s="1139"/>
      <c r="K4955" s="1111"/>
      <c r="L4955" s="1112"/>
      <c r="M4955" s="1113"/>
      <c r="N4955" s="110"/>
      <c r="O4955" s="1140"/>
      <c r="P4955" s="1115"/>
      <c r="Q4955" s="1116"/>
      <c r="R4955" s="1141"/>
      <c r="S4955" s="1113"/>
      <c r="T4955" s="1143"/>
      <c r="U4955" s="1108"/>
      <c r="V4955" s="1108"/>
      <c r="W4955" s="1108"/>
      <c r="X4955" s="1108"/>
      <c r="Y4955" s="1108"/>
      <c r="Z4955" s="1114"/>
      <c r="AA4955" s="1114"/>
      <c r="AB4955" s="1114"/>
      <c r="AC4955" s="1117"/>
      <c r="AD4955" s="1115"/>
      <c r="AE4955" s="1115"/>
      <c r="AF4955" s="1115"/>
      <c r="AG4955" s="1115"/>
      <c r="AH4955" s="1115"/>
      <c r="AI4955" s="1115"/>
      <c r="AJ4955" s="1117"/>
      <c r="AK4955" s="1118"/>
      <c r="AL4955" s="1115"/>
      <c r="AM4955" s="1115"/>
      <c r="AN4955" s="1115"/>
      <c r="AO4955" s="1115"/>
      <c r="AP4955" s="1115"/>
      <c r="AQ4955" s="1115"/>
      <c r="AR4955" s="1115"/>
      <c r="AS4955" s="1117"/>
      <c r="AT4955" s="1075"/>
      <c r="AU4955" s="1193"/>
      <c r="AV4955" s="330"/>
      <c r="AW4955" s="331"/>
      <c r="AX4955" s="331"/>
      <c r="AY4955" s="331"/>
      <c r="AZ4955" s="331"/>
      <c r="BA4955" s="331"/>
      <c r="BB4955" s="331"/>
      <c r="BC4955" s="331"/>
      <c r="BD4955" s="331"/>
      <c r="BE4955" s="333"/>
      <c r="BF4955" s="330"/>
      <c r="BG4955" s="333"/>
      <c r="BH4955" s="1119"/>
      <c r="BI4955" s="319"/>
      <c r="BJ4955" s="319"/>
      <c r="BK4955" s="319"/>
      <c r="BL4955" s="319"/>
      <c r="BM4955" s="319"/>
      <c r="BN4955" s="319"/>
      <c r="BO4955" s="319"/>
      <c r="BP4955" s="953"/>
      <c r="BQ4955" s="319"/>
      <c r="BR4955" s="319"/>
      <c r="BS4955" s="330"/>
      <c r="BT4955" s="331"/>
      <c r="BU4955" s="920"/>
      <c r="BV4955" s="903"/>
      <c r="BW4955" s="908"/>
      <c r="BX4955" s="908"/>
      <c r="BY4955" s="331"/>
      <c r="BZ4955" s="331"/>
      <c r="CA4955" s="462"/>
      <c r="CB4955" s="319"/>
      <c r="CC4955" s="319"/>
      <c r="CD4955" s="319"/>
      <c r="CE4955" s="319"/>
      <c r="CF4955" s="319"/>
      <c r="CG4955" s="319"/>
      <c r="CH4955" s="318"/>
      <c r="CI4955" s="319"/>
      <c r="CJ4955" s="319"/>
      <c r="CK4955" s="342"/>
      <c r="CL4955" s="333"/>
      <c r="CM4955" s="1079"/>
      <c r="CN4955" s="1005"/>
      <c r="CO4955" s="1005"/>
      <c r="CP4955" s="1005"/>
    </row>
    <row r="4956">
      <c r="A4956" s="1257"/>
      <c r="B4956" s="1113"/>
      <c r="C4956" s="1107"/>
      <c r="D4956" s="103"/>
      <c r="E4956" s="1137"/>
      <c r="F4956" s="112"/>
      <c r="G4956" s="1110"/>
      <c r="H4956" s="1138"/>
      <c r="I4956" s="1138"/>
      <c r="J4956" s="1139"/>
      <c r="K4956" s="1111"/>
      <c r="L4956" s="1112"/>
      <c r="M4956" s="1113"/>
      <c r="N4956" s="110"/>
      <c r="O4956" s="1140"/>
      <c r="P4956" s="1115"/>
      <c r="Q4956" s="1116"/>
      <c r="R4956" s="1141"/>
      <c r="S4956" s="1113"/>
      <c r="T4956" s="1143"/>
      <c r="U4956" s="1108"/>
      <c r="V4956" s="1108"/>
      <c r="W4956" s="1108"/>
      <c r="X4956" s="1108"/>
      <c r="Y4956" s="1108"/>
      <c r="Z4956" s="1114"/>
      <c r="AA4956" s="1114"/>
      <c r="AB4956" s="1114"/>
      <c r="AC4956" s="1117"/>
      <c r="AD4956" s="1115"/>
      <c r="AE4956" s="1115"/>
      <c r="AF4956" s="1115"/>
      <c r="AG4956" s="1115"/>
      <c r="AH4956" s="1115"/>
      <c r="AI4956" s="1115"/>
      <c r="AJ4956" s="1117"/>
      <c r="AK4956" s="1118"/>
      <c r="AL4956" s="1115"/>
      <c r="AM4956" s="1115"/>
      <c r="AN4956" s="1115"/>
      <c r="AO4956" s="1115"/>
      <c r="AP4956" s="1115"/>
      <c r="AQ4956" s="1115"/>
      <c r="AR4956" s="1115"/>
      <c r="AS4956" s="1117"/>
      <c r="AT4956" s="1075"/>
      <c r="AU4956" s="1193"/>
      <c r="AV4956" s="330"/>
      <c r="AW4956" s="331"/>
      <c r="AX4956" s="331"/>
      <c r="AY4956" s="331"/>
      <c r="AZ4956" s="331"/>
      <c r="BA4956" s="331"/>
      <c r="BB4956" s="331"/>
      <c r="BC4956" s="331"/>
      <c r="BD4956" s="331"/>
      <c r="BE4956" s="333"/>
      <c r="BF4956" s="330"/>
      <c r="BG4956" s="333"/>
      <c r="BH4956" s="1119"/>
      <c r="BI4956" s="319"/>
      <c r="BJ4956" s="319"/>
      <c r="BK4956" s="319"/>
      <c r="BL4956" s="319"/>
      <c r="BM4956" s="319"/>
      <c r="BN4956" s="319"/>
      <c r="BO4956" s="319"/>
      <c r="BP4956" s="953"/>
      <c r="BQ4956" s="319"/>
      <c r="BR4956" s="319"/>
      <c r="BS4956" s="330"/>
      <c r="BT4956" s="331"/>
      <c r="BU4956" s="920"/>
      <c r="BV4956" s="903"/>
      <c r="BW4956" s="908"/>
      <c r="BX4956" s="908"/>
      <c r="BY4956" s="331"/>
      <c r="BZ4956" s="331"/>
      <c r="CA4956" s="462"/>
      <c r="CB4956" s="319"/>
      <c r="CC4956" s="319"/>
      <c r="CD4956" s="319"/>
      <c r="CE4956" s="319"/>
      <c r="CF4956" s="319"/>
      <c r="CG4956" s="319"/>
      <c r="CH4956" s="318"/>
      <c r="CI4956" s="319"/>
      <c r="CJ4956" s="319"/>
      <c r="CK4956" s="342"/>
      <c r="CL4956" s="333"/>
      <c r="CM4956" s="1079"/>
      <c r="CN4956" s="1005"/>
      <c r="CO4956" s="1005"/>
      <c r="CP4956" s="1005"/>
    </row>
    <row r="4957">
      <c r="A4957" s="1257"/>
      <c r="B4957" s="1113"/>
      <c r="C4957" s="1107"/>
      <c r="D4957" s="103"/>
      <c r="E4957" s="1137"/>
      <c r="F4957" s="112"/>
      <c r="G4957" s="1110"/>
      <c r="H4957" s="1138"/>
      <c r="I4957" s="1138"/>
      <c r="J4957" s="1139"/>
      <c r="K4957" s="1111"/>
      <c r="L4957" s="1112"/>
      <c r="M4957" s="1113"/>
      <c r="N4957" s="110"/>
      <c r="O4957" s="1140"/>
      <c r="P4957" s="1115"/>
      <c r="Q4957" s="1116"/>
      <c r="R4957" s="1141"/>
      <c r="S4957" s="1113"/>
      <c r="T4957" s="1143"/>
      <c r="U4957" s="1108"/>
      <c r="V4957" s="1108"/>
      <c r="W4957" s="1108"/>
      <c r="X4957" s="1108"/>
      <c r="Y4957" s="1108"/>
      <c r="Z4957" s="1114"/>
      <c r="AA4957" s="1114"/>
      <c r="AB4957" s="1114"/>
      <c r="AC4957" s="1117"/>
      <c r="AD4957" s="1115"/>
      <c r="AE4957" s="1115"/>
      <c r="AF4957" s="1115"/>
      <c r="AG4957" s="1115"/>
      <c r="AH4957" s="1115"/>
      <c r="AI4957" s="1115"/>
      <c r="AJ4957" s="1117"/>
      <c r="AK4957" s="1118"/>
      <c r="AL4957" s="1115"/>
      <c r="AM4957" s="1115"/>
      <c r="AN4957" s="1115"/>
      <c r="AO4957" s="1115"/>
      <c r="AP4957" s="1115"/>
      <c r="AQ4957" s="1115"/>
      <c r="AR4957" s="1115"/>
      <c r="AS4957" s="1117"/>
      <c r="AT4957" s="1075"/>
      <c r="AU4957" s="1193"/>
      <c r="AV4957" s="330"/>
      <c r="AW4957" s="331"/>
      <c r="AX4957" s="331"/>
      <c r="AY4957" s="331"/>
      <c r="AZ4957" s="331"/>
      <c r="BA4957" s="331"/>
      <c r="BB4957" s="331"/>
      <c r="BC4957" s="331"/>
      <c r="BD4957" s="331"/>
      <c r="BE4957" s="333"/>
      <c r="BF4957" s="330"/>
      <c r="BG4957" s="333"/>
      <c r="BH4957" s="1119"/>
      <c r="BI4957" s="319"/>
      <c r="BJ4957" s="319"/>
      <c r="BK4957" s="319"/>
      <c r="BL4957" s="319"/>
      <c r="BM4957" s="319"/>
      <c r="BN4957" s="319"/>
      <c r="BO4957" s="319"/>
      <c r="BP4957" s="953"/>
      <c r="BQ4957" s="319"/>
      <c r="BR4957" s="319"/>
      <c r="BS4957" s="330"/>
      <c r="BT4957" s="331"/>
      <c r="BU4957" s="920"/>
      <c r="BV4957" s="903"/>
      <c r="BW4957" s="908"/>
      <c r="BX4957" s="908"/>
      <c r="BY4957" s="331"/>
      <c r="BZ4957" s="331"/>
      <c r="CA4957" s="462"/>
      <c r="CB4957" s="319"/>
      <c r="CC4957" s="319"/>
      <c r="CD4957" s="319"/>
      <c r="CE4957" s="319"/>
      <c r="CF4957" s="319"/>
      <c r="CG4957" s="319"/>
      <c r="CH4957" s="318"/>
      <c r="CI4957" s="319"/>
      <c r="CJ4957" s="319"/>
      <c r="CK4957" s="342"/>
      <c r="CL4957" s="333"/>
      <c r="CM4957" s="1079"/>
      <c r="CN4957" s="1005"/>
      <c r="CO4957" s="1005"/>
      <c r="CP4957" s="1005"/>
    </row>
    <row r="4958">
      <c r="A4958" s="1257"/>
      <c r="B4958" s="1113"/>
      <c r="C4958" s="1107"/>
      <c r="D4958" s="103"/>
      <c r="E4958" s="1137"/>
      <c r="F4958" s="112"/>
      <c r="G4958" s="1110"/>
      <c r="H4958" s="1138"/>
      <c r="I4958" s="1138"/>
      <c r="J4958" s="1139"/>
      <c r="K4958" s="1111"/>
      <c r="L4958" s="1112"/>
      <c r="M4958" s="1113"/>
      <c r="N4958" s="110"/>
      <c r="O4958" s="1140"/>
      <c r="P4958" s="1115"/>
      <c r="Q4958" s="1116"/>
      <c r="R4958" s="1141"/>
      <c r="S4958" s="1113"/>
      <c r="T4958" s="1143"/>
      <c r="U4958" s="1108"/>
      <c r="V4958" s="1108"/>
      <c r="W4958" s="1108"/>
      <c r="X4958" s="1108"/>
      <c r="Y4958" s="1108"/>
      <c r="Z4958" s="1114"/>
      <c r="AA4958" s="1114"/>
      <c r="AB4958" s="1114"/>
      <c r="AC4958" s="1117"/>
      <c r="AD4958" s="1115"/>
      <c r="AE4958" s="1115"/>
      <c r="AF4958" s="1115"/>
      <c r="AG4958" s="1115"/>
      <c r="AH4958" s="1115"/>
      <c r="AI4958" s="1115"/>
      <c r="AJ4958" s="1117"/>
      <c r="AK4958" s="1118"/>
      <c r="AL4958" s="1115"/>
      <c r="AM4958" s="1115"/>
      <c r="AN4958" s="1115"/>
      <c r="AO4958" s="1115"/>
      <c r="AP4958" s="1115"/>
      <c r="AQ4958" s="1115"/>
      <c r="AR4958" s="1115"/>
      <c r="AS4958" s="1117"/>
      <c r="AT4958" s="1075"/>
      <c r="AU4958" s="1193"/>
      <c r="AV4958" s="330"/>
      <c r="AW4958" s="331"/>
      <c r="AX4958" s="331"/>
      <c r="AY4958" s="331"/>
      <c r="AZ4958" s="331"/>
      <c r="BA4958" s="331"/>
      <c r="BB4958" s="331"/>
      <c r="BC4958" s="331"/>
      <c r="BD4958" s="331"/>
      <c r="BE4958" s="333"/>
      <c r="BF4958" s="330"/>
      <c r="BG4958" s="333"/>
      <c r="BH4958" s="1119"/>
      <c r="BI4958" s="319"/>
      <c r="BJ4958" s="319"/>
      <c r="BK4958" s="319"/>
      <c r="BL4958" s="319"/>
      <c r="BM4958" s="319"/>
      <c r="BN4958" s="319"/>
      <c r="BO4958" s="319"/>
      <c r="BP4958" s="953"/>
      <c r="BQ4958" s="319"/>
      <c r="BR4958" s="319"/>
      <c r="BS4958" s="330"/>
      <c r="BT4958" s="331"/>
      <c r="BU4958" s="920"/>
      <c r="BV4958" s="903"/>
      <c r="BW4958" s="908"/>
      <c r="BX4958" s="908"/>
      <c r="BY4958" s="331"/>
      <c r="BZ4958" s="331"/>
      <c r="CA4958" s="462"/>
      <c r="CB4958" s="319"/>
      <c r="CC4958" s="319"/>
      <c r="CD4958" s="319"/>
      <c r="CE4958" s="319"/>
      <c r="CF4958" s="319"/>
      <c r="CG4958" s="319"/>
      <c r="CH4958" s="318"/>
      <c r="CI4958" s="319"/>
      <c r="CJ4958" s="319"/>
      <c r="CK4958" s="342"/>
      <c r="CL4958" s="333"/>
      <c r="CM4958" s="1079"/>
      <c r="CN4958" s="1005"/>
      <c r="CO4958" s="1005"/>
      <c r="CP4958" s="1005"/>
    </row>
    <row r="4959">
      <c r="A4959" s="1257"/>
      <c r="B4959" s="1113"/>
      <c r="C4959" s="1107"/>
      <c r="D4959" s="103"/>
      <c r="E4959" s="1137"/>
      <c r="F4959" s="112"/>
      <c r="G4959" s="1110"/>
      <c r="H4959" s="1138"/>
      <c r="I4959" s="1138"/>
      <c r="J4959" s="1139"/>
      <c r="K4959" s="1111"/>
      <c r="L4959" s="1112"/>
      <c r="M4959" s="1113"/>
      <c r="N4959" s="110"/>
      <c r="O4959" s="1140"/>
      <c r="P4959" s="1115"/>
      <c r="Q4959" s="1116"/>
      <c r="R4959" s="1141"/>
      <c r="S4959" s="1113"/>
      <c r="T4959" s="1143"/>
      <c r="U4959" s="1108"/>
      <c r="V4959" s="1108"/>
      <c r="W4959" s="1108"/>
      <c r="X4959" s="1108"/>
      <c r="Y4959" s="1108"/>
      <c r="Z4959" s="1114"/>
      <c r="AA4959" s="1114"/>
      <c r="AB4959" s="1114"/>
      <c r="AC4959" s="1117"/>
      <c r="AD4959" s="1115"/>
      <c r="AE4959" s="1115"/>
      <c r="AF4959" s="1115"/>
      <c r="AG4959" s="1115"/>
      <c r="AH4959" s="1115"/>
      <c r="AI4959" s="1115"/>
      <c r="AJ4959" s="1117"/>
      <c r="AK4959" s="1118"/>
      <c r="AL4959" s="1115"/>
      <c r="AM4959" s="1115"/>
      <c r="AN4959" s="1115"/>
      <c r="AO4959" s="1115"/>
      <c r="AP4959" s="1115"/>
      <c r="AQ4959" s="1115"/>
      <c r="AR4959" s="1115"/>
      <c r="AS4959" s="1117"/>
      <c r="AT4959" s="1075"/>
      <c r="AU4959" s="1193"/>
      <c r="AV4959" s="330"/>
      <c r="AW4959" s="331"/>
      <c r="AX4959" s="331"/>
      <c r="AY4959" s="331"/>
      <c r="AZ4959" s="331"/>
      <c r="BA4959" s="331"/>
      <c r="BB4959" s="331"/>
      <c r="BC4959" s="331"/>
      <c r="BD4959" s="331"/>
      <c r="BE4959" s="333"/>
      <c r="BF4959" s="330"/>
      <c r="BG4959" s="333"/>
      <c r="BH4959" s="1119"/>
      <c r="BI4959" s="319"/>
      <c r="BJ4959" s="319"/>
      <c r="BK4959" s="319"/>
      <c r="BL4959" s="319"/>
      <c r="BM4959" s="319"/>
      <c r="BN4959" s="319"/>
      <c r="BO4959" s="319"/>
      <c r="BP4959" s="953"/>
      <c r="BQ4959" s="319"/>
      <c r="BR4959" s="319"/>
      <c r="BS4959" s="330"/>
      <c r="BT4959" s="331"/>
      <c r="BU4959" s="920"/>
      <c r="BV4959" s="903"/>
      <c r="BW4959" s="908"/>
      <c r="BX4959" s="908"/>
      <c r="BY4959" s="331"/>
      <c r="BZ4959" s="331"/>
      <c r="CA4959" s="462"/>
      <c r="CB4959" s="319"/>
      <c r="CC4959" s="319"/>
      <c r="CD4959" s="319"/>
      <c r="CE4959" s="319"/>
      <c r="CF4959" s="319"/>
      <c r="CG4959" s="319"/>
      <c r="CH4959" s="318"/>
      <c r="CI4959" s="319"/>
      <c r="CJ4959" s="319"/>
      <c r="CK4959" s="342"/>
      <c r="CL4959" s="333"/>
      <c r="CM4959" s="1079"/>
      <c r="CN4959" s="1005"/>
      <c r="CO4959" s="1005"/>
      <c r="CP4959" s="1005"/>
    </row>
    <row r="4960">
      <c r="A4960" s="1257"/>
      <c r="B4960" s="1113"/>
      <c r="C4960" s="1107"/>
      <c r="D4960" s="103"/>
      <c r="E4960" s="1137"/>
      <c r="F4960" s="112"/>
      <c r="G4960" s="1110"/>
      <c r="H4960" s="1138"/>
      <c r="I4960" s="1138"/>
      <c r="J4960" s="1139"/>
      <c r="K4960" s="1111"/>
      <c r="L4960" s="1112"/>
      <c r="M4960" s="1113"/>
      <c r="N4960" s="110"/>
      <c r="O4960" s="1140"/>
      <c r="P4960" s="1115"/>
      <c r="Q4960" s="1116"/>
      <c r="R4960" s="1141"/>
      <c r="S4960" s="1113"/>
      <c r="T4960" s="1143"/>
      <c r="U4960" s="1108"/>
      <c r="V4960" s="1108"/>
      <c r="W4960" s="1108"/>
      <c r="X4960" s="1108"/>
      <c r="Y4960" s="1108"/>
      <c r="Z4960" s="1114"/>
      <c r="AA4960" s="1114"/>
      <c r="AB4960" s="1114"/>
      <c r="AC4960" s="1117"/>
      <c r="AD4960" s="1115"/>
      <c r="AE4960" s="1115"/>
      <c r="AF4960" s="1115"/>
      <c r="AG4960" s="1115"/>
      <c r="AH4960" s="1115"/>
      <c r="AI4960" s="1115"/>
      <c r="AJ4960" s="1117"/>
      <c r="AK4960" s="1118"/>
      <c r="AL4960" s="1115"/>
      <c r="AM4960" s="1115"/>
      <c r="AN4960" s="1115"/>
      <c r="AO4960" s="1115"/>
      <c r="AP4960" s="1115"/>
      <c r="AQ4960" s="1115"/>
      <c r="AR4960" s="1115"/>
      <c r="AS4960" s="1117"/>
      <c r="AT4960" s="1075"/>
      <c r="AU4960" s="1193"/>
      <c r="AV4960" s="330"/>
      <c r="AW4960" s="331"/>
      <c r="AX4960" s="331"/>
      <c r="AY4960" s="331"/>
      <c r="AZ4960" s="331"/>
      <c r="BA4960" s="331"/>
      <c r="BB4960" s="331"/>
      <c r="BC4960" s="331"/>
      <c r="BD4960" s="331"/>
      <c r="BE4960" s="333"/>
      <c r="BF4960" s="330"/>
      <c r="BG4960" s="333"/>
      <c r="BH4960" s="1119"/>
      <c r="BI4960" s="319"/>
      <c r="BJ4960" s="319"/>
      <c r="BK4960" s="319"/>
      <c r="BL4960" s="319"/>
      <c r="BM4960" s="319"/>
      <c r="BN4960" s="319"/>
      <c r="BO4960" s="319"/>
      <c r="BP4960" s="953"/>
      <c r="BQ4960" s="319"/>
      <c r="BR4960" s="319"/>
      <c r="BS4960" s="330"/>
      <c r="BT4960" s="331"/>
      <c r="BU4960" s="920"/>
      <c r="BV4960" s="903"/>
      <c r="BW4960" s="908"/>
      <c r="BX4960" s="908"/>
      <c r="BY4960" s="331"/>
      <c r="BZ4960" s="331"/>
      <c r="CA4960" s="462"/>
      <c r="CB4960" s="319"/>
      <c r="CC4960" s="319"/>
      <c r="CD4960" s="319"/>
      <c r="CE4960" s="319"/>
      <c r="CF4960" s="319"/>
      <c r="CG4960" s="319"/>
      <c r="CH4960" s="318"/>
      <c r="CI4960" s="319"/>
      <c r="CJ4960" s="319"/>
      <c r="CK4960" s="342"/>
      <c r="CL4960" s="333"/>
      <c r="CM4960" s="1079"/>
      <c r="CN4960" s="1005"/>
      <c r="CO4960" s="1005"/>
      <c r="CP4960" s="1005"/>
    </row>
    <row r="4961">
      <c r="A4961" s="1257"/>
      <c r="B4961" s="1113"/>
      <c r="C4961" s="1107"/>
      <c r="D4961" s="103"/>
      <c r="E4961" s="1137"/>
      <c r="F4961" s="112"/>
      <c r="G4961" s="1110"/>
      <c r="H4961" s="1138"/>
      <c r="I4961" s="1138"/>
      <c r="J4961" s="1139"/>
      <c r="K4961" s="1111"/>
      <c r="L4961" s="1112"/>
      <c r="M4961" s="1113"/>
      <c r="N4961" s="110"/>
      <c r="O4961" s="1140"/>
      <c r="P4961" s="1115"/>
      <c r="Q4961" s="1116"/>
      <c r="R4961" s="1141"/>
      <c r="S4961" s="1113"/>
      <c r="T4961" s="1143"/>
      <c r="U4961" s="1108"/>
      <c r="V4961" s="1108"/>
      <c r="W4961" s="1108"/>
      <c r="X4961" s="1108"/>
      <c r="Y4961" s="1108"/>
      <c r="Z4961" s="1114"/>
      <c r="AA4961" s="1114"/>
      <c r="AB4961" s="1114"/>
      <c r="AC4961" s="1117"/>
      <c r="AD4961" s="1115"/>
      <c r="AE4961" s="1115"/>
      <c r="AF4961" s="1115"/>
      <c r="AG4961" s="1115"/>
      <c r="AH4961" s="1115"/>
      <c r="AI4961" s="1115"/>
      <c r="AJ4961" s="1117"/>
      <c r="AK4961" s="1118"/>
      <c r="AL4961" s="1115"/>
      <c r="AM4961" s="1115"/>
      <c r="AN4961" s="1115"/>
      <c r="AO4961" s="1115"/>
      <c r="AP4961" s="1115"/>
      <c r="AQ4961" s="1115"/>
      <c r="AR4961" s="1115"/>
      <c r="AS4961" s="1117"/>
      <c r="AT4961" s="1075"/>
      <c r="AU4961" s="1193"/>
      <c r="AV4961" s="330"/>
      <c r="AW4961" s="331"/>
      <c r="AX4961" s="331"/>
      <c r="AY4961" s="331"/>
      <c r="AZ4961" s="331"/>
      <c r="BA4961" s="331"/>
      <c r="BB4961" s="331"/>
      <c r="BC4961" s="331"/>
      <c r="BD4961" s="331"/>
      <c r="BE4961" s="333"/>
      <c r="BF4961" s="330"/>
      <c r="BG4961" s="333"/>
      <c r="BH4961" s="1119"/>
      <c r="BI4961" s="319"/>
      <c r="BJ4961" s="319"/>
      <c r="BK4961" s="319"/>
      <c r="BL4961" s="319"/>
      <c r="BM4961" s="319"/>
      <c r="BN4961" s="319"/>
      <c r="BO4961" s="319"/>
      <c r="BP4961" s="953"/>
      <c r="BQ4961" s="319"/>
      <c r="BR4961" s="319"/>
      <c r="BS4961" s="330"/>
      <c r="BT4961" s="331"/>
      <c r="BU4961" s="920"/>
      <c r="BV4961" s="903"/>
      <c r="BW4961" s="908"/>
      <c r="BX4961" s="908"/>
      <c r="BY4961" s="331"/>
      <c r="BZ4961" s="331"/>
      <c r="CA4961" s="462"/>
      <c r="CB4961" s="319"/>
      <c r="CC4961" s="319"/>
      <c r="CD4961" s="319"/>
      <c r="CE4961" s="319"/>
      <c r="CF4961" s="319"/>
      <c r="CG4961" s="319"/>
      <c r="CH4961" s="318"/>
      <c r="CI4961" s="319"/>
      <c r="CJ4961" s="319"/>
      <c r="CK4961" s="342"/>
      <c r="CL4961" s="333"/>
      <c r="CM4961" s="1079"/>
      <c r="CN4961" s="1005"/>
      <c r="CO4961" s="1005"/>
      <c r="CP4961" s="1005"/>
    </row>
    <row r="4962">
      <c r="A4962" s="1257"/>
      <c r="B4962" s="1113"/>
      <c r="C4962" s="1107"/>
      <c r="D4962" s="103"/>
      <c r="E4962" s="1137"/>
      <c r="F4962" s="112"/>
      <c r="G4962" s="1110"/>
      <c r="H4962" s="1138"/>
      <c r="I4962" s="1138"/>
      <c r="J4962" s="1139"/>
      <c r="K4962" s="1111"/>
      <c r="L4962" s="1112"/>
      <c r="M4962" s="1113"/>
      <c r="N4962" s="110"/>
      <c r="O4962" s="1140"/>
      <c r="P4962" s="1115"/>
      <c r="Q4962" s="1116"/>
      <c r="R4962" s="1141"/>
      <c r="S4962" s="1113"/>
      <c r="T4962" s="1143"/>
      <c r="U4962" s="1108"/>
      <c r="V4962" s="1108"/>
      <c r="W4962" s="1108"/>
      <c r="X4962" s="1108"/>
      <c r="Y4962" s="1108"/>
      <c r="Z4962" s="1114"/>
      <c r="AA4962" s="1114"/>
      <c r="AB4962" s="1114"/>
      <c r="AC4962" s="1117"/>
      <c r="AD4962" s="1115"/>
      <c r="AE4962" s="1115"/>
      <c r="AF4962" s="1115"/>
      <c r="AG4962" s="1115"/>
      <c r="AH4962" s="1115"/>
      <c r="AI4962" s="1115"/>
      <c r="AJ4962" s="1117"/>
      <c r="AK4962" s="1118"/>
      <c r="AL4962" s="1115"/>
      <c r="AM4962" s="1115"/>
      <c r="AN4962" s="1115"/>
      <c r="AO4962" s="1115"/>
      <c r="AP4962" s="1115"/>
      <c r="AQ4962" s="1115"/>
      <c r="AR4962" s="1115"/>
      <c r="AS4962" s="1117"/>
      <c r="AT4962" s="1075"/>
      <c r="AU4962" s="1193"/>
      <c r="AV4962" s="330"/>
      <c r="AW4962" s="331"/>
      <c r="AX4962" s="331"/>
      <c r="AY4962" s="331"/>
      <c r="AZ4962" s="331"/>
      <c r="BA4962" s="331"/>
      <c r="BB4962" s="331"/>
      <c r="BC4962" s="331"/>
      <c r="BD4962" s="331"/>
      <c r="BE4962" s="333"/>
      <c r="BF4962" s="330"/>
      <c r="BG4962" s="333"/>
      <c r="BH4962" s="1119"/>
      <c r="BI4962" s="319"/>
      <c r="BJ4962" s="319"/>
      <c r="BK4962" s="319"/>
      <c r="BL4962" s="319"/>
      <c r="BM4962" s="319"/>
      <c r="BN4962" s="319"/>
      <c r="BO4962" s="319"/>
      <c r="BP4962" s="953"/>
      <c r="BQ4962" s="319"/>
      <c r="BR4962" s="319"/>
      <c r="BS4962" s="330"/>
      <c r="BT4962" s="331"/>
      <c r="BU4962" s="920"/>
      <c r="BV4962" s="903"/>
      <c r="BW4962" s="908"/>
      <c r="BX4962" s="908"/>
      <c r="BY4962" s="331"/>
      <c r="BZ4962" s="331"/>
      <c r="CA4962" s="462"/>
      <c r="CB4962" s="319"/>
      <c r="CC4962" s="319"/>
      <c r="CD4962" s="319"/>
      <c r="CE4962" s="319"/>
      <c r="CF4962" s="319"/>
      <c r="CG4962" s="319"/>
      <c r="CH4962" s="318"/>
      <c r="CI4962" s="319"/>
      <c r="CJ4962" s="319"/>
      <c r="CK4962" s="342"/>
      <c r="CL4962" s="333"/>
      <c r="CM4962" s="1079"/>
      <c r="CN4962" s="1005"/>
      <c r="CO4962" s="1005"/>
      <c r="CP4962" s="1005"/>
    </row>
    <row r="4963">
      <c r="A4963" s="1257"/>
      <c r="B4963" s="1113"/>
      <c r="C4963" s="1107"/>
      <c r="D4963" s="103"/>
      <c r="E4963" s="1137"/>
      <c r="F4963" s="112"/>
      <c r="G4963" s="1110"/>
      <c r="H4963" s="1138"/>
      <c r="I4963" s="1138"/>
      <c r="J4963" s="1139"/>
      <c r="K4963" s="1111"/>
      <c r="L4963" s="1112"/>
      <c r="M4963" s="1113"/>
      <c r="N4963" s="110"/>
      <c r="O4963" s="1140"/>
      <c r="P4963" s="1115"/>
      <c r="Q4963" s="1116"/>
      <c r="R4963" s="1141"/>
      <c r="S4963" s="1113"/>
      <c r="T4963" s="1143"/>
      <c r="U4963" s="1108"/>
      <c r="V4963" s="1108"/>
      <c r="W4963" s="1108"/>
      <c r="X4963" s="1108"/>
      <c r="Y4963" s="1108"/>
      <c r="Z4963" s="1114"/>
      <c r="AA4963" s="1114"/>
      <c r="AB4963" s="1114"/>
      <c r="AC4963" s="1117"/>
      <c r="AD4963" s="1115"/>
      <c r="AE4963" s="1115"/>
      <c r="AF4963" s="1115"/>
      <c r="AG4963" s="1115"/>
      <c r="AH4963" s="1115"/>
      <c r="AI4963" s="1115"/>
      <c r="AJ4963" s="1117"/>
      <c r="AK4963" s="1118"/>
      <c r="AL4963" s="1115"/>
      <c r="AM4963" s="1115"/>
      <c r="AN4963" s="1115"/>
      <c r="AO4963" s="1115"/>
      <c r="AP4963" s="1115"/>
      <c r="AQ4963" s="1115"/>
      <c r="AR4963" s="1115"/>
      <c r="AS4963" s="1117"/>
      <c r="AT4963" s="1075"/>
      <c r="AU4963" s="1193"/>
      <c r="AV4963" s="330"/>
      <c r="AW4963" s="331"/>
      <c r="AX4963" s="331"/>
      <c r="AY4963" s="331"/>
      <c r="AZ4963" s="331"/>
      <c r="BA4963" s="331"/>
      <c r="BB4963" s="331"/>
      <c r="BC4963" s="331"/>
      <c r="BD4963" s="331"/>
      <c r="BE4963" s="333"/>
      <c r="BF4963" s="330"/>
      <c r="BG4963" s="333"/>
      <c r="BH4963" s="1119"/>
      <c r="BI4963" s="319"/>
      <c r="BJ4963" s="319"/>
      <c r="BK4963" s="319"/>
      <c r="BL4963" s="319"/>
      <c r="BM4963" s="319"/>
      <c r="BN4963" s="319"/>
      <c r="BO4963" s="319"/>
      <c r="BP4963" s="953"/>
      <c r="BQ4963" s="319"/>
      <c r="BR4963" s="319"/>
      <c r="BS4963" s="330"/>
      <c r="BT4963" s="331"/>
      <c r="BU4963" s="920"/>
      <c r="BV4963" s="903"/>
      <c r="BW4963" s="908"/>
      <c r="BX4963" s="908"/>
      <c r="BY4963" s="331"/>
      <c r="BZ4963" s="331"/>
      <c r="CA4963" s="462"/>
      <c r="CB4963" s="319"/>
      <c r="CC4963" s="319"/>
      <c r="CD4963" s="319"/>
      <c r="CE4963" s="319"/>
      <c r="CF4963" s="319"/>
      <c r="CG4963" s="319"/>
      <c r="CH4963" s="318"/>
      <c r="CI4963" s="319"/>
      <c r="CJ4963" s="319"/>
      <c r="CK4963" s="342"/>
      <c r="CL4963" s="333"/>
      <c r="CM4963" s="1079"/>
      <c r="CN4963" s="1005"/>
      <c r="CO4963" s="1005"/>
      <c r="CP4963" s="1005"/>
    </row>
    <row r="4964">
      <c r="A4964" s="1257"/>
      <c r="B4964" s="1113"/>
      <c r="C4964" s="1107"/>
      <c r="D4964" s="103"/>
      <c r="E4964" s="1137"/>
      <c r="F4964" s="112"/>
      <c r="G4964" s="1110"/>
      <c r="H4964" s="1138"/>
      <c r="I4964" s="1138"/>
      <c r="J4964" s="1139"/>
      <c r="K4964" s="1111"/>
      <c r="L4964" s="1112"/>
      <c r="M4964" s="1113"/>
      <c r="N4964" s="110"/>
      <c r="O4964" s="1140"/>
      <c r="P4964" s="1115"/>
      <c r="Q4964" s="1116"/>
      <c r="R4964" s="1141"/>
      <c r="S4964" s="1113"/>
      <c r="T4964" s="1143"/>
      <c r="U4964" s="1108"/>
      <c r="V4964" s="1108"/>
      <c r="W4964" s="1108"/>
      <c r="X4964" s="1108"/>
      <c r="Y4964" s="1108"/>
      <c r="Z4964" s="1114"/>
      <c r="AA4964" s="1114"/>
      <c r="AB4964" s="1114"/>
      <c r="AC4964" s="1117"/>
      <c r="AD4964" s="1115"/>
      <c r="AE4964" s="1115"/>
      <c r="AF4964" s="1115"/>
      <c r="AG4964" s="1115"/>
      <c r="AH4964" s="1115"/>
      <c r="AI4964" s="1115"/>
      <c r="AJ4964" s="1117"/>
      <c r="AK4964" s="1118"/>
      <c r="AL4964" s="1115"/>
      <c r="AM4964" s="1115"/>
      <c r="AN4964" s="1115"/>
      <c r="AO4964" s="1115"/>
      <c r="AP4964" s="1115"/>
      <c r="AQ4964" s="1115"/>
      <c r="AR4964" s="1115"/>
      <c r="AS4964" s="1117"/>
      <c r="AT4964" s="1075"/>
      <c r="AU4964" s="1193"/>
      <c r="AV4964" s="330"/>
      <c r="AW4964" s="331"/>
      <c r="AX4964" s="331"/>
      <c r="AY4964" s="331"/>
      <c r="AZ4964" s="331"/>
      <c r="BA4964" s="331"/>
      <c r="BB4964" s="331"/>
      <c r="BC4964" s="331"/>
      <c r="BD4964" s="331"/>
      <c r="BE4964" s="333"/>
      <c r="BF4964" s="330"/>
      <c r="BG4964" s="333"/>
      <c r="BH4964" s="1119"/>
      <c r="BI4964" s="319"/>
      <c r="BJ4964" s="319"/>
      <c r="BK4964" s="319"/>
      <c r="BL4964" s="319"/>
      <c r="BM4964" s="319"/>
      <c r="BN4964" s="319"/>
      <c r="BO4964" s="319"/>
      <c r="BP4964" s="953"/>
      <c r="BQ4964" s="319"/>
      <c r="BR4964" s="319"/>
      <c r="BS4964" s="330"/>
      <c r="BT4964" s="331"/>
      <c r="BU4964" s="920"/>
      <c r="BV4964" s="903"/>
      <c r="BW4964" s="908"/>
      <c r="BX4964" s="908"/>
      <c r="BY4964" s="331"/>
      <c r="BZ4964" s="331"/>
      <c r="CA4964" s="462"/>
      <c r="CB4964" s="319"/>
      <c r="CC4964" s="319"/>
      <c r="CD4964" s="319"/>
      <c r="CE4964" s="319"/>
      <c r="CF4964" s="319"/>
      <c r="CG4964" s="319"/>
      <c r="CH4964" s="318"/>
      <c r="CI4964" s="319"/>
      <c r="CJ4964" s="319"/>
      <c r="CK4964" s="342"/>
      <c r="CL4964" s="333"/>
      <c r="CM4964" s="1079"/>
      <c r="CN4964" s="1005"/>
      <c r="CO4964" s="1005"/>
      <c r="CP4964" s="1005"/>
    </row>
    <row r="4965">
      <c r="A4965" s="1257"/>
      <c r="B4965" s="1113"/>
      <c r="C4965" s="1107"/>
      <c r="D4965" s="103"/>
      <c r="E4965" s="1137"/>
      <c r="F4965" s="112"/>
      <c r="G4965" s="1110"/>
      <c r="H4965" s="1138"/>
      <c r="I4965" s="1138"/>
      <c r="J4965" s="1139"/>
      <c r="K4965" s="1111"/>
      <c r="L4965" s="1112"/>
      <c r="M4965" s="1113"/>
      <c r="N4965" s="110"/>
      <c r="O4965" s="1140"/>
      <c r="P4965" s="1115"/>
      <c r="Q4965" s="1116"/>
      <c r="R4965" s="1141"/>
      <c r="S4965" s="1113"/>
      <c r="T4965" s="1143"/>
      <c r="U4965" s="1108"/>
      <c r="V4965" s="1108"/>
      <c r="W4965" s="1108"/>
      <c r="X4965" s="1108"/>
      <c r="Y4965" s="1108"/>
      <c r="Z4965" s="1114"/>
      <c r="AA4965" s="1114"/>
      <c r="AB4965" s="1114"/>
      <c r="AC4965" s="1117"/>
      <c r="AD4965" s="1115"/>
      <c r="AE4965" s="1115"/>
      <c r="AF4965" s="1115"/>
      <c r="AG4965" s="1115"/>
      <c r="AH4965" s="1115"/>
      <c r="AI4965" s="1115"/>
      <c r="AJ4965" s="1117"/>
      <c r="AK4965" s="1118"/>
      <c r="AL4965" s="1115"/>
      <c r="AM4965" s="1115"/>
      <c r="AN4965" s="1115"/>
      <c r="AO4965" s="1115"/>
      <c r="AP4965" s="1115"/>
      <c r="AQ4965" s="1115"/>
      <c r="AR4965" s="1115"/>
      <c r="AS4965" s="1117"/>
      <c r="AT4965" s="1075"/>
      <c r="AU4965" s="1193"/>
      <c r="AV4965" s="330"/>
      <c r="AW4965" s="331"/>
      <c r="AX4965" s="331"/>
      <c r="AY4965" s="331"/>
      <c r="AZ4965" s="331"/>
      <c r="BA4965" s="331"/>
      <c r="BB4965" s="331"/>
      <c r="BC4965" s="331"/>
      <c r="BD4965" s="331"/>
      <c r="BE4965" s="333"/>
      <c r="BF4965" s="330"/>
      <c r="BG4965" s="333"/>
      <c r="BH4965" s="1119"/>
      <c r="BI4965" s="319"/>
      <c r="BJ4965" s="319"/>
      <c r="BK4965" s="319"/>
      <c r="BL4965" s="319"/>
      <c r="BM4965" s="319"/>
      <c r="BN4965" s="319"/>
      <c r="BO4965" s="319"/>
      <c r="BP4965" s="953"/>
      <c r="BQ4965" s="319"/>
      <c r="BR4965" s="319"/>
      <c r="BS4965" s="330"/>
      <c r="BT4965" s="331"/>
      <c r="BU4965" s="920"/>
      <c r="BV4965" s="903"/>
      <c r="BW4965" s="908"/>
      <c r="BX4965" s="908"/>
      <c r="BY4965" s="331"/>
      <c r="BZ4965" s="331"/>
      <c r="CA4965" s="462"/>
      <c r="CB4965" s="319"/>
      <c r="CC4965" s="319"/>
      <c r="CD4965" s="319"/>
      <c r="CE4965" s="319"/>
      <c r="CF4965" s="319"/>
      <c r="CG4965" s="319"/>
      <c r="CH4965" s="318"/>
      <c r="CI4965" s="319"/>
      <c r="CJ4965" s="319"/>
      <c r="CK4965" s="342"/>
      <c r="CL4965" s="333"/>
      <c r="CM4965" s="1079"/>
      <c r="CN4965" s="1005"/>
      <c r="CO4965" s="1005"/>
      <c r="CP4965" s="1005"/>
    </row>
    <row r="4966">
      <c r="A4966" s="1257"/>
      <c r="B4966" s="1113"/>
      <c r="C4966" s="1107"/>
      <c r="D4966" s="103"/>
      <c r="E4966" s="1137"/>
      <c r="F4966" s="112"/>
      <c r="G4966" s="1110"/>
      <c r="H4966" s="1138"/>
      <c r="I4966" s="1138"/>
      <c r="J4966" s="1139"/>
      <c r="K4966" s="1111"/>
      <c r="L4966" s="1112"/>
      <c r="M4966" s="1113"/>
      <c r="N4966" s="110"/>
      <c r="O4966" s="1140"/>
      <c r="P4966" s="1115"/>
      <c r="Q4966" s="1116"/>
      <c r="R4966" s="1141"/>
      <c r="S4966" s="1113"/>
      <c r="T4966" s="1143"/>
      <c r="U4966" s="1108"/>
      <c r="V4966" s="1108"/>
      <c r="W4966" s="1108"/>
      <c r="X4966" s="1108"/>
      <c r="Y4966" s="1108"/>
      <c r="Z4966" s="1114"/>
      <c r="AA4966" s="1114"/>
      <c r="AB4966" s="1114"/>
      <c r="AC4966" s="1117"/>
      <c r="AD4966" s="1115"/>
      <c r="AE4966" s="1115"/>
      <c r="AF4966" s="1115"/>
      <c r="AG4966" s="1115"/>
      <c r="AH4966" s="1115"/>
      <c r="AI4966" s="1115"/>
      <c r="AJ4966" s="1117"/>
      <c r="AK4966" s="1118"/>
      <c r="AL4966" s="1115"/>
      <c r="AM4966" s="1115"/>
      <c r="AN4966" s="1115"/>
      <c r="AO4966" s="1115"/>
      <c r="AP4966" s="1115"/>
      <c r="AQ4966" s="1115"/>
      <c r="AR4966" s="1115"/>
      <c r="AS4966" s="1117"/>
      <c r="AT4966" s="1075"/>
      <c r="AU4966" s="1193"/>
      <c r="AV4966" s="330"/>
      <c r="AW4966" s="331"/>
      <c r="AX4966" s="331"/>
      <c r="AY4966" s="331"/>
      <c r="AZ4966" s="331"/>
      <c r="BA4966" s="331"/>
      <c r="BB4966" s="331"/>
      <c r="BC4966" s="331"/>
      <c r="BD4966" s="331"/>
      <c r="BE4966" s="333"/>
      <c r="BF4966" s="330"/>
      <c r="BG4966" s="333"/>
      <c r="BH4966" s="1119"/>
      <c r="BI4966" s="319"/>
      <c r="BJ4966" s="319"/>
      <c r="BK4966" s="319"/>
      <c r="BL4966" s="319"/>
      <c r="BM4966" s="319"/>
      <c r="BN4966" s="319"/>
      <c r="BO4966" s="319"/>
      <c r="BP4966" s="953"/>
      <c r="BQ4966" s="319"/>
      <c r="BR4966" s="319"/>
      <c r="BS4966" s="330"/>
      <c r="BT4966" s="331"/>
      <c r="BU4966" s="920"/>
      <c r="BV4966" s="903"/>
      <c r="BW4966" s="908"/>
      <c r="BX4966" s="908"/>
      <c r="BY4966" s="331"/>
      <c r="BZ4966" s="331"/>
      <c r="CA4966" s="462"/>
      <c r="CB4966" s="319"/>
      <c r="CC4966" s="319"/>
      <c r="CD4966" s="319"/>
      <c r="CE4966" s="319"/>
      <c r="CF4966" s="319"/>
      <c r="CG4966" s="319"/>
      <c r="CH4966" s="318"/>
      <c r="CI4966" s="319"/>
      <c r="CJ4966" s="319"/>
      <c r="CK4966" s="342"/>
      <c r="CL4966" s="333"/>
      <c r="CM4966" s="1079"/>
      <c r="CN4966" s="1005"/>
      <c r="CO4966" s="1005"/>
      <c r="CP4966" s="1005"/>
    </row>
    <row r="4967">
      <c r="A4967" s="1257"/>
      <c r="B4967" s="1113"/>
      <c r="C4967" s="1107"/>
      <c r="D4967" s="103"/>
      <c r="E4967" s="1137"/>
      <c r="F4967" s="112"/>
      <c r="G4967" s="1110"/>
      <c r="H4967" s="1138"/>
      <c r="I4967" s="1138"/>
      <c r="J4967" s="1139"/>
      <c r="K4967" s="1111"/>
      <c r="L4967" s="1112"/>
      <c r="M4967" s="1113"/>
      <c r="N4967" s="110"/>
      <c r="O4967" s="1140"/>
      <c r="P4967" s="1115"/>
      <c r="Q4967" s="1116"/>
      <c r="R4967" s="1141"/>
      <c r="S4967" s="1113"/>
      <c r="T4967" s="1143"/>
      <c r="U4967" s="1108"/>
      <c r="V4967" s="1108"/>
      <c r="W4967" s="1108"/>
      <c r="X4967" s="1108"/>
      <c r="Y4967" s="1108"/>
      <c r="Z4967" s="1114"/>
      <c r="AA4967" s="1114"/>
      <c r="AB4967" s="1114"/>
      <c r="AC4967" s="1117"/>
      <c r="AD4967" s="1115"/>
      <c r="AE4967" s="1115"/>
      <c r="AF4967" s="1115"/>
      <c r="AG4967" s="1115"/>
      <c r="AH4967" s="1115"/>
      <c r="AI4967" s="1115"/>
      <c r="AJ4967" s="1117"/>
      <c r="AK4967" s="1118"/>
      <c r="AL4967" s="1115"/>
      <c r="AM4967" s="1115"/>
      <c r="AN4967" s="1115"/>
      <c r="AO4967" s="1115"/>
      <c r="AP4967" s="1115"/>
      <c r="AQ4967" s="1115"/>
      <c r="AR4967" s="1115"/>
      <c r="AS4967" s="1117"/>
      <c r="AT4967" s="1075"/>
      <c r="AU4967" s="1193"/>
      <c r="AV4967" s="330"/>
      <c r="AW4967" s="331"/>
      <c r="AX4967" s="331"/>
      <c r="AY4967" s="331"/>
      <c r="AZ4967" s="331"/>
      <c r="BA4967" s="331"/>
      <c r="BB4967" s="331"/>
      <c r="BC4967" s="331"/>
      <c r="BD4967" s="331"/>
      <c r="BE4967" s="333"/>
      <c r="BF4967" s="330"/>
      <c r="BG4967" s="333"/>
      <c r="BH4967" s="1119"/>
      <c r="BI4967" s="319"/>
      <c r="BJ4967" s="319"/>
      <c r="BK4967" s="319"/>
      <c r="BL4967" s="319"/>
      <c r="BM4967" s="319"/>
      <c r="BN4967" s="319"/>
      <c r="BO4967" s="319"/>
      <c r="BP4967" s="953"/>
      <c r="BQ4967" s="319"/>
      <c r="BR4967" s="319"/>
      <c r="BS4967" s="330"/>
      <c r="BT4967" s="331"/>
      <c r="BU4967" s="920"/>
      <c r="BV4967" s="903"/>
      <c r="BW4967" s="908"/>
      <c r="BX4967" s="908"/>
      <c r="BY4967" s="331"/>
      <c r="BZ4967" s="331"/>
      <c r="CA4967" s="462"/>
      <c r="CB4967" s="319"/>
      <c r="CC4967" s="319"/>
      <c r="CD4967" s="319"/>
      <c r="CE4967" s="319"/>
      <c r="CF4967" s="319"/>
      <c r="CG4967" s="319"/>
      <c r="CH4967" s="318"/>
      <c r="CI4967" s="319"/>
      <c r="CJ4967" s="319"/>
      <c r="CK4967" s="342"/>
      <c r="CL4967" s="333"/>
      <c r="CM4967" s="1079"/>
      <c r="CN4967" s="1005"/>
      <c r="CO4967" s="1005"/>
      <c r="CP4967" s="1005"/>
    </row>
    <row r="4968">
      <c r="A4968" s="1257"/>
      <c r="B4968" s="1113"/>
      <c r="C4968" s="1107"/>
      <c r="D4968" s="103"/>
      <c r="E4968" s="1137"/>
      <c r="F4968" s="112"/>
      <c r="G4968" s="1110"/>
      <c r="H4968" s="1138"/>
      <c r="I4968" s="1138"/>
      <c r="J4968" s="1139"/>
      <c r="K4968" s="1111"/>
      <c r="L4968" s="1112"/>
      <c r="M4968" s="1113"/>
      <c r="N4968" s="110"/>
      <c r="O4968" s="1140"/>
      <c r="P4968" s="1115"/>
      <c r="Q4968" s="1116"/>
      <c r="R4968" s="1141"/>
      <c r="S4968" s="1113"/>
      <c r="T4968" s="1143"/>
      <c r="U4968" s="1108"/>
      <c r="V4968" s="1108"/>
      <c r="W4968" s="1108"/>
      <c r="X4968" s="1108"/>
      <c r="Y4968" s="1108"/>
      <c r="Z4968" s="1114"/>
      <c r="AA4968" s="1114"/>
      <c r="AB4968" s="1114"/>
      <c r="AC4968" s="1117"/>
      <c r="AD4968" s="1115"/>
      <c r="AE4968" s="1115"/>
      <c r="AF4968" s="1115"/>
      <c r="AG4968" s="1115"/>
      <c r="AH4968" s="1115"/>
      <c r="AI4968" s="1115"/>
      <c r="AJ4968" s="1117"/>
      <c r="AK4968" s="1118"/>
      <c r="AL4968" s="1115"/>
      <c r="AM4968" s="1115"/>
      <c r="AN4968" s="1115"/>
      <c r="AO4968" s="1115"/>
      <c r="AP4968" s="1115"/>
      <c r="AQ4968" s="1115"/>
      <c r="AR4968" s="1115"/>
      <c r="AS4968" s="1117"/>
      <c r="AT4968" s="1075"/>
      <c r="AU4968" s="1193"/>
      <c r="AV4968" s="330"/>
      <c r="AW4968" s="331"/>
      <c r="AX4968" s="331"/>
      <c r="AY4968" s="331"/>
      <c r="AZ4968" s="331"/>
      <c r="BA4968" s="331"/>
      <c r="BB4968" s="331"/>
      <c r="BC4968" s="331"/>
      <c r="BD4968" s="331"/>
      <c r="BE4968" s="333"/>
      <c r="BF4968" s="330"/>
      <c r="BG4968" s="333"/>
      <c r="BH4968" s="1119"/>
      <c r="BI4968" s="319"/>
      <c r="BJ4968" s="319"/>
      <c r="BK4968" s="319"/>
      <c r="BL4968" s="319"/>
      <c r="BM4968" s="319"/>
      <c r="BN4968" s="319"/>
      <c r="BO4968" s="319"/>
      <c r="BP4968" s="953"/>
      <c r="BQ4968" s="319"/>
      <c r="BR4968" s="319"/>
      <c r="BS4968" s="330"/>
      <c r="BT4968" s="331"/>
      <c r="BU4968" s="920"/>
      <c r="BV4968" s="903"/>
      <c r="BW4968" s="908"/>
      <c r="BX4968" s="908"/>
      <c r="BY4968" s="331"/>
      <c r="BZ4968" s="331"/>
      <c r="CA4968" s="462"/>
      <c r="CB4968" s="319"/>
      <c r="CC4968" s="319"/>
      <c r="CD4968" s="319"/>
      <c r="CE4968" s="319"/>
      <c r="CF4968" s="319"/>
      <c r="CG4968" s="319"/>
      <c r="CH4968" s="318"/>
      <c r="CI4968" s="319"/>
      <c r="CJ4968" s="319"/>
      <c r="CK4968" s="342"/>
      <c r="CL4968" s="333"/>
      <c r="CM4968" s="1079"/>
      <c r="CN4968" s="1005"/>
      <c r="CO4968" s="1005"/>
      <c r="CP4968" s="1005"/>
    </row>
    <row r="4969">
      <c r="A4969" s="1257"/>
      <c r="B4969" s="1113"/>
      <c r="C4969" s="1107"/>
      <c r="D4969" s="103"/>
      <c r="E4969" s="1137"/>
      <c r="F4969" s="112"/>
      <c r="G4969" s="1110"/>
      <c r="H4969" s="1138"/>
      <c r="I4969" s="1138"/>
      <c r="J4969" s="1139"/>
      <c r="K4969" s="1111"/>
      <c r="L4969" s="1112"/>
      <c r="M4969" s="1113"/>
      <c r="N4969" s="110"/>
      <c r="O4969" s="1140"/>
      <c r="P4969" s="1115"/>
      <c r="Q4969" s="1116"/>
      <c r="R4969" s="1141"/>
      <c r="S4969" s="1113"/>
      <c r="T4969" s="1143"/>
      <c r="U4969" s="1108"/>
      <c r="V4969" s="1108"/>
      <c r="W4969" s="1108"/>
      <c r="X4969" s="1108"/>
      <c r="Y4969" s="1108"/>
      <c r="Z4969" s="1114"/>
      <c r="AA4969" s="1114"/>
      <c r="AB4969" s="1114"/>
      <c r="AC4969" s="1117"/>
      <c r="AD4969" s="1115"/>
      <c r="AE4969" s="1115"/>
      <c r="AF4969" s="1115"/>
      <c r="AG4969" s="1115"/>
      <c r="AH4969" s="1115"/>
      <c r="AI4969" s="1115"/>
      <c r="AJ4969" s="1117"/>
      <c r="AK4969" s="1118"/>
      <c r="AL4969" s="1115"/>
      <c r="AM4969" s="1115"/>
      <c r="AN4969" s="1115"/>
      <c r="AO4969" s="1115"/>
      <c r="AP4969" s="1115"/>
      <c r="AQ4969" s="1115"/>
      <c r="AR4969" s="1115"/>
      <c r="AS4969" s="1117"/>
      <c r="AT4969" s="1075"/>
      <c r="AU4969" s="1193"/>
      <c r="AV4969" s="330"/>
      <c r="AW4969" s="331"/>
      <c r="AX4969" s="331"/>
      <c r="AY4969" s="331"/>
      <c r="AZ4969" s="331"/>
      <c r="BA4969" s="331"/>
      <c r="BB4969" s="331"/>
      <c r="BC4969" s="331"/>
      <c r="BD4969" s="331"/>
      <c r="BE4969" s="333"/>
      <c r="BF4969" s="330"/>
      <c r="BG4969" s="333"/>
      <c r="BH4969" s="1119"/>
      <c r="BI4969" s="319"/>
      <c r="BJ4969" s="319"/>
      <c r="BK4969" s="319"/>
      <c r="BL4969" s="319"/>
      <c r="BM4969" s="319"/>
      <c r="BN4969" s="319"/>
      <c r="BO4969" s="319"/>
      <c r="BP4969" s="953"/>
      <c r="BQ4969" s="319"/>
      <c r="BR4969" s="319"/>
      <c r="BS4969" s="330"/>
      <c r="BT4969" s="331"/>
      <c r="BU4969" s="920"/>
      <c r="BV4969" s="903"/>
      <c r="BW4969" s="908"/>
      <c r="BX4969" s="908"/>
      <c r="BY4969" s="331"/>
      <c r="BZ4969" s="331"/>
      <c r="CA4969" s="462"/>
      <c r="CB4969" s="319"/>
      <c r="CC4969" s="319"/>
      <c r="CD4969" s="319"/>
      <c r="CE4969" s="319"/>
      <c r="CF4969" s="319"/>
      <c r="CG4969" s="319"/>
      <c r="CH4969" s="318"/>
      <c r="CI4969" s="319"/>
      <c r="CJ4969" s="319"/>
      <c r="CK4969" s="342"/>
      <c r="CL4969" s="333"/>
      <c r="CM4969" s="1079"/>
      <c r="CN4969" s="1005"/>
      <c r="CO4969" s="1005"/>
      <c r="CP4969" s="1005"/>
    </row>
    <row r="4970">
      <c r="A4970" s="1257"/>
      <c r="B4970" s="1113"/>
      <c r="C4970" s="1107"/>
      <c r="D4970" s="103"/>
      <c r="E4970" s="1137"/>
      <c r="F4970" s="112"/>
      <c r="G4970" s="1110"/>
      <c r="H4970" s="1138"/>
      <c r="I4970" s="1138"/>
      <c r="J4970" s="1139"/>
      <c r="K4970" s="1111"/>
      <c r="L4970" s="1112"/>
      <c r="M4970" s="1113"/>
      <c r="N4970" s="110"/>
      <c r="O4970" s="1140"/>
      <c r="P4970" s="1115"/>
      <c r="Q4970" s="1116"/>
      <c r="R4970" s="1141"/>
      <c r="S4970" s="1113"/>
      <c r="T4970" s="1143"/>
      <c r="U4970" s="1108"/>
      <c r="V4970" s="1108"/>
      <c r="W4970" s="1108"/>
      <c r="X4970" s="1108"/>
      <c r="Y4970" s="1108"/>
      <c r="Z4970" s="1114"/>
      <c r="AA4970" s="1114"/>
      <c r="AB4970" s="1114"/>
      <c r="AC4970" s="1117"/>
      <c r="AD4970" s="1115"/>
      <c r="AE4970" s="1115"/>
      <c r="AF4970" s="1115"/>
      <c r="AG4970" s="1115"/>
      <c r="AH4970" s="1115"/>
      <c r="AI4970" s="1115"/>
      <c r="AJ4970" s="1117"/>
      <c r="AK4970" s="1118"/>
      <c r="AL4970" s="1115"/>
      <c r="AM4970" s="1115"/>
      <c r="AN4970" s="1115"/>
      <c r="AO4970" s="1115"/>
      <c r="AP4970" s="1115"/>
      <c r="AQ4970" s="1115"/>
      <c r="AR4970" s="1115"/>
      <c r="AS4970" s="1117"/>
      <c r="AT4970" s="1075"/>
      <c r="AU4970" s="1193"/>
      <c r="AV4970" s="330"/>
      <c r="AW4970" s="331"/>
      <c r="AX4970" s="331"/>
      <c r="AY4970" s="331"/>
      <c r="AZ4970" s="331"/>
      <c r="BA4970" s="331"/>
      <c r="BB4970" s="331"/>
      <c r="BC4970" s="331"/>
      <c r="BD4970" s="331"/>
      <c r="BE4970" s="333"/>
      <c r="BF4970" s="330"/>
      <c r="BG4970" s="333"/>
      <c r="BH4970" s="1119"/>
      <c r="BI4970" s="319"/>
      <c r="BJ4970" s="319"/>
      <c r="BK4970" s="319"/>
      <c r="BL4970" s="319"/>
      <c r="BM4970" s="319"/>
      <c r="BN4970" s="319"/>
      <c r="BO4970" s="319"/>
      <c r="BP4970" s="953"/>
      <c r="BQ4970" s="319"/>
      <c r="BR4970" s="319"/>
      <c r="BS4970" s="330"/>
      <c r="BT4970" s="331"/>
      <c r="BU4970" s="920"/>
      <c r="BV4970" s="903"/>
      <c r="BW4970" s="908"/>
      <c r="BX4970" s="908"/>
      <c r="BY4970" s="331"/>
      <c r="BZ4970" s="331"/>
      <c r="CA4970" s="462"/>
      <c r="CB4970" s="319"/>
      <c r="CC4970" s="319"/>
      <c r="CD4970" s="319"/>
      <c r="CE4970" s="319"/>
      <c r="CF4970" s="319"/>
      <c r="CG4970" s="319"/>
      <c r="CH4970" s="318"/>
      <c r="CI4970" s="319"/>
      <c r="CJ4970" s="319"/>
      <c r="CK4970" s="342"/>
      <c r="CL4970" s="333"/>
      <c r="CM4970" s="1079"/>
      <c r="CN4970" s="1005"/>
      <c r="CO4970" s="1005"/>
      <c r="CP4970" s="1005"/>
    </row>
    <row r="4971">
      <c r="A4971" s="1257"/>
      <c r="B4971" s="1113"/>
      <c r="C4971" s="1107"/>
      <c r="D4971" s="103"/>
      <c r="E4971" s="1137"/>
      <c r="F4971" s="112"/>
      <c r="G4971" s="1110"/>
      <c r="H4971" s="1138"/>
      <c r="I4971" s="1138"/>
      <c r="J4971" s="1139"/>
      <c r="K4971" s="1111"/>
      <c r="L4971" s="1112"/>
      <c r="M4971" s="1113"/>
      <c r="N4971" s="110"/>
      <c r="O4971" s="1140"/>
      <c r="P4971" s="1115"/>
      <c r="Q4971" s="1116"/>
      <c r="R4971" s="1141"/>
      <c r="S4971" s="1113"/>
      <c r="T4971" s="1143"/>
      <c r="U4971" s="1108"/>
      <c r="V4971" s="1108"/>
      <c r="W4971" s="1108"/>
      <c r="X4971" s="1108"/>
      <c r="Y4971" s="1108"/>
      <c r="Z4971" s="1114"/>
      <c r="AA4971" s="1114"/>
      <c r="AB4971" s="1114"/>
      <c r="AC4971" s="1117"/>
      <c r="AD4971" s="1115"/>
      <c r="AE4971" s="1115"/>
      <c r="AF4971" s="1115"/>
      <c r="AG4971" s="1115"/>
      <c r="AH4971" s="1115"/>
      <c r="AI4971" s="1115"/>
      <c r="AJ4971" s="1117"/>
      <c r="AK4971" s="1118"/>
      <c r="AL4971" s="1115"/>
      <c r="AM4971" s="1115"/>
      <c r="AN4971" s="1115"/>
      <c r="AO4971" s="1115"/>
      <c r="AP4971" s="1115"/>
      <c r="AQ4971" s="1115"/>
      <c r="AR4971" s="1115"/>
      <c r="AS4971" s="1117"/>
      <c r="AT4971" s="1075"/>
      <c r="AU4971" s="1193"/>
      <c r="AV4971" s="330"/>
      <c r="AW4971" s="331"/>
      <c r="AX4971" s="331"/>
      <c r="AY4971" s="331"/>
      <c r="AZ4971" s="331"/>
      <c r="BA4971" s="331"/>
      <c r="BB4971" s="331"/>
      <c r="BC4971" s="331"/>
      <c r="BD4971" s="331"/>
      <c r="BE4971" s="333"/>
      <c r="BF4971" s="330"/>
      <c r="BG4971" s="333"/>
      <c r="BH4971" s="1119"/>
      <c r="BI4971" s="319"/>
      <c r="BJ4971" s="319"/>
      <c r="BK4971" s="319"/>
      <c r="BL4971" s="319"/>
      <c r="BM4971" s="319"/>
      <c r="BN4971" s="319"/>
      <c r="BO4971" s="319"/>
      <c r="BP4971" s="953"/>
      <c r="BQ4971" s="319"/>
      <c r="BR4971" s="319"/>
      <c r="BS4971" s="330"/>
      <c r="BT4971" s="331"/>
      <c r="BU4971" s="920"/>
      <c r="BV4971" s="903"/>
      <c r="BW4971" s="908"/>
      <c r="BX4971" s="908"/>
      <c r="BY4971" s="331"/>
      <c r="BZ4971" s="331"/>
      <c r="CA4971" s="462"/>
      <c r="CB4971" s="319"/>
      <c r="CC4971" s="319"/>
      <c r="CD4971" s="319"/>
      <c r="CE4971" s="319"/>
      <c r="CF4971" s="319"/>
      <c r="CG4971" s="319"/>
      <c r="CH4971" s="318"/>
      <c r="CI4971" s="319"/>
      <c r="CJ4971" s="319"/>
      <c r="CK4971" s="342"/>
      <c r="CL4971" s="333"/>
      <c r="CM4971" s="1079"/>
      <c r="CN4971" s="1005"/>
      <c r="CO4971" s="1005"/>
      <c r="CP4971" s="1005"/>
    </row>
    <row r="4972">
      <c r="A4972" s="1257"/>
      <c r="B4972" s="1113"/>
      <c r="C4972" s="1107"/>
      <c r="D4972" s="103"/>
      <c r="E4972" s="1137"/>
      <c r="F4972" s="112"/>
      <c r="G4972" s="1110"/>
      <c r="H4972" s="1138"/>
      <c r="I4972" s="1138"/>
      <c r="J4972" s="1139"/>
      <c r="K4972" s="1111"/>
      <c r="L4972" s="1112"/>
      <c r="M4972" s="1113"/>
      <c r="N4972" s="110"/>
      <c r="O4972" s="1140"/>
      <c r="P4972" s="1115"/>
      <c r="Q4972" s="1116"/>
      <c r="R4972" s="1141"/>
      <c r="S4972" s="1113"/>
      <c r="T4972" s="1143"/>
      <c r="U4972" s="1108"/>
      <c r="V4972" s="1108"/>
      <c r="W4972" s="1108"/>
      <c r="X4972" s="1108"/>
      <c r="Y4972" s="1108"/>
      <c r="Z4972" s="1114"/>
      <c r="AA4972" s="1114"/>
      <c r="AB4972" s="1114"/>
      <c r="AC4972" s="1117"/>
      <c r="AD4972" s="1115"/>
      <c r="AE4972" s="1115"/>
      <c r="AF4972" s="1115"/>
      <c r="AG4972" s="1115"/>
      <c r="AH4972" s="1115"/>
      <c r="AI4972" s="1115"/>
      <c r="AJ4972" s="1117"/>
      <c r="AK4972" s="1118"/>
      <c r="AL4972" s="1115"/>
      <c r="AM4972" s="1115"/>
      <c r="AN4972" s="1115"/>
      <c r="AO4972" s="1115"/>
      <c r="AP4972" s="1115"/>
      <c r="AQ4972" s="1115"/>
      <c r="AR4972" s="1115"/>
      <c r="AS4972" s="1117"/>
      <c r="AT4972" s="1075"/>
      <c r="AU4972" s="1193"/>
      <c r="AV4972" s="330"/>
      <c r="AW4972" s="331"/>
      <c r="AX4972" s="331"/>
      <c r="AY4972" s="331"/>
      <c r="AZ4972" s="331"/>
      <c r="BA4972" s="331"/>
      <c r="BB4972" s="331"/>
      <c r="BC4972" s="331"/>
      <c r="BD4972" s="331"/>
      <c r="BE4972" s="333"/>
      <c r="BF4972" s="330"/>
      <c r="BG4972" s="333"/>
      <c r="BH4972" s="1119"/>
      <c r="BI4972" s="319"/>
      <c r="BJ4972" s="319"/>
      <c r="BK4972" s="319"/>
      <c r="BL4972" s="319"/>
      <c r="BM4972" s="319"/>
      <c r="BN4972" s="319"/>
      <c r="BO4972" s="319"/>
      <c r="BP4972" s="953"/>
      <c r="BQ4972" s="319"/>
      <c r="BR4972" s="319"/>
      <c r="BS4972" s="330"/>
      <c r="BT4972" s="331"/>
      <c r="BU4972" s="920"/>
      <c r="BV4972" s="903"/>
      <c r="BW4972" s="908"/>
      <c r="BX4972" s="908"/>
      <c r="BY4972" s="331"/>
      <c r="BZ4972" s="331"/>
      <c r="CA4972" s="462"/>
      <c r="CB4972" s="319"/>
      <c r="CC4972" s="319"/>
      <c r="CD4972" s="319"/>
      <c r="CE4972" s="319"/>
      <c r="CF4972" s="319"/>
      <c r="CG4972" s="319"/>
      <c r="CH4972" s="318"/>
      <c r="CI4972" s="319"/>
      <c r="CJ4972" s="319"/>
      <c r="CK4972" s="342"/>
      <c r="CL4972" s="333"/>
      <c r="CM4972" s="1079"/>
      <c r="CN4972" s="1005"/>
      <c r="CO4972" s="1005"/>
      <c r="CP4972" s="1005"/>
    </row>
    <row r="4973">
      <c r="A4973" s="1257"/>
      <c r="B4973" s="1113"/>
      <c r="C4973" s="1107"/>
      <c r="D4973" s="103"/>
      <c r="E4973" s="1137"/>
      <c r="F4973" s="112"/>
      <c r="G4973" s="1110"/>
      <c r="H4973" s="1138"/>
      <c r="I4973" s="1138"/>
      <c r="J4973" s="1139"/>
      <c r="K4973" s="1111"/>
      <c r="L4973" s="1112"/>
      <c r="M4973" s="1113"/>
      <c r="N4973" s="110"/>
      <c r="O4973" s="1140"/>
      <c r="P4973" s="1115"/>
      <c r="Q4973" s="1116"/>
      <c r="R4973" s="1141"/>
      <c r="S4973" s="1113"/>
      <c r="T4973" s="1143"/>
      <c r="U4973" s="1108"/>
      <c r="V4973" s="1108"/>
      <c r="W4973" s="1108"/>
      <c r="X4973" s="1108"/>
      <c r="Y4973" s="1108"/>
      <c r="Z4973" s="1114"/>
      <c r="AA4973" s="1114"/>
      <c r="AB4973" s="1114"/>
      <c r="AC4973" s="1117"/>
      <c r="AD4973" s="1115"/>
      <c r="AE4973" s="1115"/>
      <c r="AF4973" s="1115"/>
      <c r="AG4973" s="1115"/>
      <c r="AH4973" s="1115"/>
      <c r="AI4973" s="1115"/>
      <c r="AJ4973" s="1117"/>
      <c r="AK4973" s="1118"/>
      <c r="AL4973" s="1115"/>
      <c r="AM4973" s="1115"/>
      <c r="AN4973" s="1115"/>
      <c r="AO4973" s="1115"/>
      <c r="AP4973" s="1115"/>
      <c r="AQ4973" s="1115"/>
      <c r="AR4973" s="1115"/>
      <c r="AS4973" s="1117"/>
      <c r="AT4973" s="1075"/>
      <c r="AU4973" s="1193"/>
      <c r="AV4973" s="330"/>
      <c r="AW4973" s="331"/>
      <c r="AX4973" s="331"/>
      <c r="AY4973" s="331"/>
      <c r="AZ4973" s="331"/>
      <c r="BA4973" s="331"/>
      <c r="BB4973" s="331"/>
      <c r="BC4973" s="331"/>
      <c r="BD4973" s="331"/>
      <c r="BE4973" s="333"/>
      <c r="BF4973" s="330"/>
      <c r="BG4973" s="333"/>
      <c r="BH4973" s="1119"/>
      <c r="BI4973" s="319"/>
      <c r="BJ4973" s="319"/>
      <c r="BK4973" s="319"/>
      <c r="BL4973" s="319"/>
      <c r="BM4973" s="319"/>
      <c r="BN4973" s="319"/>
      <c r="BO4973" s="319"/>
      <c r="BP4973" s="953"/>
      <c r="BQ4973" s="319"/>
      <c r="BR4973" s="319"/>
      <c r="BS4973" s="330"/>
      <c r="BT4973" s="331"/>
      <c r="BU4973" s="920"/>
      <c r="BV4973" s="903"/>
      <c r="BW4973" s="908"/>
      <c r="BX4973" s="908"/>
      <c r="BY4973" s="331"/>
      <c r="BZ4973" s="331"/>
      <c r="CA4973" s="462"/>
      <c r="CB4973" s="319"/>
      <c r="CC4973" s="319"/>
      <c r="CD4973" s="319"/>
      <c r="CE4973" s="319"/>
      <c r="CF4973" s="319"/>
      <c r="CG4973" s="319"/>
      <c r="CH4973" s="318"/>
      <c r="CI4973" s="319"/>
      <c r="CJ4973" s="319"/>
      <c r="CK4973" s="342"/>
      <c r="CL4973" s="333"/>
      <c r="CM4973" s="1079"/>
      <c r="CN4973" s="1005"/>
      <c r="CO4973" s="1005"/>
      <c r="CP4973" s="1005"/>
    </row>
    <row r="4974">
      <c r="A4974" s="1257"/>
      <c r="B4974" s="1113"/>
      <c r="C4974" s="1107"/>
      <c r="D4974" s="103"/>
      <c r="E4974" s="1137"/>
      <c r="F4974" s="112"/>
      <c r="G4974" s="1110"/>
      <c r="H4974" s="1138"/>
      <c r="I4974" s="1138"/>
      <c r="J4974" s="1139"/>
      <c r="K4974" s="1111"/>
      <c r="L4974" s="1112"/>
      <c r="M4974" s="1113"/>
      <c r="N4974" s="110"/>
      <c r="O4974" s="1140"/>
      <c r="P4974" s="1115"/>
      <c r="Q4974" s="1116"/>
      <c r="R4974" s="1141"/>
      <c r="S4974" s="1113"/>
      <c r="T4974" s="1143"/>
      <c r="U4974" s="1108"/>
      <c r="V4974" s="1108"/>
      <c r="W4974" s="1108"/>
      <c r="X4974" s="1108"/>
      <c r="Y4974" s="1108"/>
      <c r="Z4974" s="1114"/>
      <c r="AA4974" s="1114"/>
      <c r="AB4974" s="1114"/>
      <c r="AC4974" s="1117"/>
      <c r="AD4974" s="1115"/>
      <c r="AE4974" s="1115"/>
      <c r="AF4974" s="1115"/>
      <c r="AG4974" s="1115"/>
      <c r="AH4974" s="1115"/>
      <c r="AI4974" s="1115"/>
      <c r="AJ4974" s="1117"/>
      <c r="AK4974" s="1118"/>
      <c r="AL4974" s="1115"/>
      <c r="AM4974" s="1115"/>
      <c r="AN4974" s="1115"/>
      <c r="AO4974" s="1115"/>
      <c r="AP4974" s="1115"/>
      <c r="AQ4974" s="1115"/>
      <c r="AR4974" s="1115"/>
      <c r="AS4974" s="1117"/>
      <c r="AT4974" s="1075"/>
      <c r="AU4974" s="1193"/>
      <c r="AV4974" s="330"/>
      <c r="AW4974" s="331"/>
      <c r="AX4974" s="331"/>
      <c r="AY4974" s="331"/>
      <c r="AZ4974" s="331"/>
      <c r="BA4974" s="331"/>
      <c r="BB4974" s="331"/>
      <c r="BC4974" s="331"/>
      <c r="BD4974" s="331"/>
      <c r="BE4974" s="333"/>
      <c r="BF4974" s="330"/>
      <c r="BG4974" s="333"/>
      <c r="BH4974" s="1119"/>
      <c r="BI4974" s="319"/>
      <c r="BJ4974" s="319"/>
      <c r="BK4974" s="319"/>
      <c r="BL4974" s="319"/>
      <c r="BM4974" s="319"/>
      <c r="BN4974" s="319"/>
      <c r="BO4974" s="319"/>
      <c r="BP4974" s="953"/>
      <c r="BQ4974" s="319"/>
      <c r="BR4974" s="319"/>
      <c r="BS4974" s="330"/>
      <c r="BT4974" s="331"/>
      <c r="BU4974" s="920"/>
      <c r="BV4974" s="903"/>
      <c r="BW4974" s="908"/>
      <c r="BX4974" s="908"/>
      <c r="BY4974" s="331"/>
      <c r="BZ4974" s="331"/>
      <c r="CA4974" s="462"/>
      <c r="CB4974" s="319"/>
      <c r="CC4974" s="319"/>
      <c r="CD4974" s="319"/>
      <c r="CE4974" s="319"/>
      <c r="CF4974" s="319"/>
      <c r="CG4974" s="319"/>
      <c r="CH4974" s="318"/>
      <c r="CI4974" s="319"/>
      <c r="CJ4974" s="319"/>
      <c r="CK4974" s="342"/>
      <c r="CL4974" s="333"/>
      <c r="CM4974" s="1079"/>
      <c r="CN4974" s="1005"/>
      <c r="CO4974" s="1005"/>
      <c r="CP4974" s="1005"/>
    </row>
    <row r="4975">
      <c r="A4975" s="1257"/>
      <c r="B4975" s="1113"/>
      <c r="C4975" s="1107"/>
      <c r="D4975" s="103"/>
      <c r="E4975" s="1137"/>
      <c r="F4975" s="112"/>
      <c r="G4975" s="1110"/>
      <c r="H4975" s="1138"/>
      <c r="I4975" s="1138"/>
      <c r="J4975" s="1139"/>
      <c r="K4975" s="1111"/>
      <c r="L4975" s="1112"/>
      <c r="M4975" s="1113"/>
      <c r="N4975" s="110"/>
      <c r="O4975" s="1140"/>
      <c r="P4975" s="1115"/>
      <c r="Q4975" s="1116"/>
      <c r="R4975" s="1141"/>
      <c r="S4975" s="1113"/>
      <c r="T4975" s="1143"/>
      <c r="U4975" s="1108"/>
      <c r="V4975" s="1108"/>
      <c r="W4975" s="1108"/>
      <c r="X4975" s="1108"/>
      <c r="Y4975" s="1108"/>
      <c r="Z4975" s="1114"/>
      <c r="AA4975" s="1114"/>
      <c r="AB4975" s="1114"/>
      <c r="AC4975" s="1117"/>
      <c r="AD4975" s="1115"/>
      <c r="AE4975" s="1115"/>
      <c r="AF4975" s="1115"/>
      <c r="AG4975" s="1115"/>
      <c r="AH4975" s="1115"/>
      <c r="AI4975" s="1115"/>
      <c r="AJ4975" s="1117"/>
      <c r="AK4975" s="1118"/>
      <c r="AL4975" s="1115"/>
      <c r="AM4975" s="1115"/>
      <c r="AN4975" s="1115"/>
      <c r="AO4975" s="1115"/>
      <c r="AP4975" s="1115"/>
      <c r="AQ4975" s="1115"/>
      <c r="AR4975" s="1115"/>
      <c r="AS4975" s="1117"/>
      <c r="AT4975" s="1075"/>
      <c r="AU4975" s="1193"/>
      <c r="AV4975" s="330"/>
      <c r="AW4975" s="331"/>
      <c r="AX4975" s="331"/>
      <c r="AY4975" s="331"/>
      <c r="AZ4975" s="331"/>
      <c r="BA4975" s="331"/>
      <c r="BB4975" s="331"/>
      <c r="BC4975" s="331"/>
      <c r="BD4975" s="331"/>
      <c r="BE4975" s="333"/>
      <c r="BF4975" s="330"/>
      <c r="BG4975" s="333"/>
      <c r="BH4975" s="1119"/>
      <c r="BI4975" s="319"/>
      <c r="BJ4975" s="319"/>
      <c r="BK4975" s="319"/>
      <c r="BL4975" s="319"/>
      <c r="BM4975" s="319"/>
      <c r="BN4975" s="319"/>
      <c r="BO4975" s="319"/>
      <c r="BP4975" s="953"/>
      <c r="BQ4975" s="319"/>
      <c r="BR4975" s="319"/>
      <c r="BS4975" s="330"/>
      <c r="BT4975" s="331"/>
      <c r="BU4975" s="920"/>
      <c r="BV4975" s="903"/>
      <c r="BW4975" s="908"/>
      <c r="BX4975" s="908"/>
      <c r="BY4975" s="331"/>
      <c r="BZ4975" s="331"/>
      <c r="CA4975" s="462"/>
      <c r="CB4975" s="319"/>
      <c r="CC4975" s="319"/>
      <c r="CD4975" s="319"/>
      <c r="CE4975" s="319"/>
      <c r="CF4975" s="319"/>
      <c r="CG4975" s="319"/>
      <c r="CH4975" s="318"/>
      <c r="CI4975" s="319"/>
      <c r="CJ4975" s="319"/>
      <c r="CK4975" s="342"/>
      <c r="CL4975" s="333"/>
      <c r="CM4975" s="1079"/>
      <c r="CN4975" s="1005"/>
      <c r="CO4975" s="1005"/>
      <c r="CP4975" s="1005"/>
    </row>
    <row r="4976">
      <c r="A4976" s="1257"/>
      <c r="B4976" s="1113"/>
      <c r="C4976" s="1107"/>
      <c r="D4976" s="103"/>
      <c r="E4976" s="1137"/>
      <c r="F4976" s="112"/>
      <c r="G4976" s="1110"/>
      <c r="H4976" s="1138"/>
      <c r="I4976" s="1138"/>
      <c r="J4976" s="1139"/>
      <c r="K4976" s="1111"/>
      <c r="L4976" s="1112"/>
      <c r="M4976" s="1113"/>
      <c r="N4976" s="110"/>
      <c r="O4976" s="1140"/>
      <c r="P4976" s="1115"/>
      <c r="Q4976" s="1116"/>
      <c r="R4976" s="1141"/>
      <c r="S4976" s="1113"/>
      <c r="T4976" s="1143"/>
      <c r="U4976" s="1108"/>
      <c r="V4976" s="1108"/>
      <c r="W4976" s="1108"/>
      <c r="X4976" s="1108"/>
      <c r="Y4976" s="1108"/>
      <c r="Z4976" s="1114"/>
      <c r="AA4976" s="1114"/>
      <c r="AB4976" s="1114"/>
      <c r="AC4976" s="1117"/>
      <c r="AD4976" s="1115"/>
      <c r="AE4976" s="1115"/>
      <c r="AF4976" s="1115"/>
      <c r="AG4976" s="1115"/>
      <c r="AH4976" s="1115"/>
      <c r="AI4976" s="1115"/>
      <c r="AJ4976" s="1117"/>
      <c r="AK4976" s="1118"/>
      <c r="AL4976" s="1115"/>
      <c r="AM4976" s="1115"/>
      <c r="AN4976" s="1115"/>
      <c r="AO4976" s="1115"/>
      <c r="AP4976" s="1115"/>
      <c r="AQ4976" s="1115"/>
      <c r="AR4976" s="1115"/>
      <c r="AS4976" s="1117"/>
      <c r="AT4976" s="1075"/>
      <c r="AU4976" s="1193"/>
      <c r="AV4976" s="330"/>
      <c r="AW4976" s="331"/>
      <c r="AX4976" s="331"/>
      <c r="AY4976" s="331"/>
      <c r="AZ4976" s="331"/>
      <c r="BA4976" s="331"/>
      <c r="BB4976" s="331"/>
      <c r="BC4976" s="331"/>
      <c r="BD4976" s="331"/>
      <c r="BE4976" s="333"/>
      <c r="BF4976" s="330"/>
      <c r="BG4976" s="333"/>
      <c r="BH4976" s="1119"/>
      <c r="BI4976" s="319"/>
      <c r="BJ4976" s="319"/>
      <c r="BK4976" s="319"/>
      <c r="BL4976" s="319"/>
      <c r="BM4976" s="319"/>
      <c r="BN4976" s="319"/>
      <c r="BO4976" s="319"/>
      <c r="BP4976" s="953"/>
      <c r="BQ4976" s="319"/>
      <c r="BR4976" s="319"/>
      <c r="BS4976" s="330"/>
      <c r="BT4976" s="331"/>
      <c r="BU4976" s="920"/>
      <c r="BV4976" s="903"/>
      <c r="BW4976" s="908"/>
      <c r="BX4976" s="908"/>
      <c r="BY4976" s="331"/>
      <c r="BZ4976" s="331"/>
      <c r="CA4976" s="462"/>
      <c r="CB4976" s="319"/>
      <c r="CC4976" s="319"/>
      <c r="CD4976" s="319"/>
      <c r="CE4976" s="319"/>
      <c r="CF4976" s="319"/>
      <c r="CG4976" s="319"/>
      <c r="CH4976" s="318"/>
      <c r="CI4976" s="319"/>
      <c r="CJ4976" s="319"/>
      <c r="CK4976" s="342"/>
      <c r="CL4976" s="333"/>
      <c r="CM4976" s="1079"/>
      <c r="CN4976" s="1005"/>
      <c r="CO4976" s="1005"/>
      <c r="CP4976" s="1005"/>
    </row>
    <row r="4977">
      <c r="A4977" s="1257"/>
      <c r="B4977" s="1113"/>
      <c r="C4977" s="1107"/>
      <c r="D4977" s="103"/>
      <c r="E4977" s="1137"/>
      <c r="F4977" s="112"/>
      <c r="G4977" s="1110"/>
      <c r="H4977" s="1138"/>
      <c r="I4977" s="1138"/>
      <c r="J4977" s="1139"/>
      <c r="K4977" s="1111"/>
      <c r="L4977" s="1112"/>
      <c r="M4977" s="1113"/>
      <c r="N4977" s="110"/>
      <c r="O4977" s="1140"/>
      <c r="P4977" s="1115"/>
      <c r="Q4977" s="1116"/>
      <c r="R4977" s="1141"/>
      <c r="S4977" s="1113"/>
      <c r="T4977" s="1143"/>
      <c r="U4977" s="1108"/>
      <c r="V4977" s="1108"/>
      <c r="W4977" s="1108"/>
      <c r="X4977" s="1108"/>
      <c r="Y4977" s="1108"/>
      <c r="Z4977" s="1114"/>
      <c r="AA4977" s="1114"/>
      <c r="AB4977" s="1114"/>
      <c r="AC4977" s="1117"/>
      <c r="AD4977" s="1115"/>
      <c r="AE4977" s="1115"/>
      <c r="AF4977" s="1115"/>
      <c r="AG4977" s="1115"/>
      <c r="AH4977" s="1115"/>
      <c r="AI4977" s="1115"/>
      <c r="AJ4977" s="1117"/>
      <c r="AK4977" s="1118"/>
      <c r="AL4977" s="1115"/>
      <c r="AM4977" s="1115"/>
      <c r="AN4977" s="1115"/>
      <c r="AO4977" s="1115"/>
      <c r="AP4977" s="1115"/>
      <c r="AQ4977" s="1115"/>
      <c r="AR4977" s="1115"/>
      <c r="AS4977" s="1117"/>
      <c r="AT4977" s="1075"/>
      <c r="AU4977" s="1193"/>
      <c r="AV4977" s="330"/>
      <c r="AW4977" s="331"/>
      <c r="AX4977" s="331"/>
      <c r="AY4977" s="331"/>
      <c r="AZ4977" s="331"/>
      <c r="BA4977" s="331"/>
      <c r="BB4977" s="331"/>
      <c r="BC4977" s="331"/>
      <c r="BD4977" s="331"/>
      <c r="BE4977" s="333"/>
      <c r="BF4977" s="330"/>
      <c r="BG4977" s="333"/>
      <c r="BH4977" s="1119"/>
      <c r="BI4977" s="319"/>
      <c r="BJ4977" s="319"/>
      <c r="BK4977" s="319"/>
      <c r="BL4977" s="319"/>
      <c r="BM4977" s="319"/>
      <c r="BN4977" s="319"/>
      <c r="BO4977" s="319"/>
      <c r="BP4977" s="953"/>
      <c r="BQ4977" s="319"/>
      <c r="BR4977" s="319"/>
      <c r="BS4977" s="330"/>
      <c r="BT4977" s="331"/>
      <c r="BU4977" s="920"/>
      <c r="BV4977" s="903"/>
      <c r="BW4977" s="908"/>
      <c r="BX4977" s="908"/>
      <c r="BY4977" s="331"/>
      <c r="BZ4977" s="331"/>
      <c r="CA4977" s="462"/>
      <c r="CB4977" s="319"/>
      <c r="CC4977" s="319"/>
      <c r="CD4977" s="319"/>
      <c r="CE4977" s="319"/>
      <c r="CF4977" s="319"/>
      <c r="CG4977" s="319"/>
      <c r="CH4977" s="318"/>
      <c r="CI4977" s="319"/>
      <c r="CJ4977" s="319"/>
      <c r="CK4977" s="342"/>
      <c r="CL4977" s="333"/>
      <c r="CM4977" s="1079"/>
      <c r="CN4977" s="1005"/>
      <c r="CO4977" s="1005"/>
      <c r="CP4977" s="1005"/>
    </row>
    <row r="4978">
      <c r="A4978" s="1257"/>
      <c r="B4978" s="1113"/>
      <c r="C4978" s="1107"/>
      <c r="D4978" s="103"/>
      <c r="E4978" s="1137"/>
      <c r="F4978" s="112"/>
      <c r="G4978" s="1110"/>
      <c r="H4978" s="1138"/>
      <c r="I4978" s="1138"/>
      <c r="J4978" s="1139"/>
      <c r="K4978" s="1111"/>
      <c r="L4978" s="1112"/>
      <c r="M4978" s="1113"/>
      <c r="N4978" s="110"/>
      <c r="O4978" s="1140"/>
      <c r="P4978" s="1115"/>
      <c r="Q4978" s="1116"/>
      <c r="R4978" s="1141"/>
      <c r="S4978" s="1113"/>
      <c r="T4978" s="1143"/>
      <c r="U4978" s="1108"/>
      <c r="V4978" s="1108"/>
      <c r="W4978" s="1108"/>
      <c r="X4978" s="1108"/>
      <c r="Y4978" s="1108"/>
      <c r="Z4978" s="1114"/>
      <c r="AA4978" s="1114"/>
      <c r="AB4978" s="1114"/>
      <c r="AC4978" s="1117"/>
      <c r="AD4978" s="1115"/>
      <c r="AE4978" s="1115"/>
      <c r="AF4978" s="1115"/>
      <c r="AG4978" s="1115"/>
      <c r="AH4978" s="1115"/>
      <c r="AI4978" s="1115"/>
      <c r="AJ4978" s="1117"/>
      <c r="AK4978" s="1118"/>
      <c r="AL4978" s="1115"/>
      <c r="AM4978" s="1115"/>
      <c r="AN4978" s="1115"/>
      <c r="AO4978" s="1115"/>
      <c r="AP4978" s="1115"/>
      <c r="AQ4978" s="1115"/>
      <c r="AR4978" s="1115"/>
      <c r="AS4978" s="1117"/>
      <c r="AT4978" s="1075"/>
      <c r="AU4978" s="1193"/>
      <c r="AV4978" s="330"/>
      <c r="AW4978" s="331"/>
      <c r="AX4978" s="331"/>
      <c r="AY4978" s="331"/>
      <c r="AZ4978" s="331"/>
      <c r="BA4978" s="331"/>
      <c r="BB4978" s="331"/>
      <c r="BC4978" s="331"/>
      <c r="BD4978" s="331"/>
      <c r="BE4978" s="333"/>
      <c r="BF4978" s="330"/>
      <c r="BG4978" s="333"/>
      <c r="BH4978" s="1119"/>
      <c r="BI4978" s="319"/>
      <c r="BJ4978" s="319"/>
      <c r="BK4978" s="319"/>
      <c r="BL4978" s="319"/>
      <c r="BM4978" s="319"/>
      <c r="BN4978" s="319"/>
      <c r="BO4978" s="319"/>
      <c r="BP4978" s="953"/>
      <c r="BQ4978" s="319"/>
      <c r="BR4978" s="319"/>
      <c r="BS4978" s="330"/>
      <c r="BT4978" s="331"/>
      <c r="BU4978" s="920"/>
      <c r="BV4978" s="903"/>
      <c r="BW4978" s="908"/>
      <c r="BX4978" s="908"/>
      <c r="BY4978" s="331"/>
      <c r="BZ4978" s="331"/>
      <c r="CA4978" s="462"/>
      <c r="CB4978" s="319"/>
      <c r="CC4978" s="319"/>
      <c r="CD4978" s="319"/>
      <c r="CE4978" s="319"/>
      <c r="CF4978" s="319"/>
      <c r="CG4978" s="319"/>
      <c r="CH4978" s="318"/>
      <c r="CI4978" s="319"/>
      <c r="CJ4978" s="319"/>
      <c r="CK4978" s="342"/>
      <c r="CL4978" s="333"/>
      <c r="CM4978" s="1079"/>
      <c r="CN4978" s="1005"/>
      <c r="CO4978" s="1005"/>
      <c r="CP4978" s="1005"/>
    </row>
    <row r="4979">
      <c r="A4979" s="1257"/>
      <c r="B4979" s="1113"/>
      <c r="C4979" s="1107"/>
      <c r="D4979" s="103"/>
      <c r="E4979" s="1137"/>
      <c r="F4979" s="112"/>
      <c r="G4979" s="1110"/>
      <c r="H4979" s="1138"/>
      <c r="I4979" s="1138"/>
      <c r="J4979" s="1139"/>
      <c r="K4979" s="1111"/>
      <c r="L4979" s="1112"/>
      <c r="M4979" s="1113"/>
      <c r="N4979" s="110"/>
      <c r="O4979" s="1140"/>
      <c r="P4979" s="1115"/>
      <c r="Q4979" s="1116"/>
      <c r="R4979" s="1141"/>
      <c r="S4979" s="1113"/>
      <c r="T4979" s="1143"/>
      <c r="U4979" s="1108"/>
      <c r="V4979" s="1108"/>
      <c r="W4979" s="1108"/>
      <c r="X4979" s="1108"/>
      <c r="Y4979" s="1108"/>
      <c r="Z4979" s="1114"/>
      <c r="AA4979" s="1114"/>
      <c r="AB4979" s="1114"/>
      <c r="AC4979" s="1117"/>
      <c r="AD4979" s="1115"/>
      <c r="AE4979" s="1115"/>
      <c r="AF4979" s="1115"/>
      <c r="AG4979" s="1115"/>
      <c r="AH4979" s="1115"/>
      <c r="AI4979" s="1115"/>
      <c r="AJ4979" s="1117"/>
      <c r="AK4979" s="1118"/>
      <c r="AL4979" s="1115"/>
      <c r="AM4979" s="1115"/>
      <c r="AN4979" s="1115"/>
      <c r="AO4979" s="1115"/>
      <c r="AP4979" s="1115"/>
      <c r="AQ4979" s="1115"/>
      <c r="AR4979" s="1115"/>
      <c r="AS4979" s="1117"/>
      <c r="AT4979" s="1075"/>
      <c r="AU4979" s="1193"/>
      <c r="AV4979" s="330"/>
      <c r="AW4979" s="331"/>
      <c r="AX4979" s="331"/>
      <c r="AY4979" s="331"/>
      <c r="AZ4979" s="331"/>
      <c r="BA4979" s="331"/>
      <c r="BB4979" s="331"/>
      <c r="BC4979" s="331"/>
      <c r="BD4979" s="331"/>
      <c r="BE4979" s="333"/>
      <c r="BF4979" s="330"/>
      <c r="BG4979" s="333"/>
      <c r="BH4979" s="1119"/>
      <c r="BI4979" s="319"/>
      <c r="BJ4979" s="319"/>
      <c r="BK4979" s="319"/>
      <c r="BL4979" s="319"/>
      <c r="BM4979" s="319"/>
      <c r="BN4979" s="319"/>
      <c r="BO4979" s="319"/>
      <c r="BP4979" s="953"/>
      <c r="BQ4979" s="319"/>
      <c r="BR4979" s="319"/>
      <c r="BS4979" s="330"/>
      <c r="BT4979" s="331"/>
      <c r="BU4979" s="920"/>
      <c r="BV4979" s="903"/>
      <c r="BW4979" s="908"/>
      <c r="BX4979" s="908"/>
      <c r="BY4979" s="331"/>
      <c r="BZ4979" s="331"/>
      <c r="CA4979" s="462"/>
      <c r="CB4979" s="319"/>
      <c r="CC4979" s="319"/>
      <c r="CD4979" s="319"/>
      <c r="CE4979" s="319"/>
      <c r="CF4979" s="319"/>
      <c r="CG4979" s="319"/>
      <c r="CH4979" s="318"/>
      <c r="CI4979" s="319"/>
      <c r="CJ4979" s="319"/>
      <c r="CK4979" s="342"/>
      <c r="CL4979" s="333"/>
      <c r="CM4979" s="1079"/>
      <c r="CN4979" s="1005"/>
      <c r="CO4979" s="1005"/>
      <c r="CP4979" s="1005"/>
    </row>
    <row r="4980">
      <c r="A4980" s="1257"/>
      <c r="B4980" s="1113"/>
      <c r="C4980" s="1107"/>
      <c r="D4980" s="103"/>
      <c r="E4980" s="1137"/>
      <c r="F4980" s="112"/>
      <c r="G4980" s="1110"/>
      <c r="H4980" s="1138"/>
      <c r="I4980" s="1138"/>
      <c r="J4980" s="1139"/>
      <c r="K4980" s="1111"/>
      <c r="L4980" s="1112"/>
      <c r="M4980" s="1113"/>
      <c r="N4980" s="110"/>
      <c r="O4980" s="1140"/>
      <c r="P4980" s="1115"/>
      <c r="Q4980" s="1116"/>
      <c r="R4980" s="1141"/>
      <c r="S4980" s="1113"/>
      <c r="T4980" s="1143"/>
      <c r="U4980" s="1108"/>
      <c r="V4980" s="1108"/>
      <c r="W4980" s="1108"/>
      <c r="X4980" s="1108"/>
      <c r="Y4980" s="1108"/>
      <c r="Z4980" s="1114"/>
      <c r="AA4980" s="1114"/>
      <c r="AB4980" s="1114"/>
      <c r="AC4980" s="1117"/>
      <c r="AD4980" s="1115"/>
      <c r="AE4980" s="1115"/>
      <c r="AF4980" s="1115"/>
      <c r="AG4980" s="1115"/>
      <c r="AH4980" s="1115"/>
      <c r="AI4980" s="1115"/>
      <c r="AJ4980" s="1117"/>
      <c r="AK4980" s="1118"/>
      <c r="AL4980" s="1115"/>
      <c r="AM4980" s="1115"/>
      <c r="AN4980" s="1115"/>
      <c r="AO4980" s="1115"/>
      <c r="AP4980" s="1115"/>
      <c r="AQ4980" s="1115"/>
      <c r="AR4980" s="1115"/>
      <c r="AS4980" s="1117"/>
      <c r="AT4980" s="1075"/>
      <c r="AU4980" s="1193"/>
      <c r="AV4980" s="330"/>
      <c r="AW4980" s="331"/>
      <c r="AX4980" s="331"/>
      <c r="AY4980" s="331"/>
      <c r="AZ4980" s="331"/>
      <c r="BA4980" s="331"/>
      <c r="BB4980" s="331"/>
      <c r="BC4980" s="331"/>
      <c r="BD4980" s="331"/>
      <c r="BE4980" s="333"/>
      <c r="BF4980" s="330"/>
      <c r="BG4980" s="333"/>
      <c r="BH4980" s="1119"/>
      <c r="BI4980" s="319"/>
      <c r="BJ4980" s="319"/>
      <c r="BK4980" s="319"/>
      <c r="BL4980" s="319"/>
      <c r="BM4980" s="319"/>
      <c r="BN4980" s="319"/>
      <c r="BO4980" s="319"/>
      <c r="BP4980" s="953"/>
      <c r="BQ4980" s="319"/>
      <c r="BR4980" s="319"/>
      <c r="BS4980" s="330"/>
      <c r="BT4980" s="331"/>
      <c r="BU4980" s="920"/>
      <c r="BV4980" s="903"/>
      <c r="BW4980" s="908"/>
      <c r="BX4980" s="908"/>
      <c r="BY4980" s="331"/>
      <c r="BZ4980" s="331"/>
      <c r="CA4980" s="462"/>
      <c r="CB4980" s="319"/>
      <c r="CC4980" s="319"/>
      <c r="CD4980" s="319"/>
      <c r="CE4980" s="319"/>
      <c r="CF4980" s="319"/>
      <c r="CG4980" s="319"/>
      <c r="CH4980" s="318"/>
      <c r="CI4980" s="319"/>
      <c r="CJ4980" s="319"/>
      <c r="CK4980" s="342"/>
      <c r="CL4980" s="333"/>
      <c r="CM4980" s="1079"/>
      <c r="CN4980" s="1005"/>
      <c r="CO4980" s="1005"/>
      <c r="CP4980" s="1005"/>
    </row>
    <row r="4981">
      <c r="A4981" s="1257"/>
      <c r="B4981" s="1113"/>
      <c r="C4981" s="1107"/>
      <c r="D4981" s="103"/>
      <c r="E4981" s="1137"/>
      <c r="F4981" s="112"/>
      <c r="G4981" s="1110"/>
      <c r="H4981" s="1138"/>
      <c r="I4981" s="1138"/>
      <c r="J4981" s="1139"/>
      <c r="K4981" s="1111"/>
      <c r="L4981" s="1112"/>
      <c r="M4981" s="1113"/>
      <c r="N4981" s="110"/>
      <c r="O4981" s="1140"/>
      <c r="P4981" s="1115"/>
      <c r="Q4981" s="1116"/>
      <c r="R4981" s="1141"/>
      <c r="S4981" s="1113"/>
      <c r="T4981" s="1143"/>
      <c r="U4981" s="1108"/>
      <c r="V4981" s="1108"/>
      <c r="W4981" s="1108"/>
      <c r="X4981" s="1108"/>
      <c r="Y4981" s="1108"/>
      <c r="Z4981" s="1114"/>
      <c r="AA4981" s="1114"/>
      <c r="AB4981" s="1114"/>
      <c r="AC4981" s="1117"/>
      <c r="AD4981" s="1115"/>
      <c r="AE4981" s="1115"/>
      <c r="AF4981" s="1115"/>
      <c r="AG4981" s="1115"/>
      <c r="AH4981" s="1115"/>
      <c r="AI4981" s="1115"/>
      <c r="AJ4981" s="1117"/>
      <c r="AK4981" s="1118"/>
      <c r="AL4981" s="1115"/>
      <c r="AM4981" s="1115"/>
      <c r="AN4981" s="1115"/>
      <c r="AO4981" s="1115"/>
      <c r="AP4981" s="1115"/>
      <c r="AQ4981" s="1115"/>
      <c r="AR4981" s="1115"/>
      <c r="AS4981" s="1117"/>
      <c r="AT4981" s="1075"/>
      <c r="AU4981" s="1193"/>
      <c r="AV4981" s="330"/>
      <c r="AW4981" s="331"/>
      <c r="AX4981" s="331"/>
      <c r="AY4981" s="331"/>
      <c r="AZ4981" s="331"/>
      <c r="BA4981" s="331"/>
      <c r="BB4981" s="331"/>
      <c r="BC4981" s="331"/>
      <c r="BD4981" s="331"/>
      <c r="BE4981" s="333"/>
      <c r="BF4981" s="330"/>
      <c r="BG4981" s="333"/>
      <c r="BH4981" s="1119"/>
      <c r="BI4981" s="319"/>
      <c r="BJ4981" s="319"/>
      <c r="BK4981" s="319"/>
      <c r="BL4981" s="319"/>
      <c r="BM4981" s="319"/>
      <c r="BN4981" s="319"/>
      <c r="BO4981" s="319"/>
      <c r="BP4981" s="953"/>
      <c r="BQ4981" s="319"/>
      <c r="BR4981" s="319"/>
      <c r="BS4981" s="330"/>
      <c r="BT4981" s="331"/>
      <c r="BU4981" s="920"/>
      <c r="BV4981" s="903"/>
      <c r="BW4981" s="908"/>
      <c r="BX4981" s="908"/>
      <c r="BY4981" s="331"/>
      <c r="BZ4981" s="331"/>
      <c r="CA4981" s="462"/>
      <c r="CB4981" s="319"/>
      <c r="CC4981" s="319"/>
      <c r="CD4981" s="319"/>
      <c r="CE4981" s="319"/>
      <c r="CF4981" s="319"/>
      <c r="CG4981" s="319"/>
      <c r="CH4981" s="318"/>
      <c r="CI4981" s="319"/>
      <c r="CJ4981" s="319"/>
      <c r="CK4981" s="342"/>
      <c r="CL4981" s="333"/>
      <c r="CM4981" s="1079"/>
      <c r="CN4981" s="1005"/>
      <c r="CO4981" s="1005"/>
      <c r="CP4981" s="1005"/>
    </row>
    <row r="4982">
      <c r="A4982" s="1257"/>
      <c r="B4982" s="1113"/>
      <c r="C4982" s="1107"/>
      <c r="D4982" s="103"/>
      <c r="E4982" s="1137"/>
      <c r="F4982" s="112"/>
      <c r="G4982" s="1110"/>
      <c r="H4982" s="1138"/>
      <c r="I4982" s="1138"/>
      <c r="J4982" s="1139"/>
      <c r="K4982" s="1111"/>
      <c r="L4982" s="1112"/>
      <c r="M4982" s="1113"/>
      <c r="N4982" s="110"/>
      <c r="O4982" s="1140"/>
      <c r="P4982" s="1115"/>
      <c r="Q4982" s="1116"/>
      <c r="R4982" s="1141"/>
      <c r="S4982" s="1113"/>
      <c r="T4982" s="1143"/>
      <c r="U4982" s="1108"/>
      <c r="V4982" s="1108"/>
      <c r="W4982" s="1108"/>
      <c r="X4982" s="1108"/>
      <c r="Y4982" s="1108"/>
      <c r="Z4982" s="1114"/>
      <c r="AA4982" s="1114"/>
      <c r="AB4982" s="1114"/>
      <c r="AC4982" s="1117"/>
      <c r="AD4982" s="1115"/>
      <c r="AE4982" s="1115"/>
      <c r="AF4982" s="1115"/>
      <c r="AG4982" s="1115"/>
      <c r="AH4982" s="1115"/>
      <c r="AI4982" s="1115"/>
      <c r="AJ4982" s="1117"/>
      <c r="AK4982" s="1118"/>
      <c r="AL4982" s="1115"/>
      <c r="AM4982" s="1115"/>
      <c r="AN4982" s="1115"/>
      <c r="AO4982" s="1115"/>
      <c r="AP4982" s="1115"/>
      <c r="AQ4982" s="1115"/>
      <c r="AR4982" s="1115"/>
      <c r="AS4982" s="1117"/>
      <c r="AT4982" s="1075"/>
      <c r="AU4982" s="1193"/>
      <c r="AV4982" s="330"/>
      <c r="AW4982" s="331"/>
      <c r="AX4982" s="331"/>
      <c r="AY4982" s="331"/>
      <c r="AZ4982" s="331"/>
      <c r="BA4982" s="331"/>
      <c r="BB4982" s="331"/>
      <c r="BC4982" s="331"/>
      <c r="BD4982" s="331"/>
      <c r="BE4982" s="333"/>
      <c r="BF4982" s="330"/>
      <c r="BG4982" s="333"/>
      <c r="BH4982" s="1119"/>
      <c r="BI4982" s="319"/>
      <c r="BJ4982" s="319"/>
      <c r="BK4982" s="319"/>
      <c r="BL4982" s="319"/>
      <c r="BM4982" s="319"/>
      <c r="BN4982" s="319"/>
      <c r="BO4982" s="319"/>
      <c r="BP4982" s="953"/>
      <c r="BQ4982" s="319"/>
      <c r="BR4982" s="319"/>
      <c r="BS4982" s="330"/>
      <c r="BT4982" s="331"/>
      <c r="BU4982" s="920"/>
      <c r="BV4982" s="903"/>
      <c r="BW4982" s="908"/>
      <c r="BX4982" s="908"/>
      <c r="BY4982" s="331"/>
      <c r="BZ4982" s="331"/>
      <c r="CA4982" s="462"/>
      <c r="CB4982" s="319"/>
      <c r="CC4982" s="319"/>
      <c r="CD4982" s="319"/>
      <c r="CE4982" s="319"/>
      <c r="CF4982" s="319"/>
      <c r="CG4982" s="319"/>
      <c r="CH4982" s="318"/>
      <c r="CI4982" s="319"/>
      <c r="CJ4982" s="319"/>
      <c r="CK4982" s="342"/>
      <c r="CL4982" s="333"/>
      <c r="CM4982" s="1079"/>
      <c r="CN4982" s="1005"/>
      <c r="CO4982" s="1005"/>
      <c r="CP4982" s="1005"/>
    </row>
    <row r="4983">
      <c r="A4983" s="1257"/>
      <c r="B4983" s="1113"/>
      <c r="C4983" s="1107"/>
      <c r="D4983" s="103"/>
      <c r="E4983" s="1137"/>
      <c r="F4983" s="112"/>
      <c r="G4983" s="1110"/>
      <c r="H4983" s="1138"/>
      <c r="I4983" s="1138"/>
      <c r="J4983" s="1139"/>
      <c r="K4983" s="1111"/>
      <c r="L4983" s="1112"/>
      <c r="M4983" s="1113"/>
      <c r="N4983" s="110"/>
      <c r="O4983" s="1140"/>
      <c r="P4983" s="1115"/>
      <c r="Q4983" s="1116"/>
      <c r="R4983" s="1141"/>
      <c r="S4983" s="1113"/>
      <c r="T4983" s="1143"/>
      <c r="U4983" s="1108"/>
      <c r="V4983" s="1108"/>
      <c r="W4983" s="1108"/>
      <c r="X4983" s="1108"/>
      <c r="Y4983" s="1108"/>
      <c r="Z4983" s="1114"/>
      <c r="AA4983" s="1114"/>
      <c r="AB4983" s="1114"/>
      <c r="AC4983" s="1117"/>
      <c r="AD4983" s="1115"/>
      <c r="AE4983" s="1115"/>
      <c r="AF4983" s="1115"/>
      <c r="AG4983" s="1115"/>
      <c r="AH4983" s="1115"/>
      <c r="AI4983" s="1115"/>
      <c r="AJ4983" s="1117"/>
      <c r="AK4983" s="1118"/>
      <c r="AL4983" s="1115"/>
      <c r="AM4983" s="1115"/>
      <c r="AN4983" s="1115"/>
      <c r="AO4983" s="1115"/>
      <c r="AP4983" s="1115"/>
      <c r="AQ4983" s="1115"/>
      <c r="AR4983" s="1115"/>
      <c r="AS4983" s="1117"/>
      <c r="AT4983" s="1075"/>
      <c r="AU4983" s="1193"/>
      <c r="AV4983" s="330"/>
      <c r="AW4983" s="331"/>
      <c r="AX4983" s="331"/>
      <c r="AY4983" s="331"/>
      <c r="AZ4983" s="331"/>
      <c r="BA4983" s="331"/>
      <c r="BB4983" s="331"/>
      <c r="BC4983" s="331"/>
      <c r="BD4983" s="331"/>
      <c r="BE4983" s="333"/>
      <c r="BF4983" s="330"/>
      <c r="BG4983" s="333"/>
      <c r="BH4983" s="1119"/>
      <c r="BI4983" s="319"/>
      <c r="BJ4983" s="319"/>
      <c r="BK4983" s="319"/>
      <c r="BL4983" s="319"/>
      <c r="BM4983" s="319"/>
      <c r="BN4983" s="319"/>
      <c r="BO4983" s="319"/>
      <c r="BP4983" s="953"/>
      <c r="BQ4983" s="319"/>
      <c r="BR4983" s="319"/>
      <c r="BS4983" s="330"/>
      <c r="BT4983" s="331"/>
      <c r="BU4983" s="920"/>
      <c r="BV4983" s="903"/>
      <c r="BW4983" s="908"/>
      <c r="BX4983" s="908"/>
      <c r="BY4983" s="331"/>
      <c r="BZ4983" s="331"/>
      <c r="CA4983" s="462"/>
      <c r="CB4983" s="319"/>
      <c r="CC4983" s="319"/>
      <c r="CD4983" s="319"/>
      <c r="CE4983" s="319"/>
      <c r="CF4983" s="319"/>
      <c r="CG4983" s="319"/>
      <c r="CH4983" s="318"/>
      <c r="CI4983" s="319"/>
      <c r="CJ4983" s="319"/>
      <c r="CK4983" s="342"/>
      <c r="CL4983" s="333"/>
      <c r="CM4983" s="1079"/>
      <c r="CN4983" s="1005"/>
      <c r="CO4983" s="1005"/>
      <c r="CP4983" s="1005"/>
    </row>
    <row r="4984">
      <c r="A4984" s="1257"/>
      <c r="B4984" s="1113"/>
      <c r="C4984" s="1107"/>
      <c r="D4984" s="103"/>
      <c r="E4984" s="1137"/>
      <c r="F4984" s="112"/>
      <c r="G4984" s="1110"/>
      <c r="H4984" s="1138"/>
      <c r="I4984" s="1138"/>
      <c r="J4984" s="1139"/>
      <c r="K4984" s="1111"/>
      <c r="L4984" s="1112"/>
      <c r="M4984" s="1113"/>
      <c r="N4984" s="110"/>
      <c r="O4984" s="1140"/>
      <c r="P4984" s="1115"/>
      <c r="Q4984" s="1116"/>
      <c r="R4984" s="1141"/>
      <c r="S4984" s="1113"/>
      <c r="T4984" s="1143"/>
      <c r="U4984" s="1108"/>
      <c r="V4984" s="1108"/>
      <c r="W4984" s="1108"/>
      <c r="X4984" s="1108"/>
      <c r="Y4984" s="1108"/>
      <c r="Z4984" s="1114"/>
      <c r="AA4984" s="1114"/>
      <c r="AB4984" s="1114"/>
      <c r="AC4984" s="1117"/>
      <c r="AD4984" s="1115"/>
      <c r="AE4984" s="1115"/>
      <c r="AF4984" s="1115"/>
      <c r="AG4984" s="1115"/>
      <c r="AH4984" s="1115"/>
      <c r="AI4984" s="1115"/>
      <c r="AJ4984" s="1117"/>
      <c r="AK4984" s="1118"/>
      <c r="AL4984" s="1115"/>
      <c r="AM4984" s="1115"/>
      <c r="AN4984" s="1115"/>
      <c r="AO4984" s="1115"/>
      <c r="AP4984" s="1115"/>
      <c r="AQ4984" s="1115"/>
      <c r="AR4984" s="1115"/>
      <c r="AS4984" s="1117"/>
      <c r="AT4984" s="1075"/>
      <c r="AU4984" s="1193"/>
      <c r="AV4984" s="330"/>
      <c r="AW4984" s="331"/>
      <c r="AX4984" s="331"/>
      <c r="AY4984" s="331"/>
      <c r="AZ4984" s="331"/>
      <c r="BA4984" s="331"/>
      <c r="BB4984" s="331"/>
      <c r="BC4984" s="331"/>
      <c r="BD4984" s="331"/>
      <c r="BE4984" s="333"/>
      <c r="BF4984" s="330"/>
      <c r="BG4984" s="333"/>
      <c r="BH4984" s="1119"/>
      <c r="BI4984" s="319"/>
      <c r="BJ4984" s="319"/>
      <c r="BK4984" s="319"/>
      <c r="BL4984" s="319"/>
      <c r="BM4984" s="319"/>
      <c r="BN4984" s="319"/>
      <c r="BO4984" s="319"/>
      <c r="BP4984" s="953"/>
      <c r="BQ4984" s="319"/>
      <c r="BR4984" s="319"/>
      <c r="BS4984" s="330"/>
      <c r="BT4984" s="331"/>
      <c r="BU4984" s="920"/>
      <c r="BV4984" s="903"/>
      <c r="BW4984" s="908"/>
      <c r="BX4984" s="908"/>
      <c r="BY4984" s="331"/>
      <c r="BZ4984" s="331"/>
      <c r="CA4984" s="462"/>
      <c r="CB4984" s="319"/>
      <c r="CC4984" s="319"/>
      <c r="CD4984" s="319"/>
      <c r="CE4984" s="319"/>
      <c r="CF4984" s="319"/>
      <c r="CG4984" s="319"/>
      <c r="CH4984" s="318"/>
      <c r="CI4984" s="319"/>
      <c r="CJ4984" s="319"/>
      <c r="CK4984" s="342"/>
      <c r="CL4984" s="333"/>
      <c r="CM4984" s="1079"/>
      <c r="CN4984" s="1005"/>
      <c r="CO4984" s="1005"/>
      <c r="CP4984" s="1005"/>
    </row>
    <row r="4985">
      <c r="A4985" s="1257"/>
      <c r="B4985" s="1113"/>
      <c r="C4985" s="1107"/>
      <c r="D4985" s="103"/>
      <c r="E4985" s="1137"/>
      <c r="F4985" s="112"/>
      <c r="G4985" s="1110"/>
      <c r="H4985" s="1138"/>
      <c r="I4985" s="1138"/>
      <c r="J4985" s="1139"/>
      <c r="K4985" s="1111"/>
      <c r="L4985" s="1112"/>
      <c r="M4985" s="1113"/>
      <c r="N4985" s="110"/>
      <c r="O4985" s="1140"/>
      <c r="P4985" s="1115"/>
      <c r="Q4985" s="1116"/>
      <c r="R4985" s="1141"/>
      <c r="S4985" s="1113"/>
      <c r="T4985" s="1143"/>
      <c r="U4985" s="1108"/>
      <c r="V4985" s="1108"/>
      <c r="W4985" s="1108"/>
      <c r="X4985" s="1108"/>
      <c r="Y4985" s="1108"/>
      <c r="Z4985" s="1114"/>
      <c r="AA4985" s="1114"/>
      <c r="AB4985" s="1114"/>
      <c r="AC4985" s="1117"/>
      <c r="AD4985" s="1115"/>
      <c r="AE4985" s="1115"/>
      <c r="AF4985" s="1115"/>
      <c r="AG4985" s="1115"/>
      <c r="AH4985" s="1115"/>
      <c r="AI4985" s="1115"/>
      <c r="AJ4985" s="1117"/>
      <c r="AK4985" s="1118"/>
      <c r="AL4985" s="1115"/>
      <c r="AM4985" s="1115"/>
      <c r="AN4985" s="1115"/>
      <c r="AO4985" s="1115"/>
      <c r="AP4985" s="1115"/>
      <c r="AQ4985" s="1115"/>
      <c r="AR4985" s="1115"/>
      <c r="AS4985" s="1117"/>
      <c r="AT4985" s="1075"/>
      <c r="AU4985" s="1193"/>
      <c r="AV4985" s="330"/>
      <c r="AW4985" s="331"/>
      <c r="AX4985" s="331"/>
      <c r="AY4985" s="331"/>
      <c r="AZ4985" s="331"/>
      <c r="BA4985" s="331"/>
      <c r="BB4985" s="331"/>
      <c r="BC4985" s="331"/>
      <c r="BD4985" s="331"/>
      <c r="BE4985" s="333"/>
      <c r="BF4985" s="330"/>
      <c r="BG4985" s="333"/>
      <c r="BH4985" s="1119"/>
      <c r="BI4985" s="319"/>
      <c r="BJ4985" s="319"/>
      <c r="BK4985" s="319"/>
      <c r="BL4985" s="319"/>
      <c r="BM4985" s="319"/>
      <c r="BN4985" s="319"/>
      <c r="BO4985" s="319"/>
      <c r="BP4985" s="953"/>
      <c r="BQ4985" s="319"/>
      <c r="BR4985" s="319"/>
      <c r="BS4985" s="330"/>
      <c r="BT4985" s="331"/>
      <c r="BU4985" s="920"/>
      <c r="BV4985" s="903"/>
      <c r="BW4985" s="908"/>
      <c r="BX4985" s="908"/>
      <c r="BY4985" s="331"/>
      <c r="BZ4985" s="331"/>
      <c r="CA4985" s="462"/>
      <c r="CB4985" s="319"/>
      <c r="CC4985" s="319"/>
      <c r="CD4985" s="319"/>
      <c r="CE4985" s="319"/>
      <c r="CF4985" s="319"/>
      <c r="CG4985" s="319"/>
      <c r="CH4985" s="318"/>
      <c r="CI4985" s="319"/>
      <c r="CJ4985" s="319"/>
      <c r="CK4985" s="342"/>
      <c r="CL4985" s="333"/>
      <c r="CM4985" s="1079"/>
      <c r="CN4985" s="1005"/>
      <c r="CO4985" s="1005"/>
      <c r="CP4985" s="1005"/>
    </row>
    <row r="4986">
      <c r="A4986" s="1257"/>
      <c r="B4986" s="1113"/>
      <c r="C4986" s="1107"/>
      <c r="D4986" s="103"/>
      <c r="E4986" s="1137"/>
      <c r="F4986" s="112"/>
      <c r="G4986" s="1110"/>
      <c r="H4986" s="1138"/>
      <c r="I4986" s="1138"/>
      <c r="J4986" s="1139"/>
      <c r="K4986" s="1111"/>
      <c r="L4986" s="1112"/>
      <c r="M4986" s="1113"/>
      <c r="N4986" s="110"/>
      <c r="O4986" s="1140"/>
      <c r="P4986" s="1115"/>
      <c r="Q4986" s="1116"/>
      <c r="R4986" s="1141"/>
      <c r="S4986" s="1113"/>
      <c r="T4986" s="1143"/>
      <c r="U4986" s="1108"/>
      <c r="V4986" s="1108"/>
      <c r="W4986" s="1108"/>
      <c r="X4986" s="1108"/>
      <c r="Y4986" s="1108"/>
      <c r="Z4986" s="1114"/>
      <c r="AA4986" s="1114"/>
      <c r="AB4986" s="1114"/>
      <c r="AC4986" s="1117"/>
      <c r="AD4986" s="1115"/>
      <c r="AE4986" s="1115"/>
      <c r="AF4986" s="1115"/>
      <c r="AG4986" s="1115"/>
      <c r="AH4986" s="1115"/>
      <c r="AI4986" s="1115"/>
      <c r="AJ4986" s="1117"/>
      <c r="AK4986" s="1118"/>
      <c r="AL4986" s="1115"/>
      <c r="AM4986" s="1115"/>
      <c r="AN4986" s="1115"/>
      <c r="AO4986" s="1115"/>
      <c r="AP4986" s="1115"/>
      <c r="AQ4986" s="1115"/>
      <c r="AR4986" s="1115"/>
      <c r="AS4986" s="1117"/>
      <c r="AT4986" s="1075"/>
      <c r="AU4986" s="1193"/>
      <c r="AV4986" s="330"/>
      <c r="AW4986" s="331"/>
      <c r="AX4986" s="331"/>
      <c r="AY4986" s="331"/>
      <c r="AZ4986" s="331"/>
      <c r="BA4986" s="331"/>
      <c r="BB4986" s="331"/>
      <c r="BC4986" s="331"/>
      <c r="BD4986" s="331"/>
      <c r="BE4986" s="333"/>
      <c r="BF4986" s="330"/>
      <c r="BG4986" s="333"/>
      <c r="BH4986" s="1119"/>
      <c r="BI4986" s="319"/>
      <c r="BJ4986" s="319"/>
      <c r="BK4986" s="319"/>
      <c r="BL4986" s="319"/>
      <c r="BM4986" s="319"/>
      <c r="BN4986" s="319"/>
      <c r="BO4986" s="319"/>
      <c r="BP4986" s="953"/>
      <c r="BQ4986" s="319"/>
      <c r="BR4986" s="319"/>
      <c r="BS4986" s="330"/>
      <c r="BT4986" s="331"/>
      <c r="BU4986" s="920"/>
      <c r="BV4986" s="903"/>
      <c r="BW4986" s="908"/>
      <c r="BX4986" s="908"/>
      <c r="BY4986" s="331"/>
      <c r="BZ4986" s="331"/>
      <c r="CA4986" s="462"/>
      <c r="CB4986" s="319"/>
      <c r="CC4986" s="319"/>
      <c r="CD4986" s="319"/>
      <c r="CE4986" s="319"/>
      <c r="CF4986" s="319"/>
      <c r="CG4986" s="319"/>
      <c r="CH4986" s="318"/>
      <c r="CI4986" s="319"/>
      <c r="CJ4986" s="319"/>
      <c r="CK4986" s="342"/>
      <c r="CL4986" s="333"/>
      <c r="CM4986" s="1079"/>
      <c r="CN4986" s="1005"/>
      <c r="CO4986" s="1005"/>
      <c r="CP4986" s="1005"/>
    </row>
    <row r="4987">
      <c r="A4987" s="1257"/>
      <c r="B4987" s="1113"/>
      <c r="C4987" s="1107"/>
      <c r="D4987" s="103"/>
      <c r="E4987" s="1137"/>
      <c r="F4987" s="112"/>
      <c r="G4987" s="1110"/>
      <c r="H4987" s="1138"/>
      <c r="I4987" s="1138"/>
      <c r="J4987" s="1139"/>
      <c r="K4987" s="1111"/>
      <c r="L4987" s="1112"/>
      <c r="M4987" s="1113"/>
      <c r="N4987" s="110"/>
      <c r="O4987" s="1140"/>
      <c r="P4987" s="1115"/>
      <c r="Q4987" s="1116"/>
      <c r="R4987" s="1141"/>
      <c r="S4987" s="1113"/>
      <c r="T4987" s="1143"/>
      <c r="U4987" s="1108"/>
      <c r="V4987" s="1108"/>
      <c r="W4987" s="1108"/>
      <c r="X4987" s="1108"/>
      <c r="Y4987" s="1108"/>
      <c r="Z4987" s="1114"/>
      <c r="AA4987" s="1114"/>
      <c r="AB4987" s="1114"/>
      <c r="AC4987" s="1117"/>
      <c r="AD4987" s="1115"/>
      <c r="AE4987" s="1115"/>
      <c r="AF4987" s="1115"/>
      <c r="AG4987" s="1115"/>
      <c r="AH4987" s="1115"/>
      <c r="AI4987" s="1115"/>
      <c r="AJ4987" s="1117"/>
      <c r="AK4987" s="1118"/>
      <c r="AL4987" s="1115"/>
      <c r="AM4987" s="1115"/>
      <c r="AN4987" s="1115"/>
      <c r="AO4987" s="1115"/>
      <c r="AP4987" s="1115"/>
      <c r="AQ4987" s="1115"/>
      <c r="AR4987" s="1115"/>
      <c r="AS4987" s="1117"/>
      <c r="AT4987" s="1075"/>
      <c r="AU4987" s="1193"/>
      <c r="AV4987" s="330"/>
      <c r="AW4987" s="331"/>
      <c r="AX4987" s="331"/>
      <c r="AY4987" s="331"/>
      <c r="AZ4987" s="331"/>
      <c r="BA4987" s="331"/>
      <c r="BB4987" s="331"/>
      <c r="BC4987" s="331"/>
      <c r="BD4987" s="331"/>
      <c r="BE4987" s="333"/>
      <c r="BF4987" s="330"/>
      <c r="BG4987" s="333"/>
      <c r="BH4987" s="1119"/>
      <c r="BI4987" s="319"/>
      <c r="BJ4987" s="319"/>
      <c r="BK4987" s="319"/>
      <c r="BL4987" s="319"/>
      <c r="BM4987" s="319"/>
      <c r="BN4987" s="319"/>
      <c r="BO4987" s="319"/>
      <c r="BP4987" s="953"/>
      <c r="BQ4987" s="319"/>
      <c r="BR4987" s="319"/>
      <c r="BS4987" s="330"/>
      <c r="BT4987" s="331"/>
      <c r="BU4987" s="920"/>
      <c r="BV4987" s="903"/>
      <c r="BW4987" s="908"/>
      <c r="BX4987" s="908"/>
      <c r="BY4987" s="331"/>
      <c r="BZ4987" s="331"/>
      <c r="CA4987" s="462"/>
      <c r="CB4987" s="319"/>
      <c r="CC4987" s="319"/>
      <c r="CD4987" s="319"/>
      <c r="CE4987" s="319"/>
      <c r="CF4987" s="319"/>
      <c r="CG4987" s="319"/>
      <c r="CH4987" s="318"/>
      <c r="CI4987" s="319"/>
      <c r="CJ4987" s="319"/>
      <c r="CK4987" s="342"/>
      <c r="CL4987" s="333"/>
      <c r="CM4987" s="1079"/>
      <c r="CN4987" s="1005"/>
      <c r="CO4987" s="1005"/>
      <c r="CP4987" s="1005"/>
    </row>
    <row r="4988">
      <c r="A4988" s="1257"/>
      <c r="B4988" s="1113"/>
      <c r="C4988" s="1107"/>
      <c r="D4988" s="103"/>
      <c r="E4988" s="1137"/>
      <c r="F4988" s="112"/>
      <c r="G4988" s="1110"/>
      <c r="H4988" s="1138"/>
      <c r="I4988" s="1138"/>
      <c r="J4988" s="1139"/>
      <c r="K4988" s="1111"/>
      <c r="L4988" s="1112"/>
      <c r="M4988" s="1113"/>
      <c r="N4988" s="110"/>
      <c r="O4988" s="1140"/>
      <c r="P4988" s="1115"/>
      <c r="Q4988" s="1116"/>
      <c r="R4988" s="1141"/>
      <c r="S4988" s="1113"/>
      <c r="T4988" s="1143"/>
      <c r="U4988" s="1108"/>
      <c r="V4988" s="1108"/>
      <c r="W4988" s="1108"/>
      <c r="X4988" s="1108"/>
      <c r="Y4988" s="1108"/>
      <c r="Z4988" s="1114"/>
      <c r="AA4988" s="1114"/>
      <c r="AB4988" s="1114"/>
      <c r="AC4988" s="1117"/>
      <c r="AD4988" s="1115"/>
      <c r="AE4988" s="1115"/>
      <c r="AF4988" s="1115"/>
      <c r="AG4988" s="1115"/>
      <c r="AH4988" s="1115"/>
      <c r="AI4988" s="1115"/>
      <c r="AJ4988" s="1117"/>
      <c r="AK4988" s="1118"/>
      <c r="AL4988" s="1115"/>
      <c r="AM4988" s="1115"/>
      <c r="AN4988" s="1115"/>
      <c r="AO4988" s="1115"/>
      <c r="AP4988" s="1115"/>
      <c r="AQ4988" s="1115"/>
      <c r="AR4988" s="1115"/>
      <c r="AS4988" s="1117"/>
      <c r="AT4988" s="1075"/>
      <c r="AU4988" s="1193"/>
      <c r="AV4988" s="330"/>
      <c r="AW4988" s="331"/>
      <c r="AX4988" s="331"/>
      <c r="AY4988" s="331"/>
      <c r="AZ4988" s="331"/>
      <c r="BA4988" s="331"/>
      <c r="BB4988" s="331"/>
      <c r="BC4988" s="331"/>
      <c r="BD4988" s="331"/>
      <c r="BE4988" s="333"/>
      <c r="BF4988" s="330"/>
      <c r="BG4988" s="333"/>
      <c r="BH4988" s="1119"/>
      <c r="BI4988" s="319"/>
      <c r="BJ4988" s="319"/>
      <c r="BK4988" s="319"/>
      <c r="BL4988" s="319"/>
      <c r="BM4988" s="319"/>
      <c r="BN4988" s="319"/>
      <c r="BO4988" s="319"/>
      <c r="BP4988" s="953"/>
      <c r="BQ4988" s="319"/>
      <c r="BR4988" s="319"/>
      <c r="BS4988" s="330"/>
      <c r="BT4988" s="331"/>
      <c r="BU4988" s="920"/>
      <c r="BV4988" s="903"/>
      <c r="BW4988" s="908"/>
      <c r="BX4988" s="908"/>
      <c r="BY4988" s="331"/>
      <c r="BZ4988" s="331"/>
      <c r="CA4988" s="462"/>
      <c r="CB4988" s="319"/>
      <c r="CC4988" s="319"/>
      <c r="CD4988" s="319"/>
      <c r="CE4988" s="319"/>
      <c r="CF4988" s="319"/>
      <c r="CG4988" s="319"/>
      <c r="CH4988" s="318"/>
      <c r="CI4988" s="319"/>
      <c r="CJ4988" s="319"/>
      <c r="CK4988" s="342"/>
      <c r="CL4988" s="333"/>
      <c r="CM4988" s="1079"/>
      <c r="CN4988" s="1005"/>
      <c r="CO4988" s="1005"/>
      <c r="CP4988" s="1005"/>
    </row>
    <row r="4989">
      <c r="A4989" s="1257"/>
      <c r="B4989" s="1113"/>
      <c r="C4989" s="1107"/>
      <c r="D4989" s="103"/>
      <c r="E4989" s="1137"/>
      <c r="F4989" s="112"/>
      <c r="G4989" s="1110"/>
      <c r="H4989" s="1138"/>
      <c r="I4989" s="1138"/>
      <c r="J4989" s="1139"/>
      <c r="K4989" s="1111"/>
      <c r="L4989" s="1112"/>
      <c r="M4989" s="1113"/>
      <c r="N4989" s="110"/>
      <c r="O4989" s="1140"/>
      <c r="P4989" s="1115"/>
      <c r="Q4989" s="1116"/>
      <c r="R4989" s="1141"/>
      <c r="S4989" s="1113"/>
      <c r="T4989" s="1143"/>
      <c r="U4989" s="1108"/>
      <c r="V4989" s="1108"/>
      <c r="W4989" s="1108"/>
      <c r="X4989" s="1108"/>
      <c r="Y4989" s="1108"/>
      <c r="Z4989" s="1114"/>
      <c r="AA4989" s="1114"/>
      <c r="AB4989" s="1114"/>
      <c r="AC4989" s="1117"/>
      <c r="AD4989" s="1115"/>
      <c r="AE4989" s="1115"/>
      <c r="AF4989" s="1115"/>
      <c r="AG4989" s="1115"/>
      <c r="AH4989" s="1115"/>
      <c r="AI4989" s="1115"/>
      <c r="AJ4989" s="1117"/>
      <c r="AK4989" s="1118"/>
      <c r="AL4989" s="1115"/>
      <c r="AM4989" s="1115"/>
      <c r="AN4989" s="1115"/>
      <c r="AO4989" s="1115"/>
      <c r="AP4989" s="1115"/>
      <c r="AQ4989" s="1115"/>
      <c r="AR4989" s="1115"/>
      <c r="AS4989" s="1117"/>
      <c r="AT4989" s="1075"/>
      <c r="AU4989" s="1193"/>
      <c r="AV4989" s="330"/>
      <c r="AW4989" s="331"/>
      <c r="AX4989" s="331"/>
      <c r="AY4989" s="331"/>
      <c r="AZ4989" s="331"/>
      <c r="BA4989" s="331"/>
      <c r="BB4989" s="331"/>
      <c r="BC4989" s="331"/>
      <c r="BD4989" s="331"/>
      <c r="BE4989" s="333"/>
      <c r="BF4989" s="330"/>
      <c r="BG4989" s="333"/>
      <c r="BH4989" s="1119"/>
      <c r="BI4989" s="319"/>
      <c r="BJ4989" s="319"/>
      <c r="BK4989" s="319"/>
      <c r="BL4989" s="319"/>
      <c r="BM4989" s="319"/>
      <c r="BN4989" s="319"/>
      <c r="BO4989" s="319"/>
      <c r="BP4989" s="953"/>
      <c r="BQ4989" s="319"/>
      <c r="BR4989" s="319"/>
      <c r="BS4989" s="330"/>
      <c r="BT4989" s="331"/>
      <c r="BU4989" s="920"/>
      <c r="BV4989" s="903"/>
      <c r="BW4989" s="908"/>
      <c r="BX4989" s="908"/>
      <c r="BY4989" s="331"/>
      <c r="BZ4989" s="331"/>
      <c r="CA4989" s="462"/>
      <c r="CB4989" s="319"/>
      <c r="CC4989" s="319"/>
      <c r="CD4989" s="319"/>
      <c r="CE4989" s="319"/>
      <c r="CF4989" s="319"/>
      <c r="CG4989" s="319"/>
      <c r="CH4989" s="318"/>
      <c r="CI4989" s="319"/>
      <c r="CJ4989" s="319"/>
      <c r="CK4989" s="342"/>
      <c r="CL4989" s="333"/>
      <c r="CM4989" s="1079"/>
      <c r="CN4989" s="1005"/>
      <c r="CO4989" s="1005"/>
      <c r="CP4989" s="1005"/>
    </row>
    <row r="4990">
      <c r="A4990" s="1257"/>
      <c r="B4990" s="1113"/>
      <c r="C4990" s="1107"/>
      <c r="D4990" s="103"/>
      <c r="E4990" s="1137"/>
      <c r="F4990" s="112"/>
      <c r="G4990" s="1110"/>
      <c r="H4990" s="1138"/>
      <c r="I4990" s="1138"/>
      <c r="J4990" s="1139"/>
      <c r="K4990" s="1111"/>
      <c r="L4990" s="1112"/>
      <c r="M4990" s="1113"/>
      <c r="N4990" s="110"/>
      <c r="O4990" s="1140"/>
      <c r="P4990" s="1115"/>
      <c r="Q4990" s="1116"/>
      <c r="R4990" s="1141"/>
      <c r="S4990" s="1113"/>
      <c r="T4990" s="1143"/>
      <c r="U4990" s="1108"/>
      <c r="V4990" s="1108"/>
      <c r="W4990" s="1108"/>
      <c r="X4990" s="1108"/>
      <c r="Y4990" s="1108"/>
      <c r="Z4990" s="1114"/>
      <c r="AA4990" s="1114"/>
      <c r="AB4990" s="1114"/>
      <c r="AC4990" s="1117"/>
      <c r="AD4990" s="1115"/>
      <c r="AE4990" s="1115"/>
      <c r="AF4990" s="1115"/>
      <c r="AG4990" s="1115"/>
      <c r="AH4990" s="1115"/>
      <c r="AI4990" s="1115"/>
      <c r="AJ4990" s="1117"/>
      <c r="AK4990" s="1118"/>
      <c r="AL4990" s="1115"/>
      <c r="AM4990" s="1115"/>
      <c r="AN4990" s="1115"/>
      <c r="AO4990" s="1115"/>
      <c r="AP4990" s="1115"/>
      <c r="AQ4990" s="1115"/>
      <c r="AR4990" s="1115"/>
      <c r="AS4990" s="1117"/>
      <c r="AT4990" s="1075"/>
      <c r="AU4990" s="1193"/>
      <c r="AV4990" s="330"/>
      <c r="AW4990" s="331"/>
      <c r="AX4990" s="331"/>
      <c r="AY4990" s="331"/>
      <c r="AZ4990" s="331"/>
      <c r="BA4990" s="331"/>
      <c r="BB4990" s="331"/>
      <c r="BC4990" s="331"/>
      <c r="BD4990" s="331"/>
      <c r="BE4990" s="333"/>
      <c r="BF4990" s="330"/>
      <c r="BG4990" s="333"/>
      <c r="BH4990" s="1119"/>
      <c r="BI4990" s="319"/>
      <c r="BJ4990" s="319"/>
      <c r="BK4990" s="319"/>
      <c r="BL4990" s="319"/>
      <c r="BM4990" s="319"/>
      <c r="BN4990" s="319"/>
      <c r="BO4990" s="319"/>
      <c r="BP4990" s="953"/>
      <c r="BQ4990" s="319"/>
      <c r="BR4990" s="319"/>
      <c r="BS4990" s="330"/>
      <c r="BT4990" s="331"/>
      <c r="BU4990" s="920"/>
      <c r="BV4990" s="903"/>
      <c r="BW4990" s="908"/>
      <c r="BX4990" s="908"/>
      <c r="BY4990" s="331"/>
      <c r="BZ4990" s="331"/>
      <c r="CA4990" s="462"/>
      <c r="CB4990" s="319"/>
      <c r="CC4990" s="319"/>
      <c r="CD4990" s="319"/>
      <c r="CE4990" s="319"/>
      <c r="CF4990" s="319"/>
      <c r="CG4990" s="319"/>
      <c r="CH4990" s="318"/>
      <c r="CI4990" s="319"/>
      <c r="CJ4990" s="319"/>
      <c r="CK4990" s="342"/>
      <c r="CL4990" s="333"/>
      <c r="CM4990" s="1079"/>
      <c r="CN4990" s="1005"/>
      <c r="CO4990" s="1005"/>
      <c r="CP4990" s="1005"/>
    </row>
    <row r="4991">
      <c r="A4991" s="1257"/>
      <c r="B4991" s="1113"/>
      <c r="C4991" s="1107"/>
      <c r="D4991" s="103"/>
      <c r="E4991" s="1137"/>
      <c r="F4991" s="112"/>
      <c r="G4991" s="1110"/>
      <c r="H4991" s="1138"/>
      <c r="I4991" s="1138"/>
      <c r="J4991" s="1139"/>
      <c r="K4991" s="1111"/>
      <c r="L4991" s="1112"/>
      <c r="M4991" s="1113"/>
      <c r="N4991" s="110"/>
      <c r="O4991" s="1140"/>
      <c r="P4991" s="1115"/>
      <c r="Q4991" s="1116"/>
      <c r="R4991" s="1141"/>
      <c r="S4991" s="1113"/>
      <c r="T4991" s="1143"/>
      <c r="U4991" s="1108"/>
      <c r="V4991" s="1108"/>
      <c r="W4991" s="1108"/>
      <c r="X4991" s="1108"/>
      <c r="Y4991" s="1108"/>
      <c r="Z4991" s="1114"/>
      <c r="AA4991" s="1114"/>
      <c r="AB4991" s="1114"/>
      <c r="AC4991" s="1117"/>
      <c r="AD4991" s="1115"/>
      <c r="AE4991" s="1115"/>
      <c r="AF4991" s="1115"/>
      <c r="AG4991" s="1115"/>
      <c r="AH4991" s="1115"/>
      <c r="AI4991" s="1115"/>
      <c r="AJ4991" s="1117"/>
      <c r="AK4991" s="1118"/>
      <c r="AL4991" s="1115"/>
      <c r="AM4991" s="1115"/>
      <c r="AN4991" s="1115"/>
      <c r="AO4991" s="1115"/>
      <c r="AP4991" s="1115"/>
      <c r="AQ4991" s="1115"/>
      <c r="AR4991" s="1115"/>
      <c r="AS4991" s="1117"/>
      <c r="AT4991" s="1075"/>
      <c r="AU4991" s="1193"/>
      <c r="AV4991" s="330"/>
      <c r="AW4991" s="331"/>
      <c r="AX4991" s="331"/>
      <c r="AY4991" s="331"/>
      <c r="AZ4991" s="331"/>
      <c r="BA4991" s="331"/>
      <c r="BB4991" s="331"/>
      <c r="BC4991" s="331"/>
      <c r="BD4991" s="331"/>
      <c r="BE4991" s="333"/>
      <c r="BF4991" s="330"/>
      <c r="BG4991" s="333"/>
      <c r="BH4991" s="1119"/>
      <c r="BI4991" s="319"/>
      <c r="BJ4991" s="319"/>
      <c r="BK4991" s="319"/>
      <c r="BL4991" s="319"/>
      <c r="BM4991" s="319"/>
      <c r="BN4991" s="319"/>
      <c r="BO4991" s="319"/>
      <c r="BP4991" s="953"/>
      <c r="BQ4991" s="319"/>
      <c r="BR4991" s="319"/>
      <c r="BS4991" s="330"/>
      <c r="BT4991" s="331"/>
      <c r="BU4991" s="920"/>
      <c r="BV4991" s="903"/>
      <c r="BW4991" s="908"/>
      <c r="BX4991" s="908"/>
      <c r="BY4991" s="331"/>
      <c r="BZ4991" s="331"/>
      <c r="CA4991" s="462"/>
      <c r="CB4991" s="319"/>
      <c r="CC4991" s="319"/>
      <c r="CD4991" s="319"/>
      <c r="CE4991" s="319"/>
      <c r="CF4991" s="319"/>
      <c r="CG4991" s="319"/>
      <c r="CH4991" s="318"/>
      <c r="CI4991" s="319"/>
      <c r="CJ4991" s="319"/>
      <c r="CK4991" s="342"/>
      <c r="CL4991" s="333"/>
      <c r="CM4991" s="1079"/>
      <c r="CN4991" s="1005"/>
      <c r="CO4991" s="1005"/>
      <c r="CP4991" s="1005"/>
    </row>
    <row r="4992">
      <c r="A4992" s="1257"/>
      <c r="B4992" s="1113"/>
      <c r="C4992" s="1107"/>
      <c r="D4992" s="103"/>
      <c r="E4992" s="1137"/>
      <c r="F4992" s="112"/>
      <c r="G4992" s="1110"/>
      <c r="H4992" s="1138"/>
      <c r="I4992" s="1138"/>
      <c r="J4992" s="1139"/>
      <c r="K4992" s="1111"/>
      <c r="L4992" s="1112"/>
      <c r="M4992" s="1113"/>
      <c r="N4992" s="110"/>
      <c r="O4992" s="1140"/>
      <c r="P4992" s="1115"/>
      <c r="Q4992" s="1116"/>
      <c r="R4992" s="1141"/>
      <c r="S4992" s="1113"/>
      <c r="T4992" s="1143"/>
      <c r="U4992" s="1108"/>
      <c r="V4992" s="1108"/>
      <c r="W4992" s="1108"/>
      <c r="X4992" s="1108"/>
      <c r="Y4992" s="1108"/>
      <c r="Z4992" s="1114"/>
      <c r="AA4992" s="1114"/>
      <c r="AB4992" s="1114"/>
      <c r="AC4992" s="1117"/>
      <c r="AD4992" s="1115"/>
      <c r="AE4992" s="1115"/>
      <c r="AF4992" s="1115"/>
      <c r="AG4992" s="1115"/>
      <c r="AH4992" s="1115"/>
      <c r="AI4992" s="1115"/>
      <c r="AJ4992" s="1117"/>
      <c r="AK4992" s="1118"/>
      <c r="AL4992" s="1115"/>
      <c r="AM4992" s="1115"/>
      <c r="AN4992" s="1115"/>
      <c r="AO4992" s="1115"/>
      <c r="AP4992" s="1115"/>
      <c r="AQ4992" s="1115"/>
      <c r="AR4992" s="1115"/>
      <c r="AS4992" s="1117"/>
      <c r="AT4992" s="1075"/>
      <c r="AU4992" s="1193"/>
      <c r="AV4992" s="330"/>
      <c r="AW4992" s="331"/>
      <c r="AX4992" s="331"/>
      <c r="AY4992" s="331"/>
      <c r="AZ4992" s="331"/>
      <c r="BA4992" s="331"/>
      <c r="BB4992" s="331"/>
      <c r="BC4992" s="331"/>
      <c r="BD4992" s="331"/>
      <c r="BE4992" s="333"/>
      <c r="BF4992" s="330"/>
      <c r="BG4992" s="333"/>
      <c r="BH4992" s="1119"/>
      <c r="BI4992" s="319"/>
      <c r="BJ4992" s="319"/>
      <c r="BK4992" s="319"/>
      <c r="BL4992" s="319"/>
      <c r="BM4992" s="319"/>
      <c r="BN4992" s="319"/>
      <c r="BO4992" s="319"/>
      <c r="BP4992" s="953"/>
      <c r="BQ4992" s="319"/>
      <c r="BR4992" s="319"/>
      <c r="BS4992" s="330"/>
      <c r="BT4992" s="331"/>
      <c r="BU4992" s="920"/>
      <c r="BV4992" s="903"/>
      <c r="BW4992" s="908"/>
      <c r="BX4992" s="908"/>
      <c r="BY4992" s="331"/>
      <c r="BZ4992" s="331"/>
      <c r="CA4992" s="462"/>
      <c r="CB4992" s="319"/>
      <c r="CC4992" s="319"/>
      <c r="CD4992" s="319"/>
      <c r="CE4992" s="319"/>
      <c r="CF4992" s="319"/>
      <c r="CG4992" s="319"/>
      <c r="CH4992" s="318"/>
      <c r="CI4992" s="319"/>
      <c r="CJ4992" s="319"/>
      <c r="CK4992" s="342"/>
      <c r="CL4992" s="333"/>
      <c r="CM4992" s="1079"/>
      <c r="CN4992" s="1005"/>
      <c r="CO4992" s="1005"/>
      <c r="CP4992" s="1005"/>
    </row>
    <row r="4993">
      <c r="A4993" s="1257"/>
      <c r="B4993" s="1113"/>
      <c r="C4993" s="1107"/>
      <c r="D4993" s="103"/>
      <c r="E4993" s="1137"/>
      <c r="F4993" s="112"/>
      <c r="G4993" s="1110"/>
      <c r="H4993" s="1138"/>
      <c r="I4993" s="1138"/>
      <c r="J4993" s="1139"/>
      <c r="K4993" s="1111"/>
      <c r="L4993" s="1112"/>
      <c r="M4993" s="1113"/>
      <c r="N4993" s="110"/>
      <c r="O4993" s="1140"/>
      <c r="P4993" s="1115"/>
      <c r="Q4993" s="1116"/>
      <c r="R4993" s="1141"/>
      <c r="S4993" s="1113"/>
      <c r="T4993" s="1143"/>
      <c r="U4993" s="1108"/>
      <c r="V4993" s="1108"/>
      <c r="W4993" s="1108"/>
      <c r="X4993" s="1108"/>
      <c r="Y4993" s="1108"/>
      <c r="Z4993" s="1114"/>
      <c r="AA4993" s="1114"/>
      <c r="AB4993" s="1114"/>
      <c r="AC4993" s="1117"/>
      <c r="AD4993" s="1115"/>
      <c r="AE4993" s="1115"/>
      <c r="AF4993" s="1115"/>
      <c r="AG4993" s="1115"/>
      <c r="AH4993" s="1115"/>
      <c r="AI4993" s="1115"/>
      <c r="AJ4993" s="1117"/>
      <c r="AK4993" s="1118"/>
      <c r="AL4993" s="1115"/>
      <c r="AM4993" s="1115"/>
      <c r="AN4993" s="1115"/>
      <c r="AO4993" s="1115"/>
      <c r="AP4993" s="1115"/>
      <c r="AQ4993" s="1115"/>
      <c r="AR4993" s="1115"/>
      <c r="AS4993" s="1117"/>
      <c r="AT4993" s="1075"/>
      <c r="AU4993" s="1193"/>
      <c r="AV4993" s="330"/>
      <c r="AW4993" s="331"/>
      <c r="AX4993" s="331"/>
      <c r="AY4993" s="331"/>
      <c r="AZ4993" s="331"/>
      <c r="BA4993" s="331"/>
      <c r="BB4993" s="331"/>
      <c r="BC4993" s="331"/>
      <c r="BD4993" s="331"/>
      <c r="BE4993" s="333"/>
      <c r="BF4993" s="330"/>
      <c r="BG4993" s="333"/>
      <c r="BH4993" s="1119"/>
      <c r="BI4993" s="319"/>
      <c r="BJ4993" s="319"/>
      <c r="BK4993" s="319"/>
      <c r="BL4993" s="319"/>
      <c r="BM4993" s="319"/>
      <c r="BN4993" s="319"/>
      <c r="BO4993" s="319"/>
      <c r="BP4993" s="953"/>
      <c r="BQ4993" s="319"/>
      <c r="BR4993" s="319"/>
      <c r="BS4993" s="330"/>
      <c r="BT4993" s="331"/>
      <c r="BU4993" s="920"/>
      <c r="BV4993" s="903"/>
      <c r="BW4993" s="908"/>
      <c r="BX4993" s="908"/>
      <c r="BY4993" s="331"/>
      <c r="BZ4993" s="331"/>
      <c r="CA4993" s="462"/>
      <c r="CB4993" s="319"/>
      <c r="CC4993" s="319"/>
      <c r="CD4993" s="319"/>
      <c r="CE4993" s="319"/>
      <c r="CF4993" s="319"/>
      <c r="CG4993" s="319"/>
      <c r="CH4993" s="318"/>
      <c r="CI4993" s="319"/>
      <c r="CJ4993" s="319"/>
      <c r="CK4993" s="342"/>
      <c r="CL4993" s="333"/>
      <c r="CM4993" s="1079"/>
      <c r="CN4993" s="1005"/>
      <c r="CO4993" s="1005"/>
      <c r="CP4993" s="1005"/>
    </row>
    <row r="4994">
      <c r="A4994" s="1257"/>
      <c r="B4994" s="1113"/>
      <c r="C4994" s="1107"/>
      <c r="D4994" s="103"/>
      <c r="E4994" s="1137"/>
      <c r="F4994" s="112"/>
      <c r="G4994" s="1110"/>
      <c r="H4994" s="1138"/>
      <c r="I4994" s="1138"/>
      <c r="J4994" s="1139"/>
      <c r="K4994" s="1111"/>
      <c r="L4994" s="1112"/>
      <c r="M4994" s="1113"/>
      <c r="N4994" s="110"/>
      <c r="O4994" s="1140"/>
      <c r="P4994" s="1115"/>
      <c r="Q4994" s="1116"/>
      <c r="R4994" s="1141"/>
      <c r="S4994" s="1113"/>
      <c r="T4994" s="1143"/>
      <c r="U4994" s="1108"/>
      <c r="V4994" s="1108"/>
      <c r="W4994" s="1108"/>
      <c r="X4994" s="1108"/>
      <c r="Y4994" s="1108"/>
      <c r="Z4994" s="1114"/>
      <c r="AA4994" s="1114"/>
      <c r="AB4994" s="1114"/>
      <c r="AC4994" s="1117"/>
      <c r="AD4994" s="1115"/>
      <c r="AE4994" s="1115"/>
      <c r="AF4994" s="1115"/>
      <c r="AG4994" s="1115"/>
      <c r="AH4994" s="1115"/>
      <c r="AI4994" s="1115"/>
      <c r="AJ4994" s="1117"/>
      <c r="AK4994" s="1118"/>
      <c r="AL4994" s="1115"/>
      <c r="AM4994" s="1115"/>
      <c r="AN4994" s="1115"/>
      <c r="AO4994" s="1115"/>
      <c r="AP4994" s="1115"/>
      <c r="AQ4994" s="1115"/>
      <c r="AR4994" s="1115"/>
      <c r="AS4994" s="1117"/>
      <c r="AT4994" s="1075"/>
      <c r="AU4994" s="1193"/>
      <c r="AV4994" s="330"/>
      <c r="AW4994" s="331"/>
      <c r="AX4994" s="331"/>
      <c r="AY4994" s="331"/>
      <c r="AZ4994" s="331"/>
      <c r="BA4994" s="331"/>
      <c r="BB4994" s="331"/>
      <c r="BC4994" s="331"/>
      <c r="BD4994" s="331"/>
      <c r="BE4994" s="333"/>
      <c r="BF4994" s="330"/>
      <c r="BG4994" s="333"/>
      <c r="BH4994" s="1119"/>
      <c r="BI4994" s="319"/>
      <c r="BJ4994" s="319"/>
      <c r="BK4994" s="319"/>
      <c r="BL4994" s="319"/>
      <c r="BM4994" s="319"/>
      <c r="BN4994" s="319"/>
      <c r="BO4994" s="319"/>
      <c r="BP4994" s="953"/>
      <c r="BQ4994" s="319"/>
      <c r="BR4994" s="319"/>
      <c r="BS4994" s="330"/>
      <c r="BT4994" s="331"/>
      <c r="BU4994" s="920"/>
      <c r="BV4994" s="903"/>
      <c r="BW4994" s="908"/>
      <c r="BX4994" s="908"/>
      <c r="BY4994" s="331"/>
      <c r="BZ4994" s="331"/>
      <c r="CA4994" s="462"/>
      <c r="CB4994" s="319"/>
      <c r="CC4994" s="319"/>
      <c r="CD4994" s="319"/>
      <c r="CE4994" s="319"/>
      <c r="CF4994" s="319"/>
      <c r="CG4994" s="319"/>
      <c r="CH4994" s="318"/>
      <c r="CI4994" s="319"/>
      <c r="CJ4994" s="319"/>
      <c r="CK4994" s="342"/>
      <c r="CL4994" s="333"/>
      <c r="CM4994" s="1079"/>
      <c r="CN4994" s="1005"/>
      <c r="CO4994" s="1005"/>
      <c r="CP4994" s="1005"/>
    </row>
    <row r="4995">
      <c r="A4995" s="1257"/>
      <c r="B4995" s="1113"/>
      <c r="C4995" s="1107"/>
      <c r="D4995" s="103"/>
      <c r="E4995" s="1137"/>
      <c r="F4995" s="112"/>
      <c r="G4995" s="1110"/>
      <c r="H4995" s="1138"/>
      <c r="I4995" s="1138"/>
      <c r="J4995" s="1139"/>
      <c r="K4995" s="1111"/>
      <c r="L4995" s="1112"/>
      <c r="M4995" s="1113"/>
      <c r="N4995" s="110"/>
      <c r="O4995" s="1140"/>
      <c r="P4995" s="1115"/>
      <c r="Q4995" s="1116"/>
      <c r="R4995" s="1141"/>
      <c r="S4995" s="1113"/>
      <c r="T4995" s="1143"/>
      <c r="U4995" s="1108"/>
      <c r="V4995" s="1108"/>
      <c r="W4995" s="1108"/>
      <c r="X4995" s="1108"/>
      <c r="Y4995" s="1108"/>
      <c r="Z4995" s="1114"/>
      <c r="AA4995" s="1114"/>
      <c r="AB4995" s="1114"/>
      <c r="AC4995" s="1117"/>
      <c r="AD4995" s="1115"/>
      <c r="AE4995" s="1115"/>
      <c r="AF4995" s="1115"/>
      <c r="AG4995" s="1115"/>
      <c r="AH4995" s="1115"/>
      <c r="AI4995" s="1115"/>
      <c r="AJ4995" s="1117"/>
      <c r="AK4995" s="1118"/>
      <c r="AL4995" s="1115"/>
      <c r="AM4995" s="1115"/>
      <c r="AN4995" s="1115"/>
      <c r="AO4995" s="1115"/>
      <c r="AP4995" s="1115"/>
      <c r="AQ4995" s="1115"/>
      <c r="AR4995" s="1115"/>
      <c r="AS4995" s="1117"/>
      <c r="AT4995" s="1075"/>
      <c r="AU4995" s="1193"/>
      <c r="AV4995" s="330"/>
      <c r="AW4995" s="331"/>
      <c r="AX4995" s="331"/>
      <c r="AY4995" s="331"/>
      <c r="AZ4995" s="331"/>
      <c r="BA4995" s="331"/>
      <c r="BB4995" s="331"/>
      <c r="BC4995" s="331"/>
      <c r="BD4995" s="331"/>
      <c r="BE4995" s="333"/>
      <c r="BF4995" s="330"/>
      <c r="BG4995" s="333"/>
      <c r="BH4995" s="1119"/>
      <c r="BI4995" s="319"/>
      <c r="BJ4995" s="319"/>
      <c r="BK4995" s="319"/>
      <c r="BL4995" s="319"/>
      <c r="BM4995" s="319"/>
      <c r="BN4995" s="319"/>
      <c r="BO4995" s="319"/>
      <c r="BP4995" s="953"/>
      <c r="BQ4995" s="319"/>
      <c r="BR4995" s="319"/>
      <c r="BS4995" s="330"/>
      <c r="BT4995" s="331"/>
      <c r="BU4995" s="920"/>
      <c r="BV4995" s="903"/>
      <c r="BW4995" s="908"/>
      <c r="BX4995" s="908"/>
      <c r="BY4995" s="331"/>
      <c r="BZ4995" s="331"/>
      <c r="CA4995" s="462"/>
      <c r="CB4995" s="319"/>
      <c r="CC4995" s="319"/>
      <c r="CD4995" s="319"/>
      <c r="CE4995" s="319"/>
      <c r="CF4995" s="319"/>
      <c r="CG4995" s="319"/>
      <c r="CH4995" s="318"/>
      <c r="CI4995" s="319"/>
      <c r="CJ4995" s="319"/>
      <c r="CK4995" s="342"/>
      <c r="CL4995" s="333"/>
      <c r="CM4995" s="1079"/>
      <c r="CN4995" s="1005"/>
      <c r="CO4995" s="1005"/>
      <c r="CP4995" s="1005"/>
    </row>
    <row r="4996">
      <c r="A4996" s="1257"/>
      <c r="B4996" s="1113"/>
      <c r="C4996" s="1107"/>
      <c r="D4996" s="103"/>
      <c r="E4996" s="1137"/>
      <c r="F4996" s="112"/>
      <c r="G4996" s="1110"/>
      <c r="H4996" s="1138"/>
      <c r="I4996" s="1138"/>
      <c r="J4996" s="1139"/>
      <c r="K4996" s="1111"/>
      <c r="L4996" s="1112"/>
      <c r="M4996" s="1113"/>
      <c r="N4996" s="110"/>
      <c r="O4996" s="1140"/>
      <c r="P4996" s="1115"/>
      <c r="Q4996" s="1116"/>
      <c r="R4996" s="1141"/>
      <c r="S4996" s="1113"/>
      <c r="T4996" s="1143"/>
      <c r="U4996" s="1108"/>
      <c r="V4996" s="1108"/>
      <c r="W4996" s="1108"/>
      <c r="X4996" s="1108"/>
      <c r="Y4996" s="1108"/>
      <c r="Z4996" s="1114"/>
      <c r="AA4996" s="1114"/>
      <c r="AB4996" s="1114"/>
      <c r="AC4996" s="1117"/>
      <c r="AD4996" s="1115"/>
      <c r="AE4996" s="1115"/>
      <c r="AF4996" s="1115"/>
      <c r="AG4996" s="1115"/>
      <c r="AH4996" s="1115"/>
      <c r="AI4996" s="1115"/>
      <c r="AJ4996" s="1117"/>
      <c r="AK4996" s="1118"/>
      <c r="AL4996" s="1115"/>
      <c r="AM4996" s="1115"/>
      <c r="AN4996" s="1115"/>
      <c r="AO4996" s="1115"/>
      <c r="AP4996" s="1115"/>
      <c r="AQ4996" s="1115"/>
      <c r="AR4996" s="1115"/>
      <c r="AS4996" s="1117"/>
      <c r="AT4996" s="1075"/>
      <c r="AU4996" s="1193"/>
      <c r="AV4996" s="330"/>
      <c r="AW4996" s="331"/>
      <c r="AX4996" s="331"/>
      <c r="AY4996" s="331"/>
      <c r="AZ4996" s="331"/>
      <c r="BA4996" s="331"/>
      <c r="BB4996" s="331"/>
      <c r="BC4996" s="331"/>
      <c r="BD4996" s="331"/>
      <c r="BE4996" s="333"/>
      <c r="BF4996" s="330"/>
      <c r="BG4996" s="333"/>
      <c r="BH4996" s="1119"/>
      <c r="BI4996" s="319"/>
      <c r="BJ4996" s="319"/>
      <c r="BK4996" s="319"/>
      <c r="BL4996" s="319"/>
      <c r="BM4996" s="319"/>
      <c r="BN4996" s="319"/>
      <c r="BO4996" s="319"/>
      <c r="BP4996" s="953"/>
      <c r="BQ4996" s="319"/>
      <c r="BR4996" s="319"/>
      <c r="BS4996" s="330"/>
      <c r="BT4996" s="331"/>
      <c r="BU4996" s="920"/>
      <c r="BV4996" s="903"/>
      <c r="BW4996" s="908"/>
      <c r="BX4996" s="908"/>
      <c r="BY4996" s="331"/>
      <c r="BZ4996" s="331"/>
      <c r="CA4996" s="462"/>
      <c r="CB4996" s="319"/>
      <c r="CC4996" s="319"/>
      <c r="CD4996" s="319"/>
      <c r="CE4996" s="319"/>
      <c r="CF4996" s="319"/>
      <c r="CG4996" s="319"/>
      <c r="CH4996" s="318"/>
      <c r="CI4996" s="319"/>
      <c r="CJ4996" s="319"/>
      <c r="CK4996" s="342"/>
      <c r="CL4996" s="333"/>
      <c r="CM4996" s="1079"/>
      <c r="CN4996" s="1005"/>
      <c r="CO4996" s="1005"/>
      <c r="CP4996" s="1005"/>
    </row>
    <row r="4997">
      <c r="A4997" s="1257"/>
      <c r="B4997" s="1113"/>
      <c r="C4997" s="1107"/>
      <c r="D4997" s="103"/>
      <c r="E4997" s="1137"/>
      <c r="F4997" s="112"/>
      <c r="G4997" s="1110"/>
      <c r="H4997" s="1138"/>
      <c r="I4997" s="1138"/>
      <c r="J4997" s="1139"/>
      <c r="K4997" s="1111"/>
      <c r="L4997" s="1112"/>
      <c r="M4997" s="1113"/>
      <c r="N4997" s="110"/>
      <c r="O4997" s="1140"/>
      <c r="P4997" s="1115"/>
      <c r="Q4997" s="1116"/>
      <c r="R4997" s="1141"/>
      <c r="S4997" s="1113"/>
      <c r="T4997" s="1143"/>
      <c r="U4997" s="1108"/>
      <c r="V4997" s="1108"/>
      <c r="W4997" s="1108"/>
      <c r="X4997" s="1108"/>
      <c r="Y4997" s="1108"/>
      <c r="Z4997" s="1114"/>
      <c r="AA4997" s="1114"/>
      <c r="AB4997" s="1114"/>
      <c r="AC4997" s="1117"/>
      <c r="AD4997" s="1115"/>
      <c r="AE4997" s="1115"/>
      <c r="AF4997" s="1115"/>
      <c r="AG4997" s="1115"/>
      <c r="AH4997" s="1115"/>
      <c r="AI4997" s="1115"/>
      <c r="AJ4997" s="1117"/>
      <c r="AK4997" s="1118"/>
      <c r="AL4997" s="1115"/>
      <c r="AM4997" s="1115"/>
      <c r="AN4997" s="1115"/>
      <c r="AO4997" s="1115"/>
      <c r="AP4997" s="1115"/>
      <c r="AQ4997" s="1115"/>
      <c r="AR4997" s="1115"/>
      <c r="AS4997" s="1117"/>
      <c r="AT4997" s="1075"/>
      <c r="AU4997" s="1193"/>
      <c r="AV4997" s="330"/>
      <c r="AW4997" s="331"/>
      <c r="AX4997" s="331"/>
      <c r="AY4997" s="331"/>
      <c r="AZ4997" s="331"/>
      <c r="BA4997" s="331"/>
      <c r="BB4997" s="331"/>
      <c r="BC4997" s="331"/>
      <c r="BD4997" s="331"/>
      <c r="BE4997" s="333"/>
      <c r="BF4997" s="330"/>
      <c r="BG4997" s="333"/>
      <c r="BH4997" s="1119"/>
      <c r="BI4997" s="319"/>
      <c r="BJ4997" s="319"/>
      <c r="BK4997" s="319"/>
      <c r="BL4997" s="319"/>
      <c r="BM4997" s="319"/>
      <c r="BN4997" s="319"/>
      <c r="BO4997" s="319"/>
      <c r="BP4997" s="953"/>
      <c r="BQ4997" s="319"/>
      <c r="BR4997" s="319"/>
      <c r="BS4997" s="330"/>
      <c r="BT4997" s="331"/>
      <c r="BU4997" s="920"/>
      <c r="BV4997" s="903"/>
      <c r="BW4997" s="908"/>
      <c r="BX4997" s="908"/>
      <c r="BY4997" s="331"/>
      <c r="BZ4997" s="331"/>
      <c r="CA4997" s="462"/>
      <c r="CB4997" s="319"/>
      <c r="CC4997" s="319"/>
      <c r="CD4997" s="319"/>
      <c r="CE4997" s="319"/>
      <c r="CF4997" s="319"/>
      <c r="CG4997" s="319"/>
      <c r="CH4997" s="318"/>
      <c r="CI4997" s="319"/>
      <c r="CJ4997" s="319"/>
      <c r="CK4997" s="342"/>
      <c r="CL4997" s="333"/>
      <c r="CM4997" s="1079"/>
      <c r="CN4997" s="1005"/>
      <c r="CO4997" s="1005"/>
      <c r="CP4997" s="1005"/>
    </row>
    <row r="4998">
      <c r="A4998" s="1257"/>
      <c r="B4998" s="1113"/>
      <c r="C4998" s="1107"/>
      <c r="D4998" s="103"/>
      <c r="E4998" s="1137"/>
      <c r="F4998" s="112"/>
      <c r="G4998" s="1110"/>
      <c r="H4998" s="1138"/>
      <c r="I4998" s="1138"/>
      <c r="J4998" s="1139"/>
      <c r="K4998" s="1111"/>
      <c r="L4998" s="1112"/>
      <c r="M4998" s="1113"/>
      <c r="N4998" s="110"/>
      <c r="O4998" s="1140"/>
      <c r="P4998" s="1115"/>
      <c r="Q4998" s="1116"/>
      <c r="R4998" s="1141"/>
      <c r="S4998" s="1113"/>
      <c r="T4998" s="1143"/>
      <c r="U4998" s="1108"/>
      <c r="V4998" s="1108"/>
      <c r="W4998" s="1108"/>
      <c r="X4998" s="1108"/>
      <c r="Y4998" s="1108"/>
      <c r="Z4998" s="1114"/>
      <c r="AA4998" s="1114"/>
      <c r="AB4998" s="1114"/>
      <c r="AC4998" s="1117"/>
      <c r="AD4998" s="1115"/>
      <c r="AE4998" s="1115"/>
      <c r="AF4998" s="1115"/>
      <c r="AG4998" s="1115"/>
      <c r="AH4998" s="1115"/>
      <c r="AI4998" s="1115"/>
      <c r="AJ4998" s="1117"/>
      <c r="AK4998" s="1118"/>
      <c r="AL4998" s="1115"/>
      <c r="AM4998" s="1115"/>
      <c r="AN4998" s="1115"/>
      <c r="AO4998" s="1115"/>
      <c r="AP4998" s="1115"/>
      <c r="AQ4998" s="1115"/>
      <c r="AR4998" s="1115"/>
      <c r="AS4998" s="1117"/>
      <c r="AT4998" s="1075"/>
      <c r="AU4998" s="1193"/>
      <c r="AV4998" s="330"/>
      <c r="AW4998" s="331"/>
      <c r="AX4998" s="331"/>
      <c r="AY4998" s="331"/>
      <c r="AZ4998" s="331"/>
      <c r="BA4998" s="331"/>
      <c r="BB4998" s="331"/>
      <c r="BC4998" s="331"/>
      <c r="BD4998" s="331"/>
      <c r="BE4998" s="333"/>
      <c r="BF4998" s="330"/>
      <c r="BG4998" s="333"/>
      <c r="BH4998" s="1119"/>
      <c r="BI4998" s="319"/>
      <c r="BJ4998" s="319"/>
      <c r="BK4998" s="319"/>
      <c r="BL4998" s="319"/>
      <c r="BM4998" s="319"/>
      <c r="BN4998" s="319"/>
      <c r="BO4998" s="319"/>
      <c r="BP4998" s="953"/>
      <c r="BQ4998" s="319"/>
      <c r="BR4998" s="319"/>
      <c r="BS4998" s="330"/>
      <c r="BT4998" s="331"/>
      <c r="BU4998" s="920"/>
      <c r="BV4998" s="903"/>
      <c r="BW4998" s="908"/>
      <c r="BX4998" s="908"/>
      <c r="BY4998" s="331"/>
      <c r="BZ4998" s="331"/>
      <c r="CA4998" s="462"/>
      <c r="CB4998" s="319"/>
      <c r="CC4998" s="319"/>
      <c r="CD4998" s="319"/>
      <c r="CE4998" s="319"/>
      <c r="CF4998" s="319"/>
      <c r="CG4998" s="319"/>
      <c r="CH4998" s="318"/>
      <c r="CI4998" s="319"/>
      <c r="CJ4998" s="319"/>
      <c r="CK4998" s="342"/>
      <c r="CL4998" s="333"/>
      <c r="CM4998" s="1079"/>
      <c r="CN4998" s="1005"/>
      <c r="CO4998" s="1005"/>
      <c r="CP4998" s="1005"/>
    </row>
    <row r="4999">
      <c r="A4999" s="1257"/>
      <c r="B4999" s="1113"/>
      <c r="C4999" s="1107"/>
      <c r="D4999" s="103"/>
      <c r="E4999" s="1137"/>
      <c r="F4999" s="112"/>
      <c r="G4999" s="1110"/>
      <c r="H4999" s="1138"/>
      <c r="I4999" s="1138"/>
      <c r="J4999" s="1139"/>
      <c r="K4999" s="1111"/>
      <c r="L4999" s="1112"/>
      <c r="M4999" s="1113"/>
      <c r="N4999" s="110"/>
      <c r="O4999" s="1140"/>
      <c r="P4999" s="1115"/>
      <c r="Q4999" s="1116"/>
      <c r="R4999" s="1141"/>
      <c r="S4999" s="1113"/>
      <c r="T4999" s="1143"/>
      <c r="U4999" s="1108"/>
      <c r="V4999" s="1108"/>
      <c r="W4999" s="1108"/>
      <c r="X4999" s="1108"/>
      <c r="Y4999" s="1108"/>
      <c r="Z4999" s="1114"/>
      <c r="AA4999" s="1114"/>
      <c r="AB4999" s="1114"/>
      <c r="AC4999" s="1117"/>
      <c r="AD4999" s="1115"/>
      <c r="AE4999" s="1115"/>
      <c r="AF4999" s="1115"/>
      <c r="AG4999" s="1115"/>
      <c r="AH4999" s="1115"/>
      <c r="AI4999" s="1115"/>
      <c r="AJ4999" s="1117"/>
      <c r="AK4999" s="1118"/>
      <c r="AL4999" s="1115"/>
      <c r="AM4999" s="1115"/>
      <c r="AN4999" s="1115"/>
      <c r="AO4999" s="1115"/>
      <c r="AP4999" s="1115"/>
      <c r="AQ4999" s="1115"/>
      <c r="AR4999" s="1115"/>
      <c r="AS4999" s="1117"/>
      <c r="AT4999" s="1075"/>
      <c r="AU4999" s="1193"/>
      <c r="AV4999" s="330"/>
      <c r="AW4999" s="331"/>
      <c r="AX4999" s="331"/>
      <c r="AY4999" s="331"/>
      <c r="AZ4999" s="331"/>
      <c r="BA4999" s="331"/>
      <c r="BB4999" s="331"/>
      <c r="BC4999" s="331"/>
      <c r="BD4999" s="331"/>
      <c r="BE4999" s="333"/>
      <c r="BF4999" s="330"/>
      <c r="BG4999" s="333"/>
      <c r="BH4999" s="1119"/>
      <c r="BI4999" s="319"/>
      <c r="BJ4999" s="319"/>
      <c r="BK4999" s="319"/>
      <c r="BL4999" s="319"/>
      <c r="BM4999" s="319"/>
      <c r="BN4999" s="319"/>
      <c r="BO4999" s="319"/>
      <c r="BP4999" s="953"/>
      <c r="BQ4999" s="319"/>
      <c r="BR4999" s="319"/>
      <c r="BS4999" s="330"/>
      <c r="BT4999" s="331"/>
      <c r="BU4999" s="920"/>
      <c r="BV4999" s="903"/>
      <c r="BW4999" s="908"/>
      <c r="BX4999" s="908"/>
      <c r="BY4999" s="331"/>
      <c r="BZ4999" s="331"/>
      <c r="CA4999" s="462"/>
      <c r="CB4999" s="319"/>
      <c r="CC4999" s="319"/>
      <c r="CD4999" s="319"/>
      <c r="CE4999" s="319"/>
      <c r="CF4999" s="319"/>
      <c r="CG4999" s="319"/>
      <c r="CH4999" s="318"/>
      <c r="CI4999" s="319"/>
      <c r="CJ4999" s="319"/>
      <c r="CK4999" s="342"/>
      <c r="CL4999" s="333"/>
      <c r="CM4999" s="1079"/>
      <c r="CN4999" s="1005"/>
      <c r="CO4999" s="1005"/>
      <c r="CP4999" s="1005"/>
    </row>
    <row r="5000">
      <c r="A5000" s="1257"/>
      <c r="B5000" s="1113"/>
      <c r="C5000" s="1107"/>
      <c r="D5000" s="103"/>
      <c r="E5000" s="1137"/>
      <c r="F5000" s="112"/>
      <c r="G5000" s="1110"/>
      <c r="H5000" s="1138"/>
      <c r="I5000" s="1138"/>
      <c r="J5000" s="1139"/>
      <c r="K5000" s="1111"/>
      <c r="L5000" s="1112"/>
      <c r="M5000" s="1113"/>
      <c r="N5000" s="110"/>
      <c r="O5000" s="1140"/>
      <c r="P5000" s="1115"/>
      <c r="Q5000" s="1116"/>
      <c r="R5000" s="1141"/>
      <c r="S5000" s="1113"/>
      <c r="T5000" s="1143"/>
      <c r="U5000" s="1108"/>
      <c r="V5000" s="1108"/>
      <c r="W5000" s="1108"/>
      <c r="X5000" s="1108"/>
      <c r="Y5000" s="1108"/>
      <c r="Z5000" s="1114"/>
      <c r="AA5000" s="1114"/>
      <c r="AB5000" s="1114"/>
      <c r="AC5000" s="1117"/>
      <c r="AD5000" s="1115"/>
      <c r="AE5000" s="1115"/>
      <c r="AF5000" s="1115"/>
      <c r="AG5000" s="1115"/>
      <c r="AH5000" s="1115"/>
      <c r="AI5000" s="1115"/>
      <c r="AJ5000" s="1117"/>
      <c r="AK5000" s="1118"/>
      <c r="AL5000" s="1115"/>
      <c r="AM5000" s="1115"/>
      <c r="AN5000" s="1115"/>
      <c r="AO5000" s="1115"/>
      <c r="AP5000" s="1115"/>
      <c r="AQ5000" s="1115"/>
      <c r="AR5000" s="1115"/>
      <c r="AS5000" s="1117"/>
      <c r="AT5000" s="1075"/>
      <c r="AU5000" s="1193"/>
      <c r="AV5000" s="330"/>
      <c r="AW5000" s="331"/>
      <c r="AX5000" s="331"/>
      <c r="AY5000" s="331"/>
      <c r="AZ5000" s="331"/>
      <c r="BA5000" s="331"/>
      <c r="BB5000" s="331"/>
      <c r="BC5000" s="331"/>
      <c r="BD5000" s="331"/>
      <c r="BE5000" s="333"/>
      <c r="BF5000" s="330"/>
      <c r="BG5000" s="333"/>
      <c r="BH5000" s="1119"/>
      <c r="BI5000" s="319"/>
      <c r="BJ5000" s="319"/>
      <c r="BK5000" s="319"/>
      <c r="BL5000" s="319"/>
      <c r="BM5000" s="319"/>
      <c r="BN5000" s="319"/>
      <c r="BO5000" s="319"/>
      <c r="BP5000" s="953"/>
      <c r="BQ5000" s="319"/>
      <c r="BR5000" s="319"/>
      <c r="BS5000" s="330"/>
      <c r="BT5000" s="331"/>
      <c r="BU5000" s="920"/>
      <c r="BV5000" s="903"/>
      <c r="BW5000" s="908"/>
      <c r="BX5000" s="908"/>
      <c r="BY5000" s="331"/>
      <c r="BZ5000" s="331"/>
      <c r="CA5000" s="462"/>
      <c r="CB5000" s="319"/>
      <c r="CC5000" s="319"/>
      <c r="CD5000" s="319"/>
      <c r="CE5000" s="319"/>
      <c r="CF5000" s="319"/>
      <c r="CG5000" s="319"/>
      <c r="CH5000" s="318"/>
      <c r="CI5000" s="319"/>
      <c r="CJ5000" s="319"/>
      <c r="CK5000" s="342"/>
      <c r="CL5000" s="333"/>
      <c r="CM5000" s="1079"/>
      <c r="CN5000" s="1005"/>
      <c r="CO5000" s="1005"/>
      <c r="CP5000" s="1005"/>
    </row>
    <row r="5001">
      <c r="A5001" s="1257"/>
      <c r="B5001" s="1113"/>
      <c r="C5001" s="1107"/>
      <c r="D5001" s="103"/>
      <c r="E5001" s="1137"/>
      <c r="F5001" s="112"/>
      <c r="G5001" s="1110"/>
      <c r="H5001" s="1138"/>
      <c r="I5001" s="1138"/>
      <c r="J5001" s="1139"/>
      <c r="K5001" s="1111"/>
      <c r="L5001" s="1112"/>
      <c r="M5001" s="1113"/>
      <c r="N5001" s="110"/>
      <c r="O5001" s="1140"/>
      <c r="P5001" s="1115"/>
      <c r="Q5001" s="1116"/>
      <c r="R5001" s="1141"/>
      <c r="S5001" s="1113"/>
      <c r="T5001" s="1143"/>
      <c r="U5001" s="1108"/>
      <c r="V5001" s="1108"/>
      <c r="W5001" s="1108"/>
      <c r="X5001" s="1108"/>
      <c r="Y5001" s="1108"/>
      <c r="Z5001" s="1114"/>
      <c r="AA5001" s="1114"/>
      <c r="AB5001" s="1114"/>
      <c r="AC5001" s="1117"/>
      <c r="AD5001" s="1115"/>
      <c r="AE5001" s="1115"/>
      <c r="AF5001" s="1115"/>
      <c r="AG5001" s="1115"/>
      <c r="AH5001" s="1115"/>
      <c r="AI5001" s="1115"/>
      <c r="AJ5001" s="1117"/>
      <c r="AK5001" s="1118"/>
      <c r="AL5001" s="1115"/>
      <c r="AM5001" s="1115"/>
      <c r="AN5001" s="1115"/>
      <c r="AO5001" s="1115"/>
      <c r="AP5001" s="1115"/>
      <c r="AQ5001" s="1115"/>
      <c r="AR5001" s="1115"/>
      <c r="AS5001" s="1117"/>
      <c r="AT5001" s="1075"/>
      <c r="AU5001" s="1193"/>
      <c r="AV5001" s="330"/>
      <c r="AW5001" s="331"/>
      <c r="AX5001" s="331"/>
      <c r="AY5001" s="331"/>
      <c r="AZ5001" s="331"/>
      <c r="BA5001" s="331"/>
      <c r="BB5001" s="331"/>
      <c r="BC5001" s="331"/>
      <c r="BD5001" s="331"/>
      <c r="BE5001" s="333"/>
      <c r="BF5001" s="330"/>
      <c r="BG5001" s="333"/>
      <c r="BH5001" s="1119"/>
      <c r="BI5001" s="319"/>
      <c r="BJ5001" s="319"/>
      <c r="BK5001" s="319"/>
      <c r="BL5001" s="319"/>
      <c r="BM5001" s="319"/>
      <c r="BN5001" s="319"/>
      <c r="BO5001" s="319"/>
      <c r="BP5001" s="953"/>
      <c r="BQ5001" s="319"/>
      <c r="BR5001" s="319"/>
      <c r="BS5001" s="330"/>
      <c r="BT5001" s="331"/>
      <c r="BU5001" s="920"/>
      <c r="BV5001" s="903"/>
      <c r="BW5001" s="908"/>
      <c r="BX5001" s="908"/>
      <c r="BY5001" s="331"/>
      <c r="BZ5001" s="331"/>
      <c r="CA5001" s="462"/>
      <c r="CB5001" s="319"/>
      <c r="CC5001" s="319"/>
      <c r="CD5001" s="319"/>
      <c r="CE5001" s="319"/>
      <c r="CF5001" s="319"/>
      <c r="CG5001" s="319"/>
      <c r="CH5001" s="318"/>
      <c r="CI5001" s="319"/>
      <c r="CJ5001" s="319"/>
      <c r="CK5001" s="342"/>
      <c r="CL5001" s="333"/>
      <c r="CM5001" s="1079"/>
      <c r="CN5001" s="1005"/>
      <c r="CO5001" s="1005"/>
      <c r="CP5001" s="1005"/>
    </row>
    <row r="5002">
      <c r="A5002" s="1257"/>
      <c r="B5002" s="1113"/>
      <c r="C5002" s="1107"/>
      <c r="D5002" s="103"/>
      <c r="E5002" s="1137"/>
      <c r="F5002" s="112"/>
      <c r="G5002" s="1110"/>
      <c r="H5002" s="1138"/>
      <c r="I5002" s="1138"/>
      <c r="J5002" s="1139"/>
      <c r="K5002" s="1111"/>
      <c r="L5002" s="1112"/>
      <c r="M5002" s="1113"/>
      <c r="N5002" s="110"/>
      <c r="O5002" s="1140"/>
      <c r="P5002" s="1115"/>
      <c r="Q5002" s="1116"/>
      <c r="R5002" s="1141"/>
      <c r="S5002" s="1113"/>
      <c r="T5002" s="1143"/>
      <c r="U5002" s="1108"/>
      <c r="V5002" s="1108"/>
      <c r="W5002" s="1108"/>
      <c r="X5002" s="1108"/>
      <c r="Y5002" s="1108"/>
      <c r="Z5002" s="1114"/>
      <c r="AA5002" s="1114"/>
      <c r="AB5002" s="1114"/>
      <c r="AC5002" s="1117"/>
      <c r="AD5002" s="1115"/>
      <c r="AE5002" s="1115"/>
      <c r="AF5002" s="1115"/>
      <c r="AG5002" s="1115"/>
      <c r="AH5002" s="1115"/>
      <c r="AI5002" s="1115"/>
      <c r="AJ5002" s="1117"/>
      <c r="AK5002" s="1118"/>
      <c r="AL5002" s="1115"/>
      <c r="AM5002" s="1115"/>
      <c r="AN5002" s="1115"/>
      <c r="AO5002" s="1115"/>
      <c r="AP5002" s="1115"/>
      <c r="AQ5002" s="1115"/>
      <c r="AR5002" s="1115"/>
      <c r="AS5002" s="1117"/>
      <c r="AT5002" s="1075"/>
      <c r="AU5002" s="1193"/>
      <c r="AV5002" s="330"/>
      <c r="AW5002" s="331"/>
      <c r="AX5002" s="331"/>
      <c r="AY5002" s="331"/>
      <c r="AZ5002" s="331"/>
      <c r="BA5002" s="331"/>
      <c r="BB5002" s="331"/>
      <c r="BC5002" s="331"/>
      <c r="BD5002" s="331"/>
      <c r="BE5002" s="333"/>
      <c r="BF5002" s="330"/>
      <c r="BG5002" s="333"/>
      <c r="BH5002" s="1119"/>
      <c r="BI5002" s="319"/>
      <c r="BJ5002" s="319"/>
      <c r="BK5002" s="319"/>
      <c r="BL5002" s="319"/>
      <c r="BM5002" s="319"/>
      <c r="BN5002" s="319"/>
      <c r="BO5002" s="319"/>
      <c r="BP5002" s="953"/>
      <c r="BQ5002" s="319"/>
      <c r="BR5002" s="319"/>
      <c r="BS5002" s="330"/>
      <c r="BT5002" s="331"/>
      <c r="BU5002" s="920"/>
      <c r="BV5002" s="903"/>
      <c r="BW5002" s="908"/>
      <c r="BX5002" s="908"/>
      <c r="BY5002" s="331"/>
      <c r="BZ5002" s="331"/>
      <c r="CA5002" s="462"/>
      <c r="CB5002" s="319"/>
      <c r="CC5002" s="319"/>
      <c r="CD5002" s="319"/>
      <c r="CE5002" s="319"/>
      <c r="CF5002" s="319"/>
      <c r="CG5002" s="319"/>
      <c r="CH5002" s="318"/>
      <c r="CI5002" s="319"/>
      <c r="CJ5002" s="319"/>
      <c r="CK5002" s="342"/>
      <c r="CL5002" s="333"/>
      <c r="CM5002" s="1079"/>
      <c r="CN5002" s="1005"/>
      <c r="CO5002" s="1005"/>
      <c r="CP5002" s="1005"/>
    </row>
    <row r="5003">
      <c r="A5003" s="1257"/>
      <c r="B5003" s="1113"/>
      <c r="C5003" s="1107"/>
      <c r="D5003" s="103"/>
      <c r="E5003" s="1137"/>
      <c r="F5003" s="112"/>
      <c r="G5003" s="1110"/>
      <c r="H5003" s="1138"/>
      <c r="I5003" s="1138"/>
      <c r="J5003" s="1139"/>
      <c r="K5003" s="1111"/>
      <c r="L5003" s="1112"/>
      <c r="M5003" s="1113"/>
      <c r="N5003" s="110"/>
      <c r="O5003" s="1140"/>
      <c r="P5003" s="1115"/>
      <c r="Q5003" s="1116"/>
      <c r="R5003" s="1141"/>
      <c r="S5003" s="1113"/>
      <c r="T5003" s="1143"/>
      <c r="U5003" s="1108"/>
      <c r="V5003" s="1108"/>
      <c r="W5003" s="1108"/>
      <c r="X5003" s="1108"/>
      <c r="Y5003" s="1108"/>
      <c r="Z5003" s="1114"/>
      <c r="AA5003" s="1114"/>
      <c r="AB5003" s="1114"/>
      <c r="AC5003" s="1117"/>
      <c r="AD5003" s="1115"/>
      <c r="AE5003" s="1115"/>
      <c r="AF5003" s="1115"/>
      <c r="AG5003" s="1115"/>
      <c r="AH5003" s="1115"/>
      <c r="AI5003" s="1115"/>
      <c r="AJ5003" s="1117"/>
      <c r="AK5003" s="1118"/>
      <c r="AL5003" s="1115"/>
      <c r="AM5003" s="1115"/>
      <c r="AN5003" s="1115"/>
      <c r="AO5003" s="1115"/>
      <c r="AP5003" s="1115"/>
      <c r="AQ5003" s="1115"/>
      <c r="AR5003" s="1115"/>
      <c r="AS5003" s="1117"/>
      <c r="AT5003" s="1075"/>
      <c r="AU5003" s="1193"/>
      <c r="AV5003" s="330"/>
      <c r="AW5003" s="331"/>
      <c r="AX5003" s="331"/>
      <c r="AY5003" s="331"/>
      <c r="AZ5003" s="331"/>
      <c r="BA5003" s="331"/>
      <c r="BB5003" s="331"/>
      <c r="BC5003" s="331"/>
      <c r="BD5003" s="331"/>
      <c r="BE5003" s="333"/>
      <c r="BF5003" s="330"/>
      <c r="BG5003" s="333"/>
      <c r="BH5003" s="1119"/>
      <c r="BI5003" s="319"/>
      <c r="BJ5003" s="319"/>
      <c r="BK5003" s="319"/>
      <c r="BL5003" s="319"/>
      <c r="BM5003" s="319"/>
      <c r="BN5003" s="319"/>
      <c r="BO5003" s="319"/>
      <c r="BP5003" s="953"/>
      <c r="BQ5003" s="319"/>
      <c r="BR5003" s="319"/>
      <c r="BS5003" s="330"/>
      <c r="BT5003" s="331"/>
      <c r="BU5003" s="920"/>
      <c r="BV5003" s="903"/>
      <c r="BW5003" s="908"/>
      <c r="BX5003" s="908"/>
      <c r="BY5003" s="331"/>
      <c r="BZ5003" s="331"/>
      <c r="CA5003" s="462"/>
      <c r="CB5003" s="319"/>
      <c r="CC5003" s="319"/>
      <c r="CD5003" s="319"/>
      <c r="CE5003" s="319"/>
      <c r="CF5003" s="319"/>
      <c r="CG5003" s="319"/>
      <c r="CH5003" s="318"/>
      <c r="CI5003" s="319"/>
      <c r="CJ5003" s="319"/>
      <c r="CK5003" s="342"/>
      <c r="CL5003" s="333"/>
      <c r="CM5003" s="1079"/>
      <c r="CN5003" s="1005"/>
      <c r="CO5003" s="1005"/>
      <c r="CP5003" s="1005"/>
    </row>
    <row r="5004">
      <c r="A5004" s="1257"/>
      <c r="B5004" s="1113"/>
      <c r="C5004" s="1107"/>
      <c r="D5004" s="103"/>
      <c r="E5004" s="1137"/>
      <c r="F5004" s="112"/>
      <c r="G5004" s="1110"/>
      <c r="H5004" s="1138"/>
      <c r="I5004" s="1138"/>
      <c r="J5004" s="1139"/>
      <c r="K5004" s="1111"/>
      <c r="L5004" s="1112"/>
      <c r="M5004" s="1113"/>
      <c r="N5004" s="110"/>
      <c r="O5004" s="1140"/>
      <c r="P5004" s="1115"/>
      <c r="Q5004" s="1116"/>
      <c r="R5004" s="1141"/>
      <c r="S5004" s="1113"/>
      <c r="T5004" s="1143"/>
      <c r="U5004" s="1108"/>
      <c r="V5004" s="1108"/>
      <c r="W5004" s="1108"/>
      <c r="X5004" s="1108"/>
      <c r="Y5004" s="1108"/>
      <c r="Z5004" s="1114"/>
      <c r="AA5004" s="1114"/>
      <c r="AB5004" s="1114"/>
      <c r="AC5004" s="1117"/>
      <c r="AD5004" s="1115"/>
      <c r="AE5004" s="1115"/>
      <c r="AF5004" s="1115"/>
      <c r="AG5004" s="1115"/>
      <c r="AH5004" s="1115"/>
      <c r="AI5004" s="1115"/>
      <c r="AJ5004" s="1117"/>
      <c r="AK5004" s="1118"/>
      <c r="AL5004" s="1115"/>
      <c r="AM5004" s="1115"/>
      <c r="AN5004" s="1115"/>
      <c r="AO5004" s="1115"/>
      <c r="AP5004" s="1115"/>
      <c r="AQ5004" s="1115"/>
      <c r="AR5004" s="1115"/>
      <c r="AS5004" s="1117"/>
      <c r="AT5004" s="1075"/>
      <c r="AU5004" s="1193"/>
      <c r="AV5004" s="330"/>
      <c r="AW5004" s="331"/>
      <c r="AX5004" s="331"/>
      <c r="AY5004" s="331"/>
      <c r="AZ5004" s="331"/>
      <c r="BA5004" s="331"/>
      <c r="BB5004" s="331"/>
      <c r="BC5004" s="331"/>
      <c r="BD5004" s="331"/>
      <c r="BE5004" s="333"/>
      <c r="BF5004" s="330"/>
      <c r="BG5004" s="333"/>
      <c r="BH5004" s="1119"/>
      <c r="BI5004" s="319"/>
      <c r="BJ5004" s="319"/>
      <c r="BK5004" s="319"/>
      <c r="BL5004" s="319"/>
      <c r="BM5004" s="319"/>
      <c r="BN5004" s="319"/>
      <c r="BO5004" s="319"/>
      <c r="BP5004" s="953"/>
      <c r="BQ5004" s="319"/>
      <c r="BR5004" s="319"/>
      <c r="BS5004" s="330"/>
      <c r="BT5004" s="331"/>
      <c r="BU5004" s="920"/>
      <c r="BV5004" s="903"/>
      <c r="BW5004" s="908"/>
      <c r="BX5004" s="908"/>
      <c r="BY5004" s="331"/>
      <c r="BZ5004" s="331"/>
      <c r="CA5004" s="462"/>
      <c r="CB5004" s="319"/>
      <c r="CC5004" s="319"/>
      <c r="CD5004" s="319"/>
      <c r="CE5004" s="319"/>
      <c r="CF5004" s="319"/>
      <c r="CG5004" s="319"/>
      <c r="CH5004" s="318"/>
      <c r="CI5004" s="319"/>
      <c r="CJ5004" s="319"/>
      <c r="CK5004" s="342"/>
      <c r="CL5004" s="333"/>
      <c r="CM5004" s="1079"/>
      <c r="CN5004" s="1005"/>
      <c r="CO5004" s="1005"/>
      <c r="CP5004" s="1005"/>
    </row>
    <row r="5005">
      <c r="A5005" s="1257"/>
      <c r="B5005" s="1113"/>
      <c r="C5005" s="1107"/>
      <c r="D5005" s="103"/>
      <c r="E5005" s="1137"/>
      <c r="F5005" s="112"/>
      <c r="G5005" s="1110"/>
      <c r="H5005" s="1138"/>
      <c r="I5005" s="1138"/>
      <c r="J5005" s="1139"/>
      <c r="K5005" s="1111"/>
      <c r="L5005" s="1112"/>
      <c r="M5005" s="1113"/>
      <c r="N5005" s="110"/>
      <c r="O5005" s="1140"/>
      <c r="P5005" s="1115"/>
      <c r="Q5005" s="1116"/>
      <c r="R5005" s="1141"/>
      <c r="S5005" s="1113"/>
      <c r="T5005" s="1143"/>
      <c r="U5005" s="1108"/>
      <c r="V5005" s="1108"/>
      <c r="W5005" s="1108"/>
      <c r="X5005" s="1108"/>
      <c r="Y5005" s="1108"/>
      <c r="Z5005" s="1114"/>
      <c r="AA5005" s="1114"/>
      <c r="AB5005" s="1114"/>
      <c r="AC5005" s="1117"/>
      <c r="AD5005" s="1115"/>
      <c r="AE5005" s="1115"/>
      <c r="AF5005" s="1115"/>
      <c r="AG5005" s="1115"/>
      <c r="AH5005" s="1115"/>
      <c r="AI5005" s="1115"/>
      <c r="AJ5005" s="1117"/>
      <c r="AK5005" s="1118"/>
      <c r="AL5005" s="1115"/>
      <c r="AM5005" s="1115"/>
      <c r="AN5005" s="1115"/>
      <c r="AO5005" s="1115"/>
      <c r="AP5005" s="1115"/>
      <c r="AQ5005" s="1115"/>
      <c r="AR5005" s="1115"/>
      <c r="AS5005" s="1117"/>
      <c r="AT5005" s="1075"/>
      <c r="AU5005" s="1193"/>
      <c r="AV5005" s="330"/>
      <c r="AW5005" s="331"/>
      <c r="AX5005" s="331"/>
      <c r="AY5005" s="331"/>
      <c r="AZ5005" s="331"/>
      <c r="BA5005" s="331"/>
      <c r="BB5005" s="331"/>
      <c r="BC5005" s="331"/>
      <c r="BD5005" s="331"/>
      <c r="BE5005" s="333"/>
      <c r="BF5005" s="330"/>
      <c r="BG5005" s="333"/>
      <c r="BH5005" s="1119"/>
      <c r="BI5005" s="319"/>
      <c r="BJ5005" s="319"/>
      <c r="BK5005" s="319"/>
      <c r="BL5005" s="319"/>
      <c r="BM5005" s="319"/>
      <c r="BN5005" s="319"/>
      <c r="BO5005" s="319"/>
      <c r="BP5005" s="953"/>
      <c r="BQ5005" s="319"/>
      <c r="BR5005" s="319"/>
      <c r="BS5005" s="330"/>
      <c r="BT5005" s="331"/>
      <c r="BU5005" s="920"/>
      <c r="BV5005" s="903"/>
      <c r="BW5005" s="908"/>
      <c r="BX5005" s="908"/>
      <c r="BY5005" s="331"/>
      <c r="BZ5005" s="331"/>
      <c r="CA5005" s="462"/>
      <c r="CB5005" s="319"/>
      <c r="CC5005" s="319"/>
      <c r="CD5005" s="319"/>
      <c r="CE5005" s="319"/>
      <c r="CF5005" s="319"/>
      <c r="CG5005" s="319"/>
      <c r="CH5005" s="318"/>
      <c r="CI5005" s="319"/>
      <c r="CJ5005" s="319"/>
      <c r="CK5005" s="342"/>
      <c r="CL5005" s="333"/>
      <c r="CM5005" s="1079"/>
      <c r="CN5005" s="1005"/>
      <c r="CO5005" s="1005"/>
      <c r="CP5005" s="1005"/>
    </row>
    <row r="5006">
      <c r="A5006" s="1257"/>
      <c r="B5006" s="1113"/>
      <c r="C5006" s="1107"/>
      <c r="D5006" s="103"/>
      <c r="E5006" s="1137"/>
      <c r="F5006" s="112"/>
      <c r="G5006" s="1110"/>
      <c r="H5006" s="1138"/>
      <c r="I5006" s="1138"/>
      <c r="J5006" s="1139"/>
      <c r="K5006" s="1111"/>
      <c r="L5006" s="1112"/>
      <c r="M5006" s="1113"/>
      <c r="N5006" s="110"/>
      <c r="O5006" s="1140"/>
      <c r="P5006" s="1115"/>
      <c r="Q5006" s="1116"/>
      <c r="R5006" s="1141"/>
      <c r="S5006" s="1113"/>
      <c r="T5006" s="1143"/>
      <c r="U5006" s="1108"/>
      <c r="V5006" s="1108"/>
      <c r="W5006" s="1108"/>
      <c r="X5006" s="1108"/>
      <c r="Y5006" s="1108"/>
      <c r="Z5006" s="1114"/>
      <c r="AA5006" s="1114"/>
      <c r="AB5006" s="1114"/>
      <c r="AC5006" s="1117"/>
      <c r="AD5006" s="1115"/>
      <c r="AE5006" s="1115"/>
      <c r="AF5006" s="1115"/>
      <c r="AG5006" s="1115"/>
      <c r="AH5006" s="1115"/>
      <c r="AI5006" s="1115"/>
      <c r="AJ5006" s="1117"/>
      <c r="AK5006" s="1118"/>
      <c r="AL5006" s="1115"/>
      <c r="AM5006" s="1115"/>
      <c r="AN5006" s="1115"/>
      <c r="AO5006" s="1115"/>
      <c r="AP5006" s="1115"/>
      <c r="AQ5006" s="1115"/>
      <c r="AR5006" s="1115"/>
      <c r="AS5006" s="1117"/>
      <c r="AT5006" s="1075"/>
      <c r="AU5006" s="1193"/>
      <c r="AV5006" s="330"/>
      <c r="AW5006" s="331"/>
      <c r="AX5006" s="331"/>
      <c r="AY5006" s="331"/>
      <c r="AZ5006" s="331"/>
      <c r="BA5006" s="331"/>
      <c r="BB5006" s="331"/>
      <c r="BC5006" s="331"/>
      <c r="BD5006" s="331"/>
      <c r="BE5006" s="333"/>
      <c r="BF5006" s="330"/>
      <c r="BG5006" s="333"/>
      <c r="BH5006" s="1119"/>
      <c r="BI5006" s="319"/>
      <c r="BJ5006" s="319"/>
      <c r="BK5006" s="319"/>
      <c r="BL5006" s="319"/>
      <c r="BM5006" s="319"/>
      <c r="BN5006" s="319"/>
      <c r="BO5006" s="319"/>
      <c r="BP5006" s="953"/>
      <c r="BQ5006" s="319"/>
      <c r="BR5006" s="319"/>
      <c r="BS5006" s="330"/>
      <c r="BT5006" s="331"/>
      <c r="BU5006" s="920"/>
      <c r="BV5006" s="903"/>
      <c r="BW5006" s="908"/>
      <c r="BX5006" s="908"/>
      <c r="BY5006" s="331"/>
      <c r="BZ5006" s="331"/>
      <c r="CA5006" s="462"/>
      <c r="CB5006" s="319"/>
      <c r="CC5006" s="319"/>
      <c r="CD5006" s="319"/>
      <c r="CE5006" s="319"/>
      <c r="CF5006" s="319"/>
      <c r="CG5006" s="319"/>
      <c r="CH5006" s="318"/>
      <c r="CI5006" s="319"/>
      <c r="CJ5006" s="319"/>
      <c r="CK5006" s="342"/>
      <c r="CL5006" s="333"/>
      <c r="CM5006" s="1079"/>
      <c r="CN5006" s="1005"/>
      <c r="CO5006" s="1005"/>
      <c r="CP5006" s="1005"/>
    </row>
    <row r="5007">
      <c r="A5007" s="1257"/>
      <c r="B5007" s="1113"/>
      <c r="C5007" s="1107"/>
      <c r="D5007" s="103"/>
      <c r="E5007" s="1137"/>
      <c r="F5007" s="112"/>
      <c r="G5007" s="1110"/>
      <c r="H5007" s="1138"/>
      <c r="I5007" s="1138"/>
      <c r="J5007" s="1139"/>
      <c r="K5007" s="1111"/>
      <c r="L5007" s="1112"/>
      <c r="M5007" s="1113"/>
      <c r="N5007" s="110"/>
      <c r="O5007" s="1140"/>
      <c r="P5007" s="1115"/>
      <c r="Q5007" s="1116"/>
      <c r="R5007" s="1141"/>
      <c r="S5007" s="1113"/>
      <c r="T5007" s="1143"/>
      <c r="U5007" s="1108"/>
      <c r="V5007" s="1108"/>
      <c r="W5007" s="1108"/>
      <c r="X5007" s="1108"/>
      <c r="Y5007" s="1108"/>
      <c r="Z5007" s="1114"/>
      <c r="AA5007" s="1114"/>
      <c r="AB5007" s="1114"/>
      <c r="AC5007" s="1117"/>
      <c r="AD5007" s="1115"/>
      <c r="AE5007" s="1115"/>
      <c r="AF5007" s="1115"/>
      <c r="AG5007" s="1115"/>
      <c r="AH5007" s="1115"/>
      <c r="AI5007" s="1115"/>
      <c r="AJ5007" s="1117"/>
      <c r="AK5007" s="1118"/>
      <c r="AL5007" s="1115"/>
      <c r="AM5007" s="1115"/>
      <c r="AN5007" s="1115"/>
      <c r="AO5007" s="1115"/>
      <c r="AP5007" s="1115"/>
      <c r="AQ5007" s="1115"/>
      <c r="AR5007" s="1115"/>
      <c r="AS5007" s="1117"/>
      <c r="AT5007" s="1075"/>
      <c r="AU5007" s="1193"/>
      <c r="AV5007" s="330"/>
      <c r="AW5007" s="331"/>
      <c r="AX5007" s="331"/>
      <c r="AY5007" s="331"/>
      <c r="AZ5007" s="331"/>
      <c r="BA5007" s="331"/>
      <c r="BB5007" s="331"/>
      <c r="BC5007" s="331"/>
      <c r="BD5007" s="331"/>
      <c r="BE5007" s="333"/>
      <c r="BF5007" s="330"/>
      <c r="BG5007" s="333"/>
      <c r="BH5007" s="1119"/>
      <c r="BI5007" s="319"/>
      <c r="BJ5007" s="319"/>
      <c r="BK5007" s="319"/>
      <c r="BL5007" s="319"/>
      <c r="BM5007" s="319"/>
      <c r="BN5007" s="319"/>
      <c r="BO5007" s="319"/>
      <c r="BP5007" s="953"/>
      <c r="BQ5007" s="319"/>
      <c r="BR5007" s="319"/>
      <c r="BS5007" s="330"/>
      <c r="BT5007" s="331"/>
      <c r="BU5007" s="920"/>
      <c r="BV5007" s="903"/>
      <c r="BW5007" s="908"/>
      <c r="BX5007" s="908"/>
      <c r="BY5007" s="331"/>
      <c r="BZ5007" s="331"/>
      <c r="CA5007" s="462"/>
      <c r="CB5007" s="319"/>
      <c r="CC5007" s="319"/>
      <c r="CD5007" s="319"/>
      <c r="CE5007" s="319"/>
      <c r="CF5007" s="319"/>
      <c r="CG5007" s="319"/>
      <c r="CH5007" s="318"/>
      <c r="CI5007" s="319"/>
      <c r="CJ5007" s="319"/>
      <c r="CK5007" s="342"/>
      <c r="CL5007" s="333"/>
      <c r="CM5007" s="1079"/>
      <c r="CN5007" s="1005"/>
      <c r="CO5007" s="1005"/>
      <c r="CP5007" s="1005"/>
    </row>
    <row r="5008">
      <c r="A5008" s="1257"/>
      <c r="B5008" s="1113"/>
      <c r="C5008" s="1107"/>
      <c r="D5008" s="103"/>
      <c r="E5008" s="1137"/>
      <c r="F5008" s="112"/>
      <c r="G5008" s="1110"/>
      <c r="H5008" s="1138"/>
      <c r="I5008" s="1138"/>
      <c r="J5008" s="1139"/>
      <c r="K5008" s="1111"/>
      <c r="L5008" s="1112"/>
      <c r="M5008" s="1113"/>
      <c r="N5008" s="110"/>
      <c r="O5008" s="1140"/>
      <c r="P5008" s="1115"/>
      <c r="Q5008" s="1116"/>
      <c r="R5008" s="1141"/>
      <c r="S5008" s="1113"/>
      <c r="T5008" s="1143"/>
      <c r="U5008" s="1108"/>
      <c r="V5008" s="1108"/>
      <c r="W5008" s="1108"/>
      <c r="X5008" s="1108"/>
      <c r="Y5008" s="1108"/>
      <c r="Z5008" s="1114"/>
      <c r="AA5008" s="1114"/>
      <c r="AB5008" s="1114"/>
      <c r="AC5008" s="1117"/>
      <c r="AD5008" s="1115"/>
      <c r="AE5008" s="1115"/>
      <c r="AF5008" s="1115"/>
      <c r="AG5008" s="1115"/>
      <c r="AH5008" s="1115"/>
      <c r="AI5008" s="1115"/>
      <c r="AJ5008" s="1117"/>
      <c r="AK5008" s="1118"/>
      <c r="AL5008" s="1115"/>
      <c r="AM5008" s="1115"/>
      <c r="AN5008" s="1115"/>
      <c r="AO5008" s="1115"/>
      <c r="AP5008" s="1115"/>
      <c r="AQ5008" s="1115"/>
      <c r="AR5008" s="1115"/>
      <c r="AS5008" s="1117"/>
      <c r="AT5008" s="1075"/>
      <c r="AU5008" s="1193"/>
      <c r="AV5008" s="330"/>
      <c r="AW5008" s="331"/>
      <c r="AX5008" s="331"/>
      <c r="AY5008" s="331"/>
      <c r="AZ5008" s="331"/>
      <c r="BA5008" s="331"/>
      <c r="BB5008" s="331"/>
      <c r="BC5008" s="331"/>
      <c r="BD5008" s="331"/>
      <c r="BE5008" s="333"/>
      <c r="BF5008" s="330"/>
      <c r="BG5008" s="333"/>
      <c r="BH5008" s="1119"/>
      <c r="BI5008" s="319"/>
      <c r="BJ5008" s="319"/>
      <c r="BK5008" s="319"/>
      <c r="BL5008" s="319"/>
      <c r="BM5008" s="319"/>
      <c r="BN5008" s="319"/>
      <c r="BO5008" s="319"/>
      <c r="BP5008" s="953"/>
      <c r="BQ5008" s="319"/>
      <c r="BR5008" s="319"/>
      <c r="BS5008" s="330"/>
      <c r="BT5008" s="331"/>
      <c r="BU5008" s="920"/>
      <c r="BV5008" s="903"/>
      <c r="BW5008" s="908"/>
      <c r="BX5008" s="908"/>
      <c r="BY5008" s="331"/>
      <c r="BZ5008" s="331"/>
      <c r="CA5008" s="462"/>
      <c r="CB5008" s="319"/>
      <c r="CC5008" s="319"/>
      <c r="CD5008" s="319"/>
      <c r="CE5008" s="319"/>
      <c r="CF5008" s="319"/>
      <c r="CG5008" s="319"/>
      <c r="CH5008" s="318"/>
      <c r="CI5008" s="319"/>
      <c r="CJ5008" s="319"/>
      <c r="CK5008" s="342"/>
      <c r="CL5008" s="333"/>
      <c r="CM5008" s="1079"/>
      <c r="CN5008" s="1005"/>
      <c r="CO5008" s="1005"/>
      <c r="CP5008" s="1005"/>
    </row>
    <row r="5009">
      <c r="A5009" s="1257"/>
      <c r="B5009" s="1113"/>
      <c r="C5009" s="1107"/>
      <c r="D5009" s="103"/>
      <c r="E5009" s="1137"/>
      <c r="F5009" s="112"/>
      <c r="G5009" s="1110"/>
      <c r="H5009" s="1138"/>
      <c r="I5009" s="1138"/>
      <c r="J5009" s="1139"/>
      <c r="K5009" s="1111"/>
      <c r="L5009" s="1112"/>
      <c r="M5009" s="1113"/>
      <c r="N5009" s="110"/>
      <c r="O5009" s="1140"/>
      <c r="P5009" s="1115"/>
      <c r="Q5009" s="1116"/>
      <c r="R5009" s="1141"/>
      <c r="S5009" s="1113"/>
      <c r="T5009" s="1143"/>
      <c r="U5009" s="1108"/>
      <c r="V5009" s="1108"/>
      <c r="W5009" s="1108"/>
      <c r="X5009" s="1108"/>
      <c r="Y5009" s="1108"/>
      <c r="Z5009" s="1114"/>
      <c r="AA5009" s="1114"/>
      <c r="AB5009" s="1114"/>
      <c r="AC5009" s="1117"/>
      <c r="AD5009" s="1115"/>
      <c r="AE5009" s="1115"/>
      <c r="AF5009" s="1115"/>
      <c r="AG5009" s="1115"/>
      <c r="AH5009" s="1115"/>
      <c r="AI5009" s="1115"/>
      <c r="AJ5009" s="1117"/>
      <c r="AK5009" s="1118"/>
      <c r="AL5009" s="1115"/>
      <c r="AM5009" s="1115"/>
      <c r="AN5009" s="1115"/>
      <c r="AO5009" s="1115"/>
      <c r="AP5009" s="1115"/>
      <c r="AQ5009" s="1115"/>
      <c r="AR5009" s="1115"/>
      <c r="AS5009" s="1117"/>
      <c r="AT5009" s="1075"/>
      <c r="AU5009" s="1193"/>
      <c r="AV5009" s="330"/>
      <c r="AW5009" s="331"/>
      <c r="AX5009" s="331"/>
      <c r="AY5009" s="331"/>
      <c r="AZ5009" s="331"/>
      <c r="BA5009" s="331"/>
      <c r="BB5009" s="331"/>
      <c r="BC5009" s="331"/>
      <c r="BD5009" s="331"/>
      <c r="BE5009" s="333"/>
      <c r="BF5009" s="330"/>
      <c r="BG5009" s="333"/>
      <c r="BH5009" s="1119"/>
      <c r="BI5009" s="319"/>
      <c r="BJ5009" s="319"/>
      <c r="BK5009" s="319"/>
      <c r="BL5009" s="319"/>
      <c r="BM5009" s="319"/>
      <c r="BN5009" s="319"/>
      <c r="BO5009" s="319"/>
      <c r="BP5009" s="953"/>
      <c r="BQ5009" s="319"/>
      <c r="BR5009" s="319"/>
      <c r="BS5009" s="330"/>
      <c r="BT5009" s="331"/>
      <c r="BU5009" s="920"/>
      <c r="BV5009" s="903"/>
      <c r="BW5009" s="908"/>
      <c r="BX5009" s="908"/>
      <c r="BY5009" s="331"/>
      <c r="BZ5009" s="331"/>
      <c r="CA5009" s="462"/>
      <c r="CB5009" s="319"/>
      <c r="CC5009" s="319"/>
      <c r="CD5009" s="319"/>
      <c r="CE5009" s="319"/>
      <c r="CF5009" s="319"/>
      <c r="CG5009" s="319"/>
      <c r="CH5009" s="318"/>
      <c r="CI5009" s="319"/>
      <c r="CJ5009" s="319"/>
      <c r="CK5009" s="342"/>
      <c r="CL5009" s="333"/>
      <c r="CM5009" s="1079"/>
      <c r="CN5009" s="1005"/>
      <c r="CO5009" s="1005"/>
      <c r="CP5009" s="1005"/>
    </row>
    <row r="5010">
      <c r="A5010" s="1257"/>
      <c r="B5010" s="1113"/>
      <c r="C5010" s="1107"/>
      <c r="D5010" s="103"/>
      <c r="E5010" s="1137"/>
      <c r="F5010" s="112"/>
      <c r="G5010" s="1110"/>
      <c r="H5010" s="1138"/>
      <c r="I5010" s="1138"/>
      <c r="J5010" s="1139"/>
      <c r="K5010" s="1111"/>
      <c r="L5010" s="1112"/>
      <c r="M5010" s="1113"/>
      <c r="N5010" s="110"/>
      <c r="O5010" s="1140"/>
      <c r="P5010" s="1115"/>
      <c r="Q5010" s="1116"/>
      <c r="R5010" s="1141"/>
      <c r="S5010" s="1113"/>
      <c r="T5010" s="1143"/>
      <c r="U5010" s="1108"/>
      <c r="V5010" s="1108"/>
      <c r="W5010" s="1108"/>
      <c r="X5010" s="1108"/>
      <c r="Y5010" s="1108"/>
      <c r="Z5010" s="1114"/>
      <c r="AA5010" s="1114"/>
      <c r="AB5010" s="1114"/>
      <c r="AC5010" s="1117"/>
      <c r="AD5010" s="1115"/>
      <c r="AE5010" s="1115"/>
      <c r="AF5010" s="1115"/>
      <c r="AG5010" s="1115"/>
      <c r="AH5010" s="1115"/>
      <c r="AI5010" s="1115"/>
      <c r="AJ5010" s="1117"/>
      <c r="AK5010" s="1118"/>
      <c r="AL5010" s="1115"/>
      <c r="AM5010" s="1115"/>
      <c r="AN5010" s="1115"/>
      <c r="AO5010" s="1115"/>
      <c r="AP5010" s="1115"/>
      <c r="AQ5010" s="1115"/>
      <c r="AR5010" s="1115"/>
      <c r="AS5010" s="1117"/>
      <c r="AT5010" s="1075"/>
      <c r="AU5010" s="1193"/>
      <c r="AV5010" s="330"/>
      <c r="AW5010" s="331"/>
      <c r="AX5010" s="331"/>
      <c r="AY5010" s="331"/>
      <c r="AZ5010" s="331"/>
      <c r="BA5010" s="331"/>
      <c r="BB5010" s="331"/>
      <c r="BC5010" s="331"/>
      <c r="BD5010" s="331"/>
      <c r="BE5010" s="333"/>
      <c r="BF5010" s="330"/>
      <c r="BG5010" s="333"/>
      <c r="BH5010" s="1119"/>
      <c r="BI5010" s="319"/>
      <c r="BJ5010" s="319"/>
      <c r="BK5010" s="319"/>
      <c r="BL5010" s="319"/>
      <c r="BM5010" s="319"/>
      <c r="BN5010" s="319"/>
      <c r="BO5010" s="319"/>
      <c r="BP5010" s="953"/>
      <c r="BQ5010" s="319"/>
      <c r="BR5010" s="319"/>
      <c r="BS5010" s="330"/>
      <c r="BT5010" s="331"/>
      <c r="BU5010" s="920"/>
      <c r="BV5010" s="903"/>
      <c r="BW5010" s="908"/>
      <c r="BX5010" s="908"/>
      <c r="BY5010" s="331"/>
      <c r="BZ5010" s="331"/>
      <c r="CA5010" s="462"/>
      <c r="CB5010" s="319"/>
      <c r="CC5010" s="319"/>
      <c r="CD5010" s="319"/>
      <c r="CE5010" s="319"/>
      <c r="CF5010" s="319"/>
      <c r="CG5010" s="319"/>
      <c r="CH5010" s="318"/>
      <c r="CI5010" s="319"/>
      <c r="CJ5010" s="319"/>
      <c r="CK5010" s="342"/>
      <c r="CL5010" s="333"/>
      <c r="CM5010" s="1079"/>
      <c r="CN5010" s="1005"/>
      <c r="CO5010" s="1005"/>
      <c r="CP5010" s="1005"/>
    </row>
    <row r="5011">
      <c r="A5011" s="1257"/>
      <c r="B5011" s="1113"/>
      <c r="C5011" s="1107"/>
      <c r="D5011" s="103"/>
      <c r="E5011" s="1137"/>
      <c r="F5011" s="112"/>
      <c r="G5011" s="1110"/>
      <c r="H5011" s="1138"/>
      <c r="I5011" s="1138"/>
      <c r="J5011" s="1139"/>
      <c r="K5011" s="1111"/>
      <c r="L5011" s="1112"/>
      <c r="M5011" s="1113"/>
      <c r="N5011" s="110"/>
      <c r="O5011" s="1140"/>
      <c r="P5011" s="1115"/>
      <c r="Q5011" s="1116"/>
      <c r="R5011" s="1141"/>
      <c r="S5011" s="1113"/>
      <c r="T5011" s="1143"/>
      <c r="U5011" s="1108"/>
      <c r="V5011" s="1108"/>
      <c r="W5011" s="1108"/>
      <c r="X5011" s="1108"/>
      <c r="Y5011" s="1108"/>
      <c r="Z5011" s="1114"/>
      <c r="AA5011" s="1114"/>
      <c r="AB5011" s="1114"/>
      <c r="AC5011" s="1117"/>
      <c r="AD5011" s="1115"/>
      <c r="AE5011" s="1115"/>
      <c r="AF5011" s="1115"/>
      <c r="AG5011" s="1115"/>
      <c r="AH5011" s="1115"/>
      <c r="AI5011" s="1115"/>
      <c r="AJ5011" s="1117"/>
      <c r="AK5011" s="1118"/>
      <c r="AL5011" s="1115"/>
      <c r="AM5011" s="1115"/>
      <c r="AN5011" s="1115"/>
      <c r="AO5011" s="1115"/>
      <c r="AP5011" s="1115"/>
      <c r="AQ5011" s="1115"/>
      <c r="AR5011" s="1115"/>
      <c r="AS5011" s="1117"/>
      <c r="AT5011" s="1075"/>
      <c r="AU5011" s="1193"/>
      <c r="AV5011" s="330"/>
      <c r="AW5011" s="331"/>
      <c r="AX5011" s="331"/>
      <c r="AY5011" s="331"/>
      <c r="AZ5011" s="331"/>
      <c r="BA5011" s="331"/>
      <c r="BB5011" s="331"/>
      <c r="BC5011" s="331"/>
      <c r="BD5011" s="331"/>
      <c r="BE5011" s="333"/>
      <c r="BF5011" s="330"/>
      <c r="BG5011" s="333"/>
      <c r="BH5011" s="1119"/>
      <c r="BI5011" s="319"/>
      <c r="BJ5011" s="319"/>
      <c r="BK5011" s="319"/>
      <c r="BL5011" s="319"/>
      <c r="BM5011" s="319"/>
      <c r="BN5011" s="319"/>
      <c r="BO5011" s="319"/>
      <c r="BP5011" s="953"/>
      <c r="BQ5011" s="319"/>
      <c r="BR5011" s="319"/>
      <c r="BS5011" s="330"/>
      <c r="BT5011" s="331"/>
      <c r="BU5011" s="920"/>
      <c r="BV5011" s="903"/>
      <c r="BW5011" s="908"/>
      <c r="BX5011" s="908"/>
      <c r="BY5011" s="331"/>
      <c r="BZ5011" s="331"/>
      <c r="CA5011" s="462"/>
      <c r="CB5011" s="319"/>
      <c r="CC5011" s="319"/>
      <c r="CD5011" s="319"/>
      <c r="CE5011" s="319"/>
      <c r="CF5011" s="319"/>
      <c r="CG5011" s="319"/>
      <c r="CH5011" s="318"/>
      <c r="CI5011" s="319"/>
      <c r="CJ5011" s="319"/>
      <c r="CK5011" s="342"/>
      <c r="CL5011" s="333"/>
      <c r="CM5011" s="1079"/>
      <c r="CN5011" s="1005"/>
      <c r="CO5011" s="1005"/>
      <c r="CP5011" s="1005"/>
    </row>
    <row r="5012">
      <c r="A5012" s="1257"/>
      <c r="B5012" s="1113"/>
      <c r="C5012" s="1107"/>
      <c r="D5012" s="103"/>
      <c r="E5012" s="1137"/>
      <c r="F5012" s="112"/>
      <c r="G5012" s="1110"/>
      <c r="H5012" s="1138"/>
      <c r="I5012" s="1138"/>
      <c r="J5012" s="1139"/>
      <c r="K5012" s="1111"/>
      <c r="L5012" s="1112"/>
      <c r="M5012" s="1113"/>
      <c r="N5012" s="110"/>
      <c r="O5012" s="1140"/>
      <c r="P5012" s="1115"/>
      <c r="Q5012" s="1116"/>
      <c r="R5012" s="1141"/>
      <c r="S5012" s="1113"/>
      <c r="T5012" s="1143"/>
      <c r="U5012" s="1108"/>
      <c r="V5012" s="1108"/>
      <c r="W5012" s="1108"/>
      <c r="X5012" s="1108"/>
      <c r="Y5012" s="1108"/>
      <c r="Z5012" s="1114"/>
      <c r="AA5012" s="1114"/>
      <c r="AB5012" s="1114"/>
      <c r="AC5012" s="1117"/>
      <c r="AD5012" s="1115"/>
      <c r="AE5012" s="1115"/>
      <c r="AF5012" s="1115"/>
      <c r="AG5012" s="1115"/>
      <c r="AH5012" s="1115"/>
      <c r="AI5012" s="1115"/>
      <c r="AJ5012" s="1117"/>
      <c r="AK5012" s="1118"/>
      <c r="AL5012" s="1115"/>
      <c r="AM5012" s="1115"/>
      <c r="AN5012" s="1115"/>
      <c r="AO5012" s="1115"/>
      <c r="AP5012" s="1115"/>
      <c r="AQ5012" s="1115"/>
      <c r="AR5012" s="1115"/>
      <c r="AS5012" s="1117"/>
      <c r="AT5012" s="1075"/>
      <c r="AU5012" s="1193"/>
      <c r="AV5012" s="330"/>
      <c r="AW5012" s="331"/>
      <c r="AX5012" s="331"/>
      <c r="AY5012" s="331"/>
      <c r="AZ5012" s="331"/>
      <c r="BA5012" s="331"/>
      <c r="BB5012" s="331"/>
      <c r="BC5012" s="331"/>
      <c r="BD5012" s="331"/>
      <c r="BE5012" s="333"/>
      <c r="BF5012" s="330"/>
      <c r="BG5012" s="333"/>
      <c r="BH5012" s="1119"/>
      <c r="BI5012" s="319"/>
      <c r="BJ5012" s="319"/>
      <c r="BK5012" s="319"/>
      <c r="BL5012" s="319"/>
      <c r="BM5012" s="319"/>
      <c r="BN5012" s="319"/>
      <c r="BO5012" s="319"/>
      <c r="BP5012" s="953"/>
      <c r="BQ5012" s="319"/>
      <c r="BR5012" s="319"/>
      <c r="BS5012" s="330"/>
      <c r="BT5012" s="331"/>
      <c r="BU5012" s="920"/>
      <c r="BV5012" s="903"/>
      <c r="BW5012" s="908"/>
      <c r="BX5012" s="908"/>
      <c r="BY5012" s="331"/>
      <c r="BZ5012" s="331"/>
      <c r="CA5012" s="462"/>
      <c r="CB5012" s="319"/>
      <c r="CC5012" s="319"/>
      <c r="CD5012" s="319"/>
      <c r="CE5012" s="319"/>
      <c r="CF5012" s="319"/>
      <c r="CG5012" s="319"/>
      <c r="CH5012" s="318"/>
      <c r="CI5012" s="319"/>
      <c r="CJ5012" s="319"/>
      <c r="CK5012" s="342"/>
      <c r="CL5012" s="333"/>
      <c r="CM5012" s="1079"/>
      <c r="CN5012" s="1005"/>
      <c r="CO5012" s="1005"/>
      <c r="CP5012" s="1005"/>
    </row>
    <row r="5013">
      <c r="A5013" s="1257"/>
      <c r="B5013" s="1113"/>
      <c r="C5013" s="1107"/>
      <c r="D5013" s="103"/>
      <c r="E5013" s="1137"/>
      <c r="F5013" s="112"/>
      <c r="G5013" s="1110"/>
      <c r="H5013" s="1138"/>
      <c r="I5013" s="1138"/>
      <c r="J5013" s="1139"/>
      <c r="K5013" s="1111"/>
      <c r="L5013" s="1112"/>
      <c r="M5013" s="1113"/>
      <c r="N5013" s="110"/>
      <c r="O5013" s="1140"/>
      <c r="P5013" s="1115"/>
      <c r="Q5013" s="1116"/>
      <c r="R5013" s="1141"/>
      <c r="S5013" s="1113"/>
      <c r="T5013" s="1143"/>
      <c r="U5013" s="1108"/>
      <c r="V5013" s="1108"/>
      <c r="W5013" s="1108"/>
      <c r="X5013" s="1108"/>
      <c r="Y5013" s="1108"/>
      <c r="Z5013" s="1114"/>
      <c r="AA5013" s="1114"/>
      <c r="AB5013" s="1114"/>
      <c r="AC5013" s="1117"/>
      <c r="AD5013" s="1115"/>
      <c r="AE5013" s="1115"/>
      <c r="AF5013" s="1115"/>
      <c r="AG5013" s="1115"/>
      <c r="AH5013" s="1115"/>
      <c r="AI5013" s="1115"/>
      <c r="AJ5013" s="1117"/>
      <c r="AK5013" s="1118"/>
      <c r="AL5013" s="1115"/>
      <c r="AM5013" s="1115"/>
      <c r="AN5013" s="1115"/>
      <c r="AO5013" s="1115"/>
      <c r="AP5013" s="1115"/>
      <c r="AQ5013" s="1115"/>
      <c r="AR5013" s="1115"/>
      <c r="AS5013" s="1117"/>
      <c r="AT5013" s="1075"/>
      <c r="AU5013" s="1193"/>
      <c r="AV5013" s="330"/>
      <c r="AW5013" s="331"/>
      <c r="AX5013" s="331"/>
      <c r="AY5013" s="331"/>
      <c r="AZ5013" s="331"/>
      <c r="BA5013" s="331"/>
      <c r="BB5013" s="331"/>
      <c r="BC5013" s="331"/>
      <c r="BD5013" s="331"/>
      <c r="BE5013" s="333"/>
      <c r="BF5013" s="330"/>
      <c r="BG5013" s="333"/>
      <c r="BH5013" s="1119"/>
      <c r="BI5013" s="319"/>
      <c r="BJ5013" s="319"/>
      <c r="BK5013" s="319"/>
      <c r="BL5013" s="319"/>
      <c r="BM5013" s="319"/>
      <c r="BN5013" s="319"/>
      <c r="BO5013" s="319"/>
      <c r="BP5013" s="953"/>
      <c r="BQ5013" s="319"/>
      <c r="BR5013" s="319"/>
      <c r="BS5013" s="330"/>
      <c r="BT5013" s="331"/>
      <c r="BU5013" s="920"/>
      <c r="BV5013" s="903"/>
      <c r="BW5013" s="908"/>
      <c r="BX5013" s="908"/>
      <c r="BY5013" s="331"/>
      <c r="BZ5013" s="331"/>
      <c r="CA5013" s="462"/>
      <c r="CB5013" s="319"/>
      <c r="CC5013" s="319"/>
      <c r="CD5013" s="319"/>
      <c r="CE5013" s="319"/>
      <c r="CF5013" s="319"/>
      <c r="CG5013" s="319"/>
      <c r="CH5013" s="318"/>
      <c r="CI5013" s="319"/>
      <c r="CJ5013" s="319"/>
      <c r="CK5013" s="342"/>
      <c r="CL5013" s="333"/>
      <c r="CM5013" s="1079"/>
      <c r="CN5013" s="1005"/>
      <c r="CO5013" s="1005"/>
      <c r="CP5013" s="1005"/>
    </row>
    <row r="5014">
      <c r="A5014" s="1257"/>
      <c r="B5014" s="1113"/>
      <c r="C5014" s="1107"/>
      <c r="D5014" s="103"/>
      <c r="E5014" s="1137"/>
      <c r="F5014" s="112"/>
      <c r="G5014" s="1110"/>
      <c r="H5014" s="1138"/>
      <c r="I5014" s="1138"/>
      <c r="J5014" s="1139"/>
      <c r="K5014" s="1111"/>
      <c r="L5014" s="1112"/>
      <c r="M5014" s="1113"/>
      <c r="N5014" s="110"/>
      <c r="O5014" s="1140"/>
      <c r="P5014" s="1115"/>
      <c r="Q5014" s="1116"/>
      <c r="R5014" s="1141"/>
      <c r="S5014" s="1113"/>
      <c r="T5014" s="1143"/>
      <c r="U5014" s="1108"/>
      <c r="V5014" s="1108"/>
      <c r="W5014" s="1108"/>
      <c r="X5014" s="1108"/>
      <c r="Y5014" s="1108"/>
      <c r="Z5014" s="1114"/>
      <c r="AA5014" s="1114"/>
      <c r="AB5014" s="1114"/>
      <c r="AC5014" s="1117"/>
      <c r="AD5014" s="1115"/>
      <c r="AE5014" s="1115"/>
      <c r="AF5014" s="1115"/>
      <c r="AG5014" s="1115"/>
      <c r="AH5014" s="1115"/>
      <c r="AI5014" s="1115"/>
      <c r="AJ5014" s="1117"/>
      <c r="AK5014" s="1118"/>
      <c r="AL5014" s="1115"/>
      <c r="AM5014" s="1115"/>
      <c r="AN5014" s="1115"/>
      <c r="AO5014" s="1115"/>
      <c r="AP5014" s="1115"/>
      <c r="AQ5014" s="1115"/>
      <c r="AR5014" s="1115"/>
      <c r="AS5014" s="1117"/>
      <c r="AT5014" s="1075"/>
      <c r="AU5014" s="1193"/>
      <c r="AV5014" s="330"/>
      <c r="AW5014" s="331"/>
      <c r="AX5014" s="331"/>
      <c r="AY5014" s="331"/>
      <c r="AZ5014" s="331"/>
      <c r="BA5014" s="331"/>
      <c r="BB5014" s="331"/>
      <c r="BC5014" s="331"/>
      <c r="BD5014" s="331"/>
      <c r="BE5014" s="333"/>
      <c r="BF5014" s="330"/>
      <c r="BG5014" s="333"/>
      <c r="BH5014" s="1119"/>
      <c r="BI5014" s="319"/>
      <c r="BJ5014" s="319"/>
      <c r="BK5014" s="319"/>
      <c r="BL5014" s="319"/>
      <c r="BM5014" s="319"/>
      <c r="BN5014" s="319"/>
      <c r="BO5014" s="319"/>
      <c r="BP5014" s="953"/>
      <c r="BQ5014" s="319"/>
      <c r="BR5014" s="319"/>
      <c r="BS5014" s="330"/>
      <c r="BT5014" s="331"/>
      <c r="BU5014" s="920"/>
      <c r="BV5014" s="903"/>
      <c r="BW5014" s="908"/>
      <c r="BX5014" s="908"/>
      <c r="BY5014" s="331"/>
      <c r="BZ5014" s="331"/>
      <c r="CA5014" s="462"/>
      <c r="CB5014" s="319"/>
      <c r="CC5014" s="319"/>
      <c r="CD5014" s="319"/>
      <c r="CE5014" s="319"/>
      <c r="CF5014" s="319"/>
      <c r="CG5014" s="319"/>
      <c r="CH5014" s="318"/>
      <c r="CI5014" s="319"/>
      <c r="CJ5014" s="319"/>
      <c r="CK5014" s="342"/>
      <c r="CL5014" s="333"/>
      <c r="CM5014" s="1079"/>
      <c r="CN5014" s="1005"/>
      <c r="CO5014" s="1005"/>
      <c r="CP5014" s="1005"/>
    </row>
    <row r="5015">
      <c r="A5015" s="1257"/>
      <c r="B5015" s="1113"/>
      <c r="C5015" s="1107"/>
      <c r="D5015" s="103"/>
      <c r="E5015" s="1137"/>
      <c r="F5015" s="112"/>
      <c r="G5015" s="1110"/>
      <c r="H5015" s="1138"/>
      <c r="I5015" s="1138"/>
      <c r="J5015" s="1139"/>
      <c r="K5015" s="1111"/>
      <c r="L5015" s="1112"/>
      <c r="M5015" s="1113"/>
      <c r="N5015" s="110"/>
      <c r="O5015" s="1140"/>
      <c r="P5015" s="1115"/>
      <c r="Q5015" s="1116"/>
      <c r="R5015" s="1141"/>
      <c r="S5015" s="1113"/>
      <c r="T5015" s="1143"/>
      <c r="U5015" s="1108"/>
      <c r="V5015" s="1108"/>
      <c r="W5015" s="1108"/>
      <c r="X5015" s="1108"/>
      <c r="Y5015" s="1108"/>
      <c r="Z5015" s="1114"/>
      <c r="AA5015" s="1114"/>
      <c r="AB5015" s="1114"/>
      <c r="AC5015" s="1117"/>
      <c r="AD5015" s="1115"/>
      <c r="AE5015" s="1115"/>
      <c r="AF5015" s="1115"/>
      <c r="AG5015" s="1115"/>
      <c r="AH5015" s="1115"/>
      <c r="AI5015" s="1115"/>
      <c r="AJ5015" s="1117"/>
      <c r="AK5015" s="1118"/>
      <c r="AL5015" s="1115"/>
      <c r="AM5015" s="1115"/>
      <c r="AN5015" s="1115"/>
      <c r="AO5015" s="1115"/>
      <c r="AP5015" s="1115"/>
      <c r="AQ5015" s="1115"/>
      <c r="AR5015" s="1115"/>
      <c r="AS5015" s="1117"/>
      <c r="AT5015" s="1075"/>
      <c r="AU5015" s="1193"/>
      <c r="AV5015" s="330"/>
      <c r="AW5015" s="331"/>
      <c r="AX5015" s="331"/>
      <c r="AY5015" s="331"/>
      <c r="AZ5015" s="331"/>
      <c r="BA5015" s="331"/>
      <c r="BB5015" s="331"/>
      <c r="BC5015" s="331"/>
      <c r="BD5015" s="331"/>
      <c r="BE5015" s="333"/>
      <c r="BF5015" s="330"/>
      <c r="BG5015" s="333"/>
      <c r="BH5015" s="1119"/>
      <c r="BI5015" s="319"/>
      <c r="BJ5015" s="319"/>
      <c r="BK5015" s="319"/>
      <c r="BL5015" s="319"/>
      <c r="BM5015" s="319"/>
      <c r="BN5015" s="319"/>
      <c r="BO5015" s="319"/>
      <c r="BP5015" s="953"/>
      <c r="BQ5015" s="319"/>
      <c r="BR5015" s="319"/>
      <c r="BS5015" s="330"/>
      <c r="BT5015" s="331"/>
      <c r="BU5015" s="920"/>
      <c r="BV5015" s="903"/>
      <c r="BW5015" s="908"/>
      <c r="BX5015" s="908"/>
      <c r="BY5015" s="331"/>
      <c r="BZ5015" s="331"/>
      <c r="CA5015" s="462"/>
      <c r="CB5015" s="319"/>
      <c r="CC5015" s="319"/>
      <c r="CD5015" s="319"/>
      <c r="CE5015" s="319"/>
      <c r="CF5015" s="319"/>
      <c r="CG5015" s="319"/>
      <c r="CH5015" s="318"/>
      <c r="CI5015" s="319"/>
      <c r="CJ5015" s="319"/>
      <c r="CK5015" s="342"/>
      <c r="CL5015" s="333"/>
      <c r="CM5015" s="1079"/>
      <c r="CN5015" s="1005"/>
      <c r="CO5015" s="1005"/>
      <c r="CP5015" s="1005"/>
    </row>
    <row r="5016">
      <c r="A5016" s="1257"/>
      <c r="B5016" s="1113"/>
      <c r="C5016" s="1107"/>
      <c r="D5016" s="103"/>
      <c r="E5016" s="1137"/>
      <c r="F5016" s="112"/>
      <c r="G5016" s="1110"/>
      <c r="H5016" s="1138"/>
      <c r="I5016" s="1138"/>
      <c r="J5016" s="1139"/>
      <c r="K5016" s="1111"/>
      <c r="L5016" s="1112"/>
      <c r="M5016" s="1113"/>
      <c r="N5016" s="110"/>
      <c r="O5016" s="1140"/>
      <c r="P5016" s="1115"/>
      <c r="Q5016" s="1116"/>
      <c r="R5016" s="1141"/>
      <c r="S5016" s="1113"/>
      <c r="T5016" s="1143"/>
      <c r="U5016" s="1108"/>
      <c r="V5016" s="1108"/>
      <c r="W5016" s="1108"/>
      <c r="X5016" s="1108"/>
      <c r="Y5016" s="1108"/>
      <c r="Z5016" s="1114"/>
      <c r="AA5016" s="1114"/>
      <c r="AB5016" s="1114"/>
      <c r="AC5016" s="1117"/>
      <c r="AD5016" s="1115"/>
      <c r="AE5016" s="1115"/>
      <c r="AF5016" s="1115"/>
      <c r="AG5016" s="1115"/>
      <c r="AH5016" s="1115"/>
      <c r="AI5016" s="1115"/>
      <c r="AJ5016" s="1117"/>
      <c r="AK5016" s="1118"/>
      <c r="AL5016" s="1115"/>
      <c r="AM5016" s="1115"/>
      <c r="AN5016" s="1115"/>
      <c r="AO5016" s="1115"/>
      <c r="AP5016" s="1115"/>
      <c r="AQ5016" s="1115"/>
      <c r="AR5016" s="1115"/>
      <c r="AS5016" s="1117"/>
      <c r="AT5016" s="1075"/>
      <c r="AU5016" s="1193"/>
      <c r="AV5016" s="330"/>
      <c r="AW5016" s="331"/>
      <c r="AX5016" s="331"/>
      <c r="AY5016" s="331"/>
      <c r="AZ5016" s="331"/>
      <c r="BA5016" s="331"/>
      <c r="BB5016" s="331"/>
      <c r="BC5016" s="331"/>
      <c r="BD5016" s="331"/>
      <c r="BE5016" s="333"/>
      <c r="BF5016" s="330"/>
      <c r="BG5016" s="333"/>
      <c r="BH5016" s="1119"/>
      <c r="BI5016" s="319"/>
      <c r="BJ5016" s="319"/>
      <c r="BK5016" s="319"/>
      <c r="BL5016" s="319"/>
      <c r="BM5016" s="319"/>
      <c r="BN5016" s="319"/>
      <c r="BO5016" s="319"/>
      <c r="BP5016" s="953"/>
      <c r="BQ5016" s="319"/>
      <c r="BR5016" s="319"/>
      <c r="BS5016" s="330"/>
      <c r="BT5016" s="331"/>
      <c r="BU5016" s="920"/>
      <c r="BV5016" s="903"/>
      <c r="BW5016" s="908"/>
      <c r="BX5016" s="908"/>
      <c r="BY5016" s="331"/>
      <c r="BZ5016" s="331"/>
      <c r="CA5016" s="462"/>
      <c r="CB5016" s="319"/>
      <c r="CC5016" s="319"/>
      <c r="CD5016" s="319"/>
      <c r="CE5016" s="319"/>
      <c r="CF5016" s="319"/>
      <c r="CG5016" s="319"/>
      <c r="CH5016" s="318"/>
      <c r="CI5016" s="319"/>
      <c r="CJ5016" s="319"/>
      <c r="CK5016" s="342"/>
      <c r="CL5016" s="333"/>
      <c r="CM5016" s="1079"/>
      <c r="CN5016" s="1005"/>
      <c r="CO5016" s="1005"/>
      <c r="CP5016" s="1005"/>
    </row>
    <row r="5017">
      <c r="A5017" s="1257"/>
      <c r="B5017" s="1113"/>
      <c r="C5017" s="1107"/>
      <c r="D5017" s="103"/>
      <c r="E5017" s="1137"/>
      <c r="F5017" s="112"/>
      <c r="G5017" s="1110"/>
      <c r="H5017" s="1138"/>
      <c r="I5017" s="1138"/>
      <c r="J5017" s="1139"/>
      <c r="K5017" s="1111"/>
      <c r="L5017" s="1112"/>
      <c r="M5017" s="1113"/>
      <c r="N5017" s="110"/>
      <c r="O5017" s="1140"/>
      <c r="P5017" s="1115"/>
      <c r="Q5017" s="1116"/>
      <c r="R5017" s="1141"/>
      <c r="S5017" s="1113"/>
      <c r="T5017" s="1143"/>
      <c r="U5017" s="1108"/>
      <c r="V5017" s="1108"/>
      <c r="W5017" s="1108"/>
      <c r="X5017" s="1108"/>
      <c r="Y5017" s="1108"/>
      <c r="Z5017" s="1114"/>
      <c r="AA5017" s="1114"/>
      <c r="AB5017" s="1114"/>
      <c r="AC5017" s="1117"/>
      <c r="AD5017" s="1115"/>
      <c r="AE5017" s="1115"/>
      <c r="AF5017" s="1115"/>
      <c r="AG5017" s="1115"/>
      <c r="AH5017" s="1115"/>
      <c r="AI5017" s="1115"/>
      <c r="AJ5017" s="1117"/>
      <c r="AK5017" s="1118"/>
      <c r="AL5017" s="1115"/>
      <c r="AM5017" s="1115"/>
      <c r="AN5017" s="1115"/>
      <c r="AO5017" s="1115"/>
      <c r="AP5017" s="1115"/>
      <c r="AQ5017" s="1115"/>
      <c r="AR5017" s="1115"/>
      <c r="AS5017" s="1117"/>
      <c r="AT5017" s="1075"/>
      <c r="AU5017" s="1193"/>
      <c r="AV5017" s="330"/>
      <c r="AW5017" s="331"/>
      <c r="AX5017" s="331"/>
      <c r="AY5017" s="331"/>
      <c r="AZ5017" s="331"/>
      <c r="BA5017" s="331"/>
      <c r="BB5017" s="331"/>
      <c r="BC5017" s="331"/>
      <c r="BD5017" s="331"/>
      <c r="BE5017" s="333"/>
      <c r="BF5017" s="330"/>
      <c r="BG5017" s="333"/>
      <c r="BH5017" s="1119"/>
      <c r="BI5017" s="319"/>
      <c r="BJ5017" s="319"/>
      <c r="BK5017" s="319"/>
      <c r="BL5017" s="319"/>
      <c r="BM5017" s="319"/>
      <c r="BN5017" s="319"/>
      <c r="BO5017" s="319"/>
      <c r="BP5017" s="953"/>
      <c r="BQ5017" s="319"/>
      <c r="BR5017" s="319"/>
      <c r="BS5017" s="330"/>
      <c r="BT5017" s="331"/>
      <c r="BU5017" s="920"/>
      <c r="BV5017" s="903"/>
      <c r="BW5017" s="908"/>
      <c r="BX5017" s="908"/>
      <c r="BY5017" s="331"/>
      <c r="BZ5017" s="331"/>
      <c r="CA5017" s="462"/>
      <c r="CB5017" s="319"/>
      <c r="CC5017" s="319"/>
      <c r="CD5017" s="319"/>
      <c r="CE5017" s="319"/>
      <c r="CF5017" s="319"/>
      <c r="CG5017" s="319"/>
      <c r="CH5017" s="318"/>
      <c r="CI5017" s="319"/>
      <c r="CJ5017" s="319"/>
      <c r="CK5017" s="342"/>
      <c r="CL5017" s="333"/>
      <c r="CM5017" s="1079"/>
      <c r="CN5017" s="1005"/>
      <c r="CO5017" s="1005"/>
      <c r="CP5017" s="1005"/>
    </row>
    <row r="5018">
      <c r="A5018" s="1257"/>
      <c r="B5018" s="1113"/>
      <c r="C5018" s="1107"/>
      <c r="D5018" s="103"/>
      <c r="E5018" s="1137"/>
      <c r="F5018" s="112"/>
      <c r="G5018" s="1110"/>
      <c r="H5018" s="1138"/>
      <c r="I5018" s="1138"/>
      <c r="J5018" s="1139"/>
      <c r="K5018" s="1111"/>
      <c r="L5018" s="1112"/>
      <c r="M5018" s="1113"/>
      <c r="N5018" s="110"/>
      <c r="O5018" s="1140"/>
      <c r="P5018" s="1115"/>
      <c r="Q5018" s="1116"/>
      <c r="R5018" s="1141"/>
      <c r="S5018" s="1113"/>
      <c r="T5018" s="1143"/>
      <c r="U5018" s="1108"/>
      <c r="V5018" s="1108"/>
      <c r="W5018" s="1108"/>
      <c r="X5018" s="1108"/>
      <c r="Y5018" s="1108"/>
      <c r="Z5018" s="1114"/>
      <c r="AA5018" s="1114"/>
      <c r="AB5018" s="1114"/>
      <c r="AC5018" s="1117"/>
      <c r="AD5018" s="1115"/>
      <c r="AE5018" s="1115"/>
      <c r="AF5018" s="1115"/>
      <c r="AG5018" s="1115"/>
      <c r="AH5018" s="1115"/>
      <c r="AI5018" s="1115"/>
      <c r="AJ5018" s="1117"/>
      <c r="AK5018" s="1118"/>
      <c r="AL5018" s="1115"/>
      <c r="AM5018" s="1115"/>
      <c r="AN5018" s="1115"/>
      <c r="AO5018" s="1115"/>
      <c r="AP5018" s="1115"/>
      <c r="AQ5018" s="1115"/>
      <c r="AR5018" s="1115"/>
      <c r="AS5018" s="1117"/>
      <c r="AT5018" s="1075"/>
      <c r="AU5018" s="1193"/>
      <c r="AV5018" s="330"/>
      <c r="AW5018" s="331"/>
      <c r="AX5018" s="331"/>
      <c r="AY5018" s="331"/>
      <c r="AZ5018" s="331"/>
      <c r="BA5018" s="331"/>
      <c r="BB5018" s="331"/>
      <c r="BC5018" s="331"/>
      <c r="BD5018" s="331"/>
      <c r="BE5018" s="333"/>
      <c r="BF5018" s="330"/>
      <c r="BG5018" s="333"/>
      <c r="BH5018" s="1119"/>
      <c r="BI5018" s="319"/>
      <c r="BJ5018" s="319"/>
      <c r="BK5018" s="319"/>
      <c r="BL5018" s="319"/>
      <c r="BM5018" s="319"/>
      <c r="BN5018" s="319"/>
      <c r="BO5018" s="319"/>
      <c r="BP5018" s="953"/>
      <c r="BQ5018" s="319"/>
      <c r="BR5018" s="319"/>
      <c r="BS5018" s="330"/>
      <c r="BT5018" s="331"/>
      <c r="BU5018" s="920"/>
      <c r="BV5018" s="903"/>
      <c r="BW5018" s="908"/>
      <c r="BX5018" s="908"/>
      <c r="BY5018" s="331"/>
      <c r="BZ5018" s="331"/>
      <c r="CA5018" s="462"/>
      <c r="CB5018" s="319"/>
      <c r="CC5018" s="319"/>
      <c r="CD5018" s="319"/>
      <c r="CE5018" s="319"/>
      <c r="CF5018" s="319"/>
      <c r="CG5018" s="319"/>
      <c r="CH5018" s="318"/>
      <c r="CI5018" s="319"/>
      <c r="CJ5018" s="319"/>
      <c r="CK5018" s="342"/>
      <c r="CL5018" s="333"/>
      <c r="CM5018" s="1079"/>
      <c r="CN5018" s="1005"/>
      <c r="CO5018" s="1005"/>
      <c r="CP5018" s="1005"/>
    </row>
    <row r="5019">
      <c r="A5019" s="1257"/>
      <c r="B5019" s="1113"/>
      <c r="C5019" s="1107"/>
      <c r="D5019" s="103"/>
      <c r="E5019" s="1137"/>
      <c r="F5019" s="112"/>
      <c r="G5019" s="1110"/>
      <c r="H5019" s="1138"/>
      <c r="I5019" s="1138"/>
      <c r="J5019" s="1139"/>
      <c r="K5019" s="1111"/>
      <c r="L5019" s="1112"/>
      <c r="M5019" s="1113"/>
      <c r="N5019" s="110"/>
      <c r="O5019" s="1140"/>
      <c r="P5019" s="1115"/>
      <c r="Q5019" s="1116"/>
      <c r="R5019" s="1141"/>
      <c r="S5019" s="1113"/>
      <c r="T5019" s="1143"/>
      <c r="U5019" s="1108"/>
      <c r="V5019" s="1108"/>
      <c r="W5019" s="1108"/>
      <c r="X5019" s="1108"/>
      <c r="Y5019" s="1108"/>
      <c r="Z5019" s="1114"/>
      <c r="AA5019" s="1114"/>
      <c r="AB5019" s="1114"/>
      <c r="AC5019" s="1117"/>
      <c r="AD5019" s="1115"/>
      <c r="AE5019" s="1115"/>
      <c r="AF5019" s="1115"/>
      <c r="AG5019" s="1115"/>
      <c r="AH5019" s="1115"/>
      <c r="AI5019" s="1115"/>
      <c r="AJ5019" s="1117"/>
      <c r="AK5019" s="1118"/>
      <c r="AL5019" s="1115"/>
      <c r="AM5019" s="1115"/>
      <c r="AN5019" s="1115"/>
      <c r="AO5019" s="1115"/>
      <c r="AP5019" s="1115"/>
      <c r="AQ5019" s="1115"/>
      <c r="AR5019" s="1115"/>
      <c r="AS5019" s="1117"/>
      <c r="AT5019" s="1075"/>
      <c r="AU5019" s="1193"/>
      <c r="AV5019" s="330"/>
      <c r="AW5019" s="331"/>
      <c r="AX5019" s="331"/>
      <c r="AY5019" s="331"/>
      <c r="AZ5019" s="331"/>
      <c r="BA5019" s="331"/>
      <c r="BB5019" s="331"/>
      <c r="BC5019" s="331"/>
      <c r="BD5019" s="331"/>
      <c r="BE5019" s="333"/>
      <c r="BF5019" s="330"/>
      <c r="BG5019" s="333"/>
      <c r="BH5019" s="1119"/>
      <c r="BI5019" s="319"/>
      <c r="BJ5019" s="319"/>
      <c r="BK5019" s="319"/>
      <c r="BL5019" s="319"/>
      <c r="BM5019" s="319"/>
      <c r="BN5019" s="319"/>
      <c r="BO5019" s="319"/>
      <c r="BP5019" s="953"/>
      <c r="BQ5019" s="319"/>
      <c r="BR5019" s="319"/>
      <c r="BS5019" s="330"/>
      <c r="BT5019" s="331"/>
      <c r="BU5019" s="920"/>
      <c r="BV5019" s="903"/>
      <c r="BW5019" s="908"/>
      <c r="BX5019" s="908"/>
      <c r="BY5019" s="331"/>
      <c r="BZ5019" s="331"/>
      <c r="CA5019" s="462"/>
      <c r="CB5019" s="319"/>
      <c r="CC5019" s="319"/>
      <c r="CD5019" s="319"/>
      <c r="CE5019" s="319"/>
      <c r="CF5019" s="319"/>
      <c r="CG5019" s="319"/>
      <c r="CH5019" s="318"/>
      <c r="CI5019" s="319"/>
      <c r="CJ5019" s="319"/>
      <c r="CK5019" s="342"/>
      <c r="CL5019" s="333"/>
      <c r="CM5019" s="1079"/>
      <c r="CN5019" s="1005"/>
      <c r="CO5019" s="1005"/>
      <c r="CP5019" s="1005"/>
    </row>
    <row r="5020">
      <c r="A5020" s="1257"/>
      <c r="B5020" s="1113"/>
      <c r="C5020" s="1107"/>
      <c r="D5020" s="103"/>
      <c r="E5020" s="1137"/>
      <c r="F5020" s="112"/>
      <c r="G5020" s="1110"/>
      <c r="H5020" s="1138"/>
      <c r="I5020" s="1138"/>
      <c r="J5020" s="1139"/>
      <c r="K5020" s="1111"/>
      <c r="L5020" s="1112"/>
      <c r="M5020" s="1113"/>
      <c r="N5020" s="110"/>
      <c r="O5020" s="1140"/>
      <c r="P5020" s="1115"/>
      <c r="Q5020" s="1116"/>
      <c r="R5020" s="1141"/>
      <c r="S5020" s="1113"/>
      <c r="T5020" s="1143"/>
      <c r="U5020" s="1108"/>
      <c r="V5020" s="1108"/>
      <c r="W5020" s="1108"/>
      <c r="X5020" s="1108"/>
      <c r="Y5020" s="1108"/>
      <c r="Z5020" s="1114"/>
      <c r="AA5020" s="1114"/>
      <c r="AB5020" s="1114"/>
      <c r="AC5020" s="1117"/>
      <c r="AD5020" s="1115"/>
      <c r="AE5020" s="1115"/>
      <c r="AF5020" s="1115"/>
      <c r="AG5020" s="1115"/>
      <c r="AH5020" s="1115"/>
      <c r="AI5020" s="1115"/>
      <c r="AJ5020" s="1117"/>
      <c r="AK5020" s="1118"/>
      <c r="AL5020" s="1115"/>
      <c r="AM5020" s="1115"/>
      <c r="AN5020" s="1115"/>
      <c r="AO5020" s="1115"/>
      <c r="AP5020" s="1115"/>
      <c r="AQ5020" s="1115"/>
      <c r="AR5020" s="1115"/>
      <c r="AS5020" s="1117"/>
      <c r="AT5020" s="1075"/>
      <c r="AU5020" s="1193"/>
      <c r="AV5020" s="330"/>
      <c r="AW5020" s="331"/>
      <c r="AX5020" s="331"/>
      <c r="AY5020" s="331"/>
      <c r="AZ5020" s="331"/>
      <c r="BA5020" s="331"/>
      <c r="BB5020" s="331"/>
      <c r="BC5020" s="331"/>
      <c r="BD5020" s="331"/>
      <c r="BE5020" s="333"/>
      <c r="BF5020" s="330"/>
      <c r="BG5020" s="333"/>
      <c r="BH5020" s="1119"/>
      <c r="BI5020" s="319"/>
      <c r="BJ5020" s="319"/>
      <c r="BK5020" s="319"/>
      <c r="BL5020" s="319"/>
      <c r="BM5020" s="319"/>
      <c r="BN5020" s="319"/>
      <c r="BO5020" s="319"/>
      <c r="BP5020" s="953"/>
      <c r="BQ5020" s="319"/>
      <c r="BR5020" s="319"/>
      <c r="BS5020" s="330"/>
      <c r="BT5020" s="331"/>
      <c r="BU5020" s="920"/>
      <c r="BV5020" s="903"/>
      <c r="BW5020" s="908"/>
      <c r="BX5020" s="908"/>
      <c r="BY5020" s="331"/>
      <c r="BZ5020" s="331"/>
      <c r="CA5020" s="462"/>
      <c r="CB5020" s="319"/>
      <c r="CC5020" s="319"/>
      <c r="CD5020" s="319"/>
      <c r="CE5020" s="319"/>
      <c r="CF5020" s="319"/>
      <c r="CG5020" s="319"/>
      <c r="CH5020" s="318"/>
      <c r="CI5020" s="319"/>
      <c r="CJ5020" s="319"/>
      <c r="CK5020" s="342"/>
      <c r="CL5020" s="333"/>
      <c r="CM5020" s="1079"/>
      <c r="CN5020" s="1005"/>
      <c r="CO5020" s="1005"/>
      <c r="CP5020" s="1005"/>
    </row>
    <row r="5021">
      <c r="A5021" s="1257"/>
      <c r="B5021" s="1113"/>
      <c r="C5021" s="1107"/>
      <c r="D5021" s="103"/>
      <c r="E5021" s="1137"/>
      <c r="F5021" s="112"/>
      <c r="G5021" s="1110"/>
      <c r="H5021" s="1138"/>
      <c r="I5021" s="1138"/>
      <c r="J5021" s="1139"/>
      <c r="K5021" s="1111"/>
      <c r="L5021" s="1112"/>
      <c r="M5021" s="1113"/>
      <c r="N5021" s="110"/>
      <c r="O5021" s="1140"/>
      <c r="P5021" s="1115"/>
      <c r="Q5021" s="1116"/>
      <c r="R5021" s="1141"/>
      <c r="S5021" s="1113"/>
      <c r="T5021" s="1143"/>
      <c r="U5021" s="1108"/>
      <c r="V5021" s="1108"/>
      <c r="W5021" s="1108"/>
      <c r="X5021" s="1108"/>
      <c r="Y5021" s="1108"/>
      <c r="Z5021" s="1114"/>
      <c r="AA5021" s="1114"/>
      <c r="AB5021" s="1114"/>
      <c r="AC5021" s="1117"/>
      <c r="AD5021" s="1115"/>
      <c r="AE5021" s="1115"/>
      <c r="AF5021" s="1115"/>
      <c r="AG5021" s="1115"/>
      <c r="AH5021" s="1115"/>
      <c r="AI5021" s="1115"/>
      <c r="AJ5021" s="1117"/>
      <c r="AK5021" s="1118"/>
      <c r="AL5021" s="1115"/>
      <c r="AM5021" s="1115"/>
      <c r="AN5021" s="1115"/>
      <c r="AO5021" s="1115"/>
      <c r="AP5021" s="1115"/>
      <c r="AQ5021" s="1115"/>
      <c r="AR5021" s="1115"/>
      <c r="AS5021" s="1117"/>
      <c r="AT5021" s="1075"/>
      <c r="AU5021" s="1193"/>
      <c r="AV5021" s="330"/>
      <c r="AW5021" s="331"/>
      <c r="AX5021" s="331"/>
      <c r="AY5021" s="331"/>
      <c r="AZ5021" s="331"/>
      <c r="BA5021" s="331"/>
      <c r="BB5021" s="331"/>
      <c r="BC5021" s="331"/>
      <c r="BD5021" s="331"/>
      <c r="BE5021" s="333"/>
      <c r="BF5021" s="330"/>
      <c r="BG5021" s="333"/>
      <c r="BH5021" s="1119"/>
      <c r="BI5021" s="319"/>
      <c r="BJ5021" s="319"/>
      <c r="BK5021" s="319"/>
      <c r="BL5021" s="319"/>
      <c r="BM5021" s="319"/>
      <c r="BN5021" s="319"/>
      <c r="BO5021" s="319"/>
      <c r="BP5021" s="953"/>
      <c r="BQ5021" s="319"/>
      <c r="BR5021" s="319"/>
      <c r="BS5021" s="330"/>
      <c r="BT5021" s="331"/>
      <c r="BU5021" s="920"/>
      <c r="BV5021" s="903"/>
      <c r="BW5021" s="908"/>
      <c r="BX5021" s="908"/>
      <c r="BY5021" s="331"/>
      <c r="BZ5021" s="331"/>
      <c r="CA5021" s="462"/>
      <c r="CB5021" s="319"/>
      <c r="CC5021" s="319"/>
      <c r="CD5021" s="319"/>
      <c r="CE5021" s="319"/>
      <c r="CF5021" s="319"/>
      <c r="CG5021" s="319"/>
      <c r="CH5021" s="318"/>
      <c r="CI5021" s="319"/>
      <c r="CJ5021" s="319"/>
      <c r="CK5021" s="342"/>
      <c r="CL5021" s="333"/>
      <c r="CM5021" s="1079"/>
      <c r="CN5021" s="1005"/>
      <c r="CO5021" s="1005"/>
      <c r="CP5021" s="1005"/>
    </row>
    <row r="5022">
      <c r="A5022" s="1257"/>
      <c r="B5022" s="1113"/>
      <c r="C5022" s="1107"/>
      <c r="D5022" s="103"/>
      <c r="E5022" s="1137"/>
      <c r="F5022" s="112"/>
      <c r="G5022" s="1110"/>
      <c r="H5022" s="1138"/>
      <c r="I5022" s="1138"/>
      <c r="J5022" s="1139"/>
      <c r="K5022" s="1111"/>
      <c r="L5022" s="1112"/>
      <c r="M5022" s="1113"/>
      <c r="N5022" s="110"/>
      <c r="O5022" s="1140"/>
      <c r="P5022" s="1115"/>
      <c r="Q5022" s="1116"/>
      <c r="R5022" s="1141"/>
      <c r="S5022" s="1113"/>
      <c r="T5022" s="1143"/>
      <c r="U5022" s="1108"/>
      <c r="V5022" s="1108"/>
      <c r="W5022" s="1108"/>
      <c r="X5022" s="1108"/>
      <c r="Y5022" s="1108"/>
      <c r="Z5022" s="1114"/>
      <c r="AA5022" s="1114"/>
      <c r="AB5022" s="1114"/>
      <c r="AC5022" s="1117"/>
      <c r="AD5022" s="1115"/>
      <c r="AE5022" s="1115"/>
      <c r="AF5022" s="1115"/>
      <c r="AG5022" s="1115"/>
      <c r="AH5022" s="1115"/>
      <c r="AI5022" s="1115"/>
      <c r="AJ5022" s="1117"/>
      <c r="AK5022" s="1118"/>
      <c r="AL5022" s="1115"/>
      <c r="AM5022" s="1115"/>
      <c r="AN5022" s="1115"/>
      <c r="AO5022" s="1115"/>
      <c r="AP5022" s="1115"/>
      <c r="AQ5022" s="1115"/>
      <c r="AR5022" s="1115"/>
      <c r="AS5022" s="1117"/>
      <c r="AT5022" s="1075"/>
      <c r="AU5022" s="1193"/>
      <c r="AV5022" s="330"/>
      <c r="AW5022" s="331"/>
      <c r="AX5022" s="331"/>
      <c r="AY5022" s="331"/>
      <c r="AZ5022" s="331"/>
      <c r="BA5022" s="331"/>
      <c r="BB5022" s="331"/>
      <c r="BC5022" s="331"/>
      <c r="BD5022" s="331"/>
      <c r="BE5022" s="333"/>
      <c r="BF5022" s="330"/>
      <c r="BG5022" s="333"/>
      <c r="BH5022" s="1119"/>
      <c r="BI5022" s="319"/>
      <c r="BJ5022" s="319"/>
      <c r="BK5022" s="319"/>
      <c r="BL5022" s="319"/>
      <c r="BM5022" s="319"/>
      <c r="BN5022" s="319"/>
      <c r="BO5022" s="319"/>
      <c r="BP5022" s="953"/>
      <c r="BQ5022" s="319"/>
      <c r="BR5022" s="319"/>
      <c r="BS5022" s="330"/>
      <c r="BT5022" s="331"/>
      <c r="BU5022" s="920"/>
      <c r="BV5022" s="903"/>
      <c r="BW5022" s="908"/>
      <c r="BX5022" s="908"/>
      <c r="BY5022" s="331"/>
      <c r="BZ5022" s="331"/>
      <c r="CA5022" s="462"/>
      <c r="CB5022" s="319"/>
      <c r="CC5022" s="319"/>
      <c r="CD5022" s="319"/>
      <c r="CE5022" s="319"/>
      <c r="CF5022" s="319"/>
      <c r="CG5022" s="319"/>
      <c r="CH5022" s="318"/>
      <c r="CI5022" s="319"/>
      <c r="CJ5022" s="319"/>
      <c r="CK5022" s="342"/>
      <c r="CL5022" s="333"/>
      <c r="CM5022" s="1079"/>
      <c r="CN5022" s="1005"/>
      <c r="CO5022" s="1005"/>
      <c r="CP5022" s="1005"/>
    </row>
    <row r="5023">
      <c r="A5023" s="1257"/>
      <c r="B5023" s="1113"/>
      <c r="C5023" s="1107"/>
      <c r="D5023" s="103"/>
      <c r="E5023" s="1137"/>
      <c r="F5023" s="112"/>
      <c r="G5023" s="1110"/>
      <c r="H5023" s="1138"/>
      <c r="I5023" s="1138"/>
      <c r="J5023" s="1139"/>
      <c r="K5023" s="1111"/>
      <c r="L5023" s="1112"/>
      <c r="M5023" s="1113"/>
      <c r="N5023" s="110"/>
      <c r="O5023" s="1140"/>
      <c r="P5023" s="1115"/>
      <c r="Q5023" s="1116"/>
      <c r="R5023" s="1141"/>
      <c r="S5023" s="1113"/>
      <c r="T5023" s="1143"/>
      <c r="U5023" s="1108"/>
      <c r="V5023" s="1108"/>
      <c r="W5023" s="1108"/>
      <c r="X5023" s="1108"/>
      <c r="Y5023" s="1108"/>
      <c r="Z5023" s="1114"/>
      <c r="AA5023" s="1114"/>
      <c r="AB5023" s="1114"/>
      <c r="AC5023" s="1117"/>
      <c r="AD5023" s="1115"/>
      <c r="AE5023" s="1115"/>
      <c r="AF5023" s="1115"/>
      <c r="AG5023" s="1115"/>
      <c r="AH5023" s="1115"/>
      <c r="AI5023" s="1115"/>
      <c r="AJ5023" s="1117"/>
      <c r="AK5023" s="1118"/>
      <c r="AL5023" s="1115"/>
      <c r="AM5023" s="1115"/>
      <c r="AN5023" s="1115"/>
      <c r="AO5023" s="1115"/>
      <c r="AP5023" s="1115"/>
      <c r="AQ5023" s="1115"/>
      <c r="AR5023" s="1115"/>
      <c r="AS5023" s="1117"/>
      <c r="AT5023" s="1075"/>
      <c r="AU5023" s="1193"/>
      <c r="AV5023" s="330"/>
      <c r="AW5023" s="331"/>
      <c r="AX5023" s="331"/>
      <c r="AY5023" s="331"/>
      <c r="AZ5023" s="331"/>
      <c r="BA5023" s="331"/>
      <c r="BB5023" s="331"/>
      <c r="BC5023" s="331"/>
      <c r="BD5023" s="331"/>
      <c r="BE5023" s="333"/>
      <c r="BF5023" s="330"/>
      <c r="BG5023" s="333"/>
      <c r="BH5023" s="1119"/>
      <c r="BI5023" s="319"/>
      <c r="BJ5023" s="319"/>
      <c r="BK5023" s="319"/>
      <c r="BL5023" s="319"/>
      <c r="BM5023" s="319"/>
      <c r="BN5023" s="319"/>
      <c r="BO5023" s="319"/>
      <c r="BP5023" s="953"/>
      <c r="BQ5023" s="319"/>
      <c r="BR5023" s="319"/>
      <c r="BS5023" s="330"/>
      <c r="BT5023" s="331"/>
      <c r="BU5023" s="920"/>
      <c r="BV5023" s="903"/>
      <c r="BW5023" s="908"/>
      <c r="BX5023" s="908"/>
      <c r="BY5023" s="331"/>
      <c r="BZ5023" s="331"/>
      <c r="CA5023" s="462"/>
      <c r="CB5023" s="319"/>
      <c r="CC5023" s="319"/>
      <c r="CD5023" s="319"/>
      <c r="CE5023" s="319"/>
      <c r="CF5023" s="319"/>
      <c r="CG5023" s="319"/>
      <c r="CH5023" s="318"/>
      <c r="CI5023" s="319"/>
      <c r="CJ5023" s="319"/>
      <c r="CK5023" s="342"/>
      <c r="CL5023" s="333"/>
      <c r="CM5023" s="1079"/>
      <c r="CN5023" s="1005"/>
      <c r="CO5023" s="1005"/>
      <c r="CP5023" s="1005"/>
    </row>
    <row r="5024">
      <c r="A5024" s="1257"/>
      <c r="B5024" s="1113"/>
      <c r="C5024" s="1107"/>
      <c r="D5024" s="103"/>
      <c r="E5024" s="1137"/>
      <c r="F5024" s="112"/>
      <c r="G5024" s="1110"/>
      <c r="H5024" s="1138"/>
      <c r="I5024" s="1138"/>
      <c r="J5024" s="1139"/>
      <c r="K5024" s="1111"/>
      <c r="L5024" s="1112"/>
      <c r="M5024" s="1113"/>
      <c r="N5024" s="110"/>
      <c r="O5024" s="1140"/>
      <c r="P5024" s="1115"/>
      <c r="Q5024" s="1116"/>
      <c r="R5024" s="1141"/>
      <c r="S5024" s="1113"/>
      <c r="T5024" s="1143"/>
      <c r="U5024" s="1108"/>
      <c r="V5024" s="1108"/>
      <c r="W5024" s="1108"/>
      <c r="X5024" s="1108"/>
      <c r="Y5024" s="1108"/>
      <c r="Z5024" s="1114"/>
      <c r="AA5024" s="1114"/>
      <c r="AB5024" s="1114"/>
      <c r="AC5024" s="1117"/>
      <c r="AD5024" s="1115"/>
      <c r="AE5024" s="1115"/>
      <c r="AF5024" s="1115"/>
      <c r="AG5024" s="1115"/>
      <c r="AH5024" s="1115"/>
      <c r="AI5024" s="1115"/>
      <c r="AJ5024" s="1117"/>
      <c r="AK5024" s="1118"/>
      <c r="AL5024" s="1115"/>
      <c r="AM5024" s="1115"/>
      <c r="AN5024" s="1115"/>
      <c r="AO5024" s="1115"/>
      <c r="AP5024" s="1115"/>
      <c r="AQ5024" s="1115"/>
      <c r="AR5024" s="1115"/>
      <c r="AS5024" s="1117"/>
      <c r="AT5024" s="1075"/>
      <c r="AU5024" s="1193"/>
      <c r="AV5024" s="330"/>
      <c r="AW5024" s="331"/>
      <c r="AX5024" s="331"/>
      <c r="AY5024" s="331"/>
      <c r="AZ5024" s="331"/>
      <c r="BA5024" s="331"/>
      <c r="BB5024" s="331"/>
      <c r="BC5024" s="331"/>
      <c r="BD5024" s="331"/>
      <c r="BE5024" s="333"/>
      <c r="BF5024" s="330"/>
      <c r="BG5024" s="333"/>
      <c r="BH5024" s="1119"/>
      <c r="BI5024" s="319"/>
      <c r="BJ5024" s="319"/>
      <c r="BK5024" s="319"/>
      <c r="BL5024" s="319"/>
      <c r="BM5024" s="319"/>
      <c r="BN5024" s="319"/>
      <c r="BO5024" s="319"/>
      <c r="BP5024" s="953"/>
      <c r="BQ5024" s="319"/>
      <c r="BR5024" s="319"/>
      <c r="BS5024" s="330"/>
      <c r="BT5024" s="331"/>
      <c r="BU5024" s="920"/>
      <c r="BV5024" s="903"/>
      <c r="BW5024" s="908"/>
      <c r="BX5024" s="908"/>
      <c r="BY5024" s="331"/>
      <c r="BZ5024" s="331"/>
      <c r="CA5024" s="462"/>
      <c r="CB5024" s="319"/>
      <c r="CC5024" s="319"/>
      <c r="CD5024" s="319"/>
      <c r="CE5024" s="319"/>
      <c r="CF5024" s="319"/>
      <c r="CG5024" s="319"/>
      <c r="CH5024" s="318"/>
      <c r="CI5024" s="319"/>
      <c r="CJ5024" s="319"/>
      <c r="CK5024" s="342"/>
      <c r="CL5024" s="333"/>
      <c r="CM5024" s="1079"/>
      <c r="CN5024" s="1005"/>
      <c r="CO5024" s="1005"/>
      <c r="CP5024" s="1005"/>
    </row>
    <row r="5025">
      <c r="A5025" s="1257"/>
      <c r="B5025" s="1113"/>
      <c r="C5025" s="1107"/>
      <c r="D5025" s="103"/>
      <c r="E5025" s="1137"/>
      <c r="F5025" s="112"/>
      <c r="G5025" s="1110"/>
      <c r="H5025" s="1138"/>
      <c r="I5025" s="1138"/>
      <c r="J5025" s="1139"/>
      <c r="K5025" s="1111"/>
      <c r="L5025" s="1112"/>
      <c r="M5025" s="1113"/>
      <c r="N5025" s="110"/>
      <c r="O5025" s="1140"/>
      <c r="P5025" s="1115"/>
      <c r="Q5025" s="1116"/>
      <c r="R5025" s="1141"/>
      <c r="S5025" s="1113"/>
      <c r="T5025" s="1143"/>
      <c r="U5025" s="1108"/>
      <c r="V5025" s="1108"/>
      <c r="W5025" s="1108"/>
      <c r="X5025" s="1108"/>
      <c r="Y5025" s="1108"/>
      <c r="Z5025" s="1114"/>
      <c r="AA5025" s="1114"/>
      <c r="AB5025" s="1114"/>
      <c r="AC5025" s="1117"/>
      <c r="AD5025" s="1115"/>
      <c r="AE5025" s="1115"/>
      <c r="AF5025" s="1115"/>
      <c r="AG5025" s="1115"/>
      <c r="AH5025" s="1115"/>
      <c r="AI5025" s="1115"/>
      <c r="AJ5025" s="1117"/>
      <c r="AK5025" s="1118"/>
      <c r="AL5025" s="1115"/>
      <c r="AM5025" s="1115"/>
      <c r="AN5025" s="1115"/>
      <c r="AO5025" s="1115"/>
      <c r="AP5025" s="1115"/>
      <c r="AQ5025" s="1115"/>
      <c r="AR5025" s="1115"/>
      <c r="AS5025" s="1117"/>
      <c r="AT5025" s="1075"/>
      <c r="AU5025" s="1193"/>
      <c r="AV5025" s="330"/>
      <c r="AW5025" s="331"/>
      <c r="AX5025" s="331"/>
      <c r="AY5025" s="331"/>
      <c r="AZ5025" s="331"/>
      <c r="BA5025" s="331"/>
      <c r="BB5025" s="331"/>
      <c r="BC5025" s="331"/>
      <c r="BD5025" s="331"/>
      <c r="BE5025" s="333"/>
      <c r="BF5025" s="330"/>
      <c r="BG5025" s="333"/>
      <c r="BH5025" s="1119"/>
      <c r="BI5025" s="319"/>
      <c r="BJ5025" s="319"/>
      <c r="BK5025" s="319"/>
      <c r="BL5025" s="319"/>
      <c r="BM5025" s="319"/>
      <c r="BN5025" s="319"/>
      <c r="BO5025" s="319"/>
      <c r="BP5025" s="953"/>
      <c r="BQ5025" s="319"/>
      <c r="BR5025" s="319"/>
      <c r="BS5025" s="330"/>
      <c r="BT5025" s="331"/>
      <c r="BU5025" s="920"/>
      <c r="BV5025" s="903"/>
      <c r="BW5025" s="908"/>
      <c r="BX5025" s="908"/>
      <c r="BY5025" s="331"/>
      <c r="BZ5025" s="331"/>
      <c r="CA5025" s="462"/>
      <c r="CB5025" s="319"/>
      <c r="CC5025" s="319"/>
      <c r="CD5025" s="319"/>
      <c r="CE5025" s="319"/>
      <c r="CF5025" s="319"/>
      <c r="CG5025" s="319"/>
      <c r="CH5025" s="318"/>
      <c r="CI5025" s="319"/>
      <c r="CJ5025" s="319"/>
      <c r="CK5025" s="342"/>
      <c r="CL5025" s="333"/>
      <c r="CM5025" s="1079"/>
      <c r="CN5025" s="1005"/>
      <c r="CO5025" s="1005"/>
      <c r="CP5025" s="1005"/>
    </row>
    <row r="5026">
      <c r="A5026" s="1257"/>
      <c r="B5026" s="1113"/>
      <c r="C5026" s="1107"/>
      <c r="D5026" s="103"/>
      <c r="E5026" s="1137"/>
      <c r="F5026" s="112"/>
      <c r="G5026" s="1110"/>
      <c r="H5026" s="1138"/>
      <c r="I5026" s="1138"/>
      <c r="J5026" s="1139"/>
      <c r="K5026" s="1111"/>
      <c r="L5026" s="1112"/>
      <c r="M5026" s="1113"/>
      <c r="N5026" s="110"/>
      <c r="O5026" s="1140"/>
      <c r="P5026" s="1115"/>
      <c r="Q5026" s="1116"/>
      <c r="R5026" s="1141"/>
      <c r="S5026" s="1113"/>
      <c r="T5026" s="1143"/>
      <c r="U5026" s="1108"/>
      <c r="V5026" s="1108"/>
      <c r="W5026" s="1108"/>
      <c r="X5026" s="1108"/>
      <c r="Y5026" s="1108"/>
      <c r="Z5026" s="1114"/>
      <c r="AA5026" s="1114"/>
      <c r="AB5026" s="1114"/>
      <c r="AC5026" s="1117"/>
      <c r="AD5026" s="1115"/>
      <c r="AE5026" s="1115"/>
      <c r="AF5026" s="1115"/>
      <c r="AG5026" s="1115"/>
      <c r="AH5026" s="1115"/>
      <c r="AI5026" s="1115"/>
      <c r="AJ5026" s="1117"/>
      <c r="AK5026" s="1118"/>
      <c r="AL5026" s="1115"/>
      <c r="AM5026" s="1115"/>
      <c r="AN5026" s="1115"/>
      <c r="AO5026" s="1115"/>
      <c r="AP5026" s="1115"/>
      <c r="AQ5026" s="1115"/>
      <c r="AR5026" s="1115"/>
      <c r="AS5026" s="1117"/>
      <c r="AT5026" s="1075"/>
      <c r="AU5026" s="1193"/>
      <c r="AV5026" s="330"/>
      <c r="AW5026" s="331"/>
      <c r="AX5026" s="331"/>
      <c r="AY5026" s="331"/>
      <c r="AZ5026" s="331"/>
      <c r="BA5026" s="331"/>
      <c r="BB5026" s="331"/>
      <c r="BC5026" s="331"/>
      <c r="BD5026" s="331"/>
      <c r="BE5026" s="333"/>
      <c r="BF5026" s="330"/>
      <c r="BG5026" s="333"/>
      <c r="BH5026" s="1119"/>
      <c r="BI5026" s="319"/>
      <c r="BJ5026" s="319"/>
      <c r="BK5026" s="319"/>
      <c r="BL5026" s="319"/>
      <c r="BM5026" s="319"/>
      <c r="BN5026" s="319"/>
      <c r="BO5026" s="319"/>
      <c r="BP5026" s="953"/>
      <c r="BQ5026" s="319"/>
      <c r="BR5026" s="319"/>
      <c r="BS5026" s="330"/>
      <c r="BT5026" s="331"/>
      <c r="BU5026" s="920"/>
      <c r="BV5026" s="903"/>
      <c r="BW5026" s="908"/>
      <c r="BX5026" s="908"/>
      <c r="BY5026" s="331"/>
      <c r="BZ5026" s="331"/>
      <c r="CA5026" s="462"/>
      <c r="CB5026" s="319"/>
      <c r="CC5026" s="319"/>
      <c r="CD5026" s="319"/>
      <c r="CE5026" s="319"/>
      <c r="CF5026" s="319"/>
      <c r="CG5026" s="319"/>
      <c r="CH5026" s="318"/>
      <c r="CI5026" s="319"/>
      <c r="CJ5026" s="319"/>
      <c r="CK5026" s="342"/>
      <c r="CL5026" s="333"/>
      <c r="CM5026" s="1079"/>
      <c r="CN5026" s="1005"/>
      <c r="CO5026" s="1005"/>
      <c r="CP5026" s="1005"/>
    </row>
    <row r="5027">
      <c r="A5027" s="1257"/>
      <c r="B5027" s="1113"/>
      <c r="C5027" s="1107"/>
      <c r="D5027" s="103"/>
      <c r="E5027" s="1137"/>
      <c r="F5027" s="112"/>
      <c r="G5027" s="1110"/>
      <c r="H5027" s="1138"/>
      <c r="I5027" s="1138"/>
      <c r="J5027" s="1139"/>
      <c r="K5027" s="1111"/>
      <c r="L5027" s="1112"/>
      <c r="M5027" s="1113"/>
      <c r="N5027" s="110"/>
      <c r="O5027" s="1140"/>
      <c r="P5027" s="1115"/>
      <c r="Q5027" s="1116"/>
      <c r="R5027" s="1141"/>
      <c r="S5027" s="1113"/>
      <c r="T5027" s="1143"/>
      <c r="U5027" s="1108"/>
      <c r="V5027" s="1108"/>
      <c r="W5027" s="1108"/>
      <c r="X5027" s="1108"/>
      <c r="Y5027" s="1108"/>
      <c r="Z5027" s="1114"/>
      <c r="AA5027" s="1114"/>
      <c r="AB5027" s="1114"/>
      <c r="AC5027" s="1117"/>
      <c r="AD5027" s="1115"/>
      <c r="AE5027" s="1115"/>
      <c r="AF5027" s="1115"/>
      <c r="AG5027" s="1115"/>
      <c r="AH5027" s="1115"/>
      <c r="AI5027" s="1115"/>
      <c r="AJ5027" s="1117"/>
      <c r="AK5027" s="1118"/>
      <c r="AL5027" s="1115"/>
      <c r="AM5027" s="1115"/>
      <c r="AN5027" s="1115"/>
      <c r="AO5027" s="1115"/>
      <c r="AP5027" s="1115"/>
      <c r="AQ5027" s="1115"/>
      <c r="AR5027" s="1115"/>
      <c r="AS5027" s="1117"/>
      <c r="AT5027" s="1075"/>
      <c r="AU5027" s="1193"/>
      <c r="AV5027" s="330"/>
      <c r="AW5027" s="331"/>
      <c r="AX5027" s="331"/>
      <c r="AY5027" s="331"/>
      <c r="AZ5027" s="331"/>
      <c r="BA5027" s="331"/>
      <c r="BB5027" s="331"/>
      <c r="BC5027" s="331"/>
      <c r="BD5027" s="331"/>
      <c r="BE5027" s="333"/>
      <c r="BF5027" s="330"/>
      <c r="BG5027" s="333"/>
      <c r="BH5027" s="1119"/>
      <c r="BI5027" s="319"/>
      <c r="BJ5027" s="319"/>
      <c r="BK5027" s="319"/>
      <c r="BL5027" s="319"/>
      <c r="BM5027" s="319"/>
      <c r="BN5027" s="319"/>
      <c r="BO5027" s="319"/>
      <c r="BP5027" s="953"/>
      <c r="BQ5027" s="319"/>
      <c r="BR5027" s="319"/>
      <c r="BS5027" s="330"/>
      <c r="BT5027" s="331"/>
      <c r="BU5027" s="920"/>
      <c r="BV5027" s="903"/>
      <c r="BW5027" s="908"/>
      <c r="BX5027" s="908"/>
      <c r="BY5027" s="331"/>
      <c r="BZ5027" s="331"/>
      <c r="CA5027" s="462"/>
      <c r="CB5027" s="319"/>
      <c r="CC5027" s="319"/>
      <c r="CD5027" s="319"/>
      <c r="CE5027" s="319"/>
      <c r="CF5027" s="319"/>
      <c r="CG5027" s="319"/>
      <c r="CH5027" s="318"/>
      <c r="CI5027" s="319"/>
      <c r="CJ5027" s="319"/>
      <c r="CK5027" s="342"/>
      <c r="CL5027" s="333"/>
      <c r="CM5027" s="1079"/>
      <c r="CN5027" s="1005"/>
      <c r="CO5027" s="1005"/>
      <c r="CP5027" s="1005"/>
    </row>
    <row r="5028">
      <c r="A5028" s="1257"/>
      <c r="B5028" s="1113"/>
      <c r="C5028" s="1107"/>
      <c r="D5028" s="103"/>
      <c r="E5028" s="1137"/>
      <c r="F5028" s="112"/>
      <c r="G5028" s="1110"/>
      <c r="H5028" s="1138"/>
      <c r="I5028" s="1138"/>
      <c r="J5028" s="1139"/>
      <c r="K5028" s="1111"/>
      <c r="L5028" s="1112"/>
      <c r="M5028" s="1113"/>
      <c r="N5028" s="110"/>
      <c r="O5028" s="1140"/>
      <c r="P5028" s="1115"/>
      <c r="Q5028" s="1116"/>
      <c r="R5028" s="1141"/>
      <c r="S5028" s="1113"/>
      <c r="T5028" s="1143"/>
      <c r="U5028" s="1108"/>
      <c r="V5028" s="1108"/>
      <c r="W5028" s="1108"/>
      <c r="X5028" s="1108"/>
      <c r="Y5028" s="1108"/>
      <c r="Z5028" s="1114"/>
      <c r="AA5028" s="1114"/>
      <c r="AB5028" s="1114"/>
      <c r="AC5028" s="1117"/>
      <c r="AD5028" s="1115"/>
      <c r="AE5028" s="1115"/>
      <c r="AF5028" s="1115"/>
      <c r="AG5028" s="1115"/>
      <c r="AH5028" s="1115"/>
      <c r="AI5028" s="1115"/>
      <c r="AJ5028" s="1117"/>
      <c r="AK5028" s="1118"/>
      <c r="AL5028" s="1115"/>
      <c r="AM5028" s="1115"/>
      <c r="AN5028" s="1115"/>
      <c r="AO5028" s="1115"/>
      <c r="AP5028" s="1115"/>
      <c r="AQ5028" s="1115"/>
      <c r="AR5028" s="1115"/>
      <c r="AS5028" s="1117"/>
      <c r="AT5028" s="1075"/>
      <c r="AU5028" s="1193"/>
      <c r="AV5028" s="330"/>
      <c r="AW5028" s="331"/>
      <c r="AX5028" s="331"/>
      <c r="AY5028" s="331"/>
      <c r="AZ5028" s="331"/>
      <c r="BA5028" s="331"/>
      <c r="BB5028" s="331"/>
      <c r="BC5028" s="331"/>
      <c r="BD5028" s="331"/>
      <c r="BE5028" s="333"/>
      <c r="BF5028" s="330"/>
      <c r="BG5028" s="333"/>
      <c r="BH5028" s="1119"/>
      <c r="BI5028" s="319"/>
      <c r="BJ5028" s="319"/>
      <c r="BK5028" s="319"/>
      <c r="BL5028" s="319"/>
      <c r="BM5028" s="319"/>
      <c r="BN5028" s="319"/>
      <c r="BO5028" s="319"/>
      <c r="BP5028" s="953"/>
      <c r="BQ5028" s="319"/>
      <c r="BR5028" s="319"/>
      <c r="BS5028" s="330"/>
      <c r="BT5028" s="331"/>
      <c r="BU5028" s="920"/>
      <c r="BV5028" s="903"/>
      <c r="BW5028" s="908"/>
      <c r="BX5028" s="908"/>
      <c r="BY5028" s="331"/>
      <c r="BZ5028" s="331"/>
      <c r="CA5028" s="462"/>
      <c r="CB5028" s="319"/>
      <c r="CC5028" s="319"/>
      <c r="CD5028" s="319"/>
      <c r="CE5028" s="319"/>
      <c r="CF5028" s="319"/>
      <c r="CG5028" s="319"/>
      <c r="CH5028" s="318"/>
      <c r="CI5028" s="319"/>
      <c r="CJ5028" s="319"/>
      <c r="CK5028" s="342"/>
      <c r="CL5028" s="333"/>
      <c r="CM5028" s="1079"/>
      <c r="CN5028" s="1005"/>
      <c r="CO5028" s="1005"/>
      <c r="CP5028" s="1005"/>
    </row>
    <row r="5029">
      <c r="A5029" s="1257"/>
      <c r="B5029" s="1113"/>
      <c r="C5029" s="1107"/>
      <c r="D5029" s="103"/>
      <c r="E5029" s="1137"/>
      <c r="F5029" s="112"/>
      <c r="G5029" s="1110"/>
      <c r="H5029" s="1138"/>
      <c r="I5029" s="1138"/>
      <c r="J5029" s="1139"/>
      <c r="K5029" s="1111"/>
      <c r="L5029" s="1112"/>
      <c r="M5029" s="1113"/>
      <c r="N5029" s="110"/>
      <c r="O5029" s="1140"/>
      <c r="P5029" s="1115"/>
      <c r="Q5029" s="1116"/>
      <c r="R5029" s="1141"/>
      <c r="S5029" s="1113"/>
      <c r="T5029" s="1143"/>
      <c r="U5029" s="1108"/>
      <c r="V5029" s="1108"/>
      <c r="W5029" s="1108"/>
      <c r="X5029" s="1108"/>
      <c r="Y5029" s="1108"/>
      <c r="Z5029" s="1114"/>
      <c r="AA5029" s="1114"/>
      <c r="AB5029" s="1114"/>
      <c r="AC5029" s="1117"/>
      <c r="AD5029" s="1115"/>
      <c r="AE5029" s="1115"/>
      <c r="AF5029" s="1115"/>
      <c r="AG5029" s="1115"/>
      <c r="AH5029" s="1115"/>
      <c r="AI5029" s="1115"/>
      <c r="AJ5029" s="1117"/>
      <c r="AK5029" s="1118"/>
      <c r="AL5029" s="1115"/>
      <c r="AM5029" s="1115"/>
      <c r="AN5029" s="1115"/>
      <c r="AO5029" s="1115"/>
      <c r="AP5029" s="1115"/>
      <c r="AQ5029" s="1115"/>
      <c r="AR5029" s="1115"/>
      <c r="AS5029" s="1117"/>
      <c r="AT5029" s="1075"/>
      <c r="AU5029" s="1193"/>
      <c r="AV5029" s="330"/>
      <c r="AW5029" s="331"/>
      <c r="AX5029" s="331"/>
      <c r="AY5029" s="331"/>
      <c r="AZ5029" s="331"/>
      <c r="BA5029" s="331"/>
      <c r="BB5029" s="331"/>
      <c r="BC5029" s="331"/>
      <c r="BD5029" s="331"/>
      <c r="BE5029" s="333"/>
      <c r="BF5029" s="330"/>
      <c r="BG5029" s="333"/>
      <c r="BH5029" s="1119"/>
      <c r="BI5029" s="319"/>
      <c r="BJ5029" s="319"/>
      <c r="BK5029" s="319"/>
      <c r="BL5029" s="319"/>
      <c r="BM5029" s="319"/>
      <c r="BN5029" s="319"/>
      <c r="BO5029" s="319"/>
      <c r="BP5029" s="953"/>
      <c r="BQ5029" s="319"/>
      <c r="BR5029" s="319"/>
      <c r="BS5029" s="330"/>
      <c r="BT5029" s="331"/>
      <c r="BU5029" s="920"/>
      <c r="BV5029" s="903"/>
      <c r="BW5029" s="908"/>
      <c r="BX5029" s="908"/>
      <c r="BY5029" s="331"/>
      <c r="BZ5029" s="331"/>
      <c r="CA5029" s="462"/>
      <c r="CB5029" s="319"/>
      <c r="CC5029" s="319"/>
      <c r="CD5029" s="319"/>
      <c r="CE5029" s="319"/>
      <c r="CF5029" s="319"/>
      <c r="CG5029" s="319"/>
      <c r="CH5029" s="318"/>
      <c r="CI5029" s="319"/>
      <c r="CJ5029" s="319"/>
      <c r="CK5029" s="342"/>
      <c r="CL5029" s="333"/>
      <c r="CM5029" s="1079"/>
      <c r="CN5029" s="1005"/>
      <c r="CO5029" s="1005"/>
      <c r="CP5029" s="1005"/>
    </row>
    <row r="5030">
      <c r="A5030" s="1257"/>
      <c r="B5030" s="1113"/>
      <c r="C5030" s="1107"/>
      <c r="D5030" s="103"/>
      <c r="E5030" s="1137"/>
      <c r="F5030" s="112"/>
      <c r="G5030" s="1110"/>
      <c r="H5030" s="1138"/>
      <c r="I5030" s="1138"/>
      <c r="J5030" s="1139"/>
      <c r="K5030" s="1111"/>
      <c r="L5030" s="1112"/>
      <c r="M5030" s="1113"/>
      <c r="N5030" s="110"/>
      <c r="O5030" s="1140"/>
      <c r="P5030" s="1115"/>
      <c r="Q5030" s="1116"/>
      <c r="R5030" s="1141"/>
      <c r="S5030" s="1113"/>
      <c r="T5030" s="1143"/>
      <c r="U5030" s="1108"/>
      <c r="V5030" s="1108"/>
      <c r="W5030" s="1108"/>
      <c r="X5030" s="1108"/>
      <c r="Y5030" s="1108"/>
      <c r="Z5030" s="1114"/>
      <c r="AA5030" s="1114"/>
      <c r="AB5030" s="1114"/>
      <c r="AC5030" s="1117"/>
      <c r="AD5030" s="1115"/>
      <c r="AE5030" s="1115"/>
      <c r="AF5030" s="1115"/>
      <c r="AG5030" s="1115"/>
      <c r="AH5030" s="1115"/>
      <c r="AI5030" s="1115"/>
      <c r="AJ5030" s="1117"/>
      <c r="AK5030" s="1118"/>
      <c r="AL5030" s="1115"/>
      <c r="AM5030" s="1115"/>
      <c r="AN5030" s="1115"/>
      <c r="AO5030" s="1115"/>
      <c r="AP5030" s="1115"/>
      <c r="AQ5030" s="1115"/>
      <c r="AR5030" s="1115"/>
      <c r="AS5030" s="1117"/>
      <c r="AT5030" s="1075"/>
      <c r="AU5030" s="1193"/>
      <c r="AV5030" s="330"/>
      <c r="AW5030" s="331"/>
      <c r="AX5030" s="331"/>
      <c r="AY5030" s="331"/>
      <c r="AZ5030" s="331"/>
      <c r="BA5030" s="331"/>
      <c r="BB5030" s="331"/>
      <c r="BC5030" s="331"/>
      <c r="BD5030" s="331"/>
      <c r="BE5030" s="333"/>
      <c r="BF5030" s="330"/>
      <c r="BG5030" s="333"/>
      <c r="BH5030" s="1119"/>
      <c r="BI5030" s="319"/>
      <c r="BJ5030" s="319"/>
      <c r="BK5030" s="319"/>
      <c r="BL5030" s="319"/>
      <c r="BM5030" s="319"/>
      <c r="BN5030" s="319"/>
      <c r="BO5030" s="319"/>
      <c r="BP5030" s="953"/>
      <c r="BQ5030" s="319"/>
      <c r="BR5030" s="319"/>
      <c r="BS5030" s="330"/>
      <c r="BT5030" s="331"/>
      <c r="BU5030" s="920"/>
      <c r="BV5030" s="903"/>
      <c r="BW5030" s="908"/>
      <c r="BX5030" s="908"/>
      <c r="BY5030" s="331"/>
      <c r="BZ5030" s="331"/>
      <c r="CA5030" s="462"/>
      <c r="CB5030" s="319"/>
      <c r="CC5030" s="319"/>
      <c r="CD5030" s="319"/>
      <c r="CE5030" s="319"/>
      <c r="CF5030" s="319"/>
      <c r="CG5030" s="319"/>
      <c r="CH5030" s="318"/>
      <c r="CI5030" s="319"/>
      <c r="CJ5030" s="319"/>
      <c r="CK5030" s="342"/>
      <c r="CL5030" s="333"/>
      <c r="CM5030" s="1079"/>
      <c r="CN5030" s="1005"/>
      <c r="CO5030" s="1005"/>
      <c r="CP5030" s="1005"/>
    </row>
    <row r="5031">
      <c r="A5031" s="1257"/>
      <c r="B5031" s="1113"/>
      <c r="C5031" s="1107"/>
      <c r="D5031" s="103"/>
      <c r="E5031" s="1137"/>
      <c r="F5031" s="112"/>
      <c r="G5031" s="1110"/>
      <c r="H5031" s="1138"/>
      <c r="I5031" s="1138"/>
      <c r="J5031" s="1139"/>
      <c r="K5031" s="1111"/>
      <c r="L5031" s="1112"/>
      <c r="M5031" s="1113"/>
      <c r="N5031" s="110"/>
      <c r="O5031" s="1140"/>
      <c r="P5031" s="1115"/>
      <c r="Q5031" s="1116"/>
      <c r="R5031" s="1141"/>
      <c r="S5031" s="1113"/>
      <c r="T5031" s="1143"/>
      <c r="U5031" s="1108"/>
      <c r="V5031" s="1108"/>
      <c r="W5031" s="1108"/>
      <c r="X5031" s="1108"/>
      <c r="Y5031" s="1108"/>
      <c r="Z5031" s="1114"/>
      <c r="AA5031" s="1114"/>
      <c r="AB5031" s="1114"/>
      <c r="AC5031" s="1117"/>
      <c r="AD5031" s="1115"/>
      <c r="AE5031" s="1115"/>
      <c r="AF5031" s="1115"/>
      <c r="AG5031" s="1115"/>
      <c r="AH5031" s="1115"/>
      <c r="AI5031" s="1115"/>
      <c r="AJ5031" s="1117"/>
      <c r="AK5031" s="1118"/>
      <c r="AL5031" s="1115"/>
      <c r="AM5031" s="1115"/>
      <c r="AN5031" s="1115"/>
      <c r="AO5031" s="1115"/>
      <c r="AP5031" s="1115"/>
      <c r="AQ5031" s="1115"/>
      <c r="AR5031" s="1115"/>
      <c r="AS5031" s="1117"/>
      <c r="AT5031" s="1075"/>
      <c r="AU5031" s="1193"/>
      <c r="AV5031" s="330"/>
      <c r="AW5031" s="331"/>
      <c r="AX5031" s="331"/>
      <c r="AY5031" s="331"/>
      <c r="AZ5031" s="331"/>
      <c r="BA5031" s="331"/>
      <c r="BB5031" s="331"/>
      <c r="BC5031" s="331"/>
      <c r="BD5031" s="331"/>
      <c r="BE5031" s="333"/>
      <c r="BF5031" s="330"/>
      <c r="BG5031" s="333"/>
      <c r="BH5031" s="1119"/>
      <c r="BI5031" s="319"/>
      <c r="BJ5031" s="319"/>
      <c r="BK5031" s="319"/>
      <c r="BL5031" s="319"/>
      <c r="BM5031" s="319"/>
      <c r="BN5031" s="319"/>
      <c r="BO5031" s="319"/>
      <c r="BP5031" s="953"/>
      <c r="BQ5031" s="319"/>
      <c r="BR5031" s="319"/>
      <c r="BS5031" s="330"/>
      <c r="BT5031" s="331"/>
      <c r="BU5031" s="920"/>
      <c r="BV5031" s="903"/>
      <c r="BW5031" s="908"/>
      <c r="BX5031" s="908"/>
      <c r="BY5031" s="331"/>
      <c r="BZ5031" s="331"/>
      <c r="CA5031" s="462"/>
      <c r="CB5031" s="319"/>
      <c r="CC5031" s="319"/>
      <c r="CD5031" s="319"/>
      <c r="CE5031" s="319"/>
      <c r="CF5031" s="319"/>
      <c r="CG5031" s="319"/>
      <c r="CH5031" s="318"/>
      <c r="CI5031" s="319"/>
      <c r="CJ5031" s="319"/>
      <c r="CK5031" s="342"/>
      <c r="CL5031" s="333"/>
      <c r="CM5031" s="1079"/>
      <c r="CN5031" s="1005"/>
      <c r="CO5031" s="1005"/>
      <c r="CP5031" s="1005"/>
    </row>
    <row r="5032">
      <c r="A5032" s="1257"/>
      <c r="B5032" s="1113"/>
      <c r="C5032" s="1107"/>
      <c r="D5032" s="103"/>
      <c r="E5032" s="1137"/>
      <c r="F5032" s="112"/>
      <c r="G5032" s="1110"/>
      <c r="H5032" s="1138"/>
      <c r="I5032" s="1138"/>
      <c r="J5032" s="1139"/>
      <c r="K5032" s="1111"/>
      <c r="L5032" s="1112"/>
      <c r="M5032" s="1113"/>
      <c r="N5032" s="110"/>
      <c r="O5032" s="1140"/>
      <c r="P5032" s="1115"/>
      <c r="Q5032" s="1116"/>
      <c r="R5032" s="1141"/>
      <c r="S5032" s="1113"/>
      <c r="T5032" s="1143"/>
      <c r="U5032" s="1108"/>
      <c r="V5032" s="1108"/>
      <c r="W5032" s="1108"/>
      <c r="X5032" s="1108"/>
      <c r="Y5032" s="1108"/>
      <c r="Z5032" s="1114"/>
      <c r="AA5032" s="1114"/>
      <c r="AB5032" s="1114"/>
      <c r="AC5032" s="1117"/>
      <c r="AD5032" s="1115"/>
      <c r="AE5032" s="1115"/>
      <c r="AF5032" s="1115"/>
      <c r="AG5032" s="1115"/>
      <c r="AH5032" s="1115"/>
      <c r="AI5032" s="1115"/>
      <c r="AJ5032" s="1117"/>
      <c r="AK5032" s="1118"/>
      <c r="AL5032" s="1115"/>
      <c r="AM5032" s="1115"/>
      <c r="AN5032" s="1115"/>
      <c r="AO5032" s="1115"/>
      <c r="AP5032" s="1115"/>
      <c r="AQ5032" s="1115"/>
      <c r="AR5032" s="1115"/>
      <c r="AS5032" s="1117"/>
      <c r="AT5032" s="1075"/>
      <c r="AU5032" s="1193"/>
      <c r="AV5032" s="330"/>
      <c r="AW5032" s="331"/>
      <c r="AX5032" s="331"/>
      <c r="AY5032" s="331"/>
      <c r="AZ5032" s="331"/>
      <c r="BA5032" s="331"/>
      <c r="BB5032" s="331"/>
      <c r="BC5032" s="331"/>
      <c r="BD5032" s="331"/>
      <c r="BE5032" s="333"/>
      <c r="BF5032" s="330"/>
      <c r="BG5032" s="333"/>
      <c r="BH5032" s="1119"/>
      <c r="BI5032" s="319"/>
      <c r="BJ5032" s="319"/>
      <c r="BK5032" s="319"/>
      <c r="BL5032" s="319"/>
      <c r="BM5032" s="319"/>
      <c r="BN5032" s="319"/>
      <c r="BO5032" s="319"/>
      <c r="BP5032" s="953"/>
      <c r="BQ5032" s="319"/>
      <c r="BR5032" s="319"/>
      <c r="BS5032" s="330"/>
      <c r="BT5032" s="331"/>
      <c r="BU5032" s="920"/>
      <c r="BV5032" s="903"/>
      <c r="BW5032" s="908"/>
      <c r="BX5032" s="908"/>
      <c r="BY5032" s="331"/>
      <c r="BZ5032" s="331"/>
      <c r="CA5032" s="462"/>
      <c r="CB5032" s="319"/>
      <c r="CC5032" s="319"/>
      <c r="CD5032" s="319"/>
      <c r="CE5032" s="319"/>
      <c r="CF5032" s="319"/>
      <c r="CG5032" s="319"/>
      <c r="CH5032" s="318"/>
      <c r="CI5032" s="319"/>
      <c r="CJ5032" s="319"/>
      <c r="CK5032" s="342"/>
      <c r="CL5032" s="333"/>
      <c r="CM5032" s="1079"/>
      <c r="CN5032" s="1005"/>
      <c r="CO5032" s="1005"/>
      <c r="CP5032" s="1005"/>
    </row>
    <row r="5033">
      <c r="A5033" s="1257"/>
      <c r="B5033" s="1113"/>
      <c r="C5033" s="1107"/>
      <c r="D5033" s="103"/>
      <c r="E5033" s="1137"/>
      <c r="F5033" s="112"/>
      <c r="G5033" s="1110"/>
      <c r="H5033" s="1138"/>
      <c r="I5033" s="1138"/>
      <c r="J5033" s="1139"/>
      <c r="K5033" s="1111"/>
      <c r="L5033" s="1112"/>
      <c r="M5033" s="1113"/>
      <c r="N5033" s="110"/>
      <c r="O5033" s="1140"/>
      <c r="P5033" s="1115"/>
      <c r="Q5033" s="1116"/>
      <c r="R5033" s="1141"/>
      <c r="S5033" s="1113"/>
      <c r="T5033" s="1143"/>
      <c r="U5033" s="1108"/>
      <c r="V5033" s="1108"/>
      <c r="W5033" s="1108"/>
      <c r="X5033" s="1108"/>
      <c r="Y5033" s="1108"/>
      <c r="Z5033" s="1114"/>
      <c r="AA5033" s="1114"/>
      <c r="AB5033" s="1114"/>
      <c r="AC5033" s="1117"/>
      <c r="AD5033" s="1115"/>
      <c r="AE5033" s="1115"/>
      <c r="AF5033" s="1115"/>
      <c r="AG5033" s="1115"/>
      <c r="AH5033" s="1115"/>
      <c r="AI5033" s="1115"/>
      <c r="AJ5033" s="1117"/>
      <c r="AK5033" s="1118"/>
      <c r="AL5033" s="1115"/>
      <c r="AM5033" s="1115"/>
      <c r="AN5033" s="1115"/>
      <c r="AO5033" s="1115"/>
      <c r="AP5033" s="1115"/>
      <c r="AQ5033" s="1115"/>
      <c r="AR5033" s="1115"/>
      <c r="AS5033" s="1117"/>
      <c r="AT5033" s="1075"/>
      <c r="AU5033" s="1193"/>
      <c r="AV5033" s="330"/>
      <c r="AW5033" s="331"/>
      <c r="AX5033" s="331"/>
      <c r="AY5033" s="331"/>
      <c r="AZ5033" s="331"/>
      <c r="BA5033" s="331"/>
      <c r="BB5033" s="331"/>
      <c r="BC5033" s="331"/>
      <c r="BD5033" s="331"/>
      <c r="BE5033" s="333"/>
      <c r="BF5033" s="330"/>
      <c r="BG5033" s="333"/>
      <c r="BH5033" s="1119"/>
      <c r="BI5033" s="319"/>
      <c r="BJ5033" s="319"/>
      <c r="BK5033" s="319"/>
      <c r="BL5033" s="319"/>
      <c r="BM5033" s="319"/>
      <c r="BN5033" s="319"/>
      <c r="BO5033" s="319"/>
      <c r="BP5033" s="953"/>
      <c r="BQ5033" s="319"/>
      <c r="BR5033" s="319"/>
      <c r="BS5033" s="330"/>
      <c r="BT5033" s="331"/>
      <c r="BU5033" s="920"/>
      <c r="BV5033" s="903"/>
      <c r="BW5033" s="908"/>
      <c r="BX5033" s="908"/>
      <c r="BY5033" s="331"/>
      <c r="BZ5033" s="331"/>
      <c r="CA5033" s="462"/>
      <c r="CB5033" s="319"/>
      <c r="CC5033" s="319"/>
      <c r="CD5033" s="319"/>
      <c r="CE5033" s="319"/>
      <c r="CF5033" s="319"/>
      <c r="CG5033" s="319"/>
      <c r="CH5033" s="318"/>
      <c r="CI5033" s="319"/>
      <c r="CJ5033" s="319"/>
      <c r="CK5033" s="342"/>
      <c r="CL5033" s="333"/>
      <c r="CM5033" s="1079"/>
      <c r="CN5033" s="1005"/>
      <c r="CO5033" s="1005"/>
      <c r="CP5033" s="1005"/>
    </row>
    <row r="5034">
      <c r="A5034" s="1257"/>
      <c r="B5034" s="1113"/>
      <c r="C5034" s="1107"/>
      <c r="D5034" s="103"/>
      <c r="E5034" s="1137"/>
      <c r="F5034" s="112"/>
      <c r="G5034" s="1110"/>
      <c r="H5034" s="1138"/>
      <c r="I5034" s="1138"/>
      <c r="J5034" s="1139"/>
      <c r="K5034" s="1111"/>
      <c r="L5034" s="1112"/>
      <c r="M5034" s="1113"/>
      <c r="N5034" s="110"/>
      <c r="O5034" s="1140"/>
      <c r="P5034" s="1115"/>
      <c r="Q5034" s="1116"/>
      <c r="R5034" s="1141"/>
      <c r="S5034" s="1113"/>
      <c r="T5034" s="1143"/>
      <c r="U5034" s="1108"/>
      <c r="V5034" s="1108"/>
      <c r="W5034" s="1108"/>
      <c r="X5034" s="1108"/>
      <c r="Y5034" s="1108"/>
      <c r="Z5034" s="1114"/>
      <c r="AA5034" s="1114"/>
      <c r="AB5034" s="1114"/>
      <c r="AC5034" s="1117"/>
      <c r="AD5034" s="1115"/>
      <c r="AE5034" s="1115"/>
      <c r="AF5034" s="1115"/>
      <c r="AG5034" s="1115"/>
      <c r="AH5034" s="1115"/>
      <c r="AI5034" s="1115"/>
      <c r="AJ5034" s="1117"/>
      <c r="AK5034" s="1118"/>
      <c r="AL5034" s="1115"/>
      <c r="AM5034" s="1115"/>
      <c r="AN5034" s="1115"/>
      <c r="AO5034" s="1115"/>
      <c r="AP5034" s="1115"/>
      <c r="AQ5034" s="1115"/>
      <c r="AR5034" s="1115"/>
      <c r="AS5034" s="1117"/>
      <c r="AT5034" s="1075"/>
      <c r="AU5034" s="1193"/>
      <c r="AV5034" s="330"/>
      <c r="AW5034" s="331"/>
      <c r="AX5034" s="331"/>
      <c r="AY5034" s="331"/>
      <c r="AZ5034" s="331"/>
      <c r="BA5034" s="331"/>
      <c r="BB5034" s="331"/>
      <c r="BC5034" s="331"/>
      <c r="BD5034" s="331"/>
      <c r="BE5034" s="333"/>
      <c r="BF5034" s="330"/>
      <c r="BG5034" s="333"/>
      <c r="BH5034" s="1119"/>
      <c r="BI5034" s="319"/>
      <c r="BJ5034" s="319"/>
      <c r="BK5034" s="319"/>
      <c r="BL5034" s="319"/>
      <c r="BM5034" s="319"/>
      <c r="BN5034" s="319"/>
      <c r="BO5034" s="319"/>
      <c r="BP5034" s="953"/>
      <c r="BQ5034" s="319"/>
      <c r="BR5034" s="319"/>
      <c r="BS5034" s="330"/>
      <c r="BT5034" s="331"/>
      <c r="BU5034" s="920"/>
      <c r="BV5034" s="903"/>
      <c r="BW5034" s="908"/>
      <c r="BX5034" s="908"/>
      <c r="BY5034" s="331"/>
      <c r="BZ5034" s="331"/>
      <c r="CA5034" s="462"/>
      <c r="CB5034" s="319"/>
      <c r="CC5034" s="319"/>
      <c r="CD5034" s="319"/>
      <c r="CE5034" s="319"/>
      <c r="CF5034" s="319"/>
      <c r="CG5034" s="319"/>
      <c r="CH5034" s="318"/>
      <c r="CI5034" s="319"/>
      <c r="CJ5034" s="319"/>
      <c r="CK5034" s="342"/>
      <c r="CL5034" s="333"/>
      <c r="CM5034" s="1079"/>
      <c r="CN5034" s="1005"/>
      <c r="CO5034" s="1005"/>
      <c r="CP5034" s="1005"/>
    </row>
    <row r="5035">
      <c r="A5035" s="1257"/>
      <c r="B5035" s="1113"/>
      <c r="C5035" s="1107"/>
      <c r="D5035" s="103"/>
      <c r="E5035" s="1137"/>
      <c r="F5035" s="112"/>
      <c r="G5035" s="1110"/>
      <c r="H5035" s="1138"/>
      <c r="I5035" s="1138"/>
      <c r="J5035" s="1139"/>
      <c r="K5035" s="1111"/>
      <c r="L5035" s="1112"/>
      <c r="M5035" s="1113"/>
      <c r="N5035" s="110"/>
      <c r="O5035" s="1140"/>
      <c r="P5035" s="1115"/>
      <c r="Q5035" s="1116"/>
      <c r="R5035" s="1141"/>
      <c r="S5035" s="1113"/>
      <c r="T5035" s="1143"/>
      <c r="U5035" s="1108"/>
      <c r="V5035" s="1108"/>
      <c r="W5035" s="1108"/>
      <c r="X5035" s="1108"/>
      <c r="Y5035" s="1108"/>
      <c r="Z5035" s="1114"/>
      <c r="AA5035" s="1114"/>
      <c r="AB5035" s="1114"/>
      <c r="AC5035" s="1117"/>
      <c r="AD5035" s="1115"/>
      <c r="AE5035" s="1115"/>
      <c r="AF5035" s="1115"/>
      <c r="AG5035" s="1115"/>
      <c r="AH5035" s="1115"/>
      <c r="AI5035" s="1115"/>
      <c r="AJ5035" s="1117"/>
      <c r="AK5035" s="1118"/>
      <c r="AL5035" s="1115"/>
      <c r="AM5035" s="1115"/>
      <c r="AN5035" s="1115"/>
      <c r="AO5035" s="1115"/>
      <c r="AP5035" s="1115"/>
      <c r="AQ5035" s="1115"/>
      <c r="AR5035" s="1115"/>
      <c r="AS5035" s="1117"/>
      <c r="AT5035" s="1075"/>
      <c r="AU5035" s="1193"/>
      <c r="AV5035" s="330"/>
      <c r="AW5035" s="331"/>
      <c r="AX5035" s="331"/>
      <c r="AY5035" s="331"/>
      <c r="AZ5035" s="331"/>
      <c r="BA5035" s="331"/>
      <c r="BB5035" s="331"/>
      <c r="BC5035" s="331"/>
      <c r="BD5035" s="331"/>
      <c r="BE5035" s="333"/>
      <c r="BF5035" s="330"/>
      <c r="BG5035" s="333"/>
      <c r="BH5035" s="1119"/>
      <c r="BI5035" s="319"/>
      <c r="BJ5035" s="319"/>
      <c r="BK5035" s="319"/>
      <c r="BL5035" s="319"/>
      <c r="BM5035" s="319"/>
      <c r="BN5035" s="319"/>
      <c r="BO5035" s="319"/>
      <c r="BP5035" s="953"/>
      <c r="BQ5035" s="319"/>
      <c r="BR5035" s="319"/>
      <c r="BS5035" s="330"/>
      <c r="BT5035" s="331"/>
      <c r="BU5035" s="920"/>
      <c r="BV5035" s="903"/>
      <c r="BW5035" s="908"/>
      <c r="BX5035" s="908"/>
      <c r="BY5035" s="331"/>
      <c r="BZ5035" s="331"/>
      <c r="CA5035" s="462"/>
      <c r="CB5035" s="319"/>
      <c r="CC5035" s="319"/>
      <c r="CD5035" s="319"/>
      <c r="CE5035" s="319"/>
      <c r="CF5035" s="319"/>
      <c r="CG5035" s="319"/>
      <c r="CH5035" s="318"/>
      <c r="CI5035" s="319"/>
      <c r="CJ5035" s="319"/>
      <c r="CK5035" s="342"/>
      <c r="CL5035" s="333"/>
      <c r="CM5035" s="1079"/>
      <c r="CN5035" s="1005"/>
      <c r="CO5035" s="1005"/>
      <c r="CP5035" s="1005"/>
    </row>
    <row r="5036">
      <c r="A5036" s="1257"/>
      <c r="B5036" s="1113"/>
      <c r="C5036" s="1107"/>
      <c r="D5036" s="103"/>
      <c r="E5036" s="1137"/>
      <c r="F5036" s="112"/>
      <c r="G5036" s="1110"/>
      <c r="H5036" s="1138"/>
      <c r="I5036" s="1138"/>
      <c r="J5036" s="1139"/>
      <c r="K5036" s="1111"/>
      <c r="L5036" s="1112"/>
      <c r="M5036" s="1113"/>
      <c r="N5036" s="110"/>
      <c r="O5036" s="1140"/>
      <c r="P5036" s="1115"/>
      <c r="Q5036" s="1116"/>
      <c r="R5036" s="1141"/>
      <c r="S5036" s="1113"/>
      <c r="T5036" s="1143"/>
      <c r="U5036" s="1108"/>
      <c r="V5036" s="1108"/>
      <c r="W5036" s="1108"/>
      <c r="X5036" s="1108"/>
      <c r="Y5036" s="1108"/>
      <c r="Z5036" s="1114"/>
      <c r="AA5036" s="1114"/>
      <c r="AB5036" s="1114"/>
      <c r="AC5036" s="1117"/>
      <c r="AD5036" s="1115"/>
      <c r="AE5036" s="1115"/>
      <c r="AF5036" s="1115"/>
      <c r="AG5036" s="1115"/>
      <c r="AH5036" s="1115"/>
      <c r="AI5036" s="1115"/>
      <c r="AJ5036" s="1117"/>
      <c r="AK5036" s="1118"/>
      <c r="AL5036" s="1115"/>
      <c r="AM5036" s="1115"/>
      <c r="AN5036" s="1115"/>
      <c r="AO5036" s="1115"/>
      <c r="AP5036" s="1115"/>
      <c r="AQ5036" s="1115"/>
      <c r="AR5036" s="1115"/>
      <c r="AS5036" s="1117"/>
      <c r="AT5036" s="1075"/>
      <c r="AU5036" s="1193"/>
      <c r="AV5036" s="330"/>
      <c r="AW5036" s="331"/>
      <c r="AX5036" s="331"/>
      <c r="AY5036" s="331"/>
      <c r="AZ5036" s="331"/>
      <c r="BA5036" s="331"/>
      <c r="BB5036" s="331"/>
      <c r="BC5036" s="331"/>
      <c r="BD5036" s="331"/>
      <c r="BE5036" s="333"/>
      <c r="BF5036" s="330"/>
      <c r="BG5036" s="333"/>
      <c r="BH5036" s="1119"/>
      <c r="BI5036" s="319"/>
      <c r="BJ5036" s="319"/>
      <c r="BK5036" s="319"/>
      <c r="BL5036" s="319"/>
      <c r="BM5036" s="319"/>
      <c r="BN5036" s="319"/>
      <c r="BO5036" s="319"/>
      <c r="BP5036" s="953"/>
      <c r="BQ5036" s="319"/>
      <c r="BR5036" s="319"/>
      <c r="BS5036" s="330"/>
      <c r="BT5036" s="331"/>
      <c r="BU5036" s="920"/>
      <c r="BV5036" s="903"/>
      <c r="BW5036" s="908"/>
      <c r="BX5036" s="908"/>
      <c r="BY5036" s="331"/>
      <c r="BZ5036" s="331"/>
      <c r="CA5036" s="462"/>
      <c r="CB5036" s="319"/>
      <c r="CC5036" s="319"/>
      <c r="CD5036" s="319"/>
      <c r="CE5036" s="319"/>
      <c r="CF5036" s="319"/>
      <c r="CG5036" s="319"/>
      <c r="CH5036" s="318"/>
      <c r="CI5036" s="319"/>
      <c r="CJ5036" s="319"/>
      <c r="CK5036" s="342"/>
      <c r="CL5036" s="333"/>
      <c r="CM5036" s="1079"/>
      <c r="CN5036" s="1005"/>
      <c r="CO5036" s="1005"/>
      <c r="CP5036" s="1005"/>
    </row>
    <row r="5037">
      <c r="A5037" s="1257"/>
      <c r="B5037" s="1113"/>
      <c r="C5037" s="1107"/>
      <c r="D5037" s="103"/>
      <c r="E5037" s="1137"/>
      <c r="F5037" s="112"/>
      <c r="G5037" s="1110"/>
      <c r="H5037" s="1138"/>
      <c r="I5037" s="1138"/>
      <c r="J5037" s="1139"/>
      <c r="K5037" s="1111"/>
      <c r="L5037" s="1112"/>
      <c r="M5037" s="1113"/>
      <c r="N5037" s="110"/>
      <c r="O5037" s="1140"/>
      <c r="P5037" s="1115"/>
      <c r="Q5037" s="1116"/>
      <c r="R5037" s="1141"/>
      <c r="S5037" s="1113"/>
      <c r="T5037" s="1143"/>
      <c r="U5037" s="1108"/>
      <c r="V5037" s="1108"/>
      <c r="W5037" s="1108"/>
      <c r="X5037" s="1108"/>
      <c r="Y5037" s="1108"/>
      <c r="Z5037" s="1114"/>
      <c r="AA5037" s="1114"/>
      <c r="AB5037" s="1114"/>
      <c r="AC5037" s="1117"/>
      <c r="AD5037" s="1115"/>
      <c r="AE5037" s="1115"/>
      <c r="AF5037" s="1115"/>
      <c r="AG5037" s="1115"/>
      <c r="AH5037" s="1115"/>
      <c r="AI5037" s="1115"/>
      <c r="AJ5037" s="1117"/>
      <c r="AK5037" s="1118"/>
      <c r="AL5037" s="1115"/>
      <c r="AM5037" s="1115"/>
      <c r="AN5037" s="1115"/>
      <c r="AO5037" s="1115"/>
      <c r="AP5037" s="1115"/>
      <c r="AQ5037" s="1115"/>
      <c r="AR5037" s="1115"/>
      <c r="AS5037" s="1117"/>
      <c r="AT5037" s="1075"/>
      <c r="AU5037" s="1193"/>
      <c r="AV5037" s="330"/>
      <c r="AW5037" s="331"/>
      <c r="AX5037" s="331"/>
      <c r="AY5037" s="331"/>
      <c r="AZ5037" s="331"/>
      <c r="BA5037" s="331"/>
      <c r="BB5037" s="331"/>
      <c r="BC5037" s="331"/>
      <c r="BD5037" s="331"/>
      <c r="BE5037" s="333"/>
      <c r="BF5037" s="330"/>
      <c r="BG5037" s="333"/>
      <c r="BH5037" s="1119"/>
      <c r="BI5037" s="319"/>
      <c r="BJ5037" s="319"/>
      <c r="BK5037" s="319"/>
      <c r="BL5037" s="319"/>
      <c r="BM5037" s="319"/>
      <c r="BN5037" s="319"/>
      <c r="BO5037" s="319"/>
      <c r="BP5037" s="953"/>
      <c r="BQ5037" s="319"/>
      <c r="BR5037" s="319"/>
      <c r="BS5037" s="330"/>
      <c r="BT5037" s="331"/>
      <c r="BU5037" s="920"/>
      <c r="BV5037" s="903"/>
      <c r="BW5037" s="908"/>
      <c r="BX5037" s="908"/>
      <c r="BY5037" s="331"/>
      <c r="BZ5037" s="331"/>
      <c r="CA5037" s="462"/>
      <c r="CB5037" s="319"/>
      <c r="CC5037" s="319"/>
      <c r="CD5037" s="319"/>
      <c r="CE5037" s="319"/>
      <c r="CF5037" s="319"/>
      <c r="CG5037" s="319"/>
      <c r="CH5037" s="318"/>
      <c r="CI5037" s="319"/>
      <c r="CJ5037" s="319"/>
      <c r="CK5037" s="342"/>
      <c r="CL5037" s="333"/>
      <c r="CM5037" s="1079"/>
      <c r="CN5037" s="1005"/>
      <c r="CO5037" s="1005"/>
      <c r="CP5037" s="1005"/>
    </row>
    <row r="5038">
      <c r="A5038" s="1257"/>
      <c r="B5038" s="1113"/>
      <c r="C5038" s="1107"/>
      <c r="D5038" s="103"/>
      <c r="E5038" s="1137"/>
      <c r="F5038" s="112"/>
      <c r="G5038" s="1110"/>
      <c r="H5038" s="1138"/>
      <c r="I5038" s="1138"/>
      <c r="J5038" s="1139"/>
      <c r="K5038" s="1111"/>
      <c r="L5038" s="1112"/>
      <c r="M5038" s="1113"/>
      <c r="N5038" s="110"/>
      <c r="O5038" s="1140"/>
      <c r="P5038" s="1115"/>
      <c r="Q5038" s="1116"/>
      <c r="R5038" s="1141"/>
      <c r="S5038" s="1113"/>
      <c r="T5038" s="1143"/>
      <c r="U5038" s="1108"/>
      <c r="V5038" s="1108"/>
      <c r="W5038" s="1108"/>
      <c r="X5038" s="1108"/>
      <c r="Y5038" s="1108"/>
      <c r="Z5038" s="1114"/>
      <c r="AA5038" s="1114"/>
      <c r="AB5038" s="1114"/>
      <c r="AC5038" s="1117"/>
      <c r="AD5038" s="1115"/>
      <c r="AE5038" s="1115"/>
      <c r="AF5038" s="1115"/>
      <c r="AG5038" s="1115"/>
      <c r="AH5038" s="1115"/>
      <c r="AI5038" s="1115"/>
      <c r="AJ5038" s="1117"/>
      <c r="AK5038" s="1118"/>
      <c r="AL5038" s="1115"/>
      <c r="AM5038" s="1115"/>
      <c r="AN5038" s="1115"/>
      <c r="AO5038" s="1115"/>
      <c r="AP5038" s="1115"/>
      <c r="AQ5038" s="1115"/>
      <c r="AR5038" s="1115"/>
      <c r="AS5038" s="1117"/>
      <c r="AT5038" s="1075"/>
      <c r="AU5038" s="1193"/>
      <c r="AV5038" s="330"/>
      <c r="AW5038" s="331"/>
      <c r="AX5038" s="331"/>
      <c r="AY5038" s="331"/>
      <c r="AZ5038" s="331"/>
      <c r="BA5038" s="331"/>
      <c r="BB5038" s="331"/>
      <c r="BC5038" s="331"/>
      <c r="BD5038" s="331"/>
      <c r="BE5038" s="333"/>
      <c r="BF5038" s="330"/>
      <c r="BG5038" s="333"/>
      <c r="BH5038" s="1119"/>
      <c r="BI5038" s="319"/>
      <c r="BJ5038" s="319"/>
      <c r="BK5038" s="319"/>
      <c r="BL5038" s="319"/>
      <c r="BM5038" s="319"/>
      <c r="BN5038" s="319"/>
      <c r="BO5038" s="319"/>
      <c r="BP5038" s="953"/>
      <c r="BQ5038" s="319"/>
      <c r="BR5038" s="319"/>
      <c r="BS5038" s="330"/>
      <c r="BT5038" s="331"/>
      <c r="BU5038" s="920"/>
      <c r="BV5038" s="903"/>
      <c r="BW5038" s="908"/>
      <c r="BX5038" s="908"/>
      <c r="BY5038" s="331"/>
      <c r="BZ5038" s="331"/>
      <c r="CA5038" s="462"/>
      <c r="CB5038" s="319"/>
      <c r="CC5038" s="319"/>
      <c r="CD5038" s="319"/>
      <c r="CE5038" s="319"/>
      <c r="CF5038" s="319"/>
      <c r="CG5038" s="319"/>
      <c r="CH5038" s="318"/>
      <c r="CI5038" s="319"/>
      <c r="CJ5038" s="319"/>
      <c r="CK5038" s="342"/>
      <c r="CL5038" s="333"/>
      <c r="CM5038" s="1079"/>
      <c r="CN5038" s="1005"/>
      <c r="CO5038" s="1005"/>
      <c r="CP5038" s="1005"/>
    </row>
    <row r="5039">
      <c r="A5039" s="1257"/>
      <c r="B5039" s="1113"/>
      <c r="C5039" s="1107"/>
      <c r="D5039" s="103"/>
      <c r="E5039" s="1137"/>
      <c r="F5039" s="112"/>
      <c r="G5039" s="1110"/>
      <c r="H5039" s="1138"/>
      <c r="I5039" s="1138"/>
      <c r="J5039" s="1139"/>
      <c r="K5039" s="1111"/>
      <c r="L5039" s="1112"/>
      <c r="M5039" s="1113"/>
      <c r="N5039" s="110"/>
      <c r="O5039" s="1140"/>
      <c r="P5039" s="1115"/>
      <c r="Q5039" s="1116"/>
      <c r="R5039" s="1141"/>
      <c r="S5039" s="1113"/>
      <c r="T5039" s="1143"/>
      <c r="U5039" s="1108"/>
      <c r="V5039" s="1108"/>
      <c r="W5039" s="1108"/>
      <c r="X5039" s="1108"/>
      <c r="Y5039" s="1108"/>
      <c r="Z5039" s="1114"/>
      <c r="AA5039" s="1114"/>
      <c r="AB5039" s="1114"/>
      <c r="AC5039" s="1117"/>
      <c r="AD5039" s="1115"/>
      <c r="AE5039" s="1115"/>
      <c r="AF5039" s="1115"/>
      <c r="AG5039" s="1115"/>
      <c r="AH5039" s="1115"/>
      <c r="AI5039" s="1115"/>
      <c r="AJ5039" s="1117"/>
      <c r="AK5039" s="1118"/>
      <c r="AL5039" s="1115"/>
      <c r="AM5039" s="1115"/>
      <c r="AN5039" s="1115"/>
      <c r="AO5039" s="1115"/>
      <c r="AP5039" s="1115"/>
      <c r="AQ5039" s="1115"/>
      <c r="AR5039" s="1115"/>
      <c r="AS5039" s="1117"/>
      <c r="AT5039" s="1075"/>
      <c r="AU5039" s="1193"/>
      <c r="AV5039" s="330"/>
      <c r="AW5039" s="331"/>
      <c r="AX5039" s="331"/>
      <c r="AY5039" s="331"/>
      <c r="AZ5039" s="331"/>
      <c r="BA5039" s="331"/>
      <c r="BB5039" s="331"/>
      <c r="BC5039" s="331"/>
      <c r="BD5039" s="331"/>
      <c r="BE5039" s="333"/>
      <c r="BF5039" s="330"/>
      <c r="BG5039" s="333"/>
      <c r="BH5039" s="1119"/>
      <c r="BI5039" s="319"/>
      <c r="BJ5039" s="319"/>
      <c r="BK5039" s="319"/>
      <c r="BL5039" s="319"/>
      <c r="BM5039" s="319"/>
      <c r="BN5039" s="319"/>
      <c r="BO5039" s="319"/>
      <c r="BP5039" s="953"/>
      <c r="BQ5039" s="319"/>
      <c r="BR5039" s="319"/>
      <c r="BS5039" s="330"/>
      <c r="BT5039" s="331"/>
      <c r="BU5039" s="920"/>
      <c r="BV5039" s="903"/>
      <c r="BW5039" s="908"/>
      <c r="BX5039" s="908"/>
      <c r="BY5039" s="331"/>
      <c r="BZ5039" s="331"/>
      <c r="CA5039" s="462"/>
      <c r="CB5039" s="319"/>
      <c r="CC5039" s="319"/>
      <c r="CD5039" s="319"/>
      <c r="CE5039" s="319"/>
      <c r="CF5039" s="319"/>
      <c r="CG5039" s="319"/>
      <c r="CH5039" s="318"/>
      <c r="CI5039" s="319"/>
      <c r="CJ5039" s="319"/>
      <c r="CK5039" s="342"/>
      <c r="CL5039" s="333"/>
      <c r="CM5039" s="1079"/>
      <c r="CN5039" s="1005"/>
      <c r="CO5039" s="1005"/>
      <c r="CP5039" s="1005"/>
    </row>
    <row r="5040">
      <c r="A5040" s="1257"/>
      <c r="B5040" s="1113"/>
      <c r="C5040" s="1107"/>
      <c r="D5040" s="103"/>
      <c r="E5040" s="1137"/>
      <c r="F5040" s="112"/>
      <c r="G5040" s="1110"/>
      <c r="H5040" s="1138"/>
      <c r="I5040" s="1138"/>
      <c r="J5040" s="1139"/>
      <c r="K5040" s="1111"/>
      <c r="L5040" s="1112"/>
      <c r="M5040" s="1113"/>
      <c r="N5040" s="110"/>
      <c r="O5040" s="1140"/>
      <c r="P5040" s="1115"/>
      <c r="Q5040" s="1116"/>
      <c r="R5040" s="1141"/>
      <c r="S5040" s="1113"/>
      <c r="T5040" s="1143"/>
      <c r="U5040" s="1108"/>
      <c r="V5040" s="1108"/>
      <c r="W5040" s="1108"/>
      <c r="X5040" s="1108"/>
      <c r="Y5040" s="1108"/>
      <c r="Z5040" s="1114"/>
      <c r="AA5040" s="1114"/>
      <c r="AB5040" s="1114"/>
      <c r="AC5040" s="1117"/>
      <c r="AD5040" s="1115"/>
      <c r="AE5040" s="1115"/>
      <c r="AF5040" s="1115"/>
      <c r="AG5040" s="1115"/>
      <c r="AH5040" s="1115"/>
      <c r="AI5040" s="1115"/>
      <c r="AJ5040" s="1117"/>
      <c r="AK5040" s="1118"/>
      <c r="AL5040" s="1115"/>
      <c r="AM5040" s="1115"/>
      <c r="AN5040" s="1115"/>
      <c r="AO5040" s="1115"/>
      <c r="AP5040" s="1115"/>
      <c r="AQ5040" s="1115"/>
      <c r="AR5040" s="1115"/>
      <c r="AS5040" s="1117"/>
      <c r="AT5040" s="1075"/>
      <c r="AU5040" s="1193"/>
      <c r="AV5040" s="330"/>
      <c r="AW5040" s="331"/>
      <c r="AX5040" s="331"/>
      <c r="AY5040" s="331"/>
      <c r="AZ5040" s="331"/>
      <c r="BA5040" s="331"/>
      <c r="BB5040" s="331"/>
      <c r="BC5040" s="331"/>
      <c r="BD5040" s="331"/>
      <c r="BE5040" s="333"/>
      <c r="BF5040" s="330"/>
      <c r="BG5040" s="333"/>
      <c r="BH5040" s="1119"/>
      <c r="BI5040" s="319"/>
      <c r="BJ5040" s="319"/>
      <c r="BK5040" s="319"/>
      <c r="BL5040" s="319"/>
      <c r="BM5040" s="319"/>
      <c r="BN5040" s="319"/>
      <c r="BO5040" s="319"/>
      <c r="BP5040" s="953"/>
      <c r="BQ5040" s="319"/>
      <c r="BR5040" s="319"/>
      <c r="BS5040" s="330"/>
      <c r="BT5040" s="331"/>
      <c r="BU5040" s="920"/>
      <c r="BV5040" s="903"/>
      <c r="BW5040" s="908"/>
      <c r="BX5040" s="908"/>
      <c r="BY5040" s="331"/>
      <c r="BZ5040" s="331"/>
      <c r="CA5040" s="462"/>
      <c r="CB5040" s="319"/>
      <c r="CC5040" s="319"/>
      <c r="CD5040" s="319"/>
      <c r="CE5040" s="319"/>
      <c r="CF5040" s="319"/>
      <c r="CG5040" s="319"/>
      <c r="CH5040" s="318"/>
      <c r="CI5040" s="319"/>
      <c r="CJ5040" s="319"/>
      <c r="CK5040" s="342"/>
      <c r="CL5040" s="333"/>
      <c r="CM5040" s="1079"/>
      <c r="CN5040" s="1005"/>
      <c r="CO5040" s="1005"/>
      <c r="CP5040" s="1005"/>
    </row>
    <row r="5041">
      <c r="A5041" s="1257"/>
      <c r="B5041" s="1113"/>
      <c r="C5041" s="1107"/>
      <c r="D5041" s="103"/>
      <c r="E5041" s="1137"/>
      <c r="F5041" s="112"/>
      <c r="G5041" s="1110"/>
      <c r="H5041" s="1138"/>
      <c r="I5041" s="1138"/>
      <c r="J5041" s="1139"/>
      <c r="K5041" s="1111"/>
      <c r="L5041" s="1112"/>
      <c r="M5041" s="1113"/>
      <c r="N5041" s="110"/>
      <c r="O5041" s="1140"/>
      <c r="P5041" s="1115"/>
      <c r="Q5041" s="1116"/>
      <c r="R5041" s="1141"/>
      <c r="S5041" s="1113"/>
      <c r="T5041" s="1143"/>
      <c r="U5041" s="1108"/>
      <c r="V5041" s="1108"/>
      <c r="W5041" s="1108"/>
      <c r="X5041" s="1108"/>
      <c r="Y5041" s="1108"/>
      <c r="Z5041" s="1114"/>
      <c r="AA5041" s="1114"/>
      <c r="AB5041" s="1114"/>
      <c r="AC5041" s="1117"/>
      <c r="AD5041" s="1115"/>
      <c r="AE5041" s="1115"/>
      <c r="AF5041" s="1115"/>
      <c r="AG5041" s="1115"/>
      <c r="AH5041" s="1115"/>
      <c r="AI5041" s="1115"/>
      <c r="AJ5041" s="1117"/>
      <c r="AK5041" s="1118"/>
      <c r="AL5041" s="1115"/>
      <c r="AM5041" s="1115"/>
      <c r="AN5041" s="1115"/>
      <c r="AO5041" s="1115"/>
      <c r="AP5041" s="1115"/>
      <c r="AQ5041" s="1115"/>
      <c r="AR5041" s="1115"/>
      <c r="AS5041" s="1117"/>
      <c r="AT5041" s="1075"/>
      <c r="AU5041" s="1193"/>
      <c r="AV5041" s="330"/>
      <c r="AW5041" s="331"/>
      <c r="AX5041" s="331"/>
      <c r="AY5041" s="331"/>
      <c r="AZ5041" s="331"/>
      <c r="BA5041" s="331"/>
      <c r="BB5041" s="331"/>
      <c r="BC5041" s="331"/>
      <c r="BD5041" s="331"/>
      <c r="BE5041" s="333"/>
      <c r="BF5041" s="330"/>
      <c r="BG5041" s="333"/>
      <c r="BH5041" s="1119"/>
      <c r="BI5041" s="319"/>
      <c r="BJ5041" s="319"/>
      <c r="BK5041" s="319"/>
      <c r="BL5041" s="319"/>
      <c r="BM5041" s="319"/>
      <c r="BN5041" s="319"/>
      <c r="BO5041" s="319"/>
      <c r="BP5041" s="953"/>
      <c r="BQ5041" s="319"/>
      <c r="BR5041" s="319"/>
      <c r="BS5041" s="330"/>
      <c r="BT5041" s="331"/>
      <c r="BU5041" s="920"/>
      <c r="BV5041" s="903"/>
      <c r="BW5041" s="908"/>
      <c r="BX5041" s="908"/>
      <c r="BY5041" s="331"/>
      <c r="BZ5041" s="331"/>
      <c r="CA5041" s="462"/>
      <c r="CB5041" s="319"/>
      <c r="CC5041" s="319"/>
      <c r="CD5041" s="319"/>
      <c r="CE5041" s="319"/>
      <c r="CF5041" s="319"/>
      <c r="CG5041" s="319"/>
      <c r="CH5041" s="318"/>
      <c r="CI5041" s="319"/>
      <c r="CJ5041" s="319"/>
      <c r="CK5041" s="342"/>
      <c r="CL5041" s="333"/>
      <c r="CM5041" s="1079"/>
      <c r="CN5041" s="1005"/>
      <c r="CO5041" s="1005"/>
      <c r="CP5041" s="1005"/>
    </row>
    <row r="5042">
      <c r="A5042" s="1257"/>
      <c r="B5042" s="1113"/>
      <c r="C5042" s="1107"/>
      <c r="D5042" s="103"/>
      <c r="E5042" s="1137"/>
      <c r="F5042" s="112"/>
      <c r="G5042" s="1110"/>
      <c r="H5042" s="1138"/>
      <c r="I5042" s="1138"/>
      <c r="J5042" s="1139"/>
      <c r="K5042" s="1111"/>
      <c r="L5042" s="1112"/>
      <c r="M5042" s="1113"/>
      <c r="N5042" s="110"/>
      <c r="O5042" s="1140"/>
      <c r="P5042" s="1115"/>
      <c r="Q5042" s="1116"/>
      <c r="R5042" s="1141"/>
      <c r="S5042" s="1113"/>
      <c r="T5042" s="1143"/>
      <c r="U5042" s="1108"/>
      <c r="V5042" s="1108"/>
      <c r="W5042" s="1108"/>
      <c r="X5042" s="1108"/>
      <c r="Y5042" s="1108"/>
      <c r="Z5042" s="1114"/>
      <c r="AA5042" s="1114"/>
      <c r="AB5042" s="1114"/>
      <c r="AC5042" s="1117"/>
      <c r="AD5042" s="1115"/>
      <c r="AE5042" s="1115"/>
      <c r="AF5042" s="1115"/>
      <c r="AG5042" s="1115"/>
      <c r="AH5042" s="1115"/>
      <c r="AI5042" s="1115"/>
      <c r="AJ5042" s="1117"/>
      <c r="AK5042" s="1118"/>
      <c r="AL5042" s="1115"/>
      <c r="AM5042" s="1115"/>
      <c r="AN5042" s="1115"/>
      <c r="AO5042" s="1115"/>
      <c r="AP5042" s="1115"/>
      <c r="AQ5042" s="1115"/>
      <c r="AR5042" s="1115"/>
      <c r="AS5042" s="1117"/>
      <c r="AT5042" s="1075"/>
      <c r="AU5042" s="1193"/>
      <c r="AV5042" s="330"/>
      <c r="AW5042" s="331"/>
      <c r="AX5042" s="331"/>
      <c r="AY5042" s="331"/>
      <c r="AZ5042" s="331"/>
      <c r="BA5042" s="331"/>
      <c r="BB5042" s="331"/>
      <c r="BC5042" s="331"/>
      <c r="BD5042" s="331"/>
      <c r="BE5042" s="333"/>
      <c r="BF5042" s="330"/>
      <c r="BG5042" s="333"/>
      <c r="BH5042" s="1119"/>
      <c r="BI5042" s="319"/>
      <c r="BJ5042" s="319"/>
      <c r="BK5042" s="319"/>
      <c r="BL5042" s="319"/>
      <c r="BM5042" s="319"/>
      <c r="BN5042" s="319"/>
      <c r="BO5042" s="319"/>
      <c r="BP5042" s="953"/>
      <c r="BQ5042" s="319"/>
      <c r="BR5042" s="319"/>
      <c r="BS5042" s="330"/>
      <c r="BT5042" s="331"/>
      <c r="BU5042" s="920"/>
      <c r="BV5042" s="903"/>
      <c r="BW5042" s="908"/>
      <c r="BX5042" s="908"/>
      <c r="BY5042" s="331"/>
      <c r="BZ5042" s="331"/>
      <c r="CA5042" s="462"/>
      <c r="CB5042" s="319"/>
      <c r="CC5042" s="319"/>
      <c r="CD5042" s="319"/>
      <c r="CE5042" s="319"/>
      <c r="CF5042" s="319"/>
      <c r="CG5042" s="319"/>
      <c r="CH5042" s="318"/>
      <c r="CI5042" s="319"/>
      <c r="CJ5042" s="319"/>
      <c r="CK5042" s="342"/>
      <c r="CL5042" s="333"/>
      <c r="CM5042" s="1079"/>
      <c r="CN5042" s="1005"/>
      <c r="CO5042" s="1005"/>
      <c r="CP5042" s="1005"/>
    </row>
    <row r="5043">
      <c r="A5043" s="1257"/>
      <c r="B5043" s="1113"/>
      <c r="C5043" s="1107"/>
      <c r="D5043" s="103"/>
      <c r="E5043" s="1137"/>
      <c r="F5043" s="112"/>
      <c r="G5043" s="1110"/>
      <c r="H5043" s="1138"/>
      <c r="I5043" s="1138"/>
      <c r="J5043" s="1139"/>
      <c r="K5043" s="1111"/>
      <c r="L5043" s="1112"/>
      <c r="M5043" s="1113"/>
      <c r="N5043" s="110"/>
      <c r="O5043" s="1140"/>
      <c r="P5043" s="1115"/>
      <c r="Q5043" s="1116"/>
      <c r="R5043" s="1141"/>
      <c r="S5043" s="1113"/>
      <c r="T5043" s="1143"/>
      <c r="U5043" s="1108"/>
      <c r="V5043" s="1108"/>
      <c r="W5043" s="1108"/>
      <c r="X5043" s="1108"/>
      <c r="Y5043" s="1108"/>
      <c r="Z5043" s="1114"/>
      <c r="AA5043" s="1114"/>
      <c r="AB5043" s="1114"/>
      <c r="AC5043" s="1117"/>
      <c r="AD5043" s="1115"/>
      <c r="AE5043" s="1115"/>
      <c r="AF5043" s="1115"/>
      <c r="AG5043" s="1115"/>
      <c r="AH5043" s="1115"/>
      <c r="AI5043" s="1115"/>
      <c r="AJ5043" s="1117"/>
      <c r="AK5043" s="1118"/>
      <c r="AL5043" s="1115"/>
      <c r="AM5043" s="1115"/>
      <c r="AN5043" s="1115"/>
      <c r="AO5043" s="1115"/>
      <c r="AP5043" s="1115"/>
      <c r="AQ5043" s="1115"/>
      <c r="AR5043" s="1115"/>
      <c r="AS5043" s="1117"/>
      <c r="AT5043" s="1075"/>
      <c r="AU5043" s="1193"/>
      <c r="AV5043" s="330"/>
      <c r="AW5043" s="331"/>
      <c r="AX5043" s="331"/>
      <c r="AY5043" s="331"/>
      <c r="AZ5043" s="331"/>
      <c r="BA5043" s="331"/>
      <c r="BB5043" s="331"/>
      <c r="BC5043" s="331"/>
      <c r="BD5043" s="331"/>
      <c r="BE5043" s="333"/>
      <c r="BF5043" s="330"/>
      <c r="BG5043" s="333"/>
      <c r="BH5043" s="1119"/>
      <c r="BI5043" s="319"/>
      <c r="BJ5043" s="319"/>
      <c r="BK5043" s="319"/>
      <c r="BL5043" s="319"/>
      <c r="BM5043" s="319"/>
      <c r="BN5043" s="319"/>
      <c r="BO5043" s="319"/>
      <c r="BP5043" s="953"/>
      <c r="BQ5043" s="319"/>
      <c r="BR5043" s="319"/>
      <c r="BS5043" s="330"/>
      <c r="BT5043" s="331"/>
      <c r="BU5043" s="920"/>
      <c r="BV5043" s="903"/>
      <c r="BW5043" s="908"/>
      <c r="BX5043" s="908"/>
      <c r="BY5043" s="331"/>
      <c r="BZ5043" s="331"/>
      <c r="CA5043" s="462"/>
      <c r="CB5043" s="319"/>
      <c r="CC5043" s="319"/>
      <c r="CD5043" s="319"/>
      <c r="CE5043" s="319"/>
      <c r="CF5043" s="319"/>
      <c r="CG5043" s="319"/>
      <c r="CH5043" s="318"/>
      <c r="CI5043" s="319"/>
      <c r="CJ5043" s="319"/>
      <c r="CK5043" s="342"/>
      <c r="CL5043" s="333"/>
      <c r="CM5043" s="1079"/>
      <c r="CN5043" s="1005"/>
      <c r="CO5043" s="1005"/>
      <c r="CP5043" s="1005"/>
    </row>
    <row r="5044">
      <c r="A5044" s="1257"/>
      <c r="B5044" s="1113"/>
      <c r="C5044" s="1107"/>
      <c r="D5044" s="103"/>
      <c r="E5044" s="1137"/>
      <c r="F5044" s="112"/>
      <c r="G5044" s="1110"/>
      <c r="H5044" s="1138"/>
      <c r="I5044" s="1138"/>
      <c r="J5044" s="1139"/>
      <c r="K5044" s="1111"/>
      <c r="L5044" s="1112"/>
      <c r="M5044" s="1113"/>
      <c r="N5044" s="110"/>
      <c r="O5044" s="1140"/>
      <c r="P5044" s="1115"/>
      <c r="Q5044" s="1116"/>
      <c r="R5044" s="1141"/>
      <c r="S5044" s="1113"/>
      <c r="T5044" s="1143"/>
      <c r="U5044" s="1108"/>
      <c r="V5044" s="1108"/>
      <c r="W5044" s="1108"/>
      <c r="X5044" s="1108"/>
      <c r="Y5044" s="1108"/>
      <c r="Z5044" s="1114"/>
      <c r="AA5044" s="1114"/>
      <c r="AB5044" s="1114"/>
      <c r="AC5044" s="1117"/>
      <c r="AD5044" s="1115"/>
      <c r="AE5044" s="1115"/>
      <c r="AF5044" s="1115"/>
      <c r="AG5044" s="1115"/>
      <c r="AH5044" s="1115"/>
      <c r="AI5044" s="1115"/>
      <c r="AJ5044" s="1117"/>
      <c r="AK5044" s="1118"/>
      <c r="AL5044" s="1115"/>
      <c r="AM5044" s="1115"/>
      <c r="AN5044" s="1115"/>
      <c r="AO5044" s="1115"/>
      <c r="AP5044" s="1115"/>
      <c r="AQ5044" s="1115"/>
      <c r="AR5044" s="1115"/>
      <c r="AS5044" s="1117"/>
      <c r="AT5044" s="1075"/>
      <c r="AU5044" s="1193"/>
      <c r="AV5044" s="330"/>
      <c r="AW5044" s="331"/>
      <c r="AX5044" s="331"/>
      <c r="AY5044" s="331"/>
      <c r="AZ5044" s="331"/>
      <c r="BA5044" s="331"/>
      <c r="BB5044" s="331"/>
      <c r="BC5044" s="331"/>
      <c r="BD5044" s="331"/>
      <c r="BE5044" s="333"/>
      <c r="BF5044" s="330"/>
      <c r="BG5044" s="333"/>
      <c r="BH5044" s="1119"/>
      <c r="BI5044" s="319"/>
      <c r="BJ5044" s="319"/>
      <c r="BK5044" s="319"/>
      <c r="BL5044" s="319"/>
      <c r="BM5044" s="319"/>
      <c r="BN5044" s="319"/>
      <c r="BO5044" s="319"/>
      <c r="BP5044" s="953"/>
      <c r="BQ5044" s="319"/>
      <c r="BR5044" s="319"/>
      <c r="BS5044" s="330"/>
      <c r="BT5044" s="331"/>
      <c r="BU5044" s="920"/>
      <c r="BV5044" s="903"/>
      <c r="BW5044" s="908"/>
      <c r="BX5044" s="908"/>
      <c r="BY5044" s="331"/>
      <c r="BZ5044" s="331"/>
      <c r="CA5044" s="462"/>
      <c r="CB5044" s="319"/>
      <c r="CC5044" s="319"/>
      <c r="CD5044" s="319"/>
      <c r="CE5044" s="319"/>
      <c r="CF5044" s="319"/>
      <c r="CG5044" s="319"/>
      <c r="CH5044" s="318"/>
      <c r="CI5044" s="319"/>
      <c r="CJ5044" s="319"/>
      <c r="CK5044" s="342"/>
      <c r="CL5044" s="333"/>
      <c r="CM5044" s="1079"/>
      <c r="CN5044" s="1005"/>
      <c r="CO5044" s="1005"/>
      <c r="CP5044" s="1005"/>
    </row>
    <row r="5045">
      <c r="A5045" s="1257"/>
      <c r="B5045" s="1113"/>
      <c r="C5045" s="1107"/>
      <c r="D5045" s="103"/>
      <c r="E5045" s="1137"/>
      <c r="F5045" s="112"/>
      <c r="G5045" s="1110"/>
      <c r="H5045" s="1138"/>
      <c r="I5045" s="1138"/>
      <c r="J5045" s="1139"/>
      <c r="K5045" s="1111"/>
      <c r="L5045" s="1112"/>
      <c r="M5045" s="1113"/>
      <c r="N5045" s="110"/>
      <c r="O5045" s="1140"/>
      <c r="P5045" s="1115"/>
      <c r="Q5045" s="1116"/>
      <c r="R5045" s="1141"/>
      <c r="S5045" s="1113"/>
      <c r="T5045" s="1143"/>
      <c r="U5045" s="1108"/>
      <c r="V5045" s="1108"/>
      <c r="W5045" s="1108"/>
      <c r="X5045" s="1108"/>
      <c r="Y5045" s="1108"/>
      <c r="Z5045" s="1114"/>
      <c r="AA5045" s="1114"/>
      <c r="AB5045" s="1114"/>
      <c r="AC5045" s="1117"/>
      <c r="AD5045" s="1115"/>
      <c r="AE5045" s="1115"/>
      <c r="AF5045" s="1115"/>
      <c r="AG5045" s="1115"/>
      <c r="AH5045" s="1115"/>
      <c r="AI5045" s="1115"/>
      <c r="AJ5045" s="1117"/>
      <c r="AK5045" s="1118"/>
      <c r="AL5045" s="1115"/>
      <c r="AM5045" s="1115"/>
      <c r="AN5045" s="1115"/>
      <c r="AO5045" s="1115"/>
      <c r="AP5045" s="1115"/>
      <c r="AQ5045" s="1115"/>
      <c r="AR5045" s="1115"/>
      <c r="AS5045" s="1117"/>
      <c r="AT5045" s="1075"/>
      <c r="AU5045" s="1193"/>
      <c r="AV5045" s="330"/>
      <c r="AW5045" s="331"/>
      <c r="AX5045" s="331"/>
      <c r="AY5045" s="331"/>
      <c r="AZ5045" s="331"/>
      <c r="BA5045" s="331"/>
      <c r="BB5045" s="331"/>
      <c r="BC5045" s="331"/>
      <c r="BD5045" s="331"/>
      <c r="BE5045" s="333"/>
      <c r="BF5045" s="330"/>
      <c r="BG5045" s="333"/>
      <c r="BH5045" s="1119"/>
      <c r="BI5045" s="319"/>
      <c r="BJ5045" s="319"/>
      <c r="BK5045" s="319"/>
      <c r="BL5045" s="319"/>
      <c r="BM5045" s="319"/>
      <c r="BN5045" s="319"/>
      <c r="BO5045" s="319"/>
      <c r="BP5045" s="953"/>
      <c r="BQ5045" s="319"/>
      <c r="BR5045" s="319"/>
      <c r="BS5045" s="330"/>
      <c r="BT5045" s="331"/>
      <c r="BU5045" s="920"/>
      <c r="BV5045" s="903"/>
      <c r="BW5045" s="908"/>
      <c r="BX5045" s="908"/>
      <c r="BY5045" s="331"/>
      <c r="BZ5045" s="331"/>
      <c r="CA5045" s="462"/>
      <c r="CB5045" s="319"/>
      <c r="CC5045" s="319"/>
      <c r="CD5045" s="319"/>
      <c r="CE5045" s="319"/>
      <c r="CF5045" s="319"/>
      <c r="CG5045" s="319"/>
      <c r="CH5045" s="318"/>
      <c r="CI5045" s="319"/>
      <c r="CJ5045" s="319"/>
      <c r="CK5045" s="342"/>
      <c r="CL5045" s="333"/>
      <c r="CM5045" s="1079"/>
      <c r="CN5045" s="1005"/>
      <c r="CO5045" s="1005"/>
      <c r="CP5045" s="1005"/>
    </row>
    <row r="5046">
      <c r="A5046" s="1257"/>
      <c r="B5046" s="1113"/>
      <c r="C5046" s="1107"/>
      <c r="D5046" s="103"/>
      <c r="E5046" s="1137"/>
      <c r="F5046" s="112"/>
      <c r="G5046" s="1110"/>
      <c r="H5046" s="1138"/>
      <c r="I5046" s="1138"/>
      <c r="J5046" s="1139"/>
      <c r="K5046" s="1111"/>
      <c r="L5046" s="1112"/>
      <c r="M5046" s="1113"/>
      <c r="N5046" s="110"/>
      <c r="O5046" s="1140"/>
      <c r="P5046" s="1115"/>
      <c r="Q5046" s="1116"/>
      <c r="R5046" s="1141"/>
      <c r="S5046" s="1113"/>
      <c r="T5046" s="1143"/>
      <c r="U5046" s="1108"/>
      <c r="V5046" s="1108"/>
      <c r="W5046" s="1108"/>
      <c r="X5046" s="1108"/>
      <c r="Y5046" s="1108"/>
      <c r="Z5046" s="1114"/>
      <c r="AA5046" s="1114"/>
      <c r="AB5046" s="1114"/>
      <c r="AC5046" s="1117"/>
      <c r="AD5046" s="1115"/>
      <c r="AE5046" s="1115"/>
      <c r="AF5046" s="1115"/>
      <c r="AG5046" s="1115"/>
      <c r="AH5046" s="1115"/>
      <c r="AI5046" s="1115"/>
      <c r="AJ5046" s="1117"/>
      <c r="AK5046" s="1118"/>
      <c r="AL5046" s="1115"/>
      <c r="AM5046" s="1115"/>
      <c r="AN5046" s="1115"/>
      <c r="AO5046" s="1115"/>
      <c r="AP5046" s="1115"/>
      <c r="AQ5046" s="1115"/>
      <c r="AR5046" s="1115"/>
      <c r="AS5046" s="1117"/>
      <c r="AT5046" s="1075"/>
      <c r="AU5046" s="1193"/>
      <c r="AV5046" s="330"/>
      <c r="AW5046" s="331"/>
      <c r="AX5046" s="331"/>
      <c r="AY5046" s="331"/>
      <c r="AZ5046" s="331"/>
      <c r="BA5046" s="331"/>
      <c r="BB5046" s="331"/>
      <c r="BC5046" s="331"/>
      <c r="BD5046" s="331"/>
      <c r="BE5046" s="333"/>
      <c r="BF5046" s="330"/>
      <c r="BG5046" s="333"/>
      <c r="BH5046" s="1119"/>
      <c r="BI5046" s="319"/>
      <c r="BJ5046" s="319"/>
      <c r="BK5046" s="319"/>
      <c r="BL5046" s="319"/>
      <c r="BM5046" s="319"/>
      <c r="BN5046" s="319"/>
      <c r="BO5046" s="319"/>
      <c r="BP5046" s="953"/>
      <c r="BQ5046" s="319"/>
      <c r="BR5046" s="319"/>
      <c r="BS5046" s="330"/>
      <c r="BT5046" s="331"/>
      <c r="BU5046" s="920"/>
      <c r="BV5046" s="903"/>
      <c r="BW5046" s="908"/>
      <c r="BX5046" s="908"/>
      <c r="BY5046" s="331"/>
      <c r="BZ5046" s="331"/>
      <c r="CA5046" s="462"/>
      <c r="CB5046" s="319"/>
      <c r="CC5046" s="319"/>
      <c r="CD5046" s="319"/>
      <c r="CE5046" s="319"/>
      <c r="CF5046" s="319"/>
      <c r="CG5046" s="319"/>
      <c r="CH5046" s="318"/>
      <c r="CI5046" s="319"/>
      <c r="CJ5046" s="319"/>
      <c r="CK5046" s="342"/>
      <c r="CL5046" s="333"/>
      <c r="CM5046" s="1079"/>
      <c r="CN5046" s="1005"/>
      <c r="CO5046" s="1005"/>
      <c r="CP5046" s="1005"/>
    </row>
    <row r="5047">
      <c r="A5047" s="1257"/>
      <c r="B5047" s="1113"/>
      <c r="C5047" s="1107"/>
      <c r="D5047" s="103"/>
      <c r="E5047" s="1137"/>
      <c r="F5047" s="112"/>
      <c r="G5047" s="1110"/>
      <c r="H5047" s="1138"/>
      <c r="I5047" s="1138"/>
      <c r="J5047" s="1139"/>
      <c r="K5047" s="1111"/>
      <c r="L5047" s="1112"/>
      <c r="M5047" s="1113"/>
      <c r="N5047" s="110"/>
      <c r="O5047" s="1140"/>
      <c r="P5047" s="1115"/>
      <c r="Q5047" s="1116"/>
      <c r="R5047" s="1141"/>
      <c r="S5047" s="1113"/>
      <c r="T5047" s="1143"/>
      <c r="U5047" s="1108"/>
      <c r="V5047" s="1108"/>
      <c r="W5047" s="1108"/>
      <c r="X5047" s="1108"/>
      <c r="Y5047" s="1108"/>
      <c r="Z5047" s="1114"/>
      <c r="AA5047" s="1114"/>
      <c r="AB5047" s="1114"/>
      <c r="AC5047" s="1117"/>
      <c r="AD5047" s="1115"/>
      <c r="AE5047" s="1115"/>
      <c r="AF5047" s="1115"/>
      <c r="AG5047" s="1115"/>
      <c r="AH5047" s="1115"/>
      <c r="AI5047" s="1115"/>
      <c r="AJ5047" s="1117"/>
      <c r="AK5047" s="1118"/>
      <c r="AL5047" s="1115"/>
      <c r="AM5047" s="1115"/>
      <c r="AN5047" s="1115"/>
      <c r="AO5047" s="1115"/>
      <c r="AP5047" s="1115"/>
      <c r="AQ5047" s="1115"/>
      <c r="AR5047" s="1115"/>
      <c r="AS5047" s="1117"/>
      <c r="AT5047" s="1075"/>
      <c r="AU5047" s="1193"/>
      <c r="AV5047" s="330"/>
      <c r="AW5047" s="331"/>
      <c r="AX5047" s="331"/>
      <c r="AY5047" s="331"/>
      <c r="AZ5047" s="331"/>
      <c r="BA5047" s="331"/>
      <c r="BB5047" s="331"/>
      <c r="BC5047" s="331"/>
      <c r="BD5047" s="331"/>
      <c r="BE5047" s="333"/>
      <c r="BF5047" s="330"/>
      <c r="BG5047" s="333"/>
      <c r="BH5047" s="1119"/>
      <c r="BI5047" s="319"/>
      <c r="BJ5047" s="319"/>
      <c r="BK5047" s="319"/>
      <c r="BL5047" s="319"/>
      <c r="BM5047" s="319"/>
      <c r="BN5047" s="319"/>
      <c r="BO5047" s="319"/>
      <c r="BP5047" s="953"/>
      <c r="BQ5047" s="319"/>
      <c r="BR5047" s="319"/>
      <c r="BS5047" s="330"/>
      <c r="BT5047" s="331"/>
      <c r="BU5047" s="920"/>
      <c r="BV5047" s="903"/>
      <c r="BW5047" s="908"/>
      <c r="BX5047" s="908"/>
      <c r="BY5047" s="331"/>
      <c r="BZ5047" s="331"/>
      <c r="CA5047" s="462"/>
      <c r="CB5047" s="319"/>
      <c r="CC5047" s="319"/>
      <c r="CD5047" s="319"/>
      <c r="CE5047" s="319"/>
      <c r="CF5047" s="319"/>
      <c r="CG5047" s="319"/>
      <c r="CH5047" s="318"/>
      <c r="CI5047" s="319"/>
      <c r="CJ5047" s="319"/>
      <c r="CK5047" s="342"/>
      <c r="CL5047" s="333"/>
      <c r="CM5047" s="1079"/>
      <c r="CN5047" s="1005"/>
      <c r="CO5047" s="1005"/>
      <c r="CP5047" s="1005"/>
    </row>
    <row r="5048">
      <c r="A5048" s="1257"/>
      <c r="B5048" s="1113"/>
      <c r="C5048" s="1107"/>
      <c r="D5048" s="103"/>
      <c r="E5048" s="1137"/>
      <c r="F5048" s="112"/>
      <c r="G5048" s="1110"/>
      <c r="H5048" s="1138"/>
      <c r="I5048" s="1138"/>
      <c r="J5048" s="1139"/>
      <c r="K5048" s="1111"/>
      <c r="L5048" s="1112"/>
      <c r="M5048" s="1113"/>
      <c r="N5048" s="110"/>
      <c r="O5048" s="1140"/>
      <c r="P5048" s="1115"/>
      <c r="Q5048" s="1116"/>
      <c r="R5048" s="1141"/>
      <c r="S5048" s="1113"/>
      <c r="T5048" s="1143"/>
      <c r="U5048" s="1108"/>
      <c r="V5048" s="1108"/>
      <c r="W5048" s="1108"/>
      <c r="X5048" s="1108"/>
      <c r="Y5048" s="1108"/>
      <c r="Z5048" s="1114"/>
      <c r="AA5048" s="1114"/>
      <c r="AB5048" s="1114"/>
      <c r="AC5048" s="1117"/>
      <c r="AD5048" s="1115"/>
      <c r="AE5048" s="1115"/>
      <c r="AF5048" s="1115"/>
      <c r="AG5048" s="1115"/>
      <c r="AH5048" s="1115"/>
      <c r="AI5048" s="1115"/>
      <c r="AJ5048" s="1117"/>
      <c r="AK5048" s="1118"/>
      <c r="AL5048" s="1115"/>
      <c r="AM5048" s="1115"/>
      <c r="AN5048" s="1115"/>
      <c r="AO5048" s="1115"/>
      <c r="AP5048" s="1115"/>
      <c r="AQ5048" s="1115"/>
      <c r="AR5048" s="1115"/>
      <c r="AS5048" s="1117"/>
      <c r="AT5048" s="1075"/>
      <c r="AU5048" s="1193"/>
      <c r="AV5048" s="330"/>
      <c r="AW5048" s="331"/>
      <c r="AX5048" s="331"/>
      <c r="AY5048" s="331"/>
      <c r="AZ5048" s="331"/>
      <c r="BA5048" s="331"/>
      <c r="BB5048" s="331"/>
      <c r="BC5048" s="331"/>
      <c r="BD5048" s="331"/>
      <c r="BE5048" s="333"/>
      <c r="BF5048" s="330"/>
      <c r="BG5048" s="333"/>
      <c r="BH5048" s="1119"/>
      <c r="BI5048" s="319"/>
      <c r="BJ5048" s="319"/>
      <c r="BK5048" s="319"/>
      <c r="BL5048" s="319"/>
      <c r="BM5048" s="319"/>
      <c r="BN5048" s="319"/>
      <c r="BO5048" s="319"/>
      <c r="BP5048" s="953"/>
      <c r="BQ5048" s="319"/>
      <c r="BR5048" s="319"/>
      <c r="BS5048" s="330"/>
      <c r="BT5048" s="331"/>
      <c r="BU5048" s="920"/>
      <c r="BV5048" s="903"/>
      <c r="BW5048" s="908"/>
      <c r="BX5048" s="908"/>
      <c r="BY5048" s="331"/>
      <c r="BZ5048" s="331"/>
      <c r="CA5048" s="462"/>
      <c r="CB5048" s="319"/>
      <c r="CC5048" s="319"/>
      <c r="CD5048" s="319"/>
      <c r="CE5048" s="319"/>
      <c r="CF5048" s="319"/>
      <c r="CG5048" s="319"/>
      <c r="CH5048" s="318"/>
      <c r="CI5048" s="319"/>
      <c r="CJ5048" s="319"/>
      <c r="CK5048" s="342"/>
      <c r="CL5048" s="333"/>
      <c r="CM5048" s="1079"/>
      <c r="CN5048" s="1005"/>
      <c r="CO5048" s="1005"/>
      <c r="CP5048" s="1005"/>
    </row>
    <row r="5049">
      <c r="A5049" s="1257"/>
      <c r="B5049" s="1113"/>
      <c r="C5049" s="1107"/>
      <c r="D5049" s="103"/>
      <c r="E5049" s="1137"/>
      <c r="F5049" s="112"/>
      <c r="G5049" s="1110"/>
      <c r="H5049" s="1138"/>
      <c r="I5049" s="1138"/>
      <c r="J5049" s="1139"/>
      <c r="K5049" s="1111"/>
      <c r="L5049" s="1112"/>
      <c r="M5049" s="1113"/>
      <c r="N5049" s="110"/>
      <c r="O5049" s="1140"/>
      <c r="P5049" s="1115"/>
      <c r="Q5049" s="1116"/>
      <c r="R5049" s="1141"/>
      <c r="S5049" s="1113"/>
      <c r="T5049" s="1143"/>
      <c r="U5049" s="1108"/>
      <c r="V5049" s="1108"/>
      <c r="W5049" s="1108"/>
      <c r="X5049" s="1108"/>
      <c r="Y5049" s="1108"/>
      <c r="Z5049" s="1114"/>
      <c r="AA5049" s="1114"/>
      <c r="AB5049" s="1114"/>
      <c r="AC5049" s="1117"/>
      <c r="AD5049" s="1115"/>
      <c r="AE5049" s="1115"/>
      <c r="AF5049" s="1115"/>
      <c r="AG5049" s="1115"/>
      <c r="AH5049" s="1115"/>
      <c r="AI5049" s="1115"/>
      <c r="AJ5049" s="1117"/>
      <c r="AK5049" s="1118"/>
      <c r="AL5049" s="1115"/>
      <c r="AM5049" s="1115"/>
      <c r="AN5049" s="1115"/>
      <c r="AO5049" s="1115"/>
      <c r="AP5049" s="1115"/>
      <c r="AQ5049" s="1115"/>
      <c r="AR5049" s="1115"/>
      <c r="AS5049" s="1117"/>
      <c r="AT5049" s="1075"/>
      <c r="AU5049" s="1193"/>
      <c r="AV5049" s="330"/>
      <c r="AW5049" s="331"/>
      <c r="AX5049" s="331"/>
      <c r="AY5049" s="331"/>
      <c r="AZ5049" s="331"/>
      <c r="BA5049" s="331"/>
      <c r="BB5049" s="331"/>
      <c r="BC5049" s="331"/>
      <c r="BD5049" s="331"/>
      <c r="BE5049" s="333"/>
      <c r="BF5049" s="330"/>
      <c r="BG5049" s="333"/>
      <c r="BH5049" s="1119"/>
      <c r="BI5049" s="319"/>
      <c r="BJ5049" s="319"/>
      <c r="BK5049" s="319"/>
      <c r="BL5049" s="319"/>
      <c r="BM5049" s="319"/>
      <c r="BN5049" s="319"/>
      <c r="BO5049" s="319"/>
      <c r="BP5049" s="953"/>
      <c r="BQ5049" s="319"/>
      <c r="BR5049" s="319"/>
      <c r="BS5049" s="330"/>
      <c r="BT5049" s="331"/>
      <c r="BU5049" s="920"/>
      <c r="BV5049" s="903"/>
      <c r="BW5049" s="908"/>
      <c r="BX5049" s="908"/>
      <c r="BY5049" s="331"/>
      <c r="BZ5049" s="331"/>
      <c r="CA5049" s="462"/>
      <c r="CB5049" s="319"/>
      <c r="CC5049" s="319"/>
      <c r="CD5049" s="319"/>
      <c r="CE5049" s="319"/>
      <c r="CF5049" s="319"/>
      <c r="CG5049" s="319"/>
      <c r="CH5049" s="318"/>
      <c r="CI5049" s="319"/>
      <c r="CJ5049" s="319"/>
      <c r="CK5049" s="342"/>
      <c r="CL5049" s="333"/>
      <c r="CM5049" s="1079"/>
      <c r="CN5049" s="1005"/>
      <c r="CO5049" s="1005"/>
      <c r="CP5049" s="1005"/>
    </row>
    <row r="5050">
      <c r="A5050" s="1257"/>
      <c r="B5050" s="1113"/>
      <c r="C5050" s="1107"/>
      <c r="D5050" s="103"/>
      <c r="E5050" s="1137"/>
      <c r="F5050" s="112"/>
      <c r="G5050" s="1110"/>
      <c r="H5050" s="1138"/>
      <c r="I5050" s="1138"/>
      <c r="J5050" s="1139"/>
      <c r="K5050" s="1111"/>
      <c r="L5050" s="1112"/>
      <c r="M5050" s="1113"/>
      <c r="N5050" s="110"/>
      <c r="O5050" s="1140"/>
      <c r="P5050" s="1115"/>
      <c r="Q5050" s="1116"/>
      <c r="R5050" s="1141"/>
      <c r="S5050" s="1113"/>
      <c r="T5050" s="1143"/>
      <c r="U5050" s="1108"/>
      <c r="V5050" s="1108"/>
      <c r="W5050" s="1108"/>
      <c r="X5050" s="1108"/>
      <c r="Y5050" s="1108"/>
      <c r="Z5050" s="1114"/>
      <c r="AA5050" s="1114"/>
      <c r="AB5050" s="1114"/>
      <c r="AC5050" s="1117"/>
      <c r="AD5050" s="1115"/>
      <c r="AE5050" s="1115"/>
      <c r="AF5050" s="1115"/>
      <c r="AG5050" s="1115"/>
      <c r="AH5050" s="1115"/>
      <c r="AI5050" s="1115"/>
      <c r="AJ5050" s="1117"/>
      <c r="AK5050" s="1118"/>
      <c r="AL5050" s="1115"/>
      <c r="AM5050" s="1115"/>
      <c r="AN5050" s="1115"/>
      <c r="AO5050" s="1115"/>
      <c r="AP5050" s="1115"/>
      <c r="AQ5050" s="1115"/>
      <c r="AR5050" s="1115"/>
      <c r="AS5050" s="1117"/>
      <c r="AT5050" s="1075"/>
      <c r="AU5050" s="1193"/>
      <c r="AV5050" s="330"/>
      <c r="AW5050" s="331"/>
      <c r="AX5050" s="331"/>
      <c r="AY5050" s="331"/>
      <c r="AZ5050" s="331"/>
      <c r="BA5050" s="331"/>
      <c r="BB5050" s="331"/>
      <c r="BC5050" s="331"/>
      <c r="BD5050" s="331"/>
      <c r="BE5050" s="333"/>
      <c r="BF5050" s="330"/>
      <c r="BG5050" s="333"/>
      <c r="BH5050" s="1119"/>
      <c r="BI5050" s="319"/>
      <c r="BJ5050" s="319"/>
      <c r="BK5050" s="319"/>
      <c r="BL5050" s="319"/>
      <c r="BM5050" s="319"/>
      <c r="BN5050" s="319"/>
      <c r="BO5050" s="319"/>
      <c r="BP5050" s="953"/>
      <c r="BQ5050" s="319"/>
      <c r="BR5050" s="319"/>
      <c r="BS5050" s="330"/>
      <c r="BT5050" s="331"/>
      <c r="BU5050" s="920"/>
      <c r="BV5050" s="903"/>
      <c r="BW5050" s="908"/>
      <c r="BX5050" s="908"/>
      <c r="BY5050" s="331"/>
      <c r="BZ5050" s="331"/>
      <c r="CA5050" s="462"/>
      <c r="CB5050" s="319"/>
      <c r="CC5050" s="319"/>
      <c r="CD5050" s="319"/>
      <c r="CE5050" s="319"/>
      <c r="CF5050" s="319"/>
      <c r="CG5050" s="319"/>
      <c r="CH5050" s="318"/>
      <c r="CI5050" s="319"/>
      <c r="CJ5050" s="319"/>
      <c r="CK5050" s="342"/>
      <c r="CL5050" s="333"/>
      <c r="CM5050" s="1079"/>
      <c r="CN5050" s="1005"/>
      <c r="CO5050" s="1005"/>
      <c r="CP5050" s="1005"/>
    </row>
    <row r="5051">
      <c r="A5051" s="1257"/>
      <c r="B5051" s="1113"/>
      <c r="C5051" s="1107"/>
      <c r="D5051" s="103"/>
      <c r="E5051" s="1137"/>
      <c r="F5051" s="112"/>
      <c r="G5051" s="1110"/>
      <c r="H5051" s="1138"/>
      <c r="I5051" s="1138"/>
      <c r="J5051" s="1139"/>
      <c r="K5051" s="1111"/>
      <c r="L5051" s="1112"/>
      <c r="M5051" s="1113"/>
      <c r="N5051" s="110"/>
      <c r="O5051" s="1140"/>
      <c r="P5051" s="1115"/>
      <c r="Q5051" s="1116"/>
      <c r="R5051" s="1141"/>
      <c r="S5051" s="1113"/>
      <c r="T5051" s="1143"/>
      <c r="U5051" s="1108"/>
      <c r="V5051" s="1108"/>
      <c r="W5051" s="1108"/>
      <c r="X5051" s="1108"/>
      <c r="Y5051" s="1108"/>
      <c r="Z5051" s="1114"/>
      <c r="AA5051" s="1114"/>
      <c r="AB5051" s="1114"/>
      <c r="AC5051" s="1117"/>
      <c r="AD5051" s="1115"/>
      <c r="AE5051" s="1115"/>
      <c r="AF5051" s="1115"/>
      <c r="AG5051" s="1115"/>
      <c r="AH5051" s="1115"/>
      <c r="AI5051" s="1115"/>
      <c r="AJ5051" s="1117"/>
      <c r="AK5051" s="1118"/>
      <c r="AL5051" s="1115"/>
      <c r="AM5051" s="1115"/>
      <c r="AN5051" s="1115"/>
      <c r="AO5051" s="1115"/>
      <c r="AP5051" s="1115"/>
      <c r="AQ5051" s="1115"/>
      <c r="AR5051" s="1115"/>
      <c r="AS5051" s="1117"/>
      <c r="AT5051" s="1075"/>
      <c r="AU5051" s="1193"/>
      <c r="AV5051" s="330"/>
      <c r="AW5051" s="331"/>
      <c r="AX5051" s="331"/>
      <c r="AY5051" s="331"/>
      <c r="AZ5051" s="331"/>
      <c r="BA5051" s="331"/>
      <c r="BB5051" s="331"/>
      <c r="BC5051" s="331"/>
      <c r="BD5051" s="331"/>
      <c r="BE5051" s="333"/>
      <c r="BF5051" s="330"/>
      <c r="BG5051" s="333"/>
      <c r="BH5051" s="1119"/>
      <c r="BI5051" s="319"/>
      <c r="BJ5051" s="319"/>
      <c r="BK5051" s="319"/>
      <c r="BL5051" s="319"/>
      <c r="BM5051" s="319"/>
      <c r="BN5051" s="319"/>
      <c r="BO5051" s="319"/>
      <c r="BP5051" s="953"/>
      <c r="BQ5051" s="319"/>
      <c r="BR5051" s="319"/>
      <c r="BS5051" s="330"/>
      <c r="BT5051" s="331"/>
      <c r="BU5051" s="920"/>
      <c r="BV5051" s="903"/>
      <c r="BW5051" s="908"/>
      <c r="BX5051" s="908"/>
      <c r="BY5051" s="331"/>
      <c r="BZ5051" s="331"/>
      <c r="CA5051" s="462"/>
      <c r="CB5051" s="319"/>
      <c r="CC5051" s="319"/>
      <c r="CD5051" s="319"/>
      <c r="CE5051" s="319"/>
      <c r="CF5051" s="319"/>
      <c r="CG5051" s="319"/>
      <c r="CH5051" s="318"/>
      <c r="CI5051" s="319"/>
      <c r="CJ5051" s="319"/>
      <c r="CK5051" s="342"/>
      <c r="CL5051" s="333"/>
      <c r="CM5051" s="1079"/>
      <c r="CN5051" s="1005"/>
      <c r="CO5051" s="1005"/>
      <c r="CP5051" s="1005"/>
    </row>
    <row r="5052">
      <c r="A5052" s="1257"/>
      <c r="B5052" s="1113"/>
      <c r="C5052" s="1107"/>
      <c r="D5052" s="103"/>
      <c r="E5052" s="1137"/>
      <c r="F5052" s="112"/>
      <c r="G5052" s="1110"/>
      <c r="H5052" s="1138"/>
      <c r="I5052" s="1138"/>
      <c r="J5052" s="1139"/>
      <c r="K5052" s="1111"/>
      <c r="L5052" s="1112"/>
      <c r="M5052" s="1113"/>
      <c r="N5052" s="110"/>
      <c r="O5052" s="1140"/>
      <c r="P5052" s="1115"/>
      <c r="Q5052" s="1116"/>
      <c r="R5052" s="1141"/>
      <c r="S5052" s="1113"/>
      <c r="T5052" s="1143"/>
      <c r="U5052" s="1108"/>
      <c r="V5052" s="1108"/>
      <c r="W5052" s="1108"/>
      <c r="X5052" s="1108"/>
      <c r="Y5052" s="1108"/>
      <c r="Z5052" s="1114"/>
      <c r="AA5052" s="1114"/>
      <c r="AB5052" s="1114"/>
      <c r="AC5052" s="1117"/>
      <c r="AD5052" s="1115"/>
      <c r="AE5052" s="1115"/>
      <c r="AF5052" s="1115"/>
      <c r="AG5052" s="1115"/>
      <c r="AH5052" s="1115"/>
      <c r="AI5052" s="1115"/>
      <c r="AJ5052" s="1117"/>
      <c r="AK5052" s="1118"/>
      <c r="AL5052" s="1115"/>
      <c r="AM5052" s="1115"/>
      <c r="AN5052" s="1115"/>
      <c r="AO5052" s="1115"/>
      <c r="AP5052" s="1115"/>
      <c r="AQ5052" s="1115"/>
      <c r="AR5052" s="1115"/>
      <c r="AS5052" s="1117"/>
      <c r="AT5052" s="1075"/>
      <c r="AU5052" s="1193"/>
      <c r="AV5052" s="330"/>
      <c r="AW5052" s="331"/>
      <c r="AX5052" s="331"/>
      <c r="AY5052" s="331"/>
      <c r="AZ5052" s="331"/>
      <c r="BA5052" s="331"/>
      <c r="BB5052" s="331"/>
      <c r="BC5052" s="331"/>
      <c r="BD5052" s="331"/>
      <c r="BE5052" s="333"/>
      <c r="BF5052" s="330"/>
      <c r="BG5052" s="333"/>
      <c r="BH5052" s="1119"/>
      <c r="BI5052" s="319"/>
      <c r="BJ5052" s="319"/>
      <c r="BK5052" s="319"/>
      <c r="BL5052" s="319"/>
      <c r="BM5052" s="319"/>
      <c r="BN5052" s="319"/>
      <c r="BO5052" s="319"/>
      <c r="BP5052" s="953"/>
      <c r="BQ5052" s="319"/>
      <c r="BR5052" s="319"/>
      <c r="BS5052" s="330"/>
      <c r="BT5052" s="331"/>
      <c r="BU5052" s="920"/>
      <c r="BV5052" s="903"/>
      <c r="BW5052" s="908"/>
      <c r="BX5052" s="908"/>
      <c r="BY5052" s="331"/>
      <c r="BZ5052" s="331"/>
      <c r="CA5052" s="462"/>
      <c r="CB5052" s="319"/>
      <c r="CC5052" s="319"/>
      <c r="CD5052" s="319"/>
      <c r="CE5052" s="319"/>
      <c r="CF5052" s="319"/>
      <c r="CG5052" s="319"/>
      <c r="CH5052" s="318"/>
      <c r="CI5052" s="319"/>
      <c r="CJ5052" s="319"/>
      <c r="CK5052" s="342"/>
      <c r="CL5052" s="333"/>
      <c r="CM5052" s="1079"/>
      <c r="CN5052" s="1005"/>
      <c r="CO5052" s="1005"/>
      <c r="CP5052" s="1005"/>
    </row>
    <row r="5053">
      <c r="A5053" s="1257"/>
      <c r="B5053" s="1113"/>
      <c r="C5053" s="1107"/>
      <c r="D5053" s="103"/>
      <c r="E5053" s="1137"/>
      <c r="F5053" s="112"/>
      <c r="G5053" s="1110"/>
      <c r="H5053" s="1138"/>
      <c r="I5053" s="1138"/>
      <c r="J5053" s="1139"/>
      <c r="K5053" s="1111"/>
      <c r="L5053" s="1112"/>
      <c r="M5053" s="1113"/>
      <c r="N5053" s="110"/>
      <c r="O5053" s="1140"/>
      <c r="P5053" s="1115"/>
      <c r="Q5053" s="1116"/>
      <c r="R5053" s="1141"/>
      <c r="S5053" s="1113"/>
      <c r="T5053" s="1143"/>
      <c r="U5053" s="1108"/>
      <c r="V5053" s="1108"/>
      <c r="W5053" s="1108"/>
      <c r="X5053" s="1108"/>
      <c r="Y5053" s="1108"/>
      <c r="Z5053" s="1114"/>
      <c r="AA5053" s="1114"/>
      <c r="AB5053" s="1114"/>
      <c r="AC5053" s="1117"/>
      <c r="AD5053" s="1115"/>
      <c r="AE5053" s="1115"/>
      <c r="AF5053" s="1115"/>
      <c r="AG5053" s="1115"/>
      <c r="AH5053" s="1115"/>
      <c r="AI5053" s="1115"/>
      <c r="AJ5053" s="1117"/>
      <c r="AK5053" s="1118"/>
      <c r="AL5053" s="1115"/>
      <c r="AM5053" s="1115"/>
      <c r="AN5053" s="1115"/>
      <c r="AO5053" s="1115"/>
      <c r="AP5053" s="1115"/>
      <c r="AQ5053" s="1115"/>
      <c r="AR5053" s="1115"/>
      <c r="AS5053" s="1117"/>
      <c r="AT5053" s="1075"/>
      <c r="AU5053" s="1193"/>
      <c r="AV5053" s="330"/>
      <c r="AW5053" s="331"/>
      <c r="AX5053" s="331"/>
      <c r="AY5053" s="331"/>
      <c r="AZ5053" s="331"/>
      <c r="BA5053" s="331"/>
      <c r="BB5053" s="331"/>
      <c r="BC5053" s="331"/>
      <c r="BD5053" s="331"/>
      <c r="BE5053" s="333"/>
      <c r="BF5053" s="330"/>
      <c r="BG5053" s="333"/>
      <c r="BH5053" s="1119"/>
      <c r="BI5053" s="319"/>
      <c r="BJ5053" s="319"/>
      <c r="BK5053" s="319"/>
      <c r="BL5053" s="319"/>
      <c r="BM5053" s="319"/>
      <c r="BN5053" s="319"/>
      <c r="BO5053" s="319"/>
      <c r="BP5053" s="953"/>
      <c r="BQ5053" s="319"/>
      <c r="BR5053" s="319"/>
      <c r="BS5053" s="330"/>
      <c r="BT5053" s="331"/>
      <c r="BU5053" s="920"/>
      <c r="BV5053" s="903"/>
      <c r="BW5053" s="908"/>
      <c r="BX5053" s="908"/>
      <c r="BY5053" s="331"/>
      <c r="BZ5053" s="331"/>
      <c r="CA5053" s="462"/>
      <c r="CB5053" s="319"/>
      <c r="CC5053" s="319"/>
      <c r="CD5053" s="319"/>
      <c r="CE5053" s="319"/>
      <c r="CF5053" s="319"/>
      <c r="CG5053" s="319"/>
      <c r="CH5053" s="318"/>
      <c r="CI5053" s="319"/>
      <c r="CJ5053" s="319"/>
      <c r="CK5053" s="342"/>
      <c r="CL5053" s="333"/>
      <c r="CM5053" s="1079"/>
      <c r="CN5053" s="1005"/>
      <c r="CO5053" s="1005"/>
      <c r="CP5053" s="1005"/>
    </row>
    <row r="5054">
      <c r="A5054" s="1257"/>
      <c r="B5054" s="1113"/>
      <c r="C5054" s="1107"/>
      <c r="D5054" s="103"/>
      <c r="E5054" s="1137"/>
      <c r="F5054" s="112"/>
      <c r="G5054" s="1110"/>
      <c r="H5054" s="1138"/>
      <c r="I5054" s="1138"/>
      <c r="J5054" s="1139"/>
      <c r="K5054" s="1111"/>
      <c r="L5054" s="1112"/>
      <c r="M5054" s="1113"/>
      <c r="N5054" s="110"/>
      <c r="O5054" s="1140"/>
      <c r="P5054" s="1115"/>
      <c r="Q5054" s="1116"/>
      <c r="R5054" s="1141"/>
      <c r="S5054" s="1113"/>
      <c r="T5054" s="1143"/>
      <c r="U5054" s="1108"/>
      <c r="V5054" s="1108"/>
      <c r="W5054" s="1108"/>
      <c r="X5054" s="1108"/>
      <c r="Y5054" s="1108"/>
      <c r="Z5054" s="1114"/>
      <c r="AA5054" s="1114"/>
      <c r="AB5054" s="1114"/>
      <c r="AC5054" s="1117"/>
      <c r="AD5054" s="1115"/>
      <c r="AE5054" s="1115"/>
      <c r="AF5054" s="1115"/>
      <c r="AG5054" s="1115"/>
      <c r="AH5054" s="1115"/>
      <c r="AI5054" s="1115"/>
      <c r="AJ5054" s="1117"/>
      <c r="AK5054" s="1118"/>
      <c r="AL5054" s="1115"/>
      <c r="AM5054" s="1115"/>
      <c r="AN5054" s="1115"/>
      <c r="AO5054" s="1115"/>
      <c r="AP5054" s="1115"/>
      <c r="AQ5054" s="1115"/>
      <c r="AR5054" s="1115"/>
      <c r="AS5054" s="1117"/>
      <c r="AT5054" s="1075"/>
      <c r="AU5054" s="1193"/>
      <c r="AV5054" s="330"/>
      <c r="AW5054" s="331"/>
      <c r="AX5054" s="331"/>
      <c r="AY5054" s="331"/>
      <c r="AZ5054" s="331"/>
      <c r="BA5054" s="331"/>
      <c r="BB5054" s="331"/>
      <c r="BC5054" s="331"/>
      <c r="BD5054" s="331"/>
      <c r="BE5054" s="333"/>
      <c r="BF5054" s="330"/>
      <c r="BG5054" s="333"/>
      <c r="BH5054" s="1119"/>
      <c r="BI5054" s="319"/>
      <c r="BJ5054" s="319"/>
      <c r="BK5054" s="319"/>
      <c r="BL5054" s="319"/>
      <c r="BM5054" s="319"/>
      <c r="BN5054" s="319"/>
      <c r="BO5054" s="319"/>
      <c r="BP5054" s="953"/>
      <c r="BQ5054" s="319"/>
      <c r="BR5054" s="319"/>
      <c r="BS5054" s="330"/>
      <c r="BT5054" s="331"/>
      <c r="BU5054" s="920"/>
      <c r="BV5054" s="903"/>
      <c r="BW5054" s="908"/>
      <c r="BX5054" s="908"/>
      <c r="BY5054" s="331"/>
      <c r="BZ5054" s="331"/>
      <c r="CA5054" s="462"/>
      <c r="CB5054" s="319"/>
      <c r="CC5054" s="319"/>
      <c r="CD5054" s="319"/>
      <c r="CE5054" s="319"/>
      <c r="CF5054" s="319"/>
      <c r="CG5054" s="319"/>
      <c r="CH5054" s="318"/>
      <c r="CI5054" s="319"/>
      <c r="CJ5054" s="319"/>
      <c r="CK5054" s="342"/>
      <c r="CL5054" s="333"/>
      <c r="CM5054" s="1079"/>
      <c r="CN5054" s="1005"/>
      <c r="CO5054" s="1005"/>
      <c r="CP5054" s="1005"/>
    </row>
    <row r="5055">
      <c r="A5055" s="1257"/>
      <c r="B5055" s="1113"/>
      <c r="C5055" s="1107"/>
      <c r="D5055" s="103"/>
      <c r="E5055" s="1137"/>
      <c r="F5055" s="112"/>
      <c r="G5055" s="1110"/>
      <c r="H5055" s="1138"/>
      <c r="I5055" s="1138"/>
      <c r="J5055" s="1139"/>
      <c r="K5055" s="1111"/>
      <c r="L5055" s="1112"/>
      <c r="M5055" s="1113"/>
      <c r="N5055" s="110"/>
      <c r="O5055" s="1140"/>
      <c r="P5055" s="1115"/>
      <c r="Q5055" s="1116"/>
      <c r="R5055" s="1141"/>
      <c r="S5055" s="1113"/>
      <c r="T5055" s="1143"/>
      <c r="U5055" s="1108"/>
      <c r="V5055" s="1108"/>
      <c r="W5055" s="1108"/>
      <c r="X5055" s="1108"/>
      <c r="Y5055" s="1108"/>
      <c r="Z5055" s="1114"/>
      <c r="AA5055" s="1114"/>
      <c r="AB5055" s="1114"/>
      <c r="AC5055" s="1117"/>
      <c r="AD5055" s="1115"/>
      <c r="AE5055" s="1115"/>
      <c r="AF5055" s="1115"/>
      <c r="AG5055" s="1115"/>
      <c r="AH5055" s="1115"/>
      <c r="AI5055" s="1115"/>
      <c r="AJ5055" s="1117"/>
      <c r="AK5055" s="1118"/>
      <c r="AL5055" s="1115"/>
      <c r="AM5055" s="1115"/>
      <c r="AN5055" s="1115"/>
      <c r="AO5055" s="1115"/>
      <c r="AP5055" s="1115"/>
      <c r="AQ5055" s="1115"/>
      <c r="AR5055" s="1115"/>
      <c r="AS5055" s="1117"/>
      <c r="AT5055" s="1075"/>
      <c r="AU5055" s="1193"/>
      <c r="AV5055" s="330"/>
      <c r="AW5055" s="331"/>
      <c r="AX5055" s="331"/>
      <c r="AY5055" s="331"/>
      <c r="AZ5055" s="331"/>
      <c r="BA5055" s="331"/>
      <c r="BB5055" s="331"/>
      <c r="BC5055" s="331"/>
      <c r="BD5055" s="331"/>
      <c r="BE5055" s="333"/>
      <c r="BF5055" s="330"/>
      <c r="BG5055" s="333"/>
      <c r="BH5055" s="1119"/>
      <c r="BI5055" s="319"/>
      <c r="BJ5055" s="319"/>
      <c r="BK5055" s="319"/>
      <c r="BL5055" s="319"/>
      <c r="BM5055" s="319"/>
      <c r="BN5055" s="319"/>
      <c r="BO5055" s="319"/>
      <c r="BP5055" s="953"/>
      <c r="BQ5055" s="319"/>
      <c r="BR5055" s="319"/>
      <c r="BS5055" s="330"/>
      <c r="BT5055" s="331"/>
      <c r="BU5055" s="920"/>
      <c r="BV5055" s="903"/>
      <c r="BW5055" s="908"/>
      <c r="BX5055" s="908"/>
      <c r="BY5055" s="331"/>
      <c r="BZ5055" s="331"/>
      <c r="CA5055" s="462"/>
      <c r="CB5055" s="319"/>
      <c r="CC5055" s="319"/>
      <c r="CD5055" s="319"/>
      <c r="CE5055" s="319"/>
      <c r="CF5055" s="319"/>
      <c r="CG5055" s="319"/>
      <c r="CH5055" s="318"/>
      <c r="CI5055" s="319"/>
      <c r="CJ5055" s="319"/>
      <c r="CK5055" s="342"/>
      <c r="CL5055" s="333"/>
      <c r="CM5055" s="1079"/>
      <c r="CN5055" s="1005"/>
      <c r="CO5055" s="1005"/>
      <c r="CP5055" s="1005"/>
    </row>
    <row r="5056">
      <c r="A5056" s="1257"/>
      <c r="B5056" s="1113"/>
      <c r="C5056" s="1107"/>
      <c r="D5056" s="103"/>
      <c r="E5056" s="1137"/>
      <c r="F5056" s="112"/>
      <c r="G5056" s="1110"/>
      <c r="H5056" s="1138"/>
      <c r="I5056" s="1138"/>
      <c r="J5056" s="1139"/>
      <c r="K5056" s="1111"/>
      <c r="L5056" s="1112"/>
      <c r="M5056" s="1113"/>
      <c r="N5056" s="110"/>
      <c r="O5056" s="1140"/>
      <c r="P5056" s="1115"/>
      <c r="Q5056" s="1116"/>
      <c r="R5056" s="1141"/>
      <c r="S5056" s="1113"/>
      <c r="T5056" s="1143"/>
      <c r="U5056" s="1108"/>
      <c r="V5056" s="1108"/>
      <c r="W5056" s="1108"/>
      <c r="X5056" s="1108"/>
      <c r="Y5056" s="1108"/>
      <c r="Z5056" s="1114"/>
      <c r="AA5056" s="1114"/>
      <c r="AB5056" s="1114"/>
      <c r="AC5056" s="1117"/>
      <c r="AD5056" s="1115"/>
      <c r="AE5056" s="1115"/>
      <c r="AF5056" s="1115"/>
      <c r="AG5056" s="1115"/>
      <c r="AH5056" s="1115"/>
      <c r="AI5056" s="1115"/>
      <c r="AJ5056" s="1117"/>
      <c r="AK5056" s="1118"/>
      <c r="AL5056" s="1115"/>
      <c r="AM5056" s="1115"/>
      <c r="AN5056" s="1115"/>
      <c r="AO5056" s="1115"/>
      <c r="AP5056" s="1115"/>
      <c r="AQ5056" s="1115"/>
      <c r="AR5056" s="1115"/>
      <c r="AS5056" s="1117"/>
      <c r="AT5056" s="1075"/>
      <c r="AU5056" s="1193"/>
      <c r="AV5056" s="330"/>
      <c r="AW5056" s="331"/>
      <c r="AX5056" s="331"/>
      <c r="AY5056" s="331"/>
      <c r="AZ5056" s="331"/>
      <c r="BA5056" s="331"/>
      <c r="BB5056" s="331"/>
      <c r="BC5056" s="331"/>
      <c r="BD5056" s="331"/>
      <c r="BE5056" s="333"/>
      <c r="BF5056" s="330"/>
      <c r="BG5056" s="333"/>
      <c r="BH5056" s="1119"/>
      <c r="BI5056" s="319"/>
      <c r="BJ5056" s="319"/>
      <c r="BK5056" s="319"/>
      <c r="BL5056" s="319"/>
      <c r="BM5056" s="319"/>
      <c r="BN5056" s="319"/>
      <c r="BO5056" s="319"/>
      <c r="BP5056" s="953"/>
      <c r="BQ5056" s="319"/>
      <c r="BR5056" s="319"/>
      <c r="BS5056" s="330"/>
      <c r="BT5056" s="331"/>
      <c r="BU5056" s="920"/>
      <c r="BV5056" s="903"/>
      <c r="BW5056" s="908"/>
      <c r="BX5056" s="908"/>
      <c r="BY5056" s="331"/>
      <c r="BZ5056" s="331"/>
      <c r="CA5056" s="462"/>
      <c r="CB5056" s="319"/>
      <c r="CC5056" s="319"/>
      <c r="CD5056" s="319"/>
      <c r="CE5056" s="319"/>
      <c r="CF5056" s="319"/>
      <c r="CG5056" s="319"/>
      <c r="CH5056" s="318"/>
      <c r="CI5056" s="319"/>
      <c r="CJ5056" s="319"/>
      <c r="CK5056" s="342"/>
      <c r="CL5056" s="333"/>
      <c r="CM5056" s="1079"/>
      <c r="CN5056" s="1005"/>
      <c r="CO5056" s="1005"/>
      <c r="CP5056" s="1005"/>
    </row>
    <row r="5057">
      <c r="A5057" s="1257"/>
      <c r="B5057" s="1113"/>
      <c r="C5057" s="1107"/>
      <c r="D5057" s="103"/>
      <c r="E5057" s="1137"/>
      <c r="F5057" s="112"/>
      <c r="G5057" s="1110"/>
      <c r="H5057" s="1138"/>
      <c r="I5057" s="1138"/>
      <c r="J5057" s="1139"/>
      <c r="K5057" s="1111"/>
      <c r="L5057" s="1112"/>
      <c r="M5057" s="1113"/>
      <c r="N5057" s="110"/>
      <c r="O5057" s="1140"/>
      <c r="P5057" s="1115"/>
      <c r="Q5057" s="1116"/>
      <c r="R5057" s="1141"/>
      <c r="S5057" s="1113"/>
      <c r="T5057" s="1143"/>
      <c r="U5057" s="1108"/>
      <c r="V5057" s="1108"/>
      <c r="W5057" s="1108"/>
      <c r="X5057" s="1108"/>
      <c r="Y5057" s="1108"/>
      <c r="Z5057" s="1114"/>
      <c r="AA5057" s="1114"/>
      <c r="AB5057" s="1114"/>
      <c r="AC5057" s="1117"/>
      <c r="AD5057" s="1115"/>
      <c r="AE5057" s="1115"/>
      <c r="AF5057" s="1115"/>
      <c r="AG5057" s="1115"/>
      <c r="AH5057" s="1115"/>
      <c r="AI5057" s="1115"/>
      <c r="AJ5057" s="1117"/>
      <c r="AK5057" s="1118"/>
      <c r="AL5057" s="1115"/>
      <c r="AM5057" s="1115"/>
      <c r="AN5057" s="1115"/>
      <c r="AO5057" s="1115"/>
      <c r="AP5057" s="1115"/>
      <c r="AQ5057" s="1115"/>
      <c r="AR5057" s="1115"/>
      <c r="AS5057" s="1117"/>
      <c r="AT5057" s="1075"/>
      <c r="AU5057" s="1193"/>
      <c r="AV5057" s="330"/>
      <c r="AW5057" s="331"/>
      <c r="AX5057" s="331"/>
      <c r="AY5057" s="331"/>
      <c r="AZ5057" s="331"/>
      <c r="BA5057" s="331"/>
      <c r="BB5057" s="331"/>
      <c r="BC5057" s="331"/>
      <c r="BD5057" s="331"/>
      <c r="BE5057" s="333"/>
      <c r="BF5057" s="330"/>
      <c r="BG5057" s="333"/>
      <c r="BH5057" s="1119"/>
      <c r="BI5057" s="319"/>
      <c r="BJ5057" s="319"/>
      <c r="BK5057" s="319"/>
      <c r="BL5057" s="319"/>
      <c r="BM5057" s="319"/>
      <c r="BN5057" s="319"/>
      <c r="BO5057" s="319"/>
      <c r="BP5057" s="953"/>
      <c r="BQ5057" s="319"/>
      <c r="BR5057" s="319"/>
      <c r="BS5057" s="330"/>
      <c r="BT5057" s="331"/>
      <c r="BU5057" s="920"/>
      <c r="BV5057" s="903"/>
      <c r="BW5057" s="908"/>
      <c r="BX5057" s="908"/>
      <c r="BY5057" s="331"/>
      <c r="BZ5057" s="331"/>
      <c r="CA5057" s="462"/>
      <c r="CB5057" s="319"/>
      <c r="CC5057" s="319"/>
      <c r="CD5057" s="319"/>
      <c r="CE5057" s="319"/>
      <c r="CF5057" s="319"/>
      <c r="CG5057" s="319"/>
      <c r="CH5057" s="318"/>
      <c r="CI5057" s="319"/>
      <c r="CJ5057" s="319"/>
      <c r="CK5057" s="342"/>
      <c r="CL5057" s="333"/>
      <c r="CM5057" s="1079"/>
      <c r="CN5057" s="1005"/>
      <c r="CO5057" s="1005"/>
      <c r="CP5057" s="1005"/>
    </row>
    <row r="5058">
      <c r="A5058" s="1257"/>
      <c r="B5058" s="1113"/>
      <c r="C5058" s="1107"/>
      <c r="D5058" s="103"/>
      <c r="E5058" s="1137"/>
      <c r="F5058" s="112"/>
      <c r="G5058" s="1110"/>
      <c r="H5058" s="1138"/>
      <c r="I5058" s="1138"/>
      <c r="J5058" s="1139"/>
      <c r="K5058" s="1111"/>
      <c r="L5058" s="1112"/>
      <c r="M5058" s="1113"/>
      <c r="N5058" s="110"/>
      <c r="O5058" s="1140"/>
      <c r="P5058" s="1115"/>
      <c r="Q5058" s="1116"/>
      <c r="R5058" s="1141"/>
      <c r="S5058" s="1113"/>
      <c r="T5058" s="1143"/>
      <c r="U5058" s="1108"/>
      <c r="V5058" s="1108"/>
      <c r="W5058" s="1108"/>
      <c r="X5058" s="1108"/>
      <c r="Y5058" s="1108"/>
      <c r="Z5058" s="1114"/>
      <c r="AA5058" s="1114"/>
      <c r="AB5058" s="1114"/>
      <c r="AC5058" s="1117"/>
      <c r="AD5058" s="1115"/>
      <c r="AE5058" s="1115"/>
      <c r="AF5058" s="1115"/>
      <c r="AG5058" s="1115"/>
      <c r="AH5058" s="1115"/>
      <c r="AI5058" s="1115"/>
      <c r="AJ5058" s="1117"/>
      <c r="AK5058" s="1118"/>
      <c r="AL5058" s="1115"/>
      <c r="AM5058" s="1115"/>
      <c r="AN5058" s="1115"/>
      <c r="AO5058" s="1115"/>
      <c r="AP5058" s="1115"/>
      <c r="AQ5058" s="1115"/>
      <c r="AR5058" s="1115"/>
      <c r="AS5058" s="1117"/>
      <c r="AT5058" s="1075"/>
      <c r="AU5058" s="1193"/>
      <c r="AV5058" s="330"/>
      <c r="AW5058" s="331"/>
      <c r="AX5058" s="331"/>
      <c r="AY5058" s="331"/>
      <c r="AZ5058" s="331"/>
      <c r="BA5058" s="331"/>
      <c r="BB5058" s="331"/>
      <c r="BC5058" s="331"/>
      <c r="BD5058" s="331"/>
      <c r="BE5058" s="333"/>
      <c r="BF5058" s="330"/>
      <c r="BG5058" s="333"/>
      <c r="BH5058" s="1119"/>
      <c r="BI5058" s="319"/>
      <c r="BJ5058" s="319"/>
      <c r="BK5058" s="319"/>
      <c r="BL5058" s="319"/>
      <c r="BM5058" s="319"/>
      <c r="BN5058" s="319"/>
      <c r="BO5058" s="319"/>
      <c r="BP5058" s="953"/>
      <c r="BQ5058" s="319"/>
      <c r="BR5058" s="319"/>
      <c r="BS5058" s="330"/>
      <c r="BT5058" s="331"/>
      <c r="BU5058" s="920"/>
      <c r="BV5058" s="903"/>
      <c r="BW5058" s="908"/>
      <c r="BX5058" s="908"/>
      <c r="BY5058" s="331"/>
      <c r="BZ5058" s="331"/>
      <c r="CA5058" s="462"/>
      <c r="CB5058" s="319"/>
      <c r="CC5058" s="319"/>
      <c r="CD5058" s="319"/>
      <c r="CE5058" s="319"/>
      <c r="CF5058" s="319"/>
      <c r="CG5058" s="319"/>
      <c r="CH5058" s="318"/>
      <c r="CI5058" s="319"/>
      <c r="CJ5058" s="319"/>
      <c r="CK5058" s="342"/>
      <c r="CL5058" s="333"/>
      <c r="CM5058" s="1079"/>
      <c r="CN5058" s="1005"/>
      <c r="CO5058" s="1005"/>
      <c r="CP5058" s="1005"/>
    </row>
    <row r="5059">
      <c r="A5059" s="1257"/>
      <c r="B5059" s="1113"/>
      <c r="C5059" s="1107"/>
      <c r="D5059" s="103"/>
      <c r="E5059" s="1137"/>
      <c r="F5059" s="112"/>
      <c r="G5059" s="1110"/>
      <c r="H5059" s="1138"/>
      <c r="I5059" s="1138"/>
      <c r="J5059" s="1139"/>
      <c r="K5059" s="1111"/>
      <c r="L5059" s="1112"/>
      <c r="M5059" s="1113"/>
      <c r="N5059" s="110"/>
      <c r="O5059" s="1140"/>
      <c r="P5059" s="1115"/>
      <c r="Q5059" s="1116"/>
      <c r="R5059" s="1141"/>
      <c r="S5059" s="1113"/>
      <c r="T5059" s="1143"/>
      <c r="U5059" s="1108"/>
      <c r="V5059" s="1108"/>
      <c r="W5059" s="1108"/>
      <c r="X5059" s="1108"/>
      <c r="Y5059" s="1108"/>
      <c r="Z5059" s="1114"/>
      <c r="AA5059" s="1114"/>
      <c r="AB5059" s="1114"/>
      <c r="AC5059" s="1117"/>
      <c r="AD5059" s="1115"/>
      <c r="AE5059" s="1115"/>
      <c r="AF5059" s="1115"/>
      <c r="AG5059" s="1115"/>
      <c r="AH5059" s="1115"/>
      <c r="AI5059" s="1115"/>
      <c r="AJ5059" s="1117"/>
      <c r="AK5059" s="1118"/>
      <c r="AL5059" s="1115"/>
      <c r="AM5059" s="1115"/>
      <c r="AN5059" s="1115"/>
      <c r="AO5059" s="1115"/>
      <c r="AP5059" s="1115"/>
      <c r="AQ5059" s="1115"/>
      <c r="AR5059" s="1115"/>
      <c r="AS5059" s="1117"/>
      <c r="AT5059" s="1075"/>
      <c r="AU5059" s="1193"/>
      <c r="AV5059" s="330"/>
      <c r="AW5059" s="331"/>
      <c r="AX5059" s="331"/>
      <c r="AY5059" s="331"/>
      <c r="AZ5059" s="331"/>
      <c r="BA5059" s="331"/>
      <c r="BB5059" s="331"/>
      <c r="BC5059" s="331"/>
      <c r="BD5059" s="331"/>
      <c r="BE5059" s="333"/>
      <c r="BF5059" s="330"/>
      <c r="BG5059" s="333"/>
      <c r="BH5059" s="1119"/>
      <c r="BI5059" s="319"/>
      <c r="BJ5059" s="319"/>
      <c r="BK5059" s="319"/>
      <c r="BL5059" s="319"/>
      <c r="BM5059" s="319"/>
      <c r="BN5059" s="319"/>
      <c r="BO5059" s="319"/>
      <c r="BP5059" s="953"/>
      <c r="BQ5059" s="319"/>
      <c r="BR5059" s="319"/>
      <c r="BS5059" s="330"/>
      <c r="BT5059" s="331"/>
      <c r="BU5059" s="920"/>
      <c r="BV5059" s="903"/>
      <c r="BW5059" s="908"/>
      <c r="BX5059" s="908"/>
      <c r="BY5059" s="331"/>
      <c r="BZ5059" s="331"/>
      <c r="CA5059" s="462"/>
      <c r="CB5059" s="319"/>
      <c r="CC5059" s="319"/>
      <c r="CD5059" s="319"/>
      <c r="CE5059" s="319"/>
      <c r="CF5059" s="319"/>
      <c r="CG5059" s="319"/>
      <c r="CH5059" s="318"/>
      <c r="CI5059" s="319"/>
      <c r="CJ5059" s="319"/>
      <c r="CK5059" s="342"/>
      <c r="CL5059" s="333"/>
      <c r="CM5059" s="1079"/>
      <c r="CN5059" s="1005"/>
      <c r="CO5059" s="1005"/>
      <c r="CP5059" s="1005"/>
    </row>
    <row r="5060">
      <c r="A5060" s="1257"/>
      <c r="B5060" s="1113"/>
      <c r="C5060" s="1107"/>
      <c r="D5060" s="103"/>
      <c r="E5060" s="1137"/>
      <c r="F5060" s="112"/>
      <c r="G5060" s="1110"/>
      <c r="H5060" s="1138"/>
      <c r="I5060" s="1138"/>
      <c r="J5060" s="1139"/>
      <c r="K5060" s="1111"/>
      <c r="L5060" s="1112"/>
      <c r="M5060" s="1113"/>
      <c r="N5060" s="110"/>
      <c r="O5060" s="1140"/>
      <c r="P5060" s="1115"/>
      <c r="Q5060" s="1116"/>
      <c r="R5060" s="1141"/>
      <c r="S5060" s="1113"/>
      <c r="T5060" s="1143"/>
      <c r="U5060" s="1108"/>
      <c r="V5060" s="1108"/>
      <c r="W5060" s="1108"/>
      <c r="X5060" s="1108"/>
      <c r="Y5060" s="1108"/>
      <c r="Z5060" s="1114"/>
      <c r="AA5060" s="1114"/>
      <c r="AB5060" s="1114"/>
      <c r="AC5060" s="1117"/>
      <c r="AD5060" s="1115"/>
      <c r="AE5060" s="1115"/>
      <c r="AF5060" s="1115"/>
      <c r="AG5060" s="1115"/>
      <c r="AH5060" s="1115"/>
      <c r="AI5060" s="1115"/>
      <c r="AJ5060" s="1117"/>
      <c r="AK5060" s="1118"/>
      <c r="AL5060" s="1115"/>
      <c r="AM5060" s="1115"/>
      <c r="AN5060" s="1115"/>
      <c r="AO5060" s="1115"/>
      <c r="AP5060" s="1115"/>
      <c r="AQ5060" s="1115"/>
      <c r="AR5060" s="1115"/>
      <c r="AS5060" s="1117"/>
      <c r="AT5060" s="1075"/>
      <c r="AU5060" s="1193"/>
      <c r="AV5060" s="330"/>
      <c r="AW5060" s="331"/>
      <c r="AX5060" s="331"/>
      <c r="AY5060" s="331"/>
      <c r="AZ5060" s="331"/>
      <c r="BA5060" s="331"/>
      <c r="BB5060" s="331"/>
      <c r="BC5060" s="331"/>
      <c r="BD5060" s="331"/>
      <c r="BE5060" s="333"/>
      <c r="BF5060" s="330"/>
      <c r="BG5060" s="333"/>
      <c r="BH5060" s="1119"/>
      <c r="BI5060" s="319"/>
      <c r="BJ5060" s="319"/>
      <c r="BK5060" s="319"/>
      <c r="BL5060" s="319"/>
      <c r="BM5060" s="319"/>
      <c r="BN5060" s="319"/>
      <c r="BO5060" s="319"/>
      <c r="BP5060" s="953"/>
      <c r="BQ5060" s="319"/>
      <c r="BR5060" s="319"/>
      <c r="BS5060" s="330"/>
      <c r="BT5060" s="331"/>
      <c r="BU5060" s="920"/>
      <c r="BV5060" s="903"/>
      <c r="BW5060" s="908"/>
      <c r="BX5060" s="908"/>
      <c r="BY5060" s="331"/>
      <c r="BZ5060" s="331"/>
      <c r="CA5060" s="462"/>
      <c r="CB5060" s="319"/>
      <c r="CC5060" s="319"/>
      <c r="CD5060" s="319"/>
      <c r="CE5060" s="319"/>
      <c r="CF5060" s="319"/>
      <c r="CG5060" s="319"/>
      <c r="CH5060" s="318"/>
      <c r="CI5060" s="319"/>
      <c r="CJ5060" s="319"/>
      <c r="CK5060" s="342"/>
      <c r="CL5060" s="333"/>
      <c r="CM5060" s="1079"/>
      <c r="CN5060" s="1005"/>
      <c r="CO5060" s="1005"/>
      <c r="CP5060" s="1005"/>
    </row>
    <row r="5061">
      <c r="A5061" s="1257"/>
      <c r="B5061" s="1113"/>
      <c r="C5061" s="1107"/>
      <c r="D5061" s="103"/>
      <c r="E5061" s="1137"/>
      <c r="F5061" s="112"/>
      <c r="G5061" s="1110"/>
      <c r="H5061" s="1138"/>
      <c r="I5061" s="1138"/>
      <c r="J5061" s="1139"/>
      <c r="K5061" s="1111"/>
      <c r="L5061" s="1112"/>
      <c r="M5061" s="1113"/>
      <c r="N5061" s="110"/>
      <c r="O5061" s="1140"/>
      <c r="P5061" s="1115"/>
      <c r="Q5061" s="1116"/>
      <c r="R5061" s="1141"/>
      <c r="S5061" s="1113"/>
      <c r="T5061" s="1143"/>
      <c r="U5061" s="1108"/>
      <c r="V5061" s="1108"/>
      <c r="W5061" s="1108"/>
      <c r="X5061" s="1108"/>
      <c r="Y5061" s="1108"/>
      <c r="Z5061" s="1114"/>
      <c r="AA5061" s="1114"/>
      <c r="AB5061" s="1114"/>
      <c r="AC5061" s="1117"/>
      <c r="AD5061" s="1115"/>
      <c r="AE5061" s="1115"/>
      <c r="AF5061" s="1115"/>
      <c r="AG5061" s="1115"/>
      <c r="AH5061" s="1115"/>
      <c r="AI5061" s="1115"/>
      <c r="AJ5061" s="1117"/>
      <c r="AK5061" s="1118"/>
      <c r="AL5061" s="1115"/>
      <c r="AM5061" s="1115"/>
      <c r="AN5061" s="1115"/>
      <c r="AO5061" s="1115"/>
      <c r="AP5061" s="1115"/>
      <c r="AQ5061" s="1115"/>
      <c r="AR5061" s="1115"/>
      <c r="AS5061" s="1117"/>
      <c r="AT5061" s="1075"/>
      <c r="AU5061" s="1193"/>
      <c r="AV5061" s="330"/>
      <c r="AW5061" s="331"/>
      <c r="AX5061" s="331"/>
      <c r="AY5061" s="331"/>
      <c r="AZ5061" s="331"/>
      <c r="BA5061" s="331"/>
      <c r="BB5061" s="331"/>
      <c r="BC5061" s="331"/>
      <c r="BD5061" s="331"/>
      <c r="BE5061" s="333"/>
      <c r="BF5061" s="330"/>
      <c r="BG5061" s="333"/>
      <c r="BH5061" s="1119"/>
      <c r="BI5061" s="319"/>
      <c r="BJ5061" s="319"/>
      <c r="BK5061" s="319"/>
      <c r="BL5061" s="319"/>
      <c r="BM5061" s="319"/>
      <c r="BN5061" s="319"/>
      <c r="BO5061" s="319"/>
      <c r="BP5061" s="953"/>
      <c r="BQ5061" s="319"/>
      <c r="BR5061" s="319"/>
      <c r="BS5061" s="330"/>
      <c r="BT5061" s="331"/>
      <c r="BU5061" s="920"/>
      <c r="BV5061" s="903"/>
      <c r="BW5061" s="908"/>
      <c r="BX5061" s="908"/>
      <c r="BY5061" s="331"/>
      <c r="BZ5061" s="331"/>
      <c r="CA5061" s="462"/>
      <c r="CB5061" s="319"/>
      <c r="CC5061" s="319"/>
      <c r="CD5061" s="319"/>
      <c r="CE5061" s="319"/>
      <c r="CF5061" s="319"/>
      <c r="CG5061" s="319"/>
      <c r="CH5061" s="318"/>
      <c r="CI5061" s="319"/>
      <c r="CJ5061" s="319"/>
      <c r="CK5061" s="342"/>
      <c r="CL5061" s="333"/>
      <c r="CM5061" s="1079"/>
      <c r="CN5061" s="1005"/>
      <c r="CO5061" s="1005"/>
      <c r="CP5061" s="1005"/>
    </row>
    <row r="5062">
      <c r="A5062" s="1257"/>
      <c r="B5062" s="1113"/>
      <c r="C5062" s="1107"/>
      <c r="D5062" s="103"/>
      <c r="E5062" s="1137"/>
      <c r="F5062" s="112"/>
      <c r="G5062" s="1110"/>
      <c r="H5062" s="1138"/>
      <c r="I5062" s="1138"/>
      <c r="J5062" s="1139"/>
      <c r="K5062" s="1111"/>
      <c r="L5062" s="1112"/>
      <c r="M5062" s="1113"/>
      <c r="N5062" s="110"/>
      <c r="O5062" s="1140"/>
      <c r="P5062" s="1115"/>
      <c r="Q5062" s="1116"/>
      <c r="R5062" s="1141"/>
      <c r="S5062" s="1113"/>
      <c r="T5062" s="1143"/>
      <c r="U5062" s="1108"/>
      <c r="V5062" s="1108"/>
      <c r="W5062" s="1108"/>
      <c r="X5062" s="1108"/>
      <c r="Y5062" s="1108"/>
      <c r="Z5062" s="1114"/>
      <c r="AA5062" s="1114"/>
      <c r="AB5062" s="1114"/>
      <c r="AC5062" s="1117"/>
      <c r="AD5062" s="1115"/>
      <c r="AE5062" s="1115"/>
      <c r="AF5062" s="1115"/>
      <c r="AG5062" s="1115"/>
      <c r="AH5062" s="1115"/>
      <c r="AI5062" s="1115"/>
      <c r="AJ5062" s="1117"/>
      <c r="AK5062" s="1118"/>
      <c r="AL5062" s="1115"/>
      <c r="AM5062" s="1115"/>
      <c r="AN5062" s="1115"/>
      <c r="AO5062" s="1115"/>
      <c r="AP5062" s="1115"/>
      <c r="AQ5062" s="1115"/>
      <c r="AR5062" s="1115"/>
      <c r="AS5062" s="1117"/>
      <c r="AT5062" s="1075"/>
      <c r="AU5062" s="1193"/>
      <c r="AV5062" s="330"/>
      <c r="AW5062" s="331"/>
      <c r="AX5062" s="331"/>
      <c r="AY5062" s="331"/>
      <c r="AZ5062" s="331"/>
      <c r="BA5062" s="331"/>
      <c r="BB5062" s="331"/>
      <c r="BC5062" s="331"/>
      <c r="BD5062" s="331"/>
      <c r="BE5062" s="333"/>
      <c r="BF5062" s="330"/>
      <c r="BG5062" s="333"/>
      <c r="BH5062" s="1119"/>
      <c r="BI5062" s="319"/>
      <c r="BJ5062" s="319"/>
      <c r="BK5062" s="319"/>
      <c r="BL5062" s="319"/>
      <c r="BM5062" s="319"/>
      <c r="BN5062" s="319"/>
      <c r="BO5062" s="319"/>
      <c r="BP5062" s="953"/>
      <c r="BQ5062" s="319"/>
      <c r="BR5062" s="319"/>
      <c r="BS5062" s="330"/>
      <c r="BT5062" s="331"/>
      <c r="BU5062" s="920"/>
      <c r="BV5062" s="903"/>
      <c r="BW5062" s="908"/>
      <c r="BX5062" s="908"/>
      <c r="BY5062" s="331"/>
      <c r="BZ5062" s="331"/>
      <c r="CA5062" s="462"/>
      <c r="CB5062" s="319"/>
      <c r="CC5062" s="319"/>
      <c r="CD5062" s="319"/>
      <c r="CE5062" s="319"/>
      <c r="CF5062" s="319"/>
      <c r="CG5062" s="319"/>
      <c r="CH5062" s="318"/>
      <c r="CI5062" s="319"/>
      <c r="CJ5062" s="319"/>
      <c r="CK5062" s="342"/>
      <c r="CL5062" s="333"/>
      <c r="CM5062" s="1079"/>
      <c r="CN5062" s="1005"/>
      <c r="CO5062" s="1005"/>
      <c r="CP5062" s="1005"/>
    </row>
    <row r="5063">
      <c r="A5063" s="1257"/>
      <c r="B5063" s="1113"/>
      <c r="C5063" s="1107"/>
      <c r="D5063" s="103"/>
      <c r="E5063" s="1137"/>
      <c r="F5063" s="112"/>
      <c r="G5063" s="1110"/>
      <c r="H5063" s="1138"/>
      <c r="I5063" s="1138"/>
      <c r="J5063" s="1139"/>
      <c r="K5063" s="1111"/>
      <c r="L5063" s="1112"/>
      <c r="M5063" s="1113"/>
      <c r="N5063" s="110"/>
      <c r="O5063" s="1140"/>
      <c r="P5063" s="1115"/>
      <c r="Q5063" s="1116"/>
      <c r="R5063" s="1141"/>
      <c r="S5063" s="1113"/>
      <c r="T5063" s="1143"/>
      <c r="U5063" s="1108"/>
      <c r="V5063" s="1108"/>
      <c r="W5063" s="1108"/>
      <c r="X5063" s="1108"/>
      <c r="Y5063" s="1108"/>
      <c r="Z5063" s="1114"/>
      <c r="AA5063" s="1114"/>
      <c r="AB5063" s="1114"/>
      <c r="AC5063" s="1117"/>
      <c r="AD5063" s="1115"/>
      <c r="AE5063" s="1115"/>
      <c r="AF5063" s="1115"/>
      <c r="AG5063" s="1115"/>
      <c r="AH5063" s="1115"/>
      <c r="AI5063" s="1115"/>
      <c r="AJ5063" s="1117"/>
      <c r="AK5063" s="1118"/>
      <c r="AL5063" s="1115"/>
      <c r="AM5063" s="1115"/>
      <c r="AN5063" s="1115"/>
      <c r="AO5063" s="1115"/>
      <c r="AP5063" s="1115"/>
      <c r="AQ5063" s="1115"/>
      <c r="AR5063" s="1115"/>
      <c r="AS5063" s="1117"/>
      <c r="AT5063" s="1075"/>
      <c r="AU5063" s="1193"/>
      <c r="AV5063" s="330"/>
      <c r="AW5063" s="331"/>
      <c r="AX5063" s="331"/>
      <c r="AY5063" s="331"/>
      <c r="AZ5063" s="331"/>
      <c r="BA5063" s="331"/>
      <c r="BB5063" s="331"/>
      <c r="BC5063" s="331"/>
      <c r="BD5063" s="331"/>
      <c r="BE5063" s="333"/>
      <c r="BF5063" s="330"/>
      <c r="BG5063" s="333"/>
      <c r="BH5063" s="1119"/>
      <c r="BI5063" s="319"/>
      <c r="BJ5063" s="319"/>
      <c r="BK5063" s="319"/>
      <c r="BL5063" s="319"/>
      <c r="BM5063" s="319"/>
      <c r="BN5063" s="319"/>
      <c r="BO5063" s="319"/>
      <c r="BP5063" s="953"/>
      <c r="BQ5063" s="319"/>
      <c r="BR5063" s="319"/>
      <c r="BS5063" s="330"/>
      <c r="BT5063" s="331"/>
      <c r="BU5063" s="920"/>
      <c r="BV5063" s="903"/>
      <c r="BW5063" s="908"/>
      <c r="BX5063" s="908"/>
      <c r="BY5063" s="331"/>
      <c r="BZ5063" s="331"/>
      <c r="CA5063" s="462"/>
      <c r="CB5063" s="319"/>
      <c r="CC5063" s="319"/>
      <c r="CD5063" s="319"/>
      <c r="CE5063" s="319"/>
      <c r="CF5063" s="319"/>
      <c r="CG5063" s="319"/>
      <c r="CH5063" s="318"/>
      <c r="CI5063" s="319"/>
      <c r="CJ5063" s="319"/>
      <c r="CK5063" s="342"/>
      <c r="CL5063" s="333"/>
      <c r="CM5063" s="1079"/>
      <c r="CN5063" s="1005"/>
      <c r="CO5063" s="1005"/>
      <c r="CP5063" s="1005"/>
    </row>
    <row r="5064">
      <c r="A5064" s="1257"/>
      <c r="B5064" s="1113"/>
      <c r="C5064" s="1107"/>
      <c r="D5064" s="103"/>
      <c r="E5064" s="1137"/>
      <c r="F5064" s="112"/>
      <c r="G5064" s="1110"/>
      <c r="H5064" s="1138"/>
      <c r="I5064" s="1138"/>
      <c r="J5064" s="1139"/>
      <c r="K5064" s="1111"/>
      <c r="L5064" s="1112"/>
      <c r="M5064" s="1113"/>
      <c r="N5064" s="110"/>
      <c r="O5064" s="1140"/>
      <c r="P5064" s="1115"/>
      <c r="Q5064" s="1116"/>
      <c r="R5064" s="1141"/>
      <c r="S5064" s="1113"/>
      <c r="T5064" s="1143"/>
      <c r="U5064" s="1108"/>
      <c r="V5064" s="1108"/>
      <c r="W5064" s="1108"/>
      <c r="X5064" s="1108"/>
      <c r="Y5064" s="1108"/>
      <c r="Z5064" s="1114"/>
      <c r="AA5064" s="1114"/>
      <c r="AB5064" s="1114"/>
      <c r="AC5064" s="1117"/>
      <c r="AD5064" s="1115"/>
      <c r="AE5064" s="1115"/>
      <c r="AF5064" s="1115"/>
      <c r="AG5064" s="1115"/>
      <c r="AH5064" s="1115"/>
      <c r="AI5064" s="1115"/>
      <c r="AJ5064" s="1117"/>
      <c r="AK5064" s="1118"/>
      <c r="AL5064" s="1115"/>
      <c r="AM5064" s="1115"/>
      <c r="AN5064" s="1115"/>
      <c r="AO5064" s="1115"/>
      <c r="AP5064" s="1115"/>
      <c r="AQ5064" s="1115"/>
      <c r="AR5064" s="1115"/>
      <c r="AS5064" s="1117"/>
      <c r="AT5064" s="1075"/>
      <c r="AU5064" s="1193"/>
      <c r="AV5064" s="330"/>
      <c r="AW5064" s="331"/>
      <c r="AX5064" s="331"/>
      <c r="AY5064" s="331"/>
      <c r="AZ5064" s="331"/>
      <c r="BA5064" s="331"/>
      <c r="BB5064" s="331"/>
      <c r="BC5064" s="331"/>
      <c r="BD5064" s="331"/>
      <c r="BE5064" s="333"/>
      <c r="BF5064" s="330"/>
      <c r="BG5064" s="333"/>
      <c r="BH5064" s="1119"/>
      <c r="BI5064" s="319"/>
      <c r="BJ5064" s="319"/>
      <c r="BK5064" s="319"/>
      <c r="BL5064" s="319"/>
      <c r="BM5064" s="319"/>
      <c r="BN5064" s="319"/>
      <c r="BO5064" s="319"/>
      <c r="BP5064" s="953"/>
      <c r="BQ5064" s="319"/>
      <c r="BR5064" s="319"/>
      <c r="BS5064" s="330"/>
      <c r="BT5064" s="331"/>
      <c r="BU5064" s="920"/>
      <c r="BV5064" s="903"/>
      <c r="BW5064" s="908"/>
      <c r="BX5064" s="908"/>
      <c r="BY5064" s="331"/>
      <c r="BZ5064" s="331"/>
      <c r="CA5064" s="462"/>
      <c r="CB5064" s="319"/>
      <c r="CC5064" s="319"/>
      <c r="CD5064" s="319"/>
      <c r="CE5064" s="319"/>
      <c r="CF5064" s="319"/>
      <c r="CG5064" s="319"/>
      <c r="CH5064" s="318"/>
      <c r="CI5064" s="319"/>
      <c r="CJ5064" s="319"/>
      <c r="CK5064" s="342"/>
      <c r="CL5064" s="333"/>
      <c r="CM5064" s="1079"/>
      <c r="CN5064" s="1005"/>
      <c r="CO5064" s="1005"/>
      <c r="CP5064" s="1005"/>
    </row>
    <row r="5065">
      <c r="A5065" s="1257"/>
      <c r="B5065" s="1113"/>
      <c r="C5065" s="1107"/>
      <c r="D5065" s="103"/>
      <c r="E5065" s="1137"/>
      <c r="F5065" s="112"/>
      <c r="G5065" s="1110"/>
      <c r="H5065" s="1138"/>
      <c r="I5065" s="1138"/>
      <c r="J5065" s="1139"/>
      <c r="K5065" s="1111"/>
      <c r="L5065" s="1112"/>
      <c r="M5065" s="1113"/>
      <c r="N5065" s="110"/>
      <c r="O5065" s="1140"/>
      <c r="P5065" s="1115"/>
      <c r="Q5065" s="1116"/>
      <c r="R5065" s="1141"/>
      <c r="S5065" s="1113"/>
      <c r="T5065" s="1143"/>
      <c r="U5065" s="1108"/>
      <c r="V5065" s="1108"/>
      <c r="W5065" s="1108"/>
      <c r="X5065" s="1108"/>
      <c r="Y5065" s="1108"/>
      <c r="Z5065" s="1114"/>
      <c r="AA5065" s="1114"/>
      <c r="AB5065" s="1114"/>
      <c r="AC5065" s="1117"/>
      <c r="AD5065" s="1115"/>
      <c r="AE5065" s="1115"/>
      <c r="AF5065" s="1115"/>
      <c r="AG5065" s="1115"/>
      <c r="AH5065" s="1115"/>
      <c r="AI5065" s="1115"/>
      <c r="AJ5065" s="1117"/>
      <c r="AK5065" s="1118"/>
      <c r="AL5065" s="1115"/>
      <c r="AM5065" s="1115"/>
      <c r="AN5065" s="1115"/>
      <c r="AO5065" s="1115"/>
      <c r="AP5065" s="1115"/>
      <c r="AQ5065" s="1115"/>
      <c r="AR5065" s="1115"/>
      <c r="AS5065" s="1117"/>
      <c r="AT5065" s="1075"/>
      <c r="AU5065" s="1193"/>
      <c r="AV5065" s="330"/>
      <c r="AW5065" s="331"/>
      <c r="AX5065" s="331"/>
      <c r="AY5065" s="331"/>
      <c r="AZ5065" s="331"/>
      <c r="BA5065" s="331"/>
      <c r="BB5065" s="331"/>
      <c r="BC5065" s="331"/>
      <c r="BD5065" s="331"/>
      <c r="BE5065" s="333"/>
      <c r="BF5065" s="330"/>
      <c r="BG5065" s="333"/>
      <c r="BH5065" s="1119"/>
      <c r="BI5065" s="319"/>
      <c r="BJ5065" s="319"/>
      <c r="BK5065" s="319"/>
      <c r="BL5065" s="319"/>
      <c r="BM5065" s="319"/>
      <c r="BN5065" s="319"/>
      <c r="BO5065" s="319"/>
      <c r="BP5065" s="953"/>
      <c r="BQ5065" s="319"/>
      <c r="BR5065" s="319"/>
      <c r="BS5065" s="330"/>
      <c r="BT5065" s="331"/>
      <c r="BU5065" s="920"/>
      <c r="BV5065" s="903"/>
      <c r="BW5065" s="908"/>
      <c r="BX5065" s="908"/>
      <c r="BY5065" s="331"/>
      <c r="BZ5065" s="331"/>
      <c r="CA5065" s="462"/>
      <c r="CB5065" s="319"/>
      <c r="CC5065" s="319"/>
      <c r="CD5065" s="319"/>
      <c r="CE5065" s="319"/>
      <c r="CF5065" s="319"/>
      <c r="CG5065" s="319"/>
      <c r="CH5065" s="318"/>
      <c r="CI5065" s="319"/>
      <c r="CJ5065" s="319"/>
      <c r="CK5065" s="342"/>
      <c r="CL5065" s="333"/>
      <c r="CM5065" s="1079"/>
      <c r="CN5065" s="1005"/>
      <c r="CO5065" s="1005"/>
      <c r="CP5065" s="1005"/>
    </row>
    <row r="5066">
      <c r="A5066" s="1257"/>
      <c r="B5066" s="1113"/>
      <c r="C5066" s="1107"/>
      <c r="D5066" s="103"/>
      <c r="E5066" s="1137"/>
      <c r="F5066" s="112"/>
      <c r="G5066" s="1110"/>
      <c r="H5066" s="1138"/>
      <c r="I5066" s="1138"/>
      <c r="J5066" s="1139"/>
      <c r="K5066" s="1111"/>
      <c r="L5066" s="1112"/>
      <c r="M5066" s="1113"/>
      <c r="N5066" s="110"/>
      <c r="O5066" s="1140"/>
      <c r="P5066" s="1115"/>
      <c r="Q5066" s="1116"/>
      <c r="R5066" s="1141"/>
      <c r="S5066" s="1113"/>
      <c r="T5066" s="1143"/>
      <c r="U5066" s="1108"/>
      <c r="V5066" s="1108"/>
      <c r="W5066" s="1108"/>
      <c r="X5066" s="1108"/>
      <c r="Y5066" s="1108"/>
      <c r="Z5066" s="1114"/>
      <c r="AA5066" s="1114"/>
      <c r="AB5066" s="1114"/>
      <c r="AC5066" s="1117"/>
      <c r="AD5066" s="1115"/>
      <c r="AE5066" s="1115"/>
      <c r="AF5066" s="1115"/>
      <c r="AG5066" s="1115"/>
      <c r="AH5066" s="1115"/>
      <c r="AI5066" s="1115"/>
      <c r="AJ5066" s="1117"/>
      <c r="AK5066" s="1118"/>
      <c r="AL5066" s="1115"/>
      <c r="AM5066" s="1115"/>
      <c r="AN5066" s="1115"/>
      <c r="AO5066" s="1115"/>
      <c r="AP5066" s="1115"/>
      <c r="AQ5066" s="1115"/>
      <c r="AR5066" s="1115"/>
      <c r="AS5066" s="1117"/>
      <c r="AT5066" s="1075"/>
      <c r="AU5066" s="1193"/>
      <c r="AV5066" s="330"/>
      <c r="AW5066" s="331"/>
      <c r="AX5066" s="331"/>
      <c r="AY5066" s="331"/>
      <c r="AZ5066" s="331"/>
      <c r="BA5066" s="331"/>
      <c r="BB5066" s="331"/>
      <c r="BC5066" s="331"/>
      <c r="BD5066" s="331"/>
      <c r="BE5066" s="333"/>
      <c r="BF5066" s="330"/>
      <c r="BG5066" s="333"/>
      <c r="BH5066" s="1119"/>
      <c r="BI5066" s="319"/>
      <c r="BJ5066" s="319"/>
      <c r="BK5066" s="319"/>
      <c r="BL5066" s="319"/>
      <c r="BM5066" s="319"/>
      <c r="BN5066" s="319"/>
      <c r="BO5066" s="319"/>
      <c r="BP5066" s="953"/>
      <c r="BQ5066" s="319"/>
      <c r="BR5066" s="319"/>
      <c r="BS5066" s="330"/>
      <c r="BT5066" s="331"/>
      <c r="BU5066" s="920"/>
      <c r="BV5066" s="903"/>
      <c r="BW5066" s="908"/>
      <c r="BX5066" s="908"/>
      <c r="BY5066" s="331"/>
      <c r="BZ5066" s="331"/>
      <c r="CA5066" s="462"/>
      <c r="CB5066" s="319"/>
      <c r="CC5066" s="319"/>
      <c r="CD5066" s="319"/>
      <c r="CE5066" s="319"/>
      <c r="CF5066" s="319"/>
      <c r="CG5066" s="319"/>
      <c r="CH5066" s="318"/>
      <c r="CI5066" s="319"/>
      <c r="CJ5066" s="319"/>
      <c r="CK5066" s="342"/>
      <c r="CL5066" s="333"/>
      <c r="CM5066" s="1079"/>
      <c r="CN5066" s="1005"/>
      <c r="CO5066" s="1005"/>
      <c r="CP5066" s="1005"/>
    </row>
    <row r="5067">
      <c r="A5067" s="1257"/>
      <c r="B5067" s="1113"/>
      <c r="C5067" s="1107"/>
      <c r="D5067" s="103"/>
      <c r="E5067" s="1137"/>
      <c r="F5067" s="112"/>
      <c r="G5067" s="1110"/>
      <c r="H5067" s="1138"/>
      <c r="I5067" s="1138"/>
      <c r="J5067" s="1139"/>
      <c r="K5067" s="1111"/>
      <c r="L5067" s="1112"/>
      <c r="M5067" s="1113"/>
      <c r="N5067" s="110"/>
      <c r="O5067" s="1140"/>
      <c r="P5067" s="1115"/>
      <c r="Q5067" s="1116"/>
      <c r="R5067" s="1141"/>
      <c r="S5067" s="1113"/>
      <c r="T5067" s="1143"/>
      <c r="U5067" s="1108"/>
      <c r="V5067" s="1108"/>
      <c r="W5067" s="1108"/>
      <c r="X5067" s="1108"/>
      <c r="Y5067" s="1108"/>
      <c r="Z5067" s="1114"/>
      <c r="AA5067" s="1114"/>
      <c r="AB5067" s="1114"/>
      <c r="AC5067" s="1117"/>
      <c r="AD5067" s="1115"/>
      <c r="AE5067" s="1115"/>
      <c r="AF5067" s="1115"/>
      <c r="AG5067" s="1115"/>
      <c r="AH5067" s="1115"/>
      <c r="AI5067" s="1115"/>
      <c r="AJ5067" s="1117"/>
      <c r="AK5067" s="1118"/>
      <c r="AL5067" s="1115"/>
      <c r="AM5067" s="1115"/>
      <c r="AN5067" s="1115"/>
      <c r="AO5067" s="1115"/>
      <c r="AP5067" s="1115"/>
      <c r="AQ5067" s="1115"/>
      <c r="AR5067" s="1115"/>
      <c r="AS5067" s="1117"/>
      <c r="AT5067" s="1075"/>
      <c r="AU5067" s="1193"/>
      <c r="AV5067" s="330"/>
      <c r="AW5067" s="331"/>
      <c r="AX5067" s="331"/>
      <c r="AY5067" s="331"/>
      <c r="AZ5067" s="331"/>
      <c r="BA5067" s="331"/>
      <c r="BB5067" s="331"/>
      <c r="BC5067" s="331"/>
      <c r="BD5067" s="331"/>
      <c r="BE5067" s="333"/>
      <c r="BF5067" s="330"/>
      <c r="BG5067" s="333"/>
      <c r="BH5067" s="1119"/>
      <c r="BI5067" s="319"/>
      <c r="BJ5067" s="319"/>
      <c r="BK5067" s="319"/>
      <c r="BL5067" s="319"/>
      <c r="BM5067" s="319"/>
      <c r="BN5067" s="319"/>
      <c r="BO5067" s="319"/>
      <c r="BP5067" s="953"/>
      <c r="BQ5067" s="319"/>
      <c r="BR5067" s="319"/>
      <c r="BS5067" s="330"/>
      <c r="BT5067" s="331"/>
      <c r="BU5067" s="920"/>
      <c r="BV5067" s="903"/>
      <c r="BW5067" s="908"/>
      <c r="BX5067" s="908"/>
      <c r="BY5067" s="331"/>
      <c r="BZ5067" s="331"/>
      <c r="CA5067" s="462"/>
      <c r="CB5067" s="319"/>
      <c r="CC5067" s="319"/>
      <c r="CD5067" s="319"/>
      <c r="CE5067" s="319"/>
      <c r="CF5067" s="319"/>
      <c r="CG5067" s="319"/>
      <c r="CH5067" s="318"/>
      <c r="CI5067" s="319"/>
      <c r="CJ5067" s="319"/>
      <c r="CK5067" s="342"/>
      <c r="CL5067" s="333"/>
      <c r="CM5067" s="1079"/>
      <c r="CN5067" s="1005"/>
      <c r="CO5067" s="1005"/>
      <c r="CP5067" s="1005"/>
    </row>
    <row r="5068">
      <c r="A5068" s="1257"/>
      <c r="B5068" s="1113"/>
      <c r="C5068" s="1107"/>
      <c r="D5068" s="103"/>
      <c r="E5068" s="1137"/>
      <c r="F5068" s="112"/>
      <c r="G5068" s="1110"/>
      <c r="H5068" s="1138"/>
      <c r="I5068" s="1138"/>
      <c r="J5068" s="1139"/>
      <c r="K5068" s="1111"/>
      <c r="L5068" s="1112"/>
      <c r="M5068" s="1113"/>
      <c r="N5068" s="110"/>
      <c r="O5068" s="1140"/>
      <c r="P5068" s="1115"/>
      <c r="Q5068" s="1116"/>
      <c r="R5068" s="1141"/>
      <c r="S5068" s="1113"/>
      <c r="T5068" s="1143"/>
      <c r="U5068" s="1108"/>
      <c r="V5068" s="1108"/>
      <c r="W5068" s="1108"/>
      <c r="X5068" s="1108"/>
      <c r="Y5068" s="1108"/>
      <c r="Z5068" s="1114"/>
      <c r="AA5068" s="1114"/>
      <c r="AB5068" s="1114"/>
      <c r="AC5068" s="1117"/>
      <c r="AD5068" s="1115"/>
      <c r="AE5068" s="1115"/>
      <c r="AF5068" s="1115"/>
      <c r="AG5068" s="1115"/>
      <c r="AH5068" s="1115"/>
      <c r="AI5068" s="1115"/>
      <c r="AJ5068" s="1117"/>
      <c r="AK5068" s="1118"/>
      <c r="AL5068" s="1115"/>
      <c r="AM5068" s="1115"/>
      <c r="AN5068" s="1115"/>
      <c r="AO5068" s="1115"/>
      <c r="AP5068" s="1115"/>
      <c r="AQ5068" s="1115"/>
      <c r="AR5068" s="1115"/>
      <c r="AS5068" s="1117"/>
      <c r="AT5068" s="1075"/>
      <c r="AU5068" s="1193"/>
      <c r="AV5068" s="330"/>
      <c r="AW5068" s="331"/>
      <c r="AX5068" s="331"/>
      <c r="AY5068" s="331"/>
      <c r="AZ5068" s="331"/>
      <c r="BA5068" s="331"/>
      <c r="BB5068" s="331"/>
      <c r="BC5068" s="331"/>
      <c r="BD5068" s="331"/>
      <c r="BE5068" s="333"/>
      <c r="BF5068" s="330"/>
      <c r="BG5068" s="333"/>
      <c r="BH5068" s="1119"/>
      <c r="BI5068" s="319"/>
      <c r="BJ5068" s="319"/>
      <c r="BK5068" s="319"/>
      <c r="BL5068" s="319"/>
      <c r="BM5068" s="319"/>
      <c r="BN5068" s="319"/>
      <c r="BO5068" s="319"/>
      <c r="BP5068" s="953"/>
      <c r="BQ5068" s="319"/>
      <c r="BR5068" s="319"/>
      <c r="BS5068" s="330"/>
      <c r="BT5068" s="331"/>
      <c r="BU5068" s="920"/>
      <c r="BV5068" s="903"/>
      <c r="BW5068" s="908"/>
      <c r="BX5068" s="908"/>
      <c r="BY5068" s="331"/>
      <c r="BZ5068" s="331"/>
      <c r="CA5068" s="462"/>
      <c r="CB5068" s="319"/>
      <c r="CC5068" s="319"/>
      <c r="CD5068" s="319"/>
      <c r="CE5068" s="319"/>
      <c r="CF5068" s="319"/>
      <c r="CG5068" s="319"/>
      <c r="CH5068" s="318"/>
      <c r="CI5068" s="319"/>
      <c r="CJ5068" s="319"/>
      <c r="CK5068" s="342"/>
      <c r="CL5068" s="333"/>
      <c r="CM5068" s="1079"/>
      <c r="CN5068" s="1005"/>
      <c r="CO5068" s="1005"/>
      <c r="CP5068" s="1005"/>
    </row>
    <row r="5069">
      <c r="A5069" s="1257"/>
      <c r="B5069" s="1113"/>
      <c r="C5069" s="1107"/>
      <c r="D5069" s="103"/>
      <c r="E5069" s="1137"/>
      <c r="F5069" s="112"/>
      <c r="G5069" s="1110"/>
      <c r="H5069" s="1138"/>
      <c r="I5069" s="1138"/>
      <c r="J5069" s="1139"/>
      <c r="K5069" s="1111"/>
      <c r="L5069" s="1112"/>
      <c r="M5069" s="1113"/>
      <c r="N5069" s="110"/>
      <c r="O5069" s="1140"/>
      <c r="P5069" s="1115"/>
      <c r="Q5069" s="1116"/>
      <c r="R5069" s="1141"/>
      <c r="S5069" s="1113"/>
      <c r="T5069" s="1143"/>
      <c r="U5069" s="1108"/>
      <c r="V5069" s="1108"/>
      <c r="W5069" s="1108"/>
      <c r="X5069" s="1108"/>
      <c r="Y5069" s="1108"/>
      <c r="Z5069" s="1114"/>
      <c r="AA5069" s="1114"/>
      <c r="AB5069" s="1114"/>
      <c r="AC5069" s="1117"/>
      <c r="AD5069" s="1115"/>
      <c r="AE5069" s="1115"/>
      <c r="AF5069" s="1115"/>
      <c r="AG5069" s="1115"/>
      <c r="AH5069" s="1115"/>
      <c r="AI5069" s="1115"/>
      <c r="AJ5069" s="1117"/>
      <c r="AK5069" s="1118"/>
      <c r="AL5069" s="1115"/>
      <c r="AM5069" s="1115"/>
      <c r="AN5069" s="1115"/>
      <c r="AO5069" s="1115"/>
      <c r="AP5069" s="1115"/>
      <c r="AQ5069" s="1115"/>
      <c r="AR5069" s="1115"/>
      <c r="AS5069" s="1117"/>
      <c r="AT5069" s="1075"/>
      <c r="AU5069" s="1193"/>
      <c r="AV5069" s="330"/>
      <c r="AW5069" s="331"/>
      <c r="AX5069" s="331"/>
      <c r="AY5069" s="331"/>
      <c r="AZ5069" s="331"/>
      <c r="BA5069" s="331"/>
      <c r="BB5069" s="331"/>
      <c r="BC5069" s="331"/>
      <c r="BD5069" s="331"/>
      <c r="BE5069" s="333"/>
      <c r="BF5069" s="330"/>
      <c r="BG5069" s="333"/>
      <c r="BH5069" s="1119"/>
      <c r="BI5069" s="319"/>
      <c r="BJ5069" s="319"/>
      <c r="BK5069" s="319"/>
      <c r="BL5069" s="319"/>
      <c r="BM5069" s="319"/>
      <c r="BN5069" s="319"/>
      <c r="BO5069" s="319"/>
      <c r="BP5069" s="953"/>
      <c r="BQ5069" s="319"/>
      <c r="BR5069" s="319"/>
      <c r="BS5069" s="330"/>
      <c r="BT5069" s="331"/>
      <c r="BU5069" s="920"/>
      <c r="BV5069" s="903"/>
      <c r="BW5069" s="908"/>
      <c r="BX5069" s="908"/>
      <c r="BY5069" s="331"/>
      <c r="BZ5069" s="331"/>
      <c r="CA5069" s="462"/>
      <c r="CB5069" s="319"/>
      <c r="CC5069" s="319"/>
      <c r="CD5069" s="319"/>
      <c r="CE5069" s="319"/>
      <c r="CF5069" s="319"/>
      <c r="CG5069" s="319"/>
      <c r="CH5069" s="318"/>
      <c r="CI5069" s="319"/>
      <c r="CJ5069" s="319"/>
      <c r="CK5069" s="342"/>
      <c r="CL5069" s="333"/>
      <c r="CM5069" s="1079"/>
      <c r="CN5069" s="1005"/>
      <c r="CO5069" s="1005"/>
      <c r="CP5069" s="1005"/>
    </row>
    <row r="5070">
      <c r="A5070" s="1257"/>
      <c r="B5070" s="1113"/>
      <c r="C5070" s="1107"/>
      <c r="D5070" s="103"/>
      <c r="E5070" s="1137"/>
      <c r="F5070" s="112"/>
      <c r="G5070" s="1110"/>
      <c r="H5070" s="1138"/>
      <c r="I5070" s="1138"/>
      <c r="J5070" s="1139"/>
      <c r="K5070" s="1111"/>
      <c r="L5070" s="1112"/>
      <c r="M5070" s="1113"/>
      <c r="N5070" s="110"/>
      <c r="O5070" s="1140"/>
      <c r="P5070" s="1115"/>
      <c r="Q5070" s="1116"/>
      <c r="R5070" s="1141"/>
      <c r="S5070" s="1113"/>
      <c r="T5070" s="1143"/>
      <c r="U5070" s="1108"/>
      <c r="V5070" s="1108"/>
      <c r="W5070" s="1108"/>
      <c r="X5070" s="1108"/>
      <c r="Y5070" s="1108"/>
      <c r="Z5070" s="1114"/>
      <c r="AA5070" s="1114"/>
      <c r="AB5070" s="1114"/>
      <c r="AC5070" s="1117"/>
      <c r="AD5070" s="1115"/>
      <c r="AE5070" s="1115"/>
      <c r="AF5070" s="1115"/>
      <c r="AG5070" s="1115"/>
      <c r="AH5070" s="1115"/>
      <c r="AI5070" s="1115"/>
      <c r="AJ5070" s="1117"/>
      <c r="AK5070" s="1118"/>
      <c r="AL5070" s="1115"/>
      <c r="AM5070" s="1115"/>
      <c r="AN5070" s="1115"/>
      <c r="AO5070" s="1115"/>
      <c r="AP5070" s="1115"/>
      <c r="AQ5070" s="1115"/>
      <c r="AR5070" s="1115"/>
      <c r="AS5070" s="1117"/>
      <c r="AT5070" s="1075"/>
      <c r="AU5070" s="1193"/>
      <c r="AV5070" s="330"/>
      <c r="AW5070" s="331"/>
      <c r="AX5070" s="331"/>
      <c r="AY5070" s="331"/>
      <c r="AZ5070" s="331"/>
      <c r="BA5070" s="331"/>
      <c r="BB5070" s="331"/>
      <c r="BC5070" s="331"/>
      <c r="BD5070" s="331"/>
      <c r="BE5070" s="333"/>
      <c r="BF5070" s="330"/>
      <c r="BG5070" s="333"/>
      <c r="BH5070" s="1119"/>
      <c r="BI5070" s="319"/>
      <c r="BJ5070" s="319"/>
      <c r="BK5070" s="319"/>
      <c r="BL5070" s="319"/>
      <c r="BM5070" s="319"/>
      <c r="BN5070" s="319"/>
      <c r="BO5070" s="319"/>
      <c r="BP5070" s="953"/>
      <c r="BQ5070" s="319"/>
      <c r="BR5070" s="319"/>
      <c r="BS5070" s="330"/>
      <c r="BT5070" s="331"/>
      <c r="BU5070" s="920"/>
      <c r="BV5070" s="903"/>
      <c r="BW5070" s="908"/>
      <c r="BX5070" s="908"/>
      <c r="BY5070" s="331"/>
      <c r="BZ5070" s="331"/>
      <c r="CA5070" s="462"/>
      <c r="CB5070" s="319"/>
      <c r="CC5070" s="319"/>
      <c r="CD5070" s="319"/>
      <c r="CE5070" s="319"/>
      <c r="CF5070" s="319"/>
      <c r="CG5070" s="319"/>
      <c r="CH5070" s="318"/>
      <c r="CI5070" s="319"/>
      <c r="CJ5070" s="319"/>
      <c r="CK5070" s="342"/>
      <c r="CL5070" s="333"/>
      <c r="CM5070" s="1079"/>
      <c r="CN5070" s="1005"/>
      <c r="CO5070" s="1005"/>
      <c r="CP5070" s="1005"/>
    </row>
    <row r="5071">
      <c r="A5071" s="1257"/>
      <c r="B5071" s="1113"/>
      <c r="C5071" s="1107"/>
      <c r="D5071" s="103"/>
      <c r="E5071" s="1137"/>
      <c r="F5071" s="112"/>
      <c r="G5071" s="1110"/>
      <c r="H5071" s="1138"/>
      <c r="I5071" s="1138"/>
      <c r="J5071" s="1139"/>
      <c r="K5071" s="1111"/>
      <c r="L5071" s="1112"/>
      <c r="M5071" s="1113"/>
      <c r="N5071" s="110"/>
      <c r="O5071" s="1140"/>
      <c r="P5071" s="1115"/>
      <c r="Q5071" s="1116"/>
      <c r="R5071" s="1141"/>
      <c r="S5071" s="1113"/>
      <c r="T5071" s="1143"/>
      <c r="U5071" s="1108"/>
      <c r="V5071" s="1108"/>
      <c r="W5071" s="1108"/>
      <c r="X5071" s="1108"/>
      <c r="Y5071" s="1108"/>
      <c r="Z5071" s="1114"/>
      <c r="AA5071" s="1114"/>
      <c r="AB5071" s="1114"/>
      <c r="AC5071" s="1117"/>
      <c r="AD5071" s="1115"/>
      <c r="AE5071" s="1115"/>
      <c r="AF5071" s="1115"/>
      <c r="AG5071" s="1115"/>
      <c r="AH5071" s="1115"/>
      <c r="AI5071" s="1115"/>
      <c r="AJ5071" s="1117"/>
      <c r="AK5071" s="1118"/>
      <c r="AL5071" s="1115"/>
      <c r="AM5071" s="1115"/>
      <c r="AN5071" s="1115"/>
      <c r="AO5071" s="1115"/>
      <c r="AP5071" s="1115"/>
      <c r="AQ5071" s="1115"/>
      <c r="AR5071" s="1115"/>
      <c r="AS5071" s="1117"/>
      <c r="AT5071" s="1075"/>
      <c r="AU5071" s="1193"/>
      <c r="AV5071" s="330"/>
      <c r="AW5071" s="331"/>
      <c r="AX5071" s="331"/>
      <c r="AY5071" s="331"/>
      <c r="AZ5071" s="331"/>
      <c r="BA5071" s="331"/>
      <c r="BB5071" s="331"/>
      <c r="BC5071" s="331"/>
      <c r="BD5071" s="331"/>
      <c r="BE5071" s="333"/>
      <c r="BF5071" s="330"/>
      <c r="BG5071" s="333"/>
      <c r="BH5071" s="1119"/>
      <c r="BI5071" s="319"/>
      <c r="BJ5071" s="319"/>
      <c r="BK5071" s="319"/>
      <c r="BL5071" s="319"/>
      <c r="BM5071" s="319"/>
      <c r="BN5071" s="319"/>
      <c r="BO5071" s="319"/>
      <c r="BP5071" s="953"/>
      <c r="BQ5071" s="319"/>
      <c r="BR5071" s="319"/>
      <c r="BS5071" s="330"/>
      <c r="BT5071" s="331"/>
      <c r="BU5071" s="920"/>
      <c r="BV5071" s="903"/>
      <c r="BW5071" s="908"/>
      <c r="BX5071" s="908"/>
      <c r="BY5071" s="331"/>
      <c r="BZ5071" s="331"/>
      <c r="CA5071" s="462"/>
      <c r="CB5071" s="319"/>
      <c r="CC5071" s="319"/>
      <c r="CD5071" s="319"/>
      <c r="CE5071" s="319"/>
      <c r="CF5071" s="319"/>
      <c r="CG5071" s="319"/>
      <c r="CH5071" s="318"/>
      <c r="CI5071" s="319"/>
      <c r="CJ5071" s="319"/>
      <c r="CK5071" s="342"/>
      <c r="CL5071" s="333"/>
      <c r="CM5071" s="1079"/>
      <c r="CN5071" s="1005"/>
      <c r="CO5071" s="1005"/>
      <c r="CP5071" s="1005"/>
    </row>
    <row r="5072">
      <c r="A5072" s="1257"/>
      <c r="B5072" s="1113"/>
      <c r="C5072" s="1107"/>
      <c r="D5072" s="103"/>
      <c r="E5072" s="1137"/>
      <c r="F5072" s="112"/>
      <c r="G5072" s="1110"/>
      <c r="H5072" s="1138"/>
      <c r="I5072" s="1138"/>
      <c r="J5072" s="1139"/>
      <c r="K5072" s="1111"/>
      <c r="L5072" s="1112"/>
      <c r="M5072" s="1113"/>
      <c r="N5072" s="110"/>
      <c r="O5072" s="1140"/>
      <c r="P5072" s="1115"/>
      <c r="Q5072" s="1116"/>
      <c r="R5072" s="1141"/>
      <c r="S5072" s="1113"/>
      <c r="T5072" s="1143"/>
      <c r="U5072" s="1108"/>
      <c r="V5072" s="1108"/>
      <c r="W5072" s="1108"/>
      <c r="X5072" s="1108"/>
      <c r="Y5072" s="1108"/>
      <c r="Z5072" s="1114"/>
      <c r="AA5072" s="1114"/>
      <c r="AB5072" s="1114"/>
      <c r="AC5072" s="1117"/>
      <c r="AD5072" s="1115"/>
      <c r="AE5072" s="1115"/>
      <c r="AF5072" s="1115"/>
      <c r="AG5072" s="1115"/>
      <c r="AH5072" s="1115"/>
      <c r="AI5072" s="1115"/>
      <c r="AJ5072" s="1117"/>
      <c r="AK5072" s="1118"/>
      <c r="AL5072" s="1115"/>
      <c r="AM5072" s="1115"/>
      <c r="AN5072" s="1115"/>
      <c r="AO5072" s="1115"/>
      <c r="AP5072" s="1115"/>
      <c r="AQ5072" s="1115"/>
      <c r="AR5072" s="1115"/>
      <c r="AS5072" s="1117"/>
      <c r="AT5072" s="1075"/>
      <c r="AU5072" s="1193"/>
      <c r="AV5072" s="330"/>
      <c r="AW5072" s="331"/>
      <c r="AX5072" s="331"/>
      <c r="AY5072" s="331"/>
      <c r="AZ5072" s="331"/>
      <c r="BA5072" s="331"/>
      <c r="BB5072" s="331"/>
      <c r="BC5072" s="331"/>
      <c r="BD5072" s="331"/>
      <c r="BE5072" s="333"/>
      <c r="BF5072" s="330"/>
      <c r="BG5072" s="333"/>
      <c r="BH5072" s="1119"/>
      <c r="BI5072" s="319"/>
      <c r="BJ5072" s="319"/>
      <c r="BK5072" s="319"/>
      <c r="BL5072" s="319"/>
      <c r="BM5072" s="319"/>
      <c r="BN5072" s="319"/>
      <c r="BO5072" s="319"/>
      <c r="BP5072" s="953"/>
      <c r="BQ5072" s="319"/>
      <c r="BR5072" s="319"/>
      <c r="BS5072" s="330"/>
      <c r="BT5072" s="331"/>
      <c r="BU5072" s="920"/>
      <c r="BV5072" s="903"/>
      <c r="BW5072" s="908"/>
      <c r="BX5072" s="908"/>
      <c r="BY5072" s="331"/>
      <c r="BZ5072" s="331"/>
      <c r="CA5072" s="462"/>
      <c r="CB5072" s="319"/>
      <c r="CC5072" s="319"/>
      <c r="CD5072" s="319"/>
      <c r="CE5072" s="319"/>
      <c r="CF5072" s="319"/>
      <c r="CG5072" s="319"/>
      <c r="CH5072" s="318"/>
      <c r="CI5072" s="319"/>
      <c r="CJ5072" s="319"/>
      <c r="CK5072" s="342"/>
      <c r="CL5072" s="333"/>
      <c r="CM5072" s="1079"/>
      <c r="CN5072" s="1005"/>
      <c r="CO5072" s="1005"/>
      <c r="CP5072" s="1005"/>
    </row>
    <row r="5073">
      <c r="A5073" s="1257"/>
      <c r="B5073" s="1113"/>
      <c r="C5073" s="1107"/>
      <c r="D5073" s="103"/>
      <c r="E5073" s="1137"/>
      <c r="F5073" s="112"/>
      <c r="G5073" s="1110"/>
      <c r="H5073" s="1138"/>
      <c r="I5073" s="1138"/>
      <c r="J5073" s="1139"/>
      <c r="K5073" s="1111"/>
      <c r="L5073" s="1112"/>
      <c r="M5073" s="1113"/>
      <c r="N5073" s="110"/>
      <c r="O5073" s="1140"/>
      <c r="P5073" s="1115"/>
      <c r="Q5073" s="1116"/>
      <c r="R5073" s="1141"/>
      <c r="S5073" s="1113"/>
      <c r="T5073" s="1143"/>
      <c r="U5073" s="1108"/>
      <c r="V5073" s="1108"/>
      <c r="W5073" s="1108"/>
      <c r="X5073" s="1108"/>
      <c r="Y5073" s="1108"/>
      <c r="Z5073" s="1114"/>
      <c r="AA5073" s="1114"/>
      <c r="AB5073" s="1114"/>
      <c r="AC5073" s="1117"/>
      <c r="AD5073" s="1115"/>
      <c r="AE5073" s="1115"/>
      <c r="AF5073" s="1115"/>
      <c r="AG5073" s="1115"/>
      <c r="AH5073" s="1115"/>
      <c r="AI5073" s="1115"/>
      <c r="AJ5073" s="1117"/>
      <c r="AK5073" s="1118"/>
      <c r="AL5073" s="1115"/>
      <c r="AM5073" s="1115"/>
      <c r="AN5073" s="1115"/>
      <c r="AO5073" s="1115"/>
      <c r="AP5073" s="1115"/>
      <c r="AQ5073" s="1115"/>
      <c r="AR5073" s="1115"/>
      <c r="AS5073" s="1117"/>
      <c r="AT5073" s="1075"/>
      <c r="AU5073" s="1193"/>
      <c r="AV5073" s="330"/>
      <c r="AW5073" s="331"/>
      <c r="AX5073" s="331"/>
      <c r="AY5073" s="331"/>
      <c r="AZ5073" s="331"/>
      <c r="BA5073" s="331"/>
      <c r="BB5073" s="331"/>
      <c r="BC5073" s="331"/>
      <c r="BD5073" s="331"/>
      <c r="BE5073" s="333"/>
      <c r="BF5073" s="330"/>
      <c r="BG5073" s="333"/>
      <c r="BH5073" s="1119"/>
      <c r="BI5073" s="319"/>
      <c r="BJ5073" s="319"/>
      <c r="BK5073" s="319"/>
      <c r="BL5073" s="319"/>
      <c r="BM5073" s="319"/>
      <c r="BN5073" s="319"/>
      <c r="BO5073" s="319"/>
      <c r="BP5073" s="953"/>
      <c r="BQ5073" s="319"/>
      <c r="BR5073" s="319"/>
      <c r="BS5073" s="330"/>
      <c r="BT5073" s="331"/>
      <c r="BU5073" s="920"/>
      <c r="BV5073" s="903"/>
      <c r="BW5073" s="908"/>
      <c r="BX5073" s="908"/>
      <c r="BY5073" s="331"/>
      <c r="BZ5073" s="331"/>
      <c r="CA5073" s="462"/>
      <c r="CB5073" s="319"/>
      <c r="CC5073" s="319"/>
      <c r="CD5073" s="319"/>
      <c r="CE5073" s="319"/>
      <c r="CF5073" s="319"/>
      <c r="CG5073" s="319"/>
      <c r="CH5073" s="318"/>
      <c r="CI5073" s="319"/>
      <c r="CJ5073" s="319"/>
      <c r="CK5073" s="342"/>
      <c r="CL5073" s="333"/>
      <c r="CM5073" s="1079"/>
      <c r="CN5073" s="1005"/>
      <c r="CO5073" s="1005"/>
      <c r="CP5073" s="1005"/>
    </row>
    <row r="5074">
      <c r="A5074" s="1257"/>
      <c r="B5074" s="1113"/>
      <c r="C5074" s="1107"/>
      <c r="D5074" s="103"/>
      <c r="E5074" s="1137"/>
      <c r="F5074" s="112"/>
      <c r="G5074" s="1110"/>
      <c r="H5074" s="1138"/>
      <c r="I5074" s="1138"/>
      <c r="J5074" s="1139"/>
      <c r="K5074" s="1111"/>
      <c r="L5074" s="1112"/>
      <c r="M5074" s="1113"/>
      <c r="N5074" s="110"/>
      <c r="O5074" s="1140"/>
      <c r="P5074" s="1115"/>
      <c r="Q5074" s="1116"/>
      <c r="R5074" s="1141"/>
      <c r="S5074" s="1113"/>
      <c r="T5074" s="1143"/>
      <c r="U5074" s="1108"/>
      <c r="V5074" s="1108"/>
      <c r="W5074" s="1108"/>
      <c r="X5074" s="1108"/>
      <c r="Y5074" s="1108"/>
      <c r="Z5074" s="1114"/>
      <c r="AA5074" s="1114"/>
      <c r="AB5074" s="1114"/>
      <c r="AC5074" s="1117"/>
      <c r="AD5074" s="1115"/>
      <c r="AE5074" s="1115"/>
      <c r="AF5074" s="1115"/>
      <c r="AG5074" s="1115"/>
      <c r="AH5074" s="1115"/>
      <c r="AI5074" s="1115"/>
      <c r="AJ5074" s="1117"/>
      <c r="AK5074" s="1118"/>
      <c r="AL5074" s="1115"/>
      <c r="AM5074" s="1115"/>
      <c r="AN5074" s="1115"/>
      <c r="AO5074" s="1115"/>
      <c r="AP5074" s="1115"/>
      <c r="AQ5074" s="1115"/>
      <c r="AR5074" s="1115"/>
      <c r="AS5074" s="1117"/>
      <c r="AT5074" s="1075"/>
      <c r="AU5074" s="1193"/>
      <c r="AV5074" s="330"/>
      <c r="AW5074" s="331"/>
      <c r="AX5074" s="331"/>
      <c r="AY5074" s="331"/>
      <c r="AZ5074" s="331"/>
      <c r="BA5074" s="331"/>
      <c r="BB5074" s="331"/>
      <c r="BC5074" s="331"/>
      <c r="BD5074" s="331"/>
      <c r="BE5074" s="333"/>
      <c r="BF5074" s="330"/>
      <c r="BG5074" s="333"/>
      <c r="BH5074" s="1119"/>
      <c r="BI5074" s="319"/>
      <c r="BJ5074" s="319"/>
      <c r="BK5074" s="319"/>
      <c r="BL5074" s="319"/>
      <c r="BM5074" s="319"/>
      <c r="BN5074" s="319"/>
      <c r="BO5074" s="319"/>
      <c r="BP5074" s="953"/>
      <c r="BQ5074" s="319"/>
      <c r="BR5074" s="319"/>
      <c r="BS5074" s="330"/>
      <c r="BT5074" s="331"/>
      <c r="BU5074" s="920"/>
      <c r="BV5074" s="903"/>
      <c r="BW5074" s="908"/>
      <c r="BX5074" s="908"/>
      <c r="BY5074" s="331"/>
      <c r="BZ5074" s="331"/>
      <c r="CA5074" s="462"/>
      <c r="CB5074" s="319"/>
      <c r="CC5074" s="319"/>
      <c r="CD5074" s="319"/>
      <c r="CE5074" s="319"/>
      <c r="CF5074" s="319"/>
      <c r="CG5074" s="319"/>
      <c r="CH5074" s="318"/>
      <c r="CI5074" s="319"/>
      <c r="CJ5074" s="319"/>
      <c r="CK5074" s="342"/>
      <c r="CL5074" s="333"/>
      <c r="CM5074" s="1079"/>
      <c r="CN5074" s="1005"/>
      <c r="CO5074" s="1005"/>
      <c r="CP5074" s="1005"/>
    </row>
    <row r="5075">
      <c r="A5075" s="1257"/>
      <c r="B5075" s="1113"/>
      <c r="C5075" s="1107"/>
      <c r="D5075" s="103"/>
      <c r="E5075" s="1137"/>
      <c r="F5075" s="112"/>
      <c r="G5075" s="1110"/>
      <c r="H5075" s="1138"/>
      <c r="I5075" s="1138"/>
      <c r="J5075" s="1139"/>
      <c r="K5075" s="1111"/>
      <c r="L5075" s="1112"/>
      <c r="M5075" s="1113"/>
      <c r="N5075" s="110"/>
      <c r="O5075" s="1140"/>
      <c r="P5075" s="1115"/>
      <c r="Q5075" s="1116"/>
      <c r="R5075" s="1141"/>
      <c r="S5075" s="1113"/>
      <c r="T5075" s="1143"/>
      <c r="U5075" s="1108"/>
      <c r="V5075" s="1108"/>
      <c r="W5075" s="1108"/>
      <c r="X5075" s="1108"/>
      <c r="Y5075" s="1108"/>
      <c r="Z5075" s="1114"/>
      <c r="AA5075" s="1114"/>
      <c r="AB5075" s="1114"/>
      <c r="AC5075" s="1117"/>
      <c r="AD5075" s="1115"/>
      <c r="AE5075" s="1115"/>
      <c r="AF5075" s="1115"/>
      <c r="AG5075" s="1115"/>
      <c r="AH5075" s="1115"/>
      <c r="AI5075" s="1115"/>
      <c r="AJ5075" s="1117"/>
      <c r="AK5075" s="1118"/>
      <c r="AL5075" s="1115"/>
      <c r="AM5075" s="1115"/>
      <c r="AN5075" s="1115"/>
      <c r="AO5075" s="1115"/>
      <c r="AP5075" s="1115"/>
      <c r="AQ5075" s="1115"/>
      <c r="AR5075" s="1115"/>
      <c r="AS5075" s="1117"/>
      <c r="AT5075" s="1075"/>
      <c r="AU5075" s="1193"/>
      <c r="AV5075" s="330"/>
      <c r="AW5075" s="331"/>
      <c r="AX5075" s="331"/>
      <c r="AY5075" s="331"/>
      <c r="AZ5075" s="331"/>
      <c r="BA5075" s="331"/>
      <c r="BB5075" s="331"/>
      <c r="BC5075" s="331"/>
      <c r="BD5075" s="331"/>
      <c r="BE5075" s="333"/>
      <c r="BF5075" s="330"/>
      <c r="BG5075" s="333"/>
      <c r="BH5075" s="1119"/>
      <c r="BI5075" s="319"/>
      <c r="BJ5075" s="319"/>
      <c r="BK5075" s="319"/>
      <c r="BL5075" s="319"/>
      <c r="BM5075" s="319"/>
      <c r="BN5075" s="319"/>
      <c r="BO5075" s="319"/>
      <c r="BP5075" s="953"/>
      <c r="BQ5075" s="319"/>
      <c r="BR5075" s="319"/>
      <c r="BS5075" s="330"/>
      <c r="BT5075" s="331"/>
      <c r="BU5075" s="920"/>
      <c r="BV5075" s="903"/>
      <c r="BW5075" s="908"/>
      <c r="BX5075" s="908"/>
      <c r="BY5075" s="331"/>
      <c r="BZ5075" s="331"/>
      <c r="CA5075" s="462"/>
      <c r="CB5075" s="319"/>
      <c r="CC5075" s="319"/>
      <c r="CD5075" s="319"/>
      <c r="CE5075" s="319"/>
      <c r="CF5075" s="319"/>
      <c r="CG5075" s="319"/>
      <c r="CH5075" s="318"/>
      <c r="CI5075" s="319"/>
      <c r="CJ5075" s="319"/>
      <c r="CK5075" s="342"/>
      <c r="CL5075" s="333"/>
      <c r="CM5075" s="1079"/>
      <c r="CN5075" s="1005"/>
      <c r="CO5075" s="1005"/>
      <c r="CP5075" s="1005"/>
    </row>
    <row r="5076">
      <c r="A5076" s="1257"/>
      <c r="B5076" s="1113"/>
      <c r="C5076" s="1107"/>
      <c r="D5076" s="103"/>
      <c r="E5076" s="1137"/>
      <c r="F5076" s="112"/>
      <c r="G5076" s="1110"/>
      <c r="H5076" s="1138"/>
      <c r="I5076" s="1138"/>
      <c r="J5076" s="1139"/>
      <c r="K5076" s="1111"/>
      <c r="L5076" s="1112"/>
      <c r="M5076" s="1113"/>
      <c r="N5076" s="110"/>
      <c r="O5076" s="1140"/>
      <c r="P5076" s="1115"/>
      <c r="Q5076" s="1116"/>
      <c r="R5076" s="1141"/>
      <c r="S5076" s="1113"/>
      <c r="T5076" s="1143"/>
      <c r="U5076" s="1108"/>
      <c r="V5076" s="1108"/>
      <c r="W5076" s="1108"/>
      <c r="X5076" s="1108"/>
      <c r="Y5076" s="1108"/>
      <c r="Z5076" s="1114"/>
      <c r="AA5076" s="1114"/>
      <c r="AB5076" s="1114"/>
      <c r="AC5076" s="1117"/>
      <c r="AD5076" s="1115"/>
      <c r="AE5076" s="1115"/>
      <c r="AF5076" s="1115"/>
      <c r="AG5076" s="1115"/>
      <c r="AH5076" s="1115"/>
      <c r="AI5076" s="1115"/>
      <c r="AJ5076" s="1117"/>
      <c r="AK5076" s="1118"/>
      <c r="AL5076" s="1115"/>
      <c r="AM5076" s="1115"/>
      <c r="AN5076" s="1115"/>
      <c r="AO5076" s="1115"/>
      <c r="AP5076" s="1115"/>
      <c r="AQ5076" s="1115"/>
      <c r="AR5076" s="1115"/>
      <c r="AS5076" s="1117"/>
      <c r="AT5076" s="1075"/>
      <c r="AU5076" s="1193"/>
      <c r="AV5076" s="330"/>
      <c r="AW5076" s="331"/>
      <c r="AX5076" s="331"/>
      <c r="AY5076" s="331"/>
      <c r="AZ5076" s="331"/>
      <c r="BA5076" s="331"/>
      <c r="BB5076" s="331"/>
      <c r="BC5076" s="331"/>
      <c r="BD5076" s="331"/>
      <c r="BE5076" s="333"/>
      <c r="BF5076" s="330"/>
      <c r="BG5076" s="333"/>
      <c r="BH5076" s="1119"/>
      <c r="BI5076" s="319"/>
      <c r="BJ5076" s="319"/>
      <c r="BK5076" s="319"/>
      <c r="BL5076" s="319"/>
      <c r="BM5076" s="319"/>
      <c r="BN5076" s="319"/>
      <c r="BO5076" s="319"/>
      <c r="BP5076" s="953"/>
      <c r="BQ5076" s="319"/>
      <c r="BR5076" s="319"/>
      <c r="BS5076" s="330"/>
      <c r="BT5076" s="331"/>
      <c r="BU5076" s="920"/>
      <c r="BV5076" s="903"/>
      <c r="BW5076" s="908"/>
      <c r="BX5076" s="908"/>
      <c r="BY5076" s="331"/>
      <c r="BZ5076" s="331"/>
      <c r="CA5076" s="462"/>
      <c r="CB5076" s="319"/>
      <c r="CC5076" s="319"/>
      <c r="CD5076" s="319"/>
      <c r="CE5076" s="319"/>
      <c r="CF5076" s="319"/>
      <c r="CG5076" s="319"/>
      <c r="CH5076" s="318"/>
      <c r="CI5076" s="319"/>
      <c r="CJ5076" s="319"/>
      <c r="CK5076" s="342"/>
      <c r="CL5076" s="333"/>
      <c r="CM5076" s="1079"/>
      <c r="CN5076" s="1005"/>
      <c r="CO5076" s="1005"/>
      <c r="CP5076" s="1005"/>
    </row>
    <row r="5077">
      <c r="A5077" s="1257"/>
      <c r="B5077" s="1113"/>
      <c r="C5077" s="1107"/>
      <c r="D5077" s="103"/>
      <c r="E5077" s="1137"/>
      <c r="F5077" s="112"/>
      <c r="G5077" s="1110"/>
      <c r="H5077" s="1138"/>
      <c r="I5077" s="1138"/>
      <c r="J5077" s="1139"/>
      <c r="K5077" s="1111"/>
      <c r="L5077" s="1112"/>
      <c r="M5077" s="1113"/>
      <c r="N5077" s="110"/>
      <c r="O5077" s="1140"/>
      <c r="P5077" s="1115"/>
      <c r="Q5077" s="1116"/>
      <c r="R5077" s="1141"/>
      <c r="S5077" s="1113"/>
      <c r="T5077" s="1143"/>
      <c r="U5077" s="1108"/>
      <c r="V5077" s="1108"/>
      <c r="W5077" s="1108"/>
      <c r="X5077" s="1108"/>
      <c r="Y5077" s="1108"/>
      <c r="Z5077" s="1114"/>
      <c r="AA5077" s="1114"/>
      <c r="AB5077" s="1114"/>
      <c r="AC5077" s="1117"/>
      <c r="AD5077" s="1115"/>
      <c r="AE5077" s="1115"/>
      <c r="AF5077" s="1115"/>
      <c r="AG5077" s="1115"/>
      <c r="AH5077" s="1115"/>
      <c r="AI5077" s="1115"/>
      <c r="AJ5077" s="1117"/>
      <c r="AK5077" s="1118"/>
      <c r="AL5077" s="1115"/>
      <c r="AM5077" s="1115"/>
      <c r="AN5077" s="1115"/>
      <c r="AO5077" s="1115"/>
      <c r="AP5077" s="1115"/>
      <c r="AQ5077" s="1115"/>
      <c r="AR5077" s="1115"/>
      <c r="AS5077" s="1117"/>
      <c r="AT5077" s="1075"/>
      <c r="AU5077" s="1193"/>
      <c r="AV5077" s="330"/>
      <c r="AW5077" s="331"/>
      <c r="AX5077" s="331"/>
      <c r="AY5077" s="331"/>
      <c r="AZ5077" s="331"/>
      <c r="BA5077" s="331"/>
      <c r="BB5077" s="331"/>
      <c r="BC5077" s="331"/>
      <c r="BD5077" s="331"/>
      <c r="BE5077" s="333"/>
      <c r="BF5077" s="330"/>
      <c r="BG5077" s="333"/>
      <c r="BH5077" s="1119"/>
      <c r="BI5077" s="319"/>
      <c r="BJ5077" s="319"/>
      <c r="BK5077" s="319"/>
      <c r="BL5077" s="319"/>
      <c r="BM5077" s="319"/>
      <c r="BN5077" s="319"/>
      <c r="BO5077" s="319"/>
      <c r="BP5077" s="953"/>
      <c r="BQ5077" s="319"/>
      <c r="BR5077" s="319"/>
      <c r="BS5077" s="330"/>
      <c r="BT5077" s="331"/>
      <c r="BU5077" s="920"/>
      <c r="BV5077" s="903"/>
      <c r="BW5077" s="908"/>
      <c r="BX5077" s="908"/>
      <c r="BY5077" s="331"/>
      <c r="BZ5077" s="331"/>
      <c r="CA5077" s="462"/>
      <c r="CB5077" s="319"/>
      <c r="CC5077" s="319"/>
      <c r="CD5077" s="319"/>
      <c r="CE5077" s="319"/>
      <c r="CF5077" s="319"/>
      <c r="CG5077" s="319"/>
      <c r="CH5077" s="318"/>
      <c r="CI5077" s="319"/>
      <c r="CJ5077" s="319"/>
      <c r="CK5077" s="342"/>
      <c r="CL5077" s="333"/>
      <c r="CM5077" s="1079"/>
      <c r="CN5077" s="1005"/>
      <c r="CO5077" s="1005"/>
      <c r="CP5077" s="1005"/>
    </row>
    <row r="5078">
      <c r="A5078" s="1257"/>
      <c r="B5078" s="1113"/>
      <c r="C5078" s="1107"/>
      <c r="D5078" s="103"/>
      <c r="E5078" s="1137"/>
      <c r="F5078" s="112"/>
      <c r="G5078" s="1110"/>
      <c r="H5078" s="1138"/>
      <c r="I5078" s="1138"/>
      <c r="J5078" s="1139"/>
      <c r="K5078" s="1111"/>
      <c r="L5078" s="1112"/>
      <c r="M5078" s="1113"/>
      <c r="N5078" s="110"/>
      <c r="O5078" s="1140"/>
      <c r="P5078" s="1115"/>
      <c r="Q5078" s="1116"/>
      <c r="R5078" s="1141"/>
      <c r="S5078" s="1113"/>
      <c r="T5078" s="1143"/>
      <c r="U5078" s="1108"/>
      <c r="V5078" s="1108"/>
      <c r="W5078" s="1108"/>
      <c r="X5078" s="1108"/>
      <c r="Y5078" s="1108"/>
      <c r="Z5078" s="1114"/>
      <c r="AA5078" s="1114"/>
      <c r="AB5078" s="1114"/>
      <c r="AC5078" s="1117"/>
      <c r="AD5078" s="1115"/>
      <c r="AE5078" s="1115"/>
      <c r="AF5078" s="1115"/>
      <c r="AG5078" s="1115"/>
      <c r="AH5078" s="1115"/>
      <c r="AI5078" s="1115"/>
      <c r="AJ5078" s="1117"/>
      <c r="AK5078" s="1118"/>
      <c r="AL5078" s="1115"/>
      <c r="AM5078" s="1115"/>
      <c r="AN5078" s="1115"/>
      <c r="AO5078" s="1115"/>
      <c r="AP5078" s="1115"/>
      <c r="AQ5078" s="1115"/>
      <c r="AR5078" s="1115"/>
      <c r="AS5078" s="1117"/>
      <c r="AT5078" s="1075"/>
      <c r="AU5078" s="1193"/>
      <c r="AV5078" s="330"/>
      <c r="AW5078" s="331"/>
      <c r="AX5078" s="331"/>
      <c r="AY5078" s="331"/>
      <c r="AZ5078" s="331"/>
      <c r="BA5078" s="331"/>
      <c r="BB5078" s="331"/>
      <c r="BC5078" s="331"/>
      <c r="BD5078" s="331"/>
      <c r="BE5078" s="333"/>
      <c r="BF5078" s="330"/>
      <c r="BG5078" s="333"/>
      <c r="BH5078" s="1119"/>
      <c r="BI5078" s="319"/>
      <c r="BJ5078" s="319"/>
      <c r="BK5078" s="319"/>
      <c r="BL5078" s="319"/>
      <c r="BM5078" s="319"/>
      <c r="BN5078" s="319"/>
      <c r="BO5078" s="319"/>
      <c r="BP5078" s="953"/>
      <c r="BQ5078" s="319"/>
      <c r="BR5078" s="319"/>
      <c r="BS5078" s="330"/>
      <c r="BT5078" s="331"/>
      <c r="BU5078" s="920"/>
      <c r="BV5078" s="903"/>
      <c r="BW5078" s="908"/>
      <c r="BX5078" s="908"/>
      <c r="BY5078" s="331"/>
      <c r="BZ5078" s="331"/>
      <c r="CA5078" s="462"/>
      <c r="CB5078" s="319"/>
      <c r="CC5078" s="319"/>
      <c r="CD5078" s="319"/>
      <c r="CE5078" s="319"/>
      <c r="CF5078" s="319"/>
      <c r="CG5078" s="319"/>
      <c r="CH5078" s="318"/>
      <c r="CI5078" s="319"/>
      <c r="CJ5078" s="319"/>
      <c r="CK5078" s="342"/>
      <c r="CL5078" s="333"/>
      <c r="CM5078" s="1079"/>
      <c r="CN5078" s="1005"/>
      <c r="CO5078" s="1005"/>
      <c r="CP5078" s="1005"/>
    </row>
    <row r="5079">
      <c r="A5079" s="1257"/>
      <c r="B5079" s="1113"/>
      <c r="C5079" s="1107"/>
      <c r="D5079" s="103"/>
      <c r="E5079" s="1137"/>
      <c r="F5079" s="112"/>
      <c r="G5079" s="1110"/>
      <c r="H5079" s="1138"/>
      <c r="I5079" s="1138"/>
      <c r="J5079" s="1139"/>
      <c r="K5079" s="1111"/>
      <c r="L5079" s="1112"/>
      <c r="M5079" s="1113"/>
      <c r="N5079" s="110"/>
      <c r="O5079" s="1140"/>
      <c r="P5079" s="1115"/>
      <c r="Q5079" s="1116"/>
      <c r="R5079" s="1141"/>
      <c r="S5079" s="1113"/>
      <c r="T5079" s="1143"/>
      <c r="U5079" s="1108"/>
      <c r="V5079" s="1108"/>
      <c r="W5079" s="1108"/>
      <c r="X5079" s="1108"/>
      <c r="Y5079" s="1108"/>
      <c r="Z5079" s="1114"/>
      <c r="AA5079" s="1114"/>
      <c r="AB5079" s="1114"/>
      <c r="AC5079" s="1117"/>
      <c r="AD5079" s="1115"/>
      <c r="AE5079" s="1115"/>
      <c r="AF5079" s="1115"/>
      <c r="AG5079" s="1115"/>
      <c r="AH5079" s="1115"/>
      <c r="AI5079" s="1115"/>
      <c r="AJ5079" s="1117"/>
      <c r="AK5079" s="1118"/>
      <c r="AL5079" s="1115"/>
      <c r="AM5079" s="1115"/>
      <c r="AN5079" s="1115"/>
      <c r="AO5079" s="1115"/>
      <c r="AP5079" s="1115"/>
      <c r="AQ5079" s="1115"/>
      <c r="AR5079" s="1115"/>
      <c r="AS5079" s="1117"/>
      <c r="AT5079" s="1075"/>
      <c r="AU5079" s="1193"/>
      <c r="AV5079" s="330"/>
      <c r="AW5079" s="331"/>
      <c r="AX5079" s="331"/>
      <c r="AY5079" s="331"/>
      <c r="AZ5079" s="331"/>
      <c r="BA5079" s="331"/>
      <c r="BB5079" s="331"/>
      <c r="BC5079" s="331"/>
      <c r="BD5079" s="331"/>
      <c r="BE5079" s="333"/>
      <c r="BF5079" s="330"/>
      <c r="BG5079" s="333"/>
      <c r="BH5079" s="1119"/>
      <c r="BI5079" s="319"/>
      <c r="BJ5079" s="319"/>
      <c r="BK5079" s="319"/>
      <c r="BL5079" s="319"/>
      <c r="BM5079" s="319"/>
      <c r="BN5079" s="319"/>
      <c r="BO5079" s="319"/>
      <c r="BP5079" s="953"/>
      <c r="BQ5079" s="319"/>
      <c r="BR5079" s="319"/>
      <c r="BS5079" s="330"/>
      <c r="BT5079" s="331"/>
      <c r="BU5079" s="920"/>
      <c r="BV5079" s="903"/>
      <c r="BW5079" s="908"/>
      <c r="BX5079" s="908"/>
      <c r="BY5079" s="331"/>
      <c r="BZ5079" s="331"/>
      <c r="CA5079" s="462"/>
      <c r="CB5079" s="319"/>
      <c r="CC5079" s="319"/>
      <c r="CD5079" s="319"/>
      <c r="CE5079" s="319"/>
      <c r="CF5079" s="319"/>
      <c r="CG5079" s="319"/>
      <c r="CH5079" s="318"/>
      <c r="CI5079" s="319"/>
      <c r="CJ5079" s="319"/>
      <c r="CK5079" s="342"/>
      <c r="CL5079" s="333"/>
      <c r="CM5079" s="1079"/>
      <c r="CN5079" s="1005"/>
      <c r="CO5079" s="1005"/>
      <c r="CP5079" s="1005"/>
    </row>
    <row r="5080">
      <c r="A5080" s="1257"/>
      <c r="B5080" s="1113"/>
      <c r="C5080" s="1107"/>
      <c r="D5080" s="103"/>
      <c r="E5080" s="1137"/>
      <c r="F5080" s="112"/>
      <c r="G5080" s="1110"/>
      <c r="H5080" s="1138"/>
      <c r="I5080" s="1138"/>
      <c r="J5080" s="1139"/>
      <c r="K5080" s="1111"/>
      <c r="L5080" s="1112"/>
      <c r="M5080" s="1113"/>
      <c r="N5080" s="110"/>
      <c r="O5080" s="1140"/>
      <c r="P5080" s="1115"/>
      <c r="Q5080" s="1116"/>
      <c r="R5080" s="1141"/>
      <c r="S5080" s="1113"/>
      <c r="T5080" s="1143"/>
      <c r="U5080" s="1108"/>
      <c r="V5080" s="1108"/>
      <c r="W5080" s="1108"/>
      <c r="X5080" s="1108"/>
      <c r="Y5080" s="1108"/>
      <c r="Z5080" s="1114"/>
      <c r="AA5080" s="1114"/>
      <c r="AB5080" s="1114"/>
      <c r="AC5080" s="1117"/>
      <c r="AD5080" s="1115"/>
      <c r="AE5080" s="1115"/>
      <c r="AF5080" s="1115"/>
      <c r="AG5080" s="1115"/>
      <c r="AH5080" s="1115"/>
      <c r="AI5080" s="1115"/>
      <c r="AJ5080" s="1117"/>
      <c r="AK5080" s="1118"/>
      <c r="AL5080" s="1115"/>
      <c r="AM5080" s="1115"/>
      <c r="AN5080" s="1115"/>
      <c r="AO5080" s="1115"/>
      <c r="AP5080" s="1115"/>
      <c r="AQ5080" s="1115"/>
      <c r="AR5080" s="1115"/>
      <c r="AS5080" s="1117"/>
      <c r="AT5080" s="1075"/>
      <c r="AU5080" s="1193"/>
      <c r="AV5080" s="330"/>
      <c r="AW5080" s="331"/>
      <c r="AX5080" s="331"/>
      <c r="AY5080" s="331"/>
      <c r="AZ5080" s="331"/>
      <c r="BA5080" s="331"/>
      <c r="BB5080" s="331"/>
      <c r="BC5080" s="331"/>
      <c r="BD5080" s="331"/>
      <c r="BE5080" s="333"/>
      <c r="BF5080" s="330"/>
      <c r="BG5080" s="333"/>
      <c r="BH5080" s="1119"/>
      <c r="BI5080" s="319"/>
      <c r="BJ5080" s="319"/>
      <c r="BK5080" s="319"/>
      <c r="BL5080" s="319"/>
      <c r="BM5080" s="319"/>
      <c r="BN5080" s="319"/>
      <c r="BO5080" s="319"/>
      <c r="BP5080" s="953"/>
      <c r="BQ5080" s="319"/>
      <c r="BR5080" s="319"/>
      <c r="BS5080" s="330"/>
      <c r="BT5080" s="331"/>
      <c r="BU5080" s="920"/>
      <c r="BV5080" s="903"/>
      <c r="BW5080" s="908"/>
      <c r="BX5080" s="908"/>
      <c r="BY5080" s="331"/>
      <c r="BZ5080" s="331"/>
      <c r="CA5080" s="462"/>
      <c r="CB5080" s="319"/>
      <c r="CC5080" s="319"/>
      <c r="CD5080" s="319"/>
      <c r="CE5080" s="319"/>
      <c r="CF5080" s="319"/>
      <c r="CG5080" s="319"/>
      <c r="CH5080" s="318"/>
      <c r="CI5080" s="319"/>
      <c r="CJ5080" s="319"/>
      <c r="CK5080" s="342"/>
      <c r="CL5080" s="333"/>
      <c r="CM5080" s="1079"/>
      <c r="CN5080" s="1005"/>
      <c r="CO5080" s="1005"/>
      <c r="CP5080" s="1005"/>
    </row>
    <row r="5081">
      <c r="A5081" s="1257"/>
      <c r="B5081" s="1113"/>
      <c r="C5081" s="1107"/>
      <c r="D5081" s="103"/>
      <c r="E5081" s="1137"/>
      <c r="F5081" s="112"/>
      <c r="G5081" s="1110"/>
      <c r="H5081" s="1138"/>
      <c r="I5081" s="1138"/>
      <c r="J5081" s="1139"/>
      <c r="K5081" s="1111"/>
      <c r="L5081" s="1112"/>
      <c r="M5081" s="1113"/>
      <c r="N5081" s="110"/>
      <c r="O5081" s="1140"/>
      <c r="P5081" s="1115"/>
      <c r="Q5081" s="1116"/>
      <c r="R5081" s="1141"/>
      <c r="S5081" s="1113"/>
      <c r="T5081" s="1143"/>
      <c r="U5081" s="1108"/>
      <c r="V5081" s="1108"/>
      <c r="W5081" s="1108"/>
      <c r="X5081" s="1108"/>
      <c r="Y5081" s="1108"/>
      <c r="Z5081" s="1114"/>
      <c r="AA5081" s="1114"/>
      <c r="AB5081" s="1114"/>
      <c r="AC5081" s="1117"/>
      <c r="AD5081" s="1115"/>
      <c r="AE5081" s="1115"/>
      <c r="AF5081" s="1115"/>
      <c r="AG5081" s="1115"/>
      <c r="AH5081" s="1115"/>
      <c r="AI5081" s="1115"/>
      <c r="AJ5081" s="1117"/>
      <c r="AK5081" s="1118"/>
      <c r="AL5081" s="1115"/>
      <c r="AM5081" s="1115"/>
      <c r="AN5081" s="1115"/>
      <c r="AO5081" s="1115"/>
      <c r="AP5081" s="1115"/>
      <c r="AQ5081" s="1115"/>
      <c r="AR5081" s="1115"/>
      <c r="AS5081" s="1117"/>
      <c r="AT5081" s="1075"/>
      <c r="AU5081" s="1193"/>
      <c r="AV5081" s="330"/>
      <c r="AW5081" s="331"/>
      <c r="AX5081" s="331"/>
      <c r="AY5081" s="331"/>
      <c r="AZ5081" s="331"/>
      <c r="BA5081" s="331"/>
      <c r="BB5081" s="331"/>
      <c r="BC5081" s="331"/>
      <c r="BD5081" s="331"/>
      <c r="BE5081" s="333"/>
      <c r="BF5081" s="330"/>
      <c r="BG5081" s="333"/>
      <c r="BH5081" s="1119"/>
      <c r="BI5081" s="319"/>
      <c r="BJ5081" s="319"/>
      <c r="BK5081" s="319"/>
      <c r="BL5081" s="319"/>
      <c r="BM5081" s="319"/>
      <c r="BN5081" s="319"/>
      <c r="BO5081" s="319"/>
      <c r="BP5081" s="953"/>
      <c r="BQ5081" s="319"/>
      <c r="BR5081" s="319"/>
      <c r="BS5081" s="330"/>
      <c r="BT5081" s="331"/>
      <c r="BU5081" s="920"/>
      <c r="BV5081" s="903"/>
      <c r="BW5081" s="908"/>
      <c r="BX5081" s="908"/>
      <c r="BY5081" s="331"/>
      <c r="BZ5081" s="331"/>
      <c r="CA5081" s="462"/>
      <c r="CB5081" s="319"/>
      <c r="CC5081" s="319"/>
      <c r="CD5081" s="319"/>
      <c r="CE5081" s="319"/>
      <c r="CF5081" s="319"/>
      <c r="CG5081" s="319"/>
      <c r="CH5081" s="318"/>
      <c r="CI5081" s="319"/>
      <c r="CJ5081" s="319"/>
      <c r="CK5081" s="342"/>
      <c r="CL5081" s="333"/>
      <c r="CM5081" s="1079"/>
      <c r="CN5081" s="1005"/>
      <c r="CO5081" s="1005"/>
      <c r="CP5081" s="1005"/>
    </row>
    <row r="5082">
      <c r="A5082" s="1257"/>
      <c r="B5082" s="1113"/>
      <c r="C5082" s="1107"/>
      <c r="D5082" s="103"/>
      <c r="E5082" s="1137"/>
      <c r="F5082" s="112"/>
      <c r="G5082" s="1110"/>
      <c r="H5082" s="1138"/>
      <c r="I5082" s="1138"/>
      <c r="J5082" s="1139"/>
      <c r="K5082" s="1111"/>
      <c r="L5082" s="1112"/>
      <c r="M5082" s="1113"/>
      <c r="N5082" s="110"/>
      <c r="O5082" s="1140"/>
      <c r="P5082" s="1115"/>
      <c r="Q5082" s="1116"/>
      <c r="R5082" s="1141"/>
      <c r="S5082" s="1113"/>
      <c r="T5082" s="1143"/>
      <c r="U5082" s="1108"/>
      <c r="V5082" s="1108"/>
      <c r="W5082" s="1108"/>
      <c r="X5082" s="1108"/>
      <c r="Y5082" s="1108"/>
      <c r="Z5082" s="1114"/>
      <c r="AA5082" s="1114"/>
      <c r="AB5082" s="1114"/>
      <c r="AC5082" s="1117"/>
      <c r="AD5082" s="1115"/>
      <c r="AE5082" s="1115"/>
      <c r="AF5082" s="1115"/>
      <c r="AG5082" s="1115"/>
      <c r="AH5082" s="1115"/>
      <c r="AI5082" s="1115"/>
      <c r="AJ5082" s="1117"/>
      <c r="AK5082" s="1118"/>
      <c r="AL5082" s="1115"/>
      <c r="AM5082" s="1115"/>
      <c r="AN5082" s="1115"/>
      <c r="AO5082" s="1115"/>
      <c r="AP5082" s="1115"/>
      <c r="AQ5082" s="1115"/>
      <c r="AR5082" s="1115"/>
      <c r="AS5082" s="1117"/>
      <c r="AT5082" s="1075"/>
      <c r="AU5082" s="1193"/>
      <c r="AV5082" s="330"/>
      <c r="AW5082" s="331"/>
      <c r="AX5082" s="331"/>
      <c r="AY5082" s="331"/>
      <c r="AZ5082" s="331"/>
      <c r="BA5082" s="331"/>
      <c r="BB5082" s="331"/>
      <c r="BC5082" s="331"/>
      <c r="BD5082" s="331"/>
      <c r="BE5082" s="333"/>
      <c r="BF5082" s="330"/>
      <c r="BG5082" s="333"/>
      <c r="BH5082" s="1119"/>
      <c r="BI5082" s="319"/>
      <c r="BJ5082" s="319"/>
      <c r="BK5082" s="319"/>
      <c r="BL5082" s="319"/>
      <c r="BM5082" s="319"/>
      <c r="BN5082" s="319"/>
      <c r="BO5082" s="319"/>
      <c r="BP5082" s="953"/>
      <c r="BQ5082" s="319"/>
      <c r="BR5082" s="319"/>
      <c r="BS5082" s="330"/>
      <c r="BT5082" s="331"/>
      <c r="BU5082" s="920"/>
      <c r="BV5082" s="903"/>
      <c r="BW5082" s="908"/>
      <c r="BX5082" s="908"/>
      <c r="BY5082" s="331"/>
      <c r="BZ5082" s="331"/>
      <c r="CA5082" s="462"/>
      <c r="CB5082" s="319"/>
      <c r="CC5082" s="319"/>
      <c r="CD5082" s="319"/>
      <c r="CE5082" s="319"/>
      <c r="CF5082" s="319"/>
      <c r="CG5082" s="319"/>
      <c r="CH5082" s="318"/>
      <c r="CI5082" s="319"/>
      <c r="CJ5082" s="319"/>
      <c r="CK5082" s="342"/>
      <c r="CL5082" s="333"/>
      <c r="CM5082" s="1079"/>
      <c r="CN5082" s="1005"/>
      <c r="CO5082" s="1005"/>
      <c r="CP5082" s="1005"/>
    </row>
    <row r="5083">
      <c r="A5083" s="1257"/>
      <c r="B5083" s="1113"/>
      <c r="C5083" s="1107"/>
      <c r="D5083" s="103"/>
      <c r="E5083" s="1137"/>
      <c r="F5083" s="112"/>
      <c r="G5083" s="1110"/>
      <c r="H5083" s="1138"/>
      <c r="I5083" s="1138"/>
      <c r="J5083" s="1139"/>
      <c r="K5083" s="1111"/>
      <c r="L5083" s="1112"/>
      <c r="M5083" s="1113"/>
      <c r="N5083" s="110"/>
      <c r="O5083" s="1140"/>
      <c r="P5083" s="1115"/>
      <c r="Q5083" s="1116"/>
      <c r="R5083" s="1141"/>
      <c r="S5083" s="1113"/>
      <c r="T5083" s="1143"/>
      <c r="U5083" s="1108"/>
      <c r="V5083" s="1108"/>
      <c r="W5083" s="1108"/>
      <c r="X5083" s="1108"/>
      <c r="Y5083" s="1108"/>
      <c r="Z5083" s="1114"/>
      <c r="AA5083" s="1114"/>
      <c r="AB5083" s="1114"/>
      <c r="AC5083" s="1117"/>
      <c r="AD5083" s="1115"/>
      <c r="AE5083" s="1115"/>
      <c r="AF5083" s="1115"/>
      <c r="AG5083" s="1115"/>
      <c r="AH5083" s="1115"/>
      <c r="AI5083" s="1115"/>
      <c r="AJ5083" s="1117"/>
      <c r="AK5083" s="1118"/>
      <c r="AL5083" s="1115"/>
      <c r="AM5083" s="1115"/>
      <c r="AN5083" s="1115"/>
      <c r="AO5083" s="1115"/>
      <c r="AP5083" s="1115"/>
      <c r="AQ5083" s="1115"/>
      <c r="AR5083" s="1115"/>
      <c r="AS5083" s="1117"/>
      <c r="AT5083" s="1075"/>
      <c r="AU5083" s="1193"/>
      <c r="AV5083" s="330"/>
      <c r="AW5083" s="331"/>
      <c r="AX5083" s="331"/>
      <c r="AY5083" s="331"/>
      <c r="AZ5083" s="331"/>
      <c r="BA5083" s="331"/>
      <c r="BB5083" s="331"/>
      <c r="BC5083" s="331"/>
      <c r="BD5083" s="331"/>
      <c r="BE5083" s="333"/>
      <c r="BF5083" s="330"/>
      <c r="BG5083" s="333"/>
      <c r="BH5083" s="1119"/>
      <c r="BI5083" s="319"/>
      <c r="BJ5083" s="319"/>
      <c r="BK5083" s="319"/>
      <c r="BL5083" s="319"/>
      <c r="BM5083" s="319"/>
      <c r="BN5083" s="319"/>
      <c r="BO5083" s="319"/>
      <c r="BP5083" s="953"/>
      <c r="BQ5083" s="319"/>
      <c r="BR5083" s="319"/>
      <c r="BS5083" s="330"/>
      <c r="BT5083" s="331"/>
      <c r="BU5083" s="920"/>
      <c r="BV5083" s="903"/>
      <c r="BW5083" s="908"/>
      <c r="BX5083" s="908"/>
      <c r="BY5083" s="331"/>
      <c r="BZ5083" s="331"/>
      <c r="CA5083" s="462"/>
      <c r="CB5083" s="319"/>
      <c r="CC5083" s="319"/>
      <c r="CD5083" s="319"/>
      <c r="CE5083" s="319"/>
      <c r="CF5083" s="319"/>
      <c r="CG5083" s="319"/>
      <c r="CH5083" s="318"/>
      <c r="CI5083" s="319"/>
      <c r="CJ5083" s="319"/>
      <c r="CK5083" s="342"/>
      <c r="CL5083" s="333"/>
      <c r="CM5083" s="1079"/>
      <c r="CN5083" s="1005"/>
      <c r="CO5083" s="1005"/>
      <c r="CP5083" s="1005"/>
    </row>
    <row r="5084">
      <c r="A5084" s="1257"/>
      <c r="B5084" s="1113"/>
      <c r="C5084" s="1107"/>
      <c r="D5084" s="103"/>
      <c r="E5084" s="1137"/>
      <c r="F5084" s="112"/>
      <c r="G5084" s="1110"/>
      <c r="H5084" s="1138"/>
      <c r="I5084" s="1138"/>
      <c r="J5084" s="1139"/>
      <c r="K5084" s="1111"/>
      <c r="L5084" s="1112"/>
      <c r="M5084" s="1113"/>
      <c r="N5084" s="110"/>
      <c r="O5084" s="1140"/>
      <c r="P5084" s="1115"/>
      <c r="Q5084" s="1116"/>
      <c r="R5084" s="1141"/>
      <c r="S5084" s="1113"/>
      <c r="T5084" s="1143"/>
      <c r="U5084" s="1108"/>
      <c r="V5084" s="1108"/>
      <c r="W5084" s="1108"/>
      <c r="X5084" s="1108"/>
      <c r="Y5084" s="1108"/>
      <c r="Z5084" s="1114"/>
      <c r="AA5084" s="1114"/>
      <c r="AB5084" s="1114"/>
      <c r="AC5084" s="1117"/>
      <c r="AD5084" s="1115"/>
      <c r="AE5084" s="1115"/>
      <c r="AF5084" s="1115"/>
      <c r="AG5084" s="1115"/>
      <c r="AH5084" s="1115"/>
      <c r="AI5084" s="1115"/>
      <c r="AJ5084" s="1117"/>
      <c r="AK5084" s="1118"/>
      <c r="AL5084" s="1115"/>
      <c r="AM5084" s="1115"/>
      <c r="AN5084" s="1115"/>
      <c r="AO5084" s="1115"/>
      <c r="AP5084" s="1115"/>
      <c r="AQ5084" s="1115"/>
      <c r="AR5084" s="1115"/>
      <c r="AS5084" s="1117"/>
      <c r="AT5084" s="1075"/>
      <c r="AU5084" s="1193"/>
      <c r="AV5084" s="330"/>
      <c r="AW5084" s="331"/>
      <c r="AX5084" s="331"/>
      <c r="AY5084" s="331"/>
      <c r="AZ5084" s="331"/>
      <c r="BA5084" s="331"/>
      <c r="BB5084" s="331"/>
      <c r="BC5084" s="331"/>
      <c r="BD5084" s="331"/>
      <c r="BE5084" s="333"/>
      <c r="BF5084" s="330"/>
      <c r="BG5084" s="333"/>
      <c r="BH5084" s="1119"/>
      <c r="BI5084" s="319"/>
      <c r="BJ5084" s="319"/>
      <c r="BK5084" s="319"/>
      <c r="BL5084" s="319"/>
      <c r="BM5084" s="319"/>
      <c r="BN5084" s="319"/>
      <c r="BO5084" s="319"/>
      <c r="BP5084" s="953"/>
      <c r="BQ5084" s="319"/>
      <c r="BR5084" s="319"/>
      <c r="BS5084" s="330"/>
      <c r="BT5084" s="331"/>
      <c r="BU5084" s="920"/>
      <c r="BV5084" s="903"/>
      <c r="BW5084" s="908"/>
      <c r="BX5084" s="908"/>
      <c r="BY5084" s="331"/>
      <c r="BZ5084" s="331"/>
      <c r="CA5084" s="462"/>
      <c r="CB5084" s="319"/>
      <c r="CC5084" s="319"/>
      <c r="CD5084" s="319"/>
      <c r="CE5084" s="319"/>
      <c r="CF5084" s="319"/>
      <c r="CG5084" s="319"/>
      <c r="CH5084" s="318"/>
      <c r="CI5084" s="319"/>
      <c r="CJ5084" s="319"/>
      <c r="CK5084" s="342"/>
      <c r="CL5084" s="333"/>
      <c r="CM5084" s="1079"/>
      <c r="CN5084" s="1005"/>
      <c r="CO5084" s="1005"/>
      <c r="CP5084" s="1005"/>
    </row>
    <row r="5085">
      <c r="A5085" s="1257"/>
      <c r="B5085" s="1113"/>
      <c r="C5085" s="1107"/>
      <c r="D5085" s="103"/>
      <c r="E5085" s="1137"/>
      <c r="F5085" s="112"/>
      <c r="G5085" s="1110"/>
      <c r="H5085" s="1138"/>
      <c r="I5085" s="1138"/>
      <c r="J5085" s="1139"/>
      <c r="K5085" s="1111"/>
      <c r="L5085" s="1112"/>
      <c r="M5085" s="1113"/>
      <c r="N5085" s="110"/>
      <c r="O5085" s="1140"/>
      <c r="P5085" s="1115"/>
      <c r="Q5085" s="1116"/>
      <c r="R5085" s="1141"/>
      <c r="S5085" s="1113"/>
      <c r="T5085" s="1143"/>
      <c r="U5085" s="1108"/>
      <c r="V5085" s="1108"/>
      <c r="W5085" s="1108"/>
      <c r="X5085" s="1108"/>
      <c r="Y5085" s="1108"/>
      <c r="Z5085" s="1114"/>
      <c r="AA5085" s="1114"/>
      <c r="AB5085" s="1114"/>
      <c r="AC5085" s="1117"/>
      <c r="AD5085" s="1115"/>
      <c r="AE5085" s="1115"/>
      <c r="AF5085" s="1115"/>
      <c r="AG5085" s="1115"/>
      <c r="AH5085" s="1115"/>
      <c r="AI5085" s="1115"/>
      <c r="AJ5085" s="1117"/>
      <c r="AK5085" s="1118"/>
      <c r="AL5085" s="1115"/>
      <c r="AM5085" s="1115"/>
      <c r="AN5085" s="1115"/>
      <c r="AO5085" s="1115"/>
      <c r="AP5085" s="1115"/>
      <c r="AQ5085" s="1115"/>
      <c r="AR5085" s="1115"/>
      <c r="AS5085" s="1117"/>
      <c r="AT5085" s="1075"/>
      <c r="AU5085" s="1193"/>
      <c r="AV5085" s="330"/>
      <c r="AW5085" s="331"/>
      <c r="AX5085" s="331"/>
      <c r="AY5085" s="331"/>
      <c r="AZ5085" s="331"/>
      <c r="BA5085" s="331"/>
      <c r="BB5085" s="331"/>
      <c r="BC5085" s="331"/>
      <c r="BD5085" s="331"/>
      <c r="BE5085" s="333"/>
      <c r="BF5085" s="330"/>
      <c r="BG5085" s="333"/>
      <c r="BH5085" s="1119"/>
      <c r="BI5085" s="319"/>
      <c r="BJ5085" s="319"/>
      <c r="BK5085" s="319"/>
      <c r="BL5085" s="319"/>
      <c r="BM5085" s="319"/>
      <c r="BN5085" s="319"/>
      <c r="BO5085" s="319"/>
      <c r="BP5085" s="953"/>
      <c r="BQ5085" s="319"/>
      <c r="BR5085" s="319"/>
      <c r="BS5085" s="330"/>
      <c r="BT5085" s="331"/>
      <c r="BU5085" s="920"/>
      <c r="BV5085" s="903"/>
      <c r="BW5085" s="908"/>
      <c r="BX5085" s="908"/>
      <c r="BY5085" s="331"/>
      <c r="BZ5085" s="331"/>
      <c r="CA5085" s="462"/>
      <c r="CB5085" s="319"/>
      <c r="CC5085" s="319"/>
      <c r="CD5085" s="319"/>
      <c r="CE5085" s="319"/>
      <c r="CF5085" s="319"/>
      <c r="CG5085" s="319"/>
      <c r="CH5085" s="318"/>
      <c r="CI5085" s="319"/>
      <c r="CJ5085" s="319"/>
      <c r="CK5085" s="342"/>
      <c r="CL5085" s="333"/>
      <c r="CM5085" s="1079"/>
      <c r="CN5085" s="1005"/>
      <c r="CO5085" s="1005"/>
      <c r="CP5085" s="1005"/>
    </row>
    <row r="5086">
      <c r="A5086" s="1257"/>
      <c r="B5086" s="1113"/>
      <c r="C5086" s="1107"/>
      <c r="D5086" s="103"/>
      <c r="E5086" s="1137"/>
      <c r="F5086" s="112"/>
      <c r="G5086" s="1110"/>
      <c r="H5086" s="1138"/>
      <c r="I5086" s="1138"/>
      <c r="J5086" s="1139"/>
      <c r="K5086" s="1111"/>
      <c r="L5086" s="1112"/>
      <c r="M5086" s="1113"/>
      <c r="N5086" s="110"/>
      <c r="O5086" s="1140"/>
      <c r="P5086" s="1115"/>
      <c r="Q5086" s="1116"/>
      <c r="R5086" s="1141"/>
      <c r="S5086" s="1113"/>
      <c r="T5086" s="1143"/>
      <c r="U5086" s="1108"/>
      <c r="V5086" s="1108"/>
      <c r="W5086" s="1108"/>
      <c r="X5086" s="1108"/>
      <c r="Y5086" s="1108"/>
      <c r="Z5086" s="1114"/>
      <c r="AA5086" s="1114"/>
      <c r="AB5086" s="1114"/>
      <c r="AC5086" s="1117"/>
      <c r="AD5086" s="1115"/>
      <c r="AE5086" s="1115"/>
      <c r="AF5086" s="1115"/>
      <c r="AG5086" s="1115"/>
      <c r="AH5086" s="1115"/>
      <c r="AI5086" s="1115"/>
      <c r="AJ5086" s="1117"/>
      <c r="AK5086" s="1118"/>
      <c r="AL5086" s="1115"/>
      <c r="AM5086" s="1115"/>
      <c r="AN5086" s="1115"/>
      <c r="AO5086" s="1115"/>
      <c r="AP5086" s="1115"/>
      <c r="AQ5086" s="1115"/>
      <c r="AR5086" s="1115"/>
      <c r="AS5086" s="1117"/>
      <c r="AT5086" s="1075"/>
      <c r="AU5086" s="1193"/>
      <c r="AV5086" s="330"/>
      <c r="AW5086" s="331"/>
      <c r="AX5086" s="331"/>
      <c r="AY5086" s="331"/>
      <c r="AZ5086" s="331"/>
      <c r="BA5086" s="331"/>
      <c r="BB5086" s="331"/>
      <c r="BC5086" s="331"/>
      <c r="BD5086" s="331"/>
      <c r="BE5086" s="333"/>
      <c r="BF5086" s="330"/>
      <c r="BG5086" s="333"/>
      <c r="BH5086" s="1119"/>
      <c r="BI5086" s="319"/>
      <c r="BJ5086" s="319"/>
      <c r="BK5086" s="319"/>
      <c r="BL5086" s="319"/>
      <c r="BM5086" s="319"/>
      <c r="BN5086" s="319"/>
      <c r="BO5086" s="319"/>
      <c r="BP5086" s="953"/>
      <c r="BQ5086" s="319"/>
      <c r="BR5086" s="319"/>
      <c r="BS5086" s="330"/>
      <c r="BT5086" s="331"/>
      <c r="BU5086" s="920"/>
      <c r="BV5086" s="903"/>
      <c r="BW5086" s="908"/>
      <c r="BX5086" s="908"/>
      <c r="BY5086" s="331"/>
      <c r="BZ5086" s="331"/>
      <c r="CA5086" s="462"/>
      <c r="CB5086" s="319"/>
      <c r="CC5086" s="319"/>
      <c r="CD5086" s="319"/>
      <c r="CE5086" s="319"/>
      <c r="CF5086" s="319"/>
      <c r="CG5086" s="319"/>
      <c r="CH5086" s="318"/>
      <c r="CI5086" s="319"/>
      <c r="CJ5086" s="319"/>
      <c r="CK5086" s="342"/>
      <c r="CL5086" s="333"/>
      <c r="CM5086" s="1079"/>
      <c r="CN5086" s="1005"/>
      <c r="CO5086" s="1005"/>
      <c r="CP5086" s="1005"/>
    </row>
    <row r="5087">
      <c r="A5087" s="1257"/>
      <c r="B5087" s="1113"/>
      <c r="C5087" s="1107"/>
      <c r="D5087" s="103"/>
      <c r="E5087" s="1137"/>
      <c r="F5087" s="112"/>
      <c r="G5087" s="1110"/>
      <c r="H5087" s="1138"/>
      <c r="I5087" s="1138"/>
      <c r="J5087" s="1139"/>
      <c r="K5087" s="1111"/>
      <c r="L5087" s="1112"/>
      <c r="M5087" s="1113"/>
      <c r="N5087" s="110"/>
      <c r="O5087" s="1140"/>
      <c r="P5087" s="1115"/>
      <c r="Q5087" s="1116"/>
      <c r="R5087" s="1141"/>
      <c r="S5087" s="1113"/>
      <c r="T5087" s="1143"/>
      <c r="U5087" s="1108"/>
      <c r="V5087" s="1108"/>
      <c r="W5087" s="1108"/>
      <c r="X5087" s="1108"/>
      <c r="Y5087" s="1108"/>
      <c r="Z5087" s="1114"/>
      <c r="AA5087" s="1114"/>
      <c r="AB5087" s="1114"/>
      <c r="AC5087" s="1117"/>
      <c r="AD5087" s="1115"/>
      <c r="AE5087" s="1115"/>
      <c r="AF5087" s="1115"/>
      <c r="AG5087" s="1115"/>
      <c r="AH5087" s="1115"/>
      <c r="AI5087" s="1115"/>
      <c r="AJ5087" s="1117"/>
      <c r="AK5087" s="1118"/>
      <c r="AL5087" s="1115"/>
      <c r="AM5087" s="1115"/>
      <c r="AN5087" s="1115"/>
      <c r="AO5087" s="1115"/>
      <c r="AP5087" s="1115"/>
      <c r="AQ5087" s="1115"/>
      <c r="AR5087" s="1115"/>
      <c r="AS5087" s="1117"/>
      <c r="AT5087" s="1075"/>
      <c r="AU5087" s="1193"/>
      <c r="AV5087" s="330"/>
      <c r="AW5087" s="331"/>
      <c r="AX5087" s="331"/>
      <c r="AY5087" s="331"/>
      <c r="AZ5087" s="331"/>
      <c r="BA5087" s="331"/>
      <c r="BB5087" s="331"/>
      <c r="BC5087" s="331"/>
      <c r="BD5087" s="331"/>
      <c r="BE5087" s="333"/>
      <c r="BF5087" s="330"/>
      <c r="BG5087" s="333"/>
      <c r="BH5087" s="1119"/>
      <c r="BI5087" s="319"/>
      <c r="BJ5087" s="319"/>
      <c r="BK5087" s="319"/>
      <c r="BL5087" s="319"/>
      <c r="BM5087" s="319"/>
      <c r="BN5087" s="319"/>
      <c r="BO5087" s="319"/>
      <c r="BP5087" s="953"/>
      <c r="BQ5087" s="319"/>
      <c r="BR5087" s="319"/>
      <c r="BS5087" s="330"/>
      <c r="BT5087" s="331"/>
      <c r="BU5087" s="920"/>
      <c r="BV5087" s="903"/>
      <c r="BW5087" s="908"/>
      <c r="BX5087" s="908"/>
      <c r="BY5087" s="331"/>
      <c r="BZ5087" s="331"/>
      <c r="CA5087" s="462"/>
      <c r="CB5087" s="319"/>
      <c r="CC5087" s="319"/>
      <c r="CD5087" s="319"/>
      <c r="CE5087" s="319"/>
      <c r="CF5087" s="319"/>
      <c r="CG5087" s="319"/>
      <c r="CH5087" s="318"/>
      <c r="CI5087" s="319"/>
      <c r="CJ5087" s="319"/>
      <c r="CK5087" s="342"/>
      <c r="CL5087" s="333"/>
      <c r="CM5087" s="1079"/>
      <c r="CN5087" s="1005"/>
      <c r="CO5087" s="1005"/>
      <c r="CP5087" s="1005"/>
    </row>
    <row r="5088">
      <c r="A5088" s="1257"/>
      <c r="B5088" s="1113"/>
      <c r="C5088" s="1107"/>
      <c r="D5088" s="103"/>
      <c r="E5088" s="1137"/>
      <c r="F5088" s="112"/>
      <c r="G5088" s="1110"/>
      <c r="H5088" s="1138"/>
      <c r="I5088" s="1138"/>
      <c r="J5088" s="1139"/>
      <c r="K5088" s="1111"/>
      <c r="L5088" s="1112"/>
      <c r="M5088" s="1113"/>
      <c r="N5088" s="110"/>
      <c r="O5088" s="1140"/>
      <c r="P5088" s="1115"/>
      <c r="Q5088" s="1116"/>
      <c r="R5088" s="1141"/>
      <c r="S5088" s="1113"/>
      <c r="T5088" s="1143"/>
      <c r="U5088" s="1108"/>
      <c r="V5088" s="1108"/>
      <c r="W5088" s="1108"/>
      <c r="X5088" s="1108"/>
      <c r="Y5088" s="1108"/>
      <c r="Z5088" s="1114"/>
      <c r="AA5088" s="1114"/>
      <c r="AB5088" s="1114"/>
      <c r="AC5088" s="1117"/>
      <c r="AD5088" s="1115"/>
      <c r="AE5088" s="1115"/>
      <c r="AF5088" s="1115"/>
      <c r="AG5088" s="1115"/>
      <c r="AH5088" s="1115"/>
      <c r="AI5088" s="1115"/>
      <c r="AJ5088" s="1117"/>
      <c r="AK5088" s="1118"/>
      <c r="AL5088" s="1115"/>
      <c r="AM5088" s="1115"/>
      <c r="AN5088" s="1115"/>
      <c r="AO5088" s="1115"/>
      <c r="AP5088" s="1115"/>
      <c r="AQ5088" s="1115"/>
      <c r="AR5088" s="1115"/>
      <c r="AS5088" s="1117"/>
      <c r="AT5088" s="1075"/>
      <c r="AU5088" s="1193"/>
      <c r="AV5088" s="330"/>
      <c r="AW5088" s="331"/>
      <c r="AX5088" s="331"/>
      <c r="AY5088" s="331"/>
      <c r="AZ5088" s="331"/>
      <c r="BA5088" s="331"/>
      <c r="BB5088" s="331"/>
      <c r="BC5088" s="331"/>
      <c r="BD5088" s="331"/>
      <c r="BE5088" s="333"/>
      <c r="BF5088" s="330"/>
      <c r="BG5088" s="333"/>
      <c r="BH5088" s="1119"/>
      <c r="BI5088" s="319"/>
      <c r="BJ5088" s="319"/>
      <c r="BK5088" s="319"/>
      <c r="BL5088" s="319"/>
      <c r="BM5088" s="319"/>
      <c r="BN5088" s="319"/>
      <c r="BO5088" s="319"/>
      <c r="BP5088" s="953"/>
      <c r="BQ5088" s="319"/>
      <c r="BR5088" s="319"/>
      <c r="BS5088" s="330"/>
      <c r="BT5088" s="331"/>
      <c r="BU5088" s="920"/>
      <c r="BV5088" s="903"/>
      <c r="BW5088" s="908"/>
      <c r="BX5088" s="908"/>
      <c r="BY5088" s="331"/>
      <c r="BZ5088" s="331"/>
      <c r="CA5088" s="462"/>
      <c r="CB5088" s="319"/>
      <c r="CC5088" s="319"/>
      <c r="CD5088" s="319"/>
      <c r="CE5088" s="319"/>
      <c r="CF5088" s="319"/>
      <c r="CG5088" s="319"/>
      <c r="CH5088" s="318"/>
      <c r="CI5088" s="319"/>
      <c r="CJ5088" s="319"/>
      <c r="CK5088" s="342"/>
      <c r="CL5088" s="333"/>
      <c r="CM5088" s="1079"/>
      <c r="CN5088" s="1005"/>
      <c r="CO5088" s="1005"/>
      <c r="CP5088" s="1005"/>
    </row>
    <row r="5089">
      <c r="A5089" s="1257"/>
      <c r="B5089" s="1113"/>
      <c r="C5089" s="1107"/>
      <c r="D5089" s="103"/>
      <c r="E5089" s="1137"/>
      <c r="F5089" s="112"/>
      <c r="G5089" s="1110"/>
      <c r="H5089" s="1138"/>
      <c r="I5089" s="1138"/>
      <c r="J5089" s="1139"/>
      <c r="K5089" s="1111"/>
      <c r="L5089" s="1112"/>
      <c r="M5089" s="1113"/>
      <c r="N5089" s="110"/>
      <c r="O5089" s="1140"/>
      <c r="P5089" s="1115"/>
      <c r="Q5089" s="1116"/>
      <c r="R5089" s="1141"/>
      <c r="S5089" s="1113"/>
      <c r="T5089" s="1143"/>
      <c r="U5089" s="1108"/>
      <c r="V5089" s="1108"/>
      <c r="W5089" s="1108"/>
      <c r="X5089" s="1108"/>
      <c r="Y5089" s="1108"/>
      <c r="Z5089" s="1114"/>
      <c r="AA5089" s="1114"/>
      <c r="AB5089" s="1114"/>
      <c r="AC5089" s="1117"/>
      <c r="AD5089" s="1115"/>
      <c r="AE5089" s="1115"/>
      <c r="AF5089" s="1115"/>
      <c r="AG5089" s="1115"/>
      <c r="AH5089" s="1115"/>
      <c r="AI5089" s="1115"/>
      <c r="AJ5089" s="1117"/>
      <c r="AK5089" s="1118"/>
      <c r="AL5089" s="1115"/>
      <c r="AM5089" s="1115"/>
      <c r="AN5089" s="1115"/>
      <c r="AO5089" s="1115"/>
      <c r="AP5089" s="1115"/>
      <c r="AQ5089" s="1115"/>
      <c r="AR5089" s="1115"/>
      <c r="AS5089" s="1117"/>
      <c r="AT5089" s="1075"/>
      <c r="AU5089" s="1193"/>
      <c r="AV5089" s="330"/>
      <c r="AW5089" s="331"/>
      <c r="AX5089" s="331"/>
      <c r="AY5089" s="331"/>
      <c r="AZ5089" s="331"/>
      <c r="BA5089" s="331"/>
      <c r="BB5089" s="331"/>
      <c r="BC5089" s="331"/>
      <c r="BD5089" s="331"/>
      <c r="BE5089" s="333"/>
      <c r="BF5089" s="330"/>
      <c r="BG5089" s="333"/>
      <c r="BH5089" s="1119"/>
      <c r="BI5089" s="319"/>
      <c r="BJ5089" s="319"/>
      <c r="BK5089" s="319"/>
      <c r="BL5089" s="319"/>
      <c r="BM5089" s="319"/>
      <c r="BN5089" s="319"/>
      <c r="BO5089" s="319"/>
      <c r="BP5089" s="953"/>
      <c r="BQ5089" s="319"/>
      <c r="BR5089" s="319"/>
      <c r="BS5089" s="330"/>
      <c r="BT5089" s="331"/>
      <c r="BU5089" s="920"/>
      <c r="BV5089" s="903"/>
      <c r="BW5089" s="908"/>
      <c r="BX5089" s="908"/>
      <c r="BY5089" s="331"/>
      <c r="BZ5089" s="331"/>
      <c r="CA5089" s="462"/>
      <c r="CB5089" s="319"/>
      <c r="CC5089" s="319"/>
      <c r="CD5089" s="319"/>
      <c r="CE5089" s="319"/>
      <c r="CF5089" s="319"/>
      <c r="CG5089" s="319"/>
      <c r="CH5089" s="318"/>
      <c r="CI5089" s="319"/>
      <c r="CJ5089" s="319"/>
      <c r="CK5089" s="342"/>
      <c r="CL5089" s="333"/>
      <c r="CM5089" s="1079"/>
      <c r="CN5089" s="1005"/>
      <c r="CO5089" s="1005"/>
      <c r="CP5089" s="1005"/>
    </row>
    <row r="5090">
      <c r="A5090" s="1257"/>
      <c r="B5090" s="1113"/>
      <c r="C5090" s="1107"/>
      <c r="D5090" s="103"/>
      <c r="E5090" s="1137"/>
      <c r="F5090" s="112"/>
      <c r="G5090" s="1110"/>
      <c r="H5090" s="1138"/>
      <c r="I5090" s="1138"/>
      <c r="J5090" s="1139"/>
      <c r="K5090" s="1111"/>
      <c r="L5090" s="1112"/>
      <c r="M5090" s="1113"/>
      <c r="N5090" s="110"/>
      <c r="O5090" s="1140"/>
      <c r="P5090" s="1115"/>
      <c r="Q5090" s="1116"/>
      <c r="R5090" s="1141"/>
      <c r="S5090" s="1113"/>
      <c r="T5090" s="1143"/>
      <c r="U5090" s="1108"/>
      <c r="V5090" s="1108"/>
      <c r="W5090" s="1108"/>
      <c r="X5090" s="1108"/>
      <c r="Y5090" s="1108"/>
      <c r="Z5090" s="1114"/>
      <c r="AA5090" s="1114"/>
      <c r="AB5090" s="1114"/>
      <c r="AC5090" s="1117"/>
      <c r="AD5090" s="1115"/>
      <c r="AE5090" s="1115"/>
      <c r="AF5090" s="1115"/>
      <c r="AG5090" s="1115"/>
      <c r="AH5090" s="1115"/>
      <c r="AI5090" s="1115"/>
      <c r="AJ5090" s="1117"/>
      <c r="AK5090" s="1118"/>
      <c r="AL5090" s="1115"/>
      <c r="AM5090" s="1115"/>
      <c r="AN5090" s="1115"/>
      <c r="AO5090" s="1115"/>
      <c r="AP5090" s="1115"/>
      <c r="AQ5090" s="1115"/>
      <c r="AR5090" s="1115"/>
      <c r="AS5090" s="1117"/>
      <c r="AT5090" s="1075"/>
      <c r="AU5090" s="1193"/>
      <c r="AV5090" s="330"/>
      <c r="AW5090" s="331"/>
      <c r="AX5090" s="331"/>
      <c r="AY5090" s="331"/>
      <c r="AZ5090" s="331"/>
      <c r="BA5090" s="331"/>
      <c r="BB5090" s="331"/>
      <c r="BC5090" s="331"/>
      <c r="BD5090" s="331"/>
      <c r="BE5090" s="333"/>
      <c r="BF5090" s="330"/>
      <c r="BG5090" s="333"/>
      <c r="BH5090" s="1119"/>
      <c r="BI5090" s="319"/>
      <c r="BJ5090" s="319"/>
      <c r="BK5090" s="319"/>
      <c r="BL5090" s="319"/>
      <c r="BM5090" s="319"/>
      <c r="BN5090" s="319"/>
      <c r="BO5090" s="319"/>
      <c r="BP5090" s="953"/>
      <c r="BQ5090" s="319"/>
      <c r="BR5090" s="319"/>
      <c r="BS5090" s="330"/>
      <c r="BT5090" s="331"/>
      <c r="BU5090" s="920"/>
      <c r="BV5090" s="903"/>
      <c r="BW5090" s="908"/>
      <c r="BX5090" s="908"/>
      <c r="BY5090" s="331"/>
      <c r="BZ5090" s="331"/>
      <c r="CA5090" s="462"/>
      <c r="CB5090" s="319"/>
      <c r="CC5090" s="319"/>
      <c r="CD5090" s="319"/>
      <c r="CE5090" s="319"/>
      <c r="CF5090" s="319"/>
      <c r="CG5090" s="319"/>
      <c r="CH5090" s="318"/>
      <c r="CI5090" s="319"/>
      <c r="CJ5090" s="319"/>
      <c r="CK5090" s="342"/>
      <c r="CL5090" s="333"/>
      <c r="CM5090" s="1079"/>
      <c r="CN5090" s="1005"/>
      <c r="CO5090" s="1005"/>
      <c r="CP5090" s="1005"/>
    </row>
    <row r="5091">
      <c r="A5091" s="1257"/>
      <c r="B5091" s="1113"/>
      <c r="C5091" s="1107"/>
      <c r="D5091" s="103"/>
      <c r="E5091" s="1137"/>
      <c r="F5091" s="112"/>
      <c r="G5091" s="1110"/>
      <c r="H5091" s="1138"/>
      <c r="I5091" s="1138"/>
      <c r="J5091" s="1139"/>
      <c r="K5091" s="1111"/>
      <c r="L5091" s="1112"/>
      <c r="M5091" s="1113"/>
      <c r="N5091" s="110"/>
      <c r="O5091" s="1140"/>
      <c r="P5091" s="1115"/>
      <c r="Q5091" s="1116"/>
      <c r="R5091" s="1141"/>
      <c r="S5091" s="1113"/>
      <c r="T5091" s="1143"/>
      <c r="U5091" s="1108"/>
      <c r="V5091" s="1108"/>
      <c r="W5091" s="1108"/>
      <c r="X5091" s="1108"/>
      <c r="Y5091" s="1108"/>
      <c r="Z5091" s="1114"/>
      <c r="AA5091" s="1114"/>
      <c r="AB5091" s="1114"/>
      <c r="AC5091" s="1117"/>
      <c r="AD5091" s="1115"/>
      <c r="AE5091" s="1115"/>
      <c r="AF5091" s="1115"/>
      <c r="AG5091" s="1115"/>
      <c r="AH5091" s="1115"/>
      <c r="AI5091" s="1115"/>
      <c r="AJ5091" s="1117"/>
      <c r="AK5091" s="1118"/>
      <c r="AL5091" s="1115"/>
      <c r="AM5091" s="1115"/>
      <c r="AN5091" s="1115"/>
      <c r="AO5091" s="1115"/>
      <c r="AP5091" s="1115"/>
      <c r="AQ5091" s="1115"/>
      <c r="AR5091" s="1115"/>
      <c r="AS5091" s="1117"/>
      <c r="AT5091" s="1075"/>
      <c r="AU5091" s="1193"/>
      <c r="AV5091" s="330"/>
      <c r="AW5091" s="331"/>
      <c r="AX5091" s="331"/>
      <c r="AY5091" s="331"/>
      <c r="AZ5091" s="331"/>
      <c r="BA5091" s="331"/>
      <c r="BB5091" s="331"/>
      <c r="BC5091" s="331"/>
      <c r="BD5091" s="331"/>
      <c r="BE5091" s="333"/>
      <c r="BF5091" s="330"/>
      <c r="BG5091" s="333"/>
      <c r="BH5091" s="1119"/>
      <c r="BI5091" s="319"/>
      <c r="BJ5091" s="319"/>
      <c r="BK5091" s="319"/>
      <c r="BL5091" s="319"/>
      <c r="BM5091" s="319"/>
      <c r="BN5091" s="319"/>
      <c r="BO5091" s="319"/>
      <c r="BP5091" s="953"/>
      <c r="BQ5091" s="319"/>
      <c r="BR5091" s="319"/>
      <c r="BS5091" s="330"/>
      <c r="BT5091" s="331"/>
      <c r="BU5091" s="920"/>
      <c r="BV5091" s="903"/>
      <c r="BW5091" s="908"/>
      <c r="BX5091" s="908"/>
      <c r="BY5091" s="331"/>
      <c r="BZ5091" s="331"/>
      <c r="CA5091" s="462"/>
      <c r="CB5091" s="319"/>
      <c r="CC5091" s="319"/>
      <c r="CD5091" s="319"/>
      <c r="CE5091" s="319"/>
      <c r="CF5091" s="319"/>
      <c r="CG5091" s="319"/>
      <c r="CH5091" s="318"/>
      <c r="CI5091" s="319"/>
      <c r="CJ5091" s="319"/>
      <c r="CK5091" s="342"/>
      <c r="CL5091" s="333"/>
      <c r="CM5091" s="1079"/>
      <c r="CN5091" s="1005"/>
      <c r="CO5091" s="1005"/>
      <c r="CP5091" s="1005"/>
    </row>
    <row r="5092">
      <c r="A5092" s="1257"/>
      <c r="B5092" s="1113"/>
      <c r="C5092" s="1107"/>
      <c r="D5092" s="103"/>
      <c r="E5092" s="1137"/>
      <c r="F5092" s="112"/>
      <c r="G5092" s="1110"/>
      <c r="H5092" s="1138"/>
      <c r="I5092" s="1138"/>
      <c r="J5092" s="1139"/>
      <c r="K5092" s="1111"/>
      <c r="L5092" s="1112"/>
      <c r="M5092" s="1113"/>
      <c r="N5092" s="110"/>
      <c r="O5092" s="1140"/>
      <c r="P5092" s="1115"/>
      <c r="Q5092" s="1116"/>
      <c r="R5092" s="1141"/>
      <c r="S5092" s="1113"/>
      <c r="T5092" s="1143"/>
      <c r="U5092" s="1108"/>
      <c r="V5092" s="1108"/>
      <c r="W5092" s="1108"/>
      <c r="X5092" s="1108"/>
      <c r="Y5092" s="1108"/>
      <c r="Z5092" s="1114"/>
      <c r="AA5092" s="1114"/>
      <c r="AB5092" s="1114"/>
      <c r="AC5092" s="1117"/>
      <c r="AD5092" s="1115"/>
      <c r="AE5092" s="1115"/>
      <c r="AF5092" s="1115"/>
      <c r="AG5092" s="1115"/>
      <c r="AH5092" s="1115"/>
      <c r="AI5092" s="1115"/>
      <c r="AJ5092" s="1117"/>
      <c r="AK5092" s="1118"/>
      <c r="AL5092" s="1115"/>
      <c r="AM5092" s="1115"/>
      <c r="AN5092" s="1115"/>
      <c r="AO5092" s="1115"/>
      <c r="AP5092" s="1115"/>
      <c r="AQ5092" s="1115"/>
      <c r="AR5092" s="1115"/>
      <c r="AS5092" s="1117"/>
      <c r="AT5092" s="1075"/>
      <c r="AU5092" s="1193"/>
      <c r="AV5092" s="330"/>
      <c r="AW5092" s="331"/>
      <c r="AX5092" s="331"/>
      <c r="AY5092" s="331"/>
      <c r="AZ5092" s="331"/>
      <c r="BA5092" s="331"/>
      <c r="BB5092" s="331"/>
      <c r="BC5092" s="331"/>
      <c r="BD5092" s="331"/>
      <c r="BE5092" s="333"/>
      <c r="BF5092" s="330"/>
      <c r="BG5092" s="333"/>
      <c r="BH5092" s="1119"/>
      <c r="BI5092" s="319"/>
      <c r="BJ5092" s="319"/>
      <c r="BK5092" s="319"/>
      <c r="BL5092" s="319"/>
      <c r="BM5092" s="319"/>
      <c r="BN5092" s="319"/>
      <c r="BO5092" s="319"/>
      <c r="BP5092" s="953"/>
      <c r="BQ5092" s="319"/>
      <c r="BR5092" s="319"/>
      <c r="BS5092" s="330"/>
      <c r="BT5092" s="331"/>
      <c r="BU5092" s="920"/>
      <c r="BV5092" s="903"/>
      <c r="BW5092" s="908"/>
      <c r="BX5092" s="908"/>
      <c r="BY5092" s="331"/>
      <c r="BZ5092" s="331"/>
      <c r="CA5092" s="462"/>
      <c r="CB5092" s="319"/>
      <c r="CC5092" s="319"/>
      <c r="CD5092" s="319"/>
      <c r="CE5092" s="319"/>
      <c r="CF5092" s="319"/>
      <c r="CG5092" s="319"/>
      <c r="CH5092" s="318"/>
      <c r="CI5092" s="319"/>
      <c r="CJ5092" s="319"/>
      <c r="CK5092" s="342"/>
      <c r="CL5092" s="333"/>
      <c r="CM5092" s="1079"/>
      <c r="CN5092" s="1005"/>
      <c r="CO5092" s="1005"/>
      <c r="CP5092" s="1005"/>
    </row>
    <row r="5093">
      <c r="A5093" s="1257"/>
      <c r="B5093" s="1113"/>
      <c r="C5093" s="1107"/>
      <c r="D5093" s="103"/>
      <c r="E5093" s="1137"/>
      <c r="F5093" s="112"/>
      <c r="G5093" s="1110"/>
      <c r="H5093" s="1138"/>
      <c r="I5093" s="1138"/>
      <c r="J5093" s="1139"/>
      <c r="K5093" s="1111"/>
      <c r="L5093" s="1112"/>
      <c r="M5093" s="1113"/>
      <c r="N5093" s="110"/>
      <c r="O5093" s="1140"/>
      <c r="P5093" s="1115"/>
      <c r="Q5093" s="1116"/>
      <c r="R5093" s="1141"/>
      <c r="S5093" s="1113"/>
      <c r="T5093" s="1143"/>
      <c r="U5093" s="1108"/>
      <c r="V5093" s="1108"/>
      <c r="W5093" s="1108"/>
      <c r="X5093" s="1108"/>
      <c r="Y5093" s="1108"/>
      <c r="Z5093" s="1114"/>
      <c r="AA5093" s="1114"/>
      <c r="AB5093" s="1114"/>
      <c r="AC5093" s="1117"/>
      <c r="AD5093" s="1115"/>
      <c r="AE5093" s="1115"/>
      <c r="AF5093" s="1115"/>
      <c r="AG5093" s="1115"/>
      <c r="AH5093" s="1115"/>
      <c r="AI5093" s="1115"/>
      <c r="AJ5093" s="1117"/>
      <c r="AK5093" s="1118"/>
      <c r="AL5093" s="1115"/>
      <c r="AM5093" s="1115"/>
      <c r="AN5093" s="1115"/>
      <c r="AO5093" s="1115"/>
      <c r="AP5093" s="1115"/>
      <c r="AQ5093" s="1115"/>
      <c r="AR5093" s="1115"/>
      <c r="AS5093" s="1117"/>
      <c r="AT5093" s="1075"/>
      <c r="AU5093" s="1193"/>
      <c r="AV5093" s="330"/>
      <c r="AW5093" s="331"/>
      <c r="AX5093" s="331"/>
      <c r="AY5093" s="331"/>
      <c r="AZ5093" s="331"/>
      <c r="BA5093" s="331"/>
      <c r="BB5093" s="331"/>
      <c r="BC5093" s="331"/>
      <c r="BD5093" s="331"/>
      <c r="BE5093" s="333"/>
      <c r="BF5093" s="330"/>
      <c r="BG5093" s="333"/>
      <c r="BH5093" s="1119"/>
      <c r="BI5093" s="319"/>
      <c r="BJ5093" s="319"/>
      <c r="BK5093" s="319"/>
      <c r="BL5093" s="319"/>
      <c r="BM5093" s="319"/>
      <c r="BN5093" s="319"/>
      <c r="BO5093" s="319"/>
      <c r="BP5093" s="953"/>
      <c r="BQ5093" s="319"/>
      <c r="BR5093" s="319"/>
      <c r="BS5093" s="330"/>
      <c r="BT5093" s="331"/>
      <c r="BU5093" s="920"/>
      <c r="BV5093" s="903"/>
      <c r="BW5093" s="908"/>
      <c r="BX5093" s="908"/>
      <c r="BY5093" s="331"/>
      <c r="BZ5093" s="331"/>
      <c r="CA5093" s="462"/>
      <c r="CB5093" s="319"/>
      <c r="CC5093" s="319"/>
      <c r="CD5093" s="319"/>
      <c r="CE5093" s="319"/>
      <c r="CF5093" s="319"/>
      <c r="CG5093" s="319"/>
      <c r="CH5093" s="318"/>
      <c r="CI5093" s="319"/>
      <c r="CJ5093" s="319"/>
      <c r="CK5093" s="342"/>
      <c r="CL5093" s="333"/>
      <c r="CM5093" s="1079"/>
      <c r="CN5093" s="1005"/>
      <c r="CO5093" s="1005"/>
      <c r="CP5093" s="1005"/>
    </row>
    <row r="5094">
      <c r="A5094" s="1257"/>
      <c r="B5094" s="1113"/>
      <c r="C5094" s="1107"/>
      <c r="D5094" s="103"/>
      <c r="E5094" s="1137"/>
      <c r="F5094" s="112"/>
      <c r="G5094" s="1110"/>
      <c r="H5094" s="1138"/>
      <c r="I5094" s="1138"/>
      <c r="J5094" s="1139"/>
      <c r="K5094" s="1111"/>
      <c r="L5094" s="1112"/>
      <c r="M5094" s="1113"/>
      <c r="N5094" s="110"/>
      <c r="O5094" s="1140"/>
      <c r="P5094" s="1115"/>
      <c r="Q5094" s="1116"/>
      <c r="R5094" s="1141"/>
      <c r="S5094" s="1113"/>
      <c r="T5094" s="1143"/>
      <c r="U5094" s="1108"/>
      <c r="V5094" s="1108"/>
      <c r="W5094" s="1108"/>
      <c r="X5094" s="1108"/>
      <c r="Y5094" s="1108"/>
      <c r="Z5094" s="1114"/>
      <c r="AA5094" s="1114"/>
      <c r="AB5094" s="1114"/>
      <c r="AC5094" s="1117"/>
      <c r="AD5094" s="1115"/>
      <c r="AE5094" s="1115"/>
      <c r="AF5094" s="1115"/>
      <c r="AG5094" s="1115"/>
      <c r="AH5094" s="1115"/>
      <c r="AI5094" s="1115"/>
      <c r="AJ5094" s="1117"/>
      <c r="AK5094" s="1118"/>
      <c r="AL5094" s="1115"/>
      <c r="AM5094" s="1115"/>
      <c r="AN5094" s="1115"/>
      <c r="AO5094" s="1115"/>
      <c r="AP5094" s="1115"/>
      <c r="AQ5094" s="1115"/>
      <c r="AR5094" s="1115"/>
      <c r="AS5094" s="1117"/>
      <c r="AT5094" s="1075"/>
      <c r="AU5094" s="1193"/>
      <c r="AV5094" s="330"/>
      <c r="AW5094" s="331"/>
      <c r="AX5094" s="331"/>
      <c r="AY5094" s="331"/>
      <c r="AZ5094" s="331"/>
      <c r="BA5094" s="331"/>
      <c r="BB5094" s="331"/>
      <c r="BC5094" s="331"/>
      <c r="BD5094" s="331"/>
      <c r="BE5094" s="333"/>
      <c r="BF5094" s="330"/>
      <c r="BG5094" s="333"/>
      <c r="BH5094" s="1119"/>
      <c r="BI5094" s="319"/>
      <c r="BJ5094" s="319"/>
      <c r="BK5094" s="319"/>
      <c r="BL5094" s="319"/>
      <c r="BM5094" s="319"/>
      <c r="BN5094" s="319"/>
      <c r="BO5094" s="319"/>
      <c r="BP5094" s="953"/>
      <c r="BQ5094" s="319"/>
      <c r="BR5094" s="319"/>
      <c r="BS5094" s="330"/>
      <c r="BT5094" s="331"/>
      <c r="BU5094" s="920"/>
      <c r="BV5094" s="903"/>
      <c r="BW5094" s="908"/>
      <c r="BX5094" s="908"/>
      <c r="BY5094" s="331"/>
      <c r="BZ5094" s="331"/>
      <c r="CA5094" s="462"/>
      <c r="CB5094" s="319"/>
      <c r="CC5094" s="319"/>
      <c r="CD5094" s="319"/>
      <c r="CE5094" s="319"/>
      <c r="CF5094" s="319"/>
      <c r="CG5094" s="319"/>
      <c r="CH5094" s="318"/>
      <c r="CI5094" s="319"/>
      <c r="CJ5094" s="319"/>
      <c r="CK5094" s="342"/>
      <c r="CL5094" s="333"/>
      <c r="CM5094" s="1079"/>
      <c r="CN5094" s="1005"/>
      <c r="CO5094" s="1005"/>
      <c r="CP5094" s="1005"/>
    </row>
    <row r="5095">
      <c r="A5095" s="1257"/>
      <c r="B5095" s="1113"/>
      <c r="C5095" s="1107"/>
      <c r="D5095" s="103"/>
      <c r="E5095" s="1137"/>
      <c r="F5095" s="112"/>
      <c r="G5095" s="1110"/>
      <c r="H5095" s="1138"/>
      <c r="I5095" s="1138"/>
      <c r="J5095" s="1139"/>
      <c r="K5095" s="1111"/>
      <c r="L5095" s="1112"/>
      <c r="M5095" s="1113"/>
      <c r="N5095" s="110"/>
      <c r="O5095" s="1140"/>
      <c r="P5095" s="1115"/>
      <c r="Q5095" s="1116"/>
      <c r="R5095" s="1141"/>
      <c r="S5095" s="1113"/>
      <c r="T5095" s="1143"/>
      <c r="U5095" s="1108"/>
      <c r="V5095" s="1108"/>
      <c r="W5095" s="1108"/>
      <c r="X5095" s="1108"/>
      <c r="Y5095" s="1108"/>
      <c r="Z5095" s="1114"/>
      <c r="AA5095" s="1114"/>
      <c r="AB5095" s="1114"/>
      <c r="AC5095" s="1117"/>
      <c r="AD5095" s="1115"/>
      <c r="AE5095" s="1115"/>
      <c r="AF5095" s="1115"/>
      <c r="AG5095" s="1115"/>
      <c r="AH5095" s="1115"/>
      <c r="AI5095" s="1115"/>
      <c r="AJ5095" s="1117"/>
      <c r="AK5095" s="1118"/>
      <c r="AL5095" s="1115"/>
      <c r="AM5095" s="1115"/>
      <c r="AN5095" s="1115"/>
      <c r="AO5095" s="1115"/>
      <c r="AP5095" s="1115"/>
      <c r="AQ5095" s="1115"/>
      <c r="AR5095" s="1115"/>
      <c r="AS5095" s="1117"/>
      <c r="AT5095" s="1075"/>
      <c r="AU5095" s="1193"/>
      <c r="AV5095" s="330"/>
      <c r="AW5095" s="331"/>
      <c r="AX5095" s="331"/>
      <c r="AY5095" s="331"/>
      <c r="AZ5095" s="331"/>
      <c r="BA5095" s="331"/>
      <c r="BB5095" s="331"/>
      <c r="BC5095" s="331"/>
      <c r="BD5095" s="331"/>
      <c r="BE5095" s="333"/>
      <c r="BF5095" s="330"/>
      <c r="BG5095" s="333"/>
      <c r="BH5095" s="1119"/>
      <c r="BI5095" s="319"/>
      <c r="BJ5095" s="319"/>
      <c r="BK5095" s="319"/>
      <c r="BL5095" s="319"/>
      <c r="BM5095" s="319"/>
      <c r="BN5095" s="319"/>
      <c r="BO5095" s="319"/>
      <c r="BP5095" s="953"/>
      <c r="BQ5095" s="319"/>
      <c r="BR5095" s="319"/>
      <c r="BS5095" s="330"/>
      <c r="BT5095" s="331"/>
      <c r="BU5095" s="920"/>
      <c r="BV5095" s="903"/>
      <c r="BW5095" s="908"/>
      <c r="BX5095" s="908"/>
      <c r="BY5095" s="331"/>
      <c r="BZ5095" s="331"/>
      <c r="CA5095" s="462"/>
      <c r="CB5095" s="319"/>
      <c r="CC5095" s="319"/>
      <c r="CD5095" s="319"/>
      <c r="CE5095" s="319"/>
      <c r="CF5095" s="319"/>
      <c r="CG5095" s="319"/>
      <c r="CH5095" s="318"/>
      <c r="CI5095" s="319"/>
      <c r="CJ5095" s="319"/>
      <c r="CK5095" s="342"/>
      <c r="CL5095" s="333"/>
      <c r="CM5095" s="1079"/>
      <c r="CN5095" s="1005"/>
      <c r="CO5095" s="1005"/>
      <c r="CP5095" s="1005"/>
    </row>
    <row r="5096">
      <c r="A5096" s="1257"/>
      <c r="B5096" s="1113"/>
      <c r="C5096" s="1107"/>
      <c r="D5096" s="103"/>
      <c r="E5096" s="1137"/>
      <c r="F5096" s="112"/>
      <c r="G5096" s="1110"/>
      <c r="H5096" s="1138"/>
      <c r="I5096" s="1138"/>
      <c r="J5096" s="1139"/>
      <c r="K5096" s="1111"/>
      <c r="L5096" s="1112"/>
      <c r="M5096" s="1113"/>
      <c r="N5096" s="110"/>
      <c r="O5096" s="1140"/>
      <c r="P5096" s="1115"/>
      <c r="Q5096" s="1116"/>
      <c r="R5096" s="1141"/>
      <c r="S5096" s="1113"/>
      <c r="T5096" s="1143"/>
      <c r="U5096" s="1108"/>
      <c r="V5096" s="1108"/>
      <c r="W5096" s="1108"/>
      <c r="X5096" s="1108"/>
      <c r="Y5096" s="1108"/>
      <c r="Z5096" s="1114"/>
      <c r="AA5096" s="1114"/>
      <c r="AB5096" s="1114"/>
      <c r="AC5096" s="1117"/>
      <c r="AD5096" s="1115"/>
      <c r="AE5096" s="1115"/>
      <c r="AF5096" s="1115"/>
      <c r="AG5096" s="1115"/>
      <c r="AH5096" s="1115"/>
      <c r="AI5096" s="1115"/>
      <c r="AJ5096" s="1117"/>
      <c r="AK5096" s="1118"/>
      <c r="AL5096" s="1115"/>
      <c r="AM5096" s="1115"/>
      <c r="AN5096" s="1115"/>
      <c r="AO5096" s="1115"/>
      <c r="AP5096" s="1115"/>
      <c r="AQ5096" s="1115"/>
      <c r="AR5096" s="1115"/>
      <c r="AS5096" s="1117"/>
      <c r="AT5096" s="1075"/>
      <c r="AU5096" s="1193"/>
      <c r="AV5096" s="330"/>
      <c r="AW5096" s="331"/>
      <c r="AX5096" s="331"/>
      <c r="AY5096" s="331"/>
      <c r="AZ5096" s="331"/>
      <c r="BA5096" s="331"/>
      <c r="BB5096" s="331"/>
      <c r="BC5096" s="331"/>
      <c r="BD5096" s="331"/>
      <c r="BE5096" s="333"/>
      <c r="BF5096" s="330"/>
      <c r="BG5096" s="333"/>
      <c r="BH5096" s="1119"/>
      <c r="BI5096" s="319"/>
      <c r="BJ5096" s="319"/>
      <c r="BK5096" s="319"/>
      <c r="BL5096" s="319"/>
      <c r="BM5096" s="319"/>
      <c r="BN5096" s="319"/>
      <c r="BO5096" s="319"/>
      <c r="BP5096" s="953"/>
      <c r="BQ5096" s="319"/>
      <c r="BR5096" s="319"/>
      <c r="BS5096" s="330"/>
      <c r="BT5096" s="331"/>
      <c r="BU5096" s="920"/>
      <c r="BV5096" s="903"/>
      <c r="BW5096" s="908"/>
      <c r="BX5096" s="908"/>
      <c r="BY5096" s="331"/>
      <c r="BZ5096" s="331"/>
      <c r="CA5096" s="462"/>
      <c r="CB5096" s="319"/>
      <c r="CC5096" s="319"/>
      <c r="CD5096" s="319"/>
      <c r="CE5096" s="319"/>
      <c r="CF5096" s="319"/>
      <c r="CG5096" s="319"/>
      <c r="CH5096" s="318"/>
      <c r="CI5096" s="319"/>
      <c r="CJ5096" s="319"/>
      <c r="CK5096" s="342"/>
      <c r="CL5096" s="333"/>
      <c r="CM5096" s="1079"/>
      <c r="CN5096" s="1005"/>
      <c r="CO5096" s="1005"/>
      <c r="CP5096" s="1005"/>
    </row>
    <row r="5097">
      <c r="A5097" s="1257"/>
      <c r="B5097" s="1113"/>
      <c r="C5097" s="1107"/>
      <c r="D5097" s="103"/>
      <c r="E5097" s="1137"/>
      <c r="F5097" s="112"/>
      <c r="G5097" s="1110"/>
      <c r="H5097" s="1138"/>
      <c r="I5097" s="1138"/>
      <c r="J5097" s="1139"/>
      <c r="K5097" s="1111"/>
      <c r="L5097" s="1112"/>
      <c r="M5097" s="1113"/>
      <c r="N5097" s="110"/>
      <c r="O5097" s="1140"/>
      <c r="P5097" s="1115"/>
      <c r="Q5097" s="1116"/>
      <c r="R5097" s="1141"/>
      <c r="S5097" s="1113"/>
      <c r="T5097" s="1143"/>
      <c r="U5097" s="1108"/>
      <c r="V5097" s="1108"/>
      <c r="W5097" s="1108"/>
      <c r="X5097" s="1108"/>
      <c r="Y5097" s="1108"/>
      <c r="Z5097" s="1114"/>
      <c r="AA5097" s="1114"/>
      <c r="AB5097" s="1114"/>
      <c r="AC5097" s="1117"/>
      <c r="AD5097" s="1115"/>
      <c r="AE5097" s="1115"/>
      <c r="AF5097" s="1115"/>
      <c r="AG5097" s="1115"/>
      <c r="AH5097" s="1115"/>
      <c r="AI5097" s="1115"/>
      <c r="AJ5097" s="1117"/>
      <c r="AK5097" s="1118"/>
      <c r="AL5097" s="1115"/>
      <c r="AM5097" s="1115"/>
      <c r="AN5097" s="1115"/>
      <c r="AO5097" s="1115"/>
      <c r="AP5097" s="1115"/>
      <c r="AQ5097" s="1115"/>
      <c r="AR5097" s="1115"/>
      <c r="AS5097" s="1117"/>
      <c r="AT5097" s="1075"/>
      <c r="AU5097" s="1193"/>
      <c r="AV5097" s="330"/>
      <c r="AW5097" s="331"/>
      <c r="AX5097" s="331"/>
      <c r="AY5097" s="331"/>
      <c r="AZ5097" s="331"/>
      <c r="BA5097" s="331"/>
      <c r="BB5097" s="331"/>
      <c r="BC5097" s="331"/>
      <c r="BD5097" s="331"/>
      <c r="BE5097" s="333"/>
      <c r="BF5097" s="330"/>
      <c r="BG5097" s="333"/>
      <c r="BH5097" s="1119"/>
      <c r="BI5097" s="319"/>
      <c r="BJ5097" s="319"/>
      <c r="BK5097" s="319"/>
      <c r="BL5097" s="319"/>
      <c r="BM5097" s="319"/>
      <c r="BN5097" s="319"/>
      <c r="BO5097" s="319"/>
      <c r="BP5097" s="953"/>
      <c r="BQ5097" s="319"/>
      <c r="BR5097" s="319"/>
      <c r="BS5097" s="330"/>
      <c r="BT5097" s="331"/>
      <c r="BU5097" s="920"/>
      <c r="BV5097" s="903"/>
      <c r="BW5097" s="908"/>
      <c r="BX5097" s="908"/>
      <c r="BY5097" s="331"/>
      <c r="BZ5097" s="331"/>
      <c r="CA5097" s="462"/>
      <c r="CB5097" s="319"/>
      <c r="CC5097" s="319"/>
      <c r="CD5097" s="319"/>
      <c r="CE5097" s="319"/>
      <c r="CF5097" s="319"/>
      <c r="CG5097" s="319"/>
      <c r="CH5097" s="318"/>
      <c r="CI5097" s="319"/>
      <c r="CJ5097" s="319"/>
      <c r="CK5097" s="342"/>
      <c r="CL5097" s="333"/>
      <c r="CM5097" s="1079"/>
      <c r="CN5097" s="1005"/>
      <c r="CO5097" s="1005"/>
      <c r="CP5097" s="1005"/>
    </row>
    <row r="5098">
      <c r="A5098" s="1257"/>
      <c r="B5098" s="1113"/>
      <c r="C5098" s="1107"/>
      <c r="D5098" s="103"/>
      <c r="E5098" s="1137"/>
      <c r="F5098" s="112"/>
      <c r="G5098" s="1110"/>
      <c r="H5098" s="1138"/>
      <c r="I5098" s="1138"/>
      <c r="J5098" s="1139"/>
      <c r="K5098" s="1111"/>
      <c r="L5098" s="1112"/>
      <c r="M5098" s="1113"/>
      <c r="N5098" s="110"/>
      <c r="O5098" s="1140"/>
      <c r="P5098" s="1115"/>
      <c r="Q5098" s="1116"/>
      <c r="R5098" s="1141"/>
      <c r="S5098" s="1113"/>
      <c r="T5098" s="1143"/>
      <c r="U5098" s="1108"/>
      <c r="V5098" s="1108"/>
      <c r="W5098" s="1108"/>
      <c r="X5098" s="1108"/>
      <c r="Y5098" s="1108"/>
      <c r="Z5098" s="1114"/>
      <c r="AA5098" s="1114"/>
      <c r="AB5098" s="1114"/>
      <c r="AC5098" s="1117"/>
      <c r="AD5098" s="1115"/>
      <c r="AE5098" s="1115"/>
      <c r="AF5098" s="1115"/>
      <c r="AG5098" s="1115"/>
      <c r="AH5098" s="1115"/>
      <c r="AI5098" s="1115"/>
      <c r="AJ5098" s="1117"/>
      <c r="AK5098" s="1118"/>
      <c r="AL5098" s="1115"/>
      <c r="AM5098" s="1115"/>
      <c r="AN5098" s="1115"/>
      <c r="AO5098" s="1115"/>
      <c r="AP5098" s="1115"/>
      <c r="AQ5098" s="1115"/>
      <c r="AR5098" s="1115"/>
      <c r="AS5098" s="1117"/>
      <c r="AT5098" s="1075"/>
      <c r="AU5098" s="1193"/>
      <c r="AV5098" s="330"/>
      <c r="AW5098" s="331"/>
      <c r="AX5098" s="331"/>
      <c r="AY5098" s="331"/>
      <c r="AZ5098" s="331"/>
      <c r="BA5098" s="331"/>
      <c r="BB5098" s="331"/>
      <c r="BC5098" s="331"/>
      <c r="BD5098" s="331"/>
      <c r="BE5098" s="333"/>
      <c r="BF5098" s="330"/>
      <c r="BG5098" s="333"/>
      <c r="BH5098" s="1119"/>
      <c r="BI5098" s="319"/>
      <c r="BJ5098" s="319"/>
      <c r="BK5098" s="319"/>
      <c r="BL5098" s="319"/>
      <c r="BM5098" s="319"/>
      <c r="BN5098" s="319"/>
      <c r="BO5098" s="319"/>
      <c r="BP5098" s="953"/>
      <c r="BQ5098" s="319"/>
      <c r="BR5098" s="319"/>
      <c r="BS5098" s="330"/>
      <c r="BT5098" s="331"/>
      <c r="BU5098" s="920"/>
      <c r="BV5098" s="903"/>
      <c r="BW5098" s="908"/>
      <c r="BX5098" s="908"/>
      <c r="BY5098" s="331"/>
      <c r="BZ5098" s="331"/>
      <c r="CA5098" s="462"/>
      <c r="CB5098" s="319"/>
      <c r="CC5098" s="319"/>
      <c r="CD5098" s="319"/>
      <c r="CE5098" s="319"/>
      <c r="CF5098" s="319"/>
      <c r="CG5098" s="319"/>
      <c r="CH5098" s="318"/>
      <c r="CI5098" s="319"/>
      <c r="CJ5098" s="319"/>
      <c r="CK5098" s="342"/>
      <c r="CL5098" s="333"/>
      <c r="CM5098" s="1079"/>
      <c r="CN5098" s="1005"/>
      <c r="CO5098" s="1005"/>
      <c r="CP5098" s="1005"/>
    </row>
    <row r="5099">
      <c r="A5099" s="1257"/>
      <c r="B5099" s="1113"/>
      <c r="C5099" s="1107"/>
      <c r="D5099" s="103"/>
      <c r="E5099" s="1137"/>
      <c r="F5099" s="112"/>
      <c r="G5099" s="1110"/>
      <c r="H5099" s="1138"/>
      <c r="I5099" s="1138"/>
      <c r="J5099" s="1139"/>
      <c r="K5099" s="1111"/>
      <c r="L5099" s="1112"/>
      <c r="M5099" s="1113"/>
      <c r="N5099" s="110"/>
      <c r="O5099" s="1140"/>
      <c r="P5099" s="1115"/>
      <c r="Q5099" s="1116"/>
      <c r="R5099" s="1141"/>
      <c r="S5099" s="1113"/>
      <c r="T5099" s="1143"/>
      <c r="U5099" s="1108"/>
      <c r="V5099" s="1108"/>
      <c r="W5099" s="1108"/>
      <c r="X5099" s="1108"/>
      <c r="Y5099" s="1108"/>
      <c r="Z5099" s="1114"/>
      <c r="AA5099" s="1114"/>
      <c r="AB5099" s="1114"/>
      <c r="AC5099" s="1117"/>
      <c r="AD5099" s="1115"/>
      <c r="AE5099" s="1115"/>
      <c r="AF5099" s="1115"/>
      <c r="AG5099" s="1115"/>
      <c r="AH5099" s="1115"/>
      <c r="AI5099" s="1115"/>
      <c r="AJ5099" s="1117"/>
      <c r="AK5099" s="1118"/>
      <c r="AL5099" s="1115"/>
      <c r="AM5099" s="1115"/>
      <c r="AN5099" s="1115"/>
      <c r="AO5099" s="1115"/>
      <c r="AP5099" s="1115"/>
      <c r="AQ5099" s="1115"/>
      <c r="AR5099" s="1115"/>
      <c r="AS5099" s="1117"/>
      <c r="AT5099" s="1075"/>
      <c r="AU5099" s="1193"/>
      <c r="AV5099" s="330"/>
      <c r="AW5099" s="331"/>
      <c r="AX5099" s="331"/>
      <c r="AY5099" s="331"/>
      <c r="AZ5099" s="331"/>
      <c r="BA5099" s="331"/>
      <c r="BB5099" s="331"/>
      <c r="BC5099" s="331"/>
      <c r="BD5099" s="331"/>
      <c r="BE5099" s="333"/>
      <c r="BF5099" s="330"/>
      <c r="BG5099" s="333"/>
      <c r="BH5099" s="1119"/>
      <c r="BI5099" s="319"/>
      <c r="BJ5099" s="319"/>
      <c r="BK5099" s="319"/>
      <c r="BL5099" s="319"/>
      <c r="BM5099" s="319"/>
      <c r="BN5099" s="319"/>
      <c r="BO5099" s="319"/>
      <c r="BP5099" s="953"/>
      <c r="BQ5099" s="319"/>
      <c r="BR5099" s="319"/>
      <c r="BS5099" s="330"/>
      <c r="BT5099" s="331"/>
      <c r="BU5099" s="920"/>
      <c r="BV5099" s="903"/>
      <c r="BW5099" s="908"/>
      <c r="BX5099" s="908"/>
      <c r="BY5099" s="331"/>
      <c r="BZ5099" s="331"/>
      <c r="CA5099" s="462"/>
      <c r="CB5099" s="319"/>
      <c r="CC5099" s="319"/>
      <c r="CD5099" s="319"/>
      <c r="CE5099" s="319"/>
      <c r="CF5099" s="319"/>
      <c r="CG5099" s="319"/>
      <c r="CH5099" s="318"/>
      <c r="CI5099" s="319"/>
      <c r="CJ5099" s="319"/>
      <c r="CK5099" s="342"/>
      <c r="CL5099" s="333"/>
      <c r="CM5099" s="1079"/>
      <c r="CN5099" s="1005"/>
      <c r="CO5099" s="1005"/>
      <c r="CP5099" s="1005"/>
    </row>
    <row r="5100">
      <c r="A5100" s="1257"/>
      <c r="B5100" s="1113"/>
      <c r="C5100" s="1107"/>
      <c r="D5100" s="103"/>
      <c r="E5100" s="1137"/>
      <c r="F5100" s="112"/>
      <c r="G5100" s="1110"/>
      <c r="H5100" s="1138"/>
      <c r="I5100" s="1138"/>
      <c r="J5100" s="1139"/>
      <c r="K5100" s="1111"/>
      <c r="L5100" s="1112"/>
      <c r="M5100" s="1113"/>
      <c r="N5100" s="110"/>
      <c r="O5100" s="1140"/>
      <c r="P5100" s="1115"/>
      <c r="Q5100" s="1116"/>
      <c r="R5100" s="1141"/>
      <c r="S5100" s="1113"/>
      <c r="T5100" s="1143"/>
      <c r="U5100" s="1108"/>
      <c r="V5100" s="1108"/>
      <c r="W5100" s="1108"/>
      <c r="X5100" s="1108"/>
      <c r="Y5100" s="1108"/>
      <c r="Z5100" s="1114"/>
      <c r="AA5100" s="1114"/>
      <c r="AB5100" s="1114"/>
      <c r="AC5100" s="1117"/>
      <c r="AD5100" s="1115"/>
      <c r="AE5100" s="1115"/>
      <c r="AF5100" s="1115"/>
      <c r="AG5100" s="1115"/>
      <c r="AH5100" s="1115"/>
      <c r="AI5100" s="1115"/>
      <c r="AJ5100" s="1117"/>
      <c r="AK5100" s="1118"/>
      <c r="AL5100" s="1115"/>
      <c r="AM5100" s="1115"/>
      <c r="AN5100" s="1115"/>
      <c r="AO5100" s="1115"/>
      <c r="AP5100" s="1115"/>
      <c r="AQ5100" s="1115"/>
      <c r="AR5100" s="1115"/>
      <c r="AS5100" s="1117"/>
      <c r="AT5100" s="1075"/>
      <c r="AU5100" s="1193"/>
      <c r="AV5100" s="330"/>
      <c r="AW5100" s="331"/>
      <c r="AX5100" s="331"/>
      <c r="AY5100" s="331"/>
      <c r="AZ5100" s="331"/>
      <c r="BA5100" s="331"/>
      <c r="BB5100" s="331"/>
      <c r="BC5100" s="331"/>
      <c r="BD5100" s="331"/>
      <c r="BE5100" s="333"/>
      <c r="BF5100" s="330"/>
      <c r="BG5100" s="333"/>
      <c r="BH5100" s="1119"/>
      <c r="BI5100" s="319"/>
      <c r="BJ5100" s="319"/>
      <c r="BK5100" s="319"/>
      <c r="BL5100" s="319"/>
      <c r="BM5100" s="319"/>
      <c r="BN5100" s="319"/>
      <c r="BO5100" s="319"/>
      <c r="BP5100" s="953"/>
      <c r="BQ5100" s="319"/>
      <c r="BR5100" s="319"/>
      <c r="BS5100" s="330"/>
      <c r="BT5100" s="331"/>
      <c r="BU5100" s="920"/>
      <c r="BV5100" s="903"/>
      <c r="BW5100" s="908"/>
      <c r="BX5100" s="908"/>
      <c r="BY5100" s="331"/>
      <c r="BZ5100" s="331"/>
      <c r="CA5100" s="462"/>
      <c r="CB5100" s="319"/>
      <c r="CC5100" s="319"/>
      <c r="CD5100" s="319"/>
      <c r="CE5100" s="319"/>
      <c r="CF5100" s="319"/>
      <c r="CG5100" s="319"/>
      <c r="CH5100" s="318"/>
      <c r="CI5100" s="319"/>
      <c r="CJ5100" s="319"/>
      <c r="CK5100" s="342"/>
      <c r="CL5100" s="333"/>
      <c r="CM5100" s="1079"/>
      <c r="CN5100" s="1005"/>
      <c r="CO5100" s="1005"/>
      <c r="CP5100" s="1005"/>
    </row>
    <row r="5101">
      <c r="A5101" s="1257"/>
      <c r="B5101" s="1113"/>
      <c r="C5101" s="1107"/>
      <c r="D5101" s="103"/>
      <c r="E5101" s="1137"/>
      <c r="F5101" s="112"/>
      <c r="G5101" s="1110"/>
      <c r="H5101" s="1138"/>
      <c r="I5101" s="1138"/>
      <c r="J5101" s="1139"/>
      <c r="K5101" s="1111"/>
      <c r="L5101" s="1112"/>
      <c r="M5101" s="1113"/>
      <c r="N5101" s="110"/>
      <c r="O5101" s="1140"/>
      <c r="P5101" s="1115"/>
      <c r="Q5101" s="1116"/>
      <c r="R5101" s="1141"/>
      <c r="S5101" s="1113"/>
      <c r="T5101" s="1143"/>
      <c r="U5101" s="1108"/>
      <c r="V5101" s="1108"/>
      <c r="W5101" s="1108"/>
      <c r="X5101" s="1108"/>
      <c r="Y5101" s="1108"/>
      <c r="Z5101" s="1114"/>
      <c r="AA5101" s="1114"/>
      <c r="AB5101" s="1114"/>
      <c r="AC5101" s="1117"/>
      <c r="AD5101" s="1115"/>
      <c r="AE5101" s="1115"/>
      <c r="AF5101" s="1115"/>
      <c r="AG5101" s="1115"/>
      <c r="AH5101" s="1115"/>
      <c r="AI5101" s="1115"/>
      <c r="AJ5101" s="1117"/>
      <c r="AK5101" s="1118"/>
      <c r="AL5101" s="1115"/>
      <c r="AM5101" s="1115"/>
      <c r="AN5101" s="1115"/>
      <c r="AO5101" s="1115"/>
      <c r="AP5101" s="1115"/>
      <c r="AQ5101" s="1115"/>
      <c r="AR5101" s="1115"/>
      <c r="AS5101" s="1117"/>
      <c r="AT5101" s="1075"/>
      <c r="AU5101" s="1193"/>
      <c r="AV5101" s="330"/>
      <c r="AW5101" s="331"/>
      <c r="AX5101" s="331"/>
      <c r="AY5101" s="331"/>
      <c r="AZ5101" s="331"/>
      <c r="BA5101" s="331"/>
      <c r="BB5101" s="331"/>
      <c r="BC5101" s="331"/>
      <c r="BD5101" s="331"/>
      <c r="BE5101" s="333"/>
      <c r="BF5101" s="330"/>
      <c r="BG5101" s="333"/>
      <c r="BH5101" s="1119"/>
      <c r="BI5101" s="319"/>
      <c r="BJ5101" s="319"/>
      <c r="BK5101" s="319"/>
      <c r="BL5101" s="319"/>
      <c r="BM5101" s="319"/>
      <c r="BN5101" s="319"/>
      <c r="BO5101" s="319"/>
      <c r="BP5101" s="953"/>
      <c r="BQ5101" s="319"/>
      <c r="BR5101" s="319"/>
      <c r="BS5101" s="330"/>
      <c r="BT5101" s="331"/>
      <c r="BU5101" s="920"/>
      <c r="BV5101" s="903"/>
      <c r="BW5101" s="908"/>
      <c r="BX5101" s="908"/>
      <c r="BY5101" s="331"/>
      <c r="BZ5101" s="331"/>
      <c r="CA5101" s="462"/>
      <c r="CB5101" s="319"/>
      <c r="CC5101" s="319"/>
      <c r="CD5101" s="319"/>
      <c r="CE5101" s="319"/>
      <c r="CF5101" s="319"/>
      <c r="CG5101" s="319"/>
      <c r="CH5101" s="318"/>
      <c r="CI5101" s="319"/>
      <c r="CJ5101" s="319"/>
      <c r="CK5101" s="342"/>
      <c r="CL5101" s="333"/>
      <c r="CM5101" s="1079"/>
      <c r="CN5101" s="1005"/>
      <c r="CO5101" s="1005"/>
      <c r="CP5101" s="1005"/>
    </row>
    <row r="5102">
      <c r="A5102" s="1257"/>
      <c r="B5102" s="1113"/>
      <c r="C5102" s="1107"/>
      <c r="D5102" s="103"/>
      <c r="E5102" s="1137"/>
      <c r="F5102" s="112"/>
      <c r="G5102" s="1110"/>
      <c r="H5102" s="1138"/>
      <c r="I5102" s="1138"/>
      <c r="J5102" s="1139"/>
      <c r="K5102" s="1111"/>
      <c r="L5102" s="1112"/>
      <c r="M5102" s="1113"/>
      <c r="N5102" s="110"/>
      <c r="O5102" s="1140"/>
      <c r="P5102" s="1115"/>
      <c r="Q5102" s="1116"/>
      <c r="R5102" s="1141"/>
      <c r="S5102" s="1113"/>
      <c r="T5102" s="1143"/>
      <c r="U5102" s="1108"/>
      <c r="V5102" s="1108"/>
      <c r="W5102" s="1108"/>
      <c r="X5102" s="1108"/>
      <c r="Y5102" s="1108"/>
      <c r="Z5102" s="1114"/>
      <c r="AA5102" s="1114"/>
      <c r="AB5102" s="1114"/>
      <c r="AC5102" s="1117"/>
      <c r="AD5102" s="1115"/>
      <c r="AE5102" s="1115"/>
      <c r="AF5102" s="1115"/>
      <c r="AG5102" s="1115"/>
      <c r="AH5102" s="1115"/>
      <c r="AI5102" s="1115"/>
      <c r="AJ5102" s="1117"/>
      <c r="AK5102" s="1118"/>
      <c r="AL5102" s="1115"/>
      <c r="AM5102" s="1115"/>
      <c r="AN5102" s="1115"/>
      <c r="AO5102" s="1115"/>
      <c r="AP5102" s="1115"/>
      <c r="AQ5102" s="1115"/>
      <c r="AR5102" s="1115"/>
      <c r="AS5102" s="1117"/>
      <c r="AT5102" s="1075"/>
      <c r="AU5102" s="1193"/>
      <c r="AV5102" s="330"/>
      <c r="AW5102" s="331"/>
      <c r="AX5102" s="331"/>
      <c r="AY5102" s="331"/>
      <c r="AZ5102" s="331"/>
      <c r="BA5102" s="331"/>
      <c r="BB5102" s="331"/>
      <c r="BC5102" s="331"/>
      <c r="BD5102" s="331"/>
      <c r="BE5102" s="333"/>
      <c r="BF5102" s="330"/>
      <c r="BG5102" s="333"/>
      <c r="BH5102" s="1119"/>
      <c r="BI5102" s="319"/>
      <c r="BJ5102" s="319"/>
      <c r="BK5102" s="319"/>
      <c r="BL5102" s="319"/>
      <c r="BM5102" s="319"/>
      <c r="BN5102" s="319"/>
      <c r="BO5102" s="319"/>
      <c r="BP5102" s="953"/>
      <c r="BQ5102" s="319"/>
      <c r="BR5102" s="319"/>
      <c r="BS5102" s="330"/>
      <c r="BT5102" s="331"/>
      <c r="BU5102" s="920"/>
      <c r="BV5102" s="903"/>
      <c r="BW5102" s="908"/>
      <c r="BX5102" s="908"/>
      <c r="BY5102" s="331"/>
      <c r="BZ5102" s="331"/>
      <c r="CA5102" s="462"/>
      <c r="CB5102" s="319"/>
      <c r="CC5102" s="319"/>
      <c r="CD5102" s="319"/>
      <c r="CE5102" s="319"/>
      <c r="CF5102" s="319"/>
      <c r="CG5102" s="319"/>
      <c r="CH5102" s="318"/>
      <c r="CI5102" s="319"/>
      <c r="CJ5102" s="319"/>
      <c r="CK5102" s="342"/>
      <c r="CL5102" s="333"/>
      <c r="CM5102" s="1079"/>
      <c r="CN5102" s="1005"/>
      <c r="CO5102" s="1005"/>
      <c r="CP5102" s="1005"/>
    </row>
    <row r="5103">
      <c r="A5103" s="1257"/>
      <c r="B5103" s="1113"/>
      <c r="C5103" s="1107"/>
      <c r="D5103" s="103"/>
      <c r="E5103" s="1137"/>
      <c r="F5103" s="112"/>
      <c r="G5103" s="1110"/>
      <c r="H5103" s="1138"/>
      <c r="I5103" s="1138"/>
      <c r="J5103" s="1139"/>
      <c r="K5103" s="1111"/>
      <c r="L5103" s="1112"/>
      <c r="M5103" s="1113"/>
      <c r="N5103" s="110"/>
      <c r="O5103" s="1140"/>
      <c r="P5103" s="1115"/>
      <c r="Q5103" s="1116"/>
      <c r="R5103" s="1141"/>
      <c r="S5103" s="1113"/>
      <c r="T5103" s="1143"/>
      <c r="U5103" s="1108"/>
      <c r="V5103" s="1108"/>
      <c r="W5103" s="1108"/>
      <c r="X5103" s="1108"/>
      <c r="Y5103" s="1108"/>
      <c r="Z5103" s="1114"/>
      <c r="AA5103" s="1114"/>
      <c r="AB5103" s="1114"/>
      <c r="AC5103" s="1117"/>
      <c r="AD5103" s="1115"/>
      <c r="AE5103" s="1115"/>
      <c r="AF5103" s="1115"/>
      <c r="AG5103" s="1115"/>
      <c r="AH5103" s="1115"/>
      <c r="AI5103" s="1115"/>
      <c r="AJ5103" s="1117"/>
      <c r="AK5103" s="1118"/>
      <c r="AL5103" s="1115"/>
      <c r="AM5103" s="1115"/>
      <c r="AN5103" s="1115"/>
      <c r="AO5103" s="1115"/>
      <c r="AP5103" s="1115"/>
      <c r="AQ5103" s="1115"/>
      <c r="AR5103" s="1115"/>
      <c r="AS5103" s="1117"/>
      <c r="AT5103" s="1075"/>
      <c r="AU5103" s="1193"/>
      <c r="AV5103" s="330"/>
      <c r="AW5103" s="331"/>
      <c r="AX5103" s="331"/>
      <c r="AY5103" s="331"/>
      <c r="AZ5103" s="331"/>
      <c r="BA5103" s="331"/>
      <c r="BB5103" s="331"/>
      <c r="BC5103" s="331"/>
      <c r="BD5103" s="331"/>
      <c r="BE5103" s="333"/>
      <c r="BF5103" s="330"/>
      <c r="BG5103" s="333"/>
      <c r="BH5103" s="1119"/>
      <c r="BI5103" s="319"/>
      <c r="BJ5103" s="319"/>
      <c r="BK5103" s="319"/>
      <c r="BL5103" s="319"/>
      <c r="BM5103" s="319"/>
      <c r="BN5103" s="319"/>
      <c r="BO5103" s="319"/>
      <c r="BP5103" s="953"/>
      <c r="BQ5103" s="319"/>
      <c r="BR5103" s="319"/>
      <c r="BS5103" s="330"/>
      <c r="BT5103" s="331"/>
      <c r="BU5103" s="920"/>
      <c r="BV5103" s="903"/>
      <c r="BW5103" s="908"/>
      <c r="BX5103" s="908"/>
      <c r="BY5103" s="331"/>
      <c r="BZ5103" s="331"/>
      <c r="CA5103" s="462"/>
      <c r="CB5103" s="319"/>
      <c r="CC5103" s="319"/>
      <c r="CD5103" s="319"/>
      <c r="CE5103" s="319"/>
      <c r="CF5103" s="319"/>
      <c r="CG5103" s="319"/>
      <c r="CH5103" s="318"/>
      <c r="CI5103" s="319"/>
      <c r="CJ5103" s="319"/>
      <c r="CK5103" s="342"/>
      <c r="CL5103" s="333"/>
      <c r="CM5103" s="1079"/>
      <c r="CN5103" s="1005"/>
      <c r="CO5103" s="1005"/>
      <c r="CP5103" s="1005"/>
    </row>
    <row r="5104">
      <c r="A5104" s="1257"/>
      <c r="B5104" s="1113"/>
      <c r="C5104" s="1107"/>
      <c r="D5104" s="103"/>
      <c r="E5104" s="1137"/>
      <c r="F5104" s="112"/>
      <c r="G5104" s="1110"/>
      <c r="H5104" s="1138"/>
      <c r="I5104" s="1138"/>
      <c r="J5104" s="1139"/>
      <c r="K5104" s="1111"/>
      <c r="L5104" s="1112"/>
      <c r="M5104" s="1113"/>
      <c r="N5104" s="110"/>
      <c r="O5104" s="1140"/>
      <c r="P5104" s="1115"/>
      <c r="Q5104" s="1116"/>
      <c r="R5104" s="1141"/>
      <c r="S5104" s="1113"/>
      <c r="T5104" s="1143"/>
      <c r="U5104" s="1108"/>
      <c r="V5104" s="1108"/>
      <c r="W5104" s="1108"/>
      <c r="X5104" s="1108"/>
      <c r="Y5104" s="1108"/>
      <c r="Z5104" s="1114"/>
      <c r="AA5104" s="1114"/>
      <c r="AB5104" s="1114"/>
      <c r="AC5104" s="1117"/>
      <c r="AD5104" s="1115"/>
      <c r="AE5104" s="1115"/>
      <c r="AF5104" s="1115"/>
      <c r="AG5104" s="1115"/>
      <c r="AH5104" s="1115"/>
      <c r="AI5104" s="1115"/>
      <c r="AJ5104" s="1117"/>
      <c r="AK5104" s="1118"/>
      <c r="AL5104" s="1115"/>
      <c r="AM5104" s="1115"/>
      <c r="AN5104" s="1115"/>
      <c r="AO5104" s="1115"/>
      <c r="AP5104" s="1115"/>
      <c r="AQ5104" s="1115"/>
      <c r="AR5104" s="1115"/>
      <c r="AS5104" s="1117"/>
      <c r="AT5104" s="1075"/>
      <c r="AU5104" s="1193"/>
      <c r="AV5104" s="330"/>
      <c r="AW5104" s="331"/>
      <c r="AX5104" s="331"/>
      <c r="AY5104" s="331"/>
      <c r="AZ5104" s="331"/>
      <c r="BA5104" s="331"/>
      <c r="BB5104" s="331"/>
      <c r="BC5104" s="331"/>
      <c r="BD5104" s="331"/>
      <c r="BE5104" s="333"/>
      <c r="BF5104" s="330"/>
      <c r="BG5104" s="333"/>
      <c r="BH5104" s="1119"/>
      <c r="BI5104" s="319"/>
      <c r="BJ5104" s="319"/>
      <c r="BK5104" s="319"/>
      <c r="BL5104" s="319"/>
      <c r="BM5104" s="319"/>
      <c r="BN5104" s="319"/>
      <c r="BO5104" s="319"/>
      <c r="BP5104" s="953"/>
      <c r="BQ5104" s="319"/>
      <c r="BR5104" s="319"/>
      <c r="BS5104" s="330"/>
      <c r="BT5104" s="331"/>
      <c r="BU5104" s="920"/>
      <c r="BV5104" s="903"/>
      <c r="BW5104" s="908"/>
      <c r="BX5104" s="908"/>
      <c r="BY5104" s="331"/>
      <c r="BZ5104" s="331"/>
      <c r="CA5104" s="462"/>
      <c r="CB5104" s="319"/>
      <c r="CC5104" s="319"/>
      <c r="CD5104" s="319"/>
      <c r="CE5104" s="319"/>
      <c r="CF5104" s="319"/>
      <c r="CG5104" s="319"/>
      <c r="CH5104" s="318"/>
      <c r="CI5104" s="319"/>
      <c r="CJ5104" s="319"/>
      <c r="CK5104" s="342"/>
      <c r="CL5104" s="333"/>
      <c r="CM5104" s="1079"/>
      <c r="CN5104" s="1005"/>
      <c r="CO5104" s="1005"/>
      <c r="CP5104" s="1005"/>
    </row>
    <row r="5105">
      <c r="A5105" s="1257"/>
      <c r="B5105" s="1113"/>
      <c r="C5105" s="1107"/>
      <c r="D5105" s="103"/>
      <c r="E5105" s="1137"/>
      <c r="F5105" s="112"/>
      <c r="G5105" s="1110"/>
      <c r="H5105" s="1138"/>
      <c r="I5105" s="1138"/>
      <c r="J5105" s="1139"/>
      <c r="K5105" s="1111"/>
      <c r="L5105" s="1112"/>
      <c r="M5105" s="1113"/>
      <c r="N5105" s="110"/>
      <c r="O5105" s="1140"/>
      <c r="P5105" s="1115"/>
      <c r="Q5105" s="1116"/>
      <c r="R5105" s="1141"/>
      <c r="S5105" s="1113"/>
      <c r="T5105" s="1143"/>
      <c r="U5105" s="1108"/>
      <c r="V5105" s="1108"/>
      <c r="W5105" s="1108"/>
      <c r="X5105" s="1108"/>
      <c r="Y5105" s="1108"/>
      <c r="Z5105" s="1114"/>
      <c r="AA5105" s="1114"/>
      <c r="AB5105" s="1114"/>
      <c r="AC5105" s="1117"/>
      <c r="AD5105" s="1115"/>
      <c r="AE5105" s="1115"/>
      <c r="AF5105" s="1115"/>
      <c r="AG5105" s="1115"/>
      <c r="AH5105" s="1115"/>
      <c r="AI5105" s="1115"/>
      <c r="AJ5105" s="1117"/>
      <c r="AK5105" s="1118"/>
      <c r="AL5105" s="1115"/>
      <c r="AM5105" s="1115"/>
      <c r="AN5105" s="1115"/>
      <c r="AO5105" s="1115"/>
      <c r="AP5105" s="1115"/>
      <c r="AQ5105" s="1115"/>
      <c r="AR5105" s="1115"/>
      <c r="AS5105" s="1117"/>
      <c r="AT5105" s="1075"/>
      <c r="AU5105" s="1193"/>
      <c r="AV5105" s="330"/>
      <c r="AW5105" s="331"/>
      <c r="AX5105" s="331"/>
      <c r="AY5105" s="331"/>
      <c r="AZ5105" s="331"/>
      <c r="BA5105" s="331"/>
      <c r="BB5105" s="331"/>
      <c r="BC5105" s="331"/>
      <c r="BD5105" s="331"/>
      <c r="BE5105" s="333"/>
      <c r="BF5105" s="330"/>
      <c r="BG5105" s="333"/>
      <c r="BH5105" s="1119"/>
      <c r="BI5105" s="319"/>
      <c r="BJ5105" s="319"/>
      <c r="BK5105" s="319"/>
      <c r="BL5105" s="319"/>
      <c r="BM5105" s="319"/>
      <c r="BN5105" s="319"/>
      <c r="BO5105" s="319"/>
      <c r="BP5105" s="953"/>
      <c r="BQ5105" s="319"/>
      <c r="BR5105" s="319"/>
      <c r="BS5105" s="330"/>
      <c r="BT5105" s="331"/>
      <c r="BU5105" s="920"/>
      <c r="BV5105" s="903"/>
      <c r="BW5105" s="908"/>
      <c r="BX5105" s="908"/>
      <c r="BY5105" s="331"/>
      <c r="BZ5105" s="331"/>
      <c r="CA5105" s="462"/>
      <c r="CB5105" s="319"/>
      <c r="CC5105" s="319"/>
      <c r="CD5105" s="319"/>
      <c r="CE5105" s="319"/>
      <c r="CF5105" s="319"/>
      <c r="CG5105" s="319"/>
      <c r="CH5105" s="318"/>
      <c r="CI5105" s="319"/>
      <c r="CJ5105" s="319"/>
      <c r="CK5105" s="342"/>
      <c r="CL5105" s="333"/>
      <c r="CM5105" s="1079"/>
      <c r="CN5105" s="1005"/>
      <c r="CO5105" s="1005"/>
      <c r="CP5105" s="1005"/>
    </row>
    <row r="5106">
      <c r="A5106" s="1257"/>
      <c r="B5106" s="1113"/>
      <c r="C5106" s="1107"/>
      <c r="D5106" s="103"/>
      <c r="E5106" s="1137"/>
      <c r="F5106" s="112"/>
      <c r="G5106" s="1110"/>
      <c r="H5106" s="1138"/>
      <c r="I5106" s="1138"/>
      <c r="J5106" s="1139"/>
      <c r="K5106" s="1111"/>
      <c r="L5106" s="1112"/>
      <c r="M5106" s="1113"/>
      <c r="N5106" s="110"/>
      <c r="O5106" s="1140"/>
      <c r="P5106" s="1115"/>
      <c r="Q5106" s="1116"/>
      <c r="R5106" s="1141"/>
      <c r="S5106" s="1113"/>
      <c r="T5106" s="1143"/>
      <c r="U5106" s="1108"/>
      <c r="V5106" s="1108"/>
      <c r="W5106" s="1108"/>
      <c r="X5106" s="1108"/>
      <c r="Y5106" s="1108"/>
      <c r="Z5106" s="1114"/>
      <c r="AA5106" s="1114"/>
      <c r="AB5106" s="1114"/>
      <c r="AC5106" s="1117"/>
      <c r="AD5106" s="1115"/>
      <c r="AE5106" s="1115"/>
      <c r="AF5106" s="1115"/>
      <c r="AG5106" s="1115"/>
      <c r="AH5106" s="1115"/>
      <c r="AI5106" s="1115"/>
      <c r="AJ5106" s="1117"/>
      <c r="AK5106" s="1118"/>
      <c r="AL5106" s="1115"/>
      <c r="AM5106" s="1115"/>
      <c r="AN5106" s="1115"/>
      <c r="AO5106" s="1115"/>
      <c r="AP5106" s="1115"/>
      <c r="AQ5106" s="1115"/>
      <c r="AR5106" s="1115"/>
      <c r="AS5106" s="1117"/>
      <c r="AT5106" s="1075"/>
      <c r="AU5106" s="1193"/>
      <c r="AV5106" s="330"/>
      <c r="AW5106" s="331"/>
      <c r="AX5106" s="331"/>
      <c r="AY5106" s="331"/>
      <c r="AZ5106" s="331"/>
      <c r="BA5106" s="331"/>
      <c r="BB5106" s="331"/>
      <c r="BC5106" s="331"/>
      <c r="BD5106" s="331"/>
      <c r="BE5106" s="333"/>
      <c r="BF5106" s="330"/>
      <c r="BG5106" s="333"/>
      <c r="BH5106" s="1119"/>
      <c r="BI5106" s="319"/>
      <c r="BJ5106" s="319"/>
      <c r="BK5106" s="319"/>
      <c r="BL5106" s="319"/>
      <c r="BM5106" s="319"/>
      <c r="BN5106" s="319"/>
      <c r="BO5106" s="319"/>
      <c r="BP5106" s="953"/>
      <c r="BQ5106" s="319"/>
      <c r="BR5106" s="319"/>
      <c r="BS5106" s="330"/>
      <c r="BT5106" s="331"/>
      <c r="BU5106" s="920"/>
      <c r="BV5106" s="903"/>
      <c r="BW5106" s="908"/>
      <c r="BX5106" s="908"/>
      <c r="BY5106" s="331"/>
      <c r="BZ5106" s="331"/>
      <c r="CA5106" s="462"/>
      <c r="CB5106" s="319"/>
      <c r="CC5106" s="319"/>
      <c r="CD5106" s="319"/>
      <c r="CE5106" s="319"/>
      <c r="CF5106" s="319"/>
      <c r="CG5106" s="319"/>
      <c r="CH5106" s="318"/>
      <c r="CI5106" s="319"/>
      <c r="CJ5106" s="319"/>
      <c r="CK5106" s="342"/>
      <c r="CL5106" s="333"/>
      <c r="CM5106" s="1079"/>
      <c r="CN5106" s="1005"/>
      <c r="CO5106" s="1005"/>
      <c r="CP5106" s="1005"/>
    </row>
    <row r="5107">
      <c r="A5107" s="1257"/>
      <c r="B5107" s="1113"/>
      <c r="C5107" s="1107"/>
      <c r="D5107" s="103"/>
      <c r="E5107" s="1137"/>
      <c r="F5107" s="112"/>
      <c r="G5107" s="1110"/>
      <c r="H5107" s="1138"/>
      <c r="I5107" s="1138"/>
      <c r="J5107" s="1139"/>
      <c r="K5107" s="1111"/>
      <c r="L5107" s="1112"/>
      <c r="M5107" s="1113"/>
      <c r="N5107" s="110"/>
      <c r="O5107" s="1140"/>
      <c r="P5107" s="1115"/>
      <c r="Q5107" s="1116"/>
      <c r="R5107" s="1141"/>
      <c r="S5107" s="1113"/>
      <c r="T5107" s="1143"/>
      <c r="U5107" s="1108"/>
      <c r="V5107" s="1108"/>
      <c r="W5107" s="1108"/>
      <c r="X5107" s="1108"/>
      <c r="Y5107" s="1108"/>
      <c r="Z5107" s="1114"/>
      <c r="AA5107" s="1114"/>
      <c r="AB5107" s="1114"/>
      <c r="AC5107" s="1117"/>
      <c r="AD5107" s="1115"/>
      <c r="AE5107" s="1115"/>
      <c r="AF5107" s="1115"/>
      <c r="AG5107" s="1115"/>
      <c r="AH5107" s="1115"/>
      <c r="AI5107" s="1115"/>
      <c r="AJ5107" s="1117"/>
      <c r="AK5107" s="1118"/>
      <c r="AL5107" s="1115"/>
      <c r="AM5107" s="1115"/>
      <c r="AN5107" s="1115"/>
      <c r="AO5107" s="1115"/>
      <c r="AP5107" s="1115"/>
      <c r="AQ5107" s="1115"/>
      <c r="AR5107" s="1115"/>
      <c r="AS5107" s="1117"/>
      <c r="AT5107" s="1075"/>
      <c r="AU5107" s="1193"/>
      <c r="AV5107" s="330"/>
      <c r="AW5107" s="331"/>
      <c r="AX5107" s="331"/>
      <c r="AY5107" s="331"/>
      <c r="AZ5107" s="331"/>
      <c r="BA5107" s="331"/>
      <c r="BB5107" s="331"/>
      <c r="BC5107" s="331"/>
      <c r="BD5107" s="331"/>
      <c r="BE5107" s="333"/>
      <c r="BF5107" s="330"/>
      <c r="BG5107" s="333"/>
      <c r="BH5107" s="1119"/>
      <c r="BI5107" s="319"/>
      <c r="BJ5107" s="319"/>
      <c r="BK5107" s="319"/>
      <c r="BL5107" s="319"/>
      <c r="BM5107" s="319"/>
      <c r="BN5107" s="319"/>
      <c r="BO5107" s="319"/>
      <c r="BP5107" s="953"/>
      <c r="BQ5107" s="319"/>
      <c r="BR5107" s="319"/>
      <c r="BS5107" s="330"/>
      <c r="BT5107" s="331"/>
      <c r="BU5107" s="920"/>
      <c r="BV5107" s="903"/>
      <c r="BW5107" s="908"/>
      <c r="BX5107" s="908"/>
      <c r="BY5107" s="331"/>
      <c r="BZ5107" s="331"/>
      <c r="CA5107" s="462"/>
      <c r="CB5107" s="319"/>
      <c r="CC5107" s="319"/>
      <c r="CD5107" s="319"/>
      <c r="CE5107" s="319"/>
      <c r="CF5107" s="319"/>
      <c r="CG5107" s="319"/>
      <c r="CH5107" s="318"/>
      <c r="CI5107" s="319"/>
      <c r="CJ5107" s="319"/>
      <c r="CK5107" s="342"/>
      <c r="CL5107" s="333"/>
      <c r="CM5107" s="1079"/>
      <c r="CN5107" s="1005"/>
      <c r="CO5107" s="1005"/>
      <c r="CP5107" s="1005"/>
    </row>
    <row r="5108">
      <c r="A5108" s="1257"/>
      <c r="B5108" s="1113"/>
      <c r="C5108" s="1107"/>
      <c r="D5108" s="103"/>
      <c r="E5108" s="1137"/>
      <c r="F5108" s="112"/>
      <c r="G5108" s="1110"/>
      <c r="H5108" s="1138"/>
      <c r="I5108" s="1138"/>
      <c r="J5108" s="1139"/>
      <c r="K5108" s="1111"/>
      <c r="L5108" s="1112"/>
      <c r="M5108" s="1113"/>
      <c r="N5108" s="110"/>
      <c r="O5108" s="1140"/>
      <c r="P5108" s="1115"/>
      <c r="Q5108" s="1116"/>
      <c r="R5108" s="1141"/>
      <c r="S5108" s="1113"/>
      <c r="T5108" s="1143"/>
      <c r="U5108" s="1108"/>
      <c r="V5108" s="1108"/>
      <c r="W5108" s="1108"/>
      <c r="X5108" s="1108"/>
      <c r="Y5108" s="1108"/>
      <c r="Z5108" s="1114"/>
      <c r="AA5108" s="1114"/>
      <c r="AB5108" s="1114"/>
      <c r="AC5108" s="1117"/>
      <c r="AD5108" s="1115"/>
      <c r="AE5108" s="1115"/>
      <c r="AF5108" s="1115"/>
      <c r="AG5108" s="1115"/>
      <c r="AH5108" s="1115"/>
      <c r="AI5108" s="1115"/>
      <c r="AJ5108" s="1117"/>
      <c r="AK5108" s="1118"/>
      <c r="AL5108" s="1115"/>
      <c r="AM5108" s="1115"/>
      <c r="AN5108" s="1115"/>
      <c r="AO5108" s="1115"/>
      <c r="AP5108" s="1115"/>
      <c r="AQ5108" s="1115"/>
      <c r="AR5108" s="1115"/>
      <c r="AS5108" s="1117"/>
      <c r="AT5108" s="1075"/>
      <c r="AU5108" s="1193"/>
      <c r="AV5108" s="330"/>
      <c r="AW5108" s="331"/>
      <c r="AX5108" s="331"/>
      <c r="AY5108" s="331"/>
      <c r="AZ5108" s="331"/>
      <c r="BA5108" s="331"/>
      <c r="BB5108" s="331"/>
      <c r="BC5108" s="331"/>
      <c r="BD5108" s="331"/>
      <c r="BE5108" s="333"/>
      <c r="BF5108" s="330"/>
      <c r="BG5108" s="333"/>
      <c r="BH5108" s="1119"/>
      <c r="BI5108" s="319"/>
      <c r="BJ5108" s="319"/>
      <c r="BK5108" s="319"/>
      <c r="BL5108" s="319"/>
      <c r="BM5108" s="319"/>
      <c r="BN5108" s="319"/>
      <c r="BO5108" s="319"/>
      <c r="BP5108" s="953"/>
      <c r="BQ5108" s="319"/>
      <c r="BR5108" s="319"/>
      <c r="BS5108" s="330"/>
      <c r="BT5108" s="331"/>
      <c r="BU5108" s="920"/>
      <c r="BV5108" s="903"/>
      <c r="BW5108" s="908"/>
      <c r="BX5108" s="908"/>
      <c r="BY5108" s="331"/>
      <c r="BZ5108" s="331"/>
      <c r="CA5108" s="462"/>
      <c r="CB5108" s="319"/>
      <c r="CC5108" s="319"/>
      <c r="CD5108" s="319"/>
      <c r="CE5108" s="319"/>
      <c r="CF5108" s="319"/>
      <c r="CG5108" s="319"/>
      <c r="CH5108" s="318"/>
      <c r="CI5108" s="319"/>
      <c r="CJ5108" s="319"/>
      <c r="CK5108" s="342"/>
      <c r="CL5108" s="333"/>
      <c r="CM5108" s="1079"/>
      <c r="CN5108" s="1005"/>
      <c r="CO5108" s="1005"/>
      <c r="CP5108" s="1005"/>
    </row>
    <row r="5109">
      <c r="A5109" s="1257"/>
      <c r="B5109" s="1113"/>
      <c r="C5109" s="1107"/>
      <c r="D5109" s="103"/>
      <c r="E5109" s="1137"/>
      <c r="F5109" s="112"/>
      <c r="G5109" s="1110"/>
      <c r="H5109" s="1138"/>
      <c r="I5109" s="1138"/>
      <c r="J5109" s="1139"/>
      <c r="K5109" s="1111"/>
      <c r="L5109" s="1112"/>
      <c r="M5109" s="1113"/>
      <c r="N5109" s="110"/>
      <c r="O5109" s="1140"/>
      <c r="P5109" s="1115"/>
      <c r="Q5109" s="1116"/>
      <c r="R5109" s="1141"/>
      <c r="S5109" s="1113"/>
      <c r="T5109" s="1143"/>
      <c r="U5109" s="1108"/>
      <c r="V5109" s="1108"/>
      <c r="W5109" s="1108"/>
      <c r="X5109" s="1108"/>
      <c r="Y5109" s="1108"/>
      <c r="Z5109" s="1114"/>
      <c r="AA5109" s="1114"/>
      <c r="AB5109" s="1114"/>
      <c r="AC5109" s="1117"/>
      <c r="AD5109" s="1115"/>
      <c r="AE5109" s="1115"/>
      <c r="AF5109" s="1115"/>
      <c r="AG5109" s="1115"/>
      <c r="AH5109" s="1115"/>
      <c r="AI5109" s="1115"/>
      <c r="AJ5109" s="1117"/>
      <c r="AK5109" s="1118"/>
      <c r="AL5109" s="1115"/>
      <c r="AM5109" s="1115"/>
      <c r="AN5109" s="1115"/>
      <c r="AO5109" s="1115"/>
      <c r="AP5109" s="1115"/>
      <c r="AQ5109" s="1115"/>
      <c r="AR5109" s="1115"/>
      <c r="AS5109" s="1117"/>
      <c r="AT5109" s="1075"/>
      <c r="AU5109" s="1193"/>
      <c r="AV5109" s="330"/>
      <c r="AW5109" s="331"/>
      <c r="AX5109" s="331"/>
      <c r="AY5109" s="331"/>
      <c r="AZ5109" s="331"/>
      <c r="BA5109" s="331"/>
      <c r="BB5109" s="331"/>
      <c r="BC5109" s="331"/>
      <c r="BD5109" s="331"/>
      <c r="BE5109" s="333"/>
      <c r="BF5109" s="330"/>
      <c r="BG5109" s="333"/>
      <c r="BH5109" s="1119"/>
      <c r="BI5109" s="319"/>
      <c r="BJ5109" s="319"/>
      <c r="BK5109" s="319"/>
      <c r="BL5109" s="319"/>
      <c r="BM5109" s="319"/>
      <c r="BN5109" s="319"/>
      <c r="BO5109" s="319"/>
      <c r="BP5109" s="953"/>
      <c r="BQ5109" s="319"/>
      <c r="BR5109" s="319"/>
      <c r="BS5109" s="330"/>
      <c r="BT5109" s="331"/>
      <c r="BU5109" s="920"/>
      <c r="BV5109" s="903"/>
      <c r="BW5109" s="908"/>
      <c r="BX5109" s="908"/>
      <c r="BY5109" s="331"/>
      <c r="BZ5109" s="331"/>
      <c r="CA5109" s="462"/>
      <c r="CB5109" s="319"/>
      <c r="CC5109" s="319"/>
      <c r="CD5109" s="319"/>
      <c r="CE5109" s="319"/>
      <c r="CF5109" s="319"/>
      <c r="CG5109" s="319"/>
      <c r="CH5109" s="318"/>
      <c r="CI5109" s="319"/>
      <c r="CJ5109" s="319"/>
      <c r="CK5109" s="342"/>
      <c r="CL5109" s="333"/>
      <c r="CM5109" s="1079"/>
      <c r="CN5109" s="1005"/>
      <c r="CO5109" s="1005"/>
      <c r="CP5109" s="1005"/>
    </row>
    <row r="5110">
      <c r="A5110" s="1257"/>
      <c r="B5110" s="1113"/>
      <c r="C5110" s="1107"/>
      <c r="D5110" s="103"/>
      <c r="E5110" s="1137"/>
      <c r="F5110" s="112"/>
      <c r="G5110" s="1110"/>
      <c r="H5110" s="1138"/>
      <c r="I5110" s="1138"/>
      <c r="J5110" s="1139"/>
      <c r="K5110" s="1111"/>
      <c r="L5110" s="1112"/>
      <c r="M5110" s="1113"/>
      <c r="N5110" s="110"/>
      <c r="O5110" s="1140"/>
      <c r="P5110" s="1115"/>
      <c r="Q5110" s="1116"/>
      <c r="R5110" s="1141"/>
      <c r="S5110" s="1113"/>
      <c r="T5110" s="1143"/>
      <c r="U5110" s="1108"/>
      <c r="V5110" s="1108"/>
      <c r="W5110" s="1108"/>
      <c r="X5110" s="1108"/>
      <c r="Y5110" s="1108"/>
      <c r="Z5110" s="1114"/>
      <c r="AA5110" s="1114"/>
      <c r="AB5110" s="1114"/>
      <c r="AC5110" s="1117"/>
      <c r="AD5110" s="1115"/>
      <c r="AE5110" s="1115"/>
      <c r="AF5110" s="1115"/>
      <c r="AG5110" s="1115"/>
      <c r="AH5110" s="1115"/>
      <c r="AI5110" s="1115"/>
      <c r="AJ5110" s="1117"/>
      <c r="AK5110" s="1118"/>
      <c r="AL5110" s="1115"/>
      <c r="AM5110" s="1115"/>
      <c r="AN5110" s="1115"/>
      <c r="AO5110" s="1115"/>
      <c r="AP5110" s="1115"/>
      <c r="AQ5110" s="1115"/>
      <c r="AR5110" s="1115"/>
      <c r="AS5110" s="1117"/>
      <c r="AT5110" s="1075"/>
      <c r="AU5110" s="1193"/>
      <c r="AV5110" s="330"/>
      <c r="AW5110" s="331"/>
      <c r="AX5110" s="331"/>
      <c r="AY5110" s="331"/>
      <c r="AZ5110" s="331"/>
      <c r="BA5110" s="331"/>
      <c r="BB5110" s="331"/>
      <c r="BC5110" s="331"/>
      <c r="BD5110" s="331"/>
      <c r="BE5110" s="333"/>
      <c r="BF5110" s="330"/>
      <c r="BG5110" s="333"/>
      <c r="BH5110" s="1119"/>
      <c r="BI5110" s="319"/>
      <c r="BJ5110" s="319"/>
      <c r="BK5110" s="319"/>
      <c r="BL5110" s="319"/>
      <c r="BM5110" s="319"/>
      <c r="BN5110" s="319"/>
      <c r="BO5110" s="319"/>
      <c r="BP5110" s="953"/>
      <c r="BQ5110" s="319"/>
      <c r="BR5110" s="319"/>
      <c r="BS5110" s="330"/>
      <c r="BT5110" s="331"/>
      <c r="BU5110" s="920"/>
      <c r="BV5110" s="903"/>
      <c r="BW5110" s="908"/>
      <c r="BX5110" s="908"/>
      <c r="BY5110" s="331"/>
      <c r="BZ5110" s="331"/>
      <c r="CA5110" s="462"/>
      <c r="CB5110" s="319"/>
      <c r="CC5110" s="319"/>
      <c r="CD5110" s="319"/>
      <c r="CE5110" s="319"/>
      <c r="CF5110" s="319"/>
      <c r="CG5110" s="319"/>
      <c r="CH5110" s="318"/>
      <c r="CI5110" s="319"/>
      <c r="CJ5110" s="319"/>
      <c r="CK5110" s="342"/>
      <c r="CL5110" s="333"/>
      <c r="CM5110" s="1079"/>
      <c r="CN5110" s="1005"/>
      <c r="CO5110" s="1005"/>
      <c r="CP5110" s="1005"/>
    </row>
    <row r="5111">
      <c r="A5111" s="1257"/>
      <c r="B5111" s="1113"/>
      <c r="C5111" s="1107"/>
      <c r="D5111" s="103"/>
      <c r="E5111" s="1137"/>
      <c r="F5111" s="112"/>
      <c r="G5111" s="1110"/>
      <c r="H5111" s="1138"/>
      <c r="I5111" s="1138"/>
      <c r="J5111" s="1139"/>
      <c r="K5111" s="1111"/>
      <c r="L5111" s="1112"/>
      <c r="M5111" s="1113"/>
      <c r="N5111" s="110"/>
      <c r="O5111" s="1140"/>
      <c r="P5111" s="1115"/>
      <c r="Q5111" s="1116"/>
      <c r="R5111" s="1141"/>
      <c r="S5111" s="1113"/>
      <c r="T5111" s="1143"/>
      <c r="U5111" s="1108"/>
      <c r="V5111" s="1108"/>
      <c r="W5111" s="1108"/>
      <c r="X5111" s="1108"/>
      <c r="Y5111" s="1108"/>
      <c r="Z5111" s="1114"/>
      <c r="AA5111" s="1114"/>
      <c r="AB5111" s="1114"/>
      <c r="AC5111" s="1117"/>
      <c r="AD5111" s="1115"/>
      <c r="AE5111" s="1115"/>
      <c r="AF5111" s="1115"/>
      <c r="AG5111" s="1115"/>
      <c r="AH5111" s="1115"/>
      <c r="AI5111" s="1115"/>
      <c r="AJ5111" s="1117"/>
      <c r="AK5111" s="1118"/>
      <c r="AL5111" s="1115"/>
      <c r="AM5111" s="1115"/>
      <c r="AN5111" s="1115"/>
      <c r="AO5111" s="1115"/>
      <c r="AP5111" s="1115"/>
      <c r="AQ5111" s="1115"/>
      <c r="AR5111" s="1115"/>
      <c r="AS5111" s="1117"/>
      <c r="AT5111" s="1075"/>
      <c r="AU5111" s="1193"/>
      <c r="AV5111" s="330"/>
      <c r="AW5111" s="331"/>
      <c r="AX5111" s="331"/>
      <c r="AY5111" s="331"/>
      <c r="AZ5111" s="331"/>
      <c r="BA5111" s="331"/>
      <c r="BB5111" s="331"/>
      <c r="BC5111" s="331"/>
      <c r="BD5111" s="331"/>
      <c r="BE5111" s="333"/>
      <c r="BF5111" s="330"/>
      <c r="BG5111" s="333"/>
      <c r="BH5111" s="1119"/>
      <c r="BI5111" s="319"/>
      <c r="BJ5111" s="319"/>
      <c r="BK5111" s="319"/>
      <c r="BL5111" s="319"/>
      <c r="BM5111" s="319"/>
      <c r="BN5111" s="319"/>
      <c r="BO5111" s="319"/>
      <c r="BP5111" s="953"/>
      <c r="BQ5111" s="319"/>
      <c r="BR5111" s="319"/>
      <c r="BS5111" s="330"/>
      <c r="BT5111" s="331"/>
      <c r="BU5111" s="920"/>
      <c r="BV5111" s="903"/>
      <c r="BW5111" s="908"/>
      <c r="BX5111" s="908"/>
      <c r="BY5111" s="331"/>
      <c r="BZ5111" s="331"/>
      <c r="CA5111" s="462"/>
      <c r="CB5111" s="319"/>
      <c r="CC5111" s="319"/>
      <c r="CD5111" s="319"/>
      <c r="CE5111" s="319"/>
      <c r="CF5111" s="319"/>
      <c r="CG5111" s="319"/>
      <c r="CH5111" s="318"/>
      <c r="CI5111" s="319"/>
      <c r="CJ5111" s="319"/>
      <c r="CK5111" s="342"/>
      <c r="CL5111" s="333"/>
      <c r="CM5111" s="1079"/>
      <c r="CN5111" s="1005"/>
      <c r="CO5111" s="1005"/>
      <c r="CP5111" s="1005"/>
    </row>
    <row r="5112">
      <c r="A5112" s="1257"/>
      <c r="B5112" s="1113"/>
      <c r="C5112" s="1107"/>
      <c r="D5112" s="103"/>
      <c r="E5112" s="1137"/>
      <c r="F5112" s="112"/>
      <c r="G5112" s="1110"/>
      <c r="H5112" s="1138"/>
      <c r="I5112" s="1138"/>
      <c r="J5112" s="1139"/>
      <c r="K5112" s="1111"/>
      <c r="L5112" s="1112"/>
      <c r="M5112" s="1113"/>
      <c r="N5112" s="110"/>
      <c r="O5112" s="1140"/>
      <c r="P5112" s="1115"/>
      <c r="Q5112" s="1116"/>
      <c r="R5112" s="1141"/>
      <c r="S5112" s="1113"/>
      <c r="T5112" s="1143"/>
      <c r="U5112" s="1108"/>
      <c r="V5112" s="1108"/>
      <c r="W5112" s="1108"/>
      <c r="X5112" s="1108"/>
      <c r="Y5112" s="1108"/>
      <c r="Z5112" s="1114"/>
      <c r="AA5112" s="1114"/>
      <c r="AB5112" s="1114"/>
      <c r="AC5112" s="1117"/>
      <c r="AD5112" s="1115"/>
      <c r="AE5112" s="1115"/>
      <c r="AF5112" s="1115"/>
      <c r="AG5112" s="1115"/>
      <c r="AH5112" s="1115"/>
      <c r="AI5112" s="1115"/>
      <c r="AJ5112" s="1117"/>
      <c r="AK5112" s="1118"/>
      <c r="AL5112" s="1115"/>
      <c r="AM5112" s="1115"/>
      <c r="AN5112" s="1115"/>
      <c r="AO5112" s="1115"/>
      <c r="AP5112" s="1115"/>
      <c r="AQ5112" s="1115"/>
      <c r="AR5112" s="1115"/>
      <c r="AS5112" s="1117"/>
      <c r="AT5112" s="1075"/>
      <c r="AU5112" s="1193"/>
      <c r="AV5112" s="330"/>
      <c r="AW5112" s="331"/>
      <c r="AX5112" s="331"/>
      <c r="AY5112" s="331"/>
      <c r="AZ5112" s="331"/>
      <c r="BA5112" s="331"/>
      <c r="BB5112" s="331"/>
      <c r="BC5112" s="331"/>
      <c r="BD5112" s="331"/>
      <c r="BE5112" s="333"/>
      <c r="BF5112" s="330"/>
      <c r="BG5112" s="333"/>
      <c r="BH5112" s="1119"/>
      <c r="BI5112" s="319"/>
      <c r="BJ5112" s="319"/>
      <c r="BK5112" s="319"/>
      <c r="BL5112" s="319"/>
      <c r="BM5112" s="319"/>
      <c r="BN5112" s="319"/>
      <c r="BO5112" s="319"/>
      <c r="BP5112" s="953"/>
      <c r="BQ5112" s="319"/>
      <c r="BR5112" s="319"/>
      <c r="BS5112" s="330"/>
      <c r="BT5112" s="331"/>
      <c r="BU5112" s="920"/>
      <c r="BV5112" s="903"/>
      <c r="BW5112" s="908"/>
      <c r="BX5112" s="908"/>
      <c r="BY5112" s="331"/>
      <c r="BZ5112" s="331"/>
      <c r="CA5112" s="462"/>
      <c r="CB5112" s="319"/>
      <c r="CC5112" s="319"/>
      <c r="CD5112" s="319"/>
      <c r="CE5112" s="319"/>
      <c r="CF5112" s="319"/>
      <c r="CG5112" s="319"/>
      <c r="CH5112" s="318"/>
      <c r="CI5112" s="319"/>
      <c r="CJ5112" s="319"/>
      <c r="CK5112" s="342"/>
      <c r="CL5112" s="333"/>
      <c r="CM5112" s="1079"/>
      <c r="CN5112" s="1005"/>
      <c r="CO5112" s="1005"/>
      <c r="CP5112" s="1005"/>
    </row>
    <row r="5113">
      <c r="A5113" s="1257"/>
      <c r="B5113" s="1113"/>
      <c r="C5113" s="1107"/>
      <c r="D5113" s="103"/>
      <c r="E5113" s="1137"/>
      <c r="F5113" s="112"/>
      <c r="G5113" s="1110"/>
      <c r="H5113" s="1138"/>
      <c r="I5113" s="1138"/>
      <c r="J5113" s="1139"/>
      <c r="K5113" s="1111"/>
      <c r="L5113" s="1112"/>
      <c r="M5113" s="1113"/>
      <c r="N5113" s="110"/>
      <c r="O5113" s="1140"/>
      <c r="P5113" s="1115"/>
      <c r="Q5113" s="1116"/>
      <c r="R5113" s="1141"/>
      <c r="S5113" s="1113"/>
      <c r="T5113" s="1143"/>
      <c r="U5113" s="1108"/>
      <c r="V5113" s="1108"/>
      <c r="W5113" s="1108"/>
      <c r="X5113" s="1108"/>
      <c r="Y5113" s="1108"/>
      <c r="Z5113" s="1114"/>
      <c r="AA5113" s="1114"/>
      <c r="AB5113" s="1114"/>
      <c r="AC5113" s="1117"/>
      <c r="AD5113" s="1115"/>
      <c r="AE5113" s="1115"/>
      <c r="AF5113" s="1115"/>
      <c r="AG5113" s="1115"/>
      <c r="AH5113" s="1115"/>
      <c r="AI5113" s="1115"/>
      <c r="AJ5113" s="1117"/>
      <c r="AK5113" s="1118"/>
      <c r="AL5113" s="1115"/>
      <c r="AM5113" s="1115"/>
      <c r="AN5113" s="1115"/>
      <c r="AO5113" s="1115"/>
      <c r="AP5113" s="1115"/>
      <c r="AQ5113" s="1115"/>
      <c r="AR5113" s="1115"/>
      <c r="AS5113" s="1117"/>
      <c r="AT5113" s="1075"/>
      <c r="AU5113" s="1193"/>
      <c r="AV5113" s="330"/>
      <c r="AW5113" s="331"/>
      <c r="AX5113" s="331"/>
      <c r="AY5113" s="331"/>
      <c r="AZ5113" s="331"/>
      <c r="BA5113" s="331"/>
      <c r="BB5113" s="331"/>
      <c r="BC5113" s="331"/>
      <c r="BD5113" s="331"/>
      <c r="BE5113" s="333"/>
      <c r="BF5113" s="330"/>
      <c r="BG5113" s="333"/>
      <c r="BH5113" s="1119"/>
      <c r="BI5113" s="319"/>
      <c r="BJ5113" s="319"/>
      <c r="BK5113" s="319"/>
      <c r="BL5113" s="319"/>
      <c r="BM5113" s="319"/>
      <c r="BN5113" s="319"/>
      <c r="BO5113" s="319"/>
      <c r="BP5113" s="953"/>
      <c r="BQ5113" s="319"/>
      <c r="BR5113" s="319"/>
      <c r="BS5113" s="330"/>
      <c r="BT5113" s="331"/>
      <c r="BU5113" s="920"/>
      <c r="BV5113" s="903"/>
      <c r="BW5113" s="908"/>
      <c r="BX5113" s="908"/>
      <c r="BY5113" s="331"/>
      <c r="BZ5113" s="331"/>
      <c r="CA5113" s="462"/>
      <c r="CB5113" s="319"/>
      <c r="CC5113" s="319"/>
      <c r="CD5113" s="319"/>
      <c r="CE5113" s="319"/>
      <c r="CF5113" s="319"/>
      <c r="CG5113" s="319"/>
      <c r="CH5113" s="318"/>
      <c r="CI5113" s="319"/>
      <c r="CJ5113" s="319"/>
      <c r="CK5113" s="342"/>
      <c r="CL5113" s="333"/>
      <c r="CM5113" s="1079"/>
      <c r="CN5113" s="1005"/>
      <c r="CO5113" s="1005"/>
      <c r="CP5113" s="1005"/>
    </row>
    <row r="5114">
      <c r="A5114" s="1257"/>
      <c r="B5114" s="1113"/>
      <c r="C5114" s="1107"/>
      <c r="D5114" s="103"/>
      <c r="E5114" s="1137"/>
      <c r="F5114" s="112"/>
      <c r="G5114" s="1110"/>
      <c r="H5114" s="1138"/>
      <c r="I5114" s="1138"/>
      <c r="J5114" s="1139"/>
      <c r="K5114" s="1111"/>
      <c r="L5114" s="1112"/>
      <c r="M5114" s="1113"/>
      <c r="N5114" s="110"/>
      <c r="O5114" s="1140"/>
      <c r="P5114" s="1115"/>
      <c r="Q5114" s="1116"/>
      <c r="R5114" s="1141"/>
      <c r="S5114" s="1113"/>
      <c r="T5114" s="1143"/>
      <c r="U5114" s="1108"/>
      <c r="V5114" s="1108"/>
      <c r="W5114" s="1108"/>
      <c r="X5114" s="1108"/>
      <c r="Y5114" s="1108"/>
      <c r="Z5114" s="1114"/>
      <c r="AA5114" s="1114"/>
      <c r="AB5114" s="1114"/>
      <c r="AC5114" s="1117"/>
      <c r="AD5114" s="1115"/>
      <c r="AE5114" s="1115"/>
      <c r="AF5114" s="1115"/>
      <c r="AG5114" s="1115"/>
      <c r="AH5114" s="1115"/>
      <c r="AI5114" s="1115"/>
      <c r="AJ5114" s="1117"/>
      <c r="AK5114" s="1118"/>
      <c r="AL5114" s="1115"/>
      <c r="AM5114" s="1115"/>
      <c r="AN5114" s="1115"/>
      <c r="AO5114" s="1115"/>
      <c r="AP5114" s="1115"/>
      <c r="AQ5114" s="1115"/>
      <c r="AR5114" s="1115"/>
      <c r="AS5114" s="1117"/>
      <c r="AT5114" s="1075"/>
      <c r="AU5114" s="1193"/>
      <c r="AV5114" s="330"/>
      <c r="AW5114" s="331"/>
      <c r="AX5114" s="331"/>
      <c r="AY5114" s="331"/>
      <c r="AZ5114" s="331"/>
      <c r="BA5114" s="331"/>
      <c r="BB5114" s="331"/>
      <c r="BC5114" s="331"/>
      <c r="BD5114" s="331"/>
      <c r="BE5114" s="333"/>
      <c r="BF5114" s="330"/>
      <c r="BG5114" s="333"/>
      <c r="BH5114" s="1119"/>
      <c r="BI5114" s="319"/>
      <c r="BJ5114" s="319"/>
      <c r="BK5114" s="319"/>
      <c r="BL5114" s="319"/>
      <c r="BM5114" s="319"/>
      <c r="BN5114" s="319"/>
      <c r="BO5114" s="319"/>
      <c r="BP5114" s="953"/>
      <c r="BQ5114" s="319"/>
      <c r="BR5114" s="319"/>
      <c r="BS5114" s="330"/>
      <c r="BT5114" s="331"/>
      <c r="BU5114" s="920"/>
      <c r="BV5114" s="903"/>
      <c r="BW5114" s="908"/>
      <c r="BX5114" s="908"/>
      <c r="BY5114" s="331"/>
      <c r="BZ5114" s="331"/>
      <c r="CA5114" s="462"/>
      <c r="CB5114" s="319"/>
      <c r="CC5114" s="319"/>
      <c r="CD5114" s="319"/>
      <c r="CE5114" s="319"/>
      <c r="CF5114" s="319"/>
      <c r="CG5114" s="319"/>
      <c r="CH5114" s="318"/>
      <c r="CI5114" s="319"/>
      <c r="CJ5114" s="319"/>
      <c r="CK5114" s="342"/>
      <c r="CL5114" s="333"/>
      <c r="CM5114" s="1079"/>
      <c r="CN5114" s="1005"/>
      <c r="CO5114" s="1005"/>
      <c r="CP5114" s="1005"/>
    </row>
    <row r="5115">
      <c r="A5115" s="1257"/>
      <c r="B5115" s="1113"/>
      <c r="C5115" s="1107"/>
      <c r="D5115" s="103"/>
      <c r="E5115" s="1137"/>
      <c r="F5115" s="112"/>
      <c r="G5115" s="1110"/>
      <c r="H5115" s="1138"/>
      <c r="I5115" s="1138"/>
      <c r="J5115" s="1139"/>
      <c r="K5115" s="1111"/>
      <c r="L5115" s="1112"/>
      <c r="M5115" s="1113"/>
      <c r="N5115" s="110"/>
      <c r="O5115" s="1140"/>
      <c r="P5115" s="1115"/>
      <c r="Q5115" s="1116"/>
      <c r="R5115" s="1141"/>
      <c r="S5115" s="1113"/>
      <c r="T5115" s="1143"/>
      <c r="U5115" s="1108"/>
      <c r="V5115" s="1108"/>
      <c r="W5115" s="1108"/>
      <c r="X5115" s="1108"/>
      <c r="Y5115" s="1108"/>
      <c r="Z5115" s="1114"/>
      <c r="AA5115" s="1114"/>
      <c r="AB5115" s="1114"/>
      <c r="AC5115" s="1117"/>
      <c r="AD5115" s="1115"/>
      <c r="AE5115" s="1115"/>
      <c r="AF5115" s="1115"/>
      <c r="AG5115" s="1115"/>
      <c r="AH5115" s="1115"/>
      <c r="AI5115" s="1115"/>
      <c r="AJ5115" s="1117"/>
      <c r="AK5115" s="1118"/>
      <c r="AL5115" s="1115"/>
      <c r="AM5115" s="1115"/>
      <c r="AN5115" s="1115"/>
      <c r="AO5115" s="1115"/>
      <c r="AP5115" s="1115"/>
      <c r="AQ5115" s="1115"/>
      <c r="AR5115" s="1115"/>
      <c r="AS5115" s="1117"/>
      <c r="AT5115" s="1075"/>
      <c r="AU5115" s="1193"/>
      <c r="AV5115" s="330"/>
      <c r="AW5115" s="331"/>
      <c r="AX5115" s="331"/>
      <c r="AY5115" s="331"/>
      <c r="AZ5115" s="331"/>
      <c r="BA5115" s="331"/>
      <c r="BB5115" s="331"/>
      <c r="BC5115" s="331"/>
      <c r="BD5115" s="331"/>
      <c r="BE5115" s="333"/>
      <c r="BF5115" s="330"/>
      <c r="BG5115" s="333"/>
      <c r="BH5115" s="1119"/>
      <c r="BI5115" s="319"/>
      <c r="BJ5115" s="319"/>
      <c r="BK5115" s="319"/>
      <c r="BL5115" s="319"/>
      <c r="BM5115" s="319"/>
      <c r="BN5115" s="319"/>
      <c r="BO5115" s="319"/>
      <c r="BP5115" s="953"/>
      <c r="BQ5115" s="319"/>
      <c r="BR5115" s="319"/>
      <c r="BS5115" s="330"/>
      <c r="BT5115" s="331"/>
      <c r="BU5115" s="920"/>
      <c r="BV5115" s="903"/>
      <c r="BW5115" s="908"/>
      <c r="BX5115" s="908"/>
      <c r="BY5115" s="331"/>
      <c r="BZ5115" s="331"/>
      <c r="CA5115" s="462"/>
      <c r="CB5115" s="319"/>
      <c r="CC5115" s="319"/>
      <c r="CD5115" s="319"/>
      <c r="CE5115" s="319"/>
      <c r="CF5115" s="319"/>
      <c r="CG5115" s="319"/>
      <c r="CH5115" s="318"/>
      <c r="CI5115" s="319"/>
      <c r="CJ5115" s="319"/>
      <c r="CK5115" s="342"/>
      <c r="CL5115" s="333"/>
      <c r="CM5115" s="1079"/>
      <c r="CN5115" s="1005"/>
      <c r="CO5115" s="1005"/>
      <c r="CP5115" s="1005"/>
    </row>
    <row r="5116">
      <c r="A5116" s="1257"/>
      <c r="B5116" s="1113"/>
      <c r="C5116" s="1107"/>
      <c r="D5116" s="103"/>
      <c r="E5116" s="1137"/>
      <c r="F5116" s="112"/>
      <c r="G5116" s="1110"/>
      <c r="H5116" s="1138"/>
      <c r="I5116" s="1138"/>
      <c r="J5116" s="1139"/>
      <c r="K5116" s="1111"/>
      <c r="L5116" s="1112"/>
      <c r="M5116" s="1113"/>
      <c r="N5116" s="110"/>
      <c r="O5116" s="1140"/>
      <c r="P5116" s="1115"/>
      <c r="Q5116" s="1116"/>
      <c r="R5116" s="1141"/>
      <c r="S5116" s="1113"/>
      <c r="T5116" s="1143"/>
      <c r="U5116" s="1108"/>
      <c r="V5116" s="1108"/>
      <c r="W5116" s="1108"/>
      <c r="X5116" s="1108"/>
      <c r="Y5116" s="1108"/>
      <c r="Z5116" s="1114"/>
      <c r="AA5116" s="1114"/>
      <c r="AB5116" s="1114"/>
      <c r="AC5116" s="1117"/>
      <c r="AD5116" s="1115"/>
      <c r="AE5116" s="1115"/>
      <c r="AF5116" s="1115"/>
      <c r="AG5116" s="1115"/>
      <c r="AH5116" s="1115"/>
      <c r="AI5116" s="1115"/>
      <c r="AJ5116" s="1117"/>
      <c r="AK5116" s="1118"/>
      <c r="AL5116" s="1115"/>
      <c r="AM5116" s="1115"/>
      <c r="AN5116" s="1115"/>
      <c r="AO5116" s="1115"/>
      <c r="AP5116" s="1115"/>
      <c r="AQ5116" s="1115"/>
      <c r="AR5116" s="1115"/>
      <c r="AS5116" s="1117"/>
      <c r="AT5116" s="1075"/>
      <c r="AU5116" s="1193"/>
      <c r="AV5116" s="330"/>
      <c r="AW5116" s="331"/>
      <c r="AX5116" s="331"/>
      <c r="AY5116" s="331"/>
      <c r="AZ5116" s="331"/>
      <c r="BA5116" s="331"/>
      <c r="BB5116" s="331"/>
      <c r="BC5116" s="331"/>
      <c r="BD5116" s="331"/>
      <c r="BE5116" s="333"/>
      <c r="BF5116" s="330"/>
      <c r="BG5116" s="333"/>
      <c r="BH5116" s="1119"/>
      <c r="BI5116" s="319"/>
      <c r="BJ5116" s="319"/>
      <c r="BK5116" s="319"/>
      <c r="BL5116" s="319"/>
      <c r="BM5116" s="319"/>
      <c r="BN5116" s="319"/>
      <c r="BO5116" s="319"/>
      <c r="BP5116" s="953"/>
      <c r="BQ5116" s="319"/>
      <c r="BR5116" s="319"/>
      <c r="BS5116" s="330"/>
      <c r="BT5116" s="331"/>
      <c r="BU5116" s="920"/>
      <c r="BV5116" s="903"/>
      <c r="BW5116" s="908"/>
      <c r="BX5116" s="908"/>
      <c r="BY5116" s="331"/>
      <c r="BZ5116" s="331"/>
      <c r="CA5116" s="462"/>
      <c r="CB5116" s="319"/>
      <c r="CC5116" s="319"/>
      <c r="CD5116" s="319"/>
      <c r="CE5116" s="319"/>
      <c r="CF5116" s="319"/>
      <c r="CG5116" s="319"/>
      <c r="CH5116" s="318"/>
      <c r="CI5116" s="319"/>
      <c r="CJ5116" s="319"/>
      <c r="CK5116" s="342"/>
      <c r="CL5116" s="333"/>
      <c r="CM5116" s="1079"/>
      <c r="CN5116" s="1005"/>
      <c r="CO5116" s="1005"/>
      <c r="CP5116" s="1005"/>
    </row>
    <row r="5117">
      <c r="A5117" s="1257"/>
      <c r="B5117" s="1113"/>
      <c r="C5117" s="1107"/>
      <c r="D5117" s="103"/>
      <c r="E5117" s="1137"/>
      <c r="F5117" s="112"/>
      <c r="G5117" s="1110"/>
      <c r="H5117" s="1138"/>
      <c r="I5117" s="1138"/>
      <c r="J5117" s="1139"/>
      <c r="K5117" s="1111"/>
      <c r="L5117" s="1112"/>
      <c r="M5117" s="1113"/>
      <c r="N5117" s="110"/>
      <c r="O5117" s="1140"/>
      <c r="P5117" s="1115"/>
      <c r="Q5117" s="1116"/>
      <c r="R5117" s="1141"/>
      <c r="S5117" s="1113"/>
      <c r="T5117" s="1143"/>
      <c r="U5117" s="1108"/>
      <c r="V5117" s="1108"/>
      <c r="W5117" s="1108"/>
      <c r="X5117" s="1108"/>
      <c r="Y5117" s="1108"/>
      <c r="Z5117" s="1114"/>
      <c r="AA5117" s="1114"/>
      <c r="AB5117" s="1114"/>
      <c r="AC5117" s="1117"/>
      <c r="AD5117" s="1115"/>
      <c r="AE5117" s="1115"/>
      <c r="AF5117" s="1115"/>
      <c r="AG5117" s="1115"/>
      <c r="AH5117" s="1115"/>
      <c r="AI5117" s="1115"/>
      <c r="AJ5117" s="1117"/>
      <c r="AK5117" s="1118"/>
      <c r="AL5117" s="1115"/>
      <c r="AM5117" s="1115"/>
      <c r="AN5117" s="1115"/>
      <c r="AO5117" s="1115"/>
      <c r="AP5117" s="1115"/>
      <c r="AQ5117" s="1115"/>
      <c r="AR5117" s="1115"/>
      <c r="AS5117" s="1117"/>
      <c r="AT5117" s="1075"/>
      <c r="AU5117" s="1193"/>
      <c r="AV5117" s="330"/>
      <c r="AW5117" s="331"/>
      <c r="AX5117" s="331"/>
      <c r="AY5117" s="331"/>
      <c r="AZ5117" s="331"/>
      <c r="BA5117" s="331"/>
      <c r="BB5117" s="331"/>
      <c r="BC5117" s="331"/>
      <c r="BD5117" s="331"/>
      <c r="BE5117" s="333"/>
      <c r="BF5117" s="330"/>
      <c r="BG5117" s="333"/>
      <c r="BH5117" s="1119"/>
      <c r="BI5117" s="319"/>
      <c r="BJ5117" s="319"/>
      <c r="BK5117" s="319"/>
      <c r="BL5117" s="319"/>
      <c r="BM5117" s="319"/>
      <c r="BN5117" s="319"/>
      <c r="BO5117" s="319"/>
      <c r="BP5117" s="953"/>
      <c r="BQ5117" s="319"/>
      <c r="BR5117" s="319"/>
      <c r="BS5117" s="330"/>
      <c r="BT5117" s="331"/>
      <c r="BU5117" s="920"/>
      <c r="BV5117" s="903"/>
      <c r="BW5117" s="908"/>
      <c r="BX5117" s="908"/>
      <c r="BY5117" s="331"/>
      <c r="BZ5117" s="331"/>
      <c r="CA5117" s="462"/>
      <c r="CB5117" s="319"/>
      <c r="CC5117" s="319"/>
      <c r="CD5117" s="319"/>
      <c r="CE5117" s="319"/>
      <c r="CF5117" s="319"/>
      <c r="CG5117" s="319"/>
      <c r="CH5117" s="318"/>
      <c r="CI5117" s="319"/>
      <c r="CJ5117" s="319"/>
      <c r="CK5117" s="342"/>
      <c r="CL5117" s="333"/>
      <c r="CM5117" s="1079"/>
      <c r="CN5117" s="1005"/>
      <c r="CO5117" s="1005"/>
      <c r="CP5117" s="1005"/>
    </row>
    <row r="5118">
      <c r="A5118" s="1257"/>
      <c r="B5118" s="1113"/>
      <c r="C5118" s="1107"/>
      <c r="D5118" s="103"/>
      <c r="E5118" s="1137"/>
      <c r="F5118" s="112"/>
      <c r="G5118" s="1110"/>
      <c r="H5118" s="1138"/>
      <c r="I5118" s="1138"/>
      <c r="J5118" s="1139"/>
      <c r="K5118" s="1111"/>
      <c r="L5118" s="1112"/>
      <c r="M5118" s="1113"/>
      <c r="N5118" s="110"/>
      <c r="O5118" s="1140"/>
      <c r="P5118" s="1115"/>
      <c r="Q5118" s="1116"/>
      <c r="R5118" s="1141"/>
      <c r="S5118" s="1113"/>
      <c r="T5118" s="1143"/>
      <c r="U5118" s="1108"/>
      <c r="V5118" s="1108"/>
      <c r="W5118" s="1108"/>
      <c r="X5118" s="1108"/>
      <c r="Y5118" s="1108"/>
      <c r="Z5118" s="1114"/>
      <c r="AA5118" s="1114"/>
      <c r="AB5118" s="1114"/>
      <c r="AC5118" s="1117"/>
      <c r="AD5118" s="1115"/>
      <c r="AE5118" s="1115"/>
      <c r="AF5118" s="1115"/>
      <c r="AG5118" s="1115"/>
      <c r="AH5118" s="1115"/>
      <c r="AI5118" s="1115"/>
      <c r="AJ5118" s="1117"/>
      <c r="AK5118" s="1118"/>
      <c r="AL5118" s="1115"/>
      <c r="AM5118" s="1115"/>
      <c r="AN5118" s="1115"/>
      <c r="AO5118" s="1115"/>
      <c r="AP5118" s="1115"/>
      <c r="AQ5118" s="1115"/>
      <c r="AR5118" s="1115"/>
      <c r="AS5118" s="1117"/>
      <c r="AT5118" s="1075"/>
      <c r="AU5118" s="1193"/>
      <c r="AV5118" s="330"/>
      <c r="AW5118" s="331"/>
      <c r="AX5118" s="331"/>
      <c r="AY5118" s="331"/>
      <c r="AZ5118" s="331"/>
      <c r="BA5118" s="331"/>
      <c r="BB5118" s="331"/>
      <c r="BC5118" s="331"/>
      <c r="BD5118" s="331"/>
      <c r="BE5118" s="333"/>
      <c r="BF5118" s="330"/>
      <c r="BG5118" s="333"/>
      <c r="BH5118" s="1119"/>
      <c r="BI5118" s="319"/>
      <c r="BJ5118" s="319"/>
      <c r="BK5118" s="319"/>
      <c r="BL5118" s="319"/>
      <c r="BM5118" s="319"/>
      <c r="BN5118" s="319"/>
      <c r="BO5118" s="319"/>
      <c r="BP5118" s="953"/>
      <c r="BQ5118" s="319"/>
      <c r="BR5118" s="319"/>
      <c r="BS5118" s="330"/>
      <c r="BT5118" s="331"/>
      <c r="BU5118" s="920"/>
      <c r="BV5118" s="903"/>
      <c r="BW5118" s="908"/>
      <c r="BX5118" s="908"/>
      <c r="BY5118" s="331"/>
      <c r="BZ5118" s="331"/>
      <c r="CA5118" s="462"/>
      <c r="CB5118" s="319"/>
      <c r="CC5118" s="319"/>
      <c r="CD5118" s="319"/>
      <c r="CE5118" s="319"/>
      <c r="CF5118" s="319"/>
      <c r="CG5118" s="319"/>
      <c r="CH5118" s="318"/>
      <c r="CI5118" s="319"/>
      <c r="CJ5118" s="319"/>
      <c r="CK5118" s="342"/>
      <c r="CL5118" s="333"/>
      <c r="CM5118" s="1079"/>
      <c r="CN5118" s="1005"/>
      <c r="CO5118" s="1005"/>
      <c r="CP5118" s="1005"/>
    </row>
    <row r="5119">
      <c r="A5119" s="1257"/>
      <c r="B5119" s="1113"/>
      <c r="C5119" s="1107"/>
      <c r="D5119" s="103"/>
      <c r="E5119" s="1137"/>
      <c r="F5119" s="112"/>
      <c r="G5119" s="1110"/>
      <c r="H5119" s="1138"/>
      <c r="I5119" s="1138"/>
      <c r="J5119" s="1139"/>
      <c r="K5119" s="1111"/>
      <c r="L5119" s="1112"/>
      <c r="M5119" s="1113"/>
      <c r="N5119" s="110"/>
      <c r="O5119" s="1140"/>
      <c r="P5119" s="1115"/>
      <c r="Q5119" s="1116"/>
      <c r="R5119" s="1141"/>
      <c r="S5119" s="1113"/>
      <c r="T5119" s="1143"/>
      <c r="U5119" s="1108"/>
      <c r="V5119" s="1108"/>
      <c r="W5119" s="1108"/>
      <c r="X5119" s="1108"/>
      <c r="Y5119" s="1108"/>
      <c r="Z5119" s="1114"/>
      <c r="AA5119" s="1114"/>
      <c r="AB5119" s="1114"/>
      <c r="AC5119" s="1117"/>
      <c r="AD5119" s="1115"/>
      <c r="AE5119" s="1115"/>
      <c r="AF5119" s="1115"/>
      <c r="AG5119" s="1115"/>
      <c r="AH5119" s="1115"/>
      <c r="AI5119" s="1115"/>
      <c r="AJ5119" s="1117"/>
      <c r="AK5119" s="1118"/>
      <c r="AL5119" s="1115"/>
      <c r="AM5119" s="1115"/>
      <c r="AN5119" s="1115"/>
      <c r="AO5119" s="1115"/>
      <c r="AP5119" s="1115"/>
      <c r="AQ5119" s="1115"/>
      <c r="AR5119" s="1115"/>
      <c r="AS5119" s="1117"/>
      <c r="AT5119" s="1075"/>
      <c r="AU5119" s="1193"/>
      <c r="AV5119" s="330"/>
      <c r="AW5119" s="331"/>
      <c r="AX5119" s="331"/>
      <c r="AY5119" s="331"/>
      <c r="AZ5119" s="331"/>
      <c r="BA5119" s="331"/>
      <c r="BB5119" s="331"/>
      <c r="BC5119" s="331"/>
      <c r="BD5119" s="331"/>
      <c r="BE5119" s="333"/>
      <c r="BF5119" s="330"/>
      <c r="BG5119" s="333"/>
      <c r="BH5119" s="1119"/>
      <c r="BI5119" s="319"/>
      <c r="BJ5119" s="319"/>
      <c r="BK5119" s="319"/>
      <c r="BL5119" s="319"/>
      <c r="BM5119" s="319"/>
      <c r="BN5119" s="319"/>
      <c r="BO5119" s="319"/>
      <c r="BP5119" s="953"/>
      <c r="BQ5119" s="319"/>
      <c r="BR5119" s="319"/>
      <c r="BS5119" s="330"/>
      <c r="BT5119" s="331"/>
      <c r="BU5119" s="920"/>
      <c r="BV5119" s="903"/>
      <c r="BW5119" s="908"/>
      <c r="BX5119" s="908"/>
      <c r="BY5119" s="331"/>
      <c r="BZ5119" s="331"/>
      <c r="CA5119" s="462"/>
      <c r="CB5119" s="319"/>
      <c r="CC5119" s="319"/>
      <c r="CD5119" s="319"/>
      <c r="CE5119" s="319"/>
      <c r="CF5119" s="319"/>
      <c r="CG5119" s="319"/>
      <c r="CH5119" s="318"/>
      <c r="CI5119" s="319"/>
      <c r="CJ5119" s="319"/>
      <c r="CK5119" s="342"/>
      <c r="CL5119" s="333"/>
      <c r="CM5119" s="1079"/>
      <c r="CN5119" s="1005"/>
      <c r="CO5119" s="1005"/>
      <c r="CP5119" s="1005"/>
    </row>
    <row r="5120">
      <c r="A5120" s="1257"/>
      <c r="B5120" s="1113"/>
      <c r="C5120" s="1107"/>
      <c r="D5120" s="103"/>
      <c r="E5120" s="1137"/>
      <c r="F5120" s="112"/>
      <c r="G5120" s="1110"/>
      <c r="H5120" s="1138"/>
      <c r="I5120" s="1138"/>
      <c r="J5120" s="1139"/>
      <c r="K5120" s="1111"/>
      <c r="L5120" s="1112"/>
      <c r="M5120" s="1113"/>
      <c r="N5120" s="110"/>
      <c r="O5120" s="1140"/>
      <c r="P5120" s="1115"/>
      <c r="Q5120" s="1116"/>
      <c r="R5120" s="1141"/>
      <c r="S5120" s="1113"/>
      <c r="T5120" s="1143"/>
      <c r="U5120" s="1108"/>
      <c r="V5120" s="1108"/>
      <c r="W5120" s="1108"/>
      <c r="X5120" s="1108"/>
      <c r="Y5120" s="1108"/>
      <c r="Z5120" s="1114"/>
      <c r="AA5120" s="1114"/>
      <c r="AB5120" s="1114"/>
      <c r="AC5120" s="1117"/>
      <c r="AD5120" s="1115"/>
      <c r="AE5120" s="1115"/>
      <c r="AF5120" s="1115"/>
      <c r="AG5120" s="1115"/>
      <c r="AH5120" s="1115"/>
      <c r="AI5120" s="1115"/>
      <c r="AJ5120" s="1117"/>
      <c r="AK5120" s="1118"/>
      <c r="AL5120" s="1115"/>
      <c r="AM5120" s="1115"/>
      <c r="AN5120" s="1115"/>
      <c r="AO5120" s="1115"/>
      <c r="AP5120" s="1115"/>
      <c r="AQ5120" s="1115"/>
      <c r="AR5120" s="1115"/>
      <c r="AS5120" s="1117"/>
      <c r="AT5120" s="1075"/>
      <c r="AU5120" s="1193"/>
      <c r="AV5120" s="330"/>
      <c r="AW5120" s="331"/>
      <c r="AX5120" s="331"/>
      <c r="AY5120" s="331"/>
      <c r="AZ5120" s="331"/>
      <c r="BA5120" s="331"/>
      <c r="BB5120" s="331"/>
      <c r="BC5120" s="331"/>
      <c r="BD5120" s="331"/>
      <c r="BE5120" s="333"/>
      <c r="BF5120" s="330"/>
      <c r="BG5120" s="333"/>
      <c r="BH5120" s="1119"/>
      <c r="BI5120" s="319"/>
      <c r="BJ5120" s="319"/>
      <c r="BK5120" s="319"/>
      <c r="BL5120" s="319"/>
      <c r="BM5120" s="319"/>
      <c r="BN5120" s="319"/>
      <c r="BO5120" s="319"/>
      <c r="BP5120" s="953"/>
      <c r="BQ5120" s="319"/>
      <c r="BR5120" s="319"/>
      <c r="BS5120" s="330"/>
      <c r="BT5120" s="331"/>
      <c r="BU5120" s="920"/>
      <c r="BV5120" s="903"/>
      <c r="BW5120" s="908"/>
      <c r="BX5120" s="908"/>
      <c r="BY5120" s="331"/>
      <c r="BZ5120" s="331"/>
      <c r="CA5120" s="462"/>
      <c r="CB5120" s="319"/>
      <c r="CC5120" s="319"/>
      <c r="CD5120" s="319"/>
      <c r="CE5120" s="319"/>
      <c r="CF5120" s="319"/>
      <c r="CG5120" s="319"/>
      <c r="CH5120" s="318"/>
      <c r="CI5120" s="319"/>
      <c r="CJ5120" s="319"/>
      <c r="CK5120" s="342"/>
      <c r="CL5120" s="333"/>
      <c r="CM5120" s="1079"/>
      <c r="CN5120" s="1005"/>
      <c r="CO5120" s="1005"/>
      <c r="CP5120" s="1005"/>
    </row>
    <row r="5121">
      <c r="A5121" s="1257"/>
      <c r="B5121" s="1113"/>
      <c r="C5121" s="1107"/>
      <c r="D5121" s="103"/>
      <c r="E5121" s="1137"/>
      <c r="F5121" s="112"/>
      <c r="G5121" s="1110"/>
      <c r="H5121" s="1138"/>
      <c r="I5121" s="1138"/>
      <c r="J5121" s="1139"/>
      <c r="K5121" s="1111"/>
      <c r="L5121" s="1112"/>
      <c r="M5121" s="1113"/>
      <c r="N5121" s="110"/>
      <c r="O5121" s="1140"/>
      <c r="P5121" s="1115"/>
      <c r="Q5121" s="1116"/>
      <c r="R5121" s="1141"/>
      <c r="S5121" s="1113"/>
      <c r="T5121" s="1143"/>
      <c r="U5121" s="1108"/>
      <c r="V5121" s="1108"/>
      <c r="W5121" s="1108"/>
      <c r="X5121" s="1108"/>
      <c r="Y5121" s="1108"/>
      <c r="Z5121" s="1114"/>
      <c r="AA5121" s="1114"/>
      <c r="AB5121" s="1114"/>
      <c r="AC5121" s="1117"/>
      <c r="AD5121" s="1115"/>
      <c r="AE5121" s="1115"/>
      <c r="AF5121" s="1115"/>
      <c r="AG5121" s="1115"/>
      <c r="AH5121" s="1115"/>
      <c r="AI5121" s="1115"/>
      <c r="AJ5121" s="1117"/>
      <c r="AK5121" s="1118"/>
      <c r="AL5121" s="1115"/>
      <c r="AM5121" s="1115"/>
      <c r="AN5121" s="1115"/>
      <c r="AO5121" s="1115"/>
      <c r="AP5121" s="1115"/>
      <c r="AQ5121" s="1115"/>
      <c r="AR5121" s="1115"/>
      <c r="AS5121" s="1117"/>
      <c r="AT5121" s="1075"/>
      <c r="AU5121" s="1193"/>
      <c r="AV5121" s="330"/>
      <c r="AW5121" s="331"/>
      <c r="AX5121" s="331"/>
      <c r="AY5121" s="331"/>
      <c r="AZ5121" s="331"/>
      <c r="BA5121" s="331"/>
      <c r="BB5121" s="331"/>
      <c r="BC5121" s="331"/>
      <c r="BD5121" s="331"/>
      <c r="BE5121" s="333"/>
      <c r="BF5121" s="330"/>
      <c r="BG5121" s="333"/>
      <c r="BH5121" s="1119"/>
      <c r="BI5121" s="319"/>
      <c r="BJ5121" s="319"/>
      <c r="BK5121" s="319"/>
      <c r="BL5121" s="319"/>
      <c r="BM5121" s="319"/>
      <c r="BN5121" s="319"/>
      <c r="BO5121" s="319"/>
      <c r="BP5121" s="953"/>
      <c r="BQ5121" s="319"/>
      <c r="BR5121" s="319"/>
      <c r="BS5121" s="330"/>
      <c r="BT5121" s="331"/>
      <c r="BU5121" s="920"/>
      <c r="BV5121" s="903"/>
      <c r="BW5121" s="908"/>
      <c r="BX5121" s="908"/>
      <c r="BY5121" s="331"/>
      <c r="BZ5121" s="331"/>
      <c r="CA5121" s="462"/>
      <c r="CB5121" s="319"/>
      <c r="CC5121" s="319"/>
      <c r="CD5121" s="319"/>
      <c r="CE5121" s="319"/>
      <c r="CF5121" s="319"/>
      <c r="CG5121" s="319"/>
      <c r="CH5121" s="318"/>
      <c r="CI5121" s="319"/>
      <c r="CJ5121" s="319"/>
      <c r="CK5121" s="342"/>
      <c r="CL5121" s="333"/>
      <c r="CM5121" s="1079"/>
      <c r="CN5121" s="1005"/>
      <c r="CO5121" s="1005"/>
      <c r="CP5121" s="1005"/>
    </row>
    <row r="5122">
      <c r="A5122" s="1257"/>
      <c r="B5122" s="1113"/>
      <c r="C5122" s="1107"/>
      <c r="D5122" s="103"/>
      <c r="E5122" s="1137"/>
      <c r="F5122" s="112"/>
      <c r="G5122" s="1110"/>
      <c r="H5122" s="1138"/>
      <c r="I5122" s="1138"/>
      <c r="J5122" s="1139"/>
      <c r="K5122" s="1111"/>
      <c r="L5122" s="1112"/>
      <c r="M5122" s="1113"/>
      <c r="N5122" s="110"/>
      <c r="O5122" s="1140"/>
      <c r="P5122" s="1115"/>
      <c r="Q5122" s="1116"/>
      <c r="R5122" s="1141"/>
      <c r="S5122" s="1113"/>
      <c r="T5122" s="1143"/>
      <c r="U5122" s="1108"/>
      <c r="V5122" s="1108"/>
      <c r="W5122" s="1108"/>
      <c r="X5122" s="1108"/>
      <c r="Y5122" s="1108"/>
      <c r="Z5122" s="1114"/>
      <c r="AA5122" s="1114"/>
      <c r="AB5122" s="1114"/>
      <c r="AC5122" s="1117"/>
      <c r="AD5122" s="1115"/>
      <c r="AE5122" s="1115"/>
      <c r="AF5122" s="1115"/>
      <c r="AG5122" s="1115"/>
      <c r="AH5122" s="1115"/>
      <c r="AI5122" s="1115"/>
      <c r="AJ5122" s="1117"/>
      <c r="AK5122" s="1118"/>
      <c r="AL5122" s="1115"/>
      <c r="AM5122" s="1115"/>
      <c r="AN5122" s="1115"/>
      <c r="AO5122" s="1115"/>
      <c r="AP5122" s="1115"/>
      <c r="AQ5122" s="1115"/>
      <c r="AR5122" s="1115"/>
      <c r="AS5122" s="1117"/>
      <c r="AT5122" s="1075"/>
      <c r="AU5122" s="1193"/>
      <c r="AV5122" s="330"/>
      <c r="AW5122" s="331"/>
      <c r="AX5122" s="331"/>
      <c r="AY5122" s="331"/>
      <c r="AZ5122" s="331"/>
      <c r="BA5122" s="331"/>
      <c r="BB5122" s="331"/>
      <c r="BC5122" s="331"/>
      <c r="BD5122" s="331"/>
      <c r="BE5122" s="333"/>
      <c r="BF5122" s="330"/>
      <c r="BG5122" s="333"/>
      <c r="BH5122" s="1119"/>
      <c r="BI5122" s="319"/>
      <c r="BJ5122" s="319"/>
      <c r="BK5122" s="319"/>
      <c r="BL5122" s="319"/>
      <c r="BM5122" s="319"/>
      <c r="BN5122" s="319"/>
      <c r="BO5122" s="319"/>
      <c r="BP5122" s="953"/>
      <c r="BQ5122" s="319"/>
      <c r="BR5122" s="319"/>
      <c r="BS5122" s="330"/>
      <c r="BT5122" s="331"/>
      <c r="BU5122" s="920"/>
      <c r="BV5122" s="903"/>
      <c r="BW5122" s="908"/>
      <c r="BX5122" s="908"/>
      <c r="BY5122" s="331"/>
      <c r="BZ5122" s="331"/>
      <c r="CA5122" s="462"/>
      <c r="CB5122" s="319"/>
      <c r="CC5122" s="319"/>
      <c r="CD5122" s="319"/>
      <c r="CE5122" s="319"/>
      <c r="CF5122" s="319"/>
      <c r="CG5122" s="319"/>
      <c r="CH5122" s="318"/>
      <c r="CI5122" s="319"/>
      <c r="CJ5122" s="319"/>
      <c r="CK5122" s="342"/>
      <c r="CL5122" s="333"/>
      <c r="CM5122" s="1079"/>
      <c r="CN5122" s="1005"/>
      <c r="CO5122" s="1005"/>
      <c r="CP5122" s="1005"/>
    </row>
    <row r="5123">
      <c r="A5123" s="1257"/>
      <c r="B5123" s="1113"/>
      <c r="C5123" s="1107"/>
      <c r="D5123" s="103"/>
      <c r="E5123" s="1137"/>
      <c r="F5123" s="112"/>
      <c r="G5123" s="1110"/>
      <c r="H5123" s="1138"/>
      <c r="I5123" s="1138"/>
      <c r="J5123" s="1139"/>
      <c r="K5123" s="1111"/>
      <c r="L5123" s="1112"/>
      <c r="M5123" s="1113"/>
      <c r="N5123" s="110"/>
      <c r="O5123" s="1140"/>
      <c r="P5123" s="1115"/>
      <c r="Q5123" s="1116"/>
      <c r="R5123" s="1141"/>
      <c r="S5123" s="1113"/>
      <c r="T5123" s="1143"/>
      <c r="U5123" s="1108"/>
      <c r="V5123" s="1108"/>
      <c r="W5123" s="1108"/>
      <c r="X5123" s="1108"/>
      <c r="Y5123" s="1108"/>
      <c r="Z5123" s="1114"/>
      <c r="AA5123" s="1114"/>
      <c r="AB5123" s="1114"/>
      <c r="AC5123" s="1117"/>
      <c r="AD5123" s="1115"/>
      <c r="AE5123" s="1115"/>
      <c r="AF5123" s="1115"/>
      <c r="AG5123" s="1115"/>
      <c r="AH5123" s="1115"/>
      <c r="AI5123" s="1115"/>
      <c r="AJ5123" s="1117"/>
      <c r="AK5123" s="1118"/>
      <c r="AL5123" s="1115"/>
      <c r="AM5123" s="1115"/>
      <c r="AN5123" s="1115"/>
      <c r="AO5123" s="1115"/>
      <c r="AP5123" s="1115"/>
      <c r="AQ5123" s="1115"/>
      <c r="AR5123" s="1115"/>
      <c r="AS5123" s="1117"/>
      <c r="AT5123" s="1075"/>
      <c r="AU5123" s="1193"/>
      <c r="AV5123" s="330"/>
      <c r="AW5123" s="331"/>
      <c r="AX5123" s="331"/>
      <c r="AY5123" s="331"/>
      <c r="AZ5123" s="331"/>
      <c r="BA5123" s="331"/>
      <c r="BB5123" s="331"/>
      <c r="BC5123" s="331"/>
      <c r="BD5123" s="331"/>
      <c r="BE5123" s="333"/>
      <c r="BF5123" s="330"/>
      <c r="BG5123" s="333"/>
      <c r="BH5123" s="1119"/>
      <c r="BI5123" s="319"/>
      <c r="BJ5123" s="319"/>
      <c r="BK5123" s="319"/>
      <c r="BL5123" s="319"/>
      <c r="BM5123" s="319"/>
      <c r="BN5123" s="319"/>
      <c r="BO5123" s="319"/>
      <c r="BP5123" s="953"/>
      <c r="BQ5123" s="319"/>
      <c r="BR5123" s="319"/>
      <c r="BS5123" s="330"/>
      <c r="BT5123" s="331"/>
      <c r="BU5123" s="920"/>
      <c r="BV5123" s="903"/>
      <c r="BW5123" s="908"/>
      <c r="BX5123" s="908"/>
      <c r="BY5123" s="331"/>
      <c r="BZ5123" s="331"/>
      <c r="CA5123" s="462"/>
      <c r="CB5123" s="319"/>
      <c r="CC5123" s="319"/>
      <c r="CD5123" s="319"/>
      <c r="CE5123" s="319"/>
      <c r="CF5123" s="319"/>
      <c r="CG5123" s="319"/>
      <c r="CH5123" s="318"/>
      <c r="CI5123" s="319"/>
      <c r="CJ5123" s="319"/>
      <c r="CK5123" s="342"/>
      <c r="CL5123" s="333"/>
      <c r="CM5123" s="1079"/>
      <c r="CN5123" s="1005"/>
      <c r="CO5123" s="1005"/>
      <c r="CP5123" s="1005"/>
    </row>
    <row r="5124">
      <c r="A5124" s="1257"/>
      <c r="B5124" s="1113"/>
      <c r="C5124" s="1107"/>
      <c r="D5124" s="103"/>
      <c r="E5124" s="1137"/>
      <c r="F5124" s="112"/>
      <c r="G5124" s="1110"/>
      <c r="H5124" s="1138"/>
      <c r="I5124" s="1138"/>
      <c r="J5124" s="1139"/>
      <c r="K5124" s="1111"/>
      <c r="L5124" s="1112"/>
      <c r="M5124" s="1113"/>
      <c r="N5124" s="110"/>
      <c r="O5124" s="1140"/>
      <c r="P5124" s="1115"/>
      <c r="Q5124" s="1116"/>
      <c r="R5124" s="1141"/>
      <c r="S5124" s="1113"/>
      <c r="T5124" s="1143"/>
      <c r="U5124" s="1108"/>
      <c r="V5124" s="1108"/>
      <c r="W5124" s="1108"/>
      <c r="X5124" s="1108"/>
      <c r="Y5124" s="1108"/>
      <c r="Z5124" s="1114"/>
      <c r="AA5124" s="1114"/>
      <c r="AB5124" s="1114"/>
      <c r="AC5124" s="1117"/>
      <c r="AD5124" s="1115"/>
      <c r="AE5124" s="1115"/>
      <c r="AF5124" s="1115"/>
      <c r="AG5124" s="1115"/>
      <c r="AH5124" s="1115"/>
      <c r="AI5124" s="1115"/>
      <c r="AJ5124" s="1117"/>
      <c r="AK5124" s="1118"/>
      <c r="AL5124" s="1115"/>
      <c r="AM5124" s="1115"/>
      <c r="AN5124" s="1115"/>
      <c r="AO5124" s="1115"/>
      <c r="AP5124" s="1115"/>
      <c r="AQ5124" s="1115"/>
      <c r="AR5124" s="1115"/>
      <c r="AS5124" s="1117"/>
      <c r="AT5124" s="1075"/>
      <c r="AU5124" s="1193"/>
      <c r="AV5124" s="330"/>
      <c r="AW5124" s="331"/>
      <c r="AX5124" s="331"/>
      <c r="AY5124" s="331"/>
      <c r="AZ5124" s="331"/>
      <c r="BA5124" s="331"/>
      <c r="BB5124" s="331"/>
      <c r="BC5124" s="331"/>
      <c r="BD5124" s="331"/>
      <c r="BE5124" s="333"/>
      <c r="BF5124" s="330"/>
      <c r="BG5124" s="333"/>
      <c r="BH5124" s="1119"/>
      <c r="BI5124" s="319"/>
      <c r="BJ5124" s="319"/>
      <c r="BK5124" s="319"/>
      <c r="BL5124" s="319"/>
      <c r="BM5124" s="319"/>
      <c r="BN5124" s="319"/>
      <c r="BO5124" s="319"/>
      <c r="BP5124" s="953"/>
      <c r="BQ5124" s="319"/>
      <c r="BR5124" s="319"/>
      <c r="BS5124" s="330"/>
      <c r="BT5124" s="331"/>
      <c r="BU5124" s="920"/>
      <c r="BV5124" s="903"/>
      <c r="BW5124" s="908"/>
      <c r="BX5124" s="908"/>
      <c r="BY5124" s="331"/>
      <c r="BZ5124" s="331"/>
      <c r="CA5124" s="462"/>
      <c r="CB5124" s="319"/>
      <c r="CC5124" s="319"/>
      <c r="CD5124" s="319"/>
      <c r="CE5124" s="319"/>
      <c r="CF5124" s="319"/>
      <c r="CG5124" s="319"/>
      <c r="CH5124" s="318"/>
      <c r="CI5124" s="319"/>
      <c r="CJ5124" s="319"/>
      <c r="CK5124" s="342"/>
      <c r="CL5124" s="333"/>
      <c r="CM5124" s="1079"/>
      <c r="CN5124" s="1005"/>
      <c r="CO5124" s="1005"/>
      <c r="CP5124" s="1005"/>
    </row>
    <row r="5125">
      <c r="A5125" s="1257"/>
      <c r="B5125" s="1113"/>
      <c r="C5125" s="1107"/>
      <c r="D5125" s="103"/>
      <c r="E5125" s="1137"/>
      <c r="F5125" s="112"/>
      <c r="G5125" s="1110"/>
      <c r="H5125" s="1138"/>
      <c r="I5125" s="1138"/>
      <c r="J5125" s="1139"/>
      <c r="K5125" s="1111"/>
      <c r="L5125" s="1112"/>
      <c r="M5125" s="1113"/>
      <c r="N5125" s="110"/>
      <c r="O5125" s="1140"/>
      <c r="P5125" s="1115"/>
      <c r="Q5125" s="1116"/>
      <c r="R5125" s="1141"/>
      <c r="S5125" s="1113"/>
      <c r="T5125" s="1143"/>
      <c r="U5125" s="1108"/>
      <c r="V5125" s="1108"/>
      <c r="W5125" s="1108"/>
      <c r="X5125" s="1108"/>
      <c r="Y5125" s="1108"/>
      <c r="Z5125" s="1114"/>
      <c r="AA5125" s="1114"/>
      <c r="AB5125" s="1114"/>
      <c r="AC5125" s="1117"/>
      <c r="AD5125" s="1115"/>
      <c r="AE5125" s="1115"/>
      <c r="AF5125" s="1115"/>
      <c r="AG5125" s="1115"/>
      <c r="AH5125" s="1115"/>
      <c r="AI5125" s="1115"/>
      <c r="AJ5125" s="1117"/>
      <c r="AK5125" s="1118"/>
      <c r="AL5125" s="1115"/>
      <c r="AM5125" s="1115"/>
      <c r="AN5125" s="1115"/>
      <c r="AO5125" s="1115"/>
      <c r="AP5125" s="1115"/>
      <c r="AQ5125" s="1115"/>
      <c r="AR5125" s="1115"/>
      <c r="AS5125" s="1117"/>
      <c r="AT5125" s="1075"/>
      <c r="AU5125" s="1193"/>
      <c r="AV5125" s="330"/>
      <c r="AW5125" s="331"/>
      <c r="AX5125" s="331"/>
      <c r="AY5125" s="331"/>
      <c r="AZ5125" s="331"/>
      <c r="BA5125" s="331"/>
      <c r="BB5125" s="331"/>
      <c r="BC5125" s="331"/>
      <c r="BD5125" s="331"/>
      <c r="BE5125" s="333"/>
      <c r="BF5125" s="330"/>
      <c r="BG5125" s="333"/>
      <c r="BH5125" s="1119"/>
      <c r="BI5125" s="319"/>
      <c r="BJ5125" s="319"/>
      <c r="BK5125" s="319"/>
      <c r="BL5125" s="319"/>
      <c r="BM5125" s="319"/>
      <c r="BN5125" s="319"/>
      <c r="BO5125" s="319"/>
      <c r="BP5125" s="953"/>
      <c r="BQ5125" s="319"/>
      <c r="BR5125" s="319"/>
      <c r="BS5125" s="330"/>
      <c r="BT5125" s="331"/>
      <c r="BU5125" s="920"/>
      <c r="BV5125" s="903"/>
      <c r="BW5125" s="908"/>
      <c r="BX5125" s="908"/>
      <c r="BY5125" s="331"/>
      <c r="BZ5125" s="331"/>
      <c r="CA5125" s="462"/>
      <c r="CB5125" s="319"/>
      <c r="CC5125" s="319"/>
      <c r="CD5125" s="319"/>
      <c r="CE5125" s="319"/>
      <c r="CF5125" s="319"/>
      <c r="CG5125" s="319"/>
      <c r="CH5125" s="318"/>
      <c r="CI5125" s="319"/>
      <c r="CJ5125" s="319"/>
      <c r="CK5125" s="342"/>
      <c r="CL5125" s="333"/>
      <c r="CM5125" s="1079"/>
      <c r="CN5125" s="1005"/>
      <c r="CO5125" s="1005"/>
      <c r="CP5125" s="1005"/>
    </row>
    <row r="5126">
      <c r="A5126" s="1257"/>
      <c r="B5126" s="1113"/>
      <c r="C5126" s="1107"/>
      <c r="D5126" s="103"/>
      <c r="E5126" s="1137"/>
      <c r="F5126" s="112"/>
      <c r="G5126" s="1110"/>
      <c r="H5126" s="1138"/>
      <c r="I5126" s="1138"/>
      <c r="J5126" s="1139"/>
      <c r="K5126" s="1111"/>
      <c r="L5126" s="1112"/>
      <c r="M5126" s="1113"/>
      <c r="N5126" s="110"/>
      <c r="O5126" s="1140"/>
      <c r="P5126" s="1115"/>
      <c r="Q5126" s="1116"/>
      <c r="R5126" s="1141"/>
      <c r="S5126" s="1113"/>
      <c r="T5126" s="1143"/>
      <c r="U5126" s="1108"/>
      <c r="V5126" s="1108"/>
      <c r="W5126" s="1108"/>
      <c r="X5126" s="1108"/>
      <c r="Y5126" s="1108"/>
      <c r="Z5126" s="1114"/>
      <c r="AA5126" s="1114"/>
      <c r="AB5126" s="1114"/>
      <c r="AC5126" s="1117"/>
      <c r="AD5126" s="1115"/>
      <c r="AE5126" s="1115"/>
      <c r="AF5126" s="1115"/>
      <c r="AG5126" s="1115"/>
      <c r="AH5126" s="1115"/>
      <c r="AI5126" s="1115"/>
      <c r="AJ5126" s="1117"/>
      <c r="AK5126" s="1118"/>
      <c r="AL5126" s="1115"/>
      <c r="AM5126" s="1115"/>
      <c r="AN5126" s="1115"/>
      <c r="AO5126" s="1115"/>
      <c r="AP5126" s="1115"/>
      <c r="AQ5126" s="1115"/>
      <c r="AR5126" s="1115"/>
      <c r="AS5126" s="1117"/>
      <c r="AT5126" s="1075"/>
      <c r="AU5126" s="1193"/>
      <c r="AV5126" s="330"/>
      <c r="AW5126" s="331"/>
      <c r="AX5126" s="331"/>
      <c r="AY5126" s="331"/>
      <c r="AZ5126" s="331"/>
      <c r="BA5126" s="331"/>
      <c r="BB5126" s="331"/>
      <c r="BC5126" s="331"/>
      <c r="BD5126" s="331"/>
      <c r="BE5126" s="333"/>
      <c r="BF5126" s="330"/>
      <c r="BG5126" s="333"/>
      <c r="BH5126" s="1119"/>
      <c r="BI5126" s="319"/>
      <c r="BJ5126" s="319"/>
      <c r="BK5126" s="319"/>
      <c r="BL5126" s="319"/>
      <c r="BM5126" s="319"/>
      <c r="BN5126" s="319"/>
      <c r="BO5126" s="319"/>
      <c r="BP5126" s="953"/>
      <c r="BQ5126" s="319"/>
      <c r="BR5126" s="319"/>
      <c r="BS5126" s="330"/>
      <c r="BT5126" s="331"/>
      <c r="BU5126" s="920"/>
      <c r="BV5126" s="903"/>
      <c r="BW5126" s="908"/>
      <c r="BX5126" s="908"/>
      <c r="BY5126" s="331"/>
      <c r="BZ5126" s="331"/>
      <c r="CA5126" s="462"/>
      <c r="CB5126" s="319"/>
      <c r="CC5126" s="319"/>
      <c r="CD5126" s="319"/>
      <c r="CE5126" s="319"/>
      <c r="CF5126" s="319"/>
      <c r="CG5126" s="319"/>
      <c r="CH5126" s="318"/>
      <c r="CI5126" s="319"/>
      <c r="CJ5126" s="319"/>
      <c r="CK5126" s="342"/>
      <c r="CL5126" s="333"/>
      <c r="CM5126" s="1079"/>
      <c r="CN5126" s="1005"/>
      <c r="CO5126" s="1005"/>
      <c r="CP5126" s="1005"/>
    </row>
    <row r="5127">
      <c r="A5127" s="1257"/>
      <c r="B5127" s="1113"/>
      <c r="C5127" s="1107"/>
      <c r="D5127" s="103"/>
      <c r="E5127" s="1137"/>
      <c r="F5127" s="112"/>
      <c r="G5127" s="1110"/>
      <c r="H5127" s="1138"/>
      <c r="I5127" s="1138"/>
      <c r="J5127" s="1139"/>
      <c r="K5127" s="1111"/>
      <c r="L5127" s="1112"/>
      <c r="M5127" s="1113"/>
      <c r="N5127" s="110"/>
      <c r="O5127" s="1140"/>
      <c r="P5127" s="1115"/>
      <c r="Q5127" s="1116"/>
      <c r="R5127" s="1141"/>
      <c r="S5127" s="1113"/>
      <c r="T5127" s="1143"/>
      <c r="U5127" s="1108"/>
      <c r="V5127" s="1108"/>
      <c r="W5127" s="1108"/>
      <c r="X5127" s="1108"/>
      <c r="Y5127" s="1108"/>
      <c r="Z5127" s="1114"/>
      <c r="AA5127" s="1114"/>
      <c r="AB5127" s="1114"/>
      <c r="AC5127" s="1117"/>
      <c r="AD5127" s="1115"/>
      <c r="AE5127" s="1115"/>
      <c r="AF5127" s="1115"/>
      <c r="AG5127" s="1115"/>
      <c r="AH5127" s="1115"/>
      <c r="AI5127" s="1115"/>
      <c r="AJ5127" s="1117"/>
      <c r="AK5127" s="1118"/>
      <c r="AL5127" s="1115"/>
      <c r="AM5127" s="1115"/>
      <c r="AN5127" s="1115"/>
      <c r="AO5127" s="1115"/>
      <c r="AP5127" s="1115"/>
      <c r="AQ5127" s="1115"/>
      <c r="AR5127" s="1115"/>
      <c r="AS5127" s="1117"/>
      <c r="AT5127" s="1075"/>
      <c r="AU5127" s="1193"/>
      <c r="AV5127" s="330"/>
      <c r="AW5127" s="331"/>
      <c r="AX5127" s="331"/>
      <c r="AY5127" s="331"/>
      <c r="AZ5127" s="331"/>
      <c r="BA5127" s="331"/>
      <c r="BB5127" s="331"/>
      <c r="BC5127" s="331"/>
      <c r="BD5127" s="331"/>
      <c r="BE5127" s="333"/>
      <c r="BF5127" s="330"/>
      <c r="BG5127" s="333"/>
      <c r="BH5127" s="1119"/>
      <c r="BI5127" s="319"/>
      <c r="BJ5127" s="319"/>
      <c r="BK5127" s="319"/>
      <c r="BL5127" s="319"/>
      <c r="BM5127" s="319"/>
      <c r="BN5127" s="319"/>
      <c r="BO5127" s="319"/>
      <c r="BP5127" s="953"/>
      <c r="BQ5127" s="319"/>
      <c r="BR5127" s="319"/>
      <c r="BS5127" s="330"/>
      <c r="BT5127" s="331"/>
      <c r="BU5127" s="920"/>
      <c r="BV5127" s="903"/>
      <c r="BW5127" s="908"/>
      <c r="BX5127" s="908"/>
      <c r="BY5127" s="331"/>
      <c r="BZ5127" s="331"/>
      <c r="CA5127" s="462"/>
      <c r="CB5127" s="319"/>
      <c r="CC5127" s="319"/>
      <c r="CD5127" s="319"/>
      <c r="CE5127" s="319"/>
      <c r="CF5127" s="319"/>
      <c r="CG5127" s="319"/>
      <c r="CH5127" s="318"/>
      <c r="CI5127" s="319"/>
      <c r="CJ5127" s="319"/>
      <c r="CK5127" s="342"/>
      <c r="CL5127" s="333"/>
      <c r="CM5127" s="1079"/>
      <c r="CN5127" s="1005"/>
      <c r="CO5127" s="1005"/>
      <c r="CP5127" s="1005"/>
    </row>
    <row r="5128">
      <c r="A5128" s="1257"/>
      <c r="B5128" s="1113"/>
      <c r="C5128" s="1107"/>
      <c r="D5128" s="103"/>
      <c r="E5128" s="1137"/>
      <c r="F5128" s="112"/>
      <c r="G5128" s="1110"/>
      <c r="H5128" s="1138"/>
      <c r="I5128" s="1138"/>
      <c r="J5128" s="1139"/>
      <c r="K5128" s="1111"/>
      <c r="L5128" s="1112"/>
      <c r="M5128" s="1113"/>
      <c r="N5128" s="110"/>
      <c r="O5128" s="1140"/>
      <c r="P5128" s="1115"/>
      <c r="Q5128" s="1116"/>
      <c r="R5128" s="1141"/>
      <c r="S5128" s="1113"/>
      <c r="T5128" s="1143"/>
      <c r="U5128" s="1108"/>
      <c r="V5128" s="1108"/>
      <c r="W5128" s="1108"/>
      <c r="X5128" s="1108"/>
      <c r="Y5128" s="1108"/>
      <c r="Z5128" s="1114"/>
      <c r="AA5128" s="1114"/>
      <c r="AB5128" s="1114"/>
      <c r="AC5128" s="1117"/>
      <c r="AD5128" s="1115"/>
      <c r="AE5128" s="1115"/>
      <c r="AF5128" s="1115"/>
      <c r="AG5128" s="1115"/>
      <c r="AH5128" s="1115"/>
      <c r="AI5128" s="1115"/>
      <c r="AJ5128" s="1117"/>
      <c r="AK5128" s="1118"/>
      <c r="AL5128" s="1115"/>
      <c r="AM5128" s="1115"/>
      <c r="AN5128" s="1115"/>
      <c r="AO5128" s="1115"/>
      <c r="AP5128" s="1115"/>
      <c r="AQ5128" s="1115"/>
      <c r="AR5128" s="1115"/>
      <c r="AS5128" s="1117"/>
      <c r="AT5128" s="1075"/>
      <c r="AU5128" s="1193"/>
      <c r="AV5128" s="330"/>
      <c r="AW5128" s="331"/>
      <c r="AX5128" s="331"/>
      <c r="AY5128" s="331"/>
      <c r="AZ5128" s="331"/>
      <c r="BA5128" s="331"/>
      <c r="BB5128" s="331"/>
      <c r="BC5128" s="331"/>
      <c r="BD5128" s="331"/>
      <c r="BE5128" s="333"/>
      <c r="BF5128" s="330"/>
      <c r="BG5128" s="333"/>
      <c r="BH5128" s="1119"/>
      <c r="BI5128" s="319"/>
      <c r="BJ5128" s="319"/>
      <c r="BK5128" s="319"/>
      <c r="BL5128" s="319"/>
      <c r="BM5128" s="319"/>
      <c r="BN5128" s="319"/>
      <c r="BO5128" s="319"/>
      <c r="BP5128" s="953"/>
      <c r="BQ5128" s="319"/>
      <c r="BR5128" s="319"/>
      <c r="BS5128" s="330"/>
      <c r="BT5128" s="331"/>
      <c r="BU5128" s="920"/>
      <c r="BV5128" s="903"/>
      <c r="BW5128" s="908"/>
      <c r="BX5128" s="908"/>
      <c r="BY5128" s="331"/>
      <c r="BZ5128" s="331"/>
      <c r="CA5128" s="462"/>
      <c r="CB5128" s="319"/>
      <c r="CC5128" s="319"/>
      <c r="CD5128" s="319"/>
      <c r="CE5128" s="319"/>
      <c r="CF5128" s="319"/>
      <c r="CG5128" s="319"/>
      <c r="CH5128" s="318"/>
      <c r="CI5128" s="319"/>
      <c r="CJ5128" s="319"/>
      <c r="CK5128" s="342"/>
      <c r="CL5128" s="333"/>
      <c r="CM5128" s="1079"/>
      <c r="CN5128" s="1005"/>
      <c r="CO5128" s="1005"/>
      <c r="CP5128" s="1005"/>
    </row>
    <row r="5129">
      <c r="A5129" s="1257"/>
      <c r="B5129" s="1113"/>
      <c r="C5129" s="1107"/>
      <c r="D5129" s="103"/>
      <c r="E5129" s="1137"/>
      <c r="F5129" s="112"/>
      <c r="G5129" s="1110"/>
      <c r="H5129" s="1138"/>
      <c r="I5129" s="1138"/>
      <c r="J5129" s="1139"/>
      <c r="K5129" s="1111"/>
      <c r="L5129" s="1112"/>
      <c r="M5129" s="1113"/>
      <c r="N5129" s="110"/>
      <c r="O5129" s="1140"/>
      <c r="P5129" s="1115"/>
      <c r="Q5129" s="1116"/>
      <c r="R5129" s="1141"/>
      <c r="S5129" s="1113"/>
      <c r="T5129" s="1143"/>
      <c r="U5129" s="1108"/>
      <c r="V5129" s="1108"/>
      <c r="W5129" s="1108"/>
      <c r="X5129" s="1108"/>
      <c r="Y5129" s="1108"/>
      <c r="Z5129" s="1114"/>
      <c r="AA5129" s="1114"/>
      <c r="AB5129" s="1114"/>
      <c r="AC5129" s="1117"/>
      <c r="AD5129" s="1115"/>
      <c r="AE5129" s="1115"/>
      <c r="AF5129" s="1115"/>
      <c r="AG5129" s="1115"/>
      <c r="AH5129" s="1115"/>
      <c r="AI5129" s="1115"/>
      <c r="AJ5129" s="1117"/>
      <c r="AK5129" s="1118"/>
      <c r="AL5129" s="1115"/>
      <c r="AM5129" s="1115"/>
      <c r="AN5129" s="1115"/>
      <c r="AO5129" s="1115"/>
      <c r="AP5129" s="1115"/>
      <c r="AQ5129" s="1115"/>
      <c r="AR5129" s="1115"/>
      <c r="AS5129" s="1117"/>
      <c r="AT5129" s="1075"/>
      <c r="AU5129" s="1193"/>
      <c r="AV5129" s="330"/>
      <c r="AW5129" s="331"/>
      <c r="AX5129" s="331"/>
      <c r="AY5129" s="331"/>
      <c r="AZ5129" s="331"/>
      <c r="BA5129" s="331"/>
      <c r="BB5129" s="331"/>
      <c r="BC5129" s="331"/>
      <c r="BD5129" s="331"/>
      <c r="BE5129" s="333"/>
      <c r="BF5129" s="330"/>
      <c r="BG5129" s="333"/>
      <c r="BH5129" s="1119"/>
      <c r="BI5129" s="319"/>
      <c r="BJ5129" s="319"/>
      <c r="BK5129" s="319"/>
      <c r="BL5129" s="319"/>
      <c r="BM5129" s="319"/>
      <c r="BN5129" s="319"/>
      <c r="BO5129" s="319"/>
      <c r="BP5129" s="953"/>
      <c r="BQ5129" s="319"/>
      <c r="BR5129" s="319"/>
      <c r="BS5129" s="330"/>
      <c r="BT5129" s="331"/>
      <c r="BU5129" s="920"/>
      <c r="BV5129" s="903"/>
      <c r="BW5129" s="908"/>
      <c r="BX5129" s="908"/>
      <c r="BY5129" s="331"/>
      <c r="BZ5129" s="331"/>
      <c r="CA5129" s="462"/>
      <c r="CB5129" s="319"/>
      <c r="CC5129" s="319"/>
      <c r="CD5129" s="319"/>
      <c r="CE5129" s="319"/>
      <c r="CF5129" s="319"/>
      <c r="CG5129" s="319"/>
      <c r="CH5129" s="318"/>
      <c r="CI5129" s="319"/>
      <c r="CJ5129" s="319"/>
      <c r="CK5129" s="342"/>
      <c r="CL5129" s="333"/>
      <c r="CM5129" s="1079"/>
      <c r="CN5129" s="1005"/>
      <c r="CO5129" s="1005"/>
      <c r="CP5129" s="1005"/>
    </row>
    <row r="5130">
      <c r="A5130" s="1257"/>
      <c r="B5130" s="1113"/>
      <c r="C5130" s="1107"/>
      <c r="D5130" s="103"/>
      <c r="E5130" s="1137"/>
      <c r="F5130" s="112"/>
      <c r="G5130" s="1110"/>
      <c r="H5130" s="1138"/>
      <c r="I5130" s="1138"/>
      <c r="J5130" s="1139"/>
      <c r="K5130" s="1111"/>
      <c r="L5130" s="1112"/>
      <c r="M5130" s="1113"/>
      <c r="N5130" s="110"/>
      <c r="O5130" s="1140"/>
      <c r="P5130" s="1115"/>
      <c r="Q5130" s="1116"/>
      <c r="R5130" s="1141"/>
      <c r="S5130" s="1113"/>
      <c r="T5130" s="1143"/>
      <c r="U5130" s="1108"/>
      <c r="V5130" s="1108"/>
      <c r="W5130" s="1108"/>
      <c r="X5130" s="1108"/>
      <c r="Y5130" s="1108"/>
      <c r="Z5130" s="1114"/>
      <c r="AA5130" s="1114"/>
      <c r="AB5130" s="1114"/>
      <c r="AC5130" s="1117"/>
      <c r="AD5130" s="1115"/>
      <c r="AE5130" s="1115"/>
      <c r="AF5130" s="1115"/>
      <c r="AG5130" s="1115"/>
      <c r="AH5130" s="1115"/>
      <c r="AI5130" s="1115"/>
      <c r="AJ5130" s="1117"/>
      <c r="AK5130" s="1118"/>
      <c r="AL5130" s="1115"/>
      <c r="AM5130" s="1115"/>
      <c r="AN5130" s="1115"/>
      <c r="AO5130" s="1115"/>
      <c r="AP5130" s="1115"/>
      <c r="AQ5130" s="1115"/>
      <c r="AR5130" s="1115"/>
      <c r="AS5130" s="1117"/>
      <c r="AT5130" s="1075"/>
      <c r="AU5130" s="1193"/>
      <c r="AV5130" s="330"/>
      <c r="AW5130" s="331"/>
      <c r="AX5130" s="331"/>
      <c r="AY5130" s="331"/>
      <c r="AZ5130" s="331"/>
      <c r="BA5130" s="331"/>
      <c r="BB5130" s="331"/>
      <c r="BC5130" s="331"/>
      <c r="BD5130" s="331"/>
      <c r="BE5130" s="333"/>
      <c r="BF5130" s="330"/>
      <c r="BG5130" s="333"/>
      <c r="BH5130" s="1119"/>
      <c r="BI5130" s="319"/>
      <c r="BJ5130" s="319"/>
      <c r="BK5130" s="319"/>
      <c r="BL5130" s="319"/>
      <c r="BM5130" s="319"/>
      <c r="BN5130" s="319"/>
      <c r="BO5130" s="319"/>
      <c r="BP5130" s="953"/>
      <c r="BQ5130" s="319"/>
      <c r="BR5130" s="319"/>
      <c r="BS5130" s="330"/>
      <c r="BT5130" s="331"/>
      <c r="BU5130" s="920"/>
      <c r="BV5130" s="903"/>
      <c r="BW5130" s="908"/>
      <c r="BX5130" s="908"/>
      <c r="BY5130" s="331"/>
      <c r="BZ5130" s="331"/>
      <c r="CA5130" s="462"/>
      <c r="CB5130" s="319"/>
      <c r="CC5130" s="319"/>
      <c r="CD5130" s="319"/>
      <c r="CE5130" s="319"/>
      <c r="CF5130" s="319"/>
      <c r="CG5130" s="319"/>
      <c r="CH5130" s="318"/>
      <c r="CI5130" s="319"/>
      <c r="CJ5130" s="319"/>
      <c r="CK5130" s="342"/>
      <c r="CL5130" s="333"/>
      <c r="CM5130" s="1079"/>
      <c r="CN5130" s="1005"/>
      <c r="CO5130" s="1005"/>
      <c r="CP5130" s="1005"/>
    </row>
    <row r="5131">
      <c r="A5131" s="1257"/>
      <c r="B5131" s="1113"/>
      <c r="C5131" s="1107"/>
      <c r="D5131" s="103"/>
      <c r="E5131" s="1137"/>
      <c r="F5131" s="112"/>
      <c r="G5131" s="1110"/>
      <c r="H5131" s="1138"/>
      <c r="I5131" s="1138"/>
      <c r="J5131" s="1139"/>
      <c r="K5131" s="1111"/>
      <c r="L5131" s="1112"/>
      <c r="M5131" s="1113"/>
      <c r="N5131" s="110"/>
      <c r="O5131" s="1140"/>
      <c r="P5131" s="1115"/>
      <c r="Q5131" s="1116"/>
      <c r="R5131" s="1141"/>
      <c r="S5131" s="1113"/>
      <c r="T5131" s="1143"/>
      <c r="U5131" s="1108"/>
      <c r="V5131" s="1108"/>
      <c r="W5131" s="1108"/>
      <c r="X5131" s="1108"/>
      <c r="Y5131" s="1108"/>
      <c r="Z5131" s="1114"/>
      <c r="AA5131" s="1114"/>
      <c r="AB5131" s="1114"/>
      <c r="AC5131" s="1117"/>
      <c r="AD5131" s="1115"/>
      <c r="AE5131" s="1115"/>
      <c r="AF5131" s="1115"/>
      <c r="AG5131" s="1115"/>
      <c r="AH5131" s="1115"/>
      <c r="AI5131" s="1115"/>
      <c r="AJ5131" s="1117"/>
      <c r="AK5131" s="1118"/>
      <c r="AL5131" s="1115"/>
      <c r="AM5131" s="1115"/>
      <c r="AN5131" s="1115"/>
      <c r="AO5131" s="1115"/>
      <c r="AP5131" s="1115"/>
      <c r="AQ5131" s="1115"/>
      <c r="AR5131" s="1115"/>
      <c r="AS5131" s="1117"/>
      <c r="AT5131" s="1075"/>
      <c r="AU5131" s="1193"/>
      <c r="AV5131" s="330"/>
      <c r="AW5131" s="331"/>
      <c r="AX5131" s="331"/>
      <c r="AY5131" s="331"/>
      <c r="AZ5131" s="331"/>
      <c r="BA5131" s="331"/>
      <c r="BB5131" s="331"/>
      <c r="BC5131" s="331"/>
      <c r="BD5131" s="331"/>
      <c r="BE5131" s="333"/>
      <c r="BF5131" s="330"/>
      <c r="BG5131" s="333"/>
      <c r="BH5131" s="1119"/>
      <c r="BI5131" s="319"/>
      <c r="BJ5131" s="319"/>
      <c r="BK5131" s="319"/>
      <c r="BL5131" s="319"/>
      <c r="BM5131" s="319"/>
      <c r="BN5131" s="319"/>
      <c r="BO5131" s="319"/>
      <c r="BP5131" s="953"/>
      <c r="BQ5131" s="319"/>
      <c r="BR5131" s="319"/>
      <c r="BS5131" s="330"/>
      <c r="BT5131" s="331"/>
      <c r="BU5131" s="920"/>
      <c r="BV5131" s="903"/>
      <c r="BW5131" s="908"/>
      <c r="BX5131" s="908"/>
      <c r="BY5131" s="331"/>
      <c r="BZ5131" s="331"/>
      <c r="CA5131" s="462"/>
      <c r="CB5131" s="319"/>
      <c r="CC5131" s="319"/>
      <c r="CD5131" s="319"/>
      <c r="CE5131" s="319"/>
      <c r="CF5131" s="319"/>
      <c r="CG5131" s="319"/>
      <c r="CH5131" s="318"/>
      <c r="CI5131" s="319"/>
      <c r="CJ5131" s="319"/>
      <c r="CK5131" s="342"/>
      <c r="CL5131" s="333"/>
      <c r="CM5131" s="1079"/>
      <c r="CN5131" s="1005"/>
      <c r="CO5131" s="1005"/>
      <c r="CP5131" s="1005"/>
    </row>
    <row r="5132">
      <c r="A5132" s="1257"/>
      <c r="B5132" s="1113"/>
      <c r="C5132" s="1107"/>
      <c r="D5132" s="103"/>
      <c r="E5132" s="1137"/>
      <c r="F5132" s="112"/>
      <c r="G5132" s="1110"/>
      <c r="H5132" s="1138"/>
      <c r="I5132" s="1138"/>
      <c r="J5132" s="1139"/>
      <c r="K5132" s="1111"/>
      <c r="L5132" s="1112"/>
      <c r="M5132" s="1113"/>
      <c r="N5132" s="110"/>
      <c r="O5132" s="1140"/>
      <c r="P5132" s="1115"/>
      <c r="Q5132" s="1116"/>
      <c r="R5132" s="1141"/>
      <c r="S5132" s="1113"/>
      <c r="T5132" s="1143"/>
      <c r="U5132" s="1108"/>
      <c r="V5132" s="1108"/>
      <c r="W5132" s="1108"/>
      <c r="X5132" s="1108"/>
      <c r="Y5132" s="1108"/>
      <c r="Z5132" s="1114"/>
      <c r="AA5132" s="1114"/>
      <c r="AB5132" s="1114"/>
      <c r="AC5132" s="1117"/>
      <c r="AD5132" s="1115"/>
      <c r="AE5132" s="1115"/>
      <c r="AF5132" s="1115"/>
      <c r="AG5132" s="1115"/>
      <c r="AH5132" s="1115"/>
      <c r="AI5132" s="1115"/>
      <c r="AJ5132" s="1117"/>
      <c r="AK5132" s="1118"/>
      <c r="AL5132" s="1115"/>
      <c r="AM5132" s="1115"/>
      <c r="AN5132" s="1115"/>
      <c r="AO5132" s="1115"/>
      <c r="AP5132" s="1115"/>
      <c r="AQ5132" s="1115"/>
      <c r="AR5132" s="1115"/>
      <c r="AS5132" s="1117"/>
      <c r="AT5132" s="1075"/>
      <c r="AU5132" s="1193"/>
      <c r="AV5132" s="330"/>
      <c r="AW5132" s="331"/>
      <c r="AX5132" s="331"/>
      <c r="AY5132" s="331"/>
      <c r="AZ5132" s="331"/>
      <c r="BA5132" s="331"/>
      <c r="BB5132" s="331"/>
      <c r="BC5132" s="331"/>
      <c r="BD5132" s="331"/>
      <c r="BE5132" s="333"/>
      <c r="BF5132" s="330"/>
      <c r="BG5132" s="333"/>
      <c r="BH5132" s="1119"/>
      <c r="BI5132" s="319"/>
      <c r="BJ5132" s="319"/>
      <c r="BK5132" s="319"/>
      <c r="BL5132" s="319"/>
      <c r="BM5132" s="319"/>
      <c r="BN5132" s="319"/>
      <c r="BO5132" s="319"/>
      <c r="BP5132" s="953"/>
      <c r="BQ5132" s="319"/>
      <c r="BR5132" s="319"/>
      <c r="BS5132" s="330"/>
      <c r="BT5132" s="331"/>
      <c r="BU5132" s="920"/>
      <c r="BV5132" s="903"/>
      <c r="BW5132" s="908"/>
      <c r="BX5132" s="908"/>
      <c r="BY5132" s="331"/>
      <c r="BZ5132" s="331"/>
      <c r="CA5132" s="462"/>
      <c r="CB5132" s="319"/>
      <c r="CC5132" s="319"/>
      <c r="CD5132" s="319"/>
      <c r="CE5132" s="319"/>
      <c r="CF5132" s="319"/>
      <c r="CG5132" s="319"/>
      <c r="CH5132" s="318"/>
      <c r="CI5132" s="319"/>
      <c r="CJ5132" s="319"/>
      <c r="CK5132" s="342"/>
      <c r="CL5132" s="333"/>
      <c r="CM5132" s="1079"/>
      <c r="CN5132" s="1005"/>
      <c r="CO5132" s="1005"/>
      <c r="CP5132" s="1005"/>
    </row>
    <row r="5133">
      <c r="A5133" s="1257"/>
      <c r="B5133" s="1113"/>
      <c r="C5133" s="1107"/>
      <c r="D5133" s="103"/>
      <c r="E5133" s="1137"/>
      <c r="F5133" s="112"/>
      <c r="G5133" s="1110"/>
      <c r="H5133" s="1138"/>
      <c r="I5133" s="1138"/>
      <c r="J5133" s="1139"/>
      <c r="K5133" s="1111"/>
      <c r="L5133" s="1112"/>
      <c r="M5133" s="1113"/>
      <c r="N5133" s="110"/>
      <c r="O5133" s="1140"/>
      <c r="P5133" s="1115"/>
      <c r="Q5133" s="1116"/>
      <c r="R5133" s="1141"/>
      <c r="S5133" s="1113"/>
      <c r="T5133" s="1143"/>
      <c r="U5133" s="1108"/>
      <c r="V5133" s="1108"/>
      <c r="W5133" s="1108"/>
      <c r="X5133" s="1108"/>
      <c r="Y5133" s="1108"/>
      <c r="Z5133" s="1114"/>
      <c r="AA5133" s="1114"/>
      <c r="AB5133" s="1114"/>
      <c r="AC5133" s="1117"/>
      <c r="AD5133" s="1115"/>
      <c r="AE5133" s="1115"/>
      <c r="AF5133" s="1115"/>
      <c r="AG5133" s="1115"/>
      <c r="AH5133" s="1115"/>
      <c r="AI5133" s="1115"/>
      <c r="AJ5133" s="1117"/>
      <c r="AK5133" s="1118"/>
      <c r="AL5133" s="1115"/>
      <c r="AM5133" s="1115"/>
      <c r="AN5133" s="1115"/>
      <c r="AO5133" s="1115"/>
      <c r="AP5133" s="1115"/>
      <c r="AQ5133" s="1115"/>
      <c r="AR5133" s="1115"/>
      <c r="AS5133" s="1117"/>
      <c r="AT5133" s="1075"/>
      <c r="AU5133" s="1193"/>
      <c r="AV5133" s="330"/>
      <c r="AW5133" s="331"/>
      <c r="AX5133" s="331"/>
      <c r="AY5133" s="331"/>
      <c r="AZ5133" s="331"/>
      <c r="BA5133" s="331"/>
      <c r="BB5133" s="331"/>
      <c r="BC5133" s="331"/>
      <c r="BD5133" s="331"/>
      <c r="BE5133" s="333"/>
      <c r="BF5133" s="330"/>
      <c r="BG5133" s="333"/>
      <c r="BH5133" s="1119"/>
      <c r="BI5133" s="319"/>
      <c r="BJ5133" s="319"/>
      <c r="BK5133" s="319"/>
      <c r="BL5133" s="319"/>
      <c r="BM5133" s="319"/>
      <c r="BN5133" s="319"/>
      <c r="BO5133" s="319"/>
      <c r="BP5133" s="953"/>
      <c r="BQ5133" s="319"/>
      <c r="BR5133" s="319"/>
      <c r="BS5133" s="330"/>
      <c r="BT5133" s="331"/>
      <c r="BU5133" s="920"/>
      <c r="BV5133" s="903"/>
      <c r="BW5133" s="908"/>
      <c r="BX5133" s="908"/>
      <c r="BY5133" s="331"/>
      <c r="BZ5133" s="331"/>
      <c r="CA5133" s="462"/>
      <c r="CB5133" s="319"/>
      <c r="CC5133" s="319"/>
      <c r="CD5133" s="319"/>
      <c r="CE5133" s="319"/>
      <c r="CF5133" s="319"/>
      <c r="CG5133" s="319"/>
      <c r="CH5133" s="318"/>
      <c r="CI5133" s="319"/>
      <c r="CJ5133" s="319"/>
      <c r="CK5133" s="342"/>
      <c r="CL5133" s="333"/>
      <c r="CM5133" s="1079"/>
      <c r="CN5133" s="1005"/>
      <c r="CO5133" s="1005"/>
      <c r="CP5133" s="1005"/>
    </row>
    <row r="5134">
      <c r="A5134" s="1257"/>
      <c r="B5134" s="1113"/>
      <c r="C5134" s="1107"/>
      <c r="D5134" s="103"/>
      <c r="E5134" s="1137"/>
      <c r="F5134" s="112"/>
      <c r="G5134" s="1110"/>
      <c r="H5134" s="1138"/>
      <c r="I5134" s="1138"/>
      <c r="J5134" s="1139"/>
      <c r="K5134" s="1111"/>
      <c r="L5134" s="1112"/>
      <c r="M5134" s="1113"/>
      <c r="N5134" s="110"/>
      <c r="O5134" s="1140"/>
      <c r="P5134" s="1115"/>
      <c r="Q5134" s="1116"/>
      <c r="R5134" s="1141"/>
      <c r="S5134" s="1113"/>
      <c r="T5134" s="1143"/>
      <c r="U5134" s="1108"/>
      <c r="V5134" s="1108"/>
      <c r="W5134" s="1108"/>
      <c r="X5134" s="1108"/>
      <c r="Y5134" s="1108"/>
      <c r="Z5134" s="1114"/>
      <c r="AA5134" s="1114"/>
      <c r="AB5134" s="1114"/>
      <c r="AC5134" s="1117"/>
      <c r="AD5134" s="1115"/>
      <c r="AE5134" s="1115"/>
      <c r="AF5134" s="1115"/>
      <c r="AG5134" s="1115"/>
      <c r="AH5134" s="1115"/>
      <c r="AI5134" s="1115"/>
      <c r="AJ5134" s="1117"/>
      <c r="AK5134" s="1118"/>
      <c r="AL5134" s="1115"/>
      <c r="AM5134" s="1115"/>
      <c r="AN5134" s="1115"/>
      <c r="AO5134" s="1115"/>
      <c r="AP5134" s="1115"/>
      <c r="AQ5134" s="1115"/>
      <c r="AR5134" s="1115"/>
      <c r="AS5134" s="1117"/>
      <c r="AT5134" s="1075"/>
      <c r="AU5134" s="1193"/>
      <c r="AV5134" s="330"/>
      <c r="AW5134" s="331"/>
      <c r="AX5134" s="331"/>
      <c r="AY5134" s="331"/>
      <c r="AZ5134" s="331"/>
      <c r="BA5134" s="331"/>
      <c r="BB5134" s="331"/>
      <c r="BC5134" s="331"/>
      <c r="BD5134" s="331"/>
      <c r="BE5134" s="333"/>
      <c r="BF5134" s="330"/>
      <c r="BG5134" s="333"/>
      <c r="BH5134" s="1119"/>
      <c r="BI5134" s="319"/>
      <c r="BJ5134" s="319"/>
      <c r="BK5134" s="319"/>
      <c r="BL5134" s="319"/>
      <c r="BM5134" s="319"/>
      <c r="BN5134" s="319"/>
      <c r="BO5134" s="319"/>
      <c r="BP5134" s="953"/>
      <c r="BQ5134" s="319"/>
      <c r="BR5134" s="319"/>
      <c r="BS5134" s="330"/>
      <c r="BT5134" s="331"/>
      <c r="BU5134" s="920"/>
      <c r="BV5134" s="903"/>
      <c r="BW5134" s="908"/>
      <c r="BX5134" s="908"/>
      <c r="BY5134" s="331"/>
      <c r="BZ5134" s="331"/>
      <c r="CA5134" s="462"/>
      <c r="CB5134" s="319"/>
      <c r="CC5134" s="319"/>
      <c r="CD5134" s="319"/>
      <c r="CE5134" s="319"/>
      <c r="CF5134" s="319"/>
      <c r="CG5134" s="319"/>
      <c r="CH5134" s="318"/>
      <c r="CI5134" s="319"/>
      <c r="CJ5134" s="319"/>
      <c r="CK5134" s="342"/>
      <c r="CL5134" s="333"/>
      <c r="CM5134" s="1079"/>
      <c r="CN5134" s="1005"/>
      <c r="CO5134" s="1005"/>
      <c r="CP5134" s="1005"/>
    </row>
    <row r="5135">
      <c r="A5135" s="1257"/>
      <c r="B5135" s="1113"/>
      <c r="C5135" s="1107"/>
      <c r="D5135" s="103"/>
      <c r="E5135" s="1137"/>
      <c r="F5135" s="112"/>
      <c r="G5135" s="1110"/>
      <c r="H5135" s="1138"/>
      <c r="I5135" s="1138"/>
      <c r="J5135" s="1139"/>
      <c r="K5135" s="1111"/>
      <c r="L5135" s="1112"/>
      <c r="M5135" s="1113"/>
      <c r="N5135" s="110"/>
      <c r="O5135" s="1140"/>
      <c r="P5135" s="1115"/>
      <c r="Q5135" s="1116"/>
      <c r="R5135" s="1141"/>
      <c r="S5135" s="1113"/>
      <c r="T5135" s="1143"/>
      <c r="U5135" s="1108"/>
      <c r="V5135" s="1108"/>
      <c r="W5135" s="1108"/>
      <c r="X5135" s="1108"/>
      <c r="Y5135" s="1108"/>
      <c r="Z5135" s="1114"/>
      <c r="AA5135" s="1114"/>
      <c r="AB5135" s="1114"/>
      <c r="AC5135" s="1117"/>
      <c r="AD5135" s="1115"/>
      <c r="AE5135" s="1115"/>
      <c r="AF5135" s="1115"/>
      <c r="AG5135" s="1115"/>
      <c r="AH5135" s="1115"/>
      <c r="AI5135" s="1115"/>
      <c r="AJ5135" s="1117"/>
      <c r="AK5135" s="1118"/>
      <c r="AL5135" s="1115"/>
      <c r="AM5135" s="1115"/>
      <c r="AN5135" s="1115"/>
      <c r="AO5135" s="1115"/>
      <c r="AP5135" s="1115"/>
      <c r="AQ5135" s="1115"/>
      <c r="AR5135" s="1115"/>
      <c r="AS5135" s="1117"/>
      <c r="AT5135" s="1075"/>
      <c r="AU5135" s="1193"/>
      <c r="AV5135" s="330"/>
      <c r="AW5135" s="331"/>
      <c r="AX5135" s="331"/>
      <c r="AY5135" s="331"/>
      <c r="AZ5135" s="331"/>
      <c r="BA5135" s="331"/>
      <c r="BB5135" s="331"/>
      <c r="BC5135" s="331"/>
      <c r="BD5135" s="331"/>
      <c r="BE5135" s="333"/>
      <c r="BF5135" s="330"/>
      <c r="BG5135" s="333"/>
      <c r="BH5135" s="1119"/>
      <c r="BI5135" s="319"/>
      <c r="BJ5135" s="319"/>
      <c r="BK5135" s="319"/>
      <c r="BL5135" s="319"/>
      <c r="BM5135" s="319"/>
      <c r="BN5135" s="319"/>
      <c r="BO5135" s="319"/>
      <c r="BP5135" s="953"/>
      <c r="BQ5135" s="319"/>
      <c r="BR5135" s="319"/>
      <c r="BS5135" s="330"/>
      <c r="BT5135" s="331"/>
      <c r="BU5135" s="920"/>
      <c r="BV5135" s="903"/>
      <c r="BW5135" s="908"/>
      <c r="BX5135" s="908"/>
      <c r="BY5135" s="331"/>
      <c r="BZ5135" s="331"/>
      <c r="CA5135" s="462"/>
      <c r="CB5135" s="319"/>
      <c r="CC5135" s="319"/>
      <c r="CD5135" s="319"/>
      <c r="CE5135" s="319"/>
      <c r="CF5135" s="319"/>
      <c r="CG5135" s="319"/>
      <c r="CH5135" s="318"/>
      <c r="CI5135" s="319"/>
      <c r="CJ5135" s="319"/>
      <c r="CK5135" s="342"/>
      <c r="CL5135" s="333"/>
      <c r="CM5135" s="1079"/>
      <c r="CN5135" s="1005"/>
      <c r="CO5135" s="1005"/>
      <c r="CP5135" s="1005"/>
    </row>
    <row r="5136">
      <c r="A5136" s="1257"/>
      <c r="B5136" s="1113"/>
      <c r="C5136" s="1107"/>
      <c r="D5136" s="103"/>
      <c r="E5136" s="1137"/>
      <c r="F5136" s="112"/>
      <c r="G5136" s="1110"/>
      <c r="H5136" s="1138"/>
      <c r="I5136" s="1138"/>
      <c r="J5136" s="1139"/>
      <c r="K5136" s="1111"/>
      <c r="L5136" s="1112"/>
      <c r="M5136" s="1113"/>
      <c r="N5136" s="110"/>
      <c r="O5136" s="1140"/>
      <c r="P5136" s="1115"/>
      <c r="Q5136" s="1116"/>
      <c r="R5136" s="1141"/>
      <c r="S5136" s="1113"/>
      <c r="T5136" s="1143"/>
      <c r="U5136" s="1108"/>
      <c r="V5136" s="1108"/>
      <c r="W5136" s="1108"/>
      <c r="X5136" s="1108"/>
      <c r="Y5136" s="1108"/>
      <c r="Z5136" s="1114"/>
      <c r="AA5136" s="1114"/>
      <c r="AB5136" s="1114"/>
      <c r="AC5136" s="1117"/>
      <c r="AD5136" s="1115"/>
      <c r="AE5136" s="1115"/>
      <c r="AF5136" s="1115"/>
      <c r="AG5136" s="1115"/>
      <c r="AH5136" s="1115"/>
      <c r="AI5136" s="1115"/>
      <c r="AJ5136" s="1117"/>
      <c r="AK5136" s="1118"/>
      <c r="AL5136" s="1115"/>
      <c r="AM5136" s="1115"/>
      <c r="AN5136" s="1115"/>
      <c r="AO5136" s="1115"/>
      <c r="AP5136" s="1115"/>
      <c r="AQ5136" s="1115"/>
      <c r="AR5136" s="1115"/>
      <c r="AS5136" s="1117"/>
      <c r="AT5136" s="1075"/>
      <c r="AU5136" s="1193"/>
      <c r="AV5136" s="330"/>
      <c r="AW5136" s="331"/>
      <c r="AX5136" s="331"/>
      <c r="AY5136" s="331"/>
      <c r="AZ5136" s="331"/>
      <c r="BA5136" s="331"/>
      <c r="BB5136" s="331"/>
      <c r="BC5136" s="331"/>
      <c r="BD5136" s="331"/>
      <c r="BE5136" s="333"/>
      <c r="BF5136" s="330"/>
      <c r="BG5136" s="333"/>
      <c r="BH5136" s="1119"/>
      <c r="BI5136" s="319"/>
      <c r="BJ5136" s="319"/>
      <c r="BK5136" s="319"/>
      <c r="BL5136" s="319"/>
      <c r="BM5136" s="319"/>
      <c r="BN5136" s="319"/>
      <c r="BO5136" s="319"/>
      <c r="BP5136" s="953"/>
      <c r="BQ5136" s="319"/>
      <c r="BR5136" s="319"/>
      <c r="BS5136" s="330"/>
      <c r="BT5136" s="331"/>
      <c r="BU5136" s="920"/>
      <c r="BV5136" s="903"/>
      <c r="BW5136" s="908"/>
      <c r="BX5136" s="908"/>
      <c r="BY5136" s="331"/>
      <c r="BZ5136" s="331"/>
      <c r="CA5136" s="462"/>
      <c r="CB5136" s="319"/>
      <c r="CC5136" s="319"/>
      <c r="CD5136" s="319"/>
      <c r="CE5136" s="319"/>
      <c r="CF5136" s="319"/>
      <c r="CG5136" s="319"/>
      <c r="CH5136" s="318"/>
      <c r="CI5136" s="319"/>
      <c r="CJ5136" s="319"/>
      <c r="CK5136" s="342"/>
      <c r="CL5136" s="333"/>
      <c r="CM5136" s="1079"/>
      <c r="CN5136" s="1005"/>
      <c r="CO5136" s="1005"/>
      <c r="CP5136" s="1005"/>
    </row>
    <row r="5137">
      <c r="A5137" s="1257"/>
      <c r="B5137" s="1113"/>
      <c r="C5137" s="1107"/>
      <c r="D5137" s="103"/>
      <c r="E5137" s="1137"/>
      <c r="F5137" s="112"/>
      <c r="G5137" s="1110"/>
      <c r="H5137" s="1138"/>
      <c r="I5137" s="1138"/>
      <c r="J5137" s="1139"/>
      <c r="K5137" s="1111"/>
      <c r="L5137" s="1112"/>
      <c r="M5137" s="1113"/>
      <c r="N5137" s="110"/>
      <c r="O5137" s="1140"/>
      <c r="P5137" s="1115"/>
      <c r="Q5137" s="1116"/>
      <c r="R5137" s="1141"/>
      <c r="S5137" s="1113"/>
      <c r="T5137" s="1143"/>
      <c r="U5137" s="1108"/>
      <c r="V5137" s="1108"/>
      <c r="W5137" s="1108"/>
      <c r="X5137" s="1108"/>
      <c r="Y5137" s="1108"/>
      <c r="Z5137" s="1114"/>
      <c r="AA5137" s="1114"/>
      <c r="AB5137" s="1114"/>
      <c r="AC5137" s="1117"/>
      <c r="AD5137" s="1115"/>
      <c r="AE5137" s="1115"/>
      <c r="AF5137" s="1115"/>
      <c r="AG5137" s="1115"/>
      <c r="AH5137" s="1115"/>
      <c r="AI5137" s="1115"/>
      <c r="AJ5137" s="1117"/>
      <c r="AK5137" s="1118"/>
      <c r="AL5137" s="1115"/>
      <c r="AM5137" s="1115"/>
      <c r="AN5137" s="1115"/>
      <c r="AO5137" s="1115"/>
      <c r="AP5137" s="1115"/>
      <c r="AQ5137" s="1115"/>
      <c r="AR5137" s="1115"/>
      <c r="AS5137" s="1117"/>
      <c r="AT5137" s="1075"/>
      <c r="AU5137" s="1193"/>
      <c r="AV5137" s="330"/>
      <c r="AW5137" s="331"/>
      <c r="AX5137" s="331"/>
      <c r="AY5137" s="331"/>
      <c r="AZ5137" s="331"/>
      <c r="BA5137" s="331"/>
      <c r="BB5137" s="331"/>
      <c r="BC5137" s="331"/>
      <c r="BD5137" s="331"/>
      <c r="BE5137" s="333"/>
      <c r="BF5137" s="330"/>
      <c r="BG5137" s="333"/>
      <c r="BH5137" s="1119"/>
      <c r="BI5137" s="319"/>
      <c r="BJ5137" s="319"/>
      <c r="BK5137" s="319"/>
      <c r="BL5137" s="319"/>
      <c r="BM5137" s="319"/>
      <c r="BN5137" s="319"/>
      <c r="BO5137" s="319"/>
      <c r="BP5137" s="953"/>
      <c r="BQ5137" s="319"/>
      <c r="BR5137" s="319"/>
      <c r="BS5137" s="330"/>
      <c r="BT5137" s="331"/>
      <c r="BU5137" s="920"/>
      <c r="BV5137" s="903"/>
      <c r="BW5137" s="908"/>
      <c r="BX5137" s="908"/>
      <c r="BY5137" s="331"/>
      <c r="BZ5137" s="331"/>
      <c r="CA5137" s="462"/>
      <c r="CB5137" s="319"/>
      <c r="CC5137" s="319"/>
      <c r="CD5137" s="319"/>
      <c r="CE5137" s="319"/>
      <c r="CF5137" s="319"/>
      <c r="CG5137" s="319"/>
      <c r="CH5137" s="318"/>
      <c r="CI5137" s="319"/>
      <c r="CJ5137" s="319"/>
      <c r="CK5137" s="342"/>
      <c r="CL5137" s="333"/>
      <c r="CM5137" s="1079"/>
      <c r="CN5137" s="1005"/>
      <c r="CO5137" s="1005"/>
      <c r="CP5137" s="1005"/>
    </row>
    <row r="5138">
      <c r="A5138" s="1257"/>
      <c r="B5138" s="1113"/>
      <c r="C5138" s="1107"/>
      <c r="D5138" s="103"/>
      <c r="E5138" s="1137"/>
      <c r="F5138" s="112"/>
      <c r="G5138" s="1110"/>
      <c r="H5138" s="1138"/>
      <c r="I5138" s="1138"/>
      <c r="J5138" s="1139"/>
      <c r="K5138" s="1111"/>
      <c r="L5138" s="1112"/>
      <c r="M5138" s="1113"/>
      <c r="N5138" s="110"/>
      <c r="O5138" s="1140"/>
      <c r="P5138" s="1115"/>
      <c r="Q5138" s="1116"/>
      <c r="R5138" s="1141"/>
      <c r="S5138" s="1113"/>
      <c r="T5138" s="1143"/>
      <c r="U5138" s="1108"/>
      <c r="V5138" s="1108"/>
      <c r="W5138" s="1108"/>
      <c r="X5138" s="1108"/>
      <c r="Y5138" s="1108"/>
      <c r="Z5138" s="1114"/>
      <c r="AA5138" s="1114"/>
      <c r="AB5138" s="1114"/>
      <c r="AC5138" s="1117"/>
      <c r="AD5138" s="1115"/>
      <c r="AE5138" s="1115"/>
      <c r="AF5138" s="1115"/>
      <c r="AG5138" s="1115"/>
      <c r="AH5138" s="1115"/>
      <c r="AI5138" s="1115"/>
      <c r="AJ5138" s="1117"/>
      <c r="AK5138" s="1118"/>
      <c r="AL5138" s="1115"/>
      <c r="AM5138" s="1115"/>
      <c r="AN5138" s="1115"/>
      <c r="AO5138" s="1115"/>
      <c r="AP5138" s="1115"/>
      <c r="AQ5138" s="1115"/>
      <c r="AR5138" s="1115"/>
      <c r="AS5138" s="1117"/>
      <c r="AT5138" s="1075"/>
      <c r="AU5138" s="1193"/>
      <c r="AV5138" s="330"/>
      <c r="AW5138" s="331"/>
      <c r="AX5138" s="331"/>
      <c r="AY5138" s="331"/>
      <c r="AZ5138" s="331"/>
      <c r="BA5138" s="331"/>
      <c r="BB5138" s="331"/>
      <c r="BC5138" s="331"/>
      <c r="BD5138" s="331"/>
      <c r="BE5138" s="333"/>
      <c r="BF5138" s="330"/>
      <c r="BG5138" s="333"/>
      <c r="BH5138" s="1119"/>
      <c r="BI5138" s="319"/>
      <c r="BJ5138" s="319"/>
      <c r="BK5138" s="319"/>
      <c r="BL5138" s="319"/>
      <c r="BM5138" s="319"/>
      <c r="BN5138" s="319"/>
      <c r="BO5138" s="319"/>
      <c r="BP5138" s="953"/>
      <c r="BQ5138" s="319"/>
      <c r="BR5138" s="319"/>
      <c r="BS5138" s="330"/>
      <c r="BT5138" s="331"/>
      <c r="BU5138" s="920"/>
      <c r="BV5138" s="903"/>
      <c r="BW5138" s="908"/>
      <c r="BX5138" s="908"/>
      <c r="BY5138" s="331"/>
      <c r="BZ5138" s="331"/>
      <c r="CA5138" s="462"/>
      <c r="CB5138" s="319"/>
      <c r="CC5138" s="319"/>
      <c r="CD5138" s="319"/>
      <c r="CE5138" s="319"/>
      <c r="CF5138" s="319"/>
      <c r="CG5138" s="319"/>
      <c r="CH5138" s="318"/>
      <c r="CI5138" s="319"/>
      <c r="CJ5138" s="319"/>
      <c r="CK5138" s="342"/>
      <c r="CL5138" s="333"/>
      <c r="CM5138" s="1079"/>
      <c r="CN5138" s="1005"/>
      <c r="CO5138" s="1005"/>
      <c r="CP5138" s="1005"/>
    </row>
    <row r="5139">
      <c r="A5139" s="1257"/>
      <c r="B5139" s="1113"/>
      <c r="C5139" s="1107"/>
      <c r="D5139" s="103"/>
      <c r="E5139" s="1137"/>
      <c r="F5139" s="112"/>
      <c r="G5139" s="1110"/>
      <c r="H5139" s="1138"/>
      <c r="I5139" s="1138"/>
      <c r="J5139" s="1139"/>
      <c r="K5139" s="1111"/>
      <c r="L5139" s="1112"/>
      <c r="M5139" s="1113"/>
      <c r="N5139" s="110"/>
      <c r="O5139" s="1140"/>
      <c r="P5139" s="1115"/>
      <c r="Q5139" s="1116"/>
      <c r="R5139" s="1141"/>
      <c r="S5139" s="1113"/>
      <c r="T5139" s="1143"/>
      <c r="U5139" s="1108"/>
      <c r="V5139" s="1108"/>
      <c r="W5139" s="1108"/>
      <c r="X5139" s="1108"/>
      <c r="Y5139" s="1108"/>
      <c r="Z5139" s="1114"/>
      <c r="AA5139" s="1114"/>
      <c r="AB5139" s="1114"/>
      <c r="AC5139" s="1117"/>
      <c r="AD5139" s="1115"/>
      <c r="AE5139" s="1115"/>
      <c r="AF5139" s="1115"/>
      <c r="AG5139" s="1115"/>
      <c r="AH5139" s="1115"/>
      <c r="AI5139" s="1115"/>
      <c r="AJ5139" s="1117"/>
      <c r="AK5139" s="1118"/>
      <c r="AL5139" s="1115"/>
      <c r="AM5139" s="1115"/>
      <c r="AN5139" s="1115"/>
      <c r="AO5139" s="1115"/>
      <c r="AP5139" s="1115"/>
      <c r="AQ5139" s="1115"/>
      <c r="AR5139" s="1115"/>
      <c r="AS5139" s="1117"/>
      <c r="AT5139" s="1075"/>
      <c r="AU5139" s="1193"/>
      <c r="AV5139" s="330"/>
      <c r="AW5139" s="331"/>
      <c r="AX5139" s="331"/>
      <c r="AY5139" s="331"/>
      <c r="AZ5139" s="331"/>
      <c r="BA5139" s="331"/>
      <c r="BB5139" s="331"/>
      <c r="BC5139" s="331"/>
      <c r="BD5139" s="331"/>
      <c r="BE5139" s="333"/>
      <c r="BF5139" s="330"/>
      <c r="BG5139" s="333"/>
      <c r="BH5139" s="1119"/>
      <c r="BI5139" s="319"/>
      <c r="BJ5139" s="319"/>
      <c r="BK5139" s="319"/>
      <c r="BL5139" s="319"/>
      <c r="BM5139" s="319"/>
      <c r="BN5139" s="319"/>
      <c r="BO5139" s="319"/>
      <c r="BP5139" s="953"/>
      <c r="BQ5139" s="319"/>
      <c r="BR5139" s="319"/>
      <c r="BS5139" s="330"/>
      <c r="BT5139" s="331"/>
      <c r="BU5139" s="920"/>
      <c r="BV5139" s="903"/>
      <c r="BW5139" s="908"/>
      <c r="BX5139" s="908"/>
      <c r="BY5139" s="331"/>
      <c r="BZ5139" s="331"/>
      <c r="CA5139" s="462"/>
      <c r="CB5139" s="319"/>
      <c r="CC5139" s="319"/>
      <c r="CD5139" s="319"/>
      <c r="CE5139" s="319"/>
      <c r="CF5139" s="319"/>
      <c r="CG5139" s="319"/>
      <c r="CH5139" s="318"/>
      <c r="CI5139" s="319"/>
      <c r="CJ5139" s="319"/>
      <c r="CK5139" s="342"/>
      <c r="CL5139" s="333"/>
      <c r="CM5139" s="1079"/>
      <c r="CN5139" s="1005"/>
      <c r="CO5139" s="1005"/>
      <c r="CP5139" s="1005"/>
    </row>
    <row r="5140">
      <c r="A5140" s="1257"/>
      <c r="B5140" s="1113"/>
      <c r="C5140" s="1107"/>
      <c r="D5140" s="103"/>
      <c r="E5140" s="1137"/>
      <c r="F5140" s="112"/>
      <c r="G5140" s="1110"/>
      <c r="H5140" s="1138"/>
      <c r="I5140" s="1138"/>
      <c r="J5140" s="1139"/>
      <c r="K5140" s="1111"/>
      <c r="L5140" s="1112"/>
      <c r="M5140" s="1113"/>
      <c r="N5140" s="110"/>
      <c r="O5140" s="1140"/>
      <c r="P5140" s="1115"/>
      <c r="Q5140" s="1116"/>
      <c r="R5140" s="1141"/>
      <c r="S5140" s="1113"/>
      <c r="T5140" s="1143"/>
      <c r="U5140" s="1108"/>
      <c r="V5140" s="1108"/>
      <c r="W5140" s="1108"/>
      <c r="X5140" s="1108"/>
      <c r="Y5140" s="1108"/>
      <c r="Z5140" s="1114"/>
      <c r="AA5140" s="1114"/>
      <c r="AB5140" s="1114"/>
      <c r="AC5140" s="1117"/>
      <c r="AD5140" s="1115"/>
      <c r="AE5140" s="1115"/>
      <c r="AF5140" s="1115"/>
      <c r="AG5140" s="1115"/>
      <c r="AH5140" s="1115"/>
      <c r="AI5140" s="1115"/>
      <c r="AJ5140" s="1117"/>
      <c r="AK5140" s="1118"/>
      <c r="AL5140" s="1115"/>
      <c r="AM5140" s="1115"/>
      <c r="AN5140" s="1115"/>
      <c r="AO5140" s="1115"/>
      <c r="AP5140" s="1115"/>
      <c r="AQ5140" s="1115"/>
      <c r="AR5140" s="1115"/>
      <c r="AS5140" s="1117"/>
      <c r="AT5140" s="1075"/>
      <c r="AU5140" s="1193"/>
      <c r="AV5140" s="330"/>
      <c r="AW5140" s="331"/>
      <c r="AX5140" s="331"/>
      <c r="AY5140" s="331"/>
      <c r="AZ5140" s="331"/>
      <c r="BA5140" s="331"/>
      <c r="BB5140" s="331"/>
      <c r="BC5140" s="331"/>
      <c r="BD5140" s="331"/>
      <c r="BE5140" s="333"/>
      <c r="BF5140" s="330"/>
      <c r="BG5140" s="333"/>
      <c r="BH5140" s="1119"/>
      <c r="BI5140" s="319"/>
      <c r="BJ5140" s="319"/>
      <c r="BK5140" s="319"/>
      <c r="BL5140" s="319"/>
      <c r="BM5140" s="319"/>
      <c r="BN5140" s="319"/>
      <c r="BO5140" s="319"/>
      <c r="BP5140" s="953"/>
      <c r="BQ5140" s="319"/>
      <c r="BR5140" s="319"/>
      <c r="BS5140" s="330"/>
      <c r="BT5140" s="331"/>
      <c r="BU5140" s="920"/>
      <c r="BV5140" s="903"/>
      <c r="BW5140" s="908"/>
      <c r="BX5140" s="908"/>
      <c r="BY5140" s="331"/>
      <c r="BZ5140" s="331"/>
      <c r="CA5140" s="462"/>
      <c r="CB5140" s="319"/>
      <c r="CC5140" s="319"/>
      <c r="CD5140" s="319"/>
      <c r="CE5140" s="319"/>
      <c r="CF5140" s="319"/>
      <c r="CG5140" s="319"/>
      <c r="CH5140" s="318"/>
      <c r="CI5140" s="319"/>
      <c r="CJ5140" s="319"/>
      <c r="CK5140" s="342"/>
      <c r="CL5140" s="333"/>
      <c r="CM5140" s="1079"/>
      <c r="CN5140" s="1005"/>
      <c r="CO5140" s="1005"/>
      <c r="CP5140" s="1005"/>
    </row>
    <row r="5141">
      <c r="A5141" s="1257"/>
      <c r="B5141" s="1113"/>
      <c r="C5141" s="1107"/>
      <c r="D5141" s="103"/>
      <c r="E5141" s="1137"/>
      <c r="F5141" s="112"/>
      <c r="G5141" s="1110"/>
      <c r="H5141" s="1138"/>
      <c r="I5141" s="1138"/>
      <c r="J5141" s="1139"/>
      <c r="K5141" s="1111"/>
      <c r="L5141" s="1112"/>
      <c r="M5141" s="1113"/>
      <c r="N5141" s="110"/>
      <c r="O5141" s="1140"/>
      <c r="P5141" s="1115"/>
      <c r="Q5141" s="1116"/>
      <c r="R5141" s="1141"/>
      <c r="S5141" s="1113"/>
      <c r="T5141" s="1143"/>
      <c r="U5141" s="1108"/>
      <c r="V5141" s="1108"/>
      <c r="W5141" s="1108"/>
      <c r="X5141" s="1108"/>
      <c r="Y5141" s="1108"/>
      <c r="Z5141" s="1114"/>
      <c r="AA5141" s="1114"/>
      <c r="AB5141" s="1114"/>
      <c r="AC5141" s="1117"/>
      <c r="AD5141" s="1115"/>
      <c r="AE5141" s="1115"/>
      <c r="AF5141" s="1115"/>
      <c r="AG5141" s="1115"/>
      <c r="AH5141" s="1115"/>
      <c r="AI5141" s="1115"/>
      <c r="AJ5141" s="1117"/>
      <c r="AK5141" s="1118"/>
      <c r="AL5141" s="1115"/>
      <c r="AM5141" s="1115"/>
      <c r="AN5141" s="1115"/>
      <c r="AO5141" s="1115"/>
      <c r="AP5141" s="1115"/>
      <c r="AQ5141" s="1115"/>
      <c r="AR5141" s="1115"/>
      <c r="AS5141" s="1117"/>
      <c r="AT5141" s="1075"/>
      <c r="AU5141" s="1193"/>
      <c r="AV5141" s="330"/>
      <c r="AW5141" s="331"/>
      <c r="AX5141" s="331"/>
      <c r="AY5141" s="331"/>
      <c r="AZ5141" s="331"/>
      <c r="BA5141" s="331"/>
      <c r="BB5141" s="331"/>
      <c r="BC5141" s="331"/>
      <c r="BD5141" s="331"/>
      <c r="BE5141" s="333"/>
      <c r="BF5141" s="330"/>
      <c r="BG5141" s="333"/>
      <c r="BH5141" s="1119"/>
      <c r="BI5141" s="319"/>
      <c r="BJ5141" s="319"/>
      <c r="BK5141" s="319"/>
      <c r="BL5141" s="319"/>
      <c r="BM5141" s="319"/>
      <c r="BN5141" s="319"/>
      <c r="BO5141" s="319"/>
      <c r="BP5141" s="953"/>
      <c r="BQ5141" s="319"/>
      <c r="BR5141" s="319"/>
      <c r="BS5141" s="330"/>
      <c r="BT5141" s="331"/>
      <c r="BU5141" s="920"/>
      <c r="BV5141" s="903"/>
      <c r="BW5141" s="908"/>
      <c r="BX5141" s="908"/>
      <c r="BY5141" s="331"/>
      <c r="BZ5141" s="331"/>
      <c r="CA5141" s="462"/>
      <c r="CB5141" s="319"/>
      <c r="CC5141" s="319"/>
      <c r="CD5141" s="319"/>
      <c r="CE5141" s="319"/>
      <c r="CF5141" s="319"/>
      <c r="CG5141" s="319"/>
      <c r="CH5141" s="318"/>
      <c r="CI5141" s="319"/>
      <c r="CJ5141" s="319"/>
      <c r="CK5141" s="342"/>
      <c r="CL5141" s="333"/>
      <c r="CM5141" s="1079"/>
      <c r="CN5141" s="1005"/>
      <c r="CO5141" s="1005"/>
      <c r="CP5141" s="1005"/>
    </row>
    <row r="5142">
      <c r="A5142" s="1257"/>
      <c r="B5142" s="1113"/>
      <c r="C5142" s="1107"/>
      <c r="D5142" s="103"/>
      <c r="E5142" s="1137"/>
      <c r="F5142" s="112"/>
      <c r="G5142" s="1110"/>
      <c r="H5142" s="1138"/>
      <c r="I5142" s="1138"/>
      <c r="J5142" s="1139"/>
      <c r="K5142" s="1111"/>
      <c r="L5142" s="1112"/>
      <c r="M5142" s="1113"/>
      <c r="N5142" s="110"/>
      <c r="O5142" s="1140"/>
      <c r="P5142" s="1115"/>
      <c r="Q5142" s="1116"/>
      <c r="R5142" s="1141"/>
      <c r="S5142" s="1113"/>
      <c r="T5142" s="1143"/>
      <c r="U5142" s="1108"/>
      <c r="V5142" s="1108"/>
      <c r="W5142" s="1108"/>
      <c r="X5142" s="1108"/>
      <c r="Y5142" s="1108"/>
      <c r="Z5142" s="1114"/>
      <c r="AA5142" s="1114"/>
      <c r="AB5142" s="1114"/>
      <c r="AC5142" s="1117"/>
      <c r="AD5142" s="1115"/>
      <c r="AE5142" s="1115"/>
      <c r="AF5142" s="1115"/>
      <c r="AG5142" s="1115"/>
      <c r="AH5142" s="1115"/>
      <c r="AI5142" s="1115"/>
      <c r="AJ5142" s="1117"/>
      <c r="AK5142" s="1118"/>
      <c r="AL5142" s="1115"/>
      <c r="AM5142" s="1115"/>
      <c r="AN5142" s="1115"/>
      <c r="AO5142" s="1115"/>
      <c r="AP5142" s="1115"/>
      <c r="AQ5142" s="1115"/>
      <c r="AR5142" s="1115"/>
      <c r="AS5142" s="1117"/>
      <c r="AT5142" s="1075"/>
      <c r="AU5142" s="1193"/>
      <c r="AV5142" s="330"/>
      <c r="AW5142" s="331"/>
      <c r="AX5142" s="331"/>
      <c r="AY5142" s="331"/>
      <c r="AZ5142" s="331"/>
      <c r="BA5142" s="331"/>
      <c r="BB5142" s="331"/>
      <c r="BC5142" s="331"/>
      <c r="BD5142" s="331"/>
      <c r="BE5142" s="333"/>
      <c r="BF5142" s="330"/>
      <c r="BG5142" s="333"/>
      <c r="BH5142" s="1119"/>
      <c r="BI5142" s="319"/>
      <c r="BJ5142" s="319"/>
      <c r="BK5142" s="319"/>
      <c r="BL5142" s="319"/>
      <c r="BM5142" s="319"/>
      <c r="BN5142" s="319"/>
      <c r="BO5142" s="319"/>
      <c r="BP5142" s="953"/>
      <c r="BQ5142" s="319"/>
      <c r="BR5142" s="319"/>
      <c r="BS5142" s="330"/>
      <c r="BT5142" s="331"/>
      <c r="BU5142" s="920"/>
      <c r="BV5142" s="903"/>
      <c r="BW5142" s="908"/>
      <c r="BX5142" s="908"/>
      <c r="BY5142" s="331"/>
      <c r="BZ5142" s="331"/>
      <c r="CA5142" s="462"/>
      <c r="CB5142" s="319"/>
      <c r="CC5142" s="319"/>
      <c r="CD5142" s="319"/>
      <c r="CE5142" s="319"/>
      <c r="CF5142" s="319"/>
      <c r="CG5142" s="319"/>
      <c r="CH5142" s="318"/>
      <c r="CI5142" s="319"/>
      <c r="CJ5142" s="319"/>
      <c r="CK5142" s="342"/>
      <c r="CL5142" s="333"/>
      <c r="CM5142" s="1079"/>
      <c r="CN5142" s="1005"/>
      <c r="CO5142" s="1005"/>
      <c r="CP5142" s="1005"/>
    </row>
    <row r="5143">
      <c r="A5143" s="1257"/>
      <c r="B5143" s="1113"/>
      <c r="C5143" s="1107"/>
      <c r="D5143" s="103"/>
      <c r="E5143" s="1137"/>
      <c r="F5143" s="112"/>
      <c r="G5143" s="1110"/>
      <c r="H5143" s="1138"/>
      <c r="I5143" s="1138"/>
      <c r="J5143" s="1139"/>
      <c r="K5143" s="1111"/>
      <c r="L5143" s="1112"/>
      <c r="M5143" s="1113"/>
      <c r="N5143" s="110"/>
      <c r="O5143" s="1140"/>
      <c r="P5143" s="1115"/>
      <c r="Q5143" s="1116"/>
      <c r="R5143" s="1141"/>
      <c r="S5143" s="1113"/>
      <c r="T5143" s="1143"/>
      <c r="U5143" s="1108"/>
      <c r="V5143" s="1108"/>
      <c r="W5143" s="1108"/>
      <c r="X5143" s="1108"/>
      <c r="Y5143" s="1108"/>
      <c r="Z5143" s="1114"/>
      <c r="AA5143" s="1114"/>
      <c r="AB5143" s="1114"/>
      <c r="AC5143" s="1117"/>
      <c r="AD5143" s="1115"/>
      <c r="AE5143" s="1115"/>
      <c r="AF5143" s="1115"/>
      <c r="AG5143" s="1115"/>
      <c r="AH5143" s="1115"/>
      <c r="AI5143" s="1115"/>
      <c r="AJ5143" s="1117"/>
      <c r="AK5143" s="1118"/>
      <c r="AL5143" s="1115"/>
      <c r="AM5143" s="1115"/>
      <c r="AN5143" s="1115"/>
      <c r="AO5143" s="1115"/>
      <c r="AP5143" s="1115"/>
      <c r="AQ5143" s="1115"/>
      <c r="AR5143" s="1115"/>
      <c r="AS5143" s="1117"/>
      <c r="AT5143" s="1075"/>
      <c r="AU5143" s="1193"/>
      <c r="AV5143" s="330"/>
      <c r="AW5143" s="331"/>
      <c r="AX5143" s="331"/>
      <c r="AY5143" s="331"/>
      <c r="AZ5143" s="331"/>
      <c r="BA5143" s="331"/>
      <c r="BB5143" s="331"/>
      <c r="BC5143" s="331"/>
      <c r="BD5143" s="331"/>
      <c r="BE5143" s="333"/>
      <c r="BF5143" s="330"/>
      <c r="BG5143" s="333"/>
      <c r="BH5143" s="1119"/>
      <c r="BI5143" s="319"/>
      <c r="BJ5143" s="319"/>
      <c r="BK5143" s="319"/>
      <c r="BL5143" s="319"/>
      <c r="BM5143" s="319"/>
      <c r="BN5143" s="319"/>
      <c r="BO5143" s="319"/>
      <c r="BP5143" s="953"/>
      <c r="BQ5143" s="319"/>
      <c r="BR5143" s="319"/>
      <c r="BS5143" s="330"/>
      <c r="BT5143" s="331"/>
      <c r="BU5143" s="920"/>
      <c r="BV5143" s="903"/>
      <c r="BW5143" s="908"/>
      <c r="BX5143" s="908"/>
      <c r="BY5143" s="331"/>
      <c r="BZ5143" s="331"/>
      <c r="CA5143" s="462"/>
      <c r="CB5143" s="319"/>
      <c r="CC5143" s="319"/>
      <c r="CD5143" s="319"/>
      <c r="CE5143" s="319"/>
      <c r="CF5143" s="319"/>
      <c r="CG5143" s="319"/>
      <c r="CH5143" s="318"/>
      <c r="CI5143" s="319"/>
      <c r="CJ5143" s="319"/>
      <c r="CK5143" s="342"/>
      <c r="CL5143" s="333"/>
      <c r="CM5143" s="1079"/>
      <c r="CN5143" s="1005"/>
      <c r="CO5143" s="1005"/>
      <c r="CP5143" s="1005"/>
    </row>
    <row r="5144">
      <c r="A5144" s="1257"/>
      <c r="B5144" s="1113"/>
      <c r="C5144" s="1107"/>
      <c r="D5144" s="103"/>
      <c r="E5144" s="1137"/>
      <c r="F5144" s="112"/>
      <c r="G5144" s="1110"/>
      <c r="H5144" s="1138"/>
      <c r="I5144" s="1138"/>
      <c r="J5144" s="1139"/>
      <c r="K5144" s="1111"/>
      <c r="L5144" s="1112"/>
      <c r="M5144" s="1113"/>
      <c r="N5144" s="110"/>
      <c r="O5144" s="1140"/>
      <c r="P5144" s="1115"/>
      <c r="Q5144" s="1116"/>
      <c r="R5144" s="1141"/>
      <c r="S5144" s="1113"/>
      <c r="T5144" s="1143"/>
      <c r="U5144" s="1108"/>
      <c r="V5144" s="1108"/>
      <c r="W5144" s="1108"/>
      <c r="X5144" s="1108"/>
      <c r="Y5144" s="1108"/>
      <c r="Z5144" s="1114"/>
      <c r="AA5144" s="1114"/>
      <c r="AB5144" s="1114"/>
      <c r="AC5144" s="1117"/>
      <c r="AD5144" s="1115"/>
      <c r="AE5144" s="1115"/>
      <c r="AF5144" s="1115"/>
      <c r="AG5144" s="1115"/>
      <c r="AH5144" s="1115"/>
      <c r="AI5144" s="1115"/>
      <c r="AJ5144" s="1117"/>
      <c r="AK5144" s="1118"/>
      <c r="AL5144" s="1115"/>
      <c r="AM5144" s="1115"/>
      <c r="AN5144" s="1115"/>
      <c r="AO5144" s="1115"/>
      <c r="AP5144" s="1115"/>
      <c r="AQ5144" s="1115"/>
      <c r="AR5144" s="1115"/>
      <c r="AS5144" s="1117"/>
      <c r="AT5144" s="1075"/>
      <c r="AU5144" s="1193"/>
      <c r="AV5144" s="330"/>
      <c r="AW5144" s="331"/>
      <c r="AX5144" s="331"/>
      <c r="AY5144" s="331"/>
      <c r="AZ5144" s="331"/>
      <c r="BA5144" s="331"/>
      <c r="BB5144" s="331"/>
      <c r="BC5144" s="331"/>
      <c r="BD5144" s="331"/>
      <c r="BE5144" s="333"/>
      <c r="BF5144" s="330"/>
      <c r="BG5144" s="333"/>
      <c r="BH5144" s="1119"/>
      <c r="BI5144" s="319"/>
      <c r="BJ5144" s="319"/>
      <c r="BK5144" s="319"/>
      <c r="BL5144" s="319"/>
      <c r="BM5144" s="319"/>
      <c r="BN5144" s="319"/>
      <c r="BO5144" s="319"/>
      <c r="BP5144" s="953"/>
      <c r="BQ5144" s="319"/>
      <c r="BR5144" s="319"/>
      <c r="BS5144" s="330"/>
      <c r="BT5144" s="331"/>
      <c r="BU5144" s="920"/>
      <c r="BV5144" s="903"/>
      <c r="BW5144" s="908"/>
      <c r="BX5144" s="908"/>
      <c r="BY5144" s="331"/>
      <c r="BZ5144" s="331"/>
      <c r="CA5144" s="462"/>
      <c r="CB5144" s="319"/>
      <c r="CC5144" s="319"/>
      <c r="CD5144" s="319"/>
      <c r="CE5144" s="319"/>
      <c r="CF5144" s="319"/>
      <c r="CG5144" s="319"/>
      <c r="CH5144" s="318"/>
      <c r="CI5144" s="319"/>
      <c r="CJ5144" s="319"/>
      <c r="CK5144" s="342"/>
      <c r="CL5144" s="333"/>
      <c r="CM5144" s="1079"/>
      <c r="CN5144" s="1005"/>
      <c r="CO5144" s="1005"/>
      <c r="CP5144" s="1005"/>
    </row>
    <row r="5145">
      <c r="A5145" s="1257"/>
      <c r="B5145" s="1113"/>
      <c r="C5145" s="1107"/>
      <c r="D5145" s="103"/>
      <c r="E5145" s="1137"/>
      <c r="F5145" s="112"/>
      <c r="G5145" s="1110"/>
      <c r="H5145" s="1138"/>
      <c r="I5145" s="1138"/>
      <c r="J5145" s="1139"/>
      <c r="K5145" s="1111"/>
      <c r="L5145" s="1112"/>
      <c r="M5145" s="1113"/>
      <c r="N5145" s="110"/>
      <c r="O5145" s="1140"/>
      <c r="P5145" s="1115"/>
      <c r="Q5145" s="1116"/>
      <c r="R5145" s="1141"/>
      <c r="S5145" s="1113"/>
      <c r="T5145" s="1143"/>
      <c r="U5145" s="1108"/>
      <c r="V5145" s="1108"/>
      <c r="W5145" s="1108"/>
      <c r="X5145" s="1108"/>
      <c r="Y5145" s="1108"/>
      <c r="Z5145" s="1114"/>
      <c r="AA5145" s="1114"/>
      <c r="AB5145" s="1114"/>
      <c r="AC5145" s="1117"/>
      <c r="AD5145" s="1115"/>
      <c r="AE5145" s="1115"/>
      <c r="AF5145" s="1115"/>
      <c r="AG5145" s="1115"/>
      <c r="AH5145" s="1115"/>
      <c r="AI5145" s="1115"/>
      <c r="AJ5145" s="1117"/>
      <c r="AK5145" s="1118"/>
      <c r="AL5145" s="1115"/>
      <c r="AM5145" s="1115"/>
      <c r="AN5145" s="1115"/>
      <c r="AO5145" s="1115"/>
      <c r="AP5145" s="1115"/>
      <c r="AQ5145" s="1115"/>
      <c r="AR5145" s="1115"/>
      <c r="AS5145" s="1117"/>
      <c r="AT5145" s="1075"/>
      <c r="AU5145" s="1193"/>
      <c r="AV5145" s="330"/>
      <c r="AW5145" s="331"/>
      <c r="AX5145" s="331"/>
      <c r="AY5145" s="331"/>
      <c r="AZ5145" s="331"/>
      <c r="BA5145" s="331"/>
      <c r="BB5145" s="331"/>
      <c r="BC5145" s="331"/>
      <c r="BD5145" s="331"/>
      <c r="BE5145" s="333"/>
      <c r="BF5145" s="330"/>
      <c r="BG5145" s="333"/>
      <c r="BH5145" s="1119"/>
      <c r="BI5145" s="319"/>
      <c r="BJ5145" s="319"/>
      <c r="BK5145" s="319"/>
      <c r="BL5145" s="319"/>
      <c r="BM5145" s="319"/>
      <c r="BN5145" s="319"/>
      <c r="BO5145" s="319"/>
      <c r="BP5145" s="953"/>
      <c r="BQ5145" s="319"/>
      <c r="BR5145" s="319"/>
      <c r="BS5145" s="330"/>
      <c r="BT5145" s="331"/>
      <c r="BU5145" s="920"/>
      <c r="BV5145" s="903"/>
      <c r="BW5145" s="908"/>
      <c r="BX5145" s="908"/>
      <c r="BY5145" s="331"/>
      <c r="BZ5145" s="331"/>
      <c r="CA5145" s="462"/>
      <c r="CB5145" s="319"/>
      <c r="CC5145" s="319"/>
      <c r="CD5145" s="319"/>
      <c r="CE5145" s="319"/>
      <c r="CF5145" s="319"/>
      <c r="CG5145" s="319"/>
      <c r="CH5145" s="318"/>
      <c r="CI5145" s="319"/>
      <c r="CJ5145" s="319"/>
      <c r="CK5145" s="342"/>
      <c r="CL5145" s="333"/>
      <c r="CM5145" s="1079"/>
      <c r="CN5145" s="1005"/>
      <c r="CO5145" s="1005"/>
      <c r="CP5145" s="1005"/>
    </row>
    <row r="5146">
      <c r="A5146" s="1257"/>
      <c r="B5146" s="1113"/>
      <c r="C5146" s="1107"/>
      <c r="D5146" s="103"/>
      <c r="E5146" s="1137"/>
      <c r="F5146" s="112"/>
      <c r="G5146" s="1110"/>
      <c r="H5146" s="1138"/>
      <c r="I5146" s="1138"/>
      <c r="J5146" s="1139"/>
      <c r="K5146" s="1111"/>
      <c r="L5146" s="1112"/>
      <c r="M5146" s="1113"/>
      <c r="N5146" s="110"/>
      <c r="O5146" s="1140"/>
      <c r="P5146" s="1115"/>
      <c r="Q5146" s="1116"/>
      <c r="R5146" s="1141"/>
      <c r="S5146" s="1113"/>
      <c r="T5146" s="1143"/>
      <c r="U5146" s="1108"/>
      <c r="V5146" s="1108"/>
      <c r="W5146" s="1108"/>
      <c r="X5146" s="1108"/>
      <c r="Y5146" s="1108"/>
      <c r="Z5146" s="1114"/>
      <c r="AA5146" s="1114"/>
      <c r="AB5146" s="1114"/>
      <c r="AC5146" s="1117"/>
      <c r="AD5146" s="1115"/>
      <c r="AE5146" s="1115"/>
      <c r="AF5146" s="1115"/>
      <c r="AG5146" s="1115"/>
      <c r="AH5146" s="1115"/>
      <c r="AI5146" s="1115"/>
      <c r="AJ5146" s="1117"/>
      <c r="AK5146" s="1118"/>
      <c r="AL5146" s="1115"/>
      <c r="AM5146" s="1115"/>
      <c r="AN5146" s="1115"/>
      <c r="AO5146" s="1115"/>
      <c r="AP5146" s="1115"/>
      <c r="AQ5146" s="1115"/>
      <c r="AR5146" s="1115"/>
      <c r="AS5146" s="1117"/>
      <c r="AT5146" s="1075"/>
      <c r="AU5146" s="1193"/>
      <c r="AV5146" s="330"/>
      <c r="AW5146" s="331"/>
      <c r="AX5146" s="331"/>
      <c r="AY5146" s="331"/>
      <c r="AZ5146" s="331"/>
      <c r="BA5146" s="331"/>
      <c r="BB5146" s="331"/>
      <c r="BC5146" s="331"/>
      <c r="BD5146" s="331"/>
      <c r="BE5146" s="333"/>
      <c r="BF5146" s="330"/>
      <c r="BG5146" s="333"/>
      <c r="BH5146" s="1119"/>
      <c r="BI5146" s="319"/>
      <c r="BJ5146" s="319"/>
      <c r="BK5146" s="319"/>
      <c r="BL5146" s="319"/>
      <c r="BM5146" s="319"/>
      <c r="BN5146" s="319"/>
      <c r="BO5146" s="319"/>
      <c r="BP5146" s="953"/>
      <c r="BQ5146" s="319"/>
      <c r="BR5146" s="319"/>
      <c r="BS5146" s="330"/>
      <c r="BT5146" s="331"/>
      <c r="BU5146" s="920"/>
      <c r="BV5146" s="903"/>
      <c r="BW5146" s="908"/>
      <c r="BX5146" s="908"/>
      <c r="BY5146" s="331"/>
      <c r="BZ5146" s="331"/>
      <c r="CA5146" s="462"/>
      <c r="CB5146" s="319"/>
      <c r="CC5146" s="319"/>
      <c r="CD5146" s="319"/>
      <c r="CE5146" s="319"/>
      <c r="CF5146" s="319"/>
      <c r="CG5146" s="319"/>
      <c r="CH5146" s="318"/>
      <c r="CI5146" s="319"/>
      <c r="CJ5146" s="319"/>
      <c r="CK5146" s="342"/>
      <c r="CL5146" s="333"/>
      <c r="CM5146" s="1079"/>
      <c r="CN5146" s="1005"/>
      <c r="CO5146" s="1005"/>
      <c r="CP5146" s="1005"/>
    </row>
    <row r="5147">
      <c r="A5147" s="1257"/>
      <c r="B5147" s="1113"/>
      <c r="C5147" s="1107"/>
      <c r="D5147" s="103"/>
      <c r="E5147" s="1137"/>
      <c r="F5147" s="112"/>
      <c r="G5147" s="1110"/>
      <c r="H5147" s="1138"/>
      <c r="I5147" s="1138"/>
      <c r="J5147" s="1139"/>
      <c r="K5147" s="1111"/>
      <c r="L5147" s="1112"/>
      <c r="M5147" s="1113"/>
      <c r="N5147" s="110"/>
      <c r="O5147" s="1140"/>
      <c r="P5147" s="1115"/>
      <c r="Q5147" s="1116"/>
      <c r="R5147" s="1141"/>
      <c r="S5147" s="1113"/>
      <c r="T5147" s="1143"/>
      <c r="U5147" s="1108"/>
      <c r="V5147" s="1108"/>
      <c r="W5147" s="1108"/>
      <c r="X5147" s="1108"/>
      <c r="Y5147" s="1108"/>
      <c r="Z5147" s="1114"/>
      <c r="AA5147" s="1114"/>
      <c r="AB5147" s="1114"/>
      <c r="AC5147" s="1117"/>
      <c r="AD5147" s="1115"/>
      <c r="AE5147" s="1115"/>
      <c r="AF5147" s="1115"/>
      <c r="AG5147" s="1115"/>
      <c r="AH5147" s="1115"/>
      <c r="AI5147" s="1115"/>
      <c r="AJ5147" s="1117"/>
      <c r="AK5147" s="1118"/>
      <c r="AL5147" s="1115"/>
      <c r="AM5147" s="1115"/>
      <c r="AN5147" s="1115"/>
      <c r="AO5147" s="1115"/>
      <c r="AP5147" s="1115"/>
      <c r="AQ5147" s="1115"/>
      <c r="AR5147" s="1115"/>
      <c r="AS5147" s="1117"/>
      <c r="AT5147" s="1075"/>
      <c r="AU5147" s="1193"/>
      <c r="AV5147" s="330"/>
      <c r="AW5147" s="331"/>
      <c r="AX5147" s="331"/>
      <c r="AY5147" s="331"/>
      <c r="AZ5147" s="331"/>
      <c r="BA5147" s="331"/>
      <c r="BB5147" s="331"/>
      <c r="BC5147" s="331"/>
      <c r="BD5147" s="331"/>
      <c r="BE5147" s="333"/>
      <c r="BF5147" s="330"/>
      <c r="BG5147" s="333"/>
      <c r="BH5147" s="1119"/>
      <c r="BI5147" s="319"/>
      <c r="BJ5147" s="319"/>
      <c r="BK5147" s="319"/>
      <c r="BL5147" s="319"/>
      <c r="BM5147" s="319"/>
      <c r="BN5147" s="319"/>
      <c r="BO5147" s="319"/>
      <c r="BP5147" s="953"/>
      <c r="BQ5147" s="319"/>
      <c r="BR5147" s="319"/>
      <c r="BS5147" s="330"/>
      <c r="BT5147" s="331"/>
      <c r="BU5147" s="920"/>
      <c r="BV5147" s="903"/>
      <c r="BW5147" s="908"/>
      <c r="BX5147" s="908"/>
      <c r="BY5147" s="331"/>
      <c r="BZ5147" s="331"/>
      <c r="CA5147" s="462"/>
      <c r="CB5147" s="319"/>
      <c r="CC5147" s="319"/>
      <c r="CD5147" s="319"/>
      <c r="CE5147" s="319"/>
      <c r="CF5147" s="319"/>
      <c r="CG5147" s="319"/>
      <c r="CH5147" s="318"/>
      <c r="CI5147" s="319"/>
      <c r="CJ5147" s="319"/>
      <c r="CK5147" s="342"/>
      <c r="CL5147" s="333"/>
      <c r="CM5147" s="1079"/>
      <c r="CN5147" s="1005"/>
      <c r="CO5147" s="1005"/>
      <c r="CP5147" s="1005"/>
    </row>
    <row r="5148">
      <c r="A5148" s="1257"/>
      <c r="B5148" s="1113"/>
      <c r="C5148" s="1107"/>
      <c r="D5148" s="103"/>
      <c r="E5148" s="1137"/>
      <c r="F5148" s="112"/>
      <c r="G5148" s="1110"/>
      <c r="H5148" s="1138"/>
      <c r="I5148" s="1138"/>
      <c r="J5148" s="1139"/>
      <c r="K5148" s="1111"/>
      <c r="L5148" s="1112"/>
      <c r="M5148" s="1113"/>
      <c r="N5148" s="110"/>
      <c r="O5148" s="1140"/>
      <c r="P5148" s="1115"/>
      <c r="Q5148" s="1116"/>
      <c r="R5148" s="1141"/>
      <c r="S5148" s="1113"/>
      <c r="T5148" s="1143"/>
      <c r="U5148" s="1108"/>
      <c r="V5148" s="1108"/>
      <c r="W5148" s="1108"/>
      <c r="X5148" s="1108"/>
      <c r="Y5148" s="1108"/>
      <c r="Z5148" s="1114"/>
      <c r="AA5148" s="1114"/>
      <c r="AB5148" s="1114"/>
      <c r="AC5148" s="1117"/>
      <c r="AD5148" s="1115"/>
      <c r="AE5148" s="1115"/>
      <c r="AF5148" s="1115"/>
      <c r="AG5148" s="1115"/>
      <c r="AH5148" s="1115"/>
      <c r="AI5148" s="1115"/>
      <c r="AJ5148" s="1117"/>
      <c r="AK5148" s="1118"/>
      <c r="AL5148" s="1115"/>
      <c r="AM5148" s="1115"/>
      <c r="AN5148" s="1115"/>
      <c r="AO5148" s="1115"/>
      <c r="AP5148" s="1115"/>
      <c r="AQ5148" s="1115"/>
      <c r="AR5148" s="1115"/>
      <c r="AS5148" s="1117"/>
      <c r="AT5148" s="1075"/>
      <c r="AU5148" s="1193"/>
      <c r="AV5148" s="330"/>
      <c r="AW5148" s="331"/>
      <c r="AX5148" s="331"/>
      <c r="AY5148" s="331"/>
      <c r="AZ5148" s="331"/>
      <c r="BA5148" s="331"/>
      <c r="BB5148" s="331"/>
      <c r="BC5148" s="331"/>
      <c r="BD5148" s="331"/>
      <c r="BE5148" s="333"/>
      <c r="BF5148" s="330"/>
      <c r="BG5148" s="333"/>
      <c r="BH5148" s="1119"/>
      <c r="BI5148" s="319"/>
      <c r="BJ5148" s="319"/>
      <c r="BK5148" s="319"/>
      <c r="BL5148" s="319"/>
      <c r="BM5148" s="319"/>
      <c r="BN5148" s="319"/>
      <c r="BO5148" s="319"/>
      <c r="BP5148" s="953"/>
      <c r="BQ5148" s="319"/>
      <c r="BR5148" s="319"/>
      <c r="BS5148" s="330"/>
      <c r="BT5148" s="331"/>
      <c r="BU5148" s="920"/>
      <c r="BV5148" s="903"/>
      <c r="BW5148" s="908"/>
      <c r="BX5148" s="908"/>
      <c r="BY5148" s="331"/>
      <c r="BZ5148" s="331"/>
      <c r="CA5148" s="462"/>
      <c r="CB5148" s="319"/>
      <c r="CC5148" s="319"/>
      <c r="CD5148" s="319"/>
      <c r="CE5148" s="319"/>
      <c r="CF5148" s="319"/>
      <c r="CG5148" s="319"/>
      <c r="CH5148" s="318"/>
      <c r="CI5148" s="319"/>
      <c r="CJ5148" s="319"/>
      <c r="CK5148" s="342"/>
      <c r="CL5148" s="333"/>
      <c r="CM5148" s="1079"/>
      <c r="CN5148" s="1005"/>
      <c r="CO5148" s="1005"/>
      <c r="CP5148" s="1005"/>
    </row>
    <row r="5149">
      <c r="A5149" s="1257"/>
      <c r="B5149" s="1113"/>
      <c r="C5149" s="1107"/>
      <c r="D5149" s="103"/>
      <c r="E5149" s="1137"/>
      <c r="F5149" s="112"/>
      <c r="G5149" s="1110"/>
      <c r="H5149" s="1138"/>
      <c r="I5149" s="1138"/>
      <c r="J5149" s="1139"/>
      <c r="K5149" s="1111"/>
      <c r="L5149" s="1112"/>
      <c r="M5149" s="1113"/>
      <c r="N5149" s="110"/>
      <c r="O5149" s="1140"/>
      <c r="P5149" s="1115"/>
      <c r="Q5149" s="1116"/>
      <c r="R5149" s="1141"/>
      <c r="S5149" s="1113"/>
      <c r="T5149" s="1143"/>
      <c r="U5149" s="1108"/>
      <c r="V5149" s="1108"/>
      <c r="W5149" s="1108"/>
      <c r="X5149" s="1108"/>
      <c r="Y5149" s="1108"/>
      <c r="Z5149" s="1114"/>
      <c r="AA5149" s="1114"/>
      <c r="AB5149" s="1114"/>
      <c r="AC5149" s="1117"/>
      <c r="AD5149" s="1115"/>
      <c r="AE5149" s="1115"/>
      <c r="AF5149" s="1115"/>
      <c r="AG5149" s="1115"/>
      <c r="AH5149" s="1115"/>
      <c r="AI5149" s="1115"/>
      <c r="AJ5149" s="1117"/>
      <c r="AK5149" s="1118"/>
      <c r="AL5149" s="1115"/>
      <c r="AM5149" s="1115"/>
      <c r="AN5149" s="1115"/>
      <c r="AO5149" s="1115"/>
      <c r="AP5149" s="1115"/>
      <c r="AQ5149" s="1115"/>
      <c r="AR5149" s="1115"/>
      <c r="AS5149" s="1117"/>
      <c r="AT5149" s="1075"/>
      <c r="AU5149" s="1193"/>
      <c r="AV5149" s="330"/>
      <c r="AW5149" s="331"/>
      <c r="AX5149" s="331"/>
      <c r="AY5149" s="331"/>
      <c r="AZ5149" s="331"/>
      <c r="BA5149" s="331"/>
      <c r="BB5149" s="331"/>
      <c r="BC5149" s="331"/>
      <c r="BD5149" s="331"/>
      <c r="BE5149" s="333"/>
      <c r="BF5149" s="330"/>
      <c r="BG5149" s="333"/>
      <c r="BH5149" s="1119"/>
      <c r="BI5149" s="319"/>
      <c r="BJ5149" s="319"/>
      <c r="BK5149" s="319"/>
      <c r="BL5149" s="319"/>
      <c r="BM5149" s="319"/>
      <c r="BN5149" s="319"/>
      <c r="BO5149" s="319"/>
      <c r="BP5149" s="953"/>
      <c r="BQ5149" s="319"/>
      <c r="BR5149" s="319"/>
      <c r="BS5149" s="330"/>
      <c r="BT5149" s="331"/>
      <c r="BU5149" s="920"/>
      <c r="BV5149" s="903"/>
      <c r="BW5149" s="908"/>
      <c r="BX5149" s="908"/>
      <c r="BY5149" s="331"/>
      <c r="BZ5149" s="331"/>
      <c r="CA5149" s="462"/>
      <c r="CB5149" s="319"/>
      <c r="CC5149" s="319"/>
      <c r="CD5149" s="319"/>
      <c r="CE5149" s="319"/>
      <c r="CF5149" s="319"/>
      <c r="CG5149" s="319"/>
      <c r="CH5149" s="318"/>
      <c r="CI5149" s="319"/>
      <c r="CJ5149" s="319"/>
      <c r="CK5149" s="342"/>
      <c r="CL5149" s="333"/>
      <c r="CM5149" s="1079"/>
      <c r="CN5149" s="1005"/>
      <c r="CO5149" s="1005"/>
      <c r="CP5149" s="1005"/>
    </row>
    <row r="5150">
      <c r="A5150" s="1257"/>
      <c r="B5150" s="1113"/>
      <c r="C5150" s="1107"/>
      <c r="D5150" s="103"/>
      <c r="E5150" s="1137"/>
      <c r="F5150" s="112"/>
      <c r="G5150" s="1110"/>
      <c r="H5150" s="1138"/>
      <c r="I5150" s="1138"/>
      <c r="J5150" s="1139"/>
      <c r="K5150" s="1111"/>
      <c r="L5150" s="1112"/>
      <c r="M5150" s="1113"/>
      <c r="N5150" s="110"/>
      <c r="O5150" s="1140"/>
      <c r="P5150" s="1115"/>
      <c r="Q5150" s="1116"/>
      <c r="R5150" s="1141"/>
      <c r="S5150" s="1113"/>
      <c r="T5150" s="1143"/>
      <c r="U5150" s="1108"/>
      <c r="V5150" s="1108"/>
      <c r="W5150" s="1108"/>
      <c r="X5150" s="1108"/>
      <c r="Y5150" s="1108"/>
      <c r="Z5150" s="1114"/>
      <c r="AA5150" s="1114"/>
      <c r="AB5150" s="1114"/>
      <c r="AC5150" s="1117"/>
      <c r="AD5150" s="1115"/>
      <c r="AE5150" s="1115"/>
      <c r="AF5150" s="1115"/>
      <c r="AG5150" s="1115"/>
      <c r="AH5150" s="1115"/>
      <c r="AI5150" s="1115"/>
      <c r="AJ5150" s="1117"/>
      <c r="AK5150" s="1118"/>
      <c r="AL5150" s="1115"/>
      <c r="AM5150" s="1115"/>
      <c r="AN5150" s="1115"/>
      <c r="AO5150" s="1115"/>
      <c r="AP5150" s="1115"/>
      <c r="AQ5150" s="1115"/>
      <c r="AR5150" s="1115"/>
      <c r="AS5150" s="1117"/>
      <c r="AT5150" s="1075"/>
      <c r="AU5150" s="1193"/>
      <c r="AV5150" s="330"/>
      <c r="AW5150" s="331"/>
      <c r="AX5150" s="331"/>
      <c r="AY5150" s="331"/>
      <c r="AZ5150" s="331"/>
      <c r="BA5150" s="331"/>
      <c r="BB5150" s="331"/>
      <c r="BC5150" s="331"/>
      <c r="BD5150" s="331"/>
      <c r="BE5150" s="333"/>
      <c r="BF5150" s="330"/>
      <c r="BG5150" s="333"/>
      <c r="BH5150" s="1119"/>
      <c r="BI5150" s="319"/>
      <c r="BJ5150" s="319"/>
      <c r="BK5150" s="319"/>
      <c r="BL5150" s="319"/>
      <c r="BM5150" s="319"/>
      <c r="BN5150" s="319"/>
      <c r="BO5150" s="319"/>
      <c r="BP5150" s="953"/>
      <c r="BQ5150" s="319"/>
      <c r="BR5150" s="319"/>
      <c r="BS5150" s="330"/>
      <c r="BT5150" s="331"/>
      <c r="BU5150" s="920"/>
      <c r="BV5150" s="903"/>
      <c r="BW5150" s="908"/>
      <c r="BX5150" s="908"/>
      <c r="BY5150" s="331"/>
      <c r="BZ5150" s="331"/>
      <c r="CA5150" s="462"/>
      <c r="CB5150" s="319"/>
      <c r="CC5150" s="319"/>
      <c r="CD5150" s="319"/>
      <c r="CE5150" s="319"/>
      <c r="CF5150" s="319"/>
      <c r="CG5150" s="319"/>
      <c r="CH5150" s="318"/>
      <c r="CI5150" s="319"/>
      <c r="CJ5150" s="319"/>
      <c r="CK5150" s="342"/>
      <c r="CL5150" s="333"/>
      <c r="CM5150" s="1079"/>
      <c r="CN5150" s="1005"/>
      <c r="CO5150" s="1005"/>
      <c r="CP5150" s="1005"/>
    </row>
    <row r="5151">
      <c r="A5151" s="1257"/>
      <c r="B5151" s="1113"/>
      <c r="C5151" s="1107"/>
      <c r="D5151" s="103"/>
      <c r="E5151" s="1137"/>
      <c r="F5151" s="112"/>
      <c r="G5151" s="1110"/>
      <c r="H5151" s="1138"/>
      <c r="I5151" s="1138"/>
      <c r="J5151" s="1139"/>
      <c r="K5151" s="1111"/>
      <c r="L5151" s="1112"/>
      <c r="M5151" s="1113"/>
      <c r="N5151" s="110"/>
      <c r="O5151" s="1140"/>
      <c r="P5151" s="1115"/>
      <c r="Q5151" s="1116"/>
      <c r="R5151" s="1141"/>
      <c r="S5151" s="1113"/>
      <c r="T5151" s="1143"/>
      <c r="U5151" s="1108"/>
      <c r="V5151" s="1108"/>
      <c r="W5151" s="1108"/>
      <c r="X5151" s="1108"/>
      <c r="Y5151" s="1108"/>
      <c r="Z5151" s="1114"/>
      <c r="AA5151" s="1114"/>
      <c r="AB5151" s="1114"/>
      <c r="AC5151" s="1117"/>
      <c r="AD5151" s="1115"/>
      <c r="AE5151" s="1115"/>
      <c r="AF5151" s="1115"/>
      <c r="AG5151" s="1115"/>
      <c r="AH5151" s="1115"/>
      <c r="AI5151" s="1115"/>
      <c r="AJ5151" s="1117"/>
      <c r="AK5151" s="1118"/>
      <c r="AL5151" s="1115"/>
      <c r="AM5151" s="1115"/>
      <c r="AN5151" s="1115"/>
      <c r="AO5151" s="1115"/>
      <c r="AP5151" s="1115"/>
      <c r="AQ5151" s="1115"/>
      <c r="AR5151" s="1115"/>
      <c r="AS5151" s="1117"/>
      <c r="AT5151" s="1075"/>
      <c r="AU5151" s="1193"/>
      <c r="AV5151" s="330"/>
      <c r="AW5151" s="331"/>
      <c r="AX5151" s="331"/>
      <c r="AY5151" s="331"/>
      <c r="AZ5151" s="331"/>
      <c r="BA5151" s="331"/>
      <c r="BB5151" s="331"/>
      <c r="BC5151" s="331"/>
      <c r="BD5151" s="331"/>
      <c r="BE5151" s="333"/>
      <c r="BF5151" s="330"/>
      <c r="BG5151" s="333"/>
      <c r="BH5151" s="1119"/>
      <c r="BI5151" s="319"/>
      <c r="BJ5151" s="319"/>
      <c r="BK5151" s="319"/>
      <c r="BL5151" s="319"/>
      <c r="BM5151" s="319"/>
      <c r="BN5151" s="319"/>
      <c r="BO5151" s="319"/>
      <c r="BP5151" s="953"/>
      <c r="BQ5151" s="319"/>
      <c r="BR5151" s="319"/>
      <c r="BS5151" s="330"/>
      <c r="BT5151" s="331"/>
      <c r="BU5151" s="920"/>
      <c r="BV5151" s="903"/>
      <c r="BW5151" s="908"/>
      <c r="BX5151" s="908"/>
      <c r="BY5151" s="331"/>
      <c r="BZ5151" s="331"/>
      <c r="CA5151" s="462"/>
      <c r="CB5151" s="319"/>
      <c r="CC5151" s="319"/>
      <c r="CD5151" s="319"/>
      <c r="CE5151" s="319"/>
      <c r="CF5151" s="319"/>
      <c r="CG5151" s="319"/>
      <c r="CH5151" s="318"/>
      <c r="CI5151" s="319"/>
      <c r="CJ5151" s="319"/>
      <c r="CK5151" s="342"/>
      <c r="CL5151" s="333"/>
      <c r="CM5151" s="1079"/>
      <c r="CN5151" s="1005"/>
      <c r="CO5151" s="1005"/>
      <c r="CP5151" s="1005"/>
    </row>
    <row r="5152">
      <c r="A5152" s="1257"/>
      <c r="B5152" s="1113"/>
      <c r="C5152" s="1107"/>
      <c r="D5152" s="103"/>
      <c r="E5152" s="1137"/>
      <c r="F5152" s="112"/>
      <c r="G5152" s="1110"/>
      <c r="H5152" s="1138"/>
      <c r="I5152" s="1138"/>
      <c r="J5152" s="1139"/>
      <c r="K5152" s="1111"/>
      <c r="L5152" s="1112"/>
      <c r="M5152" s="1113"/>
      <c r="N5152" s="110"/>
      <c r="O5152" s="1140"/>
      <c r="P5152" s="1115"/>
      <c r="Q5152" s="1116"/>
      <c r="R5152" s="1141"/>
      <c r="S5152" s="1113"/>
      <c r="T5152" s="1143"/>
      <c r="U5152" s="1108"/>
      <c r="V5152" s="1108"/>
      <c r="W5152" s="1108"/>
      <c r="X5152" s="1108"/>
      <c r="Y5152" s="1108"/>
      <c r="Z5152" s="1114"/>
      <c r="AA5152" s="1114"/>
      <c r="AB5152" s="1114"/>
      <c r="AC5152" s="1117"/>
      <c r="AD5152" s="1115"/>
      <c r="AE5152" s="1115"/>
      <c r="AF5152" s="1115"/>
      <c r="AG5152" s="1115"/>
      <c r="AH5152" s="1115"/>
      <c r="AI5152" s="1115"/>
      <c r="AJ5152" s="1117"/>
      <c r="AK5152" s="1118"/>
      <c r="AL5152" s="1115"/>
      <c r="AM5152" s="1115"/>
      <c r="AN5152" s="1115"/>
      <c r="AO5152" s="1115"/>
      <c r="AP5152" s="1115"/>
      <c r="AQ5152" s="1115"/>
      <c r="AR5152" s="1115"/>
      <c r="AS5152" s="1117"/>
      <c r="AT5152" s="1075"/>
      <c r="AU5152" s="1193"/>
      <c r="AV5152" s="330"/>
      <c r="AW5152" s="331"/>
      <c r="AX5152" s="331"/>
      <c r="AY5152" s="331"/>
      <c r="AZ5152" s="331"/>
      <c r="BA5152" s="331"/>
      <c r="BB5152" s="331"/>
      <c r="BC5152" s="331"/>
      <c r="BD5152" s="331"/>
      <c r="BE5152" s="333"/>
      <c r="BF5152" s="330"/>
      <c r="BG5152" s="333"/>
      <c r="BH5152" s="1119"/>
      <c r="BI5152" s="319"/>
      <c r="BJ5152" s="319"/>
      <c r="BK5152" s="319"/>
      <c r="BL5152" s="319"/>
      <c r="BM5152" s="319"/>
      <c r="BN5152" s="319"/>
      <c r="BO5152" s="319"/>
      <c r="BP5152" s="953"/>
      <c r="BQ5152" s="319"/>
      <c r="BR5152" s="319"/>
      <c r="BS5152" s="330"/>
      <c r="BT5152" s="331"/>
      <c r="BU5152" s="920"/>
      <c r="BV5152" s="903"/>
      <c r="BW5152" s="908"/>
      <c r="BX5152" s="908"/>
      <c r="BY5152" s="331"/>
      <c r="BZ5152" s="331"/>
      <c r="CA5152" s="462"/>
      <c r="CB5152" s="319"/>
      <c r="CC5152" s="319"/>
      <c r="CD5152" s="319"/>
      <c r="CE5152" s="319"/>
      <c r="CF5152" s="319"/>
      <c r="CG5152" s="319"/>
      <c r="CH5152" s="318"/>
      <c r="CI5152" s="319"/>
      <c r="CJ5152" s="319"/>
      <c r="CK5152" s="342"/>
      <c r="CL5152" s="333"/>
      <c r="CM5152" s="1079"/>
      <c r="CN5152" s="1005"/>
      <c r="CO5152" s="1005"/>
      <c r="CP5152" s="1005"/>
    </row>
    <row r="5153">
      <c r="A5153" s="1257"/>
      <c r="B5153" s="1113"/>
      <c r="C5153" s="1107"/>
      <c r="D5153" s="103"/>
      <c r="E5153" s="1137"/>
      <c r="F5153" s="112"/>
      <c r="G5153" s="1110"/>
      <c r="H5153" s="1138"/>
      <c r="I5153" s="1138"/>
      <c r="J5153" s="1139"/>
      <c r="K5153" s="1111"/>
      <c r="L5153" s="1112"/>
      <c r="M5153" s="1113"/>
      <c r="N5153" s="110"/>
      <c r="O5153" s="1140"/>
      <c r="P5153" s="1115"/>
      <c r="Q5153" s="1116"/>
      <c r="R5153" s="1141"/>
      <c r="S5153" s="1113"/>
      <c r="T5153" s="1143"/>
      <c r="U5153" s="1108"/>
      <c r="V5153" s="1108"/>
      <c r="W5153" s="1108"/>
      <c r="X5153" s="1108"/>
      <c r="Y5153" s="1108"/>
      <c r="Z5153" s="1114"/>
      <c r="AA5153" s="1114"/>
      <c r="AB5153" s="1114"/>
      <c r="AC5153" s="1117"/>
      <c r="AD5153" s="1115"/>
      <c r="AE5153" s="1115"/>
      <c r="AF5153" s="1115"/>
      <c r="AG5153" s="1115"/>
      <c r="AH5153" s="1115"/>
      <c r="AI5153" s="1115"/>
      <c r="AJ5153" s="1117"/>
      <c r="AK5153" s="1118"/>
      <c r="AL5153" s="1115"/>
      <c r="AM5153" s="1115"/>
      <c r="AN5153" s="1115"/>
      <c r="AO5153" s="1115"/>
      <c r="AP5153" s="1115"/>
      <c r="AQ5153" s="1115"/>
      <c r="AR5153" s="1115"/>
      <c r="AS5153" s="1117"/>
      <c r="AT5153" s="1075"/>
      <c r="AU5153" s="1193"/>
      <c r="AV5153" s="330"/>
      <c r="AW5153" s="331"/>
      <c r="AX5153" s="331"/>
      <c r="AY5153" s="331"/>
      <c r="AZ5153" s="331"/>
      <c r="BA5153" s="331"/>
      <c r="BB5153" s="331"/>
      <c r="BC5153" s="331"/>
      <c r="BD5153" s="331"/>
      <c r="BE5153" s="333"/>
      <c r="BF5153" s="330"/>
      <c r="BG5153" s="333"/>
      <c r="BH5153" s="1119"/>
      <c r="BI5153" s="319"/>
      <c r="BJ5153" s="319"/>
      <c r="BK5153" s="319"/>
      <c r="BL5153" s="319"/>
      <c r="BM5153" s="319"/>
      <c r="BN5153" s="319"/>
      <c r="BO5153" s="319"/>
      <c r="BP5153" s="953"/>
      <c r="BQ5153" s="319"/>
      <c r="BR5153" s="319"/>
      <c r="BS5153" s="330"/>
      <c r="BT5153" s="331"/>
      <c r="BU5153" s="920"/>
      <c r="BV5153" s="903"/>
      <c r="BW5153" s="908"/>
      <c r="BX5153" s="908"/>
      <c r="BY5153" s="331"/>
      <c r="BZ5153" s="331"/>
      <c r="CA5153" s="462"/>
      <c r="CB5153" s="319"/>
      <c r="CC5153" s="319"/>
      <c r="CD5153" s="319"/>
      <c r="CE5153" s="319"/>
      <c r="CF5153" s="319"/>
      <c r="CG5153" s="319"/>
      <c r="CH5153" s="318"/>
      <c r="CI5153" s="319"/>
      <c r="CJ5153" s="319"/>
      <c r="CK5153" s="342"/>
      <c r="CL5153" s="333"/>
      <c r="CM5153" s="1079"/>
      <c r="CN5153" s="1005"/>
      <c r="CO5153" s="1005"/>
      <c r="CP5153" s="1005"/>
    </row>
    <row r="5154">
      <c r="A5154" s="1257"/>
      <c r="B5154" s="1113"/>
      <c r="C5154" s="1107"/>
      <c r="D5154" s="103"/>
      <c r="E5154" s="1137"/>
      <c r="F5154" s="112"/>
      <c r="G5154" s="1110"/>
      <c r="H5154" s="1138"/>
      <c r="I5154" s="1138"/>
      <c r="J5154" s="1139"/>
      <c r="K5154" s="1111"/>
      <c r="L5154" s="1112"/>
      <c r="M5154" s="1113"/>
      <c r="N5154" s="110"/>
      <c r="O5154" s="1140"/>
      <c r="P5154" s="1115"/>
      <c r="Q5154" s="1116"/>
      <c r="R5154" s="1141"/>
      <c r="S5154" s="1113"/>
      <c r="T5154" s="1143"/>
      <c r="U5154" s="1108"/>
      <c r="V5154" s="1108"/>
      <c r="W5154" s="1108"/>
      <c r="X5154" s="1108"/>
      <c r="Y5154" s="1108"/>
      <c r="Z5154" s="1114"/>
      <c r="AA5154" s="1114"/>
      <c r="AB5154" s="1114"/>
      <c r="AC5154" s="1117"/>
      <c r="AD5154" s="1115"/>
      <c r="AE5154" s="1115"/>
      <c r="AF5154" s="1115"/>
      <c r="AG5154" s="1115"/>
      <c r="AH5154" s="1115"/>
      <c r="AI5154" s="1115"/>
      <c r="AJ5154" s="1117"/>
      <c r="AK5154" s="1118"/>
      <c r="AL5154" s="1115"/>
      <c r="AM5154" s="1115"/>
      <c r="AN5154" s="1115"/>
      <c r="AO5154" s="1115"/>
      <c r="AP5154" s="1115"/>
      <c r="AQ5154" s="1115"/>
      <c r="AR5154" s="1115"/>
      <c r="AS5154" s="1117"/>
      <c r="AT5154" s="1075"/>
      <c r="AU5154" s="1193"/>
      <c r="AV5154" s="330"/>
      <c r="AW5154" s="331"/>
      <c r="AX5154" s="331"/>
      <c r="AY5154" s="331"/>
      <c r="AZ5154" s="331"/>
      <c r="BA5154" s="331"/>
      <c r="BB5154" s="331"/>
      <c r="BC5154" s="331"/>
      <c r="BD5154" s="331"/>
      <c r="BE5154" s="333"/>
      <c r="BF5154" s="330"/>
      <c r="BG5154" s="333"/>
      <c r="BH5154" s="1119"/>
      <c r="BI5154" s="319"/>
      <c r="BJ5154" s="319"/>
      <c r="BK5154" s="319"/>
      <c r="BL5154" s="319"/>
      <c r="BM5154" s="319"/>
      <c r="BN5154" s="319"/>
      <c r="BO5154" s="319"/>
      <c r="BP5154" s="953"/>
      <c r="BQ5154" s="319"/>
      <c r="BR5154" s="319"/>
      <c r="BS5154" s="330"/>
      <c r="BT5154" s="331"/>
      <c r="BU5154" s="920"/>
      <c r="BV5154" s="903"/>
      <c r="BW5154" s="908"/>
      <c r="BX5154" s="908"/>
      <c r="BY5154" s="331"/>
      <c r="BZ5154" s="331"/>
      <c r="CA5154" s="462"/>
      <c r="CB5154" s="319"/>
      <c r="CC5154" s="319"/>
      <c r="CD5154" s="319"/>
      <c r="CE5154" s="319"/>
      <c r="CF5154" s="319"/>
      <c r="CG5154" s="319"/>
      <c r="CH5154" s="318"/>
      <c r="CI5154" s="319"/>
      <c r="CJ5154" s="319"/>
      <c r="CK5154" s="342"/>
      <c r="CL5154" s="333"/>
      <c r="CM5154" s="1079"/>
      <c r="CN5154" s="1005"/>
      <c r="CO5154" s="1005"/>
      <c r="CP5154" s="1005"/>
    </row>
    <row r="5155">
      <c r="A5155" s="1257"/>
      <c r="B5155" s="1113"/>
      <c r="C5155" s="1107"/>
      <c r="D5155" s="103"/>
      <c r="E5155" s="1137"/>
      <c r="F5155" s="112"/>
      <c r="G5155" s="1110"/>
      <c r="H5155" s="1138"/>
      <c r="I5155" s="1138"/>
      <c r="J5155" s="1139"/>
      <c r="K5155" s="1111"/>
      <c r="L5155" s="1112"/>
      <c r="M5155" s="1113"/>
      <c r="N5155" s="110"/>
      <c r="O5155" s="1140"/>
      <c r="P5155" s="1115"/>
      <c r="Q5155" s="1116"/>
      <c r="R5155" s="1141"/>
      <c r="S5155" s="1113"/>
      <c r="T5155" s="1143"/>
      <c r="U5155" s="1108"/>
      <c r="V5155" s="1108"/>
      <c r="W5155" s="1108"/>
      <c r="X5155" s="1108"/>
      <c r="Y5155" s="1108"/>
      <c r="Z5155" s="1114"/>
      <c r="AA5155" s="1114"/>
      <c r="AB5155" s="1114"/>
      <c r="AC5155" s="1117"/>
      <c r="AD5155" s="1115"/>
      <c r="AE5155" s="1115"/>
      <c r="AF5155" s="1115"/>
      <c r="AG5155" s="1115"/>
      <c r="AH5155" s="1115"/>
      <c r="AI5155" s="1115"/>
      <c r="AJ5155" s="1117"/>
      <c r="AK5155" s="1118"/>
      <c r="AL5155" s="1115"/>
      <c r="AM5155" s="1115"/>
      <c r="AN5155" s="1115"/>
      <c r="AO5155" s="1115"/>
      <c r="AP5155" s="1115"/>
      <c r="AQ5155" s="1115"/>
      <c r="AR5155" s="1115"/>
      <c r="AS5155" s="1117"/>
      <c r="AT5155" s="1075"/>
      <c r="AU5155" s="1193"/>
      <c r="AV5155" s="330"/>
      <c r="AW5155" s="331"/>
      <c r="AX5155" s="331"/>
      <c r="AY5155" s="331"/>
      <c r="AZ5155" s="331"/>
      <c r="BA5155" s="331"/>
      <c r="BB5155" s="331"/>
      <c r="BC5155" s="331"/>
      <c r="BD5155" s="331"/>
      <c r="BE5155" s="333"/>
      <c r="BF5155" s="330"/>
      <c r="BG5155" s="333"/>
      <c r="BH5155" s="1119"/>
      <c r="BI5155" s="319"/>
      <c r="BJ5155" s="319"/>
      <c r="BK5155" s="319"/>
      <c r="BL5155" s="319"/>
      <c r="BM5155" s="319"/>
      <c r="BN5155" s="319"/>
      <c r="BO5155" s="319"/>
      <c r="BP5155" s="953"/>
      <c r="BQ5155" s="319"/>
      <c r="BR5155" s="319"/>
      <c r="BS5155" s="330"/>
      <c r="BT5155" s="331"/>
      <c r="BU5155" s="920"/>
      <c r="BV5155" s="903"/>
      <c r="BW5155" s="908"/>
      <c r="BX5155" s="908"/>
      <c r="BY5155" s="331"/>
      <c r="BZ5155" s="331"/>
      <c r="CA5155" s="462"/>
      <c r="CB5155" s="319"/>
      <c r="CC5155" s="319"/>
      <c r="CD5155" s="319"/>
      <c r="CE5155" s="319"/>
      <c r="CF5155" s="319"/>
      <c r="CG5155" s="319"/>
      <c r="CH5155" s="318"/>
      <c r="CI5155" s="319"/>
      <c r="CJ5155" s="319"/>
      <c r="CK5155" s="342"/>
      <c r="CL5155" s="333"/>
      <c r="CM5155" s="1079"/>
      <c r="CN5155" s="1005"/>
      <c r="CO5155" s="1005"/>
      <c r="CP5155" s="1005"/>
    </row>
    <row r="5156">
      <c r="A5156" s="1257"/>
      <c r="B5156" s="1113"/>
      <c r="C5156" s="1107"/>
      <c r="D5156" s="103"/>
      <c r="E5156" s="1137"/>
      <c r="F5156" s="112"/>
      <c r="G5156" s="1110"/>
      <c r="H5156" s="1138"/>
      <c r="I5156" s="1138"/>
      <c r="J5156" s="1139"/>
      <c r="K5156" s="1111"/>
      <c r="L5156" s="1112"/>
      <c r="M5156" s="1113"/>
      <c r="N5156" s="110"/>
      <c r="O5156" s="1140"/>
      <c r="P5156" s="1115"/>
      <c r="Q5156" s="1116"/>
      <c r="R5156" s="1141"/>
      <c r="S5156" s="1113"/>
      <c r="T5156" s="1143"/>
      <c r="U5156" s="1108"/>
      <c r="V5156" s="1108"/>
      <c r="W5156" s="1108"/>
      <c r="X5156" s="1108"/>
      <c r="Y5156" s="1108"/>
      <c r="Z5156" s="1114"/>
      <c r="AA5156" s="1114"/>
      <c r="AB5156" s="1114"/>
      <c r="AC5156" s="1117"/>
      <c r="AD5156" s="1115"/>
      <c r="AE5156" s="1115"/>
      <c r="AF5156" s="1115"/>
      <c r="AG5156" s="1115"/>
      <c r="AH5156" s="1115"/>
      <c r="AI5156" s="1115"/>
      <c r="AJ5156" s="1117"/>
      <c r="AK5156" s="1118"/>
      <c r="AL5156" s="1115"/>
      <c r="AM5156" s="1115"/>
      <c r="AN5156" s="1115"/>
      <c r="AO5156" s="1115"/>
      <c r="AP5156" s="1115"/>
      <c r="AQ5156" s="1115"/>
      <c r="AR5156" s="1115"/>
      <c r="AS5156" s="1117"/>
      <c r="AT5156" s="1075"/>
      <c r="AU5156" s="1193"/>
      <c r="AV5156" s="330"/>
      <c r="AW5156" s="331"/>
      <c r="AX5156" s="331"/>
      <c r="AY5156" s="331"/>
      <c r="AZ5156" s="331"/>
      <c r="BA5156" s="331"/>
      <c r="BB5156" s="331"/>
      <c r="BC5156" s="331"/>
      <c r="BD5156" s="331"/>
      <c r="BE5156" s="333"/>
      <c r="BF5156" s="330"/>
      <c r="BG5156" s="333"/>
      <c r="BH5156" s="1119"/>
      <c r="BI5156" s="319"/>
      <c r="BJ5156" s="319"/>
      <c r="BK5156" s="319"/>
      <c r="BL5156" s="319"/>
      <c r="BM5156" s="319"/>
      <c r="BN5156" s="319"/>
      <c r="BO5156" s="319"/>
      <c r="BP5156" s="953"/>
      <c r="BQ5156" s="319"/>
      <c r="BR5156" s="319"/>
      <c r="BS5156" s="330"/>
      <c r="BT5156" s="331"/>
      <c r="BU5156" s="920"/>
      <c r="BV5156" s="903"/>
      <c r="BW5156" s="908"/>
      <c r="BX5156" s="908"/>
      <c r="BY5156" s="331"/>
      <c r="BZ5156" s="331"/>
      <c r="CA5156" s="462"/>
      <c r="CB5156" s="319"/>
      <c r="CC5156" s="319"/>
      <c r="CD5156" s="319"/>
      <c r="CE5156" s="319"/>
      <c r="CF5156" s="319"/>
      <c r="CG5156" s="319"/>
      <c r="CH5156" s="318"/>
      <c r="CI5156" s="319"/>
      <c r="CJ5156" s="319"/>
      <c r="CK5156" s="342"/>
      <c r="CL5156" s="333"/>
      <c r="CM5156" s="1079"/>
      <c r="CN5156" s="1005"/>
      <c r="CO5156" s="1005"/>
      <c r="CP5156" s="1005"/>
    </row>
    <row r="5157">
      <c r="A5157" s="1257"/>
      <c r="B5157" s="1113"/>
      <c r="C5157" s="1107"/>
      <c r="D5157" s="103"/>
      <c r="E5157" s="1137"/>
      <c r="F5157" s="112"/>
      <c r="G5157" s="1110"/>
      <c r="H5157" s="1138"/>
      <c r="I5157" s="1138"/>
      <c r="J5157" s="1139"/>
      <c r="K5157" s="1111"/>
      <c r="L5157" s="1112"/>
      <c r="M5157" s="1113"/>
      <c r="N5157" s="110"/>
      <c r="O5157" s="1140"/>
      <c r="P5157" s="1115"/>
      <c r="Q5157" s="1116"/>
      <c r="R5157" s="1141"/>
      <c r="S5157" s="1113"/>
      <c r="T5157" s="1143"/>
      <c r="U5157" s="1108"/>
      <c r="V5157" s="1108"/>
      <c r="W5157" s="1108"/>
      <c r="X5157" s="1108"/>
      <c r="Y5157" s="1108"/>
      <c r="Z5157" s="1114"/>
      <c r="AA5157" s="1114"/>
      <c r="AB5157" s="1114"/>
      <c r="AC5157" s="1117"/>
      <c r="AD5157" s="1115"/>
      <c r="AE5157" s="1115"/>
      <c r="AF5157" s="1115"/>
      <c r="AG5157" s="1115"/>
      <c r="AH5157" s="1115"/>
      <c r="AI5157" s="1115"/>
      <c r="AJ5157" s="1117"/>
      <c r="AK5157" s="1118"/>
      <c r="AL5157" s="1115"/>
      <c r="AM5157" s="1115"/>
      <c r="AN5157" s="1115"/>
      <c r="AO5157" s="1115"/>
      <c r="AP5157" s="1115"/>
      <c r="AQ5157" s="1115"/>
      <c r="AR5157" s="1115"/>
      <c r="AS5157" s="1117"/>
      <c r="AT5157" s="1075"/>
      <c r="AU5157" s="1193"/>
      <c r="AV5157" s="330"/>
      <c r="AW5157" s="331"/>
      <c r="AX5157" s="331"/>
      <c r="AY5157" s="331"/>
      <c r="AZ5157" s="331"/>
      <c r="BA5157" s="331"/>
      <c r="BB5157" s="331"/>
      <c r="BC5157" s="331"/>
      <c r="BD5157" s="331"/>
      <c r="BE5157" s="333"/>
      <c r="BF5157" s="330"/>
      <c r="BG5157" s="333"/>
      <c r="BH5157" s="1119"/>
      <c r="BI5157" s="319"/>
      <c r="BJ5157" s="319"/>
      <c r="BK5157" s="319"/>
      <c r="BL5157" s="319"/>
      <c r="BM5157" s="319"/>
      <c r="BN5157" s="319"/>
      <c r="BO5157" s="319"/>
      <c r="BP5157" s="953"/>
      <c r="BQ5157" s="319"/>
      <c r="BR5157" s="319"/>
      <c r="BS5157" s="330"/>
      <c r="BT5157" s="331"/>
      <c r="BU5157" s="920"/>
      <c r="BV5157" s="903"/>
      <c r="BW5157" s="908"/>
      <c r="BX5157" s="908"/>
      <c r="BY5157" s="331"/>
      <c r="BZ5157" s="331"/>
      <c r="CA5157" s="462"/>
      <c r="CB5157" s="319"/>
      <c r="CC5157" s="319"/>
      <c r="CD5157" s="319"/>
      <c r="CE5157" s="319"/>
      <c r="CF5157" s="319"/>
      <c r="CG5157" s="319"/>
      <c r="CH5157" s="318"/>
      <c r="CI5157" s="319"/>
      <c r="CJ5157" s="319"/>
      <c r="CK5157" s="342"/>
      <c r="CL5157" s="333"/>
      <c r="CM5157" s="1079"/>
      <c r="CN5157" s="1005"/>
      <c r="CO5157" s="1005"/>
      <c r="CP5157" s="1005"/>
    </row>
    <row r="5158">
      <c r="A5158" s="1257"/>
      <c r="B5158" s="1113"/>
      <c r="C5158" s="1107"/>
      <c r="D5158" s="103"/>
      <c r="E5158" s="1137"/>
      <c r="F5158" s="112"/>
      <c r="G5158" s="1110"/>
      <c r="H5158" s="1138"/>
      <c r="I5158" s="1138"/>
      <c r="J5158" s="1139"/>
      <c r="K5158" s="1111"/>
      <c r="L5158" s="1112"/>
      <c r="M5158" s="1113"/>
      <c r="N5158" s="110"/>
      <c r="O5158" s="1140"/>
      <c r="P5158" s="1115"/>
      <c r="Q5158" s="1116"/>
      <c r="R5158" s="1141"/>
      <c r="S5158" s="1113"/>
      <c r="T5158" s="1143"/>
      <c r="U5158" s="1108"/>
      <c r="V5158" s="1108"/>
      <c r="W5158" s="1108"/>
      <c r="X5158" s="1108"/>
      <c r="Y5158" s="1108"/>
      <c r="Z5158" s="1114"/>
      <c r="AA5158" s="1114"/>
      <c r="AB5158" s="1114"/>
      <c r="AC5158" s="1117"/>
      <c r="AD5158" s="1115"/>
      <c r="AE5158" s="1115"/>
      <c r="AF5158" s="1115"/>
      <c r="AG5158" s="1115"/>
      <c r="AH5158" s="1115"/>
      <c r="AI5158" s="1115"/>
      <c r="AJ5158" s="1117"/>
      <c r="AK5158" s="1118"/>
      <c r="AL5158" s="1115"/>
      <c r="AM5158" s="1115"/>
      <c r="AN5158" s="1115"/>
      <c r="AO5158" s="1115"/>
      <c r="AP5158" s="1115"/>
      <c r="AQ5158" s="1115"/>
      <c r="AR5158" s="1115"/>
      <c r="AS5158" s="1117"/>
      <c r="AT5158" s="1075"/>
      <c r="AU5158" s="1193"/>
      <c r="AV5158" s="330"/>
      <c r="AW5158" s="331"/>
      <c r="AX5158" s="331"/>
      <c r="AY5158" s="331"/>
      <c r="AZ5158" s="331"/>
      <c r="BA5158" s="331"/>
      <c r="BB5158" s="331"/>
      <c r="BC5158" s="331"/>
      <c r="BD5158" s="331"/>
      <c r="BE5158" s="333"/>
      <c r="BF5158" s="330"/>
      <c r="BG5158" s="333"/>
      <c r="BH5158" s="1119"/>
      <c r="BI5158" s="319"/>
      <c r="BJ5158" s="319"/>
      <c r="BK5158" s="319"/>
      <c r="BL5158" s="319"/>
      <c r="BM5158" s="319"/>
      <c r="BN5158" s="319"/>
      <c r="BO5158" s="319"/>
      <c r="BP5158" s="953"/>
      <c r="BQ5158" s="319"/>
      <c r="BR5158" s="319"/>
      <c r="BS5158" s="330"/>
      <c r="BT5158" s="331"/>
      <c r="BU5158" s="920"/>
      <c r="BV5158" s="903"/>
      <c r="BW5158" s="908"/>
      <c r="BX5158" s="908"/>
      <c r="BY5158" s="331"/>
      <c r="BZ5158" s="331"/>
      <c r="CA5158" s="462"/>
      <c r="CB5158" s="319"/>
      <c r="CC5158" s="319"/>
      <c r="CD5158" s="319"/>
      <c r="CE5158" s="319"/>
      <c r="CF5158" s="319"/>
      <c r="CG5158" s="319"/>
      <c r="CH5158" s="318"/>
      <c r="CI5158" s="319"/>
      <c r="CJ5158" s="319"/>
      <c r="CK5158" s="342"/>
      <c r="CL5158" s="333"/>
      <c r="CM5158" s="1079"/>
      <c r="CN5158" s="1005"/>
      <c r="CO5158" s="1005"/>
      <c r="CP5158" s="1005"/>
    </row>
    <row r="5159">
      <c r="A5159" s="1257"/>
      <c r="B5159" s="1113"/>
      <c r="C5159" s="1107"/>
      <c r="D5159" s="103"/>
      <c r="E5159" s="1137"/>
      <c r="F5159" s="112"/>
      <c r="G5159" s="1110"/>
      <c r="H5159" s="1138"/>
      <c r="I5159" s="1138"/>
      <c r="J5159" s="1139"/>
      <c r="K5159" s="1111"/>
      <c r="L5159" s="1112"/>
      <c r="M5159" s="1113"/>
      <c r="N5159" s="110"/>
      <c r="O5159" s="1140"/>
      <c r="P5159" s="1115"/>
      <c r="Q5159" s="1116"/>
      <c r="R5159" s="1141"/>
      <c r="S5159" s="1113"/>
      <c r="T5159" s="1143"/>
      <c r="U5159" s="1108"/>
      <c r="V5159" s="1108"/>
      <c r="W5159" s="1108"/>
      <c r="X5159" s="1108"/>
      <c r="Y5159" s="1108"/>
      <c r="Z5159" s="1114"/>
      <c r="AA5159" s="1114"/>
      <c r="AB5159" s="1114"/>
      <c r="AC5159" s="1117"/>
      <c r="AD5159" s="1115"/>
      <c r="AE5159" s="1115"/>
      <c r="AF5159" s="1115"/>
      <c r="AG5159" s="1115"/>
      <c r="AH5159" s="1115"/>
      <c r="AI5159" s="1115"/>
      <c r="AJ5159" s="1117"/>
      <c r="AK5159" s="1118"/>
      <c r="AL5159" s="1115"/>
      <c r="AM5159" s="1115"/>
      <c r="AN5159" s="1115"/>
      <c r="AO5159" s="1115"/>
      <c r="AP5159" s="1115"/>
      <c r="AQ5159" s="1115"/>
      <c r="AR5159" s="1115"/>
      <c r="AS5159" s="1117"/>
      <c r="AT5159" s="1075"/>
      <c r="AU5159" s="1193"/>
      <c r="AV5159" s="330"/>
      <c r="AW5159" s="331"/>
      <c r="AX5159" s="331"/>
      <c r="AY5159" s="331"/>
      <c r="AZ5159" s="331"/>
      <c r="BA5159" s="331"/>
      <c r="BB5159" s="331"/>
      <c r="BC5159" s="331"/>
      <c r="BD5159" s="331"/>
      <c r="BE5159" s="333"/>
      <c r="BF5159" s="330"/>
      <c r="BG5159" s="333"/>
      <c r="BH5159" s="1119"/>
      <c r="BI5159" s="319"/>
      <c r="BJ5159" s="319"/>
      <c r="BK5159" s="319"/>
      <c r="BL5159" s="319"/>
      <c r="BM5159" s="319"/>
      <c r="BN5159" s="319"/>
      <c r="BO5159" s="319"/>
      <c r="BP5159" s="953"/>
      <c r="BQ5159" s="319"/>
      <c r="BR5159" s="319"/>
      <c r="BS5159" s="330"/>
      <c r="BT5159" s="331"/>
      <c r="BU5159" s="920"/>
      <c r="BV5159" s="903"/>
      <c r="BW5159" s="908"/>
      <c r="BX5159" s="908"/>
      <c r="BY5159" s="331"/>
      <c r="BZ5159" s="331"/>
      <c r="CA5159" s="462"/>
      <c r="CB5159" s="319"/>
      <c r="CC5159" s="319"/>
      <c r="CD5159" s="319"/>
      <c r="CE5159" s="319"/>
      <c r="CF5159" s="319"/>
      <c r="CG5159" s="319"/>
      <c r="CH5159" s="318"/>
      <c r="CI5159" s="319"/>
      <c r="CJ5159" s="319"/>
      <c r="CK5159" s="342"/>
      <c r="CL5159" s="333"/>
      <c r="CM5159" s="1079"/>
      <c r="CN5159" s="1005"/>
      <c r="CO5159" s="1005"/>
      <c r="CP5159" s="1005"/>
    </row>
    <row r="5160">
      <c r="A5160" s="1257"/>
      <c r="B5160" s="1113"/>
      <c r="C5160" s="1107"/>
      <c r="D5160" s="103"/>
      <c r="E5160" s="1137"/>
      <c r="F5160" s="112"/>
      <c r="G5160" s="1110"/>
      <c r="H5160" s="1138"/>
      <c r="I5160" s="1138"/>
      <c r="J5160" s="1139"/>
      <c r="K5160" s="1111"/>
      <c r="L5160" s="1112"/>
      <c r="M5160" s="1113"/>
      <c r="N5160" s="110"/>
      <c r="O5160" s="1140"/>
      <c r="P5160" s="1115"/>
      <c r="Q5160" s="1116"/>
      <c r="R5160" s="1141"/>
      <c r="S5160" s="1113"/>
      <c r="T5160" s="1143"/>
      <c r="U5160" s="1108"/>
      <c r="V5160" s="1108"/>
      <c r="W5160" s="1108"/>
      <c r="X5160" s="1108"/>
      <c r="Y5160" s="1108"/>
      <c r="Z5160" s="1114"/>
      <c r="AA5160" s="1114"/>
      <c r="AB5160" s="1114"/>
      <c r="AC5160" s="1117"/>
      <c r="AD5160" s="1115"/>
      <c r="AE5160" s="1115"/>
      <c r="AF5160" s="1115"/>
      <c r="AG5160" s="1115"/>
      <c r="AH5160" s="1115"/>
      <c r="AI5160" s="1115"/>
      <c r="AJ5160" s="1117"/>
      <c r="AK5160" s="1118"/>
      <c r="AL5160" s="1115"/>
      <c r="AM5160" s="1115"/>
      <c r="AN5160" s="1115"/>
      <c r="AO5160" s="1115"/>
      <c r="AP5160" s="1115"/>
      <c r="AQ5160" s="1115"/>
      <c r="AR5160" s="1115"/>
      <c r="AS5160" s="1117"/>
      <c r="AT5160" s="1075"/>
      <c r="AU5160" s="1193"/>
      <c r="AV5160" s="330"/>
      <c r="AW5160" s="331"/>
      <c r="AX5160" s="331"/>
      <c r="AY5160" s="331"/>
      <c r="AZ5160" s="331"/>
      <c r="BA5160" s="331"/>
      <c r="BB5160" s="331"/>
      <c r="BC5160" s="331"/>
      <c r="BD5160" s="331"/>
      <c r="BE5160" s="333"/>
      <c r="BF5160" s="330"/>
      <c r="BG5160" s="333"/>
      <c r="BH5160" s="1119"/>
      <c r="BI5160" s="319"/>
      <c r="BJ5160" s="319"/>
      <c r="BK5160" s="319"/>
      <c r="BL5160" s="319"/>
      <c r="BM5160" s="319"/>
      <c r="BN5160" s="319"/>
      <c r="BO5160" s="319"/>
      <c r="BP5160" s="953"/>
      <c r="BQ5160" s="319"/>
      <c r="BR5160" s="319"/>
      <c r="BS5160" s="330"/>
      <c r="BT5160" s="331"/>
      <c r="BU5160" s="920"/>
      <c r="BV5160" s="903"/>
      <c r="BW5160" s="908"/>
      <c r="BX5160" s="908"/>
      <c r="BY5160" s="331"/>
      <c r="BZ5160" s="331"/>
      <c r="CA5160" s="462"/>
      <c r="CB5160" s="319"/>
      <c r="CC5160" s="319"/>
      <c r="CD5160" s="319"/>
      <c r="CE5160" s="319"/>
      <c r="CF5160" s="319"/>
      <c r="CG5160" s="319"/>
      <c r="CH5160" s="318"/>
      <c r="CI5160" s="319"/>
      <c r="CJ5160" s="319"/>
      <c r="CK5160" s="342"/>
      <c r="CL5160" s="333"/>
      <c r="CM5160" s="1079"/>
      <c r="CN5160" s="1005"/>
      <c r="CO5160" s="1005"/>
      <c r="CP5160" s="1005"/>
    </row>
    <row r="5161">
      <c r="A5161" s="1257"/>
      <c r="B5161" s="1113"/>
      <c r="C5161" s="1107"/>
      <c r="D5161" s="103"/>
      <c r="E5161" s="1137"/>
      <c r="F5161" s="112"/>
      <c r="G5161" s="1110"/>
      <c r="H5161" s="1138"/>
      <c r="I5161" s="1138"/>
      <c r="J5161" s="1139"/>
      <c r="K5161" s="1111"/>
      <c r="L5161" s="1112"/>
      <c r="M5161" s="1113"/>
      <c r="N5161" s="110"/>
      <c r="O5161" s="1140"/>
      <c r="P5161" s="1115"/>
      <c r="Q5161" s="1116"/>
      <c r="R5161" s="1141"/>
      <c r="S5161" s="1113"/>
      <c r="T5161" s="1143"/>
      <c r="U5161" s="1108"/>
      <c r="V5161" s="1108"/>
      <c r="W5161" s="1108"/>
      <c r="X5161" s="1108"/>
      <c r="Y5161" s="1108"/>
      <c r="Z5161" s="1114"/>
      <c r="AA5161" s="1114"/>
      <c r="AB5161" s="1114"/>
      <c r="AC5161" s="1117"/>
      <c r="AD5161" s="1115"/>
      <c r="AE5161" s="1115"/>
      <c r="AF5161" s="1115"/>
      <c r="AG5161" s="1115"/>
      <c r="AH5161" s="1115"/>
      <c r="AI5161" s="1115"/>
      <c r="AJ5161" s="1117"/>
      <c r="AK5161" s="1118"/>
      <c r="AL5161" s="1115"/>
      <c r="AM5161" s="1115"/>
      <c r="AN5161" s="1115"/>
      <c r="AO5161" s="1115"/>
      <c r="AP5161" s="1115"/>
      <c r="AQ5161" s="1115"/>
      <c r="AR5161" s="1115"/>
      <c r="AS5161" s="1117"/>
      <c r="AT5161" s="1075"/>
      <c r="AU5161" s="1193"/>
      <c r="AV5161" s="330"/>
      <c r="AW5161" s="331"/>
      <c r="AX5161" s="331"/>
      <c r="AY5161" s="331"/>
      <c r="AZ5161" s="331"/>
      <c r="BA5161" s="331"/>
      <c r="BB5161" s="331"/>
      <c r="BC5161" s="331"/>
      <c r="BD5161" s="331"/>
      <c r="BE5161" s="333"/>
      <c r="BF5161" s="330"/>
      <c r="BG5161" s="333"/>
      <c r="BH5161" s="1119"/>
      <c r="BI5161" s="319"/>
      <c r="BJ5161" s="319"/>
      <c r="BK5161" s="319"/>
      <c r="BL5161" s="319"/>
      <c r="BM5161" s="319"/>
      <c r="BN5161" s="319"/>
      <c r="BO5161" s="319"/>
      <c r="BP5161" s="953"/>
      <c r="BQ5161" s="319"/>
      <c r="BR5161" s="319"/>
      <c r="BS5161" s="330"/>
      <c r="BT5161" s="331"/>
      <c r="BU5161" s="920"/>
      <c r="BV5161" s="903"/>
      <c r="BW5161" s="908"/>
      <c r="BX5161" s="908"/>
      <c r="BY5161" s="331"/>
      <c r="BZ5161" s="331"/>
      <c r="CA5161" s="462"/>
      <c r="CB5161" s="319"/>
      <c r="CC5161" s="319"/>
      <c r="CD5161" s="319"/>
      <c r="CE5161" s="319"/>
      <c r="CF5161" s="319"/>
      <c r="CG5161" s="319"/>
      <c r="CH5161" s="318"/>
      <c r="CI5161" s="319"/>
      <c r="CJ5161" s="319"/>
      <c r="CK5161" s="342"/>
      <c r="CL5161" s="333"/>
      <c r="CM5161" s="1079"/>
      <c r="CN5161" s="1005"/>
      <c r="CO5161" s="1005"/>
      <c r="CP5161" s="1005"/>
    </row>
    <row r="5162">
      <c r="A5162" s="1257"/>
      <c r="B5162" s="1113"/>
      <c r="C5162" s="1107"/>
      <c r="D5162" s="103"/>
      <c r="E5162" s="1137"/>
      <c r="F5162" s="112"/>
      <c r="G5162" s="1110"/>
      <c r="H5162" s="1138"/>
      <c r="I5162" s="1138"/>
      <c r="J5162" s="1139"/>
      <c r="K5162" s="1111"/>
      <c r="L5162" s="1112"/>
      <c r="M5162" s="1113"/>
      <c r="N5162" s="110"/>
      <c r="O5162" s="1140"/>
      <c r="P5162" s="1115"/>
      <c r="Q5162" s="1116"/>
      <c r="R5162" s="1141"/>
      <c r="S5162" s="1113"/>
      <c r="T5162" s="1143"/>
      <c r="U5162" s="1108"/>
      <c r="V5162" s="1108"/>
      <c r="W5162" s="1108"/>
      <c r="X5162" s="1108"/>
      <c r="Y5162" s="1108"/>
      <c r="Z5162" s="1114"/>
      <c r="AA5162" s="1114"/>
      <c r="AB5162" s="1114"/>
      <c r="AC5162" s="1117"/>
      <c r="AD5162" s="1115"/>
      <c r="AE5162" s="1115"/>
      <c r="AF5162" s="1115"/>
      <c r="AG5162" s="1115"/>
      <c r="AH5162" s="1115"/>
      <c r="AI5162" s="1115"/>
      <c r="AJ5162" s="1117"/>
      <c r="AK5162" s="1118"/>
      <c r="AL5162" s="1115"/>
      <c r="AM5162" s="1115"/>
      <c r="AN5162" s="1115"/>
      <c r="AO5162" s="1115"/>
      <c r="AP5162" s="1115"/>
      <c r="AQ5162" s="1115"/>
      <c r="AR5162" s="1115"/>
      <c r="AS5162" s="1117"/>
      <c r="AT5162" s="1075"/>
      <c r="AU5162" s="1193"/>
      <c r="AV5162" s="330"/>
      <c r="AW5162" s="331"/>
      <c r="AX5162" s="331"/>
      <c r="AY5162" s="331"/>
      <c r="AZ5162" s="331"/>
      <c r="BA5162" s="331"/>
      <c r="BB5162" s="331"/>
      <c r="BC5162" s="331"/>
      <c r="BD5162" s="331"/>
      <c r="BE5162" s="333"/>
      <c r="BF5162" s="330"/>
      <c r="BG5162" s="333"/>
      <c r="BH5162" s="1119"/>
      <c r="BI5162" s="319"/>
      <c r="BJ5162" s="319"/>
      <c r="BK5162" s="319"/>
      <c r="BL5162" s="319"/>
      <c r="BM5162" s="319"/>
      <c r="BN5162" s="319"/>
      <c r="BO5162" s="319"/>
      <c r="BP5162" s="953"/>
      <c r="BQ5162" s="319"/>
      <c r="BR5162" s="319"/>
      <c r="BS5162" s="330"/>
      <c r="BT5162" s="331"/>
      <c r="BU5162" s="920"/>
      <c r="BV5162" s="903"/>
      <c r="BW5162" s="908"/>
      <c r="BX5162" s="908"/>
      <c r="BY5162" s="331"/>
      <c r="BZ5162" s="331"/>
      <c r="CA5162" s="462"/>
      <c r="CB5162" s="319"/>
      <c r="CC5162" s="319"/>
      <c r="CD5162" s="319"/>
      <c r="CE5162" s="319"/>
      <c r="CF5162" s="319"/>
      <c r="CG5162" s="319"/>
      <c r="CH5162" s="318"/>
      <c r="CI5162" s="319"/>
      <c r="CJ5162" s="319"/>
      <c r="CK5162" s="342"/>
      <c r="CL5162" s="333"/>
      <c r="CM5162" s="1079"/>
      <c r="CN5162" s="1005"/>
      <c r="CO5162" s="1005"/>
      <c r="CP5162" s="1005"/>
    </row>
    <row r="5163">
      <c r="A5163" s="1257"/>
      <c r="B5163" s="1113"/>
      <c r="C5163" s="1107"/>
      <c r="D5163" s="103"/>
      <c r="E5163" s="1137"/>
      <c r="F5163" s="112"/>
      <c r="G5163" s="1110"/>
      <c r="H5163" s="1138"/>
      <c r="I5163" s="1138"/>
      <c r="J5163" s="1139"/>
      <c r="K5163" s="1111"/>
      <c r="L5163" s="1112"/>
      <c r="M5163" s="1113"/>
      <c r="N5163" s="110"/>
      <c r="O5163" s="1140"/>
      <c r="P5163" s="1115"/>
      <c r="Q5163" s="1116"/>
      <c r="R5163" s="1141"/>
      <c r="S5163" s="1113"/>
      <c r="T5163" s="1143"/>
      <c r="U5163" s="1108"/>
      <c r="V5163" s="1108"/>
      <c r="W5163" s="1108"/>
      <c r="X5163" s="1108"/>
      <c r="Y5163" s="1108"/>
      <c r="Z5163" s="1114"/>
      <c r="AA5163" s="1114"/>
      <c r="AB5163" s="1114"/>
      <c r="AC5163" s="1117"/>
      <c r="AD5163" s="1115"/>
      <c r="AE5163" s="1115"/>
      <c r="AF5163" s="1115"/>
      <c r="AG5163" s="1115"/>
      <c r="AH5163" s="1115"/>
      <c r="AI5163" s="1115"/>
      <c r="AJ5163" s="1117"/>
      <c r="AK5163" s="1118"/>
      <c r="AL5163" s="1115"/>
      <c r="AM5163" s="1115"/>
      <c r="AN5163" s="1115"/>
      <c r="AO5163" s="1115"/>
      <c r="AP5163" s="1115"/>
      <c r="AQ5163" s="1115"/>
      <c r="AR5163" s="1115"/>
      <c r="AS5163" s="1117"/>
      <c r="AT5163" s="1075"/>
      <c r="AU5163" s="1193"/>
      <c r="AV5163" s="330"/>
      <c r="AW5163" s="331"/>
      <c r="AX5163" s="331"/>
      <c r="AY5163" s="331"/>
      <c r="AZ5163" s="331"/>
      <c r="BA5163" s="331"/>
      <c r="BB5163" s="331"/>
      <c r="BC5163" s="331"/>
      <c r="BD5163" s="331"/>
      <c r="BE5163" s="333"/>
      <c r="BF5163" s="330"/>
      <c r="BG5163" s="333"/>
      <c r="BH5163" s="1119"/>
      <c r="BI5163" s="319"/>
      <c r="BJ5163" s="319"/>
      <c r="BK5163" s="319"/>
      <c r="BL5163" s="319"/>
      <c r="BM5163" s="319"/>
      <c r="BN5163" s="319"/>
      <c r="BO5163" s="319"/>
      <c r="BP5163" s="953"/>
      <c r="BQ5163" s="319"/>
      <c r="BR5163" s="319"/>
      <c r="BS5163" s="330"/>
      <c r="BT5163" s="331"/>
      <c r="BU5163" s="920"/>
      <c r="BV5163" s="903"/>
      <c r="BW5163" s="908"/>
      <c r="BX5163" s="908"/>
      <c r="BY5163" s="331"/>
      <c r="BZ5163" s="331"/>
      <c r="CA5163" s="462"/>
      <c r="CB5163" s="319"/>
      <c r="CC5163" s="319"/>
      <c r="CD5163" s="319"/>
      <c r="CE5163" s="319"/>
      <c r="CF5163" s="319"/>
      <c r="CG5163" s="319"/>
      <c r="CH5163" s="318"/>
      <c r="CI5163" s="319"/>
      <c r="CJ5163" s="319"/>
      <c r="CK5163" s="342"/>
      <c r="CL5163" s="333"/>
      <c r="CM5163" s="1079"/>
      <c r="CN5163" s="1005"/>
      <c r="CO5163" s="1005"/>
      <c r="CP5163" s="1005"/>
    </row>
    <row r="5164">
      <c r="A5164" s="1257"/>
      <c r="B5164" s="1113"/>
      <c r="C5164" s="1107"/>
      <c r="D5164" s="103"/>
      <c r="E5164" s="1137"/>
      <c r="F5164" s="112"/>
      <c r="G5164" s="1110"/>
      <c r="H5164" s="1138"/>
      <c r="I5164" s="1138"/>
      <c r="J5164" s="1139"/>
      <c r="K5164" s="1111"/>
      <c r="L5164" s="1112"/>
      <c r="M5164" s="1113"/>
      <c r="N5164" s="110"/>
      <c r="O5164" s="1140"/>
      <c r="P5164" s="1115"/>
      <c r="Q5164" s="1116"/>
      <c r="R5164" s="1141"/>
      <c r="S5164" s="1113"/>
      <c r="T5164" s="1143"/>
      <c r="U5164" s="1108"/>
      <c r="V5164" s="1108"/>
      <c r="W5164" s="1108"/>
      <c r="X5164" s="1108"/>
      <c r="Y5164" s="1108"/>
      <c r="Z5164" s="1114"/>
      <c r="AA5164" s="1114"/>
      <c r="AB5164" s="1114"/>
      <c r="AC5164" s="1117"/>
      <c r="AD5164" s="1115"/>
      <c r="AE5164" s="1115"/>
      <c r="AF5164" s="1115"/>
      <c r="AG5164" s="1115"/>
      <c r="AH5164" s="1115"/>
      <c r="AI5164" s="1115"/>
      <c r="AJ5164" s="1117"/>
      <c r="AK5164" s="1118"/>
      <c r="AL5164" s="1115"/>
      <c r="AM5164" s="1115"/>
      <c r="AN5164" s="1115"/>
      <c r="AO5164" s="1115"/>
      <c r="AP5164" s="1115"/>
      <c r="AQ5164" s="1115"/>
      <c r="AR5164" s="1115"/>
      <c r="AS5164" s="1117"/>
      <c r="AT5164" s="1075"/>
      <c r="AU5164" s="1193"/>
      <c r="AV5164" s="330"/>
      <c r="AW5164" s="331"/>
      <c r="AX5164" s="331"/>
      <c r="AY5164" s="331"/>
      <c r="AZ5164" s="331"/>
      <c r="BA5164" s="331"/>
      <c r="BB5164" s="331"/>
      <c r="BC5164" s="331"/>
      <c r="BD5164" s="331"/>
      <c r="BE5164" s="333"/>
      <c r="BF5164" s="330"/>
      <c r="BG5164" s="333"/>
      <c r="BH5164" s="1119"/>
      <c r="BI5164" s="319"/>
      <c r="BJ5164" s="319"/>
      <c r="BK5164" s="319"/>
      <c r="BL5164" s="319"/>
      <c r="BM5164" s="319"/>
      <c r="BN5164" s="319"/>
      <c r="BO5164" s="319"/>
      <c r="BP5164" s="953"/>
      <c r="BQ5164" s="319"/>
      <c r="BR5164" s="319"/>
      <c r="BS5164" s="330"/>
      <c r="BT5164" s="331"/>
      <c r="BU5164" s="920"/>
      <c r="BV5164" s="903"/>
      <c r="BW5164" s="908"/>
      <c r="BX5164" s="908"/>
      <c r="BY5164" s="331"/>
      <c r="BZ5164" s="331"/>
      <c r="CA5164" s="462"/>
      <c r="CB5164" s="319"/>
      <c r="CC5164" s="319"/>
      <c r="CD5164" s="319"/>
      <c r="CE5164" s="319"/>
      <c r="CF5164" s="319"/>
      <c r="CG5164" s="319"/>
      <c r="CH5164" s="318"/>
      <c r="CI5164" s="319"/>
      <c r="CJ5164" s="319"/>
      <c r="CK5164" s="342"/>
      <c r="CL5164" s="333"/>
      <c r="CM5164" s="1079"/>
      <c r="CN5164" s="1005"/>
      <c r="CO5164" s="1005"/>
      <c r="CP5164" s="1005"/>
    </row>
    <row r="5165">
      <c r="A5165" s="1257"/>
      <c r="B5165" s="1113"/>
      <c r="C5165" s="1107"/>
      <c r="D5165" s="103"/>
      <c r="E5165" s="1137"/>
      <c r="F5165" s="112"/>
      <c r="G5165" s="1110"/>
      <c r="H5165" s="1138"/>
      <c r="I5165" s="1138"/>
      <c r="J5165" s="1139"/>
      <c r="K5165" s="1111"/>
      <c r="L5165" s="1112"/>
      <c r="M5165" s="1113"/>
      <c r="N5165" s="110"/>
      <c r="O5165" s="1140"/>
      <c r="P5165" s="1115"/>
      <c r="Q5165" s="1116"/>
      <c r="R5165" s="1141"/>
      <c r="S5165" s="1113"/>
      <c r="T5165" s="1143"/>
      <c r="U5165" s="1108"/>
      <c r="V5165" s="1108"/>
      <c r="W5165" s="1108"/>
      <c r="X5165" s="1108"/>
      <c r="Y5165" s="1108"/>
      <c r="Z5165" s="1114"/>
      <c r="AA5165" s="1114"/>
      <c r="AB5165" s="1114"/>
      <c r="AC5165" s="1117"/>
      <c r="AD5165" s="1115"/>
      <c r="AE5165" s="1115"/>
      <c r="AF5165" s="1115"/>
      <c r="AG5165" s="1115"/>
      <c r="AH5165" s="1115"/>
      <c r="AI5165" s="1115"/>
      <c r="AJ5165" s="1117"/>
      <c r="AK5165" s="1118"/>
      <c r="AL5165" s="1115"/>
      <c r="AM5165" s="1115"/>
      <c r="AN5165" s="1115"/>
      <c r="AO5165" s="1115"/>
      <c r="AP5165" s="1115"/>
      <c r="AQ5165" s="1115"/>
      <c r="AR5165" s="1115"/>
      <c r="AS5165" s="1117"/>
      <c r="AT5165" s="1075"/>
      <c r="AU5165" s="1193"/>
      <c r="AV5165" s="330"/>
      <c r="AW5165" s="331"/>
      <c r="AX5165" s="331"/>
      <c r="AY5165" s="331"/>
      <c r="AZ5165" s="331"/>
      <c r="BA5165" s="331"/>
      <c r="BB5165" s="331"/>
      <c r="BC5165" s="331"/>
      <c r="BD5165" s="331"/>
      <c r="BE5165" s="333"/>
      <c r="BF5165" s="330"/>
      <c r="BG5165" s="333"/>
      <c r="BH5165" s="1119"/>
      <c r="BI5165" s="319"/>
      <c r="BJ5165" s="319"/>
      <c r="BK5165" s="319"/>
      <c r="BL5165" s="319"/>
      <c r="BM5165" s="319"/>
      <c r="BN5165" s="319"/>
      <c r="BO5165" s="319"/>
      <c r="BP5165" s="953"/>
      <c r="BQ5165" s="319"/>
      <c r="BR5165" s="319"/>
      <c r="BS5165" s="330"/>
      <c r="BT5165" s="331"/>
      <c r="BU5165" s="920"/>
      <c r="BV5165" s="903"/>
      <c r="BW5165" s="908"/>
      <c r="BX5165" s="908"/>
      <c r="BY5165" s="331"/>
      <c r="BZ5165" s="331"/>
      <c r="CA5165" s="462"/>
      <c r="CB5165" s="319"/>
      <c r="CC5165" s="319"/>
      <c r="CD5165" s="319"/>
      <c r="CE5165" s="319"/>
      <c r="CF5165" s="319"/>
      <c r="CG5165" s="319"/>
      <c r="CH5165" s="318"/>
      <c r="CI5165" s="319"/>
      <c r="CJ5165" s="319"/>
      <c r="CK5165" s="342"/>
      <c r="CL5165" s="333"/>
      <c r="CM5165" s="1079"/>
      <c r="CN5165" s="1005"/>
      <c r="CO5165" s="1005"/>
      <c r="CP5165" s="1005"/>
    </row>
    <row r="5166">
      <c r="A5166" s="1257"/>
      <c r="B5166" s="1113"/>
      <c r="C5166" s="1107"/>
      <c r="D5166" s="103"/>
      <c r="E5166" s="1137"/>
      <c r="F5166" s="112"/>
      <c r="G5166" s="1110"/>
      <c r="H5166" s="1138"/>
      <c r="I5166" s="1138"/>
      <c r="J5166" s="1139"/>
      <c r="K5166" s="1111"/>
      <c r="L5166" s="1112"/>
      <c r="M5166" s="1113"/>
      <c r="N5166" s="110"/>
      <c r="O5166" s="1140"/>
      <c r="P5166" s="1115"/>
      <c r="Q5166" s="1116"/>
      <c r="R5166" s="1141"/>
      <c r="S5166" s="1113"/>
      <c r="T5166" s="1143"/>
      <c r="U5166" s="1108"/>
      <c r="V5166" s="1108"/>
      <c r="W5166" s="1108"/>
      <c r="X5166" s="1108"/>
      <c r="Y5166" s="1108"/>
      <c r="Z5166" s="1114"/>
      <c r="AA5166" s="1114"/>
      <c r="AB5166" s="1114"/>
      <c r="AC5166" s="1117"/>
      <c r="AD5166" s="1115"/>
      <c r="AE5166" s="1115"/>
      <c r="AF5166" s="1115"/>
      <c r="AG5166" s="1115"/>
      <c r="AH5166" s="1115"/>
      <c r="AI5166" s="1115"/>
      <c r="AJ5166" s="1117"/>
      <c r="AK5166" s="1118"/>
      <c r="AL5166" s="1115"/>
      <c r="AM5166" s="1115"/>
      <c r="AN5166" s="1115"/>
      <c r="AO5166" s="1115"/>
      <c r="AP5166" s="1115"/>
      <c r="AQ5166" s="1115"/>
      <c r="AR5166" s="1115"/>
      <c r="AS5166" s="1117"/>
      <c r="AT5166" s="1075"/>
      <c r="AU5166" s="1193"/>
      <c r="AV5166" s="330"/>
      <c r="AW5166" s="331"/>
      <c r="AX5166" s="331"/>
      <c r="AY5166" s="331"/>
      <c r="AZ5166" s="331"/>
      <c r="BA5166" s="331"/>
      <c r="BB5166" s="331"/>
      <c r="BC5166" s="331"/>
      <c r="BD5166" s="331"/>
      <c r="BE5166" s="333"/>
      <c r="BF5166" s="330"/>
      <c r="BG5166" s="333"/>
      <c r="BH5166" s="1119"/>
      <c r="BI5166" s="319"/>
      <c r="BJ5166" s="319"/>
      <c r="BK5166" s="319"/>
      <c r="BL5166" s="319"/>
      <c r="BM5166" s="319"/>
      <c r="BN5166" s="319"/>
      <c r="BO5166" s="319"/>
      <c r="BP5166" s="953"/>
      <c r="BQ5166" s="319"/>
      <c r="BR5166" s="319"/>
      <c r="BS5166" s="330"/>
      <c r="BT5166" s="331"/>
      <c r="BU5166" s="920"/>
      <c r="BV5166" s="903"/>
      <c r="BW5166" s="908"/>
      <c r="BX5166" s="908"/>
      <c r="BY5166" s="331"/>
      <c r="BZ5166" s="331"/>
      <c r="CA5166" s="462"/>
      <c r="CB5166" s="319"/>
      <c r="CC5166" s="319"/>
      <c r="CD5166" s="319"/>
      <c r="CE5166" s="319"/>
      <c r="CF5166" s="319"/>
      <c r="CG5166" s="319"/>
      <c r="CH5166" s="318"/>
      <c r="CI5166" s="319"/>
      <c r="CJ5166" s="319"/>
      <c r="CK5166" s="342"/>
      <c r="CL5166" s="333"/>
      <c r="CM5166" s="1079"/>
      <c r="CN5166" s="1005"/>
      <c r="CO5166" s="1005"/>
      <c r="CP5166" s="1005"/>
    </row>
    <row r="5167">
      <c r="A5167" s="1257"/>
      <c r="B5167" s="1113"/>
      <c r="C5167" s="1107"/>
      <c r="D5167" s="103"/>
      <c r="E5167" s="1137"/>
      <c r="F5167" s="112"/>
      <c r="G5167" s="1110"/>
      <c r="H5167" s="1138"/>
      <c r="I5167" s="1138"/>
      <c r="J5167" s="1139"/>
      <c r="K5167" s="1111"/>
      <c r="L5167" s="1112"/>
      <c r="M5167" s="1113"/>
      <c r="N5167" s="110"/>
      <c r="O5167" s="1140"/>
      <c r="P5167" s="1115"/>
      <c r="Q5167" s="1116"/>
      <c r="R5167" s="1141"/>
      <c r="S5167" s="1113"/>
      <c r="T5167" s="1143"/>
      <c r="U5167" s="1108"/>
      <c r="V5167" s="1108"/>
      <c r="W5167" s="1108"/>
      <c r="X5167" s="1108"/>
      <c r="Y5167" s="1108"/>
      <c r="Z5167" s="1114"/>
      <c r="AA5167" s="1114"/>
      <c r="AB5167" s="1114"/>
      <c r="AC5167" s="1117"/>
      <c r="AD5167" s="1115"/>
      <c r="AE5167" s="1115"/>
      <c r="AF5167" s="1115"/>
      <c r="AG5167" s="1115"/>
      <c r="AH5167" s="1115"/>
      <c r="AI5167" s="1115"/>
      <c r="AJ5167" s="1117"/>
      <c r="AK5167" s="1118"/>
      <c r="AL5167" s="1115"/>
      <c r="AM5167" s="1115"/>
      <c r="AN5167" s="1115"/>
      <c r="AO5167" s="1115"/>
      <c r="AP5167" s="1115"/>
      <c r="AQ5167" s="1115"/>
      <c r="AR5167" s="1115"/>
      <c r="AS5167" s="1117"/>
      <c r="AT5167" s="1075"/>
      <c r="AU5167" s="1193"/>
      <c r="AV5167" s="330"/>
      <c r="AW5167" s="331"/>
      <c r="AX5167" s="331"/>
      <c r="AY5167" s="331"/>
      <c r="AZ5167" s="331"/>
      <c r="BA5167" s="331"/>
      <c r="BB5167" s="331"/>
      <c r="BC5167" s="331"/>
      <c r="BD5167" s="331"/>
      <c r="BE5167" s="333"/>
      <c r="BF5167" s="330"/>
      <c r="BG5167" s="333"/>
      <c r="BH5167" s="1119"/>
      <c r="BI5167" s="319"/>
      <c r="BJ5167" s="319"/>
      <c r="BK5167" s="319"/>
      <c r="BL5167" s="319"/>
      <c r="BM5167" s="319"/>
      <c r="BN5167" s="319"/>
      <c r="BO5167" s="319"/>
      <c r="BP5167" s="953"/>
      <c r="BQ5167" s="319"/>
      <c r="BR5167" s="319"/>
      <c r="BS5167" s="330"/>
      <c r="BT5167" s="331"/>
      <c r="BU5167" s="920"/>
      <c r="BV5167" s="903"/>
      <c r="BW5167" s="908"/>
      <c r="BX5167" s="908"/>
      <c r="BY5167" s="331"/>
      <c r="BZ5167" s="331"/>
      <c r="CA5167" s="462"/>
      <c r="CB5167" s="319"/>
      <c r="CC5167" s="319"/>
      <c r="CD5167" s="319"/>
      <c r="CE5167" s="319"/>
      <c r="CF5167" s="319"/>
      <c r="CG5167" s="319"/>
      <c r="CH5167" s="318"/>
      <c r="CI5167" s="319"/>
      <c r="CJ5167" s="319"/>
      <c r="CK5167" s="342"/>
      <c r="CL5167" s="333"/>
      <c r="CM5167" s="1079"/>
      <c r="CN5167" s="1005"/>
      <c r="CO5167" s="1005"/>
      <c r="CP5167" s="1005"/>
    </row>
    <row r="5168">
      <c r="A5168" s="1257"/>
      <c r="B5168" s="1113"/>
      <c r="C5168" s="1107"/>
      <c r="D5168" s="103"/>
      <c r="E5168" s="1137"/>
      <c r="F5168" s="112"/>
      <c r="G5168" s="1110"/>
      <c r="H5168" s="1138"/>
      <c r="I5168" s="1138"/>
      <c r="J5168" s="1139"/>
      <c r="K5168" s="1111"/>
      <c r="L5168" s="1112"/>
      <c r="M5168" s="1113"/>
      <c r="N5168" s="110"/>
      <c r="O5168" s="1140"/>
      <c r="P5168" s="1115"/>
      <c r="Q5168" s="1116"/>
      <c r="R5168" s="1141"/>
      <c r="S5168" s="1113"/>
      <c r="T5168" s="1143"/>
      <c r="U5168" s="1108"/>
      <c r="V5168" s="1108"/>
      <c r="W5168" s="1108"/>
      <c r="X5168" s="1108"/>
      <c r="Y5168" s="1108"/>
      <c r="Z5168" s="1114"/>
      <c r="AA5168" s="1114"/>
      <c r="AB5168" s="1114"/>
      <c r="AC5168" s="1117"/>
      <c r="AD5168" s="1115"/>
      <c r="AE5168" s="1115"/>
      <c r="AF5168" s="1115"/>
      <c r="AG5168" s="1115"/>
      <c r="AH5168" s="1115"/>
      <c r="AI5168" s="1115"/>
      <c r="AJ5168" s="1117"/>
      <c r="AK5168" s="1118"/>
      <c r="AL5168" s="1115"/>
      <c r="AM5168" s="1115"/>
      <c r="AN5168" s="1115"/>
      <c r="AO5168" s="1115"/>
      <c r="AP5168" s="1115"/>
      <c r="AQ5168" s="1115"/>
      <c r="AR5168" s="1115"/>
      <c r="AS5168" s="1117"/>
      <c r="AT5168" s="1075"/>
      <c r="AU5168" s="1193"/>
      <c r="AV5168" s="330"/>
      <c r="AW5168" s="331"/>
      <c r="AX5168" s="331"/>
      <c r="AY5168" s="331"/>
      <c r="AZ5168" s="331"/>
      <c r="BA5168" s="331"/>
      <c r="BB5168" s="331"/>
      <c r="BC5168" s="331"/>
      <c r="BD5168" s="331"/>
      <c r="BE5168" s="333"/>
      <c r="BF5168" s="330"/>
      <c r="BG5168" s="333"/>
      <c r="BH5168" s="1119"/>
      <c r="BI5168" s="319"/>
      <c r="BJ5168" s="319"/>
      <c r="BK5168" s="319"/>
      <c r="BL5168" s="319"/>
      <c r="BM5168" s="319"/>
      <c r="BN5168" s="319"/>
      <c r="BO5168" s="319"/>
      <c r="BP5168" s="953"/>
      <c r="BQ5168" s="319"/>
      <c r="BR5168" s="319"/>
      <c r="BS5168" s="330"/>
      <c r="BT5168" s="331"/>
      <c r="BU5168" s="920"/>
      <c r="BV5168" s="903"/>
      <c r="BW5168" s="908"/>
      <c r="BX5168" s="908"/>
      <c r="BY5168" s="331"/>
      <c r="BZ5168" s="331"/>
      <c r="CA5168" s="462"/>
      <c r="CB5168" s="319"/>
      <c r="CC5168" s="319"/>
      <c r="CD5168" s="319"/>
      <c r="CE5168" s="319"/>
      <c r="CF5168" s="319"/>
      <c r="CG5168" s="319"/>
      <c r="CH5168" s="318"/>
      <c r="CI5168" s="319"/>
      <c r="CJ5168" s="319"/>
      <c r="CK5168" s="342"/>
      <c r="CL5168" s="333"/>
      <c r="CM5168" s="1079"/>
      <c r="CN5168" s="1005"/>
      <c r="CO5168" s="1005"/>
      <c r="CP5168" s="1005"/>
    </row>
    <row r="5169">
      <c r="A5169" s="1257"/>
      <c r="B5169" s="1113"/>
      <c r="C5169" s="1107"/>
      <c r="D5169" s="103"/>
      <c r="E5169" s="1137"/>
      <c r="F5169" s="112"/>
      <c r="G5169" s="1110"/>
      <c r="H5169" s="1138"/>
      <c r="I5169" s="1138"/>
      <c r="J5169" s="1139"/>
      <c r="K5169" s="1111"/>
      <c r="L5169" s="1112"/>
      <c r="M5169" s="1113"/>
      <c r="N5169" s="110"/>
      <c r="O5169" s="1140"/>
      <c r="P5169" s="1115"/>
      <c r="Q5169" s="1116"/>
      <c r="R5169" s="1141"/>
      <c r="S5169" s="1113"/>
      <c r="T5169" s="1143"/>
      <c r="U5169" s="1108"/>
      <c r="V5169" s="1108"/>
      <c r="W5169" s="1108"/>
      <c r="X5169" s="1108"/>
      <c r="Y5169" s="1108"/>
      <c r="Z5169" s="1114"/>
      <c r="AA5169" s="1114"/>
      <c r="AB5169" s="1114"/>
      <c r="AC5169" s="1117"/>
      <c r="AD5169" s="1115"/>
      <c r="AE5169" s="1115"/>
      <c r="AF5169" s="1115"/>
      <c r="AG5169" s="1115"/>
      <c r="AH5169" s="1115"/>
      <c r="AI5169" s="1115"/>
      <c r="AJ5169" s="1117"/>
      <c r="AK5169" s="1118"/>
      <c r="AL5169" s="1115"/>
      <c r="AM5169" s="1115"/>
      <c r="AN5169" s="1115"/>
      <c r="AO5169" s="1115"/>
      <c r="AP5169" s="1115"/>
      <c r="AQ5169" s="1115"/>
      <c r="AR5169" s="1115"/>
      <c r="AS5169" s="1117"/>
      <c r="AT5169" s="1075"/>
      <c r="AU5169" s="1193"/>
      <c r="AV5169" s="330"/>
      <c r="AW5169" s="331"/>
      <c r="AX5169" s="331"/>
      <c r="AY5169" s="331"/>
      <c r="AZ5169" s="331"/>
      <c r="BA5169" s="331"/>
      <c r="BB5169" s="331"/>
      <c r="BC5169" s="331"/>
      <c r="BD5169" s="331"/>
      <c r="BE5169" s="333"/>
      <c r="BF5169" s="330"/>
      <c r="BG5169" s="333"/>
      <c r="BH5169" s="1119"/>
      <c r="BI5169" s="319"/>
      <c r="BJ5169" s="319"/>
      <c r="BK5169" s="319"/>
      <c r="BL5169" s="319"/>
      <c r="BM5169" s="319"/>
      <c r="BN5169" s="319"/>
      <c r="BO5169" s="319"/>
      <c r="BP5169" s="953"/>
      <c r="BQ5169" s="319"/>
      <c r="BR5169" s="319"/>
      <c r="BS5169" s="330"/>
      <c r="BT5169" s="331"/>
      <c r="BU5169" s="920"/>
      <c r="BV5169" s="903"/>
      <c r="BW5169" s="908"/>
      <c r="BX5169" s="908"/>
      <c r="BY5169" s="331"/>
      <c r="BZ5169" s="331"/>
      <c r="CA5169" s="462"/>
      <c r="CB5169" s="319"/>
      <c r="CC5169" s="319"/>
      <c r="CD5169" s="319"/>
      <c r="CE5169" s="319"/>
      <c r="CF5169" s="319"/>
      <c r="CG5169" s="319"/>
      <c r="CH5169" s="318"/>
      <c r="CI5169" s="319"/>
      <c r="CJ5169" s="319"/>
      <c r="CK5169" s="342"/>
      <c r="CL5169" s="333"/>
      <c r="CM5169" s="1079"/>
      <c r="CN5169" s="1005"/>
      <c r="CO5169" s="1005"/>
      <c r="CP5169" s="1005"/>
    </row>
    <row r="5170">
      <c r="A5170" s="1257"/>
      <c r="B5170" s="1113"/>
      <c r="C5170" s="1107"/>
      <c r="D5170" s="103"/>
      <c r="E5170" s="1137"/>
      <c r="F5170" s="112"/>
      <c r="G5170" s="1110"/>
      <c r="H5170" s="1138"/>
      <c r="I5170" s="1138"/>
      <c r="J5170" s="1139"/>
      <c r="K5170" s="1111"/>
      <c r="L5170" s="1112"/>
      <c r="M5170" s="1113"/>
      <c r="N5170" s="110"/>
      <c r="O5170" s="1140"/>
      <c r="P5170" s="1115"/>
      <c r="Q5170" s="1116"/>
      <c r="R5170" s="1141"/>
      <c r="S5170" s="1113"/>
      <c r="T5170" s="1143"/>
      <c r="U5170" s="1108"/>
      <c r="V5170" s="1108"/>
      <c r="W5170" s="1108"/>
      <c r="X5170" s="1108"/>
      <c r="Y5170" s="1108"/>
      <c r="Z5170" s="1114"/>
      <c r="AA5170" s="1114"/>
      <c r="AB5170" s="1114"/>
      <c r="AC5170" s="1117"/>
      <c r="AD5170" s="1115"/>
      <c r="AE5170" s="1115"/>
      <c r="AF5170" s="1115"/>
      <c r="AG5170" s="1115"/>
      <c r="AH5170" s="1115"/>
      <c r="AI5170" s="1115"/>
      <c r="AJ5170" s="1117"/>
      <c r="AK5170" s="1118"/>
      <c r="AL5170" s="1115"/>
      <c r="AM5170" s="1115"/>
      <c r="AN5170" s="1115"/>
      <c r="AO5170" s="1115"/>
      <c r="AP5170" s="1115"/>
      <c r="AQ5170" s="1115"/>
      <c r="AR5170" s="1115"/>
      <c r="AS5170" s="1117"/>
      <c r="AT5170" s="1075"/>
      <c r="AU5170" s="1193"/>
      <c r="AV5170" s="330"/>
      <c r="AW5170" s="331"/>
      <c r="AX5170" s="331"/>
      <c r="AY5170" s="331"/>
      <c r="AZ5170" s="331"/>
      <c r="BA5170" s="331"/>
      <c r="BB5170" s="331"/>
      <c r="BC5170" s="331"/>
      <c r="BD5170" s="331"/>
      <c r="BE5170" s="333"/>
      <c r="BF5170" s="330"/>
      <c r="BG5170" s="333"/>
      <c r="BH5170" s="1119"/>
      <c r="BI5170" s="319"/>
      <c r="BJ5170" s="319"/>
      <c r="BK5170" s="319"/>
      <c r="BL5170" s="319"/>
      <c r="BM5170" s="319"/>
      <c r="BN5170" s="319"/>
      <c r="BO5170" s="319"/>
      <c r="BP5170" s="953"/>
      <c r="BQ5170" s="319"/>
      <c r="BR5170" s="319"/>
      <c r="BS5170" s="330"/>
      <c r="BT5170" s="331"/>
      <c r="BU5170" s="920"/>
      <c r="BV5170" s="903"/>
      <c r="BW5170" s="908"/>
      <c r="BX5170" s="908"/>
      <c r="BY5170" s="331"/>
      <c r="BZ5170" s="331"/>
      <c r="CA5170" s="462"/>
      <c r="CB5170" s="319"/>
      <c r="CC5170" s="319"/>
      <c r="CD5170" s="319"/>
      <c r="CE5170" s="319"/>
      <c r="CF5170" s="319"/>
      <c r="CG5170" s="319"/>
      <c r="CH5170" s="318"/>
      <c r="CI5170" s="319"/>
      <c r="CJ5170" s="319"/>
      <c r="CK5170" s="342"/>
      <c r="CL5170" s="333"/>
      <c r="CM5170" s="1079"/>
      <c r="CN5170" s="1005"/>
      <c r="CO5170" s="1005"/>
      <c r="CP5170" s="1005"/>
    </row>
    <row r="5171">
      <c r="A5171" s="1257"/>
      <c r="B5171" s="1113"/>
      <c r="C5171" s="1107"/>
      <c r="D5171" s="103"/>
      <c r="E5171" s="1137"/>
      <c r="F5171" s="112"/>
      <c r="G5171" s="1110"/>
      <c r="H5171" s="1138"/>
      <c r="I5171" s="1138"/>
      <c r="J5171" s="1139"/>
      <c r="K5171" s="1111"/>
      <c r="L5171" s="1112"/>
      <c r="M5171" s="1113"/>
      <c r="N5171" s="110"/>
      <c r="O5171" s="1140"/>
      <c r="P5171" s="1115"/>
      <c r="Q5171" s="1116"/>
      <c r="R5171" s="1141"/>
      <c r="S5171" s="1113"/>
      <c r="T5171" s="1143"/>
      <c r="U5171" s="1108"/>
      <c r="V5171" s="1108"/>
      <c r="W5171" s="1108"/>
      <c r="X5171" s="1108"/>
      <c r="Y5171" s="1108"/>
      <c r="Z5171" s="1114"/>
      <c r="AA5171" s="1114"/>
      <c r="AB5171" s="1114"/>
      <c r="AC5171" s="1117"/>
      <c r="AD5171" s="1115"/>
      <c r="AE5171" s="1115"/>
      <c r="AF5171" s="1115"/>
      <c r="AG5171" s="1115"/>
      <c r="AH5171" s="1115"/>
      <c r="AI5171" s="1115"/>
      <c r="AJ5171" s="1117"/>
      <c r="AK5171" s="1118"/>
      <c r="AL5171" s="1115"/>
      <c r="AM5171" s="1115"/>
      <c r="AN5171" s="1115"/>
      <c r="AO5171" s="1115"/>
      <c r="AP5171" s="1115"/>
      <c r="AQ5171" s="1115"/>
      <c r="AR5171" s="1115"/>
      <c r="AS5171" s="1117"/>
      <c r="AT5171" s="1075"/>
      <c r="AU5171" s="1193"/>
      <c r="AV5171" s="330"/>
      <c r="AW5171" s="331"/>
      <c r="AX5171" s="331"/>
      <c r="AY5171" s="331"/>
      <c r="AZ5171" s="331"/>
      <c r="BA5171" s="331"/>
      <c r="BB5171" s="331"/>
      <c r="BC5171" s="331"/>
      <c r="BD5171" s="331"/>
      <c r="BE5171" s="333"/>
      <c r="BF5171" s="330"/>
      <c r="BG5171" s="333"/>
      <c r="BH5171" s="1119"/>
      <c r="BI5171" s="319"/>
      <c r="BJ5171" s="319"/>
      <c r="BK5171" s="319"/>
      <c r="BL5171" s="319"/>
      <c r="BM5171" s="319"/>
      <c r="BN5171" s="319"/>
      <c r="BO5171" s="319"/>
      <c r="BP5171" s="953"/>
      <c r="BQ5171" s="319"/>
      <c r="BR5171" s="319"/>
      <c r="BS5171" s="330"/>
      <c r="BT5171" s="331"/>
      <c r="BU5171" s="920"/>
      <c r="BV5171" s="903"/>
      <c r="BW5171" s="908"/>
      <c r="BX5171" s="908"/>
      <c r="BY5171" s="331"/>
      <c r="BZ5171" s="331"/>
      <c r="CA5171" s="462"/>
      <c r="CB5171" s="319"/>
      <c r="CC5171" s="319"/>
      <c r="CD5171" s="319"/>
      <c r="CE5171" s="319"/>
      <c r="CF5171" s="319"/>
      <c r="CG5171" s="319"/>
      <c r="CH5171" s="318"/>
      <c r="CI5171" s="319"/>
      <c r="CJ5171" s="319"/>
      <c r="CK5171" s="342"/>
      <c r="CL5171" s="333"/>
      <c r="CM5171" s="1079"/>
      <c r="CN5171" s="1005"/>
      <c r="CO5171" s="1005"/>
      <c r="CP5171" s="1005"/>
    </row>
    <row r="5172">
      <c r="A5172" s="1257"/>
      <c r="B5172" s="1113"/>
      <c r="C5172" s="1107"/>
      <c r="D5172" s="103"/>
      <c r="E5172" s="1137"/>
      <c r="F5172" s="112"/>
      <c r="G5172" s="1110"/>
      <c r="H5172" s="1138"/>
      <c r="I5172" s="1138"/>
      <c r="J5172" s="1139"/>
      <c r="K5172" s="1111"/>
      <c r="L5172" s="1112"/>
      <c r="M5172" s="1113"/>
      <c r="N5172" s="110"/>
      <c r="O5172" s="1140"/>
      <c r="P5172" s="1115"/>
      <c r="Q5172" s="1116"/>
      <c r="R5172" s="1141"/>
      <c r="S5172" s="1113"/>
      <c r="T5172" s="1143"/>
      <c r="U5172" s="1108"/>
      <c r="V5172" s="1108"/>
      <c r="W5172" s="1108"/>
      <c r="X5172" s="1108"/>
      <c r="Y5172" s="1108"/>
      <c r="Z5172" s="1114"/>
      <c r="AA5172" s="1114"/>
      <c r="AB5172" s="1114"/>
      <c r="AC5172" s="1117"/>
      <c r="AD5172" s="1115"/>
      <c r="AE5172" s="1115"/>
      <c r="AF5172" s="1115"/>
      <c r="AG5172" s="1115"/>
      <c r="AH5172" s="1115"/>
      <c r="AI5172" s="1115"/>
      <c r="AJ5172" s="1117"/>
      <c r="AK5172" s="1118"/>
      <c r="AL5172" s="1115"/>
      <c r="AM5172" s="1115"/>
      <c r="AN5172" s="1115"/>
      <c r="AO5172" s="1115"/>
      <c r="AP5172" s="1115"/>
      <c r="AQ5172" s="1115"/>
      <c r="AR5172" s="1115"/>
      <c r="AS5172" s="1117"/>
      <c r="AT5172" s="1075"/>
      <c r="AU5172" s="1193"/>
      <c r="AV5172" s="330"/>
      <c r="AW5172" s="331"/>
      <c r="AX5172" s="331"/>
      <c r="AY5172" s="331"/>
      <c r="AZ5172" s="331"/>
      <c r="BA5172" s="331"/>
      <c r="BB5172" s="331"/>
      <c r="BC5172" s="331"/>
      <c r="BD5172" s="331"/>
      <c r="BE5172" s="333"/>
      <c r="BF5172" s="330"/>
      <c r="BG5172" s="333"/>
      <c r="BH5172" s="1119"/>
      <c r="BI5172" s="319"/>
      <c r="BJ5172" s="319"/>
      <c r="BK5172" s="319"/>
      <c r="BL5172" s="319"/>
      <c r="BM5172" s="319"/>
      <c r="BN5172" s="319"/>
      <c r="BO5172" s="319"/>
      <c r="BP5172" s="953"/>
      <c r="BQ5172" s="319"/>
      <c r="BR5172" s="319"/>
      <c r="BS5172" s="330"/>
      <c r="BT5172" s="331"/>
      <c r="BU5172" s="920"/>
      <c r="BV5172" s="903"/>
      <c r="BW5172" s="908"/>
      <c r="BX5172" s="908"/>
      <c r="BY5172" s="331"/>
      <c r="BZ5172" s="331"/>
      <c r="CA5172" s="462"/>
      <c r="CB5172" s="319"/>
      <c r="CC5172" s="319"/>
      <c r="CD5172" s="319"/>
      <c r="CE5172" s="319"/>
      <c r="CF5172" s="319"/>
      <c r="CG5172" s="319"/>
      <c r="CH5172" s="318"/>
      <c r="CI5172" s="319"/>
      <c r="CJ5172" s="319"/>
      <c r="CK5172" s="342"/>
      <c r="CL5172" s="333"/>
      <c r="CM5172" s="1079"/>
      <c r="CN5172" s="1005"/>
      <c r="CO5172" s="1005"/>
      <c r="CP5172" s="1005"/>
    </row>
    <row r="5173">
      <c r="A5173" s="1257"/>
      <c r="B5173" s="1113"/>
      <c r="C5173" s="1107"/>
      <c r="D5173" s="103"/>
      <c r="E5173" s="1137"/>
      <c r="F5173" s="112"/>
      <c r="G5173" s="1110"/>
      <c r="H5173" s="1138"/>
      <c r="I5173" s="1138"/>
      <c r="J5173" s="1139"/>
      <c r="K5173" s="1111"/>
      <c r="L5173" s="1112"/>
      <c r="M5173" s="1113"/>
      <c r="N5173" s="110"/>
      <c r="O5173" s="1140"/>
      <c r="P5173" s="1115"/>
      <c r="Q5173" s="1116"/>
      <c r="R5173" s="1141"/>
      <c r="S5173" s="1113"/>
      <c r="T5173" s="1143"/>
      <c r="U5173" s="1108"/>
      <c r="V5173" s="1108"/>
      <c r="W5173" s="1108"/>
      <c r="X5173" s="1108"/>
      <c r="Y5173" s="1108"/>
      <c r="Z5173" s="1114"/>
      <c r="AA5173" s="1114"/>
      <c r="AB5173" s="1114"/>
      <c r="AC5173" s="1117"/>
      <c r="AD5173" s="1115"/>
      <c r="AE5173" s="1115"/>
      <c r="AF5173" s="1115"/>
      <c r="AG5173" s="1115"/>
      <c r="AH5173" s="1115"/>
      <c r="AI5173" s="1115"/>
      <c r="AJ5173" s="1117"/>
      <c r="AK5173" s="1118"/>
      <c r="AL5173" s="1115"/>
      <c r="AM5173" s="1115"/>
      <c r="AN5173" s="1115"/>
      <c r="AO5173" s="1115"/>
      <c r="AP5173" s="1115"/>
      <c r="AQ5173" s="1115"/>
      <c r="AR5173" s="1115"/>
      <c r="AS5173" s="1117"/>
      <c r="AT5173" s="1075"/>
      <c r="AU5173" s="1193"/>
      <c r="AV5173" s="330"/>
      <c r="AW5173" s="331"/>
      <c r="AX5173" s="331"/>
      <c r="AY5173" s="331"/>
      <c r="AZ5173" s="331"/>
      <c r="BA5173" s="331"/>
      <c r="BB5173" s="331"/>
      <c r="BC5173" s="331"/>
      <c r="BD5173" s="331"/>
      <c r="BE5173" s="333"/>
      <c r="BF5173" s="330"/>
      <c r="BG5173" s="333"/>
      <c r="BH5173" s="1119"/>
      <c r="BI5173" s="319"/>
      <c r="BJ5173" s="319"/>
      <c r="BK5173" s="319"/>
      <c r="BL5173" s="319"/>
      <c r="BM5173" s="319"/>
      <c r="BN5173" s="319"/>
      <c r="BO5173" s="319"/>
      <c r="BP5173" s="953"/>
      <c r="BQ5173" s="319"/>
      <c r="BR5173" s="319"/>
      <c r="BS5173" s="330"/>
      <c r="BT5173" s="331"/>
      <c r="BU5173" s="920"/>
      <c r="BV5173" s="903"/>
      <c r="BW5173" s="908"/>
      <c r="BX5173" s="908"/>
      <c r="BY5173" s="331"/>
      <c r="BZ5173" s="331"/>
      <c r="CA5173" s="462"/>
      <c r="CB5173" s="319"/>
      <c r="CC5173" s="319"/>
      <c r="CD5173" s="319"/>
      <c r="CE5173" s="319"/>
      <c r="CF5173" s="319"/>
      <c r="CG5173" s="319"/>
      <c r="CH5173" s="318"/>
      <c r="CI5173" s="319"/>
      <c r="CJ5173" s="319"/>
      <c r="CK5173" s="342"/>
      <c r="CL5173" s="333"/>
      <c r="CM5173" s="1079"/>
      <c r="CN5173" s="1005"/>
      <c r="CO5173" s="1005"/>
      <c r="CP5173" s="1005"/>
    </row>
    <row r="5174">
      <c r="A5174" s="1257"/>
      <c r="B5174" s="1113"/>
      <c r="C5174" s="1107"/>
      <c r="D5174" s="103"/>
      <c r="E5174" s="1137"/>
      <c r="F5174" s="112"/>
      <c r="G5174" s="1110"/>
      <c r="H5174" s="1138"/>
      <c r="I5174" s="1138"/>
      <c r="J5174" s="1139"/>
      <c r="K5174" s="1111"/>
      <c r="L5174" s="1112"/>
      <c r="M5174" s="1113"/>
      <c r="N5174" s="110"/>
      <c r="O5174" s="1140"/>
      <c r="P5174" s="1115"/>
      <c r="Q5174" s="1116"/>
      <c r="R5174" s="1141"/>
      <c r="S5174" s="1113"/>
      <c r="T5174" s="1143"/>
      <c r="U5174" s="1108"/>
      <c r="V5174" s="1108"/>
      <c r="W5174" s="1108"/>
      <c r="X5174" s="1108"/>
      <c r="Y5174" s="1108"/>
      <c r="Z5174" s="1114"/>
      <c r="AA5174" s="1114"/>
      <c r="AB5174" s="1114"/>
      <c r="AC5174" s="1117"/>
      <c r="AD5174" s="1115"/>
      <c r="AE5174" s="1115"/>
      <c r="AF5174" s="1115"/>
      <c r="AG5174" s="1115"/>
      <c r="AH5174" s="1115"/>
      <c r="AI5174" s="1115"/>
      <c r="AJ5174" s="1117"/>
      <c r="AK5174" s="1118"/>
      <c r="AL5174" s="1115"/>
      <c r="AM5174" s="1115"/>
      <c r="AN5174" s="1115"/>
      <c r="AO5174" s="1115"/>
      <c r="AP5174" s="1115"/>
      <c r="AQ5174" s="1115"/>
      <c r="AR5174" s="1115"/>
      <c r="AS5174" s="1117"/>
      <c r="AT5174" s="1075"/>
      <c r="AU5174" s="1193"/>
      <c r="AV5174" s="330"/>
      <c r="AW5174" s="331"/>
      <c r="AX5174" s="331"/>
      <c r="AY5174" s="331"/>
      <c r="AZ5174" s="331"/>
      <c r="BA5174" s="331"/>
      <c r="BB5174" s="331"/>
      <c r="BC5174" s="331"/>
      <c r="BD5174" s="331"/>
      <c r="BE5174" s="333"/>
      <c r="BF5174" s="330"/>
      <c r="BG5174" s="333"/>
      <c r="BH5174" s="1119"/>
      <c r="BI5174" s="319"/>
      <c r="BJ5174" s="319"/>
      <c r="BK5174" s="319"/>
      <c r="BL5174" s="319"/>
      <c r="BM5174" s="319"/>
      <c r="BN5174" s="319"/>
      <c r="BO5174" s="319"/>
      <c r="BP5174" s="953"/>
      <c r="BQ5174" s="319"/>
      <c r="BR5174" s="319"/>
      <c r="BS5174" s="330"/>
      <c r="BT5174" s="331"/>
      <c r="BU5174" s="920"/>
      <c r="BV5174" s="903"/>
      <c r="BW5174" s="908"/>
      <c r="BX5174" s="908"/>
      <c r="BY5174" s="331"/>
      <c r="BZ5174" s="331"/>
      <c r="CA5174" s="462"/>
      <c r="CB5174" s="319"/>
      <c r="CC5174" s="319"/>
      <c r="CD5174" s="319"/>
      <c r="CE5174" s="319"/>
      <c r="CF5174" s="319"/>
      <c r="CG5174" s="319"/>
      <c r="CH5174" s="318"/>
      <c r="CI5174" s="319"/>
      <c r="CJ5174" s="319"/>
      <c r="CK5174" s="342"/>
      <c r="CL5174" s="333"/>
      <c r="CM5174" s="1079"/>
      <c r="CN5174" s="1005"/>
      <c r="CO5174" s="1005"/>
      <c r="CP5174" s="1005"/>
    </row>
    <row r="5175">
      <c r="A5175" s="1257"/>
      <c r="B5175" s="1113"/>
      <c r="C5175" s="1107"/>
      <c r="D5175" s="103"/>
      <c r="E5175" s="1137"/>
      <c r="F5175" s="112"/>
      <c r="G5175" s="1110"/>
      <c r="H5175" s="1138"/>
      <c r="I5175" s="1138"/>
      <c r="J5175" s="1139"/>
      <c r="K5175" s="1111"/>
      <c r="L5175" s="1112"/>
      <c r="M5175" s="1113"/>
      <c r="N5175" s="110"/>
      <c r="O5175" s="1140"/>
      <c r="P5175" s="1115"/>
      <c r="Q5175" s="1116"/>
      <c r="R5175" s="1141"/>
      <c r="S5175" s="1113"/>
      <c r="T5175" s="1143"/>
      <c r="U5175" s="1108"/>
      <c r="V5175" s="1108"/>
      <c r="W5175" s="1108"/>
      <c r="X5175" s="1108"/>
      <c r="Y5175" s="1108"/>
      <c r="Z5175" s="1114"/>
      <c r="AA5175" s="1114"/>
      <c r="AB5175" s="1114"/>
      <c r="AC5175" s="1117"/>
      <c r="AD5175" s="1115"/>
      <c r="AE5175" s="1115"/>
      <c r="AF5175" s="1115"/>
      <c r="AG5175" s="1115"/>
      <c r="AH5175" s="1115"/>
      <c r="AI5175" s="1115"/>
      <c r="AJ5175" s="1117"/>
      <c r="AK5175" s="1118"/>
      <c r="AL5175" s="1115"/>
      <c r="AM5175" s="1115"/>
      <c r="AN5175" s="1115"/>
      <c r="AO5175" s="1115"/>
      <c r="AP5175" s="1115"/>
      <c r="AQ5175" s="1115"/>
      <c r="AR5175" s="1115"/>
      <c r="AS5175" s="1117"/>
      <c r="AT5175" s="1075"/>
      <c r="AU5175" s="1193"/>
      <c r="AV5175" s="330"/>
      <c r="AW5175" s="331"/>
      <c r="AX5175" s="331"/>
      <c r="AY5175" s="331"/>
      <c r="AZ5175" s="331"/>
      <c r="BA5175" s="331"/>
      <c r="BB5175" s="331"/>
      <c r="BC5175" s="331"/>
      <c r="BD5175" s="331"/>
      <c r="BE5175" s="333"/>
      <c r="BF5175" s="330"/>
      <c r="BG5175" s="333"/>
      <c r="BH5175" s="1119"/>
      <c r="BI5175" s="319"/>
      <c r="BJ5175" s="319"/>
      <c r="BK5175" s="319"/>
      <c r="BL5175" s="319"/>
      <c r="BM5175" s="319"/>
      <c r="BN5175" s="319"/>
      <c r="BO5175" s="319"/>
      <c r="BP5175" s="953"/>
      <c r="BQ5175" s="319"/>
      <c r="BR5175" s="319"/>
      <c r="BS5175" s="330"/>
      <c r="BT5175" s="331"/>
      <c r="BU5175" s="920"/>
      <c r="BV5175" s="903"/>
      <c r="BW5175" s="908"/>
      <c r="BX5175" s="908"/>
      <c r="BY5175" s="331"/>
      <c r="BZ5175" s="331"/>
      <c r="CA5175" s="462"/>
      <c r="CB5175" s="319"/>
      <c r="CC5175" s="319"/>
      <c r="CD5175" s="319"/>
      <c r="CE5175" s="319"/>
      <c r="CF5175" s="319"/>
      <c r="CG5175" s="319"/>
      <c r="CH5175" s="318"/>
      <c r="CI5175" s="319"/>
      <c r="CJ5175" s="319"/>
      <c r="CK5175" s="342"/>
      <c r="CL5175" s="333"/>
      <c r="CM5175" s="1079"/>
      <c r="CN5175" s="1005"/>
      <c r="CO5175" s="1005"/>
      <c r="CP5175" s="1005"/>
    </row>
    <row r="5176">
      <c r="A5176" s="1257"/>
      <c r="B5176" s="1113"/>
      <c r="C5176" s="1107"/>
      <c r="D5176" s="103"/>
      <c r="E5176" s="1137"/>
      <c r="F5176" s="112"/>
      <c r="G5176" s="1110"/>
      <c r="H5176" s="1138"/>
      <c r="I5176" s="1138"/>
      <c r="J5176" s="1139"/>
      <c r="K5176" s="1111"/>
      <c r="L5176" s="1112"/>
      <c r="M5176" s="1113"/>
      <c r="N5176" s="110"/>
      <c r="O5176" s="1140"/>
      <c r="P5176" s="1115"/>
      <c r="Q5176" s="1116"/>
      <c r="R5176" s="1141"/>
      <c r="S5176" s="1113"/>
      <c r="T5176" s="1143"/>
      <c r="U5176" s="1108"/>
      <c r="V5176" s="1108"/>
      <c r="W5176" s="1108"/>
      <c r="X5176" s="1108"/>
      <c r="Y5176" s="1108"/>
      <c r="Z5176" s="1114"/>
      <c r="AA5176" s="1114"/>
      <c r="AB5176" s="1114"/>
      <c r="AC5176" s="1117"/>
      <c r="AD5176" s="1115"/>
      <c r="AE5176" s="1115"/>
      <c r="AF5176" s="1115"/>
      <c r="AG5176" s="1115"/>
      <c r="AH5176" s="1115"/>
      <c r="AI5176" s="1115"/>
      <c r="AJ5176" s="1117"/>
      <c r="AK5176" s="1118"/>
      <c r="AL5176" s="1115"/>
      <c r="AM5176" s="1115"/>
      <c r="AN5176" s="1115"/>
      <c r="AO5176" s="1115"/>
      <c r="AP5176" s="1115"/>
      <c r="AQ5176" s="1115"/>
      <c r="AR5176" s="1115"/>
      <c r="AS5176" s="1117"/>
      <c r="AT5176" s="1075"/>
      <c r="AU5176" s="1193"/>
      <c r="AV5176" s="330"/>
      <c r="AW5176" s="331"/>
      <c r="AX5176" s="331"/>
      <c r="AY5176" s="331"/>
      <c r="AZ5176" s="331"/>
      <c r="BA5176" s="331"/>
      <c r="BB5176" s="331"/>
      <c r="BC5176" s="331"/>
      <c r="BD5176" s="331"/>
      <c r="BE5176" s="333"/>
      <c r="BF5176" s="330"/>
      <c r="BG5176" s="333"/>
      <c r="BH5176" s="1119"/>
      <c r="BI5176" s="319"/>
      <c r="BJ5176" s="319"/>
      <c r="BK5176" s="319"/>
      <c r="BL5176" s="319"/>
      <c r="BM5176" s="319"/>
      <c r="BN5176" s="319"/>
      <c r="BO5176" s="319"/>
      <c r="BP5176" s="953"/>
      <c r="BQ5176" s="319"/>
      <c r="BR5176" s="319"/>
      <c r="BS5176" s="330"/>
      <c r="BT5176" s="331"/>
      <c r="BU5176" s="920"/>
      <c r="BV5176" s="903"/>
      <c r="BW5176" s="908"/>
      <c r="BX5176" s="908"/>
      <c r="BY5176" s="331"/>
      <c r="BZ5176" s="331"/>
      <c r="CA5176" s="462"/>
      <c r="CB5176" s="319"/>
      <c r="CC5176" s="319"/>
      <c r="CD5176" s="319"/>
      <c r="CE5176" s="319"/>
      <c r="CF5176" s="319"/>
      <c r="CG5176" s="319"/>
      <c r="CH5176" s="318"/>
      <c r="CI5176" s="319"/>
      <c r="CJ5176" s="319"/>
      <c r="CK5176" s="342"/>
      <c r="CL5176" s="333"/>
      <c r="CM5176" s="1079"/>
      <c r="CN5176" s="1005"/>
      <c r="CO5176" s="1005"/>
      <c r="CP5176" s="1005"/>
    </row>
    <row r="5177">
      <c r="A5177" s="1257"/>
      <c r="B5177" s="1113"/>
      <c r="C5177" s="1107"/>
      <c r="D5177" s="103"/>
      <c r="E5177" s="1137"/>
      <c r="F5177" s="112"/>
      <c r="G5177" s="1110"/>
      <c r="H5177" s="1138"/>
      <c r="I5177" s="1138"/>
      <c r="J5177" s="1139"/>
      <c r="K5177" s="1111"/>
      <c r="L5177" s="1112"/>
      <c r="M5177" s="1113"/>
      <c r="N5177" s="110"/>
      <c r="O5177" s="1140"/>
      <c r="P5177" s="1115"/>
      <c r="Q5177" s="1116"/>
      <c r="R5177" s="1141"/>
      <c r="S5177" s="1113"/>
      <c r="T5177" s="1143"/>
      <c r="U5177" s="1108"/>
      <c r="V5177" s="1108"/>
      <c r="W5177" s="1108"/>
      <c r="X5177" s="1108"/>
      <c r="Y5177" s="1108"/>
      <c r="Z5177" s="1114"/>
      <c r="AA5177" s="1114"/>
      <c r="AB5177" s="1114"/>
      <c r="AC5177" s="1117"/>
      <c r="AD5177" s="1115"/>
      <c r="AE5177" s="1115"/>
      <c r="AF5177" s="1115"/>
      <c r="AG5177" s="1115"/>
      <c r="AH5177" s="1115"/>
      <c r="AI5177" s="1115"/>
      <c r="AJ5177" s="1117"/>
      <c r="AK5177" s="1118"/>
      <c r="AL5177" s="1115"/>
      <c r="AM5177" s="1115"/>
      <c r="AN5177" s="1115"/>
      <c r="AO5177" s="1115"/>
      <c r="AP5177" s="1115"/>
      <c r="AQ5177" s="1115"/>
      <c r="AR5177" s="1115"/>
      <c r="AS5177" s="1117"/>
      <c r="AT5177" s="1075"/>
      <c r="AU5177" s="1193"/>
      <c r="AV5177" s="330"/>
      <c r="AW5177" s="331"/>
      <c r="AX5177" s="331"/>
      <c r="AY5177" s="331"/>
      <c r="AZ5177" s="331"/>
      <c r="BA5177" s="331"/>
      <c r="BB5177" s="331"/>
      <c r="BC5177" s="331"/>
      <c r="BD5177" s="331"/>
      <c r="BE5177" s="333"/>
      <c r="BF5177" s="330"/>
      <c r="BG5177" s="333"/>
      <c r="BH5177" s="1119"/>
      <c r="BI5177" s="319"/>
      <c r="BJ5177" s="319"/>
      <c r="BK5177" s="319"/>
      <c r="BL5177" s="319"/>
      <c r="BM5177" s="319"/>
      <c r="BN5177" s="319"/>
      <c r="BO5177" s="319"/>
      <c r="BP5177" s="953"/>
      <c r="BQ5177" s="319"/>
      <c r="BR5177" s="319"/>
      <c r="BS5177" s="330"/>
      <c r="BT5177" s="331"/>
      <c r="BU5177" s="920"/>
      <c r="BV5177" s="903"/>
      <c r="BW5177" s="908"/>
      <c r="BX5177" s="908"/>
      <c r="BY5177" s="331"/>
      <c r="BZ5177" s="331"/>
      <c r="CA5177" s="462"/>
      <c r="CB5177" s="319"/>
      <c r="CC5177" s="319"/>
      <c r="CD5177" s="319"/>
      <c r="CE5177" s="319"/>
      <c r="CF5177" s="319"/>
      <c r="CG5177" s="319"/>
      <c r="CH5177" s="318"/>
      <c r="CI5177" s="319"/>
      <c r="CJ5177" s="319"/>
      <c r="CK5177" s="342"/>
      <c r="CL5177" s="333"/>
      <c r="CM5177" s="1079"/>
      <c r="CN5177" s="1005"/>
      <c r="CO5177" s="1005"/>
      <c r="CP5177" s="1005"/>
    </row>
    <row r="5178">
      <c r="A5178" s="1257"/>
      <c r="B5178" s="1113"/>
      <c r="C5178" s="1107"/>
      <c r="D5178" s="103"/>
      <c r="E5178" s="1137"/>
      <c r="F5178" s="112"/>
      <c r="G5178" s="1110"/>
      <c r="H5178" s="1138"/>
      <c r="I5178" s="1138"/>
      <c r="J5178" s="1139"/>
      <c r="K5178" s="1111"/>
      <c r="L5178" s="1112"/>
      <c r="M5178" s="1113"/>
      <c r="N5178" s="110"/>
      <c r="O5178" s="1140"/>
      <c r="P5178" s="1115"/>
      <c r="Q5178" s="1116"/>
      <c r="R5178" s="1141"/>
      <c r="S5178" s="1113"/>
      <c r="T5178" s="1143"/>
      <c r="U5178" s="1108"/>
      <c r="V5178" s="1108"/>
      <c r="W5178" s="1108"/>
      <c r="X5178" s="1108"/>
      <c r="Y5178" s="1108"/>
      <c r="Z5178" s="1114"/>
      <c r="AA5178" s="1114"/>
      <c r="AB5178" s="1114"/>
      <c r="AC5178" s="1117"/>
      <c r="AD5178" s="1115"/>
      <c r="AE5178" s="1115"/>
      <c r="AF5178" s="1115"/>
      <c r="AG5178" s="1115"/>
      <c r="AH5178" s="1115"/>
      <c r="AI5178" s="1115"/>
      <c r="AJ5178" s="1117"/>
      <c r="AK5178" s="1118"/>
      <c r="AL5178" s="1115"/>
      <c r="AM5178" s="1115"/>
      <c r="AN5178" s="1115"/>
      <c r="AO5178" s="1115"/>
      <c r="AP5178" s="1115"/>
      <c r="AQ5178" s="1115"/>
      <c r="AR5178" s="1115"/>
      <c r="AS5178" s="1117"/>
      <c r="AT5178" s="1075"/>
      <c r="AU5178" s="1193"/>
      <c r="AV5178" s="330"/>
      <c r="AW5178" s="331"/>
      <c r="AX5178" s="331"/>
      <c r="AY5178" s="331"/>
      <c r="AZ5178" s="331"/>
      <c r="BA5178" s="331"/>
      <c r="BB5178" s="331"/>
      <c r="BC5178" s="331"/>
      <c r="BD5178" s="331"/>
      <c r="BE5178" s="333"/>
      <c r="BF5178" s="330"/>
      <c r="BG5178" s="333"/>
      <c r="BH5178" s="1119"/>
      <c r="BI5178" s="319"/>
      <c r="BJ5178" s="319"/>
      <c r="BK5178" s="319"/>
      <c r="BL5178" s="319"/>
      <c r="BM5178" s="319"/>
      <c r="BN5178" s="319"/>
      <c r="BO5178" s="319"/>
      <c r="BP5178" s="953"/>
      <c r="BQ5178" s="319"/>
      <c r="BR5178" s="319"/>
      <c r="BS5178" s="330"/>
      <c r="BT5178" s="331"/>
      <c r="BU5178" s="920"/>
      <c r="BV5178" s="903"/>
      <c r="BW5178" s="908"/>
      <c r="BX5178" s="908"/>
      <c r="BY5178" s="331"/>
      <c r="BZ5178" s="331"/>
      <c r="CA5178" s="462"/>
      <c r="CB5178" s="319"/>
      <c r="CC5178" s="319"/>
      <c r="CD5178" s="319"/>
      <c r="CE5178" s="319"/>
      <c r="CF5178" s="319"/>
      <c r="CG5178" s="319"/>
      <c r="CH5178" s="318"/>
      <c r="CI5178" s="319"/>
      <c r="CJ5178" s="319"/>
      <c r="CK5178" s="342"/>
      <c r="CL5178" s="333"/>
      <c r="CM5178" s="1079"/>
      <c r="CN5178" s="1005"/>
      <c r="CO5178" s="1005"/>
      <c r="CP5178" s="1005"/>
    </row>
    <row r="5179">
      <c r="A5179" s="1257"/>
      <c r="B5179" s="1113"/>
      <c r="C5179" s="1107"/>
      <c r="D5179" s="103"/>
      <c r="E5179" s="1137"/>
      <c r="F5179" s="112"/>
      <c r="G5179" s="1110"/>
      <c r="H5179" s="1138"/>
      <c r="I5179" s="1138"/>
      <c r="J5179" s="1139"/>
      <c r="K5179" s="1111"/>
      <c r="L5179" s="1112"/>
      <c r="M5179" s="1113"/>
      <c r="N5179" s="110"/>
      <c r="O5179" s="1140"/>
      <c r="P5179" s="1115"/>
      <c r="Q5179" s="1116"/>
      <c r="R5179" s="1141"/>
      <c r="S5179" s="1113"/>
      <c r="T5179" s="1143"/>
      <c r="U5179" s="1108"/>
      <c r="V5179" s="1108"/>
      <c r="W5179" s="1108"/>
      <c r="X5179" s="1108"/>
      <c r="Y5179" s="1108"/>
      <c r="Z5179" s="1114"/>
      <c r="AA5179" s="1114"/>
      <c r="AB5179" s="1114"/>
      <c r="AC5179" s="1117"/>
      <c r="AD5179" s="1115"/>
      <c r="AE5179" s="1115"/>
      <c r="AF5179" s="1115"/>
      <c r="AG5179" s="1115"/>
      <c r="AH5179" s="1115"/>
      <c r="AI5179" s="1115"/>
      <c r="AJ5179" s="1117"/>
      <c r="AK5179" s="1118"/>
      <c r="AL5179" s="1115"/>
      <c r="AM5179" s="1115"/>
      <c r="AN5179" s="1115"/>
      <c r="AO5179" s="1115"/>
      <c r="AP5179" s="1115"/>
      <c r="AQ5179" s="1115"/>
      <c r="AR5179" s="1115"/>
      <c r="AS5179" s="1117"/>
      <c r="AT5179" s="1075"/>
      <c r="AU5179" s="1193"/>
      <c r="AV5179" s="330"/>
      <c r="AW5179" s="331"/>
      <c r="AX5179" s="331"/>
      <c r="AY5179" s="331"/>
      <c r="AZ5179" s="331"/>
      <c r="BA5179" s="331"/>
      <c r="BB5179" s="331"/>
      <c r="BC5179" s="331"/>
      <c r="BD5179" s="331"/>
      <c r="BE5179" s="333"/>
      <c r="BF5179" s="330"/>
      <c r="BG5179" s="333"/>
      <c r="BH5179" s="1119"/>
      <c r="BI5179" s="319"/>
      <c r="BJ5179" s="319"/>
      <c r="BK5179" s="319"/>
      <c r="BL5179" s="319"/>
      <c r="BM5179" s="319"/>
      <c r="BN5179" s="319"/>
      <c r="BO5179" s="319"/>
      <c r="BP5179" s="953"/>
      <c r="BQ5179" s="319"/>
      <c r="BR5179" s="319"/>
      <c r="BS5179" s="330"/>
      <c r="BT5179" s="331"/>
      <c r="BU5179" s="920"/>
      <c r="BV5179" s="903"/>
      <c r="BW5179" s="908"/>
      <c r="BX5179" s="908"/>
      <c r="BY5179" s="331"/>
      <c r="BZ5179" s="331"/>
      <c r="CA5179" s="462"/>
      <c r="CB5179" s="319"/>
      <c r="CC5179" s="319"/>
      <c r="CD5179" s="319"/>
      <c r="CE5179" s="319"/>
      <c r="CF5179" s="319"/>
      <c r="CG5179" s="319"/>
      <c r="CH5179" s="318"/>
      <c r="CI5179" s="319"/>
      <c r="CJ5179" s="319"/>
      <c r="CK5179" s="342"/>
      <c r="CL5179" s="333"/>
      <c r="CM5179" s="1079"/>
      <c r="CN5179" s="1005"/>
      <c r="CO5179" s="1005"/>
      <c r="CP5179" s="1005"/>
    </row>
    <row r="5180">
      <c r="A5180" s="1257"/>
      <c r="B5180" s="1113"/>
      <c r="C5180" s="1107"/>
      <c r="D5180" s="103"/>
      <c r="E5180" s="1137"/>
      <c r="F5180" s="112"/>
      <c r="G5180" s="1110"/>
      <c r="H5180" s="1138"/>
      <c r="I5180" s="1138"/>
      <c r="J5180" s="1139"/>
      <c r="K5180" s="1111"/>
      <c r="L5180" s="1112"/>
      <c r="M5180" s="1113"/>
      <c r="N5180" s="110"/>
      <c r="O5180" s="1140"/>
      <c r="P5180" s="1115"/>
      <c r="Q5180" s="1116"/>
      <c r="R5180" s="1141"/>
      <c r="S5180" s="1113"/>
      <c r="T5180" s="1143"/>
      <c r="U5180" s="1108"/>
      <c r="V5180" s="1108"/>
      <c r="W5180" s="1108"/>
      <c r="X5180" s="1108"/>
      <c r="Y5180" s="1108"/>
      <c r="Z5180" s="1114"/>
      <c r="AA5180" s="1114"/>
      <c r="AB5180" s="1114"/>
      <c r="AC5180" s="1117"/>
      <c r="AD5180" s="1115"/>
      <c r="AE5180" s="1115"/>
      <c r="AF5180" s="1115"/>
      <c r="AG5180" s="1115"/>
      <c r="AH5180" s="1115"/>
      <c r="AI5180" s="1115"/>
      <c r="AJ5180" s="1117"/>
      <c r="AK5180" s="1118"/>
      <c r="AL5180" s="1115"/>
      <c r="AM5180" s="1115"/>
      <c r="AN5180" s="1115"/>
      <c r="AO5180" s="1115"/>
      <c r="AP5180" s="1115"/>
      <c r="AQ5180" s="1115"/>
      <c r="AR5180" s="1115"/>
      <c r="AS5180" s="1117"/>
      <c r="AT5180" s="1075"/>
      <c r="AU5180" s="1193"/>
      <c r="AV5180" s="330"/>
      <c r="AW5180" s="331"/>
      <c r="AX5180" s="331"/>
      <c r="AY5180" s="331"/>
      <c r="AZ5180" s="331"/>
      <c r="BA5180" s="331"/>
      <c r="BB5180" s="331"/>
      <c r="BC5180" s="331"/>
      <c r="BD5180" s="331"/>
      <c r="BE5180" s="333"/>
      <c r="BF5180" s="330"/>
      <c r="BG5180" s="333"/>
      <c r="BH5180" s="1119"/>
      <c r="BI5180" s="319"/>
      <c r="BJ5180" s="319"/>
      <c r="BK5180" s="319"/>
      <c r="BL5180" s="319"/>
      <c r="BM5180" s="319"/>
      <c r="BN5180" s="319"/>
      <c r="BO5180" s="319"/>
      <c r="BP5180" s="953"/>
      <c r="BQ5180" s="319"/>
      <c r="BR5180" s="319"/>
      <c r="BS5180" s="330"/>
      <c r="BT5180" s="331"/>
      <c r="BU5180" s="920"/>
      <c r="BV5180" s="903"/>
      <c r="BW5180" s="908"/>
      <c r="BX5180" s="908"/>
      <c r="BY5180" s="331"/>
      <c r="BZ5180" s="331"/>
      <c r="CA5180" s="462"/>
      <c r="CB5180" s="319"/>
      <c r="CC5180" s="319"/>
      <c r="CD5180" s="319"/>
      <c r="CE5180" s="319"/>
      <c r="CF5180" s="319"/>
      <c r="CG5180" s="319"/>
      <c r="CH5180" s="318"/>
      <c r="CI5180" s="319"/>
      <c r="CJ5180" s="319"/>
      <c r="CK5180" s="342"/>
      <c r="CL5180" s="333"/>
      <c r="CM5180" s="1079"/>
      <c r="CN5180" s="1005"/>
      <c r="CO5180" s="1005"/>
      <c r="CP5180" s="1005"/>
    </row>
    <row r="5181">
      <c r="A5181" s="1257"/>
      <c r="B5181" s="1113"/>
      <c r="C5181" s="1107"/>
      <c r="D5181" s="103"/>
      <c r="E5181" s="1137"/>
      <c r="F5181" s="112"/>
      <c r="G5181" s="1110"/>
      <c r="H5181" s="1138"/>
      <c r="I5181" s="1138"/>
      <c r="J5181" s="1139"/>
      <c r="K5181" s="1111"/>
      <c r="L5181" s="1112"/>
      <c r="M5181" s="1113"/>
      <c r="N5181" s="110"/>
      <c r="O5181" s="1140"/>
      <c r="P5181" s="1115"/>
      <c r="Q5181" s="1116"/>
      <c r="R5181" s="1141"/>
      <c r="S5181" s="1113"/>
      <c r="T5181" s="1143"/>
      <c r="U5181" s="1108"/>
      <c r="V5181" s="1108"/>
      <c r="W5181" s="1108"/>
      <c r="X5181" s="1108"/>
      <c r="Y5181" s="1108"/>
      <c r="Z5181" s="1114"/>
      <c r="AA5181" s="1114"/>
      <c r="AB5181" s="1114"/>
      <c r="AC5181" s="1117"/>
      <c r="AD5181" s="1115"/>
      <c r="AE5181" s="1115"/>
      <c r="AF5181" s="1115"/>
      <c r="AG5181" s="1115"/>
      <c r="AH5181" s="1115"/>
      <c r="AI5181" s="1115"/>
      <c r="AJ5181" s="1117"/>
      <c r="AK5181" s="1118"/>
      <c r="AL5181" s="1115"/>
      <c r="AM5181" s="1115"/>
      <c r="AN5181" s="1115"/>
      <c r="AO5181" s="1115"/>
      <c r="AP5181" s="1115"/>
      <c r="AQ5181" s="1115"/>
      <c r="AR5181" s="1115"/>
      <c r="AS5181" s="1117"/>
      <c r="AT5181" s="1075"/>
      <c r="AU5181" s="1193"/>
      <c r="AV5181" s="330"/>
      <c r="AW5181" s="331"/>
      <c r="AX5181" s="331"/>
      <c r="AY5181" s="331"/>
      <c r="AZ5181" s="331"/>
      <c r="BA5181" s="331"/>
      <c r="BB5181" s="331"/>
      <c r="BC5181" s="331"/>
      <c r="BD5181" s="331"/>
      <c r="BE5181" s="333"/>
      <c r="BF5181" s="330"/>
      <c r="BG5181" s="333"/>
      <c r="BH5181" s="1119"/>
      <c r="BI5181" s="319"/>
      <c r="BJ5181" s="319"/>
      <c r="BK5181" s="319"/>
      <c r="BL5181" s="319"/>
      <c r="BM5181" s="319"/>
      <c r="BN5181" s="319"/>
      <c r="BO5181" s="319"/>
      <c r="BP5181" s="953"/>
      <c r="BQ5181" s="319"/>
      <c r="BR5181" s="319"/>
      <c r="BS5181" s="330"/>
      <c r="BT5181" s="331"/>
      <c r="BU5181" s="920"/>
      <c r="BV5181" s="903"/>
      <c r="BW5181" s="908"/>
      <c r="BX5181" s="908"/>
      <c r="BY5181" s="331"/>
      <c r="BZ5181" s="331"/>
      <c r="CA5181" s="462"/>
      <c r="CB5181" s="319"/>
      <c r="CC5181" s="319"/>
      <c r="CD5181" s="319"/>
      <c r="CE5181" s="319"/>
      <c r="CF5181" s="319"/>
      <c r="CG5181" s="319"/>
      <c r="CH5181" s="318"/>
      <c r="CI5181" s="319"/>
      <c r="CJ5181" s="319"/>
      <c r="CK5181" s="342"/>
      <c r="CL5181" s="333"/>
      <c r="CM5181" s="1079"/>
      <c r="CN5181" s="1005"/>
      <c r="CO5181" s="1005"/>
      <c r="CP5181" s="1005"/>
    </row>
    <row r="5182">
      <c r="A5182" s="1257"/>
      <c r="B5182" s="1113"/>
      <c r="C5182" s="1107"/>
      <c r="D5182" s="103"/>
      <c r="E5182" s="1137"/>
      <c r="F5182" s="112"/>
      <c r="G5182" s="1110"/>
      <c r="H5182" s="1138"/>
      <c r="I5182" s="1138"/>
      <c r="J5182" s="1139"/>
      <c r="K5182" s="1111"/>
      <c r="L5182" s="1112"/>
      <c r="M5182" s="1113"/>
      <c r="N5182" s="110"/>
      <c r="O5182" s="1140"/>
      <c r="P5182" s="1115"/>
      <c r="Q5182" s="1116"/>
      <c r="R5182" s="1141"/>
      <c r="S5182" s="1113"/>
      <c r="T5182" s="1143"/>
      <c r="U5182" s="1108"/>
      <c r="V5182" s="1108"/>
      <c r="W5182" s="1108"/>
      <c r="X5182" s="1108"/>
      <c r="Y5182" s="1108"/>
      <c r="Z5182" s="1114"/>
      <c r="AA5182" s="1114"/>
      <c r="AB5182" s="1114"/>
      <c r="AC5182" s="1117"/>
      <c r="AD5182" s="1115"/>
      <c r="AE5182" s="1115"/>
      <c r="AF5182" s="1115"/>
      <c r="AG5182" s="1115"/>
      <c r="AH5182" s="1115"/>
      <c r="AI5182" s="1115"/>
      <c r="AJ5182" s="1117"/>
      <c r="AK5182" s="1118"/>
      <c r="AL5182" s="1115"/>
      <c r="AM5182" s="1115"/>
      <c r="AN5182" s="1115"/>
      <c r="AO5182" s="1115"/>
      <c r="AP5182" s="1115"/>
      <c r="AQ5182" s="1115"/>
      <c r="AR5182" s="1115"/>
      <c r="AS5182" s="1117"/>
      <c r="AT5182" s="1075"/>
      <c r="AU5182" s="1193"/>
      <c r="AV5182" s="330"/>
      <c r="AW5182" s="331"/>
      <c r="AX5182" s="331"/>
      <c r="AY5182" s="331"/>
      <c r="AZ5182" s="331"/>
      <c r="BA5182" s="331"/>
      <c r="BB5182" s="331"/>
      <c r="BC5182" s="331"/>
      <c r="BD5182" s="331"/>
      <c r="BE5182" s="333"/>
      <c r="BF5182" s="330"/>
      <c r="BG5182" s="333"/>
      <c r="BH5182" s="1119"/>
      <c r="BI5182" s="319"/>
      <c r="BJ5182" s="319"/>
      <c r="BK5182" s="319"/>
      <c r="BL5182" s="319"/>
      <c r="BM5182" s="319"/>
      <c r="BN5182" s="319"/>
      <c r="BO5182" s="319"/>
      <c r="BP5182" s="953"/>
      <c r="BQ5182" s="319"/>
      <c r="BR5182" s="319"/>
      <c r="BS5182" s="330"/>
      <c r="BT5182" s="331"/>
      <c r="BU5182" s="920"/>
      <c r="BV5182" s="903"/>
      <c r="BW5182" s="908"/>
      <c r="BX5182" s="908"/>
      <c r="BY5182" s="331"/>
      <c r="BZ5182" s="331"/>
      <c r="CA5182" s="462"/>
      <c r="CB5182" s="319"/>
      <c r="CC5182" s="319"/>
      <c r="CD5182" s="319"/>
      <c r="CE5182" s="319"/>
      <c r="CF5182" s="319"/>
      <c r="CG5182" s="319"/>
      <c r="CH5182" s="318"/>
      <c r="CI5182" s="319"/>
      <c r="CJ5182" s="319"/>
      <c r="CK5182" s="342"/>
      <c r="CL5182" s="333"/>
      <c r="CM5182" s="1079"/>
      <c r="CN5182" s="1005"/>
      <c r="CO5182" s="1005"/>
      <c r="CP5182" s="1005"/>
    </row>
    <row r="5183">
      <c r="A5183" s="1257"/>
      <c r="B5183" s="1113"/>
      <c r="C5183" s="1107"/>
      <c r="D5183" s="103"/>
      <c r="E5183" s="1137"/>
      <c r="F5183" s="112"/>
      <c r="G5183" s="1110"/>
      <c r="H5183" s="1138"/>
      <c r="I5183" s="1138"/>
      <c r="J5183" s="1139"/>
      <c r="K5183" s="1111"/>
      <c r="L5183" s="1112"/>
      <c r="M5183" s="1113"/>
      <c r="N5183" s="110"/>
      <c r="O5183" s="1140"/>
      <c r="P5183" s="1115"/>
      <c r="Q5183" s="1116"/>
      <c r="R5183" s="1141"/>
      <c r="S5183" s="1113"/>
      <c r="T5183" s="1143"/>
      <c r="U5183" s="1108"/>
      <c r="V5183" s="1108"/>
      <c r="W5183" s="1108"/>
      <c r="X5183" s="1108"/>
      <c r="Y5183" s="1108"/>
      <c r="Z5183" s="1114"/>
      <c r="AA5183" s="1114"/>
      <c r="AB5183" s="1114"/>
      <c r="AC5183" s="1117"/>
      <c r="AD5183" s="1115"/>
      <c r="AE5183" s="1115"/>
      <c r="AF5183" s="1115"/>
      <c r="AG5183" s="1115"/>
      <c r="AH5183" s="1115"/>
      <c r="AI5183" s="1115"/>
      <c r="AJ5183" s="1117"/>
      <c r="AK5183" s="1118"/>
      <c r="AL5183" s="1115"/>
      <c r="AM5183" s="1115"/>
      <c r="AN5183" s="1115"/>
      <c r="AO5183" s="1115"/>
      <c r="AP5183" s="1115"/>
      <c r="AQ5183" s="1115"/>
      <c r="AR5183" s="1115"/>
      <c r="AS5183" s="1117"/>
      <c r="AT5183" s="1075"/>
      <c r="AU5183" s="1193"/>
      <c r="AV5183" s="330"/>
      <c r="AW5183" s="331"/>
      <c r="AX5183" s="331"/>
      <c r="AY5183" s="331"/>
      <c r="AZ5183" s="331"/>
      <c r="BA5183" s="331"/>
      <c r="BB5183" s="331"/>
      <c r="BC5183" s="331"/>
      <c r="BD5183" s="331"/>
      <c r="BE5183" s="333"/>
      <c r="BF5183" s="330"/>
      <c r="BG5183" s="333"/>
      <c r="BH5183" s="1119"/>
      <c r="BI5183" s="319"/>
      <c r="BJ5183" s="319"/>
      <c r="BK5183" s="319"/>
      <c r="BL5183" s="319"/>
      <c r="BM5183" s="319"/>
      <c r="BN5183" s="319"/>
      <c r="BO5183" s="319"/>
      <c r="BP5183" s="953"/>
      <c r="BQ5183" s="319"/>
      <c r="BR5183" s="319"/>
      <c r="BS5183" s="330"/>
      <c r="BT5183" s="331"/>
      <c r="BU5183" s="920"/>
      <c r="BV5183" s="903"/>
      <c r="BW5183" s="908"/>
      <c r="BX5183" s="908"/>
      <c r="BY5183" s="331"/>
      <c r="BZ5183" s="331"/>
      <c r="CA5183" s="462"/>
      <c r="CB5183" s="319"/>
      <c r="CC5183" s="319"/>
      <c r="CD5183" s="319"/>
      <c r="CE5183" s="319"/>
      <c r="CF5183" s="319"/>
      <c r="CG5183" s="319"/>
      <c r="CH5183" s="318"/>
      <c r="CI5183" s="319"/>
      <c r="CJ5183" s="319"/>
      <c r="CK5183" s="342"/>
      <c r="CL5183" s="333"/>
      <c r="CM5183" s="1079"/>
      <c r="CN5183" s="1005"/>
      <c r="CO5183" s="1005"/>
      <c r="CP5183" s="1005"/>
    </row>
    <row r="5184">
      <c r="A5184" s="1257"/>
      <c r="B5184" s="1113"/>
      <c r="C5184" s="1107"/>
      <c r="D5184" s="103"/>
      <c r="E5184" s="1137"/>
      <c r="F5184" s="112"/>
      <c r="G5184" s="1110"/>
      <c r="H5184" s="1138"/>
      <c r="I5184" s="1138"/>
      <c r="J5184" s="1139"/>
      <c r="K5184" s="1111"/>
      <c r="L5184" s="1112"/>
      <c r="M5184" s="1113"/>
      <c r="N5184" s="110"/>
      <c r="O5184" s="1140"/>
      <c r="P5184" s="1115"/>
      <c r="Q5184" s="1116"/>
      <c r="R5184" s="1141"/>
      <c r="S5184" s="1113"/>
      <c r="T5184" s="1143"/>
      <c r="U5184" s="1108"/>
      <c r="V5184" s="1108"/>
      <c r="W5184" s="1108"/>
      <c r="X5184" s="1108"/>
      <c r="Y5184" s="1108"/>
      <c r="Z5184" s="1114"/>
      <c r="AA5184" s="1114"/>
      <c r="AB5184" s="1114"/>
      <c r="AC5184" s="1117"/>
      <c r="AD5184" s="1115"/>
      <c r="AE5184" s="1115"/>
      <c r="AF5184" s="1115"/>
      <c r="AG5184" s="1115"/>
      <c r="AH5184" s="1115"/>
      <c r="AI5184" s="1115"/>
      <c r="AJ5184" s="1117"/>
      <c r="AK5184" s="1118"/>
      <c r="AL5184" s="1115"/>
      <c r="AM5184" s="1115"/>
      <c r="AN5184" s="1115"/>
      <c r="AO5184" s="1115"/>
      <c r="AP5184" s="1115"/>
      <c r="AQ5184" s="1115"/>
      <c r="AR5184" s="1115"/>
      <c r="AS5184" s="1117"/>
      <c r="AT5184" s="1075"/>
      <c r="AU5184" s="1193"/>
      <c r="AV5184" s="330"/>
      <c r="AW5184" s="331"/>
      <c r="AX5184" s="331"/>
      <c r="AY5184" s="331"/>
      <c r="AZ5184" s="331"/>
      <c r="BA5184" s="331"/>
      <c r="BB5184" s="331"/>
      <c r="BC5184" s="331"/>
      <c r="BD5184" s="331"/>
      <c r="BE5184" s="333"/>
      <c r="BF5184" s="330"/>
      <c r="BG5184" s="333"/>
      <c r="BH5184" s="1119"/>
      <c r="BI5184" s="319"/>
      <c r="BJ5184" s="319"/>
      <c r="BK5184" s="319"/>
      <c r="BL5184" s="319"/>
      <c r="BM5184" s="319"/>
      <c r="BN5184" s="319"/>
      <c r="BO5184" s="319"/>
      <c r="BP5184" s="953"/>
      <c r="BQ5184" s="319"/>
      <c r="BR5184" s="319"/>
      <c r="BS5184" s="330"/>
      <c r="BT5184" s="331"/>
      <c r="BU5184" s="920"/>
      <c r="BV5184" s="903"/>
      <c r="BW5184" s="908"/>
      <c r="BX5184" s="908"/>
      <c r="BY5184" s="331"/>
      <c r="BZ5184" s="331"/>
      <c r="CA5184" s="462"/>
      <c r="CB5184" s="319"/>
      <c r="CC5184" s="319"/>
      <c r="CD5184" s="319"/>
      <c r="CE5184" s="319"/>
      <c r="CF5184" s="319"/>
      <c r="CG5184" s="319"/>
      <c r="CH5184" s="318"/>
      <c r="CI5184" s="319"/>
      <c r="CJ5184" s="319"/>
      <c r="CK5184" s="342"/>
      <c r="CL5184" s="333"/>
      <c r="CM5184" s="1079"/>
      <c r="CN5184" s="1005"/>
      <c r="CO5184" s="1005"/>
      <c r="CP5184" s="1005"/>
    </row>
    <row r="5185">
      <c r="A5185" s="1257"/>
      <c r="B5185" s="1113"/>
      <c r="C5185" s="1107"/>
      <c r="D5185" s="103"/>
      <c r="E5185" s="1137"/>
      <c r="F5185" s="112"/>
      <c r="G5185" s="1110"/>
      <c r="H5185" s="1138"/>
      <c r="I5185" s="1138"/>
      <c r="J5185" s="1139"/>
      <c r="K5185" s="1111"/>
      <c r="L5185" s="1112"/>
      <c r="M5185" s="1113"/>
      <c r="N5185" s="110"/>
      <c r="O5185" s="1140"/>
      <c r="P5185" s="1115"/>
      <c r="Q5185" s="1116"/>
      <c r="R5185" s="1141"/>
      <c r="S5185" s="1113"/>
      <c r="T5185" s="1143"/>
      <c r="U5185" s="1108"/>
      <c r="V5185" s="1108"/>
      <c r="W5185" s="1108"/>
      <c r="X5185" s="1108"/>
      <c r="Y5185" s="1108"/>
      <c r="Z5185" s="1114"/>
      <c r="AA5185" s="1114"/>
      <c r="AB5185" s="1114"/>
      <c r="AC5185" s="1117"/>
      <c r="AD5185" s="1115"/>
      <c r="AE5185" s="1115"/>
      <c r="AF5185" s="1115"/>
      <c r="AG5185" s="1115"/>
      <c r="AH5185" s="1115"/>
      <c r="AI5185" s="1115"/>
      <c r="AJ5185" s="1117"/>
      <c r="AK5185" s="1118"/>
      <c r="AL5185" s="1115"/>
      <c r="AM5185" s="1115"/>
      <c r="AN5185" s="1115"/>
      <c r="AO5185" s="1115"/>
      <c r="AP5185" s="1115"/>
      <c r="AQ5185" s="1115"/>
      <c r="AR5185" s="1115"/>
      <c r="AS5185" s="1117"/>
      <c r="AT5185" s="1075"/>
      <c r="AU5185" s="1193"/>
      <c r="AV5185" s="330"/>
      <c r="AW5185" s="331"/>
      <c r="AX5185" s="331"/>
      <c r="AY5185" s="331"/>
      <c r="AZ5185" s="331"/>
      <c r="BA5185" s="331"/>
      <c r="BB5185" s="331"/>
      <c r="BC5185" s="331"/>
      <c r="BD5185" s="331"/>
      <c r="BE5185" s="333"/>
      <c r="BF5185" s="330"/>
      <c r="BG5185" s="333"/>
      <c r="BH5185" s="1119"/>
      <c r="BI5185" s="319"/>
      <c r="BJ5185" s="319"/>
      <c r="BK5185" s="319"/>
      <c r="BL5185" s="319"/>
      <c r="BM5185" s="319"/>
      <c r="BN5185" s="319"/>
      <c r="BO5185" s="319"/>
      <c r="BP5185" s="953"/>
      <c r="BQ5185" s="319"/>
      <c r="BR5185" s="319"/>
      <c r="BS5185" s="330"/>
      <c r="BT5185" s="331"/>
      <c r="BU5185" s="920"/>
      <c r="BV5185" s="903"/>
      <c r="BW5185" s="908"/>
      <c r="BX5185" s="908"/>
      <c r="BY5185" s="331"/>
      <c r="BZ5185" s="331"/>
      <c r="CA5185" s="462"/>
      <c r="CB5185" s="319"/>
      <c r="CC5185" s="319"/>
      <c r="CD5185" s="319"/>
      <c r="CE5185" s="319"/>
      <c r="CF5185" s="319"/>
      <c r="CG5185" s="319"/>
      <c r="CH5185" s="318"/>
      <c r="CI5185" s="319"/>
      <c r="CJ5185" s="319"/>
      <c r="CK5185" s="342"/>
      <c r="CL5185" s="333"/>
      <c r="CM5185" s="1079"/>
      <c r="CN5185" s="1005"/>
      <c r="CO5185" s="1005"/>
      <c r="CP5185" s="1005"/>
    </row>
    <row r="5186">
      <c r="A5186" s="1257"/>
      <c r="B5186" s="1113"/>
      <c r="C5186" s="1107"/>
      <c r="D5186" s="103"/>
      <c r="E5186" s="1137"/>
      <c r="F5186" s="112"/>
      <c r="G5186" s="1110"/>
      <c r="H5186" s="1138"/>
      <c r="I5186" s="1138"/>
      <c r="J5186" s="1139"/>
      <c r="K5186" s="1111"/>
      <c r="L5186" s="1112"/>
      <c r="M5186" s="1113"/>
      <c r="N5186" s="110"/>
      <c r="O5186" s="1140"/>
      <c r="P5186" s="1115"/>
      <c r="Q5186" s="1116"/>
      <c r="R5186" s="1141"/>
      <c r="S5186" s="1113"/>
      <c r="T5186" s="1143"/>
      <c r="U5186" s="1108"/>
      <c r="V5186" s="1108"/>
      <c r="W5186" s="1108"/>
      <c r="X5186" s="1108"/>
      <c r="Y5186" s="1108"/>
      <c r="Z5186" s="1114"/>
      <c r="AA5186" s="1114"/>
      <c r="AB5186" s="1114"/>
      <c r="AC5186" s="1117"/>
      <c r="AD5186" s="1115"/>
      <c r="AE5186" s="1115"/>
      <c r="AF5186" s="1115"/>
      <c r="AG5186" s="1115"/>
      <c r="AH5186" s="1115"/>
      <c r="AI5186" s="1115"/>
      <c r="AJ5186" s="1117"/>
      <c r="AK5186" s="1118"/>
      <c r="AL5186" s="1115"/>
      <c r="AM5186" s="1115"/>
      <c r="AN5186" s="1115"/>
      <c r="AO5186" s="1115"/>
      <c r="AP5186" s="1115"/>
      <c r="AQ5186" s="1115"/>
      <c r="AR5186" s="1115"/>
      <c r="AS5186" s="1117"/>
      <c r="AT5186" s="1075"/>
      <c r="AU5186" s="1193"/>
      <c r="AV5186" s="330"/>
      <c r="AW5186" s="331"/>
      <c r="AX5186" s="331"/>
      <c r="AY5186" s="331"/>
      <c r="AZ5186" s="331"/>
      <c r="BA5186" s="331"/>
      <c r="BB5186" s="331"/>
      <c r="BC5186" s="331"/>
      <c r="BD5186" s="331"/>
      <c r="BE5186" s="333"/>
      <c r="BF5186" s="330"/>
      <c r="BG5186" s="333"/>
      <c r="BH5186" s="1119"/>
      <c r="BI5186" s="319"/>
      <c r="BJ5186" s="319"/>
      <c r="BK5186" s="319"/>
      <c r="BL5186" s="319"/>
      <c r="BM5186" s="319"/>
      <c r="BN5186" s="319"/>
      <c r="BO5186" s="319"/>
      <c r="BP5186" s="953"/>
      <c r="BQ5186" s="319"/>
      <c r="BR5186" s="319"/>
      <c r="BS5186" s="330"/>
      <c r="BT5186" s="331"/>
      <c r="BU5186" s="920"/>
      <c r="BV5186" s="903"/>
      <c r="BW5186" s="908"/>
      <c r="BX5186" s="908"/>
      <c r="BY5186" s="331"/>
      <c r="BZ5186" s="331"/>
      <c r="CA5186" s="462"/>
      <c r="CB5186" s="319"/>
      <c r="CC5186" s="319"/>
      <c r="CD5186" s="319"/>
      <c r="CE5186" s="319"/>
      <c r="CF5186" s="319"/>
      <c r="CG5186" s="319"/>
      <c r="CH5186" s="318"/>
      <c r="CI5186" s="319"/>
      <c r="CJ5186" s="319"/>
      <c r="CK5186" s="342"/>
      <c r="CL5186" s="333"/>
      <c r="CM5186" s="1079"/>
      <c r="CN5186" s="1005"/>
      <c r="CO5186" s="1005"/>
      <c r="CP5186" s="1005"/>
    </row>
    <row r="5187">
      <c r="A5187" s="1257"/>
      <c r="B5187" s="1113"/>
      <c r="C5187" s="1107"/>
      <c r="D5187" s="103"/>
      <c r="E5187" s="1137"/>
      <c r="F5187" s="112"/>
      <c r="G5187" s="1110"/>
      <c r="H5187" s="1138"/>
      <c r="I5187" s="1138"/>
      <c r="J5187" s="1139"/>
      <c r="K5187" s="1111"/>
      <c r="L5187" s="1112"/>
      <c r="M5187" s="1113"/>
      <c r="N5187" s="110"/>
      <c r="O5187" s="1140"/>
      <c r="P5187" s="1115"/>
      <c r="Q5187" s="1116"/>
      <c r="R5187" s="1141"/>
      <c r="S5187" s="1113"/>
      <c r="T5187" s="1143"/>
      <c r="U5187" s="1108"/>
      <c r="V5187" s="1108"/>
      <c r="W5187" s="1108"/>
      <c r="X5187" s="1108"/>
      <c r="Y5187" s="1108"/>
      <c r="Z5187" s="1114"/>
      <c r="AA5187" s="1114"/>
      <c r="AB5187" s="1114"/>
      <c r="AC5187" s="1117"/>
      <c r="AD5187" s="1115"/>
      <c r="AE5187" s="1115"/>
      <c r="AF5187" s="1115"/>
      <c r="AG5187" s="1115"/>
      <c r="AH5187" s="1115"/>
      <c r="AI5187" s="1115"/>
      <c r="AJ5187" s="1117"/>
      <c r="AK5187" s="1118"/>
      <c r="AL5187" s="1115"/>
      <c r="AM5187" s="1115"/>
      <c r="AN5187" s="1115"/>
      <c r="AO5187" s="1115"/>
      <c r="AP5187" s="1115"/>
      <c r="AQ5187" s="1115"/>
      <c r="AR5187" s="1115"/>
      <c r="AS5187" s="1117"/>
      <c r="AT5187" s="1075"/>
      <c r="AU5187" s="1193"/>
      <c r="AV5187" s="330"/>
      <c r="AW5187" s="331"/>
      <c r="AX5187" s="331"/>
      <c r="AY5187" s="331"/>
      <c r="AZ5187" s="331"/>
      <c r="BA5187" s="331"/>
      <c r="BB5187" s="331"/>
      <c r="BC5187" s="331"/>
      <c r="BD5187" s="331"/>
      <c r="BE5187" s="333"/>
      <c r="BF5187" s="330"/>
      <c r="BG5187" s="333"/>
      <c r="BH5187" s="1119"/>
      <c r="BI5187" s="319"/>
      <c r="BJ5187" s="319"/>
      <c r="BK5187" s="319"/>
      <c r="BL5187" s="319"/>
      <c r="BM5187" s="319"/>
      <c r="BN5187" s="319"/>
      <c r="BO5187" s="319"/>
      <c r="BP5187" s="953"/>
      <c r="BQ5187" s="319"/>
      <c r="BR5187" s="319"/>
      <c r="BS5187" s="330"/>
      <c r="BT5187" s="331"/>
      <c r="BU5187" s="920"/>
      <c r="BV5187" s="903"/>
      <c r="BW5187" s="908"/>
      <c r="BX5187" s="908"/>
      <c r="BY5187" s="331"/>
      <c r="BZ5187" s="331"/>
      <c r="CA5187" s="462"/>
      <c r="CB5187" s="319"/>
      <c r="CC5187" s="319"/>
      <c r="CD5187" s="319"/>
      <c r="CE5187" s="319"/>
      <c r="CF5187" s="319"/>
      <c r="CG5187" s="319"/>
      <c r="CH5187" s="318"/>
      <c r="CI5187" s="319"/>
      <c r="CJ5187" s="319"/>
      <c r="CK5187" s="342"/>
      <c r="CL5187" s="333"/>
      <c r="CM5187" s="1079"/>
      <c r="CN5187" s="1005"/>
      <c r="CO5187" s="1005"/>
      <c r="CP5187" s="1005"/>
    </row>
    <row r="5188">
      <c r="A5188" s="1257"/>
      <c r="B5188" s="1113"/>
      <c r="C5188" s="1107"/>
      <c r="D5188" s="103"/>
      <c r="E5188" s="1137"/>
      <c r="F5188" s="112"/>
      <c r="G5188" s="1110"/>
      <c r="H5188" s="1138"/>
      <c r="I5188" s="1138"/>
      <c r="J5188" s="1139"/>
      <c r="K5188" s="1111"/>
      <c r="L5188" s="1112"/>
      <c r="M5188" s="1113"/>
      <c r="N5188" s="110"/>
      <c r="O5188" s="1140"/>
      <c r="P5188" s="1115"/>
      <c r="Q5188" s="1116"/>
      <c r="R5188" s="1141"/>
      <c r="S5188" s="1113"/>
      <c r="T5188" s="1143"/>
      <c r="U5188" s="1108"/>
      <c r="V5188" s="1108"/>
      <c r="W5188" s="1108"/>
      <c r="X5188" s="1108"/>
      <c r="Y5188" s="1108"/>
      <c r="Z5188" s="1114"/>
      <c r="AA5188" s="1114"/>
      <c r="AB5188" s="1114"/>
      <c r="AC5188" s="1117"/>
      <c r="AD5188" s="1115"/>
      <c r="AE5188" s="1115"/>
      <c r="AF5188" s="1115"/>
      <c r="AG5188" s="1115"/>
      <c r="AH5188" s="1115"/>
      <c r="AI5188" s="1115"/>
      <c r="AJ5188" s="1117"/>
      <c r="AK5188" s="1118"/>
      <c r="AL5188" s="1115"/>
      <c r="AM5188" s="1115"/>
      <c r="AN5188" s="1115"/>
      <c r="AO5188" s="1115"/>
      <c r="AP5188" s="1115"/>
      <c r="AQ5188" s="1115"/>
      <c r="AR5188" s="1115"/>
      <c r="AS5188" s="1117"/>
      <c r="AT5188" s="1075"/>
      <c r="AU5188" s="1193"/>
      <c r="AV5188" s="330"/>
      <c r="AW5188" s="331"/>
      <c r="AX5188" s="331"/>
      <c r="AY5188" s="331"/>
      <c r="AZ5188" s="331"/>
      <c r="BA5188" s="331"/>
      <c r="BB5188" s="331"/>
      <c r="BC5188" s="331"/>
      <c r="BD5188" s="331"/>
      <c r="BE5188" s="333"/>
      <c r="BF5188" s="330"/>
      <c r="BG5188" s="333"/>
      <c r="BH5188" s="1119"/>
      <c r="BI5188" s="319"/>
      <c r="BJ5188" s="319"/>
      <c r="BK5188" s="319"/>
      <c r="BL5188" s="319"/>
      <c r="BM5188" s="319"/>
      <c r="BN5188" s="319"/>
      <c r="BO5188" s="319"/>
      <c r="BP5188" s="953"/>
      <c r="BQ5188" s="319"/>
      <c r="BR5188" s="319"/>
      <c r="BS5188" s="330"/>
      <c r="BT5188" s="331"/>
      <c r="BU5188" s="920"/>
      <c r="BV5188" s="903"/>
      <c r="BW5188" s="908"/>
      <c r="BX5188" s="908"/>
      <c r="BY5188" s="331"/>
      <c r="BZ5188" s="331"/>
      <c r="CA5188" s="462"/>
      <c r="CB5188" s="319"/>
      <c r="CC5188" s="319"/>
      <c r="CD5188" s="319"/>
      <c r="CE5188" s="319"/>
      <c r="CF5188" s="319"/>
      <c r="CG5188" s="319"/>
      <c r="CH5188" s="318"/>
      <c r="CI5188" s="319"/>
      <c r="CJ5188" s="319"/>
      <c r="CK5188" s="342"/>
      <c r="CL5188" s="333"/>
      <c r="CM5188" s="1079"/>
      <c r="CN5188" s="1005"/>
      <c r="CO5188" s="1005"/>
      <c r="CP5188" s="1005"/>
    </row>
    <row r="5189">
      <c r="A5189" s="1257"/>
      <c r="B5189" s="1113"/>
      <c r="C5189" s="1107"/>
      <c r="D5189" s="103"/>
      <c r="E5189" s="1137"/>
      <c r="F5189" s="112"/>
      <c r="G5189" s="1110"/>
      <c r="H5189" s="1138"/>
      <c r="I5189" s="1138"/>
      <c r="J5189" s="1139"/>
      <c r="K5189" s="1111"/>
      <c r="L5189" s="1112"/>
      <c r="M5189" s="1113"/>
      <c r="N5189" s="110"/>
      <c r="O5189" s="1140"/>
      <c r="P5189" s="1115"/>
      <c r="Q5189" s="1116"/>
      <c r="R5189" s="1141"/>
      <c r="S5189" s="1113"/>
      <c r="T5189" s="1143"/>
      <c r="U5189" s="1108"/>
      <c r="V5189" s="1108"/>
      <c r="W5189" s="1108"/>
      <c r="X5189" s="1108"/>
      <c r="Y5189" s="1108"/>
      <c r="Z5189" s="1114"/>
      <c r="AA5189" s="1114"/>
      <c r="AB5189" s="1114"/>
      <c r="AC5189" s="1117"/>
      <c r="AD5189" s="1115"/>
      <c r="AE5189" s="1115"/>
      <c r="AF5189" s="1115"/>
      <c r="AG5189" s="1115"/>
      <c r="AH5189" s="1115"/>
      <c r="AI5189" s="1115"/>
      <c r="AJ5189" s="1117"/>
      <c r="AK5189" s="1118"/>
      <c r="AL5189" s="1115"/>
      <c r="AM5189" s="1115"/>
      <c r="AN5189" s="1115"/>
      <c r="AO5189" s="1115"/>
      <c r="AP5189" s="1115"/>
      <c r="AQ5189" s="1115"/>
      <c r="AR5189" s="1115"/>
      <c r="AS5189" s="1117"/>
      <c r="AT5189" s="1075"/>
      <c r="AU5189" s="1193"/>
      <c r="AV5189" s="330"/>
      <c r="AW5189" s="331"/>
      <c r="AX5189" s="331"/>
      <c r="AY5189" s="331"/>
      <c r="AZ5189" s="331"/>
      <c r="BA5189" s="331"/>
      <c r="BB5189" s="331"/>
      <c r="BC5189" s="331"/>
      <c r="BD5189" s="331"/>
      <c r="BE5189" s="333"/>
      <c r="BF5189" s="330"/>
      <c r="BG5189" s="333"/>
      <c r="BH5189" s="1119"/>
      <c r="BI5189" s="319"/>
      <c r="BJ5189" s="319"/>
      <c r="BK5189" s="319"/>
      <c r="BL5189" s="319"/>
      <c r="BM5189" s="319"/>
      <c r="BN5189" s="319"/>
      <c r="BO5189" s="319"/>
      <c r="BP5189" s="953"/>
      <c r="BQ5189" s="319"/>
      <c r="BR5189" s="319"/>
      <c r="BS5189" s="330"/>
      <c r="BT5189" s="331"/>
      <c r="BU5189" s="920"/>
      <c r="BV5189" s="903"/>
      <c r="BW5189" s="908"/>
      <c r="BX5189" s="908"/>
      <c r="BY5189" s="331"/>
      <c r="BZ5189" s="331"/>
      <c r="CA5189" s="462"/>
      <c r="CB5189" s="319"/>
      <c r="CC5189" s="319"/>
      <c r="CD5189" s="319"/>
      <c r="CE5189" s="319"/>
      <c r="CF5189" s="319"/>
      <c r="CG5189" s="319"/>
      <c r="CH5189" s="318"/>
      <c r="CI5189" s="319"/>
      <c r="CJ5189" s="319"/>
      <c r="CK5189" s="342"/>
      <c r="CL5189" s="333"/>
      <c r="CM5189" s="1079"/>
      <c r="CN5189" s="1005"/>
      <c r="CO5189" s="1005"/>
      <c r="CP5189" s="1005"/>
    </row>
    <row r="5190">
      <c r="A5190" s="1257"/>
      <c r="B5190" s="1113"/>
      <c r="C5190" s="1107"/>
      <c r="D5190" s="103"/>
      <c r="E5190" s="1137"/>
      <c r="F5190" s="112"/>
      <c r="G5190" s="1110"/>
      <c r="H5190" s="1138"/>
      <c r="I5190" s="1138"/>
      <c r="J5190" s="1139"/>
      <c r="K5190" s="1111"/>
      <c r="L5190" s="1112"/>
      <c r="M5190" s="1113"/>
      <c r="N5190" s="110"/>
      <c r="O5190" s="1140"/>
      <c r="P5190" s="1115"/>
      <c r="Q5190" s="1116"/>
      <c r="R5190" s="1141"/>
      <c r="S5190" s="1113"/>
      <c r="T5190" s="1143"/>
      <c r="U5190" s="1108"/>
      <c r="V5190" s="1108"/>
      <c r="W5190" s="1108"/>
      <c r="X5190" s="1108"/>
      <c r="Y5190" s="1108"/>
      <c r="Z5190" s="1114"/>
      <c r="AA5190" s="1114"/>
      <c r="AB5190" s="1114"/>
      <c r="AC5190" s="1117"/>
      <c r="AD5190" s="1115"/>
      <c r="AE5190" s="1115"/>
      <c r="AF5190" s="1115"/>
      <c r="AG5190" s="1115"/>
      <c r="AH5190" s="1115"/>
      <c r="AI5190" s="1115"/>
      <c r="AJ5190" s="1117"/>
      <c r="AK5190" s="1118"/>
      <c r="AL5190" s="1115"/>
      <c r="AM5190" s="1115"/>
      <c r="AN5190" s="1115"/>
      <c r="AO5190" s="1115"/>
      <c r="AP5190" s="1115"/>
      <c r="AQ5190" s="1115"/>
      <c r="AR5190" s="1115"/>
      <c r="AS5190" s="1117"/>
      <c r="AT5190" s="1075"/>
      <c r="AU5190" s="1193"/>
      <c r="AV5190" s="330"/>
      <c r="AW5190" s="331"/>
      <c r="AX5190" s="331"/>
      <c r="AY5190" s="331"/>
      <c r="AZ5190" s="331"/>
      <c r="BA5190" s="331"/>
      <c r="BB5190" s="331"/>
      <c r="BC5190" s="331"/>
      <c r="BD5190" s="331"/>
      <c r="BE5190" s="333"/>
      <c r="BF5190" s="330"/>
      <c r="BG5190" s="333"/>
      <c r="BH5190" s="1119"/>
      <c r="BI5190" s="319"/>
      <c r="BJ5190" s="319"/>
      <c r="BK5190" s="319"/>
      <c r="BL5190" s="319"/>
      <c r="BM5190" s="319"/>
      <c r="BN5190" s="319"/>
      <c r="BO5190" s="319"/>
      <c r="BP5190" s="953"/>
      <c r="BQ5190" s="319"/>
      <c r="BR5190" s="319"/>
      <c r="BS5190" s="330"/>
      <c r="BT5190" s="331"/>
      <c r="BU5190" s="920"/>
      <c r="BV5190" s="903"/>
      <c r="BW5190" s="908"/>
      <c r="BX5190" s="908"/>
      <c r="BY5190" s="331"/>
      <c r="BZ5190" s="331"/>
      <c r="CA5190" s="462"/>
      <c r="CB5190" s="319"/>
      <c r="CC5190" s="319"/>
      <c r="CD5190" s="319"/>
      <c r="CE5190" s="319"/>
      <c r="CF5190" s="319"/>
      <c r="CG5190" s="319"/>
      <c r="CH5190" s="318"/>
      <c r="CI5190" s="319"/>
      <c r="CJ5190" s="319"/>
      <c r="CK5190" s="342"/>
      <c r="CL5190" s="333"/>
      <c r="CM5190" s="1079"/>
      <c r="CN5190" s="1005"/>
      <c r="CO5190" s="1005"/>
      <c r="CP5190" s="1005"/>
    </row>
    <row r="5191">
      <c r="A5191" s="1257"/>
      <c r="B5191" s="1113"/>
      <c r="C5191" s="1107"/>
      <c r="D5191" s="103"/>
      <c r="E5191" s="1137"/>
      <c r="F5191" s="112"/>
      <c r="G5191" s="1110"/>
      <c r="H5191" s="1138"/>
      <c r="I5191" s="1138"/>
      <c r="J5191" s="1139"/>
      <c r="K5191" s="1111"/>
      <c r="L5191" s="1112"/>
      <c r="M5191" s="1113"/>
      <c r="N5191" s="110"/>
      <c r="O5191" s="1140"/>
      <c r="P5191" s="1115"/>
      <c r="Q5191" s="1116"/>
      <c r="R5191" s="1141"/>
      <c r="S5191" s="1113"/>
      <c r="T5191" s="1143"/>
      <c r="U5191" s="1108"/>
      <c r="V5191" s="1108"/>
      <c r="W5191" s="1108"/>
      <c r="X5191" s="1108"/>
      <c r="Y5191" s="1108"/>
      <c r="Z5191" s="1114"/>
      <c r="AA5191" s="1114"/>
      <c r="AB5191" s="1114"/>
      <c r="AC5191" s="1117"/>
      <c r="AD5191" s="1115"/>
      <c r="AE5191" s="1115"/>
      <c r="AF5191" s="1115"/>
      <c r="AG5191" s="1115"/>
      <c r="AH5191" s="1115"/>
      <c r="AI5191" s="1115"/>
      <c r="AJ5191" s="1117"/>
      <c r="AK5191" s="1118"/>
      <c r="AL5191" s="1115"/>
      <c r="AM5191" s="1115"/>
      <c r="AN5191" s="1115"/>
      <c r="AO5191" s="1115"/>
      <c r="AP5191" s="1115"/>
      <c r="AQ5191" s="1115"/>
      <c r="AR5191" s="1115"/>
      <c r="AS5191" s="1117"/>
      <c r="AT5191" s="1075"/>
      <c r="AU5191" s="1193"/>
      <c r="AV5191" s="330"/>
      <c r="AW5191" s="331"/>
      <c r="AX5191" s="331"/>
      <c r="AY5191" s="331"/>
      <c r="AZ5191" s="331"/>
      <c r="BA5191" s="331"/>
      <c r="BB5191" s="331"/>
      <c r="BC5191" s="331"/>
      <c r="BD5191" s="331"/>
      <c r="BE5191" s="333"/>
      <c r="BF5191" s="330"/>
      <c r="BG5191" s="333"/>
      <c r="BH5191" s="1119"/>
      <c r="BI5191" s="319"/>
      <c r="BJ5191" s="319"/>
      <c r="BK5191" s="319"/>
      <c r="BL5191" s="319"/>
      <c r="BM5191" s="319"/>
      <c r="BN5191" s="319"/>
      <c r="BO5191" s="319"/>
      <c r="BP5191" s="953"/>
      <c r="BQ5191" s="319"/>
      <c r="BR5191" s="319"/>
      <c r="BS5191" s="330"/>
      <c r="BT5191" s="331"/>
      <c r="BU5191" s="920"/>
      <c r="BV5191" s="903"/>
      <c r="BW5191" s="908"/>
      <c r="BX5191" s="908"/>
      <c r="BY5191" s="331"/>
      <c r="BZ5191" s="331"/>
      <c r="CA5191" s="462"/>
      <c r="CB5191" s="319"/>
      <c r="CC5191" s="319"/>
      <c r="CD5191" s="319"/>
      <c r="CE5191" s="319"/>
      <c r="CF5191" s="319"/>
      <c r="CG5191" s="319"/>
      <c r="CH5191" s="318"/>
      <c r="CI5191" s="319"/>
      <c r="CJ5191" s="319"/>
      <c r="CK5191" s="342"/>
      <c r="CL5191" s="333"/>
      <c r="CM5191" s="1079"/>
      <c r="CN5191" s="1005"/>
      <c r="CO5191" s="1005"/>
      <c r="CP5191" s="1005"/>
    </row>
    <row r="5192">
      <c r="A5192" s="1257"/>
      <c r="B5192" s="1113"/>
      <c r="C5192" s="1107"/>
      <c r="D5192" s="103"/>
      <c r="E5192" s="1137"/>
      <c r="F5192" s="112"/>
      <c r="G5192" s="1110"/>
      <c r="H5192" s="1138"/>
      <c r="I5192" s="1138"/>
      <c r="J5192" s="1139"/>
      <c r="K5192" s="1111"/>
      <c r="L5192" s="1112"/>
      <c r="M5192" s="1113"/>
      <c r="N5192" s="110"/>
      <c r="O5192" s="1140"/>
      <c r="P5192" s="1115"/>
      <c r="Q5192" s="1116"/>
      <c r="R5192" s="1141"/>
      <c r="S5192" s="1113"/>
      <c r="T5192" s="1143"/>
      <c r="U5192" s="1108"/>
      <c r="V5192" s="1108"/>
      <c r="W5192" s="1108"/>
      <c r="X5192" s="1108"/>
      <c r="Y5192" s="1108"/>
      <c r="Z5192" s="1114"/>
      <c r="AA5192" s="1114"/>
      <c r="AB5192" s="1114"/>
      <c r="AC5192" s="1117"/>
      <c r="AD5192" s="1115"/>
      <c r="AE5192" s="1115"/>
      <c r="AF5192" s="1115"/>
      <c r="AG5192" s="1115"/>
      <c r="AH5192" s="1115"/>
      <c r="AI5192" s="1115"/>
      <c r="AJ5192" s="1117"/>
      <c r="AK5192" s="1118"/>
      <c r="AL5192" s="1115"/>
      <c r="AM5192" s="1115"/>
      <c r="AN5192" s="1115"/>
      <c r="AO5192" s="1115"/>
      <c r="AP5192" s="1115"/>
      <c r="AQ5192" s="1115"/>
      <c r="AR5192" s="1115"/>
      <c r="AS5192" s="1117"/>
      <c r="AT5192" s="1075"/>
      <c r="AU5192" s="1193"/>
      <c r="AV5192" s="330"/>
      <c r="AW5192" s="331"/>
      <c r="AX5192" s="331"/>
      <c r="AY5192" s="331"/>
      <c r="AZ5192" s="331"/>
      <c r="BA5192" s="331"/>
      <c r="BB5192" s="331"/>
      <c r="BC5192" s="331"/>
      <c r="BD5192" s="331"/>
      <c r="BE5192" s="333"/>
      <c r="BF5192" s="330"/>
      <c r="BG5192" s="333"/>
      <c r="BH5192" s="1119"/>
      <c r="BI5192" s="319"/>
      <c r="BJ5192" s="319"/>
      <c r="BK5192" s="319"/>
      <c r="BL5192" s="319"/>
      <c r="BM5192" s="319"/>
      <c r="BN5192" s="319"/>
      <c r="BO5192" s="319"/>
      <c r="BP5192" s="953"/>
      <c r="BQ5192" s="319"/>
      <c r="BR5192" s="319"/>
      <c r="BS5192" s="330"/>
      <c r="BT5192" s="331"/>
      <c r="BU5192" s="920"/>
      <c r="BV5192" s="903"/>
      <c r="BW5192" s="908"/>
      <c r="BX5192" s="908"/>
      <c r="BY5192" s="331"/>
      <c r="BZ5192" s="331"/>
      <c r="CA5192" s="462"/>
      <c r="CB5192" s="319"/>
      <c r="CC5192" s="319"/>
      <c r="CD5192" s="319"/>
      <c r="CE5192" s="319"/>
      <c r="CF5192" s="319"/>
      <c r="CG5192" s="319"/>
      <c r="CH5192" s="318"/>
      <c r="CI5192" s="319"/>
      <c r="CJ5192" s="319"/>
      <c r="CK5192" s="342"/>
      <c r="CL5192" s="333"/>
      <c r="CM5192" s="1079"/>
      <c r="CN5192" s="1005"/>
      <c r="CO5192" s="1005"/>
      <c r="CP5192" s="1005"/>
    </row>
    <row r="5193">
      <c r="A5193" s="1257"/>
      <c r="B5193" s="1113"/>
      <c r="C5193" s="1107"/>
      <c r="D5193" s="103"/>
      <c r="E5193" s="1137"/>
      <c r="F5193" s="112"/>
      <c r="G5193" s="1110"/>
      <c r="H5193" s="1138"/>
      <c r="I5193" s="1138"/>
      <c r="J5193" s="1139"/>
      <c r="K5193" s="1111"/>
      <c r="L5193" s="1112"/>
      <c r="M5193" s="1113"/>
      <c r="N5193" s="110"/>
      <c r="O5193" s="1140"/>
      <c r="P5193" s="1115"/>
      <c r="Q5193" s="1116"/>
      <c r="R5193" s="1141"/>
      <c r="S5193" s="1113"/>
      <c r="T5193" s="1143"/>
      <c r="U5193" s="1108"/>
      <c r="V5193" s="1108"/>
      <c r="W5193" s="1108"/>
      <c r="X5193" s="1108"/>
      <c r="Y5193" s="1108"/>
      <c r="Z5193" s="1114"/>
      <c r="AA5193" s="1114"/>
      <c r="AB5193" s="1114"/>
      <c r="AC5193" s="1117"/>
      <c r="AD5193" s="1115"/>
      <c r="AE5193" s="1115"/>
      <c r="AF5193" s="1115"/>
      <c r="AG5193" s="1115"/>
      <c r="AH5193" s="1115"/>
      <c r="AI5193" s="1115"/>
      <c r="AJ5193" s="1117"/>
      <c r="AK5193" s="1118"/>
      <c r="AL5193" s="1115"/>
      <c r="AM5193" s="1115"/>
      <c r="AN5193" s="1115"/>
      <c r="AO5193" s="1115"/>
      <c r="AP5193" s="1115"/>
      <c r="AQ5193" s="1115"/>
      <c r="AR5193" s="1115"/>
      <c r="AS5193" s="1117"/>
      <c r="AT5193" s="1075"/>
      <c r="AU5193" s="1193"/>
      <c r="AV5193" s="330"/>
      <c r="AW5193" s="331"/>
      <c r="AX5193" s="331"/>
      <c r="AY5193" s="331"/>
      <c r="AZ5193" s="331"/>
      <c r="BA5193" s="331"/>
      <c r="BB5193" s="331"/>
      <c r="BC5193" s="331"/>
      <c r="BD5193" s="331"/>
      <c r="BE5193" s="333"/>
      <c r="BF5193" s="330"/>
      <c r="BG5193" s="333"/>
      <c r="BH5193" s="1119"/>
      <c r="BI5193" s="319"/>
      <c r="BJ5193" s="319"/>
      <c r="BK5193" s="319"/>
      <c r="BL5193" s="319"/>
      <c r="BM5193" s="319"/>
      <c r="BN5193" s="319"/>
      <c r="BO5193" s="319"/>
      <c r="BP5193" s="953"/>
      <c r="BQ5193" s="319"/>
      <c r="BR5193" s="319"/>
      <c r="BS5193" s="330"/>
      <c r="BT5193" s="331"/>
      <c r="BU5193" s="920"/>
      <c r="BV5193" s="903"/>
      <c r="BW5193" s="908"/>
      <c r="BX5193" s="908"/>
      <c r="BY5193" s="331"/>
      <c r="BZ5193" s="331"/>
      <c r="CA5193" s="462"/>
      <c r="CB5193" s="319"/>
      <c r="CC5193" s="319"/>
      <c r="CD5193" s="319"/>
      <c r="CE5193" s="319"/>
      <c r="CF5193" s="319"/>
      <c r="CG5193" s="319"/>
      <c r="CH5193" s="318"/>
      <c r="CI5193" s="319"/>
      <c r="CJ5193" s="319"/>
      <c r="CK5193" s="342"/>
      <c r="CL5193" s="333"/>
      <c r="CM5193" s="1079"/>
      <c r="CN5193" s="1005"/>
      <c r="CO5193" s="1005"/>
      <c r="CP5193" s="1005"/>
    </row>
    <row r="5194">
      <c r="A5194" s="1257"/>
      <c r="B5194" s="1113"/>
      <c r="C5194" s="1107"/>
      <c r="D5194" s="103"/>
      <c r="E5194" s="1137"/>
      <c r="F5194" s="112"/>
      <c r="G5194" s="1110"/>
      <c r="H5194" s="1138"/>
      <c r="I5194" s="1138"/>
      <c r="J5194" s="1139"/>
      <c r="K5194" s="1111"/>
      <c r="L5194" s="1112"/>
      <c r="M5194" s="1113"/>
      <c r="N5194" s="110"/>
      <c r="O5194" s="1140"/>
      <c r="P5194" s="1115"/>
      <c r="Q5194" s="1116"/>
      <c r="R5194" s="1141"/>
      <c r="S5194" s="1113"/>
      <c r="T5194" s="1143"/>
      <c r="U5194" s="1108"/>
      <c r="V5194" s="1108"/>
      <c r="W5194" s="1108"/>
      <c r="X5194" s="1108"/>
      <c r="Y5194" s="1108"/>
      <c r="Z5194" s="1114"/>
      <c r="AA5194" s="1114"/>
      <c r="AB5194" s="1114"/>
      <c r="AC5194" s="1117"/>
      <c r="AD5194" s="1115"/>
      <c r="AE5194" s="1115"/>
      <c r="AF5194" s="1115"/>
      <c r="AG5194" s="1115"/>
      <c r="AH5194" s="1115"/>
      <c r="AI5194" s="1115"/>
      <c r="AJ5194" s="1117"/>
      <c r="AK5194" s="1118"/>
      <c r="AL5194" s="1115"/>
      <c r="AM5194" s="1115"/>
      <c r="AN5194" s="1115"/>
      <c r="AO5194" s="1115"/>
      <c r="AP5194" s="1115"/>
      <c r="AQ5194" s="1115"/>
      <c r="AR5194" s="1115"/>
      <c r="AS5194" s="1117"/>
      <c r="AT5194" s="1075"/>
      <c r="AU5194" s="1193"/>
      <c r="AV5194" s="330"/>
      <c r="AW5194" s="331"/>
      <c r="AX5194" s="331"/>
      <c r="AY5194" s="331"/>
      <c r="AZ5194" s="331"/>
      <c r="BA5194" s="331"/>
      <c r="BB5194" s="331"/>
      <c r="BC5194" s="331"/>
      <c r="BD5194" s="331"/>
      <c r="BE5194" s="333"/>
      <c r="BF5194" s="330"/>
      <c r="BG5194" s="333"/>
      <c r="BH5194" s="1119"/>
      <c r="BI5194" s="319"/>
      <c r="BJ5194" s="319"/>
      <c r="BK5194" s="319"/>
      <c r="BL5194" s="319"/>
      <c r="BM5194" s="319"/>
      <c r="BN5194" s="319"/>
      <c r="BO5194" s="319"/>
      <c r="BP5194" s="953"/>
      <c r="BQ5194" s="319"/>
      <c r="BR5194" s="319"/>
      <c r="BS5194" s="330"/>
      <c r="BT5194" s="331"/>
      <c r="BU5194" s="920"/>
      <c r="BV5194" s="903"/>
      <c r="BW5194" s="908"/>
      <c r="BX5194" s="908"/>
      <c r="BY5194" s="331"/>
      <c r="BZ5194" s="331"/>
      <c r="CA5194" s="462"/>
      <c r="CB5194" s="319"/>
      <c r="CC5194" s="319"/>
      <c r="CD5194" s="319"/>
      <c r="CE5194" s="319"/>
      <c r="CF5194" s="319"/>
      <c r="CG5194" s="319"/>
      <c r="CH5194" s="318"/>
      <c r="CI5194" s="319"/>
      <c r="CJ5194" s="319"/>
      <c r="CK5194" s="342"/>
      <c r="CL5194" s="333"/>
      <c r="CM5194" s="1079"/>
      <c r="CN5194" s="1005"/>
      <c r="CO5194" s="1005"/>
      <c r="CP5194" s="1005"/>
    </row>
    <row r="5195">
      <c r="A5195" s="1257"/>
      <c r="B5195" s="1113"/>
      <c r="C5195" s="1107"/>
      <c r="D5195" s="103"/>
      <c r="E5195" s="1137"/>
      <c r="F5195" s="112"/>
      <c r="G5195" s="1110"/>
      <c r="H5195" s="1138"/>
      <c r="I5195" s="1138"/>
      <c r="J5195" s="1139"/>
      <c r="K5195" s="1111"/>
      <c r="L5195" s="1112"/>
      <c r="M5195" s="1113"/>
      <c r="N5195" s="110"/>
      <c r="O5195" s="1140"/>
      <c r="P5195" s="1115"/>
      <c r="Q5195" s="1116"/>
      <c r="R5195" s="1141"/>
      <c r="S5195" s="1113"/>
      <c r="T5195" s="1143"/>
      <c r="U5195" s="1108"/>
      <c r="V5195" s="1108"/>
      <c r="W5195" s="1108"/>
      <c r="X5195" s="1108"/>
      <c r="Y5195" s="1108"/>
      <c r="Z5195" s="1114"/>
      <c r="AA5195" s="1114"/>
      <c r="AB5195" s="1114"/>
      <c r="AC5195" s="1117"/>
      <c r="AD5195" s="1115"/>
      <c r="AE5195" s="1115"/>
      <c r="AF5195" s="1115"/>
      <c r="AG5195" s="1115"/>
      <c r="AH5195" s="1115"/>
      <c r="AI5195" s="1115"/>
      <c r="AJ5195" s="1117"/>
      <c r="AK5195" s="1118"/>
      <c r="AL5195" s="1115"/>
      <c r="AM5195" s="1115"/>
      <c r="AN5195" s="1115"/>
      <c r="AO5195" s="1115"/>
      <c r="AP5195" s="1115"/>
      <c r="AQ5195" s="1115"/>
      <c r="AR5195" s="1115"/>
      <c r="AS5195" s="1117"/>
      <c r="AT5195" s="1075"/>
      <c r="AU5195" s="1193"/>
      <c r="AV5195" s="330"/>
      <c r="AW5195" s="331"/>
      <c r="AX5195" s="331"/>
      <c r="AY5195" s="331"/>
      <c r="AZ5195" s="331"/>
      <c r="BA5195" s="331"/>
      <c r="BB5195" s="331"/>
      <c r="BC5195" s="331"/>
      <c r="BD5195" s="331"/>
      <c r="BE5195" s="333"/>
      <c r="BF5195" s="330"/>
      <c r="BG5195" s="333"/>
      <c r="BH5195" s="1119"/>
      <c r="BI5195" s="319"/>
      <c r="BJ5195" s="319"/>
      <c r="BK5195" s="319"/>
      <c r="BL5195" s="319"/>
      <c r="BM5195" s="319"/>
      <c r="BN5195" s="319"/>
      <c r="BO5195" s="319"/>
      <c r="BP5195" s="953"/>
      <c r="BQ5195" s="319"/>
      <c r="BR5195" s="319"/>
      <c r="BS5195" s="330"/>
      <c r="BT5195" s="331"/>
      <c r="BU5195" s="920"/>
      <c r="BV5195" s="903"/>
      <c r="BW5195" s="908"/>
      <c r="BX5195" s="908"/>
      <c r="BY5195" s="331"/>
      <c r="BZ5195" s="331"/>
      <c r="CA5195" s="462"/>
      <c r="CB5195" s="319"/>
      <c r="CC5195" s="319"/>
      <c r="CD5195" s="319"/>
      <c r="CE5195" s="319"/>
      <c r="CF5195" s="319"/>
      <c r="CG5195" s="319"/>
      <c r="CH5195" s="318"/>
      <c r="CI5195" s="319"/>
      <c r="CJ5195" s="319"/>
      <c r="CK5195" s="342"/>
      <c r="CL5195" s="333"/>
      <c r="CM5195" s="1079"/>
      <c r="CN5195" s="1005"/>
      <c r="CO5195" s="1005"/>
      <c r="CP5195" s="1005"/>
    </row>
    <row r="5196">
      <c r="A5196" s="1257"/>
      <c r="B5196" s="1113"/>
      <c r="C5196" s="1107"/>
      <c r="D5196" s="103"/>
      <c r="E5196" s="1137"/>
      <c r="F5196" s="112"/>
      <c r="G5196" s="1110"/>
      <c r="H5196" s="1138"/>
      <c r="I5196" s="1138"/>
      <c r="J5196" s="1139"/>
      <c r="K5196" s="1111"/>
      <c r="L5196" s="1112"/>
      <c r="M5196" s="1113"/>
      <c r="N5196" s="110"/>
      <c r="O5196" s="1140"/>
      <c r="P5196" s="1115"/>
      <c r="Q5196" s="1116"/>
      <c r="R5196" s="1141"/>
      <c r="S5196" s="1113"/>
      <c r="T5196" s="1143"/>
      <c r="U5196" s="1108"/>
      <c r="V5196" s="1108"/>
      <c r="W5196" s="1108"/>
      <c r="X5196" s="1108"/>
      <c r="Y5196" s="1108"/>
      <c r="Z5196" s="1114"/>
      <c r="AA5196" s="1114"/>
      <c r="AB5196" s="1114"/>
      <c r="AC5196" s="1117"/>
      <c r="AD5196" s="1115"/>
      <c r="AE5196" s="1115"/>
      <c r="AF5196" s="1115"/>
      <c r="AG5196" s="1115"/>
      <c r="AH5196" s="1115"/>
      <c r="AI5196" s="1115"/>
      <c r="AJ5196" s="1117"/>
      <c r="AK5196" s="1118"/>
      <c r="AL5196" s="1115"/>
      <c r="AM5196" s="1115"/>
      <c r="AN5196" s="1115"/>
      <c r="AO5196" s="1115"/>
      <c r="AP5196" s="1115"/>
      <c r="AQ5196" s="1115"/>
      <c r="AR5196" s="1115"/>
      <c r="AS5196" s="1117"/>
      <c r="AT5196" s="1075"/>
      <c r="AU5196" s="1193"/>
      <c r="AV5196" s="330"/>
      <c r="AW5196" s="331"/>
      <c r="AX5196" s="331"/>
      <c r="AY5196" s="331"/>
      <c r="AZ5196" s="331"/>
      <c r="BA5196" s="331"/>
      <c r="BB5196" s="331"/>
      <c r="BC5196" s="331"/>
      <c r="BD5196" s="331"/>
      <c r="BE5196" s="333"/>
      <c r="BF5196" s="330"/>
      <c r="BG5196" s="333"/>
      <c r="BH5196" s="1119"/>
      <c r="BI5196" s="319"/>
      <c r="BJ5196" s="319"/>
      <c r="BK5196" s="319"/>
      <c r="BL5196" s="319"/>
      <c r="BM5196" s="319"/>
      <c r="BN5196" s="319"/>
      <c r="BO5196" s="319"/>
      <c r="BP5196" s="953"/>
      <c r="BQ5196" s="319"/>
      <c r="BR5196" s="319"/>
      <c r="BS5196" s="330"/>
      <c r="BT5196" s="331"/>
      <c r="BU5196" s="920"/>
      <c r="BV5196" s="903"/>
      <c r="BW5196" s="908"/>
      <c r="BX5196" s="908"/>
      <c r="BY5196" s="331"/>
      <c r="BZ5196" s="331"/>
      <c r="CA5196" s="462"/>
      <c r="CB5196" s="319"/>
      <c r="CC5196" s="319"/>
      <c r="CD5196" s="319"/>
      <c r="CE5196" s="319"/>
      <c r="CF5196" s="319"/>
      <c r="CG5196" s="319"/>
      <c r="CH5196" s="318"/>
      <c r="CI5196" s="319"/>
      <c r="CJ5196" s="319"/>
      <c r="CK5196" s="342"/>
      <c r="CL5196" s="333"/>
      <c r="CM5196" s="1079"/>
      <c r="CN5196" s="1005"/>
      <c r="CO5196" s="1005"/>
      <c r="CP5196" s="1005"/>
    </row>
    <row r="5197">
      <c r="A5197" s="1257"/>
      <c r="B5197" s="1113"/>
      <c r="C5197" s="1107"/>
      <c r="D5197" s="103"/>
      <c r="E5197" s="1137"/>
      <c r="F5197" s="112"/>
      <c r="G5197" s="1110"/>
      <c r="H5197" s="1138"/>
      <c r="I5197" s="1138"/>
      <c r="J5197" s="1139"/>
      <c r="K5197" s="1111"/>
      <c r="L5197" s="1112"/>
      <c r="M5197" s="1113"/>
      <c r="N5197" s="110"/>
      <c r="O5197" s="1140"/>
      <c r="P5197" s="1115"/>
      <c r="Q5197" s="1116"/>
      <c r="R5197" s="1141"/>
      <c r="S5197" s="1113"/>
      <c r="T5197" s="1143"/>
      <c r="U5197" s="1108"/>
      <c r="V5197" s="1108"/>
      <c r="W5197" s="1108"/>
      <c r="X5197" s="1108"/>
      <c r="Y5197" s="1108"/>
      <c r="Z5197" s="1114"/>
      <c r="AA5197" s="1114"/>
      <c r="AB5197" s="1114"/>
      <c r="AC5197" s="1117"/>
      <c r="AD5197" s="1115"/>
      <c r="AE5197" s="1115"/>
      <c r="AF5197" s="1115"/>
      <c r="AG5197" s="1115"/>
      <c r="AH5197" s="1115"/>
      <c r="AI5197" s="1115"/>
      <c r="AJ5197" s="1117"/>
      <c r="AK5197" s="1118"/>
      <c r="AL5197" s="1115"/>
      <c r="AM5197" s="1115"/>
      <c r="AN5197" s="1115"/>
      <c r="AO5197" s="1115"/>
      <c r="AP5197" s="1115"/>
      <c r="AQ5197" s="1115"/>
      <c r="AR5197" s="1115"/>
      <c r="AS5197" s="1117"/>
      <c r="AT5197" s="1075"/>
      <c r="AU5197" s="1193"/>
      <c r="AV5197" s="330"/>
      <c r="AW5197" s="331"/>
      <c r="AX5197" s="331"/>
      <c r="AY5197" s="331"/>
      <c r="AZ5197" s="331"/>
      <c r="BA5197" s="331"/>
      <c r="BB5197" s="331"/>
      <c r="BC5197" s="331"/>
      <c r="BD5197" s="331"/>
      <c r="BE5197" s="333"/>
      <c r="BF5197" s="330"/>
      <c r="BG5197" s="333"/>
      <c r="BH5197" s="1119"/>
      <c r="BI5197" s="319"/>
      <c r="BJ5197" s="319"/>
      <c r="BK5197" s="319"/>
      <c r="BL5197" s="319"/>
      <c r="BM5197" s="319"/>
      <c r="BN5197" s="319"/>
      <c r="BO5197" s="319"/>
      <c r="BP5197" s="953"/>
      <c r="BQ5197" s="319"/>
      <c r="BR5197" s="319"/>
      <c r="BS5197" s="330"/>
      <c r="BT5197" s="331"/>
      <c r="BU5197" s="920"/>
      <c r="BV5197" s="903"/>
      <c r="BW5197" s="908"/>
      <c r="BX5197" s="908"/>
      <c r="BY5197" s="331"/>
      <c r="BZ5197" s="331"/>
      <c r="CA5197" s="462"/>
      <c r="CB5197" s="319"/>
      <c r="CC5197" s="319"/>
      <c r="CD5197" s="319"/>
      <c r="CE5197" s="319"/>
      <c r="CF5197" s="319"/>
      <c r="CG5197" s="319"/>
      <c r="CH5197" s="318"/>
      <c r="CI5197" s="319"/>
      <c r="CJ5197" s="319"/>
      <c r="CK5197" s="342"/>
      <c r="CL5197" s="333"/>
      <c r="CM5197" s="1079"/>
      <c r="CN5197" s="1005"/>
      <c r="CO5197" s="1005"/>
      <c r="CP5197" s="1005"/>
    </row>
    <row r="5198">
      <c r="A5198" s="1257"/>
      <c r="B5198" s="1113"/>
      <c r="C5198" s="1107"/>
      <c r="D5198" s="103"/>
      <c r="E5198" s="1137"/>
      <c r="F5198" s="112"/>
      <c r="G5198" s="1110"/>
      <c r="H5198" s="1138"/>
      <c r="I5198" s="1138"/>
      <c r="J5198" s="1139"/>
      <c r="K5198" s="1111"/>
      <c r="L5198" s="1112"/>
      <c r="M5198" s="1113"/>
      <c r="N5198" s="110"/>
      <c r="O5198" s="1140"/>
      <c r="P5198" s="1115"/>
      <c r="Q5198" s="1116"/>
      <c r="R5198" s="1141"/>
      <c r="S5198" s="1113"/>
      <c r="T5198" s="1143"/>
      <c r="U5198" s="1108"/>
      <c r="V5198" s="1108"/>
      <c r="W5198" s="1108"/>
      <c r="X5198" s="1108"/>
      <c r="Y5198" s="1108"/>
      <c r="Z5198" s="1114"/>
      <c r="AA5198" s="1114"/>
      <c r="AB5198" s="1114"/>
      <c r="AC5198" s="1117"/>
      <c r="AD5198" s="1115"/>
      <c r="AE5198" s="1115"/>
      <c r="AF5198" s="1115"/>
      <c r="AG5198" s="1115"/>
      <c r="AH5198" s="1115"/>
      <c r="AI5198" s="1115"/>
      <c r="AJ5198" s="1117"/>
      <c r="AK5198" s="1118"/>
      <c r="AL5198" s="1115"/>
      <c r="AM5198" s="1115"/>
      <c r="AN5198" s="1115"/>
      <c r="AO5198" s="1115"/>
      <c r="AP5198" s="1115"/>
      <c r="AQ5198" s="1115"/>
      <c r="AR5198" s="1115"/>
      <c r="AS5198" s="1117"/>
      <c r="AT5198" s="1075"/>
      <c r="AU5198" s="1193"/>
      <c r="AV5198" s="330"/>
      <c r="AW5198" s="331"/>
      <c r="AX5198" s="331"/>
      <c r="AY5198" s="331"/>
      <c r="AZ5198" s="331"/>
      <c r="BA5198" s="331"/>
      <c r="BB5198" s="331"/>
      <c r="BC5198" s="331"/>
      <c r="BD5198" s="331"/>
      <c r="BE5198" s="333"/>
      <c r="BF5198" s="330"/>
      <c r="BG5198" s="333"/>
      <c r="BH5198" s="1119"/>
      <c r="BI5198" s="319"/>
      <c r="BJ5198" s="319"/>
      <c r="BK5198" s="319"/>
      <c r="BL5198" s="319"/>
      <c r="BM5198" s="319"/>
      <c r="BN5198" s="319"/>
      <c r="BO5198" s="319"/>
      <c r="BP5198" s="953"/>
      <c r="BQ5198" s="319"/>
      <c r="BR5198" s="319"/>
      <c r="BS5198" s="330"/>
      <c r="BT5198" s="331"/>
      <c r="BU5198" s="920"/>
      <c r="BV5198" s="903"/>
      <c r="BW5198" s="908"/>
      <c r="BX5198" s="908"/>
      <c r="BY5198" s="331"/>
      <c r="BZ5198" s="331"/>
      <c r="CA5198" s="462"/>
      <c r="CB5198" s="319"/>
      <c r="CC5198" s="319"/>
      <c r="CD5198" s="319"/>
      <c r="CE5198" s="319"/>
      <c r="CF5198" s="319"/>
      <c r="CG5198" s="319"/>
      <c r="CH5198" s="318"/>
      <c r="CI5198" s="319"/>
      <c r="CJ5198" s="319"/>
      <c r="CK5198" s="342"/>
      <c r="CL5198" s="333"/>
      <c r="CM5198" s="1079"/>
      <c r="CN5198" s="1005"/>
      <c r="CO5198" s="1005"/>
      <c r="CP5198" s="1005"/>
    </row>
    <row r="5199">
      <c r="A5199" s="1257"/>
      <c r="B5199" s="1113"/>
      <c r="C5199" s="1107"/>
      <c r="D5199" s="103"/>
      <c r="E5199" s="1137"/>
      <c r="F5199" s="112"/>
      <c r="G5199" s="1110"/>
      <c r="H5199" s="1138"/>
      <c r="I5199" s="1138"/>
      <c r="J5199" s="1139"/>
      <c r="K5199" s="1111"/>
      <c r="L5199" s="1112"/>
      <c r="M5199" s="1113"/>
      <c r="N5199" s="110"/>
      <c r="O5199" s="1140"/>
      <c r="P5199" s="1115"/>
      <c r="Q5199" s="1116"/>
      <c r="R5199" s="1141"/>
      <c r="S5199" s="1113"/>
      <c r="T5199" s="1143"/>
      <c r="U5199" s="1108"/>
      <c r="V5199" s="1108"/>
      <c r="W5199" s="1108"/>
      <c r="X5199" s="1108"/>
      <c r="Y5199" s="1108"/>
      <c r="Z5199" s="1114"/>
      <c r="AA5199" s="1114"/>
      <c r="AB5199" s="1114"/>
      <c r="AC5199" s="1117"/>
      <c r="AD5199" s="1115"/>
      <c r="AE5199" s="1115"/>
      <c r="AF5199" s="1115"/>
      <c r="AG5199" s="1115"/>
      <c r="AH5199" s="1115"/>
      <c r="AI5199" s="1115"/>
      <c r="AJ5199" s="1117"/>
      <c r="AK5199" s="1118"/>
      <c r="AL5199" s="1115"/>
      <c r="AM5199" s="1115"/>
      <c r="AN5199" s="1115"/>
      <c r="AO5199" s="1115"/>
      <c r="AP5199" s="1115"/>
      <c r="AQ5199" s="1115"/>
      <c r="AR5199" s="1115"/>
      <c r="AS5199" s="1117"/>
      <c r="AT5199" s="1075"/>
      <c r="AU5199" s="1193"/>
      <c r="AV5199" s="330"/>
      <c r="AW5199" s="331"/>
      <c r="AX5199" s="331"/>
      <c r="AY5199" s="331"/>
      <c r="AZ5199" s="331"/>
      <c r="BA5199" s="331"/>
      <c r="BB5199" s="331"/>
      <c r="BC5199" s="331"/>
      <c r="BD5199" s="331"/>
      <c r="BE5199" s="333"/>
      <c r="BF5199" s="330"/>
      <c r="BG5199" s="333"/>
      <c r="BH5199" s="1119"/>
      <c r="BI5199" s="319"/>
      <c r="BJ5199" s="319"/>
      <c r="BK5199" s="319"/>
      <c r="BL5199" s="319"/>
      <c r="BM5199" s="319"/>
      <c r="BN5199" s="319"/>
      <c r="BO5199" s="319"/>
      <c r="BP5199" s="953"/>
      <c r="BQ5199" s="319"/>
      <c r="BR5199" s="319"/>
      <c r="BS5199" s="330"/>
      <c r="BT5199" s="331"/>
      <c r="BU5199" s="920"/>
      <c r="BV5199" s="903"/>
      <c r="BW5199" s="908"/>
      <c r="BX5199" s="908"/>
      <c r="BY5199" s="331"/>
      <c r="BZ5199" s="331"/>
      <c r="CA5199" s="462"/>
      <c r="CB5199" s="319"/>
      <c r="CC5199" s="319"/>
      <c r="CD5199" s="319"/>
      <c r="CE5199" s="319"/>
      <c r="CF5199" s="319"/>
      <c r="CG5199" s="319"/>
      <c r="CH5199" s="318"/>
      <c r="CI5199" s="319"/>
      <c r="CJ5199" s="319"/>
      <c r="CK5199" s="342"/>
      <c r="CL5199" s="333"/>
      <c r="CM5199" s="1079"/>
      <c r="CN5199" s="1005"/>
      <c r="CO5199" s="1005"/>
      <c r="CP5199" s="1005"/>
    </row>
    <row r="5200">
      <c r="A5200" s="1257"/>
      <c r="B5200" s="1113"/>
      <c r="C5200" s="1107"/>
      <c r="D5200" s="103"/>
      <c r="E5200" s="1137"/>
      <c r="F5200" s="112"/>
      <c r="G5200" s="1110"/>
      <c r="H5200" s="1138"/>
      <c r="I5200" s="1138"/>
      <c r="J5200" s="1139"/>
      <c r="K5200" s="1111"/>
      <c r="L5200" s="1112"/>
      <c r="M5200" s="1113"/>
      <c r="N5200" s="110"/>
      <c r="O5200" s="1140"/>
      <c r="P5200" s="1115"/>
      <c r="Q5200" s="1116"/>
      <c r="R5200" s="1141"/>
      <c r="S5200" s="1113"/>
      <c r="T5200" s="1143"/>
      <c r="U5200" s="1108"/>
      <c r="V5200" s="1108"/>
      <c r="W5200" s="1108"/>
      <c r="X5200" s="1108"/>
      <c r="Y5200" s="1108"/>
      <c r="Z5200" s="1114"/>
      <c r="AA5200" s="1114"/>
      <c r="AB5200" s="1114"/>
      <c r="AC5200" s="1117"/>
      <c r="AD5200" s="1115"/>
      <c r="AE5200" s="1115"/>
      <c r="AF5200" s="1115"/>
      <c r="AG5200" s="1115"/>
      <c r="AH5200" s="1115"/>
      <c r="AI5200" s="1115"/>
      <c r="AJ5200" s="1117"/>
      <c r="AK5200" s="1118"/>
      <c r="AL5200" s="1115"/>
      <c r="AM5200" s="1115"/>
      <c r="AN5200" s="1115"/>
      <c r="AO5200" s="1115"/>
      <c r="AP5200" s="1115"/>
      <c r="AQ5200" s="1115"/>
      <c r="AR5200" s="1115"/>
      <c r="AS5200" s="1117"/>
      <c r="AT5200" s="1075"/>
      <c r="AU5200" s="1193"/>
      <c r="AV5200" s="330"/>
      <c r="AW5200" s="331"/>
      <c r="AX5200" s="331"/>
      <c r="AY5200" s="331"/>
      <c r="AZ5200" s="331"/>
      <c r="BA5200" s="331"/>
      <c r="BB5200" s="331"/>
      <c r="BC5200" s="331"/>
      <c r="BD5200" s="331"/>
      <c r="BE5200" s="333"/>
      <c r="BF5200" s="330"/>
      <c r="BG5200" s="333"/>
      <c r="BH5200" s="1119"/>
      <c r="BI5200" s="319"/>
      <c r="BJ5200" s="319"/>
      <c r="BK5200" s="319"/>
      <c r="BL5200" s="319"/>
      <c r="BM5200" s="319"/>
      <c r="BN5200" s="319"/>
      <c r="BO5200" s="319"/>
      <c r="BP5200" s="953"/>
      <c r="BQ5200" s="319"/>
      <c r="BR5200" s="319"/>
      <c r="BS5200" s="330"/>
      <c r="BT5200" s="331"/>
      <c r="BU5200" s="920"/>
      <c r="BV5200" s="903"/>
      <c r="BW5200" s="908"/>
      <c r="BX5200" s="908"/>
      <c r="BY5200" s="331"/>
      <c r="BZ5200" s="331"/>
      <c r="CA5200" s="462"/>
      <c r="CB5200" s="319"/>
      <c r="CC5200" s="319"/>
      <c r="CD5200" s="319"/>
      <c r="CE5200" s="319"/>
      <c r="CF5200" s="319"/>
      <c r="CG5200" s="319"/>
      <c r="CH5200" s="318"/>
      <c r="CI5200" s="319"/>
      <c r="CJ5200" s="319"/>
      <c r="CK5200" s="342"/>
      <c r="CL5200" s="333"/>
      <c r="CM5200" s="1079"/>
      <c r="CN5200" s="1005"/>
      <c r="CO5200" s="1005"/>
      <c r="CP5200" s="1005"/>
    </row>
    <row r="5201">
      <c r="A5201" s="1257"/>
      <c r="B5201" s="1113"/>
      <c r="C5201" s="1107"/>
      <c r="D5201" s="103"/>
      <c r="E5201" s="1137"/>
      <c r="F5201" s="112"/>
      <c r="G5201" s="1110"/>
      <c r="H5201" s="1138"/>
      <c r="I5201" s="1138"/>
      <c r="J5201" s="1139"/>
      <c r="K5201" s="1111"/>
      <c r="L5201" s="1112"/>
      <c r="M5201" s="1113"/>
      <c r="N5201" s="110"/>
      <c r="O5201" s="1140"/>
      <c r="P5201" s="1115"/>
      <c r="Q5201" s="1116"/>
      <c r="R5201" s="1141"/>
      <c r="S5201" s="1113"/>
      <c r="T5201" s="1143"/>
      <c r="U5201" s="1108"/>
      <c r="V5201" s="1108"/>
      <c r="W5201" s="1108"/>
      <c r="X5201" s="1108"/>
      <c r="Y5201" s="1108"/>
      <c r="Z5201" s="1114"/>
      <c r="AA5201" s="1114"/>
      <c r="AB5201" s="1114"/>
      <c r="AC5201" s="1117"/>
      <c r="AD5201" s="1115"/>
      <c r="AE5201" s="1115"/>
      <c r="AF5201" s="1115"/>
      <c r="AG5201" s="1115"/>
      <c r="AH5201" s="1115"/>
      <c r="AI5201" s="1115"/>
      <c r="AJ5201" s="1117"/>
      <c r="AK5201" s="1118"/>
      <c r="AL5201" s="1115"/>
      <c r="AM5201" s="1115"/>
      <c r="AN5201" s="1115"/>
      <c r="AO5201" s="1115"/>
      <c r="AP5201" s="1115"/>
      <c r="AQ5201" s="1115"/>
      <c r="AR5201" s="1115"/>
      <c r="AS5201" s="1117"/>
      <c r="AT5201" s="1075"/>
      <c r="AU5201" s="1193"/>
      <c r="AV5201" s="330"/>
      <c r="AW5201" s="331"/>
      <c r="AX5201" s="331"/>
      <c r="AY5201" s="331"/>
      <c r="AZ5201" s="331"/>
      <c r="BA5201" s="331"/>
      <c r="BB5201" s="331"/>
      <c r="BC5201" s="331"/>
      <c r="BD5201" s="331"/>
      <c r="BE5201" s="333"/>
      <c r="BF5201" s="330"/>
      <c r="BG5201" s="333"/>
      <c r="BH5201" s="1119"/>
      <c r="BI5201" s="319"/>
      <c r="BJ5201" s="319"/>
      <c r="BK5201" s="319"/>
      <c r="BL5201" s="319"/>
      <c r="BM5201" s="319"/>
      <c r="BN5201" s="319"/>
      <c r="BO5201" s="319"/>
      <c r="BP5201" s="953"/>
      <c r="BQ5201" s="319"/>
      <c r="BR5201" s="319"/>
      <c r="BS5201" s="330"/>
      <c r="BT5201" s="331"/>
      <c r="BU5201" s="920"/>
      <c r="BV5201" s="903"/>
      <c r="BW5201" s="908"/>
      <c r="BX5201" s="908"/>
      <c r="BY5201" s="331"/>
      <c r="BZ5201" s="331"/>
      <c r="CA5201" s="462"/>
      <c r="CB5201" s="319"/>
      <c r="CC5201" s="319"/>
      <c r="CD5201" s="319"/>
      <c r="CE5201" s="319"/>
      <c r="CF5201" s="319"/>
      <c r="CG5201" s="319"/>
      <c r="CH5201" s="318"/>
      <c r="CI5201" s="319"/>
      <c r="CJ5201" s="319"/>
      <c r="CK5201" s="342"/>
      <c r="CL5201" s="333"/>
      <c r="CM5201" s="1079"/>
      <c r="CN5201" s="1005"/>
      <c r="CO5201" s="1005"/>
      <c r="CP5201" s="1005"/>
    </row>
    <row r="5202">
      <c r="A5202" s="1257"/>
      <c r="B5202" s="1113"/>
      <c r="C5202" s="1107"/>
      <c r="D5202" s="103"/>
      <c r="E5202" s="1137"/>
      <c r="F5202" s="112"/>
      <c r="G5202" s="1110"/>
      <c r="H5202" s="1138"/>
      <c r="I5202" s="1138"/>
      <c r="J5202" s="1139"/>
      <c r="K5202" s="1111"/>
      <c r="L5202" s="1112"/>
      <c r="M5202" s="1113"/>
      <c r="N5202" s="110"/>
      <c r="O5202" s="1140"/>
      <c r="P5202" s="1115"/>
      <c r="Q5202" s="1116"/>
      <c r="R5202" s="1141"/>
      <c r="S5202" s="1113"/>
      <c r="T5202" s="1143"/>
      <c r="U5202" s="1108"/>
      <c r="V5202" s="1108"/>
      <c r="W5202" s="1108"/>
      <c r="X5202" s="1108"/>
      <c r="Y5202" s="1108"/>
      <c r="Z5202" s="1114"/>
      <c r="AA5202" s="1114"/>
      <c r="AB5202" s="1114"/>
      <c r="AC5202" s="1117"/>
      <c r="AD5202" s="1115"/>
      <c r="AE5202" s="1115"/>
      <c r="AF5202" s="1115"/>
      <c r="AG5202" s="1115"/>
      <c r="AH5202" s="1115"/>
      <c r="AI5202" s="1115"/>
      <c r="AJ5202" s="1117"/>
      <c r="AK5202" s="1118"/>
      <c r="AL5202" s="1115"/>
      <c r="AM5202" s="1115"/>
      <c r="AN5202" s="1115"/>
      <c r="AO5202" s="1115"/>
      <c r="AP5202" s="1115"/>
      <c r="AQ5202" s="1115"/>
      <c r="AR5202" s="1115"/>
      <c r="AS5202" s="1117"/>
      <c r="AT5202" s="1075"/>
      <c r="AU5202" s="1193"/>
      <c r="AV5202" s="330"/>
      <c r="AW5202" s="331"/>
      <c r="AX5202" s="331"/>
      <c r="AY5202" s="331"/>
      <c r="AZ5202" s="331"/>
      <c r="BA5202" s="331"/>
      <c r="BB5202" s="331"/>
      <c r="BC5202" s="331"/>
      <c r="BD5202" s="331"/>
      <c r="BE5202" s="333"/>
      <c r="BF5202" s="330"/>
      <c r="BG5202" s="333"/>
      <c r="BH5202" s="1119"/>
      <c r="BI5202" s="319"/>
      <c r="BJ5202" s="319"/>
      <c r="BK5202" s="319"/>
      <c r="BL5202" s="319"/>
      <c r="BM5202" s="319"/>
      <c r="BN5202" s="319"/>
      <c r="BO5202" s="319"/>
      <c r="BP5202" s="953"/>
      <c r="BQ5202" s="319"/>
      <c r="BR5202" s="319"/>
      <c r="BS5202" s="330"/>
      <c r="BT5202" s="331"/>
      <c r="BU5202" s="920"/>
      <c r="BV5202" s="903"/>
      <c r="BW5202" s="908"/>
      <c r="BX5202" s="908"/>
      <c r="BY5202" s="331"/>
      <c r="BZ5202" s="331"/>
      <c r="CA5202" s="462"/>
      <c r="CB5202" s="319"/>
      <c r="CC5202" s="319"/>
      <c r="CD5202" s="319"/>
      <c r="CE5202" s="319"/>
      <c r="CF5202" s="319"/>
      <c r="CG5202" s="319"/>
      <c r="CH5202" s="318"/>
      <c r="CI5202" s="319"/>
      <c r="CJ5202" s="319"/>
      <c r="CK5202" s="342"/>
      <c r="CL5202" s="333"/>
      <c r="CM5202" s="1079"/>
      <c r="CN5202" s="1005"/>
      <c r="CO5202" s="1005"/>
      <c r="CP5202" s="1005"/>
    </row>
    <row r="5203">
      <c r="A5203" s="1257"/>
      <c r="B5203" s="1113"/>
      <c r="C5203" s="1107"/>
      <c r="D5203" s="103"/>
      <c r="E5203" s="1137"/>
      <c r="F5203" s="112"/>
      <c r="G5203" s="1110"/>
      <c r="H5203" s="1138"/>
      <c r="I5203" s="1138"/>
      <c r="J5203" s="1139"/>
      <c r="K5203" s="1111"/>
      <c r="L5203" s="1112"/>
      <c r="M5203" s="1113"/>
      <c r="N5203" s="110"/>
      <c r="O5203" s="1140"/>
      <c r="P5203" s="1115"/>
      <c r="Q5203" s="1116"/>
      <c r="R5203" s="1141"/>
      <c r="S5203" s="1113"/>
      <c r="T5203" s="1143"/>
      <c r="U5203" s="1108"/>
      <c r="V5203" s="1108"/>
      <c r="W5203" s="1108"/>
      <c r="X5203" s="1108"/>
      <c r="Y5203" s="1108"/>
      <c r="Z5203" s="1114"/>
      <c r="AA5203" s="1114"/>
      <c r="AB5203" s="1114"/>
      <c r="AC5203" s="1117"/>
      <c r="AD5203" s="1115"/>
      <c r="AE5203" s="1115"/>
      <c r="AF5203" s="1115"/>
      <c r="AG5203" s="1115"/>
      <c r="AH5203" s="1115"/>
      <c r="AI5203" s="1115"/>
      <c r="AJ5203" s="1117"/>
      <c r="AK5203" s="1118"/>
      <c r="AL5203" s="1115"/>
      <c r="AM5203" s="1115"/>
      <c r="AN5203" s="1115"/>
      <c r="AO5203" s="1115"/>
      <c r="AP5203" s="1115"/>
      <c r="AQ5203" s="1115"/>
      <c r="AR5203" s="1115"/>
      <c r="AS5203" s="1117"/>
      <c r="AT5203" s="1075"/>
      <c r="AU5203" s="1193"/>
      <c r="AV5203" s="330"/>
      <c r="AW5203" s="331"/>
      <c r="AX5203" s="331"/>
      <c r="AY5203" s="331"/>
      <c r="AZ5203" s="331"/>
      <c r="BA5203" s="331"/>
      <c r="BB5203" s="331"/>
      <c r="BC5203" s="331"/>
      <c r="BD5203" s="331"/>
      <c r="BE5203" s="333"/>
      <c r="BF5203" s="330"/>
      <c r="BG5203" s="333"/>
      <c r="BH5203" s="1119"/>
      <c r="BI5203" s="319"/>
      <c r="BJ5203" s="319"/>
      <c r="BK5203" s="319"/>
      <c r="BL5203" s="319"/>
      <c r="BM5203" s="319"/>
      <c r="BN5203" s="319"/>
      <c r="BO5203" s="319"/>
      <c r="BP5203" s="953"/>
      <c r="BQ5203" s="319"/>
      <c r="BR5203" s="319"/>
      <c r="BS5203" s="330"/>
      <c r="BT5203" s="331"/>
      <c r="BU5203" s="920"/>
      <c r="BV5203" s="903"/>
      <c r="BW5203" s="908"/>
      <c r="BX5203" s="908"/>
      <c r="BY5203" s="331"/>
      <c r="BZ5203" s="331"/>
      <c r="CA5203" s="462"/>
      <c r="CB5203" s="319"/>
      <c r="CC5203" s="319"/>
      <c r="CD5203" s="319"/>
      <c r="CE5203" s="319"/>
      <c r="CF5203" s="319"/>
      <c r="CG5203" s="319"/>
      <c r="CH5203" s="318"/>
      <c r="CI5203" s="319"/>
      <c r="CJ5203" s="319"/>
      <c r="CK5203" s="342"/>
      <c r="CL5203" s="333"/>
      <c r="CM5203" s="1079"/>
      <c r="CN5203" s="1005"/>
      <c r="CO5203" s="1005"/>
      <c r="CP5203" s="1005"/>
    </row>
    <row r="5204">
      <c r="A5204" s="1257"/>
      <c r="B5204" s="1113"/>
      <c r="C5204" s="1107"/>
      <c r="D5204" s="103"/>
      <c r="E5204" s="1137"/>
      <c r="F5204" s="112"/>
      <c r="G5204" s="1110"/>
      <c r="H5204" s="1138"/>
      <c r="I5204" s="1138"/>
      <c r="J5204" s="1139"/>
      <c r="K5204" s="1111"/>
      <c r="L5204" s="1112"/>
      <c r="M5204" s="1113"/>
      <c r="N5204" s="110"/>
      <c r="O5204" s="1140"/>
      <c r="P5204" s="1115"/>
      <c r="Q5204" s="1116"/>
      <c r="R5204" s="1141"/>
      <c r="S5204" s="1113"/>
      <c r="T5204" s="1143"/>
      <c r="U5204" s="1108"/>
      <c r="V5204" s="1108"/>
      <c r="W5204" s="1108"/>
      <c r="X5204" s="1108"/>
      <c r="Y5204" s="1108"/>
      <c r="Z5204" s="1114"/>
      <c r="AA5204" s="1114"/>
      <c r="AB5204" s="1114"/>
      <c r="AC5204" s="1117"/>
      <c r="AD5204" s="1115"/>
      <c r="AE5204" s="1115"/>
      <c r="AF5204" s="1115"/>
      <c r="AG5204" s="1115"/>
      <c r="AH5204" s="1115"/>
      <c r="AI5204" s="1115"/>
      <c r="AJ5204" s="1117"/>
      <c r="AK5204" s="1118"/>
      <c r="AL5204" s="1115"/>
      <c r="AM5204" s="1115"/>
      <c r="AN5204" s="1115"/>
      <c r="AO5204" s="1115"/>
      <c r="AP5204" s="1115"/>
      <c r="AQ5204" s="1115"/>
      <c r="AR5204" s="1115"/>
      <c r="AS5204" s="1117"/>
      <c r="AT5204" s="1075"/>
      <c r="AU5204" s="1193"/>
      <c r="AV5204" s="330"/>
      <c r="AW5204" s="331"/>
      <c r="AX5204" s="331"/>
      <c r="AY5204" s="331"/>
      <c r="AZ5204" s="331"/>
      <c r="BA5204" s="331"/>
      <c r="BB5204" s="331"/>
      <c r="BC5204" s="331"/>
      <c r="BD5204" s="331"/>
      <c r="BE5204" s="333"/>
      <c r="BF5204" s="330"/>
      <c r="BG5204" s="333"/>
      <c r="BH5204" s="1119"/>
      <c r="BI5204" s="319"/>
      <c r="BJ5204" s="319"/>
      <c r="BK5204" s="319"/>
      <c r="BL5204" s="319"/>
      <c r="BM5204" s="319"/>
      <c r="BN5204" s="319"/>
      <c r="BO5204" s="319"/>
      <c r="BP5204" s="953"/>
      <c r="BQ5204" s="319"/>
      <c r="BR5204" s="319"/>
      <c r="BS5204" s="330"/>
      <c r="BT5204" s="331"/>
      <c r="BU5204" s="920"/>
      <c r="BV5204" s="903"/>
      <c r="BW5204" s="908"/>
      <c r="BX5204" s="908"/>
      <c r="BY5204" s="331"/>
      <c r="BZ5204" s="331"/>
      <c r="CA5204" s="462"/>
      <c r="CB5204" s="319"/>
      <c r="CC5204" s="319"/>
      <c r="CD5204" s="319"/>
      <c r="CE5204" s="319"/>
      <c r="CF5204" s="319"/>
      <c r="CG5204" s="319"/>
      <c r="CH5204" s="318"/>
      <c r="CI5204" s="319"/>
      <c r="CJ5204" s="319"/>
      <c r="CK5204" s="342"/>
      <c r="CL5204" s="333"/>
      <c r="CM5204" s="1079"/>
      <c r="CN5204" s="1005"/>
      <c r="CO5204" s="1005"/>
      <c r="CP5204" s="1005"/>
    </row>
    <row r="5205">
      <c r="A5205" s="1257"/>
      <c r="B5205" s="1113"/>
      <c r="C5205" s="1107"/>
      <c r="D5205" s="103"/>
      <c r="E5205" s="1137"/>
      <c r="F5205" s="112"/>
      <c r="G5205" s="1110"/>
      <c r="H5205" s="1138"/>
      <c r="I5205" s="1138"/>
      <c r="J5205" s="1139"/>
      <c r="K5205" s="1111"/>
      <c r="L5205" s="1112"/>
      <c r="M5205" s="1113"/>
      <c r="N5205" s="110"/>
      <c r="O5205" s="1140"/>
      <c r="P5205" s="1115"/>
      <c r="Q5205" s="1116"/>
      <c r="R5205" s="1141"/>
      <c r="S5205" s="1113"/>
      <c r="T5205" s="1143"/>
      <c r="U5205" s="1108"/>
      <c r="V5205" s="1108"/>
      <c r="W5205" s="1108"/>
      <c r="X5205" s="1108"/>
      <c r="Y5205" s="1108"/>
      <c r="Z5205" s="1114"/>
      <c r="AA5205" s="1114"/>
      <c r="AB5205" s="1114"/>
      <c r="AC5205" s="1117"/>
      <c r="AD5205" s="1115"/>
      <c r="AE5205" s="1115"/>
      <c r="AF5205" s="1115"/>
      <c r="AG5205" s="1115"/>
      <c r="AH5205" s="1115"/>
      <c r="AI5205" s="1115"/>
      <c r="AJ5205" s="1117"/>
      <c r="AK5205" s="1118"/>
      <c r="AL5205" s="1115"/>
      <c r="AM5205" s="1115"/>
      <c r="AN5205" s="1115"/>
      <c r="AO5205" s="1115"/>
      <c r="AP5205" s="1115"/>
      <c r="AQ5205" s="1115"/>
      <c r="AR5205" s="1115"/>
      <c r="AS5205" s="1117"/>
      <c r="AT5205" s="1075"/>
      <c r="AU5205" s="1193"/>
      <c r="AV5205" s="330"/>
      <c r="AW5205" s="331"/>
      <c r="AX5205" s="331"/>
      <c r="AY5205" s="331"/>
      <c r="AZ5205" s="331"/>
      <c r="BA5205" s="331"/>
      <c r="BB5205" s="331"/>
      <c r="BC5205" s="331"/>
      <c r="BD5205" s="331"/>
      <c r="BE5205" s="333"/>
      <c r="BF5205" s="330"/>
      <c r="BG5205" s="333"/>
      <c r="BH5205" s="1119"/>
      <c r="BI5205" s="319"/>
      <c r="BJ5205" s="319"/>
      <c r="BK5205" s="319"/>
      <c r="BL5205" s="319"/>
      <c r="BM5205" s="319"/>
      <c r="BN5205" s="319"/>
      <c r="BO5205" s="319"/>
      <c r="BP5205" s="953"/>
      <c r="BQ5205" s="319"/>
      <c r="BR5205" s="319"/>
      <c r="BS5205" s="330"/>
      <c r="BT5205" s="331"/>
      <c r="BU5205" s="920"/>
      <c r="BV5205" s="903"/>
      <c r="BW5205" s="908"/>
      <c r="BX5205" s="908"/>
      <c r="BY5205" s="331"/>
      <c r="BZ5205" s="331"/>
      <c r="CA5205" s="462"/>
      <c r="CB5205" s="319"/>
      <c r="CC5205" s="319"/>
      <c r="CD5205" s="319"/>
      <c r="CE5205" s="319"/>
      <c r="CF5205" s="319"/>
      <c r="CG5205" s="319"/>
      <c r="CH5205" s="318"/>
      <c r="CI5205" s="319"/>
      <c r="CJ5205" s="319"/>
      <c r="CK5205" s="342"/>
      <c r="CL5205" s="333"/>
      <c r="CM5205" s="1079"/>
      <c r="CN5205" s="1005"/>
      <c r="CO5205" s="1005"/>
      <c r="CP5205" s="1005"/>
    </row>
    <row r="5206">
      <c r="A5206" s="1257"/>
      <c r="B5206" s="1113"/>
      <c r="C5206" s="1107"/>
      <c r="D5206" s="103"/>
      <c r="E5206" s="1137"/>
      <c r="F5206" s="112"/>
      <c r="G5206" s="1110"/>
      <c r="H5206" s="1138"/>
      <c r="I5206" s="1138"/>
      <c r="J5206" s="1139"/>
      <c r="K5206" s="1111"/>
      <c r="L5206" s="1112"/>
      <c r="M5206" s="1113"/>
      <c r="N5206" s="110"/>
      <c r="O5206" s="1140"/>
      <c r="P5206" s="1115"/>
      <c r="Q5206" s="1116"/>
      <c r="R5206" s="1141"/>
      <c r="S5206" s="1113"/>
      <c r="T5206" s="1143"/>
      <c r="U5206" s="1108"/>
      <c r="V5206" s="1108"/>
      <c r="W5206" s="1108"/>
      <c r="X5206" s="1108"/>
      <c r="Y5206" s="1108"/>
      <c r="Z5206" s="1114"/>
      <c r="AA5206" s="1114"/>
      <c r="AB5206" s="1114"/>
      <c r="AC5206" s="1117"/>
      <c r="AD5206" s="1115"/>
      <c r="AE5206" s="1115"/>
      <c r="AF5206" s="1115"/>
      <c r="AG5206" s="1115"/>
      <c r="AH5206" s="1115"/>
      <c r="AI5206" s="1115"/>
      <c r="AJ5206" s="1117"/>
      <c r="AK5206" s="1118"/>
      <c r="AL5206" s="1115"/>
      <c r="AM5206" s="1115"/>
      <c r="AN5206" s="1115"/>
      <c r="AO5206" s="1115"/>
      <c r="AP5206" s="1115"/>
      <c r="AQ5206" s="1115"/>
      <c r="AR5206" s="1115"/>
      <c r="AS5206" s="1117"/>
      <c r="AT5206" s="1075"/>
      <c r="AU5206" s="1193"/>
      <c r="AV5206" s="330"/>
      <c r="AW5206" s="331"/>
      <c r="AX5206" s="331"/>
      <c r="AY5206" s="331"/>
      <c r="AZ5206" s="331"/>
      <c r="BA5206" s="331"/>
      <c r="BB5206" s="331"/>
      <c r="BC5206" s="331"/>
      <c r="BD5206" s="331"/>
      <c r="BE5206" s="333"/>
      <c r="BF5206" s="330"/>
      <c r="BG5206" s="333"/>
      <c r="BH5206" s="1119"/>
      <c r="BI5206" s="319"/>
      <c r="BJ5206" s="319"/>
      <c r="BK5206" s="319"/>
      <c r="BL5206" s="319"/>
      <c r="BM5206" s="319"/>
      <c r="BN5206" s="319"/>
      <c r="BO5206" s="319"/>
      <c r="BP5206" s="953"/>
      <c r="BQ5206" s="319"/>
      <c r="BR5206" s="319"/>
      <c r="BS5206" s="330"/>
      <c r="BT5206" s="331"/>
      <c r="BU5206" s="920"/>
      <c r="BV5206" s="903"/>
      <c r="BW5206" s="908"/>
      <c r="BX5206" s="908"/>
      <c r="BY5206" s="331"/>
      <c r="BZ5206" s="331"/>
      <c r="CA5206" s="462"/>
      <c r="CB5206" s="319"/>
      <c r="CC5206" s="319"/>
      <c r="CD5206" s="319"/>
      <c r="CE5206" s="319"/>
      <c r="CF5206" s="319"/>
      <c r="CG5206" s="319"/>
      <c r="CH5206" s="318"/>
      <c r="CI5206" s="319"/>
      <c r="CJ5206" s="319"/>
      <c r="CK5206" s="342"/>
      <c r="CL5206" s="333"/>
      <c r="CM5206" s="1079"/>
      <c r="CN5206" s="1005"/>
      <c r="CO5206" s="1005"/>
      <c r="CP5206" s="1005"/>
    </row>
    <row r="5207">
      <c r="A5207" s="1257"/>
      <c r="B5207" s="1113"/>
      <c r="C5207" s="1107"/>
      <c r="D5207" s="103"/>
      <c r="E5207" s="1137"/>
      <c r="F5207" s="112"/>
      <c r="G5207" s="1110"/>
      <c r="H5207" s="1138"/>
      <c r="I5207" s="1138"/>
      <c r="J5207" s="1139"/>
      <c r="K5207" s="1111"/>
      <c r="L5207" s="1112"/>
      <c r="M5207" s="1113"/>
      <c r="N5207" s="110"/>
      <c r="O5207" s="1140"/>
      <c r="P5207" s="1115"/>
      <c r="Q5207" s="1116"/>
      <c r="R5207" s="1141"/>
      <c r="S5207" s="1113"/>
      <c r="T5207" s="1143"/>
      <c r="U5207" s="1108"/>
      <c r="V5207" s="1108"/>
      <c r="W5207" s="1108"/>
      <c r="X5207" s="1108"/>
      <c r="Y5207" s="1108"/>
      <c r="Z5207" s="1114"/>
      <c r="AA5207" s="1114"/>
      <c r="AB5207" s="1114"/>
      <c r="AC5207" s="1117"/>
      <c r="AD5207" s="1115"/>
      <c r="AE5207" s="1115"/>
      <c r="AF5207" s="1115"/>
      <c r="AG5207" s="1115"/>
      <c r="AH5207" s="1115"/>
      <c r="AI5207" s="1115"/>
      <c r="AJ5207" s="1117"/>
      <c r="AK5207" s="1118"/>
      <c r="AL5207" s="1115"/>
      <c r="AM5207" s="1115"/>
      <c r="AN5207" s="1115"/>
      <c r="AO5207" s="1115"/>
      <c r="AP5207" s="1115"/>
      <c r="AQ5207" s="1115"/>
      <c r="AR5207" s="1115"/>
      <c r="AS5207" s="1117"/>
      <c r="AT5207" s="1075"/>
      <c r="AU5207" s="1193"/>
      <c r="AV5207" s="330"/>
      <c r="AW5207" s="331"/>
      <c r="AX5207" s="331"/>
      <c r="AY5207" s="331"/>
      <c r="AZ5207" s="331"/>
      <c r="BA5207" s="331"/>
      <c r="BB5207" s="331"/>
      <c r="BC5207" s="331"/>
      <c r="BD5207" s="331"/>
      <c r="BE5207" s="333"/>
      <c r="BF5207" s="330"/>
      <c r="BG5207" s="333"/>
      <c r="BH5207" s="1119"/>
      <c r="BI5207" s="319"/>
      <c r="BJ5207" s="319"/>
      <c r="BK5207" s="319"/>
      <c r="BL5207" s="319"/>
      <c r="BM5207" s="319"/>
      <c r="BN5207" s="319"/>
      <c r="BO5207" s="319"/>
      <c r="BP5207" s="953"/>
      <c r="BQ5207" s="319"/>
      <c r="BR5207" s="319"/>
      <c r="BS5207" s="330"/>
      <c r="BT5207" s="331"/>
      <c r="BU5207" s="920"/>
      <c r="BV5207" s="903"/>
      <c r="BW5207" s="908"/>
      <c r="BX5207" s="908"/>
      <c r="BY5207" s="331"/>
      <c r="BZ5207" s="331"/>
      <c r="CA5207" s="462"/>
      <c r="CB5207" s="319"/>
      <c r="CC5207" s="319"/>
      <c r="CD5207" s="319"/>
      <c r="CE5207" s="319"/>
      <c r="CF5207" s="319"/>
      <c r="CG5207" s="319"/>
      <c r="CH5207" s="318"/>
      <c r="CI5207" s="319"/>
      <c r="CJ5207" s="319"/>
      <c r="CK5207" s="342"/>
      <c r="CL5207" s="333"/>
      <c r="CM5207" s="1079"/>
      <c r="CN5207" s="1005"/>
      <c r="CO5207" s="1005"/>
      <c r="CP5207" s="1005"/>
    </row>
    <row r="5208">
      <c r="A5208" s="1257"/>
      <c r="B5208" s="1113"/>
      <c r="C5208" s="1107"/>
      <c r="D5208" s="103"/>
      <c r="E5208" s="1137"/>
      <c r="F5208" s="112"/>
      <c r="G5208" s="1110"/>
      <c r="H5208" s="1138"/>
      <c r="I5208" s="1138"/>
      <c r="J5208" s="1139"/>
      <c r="K5208" s="1111"/>
      <c r="L5208" s="1112"/>
      <c r="M5208" s="1113"/>
      <c r="N5208" s="110"/>
      <c r="O5208" s="1140"/>
      <c r="P5208" s="1115"/>
      <c r="Q5208" s="1116"/>
      <c r="R5208" s="1141"/>
      <c r="S5208" s="1113"/>
      <c r="T5208" s="1143"/>
      <c r="U5208" s="1108"/>
      <c r="V5208" s="1108"/>
      <c r="W5208" s="1108"/>
      <c r="X5208" s="1108"/>
      <c r="Y5208" s="1108"/>
      <c r="Z5208" s="1114"/>
      <c r="AA5208" s="1114"/>
      <c r="AB5208" s="1114"/>
      <c r="AC5208" s="1117"/>
      <c r="AD5208" s="1115"/>
      <c r="AE5208" s="1115"/>
      <c r="AF5208" s="1115"/>
      <c r="AG5208" s="1115"/>
      <c r="AH5208" s="1115"/>
      <c r="AI5208" s="1115"/>
      <c r="AJ5208" s="1117"/>
      <c r="AK5208" s="1118"/>
      <c r="AL5208" s="1115"/>
      <c r="AM5208" s="1115"/>
      <c r="AN5208" s="1115"/>
      <c r="AO5208" s="1115"/>
      <c r="AP5208" s="1115"/>
      <c r="AQ5208" s="1115"/>
      <c r="AR5208" s="1115"/>
      <c r="AS5208" s="1117"/>
      <c r="AT5208" s="1075"/>
      <c r="AU5208" s="1193"/>
      <c r="AV5208" s="330"/>
      <c r="AW5208" s="331"/>
      <c r="AX5208" s="331"/>
      <c r="AY5208" s="331"/>
      <c r="AZ5208" s="331"/>
      <c r="BA5208" s="331"/>
      <c r="BB5208" s="331"/>
      <c r="BC5208" s="331"/>
      <c r="BD5208" s="331"/>
      <c r="BE5208" s="333"/>
      <c r="BF5208" s="330"/>
      <c r="BG5208" s="333"/>
      <c r="BH5208" s="1119"/>
      <c r="BI5208" s="319"/>
      <c r="BJ5208" s="319"/>
      <c r="BK5208" s="319"/>
      <c r="BL5208" s="319"/>
      <c r="BM5208" s="319"/>
      <c r="BN5208" s="319"/>
      <c r="BO5208" s="319"/>
      <c r="BP5208" s="953"/>
      <c r="BQ5208" s="319"/>
      <c r="BR5208" s="319"/>
      <c r="BS5208" s="330"/>
      <c r="BT5208" s="331"/>
      <c r="BU5208" s="920"/>
      <c r="BV5208" s="903"/>
      <c r="BW5208" s="908"/>
      <c r="BX5208" s="908"/>
      <c r="BY5208" s="331"/>
      <c r="BZ5208" s="331"/>
      <c r="CA5208" s="462"/>
      <c r="CB5208" s="319"/>
      <c r="CC5208" s="319"/>
      <c r="CD5208" s="319"/>
      <c r="CE5208" s="319"/>
      <c r="CF5208" s="319"/>
      <c r="CG5208" s="319"/>
      <c r="CH5208" s="318"/>
      <c r="CI5208" s="319"/>
      <c r="CJ5208" s="319"/>
      <c r="CK5208" s="342"/>
      <c r="CL5208" s="333"/>
      <c r="CM5208" s="1079"/>
      <c r="CN5208" s="1005"/>
      <c r="CO5208" s="1005"/>
      <c r="CP5208" s="1005"/>
    </row>
    <row r="5209">
      <c r="A5209" s="1257"/>
      <c r="B5209" s="1113"/>
      <c r="C5209" s="1107"/>
      <c r="D5209" s="103"/>
      <c r="E5209" s="1137"/>
      <c r="F5209" s="112"/>
      <c r="G5209" s="1110"/>
      <c r="H5209" s="1138"/>
      <c r="I5209" s="1138"/>
      <c r="J5209" s="1139"/>
      <c r="K5209" s="1111"/>
      <c r="L5209" s="1112"/>
      <c r="M5209" s="1113"/>
      <c r="N5209" s="110"/>
      <c r="O5209" s="1140"/>
      <c r="P5209" s="1115"/>
      <c r="Q5209" s="1116"/>
      <c r="R5209" s="1141"/>
      <c r="S5209" s="1113"/>
      <c r="T5209" s="1143"/>
      <c r="U5209" s="1108"/>
      <c r="V5209" s="1108"/>
      <c r="W5209" s="1108"/>
      <c r="X5209" s="1108"/>
      <c r="Y5209" s="1108"/>
      <c r="Z5209" s="1114"/>
      <c r="AA5209" s="1114"/>
      <c r="AB5209" s="1114"/>
      <c r="AC5209" s="1117"/>
      <c r="AD5209" s="1115"/>
      <c r="AE5209" s="1115"/>
      <c r="AF5209" s="1115"/>
      <c r="AG5209" s="1115"/>
      <c r="AH5209" s="1115"/>
      <c r="AI5209" s="1115"/>
      <c r="AJ5209" s="1117"/>
      <c r="AK5209" s="1118"/>
      <c r="AL5209" s="1115"/>
      <c r="AM5209" s="1115"/>
      <c r="AN5209" s="1115"/>
      <c r="AO5209" s="1115"/>
      <c r="AP5209" s="1115"/>
      <c r="AQ5209" s="1115"/>
      <c r="AR5209" s="1115"/>
      <c r="AS5209" s="1117"/>
      <c r="AT5209" s="1075"/>
      <c r="AU5209" s="1193"/>
      <c r="AV5209" s="330"/>
      <c r="AW5209" s="331"/>
      <c r="AX5209" s="331"/>
      <c r="AY5209" s="331"/>
      <c r="AZ5209" s="331"/>
      <c r="BA5209" s="331"/>
      <c r="BB5209" s="331"/>
      <c r="BC5209" s="331"/>
      <c r="BD5209" s="331"/>
      <c r="BE5209" s="333"/>
      <c r="BF5209" s="330"/>
      <c r="BG5209" s="333"/>
      <c r="BH5209" s="1119"/>
      <c r="BI5209" s="319"/>
      <c r="BJ5209" s="319"/>
      <c r="BK5209" s="319"/>
      <c r="BL5209" s="319"/>
      <c r="BM5209" s="319"/>
      <c r="BN5209" s="319"/>
      <c r="BO5209" s="319"/>
      <c r="BP5209" s="953"/>
      <c r="BQ5209" s="319"/>
      <c r="BR5209" s="319"/>
      <c r="BS5209" s="330"/>
      <c r="BT5209" s="331"/>
      <c r="BU5209" s="920"/>
      <c r="BV5209" s="903"/>
      <c r="BW5209" s="908"/>
      <c r="BX5209" s="908"/>
      <c r="BY5209" s="331"/>
      <c r="BZ5209" s="331"/>
      <c r="CA5209" s="462"/>
      <c r="CB5209" s="319"/>
      <c r="CC5209" s="319"/>
      <c r="CD5209" s="319"/>
      <c r="CE5209" s="319"/>
      <c r="CF5209" s="319"/>
      <c r="CG5209" s="319"/>
      <c r="CH5209" s="318"/>
      <c r="CI5209" s="319"/>
      <c r="CJ5209" s="319"/>
      <c r="CK5209" s="342"/>
      <c r="CL5209" s="333"/>
      <c r="CM5209" s="1079"/>
      <c r="CN5209" s="1005"/>
      <c r="CO5209" s="1005"/>
      <c r="CP5209" s="1005"/>
    </row>
    <row r="5210">
      <c r="A5210" s="1257"/>
      <c r="B5210" s="1113"/>
      <c r="C5210" s="1107"/>
      <c r="D5210" s="103"/>
      <c r="E5210" s="1137"/>
      <c r="F5210" s="112"/>
      <c r="G5210" s="1110"/>
      <c r="H5210" s="1138"/>
      <c r="I5210" s="1138"/>
      <c r="J5210" s="1139"/>
      <c r="K5210" s="1111"/>
      <c r="L5210" s="1112"/>
      <c r="M5210" s="1113"/>
      <c r="N5210" s="110"/>
      <c r="O5210" s="1140"/>
      <c r="P5210" s="1115"/>
      <c r="Q5210" s="1116"/>
      <c r="R5210" s="1141"/>
      <c r="S5210" s="1113"/>
      <c r="T5210" s="1143"/>
      <c r="U5210" s="1108"/>
      <c r="V5210" s="1108"/>
      <c r="W5210" s="1108"/>
      <c r="X5210" s="1108"/>
      <c r="Y5210" s="1108"/>
      <c r="Z5210" s="1114"/>
      <c r="AA5210" s="1114"/>
      <c r="AB5210" s="1114"/>
      <c r="AC5210" s="1117"/>
      <c r="AD5210" s="1115"/>
      <c r="AE5210" s="1115"/>
      <c r="AF5210" s="1115"/>
      <c r="AG5210" s="1115"/>
      <c r="AH5210" s="1115"/>
      <c r="AI5210" s="1115"/>
      <c r="AJ5210" s="1117"/>
      <c r="AK5210" s="1118"/>
      <c r="AL5210" s="1115"/>
      <c r="AM5210" s="1115"/>
      <c r="AN5210" s="1115"/>
      <c r="AO5210" s="1115"/>
      <c r="AP5210" s="1115"/>
      <c r="AQ5210" s="1115"/>
      <c r="AR5210" s="1115"/>
      <c r="AS5210" s="1117"/>
      <c r="AT5210" s="1075"/>
      <c r="AU5210" s="1193"/>
      <c r="AV5210" s="330"/>
      <c r="AW5210" s="331"/>
      <c r="AX5210" s="331"/>
      <c r="AY5210" s="331"/>
      <c r="AZ5210" s="331"/>
      <c r="BA5210" s="331"/>
      <c r="BB5210" s="331"/>
      <c r="BC5210" s="331"/>
      <c r="BD5210" s="331"/>
      <c r="BE5210" s="333"/>
      <c r="BF5210" s="330"/>
      <c r="BG5210" s="333"/>
      <c r="BH5210" s="1119"/>
      <c r="BI5210" s="319"/>
      <c r="BJ5210" s="319"/>
      <c r="BK5210" s="319"/>
      <c r="BL5210" s="319"/>
      <c r="BM5210" s="319"/>
      <c r="BN5210" s="319"/>
      <c r="BO5210" s="319"/>
      <c r="BP5210" s="953"/>
      <c r="BQ5210" s="319"/>
      <c r="BR5210" s="319"/>
      <c r="BS5210" s="330"/>
      <c r="BT5210" s="331"/>
      <c r="BU5210" s="920"/>
      <c r="BV5210" s="903"/>
      <c r="BW5210" s="908"/>
      <c r="BX5210" s="908"/>
      <c r="BY5210" s="331"/>
      <c r="BZ5210" s="331"/>
      <c r="CA5210" s="462"/>
      <c r="CB5210" s="319"/>
      <c r="CC5210" s="319"/>
      <c r="CD5210" s="319"/>
      <c r="CE5210" s="319"/>
      <c r="CF5210" s="319"/>
      <c r="CG5210" s="319"/>
      <c r="CH5210" s="318"/>
      <c r="CI5210" s="319"/>
      <c r="CJ5210" s="319"/>
      <c r="CK5210" s="342"/>
      <c r="CL5210" s="333"/>
      <c r="CM5210" s="1079"/>
      <c r="CN5210" s="1005"/>
      <c r="CO5210" s="1005"/>
      <c r="CP5210" s="1005"/>
    </row>
    <row r="5211">
      <c r="A5211" s="1257"/>
      <c r="B5211" s="1113"/>
      <c r="C5211" s="1107"/>
      <c r="D5211" s="103"/>
      <c r="E5211" s="1137"/>
      <c r="F5211" s="112"/>
      <c r="G5211" s="1110"/>
      <c r="H5211" s="1138"/>
      <c r="I5211" s="1138"/>
      <c r="J5211" s="1139"/>
      <c r="K5211" s="1111"/>
      <c r="L5211" s="1112"/>
      <c r="M5211" s="1113"/>
      <c r="N5211" s="110"/>
      <c r="O5211" s="1140"/>
      <c r="P5211" s="1115"/>
      <c r="Q5211" s="1116"/>
      <c r="R5211" s="1141"/>
      <c r="S5211" s="1113"/>
      <c r="T5211" s="1143"/>
      <c r="U5211" s="1108"/>
      <c r="V5211" s="1108"/>
      <c r="W5211" s="1108"/>
      <c r="X5211" s="1108"/>
      <c r="Y5211" s="1108"/>
      <c r="Z5211" s="1114"/>
      <c r="AA5211" s="1114"/>
      <c r="AB5211" s="1114"/>
      <c r="AC5211" s="1117"/>
      <c r="AD5211" s="1115"/>
      <c r="AE5211" s="1115"/>
      <c r="AF5211" s="1115"/>
      <c r="AG5211" s="1115"/>
      <c r="AH5211" s="1115"/>
      <c r="AI5211" s="1115"/>
      <c r="AJ5211" s="1117"/>
      <c r="AK5211" s="1118"/>
      <c r="AL5211" s="1115"/>
      <c r="AM5211" s="1115"/>
      <c r="AN5211" s="1115"/>
      <c r="AO5211" s="1115"/>
      <c r="AP5211" s="1115"/>
      <c r="AQ5211" s="1115"/>
      <c r="AR5211" s="1115"/>
      <c r="AS5211" s="1117"/>
      <c r="AT5211" s="1075"/>
      <c r="AU5211" s="1193"/>
      <c r="AV5211" s="330"/>
      <c r="AW5211" s="331"/>
      <c r="AX5211" s="331"/>
      <c r="AY5211" s="331"/>
      <c r="AZ5211" s="331"/>
      <c r="BA5211" s="331"/>
      <c r="BB5211" s="331"/>
      <c r="BC5211" s="331"/>
      <c r="BD5211" s="331"/>
      <c r="BE5211" s="333"/>
      <c r="BF5211" s="330"/>
      <c r="BG5211" s="333"/>
      <c r="BH5211" s="1119"/>
      <c r="BI5211" s="319"/>
      <c r="BJ5211" s="319"/>
      <c r="BK5211" s="319"/>
      <c r="BL5211" s="319"/>
      <c r="BM5211" s="319"/>
      <c r="BN5211" s="319"/>
      <c r="BO5211" s="319"/>
      <c r="BP5211" s="953"/>
      <c r="BQ5211" s="319"/>
      <c r="BR5211" s="319"/>
      <c r="BS5211" s="330"/>
      <c r="BT5211" s="331"/>
      <c r="BU5211" s="920"/>
      <c r="BV5211" s="903"/>
      <c r="BW5211" s="908"/>
      <c r="BX5211" s="908"/>
      <c r="BY5211" s="331"/>
      <c r="BZ5211" s="331"/>
      <c r="CA5211" s="462"/>
      <c r="CB5211" s="319"/>
      <c r="CC5211" s="319"/>
      <c r="CD5211" s="319"/>
      <c r="CE5211" s="319"/>
      <c r="CF5211" s="319"/>
      <c r="CG5211" s="319"/>
      <c r="CH5211" s="318"/>
      <c r="CI5211" s="319"/>
      <c r="CJ5211" s="319"/>
      <c r="CK5211" s="342"/>
      <c r="CL5211" s="333"/>
      <c r="CM5211" s="1079"/>
      <c r="CN5211" s="1005"/>
      <c r="CO5211" s="1005"/>
      <c r="CP5211" s="1005"/>
    </row>
    <row r="5212">
      <c r="A5212" s="1257"/>
      <c r="B5212" s="1113"/>
      <c r="C5212" s="1107"/>
      <c r="D5212" s="103"/>
      <c r="E5212" s="1137"/>
      <c r="F5212" s="112"/>
      <c r="G5212" s="1110"/>
      <c r="H5212" s="1138"/>
      <c r="I5212" s="1138"/>
      <c r="J5212" s="1139"/>
      <c r="K5212" s="1111"/>
      <c r="L5212" s="1112"/>
      <c r="M5212" s="1113"/>
      <c r="N5212" s="110"/>
      <c r="O5212" s="1140"/>
      <c r="P5212" s="1115"/>
      <c r="Q5212" s="1116"/>
      <c r="R5212" s="1141"/>
      <c r="S5212" s="1113"/>
      <c r="T5212" s="1143"/>
      <c r="U5212" s="1108"/>
      <c r="V5212" s="1108"/>
      <c r="W5212" s="1108"/>
      <c r="X5212" s="1108"/>
      <c r="Y5212" s="1108"/>
      <c r="Z5212" s="1114"/>
      <c r="AA5212" s="1114"/>
      <c r="AB5212" s="1114"/>
      <c r="AC5212" s="1117"/>
      <c r="AD5212" s="1115"/>
      <c r="AE5212" s="1115"/>
      <c r="AF5212" s="1115"/>
      <c r="AG5212" s="1115"/>
      <c r="AH5212" s="1115"/>
      <c r="AI5212" s="1115"/>
      <c r="AJ5212" s="1117"/>
      <c r="AK5212" s="1118"/>
      <c r="AL5212" s="1115"/>
      <c r="AM5212" s="1115"/>
      <c r="AN5212" s="1115"/>
      <c r="AO5212" s="1115"/>
      <c r="AP5212" s="1115"/>
      <c r="AQ5212" s="1115"/>
      <c r="AR5212" s="1115"/>
      <c r="AS5212" s="1117"/>
      <c r="AT5212" s="1075"/>
      <c r="AU5212" s="1193"/>
      <c r="AV5212" s="330"/>
      <c r="AW5212" s="331"/>
      <c r="AX5212" s="331"/>
      <c r="AY5212" s="331"/>
      <c r="AZ5212" s="331"/>
      <c r="BA5212" s="331"/>
      <c r="BB5212" s="331"/>
      <c r="BC5212" s="331"/>
      <c r="BD5212" s="331"/>
      <c r="BE5212" s="333"/>
      <c r="BF5212" s="330"/>
      <c r="BG5212" s="333"/>
      <c r="BH5212" s="1119"/>
      <c r="BI5212" s="319"/>
      <c r="BJ5212" s="319"/>
      <c r="BK5212" s="319"/>
      <c r="BL5212" s="319"/>
      <c r="BM5212" s="319"/>
      <c r="BN5212" s="319"/>
      <c r="BO5212" s="319"/>
      <c r="BP5212" s="953"/>
      <c r="BQ5212" s="319"/>
      <c r="BR5212" s="319"/>
      <c r="BS5212" s="330"/>
      <c r="BT5212" s="331"/>
      <c r="BU5212" s="920"/>
      <c r="BV5212" s="903"/>
      <c r="BW5212" s="908"/>
      <c r="BX5212" s="908"/>
      <c r="BY5212" s="331"/>
      <c r="BZ5212" s="331"/>
      <c r="CA5212" s="462"/>
      <c r="CB5212" s="319"/>
      <c r="CC5212" s="319"/>
      <c r="CD5212" s="319"/>
      <c r="CE5212" s="319"/>
      <c r="CF5212" s="319"/>
      <c r="CG5212" s="319"/>
      <c r="CH5212" s="318"/>
      <c r="CI5212" s="319"/>
      <c r="CJ5212" s="319"/>
      <c r="CK5212" s="342"/>
      <c r="CL5212" s="333"/>
      <c r="CM5212" s="1079"/>
      <c r="CN5212" s="1005"/>
      <c r="CO5212" s="1005"/>
      <c r="CP5212" s="1005"/>
    </row>
    <row r="5213">
      <c r="A5213" s="1257"/>
      <c r="B5213" s="1113"/>
      <c r="C5213" s="1107"/>
      <c r="D5213" s="103"/>
      <c r="E5213" s="1137"/>
      <c r="F5213" s="112"/>
      <c r="G5213" s="1110"/>
      <c r="H5213" s="1138"/>
      <c r="I5213" s="1138"/>
      <c r="J5213" s="1139"/>
      <c r="K5213" s="1111"/>
      <c r="L5213" s="1112"/>
      <c r="M5213" s="1113"/>
      <c r="N5213" s="110"/>
      <c r="O5213" s="1140"/>
      <c r="P5213" s="1115"/>
      <c r="Q5213" s="1116"/>
      <c r="R5213" s="1141"/>
      <c r="S5213" s="1113"/>
      <c r="T5213" s="1143"/>
      <c r="U5213" s="1108"/>
      <c r="V5213" s="1108"/>
      <c r="W5213" s="1108"/>
      <c r="X5213" s="1108"/>
      <c r="Y5213" s="1108"/>
      <c r="Z5213" s="1114"/>
      <c r="AA5213" s="1114"/>
      <c r="AB5213" s="1114"/>
      <c r="AC5213" s="1117"/>
      <c r="AD5213" s="1115"/>
      <c r="AE5213" s="1115"/>
      <c r="AF5213" s="1115"/>
      <c r="AG5213" s="1115"/>
      <c r="AH5213" s="1115"/>
      <c r="AI5213" s="1115"/>
      <c r="AJ5213" s="1117"/>
      <c r="AK5213" s="1118"/>
      <c r="AL5213" s="1115"/>
      <c r="AM5213" s="1115"/>
      <c r="AN5213" s="1115"/>
      <c r="AO5213" s="1115"/>
      <c r="AP5213" s="1115"/>
      <c r="AQ5213" s="1115"/>
      <c r="AR5213" s="1115"/>
      <c r="AS5213" s="1117"/>
      <c r="AT5213" s="1075"/>
      <c r="AU5213" s="1193"/>
      <c r="AV5213" s="330"/>
      <c r="AW5213" s="331"/>
      <c r="AX5213" s="331"/>
      <c r="AY5213" s="331"/>
      <c r="AZ5213" s="331"/>
      <c r="BA5213" s="331"/>
      <c r="BB5213" s="331"/>
      <c r="BC5213" s="331"/>
      <c r="BD5213" s="331"/>
      <c r="BE5213" s="333"/>
      <c r="BF5213" s="330"/>
      <c r="BG5213" s="333"/>
      <c r="BH5213" s="1119"/>
      <c r="BI5213" s="319"/>
      <c r="BJ5213" s="319"/>
      <c r="BK5213" s="319"/>
      <c r="BL5213" s="319"/>
      <c r="BM5213" s="319"/>
      <c r="BN5213" s="319"/>
      <c r="BO5213" s="319"/>
      <c r="BP5213" s="953"/>
      <c r="BQ5213" s="319"/>
      <c r="BR5213" s="319"/>
      <c r="BS5213" s="330"/>
      <c r="BT5213" s="331"/>
      <c r="BU5213" s="920"/>
      <c r="BV5213" s="903"/>
      <c r="BW5213" s="908"/>
      <c r="BX5213" s="908"/>
      <c r="BY5213" s="331"/>
      <c r="BZ5213" s="331"/>
      <c r="CA5213" s="462"/>
      <c r="CB5213" s="319"/>
      <c r="CC5213" s="319"/>
      <c r="CD5213" s="319"/>
      <c r="CE5213" s="319"/>
      <c r="CF5213" s="319"/>
      <c r="CG5213" s="319"/>
      <c r="CH5213" s="318"/>
      <c r="CI5213" s="319"/>
      <c r="CJ5213" s="319"/>
      <c r="CK5213" s="342"/>
      <c r="CL5213" s="333"/>
      <c r="CM5213" s="1079"/>
      <c r="CN5213" s="1005"/>
      <c r="CO5213" s="1005"/>
      <c r="CP5213" s="1005"/>
    </row>
    <row r="5214">
      <c r="A5214" s="1257"/>
      <c r="B5214" s="1113"/>
      <c r="C5214" s="1107"/>
      <c r="D5214" s="103"/>
      <c r="E5214" s="1137"/>
      <c r="F5214" s="112"/>
      <c r="G5214" s="1110"/>
      <c r="H5214" s="1138"/>
      <c r="I5214" s="1138"/>
      <c r="J5214" s="1139"/>
      <c r="K5214" s="1111"/>
      <c r="L5214" s="1112"/>
      <c r="M5214" s="1113"/>
      <c r="N5214" s="110"/>
      <c r="O5214" s="1140"/>
      <c r="P5214" s="1115"/>
      <c r="Q5214" s="1116"/>
      <c r="R5214" s="1141"/>
      <c r="S5214" s="1113"/>
      <c r="T5214" s="1143"/>
      <c r="U5214" s="1108"/>
      <c r="V5214" s="1108"/>
      <c r="W5214" s="1108"/>
      <c r="X5214" s="1108"/>
      <c r="Y5214" s="1108"/>
      <c r="Z5214" s="1114"/>
      <c r="AA5214" s="1114"/>
      <c r="AB5214" s="1114"/>
      <c r="AC5214" s="1117"/>
      <c r="AD5214" s="1115"/>
      <c r="AE5214" s="1115"/>
      <c r="AF5214" s="1115"/>
      <c r="AG5214" s="1115"/>
      <c r="AH5214" s="1115"/>
      <c r="AI5214" s="1115"/>
      <c r="AJ5214" s="1117"/>
      <c r="AK5214" s="1118"/>
      <c r="AL5214" s="1115"/>
      <c r="AM5214" s="1115"/>
      <c r="AN5214" s="1115"/>
      <c r="AO5214" s="1115"/>
      <c r="AP5214" s="1115"/>
      <c r="AQ5214" s="1115"/>
      <c r="AR5214" s="1115"/>
      <c r="AS5214" s="1117"/>
      <c r="AT5214" s="1075"/>
      <c r="AU5214" s="1193"/>
      <c r="AV5214" s="330"/>
      <c r="AW5214" s="331"/>
      <c r="AX5214" s="331"/>
      <c r="AY5214" s="331"/>
      <c r="AZ5214" s="331"/>
      <c r="BA5214" s="331"/>
      <c r="BB5214" s="331"/>
      <c r="BC5214" s="331"/>
      <c r="BD5214" s="331"/>
      <c r="BE5214" s="333"/>
      <c r="BF5214" s="330"/>
      <c r="BG5214" s="333"/>
      <c r="BH5214" s="1119"/>
      <c r="BI5214" s="319"/>
      <c r="BJ5214" s="319"/>
      <c r="BK5214" s="319"/>
      <c r="BL5214" s="319"/>
      <c r="BM5214" s="319"/>
      <c r="BN5214" s="319"/>
      <c r="BO5214" s="319"/>
      <c r="BP5214" s="953"/>
      <c r="BQ5214" s="319"/>
      <c r="BR5214" s="319"/>
      <c r="BS5214" s="330"/>
      <c r="BT5214" s="331"/>
      <c r="BU5214" s="920"/>
      <c r="BV5214" s="903"/>
      <c r="BW5214" s="908"/>
      <c r="BX5214" s="908"/>
      <c r="BY5214" s="331"/>
      <c r="BZ5214" s="331"/>
      <c r="CA5214" s="462"/>
      <c r="CB5214" s="319"/>
      <c r="CC5214" s="319"/>
      <c r="CD5214" s="319"/>
      <c r="CE5214" s="319"/>
      <c r="CF5214" s="319"/>
      <c r="CG5214" s="319"/>
      <c r="CH5214" s="318"/>
      <c r="CI5214" s="319"/>
      <c r="CJ5214" s="319"/>
      <c r="CK5214" s="342"/>
      <c r="CL5214" s="333"/>
      <c r="CM5214" s="1079"/>
      <c r="CN5214" s="1005"/>
      <c r="CO5214" s="1005"/>
      <c r="CP5214" s="1005"/>
    </row>
    <row r="5215">
      <c r="A5215" s="1257"/>
      <c r="B5215" s="1113"/>
      <c r="C5215" s="1107"/>
      <c r="D5215" s="103"/>
      <c r="E5215" s="1137"/>
      <c r="F5215" s="112"/>
      <c r="G5215" s="1110"/>
      <c r="H5215" s="1138"/>
      <c r="I5215" s="1138"/>
      <c r="J5215" s="1139"/>
      <c r="K5215" s="1111"/>
      <c r="L5215" s="1112"/>
      <c r="M5215" s="1113"/>
      <c r="N5215" s="110"/>
      <c r="O5215" s="1140"/>
      <c r="P5215" s="1115"/>
      <c r="Q5215" s="1116"/>
      <c r="R5215" s="1141"/>
      <c r="S5215" s="1113"/>
      <c r="T5215" s="1143"/>
      <c r="U5215" s="1108"/>
      <c r="V5215" s="1108"/>
      <c r="W5215" s="1108"/>
      <c r="X5215" s="1108"/>
      <c r="Y5215" s="1108"/>
      <c r="Z5215" s="1114"/>
      <c r="AA5215" s="1114"/>
      <c r="AB5215" s="1114"/>
      <c r="AC5215" s="1117"/>
      <c r="AD5215" s="1115"/>
      <c r="AE5215" s="1115"/>
      <c r="AF5215" s="1115"/>
      <c r="AG5215" s="1115"/>
      <c r="AH5215" s="1115"/>
      <c r="AI5215" s="1115"/>
      <c r="AJ5215" s="1117"/>
      <c r="AK5215" s="1118"/>
      <c r="AL5215" s="1115"/>
      <c r="AM5215" s="1115"/>
      <c r="AN5215" s="1115"/>
      <c r="AO5215" s="1115"/>
      <c r="AP5215" s="1115"/>
      <c r="AQ5215" s="1115"/>
      <c r="AR5215" s="1115"/>
      <c r="AS5215" s="1117"/>
      <c r="AT5215" s="1075"/>
      <c r="AU5215" s="1193"/>
      <c r="AV5215" s="330"/>
      <c r="AW5215" s="331"/>
      <c r="AX5215" s="331"/>
      <c r="AY5215" s="331"/>
      <c r="AZ5215" s="331"/>
      <c r="BA5215" s="331"/>
      <c r="BB5215" s="331"/>
      <c r="BC5215" s="331"/>
      <c r="BD5215" s="331"/>
      <c r="BE5215" s="333"/>
      <c r="BF5215" s="330"/>
      <c r="BG5215" s="333"/>
      <c r="BH5215" s="1119"/>
      <c r="BI5215" s="319"/>
      <c r="BJ5215" s="319"/>
      <c r="BK5215" s="319"/>
      <c r="BL5215" s="319"/>
      <c r="BM5215" s="319"/>
      <c r="BN5215" s="319"/>
      <c r="BO5215" s="319"/>
      <c r="BP5215" s="953"/>
      <c r="BQ5215" s="319"/>
      <c r="BR5215" s="319"/>
      <c r="BS5215" s="330"/>
      <c r="BT5215" s="331"/>
      <c r="BU5215" s="920"/>
      <c r="BV5215" s="903"/>
      <c r="BW5215" s="908"/>
      <c r="BX5215" s="908"/>
      <c r="BY5215" s="331"/>
      <c r="BZ5215" s="331"/>
      <c r="CA5215" s="462"/>
      <c r="CB5215" s="319"/>
      <c r="CC5215" s="319"/>
      <c r="CD5215" s="319"/>
      <c r="CE5215" s="319"/>
      <c r="CF5215" s="319"/>
      <c r="CG5215" s="319"/>
      <c r="CH5215" s="318"/>
      <c r="CI5215" s="319"/>
      <c r="CJ5215" s="319"/>
      <c r="CK5215" s="342"/>
      <c r="CL5215" s="333"/>
      <c r="CM5215" s="1079"/>
      <c r="CN5215" s="1005"/>
      <c r="CO5215" s="1005"/>
      <c r="CP5215" s="1005"/>
    </row>
    <row r="5216">
      <c r="A5216" s="1257"/>
      <c r="B5216" s="1113"/>
      <c r="C5216" s="1107"/>
      <c r="D5216" s="103"/>
      <c r="E5216" s="1137"/>
      <c r="F5216" s="112"/>
      <c r="G5216" s="1110"/>
      <c r="H5216" s="1138"/>
      <c r="I5216" s="1138"/>
      <c r="J5216" s="1139"/>
      <c r="K5216" s="1111"/>
      <c r="L5216" s="1112"/>
      <c r="M5216" s="1113"/>
      <c r="N5216" s="110"/>
      <c r="O5216" s="1140"/>
      <c r="P5216" s="1115"/>
      <c r="Q5216" s="1116"/>
      <c r="R5216" s="1141"/>
      <c r="S5216" s="1113"/>
      <c r="T5216" s="1143"/>
      <c r="U5216" s="1108"/>
      <c r="V5216" s="1108"/>
      <c r="W5216" s="1108"/>
      <c r="X5216" s="1108"/>
      <c r="Y5216" s="1108"/>
      <c r="Z5216" s="1114"/>
      <c r="AA5216" s="1114"/>
      <c r="AB5216" s="1114"/>
      <c r="AC5216" s="1117"/>
      <c r="AD5216" s="1115"/>
      <c r="AE5216" s="1115"/>
      <c r="AF5216" s="1115"/>
      <c r="AG5216" s="1115"/>
      <c r="AH5216" s="1115"/>
      <c r="AI5216" s="1115"/>
      <c r="AJ5216" s="1117"/>
      <c r="AK5216" s="1118"/>
      <c r="AL5216" s="1115"/>
      <c r="AM5216" s="1115"/>
      <c r="AN5216" s="1115"/>
      <c r="AO5216" s="1115"/>
      <c r="AP5216" s="1115"/>
      <c r="AQ5216" s="1115"/>
      <c r="AR5216" s="1115"/>
      <c r="AS5216" s="1117"/>
      <c r="AT5216" s="1075"/>
      <c r="AU5216" s="1193"/>
      <c r="AV5216" s="330"/>
      <c r="AW5216" s="331"/>
      <c r="AX5216" s="331"/>
      <c r="AY5216" s="331"/>
      <c r="AZ5216" s="331"/>
      <c r="BA5216" s="331"/>
      <c r="BB5216" s="331"/>
      <c r="BC5216" s="331"/>
      <c r="BD5216" s="331"/>
      <c r="BE5216" s="333"/>
      <c r="BF5216" s="330"/>
      <c r="BG5216" s="333"/>
      <c r="BH5216" s="1119"/>
      <c r="BI5216" s="319"/>
      <c r="BJ5216" s="319"/>
      <c r="BK5216" s="319"/>
      <c r="BL5216" s="319"/>
      <c r="BM5216" s="319"/>
      <c r="BN5216" s="319"/>
      <c r="BO5216" s="319"/>
      <c r="BP5216" s="953"/>
      <c r="BQ5216" s="319"/>
      <c r="BR5216" s="319"/>
      <c r="BS5216" s="330"/>
      <c r="BT5216" s="331"/>
      <c r="BU5216" s="920"/>
      <c r="BV5216" s="903"/>
      <c r="BW5216" s="908"/>
      <c r="BX5216" s="908"/>
      <c r="BY5216" s="331"/>
      <c r="BZ5216" s="331"/>
      <c r="CA5216" s="462"/>
      <c r="CB5216" s="319"/>
      <c r="CC5216" s="319"/>
      <c r="CD5216" s="319"/>
      <c r="CE5216" s="319"/>
      <c r="CF5216" s="319"/>
      <c r="CG5216" s="319"/>
      <c r="CH5216" s="318"/>
      <c r="CI5216" s="319"/>
      <c r="CJ5216" s="319"/>
      <c r="CK5216" s="342"/>
      <c r="CL5216" s="333"/>
      <c r="CM5216" s="1079"/>
      <c r="CN5216" s="1005"/>
      <c r="CO5216" s="1005"/>
      <c r="CP5216" s="1005"/>
    </row>
    <row r="5217">
      <c r="A5217" s="1257"/>
      <c r="B5217" s="1113"/>
      <c r="C5217" s="1107"/>
      <c r="D5217" s="103"/>
      <c r="E5217" s="1137"/>
      <c r="F5217" s="112"/>
      <c r="G5217" s="1110"/>
      <c r="H5217" s="1138"/>
      <c r="I5217" s="1138"/>
      <c r="J5217" s="1139"/>
      <c r="K5217" s="1111"/>
      <c r="L5217" s="1112"/>
      <c r="M5217" s="1113"/>
      <c r="N5217" s="110"/>
      <c r="O5217" s="1140"/>
      <c r="P5217" s="1115"/>
      <c r="Q5217" s="1116"/>
      <c r="R5217" s="1141"/>
      <c r="S5217" s="1113"/>
      <c r="T5217" s="1143"/>
      <c r="U5217" s="1108"/>
      <c r="V5217" s="1108"/>
      <c r="W5217" s="1108"/>
      <c r="X5217" s="1108"/>
      <c r="Y5217" s="1108"/>
      <c r="Z5217" s="1114"/>
      <c r="AA5217" s="1114"/>
      <c r="AB5217" s="1114"/>
      <c r="AC5217" s="1117"/>
      <c r="AD5217" s="1115"/>
      <c r="AE5217" s="1115"/>
      <c r="AF5217" s="1115"/>
      <c r="AG5217" s="1115"/>
      <c r="AH5217" s="1115"/>
      <c r="AI5217" s="1115"/>
      <c r="AJ5217" s="1117"/>
      <c r="AK5217" s="1118"/>
      <c r="AL5217" s="1115"/>
      <c r="AM5217" s="1115"/>
      <c r="AN5217" s="1115"/>
      <c r="AO5217" s="1115"/>
      <c r="AP5217" s="1115"/>
      <c r="AQ5217" s="1115"/>
      <c r="AR5217" s="1115"/>
      <c r="AS5217" s="1117"/>
      <c r="AT5217" s="1075"/>
      <c r="AU5217" s="1193"/>
      <c r="AV5217" s="330"/>
      <c r="AW5217" s="331"/>
      <c r="AX5217" s="331"/>
      <c r="AY5217" s="331"/>
      <c r="AZ5217" s="331"/>
      <c r="BA5217" s="331"/>
      <c r="BB5217" s="331"/>
      <c r="BC5217" s="331"/>
      <c r="BD5217" s="331"/>
      <c r="BE5217" s="333"/>
      <c r="BF5217" s="330"/>
      <c r="BG5217" s="333"/>
      <c r="BH5217" s="1119"/>
      <c r="BI5217" s="319"/>
      <c r="BJ5217" s="319"/>
      <c r="BK5217" s="319"/>
      <c r="BL5217" s="319"/>
      <c r="BM5217" s="319"/>
      <c r="BN5217" s="319"/>
      <c r="BO5217" s="319"/>
      <c r="BP5217" s="953"/>
      <c r="BQ5217" s="319"/>
      <c r="BR5217" s="319"/>
      <c r="BS5217" s="330"/>
      <c r="BT5217" s="331"/>
      <c r="BU5217" s="920"/>
      <c r="BV5217" s="903"/>
      <c r="BW5217" s="908"/>
      <c r="BX5217" s="908"/>
      <c r="BY5217" s="331"/>
      <c r="BZ5217" s="331"/>
      <c r="CA5217" s="462"/>
      <c r="CB5217" s="319"/>
      <c r="CC5217" s="319"/>
      <c r="CD5217" s="319"/>
      <c r="CE5217" s="319"/>
      <c r="CF5217" s="319"/>
      <c r="CG5217" s="319"/>
      <c r="CH5217" s="318"/>
      <c r="CI5217" s="319"/>
      <c r="CJ5217" s="319"/>
      <c r="CK5217" s="342"/>
      <c r="CL5217" s="333"/>
      <c r="CM5217" s="1079"/>
      <c r="CN5217" s="1005"/>
      <c r="CO5217" s="1005"/>
      <c r="CP5217" s="1005"/>
    </row>
    <row r="5218">
      <c r="A5218" s="1257"/>
      <c r="B5218" s="1113"/>
      <c r="C5218" s="1107"/>
      <c r="D5218" s="103"/>
      <c r="E5218" s="1137"/>
      <c r="F5218" s="112"/>
      <c r="G5218" s="1110"/>
      <c r="H5218" s="1138"/>
      <c r="I5218" s="1138"/>
      <c r="J5218" s="1139"/>
      <c r="K5218" s="1111"/>
      <c r="L5218" s="1112"/>
      <c r="M5218" s="1113"/>
      <c r="N5218" s="110"/>
      <c r="O5218" s="1140"/>
      <c r="P5218" s="1115"/>
      <c r="Q5218" s="1116"/>
      <c r="R5218" s="1141"/>
      <c r="S5218" s="1113"/>
      <c r="T5218" s="1143"/>
      <c r="U5218" s="1108"/>
      <c r="V5218" s="1108"/>
      <c r="W5218" s="1108"/>
      <c r="X5218" s="1108"/>
      <c r="Y5218" s="1108"/>
      <c r="Z5218" s="1114"/>
      <c r="AA5218" s="1114"/>
      <c r="AB5218" s="1114"/>
      <c r="AC5218" s="1117"/>
      <c r="AD5218" s="1115"/>
      <c r="AE5218" s="1115"/>
      <c r="AF5218" s="1115"/>
      <c r="AG5218" s="1115"/>
      <c r="AH5218" s="1115"/>
      <c r="AI5218" s="1115"/>
      <c r="AJ5218" s="1117"/>
      <c r="AK5218" s="1118"/>
      <c r="AL5218" s="1115"/>
      <c r="AM5218" s="1115"/>
      <c r="AN5218" s="1115"/>
      <c r="AO5218" s="1115"/>
      <c r="AP5218" s="1115"/>
      <c r="AQ5218" s="1115"/>
      <c r="AR5218" s="1115"/>
      <c r="AS5218" s="1117"/>
      <c r="AT5218" s="1075"/>
      <c r="AU5218" s="1193"/>
      <c r="AV5218" s="330"/>
      <c r="AW5218" s="331"/>
      <c r="AX5218" s="331"/>
      <c r="AY5218" s="331"/>
      <c r="AZ5218" s="331"/>
      <c r="BA5218" s="331"/>
      <c r="BB5218" s="331"/>
      <c r="BC5218" s="331"/>
      <c r="BD5218" s="331"/>
      <c r="BE5218" s="333"/>
      <c r="BF5218" s="330"/>
      <c r="BG5218" s="333"/>
      <c r="BH5218" s="1119"/>
      <c r="BI5218" s="319"/>
      <c r="BJ5218" s="319"/>
      <c r="BK5218" s="319"/>
      <c r="BL5218" s="319"/>
      <c r="BM5218" s="319"/>
      <c r="BN5218" s="319"/>
      <c r="BO5218" s="319"/>
      <c r="BP5218" s="953"/>
      <c r="BQ5218" s="319"/>
      <c r="BR5218" s="319"/>
      <c r="BS5218" s="330"/>
      <c r="BT5218" s="331"/>
      <c r="BU5218" s="920"/>
      <c r="BV5218" s="903"/>
      <c r="BW5218" s="908"/>
      <c r="BX5218" s="908"/>
      <c r="BY5218" s="331"/>
      <c r="BZ5218" s="331"/>
      <c r="CA5218" s="462"/>
      <c r="CB5218" s="319"/>
      <c r="CC5218" s="319"/>
      <c r="CD5218" s="319"/>
      <c r="CE5218" s="319"/>
      <c r="CF5218" s="319"/>
      <c r="CG5218" s="319"/>
      <c r="CH5218" s="318"/>
      <c r="CI5218" s="319"/>
      <c r="CJ5218" s="319"/>
      <c r="CK5218" s="342"/>
      <c r="CL5218" s="333"/>
      <c r="CM5218" s="1079"/>
      <c r="CN5218" s="1005"/>
      <c r="CO5218" s="1005"/>
      <c r="CP5218" s="1005"/>
    </row>
    <row r="5219">
      <c r="A5219" s="1257"/>
      <c r="B5219" s="1113"/>
      <c r="C5219" s="1107"/>
      <c r="D5219" s="103"/>
      <c r="E5219" s="1137"/>
      <c r="F5219" s="112"/>
      <c r="G5219" s="1110"/>
      <c r="H5219" s="1138"/>
      <c r="I5219" s="1138"/>
      <c r="J5219" s="1139"/>
      <c r="K5219" s="1111"/>
      <c r="L5219" s="1112"/>
      <c r="M5219" s="1113"/>
      <c r="N5219" s="110"/>
      <c r="O5219" s="1140"/>
      <c r="P5219" s="1115"/>
      <c r="Q5219" s="1116"/>
      <c r="R5219" s="1141"/>
      <c r="S5219" s="1113"/>
      <c r="T5219" s="1143"/>
      <c r="U5219" s="1108"/>
      <c r="V5219" s="1108"/>
      <c r="W5219" s="1108"/>
      <c r="X5219" s="1108"/>
      <c r="Y5219" s="1108"/>
      <c r="Z5219" s="1114"/>
      <c r="AA5219" s="1114"/>
      <c r="AB5219" s="1114"/>
      <c r="AC5219" s="1117"/>
      <c r="AD5219" s="1115"/>
      <c r="AE5219" s="1115"/>
      <c r="AF5219" s="1115"/>
      <c r="AG5219" s="1115"/>
      <c r="AH5219" s="1115"/>
      <c r="AI5219" s="1115"/>
      <c r="AJ5219" s="1117"/>
      <c r="AK5219" s="1118"/>
      <c r="AL5219" s="1115"/>
      <c r="AM5219" s="1115"/>
      <c r="AN5219" s="1115"/>
      <c r="AO5219" s="1115"/>
      <c r="AP5219" s="1115"/>
      <c r="AQ5219" s="1115"/>
      <c r="AR5219" s="1115"/>
      <c r="AS5219" s="1117"/>
      <c r="AT5219" s="1075"/>
      <c r="AU5219" s="1193"/>
      <c r="AV5219" s="330"/>
      <c r="AW5219" s="331"/>
      <c r="AX5219" s="331"/>
      <c r="AY5219" s="331"/>
      <c r="AZ5219" s="331"/>
      <c r="BA5219" s="331"/>
      <c r="BB5219" s="331"/>
      <c r="BC5219" s="331"/>
      <c r="BD5219" s="331"/>
      <c r="BE5219" s="333"/>
      <c r="BF5219" s="330"/>
      <c r="BG5219" s="333"/>
      <c r="BH5219" s="1119"/>
      <c r="BI5219" s="319"/>
      <c r="BJ5219" s="319"/>
      <c r="BK5219" s="319"/>
      <c r="BL5219" s="319"/>
      <c r="BM5219" s="319"/>
      <c r="BN5219" s="319"/>
      <c r="BO5219" s="319"/>
      <c r="BP5219" s="953"/>
      <c r="BQ5219" s="319"/>
      <c r="BR5219" s="319"/>
      <c r="BS5219" s="330"/>
      <c r="BT5219" s="331"/>
      <c r="BU5219" s="920"/>
      <c r="BV5219" s="903"/>
      <c r="BW5219" s="908"/>
      <c r="BX5219" s="908"/>
      <c r="BY5219" s="331"/>
      <c r="BZ5219" s="331"/>
      <c r="CA5219" s="462"/>
      <c r="CB5219" s="319"/>
      <c r="CC5219" s="319"/>
      <c r="CD5219" s="319"/>
      <c r="CE5219" s="319"/>
      <c r="CF5219" s="319"/>
      <c r="CG5219" s="319"/>
      <c r="CH5219" s="318"/>
      <c r="CI5219" s="319"/>
      <c r="CJ5219" s="319"/>
      <c r="CK5219" s="342"/>
      <c r="CL5219" s="333"/>
      <c r="CM5219" s="1079"/>
      <c r="CN5219" s="1005"/>
      <c r="CO5219" s="1005"/>
      <c r="CP5219" s="1005"/>
    </row>
    <row r="5220">
      <c r="A5220" s="1257"/>
      <c r="B5220" s="1113"/>
      <c r="C5220" s="1107"/>
      <c r="D5220" s="103"/>
      <c r="E5220" s="1137"/>
      <c r="F5220" s="112"/>
      <c r="G5220" s="1110"/>
      <c r="H5220" s="1138"/>
      <c r="I5220" s="1138"/>
      <c r="J5220" s="1139"/>
      <c r="K5220" s="1111"/>
      <c r="L5220" s="1112"/>
      <c r="M5220" s="1113"/>
      <c r="N5220" s="110"/>
      <c r="O5220" s="1140"/>
      <c r="P5220" s="1115"/>
      <c r="Q5220" s="1116"/>
      <c r="R5220" s="1141"/>
      <c r="S5220" s="1113"/>
      <c r="T5220" s="1143"/>
      <c r="U5220" s="1108"/>
      <c r="V5220" s="1108"/>
      <c r="W5220" s="1108"/>
      <c r="X5220" s="1108"/>
      <c r="Y5220" s="1108"/>
      <c r="Z5220" s="1114"/>
      <c r="AA5220" s="1114"/>
      <c r="AB5220" s="1114"/>
      <c r="AC5220" s="1117"/>
      <c r="AD5220" s="1115"/>
      <c r="AE5220" s="1115"/>
      <c r="AF5220" s="1115"/>
      <c r="AG5220" s="1115"/>
      <c r="AH5220" s="1115"/>
      <c r="AI5220" s="1115"/>
      <c r="AJ5220" s="1117"/>
      <c r="AK5220" s="1118"/>
      <c r="AL5220" s="1115"/>
      <c r="AM5220" s="1115"/>
      <c r="AN5220" s="1115"/>
      <c r="AO5220" s="1115"/>
      <c r="AP5220" s="1115"/>
      <c r="AQ5220" s="1115"/>
      <c r="AR5220" s="1115"/>
      <c r="AS5220" s="1117"/>
      <c r="AT5220" s="1075"/>
      <c r="AU5220" s="1193"/>
      <c r="AV5220" s="330"/>
      <c r="AW5220" s="331"/>
      <c r="AX5220" s="331"/>
      <c r="AY5220" s="331"/>
      <c r="AZ5220" s="331"/>
      <c r="BA5220" s="331"/>
      <c r="BB5220" s="331"/>
      <c r="BC5220" s="331"/>
      <c r="BD5220" s="331"/>
      <c r="BE5220" s="333"/>
      <c r="BF5220" s="330"/>
      <c r="BG5220" s="333"/>
      <c r="BH5220" s="1119"/>
      <c r="BI5220" s="319"/>
      <c r="BJ5220" s="319"/>
      <c r="BK5220" s="319"/>
      <c r="BL5220" s="319"/>
      <c r="BM5220" s="319"/>
      <c r="BN5220" s="319"/>
      <c r="BO5220" s="319"/>
      <c r="BP5220" s="953"/>
      <c r="BQ5220" s="319"/>
      <c r="BR5220" s="319"/>
      <c r="BS5220" s="330"/>
      <c r="BT5220" s="331"/>
      <c r="BU5220" s="920"/>
      <c r="BV5220" s="903"/>
      <c r="BW5220" s="908"/>
      <c r="BX5220" s="908"/>
      <c r="BY5220" s="331"/>
      <c r="BZ5220" s="331"/>
      <c r="CA5220" s="462"/>
      <c r="CB5220" s="319"/>
      <c r="CC5220" s="319"/>
      <c r="CD5220" s="319"/>
      <c r="CE5220" s="319"/>
      <c r="CF5220" s="319"/>
      <c r="CG5220" s="319"/>
      <c r="CH5220" s="318"/>
      <c r="CI5220" s="319"/>
      <c r="CJ5220" s="319"/>
      <c r="CK5220" s="342"/>
      <c r="CL5220" s="333"/>
      <c r="CM5220" s="1079"/>
      <c r="CN5220" s="1005"/>
      <c r="CO5220" s="1005"/>
      <c r="CP5220" s="1005"/>
    </row>
    <row r="5221">
      <c r="A5221" s="1257"/>
      <c r="B5221" s="1113"/>
      <c r="C5221" s="1107"/>
      <c r="D5221" s="103"/>
      <c r="E5221" s="1137"/>
      <c r="F5221" s="112"/>
      <c r="G5221" s="1110"/>
      <c r="H5221" s="1138"/>
      <c r="I5221" s="1138"/>
      <c r="J5221" s="1139"/>
      <c r="K5221" s="1111"/>
      <c r="L5221" s="1112"/>
      <c r="M5221" s="1113"/>
      <c r="N5221" s="110"/>
      <c r="O5221" s="1140"/>
      <c r="P5221" s="1115"/>
      <c r="Q5221" s="1116"/>
      <c r="R5221" s="1141"/>
      <c r="S5221" s="1113"/>
      <c r="T5221" s="1143"/>
      <c r="U5221" s="1108"/>
      <c r="V5221" s="1108"/>
      <c r="W5221" s="1108"/>
      <c r="X5221" s="1108"/>
      <c r="Y5221" s="1108"/>
      <c r="Z5221" s="1114"/>
      <c r="AA5221" s="1114"/>
      <c r="AB5221" s="1114"/>
      <c r="AC5221" s="1117"/>
      <c r="AD5221" s="1115"/>
      <c r="AE5221" s="1115"/>
      <c r="AF5221" s="1115"/>
      <c r="AG5221" s="1115"/>
      <c r="AH5221" s="1115"/>
      <c r="AI5221" s="1115"/>
      <c r="AJ5221" s="1117"/>
      <c r="AK5221" s="1118"/>
      <c r="AL5221" s="1115"/>
      <c r="AM5221" s="1115"/>
      <c r="AN5221" s="1115"/>
      <c r="AO5221" s="1115"/>
      <c r="AP5221" s="1115"/>
      <c r="AQ5221" s="1115"/>
      <c r="AR5221" s="1115"/>
      <c r="AS5221" s="1117"/>
      <c r="AT5221" s="1075"/>
      <c r="AU5221" s="1193"/>
      <c r="AV5221" s="330"/>
      <c r="AW5221" s="331"/>
      <c r="AX5221" s="331"/>
      <c r="AY5221" s="331"/>
      <c r="AZ5221" s="331"/>
      <c r="BA5221" s="331"/>
      <c r="BB5221" s="331"/>
      <c r="BC5221" s="331"/>
      <c r="BD5221" s="331"/>
      <c r="BE5221" s="333"/>
      <c r="BF5221" s="330"/>
      <c r="BG5221" s="333"/>
      <c r="BH5221" s="1119"/>
      <c r="BI5221" s="319"/>
      <c r="BJ5221" s="319"/>
      <c r="BK5221" s="319"/>
      <c r="BL5221" s="319"/>
      <c r="BM5221" s="319"/>
      <c r="BN5221" s="319"/>
      <c r="BO5221" s="319"/>
      <c r="BP5221" s="953"/>
      <c r="BQ5221" s="319"/>
      <c r="BR5221" s="319"/>
      <c r="BS5221" s="330"/>
      <c r="BT5221" s="331"/>
      <c r="BU5221" s="920"/>
      <c r="BV5221" s="903"/>
      <c r="BW5221" s="908"/>
      <c r="BX5221" s="908"/>
      <c r="BY5221" s="331"/>
      <c r="BZ5221" s="331"/>
      <c r="CA5221" s="462"/>
      <c r="CB5221" s="319"/>
      <c r="CC5221" s="319"/>
      <c r="CD5221" s="319"/>
      <c r="CE5221" s="319"/>
      <c r="CF5221" s="319"/>
      <c r="CG5221" s="319"/>
      <c r="CH5221" s="318"/>
      <c r="CI5221" s="319"/>
      <c r="CJ5221" s="319"/>
      <c r="CK5221" s="342"/>
      <c r="CL5221" s="333"/>
      <c r="CM5221" s="1079"/>
      <c r="CN5221" s="1005"/>
      <c r="CO5221" s="1005"/>
      <c r="CP5221" s="1005"/>
    </row>
    <row r="5222">
      <c r="A5222" s="1257"/>
      <c r="B5222" s="1113"/>
      <c r="C5222" s="1107"/>
      <c r="D5222" s="103"/>
      <c r="E5222" s="1137"/>
      <c r="F5222" s="112"/>
      <c r="G5222" s="1110"/>
      <c r="H5222" s="1138"/>
      <c r="I5222" s="1138"/>
      <c r="J5222" s="1139"/>
      <c r="K5222" s="1111"/>
      <c r="L5222" s="1112"/>
      <c r="M5222" s="1113"/>
      <c r="N5222" s="110"/>
      <c r="O5222" s="1140"/>
      <c r="P5222" s="1115"/>
      <c r="Q5222" s="1116"/>
      <c r="R5222" s="1141"/>
      <c r="S5222" s="1113"/>
      <c r="T5222" s="1143"/>
      <c r="U5222" s="1108"/>
      <c r="V5222" s="1108"/>
      <c r="W5222" s="1108"/>
      <c r="X5222" s="1108"/>
      <c r="Y5222" s="1108"/>
      <c r="Z5222" s="1114"/>
      <c r="AA5222" s="1114"/>
      <c r="AB5222" s="1114"/>
      <c r="AC5222" s="1117"/>
      <c r="AD5222" s="1115"/>
      <c r="AE5222" s="1115"/>
      <c r="AF5222" s="1115"/>
      <c r="AG5222" s="1115"/>
      <c r="AH5222" s="1115"/>
      <c r="AI5222" s="1115"/>
      <c r="AJ5222" s="1117"/>
      <c r="AK5222" s="1118"/>
      <c r="AL5222" s="1115"/>
      <c r="AM5222" s="1115"/>
      <c r="AN5222" s="1115"/>
      <c r="AO5222" s="1115"/>
      <c r="AP5222" s="1115"/>
      <c r="AQ5222" s="1115"/>
      <c r="AR5222" s="1115"/>
      <c r="AS5222" s="1117"/>
      <c r="AT5222" s="1075"/>
      <c r="AU5222" s="1193"/>
      <c r="AV5222" s="330"/>
      <c r="AW5222" s="331"/>
      <c r="AX5222" s="331"/>
      <c r="AY5222" s="331"/>
      <c r="AZ5222" s="331"/>
      <c r="BA5222" s="331"/>
      <c r="BB5222" s="331"/>
      <c r="BC5222" s="331"/>
      <c r="BD5222" s="331"/>
      <c r="BE5222" s="333"/>
      <c r="BF5222" s="330"/>
      <c r="BG5222" s="333"/>
      <c r="BH5222" s="1119"/>
      <c r="BI5222" s="319"/>
      <c r="BJ5222" s="319"/>
      <c r="BK5222" s="319"/>
      <c r="BL5222" s="319"/>
      <c r="BM5222" s="319"/>
      <c r="BN5222" s="319"/>
      <c r="BO5222" s="319"/>
      <c r="BP5222" s="953"/>
      <c r="BQ5222" s="319"/>
      <c r="BR5222" s="319"/>
      <c r="BS5222" s="330"/>
      <c r="BT5222" s="331"/>
      <c r="BU5222" s="920"/>
      <c r="BV5222" s="903"/>
      <c r="BW5222" s="908"/>
      <c r="BX5222" s="908"/>
      <c r="BY5222" s="331"/>
      <c r="BZ5222" s="331"/>
      <c r="CA5222" s="462"/>
      <c r="CB5222" s="319"/>
      <c r="CC5222" s="319"/>
      <c r="CD5222" s="319"/>
      <c r="CE5222" s="319"/>
      <c r="CF5222" s="319"/>
      <c r="CG5222" s="319"/>
      <c r="CH5222" s="318"/>
      <c r="CI5222" s="319"/>
      <c r="CJ5222" s="319"/>
      <c r="CK5222" s="342"/>
      <c r="CL5222" s="333"/>
      <c r="CM5222" s="1079"/>
      <c r="CN5222" s="1005"/>
      <c r="CO5222" s="1005"/>
      <c r="CP5222" s="1005"/>
    </row>
    <row r="5223">
      <c r="A5223" s="1257"/>
      <c r="B5223" s="1113"/>
      <c r="C5223" s="1107"/>
      <c r="D5223" s="103"/>
      <c r="E5223" s="1137"/>
      <c r="F5223" s="112"/>
      <c r="G5223" s="1110"/>
      <c r="H5223" s="1138"/>
      <c r="I5223" s="1138"/>
      <c r="J5223" s="1139"/>
      <c r="K5223" s="1111"/>
      <c r="L5223" s="1112"/>
      <c r="M5223" s="1113"/>
      <c r="N5223" s="110"/>
      <c r="O5223" s="1140"/>
      <c r="P5223" s="1115"/>
      <c r="Q5223" s="1116"/>
      <c r="R5223" s="1141"/>
      <c r="S5223" s="1113"/>
      <c r="T5223" s="1143"/>
      <c r="U5223" s="1108"/>
      <c r="V5223" s="1108"/>
      <c r="W5223" s="1108"/>
      <c r="X5223" s="1108"/>
      <c r="Y5223" s="1108"/>
      <c r="Z5223" s="1114"/>
      <c r="AA5223" s="1114"/>
      <c r="AB5223" s="1114"/>
      <c r="AC5223" s="1117"/>
      <c r="AD5223" s="1115"/>
      <c r="AE5223" s="1115"/>
      <c r="AF5223" s="1115"/>
      <c r="AG5223" s="1115"/>
      <c r="AH5223" s="1115"/>
      <c r="AI5223" s="1115"/>
      <c r="AJ5223" s="1117"/>
      <c r="AK5223" s="1118"/>
      <c r="AL5223" s="1115"/>
      <c r="AM5223" s="1115"/>
      <c r="AN5223" s="1115"/>
      <c r="AO5223" s="1115"/>
      <c r="AP5223" s="1115"/>
      <c r="AQ5223" s="1115"/>
      <c r="AR5223" s="1115"/>
      <c r="AS5223" s="1117"/>
      <c r="AT5223" s="1075"/>
      <c r="AU5223" s="1193"/>
      <c r="AV5223" s="330"/>
      <c r="AW5223" s="331"/>
      <c r="AX5223" s="331"/>
      <c r="AY5223" s="331"/>
      <c r="AZ5223" s="331"/>
      <c r="BA5223" s="331"/>
      <c r="BB5223" s="331"/>
      <c r="BC5223" s="331"/>
      <c r="BD5223" s="331"/>
      <c r="BE5223" s="333"/>
      <c r="BF5223" s="330"/>
      <c r="BG5223" s="333"/>
      <c r="BH5223" s="1119"/>
      <c r="BI5223" s="319"/>
      <c r="BJ5223" s="319"/>
      <c r="BK5223" s="319"/>
      <c r="BL5223" s="319"/>
      <c r="BM5223" s="319"/>
      <c r="BN5223" s="319"/>
      <c r="BO5223" s="319"/>
      <c r="BP5223" s="953"/>
      <c r="BQ5223" s="319"/>
      <c r="BR5223" s="319"/>
      <c r="BS5223" s="330"/>
      <c r="BT5223" s="331"/>
      <c r="BU5223" s="920"/>
      <c r="BV5223" s="903"/>
      <c r="BW5223" s="908"/>
      <c r="BX5223" s="908"/>
      <c r="BY5223" s="331"/>
      <c r="BZ5223" s="331"/>
      <c r="CA5223" s="462"/>
      <c r="CB5223" s="319"/>
      <c r="CC5223" s="319"/>
      <c r="CD5223" s="319"/>
      <c r="CE5223" s="319"/>
      <c r="CF5223" s="319"/>
      <c r="CG5223" s="319"/>
      <c r="CH5223" s="318"/>
      <c r="CI5223" s="319"/>
      <c r="CJ5223" s="319"/>
      <c r="CK5223" s="342"/>
      <c r="CL5223" s="333"/>
      <c r="CM5223" s="1079"/>
      <c r="CN5223" s="1005"/>
      <c r="CO5223" s="1005"/>
      <c r="CP5223" s="1005"/>
    </row>
    <row r="5224">
      <c r="A5224" s="1257"/>
      <c r="B5224" s="1113"/>
      <c r="C5224" s="1107"/>
      <c r="D5224" s="103"/>
      <c r="E5224" s="1137"/>
      <c r="F5224" s="112"/>
      <c r="G5224" s="1110"/>
      <c r="H5224" s="1138"/>
      <c r="I5224" s="1138"/>
      <c r="J5224" s="1139"/>
      <c r="K5224" s="1111"/>
      <c r="L5224" s="1112"/>
      <c r="M5224" s="1113"/>
      <c r="N5224" s="110"/>
      <c r="O5224" s="1140"/>
      <c r="P5224" s="1115"/>
      <c r="Q5224" s="1116"/>
      <c r="R5224" s="1141"/>
      <c r="S5224" s="1113"/>
      <c r="T5224" s="1143"/>
      <c r="U5224" s="1108"/>
      <c r="V5224" s="1108"/>
      <c r="W5224" s="1108"/>
      <c r="X5224" s="1108"/>
      <c r="Y5224" s="1108"/>
      <c r="Z5224" s="1114"/>
      <c r="AA5224" s="1114"/>
      <c r="AB5224" s="1114"/>
      <c r="AC5224" s="1117"/>
      <c r="AD5224" s="1115"/>
      <c r="AE5224" s="1115"/>
      <c r="AF5224" s="1115"/>
      <c r="AG5224" s="1115"/>
      <c r="AH5224" s="1115"/>
      <c r="AI5224" s="1115"/>
      <c r="AJ5224" s="1117"/>
      <c r="AK5224" s="1118"/>
      <c r="AL5224" s="1115"/>
      <c r="AM5224" s="1115"/>
      <c r="AN5224" s="1115"/>
      <c r="AO5224" s="1115"/>
      <c r="AP5224" s="1115"/>
      <c r="AQ5224" s="1115"/>
      <c r="AR5224" s="1115"/>
      <c r="AS5224" s="1117"/>
      <c r="AT5224" s="1075"/>
      <c r="AU5224" s="1193"/>
      <c r="AV5224" s="330"/>
      <c r="AW5224" s="331"/>
      <c r="AX5224" s="331"/>
      <c r="AY5224" s="331"/>
      <c r="AZ5224" s="331"/>
      <c r="BA5224" s="331"/>
      <c r="BB5224" s="331"/>
      <c r="BC5224" s="331"/>
      <c r="BD5224" s="331"/>
      <c r="BE5224" s="333"/>
      <c r="BF5224" s="330"/>
      <c r="BG5224" s="333"/>
      <c r="BH5224" s="1119"/>
      <c r="BI5224" s="319"/>
      <c r="BJ5224" s="319"/>
      <c r="BK5224" s="319"/>
      <c r="BL5224" s="319"/>
      <c r="BM5224" s="319"/>
      <c r="BN5224" s="319"/>
      <c r="BO5224" s="319"/>
      <c r="BP5224" s="953"/>
      <c r="BQ5224" s="319"/>
      <c r="BR5224" s="319"/>
      <c r="BS5224" s="330"/>
      <c r="BT5224" s="331"/>
      <c r="BU5224" s="920"/>
      <c r="BV5224" s="903"/>
      <c r="BW5224" s="908"/>
      <c r="BX5224" s="908"/>
      <c r="BY5224" s="331"/>
      <c r="BZ5224" s="331"/>
      <c r="CA5224" s="462"/>
      <c r="CB5224" s="319"/>
      <c r="CC5224" s="319"/>
      <c r="CD5224" s="319"/>
      <c r="CE5224" s="319"/>
      <c r="CF5224" s="319"/>
      <c r="CG5224" s="319"/>
      <c r="CH5224" s="318"/>
      <c r="CI5224" s="319"/>
      <c r="CJ5224" s="319"/>
      <c r="CK5224" s="342"/>
      <c r="CL5224" s="333"/>
      <c r="CM5224" s="1079"/>
      <c r="CN5224" s="1005"/>
      <c r="CO5224" s="1005"/>
      <c r="CP5224" s="1005"/>
    </row>
    <row r="5225">
      <c r="A5225" s="1257"/>
      <c r="B5225" s="1113"/>
      <c r="C5225" s="1107"/>
      <c r="D5225" s="103"/>
      <c r="E5225" s="1137"/>
      <c r="F5225" s="112"/>
      <c r="G5225" s="1110"/>
      <c r="H5225" s="1138"/>
      <c r="I5225" s="1138"/>
      <c r="J5225" s="1139"/>
      <c r="K5225" s="1111"/>
      <c r="L5225" s="1112"/>
      <c r="M5225" s="1113"/>
      <c r="N5225" s="110"/>
      <c r="O5225" s="1140"/>
      <c r="P5225" s="1115"/>
      <c r="Q5225" s="1116"/>
      <c r="R5225" s="1141"/>
      <c r="S5225" s="1113"/>
      <c r="T5225" s="1143"/>
      <c r="U5225" s="1108"/>
      <c r="V5225" s="1108"/>
      <c r="W5225" s="1108"/>
      <c r="X5225" s="1108"/>
      <c r="Y5225" s="1108"/>
      <c r="Z5225" s="1114"/>
      <c r="AA5225" s="1114"/>
      <c r="AB5225" s="1114"/>
      <c r="AC5225" s="1117"/>
      <c r="AD5225" s="1115"/>
      <c r="AE5225" s="1115"/>
      <c r="AF5225" s="1115"/>
      <c r="AG5225" s="1115"/>
      <c r="AH5225" s="1115"/>
      <c r="AI5225" s="1115"/>
      <c r="AJ5225" s="1117"/>
      <c r="AK5225" s="1118"/>
      <c r="AL5225" s="1115"/>
      <c r="AM5225" s="1115"/>
      <c r="AN5225" s="1115"/>
      <c r="AO5225" s="1115"/>
      <c r="AP5225" s="1115"/>
      <c r="AQ5225" s="1115"/>
      <c r="AR5225" s="1115"/>
      <c r="AS5225" s="1117"/>
      <c r="AT5225" s="1075"/>
      <c r="AU5225" s="1193"/>
      <c r="AV5225" s="330"/>
      <c r="AW5225" s="331"/>
      <c r="AX5225" s="331"/>
      <c r="AY5225" s="331"/>
      <c r="AZ5225" s="331"/>
      <c r="BA5225" s="331"/>
      <c r="BB5225" s="331"/>
      <c r="BC5225" s="331"/>
      <c r="BD5225" s="331"/>
      <c r="BE5225" s="333"/>
      <c r="BF5225" s="330"/>
      <c r="BG5225" s="333"/>
      <c r="BH5225" s="1119"/>
      <c r="BI5225" s="319"/>
      <c r="BJ5225" s="319"/>
      <c r="BK5225" s="319"/>
      <c r="BL5225" s="319"/>
      <c r="BM5225" s="319"/>
      <c r="BN5225" s="319"/>
      <c r="BO5225" s="319"/>
      <c r="BP5225" s="953"/>
      <c r="BQ5225" s="319"/>
      <c r="BR5225" s="319"/>
      <c r="BS5225" s="330"/>
      <c r="BT5225" s="331"/>
      <c r="BU5225" s="920"/>
      <c r="BV5225" s="903"/>
      <c r="BW5225" s="908"/>
      <c r="BX5225" s="908"/>
      <c r="BY5225" s="331"/>
      <c r="BZ5225" s="331"/>
      <c r="CA5225" s="462"/>
      <c r="CB5225" s="319"/>
      <c r="CC5225" s="319"/>
      <c r="CD5225" s="319"/>
      <c r="CE5225" s="319"/>
      <c r="CF5225" s="319"/>
      <c r="CG5225" s="319"/>
      <c r="CH5225" s="318"/>
      <c r="CI5225" s="319"/>
      <c r="CJ5225" s="319"/>
      <c r="CK5225" s="342"/>
      <c r="CL5225" s="333"/>
      <c r="CM5225" s="1079"/>
      <c r="CN5225" s="1005"/>
      <c r="CO5225" s="1005"/>
      <c r="CP5225" s="1005"/>
    </row>
    <row r="5226">
      <c r="A5226" s="1257"/>
      <c r="B5226" s="1113"/>
      <c r="C5226" s="1107"/>
      <c r="D5226" s="103"/>
      <c r="E5226" s="1137"/>
      <c r="F5226" s="112"/>
      <c r="G5226" s="1110"/>
      <c r="H5226" s="1138"/>
      <c r="I5226" s="1138"/>
      <c r="J5226" s="1139"/>
      <c r="K5226" s="1111"/>
      <c r="L5226" s="1112"/>
      <c r="M5226" s="1113"/>
      <c r="N5226" s="110"/>
      <c r="O5226" s="1140"/>
      <c r="P5226" s="1115"/>
      <c r="Q5226" s="1116"/>
      <c r="R5226" s="1141"/>
      <c r="S5226" s="1113"/>
      <c r="T5226" s="1143"/>
      <c r="U5226" s="1108"/>
      <c r="V5226" s="1108"/>
      <c r="W5226" s="1108"/>
      <c r="X5226" s="1108"/>
      <c r="Y5226" s="1108"/>
      <c r="Z5226" s="1114"/>
      <c r="AA5226" s="1114"/>
      <c r="AB5226" s="1114"/>
      <c r="AC5226" s="1117"/>
      <c r="AD5226" s="1115"/>
      <c r="AE5226" s="1115"/>
      <c r="AF5226" s="1115"/>
      <c r="AG5226" s="1115"/>
      <c r="AH5226" s="1115"/>
      <c r="AI5226" s="1115"/>
      <c r="AJ5226" s="1117"/>
      <c r="AK5226" s="1118"/>
      <c r="AL5226" s="1115"/>
      <c r="AM5226" s="1115"/>
      <c r="AN5226" s="1115"/>
      <c r="AO5226" s="1115"/>
      <c r="AP5226" s="1115"/>
      <c r="AQ5226" s="1115"/>
      <c r="AR5226" s="1115"/>
      <c r="AS5226" s="1117"/>
      <c r="AT5226" s="1075"/>
      <c r="AU5226" s="1193"/>
      <c r="AV5226" s="330"/>
      <c r="AW5226" s="331"/>
      <c r="AX5226" s="331"/>
      <c r="AY5226" s="331"/>
      <c r="AZ5226" s="331"/>
      <c r="BA5226" s="331"/>
      <c r="BB5226" s="331"/>
      <c r="BC5226" s="331"/>
      <c r="BD5226" s="331"/>
      <c r="BE5226" s="333"/>
      <c r="BF5226" s="330"/>
      <c r="BG5226" s="333"/>
      <c r="BH5226" s="1119"/>
      <c r="BI5226" s="319"/>
      <c r="BJ5226" s="319"/>
      <c r="BK5226" s="319"/>
      <c r="BL5226" s="319"/>
      <c r="BM5226" s="319"/>
      <c r="BN5226" s="319"/>
      <c r="BO5226" s="319"/>
      <c r="BP5226" s="953"/>
      <c r="BQ5226" s="319"/>
      <c r="BR5226" s="319"/>
      <c r="BS5226" s="330"/>
      <c r="BT5226" s="331"/>
      <c r="BU5226" s="920"/>
      <c r="BV5226" s="903"/>
      <c r="BW5226" s="908"/>
      <c r="BX5226" s="908"/>
      <c r="BY5226" s="331"/>
      <c r="BZ5226" s="331"/>
      <c r="CA5226" s="462"/>
      <c r="CB5226" s="319"/>
      <c r="CC5226" s="319"/>
      <c r="CD5226" s="319"/>
      <c r="CE5226" s="319"/>
      <c r="CF5226" s="319"/>
      <c r="CG5226" s="319"/>
      <c r="CH5226" s="318"/>
      <c r="CI5226" s="319"/>
      <c r="CJ5226" s="319"/>
      <c r="CK5226" s="342"/>
      <c r="CL5226" s="333"/>
      <c r="CM5226" s="1079"/>
      <c r="CN5226" s="1005"/>
      <c r="CO5226" s="1005"/>
      <c r="CP5226" s="1005"/>
    </row>
    <row r="5227">
      <c r="A5227" s="1257"/>
      <c r="B5227" s="1113"/>
      <c r="C5227" s="1107"/>
      <c r="D5227" s="103"/>
      <c r="E5227" s="1137"/>
      <c r="F5227" s="112"/>
      <c r="G5227" s="1110"/>
      <c r="H5227" s="1138"/>
      <c r="I5227" s="1138"/>
      <c r="J5227" s="1139"/>
      <c r="K5227" s="1111"/>
      <c r="L5227" s="1112"/>
      <c r="M5227" s="1113"/>
      <c r="N5227" s="110"/>
      <c r="O5227" s="1140"/>
      <c r="P5227" s="1115"/>
      <c r="Q5227" s="1116"/>
      <c r="R5227" s="1141"/>
      <c r="S5227" s="1113"/>
      <c r="T5227" s="1143"/>
      <c r="U5227" s="1108"/>
      <c r="V5227" s="1108"/>
      <c r="W5227" s="1108"/>
      <c r="X5227" s="1108"/>
      <c r="Y5227" s="1108"/>
      <c r="Z5227" s="1114"/>
      <c r="AA5227" s="1114"/>
      <c r="AB5227" s="1114"/>
      <c r="AC5227" s="1117"/>
      <c r="AD5227" s="1115"/>
      <c r="AE5227" s="1115"/>
      <c r="AF5227" s="1115"/>
      <c r="AG5227" s="1115"/>
      <c r="AH5227" s="1115"/>
      <c r="AI5227" s="1115"/>
      <c r="AJ5227" s="1117"/>
      <c r="AK5227" s="1118"/>
      <c r="AL5227" s="1115"/>
      <c r="AM5227" s="1115"/>
      <c r="AN5227" s="1115"/>
      <c r="AO5227" s="1115"/>
      <c r="AP5227" s="1115"/>
      <c r="AQ5227" s="1115"/>
      <c r="AR5227" s="1115"/>
      <c r="AS5227" s="1117"/>
      <c r="AT5227" s="1075"/>
      <c r="AU5227" s="1193"/>
      <c r="AV5227" s="330"/>
      <c r="AW5227" s="331"/>
      <c r="AX5227" s="331"/>
      <c r="AY5227" s="331"/>
      <c r="AZ5227" s="331"/>
      <c r="BA5227" s="331"/>
      <c r="BB5227" s="331"/>
      <c r="BC5227" s="331"/>
      <c r="BD5227" s="331"/>
      <c r="BE5227" s="333"/>
      <c r="BF5227" s="330"/>
      <c r="BG5227" s="333"/>
      <c r="BH5227" s="1119"/>
      <c r="BI5227" s="319"/>
      <c r="BJ5227" s="319"/>
      <c r="BK5227" s="319"/>
      <c r="BL5227" s="319"/>
      <c r="BM5227" s="319"/>
      <c r="BN5227" s="319"/>
      <c r="BO5227" s="319"/>
      <c r="BP5227" s="953"/>
      <c r="BQ5227" s="319"/>
      <c r="BR5227" s="319"/>
      <c r="BS5227" s="330"/>
      <c r="BT5227" s="331"/>
      <c r="BU5227" s="920"/>
      <c r="BV5227" s="903"/>
      <c r="BW5227" s="908"/>
      <c r="BX5227" s="908"/>
      <c r="BY5227" s="331"/>
      <c r="BZ5227" s="331"/>
      <c r="CA5227" s="462"/>
      <c r="CB5227" s="319"/>
      <c r="CC5227" s="319"/>
      <c r="CD5227" s="319"/>
      <c r="CE5227" s="319"/>
      <c r="CF5227" s="319"/>
      <c r="CG5227" s="319"/>
      <c r="CH5227" s="318"/>
      <c r="CI5227" s="319"/>
      <c r="CJ5227" s="319"/>
      <c r="CK5227" s="342"/>
      <c r="CL5227" s="333"/>
      <c r="CM5227" s="1079"/>
      <c r="CN5227" s="1005"/>
      <c r="CO5227" s="1005"/>
      <c r="CP5227" s="1005"/>
    </row>
    <row r="5228">
      <c r="A5228" s="1257"/>
      <c r="B5228" s="1113"/>
      <c r="C5228" s="1107"/>
      <c r="D5228" s="103"/>
      <c r="E5228" s="1137"/>
      <c r="F5228" s="112"/>
      <c r="G5228" s="1110"/>
      <c r="H5228" s="1138"/>
      <c r="I5228" s="1138"/>
      <c r="J5228" s="1139"/>
      <c r="K5228" s="1111"/>
      <c r="L5228" s="1112"/>
      <c r="M5228" s="1113"/>
      <c r="N5228" s="110"/>
      <c r="O5228" s="1140"/>
      <c r="P5228" s="1115"/>
      <c r="Q5228" s="1116"/>
      <c r="R5228" s="1141"/>
      <c r="S5228" s="1113"/>
      <c r="T5228" s="1143"/>
      <c r="U5228" s="1108"/>
      <c r="V5228" s="1108"/>
      <c r="W5228" s="1108"/>
      <c r="X5228" s="1108"/>
      <c r="Y5228" s="1108"/>
      <c r="Z5228" s="1114"/>
      <c r="AA5228" s="1114"/>
      <c r="AB5228" s="1114"/>
      <c r="AC5228" s="1117"/>
      <c r="AD5228" s="1115"/>
      <c r="AE5228" s="1115"/>
      <c r="AF5228" s="1115"/>
      <c r="AG5228" s="1115"/>
      <c r="AH5228" s="1115"/>
      <c r="AI5228" s="1115"/>
      <c r="AJ5228" s="1117"/>
      <c r="AK5228" s="1118"/>
      <c r="AL5228" s="1115"/>
      <c r="AM5228" s="1115"/>
      <c r="AN5228" s="1115"/>
      <c r="AO5228" s="1115"/>
      <c r="AP5228" s="1115"/>
      <c r="AQ5228" s="1115"/>
      <c r="AR5228" s="1115"/>
      <c r="AS5228" s="1117"/>
      <c r="AT5228" s="1075"/>
      <c r="AU5228" s="1193"/>
      <c r="AV5228" s="330"/>
      <c r="AW5228" s="331"/>
      <c r="AX5228" s="331"/>
      <c r="AY5228" s="331"/>
      <c r="AZ5228" s="331"/>
      <c r="BA5228" s="331"/>
      <c r="BB5228" s="331"/>
      <c r="BC5228" s="331"/>
      <c r="BD5228" s="331"/>
      <c r="BE5228" s="333"/>
      <c r="BF5228" s="330"/>
      <c r="BG5228" s="333"/>
      <c r="BH5228" s="1119"/>
      <c r="BI5228" s="319"/>
      <c r="BJ5228" s="319"/>
      <c r="BK5228" s="319"/>
      <c r="BL5228" s="319"/>
      <c r="BM5228" s="319"/>
      <c r="BN5228" s="319"/>
      <c r="BO5228" s="319"/>
      <c r="BP5228" s="953"/>
      <c r="BQ5228" s="319"/>
      <c r="BR5228" s="319"/>
      <c r="BS5228" s="330"/>
      <c r="BT5228" s="331"/>
      <c r="BU5228" s="920"/>
      <c r="BV5228" s="903"/>
      <c r="BW5228" s="908"/>
      <c r="BX5228" s="908"/>
      <c r="BY5228" s="331"/>
      <c r="BZ5228" s="331"/>
      <c r="CA5228" s="462"/>
      <c r="CB5228" s="319"/>
      <c r="CC5228" s="319"/>
      <c r="CD5228" s="319"/>
      <c r="CE5228" s="319"/>
      <c r="CF5228" s="319"/>
      <c r="CG5228" s="319"/>
      <c r="CH5228" s="318"/>
      <c r="CI5228" s="319"/>
      <c r="CJ5228" s="319"/>
      <c r="CK5228" s="342"/>
      <c r="CL5228" s="333"/>
      <c r="CM5228" s="1079"/>
      <c r="CN5228" s="1005"/>
      <c r="CO5228" s="1005"/>
      <c r="CP5228" s="1005"/>
    </row>
    <row r="5229">
      <c r="A5229" s="1257"/>
      <c r="B5229" s="1113"/>
      <c r="C5229" s="1107"/>
      <c r="D5229" s="103"/>
      <c r="E5229" s="1137"/>
      <c r="F5229" s="112"/>
      <c r="G5229" s="1110"/>
      <c r="H5229" s="1138"/>
      <c r="I5229" s="1138"/>
      <c r="J5229" s="1139"/>
      <c r="K5229" s="1111"/>
      <c r="L5229" s="1112"/>
      <c r="M5229" s="1113"/>
      <c r="N5229" s="110"/>
      <c r="O5229" s="1140"/>
      <c r="P5229" s="1115"/>
      <c r="Q5229" s="1116"/>
      <c r="R5229" s="1141"/>
      <c r="S5229" s="1113"/>
      <c r="T5229" s="1143"/>
      <c r="U5229" s="1108"/>
      <c r="V5229" s="1108"/>
      <c r="W5229" s="1108"/>
      <c r="X5229" s="1108"/>
      <c r="Y5229" s="1108"/>
      <c r="Z5229" s="1114"/>
      <c r="AA5229" s="1114"/>
      <c r="AB5229" s="1114"/>
      <c r="AC5229" s="1117"/>
      <c r="AD5229" s="1115"/>
      <c r="AE5229" s="1115"/>
      <c r="AF5229" s="1115"/>
      <c r="AG5229" s="1115"/>
      <c r="AH5229" s="1115"/>
      <c r="AI5229" s="1115"/>
      <c r="AJ5229" s="1117"/>
      <c r="AK5229" s="1118"/>
      <c r="AL5229" s="1115"/>
      <c r="AM5229" s="1115"/>
      <c r="AN5229" s="1115"/>
      <c r="AO5229" s="1115"/>
      <c r="AP5229" s="1115"/>
      <c r="AQ5229" s="1115"/>
      <c r="AR5229" s="1115"/>
      <c r="AS5229" s="1117"/>
      <c r="AT5229" s="1075"/>
      <c r="AU5229" s="1193"/>
      <c r="AV5229" s="330"/>
      <c r="AW5229" s="331"/>
      <c r="AX5229" s="331"/>
      <c r="AY5229" s="331"/>
      <c r="AZ5229" s="331"/>
      <c r="BA5229" s="331"/>
      <c r="BB5229" s="331"/>
      <c r="BC5229" s="331"/>
      <c r="BD5229" s="331"/>
      <c r="BE5229" s="333"/>
      <c r="BF5229" s="330"/>
      <c r="BG5229" s="333"/>
      <c r="BH5229" s="1119"/>
      <c r="BI5229" s="319"/>
      <c r="BJ5229" s="319"/>
      <c r="BK5229" s="319"/>
      <c r="BL5229" s="319"/>
      <c r="BM5229" s="319"/>
      <c r="BN5229" s="319"/>
      <c r="BO5229" s="319"/>
      <c r="BP5229" s="953"/>
      <c r="BQ5229" s="319"/>
      <c r="BR5229" s="319"/>
      <c r="BS5229" s="330"/>
      <c r="BT5229" s="331"/>
      <c r="BU5229" s="920"/>
      <c r="BV5229" s="903"/>
      <c r="BW5229" s="908"/>
      <c r="BX5229" s="908"/>
      <c r="BY5229" s="331"/>
      <c r="BZ5229" s="331"/>
      <c r="CA5229" s="462"/>
      <c r="CB5229" s="319"/>
      <c r="CC5229" s="319"/>
      <c r="CD5229" s="319"/>
      <c r="CE5229" s="319"/>
      <c r="CF5229" s="319"/>
      <c r="CG5229" s="319"/>
      <c r="CH5229" s="318"/>
      <c r="CI5229" s="319"/>
      <c r="CJ5229" s="319"/>
      <c r="CK5229" s="342"/>
      <c r="CL5229" s="333"/>
      <c r="CM5229" s="1079"/>
      <c r="CN5229" s="1005"/>
      <c r="CO5229" s="1005"/>
      <c r="CP5229" s="1005"/>
    </row>
    <row r="5230">
      <c r="A5230" s="1257"/>
      <c r="B5230" s="1113"/>
      <c r="C5230" s="1107"/>
      <c r="D5230" s="103"/>
      <c r="E5230" s="1137"/>
      <c r="F5230" s="112"/>
      <c r="G5230" s="1110"/>
      <c r="H5230" s="1138"/>
      <c r="I5230" s="1138"/>
      <c r="J5230" s="1139"/>
      <c r="K5230" s="1111"/>
      <c r="L5230" s="1112"/>
      <c r="M5230" s="1113"/>
      <c r="N5230" s="110"/>
      <c r="O5230" s="1140"/>
      <c r="P5230" s="1115"/>
      <c r="Q5230" s="1116"/>
      <c r="R5230" s="1141"/>
      <c r="S5230" s="1113"/>
      <c r="T5230" s="1143"/>
      <c r="U5230" s="1108"/>
      <c r="V5230" s="1108"/>
      <c r="W5230" s="1108"/>
      <c r="X5230" s="1108"/>
      <c r="Y5230" s="1108"/>
      <c r="Z5230" s="1114"/>
      <c r="AA5230" s="1114"/>
      <c r="AB5230" s="1114"/>
      <c r="AC5230" s="1117"/>
      <c r="AD5230" s="1115"/>
      <c r="AE5230" s="1115"/>
      <c r="AF5230" s="1115"/>
      <c r="AG5230" s="1115"/>
      <c r="AH5230" s="1115"/>
      <c r="AI5230" s="1115"/>
      <c r="AJ5230" s="1117"/>
      <c r="AK5230" s="1118"/>
      <c r="AL5230" s="1115"/>
      <c r="AM5230" s="1115"/>
      <c r="AN5230" s="1115"/>
      <c r="AO5230" s="1115"/>
      <c r="AP5230" s="1115"/>
      <c r="AQ5230" s="1115"/>
      <c r="AR5230" s="1115"/>
      <c r="AS5230" s="1117"/>
      <c r="AT5230" s="1075"/>
      <c r="AU5230" s="1193"/>
      <c r="AV5230" s="330"/>
      <c r="AW5230" s="331"/>
      <c r="AX5230" s="331"/>
      <c r="AY5230" s="331"/>
      <c r="AZ5230" s="331"/>
      <c r="BA5230" s="331"/>
      <c r="BB5230" s="331"/>
      <c r="BC5230" s="331"/>
      <c r="BD5230" s="331"/>
      <c r="BE5230" s="333"/>
      <c r="BF5230" s="330"/>
      <c r="BG5230" s="333"/>
      <c r="BH5230" s="1119"/>
      <c r="BI5230" s="319"/>
      <c r="BJ5230" s="319"/>
      <c r="BK5230" s="319"/>
      <c r="BL5230" s="319"/>
      <c r="BM5230" s="319"/>
      <c r="BN5230" s="319"/>
      <c r="BO5230" s="319"/>
      <c r="BP5230" s="953"/>
      <c r="BQ5230" s="319"/>
      <c r="BR5230" s="319"/>
      <c r="BS5230" s="330"/>
      <c r="BT5230" s="331"/>
      <c r="BU5230" s="920"/>
      <c r="BV5230" s="903"/>
      <c r="BW5230" s="908"/>
      <c r="BX5230" s="908"/>
      <c r="BY5230" s="331"/>
      <c r="BZ5230" s="331"/>
      <c r="CA5230" s="462"/>
      <c r="CB5230" s="319"/>
      <c r="CC5230" s="319"/>
      <c r="CD5230" s="319"/>
      <c r="CE5230" s="319"/>
      <c r="CF5230" s="319"/>
      <c r="CG5230" s="319"/>
      <c r="CH5230" s="318"/>
      <c r="CI5230" s="319"/>
      <c r="CJ5230" s="319"/>
      <c r="CK5230" s="342"/>
      <c r="CL5230" s="333"/>
      <c r="CM5230" s="1079"/>
      <c r="CN5230" s="1005"/>
      <c r="CO5230" s="1005"/>
      <c r="CP5230" s="1005"/>
    </row>
    <row r="5231">
      <c r="A5231" s="1257"/>
      <c r="B5231" s="1113"/>
      <c r="C5231" s="1107"/>
      <c r="D5231" s="103"/>
      <c r="E5231" s="1137"/>
      <c r="F5231" s="112"/>
      <c r="G5231" s="1110"/>
      <c r="H5231" s="1138"/>
      <c r="I5231" s="1138"/>
      <c r="J5231" s="1139"/>
      <c r="K5231" s="1111"/>
      <c r="L5231" s="1112"/>
      <c r="M5231" s="1113"/>
      <c r="N5231" s="110"/>
      <c r="O5231" s="1140"/>
      <c r="P5231" s="1115"/>
      <c r="Q5231" s="1116"/>
      <c r="R5231" s="1141"/>
      <c r="S5231" s="1113"/>
      <c r="T5231" s="1143"/>
      <c r="U5231" s="1108"/>
      <c r="V5231" s="1108"/>
      <c r="W5231" s="1108"/>
      <c r="X5231" s="1108"/>
      <c r="Y5231" s="1108"/>
      <c r="Z5231" s="1114"/>
      <c r="AA5231" s="1114"/>
      <c r="AB5231" s="1114"/>
      <c r="AC5231" s="1117"/>
      <c r="AD5231" s="1115"/>
      <c r="AE5231" s="1115"/>
      <c r="AF5231" s="1115"/>
      <c r="AG5231" s="1115"/>
      <c r="AH5231" s="1115"/>
      <c r="AI5231" s="1115"/>
      <c r="AJ5231" s="1117"/>
      <c r="AK5231" s="1118"/>
      <c r="AL5231" s="1115"/>
      <c r="AM5231" s="1115"/>
      <c r="AN5231" s="1115"/>
      <c r="AO5231" s="1115"/>
      <c r="AP5231" s="1115"/>
      <c r="AQ5231" s="1115"/>
      <c r="AR5231" s="1115"/>
      <c r="AS5231" s="1117"/>
      <c r="AT5231" s="1075"/>
      <c r="AU5231" s="1193"/>
      <c r="AV5231" s="330"/>
      <c r="AW5231" s="331"/>
      <c r="AX5231" s="331"/>
      <c r="AY5231" s="331"/>
      <c r="AZ5231" s="331"/>
      <c r="BA5231" s="331"/>
      <c r="BB5231" s="331"/>
      <c r="BC5231" s="331"/>
      <c r="BD5231" s="331"/>
      <c r="BE5231" s="333"/>
      <c r="BF5231" s="330"/>
      <c r="BG5231" s="333"/>
      <c r="BH5231" s="1119"/>
      <c r="BI5231" s="319"/>
      <c r="BJ5231" s="319"/>
      <c r="BK5231" s="319"/>
      <c r="BL5231" s="319"/>
      <c r="BM5231" s="319"/>
      <c r="BN5231" s="319"/>
      <c r="BO5231" s="319"/>
      <c r="BP5231" s="953"/>
      <c r="BQ5231" s="319"/>
      <c r="BR5231" s="319"/>
      <c r="BS5231" s="330"/>
      <c r="BT5231" s="331"/>
      <c r="BU5231" s="920"/>
      <c r="BV5231" s="903"/>
      <c r="BW5231" s="908"/>
      <c r="BX5231" s="908"/>
      <c r="BY5231" s="331"/>
      <c r="BZ5231" s="331"/>
      <c r="CA5231" s="462"/>
      <c r="CB5231" s="319"/>
      <c r="CC5231" s="319"/>
      <c r="CD5231" s="319"/>
      <c r="CE5231" s="319"/>
      <c r="CF5231" s="319"/>
      <c r="CG5231" s="319"/>
      <c r="CH5231" s="318"/>
      <c r="CI5231" s="319"/>
      <c r="CJ5231" s="319"/>
      <c r="CK5231" s="342"/>
      <c r="CL5231" s="333"/>
      <c r="CM5231" s="1079"/>
      <c r="CN5231" s="1005"/>
      <c r="CO5231" s="1005"/>
      <c r="CP5231" s="1005"/>
    </row>
    <row r="5232">
      <c r="A5232" s="1257"/>
      <c r="B5232" s="1113"/>
      <c r="C5232" s="1107"/>
      <c r="D5232" s="103"/>
      <c r="E5232" s="1137"/>
      <c r="F5232" s="112"/>
      <c r="G5232" s="1110"/>
      <c r="H5232" s="1138"/>
      <c r="I5232" s="1138"/>
      <c r="J5232" s="1139"/>
      <c r="K5232" s="1111"/>
      <c r="L5232" s="1112"/>
      <c r="M5232" s="1113"/>
      <c r="N5232" s="110"/>
      <c r="O5232" s="1140"/>
      <c r="P5232" s="1115"/>
      <c r="Q5232" s="1116"/>
      <c r="R5232" s="1141"/>
      <c r="S5232" s="1113"/>
      <c r="T5232" s="1143"/>
      <c r="U5232" s="1108"/>
      <c r="V5232" s="1108"/>
      <c r="W5232" s="1108"/>
      <c r="X5232" s="1108"/>
      <c r="Y5232" s="1108"/>
      <c r="Z5232" s="1114"/>
      <c r="AA5232" s="1114"/>
      <c r="AB5232" s="1114"/>
      <c r="AC5232" s="1117"/>
      <c r="AD5232" s="1115"/>
      <c r="AE5232" s="1115"/>
      <c r="AF5232" s="1115"/>
      <c r="AG5232" s="1115"/>
      <c r="AH5232" s="1115"/>
      <c r="AI5232" s="1115"/>
      <c r="AJ5232" s="1117"/>
      <c r="AK5232" s="1118"/>
      <c r="AL5232" s="1115"/>
      <c r="AM5232" s="1115"/>
      <c r="AN5232" s="1115"/>
      <c r="AO5232" s="1115"/>
      <c r="AP5232" s="1115"/>
      <c r="AQ5232" s="1115"/>
      <c r="AR5232" s="1115"/>
      <c r="AS5232" s="1117"/>
      <c r="AT5232" s="1075"/>
      <c r="AU5232" s="1193"/>
      <c r="AV5232" s="330"/>
      <c r="AW5232" s="331"/>
      <c r="AX5232" s="331"/>
      <c r="AY5232" s="331"/>
      <c r="AZ5232" s="331"/>
      <c r="BA5232" s="331"/>
      <c r="BB5232" s="331"/>
      <c r="BC5232" s="331"/>
      <c r="BD5232" s="331"/>
      <c r="BE5232" s="333"/>
      <c r="BF5232" s="330"/>
      <c r="BG5232" s="333"/>
      <c r="BH5232" s="1119"/>
      <c r="BI5232" s="319"/>
      <c r="BJ5232" s="319"/>
      <c r="BK5232" s="319"/>
      <c r="BL5232" s="319"/>
      <c r="BM5232" s="319"/>
      <c r="BN5232" s="319"/>
      <c r="BO5232" s="319"/>
      <c r="BP5232" s="953"/>
      <c r="BQ5232" s="319"/>
      <c r="BR5232" s="319"/>
      <c r="BS5232" s="330"/>
      <c r="BT5232" s="331"/>
      <c r="BU5232" s="920"/>
      <c r="BV5232" s="903"/>
      <c r="BW5232" s="908"/>
      <c r="BX5232" s="908"/>
      <c r="BY5232" s="331"/>
      <c r="BZ5232" s="331"/>
      <c r="CA5232" s="462"/>
      <c r="CB5232" s="319"/>
      <c r="CC5232" s="319"/>
      <c r="CD5232" s="319"/>
      <c r="CE5232" s="319"/>
      <c r="CF5232" s="319"/>
      <c r="CG5232" s="319"/>
      <c r="CH5232" s="318"/>
      <c r="CI5232" s="319"/>
      <c r="CJ5232" s="319"/>
      <c r="CK5232" s="342"/>
      <c r="CL5232" s="333"/>
      <c r="CM5232" s="1079"/>
      <c r="CN5232" s="1005"/>
      <c r="CO5232" s="1005"/>
      <c r="CP5232" s="1005"/>
    </row>
    <row r="5233">
      <c r="A5233" s="1257"/>
      <c r="B5233" s="1113"/>
      <c r="C5233" s="1107"/>
      <c r="D5233" s="103"/>
      <c r="E5233" s="1137"/>
      <c r="F5233" s="112"/>
      <c r="G5233" s="1110"/>
      <c r="H5233" s="1138"/>
      <c r="I5233" s="1138"/>
      <c r="J5233" s="1139"/>
      <c r="K5233" s="1111"/>
      <c r="L5233" s="1112"/>
      <c r="M5233" s="1113"/>
      <c r="N5233" s="110"/>
      <c r="O5233" s="1140"/>
      <c r="P5233" s="1115"/>
      <c r="Q5233" s="1116"/>
      <c r="R5233" s="1141"/>
      <c r="S5233" s="1113"/>
      <c r="T5233" s="1143"/>
      <c r="U5233" s="1108"/>
      <c r="V5233" s="1108"/>
      <c r="W5233" s="1108"/>
      <c r="X5233" s="1108"/>
      <c r="Y5233" s="1108"/>
      <c r="Z5233" s="1114"/>
      <c r="AA5233" s="1114"/>
      <c r="AB5233" s="1114"/>
      <c r="AC5233" s="1117"/>
      <c r="AD5233" s="1115"/>
      <c r="AE5233" s="1115"/>
      <c r="AF5233" s="1115"/>
      <c r="AG5233" s="1115"/>
      <c r="AH5233" s="1115"/>
      <c r="AI5233" s="1115"/>
      <c r="AJ5233" s="1117"/>
      <c r="AK5233" s="1118"/>
      <c r="AL5233" s="1115"/>
      <c r="AM5233" s="1115"/>
      <c r="AN5233" s="1115"/>
      <c r="AO5233" s="1115"/>
      <c r="AP5233" s="1115"/>
      <c r="AQ5233" s="1115"/>
      <c r="AR5233" s="1115"/>
      <c r="AS5233" s="1117"/>
      <c r="AT5233" s="1075"/>
      <c r="AU5233" s="1193"/>
      <c r="AV5233" s="330"/>
      <c r="AW5233" s="331"/>
      <c r="AX5233" s="331"/>
      <c r="AY5233" s="331"/>
      <c r="AZ5233" s="331"/>
      <c r="BA5233" s="331"/>
      <c r="BB5233" s="331"/>
      <c r="BC5233" s="331"/>
      <c r="BD5233" s="331"/>
      <c r="BE5233" s="333"/>
      <c r="BF5233" s="330"/>
      <c r="BG5233" s="333"/>
      <c r="BH5233" s="1119"/>
      <c r="BI5233" s="319"/>
      <c r="BJ5233" s="319"/>
      <c r="BK5233" s="319"/>
      <c r="BL5233" s="319"/>
      <c r="BM5233" s="319"/>
      <c r="BN5233" s="319"/>
      <c r="BO5233" s="319"/>
      <c r="BP5233" s="953"/>
      <c r="BQ5233" s="319"/>
      <c r="BR5233" s="319"/>
      <c r="BS5233" s="330"/>
      <c r="BT5233" s="331"/>
      <c r="BU5233" s="920"/>
      <c r="BV5233" s="903"/>
      <c r="BW5233" s="908"/>
      <c r="BX5233" s="908"/>
      <c r="BY5233" s="331"/>
      <c r="BZ5233" s="331"/>
      <c r="CA5233" s="462"/>
      <c r="CB5233" s="319"/>
      <c r="CC5233" s="319"/>
      <c r="CD5233" s="319"/>
      <c r="CE5233" s="319"/>
      <c r="CF5233" s="319"/>
      <c r="CG5233" s="319"/>
      <c r="CH5233" s="318"/>
      <c r="CI5233" s="319"/>
      <c r="CJ5233" s="319"/>
      <c r="CK5233" s="342"/>
      <c r="CL5233" s="333"/>
      <c r="CM5233" s="1079"/>
      <c r="CN5233" s="1005"/>
      <c r="CO5233" s="1005"/>
      <c r="CP5233" s="1005"/>
    </row>
    <row r="5234">
      <c r="A5234" s="1257"/>
      <c r="B5234" s="1113"/>
      <c r="C5234" s="1107"/>
      <c r="D5234" s="103"/>
      <c r="E5234" s="1137"/>
      <c r="F5234" s="112"/>
      <c r="G5234" s="1110"/>
      <c r="H5234" s="1138"/>
      <c r="I5234" s="1138"/>
      <c r="J5234" s="1139"/>
      <c r="K5234" s="1111"/>
      <c r="L5234" s="1112"/>
      <c r="M5234" s="1113"/>
      <c r="N5234" s="110"/>
      <c r="O5234" s="1140"/>
      <c r="P5234" s="1115"/>
      <c r="Q5234" s="1116"/>
      <c r="R5234" s="1141"/>
      <c r="S5234" s="1113"/>
      <c r="T5234" s="1143"/>
      <c r="U5234" s="1108"/>
      <c r="V5234" s="1108"/>
      <c r="W5234" s="1108"/>
      <c r="X5234" s="1108"/>
      <c r="Y5234" s="1108"/>
      <c r="Z5234" s="1114"/>
      <c r="AA5234" s="1114"/>
      <c r="AB5234" s="1114"/>
      <c r="AC5234" s="1117"/>
      <c r="AD5234" s="1115"/>
      <c r="AE5234" s="1115"/>
      <c r="AF5234" s="1115"/>
      <c r="AG5234" s="1115"/>
      <c r="AH5234" s="1115"/>
      <c r="AI5234" s="1115"/>
      <c r="AJ5234" s="1117"/>
      <c r="AK5234" s="1118"/>
      <c r="AL5234" s="1115"/>
      <c r="AM5234" s="1115"/>
      <c r="AN5234" s="1115"/>
      <c r="AO5234" s="1115"/>
      <c r="AP5234" s="1115"/>
      <c r="AQ5234" s="1115"/>
      <c r="AR5234" s="1115"/>
      <c r="AS5234" s="1117"/>
      <c r="AT5234" s="1075"/>
      <c r="AU5234" s="1193"/>
      <c r="AV5234" s="330"/>
      <c r="AW5234" s="331"/>
      <c r="AX5234" s="331"/>
      <c r="AY5234" s="331"/>
      <c r="AZ5234" s="331"/>
      <c r="BA5234" s="331"/>
      <c r="BB5234" s="331"/>
      <c r="BC5234" s="331"/>
      <c r="BD5234" s="331"/>
      <c r="BE5234" s="333"/>
      <c r="BF5234" s="330"/>
      <c r="BG5234" s="333"/>
      <c r="BH5234" s="1119"/>
      <c r="BI5234" s="319"/>
      <c r="BJ5234" s="319"/>
      <c r="BK5234" s="319"/>
      <c r="BL5234" s="319"/>
      <c r="BM5234" s="319"/>
      <c r="BN5234" s="319"/>
      <c r="BO5234" s="319"/>
      <c r="BP5234" s="953"/>
      <c r="BQ5234" s="319"/>
      <c r="BR5234" s="319"/>
      <c r="BS5234" s="330"/>
      <c r="BT5234" s="331"/>
      <c r="BU5234" s="920"/>
      <c r="BV5234" s="903"/>
      <c r="BW5234" s="908"/>
      <c r="BX5234" s="908"/>
      <c r="BY5234" s="331"/>
      <c r="BZ5234" s="331"/>
      <c r="CA5234" s="462"/>
      <c r="CB5234" s="319"/>
      <c r="CC5234" s="319"/>
      <c r="CD5234" s="319"/>
      <c r="CE5234" s="319"/>
      <c r="CF5234" s="319"/>
      <c r="CG5234" s="319"/>
      <c r="CH5234" s="318"/>
      <c r="CI5234" s="319"/>
      <c r="CJ5234" s="319"/>
      <c r="CK5234" s="342"/>
      <c r="CL5234" s="333"/>
      <c r="CM5234" s="1079"/>
      <c r="CN5234" s="1005"/>
      <c r="CO5234" s="1005"/>
      <c r="CP5234" s="1005"/>
    </row>
    <row r="5235">
      <c r="A5235" s="1257"/>
      <c r="B5235" s="1113"/>
      <c r="C5235" s="1107"/>
      <c r="D5235" s="103"/>
      <c r="E5235" s="1137"/>
      <c r="F5235" s="112"/>
      <c r="G5235" s="1110"/>
      <c r="H5235" s="1138"/>
      <c r="I5235" s="1138"/>
      <c r="J5235" s="1139"/>
      <c r="K5235" s="1111"/>
      <c r="L5235" s="1112"/>
      <c r="M5235" s="1113"/>
      <c r="N5235" s="110"/>
      <c r="O5235" s="1140"/>
      <c r="P5235" s="1115"/>
      <c r="Q5235" s="1116"/>
      <c r="R5235" s="1141"/>
      <c r="S5235" s="1113"/>
      <c r="T5235" s="1143"/>
      <c r="U5235" s="1108"/>
      <c r="V5235" s="1108"/>
      <c r="W5235" s="1108"/>
      <c r="X5235" s="1108"/>
      <c r="Y5235" s="1108"/>
      <c r="Z5235" s="1114"/>
      <c r="AA5235" s="1114"/>
      <c r="AB5235" s="1114"/>
      <c r="AC5235" s="1117"/>
      <c r="AD5235" s="1115"/>
      <c r="AE5235" s="1115"/>
      <c r="AF5235" s="1115"/>
      <c r="AG5235" s="1115"/>
      <c r="AH5235" s="1115"/>
      <c r="AI5235" s="1115"/>
      <c r="AJ5235" s="1117"/>
      <c r="AK5235" s="1118"/>
      <c r="AL5235" s="1115"/>
      <c r="AM5235" s="1115"/>
      <c r="AN5235" s="1115"/>
      <c r="AO5235" s="1115"/>
      <c r="AP5235" s="1115"/>
      <c r="AQ5235" s="1115"/>
      <c r="AR5235" s="1115"/>
      <c r="AS5235" s="1117"/>
      <c r="AT5235" s="1075"/>
      <c r="AU5235" s="1193"/>
      <c r="AV5235" s="330"/>
      <c r="AW5235" s="331"/>
      <c r="AX5235" s="331"/>
      <c r="AY5235" s="331"/>
      <c r="AZ5235" s="331"/>
      <c r="BA5235" s="331"/>
      <c r="BB5235" s="331"/>
      <c r="BC5235" s="331"/>
      <c r="BD5235" s="331"/>
      <c r="BE5235" s="333"/>
      <c r="BF5235" s="330"/>
      <c r="BG5235" s="333"/>
      <c r="BH5235" s="1119"/>
      <c r="BI5235" s="319"/>
      <c r="BJ5235" s="319"/>
      <c r="BK5235" s="319"/>
      <c r="BL5235" s="319"/>
      <c r="BM5235" s="319"/>
      <c r="BN5235" s="319"/>
      <c r="BO5235" s="319"/>
      <c r="BP5235" s="953"/>
      <c r="BQ5235" s="319"/>
      <c r="BR5235" s="319"/>
      <c r="BS5235" s="330"/>
      <c r="BT5235" s="331"/>
      <c r="BU5235" s="920"/>
      <c r="BV5235" s="903"/>
      <c r="BW5235" s="908"/>
      <c r="BX5235" s="908"/>
      <c r="BY5235" s="331"/>
      <c r="BZ5235" s="331"/>
      <c r="CA5235" s="462"/>
      <c r="CB5235" s="319"/>
      <c r="CC5235" s="319"/>
      <c r="CD5235" s="319"/>
      <c r="CE5235" s="319"/>
      <c r="CF5235" s="319"/>
      <c r="CG5235" s="319"/>
      <c r="CH5235" s="318"/>
      <c r="CI5235" s="319"/>
      <c r="CJ5235" s="319"/>
      <c r="CK5235" s="342"/>
      <c r="CL5235" s="333"/>
      <c r="CM5235" s="1079"/>
      <c r="CN5235" s="1005"/>
      <c r="CO5235" s="1005"/>
      <c r="CP5235" s="1005"/>
    </row>
    <row r="5236">
      <c r="A5236" s="1257"/>
      <c r="B5236" s="1113"/>
      <c r="C5236" s="1107"/>
      <c r="D5236" s="103"/>
      <c r="E5236" s="1137"/>
      <c r="F5236" s="112"/>
      <c r="G5236" s="1110"/>
      <c r="H5236" s="1138"/>
      <c r="I5236" s="1138"/>
      <c r="J5236" s="1139"/>
      <c r="K5236" s="1111"/>
      <c r="L5236" s="1112"/>
      <c r="M5236" s="1113"/>
      <c r="N5236" s="110"/>
      <c r="O5236" s="1140"/>
      <c r="P5236" s="1115"/>
      <c r="Q5236" s="1116"/>
      <c r="R5236" s="1141"/>
      <c r="S5236" s="1113"/>
      <c r="T5236" s="1143"/>
      <c r="U5236" s="1108"/>
      <c r="V5236" s="1108"/>
      <c r="W5236" s="1108"/>
      <c r="X5236" s="1108"/>
      <c r="Y5236" s="1108"/>
      <c r="Z5236" s="1114"/>
      <c r="AA5236" s="1114"/>
      <c r="AB5236" s="1114"/>
      <c r="AC5236" s="1117"/>
      <c r="AD5236" s="1115"/>
      <c r="AE5236" s="1115"/>
      <c r="AF5236" s="1115"/>
      <c r="AG5236" s="1115"/>
      <c r="AH5236" s="1115"/>
      <c r="AI5236" s="1115"/>
      <c r="AJ5236" s="1117"/>
      <c r="AK5236" s="1118"/>
      <c r="AL5236" s="1115"/>
      <c r="AM5236" s="1115"/>
      <c r="AN5236" s="1115"/>
      <c r="AO5236" s="1115"/>
      <c r="AP5236" s="1115"/>
      <c r="AQ5236" s="1115"/>
      <c r="AR5236" s="1115"/>
      <c r="AS5236" s="1117"/>
      <c r="AT5236" s="1075"/>
      <c r="AU5236" s="1193"/>
      <c r="AV5236" s="330"/>
      <c r="AW5236" s="331"/>
      <c r="AX5236" s="331"/>
      <c r="AY5236" s="331"/>
      <c r="AZ5236" s="331"/>
      <c r="BA5236" s="331"/>
      <c r="BB5236" s="331"/>
      <c r="BC5236" s="331"/>
      <c r="BD5236" s="331"/>
      <c r="BE5236" s="333"/>
      <c r="BF5236" s="330"/>
      <c r="BG5236" s="333"/>
      <c r="BH5236" s="1119"/>
      <c r="BI5236" s="319"/>
      <c r="BJ5236" s="319"/>
      <c r="BK5236" s="319"/>
      <c r="BL5236" s="319"/>
      <c r="BM5236" s="319"/>
      <c r="BN5236" s="319"/>
      <c r="BO5236" s="319"/>
      <c r="BP5236" s="953"/>
      <c r="BQ5236" s="319"/>
      <c r="BR5236" s="319"/>
      <c r="BS5236" s="330"/>
      <c r="BT5236" s="331"/>
      <c r="BU5236" s="920"/>
      <c r="BV5236" s="903"/>
      <c r="BW5236" s="908"/>
      <c r="BX5236" s="908"/>
      <c r="BY5236" s="331"/>
      <c r="BZ5236" s="331"/>
      <c r="CA5236" s="462"/>
      <c r="CB5236" s="319"/>
      <c r="CC5236" s="319"/>
      <c r="CD5236" s="319"/>
      <c r="CE5236" s="319"/>
      <c r="CF5236" s="319"/>
      <c r="CG5236" s="319"/>
      <c r="CH5236" s="318"/>
      <c r="CI5236" s="319"/>
      <c r="CJ5236" s="319"/>
      <c r="CK5236" s="342"/>
      <c r="CL5236" s="333"/>
      <c r="CM5236" s="1079"/>
      <c r="CN5236" s="1005"/>
      <c r="CO5236" s="1005"/>
      <c r="CP5236" s="1005"/>
    </row>
    <row r="5237">
      <c r="A5237" s="1257"/>
      <c r="B5237" s="1113"/>
      <c r="C5237" s="1107"/>
      <c r="D5237" s="103"/>
      <c r="E5237" s="1137"/>
      <c r="F5237" s="112"/>
      <c r="G5237" s="1110"/>
      <c r="H5237" s="1138"/>
      <c r="I5237" s="1138"/>
      <c r="J5237" s="1139"/>
      <c r="K5237" s="1111"/>
      <c r="L5237" s="1112"/>
      <c r="M5237" s="1113"/>
      <c r="N5237" s="110"/>
      <c r="O5237" s="1140"/>
      <c r="P5237" s="1115"/>
      <c r="Q5237" s="1116"/>
      <c r="R5237" s="1141"/>
      <c r="S5237" s="1113"/>
      <c r="T5237" s="1143"/>
      <c r="U5237" s="1108"/>
      <c r="V5237" s="1108"/>
      <c r="W5237" s="1108"/>
      <c r="X5237" s="1108"/>
      <c r="Y5237" s="1108"/>
      <c r="Z5237" s="1114"/>
      <c r="AA5237" s="1114"/>
      <c r="AB5237" s="1114"/>
      <c r="AC5237" s="1117"/>
      <c r="AD5237" s="1115"/>
      <c r="AE5237" s="1115"/>
      <c r="AF5237" s="1115"/>
      <c r="AG5237" s="1115"/>
      <c r="AH5237" s="1115"/>
      <c r="AI5237" s="1115"/>
      <c r="AJ5237" s="1117"/>
      <c r="AK5237" s="1118"/>
      <c r="AL5237" s="1115"/>
      <c r="AM5237" s="1115"/>
      <c r="AN5237" s="1115"/>
      <c r="AO5237" s="1115"/>
      <c r="AP5237" s="1115"/>
      <c r="AQ5237" s="1115"/>
      <c r="AR5237" s="1115"/>
      <c r="AS5237" s="1117"/>
      <c r="AT5237" s="1075"/>
      <c r="AU5237" s="1193"/>
      <c r="AV5237" s="330"/>
      <c r="AW5237" s="331"/>
      <c r="AX5237" s="331"/>
      <c r="AY5237" s="331"/>
      <c r="AZ5237" s="331"/>
      <c r="BA5237" s="331"/>
      <c r="BB5237" s="331"/>
      <c r="BC5237" s="331"/>
      <c r="BD5237" s="331"/>
      <c r="BE5237" s="333"/>
      <c r="BF5237" s="330"/>
      <c r="BG5237" s="333"/>
      <c r="BH5237" s="1119"/>
      <c r="BI5237" s="319"/>
      <c r="BJ5237" s="319"/>
      <c r="BK5237" s="319"/>
      <c r="BL5237" s="319"/>
      <c r="BM5237" s="319"/>
      <c r="BN5237" s="319"/>
      <c r="BO5237" s="319"/>
      <c r="BP5237" s="953"/>
      <c r="BQ5237" s="319"/>
      <c r="BR5237" s="319"/>
      <c r="BS5237" s="330"/>
      <c r="BT5237" s="331"/>
      <c r="BU5237" s="920"/>
      <c r="BV5237" s="903"/>
      <c r="BW5237" s="908"/>
      <c r="BX5237" s="908"/>
      <c r="BY5237" s="331"/>
      <c r="BZ5237" s="331"/>
      <c r="CA5237" s="462"/>
      <c r="CB5237" s="319"/>
      <c r="CC5237" s="319"/>
      <c r="CD5237" s="319"/>
      <c r="CE5237" s="319"/>
      <c r="CF5237" s="319"/>
      <c r="CG5237" s="319"/>
      <c r="CH5237" s="318"/>
      <c r="CI5237" s="319"/>
      <c r="CJ5237" s="319"/>
      <c r="CK5237" s="342"/>
      <c r="CL5237" s="333"/>
      <c r="CM5237" s="1079"/>
      <c r="CN5237" s="1005"/>
      <c r="CO5237" s="1005"/>
      <c r="CP5237" s="1005"/>
    </row>
    <row r="5238">
      <c r="A5238" s="1257"/>
      <c r="B5238" s="1113"/>
      <c r="C5238" s="1107"/>
      <c r="D5238" s="103"/>
      <c r="E5238" s="1137"/>
      <c r="F5238" s="112"/>
      <c r="G5238" s="1110"/>
      <c r="H5238" s="1138"/>
      <c r="I5238" s="1138"/>
      <c r="J5238" s="1139"/>
      <c r="K5238" s="1111"/>
      <c r="L5238" s="1112"/>
      <c r="M5238" s="1113"/>
      <c r="N5238" s="110"/>
      <c r="O5238" s="1140"/>
      <c r="P5238" s="1115"/>
      <c r="Q5238" s="1116"/>
      <c r="R5238" s="1141"/>
      <c r="S5238" s="1113"/>
      <c r="T5238" s="1143"/>
      <c r="U5238" s="1108"/>
      <c r="V5238" s="1108"/>
      <c r="W5238" s="1108"/>
      <c r="X5238" s="1108"/>
      <c r="Y5238" s="1108"/>
      <c r="Z5238" s="1114"/>
      <c r="AA5238" s="1114"/>
      <c r="AB5238" s="1114"/>
      <c r="AC5238" s="1117"/>
      <c r="AD5238" s="1115"/>
      <c r="AE5238" s="1115"/>
      <c r="AF5238" s="1115"/>
      <c r="AG5238" s="1115"/>
      <c r="AH5238" s="1115"/>
      <c r="AI5238" s="1115"/>
      <c r="AJ5238" s="1117"/>
      <c r="AK5238" s="1118"/>
      <c r="AL5238" s="1115"/>
      <c r="AM5238" s="1115"/>
      <c r="AN5238" s="1115"/>
      <c r="AO5238" s="1115"/>
      <c r="AP5238" s="1115"/>
      <c r="AQ5238" s="1115"/>
      <c r="AR5238" s="1115"/>
      <c r="AS5238" s="1117"/>
      <c r="AT5238" s="1075"/>
      <c r="AU5238" s="1193"/>
      <c r="AV5238" s="330"/>
      <c r="AW5238" s="331"/>
      <c r="AX5238" s="331"/>
      <c r="AY5238" s="331"/>
      <c r="AZ5238" s="331"/>
      <c r="BA5238" s="331"/>
      <c r="BB5238" s="331"/>
      <c r="BC5238" s="331"/>
      <c r="BD5238" s="331"/>
      <c r="BE5238" s="333"/>
      <c r="BF5238" s="330"/>
      <c r="BG5238" s="333"/>
      <c r="BH5238" s="1119"/>
      <c r="BI5238" s="319"/>
      <c r="BJ5238" s="319"/>
      <c r="BK5238" s="319"/>
      <c r="BL5238" s="319"/>
      <c r="BM5238" s="319"/>
      <c r="BN5238" s="319"/>
      <c r="BO5238" s="319"/>
      <c r="BP5238" s="953"/>
      <c r="BQ5238" s="319"/>
      <c r="BR5238" s="319"/>
      <c r="BS5238" s="330"/>
      <c r="BT5238" s="331"/>
      <c r="BU5238" s="920"/>
      <c r="BV5238" s="903"/>
      <c r="BW5238" s="908"/>
      <c r="BX5238" s="908"/>
      <c r="BY5238" s="331"/>
      <c r="BZ5238" s="331"/>
      <c r="CA5238" s="462"/>
      <c r="CB5238" s="319"/>
      <c r="CC5238" s="319"/>
      <c r="CD5238" s="319"/>
      <c r="CE5238" s="319"/>
      <c r="CF5238" s="319"/>
      <c r="CG5238" s="319"/>
      <c r="CH5238" s="318"/>
      <c r="CI5238" s="319"/>
      <c r="CJ5238" s="319"/>
      <c r="CK5238" s="342"/>
      <c r="CL5238" s="333"/>
      <c r="CM5238" s="1079"/>
      <c r="CN5238" s="1005"/>
      <c r="CO5238" s="1005"/>
      <c r="CP5238" s="1005"/>
    </row>
    <row r="5239">
      <c r="A5239" s="1257"/>
      <c r="B5239" s="1113"/>
      <c r="C5239" s="1107"/>
      <c r="D5239" s="103"/>
      <c r="E5239" s="1137"/>
      <c r="F5239" s="112"/>
      <c r="G5239" s="1110"/>
      <c r="H5239" s="1138"/>
      <c r="I5239" s="1138"/>
      <c r="J5239" s="1139"/>
      <c r="K5239" s="1111"/>
      <c r="L5239" s="1112"/>
      <c r="M5239" s="1113"/>
      <c r="N5239" s="110"/>
      <c r="O5239" s="1140"/>
      <c r="P5239" s="1115"/>
      <c r="Q5239" s="1116"/>
      <c r="R5239" s="1141"/>
      <c r="S5239" s="1113"/>
      <c r="T5239" s="1143"/>
      <c r="U5239" s="1108"/>
      <c r="V5239" s="1108"/>
      <c r="W5239" s="1108"/>
      <c r="X5239" s="1108"/>
      <c r="Y5239" s="1108"/>
      <c r="Z5239" s="1114"/>
      <c r="AA5239" s="1114"/>
      <c r="AB5239" s="1114"/>
      <c r="AC5239" s="1117"/>
      <c r="AD5239" s="1115"/>
      <c r="AE5239" s="1115"/>
      <c r="AF5239" s="1115"/>
      <c r="AG5239" s="1115"/>
      <c r="AH5239" s="1115"/>
      <c r="AI5239" s="1115"/>
      <c r="AJ5239" s="1117"/>
      <c r="AK5239" s="1118"/>
      <c r="AL5239" s="1115"/>
      <c r="AM5239" s="1115"/>
      <c r="AN5239" s="1115"/>
      <c r="AO5239" s="1115"/>
      <c r="AP5239" s="1115"/>
      <c r="AQ5239" s="1115"/>
      <c r="AR5239" s="1115"/>
      <c r="AS5239" s="1117"/>
      <c r="AT5239" s="1075"/>
      <c r="AU5239" s="1193"/>
      <c r="AV5239" s="330"/>
      <c r="AW5239" s="331"/>
      <c r="AX5239" s="331"/>
      <c r="AY5239" s="331"/>
      <c r="AZ5239" s="331"/>
      <c r="BA5239" s="331"/>
      <c r="BB5239" s="331"/>
      <c r="BC5239" s="331"/>
      <c r="BD5239" s="331"/>
      <c r="BE5239" s="333"/>
      <c r="BF5239" s="330"/>
      <c r="BG5239" s="333"/>
      <c r="BH5239" s="1119"/>
      <c r="BI5239" s="319"/>
      <c r="BJ5239" s="319"/>
      <c r="BK5239" s="319"/>
      <c r="BL5239" s="319"/>
      <c r="BM5239" s="319"/>
      <c r="BN5239" s="319"/>
      <c r="BO5239" s="319"/>
      <c r="BP5239" s="953"/>
      <c r="BQ5239" s="319"/>
      <c r="BR5239" s="319"/>
      <c r="BS5239" s="330"/>
      <c r="BT5239" s="331"/>
      <c r="BU5239" s="920"/>
      <c r="BV5239" s="903"/>
      <c r="BW5239" s="908"/>
      <c r="BX5239" s="908"/>
      <c r="BY5239" s="331"/>
      <c r="BZ5239" s="331"/>
      <c r="CA5239" s="462"/>
      <c r="CB5239" s="319"/>
      <c r="CC5239" s="319"/>
      <c r="CD5239" s="319"/>
      <c r="CE5239" s="319"/>
      <c r="CF5239" s="319"/>
      <c r="CG5239" s="319"/>
      <c r="CH5239" s="318"/>
      <c r="CI5239" s="319"/>
      <c r="CJ5239" s="319"/>
      <c r="CK5239" s="342"/>
      <c r="CL5239" s="333"/>
      <c r="CM5239" s="1079"/>
      <c r="CN5239" s="1005"/>
      <c r="CO5239" s="1005"/>
      <c r="CP5239" s="1005"/>
    </row>
    <row r="5240">
      <c r="A5240" s="1257"/>
      <c r="B5240" s="1113"/>
      <c r="C5240" s="1107"/>
      <c r="D5240" s="103"/>
      <c r="E5240" s="1137"/>
      <c r="F5240" s="112"/>
      <c r="G5240" s="1110"/>
      <c r="H5240" s="1138"/>
      <c r="I5240" s="1138"/>
      <c r="J5240" s="1139"/>
      <c r="K5240" s="1111"/>
      <c r="L5240" s="1112"/>
      <c r="M5240" s="1113"/>
      <c r="N5240" s="110"/>
      <c r="O5240" s="1140"/>
      <c r="P5240" s="1115"/>
      <c r="Q5240" s="1116"/>
      <c r="R5240" s="1141"/>
      <c r="S5240" s="1113"/>
      <c r="T5240" s="1143"/>
      <c r="U5240" s="1108"/>
      <c r="V5240" s="1108"/>
      <c r="W5240" s="1108"/>
      <c r="X5240" s="1108"/>
      <c r="Y5240" s="1108"/>
      <c r="Z5240" s="1114"/>
      <c r="AA5240" s="1114"/>
      <c r="AB5240" s="1114"/>
      <c r="AC5240" s="1117"/>
      <c r="AD5240" s="1115"/>
      <c r="AE5240" s="1115"/>
      <c r="AF5240" s="1115"/>
      <c r="AG5240" s="1115"/>
      <c r="AH5240" s="1115"/>
      <c r="AI5240" s="1115"/>
      <c r="AJ5240" s="1117"/>
      <c r="AK5240" s="1118"/>
      <c r="AL5240" s="1115"/>
      <c r="AM5240" s="1115"/>
      <c r="AN5240" s="1115"/>
      <c r="AO5240" s="1115"/>
      <c r="AP5240" s="1115"/>
      <c r="AQ5240" s="1115"/>
      <c r="AR5240" s="1115"/>
      <c r="AS5240" s="1117"/>
      <c r="AT5240" s="1075"/>
      <c r="AU5240" s="1193"/>
      <c r="AV5240" s="330"/>
      <c r="AW5240" s="331"/>
      <c r="AX5240" s="331"/>
      <c r="AY5240" s="331"/>
      <c r="AZ5240" s="331"/>
      <c r="BA5240" s="331"/>
      <c r="BB5240" s="331"/>
      <c r="BC5240" s="331"/>
      <c r="BD5240" s="331"/>
      <c r="BE5240" s="333"/>
      <c r="BF5240" s="330"/>
      <c r="BG5240" s="333"/>
      <c r="BH5240" s="1119"/>
      <c r="BI5240" s="319"/>
      <c r="BJ5240" s="319"/>
      <c r="BK5240" s="319"/>
      <c r="BL5240" s="319"/>
      <c r="BM5240" s="319"/>
      <c r="BN5240" s="319"/>
      <c r="BO5240" s="319"/>
      <c r="BP5240" s="953"/>
      <c r="BQ5240" s="319"/>
      <c r="BR5240" s="319"/>
      <c r="BS5240" s="330"/>
      <c r="BT5240" s="331"/>
      <c r="BU5240" s="920"/>
      <c r="BV5240" s="903"/>
      <c r="BW5240" s="908"/>
      <c r="BX5240" s="908"/>
      <c r="BY5240" s="331"/>
      <c r="BZ5240" s="331"/>
      <c r="CA5240" s="462"/>
      <c r="CB5240" s="319"/>
      <c r="CC5240" s="319"/>
      <c r="CD5240" s="319"/>
      <c r="CE5240" s="319"/>
      <c r="CF5240" s="319"/>
      <c r="CG5240" s="319"/>
      <c r="CH5240" s="318"/>
      <c r="CI5240" s="319"/>
      <c r="CJ5240" s="319"/>
      <c r="CK5240" s="342"/>
      <c r="CL5240" s="333"/>
      <c r="CM5240" s="1079"/>
      <c r="CN5240" s="1005"/>
      <c r="CO5240" s="1005"/>
      <c r="CP5240" s="1005"/>
    </row>
    <row r="5241">
      <c r="A5241" s="1257"/>
      <c r="B5241" s="1113"/>
      <c r="C5241" s="1107"/>
      <c r="D5241" s="103"/>
      <c r="E5241" s="1137"/>
      <c r="F5241" s="112"/>
      <c r="G5241" s="1110"/>
      <c r="H5241" s="1138"/>
      <c r="I5241" s="1138"/>
      <c r="J5241" s="1139"/>
      <c r="K5241" s="1111"/>
      <c r="L5241" s="1112"/>
      <c r="M5241" s="1113"/>
      <c r="N5241" s="110"/>
      <c r="O5241" s="1140"/>
      <c r="P5241" s="1115"/>
      <c r="Q5241" s="1116"/>
      <c r="R5241" s="1141"/>
      <c r="S5241" s="1113"/>
      <c r="T5241" s="1143"/>
      <c r="U5241" s="1108"/>
      <c r="V5241" s="1108"/>
      <c r="W5241" s="1108"/>
      <c r="X5241" s="1108"/>
      <c r="Y5241" s="1108"/>
      <c r="Z5241" s="1114"/>
      <c r="AA5241" s="1114"/>
      <c r="AB5241" s="1114"/>
      <c r="AC5241" s="1117"/>
      <c r="AD5241" s="1115"/>
      <c r="AE5241" s="1115"/>
      <c r="AF5241" s="1115"/>
      <c r="AG5241" s="1115"/>
      <c r="AH5241" s="1115"/>
      <c r="AI5241" s="1115"/>
      <c r="AJ5241" s="1117"/>
      <c r="AK5241" s="1118"/>
      <c r="AL5241" s="1115"/>
      <c r="AM5241" s="1115"/>
      <c r="AN5241" s="1115"/>
      <c r="AO5241" s="1115"/>
      <c r="AP5241" s="1115"/>
      <c r="AQ5241" s="1115"/>
      <c r="AR5241" s="1115"/>
      <c r="AS5241" s="1117"/>
      <c r="AT5241" s="1075"/>
      <c r="AU5241" s="1193"/>
      <c r="AV5241" s="330"/>
      <c r="AW5241" s="331"/>
      <c r="AX5241" s="331"/>
      <c r="AY5241" s="331"/>
      <c r="AZ5241" s="331"/>
      <c r="BA5241" s="331"/>
      <c r="BB5241" s="331"/>
      <c r="BC5241" s="331"/>
      <c r="BD5241" s="331"/>
      <c r="BE5241" s="333"/>
      <c r="BF5241" s="330"/>
      <c r="BG5241" s="333"/>
      <c r="BH5241" s="1119"/>
      <c r="BI5241" s="319"/>
      <c r="BJ5241" s="319"/>
      <c r="BK5241" s="319"/>
      <c r="BL5241" s="319"/>
      <c r="BM5241" s="319"/>
      <c r="BN5241" s="319"/>
      <c r="BO5241" s="319"/>
      <c r="BP5241" s="953"/>
      <c r="BQ5241" s="319"/>
      <c r="BR5241" s="319"/>
      <c r="BS5241" s="330"/>
      <c r="BT5241" s="331"/>
      <c r="BU5241" s="920"/>
      <c r="BV5241" s="903"/>
      <c r="BW5241" s="908"/>
      <c r="BX5241" s="908"/>
      <c r="BY5241" s="331"/>
      <c r="BZ5241" s="331"/>
      <c r="CA5241" s="462"/>
      <c r="CB5241" s="319"/>
      <c r="CC5241" s="319"/>
      <c r="CD5241" s="319"/>
      <c r="CE5241" s="319"/>
      <c r="CF5241" s="319"/>
      <c r="CG5241" s="319"/>
      <c r="CH5241" s="318"/>
      <c r="CI5241" s="319"/>
      <c r="CJ5241" s="319"/>
      <c r="CK5241" s="342"/>
      <c r="CL5241" s="333"/>
      <c r="CM5241" s="1079"/>
      <c r="CN5241" s="1005"/>
      <c r="CO5241" s="1005"/>
      <c r="CP5241" s="1005"/>
    </row>
    <row r="5242">
      <c r="A5242" s="1257"/>
      <c r="B5242" s="1113"/>
      <c r="C5242" s="1107"/>
      <c r="D5242" s="103"/>
      <c r="E5242" s="1137"/>
      <c r="F5242" s="112"/>
      <c r="G5242" s="1110"/>
      <c r="H5242" s="1138"/>
      <c r="I5242" s="1138"/>
      <c r="J5242" s="1139"/>
      <c r="K5242" s="1111"/>
      <c r="L5242" s="1112"/>
      <c r="M5242" s="1113"/>
      <c r="N5242" s="110"/>
      <c r="O5242" s="1140"/>
      <c r="P5242" s="1115"/>
      <c r="Q5242" s="1116"/>
      <c r="R5242" s="1141"/>
      <c r="S5242" s="1113"/>
      <c r="T5242" s="1143"/>
      <c r="U5242" s="1108"/>
      <c r="V5242" s="1108"/>
      <c r="W5242" s="1108"/>
      <c r="X5242" s="1108"/>
      <c r="Y5242" s="1108"/>
      <c r="Z5242" s="1114"/>
      <c r="AA5242" s="1114"/>
      <c r="AB5242" s="1114"/>
      <c r="AC5242" s="1117"/>
      <c r="AD5242" s="1115"/>
      <c r="AE5242" s="1115"/>
      <c r="AF5242" s="1115"/>
      <c r="AG5242" s="1115"/>
      <c r="AH5242" s="1115"/>
      <c r="AI5242" s="1115"/>
      <c r="AJ5242" s="1117"/>
      <c r="AK5242" s="1118"/>
      <c r="AL5242" s="1115"/>
      <c r="AM5242" s="1115"/>
      <c r="AN5242" s="1115"/>
      <c r="AO5242" s="1115"/>
      <c r="AP5242" s="1115"/>
      <c r="AQ5242" s="1115"/>
      <c r="AR5242" s="1115"/>
      <c r="AS5242" s="1117"/>
      <c r="AT5242" s="1075"/>
      <c r="AU5242" s="1193"/>
      <c r="AV5242" s="330"/>
      <c r="AW5242" s="331"/>
      <c r="AX5242" s="331"/>
      <c r="AY5242" s="331"/>
      <c r="AZ5242" s="331"/>
      <c r="BA5242" s="331"/>
      <c r="BB5242" s="331"/>
      <c r="BC5242" s="331"/>
      <c r="BD5242" s="331"/>
      <c r="BE5242" s="333"/>
      <c r="BF5242" s="330"/>
      <c r="BG5242" s="333"/>
      <c r="BH5242" s="1119"/>
      <c r="BI5242" s="319"/>
      <c r="BJ5242" s="319"/>
      <c r="BK5242" s="319"/>
      <c r="BL5242" s="319"/>
      <c r="BM5242" s="319"/>
      <c r="BN5242" s="319"/>
      <c r="BO5242" s="319"/>
      <c r="BP5242" s="953"/>
      <c r="BQ5242" s="319"/>
      <c r="BR5242" s="319"/>
      <c r="BS5242" s="330"/>
      <c r="BT5242" s="331"/>
      <c r="BU5242" s="920"/>
      <c r="BV5242" s="903"/>
      <c r="BW5242" s="908"/>
      <c r="BX5242" s="908"/>
      <c r="BY5242" s="331"/>
      <c r="BZ5242" s="331"/>
      <c r="CA5242" s="462"/>
      <c r="CB5242" s="319"/>
      <c r="CC5242" s="319"/>
      <c r="CD5242" s="319"/>
      <c r="CE5242" s="319"/>
      <c r="CF5242" s="319"/>
      <c r="CG5242" s="319"/>
      <c r="CH5242" s="318"/>
      <c r="CI5242" s="319"/>
      <c r="CJ5242" s="319"/>
      <c r="CK5242" s="342"/>
      <c r="CL5242" s="333"/>
      <c r="CM5242" s="1079"/>
      <c r="CN5242" s="1005"/>
      <c r="CO5242" s="1005"/>
      <c r="CP5242" s="1005"/>
    </row>
    <row r="5243">
      <c r="A5243" s="1257"/>
      <c r="B5243" s="1113"/>
      <c r="C5243" s="1107"/>
      <c r="D5243" s="103"/>
      <c r="E5243" s="1137"/>
      <c r="F5243" s="112"/>
      <c r="G5243" s="1110"/>
      <c r="H5243" s="1138"/>
      <c r="I5243" s="1138"/>
      <c r="J5243" s="1139"/>
      <c r="K5243" s="1111"/>
      <c r="L5243" s="1112"/>
      <c r="M5243" s="1113"/>
      <c r="N5243" s="110"/>
      <c r="O5243" s="1140"/>
      <c r="P5243" s="1115"/>
      <c r="Q5243" s="1116"/>
      <c r="R5243" s="1141"/>
      <c r="S5243" s="1113"/>
      <c r="T5243" s="1143"/>
      <c r="U5243" s="1108"/>
      <c r="V5243" s="1108"/>
      <c r="W5243" s="1108"/>
      <c r="X5243" s="1108"/>
      <c r="Y5243" s="1108"/>
      <c r="Z5243" s="1114"/>
      <c r="AA5243" s="1114"/>
      <c r="AB5243" s="1114"/>
      <c r="AC5243" s="1117"/>
      <c r="AD5243" s="1115"/>
      <c r="AE5243" s="1115"/>
      <c r="AF5243" s="1115"/>
      <c r="AG5243" s="1115"/>
      <c r="AH5243" s="1115"/>
      <c r="AI5243" s="1115"/>
      <c r="AJ5243" s="1117"/>
      <c r="AK5243" s="1118"/>
      <c r="AL5243" s="1115"/>
      <c r="AM5243" s="1115"/>
      <c r="AN5243" s="1115"/>
      <c r="AO5243" s="1115"/>
      <c r="AP5243" s="1115"/>
      <c r="AQ5243" s="1115"/>
      <c r="AR5243" s="1115"/>
      <c r="AS5243" s="1117"/>
      <c r="AT5243" s="1075"/>
      <c r="AU5243" s="1193"/>
      <c r="AV5243" s="330"/>
      <c r="AW5243" s="331"/>
      <c r="AX5243" s="331"/>
      <c r="AY5243" s="331"/>
      <c r="AZ5243" s="331"/>
      <c r="BA5243" s="331"/>
      <c r="BB5243" s="331"/>
      <c r="BC5243" s="331"/>
      <c r="BD5243" s="331"/>
      <c r="BE5243" s="333"/>
      <c r="BF5243" s="330"/>
      <c r="BG5243" s="333"/>
      <c r="BH5243" s="1119"/>
      <c r="BI5243" s="319"/>
      <c r="BJ5243" s="319"/>
      <c r="BK5243" s="319"/>
      <c r="BL5243" s="319"/>
      <c r="BM5243" s="319"/>
      <c r="BN5243" s="319"/>
      <c r="BO5243" s="319"/>
      <c r="BP5243" s="953"/>
      <c r="BQ5243" s="319"/>
      <c r="BR5243" s="319"/>
      <c r="BS5243" s="330"/>
      <c r="BT5243" s="331"/>
      <c r="BU5243" s="920"/>
      <c r="BV5243" s="903"/>
      <c r="BW5243" s="908"/>
      <c r="BX5243" s="908"/>
      <c r="BY5243" s="331"/>
      <c r="BZ5243" s="331"/>
      <c r="CA5243" s="462"/>
      <c r="CB5243" s="319"/>
      <c r="CC5243" s="319"/>
      <c r="CD5243" s="319"/>
      <c r="CE5243" s="319"/>
      <c r="CF5243" s="319"/>
      <c r="CG5243" s="319"/>
      <c r="CH5243" s="318"/>
      <c r="CI5243" s="319"/>
      <c r="CJ5243" s="319"/>
      <c r="CK5243" s="342"/>
      <c r="CL5243" s="333"/>
      <c r="CM5243" s="1079"/>
      <c r="CN5243" s="1005"/>
      <c r="CO5243" s="1005"/>
      <c r="CP5243" s="1005"/>
    </row>
    <row r="5244">
      <c r="A5244" s="1257"/>
      <c r="B5244" s="1113"/>
      <c r="C5244" s="1107"/>
      <c r="D5244" s="103"/>
      <c r="E5244" s="1137"/>
      <c r="F5244" s="112"/>
      <c r="G5244" s="1110"/>
      <c r="H5244" s="1138"/>
      <c r="I5244" s="1138"/>
      <c r="J5244" s="1139"/>
      <c r="K5244" s="1111"/>
      <c r="L5244" s="1112"/>
      <c r="M5244" s="1113"/>
      <c r="N5244" s="110"/>
      <c r="O5244" s="1140"/>
      <c r="P5244" s="1115"/>
      <c r="Q5244" s="1116"/>
      <c r="R5244" s="1141"/>
      <c r="S5244" s="1113"/>
      <c r="T5244" s="1143"/>
      <c r="U5244" s="1108"/>
      <c r="V5244" s="1108"/>
      <c r="W5244" s="1108"/>
      <c r="X5244" s="1108"/>
      <c r="Y5244" s="1108"/>
      <c r="Z5244" s="1114"/>
      <c r="AA5244" s="1114"/>
      <c r="AB5244" s="1114"/>
      <c r="AC5244" s="1117"/>
      <c r="AD5244" s="1115"/>
      <c r="AE5244" s="1115"/>
      <c r="AF5244" s="1115"/>
      <c r="AG5244" s="1115"/>
      <c r="AH5244" s="1115"/>
      <c r="AI5244" s="1115"/>
      <c r="AJ5244" s="1117"/>
      <c r="AK5244" s="1118"/>
      <c r="AL5244" s="1115"/>
      <c r="AM5244" s="1115"/>
      <c r="AN5244" s="1115"/>
      <c r="AO5244" s="1115"/>
      <c r="AP5244" s="1115"/>
      <c r="AQ5244" s="1115"/>
      <c r="AR5244" s="1115"/>
      <c r="AS5244" s="1117"/>
      <c r="AT5244" s="1075"/>
      <c r="AU5244" s="1193"/>
      <c r="AV5244" s="330"/>
      <c r="AW5244" s="331"/>
      <c r="AX5244" s="331"/>
      <c r="AY5244" s="331"/>
      <c r="AZ5244" s="331"/>
      <c r="BA5244" s="331"/>
      <c r="BB5244" s="331"/>
      <c r="BC5244" s="331"/>
      <c r="BD5244" s="331"/>
      <c r="BE5244" s="333"/>
      <c r="BF5244" s="330"/>
      <c r="BG5244" s="333"/>
      <c r="BH5244" s="1119"/>
      <c r="BI5244" s="319"/>
      <c r="BJ5244" s="319"/>
      <c r="BK5244" s="319"/>
      <c r="BL5244" s="319"/>
      <c r="BM5244" s="319"/>
      <c r="BN5244" s="319"/>
      <c r="BO5244" s="319"/>
      <c r="BP5244" s="953"/>
      <c r="BQ5244" s="319"/>
      <c r="BR5244" s="319"/>
      <c r="BS5244" s="330"/>
      <c r="BT5244" s="331"/>
      <c r="BU5244" s="920"/>
      <c r="BV5244" s="903"/>
      <c r="BW5244" s="908"/>
      <c r="BX5244" s="908"/>
      <c r="BY5244" s="331"/>
      <c r="BZ5244" s="331"/>
      <c r="CA5244" s="462"/>
      <c r="CB5244" s="319"/>
      <c r="CC5244" s="319"/>
      <c r="CD5244" s="319"/>
      <c r="CE5244" s="319"/>
      <c r="CF5244" s="319"/>
      <c r="CG5244" s="319"/>
      <c r="CH5244" s="318"/>
      <c r="CI5244" s="319"/>
      <c r="CJ5244" s="319"/>
      <c r="CK5244" s="342"/>
      <c r="CL5244" s="333"/>
      <c r="CM5244" s="1079"/>
      <c r="CN5244" s="1005"/>
      <c r="CO5244" s="1005"/>
      <c r="CP5244" s="1005"/>
    </row>
    <row r="5245">
      <c r="A5245" s="1257"/>
      <c r="B5245" s="1113"/>
      <c r="C5245" s="1107"/>
      <c r="D5245" s="103"/>
      <c r="E5245" s="1137"/>
      <c r="F5245" s="112"/>
      <c r="G5245" s="1110"/>
      <c r="H5245" s="1138"/>
      <c r="I5245" s="1138"/>
      <c r="J5245" s="1139"/>
      <c r="K5245" s="1111"/>
      <c r="L5245" s="1112"/>
      <c r="M5245" s="1113"/>
      <c r="N5245" s="110"/>
      <c r="O5245" s="1140"/>
      <c r="P5245" s="1115"/>
      <c r="Q5245" s="1116"/>
      <c r="R5245" s="1141"/>
      <c r="S5245" s="1113"/>
      <c r="T5245" s="1143"/>
      <c r="U5245" s="1108"/>
      <c r="V5245" s="1108"/>
      <c r="W5245" s="1108"/>
      <c r="X5245" s="1108"/>
      <c r="Y5245" s="1108"/>
      <c r="Z5245" s="1114"/>
      <c r="AA5245" s="1114"/>
      <c r="AB5245" s="1114"/>
      <c r="AC5245" s="1117"/>
      <c r="AD5245" s="1115"/>
      <c r="AE5245" s="1115"/>
      <c r="AF5245" s="1115"/>
      <c r="AG5245" s="1115"/>
      <c r="AH5245" s="1115"/>
      <c r="AI5245" s="1115"/>
      <c r="AJ5245" s="1117"/>
      <c r="AK5245" s="1118"/>
      <c r="AL5245" s="1115"/>
      <c r="AM5245" s="1115"/>
      <c r="AN5245" s="1115"/>
      <c r="AO5245" s="1115"/>
      <c r="AP5245" s="1115"/>
      <c r="AQ5245" s="1115"/>
      <c r="AR5245" s="1115"/>
      <c r="AS5245" s="1117"/>
      <c r="AT5245" s="1075"/>
      <c r="AU5245" s="1193"/>
      <c r="AV5245" s="330"/>
      <c r="AW5245" s="331"/>
      <c r="AX5245" s="331"/>
      <c r="AY5245" s="331"/>
      <c r="AZ5245" s="331"/>
      <c r="BA5245" s="331"/>
      <c r="BB5245" s="331"/>
      <c r="BC5245" s="331"/>
      <c r="BD5245" s="331"/>
      <c r="BE5245" s="333"/>
      <c r="BF5245" s="330"/>
      <c r="BG5245" s="333"/>
      <c r="BH5245" s="1119"/>
      <c r="BI5245" s="319"/>
      <c r="BJ5245" s="319"/>
      <c r="BK5245" s="319"/>
      <c r="BL5245" s="319"/>
      <c r="BM5245" s="319"/>
      <c r="BN5245" s="319"/>
      <c r="BO5245" s="319"/>
      <c r="BP5245" s="953"/>
      <c r="BQ5245" s="319"/>
      <c r="BR5245" s="319"/>
      <c r="BS5245" s="330"/>
      <c r="BT5245" s="331"/>
      <c r="BU5245" s="920"/>
      <c r="BV5245" s="903"/>
      <c r="BW5245" s="908"/>
      <c r="BX5245" s="908"/>
      <c r="BY5245" s="331"/>
      <c r="BZ5245" s="331"/>
      <c r="CA5245" s="462"/>
      <c r="CB5245" s="319"/>
      <c r="CC5245" s="319"/>
      <c r="CD5245" s="319"/>
      <c r="CE5245" s="319"/>
      <c r="CF5245" s="319"/>
      <c r="CG5245" s="319"/>
      <c r="CH5245" s="318"/>
      <c r="CI5245" s="319"/>
      <c r="CJ5245" s="319"/>
      <c r="CK5245" s="342"/>
      <c r="CL5245" s="333"/>
      <c r="CM5245" s="1079"/>
      <c r="CN5245" s="1005"/>
      <c r="CO5245" s="1005"/>
      <c r="CP5245" s="1005"/>
    </row>
    <row r="5246">
      <c r="A5246" s="1257"/>
      <c r="B5246" s="1113"/>
      <c r="C5246" s="1107"/>
      <c r="D5246" s="103"/>
      <c r="E5246" s="1137"/>
      <c r="F5246" s="112"/>
      <c r="G5246" s="1110"/>
      <c r="H5246" s="1138"/>
      <c r="I5246" s="1138"/>
      <c r="J5246" s="1139"/>
      <c r="K5246" s="1111"/>
      <c r="L5246" s="1112"/>
      <c r="M5246" s="1113"/>
      <c r="N5246" s="110"/>
      <c r="O5246" s="1140"/>
      <c r="P5246" s="1115"/>
      <c r="Q5246" s="1116"/>
      <c r="R5246" s="1141"/>
      <c r="S5246" s="1113"/>
      <c r="T5246" s="1143"/>
      <c r="U5246" s="1108"/>
      <c r="V5246" s="1108"/>
      <c r="W5246" s="1108"/>
      <c r="X5246" s="1108"/>
      <c r="Y5246" s="1108"/>
      <c r="Z5246" s="1114"/>
      <c r="AA5246" s="1114"/>
      <c r="AB5246" s="1114"/>
      <c r="AC5246" s="1117"/>
      <c r="AD5246" s="1115"/>
      <c r="AE5246" s="1115"/>
      <c r="AF5246" s="1115"/>
      <c r="AG5246" s="1115"/>
      <c r="AH5246" s="1115"/>
      <c r="AI5246" s="1115"/>
      <c r="AJ5246" s="1117"/>
      <c r="AK5246" s="1118"/>
      <c r="AL5246" s="1115"/>
      <c r="AM5246" s="1115"/>
      <c r="AN5246" s="1115"/>
      <c r="AO5246" s="1115"/>
      <c r="AP5246" s="1115"/>
      <c r="AQ5246" s="1115"/>
      <c r="AR5246" s="1115"/>
      <c r="AS5246" s="1117"/>
      <c r="AT5246" s="1075"/>
      <c r="AU5246" s="1193"/>
      <c r="AV5246" s="330"/>
      <c r="AW5246" s="331"/>
      <c r="AX5246" s="331"/>
      <c r="AY5246" s="331"/>
      <c r="AZ5246" s="331"/>
      <c r="BA5246" s="331"/>
      <c r="BB5246" s="331"/>
      <c r="BC5246" s="331"/>
      <c r="BD5246" s="331"/>
      <c r="BE5246" s="333"/>
      <c r="BF5246" s="330"/>
      <c r="BG5246" s="333"/>
      <c r="BH5246" s="1119"/>
      <c r="BI5246" s="319"/>
      <c r="BJ5246" s="319"/>
      <c r="BK5246" s="319"/>
      <c r="BL5246" s="319"/>
      <c r="BM5246" s="319"/>
      <c r="BN5246" s="319"/>
      <c r="BO5246" s="319"/>
      <c r="BP5246" s="953"/>
      <c r="BQ5246" s="319"/>
      <c r="BR5246" s="319"/>
      <c r="BS5246" s="330"/>
      <c r="BT5246" s="331"/>
      <c r="BU5246" s="920"/>
      <c r="BV5246" s="903"/>
      <c r="BW5246" s="908"/>
      <c r="BX5246" s="908"/>
      <c r="BY5246" s="331"/>
      <c r="BZ5246" s="331"/>
      <c r="CA5246" s="462"/>
      <c r="CB5246" s="319"/>
      <c r="CC5246" s="319"/>
      <c r="CD5246" s="319"/>
      <c r="CE5246" s="319"/>
      <c r="CF5246" s="319"/>
      <c r="CG5246" s="319"/>
      <c r="CH5246" s="318"/>
      <c r="CI5246" s="319"/>
      <c r="CJ5246" s="319"/>
      <c r="CK5246" s="342"/>
      <c r="CL5246" s="333"/>
      <c r="CM5246" s="1079"/>
      <c r="CN5246" s="1005"/>
      <c r="CO5246" s="1005"/>
      <c r="CP5246" s="1005"/>
    </row>
    <row r="5247">
      <c r="A5247" s="1257"/>
      <c r="B5247" s="1113"/>
      <c r="C5247" s="1107"/>
      <c r="D5247" s="103"/>
      <c r="E5247" s="1137"/>
      <c r="F5247" s="112"/>
      <c r="G5247" s="1110"/>
      <c r="H5247" s="1138"/>
      <c r="I5247" s="1138"/>
      <c r="J5247" s="1139"/>
      <c r="K5247" s="1111"/>
      <c r="L5247" s="1112"/>
      <c r="M5247" s="1113"/>
      <c r="N5247" s="110"/>
      <c r="O5247" s="1140"/>
      <c r="P5247" s="1115"/>
      <c r="Q5247" s="1116"/>
      <c r="R5247" s="1141"/>
      <c r="S5247" s="1113"/>
      <c r="T5247" s="1143"/>
      <c r="U5247" s="1108"/>
      <c r="V5247" s="1108"/>
      <c r="W5247" s="1108"/>
      <c r="X5247" s="1108"/>
      <c r="Y5247" s="1108"/>
      <c r="Z5247" s="1114"/>
      <c r="AA5247" s="1114"/>
      <c r="AB5247" s="1114"/>
      <c r="AC5247" s="1117"/>
      <c r="AD5247" s="1115"/>
      <c r="AE5247" s="1115"/>
      <c r="AF5247" s="1115"/>
      <c r="AG5247" s="1115"/>
      <c r="AH5247" s="1115"/>
      <c r="AI5247" s="1115"/>
      <c r="AJ5247" s="1117"/>
      <c r="AK5247" s="1118"/>
      <c r="AL5247" s="1115"/>
      <c r="AM5247" s="1115"/>
      <c r="AN5247" s="1115"/>
      <c r="AO5247" s="1115"/>
      <c r="AP5247" s="1115"/>
      <c r="AQ5247" s="1115"/>
      <c r="AR5247" s="1115"/>
      <c r="AS5247" s="1117"/>
      <c r="AT5247" s="1075"/>
      <c r="AU5247" s="1193"/>
      <c r="AV5247" s="330"/>
      <c r="AW5247" s="331"/>
      <c r="AX5247" s="331"/>
      <c r="AY5247" s="331"/>
      <c r="AZ5247" s="331"/>
      <c r="BA5247" s="331"/>
      <c r="BB5247" s="331"/>
      <c r="BC5247" s="331"/>
      <c r="BD5247" s="331"/>
      <c r="BE5247" s="333"/>
      <c r="BF5247" s="330"/>
      <c r="BG5247" s="333"/>
      <c r="BH5247" s="1119"/>
      <c r="BI5247" s="319"/>
      <c r="BJ5247" s="319"/>
      <c r="BK5247" s="319"/>
      <c r="BL5247" s="319"/>
      <c r="BM5247" s="319"/>
      <c r="BN5247" s="319"/>
      <c r="BO5247" s="319"/>
      <c r="BP5247" s="953"/>
      <c r="BQ5247" s="319"/>
      <c r="BR5247" s="319"/>
      <c r="BS5247" s="330"/>
      <c r="BT5247" s="331"/>
      <c r="BU5247" s="920"/>
      <c r="BV5247" s="903"/>
      <c r="BW5247" s="908"/>
      <c r="BX5247" s="908"/>
      <c r="BY5247" s="331"/>
      <c r="BZ5247" s="331"/>
      <c r="CA5247" s="462"/>
      <c r="CB5247" s="319"/>
      <c r="CC5247" s="319"/>
      <c r="CD5247" s="319"/>
      <c r="CE5247" s="319"/>
      <c r="CF5247" s="319"/>
      <c r="CG5247" s="319"/>
      <c r="CH5247" s="318"/>
      <c r="CI5247" s="319"/>
      <c r="CJ5247" s="319"/>
      <c r="CK5247" s="342"/>
      <c r="CL5247" s="333"/>
      <c r="CM5247" s="1079"/>
      <c r="CN5247" s="1005"/>
      <c r="CO5247" s="1005"/>
      <c r="CP5247" s="1005"/>
    </row>
    <row r="5248">
      <c r="A5248" s="1257"/>
      <c r="B5248" s="1113"/>
      <c r="C5248" s="1107"/>
      <c r="D5248" s="103"/>
      <c r="E5248" s="1137"/>
      <c r="F5248" s="112"/>
      <c r="G5248" s="1110"/>
      <c r="H5248" s="1138"/>
      <c r="I5248" s="1138"/>
      <c r="J5248" s="1139"/>
      <c r="K5248" s="1111"/>
      <c r="L5248" s="1112"/>
      <c r="M5248" s="1113"/>
      <c r="N5248" s="110"/>
      <c r="O5248" s="1140"/>
      <c r="P5248" s="1115"/>
      <c r="Q5248" s="1116"/>
      <c r="R5248" s="1141"/>
      <c r="S5248" s="1113"/>
      <c r="T5248" s="1143"/>
      <c r="U5248" s="1108"/>
      <c r="V5248" s="1108"/>
      <c r="W5248" s="1108"/>
      <c r="X5248" s="1108"/>
      <c r="Y5248" s="1108"/>
      <c r="Z5248" s="1114"/>
      <c r="AA5248" s="1114"/>
      <c r="AB5248" s="1114"/>
      <c r="AC5248" s="1117"/>
      <c r="AD5248" s="1115"/>
      <c r="AE5248" s="1115"/>
      <c r="AF5248" s="1115"/>
      <c r="AG5248" s="1115"/>
      <c r="AH5248" s="1115"/>
      <c r="AI5248" s="1115"/>
      <c r="AJ5248" s="1117"/>
      <c r="AK5248" s="1118"/>
      <c r="AL5248" s="1115"/>
      <c r="AM5248" s="1115"/>
      <c r="AN5248" s="1115"/>
      <c r="AO5248" s="1115"/>
      <c r="AP5248" s="1115"/>
      <c r="AQ5248" s="1115"/>
      <c r="AR5248" s="1115"/>
      <c r="AS5248" s="1117"/>
      <c r="AT5248" s="1075"/>
      <c r="AU5248" s="1193"/>
      <c r="AV5248" s="330"/>
      <c r="AW5248" s="331"/>
      <c r="AX5248" s="331"/>
      <c r="AY5248" s="331"/>
      <c r="AZ5248" s="331"/>
      <c r="BA5248" s="331"/>
      <c r="BB5248" s="331"/>
      <c r="BC5248" s="331"/>
      <c r="BD5248" s="331"/>
      <c r="BE5248" s="333"/>
      <c r="BF5248" s="330"/>
      <c r="BG5248" s="333"/>
      <c r="BH5248" s="1119"/>
      <c r="BI5248" s="319"/>
      <c r="BJ5248" s="319"/>
      <c r="BK5248" s="319"/>
      <c r="BL5248" s="319"/>
      <c r="BM5248" s="319"/>
      <c r="BN5248" s="319"/>
      <c r="BO5248" s="319"/>
      <c r="BP5248" s="953"/>
      <c r="BQ5248" s="319"/>
      <c r="BR5248" s="319"/>
      <c r="BS5248" s="330"/>
      <c r="BT5248" s="331"/>
      <c r="BU5248" s="920"/>
      <c r="BV5248" s="903"/>
      <c r="BW5248" s="908"/>
      <c r="BX5248" s="908"/>
      <c r="BY5248" s="331"/>
      <c r="BZ5248" s="331"/>
      <c r="CA5248" s="462"/>
      <c r="CB5248" s="319"/>
      <c r="CC5248" s="319"/>
      <c r="CD5248" s="319"/>
      <c r="CE5248" s="319"/>
      <c r="CF5248" s="319"/>
      <c r="CG5248" s="319"/>
      <c r="CH5248" s="318"/>
      <c r="CI5248" s="319"/>
      <c r="CJ5248" s="319"/>
      <c r="CK5248" s="342"/>
      <c r="CL5248" s="333"/>
      <c r="CM5248" s="1079"/>
      <c r="CN5248" s="1005"/>
      <c r="CO5248" s="1005"/>
      <c r="CP5248" s="1005"/>
    </row>
    <row r="5249">
      <c r="A5249" s="1257"/>
      <c r="B5249" s="1113"/>
      <c r="C5249" s="1107"/>
      <c r="D5249" s="103"/>
      <c r="E5249" s="1137"/>
      <c r="F5249" s="112"/>
      <c r="G5249" s="1110"/>
      <c r="H5249" s="1138"/>
      <c r="I5249" s="1138"/>
      <c r="J5249" s="1139"/>
      <c r="K5249" s="1111"/>
      <c r="L5249" s="1112"/>
      <c r="M5249" s="1113"/>
      <c r="N5249" s="110"/>
      <c r="O5249" s="1140"/>
      <c r="P5249" s="1115"/>
      <c r="Q5249" s="1116"/>
      <c r="R5249" s="1141"/>
      <c r="S5249" s="1113"/>
      <c r="T5249" s="1143"/>
      <c r="U5249" s="1108"/>
      <c r="V5249" s="1108"/>
      <c r="W5249" s="1108"/>
      <c r="X5249" s="1108"/>
      <c r="Y5249" s="1108"/>
      <c r="Z5249" s="1114"/>
      <c r="AA5249" s="1114"/>
      <c r="AB5249" s="1114"/>
      <c r="AC5249" s="1117"/>
      <c r="AD5249" s="1115"/>
      <c r="AE5249" s="1115"/>
      <c r="AF5249" s="1115"/>
      <c r="AG5249" s="1115"/>
      <c r="AH5249" s="1115"/>
      <c r="AI5249" s="1115"/>
      <c r="AJ5249" s="1117"/>
      <c r="AK5249" s="1118"/>
      <c r="AL5249" s="1115"/>
      <c r="AM5249" s="1115"/>
      <c r="AN5249" s="1115"/>
      <c r="AO5249" s="1115"/>
      <c r="AP5249" s="1115"/>
      <c r="AQ5249" s="1115"/>
      <c r="AR5249" s="1115"/>
      <c r="AS5249" s="1117"/>
      <c r="AT5249" s="1075"/>
      <c r="AU5249" s="1193"/>
      <c r="AV5249" s="330"/>
      <c r="AW5249" s="331"/>
      <c r="AX5249" s="331"/>
      <c r="AY5249" s="331"/>
      <c r="AZ5249" s="331"/>
      <c r="BA5249" s="331"/>
      <c r="BB5249" s="331"/>
      <c r="BC5249" s="331"/>
      <c r="BD5249" s="331"/>
      <c r="BE5249" s="333"/>
      <c r="BF5249" s="330"/>
      <c r="BG5249" s="333"/>
      <c r="BH5249" s="1119"/>
      <c r="BI5249" s="319"/>
      <c r="BJ5249" s="319"/>
      <c r="BK5249" s="319"/>
      <c r="BL5249" s="319"/>
      <c r="BM5249" s="319"/>
      <c r="BN5249" s="319"/>
      <c r="BO5249" s="319"/>
      <c r="BP5249" s="953"/>
      <c r="BQ5249" s="319"/>
      <c r="BR5249" s="319"/>
      <c r="BS5249" s="330"/>
      <c r="BT5249" s="331"/>
      <c r="BU5249" s="920"/>
      <c r="BV5249" s="903"/>
      <c r="BW5249" s="908"/>
      <c r="BX5249" s="908"/>
      <c r="BY5249" s="331"/>
      <c r="BZ5249" s="331"/>
      <c r="CA5249" s="462"/>
      <c r="CB5249" s="319"/>
      <c r="CC5249" s="319"/>
      <c r="CD5249" s="319"/>
      <c r="CE5249" s="319"/>
      <c r="CF5249" s="319"/>
      <c r="CG5249" s="319"/>
      <c r="CH5249" s="318"/>
      <c r="CI5249" s="319"/>
      <c r="CJ5249" s="319"/>
      <c r="CK5249" s="342"/>
      <c r="CL5249" s="333"/>
      <c r="CM5249" s="1079"/>
      <c r="CN5249" s="1005"/>
      <c r="CO5249" s="1005"/>
      <c r="CP5249" s="1005"/>
    </row>
    <row r="5250">
      <c r="A5250" s="1257"/>
      <c r="B5250" s="1113"/>
      <c r="C5250" s="1107"/>
      <c r="D5250" s="103"/>
      <c r="E5250" s="1137"/>
      <c r="F5250" s="112"/>
      <c r="G5250" s="1110"/>
      <c r="H5250" s="1138"/>
      <c r="I5250" s="1138"/>
      <c r="J5250" s="1139"/>
      <c r="K5250" s="1111"/>
      <c r="L5250" s="1112"/>
      <c r="M5250" s="1113"/>
      <c r="N5250" s="110"/>
      <c r="O5250" s="1140"/>
      <c r="P5250" s="1115"/>
      <c r="Q5250" s="1116"/>
      <c r="R5250" s="1141"/>
      <c r="S5250" s="1113"/>
      <c r="T5250" s="1143"/>
      <c r="U5250" s="1108"/>
      <c r="V5250" s="1108"/>
      <c r="W5250" s="1108"/>
      <c r="X5250" s="1108"/>
      <c r="Y5250" s="1108"/>
      <c r="Z5250" s="1114"/>
      <c r="AA5250" s="1114"/>
      <c r="AB5250" s="1114"/>
      <c r="AC5250" s="1117"/>
      <c r="AD5250" s="1115"/>
      <c r="AE5250" s="1115"/>
      <c r="AF5250" s="1115"/>
      <c r="AG5250" s="1115"/>
      <c r="AH5250" s="1115"/>
      <c r="AI5250" s="1115"/>
      <c r="AJ5250" s="1117"/>
      <c r="AK5250" s="1118"/>
      <c r="AL5250" s="1115"/>
      <c r="AM5250" s="1115"/>
      <c r="AN5250" s="1115"/>
      <c r="AO5250" s="1115"/>
      <c r="AP5250" s="1115"/>
      <c r="AQ5250" s="1115"/>
      <c r="AR5250" s="1115"/>
      <c r="AS5250" s="1117"/>
      <c r="AT5250" s="1075"/>
      <c r="AU5250" s="1193"/>
      <c r="AV5250" s="330"/>
      <c r="AW5250" s="331"/>
      <c r="AX5250" s="331"/>
      <c r="AY5250" s="331"/>
      <c r="AZ5250" s="331"/>
      <c r="BA5250" s="331"/>
      <c r="BB5250" s="331"/>
      <c r="BC5250" s="331"/>
      <c r="BD5250" s="331"/>
      <c r="BE5250" s="333"/>
      <c r="BF5250" s="330"/>
      <c r="BG5250" s="333"/>
      <c r="BH5250" s="1119"/>
      <c r="BI5250" s="319"/>
      <c r="BJ5250" s="319"/>
      <c r="BK5250" s="319"/>
      <c r="BL5250" s="319"/>
      <c r="BM5250" s="319"/>
      <c r="BN5250" s="319"/>
      <c r="BO5250" s="319"/>
      <c r="BP5250" s="953"/>
      <c r="BQ5250" s="319"/>
      <c r="BR5250" s="319"/>
      <c r="BS5250" s="330"/>
      <c r="BT5250" s="331"/>
      <c r="BU5250" s="920"/>
      <c r="BV5250" s="903"/>
      <c r="BW5250" s="908"/>
      <c r="BX5250" s="908"/>
      <c r="BY5250" s="331"/>
      <c r="BZ5250" s="331"/>
      <c r="CA5250" s="462"/>
      <c r="CB5250" s="319"/>
      <c r="CC5250" s="319"/>
      <c r="CD5250" s="319"/>
      <c r="CE5250" s="319"/>
      <c r="CF5250" s="319"/>
      <c r="CG5250" s="319"/>
      <c r="CH5250" s="318"/>
      <c r="CI5250" s="319"/>
      <c r="CJ5250" s="319"/>
      <c r="CK5250" s="342"/>
      <c r="CL5250" s="333"/>
      <c r="CM5250" s="1079"/>
      <c r="CN5250" s="1005"/>
      <c r="CO5250" s="1005"/>
      <c r="CP5250" s="1005"/>
    </row>
    <row r="5251">
      <c r="A5251" s="1257"/>
      <c r="B5251" s="1113"/>
      <c r="C5251" s="1107"/>
      <c r="D5251" s="103"/>
      <c r="E5251" s="1137"/>
      <c r="F5251" s="112"/>
      <c r="G5251" s="1110"/>
      <c r="H5251" s="1138"/>
      <c r="I5251" s="1138"/>
      <c r="J5251" s="1139"/>
      <c r="K5251" s="1111"/>
      <c r="L5251" s="1112"/>
      <c r="M5251" s="1113"/>
      <c r="N5251" s="110"/>
      <c r="O5251" s="1140"/>
      <c r="P5251" s="1115"/>
      <c r="Q5251" s="1116"/>
      <c r="R5251" s="1141"/>
      <c r="S5251" s="1113"/>
      <c r="T5251" s="1143"/>
      <c r="U5251" s="1108"/>
      <c r="V5251" s="1108"/>
      <c r="W5251" s="1108"/>
      <c r="X5251" s="1108"/>
      <c r="Y5251" s="1108"/>
      <c r="Z5251" s="1114"/>
      <c r="AA5251" s="1114"/>
      <c r="AB5251" s="1114"/>
      <c r="AC5251" s="1117"/>
      <c r="AD5251" s="1115"/>
      <c r="AE5251" s="1115"/>
      <c r="AF5251" s="1115"/>
      <c r="AG5251" s="1115"/>
      <c r="AH5251" s="1115"/>
      <c r="AI5251" s="1115"/>
      <c r="AJ5251" s="1117"/>
      <c r="AK5251" s="1118"/>
      <c r="AL5251" s="1115"/>
      <c r="AM5251" s="1115"/>
      <c r="AN5251" s="1115"/>
      <c r="AO5251" s="1115"/>
      <c r="AP5251" s="1115"/>
      <c r="AQ5251" s="1115"/>
      <c r="AR5251" s="1115"/>
      <c r="AS5251" s="1117"/>
      <c r="AT5251" s="1075"/>
      <c r="AU5251" s="1193"/>
      <c r="AV5251" s="330"/>
      <c r="AW5251" s="331"/>
      <c r="AX5251" s="331"/>
      <c r="AY5251" s="331"/>
      <c r="AZ5251" s="331"/>
      <c r="BA5251" s="331"/>
      <c r="BB5251" s="331"/>
      <c r="BC5251" s="331"/>
      <c r="BD5251" s="331"/>
      <c r="BE5251" s="333"/>
      <c r="BF5251" s="330"/>
      <c r="BG5251" s="333"/>
      <c r="BH5251" s="1119"/>
      <c r="BI5251" s="319"/>
      <c r="BJ5251" s="319"/>
      <c r="BK5251" s="319"/>
      <c r="BL5251" s="319"/>
      <c r="BM5251" s="319"/>
      <c r="BN5251" s="319"/>
      <c r="BO5251" s="319"/>
      <c r="BP5251" s="953"/>
      <c r="BQ5251" s="319"/>
      <c r="BR5251" s="319"/>
      <c r="BS5251" s="330"/>
      <c r="BT5251" s="331"/>
      <c r="BU5251" s="920"/>
      <c r="BV5251" s="903"/>
      <c r="BW5251" s="908"/>
      <c r="BX5251" s="908"/>
      <c r="BY5251" s="331"/>
      <c r="BZ5251" s="331"/>
      <c r="CA5251" s="462"/>
      <c r="CB5251" s="319"/>
      <c r="CC5251" s="319"/>
      <c r="CD5251" s="319"/>
      <c r="CE5251" s="319"/>
      <c r="CF5251" s="319"/>
      <c r="CG5251" s="319"/>
      <c r="CH5251" s="318"/>
      <c r="CI5251" s="319"/>
      <c r="CJ5251" s="319"/>
      <c r="CK5251" s="342"/>
      <c r="CL5251" s="333"/>
      <c r="CM5251" s="1079"/>
      <c r="CN5251" s="1005"/>
      <c r="CO5251" s="1005"/>
      <c r="CP5251" s="1005"/>
    </row>
    <row r="5252">
      <c r="A5252" s="1257"/>
      <c r="B5252" s="1113"/>
      <c r="C5252" s="1107"/>
      <c r="D5252" s="103"/>
      <c r="E5252" s="1137"/>
      <c r="F5252" s="112"/>
      <c r="G5252" s="1110"/>
      <c r="H5252" s="1138"/>
      <c r="I5252" s="1138"/>
      <c r="J5252" s="1139"/>
      <c r="K5252" s="1111"/>
      <c r="L5252" s="1112"/>
      <c r="M5252" s="1113"/>
      <c r="N5252" s="110"/>
      <c r="O5252" s="1140"/>
      <c r="P5252" s="1115"/>
      <c r="Q5252" s="1116"/>
      <c r="R5252" s="1141"/>
      <c r="S5252" s="1113"/>
      <c r="T5252" s="1143"/>
      <c r="U5252" s="1108"/>
      <c r="V5252" s="1108"/>
      <c r="W5252" s="1108"/>
      <c r="X5252" s="1108"/>
      <c r="Y5252" s="1108"/>
      <c r="Z5252" s="1114"/>
      <c r="AA5252" s="1114"/>
      <c r="AB5252" s="1114"/>
      <c r="AC5252" s="1117"/>
      <c r="AD5252" s="1115"/>
      <c r="AE5252" s="1115"/>
      <c r="AF5252" s="1115"/>
      <c r="AG5252" s="1115"/>
      <c r="AH5252" s="1115"/>
      <c r="AI5252" s="1115"/>
      <c r="AJ5252" s="1117"/>
      <c r="AK5252" s="1118"/>
      <c r="AL5252" s="1115"/>
      <c r="AM5252" s="1115"/>
      <c r="AN5252" s="1115"/>
      <c r="AO5252" s="1115"/>
      <c r="AP5252" s="1115"/>
      <c r="AQ5252" s="1115"/>
      <c r="AR5252" s="1115"/>
      <c r="AS5252" s="1117"/>
      <c r="AT5252" s="1075"/>
      <c r="AU5252" s="1193"/>
      <c r="AV5252" s="330"/>
      <c r="AW5252" s="331"/>
      <c r="AX5252" s="331"/>
      <c r="AY5252" s="331"/>
      <c r="AZ5252" s="331"/>
      <c r="BA5252" s="331"/>
      <c r="BB5252" s="331"/>
      <c r="BC5252" s="331"/>
      <c r="BD5252" s="331"/>
      <c r="BE5252" s="333"/>
      <c r="BF5252" s="330"/>
      <c r="BG5252" s="333"/>
      <c r="BH5252" s="1119"/>
      <c r="BI5252" s="319"/>
      <c r="BJ5252" s="319"/>
      <c r="BK5252" s="319"/>
      <c r="BL5252" s="319"/>
      <c r="BM5252" s="319"/>
      <c r="BN5252" s="319"/>
      <c r="BO5252" s="319"/>
      <c r="BP5252" s="953"/>
      <c r="BQ5252" s="319"/>
      <c r="BR5252" s="319"/>
      <c r="BS5252" s="330"/>
      <c r="BT5252" s="331"/>
      <c r="BU5252" s="920"/>
      <c r="BV5252" s="903"/>
      <c r="BW5252" s="908"/>
      <c r="BX5252" s="908"/>
      <c r="BY5252" s="331"/>
      <c r="BZ5252" s="331"/>
      <c r="CA5252" s="462"/>
      <c r="CB5252" s="319"/>
      <c r="CC5252" s="319"/>
      <c r="CD5252" s="319"/>
      <c r="CE5252" s="319"/>
      <c r="CF5252" s="319"/>
      <c r="CG5252" s="319"/>
      <c r="CH5252" s="318"/>
      <c r="CI5252" s="319"/>
      <c r="CJ5252" s="319"/>
      <c r="CK5252" s="342"/>
      <c r="CL5252" s="333"/>
      <c r="CM5252" s="1079"/>
      <c r="CN5252" s="1005"/>
      <c r="CO5252" s="1005"/>
      <c r="CP5252" s="1005"/>
    </row>
    <row r="5253">
      <c r="A5253" s="1257"/>
      <c r="B5253" s="1113"/>
      <c r="C5253" s="1107"/>
      <c r="D5253" s="103"/>
      <c r="E5253" s="1137"/>
      <c r="F5253" s="112"/>
      <c r="G5253" s="1110"/>
      <c r="H5253" s="1138"/>
      <c r="I5253" s="1138"/>
      <c r="J5253" s="1139"/>
      <c r="K5253" s="1111"/>
      <c r="L5253" s="1112"/>
      <c r="M5253" s="1113"/>
      <c r="N5253" s="110"/>
      <c r="O5253" s="1140"/>
      <c r="P5253" s="1115"/>
      <c r="Q5253" s="1116"/>
      <c r="R5253" s="1141"/>
      <c r="S5253" s="1113"/>
      <c r="T5253" s="1143"/>
      <c r="U5253" s="1108"/>
      <c r="V5253" s="1108"/>
      <c r="W5253" s="1108"/>
      <c r="X5253" s="1108"/>
      <c r="Y5253" s="1108"/>
      <c r="Z5253" s="1114"/>
      <c r="AA5253" s="1114"/>
      <c r="AB5253" s="1114"/>
      <c r="AC5253" s="1117"/>
      <c r="AD5253" s="1115"/>
      <c r="AE5253" s="1115"/>
      <c r="AF5253" s="1115"/>
      <c r="AG5253" s="1115"/>
      <c r="AH5253" s="1115"/>
      <c r="AI5253" s="1115"/>
      <c r="AJ5253" s="1117"/>
      <c r="AK5253" s="1118"/>
      <c r="AL5253" s="1115"/>
      <c r="AM5253" s="1115"/>
      <c r="AN5253" s="1115"/>
      <c r="AO5253" s="1115"/>
      <c r="AP5253" s="1115"/>
      <c r="AQ5253" s="1115"/>
      <c r="AR5253" s="1115"/>
      <c r="AS5253" s="1117"/>
      <c r="AT5253" s="1075"/>
      <c r="AU5253" s="1193"/>
      <c r="AV5253" s="330"/>
      <c r="AW5253" s="331"/>
      <c r="AX5253" s="331"/>
      <c r="AY5253" s="331"/>
      <c r="AZ5253" s="331"/>
      <c r="BA5253" s="331"/>
      <c r="BB5253" s="331"/>
      <c r="BC5253" s="331"/>
      <c r="BD5253" s="331"/>
      <c r="BE5253" s="333"/>
      <c r="BF5253" s="330"/>
      <c r="BG5253" s="333"/>
      <c r="BH5253" s="1119"/>
      <c r="BI5253" s="319"/>
      <c r="BJ5253" s="319"/>
      <c r="BK5253" s="319"/>
      <c r="BL5253" s="319"/>
      <c r="BM5253" s="319"/>
      <c r="BN5253" s="319"/>
      <c r="BO5253" s="319"/>
      <c r="BP5253" s="953"/>
      <c r="BQ5253" s="319"/>
      <c r="BR5253" s="319"/>
      <c r="BS5253" s="330"/>
      <c r="BT5253" s="331"/>
      <c r="BU5253" s="920"/>
      <c r="BV5253" s="903"/>
      <c r="BW5253" s="908"/>
      <c r="BX5253" s="908"/>
      <c r="BY5253" s="331"/>
      <c r="BZ5253" s="331"/>
      <c r="CA5253" s="462"/>
      <c r="CB5253" s="319"/>
      <c r="CC5253" s="319"/>
      <c r="CD5253" s="319"/>
      <c r="CE5253" s="319"/>
      <c r="CF5253" s="319"/>
      <c r="CG5253" s="319"/>
      <c r="CH5253" s="318"/>
      <c r="CI5253" s="319"/>
      <c r="CJ5253" s="319"/>
      <c r="CK5253" s="342"/>
      <c r="CL5253" s="333"/>
      <c r="CM5253" s="1079"/>
      <c r="CN5253" s="1005"/>
      <c r="CO5253" s="1005"/>
      <c r="CP5253" s="1005"/>
    </row>
    <row r="5254">
      <c r="A5254" s="1257"/>
      <c r="B5254" s="1113"/>
      <c r="C5254" s="1107"/>
      <c r="D5254" s="103"/>
      <c r="E5254" s="1137"/>
      <c r="F5254" s="112"/>
      <c r="G5254" s="1110"/>
      <c r="H5254" s="1138"/>
      <c r="I5254" s="1138"/>
      <c r="J5254" s="1139"/>
      <c r="K5254" s="1111"/>
      <c r="L5254" s="1112"/>
      <c r="M5254" s="1113"/>
      <c r="N5254" s="110"/>
      <c r="O5254" s="1140"/>
      <c r="P5254" s="1115"/>
      <c r="Q5254" s="1116"/>
      <c r="R5254" s="1141"/>
      <c r="S5254" s="1113"/>
      <c r="T5254" s="1143"/>
      <c r="U5254" s="1108"/>
      <c r="V5254" s="1108"/>
      <c r="W5254" s="1108"/>
      <c r="X5254" s="1108"/>
      <c r="Y5254" s="1108"/>
      <c r="Z5254" s="1114"/>
      <c r="AA5254" s="1114"/>
      <c r="AB5254" s="1114"/>
      <c r="AC5254" s="1117"/>
      <c r="AD5254" s="1115"/>
      <c r="AE5254" s="1115"/>
      <c r="AF5254" s="1115"/>
      <c r="AG5254" s="1115"/>
      <c r="AH5254" s="1115"/>
      <c r="AI5254" s="1115"/>
      <c r="AJ5254" s="1117"/>
      <c r="AK5254" s="1118"/>
      <c r="AL5254" s="1115"/>
      <c r="AM5254" s="1115"/>
      <c r="AN5254" s="1115"/>
      <c r="AO5254" s="1115"/>
      <c r="AP5254" s="1115"/>
      <c r="AQ5254" s="1115"/>
      <c r="AR5254" s="1115"/>
      <c r="AS5254" s="1117"/>
      <c r="AT5254" s="1075"/>
      <c r="AU5254" s="1193"/>
      <c r="AV5254" s="330"/>
      <c r="AW5254" s="331"/>
      <c r="AX5254" s="331"/>
      <c r="AY5254" s="331"/>
      <c r="AZ5254" s="331"/>
      <c r="BA5254" s="331"/>
      <c r="BB5254" s="331"/>
      <c r="BC5254" s="331"/>
      <c r="BD5254" s="331"/>
      <c r="BE5254" s="333"/>
      <c r="BF5254" s="330"/>
      <c r="BG5254" s="333"/>
      <c r="BH5254" s="1119"/>
      <c r="BI5254" s="319"/>
      <c r="BJ5254" s="319"/>
      <c r="BK5254" s="319"/>
      <c r="BL5254" s="319"/>
      <c r="BM5254" s="319"/>
      <c r="BN5254" s="319"/>
      <c r="BO5254" s="319"/>
      <c r="BP5254" s="953"/>
      <c r="BQ5254" s="319"/>
      <c r="BR5254" s="319"/>
      <c r="BS5254" s="330"/>
      <c r="BT5254" s="331"/>
      <c r="BU5254" s="920"/>
      <c r="BV5254" s="903"/>
      <c r="BW5254" s="908"/>
      <c r="BX5254" s="908"/>
      <c r="BY5254" s="331"/>
      <c r="BZ5254" s="331"/>
      <c r="CA5254" s="462"/>
      <c r="CB5254" s="319"/>
      <c r="CC5254" s="319"/>
      <c r="CD5254" s="319"/>
      <c r="CE5254" s="319"/>
      <c r="CF5254" s="319"/>
      <c r="CG5254" s="319"/>
      <c r="CH5254" s="318"/>
      <c r="CI5254" s="319"/>
      <c r="CJ5254" s="319"/>
      <c r="CK5254" s="342"/>
      <c r="CL5254" s="333"/>
      <c r="CM5254" s="1079"/>
      <c r="CN5254" s="1005"/>
      <c r="CO5254" s="1005"/>
      <c r="CP5254" s="1005"/>
    </row>
    <row r="5255">
      <c r="A5255" s="1257"/>
      <c r="B5255" s="1113"/>
      <c r="C5255" s="1107"/>
      <c r="D5255" s="103"/>
      <c r="E5255" s="1137"/>
      <c r="F5255" s="112"/>
      <c r="G5255" s="1110"/>
      <c r="H5255" s="1138"/>
      <c r="I5255" s="1138"/>
      <c r="J5255" s="1139"/>
      <c r="K5255" s="1111"/>
      <c r="L5255" s="1112"/>
      <c r="M5255" s="1113"/>
      <c r="N5255" s="110"/>
      <c r="O5255" s="1140"/>
      <c r="P5255" s="1115"/>
      <c r="Q5255" s="1116"/>
      <c r="R5255" s="1141"/>
      <c r="S5255" s="1113"/>
      <c r="T5255" s="1143"/>
      <c r="U5255" s="1108"/>
      <c r="V5255" s="1108"/>
      <c r="W5255" s="1108"/>
      <c r="X5255" s="1108"/>
      <c r="Y5255" s="1108"/>
      <c r="Z5255" s="1114"/>
      <c r="AA5255" s="1114"/>
      <c r="AB5255" s="1114"/>
      <c r="AC5255" s="1117"/>
      <c r="AD5255" s="1115"/>
      <c r="AE5255" s="1115"/>
      <c r="AF5255" s="1115"/>
      <c r="AG5255" s="1115"/>
      <c r="AH5255" s="1115"/>
      <c r="AI5255" s="1115"/>
      <c r="AJ5255" s="1117"/>
      <c r="AK5255" s="1118"/>
      <c r="AL5255" s="1115"/>
      <c r="AM5255" s="1115"/>
      <c r="AN5255" s="1115"/>
      <c r="AO5255" s="1115"/>
      <c r="AP5255" s="1115"/>
      <c r="AQ5255" s="1115"/>
      <c r="AR5255" s="1115"/>
      <c r="AS5255" s="1117"/>
      <c r="AT5255" s="1075"/>
      <c r="AU5255" s="1193"/>
      <c r="AV5255" s="330"/>
      <c r="AW5255" s="331"/>
      <c r="AX5255" s="331"/>
      <c r="AY5255" s="331"/>
      <c r="AZ5255" s="331"/>
      <c r="BA5255" s="331"/>
      <c r="BB5255" s="331"/>
      <c r="BC5255" s="331"/>
      <c r="BD5255" s="331"/>
      <c r="BE5255" s="333"/>
      <c r="BF5255" s="330"/>
      <c r="BG5255" s="333"/>
      <c r="BH5255" s="1119"/>
      <c r="BI5255" s="319"/>
      <c r="BJ5255" s="319"/>
      <c r="BK5255" s="319"/>
      <c r="BL5255" s="319"/>
      <c r="BM5255" s="319"/>
      <c r="BN5255" s="319"/>
      <c r="BO5255" s="319"/>
      <c r="BP5255" s="953"/>
      <c r="BQ5255" s="319"/>
      <c r="BR5255" s="319"/>
      <c r="BS5255" s="330"/>
      <c r="BT5255" s="331"/>
      <c r="BU5255" s="920"/>
      <c r="BV5255" s="903"/>
      <c r="BW5255" s="908"/>
      <c r="BX5255" s="908"/>
      <c r="BY5255" s="331"/>
      <c r="BZ5255" s="331"/>
      <c r="CA5255" s="462"/>
      <c r="CB5255" s="319"/>
      <c r="CC5255" s="319"/>
      <c r="CD5255" s="319"/>
      <c r="CE5255" s="319"/>
      <c r="CF5255" s="319"/>
      <c r="CG5255" s="319"/>
      <c r="CH5255" s="318"/>
      <c r="CI5255" s="319"/>
      <c r="CJ5255" s="319"/>
      <c r="CK5255" s="342"/>
      <c r="CL5255" s="333"/>
      <c r="CM5255" s="1079"/>
      <c r="CN5255" s="1005"/>
      <c r="CO5255" s="1005"/>
      <c r="CP5255" s="1005"/>
    </row>
    <row r="5256">
      <c r="A5256" s="1257"/>
      <c r="B5256" s="1113"/>
      <c r="C5256" s="1107"/>
      <c r="D5256" s="103"/>
      <c r="E5256" s="1137"/>
      <c r="F5256" s="112"/>
      <c r="G5256" s="1110"/>
      <c r="H5256" s="1138"/>
      <c r="I5256" s="1138"/>
      <c r="J5256" s="1139"/>
      <c r="K5256" s="1111"/>
      <c r="L5256" s="1112"/>
      <c r="M5256" s="1113"/>
      <c r="N5256" s="110"/>
      <c r="O5256" s="1140"/>
      <c r="P5256" s="1115"/>
      <c r="Q5256" s="1116"/>
      <c r="R5256" s="1141"/>
      <c r="S5256" s="1113"/>
      <c r="T5256" s="1143"/>
      <c r="U5256" s="1108"/>
      <c r="V5256" s="1108"/>
      <c r="W5256" s="1108"/>
      <c r="X5256" s="1108"/>
      <c r="Y5256" s="1108"/>
      <c r="Z5256" s="1114"/>
      <c r="AA5256" s="1114"/>
      <c r="AB5256" s="1114"/>
      <c r="AC5256" s="1117"/>
      <c r="AD5256" s="1115"/>
      <c r="AE5256" s="1115"/>
      <c r="AF5256" s="1115"/>
      <c r="AG5256" s="1115"/>
      <c r="AH5256" s="1115"/>
      <c r="AI5256" s="1115"/>
      <c r="AJ5256" s="1117"/>
      <c r="AK5256" s="1118"/>
      <c r="AL5256" s="1115"/>
      <c r="AM5256" s="1115"/>
      <c r="AN5256" s="1115"/>
      <c r="AO5256" s="1115"/>
      <c r="AP5256" s="1115"/>
      <c r="AQ5256" s="1115"/>
      <c r="AR5256" s="1115"/>
      <c r="AS5256" s="1117"/>
      <c r="AT5256" s="1075"/>
      <c r="AU5256" s="1193"/>
      <c r="AV5256" s="330"/>
      <c r="AW5256" s="331"/>
      <c r="AX5256" s="331"/>
      <c r="AY5256" s="331"/>
      <c r="AZ5256" s="331"/>
      <c r="BA5256" s="331"/>
      <c r="BB5256" s="331"/>
      <c r="BC5256" s="331"/>
      <c r="BD5256" s="331"/>
      <c r="BE5256" s="333"/>
      <c r="BF5256" s="330"/>
      <c r="BG5256" s="333"/>
      <c r="BH5256" s="1119"/>
      <c r="BI5256" s="319"/>
      <c r="BJ5256" s="319"/>
      <c r="BK5256" s="319"/>
      <c r="BL5256" s="319"/>
      <c r="BM5256" s="319"/>
      <c r="BN5256" s="319"/>
      <c r="BO5256" s="319"/>
      <c r="BP5256" s="953"/>
      <c r="BQ5256" s="319"/>
      <c r="BR5256" s="319"/>
      <c r="BS5256" s="330"/>
      <c r="BT5256" s="331"/>
      <c r="BU5256" s="920"/>
      <c r="BV5256" s="903"/>
      <c r="BW5256" s="908"/>
      <c r="BX5256" s="908"/>
      <c r="BY5256" s="331"/>
      <c r="BZ5256" s="331"/>
      <c r="CA5256" s="462"/>
      <c r="CB5256" s="319"/>
      <c r="CC5256" s="319"/>
      <c r="CD5256" s="319"/>
      <c r="CE5256" s="319"/>
      <c r="CF5256" s="319"/>
      <c r="CG5256" s="319"/>
      <c r="CH5256" s="318"/>
      <c r="CI5256" s="319"/>
      <c r="CJ5256" s="319"/>
      <c r="CK5256" s="342"/>
      <c r="CL5256" s="333"/>
      <c r="CM5256" s="1079"/>
      <c r="CN5256" s="1005"/>
      <c r="CO5256" s="1005"/>
      <c r="CP5256" s="1005"/>
    </row>
    <row r="5257">
      <c r="A5257" s="1257"/>
      <c r="B5257" s="1113"/>
      <c r="C5257" s="1107"/>
      <c r="D5257" s="103"/>
      <c r="E5257" s="1137"/>
      <c r="F5257" s="112"/>
      <c r="G5257" s="1110"/>
      <c r="H5257" s="1138"/>
      <c r="I5257" s="1138"/>
      <c r="J5257" s="1139"/>
      <c r="K5257" s="1111"/>
      <c r="L5257" s="1112"/>
      <c r="M5257" s="1113"/>
      <c r="N5257" s="110"/>
      <c r="O5257" s="1140"/>
      <c r="P5257" s="1115"/>
      <c r="Q5257" s="1116"/>
      <c r="R5257" s="1141"/>
      <c r="S5257" s="1113"/>
      <c r="T5257" s="1143"/>
      <c r="U5257" s="1108"/>
      <c r="V5257" s="1108"/>
      <c r="W5257" s="1108"/>
      <c r="X5257" s="1108"/>
      <c r="Y5257" s="1108"/>
      <c r="Z5257" s="1114"/>
      <c r="AA5257" s="1114"/>
      <c r="AB5257" s="1114"/>
      <c r="AC5257" s="1117"/>
      <c r="AD5257" s="1115"/>
      <c r="AE5257" s="1115"/>
      <c r="AF5257" s="1115"/>
      <c r="AG5257" s="1115"/>
      <c r="AH5257" s="1115"/>
      <c r="AI5257" s="1115"/>
      <c r="AJ5257" s="1117"/>
      <c r="AK5257" s="1118"/>
      <c r="AL5257" s="1115"/>
      <c r="AM5257" s="1115"/>
      <c r="AN5257" s="1115"/>
      <c r="AO5257" s="1115"/>
      <c r="AP5257" s="1115"/>
      <c r="AQ5257" s="1115"/>
      <c r="AR5257" s="1115"/>
      <c r="AS5257" s="1117"/>
      <c r="AT5257" s="1075"/>
      <c r="AU5257" s="1193"/>
      <c r="AV5257" s="330"/>
      <c r="AW5257" s="331"/>
      <c r="AX5257" s="331"/>
      <c r="AY5257" s="331"/>
      <c r="AZ5257" s="331"/>
      <c r="BA5257" s="331"/>
      <c r="BB5257" s="331"/>
      <c r="BC5257" s="331"/>
      <c r="BD5257" s="331"/>
      <c r="BE5257" s="333"/>
      <c r="BF5257" s="330"/>
      <c r="BG5257" s="333"/>
      <c r="BH5257" s="1119"/>
      <c r="BI5257" s="319"/>
      <c r="BJ5257" s="319"/>
      <c r="BK5257" s="319"/>
      <c r="BL5257" s="319"/>
      <c r="BM5257" s="319"/>
      <c r="BN5257" s="319"/>
      <c r="BO5257" s="319"/>
      <c r="BP5257" s="953"/>
      <c r="BQ5257" s="319"/>
      <c r="BR5257" s="319"/>
      <c r="BS5257" s="330"/>
      <c r="BT5257" s="331"/>
      <c r="BU5257" s="920"/>
      <c r="BV5257" s="903"/>
      <c r="BW5257" s="908"/>
      <c r="BX5257" s="908"/>
      <c r="BY5257" s="331"/>
      <c r="BZ5257" s="331"/>
      <c r="CA5257" s="462"/>
      <c r="CB5257" s="319"/>
      <c r="CC5257" s="319"/>
      <c r="CD5257" s="319"/>
      <c r="CE5257" s="319"/>
      <c r="CF5257" s="319"/>
      <c r="CG5257" s="319"/>
      <c r="CH5257" s="318"/>
      <c r="CI5257" s="319"/>
      <c r="CJ5257" s="319"/>
      <c r="CK5257" s="342"/>
      <c r="CL5257" s="333"/>
      <c r="CM5257" s="1079"/>
      <c r="CN5257" s="1005"/>
      <c r="CO5257" s="1005"/>
      <c r="CP5257" s="1005"/>
    </row>
    <row r="5258">
      <c r="A5258" s="1257"/>
      <c r="B5258" s="1113"/>
      <c r="C5258" s="1107"/>
      <c r="D5258" s="103"/>
      <c r="E5258" s="1137"/>
      <c r="F5258" s="112"/>
      <c r="G5258" s="1110"/>
      <c r="H5258" s="1138"/>
      <c r="I5258" s="1138"/>
      <c r="J5258" s="1139"/>
      <c r="K5258" s="1111"/>
      <c r="L5258" s="1112"/>
      <c r="M5258" s="1113"/>
      <c r="N5258" s="110"/>
      <c r="O5258" s="1140"/>
      <c r="P5258" s="1115"/>
      <c r="Q5258" s="1116"/>
      <c r="R5258" s="1141"/>
      <c r="S5258" s="1113"/>
      <c r="T5258" s="1143"/>
      <c r="U5258" s="1108"/>
      <c r="V5258" s="1108"/>
      <c r="W5258" s="1108"/>
      <c r="X5258" s="1108"/>
      <c r="Y5258" s="1108"/>
      <c r="Z5258" s="1114"/>
      <c r="AA5258" s="1114"/>
      <c r="AB5258" s="1114"/>
      <c r="AC5258" s="1117"/>
      <c r="AD5258" s="1115"/>
      <c r="AE5258" s="1115"/>
      <c r="AF5258" s="1115"/>
      <c r="AG5258" s="1115"/>
      <c r="AH5258" s="1115"/>
      <c r="AI5258" s="1115"/>
      <c r="AJ5258" s="1117"/>
      <c r="AK5258" s="1118"/>
      <c r="AL5258" s="1115"/>
      <c r="AM5258" s="1115"/>
      <c r="AN5258" s="1115"/>
      <c r="AO5258" s="1115"/>
      <c r="AP5258" s="1115"/>
      <c r="AQ5258" s="1115"/>
      <c r="AR5258" s="1115"/>
      <c r="AS5258" s="1117"/>
      <c r="AT5258" s="1075"/>
      <c r="AU5258" s="1193"/>
      <c r="AV5258" s="330"/>
      <c r="AW5258" s="331"/>
      <c r="AX5258" s="331"/>
      <c r="AY5258" s="331"/>
      <c r="AZ5258" s="331"/>
      <c r="BA5258" s="331"/>
      <c r="BB5258" s="331"/>
      <c r="BC5258" s="331"/>
      <c r="BD5258" s="331"/>
      <c r="BE5258" s="333"/>
      <c r="BF5258" s="330"/>
      <c r="BG5258" s="333"/>
      <c r="BH5258" s="1119"/>
      <c r="BI5258" s="319"/>
      <c r="BJ5258" s="319"/>
      <c r="BK5258" s="319"/>
      <c r="BL5258" s="319"/>
      <c r="BM5258" s="319"/>
      <c r="BN5258" s="319"/>
      <c r="BO5258" s="319"/>
      <c r="BP5258" s="953"/>
      <c r="BQ5258" s="319"/>
      <c r="BR5258" s="319"/>
      <c r="BS5258" s="330"/>
      <c r="BT5258" s="331"/>
      <c r="BU5258" s="920"/>
      <c r="BV5258" s="903"/>
      <c r="BW5258" s="908"/>
      <c r="BX5258" s="908"/>
      <c r="BY5258" s="331"/>
      <c r="BZ5258" s="331"/>
      <c r="CA5258" s="462"/>
      <c r="CB5258" s="319"/>
      <c r="CC5258" s="319"/>
      <c r="CD5258" s="319"/>
      <c r="CE5258" s="319"/>
      <c r="CF5258" s="319"/>
      <c r="CG5258" s="319"/>
      <c r="CH5258" s="318"/>
      <c r="CI5258" s="319"/>
      <c r="CJ5258" s="319"/>
      <c r="CK5258" s="342"/>
      <c r="CL5258" s="333"/>
      <c r="CM5258" s="1079"/>
      <c r="CN5258" s="1005"/>
      <c r="CO5258" s="1005"/>
      <c r="CP5258" s="1005"/>
    </row>
    <row r="5259">
      <c r="A5259" s="1257"/>
      <c r="B5259" s="1113"/>
      <c r="C5259" s="1107"/>
      <c r="D5259" s="103"/>
      <c r="E5259" s="1137"/>
      <c r="F5259" s="112"/>
      <c r="G5259" s="1110"/>
      <c r="H5259" s="1138"/>
      <c r="I5259" s="1138"/>
      <c r="J5259" s="1139"/>
      <c r="K5259" s="1111"/>
      <c r="L5259" s="1112"/>
      <c r="M5259" s="1113"/>
      <c r="N5259" s="110"/>
      <c r="O5259" s="1140"/>
      <c r="P5259" s="1115"/>
      <c r="Q5259" s="1116"/>
      <c r="R5259" s="1141"/>
      <c r="S5259" s="1113"/>
      <c r="T5259" s="1143"/>
      <c r="U5259" s="1108"/>
      <c r="V5259" s="1108"/>
      <c r="W5259" s="1108"/>
      <c r="X5259" s="1108"/>
      <c r="Y5259" s="1108"/>
      <c r="Z5259" s="1114"/>
      <c r="AA5259" s="1114"/>
      <c r="AB5259" s="1114"/>
      <c r="AC5259" s="1117"/>
      <c r="AD5259" s="1115"/>
      <c r="AE5259" s="1115"/>
      <c r="AF5259" s="1115"/>
      <c r="AG5259" s="1115"/>
      <c r="AH5259" s="1115"/>
      <c r="AI5259" s="1115"/>
      <c r="AJ5259" s="1117"/>
      <c r="AK5259" s="1118"/>
      <c r="AL5259" s="1115"/>
      <c r="AM5259" s="1115"/>
      <c r="AN5259" s="1115"/>
      <c r="AO5259" s="1115"/>
      <c r="AP5259" s="1115"/>
      <c r="AQ5259" s="1115"/>
      <c r="AR5259" s="1115"/>
      <c r="AS5259" s="1117"/>
      <c r="AT5259" s="1075"/>
      <c r="AU5259" s="1193"/>
      <c r="AV5259" s="330"/>
      <c r="AW5259" s="331"/>
      <c r="AX5259" s="331"/>
      <c r="AY5259" s="331"/>
      <c r="AZ5259" s="331"/>
      <c r="BA5259" s="331"/>
      <c r="BB5259" s="331"/>
      <c r="BC5259" s="331"/>
      <c r="BD5259" s="331"/>
      <c r="BE5259" s="333"/>
      <c r="BF5259" s="330"/>
      <c r="BG5259" s="333"/>
      <c r="BH5259" s="1119"/>
      <c r="BI5259" s="319"/>
      <c r="BJ5259" s="319"/>
      <c r="BK5259" s="319"/>
      <c r="BL5259" s="319"/>
      <c r="BM5259" s="319"/>
      <c r="BN5259" s="319"/>
      <c r="BO5259" s="319"/>
      <c r="BP5259" s="953"/>
      <c r="BQ5259" s="319"/>
      <c r="BR5259" s="319"/>
      <c r="BS5259" s="330"/>
      <c r="BT5259" s="331"/>
      <c r="BU5259" s="920"/>
      <c r="BV5259" s="903"/>
      <c r="BW5259" s="908"/>
      <c r="BX5259" s="908"/>
      <c r="BY5259" s="331"/>
      <c r="BZ5259" s="331"/>
      <c r="CA5259" s="462"/>
      <c r="CB5259" s="319"/>
      <c r="CC5259" s="319"/>
      <c r="CD5259" s="319"/>
      <c r="CE5259" s="319"/>
      <c r="CF5259" s="319"/>
      <c r="CG5259" s="319"/>
      <c r="CH5259" s="318"/>
      <c r="CI5259" s="319"/>
      <c r="CJ5259" s="319"/>
      <c r="CK5259" s="342"/>
      <c r="CL5259" s="333"/>
      <c r="CM5259" s="1079"/>
      <c r="CN5259" s="1005"/>
      <c r="CO5259" s="1005"/>
      <c r="CP5259" s="1005"/>
    </row>
    <row r="5260">
      <c r="A5260" s="1257"/>
      <c r="B5260" s="1113"/>
      <c r="C5260" s="1107"/>
      <c r="D5260" s="103"/>
      <c r="E5260" s="1137"/>
      <c r="F5260" s="112"/>
      <c r="G5260" s="1110"/>
      <c r="H5260" s="1138"/>
      <c r="I5260" s="1138"/>
      <c r="J5260" s="1139"/>
      <c r="K5260" s="1111"/>
      <c r="L5260" s="1112"/>
      <c r="M5260" s="1113"/>
      <c r="N5260" s="110"/>
      <c r="O5260" s="1140"/>
      <c r="P5260" s="1115"/>
      <c r="Q5260" s="1116"/>
      <c r="R5260" s="1141"/>
      <c r="S5260" s="1113"/>
      <c r="T5260" s="1143"/>
      <c r="U5260" s="1108"/>
      <c r="V5260" s="1108"/>
      <c r="W5260" s="1108"/>
      <c r="X5260" s="1108"/>
      <c r="Y5260" s="1108"/>
      <c r="Z5260" s="1114"/>
      <c r="AA5260" s="1114"/>
      <c r="AB5260" s="1114"/>
      <c r="AC5260" s="1117"/>
      <c r="AD5260" s="1115"/>
      <c r="AE5260" s="1115"/>
      <c r="AF5260" s="1115"/>
      <c r="AG5260" s="1115"/>
      <c r="AH5260" s="1115"/>
      <c r="AI5260" s="1115"/>
      <c r="AJ5260" s="1117"/>
      <c r="AK5260" s="1118"/>
      <c r="AL5260" s="1115"/>
      <c r="AM5260" s="1115"/>
      <c r="AN5260" s="1115"/>
      <c r="AO5260" s="1115"/>
      <c r="AP5260" s="1115"/>
      <c r="AQ5260" s="1115"/>
      <c r="AR5260" s="1115"/>
      <c r="AS5260" s="1117"/>
      <c r="AT5260" s="1075"/>
      <c r="AU5260" s="1193"/>
      <c r="AV5260" s="330"/>
      <c r="AW5260" s="331"/>
      <c r="AX5260" s="331"/>
      <c r="AY5260" s="331"/>
      <c r="AZ5260" s="331"/>
      <c r="BA5260" s="331"/>
      <c r="BB5260" s="331"/>
      <c r="BC5260" s="331"/>
      <c r="BD5260" s="331"/>
      <c r="BE5260" s="333"/>
      <c r="BF5260" s="330"/>
      <c r="BG5260" s="333"/>
      <c r="BH5260" s="1119"/>
      <c r="BI5260" s="319"/>
      <c r="BJ5260" s="319"/>
      <c r="BK5260" s="319"/>
      <c r="BL5260" s="319"/>
      <c r="BM5260" s="319"/>
      <c r="BN5260" s="319"/>
      <c r="BO5260" s="319"/>
      <c r="BP5260" s="953"/>
      <c r="BQ5260" s="319"/>
      <c r="BR5260" s="319"/>
      <c r="BS5260" s="330"/>
      <c r="BT5260" s="331"/>
      <c r="BU5260" s="920"/>
      <c r="BV5260" s="903"/>
      <c r="BW5260" s="908"/>
      <c r="BX5260" s="908"/>
      <c r="BY5260" s="331"/>
      <c r="BZ5260" s="331"/>
      <c r="CA5260" s="462"/>
      <c r="CB5260" s="319"/>
      <c r="CC5260" s="319"/>
      <c r="CD5260" s="319"/>
      <c r="CE5260" s="319"/>
      <c r="CF5260" s="319"/>
      <c r="CG5260" s="319"/>
      <c r="CH5260" s="318"/>
      <c r="CI5260" s="319"/>
      <c r="CJ5260" s="319"/>
      <c r="CK5260" s="342"/>
      <c r="CL5260" s="333"/>
      <c r="CM5260" s="1079"/>
      <c r="CN5260" s="1005"/>
      <c r="CO5260" s="1005"/>
      <c r="CP5260" s="1005"/>
    </row>
    <row r="5261">
      <c r="A5261" s="1257"/>
      <c r="B5261" s="1113"/>
      <c r="C5261" s="1107"/>
      <c r="D5261" s="103"/>
      <c r="E5261" s="1137"/>
      <c r="F5261" s="112"/>
      <c r="G5261" s="1110"/>
      <c r="H5261" s="1138"/>
      <c r="I5261" s="1138"/>
      <c r="J5261" s="1139"/>
      <c r="K5261" s="1111"/>
      <c r="L5261" s="1112"/>
      <c r="M5261" s="1113"/>
      <c r="N5261" s="110"/>
      <c r="O5261" s="1140"/>
      <c r="P5261" s="1115"/>
      <c r="Q5261" s="1116"/>
      <c r="R5261" s="1141"/>
      <c r="S5261" s="1113"/>
      <c r="T5261" s="1143"/>
      <c r="U5261" s="1108"/>
      <c r="V5261" s="1108"/>
      <c r="W5261" s="1108"/>
      <c r="X5261" s="1108"/>
      <c r="Y5261" s="1108"/>
      <c r="Z5261" s="1114"/>
      <c r="AA5261" s="1114"/>
      <c r="AB5261" s="1114"/>
      <c r="AC5261" s="1117"/>
      <c r="AD5261" s="1115"/>
      <c r="AE5261" s="1115"/>
      <c r="AF5261" s="1115"/>
      <c r="AG5261" s="1115"/>
      <c r="AH5261" s="1115"/>
      <c r="AI5261" s="1115"/>
      <c r="AJ5261" s="1117"/>
      <c r="AK5261" s="1118"/>
      <c r="AL5261" s="1115"/>
      <c r="AM5261" s="1115"/>
      <c r="AN5261" s="1115"/>
      <c r="AO5261" s="1115"/>
      <c r="AP5261" s="1115"/>
      <c r="AQ5261" s="1115"/>
      <c r="AR5261" s="1115"/>
      <c r="AS5261" s="1117"/>
      <c r="AT5261" s="1075"/>
      <c r="AU5261" s="1193"/>
      <c r="AV5261" s="330"/>
      <c r="AW5261" s="331"/>
      <c r="AX5261" s="331"/>
      <c r="AY5261" s="331"/>
      <c r="AZ5261" s="331"/>
      <c r="BA5261" s="331"/>
      <c r="BB5261" s="331"/>
      <c r="BC5261" s="331"/>
      <c r="BD5261" s="331"/>
      <c r="BE5261" s="333"/>
      <c r="BF5261" s="330"/>
      <c r="BG5261" s="333"/>
      <c r="BH5261" s="1119"/>
      <c r="BI5261" s="319"/>
      <c r="BJ5261" s="319"/>
      <c r="BK5261" s="319"/>
      <c r="BL5261" s="319"/>
      <c r="BM5261" s="319"/>
      <c r="BN5261" s="319"/>
      <c r="BO5261" s="319"/>
      <c r="BP5261" s="953"/>
      <c r="BQ5261" s="319"/>
      <c r="BR5261" s="319"/>
      <c r="BS5261" s="330"/>
      <c r="BT5261" s="331"/>
      <c r="BU5261" s="920"/>
      <c r="BV5261" s="903"/>
      <c r="BW5261" s="908"/>
      <c r="BX5261" s="908"/>
      <c r="BY5261" s="331"/>
      <c r="BZ5261" s="331"/>
      <c r="CA5261" s="462"/>
      <c r="CB5261" s="319"/>
      <c r="CC5261" s="319"/>
      <c r="CD5261" s="319"/>
      <c r="CE5261" s="319"/>
      <c r="CF5261" s="319"/>
      <c r="CG5261" s="319"/>
      <c r="CH5261" s="318"/>
      <c r="CI5261" s="319"/>
      <c r="CJ5261" s="319"/>
      <c r="CK5261" s="342"/>
      <c r="CL5261" s="333"/>
      <c r="CM5261" s="1079"/>
      <c r="CN5261" s="1005"/>
      <c r="CO5261" s="1005"/>
      <c r="CP5261" s="1005"/>
    </row>
    <row r="5262">
      <c r="A5262" s="1257"/>
      <c r="B5262" s="1113"/>
      <c r="C5262" s="1107"/>
      <c r="D5262" s="103"/>
      <c r="E5262" s="1137"/>
      <c r="F5262" s="112"/>
      <c r="G5262" s="1110"/>
      <c r="H5262" s="1138"/>
      <c r="I5262" s="1138"/>
      <c r="J5262" s="1139"/>
      <c r="K5262" s="1111"/>
      <c r="L5262" s="1112"/>
      <c r="M5262" s="1113"/>
      <c r="N5262" s="110"/>
      <c r="O5262" s="1140"/>
      <c r="P5262" s="1115"/>
      <c r="Q5262" s="1116"/>
      <c r="R5262" s="1141"/>
      <c r="S5262" s="1113"/>
      <c r="T5262" s="1143"/>
      <c r="U5262" s="1108"/>
      <c r="V5262" s="1108"/>
      <c r="W5262" s="1108"/>
      <c r="X5262" s="1108"/>
      <c r="Y5262" s="1108"/>
      <c r="Z5262" s="1114"/>
      <c r="AA5262" s="1114"/>
      <c r="AB5262" s="1114"/>
      <c r="AC5262" s="1117"/>
      <c r="AD5262" s="1115"/>
      <c r="AE5262" s="1115"/>
      <c r="AF5262" s="1115"/>
      <c r="AG5262" s="1115"/>
      <c r="AH5262" s="1115"/>
      <c r="AI5262" s="1115"/>
      <c r="AJ5262" s="1117"/>
      <c r="AK5262" s="1118"/>
      <c r="AL5262" s="1115"/>
      <c r="AM5262" s="1115"/>
      <c r="AN5262" s="1115"/>
      <c r="AO5262" s="1115"/>
      <c r="AP5262" s="1115"/>
      <c r="AQ5262" s="1115"/>
      <c r="AR5262" s="1115"/>
      <c r="AS5262" s="1117"/>
      <c r="AT5262" s="1075"/>
      <c r="AU5262" s="1193"/>
      <c r="AV5262" s="330"/>
      <c r="AW5262" s="331"/>
      <c r="AX5262" s="331"/>
      <c r="AY5262" s="331"/>
      <c r="AZ5262" s="331"/>
      <c r="BA5262" s="331"/>
      <c r="BB5262" s="331"/>
      <c r="BC5262" s="331"/>
      <c r="BD5262" s="331"/>
      <c r="BE5262" s="333"/>
      <c r="BF5262" s="330"/>
      <c r="BG5262" s="333"/>
      <c r="BH5262" s="1119"/>
      <c r="BI5262" s="319"/>
      <c r="BJ5262" s="319"/>
      <c r="BK5262" s="319"/>
      <c r="BL5262" s="319"/>
      <c r="BM5262" s="319"/>
      <c r="BN5262" s="319"/>
      <c r="BO5262" s="319"/>
      <c r="BP5262" s="953"/>
      <c r="BQ5262" s="319"/>
      <c r="BR5262" s="319"/>
      <c r="BS5262" s="330"/>
      <c r="BT5262" s="331"/>
      <c r="BU5262" s="920"/>
      <c r="BV5262" s="903"/>
      <c r="BW5262" s="908"/>
      <c r="BX5262" s="908"/>
      <c r="BY5262" s="331"/>
      <c r="BZ5262" s="331"/>
      <c r="CA5262" s="462"/>
      <c r="CB5262" s="319"/>
      <c r="CC5262" s="319"/>
      <c r="CD5262" s="319"/>
      <c r="CE5262" s="319"/>
      <c r="CF5262" s="319"/>
      <c r="CG5262" s="319"/>
      <c r="CH5262" s="318"/>
      <c r="CI5262" s="319"/>
      <c r="CJ5262" s="319"/>
      <c r="CK5262" s="342"/>
      <c r="CL5262" s="333"/>
      <c r="CM5262" s="1079"/>
      <c r="CN5262" s="1005"/>
      <c r="CO5262" s="1005"/>
      <c r="CP5262" s="1005"/>
    </row>
    <row r="5263">
      <c r="A5263" s="1257"/>
      <c r="B5263" s="1113"/>
      <c r="C5263" s="1107"/>
      <c r="D5263" s="103"/>
      <c r="E5263" s="1137"/>
      <c r="F5263" s="112"/>
      <c r="G5263" s="1110"/>
      <c r="H5263" s="1138"/>
      <c r="I5263" s="1138"/>
      <c r="J5263" s="1139"/>
      <c r="K5263" s="1111"/>
      <c r="L5263" s="1112"/>
      <c r="M5263" s="1113"/>
      <c r="N5263" s="110"/>
      <c r="O5263" s="1140"/>
      <c r="P5263" s="1115"/>
      <c r="Q5263" s="1116"/>
      <c r="R5263" s="1141"/>
      <c r="S5263" s="1113"/>
      <c r="T5263" s="1143"/>
      <c r="U5263" s="1108"/>
      <c r="V5263" s="1108"/>
      <c r="W5263" s="1108"/>
      <c r="X5263" s="1108"/>
      <c r="Y5263" s="1108"/>
      <c r="Z5263" s="1114"/>
      <c r="AA5263" s="1114"/>
      <c r="AB5263" s="1114"/>
      <c r="AC5263" s="1117"/>
      <c r="AD5263" s="1115"/>
      <c r="AE5263" s="1115"/>
      <c r="AF5263" s="1115"/>
      <c r="AG5263" s="1115"/>
      <c r="AH5263" s="1115"/>
      <c r="AI5263" s="1115"/>
      <c r="AJ5263" s="1117"/>
      <c r="AK5263" s="1118"/>
      <c r="AL5263" s="1115"/>
      <c r="AM5263" s="1115"/>
      <c r="AN5263" s="1115"/>
      <c r="AO5263" s="1115"/>
      <c r="AP5263" s="1115"/>
      <c r="AQ5263" s="1115"/>
      <c r="AR5263" s="1115"/>
      <c r="AS5263" s="1117"/>
      <c r="AT5263" s="1075"/>
      <c r="AU5263" s="1193"/>
      <c r="AV5263" s="330"/>
      <c r="AW5263" s="331"/>
      <c r="AX5263" s="331"/>
      <c r="AY5263" s="331"/>
      <c r="AZ5263" s="331"/>
      <c r="BA5263" s="331"/>
      <c r="BB5263" s="331"/>
      <c r="BC5263" s="331"/>
      <c r="BD5263" s="331"/>
      <c r="BE5263" s="333"/>
      <c r="BF5263" s="330"/>
      <c r="BG5263" s="333"/>
      <c r="BH5263" s="1119"/>
      <c r="BI5263" s="319"/>
      <c r="BJ5263" s="319"/>
      <c r="BK5263" s="319"/>
      <c r="BL5263" s="319"/>
      <c r="BM5263" s="319"/>
      <c r="BN5263" s="319"/>
      <c r="BO5263" s="319"/>
      <c r="BP5263" s="953"/>
      <c r="BQ5263" s="319"/>
      <c r="BR5263" s="319"/>
      <c r="BS5263" s="330"/>
      <c r="BT5263" s="331"/>
      <c r="BU5263" s="920"/>
      <c r="BV5263" s="903"/>
      <c r="BW5263" s="908"/>
      <c r="BX5263" s="908"/>
      <c r="BY5263" s="331"/>
      <c r="BZ5263" s="331"/>
      <c r="CA5263" s="462"/>
      <c r="CB5263" s="319"/>
      <c r="CC5263" s="319"/>
      <c r="CD5263" s="319"/>
      <c r="CE5263" s="319"/>
      <c r="CF5263" s="319"/>
      <c r="CG5263" s="319"/>
      <c r="CH5263" s="318"/>
      <c r="CI5263" s="319"/>
      <c r="CJ5263" s="319"/>
      <c r="CK5263" s="342"/>
      <c r="CL5263" s="333"/>
      <c r="CM5263" s="1079"/>
      <c r="CN5263" s="1005"/>
      <c r="CO5263" s="1005"/>
      <c r="CP5263" s="1005"/>
    </row>
    <row r="5264">
      <c r="A5264" s="1257"/>
      <c r="B5264" s="1113"/>
      <c r="C5264" s="1107"/>
      <c r="D5264" s="103"/>
      <c r="E5264" s="1137"/>
      <c r="F5264" s="112"/>
      <c r="G5264" s="1110"/>
      <c r="H5264" s="1138"/>
      <c r="I5264" s="1138"/>
      <c r="J5264" s="1139"/>
      <c r="K5264" s="1111"/>
      <c r="L5264" s="1112"/>
      <c r="M5264" s="1113"/>
      <c r="N5264" s="110"/>
      <c r="O5264" s="1140"/>
      <c r="P5264" s="1115"/>
      <c r="Q5264" s="1116"/>
      <c r="R5264" s="1141"/>
      <c r="S5264" s="1113"/>
      <c r="T5264" s="1143"/>
      <c r="U5264" s="1108"/>
      <c r="V5264" s="1108"/>
      <c r="W5264" s="1108"/>
      <c r="X5264" s="1108"/>
      <c r="Y5264" s="1108"/>
      <c r="Z5264" s="1114"/>
      <c r="AA5264" s="1114"/>
      <c r="AB5264" s="1114"/>
      <c r="AC5264" s="1117"/>
      <c r="AD5264" s="1115"/>
      <c r="AE5264" s="1115"/>
      <c r="AF5264" s="1115"/>
      <c r="AG5264" s="1115"/>
      <c r="AH5264" s="1115"/>
      <c r="AI5264" s="1115"/>
      <c r="AJ5264" s="1117"/>
      <c r="AK5264" s="1118"/>
      <c r="AL5264" s="1115"/>
      <c r="AM5264" s="1115"/>
      <c r="AN5264" s="1115"/>
      <c r="AO5264" s="1115"/>
      <c r="AP5264" s="1115"/>
      <c r="AQ5264" s="1115"/>
      <c r="AR5264" s="1115"/>
      <c r="AS5264" s="1117"/>
      <c r="AT5264" s="1075"/>
      <c r="AU5264" s="1193"/>
      <c r="AV5264" s="330"/>
      <c r="AW5264" s="331"/>
      <c r="AX5264" s="331"/>
      <c r="AY5264" s="331"/>
      <c r="AZ5264" s="331"/>
      <c r="BA5264" s="331"/>
      <c r="BB5264" s="331"/>
      <c r="BC5264" s="331"/>
      <c r="BD5264" s="331"/>
      <c r="BE5264" s="333"/>
      <c r="BF5264" s="330"/>
      <c r="BG5264" s="333"/>
      <c r="BH5264" s="1119"/>
      <c r="BI5264" s="319"/>
      <c r="BJ5264" s="319"/>
      <c r="BK5264" s="319"/>
      <c r="BL5264" s="319"/>
      <c r="BM5264" s="319"/>
      <c r="BN5264" s="319"/>
      <c r="BO5264" s="319"/>
      <c r="BP5264" s="953"/>
      <c r="BQ5264" s="319"/>
      <c r="BR5264" s="319"/>
      <c r="BS5264" s="330"/>
      <c r="BT5264" s="331"/>
      <c r="BU5264" s="920"/>
      <c r="BV5264" s="903"/>
      <c r="BW5264" s="908"/>
      <c r="BX5264" s="908"/>
      <c r="BY5264" s="331"/>
      <c r="BZ5264" s="331"/>
      <c r="CA5264" s="462"/>
      <c r="CB5264" s="319"/>
      <c r="CC5264" s="319"/>
      <c r="CD5264" s="319"/>
      <c r="CE5264" s="319"/>
      <c r="CF5264" s="319"/>
      <c r="CG5264" s="319"/>
      <c r="CH5264" s="318"/>
      <c r="CI5264" s="319"/>
      <c r="CJ5264" s="319"/>
      <c r="CK5264" s="342"/>
      <c r="CL5264" s="333"/>
      <c r="CM5264" s="1079"/>
      <c r="CN5264" s="1005"/>
      <c r="CO5264" s="1005"/>
      <c r="CP5264" s="1005"/>
    </row>
    <row r="5265">
      <c r="A5265" s="1257"/>
      <c r="B5265" s="1113"/>
      <c r="C5265" s="1107"/>
      <c r="D5265" s="103"/>
      <c r="E5265" s="1137"/>
      <c r="F5265" s="112"/>
      <c r="G5265" s="1110"/>
      <c r="H5265" s="1138"/>
      <c r="I5265" s="1138"/>
      <c r="J5265" s="1139"/>
      <c r="K5265" s="1111"/>
      <c r="L5265" s="1112"/>
      <c r="M5265" s="1113"/>
      <c r="N5265" s="110"/>
      <c r="O5265" s="1140"/>
      <c r="P5265" s="1115"/>
      <c r="Q5265" s="1116"/>
      <c r="R5265" s="1141"/>
      <c r="S5265" s="1113"/>
      <c r="T5265" s="1143"/>
      <c r="U5265" s="1108"/>
      <c r="V5265" s="1108"/>
      <c r="W5265" s="1108"/>
      <c r="X5265" s="1108"/>
      <c r="Y5265" s="1108"/>
      <c r="Z5265" s="1114"/>
      <c r="AA5265" s="1114"/>
      <c r="AB5265" s="1114"/>
      <c r="AC5265" s="1117"/>
      <c r="AD5265" s="1115"/>
      <c r="AE5265" s="1115"/>
      <c r="AF5265" s="1115"/>
      <c r="AG5265" s="1115"/>
      <c r="AH5265" s="1115"/>
      <c r="AI5265" s="1115"/>
      <c r="AJ5265" s="1117"/>
      <c r="AK5265" s="1118"/>
      <c r="AL5265" s="1115"/>
      <c r="AM5265" s="1115"/>
      <c r="AN5265" s="1115"/>
      <c r="AO5265" s="1115"/>
      <c r="AP5265" s="1115"/>
      <c r="AQ5265" s="1115"/>
      <c r="AR5265" s="1115"/>
      <c r="AS5265" s="1117"/>
      <c r="AT5265" s="1075"/>
      <c r="AU5265" s="1193"/>
      <c r="AV5265" s="330"/>
      <c r="AW5265" s="331"/>
      <c r="AX5265" s="331"/>
      <c r="AY5265" s="331"/>
      <c r="AZ5265" s="331"/>
      <c r="BA5265" s="331"/>
      <c r="BB5265" s="331"/>
      <c r="BC5265" s="331"/>
      <c r="BD5265" s="331"/>
      <c r="BE5265" s="333"/>
      <c r="BF5265" s="330"/>
      <c r="BG5265" s="333"/>
      <c r="BH5265" s="1119"/>
      <c r="BI5265" s="319"/>
      <c r="BJ5265" s="319"/>
      <c r="BK5265" s="319"/>
      <c r="BL5265" s="319"/>
      <c r="BM5265" s="319"/>
      <c r="BN5265" s="319"/>
      <c r="BO5265" s="319"/>
      <c r="BP5265" s="953"/>
      <c r="BQ5265" s="319"/>
      <c r="BR5265" s="319"/>
      <c r="BS5265" s="330"/>
      <c r="BT5265" s="331"/>
      <c r="BU5265" s="920"/>
      <c r="BV5265" s="903"/>
      <c r="BW5265" s="908"/>
      <c r="BX5265" s="908"/>
      <c r="BY5265" s="331"/>
      <c r="BZ5265" s="331"/>
      <c r="CA5265" s="462"/>
      <c r="CB5265" s="319"/>
      <c r="CC5265" s="319"/>
      <c r="CD5265" s="319"/>
      <c r="CE5265" s="319"/>
      <c r="CF5265" s="319"/>
      <c r="CG5265" s="319"/>
      <c r="CH5265" s="318"/>
      <c r="CI5265" s="319"/>
      <c r="CJ5265" s="319"/>
      <c r="CK5265" s="342"/>
      <c r="CL5265" s="333"/>
      <c r="CM5265" s="1079"/>
      <c r="CN5265" s="1005"/>
      <c r="CO5265" s="1005"/>
      <c r="CP5265" s="1005"/>
    </row>
    <row r="5266">
      <c r="A5266" s="1257"/>
      <c r="B5266" s="1113"/>
      <c r="C5266" s="1107"/>
      <c r="D5266" s="103"/>
      <c r="E5266" s="1137"/>
      <c r="F5266" s="112"/>
      <c r="G5266" s="1110"/>
      <c r="H5266" s="1138"/>
      <c r="I5266" s="1138"/>
      <c r="J5266" s="1139"/>
      <c r="K5266" s="1111"/>
      <c r="L5266" s="1112"/>
      <c r="M5266" s="1113"/>
      <c r="N5266" s="110"/>
      <c r="O5266" s="1140"/>
      <c r="P5266" s="1115"/>
      <c r="Q5266" s="1116"/>
      <c r="R5266" s="1141"/>
      <c r="S5266" s="1113"/>
      <c r="T5266" s="1143"/>
      <c r="U5266" s="1108"/>
      <c r="V5266" s="1108"/>
      <c r="W5266" s="1108"/>
      <c r="X5266" s="1108"/>
      <c r="Y5266" s="1108"/>
      <c r="Z5266" s="1114"/>
      <c r="AA5266" s="1114"/>
      <c r="AB5266" s="1114"/>
      <c r="AC5266" s="1117"/>
      <c r="AD5266" s="1115"/>
      <c r="AE5266" s="1115"/>
      <c r="AF5266" s="1115"/>
      <c r="AG5266" s="1115"/>
      <c r="AH5266" s="1115"/>
      <c r="AI5266" s="1115"/>
      <c r="AJ5266" s="1117"/>
      <c r="AK5266" s="1118"/>
      <c r="AL5266" s="1115"/>
      <c r="AM5266" s="1115"/>
      <c r="AN5266" s="1115"/>
      <c r="AO5266" s="1115"/>
      <c r="AP5266" s="1115"/>
      <c r="AQ5266" s="1115"/>
      <c r="AR5266" s="1115"/>
      <c r="AS5266" s="1117"/>
      <c r="AT5266" s="1075"/>
      <c r="AU5266" s="1193"/>
      <c r="AV5266" s="330"/>
      <c r="AW5266" s="331"/>
      <c r="AX5266" s="331"/>
      <c r="AY5266" s="331"/>
      <c r="AZ5266" s="331"/>
      <c r="BA5266" s="331"/>
      <c r="BB5266" s="331"/>
      <c r="BC5266" s="331"/>
      <c r="BD5266" s="331"/>
      <c r="BE5266" s="333"/>
      <c r="BF5266" s="330"/>
      <c r="BG5266" s="333"/>
      <c r="BH5266" s="1119"/>
      <c r="BI5266" s="319"/>
      <c r="BJ5266" s="319"/>
      <c r="BK5266" s="319"/>
      <c r="BL5266" s="319"/>
      <c r="BM5266" s="319"/>
      <c r="BN5266" s="319"/>
      <c r="BO5266" s="319"/>
      <c r="BP5266" s="953"/>
      <c r="BQ5266" s="319"/>
      <c r="BR5266" s="319"/>
      <c r="BS5266" s="330"/>
      <c r="BT5266" s="331"/>
      <c r="BU5266" s="920"/>
      <c r="BV5266" s="903"/>
      <c r="BW5266" s="908"/>
      <c r="BX5266" s="908"/>
      <c r="BY5266" s="331"/>
      <c r="BZ5266" s="331"/>
      <c r="CA5266" s="462"/>
      <c r="CB5266" s="319"/>
      <c r="CC5266" s="319"/>
      <c r="CD5266" s="319"/>
      <c r="CE5266" s="319"/>
      <c r="CF5266" s="319"/>
      <c r="CG5266" s="319"/>
      <c r="CH5266" s="318"/>
      <c r="CI5266" s="319"/>
      <c r="CJ5266" s="319"/>
      <c r="CK5266" s="342"/>
      <c r="CL5266" s="333"/>
      <c r="CM5266" s="1079"/>
      <c r="CN5266" s="1005"/>
      <c r="CO5266" s="1005"/>
      <c r="CP5266" s="1005"/>
    </row>
    <row r="5267">
      <c r="A5267" s="1257"/>
      <c r="B5267" s="1113"/>
      <c r="C5267" s="1107"/>
      <c r="D5267" s="103"/>
      <c r="E5267" s="1137"/>
      <c r="F5267" s="112"/>
      <c r="G5267" s="1110"/>
      <c r="H5267" s="1138"/>
      <c r="I5267" s="1138"/>
      <c r="J5267" s="1139"/>
      <c r="K5267" s="1111"/>
      <c r="L5267" s="1112"/>
      <c r="M5267" s="1113"/>
      <c r="N5267" s="110"/>
      <c r="O5267" s="1140"/>
      <c r="P5267" s="1115"/>
      <c r="Q5267" s="1116"/>
      <c r="R5267" s="1141"/>
      <c r="S5267" s="1113"/>
      <c r="T5267" s="1143"/>
      <c r="U5267" s="1108"/>
      <c r="V5267" s="1108"/>
      <c r="W5267" s="1108"/>
      <c r="X5267" s="1108"/>
      <c r="Y5267" s="1108"/>
      <c r="Z5267" s="1114"/>
      <c r="AA5267" s="1114"/>
      <c r="AB5267" s="1114"/>
      <c r="AC5267" s="1117"/>
      <c r="AD5267" s="1115"/>
      <c r="AE5267" s="1115"/>
      <c r="AF5267" s="1115"/>
      <c r="AG5267" s="1115"/>
      <c r="AH5267" s="1115"/>
      <c r="AI5267" s="1115"/>
      <c r="AJ5267" s="1117"/>
      <c r="AK5267" s="1118"/>
      <c r="AL5267" s="1115"/>
      <c r="AM5267" s="1115"/>
      <c r="AN5267" s="1115"/>
      <c r="AO5267" s="1115"/>
      <c r="AP5267" s="1115"/>
      <c r="AQ5267" s="1115"/>
      <c r="AR5267" s="1115"/>
      <c r="AS5267" s="1117"/>
      <c r="AT5267" s="1075"/>
      <c r="AU5267" s="1193"/>
      <c r="AV5267" s="330"/>
      <c r="AW5267" s="331"/>
      <c r="AX5267" s="331"/>
      <c r="AY5267" s="331"/>
      <c r="AZ5267" s="331"/>
      <c r="BA5267" s="331"/>
      <c r="BB5267" s="331"/>
      <c r="BC5267" s="331"/>
      <c r="BD5267" s="331"/>
      <c r="BE5267" s="333"/>
      <c r="BF5267" s="330"/>
      <c r="BG5267" s="333"/>
      <c r="BH5267" s="1119"/>
      <c r="BI5267" s="319"/>
      <c r="BJ5267" s="319"/>
      <c r="BK5267" s="319"/>
      <c r="BL5267" s="319"/>
      <c r="BM5267" s="319"/>
      <c r="BN5267" s="319"/>
      <c r="BO5267" s="319"/>
      <c r="BP5267" s="953"/>
      <c r="BQ5267" s="319"/>
      <c r="BR5267" s="319"/>
      <c r="BS5267" s="330"/>
      <c r="BT5267" s="331"/>
      <c r="BU5267" s="920"/>
      <c r="BV5267" s="903"/>
      <c r="BW5267" s="908"/>
      <c r="BX5267" s="908"/>
      <c r="BY5267" s="331"/>
      <c r="BZ5267" s="331"/>
      <c r="CA5267" s="462"/>
      <c r="CB5267" s="319"/>
      <c r="CC5267" s="319"/>
      <c r="CD5267" s="319"/>
      <c r="CE5267" s="319"/>
      <c r="CF5267" s="319"/>
      <c r="CG5267" s="319"/>
      <c r="CH5267" s="318"/>
      <c r="CI5267" s="319"/>
      <c r="CJ5267" s="319"/>
      <c r="CK5267" s="342"/>
      <c r="CL5267" s="333"/>
      <c r="CM5267" s="1079"/>
      <c r="CN5267" s="1005"/>
      <c r="CO5267" s="1005"/>
      <c r="CP5267" s="1005"/>
    </row>
    <row r="5268">
      <c r="A5268" s="1257"/>
      <c r="B5268" s="1113"/>
      <c r="C5268" s="1107"/>
      <c r="D5268" s="103"/>
      <c r="E5268" s="1137"/>
      <c r="F5268" s="112"/>
      <c r="G5268" s="1110"/>
      <c r="H5268" s="1138"/>
      <c r="I5268" s="1138"/>
      <c r="J5268" s="1139"/>
      <c r="K5268" s="1111"/>
      <c r="L5268" s="1112"/>
      <c r="M5268" s="1113"/>
      <c r="N5268" s="110"/>
      <c r="O5268" s="1140"/>
      <c r="P5268" s="1115"/>
      <c r="Q5268" s="1116"/>
      <c r="R5268" s="1141"/>
      <c r="S5268" s="1113"/>
      <c r="T5268" s="1143"/>
      <c r="U5268" s="1108"/>
      <c r="V5268" s="1108"/>
      <c r="W5268" s="1108"/>
      <c r="X5268" s="1108"/>
      <c r="Y5268" s="1108"/>
      <c r="Z5268" s="1114"/>
      <c r="AA5268" s="1114"/>
      <c r="AB5268" s="1114"/>
      <c r="AC5268" s="1117"/>
      <c r="AD5268" s="1115"/>
      <c r="AE5268" s="1115"/>
      <c r="AF5268" s="1115"/>
      <c r="AG5268" s="1115"/>
      <c r="AH5268" s="1115"/>
      <c r="AI5268" s="1115"/>
      <c r="AJ5268" s="1117"/>
      <c r="AK5268" s="1118"/>
      <c r="AL5268" s="1115"/>
      <c r="AM5268" s="1115"/>
      <c r="AN5268" s="1115"/>
      <c r="AO5268" s="1115"/>
      <c r="AP5268" s="1115"/>
      <c r="AQ5268" s="1115"/>
      <c r="AR5268" s="1115"/>
      <c r="AS5268" s="1117"/>
      <c r="AT5268" s="1075"/>
      <c r="AU5268" s="1193"/>
      <c r="AV5268" s="330"/>
      <c r="AW5268" s="331"/>
      <c r="AX5268" s="331"/>
      <c r="AY5268" s="331"/>
      <c r="AZ5268" s="331"/>
      <c r="BA5268" s="331"/>
      <c r="BB5268" s="331"/>
      <c r="BC5268" s="331"/>
      <c r="BD5268" s="331"/>
      <c r="BE5268" s="333"/>
      <c r="BF5268" s="330"/>
      <c r="BG5268" s="333"/>
      <c r="BH5268" s="1119"/>
      <c r="BI5268" s="319"/>
      <c r="BJ5268" s="319"/>
      <c r="BK5268" s="319"/>
      <c r="BL5268" s="319"/>
      <c r="BM5268" s="319"/>
      <c r="BN5268" s="319"/>
      <c r="BO5268" s="319"/>
      <c r="BP5268" s="953"/>
      <c r="BQ5268" s="319"/>
      <c r="BR5268" s="319"/>
      <c r="BS5268" s="330"/>
      <c r="BT5268" s="331"/>
      <c r="BU5268" s="920"/>
      <c r="BV5268" s="903"/>
      <c r="BW5268" s="908"/>
      <c r="BX5268" s="908"/>
      <c r="BY5268" s="331"/>
      <c r="BZ5268" s="331"/>
      <c r="CA5268" s="462"/>
      <c r="CB5268" s="319"/>
      <c r="CC5268" s="319"/>
      <c r="CD5268" s="319"/>
      <c r="CE5268" s="319"/>
      <c r="CF5268" s="319"/>
      <c r="CG5268" s="319"/>
      <c r="CH5268" s="318"/>
      <c r="CI5268" s="319"/>
      <c r="CJ5268" s="319"/>
      <c r="CK5268" s="342"/>
      <c r="CL5268" s="333"/>
      <c r="CM5268" s="1079"/>
      <c r="CN5268" s="1005"/>
      <c r="CO5268" s="1005"/>
      <c r="CP5268" s="1005"/>
    </row>
    <row r="5269">
      <c r="A5269" s="1257"/>
      <c r="B5269" s="1113"/>
      <c r="C5269" s="1107"/>
      <c r="D5269" s="103"/>
      <c r="E5269" s="1137"/>
      <c r="F5269" s="112"/>
      <c r="G5269" s="1110"/>
      <c r="H5269" s="1138"/>
      <c r="I5269" s="1138"/>
      <c r="J5269" s="1139"/>
      <c r="K5269" s="1111"/>
      <c r="L5269" s="1112"/>
      <c r="M5269" s="1113"/>
      <c r="N5269" s="110"/>
      <c r="O5269" s="1140"/>
      <c r="P5269" s="1115"/>
      <c r="Q5269" s="1116"/>
      <c r="R5269" s="1141"/>
      <c r="S5269" s="1113"/>
      <c r="T5269" s="1143"/>
      <c r="U5269" s="1108"/>
      <c r="V5269" s="1108"/>
      <c r="W5269" s="1108"/>
      <c r="X5269" s="1108"/>
      <c r="Y5269" s="1108"/>
      <c r="Z5269" s="1114"/>
      <c r="AA5269" s="1114"/>
      <c r="AB5269" s="1114"/>
      <c r="AC5269" s="1117"/>
      <c r="AD5269" s="1115"/>
      <c r="AE5269" s="1115"/>
      <c r="AF5269" s="1115"/>
      <c r="AG5269" s="1115"/>
      <c r="AH5269" s="1115"/>
      <c r="AI5269" s="1115"/>
      <c r="AJ5269" s="1117"/>
      <c r="AK5269" s="1118"/>
      <c r="AL5269" s="1115"/>
      <c r="AM5269" s="1115"/>
      <c r="AN5269" s="1115"/>
      <c r="AO5269" s="1115"/>
      <c r="AP5269" s="1115"/>
      <c r="AQ5269" s="1115"/>
      <c r="AR5269" s="1115"/>
      <c r="AS5269" s="1117"/>
      <c r="AT5269" s="1075"/>
      <c r="AU5269" s="1193"/>
      <c r="AV5269" s="330"/>
      <c r="AW5269" s="331"/>
      <c r="AX5269" s="331"/>
      <c r="AY5269" s="331"/>
      <c r="AZ5269" s="331"/>
      <c r="BA5269" s="331"/>
      <c r="BB5269" s="331"/>
      <c r="BC5269" s="331"/>
      <c r="BD5269" s="331"/>
      <c r="BE5269" s="333"/>
      <c r="BF5269" s="330"/>
      <c r="BG5269" s="333"/>
      <c r="BH5269" s="1119"/>
      <c r="BI5269" s="319"/>
      <c r="BJ5269" s="319"/>
      <c r="BK5269" s="319"/>
      <c r="BL5269" s="319"/>
      <c r="BM5269" s="319"/>
      <c r="BN5269" s="319"/>
      <c r="BO5269" s="319"/>
      <c r="BP5269" s="953"/>
      <c r="BQ5269" s="319"/>
      <c r="BR5269" s="319"/>
      <c r="BS5269" s="330"/>
      <c r="BT5269" s="331"/>
      <c r="BU5269" s="920"/>
      <c r="BV5269" s="903"/>
      <c r="BW5269" s="908"/>
      <c r="BX5269" s="908"/>
      <c r="BY5269" s="331"/>
      <c r="BZ5269" s="331"/>
      <c r="CA5269" s="462"/>
      <c r="CB5269" s="319"/>
      <c r="CC5269" s="319"/>
      <c r="CD5269" s="319"/>
      <c r="CE5269" s="319"/>
      <c r="CF5269" s="319"/>
      <c r="CG5269" s="319"/>
      <c r="CH5269" s="318"/>
      <c r="CI5269" s="319"/>
      <c r="CJ5269" s="319"/>
      <c r="CK5269" s="342"/>
      <c r="CL5269" s="333"/>
      <c r="CM5269" s="1079"/>
      <c r="CN5269" s="1005"/>
      <c r="CO5269" s="1005"/>
      <c r="CP5269" s="1005"/>
    </row>
    <row r="5270">
      <c r="A5270" s="1257"/>
      <c r="B5270" s="1113"/>
      <c r="C5270" s="1107"/>
      <c r="D5270" s="103"/>
      <c r="E5270" s="1137"/>
      <c r="F5270" s="112"/>
      <c r="G5270" s="1110"/>
      <c r="H5270" s="1138"/>
      <c r="I5270" s="1138"/>
      <c r="J5270" s="1139"/>
      <c r="K5270" s="1111"/>
      <c r="L5270" s="1112"/>
      <c r="M5270" s="1113"/>
      <c r="N5270" s="110"/>
      <c r="O5270" s="1140"/>
      <c r="P5270" s="1115"/>
      <c r="Q5270" s="1116"/>
      <c r="R5270" s="1141"/>
      <c r="S5270" s="1113"/>
      <c r="T5270" s="1143"/>
      <c r="U5270" s="1108"/>
      <c r="V5270" s="1108"/>
      <c r="W5270" s="1108"/>
      <c r="X5270" s="1108"/>
      <c r="Y5270" s="1108"/>
      <c r="Z5270" s="1114"/>
      <c r="AA5270" s="1114"/>
      <c r="AB5270" s="1114"/>
      <c r="AC5270" s="1117"/>
      <c r="AD5270" s="1115"/>
      <c r="AE5270" s="1115"/>
      <c r="AF5270" s="1115"/>
      <c r="AG5270" s="1115"/>
      <c r="AH5270" s="1115"/>
      <c r="AI5270" s="1115"/>
      <c r="AJ5270" s="1117"/>
      <c r="AK5270" s="1118"/>
      <c r="AL5270" s="1115"/>
      <c r="AM5270" s="1115"/>
      <c r="AN5270" s="1115"/>
      <c r="AO5270" s="1115"/>
      <c r="AP5270" s="1115"/>
      <c r="AQ5270" s="1115"/>
      <c r="AR5270" s="1115"/>
      <c r="AS5270" s="1117"/>
      <c r="AT5270" s="1075"/>
      <c r="AU5270" s="1193"/>
      <c r="AV5270" s="330"/>
      <c r="AW5270" s="331"/>
      <c r="AX5270" s="331"/>
      <c r="AY5270" s="331"/>
      <c r="AZ5270" s="331"/>
      <c r="BA5270" s="331"/>
      <c r="BB5270" s="331"/>
      <c r="BC5270" s="331"/>
      <c r="BD5270" s="331"/>
      <c r="BE5270" s="333"/>
      <c r="BF5270" s="330"/>
      <c r="BG5270" s="333"/>
      <c r="BH5270" s="1119"/>
      <c r="BI5270" s="319"/>
      <c r="BJ5270" s="319"/>
      <c r="BK5270" s="319"/>
      <c r="BL5270" s="319"/>
      <c r="BM5270" s="319"/>
      <c r="BN5270" s="319"/>
      <c r="BO5270" s="319"/>
      <c r="BP5270" s="953"/>
      <c r="BQ5270" s="319"/>
      <c r="BR5270" s="319"/>
      <c r="BS5270" s="330"/>
      <c r="BT5270" s="331"/>
      <c r="BU5270" s="920"/>
      <c r="BV5270" s="903"/>
      <c r="BW5270" s="908"/>
      <c r="BX5270" s="908"/>
      <c r="BY5270" s="331"/>
      <c r="BZ5270" s="331"/>
      <c r="CA5270" s="462"/>
      <c r="CB5270" s="319"/>
      <c r="CC5270" s="319"/>
      <c r="CD5270" s="319"/>
      <c r="CE5270" s="319"/>
      <c r="CF5270" s="319"/>
      <c r="CG5270" s="319"/>
      <c r="CH5270" s="318"/>
      <c r="CI5270" s="319"/>
      <c r="CJ5270" s="319"/>
      <c r="CK5270" s="342"/>
      <c r="CL5270" s="333"/>
      <c r="CM5270" s="1079"/>
      <c r="CN5270" s="1005"/>
      <c r="CO5270" s="1005"/>
      <c r="CP5270" s="1005"/>
    </row>
    <row r="5271">
      <c r="A5271" s="1257"/>
      <c r="B5271" s="1113"/>
      <c r="C5271" s="1107"/>
      <c r="D5271" s="103"/>
      <c r="E5271" s="1137"/>
      <c r="F5271" s="112"/>
      <c r="G5271" s="1110"/>
      <c r="H5271" s="1138"/>
      <c r="I5271" s="1138"/>
      <c r="J5271" s="1139"/>
      <c r="K5271" s="1111"/>
      <c r="L5271" s="1112"/>
      <c r="M5271" s="1113"/>
      <c r="N5271" s="110"/>
      <c r="O5271" s="1140"/>
      <c r="P5271" s="1115"/>
      <c r="Q5271" s="1116"/>
      <c r="R5271" s="1141"/>
      <c r="S5271" s="1113"/>
      <c r="T5271" s="1143"/>
      <c r="U5271" s="1108"/>
      <c r="V5271" s="1108"/>
      <c r="W5271" s="1108"/>
      <c r="X5271" s="1108"/>
      <c r="Y5271" s="1108"/>
      <c r="Z5271" s="1114"/>
      <c r="AA5271" s="1114"/>
      <c r="AB5271" s="1114"/>
      <c r="AC5271" s="1117"/>
      <c r="AD5271" s="1115"/>
      <c r="AE5271" s="1115"/>
      <c r="AF5271" s="1115"/>
      <c r="AG5271" s="1115"/>
      <c r="AH5271" s="1115"/>
      <c r="AI5271" s="1115"/>
      <c r="AJ5271" s="1117"/>
      <c r="AK5271" s="1118"/>
      <c r="AL5271" s="1115"/>
      <c r="AM5271" s="1115"/>
      <c r="AN5271" s="1115"/>
      <c r="AO5271" s="1115"/>
      <c r="AP5271" s="1115"/>
      <c r="AQ5271" s="1115"/>
      <c r="AR5271" s="1115"/>
      <c r="AS5271" s="1117"/>
      <c r="AT5271" s="1075"/>
      <c r="AU5271" s="1193"/>
      <c r="AV5271" s="330"/>
      <c r="AW5271" s="331"/>
      <c r="AX5271" s="331"/>
      <c r="AY5271" s="331"/>
      <c r="AZ5271" s="331"/>
      <c r="BA5271" s="331"/>
      <c r="BB5271" s="331"/>
      <c r="BC5271" s="331"/>
      <c r="BD5271" s="331"/>
      <c r="BE5271" s="333"/>
      <c r="BF5271" s="330"/>
      <c r="BG5271" s="333"/>
      <c r="BH5271" s="1119"/>
      <c r="BI5271" s="319"/>
      <c r="BJ5271" s="319"/>
      <c r="BK5271" s="319"/>
      <c r="BL5271" s="319"/>
      <c r="BM5271" s="319"/>
      <c r="BN5271" s="319"/>
      <c r="BO5271" s="319"/>
      <c r="BP5271" s="953"/>
      <c r="BQ5271" s="319"/>
      <c r="BR5271" s="319"/>
      <c r="BS5271" s="330"/>
      <c r="BT5271" s="331"/>
      <c r="BU5271" s="920"/>
      <c r="BV5271" s="903"/>
      <c r="BW5271" s="908"/>
      <c r="BX5271" s="908"/>
      <c r="BY5271" s="331"/>
      <c r="BZ5271" s="331"/>
      <c r="CA5271" s="462"/>
      <c r="CB5271" s="319"/>
      <c r="CC5271" s="319"/>
      <c r="CD5271" s="319"/>
      <c r="CE5271" s="319"/>
      <c r="CF5271" s="319"/>
      <c r="CG5271" s="319"/>
      <c r="CH5271" s="318"/>
      <c r="CI5271" s="319"/>
      <c r="CJ5271" s="319"/>
      <c r="CK5271" s="342"/>
      <c r="CL5271" s="333"/>
      <c r="CM5271" s="1079"/>
      <c r="CN5271" s="1005"/>
      <c r="CO5271" s="1005"/>
      <c r="CP5271" s="1005"/>
    </row>
    <row r="5272">
      <c r="A5272" s="1257"/>
      <c r="B5272" s="1113"/>
      <c r="C5272" s="1107"/>
      <c r="D5272" s="103"/>
      <c r="E5272" s="1137"/>
      <c r="F5272" s="112"/>
      <c r="G5272" s="1110"/>
      <c r="H5272" s="1138"/>
      <c r="I5272" s="1138"/>
      <c r="J5272" s="1139"/>
      <c r="K5272" s="1111"/>
      <c r="L5272" s="1112"/>
      <c r="M5272" s="1113"/>
      <c r="N5272" s="110"/>
      <c r="O5272" s="1140"/>
      <c r="P5272" s="1115"/>
      <c r="Q5272" s="1116"/>
      <c r="R5272" s="1141"/>
      <c r="S5272" s="1113"/>
      <c r="T5272" s="1143"/>
      <c r="U5272" s="1108"/>
      <c r="V5272" s="1108"/>
      <c r="W5272" s="1108"/>
      <c r="X5272" s="1108"/>
      <c r="Y5272" s="1108"/>
      <c r="Z5272" s="1114"/>
      <c r="AA5272" s="1114"/>
      <c r="AB5272" s="1114"/>
      <c r="AC5272" s="1117"/>
      <c r="AD5272" s="1115"/>
      <c r="AE5272" s="1115"/>
      <c r="AF5272" s="1115"/>
      <c r="AG5272" s="1115"/>
      <c r="AH5272" s="1115"/>
      <c r="AI5272" s="1115"/>
      <c r="AJ5272" s="1117"/>
      <c r="AK5272" s="1118"/>
      <c r="AL5272" s="1115"/>
      <c r="AM5272" s="1115"/>
      <c r="AN5272" s="1115"/>
      <c r="AO5272" s="1115"/>
      <c r="AP5272" s="1115"/>
      <c r="AQ5272" s="1115"/>
      <c r="AR5272" s="1115"/>
      <c r="AS5272" s="1117"/>
      <c r="AT5272" s="1075"/>
      <c r="AU5272" s="1193"/>
      <c r="AV5272" s="330"/>
      <c r="AW5272" s="331"/>
      <c r="AX5272" s="331"/>
      <c r="AY5272" s="331"/>
      <c r="AZ5272" s="331"/>
      <c r="BA5272" s="331"/>
      <c r="BB5272" s="331"/>
      <c r="BC5272" s="331"/>
      <c r="BD5272" s="331"/>
      <c r="BE5272" s="333"/>
      <c r="BF5272" s="330"/>
      <c r="BG5272" s="333"/>
      <c r="BH5272" s="1119"/>
      <c r="BI5272" s="319"/>
      <c r="BJ5272" s="319"/>
      <c r="BK5272" s="319"/>
      <c r="BL5272" s="319"/>
      <c r="BM5272" s="319"/>
      <c r="BN5272" s="319"/>
      <c r="BO5272" s="319"/>
      <c r="BP5272" s="953"/>
      <c r="BQ5272" s="319"/>
      <c r="BR5272" s="319"/>
      <c r="BS5272" s="330"/>
      <c r="BT5272" s="331"/>
      <c r="BU5272" s="920"/>
      <c r="BV5272" s="903"/>
      <c r="BW5272" s="908"/>
      <c r="BX5272" s="908"/>
      <c r="BY5272" s="331"/>
      <c r="BZ5272" s="331"/>
      <c r="CA5272" s="462"/>
      <c r="CB5272" s="319"/>
      <c r="CC5272" s="319"/>
      <c r="CD5272" s="319"/>
      <c r="CE5272" s="319"/>
      <c r="CF5272" s="319"/>
      <c r="CG5272" s="319"/>
      <c r="CH5272" s="318"/>
      <c r="CI5272" s="319"/>
      <c r="CJ5272" s="319"/>
      <c r="CK5272" s="342"/>
      <c r="CL5272" s="333"/>
      <c r="CM5272" s="1079"/>
      <c r="CN5272" s="1005"/>
      <c r="CO5272" s="1005"/>
      <c r="CP5272" s="1005"/>
    </row>
    <row r="5273">
      <c r="A5273" s="1257"/>
      <c r="B5273" s="1113"/>
      <c r="C5273" s="1107"/>
      <c r="D5273" s="103"/>
      <c r="E5273" s="1137"/>
      <c r="F5273" s="112"/>
      <c r="G5273" s="1110"/>
      <c r="H5273" s="1138"/>
      <c r="I5273" s="1138"/>
      <c r="J5273" s="1139"/>
      <c r="K5273" s="1111"/>
      <c r="L5273" s="1112"/>
      <c r="M5273" s="1113"/>
      <c r="N5273" s="110"/>
      <c r="O5273" s="1140"/>
      <c r="P5273" s="1115"/>
      <c r="Q5273" s="1116"/>
      <c r="R5273" s="1141"/>
      <c r="S5273" s="1113"/>
      <c r="T5273" s="1143"/>
      <c r="U5273" s="1108"/>
      <c r="V5273" s="1108"/>
      <c r="W5273" s="1108"/>
      <c r="X5273" s="1108"/>
      <c r="Y5273" s="1108"/>
      <c r="Z5273" s="1114"/>
      <c r="AA5273" s="1114"/>
      <c r="AB5273" s="1114"/>
      <c r="AC5273" s="1117"/>
      <c r="AD5273" s="1115"/>
      <c r="AE5273" s="1115"/>
      <c r="AF5273" s="1115"/>
      <c r="AG5273" s="1115"/>
      <c r="AH5273" s="1115"/>
      <c r="AI5273" s="1115"/>
      <c r="AJ5273" s="1117"/>
      <c r="AK5273" s="1118"/>
      <c r="AL5273" s="1115"/>
      <c r="AM5273" s="1115"/>
      <c r="AN5273" s="1115"/>
      <c r="AO5273" s="1115"/>
      <c r="AP5273" s="1115"/>
      <c r="AQ5273" s="1115"/>
      <c r="AR5273" s="1115"/>
      <c r="AS5273" s="1117"/>
      <c r="AT5273" s="1075"/>
      <c r="AU5273" s="1193"/>
      <c r="AV5273" s="330"/>
      <c r="AW5273" s="331"/>
      <c r="AX5273" s="331"/>
      <c r="AY5273" s="331"/>
      <c r="AZ5273" s="331"/>
      <c r="BA5273" s="331"/>
      <c r="BB5273" s="331"/>
      <c r="BC5273" s="331"/>
      <c r="BD5273" s="331"/>
      <c r="BE5273" s="333"/>
      <c r="BF5273" s="330"/>
      <c r="BG5273" s="333"/>
      <c r="BH5273" s="1119"/>
      <c r="BI5273" s="319"/>
      <c r="BJ5273" s="319"/>
      <c r="BK5273" s="319"/>
      <c r="BL5273" s="319"/>
      <c r="BM5273" s="319"/>
      <c r="BN5273" s="319"/>
      <c r="BO5273" s="319"/>
      <c r="BP5273" s="953"/>
      <c r="BQ5273" s="319"/>
      <c r="BR5273" s="319"/>
      <c r="BS5273" s="330"/>
      <c r="BT5273" s="331"/>
      <c r="BU5273" s="920"/>
      <c r="BV5273" s="903"/>
      <c r="BW5273" s="908"/>
      <c r="BX5273" s="908"/>
      <c r="BY5273" s="331"/>
      <c r="BZ5273" s="331"/>
      <c r="CA5273" s="462"/>
      <c r="CB5273" s="319"/>
      <c r="CC5273" s="319"/>
      <c r="CD5273" s="319"/>
      <c r="CE5273" s="319"/>
      <c r="CF5273" s="319"/>
      <c r="CG5273" s="319"/>
      <c r="CH5273" s="318"/>
      <c r="CI5273" s="319"/>
      <c r="CJ5273" s="319"/>
      <c r="CK5273" s="342"/>
      <c r="CL5273" s="333"/>
      <c r="CM5273" s="1079"/>
      <c r="CN5273" s="1005"/>
      <c r="CO5273" s="1005"/>
      <c r="CP5273" s="1005"/>
    </row>
    <row r="5274">
      <c r="A5274" s="1257"/>
      <c r="B5274" s="1113"/>
      <c r="C5274" s="1107"/>
      <c r="D5274" s="103"/>
      <c r="E5274" s="1137"/>
      <c r="F5274" s="112"/>
      <c r="G5274" s="1110"/>
      <c r="H5274" s="1138"/>
      <c r="I5274" s="1138"/>
      <c r="J5274" s="1139"/>
      <c r="K5274" s="1111"/>
      <c r="L5274" s="1112"/>
      <c r="M5274" s="1113"/>
      <c r="N5274" s="110"/>
      <c r="O5274" s="1140"/>
      <c r="P5274" s="1115"/>
      <c r="Q5274" s="1116"/>
      <c r="R5274" s="1141"/>
      <c r="S5274" s="1113"/>
      <c r="T5274" s="1143"/>
      <c r="U5274" s="1108"/>
      <c r="V5274" s="1108"/>
      <c r="W5274" s="1108"/>
      <c r="X5274" s="1108"/>
      <c r="Y5274" s="1108"/>
      <c r="Z5274" s="1114"/>
      <c r="AA5274" s="1114"/>
      <c r="AB5274" s="1114"/>
      <c r="AC5274" s="1117"/>
      <c r="AD5274" s="1115"/>
      <c r="AE5274" s="1115"/>
      <c r="AF5274" s="1115"/>
      <c r="AG5274" s="1115"/>
      <c r="AH5274" s="1115"/>
      <c r="AI5274" s="1115"/>
      <c r="AJ5274" s="1117"/>
      <c r="AK5274" s="1118"/>
      <c r="AL5274" s="1115"/>
      <c r="AM5274" s="1115"/>
      <c r="AN5274" s="1115"/>
      <c r="AO5274" s="1115"/>
      <c r="AP5274" s="1115"/>
      <c r="AQ5274" s="1115"/>
      <c r="AR5274" s="1115"/>
      <c r="AS5274" s="1117"/>
      <c r="AT5274" s="1075"/>
      <c r="AU5274" s="1193"/>
      <c r="AV5274" s="330"/>
      <c r="AW5274" s="331"/>
      <c r="AX5274" s="331"/>
      <c r="AY5274" s="331"/>
      <c r="AZ5274" s="331"/>
      <c r="BA5274" s="331"/>
      <c r="BB5274" s="331"/>
      <c r="BC5274" s="331"/>
      <c r="BD5274" s="331"/>
      <c r="BE5274" s="333"/>
      <c r="BF5274" s="330"/>
      <c r="BG5274" s="333"/>
      <c r="BH5274" s="1119"/>
      <c r="BI5274" s="319"/>
      <c r="BJ5274" s="319"/>
      <c r="BK5274" s="319"/>
      <c r="BL5274" s="319"/>
      <c r="BM5274" s="319"/>
      <c r="BN5274" s="319"/>
      <c r="BO5274" s="319"/>
      <c r="BP5274" s="953"/>
      <c r="BQ5274" s="319"/>
      <c r="BR5274" s="319"/>
      <c r="BS5274" s="330"/>
      <c r="BT5274" s="331"/>
      <c r="BU5274" s="920"/>
      <c r="BV5274" s="903"/>
      <c r="BW5274" s="908"/>
      <c r="BX5274" s="908"/>
      <c r="BY5274" s="331"/>
      <c r="BZ5274" s="331"/>
      <c r="CA5274" s="462"/>
      <c r="CB5274" s="319"/>
      <c r="CC5274" s="319"/>
      <c r="CD5274" s="319"/>
      <c r="CE5274" s="319"/>
      <c r="CF5274" s="319"/>
      <c r="CG5274" s="319"/>
      <c r="CH5274" s="318"/>
      <c r="CI5274" s="319"/>
      <c r="CJ5274" s="319"/>
      <c r="CK5274" s="342"/>
      <c r="CL5274" s="333"/>
      <c r="CM5274" s="1079"/>
      <c r="CN5274" s="1005"/>
      <c r="CO5274" s="1005"/>
      <c r="CP5274" s="1005"/>
    </row>
    <row r="5275">
      <c r="A5275" s="1257"/>
      <c r="B5275" s="1113"/>
      <c r="C5275" s="1107"/>
      <c r="D5275" s="103"/>
      <c r="E5275" s="1137"/>
      <c r="F5275" s="112"/>
      <c r="G5275" s="1110"/>
      <c r="H5275" s="1138"/>
      <c r="I5275" s="1138"/>
      <c r="J5275" s="1139"/>
      <c r="K5275" s="1111"/>
      <c r="L5275" s="1112"/>
      <c r="M5275" s="1113"/>
      <c r="N5275" s="110"/>
      <c r="O5275" s="1140"/>
      <c r="P5275" s="1115"/>
      <c r="Q5275" s="1116"/>
      <c r="R5275" s="1141"/>
      <c r="S5275" s="1113"/>
      <c r="T5275" s="1143"/>
      <c r="U5275" s="1108"/>
      <c r="V5275" s="1108"/>
      <c r="W5275" s="1108"/>
      <c r="X5275" s="1108"/>
      <c r="Y5275" s="1108"/>
      <c r="Z5275" s="1114"/>
      <c r="AA5275" s="1114"/>
      <c r="AB5275" s="1114"/>
      <c r="AC5275" s="1117"/>
      <c r="AD5275" s="1115"/>
      <c r="AE5275" s="1115"/>
      <c r="AF5275" s="1115"/>
      <c r="AG5275" s="1115"/>
      <c r="AH5275" s="1115"/>
      <c r="AI5275" s="1115"/>
      <c r="AJ5275" s="1117"/>
      <c r="AK5275" s="1118"/>
      <c r="AL5275" s="1115"/>
      <c r="AM5275" s="1115"/>
      <c r="AN5275" s="1115"/>
      <c r="AO5275" s="1115"/>
      <c r="AP5275" s="1115"/>
      <c r="AQ5275" s="1115"/>
      <c r="AR5275" s="1115"/>
      <c r="AS5275" s="1117"/>
      <c r="AT5275" s="1075"/>
      <c r="AU5275" s="1193"/>
      <c r="AV5275" s="330"/>
      <c r="AW5275" s="331"/>
      <c r="AX5275" s="331"/>
      <c r="AY5275" s="331"/>
      <c r="AZ5275" s="331"/>
      <c r="BA5275" s="331"/>
      <c r="BB5275" s="331"/>
      <c r="BC5275" s="331"/>
      <c r="BD5275" s="331"/>
      <c r="BE5275" s="333"/>
      <c r="BF5275" s="330"/>
      <c r="BG5275" s="333"/>
      <c r="BH5275" s="1119"/>
      <c r="BI5275" s="319"/>
      <c r="BJ5275" s="319"/>
      <c r="BK5275" s="319"/>
      <c r="BL5275" s="319"/>
      <c r="BM5275" s="319"/>
      <c r="BN5275" s="319"/>
      <c r="BO5275" s="319"/>
      <c r="BP5275" s="953"/>
      <c r="BQ5275" s="319"/>
      <c r="BR5275" s="319"/>
      <c r="BS5275" s="330"/>
      <c r="BT5275" s="331"/>
      <c r="BU5275" s="920"/>
      <c r="BV5275" s="903"/>
      <c r="BW5275" s="908"/>
      <c r="BX5275" s="908"/>
      <c r="BY5275" s="331"/>
      <c r="BZ5275" s="331"/>
      <c r="CA5275" s="462"/>
      <c r="CB5275" s="319"/>
      <c r="CC5275" s="319"/>
      <c r="CD5275" s="319"/>
      <c r="CE5275" s="319"/>
      <c r="CF5275" s="319"/>
      <c r="CG5275" s="319"/>
      <c r="CH5275" s="318"/>
      <c r="CI5275" s="319"/>
      <c r="CJ5275" s="319"/>
      <c r="CK5275" s="342"/>
      <c r="CL5275" s="333"/>
      <c r="CM5275" s="1079"/>
      <c r="CN5275" s="1005"/>
      <c r="CO5275" s="1005"/>
      <c r="CP5275" s="1005"/>
    </row>
    <row r="5276">
      <c r="A5276" s="1257"/>
      <c r="B5276" s="1113"/>
      <c r="C5276" s="1107"/>
      <c r="D5276" s="103"/>
      <c r="E5276" s="1137"/>
      <c r="F5276" s="112"/>
      <c r="G5276" s="1110"/>
      <c r="H5276" s="1138"/>
      <c r="I5276" s="1138"/>
      <c r="J5276" s="1139"/>
      <c r="K5276" s="1111"/>
      <c r="L5276" s="1112"/>
      <c r="M5276" s="1113"/>
      <c r="N5276" s="110"/>
      <c r="O5276" s="1140"/>
      <c r="P5276" s="1115"/>
      <c r="Q5276" s="1116"/>
      <c r="R5276" s="1141"/>
      <c r="S5276" s="1113"/>
      <c r="T5276" s="1143"/>
      <c r="U5276" s="1108"/>
      <c r="V5276" s="1108"/>
      <c r="W5276" s="1108"/>
      <c r="X5276" s="1108"/>
      <c r="Y5276" s="1108"/>
      <c r="Z5276" s="1114"/>
      <c r="AA5276" s="1114"/>
      <c r="AB5276" s="1114"/>
      <c r="AC5276" s="1117"/>
      <c r="AD5276" s="1115"/>
      <c r="AE5276" s="1115"/>
      <c r="AF5276" s="1115"/>
      <c r="AG5276" s="1115"/>
      <c r="AH5276" s="1115"/>
      <c r="AI5276" s="1115"/>
      <c r="AJ5276" s="1117"/>
      <c r="AK5276" s="1118"/>
      <c r="AL5276" s="1115"/>
      <c r="AM5276" s="1115"/>
      <c r="AN5276" s="1115"/>
      <c r="AO5276" s="1115"/>
      <c r="AP5276" s="1115"/>
      <c r="AQ5276" s="1115"/>
      <c r="AR5276" s="1115"/>
      <c r="AS5276" s="1117"/>
      <c r="AT5276" s="1075"/>
      <c r="AU5276" s="1193"/>
      <c r="AV5276" s="330"/>
      <c r="AW5276" s="331"/>
      <c r="AX5276" s="331"/>
      <c r="AY5276" s="331"/>
      <c r="AZ5276" s="331"/>
      <c r="BA5276" s="331"/>
      <c r="BB5276" s="331"/>
      <c r="BC5276" s="331"/>
      <c r="BD5276" s="331"/>
      <c r="BE5276" s="333"/>
      <c r="BF5276" s="330"/>
      <c r="BG5276" s="333"/>
      <c r="BH5276" s="1119"/>
      <c r="BI5276" s="319"/>
      <c r="BJ5276" s="319"/>
      <c r="BK5276" s="319"/>
      <c r="BL5276" s="319"/>
      <c r="BM5276" s="319"/>
      <c r="BN5276" s="319"/>
      <c r="BO5276" s="319"/>
      <c r="BP5276" s="953"/>
      <c r="BQ5276" s="319"/>
      <c r="BR5276" s="319"/>
      <c r="BS5276" s="330"/>
      <c r="BT5276" s="331"/>
      <c r="BU5276" s="920"/>
      <c r="BV5276" s="903"/>
      <c r="BW5276" s="908"/>
      <c r="BX5276" s="908"/>
      <c r="BY5276" s="331"/>
      <c r="BZ5276" s="331"/>
      <c r="CA5276" s="462"/>
      <c r="CB5276" s="319"/>
      <c r="CC5276" s="319"/>
      <c r="CD5276" s="319"/>
      <c r="CE5276" s="319"/>
      <c r="CF5276" s="319"/>
      <c r="CG5276" s="319"/>
      <c r="CH5276" s="318"/>
      <c r="CI5276" s="319"/>
      <c r="CJ5276" s="319"/>
      <c r="CK5276" s="342"/>
      <c r="CL5276" s="333"/>
      <c r="CM5276" s="1079"/>
      <c r="CN5276" s="1005"/>
      <c r="CO5276" s="1005"/>
      <c r="CP5276" s="1005"/>
    </row>
    <row r="5277">
      <c r="A5277" s="1257"/>
      <c r="B5277" s="1113"/>
      <c r="C5277" s="1107"/>
      <c r="D5277" s="103"/>
      <c r="E5277" s="1137"/>
      <c r="F5277" s="112"/>
      <c r="G5277" s="1110"/>
      <c r="H5277" s="1138"/>
      <c r="I5277" s="1138"/>
      <c r="J5277" s="1139"/>
      <c r="K5277" s="1111"/>
      <c r="L5277" s="1112"/>
      <c r="M5277" s="1113"/>
      <c r="N5277" s="110"/>
      <c r="O5277" s="1140"/>
      <c r="P5277" s="1115"/>
      <c r="Q5277" s="1116"/>
      <c r="R5277" s="1141"/>
      <c r="S5277" s="1113"/>
      <c r="T5277" s="1143"/>
      <c r="U5277" s="1108"/>
      <c r="V5277" s="1108"/>
      <c r="W5277" s="1108"/>
      <c r="X5277" s="1108"/>
      <c r="Y5277" s="1108"/>
      <c r="Z5277" s="1114"/>
      <c r="AA5277" s="1114"/>
      <c r="AB5277" s="1114"/>
      <c r="AC5277" s="1117"/>
      <c r="AD5277" s="1115"/>
      <c r="AE5277" s="1115"/>
      <c r="AF5277" s="1115"/>
      <c r="AG5277" s="1115"/>
      <c r="AH5277" s="1115"/>
      <c r="AI5277" s="1115"/>
      <c r="AJ5277" s="1117"/>
      <c r="AK5277" s="1118"/>
      <c r="AL5277" s="1115"/>
      <c r="AM5277" s="1115"/>
      <c r="AN5277" s="1115"/>
      <c r="AO5277" s="1115"/>
      <c r="AP5277" s="1115"/>
      <c r="AQ5277" s="1115"/>
      <c r="AR5277" s="1115"/>
      <c r="AS5277" s="1117"/>
      <c r="AT5277" s="1075"/>
      <c r="AU5277" s="1193"/>
      <c r="AV5277" s="330"/>
      <c r="AW5277" s="331"/>
      <c r="AX5277" s="331"/>
      <c r="AY5277" s="331"/>
      <c r="AZ5277" s="331"/>
      <c r="BA5277" s="331"/>
      <c r="BB5277" s="331"/>
      <c r="BC5277" s="331"/>
      <c r="BD5277" s="331"/>
      <c r="BE5277" s="333"/>
      <c r="BF5277" s="330"/>
      <c r="BG5277" s="333"/>
      <c r="BH5277" s="1119"/>
      <c r="BI5277" s="319"/>
      <c r="BJ5277" s="319"/>
      <c r="BK5277" s="319"/>
      <c r="BL5277" s="319"/>
      <c r="BM5277" s="319"/>
      <c r="BN5277" s="319"/>
      <c r="BO5277" s="319"/>
      <c r="BP5277" s="953"/>
      <c r="BQ5277" s="319"/>
      <c r="BR5277" s="319"/>
      <c r="BS5277" s="330"/>
      <c r="BT5277" s="331"/>
      <c r="BU5277" s="920"/>
      <c r="BV5277" s="903"/>
      <c r="BW5277" s="908"/>
      <c r="BX5277" s="908"/>
      <c r="BY5277" s="331"/>
      <c r="BZ5277" s="331"/>
      <c r="CA5277" s="462"/>
      <c r="CB5277" s="319"/>
      <c r="CC5277" s="319"/>
      <c r="CD5277" s="319"/>
      <c r="CE5277" s="319"/>
      <c r="CF5277" s="319"/>
      <c r="CG5277" s="319"/>
      <c r="CH5277" s="318"/>
      <c r="CI5277" s="319"/>
      <c r="CJ5277" s="319"/>
      <c r="CK5277" s="342"/>
      <c r="CL5277" s="333"/>
      <c r="CM5277" s="1079"/>
      <c r="CN5277" s="1005"/>
      <c r="CO5277" s="1005"/>
      <c r="CP5277" s="1005"/>
    </row>
    <row r="5278">
      <c r="A5278" s="1257"/>
      <c r="B5278" s="1113"/>
      <c r="C5278" s="1107"/>
      <c r="D5278" s="103"/>
      <c r="E5278" s="1137"/>
      <c r="F5278" s="112"/>
      <c r="G5278" s="1110"/>
      <c r="H5278" s="1138"/>
      <c r="I5278" s="1138"/>
      <c r="J5278" s="1139"/>
      <c r="K5278" s="1111"/>
      <c r="L5278" s="1112"/>
      <c r="M5278" s="1113"/>
      <c r="N5278" s="110"/>
      <c r="O5278" s="1140"/>
      <c r="P5278" s="1115"/>
      <c r="Q5278" s="1116"/>
      <c r="R5278" s="1141"/>
      <c r="S5278" s="1113"/>
      <c r="T5278" s="1143"/>
      <c r="U5278" s="1108"/>
      <c r="V5278" s="1108"/>
      <c r="W5278" s="1108"/>
      <c r="X5278" s="1108"/>
      <c r="Y5278" s="1108"/>
      <c r="Z5278" s="1114"/>
      <c r="AA5278" s="1114"/>
      <c r="AB5278" s="1114"/>
      <c r="AC5278" s="1117"/>
      <c r="AD5278" s="1115"/>
      <c r="AE5278" s="1115"/>
      <c r="AF5278" s="1115"/>
      <c r="AG5278" s="1115"/>
      <c r="AH5278" s="1115"/>
      <c r="AI5278" s="1115"/>
      <c r="AJ5278" s="1117"/>
      <c r="AK5278" s="1118"/>
      <c r="AL5278" s="1115"/>
      <c r="AM5278" s="1115"/>
      <c r="AN5278" s="1115"/>
      <c r="AO5278" s="1115"/>
      <c r="AP5278" s="1115"/>
      <c r="AQ5278" s="1115"/>
      <c r="AR5278" s="1115"/>
      <c r="AS5278" s="1117"/>
      <c r="AT5278" s="1075"/>
      <c r="AU5278" s="1193"/>
      <c r="AV5278" s="330"/>
      <c r="AW5278" s="331"/>
      <c r="AX5278" s="331"/>
      <c r="AY5278" s="331"/>
      <c r="AZ5278" s="331"/>
      <c r="BA5278" s="331"/>
      <c r="BB5278" s="331"/>
      <c r="BC5278" s="331"/>
      <c r="BD5278" s="331"/>
      <c r="BE5278" s="333"/>
      <c r="BF5278" s="330"/>
      <c r="BG5278" s="333"/>
      <c r="BH5278" s="1119"/>
      <c r="BI5278" s="319"/>
      <c r="BJ5278" s="319"/>
      <c r="BK5278" s="319"/>
      <c r="BL5278" s="319"/>
      <c r="BM5278" s="319"/>
      <c r="BN5278" s="319"/>
      <c r="BO5278" s="319"/>
      <c r="BP5278" s="953"/>
      <c r="BQ5278" s="319"/>
      <c r="BR5278" s="319"/>
      <c r="BS5278" s="330"/>
      <c r="BT5278" s="331"/>
      <c r="BU5278" s="920"/>
      <c r="BV5278" s="903"/>
      <c r="BW5278" s="908"/>
      <c r="BX5278" s="908"/>
      <c r="BY5278" s="331"/>
      <c r="BZ5278" s="331"/>
      <c r="CA5278" s="462"/>
      <c r="CB5278" s="319"/>
      <c r="CC5278" s="319"/>
      <c r="CD5278" s="319"/>
      <c r="CE5278" s="319"/>
      <c r="CF5278" s="319"/>
      <c r="CG5278" s="319"/>
      <c r="CH5278" s="318"/>
      <c r="CI5278" s="319"/>
      <c r="CJ5278" s="319"/>
      <c r="CK5278" s="342"/>
      <c r="CL5278" s="333"/>
      <c r="CM5278" s="1079"/>
      <c r="CN5278" s="1005"/>
      <c r="CO5278" s="1005"/>
      <c r="CP5278" s="1005"/>
    </row>
    <row r="5279">
      <c r="A5279" s="1257"/>
      <c r="B5279" s="1113"/>
      <c r="C5279" s="1107"/>
      <c r="D5279" s="103"/>
      <c r="E5279" s="1137"/>
      <c r="F5279" s="112"/>
      <c r="G5279" s="1110"/>
      <c r="H5279" s="1138"/>
      <c r="I5279" s="1138"/>
      <c r="J5279" s="1139"/>
      <c r="K5279" s="1111"/>
      <c r="L5279" s="1112"/>
      <c r="M5279" s="1113"/>
      <c r="N5279" s="110"/>
      <c r="O5279" s="1140"/>
      <c r="P5279" s="1115"/>
      <c r="Q5279" s="1116"/>
      <c r="R5279" s="1141"/>
      <c r="S5279" s="1113"/>
      <c r="T5279" s="1143"/>
      <c r="U5279" s="1108"/>
      <c r="V5279" s="1108"/>
      <c r="W5279" s="1108"/>
      <c r="X5279" s="1108"/>
      <c r="Y5279" s="1108"/>
      <c r="Z5279" s="1114"/>
      <c r="AA5279" s="1114"/>
      <c r="AB5279" s="1114"/>
      <c r="AC5279" s="1117"/>
      <c r="AD5279" s="1115"/>
      <c r="AE5279" s="1115"/>
      <c r="AF5279" s="1115"/>
      <c r="AG5279" s="1115"/>
      <c r="AH5279" s="1115"/>
      <c r="AI5279" s="1115"/>
      <c r="AJ5279" s="1117"/>
      <c r="AK5279" s="1118"/>
      <c r="AL5279" s="1115"/>
      <c r="AM5279" s="1115"/>
      <c r="AN5279" s="1115"/>
      <c r="AO5279" s="1115"/>
      <c r="AP5279" s="1115"/>
      <c r="AQ5279" s="1115"/>
      <c r="AR5279" s="1115"/>
      <c r="AS5279" s="1117"/>
      <c r="AT5279" s="1075"/>
      <c r="AU5279" s="1193"/>
      <c r="AV5279" s="330"/>
      <c r="AW5279" s="331"/>
      <c r="AX5279" s="331"/>
      <c r="AY5279" s="331"/>
      <c r="AZ5279" s="331"/>
      <c r="BA5279" s="331"/>
      <c r="BB5279" s="331"/>
      <c r="BC5279" s="331"/>
      <c r="BD5279" s="331"/>
      <c r="BE5279" s="333"/>
      <c r="BF5279" s="330"/>
      <c r="BG5279" s="333"/>
      <c r="BH5279" s="1119"/>
      <c r="BI5279" s="319"/>
      <c r="BJ5279" s="319"/>
      <c r="BK5279" s="319"/>
      <c r="BL5279" s="319"/>
      <c r="BM5279" s="319"/>
      <c r="BN5279" s="319"/>
      <c r="BO5279" s="319"/>
      <c r="BP5279" s="953"/>
      <c r="BQ5279" s="319"/>
      <c r="BR5279" s="319"/>
      <c r="BS5279" s="330"/>
      <c r="BT5279" s="331"/>
      <c r="BU5279" s="920"/>
      <c r="BV5279" s="903"/>
      <c r="BW5279" s="908"/>
      <c r="BX5279" s="908"/>
      <c r="BY5279" s="331"/>
      <c r="BZ5279" s="331"/>
      <c r="CA5279" s="462"/>
      <c r="CB5279" s="319"/>
      <c r="CC5279" s="319"/>
      <c r="CD5279" s="319"/>
      <c r="CE5279" s="319"/>
      <c r="CF5279" s="319"/>
      <c r="CG5279" s="319"/>
      <c r="CH5279" s="318"/>
      <c r="CI5279" s="319"/>
      <c r="CJ5279" s="319"/>
      <c r="CK5279" s="342"/>
      <c r="CL5279" s="333"/>
      <c r="CM5279" s="1079"/>
      <c r="CN5279" s="1005"/>
      <c r="CO5279" s="1005"/>
      <c r="CP5279" s="1005"/>
    </row>
    <row r="5280">
      <c r="A5280" s="1257"/>
      <c r="B5280" s="1113"/>
      <c r="C5280" s="1107"/>
      <c r="D5280" s="103"/>
      <c r="E5280" s="1137"/>
      <c r="F5280" s="112"/>
      <c r="G5280" s="1110"/>
      <c r="H5280" s="1138"/>
      <c r="I5280" s="1138"/>
      <c r="J5280" s="1139"/>
      <c r="K5280" s="1111"/>
      <c r="L5280" s="1112"/>
      <c r="M5280" s="1113"/>
      <c r="N5280" s="110"/>
      <c r="O5280" s="1140"/>
      <c r="P5280" s="1115"/>
      <c r="Q5280" s="1116"/>
      <c r="R5280" s="1141"/>
      <c r="S5280" s="1113"/>
      <c r="T5280" s="1143"/>
      <c r="U5280" s="1108"/>
      <c r="V5280" s="1108"/>
      <c r="W5280" s="1108"/>
      <c r="X5280" s="1108"/>
      <c r="Y5280" s="1108"/>
      <c r="Z5280" s="1114"/>
      <c r="AA5280" s="1114"/>
      <c r="AB5280" s="1114"/>
      <c r="AC5280" s="1117"/>
      <c r="AD5280" s="1115"/>
      <c r="AE5280" s="1115"/>
      <c r="AF5280" s="1115"/>
      <c r="AG5280" s="1115"/>
      <c r="AH5280" s="1115"/>
      <c r="AI5280" s="1115"/>
      <c r="AJ5280" s="1117"/>
      <c r="AK5280" s="1118"/>
      <c r="AL5280" s="1115"/>
      <c r="AM5280" s="1115"/>
      <c r="AN5280" s="1115"/>
      <c r="AO5280" s="1115"/>
      <c r="AP5280" s="1115"/>
      <c r="AQ5280" s="1115"/>
      <c r="AR5280" s="1115"/>
      <c r="AS5280" s="1117"/>
      <c r="AT5280" s="1075"/>
      <c r="AU5280" s="1193"/>
      <c r="AV5280" s="330"/>
      <c r="AW5280" s="331"/>
      <c r="AX5280" s="331"/>
      <c r="AY5280" s="331"/>
      <c r="AZ5280" s="331"/>
      <c r="BA5280" s="331"/>
      <c r="BB5280" s="331"/>
      <c r="BC5280" s="331"/>
      <c r="BD5280" s="331"/>
      <c r="BE5280" s="333"/>
      <c r="BF5280" s="330"/>
      <c r="BG5280" s="333"/>
      <c r="BH5280" s="1119"/>
      <c r="BI5280" s="319"/>
      <c r="BJ5280" s="319"/>
      <c r="BK5280" s="319"/>
      <c r="BL5280" s="319"/>
      <c r="BM5280" s="319"/>
      <c r="BN5280" s="319"/>
      <c r="BO5280" s="319"/>
      <c r="BP5280" s="953"/>
      <c r="BQ5280" s="319"/>
      <c r="BR5280" s="319"/>
      <c r="BS5280" s="330"/>
      <c r="BT5280" s="331"/>
      <c r="BU5280" s="920"/>
      <c r="BV5280" s="903"/>
      <c r="BW5280" s="908"/>
      <c r="BX5280" s="908"/>
      <c r="BY5280" s="331"/>
      <c r="BZ5280" s="331"/>
      <c r="CA5280" s="462"/>
      <c r="CB5280" s="319"/>
      <c r="CC5280" s="319"/>
      <c r="CD5280" s="319"/>
      <c r="CE5280" s="319"/>
      <c r="CF5280" s="319"/>
      <c r="CG5280" s="319"/>
      <c r="CH5280" s="318"/>
      <c r="CI5280" s="319"/>
      <c r="CJ5280" s="319"/>
      <c r="CK5280" s="342"/>
      <c r="CL5280" s="333"/>
      <c r="CM5280" s="1079"/>
      <c r="CN5280" s="1005"/>
      <c r="CO5280" s="1005"/>
      <c r="CP5280" s="1005"/>
    </row>
    <row r="5281">
      <c r="A5281" s="1257"/>
      <c r="B5281" s="1113"/>
      <c r="C5281" s="1107"/>
      <c r="D5281" s="103"/>
      <c r="E5281" s="1137"/>
      <c r="F5281" s="112"/>
      <c r="G5281" s="1110"/>
      <c r="H5281" s="1138"/>
      <c r="I5281" s="1138"/>
      <c r="J5281" s="1139"/>
      <c r="K5281" s="1111"/>
      <c r="L5281" s="1112"/>
      <c r="M5281" s="1113"/>
      <c r="N5281" s="110"/>
      <c r="O5281" s="1140"/>
      <c r="P5281" s="1115"/>
      <c r="Q5281" s="1116"/>
      <c r="R5281" s="1141"/>
      <c r="S5281" s="1113"/>
      <c r="T5281" s="1143"/>
      <c r="U5281" s="1108"/>
      <c r="V5281" s="1108"/>
      <c r="W5281" s="1108"/>
      <c r="X5281" s="1108"/>
      <c r="Y5281" s="1108"/>
      <c r="Z5281" s="1114"/>
      <c r="AA5281" s="1114"/>
      <c r="AB5281" s="1114"/>
      <c r="AC5281" s="1117"/>
      <c r="AD5281" s="1115"/>
      <c r="AE5281" s="1115"/>
      <c r="AF5281" s="1115"/>
      <c r="AG5281" s="1115"/>
      <c r="AH5281" s="1115"/>
      <c r="AI5281" s="1115"/>
      <c r="AJ5281" s="1117"/>
      <c r="AK5281" s="1118"/>
      <c r="AL5281" s="1115"/>
      <c r="AM5281" s="1115"/>
      <c r="AN5281" s="1115"/>
      <c r="AO5281" s="1115"/>
      <c r="AP5281" s="1115"/>
      <c r="AQ5281" s="1115"/>
      <c r="AR5281" s="1115"/>
      <c r="AS5281" s="1117"/>
      <c r="AT5281" s="1075"/>
      <c r="AU5281" s="1193"/>
      <c r="AV5281" s="330"/>
      <c r="AW5281" s="331"/>
      <c r="AX5281" s="331"/>
      <c r="AY5281" s="331"/>
      <c r="AZ5281" s="331"/>
      <c r="BA5281" s="331"/>
      <c r="BB5281" s="331"/>
      <c r="BC5281" s="331"/>
      <c r="BD5281" s="331"/>
      <c r="BE5281" s="333"/>
      <c r="BF5281" s="330"/>
      <c r="BG5281" s="333"/>
      <c r="BH5281" s="1119"/>
      <c r="BI5281" s="319"/>
      <c r="BJ5281" s="319"/>
      <c r="BK5281" s="319"/>
      <c r="BL5281" s="319"/>
      <c r="BM5281" s="319"/>
      <c r="BN5281" s="319"/>
      <c r="BO5281" s="319"/>
      <c r="BP5281" s="953"/>
      <c r="BQ5281" s="319"/>
      <c r="BR5281" s="319"/>
      <c r="BS5281" s="330"/>
      <c r="BT5281" s="331"/>
      <c r="BU5281" s="920"/>
      <c r="BV5281" s="903"/>
      <c r="BW5281" s="908"/>
      <c r="BX5281" s="908"/>
      <c r="BY5281" s="331"/>
      <c r="BZ5281" s="331"/>
      <c r="CA5281" s="462"/>
      <c r="CB5281" s="319"/>
      <c r="CC5281" s="319"/>
      <c r="CD5281" s="319"/>
      <c r="CE5281" s="319"/>
      <c r="CF5281" s="319"/>
      <c r="CG5281" s="319"/>
      <c r="CH5281" s="318"/>
      <c r="CI5281" s="319"/>
      <c r="CJ5281" s="319"/>
      <c r="CK5281" s="342"/>
      <c r="CL5281" s="333"/>
      <c r="CM5281" s="1079"/>
      <c r="CN5281" s="1005"/>
      <c r="CO5281" s="1005"/>
      <c r="CP5281" s="1005"/>
    </row>
    <row r="5282">
      <c r="A5282" s="1257"/>
      <c r="B5282" s="1113"/>
      <c r="C5282" s="1107"/>
      <c r="D5282" s="103"/>
      <c r="E5282" s="1137"/>
      <c r="F5282" s="112"/>
      <c r="G5282" s="1110"/>
      <c r="H5282" s="1138"/>
      <c r="I5282" s="1138"/>
      <c r="J5282" s="1139"/>
      <c r="K5282" s="1111"/>
      <c r="L5282" s="1112"/>
      <c r="M5282" s="1113"/>
      <c r="N5282" s="110"/>
      <c r="O5282" s="1140"/>
      <c r="P5282" s="1115"/>
      <c r="Q5282" s="1116"/>
      <c r="R5282" s="1141"/>
      <c r="S5282" s="1113"/>
      <c r="T5282" s="1143"/>
      <c r="U5282" s="1108"/>
      <c r="V5282" s="1108"/>
      <c r="W5282" s="1108"/>
      <c r="X5282" s="1108"/>
      <c r="Y5282" s="1108"/>
      <c r="Z5282" s="1114"/>
      <c r="AA5282" s="1114"/>
      <c r="AB5282" s="1114"/>
      <c r="AC5282" s="1117"/>
      <c r="AD5282" s="1115"/>
      <c r="AE5282" s="1115"/>
      <c r="AF5282" s="1115"/>
      <c r="AG5282" s="1115"/>
      <c r="AH5282" s="1115"/>
      <c r="AI5282" s="1115"/>
      <c r="AJ5282" s="1117"/>
      <c r="AK5282" s="1118"/>
      <c r="AL5282" s="1115"/>
      <c r="AM5282" s="1115"/>
      <c r="AN5282" s="1115"/>
      <c r="AO5282" s="1115"/>
      <c r="AP5282" s="1115"/>
      <c r="AQ5282" s="1115"/>
      <c r="AR5282" s="1115"/>
      <c r="AS5282" s="1117"/>
      <c r="AT5282" s="1075"/>
      <c r="AU5282" s="1193"/>
      <c r="AV5282" s="330"/>
      <c r="AW5282" s="331"/>
      <c r="AX5282" s="331"/>
      <c r="AY5282" s="331"/>
      <c r="AZ5282" s="331"/>
      <c r="BA5282" s="331"/>
      <c r="BB5282" s="331"/>
      <c r="BC5282" s="331"/>
      <c r="BD5282" s="331"/>
      <c r="BE5282" s="333"/>
      <c r="BF5282" s="330"/>
      <c r="BG5282" s="333"/>
      <c r="BH5282" s="1119"/>
      <c r="BI5282" s="319"/>
      <c r="BJ5282" s="319"/>
      <c r="BK5282" s="319"/>
      <c r="BL5282" s="319"/>
      <c r="BM5282" s="319"/>
      <c r="BN5282" s="319"/>
      <c r="BO5282" s="319"/>
      <c r="BP5282" s="953"/>
      <c r="BQ5282" s="319"/>
      <c r="BR5282" s="319"/>
      <c r="BS5282" s="330"/>
      <c r="BT5282" s="331"/>
      <c r="BU5282" s="920"/>
      <c r="BV5282" s="903"/>
      <c r="BW5282" s="908"/>
      <c r="BX5282" s="908"/>
      <c r="BY5282" s="331"/>
      <c r="BZ5282" s="331"/>
      <c r="CA5282" s="462"/>
      <c r="CB5282" s="319"/>
      <c r="CC5282" s="319"/>
      <c r="CD5282" s="319"/>
      <c r="CE5282" s="319"/>
      <c r="CF5282" s="319"/>
      <c r="CG5282" s="319"/>
      <c r="CH5282" s="318"/>
      <c r="CI5282" s="319"/>
      <c r="CJ5282" s="319"/>
      <c r="CK5282" s="342"/>
      <c r="CL5282" s="333"/>
      <c r="CM5282" s="1079"/>
      <c r="CN5282" s="1005"/>
      <c r="CO5282" s="1005"/>
      <c r="CP5282" s="1005"/>
    </row>
    <row r="5283">
      <c r="A5283" s="1257"/>
      <c r="B5283" s="1113"/>
      <c r="C5283" s="1107"/>
      <c r="D5283" s="103"/>
      <c r="E5283" s="1137"/>
      <c r="F5283" s="112"/>
      <c r="G5283" s="1110"/>
      <c r="H5283" s="1138"/>
      <c r="I5283" s="1138"/>
      <c r="J5283" s="1139"/>
      <c r="K5283" s="1111"/>
      <c r="L5283" s="1112"/>
      <c r="M5283" s="1113"/>
      <c r="N5283" s="110"/>
      <c r="O5283" s="1140"/>
      <c r="P5283" s="1115"/>
      <c r="Q5283" s="1116"/>
      <c r="R5283" s="1141"/>
      <c r="S5283" s="1113"/>
      <c r="T5283" s="1143"/>
      <c r="U5283" s="1108"/>
      <c r="V5283" s="1108"/>
      <c r="W5283" s="1108"/>
      <c r="X5283" s="1108"/>
      <c r="Y5283" s="1108"/>
      <c r="Z5283" s="1114"/>
      <c r="AA5283" s="1114"/>
      <c r="AB5283" s="1114"/>
      <c r="AC5283" s="1117"/>
      <c r="AD5283" s="1115"/>
      <c r="AE5283" s="1115"/>
      <c r="AF5283" s="1115"/>
      <c r="AG5283" s="1115"/>
      <c r="AH5283" s="1115"/>
      <c r="AI5283" s="1115"/>
      <c r="AJ5283" s="1117"/>
      <c r="AK5283" s="1118"/>
      <c r="AL5283" s="1115"/>
      <c r="AM5283" s="1115"/>
      <c r="AN5283" s="1115"/>
      <c r="AO5283" s="1115"/>
      <c r="AP5283" s="1115"/>
      <c r="AQ5283" s="1115"/>
      <c r="AR5283" s="1115"/>
      <c r="AS5283" s="1117"/>
      <c r="AT5283" s="1075"/>
      <c r="AU5283" s="1193"/>
      <c r="AV5283" s="330"/>
      <c r="AW5283" s="331"/>
      <c r="AX5283" s="331"/>
      <c r="AY5283" s="331"/>
      <c r="AZ5283" s="331"/>
      <c r="BA5283" s="331"/>
      <c r="BB5283" s="331"/>
      <c r="BC5283" s="331"/>
      <c r="BD5283" s="331"/>
      <c r="BE5283" s="333"/>
      <c r="BF5283" s="330"/>
      <c r="BG5283" s="333"/>
      <c r="BH5283" s="1119"/>
      <c r="BI5283" s="319"/>
      <c r="BJ5283" s="319"/>
      <c r="BK5283" s="319"/>
      <c r="BL5283" s="319"/>
      <c r="BM5283" s="319"/>
      <c r="BN5283" s="319"/>
      <c r="BO5283" s="319"/>
      <c r="BP5283" s="953"/>
      <c r="BQ5283" s="319"/>
      <c r="BR5283" s="319"/>
      <c r="BS5283" s="330"/>
      <c r="BT5283" s="331"/>
      <c r="BU5283" s="920"/>
      <c r="BV5283" s="903"/>
      <c r="BW5283" s="908"/>
      <c r="BX5283" s="908"/>
      <c r="BY5283" s="331"/>
      <c r="BZ5283" s="331"/>
      <c r="CA5283" s="462"/>
      <c r="CB5283" s="319"/>
      <c r="CC5283" s="319"/>
      <c r="CD5283" s="319"/>
      <c r="CE5283" s="319"/>
      <c r="CF5283" s="319"/>
      <c r="CG5283" s="319"/>
      <c r="CH5283" s="318"/>
      <c r="CI5283" s="319"/>
      <c r="CJ5283" s="319"/>
      <c r="CK5283" s="342"/>
      <c r="CL5283" s="333"/>
      <c r="CM5283" s="1079"/>
      <c r="CN5283" s="1005"/>
      <c r="CO5283" s="1005"/>
      <c r="CP5283" s="1005"/>
    </row>
    <row r="5284">
      <c r="A5284" s="1257"/>
      <c r="B5284" s="1113"/>
      <c r="C5284" s="1107"/>
      <c r="D5284" s="103"/>
      <c r="E5284" s="1137"/>
      <c r="F5284" s="112"/>
      <c r="G5284" s="1110"/>
      <c r="H5284" s="1138"/>
      <c r="I5284" s="1138"/>
      <c r="J5284" s="1139"/>
      <c r="K5284" s="1111"/>
      <c r="L5284" s="1112"/>
      <c r="M5284" s="1113"/>
      <c r="N5284" s="110"/>
      <c r="O5284" s="1140"/>
      <c r="P5284" s="1115"/>
      <c r="Q5284" s="1116"/>
      <c r="R5284" s="1141"/>
      <c r="S5284" s="1113"/>
      <c r="T5284" s="1143"/>
      <c r="U5284" s="1108"/>
      <c r="V5284" s="1108"/>
      <c r="W5284" s="1108"/>
      <c r="X5284" s="1108"/>
      <c r="Y5284" s="1108"/>
      <c r="Z5284" s="1114"/>
      <c r="AA5284" s="1114"/>
      <c r="AB5284" s="1114"/>
      <c r="AC5284" s="1117"/>
      <c r="AD5284" s="1115"/>
      <c r="AE5284" s="1115"/>
      <c r="AF5284" s="1115"/>
      <c r="AG5284" s="1115"/>
      <c r="AH5284" s="1115"/>
      <c r="AI5284" s="1115"/>
      <c r="AJ5284" s="1117"/>
      <c r="AK5284" s="1118"/>
      <c r="AL5284" s="1115"/>
      <c r="AM5284" s="1115"/>
      <c r="AN5284" s="1115"/>
      <c r="AO5284" s="1115"/>
      <c r="AP5284" s="1115"/>
      <c r="AQ5284" s="1115"/>
      <c r="AR5284" s="1115"/>
      <c r="AS5284" s="1117"/>
      <c r="AT5284" s="1075"/>
      <c r="AU5284" s="1193"/>
      <c r="AV5284" s="330"/>
      <c r="AW5284" s="331"/>
      <c r="AX5284" s="331"/>
      <c r="AY5284" s="331"/>
      <c r="AZ5284" s="331"/>
      <c r="BA5284" s="331"/>
      <c r="BB5284" s="331"/>
      <c r="BC5284" s="331"/>
      <c r="BD5284" s="331"/>
      <c r="BE5284" s="333"/>
      <c r="BF5284" s="330"/>
      <c r="BG5284" s="333"/>
      <c r="BH5284" s="1119"/>
      <c r="BI5284" s="319"/>
      <c r="BJ5284" s="319"/>
      <c r="BK5284" s="319"/>
      <c r="BL5284" s="319"/>
      <c r="BM5284" s="319"/>
      <c r="BN5284" s="319"/>
      <c r="BO5284" s="319"/>
      <c r="BP5284" s="953"/>
      <c r="BQ5284" s="319"/>
      <c r="BR5284" s="319"/>
      <c r="BS5284" s="330"/>
      <c r="BT5284" s="331"/>
      <c r="BU5284" s="920"/>
      <c r="BV5284" s="903"/>
      <c r="BW5284" s="908"/>
      <c r="BX5284" s="908"/>
      <c r="BY5284" s="331"/>
      <c r="BZ5284" s="331"/>
      <c r="CA5284" s="462"/>
      <c r="CB5284" s="319"/>
      <c r="CC5284" s="319"/>
      <c r="CD5284" s="319"/>
      <c r="CE5284" s="319"/>
      <c r="CF5284" s="319"/>
      <c r="CG5284" s="319"/>
      <c r="CH5284" s="318"/>
      <c r="CI5284" s="319"/>
      <c r="CJ5284" s="319"/>
      <c r="CK5284" s="342"/>
      <c r="CL5284" s="333"/>
      <c r="CM5284" s="1079"/>
      <c r="CN5284" s="1005"/>
      <c r="CO5284" s="1005"/>
      <c r="CP5284" s="1005"/>
    </row>
    <row r="5285">
      <c r="A5285" s="1257"/>
      <c r="B5285" s="1113"/>
      <c r="C5285" s="1107"/>
      <c r="D5285" s="103"/>
      <c r="E5285" s="1137"/>
      <c r="F5285" s="112"/>
      <c r="G5285" s="1110"/>
      <c r="H5285" s="1138"/>
      <c r="I5285" s="1138"/>
      <c r="J5285" s="1139"/>
      <c r="K5285" s="1111"/>
      <c r="L5285" s="1112"/>
      <c r="M5285" s="1113"/>
      <c r="N5285" s="110"/>
      <c r="O5285" s="1140"/>
      <c r="P5285" s="1115"/>
      <c r="Q5285" s="1116"/>
      <c r="R5285" s="1141"/>
      <c r="S5285" s="1113"/>
      <c r="T5285" s="1143"/>
      <c r="U5285" s="1108"/>
      <c r="V5285" s="1108"/>
      <c r="W5285" s="1108"/>
      <c r="X5285" s="1108"/>
      <c r="Y5285" s="1108"/>
      <c r="Z5285" s="1114"/>
      <c r="AA5285" s="1114"/>
      <c r="AB5285" s="1114"/>
      <c r="AC5285" s="1117"/>
      <c r="AD5285" s="1115"/>
      <c r="AE5285" s="1115"/>
      <c r="AF5285" s="1115"/>
      <c r="AG5285" s="1115"/>
      <c r="AH5285" s="1115"/>
      <c r="AI5285" s="1115"/>
      <c r="AJ5285" s="1117"/>
      <c r="AK5285" s="1118"/>
      <c r="AL5285" s="1115"/>
      <c r="AM5285" s="1115"/>
      <c r="AN5285" s="1115"/>
      <c r="AO5285" s="1115"/>
      <c r="AP5285" s="1115"/>
      <c r="AQ5285" s="1115"/>
      <c r="AR5285" s="1115"/>
      <c r="AS5285" s="1117"/>
      <c r="AT5285" s="1075"/>
      <c r="AU5285" s="1193"/>
      <c r="AV5285" s="330"/>
      <c r="AW5285" s="331"/>
      <c r="AX5285" s="331"/>
      <c r="AY5285" s="331"/>
      <c r="AZ5285" s="331"/>
      <c r="BA5285" s="331"/>
      <c r="BB5285" s="331"/>
      <c r="BC5285" s="331"/>
      <c r="BD5285" s="331"/>
      <c r="BE5285" s="333"/>
      <c r="BF5285" s="330"/>
      <c r="BG5285" s="333"/>
      <c r="BH5285" s="1119"/>
      <c r="BI5285" s="319"/>
      <c r="BJ5285" s="319"/>
      <c r="BK5285" s="319"/>
      <c r="BL5285" s="319"/>
      <c r="BM5285" s="319"/>
      <c r="BN5285" s="319"/>
      <c r="BO5285" s="319"/>
      <c r="BP5285" s="953"/>
      <c r="BQ5285" s="319"/>
      <c r="BR5285" s="319"/>
      <c r="BS5285" s="330"/>
      <c r="BT5285" s="331"/>
      <c r="BU5285" s="920"/>
      <c r="BV5285" s="903"/>
      <c r="BW5285" s="908"/>
      <c r="BX5285" s="908"/>
      <c r="BY5285" s="331"/>
      <c r="BZ5285" s="331"/>
      <c r="CA5285" s="462"/>
      <c r="CB5285" s="319"/>
      <c r="CC5285" s="319"/>
      <c r="CD5285" s="319"/>
      <c r="CE5285" s="319"/>
      <c r="CF5285" s="319"/>
      <c r="CG5285" s="319"/>
      <c r="CH5285" s="318"/>
      <c r="CI5285" s="319"/>
      <c r="CJ5285" s="319"/>
      <c r="CK5285" s="342"/>
      <c r="CL5285" s="333"/>
      <c r="CM5285" s="1079"/>
      <c r="CN5285" s="1005"/>
      <c r="CO5285" s="1005"/>
      <c r="CP5285" s="1005"/>
    </row>
    <row r="5286">
      <c r="A5286" s="1257"/>
      <c r="B5286" s="1113"/>
      <c r="C5286" s="1107"/>
      <c r="D5286" s="103"/>
      <c r="E5286" s="1137"/>
      <c r="F5286" s="112"/>
      <c r="G5286" s="1110"/>
      <c r="H5286" s="1138"/>
      <c r="I5286" s="1138"/>
      <c r="J5286" s="1139"/>
      <c r="K5286" s="1111"/>
      <c r="L5286" s="1112"/>
      <c r="M5286" s="1113"/>
      <c r="N5286" s="110"/>
      <c r="O5286" s="1140"/>
      <c r="P5286" s="1115"/>
      <c r="Q5286" s="1116"/>
      <c r="R5286" s="1141"/>
      <c r="S5286" s="1113"/>
      <c r="T5286" s="1143"/>
      <c r="U5286" s="1108"/>
      <c r="V5286" s="1108"/>
      <c r="W5286" s="1108"/>
      <c r="X5286" s="1108"/>
      <c r="Y5286" s="1108"/>
      <c r="Z5286" s="1114"/>
      <c r="AA5286" s="1114"/>
      <c r="AB5286" s="1114"/>
      <c r="AC5286" s="1117"/>
      <c r="AD5286" s="1115"/>
      <c r="AE5286" s="1115"/>
      <c r="AF5286" s="1115"/>
      <c r="AG5286" s="1115"/>
      <c r="AH5286" s="1115"/>
      <c r="AI5286" s="1115"/>
      <c r="AJ5286" s="1117"/>
      <c r="AK5286" s="1118"/>
      <c r="AL5286" s="1115"/>
      <c r="AM5286" s="1115"/>
      <c r="AN5286" s="1115"/>
      <c r="AO5286" s="1115"/>
      <c r="AP5286" s="1115"/>
      <c r="AQ5286" s="1115"/>
      <c r="AR5286" s="1115"/>
      <c r="AS5286" s="1117"/>
      <c r="AT5286" s="1075"/>
      <c r="AU5286" s="1193"/>
      <c r="AV5286" s="330"/>
      <c r="AW5286" s="331"/>
      <c r="AX5286" s="331"/>
      <c r="AY5286" s="331"/>
      <c r="AZ5286" s="331"/>
      <c r="BA5286" s="331"/>
      <c r="BB5286" s="331"/>
      <c r="BC5286" s="331"/>
      <c r="BD5286" s="331"/>
      <c r="BE5286" s="333"/>
      <c r="BF5286" s="330"/>
      <c r="BG5286" s="333"/>
      <c r="BH5286" s="1119"/>
      <c r="BI5286" s="319"/>
      <c r="BJ5286" s="319"/>
      <c r="BK5286" s="319"/>
      <c r="BL5286" s="319"/>
      <c r="BM5286" s="319"/>
      <c r="BN5286" s="319"/>
      <c r="BO5286" s="319"/>
      <c r="BP5286" s="953"/>
      <c r="BQ5286" s="319"/>
      <c r="BR5286" s="319"/>
      <c r="BS5286" s="330"/>
      <c r="BT5286" s="331"/>
      <c r="BU5286" s="920"/>
      <c r="BV5286" s="903"/>
      <c r="BW5286" s="908"/>
      <c r="BX5286" s="908"/>
      <c r="BY5286" s="331"/>
      <c r="BZ5286" s="331"/>
      <c r="CA5286" s="462"/>
      <c r="CB5286" s="319"/>
      <c r="CC5286" s="319"/>
      <c r="CD5286" s="319"/>
      <c r="CE5286" s="319"/>
      <c r="CF5286" s="319"/>
      <c r="CG5286" s="319"/>
      <c r="CH5286" s="318"/>
      <c r="CI5286" s="319"/>
      <c r="CJ5286" s="319"/>
      <c r="CK5286" s="342"/>
      <c r="CL5286" s="333"/>
      <c r="CM5286" s="1079"/>
      <c r="CN5286" s="1005"/>
      <c r="CO5286" s="1005"/>
      <c r="CP5286" s="1005"/>
    </row>
    <row r="5287">
      <c r="A5287" s="1257"/>
      <c r="B5287" s="1113"/>
      <c r="C5287" s="1107"/>
      <c r="D5287" s="103"/>
      <c r="E5287" s="1137"/>
      <c r="F5287" s="112"/>
      <c r="G5287" s="1110"/>
      <c r="H5287" s="1138"/>
      <c r="I5287" s="1138"/>
      <c r="J5287" s="1139"/>
      <c r="K5287" s="1111"/>
      <c r="L5287" s="1112"/>
      <c r="M5287" s="1113"/>
      <c r="N5287" s="110"/>
      <c r="O5287" s="1140"/>
      <c r="P5287" s="1115"/>
      <c r="Q5287" s="1116"/>
      <c r="R5287" s="1141"/>
      <c r="S5287" s="1113"/>
      <c r="T5287" s="1143"/>
      <c r="U5287" s="1108"/>
      <c r="V5287" s="1108"/>
      <c r="W5287" s="1108"/>
      <c r="X5287" s="1108"/>
      <c r="Y5287" s="1108"/>
      <c r="Z5287" s="1114"/>
      <c r="AA5287" s="1114"/>
      <c r="AB5287" s="1114"/>
      <c r="AC5287" s="1117"/>
      <c r="AD5287" s="1115"/>
      <c r="AE5287" s="1115"/>
      <c r="AF5287" s="1115"/>
      <c r="AG5287" s="1115"/>
      <c r="AH5287" s="1115"/>
      <c r="AI5287" s="1115"/>
      <c r="AJ5287" s="1117"/>
      <c r="AK5287" s="1118"/>
      <c r="AL5287" s="1115"/>
      <c r="AM5287" s="1115"/>
      <c r="AN5287" s="1115"/>
      <c r="AO5287" s="1115"/>
      <c r="AP5287" s="1115"/>
      <c r="AQ5287" s="1115"/>
      <c r="AR5287" s="1115"/>
      <c r="AS5287" s="1117"/>
      <c r="AT5287" s="1075"/>
      <c r="AU5287" s="1193"/>
      <c r="AV5287" s="330"/>
      <c r="AW5287" s="331"/>
      <c r="AX5287" s="331"/>
      <c r="AY5287" s="331"/>
      <c r="AZ5287" s="331"/>
      <c r="BA5287" s="331"/>
      <c r="BB5287" s="331"/>
      <c r="BC5287" s="331"/>
      <c r="BD5287" s="331"/>
      <c r="BE5287" s="333"/>
      <c r="BF5287" s="330"/>
      <c r="BG5287" s="333"/>
      <c r="BH5287" s="1119"/>
      <c r="BI5287" s="319"/>
      <c r="BJ5287" s="319"/>
      <c r="BK5287" s="319"/>
      <c r="BL5287" s="319"/>
      <c r="BM5287" s="319"/>
      <c r="BN5287" s="319"/>
      <c r="BO5287" s="319"/>
      <c r="BP5287" s="953"/>
      <c r="BQ5287" s="319"/>
      <c r="BR5287" s="319"/>
      <c r="BS5287" s="330"/>
      <c r="BT5287" s="331"/>
      <c r="BU5287" s="920"/>
      <c r="BV5287" s="903"/>
      <c r="BW5287" s="908"/>
      <c r="BX5287" s="908"/>
      <c r="BY5287" s="331"/>
      <c r="BZ5287" s="331"/>
      <c r="CA5287" s="462"/>
      <c r="CB5287" s="319"/>
      <c r="CC5287" s="319"/>
      <c r="CD5287" s="319"/>
      <c r="CE5287" s="319"/>
      <c r="CF5287" s="319"/>
      <c r="CG5287" s="319"/>
      <c r="CH5287" s="318"/>
      <c r="CI5287" s="319"/>
      <c r="CJ5287" s="319"/>
      <c r="CK5287" s="342"/>
      <c r="CL5287" s="333"/>
      <c r="CM5287" s="1079"/>
      <c r="CN5287" s="1005"/>
      <c r="CO5287" s="1005"/>
      <c r="CP5287" s="1005"/>
    </row>
    <row r="5288">
      <c r="A5288" s="1257"/>
      <c r="B5288" s="1113"/>
      <c r="C5288" s="1107"/>
      <c r="D5288" s="103"/>
      <c r="E5288" s="1137"/>
      <c r="F5288" s="112"/>
      <c r="G5288" s="1110"/>
      <c r="H5288" s="1138"/>
      <c r="I5288" s="1138"/>
      <c r="J5288" s="1139"/>
      <c r="K5288" s="1111"/>
      <c r="L5288" s="1112"/>
      <c r="M5288" s="1113"/>
      <c r="N5288" s="110"/>
      <c r="O5288" s="1140"/>
      <c r="P5288" s="1115"/>
      <c r="Q5288" s="1116"/>
      <c r="R5288" s="1141"/>
      <c r="S5288" s="1113"/>
      <c r="T5288" s="1143"/>
      <c r="U5288" s="1108"/>
      <c r="V5288" s="1108"/>
      <c r="W5288" s="1108"/>
      <c r="X5288" s="1108"/>
      <c r="Y5288" s="1108"/>
      <c r="Z5288" s="1114"/>
      <c r="AA5288" s="1114"/>
      <c r="AB5288" s="1114"/>
      <c r="AC5288" s="1117"/>
      <c r="AD5288" s="1115"/>
      <c r="AE5288" s="1115"/>
      <c r="AF5288" s="1115"/>
      <c r="AG5288" s="1115"/>
      <c r="AH5288" s="1115"/>
      <c r="AI5288" s="1115"/>
      <c r="AJ5288" s="1117"/>
      <c r="AK5288" s="1118"/>
      <c r="AL5288" s="1115"/>
      <c r="AM5288" s="1115"/>
      <c r="AN5288" s="1115"/>
      <c r="AO5288" s="1115"/>
      <c r="AP5288" s="1115"/>
      <c r="AQ5288" s="1115"/>
      <c r="AR5288" s="1115"/>
      <c r="AS5288" s="1117"/>
      <c r="AT5288" s="1075"/>
      <c r="AU5288" s="1193"/>
      <c r="AV5288" s="330"/>
      <c r="AW5288" s="331"/>
      <c r="AX5288" s="331"/>
      <c r="AY5288" s="331"/>
      <c r="AZ5288" s="331"/>
      <c r="BA5288" s="331"/>
      <c r="BB5288" s="331"/>
      <c r="BC5288" s="331"/>
      <c r="BD5288" s="331"/>
      <c r="BE5288" s="333"/>
      <c r="BF5288" s="330"/>
      <c r="BG5288" s="333"/>
      <c r="BH5288" s="1119"/>
      <c r="BI5288" s="319"/>
      <c r="BJ5288" s="319"/>
      <c r="BK5288" s="319"/>
      <c r="BL5288" s="319"/>
      <c r="BM5288" s="319"/>
      <c r="BN5288" s="319"/>
      <c r="BO5288" s="319"/>
      <c r="BP5288" s="953"/>
      <c r="BQ5288" s="319"/>
      <c r="BR5288" s="319"/>
      <c r="BS5288" s="330"/>
      <c r="BT5288" s="331"/>
      <c r="BU5288" s="920"/>
      <c r="BV5288" s="903"/>
      <c r="BW5288" s="908"/>
      <c r="BX5288" s="908"/>
      <c r="BY5288" s="331"/>
      <c r="BZ5288" s="331"/>
      <c r="CA5288" s="462"/>
      <c r="CB5288" s="319"/>
      <c r="CC5288" s="319"/>
      <c r="CD5288" s="319"/>
      <c r="CE5288" s="319"/>
      <c r="CF5288" s="319"/>
      <c r="CG5288" s="319"/>
      <c r="CH5288" s="318"/>
      <c r="CI5288" s="319"/>
      <c r="CJ5288" s="319"/>
      <c r="CK5288" s="342"/>
      <c r="CL5288" s="333"/>
      <c r="CM5288" s="1079"/>
      <c r="CN5288" s="1005"/>
      <c r="CO5288" s="1005"/>
      <c r="CP5288" s="1005"/>
    </row>
    <row r="5289">
      <c r="A5289" s="1257"/>
      <c r="B5289" s="1113"/>
      <c r="C5289" s="1107"/>
      <c r="D5289" s="103"/>
      <c r="E5289" s="1137"/>
      <c r="F5289" s="112"/>
      <c r="G5289" s="1110"/>
      <c r="H5289" s="1138"/>
      <c r="I5289" s="1138"/>
      <c r="J5289" s="1139"/>
      <c r="K5289" s="1111"/>
      <c r="L5289" s="1112"/>
      <c r="M5289" s="1113"/>
      <c r="N5289" s="110"/>
      <c r="O5289" s="1140"/>
      <c r="P5289" s="1115"/>
      <c r="Q5289" s="1116"/>
      <c r="R5289" s="1141"/>
      <c r="S5289" s="1113"/>
      <c r="T5289" s="1143"/>
      <c r="U5289" s="1108"/>
      <c r="V5289" s="1108"/>
      <c r="W5289" s="1108"/>
      <c r="X5289" s="1108"/>
      <c r="Y5289" s="1108"/>
      <c r="Z5289" s="1114"/>
      <c r="AA5289" s="1114"/>
      <c r="AB5289" s="1114"/>
      <c r="AC5289" s="1117"/>
      <c r="AD5289" s="1115"/>
      <c r="AE5289" s="1115"/>
      <c r="AF5289" s="1115"/>
      <c r="AG5289" s="1115"/>
      <c r="AH5289" s="1115"/>
      <c r="AI5289" s="1115"/>
      <c r="AJ5289" s="1117"/>
      <c r="AK5289" s="1118"/>
      <c r="AL5289" s="1115"/>
      <c r="AM5289" s="1115"/>
      <c r="AN5289" s="1115"/>
      <c r="AO5289" s="1115"/>
      <c r="AP5289" s="1115"/>
      <c r="AQ5289" s="1115"/>
      <c r="AR5289" s="1115"/>
      <c r="AS5289" s="1117"/>
      <c r="AT5289" s="1075"/>
      <c r="AU5289" s="1193"/>
      <c r="AV5289" s="330"/>
      <c r="AW5289" s="331"/>
      <c r="AX5289" s="331"/>
      <c r="AY5289" s="331"/>
      <c r="AZ5289" s="331"/>
      <c r="BA5289" s="331"/>
      <c r="BB5289" s="331"/>
      <c r="BC5289" s="331"/>
      <c r="BD5289" s="331"/>
      <c r="BE5289" s="333"/>
      <c r="BF5289" s="330"/>
      <c r="BG5289" s="333"/>
      <c r="BH5289" s="1119"/>
      <c r="BI5289" s="319"/>
      <c r="BJ5289" s="319"/>
      <c r="BK5289" s="319"/>
      <c r="BL5289" s="319"/>
      <c r="BM5289" s="319"/>
      <c r="BN5289" s="319"/>
      <c r="BO5289" s="319"/>
      <c r="BP5289" s="953"/>
      <c r="BQ5289" s="319"/>
      <c r="BR5289" s="319"/>
      <c r="BS5289" s="330"/>
      <c r="BT5289" s="331"/>
      <c r="BU5289" s="920"/>
      <c r="BV5289" s="903"/>
      <c r="BW5289" s="908"/>
      <c r="BX5289" s="908"/>
      <c r="BY5289" s="331"/>
      <c r="BZ5289" s="331"/>
      <c r="CA5289" s="462"/>
      <c r="CB5289" s="319"/>
      <c r="CC5289" s="319"/>
      <c r="CD5289" s="319"/>
      <c r="CE5289" s="319"/>
      <c r="CF5289" s="319"/>
      <c r="CG5289" s="319"/>
      <c r="CH5289" s="318"/>
      <c r="CI5289" s="319"/>
      <c r="CJ5289" s="319"/>
      <c r="CK5289" s="342"/>
      <c r="CL5289" s="333"/>
      <c r="CM5289" s="1079"/>
      <c r="CN5289" s="1005"/>
      <c r="CO5289" s="1005"/>
      <c r="CP5289" s="1005"/>
    </row>
    <row r="5290">
      <c r="A5290" s="1257"/>
      <c r="B5290" s="1113"/>
      <c r="C5290" s="1107"/>
      <c r="D5290" s="103"/>
      <c r="E5290" s="1137"/>
      <c r="F5290" s="112"/>
      <c r="G5290" s="1110"/>
      <c r="H5290" s="1138"/>
      <c r="I5290" s="1138"/>
      <c r="J5290" s="1139"/>
      <c r="K5290" s="1111"/>
      <c r="L5290" s="1112"/>
      <c r="M5290" s="1113"/>
      <c r="N5290" s="110"/>
      <c r="O5290" s="1140"/>
      <c r="P5290" s="1115"/>
      <c r="Q5290" s="1116"/>
      <c r="R5290" s="1141"/>
      <c r="S5290" s="1113"/>
      <c r="T5290" s="1143"/>
      <c r="U5290" s="1108"/>
      <c r="V5290" s="1108"/>
      <c r="W5290" s="1108"/>
      <c r="X5290" s="1108"/>
      <c r="Y5290" s="1108"/>
      <c r="Z5290" s="1114"/>
      <c r="AA5290" s="1114"/>
      <c r="AB5290" s="1114"/>
      <c r="AC5290" s="1117"/>
      <c r="AD5290" s="1115"/>
      <c r="AE5290" s="1115"/>
      <c r="AF5290" s="1115"/>
      <c r="AG5290" s="1115"/>
      <c r="AH5290" s="1115"/>
      <c r="AI5290" s="1115"/>
      <c r="AJ5290" s="1117"/>
      <c r="AK5290" s="1118"/>
      <c r="AL5290" s="1115"/>
      <c r="AM5290" s="1115"/>
      <c r="AN5290" s="1115"/>
      <c r="AO5290" s="1115"/>
      <c r="AP5290" s="1115"/>
      <c r="AQ5290" s="1115"/>
      <c r="AR5290" s="1115"/>
      <c r="AS5290" s="1117"/>
      <c r="AT5290" s="1075"/>
      <c r="AU5290" s="1193"/>
      <c r="AV5290" s="330"/>
      <c r="AW5290" s="331"/>
      <c r="AX5290" s="331"/>
      <c r="AY5290" s="331"/>
      <c r="AZ5290" s="331"/>
      <c r="BA5290" s="331"/>
      <c r="BB5290" s="331"/>
      <c r="BC5290" s="331"/>
      <c r="BD5290" s="331"/>
      <c r="BE5290" s="333"/>
      <c r="BF5290" s="330"/>
      <c r="BG5290" s="333"/>
      <c r="BH5290" s="1119"/>
      <c r="BI5290" s="319"/>
      <c r="BJ5290" s="319"/>
      <c r="BK5290" s="319"/>
      <c r="BL5290" s="319"/>
      <c r="BM5290" s="319"/>
      <c r="BN5290" s="319"/>
      <c r="BO5290" s="319"/>
      <c r="BP5290" s="953"/>
      <c r="BQ5290" s="319"/>
      <c r="BR5290" s="319"/>
      <c r="BS5290" s="330"/>
      <c r="BT5290" s="331"/>
      <c r="BU5290" s="920"/>
      <c r="BV5290" s="903"/>
      <c r="BW5290" s="908"/>
      <c r="BX5290" s="908"/>
      <c r="BY5290" s="331"/>
      <c r="BZ5290" s="331"/>
      <c r="CA5290" s="462"/>
      <c r="CB5290" s="319"/>
      <c r="CC5290" s="319"/>
      <c r="CD5290" s="319"/>
      <c r="CE5290" s="319"/>
      <c r="CF5290" s="319"/>
      <c r="CG5290" s="319"/>
      <c r="CH5290" s="318"/>
      <c r="CI5290" s="319"/>
      <c r="CJ5290" s="319"/>
      <c r="CK5290" s="342"/>
      <c r="CL5290" s="333"/>
      <c r="CM5290" s="1079"/>
      <c r="CN5290" s="1005"/>
      <c r="CO5290" s="1005"/>
      <c r="CP5290" s="1005"/>
    </row>
    <row r="5291">
      <c r="A5291" s="1257"/>
      <c r="B5291" s="1113"/>
      <c r="C5291" s="1107"/>
      <c r="D5291" s="103"/>
      <c r="E5291" s="1137"/>
      <c r="F5291" s="112"/>
      <c r="G5291" s="1110"/>
      <c r="H5291" s="1138"/>
      <c r="I5291" s="1138"/>
      <c r="J5291" s="1139"/>
      <c r="K5291" s="1111"/>
      <c r="L5291" s="1112"/>
      <c r="M5291" s="1113"/>
      <c r="N5291" s="110"/>
      <c r="O5291" s="1140"/>
      <c r="P5291" s="1115"/>
      <c r="Q5291" s="1116"/>
      <c r="R5291" s="1141"/>
      <c r="S5291" s="1113"/>
      <c r="T5291" s="1143"/>
      <c r="U5291" s="1108"/>
      <c r="V5291" s="1108"/>
      <c r="W5291" s="1108"/>
      <c r="X5291" s="1108"/>
      <c r="Y5291" s="1108"/>
      <c r="Z5291" s="1114"/>
      <c r="AA5291" s="1114"/>
      <c r="AB5291" s="1114"/>
      <c r="AC5291" s="1117"/>
      <c r="AD5291" s="1115"/>
      <c r="AE5291" s="1115"/>
      <c r="AF5291" s="1115"/>
      <c r="AG5291" s="1115"/>
      <c r="AH5291" s="1115"/>
      <c r="AI5291" s="1115"/>
      <c r="AJ5291" s="1117"/>
      <c r="AK5291" s="1118"/>
      <c r="AL5291" s="1115"/>
      <c r="AM5291" s="1115"/>
      <c r="AN5291" s="1115"/>
      <c r="AO5291" s="1115"/>
      <c r="AP5291" s="1115"/>
      <c r="AQ5291" s="1115"/>
      <c r="AR5291" s="1115"/>
      <c r="AS5291" s="1117"/>
      <c r="AT5291" s="1075"/>
      <c r="AU5291" s="1193"/>
      <c r="AV5291" s="330"/>
      <c r="AW5291" s="331"/>
      <c r="AX5291" s="331"/>
      <c r="AY5291" s="331"/>
      <c r="AZ5291" s="331"/>
      <c r="BA5291" s="331"/>
      <c r="BB5291" s="331"/>
      <c r="BC5291" s="331"/>
      <c r="BD5291" s="331"/>
      <c r="BE5291" s="333"/>
      <c r="BF5291" s="330"/>
      <c r="BG5291" s="333"/>
      <c r="BH5291" s="1119"/>
      <c r="BI5291" s="319"/>
      <c r="BJ5291" s="319"/>
      <c r="BK5291" s="319"/>
      <c r="BL5291" s="319"/>
      <c r="BM5291" s="319"/>
      <c r="BN5291" s="319"/>
      <c r="BO5291" s="319"/>
      <c r="BP5291" s="953"/>
      <c r="BQ5291" s="319"/>
      <c r="BR5291" s="319"/>
      <c r="BS5291" s="330"/>
      <c r="BT5291" s="331"/>
      <c r="BU5291" s="920"/>
      <c r="BV5291" s="903"/>
      <c r="BW5291" s="908"/>
      <c r="BX5291" s="908"/>
      <c r="BY5291" s="331"/>
      <c r="BZ5291" s="331"/>
      <c r="CA5291" s="462"/>
      <c r="CB5291" s="319"/>
      <c r="CC5291" s="319"/>
      <c r="CD5291" s="319"/>
      <c r="CE5291" s="319"/>
      <c r="CF5291" s="319"/>
      <c r="CG5291" s="319"/>
      <c r="CH5291" s="318"/>
      <c r="CI5291" s="319"/>
      <c r="CJ5291" s="319"/>
      <c r="CK5291" s="342"/>
      <c r="CL5291" s="333"/>
      <c r="CM5291" s="1079"/>
      <c r="CN5291" s="1005"/>
      <c r="CO5291" s="1005"/>
      <c r="CP5291" s="1005"/>
    </row>
    <row r="5292">
      <c r="A5292" s="1257"/>
      <c r="B5292" s="1113"/>
      <c r="C5292" s="1107"/>
      <c r="D5292" s="103"/>
      <c r="E5292" s="1137"/>
      <c r="F5292" s="112"/>
      <c r="G5292" s="1110"/>
      <c r="H5292" s="1138"/>
      <c r="I5292" s="1138"/>
      <c r="J5292" s="1139"/>
      <c r="K5292" s="1111"/>
      <c r="L5292" s="1112"/>
      <c r="M5292" s="1113"/>
      <c r="N5292" s="110"/>
      <c r="O5292" s="1140"/>
      <c r="P5292" s="1115"/>
      <c r="Q5292" s="1116"/>
      <c r="R5292" s="1141"/>
      <c r="S5292" s="1113"/>
      <c r="T5292" s="1143"/>
      <c r="U5292" s="1108"/>
      <c r="V5292" s="1108"/>
      <c r="W5292" s="1108"/>
      <c r="X5292" s="1108"/>
      <c r="Y5292" s="1108"/>
      <c r="Z5292" s="1114"/>
      <c r="AA5292" s="1114"/>
      <c r="AB5292" s="1114"/>
      <c r="AC5292" s="1117"/>
      <c r="AD5292" s="1115"/>
      <c r="AE5292" s="1115"/>
      <c r="AF5292" s="1115"/>
      <c r="AG5292" s="1115"/>
      <c r="AH5292" s="1115"/>
      <c r="AI5292" s="1115"/>
      <c r="AJ5292" s="1117"/>
      <c r="AK5292" s="1118"/>
      <c r="AL5292" s="1115"/>
      <c r="AM5292" s="1115"/>
      <c r="AN5292" s="1115"/>
      <c r="AO5292" s="1115"/>
      <c r="AP5292" s="1115"/>
      <c r="AQ5292" s="1115"/>
      <c r="AR5292" s="1115"/>
      <c r="AS5292" s="1117"/>
      <c r="AT5292" s="1075"/>
      <c r="AU5292" s="1193"/>
      <c r="AV5292" s="330"/>
      <c r="AW5292" s="331"/>
      <c r="AX5292" s="331"/>
      <c r="AY5292" s="331"/>
      <c r="AZ5292" s="331"/>
      <c r="BA5292" s="331"/>
      <c r="BB5292" s="331"/>
      <c r="BC5292" s="331"/>
      <c r="BD5292" s="331"/>
      <c r="BE5292" s="333"/>
      <c r="BF5292" s="330"/>
      <c r="BG5292" s="333"/>
      <c r="BH5292" s="1119"/>
      <c r="BI5292" s="319"/>
      <c r="BJ5292" s="319"/>
      <c r="BK5292" s="319"/>
      <c r="BL5292" s="319"/>
      <c r="BM5292" s="319"/>
      <c r="BN5292" s="319"/>
      <c r="BO5292" s="319"/>
      <c r="BP5292" s="953"/>
      <c r="BQ5292" s="319"/>
      <c r="BR5292" s="319"/>
      <c r="BS5292" s="330"/>
      <c r="BT5292" s="331"/>
      <c r="BU5292" s="920"/>
      <c r="BV5292" s="903"/>
      <c r="BW5292" s="908"/>
      <c r="BX5292" s="908"/>
      <c r="BY5292" s="331"/>
      <c r="BZ5292" s="331"/>
      <c r="CA5292" s="462"/>
      <c r="CB5292" s="319"/>
      <c r="CC5292" s="319"/>
      <c r="CD5292" s="319"/>
      <c r="CE5292" s="319"/>
      <c r="CF5292" s="319"/>
      <c r="CG5292" s="319"/>
      <c r="CH5292" s="318"/>
      <c r="CI5292" s="319"/>
      <c r="CJ5292" s="319"/>
      <c r="CK5292" s="342"/>
      <c r="CL5292" s="333"/>
      <c r="CM5292" s="1079"/>
      <c r="CN5292" s="1005"/>
      <c r="CO5292" s="1005"/>
      <c r="CP5292" s="1005"/>
    </row>
    <row r="5293">
      <c r="A5293" s="1257"/>
      <c r="B5293" s="1113"/>
      <c r="C5293" s="1107"/>
      <c r="D5293" s="103"/>
      <c r="E5293" s="1137"/>
      <c r="F5293" s="112"/>
      <c r="G5293" s="1110"/>
      <c r="H5293" s="1138"/>
      <c r="I5293" s="1138"/>
      <c r="J5293" s="1139"/>
      <c r="K5293" s="1111"/>
      <c r="L5293" s="1112"/>
      <c r="M5293" s="1113"/>
      <c r="N5293" s="110"/>
      <c r="O5293" s="1140"/>
      <c r="P5293" s="1115"/>
      <c r="Q5293" s="1116"/>
      <c r="R5293" s="1141"/>
      <c r="S5293" s="1113"/>
      <c r="T5293" s="1143"/>
      <c r="U5293" s="1108"/>
      <c r="V5293" s="1108"/>
      <c r="W5293" s="1108"/>
      <c r="X5293" s="1108"/>
      <c r="Y5293" s="1108"/>
      <c r="Z5293" s="1114"/>
      <c r="AA5293" s="1114"/>
      <c r="AB5293" s="1114"/>
      <c r="AC5293" s="1117"/>
      <c r="AD5293" s="1115"/>
      <c r="AE5293" s="1115"/>
      <c r="AF5293" s="1115"/>
      <c r="AG5293" s="1115"/>
      <c r="AH5293" s="1115"/>
      <c r="AI5293" s="1115"/>
      <c r="AJ5293" s="1117"/>
      <c r="AK5293" s="1118"/>
      <c r="AL5293" s="1115"/>
      <c r="AM5293" s="1115"/>
      <c r="AN5293" s="1115"/>
      <c r="AO5293" s="1115"/>
      <c r="AP5293" s="1115"/>
      <c r="AQ5293" s="1115"/>
      <c r="AR5293" s="1115"/>
      <c r="AS5293" s="1117"/>
      <c r="AT5293" s="1075"/>
      <c r="AU5293" s="1193"/>
      <c r="AV5293" s="330"/>
      <c r="AW5293" s="331"/>
      <c r="AX5293" s="331"/>
      <c r="AY5293" s="331"/>
      <c r="AZ5293" s="331"/>
      <c r="BA5293" s="331"/>
      <c r="BB5293" s="331"/>
      <c r="BC5293" s="331"/>
      <c r="BD5293" s="331"/>
      <c r="BE5293" s="333"/>
      <c r="BF5293" s="330"/>
      <c r="BG5293" s="333"/>
      <c r="BH5293" s="1119"/>
      <c r="BI5293" s="319"/>
      <c r="BJ5293" s="319"/>
      <c r="BK5293" s="319"/>
      <c r="BL5293" s="319"/>
      <c r="BM5293" s="319"/>
      <c r="BN5293" s="319"/>
      <c r="BO5293" s="319"/>
      <c r="BP5293" s="953"/>
      <c r="BQ5293" s="319"/>
      <c r="BR5293" s="319"/>
      <c r="BS5293" s="330"/>
      <c r="BT5293" s="331"/>
      <c r="BU5293" s="920"/>
      <c r="BV5293" s="903"/>
      <c r="BW5293" s="908"/>
      <c r="BX5293" s="908"/>
      <c r="BY5293" s="331"/>
      <c r="BZ5293" s="331"/>
      <c r="CA5293" s="462"/>
      <c r="CB5293" s="319"/>
      <c r="CC5293" s="319"/>
      <c r="CD5293" s="319"/>
      <c r="CE5293" s="319"/>
      <c r="CF5293" s="319"/>
      <c r="CG5293" s="319"/>
      <c r="CH5293" s="318"/>
      <c r="CI5293" s="319"/>
      <c r="CJ5293" s="319"/>
      <c r="CK5293" s="342"/>
      <c r="CL5293" s="333"/>
      <c r="CM5293" s="1079"/>
      <c r="CN5293" s="1005"/>
      <c r="CO5293" s="1005"/>
      <c r="CP5293" s="1005"/>
    </row>
    <row r="5294">
      <c r="A5294" s="1257"/>
      <c r="B5294" s="1113"/>
      <c r="C5294" s="1107"/>
      <c r="D5294" s="103"/>
      <c r="E5294" s="1137"/>
      <c r="F5294" s="112"/>
      <c r="G5294" s="1110"/>
      <c r="H5294" s="1138"/>
      <c r="I5294" s="1138"/>
      <c r="J5294" s="1139"/>
      <c r="K5294" s="1111"/>
      <c r="L5294" s="1112"/>
      <c r="M5294" s="1113"/>
      <c r="N5294" s="110"/>
      <c r="O5294" s="1140"/>
      <c r="P5294" s="1115"/>
      <c r="Q5294" s="1116"/>
      <c r="R5294" s="1141"/>
      <c r="S5294" s="1113"/>
      <c r="T5294" s="1143"/>
      <c r="U5294" s="1108"/>
      <c r="V5294" s="1108"/>
      <c r="W5294" s="1108"/>
      <c r="X5294" s="1108"/>
      <c r="Y5294" s="1108"/>
      <c r="Z5294" s="1114"/>
      <c r="AA5294" s="1114"/>
      <c r="AB5294" s="1114"/>
      <c r="AC5294" s="1117"/>
      <c r="AD5294" s="1115"/>
      <c r="AE5294" s="1115"/>
      <c r="AF5294" s="1115"/>
      <c r="AG5294" s="1115"/>
      <c r="AH5294" s="1115"/>
      <c r="AI5294" s="1115"/>
      <c r="AJ5294" s="1117"/>
      <c r="AK5294" s="1118"/>
      <c r="AL5294" s="1115"/>
      <c r="AM5294" s="1115"/>
      <c r="AN5294" s="1115"/>
      <c r="AO5294" s="1115"/>
      <c r="AP5294" s="1115"/>
      <c r="AQ5294" s="1115"/>
      <c r="AR5294" s="1115"/>
      <c r="AS5294" s="1117"/>
      <c r="AT5294" s="1075"/>
      <c r="AU5294" s="1193"/>
      <c r="AV5294" s="330"/>
      <c r="AW5294" s="331"/>
      <c r="AX5294" s="331"/>
      <c r="AY5294" s="331"/>
      <c r="AZ5294" s="331"/>
      <c r="BA5294" s="331"/>
      <c r="BB5294" s="331"/>
      <c r="BC5294" s="331"/>
      <c r="BD5294" s="331"/>
      <c r="BE5294" s="333"/>
      <c r="BF5294" s="330"/>
      <c r="BG5294" s="333"/>
      <c r="BH5294" s="1119"/>
      <c r="BI5294" s="319"/>
      <c r="BJ5294" s="319"/>
      <c r="BK5294" s="319"/>
      <c r="BL5294" s="319"/>
      <c r="BM5294" s="319"/>
      <c r="BN5294" s="319"/>
      <c r="BO5294" s="319"/>
      <c r="BP5294" s="953"/>
      <c r="BQ5294" s="319"/>
      <c r="BR5294" s="319"/>
      <c r="BS5294" s="330"/>
      <c r="BT5294" s="331"/>
      <c r="BU5294" s="920"/>
      <c r="BV5294" s="903"/>
      <c r="BW5294" s="908"/>
      <c r="BX5294" s="908"/>
      <c r="BY5294" s="331"/>
      <c r="BZ5294" s="331"/>
      <c r="CA5294" s="462"/>
      <c r="CB5294" s="319"/>
      <c r="CC5294" s="319"/>
      <c r="CD5294" s="319"/>
      <c r="CE5294" s="319"/>
      <c r="CF5294" s="319"/>
      <c r="CG5294" s="319"/>
      <c r="CH5294" s="318"/>
      <c r="CI5294" s="319"/>
      <c r="CJ5294" s="319"/>
      <c r="CK5294" s="342"/>
      <c r="CL5294" s="333"/>
      <c r="CM5294" s="1079"/>
      <c r="CN5294" s="1005"/>
      <c r="CO5294" s="1005"/>
      <c r="CP5294" s="1005"/>
    </row>
    <row r="5295">
      <c r="A5295" s="1257"/>
      <c r="B5295" s="1113"/>
      <c r="C5295" s="1107"/>
      <c r="D5295" s="103"/>
      <c r="E5295" s="1137"/>
      <c r="F5295" s="112"/>
      <c r="G5295" s="1110"/>
      <c r="H5295" s="1138"/>
      <c r="I5295" s="1138"/>
      <c r="J5295" s="1139"/>
      <c r="K5295" s="1111"/>
      <c r="L5295" s="1112"/>
      <c r="M5295" s="1113"/>
      <c r="N5295" s="110"/>
      <c r="O5295" s="1140"/>
      <c r="P5295" s="1115"/>
      <c r="Q5295" s="1116"/>
      <c r="R5295" s="1141"/>
      <c r="S5295" s="1113"/>
      <c r="T5295" s="1143"/>
      <c r="U5295" s="1108"/>
      <c r="V5295" s="1108"/>
      <c r="W5295" s="1108"/>
      <c r="X5295" s="1108"/>
      <c r="Y5295" s="1108"/>
      <c r="Z5295" s="1114"/>
      <c r="AA5295" s="1114"/>
      <c r="AB5295" s="1114"/>
      <c r="AC5295" s="1117"/>
      <c r="AD5295" s="1115"/>
      <c r="AE5295" s="1115"/>
      <c r="AF5295" s="1115"/>
      <c r="AG5295" s="1115"/>
      <c r="AH5295" s="1115"/>
      <c r="AI5295" s="1115"/>
      <c r="AJ5295" s="1117"/>
      <c r="AK5295" s="1118"/>
      <c r="AL5295" s="1115"/>
      <c r="AM5295" s="1115"/>
      <c r="AN5295" s="1115"/>
      <c r="AO5295" s="1115"/>
      <c r="AP5295" s="1115"/>
      <c r="AQ5295" s="1115"/>
      <c r="AR5295" s="1115"/>
      <c r="AS5295" s="1117"/>
      <c r="AT5295" s="1075"/>
      <c r="AU5295" s="1193"/>
      <c r="AV5295" s="330"/>
      <c r="AW5295" s="331"/>
      <c r="AX5295" s="331"/>
      <c r="AY5295" s="331"/>
      <c r="AZ5295" s="331"/>
      <c r="BA5295" s="331"/>
      <c r="BB5295" s="331"/>
      <c r="BC5295" s="331"/>
      <c r="BD5295" s="331"/>
      <c r="BE5295" s="333"/>
      <c r="BF5295" s="330"/>
      <c r="BG5295" s="333"/>
      <c r="BH5295" s="1119"/>
      <c r="BI5295" s="319"/>
      <c r="BJ5295" s="319"/>
      <c r="BK5295" s="319"/>
      <c r="BL5295" s="319"/>
      <c r="BM5295" s="319"/>
      <c r="BN5295" s="319"/>
      <c r="BO5295" s="319"/>
      <c r="BP5295" s="953"/>
      <c r="BQ5295" s="319"/>
      <c r="BR5295" s="319"/>
      <c r="BS5295" s="330"/>
      <c r="BT5295" s="331"/>
      <c r="BU5295" s="920"/>
      <c r="BV5295" s="903"/>
      <c r="BW5295" s="908"/>
      <c r="BX5295" s="908"/>
      <c r="BY5295" s="331"/>
      <c r="BZ5295" s="331"/>
      <c r="CA5295" s="462"/>
      <c r="CB5295" s="319"/>
      <c r="CC5295" s="319"/>
      <c r="CD5295" s="319"/>
      <c r="CE5295" s="319"/>
      <c r="CF5295" s="319"/>
      <c r="CG5295" s="319"/>
      <c r="CH5295" s="318"/>
      <c r="CI5295" s="319"/>
      <c r="CJ5295" s="319"/>
      <c r="CK5295" s="342"/>
      <c r="CL5295" s="333"/>
      <c r="CM5295" s="1079"/>
      <c r="CN5295" s="1005"/>
      <c r="CO5295" s="1005"/>
      <c r="CP5295" s="1005"/>
    </row>
    <row r="5296">
      <c r="A5296" s="1257"/>
      <c r="B5296" s="1113"/>
      <c r="C5296" s="1107"/>
      <c r="D5296" s="103"/>
      <c r="E5296" s="1137"/>
      <c r="F5296" s="112"/>
      <c r="G5296" s="1110"/>
      <c r="H5296" s="1138"/>
      <c r="I5296" s="1138"/>
      <c r="J5296" s="1139"/>
      <c r="K5296" s="1111"/>
      <c r="L5296" s="1112"/>
      <c r="M5296" s="1113"/>
      <c r="N5296" s="110"/>
      <c r="O5296" s="1140"/>
      <c r="P5296" s="1115"/>
      <c r="Q5296" s="1116"/>
      <c r="R5296" s="1141"/>
      <c r="S5296" s="1113"/>
      <c r="T5296" s="1143"/>
      <c r="U5296" s="1108"/>
      <c r="V5296" s="1108"/>
      <c r="W5296" s="1108"/>
      <c r="X5296" s="1108"/>
      <c r="Y5296" s="1108"/>
      <c r="Z5296" s="1114"/>
      <c r="AA5296" s="1114"/>
      <c r="AB5296" s="1114"/>
      <c r="AC5296" s="1117"/>
      <c r="AD5296" s="1115"/>
      <c r="AE5296" s="1115"/>
      <c r="AF5296" s="1115"/>
      <c r="AG5296" s="1115"/>
      <c r="AH5296" s="1115"/>
      <c r="AI5296" s="1115"/>
      <c r="AJ5296" s="1117"/>
      <c r="AK5296" s="1118"/>
      <c r="AL5296" s="1115"/>
      <c r="AM5296" s="1115"/>
      <c r="AN5296" s="1115"/>
      <c r="AO5296" s="1115"/>
      <c r="AP5296" s="1115"/>
      <c r="AQ5296" s="1115"/>
      <c r="AR5296" s="1115"/>
      <c r="AS5296" s="1117"/>
      <c r="AT5296" s="1075"/>
      <c r="AU5296" s="1193"/>
      <c r="AV5296" s="330"/>
      <c r="AW5296" s="331"/>
      <c r="AX5296" s="331"/>
      <c r="AY5296" s="331"/>
      <c r="AZ5296" s="331"/>
      <c r="BA5296" s="331"/>
      <c r="BB5296" s="331"/>
      <c r="BC5296" s="331"/>
      <c r="BD5296" s="331"/>
      <c r="BE5296" s="333"/>
      <c r="BF5296" s="330"/>
      <c r="BG5296" s="333"/>
      <c r="BH5296" s="1119"/>
      <c r="BI5296" s="319"/>
      <c r="BJ5296" s="319"/>
      <c r="BK5296" s="319"/>
      <c r="BL5296" s="319"/>
      <c r="BM5296" s="319"/>
      <c r="BN5296" s="319"/>
      <c r="BO5296" s="319"/>
      <c r="BP5296" s="953"/>
      <c r="BQ5296" s="319"/>
      <c r="BR5296" s="319"/>
      <c r="BS5296" s="330"/>
      <c r="BT5296" s="331"/>
      <c r="BU5296" s="920"/>
      <c r="BV5296" s="903"/>
      <c r="BW5296" s="908"/>
      <c r="BX5296" s="908"/>
      <c r="BY5296" s="331"/>
      <c r="BZ5296" s="331"/>
      <c r="CA5296" s="462"/>
      <c r="CB5296" s="319"/>
      <c r="CC5296" s="319"/>
      <c r="CD5296" s="319"/>
      <c r="CE5296" s="319"/>
      <c r="CF5296" s="319"/>
      <c r="CG5296" s="319"/>
      <c r="CH5296" s="318"/>
      <c r="CI5296" s="319"/>
      <c r="CJ5296" s="319"/>
      <c r="CK5296" s="342"/>
      <c r="CL5296" s="333"/>
      <c r="CM5296" s="1079"/>
      <c r="CN5296" s="1005"/>
      <c r="CO5296" s="1005"/>
      <c r="CP5296" s="1005"/>
    </row>
    <row r="5297">
      <c r="A5297" s="1257"/>
      <c r="B5297" s="1113"/>
      <c r="C5297" s="1107"/>
      <c r="D5297" s="103"/>
      <c r="E5297" s="1137"/>
      <c r="F5297" s="112"/>
      <c r="G5297" s="1110"/>
      <c r="H5297" s="1138"/>
      <c r="I5297" s="1138"/>
      <c r="J5297" s="1139"/>
      <c r="K5297" s="1111"/>
      <c r="L5297" s="1112"/>
      <c r="M5297" s="1113"/>
      <c r="N5297" s="110"/>
      <c r="O5297" s="1140"/>
      <c r="P5297" s="1115"/>
      <c r="Q5297" s="1116"/>
      <c r="R5297" s="1141"/>
      <c r="S5297" s="1113"/>
      <c r="T5297" s="1143"/>
      <c r="U5297" s="1108"/>
      <c r="V5297" s="1108"/>
      <c r="W5297" s="1108"/>
      <c r="X5297" s="1108"/>
      <c r="Y5297" s="1108"/>
      <c r="Z5297" s="1114"/>
      <c r="AA5297" s="1114"/>
      <c r="AB5297" s="1114"/>
      <c r="AC5297" s="1117"/>
      <c r="AD5297" s="1115"/>
      <c r="AE5297" s="1115"/>
      <c r="AF5297" s="1115"/>
      <c r="AG5297" s="1115"/>
      <c r="AH5297" s="1115"/>
      <c r="AI5297" s="1115"/>
      <c r="AJ5297" s="1117"/>
      <c r="AK5297" s="1118"/>
      <c r="AL5297" s="1115"/>
      <c r="AM5297" s="1115"/>
      <c r="AN5297" s="1115"/>
      <c r="AO5297" s="1115"/>
      <c r="AP5297" s="1115"/>
      <c r="AQ5297" s="1115"/>
      <c r="AR5297" s="1115"/>
      <c r="AS5297" s="1117"/>
      <c r="AT5297" s="1075"/>
      <c r="AU5297" s="1193"/>
      <c r="AV5297" s="330"/>
      <c r="AW5297" s="331"/>
      <c r="AX5297" s="331"/>
      <c r="AY5297" s="331"/>
      <c r="AZ5297" s="331"/>
      <c r="BA5297" s="331"/>
      <c r="BB5297" s="331"/>
      <c r="BC5297" s="331"/>
      <c r="BD5297" s="331"/>
      <c r="BE5297" s="333"/>
      <c r="BF5297" s="330"/>
      <c r="BG5297" s="333"/>
      <c r="BH5297" s="1119"/>
      <c r="BI5297" s="319"/>
      <c r="BJ5297" s="319"/>
      <c r="BK5297" s="319"/>
      <c r="BL5297" s="319"/>
      <c r="BM5297" s="319"/>
      <c r="BN5297" s="319"/>
      <c r="BO5297" s="319"/>
      <c r="BP5297" s="953"/>
      <c r="BQ5297" s="319"/>
      <c r="BR5297" s="319"/>
      <c r="BS5297" s="330"/>
      <c r="BT5297" s="331"/>
      <c r="BU5297" s="920"/>
      <c r="BV5297" s="903"/>
      <c r="BW5297" s="908"/>
      <c r="BX5297" s="908"/>
      <c r="BY5297" s="331"/>
      <c r="BZ5297" s="331"/>
      <c r="CA5297" s="462"/>
      <c r="CB5297" s="319"/>
      <c r="CC5297" s="319"/>
      <c r="CD5297" s="319"/>
      <c r="CE5297" s="319"/>
      <c r="CF5297" s="319"/>
      <c r="CG5297" s="319"/>
      <c r="CH5297" s="318"/>
      <c r="CI5297" s="319"/>
      <c r="CJ5297" s="319"/>
      <c r="CK5297" s="342"/>
      <c r="CL5297" s="333"/>
      <c r="CM5297" s="1079"/>
      <c r="CN5297" s="1005"/>
      <c r="CO5297" s="1005"/>
      <c r="CP5297" s="1005"/>
    </row>
    <row r="5298">
      <c r="A5298" s="1257"/>
      <c r="B5298" s="1113"/>
      <c r="C5298" s="1107"/>
      <c r="D5298" s="103"/>
      <c r="E5298" s="1137"/>
      <c r="F5298" s="112"/>
      <c r="G5298" s="1110"/>
      <c r="H5298" s="1138"/>
      <c r="I5298" s="1138"/>
      <c r="J5298" s="1139"/>
      <c r="K5298" s="1111"/>
      <c r="L5298" s="1112"/>
      <c r="M5298" s="1113"/>
      <c r="N5298" s="110"/>
      <c r="O5298" s="1140"/>
      <c r="P5298" s="1115"/>
      <c r="Q5298" s="1116"/>
      <c r="R5298" s="1141"/>
      <c r="S5298" s="1113"/>
      <c r="T5298" s="1143"/>
      <c r="U5298" s="1108"/>
      <c r="V5298" s="1108"/>
      <c r="W5298" s="1108"/>
      <c r="X5298" s="1108"/>
      <c r="Y5298" s="1108"/>
      <c r="Z5298" s="1114"/>
      <c r="AA5298" s="1114"/>
      <c r="AB5298" s="1114"/>
      <c r="AC5298" s="1117"/>
      <c r="AD5298" s="1115"/>
      <c r="AE5298" s="1115"/>
      <c r="AF5298" s="1115"/>
      <c r="AG5298" s="1115"/>
      <c r="AH5298" s="1115"/>
      <c r="AI5298" s="1115"/>
      <c r="AJ5298" s="1117"/>
      <c r="AK5298" s="1118"/>
      <c r="AL5298" s="1115"/>
      <c r="AM5298" s="1115"/>
      <c r="AN5298" s="1115"/>
      <c r="AO5298" s="1115"/>
      <c r="AP5298" s="1115"/>
      <c r="AQ5298" s="1115"/>
      <c r="AR5298" s="1115"/>
      <c r="AS5298" s="1117"/>
      <c r="AT5298" s="1075"/>
      <c r="AU5298" s="1193"/>
      <c r="AV5298" s="330"/>
      <c r="AW5298" s="331"/>
      <c r="AX5298" s="331"/>
      <c r="AY5298" s="331"/>
      <c r="AZ5298" s="331"/>
      <c r="BA5298" s="331"/>
      <c r="BB5298" s="331"/>
      <c r="BC5298" s="331"/>
      <c r="BD5298" s="331"/>
      <c r="BE5298" s="333"/>
      <c r="BF5298" s="330"/>
      <c r="BG5298" s="333"/>
      <c r="BH5298" s="1119"/>
      <c r="BI5298" s="319"/>
      <c r="BJ5298" s="319"/>
      <c r="BK5298" s="319"/>
      <c r="BL5298" s="319"/>
      <c r="BM5298" s="319"/>
      <c r="BN5298" s="319"/>
      <c r="BO5298" s="319"/>
      <c r="BP5298" s="953"/>
      <c r="BQ5298" s="319"/>
      <c r="BR5298" s="319"/>
      <c r="BS5298" s="330"/>
      <c r="BT5298" s="331"/>
      <c r="BU5298" s="920"/>
      <c r="BV5298" s="903"/>
      <c r="BW5298" s="908"/>
      <c r="BX5298" s="908"/>
      <c r="BY5298" s="331"/>
      <c r="BZ5298" s="331"/>
      <c r="CA5298" s="462"/>
      <c r="CB5298" s="319"/>
      <c r="CC5298" s="319"/>
      <c r="CD5298" s="319"/>
      <c r="CE5298" s="319"/>
      <c r="CF5298" s="319"/>
      <c r="CG5298" s="319"/>
      <c r="CH5298" s="318"/>
      <c r="CI5298" s="319"/>
      <c r="CJ5298" s="319"/>
      <c r="CK5298" s="342"/>
      <c r="CL5298" s="333"/>
      <c r="CM5298" s="1079"/>
      <c r="CN5298" s="1005"/>
      <c r="CO5298" s="1005"/>
      <c r="CP5298" s="1005"/>
    </row>
    <row r="5299">
      <c r="A5299" s="1257"/>
      <c r="B5299" s="1113"/>
      <c r="C5299" s="1107"/>
      <c r="D5299" s="103"/>
      <c r="E5299" s="1137"/>
      <c r="F5299" s="112"/>
      <c r="G5299" s="1110"/>
      <c r="H5299" s="1138"/>
      <c r="I5299" s="1138"/>
      <c r="J5299" s="1139"/>
      <c r="K5299" s="1111"/>
      <c r="L5299" s="1112"/>
      <c r="M5299" s="1113"/>
      <c r="N5299" s="110"/>
      <c r="O5299" s="1140"/>
      <c r="P5299" s="1115"/>
      <c r="Q5299" s="1116"/>
      <c r="R5299" s="1141"/>
      <c r="S5299" s="1113"/>
      <c r="T5299" s="1143"/>
      <c r="U5299" s="1108"/>
      <c r="V5299" s="1108"/>
      <c r="W5299" s="1108"/>
      <c r="X5299" s="1108"/>
      <c r="Y5299" s="1108"/>
      <c r="Z5299" s="1114"/>
      <c r="AA5299" s="1114"/>
      <c r="AB5299" s="1114"/>
      <c r="AC5299" s="1117"/>
      <c r="AD5299" s="1115"/>
      <c r="AE5299" s="1115"/>
      <c r="AF5299" s="1115"/>
      <c r="AG5299" s="1115"/>
      <c r="AH5299" s="1115"/>
      <c r="AI5299" s="1115"/>
      <c r="AJ5299" s="1117"/>
      <c r="AK5299" s="1118"/>
      <c r="AL5299" s="1115"/>
      <c r="AM5299" s="1115"/>
      <c r="AN5299" s="1115"/>
      <c r="AO5299" s="1115"/>
      <c r="AP5299" s="1115"/>
      <c r="AQ5299" s="1115"/>
      <c r="AR5299" s="1115"/>
      <c r="AS5299" s="1117"/>
      <c r="AT5299" s="1075"/>
      <c r="AU5299" s="1193"/>
      <c r="AV5299" s="330"/>
      <c r="AW5299" s="331"/>
      <c r="AX5299" s="331"/>
      <c r="AY5299" s="331"/>
      <c r="AZ5299" s="331"/>
      <c r="BA5299" s="331"/>
      <c r="BB5299" s="331"/>
      <c r="BC5299" s="331"/>
      <c r="BD5299" s="331"/>
      <c r="BE5299" s="333"/>
      <c r="BF5299" s="330"/>
      <c r="BG5299" s="333"/>
      <c r="BH5299" s="1119"/>
      <c r="BI5299" s="319"/>
      <c r="BJ5299" s="319"/>
      <c r="BK5299" s="319"/>
      <c r="BL5299" s="319"/>
      <c r="BM5299" s="319"/>
      <c r="BN5299" s="319"/>
      <c r="BO5299" s="319"/>
      <c r="BP5299" s="953"/>
      <c r="BQ5299" s="319"/>
      <c r="BR5299" s="319"/>
      <c r="BS5299" s="330"/>
      <c r="BT5299" s="331"/>
      <c r="BU5299" s="920"/>
      <c r="BV5299" s="903"/>
      <c r="BW5299" s="908"/>
      <c r="BX5299" s="908"/>
      <c r="BY5299" s="331"/>
      <c r="BZ5299" s="331"/>
      <c r="CA5299" s="462"/>
      <c r="CB5299" s="319"/>
      <c r="CC5299" s="319"/>
      <c r="CD5299" s="319"/>
      <c r="CE5299" s="319"/>
      <c r="CF5299" s="319"/>
      <c r="CG5299" s="319"/>
      <c r="CH5299" s="318"/>
      <c r="CI5299" s="319"/>
      <c r="CJ5299" s="319"/>
      <c r="CK5299" s="342"/>
      <c r="CL5299" s="333"/>
      <c r="CM5299" s="1079"/>
      <c r="CN5299" s="1005"/>
      <c r="CO5299" s="1005"/>
      <c r="CP5299" s="1005"/>
    </row>
    <row r="5300">
      <c r="A5300" s="1257"/>
      <c r="B5300" s="1113"/>
      <c r="C5300" s="1107"/>
      <c r="D5300" s="103"/>
      <c r="E5300" s="1137"/>
      <c r="F5300" s="112"/>
      <c r="G5300" s="1110"/>
      <c r="H5300" s="1138"/>
      <c r="I5300" s="1138"/>
      <c r="J5300" s="1139"/>
      <c r="K5300" s="1111"/>
      <c r="L5300" s="1112"/>
      <c r="M5300" s="1113"/>
      <c r="N5300" s="110"/>
      <c r="O5300" s="1140"/>
      <c r="P5300" s="1115"/>
      <c r="Q5300" s="1116"/>
      <c r="R5300" s="1141"/>
      <c r="S5300" s="1113"/>
      <c r="T5300" s="1143"/>
      <c r="U5300" s="1108"/>
      <c r="V5300" s="1108"/>
      <c r="W5300" s="1108"/>
      <c r="X5300" s="1108"/>
      <c r="Y5300" s="1108"/>
      <c r="Z5300" s="1114"/>
      <c r="AA5300" s="1114"/>
      <c r="AB5300" s="1114"/>
      <c r="AC5300" s="1117"/>
      <c r="AD5300" s="1115"/>
      <c r="AE5300" s="1115"/>
      <c r="AF5300" s="1115"/>
      <c r="AG5300" s="1115"/>
      <c r="AH5300" s="1115"/>
      <c r="AI5300" s="1115"/>
      <c r="AJ5300" s="1117"/>
      <c r="AK5300" s="1118"/>
      <c r="AL5300" s="1115"/>
      <c r="AM5300" s="1115"/>
      <c r="AN5300" s="1115"/>
      <c r="AO5300" s="1115"/>
      <c r="AP5300" s="1115"/>
      <c r="AQ5300" s="1115"/>
      <c r="AR5300" s="1115"/>
      <c r="AS5300" s="1117"/>
      <c r="AT5300" s="1075"/>
      <c r="AU5300" s="1193"/>
      <c r="AV5300" s="330"/>
      <c r="AW5300" s="331"/>
      <c r="AX5300" s="331"/>
      <c r="AY5300" s="331"/>
      <c r="AZ5300" s="331"/>
      <c r="BA5300" s="331"/>
      <c r="BB5300" s="331"/>
      <c r="BC5300" s="331"/>
      <c r="BD5300" s="331"/>
      <c r="BE5300" s="333"/>
      <c r="BF5300" s="330"/>
      <c r="BG5300" s="333"/>
      <c r="BH5300" s="1119"/>
      <c r="BI5300" s="319"/>
      <c r="BJ5300" s="319"/>
      <c r="BK5300" s="319"/>
      <c r="BL5300" s="319"/>
      <c r="BM5300" s="319"/>
      <c r="BN5300" s="319"/>
      <c r="BO5300" s="319"/>
      <c r="BP5300" s="953"/>
      <c r="BQ5300" s="319"/>
      <c r="BR5300" s="319"/>
      <c r="BS5300" s="330"/>
      <c r="BT5300" s="331"/>
      <c r="BU5300" s="920"/>
      <c r="BV5300" s="903"/>
      <c r="BW5300" s="908"/>
      <c r="BX5300" s="908"/>
      <c r="BY5300" s="331"/>
      <c r="BZ5300" s="331"/>
      <c r="CA5300" s="462"/>
      <c r="CB5300" s="319"/>
      <c r="CC5300" s="319"/>
      <c r="CD5300" s="319"/>
      <c r="CE5300" s="319"/>
      <c r="CF5300" s="319"/>
      <c r="CG5300" s="319"/>
      <c r="CH5300" s="318"/>
      <c r="CI5300" s="319"/>
      <c r="CJ5300" s="319"/>
      <c r="CK5300" s="342"/>
      <c r="CL5300" s="333"/>
      <c r="CM5300" s="1079"/>
      <c r="CN5300" s="1005"/>
      <c r="CO5300" s="1005"/>
      <c r="CP5300" s="1005"/>
    </row>
    <row r="5301">
      <c r="A5301" s="1257"/>
      <c r="B5301" s="1113"/>
      <c r="C5301" s="1107"/>
      <c r="D5301" s="103"/>
      <c r="E5301" s="1137"/>
      <c r="F5301" s="112"/>
      <c r="G5301" s="1110"/>
      <c r="H5301" s="1138"/>
      <c r="I5301" s="1138"/>
      <c r="J5301" s="1139"/>
      <c r="K5301" s="1111"/>
      <c r="L5301" s="1112"/>
      <c r="M5301" s="1113"/>
      <c r="N5301" s="110"/>
      <c r="O5301" s="1140"/>
      <c r="P5301" s="1115"/>
      <c r="Q5301" s="1116"/>
      <c r="R5301" s="1141"/>
      <c r="S5301" s="1113"/>
      <c r="T5301" s="1143"/>
      <c r="U5301" s="1108"/>
      <c r="V5301" s="1108"/>
      <c r="W5301" s="1108"/>
      <c r="X5301" s="1108"/>
      <c r="Y5301" s="1108"/>
      <c r="Z5301" s="1114"/>
      <c r="AA5301" s="1114"/>
      <c r="AB5301" s="1114"/>
      <c r="AC5301" s="1117"/>
      <c r="AD5301" s="1115"/>
      <c r="AE5301" s="1115"/>
      <c r="AF5301" s="1115"/>
      <c r="AG5301" s="1115"/>
      <c r="AH5301" s="1115"/>
      <c r="AI5301" s="1115"/>
      <c r="AJ5301" s="1117"/>
      <c r="AK5301" s="1118"/>
      <c r="AL5301" s="1115"/>
      <c r="AM5301" s="1115"/>
      <c r="AN5301" s="1115"/>
      <c r="AO5301" s="1115"/>
      <c r="AP5301" s="1115"/>
      <c r="AQ5301" s="1115"/>
      <c r="AR5301" s="1115"/>
      <c r="AS5301" s="1117"/>
      <c r="AT5301" s="1075"/>
      <c r="AU5301" s="1193"/>
      <c r="AV5301" s="330"/>
      <c r="AW5301" s="331"/>
      <c r="AX5301" s="331"/>
      <c r="AY5301" s="331"/>
      <c r="AZ5301" s="331"/>
      <c r="BA5301" s="331"/>
      <c r="BB5301" s="331"/>
      <c r="BC5301" s="331"/>
      <c r="BD5301" s="331"/>
      <c r="BE5301" s="333"/>
      <c r="BF5301" s="330"/>
      <c r="BG5301" s="333"/>
      <c r="BH5301" s="1119"/>
      <c r="BI5301" s="319"/>
      <c r="BJ5301" s="319"/>
      <c r="BK5301" s="319"/>
      <c r="BL5301" s="319"/>
      <c r="BM5301" s="319"/>
      <c r="BN5301" s="319"/>
      <c r="BO5301" s="319"/>
      <c r="BP5301" s="953"/>
      <c r="BQ5301" s="319"/>
      <c r="BR5301" s="319"/>
      <c r="BS5301" s="330"/>
      <c r="BT5301" s="331"/>
      <c r="BU5301" s="920"/>
      <c r="BV5301" s="903"/>
      <c r="BW5301" s="908"/>
      <c r="BX5301" s="908"/>
      <c r="BY5301" s="331"/>
      <c r="BZ5301" s="331"/>
      <c r="CA5301" s="462"/>
      <c r="CB5301" s="319"/>
      <c r="CC5301" s="319"/>
      <c r="CD5301" s="319"/>
      <c r="CE5301" s="319"/>
      <c r="CF5301" s="319"/>
      <c r="CG5301" s="319"/>
      <c r="CH5301" s="318"/>
      <c r="CI5301" s="319"/>
      <c r="CJ5301" s="319"/>
      <c r="CK5301" s="342"/>
      <c r="CL5301" s="333"/>
      <c r="CM5301" s="1079"/>
      <c r="CN5301" s="1005"/>
      <c r="CO5301" s="1005"/>
      <c r="CP5301" s="1005"/>
    </row>
    <row r="5302">
      <c r="A5302" s="1257"/>
      <c r="B5302" s="1113"/>
      <c r="C5302" s="1107"/>
      <c r="D5302" s="103"/>
      <c r="E5302" s="1137"/>
      <c r="F5302" s="112"/>
      <c r="G5302" s="1110"/>
      <c r="H5302" s="1138"/>
      <c r="I5302" s="1138"/>
      <c r="J5302" s="1139"/>
      <c r="K5302" s="1111"/>
      <c r="L5302" s="1112"/>
      <c r="M5302" s="1113"/>
      <c r="N5302" s="110"/>
      <c r="O5302" s="1140"/>
      <c r="P5302" s="1115"/>
      <c r="Q5302" s="1116"/>
      <c r="R5302" s="1141"/>
      <c r="S5302" s="1113"/>
      <c r="T5302" s="1143"/>
      <c r="U5302" s="1108"/>
      <c r="V5302" s="1108"/>
      <c r="W5302" s="1108"/>
      <c r="X5302" s="1108"/>
      <c r="Y5302" s="1108"/>
      <c r="Z5302" s="1114"/>
      <c r="AA5302" s="1114"/>
      <c r="AB5302" s="1114"/>
      <c r="AC5302" s="1117"/>
      <c r="AD5302" s="1115"/>
      <c r="AE5302" s="1115"/>
      <c r="AF5302" s="1115"/>
      <c r="AG5302" s="1115"/>
      <c r="AH5302" s="1115"/>
      <c r="AI5302" s="1115"/>
      <c r="AJ5302" s="1117"/>
      <c r="AK5302" s="1118"/>
      <c r="AL5302" s="1115"/>
      <c r="AM5302" s="1115"/>
      <c r="AN5302" s="1115"/>
      <c r="AO5302" s="1115"/>
      <c r="AP5302" s="1115"/>
      <c r="AQ5302" s="1115"/>
      <c r="AR5302" s="1115"/>
      <c r="AS5302" s="1117"/>
      <c r="AT5302" s="1075"/>
      <c r="AU5302" s="1193"/>
      <c r="AV5302" s="330"/>
      <c r="AW5302" s="331"/>
      <c r="AX5302" s="331"/>
      <c r="AY5302" s="331"/>
      <c r="AZ5302" s="331"/>
      <c r="BA5302" s="331"/>
      <c r="BB5302" s="331"/>
      <c r="BC5302" s="331"/>
      <c r="BD5302" s="331"/>
      <c r="BE5302" s="333"/>
      <c r="BF5302" s="330"/>
      <c r="BG5302" s="333"/>
      <c r="BH5302" s="1119"/>
      <c r="BI5302" s="319"/>
      <c r="BJ5302" s="319"/>
      <c r="BK5302" s="319"/>
      <c r="BL5302" s="319"/>
      <c r="BM5302" s="319"/>
      <c r="BN5302" s="319"/>
      <c r="BO5302" s="319"/>
      <c r="BP5302" s="953"/>
      <c r="BQ5302" s="319"/>
      <c r="BR5302" s="319"/>
      <c r="BS5302" s="330"/>
      <c r="BT5302" s="331"/>
      <c r="BU5302" s="920"/>
      <c r="BV5302" s="903"/>
      <c r="BW5302" s="908"/>
      <c r="BX5302" s="908"/>
      <c r="BY5302" s="331"/>
      <c r="BZ5302" s="331"/>
      <c r="CA5302" s="462"/>
      <c r="CB5302" s="319"/>
      <c r="CC5302" s="319"/>
      <c r="CD5302" s="319"/>
      <c r="CE5302" s="319"/>
      <c r="CF5302" s="319"/>
      <c r="CG5302" s="319"/>
      <c r="CH5302" s="318"/>
      <c r="CI5302" s="319"/>
      <c r="CJ5302" s="319"/>
      <c r="CK5302" s="342"/>
      <c r="CL5302" s="333"/>
      <c r="CM5302" s="1079"/>
      <c r="CN5302" s="1005"/>
      <c r="CO5302" s="1005"/>
      <c r="CP5302" s="1005"/>
    </row>
    <row r="5303">
      <c r="A5303" s="1257"/>
      <c r="B5303" s="1113"/>
      <c r="C5303" s="1107"/>
      <c r="D5303" s="103"/>
      <c r="E5303" s="1137"/>
      <c r="F5303" s="112"/>
      <c r="G5303" s="1110"/>
      <c r="H5303" s="1138"/>
      <c r="I5303" s="1138"/>
      <c r="J5303" s="1139"/>
      <c r="K5303" s="1111"/>
      <c r="L5303" s="1112"/>
      <c r="M5303" s="1113"/>
      <c r="N5303" s="110"/>
      <c r="O5303" s="1140"/>
      <c r="P5303" s="1115"/>
      <c r="Q5303" s="1116"/>
      <c r="R5303" s="1141"/>
      <c r="S5303" s="1113"/>
      <c r="T5303" s="1143"/>
      <c r="U5303" s="1108"/>
      <c r="V5303" s="1108"/>
      <c r="W5303" s="1108"/>
      <c r="X5303" s="1108"/>
      <c r="Y5303" s="1108"/>
      <c r="Z5303" s="1114"/>
      <c r="AA5303" s="1114"/>
      <c r="AB5303" s="1114"/>
      <c r="AC5303" s="1117"/>
      <c r="AD5303" s="1115"/>
      <c r="AE5303" s="1115"/>
      <c r="AF5303" s="1115"/>
      <c r="AG5303" s="1115"/>
      <c r="AH5303" s="1115"/>
      <c r="AI5303" s="1115"/>
      <c r="AJ5303" s="1117"/>
      <c r="AK5303" s="1118"/>
      <c r="AL5303" s="1115"/>
      <c r="AM5303" s="1115"/>
      <c r="AN5303" s="1115"/>
      <c r="AO5303" s="1115"/>
      <c r="AP5303" s="1115"/>
      <c r="AQ5303" s="1115"/>
      <c r="AR5303" s="1115"/>
      <c r="AS5303" s="1117"/>
      <c r="AT5303" s="1075"/>
      <c r="AU5303" s="1193"/>
      <c r="AV5303" s="330"/>
      <c r="AW5303" s="331"/>
      <c r="AX5303" s="331"/>
      <c r="AY5303" s="331"/>
      <c r="AZ5303" s="331"/>
      <c r="BA5303" s="331"/>
      <c r="BB5303" s="331"/>
      <c r="BC5303" s="331"/>
      <c r="BD5303" s="331"/>
      <c r="BE5303" s="333"/>
      <c r="BF5303" s="330"/>
      <c r="BG5303" s="333"/>
      <c r="BH5303" s="1119"/>
      <c r="BI5303" s="319"/>
      <c r="BJ5303" s="319"/>
      <c r="BK5303" s="319"/>
      <c r="BL5303" s="319"/>
      <c r="BM5303" s="319"/>
      <c r="BN5303" s="319"/>
      <c r="BO5303" s="319"/>
      <c r="BP5303" s="953"/>
      <c r="BQ5303" s="319"/>
      <c r="BR5303" s="319"/>
      <c r="BS5303" s="330"/>
      <c r="BT5303" s="331"/>
      <c r="BU5303" s="920"/>
      <c r="BV5303" s="903"/>
      <c r="BW5303" s="908"/>
      <c r="BX5303" s="908"/>
      <c r="BY5303" s="331"/>
      <c r="BZ5303" s="331"/>
      <c r="CA5303" s="462"/>
      <c r="CB5303" s="319"/>
      <c r="CC5303" s="319"/>
      <c r="CD5303" s="319"/>
      <c r="CE5303" s="319"/>
      <c r="CF5303" s="319"/>
      <c r="CG5303" s="319"/>
      <c r="CH5303" s="318"/>
      <c r="CI5303" s="319"/>
      <c r="CJ5303" s="319"/>
      <c r="CK5303" s="342"/>
      <c r="CL5303" s="333"/>
      <c r="CM5303" s="1079"/>
      <c r="CN5303" s="1005"/>
      <c r="CO5303" s="1005"/>
      <c r="CP5303" s="1005"/>
    </row>
    <row r="5304">
      <c r="A5304" s="1257"/>
      <c r="B5304" s="1113"/>
      <c r="C5304" s="1107"/>
      <c r="D5304" s="103"/>
      <c r="E5304" s="1137"/>
      <c r="F5304" s="112"/>
      <c r="G5304" s="1110"/>
      <c r="H5304" s="1138"/>
      <c r="I5304" s="1138"/>
      <c r="J5304" s="1139"/>
      <c r="K5304" s="1111"/>
      <c r="L5304" s="1112"/>
      <c r="M5304" s="1113"/>
      <c r="N5304" s="110"/>
      <c r="O5304" s="1140"/>
      <c r="P5304" s="1115"/>
      <c r="Q5304" s="1116"/>
      <c r="R5304" s="1141"/>
      <c r="S5304" s="1113"/>
      <c r="T5304" s="1143"/>
      <c r="U5304" s="1108"/>
      <c r="V5304" s="1108"/>
      <c r="W5304" s="1108"/>
      <c r="X5304" s="1108"/>
      <c r="Y5304" s="1108"/>
      <c r="Z5304" s="1114"/>
      <c r="AA5304" s="1114"/>
      <c r="AB5304" s="1114"/>
      <c r="AC5304" s="1117"/>
      <c r="AD5304" s="1115"/>
      <c r="AE5304" s="1115"/>
      <c r="AF5304" s="1115"/>
      <c r="AG5304" s="1115"/>
      <c r="AH5304" s="1115"/>
      <c r="AI5304" s="1115"/>
      <c r="AJ5304" s="1117"/>
      <c r="AK5304" s="1118"/>
      <c r="AL5304" s="1115"/>
      <c r="AM5304" s="1115"/>
      <c r="AN5304" s="1115"/>
      <c r="AO5304" s="1115"/>
      <c r="AP5304" s="1115"/>
      <c r="AQ5304" s="1115"/>
      <c r="AR5304" s="1115"/>
      <c r="AS5304" s="1117"/>
      <c r="AT5304" s="1075"/>
      <c r="AU5304" s="1193"/>
      <c r="AV5304" s="330"/>
      <c r="AW5304" s="331"/>
      <c r="AX5304" s="331"/>
      <c r="AY5304" s="331"/>
      <c r="AZ5304" s="331"/>
      <c r="BA5304" s="331"/>
      <c r="BB5304" s="331"/>
      <c r="BC5304" s="331"/>
      <c r="BD5304" s="331"/>
      <c r="BE5304" s="333"/>
      <c r="BF5304" s="330"/>
      <c r="BG5304" s="333"/>
      <c r="BH5304" s="1119"/>
      <c r="BI5304" s="319"/>
      <c r="BJ5304" s="319"/>
      <c r="BK5304" s="319"/>
      <c r="BL5304" s="319"/>
      <c r="BM5304" s="319"/>
      <c r="BN5304" s="319"/>
      <c r="BO5304" s="319"/>
      <c r="BP5304" s="953"/>
      <c r="BQ5304" s="319"/>
      <c r="BR5304" s="319"/>
      <c r="BS5304" s="330"/>
      <c r="BT5304" s="331"/>
      <c r="BU5304" s="920"/>
      <c r="BV5304" s="903"/>
      <c r="BW5304" s="908"/>
      <c r="BX5304" s="908"/>
      <c r="BY5304" s="331"/>
      <c r="BZ5304" s="331"/>
      <c r="CA5304" s="462"/>
      <c r="CB5304" s="319"/>
      <c r="CC5304" s="319"/>
      <c r="CD5304" s="319"/>
      <c r="CE5304" s="319"/>
      <c r="CF5304" s="319"/>
      <c r="CG5304" s="319"/>
      <c r="CH5304" s="318"/>
      <c r="CI5304" s="319"/>
      <c r="CJ5304" s="319"/>
      <c r="CK5304" s="342"/>
      <c r="CL5304" s="333"/>
      <c r="CM5304" s="1079"/>
      <c r="CN5304" s="1005"/>
      <c r="CO5304" s="1005"/>
      <c r="CP5304" s="1005"/>
    </row>
    <row r="5305">
      <c r="A5305" s="1257"/>
      <c r="B5305" s="1113"/>
      <c r="C5305" s="1107"/>
      <c r="D5305" s="103"/>
      <c r="E5305" s="1137"/>
      <c r="F5305" s="112"/>
      <c r="G5305" s="1110"/>
      <c r="H5305" s="1138"/>
      <c r="I5305" s="1138"/>
      <c r="J5305" s="1139"/>
      <c r="K5305" s="1111"/>
      <c r="L5305" s="1112"/>
      <c r="M5305" s="1113"/>
      <c r="N5305" s="110"/>
      <c r="O5305" s="1140"/>
      <c r="P5305" s="1115"/>
      <c r="Q5305" s="1116"/>
      <c r="R5305" s="1141"/>
      <c r="S5305" s="1113"/>
      <c r="T5305" s="1143"/>
      <c r="U5305" s="1108"/>
      <c r="V5305" s="1108"/>
      <c r="W5305" s="1108"/>
      <c r="X5305" s="1108"/>
      <c r="Y5305" s="1108"/>
      <c r="Z5305" s="1114"/>
      <c r="AA5305" s="1114"/>
      <c r="AB5305" s="1114"/>
      <c r="AC5305" s="1117"/>
      <c r="AD5305" s="1115"/>
      <c r="AE5305" s="1115"/>
      <c r="AF5305" s="1115"/>
      <c r="AG5305" s="1115"/>
      <c r="AH5305" s="1115"/>
      <c r="AI5305" s="1115"/>
      <c r="AJ5305" s="1117"/>
      <c r="AK5305" s="1118"/>
      <c r="AL5305" s="1115"/>
      <c r="AM5305" s="1115"/>
      <c r="AN5305" s="1115"/>
      <c r="AO5305" s="1115"/>
      <c r="AP5305" s="1115"/>
      <c r="AQ5305" s="1115"/>
      <c r="AR5305" s="1115"/>
      <c r="AS5305" s="1117"/>
      <c r="AT5305" s="1075"/>
      <c r="AU5305" s="1193"/>
      <c r="AV5305" s="330"/>
      <c r="AW5305" s="331"/>
      <c r="AX5305" s="331"/>
      <c r="AY5305" s="331"/>
      <c r="AZ5305" s="331"/>
      <c r="BA5305" s="331"/>
      <c r="BB5305" s="331"/>
      <c r="BC5305" s="331"/>
      <c r="BD5305" s="331"/>
      <c r="BE5305" s="333"/>
      <c r="BF5305" s="330"/>
      <c r="BG5305" s="333"/>
      <c r="BH5305" s="1119"/>
      <c r="BI5305" s="319"/>
      <c r="BJ5305" s="319"/>
      <c r="BK5305" s="319"/>
      <c r="BL5305" s="319"/>
      <c r="BM5305" s="319"/>
      <c r="BN5305" s="319"/>
      <c r="BO5305" s="319"/>
      <c r="BP5305" s="953"/>
      <c r="BQ5305" s="319"/>
      <c r="BR5305" s="319"/>
      <c r="BS5305" s="330"/>
      <c r="BT5305" s="331"/>
      <c r="BU5305" s="920"/>
      <c r="BV5305" s="903"/>
      <c r="BW5305" s="908"/>
      <c r="BX5305" s="908"/>
      <c r="BY5305" s="331"/>
      <c r="BZ5305" s="331"/>
      <c r="CA5305" s="462"/>
      <c r="CB5305" s="319"/>
      <c r="CC5305" s="319"/>
      <c r="CD5305" s="319"/>
      <c r="CE5305" s="319"/>
      <c r="CF5305" s="319"/>
      <c r="CG5305" s="319"/>
      <c r="CH5305" s="318"/>
      <c r="CI5305" s="319"/>
      <c r="CJ5305" s="319"/>
      <c r="CK5305" s="342"/>
      <c r="CL5305" s="333"/>
      <c r="CM5305" s="1079"/>
      <c r="CN5305" s="1005"/>
      <c r="CO5305" s="1005"/>
      <c r="CP5305" s="1005"/>
    </row>
    <row r="5306">
      <c r="A5306" s="1257"/>
      <c r="B5306" s="1113"/>
      <c r="C5306" s="1107"/>
      <c r="D5306" s="103"/>
      <c r="E5306" s="1137"/>
      <c r="F5306" s="112"/>
      <c r="G5306" s="1110"/>
      <c r="H5306" s="1138"/>
      <c r="I5306" s="1138"/>
      <c r="J5306" s="1139"/>
      <c r="K5306" s="1111"/>
      <c r="L5306" s="1112"/>
      <c r="M5306" s="1113"/>
      <c r="N5306" s="110"/>
      <c r="O5306" s="1140"/>
      <c r="P5306" s="1115"/>
      <c r="Q5306" s="1116"/>
      <c r="R5306" s="1141"/>
      <c r="S5306" s="1113"/>
      <c r="T5306" s="1143"/>
      <c r="U5306" s="1108"/>
      <c r="V5306" s="1108"/>
      <c r="W5306" s="1108"/>
      <c r="X5306" s="1108"/>
      <c r="Y5306" s="1108"/>
      <c r="Z5306" s="1114"/>
      <c r="AA5306" s="1114"/>
      <c r="AB5306" s="1114"/>
      <c r="AC5306" s="1117"/>
      <c r="AD5306" s="1115"/>
      <c r="AE5306" s="1115"/>
      <c r="AF5306" s="1115"/>
      <c r="AG5306" s="1115"/>
      <c r="AH5306" s="1115"/>
      <c r="AI5306" s="1115"/>
      <c r="AJ5306" s="1117"/>
      <c r="AK5306" s="1118"/>
      <c r="AL5306" s="1115"/>
      <c r="AM5306" s="1115"/>
      <c r="AN5306" s="1115"/>
      <c r="AO5306" s="1115"/>
      <c r="AP5306" s="1115"/>
      <c r="AQ5306" s="1115"/>
      <c r="AR5306" s="1115"/>
      <c r="AS5306" s="1117"/>
      <c r="AT5306" s="1075"/>
      <c r="AU5306" s="1193"/>
      <c r="AV5306" s="330"/>
      <c r="AW5306" s="331"/>
      <c r="AX5306" s="331"/>
      <c r="AY5306" s="331"/>
      <c r="AZ5306" s="331"/>
      <c r="BA5306" s="331"/>
      <c r="BB5306" s="331"/>
      <c r="BC5306" s="331"/>
      <c r="BD5306" s="331"/>
      <c r="BE5306" s="333"/>
      <c r="BF5306" s="330"/>
      <c r="BG5306" s="333"/>
      <c r="BH5306" s="1119"/>
      <c r="BI5306" s="319"/>
      <c r="BJ5306" s="319"/>
      <c r="BK5306" s="319"/>
      <c r="BL5306" s="319"/>
      <c r="BM5306" s="319"/>
      <c r="BN5306" s="319"/>
      <c r="BO5306" s="319"/>
      <c r="BP5306" s="953"/>
      <c r="BQ5306" s="319"/>
      <c r="BR5306" s="319"/>
      <c r="BS5306" s="330"/>
      <c r="BT5306" s="331"/>
      <c r="BU5306" s="920"/>
      <c r="BV5306" s="903"/>
      <c r="BW5306" s="908"/>
      <c r="BX5306" s="908"/>
      <c r="BY5306" s="331"/>
      <c r="BZ5306" s="331"/>
      <c r="CA5306" s="462"/>
      <c r="CB5306" s="319"/>
      <c r="CC5306" s="319"/>
      <c r="CD5306" s="319"/>
      <c r="CE5306" s="319"/>
      <c r="CF5306" s="319"/>
      <c r="CG5306" s="319"/>
      <c r="CH5306" s="318"/>
      <c r="CI5306" s="319"/>
      <c r="CJ5306" s="319"/>
      <c r="CK5306" s="342"/>
      <c r="CL5306" s="333"/>
      <c r="CM5306" s="1079"/>
      <c r="CN5306" s="1005"/>
      <c r="CO5306" s="1005"/>
      <c r="CP5306" s="1005"/>
    </row>
    <row r="5307">
      <c r="A5307" s="1257"/>
      <c r="B5307" s="1113"/>
      <c r="C5307" s="1107"/>
      <c r="D5307" s="103"/>
      <c r="E5307" s="1137"/>
      <c r="F5307" s="112"/>
      <c r="G5307" s="1110"/>
      <c r="H5307" s="1138"/>
      <c r="I5307" s="1138"/>
      <c r="J5307" s="1139"/>
      <c r="K5307" s="1111"/>
      <c r="L5307" s="1112"/>
      <c r="M5307" s="1113"/>
      <c r="N5307" s="110"/>
      <c r="O5307" s="1140"/>
      <c r="P5307" s="1115"/>
      <c r="Q5307" s="1116"/>
      <c r="R5307" s="1141"/>
      <c r="S5307" s="1113"/>
      <c r="T5307" s="1143"/>
      <c r="U5307" s="1108"/>
      <c r="V5307" s="1108"/>
      <c r="W5307" s="1108"/>
      <c r="X5307" s="1108"/>
      <c r="Y5307" s="1108"/>
      <c r="Z5307" s="1114"/>
      <c r="AA5307" s="1114"/>
      <c r="AB5307" s="1114"/>
      <c r="AC5307" s="1117"/>
      <c r="AD5307" s="1115"/>
      <c r="AE5307" s="1115"/>
      <c r="AF5307" s="1115"/>
      <c r="AG5307" s="1115"/>
      <c r="AH5307" s="1115"/>
      <c r="AI5307" s="1115"/>
      <c r="AJ5307" s="1117"/>
      <c r="AK5307" s="1118"/>
      <c r="AL5307" s="1115"/>
      <c r="AM5307" s="1115"/>
      <c r="AN5307" s="1115"/>
      <c r="AO5307" s="1115"/>
      <c r="AP5307" s="1115"/>
      <c r="AQ5307" s="1115"/>
      <c r="AR5307" s="1115"/>
      <c r="AS5307" s="1117"/>
      <c r="AT5307" s="1075"/>
      <c r="AU5307" s="1193"/>
      <c r="AV5307" s="330"/>
      <c r="AW5307" s="331"/>
      <c r="AX5307" s="331"/>
      <c r="AY5307" s="331"/>
      <c r="AZ5307" s="331"/>
      <c r="BA5307" s="331"/>
      <c r="BB5307" s="331"/>
      <c r="BC5307" s="331"/>
      <c r="BD5307" s="331"/>
      <c r="BE5307" s="333"/>
      <c r="BF5307" s="330"/>
      <c r="BG5307" s="333"/>
      <c r="BH5307" s="1119"/>
      <c r="BI5307" s="319"/>
      <c r="BJ5307" s="319"/>
      <c r="BK5307" s="319"/>
      <c r="BL5307" s="319"/>
      <c r="BM5307" s="319"/>
      <c r="BN5307" s="319"/>
      <c r="BO5307" s="319"/>
      <c r="BP5307" s="953"/>
      <c r="BQ5307" s="319"/>
      <c r="BR5307" s="319"/>
      <c r="BS5307" s="330"/>
      <c r="BT5307" s="331"/>
      <c r="BU5307" s="920"/>
      <c r="BV5307" s="903"/>
      <c r="BW5307" s="908"/>
      <c r="BX5307" s="908"/>
      <c r="BY5307" s="331"/>
      <c r="BZ5307" s="331"/>
      <c r="CA5307" s="462"/>
      <c r="CB5307" s="319"/>
      <c r="CC5307" s="319"/>
      <c r="CD5307" s="319"/>
      <c r="CE5307" s="319"/>
      <c r="CF5307" s="319"/>
      <c r="CG5307" s="319"/>
      <c r="CH5307" s="318"/>
      <c r="CI5307" s="319"/>
      <c r="CJ5307" s="319"/>
      <c r="CK5307" s="342"/>
      <c r="CL5307" s="333"/>
      <c r="CM5307" s="1079"/>
      <c r="CN5307" s="1005"/>
      <c r="CO5307" s="1005"/>
      <c r="CP5307" s="1005"/>
    </row>
    <row r="5308">
      <c r="A5308" s="1257"/>
      <c r="B5308" s="1113"/>
      <c r="C5308" s="1107"/>
      <c r="D5308" s="103"/>
      <c r="E5308" s="1137"/>
      <c r="F5308" s="112"/>
      <c r="G5308" s="1110"/>
      <c r="H5308" s="1138"/>
      <c r="I5308" s="1138"/>
      <c r="J5308" s="1139"/>
      <c r="K5308" s="1111"/>
      <c r="L5308" s="1112"/>
      <c r="M5308" s="1113"/>
      <c r="N5308" s="110"/>
      <c r="O5308" s="1140"/>
      <c r="P5308" s="1115"/>
      <c r="Q5308" s="1116"/>
      <c r="R5308" s="1141"/>
      <c r="S5308" s="1113"/>
      <c r="T5308" s="1143"/>
      <c r="U5308" s="1108"/>
      <c r="V5308" s="1108"/>
      <c r="W5308" s="1108"/>
      <c r="X5308" s="1108"/>
      <c r="Y5308" s="1108"/>
      <c r="Z5308" s="1114"/>
      <c r="AA5308" s="1114"/>
      <c r="AB5308" s="1114"/>
      <c r="AC5308" s="1117"/>
      <c r="AD5308" s="1115"/>
      <c r="AE5308" s="1115"/>
      <c r="AF5308" s="1115"/>
      <c r="AG5308" s="1115"/>
      <c r="AH5308" s="1115"/>
      <c r="AI5308" s="1115"/>
      <c r="AJ5308" s="1117"/>
      <c r="AK5308" s="1118"/>
      <c r="AL5308" s="1115"/>
      <c r="AM5308" s="1115"/>
      <c r="AN5308" s="1115"/>
      <c r="AO5308" s="1115"/>
      <c r="AP5308" s="1115"/>
      <c r="AQ5308" s="1115"/>
      <c r="AR5308" s="1115"/>
      <c r="AS5308" s="1117"/>
      <c r="AT5308" s="1075"/>
      <c r="AU5308" s="1193"/>
      <c r="AV5308" s="330"/>
      <c r="AW5308" s="331"/>
      <c r="AX5308" s="331"/>
      <c r="AY5308" s="331"/>
      <c r="AZ5308" s="331"/>
      <c r="BA5308" s="331"/>
      <c r="BB5308" s="331"/>
      <c r="BC5308" s="331"/>
      <c r="BD5308" s="331"/>
      <c r="BE5308" s="333"/>
      <c r="BF5308" s="330"/>
      <c r="BG5308" s="333"/>
      <c r="BH5308" s="1119"/>
      <c r="BI5308" s="319"/>
      <c r="BJ5308" s="319"/>
      <c r="BK5308" s="319"/>
      <c r="BL5308" s="319"/>
      <c r="BM5308" s="319"/>
      <c r="BN5308" s="319"/>
      <c r="BO5308" s="319"/>
      <c r="BP5308" s="953"/>
      <c r="BQ5308" s="319"/>
      <c r="BR5308" s="319"/>
      <c r="BS5308" s="330"/>
      <c r="BT5308" s="331"/>
      <c r="BU5308" s="920"/>
      <c r="BV5308" s="903"/>
      <c r="BW5308" s="908"/>
      <c r="BX5308" s="908"/>
      <c r="BY5308" s="331"/>
      <c r="BZ5308" s="331"/>
      <c r="CA5308" s="462"/>
      <c r="CB5308" s="319"/>
      <c r="CC5308" s="319"/>
      <c r="CD5308" s="319"/>
      <c r="CE5308" s="319"/>
      <c r="CF5308" s="319"/>
      <c r="CG5308" s="319"/>
      <c r="CH5308" s="318"/>
      <c r="CI5308" s="319"/>
      <c r="CJ5308" s="319"/>
      <c r="CK5308" s="342"/>
      <c r="CL5308" s="333"/>
      <c r="CM5308" s="1079"/>
      <c r="CN5308" s="1005"/>
      <c r="CO5308" s="1005"/>
      <c r="CP5308" s="1005"/>
    </row>
    <row r="5309">
      <c r="A5309" s="1257"/>
      <c r="B5309" s="1113"/>
      <c r="C5309" s="1107"/>
      <c r="D5309" s="103"/>
      <c r="E5309" s="1137"/>
      <c r="F5309" s="112"/>
      <c r="G5309" s="1110"/>
      <c r="H5309" s="1138"/>
      <c r="I5309" s="1138"/>
      <c r="J5309" s="1139"/>
      <c r="K5309" s="1111"/>
      <c r="L5309" s="1112"/>
      <c r="M5309" s="1113"/>
      <c r="N5309" s="110"/>
      <c r="O5309" s="1140"/>
      <c r="P5309" s="1115"/>
      <c r="Q5309" s="1116"/>
      <c r="R5309" s="1141"/>
      <c r="S5309" s="1113"/>
      <c r="T5309" s="1143"/>
      <c r="U5309" s="1108"/>
      <c r="V5309" s="1108"/>
      <c r="W5309" s="1108"/>
      <c r="X5309" s="1108"/>
      <c r="Y5309" s="1108"/>
      <c r="Z5309" s="1114"/>
      <c r="AA5309" s="1114"/>
      <c r="AB5309" s="1114"/>
      <c r="AC5309" s="1117"/>
      <c r="AD5309" s="1115"/>
      <c r="AE5309" s="1115"/>
      <c r="AF5309" s="1115"/>
      <c r="AG5309" s="1115"/>
      <c r="AH5309" s="1115"/>
      <c r="AI5309" s="1115"/>
      <c r="AJ5309" s="1117"/>
      <c r="AK5309" s="1118"/>
      <c r="AL5309" s="1115"/>
      <c r="AM5309" s="1115"/>
      <c r="AN5309" s="1115"/>
      <c r="AO5309" s="1115"/>
      <c r="AP5309" s="1115"/>
      <c r="AQ5309" s="1115"/>
      <c r="AR5309" s="1115"/>
      <c r="AS5309" s="1117"/>
      <c r="AT5309" s="1075"/>
      <c r="AU5309" s="1193"/>
      <c r="AV5309" s="330"/>
      <c r="AW5309" s="331"/>
      <c r="AX5309" s="331"/>
      <c r="AY5309" s="331"/>
      <c r="AZ5309" s="331"/>
      <c r="BA5309" s="331"/>
      <c r="BB5309" s="331"/>
      <c r="BC5309" s="331"/>
      <c r="BD5309" s="331"/>
      <c r="BE5309" s="333"/>
      <c r="BF5309" s="330"/>
      <c r="BG5309" s="333"/>
      <c r="BH5309" s="1119"/>
      <c r="BI5309" s="319"/>
      <c r="BJ5309" s="319"/>
      <c r="BK5309" s="319"/>
      <c r="BL5309" s="319"/>
      <c r="BM5309" s="319"/>
      <c r="BN5309" s="319"/>
      <c r="BO5309" s="319"/>
      <c r="BP5309" s="953"/>
      <c r="BQ5309" s="319"/>
      <c r="BR5309" s="319"/>
      <c r="BS5309" s="330"/>
      <c r="BT5309" s="331"/>
      <c r="BU5309" s="920"/>
      <c r="BV5309" s="903"/>
      <c r="BW5309" s="908"/>
      <c r="BX5309" s="908"/>
      <c r="BY5309" s="331"/>
      <c r="BZ5309" s="331"/>
      <c r="CA5309" s="462"/>
      <c r="CB5309" s="319"/>
      <c r="CC5309" s="319"/>
      <c r="CD5309" s="319"/>
      <c r="CE5309" s="319"/>
      <c r="CF5309" s="319"/>
      <c r="CG5309" s="319"/>
      <c r="CH5309" s="318"/>
      <c r="CI5309" s="319"/>
      <c r="CJ5309" s="319"/>
      <c r="CK5309" s="342"/>
      <c r="CL5309" s="333"/>
      <c r="CM5309" s="1079"/>
      <c r="CN5309" s="1005"/>
      <c r="CO5309" s="1005"/>
      <c r="CP5309" s="1005"/>
    </row>
    <row r="5310">
      <c r="A5310" s="1257"/>
      <c r="B5310" s="1113"/>
      <c r="C5310" s="1107"/>
      <c r="D5310" s="103"/>
      <c r="E5310" s="1137"/>
      <c r="F5310" s="112"/>
      <c r="G5310" s="1110"/>
      <c r="H5310" s="1138"/>
      <c r="I5310" s="1138"/>
      <c r="J5310" s="1139"/>
      <c r="K5310" s="1111"/>
      <c r="L5310" s="1112"/>
      <c r="M5310" s="1113"/>
      <c r="N5310" s="110"/>
      <c r="O5310" s="1140"/>
      <c r="P5310" s="1115"/>
      <c r="Q5310" s="1116"/>
      <c r="R5310" s="1141"/>
      <c r="S5310" s="1113"/>
      <c r="T5310" s="1143"/>
      <c r="U5310" s="1108"/>
      <c r="V5310" s="1108"/>
      <c r="W5310" s="1108"/>
      <c r="X5310" s="1108"/>
      <c r="Y5310" s="1108"/>
      <c r="Z5310" s="1114"/>
      <c r="AA5310" s="1114"/>
      <c r="AB5310" s="1114"/>
      <c r="AC5310" s="1117"/>
      <c r="AD5310" s="1115"/>
      <c r="AE5310" s="1115"/>
      <c r="AF5310" s="1115"/>
      <c r="AG5310" s="1115"/>
      <c r="AH5310" s="1115"/>
      <c r="AI5310" s="1115"/>
      <c r="AJ5310" s="1117"/>
      <c r="AK5310" s="1118"/>
      <c r="AL5310" s="1115"/>
      <c r="AM5310" s="1115"/>
      <c r="AN5310" s="1115"/>
      <c r="AO5310" s="1115"/>
      <c r="AP5310" s="1115"/>
      <c r="AQ5310" s="1115"/>
      <c r="AR5310" s="1115"/>
      <c r="AS5310" s="1117"/>
      <c r="AT5310" s="1075"/>
      <c r="AU5310" s="1193"/>
      <c r="AV5310" s="330"/>
      <c r="AW5310" s="331"/>
      <c r="AX5310" s="331"/>
      <c r="AY5310" s="331"/>
      <c r="AZ5310" s="331"/>
      <c r="BA5310" s="331"/>
      <c r="BB5310" s="331"/>
      <c r="BC5310" s="331"/>
      <c r="BD5310" s="331"/>
      <c r="BE5310" s="333"/>
      <c r="BF5310" s="330"/>
      <c r="BG5310" s="333"/>
      <c r="BH5310" s="1119"/>
      <c r="BI5310" s="319"/>
      <c r="BJ5310" s="319"/>
      <c r="BK5310" s="319"/>
      <c r="BL5310" s="319"/>
      <c r="BM5310" s="319"/>
      <c r="BN5310" s="319"/>
      <c r="BO5310" s="319"/>
      <c r="BP5310" s="953"/>
      <c r="BQ5310" s="319"/>
      <c r="BR5310" s="319"/>
      <c r="BS5310" s="330"/>
      <c r="BT5310" s="331"/>
      <c r="BU5310" s="920"/>
      <c r="BV5310" s="903"/>
      <c r="BW5310" s="908"/>
      <c r="BX5310" s="908"/>
      <c r="BY5310" s="331"/>
      <c r="BZ5310" s="331"/>
      <c r="CA5310" s="462"/>
      <c r="CB5310" s="319"/>
      <c r="CC5310" s="319"/>
      <c r="CD5310" s="319"/>
      <c r="CE5310" s="319"/>
      <c r="CF5310" s="319"/>
      <c r="CG5310" s="319"/>
      <c r="CH5310" s="318"/>
      <c r="CI5310" s="319"/>
      <c r="CJ5310" s="319"/>
      <c r="CK5310" s="342"/>
      <c r="CL5310" s="333"/>
      <c r="CM5310" s="1079"/>
      <c r="CN5310" s="1005"/>
      <c r="CO5310" s="1005"/>
      <c r="CP5310" s="1005"/>
    </row>
    <row r="5311">
      <c r="A5311" s="1257"/>
      <c r="B5311" s="1113"/>
      <c r="C5311" s="1107"/>
      <c r="D5311" s="103"/>
      <c r="E5311" s="1137"/>
      <c r="F5311" s="112"/>
      <c r="G5311" s="1110"/>
      <c r="H5311" s="1138"/>
      <c r="I5311" s="1138"/>
      <c r="J5311" s="1139"/>
      <c r="K5311" s="1111"/>
      <c r="L5311" s="1112"/>
      <c r="M5311" s="1113"/>
      <c r="N5311" s="110"/>
      <c r="O5311" s="1140"/>
      <c r="P5311" s="1115"/>
      <c r="Q5311" s="1116"/>
      <c r="R5311" s="1141"/>
      <c r="S5311" s="1113"/>
      <c r="T5311" s="1143"/>
      <c r="U5311" s="1108"/>
      <c r="V5311" s="1108"/>
      <c r="W5311" s="1108"/>
      <c r="X5311" s="1108"/>
      <c r="Y5311" s="1108"/>
      <c r="Z5311" s="1114"/>
      <c r="AA5311" s="1114"/>
      <c r="AB5311" s="1114"/>
      <c r="AC5311" s="1117"/>
      <c r="AD5311" s="1115"/>
      <c r="AE5311" s="1115"/>
      <c r="AF5311" s="1115"/>
      <c r="AG5311" s="1115"/>
      <c r="AH5311" s="1115"/>
      <c r="AI5311" s="1115"/>
      <c r="AJ5311" s="1117"/>
      <c r="AK5311" s="1118"/>
      <c r="AL5311" s="1115"/>
      <c r="AM5311" s="1115"/>
      <c r="AN5311" s="1115"/>
      <c r="AO5311" s="1115"/>
      <c r="AP5311" s="1115"/>
      <c r="AQ5311" s="1115"/>
      <c r="AR5311" s="1115"/>
      <c r="AS5311" s="1117"/>
      <c r="AT5311" s="1075"/>
      <c r="AU5311" s="1193"/>
      <c r="AV5311" s="330"/>
      <c r="AW5311" s="331"/>
      <c r="AX5311" s="331"/>
      <c r="AY5311" s="331"/>
      <c r="AZ5311" s="331"/>
      <c r="BA5311" s="331"/>
      <c r="BB5311" s="331"/>
      <c r="BC5311" s="331"/>
      <c r="BD5311" s="331"/>
      <c r="BE5311" s="333"/>
      <c r="BF5311" s="330"/>
      <c r="BG5311" s="333"/>
      <c r="BH5311" s="1119"/>
      <c r="BI5311" s="319"/>
      <c r="BJ5311" s="319"/>
      <c r="BK5311" s="319"/>
      <c r="BL5311" s="319"/>
      <c r="BM5311" s="319"/>
      <c r="BN5311" s="319"/>
      <c r="BO5311" s="319"/>
      <c r="BP5311" s="953"/>
      <c r="BQ5311" s="319"/>
      <c r="BR5311" s="319"/>
      <c r="BS5311" s="330"/>
      <c r="BT5311" s="331"/>
      <c r="BU5311" s="920"/>
      <c r="BV5311" s="903"/>
      <c r="BW5311" s="908"/>
      <c r="BX5311" s="908"/>
      <c r="BY5311" s="331"/>
      <c r="BZ5311" s="331"/>
      <c r="CA5311" s="462"/>
      <c r="CB5311" s="319"/>
      <c r="CC5311" s="319"/>
      <c r="CD5311" s="319"/>
      <c r="CE5311" s="319"/>
      <c r="CF5311" s="319"/>
      <c r="CG5311" s="319"/>
      <c r="CH5311" s="318"/>
      <c r="CI5311" s="319"/>
      <c r="CJ5311" s="319"/>
      <c r="CK5311" s="342"/>
      <c r="CL5311" s="333"/>
      <c r="CM5311" s="1079"/>
      <c r="CN5311" s="1005"/>
      <c r="CO5311" s="1005"/>
      <c r="CP5311" s="1005"/>
    </row>
    <row r="5312">
      <c r="A5312" s="1257"/>
      <c r="B5312" s="1113"/>
      <c r="C5312" s="1107"/>
      <c r="D5312" s="103"/>
      <c r="E5312" s="1137"/>
      <c r="F5312" s="112"/>
      <c r="G5312" s="1110"/>
      <c r="H5312" s="1138"/>
      <c r="I5312" s="1138"/>
      <c r="J5312" s="1139"/>
      <c r="K5312" s="1111"/>
      <c r="L5312" s="1112"/>
      <c r="M5312" s="1113"/>
      <c r="N5312" s="110"/>
      <c r="O5312" s="1140"/>
      <c r="P5312" s="1115"/>
      <c r="Q5312" s="1116"/>
      <c r="R5312" s="1141"/>
      <c r="S5312" s="1113"/>
      <c r="T5312" s="1143"/>
      <c r="U5312" s="1108"/>
      <c r="V5312" s="1108"/>
      <c r="W5312" s="1108"/>
      <c r="X5312" s="1108"/>
      <c r="Y5312" s="1108"/>
      <c r="Z5312" s="1114"/>
      <c r="AA5312" s="1114"/>
      <c r="AB5312" s="1114"/>
      <c r="AC5312" s="1117"/>
      <c r="AD5312" s="1115"/>
      <c r="AE5312" s="1115"/>
      <c r="AF5312" s="1115"/>
      <c r="AG5312" s="1115"/>
      <c r="AH5312" s="1115"/>
      <c r="AI5312" s="1115"/>
      <c r="AJ5312" s="1117"/>
      <c r="AK5312" s="1118"/>
      <c r="AL5312" s="1115"/>
      <c r="AM5312" s="1115"/>
      <c r="AN5312" s="1115"/>
      <c r="AO5312" s="1115"/>
      <c r="AP5312" s="1115"/>
      <c r="AQ5312" s="1115"/>
      <c r="AR5312" s="1115"/>
      <c r="AS5312" s="1117"/>
      <c r="AT5312" s="1075"/>
      <c r="AU5312" s="1193"/>
      <c r="AV5312" s="330"/>
      <c r="AW5312" s="331"/>
      <c r="AX5312" s="331"/>
      <c r="AY5312" s="331"/>
      <c r="AZ5312" s="331"/>
      <c r="BA5312" s="331"/>
      <c r="BB5312" s="331"/>
      <c r="BC5312" s="331"/>
      <c r="BD5312" s="331"/>
      <c r="BE5312" s="333"/>
      <c r="BF5312" s="330"/>
      <c r="BG5312" s="333"/>
      <c r="BH5312" s="1119"/>
      <c r="BI5312" s="319"/>
      <c r="BJ5312" s="319"/>
      <c r="BK5312" s="319"/>
      <c r="BL5312" s="319"/>
      <c r="BM5312" s="319"/>
      <c r="BN5312" s="319"/>
      <c r="BO5312" s="319"/>
      <c r="BP5312" s="953"/>
      <c r="BQ5312" s="319"/>
      <c r="BR5312" s="319"/>
      <c r="BS5312" s="330"/>
      <c r="BT5312" s="331"/>
      <c r="BU5312" s="920"/>
      <c r="BV5312" s="903"/>
      <c r="BW5312" s="908"/>
      <c r="BX5312" s="908"/>
      <c r="BY5312" s="331"/>
      <c r="BZ5312" s="331"/>
      <c r="CA5312" s="462"/>
      <c r="CB5312" s="319"/>
      <c r="CC5312" s="319"/>
      <c r="CD5312" s="319"/>
      <c r="CE5312" s="319"/>
      <c r="CF5312" s="319"/>
      <c r="CG5312" s="319"/>
      <c r="CH5312" s="318"/>
      <c r="CI5312" s="319"/>
      <c r="CJ5312" s="319"/>
      <c r="CK5312" s="342"/>
      <c r="CL5312" s="333"/>
      <c r="CM5312" s="1079"/>
      <c r="CN5312" s="1005"/>
      <c r="CO5312" s="1005"/>
      <c r="CP5312" s="1005"/>
    </row>
    <row r="5313">
      <c r="A5313" s="1257"/>
      <c r="B5313" s="1113"/>
      <c r="C5313" s="1107"/>
      <c r="D5313" s="103"/>
      <c r="E5313" s="1137"/>
      <c r="F5313" s="112"/>
      <c r="G5313" s="1110"/>
      <c r="H5313" s="1138"/>
      <c r="I5313" s="1138"/>
      <c r="J5313" s="1139"/>
      <c r="K5313" s="1111"/>
      <c r="L5313" s="1112"/>
      <c r="M5313" s="1113"/>
      <c r="N5313" s="110"/>
      <c r="O5313" s="1140"/>
      <c r="P5313" s="1115"/>
      <c r="Q5313" s="1116"/>
      <c r="R5313" s="1141"/>
      <c r="S5313" s="1113"/>
      <c r="T5313" s="1143"/>
      <c r="U5313" s="1108"/>
      <c r="V5313" s="1108"/>
      <c r="W5313" s="1108"/>
      <c r="X5313" s="1108"/>
      <c r="Y5313" s="1108"/>
      <c r="Z5313" s="1114"/>
      <c r="AA5313" s="1114"/>
      <c r="AB5313" s="1114"/>
      <c r="AC5313" s="1117"/>
      <c r="AD5313" s="1115"/>
      <c r="AE5313" s="1115"/>
      <c r="AF5313" s="1115"/>
      <c r="AG5313" s="1115"/>
      <c r="AH5313" s="1115"/>
      <c r="AI5313" s="1115"/>
      <c r="AJ5313" s="1117"/>
      <c r="AK5313" s="1118"/>
      <c r="AL5313" s="1115"/>
      <c r="AM5313" s="1115"/>
      <c r="AN5313" s="1115"/>
      <c r="AO5313" s="1115"/>
      <c r="AP5313" s="1115"/>
      <c r="AQ5313" s="1115"/>
      <c r="AR5313" s="1115"/>
      <c r="AS5313" s="1117"/>
      <c r="AT5313" s="1075"/>
      <c r="AU5313" s="1193"/>
      <c r="AV5313" s="330"/>
      <c r="AW5313" s="331"/>
      <c r="AX5313" s="331"/>
      <c r="AY5313" s="331"/>
      <c r="AZ5313" s="331"/>
      <c r="BA5313" s="331"/>
      <c r="BB5313" s="331"/>
      <c r="BC5313" s="331"/>
      <c r="BD5313" s="331"/>
      <c r="BE5313" s="333"/>
      <c r="BF5313" s="330"/>
      <c r="BG5313" s="333"/>
      <c r="BH5313" s="1119"/>
      <c r="BI5313" s="319"/>
      <c r="BJ5313" s="319"/>
      <c r="BK5313" s="319"/>
      <c r="BL5313" s="319"/>
      <c r="BM5313" s="319"/>
      <c r="BN5313" s="319"/>
      <c r="BO5313" s="319"/>
      <c r="BP5313" s="953"/>
      <c r="BQ5313" s="319"/>
      <c r="BR5313" s="319"/>
      <c r="BS5313" s="330"/>
      <c r="BT5313" s="331"/>
      <c r="BU5313" s="920"/>
      <c r="BV5313" s="903"/>
      <c r="BW5313" s="908"/>
      <c r="BX5313" s="908"/>
      <c r="BY5313" s="331"/>
      <c r="BZ5313" s="331"/>
      <c r="CA5313" s="462"/>
      <c r="CB5313" s="319"/>
      <c r="CC5313" s="319"/>
      <c r="CD5313" s="319"/>
      <c r="CE5313" s="319"/>
      <c r="CF5313" s="319"/>
      <c r="CG5313" s="319"/>
      <c r="CH5313" s="318"/>
      <c r="CI5313" s="319"/>
      <c r="CJ5313" s="319"/>
      <c r="CK5313" s="342"/>
      <c r="CL5313" s="333"/>
      <c r="CM5313" s="1079"/>
      <c r="CN5313" s="1005"/>
      <c r="CO5313" s="1005"/>
      <c r="CP5313" s="1005"/>
    </row>
    <row r="5314">
      <c r="A5314" s="1257"/>
      <c r="B5314" s="1113"/>
      <c r="C5314" s="1107"/>
      <c r="D5314" s="103"/>
      <c r="E5314" s="1137"/>
      <c r="F5314" s="112"/>
      <c r="G5314" s="1110"/>
      <c r="H5314" s="1138"/>
      <c r="I5314" s="1138"/>
      <c r="J5314" s="1139"/>
      <c r="K5314" s="1111"/>
      <c r="L5314" s="1112"/>
      <c r="M5314" s="1113"/>
      <c r="N5314" s="110"/>
      <c r="O5314" s="1140"/>
      <c r="P5314" s="1115"/>
      <c r="Q5314" s="1116"/>
      <c r="R5314" s="1141"/>
      <c r="S5314" s="1113"/>
      <c r="T5314" s="1143"/>
      <c r="U5314" s="1108"/>
      <c r="V5314" s="1108"/>
      <c r="W5314" s="1108"/>
      <c r="X5314" s="1108"/>
      <c r="Y5314" s="1108"/>
      <c r="Z5314" s="1114"/>
      <c r="AA5314" s="1114"/>
      <c r="AB5314" s="1114"/>
      <c r="AC5314" s="1117"/>
      <c r="AD5314" s="1115"/>
      <c r="AE5314" s="1115"/>
      <c r="AF5314" s="1115"/>
      <c r="AG5314" s="1115"/>
      <c r="AH5314" s="1115"/>
      <c r="AI5314" s="1115"/>
      <c r="AJ5314" s="1117"/>
      <c r="AK5314" s="1118"/>
      <c r="AL5314" s="1115"/>
      <c r="AM5314" s="1115"/>
      <c r="AN5314" s="1115"/>
      <c r="AO5314" s="1115"/>
      <c r="AP5314" s="1115"/>
      <c r="AQ5314" s="1115"/>
      <c r="AR5314" s="1115"/>
      <c r="AS5314" s="1117"/>
      <c r="AT5314" s="1075"/>
      <c r="AU5314" s="1193"/>
      <c r="AV5314" s="330"/>
      <c r="AW5314" s="331"/>
      <c r="AX5314" s="331"/>
      <c r="AY5314" s="331"/>
      <c r="AZ5314" s="331"/>
      <c r="BA5314" s="331"/>
      <c r="BB5314" s="331"/>
      <c r="BC5314" s="331"/>
      <c r="BD5314" s="331"/>
      <c r="BE5314" s="333"/>
      <c r="BF5314" s="330"/>
      <c r="BG5314" s="333"/>
      <c r="BH5314" s="1119"/>
      <c r="BI5314" s="319"/>
      <c r="BJ5314" s="319"/>
      <c r="BK5314" s="319"/>
      <c r="BL5314" s="319"/>
      <c r="BM5314" s="319"/>
      <c r="BN5314" s="319"/>
      <c r="BO5314" s="319"/>
      <c r="BP5314" s="953"/>
      <c r="BQ5314" s="319"/>
      <c r="BR5314" s="319"/>
      <c r="BS5314" s="330"/>
      <c r="BT5314" s="331"/>
      <c r="BU5314" s="920"/>
      <c r="BV5314" s="903"/>
      <c r="BW5314" s="908"/>
      <c r="BX5314" s="908"/>
      <c r="BY5314" s="331"/>
      <c r="BZ5314" s="331"/>
      <c r="CA5314" s="462"/>
      <c r="CB5314" s="319"/>
      <c r="CC5314" s="319"/>
      <c r="CD5314" s="319"/>
      <c r="CE5314" s="319"/>
      <c r="CF5314" s="319"/>
      <c r="CG5314" s="319"/>
      <c r="CH5314" s="318"/>
      <c r="CI5314" s="319"/>
      <c r="CJ5314" s="319"/>
      <c r="CK5314" s="342"/>
      <c r="CL5314" s="333"/>
      <c r="CM5314" s="1079"/>
      <c r="CN5314" s="1005"/>
      <c r="CO5314" s="1005"/>
      <c r="CP5314" s="1005"/>
    </row>
    <row r="5315">
      <c r="A5315" s="1257"/>
      <c r="B5315" s="1113"/>
      <c r="C5315" s="1107"/>
      <c r="D5315" s="103"/>
      <c r="E5315" s="1137"/>
      <c r="F5315" s="112"/>
      <c r="G5315" s="1110"/>
      <c r="H5315" s="1138"/>
      <c r="I5315" s="1138"/>
      <c r="J5315" s="1139"/>
      <c r="K5315" s="1111"/>
      <c r="L5315" s="1112"/>
      <c r="M5315" s="1113"/>
      <c r="N5315" s="110"/>
      <c r="O5315" s="1140"/>
      <c r="P5315" s="1115"/>
      <c r="Q5315" s="1116"/>
      <c r="R5315" s="1141"/>
      <c r="S5315" s="1113"/>
      <c r="T5315" s="1143"/>
      <c r="U5315" s="1108"/>
      <c r="V5315" s="1108"/>
      <c r="W5315" s="1108"/>
      <c r="X5315" s="1108"/>
      <c r="Y5315" s="1108"/>
      <c r="Z5315" s="1114"/>
      <c r="AA5315" s="1114"/>
      <c r="AB5315" s="1114"/>
      <c r="AC5315" s="1117"/>
      <c r="AD5315" s="1115"/>
      <c r="AE5315" s="1115"/>
      <c r="AF5315" s="1115"/>
      <c r="AG5315" s="1115"/>
      <c r="AH5315" s="1115"/>
      <c r="AI5315" s="1115"/>
      <c r="AJ5315" s="1117"/>
      <c r="AK5315" s="1118"/>
      <c r="AL5315" s="1115"/>
      <c r="AM5315" s="1115"/>
      <c r="AN5315" s="1115"/>
      <c r="AO5315" s="1115"/>
      <c r="AP5315" s="1115"/>
      <c r="AQ5315" s="1115"/>
      <c r="AR5315" s="1115"/>
      <c r="AS5315" s="1117"/>
      <c r="AT5315" s="1075"/>
      <c r="AU5315" s="1193"/>
      <c r="AV5315" s="330"/>
      <c r="AW5315" s="331"/>
      <c r="AX5315" s="331"/>
      <c r="AY5315" s="331"/>
      <c r="AZ5315" s="331"/>
      <c r="BA5315" s="331"/>
      <c r="BB5315" s="331"/>
      <c r="BC5315" s="331"/>
      <c r="BD5315" s="331"/>
      <c r="BE5315" s="333"/>
      <c r="BF5315" s="330"/>
      <c r="BG5315" s="333"/>
      <c r="BH5315" s="1119"/>
      <c r="BI5315" s="319"/>
      <c r="BJ5315" s="319"/>
      <c r="BK5315" s="319"/>
      <c r="BL5315" s="319"/>
      <c r="BM5315" s="319"/>
      <c r="BN5315" s="319"/>
      <c r="BO5315" s="319"/>
      <c r="BP5315" s="953"/>
      <c r="BQ5315" s="319"/>
      <c r="BR5315" s="319"/>
      <c r="BS5315" s="330"/>
      <c r="BT5315" s="331"/>
      <c r="BU5315" s="920"/>
      <c r="BV5315" s="903"/>
      <c r="BW5315" s="908"/>
      <c r="BX5315" s="908"/>
      <c r="BY5315" s="331"/>
      <c r="BZ5315" s="331"/>
      <c r="CA5315" s="462"/>
      <c r="CB5315" s="319"/>
      <c r="CC5315" s="319"/>
      <c r="CD5315" s="319"/>
      <c r="CE5315" s="319"/>
      <c r="CF5315" s="319"/>
      <c r="CG5315" s="319"/>
      <c r="CH5315" s="318"/>
      <c r="CI5315" s="319"/>
      <c r="CJ5315" s="319"/>
      <c r="CK5315" s="342"/>
      <c r="CL5315" s="333"/>
      <c r="CM5315" s="1079"/>
      <c r="CN5315" s="1005"/>
      <c r="CO5315" s="1005"/>
      <c r="CP5315" s="1005"/>
    </row>
    <row r="5316">
      <c r="A5316" s="1257"/>
      <c r="B5316" s="1113"/>
      <c r="C5316" s="1107"/>
      <c r="D5316" s="103"/>
      <c r="E5316" s="1137"/>
      <c r="F5316" s="112"/>
      <c r="G5316" s="1110"/>
      <c r="H5316" s="1138"/>
      <c r="I5316" s="1138"/>
      <c r="J5316" s="1139"/>
      <c r="K5316" s="1111"/>
      <c r="L5316" s="1112"/>
      <c r="M5316" s="1113"/>
      <c r="N5316" s="110"/>
      <c r="O5316" s="1140"/>
      <c r="P5316" s="1115"/>
      <c r="Q5316" s="1116"/>
      <c r="R5316" s="1141"/>
      <c r="S5316" s="1113"/>
      <c r="T5316" s="1143"/>
      <c r="U5316" s="1108"/>
      <c r="V5316" s="1108"/>
      <c r="W5316" s="1108"/>
      <c r="X5316" s="1108"/>
      <c r="Y5316" s="1108"/>
      <c r="Z5316" s="1114"/>
      <c r="AA5316" s="1114"/>
      <c r="AB5316" s="1114"/>
      <c r="AC5316" s="1117"/>
      <c r="AD5316" s="1115"/>
      <c r="AE5316" s="1115"/>
      <c r="AF5316" s="1115"/>
      <c r="AG5316" s="1115"/>
      <c r="AH5316" s="1115"/>
      <c r="AI5316" s="1115"/>
      <c r="AJ5316" s="1117"/>
      <c r="AK5316" s="1118"/>
      <c r="AL5316" s="1115"/>
      <c r="AM5316" s="1115"/>
      <c r="AN5316" s="1115"/>
      <c r="AO5316" s="1115"/>
      <c r="AP5316" s="1115"/>
      <c r="AQ5316" s="1115"/>
      <c r="AR5316" s="1115"/>
      <c r="AS5316" s="1117"/>
      <c r="AT5316" s="1075"/>
      <c r="AU5316" s="1193"/>
      <c r="AV5316" s="330"/>
      <c r="AW5316" s="331"/>
      <c r="AX5316" s="331"/>
      <c r="AY5316" s="331"/>
      <c r="AZ5316" s="331"/>
      <c r="BA5316" s="331"/>
      <c r="BB5316" s="331"/>
      <c r="BC5316" s="331"/>
      <c r="BD5316" s="331"/>
      <c r="BE5316" s="333"/>
      <c r="BF5316" s="330"/>
      <c r="BG5316" s="333"/>
      <c r="BH5316" s="1119"/>
      <c r="BI5316" s="319"/>
      <c r="BJ5316" s="319"/>
      <c r="BK5316" s="319"/>
      <c r="BL5316" s="319"/>
      <c r="BM5316" s="319"/>
      <c r="BN5316" s="319"/>
      <c r="BO5316" s="319"/>
      <c r="BP5316" s="953"/>
      <c r="BQ5316" s="319"/>
      <c r="BR5316" s="319"/>
      <c r="BS5316" s="330"/>
      <c r="BT5316" s="331"/>
      <c r="BU5316" s="920"/>
      <c r="BV5316" s="903"/>
      <c r="BW5316" s="908"/>
      <c r="BX5316" s="908"/>
      <c r="BY5316" s="331"/>
      <c r="BZ5316" s="331"/>
      <c r="CA5316" s="462"/>
      <c r="CB5316" s="319"/>
      <c r="CC5316" s="319"/>
      <c r="CD5316" s="319"/>
      <c r="CE5316" s="319"/>
      <c r="CF5316" s="319"/>
      <c r="CG5316" s="319"/>
      <c r="CH5316" s="318"/>
      <c r="CI5316" s="319"/>
      <c r="CJ5316" s="319"/>
      <c r="CK5316" s="342"/>
      <c r="CL5316" s="333"/>
      <c r="CM5316" s="1079"/>
      <c r="CN5316" s="1005"/>
      <c r="CO5316" s="1005"/>
      <c r="CP5316" s="1005"/>
    </row>
    <row r="5317">
      <c r="A5317" s="1257"/>
      <c r="B5317" s="1113"/>
      <c r="C5317" s="1107"/>
      <c r="D5317" s="103"/>
      <c r="E5317" s="1137"/>
      <c r="F5317" s="112"/>
      <c r="G5317" s="1110"/>
      <c r="H5317" s="1138"/>
      <c r="I5317" s="1138"/>
      <c r="J5317" s="1139"/>
      <c r="K5317" s="1111"/>
      <c r="L5317" s="1112"/>
      <c r="M5317" s="1113"/>
      <c r="N5317" s="110"/>
      <c r="O5317" s="1140"/>
      <c r="P5317" s="1115"/>
      <c r="Q5317" s="1116"/>
      <c r="R5317" s="1141"/>
      <c r="S5317" s="1113"/>
      <c r="T5317" s="1143"/>
      <c r="U5317" s="1108"/>
      <c r="V5317" s="1108"/>
      <c r="W5317" s="1108"/>
      <c r="X5317" s="1108"/>
      <c r="Y5317" s="1108"/>
      <c r="Z5317" s="1114"/>
      <c r="AA5317" s="1114"/>
      <c r="AB5317" s="1114"/>
      <c r="AC5317" s="1117"/>
      <c r="AD5317" s="1115"/>
      <c r="AE5317" s="1115"/>
      <c r="AF5317" s="1115"/>
      <c r="AG5317" s="1115"/>
      <c r="AH5317" s="1115"/>
      <c r="AI5317" s="1115"/>
      <c r="AJ5317" s="1117"/>
      <c r="AK5317" s="1118"/>
      <c r="AL5317" s="1115"/>
      <c r="AM5317" s="1115"/>
      <c r="AN5317" s="1115"/>
      <c r="AO5317" s="1115"/>
      <c r="AP5317" s="1115"/>
      <c r="AQ5317" s="1115"/>
      <c r="AR5317" s="1115"/>
      <c r="AS5317" s="1117"/>
      <c r="AT5317" s="1075"/>
      <c r="AU5317" s="1193"/>
      <c r="AV5317" s="330"/>
      <c r="AW5317" s="331"/>
      <c r="AX5317" s="331"/>
      <c r="AY5317" s="331"/>
      <c r="AZ5317" s="331"/>
      <c r="BA5317" s="331"/>
      <c r="BB5317" s="331"/>
      <c r="BC5317" s="331"/>
      <c r="BD5317" s="331"/>
      <c r="BE5317" s="333"/>
      <c r="BF5317" s="330"/>
      <c r="BG5317" s="333"/>
      <c r="BH5317" s="1119"/>
      <c r="BI5317" s="319"/>
      <c r="BJ5317" s="319"/>
      <c r="BK5317" s="319"/>
      <c r="BL5317" s="319"/>
      <c r="BM5317" s="319"/>
      <c r="BN5317" s="319"/>
      <c r="BO5317" s="319"/>
      <c r="BP5317" s="953"/>
      <c r="BQ5317" s="319"/>
      <c r="BR5317" s="319"/>
      <c r="BS5317" s="330"/>
      <c r="BT5317" s="331"/>
      <c r="BU5317" s="920"/>
      <c r="BV5317" s="903"/>
      <c r="BW5317" s="908"/>
      <c r="BX5317" s="908"/>
      <c r="BY5317" s="331"/>
      <c r="BZ5317" s="331"/>
      <c r="CA5317" s="462"/>
      <c r="CB5317" s="319"/>
      <c r="CC5317" s="319"/>
      <c r="CD5317" s="319"/>
      <c r="CE5317" s="319"/>
      <c r="CF5317" s="319"/>
      <c r="CG5317" s="319"/>
      <c r="CH5317" s="318"/>
      <c r="CI5317" s="319"/>
      <c r="CJ5317" s="319"/>
      <c r="CK5317" s="342"/>
      <c r="CL5317" s="333"/>
      <c r="CM5317" s="1079"/>
      <c r="CN5317" s="1005"/>
      <c r="CO5317" s="1005"/>
      <c r="CP5317" s="1005"/>
    </row>
    <row r="5318">
      <c r="A5318" s="1257"/>
      <c r="B5318" s="1113"/>
      <c r="C5318" s="1107"/>
      <c r="D5318" s="103"/>
      <c r="E5318" s="1137"/>
      <c r="F5318" s="112"/>
      <c r="G5318" s="1110"/>
      <c r="H5318" s="1138"/>
      <c r="I5318" s="1138"/>
      <c r="J5318" s="1139"/>
      <c r="K5318" s="1111"/>
      <c r="L5318" s="1112"/>
      <c r="M5318" s="1113"/>
      <c r="N5318" s="110"/>
      <c r="O5318" s="1140"/>
      <c r="P5318" s="1115"/>
      <c r="Q5318" s="1116"/>
      <c r="R5318" s="1141"/>
      <c r="S5318" s="1113"/>
      <c r="T5318" s="1143"/>
      <c r="U5318" s="1108"/>
      <c r="V5318" s="1108"/>
      <c r="W5318" s="1108"/>
      <c r="X5318" s="1108"/>
      <c r="Y5318" s="1108"/>
      <c r="Z5318" s="1114"/>
      <c r="AA5318" s="1114"/>
      <c r="AB5318" s="1114"/>
      <c r="AC5318" s="1117"/>
      <c r="AD5318" s="1115"/>
      <c r="AE5318" s="1115"/>
      <c r="AF5318" s="1115"/>
      <c r="AG5318" s="1115"/>
      <c r="AH5318" s="1115"/>
      <c r="AI5318" s="1115"/>
      <c r="AJ5318" s="1117"/>
      <c r="AK5318" s="1118"/>
      <c r="AL5318" s="1115"/>
      <c r="AM5318" s="1115"/>
      <c r="AN5318" s="1115"/>
      <c r="AO5318" s="1115"/>
      <c r="AP5318" s="1115"/>
      <c r="AQ5318" s="1115"/>
      <c r="AR5318" s="1115"/>
      <c r="AS5318" s="1117"/>
      <c r="AT5318" s="1075"/>
      <c r="AU5318" s="1193"/>
      <c r="AV5318" s="330"/>
      <c r="AW5318" s="331"/>
      <c r="AX5318" s="331"/>
      <c r="AY5318" s="331"/>
      <c r="AZ5318" s="331"/>
      <c r="BA5318" s="331"/>
      <c r="BB5318" s="331"/>
      <c r="BC5318" s="331"/>
      <c r="BD5318" s="331"/>
      <c r="BE5318" s="333"/>
      <c r="BF5318" s="330"/>
      <c r="BG5318" s="333"/>
      <c r="BH5318" s="1119"/>
      <c r="BI5318" s="319"/>
      <c r="BJ5318" s="319"/>
      <c r="BK5318" s="319"/>
      <c r="BL5318" s="319"/>
      <c r="BM5318" s="319"/>
      <c r="BN5318" s="319"/>
      <c r="BO5318" s="319"/>
      <c r="BP5318" s="953"/>
      <c r="BQ5318" s="319"/>
      <c r="BR5318" s="319"/>
      <c r="BS5318" s="330"/>
      <c r="BT5318" s="331"/>
      <c r="BU5318" s="920"/>
      <c r="BV5318" s="903"/>
      <c r="BW5318" s="908"/>
      <c r="BX5318" s="908"/>
      <c r="BY5318" s="331"/>
      <c r="BZ5318" s="331"/>
      <c r="CA5318" s="462"/>
      <c r="CB5318" s="319"/>
      <c r="CC5318" s="319"/>
      <c r="CD5318" s="319"/>
      <c r="CE5318" s="319"/>
      <c r="CF5318" s="319"/>
      <c r="CG5318" s="319"/>
      <c r="CH5318" s="318"/>
      <c r="CI5318" s="319"/>
      <c r="CJ5318" s="319"/>
      <c r="CK5318" s="342"/>
      <c r="CL5318" s="333"/>
      <c r="CM5318" s="1079"/>
      <c r="CN5318" s="1005"/>
      <c r="CO5318" s="1005"/>
      <c r="CP5318" s="1005"/>
    </row>
    <row r="5319">
      <c r="A5319" s="1257"/>
      <c r="B5319" s="1113"/>
      <c r="C5319" s="1107"/>
      <c r="D5319" s="103"/>
      <c r="E5319" s="1137"/>
      <c r="F5319" s="112"/>
      <c r="G5319" s="1110"/>
      <c r="H5319" s="1138"/>
      <c r="I5319" s="1138"/>
      <c r="J5319" s="1139"/>
      <c r="K5319" s="1111"/>
      <c r="L5319" s="1112"/>
      <c r="M5319" s="1113"/>
      <c r="N5319" s="110"/>
      <c r="O5319" s="1140"/>
      <c r="P5319" s="1115"/>
      <c r="Q5319" s="1116"/>
      <c r="R5319" s="1141"/>
      <c r="S5319" s="1113"/>
      <c r="T5319" s="1143"/>
      <c r="U5319" s="1108"/>
      <c r="V5319" s="1108"/>
      <c r="W5319" s="1108"/>
      <c r="X5319" s="1108"/>
      <c r="Y5319" s="1108"/>
      <c r="Z5319" s="1114"/>
      <c r="AA5319" s="1114"/>
      <c r="AB5319" s="1114"/>
      <c r="AC5319" s="1117"/>
      <c r="AD5319" s="1115"/>
      <c r="AE5319" s="1115"/>
      <c r="AF5319" s="1115"/>
      <c r="AG5319" s="1115"/>
      <c r="AH5319" s="1115"/>
      <c r="AI5319" s="1115"/>
      <c r="AJ5319" s="1117"/>
      <c r="AK5319" s="1118"/>
      <c r="AL5319" s="1115"/>
      <c r="AM5319" s="1115"/>
      <c r="AN5319" s="1115"/>
      <c r="AO5319" s="1115"/>
      <c r="AP5319" s="1115"/>
      <c r="AQ5319" s="1115"/>
      <c r="AR5319" s="1115"/>
      <c r="AS5319" s="1117"/>
      <c r="AT5319" s="1075"/>
      <c r="AU5319" s="1193"/>
      <c r="AV5319" s="330"/>
      <c r="AW5319" s="331"/>
      <c r="AX5319" s="331"/>
      <c r="AY5319" s="331"/>
      <c r="AZ5319" s="331"/>
      <c r="BA5319" s="331"/>
      <c r="BB5319" s="331"/>
      <c r="BC5319" s="331"/>
      <c r="BD5319" s="331"/>
      <c r="BE5319" s="333"/>
      <c r="BF5319" s="330"/>
      <c r="BG5319" s="333"/>
      <c r="BH5319" s="1119"/>
      <c r="BI5319" s="319"/>
      <c r="BJ5319" s="319"/>
      <c r="BK5319" s="319"/>
      <c r="BL5319" s="319"/>
      <c r="BM5319" s="319"/>
      <c r="BN5319" s="319"/>
      <c r="BO5319" s="319"/>
      <c r="BP5319" s="953"/>
      <c r="BQ5319" s="319"/>
      <c r="BR5319" s="319"/>
      <c r="BS5319" s="330"/>
      <c r="BT5319" s="331"/>
      <c r="BU5319" s="920"/>
      <c r="BV5319" s="903"/>
      <c r="BW5319" s="908"/>
      <c r="BX5319" s="908"/>
      <c r="BY5319" s="331"/>
      <c r="BZ5319" s="331"/>
      <c r="CA5319" s="462"/>
      <c r="CB5319" s="319"/>
      <c r="CC5319" s="319"/>
      <c r="CD5319" s="319"/>
      <c r="CE5319" s="319"/>
      <c r="CF5319" s="319"/>
      <c r="CG5319" s="319"/>
      <c r="CH5319" s="318"/>
      <c r="CI5319" s="319"/>
      <c r="CJ5319" s="319"/>
      <c r="CK5319" s="342"/>
      <c r="CL5319" s="333"/>
      <c r="CM5319" s="1079"/>
      <c r="CN5319" s="1005"/>
      <c r="CO5319" s="1005"/>
      <c r="CP5319" s="1005"/>
    </row>
    <row r="5320">
      <c r="A5320" s="1257"/>
      <c r="B5320" s="1113"/>
      <c r="C5320" s="1107"/>
      <c r="D5320" s="103"/>
      <c r="E5320" s="1137"/>
      <c r="F5320" s="112"/>
      <c r="G5320" s="1110"/>
      <c r="H5320" s="1138"/>
      <c r="I5320" s="1138"/>
      <c r="J5320" s="1139"/>
      <c r="K5320" s="1111"/>
      <c r="L5320" s="1112"/>
      <c r="M5320" s="1113"/>
      <c r="N5320" s="110"/>
      <c r="O5320" s="1140"/>
      <c r="P5320" s="1115"/>
      <c r="Q5320" s="1116"/>
      <c r="R5320" s="1141"/>
      <c r="S5320" s="1113"/>
      <c r="T5320" s="1143"/>
      <c r="U5320" s="1108"/>
      <c r="V5320" s="1108"/>
      <c r="W5320" s="1108"/>
      <c r="X5320" s="1108"/>
      <c r="Y5320" s="1108"/>
      <c r="Z5320" s="1114"/>
      <c r="AA5320" s="1114"/>
      <c r="AB5320" s="1114"/>
      <c r="AC5320" s="1117"/>
      <c r="AD5320" s="1115"/>
      <c r="AE5320" s="1115"/>
      <c r="AF5320" s="1115"/>
      <c r="AG5320" s="1115"/>
      <c r="AH5320" s="1115"/>
      <c r="AI5320" s="1115"/>
      <c r="AJ5320" s="1117"/>
      <c r="AK5320" s="1118"/>
      <c r="AL5320" s="1115"/>
      <c r="AM5320" s="1115"/>
      <c r="AN5320" s="1115"/>
      <c r="AO5320" s="1115"/>
      <c r="AP5320" s="1115"/>
      <c r="AQ5320" s="1115"/>
      <c r="AR5320" s="1115"/>
      <c r="AS5320" s="1117"/>
      <c r="AT5320" s="1075"/>
      <c r="AU5320" s="1193"/>
      <c r="AV5320" s="330"/>
      <c r="AW5320" s="331"/>
      <c r="AX5320" s="331"/>
      <c r="AY5320" s="331"/>
      <c r="AZ5320" s="331"/>
      <c r="BA5320" s="331"/>
      <c r="BB5320" s="331"/>
      <c r="BC5320" s="331"/>
      <c r="BD5320" s="331"/>
      <c r="BE5320" s="333"/>
      <c r="BF5320" s="330"/>
      <c r="BG5320" s="333"/>
      <c r="BH5320" s="1119"/>
      <c r="BI5320" s="319"/>
      <c r="BJ5320" s="319"/>
      <c r="BK5320" s="319"/>
      <c r="BL5320" s="319"/>
      <c r="BM5320" s="319"/>
      <c r="BN5320" s="319"/>
      <c r="BO5320" s="319"/>
      <c r="BP5320" s="953"/>
      <c r="BQ5320" s="319"/>
      <c r="BR5320" s="319"/>
      <c r="BS5320" s="330"/>
      <c r="BT5320" s="331"/>
      <c r="BU5320" s="920"/>
      <c r="BV5320" s="903"/>
      <c r="BW5320" s="908"/>
      <c r="BX5320" s="908"/>
      <c r="BY5320" s="331"/>
      <c r="BZ5320" s="331"/>
      <c r="CA5320" s="462"/>
      <c r="CB5320" s="319"/>
      <c r="CC5320" s="319"/>
      <c r="CD5320" s="319"/>
      <c r="CE5320" s="319"/>
      <c r="CF5320" s="319"/>
      <c r="CG5320" s="319"/>
      <c r="CH5320" s="318"/>
      <c r="CI5320" s="319"/>
      <c r="CJ5320" s="319"/>
      <c r="CK5320" s="342"/>
      <c r="CL5320" s="333"/>
      <c r="CM5320" s="1079"/>
      <c r="CN5320" s="1005"/>
      <c r="CO5320" s="1005"/>
      <c r="CP5320" s="1005"/>
    </row>
    <row r="5321">
      <c r="A5321" s="1257"/>
      <c r="B5321" s="1113"/>
      <c r="C5321" s="1107"/>
      <c r="D5321" s="103"/>
      <c r="E5321" s="1137"/>
      <c r="F5321" s="112"/>
      <c r="G5321" s="1110"/>
      <c r="H5321" s="1138"/>
      <c r="I5321" s="1138"/>
      <c r="J5321" s="1139"/>
      <c r="K5321" s="1111"/>
      <c r="L5321" s="1112"/>
      <c r="M5321" s="1113"/>
      <c r="N5321" s="110"/>
      <c r="O5321" s="1140"/>
      <c r="P5321" s="1115"/>
      <c r="Q5321" s="1116"/>
      <c r="R5321" s="1141"/>
      <c r="S5321" s="1113"/>
      <c r="T5321" s="1143"/>
      <c r="U5321" s="1108"/>
      <c r="V5321" s="1108"/>
      <c r="W5321" s="1108"/>
      <c r="X5321" s="1108"/>
      <c r="Y5321" s="1108"/>
      <c r="Z5321" s="1114"/>
      <c r="AA5321" s="1114"/>
      <c r="AB5321" s="1114"/>
      <c r="AC5321" s="1117"/>
      <c r="AD5321" s="1115"/>
      <c r="AE5321" s="1115"/>
      <c r="AF5321" s="1115"/>
      <c r="AG5321" s="1115"/>
      <c r="AH5321" s="1115"/>
      <c r="AI5321" s="1115"/>
      <c r="AJ5321" s="1117"/>
      <c r="AK5321" s="1118"/>
      <c r="AL5321" s="1115"/>
      <c r="AM5321" s="1115"/>
      <c r="AN5321" s="1115"/>
      <c r="AO5321" s="1115"/>
      <c r="AP5321" s="1115"/>
      <c r="AQ5321" s="1115"/>
      <c r="AR5321" s="1115"/>
      <c r="AS5321" s="1117"/>
      <c r="AT5321" s="1075"/>
      <c r="AU5321" s="1193"/>
      <c r="AV5321" s="330"/>
      <c r="AW5321" s="331"/>
      <c r="AX5321" s="331"/>
      <c r="AY5321" s="331"/>
      <c r="AZ5321" s="331"/>
      <c r="BA5321" s="331"/>
      <c r="BB5321" s="331"/>
      <c r="BC5321" s="331"/>
      <c r="BD5321" s="331"/>
      <c r="BE5321" s="333"/>
      <c r="BF5321" s="330"/>
      <c r="BG5321" s="333"/>
      <c r="BH5321" s="1119"/>
      <c r="BI5321" s="319"/>
      <c r="BJ5321" s="319"/>
      <c r="BK5321" s="319"/>
      <c r="BL5321" s="319"/>
      <c r="BM5321" s="319"/>
      <c r="BN5321" s="319"/>
      <c r="BO5321" s="319"/>
      <c r="BP5321" s="953"/>
      <c r="BQ5321" s="319"/>
      <c r="BR5321" s="319"/>
      <c r="BS5321" s="330"/>
      <c r="BT5321" s="331"/>
      <c r="BU5321" s="920"/>
      <c r="BV5321" s="903"/>
      <c r="BW5321" s="908"/>
      <c r="BX5321" s="908"/>
      <c r="BY5321" s="331"/>
      <c r="BZ5321" s="331"/>
      <c r="CA5321" s="462"/>
      <c r="CB5321" s="319"/>
      <c r="CC5321" s="319"/>
      <c r="CD5321" s="319"/>
      <c r="CE5321" s="319"/>
      <c r="CF5321" s="319"/>
      <c r="CG5321" s="319"/>
      <c r="CH5321" s="318"/>
      <c r="CI5321" s="319"/>
      <c r="CJ5321" s="319"/>
      <c r="CK5321" s="342"/>
      <c r="CL5321" s="333"/>
      <c r="CM5321" s="1079"/>
      <c r="CN5321" s="1005"/>
      <c r="CO5321" s="1005"/>
      <c r="CP5321" s="1005"/>
    </row>
    <row r="5322">
      <c r="A5322" s="1257"/>
      <c r="B5322" s="1113"/>
      <c r="C5322" s="1107"/>
      <c r="D5322" s="103"/>
      <c r="E5322" s="1137"/>
      <c r="F5322" s="112"/>
      <c r="G5322" s="1110"/>
      <c r="H5322" s="1138"/>
      <c r="I5322" s="1138"/>
      <c r="J5322" s="1139"/>
      <c r="K5322" s="1111"/>
      <c r="L5322" s="1112"/>
      <c r="M5322" s="1113"/>
      <c r="N5322" s="110"/>
      <c r="O5322" s="1140"/>
      <c r="P5322" s="1115"/>
      <c r="Q5322" s="1116"/>
      <c r="R5322" s="1141"/>
      <c r="S5322" s="1113"/>
      <c r="T5322" s="1143"/>
      <c r="U5322" s="1108"/>
      <c r="V5322" s="1108"/>
      <c r="W5322" s="1108"/>
      <c r="X5322" s="1108"/>
      <c r="Y5322" s="1108"/>
      <c r="Z5322" s="1114"/>
      <c r="AA5322" s="1114"/>
      <c r="AB5322" s="1114"/>
      <c r="AC5322" s="1117"/>
      <c r="AD5322" s="1115"/>
      <c r="AE5322" s="1115"/>
      <c r="AF5322" s="1115"/>
      <c r="AG5322" s="1115"/>
      <c r="AH5322" s="1115"/>
      <c r="AI5322" s="1115"/>
      <c r="AJ5322" s="1117"/>
      <c r="AK5322" s="1118"/>
      <c r="AL5322" s="1115"/>
      <c r="AM5322" s="1115"/>
      <c r="AN5322" s="1115"/>
      <c r="AO5322" s="1115"/>
      <c r="AP5322" s="1115"/>
      <c r="AQ5322" s="1115"/>
      <c r="AR5322" s="1115"/>
      <c r="AS5322" s="1117"/>
      <c r="AT5322" s="1075"/>
      <c r="AU5322" s="1193"/>
      <c r="AV5322" s="330"/>
      <c r="AW5322" s="331"/>
      <c r="AX5322" s="331"/>
      <c r="AY5322" s="331"/>
      <c r="AZ5322" s="331"/>
      <c r="BA5322" s="331"/>
      <c r="BB5322" s="331"/>
      <c r="BC5322" s="331"/>
      <c r="BD5322" s="331"/>
      <c r="BE5322" s="333"/>
      <c r="BF5322" s="330"/>
      <c r="BG5322" s="333"/>
      <c r="BH5322" s="1119"/>
      <c r="BI5322" s="319"/>
      <c r="BJ5322" s="319"/>
      <c r="BK5322" s="319"/>
      <c r="BL5322" s="319"/>
      <c r="BM5322" s="319"/>
      <c r="BN5322" s="319"/>
      <c r="BO5322" s="319"/>
      <c r="BP5322" s="953"/>
      <c r="BQ5322" s="319"/>
      <c r="BR5322" s="319"/>
      <c r="BS5322" s="330"/>
      <c r="BT5322" s="331"/>
      <c r="BU5322" s="920"/>
      <c r="BV5322" s="903"/>
      <c r="BW5322" s="908"/>
      <c r="BX5322" s="908"/>
      <c r="BY5322" s="331"/>
      <c r="BZ5322" s="331"/>
      <c r="CA5322" s="462"/>
      <c r="CB5322" s="319"/>
      <c r="CC5322" s="319"/>
      <c r="CD5322" s="319"/>
      <c r="CE5322" s="319"/>
      <c r="CF5322" s="319"/>
      <c r="CG5322" s="319"/>
      <c r="CH5322" s="318"/>
      <c r="CI5322" s="319"/>
      <c r="CJ5322" s="319"/>
      <c r="CK5322" s="342"/>
      <c r="CL5322" s="333"/>
      <c r="CM5322" s="1079"/>
      <c r="CN5322" s="1005"/>
      <c r="CO5322" s="1005"/>
      <c r="CP5322" s="1005"/>
    </row>
    <row r="5323">
      <c r="A5323" s="1257"/>
      <c r="B5323" s="1113"/>
      <c r="C5323" s="1107"/>
      <c r="D5323" s="103"/>
      <c r="E5323" s="1137"/>
      <c r="F5323" s="112"/>
      <c r="G5323" s="1110"/>
      <c r="H5323" s="1138"/>
      <c r="I5323" s="1138"/>
      <c r="J5323" s="1139"/>
      <c r="K5323" s="1111"/>
      <c r="L5323" s="1112"/>
      <c r="M5323" s="1113"/>
      <c r="N5323" s="110"/>
      <c r="O5323" s="1140"/>
      <c r="P5323" s="1115"/>
      <c r="Q5323" s="1116"/>
      <c r="R5323" s="1141"/>
      <c r="S5323" s="1113"/>
      <c r="T5323" s="1143"/>
      <c r="U5323" s="1108"/>
      <c r="V5323" s="1108"/>
      <c r="W5323" s="1108"/>
      <c r="X5323" s="1108"/>
      <c r="Y5323" s="1108"/>
      <c r="Z5323" s="1114"/>
      <c r="AA5323" s="1114"/>
      <c r="AB5323" s="1114"/>
      <c r="AC5323" s="1117"/>
      <c r="AD5323" s="1115"/>
      <c r="AE5323" s="1115"/>
      <c r="AF5323" s="1115"/>
      <c r="AG5323" s="1115"/>
      <c r="AH5323" s="1115"/>
      <c r="AI5323" s="1115"/>
      <c r="AJ5323" s="1117"/>
      <c r="AK5323" s="1118"/>
      <c r="AL5323" s="1115"/>
      <c r="AM5323" s="1115"/>
      <c r="AN5323" s="1115"/>
      <c r="AO5323" s="1115"/>
      <c r="AP5323" s="1115"/>
      <c r="AQ5323" s="1115"/>
      <c r="AR5323" s="1115"/>
      <c r="AS5323" s="1117"/>
      <c r="AT5323" s="1075"/>
      <c r="AU5323" s="1193"/>
      <c r="AV5323" s="330"/>
      <c r="AW5323" s="331"/>
      <c r="AX5323" s="331"/>
      <c r="AY5323" s="331"/>
      <c r="AZ5323" s="331"/>
      <c r="BA5323" s="331"/>
      <c r="BB5323" s="331"/>
      <c r="BC5323" s="331"/>
      <c r="BD5323" s="331"/>
      <c r="BE5323" s="333"/>
      <c r="BF5323" s="330"/>
      <c r="BG5323" s="333"/>
      <c r="BH5323" s="1119"/>
      <c r="BI5323" s="319"/>
      <c r="BJ5323" s="319"/>
      <c r="BK5323" s="319"/>
      <c r="BL5323" s="319"/>
      <c r="BM5323" s="319"/>
      <c r="BN5323" s="319"/>
      <c r="BO5323" s="319"/>
      <c r="BP5323" s="953"/>
      <c r="BQ5323" s="319"/>
      <c r="BR5323" s="319"/>
      <c r="BS5323" s="330"/>
      <c r="BT5323" s="331"/>
      <c r="BU5323" s="920"/>
      <c r="BV5323" s="903"/>
      <c r="BW5323" s="908"/>
      <c r="BX5323" s="908"/>
      <c r="BY5323" s="331"/>
      <c r="BZ5323" s="331"/>
      <c r="CA5323" s="462"/>
      <c r="CB5323" s="319"/>
      <c r="CC5323" s="319"/>
      <c r="CD5323" s="319"/>
      <c r="CE5323" s="319"/>
      <c r="CF5323" s="319"/>
      <c r="CG5323" s="319"/>
      <c r="CH5323" s="318"/>
      <c r="CI5323" s="319"/>
      <c r="CJ5323" s="319"/>
      <c r="CK5323" s="342"/>
      <c r="CL5323" s="333"/>
      <c r="CM5323" s="1079"/>
      <c r="CN5323" s="1005"/>
      <c r="CO5323" s="1005"/>
      <c r="CP5323" s="1005"/>
    </row>
    <row r="5324">
      <c r="A5324" s="1257"/>
      <c r="B5324" s="1113"/>
      <c r="C5324" s="1107"/>
      <c r="D5324" s="103"/>
      <c r="E5324" s="1137"/>
      <c r="F5324" s="112"/>
      <c r="G5324" s="1110"/>
      <c r="H5324" s="1138"/>
      <c r="I5324" s="1138"/>
      <c r="J5324" s="1139"/>
      <c r="K5324" s="1111"/>
      <c r="L5324" s="1112"/>
      <c r="M5324" s="1113"/>
      <c r="N5324" s="110"/>
      <c r="O5324" s="1140"/>
      <c r="P5324" s="1115"/>
      <c r="Q5324" s="1116"/>
      <c r="R5324" s="1141"/>
      <c r="S5324" s="1113"/>
      <c r="T5324" s="1143"/>
      <c r="U5324" s="1108"/>
      <c r="V5324" s="1108"/>
      <c r="W5324" s="1108"/>
      <c r="X5324" s="1108"/>
      <c r="Y5324" s="1108"/>
      <c r="Z5324" s="1114"/>
      <c r="AA5324" s="1114"/>
      <c r="AB5324" s="1114"/>
      <c r="AC5324" s="1117"/>
      <c r="AD5324" s="1115"/>
      <c r="AE5324" s="1115"/>
      <c r="AF5324" s="1115"/>
      <c r="AG5324" s="1115"/>
      <c r="AH5324" s="1115"/>
      <c r="AI5324" s="1115"/>
      <c r="AJ5324" s="1117"/>
      <c r="AK5324" s="1118"/>
      <c r="AL5324" s="1115"/>
      <c r="AM5324" s="1115"/>
      <c r="AN5324" s="1115"/>
      <c r="AO5324" s="1115"/>
      <c r="AP5324" s="1115"/>
      <c r="AQ5324" s="1115"/>
      <c r="AR5324" s="1115"/>
      <c r="AS5324" s="1117"/>
      <c r="AT5324" s="1075"/>
      <c r="AU5324" s="1193"/>
      <c r="AV5324" s="330"/>
      <c r="AW5324" s="331"/>
      <c r="AX5324" s="331"/>
      <c r="AY5324" s="331"/>
      <c r="AZ5324" s="331"/>
      <c r="BA5324" s="331"/>
      <c r="BB5324" s="331"/>
      <c r="BC5324" s="331"/>
      <c r="BD5324" s="331"/>
      <c r="BE5324" s="333"/>
      <c r="BF5324" s="330"/>
      <c r="BG5324" s="333"/>
      <c r="BH5324" s="1119"/>
      <c r="BI5324" s="319"/>
      <c r="BJ5324" s="319"/>
      <c r="BK5324" s="319"/>
      <c r="BL5324" s="319"/>
      <c r="BM5324" s="319"/>
      <c r="BN5324" s="319"/>
      <c r="BO5324" s="319"/>
      <c r="BP5324" s="953"/>
      <c r="BQ5324" s="319"/>
      <c r="BR5324" s="319"/>
      <c r="BS5324" s="330"/>
      <c r="BT5324" s="331"/>
      <c r="BU5324" s="920"/>
      <c r="BV5324" s="903"/>
      <c r="BW5324" s="908"/>
      <c r="BX5324" s="908"/>
      <c r="BY5324" s="331"/>
      <c r="BZ5324" s="331"/>
      <c r="CA5324" s="462"/>
      <c r="CB5324" s="319"/>
      <c r="CC5324" s="319"/>
      <c r="CD5324" s="319"/>
      <c r="CE5324" s="319"/>
      <c r="CF5324" s="319"/>
      <c r="CG5324" s="319"/>
      <c r="CH5324" s="318"/>
      <c r="CI5324" s="319"/>
      <c r="CJ5324" s="319"/>
      <c r="CK5324" s="342"/>
      <c r="CL5324" s="333"/>
      <c r="CM5324" s="1079"/>
      <c r="CN5324" s="1005"/>
      <c r="CO5324" s="1005"/>
      <c r="CP5324" s="1005"/>
    </row>
    <row r="5325">
      <c r="A5325" s="1257"/>
      <c r="B5325" s="1113"/>
      <c r="C5325" s="1107"/>
      <c r="D5325" s="103"/>
      <c r="E5325" s="1137"/>
      <c r="F5325" s="112"/>
      <c r="G5325" s="1110"/>
      <c r="H5325" s="1138"/>
      <c r="I5325" s="1138"/>
      <c r="J5325" s="1139"/>
      <c r="K5325" s="1111"/>
      <c r="L5325" s="1112"/>
      <c r="M5325" s="1113"/>
      <c r="N5325" s="110"/>
      <c r="O5325" s="1140"/>
      <c r="P5325" s="1115"/>
      <c r="Q5325" s="1116"/>
      <c r="R5325" s="1141"/>
      <c r="S5325" s="1113"/>
      <c r="T5325" s="1143"/>
      <c r="U5325" s="1108"/>
      <c r="V5325" s="1108"/>
      <c r="W5325" s="1108"/>
      <c r="X5325" s="1108"/>
      <c r="Y5325" s="1108"/>
      <c r="Z5325" s="1114"/>
      <c r="AA5325" s="1114"/>
      <c r="AB5325" s="1114"/>
      <c r="AC5325" s="1117"/>
      <c r="AD5325" s="1115"/>
      <c r="AE5325" s="1115"/>
      <c r="AF5325" s="1115"/>
      <c r="AG5325" s="1115"/>
      <c r="AH5325" s="1115"/>
      <c r="AI5325" s="1115"/>
      <c r="AJ5325" s="1117"/>
      <c r="AK5325" s="1118"/>
      <c r="AL5325" s="1115"/>
      <c r="AM5325" s="1115"/>
      <c r="AN5325" s="1115"/>
      <c r="AO5325" s="1115"/>
      <c r="AP5325" s="1115"/>
      <c r="AQ5325" s="1115"/>
      <c r="AR5325" s="1115"/>
      <c r="AS5325" s="1117"/>
      <c r="AT5325" s="1075"/>
      <c r="AU5325" s="1193"/>
      <c r="AV5325" s="330"/>
      <c r="AW5325" s="331"/>
      <c r="AX5325" s="331"/>
      <c r="AY5325" s="331"/>
      <c r="AZ5325" s="331"/>
      <c r="BA5325" s="331"/>
      <c r="BB5325" s="331"/>
      <c r="BC5325" s="331"/>
      <c r="BD5325" s="331"/>
      <c r="BE5325" s="333"/>
      <c r="BF5325" s="330"/>
      <c r="BG5325" s="333"/>
      <c r="BH5325" s="1119"/>
      <c r="BI5325" s="319"/>
      <c r="BJ5325" s="319"/>
      <c r="BK5325" s="319"/>
      <c r="BL5325" s="319"/>
      <c r="BM5325" s="319"/>
      <c r="BN5325" s="319"/>
      <c r="BO5325" s="319"/>
      <c r="BP5325" s="953"/>
      <c r="BQ5325" s="319"/>
      <c r="BR5325" s="319"/>
      <c r="BS5325" s="330"/>
      <c r="BT5325" s="331"/>
      <c r="BU5325" s="920"/>
      <c r="BV5325" s="903"/>
      <c r="BW5325" s="908"/>
      <c r="BX5325" s="908"/>
      <c r="BY5325" s="331"/>
      <c r="BZ5325" s="331"/>
      <c r="CA5325" s="462"/>
      <c r="CB5325" s="319"/>
      <c r="CC5325" s="319"/>
      <c r="CD5325" s="319"/>
      <c r="CE5325" s="319"/>
      <c r="CF5325" s="319"/>
      <c r="CG5325" s="319"/>
      <c r="CH5325" s="318"/>
      <c r="CI5325" s="319"/>
      <c r="CJ5325" s="319"/>
      <c r="CK5325" s="342"/>
      <c r="CL5325" s="333"/>
      <c r="CM5325" s="1079"/>
      <c r="CN5325" s="1005"/>
      <c r="CO5325" s="1005"/>
      <c r="CP5325" s="1005"/>
    </row>
    <row r="5326">
      <c r="A5326" s="1257"/>
      <c r="B5326" s="1113"/>
      <c r="C5326" s="1107"/>
      <c r="D5326" s="103"/>
      <c r="E5326" s="1137"/>
      <c r="F5326" s="112"/>
      <c r="G5326" s="1110"/>
      <c r="H5326" s="1138"/>
      <c r="I5326" s="1138"/>
      <c r="J5326" s="1139"/>
      <c r="K5326" s="1111"/>
      <c r="L5326" s="1112"/>
      <c r="M5326" s="1113"/>
      <c r="N5326" s="110"/>
      <c r="O5326" s="1140"/>
      <c r="P5326" s="1115"/>
      <c r="Q5326" s="1116"/>
      <c r="R5326" s="1141"/>
      <c r="S5326" s="1113"/>
      <c r="T5326" s="1143"/>
      <c r="U5326" s="1108"/>
      <c r="V5326" s="1108"/>
      <c r="W5326" s="1108"/>
      <c r="X5326" s="1108"/>
      <c r="Y5326" s="1108"/>
      <c r="Z5326" s="1114"/>
      <c r="AA5326" s="1114"/>
      <c r="AB5326" s="1114"/>
      <c r="AC5326" s="1117"/>
      <c r="AD5326" s="1115"/>
      <c r="AE5326" s="1115"/>
      <c r="AF5326" s="1115"/>
      <c r="AG5326" s="1115"/>
      <c r="AH5326" s="1115"/>
      <c r="AI5326" s="1115"/>
      <c r="AJ5326" s="1117"/>
      <c r="AK5326" s="1118"/>
      <c r="AL5326" s="1115"/>
      <c r="AM5326" s="1115"/>
      <c r="AN5326" s="1115"/>
      <c r="AO5326" s="1115"/>
      <c r="AP5326" s="1115"/>
      <c r="AQ5326" s="1115"/>
      <c r="AR5326" s="1115"/>
      <c r="AS5326" s="1117"/>
      <c r="AT5326" s="1075"/>
      <c r="AU5326" s="1193"/>
      <c r="AV5326" s="330"/>
      <c r="AW5326" s="331"/>
      <c r="AX5326" s="331"/>
      <c r="AY5326" s="331"/>
      <c r="AZ5326" s="331"/>
      <c r="BA5326" s="331"/>
      <c r="BB5326" s="331"/>
      <c r="BC5326" s="331"/>
      <c r="BD5326" s="331"/>
      <c r="BE5326" s="333"/>
      <c r="BF5326" s="330"/>
      <c r="BG5326" s="333"/>
      <c r="BH5326" s="1119"/>
      <c r="BI5326" s="319"/>
      <c r="BJ5326" s="319"/>
      <c r="BK5326" s="319"/>
      <c r="BL5326" s="319"/>
      <c r="BM5326" s="319"/>
      <c r="BN5326" s="319"/>
      <c r="BO5326" s="319"/>
      <c r="BP5326" s="953"/>
      <c r="BQ5326" s="319"/>
      <c r="BR5326" s="319"/>
      <c r="BS5326" s="330"/>
      <c r="BT5326" s="331"/>
      <c r="BU5326" s="920"/>
      <c r="BV5326" s="903"/>
      <c r="BW5326" s="908"/>
      <c r="BX5326" s="908"/>
      <c r="BY5326" s="331"/>
      <c r="BZ5326" s="331"/>
      <c r="CA5326" s="462"/>
      <c r="CB5326" s="319"/>
      <c r="CC5326" s="319"/>
      <c r="CD5326" s="319"/>
      <c r="CE5326" s="319"/>
      <c r="CF5326" s="319"/>
      <c r="CG5326" s="319"/>
      <c r="CH5326" s="318"/>
      <c r="CI5326" s="319"/>
      <c r="CJ5326" s="319"/>
      <c r="CK5326" s="342"/>
      <c r="CL5326" s="333"/>
      <c r="CM5326" s="1079"/>
      <c r="CN5326" s="1005"/>
      <c r="CO5326" s="1005"/>
      <c r="CP5326" s="1005"/>
    </row>
    <row r="5327">
      <c r="A5327" s="1257"/>
      <c r="B5327" s="1113"/>
      <c r="C5327" s="1107"/>
      <c r="D5327" s="103"/>
      <c r="E5327" s="1137"/>
      <c r="F5327" s="112"/>
      <c r="G5327" s="1110"/>
      <c r="H5327" s="1138"/>
      <c r="I5327" s="1138"/>
      <c r="J5327" s="1139"/>
      <c r="K5327" s="1111"/>
      <c r="L5327" s="1112"/>
      <c r="M5327" s="1113"/>
      <c r="N5327" s="110"/>
      <c r="O5327" s="1140"/>
      <c r="P5327" s="1115"/>
      <c r="Q5327" s="1116"/>
      <c r="R5327" s="1141"/>
      <c r="S5327" s="1113"/>
      <c r="T5327" s="1143"/>
      <c r="U5327" s="1108"/>
      <c r="V5327" s="1108"/>
      <c r="W5327" s="1108"/>
      <c r="X5327" s="1108"/>
      <c r="Y5327" s="1108"/>
      <c r="Z5327" s="1114"/>
      <c r="AA5327" s="1114"/>
      <c r="AB5327" s="1114"/>
      <c r="AC5327" s="1117"/>
      <c r="AD5327" s="1115"/>
      <c r="AE5327" s="1115"/>
      <c r="AF5327" s="1115"/>
      <c r="AG5327" s="1115"/>
      <c r="AH5327" s="1115"/>
      <c r="AI5327" s="1115"/>
      <c r="AJ5327" s="1117"/>
      <c r="AK5327" s="1118"/>
      <c r="AL5327" s="1115"/>
      <c r="AM5327" s="1115"/>
      <c r="AN5327" s="1115"/>
      <c r="AO5327" s="1115"/>
      <c r="AP5327" s="1115"/>
      <c r="AQ5327" s="1115"/>
      <c r="AR5327" s="1115"/>
      <c r="AS5327" s="1117"/>
      <c r="AT5327" s="1075"/>
      <c r="AU5327" s="1193"/>
      <c r="AV5327" s="330"/>
      <c r="AW5327" s="331"/>
      <c r="AX5327" s="331"/>
      <c r="AY5327" s="331"/>
      <c r="AZ5327" s="331"/>
      <c r="BA5327" s="331"/>
      <c r="BB5327" s="331"/>
      <c r="BC5327" s="331"/>
      <c r="BD5327" s="331"/>
      <c r="BE5327" s="333"/>
      <c r="BF5327" s="330"/>
      <c r="BG5327" s="333"/>
      <c r="BH5327" s="1119"/>
      <c r="BI5327" s="319"/>
      <c r="BJ5327" s="319"/>
      <c r="BK5327" s="319"/>
      <c r="BL5327" s="319"/>
      <c r="BM5327" s="319"/>
      <c r="BN5327" s="319"/>
      <c r="BO5327" s="319"/>
      <c r="BP5327" s="953"/>
      <c r="BQ5327" s="319"/>
      <c r="BR5327" s="319"/>
      <c r="BS5327" s="330"/>
      <c r="BT5327" s="331"/>
      <c r="BU5327" s="920"/>
      <c r="BV5327" s="903"/>
      <c r="BW5327" s="908"/>
      <c r="BX5327" s="908"/>
      <c r="BY5327" s="331"/>
      <c r="BZ5327" s="331"/>
      <c r="CA5327" s="462"/>
      <c r="CB5327" s="319"/>
      <c r="CC5327" s="319"/>
      <c r="CD5327" s="319"/>
      <c r="CE5327" s="319"/>
      <c r="CF5327" s="319"/>
      <c r="CG5327" s="319"/>
      <c r="CH5327" s="318"/>
      <c r="CI5327" s="319"/>
      <c r="CJ5327" s="319"/>
      <c r="CK5327" s="342"/>
      <c r="CL5327" s="333"/>
      <c r="CM5327" s="1079"/>
      <c r="CN5327" s="1005"/>
      <c r="CO5327" s="1005"/>
      <c r="CP5327" s="1005"/>
    </row>
    <row r="5328">
      <c r="A5328" s="1257"/>
      <c r="B5328" s="1113"/>
      <c r="C5328" s="1107"/>
      <c r="D5328" s="103"/>
      <c r="E5328" s="1137"/>
      <c r="F5328" s="112"/>
      <c r="G5328" s="1110"/>
      <c r="H5328" s="1138"/>
      <c r="I5328" s="1138"/>
      <c r="J5328" s="1139"/>
      <c r="K5328" s="1111"/>
      <c r="L5328" s="1112"/>
      <c r="M5328" s="1113"/>
      <c r="N5328" s="110"/>
      <c r="O5328" s="1140"/>
      <c r="P5328" s="1115"/>
      <c r="Q5328" s="1116"/>
      <c r="R5328" s="1141"/>
      <c r="S5328" s="1113"/>
      <c r="T5328" s="1143"/>
      <c r="U5328" s="1108"/>
      <c r="V5328" s="1108"/>
      <c r="W5328" s="1108"/>
      <c r="X5328" s="1108"/>
      <c r="Y5328" s="1108"/>
      <c r="Z5328" s="1114"/>
      <c r="AA5328" s="1114"/>
      <c r="AB5328" s="1114"/>
      <c r="AC5328" s="1117"/>
      <c r="AD5328" s="1115"/>
      <c r="AE5328" s="1115"/>
      <c r="AF5328" s="1115"/>
      <c r="AG5328" s="1115"/>
      <c r="AH5328" s="1115"/>
      <c r="AI5328" s="1115"/>
      <c r="AJ5328" s="1117"/>
      <c r="AK5328" s="1118"/>
      <c r="AL5328" s="1115"/>
      <c r="AM5328" s="1115"/>
      <c r="AN5328" s="1115"/>
      <c r="AO5328" s="1115"/>
      <c r="AP5328" s="1115"/>
      <c r="AQ5328" s="1115"/>
      <c r="AR5328" s="1115"/>
      <c r="AS5328" s="1117"/>
      <c r="AT5328" s="1075"/>
      <c r="AU5328" s="1193"/>
      <c r="AV5328" s="330"/>
      <c r="AW5328" s="331"/>
      <c r="AX5328" s="331"/>
      <c r="AY5328" s="331"/>
      <c r="AZ5328" s="331"/>
      <c r="BA5328" s="331"/>
      <c r="BB5328" s="331"/>
      <c r="BC5328" s="331"/>
      <c r="BD5328" s="331"/>
      <c r="BE5328" s="333"/>
      <c r="BF5328" s="330"/>
      <c r="BG5328" s="333"/>
      <c r="BH5328" s="1119"/>
      <c r="BI5328" s="319"/>
      <c r="BJ5328" s="319"/>
      <c r="BK5328" s="319"/>
      <c r="BL5328" s="319"/>
      <c r="BM5328" s="319"/>
      <c r="BN5328" s="319"/>
      <c r="BO5328" s="319"/>
      <c r="BP5328" s="953"/>
      <c r="BQ5328" s="319"/>
      <c r="BR5328" s="319"/>
      <c r="BS5328" s="330"/>
      <c r="BT5328" s="331"/>
      <c r="BU5328" s="920"/>
      <c r="BV5328" s="903"/>
      <c r="BW5328" s="908"/>
      <c r="BX5328" s="908"/>
      <c r="BY5328" s="331"/>
      <c r="BZ5328" s="331"/>
      <c r="CA5328" s="462"/>
      <c r="CB5328" s="319"/>
      <c r="CC5328" s="319"/>
      <c r="CD5328" s="319"/>
      <c r="CE5328" s="319"/>
      <c r="CF5328" s="319"/>
      <c r="CG5328" s="319"/>
      <c r="CH5328" s="318"/>
      <c r="CI5328" s="319"/>
      <c r="CJ5328" s="319"/>
      <c r="CK5328" s="342"/>
      <c r="CL5328" s="333"/>
      <c r="CM5328" s="1079"/>
      <c r="CN5328" s="1005"/>
      <c r="CO5328" s="1005"/>
      <c r="CP5328" s="1005"/>
    </row>
    <row r="5329">
      <c r="A5329" s="1257"/>
      <c r="B5329" s="1113"/>
      <c r="C5329" s="1107"/>
      <c r="D5329" s="103"/>
      <c r="E5329" s="1137"/>
      <c r="F5329" s="112"/>
      <c r="G5329" s="1110"/>
      <c r="H5329" s="1138"/>
      <c r="I5329" s="1138"/>
      <c r="J5329" s="1139"/>
      <c r="K5329" s="1111"/>
      <c r="L5329" s="1112"/>
      <c r="M5329" s="1113"/>
      <c r="N5329" s="110"/>
      <c r="O5329" s="1140"/>
      <c r="P5329" s="1115"/>
      <c r="Q5329" s="1116"/>
      <c r="R5329" s="1141"/>
      <c r="S5329" s="1113"/>
      <c r="T5329" s="1143"/>
      <c r="U5329" s="1108"/>
      <c r="V5329" s="1108"/>
      <c r="W5329" s="1108"/>
      <c r="X5329" s="1108"/>
      <c r="Y5329" s="1108"/>
      <c r="Z5329" s="1114"/>
      <c r="AA5329" s="1114"/>
      <c r="AB5329" s="1114"/>
      <c r="AC5329" s="1117"/>
      <c r="AD5329" s="1115"/>
      <c r="AE5329" s="1115"/>
      <c r="AF5329" s="1115"/>
      <c r="AG5329" s="1115"/>
      <c r="AH5329" s="1115"/>
      <c r="AI5329" s="1115"/>
      <c r="AJ5329" s="1117"/>
      <c r="AK5329" s="1118"/>
      <c r="AL5329" s="1115"/>
      <c r="AM5329" s="1115"/>
      <c r="AN5329" s="1115"/>
      <c r="AO5329" s="1115"/>
      <c r="AP5329" s="1115"/>
      <c r="AQ5329" s="1115"/>
      <c r="AR5329" s="1115"/>
      <c r="AS5329" s="1117"/>
      <c r="AT5329" s="1075"/>
      <c r="AU5329" s="1193"/>
      <c r="AV5329" s="330"/>
      <c r="AW5329" s="331"/>
      <c r="AX5329" s="331"/>
      <c r="AY5329" s="331"/>
      <c r="AZ5329" s="331"/>
      <c r="BA5329" s="331"/>
      <c r="BB5329" s="331"/>
      <c r="BC5329" s="331"/>
      <c r="BD5329" s="331"/>
      <c r="BE5329" s="333"/>
      <c r="BF5329" s="330"/>
      <c r="BG5329" s="333"/>
      <c r="BH5329" s="1119"/>
      <c r="BI5329" s="319"/>
      <c r="BJ5329" s="319"/>
      <c r="BK5329" s="319"/>
      <c r="BL5329" s="319"/>
      <c r="BM5329" s="319"/>
      <c r="BN5329" s="319"/>
      <c r="BO5329" s="319"/>
      <c r="BP5329" s="953"/>
      <c r="BQ5329" s="319"/>
      <c r="BR5329" s="319"/>
      <c r="BS5329" s="330"/>
      <c r="BT5329" s="331"/>
      <c r="BU5329" s="920"/>
      <c r="BV5329" s="903"/>
      <c r="BW5329" s="908"/>
      <c r="BX5329" s="908"/>
      <c r="BY5329" s="331"/>
      <c r="BZ5329" s="331"/>
      <c r="CA5329" s="462"/>
      <c r="CB5329" s="319"/>
      <c r="CC5329" s="319"/>
      <c r="CD5329" s="319"/>
      <c r="CE5329" s="319"/>
      <c r="CF5329" s="319"/>
      <c r="CG5329" s="319"/>
      <c r="CH5329" s="318"/>
      <c r="CI5329" s="319"/>
      <c r="CJ5329" s="319"/>
      <c r="CK5329" s="342"/>
      <c r="CL5329" s="333"/>
      <c r="CM5329" s="1079"/>
      <c r="CN5329" s="1005"/>
      <c r="CO5329" s="1005"/>
      <c r="CP5329" s="1005"/>
    </row>
    <row r="5330">
      <c r="A5330" s="1257"/>
      <c r="B5330" s="1113"/>
      <c r="C5330" s="1107"/>
      <c r="D5330" s="103"/>
      <c r="E5330" s="1137"/>
      <c r="F5330" s="112"/>
      <c r="G5330" s="1110"/>
      <c r="H5330" s="1138"/>
      <c r="I5330" s="1138"/>
      <c r="J5330" s="1139"/>
      <c r="K5330" s="1111"/>
      <c r="L5330" s="1112"/>
      <c r="M5330" s="1113"/>
      <c r="N5330" s="110"/>
      <c r="O5330" s="1140"/>
      <c r="P5330" s="1115"/>
      <c r="Q5330" s="1116"/>
      <c r="R5330" s="1141"/>
      <c r="S5330" s="1113"/>
      <c r="T5330" s="1143"/>
      <c r="U5330" s="1108"/>
      <c r="V5330" s="1108"/>
      <c r="W5330" s="1108"/>
      <c r="X5330" s="1108"/>
      <c r="Y5330" s="1108"/>
      <c r="Z5330" s="1114"/>
      <c r="AA5330" s="1114"/>
      <c r="AB5330" s="1114"/>
      <c r="AC5330" s="1117"/>
      <c r="AD5330" s="1115"/>
      <c r="AE5330" s="1115"/>
      <c r="AF5330" s="1115"/>
      <c r="AG5330" s="1115"/>
      <c r="AH5330" s="1115"/>
      <c r="AI5330" s="1115"/>
      <c r="AJ5330" s="1117"/>
      <c r="AK5330" s="1118"/>
      <c r="AL5330" s="1115"/>
      <c r="AM5330" s="1115"/>
      <c r="AN5330" s="1115"/>
      <c r="AO5330" s="1115"/>
      <c r="AP5330" s="1115"/>
      <c r="AQ5330" s="1115"/>
      <c r="AR5330" s="1115"/>
      <c r="AS5330" s="1117"/>
      <c r="AT5330" s="1075"/>
      <c r="AU5330" s="1193"/>
      <c r="AV5330" s="330"/>
      <c r="AW5330" s="331"/>
      <c r="AX5330" s="331"/>
      <c r="AY5330" s="331"/>
      <c r="AZ5330" s="331"/>
      <c r="BA5330" s="331"/>
      <c r="BB5330" s="331"/>
      <c r="BC5330" s="331"/>
      <c r="BD5330" s="331"/>
      <c r="BE5330" s="333"/>
      <c r="BF5330" s="330"/>
      <c r="BG5330" s="333"/>
      <c r="BH5330" s="1119"/>
      <c r="BI5330" s="319"/>
      <c r="BJ5330" s="319"/>
      <c r="BK5330" s="319"/>
      <c r="BL5330" s="319"/>
      <c r="BM5330" s="319"/>
      <c r="BN5330" s="319"/>
      <c r="BO5330" s="319"/>
      <c r="BP5330" s="953"/>
      <c r="BQ5330" s="319"/>
      <c r="BR5330" s="319"/>
      <c r="BS5330" s="330"/>
      <c r="BT5330" s="331"/>
      <c r="BU5330" s="920"/>
      <c r="BV5330" s="903"/>
      <c r="BW5330" s="908"/>
      <c r="BX5330" s="908"/>
      <c r="BY5330" s="331"/>
      <c r="BZ5330" s="331"/>
      <c r="CA5330" s="462"/>
      <c r="CB5330" s="319"/>
      <c r="CC5330" s="319"/>
      <c r="CD5330" s="319"/>
      <c r="CE5330" s="319"/>
      <c r="CF5330" s="319"/>
      <c r="CG5330" s="319"/>
      <c r="CH5330" s="318"/>
      <c r="CI5330" s="319"/>
      <c r="CJ5330" s="319"/>
      <c r="CK5330" s="342"/>
      <c r="CL5330" s="333"/>
      <c r="CM5330" s="1079"/>
      <c r="CN5330" s="1005"/>
      <c r="CO5330" s="1005"/>
      <c r="CP5330" s="1005"/>
    </row>
    <row r="5331">
      <c r="A5331" s="1257"/>
      <c r="B5331" s="1113"/>
      <c r="C5331" s="1107"/>
      <c r="D5331" s="103"/>
      <c r="E5331" s="1137"/>
      <c r="F5331" s="112"/>
      <c r="G5331" s="1110"/>
      <c r="H5331" s="1138"/>
      <c r="I5331" s="1138"/>
      <c r="J5331" s="1139"/>
      <c r="K5331" s="1111"/>
      <c r="L5331" s="1112"/>
      <c r="M5331" s="1113"/>
      <c r="N5331" s="110"/>
      <c r="O5331" s="1140"/>
      <c r="P5331" s="1115"/>
      <c r="Q5331" s="1116"/>
      <c r="R5331" s="1141"/>
      <c r="S5331" s="1113"/>
      <c r="T5331" s="1143"/>
      <c r="U5331" s="1108"/>
      <c r="V5331" s="1108"/>
      <c r="W5331" s="1108"/>
      <c r="X5331" s="1108"/>
      <c r="Y5331" s="1108"/>
      <c r="Z5331" s="1114"/>
      <c r="AA5331" s="1114"/>
      <c r="AB5331" s="1114"/>
      <c r="AC5331" s="1117"/>
      <c r="AD5331" s="1115"/>
      <c r="AE5331" s="1115"/>
      <c r="AF5331" s="1115"/>
      <c r="AG5331" s="1115"/>
      <c r="AH5331" s="1115"/>
      <c r="AI5331" s="1115"/>
      <c r="AJ5331" s="1117"/>
      <c r="AK5331" s="1118"/>
      <c r="AL5331" s="1115"/>
      <c r="AM5331" s="1115"/>
      <c r="AN5331" s="1115"/>
      <c r="AO5331" s="1115"/>
      <c r="AP5331" s="1115"/>
      <c r="AQ5331" s="1115"/>
      <c r="AR5331" s="1115"/>
      <c r="AS5331" s="1117"/>
      <c r="AT5331" s="1075"/>
      <c r="AU5331" s="1193"/>
      <c r="AV5331" s="330"/>
      <c r="AW5331" s="331"/>
      <c r="AX5331" s="331"/>
      <c r="AY5331" s="331"/>
      <c r="AZ5331" s="331"/>
      <c r="BA5331" s="331"/>
      <c r="BB5331" s="331"/>
      <c r="BC5331" s="331"/>
      <c r="BD5331" s="331"/>
      <c r="BE5331" s="333"/>
      <c r="BF5331" s="330"/>
      <c r="BG5331" s="333"/>
      <c r="BH5331" s="1119"/>
      <c r="BI5331" s="319"/>
      <c r="BJ5331" s="319"/>
      <c r="BK5331" s="319"/>
      <c r="BL5331" s="319"/>
      <c r="BM5331" s="319"/>
      <c r="BN5331" s="319"/>
      <c r="BO5331" s="319"/>
      <c r="BP5331" s="953"/>
      <c r="BQ5331" s="319"/>
      <c r="BR5331" s="319"/>
      <c r="BS5331" s="330"/>
      <c r="BT5331" s="331"/>
      <c r="BU5331" s="920"/>
      <c r="BV5331" s="903"/>
      <c r="BW5331" s="908"/>
      <c r="BX5331" s="908"/>
      <c r="BY5331" s="331"/>
      <c r="BZ5331" s="331"/>
      <c r="CA5331" s="462"/>
      <c r="CB5331" s="319"/>
      <c r="CC5331" s="319"/>
      <c r="CD5331" s="319"/>
      <c r="CE5331" s="319"/>
      <c r="CF5331" s="319"/>
      <c r="CG5331" s="319"/>
      <c r="CH5331" s="318"/>
      <c r="CI5331" s="319"/>
      <c r="CJ5331" s="319"/>
      <c r="CK5331" s="342"/>
      <c r="CL5331" s="333"/>
      <c r="CM5331" s="1079"/>
      <c r="CN5331" s="1005"/>
      <c r="CO5331" s="1005"/>
      <c r="CP5331" s="1005"/>
    </row>
    <row r="5332">
      <c r="A5332" s="1257"/>
      <c r="B5332" s="1113"/>
      <c r="C5332" s="1107"/>
      <c r="D5332" s="103"/>
      <c r="E5332" s="1137"/>
      <c r="F5332" s="112"/>
      <c r="G5332" s="1110"/>
      <c r="H5332" s="1138"/>
      <c r="I5332" s="1138"/>
      <c r="J5332" s="1139"/>
      <c r="K5332" s="1111"/>
      <c r="L5332" s="1112"/>
      <c r="M5332" s="1113"/>
      <c r="N5332" s="110"/>
      <c r="O5332" s="1140"/>
      <c r="P5332" s="1115"/>
      <c r="Q5332" s="1116"/>
      <c r="R5332" s="1141"/>
      <c r="S5332" s="1113"/>
      <c r="T5332" s="1143"/>
      <c r="U5332" s="1108"/>
      <c r="V5332" s="1108"/>
      <c r="W5332" s="1108"/>
      <c r="X5332" s="1108"/>
      <c r="Y5332" s="1108"/>
      <c r="Z5332" s="1114"/>
      <c r="AA5332" s="1114"/>
      <c r="AB5332" s="1114"/>
      <c r="AC5332" s="1117"/>
      <c r="AD5332" s="1115"/>
      <c r="AE5332" s="1115"/>
      <c r="AF5332" s="1115"/>
      <c r="AG5332" s="1115"/>
      <c r="AH5332" s="1115"/>
      <c r="AI5332" s="1115"/>
      <c r="AJ5332" s="1117"/>
      <c r="AK5332" s="1118"/>
      <c r="AL5332" s="1115"/>
      <c r="AM5332" s="1115"/>
      <c r="AN5332" s="1115"/>
      <c r="AO5332" s="1115"/>
      <c r="AP5332" s="1115"/>
      <c r="AQ5332" s="1115"/>
      <c r="AR5332" s="1115"/>
      <c r="AS5332" s="1117"/>
      <c r="AT5332" s="1075"/>
      <c r="AU5332" s="1193"/>
      <c r="AV5332" s="330"/>
      <c r="AW5332" s="331"/>
      <c r="AX5332" s="331"/>
      <c r="AY5332" s="331"/>
      <c r="AZ5332" s="331"/>
      <c r="BA5332" s="331"/>
      <c r="BB5332" s="331"/>
      <c r="BC5332" s="331"/>
      <c r="BD5332" s="331"/>
      <c r="BE5332" s="333"/>
      <c r="BF5332" s="330"/>
      <c r="BG5332" s="333"/>
      <c r="BH5332" s="1119"/>
      <c r="BI5332" s="319"/>
      <c r="BJ5332" s="319"/>
      <c r="BK5332" s="319"/>
      <c r="BL5332" s="319"/>
      <c r="BM5332" s="319"/>
      <c r="BN5332" s="319"/>
      <c r="BO5332" s="319"/>
      <c r="BP5332" s="953"/>
      <c r="BQ5332" s="319"/>
      <c r="BR5332" s="319"/>
      <c r="BS5332" s="330"/>
      <c r="BT5332" s="331"/>
      <c r="BU5332" s="920"/>
      <c r="BV5332" s="903"/>
      <c r="BW5332" s="908"/>
      <c r="BX5332" s="908"/>
      <c r="BY5332" s="331"/>
      <c r="BZ5332" s="331"/>
      <c r="CA5332" s="462"/>
      <c r="CB5332" s="319"/>
      <c r="CC5332" s="319"/>
      <c r="CD5332" s="319"/>
      <c r="CE5332" s="319"/>
      <c r="CF5332" s="319"/>
      <c r="CG5332" s="319"/>
      <c r="CH5332" s="318"/>
      <c r="CI5332" s="319"/>
      <c r="CJ5332" s="319"/>
      <c r="CK5332" s="342"/>
      <c r="CL5332" s="333"/>
      <c r="CM5332" s="1079"/>
      <c r="CN5332" s="1005"/>
      <c r="CO5332" s="1005"/>
      <c r="CP5332" s="1005"/>
    </row>
    <row r="5333">
      <c r="A5333" s="1257"/>
      <c r="B5333" s="1113"/>
      <c r="C5333" s="1107"/>
      <c r="D5333" s="103"/>
      <c r="E5333" s="1137"/>
      <c r="F5333" s="112"/>
      <c r="G5333" s="1110"/>
      <c r="H5333" s="1138"/>
      <c r="I5333" s="1138"/>
      <c r="J5333" s="1139"/>
      <c r="K5333" s="1111"/>
      <c r="L5333" s="1112"/>
      <c r="M5333" s="1113"/>
      <c r="N5333" s="110"/>
      <c r="O5333" s="1140"/>
      <c r="P5333" s="1115"/>
      <c r="Q5333" s="1116"/>
      <c r="R5333" s="1141"/>
      <c r="S5333" s="1113"/>
      <c r="T5333" s="1143"/>
      <c r="U5333" s="1108"/>
      <c r="V5333" s="1108"/>
      <c r="W5333" s="1108"/>
      <c r="X5333" s="1108"/>
      <c r="Y5333" s="1108"/>
      <c r="Z5333" s="1114"/>
      <c r="AA5333" s="1114"/>
      <c r="AB5333" s="1114"/>
      <c r="AC5333" s="1117"/>
      <c r="AD5333" s="1115"/>
      <c r="AE5333" s="1115"/>
      <c r="AF5333" s="1115"/>
      <c r="AG5333" s="1115"/>
      <c r="AH5333" s="1115"/>
      <c r="AI5333" s="1115"/>
      <c r="AJ5333" s="1117"/>
      <c r="AK5333" s="1118"/>
      <c r="AL5333" s="1115"/>
      <c r="AM5333" s="1115"/>
      <c r="AN5333" s="1115"/>
      <c r="AO5333" s="1115"/>
      <c r="AP5333" s="1115"/>
      <c r="AQ5333" s="1115"/>
      <c r="AR5333" s="1115"/>
      <c r="AS5333" s="1117"/>
      <c r="AT5333" s="1075"/>
      <c r="AU5333" s="1193"/>
      <c r="AV5333" s="330"/>
      <c r="AW5333" s="331"/>
      <c r="AX5333" s="331"/>
      <c r="AY5333" s="331"/>
      <c r="AZ5333" s="331"/>
      <c r="BA5333" s="331"/>
      <c r="BB5333" s="331"/>
      <c r="BC5333" s="331"/>
      <c r="BD5333" s="331"/>
      <c r="BE5333" s="333"/>
      <c r="BF5333" s="330"/>
      <c r="BG5333" s="333"/>
      <c r="BH5333" s="1119"/>
      <c r="BI5333" s="319"/>
      <c r="BJ5333" s="319"/>
      <c r="BK5333" s="319"/>
      <c r="BL5333" s="319"/>
      <c r="BM5333" s="319"/>
      <c r="BN5333" s="319"/>
      <c r="BO5333" s="319"/>
      <c r="BP5333" s="953"/>
      <c r="BQ5333" s="319"/>
      <c r="BR5333" s="319"/>
      <c r="BS5333" s="330"/>
      <c r="BT5333" s="331"/>
      <c r="BU5333" s="920"/>
      <c r="BV5333" s="903"/>
      <c r="BW5333" s="908"/>
      <c r="BX5333" s="908"/>
      <c r="BY5333" s="331"/>
      <c r="BZ5333" s="331"/>
      <c r="CA5333" s="462"/>
      <c r="CB5333" s="319"/>
      <c r="CC5333" s="319"/>
      <c r="CD5333" s="319"/>
      <c r="CE5333" s="319"/>
      <c r="CF5333" s="319"/>
      <c r="CG5333" s="319"/>
      <c r="CH5333" s="318"/>
      <c r="CI5333" s="319"/>
      <c r="CJ5333" s="319"/>
      <c r="CK5333" s="342"/>
      <c r="CL5333" s="333"/>
      <c r="CM5333" s="1079"/>
      <c r="CN5333" s="1005"/>
      <c r="CO5333" s="1005"/>
      <c r="CP5333" s="1005"/>
    </row>
    <row r="5334">
      <c r="A5334" s="1257"/>
      <c r="B5334" s="1113"/>
      <c r="C5334" s="1107"/>
      <c r="D5334" s="103"/>
      <c r="E5334" s="1137"/>
      <c r="F5334" s="112"/>
      <c r="G5334" s="1110"/>
      <c r="H5334" s="1138"/>
      <c r="I5334" s="1138"/>
      <c r="J5334" s="1139"/>
      <c r="K5334" s="1111"/>
      <c r="L5334" s="1112"/>
      <c r="M5334" s="1113"/>
      <c r="N5334" s="110"/>
      <c r="O5334" s="1140"/>
      <c r="P5334" s="1115"/>
      <c r="Q5334" s="1116"/>
      <c r="R5334" s="1141"/>
      <c r="S5334" s="1113"/>
      <c r="T5334" s="1143"/>
      <c r="U5334" s="1108"/>
      <c r="V5334" s="1108"/>
      <c r="W5334" s="1108"/>
      <c r="X5334" s="1108"/>
      <c r="Y5334" s="1108"/>
      <c r="Z5334" s="1114"/>
      <c r="AA5334" s="1114"/>
      <c r="AB5334" s="1114"/>
      <c r="AC5334" s="1117"/>
      <c r="AD5334" s="1115"/>
      <c r="AE5334" s="1115"/>
      <c r="AF5334" s="1115"/>
      <c r="AG5334" s="1115"/>
      <c r="AH5334" s="1115"/>
      <c r="AI5334" s="1115"/>
      <c r="AJ5334" s="1117"/>
      <c r="AK5334" s="1118"/>
      <c r="AL5334" s="1115"/>
      <c r="AM5334" s="1115"/>
      <c r="AN5334" s="1115"/>
      <c r="AO5334" s="1115"/>
      <c r="AP5334" s="1115"/>
      <c r="AQ5334" s="1115"/>
      <c r="AR5334" s="1115"/>
      <c r="AS5334" s="1117"/>
      <c r="AT5334" s="1075"/>
      <c r="AU5334" s="1193"/>
      <c r="AV5334" s="330"/>
      <c r="AW5334" s="331"/>
      <c r="AX5334" s="331"/>
      <c r="AY5334" s="331"/>
      <c r="AZ5334" s="331"/>
      <c r="BA5334" s="331"/>
      <c r="BB5334" s="331"/>
      <c r="BC5334" s="331"/>
      <c r="BD5334" s="331"/>
      <c r="BE5334" s="333"/>
      <c r="BF5334" s="330"/>
      <c r="BG5334" s="333"/>
      <c r="BH5334" s="1119"/>
      <c r="BI5334" s="319"/>
      <c r="BJ5334" s="319"/>
      <c r="BK5334" s="319"/>
      <c r="BL5334" s="319"/>
      <c r="BM5334" s="319"/>
      <c r="BN5334" s="319"/>
      <c r="BO5334" s="319"/>
      <c r="BP5334" s="953"/>
      <c r="BQ5334" s="319"/>
      <c r="BR5334" s="319"/>
      <c r="BS5334" s="330"/>
      <c r="BT5334" s="331"/>
      <c r="BU5334" s="920"/>
      <c r="BV5334" s="903"/>
      <c r="BW5334" s="908"/>
      <c r="BX5334" s="908"/>
      <c r="BY5334" s="331"/>
      <c r="BZ5334" s="331"/>
      <c r="CA5334" s="462"/>
      <c r="CB5334" s="319"/>
      <c r="CC5334" s="319"/>
      <c r="CD5334" s="319"/>
      <c r="CE5334" s="319"/>
      <c r="CF5334" s="319"/>
      <c r="CG5334" s="319"/>
      <c r="CH5334" s="318"/>
      <c r="CI5334" s="319"/>
      <c r="CJ5334" s="319"/>
      <c r="CK5334" s="342"/>
      <c r="CL5334" s="333"/>
      <c r="CM5334" s="1079"/>
      <c r="CN5334" s="1005"/>
      <c r="CO5334" s="1005"/>
      <c r="CP5334" s="1005"/>
    </row>
    <row r="5335">
      <c r="A5335" s="1257"/>
      <c r="B5335" s="1113"/>
      <c r="C5335" s="1107"/>
      <c r="D5335" s="103"/>
      <c r="E5335" s="1137"/>
      <c r="F5335" s="112"/>
      <c r="G5335" s="1110"/>
      <c r="H5335" s="1138"/>
      <c r="I5335" s="1138"/>
      <c r="J5335" s="1139"/>
      <c r="K5335" s="1111"/>
      <c r="L5335" s="1112"/>
      <c r="M5335" s="1113"/>
      <c r="N5335" s="110"/>
      <c r="O5335" s="1140"/>
      <c r="P5335" s="1115"/>
      <c r="Q5335" s="1116"/>
      <c r="R5335" s="1141"/>
      <c r="S5335" s="1113"/>
      <c r="T5335" s="1143"/>
      <c r="U5335" s="1108"/>
      <c r="V5335" s="1108"/>
      <c r="W5335" s="1108"/>
      <c r="X5335" s="1108"/>
      <c r="Y5335" s="1108"/>
      <c r="Z5335" s="1114"/>
      <c r="AA5335" s="1114"/>
      <c r="AB5335" s="1114"/>
      <c r="AC5335" s="1117"/>
      <c r="AD5335" s="1115"/>
      <c r="AE5335" s="1115"/>
      <c r="AF5335" s="1115"/>
      <c r="AG5335" s="1115"/>
      <c r="AH5335" s="1115"/>
      <c r="AI5335" s="1115"/>
      <c r="AJ5335" s="1117"/>
      <c r="AK5335" s="1118"/>
      <c r="AL5335" s="1115"/>
      <c r="AM5335" s="1115"/>
      <c r="AN5335" s="1115"/>
      <c r="AO5335" s="1115"/>
      <c r="AP5335" s="1115"/>
      <c r="AQ5335" s="1115"/>
      <c r="AR5335" s="1115"/>
      <c r="AS5335" s="1117"/>
      <c r="AT5335" s="1075"/>
      <c r="AU5335" s="1193"/>
      <c r="AV5335" s="330"/>
      <c r="AW5335" s="331"/>
      <c r="AX5335" s="331"/>
      <c r="AY5335" s="331"/>
      <c r="AZ5335" s="331"/>
      <c r="BA5335" s="331"/>
      <c r="BB5335" s="331"/>
      <c r="BC5335" s="331"/>
      <c r="BD5335" s="331"/>
      <c r="BE5335" s="333"/>
      <c r="BF5335" s="330"/>
      <c r="BG5335" s="333"/>
      <c r="BH5335" s="1119"/>
      <c r="BI5335" s="319"/>
      <c r="BJ5335" s="319"/>
      <c r="BK5335" s="319"/>
      <c r="BL5335" s="319"/>
      <c r="BM5335" s="319"/>
      <c r="BN5335" s="319"/>
      <c r="BO5335" s="319"/>
      <c r="BP5335" s="953"/>
      <c r="BQ5335" s="319"/>
      <c r="BR5335" s="319"/>
      <c r="BS5335" s="330"/>
      <c r="BT5335" s="331"/>
      <c r="BU5335" s="920"/>
      <c r="BV5335" s="903"/>
      <c r="BW5335" s="908"/>
      <c r="BX5335" s="908"/>
      <c r="BY5335" s="331"/>
      <c r="BZ5335" s="331"/>
      <c r="CA5335" s="462"/>
      <c r="CB5335" s="319"/>
      <c r="CC5335" s="319"/>
      <c r="CD5335" s="319"/>
      <c r="CE5335" s="319"/>
      <c r="CF5335" s="319"/>
      <c r="CG5335" s="319"/>
      <c r="CH5335" s="318"/>
      <c r="CI5335" s="319"/>
      <c r="CJ5335" s="319"/>
      <c r="CK5335" s="342"/>
      <c r="CL5335" s="333"/>
      <c r="CM5335" s="1079"/>
      <c r="CN5335" s="1005"/>
      <c r="CO5335" s="1005"/>
      <c r="CP5335" s="1005"/>
    </row>
    <row r="5336">
      <c r="A5336" s="1257"/>
      <c r="B5336" s="1113"/>
      <c r="C5336" s="1107"/>
      <c r="D5336" s="103"/>
      <c r="E5336" s="1137"/>
      <c r="F5336" s="112"/>
      <c r="G5336" s="1110"/>
      <c r="H5336" s="1138"/>
      <c r="I5336" s="1138"/>
      <c r="J5336" s="1139"/>
      <c r="K5336" s="1111"/>
      <c r="L5336" s="1112"/>
      <c r="M5336" s="1113"/>
      <c r="N5336" s="110"/>
      <c r="O5336" s="1140"/>
      <c r="P5336" s="1115"/>
      <c r="Q5336" s="1116"/>
      <c r="R5336" s="1141"/>
      <c r="S5336" s="1113"/>
      <c r="T5336" s="1143"/>
      <c r="U5336" s="1108"/>
      <c r="V5336" s="1108"/>
      <c r="W5336" s="1108"/>
      <c r="X5336" s="1108"/>
      <c r="Y5336" s="1108"/>
      <c r="Z5336" s="1114"/>
      <c r="AA5336" s="1114"/>
      <c r="AB5336" s="1114"/>
      <c r="AC5336" s="1117"/>
      <c r="AD5336" s="1115"/>
      <c r="AE5336" s="1115"/>
      <c r="AF5336" s="1115"/>
      <c r="AG5336" s="1115"/>
      <c r="AH5336" s="1115"/>
      <c r="AI5336" s="1115"/>
      <c r="AJ5336" s="1117"/>
      <c r="AK5336" s="1118"/>
      <c r="AL5336" s="1115"/>
      <c r="AM5336" s="1115"/>
      <c r="AN5336" s="1115"/>
      <c r="AO5336" s="1115"/>
      <c r="AP5336" s="1115"/>
      <c r="AQ5336" s="1115"/>
      <c r="AR5336" s="1115"/>
      <c r="AS5336" s="1117"/>
      <c r="AT5336" s="1075"/>
      <c r="AU5336" s="1193"/>
      <c r="AV5336" s="330"/>
      <c r="AW5336" s="331"/>
      <c r="AX5336" s="331"/>
      <c r="AY5336" s="331"/>
      <c r="AZ5336" s="331"/>
      <c r="BA5336" s="331"/>
      <c r="BB5336" s="331"/>
      <c r="BC5336" s="331"/>
      <c r="BD5336" s="331"/>
      <c r="BE5336" s="333"/>
      <c r="BF5336" s="330"/>
      <c r="BG5336" s="333"/>
      <c r="BH5336" s="1119"/>
      <c r="BI5336" s="319"/>
      <c r="BJ5336" s="319"/>
      <c r="BK5336" s="319"/>
      <c r="BL5336" s="319"/>
      <c r="BM5336" s="319"/>
      <c r="BN5336" s="319"/>
      <c r="BO5336" s="319"/>
      <c r="BP5336" s="953"/>
      <c r="BQ5336" s="319"/>
      <c r="BR5336" s="319"/>
      <c r="BS5336" s="330"/>
      <c r="BT5336" s="331"/>
      <c r="BU5336" s="920"/>
      <c r="BV5336" s="903"/>
      <c r="BW5336" s="908"/>
      <c r="BX5336" s="908"/>
      <c r="BY5336" s="331"/>
      <c r="BZ5336" s="331"/>
      <c r="CA5336" s="462"/>
      <c r="CB5336" s="319"/>
      <c r="CC5336" s="319"/>
      <c r="CD5336" s="319"/>
      <c r="CE5336" s="319"/>
      <c r="CF5336" s="319"/>
      <c r="CG5336" s="319"/>
      <c r="CH5336" s="318"/>
      <c r="CI5336" s="319"/>
      <c r="CJ5336" s="319"/>
      <c r="CK5336" s="342"/>
      <c r="CL5336" s="333"/>
      <c r="CM5336" s="1079"/>
      <c r="CN5336" s="1005"/>
      <c r="CO5336" s="1005"/>
      <c r="CP5336" s="1005"/>
    </row>
    <row r="5337">
      <c r="A5337" s="1257"/>
      <c r="B5337" s="1113"/>
      <c r="C5337" s="1107"/>
      <c r="D5337" s="103"/>
      <c r="E5337" s="1137"/>
      <c r="F5337" s="112"/>
      <c r="G5337" s="1110"/>
      <c r="H5337" s="1138"/>
      <c r="I5337" s="1138"/>
      <c r="J5337" s="1139"/>
      <c r="K5337" s="1111"/>
      <c r="L5337" s="1112"/>
      <c r="M5337" s="1113"/>
      <c r="N5337" s="110"/>
      <c r="O5337" s="1140"/>
      <c r="P5337" s="1115"/>
      <c r="Q5337" s="1116"/>
      <c r="R5337" s="1141"/>
      <c r="S5337" s="1113"/>
      <c r="T5337" s="1143"/>
      <c r="U5337" s="1108"/>
      <c r="V5337" s="1108"/>
      <c r="W5337" s="1108"/>
      <c r="X5337" s="1108"/>
      <c r="Y5337" s="1108"/>
      <c r="Z5337" s="1114"/>
      <c r="AA5337" s="1114"/>
      <c r="AB5337" s="1114"/>
      <c r="AC5337" s="1117"/>
      <c r="AD5337" s="1115"/>
      <c r="AE5337" s="1115"/>
      <c r="AF5337" s="1115"/>
      <c r="AG5337" s="1115"/>
      <c r="AH5337" s="1115"/>
      <c r="AI5337" s="1115"/>
      <c r="AJ5337" s="1117"/>
      <c r="AK5337" s="1118"/>
      <c r="AL5337" s="1115"/>
      <c r="AM5337" s="1115"/>
      <c r="AN5337" s="1115"/>
      <c r="AO5337" s="1115"/>
      <c r="AP5337" s="1115"/>
      <c r="AQ5337" s="1115"/>
      <c r="AR5337" s="1115"/>
      <c r="AS5337" s="1117"/>
      <c r="AT5337" s="1075"/>
      <c r="AU5337" s="1193"/>
      <c r="AV5337" s="330"/>
      <c r="AW5337" s="331"/>
      <c r="AX5337" s="331"/>
      <c r="AY5337" s="331"/>
      <c r="AZ5337" s="331"/>
      <c r="BA5337" s="331"/>
      <c r="BB5337" s="331"/>
      <c r="BC5337" s="331"/>
      <c r="BD5337" s="331"/>
      <c r="BE5337" s="333"/>
      <c r="BF5337" s="330"/>
      <c r="BG5337" s="333"/>
      <c r="BH5337" s="1119"/>
      <c r="BI5337" s="319"/>
      <c r="BJ5337" s="319"/>
      <c r="BK5337" s="319"/>
      <c r="BL5337" s="319"/>
      <c r="BM5337" s="319"/>
      <c r="BN5337" s="319"/>
      <c r="BO5337" s="319"/>
      <c r="BP5337" s="953"/>
      <c r="BQ5337" s="319"/>
      <c r="BR5337" s="319"/>
      <c r="BS5337" s="330"/>
      <c r="BT5337" s="331"/>
      <c r="BU5337" s="920"/>
      <c r="BV5337" s="903"/>
      <c r="BW5337" s="908"/>
      <c r="BX5337" s="908"/>
      <c r="BY5337" s="331"/>
      <c r="BZ5337" s="331"/>
      <c r="CA5337" s="462"/>
      <c r="CB5337" s="319"/>
      <c r="CC5337" s="319"/>
      <c r="CD5337" s="319"/>
      <c r="CE5337" s="319"/>
      <c r="CF5337" s="319"/>
      <c r="CG5337" s="319"/>
      <c r="CH5337" s="318"/>
      <c r="CI5337" s="319"/>
      <c r="CJ5337" s="319"/>
      <c r="CK5337" s="342"/>
      <c r="CL5337" s="333"/>
      <c r="CM5337" s="1079"/>
      <c r="CN5337" s="1005"/>
      <c r="CO5337" s="1005"/>
      <c r="CP5337" s="1005"/>
    </row>
    <row r="5338">
      <c r="A5338" s="1257"/>
      <c r="B5338" s="1113"/>
      <c r="C5338" s="1107"/>
      <c r="D5338" s="103"/>
      <c r="E5338" s="1137"/>
      <c r="F5338" s="112"/>
      <c r="G5338" s="1110"/>
      <c r="H5338" s="1138"/>
      <c r="I5338" s="1138"/>
      <c r="J5338" s="1139"/>
      <c r="K5338" s="1111"/>
      <c r="L5338" s="1112"/>
      <c r="M5338" s="1113"/>
      <c r="N5338" s="110"/>
      <c r="O5338" s="1140"/>
      <c r="P5338" s="1115"/>
      <c r="Q5338" s="1116"/>
      <c r="R5338" s="1141"/>
      <c r="S5338" s="1113"/>
      <c r="T5338" s="1143"/>
      <c r="U5338" s="1108"/>
      <c r="V5338" s="1108"/>
      <c r="W5338" s="1108"/>
      <c r="X5338" s="1108"/>
      <c r="Y5338" s="1108"/>
      <c r="Z5338" s="1114"/>
      <c r="AA5338" s="1114"/>
      <c r="AB5338" s="1114"/>
      <c r="AC5338" s="1117"/>
      <c r="AD5338" s="1115"/>
      <c r="AE5338" s="1115"/>
      <c r="AF5338" s="1115"/>
      <c r="AG5338" s="1115"/>
      <c r="AH5338" s="1115"/>
      <c r="AI5338" s="1115"/>
      <c r="AJ5338" s="1117"/>
      <c r="AK5338" s="1118"/>
      <c r="AL5338" s="1115"/>
      <c r="AM5338" s="1115"/>
      <c r="AN5338" s="1115"/>
      <c r="AO5338" s="1115"/>
      <c r="AP5338" s="1115"/>
      <c r="AQ5338" s="1115"/>
      <c r="AR5338" s="1115"/>
      <c r="AS5338" s="1117"/>
      <c r="AT5338" s="1075"/>
      <c r="AU5338" s="1193"/>
      <c r="AV5338" s="330"/>
      <c r="AW5338" s="331"/>
      <c r="AX5338" s="331"/>
      <c r="AY5338" s="331"/>
      <c r="AZ5338" s="331"/>
      <c r="BA5338" s="331"/>
      <c r="BB5338" s="331"/>
      <c r="BC5338" s="331"/>
      <c r="BD5338" s="331"/>
      <c r="BE5338" s="333"/>
      <c r="BF5338" s="330"/>
      <c r="BG5338" s="333"/>
      <c r="BH5338" s="1119"/>
      <c r="BI5338" s="319"/>
      <c r="BJ5338" s="319"/>
      <c r="BK5338" s="319"/>
      <c r="BL5338" s="319"/>
      <c r="BM5338" s="319"/>
      <c r="BN5338" s="319"/>
      <c r="BO5338" s="319"/>
      <c r="BP5338" s="953"/>
      <c r="BQ5338" s="319"/>
      <c r="BR5338" s="319"/>
      <c r="BS5338" s="330"/>
      <c r="BT5338" s="331"/>
      <c r="BU5338" s="920"/>
      <c r="BV5338" s="903"/>
      <c r="BW5338" s="908"/>
      <c r="BX5338" s="908"/>
      <c r="BY5338" s="331"/>
      <c r="BZ5338" s="331"/>
      <c r="CA5338" s="462"/>
      <c r="CB5338" s="319"/>
      <c r="CC5338" s="319"/>
      <c r="CD5338" s="319"/>
      <c r="CE5338" s="319"/>
      <c r="CF5338" s="319"/>
      <c r="CG5338" s="319"/>
      <c r="CH5338" s="318"/>
      <c r="CI5338" s="319"/>
      <c r="CJ5338" s="319"/>
      <c r="CK5338" s="342"/>
      <c r="CL5338" s="333"/>
      <c r="CM5338" s="1079"/>
      <c r="CN5338" s="1005"/>
      <c r="CO5338" s="1005"/>
      <c r="CP5338" s="1005"/>
    </row>
    <row r="5339">
      <c r="A5339" s="1257"/>
      <c r="B5339" s="1113"/>
      <c r="C5339" s="1107"/>
      <c r="D5339" s="103"/>
      <c r="E5339" s="1137"/>
      <c r="F5339" s="112"/>
      <c r="G5339" s="1110"/>
      <c r="H5339" s="1138"/>
      <c r="I5339" s="1138"/>
      <c r="J5339" s="1139"/>
      <c r="K5339" s="1111"/>
      <c r="L5339" s="1112"/>
      <c r="M5339" s="1113"/>
      <c r="N5339" s="110"/>
      <c r="O5339" s="1140"/>
      <c r="P5339" s="1115"/>
      <c r="Q5339" s="1116"/>
      <c r="R5339" s="1141"/>
      <c r="S5339" s="1113"/>
      <c r="T5339" s="1143"/>
      <c r="U5339" s="1108"/>
      <c r="V5339" s="1108"/>
      <c r="W5339" s="1108"/>
      <c r="X5339" s="1108"/>
      <c r="Y5339" s="1108"/>
      <c r="Z5339" s="1114"/>
      <c r="AA5339" s="1114"/>
      <c r="AB5339" s="1114"/>
      <c r="AC5339" s="1117"/>
      <c r="AD5339" s="1115"/>
      <c r="AE5339" s="1115"/>
      <c r="AF5339" s="1115"/>
      <c r="AG5339" s="1115"/>
      <c r="AH5339" s="1115"/>
      <c r="AI5339" s="1115"/>
      <c r="AJ5339" s="1117"/>
      <c r="AK5339" s="1118"/>
      <c r="AL5339" s="1115"/>
      <c r="AM5339" s="1115"/>
      <c r="AN5339" s="1115"/>
      <c r="AO5339" s="1115"/>
      <c r="AP5339" s="1115"/>
      <c r="AQ5339" s="1115"/>
      <c r="AR5339" s="1115"/>
      <c r="AS5339" s="1117"/>
      <c r="AT5339" s="1075"/>
      <c r="AU5339" s="1193"/>
      <c r="AV5339" s="330"/>
      <c r="AW5339" s="331"/>
      <c r="AX5339" s="331"/>
      <c r="AY5339" s="331"/>
      <c r="AZ5339" s="331"/>
      <c r="BA5339" s="331"/>
      <c r="BB5339" s="331"/>
      <c r="BC5339" s="331"/>
      <c r="BD5339" s="331"/>
      <c r="BE5339" s="333"/>
      <c r="BF5339" s="330"/>
      <c r="BG5339" s="333"/>
      <c r="BH5339" s="1119"/>
      <c r="BI5339" s="319"/>
      <c r="BJ5339" s="319"/>
      <c r="BK5339" s="319"/>
      <c r="BL5339" s="319"/>
      <c r="BM5339" s="319"/>
      <c r="BN5339" s="319"/>
      <c r="BO5339" s="319"/>
      <c r="BP5339" s="953"/>
      <c r="BQ5339" s="319"/>
      <c r="BR5339" s="319"/>
      <c r="BS5339" s="330"/>
      <c r="BT5339" s="331"/>
      <c r="BU5339" s="920"/>
      <c r="BV5339" s="903"/>
      <c r="BW5339" s="908"/>
      <c r="BX5339" s="908"/>
      <c r="BY5339" s="331"/>
      <c r="BZ5339" s="331"/>
      <c r="CA5339" s="462"/>
      <c r="CB5339" s="319"/>
      <c r="CC5339" s="319"/>
      <c r="CD5339" s="319"/>
      <c r="CE5339" s="319"/>
      <c r="CF5339" s="319"/>
      <c r="CG5339" s="319"/>
      <c r="CH5339" s="318"/>
      <c r="CI5339" s="319"/>
      <c r="CJ5339" s="319"/>
      <c r="CK5339" s="342"/>
      <c r="CL5339" s="333"/>
      <c r="CM5339" s="1079"/>
      <c r="CN5339" s="1005"/>
      <c r="CO5339" s="1005"/>
      <c r="CP5339" s="1005"/>
    </row>
    <row r="5340">
      <c r="A5340" s="1257"/>
      <c r="B5340" s="1113"/>
      <c r="C5340" s="1107"/>
      <c r="D5340" s="103"/>
      <c r="E5340" s="1137"/>
      <c r="F5340" s="112"/>
      <c r="G5340" s="1110"/>
      <c r="H5340" s="1138"/>
      <c r="I5340" s="1138"/>
      <c r="J5340" s="1139"/>
      <c r="K5340" s="1111"/>
      <c r="L5340" s="1112"/>
      <c r="M5340" s="1113"/>
      <c r="N5340" s="110"/>
      <c r="O5340" s="1140"/>
      <c r="P5340" s="1115"/>
      <c r="Q5340" s="1116"/>
      <c r="R5340" s="1141"/>
      <c r="S5340" s="1113"/>
      <c r="T5340" s="1143"/>
      <c r="U5340" s="1108"/>
      <c r="V5340" s="1108"/>
      <c r="W5340" s="1108"/>
      <c r="X5340" s="1108"/>
      <c r="Y5340" s="1108"/>
      <c r="Z5340" s="1114"/>
      <c r="AA5340" s="1114"/>
      <c r="AB5340" s="1114"/>
      <c r="AC5340" s="1117"/>
      <c r="AD5340" s="1115"/>
      <c r="AE5340" s="1115"/>
      <c r="AF5340" s="1115"/>
      <c r="AG5340" s="1115"/>
      <c r="AH5340" s="1115"/>
      <c r="AI5340" s="1115"/>
      <c r="AJ5340" s="1117"/>
      <c r="AK5340" s="1118"/>
      <c r="AL5340" s="1115"/>
      <c r="AM5340" s="1115"/>
      <c r="AN5340" s="1115"/>
      <c r="AO5340" s="1115"/>
      <c r="AP5340" s="1115"/>
      <c r="AQ5340" s="1115"/>
      <c r="AR5340" s="1115"/>
      <c r="AS5340" s="1117"/>
      <c r="AT5340" s="1075"/>
      <c r="AU5340" s="1193"/>
      <c r="AV5340" s="330"/>
      <c r="AW5340" s="331"/>
      <c r="AX5340" s="331"/>
      <c r="AY5340" s="331"/>
      <c r="AZ5340" s="331"/>
      <c r="BA5340" s="331"/>
      <c r="BB5340" s="331"/>
      <c r="BC5340" s="331"/>
      <c r="BD5340" s="331"/>
      <c r="BE5340" s="333"/>
      <c r="BF5340" s="330"/>
      <c r="BG5340" s="333"/>
      <c r="BH5340" s="1119"/>
      <c r="BI5340" s="319"/>
      <c r="BJ5340" s="319"/>
      <c r="BK5340" s="319"/>
      <c r="BL5340" s="319"/>
      <c r="BM5340" s="319"/>
      <c r="BN5340" s="319"/>
      <c r="BO5340" s="319"/>
      <c r="BP5340" s="953"/>
      <c r="BQ5340" s="319"/>
      <c r="BR5340" s="319"/>
      <c r="BS5340" s="330"/>
      <c r="BT5340" s="331"/>
      <c r="BU5340" s="920"/>
      <c r="BV5340" s="903"/>
      <c r="BW5340" s="908"/>
      <c r="BX5340" s="908"/>
      <c r="BY5340" s="331"/>
      <c r="BZ5340" s="331"/>
      <c r="CA5340" s="462"/>
      <c r="CB5340" s="319"/>
      <c r="CC5340" s="319"/>
      <c r="CD5340" s="319"/>
      <c r="CE5340" s="319"/>
      <c r="CF5340" s="319"/>
      <c r="CG5340" s="319"/>
      <c r="CH5340" s="318"/>
      <c r="CI5340" s="319"/>
      <c r="CJ5340" s="319"/>
      <c r="CK5340" s="342"/>
      <c r="CL5340" s="333"/>
      <c r="CM5340" s="1079"/>
      <c r="CN5340" s="1005"/>
      <c r="CO5340" s="1005"/>
      <c r="CP5340" s="1005"/>
    </row>
    <row r="5341">
      <c r="A5341" s="1257"/>
      <c r="B5341" s="1113"/>
      <c r="C5341" s="1107"/>
      <c r="D5341" s="103"/>
      <c r="E5341" s="1137"/>
      <c r="F5341" s="112"/>
      <c r="G5341" s="1110"/>
      <c r="H5341" s="1138"/>
      <c r="I5341" s="1138"/>
      <c r="J5341" s="1139"/>
      <c r="K5341" s="1111"/>
      <c r="L5341" s="1112"/>
      <c r="M5341" s="1113"/>
      <c r="N5341" s="110"/>
      <c r="O5341" s="1140"/>
      <c r="P5341" s="1115"/>
      <c r="Q5341" s="1116"/>
      <c r="R5341" s="1141"/>
      <c r="S5341" s="1113"/>
      <c r="T5341" s="1143"/>
      <c r="U5341" s="1108"/>
      <c r="V5341" s="1108"/>
      <c r="W5341" s="1108"/>
      <c r="X5341" s="1108"/>
      <c r="Y5341" s="1108"/>
      <c r="Z5341" s="1114"/>
      <c r="AA5341" s="1114"/>
      <c r="AB5341" s="1114"/>
      <c r="AC5341" s="1117"/>
      <c r="AD5341" s="1115"/>
      <c r="AE5341" s="1115"/>
      <c r="AF5341" s="1115"/>
      <c r="AG5341" s="1115"/>
      <c r="AH5341" s="1115"/>
      <c r="AI5341" s="1115"/>
      <c r="AJ5341" s="1117"/>
      <c r="AK5341" s="1118"/>
      <c r="AL5341" s="1115"/>
      <c r="AM5341" s="1115"/>
      <c r="AN5341" s="1115"/>
      <c r="AO5341" s="1115"/>
      <c r="AP5341" s="1115"/>
      <c r="AQ5341" s="1115"/>
      <c r="AR5341" s="1115"/>
      <c r="AS5341" s="1117"/>
      <c r="AT5341" s="1075"/>
      <c r="AU5341" s="1193"/>
      <c r="AV5341" s="330"/>
      <c r="AW5341" s="331"/>
      <c r="AX5341" s="331"/>
      <c r="AY5341" s="331"/>
      <c r="AZ5341" s="331"/>
      <c r="BA5341" s="331"/>
      <c r="BB5341" s="331"/>
      <c r="BC5341" s="331"/>
      <c r="BD5341" s="331"/>
      <c r="BE5341" s="333"/>
      <c r="BF5341" s="330"/>
      <c r="BG5341" s="333"/>
      <c r="BH5341" s="1119"/>
      <c r="BI5341" s="319"/>
      <c r="BJ5341" s="319"/>
      <c r="BK5341" s="319"/>
      <c r="BL5341" s="319"/>
      <c r="BM5341" s="319"/>
      <c r="BN5341" s="319"/>
      <c r="BO5341" s="319"/>
      <c r="BP5341" s="953"/>
      <c r="BQ5341" s="319"/>
      <c r="BR5341" s="319"/>
      <c r="BS5341" s="330"/>
      <c r="BT5341" s="331"/>
      <c r="BU5341" s="920"/>
      <c r="BV5341" s="903"/>
      <c r="BW5341" s="908"/>
      <c r="BX5341" s="908"/>
      <c r="BY5341" s="331"/>
      <c r="BZ5341" s="331"/>
      <c r="CA5341" s="462"/>
      <c r="CB5341" s="319"/>
      <c r="CC5341" s="319"/>
      <c r="CD5341" s="319"/>
      <c r="CE5341" s="319"/>
      <c r="CF5341" s="319"/>
      <c r="CG5341" s="319"/>
      <c r="CH5341" s="318"/>
      <c r="CI5341" s="319"/>
      <c r="CJ5341" s="319"/>
      <c r="CK5341" s="342"/>
      <c r="CL5341" s="333"/>
      <c r="CM5341" s="1079"/>
      <c r="CN5341" s="1005"/>
      <c r="CO5341" s="1005"/>
      <c r="CP5341" s="1005"/>
    </row>
    <row r="5342">
      <c r="A5342" s="1257"/>
      <c r="B5342" s="1113"/>
      <c r="C5342" s="1107"/>
      <c r="D5342" s="103"/>
      <c r="E5342" s="1137"/>
      <c r="F5342" s="112"/>
      <c r="G5342" s="1110"/>
      <c r="H5342" s="1138"/>
      <c r="I5342" s="1138"/>
      <c r="J5342" s="1139"/>
      <c r="K5342" s="1111"/>
      <c r="L5342" s="1112"/>
      <c r="M5342" s="1113"/>
      <c r="N5342" s="110"/>
      <c r="O5342" s="1140"/>
      <c r="P5342" s="1115"/>
      <c r="Q5342" s="1116"/>
      <c r="R5342" s="1141"/>
      <c r="S5342" s="1113"/>
      <c r="T5342" s="1143"/>
      <c r="U5342" s="1108"/>
      <c r="V5342" s="1108"/>
      <c r="W5342" s="1108"/>
      <c r="X5342" s="1108"/>
      <c r="Y5342" s="1108"/>
      <c r="Z5342" s="1114"/>
      <c r="AA5342" s="1114"/>
      <c r="AB5342" s="1114"/>
      <c r="AC5342" s="1117"/>
      <c r="AD5342" s="1115"/>
      <c r="AE5342" s="1115"/>
      <c r="AF5342" s="1115"/>
      <c r="AG5342" s="1115"/>
      <c r="AH5342" s="1115"/>
      <c r="AI5342" s="1115"/>
      <c r="AJ5342" s="1117"/>
      <c r="AK5342" s="1118"/>
      <c r="AL5342" s="1115"/>
      <c r="AM5342" s="1115"/>
      <c r="AN5342" s="1115"/>
      <c r="AO5342" s="1115"/>
      <c r="AP5342" s="1115"/>
      <c r="AQ5342" s="1115"/>
      <c r="AR5342" s="1115"/>
      <c r="AS5342" s="1117"/>
      <c r="AT5342" s="1075"/>
      <c r="AU5342" s="1193"/>
      <c r="AV5342" s="330"/>
      <c r="AW5342" s="331"/>
      <c r="AX5342" s="331"/>
      <c r="AY5342" s="331"/>
      <c r="AZ5342" s="331"/>
      <c r="BA5342" s="331"/>
      <c r="BB5342" s="331"/>
      <c r="BC5342" s="331"/>
      <c r="BD5342" s="331"/>
      <c r="BE5342" s="333"/>
      <c r="BF5342" s="330"/>
      <c r="BG5342" s="333"/>
      <c r="BH5342" s="1119"/>
      <c r="BI5342" s="319"/>
      <c r="BJ5342" s="319"/>
      <c r="BK5342" s="319"/>
      <c r="BL5342" s="319"/>
      <c r="BM5342" s="319"/>
      <c r="BN5342" s="319"/>
      <c r="BO5342" s="319"/>
      <c r="BP5342" s="953"/>
      <c r="BQ5342" s="319"/>
      <c r="BR5342" s="319"/>
      <c r="BS5342" s="330"/>
      <c r="BT5342" s="331"/>
      <c r="BU5342" s="920"/>
      <c r="BV5342" s="903"/>
      <c r="BW5342" s="908"/>
      <c r="BX5342" s="908"/>
      <c r="BY5342" s="331"/>
      <c r="BZ5342" s="331"/>
      <c r="CA5342" s="462"/>
      <c r="CB5342" s="319"/>
      <c r="CC5342" s="319"/>
      <c r="CD5342" s="319"/>
      <c r="CE5342" s="319"/>
      <c r="CF5342" s="319"/>
      <c r="CG5342" s="319"/>
      <c r="CH5342" s="318"/>
      <c r="CI5342" s="319"/>
      <c r="CJ5342" s="319"/>
      <c r="CK5342" s="342"/>
      <c r="CL5342" s="333"/>
      <c r="CM5342" s="1079"/>
      <c r="CN5342" s="1005"/>
      <c r="CO5342" s="1005"/>
      <c r="CP5342" s="1005"/>
    </row>
    <row r="5343">
      <c r="A5343" s="1257"/>
      <c r="B5343" s="1113"/>
      <c r="C5343" s="1107"/>
      <c r="D5343" s="103"/>
      <c r="E5343" s="1137"/>
      <c r="F5343" s="112"/>
      <c r="G5343" s="1110"/>
      <c r="H5343" s="1138"/>
      <c r="I5343" s="1138"/>
      <c r="J5343" s="1139"/>
      <c r="K5343" s="1111"/>
      <c r="L5343" s="1112"/>
      <c r="M5343" s="1113"/>
      <c r="N5343" s="110"/>
      <c r="O5343" s="1140"/>
      <c r="P5343" s="1115"/>
      <c r="Q5343" s="1116"/>
      <c r="R5343" s="1141"/>
      <c r="S5343" s="1113"/>
      <c r="T5343" s="1143"/>
      <c r="U5343" s="1108"/>
      <c r="V5343" s="1108"/>
      <c r="W5343" s="1108"/>
      <c r="X5343" s="1108"/>
      <c r="Y5343" s="1108"/>
      <c r="Z5343" s="1114"/>
      <c r="AA5343" s="1114"/>
      <c r="AB5343" s="1114"/>
      <c r="AC5343" s="1117"/>
      <c r="AD5343" s="1115"/>
      <c r="AE5343" s="1115"/>
      <c r="AF5343" s="1115"/>
      <c r="AG5343" s="1115"/>
      <c r="AH5343" s="1115"/>
      <c r="AI5343" s="1115"/>
      <c r="AJ5343" s="1117"/>
      <c r="AK5343" s="1118"/>
      <c r="AL5343" s="1115"/>
      <c r="AM5343" s="1115"/>
      <c r="AN5343" s="1115"/>
      <c r="AO5343" s="1115"/>
      <c r="AP5343" s="1115"/>
      <c r="AQ5343" s="1115"/>
      <c r="AR5343" s="1115"/>
      <c r="AS5343" s="1117"/>
      <c r="AT5343" s="1075"/>
      <c r="AU5343" s="1193"/>
      <c r="AV5343" s="330"/>
      <c r="AW5343" s="331"/>
      <c r="AX5343" s="331"/>
      <c r="AY5343" s="331"/>
      <c r="AZ5343" s="331"/>
      <c r="BA5343" s="331"/>
      <c r="BB5343" s="331"/>
      <c r="BC5343" s="331"/>
      <c r="BD5343" s="331"/>
      <c r="BE5343" s="333"/>
      <c r="BF5343" s="330"/>
      <c r="BG5343" s="333"/>
      <c r="BH5343" s="1119"/>
      <c r="BI5343" s="319"/>
      <c r="BJ5343" s="319"/>
      <c r="BK5343" s="319"/>
      <c r="BL5343" s="319"/>
      <c r="BM5343" s="319"/>
      <c r="BN5343" s="319"/>
      <c r="BO5343" s="319"/>
      <c r="BP5343" s="953"/>
      <c r="BQ5343" s="319"/>
      <c r="BR5343" s="319"/>
      <c r="BS5343" s="330"/>
      <c r="BT5343" s="331"/>
      <c r="BU5343" s="920"/>
      <c r="BV5343" s="903"/>
      <c r="BW5343" s="908"/>
      <c r="BX5343" s="908"/>
      <c r="BY5343" s="331"/>
      <c r="BZ5343" s="331"/>
      <c r="CA5343" s="462"/>
      <c r="CB5343" s="319"/>
      <c r="CC5343" s="319"/>
      <c r="CD5343" s="319"/>
      <c r="CE5343" s="319"/>
      <c r="CF5343" s="319"/>
      <c r="CG5343" s="319"/>
      <c r="CH5343" s="318"/>
      <c r="CI5343" s="319"/>
      <c r="CJ5343" s="319"/>
      <c r="CK5343" s="342"/>
      <c r="CL5343" s="333"/>
      <c r="CM5343" s="1079"/>
      <c r="CN5343" s="1005"/>
      <c r="CO5343" s="1005"/>
      <c r="CP5343" s="1005"/>
    </row>
    <row r="5344">
      <c r="A5344" s="1257"/>
      <c r="B5344" s="1113"/>
      <c r="C5344" s="1107"/>
      <c r="D5344" s="103"/>
      <c r="E5344" s="1137"/>
      <c r="F5344" s="112"/>
      <c r="G5344" s="1110"/>
      <c r="H5344" s="1138"/>
      <c r="I5344" s="1138"/>
      <c r="J5344" s="1139"/>
      <c r="K5344" s="1111"/>
      <c r="L5344" s="1112"/>
      <c r="M5344" s="1113"/>
      <c r="N5344" s="110"/>
      <c r="O5344" s="1140"/>
      <c r="P5344" s="1115"/>
      <c r="Q5344" s="1116"/>
      <c r="R5344" s="1141"/>
      <c r="S5344" s="1113"/>
      <c r="T5344" s="1143"/>
      <c r="U5344" s="1108"/>
      <c r="V5344" s="1108"/>
      <c r="W5344" s="1108"/>
      <c r="X5344" s="1108"/>
      <c r="Y5344" s="1108"/>
      <c r="Z5344" s="1114"/>
      <c r="AA5344" s="1114"/>
      <c r="AB5344" s="1114"/>
      <c r="AC5344" s="1117"/>
      <c r="AD5344" s="1115"/>
      <c r="AE5344" s="1115"/>
      <c r="AF5344" s="1115"/>
      <c r="AG5344" s="1115"/>
      <c r="AH5344" s="1115"/>
      <c r="AI5344" s="1115"/>
      <c r="AJ5344" s="1117"/>
      <c r="AK5344" s="1118"/>
      <c r="AL5344" s="1115"/>
      <c r="AM5344" s="1115"/>
      <c r="AN5344" s="1115"/>
      <c r="AO5344" s="1115"/>
      <c r="AP5344" s="1115"/>
      <c r="AQ5344" s="1115"/>
      <c r="AR5344" s="1115"/>
      <c r="AS5344" s="1117"/>
      <c r="AT5344" s="1075"/>
      <c r="AU5344" s="1193"/>
      <c r="AV5344" s="330"/>
      <c r="AW5344" s="331"/>
      <c r="AX5344" s="331"/>
      <c r="AY5344" s="331"/>
      <c r="AZ5344" s="331"/>
      <c r="BA5344" s="331"/>
      <c r="BB5344" s="331"/>
      <c r="BC5344" s="331"/>
      <c r="BD5344" s="331"/>
      <c r="BE5344" s="333"/>
      <c r="BF5344" s="330"/>
      <c r="BG5344" s="333"/>
      <c r="BH5344" s="1119"/>
      <c r="BI5344" s="319"/>
      <c r="BJ5344" s="319"/>
      <c r="BK5344" s="319"/>
      <c r="BL5344" s="319"/>
      <c r="BM5344" s="319"/>
      <c r="BN5344" s="319"/>
      <c r="BO5344" s="319"/>
      <c r="BP5344" s="953"/>
      <c r="BQ5344" s="319"/>
      <c r="BR5344" s="319"/>
      <c r="BS5344" s="330"/>
      <c r="BT5344" s="331"/>
      <c r="BU5344" s="920"/>
      <c r="BV5344" s="903"/>
      <c r="BW5344" s="908"/>
      <c r="BX5344" s="908"/>
      <c r="BY5344" s="331"/>
      <c r="BZ5344" s="331"/>
      <c r="CA5344" s="462"/>
      <c r="CB5344" s="319"/>
      <c r="CC5344" s="319"/>
      <c r="CD5344" s="319"/>
      <c r="CE5344" s="319"/>
      <c r="CF5344" s="319"/>
      <c r="CG5344" s="319"/>
      <c r="CH5344" s="318"/>
      <c r="CI5344" s="319"/>
      <c r="CJ5344" s="319"/>
      <c r="CK5344" s="342"/>
      <c r="CL5344" s="333"/>
      <c r="CM5344" s="1079"/>
      <c r="CN5344" s="1005"/>
      <c r="CO5344" s="1005"/>
      <c r="CP5344" s="1005"/>
    </row>
    <row r="5345">
      <c r="A5345" s="1257"/>
      <c r="B5345" s="1113"/>
      <c r="C5345" s="1107"/>
      <c r="D5345" s="103"/>
      <c r="E5345" s="1137"/>
      <c r="F5345" s="112"/>
      <c r="G5345" s="1110"/>
      <c r="H5345" s="1138"/>
      <c r="I5345" s="1138"/>
      <c r="J5345" s="1139"/>
      <c r="K5345" s="1111"/>
      <c r="L5345" s="1112"/>
      <c r="M5345" s="1113"/>
      <c r="N5345" s="110"/>
      <c r="O5345" s="1140"/>
      <c r="P5345" s="1115"/>
      <c r="Q5345" s="1116"/>
      <c r="R5345" s="1141"/>
      <c r="S5345" s="1113"/>
      <c r="T5345" s="1143"/>
      <c r="U5345" s="1108"/>
      <c r="V5345" s="1108"/>
      <c r="W5345" s="1108"/>
      <c r="X5345" s="1108"/>
      <c r="Y5345" s="1108"/>
      <c r="Z5345" s="1114"/>
      <c r="AA5345" s="1114"/>
      <c r="AB5345" s="1114"/>
      <c r="AC5345" s="1117"/>
      <c r="AD5345" s="1115"/>
      <c r="AE5345" s="1115"/>
      <c r="AF5345" s="1115"/>
      <c r="AG5345" s="1115"/>
      <c r="AH5345" s="1115"/>
      <c r="AI5345" s="1115"/>
      <c r="AJ5345" s="1117"/>
      <c r="AK5345" s="1118"/>
      <c r="AL5345" s="1115"/>
      <c r="AM5345" s="1115"/>
      <c r="AN5345" s="1115"/>
      <c r="AO5345" s="1115"/>
      <c r="AP5345" s="1115"/>
      <c r="AQ5345" s="1115"/>
      <c r="AR5345" s="1115"/>
      <c r="AS5345" s="1117"/>
      <c r="AT5345" s="1075"/>
      <c r="AU5345" s="1193"/>
      <c r="AV5345" s="330"/>
      <c r="AW5345" s="331"/>
      <c r="AX5345" s="331"/>
      <c r="AY5345" s="331"/>
      <c r="AZ5345" s="331"/>
      <c r="BA5345" s="331"/>
      <c r="BB5345" s="331"/>
      <c r="BC5345" s="331"/>
      <c r="BD5345" s="331"/>
      <c r="BE5345" s="333"/>
      <c r="BF5345" s="330"/>
      <c r="BG5345" s="333"/>
      <c r="BH5345" s="1119"/>
      <c r="BI5345" s="319"/>
      <c r="BJ5345" s="319"/>
      <c r="BK5345" s="319"/>
      <c r="BL5345" s="319"/>
      <c r="BM5345" s="319"/>
      <c r="BN5345" s="319"/>
      <c r="BO5345" s="319"/>
      <c r="BP5345" s="953"/>
      <c r="BQ5345" s="319"/>
      <c r="BR5345" s="319"/>
      <c r="BS5345" s="330"/>
      <c r="BT5345" s="331"/>
      <c r="BU5345" s="920"/>
      <c r="BV5345" s="903"/>
      <c r="BW5345" s="908"/>
      <c r="BX5345" s="908"/>
      <c r="BY5345" s="331"/>
      <c r="BZ5345" s="331"/>
      <c r="CA5345" s="462"/>
      <c r="CB5345" s="319"/>
      <c r="CC5345" s="319"/>
      <c r="CD5345" s="319"/>
      <c r="CE5345" s="319"/>
      <c r="CF5345" s="319"/>
      <c r="CG5345" s="319"/>
      <c r="CH5345" s="318"/>
      <c r="CI5345" s="319"/>
      <c r="CJ5345" s="319"/>
      <c r="CK5345" s="342"/>
      <c r="CL5345" s="333"/>
      <c r="CM5345" s="1079"/>
      <c r="CN5345" s="1005"/>
      <c r="CO5345" s="1005"/>
      <c r="CP5345" s="1005"/>
    </row>
    <row r="5346">
      <c r="A5346" s="1257"/>
      <c r="B5346" s="1113"/>
      <c r="C5346" s="1107"/>
      <c r="D5346" s="103"/>
      <c r="E5346" s="1137"/>
      <c r="F5346" s="112"/>
      <c r="G5346" s="1110"/>
      <c r="H5346" s="1138"/>
      <c r="I5346" s="1138"/>
      <c r="J5346" s="1139"/>
      <c r="K5346" s="1111"/>
      <c r="L5346" s="1112"/>
      <c r="M5346" s="1113"/>
      <c r="N5346" s="110"/>
      <c r="O5346" s="1140"/>
      <c r="P5346" s="1115"/>
      <c r="Q5346" s="1116"/>
      <c r="R5346" s="1141"/>
      <c r="S5346" s="1113"/>
      <c r="T5346" s="1143"/>
      <c r="U5346" s="1108"/>
      <c r="V5346" s="1108"/>
      <c r="W5346" s="1108"/>
      <c r="X5346" s="1108"/>
      <c r="Y5346" s="1108"/>
      <c r="Z5346" s="1114"/>
      <c r="AA5346" s="1114"/>
      <c r="AB5346" s="1114"/>
      <c r="AC5346" s="1117"/>
      <c r="AD5346" s="1115"/>
      <c r="AE5346" s="1115"/>
      <c r="AF5346" s="1115"/>
      <c r="AG5346" s="1115"/>
      <c r="AH5346" s="1115"/>
      <c r="AI5346" s="1115"/>
      <c r="AJ5346" s="1117"/>
      <c r="AK5346" s="1118"/>
      <c r="AL5346" s="1115"/>
      <c r="AM5346" s="1115"/>
      <c r="AN5346" s="1115"/>
      <c r="AO5346" s="1115"/>
      <c r="AP5346" s="1115"/>
      <c r="AQ5346" s="1115"/>
      <c r="AR5346" s="1115"/>
      <c r="AS5346" s="1117"/>
      <c r="AT5346" s="1075"/>
      <c r="AU5346" s="1193"/>
      <c r="AV5346" s="330"/>
      <c r="AW5346" s="331"/>
      <c r="AX5346" s="331"/>
      <c r="AY5346" s="331"/>
      <c r="AZ5346" s="331"/>
      <c r="BA5346" s="331"/>
      <c r="BB5346" s="331"/>
      <c r="BC5346" s="331"/>
      <c r="BD5346" s="331"/>
      <c r="BE5346" s="333"/>
      <c r="BF5346" s="330"/>
      <c r="BG5346" s="333"/>
      <c r="BH5346" s="1119"/>
      <c r="BI5346" s="319"/>
      <c r="BJ5346" s="319"/>
      <c r="BK5346" s="319"/>
      <c r="BL5346" s="319"/>
      <c r="BM5346" s="319"/>
      <c r="BN5346" s="319"/>
      <c r="BO5346" s="319"/>
      <c r="BP5346" s="953"/>
      <c r="BQ5346" s="319"/>
      <c r="BR5346" s="319"/>
      <c r="BS5346" s="330"/>
      <c r="BT5346" s="331"/>
      <c r="BU5346" s="920"/>
      <c r="BV5346" s="903"/>
      <c r="BW5346" s="908"/>
      <c r="BX5346" s="908"/>
      <c r="BY5346" s="331"/>
      <c r="BZ5346" s="331"/>
      <c r="CA5346" s="462"/>
      <c r="CB5346" s="319"/>
      <c r="CC5346" s="319"/>
      <c r="CD5346" s="319"/>
      <c r="CE5346" s="319"/>
      <c r="CF5346" s="319"/>
      <c r="CG5346" s="319"/>
      <c r="CH5346" s="318"/>
      <c r="CI5346" s="319"/>
      <c r="CJ5346" s="319"/>
      <c r="CK5346" s="342"/>
      <c r="CL5346" s="333"/>
      <c r="CM5346" s="1079"/>
      <c r="CN5346" s="1005"/>
      <c r="CO5346" s="1005"/>
      <c r="CP5346" s="1005"/>
    </row>
    <row r="5347">
      <c r="A5347" s="1257"/>
      <c r="B5347" s="1113"/>
      <c r="C5347" s="1107"/>
      <c r="D5347" s="103"/>
      <c r="E5347" s="1137"/>
      <c r="F5347" s="112"/>
      <c r="G5347" s="1110"/>
      <c r="H5347" s="1138"/>
      <c r="I5347" s="1138"/>
      <c r="J5347" s="1139"/>
      <c r="K5347" s="1111"/>
      <c r="L5347" s="1112"/>
      <c r="M5347" s="1113"/>
      <c r="N5347" s="110"/>
      <c r="O5347" s="1140"/>
      <c r="P5347" s="1115"/>
      <c r="Q5347" s="1116"/>
      <c r="R5347" s="1141"/>
      <c r="S5347" s="1113"/>
      <c r="T5347" s="1143"/>
      <c r="U5347" s="1108"/>
      <c r="V5347" s="1108"/>
      <c r="W5347" s="1108"/>
      <c r="X5347" s="1108"/>
      <c r="Y5347" s="1108"/>
      <c r="Z5347" s="1114"/>
      <c r="AA5347" s="1114"/>
      <c r="AB5347" s="1114"/>
      <c r="AC5347" s="1117"/>
      <c r="AD5347" s="1115"/>
      <c r="AE5347" s="1115"/>
      <c r="AF5347" s="1115"/>
      <c r="AG5347" s="1115"/>
      <c r="AH5347" s="1115"/>
      <c r="AI5347" s="1115"/>
      <c r="AJ5347" s="1117"/>
      <c r="AK5347" s="1118"/>
      <c r="AL5347" s="1115"/>
      <c r="AM5347" s="1115"/>
      <c r="AN5347" s="1115"/>
      <c r="AO5347" s="1115"/>
      <c r="AP5347" s="1115"/>
      <c r="AQ5347" s="1115"/>
      <c r="AR5347" s="1115"/>
      <c r="AS5347" s="1117"/>
      <c r="AT5347" s="1075"/>
      <c r="AU5347" s="1193"/>
      <c r="AV5347" s="330"/>
      <c r="AW5347" s="331"/>
      <c r="AX5347" s="331"/>
      <c r="AY5347" s="331"/>
      <c r="AZ5347" s="331"/>
      <c r="BA5347" s="331"/>
      <c r="BB5347" s="331"/>
      <c r="BC5347" s="331"/>
      <c r="BD5347" s="331"/>
      <c r="BE5347" s="333"/>
      <c r="BF5347" s="330"/>
      <c r="BG5347" s="333"/>
      <c r="BH5347" s="1119"/>
      <c r="BI5347" s="319"/>
      <c r="BJ5347" s="319"/>
      <c r="BK5347" s="319"/>
      <c r="BL5347" s="319"/>
      <c r="BM5347" s="319"/>
      <c r="BN5347" s="319"/>
      <c r="BO5347" s="319"/>
      <c r="BP5347" s="953"/>
      <c r="BQ5347" s="319"/>
      <c r="BR5347" s="319"/>
      <c r="BS5347" s="330"/>
      <c r="BT5347" s="331"/>
      <c r="BU5347" s="920"/>
      <c r="BV5347" s="903"/>
      <c r="BW5347" s="908"/>
      <c r="BX5347" s="908"/>
      <c r="BY5347" s="331"/>
      <c r="BZ5347" s="331"/>
      <c r="CA5347" s="462"/>
      <c r="CB5347" s="319"/>
      <c r="CC5347" s="319"/>
      <c r="CD5347" s="319"/>
      <c r="CE5347" s="319"/>
      <c r="CF5347" s="319"/>
      <c r="CG5347" s="319"/>
      <c r="CH5347" s="318"/>
      <c r="CI5347" s="319"/>
      <c r="CJ5347" s="319"/>
      <c r="CK5347" s="342"/>
      <c r="CL5347" s="333"/>
      <c r="CM5347" s="1079"/>
      <c r="CN5347" s="1005"/>
      <c r="CO5347" s="1005"/>
      <c r="CP5347" s="1005"/>
    </row>
    <row r="5348">
      <c r="A5348" s="1257"/>
      <c r="B5348" s="1113"/>
      <c r="C5348" s="1107"/>
      <c r="D5348" s="103"/>
      <c r="E5348" s="1137"/>
      <c r="F5348" s="112"/>
      <c r="G5348" s="1110"/>
      <c r="H5348" s="1138"/>
      <c r="I5348" s="1138"/>
      <c r="J5348" s="1139"/>
      <c r="K5348" s="1111"/>
      <c r="L5348" s="1112"/>
      <c r="M5348" s="1113"/>
      <c r="N5348" s="110"/>
      <c r="O5348" s="1140"/>
      <c r="P5348" s="1115"/>
      <c r="Q5348" s="1116"/>
      <c r="R5348" s="1141"/>
      <c r="S5348" s="1113"/>
      <c r="T5348" s="1143"/>
      <c r="U5348" s="1108"/>
      <c r="V5348" s="1108"/>
      <c r="W5348" s="1108"/>
      <c r="X5348" s="1108"/>
      <c r="Y5348" s="1108"/>
      <c r="Z5348" s="1114"/>
      <c r="AA5348" s="1114"/>
      <c r="AB5348" s="1114"/>
      <c r="AC5348" s="1117"/>
      <c r="AD5348" s="1115"/>
      <c r="AE5348" s="1115"/>
      <c r="AF5348" s="1115"/>
      <c r="AG5348" s="1115"/>
      <c r="AH5348" s="1115"/>
      <c r="AI5348" s="1115"/>
      <c r="AJ5348" s="1117"/>
      <c r="AK5348" s="1118"/>
      <c r="AL5348" s="1115"/>
      <c r="AM5348" s="1115"/>
      <c r="AN5348" s="1115"/>
      <c r="AO5348" s="1115"/>
      <c r="AP5348" s="1115"/>
      <c r="AQ5348" s="1115"/>
      <c r="AR5348" s="1115"/>
      <c r="AS5348" s="1117"/>
      <c r="AT5348" s="1075"/>
      <c r="AU5348" s="1193"/>
      <c r="AV5348" s="330"/>
      <c r="AW5348" s="331"/>
      <c r="AX5348" s="331"/>
      <c r="AY5348" s="331"/>
      <c r="AZ5348" s="331"/>
      <c r="BA5348" s="331"/>
      <c r="BB5348" s="331"/>
      <c r="BC5348" s="331"/>
      <c r="BD5348" s="331"/>
      <c r="BE5348" s="333"/>
      <c r="BF5348" s="330"/>
      <c r="BG5348" s="333"/>
      <c r="BH5348" s="1119"/>
      <c r="BI5348" s="319"/>
      <c r="BJ5348" s="319"/>
      <c r="BK5348" s="319"/>
      <c r="BL5348" s="319"/>
      <c r="BM5348" s="319"/>
      <c r="BN5348" s="319"/>
      <c r="BO5348" s="319"/>
      <c r="BP5348" s="953"/>
      <c r="BQ5348" s="319"/>
      <c r="BR5348" s="319"/>
      <c r="BS5348" s="330"/>
      <c r="BT5348" s="331"/>
      <c r="BU5348" s="920"/>
      <c r="BV5348" s="903"/>
      <c r="BW5348" s="908"/>
      <c r="BX5348" s="908"/>
      <c r="BY5348" s="331"/>
      <c r="BZ5348" s="331"/>
      <c r="CA5348" s="462"/>
      <c r="CB5348" s="319"/>
      <c r="CC5348" s="319"/>
      <c r="CD5348" s="319"/>
      <c r="CE5348" s="319"/>
      <c r="CF5348" s="319"/>
      <c r="CG5348" s="319"/>
      <c r="CH5348" s="318"/>
      <c r="CI5348" s="319"/>
      <c r="CJ5348" s="319"/>
      <c r="CK5348" s="342"/>
      <c r="CL5348" s="333"/>
      <c r="CM5348" s="1079"/>
      <c r="CN5348" s="1005"/>
      <c r="CO5348" s="1005"/>
      <c r="CP5348" s="1005"/>
    </row>
    <row r="5349">
      <c r="A5349" s="1257"/>
      <c r="B5349" s="1113"/>
      <c r="C5349" s="1107"/>
      <c r="D5349" s="103"/>
      <c r="E5349" s="1137"/>
      <c r="F5349" s="112"/>
      <c r="G5349" s="1110"/>
      <c r="H5349" s="1138"/>
      <c r="I5349" s="1138"/>
      <c r="J5349" s="1139"/>
      <c r="K5349" s="1111"/>
      <c r="L5349" s="1112"/>
      <c r="M5349" s="1113"/>
      <c r="N5349" s="110"/>
      <c r="O5349" s="1140"/>
      <c r="P5349" s="1115"/>
      <c r="Q5349" s="1116"/>
      <c r="R5349" s="1141"/>
      <c r="S5349" s="1113"/>
      <c r="T5349" s="1143"/>
      <c r="U5349" s="1108"/>
      <c r="V5349" s="1108"/>
      <c r="W5349" s="1108"/>
      <c r="X5349" s="1108"/>
      <c r="Y5349" s="1108"/>
      <c r="Z5349" s="1114"/>
      <c r="AA5349" s="1114"/>
      <c r="AB5349" s="1114"/>
      <c r="AC5349" s="1117"/>
      <c r="AD5349" s="1115"/>
      <c r="AE5349" s="1115"/>
      <c r="AF5349" s="1115"/>
      <c r="AG5349" s="1115"/>
      <c r="AH5349" s="1115"/>
      <c r="AI5349" s="1115"/>
      <c r="AJ5349" s="1117"/>
      <c r="AK5349" s="1118"/>
      <c r="AL5349" s="1115"/>
      <c r="AM5349" s="1115"/>
      <c r="AN5349" s="1115"/>
      <c r="AO5349" s="1115"/>
      <c r="AP5349" s="1115"/>
      <c r="AQ5349" s="1115"/>
      <c r="AR5349" s="1115"/>
      <c r="AS5349" s="1117"/>
      <c r="AT5349" s="1075"/>
      <c r="AU5349" s="1193"/>
      <c r="AV5349" s="330"/>
      <c r="AW5349" s="331"/>
      <c r="AX5349" s="331"/>
      <c r="AY5349" s="331"/>
      <c r="AZ5349" s="331"/>
      <c r="BA5349" s="331"/>
      <c r="BB5349" s="331"/>
      <c r="BC5349" s="331"/>
      <c r="BD5349" s="331"/>
      <c r="BE5349" s="333"/>
      <c r="BF5349" s="330"/>
      <c r="BG5349" s="333"/>
      <c r="BH5349" s="1119"/>
      <c r="BI5349" s="319"/>
      <c r="BJ5349" s="319"/>
      <c r="BK5349" s="319"/>
      <c r="BL5349" s="319"/>
      <c r="BM5349" s="319"/>
      <c r="BN5349" s="319"/>
      <c r="BO5349" s="319"/>
      <c r="BP5349" s="953"/>
      <c r="BQ5349" s="319"/>
      <c r="BR5349" s="319"/>
      <c r="BS5349" s="330"/>
      <c r="BT5349" s="331"/>
      <c r="BU5349" s="920"/>
      <c r="BV5349" s="903"/>
      <c r="BW5349" s="908"/>
      <c r="BX5349" s="908"/>
      <c r="BY5349" s="331"/>
      <c r="BZ5349" s="331"/>
      <c r="CA5349" s="462"/>
      <c r="CB5349" s="319"/>
      <c r="CC5349" s="319"/>
      <c r="CD5349" s="319"/>
      <c r="CE5349" s="319"/>
      <c r="CF5349" s="319"/>
      <c r="CG5349" s="319"/>
      <c r="CH5349" s="318"/>
      <c r="CI5349" s="319"/>
      <c r="CJ5349" s="319"/>
      <c r="CK5349" s="342"/>
      <c r="CL5349" s="333"/>
      <c r="CM5349" s="1079"/>
      <c r="CN5349" s="1005"/>
      <c r="CO5349" s="1005"/>
      <c r="CP5349" s="1005"/>
    </row>
    <row r="5350">
      <c r="A5350" s="1257"/>
      <c r="B5350" s="1113"/>
      <c r="C5350" s="1107"/>
      <c r="D5350" s="103"/>
      <c r="E5350" s="1137"/>
      <c r="F5350" s="112"/>
      <c r="G5350" s="1110"/>
      <c r="H5350" s="1138"/>
      <c r="I5350" s="1138"/>
      <c r="J5350" s="1139"/>
      <c r="K5350" s="1111"/>
      <c r="L5350" s="1112"/>
      <c r="M5350" s="1113"/>
      <c r="N5350" s="110"/>
      <c r="O5350" s="1140"/>
      <c r="P5350" s="1115"/>
      <c r="Q5350" s="1116"/>
      <c r="R5350" s="1141"/>
      <c r="S5350" s="1113"/>
      <c r="T5350" s="1143"/>
      <c r="U5350" s="1108"/>
      <c r="V5350" s="1108"/>
      <c r="W5350" s="1108"/>
      <c r="X5350" s="1108"/>
      <c r="Y5350" s="1108"/>
      <c r="Z5350" s="1114"/>
      <c r="AA5350" s="1114"/>
      <c r="AB5350" s="1114"/>
      <c r="AC5350" s="1117"/>
      <c r="AD5350" s="1115"/>
      <c r="AE5350" s="1115"/>
      <c r="AF5350" s="1115"/>
      <c r="AG5350" s="1115"/>
      <c r="AH5350" s="1115"/>
      <c r="AI5350" s="1115"/>
      <c r="AJ5350" s="1117"/>
      <c r="AK5350" s="1118"/>
      <c r="AL5350" s="1115"/>
      <c r="AM5350" s="1115"/>
      <c r="AN5350" s="1115"/>
      <c r="AO5350" s="1115"/>
      <c r="AP5350" s="1115"/>
      <c r="AQ5350" s="1115"/>
      <c r="AR5350" s="1115"/>
      <c r="AS5350" s="1117"/>
      <c r="AT5350" s="1075"/>
      <c r="AU5350" s="1193"/>
      <c r="AV5350" s="330"/>
      <c r="AW5350" s="331"/>
      <c r="AX5350" s="331"/>
      <c r="AY5350" s="331"/>
      <c r="AZ5350" s="331"/>
      <c r="BA5350" s="331"/>
      <c r="BB5350" s="331"/>
      <c r="BC5350" s="331"/>
      <c r="BD5350" s="331"/>
      <c r="BE5350" s="333"/>
      <c r="BF5350" s="330"/>
      <c r="BG5350" s="333"/>
      <c r="BH5350" s="1119"/>
      <c r="BI5350" s="319"/>
      <c r="BJ5350" s="319"/>
      <c r="BK5350" s="319"/>
      <c r="BL5350" s="319"/>
      <c r="BM5350" s="319"/>
      <c r="BN5350" s="319"/>
      <c r="BO5350" s="319"/>
      <c r="BP5350" s="953"/>
      <c r="BQ5350" s="319"/>
      <c r="BR5350" s="319"/>
      <c r="BS5350" s="330"/>
      <c r="BT5350" s="331"/>
      <c r="BU5350" s="920"/>
      <c r="BV5350" s="903"/>
      <c r="BW5350" s="908"/>
      <c r="BX5350" s="908"/>
      <c r="BY5350" s="331"/>
      <c r="BZ5350" s="331"/>
      <c r="CA5350" s="462"/>
      <c r="CB5350" s="319"/>
      <c r="CC5350" s="319"/>
      <c r="CD5350" s="319"/>
      <c r="CE5350" s="319"/>
      <c r="CF5350" s="319"/>
      <c r="CG5350" s="319"/>
      <c r="CH5350" s="318"/>
      <c r="CI5350" s="319"/>
      <c r="CJ5350" s="319"/>
      <c r="CK5350" s="342"/>
      <c r="CL5350" s="333"/>
      <c r="CM5350" s="1079"/>
      <c r="CN5350" s="1005"/>
      <c r="CO5350" s="1005"/>
      <c r="CP5350" s="1005"/>
    </row>
    <row r="5351">
      <c r="A5351" s="1257"/>
      <c r="B5351" s="1113"/>
      <c r="C5351" s="1107"/>
      <c r="D5351" s="103"/>
      <c r="E5351" s="1137"/>
      <c r="F5351" s="112"/>
      <c r="G5351" s="1110"/>
      <c r="H5351" s="1138"/>
      <c r="I5351" s="1138"/>
      <c r="J5351" s="1139"/>
      <c r="K5351" s="1111"/>
      <c r="L5351" s="1112"/>
      <c r="M5351" s="1113"/>
      <c r="N5351" s="110"/>
      <c r="O5351" s="1140"/>
      <c r="P5351" s="1115"/>
      <c r="Q5351" s="1116"/>
      <c r="R5351" s="1141"/>
      <c r="S5351" s="1113"/>
      <c r="T5351" s="1143"/>
      <c r="U5351" s="1108"/>
      <c r="V5351" s="1108"/>
      <c r="W5351" s="1108"/>
      <c r="X5351" s="1108"/>
      <c r="Y5351" s="1108"/>
      <c r="Z5351" s="1114"/>
      <c r="AA5351" s="1114"/>
      <c r="AB5351" s="1114"/>
      <c r="AC5351" s="1117"/>
      <c r="AD5351" s="1115"/>
      <c r="AE5351" s="1115"/>
      <c r="AF5351" s="1115"/>
      <c r="AG5351" s="1115"/>
      <c r="AH5351" s="1115"/>
      <c r="AI5351" s="1115"/>
      <c r="AJ5351" s="1117"/>
      <c r="AK5351" s="1118"/>
      <c r="AL5351" s="1115"/>
      <c r="AM5351" s="1115"/>
      <c r="AN5351" s="1115"/>
      <c r="AO5351" s="1115"/>
      <c r="AP5351" s="1115"/>
      <c r="AQ5351" s="1115"/>
      <c r="AR5351" s="1115"/>
      <c r="AS5351" s="1117"/>
      <c r="AT5351" s="1075"/>
      <c r="AU5351" s="1193"/>
      <c r="AV5351" s="330"/>
      <c r="AW5351" s="331"/>
      <c r="AX5351" s="331"/>
      <c r="AY5351" s="331"/>
      <c r="AZ5351" s="331"/>
      <c r="BA5351" s="331"/>
      <c r="BB5351" s="331"/>
      <c r="BC5351" s="331"/>
      <c r="BD5351" s="331"/>
      <c r="BE5351" s="333"/>
      <c r="BF5351" s="330"/>
      <c r="BG5351" s="333"/>
      <c r="BH5351" s="1119"/>
      <c r="BI5351" s="319"/>
      <c r="BJ5351" s="319"/>
      <c r="BK5351" s="319"/>
      <c r="BL5351" s="319"/>
      <c r="BM5351" s="319"/>
      <c r="BN5351" s="319"/>
      <c r="BO5351" s="319"/>
      <c r="BP5351" s="953"/>
      <c r="BQ5351" s="319"/>
      <c r="BR5351" s="319"/>
      <c r="BS5351" s="330"/>
      <c r="BT5351" s="331"/>
      <c r="BU5351" s="920"/>
      <c r="BV5351" s="903"/>
      <c r="BW5351" s="908"/>
      <c r="BX5351" s="908"/>
      <c r="BY5351" s="331"/>
      <c r="BZ5351" s="331"/>
      <c r="CA5351" s="462"/>
      <c r="CB5351" s="319"/>
      <c r="CC5351" s="319"/>
      <c r="CD5351" s="319"/>
      <c r="CE5351" s="319"/>
      <c r="CF5351" s="319"/>
      <c r="CG5351" s="319"/>
      <c r="CH5351" s="318"/>
      <c r="CI5351" s="319"/>
      <c r="CJ5351" s="319"/>
      <c r="CK5351" s="342"/>
      <c r="CL5351" s="333"/>
      <c r="CM5351" s="1079"/>
      <c r="CN5351" s="1005"/>
      <c r="CO5351" s="1005"/>
      <c r="CP5351" s="1005"/>
    </row>
    <row r="5352">
      <c r="A5352" s="1257"/>
      <c r="B5352" s="1113"/>
      <c r="C5352" s="1107"/>
      <c r="D5352" s="103"/>
      <c r="E5352" s="1137"/>
      <c r="F5352" s="112"/>
      <c r="G5352" s="1110"/>
      <c r="H5352" s="1138"/>
      <c r="I5352" s="1138"/>
      <c r="J5352" s="1139"/>
      <c r="K5352" s="1111"/>
      <c r="L5352" s="1112"/>
      <c r="M5352" s="1113"/>
      <c r="N5352" s="110"/>
      <c r="O5352" s="1140"/>
      <c r="P5352" s="1115"/>
      <c r="Q5352" s="1116"/>
      <c r="R5352" s="1141"/>
      <c r="S5352" s="1113"/>
      <c r="T5352" s="1143"/>
      <c r="U5352" s="1108"/>
      <c r="V5352" s="1108"/>
      <c r="W5352" s="1108"/>
      <c r="X5352" s="1108"/>
      <c r="Y5352" s="1108"/>
      <c r="Z5352" s="1114"/>
      <c r="AA5352" s="1114"/>
      <c r="AB5352" s="1114"/>
      <c r="AC5352" s="1117"/>
      <c r="AD5352" s="1115"/>
      <c r="AE5352" s="1115"/>
      <c r="AF5352" s="1115"/>
      <c r="AG5352" s="1115"/>
      <c r="AH5352" s="1115"/>
      <c r="AI5352" s="1115"/>
      <c r="AJ5352" s="1117"/>
      <c r="AK5352" s="1118"/>
      <c r="AL5352" s="1115"/>
      <c r="AM5352" s="1115"/>
      <c r="AN5352" s="1115"/>
      <c r="AO5352" s="1115"/>
      <c r="AP5352" s="1115"/>
      <c r="AQ5352" s="1115"/>
      <c r="AR5352" s="1115"/>
      <c r="AS5352" s="1117"/>
      <c r="AT5352" s="1075"/>
      <c r="AU5352" s="1193"/>
      <c r="AV5352" s="330"/>
      <c r="AW5352" s="331"/>
      <c r="AX5352" s="331"/>
      <c r="AY5352" s="331"/>
      <c r="AZ5352" s="331"/>
      <c r="BA5352" s="331"/>
      <c r="BB5352" s="331"/>
      <c r="BC5352" s="331"/>
      <c r="BD5352" s="331"/>
      <c r="BE5352" s="333"/>
      <c r="BF5352" s="330"/>
      <c r="BG5352" s="333"/>
      <c r="BH5352" s="1119"/>
      <c r="BI5352" s="319"/>
      <c r="BJ5352" s="319"/>
      <c r="BK5352" s="319"/>
      <c r="BL5352" s="319"/>
      <c r="BM5352" s="319"/>
      <c r="BN5352" s="319"/>
      <c r="BO5352" s="319"/>
      <c r="BP5352" s="953"/>
      <c r="BQ5352" s="319"/>
      <c r="BR5352" s="319"/>
      <c r="BS5352" s="330"/>
      <c r="BT5352" s="331"/>
      <c r="BU5352" s="920"/>
      <c r="BV5352" s="903"/>
      <c r="BW5352" s="908"/>
      <c r="BX5352" s="908"/>
      <c r="BY5352" s="331"/>
      <c r="BZ5352" s="331"/>
      <c r="CA5352" s="462"/>
      <c r="CB5352" s="319"/>
      <c r="CC5352" s="319"/>
      <c r="CD5352" s="319"/>
      <c r="CE5352" s="319"/>
      <c r="CF5352" s="319"/>
      <c r="CG5352" s="319"/>
      <c r="CH5352" s="318"/>
      <c r="CI5352" s="319"/>
      <c r="CJ5352" s="319"/>
      <c r="CK5352" s="342"/>
      <c r="CL5352" s="333"/>
      <c r="CM5352" s="1079"/>
      <c r="CN5352" s="1005"/>
      <c r="CO5352" s="1005"/>
      <c r="CP5352" s="1005"/>
    </row>
    <row r="5353">
      <c r="A5353" s="1257"/>
      <c r="B5353" s="1113"/>
      <c r="C5353" s="1107"/>
      <c r="D5353" s="103"/>
      <c r="E5353" s="1137"/>
      <c r="F5353" s="112"/>
      <c r="G5353" s="1110"/>
      <c r="H5353" s="1138"/>
      <c r="I5353" s="1138"/>
      <c r="J5353" s="1139"/>
      <c r="K5353" s="1111"/>
      <c r="L5353" s="1112"/>
      <c r="M5353" s="1113"/>
      <c r="N5353" s="110"/>
      <c r="O5353" s="1140"/>
      <c r="P5353" s="1115"/>
      <c r="Q5353" s="1116"/>
      <c r="R5353" s="1141"/>
      <c r="S5353" s="1113"/>
      <c r="T5353" s="1143"/>
      <c r="U5353" s="1108"/>
      <c r="V5353" s="1108"/>
      <c r="W5353" s="1108"/>
      <c r="X5353" s="1108"/>
      <c r="Y5353" s="1108"/>
      <c r="Z5353" s="1114"/>
      <c r="AA5353" s="1114"/>
      <c r="AB5353" s="1114"/>
      <c r="AC5353" s="1117"/>
      <c r="AD5353" s="1115"/>
      <c r="AE5353" s="1115"/>
      <c r="AF5353" s="1115"/>
      <c r="AG5353" s="1115"/>
      <c r="AH5353" s="1115"/>
      <c r="AI5353" s="1115"/>
      <c r="AJ5353" s="1117"/>
      <c r="AK5353" s="1118"/>
      <c r="AL5353" s="1115"/>
      <c r="AM5353" s="1115"/>
      <c r="AN5353" s="1115"/>
      <c r="AO5353" s="1115"/>
      <c r="AP5353" s="1115"/>
      <c r="AQ5353" s="1115"/>
      <c r="AR5353" s="1115"/>
      <c r="AS5353" s="1117"/>
      <c r="AT5353" s="1075"/>
      <c r="AU5353" s="1193"/>
      <c r="AV5353" s="330"/>
      <c r="AW5353" s="331"/>
      <c r="AX5353" s="331"/>
      <c r="AY5353" s="331"/>
      <c r="AZ5353" s="331"/>
      <c r="BA5353" s="331"/>
      <c r="BB5353" s="331"/>
      <c r="BC5353" s="331"/>
      <c r="BD5353" s="331"/>
      <c r="BE5353" s="333"/>
      <c r="BF5353" s="330"/>
      <c r="BG5353" s="333"/>
      <c r="BH5353" s="1119"/>
      <c r="BI5353" s="319"/>
      <c r="BJ5353" s="319"/>
      <c r="BK5353" s="319"/>
      <c r="BL5353" s="319"/>
      <c r="BM5353" s="319"/>
      <c r="BN5353" s="319"/>
      <c r="BO5353" s="319"/>
      <c r="BP5353" s="953"/>
      <c r="BQ5353" s="319"/>
      <c r="BR5353" s="319"/>
      <c r="BS5353" s="330"/>
      <c r="BT5353" s="331"/>
      <c r="BU5353" s="920"/>
      <c r="BV5353" s="903"/>
      <c r="BW5353" s="908"/>
      <c r="BX5353" s="908"/>
      <c r="BY5353" s="331"/>
      <c r="BZ5353" s="331"/>
      <c r="CA5353" s="462"/>
      <c r="CB5353" s="319"/>
      <c r="CC5353" s="319"/>
      <c r="CD5353" s="319"/>
      <c r="CE5353" s="319"/>
      <c r="CF5353" s="319"/>
      <c r="CG5353" s="319"/>
      <c r="CH5353" s="318"/>
      <c r="CI5353" s="319"/>
      <c r="CJ5353" s="319"/>
      <c r="CK5353" s="342"/>
      <c r="CL5353" s="333"/>
      <c r="CM5353" s="1079"/>
      <c r="CN5353" s="1005"/>
      <c r="CO5353" s="1005"/>
      <c r="CP5353" s="1005"/>
    </row>
    <row r="5354">
      <c r="A5354" s="1257"/>
      <c r="B5354" s="1113"/>
      <c r="C5354" s="1107"/>
      <c r="D5354" s="103"/>
      <c r="E5354" s="1137"/>
      <c r="F5354" s="112"/>
      <c r="G5354" s="1110"/>
      <c r="H5354" s="1138"/>
      <c r="I5354" s="1138"/>
      <c r="J5354" s="1139"/>
      <c r="K5354" s="1111"/>
      <c r="L5354" s="1112"/>
      <c r="M5354" s="1113"/>
      <c r="N5354" s="110"/>
      <c r="O5354" s="1140"/>
      <c r="P5354" s="1115"/>
      <c r="Q5354" s="1116"/>
      <c r="R5354" s="1141"/>
      <c r="S5354" s="1113"/>
      <c r="T5354" s="1143"/>
      <c r="U5354" s="1108"/>
      <c r="V5354" s="1108"/>
      <c r="W5354" s="1108"/>
      <c r="X5354" s="1108"/>
      <c r="Y5354" s="1108"/>
      <c r="Z5354" s="1114"/>
      <c r="AA5354" s="1114"/>
      <c r="AB5354" s="1114"/>
      <c r="AC5354" s="1117"/>
      <c r="AD5354" s="1115"/>
      <c r="AE5354" s="1115"/>
      <c r="AF5354" s="1115"/>
      <c r="AG5354" s="1115"/>
      <c r="AH5354" s="1115"/>
      <c r="AI5354" s="1115"/>
      <c r="AJ5354" s="1117"/>
      <c r="AK5354" s="1118"/>
      <c r="AL5354" s="1115"/>
      <c r="AM5354" s="1115"/>
      <c r="AN5354" s="1115"/>
      <c r="AO5354" s="1115"/>
      <c r="AP5354" s="1115"/>
      <c r="AQ5354" s="1115"/>
      <c r="AR5354" s="1115"/>
      <c r="AS5354" s="1117"/>
      <c r="AT5354" s="1075"/>
      <c r="AU5354" s="1193"/>
      <c r="AV5354" s="330"/>
      <c r="AW5354" s="331"/>
      <c r="AX5354" s="331"/>
      <c r="AY5354" s="331"/>
      <c r="AZ5354" s="331"/>
      <c r="BA5354" s="331"/>
      <c r="BB5354" s="331"/>
      <c r="BC5354" s="331"/>
      <c r="BD5354" s="331"/>
      <c r="BE5354" s="333"/>
      <c r="BF5354" s="330"/>
      <c r="BG5354" s="333"/>
      <c r="BH5354" s="1119"/>
      <c r="BI5354" s="319"/>
      <c r="BJ5354" s="319"/>
      <c r="BK5354" s="319"/>
      <c r="BL5354" s="319"/>
      <c r="BM5354" s="319"/>
      <c r="BN5354" s="319"/>
      <c r="BO5354" s="319"/>
      <c r="BP5354" s="953"/>
      <c r="BQ5354" s="319"/>
      <c r="BR5354" s="319"/>
      <c r="BS5354" s="330"/>
      <c r="BT5354" s="331"/>
      <c r="BU5354" s="920"/>
      <c r="BV5354" s="903"/>
      <c r="BW5354" s="908"/>
      <c r="BX5354" s="908"/>
      <c r="BY5354" s="331"/>
      <c r="BZ5354" s="331"/>
      <c r="CA5354" s="462"/>
      <c r="CB5354" s="319"/>
      <c r="CC5354" s="319"/>
      <c r="CD5354" s="319"/>
      <c r="CE5354" s="319"/>
      <c r="CF5354" s="319"/>
      <c r="CG5354" s="319"/>
      <c r="CH5354" s="318"/>
      <c r="CI5354" s="319"/>
      <c r="CJ5354" s="319"/>
      <c r="CK5354" s="342"/>
      <c r="CL5354" s="333"/>
      <c r="CM5354" s="1079"/>
      <c r="CN5354" s="1005"/>
      <c r="CO5354" s="1005"/>
      <c r="CP5354" s="1005"/>
    </row>
    <row r="5355">
      <c r="A5355" s="1257"/>
      <c r="B5355" s="1113"/>
      <c r="C5355" s="1107"/>
      <c r="D5355" s="103"/>
      <c r="E5355" s="1137"/>
      <c r="F5355" s="112"/>
      <c r="G5355" s="1110"/>
      <c r="H5355" s="1138"/>
      <c r="I5355" s="1138"/>
      <c r="J5355" s="1139"/>
      <c r="K5355" s="1111"/>
      <c r="L5355" s="1112"/>
      <c r="M5355" s="1113"/>
      <c r="N5355" s="110"/>
      <c r="O5355" s="1140"/>
      <c r="P5355" s="1115"/>
      <c r="Q5355" s="1116"/>
      <c r="R5355" s="1141"/>
      <c r="S5355" s="1113"/>
      <c r="T5355" s="1143"/>
      <c r="U5355" s="1108"/>
      <c r="V5355" s="1108"/>
      <c r="W5355" s="1108"/>
      <c r="X5355" s="1108"/>
      <c r="Y5355" s="1108"/>
      <c r="Z5355" s="1114"/>
      <c r="AA5355" s="1114"/>
      <c r="AB5355" s="1114"/>
      <c r="AC5355" s="1117"/>
      <c r="AD5355" s="1115"/>
      <c r="AE5355" s="1115"/>
      <c r="AF5355" s="1115"/>
      <c r="AG5355" s="1115"/>
      <c r="AH5355" s="1115"/>
      <c r="AI5355" s="1115"/>
      <c r="AJ5355" s="1117"/>
      <c r="AK5355" s="1118"/>
      <c r="AL5355" s="1115"/>
      <c r="AM5355" s="1115"/>
      <c r="AN5355" s="1115"/>
      <c r="AO5355" s="1115"/>
      <c r="AP5355" s="1115"/>
      <c r="AQ5355" s="1115"/>
      <c r="AR5355" s="1115"/>
      <c r="AS5355" s="1117"/>
      <c r="AT5355" s="1075"/>
      <c r="AU5355" s="1193"/>
      <c r="AV5355" s="330"/>
      <c r="AW5355" s="331"/>
      <c r="AX5355" s="331"/>
      <c r="AY5355" s="331"/>
      <c r="AZ5355" s="331"/>
      <c r="BA5355" s="331"/>
      <c r="BB5355" s="331"/>
      <c r="BC5355" s="331"/>
      <c r="BD5355" s="331"/>
      <c r="BE5355" s="333"/>
      <c r="BF5355" s="330"/>
      <c r="BG5355" s="333"/>
      <c r="BH5355" s="1119"/>
      <c r="BI5355" s="319"/>
      <c r="BJ5355" s="319"/>
      <c r="BK5355" s="319"/>
      <c r="BL5355" s="319"/>
      <c r="BM5355" s="319"/>
      <c r="BN5355" s="319"/>
      <c r="BO5355" s="319"/>
      <c r="BP5355" s="953"/>
      <c r="BQ5355" s="319"/>
      <c r="BR5355" s="319"/>
      <c r="BS5355" s="330"/>
      <c r="BT5355" s="331"/>
      <c r="BU5355" s="920"/>
      <c r="BV5355" s="903"/>
      <c r="BW5355" s="908"/>
      <c r="BX5355" s="908"/>
      <c r="BY5355" s="331"/>
      <c r="BZ5355" s="331"/>
      <c r="CA5355" s="462"/>
      <c r="CB5355" s="319"/>
      <c r="CC5355" s="319"/>
      <c r="CD5355" s="319"/>
      <c r="CE5355" s="319"/>
      <c r="CF5355" s="319"/>
      <c r="CG5355" s="319"/>
      <c r="CH5355" s="318"/>
      <c r="CI5355" s="319"/>
      <c r="CJ5355" s="319"/>
      <c r="CK5355" s="342"/>
      <c r="CL5355" s="333"/>
      <c r="CM5355" s="1079"/>
      <c r="CN5355" s="1005"/>
      <c r="CO5355" s="1005"/>
      <c r="CP5355" s="1005"/>
    </row>
    <row r="5356">
      <c r="A5356" s="1257"/>
      <c r="B5356" s="1113"/>
      <c r="C5356" s="1107"/>
      <c r="D5356" s="103"/>
      <c r="E5356" s="1137"/>
      <c r="F5356" s="112"/>
      <c r="G5356" s="1110"/>
      <c r="H5356" s="1138"/>
      <c r="I5356" s="1138"/>
      <c r="J5356" s="1139"/>
      <c r="K5356" s="1111"/>
      <c r="L5356" s="1112"/>
      <c r="M5356" s="1113"/>
      <c r="N5356" s="110"/>
      <c r="O5356" s="1140"/>
      <c r="P5356" s="1115"/>
      <c r="Q5356" s="1116"/>
      <c r="R5356" s="1141"/>
      <c r="S5356" s="1113"/>
      <c r="T5356" s="1143"/>
      <c r="U5356" s="1108"/>
      <c r="V5356" s="1108"/>
      <c r="W5356" s="1108"/>
      <c r="X5356" s="1108"/>
      <c r="Y5356" s="1108"/>
      <c r="Z5356" s="1114"/>
      <c r="AA5356" s="1114"/>
      <c r="AB5356" s="1114"/>
      <c r="AC5356" s="1117"/>
      <c r="AD5356" s="1115"/>
      <c r="AE5356" s="1115"/>
      <c r="AF5356" s="1115"/>
      <c r="AG5356" s="1115"/>
      <c r="AH5356" s="1115"/>
      <c r="AI5356" s="1115"/>
      <c r="AJ5356" s="1117"/>
      <c r="AK5356" s="1118"/>
      <c r="AL5356" s="1115"/>
      <c r="AM5356" s="1115"/>
      <c r="AN5356" s="1115"/>
      <c r="AO5356" s="1115"/>
      <c r="AP5356" s="1115"/>
      <c r="AQ5356" s="1115"/>
      <c r="AR5356" s="1115"/>
      <c r="AS5356" s="1117"/>
      <c r="AT5356" s="1075"/>
      <c r="AU5356" s="1193"/>
      <c r="AV5356" s="330"/>
      <c r="AW5356" s="331"/>
      <c r="AX5356" s="331"/>
      <c r="AY5356" s="331"/>
      <c r="AZ5356" s="331"/>
      <c r="BA5356" s="331"/>
      <c r="BB5356" s="331"/>
      <c r="BC5356" s="331"/>
      <c r="BD5356" s="331"/>
      <c r="BE5356" s="333"/>
      <c r="BF5356" s="330"/>
      <c r="BG5356" s="333"/>
      <c r="BH5356" s="1119"/>
      <c r="BI5356" s="319"/>
      <c r="BJ5356" s="319"/>
      <c r="BK5356" s="319"/>
      <c r="BL5356" s="319"/>
      <c r="BM5356" s="319"/>
      <c r="BN5356" s="319"/>
      <c r="BO5356" s="319"/>
      <c r="BP5356" s="953"/>
      <c r="BQ5356" s="319"/>
      <c r="BR5356" s="319"/>
      <c r="BS5356" s="330"/>
      <c r="BT5356" s="331"/>
      <c r="BU5356" s="920"/>
      <c r="BV5356" s="903"/>
      <c r="BW5356" s="908"/>
      <c r="BX5356" s="908"/>
      <c r="BY5356" s="331"/>
      <c r="BZ5356" s="331"/>
      <c r="CA5356" s="462"/>
      <c r="CB5356" s="319"/>
      <c r="CC5356" s="319"/>
      <c r="CD5356" s="319"/>
      <c r="CE5356" s="319"/>
      <c r="CF5356" s="319"/>
      <c r="CG5356" s="319"/>
      <c r="CH5356" s="318"/>
      <c r="CI5356" s="319"/>
      <c r="CJ5356" s="319"/>
      <c r="CK5356" s="342"/>
      <c r="CL5356" s="333"/>
      <c r="CM5356" s="1079"/>
      <c r="CN5356" s="1005"/>
      <c r="CO5356" s="1005"/>
      <c r="CP5356" s="1005"/>
    </row>
    <row r="5357">
      <c r="A5357" s="1257"/>
      <c r="B5357" s="1113"/>
      <c r="C5357" s="1107"/>
      <c r="D5357" s="103"/>
      <c r="E5357" s="1137"/>
      <c r="F5357" s="112"/>
      <c r="G5357" s="1110"/>
      <c r="H5357" s="1138"/>
      <c r="I5357" s="1138"/>
      <c r="J5357" s="1139"/>
      <c r="K5357" s="1111"/>
      <c r="L5357" s="1112"/>
      <c r="M5357" s="1113"/>
      <c r="N5357" s="110"/>
      <c r="O5357" s="1140"/>
      <c r="P5357" s="1115"/>
      <c r="Q5357" s="1116"/>
      <c r="R5357" s="1141"/>
      <c r="S5357" s="1113"/>
      <c r="T5357" s="1143"/>
      <c r="U5357" s="1108"/>
      <c r="V5357" s="1108"/>
      <c r="W5357" s="1108"/>
      <c r="X5357" s="1108"/>
      <c r="Y5357" s="1108"/>
      <c r="Z5357" s="1114"/>
      <c r="AA5357" s="1114"/>
      <c r="AB5357" s="1114"/>
      <c r="AC5357" s="1117"/>
      <c r="AD5357" s="1115"/>
      <c r="AE5357" s="1115"/>
      <c r="AF5357" s="1115"/>
      <c r="AG5357" s="1115"/>
      <c r="AH5357" s="1115"/>
      <c r="AI5357" s="1115"/>
      <c r="AJ5357" s="1117"/>
      <c r="AK5357" s="1118"/>
      <c r="AL5357" s="1115"/>
      <c r="AM5357" s="1115"/>
      <c r="AN5357" s="1115"/>
      <c r="AO5357" s="1115"/>
      <c r="AP5357" s="1115"/>
      <c r="AQ5357" s="1115"/>
      <c r="AR5357" s="1115"/>
      <c r="AS5357" s="1117"/>
      <c r="AT5357" s="1075"/>
      <c r="AU5357" s="1193"/>
      <c r="AV5357" s="330"/>
      <c r="AW5357" s="331"/>
      <c r="AX5357" s="331"/>
      <c r="AY5357" s="331"/>
      <c r="AZ5357" s="331"/>
      <c r="BA5357" s="331"/>
      <c r="BB5357" s="331"/>
      <c r="BC5357" s="331"/>
      <c r="BD5357" s="331"/>
      <c r="BE5357" s="333"/>
      <c r="BF5357" s="330"/>
      <c r="BG5357" s="333"/>
      <c r="BH5357" s="1119"/>
      <c r="BI5357" s="319"/>
      <c r="BJ5357" s="319"/>
      <c r="BK5357" s="319"/>
      <c r="BL5357" s="319"/>
      <c r="BM5357" s="319"/>
      <c r="BN5357" s="319"/>
      <c r="BO5357" s="319"/>
      <c r="BP5357" s="953"/>
      <c r="BQ5357" s="319"/>
      <c r="BR5357" s="319"/>
      <c r="BS5357" s="330"/>
      <c r="BT5357" s="331"/>
      <c r="BU5357" s="920"/>
      <c r="BV5357" s="903"/>
      <c r="BW5357" s="908"/>
      <c r="BX5357" s="908"/>
      <c r="BY5357" s="331"/>
      <c r="BZ5357" s="331"/>
      <c r="CA5357" s="462"/>
      <c r="CB5357" s="319"/>
      <c r="CC5357" s="319"/>
      <c r="CD5357" s="319"/>
      <c r="CE5357" s="319"/>
      <c r="CF5357" s="319"/>
      <c r="CG5357" s="319"/>
      <c r="CH5357" s="318"/>
      <c r="CI5357" s="319"/>
      <c r="CJ5357" s="319"/>
      <c r="CK5357" s="342"/>
      <c r="CL5357" s="333"/>
      <c r="CM5357" s="1079"/>
      <c r="CN5357" s="1005"/>
      <c r="CO5357" s="1005"/>
      <c r="CP5357" s="1005"/>
    </row>
    <row r="5358">
      <c r="A5358" s="1257"/>
      <c r="B5358" s="1113"/>
      <c r="C5358" s="1107"/>
      <c r="D5358" s="103"/>
      <c r="E5358" s="1137"/>
      <c r="F5358" s="112"/>
      <c r="G5358" s="1110"/>
      <c r="H5358" s="1138"/>
      <c r="I5358" s="1138"/>
      <c r="J5358" s="1139"/>
      <c r="K5358" s="1111"/>
      <c r="L5358" s="1112"/>
      <c r="M5358" s="1113"/>
      <c r="N5358" s="110"/>
      <c r="O5358" s="1140"/>
      <c r="P5358" s="1115"/>
      <c r="Q5358" s="1116"/>
      <c r="R5358" s="1141"/>
      <c r="S5358" s="1113"/>
      <c r="T5358" s="1143"/>
      <c r="U5358" s="1108"/>
      <c r="V5358" s="1108"/>
      <c r="W5358" s="1108"/>
      <c r="X5358" s="1108"/>
      <c r="Y5358" s="1108"/>
      <c r="Z5358" s="1114"/>
      <c r="AA5358" s="1114"/>
      <c r="AB5358" s="1114"/>
      <c r="AC5358" s="1117"/>
      <c r="AD5358" s="1115"/>
      <c r="AE5358" s="1115"/>
      <c r="AF5358" s="1115"/>
      <c r="AG5358" s="1115"/>
      <c r="AH5358" s="1115"/>
      <c r="AI5358" s="1115"/>
      <c r="AJ5358" s="1117"/>
      <c r="AK5358" s="1118"/>
      <c r="AL5358" s="1115"/>
      <c r="AM5358" s="1115"/>
      <c r="AN5358" s="1115"/>
      <c r="AO5358" s="1115"/>
      <c r="AP5358" s="1115"/>
      <c r="AQ5358" s="1115"/>
      <c r="AR5358" s="1115"/>
      <c r="AS5358" s="1117"/>
      <c r="AT5358" s="1075"/>
      <c r="AU5358" s="1193"/>
      <c r="AV5358" s="330"/>
      <c r="AW5358" s="331"/>
      <c r="AX5358" s="331"/>
      <c r="AY5358" s="331"/>
      <c r="AZ5358" s="331"/>
      <c r="BA5358" s="331"/>
      <c r="BB5358" s="331"/>
      <c r="BC5358" s="331"/>
      <c r="BD5358" s="331"/>
      <c r="BE5358" s="333"/>
      <c r="BF5358" s="330"/>
      <c r="BG5358" s="333"/>
      <c r="BH5358" s="1119"/>
      <c r="BI5358" s="319"/>
      <c r="BJ5358" s="319"/>
      <c r="BK5358" s="319"/>
      <c r="BL5358" s="319"/>
      <c r="BM5358" s="319"/>
      <c r="BN5358" s="319"/>
      <c r="BO5358" s="319"/>
      <c r="BP5358" s="953"/>
      <c r="BQ5358" s="319"/>
      <c r="BR5358" s="319"/>
      <c r="BS5358" s="330"/>
      <c r="BT5358" s="331"/>
      <c r="BU5358" s="920"/>
      <c r="BV5358" s="903"/>
      <c r="BW5358" s="908"/>
      <c r="BX5358" s="908"/>
      <c r="BY5358" s="331"/>
      <c r="BZ5358" s="331"/>
      <c r="CA5358" s="462"/>
      <c r="CB5358" s="319"/>
      <c r="CC5358" s="319"/>
      <c r="CD5358" s="319"/>
      <c r="CE5358" s="319"/>
      <c r="CF5358" s="319"/>
      <c r="CG5358" s="319"/>
      <c r="CH5358" s="318"/>
      <c r="CI5358" s="319"/>
      <c r="CJ5358" s="319"/>
      <c r="CK5358" s="342"/>
      <c r="CL5358" s="333"/>
      <c r="CM5358" s="1079"/>
      <c r="CN5358" s="1005"/>
      <c r="CO5358" s="1005"/>
      <c r="CP5358" s="1005"/>
    </row>
    <row r="5359">
      <c r="A5359" s="1257"/>
      <c r="B5359" s="1113"/>
      <c r="C5359" s="1107"/>
      <c r="D5359" s="103"/>
      <c r="E5359" s="1137"/>
      <c r="F5359" s="112"/>
      <c r="G5359" s="1110"/>
      <c r="H5359" s="1138"/>
      <c r="I5359" s="1138"/>
      <c r="J5359" s="1139"/>
      <c r="K5359" s="1111"/>
      <c r="L5359" s="1112"/>
      <c r="M5359" s="1113"/>
      <c r="N5359" s="110"/>
      <c r="O5359" s="1140"/>
      <c r="P5359" s="1115"/>
      <c r="Q5359" s="1116"/>
      <c r="R5359" s="1141"/>
      <c r="S5359" s="1113"/>
      <c r="T5359" s="1143"/>
      <c r="U5359" s="1108"/>
      <c r="V5359" s="1108"/>
      <c r="W5359" s="1108"/>
      <c r="X5359" s="1108"/>
      <c r="Y5359" s="1108"/>
      <c r="Z5359" s="1114"/>
      <c r="AA5359" s="1114"/>
      <c r="AB5359" s="1114"/>
      <c r="AC5359" s="1117"/>
      <c r="AD5359" s="1115"/>
      <c r="AE5359" s="1115"/>
      <c r="AF5359" s="1115"/>
      <c r="AG5359" s="1115"/>
      <c r="AH5359" s="1115"/>
      <c r="AI5359" s="1115"/>
      <c r="AJ5359" s="1117"/>
      <c r="AK5359" s="1118"/>
      <c r="AL5359" s="1115"/>
      <c r="AM5359" s="1115"/>
      <c r="AN5359" s="1115"/>
      <c r="AO5359" s="1115"/>
      <c r="AP5359" s="1115"/>
      <c r="AQ5359" s="1115"/>
      <c r="AR5359" s="1115"/>
      <c r="AS5359" s="1117"/>
      <c r="AT5359" s="1075"/>
      <c r="AU5359" s="1193"/>
      <c r="AV5359" s="330"/>
      <c r="AW5359" s="331"/>
      <c r="AX5359" s="331"/>
      <c r="AY5359" s="331"/>
      <c r="AZ5359" s="331"/>
      <c r="BA5359" s="331"/>
      <c r="BB5359" s="331"/>
      <c r="BC5359" s="331"/>
      <c r="BD5359" s="331"/>
      <c r="BE5359" s="333"/>
      <c r="BF5359" s="330"/>
      <c r="BG5359" s="333"/>
      <c r="BH5359" s="1119"/>
      <c r="BI5359" s="319"/>
      <c r="BJ5359" s="319"/>
      <c r="BK5359" s="319"/>
      <c r="BL5359" s="319"/>
      <c r="BM5359" s="319"/>
      <c r="BN5359" s="319"/>
      <c r="BO5359" s="319"/>
      <c r="BP5359" s="953"/>
      <c r="BQ5359" s="319"/>
      <c r="BR5359" s="319"/>
      <c r="BS5359" s="330"/>
      <c r="BT5359" s="331"/>
      <c r="BU5359" s="920"/>
      <c r="BV5359" s="903"/>
      <c r="BW5359" s="908"/>
      <c r="BX5359" s="908"/>
      <c r="BY5359" s="331"/>
      <c r="BZ5359" s="331"/>
      <c r="CA5359" s="462"/>
      <c r="CB5359" s="319"/>
      <c r="CC5359" s="319"/>
      <c r="CD5359" s="319"/>
      <c r="CE5359" s="319"/>
      <c r="CF5359" s="319"/>
      <c r="CG5359" s="319"/>
      <c r="CH5359" s="318"/>
      <c r="CI5359" s="319"/>
      <c r="CJ5359" s="319"/>
      <c r="CK5359" s="342"/>
      <c r="CL5359" s="333"/>
      <c r="CM5359" s="1079"/>
      <c r="CN5359" s="1005"/>
      <c r="CO5359" s="1005"/>
      <c r="CP5359" s="1005"/>
    </row>
    <row r="5360">
      <c r="A5360" s="1257"/>
      <c r="B5360" s="1113"/>
      <c r="C5360" s="1107"/>
      <c r="D5360" s="103"/>
      <c r="E5360" s="1137"/>
      <c r="F5360" s="112"/>
      <c r="G5360" s="1110"/>
      <c r="H5360" s="1138"/>
      <c r="I5360" s="1138"/>
      <c r="J5360" s="1139"/>
      <c r="K5360" s="1111"/>
      <c r="L5360" s="1112"/>
      <c r="M5360" s="1113"/>
      <c r="N5360" s="110"/>
      <c r="O5360" s="1140"/>
      <c r="P5360" s="1115"/>
      <c r="Q5360" s="1116"/>
      <c r="R5360" s="1141"/>
      <c r="S5360" s="1113"/>
      <c r="T5360" s="1143"/>
      <c r="U5360" s="1108"/>
      <c r="V5360" s="1108"/>
      <c r="W5360" s="1108"/>
      <c r="X5360" s="1108"/>
      <c r="Y5360" s="1108"/>
      <c r="Z5360" s="1114"/>
      <c r="AA5360" s="1114"/>
      <c r="AB5360" s="1114"/>
      <c r="AC5360" s="1117"/>
      <c r="AD5360" s="1115"/>
      <c r="AE5360" s="1115"/>
      <c r="AF5360" s="1115"/>
      <c r="AG5360" s="1115"/>
      <c r="AH5360" s="1115"/>
      <c r="AI5360" s="1115"/>
      <c r="AJ5360" s="1117"/>
      <c r="AK5360" s="1118"/>
      <c r="AL5360" s="1115"/>
      <c r="AM5360" s="1115"/>
      <c r="AN5360" s="1115"/>
      <c r="AO5360" s="1115"/>
      <c r="AP5360" s="1115"/>
      <c r="AQ5360" s="1115"/>
      <c r="AR5360" s="1115"/>
      <c r="AS5360" s="1117"/>
      <c r="AT5360" s="1075"/>
      <c r="AU5360" s="1193"/>
      <c r="AV5360" s="330"/>
      <c r="AW5360" s="331"/>
      <c r="AX5360" s="331"/>
      <c r="AY5360" s="331"/>
      <c r="AZ5360" s="331"/>
      <c r="BA5360" s="331"/>
      <c r="BB5360" s="331"/>
      <c r="BC5360" s="331"/>
      <c r="BD5360" s="331"/>
      <c r="BE5360" s="333"/>
      <c r="BF5360" s="330"/>
      <c r="BG5360" s="333"/>
      <c r="BH5360" s="1119"/>
      <c r="BI5360" s="319"/>
      <c r="BJ5360" s="319"/>
      <c r="BK5360" s="319"/>
      <c r="BL5360" s="319"/>
      <c r="BM5360" s="319"/>
      <c r="BN5360" s="319"/>
      <c r="BO5360" s="319"/>
      <c r="BP5360" s="953"/>
      <c r="BQ5360" s="319"/>
      <c r="BR5360" s="319"/>
      <c r="BS5360" s="330"/>
      <c r="BT5360" s="331"/>
      <c r="BU5360" s="920"/>
      <c r="BV5360" s="903"/>
      <c r="BW5360" s="908"/>
      <c r="BX5360" s="908"/>
      <c r="BY5360" s="331"/>
      <c r="BZ5360" s="331"/>
      <c r="CA5360" s="462"/>
      <c r="CB5360" s="319"/>
      <c r="CC5360" s="319"/>
      <c r="CD5360" s="319"/>
      <c r="CE5360" s="319"/>
      <c r="CF5360" s="319"/>
      <c r="CG5360" s="319"/>
      <c r="CH5360" s="318"/>
      <c r="CI5360" s="319"/>
      <c r="CJ5360" s="319"/>
      <c r="CK5360" s="342"/>
      <c r="CL5360" s="333"/>
      <c r="CM5360" s="1079"/>
      <c r="CN5360" s="1005"/>
      <c r="CO5360" s="1005"/>
      <c r="CP5360" s="1005"/>
    </row>
    <row r="5361">
      <c r="A5361" s="1257"/>
      <c r="B5361" s="1113"/>
      <c r="C5361" s="1107"/>
      <c r="D5361" s="103"/>
      <c r="E5361" s="1137"/>
      <c r="F5361" s="112"/>
      <c r="G5361" s="1110"/>
      <c r="H5361" s="1138"/>
      <c r="I5361" s="1138"/>
      <c r="J5361" s="1139"/>
      <c r="K5361" s="1111"/>
      <c r="L5361" s="1112"/>
      <c r="M5361" s="1113"/>
      <c r="N5361" s="110"/>
      <c r="O5361" s="1140"/>
      <c r="P5361" s="1115"/>
      <c r="Q5361" s="1116"/>
      <c r="R5361" s="1141"/>
      <c r="S5361" s="1113"/>
      <c r="T5361" s="1143"/>
      <c r="U5361" s="1108"/>
      <c r="V5361" s="1108"/>
      <c r="W5361" s="1108"/>
      <c r="X5361" s="1108"/>
      <c r="Y5361" s="1108"/>
      <c r="Z5361" s="1114"/>
      <c r="AA5361" s="1114"/>
      <c r="AB5361" s="1114"/>
      <c r="AC5361" s="1117"/>
      <c r="AD5361" s="1115"/>
      <c r="AE5361" s="1115"/>
      <c r="AF5361" s="1115"/>
      <c r="AG5361" s="1115"/>
      <c r="AH5361" s="1115"/>
      <c r="AI5361" s="1115"/>
      <c r="AJ5361" s="1117"/>
      <c r="AK5361" s="1118"/>
      <c r="AL5361" s="1115"/>
      <c r="AM5361" s="1115"/>
      <c r="AN5361" s="1115"/>
      <c r="AO5361" s="1115"/>
      <c r="AP5361" s="1115"/>
      <c r="AQ5361" s="1115"/>
      <c r="AR5361" s="1115"/>
      <c r="AS5361" s="1117"/>
      <c r="AT5361" s="1075"/>
      <c r="AU5361" s="1193"/>
      <c r="AV5361" s="330"/>
      <c r="AW5361" s="331"/>
      <c r="AX5361" s="331"/>
      <c r="AY5361" s="331"/>
      <c r="AZ5361" s="331"/>
      <c r="BA5361" s="331"/>
      <c r="BB5361" s="331"/>
      <c r="BC5361" s="331"/>
      <c r="BD5361" s="331"/>
      <c r="BE5361" s="333"/>
      <c r="BF5361" s="330"/>
      <c r="BG5361" s="333"/>
      <c r="BH5361" s="1119"/>
      <c r="BI5361" s="319"/>
      <c r="BJ5361" s="319"/>
      <c r="BK5361" s="319"/>
      <c r="BL5361" s="319"/>
      <c r="BM5361" s="319"/>
      <c r="BN5361" s="319"/>
      <c r="BO5361" s="319"/>
      <c r="BP5361" s="953"/>
      <c r="BQ5361" s="319"/>
      <c r="BR5361" s="319"/>
      <c r="BS5361" s="330"/>
      <c r="BT5361" s="331"/>
      <c r="BU5361" s="920"/>
      <c r="BV5361" s="903"/>
      <c r="BW5361" s="908"/>
      <c r="BX5361" s="908"/>
      <c r="BY5361" s="331"/>
      <c r="BZ5361" s="331"/>
      <c r="CA5361" s="462"/>
      <c r="CB5361" s="319"/>
      <c r="CC5361" s="319"/>
      <c r="CD5361" s="319"/>
      <c r="CE5361" s="319"/>
      <c r="CF5361" s="319"/>
      <c r="CG5361" s="319"/>
      <c r="CH5361" s="318"/>
      <c r="CI5361" s="319"/>
      <c r="CJ5361" s="319"/>
      <c r="CK5361" s="342"/>
      <c r="CL5361" s="333"/>
      <c r="CM5361" s="1079"/>
      <c r="CN5361" s="1005"/>
      <c r="CO5361" s="1005"/>
      <c r="CP5361" s="1005"/>
    </row>
    <row r="5362">
      <c r="A5362" s="1257"/>
      <c r="B5362" s="1113"/>
      <c r="C5362" s="1107"/>
      <c r="D5362" s="103"/>
      <c r="E5362" s="1137"/>
      <c r="F5362" s="112"/>
      <c r="G5362" s="1110"/>
      <c r="H5362" s="1138"/>
      <c r="I5362" s="1138"/>
      <c r="J5362" s="1139"/>
      <c r="K5362" s="1111"/>
      <c r="L5362" s="1112"/>
      <c r="M5362" s="1113"/>
      <c r="N5362" s="110"/>
      <c r="O5362" s="1140"/>
      <c r="P5362" s="1115"/>
      <c r="Q5362" s="1116"/>
      <c r="R5362" s="1141"/>
      <c r="S5362" s="1113"/>
      <c r="T5362" s="1143"/>
      <c r="U5362" s="1108"/>
      <c r="V5362" s="1108"/>
      <c r="W5362" s="1108"/>
      <c r="X5362" s="1108"/>
      <c r="Y5362" s="1108"/>
      <c r="Z5362" s="1114"/>
      <c r="AA5362" s="1114"/>
      <c r="AB5362" s="1114"/>
      <c r="AC5362" s="1117"/>
      <c r="AD5362" s="1115"/>
      <c r="AE5362" s="1115"/>
      <c r="AF5362" s="1115"/>
      <c r="AG5362" s="1115"/>
      <c r="AH5362" s="1115"/>
      <c r="AI5362" s="1115"/>
      <c r="AJ5362" s="1117"/>
      <c r="AK5362" s="1118"/>
      <c r="AL5362" s="1115"/>
      <c r="AM5362" s="1115"/>
      <c r="AN5362" s="1115"/>
      <c r="AO5362" s="1115"/>
      <c r="AP5362" s="1115"/>
      <c r="AQ5362" s="1115"/>
      <c r="AR5362" s="1115"/>
      <c r="AS5362" s="1117"/>
      <c r="AT5362" s="1075"/>
      <c r="AU5362" s="1193"/>
      <c r="AV5362" s="330"/>
      <c r="AW5362" s="331"/>
      <c r="AX5362" s="331"/>
      <c r="AY5362" s="331"/>
      <c r="AZ5362" s="331"/>
      <c r="BA5362" s="331"/>
      <c r="BB5362" s="331"/>
      <c r="BC5362" s="331"/>
      <c r="BD5362" s="331"/>
      <c r="BE5362" s="333"/>
      <c r="BF5362" s="330"/>
      <c r="BG5362" s="333"/>
      <c r="BH5362" s="1119"/>
      <c r="BI5362" s="319"/>
      <c r="BJ5362" s="319"/>
      <c r="BK5362" s="319"/>
      <c r="BL5362" s="319"/>
      <c r="BM5362" s="319"/>
      <c r="BN5362" s="319"/>
      <c r="BO5362" s="319"/>
      <c r="BP5362" s="953"/>
      <c r="BQ5362" s="319"/>
      <c r="BR5362" s="319"/>
      <c r="BS5362" s="330"/>
      <c r="BT5362" s="331"/>
      <c r="BU5362" s="920"/>
      <c r="BV5362" s="903"/>
      <c r="BW5362" s="908"/>
      <c r="BX5362" s="908"/>
      <c r="BY5362" s="331"/>
      <c r="BZ5362" s="331"/>
      <c r="CA5362" s="462"/>
      <c r="CB5362" s="319"/>
      <c r="CC5362" s="319"/>
      <c r="CD5362" s="319"/>
      <c r="CE5362" s="319"/>
      <c r="CF5362" s="319"/>
      <c r="CG5362" s="319"/>
      <c r="CH5362" s="318"/>
      <c r="CI5362" s="319"/>
      <c r="CJ5362" s="319"/>
      <c r="CK5362" s="342"/>
      <c r="CL5362" s="333"/>
      <c r="CM5362" s="1079"/>
      <c r="CN5362" s="1005"/>
      <c r="CO5362" s="1005"/>
      <c r="CP5362" s="1005"/>
    </row>
    <row r="5363">
      <c r="A5363" s="1257"/>
      <c r="B5363" s="1113"/>
      <c r="C5363" s="1107"/>
      <c r="D5363" s="103"/>
      <c r="E5363" s="1137"/>
      <c r="F5363" s="112"/>
      <c r="G5363" s="1110"/>
      <c r="H5363" s="1138"/>
      <c r="I5363" s="1138"/>
      <c r="J5363" s="1139"/>
      <c r="K5363" s="1111"/>
      <c r="L5363" s="1112"/>
      <c r="M5363" s="1113"/>
      <c r="N5363" s="110"/>
      <c r="O5363" s="1140"/>
      <c r="P5363" s="1115"/>
      <c r="Q5363" s="1116"/>
      <c r="R5363" s="1141"/>
      <c r="S5363" s="1113"/>
      <c r="T5363" s="1143"/>
      <c r="U5363" s="1108"/>
      <c r="V5363" s="1108"/>
      <c r="W5363" s="1108"/>
      <c r="X5363" s="1108"/>
      <c r="Y5363" s="1108"/>
      <c r="Z5363" s="1114"/>
      <c r="AA5363" s="1114"/>
      <c r="AB5363" s="1114"/>
      <c r="AC5363" s="1117"/>
      <c r="AD5363" s="1115"/>
      <c r="AE5363" s="1115"/>
      <c r="AF5363" s="1115"/>
      <c r="AG5363" s="1115"/>
      <c r="AH5363" s="1115"/>
      <c r="AI5363" s="1115"/>
      <c r="AJ5363" s="1117"/>
      <c r="AK5363" s="1118"/>
      <c r="AL5363" s="1115"/>
      <c r="AM5363" s="1115"/>
      <c r="AN5363" s="1115"/>
      <c r="AO5363" s="1115"/>
      <c r="AP5363" s="1115"/>
      <c r="AQ5363" s="1115"/>
      <c r="AR5363" s="1115"/>
      <c r="AS5363" s="1117"/>
      <c r="AT5363" s="1075"/>
      <c r="AU5363" s="1193"/>
      <c r="AV5363" s="330"/>
      <c r="AW5363" s="331"/>
      <c r="AX5363" s="331"/>
      <c r="AY5363" s="331"/>
      <c r="AZ5363" s="331"/>
      <c r="BA5363" s="331"/>
      <c r="BB5363" s="331"/>
      <c r="BC5363" s="331"/>
      <c r="BD5363" s="331"/>
      <c r="BE5363" s="333"/>
      <c r="BF5363" s="330"/>
      <c r="BG5363" s="333"/>
      <c r="BH5363" s="1119"/>
      <c r="BI5363" s="319"/>
      <c r="BJ5363" s="319"/>
      <c r="BK5363" s="319"/>
      <c r="BL5363" s="319"/>
      <c r="BM5363" s="319"/>
      <c r="BN5363" s="319"/>
      <c r="BO5363" s="319"/>
      <c r="BP5363" s="953"/>
      <c r="BQ5363" s="319"/>
      <c r="BR5363" s="319"/>
      <c r="BS5363" s="330"/>
      <c r="BT5363" s="331"/>
      <c r="BU5363" s="920"/>
      <c r="BV5363" s="903"/>
      <c r="BW5363" s="908"/>
      <c r="BX5363" s="908"/>
      <c r="BY5363" s="331"/>
      <c r="BZ5363" s="331"/>
      <c r="CA5363" s="462"/>
      <c r="CB5363" s="319"/>
      <c r="CC5363" s="319"/>
      <c r="CD5363" s="319"/>
      <c r="CE5363" s="319"/>
      <c r="CF5363" s="319"/>
      <c r="CG5363" s="319"/>
      <c r="CH5363" s="318"/>
      <c r="CI5363" s="319"/>
      <c r="CJ5363" s="319"/>
      <c r="CK5363" s="342"/>
      <c r="CL5363" s="333"/>
      <c r="CM5363" s="1079"/>
      <c r="CN5363" s="1005"/>
      <c r="CO5363" s="1005"/>
      <c r="CP5363" s="1005"/>
    </row>
    <row r="5364">
      <c r="A5364" s="1257"/>
      <c r="B5364" s="1113"/>
      <c r="C5364" s="1107"/>
      <c r="D5364" s="103"/>
      <c r="E5364" s="1137"/>
      <c r="F5364" s="112"/>
      <c r="G5364" s="1110"/>
      <c r="H5364" s="1138"/>
      <c r="I5364" s="1138"/>
      <c r="J5364" s="1139"/>
      <c r="K5364" s="1111"/>
      <c r="L5364" s="1112"/>
      <c r="M5364" s="1113"/>
      <c r="N5364" s="110"/>
      <c r="O5364" s="1140"/>
      <c r="P5364" s="1115"/>
      <c r="Q5364" s="1116"/>
      <c r="R5364" s="1141"/>
      <c r="S5364" s="1113"/>
      <c r="T5364" s="1143"/>
      <c r="U5364" s="1108"/>
      <c r="V5364" s="1108"/>
      <c r="W5364" s="1108"/>
      <c r="X5364" s="1108"/>
      <c r="Y5364" s="1108"/>
      <c r="Z5364" s="1114"/>
      <c r="AA5364" s="1114"/>
      <c r="AB5364" s="1114"/>
      <c r="AC5364" s="1117"/>
      <c r="AD5364" s="1115"/>
      <c r="AE5364" s="1115"/>
      <c r="AF5364" s="1115"/>
      <c r="AG5364" s="1115"/>
      <c r="AH5364" s="1115"/>
      <c r="AI5364" s="1115"/>
      <c r="AJ5364" s="1117"/>
      <c r="AK5364" s="1118"/>
      <c r="AL5364" s="1115"/>
      <c r="AM5364" s="1115"/>
      <c r="AN5364" s="1115"/>
      <c r="AO5364" s="1115"/>
      <c r="AP5364" s="1115"/>
      <c r="AQ5364" s="1115"/>
      <c r="AR5364" s="1115"/>
      <c r="AS5364" s="1117"/>
      <c r="AT5364" s="1075"/>
      <c r="AU5364" s="1193"/>
      <c r="AV5364" s="330"/>
      <c r="AW5364" s="331"/>
      <c r="AX5364" s="331"/>
      <c r="AY5364" s="331"/>
      <c r="AZ5364" s="331"/>
      <c r="BA5364" s="331"/>
      <c r="BB5364" s="331"/>
      <c r="BC5364" s="331"/>
      <c r="BD5364" s="331"/>
      <c r="BE5364" s="333"/>
      <c r="BF5364" s="330"/>
      <c r="BG5364" s="333"/>
      <c r="BH5364" s="1119"/>
      <c r="BI5364" s="319"/>
      <c r="BJ5364" s="319"/>
      <c r="BK5364" s="319"/>
      <c r="BL5364" s="319"/>
      <c r="BM5364" s="319"/>
      <c r="BN5364" s="319"/>
      <c r="BO5364" s="319"/>
      <c r="BP5364" s="953"/>
      <c r="BQ5364" s="319"/>
      <c r="BR5364" s="319"/>
      <c r="BS5364" s="330"/>
      <c r="BT5364" s="331"/>
      <c r="BU5364" s="920"/>
      <c r="BV5364" s="903"/>
      <c r="BW5364" s="908"/>
      <c r="BX5364" s="908"/>
      <c r="BY5364" s="331"/>
      <c r="BZ5364" s="331"/>
      <c r="CA5364" s="462"/>
      <c r="CB5364" s="319"/>
      <c r="CC5364" s="319"/>
      <c r="CD5364" s="319"/>
      <c r="CE5364" s="319"/>
      <c r="CF5364" s="319"/>
      <c r="CG5364" s="319"/>
      <c r="CH5364" s="318"/>
      <c r="CI5364" s="319"/>
      <c r="CJ5364" s="319"/>
      <c r="CK5364" s="342"/>
      <c r="CL5364" s="333"/>
      <c r="CM5364" s="1079"/>
      <c r="CN5364" s="1005"/>
      <c r="CO5364" s="1005"/>
      <c r="CP5364" s="1005"/>
    </row>
    <row r="5365">
      <c r="A5365" s="1257"/>
      <c r="B5365" s="1113"/>
      <c r="C5365" s="1107"/>
      <c r="D5365" s="103"/>
      <c r="E5365" s="1137"/>
      <c r="F5365" s="112"/>
      <c r="G5365" s="1110"/>
      <c r="H5365" s="1138"/>
      <c r="I5365" s="1138"/>
      <c r="J5365" s="1139"/>
      <c r="K5365" s="1111"/>
      <c r="L5365" s="1112"/>
      <c r="M5365" s="1113"/>
      <c r="N5365" s="110"/>
      <c r="O5365" s="1140"/>
      <c r="P5365" s="1115"/>
      <c r="Q5365" s="1116"/>
      <c r="R5365" s="1141"/>
      <c r="S5365" s="1113"/>
      <c r="T5365" s="1143"/>
      <c r="U5365" s="1108"/>
      <c r="V5365" s="1108"/>
      <c r="W5365" s="1108"/>
      <c r="X5365" s="1108"/>
      <c r="Y5365" s="1108"/>
      <c r="Z5365" s="1114"/>
      <c r="AA5365" s="1114"/>
      <c r="AB5365" s="1114"/>
      <c r="AC5365" s="1117"/>
      <c r="AD5365" s="1115"/>
      <c r="AE5365" s="1115"/>
      <c r="AF5365" s="1115"/>
      <c r="AG5365" s="1115"/>
      <c r="AH5365" s="1115"/>
      <c r="AI5365" s="1115"/>
      <c r="AJ5365" s="1117"/>
      <c r="AK5365" s="1118"/>
      <c r="AL5365" s="1115"/>
      <c r="AM5365" s="1115"/>
      <c r="AN5365" s="1115"/>
      <c r="AO5365" s="1115"/>
      <c r="AP5365" s="1115"/>
      <c r="AQ5365" s="1115"/>
      <c r="AR5365" s="1115"/>
      <c r="AS5365" s="1117"/>
      <c r="AT5365" s="1075"/>
      <c r="AU5365" s="1193"/>
      <c r="AV5365" s="330"/>
      <c r="AW5365" s="331"/>
      <c r="AX5365" s="331"/>
      <c r="AY5365" s="331"/>
      <c r="AZ5365" s="331"/>
      <c r="BA5365" s="331"/>
      <c r="BB5365" s="331"/>
      <c r="BC5365" s="331"/>
      <c r="BD5365" s="331"/>
      <c r="BE5365" s="333"/>
      <c r="BF5365" s="330"/>
      <c r="BG5365" s="333"/>
      <c r="BH5365" s="1119"/>
      <c r="BI5365" s="319"/>
      <c r="BJ5365" s="319"/>
      <c r="BK5365" s="319"/>
      <c r="BL5365" s="319"/>
      <c r="BM5365" s="319"/>
      <c r="BN5365" s="319"/>
      <c r="BO5365" s="319"/>
      <c r="BP5365" s="953"/>
      <c r="BQ5365" s="319"/>
      <c r="BR5365" s="319"/>
      <c r="BS5365" s="330"/>
      <c r="BT5365" s="331"/>
      <c r="BU5365" s="920"/>
      <c r="BV5365" s="903"/>
      <c r="BW5365" s="908"/>
      <c r="BX5365" s="908"/>
      <c r="BY5365" s="331"/>
      <c r="BZ5365" s="331"/>
      <c r="CA5365" s="462"/>
      <c r="CB5365" s="319"/>
      <c r="CC5365" s="319"/>
      <c r="CD5365" s="319"/>
      <c r="CE5365" s="319"/>
      <c r="CF5365" s="319"/>
      <c r="CG5365" s="319"/>
      <c r="CH5365" s="318"/>
      <c r="CI5365" s="319"/>
      <c r="CJ5365" s="319"/>
      <c r="CK5365" s="342"/>
      <c r="CL5365" s="333"/>
      <c r="CM5365" s="1079"/>
      <c r="CN5365" s="1005"/>
      <c r="CO5365" s="1005"/>
      <c r="CP5365" s="1005"/>
    </row>
    <row r="5366">
      <c r="A5366" s="1257"/>
      <c r="B5366" s="1113"/>
      <c r="C5366" s="1107"/>
      <c r="D5366" s="103"/>
      <c r="E5366" s="1137"/>
      <c r="F5366" s="112"/>
      <c r="G5366" s="1110"/>
      <c r="H5366" s="1138"/>
      <c r="I5366" s="1138"/>
      <c r="J5366" s="1139"/>
      <c r="K5366" s="1111"/>
      <c r="L5366" s="1112"/>
      <c r="M5366" s="1113"/>
      <c r="N5366" s="110"/>
      <c r="O5366" s="1140"/>
      <c r="P5366" s="1115"/>
      <c r="Q5366" s="1116"/>
      <c r="R5366" s="1141"/>
      <c r="S5366" s="1113"/>
      <c r="T5366" s="1143"/>
      <c r="U5366" s="1108"/>
      <c r="V5366" s="1108"/>
      <c r="W5366" s="1108"/>
      <c r="X5366" s="1108"/>
      <c r="Y5366" s="1108"/>
      <c r="Z5366" s="1114"/>
      <c r="AA5366" s="1114"/>
      <c r="AB5366" s="1114"/>
      <c r="AC5366" s="1117"/>
      <c r="AD5366" s="1115"/>
      <c r="AE5366" s="1115"/>
      <c r="AF5366" s="1115"/>
      <c r="AG5366" s="1115"/>
      <c r="AH5366" s="1115"/>
      <c r="AI5366" s="1115"/>
      <c r="AJ5366" s="1117"/>
      <c r="AK5366" s="1118"/>
      <c r="AL5366" s="1115"/>
      <c r="AM5366" s="1115"/>
      <c r="AN5366" s="1115"/>
      <c r="AO5366" s="1115"/>
      <c r="AP5366" s="1115"/>
      <c r="AQ5366" s="1115"/>
      <c r="AR5366" s="1115"/>
      <c r="AS5366" s="1117"/>
      <c r="AT5366" s="1075"/>
      <c r="AU5366" s="1193"/>
      <c r="AV5366" s="330"/>
      <c r="AW5366" s="331"/>
      <c r="AX5366" s="331"/>
      <c r="AY5366" s="331"/>
      <c r="AZ5366" s="331"/>
      <c r="BA5366" s="331"/>
      <c r="BB5366" s="331"/>
      <c r="BC5366" s="331"/>
      <c r="BD5366" s="331"/>
      <c r="BE5366" s="333"/>
      <c r="BF5366" s="330"/>
      <c r="BG5366" s="333"/>
      <c r="BH5366" s="1119"/>
      <c r="BI5366" s="319"/>
      <c r="BJ5366" s="319"/>
      <c r="BK5366" s="319"/>
      <c r="BL5366" s="319"/>
      <c r="BM5366" s="319"/>
      <c r="BN5366" s="319"/>
      <c r="BO5366" s="319"/>
      <c r="BP5366" s="953"/>
      <c r="BQ5366" s="319"/>
      <c r="BR5366" s="319"/>
      <c r="BS5366" s="330"/>
      <c r="BT5366" s="331"/>
      <c r="BU5366" s="920"/>
      <c r="BV5366" s="903"/>
      <c r="BW5366" s="908"/>
      <c r="BX5366" s="908"/>
      <c r="BY5366" s="331"/>
      <c r="BZ5366" s="331"/>
      <c r="CA5366" s="462"/>
      <c r="CB5366" s="319"/>
      <c r="CC5366" s="319"/>
      <c r="CD5366" s="319"/>
      <c r="CE5366" s="319"/>
      <c r="CF5366" s="319"/>
      <c r="CG5366" s="319"/>
      <c r="CH5366" s="318"/>
      <c r="CI5366" s="319"/>
      <c r="CJ5366" s="319"/>
      <c r="CK5366" s="342"/>
      <c r="CL5366" s="333"/>
      <c r="CM5366" s="1079"/>
      <c r="CN5366" s="1005"/>
      <c r="CO5366" s="1005"/>
      <c r="CP5366" s="1005"/>
    </row>
    <row r="5367">
      <c r="A5367" s="1257"/>
      <c r="B5367" s="1113"/>
      <c r="C5367" s="1107"/>
      <c r="D5367" s="103"/>
      <c r="E5367" s="1137"/>
      <c r="F5367" s="112"/>
      <c r="G5367" s="1110"/>
      <c r="H5367" s="1138"/>
      <c r="I5367" s="1138"/>
      <c r="J5367" s="1139"/>
      <c r="K5367" s="1111"/>
      <c r="L5367" s="1112"/>
      <c r="M5367" s="1113"/>
      <c r="N5367" s="110"/>
      <c r="O5367" s="1140"/>
      <c r="P5367" s="1115"/>
      <c r="Q5367" s="1116"/>
      <c r="R5367" s="1141"/>
      <c r="S5367" s="1113"/>
      <c r="T5367" s="1143"/>
      <c r="U5367" s="1108"/>
      <c r="V5367" s="1108"/>
      <c r="W5367" s="1108"/>
      <c r="X5367" s="1108"/>
      <c r="Y5367" s="1108"/>
      <c r="Z5367" s="1114"/>
      <c r="AA5367" s="1114"/>
      <c r="AB5367" s="1114"/>
      <c r="AC5367" s="1117"/>
      <c r="AD5367" s="1115"/>
      <c r="AE5367" s="1115"/>
      <c r="AF5367" s="1115"/>
      <c r="AG5367" s="1115"/>
      <c r="AH5367" s="1115"/>
      <c r="AI5367" s="1115"/>
      <c r="AJ5367" s="1117"/>
      <c r="AK5367" s="1118"/>
      <c r="AL5367" s="1115"/>
      <c r="AM5367" s="1115"/>
      <c r="AN5367" s="1115"/>
      <c r="AO5367" s="1115"/>
      <c r="AP5367" s="1115"/>
      <c r="AQ5367" s="1115"/>
      <c r="AR5367" s="1115"/>
      <c r="AS5367" s="1117"/>
      <c r="AT5367" s="1075"/>
      <c r="AU5367" s="1193"/>
      <c r="AV5367" s="330"/>
      <c r="AW5367" s="331"/>
      <c r="AX5367" s="331"/>
      <c r="AY5367" s="331"/>
      <c r="AZ5367" s="331"/>
      <c r="BA5367" s="331"/>
      <c r="BB5367" s="331"/>
      <c r="BC5367" s="331"/>
      <c r="BD5367" s="331"/>
      <c r="BE5367" s="333"/>
      <c r="BF5367" s="330"/>
      <c r="BG5367" s="333"/>
      <c r="BH5367" s="1119"/>
      <c r="BI5367" s="319"/>
      <c r="BJ5367" s="319"/>
      <c r="BK5367" s="319"/>
      <c r="BL5367" s="319"/>
      <c r="BM5367" s="319"/>
      <c r="BN5367" s="319"/>
      <c r="BO5367" s="319"/>
      <c r="BP5367" s="953"/>
      <c r="BQ5367" s="319"/>
      <c r="BR5367" s="319"/>
      <c r="BS5367" s="330"/>
      <c r="BT5367" s="331"/>
      <c r="BU5367" s="920"/>
      <c r="BV5367" s="903"/>
      <c r="BW5367" s="908"/>
      <c r="BX5367" s="908"/>
      <c r="BY5367" s="331"/>
      <c r="BZ5367" s="331"/>
      <c r="CA5367" s="462"/>
      <c r="CB5367" s="319"/>
      <c r="CC5367" s="319"/>
      <c r="CD5367" s="319"/>
      <c r="CE5367" s="319"/>
      <c r="CF5367" s="319"/>
      <c r="CG5367" s="319"/>
      <c r="CH5367" s="318"/>
      <c r="CI5367" s="319"/>
      <c r="CJ5367" s="319"/>
      <c r="CK5367" s="342"/>
      <c r="CL5367" s="333"/>
      <c r="CM5367" s="1079"/>
      <c r="CN5367" s="1005"/>
      <c r="CO5367" s="1005"/>
      <c r="CP5367" s="1005"/>
    </row>
    <row r="5368">
      <c r="A5368" s="1257"/>
      <c r="B5368" s="1113"/>
      <c r="C5368" s="1107"/>
      <c r="D5368" s="103"/>
      <c r="E5368" s="1137"/>
      <c r="F5368" s="112"/>
      <c r="G5368" s="1110"/>
      <c r="H5368" s="1138"/>
      <c r="I5368" s="1138"/>
      <c r="J5368" s="1139"/>
      <c r="K5368" s="1111"/>
      <c r="L5368" s="1112"/>
      <c r="M5368" s="1113"/>
      <c r="N5368" s="110"/>
      <c r="O5368" s="1140"/>
      <c r="P5368" s="1115"/>
      <c r="Q5368" s="1116"/>
      <c r="R5368" s="1141"/>
      <c r="S5368" s="1113"/>
      <c r="T5368" s="1143"/>
      <c r="U5368" s="1108"/>
      <c r="V5368" s="1108"/>
      <c r="W5368" s="1108"/>
      <c r="X5368" s="1108"/>
      <c r="Y5368" s="1108"/>
      <c r="Z5368" s="1114"/>
      <c r="AA5368" s="1114"/>
      <c r="AB5368" s="1114"/>
      <c r="AC5368" s="1117"/>
      <c r="AD5368" s="1115"/>
      <c r="AE5368" s="1115"/>
      <c r="AF5368" s="1115"/>
      <c r="AG5368" s="1115"/>
      <c r="AH5368" s="1115"/>
      <c r="AI5368" s="1115"/>
      <c r="AJ5368" s="1117"/>
      <c r="AK5368" s="1118"/>
      <c r="AL5368" s="1115"/>
      <c r="AM5368" s="1115"/>
      <c r="AN5368" s="1115"/>
      <c r="AO5368" s="1115"/>
      <c r="AP5368" s="1115"/>
      <c r="AQ5368" s="1115"/>
      <c r="AR5368" s="1115"/>
      <c r="AS5368" s="1117"/>
      <c r="AT5368" s="1075"/>
      <c r="AU5368" s="1193"/>
      <c r="AV5368" s="330"/>
      <c r="AW5368" s="331"/>
      <c r="AX5368" s="331"/>
      <c r="AY5368" s="331"/>
      <c r="AZ5368" s="331"/>
      <c r="BA5368" s="331"/>
      <c r="BB5368" s="331"/>
      <c r="BC5368" s="331"/>
      <c r="BD5368" s="331"/>
      <c r="BE5368" s="333"/>
      <c r="BF5368" s="330"/>
      <c r="BG5368" s="333"/>
      <c r="BH5368" s="1119"/>
      <c r="BI5368" s="319"/>
      <c r="BJ5368" s="319"/>
      <c r="BK5368" s="319"/>
      <c r="BL5368" s="319"/>
      <c r="BM5368" s="319"/>
      <c r="BN5368" s="319"/>
      <c r="BO5368" s="319"/>
      <c r="BP5368" s="953"/>
      <c r="BQ5368" s="319"/>
      <c r="BR5368" s="319"/>
      <c r="BS5368" s="330"/>
      <c r="BT5368" s="331"/>
      <c r="BU5368" s="920"/>
      <c r="BV5368" s="903"/>
      <c r="BW5368" s="908"/>
      <c r="BX5368" s="908"/>
      <c r="BY5368" s="331"/>
      <c r="BZ5368" s="331"/>
      <c r="CA5368" s="462"/>
      <c r="CB5368" s="319"/>
      <c r="CC5368" s="319"/>
      <c r="CD5368" s="319"/>
      <c r="CE5368" s="319"/>
      <c r="CF5368" s="319"/>
      <c r="CG5368" s="319"/>
      <c r="CH5368" s="318"/>
      <c r="CI5368" s="319"/>
      <c r="CJ5368" s="319"/>
      <c r="CK5368" s="342"/>
      <c r="CL5368" s="333"/>
      <c r="CM5368" s="1079"/>
      <c r="CN5368" s="1005"/>
      <c r="CO5368" s="1005"/>
      <c r="CP5368" s="1005"/>
    </row>
    <row r="5369">
      <c r="A5369" s="1257"/>
      <c r="B5369" s="1113"/>
      <c r="C5369" s="1107"/>
      <c r="D5369" s="103"/>
      <c r="E5369" s="1137"/>
      <c r="F5369" s="112"/>
      <c r="G5369" s="1110"/>
      <c r="H5369" s="1138"/>
      <c r="I5369" s="1138"/>
      <c r="J5369" s="1139"/>
      <c r="K5369" s="1111"/>
      <c r="L5369" s="1112"/>
      <c r="M5369" s="1113"/>
      <c r="N5369" s="110"/>
      <c r="O5369" s="1140"/>
      <c r="P5369" s="1115"/>
      <c r="Q5369" s="1116"/>
      <c r="R5369" s="1141"/>
      <c r="S5369" s="1113"/>
      <c r="T5369" s="1143"/>
      <c r="U5369" s="1108"/>
      <c r="V5369" s="1108"/>
      <c r="W5369" s="1108"/>
      <c r="X5369" s="1108"/>
      <c r="Y5369" s="1108"/>
      <c r="Z5369" s="1114"/>
      <c r="AA5369" s="1114"/>
      <c r="AB5369" s="1114"/>
      <c r="AC5369" s="1117"/>
      <c r="AD5369" s="1115"/>
      <c r="AE5369" s="1115"/>
      <c r="AF5369" s="1115"/>
      <c r="AG5369" s="1115"/>
      <c r="AH5369" s="1115"/>
      <c r="AI5369" s="1115"/>
      <c r="AJ5369" s="1117"/>
      <c r="AK5369" s="1118"/>
      <c r="AL5369" s="1115"/>
      <c r="AM5369" s="1115"/>
      <c r="AN5369" s="1115"/>
      <c r="AO5369" s="1115"/>
      <c r="AP5369" s="1115"/>
      <c r="AQ5369" s="1115"/>
      <c r="AR5369" s="1115"/>
      <c r="AS5369" s="1117"/>
      <c r="AT5369" s="1075"/>
      <c r="AU5369" s="1193"/>
      <c r="AV5369" s="330"/>
      <c r="AW5369" s="331"/>
      <c r="AX5369" s="331"/>
      <c r="AY5369" s="331"/>
      <c r="AZ5369" s="331"/>
      <c r="BA5369" s="331"/>
      <c r="BB5369" s="331"/>
      <c r="BC5369" s="331"/>
      <c r="BD5369" s="331"/>
      <c r="BE5369" s="333"/>
      <c r="BF5369" s="330"/>
      <c r="BG5369" s="333"/>
      <c r="BH5369" s="1119"/>
      <c r="BI5369" s="319"/>
      <c r="BJ5369" s="319"/>
      <c r="BK5369" s="319"/>
      <c r="BL5369" s="319"/>
      <c r="BM5369" s="319"/>
      <c r="BN5369" s="319"/>
      <c r="BO5369" s="319"/>
      <c r="BP5369" s="953"/>
      <c r="BQ5369" s="319"/>
      <c r="BR5369" s="319"/>
      <c r="BS5369" s="330"/>
      <c r="BT5369" s="331"/>
      <c r="BU5369" s="920"/>
      <c r="BV5369" s="903"/>
      <c r="BW5369" s="908"/>
      <c r="BX5369" s="908"/>
      <c r="BY5369" s="331"/>
      <c r="BZ5369" s="331"/>
      <c r="CA5369" s="462"/>
      <c r="CB5369" s="319"/>
      <c r="CC5369" s="319"/>
      <c r="CD5369" s="319"/>
      <c r="CE5369" s="319"/>
      <c r="CF5369" s="319"/>
      <c r="CG5369" s="319"/>
      <c r="CH5369" s="318"/>
      <c r="CI5369" s="319"/>
      <c r="CJ5369" s="319"/>
      <c r="CK5369" s="342"/>
      <c r="CL5369" s="333"/>
      <c r="CM5369" s="1079"/>
      <c r="CN5369" s="1005"/>
      <c r="CO5369" s="1005"/>
      <c r="CP5369" s="1005"/>
    </row>
    <row r="5370">
      <c r="A5370" s="1257"/>
      <c r="B5370" s="1113"/>
      <c r="C5370" s="1107"/>
      <c r="D5370" s="103"/>
      <c r="E5370" s="1137"/>
      <c r="F5370" s="112"/>
      <c r="G5370" s="1110"/>
      <c r="H5370" s="1138"/>
      <c r="I5370" s="1138"/>
      <c r="J5370" s="1139"/>
      <c r="K5370" s="1111"/>
      <c r="L5370" s="1112"/>
      <c r="M5370" s="1113"/>
      <c r="N5370" s="110"/>
      <c r="O5370" s="1140"/>
      <c r="P5370" s="1115"/>
      <c r="Q5370" s="1116"/>
      <c r="R5370" s="1141"/>
      <c r="S5370" s="1113"/>
      <c r="T5370" s="1143"/>
      <c r="U5370" s="1108"/>
      <c r="V5370" s="1108"/>
      <c r="W5370" s="1108"/>
      <c r="X5370" s="1108"/>
      <c r="Y5370" s="1108"/>
      <c r="Z5370" s="1114"/>
      <c r="AA5370" s="1114"/>
      <c r="AB5370" s="1114"/>
      <c r="AC5370" s="1117"/>
      <c r="AD5370" s="1115"/>
      <c r="AE5370" s="1115"/>
      <c r="AF5370" s="1115"/>
      <c r="AG5370" s="1115"/>
      <c r="AH5370" s="1115"/>
      <c r="AI5370" s="1115"/>
      <c r="AJ5370" s="1117"/>
      <c r="AK5370" s="1118"/>
      <c r="AL5370" s="1115"/>
      <c r="AM5370" s="1115"/>
      <c r="AN5370" s="1115"/>
      <c r="AO5370" s="1115"/>
      <c r="AP5370" s="1115"/>
      <c r="AQ5370" s="1115"/>
      <c r="AR5370" s="1115"/>
      <c r="AS5370" s="1117"/>
      <c r="AT5370" s="1075"/>
      <c r="AU5370" s="1193"/>
      <c r="AV5370" s="330"/>
      <c r="AW5370" s="331"/>
      <c r="AX5370" s="331"/>
      <c r="AY5370" s="331"/>
      <c r="AZ5370" s="331"/>
      <c r="BA5370" s="331"/>
      <c r="BB5370" s="331"/>
      <c r="BC5370" s="331"/>
      <c r="BD5370" s="331"/>
      <c r="BE5370" s="333"/>
      <c r="BF5370" s="330"/>
      <c r="BG5370" s="333"/>
      <c r="BH5370" s="1119"/>
      <c r="BI5370" s="319"/>
      <c r="BJ5370" s="319"/>
      <c r="BK5370" s="319"/>
      <c r="BL5370" s="319"/>
      <c r="BM5370" s="319"/>
      <c r="BN5370" s="319"/>
      <c r="BO5370" s="319"/>
      <c r="BP5370" s="953"/>
      <c r="BQ5370" s="319"/>
      <c r="BR5370" s="319"/>
      <c r="BS5370" s="330"/>
      <c r="BT5370" s="331"/>
      <c r="BU5370" s="920"/>
      <c r="BV5370" s="903"/>
      <c r="BW5370" s="908"/>
      <c r="BX5370" s="908"/>
      <c r="BY5370" s="331"/>
      <c r="BZ5370" s="331"/>
      <c r="CA5370" s="462"/>
      <c r="CB5370" s="319"/>
      <c r="CC5370" s="319"/>
      <c r="CD5370" s="319"/>
      <c r="CE5370" s="319"/>
      <c r="CF5370" s="319"/>
      <c r="CG5370" s="319"/>
      <c r="CH5370" s="318"/>
      <c r="CI5370" s="319"/>
      <c r="CJ5370" s="319"/>
      <c r="CK5370" s="342"/>
      <c r="CL5370" s="333"/>
      <c r="CM5370" s="1079"/>
      <c r="CN5370" s="1005"/>
      <c r="CO5370" s="1005"/>
      <c r="CP5370" s="1005"/>
    </row>
    <row r="5371">
      <c r="A5371" s="1257"/>
      <c r="B5371" s="1113"/>
      <c r="C5371" s="1107"/>
      <c r="D5371" s="103"/>
      <c r="E5371" s="1137"/>
      <c r="F5371" s="112"/>
      <c r="G5371" s="1110"/>
      <c r="H5371" s="1138"/>
      <c r="I5371" s="1138"/>
      <c r="J5371" s="1139"/>
      <c r="K5371" s="1111"/>
      <c r="L5371" s="1112"/>
      <c r="M5371" s="1113"/>
      <c r="N5371" s="110"/>
      <c r="O5371" s="1140"/>
      <c r="P5371" s="1115"/>
      <c r="Q5371" s="1116"/>
      <c r="R5371" s="1141"/>
      <c r="S5371" s="1113"/>
      <c r="T5371" s="1143"/>
      <c r="U5371" s="1108"/>
      <c r="V5371" s="1108"/>
      <c r="W5371" s="1108"/>
      <c r="X5371" s="1108"/>
      <c r="Y5371" s="1108"/>
      <c r="Z5371" s="1114"/>
      <c r="AA5371" s="1114"/>
      <c r="AB5371" s="1114"/>
      <c r="AC5371" s="1117"/>
      <c r="AD5371" s="1115"/>
      <c r="AE5371" s="1115"/>
      <c r="AF5371" s="1115"/>
      <c r="AG5371" s="1115"/>
      <c r="AH5371" s="1115"/>
      <c r="AI5371" s="1115"/>
      <c r="AJ5371" s="1117"/>
      <c r="AK5371" s="1118"/>
      <c r="AL5371" s="1115"/>
      <c r="AM5371" s="1115"/>
      <c r="AN5371" s="1115"/>
      <c r="AO5371" s="1115"/>
      <c r="AP5371" s="1115"/>
      <c r="AQ5371" s="1115"/>
      <c r="AR5371" s="1115"/>
      <c r="AS5371" s="1117"/>
      <c r="AT5371" s="1075"/>
      <c r="AU5371" s="1193"/>
      <c r="AV5371" s="330"/>
      <c r="AW5371" s="331"/>
      <c r="AX5371" s="331"/>
      <c r="AY5371" s="331"/>
      <c r="AZ5371" s="331"/>
      <c r="BA5371" s="331"/>
      <c r="BB5371" s="331"/>
      <c r="BC5371" s="331"/>
      <c r="BD5371" s="331"/>
      <c r="BE5371" s="333"/>
      <c r="BF5371" s="330"/>
      <c r="BG5371" s="333"/>
      <c r="BH5371" s="1119"/>
      <c r="BI5371" s="319"/>
      <c r="BJ5371" s="319"/>
      <c r="BK5371" s="319"/>
      <c r="BL5371" s="319"/>
      <c r="BM5371" s="319"/>
      <c r="BN5371" s="319"/>
      <c r="BO5371" s="319"/>
      <c r="BP5371" s="953"/>
      <c r="BQ5371" s="319"/>
      <c r="BR5371" s="319"/>
      <c r="BS5371" s="330"/>
      <c r="BT5371" s="331"/>
      <c r="BU5371" s="920"/>
      <c r="BV5371" s="903"/>
      <c r="BW5371" s="908"/>
      <c r="BX5371" s="908"/>
      <c r="BY5371" s="331"/>
      <c r="BZ5371" s="331"/>
      <c r="CA5371" s="462"/>
      <c r="CB5371" s="319"/>
      <c r="CC5371" s="319"/>
      <c r="CD5371" s="319"/>
      <c r="CE5371" s="319"/>
      <c r="CF5371" s="319"/>
      <c r="CG5371" s="319"/>
      <c r="CH5371" s="318"/>
      <c r="CI5371" s="319"/>
      <c r="CJ5371" s="319"/>
      <c r="CK5371" s="342"/>
      <c r="CL5371" s="333"/>
      <c r="CM5371" s="1079"/>
      <c r="CN5371" s="1005"/>
      <c r="CO5371" s="1005"/>
      <c r="CP5371" s="1005"/>
    </row>
    <row r="5372">
      <c r="A5372" s="1257"/>
      <c r="B5372" s="1113"/>
      <c r="C5372" s="1107"/>
      <c r="D5372" s="103"/>
      <c r="E5372" s="1137"/>
      <c r="F5372" s="112"/>
      <c r="G5372" s="1110"/>
      <c r="H5372" s="1138"/>
      <c r="I5372" s="1138"/>
      <c r="J5372" s="1139"/>
      <c r="K5372" s="1111"/>
      <c r="L5372" s="1112"/>
      <c r="M5372" s="1113"/>
      <c r="N5372" s="110"/>
      <c r="O5372" s="1140"/>
      <c r="P5372" s="1115"/>
      <c r="Q5372" s="1116"/>
      <c r="R5372" s="1141"/>
      <c r="S5372" s="1113"/>
      <c r="T5372" s="1143"/>
      <c r="U5372" s="1108"/>
      <c r="V5372" s="1108"/>
      <c r="W5372" s="1108"/>
      <c r="X5372" s="1108"/>
      <c r="Y5372" s="1108"/>
      <c r="Z5372" s="1114"/>
      <c r="AA5372" s="1114"/>
      <c r="AB5372" s="1114"/>
      <c r="AC5372" s="1117"/>
      <c r="AD5372" s="1115"/>
      <c r="AE5372" s="1115"/>
      <c r="AF5372" s="1115"/>
      <c r="AG5372" s="1115"/>
      <c r="AH5372" s="1115"/>
      <c r="AI5372" s="1115"/>
      <c r="AJ5372" s="1117"/>
      <c r="AK5372" s="1118"/>
      <c r="AL5372" s="1115"/>
      <c r="AM5372" s="1115"/>
      <c r="AN5372" s="1115"/>
      <c r="AO5372" s="1115"/>
      <c r="AP5372" s="1115"/>
      <c r="AQ5372" s="1115"/>
      <c r="AR5372" s="1115"/>
      <c r="AS5372" s="1117"/>
      <c r="AT5372" s="1075"/>
      <c r="AU5372" s="1193"/>
      <c r="AV5372" s="330"/>
      <c r="AW5372" s="331"/>
      <c r="AX5372" s="331"/>
      <c r="AY5372" s="331"/>
      <c r="AZ5372" s="331"/>
      <c r="BA5372" s="331"/>
      <c r="BB5372" s="331"/>
      <c r="BC5372" s="331"/>
      <c r="BD5372" s="331"/>
      <c r="BE5372" s="333"/>
      <c r="BF5372" s="330"/>
      <c r="BG5372" s="333"/>
      <c r="BH5372" s="1119"/>
      <c r="BI5372" s="319"/>
      <c r="BJ5372" s="319"/>
      <c r="BK5372" s="319"/>
      <c r="BL5372" s="319"/>
      <c r="BM5372" s="319"/>
      <c r="BN5372" s="319"/>
      <c r="BO5372" s="319"/>
      <c r="BP5372" s="953"/>
      <c r="BQ5372" s="319"/>
      <c r="BR5372" s="319"/>
      <c r="BS5372" s="330"/>
      <c r="BT5372" s="331"/>
      <c r="BU5372" s="920"/>
      <c r="BV5372" s="903"/>
      <c r="BW5372" s="908"/>
      <c r="BX5372" s="908"/>
      <c r="BY5372" s="331"/>
      <c r="BZ5372" s="331"/>
      <c r="CA5372" s="462"/>
      <c r="CB5372" s="319"/>
      <c r="CC5372" s="319"/>
      <c r="CD5372" s="319"/>
      <c r="CE5372" s="319"/>
      <c r="CF5372" s="319"/>
      <c r="CG5372" s="319"/>
      <c r="CH5372" s="318"/>
      <c r="CI5372" s="319"/>
      <c r="CJ5372" s="319"/>
      <c r="CK5372" s="342"/>
      <c r="CL5372" s="333"/>
      <c r="CM5372" s="1079"/>
      <c r="CN5372" s="1005"/>
      <c r="CO5372" s="1005"/>
      <c r="CP5372" s="1005"/>
    </row>
    <row r="5373">
      <c r="A5373" s="1257"/>
      <c r="B5373" s="1113"/>
      <c r="C5373" s="1107"/>
      <c r="D5373" s="103"/>
      <c r="E5373" s="1137"/>
      <c r="F5373" s="112"/>
      <c r="G5373" s="1110"/>
      <c r="H5373" s="1138"/>
      <c r="I5373" s="1138"/>
      <c r="J5373" s="1139"/>
      <c r="K5373" s="1111"/>
      <c r="L5373" s="1112"/>
      <c r="M5373" s="1113"/>
      <c r="N5373" s="110"/>
      <c r="O5373" s="1140"/>
      <c r="P5373" s="1115"/>
      <c r="Q5373" s="1116"/>
      <c r="R5373" s="1141"/>
      <c r="S5373" s="1113"/>
      <c r="T5373" s="1143"/>
      <c r="U5373" s="1108"/>
      <c r="V5373" s="1108"/>
      <c r="W5373" s="1108"/>
      <c r="X5373" s="1108"/>
      <c r="Y5373" s="1108"/>
      <c r="Z5373" s="1114"/>
      <c r="AA5373" s="1114"/>
      <c r="AB5373" s="1114"/>
      <c r="AC5373" s="1117"/>
      <c r="AD5373" s="1115"/>
      <c r="AE5373" s="1115"/>
      <c r="AF5373" s="1115"/>
      <c r="AG5373" s="1115"/>
      <c r="AH5373" s="1115"/>
      <c r="AI5373" s="1115"/>
      <c r="AJ5373" s="1117"/>
      <c r="AK5373" s="1118"/>
      <c r="AL5373" s="1115"/>
      <c r="AM5373" s="1115"/>
      <c r="AN5373" s="1115"/>
      <c r="AO5373" s="1115"/>
      <c r="AP5373" s="1115"/>
      <c r="AQ5373" s="1115"/>
      <c r="AR5373" s="1115"/>
      <c r="AS5373" s="1117"/>
      <c r="AT5373" s="1075"/>
      <c r="AU5373" s="1193"/>
      <c r="AV5373" s="330"/>
      <c r="AW5373" s="331"/>
      <c r="AX5373" s="331"/>
      <c r="AY5373" s="331"/>
      <c r="AZ5373" s="331"/>
      <c r="BA5373" s="331"/>
      <c r="BB5373" s="331"/>
      <c r="BC5373" s="331"/>
      <c r="BD5373" s="331"/>
      <c r="BE5373" s="333"/>
      <c r="BF5373" s="330"/>
      <c r="BG5373" s="333"/>
      <c r="BH5373" s="1119"/>
      <c r="BI5373" s="319"/>
      <c r="BJ5373" s="319"/>
      <c r="BK5373" s="319"/>
      <c r="BL5373" s="319"/>
      <c r="BM5373" s="319"/>
      <c r="BN5373" s="319"/>
      <c r="BO5373" s="319"/>
      <c r="BP5373" s="953"/>
      <c r="BQ5373" s="319"/>
      <c r="BR5373" s="319"/>
      <c r="BS5373" s="330"/>
      <c r="BT5373" s="331"/>
      <c r="BU5373" s="920"/>
      <c r="BV5373" s="903"/>
      <c r="BW5373" s="908"/>
      <c r="BX5373" s="908"/>
      <c r="BY5373" s="331"/>
      <c r="BZ5373" s="331"/>
      <c r="CA5373" s="462"/>
      <c r="CB5373" s="319"/>
      <c r="CC5373" s="319"/>
      <c r="CD5373" s="319"/>
      <c r="CE5373" s="319"/>
      <c r="CF5373" s="319"/>
      <c r="CG5373" s="319"/>
      <c r="CH5373" s="318"/>
      <c r="CI5373" s="319"/>
      <c r="CJ5373" s="319"/>
      <c r="CK5373" s="342"/>
      <c r="CL5373" s="333"/>
      <c r="CM5373" s="1079"/>
      <c r="CN5373" s="1005"/>
      <c r="CO5373" s="1005"/>
      <c r="CP5373" s="1005"/>
    </row>
    <row r="5374">
      <c r="A5374" s="1257"/>
      <c r="B5374" s="1113"/>
      <c r="C5374" s="1107"/>
      <c r="D5374" s="103"/>
      <c r="E5374" s="1137"/>
      <c r="F5374" s="112"/>
      <c r="G5374" s="1110"/>
      <c r="H5374" s="1138"/>
      <c r="I5374" s="1138"/>
      <c r="J5374" s="1139"/>
      <c r="K5374" s="1111"/>
      <c r="L5374" s="1112"/>
      <c r="M5374" s="1113"/>
      <c r="N5374" s="110"/>
      <c r="O5374" s="1140"/>
      <c r="P5374" s="1115"/>
      <c r="Q5374" s="1116"/>
      <c r="R5374" s="1141"/>
      <c r="S5374" s="1113"/>
      <c r="T5374" s="1143"/>
      <c r="U5374" s="1108"/>
      <c r="V5374" s="1108"/>
      <c r="W5374" s="1108"/>
      <c r="X5374" s="1108"/>
      <c r="Y5374" s="1108"/>
      <c r="Z5374" s="1114"/>
      <c r="AA5374" s="1114"/>
      <c r="AB5374" s="1114"/>
      <c r="AC5374" s="1117"/>
      <c r="AD5374" s="1115"/>
      <c r="AE5374" s="1115"/>
      <c r="AF5374" s="1115"/>
      <c r="AG5374" s="1115"/>
      <c r="AH5374" s="1115"/>
      <c r="AI5374" s="1115"/>
      <c r="AJ5374" s="1117"/>
      <c r="AK5374" s="1118"/>
      <c r="AL5374" s="1115"/>
      <c r="AM5374" s="1115"/>
      <c r="AN5374" s="1115"/>
      <c r="AO5374" s="1115"/>
      <c r="AP5374" s="1115"/>
      <c r="AQ5374" s="1115"/>
      <c r="AR5374" s="1115"/>
      <c r="AS5374" s="1117"/>
      <c r="AT5374" s="1075"/>
      <c r="AU5374" s="1193"/>
      <c r="AV5374" s="330"/>
      <c r="AW5374" s="331"/>
      <c r="AX5374" s="331"/>
      <c r="AY5374" s="331"/>
      <c r="AZ5374" s="331"/>
      <c r="BA5374" s="331"/>
      <c r="BB5374" s="331"/>
      <c r="BC5374" s="331"/>
      <c r="BD5374" s="331"/>
      <c r="BE5374" s="333"/>
      <c r="BF5374" s="330"/>
      <c r="BG5374" s="333"/>
      <c r="BH5374" s="1119"/>
      <c r="BI5374" s="319"/>
      <c r="BJ5374" s="319"/>
      <c r="BK5374" s="319"/>
      <c r="BL5374" s="319"/>
      <c r="BM5374" s="319"/>
      <c r="BN5374" s="319"/>
      <c r="BO5374" s="319"/>
      <c r="BP5374" s="953"/>
      <c r="BQ5374" s="319"/>
      <c r="BR5374" s="319"/>
      <c r="BS5374" s="330"/>
      <c r="BT5374" s="331"/>
      <c r="BU5374" s="920"/>
      <c r="BV5374" s="903"/>
      <c r="BW5374" s="908"/>
      <c r="BX5374" s="908"/>
      <c r="BY5374" s="331"/>
      <c r="BZ5374" s="331"/>
      <c r="CA5374" s="462"/>
      <c r="CB5374" s="319"/>
      <c r="CC5374" s="319"/>
      <c r="CD5374" s="319"/>
      <c r="CE5374" s="319"/>
      <c r="CF5374" s="319"/>
      <c r="CG5374" s="319"/>
      <c r="CH5374" s="318"/>
      <c r="CI5374" s="319"/>
      <c r="CJ5374" s="319"/>
      <c r="CK5374" s="342"/>
      <c r="CL5374" s="333"/>
      <c r="CM5374" s="1079"/>
      <c r="CN5374" s="1005"/>
      <c r="CO5374" s="1005"/>
      <c r="CP5374" s="1005"/>
    </row>
    <row r="5375">
      <c r="A5375" s="1257"/>
      <c r="B5375" s="1113"/>
      <c r="C5375" s="1107"/>
      <c r="D5375" s="103"/>
      <c r="E5375" s="1137"/>
      <c r="F5375" s="112"/>
      <c r="G5375" s="1110"/>
      <c r="H5375" s="1138"/>
      <c r="I5375" s="1138"/>
      <c r="J5375" s="1139"/>
      <c r="K5375" s="1111"/>
      <c r="L5375" s="1112"/>
      <c r="M5375" s="1113"/>
      <c r="N5375" s="110"/>
      <c r="O5375" s="1140"/>
      <c r="P5375" s="1115"/>
      <c r="Q5375" s="1116"/>
      <c r="R5375" s="1141"/>
      <c r="S5375" s="1113"/>
      <c r="T5375" s="1143"/>
      <c r="U5375" s="1108"/>
      <c r="V5375" s="1108"/>
      <c r="W5375" s="1108"/>
      <c r="X5375" s="1108"/>
      <c r="Y5375" s="1108"/>
      <c r="Z5375" s="1114"/>
      <c r="AA5375" s="1114"/>
      <c r="AB5375" s="1114"/>
      <c r="AC5375" s="1117"/>
      <c r="AD5375" s="1115"/>
      <c r="AE5375" s="1115"/>
      <c r="AF5375" s="1115"/>
      <c r="AG5375" s="1115"/>
      <c r="AH5375" s="1115"/>
      <c r="AI5375" s="1115"/>
      <c r="AJ5375" s="1117"/>
      <c r="AK5375" s="1118"/>
      <c r="AL5375" s="1115"/>
      <c r="AM5375" s="1115"/>
      <c r="AN5375" s="1115"/>
      <c r="AO5375" s="1115"/>
      <c r="AP5375" s="1115"/>
      <c r="AQ5375" s="1115"/>
      <c r="AR5375" s="1115"/>
      <c r="AS5375" s="1117"/>
      <c r="AT5375" s="1075"/>
      <c r="AU5375" s="1193"/>
      <c r="AV5375" s="330"/>
      <c r="AW5375" s="331"/>
      <c r="AX5375" s="331"/>
      <c r="AY5375" s="331"/>
      <c r="AZ5375" s="331"/>
      <c r="BA5375" s="331"/>
      <c r="BB5375" s="331"/>
      <c r="BC5375" s="331"/>
      <c r="BD5375" s="331"/>
      <c r="BE5375" s="333"/>
      <c r="BF5375" s="330"/>
      <c r="BG5375" s="333"/>
      <c r="BH5375" s="1119"/>
      <c r="BI5375" s="319"/>
      <c r="BJ5375" s="319"/>
      <c r="BK5375" s="319"/>
      <c r="BL5375" s="319"/>
      <c r="BM5375" s="319"/>
      <c r="BN5375" s="319"/>
      <c r="BO5375" s="319"/>
      <c r="BP5375" s="953"/>
      <c r="BQ5375" s="319"/>
      <c r="BR5375" s="319"/>
      <c r="BS5375" s="330"/>
      <c r="BT5375" s="331"/>
      <c r="BU5375" s="920"/>
      <c r="BV5375" s="903"/>
      <c r="BW5375" s="908"/>
      <c r="BX5375" s="908"/>
      <c r="BY5375" s="331"/>
      <c r="BZ5375" s="331"/>
      <c r="CA5375" s="462"/>
      <c r="CB5375" s="319"/>
      <c r="CC5375" s="319"/>
      <c r="CD5375" s="319"/>
      <c r="CE5375" s="319"/>
      <c r="CF5375" s="319"/>
      <c r="CG5375" s="319"/>
      <c r="CH5375" s="318"/>
      <c r="CI5375" s="319"/>
      <c r="CJ5375" s="319"/>
      <c r="CK5375" s="342"/>
      <c r="CL5375" s="333"/>
      <c r="CM5375" s="1079"/>
      <c r="CN5375" s="1005"/>
      <c r="CO5375" s="1005"/>
      <c r="CP5375" s="1005"/>
    </row>
    <row r="5376">
      <c r="A5376" s="1257"/>
      <c r="B5376" s="1113"/>
      <c r="C5376" s="1107"/>
      <c r="D5376" s="103"/>
      <c r="E5376" s="1137"/>
      <c r="F5376" s="112"/>
      <c r="G5376" s="1110"/>
      <c r="H5376" s="1138"/>
      <c r="I5376" s="1138"/>
      <c r="J5376" s="1139"/>
      <c r="K5376" s="1111"/>
      <c r="L5376" s="1112"/>
      <c r="M5376" s="1113"/>
      <c r="N5376" s="110"/>
      <c r="O5376" s="1140"/>
      <c r="P5376" s="1115"/>
      <c r="Q5376" s="1116"/>
      <c r="R5376" s="1141"/>
      <c r="S5376" s="1113"/>
      <c r="T5376" s="1143"/>
      <c r="U5376" s="1108"/>
      <c r="V5376" s="1108"/>
      <c r="W5376" s="1108"/>
      <c r="X5376" s="1108"/>
      <c r="Y5376" s="1108"/>
      <c r="Z5376" s="1114"/>
      <c r="AA5376" s="1114"/>
      <c r="AB5376" s="1114"/>
      <c r="AC5376" s="1117"/>
      <c r="AD5376" s="1115"/>
      <c r="AE5376" s="1115"/>
      <c r="AF5376" s="1115"/>
      <c r="AG5376" s="1115"/>
      <c r="AH5376" s="1115"/>
      <c r="AI5376" s="1115"/>
      <c r="AJ5376" s="1117"/>
      <c r="AK5376" s="1118"/>
      <c r="AL5376" s="1115"/>
      <c r="AM5376" s="1115"/>
      <c r="AN5376" s="1115"/>
      <c r="AO5376" s="1115"/>
      <c r="AP5376" s="1115"/>
      <c r="AQ5376" s="1115"/>
      <c r="AR5376" s="1115"/>
      <c r="AS5376" s="1117"/>
      <c r="AT5376" s="1075"/>
      <c r="AU5376" s="1193"/>
      <c r="AV5376" s="330"/>
      <c r="AW5376" s="331"/>
      <c r="AX5376" s="331"/>
      <c r="AY5376" s="331"/>
      <c r="AZ5376" s="331"/>
      <c r="BA5376" s="331"/>
      <c r="BB5376" s="331"/>
      <c r="BC5376" s="331"/>
      <c r="BD5376" s="331"/>
      <c r="BE5376" s="333"/>
      <c r="BF5376" s="330"/>
      <c r="BG5376" s="333"/>
      <c r="BH5376" s="1119"/>
      <c r="BI5376" s="319"/>
      <c r="BJ5376" s="319"/>
      <c r="BK5376" s="319"/>
      <c r="BL5376" s="319"/>
      <c r="BM5376" s="319"/>
      <c r="BN5376" s="319"/>
      <c r="BO5376" s="319"/>
      <c r="BP5376" s="953"/>
      <c r="BQ5376" s="319"/>
      <c r="BR5376" s="319"/>
      <c r="BS5376" s="330"/>
      <c r="BT5376" s="331"/>
      <c r="BU5376" s="920"/>
      <c r="BV5376" s="903"/>
      <c r="BW5376" s="908"/>
      <c r="BX5376" s="908"/>
      <c r="BY5376" s="331"/>
      <c r="BZ5376" s="331"/>
      <c r="CA5376" s="462"/>
      <c r="CB5376" s="319"/>
      <c r="CC5376" s="319"/>
      <c r="CD5376" s="319"/>
      <c r="CE5376" s="319"/>
      <c r="CF5376" s="319"/>
      <c r="CG5376" s="319"/>
      <c r="CH5376" s="318"/>
      <c r="CI5376" s="319"/>
      <c r="CJ5376" s="319"/>
      <c r="CK5376" s="342"/>
      <c r="CL5376" s="333"/>
      <c r="CM5376" s="1079"/>
      <c r="CN5376" s="1005"/>
      <c r="CO5376" s="1005"/>
      <c r="CP5376" s="1005"/>
    </row>
    <row r="5377">
      <c r="A5377" s="1257"/>
      <c r="B5377" s="1113"/>
      <c r="C5377" s="1107"/>
      <c r="D5377" s="103"/>
      <c r="E5377" s="1137"/>
      <c r="F5377" s="112"/>
      <c r="G5377" s="1110"/>
      <c r="H5377" s="1138"/>
      <c r="I5377" s="1138"/>
      <c r="J5377" s="1139"/>
      <c r="K5377" s="1111"/>
      <c r="L5377" s="1112"/>
      <c r="M5377" s="1113"/>
      <c r="N5377" s="110"/>
      <c r="O5377" s="1140"/>
      <c r="P5377" s="1115"/>
      <c r="Q5377" s="1116"/>
      <c r="R5377" s="1141"/>
      <c r="S5377" s="1113"/>
      <c r="T5377" s="1143"/>
      <c r="U5377" s="1108"/>
      <c r="V5377" s="1108"/>
      <c r="W5377" s="1108"/>
      <c r="X5377" s="1108"/>
      <c r="Y5377" s="1108"/>
      <c r="Z5377" s="1114"/>
      <c r="AA5377" s="1114"/>
      <c r="AB5377" s="1114"/>
      <c r="AC5377" s="1117"/>
      <c r="AD5377" s="1115"/>
      <c r="AE5377" s="1115"/>
      <c r="AF5377" s="1115"/>
      <c r="AG5377" s="1115"/>
      <c r="AH5377" s="1115"/>
      <c r="AI5377" s="1115"/>
      <c r="AJ5377" s="1117"/>
      <c r="AK5377" s="1118"/>
      <c r="AL5377" s="1115"/>
      <c r="AM5377" s="1115"/>
      <c r="AN5377" s="1115"/>
      <c r="AO5377" s="1115"/>
      <c r="AP5377" s="1115"/>
      <c r="AQ5377" s="1115"/>
      <c r="AR5377" s="1115"/>
      <c r="AS5377" s="1117"/>
      <c r="AT5377" s="1075"/>
      <c r="AU5377" s="1193"/>
      <c r="AV5377" s="330"/>
      <c r="AW5377" s="331"/>
      <c r="AX5377" s="331"/>
      <c r="AY5377" s="331"/>
      <c r="AZ5377" s="331"/>
      <c r="BA5377" s="331"/>
      <c r="BB5377" s="331"/>
      <c r="BC5377" s="331"/>
      <c r="BD5377" s="331"/>
      <c r="BE5377" s="333"/>
      <c r="BF5377" s="330"/>
      <c r="BG5377" s="333"/>
      <c r="BH5377" s="1119"/>
      <c r="BI5377" s="319"/>
      <c r="BJ5377" s="319"/>
      <c r="BK5377" s="319"/>
      <c r="BL5377" s="319"/>
      <c r="BM5377" s="319"/>
      <c r="BN5377" s="319"/>
      <c r="BO5377" s="319"/>
      <c r="BP5377" s="953"/>
      <c r="BQ5377" s="319"/>
      <c r="BR5377" s="319"/>
      <c r="BS5377" s="330"/>
      <c r="BT5377" s="331"/>
      <c r="BU5377" s="920"/>
      <c r="BV5377" s="903"/>
      <c r="BW5377" s="908"/>
      <c r="BX5377" s="908"/>
      <c r="BY5377" s="331"/>
      <c r="BZ5377" s="331"/>
      <c r="CA5377" s="462"/>
      <c r="CB5377" s="319"/>
      <c r="CC5377" s="319"/>
      <c r="CD5377" s="319"/>
      <c r="CE5377" s="319"/>
      <c r="CF5377" s="319"/>
      <c r="CG5377" s="319"/>
      <c r="CH5377" s="318"/>
      <c r="CI5377" s="319"/>
      <c r="CJ5377" s="319"/>
      <c r="CK5377" s="342"/>
      <c r="CL5377" s="333"/>
      <c r="CM5377" s="1079"/>
      <c r="CN5377" s="1005"/>
      <c r="CO5377" s="1005"/>
      <c r="CP5377" s="1005"/>
    </row>
    <row r="5378">
      <c r="A5378" s="1257"/>
      <c r="B5378" s="1113"/>
      <c r="C5378" s="1107"/>
      <c r="D5378" s="103"/>
      <c r="E5378" s="1137"/>
      <c r="F5378" s="112"/>
      <c r="G5378" s="1110"/>
      <c r="H5378" s="1138"/>
      <c r="I5378" s="1138"/>
      <c r="J5378" s="1139"/>
      <c r="K5378" s="1111"/>
      <c r="L5378" s="1112"/>
      <c r="M5378" s="1113"/>
      <c r="N5378" s="110"/>
      <c r="O5378" s="1140"/>
      <c r="P5378" s="1115"/>
      <c r="Q5378" s="1116"/>
      <c r="R5378" s="1141"/>
      <c r="S5378" s="1113"/>
      <c r="T5378" s="1143"/>
      <c r="U5378" s="1108"/>
      <c r="V5378" s="1108"/>
      <c r="W5378" s="1108"/>
      <c r="X5378" s="1108"/>
      <c r="Y5378" s="1108"/>
      <c r="Z5378" s="1114"/>
      <c r="AA5378" s="1114"/>
      <c r="AB5378" s="1114"/>
      <c r="AC5378" s="1117"/>
      <c r="AD5378" s="1115"/>
      <c r="AE5378" s="1115"/>
      <c r="AF5378" s="1115"/>
      <c r="AG5378" s="1115"/>
      <c r="AH5378" s="1115"/>
      <c r="AI5378" s="1115"/>
      <c r="AJ5378" s="1117"/>
      <c r="AK5378" s="1118"/>
      <c r="AL5378" s="1115"/>
      <c r="AM5378" s="1115"/>
      <c r="AN5378" s="1115"/>
      <c r="AO5378" s="1115"/>
      <c r="AP5378" s="1115"/>
      <c r="AQ5378" s="1115"/>
      <c r="AR5378" s="1115"/>
      <c r="AS5378" s="1117"/>
      <c r="AT5378" s="1075"/>
      <c r="AU5378" s="1193"/>
      <c r="AV5378" s="330"/>
      <c r="AW5378" s="331"/>
      <c r="AX5378" s="331"/>
      <c r="AY5378" s="331"/>
      <c r="AZ5378" s="331"/>
      <c r="BA5378" s="331"/>
      <c r="BB5378" s="331"/>
      <c r="BC5378" s="331"/>
      <c r="BD5378" s="331"/>
      <c r="BE5378" s="333"/>
      <c r="BF5378" s="330"/>
      <c r="BG5378" s="333"/>
      <c r="BH5378" s="1119"/>
      <c r="BI5378" s="319"/>
      <c r="BJ5378" s="319"/>
      <c r="BK5378" s="319"/>
      <c r="BL5378" s="319"/>
      <c r="BM5378" s="319"/>
      <c r="BN5378" s="319"/>
      <c r="BO5378" s="319"/>
      <c r="BP5378" s="953"/>
      <c r="BQ5378" s="319"/>
      <c r="BR5378" s="319"/>
      <c r="BS5378" s="330"/>
      <c r="BT5378" s="331"/>
      <c r="BU5378" s="920"/>
      <c r="BV5378" s="903"/>
      <c r="BW5378" s="908"/>
      <c r="BX5378" s="908"/>
      <c r="BY5378" s="331"/>
      <c r="BZ5378" s="331"/>
      <c r="CA5378" s="462"/>
      <c r="CB5378" s="319"/>
      <c r="CC5378" s="319"/>
      <c r="CD5378" s="319"/>
      <c r="CE5378" s="319"/>
      <c r="CF5378" s="319"/>
      <c r="CG5378" s="319"/>
      <c r="CH5378" s="318"/>
      <c r="CI5378" s="319"/>
      <c r="CJ5378" s="319"/>
      <c r="CK5378" s="342"/>
      <c r="CL5378" s="333"/>
      <c r="CM5378" s="1079"/>
      <c r="CN5378" s="1005"/>
      <c r="CO5378" s="1005"/>
      <c r="CP5378" s="1005"/>
    </row>
    <row r="5379">
      <c r="A5379" s="1257"/>
      <c r="B5379" s="1113"/>
      <c r="C5379" s="1107"/>
      <c r="D5379" s="103"/>
      <c r="E5379" s="1137"/>
      <c r="F5379" s="112"/>
      <c r="G5379" s="1110"/>
      <c r="H5379" s="1138"/>
      <c r="I5379" s="1138"/>
      <c r="J5379" s="1139"/>
      <c r="K5379" s="1111"/>
      <c r="L5379" s="1112"/>
      <c r="M5379" s="1113"/>
      <c r="N5379" s="110"/>
      <c r="O5379" s="1140"/>
      <c r="P5379" s="1115"/>
      <c r="Q5379" s="1116"/>
      <c r="R5379" s="1141"/>
      <c r="S5379" s="1113"/>
      <c r="T5379" s="1143"/>
      <c r="U5379" s="1108"/>
      <c r="V5379" s="1108"/>
      <c r="W5379" s="1108"/>
      <c r="X5379" s="1108"/>
      <c r="Y5379" s="1108"/>
      <c r="Z5379" s="1114"/>
      <c r="AA5379" s="1114"/>
      <c r="AB5379" s="1114"/>
      <c r="AC5379" s="1117"/>
      <c r="AD5379" s="1115"/>
      <c r="AE5379" s="1115"/>
      <c r="AF5379" s="1115"/>
      <c r="AG5379" s="1115"/>
      <c r="AH5379" s="1115"/>
      <c r="AI5379" s="1115"/>
      <c r="AJ5379" s="1117"/>
      <c r="AK5379" s="1118"/>
      <c r="AL5379" s="1115"/>
      <c r="AM5379" s="1115"/>
      <c r="AN5379" s="1115"/>
      <c r="AO5379" s="1115"/>
      <c r="AP5379" s="1115"/>
      <c r="AQ5379" s="1115"/>
      <c r="AR5379" s="1115"/>
      <c r="AS5379" s="1117"/>
      <c r="AT5379" s="1075"/>
      <c r="AU5379" s="1193"/>
      <c r="AV5379" s="330"/>
      <c r="AW5379" s="331"/>
      <c r="AX5379" s="331"/>
      <c r="AY5379" s="331"/>
      <c r="AZ5379" s="331"/>
      <c r="BA5379" s="331"/>
      <c r="BB5379" s="331"/>
      <c r="BC5379" s="331"/>
      <c r="BD5379" s="331"/>
      <c r="BE5379" s="333"/>
      <c r="BF5379" s="330"/>
      <c r="BG5379" s="333"/>
      <c r="BH5379" s="1119"/>
      <c r="BI5379" s="319"/>
      <c r="BJ5379" s="319"/>
      <c r="BK5379" s="319"/>
      <c r="BL5379" s="319"/>
      <c r="BM5379" s="319"/>
      <c r="BN5379" s="319"/>
      <c r="BO5379" s="319"/>
      <c r="BP5379" s="953"/>
      <c r="BQ5379" s="319"/>
      <c r="BR5379" s="319"/>
      <c r="BS5379" s="330"/>
      <c r="BT5379" s="331"/>
      <c r="BU5379" s="920"/>
      <c r="BV5379" s="903"/>
      <c r="BW5379" s="908"/>
      <c r="BX5379" s="908"/>
      <c r="BY5379" s="331"/>
      <c r="BZ5379" s="331"/>
      <c r="CA5379" s="462"/>
      <c r="CB5379" s="319"/>
      <c r="CC5379" s="319"/>
      <c r="CD5379" s="319"/>
      <c r="CE5379" s="319"/>
      <c r="CF5379" s="319"/>
      <c r="CG5379" s="319"/>
      <c r="CH5379" s="318"/>
      <c r="CI5379" s="319"/>
      <c r="CJ5379" s="319"/>
      <c r="CK5379" s="342"/>
      <c r="CL5379" s="333"/>
      <c r="CM5379" s="1079"/>
      <c r="CN5379" s="1005"/>
      <c r="CO5379" s="1005"/>
      <c r="CP5379" s="1005"/>
    </row>
    <row r="5380">
      <c r="A5380" s="1257"/>
      <c r="B5380" s="1113"/>
      <c r="C5380" s="1107"/>
      <c r="D5380" s="103"/>
      <c r="E5380" s="1137"/>
      <c r="F5380" s="112"/>
      <c r="G5380" s="1110"/>
      <c r="H5380" s="1138"/>
      <c r="I5380" s="1138"/>
      <c r="J5380" s="1139"/>
      <c r="K5380" s="1111"/>
      <c r="L5380" s="1112"/>
      <c r="M5380" s="1113"/>
      <c r="N5380" s="110"/>
      <c r="O5380" s="1140"/>
      <c r="P5380" s="1115"/>
      <c r="Q5380" s="1116"/>
      <c r="R5380" s="1141"/>
      <c r="S5380" s="1113"/>
      <c r="T5380" s="1143"/>
      <c r="U5380" s="1108"/>
      <c r="V5380" s="1108"/>
      <c r="W5380" s="1108"/>
      <c r="X5380" s="1108"/>
      <c r="Y5380" s="1108"/>
      <c r="Z5380" s="1114"/>
      <c r="AA5380" s="1114"/>
      <c r="AB5380" s="1114"/>
      <c r="AC5380" s="1117"/>
      <c r="AD5380" s="1115"/>
      <c r="AE5380" s="1115"/>
      <c r="AF5380" s="1115"/>
      <c r="AG5380" s="1115"/>
      <c r="AH5380" s="1115"/>
      <c r="AI5380" s="1115"/>
      <c r="AJ5380" s="1117"/>
      <c r="AK5380" s="1118"/>
      <c r="AL5380" s="1115"/>
      <c r="AM5380" s="1115"/>
      <c r="AN5380" s="1115"/>
      <c r="AO5380" s="1115"/>
      <c r="AP5380" s="1115"/>
      <c r="AQ5380" s="1115"/>
      <c r="AR5380" s="1115"/>
      <c r="AS5380" s="1117"/>
      <c r="AT5380" s="1075"/>
      <c r="AU5380" s="1193"/>
      <c r="AV5380" s="330"/>
      <c r="AW5380" s="331"/>
      <c r="AX5380" s="331"/>
      <c r="AY5380" s="331"/>
      <c r="AZ5380" s="331"/>
      <c r="BA5380" s="331"/>
      <c r="BB5380" s="331"/>
      <c r="BC5380" s="331"/>
      <c r="BD5380" s="331"/>
      <c r="BE5380" s="333"/>
      <c r="BF5380" s="330"/>
      <c r="BG5380" s="333"/>
      <c r="BH5380" s="1119"/>
      <c r="BI5380" s="319"/>
      <c r="BJ5380" s="319"/>
      <c r="BK5380" s="319"/>
      <c r="BL5380" s="319"/>
      <c r="BM5380" s="319"/>
      <c r="BN5380" s="319"/>
      <c r="BO5380" s="319"/>
      <c r="BP5380" s="953"/>
      <c r="BQ5380" s="319"/>
      <c r="BR5380" s="319"/>
      <c r="BS5380" s="330"/>
      <c r="BT5380" s="331"/>
      <c r="BU5380" s="920"/>
      <c r="BV5380" s="903"/>
      <c r="BW5380" s="908"/>
      <c r="BX5380" s="908"/>
      <c r="BY5380" s="331"/>
      <c r="BZ5380" s="331"/>
      <c r="CA5380" s="462"/>
      <c r="CB5380" s="319"/>
      <c r="CC5380" s="319"/>
      <c r="CD5380" s="319"/>
      <c r="CE5380" s="319"/>
      <c r="CF5380" s="319"/>
      <c r="CG5380" s="319"/>
      <c r="CH5380" s="318"/>
      <c r="CI5380" s="319"/>
      <c r="CJ5380" s="319"/>
      <c r="CK5380" s="342"/>
      <c r="CL5380" s="333"/>
      <c r="CM5380" s="1079"/>
      <c r="CN5380" s="1005"/>
      <c r="CO5380" s="1005"/>
      <c r="CP5380" s="1005"/>
    </row>
    <row r="5381">
      <c r="A5381" s="1257"/>
      <c r="B5381" s="1113"/>
      <c r="C5381" s="1107"/>
      <c r="D5381" s="103"/>
      <c r="E5381" s="1137"/>
      <c r="F5381" s="112"/>
      <c r="G5381" s="1110"/>
      <c r="H5381" s="1138"/>
      <c r="I5381" s="1138"/>
      <c r="J5381" s="1139"/>
      <c r="K5381" s="1111"/>
      <c r="L5381" s="1112"/>
      <c r="M5381" s="1113"/>
      <c r="N5381" s="110"/>
      <c r="O5381" s="1140"/>
      <c r="P5381" s="1115"/>
      <c r="Q5381" s="1116"/>
      <c r="R5381" s="1141"/>
      <c r="S5381" s="1113"/>
      <c r="T5381" s="1143"/>
      <c r="U5381" s="1108"/>
      <c r="V5381" s="1108"/>
      <c r="W5381" s="1108"/>
      <c r="X5381" s="1108"/>
      <c r="Y5381" s="1108"/>
      <c r="Z5381" s="1114"/>
      <c r="AA5381" s="1114"/>
      <c r="AB5381" s="1114"/>
      <c r="AC5381" s="1117"/>
      <c r="AD5381" s="1115"/>
      <c r="AE5381" s="1115"/>
      <c r="AF5381" s="1115"/>
      <c r="AG5381" s="1115"/>
      <c r="AH5381" s="1115"/>
      <c r="AI5381" s="1115"/>
      <c r="AJ5381" s="1117"/>
      <c r="AK5381" s="1118"/>
      <c r="AL5381" s="1115"/>
      <c r="AM5381" s="1115"/>
      <c r="AN5381" s="1115"/>
      <c r="AO5381" s="1115"/>
      <c r="AP5381" s="1115"/>
      <c r="AQ5381" s="1115"/>
      <c r="AR5381" s="1115"/>
      <c r="AS5381" s="1117"/>
      <c r="AT5381" s="1075"/>
      <c r="AU5381" s="1193"/>
      <c r="AV5381" s="330"/>
      <c r="AW5381" s="331"/>
      <c r="AX5381" s="331"/>
      <c r="AY5381" s="331"/>
      <c r="AZ5381" s="331"/>
      <c r="BA5381" s="331"/>
      <c r="BB5381" s="331"/>
      <c r="BC5381" s="331"/>
      <c r="BD5381" s="331"/>
      <c r="BE5381" s="333"/>
      <c r="BF5381" s="330"/>
      <c r="BG5381" s="333"/>
      <c r="BH5381" s="1119"/>
      <c r="BI5381" s="319"/>
      <c r="BJ5381" s="319"/>
      <c r="BK5381" s="319"/>
      <c r="BL5381" s="319"/>
      <c r="BM5381" s="319"/>
      <c r="BN5381" s="319"/>
      <c r="BO5381" s="319"/>
      <c r="BP5381" s="953"/>
      <c r="BQ5381" s="319"/>
      <c r="BR5381" s="319"/>
      <c r="BS5381" s="330"/>
      <c r="BT5381" s="331"/>
      <c r="BU5381" s="920"/>
      <c r="BV5381" s="903"/>
      <c r="BW5381" s="908"/>
      <c r="BX5381" s="908"/>
      <c r="BY5381" s="331"/>
      <c r="BZ5381" s="331"/>
      <c r="CA5381" s="462"/>
      <c r="CB5381" s="319"/>
      <c r="CC5381" s="319"/>
      <c r="CD5381" s="319"/>
      <c r="CE5381" s="319"/>
      <c r="CF5381" s="319"/>
      <c r="CG5381" s="319"/>
      <c r="CH5381" s="318"/>
      <c r="CI5381" s="319"/>
      <c r="CJ5381" s="319"/>
      <c r="CK5381" s="342"/>
      <c r="CL5381" s="333"/>
      <c r="CM5381" s="1079"/>
      <c r="CN5381" s="1005"/>
      <c r="CO5381" s="1005"/>
      <c r="CP5381" s="1005"/>
    </row>
    <row r="5382">
      <c r="A5382" s="1257"/>
      <c r="B5382" s="1113"/>
      <c r="C5382" s="1107"/>
      <c r="D5382" s="103"/>
      <c r="E5382" s="1137"/>
      <c r="F5382" s="112"/>
      <c r="G5382" s="1110"/>
      <c r="H5382" s="1138"/>
      <c r="I5382" s="1138"/>
      <c r="J5382" s="1139"/>
      <c r="K5382" s="1111"/>
      <c r="L5382" s="1112"/>
      <c r="M5382" s="1113"/>
      <c r="N5382" s="110"/>
      <c r="O5382" s="1140"/>
      <c r="P5382" s="1115"/>
      <c r="Q5382" s="1116"/>
      <c r="R5382" s="1141"/>
      <c r="S5382" s="1113"/>
      <c r="T5382" s="1143"/>
      <c r="U5382" s="1108"/>
      <c r="V5382" s="1108"/>
      <c r="W5382" s="1108"/>
      <c r="X5382" s="1108"/>
      <c r="Y5382" s="1108"/>
      <c r="Z5382" s="1114"/>
      <c r="AA5382" s="1114"/>
      <c r="AB5382" s="1114"/>
      <c r="AC5382" s="1117"/>
      <c r="AD5382" s="1115"/>
      <c r="AE5382" s="1115"/>
      <c r="AF5382" s="1115"/>
      <c r="AG5382" s="1115"/>
      <c r="AH5382" s="1115"/>
      <c r="AI5382" s="1115"/>
      <c r="AJ5382" s="1117"/>
      <c r="AK5382" s="1118"/>
      <c r="AL5382" s="1115"/>
      <c r="AM5382" s="1115"/>
      <c r="AN5382" s="1115"/>
      <c r="AO5382" s="1115"/>
      <c r="AP5382" s="1115"/>
      <c r="AQ5382" s="1115"/>
      <c r="AR5382" s="1115"/>
      <c r="AS5382" s="1117"/>
      <c r="AT5382" s="1075"/>
      <c r="AU5382" s="1193"/>
      <c r="AV5382" s="330"/>
      <c r="AW5382" s="331"/>
      <c r="AX5382" s="331"/>
      <c r="AY5382" s="331"/>
      <c r="AZ5382" s="331"/>
      <c r="BA5382" s="331"/>
      <c r="BB5382" s="331"/>
      <c r="BC5382" s="331"/>
      <c r="BD5382" s="331"/>
      <c r="BE5382" s="333"/>
      <c r="BF5382" s="330"/>
      <c r="BG5382" s="333"/>
      <c r="BH5382" s="1119"/>
      <c r="BI5382" s="319"/>
      <c r="BJ5382" s="319"/>
      <c r="BK5382" s="319"/>
      <c r="BL5382" s="319"/>
      <c r="BM5382" s="319"/>
      <c r="BN5382" s="319"/>
      <c r="BO5382" s="319"/>
      <c r="BP5382" s="953"/>
      <c r="BQ5382" s="319"/>
      <c r="BR5382" s="319"/>
      <c r="BS5382" s="330"/>
      <c r="BT5382" s="331"/>
      <c r="BU5382" s="920"/>
      <c r="BV5382" s="903"/>
      <c r="BW5382" s="908"/>
      <c r="BX5382" s="908"/>
      <c r="BY5382" s="331"/>
      <c r="BZ5382" s="331"/>
      <c r="CA5382" s="462"/>
      <c r="CB5382" s="319"/>
      <c r="CC5382" s="319"/>
      <c r="CD5382" s="319"/>
      <c r="CE5382" s="319"/>
      <c r="CF5382" s="319"/>
      <c r="CG5382" s="319"/>
      <c r="CH5382" s="318"/>
      <c r="CI5382" s="319"/>
      <c r="CJ5382" s="319"/>
      <c r="CK5382" s="342"/>
      <c r="CL5382" s="333"/>
      <c r="CM5382" s="1079"/>
      <c r="CN5382" s="1005"/>
      <c r="CO5382" s="1005"/>
      <c r="CP5382" s="1005"/>
    </row>
    <row r="5383">
      <c r="A5383" s="1257"/>
      <c r="B5383" s="1113"/>
      <c r="C5383" s="1107"/>
      <c r="D5383" s="103"/>
      <c r="E5383" s="1137"/>
      <c r="F5383" s="112"/>
      <c r="G5383" s="1110"/>
      <c r="H5383" s="1138"/>
      <c r="I5383" s="1138"/>
      <c r="J5383" s="1139"/>
      <c r="K5383" s="1111"/>
      <c r="L5383" s="1112"/>
      <c r="M5383" s="1113"/>
      <c r="N5383" s="110"/>
      <c r="O5383" s="1140"/>
      <c r="P5383" s="1115"/>
      <c r="Q5383" s="1116"/>
      <c r="R5383" s="1141"/>
      <c r="S5383" s="1113"/>
      <c r="T5383" s="1143"/>
      <c r="U5383" s="1108"/>
      <c r="V5383" s="1108"/>
      <c r="W5383" s="1108"/>
      <c r="X5383" s="1108"/>
      <c r="Y5383" s="1108"/>
      <c r="Z5383" s="1114"/>
      <c r="AA5383" s="1114"/>
      <c r="AB5383" s="1114"/>
      <c r="AC5383" s="1117"/>
      <c r="AD5383" s="1115"/>
      <c r="AE5383" s="1115"/>
      <c r="AF5383" s="1115"/>
      <c r="AG5383" s="1115"/>
      <c r="AH5383" s="1115"/>
      <c r="AI5383" s="1115"/>
      <c r="AJ5383" s="1117"/>
      <c r="AK5383" s="1118"/>
      <c r="AL5383" s="1115"/>
      <c r="AM5383" s="1115"/>
      <c r="AN5383" s="1115"/>
      <c r="AO5383" s="1115"/>
      <c r="AP5383" s="1115"/>
      <c r="AQ5383" s="1115"/>
      <c r="AR5383" s="1115"/>
      <c r="AS5383" s="1117"/>
      <c r="AT5383" s="1075"/>
      <c r="AU5383" s="1193"/>
      <c r="AV5383" s="330"/>
      <c r="AW5383" s="331"/>
      <c r="AX5383" s="331"/>
      <c r="AY5383" s="331"/>
      <c r="AZ5383" s="331"/>
      <c r="BA5383" s="331"/>
      <c r="BB5383" s="331"/>
      <c r="BC5383" s="331"/>
      <c r="BD5383" s="331"/>
      <c r="BE5383" s="333"/>
      <c r="BF5383" s="330"/>
      <c r="BG5383" s="333"/>
      <c r="BH5383" s="1119"/>
      <c r="BI5383" s="319"/>
      <c r="BJ5383" s="319"/>
      <c r="BK5383" s="319"/>
      <c r="BL5383" s="319"/>
      <c r="BM5383" s="319"/>
      <c r="BN5383" s="319"/>
      <c r="BO5383" s="319"/>
      <c r="BP5383" s="953"/>
      <c r="BQ5383" s="319"/>
      <c r="BR5383" s="319"/>
      <c r="BS5383" s="330"/>
      <c r="BT5383" s="331"/>
      <c r="BU5383" s="920"/>
      <c r="BV5383" s="903"/>
      <c r="BW5383" s="908"/>
      <c r="BX5383" s="908"/>
      <c r="BY5383" s="331"/>
      <c r="BZ5383" s="331"/>
      <c r="CA5383" s="462"/>
      <c r="CB5383" s="319"/>
      <c r="CC5383" s="319"/>
      <c r="CD5383" s="319"/>
      <c r="CE5383" s="319"/>
      <c r="CF5383" s="319"/>
      <c r="CG5383" s="319"/>
      <c r="CH5383" s="318"/>
      <c r="CI5383" s="319"/>
      <c r="CJ5383" s="319"/>
      <c r="CK5383" s="342"/>
      <c r="CL5383" s="333"/>
      <c r="CM5383" s="1079"/>
      <c r="CN5383" s="1005"/>
      <c r="CO5383" s="1005"/>
      <c r="CP5383" s="1005"/>
    </row>
    <row r="5384">
      <c r="A5384" s="1257"/>
      <c r="B5384" s="1113"/>
      <c r="C5384" s="1107"/>
      <c r="D5384" s="103"/>
      <c r="E5384" s="1137"/>
      <c r="F5384" s="112"/>
      <c r="G5384" s="1110"/>
      <c r="H5384" s="1138"/>
      <c r="I5384" s="1138"/>
      <c r="J5384" s="1139"/>
      <c r="K5384" s="1111"/>
      <c r="L5384" s="1112"/>
      <c r="M5384" s="1113"/>
      <c r="N5384" s="110"/>
      <c r="O5384" s="1140"/>
      <c r="P5384" s="1115"/>
      <c r="Q5384" s="1116"/>
      <c r="R5384" s="1141"/>
      <c r="S5384" s="1113"/>
      <c r="T5384" s="1143"/>
      <c r="U5384" s="1108"/>
      <c r="V5384" s="1108"/>
      <c r="W5384" s="1108"/>
      <c r="X5384" s="1108"/>
      <c r="Y5384" s="1108"/>
      <c r="Z5384" s="1114"/>
      <c r="AA5384" s="1114"/>
      <c r="AB5384" s="1114"/>
      <c r="AC5384" s="1117"/>
      <c r="AD5384" s="1115"/>
      <c r="AE5384" s="1115"/>
      <c r="AF5384" s="1115"/>
      <c r="AG5384" s="1115"/>
      <c r="AH5384" s="1115"/>
      <c r="AI5384" s="1115"/>
      <c r="AJ5384" s="1117"/>
      <c r="AK5384" s="1118"/>
      <c r="AL5384" s="1115"/>
      <c r="AM5384" s="1115"/>
      <c r="AN5384" s="1115"/>
      <c r="AO5384" s="1115"/>
      <c r="AP5384" s="1115"/>
      <c r="AQ5384" s="1115"/>
      <c r="AR5384" s="1115"/>
      <c r="AS5384" s="1117"/>
      <c r="AT5384" s="1075"/>
      <c r="AU5384" s="1193"/>
      <c r="AV5384" s="330"/>
      <c r="AW5384" s="331"/>
      <c r="AX5384" s="331"/>
      <c r="AY5384" s="331"/>
      <c r="AZ5384" s="331"/>
      <c r="BA5384" s="331"/>
      <c r="BB5384" s="331"/>
      <c r="BC5384" s="331"/>
      <c r="BD5384" s="331"/>
      <c r="BE5384" s="333"/>
      <c r="BF5384" s="330"/>
      <c r="BG5384" s="333"/>
      <c r="BH5384" s="1119"/>
      <c r="BI5384" s="319"/>
      <c r="BJ5384" s="319"/>
      <c r="BK5384" s="319"/>
      <c r="BL5384" s="319"/>
      <c r="BM5384" s="319"/>
      <c r="BN5384" s="319"/>
      <c r="BO5384" s="319"/>
      <c r="BP5384" s="953"/>
      <c r="BQ5384" s="319"/>
      <c r="BR5384" s="319"/>
      <c r="BS5384" s="330"/>
      <c r="BT5384" s="331"/>
      <c r="BU5384" s="920"/>
      <c r="BV5384" s="903"/>
      <c r="BW5384" s="908"/>
      <c r="BX5384" s="908"/>
      <c r="BY5384" s="331"/>
      <c r="BZ5384" s="331"/>
      <c r="CA5384" s="462"/>
      <c r="CB5384" s="319"/>
      <c r="CC5384" s="319"/>
      <c r="CD5384" s="319"/>
      <c r="CE5384" s="319"/>
      <c r="CF5384" s="319"/>
      <c r="CG5384" s="319"/>
      <c r="CH5384" s="318"/>
      <c r="CI5384" s="319"/>
      <c r="CJ5384" s="319"/>
      <c r="CK5384" s="342"/>
      <c r="CL5384" s="333"/>
      <c r="CM5384" s="1079"/>
      <c r="CN5384" s="1005"/>
      <c r="CO5384" s="1005"/>
      <c r="CP5384" s="1005"/>
    </row>
    <row r="5385">
      <c r="A5385" s="1257"/>
      <c r="B5385" s="1113"/>
      <c r="C5385" s="1107"/>
      <c r="D5385" s="103"/>
      <c r="E5385" s="1137"/>
      <c r="F5385" s="112"/>
      <c r="G5385" s="1110"/>
      <c r="H5385" s="1138"/>
      <c r="I5385" s="1138"/>
      <c r="J5385" s="1139"/>
      <c r="K5385" s="1111"/>
      <c r="L5385" s="1112"/>
      <c r="M5385" s="1113"/>
      <c r="N5385" s="110"/>
      <c r="O5385" s="1140"/>
      <c r="P5385" s="1115"/>
      <c r="Q5385" s="1116"/>
      <c r="R5385" s="1141"/>
      <c r="S5385" s="1113"/>
      <c r="T5385" s="1143"/>
      <c r="U5385" s="1108"/>
      <c r="V5385" s="1108"/>
      <c r="W5385" s="1108"/>
      <c r="X5385" s="1108"/>
      <c r="Y5385" s="1108"/>
      <c r="Z5385" s="1114"/>
      <c r="AA5385" s="1114"/>
      <c r="AB5385" s="1114"/>
      <c r="AC5385" s="1117"/>
      <c r="AD5385" s="1115"/>
      <c r="AE5385" s="1115"/>
      <c r="AF5385" s="1115"/>
      <c r="AG5385" s="1115"/>
      <c r="AH5385" s="1115"/>
      <c r="AI5385" s="1115"/>
      <c r="AJ5385" s="1117"/>
      <c r="AK5385" s="1118"/>
      <c r="AL5385" s="1115"/>
      <c r="AM5385" s="1115"/>
      <c r="AN5385" s="1115"/>
      <c r="AO5385" s="1115"/>
      <c r="AP5385" s="1115"/>
      <c r="AQ5385" s="1115"/>
      <c r="AR5385" s="1115"/>
      <c r="AS5385" s="1117"/>
      <c r="AT5385" s="1075"/>
      <c r="AU5385" s="1193"/>
      <c r="AV5385" s="330"/>
      <c r="AW5385" s="331"/>
      <c r="AX5385" s="331"/>
      <c r="AY5385" s="331"/>
      <c r="AZ5385" s="331"/>
      <c r="BA5385" s="331"/>
      <c r="BB5385" s="331"/>
      <c r="BC5385" s="331"/>
      <c r="BD5385" s="331"/>
      <c r="BE5385" s="333"/>
      <c r="BF5385" s="330"/>
      <c r="BG5385" s="333"/>
      <c r="BH5385" s="1119"/>
      <c r="BI5385" s="319"/>
      <c r="BJ5385" s="319"/>
      <c r="BK5385" s="319"/>
      <c r="BL5385" s="319"/>
      <c r="BM5385" s="319"/>
      <c r="BN5385" s="319"/>
      <c r="BO5385" s="319"/>
      <c r="BP5385" s="953"/>
      <c r="BQ5385" s="319"/>
      <c r="BR5385" s="319"/>
      <c r="BS5385" s="330"/>
      <c r="BT5385" s="331"/>
      <c r="BU5385" s="920"/>
      <c r="BV5385" s="903"/>
      <c r="BW5385" s="908"/>
      <c r="BX5385" s="908"/>
      <c r="BY5385" s="331"/>
      <c r="BZ5385" s="331"/>
      <c r="CA5385" s="462"/>
      <c r="CB5385" s="319"/>
      <c r="CC5385" s="319"/>
      <c r="CD5385" s="319"/>
      <c r="CE5385" s="319"/>
      <c r="CF5385" s="319"/>
      <c r="CG5385" s="319"/>
      <c r="CH5385" s="318"/>
      <c r="CI5385" s="319"/>
      <c r="CJ5385" s="319"/>
      <c r="CK5385" s="342"/>
      <c r="CL5385" s="333"/>
      <c r="CM5385" s="1079"/>
      <c r="CN5385" s="1005"/>
      <c r="CO5385" s="1005"/>
      <c r="CP5385" s="1005"/>
    </row>
    <row r="5386">
      <c r="A5386" s="1257"/>
      <c r="B5386" s="1113"/>
      <c r="C5386" s="1107"/>
      <c r="D5386" s="103"/>
      <c r="E5386" s="1137"/>
      <c r="F5386" s="112"/>
      <c r="G5386" s="1110"/>
      <c r="H5386" s="1138"/>
      <c r="I5386" s="1138"/>
      <c r="J5386" s="1139"/>
      <c r="K5386" s="1111"/>
      <c r="L5386" s="1112"/>
      <c r="M5386" s="1113"/>
      <c r="N5386" s="110"/>
      <c r="O5386" s="1140"/>
      <c r="P5386" s="1115"/>
      <c r="Q5386" s="1116"/>
      <c r="R5386" s="1141"/>
      <c r="S5386" s="1113"/>
      <c r="T5386" s="1143"/>
      <c r="U5386" s="1108"/>
      <c r="V5386" s="1108"/>
      <c r="W5386" s="1108"/>
      <c r="X5386" s="1108"/>
      <c r="Y5386" s="1108"/>
      <c r="Z5386" s="1114"/>
      <c r="AA5386" s="1114"/>
      <c r="AB5386" s="1114"/>
      <c r="AC5386" s="1117"/>
      <c r="AD5386" s="1115"/>
      <c r="AE5386" s="1115"/>
      <c r="AF5386" s="1115"/>
      <c r="AG5386" s="1115"/>
      <c r="AH5386" s="1115"/>
      <c r="AI5386" s="1115"/>
      <c r="AJ5386" s="1117"/>
      <c r="AK5386" s="1118"/>
      <c r="AL5386" s="1115"/>
      <c r="AM5386" s="1115"/>
      <c r="AN5386" s="1115"/>
      <c r="AO5386" s="1115"/>
      <c r="AP5386" s="1115"/>
      <c r="AQ5386" s="1115"/>
      <c r="AR5386" s="1115"/>
      <c r="AS5386" s="1117"/>
      <c r="AT5386" s="1075"/>
      <c r="AU5386" s="1193"/>
      <c r="AV5386" s="330"/>
      <c r="AW5386" s="331"/>
      <c r="AX5386" s="331"/>
      <c r="AY5386" s="331"/>
      <c r="AZ5386" s="331"/>
      <c r="BA5386" s="331"/>
      <c r="BB5386" s="331"/>
      <c r="BC5386" s="331"/>
      <c r="BD5386" s="331"/>
      <c r="BE5386" s="333"/>
      <c r="BF5386" s="330"/>
      <c r="BG5386" s="333"/>
      <c r="BH5386" s="1119"/>
      <c r="BI5386" s="319"/>
      <c r="BJ5386" s="319"/>
      <c r="BK5386" s="319"/>
      <c r="BL5386" s="319"/>
      <c r="BM5386" s="319"/>
      <c r="BN5386" s="319"/>
      <c r="BO5386" s="319"/>
      <c r="BP5386" s="953"/>
      <c r="BQ5386" s="319"/>
      <c r="BR5386" s="319"/>
      <c r="BS5386" s="330"/>
      <c r="BT5386" s="331"/>
      <c r="BU5386" s="920"/>
      <c r="BV5386" s="903"/>
      <c r="BW5386" s="908"/>
      <c r="BX5386" s="908"/>
      <c r="BY5386" s="331"/>
      <c r="BZ5386" s="331"/>
      <c r="CA5386" s="462"/>
      <c r="CB5386" s="319"/>
      <c r="CC5386" s="319"/>
      <c r="CD5386" s="319"/>
      <c r="CE5386" s="319"/>
      <c r="CF5386" s="319"/>
      <c r="CG5386" s="319"/>
      <c r="CH5386" s="318"/>
      <c r="CI5386" s="319"/>
      <c r="CJ5386" s="319"/>
      <c r="CK5386" s="342"/>
      <c r="CL5386" s="333"/>
      <c r="CM5386" s="1079"/>
      <c r="CN5386" s="1005"/>
      <c r="CO5386" s="1005"/>
      <c r="CP5386" s="1005"/>
    </row>
    <row r="5387">
      <c r="A5387" s="1257"/>
      <c r="B5387" s="1113"/>
      <c r="C5387" s="1107"/>
      <c r="D5387" s="103"/>
      <c r="E5387" s="1137"/>
      <c r="F5387" s="112"/>
      <c r="G5387" s="1110"/>
      <c r="H5387" s="1138"/>
      <c r="I5387" s="1138"/>
      <c r="J5387" s="1139"/>
      <c r="K5387" s="1111"/>
      <c r="L5387" s="1112"/>
      <c r="M5387" s="1113"/>
      <c r="N5387" s="110"/>
      <c r="O5387" s="1140"/>
      <c r="P5387" s="1115"/>
      <c r="Q5387" s="1116"/>
      <c r="R5387" s="1141"/>
      <c r="S5387" s="1113"/>
      <c r="T5387" s="1143"/>
      <c r="U5387" s="1108"/>
      <c r="V5387" s="1108"/>
      <c r="W5387" s="1108"/>
      <c r="X5387" s="1108"/>
      <c r="Y5387" s="1108"/>
      <c r="Z5387" s="1114"/>
      <c r="AA5387" s="1114"/>
      <c r="AB5387" s="1114"/>
      <c r="AC5387" s="1117"/>
      <c r="AD5387" s="1115"/>
      <c r="AE5387" s="1115"/>
      <c r="AF5387" s="1115"/>
      <c r="AG5387" s="1115"/>
      <c r="AH5387" s="1115"/>
      <c r="AI5387" s="1115"/>
      <c r="AJ5387" s="1117"/>
      <c r="AK5387" s="1118"/>
      <c r="AL5387" s="1115"/>
      <c r="AM5387" s="1115"/>
      <c r="AN5387" s="1115"/>
      <c r="AO5387" s="1115"/>
      <c r="AP5387" s="1115"/>
      <c r="AQ5387" s="1115"/>
      <c r="AR5387" s="1115"/>
      <c r="AS5387" s="1117"/>
      <c r="AT5387" s="1075"/>
      <c r="AU5387" s="1193"/>
      <c r="AV5387" s="330"/>
      <c r="AW5387" s="331"/>
      <c r="AX5387" s="331"/>
      <c r="AY5387" s="331"/>
      <c r="AZ5387" s="331"/>
      <c r="BA5387" s="331"/>
      <c r="BB5387" s="331"/>
      <c r="BC5387" s="331"/>
      <c r="BD5387" s="331"/>
      <c r="BE5387" s="333"/>
      <c r="BF5387" s="330"/>
      <c r="BG5387" s="333"/>
      <c r="BH5387" s="1119"/>
      <c r="BI5387" s="319"/>
      <c r="BJ5387" s="319"/>
      <c r="BK5387" s="319"/>
      <c r="BL5387" s="319"/>
      <c r="BM5387" s="319"/>
      <c r="BN5387" s="319"/>
      <c r="BO5387" s="319"/>
      <c r="BP5387" s="953"/>
      <c r="BQ5387" s="319"/>
      <c r="BR5387" s="319"/>
      <c r="BS5387" s="330"/>
      <c r="BT5387" s="331"/>
      <c r="BU5387" s="920"/>
      <c r="BV5387" s="903"/>
      <c r="BW5387" s="908"/>
      <c r="BX5387" s="908"/>
      <c r="BY5387" s="331"/>
      <c r="BZ5387" s="331"/>
      <c r="CA5387" s="462"/>
      <c r="CB5387" s="319"/>
      <c r="CC5387" s="319"/>
      <c r="CD5387" s="319"/>
      <c r="CE5387" s="319"/>
      <c r="CF5387" s="319"/>
      <c r="CG5387" s="319"/>
      <c r="CH5387" s="318"/>
      <c r="CI5387" s="319"/>
      <c r="CJ5387" s="319"/>
      <c r="CK5387" s="342"/>
      <c r="CL5387" s="333"/>
      <c r="CM5387" s="1079"/>
      <c r="CN5387" s="1005"/>
      <c r="CO5387" s="1005"/>
      <c r="CP5387" s="1005"/>
    </row>
    <row r="5388">
      <c r="A5388" s="1257"/>
      <c r="B5388" s="1113"/>
      <c r="C5388" s="1107"/>
      <c r="D5388" s="103"/>
      <c r="E5388" s="1137"/>
      <c r="F5388" s="112"/>
      <c r="G5388" s="1110"/>
      <c r="H5388" s="1138"/>
      <c r="I5388" s="1138"/>
      <c r="J5388" s="1139"/>
      <c r="K5388" s="1111"/>
      <c r="L5388" s="1112"/>
      <c r="M5388" s="1113"/>
      <c r="N5388" s="110"/>
      <c r="O5388" s="1140"/>
      <c r="P5388" s="1115"/>
      <c r="Q5388" s="1116"/>
      <c r="R5388" s="1141"/>
      <c r="S5388" s="1113"/>
      <c r="T5388" s="1143"/>
      <c r="U5388" s="1108"/>
      <c r="V5388" s="1108"/>
      <c r="W5388" s="1108"/>
      <c r="X5388" s="1108"/>
      <c r="Y5388" s="1108"/>
      <c r="Z5388" s="1114"/>
      <c r="AA5388" s="1114"/>
      <c r="AB5388" s="1114"/>
      <c r="AC5388" s="1117"/>
      <c r="AD5388" s="1115"/>
      <c r="AE5388" s="1115"/>
      <c r="AF5388" s="1115"/>
      <c r="AG5388" s="1115"/>
      <c r="AH5388" s="1115"/>
      <c r="AI5388" s="1115"/>
      <c r="AJ5388" s="1117"/>
      <c r="AK5388" s="1118"/>
      <c r="AL5388" s="1115"/>
      <c r="AM5388" s="1115"/>
      <c r="AN5388" s="1115"/>
      <c r="AO5388" s="1115"/>
      <c r="AP5388" s="1115"/>
      <c r="AQ5388" s="1115"/>
      <c r="AR5388" s="1115"/>
      <c r="AS5388" s="1117"/>
      <c r="AT5388" s="1075"/>
      <c r="AU5388" s="1193"/>
      <c r="AV5388" s="330"/>
      <c r="AW5388" s="331"/>
      <c r="AX5388" s="331"/>
      <c r="AY5388" s="331"/>
      <c r="AZ5388" s="331"/>
      <c r="BA5388" s="331"/>
      <c r="BB5388" s="331"/>
      <c r="BC5388" s="331"/>
      <c r="BD5388" s="331"/>
      <c r="BE5388" s="333"/>
      <c r="BF5388" s="330"/>
      <c r="BG5388" s="333"/>
      <c r="BH5388" s="1119"/>
      <c r="BI5388" s="319"/>
      <c r="BJ5388" s="319"/>
      <c r="BK5388" s="319"/>
      <c r="BL5388" s="319"/>
      <c r="BM5388" s="319"/>
      <c r="BN5388" s="319"/>
      <c r="BO5388" s="319"/>
      <c r="BP5388" s="953"/>
      <c r="BQ5388" s="319"/>
      <c r="BR5388" s="319"/>
      <c r="BS5388" s="330"/>
      <c r="BT5388" s="331"/>
      <c r="BU5388" s="920"/>
      <c r="BV5388" s="903"/>
      <c r="BW5388" s="908"/>
      <c r="BX5388" s="908"/>
      <c r="BY5388" s="331"/>
      <c r="BZ5388" s="331"/>
      <c r="CA5388" s="462"/>
      <c r="CB5388" s="319"/>
      <c r="CC5388" s="319"/>
      <c r="CD5388" s="319"/>
      <c r="CE5388" s="319"/>
      <c r="CF5388" s="319"/>
      <c r="CG5388" s="319"/>
      <c r="CH5388" s="318"/>
      <c r="CI5388" s="319"/>
      <c r="CJ5388" s="319"/>
      <c r="CK5388" s="342"/>
      <c r="CL5388" s="333"/>
      <c r="CM5388" s="1079"/>
      <c r="CN5388" s="1005"/>
      <c r="CO5388" s="1005"/>
      <c r="CP5388" s="1005"/>
    </row>
    <row r="5389">
      <c r="A5389" s="1257"/>
      <c r="B5389" s="1113"/>
      <c r="C5389" s="1107"/>
      <c r="D5389" s="103"/>
      <c r="E5389" s="1137"/>
      <c r="F5389" s="112"/>
      <c r="G5389" s="1110"/>
      <c r="H5389" s="1138"/>
      <c r="I5389" s="1138"/>
      <c r="J5389" s="1139"/>
      <c r="K5389" s="1111"/>
      <c r="L5389" s="1112"/>
      <c r="M5389" s="1113"/>
      <c r="N5389" s="110"/>
      <c r="O5389" s="1140"/>
      <c r="P5389" s="1115"/>
      <c r="Q5389" s="1116"/>
      <c r="R5389" s="1141"/>
      <c r="S5389" s="1113"/>
      <c r="T5389" s="1143"/>
      <c r="U5389" s="1108"/>
      <c r="V5389" s="1108"/>
      <c r="W5389" s="1108"/>
      <c r="X5389" s="1108"/>
      <c r="Y5389" s="1108"/>
      <c r="Z5389" s="1114"/>
      <c r="AA5389" s="1114"/>
      <c r="AB5389" s="1114"/>
      <c r="AC5389" s="1117"/>
      <c r="AD5389" s="1115"/>
      <c r="AE5389" s="1115"/>
      <c r="AF5389" s="1115"/>
      <c r="AG5389" s="1115"/>
      <c r="AH5389" s="1115"/>
      <c r="AI5389" s="1115"/>
      <c r="AJ5389" s="1117"/>
      <c r="AK5389" s="1118"/>
      <c r="AL5389" s="1115"/>
      <c r="AM5389" s="1115"/>
      <c r="AN5389" s="1115"/>
      <c r="AO5389" s="1115"/>
      <c r="AP5389" s="1115"/>
      <c r="AQ5389" s="1115"/>
      <c r="AR5389" s="1115"/>
      <c r="AS5389" s="1117"/>
      <c r="AT5389" s="1075"/>
      <c r="AU5389" s="1193"/>
      <c r="AV5389" s="330"/>
      <c r="AW5389" s="331"/>
      <c r="AX5389" s="331"/>
      <c r="AY5389" s="331"/>
      <c r="AZ5389" s="331"/>
      <c r="BA5389" s="331"/>
      <c r="BB5389" s="331"/>
      <c r="BC5389" s="331"/>
      <c r="BD5389" s="331"/>
      <c r="BE5389" s="333"/>
      <c r="BF5389" s="330"/>
      <c r="BG5389" s="333"/>
      <c r="BH5389" s="1119"/>
      <c r="BI5389" s="319"/>
      <c r="BJ5389" s="319"/>
      <c r="BK5389" s="319"/>
      <c r="BL5389" s="319"/>
      <c r="BM5389" s="319"/>
      <c r="BN5389" s="319"/>
      <c r="BO5389" s="319"/>
      <c r="BP5389" s="953"/>
      <c r="BQ5389" s="319"/>
      <c r="BR5389" s="319"/>
      <c r="BS5389" s="330"/>
      <c r="BT5389" s="331"/>
      <c r="BU5389" s="920"/>
      <c r="BV5389" s="903"/>
      <c r="BW5389" s="908"/>
      <c r="BX5389" s="908"/>
      <c r="BY5389" s="331"/>
      <c r="BZ5389" s="331"/>
      <c r="CA5389" s="462"/>
      <c r="CB5389" s="319"/>
      <c r="CC5389" s="319"/>
      <c r="CD5389" s="319"/>
      <c r="CE5389" s="319"/>
      <c r="CF5389" s="319"/>
      <c r="CG5389" s="319"/>
      <c r="CH5389" s="318"/>
      <c r="CI5389" s="319"/>
      <c r="CJ5389" s="319"/>
      <c r="CK5389" s="342"/>
      <c r="CL5389" s="333"/>
      <c r="CM5389" s="1079"/>
      <c r="CN5389" s="1005"/>
      <c r="CO5389" s="1005"/>
      <c r="CP5389" s="1005"/>
    </row>
    <row r="5390">
      <c r="A5390" s="1257"/>
      <c r="B5390" s="1113"/>
      <c r="C5390" s="1107"/>
      <c r="D5390" s="103"/>
      <c r="E5390" s="1137"/>
      <c r="F5390" s="112"/>
      <c r="G5390" s="1110"/>
      <c r="H5390" s="1138"/>
      <c r="I5390" s="1138"/>
      <c r="J5390" s="1139"/>
      <c r="K5390" s="1111"/>
      <c r="L5390" s="1112"/>
      <c r="M5390" s="1113"/>
      <c r="N5390" s="110"/>
      <c r="O5390" s="1140"/>
      <c r="P5390" s="1115"/>
      <c r="Q5390" s="1116"/>
      <c r="R5390" s="1141"/>
      <c r="S5390" s="1113"/>
      <c r="T5390" s="1143"/>
      <c r="U5390" s="1108"/>
      <c r="V5390" s="1108"/>
      <c r="W5390" s="1108"/>
      <c r="X5390" s="1108"/>
      <c r="Y5390" s="1108"/>
      <c r="Z5390" s="1114"/>
      <c r="AA5390" s="1114"/>
      <c r="AB5390" s="1114"/>
      <c r="AC5390" s="1117"/>
      <c r="AD5390" s="1115"/>
      <c r="AE5390" s="1115"/>
      <c r="AF5390" s="1115"/>
      <c r="AG5390" s="1115"/>
      <c r="AH5390" s="1115"/>
      <c r="AI5390" s="1115"/>
      <c r="AJ5390" s="1117"/>
      <c r="AK5390" s="1118"/>
      <c r="AL5390" s="1115"/>
      <c r="AM5390" s="1115"/>
      <c r="AN5390" s="1115"/>
      <c r="AO5390" s="1115"/>
      <c r="AP5390" s="1115"/>
      <c r="AQ5390" s="1115"/>
      <c r="AR5390" s="1115"/>
      <c r="AS5390" s="1117"/>
      <c r="AT5390" s="1075"/>
      <c r="AU5390" s="1193"/>
      <c r="AV5390" s="330"/>
      <c r="AW5390" s="331"/>
      <c r="AX5390" s="331"/>
      <c r="AY5390" s="331"/>
      <c r="AZ5390" s="331"/>
      <c r="BA5390" s="331"/>
      <c r="BB5390" s="331"/>
      <c r="BC5390" s="331"/>
      <c r="BD5390" s="331"/>
      <c r="BE5390" s="333"/>
      <c r="BF5390" s="330"/>
      <c r="BG5390" s="333"/>
      <c r="BH5390" s="1119"/>
      <c r="BI5390" s="319"/>
      <c r="BJ5390" s="319"/>
      <c r="BK5390" s="319"/>
      <c r="BL5390" s="319"/>
      <c r="BM5390" s="319"/>
      <c r="BN5390" s="319"/>
      <c r="BO5390" s="319"/>
      <c r="BP5390" s="953"/>
      <c r="BQ5390" s="319"/>
      <c r="BR5390" s="319"/>
      <c r="BS5390" s="330"/>
      <c r="BT5390" s="331"/>
      <c r="BU5390" s="920"/>
      <c r="BV5390" s="903"/>
      <c r="BW5390" s="908"/>
      <c r="BX5390" s="908"/>
      <c r="BY5390" s="331"/>
      <c r="BZ5390" s="331"/>
      <c r="CA5390" s="462"/>
      <c r="CB5390" s="319"/>
      <c r="CC5390" s="319"/>
      <c r="CD5390" s="319"/>
      <c r="CE5390" s="319"/>
      <c r="CF5390" s="319"/>
      <c r="CG5390" s="319"/>
      <c r="CH5390" s="318"/>
      <c r="CI5390" s="319"/>
      <c r="CJ5390" s="319"/>
      <c r="CK5390" s="342"/>
      <c r="CL5390" s="333"/>
      <c r="CM5390" s="1079"/>
      <c r="CN5390" s="1005"/>
      <c r="CO5390" s="1005"/>
      <c r="CP5390" s="1005"/>
    </row>
    <row r="5391">
      <c r="A5391" s="1257"/>
      <c r="B5391" s="1113"/>
      <c r="C5391" s="1107"/>
      <c r="D5391" s="103"/>
      <c r="E5391" s="1137"/>
      <c r="F5391" s="112"/>
      <c r="G5391" s="1110"/>
      <c r="H5391" s="1138"/>
      <c r="I5391" s="1138"/>
      <c r="J5391" s="1139"/>
      <c r="K5391" s="1111"/>
      <c r="L5391" s="1112"/>
      <c r="M5391" s="1113"/>
      <c r="N5391" s="110"/>
      <c r="O5391" s="1140"/>
      <c r="P5391" s="1115"/>
      <c r="Q5391" s="1116"/>
      <c r="R5391" s="1141"/>
      <c r="S5391" s="1113"/>
      <c r="T5391" s="1143"/>
      <c r="U5391" s="1108"/>
      <c r="V5391" s="1108"/>
      <c r="W5391" s="1108"/>
      <c r="X5391" s="1108"/>
      <c r="Y5391" s="1108"/>
      <c r="Z5391" s="1114"/>
      <c r="AA5391" s="1114"/>
      <c r="AB5391" s="1114"/>
      <c r="AC5391" s="1117"/>
      <c r="AD5391" s="1115"/>
      <c r="AE5391" s="1115"/>
      <c r="AF5391" s="1115"/>
      <c r="AG5391" s="1115"/>
      <c r="AH5391" s="1115"/>
      <c r="AI5391" s="1115"/>
      <c r="AJ5391" s="1117"/>
      <c r="AK5391" s="1118"/>
      <c r="AL5391" s="1115"/>
      <c r="AM5391" s="1115"/>
      <c r="AN5391" s="1115"/>
      <c r="AO5391" s="1115"/>
      <c r="AP5391" s="1115"/>
      <c r="AQ5391" s="1115"/>
      <c r="AR5391" s="1115"/>
      <c r="AS5391" s="1117"/>
      <c r="AT5391" s="1075"/>
      <c r="AU5391" s="1193"/>
      <c r="AV5391" s="330"/>
      <c r="AW5391" s="331"/>
      <c r="AX5391" s="331"/>
      <c r="AY5391" s="331"/>
      <c r="AZ5391" s="331"/>
      <c r="BA5391" s="331"/>
      <c r="BB5391" s="331"/>
      <c r="BC5391" s="331"/>
      <c r="BD5391" s="331"/>
      <c r="BE5391" s="333"/>
      <c r="BF5391" s="330"/>
      <c r="BG5391" s="333"/>
      <c r="BH5391" s="1119"/>
      <c r="BI5391" s="319"/>
      <c r="BJ5391" s="319"/>
      <c r="BK5391" s="319"/>
      <c r="BL5391" s="319"/>
      <c r="BM5391" s="319"/>
      <c r="BN5391" s="319"/>
      <c r="BO5391" s="319"/>
      <c r="BP5391" s="953"/>
      <c r="BQ5391" s="319"/>
      <c r="BR5391" s="319"/>
      <c r="BS5391" s="330"/>
      <c r="BT5391" s="331"/>
      <c r="BU5391" s="920"/>
      <c r="BV5391" s="903"/>
      <c r="BW5391" s="908"/>
      <c r="BX5391" s="908"/>
      <c r="BY5391" s="331"/>
      <c r="BZ5391" s="331"/>
      <c r="CA5391" s="462"/>
      <c r="CB5391" s="319"/>
      <c r="CC5391" s="319"/>
      <c r="CD5391" s="319"/>
      <c r="CE5391" s="319"/>
      <c r="CF5391" s="319"/>
      <c r="CG5391" s="319"/>
      <c r="CH5391" s="318"/>
      <c r="CI5391" s="319"/>
      <c r="CJ5391" s="319"/>
      <c r="CK5391" s="342"/>
      <c r="CL5391" s="333"/>
      <c r="CM5391" s="1079"/>
      <c r="CN5391" s="1005"/>
      <c r="CO5391" s="1005"/>
      <c r="CP5391" s="1005"/>
    </row>
    <row r="5392">
      <c r="A5392" s="1257"/>
      <c r="B5392" s="1113"/>
      <c r="C5392" s="1107"/>
      <c r="D5392" s="103"/>
      <c r="E5392" s="1137"/>
      <c r="F5392" s="112"/>
      <c r="G5392" s="1110"/>
      <c r="H5392" s="1138"/>
      <c r="I5392" s="1138"/>
      <c r="J5392" s="1139"/>
      <c r="K5392" s="1111"/>
      <c r="L5392" s="1112"/>
      <c r="M5392" s="1113"/>
      <c r="N5392" s="110"/>
      <c r="O5392" s="1140"/>
      <c r="P5392" s="1115"/>
      <c r="Q5392" s="1116"/>
      <c r="R5392" s="1141"/>
      <c r="S5392" s="1113"/>
      <c r="T5392" s="1143"/>
      <c r="U5392" s="1108"/>
      <c r="V5392" s="1108"/>
      <c r="W5392" s="1108"/>
      <c r="X5392" s="1108"/>
      <c r="Y5392" s="1108"/>
      <c r="Z5392" s="1114"/>
      <c r="AA5392" s="1114"/>
      <c r="AB5392" s="1114"/>
      <c r="AC5392" s="1117"/>
      <c r="AD5392" s="1115"/>
      <c r="AE5392" s="1115"/>
      <c r="AF5392" s="1115"/>
      <c r="AG5392" s="1115"/>
      <c r="AH5392" s="1115"/>
      <c r="AI5392" s="1115"/>
      <c r="AJ5392" s="1117"/>
      <c r="AK5392" s="1118"/>
      <c r="AL5392" s="1115"/>
      <c r="AM5392" s="1115"/>
      <c r="AN5392" s="1115"/>
      <c r="AO5392" s="1115"/>
      <c r="AP5392" s="1115"/>
      <c r="AQ5392" s="1115"/>
      <c r="AR5392" s="1115"/>
      <c r="AS5392" s="1117"/>
      <c r="AT5392" s="1075"/>
      <c r="AU5392" s="1193"/>
      <c r="AV5392" s="330"/>
      <c r="AW5392" s="331"/>
      <c r="AX5392" s="331"/>
      <c r="AY5392" s="331"/>
      <c r="AZ5392" s="331"/>
      <c r="BA5392" s="331"/>
      <c r="BB5392" s="331"/>
      <c r="BC5392" s="331"/>
      <c r="BD5392" s="331"/>
      <c r="BE5392" s="333"/>
      <c r="BF5392" s="330"/>
      <c r="BG5392" s="333"/>
      <c r="BH5392" s="1119"/>
      <c r="BI5392" s="319"/>
      <c r="BJ5392" s="319"/>
      <c r="BK5392" s="319"/>
      <c r="BL5392" s="319"/>
      <c r="BM5392" s="319"/>
      <c r="BN5392" s="319"/>
      <c r="BO5392" s="319"/>
      <c r="BP5392" s="953"/>
      <c r="BQ5392" s="319"/>
      <c r="BR5392" s="319"/>
      <c r="BS5392" s="330"/>
      <c r="BT5392" s="331"/>
      <c r="BU5392" s="920"/>
      <c r="BV5392" s="903"/>
      <c r="BW5392" s="908"/>
      <c r="BX5392" s="908"/>
      <c r="BY5392" s="331"/>
      <c r="BZ5392" s="331"/>
      <c r="CA5392" s="462"/>
      <c r="CB5392" s="319"/>
      <c r="CC5392" s="319"/>
      <c r="CD5392" s="319"/>
      <c r="CE5392" s="319"/>
      <c r="CF5392" s="319"/>
      <c r="CG5392" s="319"/>
      <c r="CH5392" s="318"/>
      <c r="CI5392" s="319"/>
      <c r="CJ5392" s="319"/>
      <c r="CK5392" s="342"/>
      <c r="CL5392" s="333"/>
      <c r="CM5392" s="1079"/>
      <c r="CN5392" s="1005"/>
      <c r="CO5392" s="1005"/>
      <c r="CP5392" s="1005"/>
    </row>
    <row r="5393">
      <c r="A5393" s="1257"/>
      <c r="B5393" s="1113"/>
      <c r="C5393" s="1107"/>
      <c r="D5393" s="103"/>
      <c r="E5393" s="1137"/>
      <c r="F5393" s="112"/>
      <c r="G5393" s="1110"/>
      <c r="H5393" s="1138"/>
      <c r="I5393" s="1138"/>
      <c r="J5393" s="1139"/>
      <c r="K5393" s="1111"/>
      <c r="L5393" s="1112"/>
      <c r="M5393" s="1113"/>
      <c r="N5393" s="110"/>
      <c r="O5393" s="1140"/>
      <c r="P5393" s="1115"/>
      <c r="Q5393" s="1116"/>
      <c r="R5393" s="1141"/>
      <c r="S5393" s="1113"/>
      <c r="T5393" s="1143"/>
      <c r="U5393" s="1108"/>
      <c r="V5393" s="1108"/>
      <c r="W5393" s="1108"/>
      <c r="X5393" s="1108"/>
      <c r="Y5393" s="1108"/>
      <c r="Z5393" s="1114"/>
      <c r="AA5393" s="1114"/>
      <c r="AB5393" s="1114"/>
      <c r="AC5393" s="1117"/>
      <c r="AD5393" s="1115"/>
      <c r="AE5393" s="1115"/>
      <c r="AF5393" s="1115"/>
      <c r="AG5393" s="1115"/>
      <c r="AH5393" s="1115"/>
      <c r="AI5393" s="1115"/>
      <c r="AJ5393" s="1117"/>
      <c r="AK5393" s="1118"/>
      <c r="AL5393" s="1115"/>
      <c r="AM5393" s="1115"/>
      <c r="AN5393" s="1115"/>
      <c r="AO5393" s="1115"/>
      <c r="AP5393" s="1115"/>
      <c r="AQ5393" s="1115"/>
      <c r="AR5393" s="1115"/>
      <c r="AS5393" s="1117"/>
      <c r="AT5393" s="1075"/>
      <c r="AU5393" s="1193"/>
      <c r="AV5393" s="330"/>
      <c r="AW5393" s="331"/>
      <c r="AX5393" s="331"/>
      <c r="AY5393" s="331"/>
      <c r="AZ5393" s="331"/>
      <c r="BA5393" s="331"/>
      <c r="BB5393" s="331"/>
      <c r="BC5393" s="331"/>
      <c r="BD5393" s="331"/>
      <c r="BE5393" s="333"/>
      <c r="BF5393" s="330"/>
      <c r="BG5393" s="333"/>
      <c r="BH5393" s="1119"/>
      <c r="BI5393" s="319"/>
      <c r="BJ5393" s="319"/>
      <c r="BK5393" s="319"/>
      <c r="BL5393" s="319"/>
      <c r="BM5393" s="319"/>
      <c r="BN5393" s="319"/>
      <c r="BO5393" s="319"/>
      <c r="BP5393" s="953"/>
      <c r="BQ5393" s="319"/>
      <c r="BR5393" s="319"/>
      <c r="BS5393" s="330"/>
      <c r="BT5393" s="331"/>
      <c r="BU5393" s="920"/>
      <c r="BV5393" s="903"/>
      <c r="BW5393" s="908"/>
      <c r="BX5393" s="908"/>
      <c r="BY5393" s="331"/>
      <c r="BZ5393" s="331"/>
      <c r="CA5393" s="462"/>
      <c r="CB5393" s="319"/>
      <c r="CC5393" s="319"/>
      <c r="CD5393" s="319"/>
      <c r="CE5393" s="319"/>
      <c r="CF5393" s="319"/>
      <c r="CG5393" s="319"/>
      <c r="CH5393" s="318"/>
      <c r="CI5393" s="319"/>
      <c r="CJ5393" s="319"/>
      <c r="CK5393" s="342"/>
      <c r="CL5393" s="333"/>
      <c r="CM5393" s="1079"/>
      <c r="CN5393" s="1005"/>
      <c r="CO5393" s="1005"/>
      <c r="CP5393" s="1005"/>
    </row>
    <row r="5394">
      <c r="A5394" s="1257"/>
      <c r="B5394" s="1113"/>
      <c r="C5394" s="1107"/>
      <c r="D5394" s="103"/>
      <c r="E5394" s="1137"/>
      <c r="F5394" s="112"/>
      <c r="G5394" s="1110"/>
      <c r="H5394" s="1138"/>
      <c r="I5394" s="1138"/>
      <c r="J5394" s="1139"/>
      <c r="K5394" s="1111"/>
      <c r="L5394" s="1112"/>
      <c r="M5394" s="1113"/>
      <c r="N5394" s="110"/>
      <c r="O5394" s="1140"/>
      <c r="P5394" s="1115"/>
      <c r="Q5394" s="1116"/>
      <c r="R5394" s="1141"/>
      <c r="S5394" s="1113"/>
      <c r="T5394" s="1143"/>
      <c r="U5394" s="1108"/>
      <c r="V5394" s="1108"/>
      <c r="W5394" s="1108"/>
      <c r="X5394" s="1108"/>
      <c r="Y5394" s="1108"/>
      <c r="Z5394" s="1114"/>
      <c r="AA5394" s="1114"/>
      <c r="AB5394" s="1114"/>
      <c r="AC5394" s="1117"/>
      <c r="AD5394" s="1115"/>
      <c r="AE5394" s="1115"/>
      <c r="AF5394" s="1115"/>
      <c r="AG5394" s="1115"/>
      <c r="AH5394" s="1115"/>
      <c r="AI5394" s="1115"/>
      <c r="AJ5394" s="1117"/>
      <c r="AK5394" s="1118"/>
      <c r="AL5394" s="1115"/>
      <c r="AM5394" s="1115"/>
      <c r="AN5394" s="1115"/>
      <c r="AO5394" s="1115"/>
      <c r="AP5394" s="1115"/>
      <c r="AQ5394" s="1115"/>
      <c r="AR5394" s="1115"/>
      <c r="AS5394" s="1117"/>
      <c r="AT5394" s="1075"/>
      <c r="AU5394" s="1193"/>
      <c r="AV5394" s="330"/>
      <c r="AW5394" s="331"/>
      <c r="AX5394" s="331"/>
      <c r="AY5394" s="331"/>
      <c r="AZ5394" s="331"/>
      <c r="BA5394" s="331"/>
      <c r="BB5394" s="331"/>
      <c r="BC5394" s="331"/>
      <c r="BD5394" s="331"/>
      <c r="BE5394" s="333"/>
      <c r="BF5394" s="330"/>
      <c r="BG5394" s="333"/>
      <c r="BH5394" s="1119"/>
      <c r="BI5394" s="319"/>
      <c r="BJ5394" s="319"/>
      <c r="BK5394" s="319"/>
      <c r="BL5394" s="319"/>
      <c r="BM5394" s="319"/>
      <c r="BN5394" s="319"/>
      <c r="BO5394" s="319"/>
      <c r="BP5394" s="953"/>
      <c r="BQ5394" s="319"/>
      <c r="BR5394" s="319"/>
      <c r="BS5394" s="330"/>
      <c r="BT5394" s="331"/>
      <c r="BU5394" s="920"/>
      <c r="BV5394" s="903"/>
      <c r="BW5394" s="908"/>
      <c r="BX5394" s="908"/>
      <c r="BY5394" s="331"/>
      <c r="BZ5394" s="331"/>
      <c r="CA5394" s="462"/>
      <c r="CB5394" s="319"/>
      <c r="CC5394" s="319"/>
      <c r="CD5394" s="319"/>
      <c r="CE5394" s="319"/>
      <c r="CF5394" s="319"/>
      <c r="CG5394" s="319"/>
      <c r="CH5394" s="318"/>
      <c r="CI5394" s="319"/>
      <c r="CJ5394" s="319"/>
      <c r="CK5394" s="342"/>
      <c r="CL5394" s="333"/>
      <c r="CM5394" s="1079"/>
      <c r="CN5394" s="1005"/>
      <c r="CO5394" s="1005"/>
      <c r="CP5394" s="1005"/>
    </row>
    <row r="5395">
      <c r="A5395" s="1257"/>
      <c r="B5395" s="1113"/>
      <c r="C5395" s="1107"/>
      <c r="D5395" s="103"/>
      <c r="E5395" s="1137"/>
      <c r="F5395" s="112"/>
      <c r="G5395" s="1110"/>
      <c r="H5395" s="1138"/>
      <c r="I5395" s="1138"/>
      <c r="J5395" s="1139"/>
      <c r="K5395" s="1111"/>
      <c r="L5395" s="1112"/>
      <c r="M5395" s="1113"/>
      <c r="N5395" s="110"/>
      <c r="O5395" s="1140"/>
      <c r="P5395" s="1115"/>
      <c r="Q5395" s="1116"/>
      <c r="R5395" s="1141"/>
      <c r="S5395" s="1113"/>
      <c r="T5395" s="1143"/>
      <c r="U5395" s="1108"/>
      <c r="V5395" s="1108"/>
      <c r="W5395" s="1108"/>
      <c r="X5395" s="1108"/>
      <c r="Y5395" s="1108"/>
      <c r="Z5395" s="1114"/>
      <c r="AA5395" s="1114"/>
      <c r="AB5395" s="1114"/>
      <c r="AC5395" s="1117"/>
      <c r="AD5395" s="1115"/>
      <c r="AE5395" s="1115"/>
      <c r="AF5395" s="1115"/>
      <c r="AG5395" s="1115"/>
      <c r="AH5395" s="1115"/>
      <c r="AI5395" s="1115"/>
      <c r="AJ5395" s="1117"/>
      <c r="AK5395" s="1118"/>
      <c r="AL5395" s="1115"/>
      <c r="AM5395" s="1115"/>
      <c r="AN5395" s="1115"/>
      <c r="AO5395" s="1115"/>
      <c r="AP5395" s="1115"/>
      <c r="AQ5395" s="1115"/>
      <c r="AR5395" s="1115"/>
      <c r="AS5395" s="1117"/>
      <c r="AT5395" s="1075"/>
      <c r="AU5395" s="1193"/>
      <c r="AV5395" s="330"/>
      <c r="AW5395" s="331"/>
      <c r="AX5395" s="331"/>
      <c r="AY5395" s="331"/>
      <c r="AZ5395" s="331"/>
      <c r="BA5395" s="331"/>
      <c r="BB5395" s="331"/>
      <c r="BC5395" s="331"/>
      <c r="BD5395" s="331"/>
      <c r="BE5395" s="333"/>
      <c r="BF5395" s="330"/>
      <c r="BG5395" s="333"/>
      <c r="BH5395" s="1119"/>
      <c r="BI5395" s="319"/>
      <c r="BJ5395" s="319"/>
      <c r="BK5395" s="319"/>
      <c r="BL5395" s="319"/>
      <c r="BM5395" s="319"/>
      <c r="BN5395" s="319"/>
      <c r="BO5395" s="319"/>
      <c r="BP5395" s="953"/>
      <c r="BQ5395" s="319"/>
      <c r="BR5395" s="319"/>
      <c r="BS5395" s="330"/>
      <c r="BT5395" s="331"/>
      <c r="BU5395" s="920"/>
      <c r="BV5395" s="903"/>
      <c r="BW5395" s="908"/>
      <c r="BX5395" s="908"/>
      <c r="BY5395" s="331"/>
      <c r="BZ5395" s="331"/>
      <c r="CA5395" s="462"/>
      <c r="CB5395" s="319"/>
      <c r="CC5395" s="319"/>
      <c r="CD5395" s="319"/>
      <c r="CE5395" s="319"/>
      <c r="CF5395" s="319"/>
      <c r="CG5395" s="319"/>
      <c r="CH5395" s="318"/>
      <c r="CI5395" s="319"/>
      <c r="CJ5395" s="319"/>
      <c r="CK5395" s="342"/>
      <c r="CL5395" s="333"/>
      <c r="CM5395" s="1079"/>
      <c r="CN5395" s="1005"/>
      <c r="CO5395" s="1005"/>
      <c r="CP5395" s="1005"/>
    </row>
    <row r="5396">
      <c r="A5396" s="1257"/>
      <c r="B5396" s="1113"/>
      <c r="C5396" s="1107"/>
      <c r="D5396" s="103"/>
      <c r="E5396" s="1137"/>
      <c r="F5396" s="112"/>
      <c r="G5396" s="1110"/>
      <c r="H5396" s="1138"/>
      <c r="I5396" s="1138"/>
      <c r="J5396" s="1139"/>
      <c r="K5396" s="1111"/>
      <c r="L5396" s="1112"/>
      <c r="M5396" s="1113"/>
      <c r="N5396" s="110"/>
      <c r="O5396" s="1140"/>
      <c r="P5396" s="1115"/>
      <c r="Q5396" s="1116"/>
      <c r="R5396" s="1141"/>
      <c r="S5396" s="1113"/>
      <c r="T5396" s="1143"/>
      <c r="U5396" s="1108"/>
      <c r="V5396" s="1108"/>
      <c r="W5396" s="1108"/>
      <c r="X5396" s="1108"/>
      <c r="Y5396" s="1108"/>
      <c r="Z5396" s="1114"/>
      <c r="AA5396" s="1114"/>
      <c r="AB5396" s="1114"/>
      <c r="AC5396" s="1117"/>
      <c r="AD5396" s="1115"/>
      <c r="AE5396" s="1115"/>
      <c r="AF5396" s="1115"/>
      <c r="AG5396" s="1115"/>
      <c r="AH5396" s="1115"/>
      <c r="AI5396" s="1115"/>
      <c r="AJ5396" s="1117"/>
      <c r="AK5396" s="1118"/>
      <c r="AL5396" s="1115"/>
      <c r="AM5396" s="1115"/>
      <c r="AN5396" s="1115"/>
      <c r="AO5396" s="1115"/>
      <c r="AP5396" s="1115"/>
      <c r="AQ5396" s="1115"/>
      <c r="AR5396" s="1115"/>
      <c r="AS5396" s="1117"/>
      <c r="AT5396" s="1075"/>
      <c r="AU5396" s="1193"/>
      <c r="AV5396" s="330"/>
      <c r="AW5396" s="331"/>
      <c r="AX5396" s="331"/>
      <c r="AY5396" s="331"/>
      <c r="AZ5396" s="331"/>
      <c r="BA5396" s="331"/>
      <c r="BB5396" s="331"/>
      <c r="BC5396" s="331"/>
      <c r="BD5396" s="331"/>
      <c r="BE5396" s="333"/>
      <c r="BF5396" s="330"/>
      <c r="BG5396" s="333"/>
      <c r="BH5396" s="1119"/>
      <c r="BI5396" s="319"/>
      <c r="BJ5396" s="319"/>
      <c r="BK5396" s="319"/>
      <c r="BL5396" s="319"/>
      <c r="BM5396" s="319"/>
      <c r="BN5396" s="319"/>
      <c r="BO5396" s="319"/>
      <c r="BP5396" s="953"/>
      <c r="BQ5396" s="319"/>
      <c r="BR5396" s="319"/>
      <c r="BS5396" s="330"/>
      <c r="BT5396" s="331"/>
      <c r="BU5396" s="920"/>
      <c r="BV5396" s="903"/>
      <c r="BW5396" s="908"/>
      <c r="BX5396" s="908"/>
      <c r="BY5396" s="331"/>
      <c r="BZ5396" s="331"/>
      <c r="CA5396" s="462"/>
      <c r="CB5396" s="319"/>
      <c r="CC5396" s="319"/>
      <c r="CD5396" s="319"/>
      <c r="CE5396" s="319"/>
      <c r="CF5396" s="319"/>
      <c r="CG5396" s="319"/>
      <c r="CH5396" s="318"/>
      <c r="CI5396" s="319"/>
      <c r="CJ5396" s="319"/>
      <c r="CK5396" s="342"/>
      <c r="CL5396" s="333"/>
      <c r="CM5396" s="1079"/>
      <c r="CN5396" s="1005"/>
      <c r="CO5396" s="1005"/>
      <c r="CP5396" s="1005"/>
    </row>
    <row r="5397">
      <c r="A5397" s="1257"/>
      <c r="B5397" s="1113"/>
      <c r="C5397" s="1107"/>
      <c r="D5397" s="103"/>
      <c r="E5397" s="1137"/>
      <c r="F5397" s="112"/>
      <c r="G5397" s="1110"/>
      <c r="H5397" s="1138"/>
      <c r="I5397" s="1138"/>
      <c r="J5397" s="1139"/>
      <c r="K5397" s="1111"/>
      <c r="L5397" s="1112"/>
      <c r="M5397" s="1113"/>
      <c r="N5397" s="110"/>
      <c r="O5397" s="1140"/>
      <c r="P5397" s="1115"/>
      <c r="Q5397" s="1116"/>
      <c r="R5397" s="1141"/>
      <c r="S5397" s="1113"/>
      <c r="T5397" s="1143"/>
      <c r="U5397" s="1108"/>
      <c r="V5397" s="1108"/>
      <c r="W5397" s="1108"/>
      <c r="X5397" s="1108"/>
      <c r="Y5397" s="1108"/>
      <c r="Z5397" s="1114"/>
      <c r="AA5397" s="1114"/>
      <c r="AB5397" s="1114"/>
      <c r="AC5397" s="1117"/>
      <c r="AD5397" s="1115"/>
      <c r="AE5397" s="1115"/>
      <c r="AF5397" s="1115"/>
      <c r="AG5397" s="1115"/>
      <c r="AH5397" s="1115"/>
      <c r="AI5397" s="1115"/>
      <c r="AJ5397" s="1117"/>
      <c r="AK5397" s="1118"/>
      <c r="AL5397" s="1115"/>
      <c r="AM5397" s="1115"/>
      <c r="AN5397" s="1115"/>
      <c r="AO5397" s="1115"/>
      <c r="AP5397" s="1115"/>
      <c r="AQ5397" s="1115"/>
      <c r="AR5397" s="1115"/>
      <c r="AS5397" s="1117"/>
      <c r="AT5397" s="1075"/>
      <c r="AU5397" s="1193"/>
      <c r="AV5397" s="330"/>
      <c r="AW5397" s="331"/>
      <c r="AX5397" s="331"/>
      <c r="AY5397" s="331"/>
      <c r="AZ5397" s="331"/>
      <c r="BA5397" s="331"/>
      <c r="BB5397" s="331"/>
      <c r="BC5397" s="331"/>
      <c r="BD5397" s="331"/>
      <c r="BE5397" s="333"/>
      <c r="BF5397" s="330"/>
      <c r="BG5397" s="333"/>
      <c r="BH5397" s="1119"/>
      <c r="BI5397" s="319"/>
      <c r="BJ5397" s="319"/>
      <c r="BK5397" s="319"/>
      <c r="BL5397" s="319"/>
      <c r="BM5397" s="319"/>
      <c r="BN5397" s="319"/>
      <c r="BO5397" s="319"/>
      <c r="BP5397" s="953"/>
      <c r="BQ5397" s="319"/>
      <c r="BR5397" s="319"/>
      <c r="BS5397" s="330"/>
      <c r="BT5397" s="331"/>
      <c r="BU5397" s="920"/>
      <c r="BV5397" s="903"/>
      <c r="BW5397" s="908"/>
      <c r="BX5397" s="908"/>
      <c r="BY5397" s="331"/>
      <c r="BZ5397" s="331"/>
      <c r="CA5397" s="462"/>
      <c r="CB5397" s="319"/>
      <c r="CC5397" s="319"/>
      <c r="CD5397" s="319"/>
      <c r="CE5397" s="319"/>
      <c r="CF5397" s="319"/>
      <c r="CG5397" s="319"/>
      <c r="CH5397" s="318"/>
      <c r="CI5397" s="319"/>
      <c r="CJ5397" s="319"/>
      <c r="CK5397" s="342"/>
      <c r="CL5397" s="333"/>
      <c r="CM5397" s="1079"/>
      <c r="CN5397" s="1005"/>
      <c r="CO5397" s="1005"/>
      <c r="CP5397" s="1005"/>
    </row>
    <row r="5398">
      <c r="A5398" s="1257"/>
      <c r="B5398" s="1113"/>
      <c r="C5398" s="1107"/>
      <c r="D5398" s="103"/>
      <c r="E5398" s="1137"/>
      <c r="F5398" s="112"/>
      <c r="G5398" s="1110"/>
      <c r="H5398" s="1138"/>
      <c r="I5398" s="1138"/>
      <c r="J5398" s="1139"/>
      <c r="K5398" s="1111"/>
      <c r="L5398" s="1112"/>
      <c r="M5398" s="1113"/>
      <c r="N5398" s="110"/>
      <c r="O5398" s="1140"/>
      <c r="P5398" s="1115"/>
      <c r="Q5398" s="1116"/>
      <c r="R5398" s="1141"/>
      <c r="S5398" s="1113"/>
      <c r="T5398" s="1143"/>
      <c r="U5398" s="1108"/>
      <c r="V5398" s="1108"/>
      <c r="W5398" s="1108"/>
      <c r="X5398" s="1108"/>
      <c r="Y5398" s="1108"/>
      <c r="Z5398" s="1114"/>
      <c r="AA5398" s="1114"/>
      <c r="AB5398" s="1114"/>
      <c r="AC5398" s="1117"/>
      <c r="AD5398" s="1115"/>
      <c r="AE5398" s="1115"/>
      <c r="AF5398" s="1115"/>
      <c r="AG5398" s="1115"/>
      <c r="AH5398" s="1115"/>
      <c r="AI5398" s="1115"/>
      <c r="AJ5398" s="1117"/>
      <c r="AK5398" s="1118"/>
      <c r="AL5398" s="1115"/>
      <c r="AM5398" s="1115"/>
      <c r="AN5398" s="1115"/>
      <c r="AO5398" s="1115"/>
      <c r="AP5398" s="1115"/>
      <c r="AQ5398" s="1115"/>
      <c r="AR5398" s="1115"/>
      <c r="AS5398" s="1117"/>
      <c r="AT5398" s="1075"/>
      <c r="AU5398" s="1193"/>
      <c r="AV5398" s="330"/>
      <c r="AW5398" s="331"/>
      <c r="AX5398" s="331"/>
      <c r="AY5398" s="331"/>
      <c r="AZ5398" s="331"/>
      <c r="BA5398" s="331"/>
      <c r="BB5398" s="331"/>
      <c r="BC5398" s="331"/>
      <c r="BD5398" s="331"/>
      <c r="BE5398" s="333"/>
      <c r="BF5398" s="330"/>
      <c r="BG5398" s="333"/>
      <c r="BH5398" s="1119"/>
      <c r="BI5398" s="319"/>
      <c r="BJ5398" s="319"/>
      <c r="BK5398" s="319"/>
      <c r="BL5398" s="319"/>
      <c r="BM5398" s="319"/>
      <c r="BN5398" s="319"/>
      <c r="BO5398" s="319"/>
      <c r="BP5398" s="953"/>
      <c r="BQ5398" s="319"/>
      <c r="BR5398" s="319"/>
      <c r="BS5398" s="330"/>
      <c r="BT5398" s="331"/>
      <c r="BU5398" s="920"/>
      <c r="BV5398" s="903"/>
      <c r="BW5398" s="908"/>
      <c r="BX5398" s="908"/>
      <c r="BY5398" s="331"/>
      <c r="BZ5398" s="331"/>
      <c r="CA5398" s="462"/>
      <c r="CB5398" s="319"/>
      <c r="CC5398" s="319"/>
      <c r="CD5398" s="319"/>
      <c r="CE5398" s="319"/>
      <c r="CF5398" s="319"/>
      <c r="CG5398" s="319"/>
      <c r="CH5398" s="318"/>
      <c r="CI5398" s="319"/>
      <c r="CJ5398" s="319"/>
      <c r="CK5398" s="342"/>
      <c r="CL5398" s="333"/>
      <c r="CM5398" s="1079"/>
      <c r="CN5398" s="1005"/>
      <c r="CO5398" s="1005"/>
      <c r="CP5398" s="1005"/>
    </row>
    <row r="5399">
      <c r="A5399" s="1257"/>
      <c r="B5399" s="1113"/>
      <c r="C5399" s="1107"/>
      <c r="D5399" s="103"/>
      <c r="E5399" s="1137"/>
      <c r="F5399" s="112"/>
      <c r="G5399" s="1110"/>
      <c r="H5399" s="1138"/>
      <c r="I5399" s="1138"/>
      <c r="J5399" s="1139"/>
      <c r="K5399" s="1111"/>
      <c r="L5399" s="1112"/>
      <c r="M5399" s="1113"/>
      <c r="N5399" s="110"/>
      <c r="O5399" s="1140"/>
      <c r="P5399" s="1115"/>
      <c r="Q5399" s="1116"/>
      <c r="R5399" s="1141"/>
      <c r="S5399" s="1113"/>
      <c r="T5399" s="1143"/>
      <c r="U5399" s="1108"/>
      <c r="V5399" s="1108"/>
      <c r="W5399" s="1108"/>
      <c r="X5399" s="1108"/>
      <c r="Y5399" s="1108"/>
      <c r="Z5399" s="1114"/>
      <c r="AA5399" s="1114"/>
      <c r="AB5399" s="1114"/>
      <c r="AC5399" s="1117"/>
      <c r="AD5399" s="1115"/>
      <c r="AE5399" s="1115"/>
      <c r="AF5399" s="1115"/>
      <c r="AG5399" s="1115"/>
      <c r="AH5399" s="1115"/>
      <c r="AI5399" s="1115"/>
      <c r="AJ5399" s="1117"/>
      <c r="AK5399" s="1118"/>
      <c r="AL5399" s="1115"/>
      <c r="AM5399" s="1115"/>
      <c r="AN5399" s="1115"/>
      <c r="AO5399" s="1115"/>
      <c r="AP5399" s="1115"/>
      <c r="AQ5399" s="1115"/>
      <c r="AR5399" s="1115"/>
      <c r="AS5399" s="1117"/>
      <c r="AT5399" s="1075"/>
      <c r="AU5399" s="1193"/>
      <c r="AV5399" s="330"/>
      <c r="AW5399" s="331"/>
      <c r="AX5399" s="331"/>
      <c r="AY5399" s="331"/>
      <c r="AZ5399" s="331"/>
      <c r="BA5399" s="331"/>
      <c r="BB5399" s="331"/>
      <c r="BC5399" s="331"/>
      <c r="BD5399" s="331"/>
      <c r="BE5399" s="333"/>
      <c r="BF5399" s="330"/>
      <c r="BG5399" s="333"/>
      <c r="BH5399" s="1119"/>
      <c r="BI5399" s="319"/>
      <c r="BJ5399" s="319"/>
      <c r="BK5399" s="319"/>
      <c r="BL5399" s="319"/>
      <c r="BM5399" s="319"/>
      <c r="BN5399" s="319"/>
      <c r="BO5399" s="319"/>
      <c r="BP5399" s="953"/>
      <c r="BQ5399" s="319"/>
      <c r="BR5399" s="319"/>
      <c r="BS5399" s="330"/>
      <c r="BT5399" s="331"/>
      <c r="BU5399" s="920"/>
      <c r="BV5399" s="903"/>
      <c r="BW5399" s="908"/>
      <c r="BX5399" s="908"/>
      <c r="BY5399" s="331"/>
      <c r="BZ5399" s="331"/>
      <c r="CA5399" s="462"/>
      <c r="CB5399" s="319"/>
      <c r="CC5399" s="319"/>
      <c r="CD5399" s="319"/>
      <c r="CE5399" s="319"/>
      <c r="CF5399" s="319"/>
      <c r="CG5399" s="319"/>
      <c r="CH5399" s="318"/>
      <c r="CI5399" s="319"/>
      <c r="CJ5399" s="319"/>
      <c r="CK5399" s="342"/>
      <c r="CL5399" s="333"/>
      <c r="CM5399" s="1079"/>
      <c r="CN5399" s="1005"/>
      <c r="CO5399" s="1005"/>
      <c r="CP5399" s="1005"/>
    </row>
    <row r="5400">
      <c r="A5400" s="1257"/>
      <c r="B5400" s="1113"/>
      <c r="C5400" s="1107"/>
      <c r="D5400" s="103"/>
      <c r="E5400" s="1137"/>
      <c r="F5400" s="112"/>
      <c r="G5400" s="1110"/>
      <c r="H5400" s="1138"/>
      <c r="I5400" s="1138"/>
      <c r="J5400" s="1139"/>
      <c r="K5400" s="1111"/>
      <c r="L5400" s="1112"/>
      <c r="M5400" s="1113"/>
      <c r="N5400" s="110"/>
      <c r="O5400" s="1140"/>
      <c r="P5400" s="1115"/>
      <c r="Q5400" s="1116"/>
      <c r="R5400" s="1141"/>
      <c r="S5400" s="1113"/>
      <c r="T5400" s="1143"/>
      <c r="U5400" s="1108"/>
      <c r="V5400" s="1108"/>
      <c r="W5400" s="1108"/>
      <c r="X5400" s="1108"/>
      <c r="Y5400" s="1108"/>
      <c r="Z5400" s="1114"/>
      <c r="AA5400" s="1114"/>
      <c r="AB5400" s="1114"/>
      <c r="AC5400" s="1117"/>
      <c r="AD5400" s="1115"/>
      <c r="AE5400" s="1115"/>
      <c r="AF5400" s="1115"/>
      <c r="AG5400" s="1115"/>
      <c r="AH5400" s="1115"/>
      <c r="AI5400" s="1115"/>
      <c r="AJ5400" s="1117"/>
      <c r="AK5400" s="1118"/>
      <c r="AL5400" s="1115"/>
      <c r="AM5400" s="1115"/>
      <c r="AN5400" s="1115"/>
      <c r="AO5400" s="1115"/>
      <c r="AP5400" s="1115"/>
      <c r="AQ5400" s="1115"/>
      <c r="AR5400" s="1115"/>
      <c r="AS5400" s="1117"/>
      <c r="AT5400" s="1075"/>
      <c r="AU5400" s="1193"/>
      <c r="AV5400" s="330"/>
      <c r="AW5400" s="331"/>
      <c r="AX5400" s="331"/>
      <c r="AY5400" s="331"/>
      <c r="AZ5400" s="331"/>
      <c r="BA5400" s="331"/>
      <c r="BB5400" s="331"/>
      <c r="BC5400" s="331"/>
      <c r="BD5400" s="331"/>
      <c r="BE5400" s="333"/>
      <c r="BF5400" s="330"/>
      <c r="BG5400" s="333"/>
      <c r="BH5400" s="1119"/>
      <c r="BI5400" s="319"/>
      <c r="BJ5400" s="319"/>
      <c r="BK5400" s="319"/>
      <c r="BL5400" s="319"/>
      <c r="BM5400" s="319"/>
      <c r="BN5400" s="319"/>
      <c r="BO5400" s="319"/>
      <c r="BP5400" s="953"/>
      <c r="BQ5400" s="319"/>
      <c r="BR5400" s="319"/>
      <c r="BS5400" s="330"/>
      <c r="BT5400" s="331"/>
      <c r="BU5400" s="920"/>
      <c r="BV5400" s="903"/>
      <c r="BW5400" s="908"/>
      <c r="BX5400" s="908"/>
      <c r="BY5400" s="331"/>
      <c r="BZ5400" s="331"/>
      <c r="CA5400" s="462"/>
      <c r="CB5400" s="319"/>
      <c r="CC5400" s="319"/>
      <c r="CD5400" s="319"/>
      <c r="CE5400" s="319"/>
      <c r="CF5400" s="319"/>
      <c r="CG5400" s="319"/>
      <c r="CH5400" s="318"/>
      <c r="CI5400" s="319"/>
      <c r="CJ5400" s="319"/>
      <c r="CK5400" s="342"/>
      <c r="CL5400" s="333"/>
      <c r="CM5400" s="1079"/>
      <c r="CN5400" s="1005"/>
      <c r="CO5400" s="1005"/>
      <c r="CP5400" s="1005"/>
    </row>
    <row r="5401">
      <c r="A5401" s="1257"/>
      <c r="B5401" s="1113"/>
      <c r="C5401" s="1107"/>
      <c r="D5401" s="103"/>
      <c r="E5401" s="1137"/>
      <c r="F5401" s="112"/>
      <c r="G5401" s="1110"/>
      <c r="H5401" s="1138"/>
      <c r="I5401" s="1138"/>
      <c r="J5401" s="1139"/>
      <c r="K5401" s="1111"/>
      <c r="L5401" s="1112"/>
      <c r="M5401" s="1113"/>
      <c r="N5401" s="110"/>
      <c r="O5401" s="1140"/>
      <c r="P5401" s="1115"/>
      <c r="Q5401" s="1116"/>
      <c r="R5401" s="1141"/>
      <c r="S5401" s="1113"/>
      <c r="T5401" s="1143"/>
      <c r="U5401" s="1108"/>
      <c r="V5401" s="1108"/>
      <c r="W5401" s="1108"/>
      <c r="X5401" s="1108"/>
      <c r="Y5401" s="1108"/>
      <c r="Z5401" s="1114"/>
      <c r="AA5401" s="1114"/>
      <c r="AB5401" s="1114"/>
      <c r="AC5401" s="1117"/>
      <c r="AD5401" s="1115"/>
      <c r="AE5401" s="1115"/>
      <c r="AF5401" s="1115"/>
      <c r="AG5401" s="1115"/>
      <c r="AH5401" s="1115"/>
      <c r="AI5401" s="1115"/>
      <c r="AJ5401" s="1117"/>
      <c r="AK5401" s="1118"/>
      <c r="AL5401" s="1115"/>
      <c r="AM5401" s="1115"/>
      <c r="AN5401" s="1115"/>
      <c r="AO5401" s="1115"/>
      <c r="AP5401" s="1115"/>
      <c r="AQ5401" s="1115"/>
      <c r="AR5401" s="1115"/>
      <c r="AS5401" s="1117"/>
      <c r="AT5401" s="1075"/>
      <c r="AU5401" s="1193"/>
      <c r="AV5401" s="330"/>
      <c r="AW5401" s="331"/>
      <c r="AX5401" s="331"/>
      <c r="AY5401" s="331"/>
      <c r="AZ5401" s="331"/>
      <c r="BA5401" s="331"/>
      <c r="BB5401" s="331"/>
      <c r="BC5401" s="331"/>
      <c r="BD5401" s="331"/>
      <c r="BE5401" s="333"/>
      <c r="BF5401" s="330"/>
      <c r="BG5401" s="333"/>
      <c r="BH5401" s="1119"/>
      <c r="BI5401" s="319"/>
      <c r="BJ5401" s="319"/>
      <c r="BK5401" s="319"/>
      <c r="BL5401" s="319"/>
      <c r="BM5401" s="319"/>
      <c r="BN5401" s="319"/>
      <c r="BO5401" s="319"/>
      <c r="BP5401" s="953"/>
      <c r="BQ5401" s="319"/>
      <c r="BR5401" s="319"/>
      <c r="BS5401" s="330"/>
      <c r="BT5401" s="331"/>
      <c r="BU5401" s="920"/>
      <c r="BV5401" s="903"/>
      <c r="BW5401" s="908"/>
      <c r="BX5401" s="908"/>
      <c r="BY5401" s="331"/>
      <c r="BZ5401" s="331"/>
      <c r="CA5401" s="462"/>
      <c r="CB5401" s="319"/>
      <c r="CC5401" s="319"/>
      <c r="CD5401" s="319"/>
      <c r="CE5401" s="319"/>
      <c r="CF5401" s="319"/>
      <c r="CG5401" s="319"/>
      <c r="CH5401" s="318"/>
      <c r="CI5401" s="319"/>
      <c r="CJ5401" s="319"/>
      <c r="CK5401" s="342"/>
      <c r="CL5401" s="333"/>
      <c r="CM5401" s="1079"/>
      <c r="CN5401" s="1005"/>
      <c r="CO5401" s="1005"/>
      <c r="CP5401" s="1005"/>
    </row>
    <row r="5402">
      <c r="A5402" s="1257"/>
      <c r="B5402" s="1113"/>
      <c r="C5402" s="1107"/>
      <c r="D5402" s="103"/>
      <c r="E5402" s="1137"/>
      <c r="F5402" s="112"/>
      <c r="G5402" s="1110"/>
      <c r="H5402" s="1138"/>
      <c r="I5402" s="1138"/>
      <c r="J5402" s="1139"/>
      <c r="K5402" s="1111"/>
      <c r="L5402" s="1112"/>
      <c r="M5402" s="1113"/>
      <c r="N5402" s="110"/>
      <c r="O5402" s="1140"/>
      <c r="P5402" s="1115"/>
      <c r="Q5402" s="1116"/>
      <c r="R5402" s="1141"/>
      <c r="S5402" s="1113"/>
      <c r="T5402" s="1143"/>
      <c r="U5402" s="1108"/>
      <c r="V5402" s="1108"/>
      <c r="W5402" s="1108"/>
      <c r="X5402" s="1108"/>
      <c r="Y5402" s="1108"/>
      <c r="Z5402" s="1114"/>
      <c r="AA5402" s="1114"/>
      <c r="AB5402" s="1114"/>
      <c r="AC5402" s="1117"/>
      <c r="AD5402" s="1115"/>
      <c r="AE5402" s="1115"/>
      <c r="AF5402" s="1115"/>
      <c r="AG5402" s="1115"/>
      <c r="AH5402" s="1115"/>
      <c r="AI5402" s="1115"/>
      <c r="AJ5402" s="1117"/>
      <c r="AK5402" s="1118"/>
      <c r="AL5402" s="1115"/>
      <c r="AM5402" s="1115"/>
      <c r="AN5402" s="1115"/>
      <c r="AO5402" s="1115"/>
      <c r="AP5402" s="1115"/>
      <c r="AQ5402" s="1115"/>
      <c r="AR5402" s="1115"/>
      <c r="AS5402" s="1117"/>
      <c r="AT5402" s="1075"/>
      <c r="AU5402" s="1193"/>
      <c r="AV5402" s="330"/>
      <c r="AW5402" s="331"/>
      <c r="AX5402" s="331"/>
      <c r="AY5402" s="331"/>
      <c r="AZ5402" s="331"/>
      <c r="BA5402" s="331"/>
      <c r="BB5402" s="331"/>
      <c r="BC5402" s="331"/>
      <c r="BD5402" s="331"/>
      <c r="BE5402" s="333"/>
      <c r="BF5402" s="330"/>
      <c r="BG5402" s="333"/>
      <c r="BH5402" s="1119"/>
      <c r="BI5402" s="319"/>
      <c r="BJ5402" s="319"/>
      <c r="BK5402" s="319"/>
      <c r="BL5402" s="319"/>
      <c r="BM5402" s="319"/>
      <c r="BN5402" s="319"/>
      <c r="BO5402" s="319"/>
      <c r="BP5402" s="953"/>
      <c r="BQ5402" s="319"/>
      <c r="BR5402" s="319"/>
      <c r="BS5402" s="330"/>
      <c r="BT5402" s="331"/>
      <c r="BU5402" s="920"/>
      <c r="BV5402" s="903"/>
      <c r="BW5402" s="908"/>
      <c r="BX5402" s="908"/>
      <c r="BY5402" s="331"/>
      <c r="BZ5402" s="331"/>
      <c r="CA5402" s="462"/>
      <c r="CB5402" s="319"/>
      <c r="CC5402" s="319"/>
      <c r="CD5402" s="319"/>
      <c r="CE5402" s="319"/>
      <c r="CF5402" s="319"/>
      <c r="CG5402" s="319"/>
      <c r="CH5402" s="318"/>
      <c r="CI5402" s="319"/>
      <c r="CJ5402" s="319"/>
      <c r="CK5402" s="342"/>
      <c r="CL5402" s="333"/>
      <c r="CM5402" s="1079"/>
      <c r="CN5402" s="1005"/>
      <c r="CO5402" s="1005"/>
      <c r="CP5402" s="1005"/>
    </row>
    <row r="5403">
      <c r="A5403" s="1257"/>
      <c r="B5403" s="1113"/>
      <c r="C5403" s="1107"/>
      <c r="D5403" s="103"/>
      <c r="E5403" s="1137"/>
      <c r="F5403" s="112"/>
      <c r="G5403" s="1110"/>
      <c r="H5403" s="1138"/>
      <c r="I5403" s="1138"/>
      <c r="J5403" s="1139"/>
      <c r="K5403" s="1111"/>
      <c r="L5403" s="1112"/>
      <c r="M5403" s="1113"/>
      <c r="N5403" s="110"/>
      <c r="O5403" s="1140"/>
      <c r="P5403" s="1115"/>
      <c r="Q5403" s="1116"/>
      <c r="R5403" s="1141"/>
      <c r="S5403" s="1113"/>
      <c r="T5403" s="1143"/>
      <c r="U5403" s="1108"/>
      <c r="V5403" s="1108"/>
      <c r="W5403" s="1108"/>
      <c r="X5403" s="1108"/>
      <c r="Y5403" s="1108"/>
      <c r="Z5403" s="1114"/>
      <c r="AA5403" s="1114"/>
      <c r="AB5403" s="1114"/>
      <c r="AC5403" s="1117"/>
      <c r="AD5403" s="1115"/>
      <c r="AE5403" s="1115"/>
      <c r="AF5403" s="1115"/>
      <c r="AG5403" s="1115"/>
      <c r="AH5403" s="1115"/>
      <c r="AI5403" s="1115"/>
      <c r="AJ5403" s="1117"/>
      <c r="AK5403" s="1118"/>
      <c r="AL5403" s="1115"/>
      <c r="AM5403" s="1115"/>
      <c r="AN5403" s="1115"/>
      <c r="AO5403" s="1115"/>
      <c r="AP5403" s="1115"/>
      <c r="AQ5403" s="1115"/>
      <c r="AR5403" s="1115"/>
      <c r="AS5403" s="1117"/>
      <c r="AT5403" s="1075"/>
      <c r="AU5403" s="1193"/>
      <c r="AV5403" s="330"/>
      <c r="AW5403" s="331"/>
      <c r="AX5403" s="331"/>
      <c r="AY5403" s="331"/>
      <c r="AZ5403" s="331"/>
      <c r="BA5403" s="331"/>
      <c r="BB5403" s="331"/>
      <c r="BC5403" s="331"/>
      <c r="BD5403" s="331"/>
      <c r="BE5403" s="333"/>
      <c r="BF5403" s="330"/>
      <c r="BG5403" s="333"/>
      <c r="BH5403" s="1119"/>
      <c r="BI5403" s="319"/>
      <c r="BJ5403" s="319"/>
      <c r="BK5403" s="319"/>
      <c r="BL5403" s="319"/>
      <c r="BM5403" s="319"/>
      <c r="BN5403" s="319"/>
      <c r="BO5403" s="319"/>
      <c r="BP5403" s="953"/>
      <c r="BQ5403" s="319"/>
      <c r="BR5403" s="319"/>
      <c r="BS5403" s="330"/>
      <c r="BT5403" s="331"/>
      <c r="BU5403" s="920"/>
      <c r="BV5403" s="903"/>
      <c r="BW5403" s="908"/>
      <c r="BX5403" s="908"/>
      <c r="BY5403" s="331"/>
      <c r="BZ5403" s="331"/>
      <c r="CA5403" s="462"/>
      <c r="CB5403" s="319"/>
      <c r="CC5403" s="319"/>
      <c r="CD5403" s="319"/>
      <c r="CE5403" s="319"/>
      <c r="CF5403" s="319"/>
      <c r="CG5403" s="319"/>
      <c r="CH5403" s="318"/>
      <c r="CI5403" s="319"/>
      <c r="CJ5403" s="319"/>
      <c r="CK5403" s="342"/>
      <c r="CL5403" s="333"/>
      <c r="CM5403" s="1079"/>
      <c r="CN5403" s="1005"/>
      <c r="CO5403" s="1005"/>
      <c r="CP5403" s="1005"/>
    </row>
    <row r="5404">
      <c r="A5404" s="1257"/>
      <c r="B5404" s="1113"/>
      <c r="C5404" s="1107"/>
      <c r="D5404" s="103"/>
      <c r="E5404" s="1137"/>
      <c r="F5404" s="112"/>
      <c r="G5404" s="1110"/>
      <c r="H5404" s="1138"/>
      <c r="I5404" s="1138"/>
      <c r="J5404" s="1139"/>
      <c r="K5404" s="1111"/>
      <c r="L5404" s="1112"/>
      <c r="M5404" s="1113"/>
      <c r="N5404" s="110"/>
      <c r="O5404" s="1140"/>
      <c r="P5404" s="1115"/>
      <c r="Q5404" s="1116"/>
      <c r="R5404" s="1141"/>
      <c r="S5404" s="1113"/>
      <c r="T5404" s="1143"/>
      <c r="U5404" s="1108"/>
      <c r="V5404" s="1108"/>
      <c r="W5404" s="1108"/>
      <c r="X5404" s="1108"/>
      <c r="Y5404" s="1108"/>
      <c r="Z5404" s="1114"/>
      <c r="AA5404" s="1114"/>
      <c r="AB5404" s="1114"/>
      <c r="AC5404" s="1117"/>
      <c r="AD5404" s="1115"/>
      <c r="AE5404" s="1115"/>
      <c r="AF5404" s="1115"/>
      <c r="AG5404" s="1115"/>
      <c r="AH5404" s="1115"/>
      <c r="AI5404" s="1115"/>
      <c r="AJ5404" s="1117"/>
      <c r="AK5404" s="1118"/>
      <c r="AL5404" s="1115"/>
      <c r="AM5404" s="1115"/>
      <c r="AN5404" s="1115"/>
      <c r="AO5404" s="1115"/>
      <c r="AP5404" s="1115"/>
      <c r="AQ5404" s="1115"/>
      <c r="AR5404" s="1115"/>
      <c r="AS5404" s="1117"/>
      <c r="AT5404" s="1075"/>
      <c r="AU5404" s="1193"/>
      <c r="AV5404" s="330"/>
      <c r="AW5404" s="331"/>
      <c r="AX5404" s="331"/>
      <c r="AY5404" s="331"/>
      <c r="AZ5404" s="331"/>
      <c r="BA5404" s="331"/>
      <c r="BB5404" s="331"/>
      <c r="BC5404" s="331"/>
      <c r="BD5404" s="331"/>
      <c r="BE5404" s="333"/>
      <c r="BF5404" s="330"/>
      <c r="BG5404" s="333"/>
      <c r="BH5404" s="1119"/>
      <c r="BI5404" s="319"/>
      <c r="BJ5404" s="319"/>
      <c r="BK5404" s="319"/>
      <c r="BL5404" s="319"/>
      <c r="BM5404" s="319"/>
      <c r="BN5404" s="319"/>
      <c r="BO5404" s="319"/>
      <c r="BP5404" s="953"/>
      <c r="BQ5404" s="319"/>
      <c r="BR5404" s="319"/>
      <c r="BS5404" s="330"/>
      <c r="BT5404" s="331"/>
      <c r="BU5404" s="920"/>
      <c r="BV5404" s="903"/>
      <c r="BW5404" s="908"/>
      <c r="BX5404" s="908"/>
      <c r="BY5404" s="331"/>
      <c r="BZ5404" s="331"/>
      <c r="CA5404" s="462"/>
      <c r="CB5404" s="319"/>
      <c r="CC5404" s="319"/>
      <c r="CD5404" s="319"/>
      <c r="CE5404" s="319"/>
      <c r="CF5404" s="319"/>
      <c r="CG5404" s="319"/>
      <c r="CH5404" s="318"/>
      <c r="CI5404" s="319"/>
      <c r="CJ5404" s="319"/>
      <c r="CK5404" s="342"/>
      <c r="CL5404" s="333"/>
      <c r="CM5404" s="1079"/>
      <c r="CN5404" s="1005"/>
      <c r="CO5404" s="1005"/>
      <c r="CP5404" s="1005"/>
    </row>
    <row r="5405">
      <c r="A5405" s="1257"/>
      <c r="B5405" s="1113"/>
      <c r="C5405" s="1107"/>
      <c r="D5405" s="103"/>
      <c r="E5405" s="1137"/>
      <c r="F5405" s="112"/>
      <c r="G5405" s="1110"/>
      <c r="H5405" s="1138"/>
      <c r="I5405" s="1138"/>
      <c r="J5405" s="1139"/>
      <c r="K5405" s="1111"/>
      <c r="L5405" s="1112"/>
      <c r="M5405" s="1113"/>
      <c r="N5405" s="110"/>
      <c r="O5405" s="1140"/>
      <c r="P5405" s="1115"/>
      <c r="Q5405" s="1116"/>
      <c r="R5405" s="1141"/>
      <c r="S5405" s="1113"/>
      <c r="T5405" s="1143"/>
      <c r="U5405" s="1108"/>
      <c r="V5405" s="1108"/>
      <c r="W5405" s="1108"/>
      <c r="X5405" s="1108"/>
      <c r="Y5405" s="1108"/>
      <c r="Z5405" s="1114"/>
      <c r="AA5405" s="1114"/>
      <c r="AB5405" s="1114"/>
      <c r="AC5405" s="1117"/>
      <c r="AD5405" s="1115"/>
      <c r="AE5405" s="1115"/>
      <c r="AF5405" s="1115"/>
      <c r="AG5405" s="1115"/>
      <c r="AH5405" s="1115"/>
      <c r="AI5405" s="1115"/>
      <c r="AJ5405" s="1117"/>
      <c r="AK5405" s="1118"/>
      <c r="AL5405" s="1115"/>
      <c r="AM5405" s="1115"/>
      <c r="AN5405" s="1115"/>
      <c r="AO5405" s="1115"/>
      <c r="AP5405" s="1115"/>
      <c r="AQ5405" s="1115"/>
      <c r="AR5405" s="1115"/>
      <c r="AS5405" s="1117"/>
      <c r="AT5405" s="1075"/>
      <c r="AU5405" s="1193"/>
      <c r="AV5405" s="330"/>
      <c r="AW5405" s="331"/>
      <c r="AX5405" s="331"/>
      <c r="AY5405" s="331"/>
      <c r="AZ5405" s="331"/>
      <c r="BA5405" s="331"/>
      <c r="BB5405" s="331"/>
      <c r="BC5405" s="331"/>
      <c r="BD5405" s="331"/>
      <c r="BE5405" s="333"/>
      <c r="BF5405" s="330"/>
      <c r="BG5405" s="333"/>
      <c r="BH5405" s="1119"/>
      <c r="BI5405" s="319"/>
      <c r="BJ5405" s="319"/>
      <c r="BK5405" s="319"/>
      <c r="BL5405" s="319"/>
      <c r="BM5405" s="319"/>
      <c r="BN5405" s="319"/>
      <c r="BO5405" s="319"/>
      <c r="BP5405" s="953"/>
      <c r="BQ5405" s="319"/>
      <c r="BR5405" s="319"/>
      <c r="BS5405" s="330"/>
      <c r="BT5405" s="331"/>
      <c r="BU5405" s="920"/>
      <c r="BV5405" s="903"/>
      <c r="BW5405" s="908"/>
      <c r="BX5405" s="908"/>
      <c r="BY5405" s="331"/>
      <c r="BZ5405" s="331"/>
      <c r="CA5405" s="462"/>
      <c r="CB5405" s="319"/>
      <c r="CC5405" s="319"/>
      <c r="CD5405" s="319"/>
      <c r="CE5405" s="319"/>
      <c r="CF5405" s="319"/>
      <c r="CG5405" s="319"/>
      <c r="CH5405" s="318"/>
      <c r="CI5405" s="319"/>
      <c r="CJ5405" s="319"/>
      <c r="CK5405" s="342"/>
      <c r="CL5405" s="333"/>
      <c r="CM5405" s="1079"/>
      <c r="CN5405" s="1005"/>
      <c r="CO5405" s="1005"/>
      <c r="CP5405" s="1005"/>
    </row>
    <row r="5406">
      <c r="A5406" s="1257"/>
      <c r="B5406" s="1113"/>
      <c r="C5406" s="1107"/>
      <c r="D5406" s="103"/>
      <c r="E5406" s="1137"/>
      <c r="F5406" s="112"/>
      <c r="G5406" s="1110"/>
      <c r="H5406" s="1138"/>
      <c r="I5406" s="1138"/>
      <c r="J5406" s="1139"/>
      <c r="K5406" s="1111"/>
      <c r="L5406" s="1112"/>
      <c r="M5406" s="1113"/>
      <c r="N5406" s="110"/>
      <c r="O5406" s="1140"/>
      <c r="P5406" s="1115"/>
      <c r="Q5406" s="1116"/>
      <c r="R5406" s="1141"/>
      <c r="S5406" s="1113"/>
      <c r="T5406" s="1143"/>
      <c r="U5406" s="1108"/>
      <c r="V5406" s="1108"/>
      <c r="W5406" s="1108"/>
      <c r="X5406" s="1108"/>
      <c r="Y5406" s="1108"/>
      <c r="Z5406" s="1114"/>
      <c r="AA5406" s="1114"/>
      <c r="AB5406" s="1114"/>
      <c r="AC5406" s="1117"/>
      <c r="AD5406" s="1115"/>
      <c r="AE5406" s="1115"/>
      <c r="AF5406" s="1115"/>
      <c r="AG5406" s="1115"/>
      <c r="AH5406" s="1115"/>
      <c r="AI5406" s="1115"/>
      <c r="AJ5406" s="1117"/>
      <c r="AK5406" s="1118"/>
      <c r="AL5406" s="1115"/>
      <c r="AM5406" s="1115"/>
      <c r="AN5406" s="1115"/>
      <c r="AO5406" s="1115"/>
      <c r="AP5406" s="1115"/>
      <c r="AQ5406" s="1115"/>
      <c r="AR5406" s="1115"/>
      <c r="AS5406" s="1117"/>
      <c r="AT5406" s="1075"/>
      <c r="AU5406" s="1193"/>
      <c r="AV5406" s="330"/>
      <c r="AW5406" s="331"/>
      <c r="AX5406" s="331"/>
      <c r="AY5406" s="331"/>
      <c r="AZ5406" s="331"/>
      <c r="BA5406" s="331"/>
      <c r="BB5406" s="331"/>
      <c r="BC5406" s="331"/>
      <c r="BD5406" s="331"/>
      <c r="BE5406" s="333"/>
      <c r="BF5406" s="330"/>
      <c r="BG5406" s="333"/>
      <c r="BH5406" s="1119"/>
      <c r="BI5406" s="319"/>
      <c r="BJ5406" s="319"/>
      <c r="BK5406" s="319"/>
      <c r="BL5406" s="319"/>
      <c r="BM5406" s="319"/>
      <c r="BN5406" s="319"/>
      <c r="BO5406" s="319"/>
      <c r="BP5406" s="953"/>
      <c r="BQ5406" s="319"/>
      <c r="BR5406" s="319"/>
      <c r="BS5406" s="330"/>
      <c r="BT5406" s="331"/>
      <c r="BU5406" s="920"/>
      <c r="BV5406" s="903"/>
      <c r="BW5406" s="908"/>
      <c r="BX5406" s="908"/>
      <c r="BY5406" s="331"/>
      <c r="BZ5406" s="331"/>
      <c r="CA5406" s="462"/>
      <c r="CB5406" s="319"/>
      <c r="CC5406" s="319"/>
      <c r="CD5406" s="319"/>
      <c r="CE5406" s="319"/>
      <c r="CF5406" s="319"/>
      <c r="CG5406" s="319"/>
      <c r="CH5406" s="318"/>
      <c r="CI5406" s="319"/>
      <c r="CJ5406" s="319"/>
      <c r="CK5406" s="342"/>
      <c r="CL5406" s="333"/>
      <c r="CM5406" s="1079"/>
      <c r="CN5406" s="1005"/>
      <c r="CO5406" s="1005"/>
      <c r="CP5406" s="1005"/>
    </row>
    <row r="5407">
      <c r="A5407" s="1257"/>
      <c r="B5407" s="1113"/>
      <c r="C5407" s="1107"/>
      <c r="D5407" s="103"/>
      <c r="E5407" s="1137"/>
      <c r="F5407" s="112"/>
      <c r="G5407" s="1110"/>
      <c r="H5407" s="1138"/>
      <c r="I5407" s="1138"/>
      <c r="J5407" s="1139"/>
      <c r="K5407" s="1111"/>
      <c r="L5407" s="1112"/>
      <c r="M5407" s="1113"/>
      <c r="N5407" s="110"/>
      <c r="O5407" s="1140"/>
      <c r="P5407" s="1115"/>
      <c r="Q5407" s="1116"/>
      <c r="R5407" s="1141"/>
      <c r="S5407" s="1113"/>
      <c r="T5407" s="1143"/>
      <c r="U5407" s="1108"/>
      <c r="V5407" s="1108"/>
      <c r="W5407" s="1108"/>
      <c r="X5407" s="1108"/>
      <c r="Y5407" s="1108"/>
      <c r="Z5407" s="1114"/>
      <c r="AA5407" s="1114"/>
      <c r="AB5407" s="1114"/>
      <c r="AC5407" s="1117"/>
      <c r="AD5407" s="1115"/>
      <c r="AE5407" s="1115"/>
      <c r="AF5407" s="1115"/>
      <c r="AG5407" s="1115"/>
      <c r="AH5407" s="1115"/>
      <c r="AI5407" s="1115"/>
      <c r="AJ5407" s="1117"/>
      <c r="AK5407" s="1118"/>
      <c r="AL5407" s="1115"/>
      <c r="AM5407" s="1115"/>
      <c r="AN5407" s="1115"/>
      <c r="AO5407" s="1115"/>
      <c r="AP5407" s="1115"/>
      <c r="AQ5407" s="1115"/>
      <c r="AR5407" s="1115"/>
      <c r="AS5407" s="1117"/>
      <c r="AT5407" s="1075"/>
      <c r="AU5407" s="1193"/>
      <c r="AV5407" s="330"/>
      <c r="AW5407" s="331"/>
      <c r="AX5407" s="331"/>
      <c r="AY5407" s="331"/>
      <c r="AZ5407" s="331"/>
      <c r="BA5407" s="331"/>
      <c r="BB5407" s="331"/>
      <c r="BC5407" s="331"/>
      <c r="BD5407" s="331"/>
      <c r="BE5407" s="333"/>
      <c r="BF5407" s="330"/>
      <c r="BG5407" s="333"/>
      <c r="BH5407" s="1119"/>
      <c r="BI5407" s="319"/>
      <c r="BJ5407" s="319"/>
      <c r="BK5407" s="319"/>
      <c r="BL5407" s="319"/>
      <c r="BM5407" s="319"/>
      <c r="BN5407" s="319"/>
      <c r="BO5407" s="319"/>
      <c r="BP5407" s="953"/>
      <c r="BQ5407" s="319"/>
      <c r="BR5407" s="319"/>
      <c r="BS5407" s="330"/>
      <c r="BT5407" s="331"/>
      <c r="BU5407" s="920"/>
      <c r="BV5407" s="903"/>
      <c r="BW5407" s="908"/>
      <c r="BX5407" s="908"/>
      <c r="BY5407" s="331"/>
      <c r="BZ5407" s="331"/>
      <c r="CA5407" s="462"/>
      <c r="CB5407" s="319"/>
      <c r="CC5407" s="319"/>
      <c r="CD5407" s="319"/>
      <c r="CE5407" s="319"/>
      <c r="CF5407" s="319"/>
      <c r="CG5407" s="319"/>
      <c r="CH5407" s="318"/>
      <c r="CI5407" s="319"/>
      <c r="CJ5407" s="319"/>
      <c r="CK5407" s="342"/>
      <c r="CL5407" s="333"/>
      <c r="CM5407" s="1079"/>
      <c r="CN5407" s="1005"/>
      <c r="CO5407" s="1005"/>
      <c r="CP5407" s="1005"/>
    </row>
    <row r="5408">
      <c r="A5408" s="1257"/>
      <c r="B5408" s="1113"/>
      <c r="C5408" s="1107"/>
      <c r="D5408" s="103"/>
      <c r="E5408" s="1137"/>
      <c r="F5408" s="112"/>
      <c r="G5408" s="1110"/>
      <c r="H5408" s="1138"/>
      <c r="I5408" s="1138"/>
      <c r="J5408" s="1139"/>
      <c r="K5408" s="1111"/>
      <c r="L5408" s="1112"/>
      <c r="M5408" s="1113"/>
      <c r="N5408" s="110"/>
      <c r="O5408" s="1140"/>
      <c r="P5408" s="1115"/>
      <c r="Q5408" s="1116"/>
      <c r="R5408" s="1141"/>
      <c r="S5408" s="1113"/>
      <c r="T5408" s="1143"/>
      <c r="U5408" s="1108"/>
      <c r="V5408" s="1108"/>
      <c r="W5408" s="1108"/>
      <c r="X5408" s="1108"/>
      <c r="Y5408" s="1108"/>
      <c r="Z5408" s="1114"/>
      <c r="AA5408" s="1114"/>
      <c r="AB5408" s="1114"/>
      <c r="AC5408" s="1117"/>
      <c r="AD5408" s="1115"/>
      <c r="AE5408" s="1115"/>
      <c r="AF5408" s="1115"/>
      <c r="AG5408" s="1115"/>
      <c r="AH5408" s="1115"/>
      <c r="AI5408" s="1115"/>
      <c r="AJ5408" s="1117"/>
      <c r="AK5408" s="1118"/>
      <c r="AL5408" s="1115"/>
      <c r="AM5408" s="1115"/>
      <c r="AN5408" s="1115"/>
      <c r="AO5408" s="1115"/>
      <c r="AP5408" s="1115"/>
      <c r="AQ5408" s="1115"/>
      <c r="AR5408" s="1115"/>
      <c r="AS5408" s="1117"/>
      <c r="AT5408" s="1075"/>
      <c r="AU5408" s="1193"/>
      <c r="AV5408" s="330"/>
      <c r="AW5408" s="331"/>
      <c r="AX5408" s="331"/>
      <c r="AY5408" s="331"/>
      <c r="AZ5408" s="331"/>
      <c r="BA5408" s="331"/>
      <c r="BB5408" s="331"/>
      <c r="BC5408" s="331"/>
      <c r="BD5408" s="331"/>
      <c r="BE5408" s="333"/>
      <c r="BF5408" s="330"/>
      <c r="BG5408" s="333"/>
      <c r="BH5408" s="1119"/>
      <c r="BI5408" s="319"/>
      <c r="BJ5408" s="319"/>
      <c r="BK5408" s="319"/>
      <c r="BL5408" s="319"/>
      <c r="BM5408" s="319"/>
      <c r="BN5408" s="319"/>
      <c r="BO5408" s="319"/>
      <c r="BP5408" s="953"/>
      <c r="BQ5408" s="319"/>
      <c r="BR5408" s="319"/>
      <c r="BS5408" s="330"/>
      <c r="BT5408" s="331"/>
      <c r="BU5408" s="920"/>
      <c r="BV5408" s="903"/>
      <c r="BW5408" s="908"/>
      <c r="BX5408" s="908"/>
      <c r="BY5408" s="331"/>
      <c r="BZ5408" s="331"/>
      <c r="CA5408" s="462"/>
      <c r="CB5408" s="319"/>
      <c r="CC5408" s="319"/>
      <c r="CD5408" s="319"/>
      <c r="CE5408" s="319"/>
      <c r="CF5408" s="319"/>
      <c r="CG5408" s="319"/>
      <c r="CH5408" s="318"/>
      <c r="CI5408" s="319"/>
      <c r="CJ5408" s="319"/>
      <c r="CK5408" s="342"/>
      <c r="CL5408" s="333"/>
      <c r="CM5408" s="1079"/>
      <c r="CN5408" s="1005"/>
      <c r="CO5408" s="1005"/>
      <c r="CP5408" s="1005"/>
    </row>
    <row r="5409">
      <c r="A5409" s="1257"/>
      <c r="B5409" s="1113"/>
      <c r="C5409" s="1107"/>
      <c r="D5409" s="103"/>
      <c r="E5409" s="1137"/>
      <c r="F5409" s="112"/>
      <c r="G5409" s="1110"/>
      <c r="H5409" s="1138"/>
      <c r="I5409" s="1138"/>
      <c r="J5409" s="1139"/>
      <c r="K5409" s="1111"/>
      <c r="L5409" s="1112"/>
      <c r="M5409" s="1113"/>
      <c r="N5409" s="110"/>
      <c r="O5409" s="1140"/>
      <c r="P5409" s="1115"/>
      <c r="Q5409" s="1116"/>
      <c r="R5409" s="1141"/>
      <c r="S5409" s="1113"/>
      <c r="T5409" s="1143"/>
      <c r="U5409" s="1108"/>
      <c r="V5409" s="1108"/>
      <c r="W5409" s="1108"/>
      <c r="X5409" s="1108"/>
      <c r="Y5409" s="1108"/>
      <c r="Z5409" s="1114"/>
      <c r="AA5409" s="1114"/>
      <c r="AB5409" s="1114"/>
      <c r="AC5409" s="1117"/>
      <c r="AD5409" s="1115"/>
      <c r="AE5409" s="1115"/>
      <c r="AF5409" s="1115"/>
      <c r="AG5409" s="1115"/>
      <c r="AH5409" s="1115"/>
      <c r="AI5409" s="1115"/>
      <c r="AJ5409" s="1117"/>
      <c r="AK5409" s="1118"/>
      <c r="AL5409" s="1115"/>
      <c r="AM5409" s="1115"/>
      <c r="AN5409" s="1115"/>
      <c r="AO5409" s="1115"/>
      <c r="AP5409" s="1115"/>
      <c r="AQ5409" s="1115"/>
      <c r="AR5409" s="1115"/>
      <c r="AS5409" s="1117"/>
      <c r="AT5409" s="1075"/>
      <c r="AU5409" s="1193"/>
      <c r="AV5409" s="330"/>
      <c r="AW5409" s="331"/>
      <c r="AX5409" s="331"/>
      <c r="AY5409" s="331"/>
      <c r="AZ5409" s="331"/>
      <c r="BA5409" s="331"/>
      <c r="BB5409" s="331"/>
      <c r="BC5409" s="331"/>
      <c r="BD5409" s="331"/>
      <c r="BE5409" s="333"/>
      <c r="BF5409" s="330"/>
      <c r="BG5409" s="333"/>
      <c r="BH5409" s="1119"/>
      <c r="BI5409" s="319"/>
      <c r="BJ5409" s="319"/>
      <c r="BK5409" s="319"/>
      <c r="BL5409" s="319"/>
      <c r="BM5409" s="319"/>
      <c r="BN5409" s="319"/>
      <c r="BO5409" s="319"/>
      <c r="BP5409" s="953"/>
      <c r="BQ5409" s="319"/>
      <c r="BR5409" s="319"/>
      <c r="BS5409" s="330"/>
      <c r="BT5409" s="331"/>
      <c r="BU5409" s="920"/>
      <c r="BV5409" s="903"/>
      <c r="BW5409" s="908"/>
      <c r="BX5409" s="908"/>
      <c r="BY5409" s="331"/>
      <c r="BZ5409" s="331"/>
      <c r="CA5409" s="462"/>
      <c r="CB5409" s="319"/>
      <c r="CC5409" s="319"/>
      <c r="CD5409" s="319"/>
      <c r="CE5409" s="319"/>
      <c r="CF5409" s="319"/>
      <c r="CG5409" s="319"/>
      <c r="CH5409" s="318"/>
      <c r="CI5409" s="319"/>
      <c r="CJ5409" s="319"/>
      <c r="CK5409" s="342"/>
      <c r="CL5409" s="333"/>
      <c r="CM5409" s="1079"/>
      <c r="CN5409" s="1005"/>
      <c r="CO5409" s="1005"/>
      <c r="CP5409" s="1005"/>
    </row>
    <row r="5410">
      <c r="A5410" s="1257"/>
      <c r="B5410" s="1113"/>
      <c r="C5410" s="1107"/>
      <c r="D5410" s="103"/>
      <c r="E5410" s="1137"/>
      <c r="F5410" s="112"/>
      <c r="G5410" s="1110"/>
      <c r="H5410" s="1138"/>
      <c r="I5410" s="1138"/>
      <c r="J5410" s="1139"/>
      <c r="K5410" s="1111"/>
      <c r="L5410" s="1112"/>
      <c r="M5410" s="1113"/>
      <c r="N5410" s="110"/>
      <c r="O5410" s="1140"/>
      <c r="P5410" s="1115"/>
      <c r="Q5410" s="1116"/>
      <c r="R5410" s="1141"/>
      <c r="S5410" s="1113"/>
      <c r="T5410" s="1143"/>
      <c r="U5410" s="1108"/>
      <c r="V5410" s="1108"/>
      <c r="W5410" s="1108"/>
      <c r="X5410" s="1108"/>
      <c r="Y5410" s="1108"/>
      <c r="Z5410" s="1114"/>
      <c r="AA5410" s="1114"/>
      <c r="AB5410" s="1114"/>
      <c r="AC5410" s="1117"/>
      <c r="AD5410" s="1115"/>
      <c r="AE5410" s="1115"/>
      <c r="AF5410" s="1115"/>
      <c r="AG5410" s="1115"/>
      <c r="AH5410" s="1115"/>
      <c r="AI5410" s="1115"/>
      <c r="AJ5410" s="1117"/>
      <c r="AK5410" s="1118"/>
      <c r="AL5410" s="1115"/>
      <c r="AM5410" s="1115"/>
      <c r="AN5410" s="1115"/>
      <c r="AO5410" s="1115"/>
      <c r="AP5410" s="1115"/>
      <c r="AQ5410" s="1115"/>
      <c r="AR5410" s="1115"/>
      <c r="AS5410" s="1117"/>
      <c r="AT5410" s="1075"/>
      <c r="AU5410" s="1193"/>
      <c r="AV5410" s="330"/>
      <c r="AW5410" s="331"/>
      <c r="AX5410" s="331"/>
      <c r="AY5410" s="331"/>
      <c r="AZ5410" s="331"/>
      <c r="BA5410" s="331"/>
      <c r="BB5410" s="331"/>
      <c r="BC5410" s="331"/>
      <c r="BD5410" s="331"/>
      <c r="BE5410" s="333"/>
      <c r="BF5410" s="330"/>
      <c r="BG5410" s="333"/>
      <c r="BH5410" s="1119"/>
      <c r="BI5410" s="319"/>
      <c r="BJ5410" s="319"/>
      <c r="BK5410" s="319"/>
      <c r="BL5410" s="319"/>
      <c r="BM5410" s="319"/>
      <c r="BN5410" s="319"/>
      <c r="BO5410" s="319"/>
      <c r="BP5410" s="953"/>
      <c r="BQ5410" s="319"/>
      <c r="BR5410" s="319"/>
      <c r="BS5410" s="330"/>
      <c r="BT5410" s="331"/>
      <c r="BU5410" s="920"/>
      <c r="BV5410" s="903"/>
      <c r="BW5410" s="908"/>
      <c r="BX5410" s="908"/>
      <c r="BY5410" s="331"/>
      <c r="BZ5410" s="331"/>
      <c r="CA5410" s="462"/>
      <c r="CB5410" s="319"/>
      <c r="CC5410" s="319"/>
      <c r="CD5410" s="319"/>
      <c r="CE5410" s="319"/>
      <c r="CF5410" s="319"/>
      <c r="CG5410" s="319"/>
      <c r="CH5410" s="318"/>
      <c r="CI5410" s="319"/>
      <c r="CJ5410" s="319"/>
      <c r="CK5410" s="342"/>
      <c r="CL5410" s="333"/>
      <c r="CM5410" s="1079"/>
      <c r="CN5410" s="1005"/>
      <c r="CO5410" s="1005"/>
      <c r="CP5410" s="1005"/>
    </row>
    <row r="5411">
      <c r="A5411" s="1257"/>
      <c r="B5411" s="1113"/>
      <c r="C5411" s="1107"/>
      <c r="D5411" s="103"/>
      <c r="E5411" s="1137"/>
      <c r="F5411" s="112"/>
      <c r="G5411" s="1110"/>
      <c r="H5411" s="1138"/>
      <c r="I5411" s="1138"/>
      <c r="J5411" s="1139"/>
      <c r="K5411" s="1111"/>
      <c r="L5411" s="1112"/>
      <c r="M5411" s="1113"/>
      <c r="N5411" s="110"/>
      <c r="O5411" s="1140"/>
      <c r="P5411" s="1115"/>
      <c r="Q5411" s="1116"/>
      <c r="R5411" s="1141"/>
      <c r="S5411" s="1113"/>
      <c r="T5411" s="1143"/>
      <c r="U5411" s="1108"/>
      <c r="V5411" s="1108"/>
      <c r="W5411" s="1108"/>
      <c r="X5411" s="1108"/>
      <c r="Y5411" s="1108"/>
      <c r="Z5411" s="1114"/>
      <c r="AA5411" s="1114"/>
      <c r="AB5411" s="1114"/>
      <c r="AC5411" s="1117"/>
      <c r="AD5411" s="1115"/>
      <c r="AE5411" s="1115"/>
      <c r="AF5411" s="1115"/>
      <c r="AG5411" s="1115"/>
      <c r="AH5411" s="1115"/>
      <c r="AI5411" s="1115"/>
      <c r="AJ5411" s="1117"/>
      <c r="AK5411" s="1118"/>
      <c r="AL5411" s="1115"/>
      <c r="AM5411" s="1115"/>
      <c r="AN5411" s="1115"/>
      <c r="AO5411" s="1115"/>
      <c r="AP5411" s="1115"/>
      <c r="AQ5411" s="1115"/>
      <c r="AR5411" s="1115"/>
      <c r="AS5411" s="1117"/>
      <c r="AT5411" s="1075"/>
      <c r="AU5411" s="1193"/>
      <c r="AV5411" s="330"/>
      <c r="AW5411" s="331"/>
      <c r="AX5411" s="331"/>
      <c r="AY5411" s="331"/>
      <c r="AZ5411" s="331"/>
      <c r="BA5411" s="331"/>
      <c r="BB5411" s="331"/>
      <c r="BC5411" s="331"/>
      <c r="BD5411" s="331"/>
      <c r="BE5411" s="333"/>
      <c r="BF5411" s="330"/>
      <c r="BG5411" s="333"/>
      <c r="BH5411" s="1119"/>
      <c r="BI5411" s="319"/>
      <c r="BJ5411" s="319"/>
      <c r="BK5411" s="319"/>
      <c r="BL5411" s="319"/>
      <c r="BM5411" s="319"/>
      <c r="BN5411" s="319"/>
      <c r="BO5411" s="319"/>
      <c r="BP5411" s="953"/>
      <c r="BQ5411" s="319"/>
      <c r="BR5411" s="319"/>
      <c r="BS5411" s="330"/>
      <c r="BT5411" s="331"/>
      <c r="BU5411" s="920"/>
      <c r="BV5411" s="903"/>
      <c r="BW5411" s="908"/>
      <c r="BX5411" s="908"/>
      <c r="BY5411" s="331"/>
      <c r="BZ5411" s="331"/>
      <c r="CA5411" s="462"/>
      <c r="CB5411" s="319"/>
      <c r="CC5411" s="319"/>
      <c r="CD5411" s="319"/>
      <c r="CE5411" s="319"/>
      <c r="CF5411" s="319"/>
      <c r="CG5411" s="319"/>
      <c r="CH5411" s="318"/>
      <c r="CI5411" s="319"/>
      <c r="CJ5411" s="319"/>
      <c r="CK5411" s="342"/>
      <c r="CL5411" s="333"/>
      <c r="CM5411" s="1079"/>
      <c r="CN5411" s="1005"/>
      <c r="CO5411" s="1005"/>
      <c r="CP5411" s="1005"/>
    </row>
    <row r="5412">
      <c r="A5412" s="1257"/>
      <c r="B5412" s="1113"/>
      <c r="C5412" s="1107"/>
      <c r="D5412" s="103"/>
      <c r="E5412" s="1137"/>
      <c r="F5412" s="112"/>
      <c r="G5412" s="1110"/>
      <c r="H5412" s="1138"/>
      <c r="I5412" s="1138"/>
      <c r="J5412" s="1139"/>
      <c r="K5412" s="1111"/>
      <c r="L5412" s="1112"/>
      <c r="M5412" s="1113"/>
      <c r="N5412" s="110"/>
      <c r="O5412" s="1140"/>
      <c r="P5412" s="1115"/>
      <c r="Q5412" s="1116"/>
      <c r="R5412" s="1141"/>
      <c r="S5412" s="1113"/>
      <c r="T5412" s="1143"/>
      <c r="U5412" s="1108"/>
      <c r="V5412" s="1108"/>
      <c r="W5412" s="1108"/>
      <c r="X5412" s="1108"/>
      <c r="Y5412" s="1108"/>
      <c r="Z5412" s="1114"/>
      <c r="AA5412" s="1114"/>
      <c r="AB5412" s="1114"/>
      <c r="AC5412" s="1117"/>
      <c r="AD5412" s="1115"/>
      <c r="AE5412" s="1115"/>
      <c r="AF5412" s="1115"/>
      <c r="AG5412" s="1115"/>
      <c r="AH5412" s="1115"/>
      <c r="AI5412" s="1115"/>
      <c r="AJ5412" s="1117"/>
      <c r="AK5412" s="1118"/>
      <c r="AL5412" s="1115"/>
      <c r="AM5412" s="1115"/>
      <c r="AN5412" s="1115"/>
      <c r="AO5412" s="1115"/>
      <c r="AP5412" s="1115"/>
      <c r="AQ5412" s="1115"/>
      <c r="AR5412" s="1115"/>
      <c r="AS5412" s="1117"/>
      <c r="AT5412" s="1075"/>
      <c r="AU5412" s="1193"/>
      <c r="AV5412" s="330"/>
      <c r="AW5412" s="331"/>
      <c r="AX5412" s="331"/>
      <c r="AY5412" s="331"/>
      <c r="AZ5412" s="331"/>
      <c r="BA5412" s="331"/>
      <c r="BB5412" s="331"/>
      <c r="BC5412" s="331"/>
      <c r="BD5412" s="331"/>
      <c r="BE5412" s="333"/>
      <c r="BF5412" s="330"/>
      <c r="BG5412" s="333"/>
      <c r="BH5412" s="1119"/>
      <c r="BI5412" s="319"/>
      <c r="BJ5412" s="319"/>
      <c r="BK5412" s="319"/>
      <c r="BL5412" s="319"/>
      <c r="BM5412" s="319"/>
      <c r="BN5412" s="319"/>
      <c r="BO5412" s="319"/>
      <c r="BP5412" s="953"/>
      <c r="BQ5412" s="319"/>
      <c r="BR5412" s="319"/>
      <c r="BS5412" s="330"/>
      <c r="BT5412" s="331"/>
      <c r="BU5412" s="920"/>
      <c r="BV5412" s="903"/>
      <c r="BW5412" s="908"/>
      <c r="BX5412" s="908"/>
      <c r="BY5412" s="331"/>
      <c r="BZ5412" s="331"/>
      <c r="CA5412" s="462"/>
      <c r="CB5412" s="319"/>
      <c r="CC5412" s="319"/>
      <c r="CD5412" s="319"/>
      <c r="CE5412" s="319"/>
      <c r="CF5412" s="319"/>
      <c r="CG5412" s="319"/>
      <c r="CH5412" s="318"/>
      <c r="CI5412" s="319"/>
      <c r="CJ5412" s="319"/>
      <c r="CK5412" s="342"/>
      <c r="CL5412" s="333"/>
      <c r="CM5412" s="1079"/>
      <c r="CN5412" s="1005"/>
      <c r="CO5412" s="1005"/>
      <c r="CP5412" s="1005"/>
    </row>
    <row r="5413">
      <c r="A5413" s="1257"/>
      <c r="B5413" s="1113"/>
      <c r="C5413" s="1107"/>
      <c r="D5413" s="103"/>
      <c r="E5413" s="1137"/>
      <c r="F5413" s="112"/>
      <c r="G5413" s="1110"/>
      <c r="H5413" s="1138"/>
      <c r="I5413" s="1138"/>
      <c r="J5413" s="1139"/>
      <c r="K5413" s="1111"/>
      <c r="L5413" s="1112"/>
      <c r="M5413" s="1113"/>
      <c r="N5413" s="110"/>
      <c r="O5413" s="1140"/>
      <c r="P5413" s="1115"/>
      <c r="Q5413" s="1116"/>
      <c r="R5413" s="1141"/>
      <c r="S5413" s="1113"/>
      <c r="T5413" s="1143"/>
      <c r="U5413" s="1108"/>
      <c r="V5413" s="1108"/>
      <c r="W5413" s="1108"/>
      <c r="X5413" s="1108"/>
      <c r="Y5413" s="1108"/>
      <c r="Z5413" s="1114"/>
      <c r="AA5413" s="1114"/>
      <c r="AB5413" s="1114"/>
      <c r="AC5413" s="1117"/>
      <c r="AD5413" s="1115"/>
      <c r="AE5413" s="1115"/>
      <c r="AF5413" s="1115"/>
      <c r="AG5413" s="1115"/>
      <c r="AH5413" s="1115"/>
      <c r="AI5413" s="1115"/>
      <c r="AJ5413" s="1117"/>
      <c r="AK5413" s="1118"/>
      <c r="AL5413" s="1115"/>
      <c r="AM5413" s="1115"/>
      <c r="AN5413" s="1115"/>
      <c r="AO5413" s="1115"/>
      <c r="AP5413" s="1115"/>
      <c r="AQ5413" s="1115"/>
      <c r="AR5413" s="1115"/>
      <c r="AS5413" s="1117"/>
      <c r="AT5413" s="1075"/>
      <c r="AU5413" s="1193"/>
      <c r="AV5413" s="330"/>
      <c r="AW5413" s="331"/>
      <c r="AX5413" s="331"/>
      <c r="AY5413" s="331"/>
      <c r="AZ5413" s="331"/>
      <c r="BA5413" s="331"/>
      <c r="BB5413" s="331"/>
      <c r="BC5413" s="331"/>
      <c r="BD5413" s="331"/>
      <c r="BE5413" s="333"/>
      <c r="BF5413" s="330"/>
      <c r="BG5413" s="333"/>
      <c r="BH5413" s="1119"/>
      <c r="BI5413" s="319"/>
      <c r="BJ5413" s="319"/>
      <c r="BK5413" s="319"/>
      <c r="BL5413" s="319"/>
      <c r="BM5413" s="319"/>
      <c r="BN5413" s="319"/>
      <c r="BO5413" s="319"/>
      <c r="BP5413" s="953"/>
      <c r="BQ5413" s="319"/>
      <c r="BR5413" s="319"/>
      <c r="BS5413" s="330"/>
      <c r="BT5413" s="331"/>
      <c r="BU5413" s="920"/>
      <c r="BV5413" s="903"/>
      <c r="BW5413" s="908"/>
      <c r="BX5413" s="908"/>
      <c r="BY5413" s="331"/>
      <c r="BZ5413" s="331"/>
      <c r="CA5413" s="462"/>
      <c r="CB5413" s="319"/>
      <c r="CC5413" s="319"/>
      <c r="CD5413" s="319"/>
      <c r="CE5413" s="319"/>
      <c r="CF5413" s="319"/>
      <c r="CG5413" s="319"/>
      <c r="CH5413" s="318"/>
      <c r="CI5413" s="319"/>
      <c r="CJ5413" s="319"/>
      <c r="CK5413" s="342"/>
      <c r="CL5413" s="333"/>
      <c r="CM5413" s="1079"/>
      <c r="CN5413" s="1005"/>
      <c r="CO5413" s="1005"/>
      <c r="CP5413" s="1005"/>
    </row>
    <row r="5414">
      <c r="A5414" s="1257"/>
      <c r="B5414" s="1113"/>
      <c r="C5414" s="1107"/>
      <c r="D5414" s="103"/>
      <c r="E5414" s="1137"/>
      <c r="F5414" s="112"/>
      <c r="G5414" s="1110"/>
      <c r="H5414" s="1138"/>
      <c r="I5414" s="1138"/>
      <c r="J5414" s="1139"/>
      <c r="K5414" s="1111"/>
      <c r="L5414" s="1112"/>
      <c r="M5414" s="1113"/>
      <c r="N5414" s="110"/>
      <c r="O5414" s="1140"/>
      <c r="P5414" s="1115"/>
      <c r="Q5414" s="1116"/>
      <c r="R5414" s="1141"/>
      <c r="S5414" s="1113"/>
      <c r="T5414" s="1143"/>
      <c r="U5414" s="1108"/>
      <c r="V5414" s="1108"/>
      <c r="W5414" s="1108"/>
      <c r="X5414" s="1108"/>
      <c r="Y5414" s="1108"/>
      <c r="Z5414" s="1114"/>
      <c r="AA5414" s="1114"/>
      <c r="AB5414" s="1114"/>
      <c r="AC5414" s="1117"/>
      <c r="AD5414" s="1115"/>
      <c r="AE5414" s="1115"/>
      <c r="AF5414" s="1115"/>
      <c r="AG5414" s="1115"/>
      <c r="AH5414" s="1115"/>
      <c r="AI5414" s="1115"/>
      <c r="AJ5414" s="1117"/>
      <c r="AK5414" s="1118"/>
      <c r="AL5414" s="1115"/>
      <c r="AM5414" s="1115"/>
      <c r="AN5414" s="1115"/>
      <c r="AO5414" s="1115"/>
      <c r="AP5414" s="1115"/>
      <c r="AQ5414" s="1115"/>
      <c r="AR5414" s="1115"/>
      <c r="AS5414" s="1117"/>
      <c r="AT5414" s="1075"/>
      <c r="AU5414" s="1193"/>
      <c r="AV5414" s="330"/>
      <c r="AW5414" s="331"/>
      <c r="AX5414" s="331"/>
      <c r="AY5414" s="331"/>
      <c r="AZ5414" s="331"/>
      <c r="BA5414" s="331"/>
      <c r="BB5414" s="331"/>
      <c r="BC5414" s="331"/>
      <c r="BD5414" s="331"/>
      <c r="BE5414" s="333"/>
      <c r="BF5414" s="330"/>
      <c r="BG5414" s="333"/>
      <c r="BH5414" s="1119"/>
      <c r="BI5414" s="319"/>
      <c r="BJ5414" s="319"/>
      <c r="BK5414" s="319"/>
      <c r="BL5414" s="319"/>
      <c r="BM5414" s="319"/>
      <c r="BN5414" s="319"/>
      <c r="BO5414" s="319"/>
      <c r="BP5414" s="953"/>
      <c r="BQ5414" s="319"/>
      <c r="BR5414" s="319"/>
      <c r="BS5414" s="330"/>
      <c r="BT5414" s="331"/>
      <c r="BU5414" s="920"/>
      <c r="BV5414" s="903"/>
      <c r="BW5414" s="908"/>
      <c r="BX5414" s="908"/>
      <c r="BY5414" s="331"/>
      <c r="BZ5414" s="331"/>
      <c r="CA5414" s="462"/>
      <c r="CB5414" s="319"/>
      <c r="CC5414" s="319"/>
      <c r="CD5414" s="319"/>
      <c r="CE5414" s="319"/>
      <c r="CF5414" s="319"/>
      <c r="CG5414" s="319"/>
      <c r="CH5414" s="318"/>
      <c r="CI5414" s="319"/>
      <c r="CJ5414" s="319"/>
      <c r="CK5414" s="342"/>
      <c r="CL5414" s="333"/>
      <c r="CM5414" s="1079"/>
      <c r="CN5414" s="1005"/>
      <c r="CO5414" s="1005"/>
      <c r="CP5414" s="1005"/>
    </row>
    <row r="5415">
      <c r="A5415" s="1257"/>
      <c r="B5415" s="1113"/>
      <c r="C5415" s="1107"/>
      <c r="D5415" s="103"/>
      <c r="E5415" s="1137"/>
      <c r="F5415" s="112"/>
      <c r="G5415" s="1110"/>
      <c r="H5415" s="1138"/>
      <c r="I5415" s="1138"/>
      <c r="J5415" s="1139"/>
      <c r="K5415" s="1111"/>
      <c r="L5415" s="1112"/>
      <c r="M5415" s="1113"/>
      <c r="N5415" s="110"/>
      <c r="O5415" s="1140"/>
      <c r="P5415" s="1115"/>
      <c r="Q5415" s="1116"/>
      <c r="R5415" s="1141"/>
      <c r="S5415" s="1113"/>
      <c r="T5415" s="1143"/>
      <c r="U5415" s="1108"/>
      <c r="V5415" s="1108"/>
      <c r="W5415" s="1108"/>
      <c r="X5415" s="1108"/>
      <c r="Y5415" s="1108"/>
      <c r="Z5415" s="1114"/>
      <c r="AA5415" s="1114"/>
      <c r="AB5415" s="1114"/>
      <c r="AC5415" s="1117"/>
      <c r="AD5415" s="1115"/>
      <c r="AE5415" s="1115"/>
      <c r="AF5415" s="1115"/>
      <c r="AG5415" s="1115"/>
      <c r="AH5415" s="1115"/>
      <c r="AI5415" s="1115"/>
      <c r="AJ5415" s="1117"/>
      <c r="AK5415" s="1118"/>
      <c r="AL5415" s="1115"/>
      <c r="AM5415" s="1115"/>
      <c r="AN5415" s="1115"/>
      <c r="AO5415" s="1115"/>
      <c r="AP5415" s="1115"/>
      <c r="AQ5415" s="1115"/>
      <c r="AR5415" s="1115"/>
      <c r="AS5415" s="1117"/>
      <c r="AT5415" s="1075"/>
      <c r="AU5415" s="1193"/>
      <c r="AV5415" s="330"/>
      <c r="AW5415" s="331"/>
      <c r="AX5415" s="331"/>
      <c r="AY5415" s="331"/>
      <c r="AZ5415" s="331"/>
      <c r="BA5415" s="331"/>
      <c r="BB5415" s="331"/>
      <c r="BC5415" s="331"/>
      <c r="BD5415" s="331"/>
      <c r="BE5415" s="333"/>
      <c r="BF5415" s="330"/>
      <c r="BG5415" s="333"/>
      <c r="BH5415" s="1119"/>
      <c r="BI5415" s="319"/>
      <c r="BJ5415" s="319"/>
      <c r="BK5415" s="319"/>
      <c r="BL5415" s="319"/>
      <c r="BM5415" s="319"/>
      <c r="BN5415" s="319"/>
      <c r="BO5415" s="319"/>
      <c r="BP5415" s="953"/>
      <c r="BQ5415" s="319"/>
      <c r="BR5415" s="319"/>
      <c r="BS5415" s="330"/>
      <c r="BT5415" s="331"/>
      <c r="BU5415" s="920"/>
      <c r="BV5415" s="903"/>
      <c r="BW5415" s="908"/>
      <c r="BX5415" s="908"/>
      <c r="BY5415" s="331"/>
      <c r="BZ5415" s="331"/>
      <c r="CA5415" s="462"/>
      <c r="CB5415" s="319"/>
      <c r="CC5415" s="319"/>
      <c r="CD5415" s="319"/>
      <c r="CE5415" s="319"/>
      <c r="CF5415" s="319"/>
      <c r="CG5415" s="319"/>
      <c r="CH5415" s="318"/>
      <c r="CI5415" s="319"/>
      <c r="CJ5415" s="319"/>
      <c r="CK5415" s="342"/>
      <c r="CL5415" s="333"/>
      <c r="CM5415" s="1079"/>
      <c r="CN5415" s="1005"/>
      <c r="CO5415" s="1005"/>
      <c r="CP5415" s="1005"/>
    </row>
    <row r="5416">
      <c r="A5416" s="1257"/>
      <c r="B5416" s="1113"/>
      <c r="C5416" s="1107"/>
      <c r="D5416" s="103"/>
      <c r="E5416" s="1137"/>
      <c r="F5416" s="112"/>
      <c r="G5416" s="1110"/>
      <c r="H5416" s="1138"/>
      <c r="I5416" s="1138"/>
      <c r="J5416" s="1139"/>
      <c r="K5416" s="1111"/>
      <c r="L5416" s="1112"/>
      <c r="M5416" s="1113"/>
      <c r="N5416" s="110"/>
      <c r="O5416" s="1140"/>
      <c r="P5416" s="1115"/>
      <c r="Q5416" s="1116"/>
      <c r="R5416" s="1141"/>
      <c r="S5416" s="1113"/>
      <c r="T5416" s="1143"/>
      <c r="U5416" s="1108"/>
      <c r="V5416" s="1108"/>
      <c r="W5416" s="1108"/>
      <c r="X5416" s="1108"/>
      <c r="Y5416" s="1108"/>
      <c r="Z5416" s="1114"/>
      <c r="AA5416" s="1114"/>
      <c r="AB5416" s="1114"/>
      <c r="AC5416" s="1117"/>
      <c r="AD5416" s="1115"/>
      <c r="AE5416" s="1115"/>
      <c r="AF5416" s="1115"/>
      <c r="AG5416" s="1115"/>
      <c r="AH5416" s="1115"/>
      <c r="AI5416" s="1115"/>
      <c r="AJ5416" s="1117"/>
      <c r="AK5416" s="1118"/>
      <c r="AL5416" s="1115"/>
      <c r="AM5416" s="1115"/>
      <c r="AN5416" s="1115"/>
      <c r="AO5416" s="1115"/>
      <c r="AP5416" s="1115"/>
      <c r="AQ5416" s="1115"/>
      <c r="AR5416" s="1115"/>
      <c r="AS5416" s="1117"/>
      <c r="AT5416" s="1075"/>
      <c r="AU5416" s="1193"/>
      <c r="AV5416" s="330"/>
      <c r="AW5416" s="331"/>
      <c r="AX5416" s="331"/>
      <c r="AY5416" s="331"/>
      <c r="AZ5416" s="331"/>
      <c r="BA5416" s="331"/>
      <c r="BB5416" s="331"/>
      <c r="BC5416" s="331"/>
      <c r="BD5416" s="331"/>
      <c r="BE5416" s="333"/>
      <c r="BF5416" s="330"/>
      <c r="BG5416" s="333"/>
      <c r="BH5416" s="1119"/>
      <c r="BI5416" s="319"/>
      <c r="BJ5416" s="319"/>
      <c r="BK5416" s="319"/>
      <c r="BL5416" s="319"/>
      <c r="BM5416" s="319"/>
      <c r="BN5416" s="319"/>
      <c r="BO5416" s="319"/>
      <c r="BP5416" s="953"/>
      <c r="BQ5416" s="319"/>
      <c r="BR5416" s="319"/>
      <c r="BS5416" s="330"/>
      <c r="BT5416" s="331"/>
      <c r="BU5416" s="920"/>
      <c r="BV5416" s="903"/>
      <c r="BW5416" s="908"/>
      <c r="BX5416" s="908"/>
      <c r="BY5416" s="331"/>
      <c r="BZ5416" s="331"/>
      <c r="CA5416" s="462"/>
      <c r="CB5416" s="319"/>
      <c r="CC5416" s="319"/>
      <c r="CD5416" s="319"/>
      <c r="CE5416" s="319"/>
      <c r="CF5416" s="319"/>
      <c r="CG5416" s="319"/>
      <c r="CH5416" s="318"/>
      <c r="CI5416" s="319"/>
      <c r="CJ5416" s="319"/>
      <c r="CK5416" s="342"/>
      <c r="CL5416" s="333"/>
      <c r="CM5416" s="1079"/>
      <c r="CN5416" s="1005"/>
      <c r="CO5416" s="1005"/>
      <c r="CP5416" s="1005"/>
    </row>
    <row r="5417">
      <c r="A5417" s="1257"/>
      <c r="B5417" s="1113"/>
      <c r="C5417" s="1107"/>
      <c r="D5417" s="103"/>
      <c r="E5417" s="1137"/>
      <c r="F5417" s="112"/>
      <c r="G5417" s="1110"/>
      <c r="H5417" s="1138"/>
      <c r="I5417" s="1138"/>
      <c r="J5417" s="1139"/>
      <c r="K5417" s="1111"/>
      <c r="L5417" s="1112"/>
      <c r="M5417" s="1113"/>
      <c r="N5417" s="110"/>
      <c r="O5417" s="1140"/>
      <c r="P5417" s="1115"/>
      <c r="Q5417" s="1116"/>
      <c r="R5417" s="1141"/>
      <c r="S5417" s="1113"/>
      <c r="T5417" s="1143"/>
      <c r="U5417" s="1108"/>
      <c r="V5417" s="1108"/>
      <c r="W5417" s="1108"/>
      <c r="X5417" s="1108"/>
      <c r="Y5417" s="1108"/>
      <c r="Z5417" s="1114"/>
      <c r="AA5417" s="1114"/>
      <c r="AB5417" s="1114"/>
      <c r="AC5417" s="1117"/>
      <c r="AD5417" s="1115"/>
      <c r="AE5417" s="1115"/>
      <c r="AF5417" s="1115"/>
      <c r="AG5417" s="1115"/>
      <c r="AH5417" s="1115"/>
      <c r="AI5417" s="1115"/>
      <c r="AJ5417" s="1117"/>
      <c r="AK5417" s="1118"/>
      <c r="AL5417" s="1115"/>
      <c r="AM5417" s="1115"/>
      <c r="AN5417" s="1115"/>
      <c r="AO5417" s="1115"/>
      <c r="AP5417" s="1115"/>
      <c r="AQ5417" s="1115"/>
      <c r="AR5417" s="1115"/>
      <c r="AS5417" s="1117"/>
      <c r="AT5417" s="1075"/>
      <c r="AU5417" s="1193"/>
      <c r="AV5417" s="330"/>
      <c r="AW5417" s="331"/>
      <c r="AX5417" s="331"/>
      <c r="AY5417" s="331"/>
      <c r="AZ5417" s="331"/>
      <c r="BA5417" s="331"/>
      <c r="BB5417" s="331"/>
      <c r="BC5417" s="331"/>
      <c r="BD5417" s="331"/>
      <c r="BE5417" s="333"/>
      <c r="BF5417" s="330"/>
      <c r="BG5417" s="333"/>
      <c r="BH5417" s="1119"/>
      <c r="BI5417" s="319"/>
      <c r="BJ5417" s="319"/>
      <c r="BK5417" s="319"/>
      <c r="BL5417" s="319"/>
      <c r="BM5417" s="319"/>
      <c r="BN5417" s="319"/>
      <c r="BO5417" s="319"/>
      <c r="BP5417" s="953"/>
      <c r="BQ5417" s="319"/>
      <c r="BR5417" s="319"/>
      <c r="BS5417" s="330"/>
      <c r="BT5417" s="331"/>
      <c r="BU5417" s="920"/>
      <c r="BV5417" s="903"/>
      <c r="BW5417" s="908"/>
      <c r="BX5417" s="908"/>
      <c r="BY5417" s="331"/>
      <c r="BZ5417" s="331"/>
      <c r="CA5417" s="462"/>
      <c r="CB5417" s="319"/>
      <c r="CC5417" s="319"/>
      <c r="CD5417" s="319"/>
      <c r="CE5417" s="319"/>
      <c r="CF5417" s="319"/>
      <c r="CG5417" s="319"/>
      <c r="CH5417" s="318"/>
      <c r="CI5417" s="319"/>
      <c r="CJ5417" s="319"/>
      <c r="CK5417" s="342"/>
      <c r="CL5417" s="333"/>
      <c r="CM5417" s="1079"/>
      <c r="CN5417" s="1005"/>
      <c r="CO5417" s="1005"/>
      <c r="CP5417" s="1005"/>
    </row>
    <row r="5418">
      <c r="A5418" s="1257"/>
      <c r="B5418" s="1113"/>
      <c r="C5418" s="1107"/>
      <c r="D5418" s="103"/>
      <c r="E5418" s="1137"/>
      <c r="F5418" s="112"/>
      <c r="G5418" s="1110"/>
      <c r="H5418" s="1138"/>
      <c r="I5418" s="1138"/>
      <c r="J5418" s="1139"/>
      <c r="K5418" s="1111"/>
      <c r="L5418" s="1112"/>
      <c r="M5418" s="1113"/>
      <c r="N5418" s="110"/>
      <c r="O5418" s="1140"/>
      <c r="P5418" s="1115"/>
      <c r="Q5418" s="1116"/>
      <c r="R5418" s="1141"/>
      <c r="S5418" s="1113"/>
      <c r="T5418" s="1143"/>
      <c r="U5418" s="1108"/>
      <c r="V5418" s="1108"/>
      <c r="W5418" s="1108"/>
      <c r="X5418" s="1108"/>
      <c r="Y5418" s="1108"/>
      <c r="Z5418" s="1114"/>
      <c r="AA5418" s="1114"/>
      <c r="AB5418" s="1114"/>
      <c r="AC5418" s="1117"/>
      <c r="AD5418" s="1115"/>
      <c r="AE5418" s="1115"/>
      <c r="AF5418" s="1115"/>
      <c r="AG5418" s="1115"/>
      <c r="AH5418" s="1115"/>
      <c r="AI5418" s="1115"/>
      <c r="AJ5418" s="1117"/>
      <c r="AK5418" s="1118"/>
      <c r="AL5418" s="1115"/>
      <c r="AM5418" s="1115"/>
      <c r="AN5418" s="1115"/>
      <c r="AO5418" s="1115"/>
      <c r="AP5418" s="1115"/>
      <c r="AQ5418" s="1115"/>
      <c r="AR5418" s="1115"/>
      <c r="AS5418" s="1117"/>
      <c r="AT5418" s="1075"/>
      <c r="AU5418" s="1193"/>
      <c r="AV5418" s="330"/>
      <c r="AW5418" s="331"/>
      <c r="AX5418" s="331"/>
      <c r="AY5418" s="331"/>
      <c r="AZ5418" s="331"/>
      <c r="BA5418" s="331"/>
      <c r="BB5418" s="331"/>
      <c r="BC5418" s="331"/>
      <c r="BD5418" s="331"/>
      <c r="BE5418" s="333"/>
      <c r="BF5418" s="330"/>
      <c r="BG5418" s="333"/>
      <c r="BH5418" s="1119"/>
      <c r="BI5418" s="319"/>
      <c r="BJ5418" s="319"/>
      <c r="BK5418" s="319"/>
      <c r="BL5418" s="319"/>
      <c r="BM5418" s="319"/>
      <c r="BN5418" s="319"/>
      <c r="BO5418" s="319"/>
      <c r="BP5418" s="953"/>
      <c r="BQ5418" s="319"/>
      <c r="BR5418" s="319"/>
      <c r="BS5418" s="330"/>
      <c r="BT5418" s="331"/>
      <c r="BU5418" s="920"/>
      <c r="BV5418" s="903"/>
      <c r="BW5418" s="908"/>
      <c r="BX5418" s="908"/>
      <c r="BY5418" s="331"/>
      <c r="BZ5418" s="331"/>
      <c r="CA5418" s="462"/>
      <c r="CB5418" s="319"/>
      <c r="CC5418" s="319"/>
      <c r="CD5418" s="319"/>
      <c r="CE5418" s="319"/>
      <c r="CF5418" s="319"/>
      <c r="CG5418" s="319"/>
      <c r="CH5418" s="318"/>
      <c r="CI5418" s="319"/>
      <c r="CJ5418" s="319"/>
      <c r="CK5418" s="342"/>
      <c r="CL5418" s="333"/>
      <c r="CM5418" s="1079"/>
      <c r="CN5418" s="1005"/>
      <c r="CO5418" s="1005"/>
      <c r="CP5418" s="1005"/>
    </row>
    <row r="5419">
      <c r="A5419" s="1257"/>
      <c r="B5419" s="1113"/>
      <c r="C5419" s="1107"/>
      <c r="D5419" s="103"/>
      <c r="E5419" s="1137"/>
      <c r="F5419" s="112"/>
      <c r="G5419" s="1110"/>
      <c r="H5419" s="1138"/>
      <c r="I5419" s="1138"/>
      <c r="J5419" s="1139"/>
      <c r="K5419" s="1111"/>
      <c r="L5419" s="1112"/>
      <c r="M5419" s="1113"/>
      <c r="N5419" s="110"/>
      <c r="O5419" s="1140"/>
      <c r="P5419" s="1115"/>
      <c r="Q5419" s="1116"/>
      <c r="R5419" s="1141"/>
      <c r="S5419" s="1113"/>
      <c r="T5419" s="1143"/>
      <c r="U5419" s="1108"/>
      <c r="V5419" s="1108"/>
      <c r="W5419" s="1108"/>
      <c r="X5419" s="1108"/>
      <c r="Y5419" s="1108"/>
      <c r="Z5419" s="1114"/>
      <c r="AA5419" s="1114"/>
      <c r="AB5419" s="1114"/>
      <c r="AC5419" s="1117"/>
      <c r="AD5419" s="1115"/>
      <c r="AE5419" s="1115"/>
      <c r="AF5419" s="1115"/>
      <c r="AG5419" s="1115"/>
      <c r="AH5419" s="1115"/>
      <c r="AI5419" s="1115"/>
      <c r="AJ5419" s="1117"/>
      <c r="AK5419" s="1118"/>
      <c r="AL5419" s="1115"/>
      <c r="AM5419" s="1115"/>
      <c r="AN5419" s="1115"/>
      <c r="AO5419" s="1115"/>
      <c r="AP5419" s="1115"/>
      <c r="AQ5419" s="1115"/>
      <c r="AR5419" s="1115"/>
      <c r="AS5419" s="1117"/>
      <c r="AT5419" s="1075"/>
      <c r="AU5419" s="1193"/>
      <c r="AV5419" s="330"/>
      <c r="AW5419" s="331"/>
      <c r="AX5419" s="331"/>
      <c r="AY5419" s="331"/>
      <c r="AZ5419" s="331"/>
      <c r="BA5419" s="331"/>
      <c r="BB5419" s="331"/>
      <c r="BC5419" s="331"/>
      <c r="BD5419" s="331"/>
      <c r="BE5419" s="333"/>
      <c r="BF5419" s="330"/>
      <c r="BG5419" s="333"/>
      <c r="BH5419" s="1119"/>
      <c r="BI5419" s="319"/>
      <c r="BJ5419" s="319"/>
      <c r="BK5419" s="319"/>
      <c r="BL5419" s="319"/>
      <c r="BM5419" s="319"/>
      <c r="BN5419" s="319"/>
      <c r="BO5419" s="319"/>
      <c r="BP5419" s="953"/>
      <c r="BQ5419" s="319"/>
      <c r="BR5419" s="319"/>
      <c r="BS5419" s="330"/>
      <c r="BT5419" s="331"/>
      <c r="BU5419" s="920"/>
      <c r="BV5419" s="903"/>
      <c r="BW5419" s="908"/>
      <c r="BX5419" s="908"/>
      <c r="BY5419" s="331"/>
      <c r="BZ5419" s="331"/>
      <c r="CA5419" s="462"/>
      <c r="CB5419" s="319"/>
      <c r="CC5419" s="319"/>
      <c r="CD5419" s="319"/>
      <c r="CE5419" s="319"/>
      <c r="CF5419" s="319"/>
      <c r="CG5419" s="319"/>
      <c r="CH5419" s="318"/>
      <c r="CI5419" s="319"/>
      <c r="CJ5419" s="319"/>
      <c r="CK5419" s="342"/>
      <c r="CL5419" s="333"/>
      <c r="CM5419" s="1079"/>
      <c r="CN5419" s="1005"/>
      <c r="CO5419" s="1005"/>
      <c r="CP5419" s="1005"/>
    </row>
    <row r="5420">
      <c r="A5420" s="1257"/>
      <c r="B5420" s="1113"/>
      <c r="C5420" s="1107"/>
      <c r="D5420" s="103"/>
      <c r="E5420" s="1137"/>
      <c r="F5420" s="112"/>
      <c r="G5420" s="1110"/>
      <c r="H5420" s="1138"/>
      <c r="I5420" s="1138"/>
      <c r="J5420" s="1139"/>
      <c r="K5420" s="1111"/>
      <c r="L5420" s="1112"/>
      <c r="M5420" s="1113"/>
      <c r="N5420" s="110"/>
      <c r="O5420" s="1140"/>
      <c r="P5420" s="1115"/>
      <c r="Q5420" s="1116"/>
      <c r="R5420" s="1141"/>
      <c r="S5420" s="1113"/>
      <c r="T5420" s="1143"/>
      <c r="U5420" s="1108"/>
      <c r="V5420" s="1108"/>
      <c r="W5420" s="1108"/>
      <c r="X5420" s="1108"/>
      <c r="Y5420" s="1108"/>
      <c r="Z5420" s="1114"/>
      <c r="AA5420" s="1114"/>
      <c r="AB5420" s="1114"/>
      <c r="AC5420" s="1117"/>
      <c r="AD5420" s="1115"/>
      <c r="AE5420" s="1115"/>
      <c r="AF5420" s="1115"/>
      <c r="AG5420" s="1115"/>
      <c r="AH5420" s="1115"/>
      <c r="AI5420" s="1115"/>
      <c r="AJ5420" s="1117"/>
      <c r="AK5420" s="1118"/>
      <c r="AL5420" s="1115"/>
      <c r="AM5420" s="1115"/>
      <c r="AN5420" s="1115"/>
      <c r="AO5420" s="1115"/>
      <c r="AP5420" s="1115"/>
      <c r="AQ5420" s="1115"/>
      <c r="AR5420" s="1115"/>
      <c r="AS5420" s="1117"/>
      <c r="AT5420" s="1075"/>
      <c r="AU5420" s="1193"/>
      <c r="AV5420" s="330"/>
      <c r="AW5420" s="331"/>
      <c r="AX5420" s="331"/>
      <c r="AY5420" s="331"/>
      <c r="AZ5420" s="331"/>
      <c r="BA5420" s="331"/>
      <c r="BB5420" s="331"/>
      <c r="BC5420" s="331"/>
      <c r="BD5420" s="331"/>
      <c r="BE5420" s="333"/>
      <c r="BF5420" s="330"/>
      <c r="BG5420" s="333"/>
      <c r="BH5420" s="1119"/>
      <c r="BI5420" s="319"/>
      <c r="BJ5420" s="319"/>
      <c r="BK5420" s="319"/>
      <c r="BL5420" s="319"/>
      <c r="BM5420" s="319"/>
      <c r="BN5420" s="319"/>
      <c r="BO5420" s="319"/>
      <c r="BP5420" s="953"/>
      <c r="BQ5420" s="319"/>
      <c r="BR5420" s="319"/>
      <c r="BS5420" s="330"/>
      <c r="BT5420" s="331"/>
      <c r="BU5420" s="920"/>
      <c r="BV5420" s="903"/>
      <c r="BW5420" s="908"/>
      <c r="BX5420" s="908"/>
      <c r="BY5420" s="331"/>
      <c r="BZ5420" s="331"/>
      <c r="CA5420" s="462"/>
      <c r="CB5420" s="319"/>
      <c r="CC5420" s="319"/>
      <c r="CD5420" s="319"/>
      <c r="CE5420" s="319"/>
      <c r="CF5420" s="319"/>
      <c r="CG5420" s="319"/>
      <c r="CH5420" s="318"/>
      <c r="CI5420" s="319"/>
      <c r="CJ5420" s="319"/>
      <c r="CK5420" s="342"/>
      <c r="CL5420" s="333"/>
      <c r="CM5420" s="1079"/>
      <c r="CN5420" s="1005"/>
      <c r="CO5420" s="1005"/>
      <c r="CP5420" s="1005"/>
    </row>
    <row r="5421">
      <c r="A5421" s="1257"/>
      <c r="B5421" s="1113"/>
      <c r="C5421" s="1107"/>
      <c r="D5421" s="103"/>
      <c r="E5421" s="1137"/>
      <c r="F5421" s="112"/>
      <c r="G5421" s="1110"/>
      <c r="H5421" s="1138"/>
      <c r="I5421" s="1138"/>
      <c r="J5421" s="1139"/>
      <c r="K5421" s="1111"/>
      <c r="L5421" s="1112"/>
      <c r="M5421" s="1113"/>
      <c r="N5421" s="110"/>
      <c r="O5421" s="1140"/>
      <c r="P5421" s="1115"/>
      <c r="Q5421" s="1116"/>
      <c r="R5421" s="1141"/>
      <c r="S5421" s="1113"/>
      <c r="T5421" s="1143"/>
      <c r="U5421" s="1108"/>
      <c r="V5421" s="1108"/>
      <c r="W5421" s="1108"/>
      <c r="X5421" s="1108"/>
      <c r="Y5421" s="1108"/>
      <c r="Z5421" s="1114"/>
      <c r="AA5421" s="1114"/>
      <c r="AB5421" s="1114"/>
      <c r="AC5421" s="1117"/>
      <c r="AD5421" s="1115"/>
      <c r="AE5421" s="1115"/>
      <c r="AF5421" s="1115"/>
      <c r="AG5421" s="1115"/>
      <c r="AH5421" s="1115"/>
      <c r="AI5421" s="1115"/>
      <c r="AJ5421" s="1117"/>
      <c r="AK5421" s="1118"/>
      <c r="AL5421" s="1115"/>
      <c r="AM5421" s="1115"/>
      <c r="AN5421" s="1115"/>
      <c r="AO5421" s="1115"/>
      <c r="AP5421" s="1115"/>
      <c r="AQ5421" s="1115"/>
      <c r="AR5421" s="1115"/>
      <c r="AS5421" s="1117"/>
      <c r="AT5421" s="1075"/>
      <c r="AU5421" s="1193"/>
      <c r="AV5421" s="330"/>
      <c r="AW5421" s="331"/>
      <c r="AX5421" s="331"/>
      <c r="AY5421" s="331"/>
      <c r="AZ5421" s="331"/>
      <c r="BA5421" s="331"/>
      <c r="BB5421" s="331"/>
      <c r="BC5421" s="331"/>
      <c r="BD5421" s="331"/>
      <c r="BE5421" s="333"/>
      <c r="BF5421" s="330"/>
      <c r="BG5421" s="333"/>
      <c r="BH5421" s="1119"/>
      <c r="BI5421" s="319"/>
      <c r="BJ5421" s="319"/>
      <c r="BK5421" s="319"/>
      <c r="BL5421" s="319"/>
      <c r="BM5421" s="319"/>
      <c r="BN5421" s="319"/>
      <c r="BO5421" s="319"/>
      <c r="BP5421" s="953"/>
      <c r="BQ5421" s="319"/>
      <c r="BR5421" s="319"/>
      <c r="BS5421" s="330"/>
      <c r="BT5421" s="331"/>
      <c r="BU5421" s="920"/>
      <c r="BV5421" s="903"/>
      <c r="BW5421" s="908"/>
      <c r="BX5421" s="908"/>
      <c r="BY5421" s="331"/>
      <c r="BZ5421" s="331"/>
      <c r="CA5421" s="462"/>
      <c r="CB5421" s="319"/>
      <c r="CC5421" s="319"/>
      <c r="CD5421" s="319"/>
      <c r="CE5421" s="319"/>
      <c r="CF5421" s="319"/>
      <c r="CG5421" s="319"/>
      <c r="CH5421" s="318"/>
      <c r="CI5421" s="319"/>
      <c r="CJ5421" s="319"/>
      <c r="CK5421" s="342"/>
      <c r="CL5421" s="333"/>
      <c r="CM5421" s="1079"/>
      <c r="CN5421" s="1005"/>
      <c r="CO5421" s="1005"/>
      <c r="CP5421" s="1005"/>
    </row>
    <row r="5422">
      <c r="A5422" s="1257"/>
      <c r="B5422" s="1113"/>
      <c r="C5422" s="1107"/>
      <c r="D5422" s="103"/>
      <c r="E5422" s="1137"/>
      <c r="F5422" s="112"/>
      <c r="G5422" s="1110"/>
      <c r="H5422" s="1138"/>
      <c r="I5422" s="1138"/>
      <c r="J5422" s="1139"/>
      <c r="K5422" s="1111"/>
      <c r="L5422" s="1112"/>
      <c r="M5422" s="1113"/>
      <c r="N5422" s="110"/>
      <c r="O5422" s="1140"/>
      <c r="P5422" s="1115"/>
      <c r="Q5422" s="1116"/>
      <c r="R5422" s="1141"/>
      <c r="S5422" s="1113"/>
      <c r="T5422" s="1143"/>
      <c r="U5422" s="1108"/>
      <c r="V5422" s="1108"/>
      <c r="W5422" s="1108"/>
      <c r="X5422" s="1108"/>
      <c r="Y5422" s="1108"/>
      <c r="Z5422" s="1114"/>
      <c r="AA5422" s="1114"/>
      <c r="AB5422" s="1114"/>
      <c r="AC5422" s="1117"/>
      <c r="AD5422" s="1115"/>
      <c r="AE5422" s="1115"/>
      <c r="AF5422" s="1115"/>
      <c r="AG5422" s="1115"/>
      <c r="AH5422" s="1115"/>
      <c r="AI5422" s="1115"/>
      <c r="AJ5422" s="1117"/>
      <c r="AK5422" s="1118"/>
      <c r="AL5422" s="1115"/>
      <c r="AM5422" s="1115"/>
      <c r="AN5422" s="1115"/>
      <c r="AO5422" s="1115"/>
      <c r="AP5422" s="1115"/>
      <c r="AQ5422" s="1115"/>
      <c r="AR5422" s="1115"/>
      <c r="AS5422" s="1117"/>
      <c r="AT5422" s="1075"/>
      <c r="AU5422" s="1193"/>
      <c r="AV5422" s="330"/>
      <c r="AW5422" s="331"/>
      <c r="AX5422" s="331"/>
      <c r="AY5422" s="331"/>
      <c r="AZ5422" s="331"/>
      <c r="BA5422" s="331"/>
      <c r="BB5422" s="331"/>
      <c r="BC5422" s="331"/>
      <c r="BD5422" s="331"/>
      <c r="BE5422" s="333"/>
      <c r="BF5422" s="330"/>
      <c r="BG5422" s="333"/>
      <c r="BH5422" s="1119"/>
      <c r="BI5422" s="319"/>
      <c r="BJ5422" s="319"/>
      <c r="BK5422" s="319"/>
      <c r="BL5422" s="319"/>
      <c r="BM5422" s="319"/>
      <c r="BN5422" s="319"/>
      <c r="BO5422" s="319"/>
      <c r="BP5422" s="953"/>
      <c r="BQ5422" s="319"/>
      <c r="BR5422" s="319"/>
      <c r="BS5422" s="330"/>
      <c r="BT5422" s="331"/>
      <c r="BU5422" s="920"/>
      <c r="BV5422" s="903"/>
      <c r="BW5422" s="908"/>
      <c r="BX5422" s="908"/>
      <c r="BY5422" s="331"/>
      <c r="BZ5422" s="331"/>
      <c r="CA5422" s="462"/>
      <c r="CB5422" s="319"/>
      <c r="CC5422" s="319"/>
      <c r="CD5422" s="319"/>
      <c r="CE5422" s="319"/>
      <c r="CF5422" s="319"/>
      <c r="CG5422" s="319"/>
      <c r="CH5422" s="318"/>
      <c r="CI5422" s="319"/>
      <c r="CJ5422" s="319"/>
      <c r="CK5422" s="342"/>
      <c r="CL5422" s="333"/>
      <c r="CM5422" s="1079"/>
      <c r="CN5422" s="1005"/>
      <c r="CO5422" s="1005"/>
      <c r="CP5422" s="1005"/>
    </row>
    <row r="5423">
      <c r="A5423" s="1257"/>
      <c r="B5423" s="1113"/>
      <c r="C5423" s="1107"/>
      <c r="D5423" s="103"/>
      <c r="E5423" s="1137"/>
      <c r="F5423" s="112"/>
      <c r="G5423" s="1110"/>
      <c r="H5423" s="1138"/>
      <c r="I5423" s="1138"/>
      <c r="J5423" s="1139"/>
      <c r="K5423" s="1111"/>
      <c r="L5423" s="1112"/>
      <c r="M5423" s="1113"/>
      <c r="N5423" s="110"/>
      <c r="O5423" s="1140"/>
      <c r="P5423" s="1115"/>
      <c r="Q5423" s="1116"/>
      <c r="R5423" s="1141"/>
      <c r="S5423" s="1113"/>
      <c r="T5423" s="1143"/>
      <c r="U5423" s="1108"/>
      <c r="V5423" s="1108"/>
      <c r="W5423" s="1108"/>
      <c r="X5423" s="1108"/>
      <c r="Y5423" s="1108"/>
      <c r="Z5423" s="1114"/>
      <c r="AA5423" s="1114"/>
      <c r="AB5423" s="1114"/>
      <c r="AC5423" s="1117"/>
      <c r="AD5423" s="1115"/>
      <c r="AE5423" s="1115"/>
      <c r="AF5423" s="1115"/>
      <c r="AG5423" s="1115"/>
      <c r="AH5423" s="1115"/>
      <c r="AI5423" s="1115"/>
      <c r="AJ5423" s="1117"/>
      <c r="AK5423" s="1118"/>
      <c r="AL5423" s="1115"/>
      <c r="AM5423" s="1115"/>
      <c r="AN5423" s="1115"/>
      <c r="AO5423" s="1115"/>
      <c r="AP5423" s="1115"/>
      <c r="AQ5423" s="1115"/>
      <c r="AR5423" s="1115"/>
      <c r="AS5423" s="1117"/>
      <c r="AT5423" s="1075"/>
      <c r="AU5423" s="1193"/>
      <c r="AV5423" s="330"/>
      <c r="AW5423" s="331"/>
      <c r="AX5423" s="331"/>
      <c r="AY5423" s="331"/>
      <c r="AZ5423" s="331"/>
      <c r="BA5423" s="331"/>
      <c r="BB5423" s="331"/>
      <c r="BC5423" s="331"/>
      <c r="BD5423" s="331"/>
      <c r="BE5423" s="333"/>
      <c r="BF5423" s="330"/>
      <c r="BG5423" s="333"/>
      <c r="BH5423" s="1119"/>
      <c r="BI5423" s="319"/>
      <c r="BJ5423" s="319"/>
      <c r="BK5423" s="319"/>
      <c r="BL5423" s="319"/>
      <c r="BM5423" s="319"/>
      <c r="BN5423" s="319"/>
      <c r="BO5423" s="319"/>
      <c r="BP5423" s="953"/>
      <c r="BQ5423" s="319"/>
      <c r="BR5423" s="319"/>
      <c r="BS5423" s="330"/>
      <c r="BT5423" s="331"/>
      <c r="BU5423" s="920"/>
      <c r="BV5423" s="903"/>
      <c r="BW5423" s="908"/>
      <c r="BX5423" s="908"/>
      <c r="BY5423" s="331"/>
      <c r="BZ5423" s="331"/>
      <c r="CA5423" s="462"/>
      <c r="CB5423" s="319"/>
      <c r="CC5423" s="319"/>
      <c r="CD5423" s="319"/>
      <c r="CE5423" s="319"/>
      <c r="CF5423" s="319"/>
      <c r="CG5423" s="319"/>
      <c r="CH5423" s="318"/>
      <c r="CI5423" s="319"/>
      <c r="CJ5423" s="319"/>
      <c r="CK5423" s="342"/>
      <c r="CL5423" s="333"/>
      <c r="CM5423" s="1079"/>
      <c r="CN5423" s="1005"/>
      <c r="CO5423" s="1005"/>
      <c r="CP5423" s="1005"/>
    </row>
    <row r="5424">
      <c r="A5424" s="1257"/>
      <c r="B5424" s="1113"/>
      <c r="C5424" s="1107"/>
      <c r="D5424" s="103"/>
      <c r="E5424" s="1137"/>
      <c r="F5424" s="112"/>
      <c r="G5424" s="1110"/>
      <c r="H5424" s="1138"/>
      <c r="I5424" s="1138"/>
      <c r="J5424" s="1139"/>
      <c r="K5424" s="1111"/>
      <c r="L5424" s="1112"/>
      <c r="M5424" s="1113"/>
      <c r="N5424" s="110"/>
      <c r="O5424" s="1140"/>
      <c r="P5424" s="1115"/>
      <c r="Q5424" s="1116"/>
      <c r="R5424" s="1141"/>
      <c r="S5424" s="1113"/>
      <c r="T5424" s="1143"/>
      <c r="U5424" s="1108"/>
      <c r="V5424" s="1108"/>
      <c r="W5424" s="1108"/>
      <c r="X5424" s="1108"/>
      <c r="Y5424" s="1108"/>
      <c r="Z5424" s="1114"/>
      <c r="AA5424" s="1114"/>
      <c r="AB5424" s="1114"/>
      <c r="AC5424" s="1117"/>
      <c r="AD5424" s="1115"/>
      <c r="AE5424" s="1115"/>
      <c r="AF5424" s="1115"/>
      <c r="AG5424" s="1115"/>
      <c r="AH5424" s="1115"/>
      <c r="AI5424" s="1115"/>
      <c r="AJ5424" s="1117"/>
      <c r="AK5424" s="1118"/>
      <c r="AL5424" s="1115"/>
      <c r="AM5424" s="1115"/>
      <c r="AN5424" s="1115"/>
      <c r="AO5424" s="1115"/>
      <c r="AP5424" s="1115"/>
      <c r="AQ5424" s="1115"/>
      <c r="AR5424" s="1115"/>
      <c r="AS5424" s="1117"/>
      <c r="AT5424" s="1075"/>
      <c r="AU5424" s="1193"/>
      <c r="AV5424" s="330"/>
      <c r="AW5424" s="331"/>
      <c r="AX5424" s="331"/>
      <c r="AY5424" s="331"/>
      <c r="AZ5424" s="331"/>
      <c r="BA5424" s="331"/>
      <c r="BB5424" s="331"/>
      <c r="BC5424" s="331"/>
      <c r="BD5424" s="331"/>
      <c r="BE5424" s="333"/>
      <c r="BF5424" s="330"/>
      <c r="BG5424" s="333"/>
      <c r="BH5424" s="1119"/>
      <c r="BI5424" s="319"/>
      <c r="BJ5424" s="319"/>
      <c r="BK5424" s="319"/>
      <c r="BL5424" s="319"/>
      <c r="BM5424" s="319"/>
      <c r="BN5424" s="319"/>
      <c r="BO5424" s="319"/>
      <c r="BP5424" s="953"/>
      <c r="BQ5424" s="319"/>
      <c r="BR5424" s="319"/>
      <c r="BS5424" s="330"/>
      <c r="BT5424" s="331"/>
      <c r="BU5424" s="920"/>
      <c r="BV5424" s="903"/>
      <c r="BW5424" s="908"/>
      <c r="BX5424" s="908"/>
      <c r="BY5424" s="331"/>
      <c r="BZ5424" s="331"/>
      <c r="CA5424" s="462"/>
      <c r="CB5424" s="319"/>
      <c r="CC5424" s="319"/>
      <c r="CD5424" s="319"/>
      <c r="CE5424" s="319"/>
      <c r="CF5424" s="319"/>
      <c r="CG5424" s="319"/>
      <c r="CH5424" s="318"/>
      <c r="CI5424" s="319"/>
      <c r="CJ5424" s="319"/>
      <c r="CK5424" s="342"/>
      <c r="CL5424" s="333"/>
      <c r="CM5424" s="1079"/>
      <c r="CN5424" s="1005"/>
      <c r="CO5424" s="1005"/>
      <c r="CP5424" s="1005"/>
    </row>
    <row r="5425">
      <c r="A5425" s="1257"/>
      <c r="B5425" s="1113"/>
      <c r="C5425" s="1107"/>
      <c r="D5425" s="103"/>
      <c r="E5425" s="1137"/>
      <c r="F5425" s="112"/>
      <c r="G5425" s="1110"/>
      <c r="H5425" s="1138"/>
      <c r="I5425" s="1138"/>
      <c r="J5425" s="1139"/>
      <c r="K5425" s="1111"/>
      <c r="L5425" s="1112"/>
      <c r="M5425" s="1113"/>
      <c r="N5425" s="110"/>
      <c r="O5425" s="1140"/>
      <c r="P5425" s="1115"/>
      <c r="Q5425" s="1116"/>
      <c r="R5425" s="1141"/>
      <c r="S5425" s="1113"/>
      <c r="T5425" s="1143"/>
      <c r="U5425" s="1108"/>
      <c r="V5425" s="1108"/>
      <c r="W5425" s="1108"/>
      <c r="X5425" s="1108"/>
      <c r="Y5425" s="1108"/>
      <c r="Z5425" s="1114"/>
      <c r="AA5425" s="1114"/>
      <c r="AB5425" s="1114"/>
      <c r="AC5425" s="1117"/>
      <c r="AD5425" s="1115"/>
      <c r="AE5425" s="1115"/>
      <c r="AF5425" s="1115"/>
      <c r="AG5425" s="1115"/>
      <c r="AH5425" s="1115"/>
      <c r="AI5425" s="1115"/>
      <c r="AJ5425" s="1117"/>
      <c r="AK5425" s="1118"/>
      <c r="AL5425" s="1115"/>
      <c r="AM5425" s="1115"/>
      <c r="AN5425" s="1115"/>
      <c r="AO5425" s="1115"/>
      <c r="AP5425" s="1115"/>
      <c r="AQ5425" s="1115"/>
      <c r="AR5425" s="1115"/>
      <c r="AS5425" s="1117"/>
      <c r="AT5425" s="1075"/>
      <c r="AU5425" s="1193"/>
      <c r="AV5425" s="330"/>
      <c r="AW5425" s="331"/>
      <c r="AX5425" s="331"/>
      <c r="AY5425" s="331"/>
      <c r="AZ5425" s="331"/>
      <c r="BA5425" s="331"/>
      <c r="BB5425" s="331"/>
      <c r="BC5425" s="331"/>
      <c r="BD5425" s="331"/>
      <c r="BE5425" s="333"/>
      <c r="BF5425" s="330"/>
      <c r="BG5425" s="333"/>
      <c r="BH5425" s="1119"/>
      <c r="BI5425" s="319"/>
      <c r="BJ5425" s="319"/>
      <c r="BK5425" s="319"/>
      <c r="BL5425" s="319"/>
      <c r="BM5425" s="319"/>
      <c r="BN5425" s="319"/>
      <c r="BO5425" s="319"/>
      <c r="BP5425" s="953"/>
      <c r="BQ5425" s="319"/>
      <c r="BR5425" s="319"/>
      <c r="BS5425" s="330"/>
      <c r="BT5425" s="331"/>
      <c r="BU5425" s="920"/>
      <c r="BV5425" s="903"/>
      <c r="BW5425" s="908"/>
      <c r="BX5425" s="908"/>
      <c r="BY5425" s="331"/>
      <c r="BZ5425" s="331"/>
      <c r="CA5425" s="462"/>
      <c r="CB5425" s="319"/>
      <c r="CC5425" s="319"/>
      <c r="CD5425" s="319"/>
      <c r="CE5425" s="319"/>
      <c r="CF5425" s="319"/>
      <c r="CG5425" s="319"/>
      <c r="CH5425" s="318"/>
      <c r="CI5425" s="319"/>
      <c r="CJ5425" s="319"/>
      <c r="CK5425" s="342"/>
      <c r="CL5425" s="333"/>
      <c r="CM5425" s="1079"/>
      <c r="CN5425" s="1005"/>
      <c r="CO5425" s="1005"/>
      <c r="CP5425" s="1005"/>
    </row>
    <row r="5426">
      <c r="A5426" s="1257"/>
      <c r="B5426" s="1113"/>
      <c r="C5426" s="1107"/>
      <c r="D5426" s="103"/>
      <c r="E5426" s="1137"/>
      <c r="F5426" s="112"/>
      <c r="G5426" s="1110"/>
      <c r="H5426" s="1138"/>
      <c r="I5426" s="1138"/>
      <c r="J5426" s="1139"/>
      <c r="K5426" s="1111"/>
      <c r="L5426" s="1112"/>
      <c r="M5426" s="1113"/>
      <c r="N5426" s="110"/>
      <c r="O5426" s="1140"/>
      <c r="P5426" s="1115"/>
      <c r="Q5426" s="1116"/>
      <c r="R5426" s="1141"/>
      <c r="S5426" s="1113"/>
      <c r="T5426" s="1143"/>
      <c r="U5426" s="1108"/>
      <c r="V5426" s="1108"/>
      <c r="W5426" s="1108"/>
      <c r="X5426" s="1108"/>
      <c r="Y5426" s="1108"/>
      <c r="Z5426" s="1114"/>
      <c r="AA5426" s="1114"/>
      <c r="AB5426" s="1114"/>
      <c r="AC5426" s="1117"/>
      <c r="AD5426" s="1115"/>
      <c r="AE5426" s="1115"/>
      <c r="AF5426" s="1115"/>
      <c r="AG5426" s="1115"/>
      <c r="AH5426" s="1115"/>
      <c r="AI5426" s="1115"/>
      <c r="AJ5426" s="1117"/>
      <c r="AK5426" s="1118"/>
      <c r="AL5426" s="1115"/>
      <c r="AM5426" s="1115"/>
      <c r="AN5426" s="1115"/>
      <c r="AO5426" s="1115"/>
      <c r="AP5426" s="1115"/>
      <c r="AQ5426" s="1115"/>
      <c r="AR5426" s="1115"/>
      <c r="AS5426" s="1117"/>
      <c r="AT5426" s="1075"/>
      <c r="AU5426" s="1193"/>
      <c r="AV5426" s="330"/>
      <c r="AW5426" s="331"/>
      <c r="AX5426" s="331"/>
      <c r="AY5426" s="331"/>
      <c r="AZ5426" s="331"/>
      <c r="BA5426" s="331"/>
      <c r="BB5426" s="331"/>
      <c r="BC5426" s="331"/>
      <c r="BD5426" s="331"/>
      <c r="BE5426" s="333"/>
      <c r="BF5426" s="330"/>
      <c r="BG5426" s="333"/>
      <c r="BH5426" s="1119"/>
      <c r="BI5426" s="319"/>
      <c r="BJ5426" s="319"/>
      <c r="BK5426" s="319"/>
      <c r="BL5426" s="319"/>
      <c r="BM5426" s="319"/>
      <c r="BN5426" s="319"/>
      <c r="BO5426" s="319"/>
      <c r="BP5426" s="953"/>
      <c r="BQ5426" s="319"/>
      <c r="BR5426" s="319"/>
      <c r="BS5426" s="330"/>
      <c r="BT5426" s="331"/>
      <c r="BU5426" s="920"/>
      <c r="BV5426" s="903"/>
      <c r="BW5426" s="908"/>
      <c r="BX5426" s="908"/>
      <c r="BY5426" s="331"/>
      <c r="BZ5426" s="331"/>
      <c r="CA5426" s="462"/>
      <c r="CB5426" s="319"/>
      <c r="CC5426" s="319"/>
      <c r="CD5426" s="319"/>
      <c r="CE5426" s="319"/>
      <c r="CF5426" s="319"/>
      <c r="CG5426" s="319"/>
      <c r="CH5426" s="318"/>
      <c r="CI5426" s="319"/>
      <c r="CJ5426" s="319"/>
      <c r="CK5426" s="342"/>
      <c r="CL5426" s="333"/>
      <c r="CM5426" s="1079"/>
      <c r="CN5426" s="1005"/>
      <c r="CO5426" s="1005"/>
      <c r="CP5426" s="1005"/>
    </row>
    <row r="5427">
      <c r="A5427" s="1257"/>
      <c r="B5427" s="1113"/>
      <c r="C5427" s="1107"/>
      <c r="D5427" s="103"/>
      <c r="E5427" s="1137"/>
      <c r="F5427" s="112"/>
      <c r="G5427" s="1110"/>
      <c r="H5427" s="1138"/>
      <c r="I5427" s="1138"/>
      <c r="J5427" s="1139"/>
      <c r="K5427" s="1111"/>
      <c r="L5427" s="1112"/>
      <c r="M5427" s="1113"/>
      <c r="N5427" s="110"/>
      <c r="O5427" s="1140"/>
      <c r="P5427" s="1115"/>
      <c r="Q5427" s="1116"/>
      <c r="R5427" s="1141"/>
      <c r="S5427" s="1113"/>
      <c r="T5427" s="1143"/>
      <c r="U5427" s="1108"/>
      <c r="V5427" s="1108"/>
      <c r="W5427" s="1108"/>
      <c r="X5427" s="1108"/>
      <c r="Y5427" s="1108"/>
      <c r="Z5427" s="1114"/>
      <c r="AA5427" s="1114"/>
      <c r="AB5427" s="1114"/>
      <c r="AC5427" s="1117"/>
      <c r="AD5427" s="1115"/>
      <c r="AE5427" s="1115"/>
      <c r="AF5427" s="1115"/>
      <c r="AG5427" s="1115"/>
      <c r="AH5427" s="1115"/>
      <c r="AI5427" s="1115"/>
      <c r="AJ5427" s="1117"/>
      <c r="AK5427" s="1118"/>
      <c r="AL5427" s="1115"/>
      <c r="AM5427" s="1115"/>
      <c r="AN5427" s="1115"/>
      <c r="AO5427" s="1115"/>
      <c r="AP5427" s="1115"/>
      <c r="AQ5427" s="1115"/>
      <c r="AR5427" s="1115"/>
      <c r="AS5427" s="1117"/>
      <c r="AT5427" s="1075"/>
      <c r="AU5427" s="1193"/>
      <c r="AV5427" s="330"/>
      <c r="AW5427" s="331"/>
      <c r="AX5427" s="331"/>
      <c r="AY5427" s="331"/>
      <c r="AZ5427" s="331"/>
      <c r="BA5427" s="331"/>
      <c r="BB5427" s="331"/>
      <c r="BC5427" s="331"/>
      <c r="BD5427" s="331"/>
      <c r="BE5427" s="333"/>
      <c r="BF5427" s="330"/>
      <c r="BG5427" s="333"/>
      <c r="BH5427" s="1119"/>
      <c r="BI5427" s="319"/>
      <c r="BJ5427" s="319"/>
      <c r="BK5427" s="319"/>
      <c r="BL5427" s="319"/>
      <c r="BM5427" s="319"/>
      <c r="BN5427" s="319"/>
      <c r="BO5427" s="319"/>
      <c r="BP5427" s="953"/>
      <c r="BQ5427" s="319"/>
      <c r="BR5427" s="319"/>
      <c r="BS5427" s="330"/>
      <c r="BT5427" s="331"/>
      <c r="BU5427" s="920"/>
      <c r="BV5427" s="903"/>
      <c r="BW5427" s="908"/>
      <c r="BX5427" s="908"/>
      <c r="BY5427" s="331"/>
      <c r="BZ5427" s="331"/>
      <c r="CA5427" s="462"/>
      <c r="CB5427" s="319"/>
      <c r="CC5427" s="319"/>
      <c r="CD5427" s="319"/>
      <c r="CE5427" s="319"/>
      <c r="CF5427" s="319"/>
      <c r="CG5427" s="319"/>
      <c r="CH5427" s="318"/>
      <c r="CI5427" s="319"/>
      <c r="CJ5427" s="319"/>
      <c r="CK5427" s="342"/>
      <c r="CL5427" s="333"/>
      <c r="CM5427" s="1079"/>
      <c r="CN5427" s="1005"/>
      <c r="CO5427" s="1005"/>
      <c r="CP5427" s="1005"/>
    </row>
    <row r="5428">
      <c r="A5428" s="1257"/>
      <c r="B5428" s="1113"/>
      <c r="C5428" s="1107"/>
      <c r="D5428" s="103"/>
      <c r="E5428" s="1137"/>
      <c r="F5428" s="112"/>
      <c r="G5428" s="1110"/>
      <c r="H5428" s="1138"/>
      <c r="I5428" s="1138"/>
      <c r="J5428" s="1139"/>
      <c r="K5428" s="1111"/>
      <c r="L5428" s="1112"/>
      <c r="M5428" s="1113"/>
      <c r="N5428" s="110"/>
      <c r="O5428" s="1140"/>
      <c r="P5428" s="1115"/>
      <c r="Q5428" s="1116"/>
      <c r="R5428" s="1141"/>
      <c r="S5428" s="1113"/>
      <c r="T5428" s="1143"/>
      <c r="U5428" s="1108"/>
      <c r="V5428" s="1108"/>
      <c r="W5428" s="1108"/>
      <c r="X5428" s="1108"/>
      <c r="Y5428" s="1108"/>
      <c r="Z5428" s="1114"/>
      <c r="AA5428" s="1114"/>
      <c r="AB5428" s="1114"/>
      <c r="AC5428" s="1117"/>
      <c r="AD5428" s="1115"/>
      <c r="AE5428" s="1115"/>
      <c r="AF5428" s="1115"/>
      <c r="AG5428" s="1115"/>
      <c r="AH5428" s="1115"/>
      <c r="AI5428" s="1115"/>
      <c r="AJ5428" s="1117"/>
      <c r="AK5428" s="1118"/>
      <c r="AL5428" s="1115"/>
      <c r="AM5428" s="1115"/>
      <c r="AN5428" s="1115"/>
      <c r="AO5428" s="1115"/>
      <c r="AP5428" s="1115"/>
      <c r="AQ5428" s="1115"/>
      <c r="AR5428" s="1115"/>
      <c r="AS5428" s="1117"/>
      <c r="AT5428" s="1075"/>
      <c r="AU5428" s="1193"/>
      <c r="AV5428" s="330"/>
      <c r="AW5428" s="331"/>
      <c r="AX5428" s="331"/>
      <c r="AY5428" s="331"/>
      <c r="AZ5428" s="331"/>
      <c r="BA5428" s="331"/>
      <c r="BB5428" s="331"/>
      <c r="BC5428" s="331"/>
      <c r="BD5428" s="331"/>
      <c r="BE5428" s="333"/>
      <c r="BF5428" s="330"/>
      <c r="BG5428" s="333"/>
      <c r="BH5428" s="1119"/>
      <c r="BI5428" s="319"/>
      <c r="BJ5428" s="319"/>
      <c r="BK5428" s="319"/>
      <c r="BL5428" s="319"/>
      <c r="BM5428" s="319"/>
      <c r="BN5428" s="319"/>
      <c r="BO5428" s="319"/>
      <c r="BP5428" s="953"/>
      <c r="BQ5428" s="319"/>
      <c r="BR5428" s="319"/>
      <c r="BS5428" s="330"/>
      <c r="BT5428" s="331"/>
      <c r="BU5428" s="920"/>
      <c r="BV5428" s="903"/>
      <c r="BW5428" s="908"/>
      <c r="BX5428" s="908"/>
      <c r="BY5428" s="331"/>
      <c r="BZ5428" s="331"/>
      <c r="CA5428" s="462"/>
      <c r="CB5428" s="319"/>
      <c r="CC5428" s="319"/>
      <c r="CD5428" s="319"/>
      <c r="CE5428" s="319"/>
      <c r="CF5428" s="319"/>
      <c r="CG5428" s="319"/>
      <c r="CH5428" s="318"/>
      <c r="CI5428" s="319"/>
      <c r="CJ5428" s="319"/>
      <c r="CK5428" s="342"/>
      <c r="CL5428" s="333"/>
      <c r="CM5428" s="1079"/>
      <c r="CN5428" s="1005"/>
      <c r="CO5428" s="1005"/>
      <c r="CP5428" s="1005"/>
    </row>
    <row r="5429">
      <c r="A5429" s="1257"/>
      <c r="B5429" s="1113"/>
      <c r="C5429" s="1107"/>
      <c r="D5429" s="103"/>
      <c r="E5429" s="1137"/>
      <c r="F5429" s="112"/>
      <c r="G5429" s="1110"/>
      <c r="H5429" s="1138"/>
      <c r="I5429" s="1138"/>
      <c r="J5429" s="1139"/>
      <c r="K5429" s="1111"/>
      <c r="L5429" s="1112"/>
      <c r="M5429" s="1113"/>
      <c r="N5429" s="110"/>
      <c r="O5429" s="1140"/>
      <c r="P5429" s="1115"/>
      <c r="Q5429" s="1116"/>
      <c r="R5429" s="1141"/>
      <c r="S5429" s="1113"/>
      <c r="T5429" s="1143"/>
      <c r="U5429" s="1108"/>
      <c r="V5429" s="1108"/>
      <c r="W5429" s="1108"/>
      <c r="X5429" s="1108"/>
      <c r="Y5429" s="1108"/>
      <c r="Z5429" s="1114"/>
      <c r="AA5429" s="1114"/>
      <c r="AB5429" s="1114"/>
      <c r="AC5429" s="1117"/>
      <c r="AD5429" s="1115"/>
      <c r="AE5429" s="1115"/>
      <c r="AF5429" s="1115"/>
      <c r="AG5429" s="1115"/>
      <c r="AH5429" s="1115"/>
      <c r="AI5429" s="1115"/>
      <c r="AJ5429" s="1117"/>
      <c r="AK5429" s="1118"/>
      <c r="AL5429" s="1115"/>
      <c r="AM5429" s="1115"/>
      <c r="AN5429" s="1115"/>
      <c r="AO5429" s="1115"/>
      <c r="AP5429" s="1115"/>
      <c r="AQ5429" s="1115"/>
      <c r="AR5429" s="1115"/>
      <c r="AS5429" s="1117"/>
      <c r="AT5429" s="1075"/>
      <c r="AU5429" s="1193"/>
      <c r="AV5429" s="330"/>
      <c r="AW5429" s="331"/>
      <c r="AX5429" s="331"/>
      <c r="AY5429" s="331"/>
      <c r="AZ5429" s="331"/>
      <c r="BA5429" s="331"/>
      <c r="BB5429" s="331"/>
      <c r="BC5429" s="331"/>
      <c r="BD5429" s="331"/>
      <c r="BE5429" s="333"/>
      <c r="BF5429" s="330"/>
      <c r="BG5429" s="333"/>
      <c r="BH5429" s="1119"/>
      <c r="BI5429" s="319"/>
      <c r="BJ5429" s="319"/>
      <c r="BK5429" s="319"/>
      <c r="BL5429" s="319"/>
      <c r="BM5429" s="319"/>
      <c r="BN5429" s="319"/>
      <c r="BO5429" s="319"/>
      <c r="BP5429" s="953"/>
      <c r="BQ5429" s="319"/>
      <c r="BR5429" s="319"/>
      <c r="BS5429" s="330"/>
      <c r="BT5429" s="331"/>
      <c r="BU5429" s="920"/>
      <c r="BV5429" s="903"/>
      <c r="BW5429" s="908"/>
      <c r="BX5429" s="908"/>
      <c r="BY5429" s="331"/>
      <c r="BZ5429" s="331"/>
      <c r="CA5429" s="462"/>
      <c r="CB5429" s="319"/>
      <c r="CC5429" s="319"/>
      <c r="CD5429" s="319"/>
      <c r="CE5429" s="319"/>
      <c r="CF5429" s="319"/>
      <c r="CG5429" s="319"/>
      <c r="CH5429" s="318"/>
      <c r="CI5429" s="319"/>
      <c r="CJ5429" s="319"/>
      <c r="CK5429" s="342"/>
      <c r="CL5429" s="333"/>
      <c r="CM5429" s="1079"/>
      <c r="CN5429" s="1005"/>
      <c r="CO5429" s="1005"/>
      <c r="CP5429" s="1005"/>
    </row>
    <row r="5430">
      <c r="A5430" s="1257"/>
      <c r="B5430" s="1113"/>
      <c r="C5430" s="1107"/>
      <c r="D5430" s="103"/>
      <c r="E5430" s="1137"/>
      <c r="F5430" s="112"/>
      <c r="G5430" s="1110"/>
      <c r="H5430" s="1138"/>
      <c r="I5430" s="1138"/>
      <c r="J5430" s="1139"/>
      <c r="K5430" s="1111"/>
      <c r="L5430" s="1112"/>
      <c r="M5430" s="1113"/>
      <c r="N5430" s="110"/>
      <c r="O5430" s="1140"/>
      <c r="P5430" s="1115"/>
      <c r="Q5430" s="1116"/>
      <c r="R5430" s="1141"/>
      <c r="S5430" s="1113"/>
      <c r="T5430" s="1143"/>
      <c r="U5430" s="1108"/>
      <c r="V5430" s="1108"/>
      <c r="W5430" s="1108"/>
      <c r="X5430" s="1108"/>
      <c r="Y5430" s="1108"/>
      <c r="Z5430" s="1114"/>
      <c r="AA5430" s="1114"/>
      <c r="AB5430" s="1114"/>
      <c r="AC5430" s="1117"/>
      <c r="AD5430" s="1115"/>
      <c r="AE5430" s="1115"/>
      <c r="AF5430" s="1115"/>
      <c r="AG5430" s="1115"/>
      <c r="AH5430" s="1115"/>
      <c r="AI5430" s="1115"/>
      <c r="AJ5430" s="1117"/>
      <c r="AK5430" s="1118"/>
      <c r="AL5430" s="1115"/>
      <c r="AM5430" s="1115"/>
      <c r="AN5430" s="1115"/>
      <c r="AO5430" s="1115"/>
      <c r="AP5430" s="1115"/>
      <c r="AQ5430" s="1115"/>
      <c r="AR5430" s="1115"/>
      <c r="AS5430" s="1117"/>
      <c r="AT5430" s="1075"/>
      <c r="AU5430" s="1193"/>
      <c r="AV5430" s="330"/>
      <c r="AW5430" s="331"/>
      <c r="AX5430" s="331"/>
      <c r="AY5430" s="331"/>
      <c r="AZ5430" s="331"/>
      <c r="BA5430" s="331"/>
      <c r="BB5430" s="331"/>
      <c r="BC5430" s="331"/>
      <c r="BD5430" s="331"/>
      <c r="BE5430" s="333"/>
      <c r="BF5430" s="330"/>
      <c r="BG5430" s="333"/>
      <c r="BH5430" s="1119"/>
      <c r="BI5430" s="319"/>
      <c r="BJ5430" s="319"/>
      <c r="BK5430" s="319"/>
      <c r="BL5430" s="319"/>
      <c r="BM5430" s="319"/>
      <c r="BN5430" s="319"/>
      <c r="BO5430" s="319"/>
      <c r="BP5430" s="953"/>
      <c r="BQ5430" s="319"/>
      <c r="BR5430" s="319"/>
      <c r="BS5430" s="330"/>
      <c r="BT5430" s="331"/>
      <c r="BU5430" s="920"/>
      <c r="BV5430" s="903"/>
      <c r="BW5430" s="908"/>
      <c r="BX5430" s="908"/>
      <c r="BY5430" s="331"/>
      <c r="BZ5430" s="331"/>
      <c r="CA5430" s="462"/>
      <c r="CB5430" s="319"/>
      <c r="CC5430" s="319"/>
      <c r="CD5430" s="319"/>
      <c r="CE5430" s="319"/>
      <c r="CF5430" s="319"/>
      <c r="CG5430" s="319"/>
      <c r="CH5430" s="318"/>
      <c r="CI5430" s="319"/>
      <c r="CJ5430" s="319"/>
      <c r="CK5430" s="342"/>
      <c r="CL5430" s="333"/>
      <c r="CM5430" s="1079"/>
      <c r="CN5430" s="1005"/>
      <c r="CO5430" s="1005"/>
      <c r="CP5430" s="1005"/>
    </row>
    <row r="5431">
      <c r="A5431" s="1257"/>
      <c r="B5431" s="1113"/>
      <c r="C5431" s="1107"/>
      <c r="D5431" s="103"/>
      <c r="E5431" s="1137"/>
      <c r="F5431" s="112"/>
      <c r="G5431" s="1110"/>
      <c r="H5431" s="1138"/>
      <c r="I5431" s="1138"/>
      <c r="J5431" s="1139"/>
      <c r="K5431" s="1111"/>
      <c r="L5431" s="1112"/>
      <c r="M5431" s="1113"/>
      <c r="N5431" s="110"/>
      <c r="O5431" s="1140"/>
      <c r="P5431" s="1115"/>
      <c r="Q5431" s="1116"/>
      <c r="R5431" s="1141"/>
      <c r="S5431" s="1113"/>
      <c r="T5431" s="1143"/>
      <c r="U5431" s="1108"/>
      <c r="V5431" s="1108"/>
      <c r="W5431" s="1108"/>
      <c r="X5431" s="1108"/>
      <c r="Y5431" s="1108"/>
      <c r="Z5431" s="1114"/>
      <c r="AA5431" s="1114"/>
      <c r="AB5431" s="1114"/>
      <c r="AC5431" s="1117"/>
      <c r="AD5431" s="1115"/>
      <c r="AE5431" s="1115"/>
      <c r="AF5431" s="1115"/>
      <c r="AG5431" s="1115"/>
      <c r="AH5431" s="1115"/>
      <c r="AI5431" s="1115"/>
      <c r="AJ5431" s="1117"/>
      <c r="AK5431" s="1118"/>
      <c r="AL5431" s="1115"/>
      <c r="AM5431" s="1115"/>
      <c r="AN5431" s="1115"/>
      <c r="AO5431" s="1115"/>
      <c r="AP5431" s="1115"/>
      <c r="AQ5431" s="1115"/>
      <c r="AR5431" s="1115"/>
      <c r="AS5431" s="1117"/>
      <c r="AT5431" s="1075"/>
      <c r="AU5431" s="1193"/>
      <c r="AV5431" s="330"/>
      <c r="AW5431" s="331"/>
      <c r="AX5431" s="331"/>
      <c r="AY5431" s="331"/>
      <c r="AZ5431" s="331"/>
      <c r="BA5431" s="331"/>
      <c r="BB5431" s="331"/>
      <c r="BC5431" s="331"/>
      <c r="BD5431" s="331"/>
      <c r="BE5431" s="333"/>
      <c r="BF5431" s="330"/>
      <c r="BG5431" s="333"/>
      <c r="BH5431" s="1119"/>
      <c r="BI5431" s="319"/>
      <c r="BJ5431" s="319"/>
      <c r="BK5431" s="319"/>
      <c r="BL5431" s="319"/>
      <c r="BM5431" s="319"/>
      <c r="BN5431" s="319"/>
      <c r="BO5431" s="319"/>
      <c r="BP5431" s="953"/>
      <c r="BQ5431" s="319"/>
      <c r="BR5431" s="319"/>
      <c r="BS5431" s="330"/>
      <c r="BT5431" s="331"/>
      <c r="BU5431" s="920"/>
      <c r="BV5431" s="903"/>
      <c r="BW5431" s="908"/>
      <c r="BX5431" s="908"/>
      <c r="BY5431" s="331"/>
      <c r="BZ5431" s="331"/>
      <c r="CA5431" s="462"/>
      <c r="CB5431" s="319"/>
      <c r="CC5431" s="319"/>
      <c r="CD5431" s="319"/>
      <c r="CE5431" s="319"/>
      <c r="CF5431" s="319"/>
      <c r="CG5431" s="319"/>
      <c r="CH5431" s="318"/>
      <c r="CI5431" s="319"/>
      <c r="CJ5431" s="319"/>
      <c r="CK5431" s="342"/>
      <c r="CL5431" s="333"/>
      <c r="CM5431" s="1079"/>
      <c r="CN5431" s="1005"/>
      <c r="CO5431" s="1005"/>
      <c r="CP5431" s="1005"/>
    </row>
    <row r="5432">
      <c r="A5432" s="1257"/>
      <c r="B5432" s="1113"/>
      <c r="C5432" s="1107"/>
      <c r="D5432" s="103"/>
      <c r="E5432" s="1137"/>
      <c r="F5432" s="112"/>
      <c r="G5432" s="1110"/>
      <c r="H5432" s="1138"/>
      <c r="I5432" s="1138"/>
      <c r="J5432" s="1139"/>
      <c r="K5432" s="1111"/>
      <c r="L5432" s="1112"/>
      <c r="M5432" s="1113"/>
      <c r="N5432" s="110"/>
      <c r="O5432" s="1140"/>
      <c r="P5432" s="1115"/>
      <c r="Q5432" s="1116"/>
      <c r="R5432" s="1141"/>
      <c r="S5432" s="1113"/>
      <c r="T5432" s="1143"/>
      <c r="U5432" s="1108"/>
      <c r="V5432" s="1108"/>
      <c r="W5432" s="1108"/>
      <c r="X5432" s="1108"/>
      <c r="Y5432" s="1108"/>
      <c r="Z5432" s="1114"/>
      <c r="AA5432" s="1114"/>
      <c r="AB5432" s="1114"/>
      <c r="AC5432" s="1117"/>
      <c r="AD5432" s="1115"/>
      <c r="AE5432" s="1115"/>
      <c r="AF5432" s="1115"/>
      <c r="AG5432" s="1115"/>
      <c r="AH5432" s="1115"/>
      <c r="AI5432" s="1115"/>
      <c r="AJ5432" s="1117"/>
      <c r="AK5432" s="1118"/>
      <c r="AL5432" s="1115"/>
      <c r="AM5432" s="1115"/>
      <c r="AN5432" s="1115"/>
      <c r="AO5432" s="1115"/>
      <c r="AP5432" s="1115"/>
      <c r="AQ5432" s="1115"/>
      <c r="AR5432" s="1115"/>
      <c r="AS5432" s="1117"/>
      <c r="AT5432" s="1075"/>
      <c r="AU5432" s="1193"/>
      <c r="AV5432" s="330"/>
      <c r="AW5432" s="331"/>
      <c r="AX5432" s="331"/>
      <c r="AY5432" s="331"/>
      <c r="AZ5432" s="331"/>
      <c r="BA5432" s="331"/>
      <c r="BB5432" s="331"/>
      <c r="BC5432" s="331"/>
      <c r="BD5432" s="331"/>
      <c r="BE5432" s="333"/>
      <c r="BF5432" s="330"/>
      <c r="BG5432" s="333"/>
      <c r="BH5432" s="1119"/>
      <c r="BI5432" s="319"/>
      <c r="BJ5432" s="319"/>
      <c r="BK5432" s="319"/>
      <c r="BL5432" s="319"/>
      <c r="BM5432" s="319"/>
      <c r="BN5432" s="319"/>
      <c r="BO5432" s="319"/>
      <c r="BP5432" s="953"/>
      <c r="BQ5432" s="319"/>
      <c r="BR5432" s="319"/>
      <c r="BS5432" s="330"/>
      <c r="BT5432" s="331"/>
      <c r="BU5432" s="920"/>
      <c r="BV5432" s="903"/>
      <c r="BW5432" s="908"/>
      <c r="BX5432" s="908"/>
      <c r="BY5432" s="331"/>
      <c r="BZ5432" s="331"/>
      <c r="CA5432" s="462"/>
      <c r="CB5432" s="319"/>
      <c r="CC5432" s="319"/>
      <c r="CD5432" s="319"/>
      <c r="CE5432" s="319"/>
      <c r="CF5432" s="319"/>
      <c r="CG5432" s="319"/>
      <c r="CH5432" s="318"/>
      <c r="CI5432" s="319"/>
      <c r="CJ5432" s="319"/>
      <c r="CK5432" s="342"/>
      <c r="CL5432" s="333"/>
      <c r="CM5432" s="1079"/>
      <c r="CN5432" s="1005"/>
      <c r="CO5432" s="1005"/>
      <c r="CP5432" s="1005"/>
    </row>
    <row r="5433">
      <c r="A5433" s="1257"/>
      <c r="B5433" s="1113"/>
      <c r="C5433" s="1107"/>
      <c r="D5433" s="103"/>
      <c r="E5433" s="1137"/>
      <c r="F5433" s="112"/>
      <c r="G5433" s="1110"/>
      <c r="H5433" s="1138"/>
      <c r="I5433" s="1138"/>
      <c r="J5433" s="1139"/>
      <c r="K5433" s="1111"/>
      <c r="L5433" s="1112"/>
      <c r="M5433" s="1113"/>
      <c r="N5433" s="110"/>
      <c r="O5433" s="1140"/>
      <c r="P5433" s="1115"/>
      <c r="Q5433" s="1116"/>
      <c r="R5433" s="1141"/>
      <c r="S5433" s="1113"/>
      <c r="T5433" s="1143"/>
      <c r="U5433" s="1108"/>
      <c r="V5433" s="1108"/>
      <c r="W5433" s="1108"/>
      <c r="X5433" s="1108"/>
      <c r="Y5433" s="1108"/>
      <c r="Z5433" s="1114"/>
      <c r="AA5433" s="1114"/>
      <c r="AB5433" s="1114"/>
      <c r="AC5433" s="1117"/>
      <c r="AD5433" s="1115"/>
      <c r="AE5433" s="1115"/>
      <c r="AF5433" s="1115"/>
      <c r="AG5433" s="1115"/>
      <c r="AH5433" s="1115"/>
      <c r="AI5433" s="1115"/>
      <c r="AJ5433" s="1117"/>
      <c r="AK5433" s="1118"/>
      <c r="AL5433" s="1115"/>
      <c r="AM5433" s="1115"/>
      <c r="AN5433" s="1115"/>
      <c r="AO5433" s="1115"/>
      <c r="AP5433" s="1115"/>
      <c r="AQ5433" s="1115"/>
      <c r="AR5433" s="1115"/>
      <c r="AS5433" s="1117"/>
      <c r="AT5433" s="1075"/>
      <c r="AU5433" s="1193"/>
      <c r="AV5433" s="330"/>
      <c r="AW5433" s="331"/>
      <c r="AX5433" s="331"/>
      <c r="AY5433" s="331"/>
      <c r="AZ5433" s="331"/>
      <c r="BA5433" s="331"/>
      <c r="BB5433" s="331"/>
      <c r="BC5433" s="331"/>
      <c r="BD5433" s="331"/>
      <c r="BE5433" s="333"/>
      <c r="BF5433" s="330"/>
      <c r="BG5433" s="333"/>
      <c r="BH5433" s="1119"/>
      <c r="BI5433" s="319"/>
      <c r="BJ5433" s="319"/>
      <c r="BK5433" s="319"/>
      <c r="BL5433" s="319"/>
      <c r="BM5433" s="319"/>
      <c r="BN5433" s="319"/>
      <c r="BO5433" s="319"/>
      <c r="BP5433" s="953"/>
      <c r="BQ5433" s="319"/>
      <c r="BR5433" s="319"/>
      <c r="BS5433" s="330"/>
      <c r="BT5433" s="331"/>
      <c r="BU5433" s="920"/>
      <c r="BV5433" s="903"/>
      <c r="BW5433" s="908"/>
      <c r="BX5433" s="908"/>
      <c r="BY5433" s="331"/>
      <c r="BZ5433" s="331"/>
      <c r="CA5433" s="462"/>
      <c r="CB5433" s="319"/>
      <c r="CC5433" s="319"/>
      <c r="CD5433" s="319"/>
      <c r="CE5433" s="319"/>
      <c r="CF5433" s="319"/>
      <c r="CG5433" s="319"/>
      <c r="CH5433" s="318"/>
      <c r="CI5433" s="319"/>
      <c r="CJ5433" s="319"/>
      <c r="CK5433" s="342"/>
      <c r="CL5433" s="333"/>
      <c r="CM5433" s="1079"/>
      <c r="CN5433" s="1005"/>
      <c r="CO5433" s="1005"/>
      <c r="CP5433" s="1005"/>
    </row>
    <row r="5434">
      <c r="A5434" s="1257"/>
      <c r="B5434" s="1113"/>
      <c r="C5434" s="1107"/>
      <c r="D5434" s="103"/>
      <c r="E5434" s="1137"/>
      <c r="F5434" s="112"/>
      <c r="G5434" s="1110"/>
      <c r="H5434" s="1138"/>
      <c r="I5434" s="1138"/>
      <c r="J5434" s="1139"/>
      <c r="K5434" s="1111"/>
      <c r="L5434" s="1112"/>
      <c r="M5434" s="1113"/>
      <c r="N5434" s="110"/>
      <c r="O5434" s="1140"/>
      <c r="P5434" s="1115"/>
      <c r="Q5434" s="1116"/>
      <c r="R5434" s="1141"/>
      <c r="S5434" s="1113"/>
      <c r="T5434" s="1143"/>
      <c r="U5434" s="1108"/>
      <c r="V5434" s="1108"/>
      <c r="W5434" s="1108"/>
      <c r="X5434" s="1108"/>
      <c r="Y5434" s="1108"/>
      <c r="Z5434" s="1114"/>
      <c r="AA5434" s="1114"/>
      <c r="AB5434" s="1114"/>
      <c r="AC5434" s="1117"/>
      <c r="AD5434" s="1115"/>
      <c r="AE5434" s="1115"/>
      <c r="AF5434" s="1115"/>
      <c r="AG5434" s="1115"/>
      <c r="AH5434" s="1115"/>
      <c r="AI5434" s="1115"/>
      <c r="AJ5434" s="1117"/>
      <c r="AK5434" s="1118"/>
      <c r="AL5434" s="1115"/>
      <c r="AM5434" s="1115"/>
      <c r="AN5434" s="1115"/>
      <c r="AO5434" s="1115"/>
      <c r="AP5434" s="1115"/>
      <c r="AQ5434" s="1115"/>
      <c r="AR5434" s="1115"/>
      <c r="AS5434" s="1117"/>
      <c r="AT5434" s="1075"/>
      <c r="AU5434" s="1193"/>
      <c r="AV5434" s="330"/>
      <c r="AW5434" s="331"/>
      <c r="AX5434" s="331"/>
      <c r="AY5434" s="331"/>
      <c r="AZ5434" s="331"/>
      <c r="BA5434" s="331"/>
      <c r="BB5434" s="331"/>
      <c r="BC5434" s="331"/>
      <c r="BD5434" s="331"/>
      <c r="BE5434" s="333"/>
      <c r="BF5434" s="330"/>
      <c r="BG5434" s="333"/>
      <c r="BH5434" s="1119"/>
      <c r="BI5434" s="319"/>
      <c r="BJ5434" s="319"/>
      <c r="BK5434" s="319"/>
      <c r="BL5434" s="319"/>
      <c r="BM5434" s="319"/>
      <c r="BN5434" s="319"/>
      <c r="BO5434" s="319"/>
      <c r="BP5434" s="953"/>
      <c r="BQ5434" s="319"/>
      <c r="BR5434" s="319"/>
      <c r="BS5434" s="330"/>
      <c r="BT5434" s="331"/>
      <c r="BU5434" s="920"/>
      <c r="BV5434" s="903"/>
      <c r="BW5434" s="908"/>
      <c r="BX5434" s="908"/>
      <c r="BY5434" s="331"/>
      <c r="BZ5434" s="331"/>
      <c r="CA5434" s="462"/>
      <c r="CB5434" s="319"/>
      <c r="CC5434" s="319"/>
      <c r="CD5434" s="319"/>
      <c r="CE5434" s="319"/>
      <c r="CF5434" s="319"/>
      <c r="CG5434" s="319"/>
      <c r="CH5434" s="318"/>
      <c r="CI5434" s="319"/>
      <c r="CJ5434" s="319"/>
      <c r="CK5434" s="342"/>
      <c r="CL5434" s="333"/>
      <c r="CM5434" s="1079"/>
      <c r="CN5434" s="1005"/>
      <c r="CO5434" s="1005"/>
      <c r="CP5434" s="1005"/>
    </row>
    <row r="5435">
      <c r="A5435" s="1257"/>
      <c r="B5435" s="1113"/>
      <c r="C5435" s="1107"/>
      <c r="D5435" s="103"/>
      <c r="E5435" s="1137"/>
      <c r="F5435" s="112"/>
      <c r="G5435" s="1110"/>
      <c r="H5435" s="1138"/>
      <c r="I5435" s="1138"/>
      <c r="J5435" s="1139"/>
      <c r="K5435" s="1111"/>
      <c r="L5435" s="1112"/>
      <c r="M5435" s="1113"/>
      <c r="N5435" s="110"/>
      <c r="O5435" s="1140"/>
      <c r="P5435" s="1115"/>
      <c r="Q5435" s="1116"/>
      <c r="R5435" s="1141"/>
      <c r="S5435" s="1113"/>
      <c r="T5435" s="1143"/>
      <c r="U5435" s="1108"/>
      <c r="V5435" s="1108"/>
      <c r="W5435" s="1108"/>
      <c r="X5435" s="1108"/>
      <c r="Y5435" s="1108"/>
      <c r="Z5435" s="1114"/>
      <c r="AA5435" s="1114"/>
      <c r="AB5435" s="1114"/>
      <c r="AC5435" s="1117"/>
      <c r="AD5435" s="1115"/>
      <c r="AE5435" s="1115"/>
      <c r="AF5435" s="1115"/>
      <c r="AG5435" s="1115"/>
      <c r="AH5435" s="1115"/>
      <c r="AI5435" s="1115"/>
      <c r="AJ5435" s="1117"/>
      <c r="AK5435" s="1118"/>
      <c r="AL5435" s="1115"/>
      <c r="AM5435" s="1115"/>
      <c r="AN5435" s="1115"/>
      <c r="AO5435" s="1115"/>
      <c r="AP5435" s="1115"/>
      <c r="AQ5435" s="1115"/>
      <c r="AR5435" s="1115"/>
      <c r="AS5435" s="1117"/>
      <c r="AT5435" s="1075"/>
      <c r="AU5435" s="1193"/>
      <c r="AV5435" s="330"/>
      <c r="AW5435" s="331"/>
      <c r="AX5435" s="331"/>
      <c r="AY5435" s="331"/>
      <c r="AZ5435" s="331"/>
      <c r="BA5435" s="331"/>
      <c r="BB5435" s="331"/>
      <c r="BC5435" s="331"/>
      <c r="BD5435" s="331"/>
      <c r="BE5435" s="333"/>
      <c r="BF5435" s="330"/>
      <c r="BG5435" s="333"/>
      <c r="BH5435" s="1119"/>
      <c r="BI5435" s="319"/>
      <c r="BJ5435" s="319"/>
      <c r="BK5435" s="319"/>
      <c r="BL5435" s="319"/>
      <c r="BM5435" s="319"/>
      <c r="BN5435" s="319"/>
      <c r="BO5435" s="319"/>
      <c r="BP5435" s="953"/>
      <c r="BQ5435" s="319"/>
      <c r="BR5435" s="319"/>
      <c r="BS5435" s="330"/>
      <c r="BT5435" s="331"/>
      <c r="BU5435" s="920"/>
      <c r="BV5435" s="903"/>
      <c r="BW5435" s="908"/>
      <c r="BX5435" s="908"/>
      <c r="BY5435" s="331"/>
      <c r="BZ5435" s="331"/>
      <c r="CA5435" s="462"/>
      <c r="CB5435" s="319"/>
      <c r="CC5435" s="319"/>
      <c r="CD5435" s="319"/>
      <c r="CE5435" s="319"/>
      <c r="CF5435" s="319"/>
      <c r="CG5435" s="319"/>
      <c r="CH5435" s="318"/>
      <c r="CI5435" s="319"/>
      <c r="CJ5435" s="319"/>
      <c r="CK5435" s="342"/>
      <c r="CL5435" s="333"/>
      <c r="CM5435" s="1079"/>
      <c r="CN5435" s="1005"/>
      <c r="CO5435" s="1005"/>
      <c r="CP5435" s="1005"/>
    </row>
    <row r="5436">
      <c r="A5436" s="1257"/>
      <c r="B5436" s="1113"/>
      <c r="C5436" s="1107"/>
      <c r="D5436" s="103"/>
      <c r="E5436" s="1137"/>
      <c r="F5436" s="112"/>
      <c r="G5436" s="1110"/>
      <c r="H5436" s="1138"/>
      <c r="I5436" s="1138"/>
      <c r="J5436" s="1139"/>
      <c r="K5436" s="1111"/>
      <c r="L5436" s="1112"/>
      <c r="M5436" s="1113"/>
      <c r="N5436" s="110"/>
      <c r="O5436" s="1140"/>
      <c r="P5436" s="1115"/>
      <c r="Q5436" s="1116"/>
      <c r="R5436" s="1141"/>
      <c r="S5436" s="1113"/>
      <c r="T5436" s="1143"/>
      <c r="U5436" s="1108"/>
      <c r="V5436" s="1108"/>
      <c r="W5436" s="1108"/>
      <c r="X5436" s="1108"/>
      <c r="Y5436" s="1108"/>
      <c r="Z5436" s="1114"/>
      <c r="AA5436" s="1114"/>
      <c r="AB5436" s="1114"/>
      <c r="AC5436" s="1117"/>
      <c r="AD5436" s="1115"/>
      <c r="AE5436" s="1115"/>
      <c r="AF5436" s="1115"/>
      <c r="AG5436" s="1115"/>
      <c r="AH5436" s="1115"/>
      <c r="AI5436" s="1115"/>
      <c r="AJ5436" s="1117"/>
      <c r="AK5436" s="1118"/>
      <c r="AL5436" s="1115"/>
      <c r="AM5436" s="1115"/>
      <c r="AN5436" s="1115"/>
      <c r="AO5436" s="1115"/>
      <c r="AP5436" s="1115"/>
      <c r="AQ5436" s="1115"/>
      <c r="AR5436" s="1115"/>
      <c r="AS5436" s="1117"/>
      <c r="AT5436" s="1075"/>
      <c r="AU5436" s="1193"/>
      <c r="AV5436" s="330"/>
      <c r="AW5436" s="331"/>
      <c r="AX5436" s="331"/>
      <c r="AY5436" s="331"/>
      <c r="AZ5436" s="331"/>
      <c r="BA5436" s="331"/>
      <c r="BB5436" s="331"/>
      <c r="BC5436" s="331"/>
      <c r="BD5436" s="331"/>
      <c r="BE5436" s="333"/>
      <c r="BF5436" s="330"/>
      <c r="BG5436" s="333"/>
      <c r="BH5436" s="1119"/>
      <c r="BI5436" s="319"/>
      <c r="BJ5436" s="319"/>
      <c r="BK5436" s="319"/>
      <c r="BL5436" s="319"/>
      <c r="BM5436" s="319"/>
      <c r="BN5436" s="319"/>
      <c r="BO5436" s="319"/>
      <c r="BP5436" s="953"/>
      <c r="BQ5436" s="319"/>
      <c r="BR5436" s="319"/>
      <c r="BS5436" s="330"/>
      <c r="BT5436" s="331"/>
      <c r="BU5436" s="920"/>
      <c r="BV5436" s="903"/>
      <c r="BW5436" s="908"/>
      <c r="BX5436" s="908"/>
      <c r="BY5436" s="331"/>
      <c r="BZ5436" s="331"/>
      <c r="CA5436" s="462"/>
      <c r="CB5436" s="319"/>
      <c r="CC5436" s="319"/>
      <c r="CD5436" s="319"/>
      <c r="CE5436" s="319"/>
      <c r="CF5436" s="319"/>
      <c r="CG5436" s="319"/>
      <c r="CH5436" s="318"/>
      <c r="CI5436" s="319"/>
      <c r="CJ5436" s="319"/>
      <c r="CK5436" s="342"/>
      <c r="CL5436" s="333"/>
      <c r="CM5436" s="1079"/>
      <c r="CN5436" s="1005"/>
      <c r="CO5436" s="1005"/>
      <c r="CP5436" s="1005"/>
    </row>
    <row r="5437">
      <c r="A5437" s="1257"/>
      <c r="B5437" s="1113"/>
      <c r="C5437" s="1107"/>
      <c r="D5437" s="103"/>
      <c r="E5437" s="1137"/>
      <c r="F5437" s="112"/>
      <c r="G5437" s="1110"/>
      <c r="H5437" s="1138"/>
      <c r="I5437" s="1138"/>
      <c r="J5437" s="1139"/>
      <c r="K5437" s="1111"/>
      <c r="L5437" s="1112"/>
      <c r="M5437" s="1113"/>
      <c r="N5437" s="110"/>
      <c r="O5437" s="1140"/>
      <c r="P5437" s="1115"/>
      <c r="Q5437" s="1116"/>
      <c r="R5437" s="1141"/>
      <c r="S5437" s="1113"/>
      <c r="T5437" s="1143"/>
      <c r="U5437" s="1108"/>
      <c r="V5437" s="1108"/>
      <c r="W5437" s="1108"/>
      <c r="X5437" s="1108"/>
      <c r="Y5437" s="1108"/>
      <c r="Z5437" s="1114"/>
      <c r="AA5437" s="1114"/>
      <c r="AB5437" s="1114"/>
      <c r="AC5437" s="1117"/>
      <c r="AD5437" s="1115"/>
      <c r="AE5437" s="1115"/>
      <c r="AF5437" s="1115"/>
      <c r="AG5437" s="1115"/>
      <c r="AH5437" s="1115"/>
      <c r="AI5437" s="1115"/>
      <c r="AJ5437" s="1117"/>
      <c r="AK5437" s="1118"/>
      <c r="AL5437" s="1115"/>
      <c r="AM5437" s="1115"/>
      <c r="AN5437" s="1115"/>
      <c r="AO5437" s="1115"/>
      <c r="AP5437" s="1115"/>
      <c r="AQ5437" s="1115"/>
      <c r="AR5437" s="1115"/>
      <c r="AS5437" s="1117"/>
      <c r="AT5437" s="1075"/>
      <c r="AU5437" s="1193"/>
      <c r="AV5437" s="330"/>
      <c r="AW5437" s="331"/>
      <c r="AX5437" s="331"/>
      <c r="AY5437" s="331"/>
      <c r="AZ5437" s="331"/>
      <c r="BA5437" s="331"/>
      <c r="BB5437" s="331"/>
      <c r="BC5437" s="331"/>
      <c r="BD5437" s="331"/>
      <c r="BE5437" s="333"/>
      <c r="BF5437" s="330"/>
      <c r="BG5437" s="333"/>
      <c r="BH5437" s="1119"/>
      <c r="BI5437" s="319"/>
      <c r="BJ5437" s="319"/>
      <c r="BK5437" s="319"/>
      <c r="BL5437" s="319"/>
      <c r="BM5437" s="319"/>
      <c r="BN5437" s="319"/>
      <c r="BO5437" s="319"/>
      <c r="BP5437" s="953"/>
      <c r="BQ5437" s="319"/>
      <c r="BR5437" s="319"/>
      <c r="BS5437" s="330"/>
      <c r="BT5437" s="331"/>
      <c r="BU5437" s="920"/>
      <c r="BV5437" s="903"/>
      <c r="BW5437" s="908"/>
      <c r="BX5437" s="908"/>
      <c r="BY5437" s="331"/>
      <c r="BZ5437" s="331"/>
      <c r="CA5437" s="462"/>
      <c r="CB5437" s="319"/>
      <c r="CC5437" s="319"/>
      <c r="CD5437" s="319"/>
      <c r="CE5437" s="319"/>
      <c r="CF5437" s="319"/>
      <c r="CG5437" s="319"/>
      <c r="CH5437" s="318"/>
      <c r="CI5437" s="319"/>
      <c r="CJ5437" s="319"/>
      <c r="CK5437" s="342"/>
      <c r="CL5437" s="333"/>
      <c r="CM5437" s="1079"/>
      <c r="CN5437" s="1005"/>
      <c r="CO5437" s="1005"/>
      <c r="CP5437" s="1005"/>
    </row>
    <row r="5438">
      <c r="A5438" s="1257"/>
      <c r="B5438" s="1113"/>
      <c r="C5438" s="1107"/>
      <c r="D5438" s="103"/>
      <c r="E5438" s="1137"/>
      <c r="F5438" s="112"/>
      <c r="G5438" s="1110"/>
      <c r="H5438" s="1138"/>
      <c r="I5438" s="1138"/>
      <c r="J5438" s="1139"/>
      <c r="K5438" s="1111"/>
      <c r="L5438" s="1112"/>
      <c r="M5438" s="1113"/>
      <c r="N5438" s="110"/>
      <c r="O5438" s="1140"/>
      <c r="P5438" s="1115"/>
      <c r="Q5438" s="1116"/>
      <c r="R5438" s="1141"/>
      <c r="S5438" s="1113"/>
      <c r="T5438" s="1143"/>
      <c r="U5438" s="1108"/>
      <c r="V5438" s="1108"/>
      <c r="W5438" s="1108"/>
      <c r="X5438" s="1108"/>
      <c r="Y5438" s="1108"/>
      <c r="Z5438" s="1114"/>
      <c r="AA5438" s="1114"/>
      <c r="AB5438" s="1114"/>
      <c r="AC5438" s="1117"/>
      <c r="AD5438" s="1115"/>
      <c r="AE5438" s="1115"/>
      <c r="AF5438" s="1115"/>
      <c r="AG5438" s="1115"/>
      <c r="AH5438" s="1115"/>
      <c r="AI5438" s="1115"/>
      <c r="AJ5438" s="1117"/>
      <c r="AK5438" s="1118"/>
      <c r="AL5438" s="1115"/>
      <c r="AM5438" s="1115"/>
      <c r="AN5438" s="1115"/>
      <c r="AO5438" s="1115"/>
      <c r="AP5438" s="1115"/>
      <c r="AQ5438" s="1115"/>
      <c r="AR5438" s="1115"/>
      <c r="AS5438" s="1117"/>
      <c r="AT5438" s="1075"/>
      <c r="AU5438" s="1193"/>
      <c r="AV5438" s="330"/>
      <c r="AW5438" s="331"/>
      <c r="AX5438" s="331"/>
      <c r="AY5438" s="331"/>
      <c r="AZ5438" s="331"/>
      <c r="BA5438" s="331"/>
      <c r="BB5438" s="331"/>
      <c r="BC5438" s="331"/>
      <c r="BD5438" s="331"/>
      <c r="BE5438" s="333"/>
      <c r="BF5438" s="330"/>
      <c r="BG5438" s="333"/>
      <c r="BH5438" s="1119"/>
      <c r="BI5438" s="319"/>
      <c r="BJ5438" s="319"/>
      <c r="BK5438" s="319"/>
      <c r="BL5438" s="319"/>
      <c r="BM5438" s="319"/>
      <c r="BN5438" s="319"/>
      <c r="BO5438" s="319"/>
      <c r="BP5438" s="953"/>
      <c r="BQ5438" s="319"/>
      <c r="BR5438" s="319"/>
      <c r="BS5438" s="330"/>
      <c r="BT5438" s="331"/>
      <c r="BU5438" s="920"/>
      <c r="BV5438" s="903"/>
      <c r="BW5438" s="908"/>
      <c r="BX5438" s="908"/>
      <c r="BY5438" s="331"/>
      <c r="BZ5438" s="331"/>
      <c r="CA5438" s="462"/>
      <c r="CB5438" s="319"/>
      <c r="CC5438" s="319"/>
      <c r="CD5438" s="319"/>
      <c r="CE5438" s="319"/>
      <c r="CF5438" s="319"/>
      <c r="CG5438" s="319"/>
      <c r="CH5438" s="318"/>
      <c r="CI5438" s="319"/>
      <c r="CJ5438" s="319"/>
      <c r="CK5438" s="342"/>
      <c r="CL5438" s="333"/>
      <c r="CM5438" s="1079"/>
      <c r="CN5438" s="1005"/>
      <c r="CO5438" s="1005"/>
      <c r="CP5438" s="1005"/>
    </row>
    <row r="5439">
      <c r="A5439" s="1257"/>
      <c r="B5439" s="1113"/>
      <c r="C5439" s="1107"/>
      <c r="D5439" s="103"/>
      <c r="E5439" s="1137"/>
      <c r="F5439" s="112"/>
      <c r="G5439" s="1110"/>
      <c r="H5439" s="1138"/>
      <c r="I5439" s="1138"/>
      <c r="J5439" s="1139"/>
      <c r="K5439" s="1111"/>
      <c r="L5439" s="1112"/>
      <c r="M5439" s="1113"/>
      <c r="N5439" s="110"/>
      <c r="O5439" s="1140"/>
      <c r="P5439" s="1115"/>
      <c r="Q5439" s="1116"/>
      <c r="R5439" s="1141"/>
      <c r="S5439" s="1113"/>
      <c r="T5439" s="1143"/>
      <c r="U5439" s="1108"/>
      <c r="V5439" s="1108"/>
      <c r="W5439" s="1108"/>
      <c r="X5439" s="1108"/>
      <c r="Y5439" s="1108"/>
      <c r="Z5439" s="1114"/>
      <c r="AA5439" s="1114"/>
      <c r="AB5439" s="1114"/>
      <c r="AC5439" s="1117"/>
      <c r="AD5439" s="1115"/>
      <c r="AE5439" s="1115"/>
      <c r="AF5439" s="1115"/>
      <c r="AG5439" s="1115"/>
      <c r="AH5439" s="1115"/>
      <c r="AI5439" s="1115"/>
      <c r="AJ5439" s="1117"/>
      <c r="AK5439" s="1118"/>
      <c r="AL5439" s="1115"/>
      <c r="AM5439" s="1115"/>
      <c r="AN5439" s="1115"/>
      <c r="AO5439" s="1115"/>
      <c r="AP5439" s="1115"/>
      <c r="AQ5439" s="1115"/>
      <c r="AR5439" s="1115"/>
      <c r="AS5439" s="1117"/>
      <c r="AT5439" s="1075"/>
      <c r="AU5439" s="1193"/>
      <c r="AV5439" s="330"/>
      <c r="AW5439" s="331"/>
      <c r="AX5439" s="331"/>
      <c r="AY5439" s="331"/>
      <c r="AZ5439" s="331"/>
      <c r="BA5439" s="331"/>
      <c r="BB5439" s="331"/>
      <c r="BC5439" s="331"/>
      <c r="BD5439" s="331"/>
      <c r="BE5439" s="333"/>
      <c r="BF5439" s="330"/>
      <c r="BG5439" s="333"/>
      <c r="BH5439" s="1119"/>
      <c r="BI5439" s="319"/>
      <c r="BJ5439" s="319"/>
      <c r="BK5439" s="319"/>
      <c r="BL5439" s="319"/>
      <c r="BM5439" s="319"/>
      <c r="BN5439" s="319"/>
      <c r="BO5439" s="319"/>
      <c r="BP5439" s="953"/>
      <c r="BQ5439" s="319"/>
      <c r="BR5439" s="319"/>
      <c r="BS5439" s="330"/>
      <c r="BT5439" s="331"/>
      <c r="BU5439" s="920"/>
      <c r="BV5439" s="903"/>
      <c r="BW5439" s="908"/>
      <c r="BX5439" s="908"/>
      <c r="BY5439" s="331"/>
      <c r="BZ5439" s="331"/>
      <c r="CA5439" s="462"/>
      <c r="CB5439" s="319"/>
      <c r="CC5439" s="319"/>
      <c r="CD5439" s="319"/>
      <c r="CE5439" s="319"/>
      <c r="CF5439" s="319"/>
      <c r="CG5439" s="319"/>
      <c r="CH5439" s="318"/>
      <c r="CI5439" s="319"/>
      <c r="CJ5439" s="319"/>
      <c r="CK5439" s="342"/>
      <c r="CL5439" s="333"/>
      <c r="CM5439" s="1079"/>
      <c r="CN5439" s="1005"/>
      <c r="CO5439" s="1005"/>
      <c r="CP5439" s="1005"/>
    </row>
    <row r="5440">
      <c r="A5440" s="1257"/>
      <c r="B5440" s="1113"/>
      <c r="C5440" s="1107"/>
      <c r="D5440" s="103"/>
      <c r="E5440" s="1137"/>
      <c r="F5440" s="112"/>
      <c r="G5440" s="1110"/>
      <c r="H5440" s="1138"/>
      <c r="I5440" s="1138"/>
      <c r="J5440" s="1139"/>
      <c r="K5440" s="1111"/>
      <c r="L5440" s="1112"/>
      <c r="M5440" s="1113"/>
      <c r="N5440" s="110"/>
      <c r="O5440" s="1140"/>
      <c r="P5440" s="1115"/>
      <c r="Q5440" s="1116"/>
      <c r="R5440" s="1141"/>
      <c r="S5440" s="1113"/>
      <c r="T5440" s="1143"/>
      <c r="U5440" s="1108"/>
      <c r="V5440" s="1108"/>
      <c r="W5440" s="1108"/>
      <c r="X5440" s="1108"/>
      <c r="Y5440" s="1108"/>
      <c r="Z5440" s="1114"/>
      <c r="AA5440" s="1114"/>
      <c r="AB5440" s="1114"/>
      <c r="AC5440" s="1117"/>
      <c r="AD5440" s="1115"/>
      <c r="AE5440" s="1115"/>
      <c r="AF5440" s="1115"/>
      <c r="AG5440" s="1115"/>
      <c r="AH5440" s="1115"/>
      <c r="AI5440" s="1115"/>
      <c r="AJ5440" s="1117"/>
      <c r="AK5440" s="1118"/>
      <c r="AL5440" s="1115"/>
      <c r="AM5440" s="1115"/>
      <c r="AN5440" s="1115"/>
      <c r="AO5440" s="1115"/>
      <c r="AP5440" s="1115"/>
      <c r="AQ5440" s="1115"/>
      <c r="AR5440" s="1115"/>
      <c r="AS5440" s="1117"/>
      <c r="AT5440" s="1075"/>
      <c r="AU5440" s="1193"/>
      <c r="AV5440" s="330"/>
      <c r="AW5440" s="331"/>
      <c r="AX5440" s="331"/>
      <c r="AY5440" s="331"/>
      <c r="AZ5440" s="331"/>
      <c r="BA5440" s="331"/>
      <c r="BB5440" s="331"/>
      <c r="BC5440" s="331"/>
      <c r="BD5440" s="331"/>
      <c r="BE5440" s="333"/>
      <c r="BF5440" s="330"/>
      <c r="BG5440" s="333"/>
      <c r="BH5440" s="1119"/>
      <c r="BI5440" s="319"/>
      <c r="BJ5440" s="319"/>
      <c r="BK5440" s="319"/>
      <c r="BL5440" s="319"/>
      <c r="BM5440" s="319"/>
      <c r="BN5440" s="319"/>
      <c r="BO5440" s="319"/>
      <c r="BP5440" s="953"/>
      <c r="BQ5440" s="319"/>
      <c r="BR5440" s="319"/>
      <c r="BS5440" s="330"/>
      <c r="BT5440" s="331"/>
      <c r="BU5440" s="920"/>
      <c r="BV5440" s="903"/>
      <c r="BW5440" s="908"/>
      <c r="BX5440" s="908"/>
      <c r="BY5440" s="331"/>
      <c r="BZ5440" s="331"/>
      <c r="CA5440" s="462"/>
      <c r="CB5440" s="319"/>
      <c r="CC5440" s="319"/>
      <c r="CD5440" s="319"/>
      <c r="CE5440" s="319"/>
      <c r="CF5440" s="319"/>
      <c r="CG5440" s="319"/>
      <c r="CH5440" s="318"/>
      <c r="CI5440" s="319"/>
      <c r="CJ5440" s="319"/>
      <c r="CK5440" s="342"/>
      <c r="CL5440" s="333"/>
      <c r="CM5440" s="1079"/>
      <c r="CN5440" s="1005"/>
      <c r="CO5440" s="1005"/>
      <c r="CP5440" s="1005"/>
    </row>
    <row r="5441">
      <c r="A5441" s="1257"/>
      <c r="B5441" s="1113"/>
      <c r="C5441" s="1107"/>
      <c r="D5441" s="103"/>
      <c r="E5441" s="1137"/>
      <c r="F5441" s="112"/>
      <c r="G5441" s="1110"/>
      <c r="H5441" s="1138"/>
      <c r="I5441" s="1138"/>
      <c r="J5441" s="1139"/>
      <c r="K5441" s="1111"/>
      <c r="L5441" s="1112"/>
      <c r="M5441" s="1113"/>
      <c r="N5441" s="110"/>
      <c r="O5441" s="1140"/>
      <c r="P5441" s="1115"/>
      <c r="Q5441" s="1116"/>
      <c r="R5441" s="1141"/>
      <c r="S5441" s="1113"/>
      <c r="T5441" s="1143"/>
      <c r="U5441" s="1108"/>
      <c r="V5441" s="1108"/>
      <c r="W5441" s="1108"/>
      <c r="X5441" s="1108"/>
      <c r="Y5441" s="1108"/>
      <c r="Z5441" s="1114"/>
      <c r="AA5441" s="1114"/>
      <c r="AB5441" s="1114"/>
      <c r="AC5441" s="1117"/>
      <c r="AD5441" s="1115"/>
      <c r="AE5441" s="1115"/>
      <c r="AF5441" s="1115"/>
      <c r="AG5441" s="1115"/>
      <c r="AH5441" s="1115"/>
      <c r="AI5441" s="1115"/>
      <c r="AJ5441" s="1117"/>
      <c r="AK5441" s="1118"/>
      <c r="AL5441" s="1115"/>
      <c r="AM5441" s="1115"/>
      <c r="AN5441" s="1115"/>
      <c r="AO5441" s="1115"/>
      <c r="AP5441" s="1115"/>
      <c r="AQ5441" s="1115"/>
      <c r="AR5441" s="1115"/>
      <c r="AS5441" s="1117"/>
      <c r="AT5441" s="1075"/>
      <c r="AU5441" s="1193"/>
      <c r="AV5441" s="330"/>
      <c r="AW5441" s="331"/>
      <c r="AX5441" s="331"/>
      <c r="AY5441" s="331"/>
      <c r="AZ5441" s="331"/>
      <c r="BA5441" s="331"/>
      <c r="BB5441" s="331"/>
      <c r="BC5441" s="331"/>
      <c r="BD5441" s="331"/>
      <c r="BE5441" s="333"/>
      <c r="BF5441" s="330"/>
      <c r="BG5441" s="333"/>
      <c r="BH5441" s="1119"/>
      <c r="BI5441" s="319"/>
      <c r="BJ5441" s="319"/>
      <c r="BK5441" s="319"/>
      <c r="BL5441" s="319"/>
      <c r="BM5441" s="319"/>
      <c r="BN5441" s="319"/>
      <c r="BO5441" s="319"/>
      <c r="BP5441" s="953"/>
      <c r="BQ5441" s="319"/>
      <c r="BR5441" s="319"/>
      <c r="BS5441" s="330"/>
      <c r="BT5441" s="331"/>
      <c r="BU5441" s="920"/>
      <c r="BV5441" s="903"/>
      <c r="BW5441" s="908"/>
      <c r="BX5441" s="908"/>
      <c r="BY5441" s="331"/>
      <c r="BZ5441" s="331"/>
      <c r="CA5441" s="462"/>
      <c r="CB5441" s="319"/>
      <c r="CC5441" s="319"/>
      <c r="CD5441" s="319"/>
      <c r="CE5441" s="319"/>
      <c r="CF5441" s="319"/>
      <c r="CG5441" s="319"/>
      <c r="CH5441" s="318"/>
      <c r="CI5441" s="319"/>
      <c r="CJ5441" s="319"/>
      <c r="CK5441" s="342"/>
      <c r="CL5441" s="333"/>
      <c r="CM5441" s="1079"/>
      <c r="CN5441" s="1005"/>
      <c r="CO5441" s="1005"/>
      <c r="CP5441" s="1005"/>
    </row>
    <row r="5442">
      <c r="A5442" s="1257"/>
      <c r="B5442" s="1113"/>
      <c r="C5442" s="1107"/>
      <c r="D5442" s="103"/>
      <c r="E5442" s="1137"/>
      <c r="F5442" s="112"/>
      <c r="G5442" s="1110"/>
      <c r="H5442" s="1138"/>
      <c r="I5442" s="1138"/>
      <c r="J5442" s="1139"/>
      <c r="K5442" s="1111"/>
      <c r="L5442" s="1112"/>
      <c r="M5442" s="1113"/>
      <c r="N5442" s="110"/>
      <c r="O5442" s="1140"/>
      <c r="P5442" s="1115"/>
      <c r="Q5442" s="1116"/>
      <c r="R5442" s="1141"/>
      <c r="S5442" s="1113"/>
      <c r="T5442" s="1143"/>
      <c r="U5442" s="1108"/>
      <c r="V5442" s="1108"/>
      <c r="W5442" s="1108"/>
      <c r="X5442" s="1108"/>
      <c r="Y5442" s="1108"/>
      <c r="Z5442" s="1114"/>
      <c r="AA5442" s="1114"/>
      <c r="AB5442" s="1114"/>
      <c r="AC5442" s="1117"/>
      <c r="AD5442" s="1115"/>
      <c r="AE5442" s="1115"/>
      <c r="AF5442" s="1115"/>
      <c r="AG5442" s="1115"/>
      <c r="AH5442" s="1115"/>
      <c r="AI5442" s="1115"/>
      <c r="AJ5442" s="1117"/>
      <c r="AK5442" s="1118"/>
      <c r="AL5442" s="1115"/>
      <c r="AM5442" s="1115"/>
      <c r="AN5442" s="1115"/>
      <c r="AO5442" s="1115"/>
      <c r="AP5442" s="1115"/>
      <c r="AQ5442" s="1115"/>
      <c r="AR5442" s="1115"/>
      <c r="AS5442" s="1117"/>
      <c r="AT5442" s="1075"/>
      <c r="AU5442" s="1193"/>
      <c r="AV5442" s="330"/>
      <c r="AW5442" s="331"/>
      <c r="AX5442" s="331"/>
      <c r="AY5442" s="331"/>
      <c r="AZ5442" s="331"/>
      <c r="BA5442" s="331"/>
      <c r="BB5442" s="331"/>
      <c r="BC5442" s="331"/>
      <c r="BD5442" s="331"/>
      <c r="BE5442" s="333"/>
      <c r="BF5442" s="330"/>
      <c r="BG5442" s="333"/>
      <c r="BH5442" s="1119"/>
      <c r="BI5442" s="319"/>
      <c r="BJ5442" s="319"/>
      <c r="BK5442" s="319"/>
      <c r="BL5442" s="319"/>
      <c r="BM5442" s="319"/>
      <c r="BN5442" s="319"/>
      <c r="BO5442" s="319"/>
      <c r="BP5442" s="953"/>
      <c r="BQ5442" s="319"/>
      <c r="BR5442" s="319"/>
      <c r="BS5442" s="330"/>
      <c r="BT5442" s="331"/>
      <c r="BU5442" s="920"/>
      <c r="BV5442" s="903"/>
      <c r="BW5442" s="908"/>
      <c r="BX5442" s="908"/>
      <c r="BY5442" s="331"/>
      <c r="BZ5442" s="331"/>
      <c r="CA5442" s="462"/>
      <c r="CB5442" s="319"/>
      <c r="CC5442" s="319"/>
      <c r="CD5442" s="319"/>
      <c r="CE5442" s="319"/>
      <c r="CF5442" s="319"/>
      <c r="CG5442" s="319"/>
      <c r="CH5442" s="318"/>
      <c r="CI5442" s="319"/>
      <c r="CJ5442" s="319"/>
      <c r="CK5442" s="342"/>
      <c r="CL5442" s="333"/>
      <c r="CM5442" s="1079"/>
      <c r="CN5442" s="1005"/>
      <c r="CO5442" s="1005"/>
      <c r="CP5442" s="1005"/>
    </row>
    <row r="5443">
      <c r="A5443" s="1257"/>
      <c r="B5443" s="1113"/>
      <c r="C5443" s="1107"/>
      <c r="D5443" s="103"/>
      <c r="E5443" s="1137"/>
      <c r="F5443" s="112"/>
      <c r="G5443" s="1110"/>
      <c r="H5443" s="1138"/>
      <c r="I5443" s="1138"/>
      <c r="J5443" s="1139"/>
      <c r="K5443" s="1111"/>
      <c r="L5443" s="1112"/>
      <c r="M5443" s="1113"/>
      <c r="N5443" s="110"/>
      <c r="O5443" s="1140"/>
      <c r="P5443" s="1115"/>
      <c r="Q5443" s="1116"/>
      <c r="R5443" s="1141"/>
      <c r="S5443" s="1113"/>
      <c r="T5443" s="1143"/>
      <c r="U5443" s="1108"/>
      <c r="V5443" s="1108"/>
      <c r="W5443" s="1108"/>
      <c r="X5443" s="1108"/>
      <c r="Y5443" s="1108"/>
      <c r="Z5443" s="1114"/>
      <c r="AA5443" s="1114"/>
      <c r="AB5443" s="1114"/>
      <c r="AC5443" s="1117"/>
      <c r="AD5443" s="1115"/>
      <c r="AE5443" s="1115"/>
      <c r="AF5443" s="1115"/>
      <c r="AG5443" s="1115"/>
      <c r="AH5443" s="1115"/>
      <c r="AI5443" s="1115"/>
      <c r="AJ5443" s="1117"/>
      <c r="AK5443" s="1118"/>
      <c r="AL5443" s="1115"/>
      <c r="AM5443" s="1115"/>
      <c r="AN5443" s="1115"/>
      <c r="AO5443" s="1115"/>
      <c r="AP5443" s="1115"/>
      <c r="AQ5443" s="1115"/>
      <c r="AR5443" s="1115"/>
      <c r="AS5443" s="1117"/>
      <c r="AT5443" s="1075"/>
      <c r="AU5443" s="1193"/>
      <c r="AV5443" s="330"/>
      <c r="AW5443" s="331"/>
      <c r="AX5443" s="331"/>
      <c r="AY5443" s="331"/>
      <c r="AZ5443" s="331"/>
      <c r="BA5443" s="331"/>
      <c r="BB5443" s="331"/>
      <c r="BC5443" s="331"/>
      <c r="BD5443" s="331"/>
      <c r="BE5443" s="333"/>
      <c r="BF5443" s="330"/>
      <c r="BG5443" s="333"/>
      <c r="BH5443" s="1119"/>
      <c r="BI5443" s="319"/>
      <c r="BJ5443" s="319"/>
      <c r="BK5443" s="319"/>
      <c r="BL5443" s="319"/>
      <c r="BM5443" s="319"/>
      <c r="BN5443" s="319"/>
      <c r="BO5443" s="319"/>
      <c r="BP5443" s="953"/>
      <c r="BQ5443" s="319"/>
      <c r="BR5443" s="319"/>
      <c r="BS5443" s="330"/>
      <c r="BT5443" s="331"/>
      <c r="BU5443" s="920"/>
      <c r="BV5443" s="903"/>
      <c r="BW5443" s="908"/>
      <c r="BX5443" s="908"/>
      <c r="BY5443" s="331"/>
      <c r="BZ5443" s="331"/>
      <c r="CA5443" s="462"/>
      <c r="CB5443" s="319"/>
      <c r="CC5443" s="319"/>
      <c r="CD5443" s="319"/>
      <c r="CE5443" s="319"/>
      <c r="CF5443" s="319"/>
      <c r="CG5443" s="319"/>
      <c r="CH5443" s="318"/>
      <c r="CI5443" s="319"/>
      <c r="CJ5443" s="319"/>
      <c r="CK5443" s="342"/>
      <c r="CL5443" s="333"/>
      <c r="CM5443" s="1079"/>
      <c r="CN5443" s="1005"/>
      <c r="CO5443" s="1005"/>
      <c r="CP5443" s="1005"/>
    </row>
    <row r="5444">
      <c r="A5444" s="1257"/>
      <c r="B5444" s="1113"/>
      <c r="C5444" s="1107"/>
      <c r="D5444" s="103"/>
      <c r="E5444" s="1137"/>
      <c r="F5444" s="112"/>
      <c r="G5444" s="1110"/>
      <c r="H5444" s="1138"/>
      <c r="I5444" s="1138"/>
      <c r="J5444" s="1139"/>
      <c r="K5444" s="1111"/>
      <c r="L5444" s="1112"/>
      <c r="M5444" s="1113"/>
      <c r="N5444" s="110"/>
      <c r="O5444" s="1140"/>
      <c r="P5444" s="1115"/>
      <c r="Q5444" s="1116"/>
      <c r="R5444" s="1141"/>
      <c r="S5444" s="1113"/>
      <c r="T5444" s="1143"/>
      <c r="U5444" s="1108"/>
      <c r="V5444" s="1108"/>
      <c r="W5444" s="1108"/>
      <c r="X5444" s="1108"/>
      <c r="Y5444" s="1108"/>
      <c r="Z5444" s="1114"/>
      <c r="AA5444" s="1114"/>
      <c r="AB5444" s="1114"/>
      <c r="AC5444" s="1117"/>
      <c r="AD5444" s="1115"/>
      <c r="AE5444" s="1115"/>
      <c r="AF5444" s="1115"/>
      <c r="AG5444" s="1115"/>
      <c r="AH5444" s="1115"/>
      <c r="AI5444" s="1115"/>
      <c r="AJ5444" s="1117"/>
      <c r="AK5444" s="1118"/>
      <c r="AL5444" s="1115"/>
      <c r="AM5444" s="1115"/>
      <c r="AN5444" s="1115"/>
      <c r="AO5444" s="1115"/>
      <c r="AP5444" s="1115"/>
      <c r="AQ5444" s="1115"/>
      <c r="AR5444" s="1115"/>
      <c r="AS5444" s="1117"/>
      <c r="AT5444" s="1075"/>
      <c r="AU5444" s="1193"/>
      <c r="AV5444" s="330"/>
      <c r="AW5444" s="331"/>
      <c r="AX5444" s="331"/>
      <c r="AY5444" s="331"/>
      <c r="AZ5444" s="331"/>
      <c r="BA5444" s="331"/>
      <c r="BB5444" s="331"/>
      <c r="BC5444" s="331"/>
      <c r="BD5444" s="331"/>
      <c r="BE5444" s="333"/>
      <c r="BF5444" s="330"/>
      <c r="BG5444" s="333"/>
      <c r="BH5444" s="1119"/>
      <c r="BI5444" s="319"/>
      <c r="BJ5444" s="319"/>
      <c r="BK5444" s="319"/>
      <c r="BL5444" s="319"/>
      <c r="BM5444" s="319"/>
      <c r="BN5444" s="319"/>
      <c r="BO5444" s="319"/>
      <c r="BP5444" s="953"/>
      <c r="BQ5444" s="319"/>
      <c r="BR5444" s="319"/>
      <c r="BS5444" s="330"/>
      <c r="BT5444" s="331"/>
      <c r="BU5444" s="920"/>
      <c r="BV5444" s="903"/>
      <c r="BW5444" s="908"/>
      <c r="BX5444" s="908"/>
      <c r="BY5444" s="331"/>
      <c r="BZ5444" s="331"/>
      <c r="CA5444" s="462"/>
      <c r="CB5444" s="319"/>
      <c r="CC5444" s="319"/>
      <c r="CD5444" s="319"/>
      <c r="CE5444" s="319"/>
      <c r="CF5444" s="319"/>
      <c r="CG5444" s="319"/>
      <c r="CH5444" s="318"/>
      <c r="CI5444" s="319"/>
      <c r="CJ5444" s="319"/>
      <c r="CK5444" s="342"/>
      <c r="CL5444" s="333"/>
      <c r="CM5444" s="1079"/>
      <c r="CN5444" s="1005"/>
      <c r="CO5444" s="1005"/>
      <c r="CP5444" s="1005"/>
    </row>
    <row r="5445">
      <c r="A5445" s="1257"/>
      <c r="B5445" s="1113"/>
      <c r="C5445" s="1107"/>
      <c r="D5445" s="103"/>
      <c r="E5445" s="1137"/>
      <c r="F5445" s="112"/>
      <c r="G5445" s="1110"/>
      <c r="H5445" s="1138"/>
      <c r="I5445" s="1138"/>
      <c r="J5445" s="1139"/>
      <c r="K5445" s="1111"/>
      <c r="L5445" s="1112"/>
      <c r="M5445" s="1113"/>
      <c r="N5445" s="110"/>
      <c r="O5445" s="1140"/>
      <c r="P5445" s="1115"/>
      <c r="Q5445" s="1116"/>
      <c r="R5445" s="1141"/>
      <c r="S5445" s="1113"/>
      <c r="T5445" s="1143"/>
      <c r="U5445" s="1108"/>
      <c r="V5445" s="1108"/>
      <c r="W5445" s="1108"/>
      <c r="X5445" s="1108"/>
      <c r="Y5445" s="1108"/>
      <c r="Z5445" s="1114"/>
      <c r="AA5445" s="1114"/>
      <c r="AB5445" s="1114"/>
      <c r="AC5445" s="1117"/>
      <c r="AD5445" s="1115"/>
      <c r="AE5445" s="1115"/>
      <c r="AF5445" s="1115"/>
      <c r="AG5445" s="1115"/>
      <c r="AH5445" s="1115"/>
      <c r="AI5445" s="1115"/>
      <c r="AJ5445" s="1117"/>
      <c r="AK5445" s="1118"/>
      <c r="AL5445" s="1115"/>
      <c r="AM5445" s="1115"/>
      <c r="AN5445" s="1115"/>
      <c r="AO5445" s="1115"/>
      <c r="AP5445" s="1115"/>
      <c r="AQ5445" s="1115"/>
      <c r="AR5445" s="1115"/>
      <c r="AS5445" s="1117"/>
      <c r="AT5445" s="1075"/>
      <c r="AU5445" s="1193"/>
      <c r="AV5445" s="330"/>
      <c r="AW5445" s="331"/>
      <c r="AX5445" s="331"/>
      <c r="AY5445" s="331"/>
      <c r="AZ5445" s="331"/>
      <c r="BA5445" s="331"/>
      <c r="BB5445" s="331"/>
      <c r="BC5445" s="331"/>
      <c r="BD5445" s="331"/>
      <c r="BE5445" s="333"/>
      <c r="BF5445" s="330"/>
      <c r="BG5445" s="333"/>
      <c r="BH5445" s="1119"/>
      <c r="BI5445" s="319"/>
      <c r="BJ5445" s="319"/>
      <c r="BK5445" s="319"/>
      <c r="BL5445" s="319"/>
      <c r="BM5445" s="319"/>
      <c r="BN5445" s="319"/>
      <c r="BO5445" s="319"/>
      <c r="BP5445" s="953"/>
      <c r="BQ5445" s="319"/>
      <c r="BR5445" s="319"/>
      <c r="BS5445" s="330"/>
      <c r="BT5445" s="331"/>
      <c r="BU5445" s="920"/>
      <c r="BV5445" s="903"/>
      <c r="BW5445" s="908"/>
      <c r="BX5445" s="908"/>
      <c r="BY5445" s="331"/>
      <c r="BZ5445" s="331"/>
      <c r="CA5445" s="462"/>
      <c r="CB5445" s="319"/>
      <c r="CC5445" s="319"/>
      <c r="CD5445" s="319"/>
      <c r="CE5445" s="319"/>
      <c r="CF5445" s="319"/>
      <c r="CG5445" s="319"/>
      <c r="CH5445" s="318"/>
      <c r="CI5445" s="319"/>
      <c r="CJ5445" s="319"/>
      <c r="CK5445" s="342"/>
      <c r="CL5445" s="333"/>
      <c r="CM5445" s="1079"/>
      <c r="CN5445" s="1005"/>
      <c r="CO5445" s="1005"/>
      <c r="CP5445" s="1005"/>
    </row>
    <row r="5446">
      <c r="A5446" s="1257"/>
      <c r="B5446" s="1113"/>
      <c r="C5446" s="1107"/>
      <c r="D5446" s="103"/>
      <c r="E5446" s="1137"/>
      <c r="F5446" s="112"/>
      <c r="G5446" s="1110"/>
      <c r="H5446" s="1138"/>
      <c r="I5446" s="1138"/>
      <c r="J5446" s="1139"/>
      <c r="K5446" s="1111"/>
      <c r="L5446" s="1112"/>
      <c r="M5446" s="1113"/>
      <c r="N5446" s="110"/>
      <c r="O5446" s="1140"/>
      <c r="P5446" s="1115"/>
      <c r="Q5446" s="1116"/>
      <c r="R5446" s="1141"/>
      <c r="S5446" s="1113"/>
      <c r="T5446" s="1143"/>
      <c r="U5446" s="1108"/>
      <c r="V5446" s="1108"/>
      <c r="W5446" s="1108"/>
      <c r="X5446" s="1108"/>
      <c r="Y5446" s="1108"/>
      <c r="Z5446" s="1114"/>
      <c r="AA5446" s="1114"/>
      <c r="AB5446" s="1114"/>
      <c r="AC5446" s="1117"/>
      <c r="AD5446" s="1115"/>
      <c r="AE5446" s="1115"/>
      <c r="AF5446" s="1115"/>
      <c r="AG5446" s="1115"/>
      <c r="AH5446" s="1115"/>
      <c r="AI5446" s="1115"/>
      <c r="AJ5446" s="1117"/>
      <c r="AK5446" s="1118"/>
      <c r="AL5446" s="1115"/>
      <c r="AM5446" s="1115"/>
      <c r="AN5446" s="1115"/>
      <c r="AO5446" s="1115"/>
      <c r="AP5446" s="1115"/>
      <c r="AQ5446" s="1115"/>
      <c r="AR5446" s="1115"/>
      <c r="AS5446" s="1117"/>
      <c r="AT5446" s="1075"/>
      <c r="AU5446" s="1193"/>
      <c r="AV5446" s="330"/>
      <c r="AW5446" s="331"/>
      <c r="AX5446" s="331"/>
      <c r="AY5446" s="331"/>
      <c r="AZ5446" s="331"/>
      <c r="BA5446" s="331"/>
      <c r="BB5446" s="331"/>
      <c r="BC5446" s="331"/>
      <c r="BD5446" s="331"/>
      <c r="BE5446" s="333"/>
      <c r="BF5446" s="330"/>
      <c r="BG5446" s="333"/>
      <c r="BH5446" s="1119"/>
      <c r="BI5446" s="319"/>
      <c r="BJ5446" s="319"/>
      <c r="BK5446" s="319"/>
      <c r="BL5446" s="319"/>
      <c r="BM5446" s="319"/>
      <c r="BN5446" s="319"/>
      <c r="BO5446" s="319"/>
      <c r="BP5446" s="953"/>
      <c r="BQ5446" s="319"/>
      <c r="BR5446" s="319"/>
      <c r="BS5446" s="330"/>
      <c r="BT5446" s="331"/>
      <c r="BU5446" s="920"/>
      <c r="BV5446" s="903"/>
      <c r="BW5446" s="908"/>
      <c r="BX5446" s="908"/>
      <c r="BY5446" s="331"/>
      <c r="BZ5446" s="331"/>
      <c r="CA5446" s="462"/>
      <c r="CB5446" s="319"/>
      <c r="CC5446" s="319"/>
      <c r="CD5446" s="319"/>
      <c r="CE5446" s="319"/>
      <c r="CF5446" s="319"/>
      <c r="CG5446" s="319"/>
      <c r="CH5446" s="318"/>
      <c r="CI5446" s="319"/>
      <c r="CJ5446" s="319"/>
      <c r="CK5446" s="342"/>
      <c r="CL5446" s="333"/>
      <c r="CM5446" s="1079"/>
      <c r="CN5446" s="1005"/>
      <c r="CO5446" s="1005"/>
      <c r="CP5446" s="1005"/>
    </row>
    <row r="5447">
      <c r="A5447" s="1257"/>
      <c r="B5447" s="1113"/>
      <c r="C5447" s="1107"/>
      <c r="D5447" s="103"/>
      <c r="E5447" s="1137"/>
      <c r="F5447" s="112"/>
      <c r="G5447" s="1110"/>
      <c r="H5447" s="1138"/>
      <c r="I5447" s="1138"/>
      <c r="J5447" s="1139"/>
      <c r="K5447" s="1111"/>
      <c r="L5447" s="1112"/>
      <c r="M5447" s="1113"/>
      <c r="N5447" s="110"/>
      <c r="O5447" s="1140"/>
      <c r="P5447" s="1115"/>
      <c r="Q5447" s="1116"/>
      <c r="R5447" s="1141"/>
      <c r="S5447" s="1113"/>
      <c r="T5447" s="1143"/>
      <c r="U5447" s="1108"/>
      <c r="V5447" s="1108"/>
      <c r="W5447" s="1108"/>
      <c r="X5447" s="1108"/>
      <c r="Y5447" s="1108"/>
      <c r="Z5447" s="1114"/>
      <c r="AA5447" s="1114"/>
      <c r="AB5447" s="1114"/>
      <c r="AC5447" s="1117"/>
      <c r="AD5447" s="1115"/>
      <c r="AE5447" s="1115"/>
      <c r="AF5447" s="1115"/>
      <c r="AG5447" s="1115"/>
      <c r="AH5447" s="1115"/>
      <c r="AI5447" s="1115"/>
      <c r="AJ5447" s="1117"/>
      <c r="AK5447" s="1118"/>
      <c r="AL5447" s="1115"/>
      <c r="AM5447" s="1115"/>
      <c r="AN5447" s="1115"/>
      <c r="AO5447" s="1115"/>
      <c r="AP5447" s="1115"/>
      <c r="AQ5447" s="1115"/>
      <c r="AR5447" s="1115"/>
      <c r="AS5447" s="1117"/>
      <c r="AT5447" s="1075"/>
      <c r="AU5447" s="1193"/>
      <c r="AV5447" s="330"/>
      <c r="AW5447" s="331"/>
      <c r="AX5447" s="331"/>
      <c r="AY5447" s="331"/>
      <c r="AZ5447" s="331"/>
      <c r="BA5447" s="331"/>
      <c r="BB5447" s="331"/>
      <c r="BC5447" s="331"/>
      <c r="BD5447" s="331"/>
      <c r="BE5447" s="333"/>
      <c r="BF5447" s="330"/>
      <c r="BG5447" s="333"/>
      <c r="BH5447" s="1119"/>
      <c r="BI5447" s="319"/>
      <c r="BJ5447" s="319"/>
      <c r="BK5447" s="319"/>
      <c r="BL5447" s="319"/>
      <c r="BM5447" s="319"/>
      <c r="BN5447" s="319"/>
      <c r="BO5447" s="319"/>
      <c r="BP5447" s="953"/>
      <c r="BQ5447" s="319"/>
      <c r="BR5447" s="319"/>
      <c r="BS5447" s="330"/>
      <c r="BT5447" s="331"/>
      <c r="BU5447" s="920"/>
      <c r="BV5447" s="903"/>
      <c r="BW5447" s="908"/>
      <c r="BX5447" s="908"/>
      <c r="BY5447" s="331"/>
      <c r="BZ5447" s="331"/>
      <c r="CA5447" s="462"/>
      <c r="CB5447" s="319"/>
      <c r="CC5447" s="319"/>
      <c r="CD5447" s="319"/>
      <c r="CE5447" s="319"/>
      <c r="CF5447" s="319"/>
      <c r="CG5447" s="319"/>
      <c r="CH5447" s="318"/>
      <c r="CI5447" s="319"/>
      <c r="CJ5447" s="319"/>
      <c r="CK5447" s="342"/>
      <c r="CL5447" s="333"/>
      <c r="CM5447" s="1079"/>
      <c r="CN5447" s="1005"/>
      <c r="CO5447" s="1005"/>
      <c r="CP5447" s="1005"/>
    </row>
    <row r="5448">
      <c r="A5448" s="1257"/>
      <c r="B5448" s="1113"/>
      <c r="C5448" s="1107"/>
      <c r="D5448" s="103"/>
      <c r="E5448" s="1137"/>
      <c r="F5448" s="112"/>
      <c r="G5448" s="1110"/>
      <c r="H5448" s="1138"/>
      <c r="I5448" s="1138"/>
      <c r="J5448" s="1139"/>
      <c r="K5448" s="1111"/>
      <c r="L5448" s="1112"/>
      <c r="M5448" s="1113"/>
      <c r="N5448" s="110"/>
      <c r="O5448" s="1140"/>
      <c r="P5448" s="1115"/>
      <c r="Q5448" s="1116"/>
      <c r="R5448" s="1141"/>
      <c r="S5448" s="1113"/>
      <c r="T5448" s="1143"/>
      <c r="U5448" s="1108"/>
      <c r="V5448" s="1108"/>
      <c r="W5448" s="1108"/>
      <c r="X5448" s="1108"/>
      <c r="Y5448" s="1108"/>
      <c r="Z5448" s="1114"/>
      <c r="AA5448" s="1114"/>
      <c r="AB5448" s="1114"/>
      <c r="AC5448" s="1117"/>
      <c r="AD5448" s="1115"/>
      <c r="AE5448" s="1115"/>
      <c r="AF5448" s="1115"/>
      <c r="AG5448" s="1115"/>
      <c r="AH5448" s="1115"/>
      <c r="AI5448" s="1115"/>
      <c r="AJ5448" s="1117"/>
      <c r="AK5448" s="1118"/>
      <c r="AL5448" s="1115"/>
      <c r="AM5448" s="1115"/>
      <c r="AN5448" s="1115"/>
      <c r="AO5448" s="1115"/>
      <c r="AP5448" s="1115"/>
      <c r="AQ5448" s="1115"/>
      <c r="AR5448" s="1115"/>
      <c r="AS5448" s="1117"/>
      <c r="AT5448" s="1075"/>
      <c r="AU5448" s="1193"/>
      <c r="AV5448" s="330"/>
      <c r="AW5448" s="331"/>
      <c r="AX5448" s="331"/>
      <c r="AY5448" s="331"/>
      <c r="AZ5448" s="331"/>
      <c r="BA5448" s="331"/>
      <c r="BB5448" s="331"/>
      <c r="BC5448" s="331"/>
      <c r="BD5448" s="331"/>
      <c r="BE5448" s="333"/>
      <c r="BF5448" s="330"/>
      <c r="BG5448" s="333"/>
      <c r="BH5448" s="1119"/>
      <c r="BI5448" s="319"/>
      <c r="BJ5448" s="319"/>
      <c r="BK5448" s="319"/>
      <c r="BL5448" s="319"/>
      <c r="BM5448" s="319"/>
      <c r="BN5448" s="319"/>
      <c r="BO5448" s="319"/>
      <c r="BP5448" s="953"/>
      <c r="BQ5448" s="319"/>
      <c r="BR5448" s="319"/>
      <c r="BS5448" s="330"/>
      <c r="BT5448" s="331"/>
      <c r="BU5448" s="920"/>
      <c r="BV5448" s="903"/>
      <c r="BW5448" s="908"/>
      <c r="BX5448" s="908"/>
      <c r="BY5448" s="331"/>
      <c r="BZ5448" s="331"/>
      <c r="CA5448" s="462"/>
      <c r="CB5448" s="319"/>
      <c r="CC5448" s="319"/>
      <c r="CD5448" s="319"/>
      <c r="CE5448" s="319"/>
      <c r="CF5448" s="319"/>
      <c r="CG5448" s="319"/>
      <c r="CH5448" s="318"/>
      <c r="CI5448" s="319"/>
      <c r="CJ5448" s="319"/>
      <c r="CK5448" s="342"/>
      <c r="CL5448" s="333"/>
      <c r="CM5448" s="1079"/>
      <c r="CN5448" s="1005"/>
      <c r="CO5448" s="1005"/>
      <c r="CP5448" s="1005"/>
    </row>
    <row r="5449">
      <c r="A5449" s="1257"/>
      <c r="B5449" s="1113"/>
      <c r="C5449" s="1107"/>
      <c r="D5449" s="103"/>
      <c r="E5449" s="1137"/>
      <c r="F5449" s="112"/>
      <c r="G5449" s="1110"/>
      <c r="H5449" s="1138"/>
      <c r="I5449" s="1138"/>
      <c r="J5449" s="1139"/>
      <c r="K5449" s="1111"/>
      <c r="L5449" s="1112"/>
      <c r="M5449" s="1113"/>
      <c r="N5449" s="110"/>
      <c r="O5449" s="1140"/>
      <c r="P5449" s="1115"/>
      <c r="Q5449" s="1116"/>
      <c r="R5449" s="1141"/>
      <c r="S5449" s="1113"/>
      <c r="T5449" s="1143"/>
      <c r="U5449" s="1108"/>
      <c r="V5449" s="1108"/>
      <c r="W5449" s="1108"/>
      <c r="X5449" s="1108"/>
      <c r="Y5449" s="1108"/>
      <c r="Z5449" s="1114"/>
      <c r="AA5449" s="1114"/>
      <c r="AB5449" s="1114"/>
      <c r="AC5449" s="1117"/>
      <c r="AD5449" s="1115"/>
      <c r="AE5449" s="1115"/>
      <c r="AF5449" s="1115"/>
      <c r="AG5449" s="1115"/>
      <c r="AH5449" s="1115"/>
      <c r="AI5449" s="1115"/>
      <c r="AJ5449" s="1117"/>
      <c r="AK5449" s="1118"/>
      <c r="AL5449" s="1115"/>
      <c r="AM5449" s="1115"/>
      <c r="AN5449" s="1115"/>
      <c r="AO5449" s="1115"/>
      <c r="AP5449" s="1115"/>
      <c r="AQ5449" s="1115"/>
      <c r="AR5449" s="1115"/>
      <c r="AS5449" s="1117"/>
      <c r="AT5449" s="1075"/>
      <c r="AU5449" s="1193"/>
      <c r="AV5449" s="330"/>
      <c r="AW5449" s="331"/>
      <c r="AX5449" s="331"/>
      <c r="AY5449" s="331"/>
      <c r="AZ5449" s="331"/>
      <c r="BA5449" s="331"/>
      <c r="BB5449" s="331"/>
      <c r="BC5449" s="331"/>
      <c r="BD5449" s="331"/>
      <c r="BE5449" s="333"/>
      <c r="BF5449" s="330"/>
      <c r="BG5449" s="333"/>
      <c r="BH5449" s="1119"/>
      <c r="BI5449" s="319"/>
      <c r="BJ5449" s="319"/>
      <c r="BK5449" s="319"/>
      <c r="BL5449" s="319"/>
      <c r="BM5449" s="319"/>
      <c r="BN5449" s="319"/>
      <c r="BO5449" s="319"/>
      <c r="BP5449" s="953"/>
      <c r="BQ5449" s="319"/>
      <c r="BR5449" s="319"/>
      <c r="BS5449" s="330"/>
      <c r="BT5449" s="331"/>
      <c r="BU5449" s="920"/>
      <c r="BV5449" s="903"/>
      <c r="BW5449" s="908"/>
      <c r="BX5449" s="908"/>
      <c r="BY5449" s="331"/>
      <c r="BZ5449" s="331"/>
      <c r="CA5449" s="462"/>
      <c r="CB5449" s="319"/>
      <c r="CC5449" s="319"/>
      <c r="CD5449" s="319"/>
      <c r="CE5449" s="319"/>
      <c r="CF5449" s="319"/>
      <c r="CG5449" s="319"/>
      <c r="CH5449" s="318"/>
      <c r="CI5449" s="319"/>
      <c r="CJ5449" s="319"/>
      <c r="CK5449" s="342"/>
      <c r="CL5449" s="333"/>
      <c r="CM5449" s="1079"/>
      <c r="CN5449" s="1005"/>
      <c r="CO5449" s="1005"/>
      <c r="CP5449" s="1005"/>
    </row>
    <row r="5450">
      <c r="A5450" s="1257"/>
      <c r="B5450" s="1113"/>
      <c r="C5450" s="1107"/>
      <c r="D5450" s="103"/>
      <c r="E5450" s="1137"/>
      <c r="F5450" s="112"/>
      <c r="G5450" s="1110"/>
      <c r="H5450" s="1138"/>
      <c r="I5450" s="1138"/>
      <c r="J5450" s="1139"/>
      <c r="K5450" s="1111"/>
      <c r="L5450" s="1112"/>
      <c r="M5450" s="1113"/>
      <c r="N5450" s="110"/>
      <c r="O5450" s="1140"/>
      <c r="P5450" s="1115"/>
      <c r="Q5450" s="1116"/>
      <c r="R5450" s="1141"/>
      <c r="S5450" s="1113"/>
      <c r="T5450" s="1143"/>
      <c r="U5450" s="1108"/>
      <c r="V5450" s="1108"/>
      <c r="W5450" s="1108"/>
      <c r="X5450" s="1108"/>
      <c r="Y5450" s="1108"/>
      <c r="Z5450" s="1114"/>
      <c r="AA5450" s="1114"/>
      <c r="AB5450" s="1114"/>
      <c r="AC5450" s="1117"/>
      <c r="AD5450" s="1115"/>
      <c r="AE5450" s="1115"/>
      <c r="AF5450" s="1115"/>
      <c r="AG5450" s="1115"/>
      <c r="AH5450" s="1115"/>
      <c r="AI5450" s="1115"/>
      <c r="AJ5450" s="1117"/>
      <c r="AK5450" s="1118"/>
      <c r="AL5450" s="1115"/>
      <c r="AM5450" s="1115"/>
      <c r="AN5450" s="1115"/>
      <c r="AO5450" s="1115"/>
      <c r="AP5450" s="1115"/>
      <c r="AQ5450" s="1115"/>
      <c r="AR5450" s="1115"/>
      <c r="AS5450" s="1117"/>
      <c r="AT5450" s="1075"/>
      <c r="AU5450" s="1193"/>
      <c r="AV5450" s="330"/>
      <c r="AW5450" s="331"/>
      <c r="AX5450" s="331"/>
      <c r="AY5450" s="331"/>
      <c r="AZ5450" s="331"/>
      <c r="BA5450" s="331"/>
      <c r="BB5450" s="331"/>
      <c r="BC5450" s="331"/>
      <c r="BD5450" s="331"/>
      <c r="BE5450" s="333"/>
      <c r="BF5450" s="330"/>
      <c r="BG5450" s="333"/>
      <c r="BH5450" s="1119"/>
      <c r="BI5450" s="319"/>
      <c r="BJ5450" s="319"/>
      <c r="BK5450" s="319"/>
      <c r="BL5450" s="319"/>
      <c r="BM5450" s="319"/>
      <c r="BN5450" s="319"/>
      <c r="BO5450" s="319"/>
      <c r="BP5450" s="953"/>
      <c r="BQ5450" s="319"/>
      <c r="BR5450" s="319"/>
      <c r="BS5450" s="330"/>
      <c r="BT5450" s="331"/>
      <c r="BU5450" s="920"/>
      <c r="BV5450" s="903"/>
      <c r="BW5450" s="908"/>
      <c r="BX5450" s="908"/>
      <c r="BY5450" s="331"/>
      <c r="BZ5450" s="331"/>
      <c r="CA5450" s="462"/>
      <c r="CB5450" s="319"/>
      <c r="CC5450" s="319"/>
      <c r="CD5450" s="319"/>
      <c r="CE5450" s="319"/>
      <c r="CF5450" s="319"/>
      <c r="CG5450" s="319"/>
      <c r="CH5450" s="318"/>
      <c r="CI5450" s="319"/>
      <c r="CJ5450" s="319"/>
      <c r="CK5450" s="342"/>
      <c r="CL5450" s="333"/>
      <c r="CM5450" s="1079"/>
      <c r="CN5450" s="1005"/>
      <c r="CO5450" s="1005"/>
      <c r="CP5450" s="1005"/>
    </row>
    <row r="5451">
      <c r="A5451" s="1257"/>
      <c r="B5451" s="1113"/>
      <c r="C5451" s="1107"/>
      <c r="D5451" s="103"/>
      <c r="E5451" s="1137"/>
      <c r="F5451" s="112"/>
      <c r="G5451" s="1110"/>
      <c r="H5451" s="1138"/>
      <c r="I5451" s="1138"/>
      <c r="J5451" s="1139"/>
      <c r="K5451" s="1111"/>
      <c r="L5451" s="1112"/>
      <c r="M5451" s="1113"/>
      <c r="N5451" s="110"/>
      <c r="O5451" s="1140"/>
      <c r="P5451" s="1115"/>
      <c r="Q5451" s="1116"/>
      <c r="R5451" s="1141"/>
      <c r="S5451" s="1113"/>
      <c r="T5451" s="1143"/>
      <c r="U5451" s="1108"/>
      <c r="V5451" s="1108"/>
      <c r="W5451" s="1108"/>
      <c r="X5451" s="1108"/>
      <c r="Y5451" s="1108"/>
      <c r="Z5451" s="1114"/>
      <c r="AA5451" s="1114"/>
      <c r="AB5451" s="1114"/>
      <c r="AC5451" s="1117"/>
      <c r="AD5451" s="1115"/>
      <c r="AE5451" s="1115"/>
      <c r="AF5451" s="1115"/>
      <c r="AG5451" s="1115"/>
      <c r="AH5451" s="1115"/>
      <c r="AI5451" s="1115"/>
      <c r="AJ5451" s="1117"/>
      <c r="AK5451" s="1118"/>
      <c r="AL5451" s="1115"/>
      <c r="AM5451" s="1115"/>
      <c r="AN5451" s="1115"/>
      <c r="AO5451" s="1115"/>
      <c r="AP5451" s="1115"/>
      <c r="AQ5451" s="1115"/>
      <c r="AR5451" s="1115"/>
      <c r="AS5451" s="1117"/>
      <c r="AT5451" s="1075"/>
      <c r="AU5451" s="1193"/>
      <c r="AV5451" s="330"/>
      <c r="AW5451" s="331"/>
      <c r="AX5451" s="331"/>
      <c r="AY5451" s="331"/>
      <c r="AZ5451" s="331"/>
      <c r="BA5451" s="331"/>
      <c r="BB5451" s="331"/>
      <c r="BC5451" s="331"/>
      <c r="BD5451" s="331"/>
      <c r="BE5451" s="333"/>
      <c r="BF5451" s="330"/>
      <c r="BG5451" s="333"/>
      <c r="BH5451" s="1119"/>
      <c r="BI5451" s="319"/>
      <c r="BJ5451" s="319"/>
      <c r="BK5451" s="319"/>
      <c r="BL5451" s="319"/>
      <c r="BM5451" s="319"/>
      <c r="BN5451" s="319"/>
      <c r="BO5451" s="319"/>
      <c r="BP5451" s="953"/>
      <c r="BQ5451" s="319"/>
      <c r="BR5451" s="319"/>
      <c r="BS5451" s="330"/>
      <c r="BT5451" s="331"/>
      <c r="BU5451" s="920"/>
      <c r="BV5451" s="903"/>
      <c r="BW5451" s="908"/>
      <c r="BX5451" s="908"/>
      <c r="BY5451" s="331"/>
      <c r="BZ5451" s="331"/>
      <c r="CA5451" s="462"/>
      <c r="CB5451" s="319"/>
      <c r="CC5451" s="319"/>
      <c r="CD5451" s="319"/>
      <c r="CE5451" s="319"/>
      <c r="CF5451" s="319"/>
      <c r="CG5451" s="319"/>
      <c r="CH5451" s="318"/>
      <c r="CI5451" s="319"/>
      <c r="CJ5451" s="319"/>
      <c r="CK5451" s="342"/>
      <c r="CL5451" s="333"/>
      <c r="CM5451" s="1079"/>
      <c r="CN5451" s="1005"/>
      <c r="CO5451" s="1005"/>
      <c r="CP5451" s="1005"/>
    </row>
    <row r="5452">
      <c r="A5452" s="1257"/>
      <c r="B5452" s="1113"/>
      <c r="C5452" s="1107"/>
      <c r="D5452" s="103"/>
      <c r="E5452" s="1137"/>
      <c r="F5452" s="112"/>
      <c r="G5452" s="1110"/>
      <c r="H5452" s="1138"/>
      <c r="I5452" s="1138"/>
      <c r="J5452" s="1139"/>
      <c r="K5452" s="1111"/>
      <c r="L5452" s="1112"/>
      <c r="M5452" s="1113"/>
      <c r="N5452" s="110"/>
      <c r="O5452" s="1140"/>
      <c r="P5452" s="1115"/>
      <c r="Q5452" s="1116"/>
      <c r="R5452" s="1141"/>
      <c r="S5452" s="1113"/>
      <c r="T5452" s="1143"/>
      <c r="U5452" s="1108"/>
      <c r="V5452" s="1108"/>
      <c r="W5452" s="1108"/>
      <c r="X5452" s="1108"/>
      <c r="Y5452" s="1108"/>
      <c r="Z5452" s="1114"/>
      <c r="AA5452" s="1114"/>
      <c r="AB5452" s="1114"/>
      <c r="AC5452" s="1117"/>
      <c r="AD5452" s="1115"/>
      <c r="AE5452" s="1115"/>
      <c r="AF5452" s="1115"/>
      <c r="AG5452" s="1115"/>
      <c r="AH5452" s="1115"/>
      <c r="AI5452" s="1115"/>
      <c r="AJ5452" s="1117"/>
      <c r="AK5452" s="1118"/>
      <c r="AL5452" s="1115"/>
      <c r="AM5452" s="1115"/>
      <c r="AN5452" s="1115"/>
      <c r="AO5452" s="1115"/>
      <c r="AP5452" s="1115"/>
      <c r="AQ5452" s="1115"/>
      <c r="AR5452" s="1115"/>
      <c r="AS5452" s="1117"/>
      <c r="AT5452" s="1075"/>
      <c r="AU5452" s="1193"/>
      <c r="AV5452" s="330"/>
      <c r="AW5452" s="331"/>
      <c r="AX5452" s="331"/>
      <c r="AY5452" s="331"/>
      <c r="AZ5452" s="331"/>
      <c r="BA5452" s="331"/>
      <c r="BB5452" s="331"/>
      <c r="BC5452" s="331"/>
      <c r="BD5452" s="331"/>
      <c r="BE5452" s="333"/>
      <c r="BF5452" s="330"/>
      <c r="BG5452" s="333"/>
      <c r="BH5452" s="1119"/>
      <c r="BI5452" s="319"/>
      <c r="BJ5452" s="319"/>
      <c r="BK5452" s="319"/>
      <c r="BL5452" s="319"/>
      <c r="BM5452" s="319"/>
      <c r="BN5452" s="319"/>
      <c r="BO5452" s="319"/>
      <c r="BP5452" s="953"/>
      <c r="BQ5452" s="319"/>
      <c r="BR5452" s="319"/>
      <c r="BS5452" s="330"/>
      <c r="BT5452" s="331"/>
      <c r="BU5452" s="920"/>
      <c r="BV5452" s="903"/>
      <c r="BW5452" s="908"/>
      <c r="BX5452" s="908"/>
      <c r="BY5452" s="331"/>
      <c r="BZ5452" s="331"/>
      <c r="CA5452" s="462"/>
      <c r="CB5452" s="319"/>
      <c r="CC5452" s="319"/>
      <c r="CD5452" s="319"/>
      <c r="CE5452" s="319"/>
      <c r="CF5452" s="319"/>
      <c r="CG5452" s="319"/>
      <c r="CH5452" s="318"/>
      <c r="CI5452" s="319"/>
      <c r="CJ5452" s="319"/>
      <c r="CK5452" s="342"/>
      <c r="CL5452" s="333"/>
      <c r="CM5452" s="1079"/>
      <c r="CN5452" s="1005"/>
      <c r="CO5452" s="1005"/>
      <c r="CP5452" s="1005"/>
    </row>
    <row r="5453">
      <c r="A5453" s="1257"/>
      <c r="B5453" s="1113"/>
      <c r="C5453" s="1107"/>
      <c r="D5453" s="103"/>
      <c r="E5453" s="1137"/>
      <c r="F5453" s="112"/>
      <c r="G5453" s="1110"/>
      <c r="H5453" s="1138"/>
      <c r="I5453" s="1138"/>
      <c r="J5453" s="1139"/>
      <c r="K5453" s="1111"/>
      <c r="L5453" s="1112"/>
      <c r="M5453" s="1113"/>
      <c r="N5453" s="110"/>
      <c r="O5453" s="1140"/>
      <c r="P5453" s="1115"/>
      <c r="Q5453" s="1116"/>
      <c r="R5453" s="1141"/>
      <c r="S5453" s="1113"/>
      <c r="T5453" s="1143"/>
      <c r="U5453" s="1108"/>
      <c r="V5453" s="1108"/>
      <c r="W5453" s="1108"/>
      <c r="X5453" s="1108"/>
      <c r="Y5453" s="1108"/>
      <c r="Z5453" s="1114"/>
      <c r="AA5453" s="1114"/>
      <c r="AB5453" s="1114"/>
      <c r="AC5453" s="1117"/>
      <c r="AD5453" s="1115"/>
      <c r="AE5453" s="1115"/>
      <c r="AF5453" s="1115"/>
      <c r="AG5453" s="1115"/>
      <c r="AH5453" s="1115"/>
      <c r="AI5453" s="1115"/>
      <c r="AJ5453" s="1117"/>
      <c r="AK5453" s="1118"/>
      <c r="AL5453" s="1115"/>
      <c r="AM5453" s="1115"/>
      <c r="AN5453" s="1115"/>
      <c r="AO5453" s="1115"/>
      <c r="AP5453" s="1115"/>
      <c r="AQ5453" s="1115"/>
      <c r="AR5453" s="1115"/>
      <c r="AS5453" s="1117"/>
      <c r="AT5453" s="1075"/>
      <c r="AU5453" s="1193"/>
      <c r="AV5453" s="330"/>
      <c r="AW5453" s="331"/>
      <c r="AX5453" s="331"/>
      <c r="AY5453" s="331"/>
      <c r="AZ5453" s="331"/>
      <c r="BA5453" s="331"/>
      <c r="BB5453" s="331"/>
      <c r="BC5453" s="331"/>
      <c r="BD5453" s="331"/>
      <c r="BE5453" s="333"/>
      <c r="BF5453" s="330"/>
      <c r="BG5453" s="333"/>
      <c r="BH5453" s="1119"/>
      <c r="BI5453" s="319"/>
      <c r="BJ5453" s="319"/>
      <c r="BK5453" s="319"/>
      <c r="BL5453" s="319"/>
      <c r="BM5453" s="319"/>
      <c r="BN5453" s="319"/>
      <c r="BO5453" s="319"/>
      <c r="BP5453" s="953"/>
      <c r="BQ5453" s="319"/>
      <c r="BR5453" s="319"/>
      <c r="BS5453" s="330"/>
      <c r="BT5453" s="331"/>
      <c r="BU5453" s="920"/>
      <c r="BV5453" s="903"/>
      <c r="BW5453" s="908"/>
      <c r="BX5453" s="908"/>
      <c r="BY5453" s="331"/>
      <c r="BZ5453" s="331"/>
      <c r="CA5453" s="462"/>
      <c r="CB5453" s="319"/>
      <c r="CC5453" s="319"/>
      <c r="CD5453" s="319"/>
      <c r="CE5453" s="319"/>
      <c r="CF5453" s="319"/>
      <c r="CG5453" s="319"/>
      <c r="CH5453" s="318"/>
      <c r="CI5453" s="319"/>
      <c r="CJ5453" s="319"/>
      <c r="CK5453" s="342"/>
      <c r="CL5453" s="333"/>
      <c r="CM5453" s="1079"/>
      <c r="CN5453" s="1005"/>
      <c r="CO5453" s="1005"/>
      <c r="CP5453" s="1005"/>
    </row>
    <row r="5454">
      <c r="A5454" s="1257"/>
      <c r="B5454" s="1113"/>
      <c r="C5454" s="1107"/>
      <c r="D5454" s="103"/>
      <c r="E5454" s="1137"/>
      <c r="F5454" s="112"/>
      <c r="G5454" s="1110"/>
      <c r="H5454" s="1138"/>
      <c r="I5454" s="1138"/>
      <c r="J5454" s="1139"/>
      <c r="K5454" s="1111"/>
      <c r="L5454" s="1112"/>
      <c r="M5454" s="1113"/>
      <c r="N5454" s="110"/>
      <c r="O5454" s="1140"/>
      <c r="P5454" s="1115"/>
      <c r="Q5454" s="1116"/>
      <c r="R5454" s="1141"/>
      <c r="S5454" s="1113"/>
      <c r="T5454" s="1143"/>
      <c r="U5454" s="1108"/>
      <c r="V5454" s="1108"/>
      <c r="W5454" s="1108"/>
      <c r="X5454" s="1108"/>
      <c r="Y5454" s="1108"/>
      <c r="Z5454" s="1114"/>
      <c r="AA5454" s="1114"/>
      <c r="AB5454" s="1114"/>
      <c r="AC5454" s="1117"/>
      <c r="AD5454" s="1115"/>
      <c r="AE5454" s="1115"/>
      <c r="AF5454" s="1115"/>
      <c r="AG5454" s="1115"/>
      <c r="AH5454" s="1115"/>
      <c r="AI5454" s="1115"/>
      <c r="AJ5454" s="1117"/>
      <c r="AK5454" s="1118"/>
      <c r="AL5454" s="1115"/>
      <c r="AM5454" s="1115"/>
      <c r="AN5454" s="1115"/>
      <c r="AO5454" s="1115"/>
      <c r="AP5454" s="1115"/>
      <c r="AQ5454" s="1115"/>
      <c r="AR5454" s="1115"/>
      <c r="AS5454" s="1117"/>
      <c r="AT5454" s="1075"/>
      <c r="AU5454" s="1193"/>
      <c r="AV5454" s="330"/>
      <c r="AW5454" s="331"/>
      <c r="AX5454" s="331"/>
      <c r="AY5454" s="331"/>
      <c r="AZ5454" s="331"/>
      <c r="BA5454" s="331"/>
      <c r="BB5454" s="331"/>
      <c r="BC5454" s="331"/>
      <c r="BD5454" s="331"/>
      <c r="BE5454" s="333"/>
      <c r="BF5454" s="330"/>
      <c r="BG5454" s="333"/>
      <c r="BH5454" s="1119"/>
      <c r="BI5454" s="319"/>
      <c r="BJ5454" s="319"/>
      <c r="BK5454" s="319"/>
      <c r="BL5454" s="319"/>
      <c r="BM5454" s="319"/>
      <c r="BN5454" s="319"/>
      <c r="BO5454" s="319"/>
      <c r="BP5454" s="953"/>
      <c r="BQ5454" s="319"/>
      <c r="BR5454" s="319"/>
      <c r="BS5454" s="330"/>
      <c r="BT5454" s="331"/>
      <c r="BU5454" s="920"/>
      <c r="BV5454" s="903"/>
      <c r="BW5454" s="908"/>
      <c r="BX5454" s="908"/>
      <c r="BY5454" s="331"/>
      <c r="BZ5454" s="331"/>
      <c r="CA5454" s="462"/>
      <c r="CB5454" s="319"/>
      <c r="CC5454" s="319"/>
      <c r="CD5454" s="319"/>
      <c r="CE5454" s="319"/>
      <c r="CF5454" s="319"/>
      <c r="CG5454" s="319"/>
      <c r="CH5454" s="318"/>
      <c r="CI5454" s="319"/>
      <c r="CJ5454" s="319"/>
      <c r="CK5454" s="342"/>
      <c r="CL5454" s="333"/>
      <c r="CM5454" s="1079"/>
      <c r="CN5454" s="1005"/>
      <c r="CO5454" s="1005"/>
      <c r="CP5454" s="1005"/>
    </row>
    <row r="5455">
      <c r="A5455" s="1257"/>
      <c r="B5455" s="1113"/>
      <c r="C5455" s="1107"/>
      <c r="D5455" s="103"/>
      <c r="E5455" s="1137"/>
      <c r="F5455" s="112"/>
      <c r="G5455" s="1110"/>
      <c r="H5455" s="1138"/>
      <c r="I5455" s="1138"/>
      <c r="J5455" s="1139"/>
      <c r="K5455" s="1111"/>
      <c r="L5455" s="1112"/>
      <c r="M5455" s="1113"/>
      <c r="N5455" s="110"/>
      <c r="O5455" s="1140"/>
      <c r="P5455" s="1115"/>
      <c r="Q5455" s="1116"/>
      <c r="R5455" s="1141"/>
      <c r="S5455" s="1113"/>
      <c r="T5455" s="1143"/>
      <c r="U5455" s="1108"/>
      <c r="V5455" s="1108"/>
      <c r="W5455" s="1108"/>
      <c r="X5455" s="1108"/>
      <c r="Y5455" s="1108"/>
      <c r="Z5455" s="1114"/>
      <c r="AA5455" s="1114"/>
      <c r="AB5455" s="1114"/>
      <c r="AC5455" s="1117"/>
      <c r="AD5455" s="1115"/>
      <c r="AE5455" s="1115"/>
      <c r="AF5455" s="1115"/>
      <c r="AG5455" s="1115"/>
      <c r="AH5455" s="1115"/>
      <c r="AI5455" s="1115"/>
      <c r="AJ5455" s="1117"/>
      <c r="AK5455" s="1118"/>
      <c r="AL5455" s="1115"/>
      <c r="AM5455" s="1115"/>
      <c r="AN5455" s="1115"/>
      <c r="AO5455" s="1115"/>
      <c r="AP5455" s="1115"/>
      <c r="AQ5455" s="1115"/>
      <c r="AR5455" s="1115"/>
      <c r="AS5455" s="1117"/>
      <c r="AT5455" s="1075"/>
      <c r="AU5455" s="1193"/>
      <c r="AV5455" s="330"/>
      <c r="AW5455" s="331"/>
      <c r="AX5455" s="331"/>
      <c r="AY5455" s="331"/>
      <c r="AZ5455" s="331"/>
      <c r="BA5455" s="331"/>
      <c r="BB5455" s="331"/>
      <c r="BC5455" s="331"/>
      <c r="BD5455" s="331"/>
      <c r="BE5455" s="333"/>
      <c r="BF5455" s="330"/>
      <c r="BG5455" s="333"/>
      <c r="BH5455" s="1119"/>
      <c r="BI5455" s="319"/>
      <c r="BJ5455" s="319"/>
      <c r="BK5455" s="319"/>
      <c r="BL5455" s="319"/>
      <c r="BM5455" s="319"/>
      <c r="BN5455" s="319"/>
      <c r="BO5455" s="319"/>
      <c r="BP5455" s="953"/>
      <c r="BQ5455" s="319"/>
      <c r="BR5455" s="319"/>
      <c r="BS5455" s="330"/>
      <c r="BT5455" s="331"/>
      <c r="BU5455" s="920"/>
      <c r="BV5455" s="903"/>
      <c r="BW5455" s="908"/>
      <c r="BX5455" s="908"/>
      <c r="BY5455" s="331"/>
      <c r="BZ5455" s="331"/>
      <c r="CA5455" s="462"/>
      <c r="CB5455" s="319"/>
      <c r="CC5455" s="319"/>
      <c r="CD5455" s="319"/>
      <c r="CE5455" s="319"/>
      <c r="CF5455" s="319"/>
      <c r="CG5455" s="319"/>
      <c r="CH5455" s="318"/>
      <c r="CI5455" s="319"/>
      <c r="CJ5455" s="319"/>
      <c r="CK5455" s="342"/>
      <c r="CL5455" s="333"/>
      <c r="CM5455" s="1079"/>
      <c r="CN5455" s="1005"/>
      <c r="CO5455" s="1005"/>
      <c r="CP5455" s="1005"/>
    </row>
    <row r="5456">
      <c r="A5456" s="1257"/>
      <c r="B5456" s="1113"/>
      <c r="C5456" s="1107"/>
      <c r="D5456" s="103"/>
      <c r="E5456" s="1137"/>
      <c r="F5456" s="112"/>
      <c r="G5456" s="1110"/>
      <c r="H5456" s="1138"/>
      <c r="I5456" s="1138"/>
      <c r="J5456" s="1139"/>
      <c r="K5456" s="1111"/>
      <c r="L5456" s="1112"/>
      <c r="M5456" s="1113"/>
      <c r="N5456" s="110"/>
      <c r="O5456" s="1140"/>
      <c r="P5456" s="1115"/>
      <c r="Q5456" s="1116"/>
      <c r="R5456" s="1141"/>
      <c r="S5456" s="1113"/>
      <c r="T5456" s="1143"/>
      <c r="U5456" s="1108"/>
      <c r="V5456" s="1108"/>
      <c r="W5456" s="1108"/>
      <c r="X5456" s="1108"/>
      <c r="Y5456" s="1108"/>
      <c r="Z5456" s="1114"/>
      <c r="AA5456" s="1114"/>
      <c r="AB5456" s="1114"/>
      <c r="AC5456" s="1117"/>
      <c r="AD5456" s="1115"/>
      <c r="AE5456" s="1115"/>
      <c r="AF5456" s="1115"/>
      <c r="AG5456" s="1115"/>
      <c r="AH5456" s="1115"/>
      <c r="AI5456" s="1115"/>
      <c r="AJ5456" s="1117"/>
      <c r="AK5456" s="1118"/>
      <c r="AL5456" s="1115"/>
      <c r="AM5456" s="1115"/>
      <c r="AN5456" s="1115"/>
      <c r="AO5456" s="1115"/>
      <c r="AP5456" s="1115"/>
      <c r="AQ5456" s="1115"/>
      <c r="AR5456" s="1115"/>
      <c r="AS5456" s="1117"/>
      <c r="AT5456" s="1075"/>
      <c r="AU5456" s="1193"/>
      <c r="AV5456" s="330"/>
      <c r="AW5456" s="331"/>
      <c r="AX5456" s="331"/>
      <c r="AY5456" s="331"/>
      <c r="AZ5456" s="331"/>
      <c r="BA5456" s="331"/>
      <c r="BB5456" s="331"/>
      <c r="BC5456" s="331"/>
      <c r="BD5456" s="331"/>
      <c r="BE5456" s="333"/>
      <c r="BF5456" s="330"/>
      <c r="BG5456" s="333"/>
      <c r="BH5456" s="1119"/>
      <c r="BI5456" s="319"/>
      <c r="BJ5456" s="319"/>
      <c r="BK5456" s="319"/>
      <c r="BL5456" s="319"/>
      <c r="BM5456" s="319"/>
      <c r="BN5456" s="319"/>
      <c r="BO5456" s="319"/>
      <c r="BP5456" s="953"/>
      <c r="BQ5456" s="319"/>
      <c r="BR5456" s="319"/>
      <c r="BS5456" s="330"/>
      <c r="BT5456" s="331"/>
      <c r="BU5456" s="920"/>
      <c r="BV5456" s="903"/>
      <c r="BW5456" s="908"/>
      <c r="BX5456" s="908"/>
      <c r="BY5456" s="331"/>
      <c r="BZ5456" s="331"/>
      <c r="CA5456" s="462"/>
      <c r="CB5456" s="319"/>
      <c r="CC5456" s="319"/>
      <c r="CD5456" s="319"/>
      <c r="CE5456" s="319"/>
      <c r="CF5456" s="319"/>
      <c r="CG5456" s="319"/>
      <c r="CH5456" s="318"/>
      <c r="CI5456" s="319"/>
      <c r="CJ5456" s="319"/>
      <c r="CK5456" s="342"/>
      <c r="CL5456" s="333"/>
      <c r="CM5456" s="1079"/>
      <c r="CN5456" s="1005"/>
      <c r="CO5456" s="1005"/>
      <c r="CP5456" s="1005"/>
    </row>
    <row r="5457">
      <c r="A5457" s="1257"/>
      <c r="B5457" s="1113"/>
      <c r="C5457" s="1107"/>
      <c r="D5457" s="103"/>
      <c r="E5457" s="1137"/>
      <c r="F5457" s="112"/>
      <c r="G5457" s="1110"/>
      <c r="H5457" s="1138"/>
      <c r="I5457" s="1138"/>
      <c r="J5457" s="1139"/>
      <c r="K5457" s="1111"/>
      <c r="L5457" s="1112"/>
      <c r="M5457" s="1113"/>
      <c r="N5457" s="110"/>
      <c r="O5457" s="1140"/>
      <c r="P5457" s="1115"/>
      <c r="Q5457" s="1116"/>
      <c r="R5457" s="1141"/>
      <c r="S5457" s="1113"/>
      <c r="T5457" s="1143"/>
      <c r="U5457" s="1108"/>
      <c r="V5457" s="1108"/>
      <c r="W5457" s="1108"/>
      <c r="X5457" s="1108"/>
      <c r="Y5457" s="1108"/>
      <c r="Z5457" s="1114"/>
      <c r="AA5457" s="1114"/>
      <c r="AB5457" s="1114"/>
      <c r="AC5457" s="1117"/>
      <c r="AD5457" s="1115"/>
      <c r="AE5457" s="1115"/>
      <c r="AF5457" s="1115"/>
      <c r="AG5457" s="1115"/>
      <c r="AH5457" s="1115"/>
      <c r="AI5457" s="1115"/>
      <c r="AJ5457" s="1117"/>
      <c r="AK5457" s="1118"/>
      <c r="AL5457" s="1115"/>
      <c r="AM5457" s="1115"/>
      <c r="AN5457" s="1115"/>
      <c r="AO5457" s="1115"/>
      <c r="AP5457" s="1115"/>
      <c r="AQ5457" s="1115"/>
      <c r="AR5457" s="1115"/>
      <c r="AS5457" s="1117"/>
      <c r="AT5457" s="1075"/>
      <c r="AU5457" s="1193"/>
      <c r="AV5457" s="330"/>
      <c r="AW5457" s="331"/>
      <c r="AX5457" s="331"/>
      <c r="AY5457" s="331"/>
      <c r="AZ5457" s="331"/>
      <c r="BA5457" s="331"/>
      <c r="BB5457" s="331"/>
      <c r="BC5457" s="331"/>
      <c r="BD5457" s="331"/>
      <c r="BE5457" s="333"/>
      <c r="BF5457" s="330"/>
      <c r="BG5457" s="333"/>
      <c r="BH5457" s="1119"/>
      <c r="BI5457" s="319"/>
      <c r="BJ5457" s="319"/>
      <c r="BK5457" s="319"/>
      <c r="BL5457" s="319"/>
      <c r="BM5457" s="319"/>
      <c r="BN5457" s="319"/>
      <c r="BO5457" s="319"/>
      <c r="BP5457" s="953"/>
      <c r="BQ5457" s="319"/>
      <c r="BR5457" s="319"/>
      <c r="BS5457" s="330"/>
      <c r="BT5457" s="331"/>
      <c r="BU5457" s="920"/>
      <c r="BV5457" s="903"/>
      <c r="BW5457" s="908"/>
      <c r="BX5457" s="908"/>
      <c r="BY5457" s="331"/>
      <c r="BZ5457" s="331"/>
      <c r="CA5457" s="462"/>
      <c r="CB5457" s="319"/>
      <c r="CC5457" s="319"/>
      <c r="CD5457" s="319"/>
      <c r="CE5457" s="319"/>
      <c r="CF5457" s="319"/>
      <c r="CG5457" s="319"/>
      <c r="CH5457" s="318"/>
      <c r="CI5457" s="319"/>
      <c r="CJ5457" s="319"/>
      <c r="CK5457" s="342"/>
      <c r="CL5457" s="333"/>
      <c r="CM5457" s="1079"/>
      <c r="CN5457" s="1005"/>
      <c r="CO5457" s="1005"/>
      <c r="CP5457" s="1005"/>
    </row>
    <row r="5458">
      <c r="A5458" s="1257"/>
      <c r="B5458" s="1113"/>
      <c r="C5458" s="1107"/>
      <c r="D5458" s="103"/>
      <c r="E5458" s="1137"/>
      <c r="F5458" s="112"/>
      <c r="G5458" s="1110"/>
      <c r="H5458" s="1138"/>
      <c r="I5458" s="1138"/>
      <c r="J5458" s="1139"/>
      <c r="K5458" s="1111"/>
      <c r="L5458" s="1112"/>
      <c r="M5458" s="1113"/>
      <c r="N5458" s="110"/>
      <c r="O5458" s="1140"/>
      <c r="P5458" s="1115"/>
      <c r="Q5458" s="1116"/>
      <c r="R5458" s="1141"/>
      <c r="S5458" s="1113"/>
      <c r="T5458" s="1143"/>
      <c r="U5458" s="1108"/>
      <c r="V5458" s="1108"/>
      <c r="W5458" s="1108"/>
      <c r="X5458" s="1108"/>
      <c r="Y5458" s="1108"/>
      <c r="Z5458" s="1114"/>
      <c r="AA5458" s="1114"/>
      <c r="AB5458" s="1114"/>
      <c r="AC5458" s="1117"/>
      <c r="AD5458" s="1115"/>
      <c r="AE5458" s="1115"/>
      <c r="AF5458" s="1115"/>
      <c r="AG5458" s="1115"/>
      <c r="AH5458" s="1115"/>
      <c r="AI5458" s="1115"/>
      <c r="AJ5458" s="1117"/>
      <c r="AK5458" s="1118"/>
      <c r="AL5458" s="1115"/>
      <c r="AM5458" s="1115"/>
      <c r="AN5458" s="1115"/>
      <c r="AO5458" s="1115"/>
      <c r="AP5458" s="1115"/>
      <c r="AQ5458" s="1115"/>
      <c r="AR5458" s="1115"/>
      <c r="AS5458" s="1117"/>
      <c r="AT5458" s="1075"/>
      <c r="AU5458" s="1193"/>
      <c r="AV5458" s="330"/>
      <c r="AW5458" s="331"/>
      <c r="AX5458" s="331"/>
      <c r="AY5458" s="331"/>
      <c r="AZ5458" s="331"/>
      <c r="BA5458" s="331"/>
      <c r="BB5458" s="331"/>
      <c r="BC5458" s="331"/>
      <c r="BD5458" s="331"/>
      <c r="BE5458" s="333"/>
      <c r="BF5458" s="330"/>
      <c r="BG5458" s="333"/>
      <c r="BH5458" s="1119"/>
      <c r="BI5458" s="319"/>
      <c r="BJ5458" s="319"/>
      <c r="BK5458" s="319"/>
      <c r="BL5458" s="319"/>
      <c r="BM5458" s="319"/>
      <c r="BN5458" s="319"/>
      <c r="BO5458" s="319"/>
      <c r="BP5458" s="953"/>
      <c r="BQ5458" s="319"/>
      <c r="BR5458" s="319"/>
      <c r="BS5458" s="330"/>
      <c r="BT5458" s="331"/>
      <c r="BU5458" s="920"/>
      <c r="BV5458" s="903"/>
      <c r="BW5458" s="908"/>
      <c r="BX5458" s="908"/>
      <c r="BY5458" s="331"/>
      <c r="BZ5458" s="331"/>
      <c r="CA5458" s="462"/>
      <c r="CB5458" s="319"/>
      <c r="CC5458" s="319"/>
      <c r="CD5458" s="319"/>
      <c r="CE5458" s="319"/>
      <c r="CF5458" s="319"/>
      <c r="CG5458" s="319"/>
      <c r="CH5458" s="318"/>
      <c r="CI5458" s="319"/>
      <c r="CJ5458" s="319"/>
      <c r="CK5458" s="342"/>
      <c r="CL5458" s="333"/>
      <c r="CM5458" s="1079"/>
      <c r="CN5458" s="1005"/>
      <c r="CO5458" s="1005"/>
      <c r="CP5458" s="1005"/>
    </row>
    <row r="5459">
      <c r="A5459" s="1257"/>
      <c r="B5459" s="1113"/>
      <c r="C5459" s="1107"/>
      <c r="D5459" s="103"/>
      <c r="E5459" s="1137"/>
      <c r="F5459" s="112"/>
      <c r="G5459" s="1110"/>
      <c r="H5459" s="1138"/>
      <c r="I5459" s="1138"/>
      <c r="J5459" s="1139"/>
      <c r="K5459" s="1111"/>
      <c r="L5459" s="1112"/>
      <c r="M5459" s="1113"/>
      <c r="N5459" s="110"/>
      <c r="O5459" s="1140"/>
      <c r="P5459" s="1115"/>
      <c r="Q5459" s="1116"/>
      <c r="R5459" s="1141"/>
      <c r="S5459" s="1113"/>
      <c r="T5459" s="1143"/>
      <c r="U5459" s="1108"/>
      <c r="V5459" s="1108"/>
      <c r="W5459" s="1108"/>
      <c r="X5459" s="1108"/>
      <c r="Y5459" s="1108"/>
      <c r="Z5459" s="1114"/>
      <c r="AA5459" s="1114"/>
      <c r="AB5459" s="1114"/>
      <c r="AC5459" s="1117"/>
      <c r="AD5459" s="1115"/>
      <c r="AE5459" s="1115"/>
      <c r="AF5459" s="1115"/>
      <c r="AG5459" s="1115"/>
      <c r="AH5459" s="1115"/>
      <c r="AI5459" s="1115"/>
      <c r="AJ5459" s="1117"/>
      <c r="AK5459" s="1118"/>
      <c r="AL5459" s="1115"/>
      <c r="AM5459" s="1115"/>
      <c r="AN5459" s="1115"/>
      <c r="AO5459" s="1115"/>
      <c r="AP5459" s="1115"/>
      <c r="AQ5459" s="1115"/>
      <c r="AR5459" s="1115"/>
      <c r="AS5459" s="1117"/>
      <c r="AT5459" s="1075"/>
      <c r="AU5459" s="1193"/>
      <c r="AV5459" s="330"/>
      <c r="AW5459" s="331"/>
      <c r="AX5459" s="331"/>
      <c r="AY5459" s="331"/>
      <c r="AZ5459" s="331"/>
      <c r="BA5459" s="331"/>
      <c r="BB5459" s="331"/>
      <c r="BC5459" s="331"/>
      <c r="BD5459" s="331"/>
      <c r="BE5459" s="333"/>
      <c r="BF5459" s="330"/>
      <c r="BG5459" s="333"/>
      <c r="BH5459" s="1119"/>
      <c r="BI5459" s="319"/>
      <c r="BJ5459" s="319"/>
      <c r="BK5459" s="319"/>
      <c r="BL5459" s="319"/>
      <c r="BM5459" s="319"/>
      <c r="BN5459" s="319"/>
      <c r="BO5459" s="319"/>
      <c r="BP5459" s="953"/>
      <c r="BQ5459" s="319"/>
      <c r="BR5459" s="319"/>
      <c r="BS5459" s="330"/>
      <c r="BT5459" s="331"/>
      <c r="BU5459" s="920"/>
      <c r="BV5459" s="903"/>
      <c r="BW5459" s="908"/>
      <c r="BX5459" s="908"/>
      <c r="BY5459" s="331"/>
      <c r="BZ5459" s="331"/>
      <c r="CA5459" s="462"/>
      <c r="CB5459" s="319"/>
      <c r="CC5459" s="319"/>
      <c r="CD5459" s="319"/>
      <c r="CE5459" s="319"/>
      <c r="CF5459" s="319"/>
      <c r="CG5459" s="319"/>
      <c r="CH5459" s="318"/>
      <c r="CI5459" s="319"/>
      <c r="CJ5459" s="319"/>
      <c r="CK5459" s="342"/>
      <c r="CL5459" s="333"/>
      <c r="CM5459" s="1079"/>
      <c r="CN5459" s="1005"/>
      <c r="CO5459" s="1005"/>
      <c r="CP5459" s="1005"/>
    </row>
    <row r="5460">
      <c r="A5460" s="1257"/>
      <c r="B5460" s="1113"/>
      <c r="C5460" s="1107"/>
      <c r="D5460" s="103"/>
      <c r="E5460" s="1137"/>
      <c r="F5460" s="112"/>
      <c r="G5460" s="1110"/>
      <c r="H5460" s="1138"/>
      <c r="I5460" s="1138"/>
      <c r="J5460" s="1139"/>
      <c r="K5460" s="1111"/>
      <c r="L5460" s="1112"/>
      <c r="M5460" s="1113"/>
      <c r="N5460" s="110"/>
      <c r="O5460" s="1140"/>
      <c r="P5460" s="1115"/>
      <c r="Q5460" s="1116"/>
      <c r="R5460" s="1141"/>
      <c r="S5460" s="1113"/>
      <c r="T5460" s="1143"/>
      <c r="U5460" s="1108"/>
      <c r="V5460" s="1108"/>
      <c r="W5460" s="1108"/>
      <c r="X5460" s="1108"/>
      <c r="Y5460" s="1108"/>
      <c r="Z5460" s="1114"/>
      <c r="AA5460" s="1114"/>
      <c r="AB5460" s="1114"/>
      <c r="AC5460" s="1117"/>
      <c r="AD5460" s="1115"/>
      <c r="AE5460" s="1115"/>
      <c r="AF5460" s="1115"/>
      <c r="AG5460" s="1115"/>
      <c r="AH5460" s="1115"/>
      <c r="AI5460" s="1115"/>
      <c r="AJ5460" s="1117"/>
      <c r="AK5460" s="1118"/>
      <c r="AL5460" s="1115"/>
      <c r="AM5460" s="1115"/>
      <c r="AN5460" s="1115"/>
      <c r="AO5460" s="1115"/>
      <c r="AP5460" s="1115"/>
      <c r="AQ5460" s="1115"/>
      <c r="AR5460" s="1115"/>
      <c r="AS5460" s="1117"/>
      <c r="AT5460" s="1075"/>
      <c r="AU5460" s="1193"/>
      <c r="AV5460" s="330"/>
      <c r="AW5460" s="331"/>
      <c r="AX5460" s="331"/>
      <c r="AY5460" s="331"/>
      <c r="AZ5460" s="331"/>
      <c r="BA5460" s="331"/>
      <c r="BB5460" s="331"/>
      <c r="BC5460" s="331"/>
      <c r="BD5460" s="331"/>
      <c r="BE5460" s="333"/>
      <c r="BF5460" s="330"/>
      <c r="BG5460" s="333"/>
      <c r="BH5460" s="1119"/>
      <c r="BI5460" s="319"/>
      <c r="BJ5460" s="319"/>
      <c r="BK5460" s="319"/>
      <c r="BL5460" s="319"/>
      <c r="BM5460" s="319"/>
      <c r="BN5460" s="319"/>
      <c r="BO5460" s="319"/>
      <c r="BP5460" s="953"/>
      <c r="BQ5460" s="319"/>
      <c r="BR5460" s="319"/>
      <c r="BS5460" s="330"/>
      <c r="BT5460" s="331"/>
      <c r="BU5460" s="920"/>
      <c r="BV5460" s="903"/>
      <c r="BW5460" s="908"/>
      <c r="BX5460" s="908"/>
      <c r="BY5460" s="331"/>
      <c r="BZ5460" s="331"/>
      <c r="CA5460" s="462"/>
      <c r="CB5460" s="319"/>
      <c r="CC5460" s="319"/>
      <c r="CD5460" s="319"/>
      <c r="CE5460" s="319"/>
      <c r="CF5460" s="319"/>
      <c r="CG5460" s="319"/>
      <c r="CH5460" s="318"/>
      <c r="CI5460" s="319"/>
      <c r="CJ5460" s="319"/>
      <c r="CK5460" s="342"/>
      <c r="CL5460" s="333"/>
      <c r="CM5460" s="1079"/>
      <c r="CN5460" s="1005"/>
      <c r="CO5460" s="1005"/>
      <c r="CP5460" s="1005"/>
    </row>
    <row r="5461">
      <c r="A5461" s="1257"/>
      <c r="B5461" s="1113"/>
      <c r="C5461" s="1107"/>
      <c r="D5461" s="103"/>
      <c r="E5461" s="1137"/>
      <c r="F5461" s="112"/>
      <c r="G5461" s="1110"/>
      <c r="H5461" s="1138"/>
      <c r="I5461" s="1138"/>
      <c r="J5461" s="1139"/>
      <c r="K5461" s="1111"/>
      <c r="L5461" s="1112"/>
      <c r="M5461" s="1113"/>
      <c r="N5461" s="110"/>
      <c r="O5461" s="1140"/>
      <c r="P5461" s="1115"/>
      <c r="Q5461" s="1116"/>
      <c r="R5461" s="1141"/>
      <c r="S5461" s="1113"/>
      <c r="T5461" s="1143"/>
      <c r="U5461" s="1108"/>
      <c r="V5461" s="1108"/>
      <c r="W5461" s="1108"/>
      <c r="X5461" s="1108"/>
      <c r="Y5461" s="1108"/>
      <c r="Z5461" s="1114"/>
      <c r="AA5461" s="1114"/>
      <c r="AB5461" s="1114"/>
      <c r="AC5461" s="1117"/>
      <c r="AD5461" s="1115"/>
      <c r="AE5461" s="1115"/>
      <c r="AF5461" s="1115"/>
      <c r="AG5461" s="1115"/>
      <c r="AH5461" s="1115"/>
      <c r="AI5461" s="1115"/>
      <c r="AJ5461" s="1117"/>
      <c r="AK5461" s="1118"/>
      <c r="AL5461" s="1115"/>
      <c r="AM5461" s="1115"/>
      <c r="AN5461" s="1115"/>
      <c r="AO5461" s="1115"/>
      <c r="AP5461" s="1115"/>
      <c r="AQ5461" s="1115"/>
      <c r="AR5461" s="1115"/>
      <c r="AS5461" s="1117"/>
      <c r="AT5461" s="1075"/>
      <c r="AU5461" s="1193"/>
      <c r="AV5461" s="330"/>
      <c r="AW5461" s="331"/>
      <c r="AX5461" s="331"/>
      <c r="AY5461" s="331"/>
      <c r="AZ5461" s="331"/>
      <c r="BA5461" s="331"/>
      <c r="BB5461" s="331"/>
      <c r="BC5461" s="331"/>
      <c r="BD5461" s="331"/>
      <c r="BE5461" s="333"/>
      <c r="BF5461" s="330"/>
      <c r="BG5461" s="333"/>
      <c r="BH5461" s="1119"/>
      <c r="BI5461" s="319"/>
      <c r="BJ5461" s="319"/>
      <c r="BK5461" s="319"/>
      <c r="BL5461" s="319"/>
      <c r="BM5461" s="319"/>
      <c r="BN5461" s="319"/>
      <c r="BO5461" s="319"/>
      <c r="BP5461" s="953"/>
      <c r="BQ5461" s="319"/>
      <c r="BR5461" s="319"/>
      <c r="BS5461" s="330"/>
      <c r="BT5461" s="331"/>
      <c r="BU5461" s="920"/>
      <c r="BV5461" s="903"/>
      <c r="BW5461" s="908"/>
      <c r="BX5461" s="908"/>
      <c r="BY5461" s="331"/>
      <c r="BZ5461" s="331"/>
      <c r="CA5461" s="462"/>
      <c r="CB5461" s="319"/>
      <c r="CC5461" s="319"/>
      <c r="CD5461" s="319"/>
      <c r="CE5461" s="319"/>
      <c r="CF5461" s="319"/>
      <c r="CG5461" s="319"/>
      <c r="CH5461" s="318"/>
      <c r="CI5461" s="319"/>
      <c r="CJ5461" s="319"/>
      <c r="CK5461" s="342"/>
      <c r="CL5461" s="333"/>
      <c r="CM5461" s="1079"/>
      <c r="CN5461" s="1005"/>
      <c r="CO5461" s="1005"/>
      <c r="CP5461" s="1005"/>
    </row>
    <row r="5462">
      <c r="A5462" s="1257"/>
      <c r="B5462" s="1113"/>
      <c r="C5462" s="1107"/>
      <c r="D5462" s="103"/>
      <c r="E5462" s="1137"/>
      <c r="F5462" s="112"/>
      <c r="G5462" s="1110"/>
      <c r="H5462" s="1138"/>
      <c r="I5462" s="1138"/>
      <c r="J5462" s="1139"/>
      <c r="K5462" s="1111"/>
      <c r="L5462" s="1112"/>
      <c r="M5462" s="1113"/>
      <c r="N5462" s="110"/>
      <c r="O5462" s="1140"/>
      <c r="P5462" s="1115"/>
      <c r="Q5462" s="1116"/>
      <c r="R5462" s="1141"/>
      <c r="S5462" s="1113"/>
      <c r="T5462" s="1143"/>
      <c r="U5462" s="1108"/>
      <c r="V5462" s="1108"/>
      <c r="W5462" s="1108"/>
      <c r="X5462" s="1108"/>
      <c r="Y5462" s="1108"/>
      <c r="Z5462" s="1114"/>
      <c r="AA5462" s="1114"/>
      <c r="AB5462" s="1114"/>
      <c r="AC5462" s="1117"/>
      <c r="AD5462" s="1115"/>
      <c r="AE5462" s="1115"/>
      <c r="AF5462" s="1115"/>
      <c r="AG5462" s="1115"/>
      <c r="AH5462" s="1115"/>
      <c r="AI5462" s="1115"/>
      <c r="AJ5462" s="1117"/>
      <c r="AK5462" s="1118"/>
      <c r="AL5462" s="1115"/>
      <c r="AM5462" s="1115"/>
      <c r="AN5462" s="1115"/>
      <c r="AO5462" s="1115"/>
      <c r="AP5462" s="1115"/>
      <c r="AQ5462" s="1115"/>
      <c r="AR5462" s="1115"/>
      <c r="AS5462" s="1117"/>
      <c r="AT5462" s="1075"/>
      <c r="AU5462" s="1193"/>
      <c r="AV5462" s="330"/>
      <c r="AW5462" s="331"/>
      <c r="AX5462" s="331"/>
      <c r="AY5462" s="331"/>
      <c r="AZ5462" s="331"/>
      <c r="BA5462" s="331"/>
      <c r="BB5462" s="331"/>
      <c r="BC5462" s="331"/>
      <c r="BD5462" s="331"/>
      <c r="BE5462" s="333"/>
      <c r="BF5462" s="330"/>
      <c r="BG5462" s="333"/>
      <c r="BH5462" s="1119"/>
      <c r="BI5462" s="319"/>
      <c r="BJ5462" s="319"/>
      <c r="BK5462" s="319"/>
      <c r="BL5462" s="319"/>
      <c r="BM5462" s="319"/>
      <c r="BN5462" s="319"/>
      <c r="BO5462" s="319"/>
      <c r="BP5462" s="953"/>
      <c r="BQ5462" s="319"/>
      <c r="BR5462" s="319"/>
      <c r="BS5462" s="330"/>
      <c r="BT5462" s="331"/>
      <c r="BU5462" s="920"/>
      <c r="BV5462" s="903"/>
      <c r="BW5462" s="908"/>
      <c r="BX5462" s="908"/>
      <c r="BY5462" s="331"/>
      <c r="BZ5462" s="331"/>
      <c r="CA5462" s="462"/>
      <c r="CB5462" s="319"/>
      <c r="CC5462" s="319"/>
      <c r="CD5462" s="319"/>
      <c r="CE5462" s="319"/>
      <c r="CF5462" s="319"/>
      <c r="CG5462" s="319"/>
      <c r="CH5462" s="318"/>
      <c r="CI5462" s="319"/>
      <c r="CJ5462" s="319"/>
      <c r="CK5462" s="342"/>
      <c r="CL5462" s="333"/>
      <c r="CM5462" s="1079"/>
      <c r="CN5462" s="1005"/>
      <c r="CO5462" s="1005"/>
      <c r="CP5462" s="1005"/>
    </row>
    <row r="5463">
      <c r="A5463" s="1257"/>
      <c r="B5463" s="1113"/>
      <c r="C5463" s="1107"/>
      <c r="D5463" s="103"/>
      <c r="E5463" s="1137"/>
      <c r="F5463" s="112"/>
      <c r="G5463" s="1110"/>
      <c r="H5463" s="1138"/>
      <c r="I5463" s="1138"/>
      <c r="J5463" s="1139"/>
      <c r="K5463" s="1111"/>
      <c r="L5463" s="1112"/>
      <c r="M5463" s="1113"/>
      <c r="N5463" s="110"/>
      <c r="O5463" s="1140"/>
      <c r="P5463" s="1115"/>
      <c r="Q5463" s="1116"/>
      <c r="R5463" s="1141"/>
      <c r="S5463" s="1113"/>
      <c r="T5463" s="1143"/>
      <c r="U5463" s="1108"/>
      <c r="V5463" s="1108"/>
      <c r="W5463" s="1108"/>
      <c r="X5463" s="1108"/>
      <c r="Y5463" s="1108"/>
      <c r="Z5463" s="1114"/>
      <c r="AA5463" s="1114"/>
      <c r="AB5463" s="1114"/>
      <c r="AC5463" s="1117"/>
      <c r="AD5463" s="1115"/>
      <c r="AE5463" s="1115"/>
      <c r="AF5463" s="1115"/>
      <c r="AG5463" s="1115"/>
      <c r="AH5463" s="1115"/>
      <c r="AI5463" s="1115"/>
      <c r="AJ5463" s="1117"/>
      <c r="AK5463" s="1118"/>
      <c r="AL5463" s="1115"/>
      <c r="AM5463" s="1115"/>
      <c r="AN5463" s="1115"/>
      <c r="AO5463" s="1115"/>
      <c r="AP5463" s="1115"/>
      <c r="AQ5463" s="1115"/>
      <c r="AR5463" s="1115"/>
      <c r="AS5463" s="1117"/>
      <c r="AT5463" s="1075"/>
      <c r="AU5463" s="1193"/>
      <c r="AV5463" s="330"/>
      <c r="AW5463" s="331"/>
      <c r="AX5463" s="331"/>
      <c r="AY5463" s="331"/>
      <c r="AZ5463" s="331"/>
      <c r="BA5463" s="331"/>
      <c r="BB5463" s="331"/>
      <c r="BC5463" s="331"/>
      <c r="BD5463" s="331"/>
      <c r="BE5463" s="333"/>
      <c r="BF5463" s="330"/>
      <c r="BG5463" s="333"/>
      <c r="BH5463" s="1119"/>
      <c r="BI5463" s="319"/>
      <c r="BJ5463" s="319"/>
      <c r="BK5463" s="319"/>
      <c r="BL5463" s="319"/>
      <c r="BM5463" s="319"/>
      <c r="BN5463" s="319"/>
      <c r="BO5463" s="319"/>
      <c r="BP5463" s="953"/>
      <c r="BQ5463" s="319"/>
      <c r="BR5463" s="319"/>
      <c r="BS5463" s="330"/>
      <c r="BT5463" s="331"/>
      <c r="BU5463" s="920"/>
      <c r="BV5463" s="903"/>
      <c r="BW5463" s="908"/>
      <c r="BX5463" s="908"/>
      <c r="BY5463" s="331"/>
      <c r="BZ5463" s="331"/>
      <c r="CA5463" s="462"/>
      <c r="CB5463" s="319"/>
      <c r="CC5463" s="319"/>
      <c r="CD5463" s="319"/>
      <c r="CE5463" s="319"/>
      <c r="CF5463" s="319"/>
      <c r="CG5463" s="319"/>
      <c r="CH5463" s="318"/>
      <c r="CI5463" s="319"/>
      <c r="CJ5463" s="319"/>
      <c r="CK5463" s="342"/>
      <c r="CL5463" s="333"/>
      <c r="CM5463" s="1079"/>
      <c r="CN5463" s="1005"/>
      <c r="CO5463" s="1005"/>
      <c r="CP5463" s="1005"/>
    </row>
    <row r="5464">
      <c r="A5464" s="1257"/>
      <c r="B5464" s="1113"/>
      <c r="C5464" s="1107"/>
      <c r="D5464" s="103"/>
      <c r="E5464" s="1137"/>
      <c r="F5464" s="112"/>
      <c r="G5464" s="1110"/>
      <c r="H5464" s="1138"/>
      <c r="I5464" s="1138"/>
      <c r="J5464" s="1139"/>
      <c r="K5464" s="1111"/>
      <c r="L5464" s="1112"/>
      <c r="M5464" s="1113"/>
      <c r="N5464" s="110"/>
      <c r="O5464" s="1140"/>
      <c r="P5464" s="1115"/>
      <c r="Q5464" s="1116"/>
      <c r="R5464" s="1141"/>
      <c r="S5464" s="1113"/>
      <c r="T5464" s="1143"/>
      <c r="U5464" s="1108"/>
      <c r="V5464" s="1108"/>
      <c r="W5464" s="1108"/>
      <c r="X5464" s="1108"/>
      <c r="Y5464" s="1108"/>
      <c r="Z5464" s="1114"/>
      <c r="AA5464" s="1114"/>
      <c r="AB5464" s="1114"/>
      <c r="AC5464" s="1117"/>
      <c r="AD5464" s="1115"/>
      <c r="AE5464" s="1115"/>
      <c r="AF5464" s="1115"/>
      <c r="AG5464" s="1115"/>
      <c r="AH5464" s="1115"/>
      <c r="AI5464" s="1115"/>
      <c r="AJ5464" s="1117"/>
      <c r="AK5464" s="1118"/>
      <c r="AL5464" s="1115"/>
      <c r="AM5464" s="1115"/>
      <c r="AN5464" s="1115"/>
      <c r="AO5464" s="1115"/>
      <c r="AP5464" s="1115"/>
      <c r="AQ5464" s="1115"/>
      <c r="AR5464" s="1115"/>
      <c r="AS5464" s="1117"/>
      <c r="AT5464" s="1075"/>
      <c r="AU5464" s="1193"/>
      <c r="AV5464" s="330"/>
      <c r="AW5464" s="331"/>
      <c r="AX5464" s="331"/>
      <c r="AY5464" s="331"/>
      <c r="AZ5464" s="331"/>
      <c r="BA5464" s="331"/>
      <c r="BB5464" s="331"/>
      <c r="BC5464" s="331"/>
      <c r="BD5464" s="331"/>
      <c r="BE5464" s="333"/>
      <c r="BF5464" s="330"/>
      <c r="BG5464" s="333"/>
      <c r="BH5464" s="1119"/>
      <c r="BI5464" s="319"/>
      <c r="BJ5464" s="319"/>
      <c r="BK5464" s="319"/>
      <c r="BL5464" s="319"/>
      <c r="BM5464" s="319"/>
      <c r="BN5464" s="319"/>
      <c r="BO5464" s="319"/>
      <c r="BP5464" s="953"/>
      <c r="BQ5464" s="319"/>
      <c r="BR5464" s="319"/>
      <c r="BS5464" s="330"/>
      <c r="BT5464" s="331"/>
      <c r="BU5464" s="920"/>
      <c r="BV5464" s="903"/>
      <c r="BW5464" s="908"/>
      <c r="BX5464" s="908"/>
      <c r="BY5464" s="331"/>
      <c r="BZ5464" s="331"/>
      <c r="CA5464" s="462"/>
      <c r="CB5464" s="319"/>
      <c r="CC5464" s="319"/>
      <c r="CD5464" s="319"/>
      <c r="CE5464" s="319"/>
      <c r="CF5464" s="319"/>
      <c r="CG5464" s="319"/>
      <c r="CH5464" s="318"/>
      <c r="CI5464" s="319"/>
      <c r="CJ5464" s="319"/>
      <c r="CK5464" s="342"/>
      <c r="CL5464" s="333"/>
      <c r="CM5464" s="1079"/>
      <c r="CN5464" s="1005"/>
      <c r="CO5464" s="1005"/>
      <c r="CP5464" s="1005"/>
    </row>
    <row r="5465">
      <c r="A5465" s="1257"/>
      <c r="B5465" s="1113"/>
      <c r="C5465" s="1107"/>
      <c r="D5465" s="103"/>
      <c r="E5465" s="1137"/>
      <c r="F5465" s="112"/>
      <c r="G5465" s="1110"/>
      <c r="H5465" s="1138"/>
      <c r="I5465" s="1138"/>
      <c r="J5465" s="1139"/>
      <c r="K5465" s="1111"/>
      <c r="L5465" s="1112"/>
      <c r="M5465" s="1113"/>
      <c r="N5465" s="110"/>
      <c r="O5465" s="1140"/>
      <c r="P5465" s="1115"/>
      <c r="Q5465" s="1116"/>
      <c r="R5465" s="1141"/>
      <c r="S5465" s="1113"/>
      <c r="T5465" s="1143"/>
      <c r="U5465" s="1108"/>
      <c r="V5465" s="1108"/>
      <c r="W5465" s="1108"/>
      <c r="X5465" s="1108"/>
      <c r="Y5465" s="1108"/>
      <c r="Z5465" s="1114"/>
      <c r="AA5465" s="1114"/>
      <c r="AB5465" s="1114"/>
      <c r="AC5465" s="1117"/>
      <c r="AD5465" s="1115"/>
      <c r="AE5465" s="1115"/>
      <c r="AF5465" s="1115"/>
      <c r="AG5465" s="1115"/>
      <c r="AH5465" s="1115"/>
      <c r="AI5465" s="1115"/>
      <c r="AJ5465" s="1117"/>
      <c r="AK5465" s="1118"/>
      <c r="AL5465" s="1115"/>
      <c r="AM5465" s="1115"/>
      <c r="AN5465" s="1115"/>
      <c r="AO5465" s="1115"/>
      <c r="AP5465" s="1115"/>
      <c r="AQ5465" s="1115"/>
      <c r="AR5465" s="1115"/>
      <c r="AS5465" s="1117"/>
      <c r="AT5465" s="1075"/>
      <c r="AU5465" s="1193"/>
      <c r="AV5465" s="330"/>
      <c r="AW5465" s="331"/>
      <c r="AX5465" s="331"/>
      <c r="AY5465" s="331"/>
      <c r="AZ5465" s="331"/>
      <c r="BA5465" s="331"/>
      <c r="BB5465" s="331"/>
      <c r="BC5465" s="331"/>
      <c r="BD5465" s="331"/>
      <c r="BE5465" s="333"/>
      <c r="BF5465" s="330"/>
      <c r="BG5465" s="333"/>
      <c r="BH5465" s="1119"/>
      <c r="BI5465" s="319"/>
      <c r="BJ5465" s="319"/>
      <c r="BK5465" s="319"/>
      <c r="BL5465" s="319"/>
      <c r="BM5465" s="319"/>
      <c r="BN5465" s="319"/>
      <c r="BO5465" s="319"/>
      <c r="BP5465" s="953"/>
      <c r="BQ5465" s="319"/>
      <c r="BR5465" s="319"/>
      <c r="BS5465" s="330"/>
      <c r="BT5465" s="331"/>
      <c r="BU5465" s="920"/>
      <c r="BV5465" s="903"/>
      <c r="BW5465" s="908"/>
      <c r="BX5465" s="908"/>
      <c r="BY5465" s="331"/>
      <c r="BZ5465" s="331"/>
      <c r="CA5465" s="462"/>
      <c r="CB5465" s="319"/>
      <c r="CC5465" s="319"/>
      <c r="CD5465" s="319"/>
      <c r="CE5465" s="319"/>
      <c r="CF5465" s="319"/>
      <c r="CG5465" s="319"/>
      <c r="CH5465" s="318"/>
      <c r="CI5465" s="319"/>
      <c r="CJ5465" s="319"/>
      <c r="CK5465" s="342"/>
      <c r="CL5465" s="333"/>
      <c r="CM5465" s="1079"/>
      <c r="CN5465" s="1005"/>
      <c r="CO5465" s="1005"/>
      <c r="CP5465" s="1005"/>
    </row>
    <row r="5466">
      <c r="A5466" s="1257"/>
      <c r="B5466" s="1113"/>
      <c r="C5466" s="1107"/>
      <c r="D5466" s="103"/>
      <c r="E5466" s="1137"/>
      <c r="F5466" s="112"/>
      <c r="G5466" s="1110"/>
      <c r="H5466" s="1138"/>
      <c r="I5466" s="1138"/>
      <c r="J5466" s="1139"/>
      <c r="K5466" s="1111"/>
      <c r="L5466" s="1112"/>
      <c r="M5466" s="1113"/>
      <c r="N5466" s="110"/>
      <c r="O5466" s="1140"/>
      <c r="P5466" s="1115"/>
      <c r="Q5466" s="1116"/>
      <c r="R5466" s="1141"/>
      <c r="S5466" s="1113"/>
      <c r="T5466" s="1143"/>
      <c r="U5466" s="1108"/>
      <c r="V5466" s="1108"/>
      <c r="W5466" s="1108"/>
      <c r="X5466" s="1108"/>
      <c r="Y5466" s="1108"/>
      <c r="Z5466" s="1114"/>
      <c r="AA5466" s="1114"/>
      <c r="AB5466" s="1114"/>
      <c r="AC5466" s="1117"/>
      <c r="AD5466" s="1115"/>
      <c r="AE5466" s="1115"/>
      <c r="AF5466" s="1115"/>
      <c r="AG5466" s="1115"/>
      <c r="AH5466" s="1115"/>
      <c r="AI5466" s="1115"/>
      <c r="AJ5466" s="1117"/>
      <c r="AK5466" s="1118"/>
      <c r="AL5466" s="1115"/>
      <c r="AM5466" s="1115"/>
      <c r="AN5466" s="1115"/>
      <c r="AO5466" s="1115"/>
      <c r="AP5466" s="1115"/>
      <c r="AQ5466" s="1115"/>
      <c r="AR5466" s="1115"/>
      <c r="AS5466" s="1117"/>
      <c r="AT5466" s="1075"/>
      <c r="AU5466" s="1193"/>
      <c r="AV5466" s="330"/>
      <c r="AW5466" s="331"/>
      <c r="AX5466" s="331"/>
      <c r="AY5466" s="331"/>
      <c r="AZ5466" s="331"/>
      <c r="BA5466" s="331"/>
      <c r="BB5466" s="331"/>
      <c r="BC5466" s="331"/>
      <c r="BD5466" s="331"/>
      <c r="BE5466" s="333"/>
      <c r="BF5466" s="330"/>
      <c r="BG5466" s="333"/>
      <c r="BH5466" s="1119"/>
      <c r="BI5466" s="319"/>
      <c r="BJ5466" s="319"/>
      <c r="BK5466" s="319"/>
      <c r="BL5466" s="319"/>
      <c r="BM5466" s="319"/>
      <c r="BN5466" s="319"/>
      <c r="BO5466" s="319"/>
      <c r="BP5466" s="953"/>
      <c r="BQ5466" s="319"/>
      <c r="BR5466" s="319"/>
      <c r="BS5466" s="330"/>
      <c r="BT5466" s="331"/>
      <c r="BU5466" s="920"/>
      <c r="BV5466" s="903"/>
      <c r="BW5466" s="908"/>
      <c r="BX5466" s="908"/>
      <c r="BY5466" s="331"/>
      <c r="BZ5466" s="331"/>
      <c r="CA5466" s="462"/>
      <c r="CB5466" s="319"/>
      <c r="CC5466" s="319"/>
      <c r="CD5466" s="319"/>
      <c r="CE5466" s="319"/>
      <c r="CF5466" s="319"/>
      <c r="CG5466" s="319"/>
      <c r="CH5466" s="318"/>
      <c r="CI5466" s="319"/>
      <c r="CJ5466" s="319"/>
      <c r="CK5466" s="342"/>
      <c r="CL5466" s="333"/>
      <c r="CM5466" s="1079"/>
      <c r="CN5466" s="1005"/>
      <c r="CO5466" s="1005"/>
      <c r="CP5466" s="1005"/>
    </row>
    <row r="5467">
      <c r="A5467" s="1257"/>
      <c r="B5467" s="1113"/>
      <c r="C5467" s="1107"/>
      <c r="D5467" s="103"/>
      <c r="E5467" s="1137"/>
      <c r="F5467" s="112"/>
      <c r="G5467" s="1110"/>
      <c r="H5467" s="1138"/>
      <c r="I5467" s="1138"/>
      <c r="J5467" s="1139"/>
      <c r="K5467" s="1111"/>
      <c r="L5467" s="1112"/>
      <c r="M5467" s="1113"/>
      <c r="N5467" s="110"/>
      <c r="O5467" s="1140"/>
      <c r="P5467" s="1115"/>
      <c r="Q5467" s="1116"/>
      <c r="R5467" s="1141"/>
      <c r="S5467" s="1113"/>
      <c r="T5467" s="1143"/>
      <c r="U5467" s="1108"/>
      <c r="V5467" s="1108"/>
      <c r="W5467" s="1108"/>
      <c r="X5467" s="1108"/>
      <c r="Y5467" s="1108"/>
      <c r="Z5467" s="1114"/>
      <c r="AA5467" s="1114"/>
      <c r="AB5467" s="1114"/>
      <c r="AC5467" s="1117"/>
      <c r="AD5467" s="1115"/>
      <c r="AE5467" s="1115"/>
      <c r="AF5467" s="1115"/>
      <c r="AG5467" s="1115"/>
      <c r="AH5467" s="1115"/>
      <c r="AI5467" s="1115"/>
      <c r="AJ5467" s="1117"/>
      <c r="AK5467" s="1118"/>
      <c r="AL5467" s="1115"/>
      <c r="AM5467" s="1115"/>
      <c r="AN5467" s="1115"/>
      <c r="AO5467" s="1115"/>
      <c r="AP5467" s="1115"/>
      <c r="AQ5467" s="1115"/>
      <c r="AR5467" s="1115"/>
      <c r="AS5467" s="1117"/>
      <c r="AT5467" s="1075"/>
      <c r="AU5467" s="1193"/>
      <c r="AV5467" s="330"/>
      <c r="AW5467" s="331"/>
      <c r="AX5467" s="331"/>
      <c r="AY5467" s="331"/>
      <c r="AZ5467" s="331"/>
      <c r="BA5467" s="331"/>
      <c r="BB5467" s="331"/>
      <c r="BC5467" s="331"/>
      <c r="BD5467" s="331"/>
      <c r="BE5467" s="333"/>
      <c r="BF5467" s="330"/>
      <c r="BG5467" s="333"/>
      <c r="BH5467" s="1119"/>
      <c r="BI5467" s="319"/>
      <c r="BJ5467" s="319"/>
      <c r="BK5467" s="319"/>
      <c r="BL5467" s="319"/>
      <c r="BM5467" s="319"/>
      <c r="BN5467" s="319"/>
      <c r="BO5467" s="319"/>
      <c r="BP5467" s="953"/>
      <c r="BQ5467" s="319"/>
      <c r="BR5467" s="319"/>
      <c r="BS5467" s="330"/>
      <c r="BT5467" s="331"/>
      <c r="BU5467" s="920"/>
      <c r="BV5467" s="903"/>
      <c r="BW5467" s="908"/>
      <c r="BX5467" s="908"/>
      <c r="BY5467" s="331"/>
      <c r="BZ5467" s="331"/>
      <c r="CA5467" s="462"/>
      <c r="CB5467" s="319"/>
      <c r="CC5467" s="319"/>
      <c r="CD5467" s="319"/>
      <c r="CE5467" s="319"/>
      <c r="CF5467" s="319"/>
      <c r="CG5467" s="319"/>
      <c r="CH5467" s="318"/>
      <c r="CI5467" s="319"/>
      <c r="CJ5467" s="319"/>
      <c r="CK5467" s="342"/>
      <c r="CL5467" s="333"/>
      <c r="CM5467" s="1079"/>
      <c r="CN5467" s="1005"/>
      <c r="CO5467" s="1005"/>
      <c r="CP5467" s="1005"/>
    </row>
    <row r="5468">
      <c r="A5468" s="1257"/>
      <c r="B5468" s="1113"/>
      <c r="C5468" s="1107"/>
      <c r="D5468" s="103"/>
      <c r="E5468" s="1137"/>
      <c r="F5468" s="112"/>
      <c r="G5468" s="1110"/>
      <c r="H5468" s="1138"/>
      <c r="I5468" s="1138"/>
      <c r="J5468" s="1139"/>
      <c r="K5468" s="1111"/>
      <c r="L5468" s="1112"/>
      <c r="M5468" s="1113"/>
      <c r="N5468" s="110"/>
      <c r="O5468" s="1140"/>
      <c r="P5468" s="1115"/>
      <c r="Q5468" s="1116"/>
      <c r="R5468" s="1141"/>
      <c r="S5468" s="1113"/>
      <c r="T5468" s="1143"/>
      <c r="U5468" s="1108"/>
      <c r="V5468" s="1108"/>
      <c r="W5468" s="1108"/>
      <c r="X5468" s="1108"/>
      <c r="Y5468" s="1108"/>
      <c r="Z5468" s="1114"/>
      <c r="AA5468" s="1114"/>
      <c r="AB5468" s="1114"/>
      <c r="AC5468" s="1117"/>
      <c r="AD5468" s="1115"/>
      <c r="AE5468" s="1115"/>
      <c r="AF5468" s="1115"/>
      <c r="AG5468" s="1115"/>
      <c r="AH5468" s="1115"/>
      <c r="AI5468" s="1115"/>
      <c r="AJ5468" s="1117"/>
      <c r="AK5468" s="1118"/>
      <c r="AL5468" s="1115"/>
      <c r="AM5468" s="1115"/>
      <c r="AN5468" s="1115"/>
      <c r="AO5468" s="1115"/>
      <c r="AP5468" s="1115"/>
      <c r="AQ5468" s="1115"/>
      <c r="AR5468" s="1115"/>
      <c r="AS5468" s="1117"/>
      <c r="AT5468" s="1075"/>
      <c r="AU5468" s="1193"/>
      <c r="AV5468" s="330"/>
      <c r="AW5468" s="331"/>
      <c r="AX5468" s="331"/>
      <c r="AY5468" s="331"/>
      <c r="AZ5468" s="331"/>
      <c r="BA5468" s="331"/>
      <c r="BB5468" s="331"/>
      <c r="BC5468" s="331"/>
      <c r="BD5468" s="331"/>
      <c r="BE5468" s="333"/>
      <c r="BF5468" s="330"/>
      <c r="BG5468" s="333"/>
      <c r="BH5468" s="1119"/>
      <c r="BI5468" s="319"/>
      <c r="BJ5468" s="319"/>
      <c r="BK5468" s="319"/>
      <c r="BL5468" s="319"/>
      <c r="BM5468" s="319"/>
      <c r="BN5468" s="319"/>
      <c r="BO5468" s="319"/>
      <c r="BP5468" s="953"/>
      <c r="BQ5468" s="319"/>
      <c r="BR5468" s="319"/>
      <c r="BS5468" s="330"/>
      <c r="BT5468" s="331"/>
      <c r="BU5468" s="920"/>
      <c r="BV5468" s="903"/>
      <c r="BW5468" s="908"/>
      <c r="BX5468" s="908"/>
      <c r="BY5468" s="331"/>
      <c r="BZ5468" s="331"/>
      <c r="CA5468" s="462"/>
      <c r="CB5468" s="319"/>
      <c r="CC5468" s="319"/>
      <c r="CD5468" s="319"/>
      <c r="CE5468" s="319"/>
      <c r="CF5468" s="319"/>
      <c r="CG5468" s="319"/>
      <c r="CH5468" s="318"/>
      <c r="CI5468" s="319"/>
      <c r="CJ5468" s="319"/>
      <c r="CK5468" s="342"/>
      <c r="CL5468" s="333"/>
      <c r="CM5468" s="1079"/>
      <c r="CN5468" s="1005"/>
      <c r="CO5468" s="1005"/>
      <c r="CP5468" s="1005"/>
    </row>
    <row r="5469">
      <c r="A5469" s="1257"/>
      <c r="B5469" s="1113"/>
      <c r="C5469" s="1107"/>
      <c r="D5469" s="103"/>
      <c r="E5469" s="1137"/>
      <c r="F5469" s="112"/>
      <c r="G5469" s="1110"/>
      <c r="H5469" s="1138"/>
      <c r="I5469" s="1138"/>
      <c r="J5469" s="1139"/>
      <c r="K5469" s="1111"/>
      <c r="L5469" s="1112"/>
      <c r="M5469" s="1113"/>
      <c r="N5469" s="110"/>
      <c r="O5469" s="1140"/>
      <c r="P5469" s="1115"/>
      <c r="Q5469" s="1116"/>
      <c r="R5469" s="1141"/>
      <c r="S5469" s="1113"/>
      <c r="T5469" s="1143"/>
      <c r="U5469" s="1108"/>
      <c r="V5469" s="1108"/>
      <c r="W5469" s="1108"/>
      <c r="X5469" s="1108"/>
      <c r="Y5469" s="1108"/>
      <c r="Z5469" s="1114"/>
      <c r="AA5469" s="1114"/>
      <c r="AB5469" s="1114"/>
      <c r="AC5469" s="1117"/>
      <c r="AD5469" s="1115"/>
      <c r="AE5469" s="1115"/>
      <c r="AF5469" s="1115"/>
      <c r="AG5469" s="1115"/>
      <c r="AH5469" s="1115"/>
      <c r="AI5469" s="1115"/>
      <c r="AJ5469" s="1117"/>
      <c r="AK5469" s="1118"/>
      <c r="AL5469" s="1115"/>
      <c r="AM5469" s="1115"/>
      <c r="AN5469" s="1115"/>
      <c r="AO5469" s="1115"/>
      <c r="AP5469" s="1115"/>
      <c r="AQ5469" s="1115"/>
      <c r="AR5469" s="1115"/>
      <c r="AS5469" s="1117"/>
      <c r="AT5469" s="1075"/>
      <c r="AU5469" s="1193"/>
      <c r="AV5469" s="330"/>
      <c r="AW5469" s="331"/>
      <c r="AX5469" s="331"/>
      <c r="AY5469" s="331"/>
      <c r="AZ5469" s="331"/>
      <c r="BA5469" s="331"/>
      <c r="BB5469" s="331"/>
      <c r="BC5469" s="331"/>
      <c r="BD5469" s="331"/>
      <c r="BE5469" s="333"/>
      <c r="BF5469" s="330"/>
      <c r="BG5469" s="333"/>
      <c r="BH5469" s="1119"/>
      <c r="BI5469" s="319"/>
      <c r="BJ5469" s="319"/>
      <c r="BK5469" s="319"/>
      <c r="BL5469" s="319"/>
      <c r="BM5469" s="319"/>
      <c r="BN5469" s="319"/>
      <c r="BO5469" s="319"/>
      <c r="BP5469" s="953"/>
      <c r="BQ5469" s="319"/>
      <c r="BR5469" s="319"/>
      <c r="BS5469" s="330"/>
      <c r="BT5469" s="331"/>
      <c r="BU5469" s="920"/>
      <c r="BV5469" s="903"/>
      <c r="BW5469" s="908"/>
      <c r="BX5469" s="908"/>
      <c r="BY5469" s="331"/>
      <c r="BZ5469" s="331"/>
      <c r="CA5469" s="462"/>
      <c r="CB5469" s="319"/>
      <c r="CC5469" s="319"/>
      <c r="CD5469" s="319"/>
      <c r="CE5469" s="319"/>
      <c r="CF5469" s="319"/>
      <c r="CG5469" s="319"/>
      <c r="CH5469" s="318"/>
      <c r="CI5469" s="319"/>
      <c r="CJ5469" s="319"/>
      <c r="CK5469" s="342"/>
      <c r="CL5469" s="333"/>
      <c r="CM5469" s="1079"/>
      <c r="CN5469" s="1005"/>
      <c r="CO5469" s="1005"/>
      <c r="CP5469" s="1005"/>
    </row>
    <row r="5470">
      <c r="A5470" s="1257"/>
      <c r="B5470" s="1113"/>
      <c r="C5470" s="1107"/>
      <c r="D5470" s="103"/>
      <c r="E5470" s="1137"/>
      <c r="F5470" s="112"/>
      <c r="G5470" s="1110"/>
      <c r="H5470" s="1138"/>
      <c r="I5470" s="1138"/>
      <c r="J5470" s="1139"/>
      <c r="K5470" s="1111"/>
      <c r="L5470" s="1112"/>
      <c r="M5470" s="1113"/>
      <c r="N5470" s="110"/>
      <c r="O5470" s="1140"/>
      <c r="P5470" s="1115"/>
      <c r="Q5470" s="1116"/>
      <c r="R5470" s="1141"/>
      <c r="S5470" s="1113"/>
      <c r="T5470" s="1143"/>
      <c r="U5470" s="1108"/>
      <c r="V5470" s="1108"/>
      <c r="W5470" s="1108"/>
      <c r="X5470" s="1108"/>
      <c r="Y5470" s="1108"/>
      <c r="Z5470" s="1114"/>
      <c r="AA5470" s="1114"/>
      <c r="AB5470" s="1114"/>
      <c r="AC5470" s="1117"/>
      <c r="AD5470" s="1115"/>
      <c r="AE5470" s="1115"/>
      <c r="AF5470" s="1115"/>
      <c r="AG5470" s="1115"/>
      <c r="AH5470" s="1115"/>
      <c r="AI5470" s="1115"/>
      <c r="AJ5470" s="1117"/>
      <c r="AK5470" s="1118"/>
      <c r="AL5470" s="1115"/>
      <c r="AM5470" s="1115"/>
      <c r="AN5470" s="1115"/>
      <c r="AO5470" s="1115"/>
      <c r="AP5470" s="1115"/>
      <c r="AQ5470" s="1115"/>
      <c r="AR5470" s="1115"/>
      <c r="AS5470" s="1117"/>
      <c r="AT5470" s="1075"/>
      <c r="AU5470" s="1193"/>
      <c r="AV5470" s="330"/>
      <c r="AW5470" s="331"/>
      <c r="AX5470" s="331"/>
      <c r="AY5470" s="331"/>
      <c r="AZ5470" s="331"/>
      <c r="BA5470" s="331"/>
      <c r="BB5470" s="331"/>
      <c r="BC5470" s="331"/>
      <c r="BD5470" s="331"/>
      <c r="BE5470" s="333"/>
      <c r="BF5470" s="330"/>
      <c r="BG5470" s="333"/>
      <c r="BH5470" s="1119"/>
      <c r="BI5470" s="319"/>
      <c r="BJ5470" s="319"/>
      <c r="BK5470" s="319"/>
      <c r="BL5470" s="319"/>
      <c r="BM5470" s="319"/>
      <c r="BN5470" s="319"/>
      <c r="BO5470" s="319"/>
      <c r="BP5470" s="953"/>
      <c r="BQ5470" s="319"/>
      <c r="BR5470" s="319"/>
      <c r="BS5470" s="330"/>
      <c r="BT5470" s="331"/>
      <c r="BU5470" s="920"/>
      <c r="BV5470" s="903"/>
      <c r="BW5470" s="908"/>
      <c r="BX5470" s="908"/>
      <c r="BY5470" s="331"/>
      <c r="BZ5470" s="331"/>
      <c r="CA5470" s="462"/>
      <c r="CB5470" s="319"/>
      <c r="CC5470" s="319"/>
      <c r="CD5470" s="319"/>
      <c r="CE5470" s="319"/>
      <c r="CF5470" s="319"/>
      <c r="CG5470" s="319"/>
      <c r="CH5470" s="318"/>
      <c r="CI5470" s="319"/>
      <c r="CJ5470" s="319"/>
      <c r="CK5470" s="342"/>
      <c r="CL5470" s="333"/>
      <c r="CM5470" s="1079"/>
      <c r="CN5470" s="1005"/>
      <c r="CO5470" s="1005"/>
      <c r="CP5470" s="1005"/>
    </row>
    <row r="5471">
      <c r="A5471" s="1257"/>
      <c r="B5471" s="1113"/>
      <c r="C5471" s="1107"/>
      <c r="D5471" s="103"/>
      <c r="E5471" s="1137"/>
      <c r="F5471" s="112"/>
      <c r="G5471" s="1110"/>
      <c r="H5471" s="1138"/>
      <c r="I5471" s="1138"/>
      <c r="J5471" s="1139"/>
      <c r="K5471" s="1111"/>
      <c r="L5471" s="1112"/>
      <c r="M5471" s="1113"/>
      <c r="N5471" s="110"/>
      <c r="O5471" s="1140"/>
      <c r="P5471" s="1115"/>
      <c r="Q5471" s="1116"/>
      <c r="R5471" s="1141"/>
      <c r="S5471" s="1113"/>
      <c r="T5471" s="1143"/>
      <c r="U5471" s="1108"/>
      <c r="V5471" s="1108"/>
      <c r="W5471" s="1108"/>
      <c r="X5471" s="1108"/>
      <c r="Y5471" s="1108"/>
      <c r="Z5471" s="1114"/>
      <c r="AA5471" s="1114"/>
      <c r="AB5471" s="1114"/>
      <c r="AC5471" s="1117"/>
      <c r="AD5471" s="1115"/>
      <c r="AE5471" s="1115"/>
      <c r="AF5471" s="1115"/>
      <c r="AG5471" s="1115"/>
      <c r="AH5471" s="1115"/>
      <c r="AI5471" s="1115"/>
      <c r="AJ5471" s="1117"/>
      <c r="AK5471" s="1118"/>
      <c r="AL5471" s="1115"/>
      <c r="AM5471" s="1115"/>
      <c r="AN5471" s="1115"/>
      <c r="AO5471" s="1115"/>
      <c r="AP5471" s="1115"/>
      <c r="AQ5471" s="1115"/>
      <c r="AR5471" s="1115"/>
      <c r="AS5471" s="1117"/>
      <c r="AT5471" s="1075"/>
      <c r="AU5471" s="1193"/>
      <c r="AV5471" s="330"/>
      <c r="AW5471" s="331"/>
      <c r="AX5471" s="331"/>
      <c r="AY5471" s="331"/>
      <c r="AZ5471" s="331"/>
      <c r="BA5471" s="331"/>
      <c r="BB5471" s="331"/>
      <c r="BC5471" s="331"/>
      <c r="BD5471" s="331"/>
      <c r="BE5471" s="333"/>
      <c r="BF5471" s="330"/>
      <c r="BG5471" s="333"/>
      <c r="BH5471" s="1119"/>
      <c r="BI5471" s="319"/>
      <c r="BJ5471" s="319"/>
      <c r="BK5471" s="319"/>
      <c r="BL5471" s="319"/>
      <c r="BM5471" s="319"/>
      <c r="BN5471" s="319"/>
      <c r="BO5471" s="319"/>
      <c r="BP5471" s="953"/>
      <c r="BQ5471" s="319"/>
      <c r="BR5471" s="319"/>
      <c r="BS5471" s="330"/>
      <c r="BT5471" s="331"/>
      <c r="BU5471" s="920"/>
      <c r="BV5471" s="903"/>
      <c r="BW5471" s="908"/>
      <c r="BX5471" s="908"/>
      <c r="BY5471" s="331"/>
      <c r="BZ5471" s="331"/>
      <c r="CA5471" s="462"/>
      <c r="CB5471" s="319"/>
      <c r="CC5471" s="319"/>
      <c r="CD5471" s="319"/>
      <c r="CE5471" s="319"/>
      <c r="CF5471" s="319"/>
      <c r="CG5471" s="319"/>
      <c r="CH5471" s="318"/>
      <c r="CI5471" s="319"/>
      <c r="CJ5471" s="319"/>
      <c r="CK5471" s="342"/>
      <c r="CL5471" s="333"/>
      <c r="CM5471" s="1079"/>
      <c r="CN5471" s="1005"/>
      <c r="CO5471" s="1005"/>
      <c r="CP5471" s="1005"/>
    </row>
    <row r="5472">
      <c r="A5472" s="1257"/>
      <c r="B5472" s="1113"/>
      <c r="C5472" s="1107"/>
      <c r="D5472" s="103"/>
      <c r="E5472" s="1137"/>
      <c r="F5472" s="112"/>
      <c r="G5472" s="1110"/>
      <c r="H5472" s="1138"/>
      <c r="I5472" s="1138"/>
      <c r="J5472" s="1139"/>
      <c r="K5472" s="1111"/>
      <c r="L5472" s="1112"/>
      <c r="M5472" s="1113"/>
      <c r="N5472" s="110"/>
      <c r="O5472" s="1140"/>
      <c r="P5472" s="1115"/>
      <c r="Q5472" s="1116"/>
      <c r="R5472" s="1141"/>
      <c r="S5472" s="1113"/>
      <c r="T5472" s="1143"/>
      <c r="U5472" s="1108"/>
      <c r="V5472" s="1108"/>
      <c r="W5472" s="1108"/>
      <c r="X5472" s="1108"/>
      <c r="Y5472" s="1108"/>
      <c r="Z5472" s="1114"/>
      <c r="AA5472" s="1114"/>
      <c r="AB5472" s="1114"/>
      <c r="AC5472" s="1117"/>
      <c r="AD5472" s="1115"/>
      <c r="AE5472" s="1115"/>
      <c r="AF5472" s="1115"/>
      <c r="AG5472" s="1115"/>
      <c r="AH5472" s="1115"/>
      <c r="AI5472" s="1115"/>
      <c r="AJ5472" s="1117"/>
      <c r="AK5472" s="1118"/>
      <c r="AL5472" s="1115"/>
      <c r="AM5472" s="1115"/>
      <c r="AN5472" s="1115"/>
      <c r="AO5472" s="1115"/>
      <c r="AP5472" s="1115"/>
      <c r="AQ5472" s="1115"/>
      <c r="AR5472" s="1115"/>
      <c r="AS5472" s="1117"/>
      <c r="AT5472" s="1075"/>
      <c r="AU5472" s="1193"/>
      <c r="AV5472" s="330"/>
      <c r="AW5472" s="331"/>
      <c r="AX5472" s="331"/>
      <c r="AY5472" s="331"/>
      <c r="AZ5472" s="331"/>
      <c r="BA5472" s="331"/>
      <c r="BB5472" s="331"/>
      <c r="BC5472" s="331"/>
      <c r="BD5472" s="331"/>
      <c r="BE5472" s="333"/>
      <c r="BF5472" s="330"/>
      <c r="BG5472" s="333"/>
      <c r="BH5472" s="1119"/>
      <c r="BI5472" s="319"/>
      <c r="BJ5472" s="319"/>
      <c r="BK5472" s="319"/>
      <c r="BL5472" s="319"/>
      <c r="BM5472" s="319"/>
      <c r="BN5472" s="319"/>
      <c r="BO5472" s="319"/>
      <c r="BP5472" s="953"/>
      <c r="BQ5472" s="319"/>
      <c r="BR5472" s="319"/>
      <c r="BS5472" s="330"/>
      <c r="BT5472" s="331"/>
      <c r="BU5472" s="920"/>
      <c r="BV5472" s="903"/>
      <c r="BW5472" s="908"/>
      <c r="BX5472" s="908"/>
      <c r="BY5472" s="331"/>
      <c r="BZ5472" s="331"/>
      <c r="CA5472" s="462"/>
      <c r="CB5472" s="319"/>
      <c r="CC5472" s="319"/>
      <c r="CD5472" s="319"/>
      <c r="CE5472" s="319"/>
      <c r="CF5472" s="319"/>
      <c r="CG5472" s="319"/>
      <c r="CH5472" s="318"/>
      <c r="CI5472" s="319"/>
      <c r="CJ5472" s="319"/>
      <c r="CK5472" s="342"/>
      <c r="CL5472" s="333"/>
      <c r="CM5472" s="1079"/>
      <c r="CN5472" s="1005"/>
      <c r="CO5472" s="1005"/>
      <c r="CP5472" s="1005"/>
    </row>
    <row r="5473">
      <c r="A5473" s="1257"/>
      <c r="B5473" s="1113"/>
      <c r="C5473" s="1107"/>
      <c r="D5473" s="103"/>
      <c r="E5473" s="1137"/>
      <c r="F5473" s="112"/>
      <c r="G5473" s="1110"/>
      <c r="H5473" s="1138"/>
      <c r="I5473" s="1138"/>
      <c r="J5473" s="1139"/>
      <c r="K5473" s="1111"/>
      <c r="L5473" s="1112"/>
      <c r="M5473" s="1113"/>
      <c r="N5473" s="110"/>
      <c r="O5473" s="1140"/>
      <c r="P5473" s="1115"/>
      <c r="Q5473" s="1116"/>
      <c r="R5473" s="1141"/>
      <c r="S5473" s="1113"/>
      <c r="T5473" s="1143"/>
      <c r="U5473" s="1108"/>
      <c r="V5473" s="1108"/>
      <c r="W5473" s="1108"/>
      <c r="X5473" s="1108"/>
      <c r="Y5473" s="1108"/>
      <c r="Z5473" s="1114"/>
      <c r="AA5473" s="1114"/>
      <c r="AB5473" s="1114"/>
      <c r="AC5473" s="1117"/>
      <c r="AD5473" s="1115"/>
      <c r="AE5473" s="1115"/>
      <c r="AF5473" s="1115"/>
      <c r="AG5473" s="1115"/>
      <c r="AH5473" s="1115"/>
      <c r="AI5473" s="1115"/>
      <c r="AJ5473" s="1117"/>
      <c r="AK5473" s="1118"/>
      <c r="AL5473" s="1115"/>
      <c r="AM5473" s="1115"/>
      <c r="AN5473" s="1115"/>
      <c r="AO5473" s="1115"/>
      <c r="AP5473" s="1115"/>
      <c r="AQ5473" s="1115"/>
      <c r="AR5473" s="1115"/>
      <c r="AS5473" s="1117"/>
      <c r="AT5473" s="1075"/>
      <c r="AU5473" s="1193"/>
      <c r="AV5473" s="330"/>
      <c r="AW5473" s="331"/>
      <c r="AX5473" s="331"/>
      <c r="AY5473" s="331"/>
      <c r="AZ5473" s="331"/>
      <c r="BA5473" s="331"/>
      <c r="BB5473" s="331"/>
      <c r="BC5473" s="331"/>
      <c r="BD5473" s="331"/>
      <c r="BE5473" s="333"/>
      <c r="BF5473" s="330"/>
      <c r="BG5473" s="333"/>
      <c r="BH5473" s="1119"/>
      <c r="BI5473" s="319"/>
      <c r="BJ5473" s="319"/>
      <c r="BK5473" s="319"/>
      <c r="BL5473" s="319"/>
      <c r="BM5473" s="319"/>
      <c r="BN5473" s="319"/>
      <c r="BO5473" s="319"/>
      <c r="BP5473" s="953"/>
      <c r="BQ5473" s="319"/>
      <c r="BR5473" s="319"/>
      <c r="BS5473" s="330"/>
      <c r="BT5473" s="331"/>
      <c r="BU5473" s="920"/>
      <c r="BV5473" s="903"/>
      <c r="BW5473" s="908"/>
      <c r="BX5473" s="908"/>
      <c r="BY5473" s="331"/>
      <c r="BZ5473" s="331"/>
      <c r="CA5473" s="462"/>
      <c r="CB5473" s="319"/>
      <c r="CC5473" s="319"/>
      <c r="CD5473" s="319"/>
      <c r="CE5473" s="319"/>
      <c r="CF5473" s="319"/>
      <c r="CG5473" s="319"/>
      <c r="CH5473" s="318"/>
      <c r="CI5473" s="319"/>
      <c r="CJ5473" s="319"/>
      <c r="CK5473" s="342"/>
      <c r="CL5473" s="333"/>
      <c r="CM5473" s="1079"/>
      <c r="CN5473" s="1005"/>
      <c r="CO5473" s="1005"/>
      <c r="CP5473" s="1005"/>
    </row>
    <row r="5474">
      <c r="A5474" s="1257"/>
      <c r="B5474" s="1113"/>
      <c r="C5474" s="1107"/>
      <c r="D5474" s="103"/>
      <c r="E5474" s="1137"/>
      <c r="F5474" s="112"/>
      <c r="G5474" s="1110"/>
      <c r="H5474" s="1138"/>
      <c r="I5474" s="1138"/>
      <c r="J5474" s="1139"/>
      <c r="K5474" s="1111"/>
      <c r="L5474" s="1112"/>
      <c r="M5474" s="1113"/>
      <c r="N5474" s="110"/>
      <c r="O5474" s="1140"/>
      <c r="P5474" s="1115"/>
      <c r="Q5474" s="1116"/>
      <c r="R5474" s="1141"/>
      <c r="S5474" s="1113"/>
      <c r="T5474" s="1143"/>
      <c r="U5474" s="1108"/>
      <c r="V5474" s="1108"/>
      <c r="W5474" s="1108"/>
      <c r="X5474" s="1108"/>
      <c r="Y5474" s="1108"/>
      <c r="Z5474" s="1114"/>
      <c r="AA5474" s="1114"/>
      <c r="AB5474" s="1114"/>
      <c r="AC5474" s="1117"/>
      <c r="AD5474" s="1115"/>
      <c r="AE5474" s="1115"/>
      <c r="AF5474" s="1115"/>
      <c r="AG5474" s="1115"/>
      <c r="AH5474" s="1115"/>
      <c r="AI5474" s="1115"/>
      <c r="AJ5474" s="1117"/>
      <c r="AK5474" s="1118"/>
      <c r="AL5474" s="1115"/>
      <c r="AM5474" s="1115"/>
      <c r="AN5474" s="1115"/>
      <c r="AO5474" s="1115"/>
      <c r="AP5474" s="1115"/>
      <c r="AQ5474" s="1115"/>
      <c r="AR5474" s="1115"/>
      <c r="AS5474" s="1117"/>
      <c r="AT5474" s="1075"/>
      <c r="AU5474" s="1193"/>
      <c r="AV5474" s="330"/>
      <c r="AW5474" s="331"/>
      <c r="AX5474" s="331"/>
      <c r="AY5474" s="331"/>
      <c r="AZ5474" s="331"/>
      <c r="BA5474" s="331"/>
      <c r="BB5474" s="331"/>
      <c r="BC5474" s="331"/>
      <c r="BD5474" s="331"/>
      <c r="BE5474" s="333"/>
      <c r="BF5474" s="330"/>
      <c r="BG5474" s="333"/>
      <c r="BH5474" s="1119"/>
      <c r="BI5474" s="319"/>
      <c r="BJ5474" s="319"/>
      <c r="BK5474" s="319"/>
      <c r="BL5474" s="319"/>
      <c r="BM5474" s="319"/>
      <c r="BN5474" s="319"/>
      <c r="BO5474" s="319"/>
      <c r="BP5474" s="953"/>
      <c r="BQ5474" s="319"/>
      <c r="BR5474" s="319"/>
      <c r="BS5474" s="330"/>
      <c r="BT5474" s="331"/>
      <c r="BU5474" s="920"/>
      <c r="BV5474" s="903"/>
      <c r="BW5474" s="908"/>
      <c r="BX5474" s="908"/>
      <c r="BY5474" s="331"/>
      <c r="BZ5474" s="331"/>
      <c r="CA5474" s="462"/>
      <c r="CB5474" s="319"/>
      <c r="CC5474" s="319"/>
      <c r="CD5474" s="319"/>
      <c r="CE5474" s="319"/>
      <c r="CF5474" s="319"/>
      <c r="CG5474" s="319"/>
      <c r="CH5474" s="318"/>
      <c r="CI5474" s="319"/>
      <c r="CJ5474" s="319"/>
      <c r="CK5474" s="342"/>
      <c r="CL5474" s="333"/>
      <c r="CM5474" s="1079"/>
      <c r="CN5474" s="1005"/>
      <c r="CO5474" s="1005"/>
      <c r="CP5474" s="1005"/>
    </row>
    <row r="5475">
      <c r="A5475" s="1257"/>
      <c r="B5475" s="1113"/>
      <c r="C5475" s="1107"/>
      <c r="D5475" s="103"/>
      <c r="E5475" s="1137"/>
      <c r="F5475" s="112"/>
      <c r="G5475" s="1110"/>
      <c r="H5475" s="1138"/>
      <c r="I5475" s="1138"/>
      <c r="J5475" s="1139"/>
      <c r="K5475" s="1111"/>
      <c r="L5475" s="1112"/>
      <c r="M5475" s="1113"/>
      <c r="N5475" s="110"/>
      <c r="O5475" s="1140"/>
      <c r="P5475" s="1115"/>
      <c r="Q5475" s="1116"/>
      <c r="R5475" s="1141"/>
      <c r="S5475" s="1113"/>
      <c r="T5475" s="1143"/>
      <c r="U5475" s="1108"/>
      <c r="V5475" s="1108"/>
      <c r="W5475" s="1108"/>
      <c r="X5475" s="1108"/>
      <c r="Y5475" s="1108"/>
      <c r="Z5475" s="1114"/>
      <c r="AA5475" s="1114"/>
      <c r="AB5475" s="1114"/>
      <c r="AC5475" s="1117"/>
      <c r="AD5475" s="1115"/>
      <c r="AE5475" s="1115"/>
      <c r="AF5475" s="1115"/>
      <c r="AG5475" s="1115"/>
      <c r="AH5475" s="1115"/>
      <c r="AI5475" s="1115"/>
      <c r="AJ5475" s="1117"/>
      <c r="AK5475" s="1118"/>
      <c r="AL5475" s="1115"/>
      <c r="AM5475" s="1115"/>
      <c r="AN5475" s="1115"/>
      <c r="AO5475" s="1115"/>
      <c r="AP5475" s="1115"/>
      <c r="AQ5475" s="1115"/>
      <c r="AR5475" s="1115"/>
      <c r="AS5475" s="1117"/>
      <c r="AT5475" s="1075"/>
      <c r="AU5475" s="1193"/>
      <c r="AV5475" s="330"/>
      <c r="AW5475" s="331"/>
      <c r="AX5475" s="331"/>
      <c r="AY5475" s="331"/>
      <c r="AZ5475" s="331"/>
      <c r="BA5475" s="331"/>
      <c r="BB5475" s="331"/>
      <c r="BC5475" s="331"/>
      <c r="BD5475" s="331"/>
      <c r="BE5475" s="333"/>
      <c r="BF5475" s="330"/>
      <c r="BG5475" s="333"/>
      <c r="BH5475" s="1119"/>
      <c r="BI5475" s="319"/>
      <c r="BJ5475" s="319"/>
      <c r="BK5475" s="319"/>
      <c r="BL5475" s="319"/>
      <c r="BM5475" s="319"/>
      <c r="BN5475" s="319"/>
      <c r="BO5475" s="319"/>
      <c r="BP5475" s="953"/>
      <c r="BQ5475" s="319"/>
      <c r="BR5475" s="319"/>
      <c r="BS5475" s="330"/>
      <c r="BT5475" s="331"/>
      <c r="BU5475" s="920"/>
      <c r="BV5475" s="903"/>
      <c r="BW5475" s="908"/>
      <c r="BX5475" s="908"/>
      <c r="BY5475" s="331"/>
      <c r="BZ5475" s="331"/>
      <c r="CA5475" s="462"/>
      <c r="CB5475" s="319"/>
      <c r="CC5475" s="319"/>
      <c r="CD5475" s="319"/>
      <c r="CE5475" s="319"/>
      <c r="CF5475" s="319"/>
      <c r="CG5475" s="319"/>
      <c r="CH5475" s="318"/>
      <c r="CI5475" s="319"/>
      <c r="CJ5475" s="319"/>
      <c r="CK5475" s="342"/>
      <c r="CL5475" s="333"/>
      <c r="CM5475" s="1079"/>
      <c r="CN5475" s="1005"/>
      <c r="CO5475" s="1005"/>
      <c r="CP5475" s="1005"/>
    </row>
    <row r="5476">
      <c r="A5476" s="1257"/>
      <c r="B5476" s="1113"/>
      <c r="C5476" s="1107"/>
      <c r="D5476" s="103"/>
      <c r="E5476" s="1137"/>
      <c r="F5476" s="112"/>
      <c r="G5476" s="1110"/>
      <c r="H5476" s="1138"/>
      <c r="I5476" s="1138"/>
      <c r="J5476" s="1139"/>
      <c r="K5476" s="1111"/>
      <c r="L5476" s="1112"/>
      <c r="M5476" s="1113"/>
      <c r="N5476" s="110"/>
      <c r="O5476" s="1140"/>
      <c r="P5476" s="1115"/>
      <c r="Q5476" s="1116"/>
      <c r="R5476" s="1141"/>
      <c r="S5476" s="1113"/>
      <c r="T5476" s="1143"/>
      <c r="U5476" s="1108"/>
      <c r="V5476" s="1108"/>
      <c r="W5476" s="1108"/>
      <c r="X5476" s="1108"/>
      <c r="Y5476" s="1108"/>
      <c r="Z5476" s="1114"/>
      <c r="AA5476" s="1114"/>
      <c r="AB5476" s="1114"/>
      <c r="AC5476" s="1117"/>
      <c r="AD5476" s="1115"/>
      <c r="AE5476" s="1115"/>
      <c r="AF5476" s="1115"/>
      <c r="AG5476" s="1115"/>
      <c r="AH5476" s="1115"/>
      <c r="AI5476" s="1115"/>
      <c r="AJ5476" s="1117"/>
      <c r="AK5476" s="1118"/>
      <c r="AL5476" s="1115"/>
      <c r="AM5476" s="1115"/>
      <c r="AN5476" s="1115"/>
      <c r="AO5476" s="1115"/>
      <c r="AP5476" s="1115"/>
      <c r="AQ5476" s="1115"/>
      <c r="AR5476" s="1115"/>
      <c r="AS5476" s="1117"/>
      <c r="AT5476" s="1075"/>
      <c r="AU5476" s="1193"/>
      <c r="AV5476" s="330"/>
      <c r="AW5476" s="331"/>
      <c r="AX5476" s="331"/>
      <c r="AY5476" s="331"/>
      <c r="AZ5476" s="331"/>
      <c r="BA5476" s="331"/>
      <c r="BB5476" s="331"/>
      <c r="BC5476" s="331"/>
      <c r="BD5476" s="331"/>
      <c r="BE5476" s="333"/>
      <c r="BF5476" s="330"/>
      <c r="BG5476" s="333"/>
      <c r="BH5476" s="1119"/>
      <c r="BI5476" s="319"/>
      <c r="BJ5476" s="319"/>
      <c r="BK5476" s="319"/>
      <c r="BL5476" s="319"/>
      <c r="BM5476" s="319"/>
      <c r="BN5476" s="319"/>
      <c r="BO5476" s="319"/>
      <c r="BP5476" s="953"/>
      <c r="BQ5476" s="319"/>
      <c r="BR5476" s="319"/>
      <c r="BS5476" s="330"/>
      <c r="BT5476" s="331"/>
      <c r="BU5476" s="920"/>
      <c r="BV5476" s="903"/>
      <c r="BW5476" s="908"/>
      <c r="BX5476" s="908"/>
      <c r="BY5476" s="331"/>
      <c r="BZ5476" s="331"/>
      <c r="CA5476" s="462"/>
      <c r="CB5476" s="319"/>
      <c r="CC5476" s="319"/>
      <c r="CD5476" s="319"/>
      <c r="CE5476" s="319"/>
      <c r="CF5476" s="319"/>
      <c r="CG5476" s="319"/>
      <c r="CH5476" s="318"/>
      <c r="CI5476" s="319"/>
      <c r="CJ5476" s="319"/>
      <c r="CK5476" s="342"/>
      <c r="CL5476" s="333"/>
      <c r="CM5476" s="1079"/>
      <c r="CN5476" s="1005"/>
      <c r="CO5476" s="1005"/>
      <c r="CP5476" s="1005"/>
    </row>
    <row r="5477">
      <c r="A5477" s="1257"/>
      <c r="B5477" s="1113"/>
      <c r="C5477" s="1107"/>
      <c r="D5477" s="103"/>
      <c r="E5477" s="1137"/>
      <c r="F5477" s="112"/>
      <c r="G5477" s="1110"/>
      <c r="H5477" s="1138"/>
      <c r="I5477" s="1138"/>
      <c r="J5477" s="1139"/>
      <c r="K5477" s="1111"/>
      <c r="L5477" s="1112"/>
      <c r="M5477" s="1113"/>
      <c r="N5477" s="110"/>
      <c r="O5477" s="1140"/>
      <c r="P5477" s="1115"/>
      <c r="Q5477" s="1116"/>
      <c r="R5477" s="1141"/>
      <c r="S5477" s="1113"/>
      <c r="T5477" s="1143"/>
      <c r="U5477" s="1108"/>
      <c r="V5477" s="1108"/>
      <c r="W5477" s="1108"/>
      <c r="X5477" s="1108"/>
      <c r="Y5477" s="1108"/>
      <c r="Z5477" s="1114"/>
      <c r="AA5477" s="1114"/>
      <c r="AB5477" s="1114"/>
      <c r="AC5477" s="1117"/>
      <c r="AD5477" s="1115"/>
      <c r="AE5477" s="1115"/>
      <c r="AF5477" s="1115"/>
      <c r="AG5477" s="1115"/>
      <c r="AH5477" s="1115"/>
      <c r="AI5477" s="1115"/>
      <c r="AJ5477" s="1117"/>
      <c r="AK5477" s="1118"/>
      <c r="AL5477" s="1115"/>
      <c r="AM5477" s="1115"/>
      <c r="AN5477" s="1115"/>
      <c r="AO5477" s="1115"/>
      <c r="AP5477" s="1115"/>
      <c r="AQ5477" s="1115"/>
      <c r="AR5477" s="1115"/>
      <c r="AS5477" s="1117"/>
      <c r="AT5477" s="1075"/>
      <c r="AU5477" s="1193"/>
      <c r="AV5477" s="330"/>
      <c r="AW5477" s="331"/>
      <c r="AX5477" s="331"/>
      <c r="AY5477" s="331"/>
      <c r="AZ5477" s="331"/>
      <c r="BA5477" s="331"/>
      <c r="BB5477" s="331"/>
      <c r="BC5477" s="331"/>
      <c r="BD5477" s="331"/>
      <c r="BE5477" s="333"/>
      <c r="BF5477" s="330"/>
      <c r="BG5477" s="333"/>
      <c r="BH5477" s="1119"/>
      <c r="BI5477" s="319"/>
      <c r="BJ5477" s="319"/>
      <c r="BK5477" s="319"/>
      <c r="BL5477" s="319"/>
      <c r="BM5477" s="319"/>
      <c r="BN5477" s="319"/>
      <c r="BO5477" s="319"/>
      <c r="BP5477" s="953"/>
      <c r="BQ5477" s="319"/>
      <c r="BR5477" s="319"/>
      <c r="BS5477" s="330"/>
      <c r="BT5477" s="331"/>
      <c r="BU5477" s="920"/>
      <c r="BV5477" s="903"/>
      <c r="BW5477" s="908"/>
      <c r="BX5477" s="908"/>
      <c r="BY5477" s="331"/>
      <c r="BZ5477" s="331"/>
      <c r="CA5477" s="462"/>
      <c r="CB5477" s="319"/>
      <c r="CC5477" s="319"/>
      <c r="CD5477" s="319"/>
      <c r="CE5477" s="319"/>
      <c r="CF5477" s="319"/>
      <c r="CG5477" s="319"/>
      <c r="CH5477" s="318"/>
      <c r="CI5477" s="319"/>
      <c r="CJ5477" s="319"/>
      <c r="CK5477" s="342"/>
      <c r="CL5477" s="333"/>
      <c r="CM5477" s="1079"/>
      <c r="CN5477" s="1005"/>
      <c r="CO5477" s="1005"/>
      <c r="CP5477" s="1005"/>
    </row>
    <row r="5478">
      <c r="A5478" s="1257"/>
      <c r="B5478" s="1113"/>
      <c r="C5478" s="1107"/>
      <c r="D5478" s="103"/>
      <c r="E5478" s="1137"/>
      <c r="F5478" s="112"/>
      <c r="G5478" s="1110"/>
      <c r="H5478" s="1138"/>
      <c r="I5478" s="1138"/>
      <c r="J5478" s="1139"/>
      <c r="K5478" s="1111"/>
      <c r="L5478" s="1112"/>
      <c r="M5478" s="1113"/>
      <c r="N5478" s="110"/>
      <c r="O5478" s="1140"/>
      <c r="P5478" s="1115"/>
      <c r="Q5478" s="1116"/>
      <c r="R5478" s="1141"/>
      <c r="S5478" s="1113"/>
      <c r="T5478" s="1143"/>
      <c r="U5478" s="1108"/>
      <c r="V5478" s="1108"/>
      <c r="W5478" s="1108"/>
      <c r="X5478" s="1108"/>
      <c r="Y5478" s="1108"/>
      <c r="Z5478" s="1114"/>
      <c r="AA5478" s="1114"/>
      <c r="AB5478" s="1114"/>
      <c r="AC5478" s="1117"/>
      <c r="AD5478" s="1115"/>
      <c r="AE5478" s="1115"/>
      <c r="AF5478" s="1115"/>
      <c r="AG5478" s="1115"/>
      <c r="AH5478" s="1115"/>
      <c r="AI5478" s="1115"/>
      <c r="AJ5478" s="1117"/>
      <c r="AK5478" s="1118"/>
      <c r="AL5478" s="1115"/>
      <c r="AM5478" s="1115"/>
      <c r="AN5478" s="1115"/>
      <c r="AO5478" s="1115"/>
      <c r="AP5478" s="1115"/>
      <c r="AQ5478" s="1115"/>
      <c r="AR5478" s="1115"/>
      <c r="AS5478" s="1117"/>
      <c r="AT5478" s="1075"/>
      <c r="AU5478" s="1193"/>
      <c r="AV5478" s="330"/>
      <c r="AW5478" s="331"/>
      <c r="AX5478" s="331"/>
      <c r="AY5478" s="331"/>
      <c r="AZ5478" s="331"/>
      <c r="BA5478" s="331"/>
      <c r="BB5478" s="331"/>
      <c r="BC5478" s="331"/>
      <c r="BD5478" s="331"/>
      <c r="BE5478" s="333"/>
      <c r="BF5478" s="330"/>
      <c r="BG5478" s="333"/>
      <c r="BH5478" s="1119"/>
      <c r="BI5478" s="319"/>
      <c r="BJ5478" s="319"/>
      <c r="BK5478" s="319"/>
      <c r="BL5478" s="319"/>
      <c r="BM5478" s="319"/>
      <c r="BN5478" s="319"/>
      <c r="BO5478" s="319"/>
      <c r="BP5478" s="953"/>
      <c r="BQ5478" s="319"/>
      <c r="BR5478" s="319"/>
      <c r="BS5478" s="330"/>
      <c r="BT5478" s="331"/>
      <c r="BU5478" s="920"/>
      <c r="BV5478" s="903"/>
      <c r="BW5478" s="908"/>
      <c r="BX5478" s="908"/>
      <c r="BY5478" s="331"/>
      <c r="BZ5478" s="331"/>
      <c r="CA5478" s="462"/>
      <c r="CB5478" s="319"/>
      <c r="CC5478" s="319"/>
      <c r="CD5478" s="319"/>
      <c r="CE5478" s="319"/>
      <c r="CF5478" s="319"/>
      <c r="CG5478" s="319"/>
      <c r="CH5478" s="318"/>
      <c r="CI5478" s="319"/>
      <c r="CJ5478" s="319"/>
      <c r="CK5478" s="342"/>
      <c r="CL5478" s="333"/>
      <c r="CM5478" s="1079"/>
      <c r="CN5478" s="1005"/>
      <c r="CO5478" s="1005"/>
      <c r="CP5478" s="1005"/>
    </row>
    <row r="5479">
      <c r="A5479" s="1257"/>
      <c r="B5479" s="1113"/>
      <c r="C5479" s="1107"/>
      <c r="D5479" s="103"/>
      <c r="E5479" s="1137"/>
      <c r="F5479" s="112"/>
      <c r="G5479" s="1110"/>
      <c r="H5479" s="1138"/>
      <c r="I5479" s="1138"/>
      <c r="J5479" s="1139"/>
      <c r="K5479" s="1111"/>
      <c r="L5479" s="1112"/>
      <c r="M5479" s="1113"/>
      <c r="N5479" s="110"/>
      <c r="O5479" s="1140"/>
      <c r="P5479" s="1115"/>
      <c r="Q5479" s="1116"/>
      <c r="R5479" s="1141"/>
      <c r="S5479" s="1113"/>
      <c r="T5479" s="1143"/>
      <c r="U5479" s="1108"/>
      <c r="V5479" s="1108"/>
      <c r="W5479" s="1108"/>
      <c r="X5479" s="1108"/>
      <c r="Y5479" s="1108"/>
      <c r="Z5479" s="1114"/>
      <c r="AA5479" s="1114"/>
      <c r="AB5479" s="1114"/>
      <c r="AC5479" s="1117"/>
      <c r="AD5479" s="1115"/>
      <c r="AE5479" s="1115"/>
      <c r="AF5479" s="1115"/>
      <c r="AG5479" s="1115"/>
      <c r="AH5479" s="1115"/>
      <c r="AI5479" s="1115"/>
      <c r="AJ5479" s="1117"/>
      <c r="AK5479" s="1118"/>
      <c r="AL5479" s="1115"/>
      <c r="AM5479" s="1115"/>
      <c r="AN5479" s="1115"/>
      <c r="AO5479" s="1115"/>
      <c r="AP5479" s="1115"/>
      <c r="AQ5479" s="1115"/>
      <c r="AR5479" s="1115"/>
      <c r="AS5479" s="1117"/>
      <c r="AT5479" s="1075"/>
      <c r="AU5479" s="1193"/>
      <c r="AV5479" s="330"/>
      <c r="AW5479" s="331"/>
      <c r="AX5479" s="331"/>
      <c r="AY5479" s="331"/>
      <c r="AZ5479" s="331"/>
      <c r="BA5479" s="331"/>
      <c r="BB5479" s="331"/>
      <c r="BC5479" s="331"/>
      <c r="BD5479" s="331"/>
      <c r="BE5479" s="333"/>
      <c r="BF5479" s="330"/>
      <c r="BG5479" s="333"/>
      <c r="BH5479" s="1119"/>
      <c r="BI5479" s="319"/>
      <c r="BJ5479" s="319"/>
      <c r="BK5479" s="319"/>
      <c r="BL5479" s="319"/>
      <c r="BM5479" s="319"/>
      <c r="BN5479" s="319"/>
      <c r="BO5479" s="319"/>
      <c r="BP5479" s="953"/>
      <c r="BQ5479" s="319"/>
      <c r="BR5479" s="319"/>
      <c r="BS5479" s="330"/>
      <c r="BT5479" s="331"/>
      <c r="BU5479" s="920"/>
      <c r="BV5479" s="903"/>
      <c r="BW5479" s="908"/>
      <c r="BX5479" s="908"/>
      <c r="BY5479" s="331"/>
      <c r="BZ5479" s="331"/>
      <c r="CA5479" s="462"/>
      <c r="CB5479" s="319"/>
      <c r="CC5479" s="319"/>
      <c r="CD5479" s="319"/>
      <c r="CE5479" s="319"/>
      <c r="CF5479" s="319"/>
      <c r="CG5479" s="319"/>
      <c r="CH5479" s="318"/>
      <c r="CI5479" s="319"/>
      <c r="CJ5479" s="319"/>
      <c r="CK5479" s="342"/>
      <c r="CL5479" s="333"/>
      <c r="CM5479" s="1079"/>
      <c r="CN5479" s="1005"/>
      <c r="CO5479" s="1005"/>
      <c r="CP5479" s="1005"/>
    </row>
    <row r="5480">
      <c r="A5480" s="1257"/>
      <c r="B5480" s="1113"/>
      <c r="C5480" s="1107"/>
      <c r="D5480" s="103"/>
      <c r="E5480" s="1137"/>
      <c r="F5480" s="112"/>
      <c r="G5480" s="1110"/>
      <c r="H5480" s="1138"/>
      <c r="I5480" s="1138"/>
      <c r="J5480" s="1139"/>
      <c r="K5480" s="1111"/>
      <c r="L5480" s="1112"/>
      <c r="M5480" s="1113"/>
      <c r="N5480" s="110"/>
      <c r="O5480" s="1140"/>
      <c r="P5480" s="1115"/>
      <c r="Q5480" s="1116"/>
      <c r="R5480" s="1141"/>
      <c r="S5480" s="1113"/>
      <c r="T5480" s="1143"/>
      <c r="U5480" s="1108"/>
      <c r="V5480" s="1108"/>
      <c r="W5480" s="1108"/>
      <c r="X5480" s="1108"/>
      <c r="Y5480" s="1108"/>
      <c r="Z5480" s="1114"/>
      <c r="AA5480" s="1114"/>
      <c r="AB5480" s="1114"/>
      <c r="AC5480" s="1117"/>
      <c r="AD5480" s="1115"/>
      <c r="AE5480" s="1115"/>
      <c r="AF5480" s="1115"/>
      <c r="AG5480" s="1115"/>
      <c r="AH5480" s="1115"/>
      <c r="AI5480" s="1115"/>
      <c r="AJ5480" s="1117"/>
      <c r="AK5480" s="1118"/>
      <c r="AL5480" s="1115"/>
      <c r="AM5480" s="1115"/>
      <c r="AN5480" s="1115"/>
      <c r="AO5480" s="1115"/>
      <c r="AP5480" s="1115"/>
      <c r="AQ5480" s="1115"/>
      <c r="AR5480" s="1115"/>
      <c r="AS5480" s="1117"/>
      <c r="AT5480" s="1075"/>
      <c r="AU5480" s="1193"/>
      <c r="AV5480" s="330"/>
      <c r="AW5480" s="331"/>
      <c r="AX5480" s="331"/>
      <c r="AY5480" s="331"/>
      <c r="AZ5480" s="331"/>
      <c r="BA5480" s="331"/>
      <c r="BB5480" s="331"/>
      <c r="BC5480" s="331"/>
      <c r="BD5480" s="331"/>
      <c r="BE5480" s="333"/>
      <c r="BF5480" s="330"/>
      <c r="BG5480" s="333"/>
      <c r="BH5480" s="1119"/>
      <c r="BI5480" s="319"/>
      <c r="BJ5480" s="319"/>
      <c r="BK5480" s="319"/>
      <c r="BL5480" s="319"/>
      <c r="BM5480" s="319"/>
      <c r="BN5480" s="319"/>
      <c r="BO5480" s="319"/>
      <c r="BP5480" s="953"/>
      <c r="BQ5480" s="319"/>
      <c r="BR5480" s="319"/>
      <c r="BS5480" s="330"/>
      <c r="BT5480" s="331"/>
      <c r="BU5480" s="920"/>
      <c r="BV5480" s="903"/>
      <c r="BW5480" s="908"/>
      <c r="BX5480" s="908"/>
      <c r="BY5480" s="331"/>
      <c r="BZ5480" s="331"/>
      <c r="CA5480" s="462"/>
      <c r="CB5480" s="319"/>
      <c r="CC5480" s="319"/>
      <c r="CD5480" s="319"/>
      <c r="CE5480" s="319"/>
      <c r="CF5480" s="319"/>
      <c r="CG5480" s="319"/>
      <c r="CH5480" s="318"/>
      <c r="CI5480" s="319"/>
      <c r="CJ5480" s="319"/>
      <c r="CK5480" s="342"/>
      <c r="CL5480" s="333"/>
      <c r="CM5480" s="1079"/>
      <c r="CN5480" s="1005"/>
      <c r="CO5480" s="1005"/>
      <c r="CP5480" s="1005"/>
    </row>
    <row r="5481">
      <c r="A5481" s="1257"/>
      <c r="B5481" s="1113"/>
      <c r="C5481" s="1107"/>
      <c r="D5481" s="103"/>
      <c r="E5481" s="1137"/>
      <c r="F5481" s="112"/>
      <c r="G5481" s="1110"/>
      <c r="H5481" s="1138"/>
      <c r="I5481" s="1138"/>
      <c r="J5481" s="1139"/>
      <c r="K5481" s="1111"/>
      <c r="L5481" s="1112"/>
      <c r="M5481" s="1113"/>
      <c r="N5481" s="110"/>
      <c r="O5481" s="1140"/>
      <c r="P5481" s="1115"/>
      <c r="Q5481" s="1116"/>
      <c r="R5481" s="1141"/>
      <c r="S5481" s="1113"/>
      <c r="T5481" s="1143"/>
      <c r="U5481" s="1108"/>
      <c r="V5481" s="1108"/>
      <c r="W5481" s="1108"/>
      <c r="X5481" s="1108"/>
      <c r="Y5481" s="1108"/>
      <c r="Z5481" s="1114"/>
      <c r="AA5481" s="1114"/>
      <c r="AB5481" s="1114"/>
      <c r="AC5481" s="1117"/>
      <c r="AD5481" s="1115"/>
      <c r="AE5481" s="1115"/>
      <c r="AF5481" s="1115"/>
      <c r="AG5481" s="1115"/>
      <c r="AH5481" s="1115"/>
      <c r="AI5481" s="1115"/>
      <c r="AJ5481" s="1117"/>
      <c r="AK5481" s="1118"/>
      <c r="AL5481" s="1115"/>
      <c r="AM5481" s="1115"/>
      <c r="AN5481" s="1115"/>
      <c r="AO5481" s="1115"/>
      <c r="AP5481" s="1115"/>
      <c r="AQ5481" s="1115"/>
      <c r="AR5481" s="1115"/>
      <c r="AS5481" s="1117"/>
      <c r="AT5481" s="1075"/>
      <c r="AU5481" s="1193"/>
      <c r="AV5481" s="330"/>
      <c r="AW5481" s="331"/>
      <c r="AX5481" s="331"/>
      <c r="AY5481" s="331"/>
      <c r="AZ5481" s="331"/>
      <c r="BA5481" s="331"/>
      <c r="BB5481" s="331"/>
      <c r="BC5481" s="331"/>
      <c r="BD5481" s="331"/>
      <c r="BE5481" s="333"/>
      <c r="BF5481" s="330"/>
      <c r="BG5481" s="333"/>
      <c r="BH5481" s="1119"/>
      <c r="BI5481" s="319"/>
      <c r="BJ5481" s="319"/>
      <c r="BK5481" s="319"/>
      <c r="BL5481" s="319"/>
      <c r="BM5481" s="319"/>
      <c r="BN5481" s="319"/>
      <c r="BO5481" s="319"/>
      <c r="BP5481" s="953"/>
      <c r="BQ5481" s="319"/>
      <c r="BR5481" s="319"/>
      <c r="BS5481" s="330"/>
      <c r="BT5481" s="331"/>
      <c r="BU5481" s="920"/>
      <c r="BV5481" s="903"/>
      <c r="BW5481" s="908"/>
      <c r="BX5481" s="908"/>
      <c r="BY5481" s="331"/>
      <c r="BZ5481" s="331"/>
      <c r="CA5481" s="462"/>
      <c r="CB5481" s="319"/>
      <c r="CC5481" s="319"/>
      <c r="CD5481" s="319"/>
      <c r="CE5481" s="319"/>
      <c r="CF5481" s="319"/>
      <c r="CG5481" s="319"/>
      <c r="CH5481" s="318"/>
      <c r="CI5481" s="319"/>
      <c r="CJ5481" s="319"/>
      <c r="CK5481" s="342"/>
      <c r="CL5481" s="333"/>
      <c r="CM5481" s="1079"/>
      <c r="CN5481" s="1005"/>
      <c r="CO5481" s="1005"/>
      <c r="CP5481" s="1005"/>
    </row>
    <row r="5482">
      <c r="A5482" s="1257"/>
      <c r="B5482" s="1113"/>
      <c r="C5482" s="1107"/>
      <c r="D5482" s="103"/>
      <c r="E5482" s="1137"/>
      <c r="F5482" s="112"/>
      <c r="G5482" s="1110"/>
      <c r="H5482" s="1138"/>
      <c r="I5482" s="1138"/>
      <c r="J5482" s="1139"/>
      <c r="K5482" s="1111"/>
      <c r="L5482" s="1112"/>
      <c r="M5482" s="1113"/>
      <c r="N5482" s="110"/>
      <c r="O5482" s="1140"/>
      <c r="P5482" s="1115"/>
      <c r="Q5482" s="1116"/>
      <c r="R5482" s="1141"/>
      <c r="S5482" s="1113"/>
      <c r="T5482" s="1143"/>
      <c r="U5482" s="1108"/>
      <c r="V5482" s="1108"/>
      <c r="W5482" s="1108"/>
      <c r="X5482" s="1108"/>
      <c r="Y5482" s="1108"/>
      <c r="Z5482" s="1114"/>
      <c r="AA5482" s="1114"/>
      <c r="AB5482" s="1114"/>
      <c r="AC5482" s="1117"/>
      <c r="AD5482" s="1115"/>
      <c r="AE5482" s="1115"/>
      <c r="AF5482" s="1115"/>
      <c r="AG5482" s="1115"/>
      <c r="AH5482" s="1115"/>
      <c r="AI5482" s="1115"/>
      <c r="AJ5482" s="1117"/>
      <c r="AK5482" s="1118"/>
      <c r="AL5482" s="1115"/>
      <c r="AM5482" s="1115"/>
      <c r="AN5482" s="1115"/>
      <c r="AO5482" s="1115"/>
      <c r="AP5482" s="1115"/>
      <c r="AQ5482" s="1115"/>
      <c r="AR5482" s="1115"/>
      <c r="AS5482" s="1117"/>
      <c r="AT5482" s="1075"/>
      <c r="AU5482" s="1193"/>
      <c r="AV5482" s="330"/>
      <c r="AW5482" s="331"/>
      <c r="AX5482" s="331"/>
      <c r="AY5482" s="331"/>
      <c r="AZ5482" s="331"/>
      <c r="BA5482" s="331"/>
      <c r="BB5482" s="331"/>
      <c r="BC5482" s="331"/>
      <c r="BD5482" s="331"/>
      <c r="BE5482" s="333"/>
      <c r="BF5482" s="330"/>
      <c r="BG5482" s="333"/>
      <c r="BH5482" s="1119"/>
      <c r="BI5482" s="319"/>
      <c r="BJ5482" s="319"/>
      <c r="BK5482" s="319"/>
      <c r="BL5482" s="319"/>
      <c r="BM5482" s="319"/>
      <c r="BN5482" s="319"/>
      <c r="BO5482" s="319"/>
      <c r="BP5482" s="953"/>
      <c r="BQ5482" s="319"/>
      <c r="BR5482" s="319"/>
      <c r="BS5482" s="330"/>
      <c r="BT5482" s="331"/>
      <c r="BU5482" s="920"/>
      <c r="BV5482" s="903"/>
      <c r="BW5482" s="908"/>
      <c r="BX5482" s="908"/>
      <c r="BY5482" s="331"/>
      <c r="BZ5482" s="331"/>
      <c r="CA5482" s="462"/>
      <c r="CB5482" s="319"/>
      <c r="CC5482" s="319"/>
      <c r="CD5482" s="319"/>
      <c r="CE5482" s="319"/>
      <c r="CF5482" s="319"/>
      <c r="CG5482" s="319"/>
      <c r="CH5482" s="318"/>
      <c r="CI5482" s="319"/>
      <c r="CJ5482" s="319"/>
      <c r="CK5482" s="342"/>
      <c r="CL5482" s="333"/>
      <c r="CM5482" s="1079"/>
      <c r="CN5482" s="1005"/>
      <c r="CO5482" s="1005"/>
      <c r="CP5482" s="1005"/>
    </row>
    <row r="5483">
      <c r="A5483" s="1257"/>
      <c r="B5483" s="1113"/>
      <c r="C5483" s="1107"/>
      <c r="D5483" s="103"/>
      <c r="E5483" s="1137"/>
      <c r="F5483" s="112"/>
      <c r="G5483" s="1110"/>
      <c r="H5483" s="1138"/>
      <c r="I5483" s="1138"/>
      <c r="J5483" s="1139"/>
      <c r="K5483" s="1111"/>
      <c r="L5483" s="1112"/>
      <c r="M5483" s="1113"/>
      <c r="N5483" s="110"/>
      <c r="O5483" s="1140"/>
      <c r="P5483" s="1115"/>
      <c r="Q5483" s="1116"/>
      <c r="R5483" s="1141"/>
      <c r="S5483" s="1113"/>
      <c r="T5483" s="1143"/>
      <c r="U5483" s="1108"/>
      <c r="V5483" s="1108"/>
      <c r="W5483" s="1108"/>
      <c r="X5483" s="1108"/>
      <c r="Y5483" s="1108"/>
      <c r="Z5483" s="1114"/>
      <c r="AA5483" s="1114"/>
      <c r="AB5483" s="1114"/>
      <c r="AC5483" s="1117"/>
      <c r="AD5483" s="1115"/>
      <c r="AE5483" s="1115"/>
      <c r="AF5483" s="1115"/>
      <c r="AG5483" s="1115"/>
      <c r="AH5483" s="1115"/>
      <c r="AI5483" s="1115"/>
      <c r="AJ5483" s="1117"/>
      <c r="AK5483" s="1118"/>
      <c r="AL5483" s="1115"/>
      <c r="AM5483" s="1115"/>
      <c r="AN5483" s="1115"/>
      <c r="AO5483" s="1115"/>
      <c r="AP5483" s="1115"/>
      <c r="AQ5483" s="1115"/>
      <c r="AR5483" s="1115"/>
      <c r="AS5483" s="1117"/>
      <c r="AT5483" s="1075"/>
      <c r="AU5483" s="1193"/>
      <c r="AV5483" s="330"/>
      <c r="AW5483" s="331"/>
      <c r="AX5483" s="331"/>
      <c r="AY5483" s="331"/>
      <c r="AZ5483" s="331"/>
      <c r="BA5483" s="331"/>
      <c r="BB5483" s="331"/>
      <c r="BC5483" s="331"/>
      <c r="BD5483" s="331"/>
      <c r="BE5483" s="333"/>
      <c r="BF5483" s="330"/>
      <c r="BG5483" s="333"/>
      <c r="BH5483" s="1119"/>
      <c r="BI5483" s="319"/>
      <c r="BJ5483" s="319"/>
      <c r="BK5483" s="319"/>
      <c r="BL5483" s="319"/>
      <c r="BM5483" s="319"/>
      <c r="BN5483" s="319"/>
      <c r="BO5483" s="319"/>
      <c r="BP5483" s="953"/>
      <c r="BQ5483" s="319"/>
      <c r="BR5483" s="319"/>
      <c r="BS5483" s="330"/>
      <c r="BT5483" s="331"/>
      <c r="BU5483" s="920"/>
      <c r="BV5483" s="903"/>
      <c r="BW5483" s="908"/>
      <c r="BX5483" s="908"/>
      <c r="BY5483" s="331"/>
      <c r="BZ5483" s="331"/>
      <c r="CA5483" s="462"/>
      <c r="CB5483" s="319"/>
      <c r="CC5483" s="319"/>
      <c r="CD5483" s="319"/>
      <c r="CE5483" s="319"/>
      <c r="CF5483" s="319"/>
      <c r="CG5483" s="319"/>
      <c r="CH5483" s="318"/>
      <c r="CI5483" s="319"/>
      <c r="CJ5483" s="319"/>
      <c r="CK5483" s="342"/>
      <c r="CL5483" s="333"/>
      <c r="CM5483" s="1079"/>
      <c r="CN5483" s="1005"/>
      <c r="CO5483" s="1005"/>
      <c r="CP5483" s="1005"/>
    </row>
    <row r="5484">
      <c r="A5484" s="1257"/>
      <c r="B5484" s="1113"/>
      <c r="C5484" s="1107"/>
      <c r="D5484" s="103"/>
      <c r="E5484" s="1137"/>
      <c r="F5484" s="112"/>
      <c r="G5484" s="1110"/>
      <c r="H5484" s="1138"/>
      <c r="I5484" s="1138"/>
      <c r="J5484" s="1139"/>
      <c r="K5484" s="1111"/>
      <c r="L5484" s="1112"/>
      <c r="M5484" s="1113"/>
      <c r="N5484" s="110"/>
      <c r="O5484" s="1140"/>
      <c r="P5484" s="1115"/>
      <c r="Q5484" s="1116"/>
      <c r="R5484" s="1141"/>
      <c r="S5484" s="1113"/>
      <c r="T5484" s="1143"/>
      <c r="U5484" s="1108"/>
      <c r="V5484" s="1108"/>
      <c r="W5484" s="1108"/>
      <c r="X5484" s="1108"/>
      <c r="Y5484" s="1108"/>
      <c r="Z5484" s="1114"/>
      <c r="AA5484" s="1114"/>
      <c r="AB5484" s="1114"/>
      <c r="AC5484" s="1117"/>
      <c r="AD5484" s="1115"/>
      <c r="AE5484" s="1115"/>
      <c r="AF5484" s="1115"/>
      <c r="AG5484" s="1115"/>
      <c r="AH5484" s="1115"/>
      <c r="AI5484" s="1115"/>
      <c r="AJ5484" s="1117"/>
      <c r="AK5484" s="1118"/>
      <c r="AL5484" s="1115"/>
      <c r="AM5484" s="1115"/>
      <c r="AN5484" s="1115"/>
      <c r="AO5484" s="1115"/>
      <c r="AP5484" s="1115"/>
      <c r="AQ5484" s="1115"/>
      <c r="AR5484" s="1115"/>
      <c r="AS5484" s="1117"/>
      <c r="AT5484" s="1075"/>
      <c r="AU5484" s="1193"/>
      <c r="AV5484" s="330"/>
      <c r="AW5484" s="331"/>
      <c r="AX5484" s="331"/>
      <c r="AY5484" s="331"/>
      <c r="AZ5484" s="331"/>
      <c r="BA5484" s="331"/>
      <c r="BB5484" s="331"/>
      <c r="BC5484" s="331"/>
      <c r="BD5484" s="331"/>
      <c r="BE5484" s="333"/>
      <c r="BF5484" s="330"/>
      <c r="BG5484" s="333"/>
      <c r="BH5484" s="1119"/>
      <c r="BI5484" s="319"/>
      <c r="BJ5484" s="319"/>
      <c r="BK5484" s="319"/>
      <c r="BL5484" s="319"/>
      <c r="BM5484" s="319"/>
      <c r="BN5484" s="319"/>
      <c r="BO5484" s="319"/>
      <c r="BP5484" s="953"/>
      <c r="BQ5484" s="319"/>
      <c r="BR5484" s="319"/>
      <c r="BS5484" s="330"/>
      <c r="BT5484" s="331"/>
      <c r="BU5484" s="920"/>
      <c r="BV5484" s="903"/>
      <c r="BW5484" s="908"/>
      <c r="BX5484" s="908"/>
      <c r="BY5484" s="331"/>
      <c r="BZ5484" s="331"/>
      <c r="CA5484" s="462"/>
      <c r="CB5484" s="319"/>
      <c r="CC5484" s="319"/>
      <c r="CD5484" s="319"/>
      <c r="CE5484" s="319"/>
      <c r="CF5484" s="319"/>
      <c r="CG5484" s="319"/>
      <c r="CH5484" s="318"/>
      <c r="CI5484" s="319"/>
      <c r="CJ5484" s="319"/>
      <c r="CK5484" s="342"/>
      <c r="CL5484" s="333"/>
      <c r="CM5484" s="1079"/>
      <c r="CN5484" s="1005"/>
      <c r="CO5484" s="1005"/>
      <c r="CP5484" s="1005"/>
    </row>
    <row r="5485">
      <c r="A5485" s="1257"/>
      <c r="B5485" s="1113"/>
      <c r="C5485" s="1107"/>
      <c r="D5485" s="103"/>
      <c r="E5485" s="1137"/>
      <c r="F5485" s="112"/>
      <c r="G5485" s="1110"/>
      <c r="H5485" s="1138"/>
      <c r="I5485" s="1138"/>
      <c r="J5485" s="1139"/>
      <c r="K5485" s="1111"/>
      <c r="L5485" s="1112"/>
      <c r="M5485" s="1113"/>
      <c r="N5485" s="110"/>
      <c r="O5485" s="1140"/>
      <c r="P5485" s="1115"/>
      <c r="Q5485" s="1116"/>
      <c r="R5485" s="1141"/>
      <c r="S5485" s="1113"/>
      <c r="T5485" s="1143"/>
      <c r="U5485" s="1108"/>
      <c r="V5485" s="1108"/>
      <c r="W5485" s="1108"/>
      <c r="X5485" s="1108"/>
      <c r="Y5485" s="1108"/>
      <c r="Z5485" s="1114"/>
      <c r="AA5485" s="1114"/>
      <c r="AB5485" s="1114"/>
      <c r="AC5485" s="1117"/>
      <c r="AD5485" s="1115"/>
      <c r="AE5485" s="1115"/>
      <c r="AF5485" s="1115"/>
      <c r="AG5485" s="1115"/>
      <c r="AH5485" s="1115"/>
      <c r="AI5485" s="1115"/>
      <c r="AJ5485" s="1117"/>
      <c r="AK5485" s="1118"/>
      <c r="AL5485" s="1115"/>
      <c r="AM5485" s="1115"/>
      <c r="AN5485" s="1115"/>
      <c r="AO5485" s="1115"/>
      <c r="AP5485" s="1115"/>
      <c r="AQ5485" s="1115"/>
      <c r="AR5485" s="1115"/>
      <c r="AS5485" s="1117"/>
      <c r="AT5485" s="1075"/>
      <c r="AU5485" s="1193"/>
      <c r="AV5485" s="330"/>
      <c r="AW5485" s="331"/>
      <c r="AX5485" s="331"/>
      <c r="AY5485" s="331"/>
      <c r="AZ5485" s="331"/>
      <c r="BA5485" s="331"/>
      <c r="BB5485" s="331"/>
      <c r="BC5485" s="331"/>
      <c r="BD5485" s="331"/>
      <c r="BE5485" s="333"/>
      <c r="BF5485" s="330"/>
      <c r="BG5485" s="333"/>
      <c r="BH5485" s="1119"/>
      <c r="BI5485" s="319"/>
      <c r="BJ5485" s="319"/>
      <c r="BK5485" s="319"/>
      <c r="BL5485" s="319"/>
      <c r="BM5485" s="319"/>
      <c r="BN5485" s="319"/>
      <c r="BO5485" s="319"/>
      <c r="BP5485" s="953"/>
      <c r="BQ5485" s="319"/>
      <c r="BR5485" s="319"/>
      <c r="BS5485" s="330"/>
      <c r="BT5485" s="331"/>
      <c r="BU5485" s="920"/>
      <c r="BV5485" s="903"/>
      <c r="BW5485" s="908"/>
      <c r="BX5485" s="908"/>
      <c r="BY5485" s="331"/>
      <c r="BZ5485" s="331"/>
      <c r="CA5485" s="462"/>
      <c r="CB5485" s="319"/>
      <c r="CC5485" s="319"/>
      <c r="CD5485" s="319"/>
      <c r="CE5485" s="319"/>
      <c r="CF5485" s="319"/>
      <c r="CG5485" s="319"/>
      <c r="CH5485" s="318"/>
      <c r="CI5485" s="319"/>
      <c r="CJ5485" s="319"/>
      <c r="CK5485" s="342"/>
      <c r="CL5485" s="333"/>
      <c r="CM5485" s="1079"/>
      <c r="CN5485" s="1005"/>
      <c r="CO5485" s="1005"/>
      <c r="CP5485" s="1005"/>
    </row>
    <row r="5486">
      <c r="A5486" s="1257"/>
      <c r="B5486" s="1113"/>
      <c r="C5486" s="1107"/>
      <c r="D5486" s="103"/>
      <c r="E5486" s="1137"/>
      <c r="F5486" s="112"/>
      <c r="G5486" s="1110"/>
      <c r="H5486" s="1138"/>
      <c r="I5486" s="1138"/>
      <c r="J5486" s="1139"/>
      <c r="K5486" s="1111"/>
      <c r="L5486" s="1112"/>
      <c r="M5486" s="1113"/>
      <c r="N5486" s="110"/>
      <c r="O5486" s="1140"/>
      <c r="P5486" s="1115"/>
      <c r="Q5486" s="1116"/>
      <c r="R5486" s="1141"/>
      <c r="S5486" s="1113"/>
      <c r="T5486" s="1143"/>
      <c r="U5486" s="1108"/>
      <c r="V5486" s="1108"/>
      <c r="W5486" s="1108"/>
      <c r="X5486" s="1108"/>
      <c r="Y5486" s="1108"/>
      <c r="Z5486" s="1114"/>
      <c r="AA5486" s="1114"/>
      <c r="AB5486" s="1114"/>
      <c r="AC5486" s="1117"/>
      <c r="AD5486" s="1115"/>
      <c r="AE5486" s="1115"/>
      <c r="AF5486" s="1115"/>
      <c r="AG5486" s="1115"/>
      <c r="AH5486" s="1115"/>
      <c r="AI5486" s="1115"/>
      <c r="AJ5486" s="1117"/>
      <c r="AK5486" s="1118"/>
      <c r="AL5486" s="1115"/>
      <c r="AM5486" s="1115"/>
      <c r="AN5486" s="1115"/>
      <c r="AO5486" s="1115"/>
      <c r="AP5486" s="1115"/>
      <c r="AQ5486" s="1115"/>
      <c r="AR5486" s="1115"/>
      <c r="AS5486" s="1117"/>
      <c r="AT5486" s="1075"/>
      <c r="AU5486" s="1193"/>
      <c r="AV5486" s="330"/>
      <c r="AW5486" s="331"/>
      <c r="AX5486" s="331"/>
      <c r="AY5486" s="331"/>
      <c r="AZ5486" s="331"/>
      <c r="BA5486" s="331"/>
      <c r="BB5486" s="331"/>
      <c r="BC5486" s="331"/>
      <c r="BD5486" s="331"/>
      <c r="BE5486" s="333"/>
      <c r="BF5486" s="330"/>
      <c r="BG5486" s="333"/>
      <c r="BH5486" s="1119"/>
      <c r="BI5486" s="319"/>
      <c r="BJ5486" s="319"/>
      <c r="BK5486" s="319"/>
      <c r="BL5486" s="319"/>
      <c r="BM5486" s="319"/>
      <c r="BN5486" s="319"/>
      <c r="BO5486" s="319"/>
      <c r="BP5486" s="953"/>
      <c r="BQ5486" s="319"/>
      <c r="BR5486" s="319"/>
      <c r="BS5486" s="330"/>
      <c r="BT5486" s="331"/>
      <c r="BU5486" s="920"/>
      <c r="BV5486" s="903"/>
      <c r="BW5486" s="908"/>
      <c r="BX5486" s="908"/>
      <c r="BY5486" s="331"/>
      <c r="BZ5486" s="331"/>
      <c r="CA5486" s="462"/>
      <c r="CB5486" s="319"/>
      <c r="CC5486" s="319"/>
      <c r="CD5486" s="319"/>
      <c r="CE5486" s="319"/>
      <c r="CF5486" s="319"/>
      <c r="CG5486" s="319"/>
      <c r="CH5486" s="318"/>
      <c r="CI5486" s="319"/>
      <c r="CJ5486" s="319"/>
      <c r="CK5486" s="342"/>
      <c r="CL5486" s="333"/>
      <c r="CM5486" s="1079"/>
      <c r="CN5486" s="1005"/>
      <c r="CO5486" s="1005"/>
      <c r="CP5486" s="1005"/>
    </row>
    <row r="5487">
      <c r="A5487" s="1257"/>
      <c r="B5487" s="1113"/>
      <c r="C5487" s="1107"/>
      <c r="D5487" s="103"/>
      <c r="E5487" s="1137"/>
      <c r="F5487" s="112"/>
      <c r="G5487" s="1110"/>
      <c r="H5487" s="1138"/>
      <c r="I5487" s="1138"/>
      <c r="J5487" s="1139"/>
      <c r="K5487" s="1111"/>
      <c r="L5487" s="1112"/>
      <c r="M5487" s="1113"/>
      <c r="N5487" s="110"/>
      <c r="O5487" s="1140"/>
      <c r="P5487" s="1115"/>
      <c r="Q5487" s="1116"/>
      <c r="R5487" s="1141"/>
      <c r="S5487" s="1113"/>
      <c r="T5487" s="1143"/>
      <c r="U5487" s="1108"/>
      <c r="V5487" s="1108"/>
      <c r="W5487" s="1108"/>
      <c r="X5487" s="1108"/>
      <c r="Y5487" s="1108"/>
      <c r="Z5487" s="1114"/>
      <c r="AA5487" s="1114"/>
      <c r="AB5487" s="1114"/>
      <c r="AC5487" s="1117"/>
      <c r="AD5487" s="1115"/>
      <c r="AE5487" s="1115"/>
      <c r="AF5487" s="1115"/>
      <c r="AG5487" s="1115"/>
      <c r="AH5487" s="1115"/>
      <c r="AI5487" s="1115"/>
      <c r="AJ5487" s="1117"/>
      <c r="AK5487" s="1118"/>
      <c r="AL5487" s="1115"/>
      <c r="AM5487" s="1115"/>
      <c r="AN5487" s="1115"/>
      <c r="AO5487" s="1115"/>
      <c r="AP5487" s="1115"/>
      <c r="AQ5487" s="1115"/>
      <c r="AR5487" s="1115"/>
      <c r="AS5487" s="1117"/>
      <c r="AT5487" s="1075"/>
      <c r="AU5487" s="1193"/>
      <c r="AV5487" s="330"/>
      <c r="AW5487" s="331"/>
      <c r="AX5487" s="331"/>
      <c r="AY5487" s="331"/>
      <c r="AZ5487" s="331"/>
      <c r="BA5487" s="331"/>
      <c r="BB5487" s="331"/>
      <c r="BC5487" s="331"/>
      <c r="BD5487" s="331"/>
      <c r="BE5487" s="333"/>
      <c r="BF5487" s="330"/>
      <c r="BG5487" s="333"/>
      <c r="BH5487" s="1119"/>
      <c r="BI5487" s="319"/>
      <c r="BJ5487" s="319"/>
      <c r="BK5487" s="319"/>
      <c r="BL5487" s="319"/>
      <c r="BM5487" s="319"/>
      <c r="BN5487" s="319"/>
      <c r="BO5487" s="319"/>
      <c r="BP5487" s="953"/>
      <c r="BQ5487" s="319"/>
      <c r="BR5487" s="319"/>
      <c r="BS5487" s="330"/>
      <c r="BT5487" s="331"/>
      <c r="BU5487" s="920"/>
      <c r="BV5487" s="903"/>
      <c r="BW5487" s="908"/>
      <c r="BX5487" s="908"/>
      <c r="BY5487" s="331"/>
      <c r="BZ5487" s="331"/>
      <c r="CA5487" s="462"/>
      <c r="CB5487" s="319"/>
      <c r="CC5487" s="319"/>
      <c r="CD5487" s="319"/>
      <c r="CE5487" s="319"/>
      <c r="CF5487" s="319"/>
      <c r="CG5487" s="319"/>
      <c r="CH5487" s="318"/>
      <c r="CI5487" s="319"/>
      <c r="CJ5487" s="319"/>
      <c r="CK5487" s="342"/>
      <c r="CL5487" s="333"/>
      <c r="CM5487" s="1079"/>
      <c r="CN5487" s="1005"/>
      <c r="CO5487" s="1005"/>
      <c r="CP5487" s="1005"/>
    </row>
    <row r="5488">
      <c r="A5488" s="1257"/>
      <c r="B5488" s="1113"/>
      <c r="C5488" s="1107"/>
      <c r="D5488" s="103"/>
      <c r="E5488" s="1137"/>
      <c r="F5488" s="112"/>
      <c r="G5488" s="1110"/>
      <c r="H5488" s="1138"/>
      <c r="I5488" s="1138"/>
      <c r="J5488" s="1139"/>
      <c r="K5488" s="1111"/>
      <c r="L5488" s="1112"/>
      <c r="M5488" s="1113"/>
      <c r="N5488" s="110"/>
      <c r="O5488" s="1140"/>
      <c r="P5488" s="1115"/>
      <c r="Q5488" s="1116"/>
      <c r="R5488" s="1141"/>
      <c r="S5488" s="1113"/>
      <c r="T5488" s="1143"/>
      <c r="U5488" s="1108"/>
      <c r="V5488" s="1108"/>
      <c r="W5488" s="1108"/>
      <c r="X5488" s="1108"/>
      <c r="Y5488" s="1108"/>
      <c r="Z5488" s="1114"/>
      <c r="AA5488" s="1114"/>
      <c r="AB5488" s="1114"/>
      <c r="AC5488" s="1117"/>
      <c r="AD5488" s="1115"/>
      <c r="AE5488" s="1115"/>
      <c r="AF5488" s="1115"/>
      <c r="AG5488" s="1115"/>
      <c r="AH5488" s="1115"/>
      <c r="AI5488" s="1115"/>
      <c r="AJ5488" s="1117"/>
      <c r="AK5488" s="1118"/>
      <c r="AL5488" s="1115"/>
      <c r="AM5488" s="1115"/>
      <c r="AN5488" s="1115"/>
      <c r="AO5488" s="1115"/>
      <c r="AP5488" s="1115"/>
      <c r="AQ5488" s="1115"/>
      <c r="AR5488" s="1115"/>
      <c r="AS5488" s="1117"/>
      <c r="AT5488" s="1075"/>
      <c r="AU5488" s="1193"/>
      <c r="AV5488" s="330"/>
      <c r="AW5488" s="331"/>
      <c r="AX5488" s="331"/>
      <c r="AY5488" s="331"/>
      <c r="AZ5488" s="331"/>
      <c r="BA5488" s="331"/>
      <c r="BB5488" s="331"/>
      <c r="BC5488" s="331"/>
      <c r="BD5488" s="331"/>
      <c r="BE5488" s="333"/>
      <c r="BF5488" s="330"/>
      <c r="BG5488" s="333"/>
      <c r="BH5488" s="1119"/>
      <c r="BI5488" s="319"/>
      <c r="BJ5488" s="319"/>
      <c r="BK5488" s="319"/>
      <c r="BL5488" s="319"/>
      <c r="BM5488" s="319"/>
      <c r="BN5488" s="319"/>
      <c r="BO5488" s="319"/>
      <c r="BP5488" s="953"/>
      <c r="BQ5488" s="319"/>
      <c r="BR5488" s="319"/>
      <c r="BS5488" s="330"/>
      <c r="BT5488" s="331"/>
      <c r="BU5488" s="920"/>
      <c r="BV5488" s="903"/>
      <c r="BW5488" s="908"/>
      <c r="BX5488" s="908"/>
      <c r="BY5488" s="331"/>
      <c r="BZ5488" s="331"/>
      <c r="CA5488" s="462"/>
      <c r="CB5488" s="319"/>
      <c r="CC5488" s="319"/>
      <c r="CD5488" s="319"/>
      <c r="CE5488" s="319"/>
      <c r="CF5488" s="319"/>
      <c r="CG5488" s="319"/>
      <c r="CH5488" s="318"/>
      <c r="CI5488" s="319"/>
      <c r="CJ5488" s="319"/>
      <c r="CK5488" s="342"/>
      <c r="CL5488" s="333"/>
      <c r="CM5488" s="1079"/>
      <c r="CN5488" s="1005"/>
      <c r="CO5488" s="1005"/>
      <c r="CP5488" s="1005"/>
    </row>
    <row r="5489">
      <c r="A5489" s="1257"/>
      <c r="B5489" s="1113"/>
      <c r="C5489" s="1107"/>
      <c r="D5489" s="103"/>
      <c r="E5489" s="1137"/>
      <c r="F5489" s="112"/>
      <c r="G5489" s="1110"/>
      <c r="H5489" s="1138"/>
      <c r="I5489" s="1138"/>
      <c r="J5489" s="1139"/>
      <c r="K5489" s="1111"/>
      <c r="L5489" s="1112"/>
      <c r="M5489" s="1113"/>
      <c r="N5489" s="110"/>
      <c r="O5489" s="1140"/>
      <c r="P5489" s="1115"/>
      <c r="Q5489" s="1116"/>
      <c r="R5489" s="1141"/>
      <c r="S5489" s="1113"/>
      <c r="T5489" s="1143"/>
      <c r="U5489" s="1108"/>
      <c r="V5489" s="1108"/>
      <c r="W5489" s="1108"/>
      <c r="X5489" s="1108"/>
      <c r="Y5489" s="1108"/>
      <c r="Z5489" s="1114"/>
      <c r="AA5489" s="1114"/>
      <c r="AB5489" s="1114"/>
      <c r="AC5489" s="1117"/>
      <c r="AD5489" s="1115"/>
      <c r="AE5489" s="1115"/>
      <c r="AF5489" s="1115"/>
      <c r="AG5489" s="1115"/>
      <c r="AH5489" s="1115"/>
      <c r="AI5489" s="1115"/>
      <c r="AJ5489" s="1117"/>
      <c r="AK5489" s="1118"/>
      <c r="AL5489" s="1115"/>
      <c r="AM5489" s="1115"/>
      <c r="AN5489" s="1115"/>
      <c r="AO5489" s="1115"/>
      <c r="AP5489" s="1115"/>
      <c r="AQ5489" s="1115"/>
      <c r="AR5489" s="1115"/>
      <c r="AS5489" s="1117"/>
      <c r="AT5489" s="1075"/>
      <c r="AU5489" s="1193"/>
      <c r="AV5489" s="330"/>
      <c r="AW5489" s="331"/>
      <c r="AX5489" s="331"/>
      <c r="AY5489" s="331"/>
      <c r="AZ5489" s="331"/>
      <c r="BA5489" s="331"/>
      <c r="BB5489" s="331"/>
      <c r="BC5489" s="331"/>
      <c r="BD5489" s="331"/>
      <c r="BE5489" s="333"/>
      <c r="BF5489" s="330"/>
      <c r="BG5489" s="333"/>
      <c r="BH5489" s="1119"/>
      <c r="BI5489" s="319"/>
      <c r="BJ5489" s="319"/>
      <c r="BK5489" s="319"/>
      <c r="BL5489" s="319"/>
      <c r="BM5489" s="319"/>
      <c r="BN5489" s="319"/>
      <c r="BO5489" s="319"/>
      <c r="BP5489" s="953"/>
      <c r="BQ5489" s="319"/>
      <c r="BR5489" s="319"/>
      <c r="BS5489" s="330"/>
      <c r="BT5489" s="331"/>
      <c r="BU5489" s="920"/>
      <c r="BV5489" s="903"/>
      <c r="BW5489" s="908"/>
      <c r="BX5489" s="908"/>
      <c r="BY5489" s="331"/>
      <c r="BZ5489" s="331"/>
      <c r="CA5489" s="462"/>
      <c r="CB5489" s="319"/>
      <c r="CC5489" s="319"/>
      <c r="CD5489" s="319"/>
      <c r="CE5489" s="319"/>
      <c r="CF5489" s="319"/>
      <c r="CG5489" s="319"/>
      <c r="CH5489" s="318"/>
      <c r="CI5489" s="319"/>
      <c r="CJ5489" s="319"/>
      <c r="CK5489" s="342"/>
      <c r="CL5489" s="333"/>
      <c r="CM5489" s="1079"/>
      <c r="CN5489" s="1005"/>
      <c r="CO5489" s="1005"/>
      <c r="CP5489" s="1005"/>
    </row>
    <row r="5490">
      <c r="A5490" s="1257"/>
      <c r="B5490" s="1113"/>
      <c r="C5490" s="1107"/>
      <c r="D5490" s="103"/>
      <c r="E5490" s="1137"/>
      <c r="F5490" s="112"/>
      <c r="G5490" s="1110"/>
      <c r="H5490" s="1138"/>
      <c r="I5490" s="1138"/>
      <c r="J5490" s="1139"/>
      <c r="K5490" s="1111"/>
      <c r="L5490" s="1112"/>
      <c r="M5490" s="1113"/>
      <c r="N5490" s="110"/>
      <c r="O5490" s="1140"/>
      <c r="P5490" s="1115"/>
      <c r="Q5490" s="1116"/>
      <c r="R5490" s="1141"/>
      <c r="S5490" s="1113"/>
      <c r="T5490" s="1143"/>
      <c r="U5490" s="1108"/>
      <c r="V5490" s="1108"/>
      <c r="W5490" s="1108"/>
      <c r="X5490" s="1108"/>
      <c r="Y5490" s="1108"/>
      <c r="Z5490" s="1114"/>
      <c r="AA5490" s="1114"/>
      <c r="AB5490" s="1114"/>
      <c r="AC5490" s="1117"/>
      <c r="AD5490" s="1115"/>
      <c r="AE5490" s="1115"/>
      <c r="AF5490" s="1115"/>
      <c r="AG5490" s="1115"/>
      <c r="AH5490" s="1115"/>
      <c r="AI5490" s="1115"/>
      <c r="AJ5490" s="1117"/>
      <c r="AK5490" s="1118"/>
      <c r="AL5490" s="1115"/>
      <c r="AM5490" s="1115"/>
      <c r="AN5490" s="1115"/>
      <c r="AO5490" s="1115"/>
      <c r="AP5490" s="1115"/>
      <c r="AQ5490" s="1115"/>
      <c r="AR5490" s="1115"/>
      <c r="AS5490" s="1117"/>
      <c r="AT5490" s="1075"/>
      <c r="AU5490" s="1193"/>
      <c r="AV5490" s="330"/>
      <c r="AW5490" s="331"/>
      <c r="AX5490" s="331"/>
      <c r="AY5490" s="331"/>
      <c r="AZ5490" s="331"/>
      <c r="BA5490" s="331"/>
      <c r="BB5490" s="331"/>
      <c r="BC5490" s="331"/>
      <c r="BD5490" s="331"/>
      <c r="BE5490" s="333"/>
      <c r="BF5490" s="330"/>
      <c r="BG5490" s="333"/>
      <c r="BH5490" s="1119"/>
      <c r="BI5490" s="319"/>
      <c r="BJ5490" s="319"/>
      <c r="BK5490" s="319"/>
      <c r="BL5490" s="319"/>
      <c r="BM5490" s="319"/>
      <c r="BN5490" s="319"/>
      <c r="BO5490" s="319"/>
      <c r="BP5490" s="953"/>
      <c r="BQ5490" s="319"/>
      <c r="BR5490" s="319"/>
      <c r="BS5490" s="330"/>
      <c r="BT5490" s="331"/>
      <c r="BU5490" s="920"/>
      <c r="BV5490" s="903"/>
      <c r="BW5490" s="908"/>
      <c r="BX5490" s="908"/>
      <c r="BY5490" s="331"/>
      <c r="BZ5490" s="331"/>
      <c r="CA5490" s="462"/>
      <c r="CB5490" s="319"/>
      <c r="CC5490" s="319"/>
      <c r="CD5490" s="319"/>
      <c r="CE5490" s="319"/>
      <c r="CF5490" s="319"/>
      <c r="CG5490" s="319"/>
      <c r="CH5490" s="318"/>
      <c r="CI5490" s="319"/>
      <c r="CJ5490" s="319"/>
      <c r="CK5490" s="342"/>
      <c r="CL5490" s="333"/>
      <c r="CM5490" s="1079"/>
      <c r="CN5490" s="1005"/>
      <c r="CO5490" s="1005"/>
      <c r="CP5490" s="1005"/>
    </row>
    <row r="5491">
      <c r="A5491" s="1257"/>
      <c r="B5491" s="1113"/>
      <c r="C5491" s="1107"/>
      <c r="D5491" s="103"/>
      <c r="E5491" s="1137"/>
      <c r="F5491" s="112"/>
      <c r="G5491" s="1110"/>
      <c r="H5491" s="1138"/>
      <c r="I5491" s="1138"/>
      <c r="J5491" s="1139"/>
      <c r="K5491" s="1111"/>
      <c r="L5491" s="1112"/>
      <c r="M5491" s="1113"/>
      <c r="N5491" s="110"/>
      <c r="O5491" s="1140"/>
      <c r="P5491" s="1115"/>
      <c r="Q5491" s="1116"/>
      <c r="R5491" s="1141"/>
      <c r="S5491" s="1113"/>
      <c r="T5491" s="1143"/>
      <c r="U5491" s="1108"/>
      <c r="V5491" s="1108"/>
      <c r="W5491" s="1108"/>
      <c r="X5491" s="1108"/>
      <c r="Y5491" s="1108"/>
      <c r="Z5491" s="1114"/>
      <c r="AA5491" s="1114"/>
      <c r="AB5491" s="1114"/>
      <c r="AC5491" s="1117"/>
      <c r="AD5491" s="1115"/>
      <c r="AE5491" s="1115"/>
      <c r="AF5491" s="1115"/>
      <c r="AG5491" s="1115"/>
      <c r="AH5491" s="1115"/>
      <c r="AI5491" s="1115"/>
      <c r="AJ5491" s="1117"/>
      <c r="AK5491" s="1118"/>
      <c r="AL5491" s="1115"/>
      <c r="AM5491" s="1115"/>
      <c r="AN5491" s="1115"/>
      <c r="AO5491" s="1115"/>
      <c r="AP5491" s="1115"/>
      <c r="AQ5491" s="1115"/>
      <c r="AR5491" s="1115"/>
      <c r="AS5491" s="1117"/>
      <c r="AT5491" s="1075"/>
      <c r="AU5491" s="1193"/>
      <c r="AV5491" s="330"/>
      <c r="AW5491" s="331"/>
      <c r="AX5491" s="331"/>
      <c r="AY5491" s="331"/>
      <c r="AZ5491" s="331"/>
      <c r="BA5491" s="331"/>
      <c r="BB5491" s="331"/>
      <c r="BC5491" s="331"/>
      <c r="BD5491" s="331"/>
      <c r="BE5491" s="333"/>
      <c r="BF5491" s="330"/>
      <c r="BG5491" s="333"/>
      <c r="BH5491" s="1119"/>
      <c r="BI5491" s="319"/>
      <c r="BJ5491" s="319"/>
      <c r="BK5491" s="319"/>
      <c r="BL5491" s="319"/>
      <c r="BM5491" s="319"/>
      <c r="BN5491" s="319"/>
      <c r="BO5491" s="319"/>
      <c r="BP5491" s="953"/>
      <c r="BQ5491" s="319"/>
      <c r="BR5491" s="319"/>
      <c r="BS5491" s="330"/>
      <c r="BT5491" s="331"/>
      <c r="BU5491" s="920"/>
      <c r="BV5491" s="903"/>
      <c r="BW5491" s="908"/>
      <c r="BX5491" s="908"/>
      <c r="BY5491" s="331"/>
      <c r="BZ5491" s="331"/>
      <c r="CA5491" s="462"/>
      <c r="CB5491" s="319"/>
      <c r="CC5491" s="319"/>
      <c r="CD5491" s="319"/>
      <c r="CE5491" s="319"/>
      <c r="CF5491" s="319"/>
      <c r="CG5491" s="319"/>
      <c r="CH5491" s="318"/>
      <c r="CI5491" s="319"/>
      <c r="CJ5491" s="319"/>
      <c r="CK5491" s="342"/>
      <c r="CL5491" s="333"/>
      <c r="CM5491" s="1079"/>
      <c r="CN5491" s="1005"/>
      <c r="CO5491" s="1005"/>
      <c r="CP5491" s="1005"/>
    </row>
    <row r="5492">
      <c r="A5492" s="1257"/>
      <c r="B5492" s="1113"/>
      <c r="C5492" s="1107"/>
      <c r="D5492" s="103"/>
      <c r="E5492" s="1137"/>
      <c r="F5492" s="112"/>
      <c r="G5492" s="1110"/>
      <c r="H5492" s="1138"/>
      <c r="I5492" s="1138"/>
      <c r="J5492" s="1139"/>
      <c r="K5492" s="1111"/>
      <c r="L5492" s="1112"/>
      <c r="M5492" s="1113"/>
      <c r="N5492" s="110"/>
      <c r="O5492" s="1140"/>
      <c r="P5492" s="1115"/>
      <c r="Q5492" s="1116"/>
      <c r="R5492" s="1141"/>
      <c r="S5492" s="1113"/>
      <c r="T5492" s="1143"/>
      <c r="U5492" s="1108"/>
      <c r="V5492" s="1108"/>
      <c r="W5492" s="1108"/>
      <c r="X5492" s="1108"/>
      <c r="Y5492" s="1108"/>
      <c r="Z5492" s="1114"/>
      <c r="AA5492" s="1114"/>
      <c r="AB5492" s="1114"/>
      <c r="AC5492" s="1117"/>
      <c r="AD5492" s="1115"/>
      <c r="AE5492" s="1115"/>
      <c r="AF5492" s="1115"/>
      <c r="AG5492" s="1115"/>
      <c r="AH5492" s="1115"/>
      <c r="AI5492" s="1115"/>
      <c r="AJ5492" s="1117"/>
      <c r="AK5492" s="1118"/>
      <c r="AL5492" s="1115"/>
      <c r="AM5492" s="1115"/>
      <c r="AN5492" s="1115"/>
      <c r="AO5492" s="1115"/>
      <c r="AP5492" s="1115"/>
      <c r="AQ5492" s="1115"/>
      <c r="AR5492" s="1115"/>
      <c r="AS5492" s="1117"/>
      <c r="AT5492" s="1075"/>
      <c r="AU5492" s="1193"/>
      <c r="AV5492" s="330"/>
      <c r="AW5492" s="331"/>
      <c r="AX5492" s="331"/>
      <c r="AY5492" s="331"/>
      <c r="AZ5492" s="331"/>
      <c r="BA5492" s="331"/>
      <c r="BB5492" s="331"/>
      <c r="BC5492" s="331"/>
      <c r="BD5492" s="331"/>
      <c r="BE5492" s="333"/>
      <c r="BF5492" s="330"/>
      <c r="BG5492" s="333"/>
      <c r="BH5492" s="1119"/>
      <c r="BI5492" s="319"/>
      <c r="BJ5492" s="319"/>
      <c r="BK5492" s="319"/>
      <c r="BL5492" s="319"/>
      <c r="BM5492" s="319"/>
      <c r="BN5492" s="319"/>
      <c r="BO5492" s="319"/>
      <c r="BP5492" s="953"/>
      <c r="BQ5492" s="319"/>
      <c r="BR5492" s="319"/>
      <c r="BS5492" s="330"/>
      <c r="BT5492" s="331"/>
      <c r="BU5492" s="920"/>
      <c r="BV5492" s="903"/>
      <c r="BW5492" s="908"/>
      <c r="BX5492" s="908"/>
      <c r="BY5492" s="331"/>
      <c r="BZ5492" s="331"/>
      <c r="CA5492" s="462"/>
      <c r="CB5492" s="319"/>
      <c r="CC5492" s="319"/>
      <c r="CD5492" s="319"/>
      <c r="CE5492" s="319"/>
      <c r="CF5492" s="319"/>
      <c r="CG5492" s="319"/>
      <c r="CH5492" s="318"/>
      <c r="CI5492" s="319"/>
      <c r="CJ5492" s="319"/>
      <c r="CK5492" s="342"/>
      <c r="CL5492" s="333"/>
      <c r="CM5492" s="1079"/>
      <c r="CN5492" s="1005"/>
      <c r="CO5492" s="1005"/>
      <c r="CP5492" s="1005"/>
    </row>
    <row r="5493">
      <c r="A5493" s="1257"/>
      <c r="B5493" s="1113"/>
      <c r="C5493" s="1107"/>
      <c r="D5493" s="103"/>
      <c r="E5493" s="1137"/>
      <c r="F5493" s="112"/>
      <c r="G5493" s="1110"/>
      <c r="H5493" s="1138"/>
      <c r="I5493" s="1138"/>
      <c r="J5493" s="1139"/>
      <c r="K5493" s="1111"/>
      <c r="L5493" s="1112"/>
      <c r="M5493" s="1113"/>
      <c r="N5493" s="110"/>
      <c r="O5493" s="1140"/>
      <c r="P5493" s="1115"/>
      <c r="Q5493" s="1116"/>
      <c r="R5493" s="1141"/>
      <c r="S5493" s="1113"/>
      <c r="T5493" s="1143"/>
      <c r="U5493" s="1108"/>
      <c r="V5493" s="1108"/>
      <c r="W5493" s="1108"/>
      <c r="X5493" s="1108"/>
      <c r="Y5493" s="1108"/>
      <c r="Z5493" s="1114"/>
      <c r="AA5493" s="1114"/>
      <c r="AB5493" s="1114"/>
      <c r="AC5493" s="1117"/>
      <c r="AD5493" s="1115"/>
      <c r="AE5493" s="1115"/>
      <c r="AF5493" s="1115"/>
      <c r="AG5493" s="1115"/>
      <c r="AH5493" s="1115"/>
      <c r="AI5493" s="1115"/>
      <c r="AJ5493" s="1117"/>
      <c r="AK5493" s="1118"/>
      <c r="AL5493" s="1115"/>
      <c r="AM5493" s="1115"/>
      <c r="AN5493" s="1115"/>
      <c r="AO5493" s="1115"/>
      <c r="AP5493" s="1115"/>
      <c r="AQ5493" s="1115"/>
      <c r="AR5493" s="1115"/>
      <c r="AS5493" s="1117"/>
      <c r="AT5493" s="1075"/>
      <c r="AU5493" s="1193"/>
      <c r="AV5493" s="330"/>
      <c r="AW5493" s="331"/>
      <c r="AX5493" s="331"/>
      <c r="AY5493" s="331"/>
      <c r="AZ5493" s="331"/>
      <c r="BA5493" s="331"/>
      <c r="BB5493" s="331"/>
      <c r="BC5493" s="331"/>
      <c r="BD5493" s="331"/>
      <c r="BE5493" s="333"/>
      <c r="BF5493" s="330"/>
      <c r="BG5493" s="333"/>
      <c r="BH5493" s="1119"/>
      <c r="BI5493" s="319"/>
      <c r="BJ5493" s="319"/>
      <c r="BK5493" s="319"/>
      <c r="BL5493" s="319"/>
      <c r="BM5493" s="319"/>
      <c r="BN5493" s="319"/>
      <c r="BO5493" s="319"/>
      <c r="BP5493" s="953"/>
      <c r="BQ5493" s="319"/>
      <c r="BR5493" s="319"/>
      <c r="BS5493" s="330"/>
      <c r="BT5493" s="331"/>
      <c r="BU5493" s="920"/>
      <c r="BV5493" s="903"/>
      <c r="BW5493" s="908"/>
      <c r="BX5493" s="908"/>
      <c r="BY5493" s="331"/>
      <c r="BZ5493" s="331"/>
      <c r="CA5493" s="462"/>
      <c r="CB5493" s="319"/>
      <c r="CC5493" s="319"/>
      <c r="CD5493" s="319"/>
      <c r="CE5493" s="319"/>
      <c r="CF5493" s="319"/>
      <c r="CG5493" s="319"/>
      <c r="CH5493" s="318"/>
      <c r="CI5493" s="319"/>
      <c r="CJ5493" s="319"/>
      <c r="CK5493" s="342"/>
      <c r="CL5493" s="333"/>
      <c r="CM5493" s="1079"/>
      <c r="CN5493" s="1005"/>
      <c r="CO5493" s="1005"/>
      <c r="CP5493" s="1005"/>
    </row>
    <row r="5494">
      <c r="A5494" s="1257"/>
      <c r="B5494" s="1113"/>
      <c r="C5494" s="1107"/>
      <c r="D5494" s="103"/>
      <c r="E5494" s="1137"/>
      <c r="F5494" s="112"/>
      <c r="G5494" s="1110"/>
      <c r="H5494" s="1138"/>
      <c r="I5494" s="1138"/>
      <c r="J5494" s="1139"/>
      <c r="K5494" s="1111"/>
      <c r="L5494" s="1112"/>
      <c r="M5494" s="1113"/>
      <c r="N5494" s="110"/>
      <c r="O5494" s="1140"/>
      <c r="P5494" s="1115"/>
      <c r="Q5494" s="1116"/>
      <c r="R5494" s="1141"/>
      <c r="S5494" s="1113"/>
      <c r="T5494" s="1143"/>
      <c r="U5494" s="1108"/>
      <c r="V5494" s="1108"/>
      <c r="W5494" s="1108"/>
      <c r="X5494" s="1108"/>
      <c r="Y5494" s="1108"/>
      <c r="Z5494" s="1114"/>
      <c r="AA5494" s="1114"/>
      <c r="AB5494" s="1114"/>
      <c r="AC5494" s="1117"/>
      <c r="AD5494" s="1115"/>
      <c r="AE5494" s="1115"/>
      <c r="AF5494" s="1115"/>
      <c r="AG5494" s="1115"/>
      <c r="AH5494" s="1115"/>
      <c r="AI5494" s="1115"/>
      <c r="AJ5494" s="1117"/>
      <c r="AK5494" s="1118"/>
      <c r="AL5494" s="1115"/>
      <c r="AM5494" s="1115"/>
      <c r="AN5494" s="1115"/>
      <c r="AO5494" s="1115"/>
      <c r="AP5494" s="1115"/>
      <c r="AQ5494" s="1115"/>
      <c r="AR5494" s="1115"/>
      <c r="AS5494" s="1117"/>
      <c r="AT5494" s="1075"/>
      <c r="AU5494" s="1193"/>
      <c r="AV5494" s="330"/>
      <c r="AW5494" s="331"/>
      <c r="AX5494" s="331"/>
      <c r="AY5494" s="331"/>
      <c r="AZ5494" s="331"/>
      <c r="BA5494" s="331"/>
      <c r="BB5494" s="331"/>
      <c r="BC5494" s="331"/>
      <c r="BD5494" s="331"/>
      <c r="BE5494" s="333"/>
      <c r="BF5494" s="330"/>
      <c r="BG5494" s="333"/>
      <c r="BH5494" s="1119"/>
      <c r="BI5494" s="319"/>
      <c r="BJ5494" s="319"/>
      <c r="BK5494" s="319"/>
      <c r="BL5494" s="319"/>
      <c r="BM5494" s="319"/>
      <c r="BN5494" s="319"/>
      <c r="BO5494" s="319"/>
      <c r="BP5494" s="953"/>
      <c r="BQ5494" s="319"/>
      <c r="BR5494" s="319"/>
      <c r="BS5494" s="330"/>
      <c r="BT5494" s="331"/>
      <c r="BU5494" s="920"/>
      <c r="BV5494" s="903"/>
      <c r="BW5494" s="908"/>
      <c r="BX5494" s="908"/>
      <c r="BY5494" s="331"/>
      <c r="BZ5494" s="331"/>
      <c r="CA5494" s="462"/>
      <c r="CB5494" s="319"/>
      <c r="CC5494" s="319"/>
      <c r="CD5494" s="319"/>
      <c r="CE5494" s="319"/>
      <c r="CF5494" s="319"/>
      <c r="CG5494" s="319"/>
      <c r="CH5494" s="318"/>
      <c r="CI5494" s="319"/>
      <c r="CJ5494" s="319"/>
      <c r="CK5494" s="342"/>
      <c r="CL5494" s="333"/>
      <c r="CM5494" s="1079"/>
      <c r="CN5494" s="1005"/>
      <c r="CO5494" s="1005"/>
      <c r="CP5494" s="1005"/>
    </row>
    <row r="5495">
      <c r="A5495" s="1257"/>
      <c r="B5495" s="1113"/>
      <c r="C5495" s="1107"/>
      <c r="D5495" s="103"/>
      <c r="E5495" s="1137"/>
      <c r="F5495" s="112"/>
      <c r="G5495" s="1110"/>
      <c r="H5495" s="1138"/>
      <c r="I5495" s="1138"/>
      <c r="J5495" s="1139"/>
      <c r="K5495" s="1111"/>
      <c r="L5495" s="1112"/>
      <c r="M5495" s="1113"/>
      <c r="N5495" s="110"/>
      <c r="O5495" s="1140"/>
      <c r="P5495" s="1115"/>
      <c r="Q5495" s="1116"/>
      <c r="R5495" s="1141"/>
      <c r="S5495" s="1113"/>
      <c r="T5495" s="1143"/>
      <c r="U5495" s="1108"/>
      <c r="V5495" s="1108"/>
      <c r="W5495" s="1108"/>
      <c r="X5495" s="1108"/>
      <c r="Y5495" s="1108"/>
      <c r="Z5495" s="1114"/>
      <c r="AA5495" s="1114"/>
      <c r="AB5495" s="1114"/>
      <c r="AC5495" s="1117"/>
      <c r="AD5495" s="1115"/>
      <c r="AE5495" s="1115"/>
      <c r="AF5495" s="1115"/>
      <c r="AG5495" s="1115"/>
      <c r="AH5495" s="1115"/>
      <c r="AI5495" s="1115"/>
      <c r="AJ5495" s="1117"/>
      <c r="AK5495" s="1118"/>
      <c r="AL5495" s="1115"/>
      <c r="AM5495" s="1115"/>
      <c r="AN5495" s="1115"/>
      <c r="AO5495" s="1115"/>
      <c r="AP5495" s="1115"/>
      <c r="AQ5495" s="1115"/>
      <c r="AR5495" s="1115"/>
      <c r="AS5495" s="1117"/>
      <c r="AT5495" s="1075"/>
      <c r="AU5495" s="1193"/>
      <c r="AV5495" s="330"/>
      <c r="AW5495" s="331"/>
      <c r="AX5495" s="331"/>
      <c r="AY5495" s="331"/>
      <c r="AZ5495" s="331"/>
      <c r="BA5495" s="331"/>
      <c r="BB5495" s="331"/>
      <c r="BC5495" s="331"/>
      <c r="BD5495" s="331"/>
      <c r="BE5495" s="333"/>
      <c r="BF5495" s="330"/>
      <c r="BG5495" s="333"/>
      <c r="BH5495" s="1119"/>
      <c r="BI5495" s="319"/>
      <c r="BJ5495" s="319"/>
      <c r="BK5495" s="319"/>
      <c r="BL5495" s="319"/>
      <c r="BM5495" s="319"/>
      <c r="BN5495" s="319"/>
      <c r="BO5495" s="319"/>
      <c r="BP5495" s="953"/>
      <c r="BQ5495" s="319"/>
      <c r="BR5495" s="319"/>
      <c r="BS5495" s="330"/>
      <c r="BT5495" s="331"/>
      <c r="BU5495" s="920"/>
      <c r="BV5495" s="903"/>
      <c r="BW5495" s="908"/>
      <c r="BX5495" s="908"/>
      <c r="BY5495" s="331"/>
      <c r="BZ5495" s="331"/>
      <c r="CA5495" s="462"/>
      <c r="CB5495" s="319"/>
      <c r="CC5495" s="319"/>
      <c r="CD5495" s="319"/>
      <c r="CE5495" s="319"/>
      <c r="CF5495" s="319"/>
      <c r="CG5495" s="319"/>
      <c r="CH5495" s="318"/>
      <c r="CI5495" s="319"/>
      <c r="CJ5495" s="319"/>
      <c r="CK5495" s="342"/>
      <c r="CL5495" s="333"/>
      <c r="CM5495" s="1079"/>
      <c r="CN5495" s="1005"/>
      <c r="CO5495" s="1005"/>
      <c r="CP5495" s="1005"/>
    </row>
    <row r="5496">
      <c r="A5496" s="1257"/>
      <c r="B5496" s="1113"/>
      <c r="C5496" s="1107"/>
      <c r="D5496" s="103"/>
      <c r="E5496" s="1137"/>
      <c r="F5496" s="112"/>
      <c r="G5496" s="1110"/>
      <c r="H5496" s="1138"/>
      <c r="I5496" s="1138"/>
      <c r="J5496" s="1139"/>
      <c r="K5496" s="1111"/>
      <c r="L5496" s="1112"/>
      <c r="M5496" s="1113"/>
      <c r="N5496" s="110"/>
      <c r="O5496" s="1140"/>
      <c r="P5496" s="1115"/>
      <c r="Q5496" s="1116"/>
      <c r="R5496" s="1141"/>
      <c r="S5496" s="1113"/>
      <c r="T5496" s="1143"/>
      <c r="U5496" s="1108"/>
      <c r="V5496" s="1108"/>
      <c r="W5496" s="1108"/>
      <c r="X5496" s="1108"/>
      <c r="Y5496" s="1108"/>
      <c r="Z5496" s="1114"/>
      <c r="AA5496" s="1114"/>
      <c r="AB5496" s="1114"/>
      <c r="AC5496" s="1117"/>
      <c r="AD5496" s="1115"/>
      <c r="AE5496" s="1115"/>
      <c r="AF5496" s="1115"/>
      <c r="AG5496" s="1115"/>
      <c r="AH5496" s="1115"/>
      <c r="AI5496" s="1115"/>
      <c r="AJ5496" s="1117"/>
      <c r="AK5496" s="1118"/>
      <c r="AL5496" s="1115"/>
      <c r="AM5496" s="1115"/>
      <c r="AN5496" s="1115"/>
      <c r="AO5496" s="1115"/>
      <c r="AP5496" s="1115"/>
      <c r="AQ5496" s="1115"/>
      <c r="AR5496" s="1115"/>
      <c r="AS5496" s="1117"/>
      <c r="AT5496" s="1075"/>
      <c r="AU5496" s="1193"/>
      <c r="AV5496" s="330"/>
      <c r="AW5496" s="331"/>
      <c r="AX5496" s="331"/>
      <c r="AY5496" s="331"/>
      <c r="AZ5496" s="331"/>
      <c r="BA5496" s="331"/>
      <c r="BB5496" s="331"/>
      <c r="BC5496" s="331"/>
      <c r="BD5496" s="331"/>
      <c r="BE5496" s="333"/>
      <c r="BF5496" s="330"/>
      <c r="BG5496" s="333"/>
      <c r="BH5496" s="1119"/>
      <c r="BI5496" s="319"/>
      <c r="BJ5496" s="319"/>
      <c r="BK5496" s="319"/>
      <c r="BL5496" s="319"/>
      <c r="BM5496" s="319"/>
      <c r="BN5496" s="319"/>
      <c r="BO5496" s="319"/>
      <c r="BP5496" s="953"/>
      <c r="BQ5496" s="319"/>
      <c r="BR5496" s="319"/>
      <c r="BS5496" s="330"/>
      <c r="BT5496" s="331"/>
      <c r="BU5496" s="920"/>
      <c r="BV5496" s="903"/>
      <c r="BW5496" s="908"/>
      <c r="BX5496" s="908"/>
      <c r="BY5496" s="331"/>
      <c r="BZ5496" s="331"/>
      <c r="CA5496" s="462"/>
      <c r="CB5496" s="319"/>
      <c r="CC5496" s="319"/>
      <c r="CD5496" s="319"/>
      <c r="CE5496" s="319"/>
      <c r="CF5496" s="319"/>
      <c r="CG5496" s="319"/>
      <c r="CH5496" s="318"/>
      <c r="CI5496" s="319"/>
      <c r="CJ5496" s="319"/>
      <c r="CK5496" s="342"/>
      <c r="CL5496" s="333"/>
      <c r="CM5496" s="1079"/>
      <c r="CN5496" s="1005"/>
      <c r="CO5496" s="1005"/>
      <c r="CP5496" s="1005"/>
    </row>
    <row r="5497">
      <c r="A5497" s="1257"/>
      <c r="B5497" s="1113"/>
      <c r="C5497" s="1107"/>
      <c r="D5497" s="103"/>
      <c r="E5497" s="1137"/>
      <c r="F5497" s="112"/>
      <c r="G5497" s="1110"/>
      <c r="H5497" s="1138"/>
      <c r="I5497" s="1138"/>
      <c r="J5497" s="1139"/>
      <c r="K5497" s="1111"/>
      <c r="L5497" s="1112"/>
      <c r="M5497" s="1113"/>
      <c r="N5497" s="110"/>
      <c r="O5497" s="1140"/>
      <c r="P5497" s="1115"/>
      <c r="Q5497" s="1116"/>
      <c r="R5497" s="1141"/>
      <c r="S5497" s="1113"/>
      <c r="T5497" s="1143"/>
      <c r="U5497" s="1108"/>
      <c r="V5497" s="1108"/>
      <c r="W5497" s="1108"/>
      <c r="X5497" s="1108"/>
      <c r="Y5497" s="1108"/>
      <c r="Z5497" s="1114"/>
      <c r="AA5497" s="1114"/>
      <c r="AB5497" s="1114"/>
      <c r="AC5497" s="1117"/>
      <c r="AD5497" s="1115"/>
      <c r="AE5497" s="1115"/>
      <c r="AF5497" s="1115"/>
      <c r="AG5497" s="1115"/>
      <c r="AH5497" s="1115"/>
      <c r="AI5497" s="1115"/>
      <c r="AJ5497" s="1117"/>
      <c r="AK5497" s="1118"/>
      <c r="AL5497" s="1115"/>
      <c r="AM5497" s="1115"/>
      <c r="AN5497" s="1115"/>
      <c r="AO5497" s="1115"/>
      <c r="AP5497" s="1115"/>
      <c r="AQ5497" s="1115"/>
      <c r="AR5497" s="1115"/>
      <c r="AS5497" s="1117"/>
      <c r="AT5497" s="1075"/>
      <c r="AU5497" s="1193"/>
      <c r="AV5497" s="330"/>
      <c r="AW5497" s="331"/>
      <c r="AX5497" s="331"/>
      <c r="AY5497" s="331"/>
      <c r="AZ5497" s="331"/>
      <c r="BA5497" s="331"/>
      <c r="BB5497" s="331"/>
      <c r="BC5497" s="331"/>
      <c r="BD5497" s="331"/>
      <c r="BE5497" s="333"/>
      <c r="BF5497" s="330"/>
      <c r="BG5497" s="333"/>
      <c r="BH5497" s="1119"/>
      <c r="BI5497" s="319"/>
      <c r="BJ5497" s="319"/>
      <c r="BK5497" s="319"/>
      <c r="BL5497" s="319"/>
      <c r="BM5497" s="319"/>
      <c r="BN5497" s="319"/>
      <c r="BO5497" s="319"/>
      <c r="BP5497" s="953"/>
      <c r="BQ5497" s="319"/>
      <c r="BR5497" s="319"/>
      <c r="BS5497" s="330"/>
      <c r="BT5497" s="331"/>
      <c r="BU5497" s="920"/>
      <c r="BV5497" s="903"/>
      <c r="BW5497" s="908"/>
      <c r="BX5497" s="908"/>
      <c r="BY5497" s="331"/>
      <c r="BZ5497" s="331"/>
      <c r="CA5497" s="462"/>
      <c r="CB5497" s="319"/>
      <c r="CC5497" s="319"/>
      <c r="CD5497" s="319"/>
      <c r="CE5497" s="319"/>
      <c r="CF5497" s="319"/>
      <c r="CG5497" s="319"/>
      <c r="CH5497" s="318"/>
      <c r="CI5497" s="319"/>
      <c r="CJ5497" s="319"/>
      <c r="CK5497" s="342"/>
      <c r="CL5497" s="333"/>
      <c r="CM5497" s="1079"/>
      <c r="CN5497" s="1005"/>
      <c r="CO5497" s="1005"/>
      <c r="CP5497" s="1005"/>
    </row>
    <row r="5498">
      <c r="A5498" s="1257"/>
      <c r="B5498" s="1113"/>
      <c r="C5498" s="1107"/>
      <c r="D5498" s="103"/>
      <c r="E5498" s="1137"/>
      <c r="F5498" s="112"/>
      <c r="G5498" s="1110"/>
      <c r="H5498" s="1138"/>
      <c r="I5498" s="1138"/>
      <c r="J5498" s="1139"/>
      <c r="K5498" s="1111"/>
      <c r="L5498" s="1112"/>
      <c r="M5498" s="1113"/>
      <c r="N5498" s="110"/>
      <c r="O5498" s="1140"/>
      <c r="P5498" s="1115"/>
      <c r="Q5498" s="1116"/>
      <c r="R5498" s="1141"/>
      <c r="S5498" s="1113"/>
      <c r="T5498" s="1143"/>
      <c r="U5498" s="1108"/>
      <c r="V5498" s="1108"/>
      <c r="W5498" s="1108"/>
      <c r="X5498" s="1108"/>
      <c r="Y5498" s="1108"/>
      <c r="Z5498" s="1114"/>
      <c r="AA5498" s="1114"/>
      <c r="AB5498" s="1114"/>
      <c r="AC5498" s="1117"/>
      <c r="AD5498" s="1115"/>
      <c r="AE5498" s="1115"/>
      <c r="AF5498" s="1115"/>
      <c r="AG5498" s="1115"/>
      <c r="AH5498" s="1115"/>
      <c r="AI5498" s="1115"/>
      <c r="AJ5498" s="1117"/>
      <c r="AK5498" s="1118"/>
      <c r="AL5498" s="1115"/>
      <c r="AM5498" s="1115"/>
      <c r="AN5498" s="1115"/>
      <c r="AO5498" s="1115"/>
      <c r="AP5498" s="1115"/>
      <c r="AQ5498" s="1115"/>
      <c r="AR5498" s="1115"/>
      <c r="AS5498" s="1117"/>
      <c r="AT5498" s="1075"/>
      <c r="AU5498" s="1193"/>
      <c r="AV5498" s="330"/>
      <c r="AW5498" s="331"/>
      <c r="AX5498" s="331"/>
      <c r="AY5498" s="331"/>
      <c r="AZ5498" s="331"/>
      <c r="BA5498" s="331"/>
      <c r="BB5498" s="331"/>
      <c r="BC5498" s="331"/>
      <c r="BD5498" s="331"/>
      <c r="BE5498" s="333"/>
      <c r="BF5498" s="330"/>
      <c r="BG5498" s="333"/>
      <c r="BH5498" s="1119"/>
      <c r="BI5498" s="319"/>
      <c r="BJ5498" s="319"/>
      <c r="BK5498" s="319"/>
      <c r="BL5498" s="319"/>
      <c r="BM5498" s="319"/>
      <c r="BN5498" s="319"/>
      <c r="BO5498" s="319"/>
      <c r="BP5498" s="953"/>
      <c r="BQ5498" s="319"/>
      <c r="BR5498" s="319"/>
      <c r="BS5498" s="330"/>
      <c r="BT5498" s="331"/>
      <c r="BU5498" s="920"/>
      <c r="BV5498" s="903"/>
      <c r="BW5498" s="908"/>
      <c r="BX5498" s="908"/>
      <c r="BY5498" s="331"/>
      <c r="BZ5498" s="331"/>
      <c r="CA5498" s="462"/>
      <c r="CB5498" s="319"/>
      <c r="CC5498" s="319"/>
      <c r="CD5498" s="319"/>
      <c r="CE5498" s="319"/>
      <c r="CF5498" s="319"/>
      <c r="CG5498" s="319"/>
      <c r="CH5498" s="318"/>
      <c r="CI5498" s="319"/>
      <c r="CJ5498" s="319"/>
      <c r="CK5498" s="342"/>
      <c r="CL5498" s="333"/>
      <c r="CM5498" s="1079"/>
      <c r="CN5498" s="1005"/>
      <c r="CO5498" s="1005"/>
      <c r="CP5498" s="1005"/>
    </row>
    <row r="5499">
      <c r="A5499" s="1257"/>
      <c r="B5499" s="1113"/>
      <c r="C5499" s="1107"/>
      <c r="D5499" s="103"/>
      <c r="E5499" s="1137"/>
      <c r="F5499" s="112"/>
      <c r="G5499" s="1110"/>
      <c r="H5499" s="1138"/>
      <c r="I5499" s="1138"/>
      <c r="J5499" s="1139"/>
      <c r="K5499" s="1111"/>
      <c r="L5499" s="1112"/>
      <c r="M5499" s="1113"/>
      <c r="N5499" s="110"/>
      <c r="O5499" s="1140"/>
      <c r="P5499" s="1115"/>
      <c r="Q5499" s="1116"/>
      <c r="R5499" s="1141"/>
      <c r="S5499" s="1113"/>
      <c r="T5499" s="1143"/>
      <c r="U5499" s="1108"/>
      <c r="V5499" s="1108"/>
      <c r="W5499" s="1108"/>
      <c r="X5499" s="1108"/>
      <c r="Y5499" s="1108"/>
      <c r="Z5499" s="1114"/>
      <c r="AA5499" s="1114"/>
      <c r="AB5499" s="1114"/>
      <c r="AC5499" s="1117"/>
      <c r="AD5499" s="1115"/>
      <c r="AE5499" s="1115"/>
      <c r="AF5499" s="1115"/>
      <c r="AG5499" s="1115"/>
      <c r="AH5499" s="1115"/>
      <c r="AI5499" s="1115"/>
      <c r="AJ5499" s="1117"/>
      <c r="AK5499" s="1118"/>
      <c r="AL5499" s="1115"/>
      <c r="AM5499" s="1115"/>
      <c r="AN5499" s="1115"/>
      <c r="AO5499" s="1115"/>
      <c r="AP5499" s="1115"/>
      <c r="AQ5499" s="1115"/>
      <c r="AR5499" s="1115"/>
      <c r="AS5499" s="1117"/>
      <c r="AT5499" s="1075"/>
      <c r="AU5499" s="1193"/>
      <c r="AV5499" s="330"/>
      <c r="AW5499" s="331"/>
      <c r="AX5499" s="331"/>
      <c r="AY5499" s="331"/>
      <c r="AZ5499" s="331"/>
      <c r="BA5499" s="331"/>
      <c r="BB5499" s="331"/>
      <c r="BC5499" s="331"/>
      <c r="BD5499" s="331"/>
      <c r="BE5499" s="333"/>
      <c r="BF5499" s="330"/>
      <c r="BG5499" s="333"/>
      <c r="BH5499" s="1119"/>
      <c r="BI5499" s="319"/>
      <c r="BJ5499" s="319"/>
      <c r="BK5499" s="319"/>
      <c r="BL5499" s="319"/>
      <c r="BM5499" s="319"/>
      <c r="BN5499" s="319"/>
      <c r="BO5499" s="319"/>
      <c r="BP5499" s="953"/>
      <c r="BQ5499" s="319"/>
      <c r="BR5499" s="319"/>
      <c r="BS5499" s="330"/>
      <c r="BT5499" s="331"/>
      <c r="BU5499" s="920"/>
      <c r="BV5499" s="903"/>
      <c r="BW5499" s="908"/>
      <c r="BX5499" s="908"/>
      <c r="BY5499" s="331"/>
      <c r="BZ5499" s="331"/>
      <c r="CA5499" s="462"/>
      <c r="CB5499" s="319"/>
      <c r="CC5499" s="319"/>
      <c r="CD5499" s="319"/>
      <c r="CE5499" s="319"/>
      <c r="CF5499" s="319"/>
      <c r="CG5499" s="319"/>
      <c r="CH5499" s="318"/>
      <c r="CI5499" s="319"/>
      <c r="CJ5499" s="319"/>
      <c r="CK5499" s="342"/>
      <c r="CL5499" s="333"/>
      <c r="CM5499" s="1079"/>
      <c r="CN5499" s="1005"/>
      <c r="CO5499" s="1005"/>
      <c r="CP5499" s="1005"/>
    </row>
    <row r="5500">
      <c r="A5500" s="1257"/>
      <c r="B5500" s="1113"/>
      <c r="C5500" s="1107"/>
      <c r="D5500" s="103"/>
      <c r="E5500" s="1137"/>
      <c r="F5500" s="112"/>
      <c r="G5500" s="1110"/>
      <c r="H5500" s="1138"/>
      <c r="I5500" s="1138"/>
      <c r="J5500" s="1139"/>
      <c r="K5500" s="1111"/>
      <c r="L5500" s="1112"/>
      <c r="M5500" s="1113"/>
      <c r="N5500" s="110"/>
      <c r="O5500" s="1140"/>
      <c r="P5500" s="1115"/>
      <c r="Q5500" s="1116"/>
      <c r="R5500" s="1141"/>
      <c r="S5500" s="1113"/>
      <c r="T5500" s="1143"/>
      <c r="U5500" s="1108"/>
      <c r="V5500" s="1108"/>
      <c r="W5500" s="1108"/>
      <c r="X5500" s="1108"/>
      <c r="Y5500" s="1108"/>
      <c r="Z5500" s="1114"/>
      <c r="AA5500" s="1114"/>
      <c r="AB5500" s="1114"/>
      <c r="AC5500" s="1117"/>
      <c r="AD5500" s="1115"/>
      <c r="AE5500" s="1115"/>
      <c r="AF5500" s="1115"/>
      <c r="AG5500" s="1115"/>
      <c r="AH5500" s="1115"/>
      <c r="AI5500" s="1115"/>
      <c r="AJ5500" s="1117"/>
      <c r="AK5500" s="1118"/>
      <c r="AL5500" s="1115"/>
      <c r="AM5500" s="1115"/>
      <c r="AN5500" s="1115"/>
      <c r="AO5500" s="1115"/>
      <c r="AP5500" s="1115"/>
      <c r="AQ5500" s="1115"/>
      <c r="AR5500" s="1115"/>
      <c r="AS5500" s="1117"/>
      <c r="AT5500" s="1075"/>
      <c r="AU5500" s="1193"/>
      <c r="AV5500" s="330"/>
      <c r="AW5500" s="331"/>
      <c r="AX5500" s="331"/>
      <c r="AY5500" s="331"/>
      <c r="AZ5500" s="331"/>
      <c r="BA5500" s="331"/>
      <c r="BB5500" s="331"/>
      <c r="BC5500" s="331"/>
      <c r="BD5500" s="331"/>
      <c r="BE5500" s="333"/>
      <c r="BF5500" s="330"/>
      <c r="BG5500" s="333"/>
      <c r="BH5500" s="1119"/>
      <c r="BI5500" s="319"/>
      <c r="BJ5500" s="319"/>
      <c r="BK5500" s="319"/>
      <c r="BL5500" s="319"/>
      <c r="BM5500" s="319"/>
      <c r="BN5500" s="319"/>
      <c r="BO5500" s="319"/>
      <c r="BP5500" s="953"/>
      <c r="BQ5500" s="319"/>
      <c r="BR5500" s="319"/>
      <c r="BS5500" s="330"/>
      <c r="BT5500" s="331"/>
      <c r="BU5500" s="920"/>
      <c r="BV5500" s="903"/>
      <c r="BW5500" s="908"/>
      <c r="BX5500" s="908"/>
      <c r="BY5500" s="331"/>
      <c r="BZ5500" s="331"/>
      <c r="CA5500" s="462"/>
      <c r="CB5500" s="319"/>
      <c r="CC5500" s="319"/>
      <c r="CD5500" s="319"/>
      <c r="CE5500" s="319"/>
      <c r="CF5500" s="319"/>
      <c r="CG5500" s="319"/>
      <c r="CH5500" s="318"/>
      <c r="CI5500" s="319"/>
      <c r="CJ5500" s="319"/>
      <c r="CK5500" s="342"/>
      <c r="CL5500" s="333"/>
      <c r="CM5500" s="1079"/>
      <c r="CN5500" s="1005"/>
      <c r="CO5500" s="1005"/>
      <c r="CP5500" s="1005"/>
    </row>
    <row r="5501">
      <c r="A5501" s="1257"/>
      <c r="B5501" s="1113"/>
      <c r="C5501" s="1107"/>
      <c r="D5501" s="103"/>
      <c r="E5501" s="1137"/>
      <c r="F5501" s="112"/>
      <c r="G5501" s="1110"/>
      <c r="H5501" s="1138"/>
      <c r="I5501" s="1138"/>
      <c r="J5501" s="1139"/>
      <c r="K5501" s="1111"/>
      <c r="L5501" s="1112"/>
      <c r="M5501" s="1113"/>
      <c r="N5501" s="110"/>
      <c r="O5501" s="1140"/>
      <c r="P5501" s="1115"/>
      <c r="Q5501" s="1116"/>
      <c r="R5501" s="1141"/>
      <c r="S5501" s="1113"/>
      <c r="T5501" s="1143"/>
      <c r="U5501" s="1108"/>
      <c r="V5501" s="1108"/>
      <c r="W5501" s="1108"/>
      <c r="X5501" s="1108"/>
      <c r="Y5501" s="1108"/>
      <c r="Z5501" s="1114"/>
      <c r="AA5501" s="1114"/>
      <c r="AB5501" s="1114"/>
      <c r="AC5501" s="1117"/>
      <c r="AD5501" s="1115"/>
      <c r="AE5501" s="1115"/>
      <c r="AF5501" s="1115"/>
      <c r="AG5501" s="1115"/>
      <c r="AH5501" s="1115"/>
      <c r="AI5501" s="1115"/>
      <c r="AJ5501" s="1117"/>
      <c r="AK5501" s="1118"/>
      <c r="AL5501" s="1115"/>
      <c r="AM5501" s="1115"/>
      <c r="AN5501" s="1115"/>
      <c r="AO5501" s="1115"/>
      <c r="AP5501" s="1115"/>
      <c r="AQ5501" s="1115"/>
      <c r="AR5501" s="1115"/>
      <c r="AS5501" s="1117"/>
      <c r="AT5501" s="1075"/>
      <c r="AU5501" s="1193"/>
      <c r="AV5501" s="330"/>
      <c r="AW5501" s="331"/>
      <c r="AX5501" s="331"/>
      <c r="AY5501" s="331"/>
      <c r="AZ5501" s="331"/>
      <c r="BA5501" s="331"/>
      <c r="BB5501" s="331"/>
      <c r="BC5501" s="331"/>
      <c r="BD5501" s="331"/>
      <c r="BE5501" s="333"/>
      <c r="BF5501" s="330"/>
      <c r="BG5501" s="333"/>
      <c r="BH5501" s="1119"/>
      <c r="BI5501" s="319"/>
      <c r="BJ5501" s="319"/>
      <c r="BK5501" s="319"/>
      <c r="BL5501" s="319"/>
      <c r="BM5501" s="319"/>
      <c r="BN5501" s="319"/>
      <c r="BO5501" s="319"/>
      <c r="BP5501" s="953"/>
      <c r="BQ5501" s="319"/>
      <c r="BR5501" s="319"/>
      <c r="BS5501" s="330"/>
      <c r="BT5501" s="331"/>
      <c r="BU5501" s="920"/>
      <c r="BV5501" s="903"/>
      <c r="BW5501" s="908"/>
      <c r="BX5501" s="908"/>
      <c r="BY5501" s="331"/>
      <c r="BZ5501" s="331"/>
      <c r="CA5501" s="462"/>
      <c r="CB5501" s="319"/>
      <c r="CC5501" s="319"/>
      <c r="CD5501" s="319"/>
      <c r="CE5501" s="319"/>
      <c r="CF5501" s="319"/>
      <c r="CG5501" s="319"/>
      <c r="CH5501" s="318"/>
      <c r="CI5501" s="319"/>
      <c r="CJ5501" s="319"/>
      <c r="CK5501" s="342"/>
      <c r="CL5501" s="333"/>
      <c r="CM5501" s="1079"/>
      <c r="CN5501" s="1005"/>
      <c r="CO5501" s="1005"/>
      <c r="CP5501" s="1005"/>
    </row>
    <row r="5502">
      <c r="A5502" s="1257"/>
      <c r="B5502" s="1113"/>
      <c r="C5502" s="1107"/>
      <c r="D5502" s="103"/>
      <c r="E5502" s="1137"/>
      <c r="F5502" s="112"/>
      <c r="G5502" s="1110"/>
      <c r="H5502" s="1138"/>
      <c r="I5502" s="1138"/>
      <c r="J5502" s="1139"/>
      <c r="K5502" s="1111"/>
      <c r="L5502" s="1112"/>
      <c r="M5502" s="1113"/>
      <c r="N5502" s="110"/>
      <c r="O5502" s="1140"/>
      <c r="P5502" s="1115"/>
      <c r="Q5502" s="1116"/>
      <c r="R5502" s="1141"/>
      <c r="S5502" s="1113"/>
      <c r="T5502" s="1143"/>
      <c r="U5502" s="1108"/>
      <c r="V5502" s="1108"/>
      <c r="W5502" s="1108"/>
      <c r="X5502" s="1108"/>
      <c r="Y5502" s="1108"/>
      <c r="Z5502" s="1114"/>
      <c r="AA5502" s="1114"/>
      <c r="AB5502" s="1114"/>
      <c r="AC5502" s="1117"/>
      <c r="AD5502" s="1115"/>
      <c r="AE5502" s="1115"/>
      <c r="AF5502" s="1115"/>
      <c r="AG5502" s="1115"/>
      <c r="AH5502" s="1115"/>
      <c r="AI5502" s="1115"/>
      <c r="AJ5502" s="1117"/>
      <c r="AK5502" s="1118"/>
      <c r="AL5502" s="1115"/>
      <c r="AM5502" s="1115"/>
      <c r="AN5502" s="1115"/>
      <c r="AO5502" s="1115"/>
      <c r="AP5502" s="1115"/>
      <c r="AQ5502" s="1115"/>
      <c r="AR5502" s="1115"/>
      <c r="AS5502" s="1117"/>
      <c r="AT5502" s="1075"/>
      <c r="AU5502" s="1193"/>
      <c r="AV5502" s="330"/>
      <c r="AW5502" s="331"/>
      <c r="AX5502" s="331"/>
      <c r="AY5502" s="331"/>
      <c r="AZ5502" s="331"/>
      <c r="BA5502" s="331"/>
      <c r="BB5502" s="331"/>
      <c r="BC5502" s="331"/>
      <c r="BD5502" s="331"/>
      <c r="BE5502" s="333"/>
      <c r="BF5502" s="330"/>
      <c r="BG5502" s="333"/>
      <c r="BH5502" s="1119"/>
      <c r="BI5502" s="319"/>
      <c r="BJ5502" s="319"/>
      <c r="BK5502" s="319"/>
      <c r="BL5502" s="319"/>
      <c r="BM5502" s="319"/>
      <c r="BN5502" s="319"/>
      <c r="BO5502" s="319"/>
      <c r="BP5502" s="953"/>
      <c r="BQ5502" s="319"/>
      <c r="BR5502" s="319"/>
      <c r="BS5502" s="330"/>
      <c r="BT5502" s="331"/>
      <c r="BU5502" s="920"/>
      <c r="BV5502" s="903"/>
      <c r="BW5502" s="908"/>
      <c r="BX5502" s="908"/>
      <c r="BY5502" s="331"/>
      <c r="BZ5502" s="331"/>
      <c r="CA5502" s="462"/>
      <c r="CB5502" s="319"/>
      <c r="CC5502" s="319"/>
      <c r="CD5502" s="319"/>
      <c r="CE5502" s="319"/>
      <c r="CF5502" s="319"/>
      <c r="CG5502" s="319"/>
      <c r="CH5502" s="318"/>
      <c r="CI5502" s="319"/>
      <c r="CJ5502" s="319"/>
      <c r="CK5502" s="342"/>
      <c r="CL5502" s="333"/>
      <c r="CM5502" s="1079"/>
      <c r="CN5502" s="1005"/>
      <c r="CO5502" s="1005"/>
      <c r="CP5502" s="1005"/>
    </row>
    <row r="5503">
      <c r="A5503" s="1257"/>
      <c r="B5503" s="1113"/>
      <c r="C5503" s="1107"/>
      <c r="D5503" s="103"/>
      <c r="E5503" s="1137"/>
      <c r="F5503" s="112"/>
      <c r="G5503" s="1110"/>
      <c r="H5503" s="1138"/>
      <c r="I5503" s="1138"/>
      <c r="J5503" s="1139"/>
      <c r="K5503" s="1111"/>
      <c r="L5503" s="1112"/>
      <c r="M5503" s="1113"/>
      <c r="N5503" s="110"/>
      <c r="O5503" s="1140"/>
      <c r="P5503" s="1115"/>
      <c r="Q5503" s="1116"/>
      <c r="R5503" s="1141"/>
      <c r="S5503" s="1113"/>
      <c r="T5503" s="1143"/>
      <c r="U5503" s="1108"/>
      <c r="V5503" s="1108"/>
      <c r="W5503" s="1108"/>
      <c r="X5503" s="1108"/>
      <c r="Y5503" s="1108"/>
      <c r="Z5503" s="1114"/>
      <c r="AA5503" s="1114"/>
      <c r="AB5503" s="1114"/>
      <c r="AC5503" s="1117"/>
      <c r="AD5503" s="1115"/>
      <c r="AE5503" s="1115"/>
      <c r="AF5503" s="1115"/>
      <c r="AG5503" s="1115"/>
      <c r="AH5503" s="1115"/>
      <c r="AI5503" s="1115"/>
      <c r="AJ5503" s="1117"/>
      <c r="AK5503" s="1118"/>
      <c r="AL5503" s="1115"/>
      <c r="AM5503" s="1115"/>
      <c r="AN5503" s="1115"/>
      <c r="AO5503" s="1115"/>
      <c r="AP5503" s="1115"/>
      <c r="AQ5503" s="1115"/>
      <c r="AR5503" s="1115"/>
      <c r="AS5503" s="1117"/>
      <c r="AT5503" s="1075"/>
      <c r="AU5503" s="1193"/>
      <c r="AV5503" s="330"/>
      <c r="AW5503" s="331"/>
      <c r="AX5503" s="331"/>
      <c r="AY5503" s="331"/>
      <c r="AZ5503" s="331"/>
      <c r="BA5503" s="331"/>
      <c r="BB5503" s="331"/>
      <c r="BC5503" s="331"/>
      <c r="BD5503" s="331"/>
      <c r="BE5503" s="333"/>
      <c r="BF5503" s="330"/>
      <c r="BG5503" s="333"/>
      <c r="BH5503" s="1119"/>
      <c r="BI5503" s="319"/>
      <c r="BJ5503" s="319"/>
      <c r="BK5503" s="319"/>
      <c r="BL5503" s="319"/>
      <c r="BM5503" s="319"/>
      <c r="BN5503" s="319"/>
      <c r="BO5503" s="319"/>
      <c r="BP5503" s="953"/>
      <c r="BQ5503" s="319"/>
      <c r="BR5503" s="319"/>
      <c r="BS5503" s="330"/>
      <c r="BT5503" s="331"/>
      <c r="BU5503" s="920"/>
      <c r="BV5503" s="903"/>
      <c r="BW5503" s="908"/>
      <c r="BX5503" s="908"/>
      <c r="BY5503" s="331"/>
      <c r="BZ5503" s="331"/>
      <c r="CA5503" s="462"/>
      <c r="CB5503" s="319"/>
      <c r="CC5503" s="319"/>
      <c r="CD5503" s="319"/>
      <c r="CE5503" s="319"/>
      <c r="CF5503" s="319"/>
      <c r="CG5503" s="319"/>
      <c r="CH5503" s="318"/>
      <c r="CI5503" s="319"/>
      <c r="CJ5503" s="319"/>
      <c r="CK5503" s="342"/>
      <c r="CL5503" s="333"/>
      <c r="CM5503" s="1079"/>
      <c r="CN5503" s="1005"/>
      <c r="CO5503" s="1005"/>
      <c r="CP5503" s="1005"/>
    </row>
    <row r="5504">
      <c r="A5504" s="1257"/>
      <c r="B5504" s="1113"/>
      <c r="C5504" s="1107"/>
      <c r="D5504" s="103"/>
      <c r="E5504" s="1137"/>
      <c r="F5504" s="112"/>
      <c r="G5504" s="1110"/>
      <c r="H5504" s="1138"/>
      <c r="I5504" s="1138"/>
      <c r="J5504" s="1139"/>
      <c r="K5504" s="1111"/>
      <c r="L5504" s="1112"/>
      <c r="M5504" s="1113"/>
      <c r="N5504" s="110"/>
      <c r="O5504" s="1140"/>
      <c r="P5504" s="1115"/>
      <c r="Q5504" s="1116"/>
      <c r="R5504" s="1141"/>
      <c r="S5504" s="1113"/>
      <c r="T5504" s="1143"/>
      <c r="U5504" s="1108"/>
      <c r="V5504" s="1108"/>
      <c r="W5504" s="1108"/>
      <c r="X5504" s="1108"/>
      <c r="Y5504" s="1108"/>
      <c r="Z5504" s="1114"/>
      <c r="AA5504" s="1114"/>
      <c r="AB5504" s="1114"/>
      <c r="AC5504" s="1117"/>
      <c r="AD5504" s="1115"/>
      <c r="AE5504" s="1115"/>
      <c r="AF5504" s="1115"/>
      <c r="AG5504" s="1115"/>
      <c r="AH5504" s="1115"/>
      <c r="AI5504" s="1115"/>
      <c r="AJ5504" s="1117"/>
      <c r="AK5504" s="1118"/>
      <c r="AL5504" s="1115"/>
      <c r="AM5504" s="1115"/>
      <c r="AN5504" s="1115"/>
      <c r="AO5504" s="1115"/>
      <c r="AP5504" s="1115"/>
      <c r="AQ5504" s="1115"/>
      <c r="AR5504" s="1115"/>
      <c r="AS5504" s="1117"/>
      <c r="AT5504" s="1075"/>
      <c r="AU5504" s="1193"/>
      <c r="AV5504" s="330"/>
      <c r="AW5504" s="331"/>
      <c r="AX5504" s="331"/>
      <c r="AY5504" s="331"/>
      <c r="AZ5504" s="331"/>
      <c r="BA5504" s="331"/>
      <c r="BB5504" s="331"/>
      <c r="BC5504" s="331"/>
      <c r="BD5504" s="331"/>
      <c r="BE5504" s="333"/>
      <c r="BF5504" s="330"/>
      <c r="BG5504" s="333"/>
      <c r="BH5504" s="1119"/>
      <c r="BI5504" s="319"/>
      <c r="BJ5504" s="319"/>
      <c r="BK5504" s="319"/>
      <c r="BL5504" s="319"/>
      <c r="BM5504" s="319"/>
      <c r="BN5504" s="319"/>
      <c r="BO5504" s="319"/>
      <c r="BP5504" s="953"/>
      <c r="BQ5504" s="319"/>
      <c r="BR5504" s="319"/>
      <c r="BS5504" s="330"/>
      <c r="BT5504" s="331"/>
      <c r="BU5504" s="920"/>
      <c r="BV5504" s="903"/>
      <c r="BW5504" s="908"/>
      <c r="BX5504" s="908"/>
      <c r="BY5504" s="331"/>
      <c r="BZ5504" s="331"/>
      <c r="CA5504" s="462"/>
      <c r="CB5504" s="319"/>
      <c r="CC5504" s="319"/>
      <c r="CD5504" s="319"/>
      <c r="CE5504" s="319"/>
      <c r="CF5504" s="319"/>
      <c r="CG5504" s="319"/>
      <c r="CH5504" s="318"/>
      <c r="CI5504" s="319"/>
      <c r="CJ5504" s="319"/>
      <c r="CK5504" s="342"/>
      <c r="CL5504" s="333"/>
      <c r="CM5504" s="1079"/>
      <c r="CN5504" s="1005"/>
      <c r="CO5504" s="1005"/>
      <c r="CP5504" s="1005"/>
    </row>
    <row r="5505">
      <c r="A5505" s="1257"/>
      <c r="B5505" s="1113"/>
      <c r="C5505" s="1107"/>
      <c r="D5505" s="103"/>
      <c r="E5505" s="1137"/>
      <c r="F5505" s="112"/>
      <c r="G5505" s="1110"/>
      <c r="H5505" s="1138"/>
      <c r="I5505" s="1138"/>
      <c r="J5505" s="1139"/>
      <c r="K5505" s="1111"/>
      <c r="L5505" s="1112"/>
      <c r="M5505" s="1113"/>
      <c r="N5505" s="110"/>
      <c r="O5505" s="1140"/>
      <c r="P5505" s="1115"/>
      <c r="Q5505" s="1116"/>
      <c r="R5505" s="1141"/>
      <c r="S5505" s="1113"/>
      <c r="T5505" s="1143"/>
      <c r="U5505" s="1108"/>
      <c r="V5505" s="1108"/>
      <c r="W5505" s="1108"/>
      <c r="X5505" s="1108"/>
      <c r="Y5505" s="1108"/>
      <c r="Z5505" s="1114"/>
      <c r="AA5505" s="1114"/>
      <c r="AB5505" s="1114"/>
      <c r="AC5505" s="1117"/>
      <c r="AD5505" s="1115"/>
      <c r="AE5505" s="1115"/>
      <c r="AF5505" s="1115"/>
      <c r="AG5505" s="1115"/>
      <c r="AH5505" s="1115"/>
      <c r="AI5505" s="1115"/>
      <c r="AJ5505" s="1117"/>
      <c r="AK5505" s="1118"/>
      <c r="AL5505" s="1115"/>
      <c r="AM5505" s="1115"/>
      <c r="AN5505" s="1115"/>
      <c r="AO5505" s="1115"/>
      <c r="AP5505" s="1115"/>
      <c r="AQ5505" s="1115"/>
      <c r="AR5505" s="1115"/>
      <c r="AS5505" s="1117"/>
      <c r="AT5505" s="1075"/>
      <c r="AU5505" s="1193"/>
      <c r="AV5505" s="330"/>
      <c r="AW5505" s="331"/>
      <c r="AX5505" s="331"/>
      <c r="AY5505" s="331"/>
      <c r="AZ5505" s="331"/>
      <c r="BA5505" s="331"/>
      <c r="BB5505" s="331"/>
      <c r="BC5505" s="331"/>
      <c r="BD5505" s="331"/>
      <c r="BE5505" s="333"/>
      <c r="BF5505" s="330"/>
      <c r="BG5505" s="333"/>
      <c r="BH5505" s="1119"/>
      <c r="BI5505" s="319"/>
      <c r="BJ5505" s="319"/>
      <c r="BK5505" s="319"/>
      <c r="BL5505" s="319"/>
      <c r="BM5505" s="319"/>
      <c r="BN5505" s="319"/>
      <c r="BO5505" s="319"/>
      <c r="BP5505" s="953"/>
      <c r="BQ5505" s="319"/>
      <c r="BR5505" s="319"/>
      <c r="BS5505" s="330"/>
      <c r="BT5505" s="331"/>
      <c r="BU5505" s="920"/>
      <c r="BV5505" s="903"/>
      <c r="BW5505" s="908"/>
      <c r="BX5505" s="908"/>
      <c r="BY5505" s="331"/>
      <c r="BZ5505" s="331"/>
      <c r="CA5505" s="462"/>
      <c r="CB5505" s="319"/>
      <c r="CC5505" s="319"/>
      <c r="CD5505" s="319"/>
      <c r="CE5505" s="319"/>
      <c r="CF5505" s="319"/>
      <c r="CG5505" s="319"/>
      <c r="CH5505" s="318"/>
      <c r="CI5505" s="319"/>
      <c r="CJ5505" s="319"/>
      <c r="CK5505" s="342"/>
      <c r="CL5505" s="333"/>
      <c r="CM5505" s="1079"/>
      <c r="CN5505" s="1005"/>
      <c r="CO5505" s="1005"/>
      <c r="CP5505" s="1005"/>
    </row>
    <row r="5506">
      <c r="A5506" s="1257"/>
      <c r="B5506" s="1113"/>
      <c r="C5506" s="1107"/>
      <c r="D5506" s="103"/>
      <c r="E5506" s="1137"/>
      <c r="F5506" s="112"/>
      <c r="G5506" s="1110"/>
      <c r="H5506" s="1138"/>
      <c r="I5506" s="1138"/>
      <c r="J5506" s="1139"/>
      <c r="K5506" s="1111"/>
      <c r="L5506" s="1112"/>
      <c r="M5506" s="1113"/>
      <c r="N5506" s="110"/>
      <c r="O5506" s="1140"/>
      <c r="P5506" s="1115"/>
      <c r="Q5506" s="1116"/>
      <c r="R5506" s="1141"/>
      <c r="S5506" s="1113"/>
      <c r="T5506" s="1143"/>
      <c r="U5506" s="1108"/>
      <c r="V5506" s="1108"/>
      <c r="W5506" s="1108"/>
      <c r="X5506" s="1108"/>
      <c r="Y5506" s="1108"/>
      <c r="Z5506" s="1114"/>
      <c r="AA5506" s="1114"/>
      <c r="AB5506" s="1114"/>
      <c r="AC5506" s="1117"/>
      <c r="AD5506" s="1115"/>
      <c r="AE5506" s="1115"/>
      <c r="AF5506" s="1115"/>
      <c r="AG5506" s="1115"/>
      <c r="AH5506" s="1115"/>
      <c r="AI5506" s="1115"/>
      <c r="AJ5506" s="1117"/>
      <c r="AK5506" s="1118"/>
      <c r="AL5506" s="1115"/>
      <c r="AM5506" s="1115"/>
      <c r="AN5506" s="1115"/>
      <c r="AO5506" s="1115"/>
      <c r="AP5506" s="1115"/>
      <c r="AQ5506" s="1115"/>
      <c r="AR5506" s="1115"/>
      <c r="AS5506" s="1117"/>
      <c r="AT5506" s="1075"/>
      <c r="AU5506" s="1193"/>
      <c r="AV5506" s="330"/>
      <c r="AW5506" s="331"/>
      <c r="AX5506" s="331"/>
      <c r="AY5506" s="331"/>
      <c r="AZ5506" s="331"/>
      <c r="BA5506" s="331"/>
      <c r="BB5506" s="331"/>
      <c r="BC5506" s="331"/>
      <c r="BD5506" s="331"/>
      <c r="BE5506" s="333"/>
      <c r="BF5506" s="330"/>
      <c r="BG5506" s="333"/>
      <c r="BH5506" s="1119"/>
      <c r="BI5506" s="319"/>
      <c r="BJ5506" s="319"/>
      <c r="BK5506" s="319"/>
      <c r="BL5506" s="319"/>
      <c r="BM5506" s="319"/>
      <c r="BN5506" s="319"/>
      <c r="BO5506" s="319"/>
      <c r="BP5506" s="953"/>
      <c r="BQ5506" s="319"/>
      <c r="BR5506" s="319"/>
      <c r="BS5506" s="330"/>
      <c r="BT5506" s="331"/>
      <c r="BU5506" s="920"/>
      <c r="BV5506" s="903"/>
      <c r="BW5506" s="908"/>
      <c r="BX5506" s="908"/>
      <c r="BY5506" s="331"/>
      <c r="BZ5506" s="331"/>
      <c r="CA5506" s="462"/>
      <c r="CB5506" s="319"/>
      <c r="CC5506" s="319"/>
      <c r="CD5506" s="319"/>
      <c r="CE5506" s="319"/>
      <c r="CF5506" s="319"/>
      <c r="CG5506" s="319"/>
      <c r="CH5506" s="318"/>
      <c r="CI5506" s="319"/>
      <c r="CJ5506" s="319"/>
      <c r="CK5506" s="342"/>
      <c r="CL5506" s="333"/>
      <c r="CM5506" s="1079"/>
      <c r="CN5506" s="1005"/>
      <c r="CO5506" s="1005"/>
      <c r="CP5506" s="1005"/>
    </row>
    <row r="5507">
      <c r="A5507" s="1257"/>
      <c r="B5507" s="1113"/>
      <c r="C5507" s="1107"/>
      <c r="D5507" s="103"/>
      <c r="E5507" s="1137"/>
      <c r="F5507" s="112"/>
      <c r="G5507" s="1110"/>
      <c r="H5507" s="1138"/>
      <c r="I5507" s="1138"/>
      <c r="J5507" s="1139"/>
      <c r="K5507" s="1111"/>
      <c r="L5507" s="1112"/>
      <c r="M5507" s="1113"/>
      <c r="N5507" s="110"/>
      <c r="O5507" s="1140"/>
      <c r="P5507" s="1115"/>
      <c r="Q5507" s="1116"/>
      <c r="R5507" s="1141"/>
      <c r="S5507" s="1113"/>
      <c r="T5507" s="1143"/>
      <c r="U5507" s="1108"/>
      <c r="V5507" s="1108"/>
      <c r="W5507" s="1108"/>
      <c r="X5507" s="1108"/>
      <c r="Y5507" s="1108"/>
      <c r="Z5507" s="1114"/>
      <c r="AA5507" s="1114"/>
      <c r="AB5507" s="1114"/>
      <c r="AC5507" s="1117"/>
      <c r="AD5507" s="1115"/>
      <c r="AE5507" s="1115"/>
      <c r="AF5507" s="1115"/>
      <c r="AG5507" s="1115"/>
      <c r="AH5507" s="1115"/>
      <c r="AI5507" s="1115"/>
      <c r="AJ5507" s="1117"/>
      <c r="AK5507" s="1118"/>
      <c r="AL5507" s="1115"/>
      <c r="AM5507" s="1115"/>
      <c r="AN5507" s="1115"/>
      <c r="AO5507" s="1115"/>
      <c r="AP5507" s="1115"/>
      <c r="AQ5507" s="1115"/>
      <c r="AR5507" s="1115"/>
      <c r="AS5507" s="1117"/>
      <c r="AT5507" s="1075"/>
      <c r="AU5507" s="1193"/>
      <c r="AV5507" s="330"/>
      <c r="AW5507" s="331"/>
      <c r="AX5507" s="331"/>
      <c r="AY5507" s="331"/>
      <c r="AZ5507" s="331"/>
      <c r="BA5507" s="331"/>
      <c r="BB5507" s="331"/>
      <c r="BC5507" s="331"/>
      <c r="BD5507" s="331"/>
      <c r="BE5507" s="333"/>
      <c r="BF5507" s="330"/>
      <c r="BG5507" s="333"/>
      <c r="BH5507" s="1119"/>
      <c r="BI5507" s="319"/>
      <c r="BJ5507" s="319"/>
      <c r="BK5507" s="319"/>
      <c r="BL5507" s="319"/>
      <c r="BM5507" s="319"/>
      <c r="BN5507" s="319"/>
      <c r="BO5507" s="319"/>
      <c r="BP5507" s="953"/>
      <c r="BQ5507" s="319"/>
      <c r="BR5507" s="319"/>
      <c r="BS5507" s="330"/>
      <c r="BT5507" s="331"/>
      <c r="BU5507" s="920"/>
      <c r="BV5507" s="903"/>
      <c r="BW5507" s="908"/>
      <c r="BX5507" s="908"/>
      <c r="BY5507" s="331"/>
      <c r="BZ5507" s="331"/>
      <c r="CA5507" s="462"/>
      <c r="CB5507" s="319"/>
      <c r="CC5507" s="319"/>
      <c r="CD5507" s="319"/>
      <c r="CE5507" s="319"/>
      <c r="CF5507" s="319"/>
      <c r="CG5507" s="319"/>
      <c r="CH5507" s="318"/>
      <c r="CI5507" s="319"/>
      <c r="CJ5507" s="319"/>
      <c r="CK5507" s="342"/>
      <c r="CL5507" s="333"/>
      <c r="CM5507" s="1079"/>
      <c r="CN5507" s="1005"/>
      <c r="CO5507" s="1005"/>
      <c r="CP5507" s="1005"/>
    </row>
    <row r="5508">
      <c r="A5508" s="1257"/>
      <c r="B5508" s="1113"/>
      <c r="C5508" s="1107"/>
      <c r="D5508" s="103"/>
      <c r="E5508" s="1137"/>
      <c r="F5508" s="112"/>
      <c r="G5508" s="1110"/>
      <c r="H5508" s="1138"/>
      <c r="I5508" s="1138"/>
      <c r="J5508" s="1139"/>
      <c r="K5508" s="1111"/>
      <c r="L5508" s="1112"/>
      <c r="M5508" s="1113"/>
      <c r="N5508" s="110"/>
      <c r="O5508" s="1140"/>
      <c r="P5508" s="1115"/>
      <c r="Q5508" s="1116"/>
      <c r="R5508" s="1141"/>
      <c r="S5508" s="1113"/>
      <c r="T5508" s="1143"/>
      <c r="U5508" s="1108"/>
      <c r="V5508" s="1108"/>
      <c r="W5508" s="1108"/>
      <c r="X5508" s="1108"/>
      <c r="Y5508" s="1108"/>
      <c r="Z5508" s="1114"/>
      <c r="AA5508" s="1114"/>
      <c r="AB5508" s="1114"/>
      <c r="AC5508" s="1117"/>
      <c r="AD5508" s="1115"/>
      <c r="AE5508" s="1115"/>
      <c r="AF5508" s="1115"/>
      <c r="AG5508" s="1115"/>
      <c r="AH5508" s="1115"/>
      <c r="AI5508" s="1115"/>
      <c r="AJ5508" s="1117"/>
      <c r="AK5508" s="1118"/>
      <c r="AL5508" s="1115"/>
      <c r="AM5508" s="1115"/>
      <c r="AN5508" s="1115"/>
      <c r="AO5508" s="1115"/>
      <c r="AP5508" s="1115"/>
      <c r="AQ5508" s="1115"/>
      <c r="AR5508" s="1115"/>
      <c r="AS5508" s="1117"/>
      <c r="AT5508" s="1075"/>
      <c r="AU5508" s="1193"/>
      <c r="AV5508" s="330"/>
      <c r="AW5508" s="331"/>
      <c r="AX5508" s="331"/>
      <c r="AY5508" s="331"/>
      <c r="AZ5508" s="331"/>
      <c r="BA5508" s="331"/>
      <c r="BB5508" s="331"/>
      <c r="BC5508" s="331"/>
      <c r="BD5508" s="331"/>
      <c r="BE5508" s="333"/>
      <c r="BF5508" s="330"/>
      <c r="BG5508" s="333"/>
      <c r="BH5508" s="1119"/>
      <c r="BI5508" s="319"/>
      <c r="BJ5508" s="319"/>
      <c r="BK5508" s="319"/>
      <c r="BL5508" s="319"/>
      <c r="BM5508" s="319"/>
      <c r="BN5508" s="319"/>
      <c r="BO5508" s="319"/>
      <c r="BP5508" s="953"/>
      <c r="BQ5508" s="319"/>
      <c r="BR5508" s="319"/>
      <c r="BS5508" s="330"/>
      <c r="BT5508" s="331"/>
      <c r="BU5508" s="920"/>
      <c r="BV5508" s="903"/>
      <c r="BW5508" s="908"/>
      <c r="BX5508" s="908"/>
      <c r="BY5508" s="331"/>
      <c r="BZ5508" s="331"/>
      <c r="CA5508" s="462"/>
      <c r="CB5508" s="319"/>
      <c r="CC5508" s="319"/>
      <c r="CD5508" s="319"/>
      <c r="CE5508" s="319"/>
      <c r="CF5508" s="319"/>
      <c r="CG5508" s="319"/>
      <c r="CH5508" s="318"/>
      <c r="CI5508" s="319"/>
      <c r="CJ5508" s="319"/>
      <c r="CK5508" s="342"/>
      <c r="CL5508" s="333"/>
      <c r="CM5508" s="1079"/>
      <c r="CN5508" s="1005"/>
      <c r="CO5508" s="1005"/>
      <c r="CP5508" s="1005"/>
    </row>
    <row r="5509">
      <c r="A5509" s="1257"/>
      <c r="B5509" s="1113"/>
      <c r="C5509" s="1107"/>
      <c r="D5509" s="103"/>
      <c r="E5509" s="1137"/>
      <c r="F5509" s="112"/>
      <c r="G5509" s="1110"/>
      <c r="H5509" s="1138"/>
      <c r="I5509" s="1138"/>
      <c r="J5509" s="1139"/>
      <c r="K5509" s="1111"/>
      <c r="L5509" s="1112"/>
      <c r="M5509" s="1113"/>
      <c r="N5509" s="110"/>
      <c r="O5509" s="1140"/>
      <c r="P5509" s="1115"/>
      <c r="Q5509" s="1116"/>
      <c r="R5509" s="1141"/>
      <c r="S5509" s="1113"/>
      <c r="T5509" s="1143"/>
      <c r="U5509" s="1108"/>
      <c r="V5509" s="1108"/>
      <c r="W5509" s="1108"/>
      <c r="X5509" s="1108"/>
      <c r="Y5509" s="1108"/>
      <c r="Z5509" s="1114"/>
      <c r="AA5509" s="1114"/>
      <c r="AB5509" s="1114"/>
      <c r="AC5509" s="1117"/>
      <c r="AD5509" s="1115"/>
      <c r="AE5509" s="1115"/>
      <c r="AF5509" s="1115"/>
      <c r="AG5509" s="1115"/>
      <c r="AH5509" s="1115"/>
      <c r="AI5509" s="1115"/>
      <c r="AJ5509" s="1117"/>
      <c r="AK5509" s="1118"/>
      <c r="AL5509" s="1115"/>
      <c r="AM5509" s="1115"/>
      <c r="AN5509" s="1115"/>
      <c r="AO5509" s="1115"/>
      <c r="AP5509" s="1115"/>
      <c r="AQ5509" s="1115"/>
      <c r="AR5509" s="1115"/>
      <c r="AS5509" s="1117"/>
      <c r="AT5509" s="1075"/>
      <c r="AU5509" s="1193"/>
      <c r="AV5509" s="330"/>
      <c r="AW5509" s="331"/>
      <c r="AX5509" s="331"/>
      <c r="AY5509" s="331"/>
      <c r="AZ5509" s="331"/>
      <c r="BA5509" s="331"/>
      <c r="BB5509" s="331"/>
      <c r="BC5509" s="331"/>
      <c r="BD5509" s="331"/>
      <c r="BE5509" s="333"/>
      <c r="BF5509" s="330"/>
      <c r="BG5509" s="333"/>
      <c r="BH5509" s="1119"/>
      <c r="BI5509" s="319"/>
      <c r="BJ5509" s="319"/>
      <c r="BK5509" s="319"/>
      <c r="BL5509" s="319"/>
      <c r="BM5509" s="319"/>
      <c r="BN5509" s="319"/>
      <c r="BO5509" s="319"/>
      <c r="BP5509" s="953"/>
      <c r="BQ5509" s="319"/>
      <c r="BR5509" s="319"/>
      <c r="BS5509" s="330"/>
      <c r="BT5509" s="331"/>
      <c r="BU5509" s="920"/>
      <c r="BV5509" s="903"/>
      <c r="BW5509" s="908"/>
      <c r="BX5509" s="908"/>
      <c r="BY5509" s="331"/>
      <c r="BZ5509" s="331"/>
      <c r="CA5509" s="462"/>
      <c r="CB5509" s="319"/>
      <c r="CC5509" s="319"/>
      <c r="CD5509" s="319"/>
      <c r="CE5509" s="319"/>
      <c r="CF5509" s="319"/>
      <c r="CG5509" s="319"/>
      <c r="CH5509" s="318"/>
      <c r="CI5509" s="319"/>
      <c r="CJ5509" s="319"/>
      <c r="CK5509" s="342"/>
      <c r="CL5509" s="333"/>
      <c r="CM5509" s="1079"/>
      <c r="CN5509" s="1005"/>
      <c r="CO5509" s="1005"/>
      <c r="CP5509" s="1005"/>
    </row>
    <row r="5510">
      <c r="A5510" s="1257"/>
      <c r="B5510" s="1113"/>
      <c r="C5510" s="1107"/>
      <c r="D5510" s="103"/>
      <c r="E5510" s="1137"/>
      <c r="F5510" s="112"/>
      <c r="G5510" s="1110"/>
      <c r="H5510" s="1138"/>
      <c r="I5510" s="1138"/>
      <c r="J5510" s="1139"/>
      <c r="K5510" s="1111"/>
      <c r="L5510" s="1112"/>
      <c r="M5510" s="1113"/>
      <c r="N5510" s="110"/>
      <c r="O5510" s="1140"/>
      <c r="P5510" s="1115"/>
      <c r="Q5510" s="1116"/>
      <c r="R5510" s="1141"/>
      <c r="S5510" s="1113"/>
      <c r="T5510" s="1143"/>
      <c r="U5510" s="1108"/>
      <c r="V5510" s="1108"/>
      <c r="W5510" s="1108"/>
      <c r="X5510" s="1108"/>
      <c r="Y5510" s="1108"/>
      <c r="Z5510" s="1114"/>
      <c r="AA5510" s="1114"/>
      <c r="AB5510" s="1114"/>
      <c r="AC5510" s="1117"/>
      <c r="AD5510" s="1115"/>
      <c r="AE5510" s="1115"/>
      <c r="AF5510" s="1115"/>
      <c r="AG5510" s="1115"/>
      <c r="AH5510" s="1115"/>
      <c r="AI5510" s="1115"/>
      <c r="AJ5510" s="1117"/>
      <c r="AK5510" s="1118"/>
      <c r="AL5510" s="1115"/>
      <c r="AM5510" s="1115"/>
      <c r="AN5510" s="1115"/>
      <c r="AO5510" s="1115"/>
      <c r="AP5510" s="1115"/>
      <c r="AQ5510" s="1115"/>
      <c r="AR5510" s="1115"/>
      <c r="AS5510" s="1117"/>
      <c r="AT5510" s="1075"/>
      <c r="AU5510" s="1193"/>
      <c r="AV5510" s="330"/>
      <c r="AW5510" s="331"/>
      <c r="AX5510" s="331"/>
      <c r="AY5510" s="331"/>
      <c r="AZ5510" s="331"/>
      <c r="BA5510" s="331"/>
      <c r="BB5510" s="331"/>
      <c r="BC5510" s="331"/>
      <c r="BD5510" s="331"/>
      <c r="BE5510" s="333"/>
      <c r="BF5510" s="330"/>
      <c r="BG5510" s="333"/>
      <c r="BH5510" s="1119"/>
      <c r="BI5510" s="319"/>
      <c r="BJ5510" s="319"/>
      <c r="BK5510" s="319"/>
      <c r="BL5510" s="319"/>
      <c r="BM5510" s="319"/>
      <c r="BN5510" s="319"/>
      <c r="BO5510" s="319"/>
      <c r="BP5510" s="953"/>
      <c r="BQ5510" s="319"/>
      <c r="BR5510" s="319"/>
      <c r="BS5510" s="330"/>
      <c r="BT5510" s="331"/>
      <c r="BU5510" s="920"/>
      <c r="BV5510" s="903"/>
      <c r="BW5510" s="908"/>
      <c r="BX5510" s="908"/>
      <c r="BY5510" s="331"/>
      <c r="BZ5510" s="331"/>
      <c r="CA5510" s="462"/>
      <c r="CB5510" s="319"/>
      <c r="CC5510" s="319"/>
      <c r="CD5510" s="319"/>
      <c r="CE5510" s="319"/>
      <c r="CF5510" s="319"/>
      <c r="CG5510" s="319"/>
      <c r="CH5510" s="318"/>
      <c r="CI5510" s="319"/>
      <c r="CJ5510" s="319"/>
      <c r="CK5510" s="342"/>
      <c r="CL5510" s="333"/>
      <c r="CM5510" s="1079"/>
      <c r="CN5510" s="1005"/>
      <c r="CO5510" s="1005"/>
      <c r="CP5510" s="1005"/>
    </row>
    <row r="5511">
      <c r="A5511" s="1257"/>
      <c r="B5511" s="1113"/>
      <c r="C5511" s="1107"/>
      <c r="D5511" s="103"/>
      <c r="E5511" s="1137"/>
      <c r="F5511" s="112"/>
      <c r="G5511" s="1110"/>
      <c r="H5511" s="1138"/>
      <c r="I5511" s="1138"/>
      <c r="J5511" s="1139"/>
      <c r="K5511" s="1111"/>
      <c r="L5511" s="1112"/>
      <c r="M5511" s="1113"/>
      <c r="N5511" s="110"/>
      <c r="O5511" s="1140"/>
      <c r="P5511" s="1115"/>
      <c r="Q5511" s="1116"/>
      <c r="R5511" s="1141"/>
      <c r="S5511" s="1113"/>
      <c r="T5511" s="1143"/>
      <c r="U5511" s="1108"/>
      <c r="V5511" s="1108"/>
      <c r="W5511" s="1108"/>
      <c r="X5511" s="1108"/>
      <c r="Y5511" s="1108"/>
      <c r="Z5511" s="1114"/>
      <c r="AA5511" s="1114"/>
      <c r="AB5511" s="1114"/>
      <c r="AC5511" s="1117"/>
      <c r="AD5511" s="1115"/>
      <c r="AE5511" s="1115"/>
      <c r="AF5511" s="1115"/>
      <c r="AG5511" s="1115"/>
      <c r="AH5511" s="1115"/>
      <c r="AI5511" s="1115"/>
      <c r="AJ5511" s="1117"/>
      <c r="AK5511" s="1118"/>
      <c r="AL5511" s="1115"/>
      <c r="AM5511" s="1115"/>
      <c r="AN5511" s="1115"/>
      <c r="AO5511" s="1115"/>
      <c r="AP5511" s="1115"/>
      <c r="AQ5511" s="1115"/>
      <c r="AR5511" s="1115"/>
      <c r="AS5511" s="1117"/>
      <c r="AT5511" s="1075"/>
      <c r="AU5511" s="1193"/>
      <c r="AV5511" s="330"/>
      <c r="AW5511" s="331"/>
      <c r="AX5511" s="331"/>
      <c r="AY5511" s="331"/>
      <c r="AZ5511" s="331"/>
      <c r="BA5511" s="331"/>
      <c r="BB5511" s="331"/>
      <c r="BC5511" s="331"/>
      <c r="BD5511" s="331"/>
      <c r="BE5511" s="333"/>
      <c r="BF5511" s="330"/>
      <c r="BG5511" s="333"/>
      <c r="BH5511" s="1119"/>
      <c r="BI5511" s="319"/>
      <c r="BJ5511" s="319"/>
      <c r="BK5511" s="319"/>
      <c r="BL5511" s="319"/>
      <c r="BM5511" s="319"/>
      <c r="BN5511" s="319"/>
      <c r="BO5511" s="319"/>
      <c r="BP5511" s="953"/>
      <c r="BQ5511" s="319"/>
      <c r="BR5511" s="319"/>
      <c r="BS5511" s="330"/>
      <c r="BT5511" s="331"/>
      <c r="BU5511" s="920"/>
      <c r="BV5511" s="903"/>
      <c r="BW5511" s="908"/>
      <c r="BX5511" s="908"/>
      <c r="BY5511" s="331"/>
      <c r="BZ5511" s="331"/>
      <c r="CA5511" s="462"/>
      <c r="CB5511" s="319"/>
      <c r="CC5511" s="319"/>
      <c r="CD5511" s="319"/>
      <c r="CE5511" s="319"/>
      <c r="CF5511" s="319"/>
      <c r="CG5511" s="319"/>
      <c r="CH5511" s="318"/>
      <c r="CI5511" s="319"/>
      <c r="CJ5511" s="319"/>
      <c r="CK5511" s="342"/>
      <c r="CL5511" s="333"/>
      <c r="CM5511" s="1079"/>
      <c r="CN5511" s="1005"/>
      <c r="CO5511" s="1005"/>
      <c r="CP5511" s="1005"/>
    </row>
    <row r="5512">
      <c r="A5512" s="1257"/>
      <c r="B5512" s="1113"/>
      <c r="C5512" s="1107"/>
      <c r="D5512" s="103"/>
      <c r="E5512" s="1137"/>
      <c r="F5512" s="112"/>
      <c r="G5512" s="1110"/>
      <c r="H5512" s="1138"/>
      <c r="I5512" s="1138"/>
      <c r="J5512" s="1139"/>
      <c r="K5512" s="1111"/>
      <c r="L5512" s="1112"/>
      <c r="M5512" s="1113"/>
      <c r="N5512" s="110"/>
      <c r="O5512" s="1140"/>
      <c r="P5512" s="1115"/>
      <c r="Q5512" s="1116"/>
      <c r="R5512" s="1141"/>
      <c r="S5512" s="1113"/>
      <c r="T5512" s="1143"/>
      <c r="U5512" s="1108"/>
      <c r="V5512" s="1108"/>
      <c r="W5512" s="1108"/>
      <c r="X5512" s="1108"/>
      <c r="Y5512" s="1108"/>
      <c r="Z5512" s="1114"/>
      <c r="AA5512" s="1114"/>
      <c r="AB5512" s="1114"/>
      <c r="AC5512" s="1117"/>
      <c r="AD5512" s="1115"/>
      <c r="AE5512" s="1115"/>
      <c r="AF5512" s="1115"/>
      <c r="AG5512" s="1115"/>
      <c r="AH5512" s="1115"/>
      <c r="AI5512" s="1115"/>
      <c r="AJ5512" s="1117"/>
      <c r="AK5512" s="1118"/>
      <c r="AL5512" s="1115"/>
      <c r="AM5512" s="1115"/>
      <c r="AN5512" s="1115"/>
      <c r="AO5512" s="1115"/>
      <c r="AP5512" s="1115"/>
      <c r="AQ5512" s="1115"/>
      <c r="AR5512" s="1115"/>
      <c r="AS5512" s="1117"/>
      <c r="AT5512" s="1075"/>
      <c r="AU5512" s="1193"/>
      <c r="AV5512" s="330"/>
      <c r="AW5512" s="331"/>
      <c r="AX5512" s="331"/>
      <c r="AY5512" s="331"/>
      <c r="AZ5512" s="331"/>
      <c r="BA5512" s="331"/>
      <c r="BB5512" s="331"/>
      <c r="BC5512" s="331"/>
      <c r="BD5512" s="331"/>
      <c r="BE5512" s="333"/>
      <c r="BF5512" s="330"/>
      <c r="BG5512" s="333"/>
      <c r="BH5512" s="1119"/>
      <c r="BI5512" s="319"/>
      <c r="BJ5512" s="319"/>
      <c r="BK5512" s="319"/>
      <c r="BL5512" s="319"/>
      <c r="BM5512" s="319"/>
      <c r="BN5512" s="319"/>
      <c r="BO5512" s="319"/>
      <c r="BP5512" s="953"/>
      <c r="BQ5512" s="319"/>
      <c r="BR5512" s="319"/>
      <c r="BS5512" s="330"/>
      <c r="BT5512" s="331"/>
      <c r="BU5512" s="920"/>
      <c r="BV5512" s="903"/>
      <c r="BW5512" s="908"/>
      <c r="BX5512" s="908"/>
      <c r="BY5512" s="331"/>
      <c r="BZ5512" s="331"/>
      <c r="CA5512" s="462"/>
      <c r="CB5512" s="319"/>
      <c r="CC5512" s="319"/>
      <c r="CD5512" s="319"/>
      <c r="CE5512" s="319"/>
      <c r="CF5512" s="319"/>
      <c r="CG5512" s="319"/>
      <c r="CH5512" s="318"/>
      <c r="CI5512" s="319"/>
      <c r="CJ5512" s="319"/>
      <c r="CK5512" s="342"/>
      <c r="CL5512" s="333"/>
      <c r="CM5512" s="1079"/>
      <c r="CN5512" s="1005"/>
      <c r="CO5512" s="1005"/>
      <c r="CP5512" s="1005"/>
    </row>
    <row r="5513">
      <c r="A5513" s="1257"/>
      <c r="B5513" s="1113"/>
      <c r="C5513" s="1107"/>
      <c r="D5513" s="103"/>
      <c r="E5513" s="1137"/>
      <c r="F5513" s="112"/>
      <c r="G5513" s="1110"/>
      <c r="H5513" s="1138"/>
      <c r="I5513" s="1138"/>
      <c r="J5513" s="1139"/>
      <c r="K5513" s="1111"/>
      <c r="L5513" s="1112"/>
      <c r="M5513" s="1113"/>
      <c r="N5513" s="110"/>
      <c r="O5513" s="1140"/>
      <c r="P5513" s="1115"/>
      <c r="Q5513" s="1116"/>
      <c r="R5513" s="1141"/>
      <c r="S5513" s="1113"/>
      <c r="T5513" s="1143"/>
      <c r="U5513" s="1108"/>
      <c r="V5513" s="1108"/>
      <c r="W5513" s="1108"/>
      <c r="X5513" s="1108"/>
      <c r="Y5513" s="1108"/>
      <c r="Z5513" s="1114"/>
      <c r="AA5513" s="1114"/>
      <c r="AB5513" s="1114"/>
      <c r="AC5513" s="1117"/>
      <c r="AD5513" s="1115"/>
      <c r="AE5513" s="1115"/>
      <c r="AF5513" s="1115"/>
      <c r="AG5513" s="1115"/>
      <c r="AH5513" s="1115"/>
      <c r="AI5513" s="1115"/>
      <c r="AJ5513" s="1117"/>
      <c r="AK5513" s="1118"/>
      <c r="AL5513" s="1115"/>
      <c r="AM5513" s="1115"/>
      <c r="AN5513" s="1115"/>
      <c r="AO5513" s="1115"/>
      <c r="AP5513" s="1115"/>
      <c r="AQ5513" s="1115"/>
      <c r="AR5513" s="1115"/>
      <c r="AS5513" s="1117"/>
      <c r="AT5513" s="1075"/>
      <c r="AU5513" s="1193"/>
      <c r="AV5513" s="330"/>
      <c r="AW5513" s="331"/>
      <c r="AX5513" s="331"/>
      <c r="AY5513" s="331"/>
      <c r="AZ5513" s="331"/>
      <c r="BA5513" s="331"/>
      <c r="BB5513" s="331"/>
      <c r="BC5513" s="331"/>
      <c r="BD5513" s="331"/>
      <c r="BE5513" s="333"/>
      <c r="BF5513" s="330"/>
      <c r="BG5513" s="333"/>
      <c r="BH5513" s="1119"/>
      <c r="BI5513" s="319"/>
      <c r="BJ5513" s="319"/>
      <c r="BK5513" s="319"/>
      <c r="BL5513" s="319"/>
      <c r="BM5513" s="319"/>
      <c r="BN5513" s="319"/>
      <c r="BO5513" s="319"/>
      <c r="BP5513" s="953"/>
      <c r="BQ5513" s="319"/>
      <c r="BR5513" s="319"/>
      <c r="BS5513" s="330"/>
      <c r="BT5513" s="331"/>
      <c r="BU5513" s="920"/>
      <c r="BV5513" s="903"/>
      <c r="BW5513" s="908"/>
      <c r="BX5513" s="908"/>
      <c r="BY5513" s="331"/>
      <c r="BZ5513" s="331"/>
      <c r="CA5513" s="462"/>
      <c r="CB5513" s="319"/>
      <c r="CC5513" s="319"/>
      <c r="CD5513" s="319"/>
      <c r="CE5513" s="319"/>
      <c r="CF5513" s="319"/>
      <c r="CG5513" s="319"/>
      <c r="CH5513" s="318"/>
      <c r="CI5513" s="319"/>
      <c r="CJ5513" s="319"/>
      <c r="CK5513" s="342"/>
      <c r="CL5513" s="333"/>
      <c r="CM5513" s="1079"/>
      <c r="CN5513" s="1005"/>
      <c r="CO5513" s="1005"/>
      <c r="CP5513" s="1005"/>
    </row>
    <row r="5514">
      <c r="A5514" s="1257"/>
      <c r="B5514" s="1113"/>
      <c r="C5514" s="1107"/>
      <c r="D5514" s="103"/>
      <c r="E5514" s="1137"/>
      <c r="F5514" s="112"/>
      <c r="G5514" s="1110"/>
      <c r="H5514" s="1138"/>
      <c r="I5514" s="1138"/>
      <c r="J5514" s="1139"/>
      <c r="K5514" s="1111"/>
      <c r="L5514" s="1112"/>
      <c r="M5514" s="1113"/>
      <c r="N5514" s="110"/>
      <c r="O5514" s="1140"/>
      <c r="P5514" s="1115"/>
      <c r="Q5514" s="1116"/>
      <c r="R5514" s="1141"/>
      <c r="S5514" s="1113"/>
      <c r="T5514" s="1143"/>
      <c r="U5514" s="1108"/>
      <c r="V5514" s="1108"/>
      <c r="W5514" s="1108"/>
      <c r="X5514" s="1108"/>
      <c r="Y5514" s="1108"/>
      <c r="Z5514" s="1114"/>
      <c r="AA5514" s="1114"/>
      <c r="AB5514" s="1114"/>
      <c r="AC5514" s="1117"/>
      <c r="AD5514" s="1115"/>
      <c r="AE5514" s="1115"/>
      <c r="AF5514" s="1115"/>
      <c r="AG5514" s="1115"/>
      <c r="AH5514" s="1115"/>
      <c r="AI5514" s="1115"/>
      <c r="AJ5514" s="1117"/>
      <c r="AK5514" s="1118"/>
      <c r="AL5514" s="1115"/>
      <c r="AM5514" s="1115"/>
      <c r="AN5514" s="1115"/>
      <c r="AO5514" s="1115"/>
      <c r="AP5514" s="1115"/>
      <c r="AQ5514" s="1115"/>
      <c r="AR5514" s="1115"/>
      <c r="AS5514" s="1117"/>
      <c r="AT5514" s="1075"/>
      <c r="AU5514" s="1193"/>
      <c r="AV5514" s="330"/>
      <c r="AW5514" s="331"/>
      <c r="AX5514" s="331"/>
      <c r="AY5514" s="331"/>
      <c r="AZ5514" s="331"/>
      <c r="BA5514" s="331"/>
      <c r="BB5514" s="331"/>
      <c r="BC5514" s="331"/>
      <c r="BD5514" s="331"/>
      <c r="BE5514" s="333"/>
      <c r="BF5514" s="330"/>
      <c r="BG5514" s="333"/>
      <c r="BH5514" s="1119"/>
      <c r="BI5514" s="319"/>
      <c r="BJ5514" s="319"/>
      <c r="BK5514" s="319"/>
      <c r="BL5514" s="319"/>
      <c r="BM5514" s="319"/>
      <c r="BN5514" s="319"/>
      <c r="BO5514" s="319"/>
      <c r="BP5514" s="953"/>
      <c r="BQ5514" s="319"/>
      <c r="BR5514" s="319"/>
      <c r="BS5514" s="330"/>
      <c r="BT5514" s="331"/>
      <c r="BU5514" s="920"/>
      <c r="BV5514" s="903"/>
      <c r="BW5514" s="908"/>
      <c r="BX5514" s="908"/>
      <c r="BY5514" s="331"/>
      <c r="BZ5514" s="331"/>
      <c r="CA5514" s="462"/>
      <c r="CB5514" s="319"/>
      <c r="CC5514" s="319"/>
      <c r="CD5514" s="319"/>
      <c r="CE5514" s="319"/>
      <c r="CF5514" s="319"/>
      <c r="CG5514" s="319"/>
      <c r="CH5514" s="318"/>
      <c r="CI5514" s="319"/>
      <c r="CJ5514" s="319"/>
      <c r="CK5514" s="342"/>
      <c r="CL5514" s="333"/>
      <c r="CM5514" s="1079"/>
      <c r="CN5514" s="1005"/>
      <c r="CO5514" s="1005"/>
      <c r="CP5514" s="1005"/>
    </row>
    <row r="5515">
      <c r="A5515" s="1257"/>
      <c r="B5515" s="1113"/>
      <c r="C5515" s="1107"/>
      <c r="D5515" s="103"/>
      <c r="E5515" s="1137"/>
      <c r="F5515" s="112"/>
      <c r="G5515" s="1110"/>
      <c r="H5515" s="1138"/>
      <c r="I5515" s="1138"/>
      <c r="J5515" s="1139"/>
      <c r="K5515" s="1111"/>
      <c r="L5515" s="1112"/>
      <c r="M5515" s="1113"/>
      <c r="N5515" s="110"/>
      <c r="O5515" s="1140"/>
      <c r="P5515" s="1115"/>
      <c r="Q5515" s="1116"/>
      <c r="R5515" s="1141"/>
      <c r="S5515" s="1113"/>
      <c r="T5515" s="1143"/>
      <c r="U5515" s="1108"/>
      <c r="V5515" s="1108"/>
      <c r="W5515" s="1108"/>
      <c r="X5515" s="1108"/>
      <c r="Y5515" s="1108"/>
      <c r="Z5515" s="1114"/>
      <c r="AA5515" s="1114"/>
      <c r="AB5515" s="1114"/>
      <c r="AC5515" s="1117"/>
      <c r="AD5515" s="1115"/>
      <c r="AE5515" s="1115"/>
      <c r="AF5515" s="1115"/>
      <c r="AG5515" s="1115"/>
      <c r="AH5515" s="1115"/>
      <c r="AI5515" s="1115"/>
      <c r="AJ5515" s="1117"/>
      <c r="AK5515" s="1118"/>
      <c r="AL5515" s="1115"/>
      <c r="AM5515" s="1115"/>
      <c r="AN5515" s="1115"/>
      <c r="AO5515" s="1115"/>
      <c r="AP5515" s="1115"/>
      <c r="AQ5515" s="1115"/>
      <c r="AR5515" s="1115"/>
      <c r="AS5515" s="1117"/>
      <c r="AT5515" s="1075"/>
      <c r="AU5515" s="1193"/>
      <c r="AV5515" s="330"/>
      <c r="AW5515" s="331"/>
      <c r="AX5515" s="331"/>
      <c r="AY5515" s="331"/>
      <c r="AZ5515" s="331"/>
      <c r="BA5515" s="331"/>
      <c r="BB5515" s="331"/>
      <c r="BC5515" s="331"/>
      <c r="BD5515" s="331"/>
      <c r="BE5515" s="333"/>
      <c r="BF5515" s="330"/>
      <c r="BG5515" s="333"/>
      <c r="BH5515" s="1119"/>
      <c r="BI5515" s="319"/>
      <c r="BJ5515" s="319"/>
      <c r="BK5515" s="319"/>
      <c r="BL5515" s="319"/>
      <c r="BM5515" s="319"/>
      <c r="BN5515" s="319"/>
      <c r="BO5515" s="319"/>
      <c r="BP5515" s="953"/>
      <c r="BQ5515" s="319"/>
      <c r="BR5515" s="319"/>
      <c r="BS5515" s="330"/>
      <c r="BT5515" s="331"/>
      <c r="BU5515" s="920"/>
      <c r="BV5515" s="903"/>
      <c r="BW5515" s="908"/>
      <c r="BX5515" s="908"/>
      <c r="BY5515" s="331"/>
      <c r="BZ5515" s="331"/>
      <c r="CA5515" s="462"/>
      <c r="CB5515" s="319"/>
      <c r="CC5515" s="319"/>
      <c r="CD5515" s="319"/>
      <c r="CE5515" s="319"/>
      <c r="CF5515" s="319"/>
      <c r="CG5515" s="319"/>
      <c r="CH5515" s="318"/>
      <c r="CI5515" s="319"/>
      <c r="CJ5515" s="319"/>
      <c r="CK5515" s="342"/>
      <c r="CL5515" s="333"/>
      <c r="CM5515" s="1079"/>
      <c r="CN5515" s="1005"/>
      <c r="CO5515" s="1005"/>
      <c r="CP5515" s="1005"/>
    </row>
    <row r="5516">
      <c r="A5516" s="1257"/>
      <c r="B5516" s="1113"/>
      <c r="C5516" s="1107"/>
      <c r="D5516" s="103"/>
      <c r="E5516" s="1137"/>
      <c r="F5516" s="112"/>
      <c r="G5516" s="1110"/>
      <c r="H5516" s="1138"/>
      <c r="I5516" s="1138"/>
      <c r="J5516" s="1139"/>
      <c r="K5516" s="1111"/>
      <c r="L5516" s="1112"/>
      <c r="M5516" s="1113"/>
      <c r="N5516" s="110"/>
      <c r="O5516" s="1140"/>
      <c r="P5516" s="1115"/>
      <c r="Q5516" s="1116"/>
      <c r="R5516" s="1141"/>
      <c r="S5516" s="1113"/>
      <c r="T5516" s="1143"/>
      <c r="U5516" s="1108"/>
      <c r="V5516" s="1108"/>
      <c r="W5516" s="1108"/>
      <c r="X5516" s="1108"/>
      <c r="Y5516" s="1108"/>
      <c r="Z5516" s="1114"/>
      <c r="AA5516" s="1114"/>
      <c r="AB5516" s="1114"/>
      <c r="AC5516" s="1117"/>
      <c r="AD5516" s="1115"/>
      <c r="AE5516" s="1115"/>
      <c r="AF5516" s="1115"/>
      <c r="AG5516" s="1115"/>
      <c r="AH5516" s="1115"/>
      <c r="AI5516" s="1115"/>
      <c r="AJ5516" s="1117"/>
      <c r="AK5516" s="1118"/>
      <c r="AL5516" s="1115"/>
      <c r="AM5516" s="1115"/>
      <c r="AN5516" s="1115"/>
      <c r="AO5516" s="1115"/>
      <c r="AP5516" s="1115"/>
      <c r="AQ5516" s="1115"/>
      <c r="AR5516" s="1115"/>
      <c r="AS5516" s="1117"/>
      <c r="AT5516" s="1075"/>
      <c r="AU5516" s="1193"/>
      <c r="AV5516" s="330"/>
      <c r="AW5516" s="331"/>
      <c r="AX5516" s="331"/>
      <c r="AY5516" s="331"/>
      <c r="AZ5516" s="331"/>
      <c r="BA5516" s="331"/>
      <c r="BB5516" s="331"/>
      <c r="BC5516" s="331"/>
      <c r="BD5516" s="331"/>
      <c r="BE5516" s="333"/>
      <c r="BF5516" s="330"/>
      <c r="BG5516" s="333"/>
      <c r="BH5516" s="1119"/>
      <c r="BI5516" s="319"/>
      <c r="BJ5516" s="319"/>
      <c r="BK5516" s="319"/>
      <c r="BL5516" s="319"/>
      <c r="BM5516" s="319"/>
      <c r="BN5516" s="319"/>
      <c r="BO5516" s="319"/>
      <c r="BP5516" s="953"/>
      <c r="BQ5516" s="319"/>
      <c r="BR5516" s="319"/>
      <c r="BS5516" s="330"/>
      <c r="BT5516" s="331"/>
      <c r="BU5516" s="920"/>
      <c r="BV5516" s="903"/>
      <c r="BW5516" s="908"/>
      <c r="BX5516" s="908"/>
      <c r="BY5516" s="331"/>
      <c r="BZ5516" s="331"/>
      <c r="CA5516" s="462"/>
      <c r="CB5516" s="319"/>
      <c r="CC5516" s="319"/>
      <c r="CD5516" s="319"/>
      <c r="CE5516" s="319"/>
      <c r="CF5516" s="319"/>
      <c r="CG5516" s="319"/>
      <c r="CH5516" s="318"/>
      <c r="CI5516" s="319"/>
      <c r="CJ5516" s="319"/>
      <c r="CK5516" s="342"/>
      <c r="CL5516" s="333"/>
      <c r="CM5516" s="1079"/>
      <c r="CN5516" s="1005"/>
      <c r="CO5516" s="1005"/>
      <c r="CP5516" s="1005"/>
    </row>
    <row r="5517">
      <c r="A5517" s="1257"/>
      <c r="B5517" s="1113"/>
      <c r="C5517" s="1107"/>
      <c r="D5517" s="103"/>
      <c r="E5517" s="1137"/>
      <c r="F5517" s="112"/>
      <c r="G5517" s="1110"/>
      <c r="H5517" s="1138"/>
      <c r="I5517" s="1138"/>
      <c r="J5517" s="1139"/>
      <c r="K5517" s="1111"/>
      <c r="L5517" s="1112"/>
      <c r="M5517" s="1113"/>
      <c r="N5517" s="110"/>
      <c r="O5517" s="1140"/>
      <c r="P5517" s="1115"/>
      <c r="Q5517" s="1116"/>
      <c r="R5517" s="1141"/>
      <c r="S5517" s="1113"/>
      <c r="T5517" s="1143"/>
      <c r="U5517" s="1108"/>
      <c r="V5517" s="1108"/>
      <c r="W5517" s="1108"/>
      <c r="X5517" s="1108"/>
      <c r="Y5517" s="1108"/>
      <c r="Z5517" s="1114"/>
      <c r="AA5517" s="1114"/>
      <c r="AB5517" s="1114"/>
      <c r="AC5517" s="1117"/>
      <c r="AD5517" s="1115"/>
      <c r="AE5517" s="1115"/>
      <c r="AF5517" s="1115"/>
      <c r="AG5517" s="1115"/>
      <c r="AH5517" s="1115"/>
      <c r="AI5517" s="1115"/>
      <c r="AJ5517" s="1117"/>
      <c r="AK5517" s="1118"/>
      <c r="AL5517" s="1115"/>
      <c r="AM5517" s="1115"/>
      <c r="AN5517" s="1115"/>
      <c r="AO5517" s="1115"/>
      <c r="AP5517" s="1115"/>
      <c r="AQ5517" s="1115"/>
      <c r="AR5517" s="1115"/>
      <c r="AS5517" s="1117"/>
      <c r="AT5517" s="1075"/>
      <c r="AU5517" s="1193"/>
      <c r="AV5517" s="330"/>
      <c r="AW5517" s="331"/>
      <c r="AX5517" s="331"/>
      <c r="AY5517" s="331"/>
      <c r="AZ5517" s="331"/>
      <c r="BA5517" s="331"/>
      <c r="BB5517" s="331"/>
      <c r="BC5517" s="331"/>
      <c r="BD5517" s="331"/>
      <c r="BE5517" s="333"/>
      <c r="BF5517" s="330"/>
      <c r="BG5517" s="333"/>
      <c r="BH5517" s="1119"/>
      <c r="BI5517" s="319"/>
      <c r="BJ5517" s="319"/>
      <c r="BK5517" s="319"/>
      <c r="BL5517" s="319"/>
      <c r="BM5517" s="319"/>
      <c r="BN5517" s="319"/>
      <c r="BO5517" s="319"/>
      <c r="BP5517" s="953"/>
      <c r="BQ5517" s="319"/>
      <c r="BR5517" s="319"/>
      <c r="BS5517" s="330"/>
      <c r="BT5517" s="331"/>
      <c r="BU5517" s="920"/>
      <c r="BV5517" s="903"/>
      <c r="BW5517" s="908"/>
      <c r="BX5517" s="908"/>
      <c r="BY5517" s="331"/>
      <c r="BZ5517" s="331"/>
      <c r="CA5517" s="462"/>
      <c r="CB5517" s="319"/>
      <c r="CC5517" s="319"/>
      <c r="CD5517" s="319"/>
      <c r="CE5517" s="319"/>
      <c r="CF5517" s="319"/>
      <c r="CG5517" s="319"/>
      <c r="CH5517" s="318"/>
      <c r="CI5517" s="319"/>
      <c r="CJ5517" s="319"/>
      <c r="CK5517" s="342"/>
      <c r="CL5517" s="333"/>
      <c r="CM5517" s="1079"/>
      <c r="CN5517" s="1005"/>
      <c r="CO5517" s="1005"/>
      <c r="CP5517" s="1005"/>
    </row>
    <row r="5518">
      <c r="A5518" s="1257"/>
      <c r="B5518" s="1113"/>
      <c r="C5518" s="1107"/>
      <c r="D5518" s="103"/>
      <c r="E5518" s="1137"/>
      <c r="F5518" s="112"/>
      <c r="G5518" s="1110"/>
      <c r="H5518" s="1138"/>
      <c r="I5518" s="1138"/>
      <c r="J5518" s="1139"/>
      <c r="K5518" s="1111"/>
      <c r="L5518" s="1112"/>
      <c r="M5518" s="1113"/>
      <c r="N5518" s="110"/>
      <c r="O5518" s="1140"/>
      <c r="P5518" s="1115"/>
      <c r="Q5518" s="1116"/>
      <c r="R5518" s="1141"/>
      <c r="S5518" s="1113"/>
      <c r="T5518" s="1143"/>
      <c r="U5518" s="1108"/>
      <c r="V5518" s="1108"/>
      <c r="W5518" s="1108"/>
      <c r="X5518" s="1108"/>
      <c r="Y5518" s="1108"/>
      <c r="Z5518" s="1114"/>
      <c r="AA5518" s="1114"/>
      <c r="AB5518" s="1114"/>
      <c r="AC5518" s="1117"/>
      <c r="AD5518" s="1115"/>
      <c r="AE5518" s="1115"/>
      <c r="AF5518" s="1115"/>
      <c r="AG5518" s="1115"/>
      <c r="AH5518" s="1115"/>
      <c r="AI5518" s="1115"/>
      <c r="AJ5518" s="1117"/>
      <c r="AK5518" s="1118"/>
      <c r="AL5518" s="1115"/>
      <c r="AM5518" s="1115"/>
      <c r="AN5518" s="1115"/>
      <c r="AO5518" s="1115"/>
      <c r="AP5518" s="1115"/>
      <c r="AQ5518" s="1115"/>
      <c r="AR5518" s="1115"/>
      <c r="AS5518" s="1117"/>
      <c r="AT5518" s="1075"/>
      <c r="AU5518" s="1193"/>
      <c r="AV5518" s="330"/>
      <c r="AW5518" s="331"/>
      <c r="AX5518" s="331"/>
      <c r="AY5518" s="331"/>
      <c r="AZ5518" s="331"/>
      <c r="BA5518" s="331"/>
      <c r="BB5518" s="331"/>
      <c r="BC5518" s="331"/>
      <c r="BD5518" s="331"/>
      <c r="BE5518" s="333"/>
      <c r="BF5518" s="330"/>
      <c r="BG5518" s="333"/>
      <c r="BH5518" s="1119"/>
      <c r="BI5518" s="319"/>
      <c r="BJ5518" s="319"/>
      <c r="BK5518" s="319"/>
      <c r="BL5518" s="319"/>
      <c r="BM5518" s="319"/>
      <c r="BN5518" s="319"/>
      <c r="BO5518" s="319"/>
      <c r="BP5518" s="953"/>
      <c r="BQ5518" s="319"/>
      <c r="BR5518" s="319"/>
      <c r="BS5518" s="330"/>
      <c r="BT5518" s="331"/>
      <c r="BU5518" s="920"/>
      <c r="BV5518" s="903"/>
      <c r="BW5518" s="908"/>
      <c r="BX5518" s="908"/>
      <c r="BY5518" s="331"/>
      <c r="BZ5518" s="331"/>
      <c r="CA5518" s="462"/>
      <c r="CB5518" s="319"/>
      <c r="CC5518" s="319"/>
      <c r="CD5518" s="319"/>
      <c r="CE5518" s="319"/>
      <c r="CF5518" s="319"/>
      <c r="CG5518" s="319"/>
      <c r="CH5518" s="318"/>
      <c r="CI5518" s="319"/>
      <c r="CJ5518" s="319"/>
      <c r="CK5518" s="342"/>
      <c r="CL5518" s="333"/>
      <c r="CM5518" s="1079"/>
      <c r="CN5518" s="1005"/>
      <c r="CO5518" s="1005"/>
      <c r="CP5518" s="1005"/>
    </row>
    <row r="5519">
      <c r="A5519" s="1257"/>
      <c r="B5519" s="1113"/>
      <c r="C5519" s="1107"/>
      <c r="D5519" s="103"/>
      <c r="E5519" s="1137"/>
      <c r="F5519" s="112"/>
      <c r="G5519" s="1110"/>
      <c r="H5519" s="1138"/>
      <c r="I5519" s="1138"/>
      <c r="J5519" s="1139"/>
      <c r="K5519" s="1111"/>
      <c r="L5519" s="1112"/>
      <c r="M5519" s="1113"/>
      <c r="N5519" s="110"/>
      <c r="O5519" s="1140"/>
      <c r="P5519" s="1115"/>
      <c r="Q5519" s="1116"/>
      <c r="R5519" s="1141"/>
      <c r="S5519" s="1113"/>
      <c r="T5519" s="1143"/>
      <c r="U5519" s="1108"/>
      <c r="V5519" s="1108"/>
      <c r="W5519" s="1108"/>
      <c r="X5519" s="1108"/>
      <c r="Y5519" s="1108"/>
      <c r="Z5519" s="1114"/>
      <c r="AA5519" s="1114"/>
      <c r="AB5519" s="1114"/>
      <c r="AC5519" s="1117"/>
      <c r="AD5519" s="1115"/>
      <c r="AE5519" s="1115"/>
      <c r="AF5519" s="1115"/>
      <c r="AG5519" s="1115"/>
      <c r="AH5519" s="1115"/>
      <c r="AI5519" s="1115"/>
      <c r="AJ5519" s="1117"/>
      <c r="AK5519" s="1118"/>
      <c r="AL5519" s="1115"/>
      <c r="AM5519" s="1115"/>
      <c r="AN5519" s="1115"/>
      <c r="AO5519" s="1115"/>
      <c r="AP5519" s="1115"/>
      <c r="AQ5519" s="1115"/>
      <c r="AR5519" s="1115"/>
      <c r="AS5519" s="1117"/>
      <c r="AT5519" s="1075"/>
      <c r="AU5519" s="1193"/>
      <c r="AV5519" s="330"/>
      <c r="AW5519" s="331"/>
      <c r="AX5519" s="331"/>
      <c r="AY5519" s="331"/>
      <c r="AZ5519" s="331"/>
      <c r="BA5519" s="331"/>
      <c r="BB5519" s="331"/>
      <c r="BC5519" s="331"/>
      <c r="BD5519" s="331"/>
      <c r="BE5519" s="333"/>
      <c r="BF5519" s="330"/>
      <c r="BG5519" s="333"/>
      <c r="BH5519" s="1119"/>
      <c r="BI5519" s="319"/>
      <c r="BJ5519" s="319"/>
      <c r="BK5519" s="319"/>
      <c r="BL5519" s="319"/>
      <c r="BM5519" s="319"/>
      <c r="BN5519" s="319"/>
      <c r="BO5519" s="319"/>
      <c r="BP5519" s="953"/>
      <c r="BQ5519" s="319"/>
      <c r="BR5519" s="319"/>
      <c r="BS5519" s="330"/>
      <c r="BT5519" s="331"/>
      <c r="BU5519" s="920"/>
      <c r="BV5519" s="903"/>
      <c r="BW5519" s="908"/>
      <c r="BX5519" s="908"/>
      <c r="BY5519" s="331"/>
      <c r="BZ5519" s="331"/>
      <c r="CA5519" s="462"/>
      <c r="CB5519" s="319"/>
      <c r="CC5519" s="319"/>
      <c r="CD5519" s="319"/>
      <c r="CE5519" s="319"/>
      <c r="CF5519" s="319"/>
      <c r="CG5519" s="319"/>
      <c r="CH5519" s="318"/>
      <c r="CI5519" s="319"/>
      <c r="CJ5519" s="319"/>
      <c r="CK5519" s="342"/>
      <c r="CL5519" s="333"/>
      <c r="CM5519" s="1079"/>
      <c r="CN5519" s="1005"/>
      <c r="CO5519" s="1005"/>
      <c r="CP5519" s="1005"/>
    </row>
    <row r="5520">
      <c r="A5520" s="1257"/>
      <c r="B5520" s="1113"/>
      <c r="C5520" s="1107"/>
      <c r="D5520" s="103"/>
      <c r="E5520" s="1137"/>
      <c r="F5520" s="112"/>
      <c r="G5520" s="1110"/>
      <c r="H5520" s="1138"/>
      <c r="I5520" s="1138"/>
      <c r="J5520" s="1139"/>
      <c r="K5520" s="1111"/>
      <c r="L5520" s="1112"/>
      <c r="M5520" s="1113"/>
      <c r="N5520" s="110"/>
      <c r="O5520" s="1140"/>
      <c r="P5520" s="1115"/>
      <c r="Q5520" s="1116"/>
      <c r="R5520" s="1141"/>
      <c r="S5520" s="1113"/>
      <c r="T5520" s="1143"/>
      <c r="U5520" s="1108"/>
      <c r="V5520" s="1108"/>
      <c r="W5520" s="1108"/>
      <c r="X5520" s="1108"/>
      <c r="Y5520" s="1108"/>
      <c r="Z5520" s="1114"/>
      <c r="AA5520" s="1114"/>
      <c r="AB5520" s="1114"/>
      <c r="AC5520" s="1117"/>
      <c r="AD5520" s="1115"/>
      <c r="AE5520" s="1115"/>
      <c r="AF5520" s="1115"/>
      <c r="AG5520" s="1115"/>
      <c r="AH5520" s="1115"/>
      <c r="AI5520" s="1115"/>
      <c r="AJ5520" s="1117"/>
      <c r="AK5520" s="1118"/>
      <c r="AL5520" s="1115"/>
      <c r="AM5520" s="1115"/>
      <c r="AN5520" s="1115"/>
      <c r="AO5520" s="1115"/>
      <c r="AP5520" s="1115"/>
      <c r="AQ5520" s="1115"/>
      <c r="AR5520" s="1115"/>
      <c r="AS5520" s="1117"/>
      <c r="AT5520" s="1075"/>
      <c r="AU5520" s="1193"/>
      <c r="AV5520" s="330"/>
      <c r="AW5520" s="331"/>
      <c r="AX5520" s="331"/>
      <c r="AY5520" s="331"/>
      <c r="AZ5520" s="331"/>
      <c r="BA5520" s="331"/>
      <c r="BB5520" s="331"/>
      <c r="BC5520" s="331"/>
      <c r="BD5520" s="331"/>
      <c r="BE5520" s="333"/>
      <c r="BF5520" s="330"/>
      <c r="BG5520" s="333"/>
      <c r="BH5520" s="1119"/>
      <c r="BI5520" s="319"/>
      <c r="BJ5520" s="319"/>
      <c r="BK5520" s="319"/>
      <c r="BL5520" s="319"/>
      <c r="BM5520" s="319"/>
      <c r="BN5520" s="319"/>
      <c r="BO5520" s="319"/>
      <c r="BP5520" s="953"/>
      <c r="BQ5520" s="319"/>
      <c r="BR5520" s="319"/>
      <c r="BS5520" s="330"/>
      <c r="BT5520" s="331"/>
      <c r="BU5520" s="920"/>
      <c r="BV5520" s="903"/>
      <c r="BW5520" s="908"/>
      <c r="BX5520" s="908"/>
      <c r="BY5520" s="331"/>
      <c r="BZ5520" s="331"/>
      <c r="CA5520" s="462"/>
      <c r="CB5520" s="319"/>
      <c r="CC5520" s="319"/>
      <c r="CD5520" s="319"/>
      <c r="CE5520" s="319"/>
      <c r="CF5520" s="319"/>
      <c r="CG5520" s="319"/>
      <c r="CH5520" s="318"/>
      <c r="CI5520" s="319"/>
      <c r="CJ5520" s="319"/>
      <c r="CK5520" s="342"/>
      <c r="CL5520" s="333"/>
      <c r="CM5520" s="1079"/>
      <c r="CN5520" s="1005"/>
      <c r="CO5520" s="1005"/>
      <c r="CP5520" s="1005"/>
    </row>
    <row r="5521">
      <c r="A5521" s="1257"/>
      <c r="B5521" s="1113"/>
      <c r="C5521" s="1107"/>
      <c r="D5521" s="103"/>
      <c r="E5521" s="1137"/>
      <c r="F5521" s="112"/>
      <c r="G5521" s="1110"/>
      <c r="H5521" s="1138"/>
      <c r="I5521" s="1138"/>
      <c r="J5521" s="1139"/>
      <c r="K5521" s="1111"/>
      <c r="L5521" s="1112"/>
      <c r="M5521" s="1113"/>
      <c r="N5521" s="110"/>
      <c r="O5521" s="1140"/>
      <c r="P5521" s="1115"/>
      <c r="Q5521" s="1116"/>
      <c r="R5521" s="1141"/>
      <c r="S5521" s="1113"/>
      <c r="T5521" s="1143"/>
      <c r="U5521" s="1108"/>
      <c r="V5521" s="1108"/>
      <c r="W5521" s="1108"/>
      <c r="X5521" s="1108"/>
      <c r="Y5521" s="1108"/>
      <c r="Z5521" s="1114"/>
      <c r="AA5521" s="1114"/>
      <c r="AB5521" s="1114"/>
      <c r="AC5521" s="1117"/>
      <c r="AD5521" s="1115"/>
      <c r="AE5521" s="1115"/>
      <c r="AF5521" s="1115"/>
      <c r="AG5521" s="1115"/>
      <c r="AH5521" s="1115"/>
      <c r="AI5521" s="1115"/>
      <c r="AJ5521" s="1117"/>
      <c r="AK5521" s="1118"/>
      <c r="AL5521" s="1115"/>
      <c r="AM5521" s="1115"/>
      <c r="AN5521" s="1115"/>
      <c r="AO5521" s="1115"/>
      <c r="AP5521" s="1115"/>
      <c r="AQ5521" s="1115"/>
      <c r="AR5521" s="1115"/>
      <c r="AS5521" s="1117"/>
      <c r="AT5521" s="1075"/>
      <c r="AU5521" s="1193"/>
      <c r="AV5521" s="330"/>
      <c r="AW5521" s="331"/>
      <c r="AX5521" s="331"/>
      <c r="AY5521" s="331"/>
      <c r="AZ5521" s="331"/>
      <c r="BA5521" s="331"/>
      <c r="BB5521" s="331"/>
      <c r="BC5521" s="331"/>
      <c r="BD5521" s="331"/>
      <c r="BE5521" s="333"/>
      <c r="BF5521" s="330"/>
      <c r="BG5521" s="333"/>
      <c r="BH5521" s="1119"/>
      <c r="BI5521" s="319"/>
      <c r="BJ5521" s="319"/>
      <c r="BK5521" s="319"/>
      <c r="BL5521" s="319"/>
      <c r="BM5521" s="319"/>
      <c r="BN5521" s="319"/>
      <c r="BO5521" s="319"/>
      <c r="BP5521" s="953"/>
      <c r="BQ5521" s="319"/>
      <c r="BR5521" s="319"/>
      <c r="BS5521" s="330"/>
      <c r="BT5521" s="331"/>
      <c r="BU5521" s="920"/>
      <c r="BV5521" s="903"/>
      <c r="BW5521" s="908"/>
      <c r="BX5521" s="908"/>
      <c r="BY5521" s="331"/>
      <c r="BZ5521" s="331"/>
      <c r="CA5521" s="462"/>
      <c r="CB5521" s="319"/>
      <c r="CC5521" s="319"/>
      <c r="CD5521" s="319"/>
      <c r="CE5521" s="319"/>
      <c r="CF5521" s="319"/>
      <c r="CG5521" s="319"/>
      <c r="CH5521" s="318"/>
      <c r="CI5521" s="319"/>
      <c r="CJ5521" s="319"/>
      <c r="CK5521" s="342"/>
      <c r="CL5521" s="333"/>
      <c r="CM5521" s="1079"/>
      <c r="CN5521" s="1005"/>
      <c r="CO5521" s="1005"/>
      <c r="CP5521" s="1005"/>
    </row>
    <row r="5522">
      <c r="A5522" s="1257"/>
      <c r="B5522" s="1113"/>
      <c r="C5522" s="1107"/>
      <c r="D5522" s="103"/>
      <c r="E5522" s="1137"/>
      <c r="F5522" s="112"/>
      <c r="G5522" s="1110"/>
      <c r="H5522" s="1138"/>
      <c r="I5522" s="1138"/>
      <c r="J5522" s="1139"/>
      <c r="K5522" s="1111"/>
      <c r="L5522" s="1112"/>
      <c r="M5522" s="1113"/>
      <c r="N5522" s="110"/>
      <c r="O5522" s="1140"/>
      <c r="P5522" s="1115"/>
      <c r="Q5522" s="1116"/>
      <c r="R5522" s="1141"/>
      <c r="S5522" s="1113"/>
      <c r="T5522" s="1143"/>
      <c r="U5522" s="1108"/>
      <c r="V5522" s="1108"/>
      <c r="W5522" s="1108"/>
      <c r="X5522" s="1108"/>
      <c r="Y5522" s="1108"/>
      <c r="Z5522" s="1114"/>
      <c r="AA5522" s="1114"/>
      <c r="AB5522" s="1114"/>
      <c r="AC5522" s="1117"/>
      <c r="AD5522" s="1115"/>
      <c r="AE5522" s="1115"/>
      <c r="AF5522" s="1115"/>
      <c r="AG5522" s="1115"/>
      <c r="AH5522" s="1115"/>
      <c r="AI5522" s="1115"/>
      <c r="AJ5522" s="1117"/>
      <c r="AK5522" s="1118"/>
      <c r="AL5522" s="1115"/>
      <c r="AM5522" s="1115"/>
      <c r="AN5522" s="1115"/>
      <c r="AO5522" s="1115"/>
      <c r="AP5522" s="1115"/>
      <c r="AQ5522" s="1115"/>
      <c r="AR5522" s="1115"/>
      <c r="AS5522" s="1117"/>
      <c r="AT5522" s="1075"/>
      <c r="AU5522" s="1193"/>
      <c r="AV5522" s="330"/>
      <c r="AW5522" s="331"/>
      <c r="AX5522" s="331"/>
      <c r="AY5522" s="331"/>
      <c r="AZ5522" s="331"/>
      <c r="BA5522" s="331"/>
      <c r="BB5522" s="331"/>
      <c r="BC5522" s="331"/>
      <c r="BD5522" s="331"/>
      <c r="BE5522" s="333"/>
      <c r="BF5522" s="330"/>
      <c r="BG5522" s="333"/>
      <c r="BH5522" s="1119"/>
      <c r="BI5522" s="319"/>
      <c r="BJ5522" s="319"/>
      <c r="BK5522" s="319"/>
      <c r="BL5522" s="319"/>
      <c r="BM5522" s="319"/>
      <c r="BN5522" s="319"/>
      <c r="BO5522" s="319"/>
      <c r="BP5522" s="953"/>
      <c r="BQ5522" s="319"/>
      <c r="BR5522" s="319"/>
      <c r="BS5522" s="330"/>
      <c r="BT5522" s="331"/>
      <c r="BU5522" s="920"/>
      <c r="BV5522" s="903"/>
      <c r="BW5522" s="908"/>
      <c r="BX5522" s="908"/>
      <c r="BY5522" s="331"/>
      <c r="BZ5522" s="331"/>
      <c r="CA5522" s="462"/>
      <c r="CB5522" s="319"/>
      <c r="CC5522" s="319"/>
      <c r="CD5522" s="319"/>
      <c r="CE5522" s="319"/>
      <c r="CF5522" s="319"/>
      <c r="CG5522" s="319"/>
      <c r="CH5522" s="318"/>
      <c r="CI5522" s="319"/>
      <c r="CJ5522" s="319"/>
      <c r="CK5522" s="342"/>
      <c r="CL5522" s="333"/>
      <c r="CM5522" s="1079"/>
      <c r="CN5522" s="1005"/>
      <c r="CO5522" s="1005"/>
      <c r="CP5522" s="1005"/>
    </row>
    <row r="5523">
      <c r="A5523" s="1257"/>
      <c r="B5523" s="1113"/>
      <c r="C5523" s="1107"/>
      <c r="D5523" s="103"/>
      <c r="E5523" s="1137"/>
      <c r="F5523" s="112"/>
      <c r="G5523" s="1110"/>
      <c r="H5523" s="1138"/>
      <c r="I5523" s="1138"/>
      <c r="J5523" s="1139"/>
      <c r="K5523" s="1111"/>
      <c r="L5523" s="1112"/>
      <c r="M5523" s="1113"/>
      <c r="N5523" s="110"/>
      <c r="O5523" s="1140"/>
      <c r="P5523" s="1115"/>
      <c r="Q5523" s="1116"/>
      <c r="R5523" s="1141"/>
      <c r="S5523" s="1113"/>
      <c r="T5523" s="1143"/>
      <c r="U5523" s="1108"/>
      <c r="V5523" s="1108"/>
      <c r="W5523" s="1108"/>
      <c r="X5523" s="1108"/>
      <c r="Y5523" s="1108"/>
      <c r="Z5523" s="1114"/>
      <c r="AA5523" s="1114"/>
      <c r="AB5523" s="1114"/>
      <c r="AC5523" s="1117"/>
      <c r="AD5523" s="1115"/>
      <c r="AE5523" s="1115"/>
      <c r="AF5523" s="1115"/>
      <c r="AG5523" s="1115"/>
      <c r="AH5523" s="1115"/>
      <c r="AI5523" s="1115"/>
      <c r="AJ5523" s="1117"/>
      <c r="AK5523" s="1118"/>
      <c r="AL5523" s="1115"/>
      <c r="AM5523" s="1115"/>
      <c r="AN5523" s="1115"/>
      <c r="AO5523" s="1115"/>
      <c r="AP5523" s="1115"/>
      <c r="AQ5523" s="1115"/>
      <c r="AR5523" s="1115"/>
      <c r="AS5523" s="1117"/>
      <c r="AT5523" s="1075"/>
      <c r="AU5523" s="1193"/>
      <c r="AV5523" s="330"/>
      <c r="AW5523" s="331"/>
      <c r="AX5523" s="331"/>
      <c r="AY5523" s="331"/>
      <c r="AZ5523" s="331"/>
      <c r="BA5523" s="331"/>
      <c r="BB5523" s="331"/>
      <c r="BC5523" s="331"/>
      <c r="BD5523" s="331"/>
      <c r="BE5523" s="333"/>
      <c r="BF5523" s="330"/>
      <c r="BG5523" s="333"/>
      <c r="BH5523" s="1119"/>
      <c r="BI5523" s="319"/>
      <c r="BJ5523" s="319"/>
      <c r="BK5523" s="319"/>
      <c r="BL5523" s="319"/>
      <c r="BM5523" s="319"/>
      <c r="BN5523" s="319"/>
      <c r="BO5523" s="319"/>
      <c r="BP5523" s="953"/>
      <c r="BQ5523" s="319"/>
      <c r="BR5523" s="319"/>
      <c r="BS5523" s="330"/>
      <c r="BT5523" s="331"/>
      <c r="BU5523" s="920"/>
      <c r="BV5523" s="903"/>
      <c r="BW5523" s="908"/>
      <c r="BX5523" s="908"/>
      <c r="BY5523" s="331"/>
      <c r="BZ5523" s="331"/>
      <c r="CA5523" s="462"/>
      <c r="CB5523" s="319"/>
      <c r="CC5523" s="319"/>
      <c r="CD5523" s="319"/>
      <c r="CE5523" s="319"/>
      <c r="CF5523" s="319"/>
      <c r="CG5523" s="319"/>
      <c r="CH5523" s="318"/>
      <c r="CI5523" s="319"/>
      <c r="CJ5523" s="319"/>
      <c r="CK5523" s="342"/>
      <c r="CL5523" s="333"/>
      <c r="CM5523" s="1079"/>
      <c r="CN5523" s="1005"/>
      <c r="CO5523" s="1005"/>
      <c r="CP5523" s="1005"/>
    </row>
    <row r="5524">
      <c r="A5524" s="1257"/>
      <c r="B5524" s="1113"/>
      <c r="C5524" s="1107"/>
      <c r="D5524" s="103"/>
      <c r="E5524" s="1137"/>
      <c r="F5524" s="112"/>
      <c r="G5524" s="1110"/>
      <c r="H5524" s="1138"/>
      <c r="I5524" s="1138"/>
      <c r="J5524" s="1139"/>
      <c r="K5524" s="1111"/>
      <c r="L5524" s="1112"/>
      <c r="M5524" s="1113"/>
      <c r="N5524" s="110"/>
      <c r="O5524" s="1140"/>
      <c r="P5524" s="1115"/>
      <c r="Q5524" s="1116"/>
      <c r="R5524" s="1141"/>
      <c r="S5524" s="1113"/>
      <c r="T5524" s="1143"/>
      <c r="U5524" s="1108"/>
      <c r="V5524" s="1108"/>
      <c r="W5524" s="1108"/>
      <c r="X5524" s="1108"/>
      <c r="Y5524" s="1108"/>
      <c r="Z5524" s="1114"/>
      <c r="AA5524" s="1114"/>
      <c r="AB5524" s="1114"/>
      <c r="AC5524" s="1117"/>
      <c r="AD5524" s="1115"/>
      <c r="AE5524" s="1115"/>
      <c r="AF5524" s="1115"/>
      <c r="AG5524" s="1115"/>
      <c r="AH5524" s="1115"/>
      <c r="AI5524" s="1115"/>
      <c r="AJ5524" s="1117"/>
      <c r="AK5524" s="1118"/>
      <c r="AL5524" s="1115"/>
      <c r="AM5524" s="1115"/>
      <c r="AN5524" s="1115"/>
      <c r="AO5524" s="1115"/>
      <c r="AP5524" s="1115"/>
      <c r="AQ5524" s="1115"/>
      <c r="AR5524" s="1115"/>
      <c r="AS5524" s="1117"/>
      <c r="AT5524" s="1075"/>
      <c r="AU5524" s="1193"/>
      <c r="AV5524" s="330"/>
      <c r="AW5524" s="331"/>
      <c r="AX5524" s="331"/>
      <c r="AY5524" s="331"/>
      <c r="AZ5524" s="331"/>
      <c r="BA5524" s="331"/>
      <c r="BB5524" s="331"/>
      <c r="BC5524" s="331"/>
      <c r="BD5524" s="331"/>
      <c r="BE5524" s="333"/>
      <c r="BF5524" s="330"/>
      <c r="BG5524" s="333"/>
      <c r="BH5524" s="1119"/>
      <c r="BI5524" s="319"/>
      <c r="BJ5524" s="319"/>
      <c r="BK5524" s="319"/>
      <c r="BL5524" s="319"/>
      <c r="BM5524" s="319"/>
      <c r="BN5524" s="319"/>
      <c r="BO5524" s="319"/>
      <c r="BP5524" s="953"/>
      <c r="BQ5524" s="319"/>
      <c r="BR5524" s="319"/>
      <c r="BS5524" s="330"/>
      <c r="BT5524" s="331"/>
      <c r="BU5524" s="920"/>
      <c r="BV5524" s="903"/>
      <c r="BW5524" s="908"/>
      <c r="BX5524" s="908"/>
      <c r="BY5524" s="331"/>
      <c r="BZ5524" s="331"/>
      <c r="CA5524" s="462"/>
      <c r="CB5524" s="319"/>
      <c r="CC5524" s="319"/>
      <c r="CD5524" s="319"/>
      <c r="CE5524" s="319"/>
      <c r="CF5524" s="319"/>
      <c r="CG5524" s="319"/>
      <c r="CH5524" s="318"/>
      <c r="CI5524" s="319"/>
      <c r="CJ5524" s="319"/>
      <c r="CK5524" s="342"/>
      <c r="CL5524" s="333"/>
      <c r="CM5524" s="1079"/>
      <c r="CN5524" s="1005"/>
      <c r="CO5524" s="1005"/>
      <c r="CP5524" s="1005"/>
    </row>
    <row r="5525">
      <c r="A5525" s="1257"/>
      <c r="B5525" s="1113"/>
      <c r="C5525" s="1107"/>
      <c r="D5525" s="103"/>
      <c r="E5525" s="1137"/>
      <c r="F5525" s="112"/>
      <c r="G5525" s="1110"/>
      <c r="H5525" s="1138"/>
      <c r="I5525" s="1138"/>
      <c r="J5525" s="1139"/>
      <c r="K5525" s="1111"/>
      <c r="L5525" s="1112"/>
      <c r="M5525" s="1113"/>
      <c r="N5525" s="110"/>
      <c r="O5525" s="1140"/>
      <c r="P5525" s="1115"/>
      <c r="Q5525" s="1116"/>
      <c r="R5525" s="1141"/>
      <c r="S5525" s="1113"/>
      <c r="T5525" s="1143"/>
      <c r="U5525" s="1108"/>
      <c r="V5525" s="1108"/>
      <c r="W5525" s="1108"/>
      <c r="X5525" s="1108"/>
      <c r="Y5525" s="1108"/>
      <c r="Z5525" s="1114"/>
      <c r="AA5525" s="1114"/>
      <c r="AB5525" s="1114"/>
      <c r="AC5525" s="1117"/>
      <c r="AD5525" s="1115"/>
      <c r="AE5525" s="1115"/>
      <c r="AF5525" s="1115"/>
      <c r="AG5525" s="1115"/>
      <c r="AH5525" s="1115"/>
      <c r="AI5525" s="1115"/>
      <c r="AJ5525" s="1117"/>
      <c r="AK5525" s="1118"/>
      <c r="AL5525" s="1115"/>
      <c r="AM5525" s="1115"/>
      <c r="AN5525" s="1115"/>
      <c r="AO5525" s="1115"/>
      <c r="AP5525" s="1115"/>
      <c r="AQ5525" s="1115"/>
      <c r="AR5525" s="1115"/>
      <c r="AS5525" s="1117"/>
      <c r="AT5525" s="1075"/>
      <c r="AU5525" s="1193"/>
      <c r="AV5525" s="330"/>
      <c r="AW5525" s="331"/>
      <c r="AX5525" s="331"/>
      <c r="AY5525" s="331"/>
      <c r="AZ5525" s="331"/>
      <c r="BA5525" s="331"/>
      <c r="BB5525" s="331"/>
      <c r="BC5525" s="331"/>
      <c r="BD5525" s="331"/>
      <c r="BE5525" s="333"/>
      <c r="BF5525" s="330"/>
      <c r="BG5525" s="333"/>
      <c r="BH5525" s="1119"/>
      <c r="BI5525" s="319"/>
      <c r="BJ5525" s="319"/>
      <c r="BK5525" s="319"/>
      <c r="BL5525" s="319"/>
      <c r="BM5525" s="319"/>
      <c r="BN5525" s="319"/>
      <c r="BO5525" s="319"/>
      <c r="BP5525" s="953"/>
      <c r="BQ5525" s="319"/>
      <c r="BR5525" s="319"/>
      <c r="BS5525" s="330"/>
      <c r="BT5525" s="331"/>
      <c r="BU5525" s="920"/>
      <c r="BV5525" s="903"/>
      <c r="BW5525" s="908"/>
      <c r="BX5525" s="908"/>
      <c r="BY5525" s="331"/>
      <c r="BZ5525" s="331"/>
      <c r="CA5525" s="462"/>
      <c r="CB5525" s="319"/>
      <c r="CC5525" s="319"/>
      <c r="CD5525" s="319"/>
      <c r="CE5525" s="319"/>
      <c r="CF5525" s="319"/>
      <c r="CG5525" s="319"/>
      <c r="CH5525" s="318"/>
      <c r="CI5525" s="319"/>
      <c r="CJ5525" s="319"/>
      <c r="CK5525" s="342"/>
      <c r="CL5525" s="333"/>
      <c r="CM5525" s="1079"/>
      <c r="CN5525" s="1005"/>
      <c r="CO5525" s="1005"/>
      <c r="CP5525" s="1005"/>
    </row>
    <row r="5526">
      <c r="A5526" s="1257"/>
      <c r="B5526" s="1113"/>
      <c r="C5526" s="1107"/>
      <c r="D5526" s="103"/>
      <c r="E5526" s="1137"/>
      <c r="F5526" s="112"/>
      <c r="G5526" s="1110"/>
      <c r="H5526" s="1138"/>
      <c r="I5526" s="1138"/>
      <c r="J5526" s="1139"/>
      <c r="K5526" s="1111"/>
      <c r="L5526" s="1112"/>
      <c r="M5526" s="1113"/>
      <c r="N5526" s="110"/>
      <c r="O5526" s="1140"/>
      <c r="P5526" s="1115"/>
      <c r="Q5526" s="1116"/>
      <c r="R5526" s="1141"/>
      <c r="S5526" s="1113"/>
      <c r="T5526" s="1143"/>
      <c r="U5526" s="1108"/>
      <c r="V5526" s="1108"/>
      <c r="W5526" s="1108"/>
      <c r="X5526" s="1108"/>
      <c r="Y5526" s="1108"/>
      <c r="Z5526" s="1114"/>
      <c r="AA5526" s="1114"/>
      <c r="AB5526" s="1114"/>
      <c r="AC5526" s="1117"/>
      <c r="AD5526" s="1115"/>
      <c r="AE5526" s="1115"/>
      <c r="AF5526" s="1115"/>
      <c r="AG5526" s="1115"/>
      <c r="AH5526" s="1115"/>
      <c r="AI5526" s="1115"/>
      <c r="AJ5526" s="1117"/>
      <c r="AK5526" s="1118"/>
      <c r="AL5526" s="1115"/>
      <c r="AM5526" s="1115"/>
      <c r="AN5526" s="1115"/>
      <c r="AO5526" s="1115"/>
      <c r="AP5526" s="1115"/>
      <c r="AQ5526" s="1115"/>
      <c r="AR5526" s="1115"/>
      <c r="AS5526" s="1117"/>
      <c r="AT5526" s="1075"/>
      <c r="AU5526" s="1193"/>
      <c r="AV5526" s="330"/>
      <c r="AW5526" s="331"/>
      <c r="AX5526" s="331"/>
      <c r="AY5526" s="331"/>
      <c r="AZ5526" s="331"/>
      <c r="BA5526" s="331"/>
      <c r="BB5526" s="331"/>
      <c r="BC5526" s="331"/>
      <c r="BD5526" s="331"/>
      <c r="BE5526" s="333"/>
      <c r="BF5526" s="330"/>
      <c r="BG5526" s="333"/>
      <c r="BH5526" s="1119"/>
      <c r="BI5526" s="319"/>
      <c r="BJ5526" s="319"/>
      <c r="BK5526" s="319"/>
      <c r="BL5526" s="319"/>
      <c r="BM5526" s="319"/>
      <c r="BN5526" s="319"/>
      <c r="BO5526" s="319"/>
      <c r="BP5526" s="953"/>
      <c r="BQ5526" s="319"/>
      <c r="BR5526" s="319"/>
      <c r="BS5526" s="330"/>
      <c r="BT5526" s="331"/>
      <c r="BU5526" s="920"/>
      <c r="BV5526" s="903"/>
      <c r="BW5526" s="908"/>
      <c r="BX5526" s="908"/>
      <c r="BY5526" s="331"/>
      <c r="BZ5526" s="331"/>
      <c r="CA5526" s="462"/>
      <c r="CB5526" s="319"/>
      <c r="CC5526" s="319"/>
      <c r="CD5526" s="319"/>
      <c r="CE5526" s="319"/>
      <c r="CF5526" s="319"/>
      <c r="CG5526" s="319"/>
      <c r="CH5526" s="318"/>
      <c r="CI5526" s="319"/>
      <c r="CJ5526" s="319"/>
      <c r="CK5526" s="342"/>
      <c r="CL5526" s="333"/>
      <c r="CM5526" s="1079"/>
      <c r="CN5526" s="1005"/>
      <c r="CO5526" s="1005"/>
      <c r="CP5526" s="1005"/>
    </row>
    <row r="5527">
      <c r="A5527" s="1257"/>
      <c r="B5527" s="1113"/>
      <c r="C5527" s="1107"/>
      <c r="D5527" s="103"/>
      <c r="E5527" s="1137"/>
      <c r="F5527" s="112"/>
      <c r="G5527" s="1110"/>
      <c r="H5527" s="1138"/>
      <c r="I5527" s="1138"/>
      <c r="J5527" s="1139"/>
      <c r="K5527" s="1111"/>
      <c r="L5527" s="1112"/>
      <c r="M5527" s="1113"/>
      <c r="N5527" s="110"/>
      <c r="O5527" s="1140"/>
      <c r="P5527" s="1115"/>
      <c r="Q5527" s="1116"/>
      <c r="R5527" s="1141"/>
      <c r="S5527" s="1113"/>
      <c r="T5527" s="1143"/>
      <c r="U5527" s="1108"/>
      <c r="V5527" s="1108"/>
      <c r="W5527" s="1108"/>
      <c r="X5527" s="1108"/>
      <c r="Y5527" s="1108"/>
      <c r="Z5527" s="1114"/>
      <c r="AA5527" s="1114"/>
      <c r="AB5527" s="1114"/>
      <c r="AC5527" s="1117"/>
      <c r="AD5527" s="1115"/>
      <c r="AE5527" s="1115"/>
      <c r="AF5527" s="1115"/>
      <c r="AG5527" s="1115"/>
      <c r="AH5527" s="1115"/>
      <c r="AI5527" s="1115"/>
      <c r="AJ5527" s="1117"/>
      <c r="AK5527" s="1118"/>
      <c r="AL5527" s="1115"/>
      <c r="AM5527" s="1115"/>
      <c r="AN5527" s="1115"/>
      <c r="AO5527" s="1115"/>
      <c r="AP5527" s="1115"/>
      <c r="AQ5527" s="1115"/>
      <c r="AR5527" s="1115"/>
      <c r="AS5527" s="1117"/>
      <c r="AT5527" s="1075"/>
      <c r="AU5527" s="1193"/>
      <c r="AV5527" s="330"/>
      <c r="AW5527" s="331"/>
      <c r="AX5527" s="331"/>
      <c r="AY5527" s="331"/>
      <c r="AZ5527" s="331"/>
      <c r="BA5527" s="331"/>
      <c r="BB5527" s="331"/>
      <c r="BC5527" s="331"/>
      <c r="BD5527" s="331"/>
      <c r="BE5527" s="333"/>
      <c r="BF5527" s="330"/>
      <c r="BG5527" s="333"/>
      <c r="BH5527" s="1119"/>
      <c r="BI5527" s="319"/>
      <c r="BJ5527" s="319"/>
      <c r="BK5527" s="319"/>
      <c r="BL5527" s="319"/>
      <c r="BM5527" s="319"/>
      <c r="BN5527" s="319"/>
      <c r="BO5527" s="319"/>
      <c r="BP5527" s="953"/>
      <c r="BQ5527" s="319"/>
      <c r="BR5527" s="319"/>
      <c r="BS5527" s="330"/>
      <c r="BT5527" s="331"/>
      <c r="BU5527" s="920"/>
      <c r="BV5527" s="903"/>
      <c r="BW5527" s="908"/>
      <c r="BX5527" s="908"/>
      <c r="BY5527" s="331"/>
      <c r="BZ5527" s="331"/>
      <c r="CA5527" s="462"/>
      <c r="CB5527" s="319"/>
      <c r="CC5527" s="319"/>
      <c r="CD5527" s="319"/>
      <c r="CE5527" s="319"/>
      <c r="CF5527" s="319"/>
      <c r="CG5527" s="319"/>
      <c r="CH5527" s="318"/>
      <c r="CI5527" s="319"/>
      <c r="CJ5527" s="319"/>
      <c r="CK5527" s="342"/>
      <c r="CL5527" s="333"/>
      <c r="CM5527" s="1079"/>
      <c r="CN5527" s="1005"/>
      <c r="CO5527" s="1005"/>
      <c r="CP5527" s="1005"/>
    </row>
    <row r="5528">
      <c r="A5528" s="1257"/>
      <c r="B5528" s="1113"/>
      <c r="C5528" s="1107"/>
      <c r="D5528" s="103"/>
      <c r="E5528" s="1137"/>
      <c r="F5528" s="112"/>
      <c r="G5528" s="1110"/>
      <c r="H5528" s="1138"/>
      <c r="I5528" s="1138"/>
      <c r="J5528" s="1139"/>
      <c r="K5528" s="1111"/>
      <c r="L5528" s="1112"/>
      <c r="M5528" s="1113"/>
      <c r="N5528" s="110"/>
      <c r="O5528" s="1140"/>
      <c r="P5528" s="1115"/>
      <c r="Q5528" s="1116"/>
      <c r="R5528" s="1141"/>
      <c r="S5528" s="1113"/>
      <c r="T5528" s="1143"/>
      <c r="U5528" s="1108"/>
      <c r="V5528" s="1108"/>
      <c r="W5528" s="1108"/>
      <c r="X5528" s="1108"/>
      <c r="Y5528" s="1108"/>
      <c r="Z5528" s="1114"/>
      <c r="AA5528" s="1114"/>
      <c r="AB5528" s="1114"/>
      <c r="AC5528" s="1117"/>
      <c r="AD5528" s="1115"/>
      <c r="AE5528" s="1115"/>
      <c r="AF5528" s="1115"/>
      <c r="AG5528" s="1115"/>
      <c r="AH5528" s="1115"/>
      <c r="AI5528" s="1115"/>
      <c r="AJ5528" s="1117"/>
      <c r="AK5528" s="1118"/>
      <c r="AL5528" s="1115"/>
      <c r="AM5528" s="1115"/>
      <c r="AN5528" s="1115"/>
      <c r="AO5528" s="1115"/>
      <c r="AP5528" s="1115"/>
      <c r="AQ5528" s="1115"/>
      <c r="AR5528" s="1115"/>
      <c r="AS5528" s="1117"/>
      <c r="AT5528" s="1075"/>
      <c r="AU5528" s="1193"/>
      <c r="AV5528" s="330"/>
      <c r="AW5528" s="331"/>
      <c r="AX5528" s="331"/>
      <c r="AY5528" s="331"/>
      <c r="AZ5528" s="331"/>
      <c r="BA5528" s="331"/>
      <c r="BB5528" s="331"/>
      <c r="BC5528" s="331"/>
      <c r="BD5528" s="331"/>
      <c r="BE5528" s="333"/>
      <c r="BF5528" s="330"/>
      <c r="BG5528" s="333"/>
      <c r="BH5528" s="1119"/>
      <c r="BI5528" s="319"/>
      <c r="BJ5528" s="319"/>
      <c r="BK5528" s="319"/>
      <c r="BL5528" s="319"/>
      <c r="BM5528" s="319"/>
      <c r="BN5528" s="319"/>
      <c r="BO5528" s="319"/>
      <c r="BP5528" s="953"/>
      <c r="BQ5528" s="319"/>
      <c r="BR5528" s="319"/>
      <c r="BS5528" s="330"/>
      <c r="BT5528" s="331"/>
      <c r="BU5528" s="920"/>
      <c r="BV5528" s="903"/>
      <c r="BW5528" s="908"/>
      <c r="BX5528" s="908"/>
      <c r="BY5528" s="331"/>
      <c r="BZ5528" s="331"/>
      <c r="CA5528" s="462"/>
      <c r="CB5528" s="319"/>
      <c r="CC5528" s="319"/>
      <c r="CD5528" s="319"/>
      <c r="CE5528" s="319"/>
      <c r="CF5528" s="319"/>
      <c r="CG5528" s="319"/>
      <c r="CH5528" s="318"/>
      <c r="CI5528" s="319"/>
      <c r="CJ5528" s="319"/>
      <c r="CK5528" s="342"/>
      <c r="CL5528" s="333"/>
      <c r="CM5528" s="1079"/>
      <c r="CN5528" s="1005"/>
      <c r="CO5528" s="1005"/>
      <c r="CP5528" s="1005"/>
    </row>
    <row r="5529">
      <c r="A5529" s="1257"/>
      <c r="B5529" s="1113"/>
      <c r="C5529" s="1107"/>
      <c r="D5529" s="103"/>
      <c r="E5529" s="1137"/>
      <c r="F5529" s="112"/>
      <c r="G5529" s="1110"/>
      <c r="H5529" s="1138"/>
      <c r="I5529" s="1138"/>
      <c r="J5529" s="1139"/>
      <c r="K5529" s="1111"/>
      <c r="L5529" s="1112"/>
      <c r="M5529" s="1113"/>
      <c r="N5529" s="110"/>
      <c r="O5529" s="1140"/>
      <c r="P5529" s="1115"/>
      <c r="Q5529" s="1116"/>
      <c r="R5529" s="1141"/>
      <c r="S5529" s="1113"/>
      <c r="T5529" s="1143"/>
      <c r="U5529" s="1108"/>
      <c r="V5529" s="1108"/>
      <c r="W5529" s="1108"/>
      <c r="X5529" s="1108"/>
      <c r="Y5529" s="1108"/>
      <c r="Z5529" s="1114"/>
      <c r="AA5529" s="1114"/>
      <c r="AB5529" s="1114"/>
      <c r="AC5529" s="1117"/>
      <c r="AD5529" s="1115"/>
      <c r="AE5529" s="1115"/>
      <c r="AF5529" s="1115"/>
      <c r="AG5529" s="1115"/>
      <c r="AH5529" s="1115"/>
      <c r="AI5529" s="1115"/>
      <c r="AJ5529" s="1117"/>
      <c r="AK5529" s="1118"/>
      <c r="AL5529" s="1115"/>
      <c r="AM5529" s="1115"/>
      <c r="AN5529" s="1115"/>
      <c r="AO5529" s="1115"/>
      <c r="AP5529" s="1115"/>
      <c r="AQ5529" s="1115"/>
      <c r="AR5529" s="1115"/>
      <c r="AS5529" s="1117"/>
      <c r="AT5529" s="1075"/>
      <c r="AU5529" s="1193"/>
      <c r="AV5529" s="330"/>
      <c r="AW5529" s="331"/>
      <c r="AX5529" s="331"/>
      <c r="AY5529" s="331"/>
      <c r="AZ5529" s="331"/>
      <c r="BA5529" s="331"/>
      <c r="BB5529" s="331"/>
      <c r="BC5529" s="331"/>
      <c r="BD5529" s="331"/>
      <c r="BE5529" s="333"/>
      <c r="BF5529" s="330"/>
      <c r="BG5529" s="333"/>
      <c r="BH5529" s="1119"/>
      <c r="BI5529" s="319"/>
      <c r="BJ5529" s="319"/>
      <c r="BK5529" s="319"/>
      <c r="BL5529" s="319"/>
      <c r="BM5529" s="319"/>
      <c r="BN5529" s="319"/>
      <c r="BO5529" s="319"/>
      <c r="BP5529" s="953"/>
      <c r="BQ5529" s="319"/>
      <c r="BR5529" s="319"/>
      <c r="BS5529" s="330"/>
      <c r="BT5529" s="331"/>
      <c r="BU5529" s="920"/>
      <c r="BV5529" s="903"/>
      <c r="BW5529" s="908"/>
      <c r="BX5529" s="908"/>
      <c r="BY5529" s="331"/>
      <c r="BZ5529" s="331"/>
      <c r="CA5529" s="462"/>
      <c r="CB5529" s="319"/>
      <c r="CC5529" s="319"/>
      <c r="CD5529" s="319"/>
      <c r="CE5529" s="319"/>
      <c r="CF5529" s="319"/>
      <c r="CG5529" s="319"/>
      <c r="CH5529" s="318"/>
      <c r="CI5529" s="319"/>
      <c r="CJ5529" s="319"/>
      <c r="CK5529" s="342"/>
      <c r="CL5529" s="333"/>
      <c r="CM5529" s="1079"/>
      <c r="CN5529" s="1005"/>
      <c r="CO5529" s="1005"/>
      <c r="CP5529" s="1005"/>
    </row>
    <row r="5530">
      <c r="A5530" s="1257"/>
      <c r="B5530" s="1113"/>
      <c r="C5530" s="1107"/>
      <c r="D5530" s="103"/>
      <c r="E5530" s="1137"/>
      <c r="F5530" s="112"/>
      <c r="G5530" s="1110"/>
      <c r="H5530" s="1138"/>
      <c r="I5530" s="1138"/>
      <c r="J5530" s="1139"/>
      <c r="K5530" s="1111"/>
      <c r="L5530" s="1112"/>
      <c r="M5530" s="1113"/>
      <c r="N5530" s="110"/>
      <c r="O5530" s="1140"/>
      <c r="P5530" s="1115"/>
      <c r="Q5530" s="1116"/>
      <c r="R5530" s="1141"/>
      <c r="S5530" s="1113"/>
      <c r="T5530" s="1143"/>
      <c r="U5530" s="1108"/>
      <c r="V5530" s="1108"/>
      <c r="W5530" s="1108"/>
      <c r="X5530" s="1108"/>
      <c r="Y5530" s="1108"/>
      <c r="Z5530" s="1114"/>
      <c r="AA5530" s="1114"/>
      <c r="AB5530" s="1114"/>
      <c r="AC5530" s="1117"/>
      <c r="AD5530" s="1115"/>
      <c r="AE5530" s="1115"/>
      <c r="AF5530" s="1115"/>
      <c r="AG5530" s="1115"/>
      <c r="AH5530" s="1115"/>
      <c r="AI5530" s="1115"/>
      <c r="AJ5530" s="1117"/>
      <c r="AK5530" s="1118"/>
      <c r="AL5530" s="1115"/>
      <c r="AM5530" s="1115"/>
      <c r="AN5530" s="1115"/>
      <c r="AO5530" s="1115"/>
      <c r="AP5530" s="1115"/>
      <c r="AQ5530" s="1115"/>
      <c r="AR5530" s="1115"/>
      <c r="AS5530" s="1117"/>
      <c r="AT5530" s="1075"/>
      <c r="AU5530" s="1193"/>
      <c r="AV5530" s="330"/>
      <c r="AW5530" s="331"/>
      <c r="AX5530" s="331"/>
      <c r="AY5530" s="331"/>
      <c r="AZ5530" s="331"/>
      <c r="BA5530" s="331"/>
      <c r="BB5530" s="331"/>
      <c r="BC5530" s="331"/>
      <c r="BD5530" s="331"/>
      <c r="BE5530" s="333"/>
      <c r="BF5530" s="330"/>
      <c r="BG5530" s="333"/>
      <c r="BH5530" s="1119"/>
      <c r="BI5530" s="319"/>
      <c r="BJ5530" s="319"/>
      <c r="BK5530" s="319"/>
      <c r="BL5530" s="319"/>
      <c r="BM5530" s="319"/>
      <c r="BN5530" s="319"/>
      <c r="BO5530" s="319"/>
      <c r="BP5530" s="953"/>
      <c r="BQ5530" s="319"/>
      <c r="BR5530" s="319"/>
      <c r="BS5530" s="330"/>
      <c r="BT5530" s="331"/>
      <c r="BU5530" s="920"/>
      <c r="BV5530" s="903"/>
      <c r="BW5530" s="908"/>
      <c r="BX5530" s="908"/>
      <c r="BY5530" s="331"/>
      <c r="BZ5530" s="331"/>
      <c r="CA5530" s="462"/>
      <c r="CB5530" s="319"/>
      <c r="CC5530" s="319"/>
      <c r="CD5530" s="319"/>
      <c r="CE5530" s="319"/>
      <c r="CF5530" s="319"/>
      <c r="CG5530" s="319"/>
      <c r="CH5530" s="318"/>
      <c r="CI5530" s="319"/>
      <c r="CJ5530" s="319"/>
      <c r="CK5530" s="342"/>
      <c r="CL5530" s="333"/>
      <c r="CM5530" s="1079"/>
      <c r="CN5530" s="1005"/>
      <c r="CO5530" s="1005"/>
      <c r="CP5530" s="1005"/>
    </row>
    <row r="5531">
      <c r="A5531" s="1257"/>
      <c r="B5531" s="1113"/>
      <c r="C5531" s="1107"/>
      <c r="D5531" s="103"/>
      <c r="E5531" s="1137"/>
      <c r="F5531" s="112"/>
      <c r="G5531" s="1110"/>
      <c r="H5531" s="1138"/>
      <c r="I5531" s="1138"/>
      <c r="J5531" s="1139"/>
      <c r="K5531" s="1111"/>
      <c r="L5531" s="1112"/>
      <c r="M5531" s="1113"/>
      <c r="N5531" s="110"/>
      <c r="O5531" s="1140"/>
      <c r="P5531" s="1115"/>
      <c r="Q5531" s="1116"/>
      <c r="R5531" s="1141"/>
      <c r="S5531" s="1113"/>
      <c r="T5531" s="1143"/>
      <c r="U5531" s="1108"/>
      <c r="V5531" s="1108"/>
      <c r="W5531" s="1108"/>
      <c r="X5531" s="1108"/>
      <c r="Y5531" s="1108"/>
      <c r="Z5531" s="1114"/>
      <c r="AA5531" s="1114"/>
      <c r="AB5531" s="1114"/>
      <c r="AC5531" s="1117"/>
      <c r="AD5531" s="1115"/>
      <c r="AE5531" s="1115"/>
      <c r="AF5531" s="1115"/>
      <c r="AG5531" s="1115"/>
      <c r="AH5531" s="1115"/>
      <c r="AI5531" s="1115"/>
      <c r="AJ5531" s="1117"/>
      <c r="AK5531" s="1118"/>
      <c r="AL5531" s="1115"/>
      <c r="AM5531" s="1115"/>
      <c r="AN5531" s="1115"/>
      <c r="AO5531" s="1115"/>
      <c r="AP5531" s="1115"/>
      <c r="AQ5531" s="1115"/>
      <c r="AR5531" s="1115"/>
      <c r="AS5531" s="1117"/>
      <c r="AT5531" s="1075"/>
      <c r="AU5531" s="1193"/>
      <c r="AV5531" s="330"/>
      <c r="AW5531" s="331"/>
      <c r="AX5531" s="331"/>
      <c r="AY5531" s="331"/>
      <c r="AZ5531" s="331"/>
      <c r="BA5531" s="331"/>
      <c r="BB5531" s="331"/>
      <c r="BC5531" s="331"/>
      <c r="BD5531" s="331"/>
      <c r="BE5531" s="333"/>
      <c r="BF5531" s="330"/>
      <c r="BG5531" s="333"/>
      <c r="BH5531" s="1119"/>
      <c r="BI5531" s="319"/>
      <c r="BJ5531" s="319"/>
      <c r="BK5531" s="319"/>
      <c r="BL5531" s="319"/>
      <c r="BM5531" s="319"/>
      <c r="BN5531" s="319"/>
      <c r="BO5531" s="319"/>
      <c r="BP5531" s="953"/>
      <c r="BQ5531" s="319"/>
      <c r="BR5531" s="319"/>
      <c r="BS5531" s="330"/>
      <c r="BT5531" s="331"/>
      <c r="BU5531" s="920"/>
      <c r="BV5531" s="903"/>
      <c r="BW5531" s="908"/>
      <c r="BX5531" s="908"/>
      <c r="BY5531" s="331"/>
      <c r="BZ5531" s="331"/>
      <c r="CA5531" s="462"/>
      <c r="CB5531" s="319"/>
      <c r="CC5531" s="319"/>
      <c r="CD5531" s="319"/>
      <c r="CE5531" s="319"/>
      <c r="CF5531" s="319"/>
      <c r="CG5531" s="319"/>
      <c r="CH5531" s="318"/>
      <c r="CI5531" s="319"/>
      <c r="CJ5531" s="319"/>
      <c r="CK5531" s="342"/>
      <c r="CL5531" s="333"/>
      <c r="CM5531" s="1079"/>
      <c r="CN5531" s="1005"/>
      <c r="CO5531" s="1005"/>
      <c r="CP5531" s="1005"/>
    </row>
    <row r="5532">
      <c r="A5532" s="1257"/>
      <c r="B5532" s="1113"/>
      <c r="C5532" s="1107"/>
      <c r="D5532" s="103"/>
      <c r="E5532" s="1137"/>
      <c r="F5532" s="112"/>
      <c r="G5532" s="1110"/>
      <c r="H5532" s="1138"/>
      <c r="I5532" s="1138"/>
      <c r="J5532" s="1139"/>
      <c r="K5532" s="1111"/>
      <c r="L5532" s="1112"/>
      <c r="M5532" s="1113"/>
      <c r="N5532" s="110"/>
      <c r="O5532" s="1140"/>
      <c r="P5532" s="1115"/>
      <c r="Q5532" s="1116"/>
      <c r="R5532" s="1141"/>
      <c r="S5532" s="1113"/>
      <c r="T5532" s="1143"/>
      <c r="U5532" s="1108"/>
      <c r="V5532" s="1108"/>
      <c r="W5532" s="1108"/>
      <c r="X5532" s="1108"/>
      <c r="Y5532" s="1108"/>
      <c r="Z5532" s="1114"/>
      <c r="AA5532" s="1114"/>
      <c r="AB5532" s="1114"/>
      <c r="AC5532" s="1117"/>
      <c r="AD5532" s="1115"/>
      <c r="AE5532" s="1115"/>
      <c r="AF5532" s="1115"/>
      <c r="AG5532" s="1115"/>
      <c r="AH5532" s="1115"/>
      <c r="AI5532" s="1115"/>
      <c r="AJ5532" s="1117"/>
      <c r="AK5532" s="1118"/>
      <c r="AL5532" s="1115"/>
      <c r="AM5532" s="1115"/>
      <c r="AN5532" s="1115"/>
      <c r="AO5532" s="1115"/>
      <c r="AP5532" s="1115"/>
      <c r="AQ5532" s="1115"/>
      <c r="AR5532" s="1115"/>
      <c r="AS5532" s="1117"/>
      <c r="AT5532" s="1075"/>
      <c r="AU5532" s="1193"/>
      <c r="AV5532" s="330"/>
      <c r="AW5532" s="331"/>
      <c r="AX5532" s="331"/>
      <c r="AY5532" s="331"/>
      <c r="AZ5532" s="331"/>
      <c r="BA5532" s="331"/>
      <c r="BB5532" s="331"/>
      <c r="BC5532" s="331"/>
      <c r="BD5532" s="331"/>
      <c r="BE5532" s="333"/>
      <c r="BF5532" s="330"/>
      <c r="BG5532" s="333"/>
      <c r="BH5532" s="1119"/>
      <c r="BI5532" s="319"/>
      <c r="BJ5532" s="319"/>
      <c r="BK5532" s="319"/>
      <c r="BL5532" s="319"/>
      <c r="BM5532" s="319"/>
      <c r="BN5532" s="319"/>
      <c r="BO5532" s="319"/>
      <c r="BP5532" s="953"/>
      <c r="BQ5532" s="319"/>
      <c r="BR5532" s="319"/>
      <c r="BS5532" s="330"/>
      <c r="BT5532" s="331"/>
      <c r="BU5532" s="920"/>
      <c r="BV5532" s="903"/>
      <c r="BW5532" s="908"/>
      <c r="BX5532" s="908"/>
      <c r="BY5532" s="331"/>
      <c r="BZ5532" s="331"/>
      <c r="CA5532" s="462"/>
      <c r="CB5532" s="319"/>
      <c r="CC5532" s="319"/>
      <c r="CD5532" s="319"/>
      <c r="CE5532" s="319"/>
      <c r="CF5532" s="319"/>
      <c r="CG5532" s="319"/>
      <c r="CH5532" s="318"/>
      <c r="CI5532" s="319"/>
      <c r="CJ5532" s="319"/>
      <c r="CK5532" s="342"/>
      <c r="CL5532" s="333"/>
      <c r="CM5532" s="1079"/>
      <c r="CN5532" s="1005"/>
      <c r="CO5532" s="1005"/>
      <c r="CP5532" s="1005"/>
    </row>
    <row r="5533">
      <c r="A5533" s="1257"/>
      <c r="B5533" s="1113"/>
      <c r="C5533" s="1107"/>
      <c r="D5533" s="103"/>
      <c r="E5533" s="1137"/>
      <c r="F5533" s="112"/>
      <c r="G5533" s="1110"/>
      <c r="H5533" s="1138"/>
      <c r="I5533" s="1138"/>
      <c r="J5533" s="1139"/>
      <c r="K5533" s="1111"/>
      <c r="L5533" s="1112"/>
      <c r="M5533" s="1113"/>
      <c r="N5533" s="110"/>
      <c r="O5533" s="1140"/>
      <c r="P5533" s="1115"/>
      <c r="Q5533" s="1116"/>
      <c r="R5533" s="1141"/>
      <c r="S5533" s="1113"/>
      <c r="T5533" s="1143"/>
      <c r="U5533" s="1108"/>
      <c r="V5533" s="1108"/>
      <c r="W5533" s="1108"/>
      <c r="X5533" s="1108"/>
      <c r="Y5533" s="1108"/>
      <c r="Z5533" s="1114"/>
      <c r="AA5533" s="1114"/>
      <c r="AB5533" s="1114"/>
      <c r="AC5533" s="1117"/>
      <c r="AD5533" s="1115"/>
      <c r="AE5533" s="1115"/>
      <c r="AF5533" s="1115"/>
      <c r="AG5533" s="1115"/>
      <c r="AH5533" s="1115"/>
      <c r="AI5533" s="1115"/>
      <c r="AJ5533" s="1117"/>
      <c r="AK5533" s="1118"/>
      <c r="AL5533" s="1115"/>
      <c r="AM5533" s="1115"/>
      <c r="AN5533" s="1115"/>
      <c r="AO5533" s="1115"/>
      <c r="AP5533" s="1115"/>
      <c r="AQ5533" s="1115"/>
      <c r="AR5533" s="1115"/>
      <c r="AS5533" s="1117"/>
      <c r="AT5533" s="1075"/>
      <c r="AU5533" s="1193"/>
      <c r="AV5533" s="330"/>
      <c r="AW5533" s="331"/>
      <c r="AX5533" s="331"/>
      <c r="AY5533" s="331"/>
      <c r="AZ5533" s="331"/>
      <c r="BA5533" s="331"/>
      <c r="BB5533" s="331"/>
      <c r="BC5533" s="331"/>
      <c r="BD5533" s="331"/>
      <c r="BE5533" s="333"/>
      <c r="BF5533" s="330"/>
      <c r="BG5533" s="333"/>
      <c r="BH5533" s="1119"/>
      <c r="BI5533" s="319"/>
      <c r="BJ5533" s="319"/>
      <c r="BK5533" s="319"/>
      <c r="BL5533" s="319"/>
      <c r="BM5533" s="319"/>
      <c r="BN5533" s="319"/>
      <c r="BO5533" s="319"/>
      <c r="BP5533" s="953"/>
      <c r="BQ5533" s="319"/>
      <c r="BR5533" s="319"/>
      <c r="BS5533" s="330"/>
      <c r="BT5533" s="331"/>
      <c r="BU5533" s="920"/>
      <c r="BV5533" s="903"/>
      <c r="BW5533" s="908"/>
      <c r="BX5533" s="908"/>
      <c r="BY5533" s="331"/>
      <c r="BZ5533" s="331"/>
      <c r="CA5533" s="462"/>
      <c r="CB5533" s="319"/>
      <c r="CC5533" s="319"/>
      <c r="CD5533" s="319"/>
      <c r="CE5533" s="319"/>
      <c r="CF5533" s="319"/>
      <c r="CG5533" s="319"/>
      <c r="CH5533" s="318"/>
      <c r="CI5533" s="319"/>
      <c r="CJ5533" s="319"/>
      <c r="CK5533" s="342"/>
      <c r="CL5533" s="333"/>
      <c r="CM5533" s="1079"/>
      <c r="CN5533" s="1005"/>
      <c r="CO5533" s="1005"/>
      <c r="CP5533" s="1005"/>
    </row>
    <row r="5534">
      <c r="A5534" s="1257"/>
      <c r="B5534" s="1113"/>
      <c r="C5534" s="1107"/>
      <c r="D5534" s="103"/>
      <c r="E5534" s="1137"/>
      <c r="F5534" s="112"/>
      <c r="G5534" s="1110"/>
      <c r="H5534" s="1138"/>
      <c r="I5534" s="1138"/>
      <c r="J5534" s="1139"/>
      <c r="K5534" s="1111"/>
      <c r="L5534" s="1112"/>
      <c r="M5534" s="1113"/>
      <c r="N5534" s="110"/>
      <c r="O5534" s="1140"/>
      <c r="P5534" s="1115"/>
      <c r="Q5534" s="1116"/>
      <c r="R5534" s="1141"/>
      <c r="S5534" s="1113"/>
      <c r="T5534" s="1143"/>
      <c r="U5534" s="1108"/>
      <c r="V5534" s="1108"/>
      <c r="W5534" s="1108"/>
      <c r="X5534" s="1108"/>
      <c r="Y5534" s="1108"/>
      <c r="Z5534" s="1114"/>
      <c r="AA5534" s="1114"/>
      <c r="AB5534" s="1114"/>
      <c r="AC5534" s="1117"/>
      <c r="AD5534" s="1115"/>
      <c r="AE5534" s="1115"/>
      <c r="AF5534" s="1115"/>
      <c r="AG5534" s="1115"/>
      <c r="AH5534" s="1115"/>
      <c r="AI5534" s="1115"/>
      <c r="AJ5534" s="1117"/>
      <c r="AK5534" s="1118"/>
      <c r="AL5534" s="1115"/>
      <c r="AM5534" s="1115"/>
      <c r="AN5534" s="1115"/>
      <c r="AO5534" s="1115"/>
      <c r="AP5534" s="1115"/>
      <c r="AQ5534" s="1115"/>
      <c r="AR5534" s="1115"/>
      <c r="AS5534" s="1117"/>
      <c r="AT5534" s="1075"/>
      <c r="AU5534" s="1193"/>
      <c r="AV5534" s="330"/>
      <c r="AW5534" s="331"/>
      <c r="AX5534" s="331"/>
      <c r="AY5534" s="331"/>
      <c r="AZ5534" s="331"/>
      <c r="BA5534" s="331"/>
      <c r="BB5534" s="331"/>
      <c r="BC5534" s="331"/>
      <c r="BD5534" s="331"/>
      <c r="BE5534" s="333"/>
      <c r="BF5534" s="330"/>
      <c r="BG5534" s="333"/>
      <c r="BH5534" s="1119"/>
      <c r="BI5534" s="319"/>
      <c r="BJ5534" s="319"/>
      <c r="BK5534" s="319"/>
      <c r="BL5534" s="319"/>
      <c r="BM5534" s="319"/>
      <c r="BN5534" s="319"/>
      <c r="BO5534" s="319"/>
      <c r="BP5534" s="953"/>
      <c r="BQ5534" s="319"/>
      <c r="BR5534" s="319"/>
      <c r="BS5534" s="330"/>
      <c r="BT5534" s="331"/>
      <c r="BU5534" s="920"/>
      <c r="BV5534" s="903"/>
      <c r="BW5534" s="908"/>
      <c r="BX5534" s="908"/>
      <c r="BY5534" s="331"/>
      <c r="BZ5534" s="331"/>
      <c r="CA5534" s="462"/>
      <c r="CB5534" s="319"/>
      <c r="CC5534" s="319"/>
      <c r="CD5534" s="319"/>
      <c r="CE5534" s="319"/>
      <c r="CF5534" s="319"/>
      <c r="CG5534" s="319"/>
      <c r="CH5534" s="318"/>
      <c r="CI5534" s="319"/>
      <c r="CJ5534" s="319"/>
      <c r="CK5534" s="342"/>
      <c r="CL5534" s="333"/>
      <c r="CM5534" s="1079"/>
      <c r="CN5534" s="1005"/>
      <c r="CO5534" s="1005"/>
      <c r="CP5534" s="1005"/>
    </row>
    <row r="5535">
      <c r="A5535" s="1257"/>
      <c r="B5535" s="1113"/>
      <c r="C5535" s="1107"/>
      <c r="D5535" s="103"/>
      <c r="E5535" s="1137"/>
      <c r="F5535" s="112"/>
      <c r="G5535" s="1110"/>
      <c r="H5535" s="1138"/>
      <c r="I5535" s="1138"/>
      <c r="J5535" s="1139"/>
      <c r="K5535" s="1111"/>
      <c r="L5535" s="1112"/>
      <c r="M5535" s="1113"/>
      <c r="N5535" s="110"/>
      <c r="O5535" s="1140"/>
      <c r="P5535" s="1115"/>
      <c r="Q5535" s="1116"/>
      <c r="R5535" s="1141"/>
      <c r="S5535" s="1113"/>
      <c r="T5535" s="1143"/>
      <c r="U5535" s="1108"/>
      <c r="V5535" s="1108"/>
      <c r="W5535" s="1108"/>
      <c r="X5535" s="1108"/>
      <c r="Y5535" s="1108"/>
      <c r="Z5535" s="1114"/>
      <c r="AA5535" s="1114"/>
      <c r="AB5535" s="1114"/>
      <c r="AC5535" s="1117"/>
      <c r="AD5535" s="1115"/>
      <c r="AE5535" s="1115"/>
      <c r="AF5535" s="1115"/>
      <c r="AG5535" s="1115"/>
      <c r="AH5535" s="1115"/>
      <c r="AI5535" s="1115"/>
      <c r="AJ5535" s="1117"/>
      <c r="AK5535" s="1118"/>
      <c r="AL5535" s="1115"/>
      <c r="AM5535" s="1115"/>
      <c r="AN5535" s="1115"/>
      <c r="AO5535" s="1115"/>
      <c r="AP5535" s="1115"/>
      <c r="AQ5535" s="1115"/>
      <c r="AR5535" s="1115"/>
      <c r="AS5535" s="1117"/>
      <c r="AT5535" s="1075"/>
      <c r="AU5535" s="1193"/>
      <c r="AV5535" s="330"/>
      <c r="AW5535" s="331"/>
      <c r="AX5535" s="331"/>
      <c r="AY5535" s="331"/>
      <c r="AZ5535" s="331"/>
      <c r="BA5535" s="331"/>
      <c r="BB5535" s="331"/>
      <c r="BC5535" s="331"/>
      <c r="BD5535" s="331"/>
      <c r="BE5535" s="333"/>
      <c r="BF5535" s="330"/>
      <c r="BG5535" s="333"/>
      <c r="BH5535" s="1119"/>
      <c r="BI5535" s="319"/>
      <c r="BJ5535" s="319"/>
      <c r="BK5535" s="319"/>
      <c r="BL5535" s="319"/>
      <c r="BM5535" s="319"/>
      <c r="BN5535" s="319"/>
      <c r="BO5535" s="319"/>
      <c r="BP5535" s="953"/>
      <c r="BQ5535" s="319"/>
      <c r="BR5535" s="319"/>
      <c r="BS5535" s="330"/>
      <c r="BT5535" s="331"/>
      <c r="BU5535" s="920"/>
      <c r="BV5535" s="903"/>
      <c r="BW5535" s="908"/>
      <c r="BX5535" s="908"/>
      <c r="BY5535" s="331"/>
      <c r="BZ5535" s="331"/>
      <c r="CA5535" s="462"/>
      <c r="CB5535" s="319"/>
      <c r="CC5535" s="319"/>
      <c r="CD5535" s="319"/>
      <c r="CE5535" s="319"/>
      <c r="CF5535" s="319"/>
      <c r="CG5535" s="319"/>
      <c r="CH5535" s="318"/>
      <c r="CI5535" s="319"/>
      <c r="CJ5535" s="319"/>
      <c r="CK5535" s="342"/>
      <c r="CL5535" s="333"/>
      <c r="CM5535" s="1079"/>
      <c r="CN5535" s="1005"/>
      <c r="CO5535" s="1005"/>
      <c r="CP5535" s="1005"/>
    </row>
    <row r="5536">
      <c r="A5536" s="1257"/>
      <c r="B5536" s="1113"/>
      <c r="C5536" s="1107"/>
      <c r="D5536" s="103"/>
      <c r="E5536" s="1137"/>
      <c r="F5536" s="112"/>
      <c r="G5536" s="1110"/>
      <c r="H5536" s="1138"/>
      <c r="I5536" s="1138"/>
      <c r="J5536" s="1139"/>
      <c r="K5536" s="1111"/>
      <c r="L5536" s="1112"/>
      <c r="M5536" s="1113"/>
      <c r="N5536" s="110"/>
      <c r="O5536" s="1140"/>
      <c r="P5536" s="1115"/>
      <c r="Q5536" s="1116"/>
      <c r="R5536" s="1141"/>
      <c r="S5536" s="1113"/>
      <c r="T5536" s="1143"/>
      <c r="U5536" s="1108"/>
      <c r="V5536" s="1108"/>
      <c r="W5536" s="1108"/>
      <c r="X5536" s="1108"/>
      <c r="Y5536" s="1108"/>
      <c r="Z5536" s="1114"/>
      <c r="AA5536" s="1114"/>
      <c r="AB5536" s="1114"/>
      <c r="AC5536" s="1117"/>
      <c r="AD5536" s="1115"/>
      <c r="AE5536" s="1115"/>
      <c r="AF5536" s="1115"/>
      <c r="AG5536" s="1115"/>
      <c r="AH5536" s="1115"/>
      <c r="AI5536" s="1115"/>
      <c r="AJ5536" s="1117"/>
      <c r="AK5536" s="1118"/>
      <c r="AL5536" s="1115"/>
      <c r="AM5536" s="1115"/>
      <c r="AN5536" s="1115"/>
      <c r="AO5536" s="1115"/>
      <c r="AP5536" s="1115"/>
      <c r="AQ5536" s="1115"/>
      <c r="AR5536" s="1115"/>
      <c r="AS5536" s="1117"/>
      <c r="AT5536" s="1075"/>
      <c r="AU5536" s="1193"/>
      <c r="AV5536" s="330"/>
      <c r="AW5536" s="331"/>
      <c r="AX5536" s="331"/>
      <c r="AY5536" s="331"/>
      <c r="AZ5536" s="331"/>
      <c r="BA5536" s="331"/>
      <c r="BB5536" s="331"/>
      <c r="BC5536" s="331"/>
      <c r="BD5536" s="331"/>
      <c r="BE5536" s="333"/>
      <c r="BF5536" s="330"/>
      <c r="BG5536" s="333"/>
      <c r="BH5536" s="1119"/>
      <c r="BI5536" s="319"/>
      <c r="BJ5536" s="319"/>
      <c r="BK5536" s="319"/>
      <c r="BL5536" s="319"/>
      <c r="BM5536" s="319"/>
      <c r="BN5536" s="319"/>
      <c r="BO5536" s="319"/>
      <c r="BP5536" s="953"/>
      <c r="BQ5536" s="319"/>
      <c r="BR5536" s="319"/>
      <c r="BS5536" s="330"/>
      <c r="BT5536" s="331"/>
      <c r="BU5536" s="920"/>
      <c r="BV5536" s="903"/>
      <c r="BW5536" s="908"/>
      <c r="BX5536" s="908"/>
      <c r="BY5536" s="331"/>
      <c r="BZ5536" s="331"/>
      <c r="CA5536" s="462"/>
      <c r="CB5536" s="319"/>
      <c r="CC5536" s="319"/>
      <c r="CD5536" s="319"/>
      <c r="CE5536" s="319"/>
      <c r="CF5536" s="319"/>
      <c r="CG5536" s="319"/>
      <c r="CH5536" s="318"/>
      <c r="CI5536" s="319"/>
      <c r="CJ5536" s="319"/>
      <c r="CK5536" s="342"/>
      <c r="CL5536" s="333"/>
      <c r="CM5536" s="1079"/>
      <c r="CN5536" s="1005"/>
      <c r="CO5536" s="1005"/>
      <c r="CP5536" s="1005"/>
    </row>
    <row r="5537">
      <c r="A5537" s="1257"/>
      <c r="B5537" s="1113"/>
      <c r="C5537" s="1107"/>
      <c r="D5537" s="103"/>
      <c r="E5537" s="1137"/>
      <c r="F5537" s="112"/>
      <c r="G5537" s="1110"/>
      <c r="H5537" s="1138"/>
      <c r="I5537" s="1138"/>
      <c r="J5537" s="1139"/>
      <c r="K5537" s="1111"/>
      <c r="L5537" s="1112"/>
      <c r="M5537" s="1113"/>
      <c r="N5537" s="110"/>
      <c r="O5537" s="1140"/>
      <c r="P5537" s="1115"/>
      <c r="Q5537" s="1116"/>
      <c r="R5537" s="1141"/>
      <c r="S5537" s="1113"/>
      <c r="T5537" s="1143"/>
      <c r="U5537" s="1108"/>
      <c r="V5537" s="1108"/>
      <c r="W5537" s="1108"/>
      <c r="X5537" s="1108"/>
      <c r="Y5537" s="1108"/>
      <c r="Z5537" s="1114"/>
      <c r="AA5537" s="1114"/>
      <c r="AB5537" s="1114"/>
      <c r="AC5537" s="1117"/>
      <c r="AD5537" s="1115"/>
      <c r="AE5537" s="1115"/>
      <c r="AF5537" s="1115"/>
      <c r="AG5537" s="1115"/>
      <c r="AH5537" s="1115"/>
      <c r="AI5537" s="1115"/>
      <c r="AJ5537" s="1117"/>
      <c r="AK5537" s="1118"/>
      <c r="AL5537" s="1115"/>
      <c r="AM5537" s="1115"/>
      <c r="AN5537" s="1115"/>
      <c r="AO5537" s="1115"/>
      <c r="AP5537" s="1115"/>
      <c r="AQ5537" s="1115"/>
      <c r="AR5537" s="1115"/>
      <c r="AS5537" s="1117"/>
      <c r="AT5537" s="1075"/>
      <c r="AU5537" s="1193"/>
      <c r="AV5537" s="330"/>
      <c r="AW5537" s="331"/>
      <c r="AX5537" s="331"/>
      <c r="AY5537" s="331"/>
      <c r="AZ5537" s="331"/>
      <c r="BA5537" s="331"/>
      <c r="BB5537" s="331"/>
      <c r="BC5537" s="331"/>
      <c r="BD5537" s="331"/>
      <c r="BE5537" s="333"/>
      <c r="BF5537" s="330"/>
      <c r="BG5537" s="333"/>
      <c r="BH5537" s="1119"/>
      <c r="BI5537" s="319"/>
      <c r="BJ5537" s="319"/>
      <c r="BK5537" s="319"/>
      <c r="BL5537" s="319"/>
      <c r="BM5537" s="319"/>
      <c r="BN5537" s="319"/>
      <c r="BO5537" s="319"/>
      <c r="BP5537" s="953"/>
      <c r="BQ5537" s="319"/>
      <c r="BR5537" s="319"/>
      <c r="BS5537" s="330"/>
      <c r="BT5537" s="331"/>
      <c r="BU5537" s="920"/>
      <c r="BV5537" s="903"/>
      <c r="BW5537" s="908"/>
      <c r="BX5537" s="908"/>
      <c r="BY5537" s="331"/>
      <c r="BZ5537" s="331"/>
      <c r="CA5537" s="462"/>
      <c r="CB5537" s="319"/>
      <c r="CC5537" s="319"/>
      <c r="CD5537" s="319"/>
      <c r="CE5537" s="319"/>
      <c r="CF5537" s="319"/>
      <c r="CG5537" s="319"/>
      <c r="CH5537" s="318"/>
      <c r="CI5537" s="319"/>
      <c r="CJ5537" s="319"/>
      <c r="CK5537" s="342"/>
      <c r="CL5537" s="333"/>
      <c r="CM5537" s="1079"/>
      <c r="CN5537" s="1005"/>
      <c r="CO5537" s="1005"/>
      <c r="CP5537" s="1005"/>
    </row>
    <row r="5538">
      <c r="A5538" s="1257"/>
      <c r="B5538" s="1113"/>
      <c r="C5538" s="1107"/>
      <c r="D5538" s="103"/>
      <c r="E5538" s="1137"/>
      <c r="F5538" s="112"/>
      <c r="G5538" s="1110"/>
      <c r="H5538" s="1138"/>
      <c r="I5538" s="1138"/>
      <c r="J5538" s="1139"/>
      <c r="K5538" s="1111"/>
      <c r="L5538" s="1112"/>
      <c r="M5538" s="1113"/>
      <c r="N5538" s="110"/>
      <c r="O5538" s="1140"/>
      <c r="P5538" s="1115"/>
      <c r="Q5538" s="1116"/>
      <c r="R5538" s="1141"/>
      <c r="S5538" s="1113"/>
      <c r="T5538" s="1143"/>
      <c r="U5538" s="1108"/>
      <c r="V5538" s="1108"/>
      <c r="W5538" s="1108"/>
      <c r="X5538" s="1108"/>
      <c r="Y5538" s="1108"/>
      <c r="Z5538" s="1114"/>
      <c r="AA5538" s="1114"/>
      <c r="AB5538" s="1114"/>
      <c r="AC5538" s="1117"/>
      <c r="AD5538" s="1115"/>
      <c r="AE5538" s="1115"/>
      <c r="AF5538" s="1115"/>
      <c r="AG5538" s="1115"/>
      <c r="AH5538" s="1115"/>
      <c r="AI5538" s="1115"/>
      <c r="AJ5538" s="1117"/>
      <c r="AK5538" s="1118"/>
      <c r="AL5538" s="1115"/>
      <c r="AM5538" s="1115"/>
      <c r="AN5538" s="1115"/>
      <c r="AO5538" s="1115"/>
      <c r="AP5538" s="1115"/>
      <c r="AQ5538" s="1115"/>
      <c r="AR5538" s="1115"/>
      <c r="AS5538" s="1117"/>
      <c r="AT5538" s="1075"/>
      <c r="AU5538" s="1193"/>
      <c r="AV5538" s="330"/>
      <c r="AW5538" s="331"/>
      <c r="AX5538" s="331"/>
      <c r="AY5538" s="331"/>
      <c r="AZ5538" s="331"/>
      <c r="BA5538" s="331"/>
      <c r="BB5538" s="331"/>
      <c r="BC5538" s="331"/>
      <c r="BD5538" s="331"/>
      <c r="BE5538" s="333"/>
      <c r="BF5538" s="330"/>
      <c r="BG5538" s="333"/>
      <c r="BH5538" s="1119"/>
      <c r="BI5538" s="319"/>
      <c r="BJ5538" s="319"/>
      <c r="BK5538" s="319"/>
      <c r="BL5538" s="319"/>
      <c r="BM5538" s="319"/>
      <c r="BN5538" s="319"/>
      <c r="BO5538" s="319"/>
      <c r="BP5538" s="953"/>
      <c r="BQ5538" s="319"/>
      <c r="BR5538" s="319"/>
      <c r="BS5538" s="330"/>
      <c r="BT5538" s="331"/>
      <c r="BU5538" s="920"/>
      <c r="BV5538" s="903"/>
      <c r="BW5538" s="908"/>
      <c r="BX5538" s="908"/>
      <c r="BY5538" s="331"/>
      <c r="BZ5538" s="331"/>
      <c r="CA5538" s="462"/>
      <c r="CB5538" s="319"/>
      <c r="CC5538" s="319"/>
      <c r="CD5538" s="319"/>
      <c r="CE5538" s="319"/>
      <c r="CF5538" s="319"/>
      <c r="CG5538" s="319"/>
      <c r="CH5538" s="318"/>
      <c r="CI5538" s="319"/>
      <c r="CJ5538" s="319"/>
      <c r="CK5538" s="342"/>
      <c r="CL5538" s="333"/>
      <c r="CM5538" s="1079"/>
      <c r="CN5538" s="1005"/>
      <c r="CO5538" s="1005"/>
      <c r="CP5538" s="1005"/>
    </row>
    <row r="5539">
      <c r="A5539" s="1257"/>
      <c r="B5539" s="1113"/>
      <c r="C5539" s="1107"/>
      <c r="D5539" s="103"/>
      <c r="E5539" s="1137"/>
      <c r="F5539" s="112"/>
      <c r="G5539" s="1110"/>
      <c r="H5539" s="1138"/>
      <c r="I5539" s="1138"/>
      <c r="J5539" s="1139"/>
      <c r="K5539" s="1111"/>
      <c r="L5539" s="1112"/>
      <c r="M5539" s="1113"/>
      <c r="N5539" s="110"/>
      <c r="O5539" s="1140"/>
      <c r="P5539" s="1115"/>
      <c r="Q5539" s="1116"/>
      <c r="R5539" s="1141"/>
      <c r="S5539" s="1113"/>
      <c r="T5539" s="1143"/>
      <c r="U5539" s="1108"/>
      <c r="V5539" s="1108"/>
      <c r="W5539" s="1108"/>
      <c r="X5539" s="1108"/>
      <c r="Y5539" s="1108"/>
      <c r="Z5539" s="1114"/>
      <c r="AA5539" s="1114"/>
      <c r="AB5539" s="1114"/>
      <c r="AC5539" s="1117"/>
      <c r="AD5539" s="1115"/>
      <c r="AE5539" s="1115"/>
      <c r="AF5539" s="1115"/>
      <c r="AG5539" s="1115"/>
      <c r="AH5539" s="1115"/>
      <c r="AI5539" s="1115"/>
      <c r="AJ5539" s="1117"/>
      <c r="AK5539" s="1118"/>
      <c r="AL5539" s="1115"/>
      <c r="AM5539" s="1115"/>
      <c r="AN5539" s="1115"/>
      <c r="AO5539" s="1115"/>
      <c r="AP5539" s="1115"/>
      <c r="AQ5539" s="1115"/>
      <c r="AR5539" s="1115"/>
      <c r="AS5539" s="1117"/>
      <c r="AT5539" s="1075"/>
      <c r="AU5539" s="1193"/>
      <c r="AV5539" s="330"/>
      <c r="AW5539" s="331"/>
      <c r="AX5539" s="331"/>
      <c r="AY5539" s="331"/>
      <c r="AZ5539" s="331"/>
      <c r="BA5539" s="331"/>
      <c r="BB5539" s="331"/>
      <c r="BC5539" s="331"/>
      <c r="BD5539" s="331"/>
      <c r="BE5539" s="333"/>
      <c r="BF5539" s="330"/>
      <c r="BG5539" s="333"/>
      <c r="BH5539" s="1119"/>
      <c r="BI5539" s="319"/>
      <c r="BJ5539" s="319"/>
      <c r="BK5539" s="319"/>
      <c r="BL5539" s="319"/>
      <c r="BM5539" s="319"/>
      <c r="BN5539" s="319"/>
      <c r="BO5539" s="319"/>
      <c r="BP5539" s="953"/>
      <c r="BQ5539" s="319"/>
      <c r="BR5539" s="319"/>
      <c r="BS5539" s="330"/>
      <c r="BT5539" s="331"/>
      <c r="BU5539" s="920"/>
      <c r="BV5539" s="903"/>
      <c r="BW5539" s="908"/>
      <c r="BX5539" s="908"/>
      <c r="BY5539" s="331"/>
      <c r="BZ5539" s="331"/>
      <c r="CA5539" s="462"/>
      <c r="CB5539" s="319"/>
      <c r="CC5539" s="319"/>
      <c r="CD5539" s="319"/>
      <c r="CE5539" s="319"/>
      <c r="CF5539" s="319"/>
      <c r="CG5539" s="319"/>
      <c r="CH5539" s="318"/>
      <c r="CI5539" s="319"/>
      <c r="CJ5539" s="319"/>
      <c r="CK5539" s="342"/>
      <c r="CL5539" s="333"/>
      <c r="CM5539" s="1079"/>
      <c r="CN5539" s="1005"/>
      <c r="CO5539" s="1005"/>
      <c r="CP5539" s="1005"/>
    </row>
    <row r="5540">
      <c r="A5540" s="1257"/>
      <c r="B5540" s="1113"/>
      <c r="C5540" s="1107"/>
      <c r="D5540" s="103"/>
      <c r="E5540" s="1137"/>
      <c r="F5540" s="112"/>
      <c r="G5540" s="1110"/>
      <c r="H5540" s="1138"/>
      <c r="I5540" s="1138"/>
      <c r="J5540" s="1139"/>
      <c r="K5540" s="1111"/>
      <c r="L5540" s="1112"/>
      <c r="M5540" s="1113"/>
      <c r="N5540" s="110"/>
      <c r="O5540" s="1140"/>
      <c r="P5540" s="1115"/>
      <c r="Q5540" s="1116"/>
      <c r="R5540" s="1141"/>
      <c r="S5540" s="1113"/>
      <c r="T5540" s="1143"/>
      <c r="U5540" s="1108"/>
      <c r="V5540" s="1108"/>
      <c r="W5540" s="1108"/>
      <c r="X5540" s="1108"/>
      <c r="Y5540" s="1108"/>
      <c r="Z5540" s="1114"/>
      <c r="AA5540" s="1114"/>
      <c r="AB5540" s="1114"/>
      <c r="AC5540" s="1117"/>
      <c r="AD5540" s="1115"/>
      <c r="AE5540" s="1115"/>
      <c r="AF5540" s="1115"/>
      <c r="AG5540" s="1115"/>
      <c r="AH5540" s="1115"/>
      <c r="AI5540" s="1115"/>
      <c r="AJ5540" s="1117"/>
      <c r="AK5540" s="1118"/>
      <c r="AL5540" s="1115"/>
      <c r="AM5540" s="1115"/>
      <c r="AN5540" s="1115"/>
      <c r="AO5540" s="1115"/>
      <c r="AP5540" s="1115"/>
      <c r="AQ5540" s="1115"/>
      <c r="AR5540" s="1115"/>
      <c r="AS5540" s="1117"/>
      <c r="AT5540" s="1075"/>
      <c r="AU5540" s="1193"/>
      <c r="AV5540" s="330"/>
      <c r="AW5540" s="331"/>
      <c r="AX5540" s="331"/>
      <c r="AY5540" s="331"/>
      <c r="AZ5540" s="331"/>
      <c r="BA5540" s="331"/>
      <c r="BB5540" s="331"/>
      <c r="BC5540" s="331"/>
      <c r="BD5540" s="331"/>
      <c r="BE5540" s="333"/>
      <c r="BF5540" s="330"/>
      <c r="BG5540" s="333"/>
      <c r="BH5540" s="1119"/>
      <c r="BI5540" s="319"/>
      <c r="BJ5540" s="319"/>
      <c r="BK5540" s="319"/>
      <c r="BL5540" s="319"/>
      <c r="BM5540" s="319"/>
      <c r="BN5540" s="319"/>
      <c r="BO5540" s="319"/>
      <c r="BP5540" s="953"/>
      <c r="BQ5540" s="319"/>
      <c r="BR5540" s="319"/>
      <c r="BS5540" s="330"/>
      <c r="BT5540" s="331"/>
      <c r="BU5540" s="920"/>
      <c r="BV5540" s="903"/>
      <c r="BW5540" s="908"/>
      <c r="BX5540" s="908"/>
      <c r="BY5540" s="331"/>
      <c r="BZ5540" s="331"/>
      <c r="CA5540" s="462"/>
      <c r="CB5540" s="319"/>
      <c r="CC5540" s="319"/>
      <c r="CD5540" s="319"/>
      <c r="CE5540" s="319"/>
      <c r="CF5540" s="319"/>
      <c r="CG5540" s="319"/>
      <c r="CH5540" s="318"/>
      <c r="CI5540" s="319"/>
      <c r="CJ5540" s="319"/>
      <c r="CK5540" s="342"/>
      <c r="CL5540" s="333"/>
      <c r="CM5540" s="1079"/>
      <c r="CN5540" s="1005"/>
      <c r="CO5540" s="1005"/>
      <c r="CP5540" s="1005"/>
    </row>
    <row r="5541">
      <c r="A5541" s="1257"/>
      <c r="B5541" s="1113"/>
      <c r="C5541" s="1107"/>
      <c r="D5541" s="103"/>
      <c r="E5541" s="1137"/>
      <c r="F5541" s="112"/>
      <c r="G5541" s="1110"/>
      <c r="H5541" s="1138"/>
      <c r="I5541" s="1138"/>
      <c r="J5541" s="1139"/>
      <c r="K5541" s="1111"/>
      <c r="L5541" s="1112"/>
      <c r="M5541" s="1113"/>
      <c r="N5541" s="110"/>
      <c r="O5541" s="1140"/>
      <c r="P5541" s="1115"/>
      <c r="Q5541" s="1116"/>
      <c r="R5541" s="1141"/>
      <c r="S5541" s="1113"/>
      <c r="T5541" s="1143"/>
      <c r="U5541" s="1108"/>
      <c r="V5541" s="1108"/>
      <c r="W5541" s="1108"/>
      <c r="X5541" s="1108"/>
      <c r="Y5541" s="1108"/>
      <c r="Z5541" s="1114"/>
      <c r="AA5541" s="1114"/>
      <c r="AB5541" s="1114"/>
      <c r="AC5541" s="1117"/>
      <c r="AD5541" s="1115"/>
      <c r="AE5541" s="1115"/>
      <c r="AF5541" s="1115"/>
      <c r="AG5541" s="1115"/>
      <c r="AH5541" s="1115"/>
      <c r="AI5541" s="1115"/>
      <c r="AJ5541" s="1117"/>
      <c r="AK5541" s="1118"/>
      <c r="AL5541" s="1115"/>
      <c r="AM5541" s="1115"/>
      <c r="AN5541" s="1115"/>
      <c r="AO5541" s="1115"/>
      <c r="AP5541" s="1115"/>
      <c r="AQ5541" s="1115"/>
      <c r="AR5541" s="1115"/>
      <c r="AS5541" s="1117"/>
      <c r="AT5541" s="1075"/>
      <c r="AU5541" s="1193"/>
      <c r="AV5541" s="330"/>
      <c r="AW5541" s="331"/>
      <c r="AX5541" s="331"/>
      <c r="AY5541" s="331"/>
      <c r="AZ5541" s="331"/>
      <c r="BA5541" s="331"/>
      <c r="BB5541" s="331"/>
      <c r="BC5541" s="331"/>
      <c r="BD5541" s="331"/>
      <c r="BE5541" s="333"/>
      <c r="BF5541" s="330"/>
      <c r="BG5541" s="333"/>
      <c r="BH5541" s="1119"/>
      <c r="BI5541" s="319"/>
      <c r="BJ5541" s="319"/>
      <c r="BK5541" s="319"/>
      <c r="BL5541" s="319"/>
      <c r="BM5541" s="319"/>
      <c r="BN5541" s="319"/>
      <c r="BO5541" s="319"/>
      <c r="BP5541" s="953"/>
      <c r="BQ5541" s="319"/>
      <c r="BR5541" s="319"/>
      <c r="BS5541" s="330"/>
      <c r="BT5541" s="331"/>
      <c r="BU5541" s="920"/>
      <c r="BV5541" s="903"/>
      <c r="BW5541" s="908"/>
      <c r="BX5541" s="908"/>
      <c r="BY5541" s="331"/>
      <c r="BZ5541" s="331"/>
      <c r="CA5541" s="462"/>
      <c r="CB5541" s="319"/>
      <c r="CC5541" s="319"/>
      <c r="CD5541" s="319"/>
      <c r="CE5541" s="319"/>
      <c r="CF5541" s="319"/>
      <c r="CG5541" s="319"/>
      <c r="CH5541" s="318"/>
      <c r="CI5541" s="319"/>
      <c r="CJ5541" s="319"/>
      <c r="CK5541" s="342"/>
      <c r="CL5541" s="333"/>
      <c r="CM5541" s="1079"/>
      <c r="CN5541" s="1005"/>
      <c r="CO5541" s="1005"/>
      <c r="CP5541" s="1005"/>
    </row>
    <row r="5542">
      <c r="A5542" s="1257"/>
      <c r="B5542" s="1113"/>
      <c r="C5542" s="1107"/>
      <c r="D5542" s="103"/>
      <c r="E5542" s="1137"/>
      <c r="F5542" s="112"/>
      <c r="G5542" s="1110"/>
      <c r="H5542" s="1138"/>
      <c r="I5542" s="1138"/>
      <c r="J5542" s="1139"/>
      <c r="K5542" s="1111"/>
      <c r="L5542" s="1112"/>
      <c r="M5542" s="1113"/>
      <c r="N5542" s="110"/>
      <c r="O5542" s="1140"/>
      <c r="P5542" s="1115"/>
      <c r="Q5542" s="1116"/>
      <c r="R5542" s="1141"/>
      <c r="S5542" s="1113"/>
      <c r="T5542" s="1143"/>
      <c r="U5542" s="1108"/>
      <c r="V5542" s="1108"/>
      <c r="W5542" s="1108"/>
      <c r="X5542" s="1108"/>
      <c r="Y5542" s="1108"/>
      <c r="Z5542" s="1114"/>
      <c r="AA5542" s="1114"/>
      <c r="AB5542" s="1114"/>
      <c r="AC5542" s="1117"/>
      <c r="AD5542" s="1115"/>
      <c r="AE5542" s="1115"/>
      <c r="AF5542" s="1115"/>
      <c r="AG5542" s="1115"/>
      <c r="AH5542" s="1115"/>
      <c r="AI5542" s="1115"/>
      <c r="AJ5542" s="1117"/>
      <c r="AK5542" s="1118"/>
      <c r="AL5542" s="1115"/>
      <c r="AM5542" s="1115"/>
      <c r="AN5542" s="1115"/>
      <c r="AO5542" s="1115"/>
      <c r="AP5542" s="1115"/>
      <c r="AQ5542" s="1115"/>
      <c r="AR5542" s="1115"/>
      <c r="AS5542" s="1117"/>
      <c r="AT5542" s="1075"/>
      <c r="AU5542" s="1193"/>
      <c r="AV5542" s="330"/>
      <c r="AW5542" s="331"/>
      <c r="AX5542" s="331"/>
      <c r="AY5542" s="331"/>
      <c r="AZ5542" s="331"/>
      <c r="BA5542" s="331"/>
      <c r="BB5542" s="331"/>
      <c r="BC5542" s="331"/>
      <c r="BD5542" s="331"/>
      <c r="BE5542" s="333"/>
      <c r="BF5542" s="330"/>
      <c r="BG5542" s="333"/>
      <c r="BH5542" s="1119"/>
      <c r="BI5542" s="319"/>
      <c r="BJ5542" s="319"/>
      <c r="BK5542" s="319"/>
      <c r="BL5542" s="319"/>
      <c r="BM5542" s="319"/>
      <c r="BN5542" s="319"/>
      <c r="BO5542" s="319"/>
      <c r="BP5542" s="953"/>
      <c r="BQ5542" s="319"/>
      <c r="BR5542" s="319"/>
      <c r="BS5542" s="330"/>
      <c r="BT5542" s="331"/>
      <c r="BU5542" s="920"/>
      <c r="BV5542" s="903"/>
      <c r="BW5542" s="908"/>
      <c r="BX5542" s="908"/>
      <c r="BY5542" s="331"/>
      <c r="BZ5542" s="331"/>
      <c r="CA5542" s="462"/>
      <c r="CB5542" s="319"/>
      <c r="CC5542" s="319"/>
      <c r="CD5542" s="319"/>
      <c r="CE5542" s="319"/>
      <c r="CF5542" s="319"/>
      <c r="CG5542" s="319"/>
      <c r="CH5542" s="318"/>
      <c r="CI5542" s="319"/>
      <c r="CJ5542" s="319"/>
      <c r="CK5542" s="342"/>
      <c r="CL5542" s="333"/>
      <c r="CM5542" s="1079"/>
      <c r="CN5542" s="1005"/>
      <c r="CO5542" s="1005"/>
      <c r="CP5542" s="1005"/>
    </row>
    <row r="5543">
      <c r="A5543" s="1257"/>
      <c r="B5543" s="1113"/>
      <c r="C5543" s="1107"/>
      <c r="D5543" s="103"/>
      <c r="E5543" s="1137"/>
      <c r="F5543" s="112"/>
      <c r="G5543" s="1110"/>
      <c r="H5543" s="1138"/>
      <c r="I5543" s="1138"/>
      <c r="J5543" s="1139"/>
      <c r="K5543" s="1111"/>
      <c r="L5543" s="1112"/>
      <c r="M5543" s="1113"/>
      <c r="N5543" s="110"/>
      <c r="O5543" s="1140"/>
      <c r="P5543" s="1115"/>
      <c r="Q5543" s="1116"/>
      <c r="R5543" s="1141"/>
      <c r="S5543" s="1113"/>
      <c r="T5543" s="1143"/>
      <c r="U5543" s="1108"/>
      <c r="V5543" s="1108"/>
      <c r="W5543" s="1108"/>
      <c r="X5543" s="1108"/>
      <c r="Y5543" s="1108"/>
      <c r="Z5543" s="1114"/>
      <c r="AA5543" s="1114"/>
      <c r="AB5543" s="1114"/>
      <c r="AC5543" s="1117"/>
      <c r="AD5543" s="1115"/>
      <c r="AE5543" s="1115"/>
      <c r="AF5543" s="1115"/>
      <c r="AG5543" s="1115"/>
      <c r="AH5543" s="1115"/>
      <c r="AI5543" s="1115"/>
      <c r="AJ5543" s="1117"/>
      <c r="AK5543" s="1118"/>
      <c r="AL5543" s="1115"/>
      <c r="AM5543" s="1115"/>
      <c r="AN5543" s="1115"/>
      <c r="AO5543" s="1115"/>
      <c r="AP5543" s="1115"/>
      <c r="AQ5543" s="1115"/>
      <c r="AR5543" s="1115"/>
      <c r="AS5543" s="1117"/>
      <c r="AT5543" s="1075"/>
      <c r="AU5543" s="1193"/>
      <c r="AV5543" s="330"/>
      <c r="AW5543" s="331"/>
      <c r="AX5543" s="331"/>
      <c r="AY5543" s="331"/>
      <c r="AZ5543" s="331"/>
      <c r="BA5543" s="331"/>
      <c r="BB5543" s="331"/>
      <c r="BC5543" s="331"/>
      <c r="BD5543" s="331"/>
      <c r="BE5543" s="333"/>
      <c r="BF5543" s="330"/>
      <c r="BG5543" s="333"/>
      <c r="BH5543" s="1119"/>
      <c r="BI5543" s="319"/>
      <c r="BJ5543" s="319"/>
      <c r="BK5543" s="319"/>
      <c r="BL5543" s="319"/>
      <c r="BM5543" s="319"/>
      <c r="BN5543" s="319"/>
      <c r="BO5543" s="319"/>
      <c r="BP5543" s="953"/>
      <c r="BQ5543" s="319"/>
      <c r="BR5543" s="319"/>
      <c r="BS5543" s="330"/>
      <c r="BT5543" s="331"/>
      <c r="BU5543" s="920"/>
      <c r="BV5543" s="903"/>
      <c r="BW5543" s="908"/>
      <c r="BX5543" s="908"/>
      <c r="BY5543" s="331"/>
      <c r="BZ5543" s="331"/>
      <c r="CA5543" s="462"/>
      <c r="CB5543" s="319"/>
      <c r="CC5543" s="319"/>
      <c r="CD5543" s="319"/>
      <c r="CE5543" s="319"/>
      <c r="CF5543" s="319"/>
      <c r="CG5543" s="319"/>
      <c r="CH5543" s="318"/>
      <c r="CI5543" s="319"/>
      <c r="CJ5543" s="319"/>
      <c r="CK5543" s="342"/>
      <c r="CL5543" s="333"/>
      <c r="CM5543" s="1079"/>
      <c r="CN5543" s="1005"/>
      <c r="CO5543" s="1005"/>
      <c r="CP5543" s="1005"/>
    </row>
    <row r="5544">
      <c r="A5544" s="1257"/>
      <c r="B5544" s="1113"/>
      <c r="C5544" s="1107"/>
      <c r="D5544" s="103"/>
      <c r="E5544" s="1137"/>
      <c r="F5544" s="112"/>
      <c r="G5544" s="1110"/>
      <c r="H5544" s="1138"/>
      <c r="I5544" s="1138"/>
      <c r="J5544" s="1139"/>
      <c r="K5544" s="1111"/>
      <c r="L5544" s="1112"/>
      <c r="M5544" s="1113"/>
      <c r="N5544" s="110"/>
      <c r="O5544" s="1140"/>
      <c r="P5544" s="1115"/>
      <c r="Q5544" s="1116"/>
      <c r="R5544" s="1141"/>
      <c r="S5544" s="1113"/>
      <c r="T5544" s="1143"/>
      <c r="U5544" s="1108"/>
      <c r="V5544" s="1108"/>
      <c r="W5544" s="1108"/>
      <c r="X5544" s="1108"/>
      <c r="Y5544" s="1108"/>
      <c r="Z5544" s="1114"/>
      <c r="AA5544" s="1114"/>
      <c r="AB5544" s="1114"/>
      <c r="AC5544" s="1117"/>
      <c r="AD5544" s="1115"/>
      <c r="AE5544" s="1115"/>
      <c r="AF5544" s="1115"/>
      <c r="AG5544" s="1115"/>
      <c r="AH5544" s="1115"/>
      <c r="AI5544" s="1115"/>
      <c r="AJ5544" s="1117"/>
      <c r="AK5544" s="1118"/>
      <c r="AL5544" s="1115"/>
      <c r="AM5544" s="1115"/>
      <c r="AN5544" s="1115"/>
      <c r="AO5544" s="1115"/>
      <c r="AP5544" s="1115"/>
      <c r="AQ5544" s="1115"/>
      <c r="AR5544" s="1115"/>
      <c r="AS5544" s="1117"/>
      <c r="AT5544" s="1075"/>
      <c r="AU5544" s="1193"/>
      <c r="AV5544" s="330"/>
      <c r="AW5544" s="331"/>
      <c r="AX5544" s="331"/>
      <c r="AY5544" s="331"/>
      <c r="AZ5544" s="331"/>
      <c r="BA5544" s="331"/>
      <c r="BB5544" s="331"/>
      <c r="BC5544" s="331"/>
      <c r="BD5544" s="331"/>
      <c r="BE5544" s="333"/>
      <c r="BF5544" s="330"/>
      <c r="BG5544" s="333"/>
      <c r="BH5544" s="1119"/>
      <c r="BI5544" s="319"/>
      <c r="BJ5544" s="319"/>
      <c r="BK5544" s="319"/>
      <c r="BL5544" s="319"/>
      <c r="BM5544" s="319"/>
      <c r="BN5544" s="319"/>
      <c r="BO5544" s="319"/>
      <c r="BP5544" s="953"/>
      <c r="BQ5544" s="319"/>
      <c r="BR5544" s="319"/>
      <c r="BS5544" s="330"/>
      <c r="BT5544" s="331"/>
      <c r="BU5544" s="920"/>
      <c r="BV5544" s="903"/>
      <c r="BW5544" s="908"/>
      <c r="BX5544" s="908"/>
      <c r="BY5544" s="331"/>
      <c r="BZ5544" s="331"/>
      <c r="CA5544" s="462"/>
      <c r="CB5544" s="319"/>
      <c r="CC5544" s="319"/>
      <c r="CD5544" s="319"/>
      <c r="CE5544" s="319"/>
      <c r="CF5544" s="319"/>
      <c r="CG5544" s="319"/>
      <c r="CH5544" s="318"/>
      <c r="CI5544" s="319"/>
      <c r="CJ5544" s="319"/>
      <c r="CK5544" s="342"/>
      <c r="CL5544" s="333"/>
      <c r="CM5544" s="1079"/>
      <c r="CN5544" s="1005"/>
      <c r="CO5544" s="1005"/>
      <c r="CP5544" s="1005"/>
    </row>
    <row r="5545">
      <c r="A5545" s="1257"/>
      <c r="B5545" s="1113"/>
      <c r="C5545" s="1107"/>
      <c r="D5545" s="103"/>
      <c r="E5545" s="1137"/>
      <c r="F5545" s="112"/>
      <c r="G5545" s="1110"/>
      <c r="H5545" s="1138"/>
      <c r="I5545" s="1138"/>
      <c r="J5545" s="1139"/>
      <c r="K5545" s="1111"/>
      <c r="L5545" s="1112"/>
      <c r="M5545" s="1113"/>
      <c r="N5545" s="110"/>
      <c r="O5545" s="1140"/>
      <c r="P5545" s="1115"/>
      <c r="Q5545" s="1116"/>
      <c r="R5545" s="1141"/>
      <c r="S5545" s="1113"/>
      <c r="T5545" s="1143"/>
      <c r="U5545" s="1108"/>
      <c r="V5545" s="1108"/>
      <c r="W5545" s="1108"/>
      <c r="X5545" s="1108"/>
      <c r="Y5545" s="1108"/>
      <c r="Z5545" s="1114"/>
      <c r="AA5545" s="1114"/>
      <c r="AB5545" s="1114"/>
      <c r="AC5545" s="1117"/>
      <c r="AD5545" s="1115"/>
      <c r="AE5545" s="1115"/>
      <c r="AF5545" s="1115"/>
      <c r="AG5545" s="1115"/>
      <c r="AH5545" s="1115"/>
      <c r="AI5545" s="1115"/>
      <c r="AJ5545" s="1117"/>
      <c r="AK5545" s="1118"/>
      <c r="AL5545" s="1115"/>
      <c r="AM5545" s="1115"/>
      <c r="AN5545" s="1115"/>
      <c r="AO5545" s="1115"/>
      <c r="AP5545" s="1115"/>
      <c r="AQ5545" s="1115"/>
      <c r="AR5545" s="1115"/>
      <c r="AS5545" s="1117"/>
      <c r="AT5545" s="1075"/>
      <c r="AU5545" s="1193"/>
      <c r="AV5545" s="330"/>
      <c r="AW5545" s="331"/>
      <c r="AX5545" s="331"/>
      <c r="AY5545" s="331"/>
      <c r="AZ5545" s="331"/>
      <c r="BA5545" s="331"/>
      <c r="BB5545" s="331"/>
      <c r="BC5545" s="331"/>
      <c r="BD5545" s="331"/>
      <c r="BE5545" s="333"/>
      <c r="BF5545" s="330"/>
      <c r="BG5545" s="333"/>
      <c r="BH5545" s="1119"/>
      <c r="BI5545" s="319"/>
      <c r="BJ5545" s="319"/>
      <c r="BK5545" s="319"/>
      <c r="BL5545" s="319"/>
      <c r="BM5545" s="319"/>
      <c r="BN5545" s="319"/>
      <c r="BO5545" s="319"/>
      <c r="BP5545" s="953"/>
      <c r="BQ5545" s="319"/>
      <c r="BR5545" s="319"/>
      <c r="BS5545" s="330"/>
      <c r="BT5545" s="331"/>
      <c r="BU5545" s="920"/>
      <c r="BV5545" s="903"/>
      <c r="BW5545" s="908"/>
      <c r="BX5545" s="908"/>
      <c r="BY5545" s="331"/>
      <c r="BZ5545" s="331"/>
      <c r="CA5545" s="462"/>
      <c r="CB5545" s="319"/>
      <c r="CC5545" s="319"/>
      <c r="CD5545" s="319"/>
      <c r="CE5545" s="319"/>
      <c r="CF5545" s="319"/>
      <c r="CG5545" s="319"/>
      <c r="CH5545" s="318"/>
      <c r="CI5545" s="319"/>
      <c r="CJ5545" s="319"/>
      <c r="CK5545" s="342"/>
      <c r="CL5545" s="333"/>
      <c r="CM5545" s="1079"/>
      <c r="CN5545" s="1005"/>
      <c r="CO5545" s="1005"/>
      <c r="CP5545" s="1005"/>
    </row>
    <row r="5546">
      <c r="A5546" s="1257"/>
      <c r="B5546" s="1113"/>
      <c r="C5546" s="1107"/>
      <c r="D5546" s="103"/>
      <c r="E5546" s="1137"/>
      <c r="F5546" s="112"/>
      <c r="G5546" s="1110"/>
      <c r="H5546" s="1138"/>
      <c r="I5546" s="1138"/>
      <c r="J5546" s="1139"/>
      <c r="K5546" s="1111"/>
      <c r="L5546" s="1112"/>
      <c r="M5546" s="1113"/>
      <c r="N5546" s="110"/>
      <c r="O5546" s="1140"/>
      <c r="P5546" s="1115"/>
      <c r="Q5546" s="1116"/>
      <c r="R5546" s="1141"/>
      <c r="S5546" s="1113"/>
      <c r="T5546" s="1143"/>
      <c r="U5546" s="1108"/>
      <c r="V5546" s="1108"/>
      <c r="W5546" s="1108"/>
      <c r="X5546" s="1108"/>
      <c r="Y5546" s="1108"/>
      <c r="Z5546" s="1114"/>
      <c r="AA5546" s="1114"/>
      <c r="AB5546" s="1114"/>
      <c r="AC5546" s="1117"/>
      <c r="AD5546" s="1115"/>
      <c r="AE5546" s="1115"/>
      <c r="AF5546" s="1115"/>
      <c r="AG5546" s="1115"/>
      <c r="AH5546" s="1115"/>
      <c r="AI5546" s="1115"/>
      <c r="AJ5546" s="1117"/>
      <c r="AK5546" s="1118"/>
      <c r="AL5546" s="1115"/>
      <c r="AM5546" s="1115"/>
      <c r="AN5546" s="1115"/>
      <c r="AO5546" s="1115"/>
      <c r="AP5546" s="1115"/>
      <c r="AQ5546" s="1115"/>
      <c r="AR5546" s="1115"/>
      <c r="AS5546" s="1117"/>
      <c r="AT5546" s="1075"/>
      <c r="AU5546" s="1193"/>
      <c r="AV5546" s="330"/>
      <c r="AW5546" s="331"/>
      <c r="AX5546" s="331"/>
      <c r="AY5546" s="331"/>
      <c r="AZ5546" s="331"/>
      <c r="BA5546" s="331"/>
      <c r="BB5546" s="331"/>
      <c r="BC5546" s="331"/>
      <c r="BD5546" s="331"/>
      <c r="BE5546" s="333"/>
      <c r="BF5546" s="330"/>
      <c r="BG5546" s="333"/>
      <c r="BH5546" s="1119"/>
      <c r="BI5546" s="319"/>
      <c r="BJ5546" s="319"/>
      <c r="BK5546" s="319"/>
      <c r="BL5546" s="319"/>
      <c r="BM5546" s="319"/>
      <c r="BN5546" s="319"/>
      <c r="BO5546" s="319"/>
      <c r="BP5546" s="953"/>
      <c r="BQ5546" s="319"/>
      <c r="BR5546" s="319"/>
      <c r="BS5546" s="330"/>
      <c r="BT5546" s="331"/>
      <c r="BU5546" s="920"/>
      <c r="BV5546" s="903"/>
      <c r="BW5546" s="908"/>
      <c r="BX5546" s="908"/>
      <c r="BY5546" s="331"/>
      <c r="BZ5546" s="331"/>
      <c r="CA5546" s="462"/>
      <c r="CB5546" s="319"/>
      <c r="CC5546" s="319"/>
      <c r="CD5546" s="319"/>
      <c r="CE5546" s="319"/>
      <c r="CF5546" s="319"/>
      <c r="CG5546" s="319"/>
      <c r="CH5546" s="318"/>
      <c r="CI5546" s="319"/>
      <c r="CJ5546" s="319"/>
      <c r="CK5546" s="342"/>
      <c r="CL5546" s="333"/>
      <c r="CM5546" s="1079"/>
      <c r="CN5546" s="1005"/>
      <c r="CO5546" s="1005"/>
      <c r="CP5546" s="1005"/>
    </row>
    <row r="5547">
      <c r="A5547" s="1257"/>
      <c r="B5547" s="1113"/>
      <c r="C5547" s="1107"/>
      <c r="D5547" s="103"/>
      <c r="E5547" s="1137"/>
      <c r="F5547" s="112"/>
      <c r="G5547" s="1110"/>
      <c r="H5547" s="1138"/>
      <c r="I5547" s="1138"/>
      <c r="J5547" s="1139"/>
      <c r="K5547" s="1111"/>
      <c r="L5547" s="1112"/>
      <c r="M5547" s="1113"/>
      <c r="N5547" s="110"/>
      <c r="O5547" s="1140"/>
      <c r="P5547" s="1115"/>
      <c r="Q5547" s="1116"/>
      <c r="R5547" s="1141"/>
      <c r="S5547" s="1113"/>
      <c r="T5547" s="1143"/>
      <c r="U5547" s="1108"/>
      <c r="V5547" s="1108"/>
      <c r="W5547" s="1108"/>
      <c r="X5547" s="1108"/>
      <c r="Y5547" s="1108"/>
      <c r="Z5547" s="1114"/>
      <c r="AA5547" s="1114"/>
      <c r="AB5547" s="1114"/>
      <c r="AC5547" s="1117"/>
      <c r="AD5547" s="1115"/>
      <c r="AE5547" s="1115"/>
      <c r="AF5547" s="1115"/>
      <c r="AG5547" s="1115"/>
      <c r="AH5547" s="1115"/>
      <c r="AI5547" s="1115"/>
      <c r="AJ5547" s="1117"/>
      <c r="AK5547" s="1118"/>
      <c r="AL5547" s="1115"/>
      <c r="AM5547" s="1115"/>
      <c r="AN5547" s="1115"/>
      <c r="AO5547" s="1115"/>
      <c r="AP5547" s="1115"/>
      <c r="AQ5547" s="1115"/>
      <c r="AR5547" s="1115"/>
      <c r="AS5547" s="1117"/>
      <c r="AT5547" s="1075"/>
      <c r="AU5547" s="1193"/>
      <c r="AV5547" s="330"/>
      <c r="AW5547" s="331"/>
      <c r="AX5547" s="331"/>
      <c r="AY5547" s="331"/>
      <c r="AZ5547" s="331"/>
      <c r="BA5547" s="331"/>
      <c r="BB5547" s="331"/>
      <c r="BC5547" s="331"/>
      <c r="BD5547" s="331"/>
      <c r="BE5547" s="333"/>
      <c r="BF5547" s="330"/>
      <c r="BG5547" s="333"/>
      <c r="BH5547" s="1119"/>
      <c r="BI5547" s="319"/>
      <c r="BJ5547" s="319"/>
      <c r="BK5547" s="319"/>
      <c r="BL5547" s="319"/>
      <c r="BM5547" s="319"/>
      <c r="BN5547" s="319"/>
      <c r="BO5547" s="319"/>
      <c r="BP5547" s="953"/>
      <c r="BQ5547" s="319"/>
      <c r="BR5547" s="319"/>
      <c r="BS5547" s="330"/>
      <c r="BT5547" s="331"/>
      <c r="BU5547" s="920"/>
      <c r="BV5547" s="903"/>
      <c r="BW5547" s="908"/>
      <c r="BX5547" s="908"/>
      <c r="BY5547" s="331"/>
      <c r="BZ5547" s="331"/>
      <c r="CA5547" s="462"/>
      <c r="CB5547" s="319"/>
      <c r="CC5547" s="319"/>
      <c r="CD5547" s="319"/>
      <c r="CE5547" s="319"/>
      <c r="CF5547" s="319"/>
      <c r="CG5547" s="319"/>
      <c r="CH5547" s="318"/>
      <c r="CI5547" s="319"/>
      <c r="CJ5547" s="319"/>
      <c r="CK5547" s="342"/>
      <c r="CL5547" s="333"/>
      <c r="CM5547" s="1079"/>
      <c r="CN5547" s="1005"/>
      <c r="CO5547" s="1005"/>
      <c r="CP5547" s="1005"/>
    </row>
    <row r="5548">
      <c r="A5548" s="1257"/>
      <c r="B5548" s="1113"/>
      <c r="C5548" s="1107"/>
      <c r="D5548" s="103"/>
      <c r="E5548" s="1137"/>
      <c r="F5548" s="112"/>
      <c r="G5548" s="1110"/>
      <c r="H5548" s="1138"/>
      <c r="I5548" s="1138"/>
      <c r="J5548" s="1139"/>
      <c r="K5548" s="1111"/>
      <c r="L5548" s="1112"/>
      <c r="M5548" s="1113"/>
      <c r="N5548" s="110"/>
      <c r="O5548" s="1140"/>
      <c r="P5548" s="1115"/>
      <c r="Q5548" s="1116"/>
      <c r="R5548" s="1141"/>
      <c r="S5548" s="1113"/>
      <c r="T5548" s="1143"/>
      <c r="U5548" s="1108"/>
      <c r="V5548" s="1108"/>
      <c r="W5548" s="1108"/>
      <c r="X5548" s="1108"/>
      <c r="Y5548" s="1108"/>
      <c r="Z5548" s="1114"/>
      <c r="AA5548" s="1114"/>
      <c r="AB5548" s="1114"/>
      <c r="AC5548" s="1117"/>
      <c r="AD5548" s="1115"/>
      <c r="AE5548" s="1115"/>
      <c r="AF5548" s="1115"/>
      <c r="AG5548" s="1115"/>
      <c r="AH5548" s="1115"/>
      <c r="AI5548" s="1115"/>
      <c r="AJ5548" s="1117"/>
      <c r="AK5548" s="1118"/>
      <c r="AL5548" s="1115"/>
      <c r="AM5548" s="1115"/>
      <c r="AN5548" s="1115"/>
      <c r="AO5548" s="1115"/>
      <c r="AP5548" s="1115"/>
      <c r="AQ5548" s="1115"/>
      <c r="AR5548" s="1115"/>
      <c r="AS5548" s="1117"/>
      <c r="AT5548" s="1075"/>
      <c r="AU5548" s="1193"/>
      <c r="AV5548" s="330"/>
      <c r="AW5548" s="331"/>
      <c r="AX5548" s="331"/>
      <c r="AY5548" s="331"/>
      <c r="AZ5548" s="331"/>
      <c r="BA5548" s="331"/>
      <c r="BB5548" s="331"/>
      <c r="BC5548" s="331"/>
      <c r="BD5548" s="331"/>
      <c r="BE5548" s="333"/>
      <c r="BF5548" s="330"/>
      <c r="BG5548" s="333"/>
      <c r="BH5548" s="1119"/>
      <c r="BI5548" s="319"/>
      <c r="BJ5548" s="319"/>
      <c r="BK5548" s="319"/>
      <c r="BL5548" s="319"/>
      <c r="BM5548" s="319"/>
      <c r="BN5548" s="319"/>
      <c r="BO5548" s="319"/>
      <c r="BP5548" s="953"/>
      <c r="BQ5548" s="319"/>
      <c r="BR5548" s="319"/>
      <c r="BS5548" s="330"/>
      <c r="BT5548" s="331"/>
      <c r="BU5548" s="920"/>
      <c r="BV5548" s="903"/>
      <c r="BW5548" s="908"/>
      <c r="BX5548" s="908"/>
      <c r="BY5548" s="331"/>
      <c r="BZ5548" s="331"/>
      <c r="CA5548" s="462"/>
      <c r="CB5548" s="319"/>
      <c r="CC5548" s="319"/>
      <c r="CD5548" s="319"/>
      <c r="CE5548" s="319"/>
      <c r="CF5548" s="319"/>
      <c r="CG5548" s="319"/>
      <c r="CH5548" s="318"/>
      <c r="CI5548" s="319"/>
      <c r="CJ5548" s="319"/>
      <c r="CK5548" s="342"/>
      <c r="CL5548" s="333"/>
      <c r="CM5548" s="1079"/>
      <c r="CN5548" s="1005"/>
      <c r="CO5548" s="1005"/>
      <c r="CP5548" s="1005"/>
    </row>
    <row r="5549">
      <c r="A5549" s="1257"/>
      <c r="B5549" s="1113"/>
      <c r="C5549" s="1107"/>
      <c r="D5549" s="103"/>
      <c r="E5549" s="1137"/>
      <c r="F5549" s="112"/>
      <c r="G5549" s="1110"/>
      <c r="H5549" s="1138"/>
      <c r="I5549" s="1138"/>
      <c r="J5549" s="1139"/>
      <c r="K5549" s="1111"/>
      <c r="L5549" s="1112"/>
      <c r="M5549" s="1113"/>
      <c r="N5549" s="110"/>
      <c r="O5549" s="1140"/>
      <c r="P5549" s="1115"/>
      <c r="Q5549" s="1116"/>
      <c r="R5549" s="1141"/>
      <c r="S5549" s="1113"/>
      <c r="T5549" s="1143"/>
      <c r="U5549" s="1108"/>
      <c r="V5549" s="1108"/>
      <c r="W5549" s="1108"/>
      <c r="X5549" s="1108"/>
      <c r="Y5549" s="1108"/>
      <c r="Z5549" s="1114"/>
      <c r="AA5549" s="1114"/>
      <c r="AB5549" s="1114"/>
      <c r="AC5549" s="1117"/>
      <c r="AD5549" s="1115"/>
      <c r="AE5549" s="1115"/>
      <c r="AF5549" s="1115"/>
      <c r="AG5549" s="1115"/>
      <c r="AH5549" s="1115"/>
      <c r="AI5549" s="1115"/>
      <c r="AJ5549" s="1117"/>
      <c r="AK5549" s="1118"/>
      <c r="AL5549" s="1115"/>
      <c r="AM5549" s="1115"/>
      <c r="AN5549" s="1115"/>
      <c r="AO5549" s="1115"/>
      <c r="AP5549" s="1115"/>
      <c r="AQ5549" s="1115"/>
      <c r="AR5549" s="1115"/>
      <c r="AS5549" s="1117"/>
      <c r="AT5549" s="1075"/>
      <c r="AU5549" s="1193"/>
      <c r="AV5549" s="330"/>
      <c r="AW5549" s="331"/>
      <c r="AX5549" s="331"/>
      <c r="AY5549" s="331"/>
      <c r="AZ5549" s="331"/>
      <c r="BA5549" s="331"/>
      <c r="BB5549" s="331"/>
      <c r="BC5549" s="331"/>
      <c r="BD5549" s="331"/>
      <c r="BE5549" s="333"/>
      <c r="BF5549" s="330"/>
      <c r="BG5549" s="333"/>
      <c r="BH5549" s="1119"/>
      <c r="BI5549" s="319"/>
      <c r="BJ5549" s="319"/>
      <c r="BK5549" s="319"/>
      <c r="BL5549" s="319"/>
      <c r="BM5549" s="319"/>
      <c r="BN5549" s="319"/>
      <c r="BO5549" s="319"/>
      <c r="BP5549" s="953"/>
      <c r="BQ5549" s="319"/>
      <c r="BR5549" s="319"/>
      <c r="BS5549" s="330"/>
      <c r="BT5549" s="331"/>
      <c r="BU5549" s="920"/>
      <c r="BV5549" s="903"/>
      <c r="BW5549" s="908"/>
      <c r="BX5549" s="908"/>
      <c r="BY5549" s="331"/>
      <c r="BZ5549" s="331"/>
      <c r="CA5549" s="462"/>
      <c r="CB5549" s="319"/>
      <c r="CC5549" s="319"/>
      <c r="CD5549" s="319"/>
      <c r="CE5549" s="319"/>
      <c r="CF5549" s="319"/>
      <c r="CG5549" s="319"/>
      <c r="CH5549" s="318"/>
      <c r="CI5549" s="319"/>
      <c r="CJ5549" s="319"/>
      <c r="CK5549" s="342"/>
      <c r="CL5549" s="333"/>
      <c r="CM5549" s="1079"/>
      <c r="CN5549" s="1005"/>
      <c r="CO5549" s="1005"/>
      <c r="CP5549" s="1005"/>
    </row>
    <row r="5550">
      <c r="A5550" s="1257"/>
      <c r="B5550" s="1113"/>
      <c r="C5550" s="1107"/>
      <c r="D5550" s="103"/>
      <c r="E5550" s="1137"/>
      <c r="F5550" s="112"/>
      <c r="G5550" s="1110"/>
      <c r="H5550" s="1138"/>
      <c r="I5550" s="1138"/>
      <c r="J5550" s="1139"/>
      <c r="K5550" s="1111"/>
      <c r="L5550" s="1112"/>
      <c r="M5550" s="1113"/>
      <c r="N5550" s="110"/>
      <c r="O5550" s="1140"/>
      <c r="P5550" s="1115"/>
      <c r="Q5550" s="1116"/>
      <c r="R5550" s="1141"/>
      <c r="S5550" s="1113"/>
      <c r="T5550" s="1143"/>
      <c r="U5550" s="1108"/>
      <c r="V5550" s="1108"/>
      <c r="W5550" s="1108"/>
      <c r="X5550" s="1108"/>
      <c r="Y5550" s="1108"/>
      <c r="Z5550" s="1114"/>
      <c r="AA5550" s="1114"/>
      <c r="AB5550" s="1114"/>
      <c r="AC5550" s="1117"/>
      <c r="AD5550" s="1115"/>
      <c r="AE5550" s="1115"/>
      <c r="AF5550" s="1115"/>
      <c r="AG5550" s="1115"/>
      <c r="AH5550" s="1115"/>
      <c r="AI5550" s="1115"/>
      <c r="AJ5550" s="1117"/>
      <c r="AK5550" s="1118"/>
      <c r="AL5550" s="1115"/>
      <c r="AM5550" s="1115"/>
      <c r="AN5550" s="1115"/>
      <c r="AO5550" s="1115"/>
      <c r="AP5550" s="1115"/>
      <c r="AQ5550" s="1115"/>
      <c r="AR5550" s="1115"/>
      <c r="AS5550" s="1117"/>
      <c r="AT5550" s="1075"/>
      <c r="AU5550" s="1193"/>
      <c r="AV5550" s="330"/>
      <c r="AW5550" s="331"/>
      <c r="AX5550" s="331"/>
      <c r="AY5550" s="331"/>
      <c r="AZ5550" s="331"/>
      <c r="BA5550" s="331"/>
      <c r="BB5550" s="331"/>
      <c r="BC5550" s="331"/>
      <c r="BD5550" s="331"/>
      <c r="BE5550" s="333"/>
      <c r="BF5550" s="330"/>
      <c r="BG5550" s="333"/>
      <c r="BH5550" s="1119"/>
      <c r="BI5550" s="319"/>
      <c r="BJ5550" s="319"/>
      <c r="BK5550" s="319"/>
      <c r="BL5550" s="319"/>
      <c r="BM5550" s="319"/>
      <c r="BN5550" s="319"/>
      <c r="BO5550" s="319"/>
      <c r="BP5550" s="953"/>
      <c r="BQ5550" s="319"/>
      <c r="BR5550" s="319"/>
      <c r="BS5550" s="330"/>
      <c r="BT5550" s="331"/>
      <c r="BU5550" s="920"/>
      <c r="BV5550" s="903"/>
      <c r="BW5550" s="908"/>
      <c r="BX5550" s="908"/>
      <c r="BY5550" s="331"/>
      <c r="BZ5550" s="331"/>
      <c r="CA5550" s="462"/>
      <c r="CB5550" s="319"/>
      <c r="CC5550" s="319"/>
      <c r="CD5550" s="319"/>
      <c r="CE5550" s="319"/>
      <c r="CF5550" s="319"/>
      <c r="CG5550" s="319"/>
      <c r="CH5550" s="318"/>
      <c r="CI5550" s="319"/>
      <c r="CJ5550" s="319"/>
      <c r="CK5550" s="342"/>
      <c r="CL5550" s="333"/>
      <c r="CM5550" s="1079"/>
      <c r="CN5550" s="1005"/>
      <c r="CO5550" s="1005"/>
      <c r="CP5550" s="1005"/>
    </row>
    <row r="5551">
      <c r="A5551" s="1257"/>
      <c r="B5551" s="1113"/>
      <c r="C5551" s="1107"/>
      <c r="D5551" s="103"/>
      <c r="E5551" s="1137"/>
      <c r="F5551" s="112"/>
      <c r="G5551" s="1110"/>
      <c r="H5551" s="1138"/>
      <c r="I5551" s="1138"/>
      <c r="J5551" s="1139"/>
      <c r="K5551" s="1111"/>
      <c r="L5551" s="1112"/>
      <c r="M5551" s="1113"/>
      <c r="N5551" s="110"/>
      <c r="O5551" s="1140"/>
      <c r="P5551" s="1115"/>
      <c r="Q5551" s="1116"/>
      <c r="R5551" s="1141"/>
      <c r="S5551" s="1113"/>
      <c r="T5551" s="1143"/>
      <c r="U5551" s="1108"/>
      <c r="V5551" s="1108"/>
      <c r="W5551" s="1108"/>
      <c r="X5551" s="1108"/>
      <c r="Y5551" s="1108"/>
      <c r="Z5551" s="1114"/>
      <c r="AA5551" s="1114"/>
      <c r="AB5551" s="1114"/>
      <c r="AC5551" s="1117"/>
      <c r="AD5551" s="1115"/>
      <c r="AE5551" s="1115"/>
      <c r="AF5551" s="1115"/>
      <c r="AG5551" s="1115"/>
      <c r="AH5551" s="1115"/>
      <c r="AI5551" s="1115"/>
      <c r="AJ5551" s="1117"/>
      <c r="AK5551" s="1118"/>
      <c r="AL5551" s="1115"/>
      <c r="AM5551" s="1115"/>
      <c r="AN5551" s="1115"/>
      <c r="AO5551" s="1115"/>
      <c r="AP5551" s="1115"/>
      <c r="AQ5551" s="1115"/>
      <c r="AR5551" s="1115"/>
      <c r="AS5551" s="1117"/>
      <c r="AT5551" s="1075"/>
      <c r="AU5551" s="1193"/>
      <c r="AV5551" s="330"/>
      <c r="AW5551" s="331"/>
      <c r="AX5551" s="331"/>
      <c r="AY5551" s="331"/>
      <c r="AZ5551" s="331"/>
      <c r="BA5551" s="331"/>
      <c r="BB5551" s="331"/>
      <c r="BC5551" s="331"/>
      <c r="BD5551" s="331"/>
      <c r="BE5551" s="333"/>
      <c r="BF5551" s="330"/>
      <c r="BG5551" s="333"/>
      <c r="BH5551" s="1119"/>
      <c r="BI5551" s="319"/>
      <c r="BJ5551" s="319"/>
      <c r="BK5551" s="319"/>
      <c r="BL5551" s="319"/>
      <c r="BM5551" s="319"/>
      <c r="BN5551" s="319"/>
      <c r="BO5551" s="319"/>
      <c r="BP5551" s="953"/>
      <c r="BQ5551" s="319"/>
      <c r="BR5551" s="319"/>
      <c r="BS5551" s="330"/>
      <c r="BT5551" s="331"/>
      <c r="BU5551" s="920"/>
      <c r="BV5551" s="903"/>
      <c r="BW5551" s="908"/>
      <c r="BX5551" s="908"/>
      <c r="BY5551" s="331"/>
      <c r="BZ5551" s="331"/>
      <c r="CA5551" s="462"/>
      <c r="CB5551" s="319"/>
      <c r="CC5551" s="319"/>
      <c r="CD5551" s="319"/>
      <c r="CE5551" s="319"/>
      <c r="CF5551" s="319"/>
      <c r="CG5551" s="319"/>
      <c r="CH5551" s="318"/>
      <c r="CI5551" s="319"/>
      <c r="CJ5551" s="319"/>
      <c r="CK5551" s="342"/>
      <c r="CL5551" s="333"/>
      <c r="CM5551" s="1079"/>
      <c r="CN5551" s="1005"/>
      <c r="CO5551" s="1005"/>
      <c r="CP5551" s="1005"/>
    </row>
    <row r="5552">
      <c r="A5552" s="1257"/>
      <c r="B5552" s="1113"/>
      <c r="C5552" s="1107"/>
      <c r="D5552" s="103"/>
      <c r="E5552" s="1137"/>
      <c r="F5552" s="112"/>
      <c r="G5552" s="1110"/>
      <c r="H5552" s="1138"/>
      <c r="I5552" s="1138"/>
      <c r="J5552" s="1139"/>
      <c r="K5552" s="1111"/>
      <c r="L5552" s="1112"/>
      <c r="M5552" s="1113"/>
      <c r="N5552" s="110"/>
      <c r="O5552" s="1140"/>
      <c r="P5552" s="1115"/>
      <c r="Q5552" s="1116"/>
      <c r="R5552" s="1141"/>
      <c r="S5552" s="1113"/>
      <c r="T5552" s="1143"/>
      <c r="U5552" s="1108"/>
      <c r="V5552" s="1108"/>
      <c r="W5552" s="1108"/>
      <c r="X5552" s="1108"/>
      <c r="Y5552" s="1108"/>
      <c r="Z5552" s="1114"/>
      <c r="AA5552" s="1114"/>
      <c r="AB5552" s="1114"/>
      <c r="AC5552" s="1117"/>
      <c r="AD5552" s="1115"/>
      <c r="AE5552" s="1115"/>
      <c r="AF5552" s="1115"/>
      <c r="AG5552" s="1115"/>
      <c r="AH5552" s="1115"/>
      <c r="AI5552" s="1115"/>
      <c r="AJ5552" s="1117"/>
      <c r="AK5552" s="1118"/>
      <c r="AL5552" s="1115"/>
      <c r="AM5552" s="1115"/>
      <c r="AN5552" s="1115"/>
      <c r="AO5552" s="1115"/>
      <c r="AP5552" s="1115"/>
      <c r="AQ5552" s="1115"/>
      <c r="AR5552" s="1115"/>
      <c r="AS5552" s="1117"/>
      <c r="AT5552" s="1075"/>
      <c r="AU5552" s="1193"/>
      <c r="AV5552" s="330"/>
      <c r="AW5552" s="331"/>
      <c r="AX5552" s="331"/>
      <c r="AY5552" s="331"/>
      <c r="AZ5552" s="331"/>
      <c r="BA5552" s="331"/>
      <c r="BB5552" s="331"/>
      <c r="BC5552" s="331"/>
      <c r="BD5552" s="331"/>
      <c r="BE5552" s="333"/>
      <c r="BF5552" s="330"/>
      <c r="BG5552" s="333"/>
      <c r="BH5552" s="1119"/>
      <c r="BI5552" s="319"/>
      <c r="BJ5552" s="319"/>
      <c r="BK5552" s="319"/>
      <c r="BL5552" s="319"/>
      <c r="BM5552" s="319"/>
      <c r="BN5552" s="319"/>
      <c r="BO5552" s="319"/>
      <c r="BP5552" s="953"/>
      <c r="BQ5552" s="319"/>
      <c r="BR5552" s="319"/>
      <c r="BS5552" s="330"/>
      <c r="BT5552" s="331"/>
      <c r="BU5552" s="920"/>
      <c r="BV5552" s="903"/>
      <c r="BW5552" s="908"/>
      <c r="BX5552" s="908"/>
      <c r="BY5552" s="331"/>
      <c r="BZ5552" s="331"/>
      <c r="CA5552" s="462"/>
      <c r="CB5552" s="319"/>
      <c r="CC5552" s="319"/>
      <c r="CD5552" s="319"/>
      <c r="CE5552" s="319"/>
      <c r="CF5552" s="319"/>
      <c r="CG5552" s="319"/>
      <c r="CH5552" s="318"/>
      <c r="CI5552" s="319"/>
      <c r="CJ5552" s="319"/>
      <c r="CK5552" s="342"/>
      <c r="CL5552" s="333"/>
      <c r="CM5552" s="1079"/>
      <c r="CN5552" s="1005"/>
      <c r="CO5552" s="1005"/>
      <c r="CP5552" s="1005"/>
    </row>
    <row r="5553">
      <c r="A5553" s="1257"/>
      <c r="B5553" s="1113"/>
      <c r="C5553" s="1107"/>
      <c r="D5553" s="103"/>
      <c r="E5553" s="1137"/>
      <c r="F5553" s="112"/>
      <c r="G5553" s="1110"/>
      <c r="H5553" s="1138"/>
      <c r="I5553" s="1138"/>
      <c r="J5553" s="1139"/>
      <c r="K5553" s="1111"/>
      <c r="L5553" s="1112"/>
      <c r="M5553" s="1113"/>
      <c r="N5553" s="110"/>
      <c r="O5553" s="1140"/>
      <c r="P5553" s="1115"/>
      <c r="Q5553" s="1116"/>
      <c r="R5553" s="1141"/>
      <c r="S5553" s="1113"/>
      <c r="T5553" s="1143"/>
      <c r="U5553" s="1108"/>
      <c r="V5553" s="1108"/>
      <c r="W5553" s="1108"/>
      <c r="X5553" s="1108"/>
      <c r="Y5553" s="1108"/>
      <c r="Z5553" s="1114"/>
      <c r="AA5553" s="1114"/>
      <c r="AB5553" s="1114"/>
      <c r="AC5553" s="1117"/>
      <c r="AD5553" s="1115"/>
      <c r="AE5553" s="1115"/>
      <c r="AF5553" s="1115"/>
      <c r="AG5553" s="1115"/>
      <c r="AH5553" s="1115"/>
      <c r="AI5553" s="1115"/>
      <c r="AJ5553" s="1117"/>
      <c r="AK5553" s="1118"/>
      <c r="AL5553" s="1115"/>
      <c r="AM5553" s="1115"/>
      <c r="AN5553" s="1115"/>
      <c r="AO5553" s="1115"/>
      <c r="AP5553" s="1115"/>
      <c r="AQ5553" s="1115"/>
      <c r="AR5553" s="1115"/>
      <c r="AS5553" s="1117"/>
      <c r="AT5553" s="1075"/>
      <c r="AU5553" s="1193"/>
      <c r="AV5553" s="330"/>
      <c r="AW5553" s="331"/>
      <c r="AX5553" s="331"/>
      <c r="AY5553" s="331"/>
      <c r="AZ5553" s="331"/>
      <c r="BA5553" s="331"/>
      <c r="BB5553" s="331"/>
      <c r="BC5553" s="331"/>
      <c r="BD5553" s="331"/>
      <c r="BE5553" s="333"/>
      <c r="BF5553" s="330"/>
      <c r="BG5553" s="333"/>
      <c r="BH5553" s="1119"/>
      <c r="BI5553" s="319"/>
      <c r="BJ5553" s="319"/>
      <c r="BK5553" s="319"/>
      <c r="BL5553" s="319"/>
      <c r="BM5553" s="319"/>
      <c r="BN5553" s="319"/>
      <c r="BO5553" s="319"/>
      <c r="BP5553" s="953"/>
      <c r="BQ5553" s="319"/>
      <c r="BR5553" s="319"/>
      <c r="BS5553" s="330"/>
      <c r="BT5553" s="331"/>
      <c r="BU5553" s="920"/>
      <c r="BV5553" s="903"/>
      <c r="BW5553" s="908"/>
      <c r="BX5553" s="908"/>
      <c r="BY5553" s="331"/>
      <c r="BZ5553" s="331"/>
      <c r="CA5553" s="462"/>
      <c r="CB5553" s="319"/>
      <c r="CC5553" s="319"/>
      <c r="CD5553" s="319"/>
      <c r="CE5553" s="319"/>
      <c r="CF5553" s="319"/>
      <c r="CG5553" s="319"/>
      <c r="CH5553" s="318"/>
      <c r="CI5553" s="319"/>
      <c r="CJ5553" s="319"/>
      <c r="CK5553" s="342"/>
      <c r="CL5553" s="333"/>
      <c r="CM5553" s="1079"/>
      <c r="CN5553" s="1005"/>
      <c r="CO5553" s="1005"/>
      <c r="CP5553" s="1005"/>
    </row>
    <row r="5554">
      <c r="A5554" s="1257"/>
      <c r="B5554" s="1113"/>
      <c r="C5554" s="1107"/>
      <c r="D5554" s="103"/>
      <c r="E5554" s="1137"/>
      <c r="F5554" s="112"/>
      <c r="G5554" s="1110"/>
      <c r="H5554" s="1138"/>
      <c r="I5554" s="1138"/>
      <c r="J5554" s="1139"/>
      <c r="K5554" s="1111"/>
      <c r="L5554" s="1112"/>
      <c r="M5554" s="1113"/>
      <c r="N5554" s="110"/>
      <c r="O5554" s="1140"/>
      <c r="P5554" s="1115"/>
      <c r="Q5554" s="1116"/>
      <c r="R5554" s="1141"/>
      <c r="S5554" s="1113"/>
      <c r="T5554" s="1143"/>
      <c r="U5554" s="1108"/>
      <c r="V5554" s="1108"/>
      <c r="W5554" s="1108"/>
      <c r="X5554" s="1108"/>
      <c r="Y5554" s="1108"/>
      <c r="Z5554" s="1114"/>
      <c r="AA5554" s="1114"/>
      <c r="AB5554" s="1114"/>
      <c r="AC5554" s="1117"/>
      <c r="AD5554" s="1115"/>
      <c r="AE5554" s="1115"/>
      <c r="AF5554" s="1115"/>
      <c r="AG5554" s="1115"/>
      <c r="AH5554" s="1115"/>
      <c r="AI5554" s="1115"/>
      <c r="AJ5554" s="1117"/>
      <c r="AK5554" s="1118"/>
      <c r="AL5554" s="1115"/>
      <c r="AM5554" s="1115"/>
      <c r="AN5554" s="1115"/>
      <c r="AO5554" s="1115"/>
      <c r="AP5554" s="1115"/>
      <c r="AQ5554" s="1115"/>
      <c r="AR5554" s="1115"/>
      <c r="AS5554" s="1117"/>
      <c r="AT5554" s="1075"/>
      <c r="AU5554" s="1193"/>
      <c r="AV5554" s="330"/>
      <c r="AW5554" s="331"/>
      <c r="AX5554" s="331"/>
      <c r="AY5554" s="331"/>
      <c r="AZ5554" s="331"/>
      <c r="BA5554" s="331"/>
      <c r="BB5554" s="331"/>
      <c r="BC5554" s="331"/>
      <c r="BD5554" s="331"/>
      <c r="BE5554" s="333"/>
      <c r="BF5554" s="330"/>
      <c r="BG5554" s="333"/>
      <c r="BH5554" s="1119"/>
      <c r="BI5554" s="319"/>
      <c r="BJ5554" s="319"/>
      <c r="BK5554" s="319"/>
      <c r="BL5554" s="319"/>
      <c r="BM5554" s="319"/>
      <c r="BN5554" s="319"/>
      <c r="BO5554" s="319"/>
      <c r="BP5554" s="953"/>
      <c r="BQ5554" s="319"/>
      <c r="BR5554" s="319"/>
      <c r="BS5554" s="330"/>
      <c r="BT5554" s="331"/>
      <c r="BU5554" s="920"/>
      <c r="BV5554" s="903"/>
      <c r="BW5554" s="908"/>
      <c r="BX5554" s="908"/>
      <c r="BY5554" s="331"/>
      <c r="BZ5554" s="331"/>
      <c r="CA5554" s="462"/>
      <c r="CB5554" s="319"/>
      <c r="CC5554" s="319"/>
      <c r="CD5554" s="319"/>
      <c r="CE5554" s="319"/>
      <c r="CF5554" s="319"/>
      <c r="CG5554" s="319"/>
      <c r="CH5554" s="318"/>
      <c r="CI5554" s="319"/>
      <c r="CJ5554" s="319"/>
      <c r="CK5554" s="342"/>
      <c r="CL5554" s="333"/>
      <c r="CM5554" s="1079"/>
      <c r="CN5554" s="1005"/>
      <c r="CO5554" s="1005"/>
      <c r="CP5554" s="1005"/>
    </row>
    <row r="5555">
      <c r="A5555" s="1257"/>
      <c r="B5555" s="1113"/>
      <c r="C5555" s="1107"/>
      <c r="D5555" s="103"/>
      <c r="E5555" s="1137"/>
      <c r="F5555" s="112"/>
      <c r="G5555" s="1110"/>
      <c r="H5555" s="1138"/>
      <c r="I5555" s="1138"/>
      <c r="J5555" s="1139"/>
      <c r="K5555" s="1111"/>
      <c r="L5555" s="1112"/>
      <c r="M5555" s="1113"/>
      <c r="N5555" s="110"/>
      <c r="O5555" s="1140"/>
      <c r="P5555" s="1115"/>
      <c r="Q5555" s="1116"/>
      <c r="R5555" s="1141"/>
      <c r="S5555" s="1113"/>
      <c r="T5555" s="1143"/>
      <c r="U5555" s="1108"/>
      <c r="V5555" s="1108"/>
      <c r="W5555" s="1108"/>
      <c r="X5555" s="1108"/>
      <c r="Y5555" s="1108"/>
      <c r="Z5555" s="1114"/>
      <c r="AA5555" s="1114"/>
      <c r="AB5555" s="1114"/>
      <c r="AC5555" s="1117"/>
      <c r="AD5555" s="1115"/>
      <c r="AE5555" s="1115"/>
      <c r="AF5555" s="1115"/>
      <c r="AG5555" s="1115"/>
      <c r="AH5555" s="1115"/>
      <c r="AI5555" s="1115"/>
      <c r="AJ5555" s="1117"/>
      <c r="AK5555" s="1118"/>
      <c r="AL5555" s="1115"/>
      <c r="AM5555" s="1115"/>
      <c r="AN5555" s="1115"/>
      <c r="AO5555" s="1115"/>
      <c r="AP5555" s="1115"/>
      <c r="AQ5555" s="1115"/>
      <c r="AR5555" s="1115"/>
      <c r="AS5555" s="1117"/>
      <c r="AT5555" s="1075"/>
      <c r="AU5555" s="1193"/>
      <c r="AV5555" s="330"/>
      <c r="AW5555" s="331"/>
      <c r="AX5555" s="331"/>
      <c r="AY5555" s="331"/>
      <c r="AZ5555" s="331"/>
      <c r="BA5555" s="331"/>
      <c r="BB5555" s="331"/>
      <c r="BC5555" s="331"/>
      <c r="BD5555" s="331"/>
      <c r="BE5555" s="333"/>
      <c r="BF5555" s="330"/>
      <c r="BG5555" s="333"/>
      <c r="BH5555" s="1119"/>
      <c r="BI5555" s="319"/>
      <c r="BJ5555" s="319"/>
      <c r="BK5555" s="319"/>
      <c r="BL5555" s="319"/>
      <c r="BM5555" s="319"/>
      <c r="BN5555" s="319"/>
      <c r="BO5555" s="319"/>
      <c r="BP5555" s="953"/>
      <c r="BQ5555" s="319"/>
      <c r="BR5555" s="319"/>
      <c r="BS5555" s="330"/>
      <c r="BT5555" s="331"/>
      <c r="BU5555" s="920"/>
      <c r="BV5555" s="903"/>
      <c r="BW5555" s="908"/>
      <c r="BX5555" s="908"/>
      <c r="BY5555" s="331"/>
      <c r="BZ5555" s="331"/>
      <c r="CA5555" s="462"/>
      <c r="CB5555" s="319"/>
      <c r="CC5555" s="319"/>
      <c r="CD5555" s="319"/>
      <c r="CE5555" s="319"/>
      <c r="CF5555" s="319"/>
      <c r="CG5555" s="319"/>
      <c r="CH5555" s="318"/>
      <c r="CI5555" s="319"/>
      <c r="CJ5555" s="319"/>
      <c r="CK5555" s="342"/>
      <c r="CL5555" s="333"/>
      <c r="CM5555" s="1079"/>
      <c r="CN5555" s="1005"/>
      <c r="CO5555" s="1005"/>
      <c r="CP5555" s="1005"/>
    </row>
    <row r="5556">
      <c r="A5556" s="1257"/>
      <c r="B5556" s="1113"/>
      <c r="C5556" s="1107"/>
      <c r="D5556" s="103"/>
      <c r="E5556" s="1137"/>
      <c r="F5556" s="112"/>
      <c r="G5556" s="1110"/>
      <c r="H5556" s="1138"/>
      <c r="I5556" s="1138"/>
      <c r="J5556" s="1139"/>
      <c r="K5556" s="1111"/>
      <c r="L5556" s="1112"/>
      <c r="M5556" s="1113"/>
      <c r="N5556" s="110"/>
      <c r="O5556" s="1140"/>
      <c r="P5556" s="1115"/>
      <c r="Q5556" s="1116"/>
      <c r="R5556" s="1141"/>
      <c r="S5556" s="1113"/>
      <c r="T5556" s="1143"/>
      <c r="U5556" s="1108"/>
      <c r="V5556" s="1108"/>
      <c r="W5556" s="1108"/>
      <c r="X5556" s="1108"/>
      <c r="Y5556" s="1108"/>
      <c r="Z5556" s="1114"/>
      <c r="AA5556" s="1114"/>
      <c r="AB5556" s="1114"/>
      <c r="AC5556" s="1117"/>
      <c r="AD5556" s="1115"/>
      <c r="AE5556" s="1115"/>
      <c r="AF5556" s="1115"/>
      <c r="AG5556" s="1115"/>
      <c r="AH5556" s="1115"/>
      <c r="AI5556" s="1115"/>
      <c r="AJ5556" s="1117"/>
      <c r="AK5556" s="1118"/>
      <c r="AL5556" s="1115"/>
      <c r="AM5556" s="1115"/>
      <c r="AN5556" s="1115"/>
      <c r="AO5556" s="1115"/>
      <c r="AP5556" s="1115"/>
      <c r="AQ5556" s="1115"/>
      <c r="AR5556" s="1115"/>
      <c r="AS5556" s="1117"/>
      <c r="AT5556" s="1075"/>
      <c r="AU5556" s="1193"/>
      <c r="AV5556" s="330"/>
      <c r="AW5556" s="331"/>
      <c r="AX5556" s="331"/>
      <c r="AY5556" s="331"/>
      <c r="AZ5556" s="331"/>
      <c r="BA5556" s="331"/>
      <c r="BB5556" s="331"/>
      <c r="BC5556" s="331"/>
      <c r="BD5556" s="331"/>
      <c r="BE5556" s="333"/>
      <c r="BF5556" s="330"/>
      <c r="BG5556" s="333"/>
      <c r="BH5556" s="1119"/>
      <c r="BI5556" s="319"/>
      <c r="BJ5556" s="319"/>
      <c r="BK5556" s="319"/>
      <c r="BL5556" s="319"/>
      <c r="BM5556" s="319"/>
      <c r="BN5556" s="319"/>
      <c r="BO5556" s="319"/>
      <c r="BP5556" s="953"/>
      <c r="BQ5556" s="319"/>
      <c r="BR5556" s="319"/>
      <c r="BS5556" s="330"/>
      <c r="BT5556" s="331"/>
      <c r="BU5556" s="920"/>
      <c r="BV5556" s="903"/>
      <c r="BW5556" s="908"/>
      <c r="BX5556" s="908"/>
      <c r="BY5556" s="331"/>
      <c r="BZ5556" s="331"/>
      <c r="CA5556" s="462"/>
      <c r="CB5556" s="319"/>
      <c r="CC5556" s="319"/>
      <c r="CD5556" s="319"/>
      <c r="CE5556" s="319"/>
      <c r="CF5556" s="319"/>
      <c r="CG5556" s="319"/>
      <c r="CH5556" s="318"/>
      <c r="CI5556" s="319"/>
      <c r="CJ5556" s="319"/>
      <c r="CK5556" s="342"/>
      <c r="CL5556" s="333"/>
      <c r="CM5556" s="1079"/>
      <c r="CN5556" s="1005"/>
      <c r="CO5556" s="1005"/>
      <c r="CP5556" s="1005"/>
    </row>
    <row r="5557">
      <c r="A5557" s="1257"/>
      <c r="B5557" s="1113"/>
      <c r="C5557" s="1107"/>
      <c r="D5557" s="103"/>
      <c r="E5557" s="1137"/>
      <c r="F5557" s="112"/>
      <c r="G5557" s="1110"/>
      <c r="H5557" s="1138"/>
      <c r="I5557" s="1138"/>
      <c r="J5557" s="1139"/>
      <c r="K5557" s="1111"/>
      <c r="L5557" s="1112"/>
      <c r="M5557" s="1113"/>
      <c r="N5557" s="110"/>
      <c r="O5557" s="1140"/>
      <c r="P5557" s="1115"/>
      <c r="Q5557" s="1116"/>
      <c r="R5557" s="1141"/>
      <c r="S5557" s="1113"/>
      <c r="T5557" s="1143"/>
      <c r="U5557" s="1108"/>
      <c r="V5557" s="1108"/>
      <c r="W5557" s="1108"/>
      <c r="X5557" s="1108"/>
      <c r="Y5557" s="1108"/>
      <c r="Z5557" s="1114"/>
      <c r="AA5557" s="1114"/>
      <c r="AB5557" s="1114"/>
      <c r="AC5557" s="1117"/>
      <c r="AD5557" s="1115"/>
      <c r="AE5557" s="1115"/>
      <c r="AF5557" s="1115"/>
      <c r="AG5557" s="1115"/>
      <c r="AH5557" s="1115"/>
      <c r="AI5557" s="1115"/>
      <c r="AJ5557" s="1117"/>
      <c r="AK5557" s="1118"/>
      <c r="AL5557" s="1115"/>
      <c r="AM5557" s="1115"/>
      <c r="AN5557" s="1115"/>
      <c r="AO5557" s="1115"/>
      <c r="AP5557" s="1115"/>
      <c r="AQ5557" s="1115"/>
      <c r="AR5557" s="1115"/>
      <c r="AS5557" s="1117"/>
      <c r="AT5557" s="1075"/>
      <c r="AU5557" s="1193"/>
      <c r="AV5557" s="330"/>
      <c r="AW5557" s="331"/>
      <c r="AX5557" s="331"/>
      <c r="AY5557" s="331"/>
      <c r="AZ5557" s="331"/>
      <c r="BA5557" s="331"/>
      <c r="BB5557" s="331"/>
      <c r="BC5557" s="331"/>
      <c r="BD5557" s="331"/>
      <c r="BE5557" s="333"/>
      <c r="BF5557" s="330"/>
      <c r="BG5557" s="333"/>
      <c r="BH5557" s="1119"/>
      <c r="BI5557" s="319"/>
      <c r="BJ5557" s="319"/>
      <c r="BK5557" s="319"/>
      <c r="BL5557" s="319"/>
      <c r="BM5557" s="319"/>
      <c r="BN5557" s="319"/>
      <c r="BO5557" s="319"/>
      <c r="BP5557" s="953"/>
      <c r="BQ5557" s="319"/>
      <c r="BR5557" s="319"/>
      <c r="BS5557" s="330"/>
      <c r="BT5557" s="331"/>
      <c r="BU5557" s="920"/>
      <c r="BV5557" s="903"/>
      <c r="BW5557" s="908"/>
      <c r="BX5557" s="908"/>
      <c r="BY5557" s="331"/>
      <c r="BZ5557" s="331"/>
      <c r="CA5557" s="462"/>
      <c r="CB5557" s="319"/>
      <c r="CC5557" s="319"/>
      <c r="CD5557" s="319"/>
      <c r="CE5557" s="319"/>
      <c r="CF5557" s="319"/>
      <c r="CG5557" s="319"/>
      <c r="CH5557" s="318"/>
      <c r="CI5557" s="319"/>
      <c r="CJ5557" s="319"/>
      <c r="CK5557" s="342"/>
      <c r="CL5557" s="333"/>
      <c r="CM5557" s="1079"/>
      <c r="CN5557" s="1005"/>
      <c r="CO5557" s="1005"/>
      <c r="CP5557" s="1005"/>
    </row>
    <row r="5558">
      <c r="A5558" s="1257"/>
      <c r="B5558" s="1113"/>
      <c r="C5558" s="1107"/>
      <c r="D5558" s="103"/>
      <c r="E5558" s="1137"/>
      <c r="F5558" s="112"/>
      <c r="G5558" s="1110"/>
      <c r="H5558" s="1138"/>
      <c r="I5558" s="1138"/>
      <c r="J5558" s="1139"/>
      <c r="K5558" s="1111"/>
      <c r="L5558" s="1112"/>
      <c r="M5558" s="1113"/>
      <c r="N5558" s="110"/>
      <c r="O5558" s="1140"/>
      <c r="P5558" s="1115"/>
      <c r="Q5558" s="1116"/>
      <c r="R5558" s="1141"/>
      <c r="S5558" s="1113"/>
      <c r="T5558" s="1143"/>
      <c r="U5558" s="1108"/>
      <c r="V5558" s="1108"/>
      <c r="W5558" s="1108"/>
      <c r="X5558" s="1108"/>
      <c r="Y5558" s="1108"/>
      <c r="Z5558" s="1114"/>
      <c r="AA5558" s="1114"/>
      <c r="AB5558" s="1114"/>
      <c r="AC5558" s="1117"/>
      <c r="AD5558" s="1115"/>
      <c r="AE5558" s="1115"/>
      <c r="AF5558" s="1115"/>
      <c r="AG5558" s="1115"/>
      <c r="AH5558" s="1115"/>
      <c r="AI5558" s="1115"/>
      <c r="AJ5558" s="1117"/>
      <c r="AK5558" s="1118"/>
      <c r="AL5558" s="1115"/>
      <c r="AM5558" s="1115"/>
      <c r="AN5558" s="1115"/>
      <c r="AO5558" s="1115"/>
      <c r="AP5558" s="1115"/>
      <c r="AQ5558" s="1115"/>
      <c r="AR5558" s="1115"/>
      <c r="AS5558" s="1117"/>
      <c r="AT5558" s="1075"/>
      <c r="AU5558" s="1193"/>
      <c r="AV5558" s="330"/>
      <c r="AW5558" s="331"/>
      <c r="AX5558" s="331"/>
      <c r="AY5558" s="331"/>
      <c r="AZ5558" s="331"/>
      <c r="BA5558" s="331"/>
      <c r="BB5558" s="331"/>
      <c r="BC5558" s="331"/>
      <c r="BD5558" s="331"/>
      <c r="BE5558" s="333"/>
      <c r="BF5558" s="330"/>
      <c r="BG5558" s="333"/>
      <c r="BH5558" s="1119"/>
      <c r="BI5558" s="319"/>
      <c r="BJ5558" s="319"/>
      <c r="BK5558" s="319"/>
      <c r="BL5558" s="319"/>
      <c r="BM5558" s="319"/>
      <c r="BN5558" s="319"/>
      <c r="BO5558" s="319"/>
      <c r="BP5558" s="953"/>
      <c r="BQ5558" s="319"/>
      <c r="BR5558" s="319"/>
      <c r="BS5558" s="330"/>
      <c r="BT5558" s="331"/>
      <c r="BU5558" s="920"/>
      <c r="BV5558" s="903"/>
      <c r="BW5558" s="908"/>
      <c r="BX5558" s="908"/>
      <c r="BY5558" s="331"/>
      <c r="BZ5558" s="331"/>
      <c r="CA5558" s="462"/>
      <c r="CB5558" s="319"/>
      <c r="CC5558" s="319"/>
      <c r="CD5558" s="319"/>
      <c r="CE5558" s="319"/>
      <c r="CF5558" s="319"/>
      <c r="CG5558" s="319"/>
      <c r="CH5558" s="318"/>
      <c r="CI5558" s="319"/>
      <c r="CJ5558" s="319"/>
      <c r="CK5558" s="342"/>
      <c r="CL5558" s="333"/>
      <c r="CM5558" s="1079"/>
      <c r="CN5558" s="1005"/>
      <c r="CO5558" s="1005"/>
      <c r="CP5558" s="1005"/>
    </row>
    <row r="5559">
      <c r="A5559" s="1257"/>
      <c r="B5559" s="1113"/>
      <c r="C5559" s="1107"/>
      <c r="D5559" s="103"/>
      <c r="E5559" s="1137"/>
      <c r="F5559" s="112"/>
      <c r="G5559" s="1110"/>
      <c r="H5559" s="1138"/>
      <c r="I5559" s="1138"/>
      <c r="J5559" s="1139"/>
      <c r="K5559" s="1111"/>
      <c r="L5559" s="1112"/>
      <c r="M5559" s="1113"/>
      <c r="N5559" s="110"/>
      <c r="O5559" s="1140"/>
      <c r="P5559" s="1115"/>
      <c r="Q5559" s="1116"/>
      <c r="R5559" s="1141"/>
      <c r="S5559" s="1113"/>
      <c r="T5559" s="1143"/>
      <c r="U5559" s="1108"/>
      <c r="V5559" s="1108"/>
      <c r="W5559" s="1108"/>
      <c r="X5559" s="1108"/>
      <c r="Y5559" s="1108"/>
      <c r="Z5559" s="1114"/>
      <c r="AA5559" s="1114"/>
      <c r="AB5559" s="1114"/>
      <c r="AC5559" s="1117"/>
      <c r="AD5559" s="1115"/>
      <c r="AE5559" s="1115"/>
      <c r="AF5559" s="1115"/>
      <c r="AG5559" s="1115"/>
      <c r="AH5559" s="1115"/>
      <c r="AI5559" s="1115"/>
      <c r="AJ5559" s="1117"/>
      <c r="AK5559" s="1118"/>
      <c r="AL5559" s="1115"/>
      <c r="AM5559" s="1115"/>
      <c r="AN5559" s="1115"/>
      <c r="AO5559" s="1115"/>
      <c r="AP5559" s="1115"/>
      <c r="AQ5559" s="1115"/>
      <c r="AR5559" s="1115"/>
      <c r="AS5559" s="1117"/>
      <c r="AT5559" s="1075"/>
      <c r="AU5559" s="1193"/>
      <c r="AV5559" s="330"/>
      <c r="AW5559" s="331"/>
      <c r="AX5559" s="331"/>
      <c r="AY5559" s="331"/>
      <c r="AZ5559" s="331"/>
      <c r="BA5559" s="331"/>
      <c r="BB5559" s="331"/>
      <c r="BC5559" s="331"/>
      <c r="BD5559" s="331"/>
      <c r="BE5559" s="333"/>
      <c r="BF5559" s="330"/>
      <c r="BG5559" s="333"/>
      <c r="BH5559" s="1119"/>
      <c r="BI5559" s="319"/>
      <c r="BJ5559" s="319"/>
      <c r="BK5559" s="319"/>
      <c r="BL5559" s="319"/>
      <c r="BM5559" s="319"/>
      <c r="BN5559" s="319"/>
      <c r="BO5559" s="319"/>
      <c r="BP5559" s="953"/>
      <c r="BQ5559" s="319"/>
      <c r="BR5559" s="319"/>
      <c r="BS5559" s="330"/>
      <c r="BT5559" s="331"/>
      <c r="BU5559" s="920"/>
      <c r="BV5559" s="903"/>
      <c r="BW5559" s="908"/>
      <c r="BX5559" s="908"/>
      <c r="BY5559" s="331"/>
      <c r="BZ5559" s="331"/>
      <c r="CA5559" s="462"/>
      <c r="CB5559" s="319"/>
      <c r="CC5559" s="319"/>
      <c r="CD5559" s="319"/>
      <c r="CE5559" s="319"/>
      <c r="CF5559" s="319"/>
      <c r="CG5559" s="319"/>
      <c r="CH5559" s="318"/>
      <c r="CI5559" s="319"/>
      <c r="CJ5559" s="319"/>
      <c r="CK5559" s="342"/>
      <c r="CL5559" s="333"/>
      <c r="CM5559" s="1079"/>
      <c r="CN5559" s="1005"/>
      <c r="CO5559" s="1005"/>
      <c r="CP5559" s="1005"/>
    </row>
    <row r="5560">
      <c r="A5560" s="1257"/>
      <c r="B5560" s="1113"/>
      <c r="C5560" s="1107"/>
      <c r="D5560" s="103"/>
      <c r="E5560" s="1137"/>
      <c r="F5560" s="112"/>
      <c r="G5560" s="1110"/>
      <c r="H5560" s="1138"/>
      <c r="I5560" s="1138"/>
      <c r="J5560" s="1139"/>
      <c r="K5560" s="1111"/>
      <c r="L5560" s="1112"/>
      <c r="M5560" s="1113"/>
      <c r="N5560" s="110"/>
      <c r="O5560" s="1140"/>
      <c r="P5560" s="1115"/>
      <c r="Q5560" s="1116"/>
      <c r="R5560" s="1141"/>
      <c r="S5560" s="1113"/>
      <c r="T5560" s="1143"/>
      <c r="U5560" s="1108"/>
      <c r="V5560" s="1108"/>
      <c r="W5560" s="1108"/>
      <c r="X5560" s="1108"/>
      <c r="Y5560" s="1108"/>
      <c r="Z5560" s="1114"/>
      <c r="AA5560" s="1114"/>
      <c r="AB5560" s="1114"/>
      <c r="AC5560" s="1117"/>
      <c r="AD5560" s="1115"/>
      <c r="AE5560" s="1115"/>
      <c r="AF5560" s="1115"/>
      <c r="AG5560" s="1115"/>
      <c r="AH5560" s="1115"/>
      <c r="AI5560" s="1115"/>
      <c r="AJ5560" s="1117"/>
      <c r="AK5560" s="1118"/>
      <c r="AL5560" s="1115"/>
      <c r="AM5560" s="1115"/>
      <c r="AN5560" s="1115"/>
      <c r="AO5560" s="1115"/>
      <c r="AP5560" s="1115"/>
      <c r="AQ5560" s="1115"/>
      <c r="AR5560" s="1115"/>
      <c r="AS5560" s="1117"/>
      <c r="AT5560" s="1075"/>
      <c r="AU5560" s="1193"/>
      <c r="AV5560" s="330"/>
      <c r="AW5560" s="331"/>
      <c r="AX5560" s="331"/>
      <c r="AY5560" s="331"/>
      <c r="AZ5560" s="331"/>
      <c r="BA5560" s="331"/>
      <c r="BB5560" s="331"/>
      <c r="BC5560" s="331"/>
      <c r="BD5560" s="331"/>
      <c r="BE5560" s="333"/>
      <c r="BF5560" s="330"/>
      <c r="BG5560" s="333"/>
      <c r="BH5560" s="1119"/>
      <c r="BI5560" s="319"/>
      <c r="BJ5560" s="319"/>
      <c r="BK5560" s="319"/>
      <c r="BL5560" s="319"/>
      <c r="BM5560" s="319"/>
      <c r="BN5560" s="319"/>
      <c r="BO5560" s="319"/>
      <c r="BP5560" s="953"/>
      <c r="BQ5560" s="319"/>
      <c r="BR5560" s="319"/>
      <c r="BS5560" s="330"/>
      <c r="BT5560" s="331"/>
      <c r="BU5560" s="920"/>
      <c r="BV5560" s="903"/>
      <c r="BW5560" s="908"/>
      <c r="BX5560" s="908"/>
      <c r="BY5560" s="331"/>
      <c r="BZ5560" s="331"/>
      <c r="CA5560" s="462"/>
      <c r="CB5560" s="319"/>
      <c r="CC5560" s="319"/>
      <c r="CD5560" s="319"/>
      <c r="CE5560" s="319"/>
      <c r="CF5560" s="319"/>
      <c r="CG5560" s="319"/>
      <c r="CH5560" s="318"/>
      <c r="CI5560" s="319"/>
      <c r="CJ5560" s="319"/>
      <c r="CK5560" s="342"/>
      <c r="CL5560" s="333"/>
      <c r="CM5560" s="1079"/>
      <c r="CN5560" s="1005"/>
      <c r="CO5560" s="1005"/>
      <c r="CP5560" s="1005"/>
    </row>
    <row r="5561">
      <c r="A5561" s="1257"/>
      <c r="B5561" s="1113"/>
      <c r="C5561" s="1107"/>
      <c r="D5561" s="103"/>
      <c r="E5561" s="1137"/>
      <c r="F5561" s="112"/>
      <c r="G5561" s="1110"/>
      <c r="H5561" s="1138"/>
      <c r="I5561" s="1138"/>
      <c r="J5561" s="1139"/>
      <c r="K5561" s="1111"/>
      <c r="L5561" s="1112"/>
      <c r="M5561" s="1113"/>
      <c r="N5561" s="110"/>
      <c r="O5561" s="1140"/>
      <c r="P5561" s="1115"/>
      <c r="Q5561" s="1116"/>
      <c r="R5561" s="1141"/>
      <c r="S5561" s="1113"/>
      <c r="T5561" s="1143"/>
      <c r="U5561" s="1108"/>
      <c r="V5561" s="1108"/>
      <c r="W5561" s="1108"/>
      <c r="X5561" s="1108"/>
      <c r="Y5561" s="1108"/>
      <c r="Z5561" s="1114"/>
      <c r="AA5561" s="1114"/>
      <c r="AB5561" s="1114"/>
      <c r="AC5561" s="1117"/>
      <c r="AD5561" s="1115"/>
      <c r="AE5561" s="1115"/>
      <c r="AF5561" s="1115"/>
      <c r="AG5561" s="1115"/>
      <c r="AH5561" s="1115"/>
      <c r="AI5561" s="1115"/>
      <c r="AJ5561" s="1117"/>
      <c r="AK5561" s="1118"/>
      <c r="AL5561" s="1115"/>
      <c r="AM5561" s="1115"/>
      <c r="AN5561" s="1115"/>
      <c r="AO5561" s="1115"/>
      <c r="AP5561" s="1115"/>
      <c r="AQ5561" s="1115"/>
      <c r="AR5561" s="1115"/>
      <c r="AS5561" s="1117"/>
      <c r="AT5561" s="1075"/>
      <c r="AU5561" s="1193"/>
      <c r="AV5561" s="330"/>
      <c r="AW5561" s="331"/>
      <c r="AX5561" s="331"/>
      <c r="AY5561" s="331"/>
      <c r="AZ5561" s="331"/>
      <c r="BA5561" s="331"/>
      <c r="BB5561" s="331"/>
      <c r="BC5561" s="331"/>
      <c r="BD5561" s="331"/>
      <c r="BE5561" s="333"/>
      <c r="BF5561" s="330"/>
      <c r="BG5561" s="333"/>
      <c r="BH5561" s="1119"/>
      <c r="BI5561" s="319"/>
      <c r="BJ5561" s="319"/>
      <c r="BK5561" s="319"/>
      <c r="BL5561" s="319"/>
      <c r="BM5561" s="319"/>
      <c r="BN5561" s="319"/>
      <c r="BO5561" s="319"/>
      <c r="BP5561" s="953"/>
      <c r="BQ5561" s="319"/>
      <c r="BR5561" s="319"/>
      <c r="BS5561" s="330"/>
      <c r="BT5561" s="331"/>
      <c r="BU5561" s="920"/>
      <c r="BV5561" s="903"/>
      <c r="BW5561" s="908"/>
      <c r="BX5561" s="908"/>
      <c r="BY5561" s="331"/>
      <c r="BZ5561" s="331"/>
      <c r="CA5561" s="462"/>
      <c r="CB5561" s="319"/>
      <c r="CC5561" s="319"/>
      <c r="CD5561" s="319"/>
      <c r="CE5561" s="319"/>
      <c r="CF5561" s="319"/>
      <c r="CG5561" s="319"/>
      <c r="CH5561" s="318"/>
      <c r="CI5561" s="319"/>
      <c r="CJ5561" s="319"/>
      <c r="CK5561" s="342"/>
      <c r="CL5561" s="333"/>
      <c r="CM5561" s="1079"/>
      <c r="CN5561" s="1005"/>
      <c r="CO5561" s="1005"/>
      <c r="CP5561" s="1005"/>
    </row>
    <row r="5562">
      <c r="A5562" s="1257"/>
      <c r="B5562" s="1113"/>
      <c r="C5562" s="1107"/>
      <c r="D5562" s="103"/>
      <c r="E5562" s="1137"/>
      <c r="F5562" s="112"/>
      <c r="G5562" s="1110"/>
      <c r="H5562" s="1138"/>
      <c r="I5562" s="1138"/>
      <c r="J5562" s="1139"/>
      <c r="K5562" s="1111"/>
      <c r="L5562" s="1112"/>
      <c r="M5562" s="1113"/>
      <c r="N5562" s="110"/>
      <c r="O5562" s="1140"/>
      <c r="P5562" s="1115"/>
      <c r="Q5562" s="1116"/>
      <c r="R5562" s="1141"/>
      <c r="S5562" s="1113"/>
      <c r="T5562" s="1143"/>
      <c r="U5562" s="1108"/>
      <c r="V5562" s="1108"/>
      <c r="W5562" s="1108"/>
      <c r="X5562" s="1108"/>
      <c r="Y5562" s="1108"/>
      <c r="Z5562" s="1114"/>
      <c r="AA5562" s="1114"/>
      <c r="AB5562" s="1114"/>
      <c r="AC5562" s="1117"/>
      <c r="AD5562" s="1115"/>
      <c r="AE5562" s="1115"/>
      <c r="AF5562" s="1115"/>
      <c r="AG5562" s="1115"/>
      <c r="AH5562" s="1115"/>
      <c r="AI5562" s="1115"/>
      <c r="AJ5562" s="1117"/>
      <c r="AK5562" s="1118"/>
      <c r="AL5562" s="1115"/>
      <c r="AM5562" s="1115"/>
      <c r="AN5562" s="1115"/>
      <c r="AO5562" s="1115"/>
      <c r="AP5562" s="1115"/>
      <c r="AQ5562" s="1115"/>
      <c r="AR5562" s="1115"/>
      <c r="AS5562" s="1117"/>
      <c r="AT5562" s="1075"/>
      <c r="AU5562" s="1193"/>
      <c r="AV5562" s="330"/>
      <c r="AW5562" s="331"/>
      <c r="AX5562" s="331"/>
      <c r="AY5562" s="331"/>
      <c r="AZ5562" s="331"/>
      <c r="BA5562" s="331"/>
      <c r="BB5562" s="331"/>
      <c r="BC5562" s="331"/>
      <c r="BD5562" s="331"/>
      <c r="BE5562" s="333"/>
      <c r="BF5562" s="330"/>
      <c r="BG5562" s="333"/>
      <c r="BH5562" s="1119"/>
      <c r="BI5562" s="319"/>
      <c r="BJ5562" s="319"/>
      <c r="BK5562" s="319"/>
      <c r="BL5562" s="319"/>
      <c r="BM5562" s="319"/>
      <c r="BN5562" s="319"/>
      <c r="BO5562" s="319"/>
      <c r="BP5562" s="953"/>
      <c r="BQ5562" s="319"/>
      <c r="BR5562" s="319"/>
      <c r="BS5562" s="330"/>
      <c r="BT5562" s="331"/>
      <c r="BU5562" s="920"/>
      <c r="BV5562" s="903"/>
      <c r="BW5562" s="908"/>
      <c r="BX5562" s="908"/>
      <c r="BY5562" s="331"/>
      <c r="BZ5562" s="331"/>
      <c r="CA5562" s="462"/>
      <c r="CB5562" s="319"/>
      <c r="CC5562" s="319"/>
      <c r="CD5562" s="319"/>
      <c r="CE5562" s="319"/>
      <c r="CF5562" s="319"/>
      <c r="CG5562" s="319"/>
      <c r="CH5562" s="318"/>
      <c r="CI5562" s="319"/>
      <c r="CJ5562" s="319"/>
      <c r="CK5562" s="342"/>
      <c r="CL5562" s="333"/>
      <c r="CM5562" s="1079"/>
      <c r="CN5562" s="1005"/>
      <c r="CO5562" s="1005"/>
      <c r="CP5562" s="1005"/>
    </row>
    <row r="5563">
      <c r="A5563" s="1257"/>
      <c r="B5563" s="1113"/>
      <c r="C5563" s="1107"/>
      <c r="D5563" s="103"/>
      <c r="E5563" s="1137"/>
      <c r="F5563" s="112"/>
      <c r="G5563" s="1110"/>
      <c r="H5563" s="1138"/>
      <c r="I5563" s="1138"/>
      <c r="J5563" s="1139"/>
      <c r="K5563" s="1111"/>
      <c r="L5563" s="1112"/>
      <c r="M5563" s="1113"/>
      <c r="N5563" s="110"/>
      <c r="O5563" s="1140"/>
      <c r="P5563" s="1115"/>
      <c r="Q5563" s="1116"/>
      <c r="R5563" s="1141"/>
      <c r="S5563" s="1113"/>
      <c r="T5563" s="1143"/>
      <c r="U5563" s="1108"/>
      <c r="V5563" s="1108"/>
      <c r="W5563" s="1108"/>
      <c r="X5563" s="1108"/>
      <c r="Y5563" s="1108"/>
      <c r="Z5563" s="1114"/>
      <c r="AA5563" s="1114"/>
      <c r="AB5563" s="1114"/>
      <c r="AC5563" s="1117"/>
      <c r="AD5563" s="1115"/>
      <c r="AE5563" s="1115"/>
      <c r="AF5563" s="1115"/>
      <c r="AG5563" s="1115"/>
      <c r="AH5563" s="1115"/>
      <c r="AI5563" s="1115"/>
      <c r="AJ5563" s="1117"/>
      <c r="AK5563" s="1118"/>
      <c r="AL5563" s="1115"/>
      <c r="AM5563" s="1115"/>
      <c r="AN5563" s="1115"/>
      <c r="AO5563" s="1115"/>
      <c r="AP5563" s="1115"/>
      <c r="AQ5563" s="1115"/>
      <c r="AR5563" s="1115"/>
      <c r="AS5563" s="1117"/>
      <c r="AT5563" s="1075"/>
      <c r="AU5563" s="1193"/>
      <c r="AV5563" s="330"/>
      <c r="AW5563" s="331"/>
      <c r="AX5563" s="331"/>
      <c r="AY5563" s="331"/>
      <c r="AZ5563" s="331"/>
      <c r="BA5563" s="331"/>
      <c r="BB5563" s="331"/>
      <c r="BC5563" s="331"/>
      <c r="BD5563" s="331"/>
      <c r="BE5563" s="333"/>
      <c r="BF5563" s="330"/>
      <c r="BG5563" s="333"/>
      <c r="BH5563" s="1119"/>
      <c r="BI5563" s="319"/>
      <c r="BJ5563" s="319"/>
      <c r="BK5563" s="319"/>
      <c r="BL5563" s="319"/>
      <c r="BM5563" s="319"/>
      <c r="BN5563" s="319"/>
      <c r="BO5563" s="319"/>
      <c r="BP5563" s="953"/>
      <c r="BQ5563" s="319"/>
      <c r="BR5563" s="319"/>
      <c r="BS5563" s="330"/>
      <c r="BT5563" s="331"/>
      <c r="BU5563" s="920"/>
      <c r="BV5563" s="903"/>
      <c r="BW5563" s="908"/>
      <c r="BX5563" s="908"/>
      <c r="BY5563" s="331"/>
      <c r="BZ5563" s="331"/>
      <c r="CA5563" s="462"/>
      <c r="CB5563" s="319"/>
      <c r="CC5563" s="319"/>
      <c r="CD5563" s="319"/>
      <c r="CE5563" s="319"/>
      <c r="CF5563" s="319"/>
      <c r="CG5563" s="319"/>
      <c r="CH5563" s="318"/>
      <c r="CI5563" s="319"/>
      <c r="CJ5563" s="319"/>
      <c r="CK5563" s="342"/>
      <c r="CL5563" s="333"/>
      <c r="CM5563" s="1079"/>
      <c r="CN5563" s="1005"/>
      <c r="CO5563" s="1005"/>
      <c r="CP5563" s="1005"/>
    </row>
    <row r="5564">
      <c r="A5564" s="1257"/>
      <c r="B5564" s="1113"/>
      <c r="C5564" s="1107"/>
      <c r="D5564" s="103"/>
      <c r="E5564" s="1137"/>
      <c r="F5564" s="112"/>
      <c r="G5564" s="1110"/>
      <c r="H5564" s="1138"/>
      <c r="I5564" s="1138"/>
      <c r="J5564" s="1139"/>
      <c r="K5564" s="1111"/>
      <c r="L5564" s="1112"/>
      <c r="M5564" s="1113"/>
      <c r="N5564" s="110"/>
      <c r="O5564" s="1140"/>
      <c r="P5564" s="1115"/>
      <c r="Q5564" s="1116"/>
      <c r="R5564" s="1141"/>
      <c r="S5564" s="1113"/>
      <c r="T5564" s="1143"/>
      <c r="U5564" s="1108"/>
      <c r="V5564" s="1108"/>
      <c r="W5564" s="1108"/>
      <c r="X5564" s="1108"/>
      <c r="Y5564" s="1108"/>
      <c r="Z5564" s="1114"/>
      <c r="AA5564" s="1114"/>
      <c r="AB5564" s="1114"/>
      <c r="AC5564" s="1117"/>
      <c r="AD5564" s="1115"/>
      <c r="AE5564" s="1115"/>
      <c r="AF5564" s="1115"/>
      <c r="AG5564" s="1115"/>
      <c r="AH5564" s="1115"/>
      <c r="AI5564" s="1115"/>
      <c r="AJ5564" s="1117"/>
      <c r="AK5564" s="1118"/>
      <c r="AL5564" s="1115"/>
      <c r="AM5564" s="1115"/>
      <c r="AN5564" s="1115"/>
      <c r="AO5564" s="1115"/>
      <c r="AP5564" s="1115"/>
      <c r="AQ5564" s="1115"/>
      <c r="AR5564" s="1115"/>
      <c r="AS5564" s="1117"/>
      <c r="AT5564" s="1075"/>
      <c r="AU5564" s="1193"/>
      <c r="AV5564" s="330"/>
      <c r="AW5564" s="331"/>
      <c r="AX5564" s="331"/>
      <c r="AY5564" s="331"/>
      <c r="AZ5564" s="331"/>
      <c r="BA5564" s="331"/>
      <c r="BB5564" s="331"/>
      <c r="BC5564" s="331"/>
      <c r="BD5564" s="331"/>
      <c r="BE5564" s="333"/>
      <c r="BF5564" s="330"/>
      <c r="BG5564" s="333"/>
      <c r="BH5564" s="1119"/>
      <c r="BI5564" s="319"/>
      <c r="BJ5564" s="319"/>
      <c r="BK5564" s="319"/>
      <c r="BL5564" s="319"/>
      <c r="BM5564" s="319"/>
      <c r="BN5564" s="319"/>
      <c r="BO5564" s="319"/>
      <c r="BP5564" s="953"/>
      <c r="BQ5564" s="319"/>
      <c r="BR5564" s="319"/>
      <c r="BS5564" s="330"/>
      <c r="BT5564" s="331"/>
      <c r="BU5564" s="920"/>
      <c r="BV5564" s="903"/>
      <c r="BW5564" s="908"/>
      <c r="BX5564" s="908"/>
      <c r="BY5564" s="331"/>
      <c r="BZ5564" s="331"/>
      <c r="CA5564" s="462"/>
      <c r="CB5564" s="319"/>
      <c r="CC5564" s="319"/>
      <c r="CD5564" s="319"/>
      <c r="CE5564" s="319"/>
      <c r="CF5564" s="319"/>
      <c r="CG5564" s="319"/>
      <c r="CH5564" s="318"/>
      <c r="CI5564" s="319"/>
      <c r="CJ5564" s="319"/>
      <c r="CK5564" s="342"/>
      <c r="CL5564" s="333"/>
      <c r="CM5564" s="1079"/>
      <c r="CN5564" s="1005"/>
      <c r="CO5564" s="1005"/>
      <c r="CP5564" s="1005"/>
    </row>
    <row r="5565">
      <c r="A5565" s="1257"/>
      <c r="B5565" s="1113"/>
      <c r="C5565" s="1107"/>
      <c r="D5565" s="103"/>
      <c r="E5565" s="1137"/>
      <c r="F5565" s="112"/>
      <c r="G5565" s="1110"/>
      <c r="H5565" s="1138"/>
      <c r="I5565" s="1138"/>
      <c r="J5565" s="1139"/>
      <c r="K5565" s="1111"/>
      <c r="L5565" s="1112"/>
      <c r="M5565" s="1113"/>
      <c r="N5565" s="110"/>
      <c r="O5565" s="1140"/>
      <c r="P5565" s="1115"/>
      <c r="Q5565" s="1116"/>
      <c r="R5565" s="1141"/>
      <c r="S5565" s="1113"/>
      <c r="T5565" s="1143"/>
      <c r="U5565" s="1108"/>
      <c r="V5565" s="1108"/>
      <c r="W5565" s="1108"/>
      <c r="X5565" s="1108"/>
      <c r="Y5565" s="1108"/>
      <c r="Z5565" s="1114"/>
      <c r="AA5565" s="1114"/>
      <c r="AB5565" s="1114"/>
      <c r="AC5565" s="1117"/>
      <c r="AD5565" s="1115"/>
      <c r="AE5565" s="1115"/>
      <c r="AF5565" s="1115"/>
      <c r="AG5565" s="1115"/>
      <c r="AH5565" s="1115"/>
      <c r="AI5565" s="1115"/>
      <c r="AJ5565" s="1117"/>
      <c r="AK5565" s="1118"/>
      <c r="AL5565" s="1115"/>
      <c r="AM5565" s="1115"/>
      <c r="AN5565" s="1115"/>
      <c r="AO5565" s="1115"/>
      <c r="AP5565" s="1115"/>
      <c r="AQ5565" s="1115"/>
      <c r="AR5565" s="1115"/>
      <c r="AS5565" s="1117"/>
      <c r="AT5565" s="1075"/>
      <c r="AU5565" s="1193"/>
      <c r="AV5565" s="330"/>
      <c r="AW5565" s="331"/>
      <c r="AX5565" s="331"/>
      <c r="AY5565" s="331"/>
      <c r="AZ5565" s="331"/>
      <c r="BA5565" s="331"/>
      <c r="BB5565" s="331"/>
      <c r="BC5565" s="331"/>
      <c r="BD5565" s="331"/>
      <c r="BE5565" s="333"/>
      <c r="BF5565" s="330"/>
      <c r="BG5565" s="333"/>
      <c r="BH5565" s="1119"/>
      <c r="BI5565" s="319"/>
      <c r="BJ5565" s="319"/>
      <c r="BK5565" s="319"/>
      <c r="BL5565" s="319"/>
      <c r="BM5565" s="319"/>
      <c r="BN5565" s="319"/>
      <c r="BO5565" s="319"/>
      <c r="BP5565" s="953"/>
      <c r="BQ5565" s="319"/>
      <c r="BR5565" s="319"/>
      <c r="BS5565" s="330"/>
      <c r="BT5565" s="331"/>
      <c r="BU5565" s="920"/>
      <c r="BV5565" s="903"/>
      <c r="BW5565" s="908"/>
      <c r="BX5565" s="908"/>
      <c r="BY5565" s="331"/>
      <c r="BZ5565" s="331"/>
      <c r="CA5565" s="462"/>
      <c r="CB5565" s="319"/>
      <c r="CC5565" s="319"/>
      <c r="CD5565" s="319"/>
      <c r="CE5565" s="319"/>
      <c r="CF5565" s="319"/>
      <c r="CG5565" s="319"/>
      <c r="CH5565" s="318"/>
      <c r="CI5565" s="319"/>
      <c r="CJ5565" s="319"/>
      <c r="CK5565" s="342"/>
      <c r="CL5565" s="333"/>
      <c r="CM5565" s="1079"/>
      <c r="CN5565" s="1005"/>
      <c r="CO5565" s="1005"/>
      <c r="CP5565" s="1005"/>
    </row>
    <row r="5566">
      <c r="A5566" s="1257"/>
      <c r="B5566" s="1113"/>
      <c r="C5566" s="1107"/>
      <c r="D5566" s="103"/>
      <c r="E5566" s="1137"/>
      <c r="F5566" s="112"/>
      <c r="G5566" s="1110"/>
      <c r="H5566" s="1138"/>
      <c r="I5566" s="1138"/>
      <c r="J5566" s="1139"/>
      <c r="K5566" s="1111"/>
      <c r="L5566" s="1112"/>
      <c r="M5566" s="1113"/>
      <c r="N5566" s="110"/>
      <c r="O5566" s="1140"/>
      <c r="P5566" s="1115"/>
      <c r="Q5566" s="1116"/>
      <c r="R5566" s="1141"/>
      <c r="S5566" s="1113"/>
      <c r="T5566" s="1143"/>
      <c r="U5566" s="1108"/>
      <c r="V5566" s="1108"/>
      <c r="W5566" s="1108"/>
      <c r="X5566" s="1108"/>
      <c r="Y5566" s="1108"/>
      <c r="Z5566" s="1114"/>
      <c r="AA5566" s="1114"/>
      <c r="AB5566" s="1114"/>
      <c r="AC5566" s="1117"/>
      <c r="AD5566" s="1115"/>
      <c r="AE5566" s="1115"/>
      <c r="AF5566" s="1115"/>
      <c r="AG5566" s="1115"/>
      <c r="AH5566" s="1115"/>
      <c r="AI5566" s="1115"/>
      <c r="AJ5566" s="1117"/>
      <c r="AK5566" s="1118"/>
      <c r="AL5566" s="1115"/>
      <c r="AM5566" s="1115"/>
      <c r="AN5566" s="1115"/>
      <c r="AO5566" s="1115"/>
      <c r="AP5566" s="1115"/>
      <c r="AQ5566" s="1115"/>
      <c r="AR5566" s="1115"/>
      <c r="AS5566" s="1117"/>
      <c r="AT5566" s="1075"/>
      <c r="AU5566" s="1193"/>
      <c r="AV5566" s="330"/>
      <c r="AW5566" s="331"/>
      <c r="AX5566" s="331"/>
      <c r="AY5566" s="331"/>
      <c r="AZ5566" s="331"/>
      <c r="BA5566" s="331"/>
      <c r="BB5566" s="331"/>
      <c r="BC5566" s="331"/>
      <c r="BD5566" s="331"/>
      <c r="BE5566" s="333"/>
      <c r="BF5566" s="330"/>
      <c r="BG5566" s="333"/>
      <c r="BH5566" s="1119"/>
      <c r="BI5566" s="319"/>
      <c r="BJ5566" s="319"/>
      <c r="BK5566" s="319"/>
      <c r="BL5566" s="319"/>
      <c r="BM5566" s="319"/>
      <c r="BN5566" s="319"/>
      <c r="BO5566" s="319"/>
      <c r="BP5566" s="953"/>
      <c r="BQ5566" s="319"/>
      <c r="BR5566" s="319"/>
      <c r="BS5566" s="330"/>
      <c r="BT5566" s="331"/>
      <c r="BU5566" s="920"/>
      <c r="BV5566" s="903"/>
      <c r="BW5566" s="908"/>
      <c r="BX5566" s="908"/>
      <c r="BY5566" s="331"/>
      <c r="BZ5566" s="331"/>
      <c r="CA5566" s="462"/>
      <c r="CB5566" s="319"/>
      <c r="CC5566" s="319"/>
      <c r="CD5566" s="319"/>
      <c r="CE5566" s="319"/>
      <c r="CF5566" s="319"/>
      <c r="CG5566" s="319"/>
      <c r="CH5566" s="318"/>
      <c r="CI5566" s="319"/>
      <c r="CJ5566" s="319"/>
      <c r="CK5566" s="342"/>
      <c r="CL5566" s="333"/>
      <c r="CM5566" s="1079"/>
      <c r="CN5566" s="1005"/>
      <c r="CO5566" s="1005"/>
      <c r="CP5566" s="1005"/>
    </row>
    <row r="5567">
      <c r="A5567" s="1257"/>
      <c r="B5567" s="1113"/>
      <c r="C5567" s="1107"/>
      <c r="D5567" s="103"/>
      <c r="E5567" s="1137"/>
      <c r="F5567" s="112"/>
      <c r="G5567" s="1110"/>
      <c r="H5567" s="1138"/>
      <c r="I5567" s="1138"/>
      <c r="J5567" s="1139"/>
      <c r="K5567" s="1111"/>
      <c r="L5567" s="1112"/>
      <c r="M5567" s="1113"/>
      <c r="N5567" s="110"/>
      <c r="O5567" s="1140"/>
      <c r="P5567" s="1115"/>
      <c r="Q5567" s="1116"/>
      <c r="R5567" s="1141"/>
      <c r="S5567" s="1113"/>
      <c r="T5567" s="1143"/>
      <c r="U5567" s="1108"/>
      <c r="V5567" s="1108"/>
      <c r="W5567" s="1108"/>
      <c r="X5567" s="1108"/>
      <c r="Y5567" s="1108"/>
      <c r="Z5567" s="1114"/>
      <c r="AA5567" s="1114"/>
      <c r="AB5567" s="1114"/>
      <c r="AC5567" s="1117"/>
      <c r="AD5567" s="1115"/>
      <c r="AE5567" s="1115"/>
      <c r="AF5567" s="1115"/>
      <c r="AG5567" s="1115"/>
      <c r="AH5567" s="1115"/>
      <c r="AI5567" s="1115"/>
      <c r="AJ5567" s="1117"/>
      <c r="AK5567" s="1118"/>
      <c r="AL5567" s="1115"/>
      <c r="AM5567" s="1115"/>
      <c r="AN5567" s="1115"/>
      <c r="AO5567" s="1115"/>
      <c r="AP5567" s="1115"/>
      <c r="AQ5567" s="1115"/>
      <c r="AR5567" s="1115"/>
      <c r="AS5567" s="1117"/>
      <c r="AT5567" s="1075"/>
      <c r="AU5567" s="1193"/>
      <c r="AV5567" s="330"/>
      <c r="AW5567" s="331"/>
      <c r="AX5567" s="331"/>
      <c r="AY5567" s="331"/>
      <c r="AZ5567" s="331"/>
      <c r="BA5567" s="331"/>
      <c r="BB5567" s="331"/>
      <c r="BC5567" s="331"/>
      <c r="BD5567" s="331"/>
      <c r="BE5567" s="333"/>
      <c r="BF5567" s="330"/>
      <c r="BG5567" s="333"/>
      <c r="BH5567" s="1119"/>
      <c r="BI5567" s="319"/>
      <c r="BJ5567" s="319"/>
      <c r="BK5567" s="319"/>
      <c r="BL5567" s="319"/>
      <c r="BM5567" s="319"/>
      <c r="BN5567" s="319"/>
      <c r="BO5567" s="319"/>
      <c r="BP5567" s="953"/>
      <c r="BQ5567" s="319"/>
      <c r="BR5567" s="319"/>
      <c r="BS5567" s="330"/>
      <c r="BT5567" s="331"/>
      <c r="BU5567" s="920"/>
      <c r="BV5567" s="903"/>
      <c r="BW5567" s="908"/>
      <c r="BX5567" s="908"/>
      <c r="BY5567" s="331"/>
      <c r="BZ5567" s="331"/>
      <c r="CA5567" s="462"/>
      <c r="CB5567" s="319"/>
      <c r="CC5567" s="319"/>
      <c r="CD5567" s="319"/>
      <c r="CE5567" s="319"/>
      <c r="CF5567" s="319"/>
      <c r="CG5567" s="319"/>
      <c r="CH5567" s="318"/>
      <c r="CI5567" s="319"/>
      <c r="CJ5567" s="319"/>
      <c r="CK5567" s="342"/>
      <c r="CL5567" s="333"/>
      <c r="CM5567" s="1079"/>
      <c r="CN5567" s="1005"/>
      <c r="CO5567" s="1005"/>
      <c r="CP5567" s="1005"/>
    </row>
    <row r="5568">
      <c r="A5568" s="1257"/>
      <c r="B5568" s="1113"/>
      <c r="C5568" s="1107"/>
      <c r="D5568" s="103"/>
      <c r="E5568" s="1137"/>
      <c r="F5568" s="112"/>
      <c r="G5568" s="1110"/>
      <c r="H5568" s="1138"/>
      <c r="I5568" s="1138"/>
      <c r="J5568" s="1139"/>
      <c r="K5568" s="1111"/>
      <c r="L5568" s="1112"/>
      <c r="M5568" s="1113"/>
      <c r="N5568" s="110"/>
      <c r="O5568" s="1140"/>
      <c r="P5568" s="1115"/>
      <c r="Q5568" s="1116"/>
      <c r="R5568" s="1141"/>
      <c r="S5568" s="1113"/>
      <c r="T5568" s="1143"/>
      <c r="U5568" s="1108"/>
      <c r="V5568" s="1108"/>
      <c r="W5568" s="1108"/>
      <c r="X5568" s="1108"/>
      <c r="Y5568" s="1108"/>
      <c r="Z5568" s="1114"/>
      <c r="AA5568" s="1114"/>
      <c r="AB5568" s="1114"/>
      <c r="AC5568" s="1117"/>
      <c r="AD5568" s="1115"/>
      <c r="AE5568" s="1115"/>
      <c r="AF5568" s="1115"/>
      <c r="AG5568" s="1115"/>
      <c r="AH5568" s="1115"/>
      <c r="AI5568" s="1115"/>
      <c r="AJ5568" s="1117"/>
      <c r="AK5568" s="1118"/>
      <c r="AL5568" s="1115"/>
      <c r="AM5568" s="1115"/>
      <c r="AN5568" s="1115"/>
      <c r="AO5568" s="1115"/>
      <c r="AP5568" s="1115"/>
      <c r="AQ5568" s="1115"/>
      <c r="AR5568" s="1115"/>
      <c r="AS5568" s="1117"/>
      <c r="AT5568" s="1075"/>
      <c r="AU5568" s="1193"/>
      <c r="AV5568" s="330"/>
      <c r="AW5568" s="331"/>
      <c r="AX5568" s="331"/>
      <c r="AY5568" s="331"/>
      <c r="AZ5568" s="331"/>
      <c r="BA5568" s="331"/>
      <c r="BB5568" s="331"/>
      <c r="BC5568" s="331"/>
      <c r="BD5568" s="331"/>
      <c r="BE5568" s="333"/>
      <c r="BF5568" s="330"/>
      <c r="BG5568" s="333"/>
      <c r="BH5568" s="1119"/>
      <c r="BI5568" s="319"/>
      <c r="BJ5568" s="319"/>
      <c r="BK5568" s="319"/>
      <c r="BL5568" s="319"/>
      <c r="BM5568" s="319"/>
      <c r="BN5568" s="319"/>
      <c r="BO5568" s="319"/>
      <c r="BP5568" s="953"/>
      <c r="BQ5568" s="319"/>
      <c r="BR5568" s="319"/>
      <c r="BS5568" s="330"/>
      <c r="BT5568" s="331"/>
      <c r="BU5568" s="920"/>
      <c r="BV5568" s="903"/>
      <c r="BW5568" s="908"/>
      <c r="BX5568" s="908"/>
      <c r="BY5568" s="331"/>
      <c r="BZ5568" s="331"/>
      <c r="CA5568" s="462"/>
      <c r="CB5568" s="319"/>
      <c r="CC5568" s="319"/>
      <c r="CD5568" s="319"/>
      <c r="CE5568" s="319"/>
      <c r="CF5568" s="319"/>
      <c r="CG5568" s="319"/>
      <c r="CH5568" s="318"/>
      <c r="CI5568" s="319"/>
      <c r="CJ5568" s="319"/>
      <c r="CK5568" s="342"/>
      <c r="CL5568" s="333"/>
      <c r="CM5568" s="1079"/>
      <c r="CN5568" s="1005"/>
      <c r="CO5568" s="1005"/>
      <c r="CP5568" s="1005"/>
    </row>
    <row r="5569">
      <c r="A5569" s="1257"/>
      <c r="B5569" s="1113"/>
      <c r="C5569" s="1107"/>
      <c r="D5569" s="103"/>
      <c r="E5569" s="1137"/>
      <c r="F5569" s="112"/>
      <c r="G5569" s="1110"/>
      <c r="H5569" s="1138"/>
      <c r="I5569" s="1138"/>
      <c r="J5569" s="1139"/>
      <c r="K5569" s="1111"/>
      <c r="L5569" s="1112"/>
      <c r="M5569" s="1113"/>
      <c r="N5569" s="110"/>
      <c r="O5569" s="1140"/>
      <c r="P5569" s="1115"/>
      <c r="Q5569" s="1116"/>
      <c r="R5569" s="1141"/>
      <c r="S5569" s="1113"/>
      <c r="T5569" s="1143"/>
      <c r="U5569" s="1108"/>
      <c r="V5569" s="1108"/>
      <c r="W5569" s="1108"/>
      <c r="X5569" s="1108"/>
      <c r="Y5569" s="1108"/>
      <c r="Z5569" s="1114"/>
      <c r="AA5569" s="1114"/>
      <c r="AB5569" s="1114"/>
      <c r="AC5569" s="1117"/>
      <c r="AD5569" s="1115"/>
      <c r="AE5569" s="1115"/>
      <c r="AF5569" s="1115"/>
      <c r="AG5569" s="1115"/>
      <c r="AH5569" s="1115"/>
      <c r="AI5569" s="1115"/>
      <c r="AJ5569" s="1117"/>
      <c r="AK5569" s="1118"/>
      <c r="AL5569" s="1115"/>
      <c r="AM5569" s="1115"/>
      <c r="AN5569" s="1115"/>
      <c r="AO5569" s="1115"/>
      <c r="AP5569" s="1115"/>
      <c r="AQ5569" s="1115"/>
      <c r="AR5569" s="1115"/>
      <c r="AS5569" s="1117"/>
      <c r="AT5569" s="1075"/>
      <c r="AU5569" s="1193"/>
      <c r="AV5569" s="330"/>
      <c r="AW5569" s="331"/>
      <c r="AX5569" s="331"/>
      <c r="AY5569" s="331"/>
      <c r="AZ5569" s="331"/>
      <c r="BA5569" s="331"/>
      <c r="BB5569" s="331"/>
      <c r="BC5569" s="331"/>
      <c r="BD5569" s="331"/>
      <c r="BE5569" s="333"/>
      <c r="BF5569" s="330"/>
      <c r="BG5569" s="333"/>
      <c r="BH5569" s="1119"/>
      <c r="BI5569" s="319"/>
      <c r="BJ5569" s="319"/>
      <c r="BK5569" s="319"/>
      <c r="BL5569" s="319"/>
      <c r="BM5569" s="319"/>
      <c r="BN5569" s="319"/>
      <c r="BO5569" s="319"/>
      <c r="BP5569" s="953"/>
      <c r="BQ5569" s="319"/>
      <c r="BR5569" s="319"/>
      <c r="BS5569" s="330"/>
      <c r="BT5569" s="331"/>
      <c r="BU5569" s="920"/>
      <c r="BV5569" s="903"/>
      <c r="BW5569" s="908"/>
      <c r="BX5569" s="908"/>
      <c r="BY5569" s="331"/>
      <c r="BZ5569" s="331"/>
      <c r="CA5569" s="462"/>
      <c r="CB5569" s="319"/>
      <c r="CC5569" s="319"/>
      <c r="CD5569" s="319"/>
      <c r="CE5569" s="319"/>
      <c r="CF5569" s="319"/>
      <c r="CG5569" s="319"/>
      <c r="CH5569" s="318"/>
      <c r="CI5569" s="319"/>
      <c r="CJ5569" s="319"/>
      <c r="CK5569" s="342"/>
      <c r="CL5569" s="333"/>
      <c r="CM5569" s="1079"/>
      <c r="CN5569" s="1005"/>
      <c r="CO5569" s="1005"/>
      <c r="CP5569" s="1005"/>
    </row>
    <row r="5570">
      <c r="A5570" s="1257"/>
      <c r="B5570" s="1113"/>
      <c r="C5570" s="1107"/>
      <c r="D5570" s="103"/>
      <c r="E5570" s="1137"/>
      <c r="F5570" s="112"/>
      <c r="G5570" s="1110"/>
      <c r="H5570" s="1138"/>
      <c r="I5570" s="1138"/>
      <c r="J5570" s="1139"/>
      <c r="K5570" s="1111"/>
      <c r="L5570" s="1112"/>
      <c r="M5570" s="1113"/>
      <c r="N5570" s="110"/>
      <c r="O5570" s="1140"/>
      <c r="P5570" s="1115"/>
      <c r="Q5570" s="1116"/>
      <c r="R5570" s="1141"/>
      <c r="S5570" s="1113"/>
      <c r="T5570" s="1143"/>
      <c r="U5570" s="1108"/>
      <c r="V5570" s="1108"/>
      <c r="W5570" s="1108"/>
      <c r="X5570" s="1108"/>
      <c r="Y5570" s="1108"/>
      <c r="Z5570" s="1114"/>
      <c r="AA5570" s="1114"/>
      <c r="AB5570" s="1114"/>
      <c r="AC5570" s="1117"/>
      <c r="AD5570" s="1115"/>
      <c r="AE5570" s="1115"/>
      <c r="AF5570" s="1115"/>
      <c r="AG5570" s="1115"/>
      <c r="AH5570" s="1115"/>
      <c r="AI5570" s="1115"/>
      <c r="AJ5570" s="1117"/>
      <c r="AK5570" s="1118"/>
      <c r="AL5570" s="1115"/>
      <c r="AM5570" s="1115"/>
      <c r="AN5570" s="1115"/>
      <c r="AO5570" s="1115"/>
      <c r="AP5570" s="1115"/>
      <c r="AQ5570" s="1115"/>
      <c r="AR5570" s="1115"/>
      <c r="AS5570" s="1117"/>
      <c r="AT5570" s="1075"/>
      <c r="AU5570" s="1193"/>
      <c r="AV5570" s="330"/>
      <c r="AW5570" s="331"/>
      <c r="AX5570" s="331"/>
      <c r="AY5570" s="331"/>
      <c r="AZ5570" s="331"/>
      <c r="BA5570" s="331"/>
      <c r="BB5570" s="331"/>
      <c r="BC5570" s="331"/>
      <c r="BD5570" s="331"/>
      <c r="BE5570" s="333"/>
      <c r="BF5570" s="330"/>
      <c r="BG5570" s="333"/>
      <c r="BH5570" s="1119"/>
      <c r="BI5570" s="319"/>
      <c r="BJ5570" s="319"/>
      <c r="BK5570" s="319"/>
      <c r="BL5570" s="319"/>
      <c r="BM5570" s="319"/>
      <c r="BN5570" s="319"/>
      <c r="BO5570" s="319"/>
      <c r="BP5570" s="953"/>
      <c r="BQ5570" s="319"/>
      <c r="BR5570" s="319"/>
      <c r="BS5570" s="330"/>
      <c r="BT5570" s="331"/>
      <c r="BU5570" s="920"/>
      <c r="BV5570" s="903"/>
      <c r="BW5570" s="908"/>
      <c r="BX5570" s="908"/>
      <c r="BY5570" s="331"/>
      <c r="BZ5570" s="331"/>
      <c r="CA5570" s="462"/>
      <c r="CB5570" s="319"/>
      <c r="CC5570" s="319"/>
      <c r="CD5570" s="319"/>
      <c r="CE5570" s="319"/>
      <c r="CF5570" s="319"/>
      <c r="CG5570" s="319"/>
      <c r="CH5570" s="318"/>
      <c r="CI5570" s="319"/>
      <c r="CJ5570" s="319"/>
      <c r="CK5570" s="342"/>
      <c r="CL5570" s="333"/>
      <c r="CM5570" s="1079"/>
      <c r="CN5570" s="1005"/>
      <c r="CO5570" s="1005"/>
      <c r="CP5570" s="1005"/>
    </row>
    <row r="5571">
      <c r="A5571" s="1257"/>
      <c r="B5571" s="1113"/>
      <c r="C5571" s="1107"/>
      <c r="D5571" s="103"/>
      <c r="E5571" s="1137"/>
      <c r="F5571" s="112"/>
      <c r="G5571" s="1110"/>
      <c r="H5571" s="1138"/>
      <c r="I5571" s="1138"/>
      <c r="J5571" s="1139"/>
      <c r="K5571" s="1111"/>
      <c r="L5571" s="1112"/>
      <c r="M5571" s="1113"/>
      <c r="N5571" s="110"/>
      <c r="O5571" s="1140"/>
      <c r="P5571" s="1115"/>
      <c r="Q5571" s="1116"/>
      <c r="R5571" s="1141"/>
      <c r="S5571" s="1113"/>
      <c r="T5571" s="1143"/>
      <c r="U5571" s="1108"/>
      <c r="V5571" s="1108"/>
      <c r="W5571" s="1108"/>
      <c r="X5571" s="1108"/>
      <c r="Y5571" s="1108"/>
      <c r="Z5571" s="1114"/>
      <c r="AA5571" s="1114"/>
      <c r="AB5571" s="1114"/>
      <c r="AC5571" s="1117"/>
      <c r="AD5571" s="1115"/>
      <c r="AE5571" s="1115"/>
      <c r="AF5571" s="1115"/>
      <c r="AG5571" s="1115"/>
      <c r="AH5571" s="1115"/>
      <c r="AI5571" s="1115"/>
      <c r="AJ5571" s="1117"/>
      <c r="AK5571" s="1118"/>
      <c r="AL5571" s="1115"/>
      <c r="AM5571" s="1115"/>
      <c r="AN5571" s="1115"/>
      <c r="AO5571" s="1115"/>
      <c r="AP5571" s="1115"/>
      <c r="AQ5571" s="1115"/>
      <c r="AR5571" s="1115"/>
      <c r="AS5571" s="1117"/>
      <c r="AT5571" s="1075"/>
      <c r="AU5571" s="1193"/>
      <c r="AV5571" s="330"/>
      <c r="AW5571" s="331"/>
      <c r="AX5571" s="331"/>
      <c r="AY5571" s="331"/>
      <c r="AZ5571" s="331"/>
      <c r="BA5571" s="331"/>
      <c r="BB5571" s="331"/>
      <c r="BC5571" s="331"/>
      <c r="BD5571" s="331"/>
      <c r="BE5571" s="333"/>
      <c r="BF5571" s="330"/>
      <c r="BG5571" s="333"/>
      <c r="BH5571" s="1119"/>
      <c r="BI5571" s="319"/>
      <c r="BJ5571" s="319"/>
      <c r="BK5571" s="319"/>
      <c r="BL5571" s="319"/>
      <c r="BM5571" s="319"/>
      <c r="BN5571" s="319"/>
      <c r="BO5571" s="319"/>
      <c r="BP5571" s="953"/>
      <c r="BQ5571" s="319"/>
      <c r="BR5571" s="319"/>
      <c r="BS5571" s="330"/>
      <c r="BT5571" s="331"/>
      <c r="BU5571" s="920"/>
      <c r="BV5571" s="903"/>
      <c r="BW5571" s="908"/>
      <c r="BX5571" s="908"/>
      <c r="BY5571" s="331"/>
      <c r="BZ5571" s="331"/>
      <c r="CA5571" s="462"/>
      <c r="CB5571" s="319"/>
      <c r="CC5571" s="319"/>
      <c r="CD5571" s="319"/>
      <c r="CE5571" s="319"/>
      <c r="CF5571" s="319"/>
      <c r="CG5571" s="319"/>
      <c r="CH5571" s="318"/>
      <c r="CI5571" s="319"/>
      <c r="CJ5571" s="319"/>
      <c r="CK5571" s="342"/>
      <c r="CL5571" s="333"/>
      <c r="CM5571" s="1079"/>
      <c r="CN5571" s="1005"/>
      <c r="CO5571" s="1005"/>
      <c r="CP5571" s="1005"/>
    </row>
    <row r="5572">
      <c r="A5572" s="1257"/>
      <c r="B5572" s="1113"/>
      <c r="C5572" s="1107"/>
      <c r="D5572" s="103"/>
      <c r="E5572" s="1137"/>
      <c r="F5572" s="112"/>
      <c r="G5572" s="1110"/>
      <c r="H5572" s="1138"/>
      <c r="I5572" s="1138"/>
      <c r="J5572" s="1139"/>
      <c r="K5572" s="1111"/>
      <c r="L5572" s="1112"/>
      <c r="M5572" s="1113"/>
      <c r="N5572" s="110"/>
      <c r="O5572" s="1140"/>
      <c r="P5572" s="1115"/>
      <c r="Q5572" s="1116"/>
      <c r="R5572" s="1141"/>
      <c r="S5572" s="1113"/>
      <c r="T5572" s="1143"/>
      <c r="U5572" s="1108"/>
      <c r="V5572" s="1108"/>
      <c r="W5572" s="1108"/>
      <c r="X5572" s="1108"/>
      <c r="Y5572" s="1108"/>
      <c r="Z5572" s="1114"/>
      <c r="AA5572" s="1114"/>
      <c r="AB5572" s="1114"/>
      <c r="AC5572" s="1117"/>
      <c r="AD5572" s="1115"/>
      <c r="AE5572" s="1115"/>
      <c r="AF5572" s="1115"/>
      <c r="AG5572" s="1115"/>
      <c r="AH5572" s="1115"/>
      <c r="AI5572" s="1115"/>
      <c r="AJ5572" s="1117"/>
      <c r="AK5572" s="1118"/>
      <c r="AL5572" s="1115"/>
      <c r="AM5572" s="1115"/>
      <c r="AN5572" s="1115"/>
      <c r="AO5572" s="1115"/>
      <c r="AP5572" s="1115"/>
      <c r="AQ5572" s="1115"/>
      <c r="AR5572" s="1115"/>
      <c r="AS5572" s="1117"/>
      <c r="AT5572" s="1075"/>
      <c r="AU5572" s="1193"/>
      <c r="AV5572" s="330"/>
      <c r="AW5572" s="331"/>
      <c r="AX5572" s="331"/>
      <c r="AY5572" s="331"/>
      <c r="AZ5572" s="331"/>
      <c r="BA5572" s="331"/>
      <c r="BB5572" s="331"/>
      <c r="BC5572" s="331"/>
      <c r="BD5572" s="331"/>
      <c r="BE5572" s="333"/>
      <c r="BF5572" s="330"/>
      <c r="BG5572" s="333"/>
      <c r="BH5572" s="1119"/>
      <c r="BI5572" s="319"/>
      <c r="BJ5572" s="319"/>
      <c r="BK5572" s="319"/>
      <c r="BL5572" s="319"/>
      <c r="BM5572" s="319"/>
      <c r="BN5572" s="319"/>
      <c r="BO5572" s="319"/>
      <c r="BP5572" s="953"/>
      <c r="BQ5572" s="319"/>
      <c r="BR5572" s="319"/>
      <c r="BS5572" s="330"/>
      <c r="BT5572" s="331"/>
      <c r="BU5572" s="920"/>
      <c r="BV5572" s="903"/>
      <c r="BW5572" s="908"/>
      <c r="BX5572" s="908"/>
      <c r="BY5572" s="331"/>
      <c r="BZ5572" s="331"/>
      <c r="CA5572" s="462"/>
      <c r="CB5572" s="319"/>
      <c r="CC5572" s="319"/>
      <c r="CD5572" s="319"/>
      <c r="CE5572" s="319"/>
      <c r="CF5572" s="319"/>
      <c r="CG5572" s="319"/>
      <c r="CH5572" s="318"/>
      <c r="CI5572" s="319"/>
      <c r="CJ5572" s="319"/>
      <c r="CK5572" s="342"/>
      <c r="CL5572" s="333"/>
      <c r="CM5572" s="1079"/>
      <c r="CN5572" s="1005"/>
      <c r="CO5572" s="1005"/>
      <c r="CP5572" s="1005"/>
    </row>
    <row r="5573">
      <c r="A5573" s="1257"/>
      <c r="B5573" s="1113"/>
      <c r="C5573" s="1107"/>
      <c r="D5573" s="103"/>
      <c r="E5573" s="1137"/>
      <c r="F5573" s="112"/>
      <c r="G5573" s="1110"/>
      <c r="H5573" s="1138"/>
      <c r="I5573" s="1138"/>
      <c r="J5573" s="1139"/>
      <c r="K5573" s="1111"/>
      <c r="L5573" s="1112"/>
      <c r="M5573" s="1113"/>
      <c r="N5573" s="110"/>
      <c r="O5573" s="1140"/>
      <c r="P5573" s="1115"/>
      <c r="Q5573" s="1116"/>
      <c r="R5573" s="1141"/>
      <c r="S5573" s="1113"/>
      <c r="T5573" s="1143"/>
      <c r="U5573" s="1108"/>
      <c r="V5573" s="1108"/>
      <c r="W5573" s="1108"/>
      <c r="X5573" s="1108"/>
      <c r="Y5573" s="1108"/>
      <c r="Z5573" s="1114"/>
      <c r="AA5573" s="1114"/>
      <c r="AB5573" s="1114"/>
      <c r="AC5573" s="1117"/>
      <c r="AD5573" s="1115"/>
      <c r="AE5573" s="1115"/>
      <c r="AF5573" s="1115"/>
      <c r="AG5573" s="1115"/>
      <c r="AH5573" s="1115"/>
      <c r="AI5573" s="1115"/>
      <c r="AJ5573" s="1117"/>
      <c r="AK5573" s="1118"/>
      <c r="AL5573" s="1115"/>
      <c r="AM5573" s="1115"/>
      <c r="AN5573" s="1115"/>
      <c r="AO5573" s="1115"/>
      <c r="AP5573" s="1115"/>
      <c r="AQ5573" s="1115"/>
      <c r="AR5573" s="1115"/>
      <c r="AS5573" s="1117"/>
      <c r="AT5573" s="1075"/>
      <c r="AU5573" s="1193"/>
      <c r="AV5573" s="330"/>
      <c r="AW5573" s="331"/>
      <c r="AX5573" s="331"/>
      <c r="AY5573" s="331"/>
      <c r="AZ5573" s="331"/>
      <c r="BA5573" s="331"/>
      <c r="BB5573" s="331"/>
      <c r="BC5573" s="331"/>
      <c r="BD5573" s="331"/>
      <c r="BE5573" s="333"/>
      <c r="BF5573" s="330"/>
      <c r="BG5573" s="333"/>
      <c r="BH5573" s="1119"/>
      <c r="BI5573" s="319"/>
      <c r="BJ5573" s="319"/>
      <c r="BK5573" s="319"/>
      <c r="BL5573" s="319"/>
      <c r="BM5573" s="319"/>
      <c r="BN5573" s="319"/>
      <c r="BO5573" s="319"/>
      <c r="BP5573" s="953"/>
      <c r="BQ5573" s="319"/>
      <c r="BR5573" s="319"/>
      <c r="BS5573" s="330"/>
      <c r="BT5573" s="331"/>
      <c r="BU5573" s="920"/>
      <c r="BV5573" s="903"/>
      <c r="BW5573" s="908"/>
      <c r="BX5573" s="908"/>
      <c r="BY5573" s="331"/>
      <c r="BZ5573" s="331"/>
      <c r="CA5573" s="462"/>
      <c r="CB5573" s="319"/>
      <c r="CC5573" s="319"/>
      <c r="CD5573" s="319"/>
      <c r="CE5573" s="319"/>
      <c r="CF5573" s="319"/>
      <c r="CG5573" s="319"/>
      <c r="CH5573" s="318"/>
      <c r="CI5573" s="319"/>
      <c r="CJ5573" s="319"/>
      <c r="CK5573" s="342"/>
      <c r="CL5573" s="333"/>
      <c r="CM5573" s="1079"/>
      <c r="CN5573" s="1005"/>
      <c r="CO5573" s="1005"/>
      <c r="CP5573" s="1005"/>
    </row>
    <row r="5574">
      <c r="A5574" s="1257"/>
      <c r="B5574" s="1113"/>
      <c r="C5574" s="1107"/>
      <c r="D5574" s="103"/>
      <c r="E5574" s="1137"/>
      <c r="F5574" s="112"/>
      <c r="G5574" s="1110"/>
      <c r="H5574" s="1138"/>
      <c r="I5574" s="1138"/>
      <c r="J5574" s="1139"/>
      <c r="K5574" s="1111"/>
      <c r="L5574" s="1112"/>
      <c r="M5574" s="1113"/>
      <c r="N5574" s="110"/>
      <c r="O5574" s="1140"/>
      <c r="P5574" s="1115"/>
      <c r="Q5574" s="1116"/>
      <c r="R5574" s="1141"/>
      <c r="S5574" s="1113"/>
      <c r="T5574" s="1143"/>
      <c r="U5574" s="1108"/>
      <c r="V5574" s="1108"/>
      <c r="W5574" s="1108"/>
      <c r="X5574" s="1108"/>
      <c r="Y5574" s="1108"/>
      <c r="Z5574" s="1114"/>
      <c r="AA5574" s="1114"/>
      <c r="AB5574" s="1114"/>
      <c r="AC5574" s="1117"/>
      <c r="AD5574" s="1115"/>
      <c r="AE5574" s="1115"/>
      <c r="AF5574" s="1115"/>
      <c r="AG5574" s="1115"/>
      <c r="AH5574" s="1115"/>
      <c r="AI5574" s="1115"/>
      <c r="AJ5574" s="1117"/>
      <c r="AK5574" s="1118"/>
      <c r="AL5574" s="1115"/>
      <c r="AM5574" s="1115"/>
      <c r="AN5574" s="1115"/>
      <c r="AO5574" s="1115"/>
      <c r="AP5574" s="1115"/>
      <c r="AQ5574" s="1115"/>
      <c r="AR5574" s="1115"/>
      <c r="AS5574" s="1117"/>
      <c r="AT5574" s="1075"/>
      <c r="AU5574" s="1193"/>
      <c r="AV5574" s="330"/>
      <c r="AW5574" s="331"/>
      <c r="AX5574" s="331"/>
      <c r="AY5574" s="331"/>
      <c r="AZ5574" s="331"/>
      <c r="BA5574" s="331"/>
      <c r="BB5574" s="331"/>
      <c r="BC5574" s="331"/>
      <c r="BD5574" s="331"/>
      <c r="BE5574" s="333"/>
      <c r="BF5574" s="330"/>
      <c r="BG5574" s="333"/>
      <c r="BH5574" s="1119"/>
      <c r="BI5574" s="319"/>
      <c r="BJ5574" s="319"/>
      <c r="BK5574" s="319"/>
      <c r="BL5574" s="319"/>
      <c r="BM5574" s="319"/>
      <c r="BN5574" s="319"/>
      <c r="BO5574" s="319"/>
      <c r="BP5574" s="953"/>
      <c r="BQ5574" s="319"/>
      <c r="BR5574" s="319"/>
      <c r="BS5574" s="330"/>
      <c r="BT5574" s="331"/>
      <c r="BU5574" s="920"/>
      <c r="BV5574" s="903"/>
      <c r="BW5574" s="908"/>
      <c r="BX5574" s="908"/>
      <c r="BY5574" s="331"/>
      <c r="BZ5574" s="331"/>
      <c r="CA5574" s="462"/>
      <c r="CB5574" s="319"/>
      <c r="CC5574" s="319"/>
      <c r="CD5574" s="319"/>
      <c r="CE5574" s="319"/>
      <c r="CF5574" s="319"/>
      <c r="CG5574" s="319"/>
      <c r="CH5574" s="318"/>
      <c r="CI5574" s="319"/>
      <c r="CJ5574" s="319"/>
      <c r="CK5574" s="342"/>
      <c r="CL5574" s="333"/>
      <c r="CM5574" s="1079"/>
      <c r="CN5574" s="1005"/>
      <c r="CO5574" s="1005"/>
      <c r="CP5574" s="1005"/>
    </row>
    <row r="5575">
      <c r="A5575" s="1257"/>
      <c r="B5575" s="1113"/>
      <c r="C5575" s="1107"/>
      <c r="D5575" s="103"/>
      <c r="E5575" s="1137"/>
      <c r="F5575" s="112"/>
      <c r="G5575" s="1110"/>
      <c r="H5575" s="1138"/>
      <c r="I5575" s="1138"/>
      <c r="J5575" s="1139"/>
      <c r="K5575" s="1111"/>
      <c r="L5575" s="1112"/>
      <c r="M5575" s="1113"/>
      <c r="N5575" s="110"/>
      <c r="O5575" s="1140"/>
      <c r="P5575" s="1115"/>
      <c r="Q5575" s="1116"/>
      <c r="R5575" s="1141"/>
      <c r="S5575" s="1113"/>
      <c r="T5575" s="1143"/>
      <c r="U5575" s="1108"/>
      <c r="V5575" s="1108"/>
      <c r="W5575" s="1108"/>
      <c r="X5575" s="1108"/>
      <c r="Y5575" s="1108"/>
      <c r="Z5575" s="1114"/>
      <c r="AA5575" s="1114"/>
      <c r="AB5575" s="1114"/>
      <c r="AC5575" s="1117"/>
      <c r="AD5575" s="1115"/>
      <c r="AE5575" s="1115"/>
      <c r="AF5575" s="1115"/>
      <c r="AG5575" s="1115"/>
      <c r="AH5575" s="1115"/>
      <c r="AI5575" s="1115"/>
      <c r="AJ5575" s="1117"/>
      <c r="AK5575" s="1118"/>
      <c r="AL5575" s="1115"/>
      <c r="AM5575" s="1115"/>
      <c r="AN5575" s="1115"/>
      <c r="AO5575" s="1115"/>
      <c r="AP5575" s="1115"/>
      <c r="AQ5575" s="1115"/>
      <c r="AR5575" s="1115"/>
      <c r="AS5575" s="1117"/>
      <c r="AT5575" s="1075"/>
      <c r="AU5575" s="1193"/>
      <c r="AV5575" s="330"/>
      <c r="AW5575" s="331"/>
      <c r="AX5575" s="331"/>
      <c r="AY5575" s="331"/>
      <c r="AZ5575" s="331"/>
      <c r="BA5575" s="331"/>
      <c r="BB5575" s="331"/>
      <c r="BC5575" s="331"/>
      <c r="BD5575" s="331"/>
      <c r="BE5575" s="333"/>
      <c r="BF5575" s="330"/>
      <c r="BG5575" s="333"/>
      <c r="BH5575" s="1119"/>
      <c r="BI5575" s="319"/>
      <c r="BJ5575" s="319"/>
      <c r="BK5575" s="319"/>
      <c r="BL5575" s="319"/>
      <c r="BM5575" s="319"/>
      <c r="BN5575" s="319"/>
      <c r="BO5575" s="319"/>
      <c r="BP5575" s="953"/>
      <c r="BQ5575" s="319"/>
      <c r="BR5575" s="319"/>
      <c r="BS5575" s="330"/>
      <c r="BT5575" s="331"/>
      <c r="BU5575" s="920"/>
      <c r="BV5575" s="903"/>
      <c r="BW5575" s="908"/>
      <c r="BX5575" s="908"/>
      <c r="BY5575" s="331"/>
      <c r="BZ5575" s="331"/>
      <c r="CA5575" s="462"/>
      <c r="CB5575" s="319"/>
      <c r="CC5575" s="319"/>
      <c r="CD5575" s="319"/>
      <c r="CE5575" s="319"/>
      <c r="CF5575" s="319"/>
      <c r="CG5575" s="319"/>
      <c r="CH5575" s="318"/>
      <c r="CI5575" s="319"/>
      <c r="CJ5575" s="319"/>
      <c r="CK5575" s="342"/>
      <c r="CL5575" s="333"/>
      <c r="CM5575" s="1079"/>
      <c r="CN5575" s="1005"/>
      <c r="CO5575" s="1005"/>
      <c r="CP5575" s="1005"/>
    </row>
    <row r="5576">
      <c r="A5576" s="1257"/>
      <c r="B5576" s="1113"/>
      <c r="C5576" s="1107"/>
      <c r="D5576" s="103"/>
      <c r="E5576" s="1137"/>
      <c r="F5576" s="112"/>
      <c r="G5576" s="1110"/>
      <c r="H5576" s="1138"/>
      <c r="I5576" s="1138"/>
      <c r="J5576" s="1139"/>
      <c r="K5576" s="1111"/>
      <c r="L5576" s="1112"/>
      <c r="M5576" s="1113"/>
      <c r="N5576" s="110"/>
      <c r="O5576" s="1140"/>
      <c r="P5576" s="1115"/>
      <c r="Q5576" s="1116"/>
      <c r="R5576" s="1141"/>
      <c r="S5576" s="1113"/>
      <c r="T5576" s="1143"/>
      <c r="U5576" s="1108"/>
      <c r="V5576" s="1108"/>
      <c r="W5576" s="1108"/>
      <c r="X5576" s="1108"/>
      <c r="Y5576" s="1108"/>
      <c r="Z5576" s="1114"/>
      <c r="AA5576" s="1114"/>
      <c r="AB5576" s="1114"/>
      <c r="AC5576" s="1117"/>
      <c r="AD5576" s="1115"/>
      <c r="AE5576" s="1115"/>
      <c r="AF5576" s="1115"/>
      <c r="AG5576" s="1115"/>
      <c r="AH5576" s="1115"/>
      <c r="AI5576" s="1115"/>
      <c r="AJ5576" s="1117"/>
      <c r="AK5576" s="1118"/>
      <c r="AL5576" s="1115"/>
      <c r="AM5576" s="1115"/>
      <c r="AN5576" s="1115"/>
      <c r="AO5576" s="1115"/>
      <c r="AP5576" s="1115"/>
      <c r="AQ5576" s="1115"/>
      <c r="AR5576" s="1115"/>
      <c r="AS5576" s="1117"/>
      <c r="AT5576" s="1075"/>
      <c r="AU5576" s="1193"/>
      <c r="AV5576" s="330"/>
      <c r="AW5576" s="331"/>
      <c r="AX5576" s="331"/>
      <c r="AY5576" s="331"/>
      <c r="AZ5576" s="331"/>
      <c r="BA5576" s="331"/>
      <c r="BB5576" s="331"/>
      <c r="BC5576" s="331"/>
      <c r="BD5576" s="331"/>
      <c r="BE5576" s="333"/>
      <c r="BF5576" s="330"/>
      <c r="BG5576" s="333"/>
      <c r="BH5576" s="1119"/>
      <c r="BI5576" s="319"/>
      <c r="BJ5576" s="319"/>
      <c r="BK5576" s="319"/>
      <c r="BL5576" s="319"/>
      <c r="BM5576" s="319"/>
      <c r="BN5576" s="319"/>
      <c r="BO5576" s="319"/>
      <c r="BP5576" s="953"/>
      <c r="BQ5576" s="319"/>
      <c r="BR5576" s="319"/>
      <c r="BS5576" s="330"/>
      <c r="BT5576" s="331"/>
      <c r="BU5576" s="920"/>
      <c r="BV5576" s="903"/>
      <c r="BW5576" s="908"/>
      <c r="BX5576" s="908"/>
      <c r="BY5576" s="331"/>
      <c r="BZ5576" s="331"/>
      <c r="CA5576" s="462"/>
      <c r="CB5576" s="319"/>
      <c r="CC5576" s="319"/>
      <c r="CD5576" s="319"/>
      <c r="CE5576" s="319"/>
      <c r="CF5576" s="319"/>
      <c r="CG5576" s="319"/>
      <c r="CH5576" s="318"/>
      <c r="CI5576" s="319"/>
      <c r="CJ5576" s="319"/>
      <c r="CK5576" s="342"/>
      <c r="CL5576" s="333"/>
      <c r="CM5576" s="1079"/>
      <c r="CN5576" s="1005"/>
      <c r="CO5576" s="1005"/>
      <c r="CP5576" s="1005"/>
    </row>
    <row r="5577">
      <c r="A5577" s="1257"/>
      <c r="B5577" s="1113"/>
      <c r="C5577" s="1107"/>
      <c r="D5577" s="103"/>
      <c r="E5577" s="1137"/>
      <c r="F5577" s="112"/>
      <c r="G5577" s="1110"/>
      <c r="H5577" s="1138"/>
      <c r="I5577" s="1138"/>
      <c r="J5577" s="1139"/>
      <c r="K5577" s="1111"/>
      <c r="L5577" s="1112"/>
      <c r="M5577" s="1113"/>
      <c r="N5577" s="110"/>
      <c r="O5577" s="1140"/>
      <c r="P5577" s="1115"/>
      <c r="Q5577" s="1116"/>
      <c r="R5577" s="1141"/>
      <c r="S5577" s="1113"/>
      <c r="T5577" s="1143"/>
      <c r="U5577" s="1108"/>
      <c r="V5577" s="1108"/>
      <c r="W5577" s="1108"/>
      <c r="X5577" s="1108"/>
      <c r="Y5577" s="1108"/>
      <c r="Z5577" s="1114"/>
      <c r="AA5577" s="1114"/>
      <c r="AB5577" s="1114"/>
      <c r="AC5577" s="1117"/>
      <c r="AD5577" s="1115"/>
      <c r="AE5577" s="1115"/>
      <c r="AF5577" s="1115"/>
      <c r="AG5577" s="1115"/>
      <c r="AH5577" s="1115"/>
      <c r="AI5577" s="1115"/>
      <c r="AJ5577" s="1117"/>
      <c r="AK5577" s="1118"/>
      <c r="AL5577" s="1115"/>
      <c r="AM5577" s="1115"/>
      <c r="AN5577" s="1115"/>
      <c r="AO5577" s="1115"/>
      <c r="AP5577" s="1115"/>
      <c r="AQ5577" s="1115"/>
      <c r="AR5577" s="1115"/>
      <c r="AS5577" s="1117"/>
      <c r="AT5577" s="1075"/>
      <c r="AU5577" s="1193"/>
      <c r="AV5577" s="330"/>
      <c r="AW5577" s="331"/>
      <c r="AX5577" s="331"/>
      <c r="AY5577" s="331"/>
      <c r="AZ5577" s="331"/>
      <c r="BA5577" s="331"/>
      <c r="BB5577" s="331"/>
      <c r="BC5577" s="331"/>
      <c r="BD5577" s="331"/>
      <c r="BE5577" s="333"/>
      <c r="BF5577" s="330"/>
      <c r="BG5577" s="333"/>
      <c r="BH5577" s="1119"/>
      <c r="BI5577" s="319"/>
      <c r="BJ5577" s="319"/>
      <c r="BK5577" s="319"/>
      <c r="BL5577" s="319"/>
      <c r="BM5577" s="319"/>
      <c r="BN5577" s="319"/>
      <c r="BO5577" s="319"/>
      <c r="BP5577" s="953"/>
      <c r="BQ5577" s="319"/>
      <c r="BR5577" s="319"/>
      <c r="BS5577" s="330"/>
      <c r="BT5577" s="331"/>
      <c r="BU5577" s="920"/>
      <c r="BV5577" s="903"/>
      <c r="BW5577" s="908"/>
      <c r="BX5577" s="908"/>
      <c r="BY5577" s="331"/>
      <c r="BZ5577" s="331"/>
      <c r="CA5577" s="462"/>
      <c r="CB5577" s="319"/>
      <c r="CC5577" s="319"/>
      <c r="CD5577" s="319"/>
      <c r="CE5577" s="319"/>
      <c r="CF5577" s="319"/>
      <c r="CG5577" s="319"/>
      <c r="CH5577" s="318"/>
      <c r="CI5577" s="319"/>
      <c r="CJ5577" s="319"/>
      <c r="CK5577" s="342"/>
      <c r="CL5577" s="333"/>
      <c r="CM5577" s="1079"/>
      <c r="CN5577" s="1005"/>
      <c r="CO5577" s="1005"/>
      <c r="CP5577" s="1005"/>
    </row>
    <row r="5578">
      <c r="A5578" s="1257"/>
      <c r="B5578" s="1113"/>
      <c r="C5578" s="1107"/>
      <c r="D5578" s="103"/>
      <c r="E5578" s="1137"/>
      <c r="F5578" s="112"/>
      <c r="G5578" s="1110"/>
      <c r="H5578" s="1138"/>
      <c r="I5578" s="1138"/>
      <c r="J5578" s="1139"/>
      <c r="K5578" s="1111"/>
      <c r="L5578" s="1112"/>
      <c r="M5578" s="1113"/>
      <c r="N5578" s="110"/>
      <c r="O5578" s="1140"/>
      <c r="P5578" s="1115"/>
      <c r="Q5578" s="1116"/>
      <c r="R5578" s="1141"/>
      <c r="S5578" s="1113"/>
      <c r="T5578" s="1143"/>
      <c r="U5578" s="1108"/>
      <c r="V5578" s="1108"/>
      <c r="W5578" s="1108"/>
      <c r="X5578" s="1108"/>
      <c r="Y5578" s="1108"/>
      <c r="Z5578" s="1114"/>
      <c r="AA5578" s="1114"/>
      <c r="AB5578" s="1114"/>
      <c r="AC5578" s="1117"/>
      <c r="AD5578" s="1115"/>
      <c r="AE5578" s="1115"/>
      <c r="AF5578" s="1115"/>
      <c r="AG5578" s="1115"/>
      <c r="AH5578" s="1115"/>
      <c r="AI5578" s="1115"/>
      <c r="AJ5578" s="1117"/>
      <c r="AK5578" s="1118"/>
      <c r="AL5578" s="1115"/>
      <c r="AM5578" s="1115"/>
      <c r="AN5578" s="1115"/>
      <c r="AO5578" s="1115"/>
      <c r="AP5578" s="1115"/>
      <c r="AQ5578" s="1115"/>
      <c r="AR5578" s="1115"/>
      <c r="AS5578" s="1117"/>
      <c r="AT5578" s="1075"/>
      <c r="AU5578" s="1193"/>
      <c r="AV5578" s="330"/>
      <c r="AW5578" s="331"/>
      <c r="AX5578" s="331"/>
      <c r="AY5578" s="331"/>
      <c r="AZ5578" s="331"/>
      <c r="BA5578" s="331"/>
      <c r="BB5578" s="331"/>
      <c r="BC5578" s="331"/>
      <c r="BD5578" s="331"/>
      <c r="BE5578" s="333"/>
      <c r="BF5578" s="330"/>
      <c r="BG5578" s="333"/>
      <c r="BH5578" s="1119"/>
      <c r="BI5578" s="319"/>
      <c r="BJ5578" s="319"/>
      <c r="BK5578" s="319"/>
      <c r="BL5578" s="319"/>
      <c r="BM5578" s="319"/>
      <c r="BN5578" s="319"/>
      <c r="BO5578" s="319"/>
      <c r="BP5578" s="953"/>
      <c r="BQ5578" s="319"/>
      <c r="BR5578" s="319"/>
      <c r="BS5578" s="330"/>
      <c r="BT5578" s="331"/>
      <c r="BU5578" s="920"/>
      <c r="BV5578" s="903"/>
      <c r="BW5578" s="908"/>
      <c r="BX5578" s="908"/>
      <c r="BY5578" s="331"/>
      <c r="BZ5578" s="331"/>
      <c r="CA5578" s="462"/>
      <c r="CB5578" s="319"/>
      <c r="CC5578" s="319"/>
      <c r="CD5578" s="319"/>
      <c r="CE5578" s="319"/>
      <c r="CF5578" s="319"/>
      <c r="CG5578" s="319"/>
      <c r="CH5578" s="318"/>
      <c r="CI5578" s="319"/>
      <c r="CJ5578" s="319"/>
      <c r="CK5578" s="342"/>
      <c r="CL5578" s="333"/>
      <c r="CM5578" s="1079"/>
      <c r="CN5578" s="1005"/>
      <c r="CO5578" s="1005"/>
      <c r="CP5578" s="1005"/>
    </row>
    <row r="5579">
      <c r="A5579" s="1257"/>
      <c r="B5579" s="1113"/>
      <c r="C5579" s="1107"/>
      <c r="D5579" s="103"/>
      <c r="E5579" s="1137"/>
      <c r="F5579" s="112"/>
      <c r="G5579" s="1110"/>
      <c r="H5579" s="1138"/>
      <c r="I5579" s="1138"/>
      <c r="J5579" s="1139"/>
      <c r="K5579" s="1111"/>
      <c r="L5579" s="1112"/>
      <c r="M5579" s="1113"/>
      <c r="N5579" s="110"/>
      <c r="O5579" s="1140"/>
      <c r="P5579" s="1115"/>
      <c r="Q5579" s="1116"/>
      <c r="R5579" s="1141"/>
      <c r="S5579" s="1113"/>
      <c r="T5579" s="1143"/>
      <c r="U5579" s="1108"/>
      <c r="V5579" s="1108"/>
      <c r="W5579" s="1108"/>
      <c r="X5579" s="1108"/>
      <c r="Y5579" s="1108"/>
      <c r="Z5579" s="1114"/>
      <c r="AA5579" s="1114"/>
      <c r="AB5579" s="1114"/>
      <c r="AC5579" s="1117"/>
      <c r="AD5579" s="1115"/>
      <c r="AE5579" s="1115"/>
      <c r="AF5579" s="1115"/>
      <c r="AG5579" s="1115"/>
      <c r="AH5579" s="1115"/>
      <c r="AI5579" s="1115"/>
      <c r="AJ5579" s="1117"/>
      <c r="AK5579" s="1118"/>
      <c r="AL5579" s="1115"/>
      <c r="AM5579" s="1115"/>
      <c r="AN5579" s="1115"/>
      <c r="AO5579" s="1115"/>
      <c r="AP5579" s="1115"/>
      <c r="AQ5579" s="1115"/>
      <c r="AR5579" s="1115"/>
      <c r="AS5579" s="1117"/>
      <c r="AT5579" s="1075"/>
      <c r="AU5579" s="1193"/>
      <c r="AV5579" s="330"/>
      <c r="AW5579" s="331"/>
      <c r="AX5579" s="331"/>
      <c r="AY5579" s="331"/>
      <c r="AZ5579" s="331"/>
      <c r="BA5579" s="331"/>
      <c r="BB5579" s="331"/>
      <c r="BC5579" s="331"/>
      <c r="BD5579" s="331"/>
      <c r="BE5579" s="333"/>
      <c r="BF5579" s="330"/>
      <c r="BG5579" s="333"/>
      <c r="BH5579" s="1119"/>
      <c r="BI5579" s="319"/>
      <c r="BJ5579" s="319"/>
      <c r="BK5579" s="319"/>
      <c r="BL5579" s="319"/>
      <c r="BM5579" s="319"/>
      <c r="BN5579" s="319"/>
      <c r="BO5579" s="319"/>
      <c r="BP5579" s="953"/>
      <c r="BQ5579" s="319"/>
      <c r="BR5579" s="319"/>
      <c r="BS5579" s="330"/>
      <c r="BT5579" s="331"/>
      <c r="BU5579" s="920"/>
      <c r="BV5579" s="903"/>
      <c r="BW5579" s="908"/>
      <c r="BX5579" s="908"/>
      <c r="BY5579" s="331"/>
      <c r="BZ5579" s="331"/>
      <c r="CA5579" s="462"/>
      <c r="CB5579" s="319"/>
      <c r="CC5579" s="319"/>
      <c r="CD5579" s="319"/>
      <c r="CE5579" s="319"/>
      <c r="CF5579" s="319"/>
      <c r="CG5579" s="319"/>
      <c r="CH5579" s="318"/>
      <c r="CI5579" s="319"/>
      <c r="CJ5579" s="319"/>
      <c r="CK5579" s="342"/>
      <c r="CL5579" s="333"/>
      <c r="CM5579" s="1079"/>
      <c r="CN5579" s="1005"/>
      <c r="CO5579" s="1005"/>
      <c r="CP5579" s="1005"/>
    </row>
    <row r="5580">
      <c r="A5580" s="1257"/>
      <c r="B5580" s="1113"/>
      <c r="C5580" s="1107"/>
      <c r="D5580" s="103"/>
      <c r="E5580" s="1137"/>
      <c r="F5580" s="112"/>
      <c r="G5580" s="1110"/>
      <c r="H5580" s="1138"/>
      <c r="I5580" s="1138"/>
      <c r="J5580" s="1139"/>
      <c r="K5580" s="1111"/>
      <c r="L5580" s="1112"/>
      <c r="M5580" s="1113"/>
      <c r="N5580" s="110"/>
      <c r="O5580" s="1140"/>
      <c r="P5580" s="1115"/>
      <c r="Q5580" s="1116"/>
      <c r="R5580" s="1141"/>
      <c r="S5580" s="1113"/>
      <c r="T5580" s="1143"/>
      <c r="U5580" s="1108"/>
      <c r="V5580" s="1108"/>
      <c r="W5580" s="1108"/>
      <c r="X5580" s="1108"/>
      <c r="Y5580" s="1108"/>
      <c r="Z5580" s="1114"/>
      <c r="AA5580" s="1114"/>
      <c r="AB5580" s="1114"/>
      <c r="AC5580" s="1117"/>
      <c r="AD5580" s="1115"/>
      <c r="AE5580" s="1115"/>
      <c r="AF5580" s="1115"/>
      <c r="AG5580" s="1115"/>
      <c r="AH5580" s="1115"/>
      <c r="AI5580" s="1115"/>
      <c r="AJ5580" s="1117"/>
      <c r="AK5580" s="1118"/>
      <c r="AL5580" s="1115"/>
      <c r="AM5580" s="1115"/>
      <c r="AN5580" s="1115"/>
      <c r="AO5580" s="1115"/>
      <c r="AP5580" s="1115"/>
      <c r="AQ5580" s="1115"/>
      <c r="AR5580" s="1115"/>
      <c r="AS5580" s="1117"/>
      <c r="AT5580" s="1075"/>
      <c r="AU5580" s="1193"/>
      <c r="AV5580" s="330"/>
      <c r="AW5580" s="331"/>
      <c r="AX5580" s="331"/>
      <c r="AY5580" s="331"/>
      <c r="AZ5580" s="331"/>
      <c r="BA5580" s="331"/>
      <c r="BB5580" s="331"/>
      <c r="BC5580" s="331"/>
      <c r="BD5580" s="331"/>
      <c r="BE5580" s="333"/>
      <c r="BF5580" s="330"/>
      <c r="BG5580" s="333"/>
      <c r="BH5580" s="1119"/>
      <c r="BI5580" s="319"/>
      <c r="BJ5580" s="319"/>
      <c r="BK5580" s="319"/>
      <c r="BL5580" s="319"/>
      <c r="BM5580" s="319"/>
      <c r="BN5580" s="319"/>
      <c r="BO5580" s="319"/>
      <c r="BP5580" s="953"/>
      <c r="BQ5580" s="319"/>
      <c r="BR5580" s="319"/>
      <c r="BS5580" s="330"/>
      <c r="BT5580" s="331"/>
      <c r="BU5580" s="920"/>
      <c r="BV5580" s="903"/>
      <c r="BW5580" s="908"/>
      <c r="BX5580" s="908"/>
      <c r="BY5580" s="331"/>
      <c r="BZ5580" s="331"/>
      <c r="CA5580" s="462"/>
      <c r="CB5580" s="319"/>
      <c r="CC5580" s="319"/>
      <c r="CD5580" s="319"/>
      <c r="CE5580" s="319"/>
      <c r="CF5580" s="319"/>
      <c r="CG5580" s="319"/>
      <c r="CH5580" s="318"/>
      <c r="CI5580" s="319"/>
      <c r="CJ5580" s="319"/>
      <c r="CK5580" s="342"/>
      <c r="CL5580" s="333"/>
      <c r="CM5580" s="1079"/>
      <c r="CN5580" s="1005"/>
      <c r="CO5580" s="1005"/>
      <c r="CP5580" s="1005"/>
    </row>
    <row r="5581">
      <c r="A5581" s="1257"/>
      <c r="B5581" s="1113"/>
      <c r="C5581" s="1107"/>
      <c r="D5581" s="103"/>
      <c r="E5581" s="1137"/>
      <c r="F5581" s="112"/>
      <c r="G5581" s="1110"/>
      <c r="H5581" s="1138"/>
      <c r="I5581" s="1138"/>
      <c r="J5581" s="1139"/>
      <c r="K5581" s="1111"/>
      <c r="L5581" s="1112"/>
      <c r="M5581" s="1113"/>
      <c r="N5581" s="110"/>
      <c r="O5581" s="1140"/>
      <c r="P5581" s="1115"/>
      <c r="Q5581" s="1116"/>
      <c r="R5581" s="1141"/>
      <c r="S5581" s="1113"/>
      <c r="T5581" s="1143"/>
      <c r="U5581" s="1108"/>
      <c r="V5581" s="1108"/>
      <c r="W5581" s="1108"/>
      <c r="X5581" s="1108"/>
      <c r="Y5581" s="1108"/>
      <c r="Z5581" s="1114"/>
      <c r="AA5581" s="1114"/>
      <c r="AB5581" s="1114"/>
      <c r="AC5581" s="1117"/>
      <c r="AD5581" s="1115"/>
      <c r="AE5581" s="1115"/>
      <c r="AF5581" s="1115"/>
      <c r="AG5581" s="1115"/>
      <c r="AH5581" s="1115"/>
      <c r="AI5581" s="1115"/>
      <c r="AJ5581" s="1117"/>
      <c r="AK5581" s="1118"/>
      <c r="AL5581" s="1115"/>
      <c r="AM5581" s="1115"/>
      <c r="AN5581" s="1115"/>
      <c r="AO5581" s="1115"/>
      <c r="AP5581" s="1115"/>
      <c r="AQ5581" s="1115"/>
      <c r="AR5581" s="1115"/>
      <c r="AS5581" s="1117"/>
      <c r="AT5581" s="1075"/>
      <c r="AU5581" s="1193"/>
      <c r="AV5581" s="330"/>
      <c r="AW5581" s="331"/>
      <c r="AX5581" s="331"/>
      <c r="AY5581" s="331"/>
      <c r="AZ5581" s="331"/>
      <c r="BA5581" s="331"/>
      <c r="BB5581" s="331"/>
      <c r="BC5581" s="331"/>
      <c r="BD5581" s="331"/>
      <c r="BE5581" s="333"/>
      <c r="BF5581" s="330"/>
      <c r="BG5581" s="333"/>
      <c r="BH5581" s="1119"/>
      <c r="BI5581" s="319"/>
      <c r="BJ5581" s="319"/>
      <c r="BK5581" s="319"/>
      <c r="BL5581" s="319"/>
      <c r="BM5581" s="319"/>
      <c r="BN5581" s="319"/>
      <c r="BO5581" s="319"/>
      <c r="BP5581" s="953"/>
      <c r="BQ5581" s="319"/>
      <c r="BR5581" s="319"/>
      <c r="BS5581" s="330"/>
      <c r="BT5581" s="331"/>
      <c r="BU5581" s="920"/>
      <c r="BV5581" s="903"/>
      <c r="BW5581" s="908"/>
      <c r="BX5581" s="908"/>
      <c r="BY5581" s="331"/>
      <c r="BZ5581" s="331"/>
      <c r="CA5581" s="462"/>
      <c r="CB5581" s="319"/>
      <c r="CC5581" s="319"/>
      <c r="CD5581" s="319"/>
      <c r="CE5581" s="319"/>
      <c r="CF5581" s="319"/>
      <c r="CG5581" s="319"/>
      <c r="CH5581" s="318"/>
      <c r="CI5581" s="319"/>
      <c r="CJ5581" s="319"/>
      <c r="CK5581" s="342"/>
      <c r="CL5581" s="333"/>
      <c r="CM5581" s="1079"/>
      <c r="CN5581" s="1005"/>
      <c r="CO5581" s="1005"/>
      <c r="CP5581" s="1005"/>
    </row>
    <row r="5582">
      <c r="A5582" s="1257"/>
      <c r="B5582" s="1113"/>
      <c r="C5582" s="1107"/>
      <c r="D5582" s="103"/>
      <c r="E5582" s="1137"/>
      <c r="F5582" s="112"/>
      <c r="G5582" s="1110"/>
      <c r="H5582" s="1138"/>
      <c r="I5582" s="1138"/>
      <c r="J5582" s="1139"/>
      <c r="K5582" s="1111"/>
      <c r="L5582" s="1112"/>
      <c r="M5582" s="1113"/>
      <c r="N5582" s="110"/>
      <c r="O5582" s="1140"/>
      <c r="P5582" s="1115"/>
      <c r="Q5582" s="1116"/>
      <c r="R5582" s="1141"/>
      <c r="S5582" s="1113"/>
      <c r="T5582" s="1143"/>
      <c r="U5582" s="1108"/>
      <c r="V5582" s="1108"/>
      <c r="W5582" s="1108"/>
      <c r="X5582" s="1108"/>
      <c r="Y5582" s="1108"/>
      <c r="Z5582" s="1114"/>
      <c r="AA5582" s="1114"/>
      <c r="AB5582" s="1114"/>
      <c r="AC5582" s="1117"/>
      <c r="AD5582" s="1115"/>
      <c r="AE5582" s="1115"/>
      <c r="AF5582" s="1115"/>
      <c r="AG5582" s="1115"/>
      <c r="AH5582" s="1115"/>
      <c r="AI5582" s="1115"/>
      <c r="AJ5582" s="1117"/>
      <c r="AK5582" s="1118"/>
      <c r="AL5582" s="1115"/>
      <c r="AM5582" s="1115"/>
      <c r="AN5582" s="1115"/>
      <c r="AO5582" s="1115"/>
      <c r="AP5582" s="1115"/>
      <c r="AQ5582" s="1115"/>
      <c r="AR5582" s="1115"/>
      <c r="AS5582" s="1117"/>
      <c r="AT5582" s="1075"/>
      <c r="AU5582" s="1193"/>
      <c r="AV5582" s="330"/>
      <c r="AW5582" s="331"/>
      <c r="AX5582" s="331"/>
      <c r="AY5582" s="331"/>
      <c r="AZ5582" s="331"/>
      <c r="BA5582" s="331"/>
      <c r="BB5582" s="331"/>
      <c r="BC5582" s="331"/>
      <c r="BD5582" s="331"/>
      <c r="BE5582" s="333"/>
      <c r="BF5582" s="330"/>
      <c r="BG5582" s="333"/>
      <c r="BH5582" s="1119"/>
      <c r="BI5582" s="319"/>
      <c r="BJ5582" s="319"/>
      <c r="BK5582" s="319"/>
      <c r="BL5582" s="319"/>
      <c r="BM5582" s="319"/>
      <c r="BN5582" s="319"/>
      <c r="BO5582" s="319"/>
      <c r="BP5582" s="953"/>
      <c r="BQ5582" s="319"/>
      <c r="BR5582" s="319"/>
      <c r="BS5582" s="330"/>
      <c r="BT5582" s="331"/>
      <c r="BU5582" s="920"/>
      <c r="BV5582" s="903"/>
      <c r="BW5582" s="908"/>
      <c r="BX5582" s="908"/>
      <c r="BY5582" s="331"/>
      <c r="BZ5582" s="331"/>
      <c r="CA5582" s="462"/>
      <c r="CB5582" s="319"/>
      <c r="CC5582" s="319"/>
      <c r="CD5582" s="319"/>
      <c r="CE5582" s="319"/>
      <c r="CF5582" s="319"/>
      <c r="CG5582" s="319"/>
      <c r="CH5582" s="318"/>
      <c r="CI5582" s="319"/>
      <c r="CJ5582" s="319"/>
      <c r="CK5582" s="342"/>
      <c r="CL5582" s="333"/>
      <c r="CM5582" s="1079"/>
      <c r="CN5582" s="1005"/>
      <c r="CO5582" s="1005"/>
      <c r="CP5582" s="1005"/>
    </row>
    <row r="5583">
      <c r="A5583" s="1257"/>
      <c r="B5583" s="1113"/>
      <c r="C5583" s="1107"/>
      <c r="D5583" s="103"/>
      <c r="E5583" s="1137"/>
      <c r="F5583" s="112"/>
      <c r="G5583" s="1110"/>
      <c r="H5583" s="1138"/>
      <c r="I5583" s="1138"/>
      <c r="J5583" s="1139"/>
      <c r="K5583" s="1111"/>
      <c r="L5583" s="1112"/>
      <c r="M5583" s="1113"/>
      <c r="N5583" s="110"/>
      <c r="O5583" s="1140"/>
      <c r="P5583" s="1115"/>
      <c r="Q5583" s="1116"/>
      <c r="R5583" s="1141"/>
      <c r="S5583" s="1113"/>
      <c r="T5583" s="1143"/>
      <c r="U5583" s="1108"/>
      <c r="V5583" s="1108"/>
      <c r="W5583" s="1108"/>
      <c r="X5583" s="1108"/>
      <c r="Y5583" s="1108"/>
      <c r="Z5583" s="1114"/>
      <c r="AA5583" s="1114"/>
      <c r="AB5583" s="1114"/>
      <c r="AC5583" s="1117"/>
      <c r="AD5583" s="1115"/>
      <c r="AE5583" s="1115"/>
      <c r="AF5583" s="1115"/>
      <c r="AG5583" s="1115"/>
      <c r="AH5583" s="1115"/>
      <c r="AI5583" s="1115"/>
      <c r="AJ5583" s="1117"/>
      <c r="AK5583" s="1118"/>
      <c r="AL5583" s="1115"/>
      <c r="AM5583" s="1115"/>
      <c r="AN5583" s="1115"/>
      <c r="AO5583" s="1115"/>
      <c r="AP5583" s="1115"/>
      <c r="AQ5583" s="1115"/>
      <c r="AR5583" s="1115"/>
      <c r="AS5583" s="1117"/>
      <c r="AT5583" s="1075"/>
      <c r="AU5583" s="1193"/>
      <c r="AV5583" s="330"/>
      <c r="AW5583" s="331"/>
      <c r="AX5583" s="331"/>
      <c r="AY5583" s="331"/>
      <c r="AZ5583" s="331"/>
      <c r="BA5583" s="331"/>
      <c r="BB5583" s="331"/>
      <c r="BC5583" s="331"/>
      <c r="BD5583" s="331"/>
      <c r="BE5583" s="333"/>
      <c r="BF5583" s="330"/>
      <c r="BG5583" s="333"/>
      <c r="BH5583" s="1119"/>
      <c r="BI5583" s="319"/>
      <c r="BJ5583" s="319"/>
      <c r="BK5583" s="319"/>
      <c r="BL5583" s="319"/>
      <c r="BM5583" s="319"/>
      <c r="BN5583" s="319"/>
      <c r="BO5583" s="319"/>
      <c r="BP5583" s="953"/>
      <c r="BQ5583" s="319"/>
      <c r="BR5583" s="319"/>
      <c r="BS5583" s="330"/>
      <c r="BT5583" s="331"/>
      <c r="BU5583" s="920"/>
      <c r="BV5583" s="903"/>
      <c r="BW5583" s="908"/>
      <c r="BX5583" s="908"/>
      <c r="BY5583" s="331"/>
      <c r="BZ5583" s="331"/>
      <c r="CA5583" s="462"/>
      <c r="CB5583" s="319"/>
      <c r="CC5583" s="319"/>
      <c r="CD5583" s="319"/>
      <c r="CE5583" s="319"/>
      <c r="CF5583" s="319"/>
      <c r="CG5583" s="319"/>
      <c r="CH5583" s="318"/>
      <c r="CI5583" s="319"/>
      <c r="CJ5583" s="319"/>
      <c r="CK5583" s="342"/>
      <c r="CL5583" s="333"/>
      <c r="CM5583" s="1079"/>
      <c r="CN5583" s="1005"/>
      <c r="CO5583" s="1005"/>
      <c r="CP5583" s="1005"/>
    </row>
    <row r="5584">
      <c r="A5584" s="1257"/>
      <c r="B5584" s="1113"/>
      <c r="C5584" s="1107"/>
      <c r="D5584" s="103"/>
      <c r="E5584" s="1137"/>
      <c r="F5584" s="112"/>
      <c r="G5584" s="1110"/>
      <c r="H5584" s="1138"/>
      <c r="I5584" s="1138"/>
      <c r="J5584" s="1139"/>
      <c r="K5584" s="1111"/>
      <c r="L5584" s="1112"/>
      <c r="M5584" s="1113"/>
      <c r="N5584" s="110"/>
      <c r="O5584" s="1140"/>
      <c r="P5584" s="1115"/>
      <c r="Q5584" s="1116"/>
      <c r="R5584" s="1141"/>
      <c r="S5584" s="1113"/>
      <c r="T5584" s="1143"/>
      <c r="U5584" s="1108"/>
      <c r="V5584" s="1108"/>
      <c r="W5584" s="1108"/>
      <c r="X5584" s="1108"/>
      <c r="Y5584" s="1108"/>
      <c r="Z5584" s="1114"/>
      <c r="AA5584" s="1114"/>
      <c r="AB5584" s="1114"/>
      <c r="AC5584" s="1117"/>
      <c r="AD5584" s="1115"/>
      <c r="AE5584" s="1115"/>
      <c r="AF5584" s="1115"/>
      <c r="AG5584" s="1115"/>
      <c r="AH5584" s="1115"/>
      <c r="AI5584" s="1115"/>
      <c r="AJ5584" s="1117"/>
      <c r="AK5584" s="1118"/>
      <c r="AL5584" s="1115"/>
      <c r="AM5584" s="1115"/>
      <c r="AN5584" s="1115"/>
      <c r="AO5584" s="1115"/>
      <c r="AP5584" s="1115"/>
      <c r="AQ5584" s="1115"/>
      <c r="AR5584" s="1115"/>
      <c r="AS5584" s="1117"/>
      <c r="AT5584" s="1075"/>
      <c r="AU5584" s="1193"/>
      <c r="AV5584" s="330"/>
      <c r="AW5584" s="331"/>
      <c r="AX5584" s="331"/>
      <c r="AY5584" s="331"/>
      <c r="AZ5584" s="331"/>
      <c r="BA5584" s="331"/>
      <c r="BB5584" s="331"/>
      <c r="BC5584" s="331"/>
      <c r="BD5584" s="331"/>
      <c r="BE5584" s="333"/>
      <c r="BF5584" s="330"/>
      <c r="BG5584" s="333"/>
      <c r="BH5584" s="1119"/>
      <c r="BI5584" s="319"/>
      <c r="BJ5584" s="319"/>
      <c r="BK5584" s="319"/>
      <c r="BL5584" s="319"/>
      <c r="BM5584" s="319"/>
      <c r="BN5584" s="319"/>
      <c r="BO5584" s="319"/>
      <c r="BP5584" s="953"/>
      <c r="BQ5584" s="319"/>
      <c r="BR5584" s="319"/>
      <c r="BS5584" s="330"/>
      <c r="BT5584" s="331"/>
      <c r="BU5584" s="920"/>
      <c r="BV5584" s="903"/>
      <c r="BW5584" s="908"/>
      <c r="BX5584" s="908"/>
      <c r="BY5584" s="331"/>
      <c r="BZ5584" s="331"/>
      <c r="CA5584" s="462"/>
      <c r="CB5584" s="319"/>
      <c r="CC5584" s="319"/>
      <c r="CD5584" s="319"/>
      <c r="CE5584" s="319"/>
      <c r="CF5584" s="319"/>
      <c r="CG5584" s="319"/>
      <c r="CH5584" s="318"/>
      <c r="CI5584" s="319"/>
      <c r="CJ5584" s="319"/>
      <c r="CK5584" s="342"/>
      <c r="CL5584" s="333"/>
      <c r="CM5584" s="1079"/>
      <c r="CN5584" s="1005"/>
      <c r="CO5584" s="1005"/>
      <c r="CP5584" s="1005"/>
    </row>
    <row r="5585">
      <c r="A5585" s="1257"/>
      <c r="B5585" s="1113"/>
      <c r="C5585" s="1107"/>
      <c r="D5585" s="103"/>
      <c r="E5585" s="1137"/>
      <c r="F5585" s="112"/>
      <c r="G5585" s="1110"/>
      <c r="H5585" s="1138"/>
      <c r="I5585" s="1138"/>
      <c r="J5585" s="1139"/>
      <c r="K5585" s="1111"/>
      <c r="L5585" s="1112"/>
      <c r="M5585" s="1113"/>
      <c r="N5585" s="110"/>
      <c r="O5585" s="1140"/>
      <c r="P5585" s="1115"/>
      <c r="Q5585" s="1116"/>
      <c r="R5585" s="1141"/>
      <c r="S5585" s="1113"/>
      <c r="T5585" s="1143"/>
      <c r="U5585" s="1108"/>
      <c r="V5585" s="1108"/>
      <c r="W5585" s="1108"/>
      <c r="X5585" s="1108"/>
      <c r="Y5585" s="1108"/>
      <c r="Z5585" s="1114"/>
      <c r="AA5585" s="1114"/>
      <c r="AB5585" s="1114"/>
      <c r="AC5585" s="1117"/>
      <c r="AD5585" s="1115"/>
      <c r="AE5585" s="1115"/>
      <c r="AF5585" s="1115"/>
      <c r="AG5585" s="1115"/>
      <c r="AH5585" s="1115"/>
      <c r="AI5585" s="1115"/>
      <c r="AJ5585" s="1117"/>
      <c r="AK5585" s="1118"/>
      <c r="AL5585" s="1115"/>
      <c r="AM5585" s="1115"/>
      <c r="AN5585" s="1115"/>
      <c r="AO5585" s="1115"/>
      <c r="AP5585" s="1115"/>
      <c r="AQ5585" s="1115"/>
      <c r="AR5585" s="1115"/>
      <c r="AS5585" s="1117"/>
      <c r="AT5585" s="1075"/>
      <c r="AU5585" s="1193"/>
      <c r="AV5585" s="330"/>
      <c r="AW5585" s="331"/>
      <c r="AX5585" s="331"/>
      <c r="AY5585" s="331"/>
      <c r="AZ5585" s="331"/>
      <c r="BA5585" s="331"/>
      <c r="BB5585" s="331"/>
      <c r="BC5585" s="331"/>
      <c r="BD5585" s="331"/>
      <c r="BE5585" s="333"/>
      <c r="BF5585" s="330"/>
      <c r="BG5585" s="333"/>
      <c r="BH5585" s="1119"/>
      <c r="BI5585" s="319"/>
      <c r="BJ5585" s="319"/>
      <c r="BK5585" s="319"/>
      <c r="BL5585" s="319"/>
      <c r="BM5585" s="319"/>
      <c r="BN5585" s="319"/>
      <c r="BO5585" s="319"/>
      <c r="BP5585" s="953"/>
      <c r="BQ5585" s="319"/>
      <c r="BR5585" s="319"/>
      <c r="BS5585" s="330"/>
      <c r="BT5585" s="331"/>
      <c r="BU5585" s="920"/>
      <c r="BV5585" s="903"/>
      <c r="BW5585" s="908"/>
      <c r="BX5585" s="908"/>
      <c r="BY5585" s="331"/>
      <c r="BZ5585" s="331"/>
      <c r="CA5585" s="462"/>
      <c r="CB5585" s="319"/>
      <c r="CC5585" s="319"/>
      <c r="CD5585" s="319"/>
      <c r="CE5585" s="319"/>
      <c r="CF5585" s="319"/>
      <c r="CG5585" s="319"/>
      <c r="CH5585" s="318"/>
      <c r="CI5585" s="319"/>
      <c r="CJ5585" s="319"/>
      <c r="CK5585" s="342"/>
      <c r="CL5585" s="333"/>
      <c r="CM5585" s="1079"/>
      <c r="CN5585" s="1005"/>
      <c r="CO5585" s="1005"/>
      <c r="CP5585" s="1005"/>
    </row>
    <row r="5586">
      <c r="A5586" s="1257"/>
      <c r="B5586" s="1113"/>
      <c r="C5586" s="1107"/>
      <c r="D5586" s="103"/>
      <c r="E5586" s="1137"/>
      <c r="F5586" s="112"/>
      <c r="G5586" s="1110"/>
      <c r="H5586" s="1138"/>
      <c r="I5586" s="1138"/>
      <c r="J5586" s="1139"/>
      <c r="K5586" s="1111"/>
      <c r="L5586" s="1112"/>
      <c r="M5586" s="1113"/>
      <c r="N5586" s="110"/>
      <c r="O5586" s="1140"/>
      <c r="P5586" s="1115"/>
      <c r="Q5586" s="1116"/>
      <c r="R5586" s="1141"/>
      <c r="S5586" s="1113"/>
      <c r="T5586" s="1143"/>
      <c r="U5586" s="1108"/>
      <c r="V5586" s="1108"/>
      <c r="W5586" s="1108"/>
      <c r="X5586" s="1108"/>
      <c r="Y5586" s="1108"/>
      <c r="Z5586" s="1114"/>
      <c r="AA5586" s="1114"/>
      <c r="AB5586" s="1114"/>
      <c r="AC5586" s="1117"/>
      <c r="AD5586" s="1115"/>
      <c r="AE5586" s="1115"/>
      <c r="AF5586" s="1115"/>
      <c r="AG5586" s="1115"/>
      <c r="AH5586" s="1115"/>
      <c r="AI5586" s="1115"/>
      <c r="AJ5586" s="1117"/>
      <c r="AK5586" s="1118"/>
      <c r="AL5586" s="1115"/>
      <c r="AM5586" s="1115"/>
      <c r="AN5586" s="1115"/>
      <c r="AO5586" s="1115"/>
      <c r="AP5586" s="1115"/>
      <c r="AQ5586" s="1115"/>
      <c r="AR5586" s="1115"/>
      <c r="AS5586" s="1117"/>
      <c r="AT5586" s="1075"/>
      <c r="AU5586" s="1193"/>
      <c r="AV5586" s="330"/>
      <c r="AW5586" s="331"/>
      <c r="AX5586" s="331"/>
      <c r="AY5586" s="331"/>
      <c r="AZ5586" s="331"/>
      <c r="BA5586" s="331"/>
      <c r="BB5586" s="331"/>
      <c r="BC5586" s="331"/>
      <c r="BD5586" s="331"/>
      <c r="BE5586" s="333"/>
      <c r="BF5586" s="330"/>
      <c r="BG5586" s="333"/>
      <c r="BH5586" s="1119"/>
      <c r="BI5586" s="319"/>
      <c r="BJ5586" s="319"/>
      <c r="BK5586" s="319"/>
      <c r="BL5586" s="319"/>
      <c r="BM5586" s="319"/>
      <c r="BN5586" s="319"/>
      <c r="BO5586" s="319"/>
      <c r="BP5586" s="953"/>
      <c r="BQ5586" s="319"/>
      <c r="BR5586" s="319"/>
      <c r="BS5586" s="330"/>
      <c r="BT5586" s="331"/>
      <c r="BU5586" s="920"/>
      <c r="BV5586" s="903"/>
      <c r="BW5586" s="908"/>
      <c r="BX5586" s="908"/>
      <c r="BY5586" s="331"/>
      <c r="BZ5586" s="331"/>
      <c r="CA5586" s="462"/>
      <c r="CB5586" s="319"/>
      <c r="CC5586" s="319"/>
      <c r="CD5586" s="319"/>
      <c r="CE5586" s="319"/>
      <c r="CF5586" s="319"/>
      <c r="CG5586" s="319"/>
      <c r="CH5586" s="318"/>
      <c r="CI5586" s="319"/>
      <c r="CJ5586" s="319"/>
      <c r="CK5586" s="342"/>
      <c r="CL5586" s="333"/>
      <c r="CM5586" s="1079"/>
      <c r="CN5586" s="1005"/>
      <c r="CO5586" s="1005"/>
      <c r="CP5586" s="1005"/>
    </row>
    <row r="5587">
      <c r="A5587" s="1257"/>
      <c r="B5587" s="1113"/>
      <c r="C5587" s="1107"/>
      <c r="D5587" s="103"/>
      <c r="E5587" s="1137"/>
      <c r="F5587" s="112"/>
      <c r="G5587" s="1110"/>
      <c r="H5587" s="1138"/>
      <c r="I5587" s="1138"/>
      <c r="J5587" s="1139"/>
      <c r="K5587" s="1111"/>
      <c r="L5587" s="1112"/>
      <c r="M5587" s="1113"/>
      <c r="N5587" s="110"/>
      <c r="O5587" s="1140"/>
      <c r="P5587" s="1115"/>
      <c r="Q5587" s="1116"/>
      <c r="R5587" s="1141"/>
      <c r="S5587" s="1113"/>
      <c r="T5587" s="1143"/>
      <c r="U5587" s="1108"/>
      <c r="V5587" s="1108"/>
      <c r="W5587" s="1108"/>
      <c r="X5587" s="1108"/>
      <c r="Y5587" s="1108"/>
      <c r="Z5587" s="1114"/>
      <c r="AA5587" s="1114"/>
      <c r="AB5587" s="1114"/>
      <c r="AC5587" s="1117"/>
      <c r="AD5587" s="1115"/>
      <c r="AE5587" s="1115"/>
      <c r="AF5587" s="1115"/>
      <c r="AG5587" s="1115"/>
      <c r="AH5587" s="1115"/>
      <c r="AI5587" s="1115"/>
      <c r="AJ5587" s="1117"/>
      <c r="AK5587" s="1118"/>
      <c r="AL5587" s="1115"/>
      <c r="AM5587" s="1115"/>
      <c r="AN5587" s="1115"/>
      <c r="AO5587" s="1115"/>
      <c r="AP5587" s="1115"/>
      <c r="AQ5587" s="1115"/>
      <c r="AR5587" s="1115"/>
      <c r="AS5587" s="1117"/>
      <c r="AT5587" s="1075"/>
      <c r="AU5587" s="1193"/>
      <c r="AV5587" s="330"/>
      <c r="AW5587" s="331"/>
      <c r="AX5587" s="331"/>
      <c r="AY5587" s="331"/>
      <c r="AZ5587" s="331"/>
      <c r="BA5587" s="331"/>
      <c r="BB5587" s="331"/>
      <c r="BC5587" s="331"/>
      <c r="BD5587" s="331"/>
      <c r="BE5587" s="333"/>
      <c r="BF5587" s="330"/>
      <c r="BG5587" s="333"/>
      <c r="BH5587" s="1119"/>
      <c r="BI5587" s="319"/>
      <c r="BJ5587" s="319"/>
      <c r="BK5587" s="319"/>
      <c r="BL5587" s="319"/>
      <c r="BM5587" s="319"/>
      <c r="BN5587" s="319"/>
      <c r="BO5587" s="319"/>
      <c r="BP5587" s="953"/>
      <c r="BQ5587" s="319"/>
      <c r="BR5587" s="319"/>
      <c r="BS5587" s="330"/>
      <c r="BT5587" s="331"/>
      <c r="BU5587" s="920"/>
      <c r="BV5587" s="903"/>
      <c r="BW5587" s="908"/>
      <c r="BX5587" s="908"/>
      <c r="BY5587" s="331"/>
      <c r="BZ5587" s="331"/>
      <c r="CA5587" s="462"/>
      <c r="CB5587" s="319"/>
      <c r="CC5587" s="319"/>
      <c r="CD5587" s="319"/>
      <c r="CE5587" s="319"/>
      <c r="CF5587" s="319"/>
      <c r="CG5587" s="319"/>
      <c r="CH5587" s="318"/>
      <c r="CI5587" s="319"/>
      <c r="CJ5587" s="319"/>
      <c r="CK5587" s="342"/>
      <c r="CL5587" s="333"/>
      <c r="CM5587" s="1079"/>
      <c r="CN5587" s="1005"/>
      <c r="CO5587" s="1005"/>
      <c r="CP5587" s="1005"/>
    </row>
    <row r="5588">
      <c r="A5588" s="1257"/>
      <c r="B5588" s="1113"/>
      <c r="C5588" s="1107"/>
      <c r="D5588" s="103"/>
      <c r="E5588" s="1137"/>
      <c r="F5588" s="112"/>
      <c r="G5588" s="1110"/>
      <c r="H5588" s="1138"/>
      <c r="I5588" s="1138"/>
      <c r="J5588" s="1139"/>
      <c r="K5588" s="1111"/>
      <c r="L5588" s="1112"/>
      <c r="M5588" s="1113"/>
      <c r="N5588" s="110"/>
      <c r="O5588" s="1140"/>
      <c r="P5588" s="1115"/>
      <c r="Q5588" s="1116"/>
      <c r="R5588" s="1141"/>
      <c r="S5588" s="1113"/>
      <c r="T5588" s="1143"/>
      <c r="U5588" s="1108"/>
      <c r="V5588" s="1108"/>
      <c r="W5588" s="1108"/>
      <c r="X5588" s="1108"/>
      <c r="Y5588" s="1108"/>
      <c r="Z5588" s="1114"/>
      <c r="AA5588" s="1114"/>
      <c r="AB5588" s="1114"/>
      <c r="AC5588" s="1117"/>
      <c r="AD5588" s="1115"/>
      <c r="AE5588" s="1115"/>
      <c r="AF5588" s="1115"/>
      <c r="AG5588" s="1115"/>
      <c r="AH5588" s="1115"/>
      <c r="AI5588" s="1115"/>
      <c r="AJ5588" s="1117"/>
      <c r="AK5588" s="1118"/>
      <c r="AL5588" s="1115"/>
      <c r="AM5588" s="1115"/>
      <c r="AN5588" s="1115"/>
      <c r="AO5588" s="1115"/>
      <c r="AP5588" s="1115"/>
      <c r="AQ5588" s="1115"/>
      <c r="AR5588" s="1115"/>
      <c r="AS5588" s="1117"/>
      <c r="AT5588" s="1075"/>
      <c r="AU5588" s="1193"/>
      <c r="AV5588" s="330"/>
      <c r="AW5588" s="331"/>
      <c r="AX5588" s="331"/>
      <c r="AY5588" s="331"/>
      <c r="AZ5588" s="331"/>
      <c r="BA5588" s="331"/>
      <c r="BB5588" s="331"/>
      <c r="BC5588" s="331"/>
      <c r="BD5588" s="331"/>
      <c r="BE5588" s="333"/>
      <c r="BF5588" s="330"/>
      <c r="BG5588" s="333"/>
      <c r="BH5588" s="1119"/>
      <c r="BI5588" s="319"/>
      <c r="BJ5588" s="319"/>
      <c r="BK5588" s="319"/>
      <c r="BL5588" s="319"/>
      <c r="BM5588" s="319"/>
      <c r="BN5588" s="319"/>
      <c r="BO5588" s="319"/>
      <c r="BP5588" s="953"/>
      <c r="BQ5588" s="319"/>
      <c r="BR5588" s="319"/>
      <c r="BS5588" s="330"/>
      <c r="BT5588" s="331"/>
      <c r="BU5588" s="920"/>
      <c r="BV5588" s="903"/>
      <c r="BW5588" s="908"/>
      <c r="BX5588" s="908"/>
      <c r="BY5588" s="331"/>
      <c r="BZ5588" s="331"/>
      <c r="CA5588" s="462"/>
      <c r="CB5588" s="319"/>
      <c r="CC5588" s="319"/>
      <c r="CD5588" s="319"/>
      <c r="CE5588" s="319"/>
      <c r="CF5588" s="319"/>
      <c r="CG5588" s="319"/>
      <c r="CH5588" s="318"/>
      <c r="CI5588" s="319"/>
      <c r="CJ5588" s="319"/>
      <c r="CK5588" s="342"/>
      <c r="CL5588" s="333"/>
      <c r="CM5588" s="1079"/>
      <c r="CN5588" s="1005"/>
      <c r="CO5588" s="1005"/>
      <c r="CP5588" s="1005"/>
    </row>
    <row r="5589">
      <c r="A5589" s="1257"/>
      <c r="B5589" s="1113"/>
      <c r="C5589" s="1107"/>
      <c r="D5589" s="103"/>
      <c r="E5589" s="1137"/>
      <c r="F5589" s="112"/>
      <c r="G5589" s="1110"/>
      <c r="H5589" s="1138"/>
      <c r="I5589" s="1138"/>
      <c r="J5589" s="1139"/>
      <c r="K5589" s="1111"/>
      <c r="L5589" s="1112"/>
      <c r="M5589" s="1113"/>
      <c r="N5589" s="110"/>
      <c r="O5589" s="1140"/>
      <c r="P5589" s="1115"/>
      <c r="Q5589" s="1116"/>
      <c r="R5589" s="1141"/>
      <c r="S5589" s="1113"/>
      <c r="T5589" s="1143"/>
      <c r="U5589" s="1108"/>
      <c r="V5589" s="1108"/>
      <c r="W5589" s="1108"/>
      <c r="X5589" s="1108"/>
      <c r="Y5589" s="1108"/>
      <c r="Z5589" s="1114"/>
      <c r="AA5589" s="1114"/>
      <c r="AB5589" s="1114"/>
      <c r="AC5589" s="1117"/>
      <c r="AD5589" s="1115"/>
      <c r="AE5589" s="1115"/>
      <c r="AF5589" s="1115"/>
      <c r="AG5589" s="1115"/>
      <c r="AH5589" s="1115"/>
      <c r="AI5589" s="1115"/>
      <c r="AJ5589" s="1117"/>
      <c r="AK5589" s="1118"/>
      <c r="AL5589" s="1115"/>
      <c r="AM5589" s="1115"/>
      <c r="AN5589" s="1115"/>
      <c r="AO5589" s="1115"/>
      <c r="AP5589" s="1115"/>
      <c r="AQ5589" s="1115"/>
      <c r="AR5589" s="1115"/>
      <c r="AS5589" s="1117"/>
      <c r="AT5589" s="1075"/>
      <c r="AU5589" s="1193"/>
      <c r="AV5589" s="330"/>
      <c r="AW5589" s="331"/>
      <c r="AX5589" s="331"/>
      <c r="AY5589" s="331"/>
      <c r="AZ5589" s="331"/>
      <c r="BA5589" s="331"/>
      <c r="BB5589" s="331"/>
      <c r="BC5589" s="331"/>
      <c r="BD5589" s="331"/>
      <c r="BE5589" s="333"/>
      <c r="BF5589" s="330"/>
      <c r="BG5589" s="333"/>
      <c r="BH5589" s="1119"/>
      <c r="BI5589" s="319"/>
      <c r="BJ5589" s="319"/>
      <c r="BK5589" s="319"/>
      <c r="BL5589" s="319"/>
      <c r="BM5589" s="319"/>
      <c r="BN5589" s="319"/>
      <c r="BO5589" s="319"/>
      <c r="BP5589" s="953"/>
      <c r="BQ5589" s="319"/>
      <c r="BR5589" s="319"/>
      <c r="BS5589" s="330"/>
      <c r="BT5589" s="331"/>
      <c r="BU5589" s="920"/>
      <c r="BV5589" s="903"/>
      <c r="BW5589" s="908"/>
      <c r="BX5589" s="908"/>
      <c r="BY5589" s="331"/>
      <c r="BZ5589" s="331"/>
      <c r="CA5589" s="462"/>
      <c r="CB5589" s="319"/>
      <c r="CC5589" s="319"/>
      <c r="CD5589" s="319"/>
      <c r="CE5589" s="319"/>
      <c r="CF5589" s="319"/>
      <c r="CG5589" s="319"/>
      <c r="CH5589" s="318"/>
      <c r="CI5589" s="319"/>
      <c r="CJ5589" s="319"/>
      <c r="CK5589" s="342"/>
      <c r="CL5589" s="333"/>
      <c r="CM5589" s="1079"/>
      <c r="CN5589" s="1005"/>
      <c r="CO5589" s="1005"/>
      <c r="CP5589" s="1005"/>
    </row>
    <row r="5590">
      <c r="A5590" s="1257"/>
      <c r="B5590" s="1113"/>
      <c r="C5590" s="1107"/>
      <c r="D5590" s="103"/>
      <c r="E5590" s="1137"/>
      <c r="F5590" s="112"/>
      <c r="G5590" s="1110"/>
      <c r="H5590" s="1138"/>
      <c r="I5590" s="1138"/>
      <c r="J5590" s="1139"/>
      <c r="K5590" s="1111"/>
      <c r="L5590" s="1112"/>
      <c r="M5590" s="1113"/>
      <c r="N5590" s="110"/>
      <c r="O5590" s="1140"/>
      <c r="P5590" s="1115"/>
      <c r="Q5590" s="1116"/>
      <c r="R5590" s="1141"/>
      <c r="S5590" s="1113"/>
      <c r="T5590" s="1143"/>
      <c r="U5590" s="1108"/>
      <c r="V5590" s="1108"/>
      <c r="W5590" s="1108"/>
      <c r="X5590" s="1108"/>
      <c r="Y5590" s="1108"/>
      <c r="Z5590" s="1114"/>
      <c r="AA5590" s="1114"/>
      <c r="AB5590" s="1114"/>
      <c r="AC5590" s="1117"/>
      <c r="AD5590" s="1115"/>
      <c r="AE5590" s="1115"/>
      <c r="AF5590" s="1115"/>
      <c r="AG5590" s="1115"/>
      <c r="AH5590" s="1115"/>
      <c r="AI5590" s="1115"/>
      <c r="AJ5590" s="1117"/>
      <c r="AK5590" s="1118"/>
      <c r="AL5590" s="1115"/>
      <c r="AM5590" s="1115"/>
      <c r="AN5590" s="1115"/>
      <c r="AO5590" s="1115"/>
      <c r="AP5590" s="1115"/>
      <c r="AQ5590" s="1115"/>
      <c r="AR5590" s="1115"/>
      <c r="AS5590" s="1117"/>
      <c r="AT5590" s="1075"/>
      <c r="AU5590" s="1193"/>
      <c r="AV5590" s="330"/>
      <c r="AW5590" s="331"/>
      <c r="AX5590" s="331"/>
      <c r="AY5590" s="331"/>
      <c r="AZ5590" s="331"/>
      <c r="BA5590" s="331"/>
      <c r="BB5590" s="331"/>
      <c r="BC5590" s="331"/>
      <c r="BD5590" s="331"/>
      <c r="BE5590" s="333"/>
      <c r="BF5590" s="330"/>
      <c r="BG5590" s="333"/>
      <c r="BH5590" s="1119"/>
      <c r="BI5590" s="319"/>
      <c r="BJ5590" s="319"/>
      <c r="BK5590" s="319"/>
      <c r="BL5590" s="319"/>
      <c r="BM5590" s="319"/>
      <c r="BN5590" s="319"/>
      <c r="BO5590" s="319"/>
      <c r="BP5590" s="953"/>
      <c r="BQ5590" s="319"/>
      <c r="BR5590" s="319"/>
      <c r="BS5590" s="330"/>
      <c r="BT5590" s="331"/>
      <c r="BU5590" s="920"/>
      <c r="BV5590" s="903"/>
      <c r="BW5590" s="908"/>
      <c r="BX5590" s="908"/>
      <c r="BY5590" s="331"/>
      <c r="BZ5590" s="331"/>
      <c r="CA5590" s="462"/>
      <c r="CB5590" s="319"/>
      <c r="CC5590" s="319"/>
      <c r="CD5590" s="319"/>
      <c r="CE5590" s="319"/>
      <c r="CF5590" s="319"/>
      <c r="CG5590" s="319"/>
      <c r="CH5590" s="318"/>
      <c r="CI5590" s="319"/>
      <c r="CJ5590" s="319"/>
      <c r="CK5590" s="342"/>
      <c r="CL5590" s="333"/>
      <c r="CM5590" s="1079"/>
      <c r="CN5590" s="1005"/>
      <c r="CO5590" s="1005"/>
      <c r="CP5590" s="1005"/>
    </row>
    <row r="5591">
      <c r="A5591" s="1257"/>
      <c r="B5591" s="1113"/>
      <c r="C5591" s="1107"/>
      <c r="D5591" s="103"/>
      <c r="E5591" s="1137"/>
      <c r="F5591" s="112"/>
      <c r="G5591" s="1110"/>
      <c r="H5591" s="1138"/>
      <c r="I5591" s="1138"/>
      <c r="J5591" s="1139"/>
      <c r="K5591" s="1111"/>
      <c r="L5591" s="1112"/>
      <c r="M5591" s="1113"/>
      <c r="N5591" s="110"/>
      <c r="O5591" s="1140"/>
      <c r="P5591" s="1115"/>
      <c r="Q5591" s="1116"/>
      <c r="R5591" s="1141"/>
      <c r="S5591" s="1113"/>
      <c r="T5591" s="1143"/>
      <c r="U5591" s="1108"/>
      <c r="V5591" s="1108"/>
      <c r="W5591" s="1108"/>
      <c r="X5591" s="1108"/>
      <c r="Y5591" s="1108"/>
      <c r="Z5591" s="1114"/>
      <c r="AA5591" s="1114"/>
      <c r="AB5591" s="1114"/>
      <c r="AC5591" s="1117"/>
      <c r="AD5591" s="1115"/>
      <c r="AE5591" s="1115"/>
      <c r="AF5591" s="1115"/>
      <c r="AG5591" s="1115"/>
      <c r="AH5591" s="1115"/>
      <c r="AI5591" s="1115"/>
      <c r="AJ5591" s="1117"/>
      <c r="AK5591" s="1118"/>
      <c r="AL5591" s="1115"/>
      <c r="AM5591" s="1115"/>
      <c r="AN5591" s="1115"/>
      <c r="AO5591" s="1115"/>
      <c r="AP5591" s="1115"/>
      <c r="AQ5591" s="1115"/>
      <c r="AR5591" s="1115"/>
      <c r="AS5591" s="1117"/>
      <c r="AT5591" s="1075"/>
      <c r="AU5591" s="1193"/>
      <c r="AV5591" s="330"/>
      <c r="AW5591" s="331"/>
      <c r="AX5591" s="331"/>
      <c r="AY5591" s="331"/>
      <c r="AZ5591" s="331"/>
      <c r="BA5591" s="331"/>
      <c r="BB5591" s="331"/>
      <c r="BC5591" s="331"/>
      <c r="BD5591" s="331"/>
      <c r="BE5591" s="333"/>
      <c r="BF5591" s="330"/>
      <c r="BG5591" s="333"/>
      <c r="BH5591" s="1119"/>
      <c r="BI5591" s="319"/>
      <c r="BJ5591" s="319"/>
      <c r="BK5591" s="319"/>
      <c r="BL5591" s="319"/>
      <c r="BM5591" s="319"/>
      <c r="BN5591" s="319"/>
      <c r="BO5591" s="319"/>
      <c r="BP5591" s="953"/>
      <c r="BQ5591" s="319"/>
      <c r="BR5591" s="319"/>
      <c r="BS5591" s="330"/>
      <c r="BT5591" s="331"/>
      <c r="BU5591" s="920"/>
      <c r="BV5591" s="903"/>
      <c r="BW5591" s="908"/>
      <c r="BX5591" s="908"/>
      <c r="BY5591" s="331"/>
      <c r="BZ5591" s="331"/>
      <c r="CA5591" s="462"/>
      <c r="CB5591" s="319"/>
      <c r="CC5591" s="319"/>
      <c r="CD5591" s="319"/>
      <c r="CE5591" s="319"/>
      <c r="CF5591" s="319"/>
      <c r="CG5591" s="319"/>
      <c r="CH5591" s="318"/>
      <c r="CI5591" s="319"/>
      <c r="CJ5591" s="319"/>
      <c r="CK5591" s="342"/>
      <c r="CL5591" s="333"/>
      <c r="CM5591" s="1079"/>
      <c r="CN5591" s="1005"/>
      <c r="CO5591" s="1005"/>
      <c r="CP5591" s="1005"/>
    </row>
    <row r="5592">
      <c r="A5592" s="1257"/>
      <c r="B5592" s="1113"/>
      <c r="C5592" s="1107"/>
      <c r="D5592" s="103"/>
      <c r="E5592" s="1137"/>
      <c r="F5592" s="112"/>
      <c r="G5592" s="1110"/>
      <c r="H5592" s="1138"/>
      <c r="I5592" s="1138"/>
      <c r="J5592" s="1139"/>
      <c r="K5592" s="1111"/>
      <c r="L5592" s="1112"/>
      <c r="M5592" s="1113"/>
      <c r="N5592" s="110"/>
      <c r="O5592" s="1140"/>
      <c r="P5592" s="1115"/>
      <c r="Q5592" s="1116"/>
      <c r="R5592" s="1141"/>
      <c r="S5592" s="1113"/>
      <c r="T5592" s="1143"/>
      <c r="U5592" s="1108"/>
      <c r="V5592" s="1108"/>
      <c r="W5592" s="1108"/>
      <c r="X5592" s="1108"/>
      <c r="Y5592" s="1108"/>
      <c r="Z5592" s="1114"/>
      <c r="AA5592" s="1114"/>
      <c r="AB5592" s="1114"/>
      <c r="AC5592" s="1117"/>
      <c r="AD5592" s="1115"/>
      <c r="AE5592" s="1115"/>
      <c r="AF5592" s="1115"/>
      <c r="AG5592" s="1115"/>
      <c r="AH5592" s="1115"/>
      <c r="AI5592" s="1115"/>
      <c r="AJ5592" s="1117"/>
      <c r="AK5592" s="1118"/>
      <c r="AL5592" s="1115"/>
      <c r="AM5592" s="1115"/>
      <c r="AN5592" s="1115"/>
      <c r="AO5592" s="1115"/>
      <c r="AP5592" s="1115"/>
      <c r="AQ5592" s="1115"/>
      <c r="AR5592" s="1115"/>
      <c r="AS5592" s="1117"/>
      <c r="AT5592" s="1075"/>
      <c r="AU5592" s="1193"/>
      <c r="AV5592" s="330"/>
      <c r="AW5592" s="331"/>
      <c r="AX5592" s="331"/>
      <c r="AY5592" s="331"/>
      <c r="AZ5592" s="331"/>
      <c r="BA5592" s="331"/>
      <c r="BB5592" s="331"/>
      <c r="BC5592" s="331"/>
      <c r="BD5592" s="331"/>
      <c r="BE5592" s="333"/>
      <c r="BF5592" s="330"/>
      <c r="BG5592" s="333"/>
      <c r="BH5592" s="1119"/>
      <c r="BI5592" s="319"/>
      <c r="BJ5592" s="319"/>
      <c r="BK5592" s="319"/>
      <c r="BL5592" s="319"/>
      <c r="BM5592" s="319"/>
      <c r="BN5592" s="319"/>
      <c r="BO5592" s="319"/>
      <c r="BP5592" s="953"/>
      <c r="BQ5592" s="319"/>
      <c r="BR5592" s="319"/>
      <c r="BS5592" s="330"/>
      <c r="BT5592" s="331"/>
      <c r="BU5592" s="920"/>
      <c r="BV5592" s="903"/>
      <c r="BW5592" s="908"/>
      <c r="BX5592" s="908"/>
      <c r="BY5592" s="331"/>
      <c r="BZ5592" s="331"/>
      <c r="CA5592" s="462"/>
      <c r="CB5592" s="319"/>
      <c r="CC5592" s="319"/>
      <c r="CD5592" s="319"/>
      <c r="CE5592" s="319"/>
      <c r="CF5592" s="319"/>
      <c r="CG5592" s="319"/>
      <c r="CH5592" s="318"/>
      <c r="CI5592" s="319"/>
      <c r="CJ5592" s="319"/>
      <c r="CK5592" s="342"/>
      <c r="CL5592" s="333"/>
      <c r="CM5592" s="1079"/>
      <c r="CN5592" s="1005"/>
      <c r="CO5592" s="1005"/>
      <c r="CP5592" s="1005"/>
    </row>
    <row r="5593">
      <c r="A5593" s="1257"/>
      <c r="B5593" s="1113"/>
      <c r="C5593" s="1107"/>
      <c r="D5593" s="103"/>
      <c r="E5593" s="1137"/>
      <c r="F5593" s="112"/>
      <c r="G5593" s="1110"/>
      <c r="H5593" s="1138"/>
      <c r="I5593" s="1138"/>
      <c r="J5593" s="1139"/>
      <c r="K5593" s="1111"/>
      <c r="L5593" s="1112"/>
      <c r="M5593" s="1113"/>
      <c r="N5593" s="110"/>
      <c r="O5593" s="1140"/>
      <c r="P5593" s="1115"/>
      <c r="Q5593" s="1116"/>
      <c r="R5593" s="1141"/>
      <c r="S5593" s="1113"/>
      <c r="T5593" s="1143"/>
      <c r="U5593" s="1108"/>
      <c r="V5593" s="1108"/>
      <c r="W5593" s="1108"/>
      <c r="X5593" s="1108"/>
      <c r="Y5593" s="1108"/>
      <c r="Z5593" s="1114"/>
      <c r="AA5593" s="1114"/>
      <c r="AB5593" s="1114"/>
      <c r="AC5593" s="1117"/>
      <c r="AD5593" s="1115"/>
      <c r="AE5593" s="1115"/>
      <c r="AF5593" s="1115"/>
      <c r="AG5593" s="1115"/>
      <c r="AH5593" s="1115"/>
      <c r="AI5593" s="1115"/>
      <c r="AJ5593" s="1117"/>
      <c r="AK5593" s="1118"/>
      <c r="AL5593" s="1115"/>
      <c r="AM5593" s="1115"/>
      <c r="AN5593" s="1115"/>
      <c r="AO5593" s="1115"/>
      <c r="AP5593" s="1115"/>
      <c r="AQ5593" s="1115"/>
      <c r="AR5593" s="1115"/>
      <c r="AS5593" s="1117"/>
      <c r="AT5593" s="1075"/>
      <c r="AU5593" s="1193"/>
      <c r="AV5593" s="330"/>
      <c r="AW5593" s="331"/>
      <c r="AX5593" s="331"/>
      <c r="AY5593" s="331"/>
      <c r="AZ5593" s="331"/>
      <c r="BA5593" s="331"/>
      <c r="BB5593" s="331"/>
      <c r="BC5593" s="331"/>
      <c r="BD5593" s="331"/>
      <c r="BE5593" s="333"/>
      <c r="BF5593" s="330"/>
      <c r="BG5593" s="333"/>
      <c r="BH5593" s="1119"/>
      <c r="BI5593" s="319"/>
      <c r="BJ5593" s="319"/>
      <c r="BK5593" s="319"/>
      <c r="BL5593" s="319"/>
      <c r="BM5593" s="319"/>
      <c r="BN5593" s="319"/>
      <c r="BO5593" s="319"/>
      <c r="BP5593" s="953"/>
      <c r="BQ5593" s="319"/>
      <c r="BR5593" s="319"/>
      <c r="BS5593" s="330"/>
      <c r="BT5593" s="331"/>
      <c r="BU5593" s="920"/>
      <c r="BV5593" s="903"/>
      <c r="BW5593" s="908"/>
      <c r="BX5593" s="908"/>
      <c r="BY5593" s="331"/>
      <c r="BZ5593" s="331"/>
      <c r="CA5593" s="462"/>
      <c r="CB5593" s="319"/>
      <c r="CC5593" s="319"/>
      <c r="CD5593" s="319"/>
      <c r="CE5593" s="319"/>
      <c r="CF5593" s="319"/>
      <c r="CG5593" s="319"/>
      <c r="CH5593" s="318"/>
      <c r="CI5593" s="319"/>
      <c r="CJ5593" s="319"/>
      <c r="CK5593" s="342"/>
      <c r="CL5593" s="333"/>
      <c r="CM5593" s="1079"/>
      <c r="CN5593" s="1005"/>
      <c r="CO5593" s="1005"/>
      <c r="CP5593" s="1005"/>
    </row>
    <row r="5594">
      <c r="A5594" s="1257"/>
      <c r="B5594" s="1113"/>
      <c r="C5594" s="1107"/>
      <c r="D5594" s="103"/>
      <c r="E5594" s="1137"/>
      <c r="F5594" s="112"/>
      <c r="G5594" s="1110"/>
      <c r="H5594" s="1138"/>
      <c r="I5594" s="1138"/>
      <c r="J5594" s="1139"/>
      <c r="K5594" s="1111"/>
      <c r="L5594" s="1112"/>
      <c r="M5594" s="1113"/>
      <c r="N5594" s="110"/>
      <c r="O5594" s="1140"/>
      <c r="P5594" s="1115"/>
      <c r="Q5594" s="1116"/>
      <c r="R5594" s="1141"/>
      <c r="S5594" s="1113"/>
      <c r="T5594" s="1143"/>
      <c r="U5594" s="1108"/>
      <c r="V5594" s="1108"/>
      <c r="W5594" s="1108"/>
      <c r="X5594" s="1108"/>
      <c r="Y5594" s="1108"/>
      <c r="Z5594" s="1114"/>
      <c r="AA5594" s="1114"/>
      <c r="AB5594" s="1114"/>
      <c r="AC5594" s="1117"/>
      <c r="AD5594" s="1115"/>
      <c r="AE5594" s="1115"/>
      <c r="AF5594" s="1115"/>
      <c r="AG5594" s="1115"/>
      <c r="AH5594" s="1115"/>
      <c r="AI5594" s="1115"/>
      <c r="AJ5594" s="1117"/>
      <c r="AK5594" s="1118"/>
      <c r="AL5594" s="1115"/>
      <c r="AM5594" s="1115"/>
      <c r="AN5594" s="1115"/>
      <c r="AO5594" s="1115"/>
      <c r="AP5594" s="1115"/>
      <c r="AQ5594" s="1115"/>
      <c r="AR5594" s="1115"/>
      <c r="AS5594" s="1117"/>
      <c r="AT5594" s="1075"/>
      <c r="AU5594" s="1193"/>
      <c r="AV5594" s="330"/>
      <c r="AW5594" s="331"/>
      <c r="AX5594" s="331"/>
      <c r="AY5594" s="331"/>
      <c r="AZ5594" s="331"/>
      <c r="BA5594" s="331"/>
      <c r="BB5594" s="331"/>
      <c r="BC5594" s="331"/>
      <c r="BD5594" s="331"/>
      <c r="BE5594" s="333"/>
      <c r="BF5594" s="330"/>
      <c r="BG5594" s="333"/>
      <c r="BH5594" s="1119"/>
      <c r="BI5594" s="319"/>
      <c r="BJ5594" s="319"/>
      <c r="BK5594" s="319"/>
      <c r="BL5594" s="319"/>
      <c r="BM5594" s="319"/>
      <c r="BN5594" s="319"/>
      <c r="BO5594" s="319"/>
      <c r="BP5594" s="953"/>
      <c r="BQ5594" s="319"/>
      <c r="BR5594" s="319"/>
      <c r="BS5594" s="330"/>
      <c r="BT5594" s="331"/>
      <c r="BU5594" s="920"/>
      <c r="BV5594" s="903"/>
      <c r="BW5594" s="908"/>
      <c r="BX5594" s="908"/>
      <c r="BY5594" s="331"/>
      <c r="BZ5594" s="331"/>
      <c r="CA5594" s="462"/>
      <c r="CB5594" s="319"/>
      <c r="CC5594" s="319"/>
      <c r="CD5594" s="319"/>
      <c r="CE5594" s="319"/>
      <c r="CF5594" s="319"/>
      <c r="CG5594" s="319"/>
      <c r="CH5594" s="318"/>
      <c r="CI5594" s="319"/>
      <c r="CJ5594" s="319"/>
      <c r="CK5594" s="342"/>
      <c r="CL5594" s="333"/>
      <c r="CM5594" s="1079"/>
      <c r="CN5594" s="1005"/>
      <c r="CO5594" s="1005"/>
      <c r="CP5594" s="1005"/>
    </row>
    <row r="5595">
      <c r="A5595" s="1257"/>
      <c r="B5595" s="1113"/>
      <c r="C5595" s="1107"/>
      <c r="D5595" s="103"/>
      <c r="E5595" s="1137"/>
      <c r="F5595" s="112"/>
      <c r="G5595" s="1110"/>
      <c r="H5595" s="1138"/>
      <c r="I5595" s="1138"/>
      <c r="J5595" s="1139"/>
      <c r="K5595" s="1111"/>
      <c r="L5595" s="1112"/>
      <c r="M5595" s="1113"/>
      <c r="N5595" s="110"/>
      <c r="O5595" s="1140"/>
      <c r="P5595" s="1115"/>
      <c r="Q5595" s="1116"/>
      <c r="R5595" s="1141"/>
      <c r="S5595" s="1113"/>
      <c r="T5595" s="1143"/>
      <c r="U5595" s="1108"/>
      <c r="V5595" s="1108"/>
      <c r="W5595" s="1108"/>
      <c r="X5595" s="1108"/>
      <c r="Y5595" s="1108"/>
      <c r="Z5595" s="1114"/>
      <c r="AA5595" s="1114"/>
      <c r="AB5595" s="1114"/>
      <c r="AC5595" s="1117"/>
      <c r="AD5595" s="1115"/>
      <c r="AE5595" s="1115"/>
      <c r="AF5595" s="1115"/>
      <c r="AG5595" s="1115"/>
      <c r="AH5595" s="1115"/>
      <c r="AI5595" s="1115"/>
      <c r="AJ5595" s="1117"/>
      <c r="AK5595" s="1118"/>
      <c r="AL5595" s="1115"/>
      <c r="AM5595" s="1115"/>
      <c r="AN5595" s="1115"/>
      <c r="AO5595" s="1115"/>
      <c r="AP5595" s="1115"/>
      <c r="AQ5595" s="1115"/>
      <c r="AR5595" s="1115"/>
      <c r="AS5595" s="1117"/>
      <c r="AT5595" s="1075"/>
      <c r="AU5595" s="1193"/>
      <c r="AV5595" s="330"/>
      <c r="AW5595" s="331"/>
      <c r="AX5595" s="331"/>
      <c r="AY5595" s="331"/>
      <c r="AZ5595" s="331"/>
      <c r="BA5595" s="331"/>
      <c r="BB5595" s="331"/>
      <c r="BC5595" s="331"/>
      <c r="BD5595" s="331"/>
      <c r="BE5595" s="333"/>
      <c r="BF5595" s="330"/>
      <c r="BG5595" s="333"/>
      <c r="BH5595" s="1119"/>
      <c r="BI5595" s="319"/>
      <c r="BJ5595" s="319"/>
      <c r="BK5595" s="319"/>
      <c r="BL5595" s="319"/>
      <c r="BM5595" s="319"/>
      <c r="BN5595" s="319"/>
      <c r="BO5595" s="319"/>
      <c r="BP5595" s="953"/>
      <c r="BQ5595" s="319"/>
      <c r="BR5595" s="319"/>
      <c r="BS5595" s="330"/>
      <c r="BT5595" s="331"/>
      <c r="BU5595" s="920"/>
      <c r="BV5595" s="903"/>
      <c r="BW5595" s="908"/>
      <c r="BX5595" s="908"/>
      <c r="BY5595" s="331"/>
      <c r="BZ5595" s="331"/>
      <c r="CA5595" s="462"/>
      <c r="CB5595" s="319"/>
      <c r="CC5595" s="319"/>
      <c r="CD5595" s="319"/>
      <c r="CE5595" s="319"/>
      <c r="CF5595" s="319"/>
      <c r="CG5595" s="319"/>
      <c r="CH5595" s="318"/>
      <c r="CI5595" s="319"/>
      <c r="CJ5595" s="319"/>
      <c r="CK5595" s="342"/>
      <c r="CL5595" s="333"/>
      <c r="CM5595" s="1079"/>
      <c r="CN5595" s="1005"/>
      <c r="CO5595" s="1005"/>
      <c r="CP5595" s="1005"/>
    </row>
    <row r="5596">
      <c r="A5596" s="1257"/>
      <c r="B5596" s="1113"/>
      <c r="C5596" s="1107"/>
      <c r="D5596" s="103"/>
      <c r="E5596" s="1137"/>
      <c r="F5596" s="112"/>
      <c r="G5596" s="1110"/>
      <c r="H5596" s="1138"/>
      <c r="I5596" s="1138"/>
      <c r="J5596" s="1139"/>
      <c r="K5596" s="1111"/>
      <c r="L5596" s="1112"/>
      <c r="M5596" s="1113"/>
      <c r="N5596" s="110"/>
      <c r="O5596" s="1140"/>
      <c r="P5596" s="1115"/>
      <c r="Q5596" s="1116"/>
      <c r="R5596" s="1141"/>
      <c r="S5596" s="1113"/>
      <c r="T5596" s="1143"/>
      <c r="U5596" s="1108"/>
      <c r="V5596" s="1108"/>
      <c r="W5596" s="1108"/>
      <c r="X5596" s="1108"/>
      <c r="Y5596" s="1108"/>
      <c r="Z5596" s="1114"/>
      <c r="AA5596" s="1114"/>
      <c r="AB5596" s="1114"/>
      <c r="AC5596" s="1117"/>
      <c r="AD5596" s="1115"/>
      <c r="AE5596" s="1115"/>
      <c r="AF5596" s="1115"/>
      <c r="AG5596" s="1115"/>
      <c r="AH5596" s="1115"/>
      <c r="AI5596" s="1115"/>
      <c r="AJ5596" s="1117"/>
      <c r="AK5596" s="1118"/>
      <c r="AL5596" s="1115"/>
      <c r="AM5596" s="1115"/>
      <c r="AN5596" s="1115"/>
      <c r="AO5596" s="1115"/>
      <c r="AP5596" s="1115"/>
      <c r="AQ5596" s="1115"/>
      <c r="AR5596" s="1115"/>
      <c r="AS5596" s="1117"/>
      <c r="AT5596" s="1075"/>
      <c r="AU5596" s="1193"/>
      <c r="AV5596" s="330"/>
      <c r="AW5596" s="331"/>
      <c r="AX5596" s="331"/>
      <c r="AY5596" s="331"/>
      <c r="AZ5596" s="331"/>
      <c r="BA5596" s="331"/>
      <c r="BB5596" s="331"/>
      <c r="BC5596" s="331"/>
      <c r="BD5596" s="331"/>
      <c r="BE5596" s="333"/>
      <c r="BF5596" s="330"/>
      <c r="BG5596" s="333"/>
      <c r="BH5596" s="1119"/>
      <c r="BI5596" s="319"/>
      <c r="BJ5596" s="319"/>
      <c r="BK5596" s="319"/>
      <c r="BL5596" s="319"/>
      <c r="BM5596" s="319"/>
      <c r="BN5596" s="319"/>
      <c r="BO5596" s="319"/>
      <c r="BP5596" s="953"/>
      <c r="BQ5596" s="319"/>
      <c r="BR5596" s="319"/>
      <c r="BS5596" s="330"/>
      <c r="BT5596" s="331"/>
      <c r="BU5596" s="920"/>
      <c r="BV5596" s="903"/>
      <c r="BW5596" s="908"/>
      <c r="BX5596" s="908"/>
      <c r="BY5596" s="331"/>
      <c r="BZ5596" s="331"/>
      <c r="CA5596" s="462"/>
      <c r="CB5596" s="319"/>
      <c r="CC5596" s="319"/>
      <c r="CD5596" s="319"/>
      <c r="CE5596" s="319"/>
      <c r="CF5596" s="319"/>
      <c r="CG5596" s="319"/>
      <c r="CH5596" s="318"/>
      <c r="CI5596" s="319"/>
      <c r="CJ5596" s="319"/>
      <c r="CK5596" s="342"/>
      <c r="CL5596" s="333"/>
      <c r="CM5596" s="1079"/>
      <c r="CN5596" s="1005"/>
      <c r="CO5596" s="1005"/>
      <c r="CP5596" s="1005"/>
    </row>
    <row r="5597">
      <c r="A5597" s="1257"/>
      <c r="B5597" s="1113"/>
      <c r="C5597" s="1107"/>
      <c r="D5597" s="103"/>
      <c r="E5597" s="1137"/>
      <c r="F5597" s="112"/>
      <c r="G5597" s="1110"/>
      <c r="H5597" s="1138"/>
      <c r="I5597" s="1138"/>
      <c r="J5597" s="1139"/>
      <c r="K5597" s="1111"/>
      <c r="L5597" s="1112"/>
      <c r="M5597" s="1113"/>
      <c r="N5597" s="110"/>
      <c r="O5597" s="1140"/>
      <c r="P5597" s="1115"/>
      <c r="Q5597" s="1116"/>
      <c r="R5597" s="1141"/>
      <c r="S5597" s="1113"/>
      <c r="T5597" s="1143"/>
      <c r="U5597" s="1108"/>
      <c r="V5597" s="1108"/>
      <c r="W5597" s="1108"/>
      <c r="X5597" s="1108"/>
      <c r="Y5597" s="1108"/>
      <c r="Z5597" s="1114"/>
      <c r="AA5597" s="1114"/>
      <c r="AB5597" s="1114"/>
      <c r="AC5597" s="1117"/>
      <c r="AD5597" s="1115"/>
      <c r="AE5597" s="1115"/>
      <c r="AF5597" s="1115"/>
      <c r="AG5597" s="1115"/>
      <c r="AH5597" s="1115"/>
      <c r="AI5597" s="1115"/>
      <c r="AJ5597" s="1117"/>
      <c r="AK5597" s="1118"/>
      <c r="AL5597" s="1115"/>
      <c r="AM5597" s="1115"/>
      <c r="AN5597" s="1115"/>
      <c r="AO5597" s="1115"/>
      <c r="AP5597" s="1115"/>
      <c r="AQ5597" s="1115"/>
      <c r="AR5597" s="1115"/>
      <c r="AS5597" s="1117"/>
      <c r="AT5597" s="1075"/>
      <c r="AU5597" s="1193"/>
      <c r="AV5597" s="330"/>
      <c r="AW5597" s="331"/>
      <c r="AX5597" s="331"/>
      <c r="AY5597" s="331"/>
      <c r="AZ5597" s="331"/>
      <c r="BA5597" s="331"/>
      <c r="BB5597" s="331"/>
      <c r="BC5597" s="331"/>
      <c r="BD5597" s="331"/>
      <c r="BE5597" s="333"/>
      <c r="BF5597" s="330"/>
      <c r="BG5597" s="333"/>
      <c r="BH5597" s="1119"/>
      <c r="BI5597" s="319"/>
      <c r="BJ5597" s="319"/>
      <c r="BK5597" s="319"/>
      <c r="BL5597" s="319"/>
      <c r="BM5597" s="319"/>
      <c r="BN5597" s="319"/>
      <c r="BO5597" s="319"/>
      <c r="BP5597" s="953"/>
      <c r="BQ5597" s="319"/>
      <c r="BR5597" s="319"/>
      <c r="BS5597" s="330"/>
      <c r="BT5597" s="331"/>
      <c r="BU5597" s="920"/>
      <c r="BV5597" s="903"/>
      <c r="BW5597" s="908"/>
      <c r="BX5597" s="908"/>
      <c r="BY5597" s="331"/>
      <c r="BZ5597" s="331"/>
      <c r="CA5597" s="462"/>
      <c r="CB5597" s="319"/>
      <c r="CC5597" s="319"/>
      <c r="CD5597" s="319"/>
      <c r="CE5597" s="319"/>
      <c r="CF5597" s="319"/>
      <c r="CG5597" s="319"/>
      <c r="CH5597" s="318"/>
      <c r="CI5597" s="319"/>
      <c r="CJ5597" s="319"/>
      <c r="CK5597" s="342"/>
      <c r="CL5597" s="333"/>
      <c r="CM5597" s="1079"/>
      <c r="CN5597" s="1005"/>
      <c r="CO5597" s="1005"/>
      <c r="CP5597" s="1005"/>
    </row>
    <row r="5598">
      <c r="A5598" s="1257"/>
      <c r="B5598" s="1113"/>
      <c r="C5598" s="1107"/>
      <c r="D5598" s="103"/>
      <c r="E5598" s="1137"/>
      <c r="F5598" s="112"/>
      <c r="G5598" s="1110"/>
      <c r="H5598" s="1138"/>
      <c r="I5598" s="1138"/>
      <c r="J5598" s="1139"/>
      <c r="K5598" s="1111"/>
      <c r="L5598" s="1112"/>
      <c r="M5598" s="1113"/>
      <c r="N5598" s="110"/>
      <c r="O5598" s="1140"/>
      <c r="P5598" s="1115"/>
      <c r="Q5598" s="1116"/>
      <c r="R5598" s="1141"/>
      <c r="S5598" s="1113"/>
      <c r="T5598" s="1143"/>
      <c r="U5598" s="1108"/>
      <c r="V5598" s="1108"/>
      <c r="W5598" s="1108"/>
      <c r="X5598" s="1108"/>
      <c r="Y5598" s="1108"/>
      <c r="Z5598" s="1114"/>
      <c r="AA5598" s="1114"/>
      <c r="AB5598" s="1114"/>
      <c r="AC5598" s="1117"/>
      <c r="AD5598" s="1115"/>
      <c r="AE5598" s="1115"/>
      <c r="AF5598" s="1115"/>
      <c r="AG5598" s="1115"/>
      <c r="AH5598" s="1115"/>
      <c r="AI5598" s="1115"/>
      <c r="AJ5598" s="1117"/>
      <c r="AK5598" s="1118"/>
      <c r="AL5598" s="1115"/>
      <c r="AM5598" s="1115"/>
      <c r="AN5598" s="1115"/>
      <c r="AO5598" s="1115"/>
      <c r="AP5598" s="1115"/>
      <c r="AQ5598" s="1115"/>
      <c r="AR5598" s="1115"/>
      <c r="AS5598" s="1117"/>
      <c r="AT5598" s="1075"/>
      <c r="AU5598" s="1193"/>
      <c r="AV5598" s="330"/>
      <c r="AW5598" s="331"/>
      <c r="AX5598" s="331"/>
      <c r="AY5598" s="331"/>
      <c r="AZ5598" s="331"/>
      <c r="BA5598" s="331"/>
      <c r="BB5598" s="331"/>
      <c r="BC5598" s="331"/>
      <c r="BD5598" s="331"/>
      <c r="BE5598" s="333"/>
      <c r="BF5598" s="330"/>
      <c r="BG5598" s="333"/>
      <c r="BH5598" s="1119"/>
      <c r="BI5598" s="319"/>
      <c r="BJ5598" s="319"/>
      <c r="BK5598" s="319"/>
      <c r="BL5598" s="319"/>
      <c r="BM5598" s="319"/>
      <c r="BN5598" s="319"/>
      <c r="BO5598" s="319"/>
      <c r="BP5598" s="953"/>
      <c r="BQ5598" s="319"/>
      <c r="BR5598" s="319"/>
      <c r="BS5598" s="330"/>
      <c r="BT5598" s="331"/>
      <c r="BU5598" s="920"/>
      <c r="BV5598" s="903"/>
      <c r="BW5598" s="908"/>
      <c r="BX5598" s="908"/>
      <c r="BY5598" s="331"/>
      <c r="BZ5598" s="331"/>
      <c r="CA5598" s="462"/>
      <c r="CB5598" s="319"/>
      <c r="CC5598" s="319"/>
      <c r="CD5598" s="319"/>
      <c r="CE5598" s="319"/>
      <c r="CF5598" s="319"/>
      <c r="CG5598" s="319"/>
      <c r="CH5598" s="318"/>
      <c r="CI5598" s="319"/>
      <c r="CJ5598" s="319"/>
      <c r="CK5598" s="342"/>
      <c r="CL5598" s="333"/>
      <c r="CM5598" s="1079"/>
      <c r="CN5598" s="1005"/>
      <c r="CO5598" s="1005"/>
      <c r="CP5598" s="1005"/>
    </row>
    <row r="5599">
      <c r="A5599" s="1257"/>
      <c r="B5599" s="1113"/>
      <c r="C5599" s="1107"/>
      <c r="D5599" s="103"/>
      <c r="E5599" s="1137"/>
      <c r="F5599" s="112"/>
      <c r="G5599" s="1110"/>
      <c r="H5599" s="1138"/>
      <c r="I5599" s="1138"/>
      <c r="J5599" s="1139"/>
      <c r="K5599" s="1111"/>
      <c r="L5599" s="1112"/>
      <c r="M5599" s="1113"/>
      <c r="N5599" s="110"/>
      <c r="O5599" s="1140"/>
      <c r="P5599" s="1115"/>
      <c r="Q5599" s="1116"/>
      <c r="R5599" s="1141"/>
      <c r="S5599" s="1113"/>
      <c r="T5599" s="1143"/>
      <c r="U5599" s="1108"/>
      <c r="V5599" s="1108"/>
      <c r="W5599" s="1108"/>
      <c r="X5599" s="1108"/>
      <c r="Y5599" s="1108"/>
      <c r="Z5599" s="1114"/>
      <c r="AA5599" s="1114"/>
      <c r="AB5599" s="1114"/>
      <c r="AC5599" s="1117"/>
      <c r="AD5599" s="1115"/>
      <c r="AE5599" s="1115"/>
      <c r="AF5599" s="1115"/>
      <c r="AG5599" s="1115"/>
      <c r="AH5599" s="1115"/>
      <c r="AI5599" s="1115"/>
      <c r="AJ5599" s="1117"/>
      <c r="AK5599" s="1118"/>
      <c r="AL5599" s="1115"/>
      <c r="AM5599" s="1115"/>
      <c r="AN5599" s="1115"/>
      <c r="AO5599" s="1115"/>
      <c r="AP5599" s="1115"/>
      <c r="AQ5599" s="1115"/>
      <c r="AR5599" s="1115"/>
      <c r="AS5599" s="1117"/>
      <c r="AT5599" s="1075"/>
      <c r="AU5599" s="1193"/>
      <c r="AV5599" s="330"/>
      <c r="AW5599" s="331"/>
      <c r="AX5599" s="331"/>
      <c r="AY5599" s="331"/>
      <c r="AZ5599" s="331"/>
      <c r="BA5599" s="331"/>
      <c r="BB5599" s="331"/>
      <c r="BC5599" s="331"/>
      <c r="BD5599" s="331"/>
      <c r="BE5599" s="333"/>
      <c r="BF5599" s="330"/>
      <c r="BG5599" s="333"/>
      <c r="BH5599" s="1119"/>
      <c r="BI5599" s="319"/>
      <c r="BJ5599" s="319"/>
      <c r="BK5599" s="319"/>
      <c r="BL5599" s="319"/>
      <c r="BM5599" s="319"/>
      <c r="BN5599" s="319"/>
      <c r="BO5599" s="319"/>
      <c r="BP5599" s="953"/>
      <c r="BQ5599" s="319"/>
      <c r="BR5599" s="319"/>
      <c r="BS5599" s="330"/>
      <c r="BT5599" s="331"/>
      <c r="BU5599" s="920"/>
      <c r="BV5599" s="903"/>
      <c r="BW5599" s="908"/>
      <c r="BX5599" s="908"/>
      <c r="BY5599" s="331"/>
      <c r="BZ5599" s="331"/>
      <c r="CA5599" s="462"/>
      <c r="CB5599" s="319"/>
      <c r="CC5599" s="319"/>
      <c r="CD5599" s="319"/>
      <c r="CE5599" s="319"/>
      <c r="CF5599" s="319"/>
      <c r="CG5599" s="319"/>
      <c r="CH5599" s="318"/>
      <c r="CI5599" s="319"/>
      <c r="CJ5599" s="319"/>
      <c r="CK5599" s="342"/>
      <c r="CL5599" s="333"/>
      <c r="CM5599" s="1079"/>
      <c r="CN5599" s="1005"/>
      <c r="CO5599" s="1005"/>
      <c r="CP5599" s="1005"/>
    </row>
    <row r="5600">
      <c r="A5600" s="1257"/>
      <c r="B5600" s="1113"/>
      <c r="C5600" s="1107"/>
      <c r="D5600" s="103"/>
      <c r="E5600" s="1137"/>
      <c r="F5600" s="112"/>
      <c r="G5600" s="1110"/>
      <c r="H5600" s="1138"/>
      <c r="I5600" s="1138"/>
      <c r="J5600" s="1139"/>
      <c r="K5600" s="1111"/>
      <c r="L5600" s="1112"/>
      <c r="M5600" s="1113"/>
      <c r="N5600" s="110"/>
      <c r="O5600" s="1140"/>
      <c r="P5600" s="1115"/>
      <c r="Q5600" s="1116"/>
      <c r="R5600" s="1141"/>
      <c r="S5600" s="1113"/>
      <c r="T5600" s="1143"/>
      <c r="U5600" s="1108"/>
      <c r="V5600" s="1108"/>
      <c r="W5600" s="1108"/>
      <c r="X5600" s="1108"/>
      <c r="Y5600" s="1108"/>
      <c r="Z5600" s="1114"/>
      <c r="AA5600" s="1114"/>
      <c r="AB5600" s="1114"/>
      <c r="AC5600" s="1117"/>
      <c r="AD5600" s="1115"/>
      <c r="AE5600" s="1115"/>
      <c r="AF5600" s="1115"/>
      <c r="AG5600" s="1115"/>
      <c r="AH5600" s="1115"/>
      <c r="AI5600" s="1115"/>
      <c r="AJ5600" s="1117"/>
      <c r="AK5600" s="1118"/>
      <c r="AL5600" s="1115"/>
      <c r="AM5600" s="1115"/>
      <c r="AN5600" s="1115"/>
      <c r="AO5600" s="1115"/>
      <c r="AP5600" s="1115"/>
      <c r="AQ5600" s="1115"/>
      <c r="AR5600" s="1115"/>
      <c r="AS5600" s="1117"/>
      <c r="AT5600" s="1075"/>
      <c r="AU5600" s="1193"/>
      <c r="AV5600" s="330"/>
      <c r="AW5600" s="331"/>
      <c r="AX5600" s="331"/>
      <c r="AY5600" s="331"/>
      <c r="AZ5600" s="331"/>
      <c r="BA5600" s="331"/>
      <c r="BB5600" s="331"/>
      <c r="BC5600" s="331"/>
      <c r="BD5600" s="331"/>
      <c r="BE5600" s="333"/>
      <c r="BF5600" s="330"/>
      <c r="BG5600" s="333"/>
      <c r="BH5600" s="1119"/>
      <c r="BI5600" s="319"/>
      <c r="BJ5600" s="319"/>
      <c r="BK5600" s="319"/>
      <c r="BL5600" s="319"/>
      <c r="BM5600" s="319"/>
      <c r="BN5600" s="319"/>
      <c r="BO5600" s="319"/>
      <c r="BP5600" s="953"/>
      <c r="BQ5600" s="319"/>
      <c r="BR5600" s="319"/>
      <c r="BS5600" s="330"/>
      <c r="BT5600" s="331"/>
      <c r="BU5600" s="920"/>
      <c r="BV5600" s="903"/>
      <c r="BW5600" s="908"/>
      <c r="BX5600" s="908"/>
      <c r="BY5600" s="331"/>
      <c r="BZ5600" s="331"/>
      <c r="CA5600" s="462"/>
      <c r="CB5600" s="319"/>
      <c r="CC5600" s="319"/>
      <c r="CD5600" s="319"/>
      <c r="CE5600" s="319"/>
      <c r="CF5600" s="319"/>
      <c r="CG5600" s="319"/>
      <c r="CH5600" s="318"/>
      <c r="CI5600" s="319"/>
      <c r="CJ5600" s="319"/>
      <c r="CK5600" s="342"/>
      <c r="CL5600" s="333"/>
      <c r="CM5600" s="1079"/>
      <c r="CN5600" s="1005"/>
      <c r="CO5600" s="1005"/>
      <c r="CP5600" s="1005"/>
    </row>
    <row r="5601">
      <c r="A5601" s="1257"/>
      <c r="B5601" s="1113"/>
      <c r="C5601" s="1107"/>
      <c r="D5601" s="103"/>
      <c r="E5601" s="1137"/>
      <c r="F5601" s="112"/>
      <c r="G5601" s="1110"/>
      <c r="H5601" s="1138"/>
      <c r="I5601" s="1138"/>
      <c r="J5601" s="1139"/>
      <c r="K5601" s="1111"/>
      <c r="L5601" s="1112"/>
      <c r="M5601" s="1113"/>
      <c r="N5601" s="110"/>
      <c r="O5601" s="1140"/>
      <c r="P5601" s="1115"/>
      <c r="Q5601" s="1116"/>
      <c r="R5601" s="1141"/>
      <c r="S5601" s="1113"/>
      <c r="T5601" s="1143"/>
      <c r="U5601" s="1108"/>
      <c r="V5601" s="1108"/>
      <c r="W5601" s="1108"/>
      <c r="X5601" s="1108"/>
      <c r="Y5601" s="1108"/>
      <c r="Z5601" s="1114"/>
      <c r="AA5601" s="1114"/>
      <c r="AB5601" s="1114"/>
      <c r="AC5601" s="1117"/>
      <c r="AD5601" s="1115"/>
      <c r="AE5601" s="1115"/>
      <c r="AF5601" s="1115"/>
      <c r="AG5601" s="1115"/>
      <c r="AH5601" s="1115"/>
      <c r="AI5601" s="1115"/>
      <c r="AJ5601" s="1117"/>
      <c r="AK5601" s="1118"/>
      <c r="AL5601" s="1115"/>
      <c r="AM5601" s="1115"/>
      <c r="AN5601" s="1115"/>
      <c r="AO5601" s="1115"/>
      <c r="AP5601" s="1115"/>
      <c r="AQ5601" s="1115"/>
      <c r="AR5601" s="1115"/>
      <c r="AS5601" s="1117"/>
      <c r="AT5601" s="1075"/>
      <c r="AU5601" s="1193"/>
      <c r="AV5601" s="330"/>
      <c r="AW5601" s="331"/>
      <c r="AX5601" s="331"/>
      <c r="AY5601" s="331"/>
      <c r="AZ5601" s="331"/>
      <c r="BA5601" s="331"/>
      <c r="BB5601" s="331"/>
      <c r="BC5601" s="331"/>
      <c r="BD5601" s="331"/>
      <c r="BE5601" s="333"/>
      <c r="BF5601" s="330"/>
      <c r="BG5601" s="333"/>
      <c r="BH5601" s="1119"/>
      <c r="BI5601" s="319"/>
      <c r="BJ5601" s="319"/>
      <c r="BK5601" s="319"/>
      <c r="BL5601" s="319"/>
      <c r="BM5601" s="319"/>
      <c r="BN5601" s="319"/>
      <c r="BO5601" s="319"/>
      <c r="BP5601" s="953"/>
      <c r="BQ5601" s="319"/>
      <c r="BR5601" s="319"/>
      <c r="BS5601" s="330"/>
      <c r="BT5601" s="331"/>
      <c r="BU5601" s="920"/>
      <c r="BV5601" s="903"/>
      <c r="BW5601" s="908"/>
      <c r="BX5601" s="908"/>
      <c r="BY5601" s="331"/>
      <c r="BZ5601" s="331"/>
      <c r="CA5601" s="462"/>
      <c r="CB5601" s="319"/>
      <c r="CC5601" s="319"/>
      <c r="CD5601" s="319"/>
      <c r="CE5601" s="319"/>
      <c r="CF5601" s="319"/>
      <c r="CG5601" s="319"/>
      <c r="CH5601" s="318"/>
      <c r="CI5601" s="319"/>
      <c r="CJ5601" s="319"/>
      <c r="CK5601" s="342"/>
      <c r="CL5601" s="333"/>
      <c r="CM5601" s="1079"/>
      <c r="CN5601" s="1005"/>
      <c r="CO5601" s="1005"/>
      <c r="CP5601" s="1005"/>
    </row>
    <row r="5602">
      <c r="A5602" s="1257"/>
      <c r="B5602" s="1113"/>
      <c r="C5602" s="1107"/>
      <c r="D5602" s="103"/>
      <c r="E5602" s="1137"/>
      <c r="F5602" s="112"/>
      <c r="G5602" s="1110"/>
      <c r="H5602" s="1138"/>
      <c r="I5602" s="1138"/>
      <c r="J5602" s="1139"/>
      <c r="K5602" s="1111"/>
      <c r="L5602" s="1112"/>
      <c r="M5602" s="1113"/>
      <c r="N5602" s="110"/>
      <c r="O5602" s="1140"/>
      <c r="P5602" s="1115"/>
      <c r="Q5602" s="1116"/>
      <c r="R5602" s="1141"/>
      <c r="S5602" s="1113"/>
      <c r="T5602" s="1143"/>
      <c r="U5602" s="1108"/>
      <c r="V5602" s="1108"/>
      <c r="W5602" s="1108"/>
      <c r="X5602" s="1108"/>
      <c r="Y5602" s="1108"/>
      <c r="Z5602" s="1114"/>
      <c r="AA5602" s="1114"/>
      <c r="AB5602" s="1114"/>
      <c r="AC5602" s="1117"/>
      <c r="AD5602" s="1115"/>
      <c r="AE5602" s="1115"/>
      <c r="AF5602" s="1115"/>
      <c r="AG5602" s="1115"/>
      <c r="AH5602" s="1115"/>
      <c r="AI5602" s="1115"/>
      <c r="AJ5602" s="1117"/>
      <c r="AK5602" s="1118"/>
      <c r="AL5602" s="1115"/>
      <c r="AM5602" s="1115"/>
      <c r="AN5602" s="1115"/>
      <c r="AO5602" s="1115"/>
      <c r="AP5602" s="1115"/>
      <c r="AQ5602" s="1115"/>
      <c r="AR5602" s="1115"/>
      <c r="AS5602" s="1117"/>
      <c r="AT5602" s="1075"/>
      <c r="AU5602" s="1193"/>
      <c r="AV5602" s="330"/>
      <c r="AW5602" s="331"/>
      <c r="AX5602" s="331"/>
      <c r="AY5602" s="331"/>
      <c r="AZ5602" s="331"/>
      <c r="BA5602" s="331"/>
      <c r="BB5602" s="331"/>
      <c r="BC5602" s="331"/>
      <c r="BD5602" s="331"/>
      <c r="BE5602" s="333"/>
      <c r="BF5602" s="330"/>
      <c r="BG5602" s="333"/>
      <c r="BH5602" s="1119"/>
      <c r="BI5602" s="319"/>
      <c r="BJ5602" s="319"/>
      <c r="BK5602" s="319"/>
      <c r="BL5602" s="319"/>
      <c r="BM5602" s="319"/>
      <c r="BN5602" s="319"/>
      <c r="BO5602" s="319"/>
      <c r="BP5602" s="953"/>
      <c r="BQ5602" s="319"/>
      <c r="BR5602" s="319"/>
      <c r="BS5602" s="330"/>
      <c r="BT5602" s="331"/>
      <c r="BU5602" s="920"/>
      <c r="BV5602" s="903"/>
      <c r="BW5602" s="908"/>
      <c r="BX5602" s="908"/>
      <c r="BY5602" s="331"/>
      <c r="BZ5602" s="331"/>
      <c r="CA5602" s="462"/>
      <c r="CB5602" s="319"/>
      <c r="CC5602" s="319"/>
      <c r="CD5602" s="319"/>
      <c r="CE5602" s="319"/>
      <c r="CF5602" s="319"/>
      <c r="CG5602" s="319"/>
      <c r="CH5602" s="318"/>
      <c r="CI5602" s="319"/>
      <c r="CJ5602" s="319"/>
      <c r="CK5602" s="342"/>
      <c r="CL5602" s="333"/>
      <c r="CM5602" s="1079"/>
      <c r="CN5602" s="1005"/>
      <c r="CO5602" s="1005"/>
      <c r="CP5602" s="1005"/>
    </row>
    <row r="5603">
      <c r="A5603" s="1257"/>
      <c r="B5603" s="1113"/>
      <c r="C5603" s="1107"/>
      <c r="D5603" s="103"/>
      <c r="E5603" s="1137"/>
      <c r="F5603" s="112"/>
      <c r="G5603" s="1110"/>
      <c r="H5603" s="1138"/>
      <c r="I5603" s="1138"/>
      <c r="J5603" s="1139"/>
      <c r="K5603" s="1111"/>
      <c r="L5603" s="1112"/>
      <c r="M5603" s="1113"/>
      <c r="N5603" s="110"/>
      <c r="O5603" s="1140"/>
      <c r="P5603" s="1115"/>
      <c r="Q5603" s="1116"/>
      <c r="R5603" s="1141"/>
      <c r="S5603" s="1113"/>
      <c r="T5603" s="1143"/>
      <c r="U5603" s="1108"/>
      <c r="V5603" s="1108"/>
      <c r="W5603" s="1108"/>
      <c r="X5603" s="1108"/>
      <c r="Y5603" s="1108"/>
      <c r="Z5603" s="1114"/>
      <c r="AA5603" s="1114"/>
      <c r="AB5603" s="1114"/>
      <c r="AC5603" s="1117"/>
      <c r="AD5603" s="1115"/>
      <c r="AE5603" s="1115"/>
      <c r="AF5603" s="1115"/>
      <c r="AG5603" s="1115"/>
      <c r="AH5603" s="1115"/>
      <c r="AI5603" s="1115"/>
      <c r="AJ5603" s="1117"/>
      <c r="AK5603" s="1118"/>
      <c r="AL5603" s="1115"/>
      <c r="AM5603" s="1115"/>
      <c r="AN5603" s="1115"/>
      <c r="AO5603" s="1115"/>
      <c r="AP5603" s="1115"/>
      <c r="AQ5603" s="1115"/>
      <c r="AR5603" s="1115"/>
      <c r="AS5603" s="1117"/>
      <c r="AT5603" s="1075"/>
      <c r="AU5603" s="1193"/>
      <c r="AV5603" s="330"/>
      <c r="AW5603" s="331"/>
      <c r="AX5603" s="331"/>
      <c r="AY5603" s="331"/>
      <c r="AZ5603" s="331"/>
      <c r="BA5603" s="331"/>
      <c r="BB5603" s="331"/>
      <c r="BC5603" s="331"/>
      <c r="BD5603" s="331"/>
      <c r="BE5603" s="333"/>
      <c r="BF5603" s="330"/>
      <c r="BG5603" s="333"/>
      <c r="BH5603" s="1119"/>
      <c r="BI5603" s="319"/>
      <c r="BJ5603" s="319"/>
      <c r="BK5603" s="319"/>
      <c r="BL5603" s="319"/>
      <c r="BM5603" s="319"/>
      <c r="BN5603" s="319"/>
      <c r="BO5603" s="319"/>
      <c r="BP5603" s="953"/>
      <c r="BQ5603" s="319"/>
      <c r="BR5603" s="319"/>
      <c r="BS5603" s="330"/>
      <c r="BT5603" s="331"/>
      <c r="BU5603" s="920"/>
      <c r="BV5603" s="903"/>
      <c r="BW5603" s="908"/>
      <c r="BX5603" s="908"/>
      <c r="BY5603" s="331"/>
      <c r="BZ5603" s="331"/>
      <c r="CA5603" s="462"/>
      <c r="CB5603" s="319"/>
      <c r="CC5603" s="319"/>
      <c r="CD5603" s="319"/>
      <c r="CE5603" s="319"/>
      <c r="CF5603" s="319"/>
      <c r="CG5603" s="319"/>
      <c r="CH5603" s="318"/>
      <c r="CI5603" s="319"/>
      <c r="CJ5603" s="319"/>
      <c r="CK5603" s="342"/>
      <c r="CL5603" s="333"/>
      <c r="CM5603" s="1079"/>
      <c r="CN5603" s="1005"/>
      <c r="CO5603" s="1005"/>
      <c r="CP5603" s="1005"/>
    </row>
    <row r="5604">
      <c r="A5604" s="1257"/>
      <c r="B5604" s="1113"/>
      <c r="C5604" s="1107"/>
      <c r="D5604" s="103"/>
      <c r="E5604" s="1137"/>
      <c r="F5604" s="112"/>
      <c r="G5604" s="1110"/>
      <c r="H5604" s="1138"/>
      <c r="I5604" s="1138"/>
      <c r="J5604" s="1139"/>
      <c r="K5604" s="1111"/>
      <c r="L5604" s="1112"/>
      <c r="M5604" s="1113"/>
      <c r="N5604" s="110"/>
      <c r="O5604" s="1140"/>
      <c r="P5604" s="1115"/>
      <c r="Q5604" s="1116"/>
      <c r="R5604" s="1141"/>
      <c r="S5604" s="1113"/>
      <c r="T5604" s="1143"/>
      <c r="U5604" s="1108"/>
      <c r="V5604" s="1108"/>
      <c r="W5604" s="1108"/>
      <c r="X5604" s="1108"/>
      <c r="Y5604" s="1108"/>
      <c r="Z5604" s="1114"/>
      <c r="AA5604" s="1114"/>
      <c r="AB5604" s="1114"/>
      <c r="AC5604" s="1117"/>
      <c r="AD5604" s="1115"/>
      <c r="AE5604" s="1115"/>
      <c r="AF5604" s="1115"/>
      <c r="AG5604" s="1115"/>
      <c r="AH5604" s="1115"/>
      <c r="AI5604" s="1115"/>
      <c r="AJ5604" s="1117"/>
      <c r="AK5604" s="1118"/>
      <c r="AL5604" s="1115"/>
      <c r="AM5604" s="1115"/>
      <c r="AN5604" s="1115"/>
      <c r="AO5604" s="1115"/>
      <c r="AP5604" s="1115"/>
      <c r="AQ5604" s="1115"/>
      <c r="AR5604" s="1115"/>
      <c r="AS5604" s="1117"/>
      <c r="AT5604" s="1075"/>
      <c r="AU5604" s="1193"/>
      <c r="AV5604" s="330"/>
      <c r="AW5604" s="331"/>
      <c r="AX5604" s="331"/>
      <c r="AY5604" s="331"/>
      <c r="AZ5604" s="331"/>
      <c r="BA5604" s="331"/>
      <c r="BB5604" s="331"/>
      <c r="BC5604" s="331"/>
      <c r="BD5604" s="331"/>
      <c r="BE5604" s="333"/>
      <c r="BF5604" s="330"/>
      <c r="BG5604" s="333"/>
      <c r="BH5604" s="1119"/>
      <c r="BI5604" s="319"/>
      <c r="BJ5604" s="319"/>
      <c r="BK5604" s="319"/>
      <c r="BL5604" s="319"/>
      <c r="BM5604" s="319"/>
      <c r="BN5604" s="319"/>
      <c r="BO5604" s="319"/>
      <c r="BP5604" s="953"/>
      <c r="BQ5604" s="319"/>
      <c r="BR5604" s="319"/>
      <c r="BS5604" s="330"/>
      <c r="BT5604" s="331"/>
      <c r="BU5604" s="920"/>
      <c r="BV5604" s="903"/>
      <c r="BW5604" s="908"/>
      <c r="BX5604" s="908"/>
      <c r="BY5604" s="331"/>
      <c r="BZ5604" s="331"/>
      <c r="CA5604" s="462"/>
      <c r="CB5604" s="319"/>
      <c r="CC5604" s="319"/>
      <c r="CD5604" s="319"/>
      <c r="CE5604" s="319"/>
      <c r="CF5604" s="319"/>
      <c r="CG5604" s="319"/>
      <c r="CH5604" s="318"/>
      <c r="CI5604" s="319"/>
      <c r="CJ5604" s="319"/>
      <c r="CK5604" s="342"/>
      <c r="CL5604" s="333"/>
      <c r="CM5604" s="1079"/>
      <c r="CN5604" s="1005"/>
      <c r="CO5604" s="1005"/>
      <c r="CP5604" s="1005"/>
    </row>
    <row r="5605">
      <c r="A5605" s="1257"/>
      <c r="B5605" s="1113"/>
      <c r="C5605" s="1107"/>
      <c r="D5605" s="103"/>
      <c r="E5605" s="1137"/>
      <c r="F5605" s="112"/>
      <c r="G5605" s="1110"/>
      <c r="H5605" s="1138"/>
      <c r="I5605" s="1138"/>
      <c r="J5605" s="1139"/>
      <c r="K5605" s="1111"/>
      <c r="L5605" s="1112"/>
      <c r="M5605" s="1113"/>
      <c r="N5605" s="110"/>
      <c r="O5605" s="1140"/>
      <c r="P5605" s="1115"/>
      <c r="Q5605" s="1116"/>
      <c r="R5605" s="1141"/>
      <c r="S5605" s="1113"/>
      <c r="T5605" s="1143"/>
      <c r="U5605" s="1108"/>
      <c r="V5605" s="1108"/>
      <c r="W5605" s="1108"/>
      <c r="X5605" s="1108"/>
      <c r="Y5605" s="1108"/>
      <c r="Z5605" s="1114"/>
      <c r="AA5605" s="1114"/>
      <c r="AB5605" s="1114"/>
      <c r="AC5605" s="1117"/>
      <c r="AD5605" s="1115"/>
      <c r="AE5605" s="1115"/>
      <c r="AF5605" s="1115"/>
      <c r="AG5605" s="1115"/>
      <c r="AH5605" s="1115"/>
      <c r="AI5605" s="1115"/>
      <c r="AJ5605" s="1117"/>
      <c r="AK5605" s="1118"/>
      <c r="AL5605" s="1115"/>
      <c r="AM5605" s="1115"/>
      <c r="AN5605" s="1115"/>
      <c r="AO5605" s="1115"/>
      <c r="AP5605" s="1115"/>
      <c r="AQ5605" s="1115"/>
      <c r="AR5605" s="1115"/>
      <c r="AS5605" s="1117"/>
      <c r="AT5605" s="1075"/>
      <c r="AU5605" s="1193"/>
      <c r="AV5605" s="330"/>
      <c r="AW5605" s="331"/>
      <c r="AX5605" s="331"/>
      <c r="AY5605" s="331"/>
      <c r="AZ5605" s="331"/>
      <c r="BA5605" s="331"/>
      <c r="BB5605" s="331"/>
      <c r="BC5605" s="331"/>
      <c r="BD5605" s="331"/>
      <c r="BE5605" s="333"/>
      <c r="BF5605" s="330"/>
      <c r="BG5605" s="333"/>
      <c r="BH5605" s="1119"/>
      <c r="BI5605" s="319"/>
      <c r="BJ5605" s="319"/>
      <c r="BK5605" s="319"/>
      <c r="BL5605" s="319"/>
      <c r="BM5605" s="319"/>
      <c r="BN5605" s="319"/>
      <c r="BO5605" s="319"/>
      <c r="BP5605" s="953"/>
      <c r="BQ5605" s="319"/>
      <c r="BR5605" s="319"/>
      <c r="BS5605" s="330"/>
      <c r="BT5605" s="331"/>
      <c r="BU5605" s="920"/>
      <c r="BV5605" s="903"/>
      <c r="BW5605" s="908"/>
      <c r="BX5605" s="908"/>
      <c r="BY5605" s="331"/>
      <c r="BZ5605" s="331"/>
      <c r="CA5605" s="462"/>
      <c r="CB5605" s="319"/>
      <c r="CC5605" s="319"/>
      <c r="CD5605" s="319"/>
      <c r="CE5605" s="319"/>
      <c r="CF5605" s="319"/>
      <c r="CG5605" s="319"/>
      <c r="CH5605" s="318"/>
      <c r="CI5605" s="319"/>
      <c r="CJ5605" s="319"/>
      <c r="CK5605" s="342"/>
      <c r="CL5605" s="333"/>
      <c r="CM5605" s="1079"/>
      <c r="CN5605" s="1005"/>
      <c r="CO5605" s="1005"/>
      <c r="CP5605" s="1005"/>
    </row>
    <row r="5606">
      <c r="A5606" s="1257"/>
      <c r="B5606" s="1113"/>
      <c r="C5606" s="1107"/>
      <c r="D5606" s="103"/>
      <c r="E5606" s="1137"/>
      <c r="F5606" s="112"/>
      <c r="G5606" s="1110"/>
      <c r="H5606" s="1138"/>
      <c r="I5606" s="1138"/>
      <c r="J5606" s="1139"/>
      <c r="K5606" s="1111"/>
      <c r="L5606" s="1112"/>
      <c r="M5606" s="1113"/>
      <c r="N5606" s="110"/>
      <c r="O5606" s="1140"/>
      <c r="P5606" s="1115"/>
      <c r="Q5606" s="1116"/>
      <c r="R5606" s="1141"/>
      <c r="S5606" s="1113"/>
      <c r="T5606" s="1143"/>
      <c r="U5606" s="1108"/>
      <c r="V5606" s="1108"/>
      <c r="W5606" s="1108"/>
      <c r="X5606" s="1108"/>
      <c r="Y5606" s="1108"/>
      <c r="Z5606" s="1114"/>
      <c r="AA5606" s="1114"/>
      <c r="AB5606" s="1114"/>
      <c r="AC5606" s="1117"/>
      <c r="AD5606" s="1115"/>
      <c r="AE5606" s="1115"/>
      <c r="AF5606" s="1115"/>
      <c r="AG5606" s="1115"/>
      <c r="AH5606" s="1115"/>
      <c r="AI5606" s="1115"/>
      <c r="AJ5606" s="1117"/>
      <c r="AK5606" s="1118"/>
      <c r="AL5606" s="1115"/>
      <c r="AM5606" s="1115"/>
      <c r="AN5606" s="1115"/>
      <c r="AO5606" s="1115"/>
      <c r="AP5606" s="1115"/>
      <c r="AQ5606" s="1115"/>
      <c r="AR5606" s="1115"/>
      <c r="AS5606" s="1117"/>
      <c r="AT5606" s="1075"/>
      <c r="AU5606" s="1193"/>
      <c r="AV5606" s="330"/>
      <c r="AW5606" s="331"/>
      <c r="AX5606" s="331"/>
      <c r="AY5606" s="331"/>
      <c r="AZ5606" s="331"/>
      <c r="BA5606" s="331"/>
      <c r="BB5606" s="331"/>
      <c r="BC5606" s="331"/>
      <c r="BD5606" s="331"/>
      <c r="BE5606" s="333"/>
      <c r="BF5606" s="330"/>
      <c r="BG5606" s="333"/>
      <c r="BH5606" s="1119"/>
      <c r="BI5606" s="319"/>
      <c r="BJ5606" s="319"/>
      <c r="BK5606" s="319"/>
      <c r="BL5606" s="319"/>
      <c r="BM5606" s="319"/>
      <c r="BN5606" s="319"/>
      <c r="BO5606" s="319"/>
      <c r="BP5606" s="953"/>
      <c r="BQ5606" s="319"/>
      <c r="BR5606" s="319"/>
      <c r="BS5606" s="330"/>
      <c r="BT5606" s="331"/>
      <c r="BU5606" s="920"/>
      <c r="BV5606" s="903"/>
      <c r="BW5606" s="908"/>
      <c r="BX5606" s="908"/>
      <c r="BY5606" s="331"/>
      <c r="BZ5606" s="331"/>
      <c r="CA5606" s="462"/>
      <c r="CB5606" s="319"/>
      <c r="CC5606" s="319"/>
      <c r="CD5606" s="319"/>
      <c r="CE5606" s="319"/>
      <c r="CF5606" s="319"/>
      <c r="CG5606" s="319"/>
      <c r="CH5606" s="318"/>
      <c r="CI5606" s="319"/>
      <c r="CJ5606" s="319"/>
      <c r="CK5606" s="342"/>
      <c r="CL5606" s="333"/>
      <c r="CM5606" s="1079"/>
      <c r="CN5606" s="1005"/>
      <c r="CO5606" s="1005"/>
      <c r="CP5606" s="1005"/>
    </row>
    <row r="5607">
      <c r="A5607" s="1257"/>
      <c r="B5607" s="1113"/>
      <c r="C5607" s="1107"/>
      <c r="D5607" s="103"/>
      <c r="E5607" s="1137"/>
      <c r="F5607" s="112"/>
      <c r="G5607" s="1110"/>
      <c r="H5607" s="1138"/>
      <c r="I5607" s="1138"/>
      <c r="J5607" s="1139"/>
      <c r="K5607" s="1111"/>
      <c r="L5607" s="1112"/>
      <c r="M5607" s="1113"/>
      <c r="N5607" s="110"/>
      <c r="O5607" s="1140"/>
      <c r="P5607" s="1115"/>
      <c r="Q5607" s="1116"/>
      <c r="R5607" s="1141"/>
      <c r="S5607" s="1113"/>
      <c r="T5607" s="1143"/>
      <c r="U5607" s="1108"/>
      <c r="V5607" s="1108"/>
      <c r="W5607" s="1108"/>
      <c r="X5607" s="1108"/>
      <c r="Y5607" s="1108"/>
      <c r="Z5607" s="1114"/>
      <c r="AA5607" s="1114"/>
      <c r="AB5607" s="1114"/>
      <c r="AC5607" s="1117"/>
      <c r="AD5607" s="1115"/>
      <c r="AE5607" s="1115"/>
      <c r="AF5607" s="1115"/>
      <c r="AG5607" s="1115"/>
      <c r="AH5607" s="1115"/>
      <c r="AI5607" s="1115"/>
      <c r="AJ5607" s="1117"/>
      <c r="AK5607" s="1118"/>
      <c r="AL5607" s="1115"/>
      <c r="AM5607" s="1115"/>
      <c r="AN5607" s="1115"/>
      <c r="AO5607" s="1115"/>
      <c r="AP5607" s="1115"/>
      <c r="AQ5607" s="1115"/>
      <c r="AR5607" s="1115"/>
      <c r="AS5607" s="1117"/>
      <c r="AT5607" s="1075"/>
      <c r="AU5607" s="1193"/>
      <c r="AV5607" s="330"/>
      <c r="AW5607" s="331"/>
      <c r="AX5607" s="331"/>
      <c r="AY5607" s="331"/>
      <c r="AZ5607" s="331"/>
      <c r="BA5607" s="331"/>
      <c r="BB5607" s="331"/>
      <c r="BC5607" s="331"/>
      <c r="BD5607" s="331"/>
      <c r="BE5607" s="333"/>
      <c r="BF5607" s="330"/>
      <c r="BG5607" s="333"/>
      <c r="BH5607" s="1119"/>
      <c r="BI5607" s="319"/>
      <c r="BJ5607" s="319"/>
      <c r="BK5607" s="319"/>
      <c r="BL5607" s="319"/>
      <c r="BM5607" s="319"/>
      <c r="BN5607" s="319"/>
      <c r="BO5607" s="319"/>
      <c r="BP5607" s="953"/>
      <c r="BQ5607" s="319"/>
      <c r="BR5607" s="319"/>
      <c r="BS5607" s="330"/>
      <c r="BT5607" s="331"/>
      <c r="BU5607" s="920"/>
      <c r="BV5607" s="903"/>
      <c r="BW5607" s="908"/>
      <c r="BX5607" s="908"/>
      <c r="BY5607" s="331"/>
      <c r="BZ5607" s="331"/>
      <c r="CA5607" s="462"/>
      <c r="CB5607" s="319"/>
      <c r="CC5607" s="319"/>
      <c r="CD5607" s="319"/>
      <c r="CE5607" s="319"/>
      <c r="CF5607" s="319"/>
      <c r="CG5607" s="319"/>
      <c r="CH5607" s="318"/>
      <c r="CI5607" s="319"/>
      <c r="CJ5607" s="319"/>
      <c r="CK5607" s="342"/>
      <c r="CL5607" s="333"/>
      <c r="CM5607" s="1079"/>
      <c r="CN5607" s="1005"/>
      <c r="CO5607" s="1005"/>
      <c r="CP5607" s="1005"/>
    </row>
    <row r="5608">
      <c r="A5608" s="1257"/>
      <c r="B5608" s="1113"/>
      <c r="C5608" s="1107"/>
      <c r="D5608" s="103"/>
      <c r="E5608" s="1137"/>
      <c r="F5608" s="112"/>
      <c r="G5608" s="1110"/>
      <c r="H5608" s="1138"/>
      <c r="I5608" s="1138"/>
      <c r="J5608" s="1139"/>
      <c r="K5608" s="1111"/>
      <c r="L5608" s="1112"/>
      <c r="M5608" s="1113"/>
      <c r="N5608" s="110"/>
      <c r="O5608" s="1140"/>
      <c r="P5608" s="1115"/>
      <c r="Q5608" s="1116"/>
      <c r="R5608" s="1141"/>
      <c r="S5608" s="1113"/>
      <c r="T5608" s="1143"/>
      <c r="U5608" s="1108"/>
      <c r="V5608" s="1108"/>
      <c r="W5608" s="1108"/>
      <c r="X5608" s="1108"/>
      <c r="Y5608" s="1108"/>
      <c r="Z5608" s="1114"/>
      <c r="AA5608" s="1114"/>
      <c r="AB5608" s="1114"/>
      <c r="AC5608" s="1117"/>
      <c r="AD5608" s="1115"/>
      <c r="AE5608" s="1115"/>
      <c r="AF5608" s="1115"/>
      <c r="AG5608" s="1115"/>
      <c r="AH5608" s="1115"/>
      <c r="AI5608" s="1115"/>
      <c r="AJ5608" s="1117"/>
      <c r="AK5608" s="1118"/>
      <c r="AL5608" s="1115"/>
      <c r="AM5608" s="1115"/>
      <c r="AN5608" s="1115"/>
      <c r="AO5608" s="1115"/>
      <c r="AP5608" s="1115"/>
      <c r="AQ5608" s="1115"/>
      <c r="AR5608" s="1115"/>
      <c r="AS5608" s="1117"/>
      <c r="AT5608" s="1075"/>
      <c r="AU5608" s="1193"/>
      <c r="AV5608" s="330"/>
      <c r="AW5608" s="331"/>
      <c r="AX5608" s="331"/>
      <c r="AY5608" s="331"/>
      <c r="AZ5608" s="331"/>
      <c r="BA5608" s="331"/>
      <c r="BB5608" s="331"/>
      <c r="BC5608" s="331"/>
      <c r="BD5608" s="331"/>
      <c r="BE5608" s="333"/>
      <c r="BF5608" s="330"/>
      <c r="BG5608" s="333"/>
      <c r="BH5608" s="1119"/>
      <c r="BI5608" s="319"/>
      <c r="BJ5608" s="319"/>
      <c r="BK5608" s="319"/>
      <c r="BL5608" s="319"/>
      <c r="BM5608" s="319"/>
      <c r="BN5608" s="319"/>
      <c r="BO5608" s="319"/>
      <c r="BP5608" s="953"/>
      <c r="BQ5608" s="319"/>
      <c r="BR5608" s="319"/>
      <c r="BS5608" s="330"/>
      <c r="BT5608" s="331"/>
      <c r="BU5608" s="920"/>
      <c r="BV5608" s="903"/>
      <c r="BW5608" s="908"/>
      <c r="BX5608" s="908"/>
      <c r="BY5608" s="331"/>
      <c r="BZ5608" s="331"/>
      <c r="CA5608" s="462"/>
      <c r="CB5608" s="319"/>
      <c r="CC5608" s="319"/>
      <c r="CD5608" s="319"/>
      <c r="CE5608" s="319"/>
      <c r="CF5608" s="319"/>
      <c r="CG5608" s="319"/>
      <c r="CH5608" s="318"/>
      <c r="CI5608" s="319"/>
      <c r="CJ5608" s="319"/>
      <c r="CK5608" s="342"/>
      <c r="CL5608" s="333"/>
      <c r="CM5608" s="1079"/>
      <c r="CN5608" s="1005"/>
      <c r="CO5608" s="1005"/>
      <c r="CP5608" s="1005"/>
    </row>
    <row r="5609">
      <c r="A5609" s="1257"/>
      <c r="B5609" s="1113"/>
      <c r="C5609" s="1107"/>
      <c r="D5609" s="103"/>
      <c r="E5609" s="1137"/>
      <c r="F5609" s="112"/>
      <c r="G5609" s="1110"/>
      <c r="H5609" s="1138"/>
      <c r="I5609" s="1138"/>
      <c r="J5609" s="1139"/>
      <c r="K5609" s="1111"/>
      <c r="L5609" s="1112"/>
      <c r="M5609" s="1113"/>
      <c r="N5609" s="110"/>
      <c r="O5609" s="1140"/>
      <c r="P5609" s="1115"/>
      <c r="Q5609" s="1116"/>
      <c r="R5609" s="1141"/>
      <c r="S5609" s="1113"/>
      <c r="T5609" s="1143"/>
      <c r="U5609" s="1108"/>
      <c r="V5609" s="1108"/>
      <c r="W5609" s="1108"/>
      <c r="X5609" s="1108"/>
      <c r="Y5609" s="1108"/>
      <c r="Z5609" s="1114"/>
      <c r="AA5609" s="1114"/>
      <c r="AB5609" s="1114"/>
      <c r="AC5609" s="1117"/>
      <c r="AD5609" s="1115"/>
      <c r="AE5609" s="1115"/>
      <c r="AF5609" s="1115"/>
      <c r="AG5609" s="1115"/>
      <c r="AH5609" s="1115"/>
      <c r="AI5609" s="1115"/>
      <c r="AJ5609" s="1117"/>
      <c r="AK5609" s="1118"/>
      <c r="AL5609" s="1115"/>
      <c r="AM5609" s="1115"/>
      <c r="AN5609" s="1115"/>
      <c r="AO5609" s="1115"/>
      <c r="AP5609" s="1115"/>
      <c r="AQ5609" s="1115"/>
      <c r="AR5609" s="1115"/>
      <c r="AS5609" s="1117"/>
      <c r="AT5609" s="1075"/>
      <c r="AU5609" s="1193"/>
      <c r="AV5609" s="330"/>
      <c r="AW5609" s="331"/>
      <c r="AX5609" s="331"/>
      <c r="AY5609" s="331"/>
      <c r="AZ5609" s="331"/>
      <c r="BA5609" s="331"/>
      <c r="BB5609" s="331"/>
      <c r="BC5609" s="331"/>
      <c r="BD5609" s="331"/>
      <c r="BE5609" s="333"/>
      <c r="BF5609" s="330"/>
      <c r="BG5609" s="333"/>
      <c r="BH5609" s="1119"/>
      <c r="BI5609" s="319"/>
      <c r="BJ5609" s="319"/>
      <c r="BK5609" s="319"/>
      <c r="BL5609" s="319"/>
      <c r="BM5609" s="319"/>
      <c r="BN5609" s="319"/>
      <c r="BO5609" s="319"/>
      <c r="BP5609" s="953"/>
      <c r="BQ5609" s="319"/>
      <c r="BR5609" s="319"/>
      <c r="BS5609" s="330"/>
      <c r="BT5609" s="331"/>
      <c r="BU5609" s="920"/>
      <c r="BV5609" s="903"/>
      <c r="BW5609" s="908"/>
      <c r="BX5609" s="908"/>
      <c r="BY5609" s="331"/>
      <c r="BZ5609" s="331"/>
      <c r="CA5609" s="462"/>
      <c r="CB5609" s="319"/>
      <c r="CC5609" s="319"/>
      <c r="CD5609" s="319"/>
      <c r="CE5609" s="319"/>
      <c r="CF5609" s="319"/>
      <c r="CG5609" s="319"/>
      <c r="CH5609" s="318"/>
      <c r="CI5609" s="319"/>
      <c r="CJ5609" s="319"/>
      <c r="CK5609" s="342"/>
      <c r="CL5609" s="333"/>
      <c r="CM5609" s="1079"/>
      <c r="CN5609" s="1005"/>
      <c r="CO5609" s="1005"/>
      <c r="CP5609" s="1005"/>
    </row>
    <row r="5610">
      <c r="A5610" s="1257"/>
      <c r="B5610" s="1113"/>
      <c r="C5610" s="1107"/>
      <c r="D5610" s="103"/>
      <c r="E5610" s="1137"/>
      <c r="F5610" s="112"/>
      <c r="G5610" s="1110"/>
      <c r="H5610" s="1138"/>
      <c r="I5610" s="1138"/>
      <c r="J5610" s="1139"/>
      <c r="K5610" s="1111"/>
      <c r="L5610" s="1112"/>
      <c r="M5610" s="1113"/>
      <c r="N5610" s="110"/>
      <c r="O5610" s="1140"/>
      <c r="P5610" s="1115"/>
      <c r="Q5610" s="1116"/>
      <c r="R5610" s="1141"/>
      <c r="S5610" s="1113"/>
      <c r="T5610" s="1143"/>
      <c r="U5610" s="1108"/>
      <c r="V5610" s="1108"/>
      <c r="W5610" s="1108"/>
      <c r="X5610" s="1108"/>
      <c r="Y5610" s="1108"/>
      <c r="Z5610" s="1114"/>
      <c r="AA5610" s="1114"/>
      <c r="AB5610" s="1114"/>
      <c r="AC5610" s="1117"/>
      <c r="AD5610" s="1115"/>
      <c r="AE5610" s="1115"/>
      <c r="AF5610" s="1115"/>
      <c r="AG5610" s="1115"/>
      <c r="AH5610" s="1115"/>
      <c r="AI5610" s="1115"/>
      <c r="AJ5610" s="1117"/>
      <c r="AK5610" s="1118"/>
      <c r="AL5610" s="1115"/>
      <c r="AM5610" s="1115"/>
      <c r="AN5610" s="1115"/>
      <c r="AO5610" s="1115"/>
      <c r="AP5610" s="1115"/>
      <c r="AQ5610" s="1115"/>
      <c r="AR5610" s="1115"/>
      <c r="AS5610" s="1117"/>
      <c r="AT5610" s="1075"/>
      <c r="AU5610" s="1193"/>
      <c r="AV5610" s="330"/>
      <c r="AW5610" s="331"/>
      <c r="AX5610" s="331"/>
      <c r="AY5610" s="331"/>
      <c r="AZ5610" s="331"/>
      <c r="BA5610" s="331"/>
      <c r="BB5610" s="331"/>
      <c r="BC5610" s="331"/>
      <c r="BD5610" s="331"/>
      <c r="BE5610" s="333"/>
      <c r="BF5610" s="330"/>
      <c r="BG5610" s="333"/>
      <c r="BH5610" s="1119"/>
      <c r="BI5610" s="319"/>
      <c r="BJ5610" s="319"/>
      <c r="BK5610" s="319"/>
      <c r="BL5610" s="319"/>
      <c r="BM5610" s="319"/>
      <c r="BN5610" s="319"/>
      <c r="BO5610" s="319"/>
      <c r="BP5610" s="953"/>
      <c r="BQ5610" s="319"/>
      <c r="BR5610" s="319"/>
      <c r="BS5610" s="330"/>
      <c r="BT5610" s="331"/>
      <c r="BU5610" s="920"/>
      <c r="BV5610" s="903"/>
      <c r="BW5610" s="908"/>
      <c r="BX5610" s="908"/>
      <c r="BY5610" s="331"/>
      <c r="BZ5610" s="331"/>
      <c r="CA5610" s="462"/>
      <c r="CB5610" s="319"/>
      <c r="CC5610" s="319"/>
      <c r="CD5610" s="319"/>
      <c r="CE5610" s="319"/>
      <c r="CF5610" s="319"/>
      <c r="CG5610" s="319"/>
      <c r="CH5610" s="318"/>
      <c r="CI5610" s="319"/>
      <c r="CJ5610" s="319"/>
      <c r="CK5610" s="342"/>
      <c r="CL5610" s="333"/>
      <c r="CM5610" s="1079"/>
      <c r="CN5610" s="1005"/>
      <c r="CO5610" s="1005"/>
      <c r="CP5610" s="1005"/>
    </row>
    <row r="5611">
      <c r="A5611" s="1257"/>
      <c r="B5611" s="1113"/>
      <c r="C5611" s="1107"/>
      <c r="D5611" s="103"/>
      <c r="E5611" s="1137"/>
      <c r="F5611" s="112"/>
      <c r="G5611" s="1110"/>
      <c r="H5611" s="1138"/>
      <c r="I5611" s="1138"/>
      <c r="J5611" s="1139"/>
      <c r="K5611" s="1111"/>
      <c r="L5611" s="1112"/>
      <c r="M5611" s="1113"/>
      <c r="N5611" s="110"/>
      <c r="O5611" s="1140"/>
      <c r="P5611" s="1115"/>
      <c r="Q5611" s="1116"/>
      <c r="R5611" s="1141"/>
      <c r="S5611" s="1113"/>
      <c r="T5611" s="1143"/>
      <c r="U5611" s="1108"/>
      <c r="V5611" s="1108"/>
      <c r="W5611" s="1108"/>
      <c r="X5611" s="1108"/>
      <c r="Y5611" s="1108"/>
      <c r="Z5611" s="1114"/>
      <c r="AA5611" s="1114"/>
      <c r="AB5611" s="1114"/>
      <c r="AC5611" s="1117"/>
      <c r="AD5611" s="1115"/>
      <c r="AE5611" s="1115"/>
      <c r="AF5611" s="1115"/>
      <c r="AG5611" s="1115"/>
      <c r="AH5611" s="1115"/>
      <c r="AI5611" s="1115"/>
      <c r="AJ5611" s="1117"/>
      <c r="AK5611" s="1118"/>
      <c r="AL5611" s="1115"/>
      <c r="AM5611" s="1115"/>
      <c r="AN5611" s="1115"/>
      <c r="AO5611" s="1115"/>
      <c r="AP5611" s="1115"/>
      <c r="AQ5611" s="1115"/>
      <c r="AR5611" s="1115"/>
      <c r="AS5611" s="1117"/>
      <c r="AT5611" s="1075"/>
      <c r="AU5611" s="1193"/>
      <c r="AV5611" s="330"/>
      <c r="AW5611" s="331"/>
      <c r="AX5611" s="331"/>
      <c r="AY5611" s="331"/>
      <c r="AZ5611" s="331"/>
      <c r="BA5611" s="331"/>
      <c r="BB5611" s="331"/>
      <c r="BC5611" s="331"/>
      <c r="BD5611" s="331"/>
      <c r="BE5611" s="333"/>
      <c r="BF5611" s="330"/>
      <c r="BG5611" s="333"/>
      <c r="BH5611" s="1119"/>
      <c r="BI5611" s="319"/>
      <c r="BJ5611" s="319"/>
      <c r="BK5611" s="319"/>
      <c r="BL5611" s="319"/>
      <c r="BM5611" s="319"/>
      <c r="BN5611" s="319"/>
      <c r="BO5611" s="319"/>
      <c r="BP5611" s="953"/>
      <c r="BQ5611" s="319"/>
      <c r="BR5611" s="319"/>
      <c r="BS5611" s="330"/>
      <c r="BT5611" s="331"/>
      <c r="BU5611" s="920"/>
      <c r="BV5611" s="903"/>
      <c r="BW5611" s="908"/>
      <c r="BX5611" s="908"/>
      <c r="BY5611" s="331"/>
      <c r="BZ5611" s="331"/>
      <c r="CA5611" s="462"/>
      <c r="CB5611" s="319"/>
      <c r="CC5611" s="319"/>
      <c r="CD5611" s="319"/>
      <c r="CE5611" s="319"/>
      <c r="CF5611" s="319"/>
      <c r="CG5611" s="319"/>
      <c r="CH5611" s="318"/>
      <c r="CI5611" s="319"/>
      <c r="CJ5611" s="319"/>
      <c r="CK5611" s="342"/>
      <c r="CL5611" s="333"/>
      <c r="CM5611" s="1079"/>
      <c r="CN5611" s="1005"/>
      <c r="CO5611" s="1005"/>
      <c r="CP5611" s="1005"/>
    </row>
    <row r="5612">
      <c r="A5612" s="1257"/>
      <c r="B5612" s="1113"/>
      <c r="C5612" s="1107"/>
      <c r="D5612" s="103"/>
      <c r="E5612" s="1137"/>
      <c r="F5612" s="112"/>
      <c r="G5612" s="1110"/>
      <c r="H5612" s="1138"/>
      <c r="I5612" s="1138"/>
      <c r="J5612" s="1139"/>
      <c r="K5612" s="1111"/>
      <c r="L5612" s="1112"/>
      <c r="M5612" s="1113"/>
      <c r="N5612" s="110"/>
      <c r="O5612" s="1140"/>
      <c r="P5612" s="1115"/>
      <c r="Q5612" s="1116"/>
      <c r="R5612" s="1141"/>
      <c r="S5612" s="1113"/>
      <c r="T5612" s="1143"/>
      <c r="U5612" s="1108"/>
      <c r="V5612" s="1108"/>
      <c r="W5612" s="1108"/>
      <c r="X5612" s="1108"/>
      <c r="Y5612" s="1108"/>
      <c r="Z5612" s="1114"/>
      <c r="AA5612" s="1114"/>
      <c r="AB5612" s="1114"/>
      <c r="AC5612" s="1117"/>
      <c r="AD5612" s="1115"/>
      <c r="AE5612" s="1115"/>
      <c r="AF5612" s="1115"/>
      <c r="AG5612" s="1115"/>
      <c r="AH5612" s="1115"/>
      <c r="AI5612" s="1115"/>
      <c r="AJ5612" s="1117"/>
      <c r="AK5612" s="1118"/>
      <c r="AL5612" s="1115"/>
      <c r="AM5612" s="1115"/>
      <c r="AN5612" s="1115"/>
      <c r="AO5612" s="1115"/>
      <c r="AP5612" s="1115"/>
      <c r="AQ5612" s="1115"/>
      <c r="AR5612" s="1115"/>
      <c r="AS5612" s="1117"/>
      <c r="AT5612" s="1075"/>
      <c r="AU5612" s="1193"/>
      <c r="AV5612" s="330"/>
      <c r="AW5612" s="331"/>
      <c r="AX5612" s="331"/>
      <c r="AY5612" s="331"/>
      <c r="AZ5612" s="331"/>
      <c r="BA5612" s="331"/>
      <c r="BB5612" s="331"/>
      <c r="BC5612" s="331"/>
      <c r="BD5612" s="331"/>
      <c r="BE5612" s="333"/>
      <c r="BF5612" s="330"/>
      <c r="BG5612" s="333"/>
      <c r="BH5612" s="1119"/>
      <c r="BI5612" s="319"/>
      <c r="BJ5612" s="319"/>
      <c r="BK5612" s="319"/>
      <c r="BL5612" s="319"/>
      <c r="BM5612" s="319"/>
      <c r="BN5612" s="319"/>
      <c r="BO5612" s="319"/>
      <c r="BP5612" s="953"/>
      <c r="BQ5612" s="319"/>
      <c r="BR5612" s="319"/>
      <c r="BS5612" s="330"/>
      <c r="BT5612" s="331"/>
      <c r="BU5612" s="920"/>
      <c r="BV5612" s="903"/>
      <c r="BW5612" s="908"/>
      <c r="BX5612" s="908"/>
      <c r="BY5612" s="331"/>
      <c r="BZ5612" s="331"/>
      <c r="CA5612" s="462"/>
      <c r="CB5612" s="319"/>
      <c r="CC5612" s="319"/>
      <c r="CD5612" s="319"/>
      <c r="CE5612" s="319"/>
      <c r="CF5612" s="319"/>
      <c r="CG5612" s="319"/>
      <c r="CH5612" s="318"/>
      <c r="CI5612" s="319"/>
      <c r="CJ5612" s="319"/>
      <c r="CK5612" s="342"/>
      <c r="CL5612" s="333"/>
      <c r="CM5612" s="1079"/>
      <c r="CN5612" s="1005"/>
      <c r="CO5612" s="1005"/>
      <c r="CP5612" s="1005"/>
    </row>
    <row r="5613">
      <c r="A5613" s="1257"/>
      <c r="B5613" s="1113"/>
      <c r="C5613" s="1107"/>
      <c r="D5613" s="103"/>
      <c r="E5613" s="1137"/>
      <c r="F5613" s="112"/>
      <c r="G5613" s="1110"/>
      <c r="H5613" s="1138"/>
      <c r="I5613" s="1138"/>
      <c r="J5613" s="1139"/>
      <c r="K5613" s="1111"/>
      <c r="L5613" s="1112"/>
      <c r="M5613" s="1113"/>
      <c r="N5613" s="110"/>
      <c r="O5613" s="1140"/>
      <c r="P5613" s="1115"/>
      <c r="Q5613" s="1116"/>
      <c r="R5613" s="1141"/>
      <c r="S5613" s="1113"/>
      <c r="T5613" s="1143"/>
      <c r="U5613" s="1108"/>
      <c r="V5613" s="1108"/>
      <c r="W5613" s="1108"/>
      <c r="X5613" s="1108"/>
      <c r="Y5613" s="1108"/>
      <c r="Z5613" s="1114"/>
      <c r="AA5613" s="1114"/>
      <c r="AB5613" s="1114"/>
      <c r="AC5613" s="1117"/>
      <c r="AD5613" s="1115"/>
      <c r="AE5613" s="1115"/>
      <c r="AF5613" s="1115"/>
      <c r="AG5613" s="1115"/>
      <c r="AH5613" s="1115"/>
      <c r="AI5613" s="1115"/>
      <c r="AJ5613" s="1117"/>
      <c r="AK5613" s="1118"/>
      <c r="AL5613" s="1115"/>
      <c r="AM5613" s="1115"/>
      <c r="AN5613" s="1115"/>
      <c r="AO5613" s="1115"/>
      <c r="AP5613" s="1115"/>
      <c r="AQ5613" s="1115"/>
      <c r="AR5613" s="1115"/>
      <c r="AS5613" s="1117"/>
      <c r="AT5613" s="1075"/>
      <c r="AU5613" s="1193"/>
      <c r="AV5613" s="330"/>
      <c r="AW5613" s="331"/>
      <c r="AX5613" s="331"/>
      <c r="AY5613" s="331"/>
      <c r="AZ5613" s="331"/>
      <c r="BA5613" s="331"/>
      <c r="BB5613" s="331"/>
      <c r="BC5613" s="331"/>
      <c r="BD5613" s="331"/>
      <c r="BE5613" s="333"/>
      <c r="BF5613" s="330"/>
      <c r="BG5613" s="333"/>
      <c r="BH5613" s="1119"/>
      <c r="BI5613" s="319"/>
      <c r="BJ5613" s="319"/>
      <c r="BK5613" s="319"/>
      <c r="BL5613" s="319"/>
      <c r="BM5613" s="319"/>
      <c r="BN5613" s="319"/>
      <c r="BO5613" s="319"/>
      <c r="BP5613" s="953"/>
      <c r="BQ5613" s="319"/>
      <c r="BR5613" s="319"/>
      <c r="BS5613" s="330"/>
      <c r="BT5613" s="331"/>
      <c r="BU5613" s="920"/>
      <c r="BV5613" s="903"/>
      <c r="BW5613" s="908"/>
      <c r="BX5613" s="908"/>
      <c r="BY5613" s="331"/>
      <c r="BZ5613" s="331"/>
      <c r="CA5613" s="462"/>
      <c r="CB5613" s="319"/>
      <c r="CC5613" s="319"/>
      <c r="CD5613" s="319"/>
      <c r="CE5613" s="319"/>
      <c r="CF5613" s="319"/>
      <c r="CG5613" s="319"/>
      <c r="CH5613" s="318"/>
      <c r="CI5613" s="319"/>
      <c r="CJ5613" s="319"/>
      <c r="CK5613" s="342"/>
      <c r="CL5613" s="333"/>
      <c r="CM5613" s="1079"/>
      <c r="CN5613" s="1005"/>
      <c r="CO5613" s="1005"/>
      <c r="CP5613" s="1005"/>
    </row>
    <row r="5614">
      <c r="A5614" s="1257"/>
      <c r="B5614" s="1113"/>
      <c r="C5614" s="1107"/>
      <c r="D5614" s="103"/>
      <c r="E5614" s="1137"/>
      <c r="F5614" s="112"/>
      <c r="G5614" s="1110"/>
      <c r="H5614" s="1138"/>
      <c r="I5614" s="1138"/>
      <c r="J5614" s="1139"/>
      <c r="K5614" s="1111"/>
      <c r="L5614" s="1112"/>
      <c r="M5614" s="1113"/>
      <c r="N5614" s="110"/>
      <c r="O5614" s="1140"/>
      <c r="P5614" s="1115"/>
      <c r="Q5614" s="1116"/>
      <c r="R5614" s="1141"/>
      <c r="S5614" s="1113"/>
      <c r="T5614" s="1143"/>
      <c r="U5614" s="1108"/>
      <c r="V5614" s="1108"/>
      <c r="W5614" s="1108"/>
      <c r="X5614" s="1108"/>
      <c r="Y5614" s="1108"/>
      <c r="Z5614" s="1114"/>
      <c r="AA5614" s="1114"/>
      <c r="AB5614" s="1114"/>
      <c r="AC5614" s="1117"/>
      <c r="AD5614" s="1115"/>
      <c r="AE5614" s="1115"/>
      <c r="AF5614" s="1115"/>
      <c r="AG5614" s="1115"/>
      <c r="AH5614" s="1115"/>
      <c r="AI5614" s="1115"/>
      <c r="AJ5614" s="1117"/>
      <c r="AK5614" s="1118"/>
      <c r="AL5614" s="1115"/>
      <c r="AM5614" s="1115"/>
      <c r="AN5614" s="1115"/>
      <c r="AO5614" s="1115"/>
      <c r="AP5614" s="1115"/>
      <c r="AQ5614" s="1115"/>
      <c r="AR5614" s="1115"/>
      <c r="AS5614" s="1117"/>
      <c r="AT5614" s="1075"/>
      <c r="AU5614" s="1193"/>
      <c r="AV5614" s="330"/>
      <c r="AW5614" s="331"/>
      <c r="AX5614" s="331"/>
      <c r="AY5614" s="331"/>
      <c r="AZ5614" s="331"/>
      <c r="BA5614" s="331"/>
      <c r="BB5614" s="331"/>
      <c r="BC5614" s="331"/>
      <c r="BD5614" s="331"/>
      <c r="BE5614" s="333"/>
      <c r="BF5614" s="330"/>
      <c r="BG5614" s="333"/>
      <c r="BH5614" s="1119"/>
      <c r="BI5614" s="319"/>
      <c r="BJ5614" s="319"/>
      <c r="BK5614" s="319"/>
      <c r="BL5614" s="319"/>
      <c r="BM5614" s="319"/>
      <c r="BN5614" s="319"/>
      <c r="BO5614" s="319"/>
      <c r="BP5614" s="953"/>
      <c r="BQ5614" s="319"/>
      <c r="BR5614" s="319"/>
      <c r="BS5614" s="330"/>
      <c r="BT5614" s="331"/>
      <c r="BU5614" s="920"/>
      <c r="BV5614" s="903"/>
      <c r="BW5614" s="908"/>
      <c r="BX5614" s="908"/>
      <c r="BY5614" s="331"/>
      <c r="BZ5614" s="331"/>
      <c r="CA5614" s="462"/>
      <c r="CB5614" s="319"/>
      <c r="CC5614" s="319"/>
      <c r="CD5614" s="319"/>
      <c r="CE5614" s="319"/>
      <c r="CF5614" s="319"/>
      <c r="CG5614" s="319"/>
      <c r="CH5614" s="318"/>
      <c r="CI5614" s="319"/>
      <c r="CJ5614" s="319"/>
      <c r="CK5614" s="342"/>
      <c r="CL5614" s="333"/>
      <c r="CM5614" s="1079"/>
      <c r="CN5614" s="1005"/>
      <c r="CO5614" s="1005"/>
      <c r="CP5614" s="1005"/>
    </row>
    <row r="5615">
      <c r="A5615" s="1257"/>
      <c r="B5615" s="1113"/>
      <c r="C5615" s="1107"/>
      <c r="D5615" s="103"/>
      <c r="E5615" s="1137"/>
      <c r="F5615" s="112"/>
      <c r="G5615" s="1110"/>
      <c r="H5615" s="1138"/>
      <c r="I5615" s="1138"/>
      <c r="J5615" s="1139"/>
      <c r="K5615" s="1111"/>
      <c r="L5615" s="1112"/>
      <c r="M5615" s="1113"/>
      <c r="N5615" s="110"/>
      <c r="O5615" s="1140"/>
      <c r="P5615" s="1115"/>
      <c r="Q5615" s="1116"/>
      <c r="R5615" s="1141"/>
      <c r="S5615" s="1113"/>
      <c r="T5615" s="1143"/>
      <c r="U5615" s="1108"/>
      <c r="V5615" s="1108"/>
      <c r="W5615" s="1108"/>
      <c r="X5615" s="1108"/>
      <c r="Y5615" s="1108"/>
      <c r="Z5615" s="1114"/>
      <c r="AA5615" s="1114"/>
      <c r="AB5615" s="1114"/>
      <c r="AC5615" s="1117"/>
      <c r="AD5615" s="1115"/>
      <c r="AE5615" s="1115"/>
      <c r="AF5615" s="1115"/>
      <c r="AG5615" s="1115"/>
      <c r="AH5615" s="1115"/>
      <c r="AI5615" s="1115"/>
      <c r="AJ5615" s="1117"/>
      <c r="AK5615" s="1118"/>
      <c r="AL5615" s="1115"/>
      <c r="AM5615" s="1115"/>
      <c r="AN5615" s="1115"/>
      <c r="AO5615" s="1115"/>
      <c r="AP5615" s="1115"/>
      <c r="AQ5615" s="1115"/>
      <c r="AR5615" s="1115"/>
      <c r="AS5615" s="1117"/>
      <c r="AT5615" s="1075"/>
      <c r="AU5615" s="1193"/>
      <c r="AV5615" s="330"/>
      <c r="AW5615" s="331"/>
      <c r="AX5615" s="331"/>
      <c r="AY5615" s="331"/>
      <c r="AZ5615" s="331"/>
      <c r="BA5615" s="331"/>
      <c r="BB5615" s="331"/>
      <c r="BC5615" s="331"/>
      <c r="BD5615" s="331"/>
      <c r="BE5615" s="333"/>
      <c r="BF5615" s="330"/>
      <c r="BG5615" s="333"/>
      <c r="BH5615" s="1119"/>
      <c r="BI5615" s="319"/>
      <c r="BJ5615" s="319"/>
      <c r="BK5615" s="319"/>
      <c r="BL5615" s="319"/>
      <c r="BM5615" s="319"/>
      <c r="BN5615" s="319"/>
      <c r="BO5615" s="319"/>
      <c r="BP5615" s="953"/>
      <c r="BQ5615" s="319"/>
      <c r="BR5615" s="319"/>
      <c r="BS5615" s="330"/>
      <c r="BT5615" s="331"/>
      <c r="BU5615" s="920"/>
      <c r="BV5615" s="903"/>
      <c r="BW5615" s="908"/>
      <c r="BX5615" s="908"/>
      <c r="BY5615" s="331"/>
      <c r="BZ5615" s="331"/>
      <c r="CA5615" s="462"/>
      <c r="CB5615" s="319"/>
      <c r="CC5615" s="319"/>
      <c r="CD5615" s="319"/>
      <c r="CE5615" s="319"/>
      <c r="CF5615" s="319"/>
      <c r="CG5615" s="319"/>
      <c r="CH5615" s="318"/>
      <c r="CI5615" s="319"/>
      <c r="CJ5615" s="319"/>
      <c r="CK5615" s="342"/>
      <c r="CL5615" s="333"/>
      <c r="CM5615" s="1079"/>
      <c r="CN5615" s="1005"/>
      <c r="CO5615" s="1005"/>
      <c r="CP5615" s="1005"/>
    </row>
    <row r="5616">
      <c r="A5616" s="1257"/>
      <c r="B5616" s="1113"/>
      <c r="C5616" s="1107"/>
      <c r="D5616" s="103"/>
      <c r="E5616" s="1137"/>
      <c r="F5616" s="112"/>
      <c r="G5616" s="1110"/>
      <c r="H5616" s="1138"/>
      <c r="I5616" s="1138"/>
      <c r="J5616" s="1139"/>
      <c r="K5616" s="1111"/>
      <c r="L5616" s="1112"/>
      <c r="M5616" s="1113"/>
      <c r="N5616" s="110"/>
      <c r="O5616" s="1140"/>
      <c r="P5616" s="1115"/>
      <c r="Q5616" s="1116"/>
      <c r="R5616" s="1141"/>
      <c r="S5616" s="1113"/>
      <c r="T5616" s="1143"/>
      <c r="U5616" s="1108"/>
      <c r="V5616" s="1108"/>
      <c r="W5616" s="1108"/>
      <c r="X5616" s="1108"/>
      <c r="Y5616" s="1108"/>
      <c r="Z5616" s="1114"/>
      <c r="AA5616" s="1114"/>
      <c r="AB5616" s="1114"/>
      <c r="AC5616" s="1117"/>
      <c r="AD5616" s="1115"/>
      <c r="AE5616" s="1115"/>
      <c r="AF5616" s="1115"/>
      <c r="AG5616" s="1115"/>
      <c r="AH5616" s="1115"/>
      <c r="AI5616" s="1115"/>
      <c r="AJ5616" s="1117"/>
      <c r="AK5616" s="1118"/>
      <c r="AL5616" s="1115"/>
      <c r="AM5616" s="1115"/>
      <c r="AN5616" s="1115"/>
      <c r="AO5616" s="1115"/>
      <c r="AP5616" s="1115"/>
      <c r="AQ5616" s="1115"/>
      <c r="AR5616" s="1115"/>
      <c r="AS5616" s="1117"/>
      <c r="AT5616" s="1075"/>
      <c r="AU5616" s="1193"/>
      <c r="AV5616" s="330"/>
      <c r="AW5616" s="331"/>
      <c r="AX5616" s="331"/>
      <c r="AY5616" s="331"/>
      <c r="AZ5616" s="331"/>
      <c r="BA5616" s="331"/>
      <c r="BB5616" s="331"/>
      <c r="BC5616" s="331"/>
      <c r="BD5616" s="331"/>
      <c r="BE5616" s="333"/>
      <c r="BF5616" s="330"/>
      <c r="BG5616" s="333"/>
      <c r="BH5616" s="1119"/>
      <c r="BI5616" s="319"/>
      <c r="BJ5616" s="319"/>
      <c r="BK5616" s="319"/>
      <c r="BL5616" s="319"/>
      <c r="BM5616" s="319"/>
      <c r="BN5616" s="319"/>
      <c r="BO5616" s="319"/>
      <c r="BP5616" s="953"/>
      <c r="BQ5616" s="319"/>
      <c r="BR5616" s="319"/>
      <c r="BS5616" s="330"/>
      <c r="BT5616" s="331"/>
      <c r="BU5616" s="920"/>
      <c r="BV5616" s="903"/>
      <c r="BW5616" s="908"/>
      <c r="BX5616" s="908"/>
      <c r="BY5616" s="331"/>
      <c r="BZ5616" s="331"/>
      <c r="CA5616" s="462"/>
      <c r="CB5616" s="319"/>
      <c r="CC5616" s="319"/>
      <c r="CD5616" s="319"/>
      <c r="CE5616" s="319"/>
      <c r="CF5616" s="319"/>
      <c r="CG5616" s="319"/>
      <c r="CH5616" s="318"/>
      <c r="CI5616" s="319"/>
      <c r="CJ5616" s="319"/>
      <c r="CK5616" s="342"/>
      <c r="CL5616" s="333"/>
      <c r="CM5616" s="1079"/>
      <c r="CN5616" s="1005"/>
      <c r="CO5616" s="1005"/>
      <c r="CP5616" s="1005"/>
    </row>
    <row r="5617">
      <c r="A5617" s="1257"/>
      <c r="B5617" s="1113"/>
      <c r="C5617" s="1107"/>
      <c r="D5617" s="103"/>
      <c r="E5617" s="1137"/>
      <c r="F5617" s="112"/>
      <c r="G5617" s="1110"/>
      <c r="H5617" s="1138"/>
      <c r="I5617" s="1138"/>
      <c r="J5617" s="1139"/>
      <c r="K5617" s="1111"/>
      <c r="L5617" s="1112"/>
      <c r="M5617" s="1113"/>
      <c r="N5617" s="110"/>
      <c r="O5617" s="1140"/>
      <c r="P5617" s="1115"/>
      <c r="Q5617" s="1116"/>
      <c r="R5617" s="1141"/>
      <c r="S5617" s="1113"/>
      <c r="T5617" s="1143"/>
      <c r="U5617" s="1108"/>
      <c r="V5617" s="1108"/>
      <c r="W5617" s="1108"/>
      <c r="X5617" s="1108"/>
      <c r="Y5617" s="1108"/>
      <c r="Z5617" s="1114"/>
      <c r="AA5617" s="1114"/>
      <c r="AB5617" s="1114"/>
      <c r="AC5617" s="1117"/>
      <c r="AD5617" s="1115"/>
      <c r="AE5617" s="1115"/>
      <c r="AF5617" s="1115"/>
      <c r="AG5617" s="1115"/>
      <c r="AH5617" s="1115"/>
      <c r="AI5617" s="1115"/>
      <c r="AJ5617" s="1117"/>
      <c r="AK5617" s="1118"/>
      <c r="AL5617" s="1115"/>
      <c r="AM5617" s="1115"/>
      <c r="AN5617" s="1115"/>
      <c r="AO5617" s="1115"/>
      <c r="AP5617" s="1115"/>
      <c r="AQ5617" s="1115"/>
      <c r="AR5617" s="1115"/>
      <c r="AS5617" s="1117"/>
      <c r="AT5617" s="1075"/>
      <c r="AU5617" s="1193"/>
      <c r="AV5617" s="330"/>
      <c r="AW5617" s="331"/>
      <c r="AX5617" s="331"/>
      <c r="AY5617" s="331"/>
      <c r="AZ5617" s="331"/>
      <c r="BA5617" s="331"/>
      <c r="BB5617" s="331"/>
      <c r="BC5617" s="331"/>
      <c r="BD5617" s="331"/>
      <c r="BE5617" s="333"/>
      <c r="BF5617" s="330"/>
      <c r="BG5617" s="333"/>
      <c r="BH5617" s="1119"/>
      <c r="BI5617" s="319"/>
      <c r="BJ5617" s="319"/>
      <c r="BK5617" s="319"/>
      <c r="BL5617" s="319"/>
      <c r="BM5617" s="319"/>
      <c r="BN5617" s="319"/>
      <c r="BO5617" s="319"/>
      <c r="BP5617" s="953"/>
      <c r="BQ5617" s="319"/>
      <c r="BR5617" s="319"/>
      <c r="BS5617" s="330"/>
      <c r="BT5617" s="331"/>
      <c r="BU5617" s="920"/>
      <c r="BV5617" s="903"/>
      <c r="BW5617" s="908"/>
      <c r="BX5617" s="908"/>
      <c r="BY5617" s="331"/>
      <c r="BZ5617" s="331"/>
      <c r="CA5617" s="462"/>
      <c r="CB5617" s="319"/>
      <c r="CC5617" s="319"/>
      <c r="CD5617" s="319"/>
      <c r="CE5617" s="319"/>
      <c r="CF5617" s="319"/>
      <c r="CG5617" s="319"/>
      <c r="CH5617" s="318"/>
      <c r="CI5617" s="319"/>
      <c r="CJ5617" s="319"/>
      <c r="CK5617" s="342"/>
      <c r="CL5617" s="333"/>
      <c r="CM5617" s="1079"/>
      <c r="CN5617" s="1005"/>
      <c r="CO5617" s="1005"/>
      <c r="CP5617" s="1005"/>
    </row>
    <row r="5618">
      <c r="A5618" s="1257"/>
      <c r="B5618" s="1113"/>
      <c r="C5618" s="1107"/>
      <c r="D5618" s="103"/>
      <c r="E5618" s="1137"/>
      <c r="F5618" s="112"/>
      <c r="G5618" s="1110"/>
      <c r="H5618" s="1138"/>
      <c r="I5618" s="1138"/>
      <c r="J5618" s="1139"/>
      <c r="K5618" s="1111"/>
      <c r="L5618" s="1112"/>
      <c r="M5618" s="1113"/>
      <c r="N5618" s="110"/>
      <c r="O5618" s="1140"/>
      <c r="P5618" s="1115"/>
      <c r="Q5618" s="1116"/>
      <c r="R5618" s="1141"/>
      <c r="S5618" s="1113"/>
      <c r="T5618" s="1143"/>
      <c r="U5618" s="1108"/>
      <c r="V5618" s="1108"/>
      <c r="W5618" s="1108"/>
      <c r="X5618" s="1108"/>
      <c r="Y5618" s="1108"/>
      <c r="Z5618" s="1114"/>
      <c r="AA5618" s="1114"/>
      <c r="AB5618" s="1114"/>
      <c r="AC5618" s="1117"/>
      <c r="AD5618" s="1115"/>
      <c r="AE5618" s="1115"/>
      <c r="AF5618" s="1115"/>
      <c r="AG5618" s="1115"/>
      <c r="AH5618" s="1115"/>
      <c r="AI5618" s="1115"/>
      <c r="AJ5618" s="1117"/>
      <c r="AK5618" s="1118"/>
      <c r="AL5618" s="1115"/>
      <c r="AM5618" s="1115"/>
      <c r="AN5618" s="1115"/>
      <c r="AO5618" s="1115"/>
      <c r="AP5618" s="1115"/>
      <c r="AQ5618" s="1115"/>
      <c r="AR5618" s="1115"/>
      <c r="AS5618" s="1117"/>
      <c r="AT5618" s="1075"/>
      <c r="AU5618" s="1193"/>
      <c r="AV5618" s="330"/>
      <c r="AW5618" s="331"/>
      <c r="AX5618" s="331"/>
      <c r="AY5618" s="331"/>
      <c r="AZ5618" s="331"/>
      <c r="BA5618" s="331"/>
      <c r="BB5618" s="331"/>
      <c r="BC5618" s="331"/>
      <c r="BD5618" s="331"/>
      <c r="BE5618" s="333"/>
      <c r="BF5618" s="330"/>
      <c r="BG5618" s="333"/>
      <c r="BH5618" s="1119"/>
      <c r="BI5618" s="319"/>
      <c r="BJ5618" s="319"/>
      <c r="BK5618" s="319"/>
      <c r="BL5618" s="319"/>
      <c r="BM5618" s="319"/>
      <c r="BN5618" s="319"/>
      <c r="BO5618" s="319"/>
      <c r="BP5618" s="953"/>
      <c r="BQ5618" s="319"/>
      <c r="BR5618" s="319"/>
      <c r="BS5618" s="330"/>
      <c r="BT5618" s="331"/>
      <c r="BU5618" s="920"/>
      <c r="BV5618" s="903"/>
      <c r="BW5618" s="908"/>
      <c r="BX5618" s="908"/>
      <c r="BY5618" s="331"/>
      <c r="BZ5618" s="331"/>
      <c r="CA5618" s="462"/>
      <c r="CB5618" s="319"/>
      <c r="CC5618" s="319"/>
      <c r="CD5618" s="319"/>
      <c r="CE5618" s="319"/>
      <c r="CF5618" s="319"/>
      <c r="CG5618" s="319"/>
      <c r="CH5618" s="318"/>
      <c r="CI5618" s="319"/>
      <c r="CJ5618" s="319"/>
      <c r="CK5618" s="342"/>
      <c r="CL5618" s="333"/>
      <c r="CM5618" s="1079"/>
      <c r="CN5618" s="1005"/>
      <c r="CO5618" s="1005"/>
      <c r="CP5618" s="1005"/>
    </row>
    <row r="5619">
      <c r="A5619" s="1257"/>
      <c r="B5619" s="1113"/>
      <c r="C5619" s="1107"/>
      <c r="D5619" s="103"/>
      <c r="E5619" s="1137"/>
      <c r="F5619" s="112"/>
      <c r="G5619" s="1110"/>
      <c r="H5619" s="1138"/>
      <c r="I5619" s="1138"/>
      <c r="J5619" s="1139"/>
      <c r="K5619" s="1111"/>
      <c r="L5619" s="1112"/>
      <c r="M5619" s="1113"/>
      <c r="N5619" s="110"/>
      <c r="O5619" s="1140"/>
      <c r="P5619" s="1115"/>
      <c r="Q5619" s="1116"/>
      <c r="R5619" s="1141"/>
      <c r="S5619" s="1113"/>
      <c r="T5619" s="1143"/>
      <c r="U5619" s="1108"/>
      <c r="V5619" s="1108"/>
      <c r="W5619" s="1108"/>
      <c r="X5619" s="1108"/>
      <c r="Y5619" s="1108"/>
      <c r="Z5619" s="1114"/>
      <c r="AA5619" s="1114"/>
      <c r="AB5619" s="1114"/>
      <c r="AC5619" s="1117"/>
      <c r="AD5619" s="1115"/>
      <c r="AE5619" s="1115"/>
      <c r="AF5619" s="1115"/>
      <c r="AG5619" s="1115"/>
      <c r="AH5619" s="1115"/>
      <c r="AI5619" s="1115"/>
      <c r="AJ5619" s="1117"/>
      <c r="AK5619" s="1118"/>
      <c r="AL5619" s="1115"/>
      <c r="AM5619" s="1115"/>
      <c r="AN5619" s="1115"/>
      <c r="AO5619" s="1115"/>
      <c r="AP5619" s="1115"/>
      <c r="AQ5619" s="1115"/>
      <c r="AR5619" s="1115"/>
      <c r="AS5619" s="1117"/>
      <c r="AT5619" s="1075"/>
      <c r="AU5619" s="1193"/>
      <c r="AV5619" s="330"/>
      <c r="AW5619" s="331"/>
      <c r="AX5619" s="331"/>
      <c r="AY5619" s="331"/>
      <c r="AZ5619" s="331"/>
      <c r="BA5619" s="331"/>
      <c r="BB5619" s="331"/>
      <c r="BC5619" s="331"/>
      <c r="BD5619" s="331"/>
      <c r="BE5619" s="333"/>
      <c r="BF5619" s="330"/>
      <c r="BG5619" s="333"/>
      <c r="BH5619" s="1119"/>
      <c r="BI5619" s="319"/>
      <c r="BJ5619" s="319"/>
      <c r="BK5619" s="319"/>
      <c r="BL5619" s="319"/>
      <c r="BM5619" s="319"/>
      <c r="BN5619" s="319"/>
      <c r="BO5619" s="319"/>
      <c r="BP5619" s="953"/>
      <c r="BQ5619" s="319"/>
      <c r="BR5619" s="319"/>
      <c r="BS5619" s="330"/>
      <c r="BT5619" s="331"/>
      <c r="BU5619" s="920"/>
      <c r="BV5619" s="903"/>
      <c r="BW5619" s="908"/>
      <c r="BX5619" s="908"/>
      <c r="BY5619" s="331"/>
      <c r="BZ5619" s="331"/>
      <c r="CA5619" s="462"/>
      <c r="CB5619" s="319"/>
      <c r="CC5619" s="319"/>
      <c r="CD5619" s="319"/>
      <c r="CE5619" s="319"/>
      <c r="CF5619" s="319"/>
      <c r="CG5619" s="319"/>
      <c r="CH5619" s="318"/>
      <c r="CI5619" s="319"/>
      <c r="CJ5619" s="319"/>
      <c r="CK5619" s="342"/>
      <c r="CL5619" s="333"/>
      <c r="CM5619" s="1079"/>
      <c r="CN5619" s="1005"/>
      <c r="CO5619" s="1005"/>
      <c r="CP5619" s="1005"/>
    </row>
    <row r="5620">
      <c r="A5620" s="1257"/>
      <c r="B5620" s="1113"/>
      <c r="C5620" s="1107"/>
      <c r="D5620" s="103"/>
      <c r="E5620" s="1137"/>
      <c r="F5620" s="112"/>
      <c r="G5620" s="1110"/>
      <c r="H5620" s="1138"/>
      <c r="I5620" s="1138"/>
      <c r="J5620" s="1139"/>
      <c r="K5620" s="1111"/>
      <c r="L5620" s="1112"/>
      <c r="M5620" s="1113"/>
      <c r="N5620" s="110"/>
      <c r="O5620" s="1140"/>
      <c r="P5620" s="1115"/>
      <c r="Q5620" s="1116"/>
      <c r="R5620" s="1141"/>
      <c r="S5620" s="1113"/>
      <c r="T5620" s="1143"/>
      <c r="U5620" s="1108"/>
      <c r="V5620" s="1108"/>
      <c r="W5620" s="1108"/>
      <c r="X5620" s="1108"/>
      <c r="Y5620" s="1108"/>
      <c r="Z5620" s="1114"/>
      <c r="AA5620" s="1114"/>
      <c r="AB5620" s="1114"/>
      <c r="AC5620" s="1117"/>
      <c r="AD5620" s="1115"/>
      <c r="AE5620" s="1115"/>
      <c r="AF5620" s="1115"/>
      <c r="AG5620" s="1115"/>
      <c r="AH5620" s="1115"/>
      <c r="AI5620" s="1115"/>
      <c r="AJ5620" s="1117"/>
      <c r="AK5620" s="1118"/>
      <c r="AL5620" s="1115"/>
      <c r="AM5620" s="1115"/>
      <c r="AN5620" s="1115"/>
      <c r="AO5620" s="1115"/>
      <c r="AP5620" s="1115"/>
      <c r="AQ5620" s="1115"/>
      <c r="AR5620" s="1115"/>
      <c r="AS5620" s="1117"/>
      <c r="AT5620" s="1075"/>
      <c r="AU5620" s="1193"/>
      <c r="AV5620" s="330"/>
      <c r="AW5620" s="331"/>
      <c r="AX5620" s="331"/>
      <c r="AY5620" s="331"/>
      <c r="AZ5620" s="331"/>
      <c r="BA5620" s="331"/>
      <c r="BB5620" s="331"/>
      <c r="BC5620" s="331"/>
      <c r="BD5620" s="331"/>
      <c r="BE5620" s="333"/>
      <c r="BF5620" s="330"/>
      <c r="BG5620" s="333"/>
      <c r="BH5620" s="1119"/>
      <c r="BI5620" s="319"/>
      <c r="BJ5620" s="319"/>
      <c r="BK5620" s="319"/>
      <c r="BL5620" s="319"/>
      <c r="BM5620" s="319"/>
      <c r="BN5620" s="319"/>
      <c r="BO5620" s="319"/>
      <c r="BP5620" s="953"/>
      <c r="BQ5620" s="319"/>
      <c r="BR5620" s="319"/>
      <c r="BS5620" s="330"/>
      <c r="BT5620" s="331"/>
      <c r="BU5620" s="920"/>
      <c r="BV5620" s="903"/>
      <c r="BW5620" s="908"/>
      <c r="BX5620" s="908"/>
      <c r="BY5620" s="331"/>
      <c r="BZ5620" s="331"/>
      <c r="CA5620" s="462"/>
      <c r="CB5620" s="319"/>
      <c r="CC5620" s="319"/>
      <c r="CD5620" s="319"/>
      <c r="CE5620" s="319"/>
      <c r="CF5620" s="319"/>
      <c r="CG5620" s="319"/>
      <c r="CH5620" s="318"/>
      <c r="CI5620" s="319"/>
      <c r="CJ5620" s="319"/>
      <c r="CK5620" s="342"/>
      <c r="CL5620" s="333"/>
      <c r="CM5620" s="1079"/>
      <c r="CN5620" s="1005"/>
      <c r="CO5620" s="1005"/>
      <c r="CP5620" s="1005"/>
    </row>
    <row r="5621">
      <c r="A5621" s="1257"/>
      <c r="B5621" s="1113"/>
      <c r="C5621" s="1107"/>
      <c r="D5621" s="103"/>
      <c r="E5621" s="1137"/>
      <c r="F5621" s="112"/>
      <c r="G5621" s="1110"/>
      <c r="H5621" s="1138"/>
      <c r="I5621" s="1138"/>
      <c r="J5621" s="1139"/>
      <c r="K5621" s="1111"/>
      <c r="L5621" s="1112"/>
      <c r="M5621" s="1113"/>
      <c r="N5621" s="110"/>
      <c r="O5621" s="1140"/>
      <c r="P5621" s="1115"/>
      <c r="Q5621" s="1116"/>
      <c r="R5621" s="1141"/>
      <c r="S5621" s="1113"/>
      <c r="T5621" s="1143"/>
      <c r="U5621" s="1108"/>
      <c r="V5621" s="1108"/>
      <c r="W5621" s="1108"/>
      <c r="X5621" s="1108"/>
      <c r="Y5621" s="1108"/>
      <c r="Z5621" s="1114"/>
      <c r="AA5621" s="1114"/>
      <c r="AB5621" s="1114"/>
      <c r="AC5621" s="1117"/>
      <c r="AD5621" s="1115"/>
      <c r="AE5621" s="1115"/>
      <c r="AF5621" s="1115"/>
      <c r="AG5621" s="1115"/>
      <c r="AH5621" s="1115"/>
      <c r="AI5621" s="1115"/>
      <c r="AJ5621" s="1117"/>
      <c r="AK5621" s="1118"/>
      <c r="AL5621" s="1115"/>
      <c r="AM5621" s="1115"/>
      <c r="AN5621" s="1115"/>
      <c r="AO5621" s="1115"/>
      <c r="AP5621" s="1115"/>
      <c r="AQ5621" s="1115"/>
      <c r="AR5621" s="1115"/>
      <c r="AS5621" s="1117"/>
      <c r="AT5621" s="1075"/>
      <c r="AU5621" s="1193"/>
      <c r="AV5621" s="330"/>
      <c r="AW5621" s="331"/>
      <c r="AX5621" s="331"/>
      <c r="AY5621" s="331"/>
      <c r="AZ5621" s="331"/>
      <c r="BA5621" s="331"/>
      <c r="BB5621" s="331"/>
      <c r="BC5621" s="331"/>
      <c r="BD5621" s="331"/>
      <c r="BE5621" s="333"/>
      <c r="BF5621" s="330"/>
      <c r="BG5621" s="333"/>
      <c r="BH5621" s="1119"/>
      <c r="BI5621" s="319"/>
      <c r="BJ5621" s="319"/>
      <c r="BK5621" s="319"/>
      <c r="BL5621" s="319"/>
      <c r="BM5621" s="319"/>
      <c r="BN5621" s="319"/>
      <c r="BO5621" s="319"/>
      <c r="BP5621" s="953"/>
      <c r="BQ5621" s="319"/>
      <c r="BR5621" s="319"/>
      <c r="BS5621" s="330"/>
      <c r="BT5621" s="331"/>
      <c r="BU5621" s="920"/>
      <c r="BV5621" s="903"/>
      <c r="BW5621" s="908"/>
      <c r="BX5621" s="908"/>
      <c r="BY5621" s="331"/>
      <c r="BZ5621" s="331"/>
      <c r="CA5621" s="462"/>
      <c r="CB5621" s="319"/>
      <c r="CC5621" s="319"/>
      <c r="CD5621" s="319"/>
      <c r="CE5621" s="319"/>
      <c r="CF5621" s="319"/>
      <c r="CG5621" s="319"/>
      <c r="CH5621" s="318"/>
      <c r="CI5621" s="319"/>
      <c r="CJ5621" s="319"/>
      <c r="CK5621" s="342"/>
      <c r="CL5621" s="333"/>
      <c r="CM5621" s="1079"/>
      <c r="CN5621" s="1005"/>
      <c r="CO5621" s="1005"/>
      <c r="CP5621" s="1005"/>
    </row>
    <row r="5622">
      <c r="A5622" s="1257"/>
      <c r="B5622" s="1113"/>
      <c r="C5622" s="1107"/>
      <c r="D5622" s="103"/>
      <c r="E5622" s="1137"/>
      <c r="F5622" s="112"/>
      <c r="G5622" s="1110"/>
      <c r="H5622" s="1138"/>
      <c r="I5622" s="1138"/>
      <c r="J5622" s="1139"/>
      <c r="K5622" s="1111"/>
      <c r="L5622" s="1112"/>
      <c r="M5622" s="1113"/>
      <c r="N5622" s="110"/>
      <c r="O5622" s="1140"/>
      <c r="P5622" s="1115"/>
      <c r="Q5622" s="1116"/>
      <c r="R5622" s="1141"/>
      <c r="S5622" s="1113"/>
      <c r="T5622" s="1143"/>
      <c r="U5622" s="1108"/>
      <c r="V5622" s="1108"/>
      <c r="W5622" s="1108"/>
      <c r="X5622" s="1108"/>
      <c r="Y5622" s="1108"/>
      <c r="Z5622" s="1114"/>
      <c r="AA5622" s="1114"/>
      <c r="AB5622" s="1114"/>
      <c r="AC5622" s="1117"/>
      <c r="AD5622" s="1115"/>
      <c r="AE5622" s="1115"/>
      <c r="AF5622" s="1115"/>
      <c r="AG5622" s="1115"/>
      <c r="AH5622" s="1115"/>
      <c r="AI5622" s="1115"/>
      <c r="AJ5622" s="1117"/>
      <c r="AK5622" s="1118"/>
      <c r="AL5622" s="1115"/>
      <c r="AM5622" s="1115"/>
      <c r="AN5622" s="1115"/>
      <c r="AO5622" s="1115"/>
      <c r="AP5622" s="1115"/>
      <c r="AQ5622" s="1115"/>
      <c r="AR5622" s="1115"/>
      <c r="AS5622" s="1117"/>
      <c r="AT5622" s="1075"/>
      <c r="AU5622" s="1193"/>
      <c r="AV5622" s="330"/>
      <c r="AW5622" s="331"/>
      <c r="AX5622" s="331"/>
      <c r="AY5622" s="331"/>
      <c r="AZ5622" s="331"/>
      <c r="BA5622" s="331"/>
      <c r="BB5622" s="331"/>
      <c r="BC5622" s="331"/>
      <c r="BD5622" s="331"/>
      <c r="BE5622" s="333"/>
      <c r="BF5622" s="330"/>
      <c r="BG5622" s="333"/>
      <c r="BH5622" s="1119"/>
      <c r="BI5622" s="319"/>
      <c r="BJ5622" s="319"/>
      <c r="BK5622" s="319"/>
      <c r="BL5622" s="319"/>
      <c r="BM5622" s="319"/>
      <c r="BN5622" s="319"/>
      <c r="BO5622" s="319"/>
      <c r="BP5622" s="953"/>
      <c r="BQ5622" s="319"/>
      <c r="BR5622" s="319"/>
      <c r="BS5622" s="330"/>
      <c r="BT5622" s="331"/>
      <c r="BU5622" s="920"/>
      <c r="BV5622" s="903"/>
      <c r="BW5622" s="908"/>
      <c r="BX5622" s="908"/>
      <c r="BY5622" s="331"/>
      <c r="BZ5622" s="331"/>
      <c r="CA5622" s="462"/>
      <c r="CB5622" s="319"/>
      <c r="CC5622" s="319"/>
      <c r="CD5622" s="319"/>
      <c r="CE5622" s="319"/>
      <c r="CF5622" s="319"/>
      <c r="CG5622" s="319"/>
      <c r="CH5622" s="318"/>
      <c r="CI5622" s="319"/>
      <c r="CJ5622" s="319"/>
      <c r="CK5622" s="342"/>
      <c r="CL5622" s="333"/>
      <c r="CM5622" s="1079"/>
      <c r="CN5622" s="1005"/>
      <c r="CO5622" s="1005"/>
      <c r="CP5622" s="1005"/>
    </row>
    <row r="5623">
      <c r="A5623" s="1257"/>
      <c r="B5623" s="1113"/>
      <c r="C5623" s="1107"/>
      <c r="D5623" s="103"/>
      <c r="E5623" s="1137"/>
      <c r="F5623" s="112"/>
      <c r="G5623" s="1110"/>
      <c r="H5623" s="1138"/>
      <c r="I5623" s="1138"/>
      <c r="J5623" s="1139"/>
      <c r="K5623" s="1111"/>
      <c r="L5623" s="1112"/>
      <c r="M5623" s="1113"/>
      <c r="N5623" s="110"/>
      <c r="O5623" s="1140"/>
      <c r="P5623" s="1115"/>
      <c r="Q5623" s="1116"/>
      <c r="R5623" s="1141"/>
      <c r="S5623" s="1113"/>
      <c r="T5623" s="1143"/>
      <c r="U5623" s="1108"/>
      <c r="V5623" s="1108"/>
      <c r="W5623" s="1108"/>
      <c r="X5623" s="1108"/>
      <c r="Y5623" s="1108"/>
      <c r="Z5623" s="1114"/>
      <c r="AA5623" s="1114"/>
      <c r="AB5623" s="1114"/>
      <c r="AC5623" s="1117"/>
      <c r="AD5623" s="1115"/>
      <c r="AE5623" s="1115"/>
      <c r="AF5623" s="1115"/>
      <c r="AG5623" s="1115"/>
      <c r="AH5623" s="1115"/>
      <c r="AI5623" s="1115"/>
      <c r="AJ5623" s="1117"/>
      <c r="AK5623" s="1118"/>
      <c r="AL5623" s="1115"/>
      <c r="AM5623" s="1115"/>
      <c r="AN5623" s="1115"/>
      <c r="AO5623" s="1115"/>
      <c r="AP5623" s="1115"/>
      <c r="AQ5623" s="1115"/>
      <c r="AR5623" s="1115"/>
      <c r="AS5623" s="1117"/>
      <c r="AT5623" s="1075"/>
      <c r="AU5623" s="1193"/>
      <c r="AV5623" s="330"/>
      <c r="AW5623" s="331"/>
      <c r="AX5623" s="331"/>
      <c r="AY5623" s="331"/>
      <c r="AZ5623" s="331"/>
      <c r="BA5623" s="331"/>
      <c r="BB5623" s="331"/>
      <c r="BC5623" s="331"/>
      <c r="BD5623" s="331"/>
      <c r="BE5623" s="333"/>
      <c r="BF5623" s="330"/>
      <c r="BG5623" s="333"/>
      <c r="BH5623" s="1119"/>
      <c r="BI5623" s="319"/>
      <c r="BJ5623" s="319"/>
      <c r="BK5623" s="319"/>
      <c r="BL5623" s="319"/>
      <c r="BM5623" s="319"/>
      <c r="BN5623" s="319"/>
      <c r="BO5623" s="319"/>
      <c r="BP5623" s="953"/>
      <c r="BQ5623" s="319"/>
      <c r="BR5623" s="319"/>
      <c r="BS5623" s="330"/>
      <c r="BT5623" s="331"/>
      <c r="BU5623" s="920"/>
      <c r="BV5623" s="903"/>
      <c r="BW5623" s="908"/>
      <c r="BX5623" s="908"/>
      <c r="BY5623" s="331"/>
      <c r="BZ5623" s="331"/>
      <c r="CA5623" s="462"/>
      <c r="CB5623" s="319"/>
      <c r="CC5623" s="319"/>
      <c r="CD5623" s="319"/>
      <c r="CE5623" s="319"/>
      <c r="CF5623" s="319"/>
      <c r="CG5623" s="319"/>
      <c r="CH5623" s="318"/>
      <c r="CI5623" s="319"/>
      <c r="CJ5623" s="319"/>
      <c r="CK5623" s="342"/>
      <c r="CL5623" s="333"/>
      <c r="CM5623" s="1079"/>
      <c r="CN5623" s="1005"/>
      <c r="CO5623" s="1005"/>
      <c r="CP5623" s="1005"/>
    </row>
    <row r="5624">
      <c r="A5624" s="1257"/>
      <c r="B5624" s="1113"/>
      <c r="C5624" s="1107"/>
      <c r="D5624" s="103"/>
      <c r="E5624" s="1137"/>
      <c r="F5624" s="112"/>
      <c r="G5624" s="1110"/>
      <c r="H5624" s="1138"/>
      <c r="I5624" s="1138"/>
      <c r="J5624" s="1139"/>
      <c r="K5624" s="1111"/>
      <c r="L5624" s="1112"/>
      <c r="M5624" s="1113"/>
      <c r="N5624" s="110"/>
      <c r="O5624" s="1140"/>
      <c r="P5624" s="1115"/>
      <c r="Q5624" s="1116"/>
      <c r="R5624" s="1141"/>
      <c r="S5624" s="1113"/>
      <c r="T5624" s="1143"/>
      <c r="U5624" s="1108"/>
      <c r="V5624" s="1108"/>
      <c r="W5624" s="1108"/>
      <c r="X5624" s="1108"/>
      <c r="Y5624" s="1108"/>
      <c r="Z5624" s="1114"/>
      <c r="AA5624" s="1114"/>
      <c r="AB5624" s="1114"/>
      <c r="AC5624" s="1117"/>
      <c r="AD5624" s="1115"/>
      <c r="AE5624" s="1115"/>
      <c r="AF5624" s="1115"/>
      <c r="AG5624" s="1115"/>
      <c r="AH5624" s="1115"/>
      <c r="AI5624" s="1115"/>
      <c r="AJ5624" s="1117"/>
      <c r="AK5624" s="1118"/>
      <c r="AL5624" s="1115"/>
      <c r="AM5624" s="1115"/>
      <c r="AN5624" s="1115"/>
      <c r="AO5624" s="1115"/>
      <c r="AP5624" s="1115"/>
      <c r="AQ5624" s="1115"/>
      <c r="AR5624" s="1115"/>
      <c r="AS5624" s="1117"/>
      <c r="AT5624" s="1075"/>
      <c r="AU5624" s="1193"/>
      <c r="AV5624" s="330"/>
      <c r="AW5624" s="331"/>
      <c r="AX5624" s="331"/>
      <c r="AY5624" s="331"/>
      <c r="AZ5624" s="331"/>
      <c r="BA5624" s="331"/>
      <c r="BB5624" s="331"/>
      <c r="BC5624" s="331"/>
      <c r="BD5624" s="331"/>
      <c r="BE5624" s="333"/>
      <c r="BF5624" s="330"/>
      <c r="BG5624" s="333"/>
      <c r="BH5624" s="1119"/>
      <c r="BI5624" s="319"/>
      <c r="BJ5624" s="319"/>
      <c r="BK5624" s="319"/>
      <c r="BL5624" s="319"/>
      <c r="BM5624" s="319"/>
      <c r="BN5624" s="319"/>
      <c r="BO5624" s="319"/>
      <c r="BP5624" s="953"/>
      <c r="BQ5624" s="319"/>
      <c r="BR5624" s="319"/>
      <c r="BS5624" s="330"/>
      <c r="BT5624" s="331"/>
      <c r="BU5624" s="920"/>
      <c r="BV5624" s="903"/>
      <c r="BW5624" s="908"/>
      <c r="BX5624" s="908"/>
      <c r="BY5624" s="331"/>
      <c r="BZ5624" s="331"/>
      <c r="CA5624" s="462"/>
      <c r="CB5624" s="319"/>
      <c r="CC5624" s="319"/>
      <c r="CD5624" s="319"/>
      <c r="CE5624" s="319"/>
      <c r="CF5624" s="319"/>
      <c r="CG5624" s="319"/>
      <c r="CH5624" s="318"/>
      <c r="CI5624" s="319"/>
      <c r="CJ5624" s="319"/>
      <c r="CK5624" s="342"/>
      <c r="CL5624" s="333"/>
      <c r="CM5624" s="1079"/>
      <c r="CN5624" s="1005"/>
      <c r="CO5624" s="1005"/>
      <c r="CP5624" s="1005"/>
    </row>
    <row r="5625">
      <c r="A5625" s="1257"/>
      <c r="B5625" s="1113"/>
      <c r="C5625" s="1107"/>
      <c r="D5625" s="103"/>
      <c r="E5625" s="1137"/>
      <c r="F5625" s="112"/>
      <c r="G5625" s="1110"/>
      <c r="H5625" s="1138"/>
      <c r="I5625" s="1138"/>
      <c r="J5625" s="1139"/>
      <c r="K5625" s="1111"/>
      <c r="L5625" s="1112"/>
      <c r="M5625" s="1113"/>
      <c r="N5625" s="110"/>
      <c r="O5625" s="1140"/>
      <c r="P5625" s="1115"/>
      <c r="Q5625" s="1116"/>
      <c r="R5625" s="1141"/>
      <c r="S5625" s="1113"/>
      <c r="T5625" s="1143"/>
      <c r="U5625" s="1108"/>
      <c r="V5625" s="1108"/>
      <c r="W5625" s="1108"/>
      <c r="X5625" s="1108"/>
      <c r="Y5625" s="1108"/>
      <c r="Z5625" s="1114"/>
      <c r="AA5625" s="1114"/>
      <c r="AB5625" s="1114"/>
      <c r="AC5625" s="1117"/>
      <c r="AD5625" s="1115"/>
      <c r="AE5625" s="1115"/>
      <c r="AF5625" s="1115"/>
      <c r="AG5625" s="1115"/>
      <c r="AH5625" s="1115"/>
      <c r="AI5625" s="1115"/>
      <c r="AJ5625" s="1117"/>
      <c r="AK5625" s="1118"/>
      <c r="AL5625" s="1115"/>
      <c r="AM5625" s="1115"/>
      <c r="AN5625" s="1115"/>
      <c r="AO5625" s="1115"/>
      <c r="AP5625" s="1115"/>
      <c r="AQ5625" s="1115"/>
      <c r="AR5625" s="1115"/>
      <c r="AS5625" s="1117"/>
      <c r="AT5625" s="1075"/>
      <c r="AU5625" s="1193"/>
      <c r="AV5625" s="330"/>
      <c r="AW5625" s="331"/>
      <c r="AX5625" s="331"/>
      <c r="AY5625" s="331"/>
      <c r="AZ5625" s="331"/>
      <c r="BA5625" s="331"/>
      <c r="BB5625" s="331"/>
      <c r="BC5625" s="331"/>
      <c r="BD5625" s="331"/>
      <c r="BE5625" s="333"/>
      <c r="BF5625" s="330"/>
      <c r="BG5625" s="333"/>
      <c r="BH5625" s="1119"/>
      <c r="BI5625" s="319"/>
      <c r="BJ5625" s="319"/>
      <c r="BK5625" s="319"/>
      <c r="BL5625" s="319"/>
      <c r="BM5625" s="319"/>
      <c r="BN5625" s="319"/>
      <c r="BO5625" s="319"/>
      <c r="BP5625" s="953"/>
      <c r="BQ5625" s="319"/>
      <c r="BR5625" s="319"/>
      <c r="BS5625" s="330"/>
      <c r="BT5625" s="331"/>
      <c r="BU5625" s="920"/>
      <c r="BV5625" s="903"/>
      <c r="BW5625" s="908"/>
      <c r="BX5625" s="908"/>
      <c r="BY5625" s="331"/>
      <c r="BZ5625" s="331"/>
      <c r="CA5625" s="462"/>
      <c r="CB5625" s="319"/>
      <c r="CC5625" s="319"/>
      <c r="CD5625" s="319"/>
      <c r="CE5625" s="319"/>
      <c r="CF5625" s="319"/>
      <c r="CG5625" s="319"/>
      <c r="CH5625" s="318"/>
      <c r="CI5625" s="319"/>
      <c r="CJ5625" s="319"/>
      <c r="CK5625" s="342"/>
      <c r="CL5625" s="333"/>
      <c r="CM5625" s="1079"/>
      <c r="CN5625" s="1005"/>
      <c r="CO5625" s="1005"/>
      <c r="CP5625" s="1005"/>
    </row>
    <row r="5626">
      <c r="A5626" s="1257"/>
      <c r="B5626" s="1113"/>
      <c r="C5626" s="1107"/>
      <c r="D5626" s="103"/>
      <c r="E5626" s="1137"/>
      <c r="F5626" s="112"/>
      <c r="G5626" s="1110"/>
      <c r="H5626" s="1138"/>
      <c r="I5626" s="1138"/>
      <c r="J5626" s="1139"/>
      <c r="K5626" s="1111"/>
      <c r="L5626" s="1112"/>
      <c r="M5626" s="1113"/>
      <c r="N5626" s="110"/>
      <c r="O5626" s="1140"/>
      <c r="P5626" s="1115"/>
      <c r="Q5626" s="1116"/>
      <c r="R5626" s="1141"/>
      <c r="S5626" s="1113"/>
      <c r="T5626" s="1143"/>
      <c r="U5626" s="1108"/>
      <c r="V5626" s="1108"/>
      <c r="W5626" s="1108"/>
      <c r="X5626" s="1108"/>
      <c r="Y5626" s="1108"/>
      <c r="Z5626" s="1114"/>
      <c r="AA5626" s="1114"/>
      <c r="AB5626" s="1114"/>
      <c r="AC5626" s="1117"/>
      <c r="AD5626" s="1115"/>
      <c r="AE5626" s="1115"/>
      <c r="AF5626" s="1115"/>
      <c r="AG5626" s="1115"/>
      <c r="AH5626" s="1115"/>
      <c r="AI5626" s="1115"/>
      <c r="AJ5626" s="1117"/>
      <c r="AK5626" s="1118"/>
      <c r="AL5626" s="1115"/>
      <c r="AM5626" s="1115"/>
      <c r="AN5626" s="1115"/>
      <c r="AO5626" s="1115"/>
      <c r="AP5626" s="1115"/>
      <c r="AQ5626" s="1115"/>
      <c r="AR5626" s="1115"/>
      <c r="AS5626" s="1117"/>
      <c r="AT5626" s="1075"/>
      <c r="AU5626" s="1193"/>
      <c r="AV5626" s="330"/>
      <c r="AW5626" s="331"/>
      <c r="AX5626" s="331"/>
      <c r="AY5626" s="331"/>
      <c r="AZ5626" s="331"/>
      <c r="BA5626" s="331"/>
      <c r="BB5626" s="331"/>
      <c r="BC5626" s="331"/>
      <c r="BD5626" s="331"/>
      <c r="BE5626" s="333"/>
      <c r="BF5626" s="330"/>
      <c r="BG5626" s="333"/>
      <c r="BH5626" s="1119"/>
      <c r="BI5626" s="319"/>
      <c r="BJ5626" s="319"/>
      <c r="BK5626" s="319"/>
      <c r="BL5626" s="319"/>
      <c r="BM5626" s="319"/>
      <c r="BN5626" s="319"/>
      <c r="BO5626" s="319"/>
      <c r="BP5626" s="953"/>
      <c r="BQ5626" s="319"/>
      <c r="BR5626" s="319"/>
      <c r="BS5626" s="330"/>
      <c r="BT5626" s="331"/>
      <c r="BU5626" s="920"/>
      <c r="BV5626" s="903"/>
      <c r="BW5626" s="908"/>
      <c r="BX5626" s="908"/>
      <c r="BY5626" s="331"/>
      <c r="BZ5626" s="331"/>
      <c r="CA5626" s="462"/>
      <c r="CB5626" s="319"/>
      <c r="CC5626" s="319"/>
      <c r="CD5626" s="319"/>
      <c r="CE5626" s="319"/>
      <c r="CF5626" s="319"/>
      <c r="CG5626" s="319"/>
      <c r="CH5626" s="318"/>
      <c r="CI5626" s="319"/>
      <c r="CJ5626" s="319"/>
      <c r="CK5626" s="342"/>
      <c r="CL5626" s="333"/>
      <c r="CM5626" s="1079"/>
      <c r="CN5626" s="1005"/>
      <c r="CO5626" s="1005"/>
      <c r="CP5626" s="1005"/>
    </row>
    <row r="5627">
      <c r="A5627" s="1257"/>
      <c r="B5627" s="1113"/>
      <c r="C5627" s="1107"/>
      <c r="D5627" s="103"/>
      <c r="E5627" s="1137"/>
      <c r="F5627" s="112"/>
      <c r="G5627" s="1110"/>
      <c r="H5627" s="1138"/>
      <c r="I5627" s="1138"/>
      <c r="J5627" s="1139"/>
      <c r="K5627" s="1111"/>
      <c r="L5627" s="1112"/>
      <c r="M5627" s="1113"/>
      <c r="N5627" s="110"/>
      <c r="O5627" s="1140"/>
      <c r="P5627" s="1115"/>
      <c r="Q5627" s="1116"/>
      <c r="R5627" s="1141"/>
      <c r="S5627" s="1113"/>
      <c r="T5627" s="1143"/>
      <c r="U5627" s="1108"/>
      <c r="V5627" s="1108"/>
      <c r="W5627" s="1108"/>
      <c r="X5627" s="1108"/>
      <c r="Y5627" s="1108"/>
      <c r="Z5627" s="1114"/>
      <c r="AA5627" s="1114"/>
      <c r="AB5627" s="1114"/>
      <c r="AC5627" s="1117"/>
      <c r="AD5627" s="1115"/>
      <c r="AE5627" s="1115"/>
      <c r="AF5627" s="1115"/>
      <c r="AG5627" s="1115"/>
      <c r="AH5627" s="1115"/>
      <c r="AI5627" s="1115"/>
      <c r="AJ5627" s="1117"/>
      <c r="AK5627" s="1118"/>
      <c r="AL5627" s="1115"/>
      <c r="AM5627" s="1115"/>
      <c r="AN5627" s="1115"/>
      <c r="AO5627" s="1115"/>
      <c r="AP5627" s="1115"/>
      <c r="AQ5627" s="1115"/>
      <c r="AR5627" s="1115"/>
      <c r="AS5627" s="1117"/>
      <c r="AT5627" s="1075"/>
      <c r="AU5627" s="1193"/>
      <c r="AV5627" s="330"/>
      <c r="AW5627" s="331"/>
      <c r="AX5627" s="331"/>
      <c r="AY5627" s="331"/>
      <c r="AZ5627" s="331"/>
      <c r="BA5627" s="331"/>
      <c r="BB5627" s="331"/>
      <c r="BC5627" s="331"/>
      <c r="BD5627" s="331"/>
      <c r="BE5627" s="333"/>
      <c r="BF5627" s="330"/>
      <c r="BG5627" s="333"/>
      <c r="BH5627" s="1119"/>
      <c r="BI5627" s="319"/>
      <c r="BJ5627" s="319"/>
      <c r="BK5627" s="319"/>
      <c r="BL5627" s="319"/>
      <c r="BM5627" s="319"/>
      <c r="BN5627" s="319"/>
      <c r="BO5627" s="319"/>
      <c r="BP5627" s="953"/>
      <c r="BQ5627" s="319"/>
      <c r="BR5627" s="319"/>
      <c r="BS5627" s="330"/>
      <c r="BT5627" s="331"/>
      <c r="BU5627" s="920"/>
      <c r="BV5627" s="903"/>
      <c r="BW5627" s="908"/>
      <c r="BX5627" s="908"/>
      <c r="BY5627" s="331"/>
      <c r="BZ5627" s="331"/>
      <c r="CA5627" s="462"/>
      <c r="CB5627" s="319"/>
      <c r="CC5627" s="319"/>
      <c r="CD5627" s="319"/>
      <c r="CE5627" s="319"/>
      <c r="CF5627" s="319"/>
      <c r="CG5627" s="319"/>
      <c r="CH5627" s="318"/>
      <c r="CI5627" s="319"/>
      <c r="CJ5627" s="319"/>
      <c r="CK5627" s="342"/>
      <c r="CL5627" s="333"/>
      <c r="CM5627" s="1079"/>
      <c r="CN5627" s="1005"/>
      <c r="CO5627" s="1005"/>
      <c r="CP5627" s="1005"/>
    </row>
    <row r="5628">
      <c r="A5628" s="1257"/>
      <c r="B5628" s="1113"/>
      <c r="C5628" s="1107"/>
      <c r="D5628" s="103"/>
      <c r="E5628" s="1137"/>
      <c r="F5628" s="112"/>
      <c r="G5628" s="1110"/>
      <c r="H5628" s="1138"/>
      <c r="I5628" s="1138"/>
      <c r="J5628" s="1139"/>
      <c r="K5628" s="1111"/>
      <c r="L5628" s="1112"/>
      <c r="M5628" s="1113"/>
      <c r="N5628" s="110"/>
      <c r="O5628" s="1140"/>
      <c r="P5628" s="1115"/>
      <c r="Q5628" s="1116"/>
      <c r="R5628" s="1141"/>
      <c r="S5628" s="1113"/>
      <c r="T5628" s="1143"/>
      <c r="U5628" s="1108"/>
      <c r="V5628" s="1108"/>
      <c r="W5628" s="1108"/>
      <c r="X5628" s="1108"/>
      <c r="Y5628" s="1108"/>
      <c r="Z5628" s="1114"/>
      <c r="AA5628" s="1114"/>
      <c r="AB5628" s="1114"/>
      <c r="AC5628" s="1117"/>
      <c r="AD5628" s="1115"/>
      <c r="AE5628" s="1115"/>
      <c r="AF5628" s="1115"/>
      <c r="AG5628" s="1115"/>
      <c r="AH5628" s="1115"/>
      <c r="AI5628" s="1115"/>
      <c r="AJ5628" s="1117"/>
      <c r="AK5628" s="1118"/>
      <c r="AL5628" s="1115"/>
      <c r="AM5628" s="1115"/>
      <c r="AN5628" s="1115"/>
      <c r="AO5628" s="1115"/>
      <c r="AP5628" s="1115"/>
      <c r="AQ5628" s="1115"/>
      <c r="AR5628" s="1115"/>
      <c r="AS5628" s="1117"/>
      <c r="AT5628" s="1075"/>
      <c r="AU5628" s="1193"/>
      <c r="AV5628" s="330"/>
      <c r="AW5628" s="331"/>
      <c r="AX5628" s="331"/>
      <c r="AY5628" s="331"/>
      <c r="AZ5628" s="331"/>
      <c r="BA5628" s="331"/>
      <c r="BB5628" s="331"/>
      <c r="BC5628" s="331"/>
      <c r="BD5628" s="331"/>
      <c r="BE5628" s="333"/>
      <c r="BF5628" s="330"/>
      <c r="BG5628" s="333"/>
      <c r="BH5628" s="1119"/>
      <c r="BI5628" s="319"/>
      <c r="BJ5628" s="319"/>
      <c r="BK5628" s="319"/>
      <c r="BL5628" s="319"/>
      <c r="BM5628" s="319"/>
      <c r="BN5628" s="319"/>
      <c r="BO5628" s="319"/>
      <c r="BP5628" s="953"/>
      <c r="BQ5628" s="319"/>
      <c r="BR5628" s="319"/>
      <c r="BS5628" s="330"/>
      <c r="BT5628" s="331"/>
      <c r="BU5628" s="920"/>
      <c r="BV5628" s="903"/>
      <c r="BW5628" s="908"/>
      <c r="BX5628" s="908"/>
      <c r="BY5628" s="331"/>
      <c r="BZ5628" s="331"/>
      <c r="CA5628" s="462"/>
      <c r="CB5628" s="319"/>
      <c r="CC5628" s="319"/>
      <c r="CD5628" s="319"/>
      <c r="CE5628" s="319"/>
      <c r="CF5628" s="319"/>
      <c r="CG5628" s="319"/>
      <c r="CH5628" s="318"/>
      <c r="CI5628" s="319"/>
      <c r="CJ5628" s="319"/>
      <c r="CK5628" s="342"/>
      <c r="CL5628" s="333"/>
      <c r="CM5628" s="1079"/>
      <c r="CN5628" s="1005"/>
      <c r="CO5628" s="1005"/>
      <c r="CP5628" s="1005"/>
    </row>
    <row r="5629">
      <c r="A5629" s="1257"/>
      <c r="B5629" s="1113"/>
      <c r="C5629" s="1107"/>
      <c r="D5629" s="103"/>
      <c r="E5629" s="1137"/>
      <c r="F5629" s="112"/>
      <c r="G5629" s="1110"/>
      <c r="H5629" s="1138"/>
      <c r="I5629" s="1138"/>
      <c r="J5629" s="1139"/>
      <c r="K5629" s="1111"/>
      <c r="L5629" s="1112"/>
      <c r="M5629" s="1113"/>
      <c r="N5629" s="110"/>
      <c r="O5629" s="1140"/>
      <c r="P5629" s="1115"/>
      <c r="Q5629" s="1116"/>
      <c r="R5629" s="1141"/>
      <c r="S5629" s="1113"/>
      <c r="T5629" s="1143"/>
      <c r="U5629" s="1108"/>
      <c r="V5629" s="1108"/>
      <c r="W5629" s="1108"/>
      <c r="X5629" s="1108"/>
      <c r="Y5629" s="1108"/>
      <c r="Z5629" s="1114"/>
      <c r="AA5629" s="1114"/>
      <c r="AB5629" s="1114"/>
      <c r="AC5629" s="1117"/>
      <c r="AD5629" s="1115"/>
      <c r="AE5629" s="1115"/>
      <c r="AF5629" s="1115"/>
      <c r="AG5629" s="1115"/>
      <c r="AH5629" s="1115"/>
      <c r="AI5629" s="1115"/>
      <c r="AJ5629" s="1117"/>
      <c r="AK5629" s="1118"/>
      <c r="AL5629" s="1115"/>
      <c r="AM5629" s="1115"/>
      <c r="AN5629" s="1115"/>
      <c r="AO5629" s="1115"/>
      <c r="AP5629" s="1115"/>
      <c r="AQ5629" s="1115"/>
      <c r="AR5629" s="1115"/>
      <c r="AS5629" s="1117"/>
      <c r="AT5629" s="1075"/>
      <c r="AU5629" s="1193"/>
      <c r="AV5629" s="330"/>
      <c r="AW5629" s="331"/>
      <c r="AX5629" s="331"/>
      <c r="AY5629" s="331"/>
      <c r="AZ5629" s="331"/>
      <c r="BA5629" s="331"/>
      <c r="BB5629" s="331"/>
      <c r="BC5629" s="331"/>
      <c r="BD5629" s="331"/>
      <c r="BE5629" s="333"/>
      <c r="BF5629" s="330"/>
      <c r="BG5629" s="333"/>
      <c r="BH5629" s="1119"/>
      <c r="BI5629" s="319"/>
      <c r="BJ5629" s="319"/>
      <c r="BK5629" s="319"/>
      <c r="BL5629" s="319"/>
      <c r="BM5629" s="319"/>
      <c r="BN5629" s="319"/>
      <c r="BO5629" s="319"/>
      <c r="BP5629" s="953"/>
      <c r="BQ5629" s="319"/>
      <c r="BR5629" s="319"/>
      <c r="BS5629" s="330"/>
      <c r="BT5629" s="331"/>
      <c r="BU5629" s="920"/>
      <c r="BV5629" s="903"/>
      <c r="BW5629" s="908"/>
      <c r="BX5629" s="908"/>
      <c r="BY5629" s="331"/>
      <c r="BZ5629" s="331"/>
      <c r="CA5629" s="462"/>
      <c r="CB5629" s="319"/>
      <c r="CC5629" s="319"/>
      <c r="CD5629" s="319"/>
      <c r="CE5629" s="319"/>
      <c r="CF5629" s="319"/>
      <c r="CG5629" s="319"/>
      <c r="CH5629" s="318"/>
      <c r="CI5629" s="319"/>
      <c r="CJ5629" s="319"/>
      <c r="CK5629" s="342"/>
      <c r="CL5629" s="333"/>
      <c r="CM5629" s="1079"/>
      <c r="CN5629" s="1005"/>
      <c r="CO5629" s="1005"/>
      <c r="CP5629" s="1005"/>
    </row>
    <row r="5630">
      <c r="A5630" s="1257"/>
      <c r="B5630" s="1113"/>
      <c r="C5630" s="1107"/>
      <c r="D5630" s="103"/>
      <c r="E5630" s="1137"/>
      <c r="F5630" s="112"/>
      <c r="G5630" s="1110"/>
      <c r="H5630" s="1138"/>
      <c r="I5630" s="1138"/>
      <c r="J5630" s="1139"/>
      <c r="K5630" s="1111"/>
      <c r="L5630" s="1112"/>
      <c r="M5630" s="1113"/>
      <c r="N5630" s="110"/>
      <c r="O5630" s="1140"/>
      <c r="P5630" s="1115"/>
      <c r="Q5630" s="1116"/>
      <c r="R5630" s="1141"/>
      <c r="S5630" s="1113"/>
      <c r="T5630" s="1143"/>
      <c r="U5630" s="1108"/>
      <c r="V5630" s="1108"/>
      <c r="W5630" s="1108"/>
      <c r="X5630" s="1108"/>
      <c r="Y5630" s="1108"/>
      <c r="Z5630" s="1114"/>
      <c r="AA5630" s="1114"/>
      <c r="AB5630" s="1114"/>
      <c r="AC5630" s="1117"/>
      <c r="AD5630" s="1115"/>
      <c r="AE5630" s="1115"/>
      <c r="AF5630" s="1115"/>
      <c r="AG5630" s="1115"/>
      <c r="AH5630" s="1115"/>
      <c r="AI5630" s="1115"/>
      <c r="AJ5630" s="1117"/>
      <c r="AK5630" s="1118"/>
      <c r="AL5630" s="1115"/>
      <c r="AM5630" s="1115"/>
      <c r="AN5630" s="1115"/>
      <c r="AO5630" s="1115"/>
      <c r="AP5630" s="1115"/>
      <c r="AQ5630" s="1115"/>
      <c r="AR5630" s="1115"/>
      <c r="AS5630" s="1117"/>
      <c r="AT5630" s="1075"/>
      <c r="AU5630" s="1193"/>
      <c r="AV5630" s="330"/>
      <c r="AW5630" s="331"/>
      <c r="AX5630" s="331"/>
      <c r="AY5630" s="331"/>
      <c r="AZ5630" s="331"/>
      <c r="BA5630" s="331"/>
      <c r="BB5630" s="331"/>
      <c r="BC5630" s="331"/>
      <c r="BD5630" s="331"/>
      <c r="BE5630" s="333"/>
      <c r="BF5630" s="330"/>
      <c r="BG5630" s="333"/>
      <c r="BH5630" s="1119"/>
      <c r="BI5630" s="319"/>
      <c r="BJ5630" s="319"/>
      <c r="BK5630" s="319"/>
      <c r="BL5630" s="319"/>
      <c r="BM5630" s="319"/>
      <c r="BN5630" s="319"/>
      <c r="BO5630" s="319"/>
      <c r="BP5630" s="953"/>
      <c r="BQ5630" s="319"/>
      <c r="BR5630" s="319"/>
      <c r="BS5630" s="330"/>
      <c r="BT5630" s="331"/>
      <c r="BU5630" s="920"/>
      <c r="BV5630" s="903"/>
      <c r="BW5630" s="908"/>
      <c r="BX5630" s="908"/>
      <c r="BY5630" s="331"/>
      <c r="BZ5630" s="331"/>
      <c r="CA5630" s="462"/>
      <c r="CB5630" s="319"/>
      <c r="CC5630" s="319"/>
      <c r="CD5630" s="319"/>
      <c r="CE5630" s="319"/>
      <c r="CF5630" s="319"/>
      <c r="CG5630" s="319"/>
      <c r="CH5630" s="318"/>
      <c r="CI5630" s="319"/>
      <c r="CJ5630" s="319"/>
      <c r="CK5630" s="342"/>
      <c r="CL5630" s="333"/>
      <c r="CM5630" s="1079"/>
      <c r="CN5630" s="1005"/>
      <c r="CO5630" s="1005"/>
      <c r="CP5630" s="1005"/>
    </row>
    <row r="5631">
      <c r="A5631" s="1257"/>
      <c r="B5631" s="1113"/>
      <c r="C5631" s="1107"/>
      <c r="D5631" s="103"/>
      <c r="E5631" s="1137"/>
      <c r="F5631" s="112"/>
      <c r="G5631" s="1110"/>
      <c r="H5631" s="1138"/>
      <c r="I5631" s="1138"/>
      <c r="J5631" s="1139"/>
      <c r="K5631" s="1111"/>
      <c r="L5631" s="1112"/>
      <c r="M5631" s="1113"/>
      <c r="N5631" s="110"/>
      <c r="O5631" s="1140"/>
      <c r="P5631" s="1115"/>
      <c r="Q5631" s="1116"/>
      <c r="R5631" s="1141"/>
      <c r="S5631" s="1113"/>
      <c r="T5631" s="1143"/>
      <c r="U5631" s="1108"/>
      <c r="V5631" s="1108"/>
      <c r="W5631" s="1108"/>
      <c r="X5631" s="1108"/>
      <c r="Y5631" s="1108"/>
      <c r="Z5631" s="1114"/>
      <c r="AA5631" s="1114"/>
      <c r="AB5631" s="1114"/>
      <c r="AC5631" s="1117"/>
      <c r="AD5631" s="1115"/>
      <c r="AE5631" s="1115"/>
      <c r="AF5631" s="1115"/>
      <c r="AG5631" s="1115"/>
      <c r="AH5631" s="1115"/>
      <c r="AI5631" s="1115"/>
      <c r="AJ5631" s="1117"/>
      <c r="AK5631" s="1118"/>
      <c r="AL5631" s="1115"/>
      <c r="AM5631" s="1115"/>
      <c r="AN5631" s="1115"/>
      <c r="AO5631" s="1115"/>
      <c r="AP5631" s="1115"/>
      <c r="AQ5631" s="1115"/>
      <c r="AR5631" s="1115"/>
      <c r="AS5631" s="1117"/>
      <c r="AT5631" s="1075"/>
      <c r="AU5631" s="1193"/>
      <c r="AV5631" s="330"/>
      <c r="AW5631" s="331"/>
      <c r="AX5631" s="331"/>
      <c r="AY5631" s="331"/>
      <c r="AZ5631" s="331"/>
      <c r="BA5631" s="331"/>
      <c r="BB5631" s="331"/>
      <c r="BC5631" s="331"/>
      <c r="BD5631" s="331"/>
      <c r="BE5631" s="333"/>
      <c r="BF5631" s="330"/>
      <c r="BG5631" s="333"/>
      <c r="BH5631" s="1119"/>
      <c r="BI5631" s="319"/>
      <c r="BJ5631" s="319"/>
      <c r="BK5631" s="319"/>
      <c r="BL5631" s="319"/>
      <c r="BM5631" s="319"/>
      <c r="BN5631" s="319"/>
      <c r="BO5631" s="319"/>
      <c r="BP5631" s="953"/>
      <c r="BQ5631" s="319"/>
      <c r="BR5631" s="319"/>
      <c r="BS5631" s="330"/>
      <c r="BT5631" s="331"/>
      <c r="BU5631" s="920"/>
      <c r="BV5631" s="903"/>
      <c r="BW5631" s="908"/>
      <c r="BX5631" s="908"/>
      <c r="BY5631" s="331"/>
      <c r="BZ5631" s="331"/>
      <c r="CA5631" s="462"/>
      <c r="CB5631" s="319"/>
      <c r="CC5631" s="319"/>
      <c r="CD5631" s="319"/>
      <c r="CE5631" s="319"/>
      <c r="CF5631" s="319"/>
      <c r="CG5631" s="319"/>
      <c r="CH5631" s="318"/>
      <c r="CI5631" s="319"/>
      <c r="CJ5631" s="319"/>
      <c r="CK5631" s="342"/>
      <c r="CL5631" s="333"/>
      <c r="CM5631" s="1079"/>
      <c r="CN5631" s="1005"/>
      <c r="CO5631" s="1005"/>
      <c r="CP5631" s="1005"/>
    </row>
    <row r="5632">
      <c r="A5632" s="1257"/>
      <c r="B5632" s="1113"/>
      <c r="C5632" s="1107"/>
      <c r="D5632" s="103"/>
      <c r="E5632" s="1137"/>
      <c r="F5632" s="112"/>
      <c r="G5632" s="1110"/>
      <c r="H5632" s="1138"/>
      <c r="I5632" s="1138"/>
      <c r="J5632" s="1139"/>
      <c r="K5632" s="1111"/>
      <c r="L5632" s="1112"/>
      <c r="M5632" s="1113"/>
      <c r="N5632" s="110"/>
      <c r="O5632" s="1140"/>
      <c r="P5632" s="1115"/>
      <c r="Q5632" s="1116"/>
      <c r="R5632" s="1141"/>
      <c r="S5632" s="1113"/>
      <c r="T5632" s="1143"/>
      <c r="U5632" s="1108"/>
      <c r="V5632" s="1108"/>
      <c r="W5632" s="1108"/>
      <c r="X5632" s="1108"/>
      <c r="Y5632" s="1108"/>
      <c r="Z5632" s="1114"/>
      <c r="AA5632" s="1114"/>
      <c r="AB5632" s="1114"/>
      <c r="AC5632" s="1117"/>
      <c r="AD5632" s="1115"/>
      <c r="AE5632" s="1115"/>
      <c r="AF5632" s="1115"/>
      <c r="AG5632" s="1115"/>
      <c r="AH5632" s="1115"/>
      <c r="AI5632" s="1115"/>
      <c r="AJ5632" s="1117"/>
      <c r="AK5632" s="1118"/>
      <c r="AL5632" s="1115"/>
      <c r="AM5632" s="1115"/>
      <c r="AN5632" s="1115"/>
      <c r="AO5632" s="1115"/>
      <c r="AP5632" s="1115"/>
      <c r="AQ5632" s="1115"/>
      <c r="AR5632" s="1115"/>
      <c r="AS5632" s="1117"/>
      <c r="AT5632" s="1075"/>
      <c r="AU5632" s="1193"/>
      <c r="AV5632" s="330"/>
      <c r="AW5632" s="331"/>
      <c r="AX5632" s="331"/>
      <c r="AY5632" s="331"/>
      <c r="AZ5632" s="331"/>
      <c r="BA5632" s="331"/>
      <c r="BB5632" s="331"/>
      <c r="BC5632" s="331"/>
      <c r="BD5632" s="331"/>
      <c r="BE5632" s="333"/>
      <c r="BF5632" s="330"/>
      <c r="BG5632" s="333"/>
      <c r="BH5632" s="1119"/>
      <c r="BI5632" s="319"/>
      <c r="BJ5632" s="319"/>
      <c r="BK5632" s="319"/>
      <c r="BL5632" s="319"/>
      <c r="BM5632" s="319"/>
      <c r="BN5632" s="319"/>
      <c r="BO5632" s="319"/>
      <c r="BP5632" s="953"/>
      <c r="BQ5632" s="319"/>
      <c r="BR5632" s="319"/>
      <c r="BS5632" s="330"/>
      <c r="BT5632" s="331"/>
      <c r="BU5632" s="920"/>
      <c r="BV5632" s="903"/>
      <c r="BW5632" s="908"/>
      <c r="BX5632" s="908"/>
      <c r="BY5632" s="331"/>
      <c r="BZ5632" s="331"/>
      <c r="CA5632" s="462"/>
      <c r="CB5632" s="319"/>
      <c r="CC5632" s="319"/>
      <c r="CD5632" s="319"/>
      <c r="CE5632" s="319"/>
      <c r="CF5632" s="319"/>
      <c r="CG5632" s="319"/>
      <c r="CH5632" s="318"/>
      <c r="CI5632" s="319"/>
      <c r="CJ5632" s="319"/>
      <c r="CK5632" s="342"/>
      <c r="CL5632" s="333"/>
      <c r="CM5632" s="1079"/>
      <c r="CN5632" s="1005"/>
      <c r="CO5632" s="1005"/>
      <c r="CP5632" s="1005"/>
    </row>
    <row r="5633">
      <c r="A5633" s="1257"/>
      <c r="B5633" s="1113"/>
      <c r="C5633" s="1107"/>
      <c r="D5633" s="103"/>
      <c r="E5633" s="1137"/>
      <c r="F5633" s="112"/>
      <c r="G5633" s="1110"/>
      <c r="H5633" s="1138"/>
      <c r="I5633" s="1138"/>
      <c r="J5633" s="1139"/>
      <c r="K5633" s="1111"/>
      <c r="L5633" s="1112"/>
      <c r="M5633" s="1113"/>
      <c r="N5633" s="110"/>
      <c r="O5633" s="1140"/>
      <c r="P5633" s="1115"/>
      <c r="Q5633" s="1116"/>
      <c r="R5633" s="1141"/>
      <c r="S5633" s="1113"/>
      <c r="T5633" s="1143"/>
      <c r="U5633" s="1108"/>
      <c r="V5633" s="1108"/>
      <c r="W5633" s="1108"/>
      <c r="X5633" s="1108"/>
      <c r="Y5633" s="1108"/>
      <c r="Z5633" s="1114"/>
      <c r="AA5633" s="1114"/>
      <c r="AB5633" s="1114"/>
      <c r="AC5633" s="1117"/>
      <c r="AD5633" s="1115"/>
      <c r="AE5633" s="1115"/>
      <c r="AF5633" s="1115"/>
      <c r="AG5633" s="1115"/>
      <c r="AH5633" s="1115"/>
      <c r="AI5633" s="1115"/>
      <c r="AJ5633" s="1117"/>
      <c r="AK5633" s="1118"/>
      <c r="AL5633" s="1115"/>
      <c r="AM5633" s="1115"/>
      <c r="AN5633" s="1115"/>
      <c r="AO5633" s="1115"/>
      <c r="AP5633" s="1115"/>
      <c r="AQ5633" s="1115"/>
      <c r="AR5633" s="1115"/>
      <c r="AS5633" s="1117"/>
      <c r="AT5633" s="1075"/>
      <c r="AU5633" s="1193"/>
      <c r="AV5633" s="330"/>
      <c r="AW5633" s="331"/>
      <c r="AX5633" s="331"/>
      <c r="AY5633" s="331"/>
      <c r="AZ5633" s="331"/>
      <c r="BA5633" s="331"/>
      <c r="BB5633" s="331"/>
      <c r="BC5633" s="331"/>
      <c r="BD5633" s="331"/>
      <c r="BE5633" s="333"/>
      <c r="BF5633" s="330"/>
      <c r="BG5633" s="333"/>
      <c r="BH5633" s="1119"/>
      <c r="BI5633" s="319"/>
      <c r="BJ5633" s="319"/>
      <c r="BK5633" s="319"/>
      <c r="BL5633" s="319"/>
      <c r="BM5633" s="319"/>
      <c r="BN5633" s="319"/>
      <c r="BO5633" s="319"/>
      <c r="BP5633" s="953"/>
      <c r="BQ5633" s="319"/>
      <c r="BR5633" s="319"/>
      <c r="BS5633" s="330"/>
      <c r="BT5633" s="331"/>
      <c r="BU5633" s="920"/>
      <c r="BV5633" s="903"/>
      <c r="BW5633" s="908"/>
      <c r="BX5633" s="908"/>
      <c r="BY5633" s="331"/>
      <c r="BZ5633" s="331"/>
      <c r="CA5633" s="462"/>
      <c r="CB5633" s="319"/>
      <c r="CC5633" s="319"/>
      <c r="CD5633" s="319"/>
      <c r="CE5633" s="319"/>
      <c r="CF5633" s="319"/>
      <c r="CG5633" s="319"/>
      <c r="CH5633" s="318"/>
      <c r="CI5633" s="319"/>
      <c r="CJ5633" s="319"/>
      <c r="CK5633" s="342"/>
      <c r="CL5633" s="333"/>
      <c r="CM5633" s="1079"/>
      <c r="CN5633" s="1005"/>
      <c r="CO5633" s="1005"/>
      <c r="CP5633" s="1005"/>
    </row>
    <row r="5634">
      <c r="A5634" s="1257"/>
      <c r="B5634" s="1113"/>
      <c r="C5634" s="1107"/>
      <c r="D5634" s="103"/>
      <c r="E5634" s="1137"/>
      <c r="F5634" s="112"/>
      <c r="G5634" s="1110"/>
      <c r="H5634" s="1138"/>
      <c r="I5634" s="1138"/>
      <c r="J5634" s="1139"/>
      <c r="K5634" s="1111"/>
      <c r="L5634" s="1112"/>
      <c r="M5634" s="1113"/>
      <c r="N5634" s="110"/>
      <c r="O5634" s="1140"/>
      <c r="P5634" s="1115"/>
      <c r="Q5634" s="1116"/>
      <c r="R5634" s="1141"/>
      <c r="S5634" s="1113"/>
      <c r="T5634" s="1143"/>
      <c r="U5634" s="1108"/>
      <c r="V5634" s="1108"/>
      <c r="W5634" s="1108"/>
      <c r="X5634" s="1108"/>
      <c r="Y5634" s="1108"/>
      <c r="Z5634" s="1114"/>
      <c r="AA5634" s="1114"/>
      <c r="AB5634" s="1114"/>
      <c r="AC5634" s="1117"/>
      <c r="AD5634" s="1115"/>
      <c r="AE5634" s="1115"/>
      <c r="AF5634" s="1115"/>
      <c r="AG5634" s="1115"/>
      <c r="AH5634" s="1115"/>
      <c r="AI5634" s="1115"/>
      <c r="AJ5634" s="1117"/>
      <c r="AK5634" s="1118"/>
      <c r="AL5634" s="1115"/>
      <c r="AM5634" s="1115"/>
      <c r="AN5634" s="1115"/>
      <c r="AO5634" s="1115"/>
      <c r="AP5634" s="1115"/>
      <c r="AQ5634" s="1115"/>
      <c r="AR5634" s="1115"/>
      <c r="AS5634" s="1117"/>
      <c r="AT5634" s="1075"/>
      <c r="AU5634" s="1193"/>
      <c r="AV5634" s="330"/>
      <c r="AW5634" s="331"/>
      <c r="AX5634" s="331"/>
      <c r="AY5634" s="331"/>
      <c r="AZ5634" s="331"/>
      <c r="BA5634" s="331"/>
      <c r="BB5634" s="331"/>
      <c r="BC5634" s="331"/>
      <c r="BD5634" s="331"/>
      <c r="BE5634" s="333"/>
      <c r="BF5634" s="330"/>
      <c r="BG5634" s="333"/>
      <c r="BH5634" s="1119"/>
      <c r="BI5634" s="319"/>
      <c r="BJ5634" s="319"/>
      <c r="BK5634" s="319"/>
      <c r="BL5634" s="319"/>
      <c r="BM5634" s="319"/>
      <c r="BN5634" s="319"/>
      <c r="BO5634" s="319"/>
      <c r="BP5634" s="953"/>
      <c r="BQ5634" s="319"/>
      <c r="BR5634" s="319"/>
      <c r="BS5634" s="330"/>
      <c r="BT5634" s="331"/>
      <c r="BU5634" s="920"/>
      <c r="BV5634" s="903"/>
      <c r="BW5634" s="908"/>
      <c r="BX5634" s="908"/>
      <c r="BY5634" s="331"/>
      <c r="BZ5634" s="331"/>
      <c r="CA5634" s="462"/>
      <c r="CB5634" s="319"/>
      <c r="CC5634" s="319"/>
      <c r="CD5634" s="319"/>
      <c r="CE5634" s="319"/>
      <c r="CF5634" s="319"/>
      <c r="CG5634" s="319"/>
      <c r="CH5634" s="318"/>
      <c r="CI5634" s="319"/>
      <c r="CJ5634" s="319"/>
      <c r="CK5634" s="342"/>
      <c r="CL5634" s="333"/>
      <c r="CM5634" s="1079"/>
      <c r="CN5634" s="1005"/>
      <c r="CO5634" s="1005"/>
      <c r="CP5634" s="1005"/>
    </row>
    <row r="5635">
      <c r="A5635" s="1257"/>
      <c r="B5635" s="1113"/>
      <c r="C5635" s="1107"/>
      <c r="D5635" s="103"/>
      <c r="E5635" s="1137"/>
      <c r="F5635" s="112"/>
      <c r="G5635" s="1110"/>
      <c r="H5635" s="1138"/>
      <c r="I5635" s="1138"/>
      <c r="J5635" s="1139"/>
      <c r="K5635" s="1111"/>
      <c r="L5635" s="1112"/>
      <c r="M5635" s="1113"/>
      <c r="N5635" s="110"/>
      <c r="O5635" s="1140"/>
      <c r="P5635" s="1115"/>
      <c r="Q5635" s="1116"/>
      <c r="R5635" s="1141"/>
      <c r="S5635" s="1113"/>
      <c r="T5635" s="1143"/>
      <c r="U5635" s="1108"/>
      <c r="V5635" s="1108"/>
      <c r="W5635" s="1108"/>
      <c r="X5635" s="1108"/>
      <c r="Y5635" s="1108"/>
      <c r="Z5635" s="1114"/>
      <c r="AA5635" s="1114"/>
      <c r="AB5635" s="1114"/>
      <c r="AC5635" s="1117"/>
      <c r="AD5635" s="1115"/>
      <c r="AE5635" s="1115"/>
      <c r="AF5635" s="1115"/>
      <c r="AG5635" s="1115"/>
      <c r="AH5635" s="1115"/>
      <c r="AI5635" s="1115"/>
      <c r="AJ5635" s="1117"/>
      <c r="AK5635" s="1118"/>
      <c r="AL5635" s="1115"/>
      <c r="AM5635" s="1115"/>
      <c r="AN5635" s="1115"/>
      <c r="AO5635" s="1115"/>
      <c r="AP5635" s="1115"/>
      <c r="AQ5635" s="1115"/>
      <c r="AR5635" s="1115"/>
      <c r="AS5635" s="1117"/>
      <c r="AT5635" s="1075"/>
      <c r="AU5635" s="1193"/>
      <c r="AV5635" s="330"/>
      <c r="AW5635" s="331"/>
      <c r="AX5635" s="331"/>
      <c r="AY5635" s="331"/>
      <c r="AZ5635" s="331"/>
      <c r="BA5635" s="331"/>
      <c r="BB5635" s="331"/>
      <c r="BC5635" s="331"/>
      <c r="BD5635" s="331"/>
      <c r="BE5635" s="333"/>
      <c r="BF5635" s="330"/>
      <c r="BG5635" s="333"/>
      <c r="BH5635" s="1119"/>
      <c r="BI5635" s="319"/>
      <c r="BJ5635" s="319"/>
      <c r="BK5635" s="319"/>
      <c r="BL5635" s="319"/>
      <c r="BM5635" s="319"/>
      <c r="BN5635" s="319"/>
      <c r="BO5635" s="319"/>
      <c r="BP5635" s="953"/>
      <c r="BQ5635" s="319"/>
      <c r="BR5635" s="319"/>
      <c r="BS5635" s="330"/>
      <c r="BT5635" s="331"/>
      <c r="BU5635" s="920"/>
      <c r="BV5635" s="903"/>
      <c r="BW5635" s="908"/>
      <c r="BX5635" s="908"/>
      <c r="BY5635" s="331"/>
      <c r="BZ5635" s="331"/>
      <c r="CA5635" s="462"/>
      <c r="CB5635" s="319"/>
      <c r="CC5635" s="319"/>
      <c r="CD5635" s="319"/>
      <c r="CE5635" s="319"/>
      <c r="CF5635" s="319"/>
      <c r="CG5635" s="319"/>
      <c r="CH5635" s="318"/>
      <c r="CI5635" s="319"/>
      <c r="CJ5635" s="319"/>
      <c r="CK5635" s="342"/>
      <c r="CL5635" s="333"/>
      <c r="CM5635" s="1079"/>
      <c r="CN5635" s="1005"/>
      <c r="CO5635" s="1005"/>
      <c r="CP5635" s="1005"/>
    </row>
    <row r="5636">
      <c r="A5636" s="1257"/>
      <c r="B5636" s="1113"/>
      <c r="C5636" s="1107"/>
      <c r="D5636" s="103"/>
      <c r="E5636" s="1137"/>
      <c r="F5636" s="112"/>
      <c r="G5636" s="1110"/>
      <c r="H5636" s="1138"/>
      <c r="I5636" s="1138"/>
      <c r="J5636" s="1139"/>
      <c r="K5636" s="1111"/>
      <c r="L5636" s="1112"/>
      <c r="M5636" s="1113"/>
      <c r="N5636" s="110"/>
      <c r="O5636" s="1140"/>
      <c r="P5636" s="1115"/>
      <c r="Q5636" s="1116"/>
      <c r="R5636" s="1141"/>
      <c r="S5636" s="1113"/>
      <c r="T5636" s="1143"/>
      <c r="U5636" s="1108"/>
      <c r="V5636" s="1108"/>
      <c r="W5636" s="1108"/>
      <c r="X5636" s="1108"/>
      <c r="Y5636" s="1108"/>
      <c r="Z5636" s="1114"/>
      <c r="AA5636" s="1114"/>
      <c r="AB5636" s="1114"/>
      <c r="AC5636" s="1117"/>
      <c r="AD5636" s="1115"/>
      <c r="AE5636" s="1115"/>
      <c r="AF5636" s="1115"/>
      <c r="AG5636" s="1115"/>
      <c r="AH5636" s="1115"/>
      <c r="AI5636" s="1115"/>
      <c r="AJ5636" s="1117"/>
      <c r="AK5636" s="1118"/>
      <c r="AL5636" s="1115"/>
      <c r="AM5636" s="1115"/>
      <c r="AN5636" s="1115"/>
      <c r="AO5636" s="1115"/>
      <c r="AP5636" s="1115"/>
      <c r="AQ5636" s="1115"/>
      <c r="AR5636" s="1115"/>
      <c r="AS5636" s="1117"/>
      <c r="AT5636" s="1075"/>
      <c r="AU5636" s="1193"/>
      <c r="AV5636" s="330"/>
      <c r="AW5636" s="331"/>
      <c r="AX5636" s="331"/>
      <c r="AY5636" s="331"/>
      <c r="AZ5636" s="331"/>
      <c r="BA5636" s="331"/>
      <c r="BB5636" s="331"/>
      <c r="BC5636" s="331"/>
      <c r="BD5636" s="331"/>
      <c r="BE5636" s="333"/>
      <c r="BF5636" s="330"/>
      <c r="BG5636" s="333"/>
      <c r="BH5636" s="1119"/>
      <c r="BI5636" s="319"/>
      <c r="BJ5636" s="319"/>
      <c r="BK5636" s="319"/>
      <c r="BL5636" s="319"/>
      <c r="BM5636" s="319"/>
      <c r="BN5636" s="319"/>
      <c r="BO5636" s="319"/>
      <c r="BP5636" s="953"/>
      <c r="BQ5636" s="319"/>
      <c r="BR5636" s="319"/>
      <c r="BS5636" s="330"/>
      <c r="BT5636" s="331"/>
      <c r="BU5636" s="920"/>
      <c r="BV5636" s="903"/>
      <c r="BW5636" s="908"/>
      <c r="BX5636" s="908"/>
      <c r="BY5636" s="331"/>
      <c r="BZ5636" s="331"/>
      <c r="CA5636" s="462"/>
      <c r="CB5636" s="319"/>
      <c r="CC5636" s="319"/>
      <c r="CD5636" s="319"/>
      <c r="CE5636" s="319"/>
      <c r="CF5636" s="319"/>
      <c r="CG5636" s="319"/>
      <c r="CH5636" s="318"/>
      <c r="CI5636" s="319"/>
      <c r="CJ5636" s="319"/>
      <c r="CK5636" s="342"/>
      <c r="CL5636" s="333"/>
      <c r="CM5636" s="1079"/>
      <c r="CN5636" s="1005"/>
      <c r="CO5636" s="1005"/>
      <c r="CP5636" s="1005"/>
    </row>
    <row r="5637">
      <c r="A5637" s="1257"/>
      <c r="B5637" s="1113"/>
      <c r="C5637" s="1107"/>
      <c r="D5637" s="103"/>
      <c r="E5637" s="1137"/>
      <c r="F5637" s="112"/>
      <c r="G5637" s="1110"/>
      <c r="H5637" s="1138"/>
      <c r="I5637" s="1138"/>
      <c r="J5637" s="1139"/>
      <c r="K5637" s="1111"/>
      <c r="L5637" s="1112"/>
      <c r="M5637" s="1113"/>
      <c r="N5637" s="110"/>
      <c r="O5637" s="1140"/>
      <c r="P5637" s="1115"/>
      <c r="Q5637" s="1116"/>
      <c r="R5637" s="1141"/>
      <c r="S5637" s="1113"/>
      <c r="T5637" s="1143"/>
      <c r="U5637" s="1108"/>
      <c r="V5637" s="1108"/>
      <c r="W5637" s="1108"/>
      <c r="X5637" s="1108"/>
      <c r="Y5637" s="1108"/>
      <c r="Z5637" s="1114"/>
      <c r="AA5637" s="1114"/>
      <c r="AB5637" s="1114"/>
      <c r="AC5637" s="1117"/>
      <c r="AD5637" s="1115"/>
      <c r="AE5637" s="1115"/>
      <c r="AF5637" s="1115"/>
      <c r="AG5637" s="1115"/>
      <c r="AH5637" s="1115"/>
      <c r="AI5637" s="1115"/>
      <c r="AJ5637" s="1117"/>
      <c r="AK5637" s="1118"/>
      <c r="AL5637" s="1115"/>
      <c r="AM5637" s="1115"/>
      <c r="AN5637" s="1115"/>
      <c r="AO5637" s="1115"/>
      <c r="AP5637" s="1115"/>
      <c r="AQ5637" s="1115"/>
      <c r="AR5637" s="1115"/>
      <c r="AS5637" s="1117"/>
      <c r="AT5637" s="1075"/>
      <c r="AU5637" s="1193"/>
      <c r="AV5637" s="330"/>
      <c r="AW5637" s="331"/>
      <c r="AX5637" s="331"/>
      <c r="AY5637" s="331"/>
      <c r="AZ5637" s="331"/>
      <c r="BA5637" s="331"/>
      <c r="BB5637" s="331"/>
      <c r="BC5637" s="331"/>
      <c r="BD5637" s="331"/>
      <c r="BE5637" s="333"/>
      <c r="BF5637" s="330"/>
      <c r="BG5637" s="333"/>
      <c r="BH5637" s="1119"/>
      <c r="BI5637" s="319"/>
      <c r="BJ5637" s="319"/>
      <c r="BK5637" s="319"/>
      <c r="BL5637" s="319"/>
      <c r="BM5637" s="319"/>
      <c r="BN5637" s="319"/>
      <c r="BO5637" s="319"/>
      <c r="BP5637" s="953"/>
      <c r="BQ5637" s="319"/>
      <c r="BR5637" s="319"/>
      <c r="BS5637" s="330"/>
      <c r="BT5637" s="331"/>
      <c r="BU5637" s="920"/>
      <c r="BV5637" s="903"/>
      <c r="BW5637" s="908"/>
      <c r="BX5637" s="908"/>
      <c r="BY5637" s="331"/>
      <c r="BZ5637" s="331"/>
      <c r="CA5637" s="462"/>
      <c r="CB5637" s="319"/>
      <c r="CC5637" s="319"/>
      <c r="CD5637" s="319"/>
      <c r="CE5637" s="319"/>
      <c r="CF5637" s="319"/>
      <c r="CG5637" s="319"/>
      <c r="CH5637" s="318"/>
      <c r="CI5637" s="319"/>
      <c r="CJ5637" s="319"/>
      <c r="CK5637" s="342"/>
      <c r="CL5637" s="333"/>
      <c r="CM5637" s="1079"/>
      <c r="CN5637" s="1005"/>
      <c r="CO5637" s="1005"/>
      <c r="CP5637" s="1005"/>
    </row>
    <row r="5638">
      <c r="A5638" s="1257"/>
      <c r="B5638" s="1113"/>
      <c r="C5638" s="1107"/>
      <c r="D5638" s="103"/>
      <c r="E5638" s="1137"/>
      <c r="F5638" s="112"/>
      <c r="G5638" s="1110"/>
      <c r="H5638" s="1138"/>
      <c r="I5638" s="1138"/>
      <c r="J5638" s="1139"/>
      <c r="K5638" s="1111"/>
      <c r="L5638" s="1112"/>
      <c r="M5638" s="1113"/>
      <c r="N5638" s="110"/>
      <c r="O5638" s="1140"/>
      <c r="P5638" s="1115"/>
      <c r="Q5638" s="1116"/>
      <c r="R5638" s="1141"/>
      <c r="S5638" s="1113"/>
      <c r="T5638" s="1143"/>
      <c r="U5638" s="1108"/>
      <c r="V5638" s="1108"/>
      <c r="W5638" s="1108"/>
      <c r="X5638" s="1108"/>
      <c r="Y5638" s="1108"/>
      <c r="Z5638" s="1114"/>
      <c r="AA5638" s="1114"/>
      <c r="AB5638" s="1114"/>
      <c r="AC5638" s="1117"/>
      <c r="AD5638" s="1115"/>
      <c r="AE5638" s="1115"/>
      <c r="AF5638" s="1115"/>
      <c r="AG5638" s="1115"/>
      <c r="AH5638" s="1115"/>
      <c r="AI5638" s="1115"/>
      <c r="AJ5638" s="1117"/>
      <c r="AK5638" s="1118"/>
      <c r="AL5638" s="1115"/>
      <c r="AM5638" s="1115"/>
      <c r="AN5638" s="1115"/>
      <c r="AO5638" s="1115"/>
      <c r="AP5638" s="1115"/>
      <c r="AQ5638" s="1115"/>
      <c r="AR5638" s="1115"/>
      <c r="AS5638" s="1117"/>
      <c r="AT5638" s="1075"/>
      <c r="AU5638" s="1193"/>
      <c r="AV5638" s="330"/>
      <c r="AW5638" s="331"/>
      <c r="AX5638" s="331"/>
      <c r="AY5638" s="331"/>
      <c r="AZ5638" s="331"/>
      <c r="BA5638" s="331"/>
      <c r="BB5638" s="331"/>
      <c r="BC5638" s="331"/>
      <c r="BD5638" s="331"/>
      <c r="BE5638" s="333"/>
      <c r="BF5638" s="330"/>
      <c r="BG5638" s="333"/>
      <c r="BH5638" s="1119"/>
      <c r="BI5638" s="319"/>
      <c r="BJ5638" s="319"/>
      <c r="BK5638" s="319"/>
      <c r="BL5638" s="319"/>
      <c r="BM5638" s="319"/>
      <c r="BN5638" s="319"/>
      <c r="BO5638" s="319"/>
      <c r="BP5638" s="953"/>
      <c r="BQ5638" s="319"/>
      <c r="BR5638" s="319"/>
      <c r="BS5638" s="330"/>
      <c r="BT5638" s="331"/>
      <c r="BU5638" s="920"/>
      <c r="BV5638" s="903"/>
      <c r="BW5638" s="908"/>
      <c r="BX5638" s="908"/>
      <c r="BY5638" s="331"/>
      <c r="BZ5638" s="331"/>
      <c r="CA5638" s="462"/>
      <c r="CB5638" s="319"/>
      <c r="CC5638" s="319"/>
      <c r="CD5638" s="319"/>
      <c r="CE5638" s="319"/>
      <c r="CF5638" s="319"/>
      <c r="CG5638" s="319"/>
      <c r="CH5638" s="318"/>
      <c r="CI5638" s="319"/>
      <c r="CJ5638" s="319"/>
      <c r="CK5638" s="342"/>
      <c r="CL5638" s="333"/>
      <c r="CM5638" s="1079"/>
      <c r="CN5638" s="1005"/>
      <c r="CO5638" s="1005"/>
      <c r="CP5638" s="1005"/>
    </row>
    <row r="5639">
      <c r="A5639" s="1257"/>
      <c r="B5639" s="1113"/>
      <c r="C5639" s="1107"/>
      <c r="D5639" s="103"/>
      <c r="E5639" s="1137"/>
      <c r="F5639" s="112"/>
      <c r="G5639" s="1110"/>
      <c r="H5639" s="1138"/>
      <c r="I5639" s="1138"/>
      <c r="J5639" s="1139"/>
      <c r="K5639" s="1111"/>
      <c r="L5639" s="1112"/>
      <c r="M5639" s="1113"/>
      <c r="N5639" s="110"/>
      <c r="O5639" s="1140"/>
      <c r="P5639" s="1115"/>
      <c r="Q5639" s="1116"/>
      <c r="R5639" s="1141"/>
      <c r="S5639" s="1113"/>
      <c r="T5639" s="1143"/>
      <c r="U5639" s="1108"/>
      <c r="V5639" s="1108"/>
      <c r="W5639" s="1108"/>
      <c r="X5639" s="1108"/>
      <c r="Y5639" s="1108"/>
      <c r="Z5639" s="1114"/>
      <c r="AA5639" s="1114"/>
      <c r="AB5639" s="1114"/>
      <c r="AC5639" s="1117"/>
      <c r="AD5639" s="1115"/>
      <c r="AE5639" s="1115"/>
      <c r="AF5639" s="1115"/>
      <c r="AG5639" s="1115"/>
      <c r="AH5639" s="1115"/>
      <c r="AI5639" s="1115"/>
      <c r="AJ5639" s="1117"/>
      <c r="AK5639" s="1118"/>
      <c r="AL5639" s="1115"/>
      <c r="AM5639" s="1115"/>
      <c r="AN5639" s="1115"/>
      <c r="AO5639" s="1115"/>
      <c r="AP5639" s="1115"/>
      <c r="AQ5639" s="1115"/>
      <c r="AR5639" s="1115"/>
      <c r="AS5639" s="1117"/>
      <c r="AT5639" s="1075"/>
      <c r="AU5639" s="1193"/>
      <c r="AV5639" s="330"/>
      <c r="AW5639" s="331"/>
      <c r="AX5639" s="331"/>
      <c r="AY5639" s="331"/>
      <c r="AZ5639" s="331"/>
      <c r="BA5639" s="331"/>
      <c r="BB5639" s="331"/>
      <c r="BC5639" s="331"/>
      <c r="BD5639" s="331"/>
      <c r="BE5639" s="333"/>
      <c r="BF5639" s="330"/>
      <c r="BG5639" s="333"/>
      <c r="BH5639" s="1119"/>
      <c r="BI5639" s="319"/>
      <c r="BJ5639" s="319"/>
      <c r="BK5639" s="319"/>
      <c r="BL5639" s="319"/>
      <c r="BM5639" s="319"/>
      <c r="BN5639" s="319"/>
      <c r="BO5639" s="319"/>
      <c r="BP5639" s="953"/>
      <c r="BQ5639" s="319"/>
      <c r="BR5639" s="319"/>
      <c r="BS5639" s="330"/>
      <c r="BT5639" s="331"/>
      <c r="BU5639" s="920"/>
      <c r="BV5639" s="903"/>
      <c r="BW5639" s="908"/>
      <c r="BX5639" s="908"/>
      <c r="BY5639" s="331"/>
      <c r="BZ5639" s="331"/>
      <c r="CA5639" s="462"/>
      <c r="CB5639" s="319"/>
      <c r="CC5639" s="319"/>
      <c r="CD5639" s="319"/>
      <c r="CE5639" s="319"/>
      <c r="CF5639" s="319"/>
      <c r="CG5639" s="319"/>
      <c r="CH5639" s="318"/>
      <c r="CI5639" s="319"/>
      <c r="CJ5639" s="319"/>
      <c r="CK5639" s="342"/>
      <c r="CL5639" s="333"/>
      <c r="CM5639" s="1079"/>
      <c r="CN5639" s="1005"/>
      <c r="CO5639" s="1005"/>
      <c r="CP5639" s="1005"/>
    </row>
    <row r="5640">
      <c r="A5640" s="1257"/>
      <c r="B5640" s="1113"/>
      <c r="C5640" s="1107"/>
      <c r="D5640" s="103"/>
      <c r="E5640" s="1137"/>
      <c r="F5640" s="112"/>
      <c r="G5640" s="1110"/>
      <c r="H5640" s="1138"/>
      <c r="I5640" s="1138"/>
      <c r="J5640" s="1139"/>
      <c r="K5640" s="1111"/>
      <c r="L5640" s="1112"/>
      <c r="M5640" s="1113"/>
      <c r="N5640" s="110"/>
      <c r="O5640" s="1140"/>
      <c r="P5640" s="1115"/>
      <c r="Q5640" s="1116"/>
      <c r="R5640" s="1141"/>
      <c r="S5640" s="1113"/>
      <c r="T5640" s="1143"/>
      <c r="U5640" s="1108"/>
      <c r="V5640" s="1108"/>
      <c r="W5640" s="1108"/>
      <c r="X5640" s="1108"/>
      <c r="Y5640" s="1108"/>
      <c r="Z5640" s="1114"/>
      <c r="AA5640" s="1114"/>
      <c r="AB5640" s="1114"/>
      <c r="AC5640" s="1117"/>
      <c r="AD5640" s="1115"/>
      <c r="AE5640" s="1115"/>
      <c r="AF5640" s="1115"/>
      <c r="AG5640" s="1115"/>
      <c r="AH5640" s="1115"/>
      <c r="AI5640" s="1115"/>
      <c r="AJ5640" s="1117"/>
      <c r="AK5640" s="1118"/>
      <c r="AL5640" s="1115"/>
      <c r="AM5640" s="1115"/>
      <c r="AN5640" s="1115"/>
      <c r="AO5640" s="1115"/>
      <c r="AP5640" s="1115"/>
      <c r="AQ5640" s="1115"/>
      <c r="AR5640" s="1115"/>
      <c r="AS5640" s="1117"/>
      <c r="AT5640" s="1075"/>
      <c r="AU5640" s="1193"/>
      <c r="AV5640" s="330"/>
      <c r="AW5640" s="331"/>
      <c r="AX5640" s="331"/>
      <c r="AY5640" s="331"/>
      <c r="AZ5640" s="331"/>
      <c r="BA5640" s="331"/>
      <c r="BB5640" s="331"/>
      <c r="BC5640" s="331"/>
      <c r="BD5640" s="331"/>
      <c r="BE5640" s="333"/>
      <c r="BF5640" s="330"/>
      <c r="BG5640" s="333"/>
      <c r="BH5640" s="1119"/>
      <c r="BI5640" s="319"/>
      <c r="BJ5640" s="319"/>
      <c r="BK5640" s="319"/>
      <c r="BL5640" s="319"/>
      <c r="BM5640" s="319"/>
      <c r="BN5640" s="319"/>
      <c r="BO5640" s="319"/>
      <c r="BP5640" s="953"/>
      <c r="BQ5640" s="319"/>
      <c r="BR5640" s="319"/>
      <c r="BS5640" s="330"/>
      <c r="BT5640" s="331"/>
      <c r="BU5640" s="920"/>
      <c r="BV5640" s="903"/>
      <c r="BW5640" s="908"/>
      <c r="BX5640" s="908"/>
      <c r="BY5640" s="331"/>
      <c r="BZ5640" s="331"/>
      <c r="CA5640" s="462"/>
      <c r="CB5640" s="319"/>
      <c r="CC5640" s="319"/>
      <c r="CD5640" s="319"/>
      <c r="CE5640" s="319"/>
      <c r="CF5640" s="319"/>
      <c r="CG5640" s="319"/>
      <c r="CH5640" s="318"/>
      <c r="CI5640" s="319"/>
      <c r="CJ5640" s="319"/>
      <c r="CK5640" s="342"/>
      <c r="CL5640" s="333"/>
      <c r="CM5640" s="1079"/>
      <c r="CN5640" s="1005"/>
      <c r="CO5640" s="1005"/>
      <c r="CP5640" s="1005"/>
    </row>
    <row r="5641">
      <c r="A5641" s="1257"/>
      <c r="B5641" s="1113"/>
      <c r="C5641" s="1107"/>
      <c r="D5641" s="103"/>
      <c r="E5641" s="1137"/>
      <c r="F5641" s="112"/>
      <c r="G5641" s="1110"/>
      <c r="H5641" s="1138"/>
      <c r="I5641" s="1138"/>
      <c r="J5641" s="1139"/>
      <c r="K5641" s="1111"/>
      <c r="L5641" s="1112"/>
      <c r="M5641" s="1113"/>
      <c r="N5641" s="110"/>
      <c r="O5641" s="1140"/>
      <c r="P5641" s="1115"/>
      <c r="Q5641" s="1116"/>
      <c r="R5641" s="1141"/>
      <c r="S5641" s="1113"/>
      <c r="T5641" s="1143"/>
      <c r="U5641" s="1108"/>
      <c r="V5641" s="1108"/>
      <c r="W5641" s="1108"/>
      <c r="X5641" s="1108"/>
      <c r="Y5641" s="1108"/>
      <c r="Z5641" s="1114"/>
      <c r="AA5641" s="1114"/>
      <c r="AB5641" s="1114"/>
      <c r="AC5641" s="1117"/>
      <c r="AD5641" s="1115"/>
      <c r="AE5641" s="1115"/>
      <c r="AF5641" s="1115"/>
      <c r="AG5641" s="1115"/>
      <c r="AH5641" s="1115"/>
      <c r="AI5641" s="1115"/>
      <c r="AJ5641" s="1117"/>
      <c r="AK5641" s="1118"/>
      <c r="AL5641" s="1115"/>
      <c r="AM5641" s="1115"/>
      <c r="AN5641" s="1115"/>
      <c r="AO5641" s="1115"/>
      <c r="AP5641" s="1115"/>
      <c r="AQ5641" s="1115"/>
      <c r="AR5641" s="1115"/>
      <c r="AS5641" s="1117"/>
      <c r="AT5641" s="1075"/>
      <c r="AU5641" s="1193"/>
      <c r="AV5641" s="330"/>
      <c r="AW5641" s="331"/>
      <c r="AX5641" s="331"/>
      <c r="AY5641" s="331"/>
      <c r="AZ5641" s="331"/>
      <c r="BA5641" s="331"/>
      <c r="BB5641" s="331"/>
      <c r="BC5641" s="331"/>
      <c r="BD5641" s="331"/>
      <c r="BE5641" s="333"/>
      <c r="BF5641" s="330"/>
      <c r="BG5641" s="333"/>
      <c r="BH5641" s="1119"/>
      <c r="BI5641" s="319"/>
      <c r="BJ5641" s="319"/>
      <c r="BK5641" s="319"/>
      <c r="BL5641" s="319"/>
      <c r="BM5641" s="319"/>
      <c r="BN5641" s="319"/>
      <c r="BO5641" s="319"/>
      <c r="BP5641" s="953"/>
      <c r="BQ5641" s="319"/>
      <c r="BR5641" s="319"/>
      <c r="BS5641" s="330"/>
      <c r="BT5641" s="331"/>
      <c r="BU5641" s="920"/>
      <c r="BV5641" s="903"/>
      <c r="BW5641" s="908"/>
      <c r="BX5641" s="908"/>
      <c r="BY5641" s="331"/>
      <c r="BZ5641" s="331"/>
      <c r="CA5641" s="462"/>
      <c r="CB5641" s="319"/>
      <c r="CC5641" s="319"/>
      <c r="CD5641" s="319"/>
      <c r="CE5641" s="319"/>
      <c r="CF5641" s="319"/>
      <c r="CG5641" s="319"/>
      <c r="CH5641" s="318"/>
      <c r="CI5641" s="319"/>
      <c r="CJ5641" s="319"/>
      <c r="CK5641" s="342"/>
      <c r="CL5641" s="333"/>
      <c r="CM5641" s="1079"/>
      <c r="CN5641" s="1005"/>
      <c r="CO5641" s="1005"/>
      <c r="CP5641" s="1005"/>
    </row>
    <row r="5642">
      <c r="A5642" s="1257"/>
      <c r="B5642" s="1113"/>
      <c r="C5642" s="1107"/>
      <c r="D5642" s="103"/>
      <c r="E5642" s="1137"/>
      <c r="F5642" s="112"/>
      <c r="G5642" s="1110"/>
      <c r="H5642" s="1138"/>
      <c r="I5642" s="1138"/>
      <c r="J5642" s="1139"/>
      <c r="K5642" s="1111"/>
      <c r="L5642" s="1112"/>
      <c r="M5642" s="1113"/>
      <c r="N5642" s="110"/>
      <c r="O5642" s="1140"/>
      <c r="P5642" s="1115"/>
      <c r="Q5642" s="1116"/>
      <c r="R5642" s="1141"/>
      <c r="S5642" s="1113"/>
      <c r="T5642" s="1143"/>
      <c r="U5642" s="1108"/>
      <c r="V5642" s="1108"/>
      <c r="W5642" s="1108"/>
      <c r="X5642" s="1108"/>
      <c r="Y5642" s="1108"/>
      <c r="Z5642" s="1114"/>
      <c r="AA5642" s="1114"/>
      <c r="AB5642" s="1114"/>
      <c r="AC5642" s="1117"/>
      <c r="AD5642" s="1115"/>
      <c r="AE5642" s="1115"/>
      <c r="AF5642" s="1115"/>
      <c r="AG5642" s="1115"/>
      <c r="AH5642" s="1115"/>
      <c r="AI5642" s="1115"/>
      <c r="AJ5642" s="1117"/>
      <c r="AK5642" s="1118"/>
      <c r="AL5642" s="1115"/>
      <c r="AM5642" s="1115"/>
      <c r="AN5642" s="1115"/>
      <c r="AO5642" s="1115"/>
      <c r="AP5642" s="1115"/>
      <c r="AQ5642" s="1115"/>
      <c r="AR5642" s="1115"/>
      <c r="AS5642" s="1117"/>
      <c r="AT5642" s="1075"/>
      <c r="AU5642" s="1193"/>
      <c r="AV5642" s="330"/>
      <c r="AW5642" s="331"/>
      <c r="AX5642" s="331"/>
      <c r="AY5642" s="331"/>
      <c r="AZ5642" s="331"/>
      <c r="BA5642" s="331"/>
      <c r="BB5642" s="331"/>
      <c r="BC5642" s="331"/>
      <c r="BD5642" s="331"/>
      <c r="BE5642" s="333"/>
      <c r="BF5642" s="330"/>
      <c r="BG5642" s="333"/>
      <c r="BH5642" s="1119"/>
      <c r="BI5642" s="319"/>
      <c r="BJ5642" s="319"/>
      <c r="BK5642" s="319"/>
      <c r="BL5642" s="319"/>
      <c r="BM5642" s="319"/>
      <c r="BN5642" s="319"/>
      <c r="BO5642" s="319"/>
      <c r="BP5642" s="953"/>
      <c r="BQ5642" s="319"/>
      <c r="BR5642" s="319"/>
      <c r="BS5642" s="330"/>
      <c r="BT5642" s="331"/>
      <c r="BU5642" s="920"/>
      <c r="BV5642" s="903"/>
      <c r="BW5642" s="908"/>
      <c r="BX5642" s="908"/>
      <c r="BY5642" s="331"/>
      <c r="BZ5642" s="331"/>
      <c r="CA5642" s="462"/>
      <c r="CB5642" s="319"/>
      <c r="CC5642" s="319"/>
      <c r="CD5642" s="319"/>
      <c r="CE5642" s="319"/>
      <c r="CF5642" s="319"/>
      <c r="CG5642" s="319"/>
      <c r="CH5642" s="318"/>
      <c r="CI5642" s="319"/>
      <c r="CJ5642" s="319"/>
      <c r="CK5642" s="342"/>
      <c r="CL5642" s="333"/>
      <c r="CM5642" s="1079"/>
      <c r="CN5642" s="1005"/>
      <c r="CO5642" s="1005"/>
      <c r="CP5642" s="1005"/>
    </row>
    <row r="5643">
      <c r="A5643" s="1257"/>
      <c r="B5643" s="1113"/>
      <c r="C5643" s="1107"/>
      <c r="D5643" s="103"/>
      <c r="E5643" s="1137"/>
      <c r="F5643" s="112"/>
      <c r="G5643" s="1110"/>
      <c r="H5643" s="1138"/>
      <c r="I5643" s="1138"/>
      <c r="J5643" s="1139"/>
      <c r="K5643" s="1111"/>
      <c r="L5643" s="1112"/>
      <c r="M5643" s="1113"/>
      <c r="N5643" s="110"/>
      <c r="O5643" s="1140"/>
      <c r="P5643" s="1115"/>
      <c r="Q5643" s="1116"/>
      <c r="R5643" s="1141"/>
      <c r="S5643" s="1113"/>
      <c r="T5643" s="1143"/>
      <c r="U5643" s="1108"/>
      <c r="V5643" s="1108"/>
      <c r="W5643" s="1108"/>
      <c r="X5643" s="1108"/>
      <c r="Y5643" s="1108"/>
      <c r="Z5643" s="1114"/>
      <c r="AA5643" s="1114"/>
      <c r="AB5643" s="1114"/>
      <c r="AC5643" s="1117"/>
      <c r="AD5643" s="1115"/>
      <c r="AE5643" s="1115"/>
      <c r="AF5643" s="1115"/>
      <c r="AG5643" s="1115"/>
      <c r="AH5643" s="1115"/>
      <c r="AI5643" s="1115"/>
      <c r="AJ5643" s="1117"/>
      <c r="AK5643" s="1118"/>
      <c r="AL5643" s="1115"/>
      <c r="AM5643" s="1115"/>
      <c r="AN5643" s="1115"/>
      <c r="AO5643" s="1115"/>
      <c r="AP5643" s="1115"/>
      <c r="AQ5643" s="1115"/>
      <c r="AR5643" s="1115"/>
      <c r="AS5643" s="1117"/>
      <c r="AT5643" s="1075"/>
      <c r="AU5643" s="1193"/>
      <c r="AV5643" s="330"/>
      <c r="AW5643" s="331"/>
      <c r="AX5643" s="331"/>
      <c r="AY5643" s="331"/>
      <c r="AZ5643" s="331"/>
      <c r="BA5643" s="331"/>
      <c r="BB5643" s="331"/>
      <c r="BC5643" s="331"/>
      <c r="BD5643" s="331"/>
      <c r="BE5643" s="333"/>
      <c r="BF5643" s="330"/>
      <c r="BG5643" s="333"/>
      <c r="BH5643" s="1119"/>
      <c r="BI5643" s="319"/>
      <c r="BJ5643" s="319"/>
      <c r="BK5643" s="319"/>
      <c r="BL5643" s="319"/>
      <c r="BM5643" s="319"/>
      <c r="BN5643" s="319"/>
      <c r="BO5643" s="319"/>
      <c r="BP5643" s="953"/>
      <c r="BQ5643" s="319"/>
      <c r="BR5643" s="319"/>
      <c r="BS5643" s="330"/>
      <c r="BT5643" s="331"/>
      <c r="BU5643" s="920"/>
      <c r="BV5643" s="903"/>
      <c r="BW5643" s="908"/>
      <c r="BX5643" s="908"/>
      <c r="BY5643" s="331"/>
      <c r="BZ5643" s="331"/>
      <c r="CA5643" s="462"/>
      <c r="CB5643" s="319"/>
      <c r="CC5643" s="319"/>
      <c r="CD5643" s="319"/>
      <c r="CE5643" s="319"/>
      <c r="CF5643" s="319"/>
      <c r="CG5643" s="319"/>
      <c r="CH5643" s="318"/>
      <c r="CI5643" s="319"/>
      <c r="CJ5643" s="319"/>
      <c r="CK5643" s="342"/>
      <c r="CL5643" s="333"/>
      <c r="CM5643" s="1079"/>
      <c r="CN5643" s="1005"/>
      <c r="CO5643" s="1005"/>
      <c r="CP5643" s="1005"/>
    </row>
    <row r="5644">
      <c r="A5644" s="1257"/>
      <c r="B5644" s="1113"/>
      <c r="C5644" s="1107"/>
      <c r="D5644" s="103"/>
      <c r="E5644" s="1137"/>
      <c r="F5644" s="112"/>
      <c r="G5644" s="1110"/>
      <c r="H5644" s="1138"/>
      <c r="I5644" s="1138"/>
      <c r="J5644" s="1139"/>
      <c r="K5644" s="1111"/>
      <c r="L5644" s="1112"/>
      <c r="M5644" s="1113"/>
      <c r="N5644" s="110"/>
      <c r="O5644" s="1140"/>
      <c r="P5644" s="1115"/>
      <c r="Q5644" s="1116"/>
      <c r="R5644" s="1141"/>
      <c r="S5644" s="1113"/>
      <c r="T5644" s="1143"/>
      <c r="U5644" s="1108"/>
      <c r="V5644" s="1108"/>
      <c r="W5644" s="1108"/>
      <c r="X5644" s="1108"/>
      <c r="Y5644" s="1108"/>
      <c r="Z5644" s="1114"/>
      <c r="AA5644" s="1114"/>
      <c r="AB5644" s="1114"/>
      <c r="AC5644" s="1117"/>
      <c r="AD5644" s="1115"/>
      <c r="AE5644" s="1115"/>
      <c r="AF5644" s="1115"/>
      <c r="AG5644" s="1115"/>
      <c r="AH5644" s="1115"/>
      <c r="AI5644" s="1115"/>
      <c r="AJ5644" s="1117"/>
      <c r="AK5644" s="1118"/>
      <c r="AL5644" s="1115"/>
      <c r="AM5644" s="1115"/>
      <c r="AN5644" s="1115"/>
      <c r="AO5644" s="1115"/>
      <c r="AP5644" s="1115"/>
      <c r="AQ5644" s="1115"/>
      <c r="AR5644" s="1115"/>
      <c r="AS5644" s="1117"/>
      <c r="AT5644" s="1075"/>
      <c r="AU5644" s="1193"/>
      <c r="AV5644" s="330"/>
      <c r="AW5644" s="331"/>
      <c r="AX5644" s="331"/>
      <c r="AY5644" s="331"/>
      <c r="AZ5644" s="331"/>
      <c r="BA5644" s="331"/>
      <c r="BB5644" s="331"/>
      <c r="BC5644" s="331"/>
      <c r="BD5644" s="331"/>
      <c r="BE5644" s="333"/>
      <c r="BF5644" s="330"/>
      <c r="BG5644" s="333"/>
      <c r="BH5644" s="1119"/>
      <c r="BI5644" s="319"/>
      <c r="BJ5644" s="319"/>
      <c r="BK5644" s="319"/>
      <c r="BL5644" s="319"/>
      <c r="BM5644" s="319"/>
      <c r="BN5644" s="319"/>
      <c r="BO5644" s="319"/>
      <c r="BP5644" s="953"/>
      <c r="BQ5644" s="319"/>
      <c r="BR5644" s="319"/>
      <c r="BS5644" s="330"/>
      <c r="BT5644" s="331"/>
      <c r="BU5644" s="920"/>
      <c r="BV5644" s="903"/>
      <c r="BW5644" s="908"/>
      <c r="BX5644" s="908"/>
      <c r="BY5644" s="331"/>
      <c r="BZ5644" s="331"/>
      <c r="CA5644" s="462"/>
      <c r="CB5644" s="319"/>
      <c r="CC5644" s="319"/>
      <c r="CD5644" s="319"/>
      <c r="CE5644" s="319"/>
      <c r="CF5644" s="319"/>
      <c r="CG5644" s="319"/>
      <c r="CH5644" s="318"/>
      <c r="CI5644" s="319"/>
      <c r="CJ5644" s="319"/>
      <c r="CK5644" s="342"/>
      <c r="CL5644" s="333"/>
      <c r="CM5644" s="1079"/>
      <c r="CN5644" s="1005"/>
      <c r="CO5644" s="1005"/>
      <c r="CP5644" s="1005"/>
    </row>
    <row r="5645">
      <c r="A5645" s="1257"/>
      <c r="B5645" s="1113"/>
      <c r="C5645" s="1107"/>
      <c r="D5645" s="103"/>
      <c r="E5645" s="1137"/>
      <c r="F5645" s="112"/>
      <c r="G5645" s="1110"/>
      <c r="H5645" s="1138"/>
      <c r="I5645" s="1138"/>
      <c r="J5645" s="1139"/>
      <c r="K5645" s="1111"/>
      <c r="L5645" s="1112"/>
      <c r="M5645" s="1113"/>
      <c r="N5645" s="110"/>
      <c r="O5645" s="1140"/>
      <c r="P5645" s="1115"/>
      <c r="Q5645" s="1116"/>
      <c r="R5645" s="1141"/>
      <c r="S5645" s="1113"/>
      <c r="T5645" s="1143"/>
      <c r="U5645" s="1108"/>
      <c r="V5645" s="1108"/>
      <c r="W5645" s="1108"/>
      <c r="X5645" s="1108"/>
      <c r="Y5645" s="1108"/>
      <c r="Z5645" s="1114"/>
      <c r="AA5645" s="1114"/>
      <c r="AB5645" s="1114"/>
      <c r="AC5645" s="1117"/>
      <c r="AD5645" s="1115"/>
      <c r="AE5645" s="1115"/>
      <c r="AF5645" s="1115"/>
      <c r="AG5645" s="1115"/>
      <c r="AH5645" s="1115"/>
      <c r="AI5645" s="1115"/>
      <c r="AJ5645" s="1117"/>
      <c r="AK5645" s="1118"/>
      <c r="AL5645" s="1115"/>
      <c r="AM5645" s="1115"/>
      <c r="AN5645" s="1115"/>
      <c r="AO5645" s="1115"/>
      <c r="AP5645" s="1115"/>
      <c r="AQ5645" s="1115"/>
      <c r="AR5645" s="1115"/>
      <c r="AS5645" s="1117"/>
      <c r="AT5645" s="1075"/>
      <c r="AU5645" s="1193"/>
      <c r="AV5645" s="330"/>
      <c r="AW5645" s="331"/>
      <c r="AX5645" s="331"/>
      <c r="AY5645" s="331"/>
      <c r="AZ5645" s="331"/>
      <c r="BA5645" s="331"/>
      <c r="BB5645" s="331"/>
      <c r="BC5645" s="331"/>
      <c r="BD5645" s="331"/>
      <c r="BE5645" s="333"/>
      <c r="BF5645" s="330"/>
      <c r="BG5645" s="333"/>
      <c r="BH5645" s="1119"/>
      <c r="BI5645" s="319"/>
      <c r="BJ5645" s="319"/>
      <c r="BK5645" s="319"/>
      <c r="BL5645" s="319"/>
      <c r="BM5645" s="319"/>
      <c r="BN5645" s="319"/>
      <c r="BO5645" s="319"/>
      <c r="BP5645" s="953"/>
      <c r="BQ5645" s="319"/>
      <c r="BR5645" s="319"/>
      <c r="BS5645" s="330"/>
      <c r="BT5645" s="331"/>
      <c r="BU5645" s="920"/>
      <c r="BV5645" s="903"/>
      <c r="BW5645" s="908"/>
      <c r="BX5645" s="908"/>
      <c r="BY5645" s="331"/>
      <c r="BZ5645" s="331"/>
      <c r="CA5645" s="462"/>
      <c r="CB5645" s="319"/>
      <c r="CC5645" s="319"/>
      <c r="CD5645" s="319"/>
      <c r="CE5645" s="319"/>
      <c r="CF5645" s="319"/>
      <c r="CG5645" s="319"/>
      <c r="CH5645" s="318"/>
      <c r="CI5645" s="319"/>
      <c r="CJ5645" s="319"/>
      <c r="CK5645" s="342"/>
      <c r="CL5645" s="333"/>
      <c r="CM5645" s="1079"/>
      <c r="CN5645" s="1005"/>
      <c r="CO5645" s="1005"/>
      <c r="CP5645" s="1005"/>
    </row>
    <row r="5646">
      <c r="A5646" s="1257"/>
      <c r="B5646" s="1113"/>
      <c r="C5646" s="1107"/>
      <c r="D5646" s="103"/>
      <c r="E5646" s="1137"/>
      <c r="F5646" s="112"/>
      <c r="G5646" s="1110"/>
      <c r="H5646" s="1138"/>
      <c r="I5646" s="1138"/>
      <c r="J5646" s="1139"/>
      <c r="K5646" s="1111"/>
      <c r="L5646" s="1112"/>
      <c r="M5646" s="1113"/>
      <c r="N5646" s="110"/>
      <c r="O5646" s="1140"/>
      <c r="P5646" s="1115"/>
      <c r="Q5646" s="1116"/>
      <c r="R5646" s="1141"/>
      <c r="S5646" s="1113"/>
      <c r="T5646" s="1143"/>
      <c r="U5646" s="1108"/>
      <c r="V5646" s="1108"/>
      <c r="W5646" s="1108"/>
      <c r="X5646" s="1108"/>
      <c r="Y5646" s="1108"/>
      <c r="Z5646" s="1114"/>
      <c r="AA5646" s="1114"/>
      <c r="AB5646" s="1114"/>
      <c r="AC5646" s="1117"/>
      <c r="AD5646" s="1115"/>
      <c r="AE5646" s="1115"/>
      <c r="AF5646" s="1115"/>
      <c r="AG5646" s="1115"/>
      <c r="AH5646" s="1115"/>
      <c r="AI5646" s="1115"/>
      <c r="AJ5646" s="1117"/>
      <c r="AK5646" s="1118"/>
      <c r="AL5646" s="1115"/>
      <c r="AM5646" s="1115"/>
      <c r="AN5646" s="1115"/>
      <c r="AO5646" s="1115"/>
      <c r="AP5646" s="1115"/>
      <c r="AQ5646" s="1115"/>
      <c r="AR5646" s="1115"/>
      <c r="AS5646" s="1117"/>
      <c r="AT5646" s="1075"/>
      <c r="AU5646" s="1193"/>
      <c r="AV5646" s="330"/>
      <c r="AW5646" s="331"/>
      <c r="AX5646" s="331"/>
      <c r="AY5646" s="331"/>
      <c r="AZ5646" s="331"/>
      <c r="BA5646" s="331"/>
      <c r="BB5646" s="331"/>
      <c r="BC5646" s="331"/>
      <c r="BD5646" s="331"/>
      <c r="BE5646" s="333"/>
      <c r="BF5646" s="330"/>
      <c r="BG5646" s="333"/>
      <c r="BH5646" s="1119"/>
      <c r="BI5646" s="319"/>
      <c r="BJ5646" s="319"/>
      <c r="BK5646" s="319"/>
      <c r="BL5646" s="319"/>
      <c r="BM5646" s="319"/>
      <c r="BN5646" s="319"/>
      <c r="BO5646" s="319"/>
      <c r="BP5646" s="953"/>
      <c r="BQ5646" s="319"/>
      <c r="BR5646" s="319"/>
      <c r="BS5646" s="330"/>
      <c r="BT5646" s="331"/>
      <c r="BU5646" s="920"/>
      <c r="BV5646" s="903"/>
      <c r="BW5646" s="908"/>
      <c r="BX5646" s="908"/>
      <c r="BY5646" s="331"/>
      <c r="BZ5646" s="331"/>
      <c r="CA5646" s="462"/>
      <c r="CB5646" s="319"/>
      <c r="CC5646" s="319"/>
      <c r="CD5646" s="319"/>
      <c r="CE5646" s="319"/>
      <c r="CF5646" s="319"/>
      <c r="CG5646" s="319"/>
      <c r="CH5646" s="318"/>
      <c r="CI5646" s="319"/>
      <c r="CJ5646" s="319"/>
      <c r="CK5646" s="342"/>
      <c r="CL5646" s="333"/>
      <c r="CM5646" s="1079"/>
      <c r="CN5646" s="1005"/>
      <c r="CO5646" s="1005"/>
      <c r="CP5646" s="1005"/>
    </row>
    <row r="5647">
      <c r="A5647" s="1257"/>
      <c r="B5647" s="1113"/>
      <c r="C5647" s="1107"/>
      <c r="D5647" s="103"/>
      <c r="E5647" s="1137"/>
      <c r="F5647" s="112"/>
      <c r="G5647" s="1110"/>
      <c r="H5647" s="1138"/>
      <c r="I5647" s="1138"/>
      <c r="J5647" s="1139"/>
      <c r="K5647" s="1111"/>
      <c r="L5647" s="1112"/>
      <c r="M5647" s="1113"/>
      <c r="N5647" s="110"/>
      <c r="O5647" s="1140"/>
      <c r="P5647" s="1115"/>
      <c r="Q5647" s="1116"/>
      <c r="R5647" s="1141"/>
      <c r="S5647" s="1113"/>
      <c r="T5647" s="1143"/>
      <c r="U5647" s="1108"/>
      <c r="V5647" s="1108"/>
      <c r="W5647" s="1108"/>
      <c r="X5647" s="1108"/>
      <c r="Y5647" s="1108"/>
      <c r="Z5647" s="1114"/>
      <c r="AA5647" s="1114"/>
      <c r="AB5647" s="1114"/>
      <c r="AC5647" s="1117"/>
      <c r="AD5647" s="1115"/>
      <c r="AE5647" s="1115"/>
      <c r="AF5647" s="1115"/>
      <c r="AG5647" s="1115"/>
      <c r="AH5647" s="1115"/>
      <c r="AI5647" s="1115"/>
      <c r="AJ5647" s="1117"/>
      <c r="AK5647" s="1118"/>
      <c r="AL5647" s="1115"/>
      <c r="AM5647" s="1115"/>
      <c r="AN5647" s="1115"/>
      <c r="AO5647" s="1115"/>
      <c r="AP5647" s="1115"/>
      <c r="AQ5647" s="1115"/>
      <c r="AR5647" s="1115"/>
      <c r="AS5647" s="1117"/>
      <c r="AT5647" s="1075"/>
      <c r="AU5647" s="1193"/>
      <c r="AV5647" s="330"/>
      <c r="AW5647" s="331"/>
      <c r="AX5647" s="331"/>
      <c r="AY5647" s="331"/>
      <c r="AZ5647" s="331"/>
      <c r="BA5647" s="331"/>
      <c r="BB5647" s="331"/>
      <c r="BC5647" s="331"/>
      <c r="BD5647" s="331"/>
      <c r="BE5647" s="333"/>
      <c r="BF5647" s="330"/>
      <c r="BG5647" s="333"/>
      <c r="BH5647" s="1119"/>
      <c r="BI5647" s="319"/>
      <c r="BJ5647" s="319"/>
      <c r="BK5647" s="319"/>
      <c r="BL5647" s="319"/>
      <c r="BM5647" s="319"/>
      <c r="BN5647" s="319"/>
      <c r="BO5647" s="319"/>
      <c r="BP5647" s="953"/>
      <c r="BQ5647" s="319"/>
      <c r="BR5647" s="319"/>
      <c r="BS5647" s="330"/>
      <c r="BT5647" s="331"/>
      <c r="BU5647" s="920"/>
      <c r="BV5647" s="903"/>
      <c r="BW5647" s="908"/>
      <c r="BX5647" s="908"/>
      <c r="BY5647" s="331"/>
      <c r="BZ5647" s="331"/>
      <c r="CA5647" s="462"/>
      <c r="CB5647" s="319"/>
      <c r="CC5647" s="319"/>
      <c r="CD5647" s="319"/>
      <c r="CE5647" s="319"/>
      <c r="CF5647" s="319"/>
      <c r="CG5647" s="319"/>
      <c r="CH5647" s="318"/>
      <c r="CI5647" s="319"/>
      <c r="CJ5647" s="319"/>
      <c r="CK5647" s="342"/>
      <c r="CL5647" s="333"/>
      <c r="CM5647" s="1079"/>
      <c r="CN5647" s="1005"/>
      <c r="CO5647" s="1005"/>
      <c r="CP5647" s="1005"/>
    </row>
    <row r="5648">
      <c r="A5648" s="1257"/>
      <c r="B5648" s="1113"/>
      <c r="C5648" s="1107"/>
      <c r="D5648" s="103"/>
      <c r="E5648" s="1137"/>
      <c r="F5648" s="112"/>
      <c r="G5648" s="1110"/>
      <c r="H5648" s="1138"/>
      <c r="I5648" s="1138"/>
      <c r="J5648" s="1139"/>
      <c r="K5648" s="1111"/>
      <c r="L5648" s="1112"/>
      <c r="M5648" s="1113"/>
      <c r="N5648" s="110"/>
      <c r="O5648" s="1140"/>
      <c r="P5648" s="1115"/>
      <c r="Q5648" s="1116"/>
      <c r="R5648" s="1141"/>
      <c r="S5648" s="1113"/>
      <c r="T5648" s="1143"/>
      <c r="U5648" s="1108"/>
      <c r="V5648" s="1108"/>
      <c r="W5648" s="1108"/>
      <c r="X5648" s="1108"/>
      <c r="Y5648" s="1108"/>
      <c r="Z5648" s="1114"/>
      <c r="AA5648" s="1114"/>
      <c r="AB5648" s="1114"/>
      <c r="AC5648" s="1117"/>
      <c r="AD5648" s="1115"/>
      <c r="AE5648" s="1115"/>
      <c r="AF5648" s="1115"/>
      <c r="AG5648" s="1115"/>
      <c r="AH5648" s="1115"/>
      <c r="AI5648" s="1115"/>
      <c r="AJ5648" s="1117"/>
      <c r="AK5648" s="1118"/>
      <c r="AL5648" s="1115"/>
      <c r="AM5648" s="1115"/>
      <c r="AN5648" s="1115"/>
      <c r="AO5648" s="1115"/>
      <c r="AP5648" s="1115"/>
      <c r="AQ5648" s="1115"/>
      <c r="AR5648" s="1115"/>
      <c r="AS5648" s="1117"/>
      <c r="AT5648" s="1075"/>
      <c r="AU5648" s="1193"/>
      <c r="AV5648" s="330"/>
      <c r="AW5648" s="331"/>
      <c r="AX5648" s="331"/>
      <c r="AY5648" s="331"/>
      <c r="AZ5648" s="331"/>
      <c r="BA5648" s="331"/>
      <c r="BB5648" s="331"/>
      <c r="BC5648" s="331"/>
      <c r="BD5648" s="331"/>
      <c r="BE5648" s="333"/>
      <c r="BF5648" s="330"/>
      <c r="BG5648" s="333"/>
      <c r="BH5648" s="1119"/>
      <c r="BI5648" s="319"/>
      <c r="BJ5648" s="319"/>
      <c r="BK5648" s="319"/>
      <c r="BL5648" s="319"/>
      <c r="BM5648" s="319"/>
      <c r="BN5648" s="319"/>
      <c r="BO5648" s="319"/>
      <c r="BP5648" s="953"/>
      <c r="BQ5648" s="319"/>
      <c r="BR5648" s="319"/>
      <c r="BS5648" s="330"/>
      <c r="BT5648" s="331"/>
      <c r="BU5648" s="920"/>
      <c r="BV5648" s="903"/>
      <c r="BW5648" s="908"/>
      <c r="BX5648" s="908"/>
      <c r="BY5648" s="331"/>
      <c r="BZ5648" s="331"/>
      <c r="CA5648" s="462"/>
      <c r="CB5648" s="319"/>
      <c r="CC5648" s="319"/>
      <c r="CD5648" s="319"/>
      <c r="CE5648" s="319"/>
      <c r="CF5648" s="319"/>
      <c r="CG5648" s="319"/>
      <c r="CH5648" s="318"/>
      <c r="CI5648" s="319"/>
      <c r="CJ5648" s="319"/>
      <c r="CK5648" s="342"/>
      <c r="CL5648" s="333"/>
      <c r="CM5648" s="1079"/>
      <c r="CN5648" s="1005"/>
      <c r="CO5648" s="1005"/>
      <c r="CP5648" s="1005"/>
    </row>
    <row r="5649">
      <c r="A5649" s="1257"/>
      <c r="B5649" s="1113"/>
      <c r="C5649" s="1107"/>
      <c r="D5649" s="103"/>
      <c r="E5649" s="1137"/>
      <c r="F5649" s="112"/>
      <c r="G5649" s="1110"/>
      <c r="H5649" s="1138"/>
      <c r="I5649" s="1138"/>
      <c r="J5649" s="1139"/>
      <c r="K5649" s="1111"/>
      <c r="L5649" s="1112"/>
      <c r="M5649" s="1113"/>
      <c r="N5649" s="110"/>
      <c r="O5649" s="1140"/>
      <c r="P5649" s="1115"/>
      <c r="Q5649" s="1116"/>
      <c r="R5649" s="1141"/>
      <c r="S5649" s="1113"/>
      <c r="T5649" s="1143"/>
      <c r="U5649" s="1108"/>
      <c r="V5649" s="1108"/>
      <c r="W5649" s="1108"/>
      <c r="X5649" s="1108"/>
      <c r="Y5649" s="1108"/>
      <c r="Z5649" s="1114"/>
      <c r="AA5649" s="1114"/>
      <c r="AB5649" s="1114"/>
      <c r="AC5649" s="1117"/>
      <c r="AD5649" s="1115"/>
      <c r="AE5649" s="1115"/>
      <c r="AF5649" s="1115"/>
      <c r="AG5649" s="1115"/>
      <c r="AH5649" s="1115"/>
      <c r="AI5649" s="1115"/>
      <c r="AJ5649" s="1117"/>
      <c r="AK5649" s="1118"/>
      <c r="AL5649" s="1115"/>
      <c r="AM5649" s="1115"/>
      <c r="AN5649" s="1115"/>
      <c r="AO5649" s="1115"/>
      <c r="AP5649" s="1115"/>
      <c r="AQ5649" s="1115"/>
      <c r="AR5649" s="1115"/>
      <c r="AS5649" s="1117"/>
      <c r="AT5649" s="1075"/>
      <c r="AU5649" s="1193"/>
      <c r="AV5649" s="330"/>
      <c r="AW5649" s="331"/>
      <c r="AX5649" s="331"/>
      <c r="AY5649" s="331"/>
      <c r="AZ5649" s="331"/>
      <c r="BA5649" s="331"/>
      <c r="BB5649" s="331"/>
      <c r="BC5649" s="331"/>
      <c r="BD5649" s="331"/>
      <c r="BE5649" s="333"/>
      <c r="BF5649" s="330"/>
      <c r="BG5649" s="333"/>
      <c r="BH5649" s="1119"/>
      <c r="BI5649" s="319"/>
      <c r="BJ5649" s="319"/>
      <c r="BK5649" s="319"/>
      <c r="BL5649" s="319"/>
      <c r="BM5649" s="319"/>
      <c r="BN5649" s="319"/>
      <c r="BO5649" s="319"/>
      <c r="BP5649" s="953"/>
      <c r="BQ5649" s="319"/>
      <c r="BR5649" s="319"/>
      <c r="BS5649" s="330"/>
      <c r="BT5649" s="331"/>
      <c r="BU5649" s="920"/>
      <c r="BV5649" s="903"/>
      <c r="BW5649" s="908"/>
      <c r="BX5649" s="908"/>
      <c r="BY5649" s="331"/>
      <c r="BZ5649" s="331"/>
      <c r="CA5649" s="462"/>
      <c r="CB5649" s="319"/>
      <c r="CC5649" s="319"/>
      <c r="CD5649" s="319"/>
      <c r="CE5649" s="319"/>
      <c r="CF5649" s="319"/>
      <c r="CG5649" s="319"/>
      <c r="CH5649" s="318"/>
      <c r="CI5649" s="319"/>
      <c r="CJ5649" s="319"/>
      <c r="CK5649" s="342"/>
      <c r="CL5649" s="333"/>
      <c r="CM5649" s="1079"/>
      <c r="CN5649" s="1005"/>
      <c r="CO5649" s="1005"/>
      <c r="CP5649" s="1005"/>
    </row>
    <row r="5650">
      <c r="A5650" s="1257"/>
      <c r="B5650" s="1113"/>
      <c r="C5650" s="1107"/>
      <c r="D5650" s="103"/>
      <c r="E5650" s="1137"/>
      <c r="F5650" s="112"/>
      <c r="G5650" s="1110"/>
      <c r="H5650" s="1138"/>
      <c r="I5650" s="1138"/>
      <c r="J5650" s="1139"/>
      <c r="K5650" s="1111"/>
      <c r="L5650" s="1112"/>
      <c r="M5650" s="1113"/>
      <c r="N5650" s="110"/>
      <c r="O5650" s="1140"/>
      <c r="P5650" s="1115"/>
      <c r="Q5650" s="1116"/>
      <c r="R5650" s="1141"/>
      <c r="S5650" s="1113"/>
      <c r="T5650" s="1143"/>
      <c r="U5650" s="1108"/>
      <c r="V5650" s="1108"/>
      <c r="W5650" s="1108"/>
      <c r="X5650" s="1108"/>
      <c r="Y5650" s="1108"/>
      <c r="Z5650" s="1114"/>
      <c r="AA5650" s="1114"/>
      <c r="AB5650" s="1114"/>
      <c r="AC5650" s="1117"/>
      <c r="AD5650" s="1115"/>
      <c r="AE5650" s="1115"/>
      <c r="AF5650" s="1115"/>
      <c r="AG5650" s="1115"/>
      <c r="AH5650" s="1115"/>
      <c r="AI5650" s="1115"/>
      <c r="AJ5650" s="1117"/>
      <c r="AK5650" s="1118"/>
      <c r="AL5650" s="1115"/>
      <c r="AM5650" s="1115"/>
      <c r="AN5650" s="1115"/>
      <c r="AO5650" s="1115"/>
      <c r="AP5650" s="1115"/>
      <c r="AQ5650" s="1115"/>
      <c r="AR5650" s="1115"/>
      <c r="AS5650" s="1117"/>
      <c r="AT5650" s="1075"/>
      <c r="AU5650" s="1193"/>
      <c r="AV5650" s="330"/>
      <c r="AW5650" s="331"/>
      <c r="AX5650" s="331"/>
      <c r="AY5650" s="331"/>
      <c r="AZ5650" s="331"/>
      <c r="BA5650" s="331"/>
      <c r="BB5650" s="331"/>
      <c r="BC5650" s="331"/>
      <c r="BD5650" s="331"/>
      <c r="BE5650" s="333"/>
      <c r="BF5650" s="330"/>
      <c r="BG5650" s="333"/>
      <c r="BH5650" s="1119"/>
      <c r="BI5650" s="319"/>
      <c r="BJ5650" s="319"/>
      <c r="BK5650" s="319"/>
      <c r="BL5650" s="319"/>
      <c r="BM5650" s="319"/>
      <c r="BN5650" s="319"/>
      <c r="BO5650" s="319"/>
      <c r="BP5650" s="953"/>
      <c r="BQ5650" s="319"/>
      <c r="BR5650" s="319"/>
      <c r="BS5650" s="330"/>
      <c r="BT5650" s="331"/>
      <c r="BU5650" s="920"/>
      <c r="BV5650" s="903"/>
      <c r="BW5650" s="908"/>
      <c r="BX5650" s="908"/>
      <c r="BY5650" s="331"/>
      <c r="BZ5650" s="331"/>
      <c r="CA5650" s="462"/>
      <c r="CB5650" s="319"/>
      <c r="CC5650" s="319"/>
      <c r="CD5650" s="319"/>
      <c r="CE5650" s="319"/>
      <c r="CF5650" s="319"/>
      <c r="CG5650" s="319"/>
      <c r="CH5650" s="318"/>
      <c r="CI5650" s="319"/>
      <c r="CJ5650" s="319"/>
      <c r="CK5650" s="342"/>
      <c r="CL5650" s="333"/>
      <c r="CM5650" s="1079"/>
      <c r="CN5650" s="1005"/>
      <c r="CO5650" s="1005"/>
      <c r="CP5650" s="1005"/>
    </row>
    <row r="5651">
      <c r="A5651" s="1257"/>
      <c r="B5651" s="1113"/>
      <c r="C5651" s="1107"/>
      <c r="D5651" s="103"/>
      <c r="E5651" s="1137"/>
      <c r="F5651" s="112"/>
      <c r="G5651" s="1110"/>
      <c r="H5651" s="1138"/>
      <c r="I5651" s="1138"/>
      <c r="J5651" s="1139"/>
      <c r="K5651" s="1111"/>
      <c r="L5651" s="1112"/>
      <c r="M5651" s="1113"/>
      <c r="N5651" s="110"/>
      <c r="O5651" s="1140"/>
      <c r="P5651" s="1115"/>
      <c r="Q5651" s="1116"/>
      <c r="R5651" s="1141"/>
      <c r="S5651" s="1113"/>
      <c r="T5651" s="1143"/>
      <c r="U5651" s="1108"/>
      <c r="V5651" s="1108"/>
      <c r="W5651" s="1108"/>
      <c r="X5651" s="1108"/>
      <c r="Y5651" s="1108"/>
      <c r="Z5651" s="1114"/>
      <c r="AA5651" s="1114"/>
      <c r="AB5651" s="1114"/>
      <c r="AC5651" s="1117"/>
      <c r="AD5651" s="1115"/>
      <c r="AE5651" s="1115"/>
      <c r="AF5651" s="1115"/>
      <c r="AG5651" s="1115"/>
      <c r="AH5651" s="1115"/>
      <c r="AI5651" s="1115"/>
      <c r="AJ5651" s="1117"/>
      <c r="AK5651" s="1118"/>
      <c r="AL5651" s="1115"/>
      <c r="AM5651" s="1115"/>
      <c r="AN5651" s="1115"/>
      <c r="AO5651" s="1115"/>
      <c r="AP5651" s="1115"/>
      <c r="AQ5651" s="1115"/>
      <c r="AR5651" s="1115"/>
      <c r="AS5651" s="1117"/>
      <c r="AT5651" s="1075"/>
      <c r="AU5651" s="1193"/>
      <c r="AV5651" s="330"/>
      <c r="AW5651" s="331"/>
      <c r="AX5651" s="331"/>
      <c r="AY5651" s="331"/>
      <c r="AZ5651" s="331"/>
      <c r="BA5651" s="331"/>
      <c r="BB5651" s="331"/>
      <c r="BC5651" s="331"/>
      <c r="BD5651" s="331"/>
      <c r="BE5651" s="333"/>
      <c r="BF5651" s="330"/>
      <c r="BG5651" s="333"/>
      <c r="BH5651" s="1119"/>
      <c r="BI5651" s="319"/>
      <c r="BJ5651" s="319"/>
      <c r="BK5651" s="319"/>
      <c r="BL5651" s="319"/>
      <c r="BM5651" s="319"/>
      <c r="BN5651" s="319"/>
      <c r="BO5651" s="319"/>
      <c r="BP5651" s="953"/>
      <c r="BQ5651" s="319"/>
      <c r="BR5651" s="319"/>
      <c r="BS5651" s="330"/>
      <c r="BT5651" s="331"/>
      <c r="BU5651" s="920"/>
      <c r="BV5651" s="903"/>
      <c r="BW5651" s="908"/>
      <c r="BX5651" s="908"/>
      <c r="BY5651" s="331"/>
      <c r="BZ5651" s="331"/>
      <c r="CA5651" s="462"/>
      <c r="CB5651" s="319"/>
      <c r="CC5651" s="319"/>
      <c r="CD5651" s="319"/>
      <c r="CE5651" s="319"/>
      <c r="CF5651" s="319"/>
      <c r="CG5651" s="319"/>
      <c r="CH5651" s="318"/>
      <c r="CI5651" s="319"/>
      <c r="CJ5651" s="319"/>
      <c r="CK5651" s="342"/>
      <c r="CL5651" s="333"/>
      <c r="CM5651" s="1079"/>
      <c r="CN5651" s="1005"/>
      <c r="CO5651" s="1005"/>
      <c r="CP5651" s="1005"/>
    </row>
    <row r="5652">
      <c r="A5652" s="1257"/>
      <c r="B5652" s="1113"/>
      <c r="C5652" s="1107"/>
      <c r="D5652" s="103"/>
      <c r="E5652" s="1137"/>
      <c r="F5652" s="112"/>
      <c r="G5652" s="1110"/>
      <c r="H5652" s="1138"/>
      <c r="I5652" s="1138"/>
      <c r="J5652" s="1139"/>
      <c r="K5652" s="1111"/>
      <c r="L5652" s="1112"/>
      <c r="M5652" s="1113"/>
      <c r="N5652" s="110"/>
      <c r="O5652" s="1140"/>
      <c r="P5652" s="1115"/>
      <c r="Q5652" s="1116"/>
      <c r="R5652" s="1141"/>
      <c r="S5652" s="1113"/>
      <c r="T5652" s="1143"/>
      <c r="U5652" s="1108"/>
      <c r="V5652" s="1108"/>
      <c r="W5652" s="1108"/>
      <c r="X5652" s="1108"/>
      <c r="Y5652" s="1108"/>
      <c r="Z5652" s="1114"/>
      <c r="AA5652" s="1114"/>
      <c r="AB5652" s="1114"/>
      <c r="AC5652" s="1117"/>
      <c r="AD5652" s="1115"/>
      <c r="AE5652" s="1115"/>
      <c r="AF5652" s="1115"/>
      <c r="AG5652" s="1115"/>
      <c r="AH5652" s="1115"/>
      <c r="AI5652" s="1115"/>
      <c r="AJ5652" s="1117"/>
      <c r="AK5652" s="1118"/>
      <c r="AL5652" s="1115"/>
      <c r="AM5652" s="1115"/>
      <c r="AN5652" s="1115"/>
      <c r="AO5652" s="1115"/>
      <c r="AP5652" s="1115"/>
      <c r="AQ5652" s="1115"/>
      <c r="AR5652" s="1115"/>
      <c r="AS5652" s="1117"/>
      <c r="AT5652" s="1075"/>
      <c r="AU5652" s="1193"/>
      <c r="AV5652" s="330"/>
      <c r="AW5652" s="331"/>
      <c r="AX5652" s="331"/>
      <c r="AY5652" s="331"/>
      <c r="AZ5652" s="331"/>
      <c r="BA5652" s="331"/>
      <c r="BB5652" s="331"/>
      <c r="BC5652" s="331"/>
      <c r="BD5652" s="331"/>
      <c r="BE5652" s="333"/>
      <c r="BF5652" s="330"/>
      <c r="BG5652" s="333"/>
      <c r="BH5652" s="1119"/>
      <c r="BI5652" s="319"/>
      <c r="BJ5652" s="319"/>
      <c r="BK5652" s="319"/>
      <c r="BL5652" s="319"/>
      <c r="BM5652" s="319"/>
      <c r="BN5652" s="319"/>
      <c r="BO5652" s="319"/>
      <c r="BP5652" s="953"/>
      <c r="BQ5652" s="319"/>
      <c r="BR5652" s="319"/>
      <c r="BS5652" s="330"/>
      <c r="BT5652" s="331"/>
      <c r="BU5652" s="920"/>
      <c r="BV5652" s="903"/>
      <c r="BW5652" s="908"/>
      <c r="BX5652" s="908"/>
      <c r="BY5652" s="331"/>
      <c r="BZ5652" s="331"/>
      <c r="CA5652" s="462"/>
      <c r="CB5652" s="319"/>
      <c r="CC5652" s="319"/>
      <c r="CD5652" s="319"/>
      <c r="CE5652" s="319"/>
      <c r="CF5652" s="319"/>
      <c r="CG5652" s="319"/>
      <c r="CH5652" s="318"/>
      <c r="CI5652" s="319"/>
      <c r="CJ5652" s="319"/>
      <c r="CK5652" s="342"/>
      <c r="CL5652" s="333"/>
      <c r="CM5652" s="1079"/>
      <c r="CN5652" s="1005"/>
      <c r="CO5652" s="1005"/>
      <c r="CP5652" s="1005"/>
    </row>
    <row r="5653">
      <c r="A5653" s="1257"/>
      <c r="B5653" s="1113"/>
      <c r="C5653" s="1107"/>
      <c r="D5653" s="103"/>
      <c r="E5653" s="1137"/>
      <c r="F5653" s="112"/>
      <c r="G5653" s="1110"/>
      <c r="H5653" s="1138"/>
      <c r="I5653" s="1138"/>
      <c r="J5653" s="1139"/>
      <c r="K5653" s="1111"/>
      <c r="L5653" s="1112"/>
      <c r="M5653" s="1113"/>
      <c r="N5653" s="110"/>
      <c r="O5653" s="1140"/>
      <c r="P5653" s="1115"/>
      <c r="Q5653" s="1116"/>
      <c r="R5653" s="1141"/>
      <c r="S5653" s="1113"/>
      <c r="T5653" s="1143"/>
      <c r="U5653" s="1108"/>
      <c r="V5653" s="1108"/>
      <c r="W5653" s="1108"/>
      <c r="X5653" s="1108"/>
      <c r="Y5653" s="1108"/>
      <c r="Z5653" s="1114"/>
      <c r="AA5653" s="1114"/>
      <c r="AB5653" s="1114"/>
      <c r="AC5653" s="1117"/>
      <c r="AD5653" s="1115"/>
      <c r="AE5653" s="1115"/>
      <c r="AF5653" s="1115"/>
      <c r="AG5653" s="1115"/>
      <c r="AH5653" s="1115"/>
      <c r="AI5653" s="1115"/>
      <c r="AJ5653" s="1117"/>
      <c r="AK5653" s="1118"/>
      <c r="AL5653" s="1115"/>
      <c r="AM5653" s="1115"/>
      <c r="AN5653" s="1115"/>
      <c r="AO5653" s="1115"/>
      <c r="AP5653" s="1115"/>
      <c r="AQ5653" s="1115"/>
      <c r="AR5653" s="1115"/>
      <c r="AS5653" s="1117"/>
      <c r="AT5653" s="1075"/>
      <c r="AU5653" s="1193"/>
      <c r="AV5653" s="330"/>
      <c r="AW5653" s="331"/>
      <c r="AX5653" s="331"/>
      <c r="AY5653" s="331"/>
      <c r="AZ5653" s="331"/>
      <c r="BA5653" s="331"/>
      <c r="BB5653" s="331"/>
      <c r="BC5653" s="331"/>
      <c r="BD5653" s="331"/>
      <c r="BE5653" s="333"/>
      <c r="BF5653" s="330"/>
      <c r="BG5653" s="333"/>
      <c r="BH5653" s="1119"/>
      <c r="BI5653" s="319"/>
      <c r="BJ5653" s="319"/>
      <c r="BK5653" s="319"/>
      <c r="BL5653" s="319"/>
      <c r="BM5653" s="319"/>
      <c r="BN5653" s="319"/>
      <c r="BO5653" s="319"/>
      <c r="BP5653" s="953"/>
      <c r="BQ5653" s="319"/>
      <c r="BR5653" s="319"/>
      <c r="BS5653" s="330"/>
      <c r="BT5653" s="331"/>
      <c r="BU5653" s="920"/>
      <c r="BV5653" s="903"/>
      <c r="BW5653" s="908"/>
      <c r="BX5653" s="908"/>
      <c r="BY5653" s="331"/>
      <c r="BZ5653" s="331"/>
      <c r="CA5653" s="462"/>
      <c r="CB5653" s="319"/>
      <c r="CC5653" s="319"/>
      <c r="CD5653" s="319"/>
      <c r="CE5653" s="319"/>
      <c r="CF5653" s="319"/>
      <c r="CG5653" s="319"/>
      <c r="CH5653" s="318"/>
      <c r="CI5653" s="319"/>
      <c r="CJ5653" s="319"/>
      <c r="CK5653" s="342"/>
      <c r="CL5653" s="333"/>
      <c r="CM5653" s="1079"/>
      <c r="CN5653" s="1005"/>
      <c r="CO5653" s="1005"/>
      <c r="CP5653" s="1005"/>
    </row>
    <row r="5654">
      <c r="A5654" s="1257"/>
      <c r="B5654" s="1113"/>
      <c r="C5654" s="1107"/>
      <c r="D5654" s="103"/>
      <c r="E5654" s="1137"/>
      <c r="F5654" s="112"/>
      <c r="G5654" s="1110"/>
      <c r="H5654" s="1138"/>
      <c r="I5654" s="1138"/>
      <c r="J5654" s="1139"/>
      <c r="K5654" s="1111"/>
      <c r="L5654" s="1112"/>
      <c r="M5654" s="1113"/>
      <c r="N5654" s="110"/>
      <c r="O5654" s="1140"/>
      <c r="P5654" s="1115"/>
      <c r="Q5654" s="1116"/>
      <c r="R5654" s="1141"/>
      <c r="S5654" s="1113"/>
      <c r="T5654" s="1143"/>
      <c r="U5654" s="1108"/>
      <c r="V5654" s="1108"/>
      <c r="W5654" s="1108"/>
      <c r="X5654" s="1108"/>
      <c r="Y5654" s="1108"/>
      <c r="Z5654" s="1114"/>
      <c r="AA5654" s="1114"/>
      <c r="AB5654" s="1114"/>
      <c r="AC5654" s="1117"/>
      <c r="AD5654" s="1115"/>
      <c r="AE5654" s="1115"/>
      <c r="AF5654" s="1115"/>
      <c r="AG5654" s="1115"/>
      <c r="AH5654" s="1115"/>
      <c r="AI5654" s="1115"/>
      <c r="AJ5654" s="1117"/>
      <c r="AK5654" s="1118"/>
      <c r="AL5654" s="1115"/>
      <c r="AM5654" s="1115"/>
      <c r="AN5654" s="1115"/>
      <c r="AO5654" s="1115"/>
      <c r="AP5654" s="1115"/>
      <c r="AQ5654" s="1115"/>
      <c r="AR5654" s="1115"/>
      <c r="AS5654" s="1117"/>
      <c r="AT5654" s="1075"/>
      <c r="AU5654" s="1193"/>
      <c r="AV5654" s="330"/>
      <c r="AW5654" s="331"/>
      <c r="AX5654" s="331"/>
      <c r="AY5654" s="331"/>
      <c r="AZ5654" s="331"/>
      <c r="BA5654" s="331"/>
      <c r="BB5654" s="331"/>
      <c r="BC5654" s="331"/>
      <c r="BD5654" s="331"/>
      <c r="BE5654" s="333"/>
      <c r="BF5654" s="330"/>
      <c r="BG5654" s="333"/>
      <c r="BH5654" s="1119"/>
      <c r="BI5654" s="319"/>
      <c r="BJ5654" s="319"/>
      <c r="BK5654" s="319"/>
      <c r="BL5654" s="319"/>
      <c r="BM5654" s="319"/>
      <c r="BN5654" s="319"/>
      <c r="BO5654" s="319"/>
      <c r="BP5654" s="953"/>
      <c r="BQ5654" s="319"/>
      <c r="BR5654" s="319"/>
      <c r="BS5654" s="330"/>
      <c r="BT5654" s="331"/>
      <c r="BU5654" s="920"/>
      <c r="BV5654" s="903"/>
      <c r="BW5654" s="908"/>
      <c r="BX5654" s="908"/>
      <c r="BY5654" s="331"/>
      <c r="BZ5654" s="331"/>
      <c r="CA5654" s="462"/>
      <c r="CB5654" s="319"/>
      <c r="CC5654" s="319"/>
      <c r="CD5654" s="319"/>
      <c r="CE5654" s="319"/>
      <c r="CF5654" s="319"/>
      <c r="CG5654" s="319"/>
      <c r="CH5654" s="318"/>
      <c r="CI5654" s="319"/>
      <c r="CJ5654" s="319"/>
      <c r="CK5654" s="342"/>
      <c r="CL5654" s="333"/>
      <c r="CM5654" s="1079"/>
      <c r="CN5654" s="1005"/>
      <c r="CO5654" s="1005"/>
      <c r="CP5654" s="1005"/>
    </row>
    <row r="5655">
      <c r="A5655" s="1257"/>
      <c r="B5655" s="1113"/>
      <c r="C5655" s="1107"/>
      <c r="D5655" s="103"/>
      <c r="E5655" s="1137"/>
      <c r="F5655" s="112"/>
      <c r="G5655" s="1110"/>
      <c r="H5655" s="1138"/>
      <c r="I5655" s="1138"/>
      <c r="J5655" s="1139"/>
      <c r="K5655" s="1111"/>
      <c r="L5655" s="1112"/>
      <c r="M5655" s="1113"/>
      <c r="N5655" s="110"/>
      <c r="O5655" s="1140"/>
      <c r="P5655" s="1115"/>
      <c r="Q5655" s="1116"/>
      <c r="R5655" s="1141"/>
      <c r="S5655" s="1113"/>
      <c r="T5655" s="1143"/>
      <c r="U5655" s="1108"/>
      <c r="V5655" s="1108"/>
      <c r="W5655" s="1108"/>
      <c r="X5655" s="1108"/>
      <c r="Y5655" s="1108"/>
      <c r="Z5655" s="1114"/>
      <c r="AA5655" s="1114"/>
      <c r="AB5655" s="1114"/>
      <c r="AC5655" s="1117"/>
      <c r="AD5655" s="1115"/>
      <c r="AE5655" s="1115"/>
      <c r="AF5655" s="1115"/>
      <c r="AG5655" s="1115"/>
      <c r="AH5655" s="1115"/>
      <c r="AI5655" s="1115"/>
      <c r="AJ5655" s="1117"/>
      <c r="AK5655" s="1118"/>
      <c r="AL5655" s="1115"/>
      <c r="AM5655" s="1115"/>
      <c r="AN5655" s="1115"/>
      <c r="AO5655" s="1115"/>
      <c r="AP5655" s="1115"/>
      <c r="AQ5655" s="1115"/>
      <c r="AR5655" s="1115"/>
      <c r="AS5655" s="1117"/>
      <c r="AT5655" s="1075"/>
      <c r="AU5655" s="1193"/>
      <c r="AV5655" s="330"/>
      <c r="AW5655" s="331"/>
      <c r="AX5655" s="331"/>
      <c r="AY5655" s="331"/>
      <c r="AZ5655" s="331"/>
      <c r="BA5655" s="331"/>
      <c r="BB5655" s="331"/>
      <c r="BC5655" s="331"/>
      <c r="BD5655" s="331"/>
      <c r="BE5655" s="333"/>
      <c r="BF5655" s="330"/>
      <c r="BG5655" s="333"/>
      <c r="BH5655" s="1119"/>
      <c r="BI5655" s="319"/>
      <c r="BJ5655" s="319"/>
      <c r="BK5655" s="319"/>
      <c r="BL5655" s="319"/>
      <c r="BM5655" s="319"/>
      <c r="BN5655" s="319"/>
      <c r="BO5655" s="319"/>
      <c r="BP5655" s="953"/>
      <c r="BQ5655" s="319"/>
      <c r="BR5655" s="319"/>
      <c r="BS5655" s="330"/>
      <c r="BT5655" s="331"/>
      <c r="BU5655" s="920"/>
      <c r="BV5655" s="903"/>
      <c r="BW5655" s="908"/>
      <c r="BX5655" s="908"/>
      <c r="BY5655" s="331"/>
      <c r="BZ5655" s="331"/>
      <c r="CA5655" s="462"/>
      <c r="CB5655" s="319"/>
      <c r="CC5655" s="319"/>
      <c r="CD5655" s="319"/>
      <c r="CE5655" s="319"/>
      <c r="CF5655" s="319"/>
      <c r="CG5655" s="319"/>
      <c r="CH5655" s="318"/>
      <c r="CI5655" s="319"/>
      <c r="CJ5655" s="319"/>
      <c r="CK5655" s="342"/>
      <c r="CL5655" s="333"/>
      <c r="CM5655" s="1079"/>
      <c r="CN5655" s="1005"/>
      <c r="CO5655" s="1005"/>
      <c r="CP5655" s="1005"/>
    </row>
    <row r="5656">
      <c r="A5656" s="1257"/>
      <c r="B5656" s="1113"/>
      <c r="C5656" s="1107"/>
      <c r="D5656" s="103"/>
      <c r="E5656" s="1137"/>
      <c r="F5656" s="112"/>
      <c r="G5656" s="1110"/>
      <c r="H5656" s="1138"/>
      <c r="I5656" s="1138"/>
      <c r="J5656" s="1139"/>
      <c r="K5656" s="1111"/>
      <c r="L5656" s="1112"/>
      <c r="M5656" s="1113"/>
      <c r="N5656" s="110"/>
      <c r="O5656" s="1140"/>
      <c r="P5656" s="1115"/>
      <c r="Q5656" s="1116"/>
      <c r="R5656" s="1141"/>
      <c r="S5656" s="1113"/>
      <c r="T5656" s="1143"/>
      <c r="U5656" s="1108"/>
      <c r="V5656" s="1108"/>
      <c r="W5656" s="1108"/>
      <c r="X5656" s="1108"/>
      <c r="Y5656" s="1108"/>
      <c r="Z5656" s="1114"/>
      <c r="AA5656" s="1114"/>
      <c r="AB5656" s="1114"/>
      <c r="AC5656" s="1117"/>
      <c r="AD5656" s="1115"/>
      <c r="AE5656" s="1115"/>
      <c r="AF5656" s="1115"/>
      <c r="AG5656" s="1115"/>
      <c r="AH5656" s="1115"/>
      <c r="AI5656" s="1115"/>
      <c r="AJ5656" s="1117"/>
      <c r="AK5656" s="1118"/>
      <c r="AL5656" s="1115"/>
      <c r="AM5656" s="1115"/>
      <c r="AN5656" s="1115"/>
      <c r="AO5656" s="1115"/>
      <c r="AP5656" s="1115"/>
      <c r="AQ5656" s="1115"/>
      <c r="AR5656" s="1115"/>
      <c r="AS5656" s="1117"/>
      <c r="AT5656" s="1075"/>
      <c r="AU5656" s="1193"/>
      <c r="AV5656" s="330"/>
      <c r="AW5656" s="331"/>
      <c r="AX5656" s="331"/>
      <c r="AY5656" s="331"/>
      <c r="AZ5656" s="331"/>
      <c r="BA5656" s="331"/>
      <c r="BB5656" s="331"/>
      <c r="BC5656" s="331"/>
      <c r="BD5656" s="331"/>
      <c r="BE5656" s="333"/>
      <c r="BF5656" s="330"/>
      <c r="BG5656" s="333"/>
      <c r="BH5656" s="1119"/>
      <c r="BI5656" s="319"/>
      <c r="BJ5656" s="319"/>
      <c r="BK5656" s="319"/>
      <c r="BL5656" s="319"/>
      <c r="BM5656" s="319"/>
      <c r="BN5656" s="319"/>
      <c r="BO5656" s="319"/>
      <c r="BP5656" s="953"/>
      <c r="BQ5656" s="319"/>
      <c r="BR5656" s="319"/>
      <c r="BS5656" s="330"/>
      <c r="BT5656" s="331"/>
      <c r="BU5656" s="920"/>
      <c r="BV5656" s="903"/>
      <c r="BW5656" s="908"/>
      <c r="BX5656" s="908"/>
      <c r="BY5656" s="331"/>
      <c r="BZ5656" s="331"/>
      <c r="CA5656" s="462"/>
      <c r="CB5656" s="319"/>
      <c r="CC5656" s="319"/>
      <c r="CD5656" s="319"/>
      <c r="CE5656" s="319"/>
      <c r="CF5656" s="319"/>
      <c r="CG5656" s="319"/>
      <c r="CH5656" s="318"/>
      <c r="CI5656" s="319"/>
      <c r="CJ5656" s="319"/>
      <c r="CK5656" s="342"/>
      <c r="CL5656" s="333"/>
      <c r="CM5656" s="1079"/>
      <c r="CN5656" s="1005"/>
      <c r="CO5656" s="1005"/>
      <c r="CP5656" s="1005"/>
    </row>
    <row r="5657">
      <c r="A5657" s="1257"/>
      <c r="B5657" s="1113"/>
      <c r="C5657" s="1107"/>
      <c r="D5657" s="103"/>
      <c r="E5657" s="1137"/>
      <c r="F5657" s="112"/>
      <c r="G5657" s="1110"/>
      <c r="H5657" s="1138"/>
      <c r="I5657" s="1138"/>
      <c r="J5657" s="1139"/>
      <c r="K5657" s="1111"/>
      <c r="L5657" s="1112"/>
      <c r="M5657" s="1113"/>
      <c r="N5657" s="110"/>
      <c r="O5657" s="1140"/>
      <c r="P5657" s="1115"/>
      <c r="Q5657" s="1116"/>
      <c r="R5657" s="1141"/>
      <c r="S5657" s="1113"/>
      <c r="T5657" s="1143"/>
      <c r="U5657" s="1108"/>
      <c r="V5657" s="1108"/>
      <c r="W5657" s="1108"/>
      <c r="X5657" s="1108"/>
      <c r="Y5657" s="1108"/>
      <c r="Z5657" s="1114"/>
      <c r="AA5657" s="1114"/>
      <c r="AB5657" s="1114"/>
      <c r="AC5657" s="1117"/>
      <c r="AD5657" s="1115"/>
      <c r="AE5657" s="1115"/>
      <c r="AF5657" s="1115"/>
      <c r="AG5657" s="1115"/>
      <c r="AH5657" s="1115"/>
      <c r="AI5657" s="1115"/>
      <c r="AJ5657" s="1117"/>
      <c r="AK5657" s="1118"/>
      <c r="AL5657" s="1115"/>
      <c r="AM5657" s="1115"/>
      <c r="AN5657" s="1115"/>
      <c r="AO5657" s="1115"/>
      <c r="AP5657" s="1115"/>
      <c r="AQ5657" s="1115"/>
      <c r="AR5657" s="1115"/>
      <c r="AS5657" s="1117"/>
      <c r="AT5657" s="1075"/>
      <c r="AU5657" s="1193"/>
      <c r="AV5657" s="330"/>
      <c r="AW5657" s="331"/>
      <c r="AX5657" s="331"/>
      <c r="AY5657" s="331"/>
      <c r="AZ5657" s="331"/>
      <c r="BA5657" s="331"/>
      <c r="BB5657" s="331"/>
      <c r="BC5657" s="331"/>
      <c r="BD5657" s="331"/>
      <c r="BE5657" s="333"/>
      <c r="BF5657" s="330"/>
      <c r="BG5657" s="333"/>
      <c r="BH5657" s="1119"/>
      <c r="BI5657" s="319"/>
      <c r="BJ5657" s="319"/>
      <c r="BK5657" s="319"/>
      <c r="BL5657" s="319"/>
      <c r="BM5657" s="319"/>
      <c r="BN5657" s="319"/>
      <c r="BO5657" s="319"/>
      <c r="BP5657" s="953"/>
      <c r="BQ5657" s="319"/>
      <c r="BR5657" s="319"/>
      <c r="BS5657" s="330"/>
      <c r="BT5657" s="331"/>
      <c r="BU5657" s="920"/>
      <c r="BV5657" s="903"/>
      <c r="BW5657" s="908"/>
      <c r="BX5657" s="908"/>
      <c r="BY5657" s="331"/>
      <c r="BZ5657" s="331"/>
      <c r="CA5657" s="462"/>
      <c r="CB5657" s="319"/>
      <c r="CC5657" s="319"/>
      <c r="CD5657" s="319"/>
      <c r="CE5657" s="319"/>
      <c r="CF5657" s="319"/>
      <c r="CG5657" s="319"/>
      <c r="CH5657" s="318"/>
      <c r="CI5657" s="319"/>
      <c r="CJ5657" s="319"/>
      <c r="CK5657" s="342"/>
      <c r="CL5657" s="333"/>
      <c r="CM5657" s="1079"/>
      <c r="CN5657" s="1005"/>
      <c r="CO5657" s="1005"/>
      <c r="CP5657" s="1005"/>
    </row>
    <row r="5658">
      <c r="A5658" s="1257"/>
      <c r="B5658" s="1113"/>
      <c r="C5658" s="1107"/>
      <c r="D5658" s="103"/>
      <c r="E5658" s="1137"/>
      <c r="F5658" s="112"/>
      <c r="G5658" s="1110"/>
      <c r="H5658" s="1138"/>
      <c r="I5658" s="1138"/>
      <c r="J5658" s="1139"/>
      <c r="K5658" s="1111"/>
      <c r="L5658" s="1112"/>
      <c r="M5658" s="1113"/>
      <c r="N5658" s="110"/>
      <c r="O5658" s="1140"/>
      <c r="P5658" s="1115"/>
      <c r="Q5658" s="1116"/>
      <c r="R5658" s="1141"/>
      <c r="S5658" s="1113"/>
      <c r="T5658" s="1143"/>
      <c r="U5658" s="1108"/>
      <c r="V5658" s="1108"/>
      <c r="W5658" s="1108"/>
      <c r="X5658" s="1108"/>
      <c r="Y5658" s="1108"/>
      <c r="Z5658" s="1114"/>
      <c r="AA5658" s="1114"/>
      <c r="AB5658" s="1114"/>
      <c r="AC5658" s="1117"/>
      <c r="AD5658" s="1115"/>
      <c r="AE5658" s="1115"/>
      <c r="AF5658" s="1115"/>
      <c r="AG5658" s="1115"/>
      <c r="AH5658" s="1115"/>
      <c r="AI5658" s="1115"/>
      <c r="AJ5658" s="1117"/>
      <c r="AK5658" s="1118"/>
      <c r="AL5658" s="1115"/>
      <c r="AM5658" s="1115"/>
      <c r="AN5658" s="1115"/>
      <c r="AO5658" s="1115"/>
      <c r="AP5658" s="1115"/>
      <c r="AQ5658" s="1115"/>
      <c r="AR5658" s="1115"/>
      <c r="AS5658" s="1117"/>
      <c r="AT5658" s="1075"/>
      <c r="AU5658" s="1193"/>
      <c r="AV5658" s="330"/>
      <c r="AW5658" s="331"/>
      <c r="AX5658" s="331"/>
      <c r="AY5658" s="331"/>
      <c r="AZ5658" s="331"/>
      <c r="BA5658" s="331"/>
      <c r="BB5658" s="331"/>
      <c r="BC5658" s="331"/>
      <c r="BD5658" s="331"/>
      <c r="BE5658" s="333"/>
      <c r="BF5658" s="330"/>
      <c r="BG5658" s="333"/>
      <c r="BH5658" s="1119"/>
      <c r="BI5658" s="319"/>
      <c r="BJ5658" s="319"/>
      <c r="BK5658" s="319"/>
      <c r="BL5658" s="319"/>
      <c r="BM5658" s="319"/>
      <c r="BN5658" s="319"/>
      <c r="BO5658" s="319"/>
      <c r="BP5658" s="953"/>
      <c r="BQ5658" s="319"/>
      <c r="BR5658" s="319"/>
      <c r="BS5658" s="330"/>
      <c r="BT5658" s="331"/>
      <c r="BU5658" s="920"/>
      <c r="BV5658" s="903"/>
      <c r="BW5658" s="908"/>
      <c r="BX5658" s="908"/>
      <c r="BY5658" s="331"/>
      <c r="BZ5658" s="331"/>
      <c r="CA5658" s="462"/>
      <c r="CB5658" s="319"/>
      <c r="CC5658" s="319"/>
      <c r="CD5658" s="319"/>
      <c r="CE5658" s="319"/>
      <c r="CF5658" s="319"/>
      <c r="CG5658" s="319"/>
      <c r="CH5658" s="318"/>
      <c r="CI5658" s="319"/>
      <c r="CJ5658" s="319"/>
      <c r="CK5658" s="342"/>
      <c r="CL5658" s="333"/>
      <c r="CM5658" s="1079"/>
      <c r="CN5658" s="1005"/>
      <c r="CO5658" s="1005"/>
      <c r="CP5658" s="1005"/>
    </row>
    <row r="5659">
      <c r="A5659" s="1257"/>
      <c r="B5659" s="1113"/>
      <c r="C5659" s="1107"/>
      <c r="D5659" s="103"/>
      <c r="E5659" s="1137"/>
      <c r="F5659" s="112"/>
      <c r="G5659" s="1110"/>
      <c r="H5659" s="1138"/>
      <c r="I5659" s="1138"/>
      <c r="J5659" s="1139"/>
      <c r="K5659" s="1111"/>
      <c r="L5659" s="1112"/>
      <c r="M5659" s="1113"/>
      <c r="N5659" s="110"/>
      <c r="O5659" s="1140"/>
      <c r="P5659" s="1115"/>
      <c r="Q5659" s="1116"/>
      <c r="R5659" s="1141"/>
      <c r="S5659" s="1113"/>
      <c r="T5659" s="1143"/>
      <c r="U5659" s="1108"/>
      <c r="V5659" s="1108"/>
      <c r="W5659" s="1108"/>
      <c r="X5659" s="1108"/>
      <c r="Y5659" s="1108"/>
      <c r="Z5659" s="1114"/>
      <c r="AA5659" s="1114"/>
      <c r="AB5659" s="1114"/>
      <c r="AC5659" s="1117"/>
      <c r="AD5659" s="1115"/>
      <c r="AE5659" s="1115"/>
      <c r="AF5659" s="1115"/>
      <c r="AG5659" s="1115"/>
      <c r="AH5659" s="1115"/>
      <c r="AI5659" s="1115"/>
      <c r="AJ5659" s="1117"/>
      <c r="AK5659" s="1118"/>
      <c r="AL5659" s="1115"/>
      <c r="AM5659" s="1115"/>
      <c r="AN5659" s="1115"/>
      <c r="AO5659" s="1115"/>
      <c r="AP5659" s="1115"/>
      <c r="AQ5659" s="1115"/>
      <c r="AR5659" s="1115"/>
      <c r="AS5659" s="1117"/>
      <c r="AT5659" s="1075"/>
      <c r="AU5659" s="1193"/>
      <c r="AV5659" s="330"/>
      <c r="AW5659" s="331"/>
      <c r="AX5659" s="331"/>
      <c r="AY5659" s="331"/>
      <c r="AZ5659" s="331"/>
      <c r="BA5659" s="331"/>
      <c r="BB5659" s="331"/>
      <c r="BC5659" s="331"/>
      <c r="BD5659" s="331"/>
      <c r="BE5659" s="333"/>
      <c r="BF5659" s="330"/>
      <c r="BG5659" s="333"/>
      <c r="BH5659" s="1119"/>
      <c r="BI5659" s="319"/>
      <c r="BJ5659" s="319"/>
      <c r="BK5659" s="319"/>
      <c r="BL5659" s="319"/>
      <c r="BM5659" s="319"/>
      <c r="BN5659" s="319"/>
      <c r="BO5659" s="319"/>
      <c r="BP5659" s="953"/>
      <c r="BQ5659" s="319"/>
      <c r="BR5659" s="319"/>
      <c r="BS5659" s="330"/>
      <c r="BT5659" s="331"/>
      <c r="BU5659" s="920"/>
      <c r="BV5659" s="903"/>
      <c r="BW5659" s="908"/>
      <c r="BX5659" s="908"/>
      <c r="BY5659" s="331"/>
      <c r="BZ5659" s="331"/>
      <c r="CA5659" s="462"/>
      <c r="CB5659" s="319"/>
      <c r="CC5659" s="319"/>
      <c r="CD5659" s="319"/>
      <c r="CE5659" s="319"/>
      <c r="CF5659" s="319"/>
      <c r="CG5659" s="319"/>
      <c r="CH5659" s="318"/>
      <c r="CI5659" s="319"/>
      <c r="CJ5659" s="319"/>
      <c r="CK5659" s="342"/>
      <c r="CL5659" s="333"/>
      <c r="CM5659" s="1079"/>
      <c r="CN5659" s="1005"/>
      <c r="CO5659" s="1005"/>
      <c r="CP5659" s="1005"/>
    </row>
    <row r="5660">
      <c r="A5660" s="1257"/>
      <c r="B5660" s="1113"/>
      <c r="C5660" s="1107"/>
      <c r="D5660" s="103"/>
      <c r="E5660" s="1137"/>
      <c r="F5660" s="112"/>
      <c r="G5660" s="1110"/>
      <c r="H5660" s="1138"/>
      <c r="I5660" s="1138"/>
      <c r="J5660" s="1139"/>
      <c r="K5660" s="1111"/>
      <c r="L5660" s="1112"/>
      <c r="M5660" s="1113"/>
      <c r="N5660" s="110"/>
      <c r="O5660" s="1140"/>
      <c r="P5660" s="1115"/>
      <c r="Q5660" s="1116"/>
      <c r="R5660" s="1141"/>
      <c r="S5660" s="1113"/>
      <c r="T5660" s="1143"/>
      <c r="U5660" s="1108"/>
      <c r="V5660" s="1108"/>
      <c r="W5660" s="1108"/>
      <c r="X5660" s="1108"/>
      <c r="Y5660" s="1108"/>
      <c r="Z5660" s="1114"/>
      <c r="AA5660" s="1114"/>
      <c r="AB5660" s="1114"/>
      <c r="AC5660" s="1117"/>
      <c r="AD5660" s="1115"/>
      <c r="AE5660" s="1115"/>
      <c r="AF5660" s="1115"/>
      <c r="AG5660" s="1115"/>
      <c r="AH5660" s="1115"/>
      <c r="AI5660" s="1115"/>
      <c r="AJ5660" s="1117"/>
      <c r="AK5660" s="1118"/>
      <c r="AL5660" s="1115"/>
      <c r="AM5660" s="1115"/>
      <c r="AN5660" s="1115"/>
      <c r="AO5660" s="1115"/>
      <c r="AP5660" s="1115"/>
      <c r="AQ5660" s="1115"/>
      <c r="AR5660" s="1115"/>
      <c r="AS5660" s="1117"/>
      <c r="AT5660" s="1075"/>
      <c r="AU5660" s="1193"/>
      <c r="AV5660" s="330"/>
      <c r="AW5660" s="331"/>
      <c r="AX5660" s="331"/>
      <c r="AY5660" s="331"/>
      <c r="AZ5660" s="331"/>
      <c r="BA5660" s="331"/>
      <c r="BB5660" s="331"/>
      <c r="BC5660" s="331"/>
      <c r="BD5660" s="331"/>
      <c r="BE5660" s="333"/>
      <c r="BF5660" s="330"/>
      <c r="BG5660" s="333"/>
      <c r="BH5660" s="1119"/>
      <c r="BI5660" s="319"/>
      <c r="BJ5660" s="319"/>
      <c r="BK5660" s="319"/>
      <c r="BL5660" s="319"/>
      <c r="BM5660" s="319"/>
      <c r="BN5660" s="319"/>
      <c r="BO5660" s="319"/>
      <c r="BP5660" s="953"/>
      <c r="BQ5660" s="319"/>
      <c r="BR5660" s="319"/>
      <c r="BS5660" s="330"/>
      <c r="BT5660" s="331"/>
      <c r="BU5660" s="920"/>
      <c r="BV5660" s="903"/>
      <c r="BW5660" s="908"/>
      <c r="BX5660" s="908"/>
      <c r="BY5660" s="331"/>
      <c r="BZ5660" s="331"/>
      <c r="CA5660" s="462"/>
      <c r="CB5660" s="319"/>
      <c r="CC5660" s="319"/>
      <c r="CD5660" s="319"/>
      <c r="CE5660" s="319"/>
      <c r="CF5660" s="319"/>
      <c r="CG5660" s="319"/>
      <c r="CH5660" s="318"/>
      <c r="CI5660" s="319"/>
      <c r="CJ5660" s="319"/>
      <c r="CK5660" s="342"/>
      <c r="CL5660" s="333"/>
      <c r="CM5660" s="1079"/>
      <c r="CN5660" s="1005"/>
      <c r="CO5660" s="1005"/>
      <c r="CP5660" s="1005"/>
    </row>
    <row r="5661">
      <c r="A5661" s="1257"/>
      <c r="B5661" s="1113"/>
      <c r="C5661" s="1107"/>
      <c r="D5661" s="103"/>
      <c r="E5661" s="1137"/>
      <c r="F5661" s="112"/>
      <c r="G5661" s="1110"/>
      <c r="H5661" s="1138"/>
      <c r="I5661" s="1138"/>
      <c r="J5661" s="1139"/>
      <c r="K5661" s="1111"/>
      <c r="L5661" s="1112"/>
      <c r="M5661" s="1113"/>
      <c r="N5661" s="110"/>
      <c r="O5661" s="1140"/>
      <c r="P5661" s="1115"/>
      <c r="Q5661" s="1116"/>
      <c r="R5661" s="1141"/>
      <c r="S5661" s="1113"/>
      <c r="T5661" s="1143"/>
      <c r="U5661" s="1108"/>
      <c r="V5661" s="1108"/>
      <c r="W5661" s="1108"/>
      <c r="X5661" s="1108"/>
      <c r="Y5661" s="1108"/>
      <c r="Z5661" s="1114"/>
      <c r="AA5661" s="1114"/>
      <c r="AB5661" s="1114"/>
      <c r="AC5661" s="1117"/>
      <c r="AD5661" s="1115"/>
      <c r="AE5661" s="1115"/>
      <c r="AF5661" s="1115"/>
      <c r="AG5661" s="1115"/>
      <c r="AH5661" s="1115"/>
      <c r="AI5661" s="1115"/>
      <c r="AJ5661" s="1117"/>
      <c r="AK5661" s="1118"/>
      <c r="AL5661" s="1115"/>
      <c r="AM5661" s="1115"/>
      <c r="AN5661" s="1115"/>
      <c r="AO5661" s="1115"/>
      <c r="AP5661" s="1115"/>
      <c r="AQ5661" s="1115"/>
      <c r="AR5661" s="1115"/>
      <c r="AS5661" s="1117"/>
      <c r="AT5661" s="1075"/>
      <c r="AU5661" s="1193"/>
      <c r="AV5661" s="330"/>
      <c r="AW5661" s="331"/>
      <c r="AX5661" s="331"/>
      <c r="AY5661" s="331"/>
      <c r="AZ5661" s="331"/>
      <c r="BA5661" s="331"/>
      <c r="BB5661" s="331"/>
      <c r="BC5661" s="331"/>
      <c r="BD5661" s="331"/>
      <c r="BE5661" s="333"/>
      <c r="BF5661" s="330"/>
      <c r="BG5661" s="333"/>
      <c r="BH5661" s="1119"/>
      <c r="BI5661" s="319"/>
      <c r="BJ5661" s="319"/>
      <c r="BK5661" s="319"/>
      <c r="BL5661" s="319"/>
      <c r="BM5661" s="319"/>
      <c r="BN5661" s="319"/>
      <c r="BO5661" s="319"/>
      <c r="BP5661" s="953"/>
      <c r="BQ5661" s="319"/>
      <c r="BR5661" s="319"/>
      <c r="BS5661" s="330"/>
      <c r="BT5661" s="331"/>
      <c r="BU5661" s="920"/>
      <c r="BV5661" s="903"/>
      <c r="BW5661" s="908"/>
      <c r="BX5661" s="908"/>
      <c r="BY5661" s="331"/>
      <c r="BZ5661" s="331"/>
      <c r="CA5661" s="462"/>
      <c r="CB5661" s="319"/>
      <c r="CC5661" s="319"/>
      <c r="CD5661" s="319"/>
      <c r="CE5661" s="319"/>
      <c r="CF5661" s="319"/>
      <c r="CG5661" s="319"/>
      <c r="CH5661" s="318"/>
      <c r="CI5661" s="319"/>
      <c r="CJ5661" s="319"/>
      <c r="CK5661" s="342"/>
      <c r="CL5661" s="333"/>
      <c r="CM5661" s="1079"/>
      <c r="CN5661" s="1005"/>
      <c r="CO5661" s="1005"/>
      <c r="CP5661" s="1005"/>
    </row>
    <row r="5662">
      <c r="A5662" s="1257"/>
      <c r="B5662" s="1113"/>
      <c r="C5662" s="1107"/>
      <c r="D5662" s="103"/>
      <c r="E5662" s="1137"/>
      <c r="F5662" s="112"/>
      <c r="G5662" s="1110"/>
      <c r="H5662" s="1138"/>
      <c r="I5662" s="1138"/>
      <c r="J5662" s="1139"/>
      <c r="K5662" s="1111"/>
      <c r="L5662" s="1112"/>
      <c r="M5662" s="1113"/>
      <c r="N5662" s="110"/>
      <c r="O5662" s="1140"/>
      <c r="P5662" s="1115"/>
      <c r="Q5662" s="1116"/>
      <c r="R5662" s="1141"/>
      <c r="S5662" s="1113"/>
      <c r="T5662" s="1143"/>
      <c r="U5662" s="1108"/>
      <c r="V5662" s="1108"/>
      <c r="W5662" s="1108"/>
      <c r="X5662" s="1108"/>
      <c r="Y5662" s="1108"/>
      <c r="Z5662" s="1114"/>
      <c r="AA5662" s="1114"/>
      <c r="AB5662" s="1114"/>
      <c r="AC5662" s="1117"/>
      <c r="AD5662" s="1115"/>
      <c r="AE5662" s="1115"/>
      <c r="AF5662" s="1115"/>
      <c r="AG5662" s="1115"/>
      <c r="AH5662" s="1115"/>
      <c r="AI5662" s="1115"/>
      <c r="AJ5662" s="1117"/>
      <c r="AK5662" s="1118"/>
      <c r="AL5662" s="1115"/>
      <c r="AM5662" s="1115"/>
      <c r="AN5662" s="1115"/>
      <c r="AO5662" s="1115"/>
      <c r="AP5662" s="1115"/>
      <c r="AQ5662" s="1115"/>
      <c r="AR5662" s="1115"/>
      <c r="AS5662" s="1117"/>
      <c r="AT5662" s="1075"/>
      <c r="AU5662" s="1193"/>
      <c r="AV5662" s="330"/>
      <c r="AW5662" s="331"/>
      <c r="AX5662" s="331"/>
      <c r="AY5662" s="331"/>
      <c r="AZ5662" s="331"/>
      <c r="BA5662" s="331"/>
      <c r="BB5662" s="331"/>
      <c r="BC5662" s="331"/>
      <c r="BD5662" s="331"/>
      <c r="BE5662" s="333"/>
      <c r="BF5662" s="330"/>
      <c r="BG5662" s="333"/>
      <c r="BH5662" s="1119"/>
      <c r="BI5662" s="319"/>
      <c r="BJ5662" s="319"/>
      <c r="BK5662" s="319"/>
      <c r="BL5662" s="319"/>
      <c r="BM5662" s="319"/>
      <c r="BN5662" s="319"/>
      <c r="BO5662" s="319"/>
      <c r="BP5662" s="953"/>
      <c r="BQ5662" s="319"/>
      <c r="BR5662" s="319"/>
      <c r="BS5662" s="330"/>
      <c r="BT5662" s="331"/>
      <c r="BU5662" s="920"/>
      <c r="BV5662" s="903"/>
      <c r="BW5662" s="908"/>
      <c r="BX5662" s="908"/>
      <c r="BY5662" s="331"/>
      <c r="BZ5662" s="331"/>
      <c r="CA5662" s="462"/>
      <c r="CB5662" s="319"/>
      <c r="CC5662" s="319"/>
      <c r="CD5662" s="319"/>
      <c r="CE5662" s="319"/>
      <c r="CF5662" s="319"/>
      <c r="CG5662" s="319"/>
      <c r="CH5662" s="318"/>
      <c r="CI5662" s="319"/>
      <c r="CJ5662" s="319"/>
      <c r="CK5662" s="342"/>
      <c r="CL5662" s="333"/>
      <c r="CM5662" s="1079"/>
      <c r="CN5662" s="1005"/>
      <c r="CO5662" s="1005"/>
      <c r="CP5662" s="1005"/>
    </row>
    <row r="5663">
      <c r="A5663" s="1257"/>
      <c r="B5663" s="1113"/>
      <c r="C5663" s="1107"/>
      <c r="D5663" s="103"/>
      <c r="E5663" s="1137"/>
      <c r="F5663" s="112"/>
      <c r="G5663" s="1110"/>
      <c r="H5663" s="1138"/>
      <c r="I5663" s="1138"/>
      <c r="J5663" s="1139"/>
      <c r="K5663" s="1111"/>
      <c r="L5663" s="1112"/>
      <c r="M5663" s="1113"/>
      <c r="N5663" s="110"/>
      <c r="O5663" s="1140"/>
      <c r="P5663" s="1115"/>
      <c r="Q5663" s="1116"/>
      <c r="R5663" s="1141"/>
      <c r="S5663" s="1113"/>
      <c r="T5663" s="1143"/>
      <c r="U5663" s="1108"/>
      <c r="V5663" s="1108"/>
      <c r="W5663" s="1108"/>
      <c r="X5663" s="1108"/>
      <c r="Y5663" s="1108"/>
      <c r="Z5663" s="1114"/>
      <c r="AA5663" s="1114"/>
      <c r="AB5663" s="1114"/>
      <c r="AC5663" s="1117"/>
      <c r="AD5663" s="1115"/>
      <c r="AE5663" s="1115"/>
      <c r="AF5663" s="1115"/>
      <c r="AG5663" s="1115"/>
      <c r="AH5663" s="1115"/>
      <c r="AI5663" s="1115"/>
      <c r="AJ5663" s="1117"/>
      <c r="AK5663" s="1118"/>
      <c r="AL5663" s="1115"/>
      <c r="AM5663" s="1115"/>
      <c r="AN5663" s="1115"/>
      <c r="AO5663" s="1115"/>
      <c r="AP5663" s="1115"/>
      <c r="AQ5663" s="1115"/>
      <c r="AR5663" s="1115"/>
      <c r="AS5663" s="1117"/>
      <c r="AT5663" s="1075"/>
      <c r="AU5663" s="1193"/>
      <c r="AV5663" s="330"/>
      <c r="AW5663" s="331"/>
      <c r="AX5663" s="331"/>
      <c r="AY5663" s="331"/>
      <c r="AZ5663" s="331"/>
      <c r="BA5663" s="331"/>
      <c r="BB5663" s="331"/>
      <c r="BC5663" s="331"/>
      <c r="BD5663" s="331"/>
      <c r="BE5663" s="333"/>
      <c r="BF5663" s="330"/>
      <c r="BG5663" s="333"/>
      <c r="BH5663" s="1119"/>
      <c r="BI5663" s="319"/>
      <c r="BJ5663" s="319"/>
      <c r="BK5663" s="319"/>
      <c r="BL5663" s="319"/>
      <c r="BM5663" s="319"/>
      <c r="BN5663" s="319"/>
      <c r="BO5663" s="319"/>
      <c r="BP5663" s="953"/>
      <c r="BQ5663" s="319"/>
      <c r="BR5663" s="319"/>
      <c r="BS5663" s="330"/>
      <c r="BT5663" s="331"/>
      <c r="BU5663" s="920"/>
      <c r="BV5663" s="903"/>
      <c r="BW5663" s="908"/>
      <c r="BX5663" s="908"/>
      <c r="BY5663" s="331"/>
      <c r="BZ5663" s="331"/>
      <c r="CA5663" s="462"/>
      <c r="CB5663" s="319"/>
      <c r="CC5663" s="319"/>
      <c r="CD5663" s="319"/>
      <c r="CE5663" s="319"/>
      <c r="CF5663" s="319"/>
      <c r="CG5663" s="319"/>
      <c r="CH5663" s="318"/>
      <c r="CI5663" s="319"/>
      <c r="CJ5663" s="319"/>
      <c r="CK5663" s="342"/>
      <c r="CL5663" s="333"/>
      <c r="CM5663" s="1079"/>
      <c r="CN5663" s="1005"/>
      <c r="CO5663" s="1005"/>
      <c r="CP5663" s="1005"/>
    </row>
    <row r="5664">
      <c r="A5664" s="1257"/>
      <c r="B5664" s="1113"/>
      <c r="C5664" s="1107"/>
      <c r="D5664" s="103"/>
      <c r="E5664" s="1137"/>
      <c r="F5664" s="112"/>
      <c r="G5664" s="1110"/>
      <c r="H5664" s="1138"/>
      <c r="I5664" s="1138"/>
      <c r="J5664" s="1139"/>
      <c r="K5664" s="1111"/>
      <c r="L5664" s="1112"/>
      <c r="M5664" s="1113"/>
      <c r="N5664" s="110"/>
      <c r="O5664" s="1140"/>
      <c r="P5664" s="1115"/>
      <c r="Q5664" s="1116"/>
      <c r="R5664" s="1141"/>
      <c r="S5664" s="1113"/>
      <c r="T5664" s="1143"/>
      <c r="U5664" s="1108"/>
      <c r="V5664" s="1108"/>
      <c r="W5664" s="1108"/>
      <c r="X5664" s="1108"/>
      <c r="Y5664" s="1108"/>
      <c r="Z5664" s="1114"/>
      <c r="AA5664" s="1114"/>
      <c r="AB5664" s="1114"/>
      <c r="AC5664" s="1117"/>
      <c r="AD5664" s="1115"/>
      <c r="AE5664" s="1115"/>
      <c r="AF5664" s="1115"/>
      <c r="AG5664" s="1115"/>
      <c r="AH5664" s="1115"/>
      <c r="AI5664" s="1115"/>
      <c r="AJ5664" s="1117"/>
      <c r="AK5664" s="1118"/>
      <c r="AL5664" s="1115"/>
      <c r="AM5664" s="1115"/>
      <c r="AN5664" s="1115"/>
      <c r="AO5664" s="1115"/>
      <c r="AP5664" s="1115"/>
      <c r="AQ5664" s="1115"/>
      <c r="AR5664" s="1115"/>
      <c r="AS5664" s="1117"/>
      <c r="AT5664" s="1075"/>
      <c r="AU5664" s="1193"/>
      <c r="AV5664" s="330"/>
      <c r="AW5664" s="331"/>
      <c r="AX5664" s="331"/>
      <c r="AY5664" s="331"/>
      <c r="AZ5664" s="331"/>
      <c r="BA5664" s="331"/>
      <c r="BB5664" s="331"/>
      <c r="BC5664" s="331"/>
      <c r="BD5664" s="331"/>
      <c r="BE5664" s="333"/>
      <c r="BF5664" s="330"/>
      <c r="BG5664" s="333"/>
      <c r="BH5664" s="1119"/>
      <c r="BI5664" s="319"/>
      <c r="BJ5664" s="319"/>
      <c r="BK5664" s="319"/>
      <c r="BL5664" s="319"/>
      <c r="BM5664" s="319"/>
      <c r="BN5664" s="319"/>
      <c r="BO5664" s="319"/>
      <c r="BP5664" s="953"/>
      <c r="BQ5664" s="319"/>
      <c r="BR5664" s="319"/>
      <c r="BS5664" s="330"/>
      <c r="BT5664" s="331"/>
      <c r="BU5664" s="920"/>
      <c r="BV5664" s="903"/>
      <c r="BW5664" s="908"/>
      <c r="BX5664" s="908"/>
      <c r="BY5664" s="331"/>
      <c r="BZ5664" s="331"/>
      <c r="CA5664" s="462"/>
      <c r="CB5664" s="319"/>
      <c r="CC5664" s="319"/>
      <c r="CD5664" s="319"/>
      <c r="CE5664" s="319"/>
      <c r="CF5664" s="319"/>
      <c r="CG5664" s="319"/>
      <c r="CH5664" s="318"/>
      <c r="CI5664" s="319"/>
      <c r="CJ5664" s="319"/>
      <c r="CK5664" s="342"/>
      <c r="CL5664" s="333"/>
      <c r="CM5664" s="1079"/>
      <c r="CN5664" s="1005"/>
      <c r="CO5664" s="1005"/>
      <c r="CP5664" s="1005"/>
    </row>
    <row r="5665">
      <c r="A5665" s="1257"/>
      <c r="B5665" s="1113"/>
      <c r="C5665" s="1107"/>
      <c r="D5665" s="103"/>
      <c r="E5665" s="1137"/>
      <c r="F5665" s="112"/>
      <c r="G5665" s="1110"/>
      <c r="H5665" s="1138"/>
      <c r="I5665" s="1138"/>
      <c r="J5665" s="1139"/>
      <c r="K5665" s="1111"/>
      <c r="L5665" s="1112"/>
      <c r="M5665" s="1113"/>
      <c r="N5665" s="110"/>
      <c r="O5665" s="1140"/>
      <c r="P5665" s="1115"/>
      <c r="Q5665" s="1116"/>
      <c r="R5665" s="1141"/>
      <c r="S5665" s="1113"/>
      <c r="T5665" s="1143"/>
      <c r="U5665" s="1108"/>
      <c r="V5665" s="1108"/>
      <c r="W5665" s="1108"/>
      <c r="X5665" s="1108"/>
      <c r="Y5665" s="1108"/>
      <c r="Z5665" s="1114"/>
      <c r="AA5665" s="1114"/>
      <c r="AB5665" s="1114"/>
      <c r="AC5665" s="1117"/>
      <c r="AD5665" s="1115"/>
      <c r="AE5665" s="1115"/>
      <c r="AF5665" s="1115"/>
      <c r="AG5665" s="1115"/>
      <c r="AH5665" s="1115"/>
      <c r="AI5665" s="1115"/>
      <c r="AJ5665" s="1117"/>
      <c r="AK5665" s="1118"/>
      <c r="AL5665" s="1115"/>
      <c r="AM5665" s="1115"/>
      <c r="AN5665" s="1115"/>
      <c r="AO5665" s="1115"/>
      <c r="AP5665" s="1115"/>
      <c r="AQ5665" s="1115"/>
      <c r="AR5665" s="1115"/>
      <c r="AS5665" s="1117"/>
      <c r="AT5665" s="1075"/>
      <c r="AU5665" s="1193"/>
      <c r="AV5665" s="330"/>
      <c r="AW5665" s="331"/>
      <c r="AX5665" s="331"/>
      <c r="AY5665" s="331"/>
      <c r="AZ5665" s="331"/>
      <c r="BA5665" s="331"/>
      <c r="BB5665" s="331"/>
      <c r="BC5665" s="331"/>
      <c r="BD5665" s="331"/>
      <c r="BE5665" s="333"/>
      <c r="BF5665" s="330"/>
      <c r="BG5665" s="333"/>
      <c r="BH5665" s="1119"/>
      <c r="BI5665" s="319"/>
      <c r="BJ5665" s="319"/>
      <c r="BK5665" s="319"/>
      <c r="BL5665" s="319"/>
      <c r="BM5665" s="319"/>
      <c r="BN5665" s="319"/>
      <c r="BO5665" s="319"/>
      <c r="BP5665" s="953"/>
      <c r="BQ5665" s="319"/>
      <c r="BR5665" s="319"/>
      <c r="BS5665" s="330"/>
      <c r="BT5665" s="331"/>
      <c r="BU5665" s="920"/>
      <c r="BV5665" s="903"/>
      <c r="BW5665" s="908"/>
      <c r="BX5665" s="908"/>
      <c r="BY5665" s="331"/>
      <c r="BZ5665" s="331"/>
      <c r="CA5665" s="462"/>
      <c r="CB5665" s="319"/>
      <c r="CC5665" s="319"/>
      <c r="CD5665" s="319"/>
      <c r="CE5665" s="319"/>
      <c r="CF5665" s="319"/>
      <c r="CG5665" s="319"/>
      <c r="CH5665" s="318"/>
      <c r="CI5665" s="319"/>
      <c r="CJ5665" s="319"/>
      <c r="CK5665" s="342"/>
      <c r="CL5665" s="333"/>
      <c r="CM5665" s="1079"/>
      <c r="CN5665" s="1005"/>
      <c r="CO5665" s="1005"/>
      <c r="CP5665" s="1005"/>
    </row>
    <row r="5666">
      <c r="A5666" s="1257"/>
      <c r="B5666" s="1113"/>
      <c r="C5666" s="1107"/>
      <c r="D5666" s="103"/>
      <c r="E5666" s="1137"/>
      <c r="F5666" s="112"/>
      <c r="G5666" s="1110"/>
      <c r="H5666" s="1138"/>
      <c r="I5666" s="1138"/>
      <c r="J5666" s="1139"/>
      <c r="K5666" s="1111"/>
      <c r="L5666" s="1112"/>
      <c r="M5666" s="1113"/>
      <c r="N5666" s="110"/>
      <c r="O5666" s="1140"/>
      <c r="P5666" s="1115"/>
      <c r="Q5666" s="1116"/>
      <c r="R5666" s="1141"/>
      <c r="S5666" s="1113"/>
      <c r="T5666" s="1143"/>
      <c r="U5666" s="1108"/>
      <c r="V5666" s="1108"/>
      <c r="W5666" s="1108"/>
      <c r="X5666" s="1108"/>
      <c r="Y5666" s="1108"/>
      <c r="Z5666" s="1114"/>
      <c r="AA5666" s="1114"/>
      <c r="AB5666" s="1114"/>
      <c r="AC5666" s="1117"/>
      <c r="AD5666" s="1115"/>
      <c r="AE5666" s="1115"/>
      <c r="AF5666" s="1115"/>
      <c r="AG5666" s="1115"/>
      <c r="AH5666" s="1115"/>
      <c r="AI5666" s="1115"/>
      <c r="AJ5666" s="1117"/>
      <c r="AK5666" s="1118"/>
      <c r="AL5666" s="1115"/>
      <c r="AM5666" s="1115"/>
      <c r="AN5666" s="1115"/>
      <c r="AO5666" s="1115"/>
      <c r="AP5666" s="1115"/>
      <c r="AQ5666" s="1115"/>
      <c r="AR5666" s="1115"/>
      <c r="AS5666" s="1117"/>
      <c r="AT5666" s="1075"/>
      <c r="AU5666" s="1193"/>
      <c r="AV5666" s="330"/>
      <c r="AW5666" s="331"/>
      <c r="AX5666" s="331"/>
      <c r="AY5666" s="331"/>
      <c r="AZ5666" s="331"/>
      <c r="BA5666" s="331"/>
      <c r="BB5666" s="331"/>
      <c r="BC5666" s="331"/>
      <c r="BD5666" s="331"/>
      <c r="BE5666" s="333"/>
      <c r="BF5666" s="330"/>
      <c r="BG5666" s="333"/>
      <c r="BH5666" s="1119"/>
      <c r="BI5666" s="319"/>
      <c r="BJ5666" s="319"/>
      <c r="BK5666" s="319"/>
      <c r="BL5666" s="319"/>
      <c r="BM5666" s="319"/>
      <c r="BN5666" s="319"/>
      <c r="BO5666" s="319"/>
      <c r="BP5666" s="953"/>
      <c r="BQ5666" s="319"/>
      <c r="BR5666" s="319"/>
      <c r="BS5666" s="330"/>
      <c r="BT5666" s="331"/>
      <c r="BU5666" s="920"/>
      <c r="BV5666" s="903"/>
      <c r="BW5666" s="908"/>
      <c r="BX5666" s="908"/>
      <c r="BY5666" s="331"/>
      <c r="BZ5666" s="331"/>
      <c r="CA5666" s="462"/>
      <c r="CB5666" s="319"/>
      <c r="CC5666" s="319"/>
      <c r="CD5666" s="319"/>
      <c r="CE5666" s="319"/>
      <c r="CF5666" s="319"/>
      <c r="CG5666" s="319"/>
      <c r="CH5666" s="318"/>
      <c r="CI5666" s="319"/>
      <c r="CJ5666" s="319"/>
      <c r="CK5666" s="342"/>
      <c r="CL5666" s="333"/>
      <c r="CM5666" s="1079"/>
      <c r="CN5666" s="1005"/>
      <c r="CO5666" s="1005"/>
      <c r="CP5666" s="1005"/>
    </row>
    <row r="5667">
      <c r="A5667" s="1257"/>
      <c r="B5667" s="1113"/>
      <c r="C5667" s="1107"/>
      <c r="D5667" s="103"/>
      <c r="E5667" s="1137"/>
      <c r="F5667" s="112"/>
      <c r="G5667" s="1110"/>
      <c r="H5667" s="1138"/>
      <c r="I5667" s="1138"/>
      <c r="J5667" s="1139"/>
      <c r="K5667" s="1111"/>
      <c r="L5667" s="1112"/>
      <c r="M5667" s="1113"/>
      <c r="N5667" s="110"/>
      <c r="O5667" s="1140"/>
      <c r="P5667" s="1115"/>
      <c r="Q5667" s="1116"/>
      <c r="R5667" s="1141"/>
      <c r="S5667" s="1113"/>
      <c r="T5667" s="1143"/>
      <c r="U5667" s="1108"/>
      <c r="V5667" s="1108"/>
      <c r="W5667" s="1108"/>
      <c r="X5667" s="1108"/>
      <c r="Y5667" s="1108"/>
      <c r="Z5667" s="1114"/>
      <c r="AA5667" s="1114"/>
      <c r="AB5667" s="1114"/>
      <c r="AC5667" s="1117"/>
      <c r="AD5667" s="1115"/>
      <c r="AE5667" s="1115"/>
      <c r="AF5667" s="1115"/>
      <c r="AG5667" s="1115"/>
      <c r="AH5667" s="1115"/>
      <c r="AI5667" s="1115"/>
      <c r="AJ5667" s="1117"/>
      <c r="AK5667" s="1118"/>
      <c r="AL5667" s="1115"/>
      <c r="AM5667" s="1115"/>
      <c r="AN5667" s="1115"/>
      <c r="AO5667" s="1115"/>
      <c r="AP5667" s="1115"/>
      <c r="AQ5667" s="1115"/>
      <c r="AR5667" s="1115"/>
      <c r="AS5667" s="1117"/>
      <c r="AT5667" s="1075"/>
      <c r="AU5667" s="1193"/>
      <c r="AV5667" s="330"/>
      <c r="AW5667" s="331"/>
      <c r="AX5667" s="331"/>
      <c r="AY5667" s="331"/>
      <c r="AZ5667" s="331"/>
      <c r="BA5667" s="331"/>
      <c r="BB5667" s="331"/>
      <c r="BC5667" s="331"/>
      <c r="BD5667" s="331"/>
      <c r="BE5667" s="333"/>
      <c r="BF5667" s="330"/>
      <c r="BG5667" s="333"/>
      <c r="BH5667" s="1119"/>
      <c r="BI5667" s="319"/>
      <c r="BJ5667" s="319"/>
      <c r="BK5667" s="319"/>
      <c r="BL5667" s="319"/>
      <c r="BM5667" s="319"/>
      <c r="BN5667" s="319"/>
      <c r="BO5667" s="319"/>
      <c r="BP5667" s="953"/>
      <c r="BQ5667" s="319"/>
      <c r="BR5667" s="319"/>
      <c r="BS5667" s="330"/>
      <c r="BT5667" s="331"/>
      <c r="BU5667" s="920"/>
      <c r="BV5667" s="903"/>
      <c r="BW5667" s="908"/>
      <c r="BX5667" s="908"/>
      <c r="BY5667" s="331"/>
      <c r="BZ5667" s="331"/>
      <c r="CA5667" s="462"/>
      <c r="CB5667" s="319"/>
      <c r="CC5667" s="319"/>
      <c r="CD5667" s="319"/>
      <c r="CE5667" s="319"/>
      <c r="CF5667" s="319"/>
      <c r="CG5667" s="319"/>
      <c r="CH5667" s="318"/>
      <c r="CI5667" s="319"/>
      <c r="CJ5667" s="319"/>
      <c r="CK5667" s="342"/>
      <c r="CL5667" s="333"/>
      <c r="CM5667" s="1079"/>
      <c r="CN5667" s="1005"/>
      <c r="CO5667" s="1005"/>
      <c r="CP5667" s="1005"/>
    </row>
    <row r="5668">
      <c r="A5668" s="1257"/>
      <c r="B5668" s="1113"/>
      <c r="C5668" s="1107"/>
      <c r="D5668" s="103"/>
      <c r="E5668" s="1137"/>
      <c r="F5668" s="112"/>
      <c r="G5668" s="1110"/>
      <c r="H5668" s="1138"/>
      <c r="I5668" s="1138"/>
      <c r="J5668" s="1139"/>
      <c r="K5668" s="1111"/>
      <c r="L5668" s="1112"/>
      <c r="M5668" s="1113"/>
      <c r="N5668" s="110"/>
      <c r="O5668" s="1140"/>
      <c r="P5668" s="1115"/>
      <c r="Q5668" s="1116"/>
      <c r="R5668" s="1141"/>
      <c r="S5668" s="1113"/>
      <c r="T5668" s="1143"/>
      <c r="U5668" s="1108"/>
      <c r="V5668" s="1108"/>
      <c r="W5668" s="1108"/>
      <c r="X5668" s="1108"/>
      <c r="Y5668" s="1108"/>
      <c r="Z5668" s="1114"/>
      <c r="AA5668" s="1114"/>
      <c r="AB5668" s="1114"/>
      <c r="AC5668" s="1117"/>
      <c r="AD5668" s="1115"/>
      <c r="AE5668" s="1115"/>
      <c r="AF5668" s="1115"/>
      <c r="AG5668" s="1115"/>
      <c r="AH5668" s="1115"/>
      <c r="AI5668" s="1115"/>
      <c r="AJ5668" s="1117"/>
      <c r="AK5668" s="1118"/>
      <c r="AL5668" s="1115"/>
      <c r="AM5668" s="1115"/>
      <c r="AN5668" s="1115"/>
      <c r="AO5668" s="1115"/>
      <c r="AP5668" s="1115"/>
      <c r="AQ5668" s="1115"/>
      <c r="AR5668" s="1115"/>
      <c r="AS5668" s="1117"/>
      <c r="AT5668" s="1075"/>
      <c r="AU5668" s="1193"/>
      <c r="AV5668" s="330"/>
      <c r="AW5668" s="331"/>
      <c r="AX5668" s="331"/>
      <c r="AY5668" s="331"/>
      <c r="AZ5668" s="331"/>
      <c r="BA5668" s="331"/>
      <c r="BB5668" s="331"/>
      <c r="BC5668" s="331"/>
      <c r="BD5668" s="331"/>
      <c r="BE5668" s="333"/>
      <c r="BF5668" s="330"/>
      <c r="BG5668" s="333"/>
      <c r="BH5668" s="1119"/>
      <c r="BI5668" s="319"/>
      <c r="BJ5668" s="319"/>
      <c r="BK5668" s="319"/>
      <c r="BL5668" s="319"/>
      <c r="BM5668" s="319"/>
      <c r="BN5668" s="319"/>
      <c r="BO5668" s="319"/>
      <c r="BP5668" s="953"/>
      <c r="BQ5668" s="319"/>
      <c r="BR5668" s="319"/>
      <c r="BS5668" s="330"/>
      <c r="BT5668" s="331"/>
      <c r="BU5668" s="920"/>
      <c r="BV5668" s="903"/>
      <c r="BW5668" s="908"/>
      <c r="BX5668" s="908"/>
      <c r="BY5668" s="331"/>
      <c r="BZ5668" s="331"/>
      <c r="CA5668" s="462"/>
      <c r="CB5668" s="319"/>
      <c r="CC5668" s="319"/>
      <c r="CD5668" s="319"/>
      <c r="CE5668" s="319"/>
      <c r="CF5668" s="319"/>
      <c r="CG5668" s="319"/>
      <c r="CH5668" s="318"/>
      <c r="CI5668" s="319"/>
      <c r="CJ5668" s="319"/>
      <c r="CK5668" s="342"/>
      <c r="CL5668" s="333"/>
      <c r="CM5668" s="1079"/>
      <c r="CN5668" s="1005"/>
      <c r="CO5668" s="1005"/>
      <c r="CP5668" s="1005"/>
    </row>
    <row r="5669">
      <c r="A5669" s="1257"/>
      <c r="B5669" s="1113"/>
      <c r="C5669" s="1107"/>
      <c r="D5669" s="103"/>
      <c r="E5669" s="1137"/>
      <c r="F5669" s="112"/>
      <c r="G5669" s="1110"/>
      <c r="H5669" s="1138"/>
      <c r="I5669" s="1138"/>
      <c r="J5669" s="1139"/>
      <c r="K5669" s="1111"/>
      <c r="L5669" s="1112"/>
      <c r="M5669" s="1113"/>
      <c r="N5669" s="110"/>
      <c r="O5669" s="1140"/>
      <c r="P5669" s="1115"/>
      <c r="Q5669" s="1116"/>
      <c r="R5669" s="1141"/>
      <c r="S5669" s="1113"/>
      <c r="T5669" s="1143"/>
      <c r="U5669" s="1108"/>
      <c r="V5669" s="1108"/>
      <c r="W5669" s="1108"/>
      <c r="X5669" s="1108"/>
      <c r="Y5669" s="1108"/>
      <c r="Z5669" s="1114"/>
      <c r="AA5669" s="1114"/>
      <c r="AB5669" s="1114"/>
      <c r="AC5669" s="1117"/>
      <c r="AD5669" s="1115"/>
      <c r="AE5669" s="1115"/>
      <c r="AF5669" s="1115"/>
      <c r="AG5669" s="1115"/>
      <c r="AH5669" s="1115"/>
      <c r="AI5669" s="1115"/>
      <c r="AJ5669" s="1117"/>
      <c r="AK5669" s="1118"/>
      <c r="AL5669" s="1115"/>
      <c r="AM5669" s="1115"/>
      <c r="AN5669" s="1115"/>
      <c r="AO5669" s="1115"/>
      <c r="AP5669" s="1115"/>
      <c r="AQ5669" s="1115"/>
      <c r="AR5669" s="1115"/>
      <c r="AS5669" s="1117"/>
      <c r="AT5669" s="1075"/>
      <c r="AU5669" s="1193"/>
      <c r="AV5669" s="330"/>
      <c r="AW5669" s="331"/>
      <c r="AX5669" s="331"/>
      <c r="AY5669" s="331"/>
      <c r="AZ5669" s="331"/>
      <c r="BA5669" s="331"/>
      <c r="BB5669" s="331"/>
      <c r="BC5669" s="331"/>
      <c r="BD5669" s="331"/>
      <c r="BE5669" s="333"/>
      <c r="BF5669" s="330"/>
      <c r="BG5669" s="333"/>
      <c r="BH5669" s="1119"/>
      <c r="BI5669" s="319"/>
      <c r="BJ5669" s="319"/>
      <c r="BK5669" s="319"/>
      <c r="BL5669" s="319"/>
      <c r="BM5669" s="319"/>
      <c r="BN5669" s="319"/>
      <c r="BO5669" s="319"/>
      <c r="BP5669" s="953"/>
      <c r="BQ5669" s="319"/>
      <c r="BR5669" s="319"/>
      <c r="BS5669" s="330"/>
      <c r="BT5669" s="331"/>
      <c r="BU5669" s="920"/>
      <c r="BV5669" s="903"/>
      <c r="BW5669" s="908"/>
      <c r="BX5669" s="908"/>
      <c r="BY5669" s="331"/>
      <c r="BZ5669" s="331"/>
      <c r="CA5669" s="462"/>
      <c r="CB5669" s="319"/>
      <c r="CC5669" s="319"/>
      <c r="CD5669" s="319"/>
      <c r="CE5669" s="319"/>
      <c r="CF5669" s="319"/>
      <c r="CG5669" s="319"/>
      <c r="CH5669" s="318"/>
      <c r="CI5669" s="319"/>
      <c r="CJ5669" s="319"/>
      <c r="CK5669" s="342"/>
      <c r="CL5669" s="333"/>
      <c r="CM5669" s="1079"/>
      <c r="CN5669" s="1005"/>
      <c r="CO5669" s="1005"/>
      <c r="CP5669" s="1005"/>
    </row>
    <row r="5670">
      <c r="A5670" s="1257"/>
      <c r="B5670" s="1113"/>
      <c r="C5670" s="1107"/>
      <c r="D5670" s="103"/>
      <c r="E5670" s="1137"/>
      <c r="F5670" s="112"/>
      <c r="G5670" s="1110"/>
      <c r="H5670" s="1138"/>
      <c r="I5670" s="1138"/>
      <c r="J5670" s="1139"/>
      <c r="K5670" s="1111"/>
      <c r="L5670" s="1112"/>
      <c r="M5670" s="1113"/>
      <c r="N5670" s="110"/>
      <c r="O5670" s="1140"/>
      <c r="P5670" s="1115"/>
      <c r="Q5670" s="1116"/>
      <c r="R5670" s="1141"/>
      <c r="S5670" s="1113"/>
      <c r="T5670" s="1143"/>
      <c r="U5670" s="1108"/>
      <c r="V5670" s="1108"/>
      <c r="W5670" s="1108"/>
      <c r="X5670" s="1108"/>
      <c r="Y5670" s="1108"/>
      <c r="Z5670" s="1114"/>
      <c r="AA5670" s="1114"/>
      <c r="AB5670" s="1114"/>
      <c r="AC5670" s="1117"/>
      <c r="AD5670" s="1115"/>
      <c r="AE5670" s="1115"/>
      <c r="AF5670" s="1115"/>
      <c r="AG5670" s="1115"/>
      <c r="AH5670" s="1115"/>
      <c r="AI5670" s="1115"/>
      <c r="AJ5670" s="1117"/>
      <c r="AK5670" s="1118"/>
      <c r="AL5670" s="1115"/>
      <c r="AM5670" s="1115"/>
      <c r="AN5670" s="1115"/>
      <c r="AO5670" s="1115"/>
      <c r="AP5670" s="1115"/>
      <c r="AQ5670" s="1115"/>
      <c r="AR5670" s="1115"/>
      <c r="AS5670" s="1117"/>
      <c r="AT5670" s="1075"/>
      <c r="AU5670" s="1193"/>
      <c r="AV5670" s="330"/>
      <c r="AW5670" s="331"/>
      <c r="AX5670" s="331"/>
      <c r="AY5670" s="331"/>
      <c r="AZ5670" s="331"/>
      <c r="BA5670" s="331"/>
      <c r="BB5670" s="331"/>
      <c r="BC5670" s="331"/>
      <c r="BD5670" s="331"/>
      <c r="BE5670" s="333"/>
      <c r="BF5670" s="330"/>
      <c r="BG5670" s="333"/>
      <c r="BH5670" s="1119"/>
      <c r="BI5670" s="319"/>
      <c r="BJ5670" s="319"/>
      <c r="BK5670" s="319"/>
      <c r="BL5670" s="319"/>
      <c r="BM5670" s="319"/>
      <c r="BN5670" s="319"/>
      <c r="BO5670" s="319"/>
      <c r="BP5670" s="953"/>
      <c r="BQ5670" s="319"/>
      <c r="BR5670" s="319"/>
      <c r="BS5670" s="330"/>
      <c r="BT5670" s="331"/>
      <c r="BU5670" s="920"/>
      <c r="BV5670" s="903"/>
      <c r="BW5670" s="908"/>
      <c r="BX5670" s="908"/>
      <c r="BY5670" s="331"/>
      <c r="BZ5670" s="331"/>
      <c r="CA5670" s="462"/>
      <c r="CB5670" s="319"/>
      <c r="CC5670" s="319"/>
      <c r="CD5670" s="319"/>
      <c r="CE5670" s="319"/>
      <c r="CF5670" s="319"/>
      <c r="CG5670" s="319"/>
      <c r="CH5670" s="318"/>
      <c r="CI5670" s="319"/>
      <c r="CJ5670" s="319"/>
      <c r="CK5670" s="342"/>
      <c r="CL5670" s="333"/>
      <c r="CM5670" s="1079"/>
      <c r="CN5670" s="1005"/>
      <c r="CO5670" s="1005"/>
      <c r="CP5670" s="1005"/>
    </row>
    <row r="5671">
      <c r="A5671" s="1257"/>
      <c r="B5671" s="1113"/>
      <c r="C5671" s="1107"/>
      <c r="D5671" s="103"/>
      <c r="E5671" s="1137"/>
      <c r="F5671" s="112"/>
      <c r="G5671" s="1110"/>
      <c r="H5671" s="1138"/>
      <c r="I5671" s="1138"/>
      <c r="J5671" s="1139"/>
      <c r="K5671" s="1111"/>
      <c r="L5671" s="1112"/>
      <c r="M5671" s="1113"/>
      <c r="N5671" s="110"/>
      <c r="O5671" s="1140"/>
      <c r="P5671" s="1115"/>
      <c r="Q5671" s="1116"/>
      <c r="R5671" s="1141"/>
      <c r="S5671" s="1113"/>
      <c r="T5671" s="1143"/>
      <c r="U5671" s="1108"/>
      <c r="V5671" s="1108"/>
      <c r="W5671" s="1108"/>
      <c r="X5671" s="1108"/>
      <c r="Y5671" s="1108"/>
      <c r="Z5671" s="1114"/>
      <c r="AA5671" s="1114"/>
      <c r="AB5671" s="1114"/>
      <c r="AC5671" s="1117"/>
      <c r="AD5671" s="1115"/>
      <c r="AE5671" s="1115"/>
      <c r="AF5671" s="1115"/>
      <c r="AG5671" s="1115"/>
      <c r="AH5671" s="1115"/>
      <c r="AI5671" s="1115"/>
      <c r="AJ5671" s="1117"/>
      <c r="AK5671" s="1118"/>
      <c r="AL5671" s="1115"/>
      <c r="AM5671" s="1115"/>
      <c r="AN5671" s="1115"/>
      <c r="AO5671" s="1115"/>
      <c r="AP5671" s="1115"/>
      <c r="AQ5671" s="1115"/>
      <c r="AR5671" s="1115"/>
      <c r="AS5671" s="1117"/>
      <c r="AT5671" s="1075"/>
      <c r="AU5671" s="1193"/>
      <c r="AV5671" s="330"/>
      <c r="AW5671" s="331"/>
      <c r="AX5671" s="331"/>
      <c r="AY5671" s="331"/>
      <c r="AZ5671" s="331"/>
      <c r="BA5671" s="331"/>
      <c r="BB5671" s="331"/>
      <c r="BC5671" s="331"/>
      <c r="BD5671" s="331"/>
      <c r="BE5671" s="333"/>
      <c r="BF5671" s="330"/>
      <c r="BG5671" s="333"/>
      <c r="BH5671" s="1119"/>
      <c r="BI5671" s="319"/>
      <c r="BJ5671" s="319"/>
      <c r="BK5671" s="319"/>
      <c r="BL5671" s="319"/>
      <c r="BM5671" s="319"/>
      <c r="BN5671" s="319"/>
      <c r="BO5671" s="319"/>
      <c r="BP5671" s="953"/>
      <c r="BQ5671" s="319"/>
      <c r="BR5671" s="319"/>
      <c r="BS5671" s="330"/>
      <c r="BT5671" s="331"/>
      <c r="BU5671" s="920"/>
      <c r="BV5671" s="903"/>
      <c r="BW5671" s="908"/>
      <c r="BX5671" s="908"/>
      <c r="BY5671" s="331"/>
      <c r="BZ5671" s="331"/>
      <c r="CA5671" s="462"/>
      <c r="CB5671" s="319"/>
      <c r="CC5671" s="319"/>
      <c r="CD5671" s="319"/>
      <c r="CE5671" s="319"/>
      <c r="CF5671" s="319"/>
      <c r="CG5671" s="319"/>
      <c r="CH5671" s="318"/>
      <c r="CI5671" s="319"/>
      <c r="CJ5671" s="319"/>
      <c r="CK5671" s="342"/>
      <c r="CL5671" s="333"/>
      <c r="CM5671" s="1079"/>
      <c r="CN5671" s="1005"/>
      <c r="CO5671" s="1005"/>
      <c r="CP5671" s="1005"/>
    </row>
    <row r="5672">
      <c r="A5672" s="1257"/>
      <c r="B5672" s="1113"/>
      <c r="C5672" s="1107"/>
      <c r="D5672" s="103"/>
      <c r="E5672" s="1137"/>
      <c r="F5672" s="112"/>
      <c r="G5672" s="1110"/>
      <c r="H5672" s="1138"/>
      <c r="I5672" s="1138"/>
      <c r="J5672" s="1139"/>
      <c r="K5672" s="1111"/>
      <c r="L5672" s="1112"/>
      <c r="M5672" s="1113"/>
      <c r="N5672" s="110"/>
      <c r="O5672" s="1140"/>
      <c r="P5672" s="1115"/>
      <c r="Q5672" s="1116"/>
      <c r="R5672" s="1141"/>
      <c r="S5672" s="1113"/>
      <c r="T5672" s="1143"/>
      <c r="U5672" s="1108"/>
      <c r="V5672" s="1108"/>
      <c r="W5672" s="1108"/>
      <c r="X5672" s="1108"/>
      <c r="Y5672" s="1108"/>
      <c r="Z5672" s="1114"/>
      <c r="AA5672" s="1114"/>
      <c r="AB5672" s="1114"/>
      <c r="AC5672" s="1117"/>
      <c r="AD5672" s="1115"/>
      <c r="AE5672" s="1115"/>
      <c r="AF5672" s="1115"/>
      <c r="AG5672" s="1115"/>
      <c r="AH5672" s="1115"/>
      <c r="AI5672" s="1115"/>
      <c r="AJ5672" s="1117"/>
      <c r="AK5672" s="1118"/>
      <c r="AL5672" s="1115"/>
      <c r="AM5672" s="1115"/>
      <c r="AN5672" s="1115"/>
      <c r="AO5672" s="1115"/>
      <c r="AP5672" s="1115"/>
      <c r="AQ5672" s="1115"/>
      <c r="AR5672" s="1115"/>
      <c r="AS5672" s="1117"/>
      <c r="AT5672" s="1075"/>
      <c r="AU5672" s="1193"/>
      <c r="AV5672" s="330"/>
      <c r="AW5672" s="331"/>
      <c r="AX5672" s="331"/>
      <c r="AY5672" s="331"/>
      <c r="AZ5672" s="331"/>
      <c r="BA5672" s="331"/>
      <c r="BB5672" s="331"/>
      <c r="BC5672" s="331"/>
      <c r="BD5672" s="331"/>
      <c r="BE5672" s="333"/>
      <c r="BF5672" s="330"/>
      <c r="BG5672" s="333"/>
      <c r="BH5672" s="1119"/>
      <c r="BI5672" s="319"/>
      <c r="BJ5672" s="319"/>
      <c r="BK5672" s="319"/>
      <c r="BL5672" s="319"/>
      <c r="BM5672" s="319"/>
      <c r="BN5672" s="319"/>
      <c r="BO5672" s="319"/>
      <c r="BP5672" s="953"/>
      <c r="BQ5672" s="319"/>
      <c r="BR5672" s="319"/>
      <c r="BS5672" s="330"/>
      <c r="BT5672" s="331"/>
      <c r="BU5672" s="920"/>
      <c r="BV5672" s="903"/>
      <c r="BW5672" s="908"/>
      <c r="BX5672" s="908"/>
      <c r="BY5672" s="331"/>
      <c r="BZ5672" s="331"/>
      <c r="CA5672" s="462"/>
      <c r="CB5672" s="319"/>
      <c r="CC5672" s="319"/>
      <c r="CD5672" s="319"/>
      <c r="CE5672" s="319"/>
      <c r="CF5672" s="319"/>
      <c r="CG5672" s="319"/>
      <c r="CH5672" s="318"/>
      <c r="CI5672" s="319"/>
      <c r="CJ5672" s="319"/>
      <c r="CK5672" s="342"/>
      <c r="CL5672" s="333"/>
      <c r="CM5672" s="1079"/>
      <c r="CN5672" s="1005"/>
      <c r="CO5672" s="1005"/>
      <c r="CP5672" s="1005"/>
    </row>
    <row r="5673">
      <c r="A5673" s="1257"/>
      <c r="B5673" s="1113"/>
      <c r="C5673" s="1107"/>
      <c r="D5673" s="103"/>
      <c r="E5673" s="1137"/>
      <c r="F5673" s="112"/>
      <c r="G5673" s="1110"/>
      <c r="H5673" s="1138"/>
      <c r="I5673" s="1138"/>
      <c r="J5673" s="1139"/>
      <c r="K5673" s="1111"/>
      <c r="L5673" s="1112"/>
      <c r="M5673" s="1113"/>
      <c r="N5673" s="110"/>
      <c r="O5673" s="1140"/>
      <c r="P5673" s="1115"/>
      <c r="Q5673" s="1116"/>
      <c r="R5673" s="1141"/>
      <c r="S5673" s="1113"/>
      <c r="T5673" s="1143"/>
      <c r="U5673" s="1108"/>
      <c r="V5673" s="1108"/>
      <c r="W5673" s="1108"/>
      <c r="X5673" s="1108"/>
      <c r="Y5673" s="1108"/>
      <c r="Z5673" s="1114"/>
      <c r="AA5673" s="1114"/>
      <c r="AB5673" s="1114"/>
      <c r="AC5673" s="1117"/>
      <c r="AD5673" s="1115"/>
      <c r="AE5673" s="1115"/>
      <c r="AF5673" s="1115"/>
      <c r="AG5673" s="1115"/>
      <c r="AH5673" s="1115"/>
      <c r="AI5673" s="1115"/>
      <c r="AJ5673" s="1117"/>
      <c r="AK5673" s="1118"/>
      <c r="AL5673" s="1115"/>
      <c r="AM5673" s="1115"/>
      <c r="AN5673" s="1115"/>
      <c r="AO5673" s="1115"/>
      <c r="AP5673" s="1115"/>
      <c r="AQ5673" s="1115"/>
      <c r="AR5673" s="1115"/>
      <c r="AS5673" s="1117"/>
      <c r="AT5673" s="1075"/>
      <c r="AU5673" s="1193"/>
      <c r="AV5673" s="330"/>
      <c r="AW5673" s="331"/>
      <c r="AX5673" s="331"/>
      <c r="AY5673" s="331"/>
      <c r="AZ5673" s="331"/>
      <c r="BA5673" s="331"/>
      <c r="BB5673" s="331"/>
      <c r="BC5673" s="331"/>
      <c r="BD5673" s="331"/>
      <c r="BE5673" s="333"/>
      <c r="BF5673" s="330"/>
      <c r="BG5673" s="333"/>
      <c r="BH5673" s="1119"/>
      <c r="BI5673" s="319"/>
      <c r="BJ5673" s="319"/>
      <c r="BK5673" s="319"/>
      <c r="BL5673" s="319"/>
      <c r="BM5673" s="319"/>
      <c r="BN5673" s="319"/>
      <c r="BO5673" s="319"/>
      <c r="BP5673" s="953"/>
      <c r="BQ5673" s="319"/>
      <c r="BR5673" s="319"/>
      <c r="BS5673" s="330"/>
      <c r="BT5673" s="331"/>
      <c r="BU5673" s="920"/>
      <c r="BV5673" s="903"/>
      <c r="BW5673" s="908"/>
      <c r="BX5673" s="908"/>
      <c r="BY5673" s="331"/>
      <c r="BZ5673" s="331"/>
      <c r="CA5673" s="462"/>
      <c r="CB5673" s="319"/>
      <c r="CC5673" s="319"/>
      <c r="CD5673" s="319"/>
      <c r="CE5673" s="319"/>
      <c r="CF5673" s="319"/>
      <c r="CG5673" s="319"/>
      <c r="CH5673" s="318"/>
      <c r="CI5673" s="319"/>
      <c r="CJ5673" s="319"/>
      <c r="CK5673" s="342"/>
      <c r="CL5673" s="333"/>
      <c r="CM5673" s="1079"/>
      <c r="CN5673" s="1005"/>
      <c r="CO5673" s="1005"/>
      <c r="CP5673" s="1005"/>
    </row>
    <row r="5674">
      <c r="A5674" s="1257"/>
      <c r="B5674" s="1113"/>
      <c r="C5674" s="1107"/>
      <c r="D5674" s="103"/>
      <c r="E5674" s="1137"/>
      <c r="F5674" s="112"/>
      <c r="G5674" s="1110"/>
      <c r="H5674" s="1138"/>
      <c r="I5674" s="1138"/>
      <c r="J5674" s="1139"/>
      <c r="K5674" s="1111"/>
      <c r="L5674" s="1112"/>
      <c r="M5674" s="1113"/>
      <c r="N5674" s="110"/>
      <c r="O5674" s="1140"/>
      <c r="P5674" s="1115"/>
      <c r="Q5674" s="1116"/>
      <c r="R5674" s="1141"/>
      <c r="S5674" s="1113"/>
      <c r="T5674" s="1143"/>
      <c r="U5674" s="1108"/>
      <c r="V5674" s="1108"/>
      <c r="W5674" s="1108"/>
      <c r="X5674" s="1108"/>
      <c r="Y5674" s="1108"/>
      <c r="Z5674" s="1114"/>
      <c r="AA5674" s="1114"/>
      <c r="AB5674" s="1114"/>
      <c r="AC5674" s="1117"/>
      <c r="AD5674" s="1115"/>
      <c r="AE5674" s="1115"/>
      <c r="AF5674" s="1115"/>
      <c r="AG5674" s="1115"/>
      <c r="AH5674" s="1115"/>
      <c r="AI5674" s="1115"/>
      <c r="AJ5674" s="1117"/>
      <c r="AK5674" s="1118"/>
      <c r="AL5674" s="1115"/>
      <c r="AM5674" s="1115"/>
      <c r="AN5674" s="1115"/>
      <c r="AO5674" s="1115"/>
      <c r="AP5674" s="1115"/>
      <c r="AQ5674" s="1115"/>
      <c r="AR5674" s="1115"/>
      <c r="AS5674" s="1117"/>
      <c r="AT5674" s="1075"/>
      <c r="AU5674" s="1193"/>
      <c r="AV5674" s="330"/>
      <c r="AW5674" s="331"/>
      <c r="AX5674" s="331"/>
      <c r="AY5674" s="331"/>
      <c r="AZ5674" s="331"/>
      <c r="BA5674" s="331"/>
      <c r="BB5674" s="331"/>
      <c r="BC5674" s="331"/>
      <c r="BD5674" s="331"/>
      <c r="BE5674" s="333"/>
      <c r="BF5674" s="330"/>
      <c r="BG5674" s="333"/>
      <c r="BH5674" s="1119"/>
      <c r="BI5674" s="319"/>
      <c r="BJ5674" s="319"/>
      <c r="BK5674" s="319"/>
      <c r="BL5674" s="319"/>
      <c r="BM5674" s="319"/>
      <c r="BN5674" s="319"/>
      <c r="BO5674" s="319"/>
      <c r="BP5674" s="953"/>
      <c r="BQ5674" s="319"/>
      <c r="BR5674" s="319"/>
      <c r="BS5674" s="330"/>
      <c r="BT5674" s="331"/>
      <c r="BU5674" s="920"/>
      <c r="BV5674" s="903"/>
      <c r="BW5674" s="908"/>
      <c r="BX5674" s="908"/>
      <c r="BY5674" s="331"/>
      <c r="BZ5674" s="331"/>
      <c r="CA5674" s="462"/>
      <c r="CB5674" s="319"/>
      <c r="CC5674" s="319"/>
      <c r="CD5674" s="319"/>
      <c r="CE5674" s="319"/>
      <c r="CF5674" s="319"/>
      <c r="CG5674" s="319"/>
      <c r="CH5674" s="318"/>
      <c r="CI5674" s="319"/>
      <c r="CJ5674" s="319"/>
      <c r="CK5674" s="342"/>
      <c r="CL5674" s="333"/>
      <c r="CM5674" s="1079"/>
      <c r="CN5674" s="1005"/>
      <c r="CO5674" s="1005"/>
      <c r="CP5674" s="1005"/>
    </row>
    <row r="5675">
      <c r="A5675" s="1257"/>
      <c r="B5675" s="1113"/>
      <c r="C5675" s="1107"/>
      <c r="D5675" s="103"/>
      <c r="E5675" s="1137"/>
      <c r="F5675" s="112"/>
      <c r="G5675" s="1110"/>
      <c r="H5675" s="1138"/>
      <c r="I5675" s="1138"/>
      <c r="J5675" s="1139"/>
      <c r="K5675" s="1111"/>
      <c r="L5675" s="1112"/>
      <c r="M5675" s="1113"/>
      <c r="N5675" s="110"/>
      <c r="O5675" s="1140"/>
      <c r="P5675" s="1115"/>
      <c r="Q5675" s="1116"/>
      <c r="R5675" s="1141"/>
      <c r="S5675" s="1113"/>
      <c r="T5675" s="1143"/>
      <c r="U5675" s="1108"/>
      <c r="V5675" s="1108"/>
      <c r="W5675" s="1108"/>
      <c r="X5675" s="1108"/>
      <c r="Y5675" s="1108"/>
      <c r="Z5675" s="1114"/>
      <c r="AA5675" s="1114"/>
      <c r="AB5675" s="1114"/>
      <c r="AC5675" s="1117"/>
      <c r="AD5675" s="1115"/>
      <c r="AE5675" s="1115"/>
      <c r="AF5675" s="1115"/>
      <c r="AG5675" s="1115"/>
      <c r="AH5675" s="1115"/>
      <c r="AI5675" s="1115"/>
      <c r="AJ5675" s="1117"/>
      <c r="AK5675" s="1118"/>
      <c r="AL5675" s="1115"/>
      <c r="AM5675" s="1115"/>
      <c r="AN5675" s="1115"/>
      <c r="AO5675" s="1115"/>
      <c r="AP5675" s="1115"/>
      <c r="AQ5675" s="1115"/>
      <c r="AR5675" s="1115"/>
      <c r="AS5675" s="1117"/>
      <c r="AT5675" s="1075"/>
      <c r="AU5675" s="1193"/>
      <c r="AV5675" s="330"/>
      <c r="AW5675" s="331"/>
      <c r="AX5675" s="331"/>
      <c r="AY5675" s="331"/>
      <c r="AZ5675" s="331"/>
      <c r="BA5675" s="331"/>
      <c r="BB5675" s="331"/>
      <c r="BC5675" s="331"/>
      <c r="BD5675" s="331"/>
      <c r="BE5675" s="333"/>
      <c r="BF5675" s="330"/>
      <c r="BG5675" s="333"/>
      <c r="BH5675" s="1119"/>
      <c r="BI5675" s="319"/>
      <c r="BJ5675" s="319"/>
      <c r="BK5675" s="319"/>
      <c r="BL5675" s="319"/>
      <c r="BM5675" s="319"/>
      <c r="BN5675" s="319"/>
      <c r="BO5675" s="319"/>
      <c r="BP5675" s="953"/>
      <c r="BQ5675" s="319"/>
      <c r="BR5675" s="319"/>
      <c r="BS5675" s="330"/>
      <c r="BT5675" s="331"/>
      <c r="BU5675" s="920"/>
      <c r="BV5675" s="903"/>
      <c r="BW5675" s="908"/>
      <c r="BX5675" s="908"/>
      <c r="BY5675" s="331"/>
      <c r="BZ5675" s="331"/>
      <c r="CA5675" s="462"/>
      <c r="CB5675" s="319"/>
      <c r="CC5675" s="319"/>
      <c r="CD5675" s="319"/>
      <c r="CE5675" s="319"/>
      <c r="CF5675" s="319"/>
      <c r="CG5675" s="319"/>
      <c r="CH5675" s="318"/>
      <c r="CI5675" s="319"/>
      <c r="CJ5675" s="319"/>
      <c r="CK5675" s="342"/>
      <c r="CL5675" s="333"/>
      <c r="CM5675" s="1079"/>
      <c r="CN5675" s="1005"/>
      <c r="CO5675" s="1005"/>
      <c r="CP5675" s="1005"/>
    </row>
    <row r="5676">
      <c r="A5676" s="1257"/>
      <c r="B5676" s="1113"/>
      <c r="C5676" s="1107"/>
      <c r="D5676" s="103"/>
      <c r="E5676" s="1137"/>
      <c r="F5676" s="112"/>
      <c r="G5676" s="1110"/>
      <c r="H5676" s="1138"/>
      <c r="I5676" s="1138"/>
      <c r="J5676" s="1139"/>
      <c r="K5676" s="1111"/>
      <c r="L5676" s="1112"/>
      <c r="M5676" s="1113"/>
      <c r="N5676" s="110"/>
      <c r="O5676" s="1140"/>
      <c r="P5676" s="1115"/>
      <c r="Q5676" s="1116"/>
      <c r="R5676" s="1141"/>
      <c r="S5676" s="1113"/>
      <c r="T5676" s="1143"/>
      <c r="U5676" s="1108"/>
      <c r="V5676" s="1108"/>
      <c r="W5676" s="1108"/>
      <c r="X5676" s="1108"/>
      <c r="Y5676" s="1108"/>
      <c r="Z5676" s="1114"/>
      <c r="AA5676" s="1114"/>
      <c r="AB5676" s="1114"/>
      <c r="AC5676" s="1117"/>
      <c r="AD5676" s="1115"/>
      <c r="AE5676" s="1115"/>
      <c r="AF5676" s="1115"/>
      <c r="AG5676" s="1115"/>
      <c r="AH5676" s="1115"/>
      <c r="AI5676" s="1115"/>
      <c r="AJ5676" s="1117"/>
      <c r="AK5676" s="1118"/>
      <c r="AL5676" s="1115"/>
      <c r="AM5676" s="1115"/>
      <c r="AN5676" s="1115"/>
      <c r="AO5676" s="1115"/>
      <c r="AP5676" s="1115"/>
      <c r="AQ5676" s="1115"/>
      <c r="AR5676" s="1115"/>
      <c r="AS5676" s="1117"/>
      <c r="AT5676" s="1075"/>
      <c r="AU5676" s="1193"/>
      <c r="AV5676" s="330"/>
      <c r="AW5676" s="331"/>
      <c r="AX5676" s="331"/>
      <c r="AY5676" s="331"/>
      <c r="AZ5676" s="331"/>
      <c r="BA5676" s="331"/>
      <c r="BB5676" s="331"/>
      <c r="BC5676" s="331"/>
      <c r="BD5676" s="331"/>
      <c r="BE5676" s="333"/>
      <c r="BF5676" s="330"/>
      <c r="BG5676" s="333"/>
      <c r="BH5676" s="1119"/>
      <c r="BI5676" s="319"/>
      <c r="BJ5676" s="319"/>
      <c r="BK5676" s="319"/>
      <c r="BL5676" s="319"/>
      <c r="BM5676" s="319"/>
      <c r="BN5676" s="319"/>
      <c r="BO5676" s="319"/>
      <c r="BP5676" s="953"/>
      <c r="BQ5676" s="319"/>
      <c r="BR5676" s="319"/>
      <c r="BS5676" s="330"/>
      <c r="BT5676" s="331"/>
      <c r="BU5676" s="920"/>
      <c r="BV5676" s="903"/>
      <c r="BW5676" s="908"/>
      <c r="BX5676" s="908"/>
      <c r="BY5676" s="331"/>
      <c r="BZ5676" s="331"/>
      <c r="CA5676" s="462"/>
      <c r="CB5676" s="319"/>
      <c r="CC5676" s="319"/>
      <c r="CD5676" s="319"/>
      <c r="CE5676" s="319"/>
      <c r="CF5676" s="319"/>
      <c r="CG5676" s="319"/>
      <c r="CH5676" s="318"/>
      <c r="CI5676" s="319"/>
      <c r="CJ5676" s="319"/>
      <c r="CK5676" s="342"/>
      <c r="CL5676" s="333"/>
      <c r="CM5676" s="1079"/>
      <c r="CN5676" s="1005"/>
      <c r="CO5676" s="1005"/>
      <c r="CP5676" s="1005"/>
    </row>
    <row r="5677">
      <c r="A5677" s="1257"/>
      <c r="B5677" s="1113"/>
      <c r="C5677" s="1107"/>
      <c r="D5677" s="103"/>
      <c r="E5677" s="1137"/>
      <c r="F5677" s="112"/>
      <c r="G5677" s="1110"/>
      <c r="H5677" s="1138"/>
      <c r="I5677" s="1138"/>
      <c r="J5677" s="1139"/>
      <c r="K5677" s="1111"/>
      <c r="L5677" s="1112"/>
      <c r="M5677" s="1113"/>
      <c r="N5677" s="110"/>
      <c r="O5677" s="1140"/>
      <c r="P5677" s="1115"/>
      <c r="Q5677" s="1116"/>
      <c r="R5677" s="1141"/>
      <c r="S5677" s="1113"/>
      <c r="T5677" s="1143"/>
      <c r="U5677" s="1108"/>
      <c r="V5677" s="1108"/>
      <c r="W5677" s="1108"/>
      <c r="X5677" s="1108"/>
      <c r="Y5677" s="1108"/>
      <c r="Z5677" s="1114"/>
      <c r="AA5677" s="1114"/>
      <c r="AB5677" s="1114"/>
      <c r="AC5677" s="1117"/>
      <c r="AD5677" s="1115"/>
      <c r="AE5677" s="1115"/>
      <c r="AF5677" s="1115"/>
      <c r="AG5677" s="1115"/>
      <c r="AH5677" s="1115"/>
      <c r="AI5677" s="1115"/>
      <c r="AJ5677" s="1117"/>
      <c r="AK5677" s="1118"/>
      <c r="AL5677" s="1115"/>
      <c r="AM5677" s="1115"/>
      <c r="AN5677" s="1115"/>
      <c r="AO5677" s="1115"/>
      <c r="AP5677" s="1115"/>
      <c r="AQ5677" s="1115"/>
      <c r="AR5677" s="1115"/>
      <c r="AS5677" s="1117"/>
      <c r="AT5677" s="1075"/>
      <c r="AU5677" s="1193"/>
      <c r="AV5677" s="330"/>
      <c r="AW5677" s="331"/>
      <c r="AX5677" s="331"/>
      <c r="AY5677" s="331"/>
      <c r="AZ5677" s="331"/>
      <c r="BA5677" s="331"/>
      <c r="BB5677" s="331"/>
      <c r="BC5677" s="331"/>
      <c r="BD5677" s="331"/>
      <c r="BE5677" s="333"/>
      <c r="BF5677" s="330"/>
      <c r="BG5677" s="333"/>
      <c r="BH5677" s="1119"/>
      <c r="BI5677" s="319"/>
      <c r="BJ5677" s="319"/>
      <c r="BK5677" s="319"/>
      <c r="BL5677" s="319"/>
      <c r="BM5677" s="319"/>
      <c r="BN5677" s="319"/>
      <c r="BO5677" s="319"/>
      <c r="BP5677" s="953"/>
      <c r="BQ5677" s="319"/>
      <c r="BR5677" s="319"/>
      <c r="BS5677" s="330"/>
      <c r="BT5677" s="331"/>
      <c r="BU5677" s="920"/>
      <c r="BV5677" s="903"/>
      <c r="BW5677" s="908"/>
      <c r="BX5677" s="908"/>
      <c r="BY5677" s="331"/>
      <c r="BZ5677" s="331"/>
      <c r="CA5677" s="462"/>
      <c r="CB5677" s="319"/>
      <c r="CC5677" s="319"/>
      <c r="CD5677" s="319"/>
      <c r="CE5677" s="319"/>
      <c r="CF5677" s="319"/>
      <c r="CG5677" s="319"/>
      <c r="CH5677" s="318"/>
      <c r="CI5677" s="319"/>
      <c r="CJ5677" s="319"/>
      <c r="CK5677" s="342"/>
      <c r="CL5677" s="333"/>
      <c r="CM5677" s="1079"/>
      <c r="CN5677" s="1005"/>
      <c r="CO5677" s="1005"/>
      <c r="CP5677" s="1005"/>
    </row>
    <row r="5678">
      <c r="A5678" s="1257"/>
      <c r="B5678" s="1113"/>
      <c r="C5678" s="1107"/>
      <c r="D5678" s="103"/>
      <c r="E5678" s="1137"/>
      <c r="F5678" s="112"/>
      <c r="G5678" s="1110"/>
      <c r="H5678" s="1138"/>
      <c r="I5678" s="1138"/>
      <c r="J5678" s="1139"/>
      <c r="K5678" s="1111"/>
      <c r="L5678" s="1112"/>
      <c r="M5678" s="1113"/>
      <c r="N5678" s="110"/>
      <c r="O5678" s="1140"/>
      <c r="P5678" s="1115"/>
      <c r="Q5678" s="1116"/>
      <c r="R5678" s="1141"/>
      <c r="S5678" s="1113"/>
      <c r="T5678" s="1143"/>
      <c r="U5678" s="1108"/>
      <c r="V5678" s="1108"/>
      <c r="W5678" s="1108"/>
      <c r="X5678" s="1108"/>
      <c r="Y5678" s="1108"/>
      <c r="Z5678" s="1114"/>
      <c r="AA5678" s="1114"/>
      <c r="AB5678" s="1114"/>
      <c r="AC5678" s="1117"/>
      <c r="AD5678" s="1115"/>
      <c r="AE5678" s="1115"/>
      <c r="AF5678" s="1115"/>
      <c r="AG5678" s="1115"/>
      <c r="AH5678" s="1115"/>
      <c r="AI5678" s="1115"/>
      <c r="AJ5678" s="1117"/>
      <c r="AK5678" s="1118"/>
      <c r="AL5678" s="1115"/>
      <c r="AM5678" s="1115"/>
      <c r="AN5678" s="1115"/>
      <c r="AO5678" s="1115"/>
      <c r="AP5678" s="1115"/>
      <c r="AQ5678" s="1115"/>
      <c r="AR5678" s="1115"/>
      <c r="AS5678" s="1117"/>
      <c r="AT5678" s="1075"/>
      <c r="AU5678" s="1193"/>
      <c r="AV5678" s="330"/>
      <c r="AW5678" s="331"/>
      <c r="AX5678" s="331"/>
      <c r="AY5678" s="331"/>
      <c r="AZ5678" s="331"/>
      <c r="BA5678" s="331"/>
      <c r="BB5678" s="331"/>
      <c r="BC5678" s="331"/>
      <c r="BD5678" s="331"/>
      <c r="BE5678" s="333"/>
      <c r="BF5678" s="330"/>
      <c r="BG5678" s="333"/>
      <c r="BH5678" s="1119"/>
      <c r="BI5678" s="319"/>
      <c r="BJ5678" s="319"/>
      <c r="BK5678" s="319"/>
      <c r="BL5678" s="319"/>
      <c r="BM5678" s="319"/>
      <c r="BN5678" s="319"/>
      <c r="BO5678" s="319"/>
      <c r="BP5678" s="953"/>
      <c r="BQ5678" s="319"/>
      <c r="BR5678" s="319"/>
      <c r="BS5678" s="330"/>
      <c r="BT5678" s="331"/>
      <c r="BU5678" s="920"/>
      <c r="BV5678" s="903"/>
      <c r="BW5678" s="908"/>
      <c r="BX5678" s="908"/>
      <c r="BY5678" s="331"/>
      <c r="BZ5678" s="331"/>
      <c r="CA5678" s="462"/>
      <c r="CB5678" s="319"/>
      <c r="CC5678" s="319"/>
      <c r="CD5678" s="319"/>
      <c r="CE5678" s="319"/>
      <c r="CF5678" s="319"/>
      <c r="CG5678" s="319"/>
      <c r="CH5678" s="318"/>
      <c r="CI5678" s="319"/>
      <c r="CJ5678" s="319"/>
      <c r="CK5678" s="342"/>
      <c r="CL5678" s="333"/>
      <c r="CM5678" s="1079"/>
      <c r="CN5678" s="1005"/>
      <c r="CO5678" s="1005"/>
      <c r="CP5678" s="1005"/>
    </row>
    <row r="5679">
      <c r="A5679" s="1257"/>
      <c r="B5679" s="1113"/>
      <c r="C5679" s="1107"/>
      <c r="D5679" s="103"/>
      <c r="E5679" s="1137"/>
      <c r="F5679" s="112"/>
      <c r="G5679" s="1110"/>
      <c r="H5679" s="1138"/>
      <c r="I5679" s="1138"/>
      <c r="J5679" s="1139"/>
      <c r="K5679" s="1111"/>
      <c r="L5679" s="1112"/>
      <c r="M5679" s="1113"/>
      <c r="N5679" s="110"/>
      <c r="O5679" s="1140"/>
      <c r="P5679" s="1115"/>
      <c r="Q5679" s="1116"/>
      <c r="R5679" s="1141"/>
      <c r="S5679" s="1113"/>
      <c r="T5679" s="1143"/>
      <c r="U5679" s="1108"/>
      <c r="V5679" s="1108"/>
      <c r="W5679" s="1108"/>
      <c r="X5679" s="1108"/>
      <c r="Y5679" s="1108"/>
      <c r="Z5679" s="1114"/>
      <c r="AA5679" s="1114"/>
      <c r="AB5679" s="1114"/>
      <c r="AC5679" s="1117"/>
      <c r="AD5679" s="1115"/>
      <c r="AE5679" s="1115"/>
      <c r="AF5679" s="1115"/>
      <c r="AG5679" s="1115"/>
      <c r="AH5679" s="1115"/>
      <c r="AI5679" s="1115"/>
      <c r="AJ5679" s="1117"/>
      <c r="AK5679" s="1118"/>
      <c r="AL5679" s="1115"/>
      <c r="AM5679" s="1115"/>
      <c r="AN5679" s="1115"/>
      <c r="AO5679" s="1115"/>
      <c r="AP5679" s="1115"/>
      <c r="AQ5679" s="1115"/>
      <c r="AR5679" s="1115"/>
      <c r="AS5679" s="1117"/>
      <c r="AT5679" s="1075"/>
      <c r="AU5679" s="1193"/>
      <c r="AV5679" s="330"/>
      <c r="AW5679" s="331"/>
      <c r="AX5679" s="331"/>
      <c r="AY5679" s="331"/>
      <c r="AZ5679" s="331"/>
      <c r="BA5679" s="331"/>
      <c r="BB5679" s="331"/>
      <c r="BC5679" s="331"/>
      <c r="BD5679" s="331"/>
      <c r="BE5679" s="333"/>
      <c r="BF5679" s="330"/>
      <c r="BG5679" s="333"/>
      <c r="BH5679" s="1119"/>
      <c r="BI5679" s="319"/>
      <c r="BJ5679" s="319"/>
      <c r="BK5679" s="319"/>
      <c r="BL5679" s="319"/>
      <c r="BM5679" s="319"/>
      <c r="BN5679" s="319"/>
      <c r="BO5679" s="319"/>
      <c r="BP5679" s="953"/>
      <c r="BQ5679" s="319"/>
      <c r="BR5679" s="319"/>
      <c r="BS5679" s="330"/>
      <c r="BT5679" s="331"/>
      <c r="BU5679" s="920"/>
      <c r="BV5679" s="903"/>
      <c r="BW5679" s="908"/>
      <c r="BX5679" s="908"/>
      <c r="BY5679" s="331"/>
      <c r="BZ5679" s="331"/>
      <c r="CA5679" s="462"/>
      <c r="CB5679" s="319"/>
      <c r="CC5679" s="319"/>
      <c r="CD5679" s="319"/>
      <c r="CE5679" s="319"/>
      <c r="CF5679" s="319"/>
      <c r="CG5679" s="319"/>
      <c r="CH5679" s="318"/>
      <c r="CI5679" s="319"/>
      <c r="CJ5679" s="319"/>
      <c r="CK5679" s="342"/>
      <c r="CL5679" s="333"/>
      <c r="CM5679" s="1079"/>
      <c r="CN5679" s="1005"/>
      <c r="CO5679" s="1005"/>
      <c r="CP5679" s="1005"/>
    </row>
    <row r="5680">
      <c r="A5680" s="1257"/>
      <c r="B5680" s="1113"/>
      <c r="C5680" s="1107"/>
      <c r="D5680" s="103"/>
      <c r="E5680" s="1137"/>
      <c r="F5680" s="112"/>
      <c r="G5680" s="1110"/>
      <c r="H5680" s="1138"/>
      <c r="I5680" s="1138"/>
      <c r="J5680" s="1139"/>
      <c r="K5680" s="1111"/>
      <c r="L5680" s="1112"/>
      <c r="M5680" s="1113"/>
      <c r="N5680" s="110"/>
      <c r="O5680" s="1140"/>
      <c r="P5680" s="1115"/>
      <c r="Q5680" s="1116"/>
      <c r="R5680" s="1141"/>
      <c r="S5680" s="1113"/>
      <c r="T5680" s="1143"/>
      <c r="U5680" s="1108"/>
      <c r="V5680" s="1108"/>
      <c r="W5680" s="1108"/>
      <c r="X5680" s="1108"/>
      <c r="Y5680" s="1108"/>
      <c r="Z5680" s="1114"/>
      <c r="AA5680" s="1114"/>
      <c r="AB5680" s="1114"/>
      <c r="AC5680" s="1117"/>
      <c r="AD5680" s="1115"/>
      <c r="AE5680" s="1115"/>
      <c r="AF5680" s="1115"/>
      <c r="AG5680" s="1115"/>
      <c r="AH5680" s="1115"/>
      <c r="AI5680" s="1115"/>
      <c r="AJ5680" s="1117"/>
      <c r="AK5680" s="1118"/>
      <c r="AL5680" s="1115"/>
      <c r="AM5680" s="1115"/>
      <c r="AN5680" s="1115"/>
      <c r="AO5680" s="1115"/>
      <c r="AP5680" s="1115"/>
      <c r="AQ5680" s="1115"/>
      <c r="AR5680" s="1115"/>
      <c r="AS5680" s="1117"/>
      <c r="AT5680" s="1075"/>
      <c r="AU5680" s="1193"/>
      <c r="AV5680" s="330"/>
      <c r="AW5680" s="331"/>
      <c r="AX5680" s="331"/>
      <c r="AY5680" s="331"/>
      <c r="AZ5680" s="331"/>
      <c r="BA5680" s="331"/>
      <c r="BB5680" s="331"/>
      <c r="BC5680" s="331"/>
      <c r="BD5680" s="331"/>
      <c r="BE5680" s="333"/>
      <c r="BF5680" s="330"/>
      <c r="BG5680" s="333"/>
      <c r="BH5680" s="1119"/>
      <c r="BI5680" s="319"/>
      <c r="BJ5680" s="319"/>
      <c r="BK5680" s="319"/>
      <c r="BL5680" s="319"/>
      <c r="BM5680" s="319"/>
      <c r="BN5680" s="319"/>
      <c r="BO5680" s="319"/>
      <c r="BP5680" s="953"/>
      <c r="BQ5680" s="319"/>
      <c r="BR5680" s="319"/>
      <c r="BS5680" s="330"/>
      <c r="BT5680" s="331"/>
      <c r="BU5680" s="920"/>
      <c r="BV5680" s="903"/>
      <c r="BW5680" s="908"/>
      <c r="BX5680" s="908"/>
      <c r="BY5680" s="331"/>
      <c r="BZ5680" s="331"/>
      <c r="CA5680" s="462"/>
      <c r="CB5680" s="319"/>
      <c r="CC5680" s="319"/>
      <c r="CD5680" s="319"/>
      <c r="CE5680" s="319"/>
      <c r="CF5680" s="319"/>
      <c r="CG5680" s="319"/>
      <c r="CH5680" s="318"/>
      <c r="CI5680" s="319"/>
      <c r="CJ5680" s="319"/>
      <c r="CK5680" s="342"/>
      <c r="CL5680" s="333"/>
      <c r="CM5680" s="1079"/>
      <c r="CN5680" s="1005"/>
      <c r="CO5680" s="1005"/>
      <c r="CP5680" s="1005"/>
    </row>
    <row r="5681">
      <c r="A5681" s="1257"/>
      <c r="B5681" s="1113"/>
      <c r="C5681" s="1107"/>
      <c r="D5681" s="103"/>
      <c r="E5681" s="1137"/>
      <c r="F5681" s="112"/>
      <c r="G5681" s="1110"/>
      <c r="H5681" s="1138"/>
      <c r="I5681" s="1138"/>
      <c r="J5681" s="1139"/>
      <c r="K5681" s="1111"/>
      <c r="L5681" s="1112"/>
      <c r="M5681" s="1113"/>
      <c r="N5681" s="110"/>
      <c r="O5681" s="1140"/>
      <c r="P5681" s="1115"/>
      <c r="Q5681" s="1116"/>
      <c r="R5681" s="1141"/>
      <c r="S5681" s="1113"/>
      <c r="T5681" s="1143"/>
      <c r="U5681" s="1108"/>
      <c r="V5681" s="1108"/>
      <c r="W5681" s="1108"/>
      <c r="X5681" s="1108"/>
      <c r="Y5681" s="1108"/>
      <c r="Z5681" s="1114"/>
      <c r="AA5681" s="1114"/>
      <c r="AB5681" s="1114"/>
      <c r="AC5681" s="1117"/>
      <c r="AD5681" s="1115"/>
      <c r="AE5681" s="1115"/>
      <c r="AF5681" s="1115"/>
      <c r="AG5681" s="1115"/>
      <c r="AH5681" s="1115"/>
      <c r="AI5681" s="1115"/>
      <c r="AJ5681" s="1117"/>
      <c r="AK5681" s="1118"/>
      <c r="AL5681" s="1115"/>
      <c r="AM5681" s="1115"/>
      <c r="AN5681" s="1115"/>
      <c r="AO5681" s="1115"/>
      <c r="AP5681" s="1115"/>
      <c r="AQ5681" s="1115"/>
      <c r="AR5681" s="1115"/>
      <c r="AS5681" s="1117"/>
      <c r="AT5681" s="1075"/>
      <c r="AU5681" s="1193"/>
      <c r="AV5681" s="330"/>
      <c r="AW5681" s="331"/>
      <c r="AX5681" s="331"/>
      <c r="AY5681" s="331"/>
      <c r="AZ5681" s="331"/>
      <c r="BA5681" s="331"/>
      <c r="BB5681" s="331"/>
      <c r="BC5681" s="331"/>
      <c r="BD5681" s="331"/>
      <c r="BE5681" s="333"/>
      <c r="BF5681" s="330"/>
      <c r="BG5681" s="333"/>
      <c r="BH5681" s="1119"/>
      <c r="BI5681" s="319"/>
      <c r="BJ5681" s="319"/>
      <c r="BK5681" s="319"/>
      <c r="BL5681" s="319"/>
      <c r="BM5681" s="319"/>
      <c r="BN5681" s="319"/>
      <c r="BO5681" s="319"/>
      <c r="BP5681" s="953"/>
      <c r="BQ5681" s="319"/>
      <c r="BR5681" s="319"/>
      <c r="BS5681" s="330"/>
      <c r="BT5681" s="331"/>
      <c r="BU5681" s="920"/>
      <c r="BV5681" s="903"/>
      <c r="BW5681" s="908"/>
      <c r="BX5681" s="908"/>
      <c r="BY5681" s="331"/>
      <c r="BZ5681" s="331"/>
      <c r="CA5681" s="462"/>
      <c r="CB5681" s="319"/>
      <c r="CC5681" s="319"/>
      <c r="CD5681" s="319"/>
      <c r="CE5681" s="319"/>
      <c r="CF5681" s="319"/>
      <c r="CG5681" s="319"/>
      <c r="CH5681" s="318"/>
      <c r="CI5681" s="319"/>
      <c r="CJ5681" s="319"/>
      <c r="CK5681" s="342"/>
      <c r="CL5681" s="333"/>
      <c r="CM5681" s="1079"/>
      <c r="CN5681" s="1005"/>
      <c r="CO5681" s="1005"/>
      <c r="CP5681" s="1005"/>
    </row>
    <row r="5682">
      <c r="A5682" s="1257"/>
      <c r="B5682" s="1113"/>
      <c r="C5682" s="1107"/>
      <c r="D5682" s="103"/>
      <c r="E5682" s="1137"/>
      <c r="F5682" s="112"/>
      <c r="G5682" s="1110"/>
      <c r="H5682" s="1138"/>
      <c r="I5682" s="1138"/>
      <c r="J5682" s="1139"/>
      <c r="K5682" s="1111"/>
      <c r="L5682" s="1112"/>
      <c r="M5682" s="1113"/>
      <c r="N5682" s="110"/>
      <c r="O5682" s="1140"/>
      <c r="P5682" s="1115"/>
      <c r="Q5682" s="1116"/>
      <c r="R5682" s="1141"/>
      <c r="S5682" s="1113"/>
      <c r="T5682" s="1143"/>
      <c r="U5682" s="1108"/>
      <c r="V5682" s="1108"/>
      <c r="W5682" s="1108"/>
      <c r="X5682" s="1108"/>
      <c r="Y5682" s="1108"/>
      <c r="Z5682" s="1114"/>
      <c r="AA5682" s="1114"/>
      <c r="AB5682" s="1114"/>
      <c r="AC5682" s="1117"/>
      <c r="AD5682" s="1115"/>
      <c r="AE5682" s="1115"/>
      <c r="AF5682" s="1115"/>
      <c r="AG5682" s="1115"/>
      <c r="AH5682" s="1115"/>
      <c r="AI5682" s="1115"/>
      <c r="AJ5682" s="1117"/>
      <c r="AK5682" s="1118"/>
      <c r="AL5682" s="1115"/>
      <c r="AM5682" s="1115"/>
      <c r="AN5682" s="1115"/>
      <c r="AO5682" s="1115"/>
      <c r="AP5682" s="1115"/>
      <c r="AQ5682" s="1115"/>
      <c r="AR5682" s="1115"/>
      <c r="AS5682" s="1117"/>
      <c r="AT5682" s="1075"/>
      <c r="AU5682" s="1193"/>
      <c r="AV5682" s="330"/>
      <c r="AW5682" s="331"/>
      <c r="AX5682" s="331"/>
      <c r="AY5682" s="331"/>
      <c r="AZ5682" s="331"/>
      <c r="BA5682" s="331"/>
      <c r="BB5682" s="331"/>
      <c r="BC5682" s="331"/>
      <c r="BD5682" s="331"/>
      <c r="BE5682" s="333"/>
      <c r="BF5682" s="330"/>
      <c r="BG5682" s="333"/>
      <c r="BH5682" s="1119"/>
      <c r="BI5682" s="319"/>
      <c r="BJ5682" s="319"/>
      <c r="BK5682" s="319"/>
      <c r="BL5682" s="319"/>
      <c r="BM5682" s="319"/>
      <c r="BN5682" s="319"/>
      <c r="BO5682" s="319"/>
      <c r="BP5682" s="953"/>
      <c r="BQ5682" s="319"/>
      <c r="BR5682" s="319"/>
      <c r="BS5682" s="330"/>
      <c r="BT5682" s="331"/>
      <c r="BU5682" s="920"/>
      <c r="BV5682" s="903"/>
      <c r="BW5682" s="908"/>
      <c r="BX5682" s="908"/>
      <c r="BY5682" s="331"/>
      <c r="BZ5682" s="331"/>
      <c r="CA5682" s="462"/>
      <c r="CB5682" s="319"/>
      <c r="CC5682" s="319"/>
      <c r="CD5682" s="319"/>
      <c r="CE5682" s="319"/>
      <c r="CF5682" s="319"/>
      <c r="CG5682" s="319"/>
      <c r="CH5682" s="318"/>
      <c r="CI5682" s="319"/>
      <c r="CJ5682" s="319"/>
      <c r="CK5682" s="342"/>
      <c r="CL5682" s="333"/>
      <c r="CM5682" s="1079"/>
      <c r="CN5682" s="1005"/>
      <c r="CO5682" s="1005"/>
      <c r="CP5682" s="1005"/>
    </row>
    <row r="5683">
      <c r="A5683" s="1257"/>
      <c r="B5683" s="1113"/>
      <c r="C5683" s="1107"/>
      <c r="D5683" s="103"/>
      <c r="E5683" s="1137"/>
      <c r="F5683" s="112"/>
      <c r="G5683" s="1110"/>
      <c r="H5683" s="1138"/>
      <c r="I5683" s="1138"/>
      <c r="J5683" s="1139"/>
      <c r="K5683" s="1111"/>
      <c r="L5683" s="1112"/>
      <c r="M5683" s="1113"/>
      <c r="N5683" s="110"/>
      <c r="O5683" s="1140"/>
      <c r="P5683" s="1115"/>
      <c r="Q5683" s="1116"/>
      <c r="R5683" s="1141"/>
      <c r="S5683" s="1113"/>
      <c r="T5683" s="1143"/>
      <c r="U5683" s="1108"/>
      <c r="V5683" s="1108"/>
      <c r="W5683" s="1108"/>
      <c r="X5683" s="1108"/>
      <c r="Y5683" s="1108"/>
      <c r="Z5683" s="1114"/>
      <c r="AA5683" s="1114"/>
      <c r="AB5683" s="1114"/>
      <c r="AC5683" s="1117"/>
      <c r="AD5683" s="1115"/>
      <c r="AE5683" s="1115"/>
      <c r="AF5683" s="1115"/>
      <c r="AG5683" s="1115"/>
      <c r="AH5683" s="1115"/>
      <c r="AI5683" s="1115"/>
      <c r="AJ5683" s="1117"/>
      <c r="AK5683" s="1118"/>
      <c r="AL5683" s="1115"/>
      <c r="AM5683" s="1115"/>
      <c r="AN5683" s="1115"/>
      <c r="AO5683" s="1115"/>
      <c r="AP5683" s="1115"/>
      <c r="AQ5683" s="1115"/>
      <c r="AR5683" s="1115"/>
      <c r="AS5683" s="1117"/>
      <c r="AT5683" s="1075"/>
      <c r="AU5683" s="1193"/>
      <c r="AV5683" s="330"/>
      <c r="AW5683" s="331"/>
      <c r="AX5683" s="331"/>
      <c r="AY5683" s="331"/>
      <c r="AZ5683" s="331"/>
      <c r="BA5683" s="331"/>
      <c r="BB5683" s="331"/>
      <c r="BC5683" s="331"/>
      <c r="BD5683" s="331"/>
      <c r="BE5683" s="333"/>
      <c r="BF5683" s="330"/>
      <c r="BG5683" s="333"/>
      <c r="BH5683" s="1119"/>
      <c r="BI5683" s="319"/>
      <c r="BJ5683" s="319"/>
      <c r="BK5683" s="319"/>
      <c r="BL5683" s="319"/>
      <c r="BM5683" s="319"/>
      <c r="BN5683" s="319"/>
      <c r="BO5683" s="319"/>
      <c r="BP5683" s="953"/>
      <c r="BQ5683" s="319"/>
      <c r="BR5683" s="319"/>
      <c r="BS5683" s="330"/>
      <c r="BT5683" s="331"/>
      <c r="BU5683" s="920"/>
      <c r="BV5683" s="903"/>
      <c r="BW5683" s="908"/>
      <c r="BX5683" s="908"/>
      <c r="BY5683" s="331"/>
      <c r="BZ5683" s="331"/>
      <c r="CA5683" s="462"/>
      <c r="CB5683" s="319"/>
      <c r="CC5683" s="319"/>
      <c r="CD5683" s="319"/>
      <c r="CE5683" s="319"/>
      <c r="CF5683" s="319"/>
      <c r="CG5683" s="319"/>
      <c r="CH5683" s="318"/>
      <c r="CI5683" s="319"/>
      <c r="CJ5683" s="319"/>
      <c r="CK5683" s="342"/>
      <c r="CL5683" s="333"/>
      <c r="CM5683" s="1079"/>
      <c r="CN5683" s="1005"/>
      <c r="CO5683" s="1005"/>
      <c r="CP5683" s="1005"/>
    </row>
    <row r="5684">
      <c r="A5684" s="1257"/>
      <c r="B5684" s="1113"/>
      <c r="C5684" s="1107"/>
      <c r="D5684" s="103"/>
      <c r="E5684" s="1137"/>
      <c r="F5684" s="112"/>
      <c r="G5684" s="1110"/>
      <c r="H5684" s="1138"/>
      <c r="I5684" s="1138"/>
      <c r="J5684" s="1139"/>
      <c r="K5684" s="1111"/>
      <c r="L5684" s="1112"/>
      <c r="M5684" s="1113"/>
      <c r="N5684" s="110"/>
      <c r="O5684" s="1140"/>
      <c r="P5684" s="1115"/>
      <c r="Q5684" s="1116"/>
      <c r="R5684" s="1141"/>
      <c r="S5684" s="1113"/>
      <c r="T5684" s="1143"/>
      <c r="U5684" s="1108"/>
      <c r="V5684" s="1108"/>
      <c r="W5684" s="1108"/>
      <c r="X5684" s="1108"/>
      <c r="Y5684" s="1108"/>
      <c r="Z5684" s="1114"/>
      <c r="AA5684" s="1114"/>
      <c r="AB5684" s="1114"/>
      <c r="AC5684" s="1117"/>
      <c r="AD5684" s="1115"/>
      <c r="AE5684" s="1115"/>
      <c r="AF5684" s="1115"/>
      <c r="AG5684" s="1115"/>
      <c r="AH5684" s="1115"/>
      <c r="AI5684" s="1115"/>
      <c r="AJ5684" s="1117"/>
      <c r="AK5684" s="1118"/>
      <c r="AL5684" s="1115"/>
      <c r="AM5684" s="1115"/>
      <c r="AN5684" s="1115"/>
      <c r="AO5684" s="1115"/>
      <c r="AP5684" s="1115"/>
      <c r="AQ5684" s="1115"/>
      <c r="AR5684" s="1115"/>
      <c r="AS5684" s="1117"/>
      <c r="AT5684" s="1075"/>
      <c r="AU5684" s="1193"/>
      <c r="AV5684" s="330"/>
      <c r="AW5684" s="331"/>
      <c r="AX5684" s="331"/>
      <c r="AY5684" s="331"/>
      <c r="AZ5684" s="331"/>
      <c r="BA5684" s="331"/>
      <c r="BB5684" s="331"/>
      <c r="BC5684" s="331"/>
      <c r="BD5684" s="331"/>
      <c r="BE5684" s="333"/>
      <c r="BF5684" s="330"/>
      <c r="BG5684" s="333"/>
      <c r="BH5684" s="1119"/>
      <c r="BI5684" s="319"/>
      <c r="BJ5684" s="319"/>
      <c r="BK5684" s="319"/>
      <c r="BL5684" s="319"/>
      <c r="BM5684" s="319"/>
      <c r="BN5684" s="319"/>
      <c r="BO5684" s="319"/>
      <c r="BP5684" s="953"/>
      <c r="BQ5684" s="319"/>
      <c r="BR5684" s="319"/>
      <c r="BS5684" s="330"/>
      <c r="BT5684" s="331"/>
      <c r="BU5684" s="920"/>
      <c r="BV5684" s="903"/>
      <c r="BW5684" s="908"/>
      <c r="BX5684" s="908"/>
      <c r="BY5684" s="331"/>
      <c r="BZ5684" s="331"/>
      <c r="CA5684" s="462"/>
      <c r="CB5684" s="319"/>
      <c r="CC5684" s="319"/>
      <c r="CD5684" s="319"/>
      <c r="CE5684" s="319"/>
      <c r="CF5684" s="319"/>
      <c r="CG5684" s="319"/>
      <c r="CH5684" s="318"/>
      <c r="CI5684" s="319"/>
      <c r="CJ5684" s="319"/>
      <c r="CK5684" s="342"/>
      <c r="CL5684" s="333"/>
      <c r="CM5684" s="1079"/>
      <c r="CN5684" s="1005"/>
      <c r="CO5684" s="1005"/>
      <c r="CP5684" s="1005"/>
    </row>
    <row r="5685">
      <c r="A5685" s="1257"/>
      <c r="B5685" s="1113"/>
      <c r="C5685" s="1107"/>
      <c r="D5685" s="103"/>
      <c r="E5685" s="1137"/>
      <c r="F5685" s="112"/>
      <c r="G5685" s="1110"/>
      <c r="H5685" s="1138"/>
      <c r="I5685" s="1138"/>
      <c r="J5685" s="1139"/>
      <c r="K5685" s="1111"/>
      <c r="L5685" s="1112"/>
      <c r="M5685" s="1113"/>
      <c r="N5685" s="110"/>
      <c r="O5685" s="1140"/>
      <c r="P5685" s="1115"/>
      <c r="Q5685" s="1116"/>
      <c r="R5685" s="1141"/>
      <c r="S5685" s="1113"/>
      <c r="T5685" s="1143"/>
      <c r="U5685" s="1108"/>
      <c r="V5685" s="1108"/>
      <c r="W5685" s="1108"/>
      <c r="X5685" s="1108"/>
      <c r="Y5685" s="1108"/>
      <c r="Z5685" s="1114"/>
      <c r="AA5685" s="1114"/>
      <c r="AB5685" s="1114"/>
      <c r="AC5685" s="1117"/>
      <c r="AD5685" s="1115"/>
      <c r="AE5685" s="1115"/>
      <c r="AF5685" s="1115"/>
      <c r="AG5685" s="1115"/>
      <c r="AH5685" s="1115"/>
      <c r="AI5685" s="1115"/>
      <c r="AJ5685" s="1117"/>
      <c r="AK5685" s="1118"/>
      <c r="AL5685" s="1115"/>
      <c r="AM5685" s="1115"/>
      <c r="AN5685" s="1115"/>
      <c r="AO5685" s="1115"/>
      <c r="AP5685" s="1115"/>
      <c r="AQ5685" s="1115"/>
      <c r="AR5685" s="1115"/>
      <c r="AS5685" s="1117"/>
      <c r="AT5685" s="1075"/>
      <c r="AU5685" s="1193"/>
      <c r="AV5685" s="330"/>
      <c r="AW5685" s="331"/>
      <c r="AX5685" s="331"/>
      <c r="AY5685" s="331"/>
      <c r="AZ5685" s="331"/>
      <c r="BA5685" s="331"/>
      <c r="BB5685" s="331"/>
      <c r="BC5685" s="331"/>
      <c r="BD5685" s="331"/>
      <c r="BE5685" s="333"/>
      <c r="BF5685" s="330"/>
      <c r="BG5685" s="333"/>
      <c r="BH5685" s="1119"/>
      <c r="BI5685" s="319"/>
      <c r="BJ5685" s="319"/>
      <c r="BK5685" s="319"/>
      <c r="BL5685" s="319"/>
      <c r="BM5685" s="319"/>
      <c r="BN5685" s="319"/>
      <c r="BO5685" s="319"/>
      <c r="BP5685" s="953"/>
      <c r="BQ5685" s="319"/>
      <c r="BR5685" s="319"/>
      <c r="BS5685" s="330"/>
      <c r="BT5685" s="331"/>
      <c r="BU5685" s="920"/>
      <c r="BV5685" s="903"/>
      <c r="BW5685" s="908"/>
      <c r="BX5685" s="908"/>
      <c r="BY5685" s="331"/>
      <c r="BZ5685" s="331"/>
      <c r="CA5685" s="462"/>
      <c r="CB5685" s="319"/>
      <c r="CC5685" s="319"/>
      <c r="CD5685" s="319"/>
      <c r="CE5685" s="319"/>
      <c r="CF5685" s="319"/>
      <c r="CG5685" s="319"/>
      <c r="CH5685" s="318"/>
      <c r="CI5685" s="319"/>
      <c r="CJ5685" s="319"/>
      <c r="CK5685" s="342"/>
      <c r="CL5685" s="333"/>
      <c r="CM5685" s="1079"/>
      <c r="CN5685" s="1005"/>
      <c r="CO5685" s="1005"/>
      <c r="CP5685" s="1005"/>
    </row>
    <row r="5686">
      <c r="A5686" s="1257"/>
      <c r="B5686" s="1113"/>
      <c r="C5686" s="1107"/>
      <c r="D5686" s="103"/>
      <c r="E5686" s="1137"/>
      <c r="F5686" s="112"/>
      <c r="G5686" s="1110"/>
      <c r="H5686" s="1138"/>
      <c r="I5686" s="1138"/>
      <c r="J5686" s="1139"/>
      <c r="K5686" s="1111"/>
      <c r="L5686" s="1112"/>
      <c r="M5686" s="1113"/>
      <c r="N5686" s="110"/>
      <c r="O5686" s="1140"/>
      <c r="P5686" s="1115"/>
      <c r="Q5686" s="1116"/>
      <c r="R5686" s="1141"/>
      <c r="S5686" s="1113"/>
      <c r="T5686" s="1143"/>
      <c r="U5686" s="1108"/>
      <c r="V5686" s="1108"/>
      <c r="W5686" s="1108"/>
      <c r="X5686" s="1108"/>
      <c r="Y5686" s="1108"/>
      <c r="Z5686" s="1114"/>
      <c r="AA5686" s="1114"/>
      <c r="AB5686" s="1114"/>
      <c r="AC5686" s="1117"/>
      <c r="AD5686" s="1115"/>
      <c r="AE5686" s="1115"/>
      <c r="AF5686" s="1115"/>
      <c r="AG5686" s="1115"/>
      <c r="AH5686" s="1115"/>
      <c r="AI5686" s="1115"/>
      <c r="AJ5686" s="1117"/>
      <c r="AK5686" s="1118"/>
      <c r="AL5686" s="1115"/>
      <c r="AM5686" s="1115"/>
      <c r="AN5686" s="1115"/>
      <c r="AO5686" s="1115"/>
      <c r="AP5686" s="1115"/>
      <c r="AQ5686" s="1115"/>
      <c r="AR5686" s="1115"/>
      <c r="AS5686" s="1117"/>
      <c r="AT5686" s="1075"/>
      <c r="AU5686" s="1193"/>
      <c r="AV5686" s="330"/>
      <c r="AW5686" s="331"/>
      <c r="AX5686" s="331"/>
      <c r="AY5686" s="331"/>
      <c r="AZ5686" s="331"/>
      <c r="BA5686" s="331"/>
      <c r="BB5686" s="331"/>
      <c r="BC5686" s="331"/>
      <c r="BD5686" s="331"/>
      <c r="BE5686" s="333"/>
      <c r="BF5686" s="330"/>
      <c r="BG5686" s="333"/>
      <c r="BH5686" s="1119"/>
      <c r="BI5686" s="319"/>
      <c r="BJ5686" s="319"/>
      <c r="BK5686" s="319"/>
      <c r="BL5686" s="319"/>
      <c r="BM5686" s="319"/>
      <c r="BN5686" s="319"/>
      <c r="BO5686" s="319"/>
      <c r="BP5686" s="953"/>
      <c r="BQ5686" s="319"/>
      <c r="BR5686" s="319"/>
      <c r="BS5686" s="330"/>
      <c r="BT5686" s="331"/>
      <c r="BU5686" s="920"/>
      <c r="BV5686" s="903"/>
      <c r="BW5686" s="908"/>
      <c r="BX5686" s="908"/>
      <c r="BY5686" s="331"/>
      <c r="BZ5686" s="331"/>
      <c r="CA5686" s="462"/>
      <c r="CB5686" s="319"/>
      <c r="CC5686" s="319"/>
      <c r="CD5686" s="319"/>
      <c r="CE5686" s="319"/>
      <c r="CF5686" s="319"/>
      <c r="CG5686" s="319"/>
      <c r="CH5686" s="318"/>
      <c r="CI5686" s="319"/>
      <c r="CJ5686" s="319"/>
      <c r="CK5686" s="342"/>
      <c r="CL5686" s="333"/>
      <c r="CM5686" s="1079"/>
      <c r="CN5686" s="1005"/>
      <c r="CO5686" s="1005"/>
      <c r="CP5686" s="1005"/>
    </row>
    <row r="5687">
      <c r="A5687" s="1257"/>
      <c r="B5687" s="1113"/>
      <c r="C5687" s="1107"/>
      <c r="D5687" s="103"/>
      <c r="E5687" s="1137"/>
      <c r="F5687" s="112"/>
      <c r="G5687" s="1110"/>
      <c r="H5687" s="1138"/>
      <c r="I5687" s="1138"/>
      <c r="J5687" s="1139"/>
      <c r="K5687" s="1111"/>
      <c r="L5687" s="1112"/>
      <c r="M5687" s="1113"/>
      <c r="N5687" s="110"/>
      <c r="O5687" s="1140"/>
      <c r="P5687" s="1115"/>
      <c r="Q5687" s="1116"/>
      <c r="R5687" s="1141"/>
      <c r="S5687" s="1113"/>
      <c r="T5687" s="1143"/>
      <c r="U5687" s="1108"/>
      <c r="V5687" s="1108"/>
      <c r="W5687" s="1108"/>
      <c r="X5687" s="1108"/>
      <c r="Y5687" s="1108"/>
      <c r="Z5687" s="1114"/>
      <c r="AA5687" s="1114"/>
      <c r="AB5687" s="1114"/>
      <c r="AC5687" s="1117"/>
      <c r="AD5687" s="1115"/>
      <c r="AE5687" s="1115"/>
      <c r="AF5687" s="1115"/>
      <c r="AG5687" s="1115"/>
      <c r="AH5687" s="1115"/>
      <c r="AI5687" s="1115"/>
      <c r="AJ5687" s="1117"/>
      <c r="AK5687" s="1118"/>
      <c r="AL5687" s="1115"/>
      <c r="AM5687" s="1115"/>
      <c r="AN5687" s="1115"/>
      <c r="AO5687" s="1115"/>
      <c r="AP5687" s="1115"/>
      <c r="AQ5687" s="1115"/>
      <c r="AR5687" s="1115"/>
      <c r="AS5687" s="1117"/>
      <c r="AT5687" s="1075"/>
      <c r="AU5687" s="1193"/>
      <c r="AV5687" s="330"/>
      <c r="AW5687" s="331"/>
      <c r="AX5687" s="331"/>
      <c r="AY5687" s="331"/>
      <c r="AZ5687" s="331"/>
      <c r="BA5687" s="331"/>
      <c r="BB5687" s="331"/>
      <c r="BC5687" s="331"/>
      <c r="BD5687" s="331"/>
      <c r="BE5687" s="333"/>
      <c r="BF5687" s="330"/>
      <c r="BG5687" s="333"/>
      <c r="BH5687" s="1119"/>
      <c r="BI5687" s="319"/>
      <c r="BJ5687" s="319"/>
      <c r="BK5687" s="319"/>
      <c r="BL5687" s="319"/>
      <c r="BM5687" s="319"/>
      <c r="BN5687" s="319"/>
      <c r="BO5687" s="319"/>
      <c r="BP5687" s="953"/>
      <c r="BQ5687" s="319"/>
      <c r="BR5687" s="319"/>
      <c r="BS5687" s="330"/>
      <c r="BT5687" s="331"/>
      <c r="BU5687" s="920"/>
      <c r="BV5687" s="903"/>
      <c r="BW5687" s="908"/>
      <c r="BX5687" s="908"/>
      <c r="BY5687" s="331"/>
      <c r="BZ5687" s="331"/>
      <c r="CA5687" s="462"/>
      <c r="CB5687" s="319"/>
      <c r="CC5687" s="319"/>
      <c r="CD5687" s="319"/>
      <c r="CE5687" s="319"/>
      <c r="CF5687" s="319"/>
      <c r="CG5687" s="319"/>
      <c r="CH5687" s="318"/>
      <c r="CI5687" s="319"/>
      <c r="CJ5687" s="319"/>
      <c r="CK5687" s="342"/>
      <c r="CL5687" s="333"/>
      <c r="CM5687" s="1079"/>
      <c r="CN5687" s="1005"/>
      <c r="CO5687" s="1005"/>
      <c r="CP5687" s="1005"/>
    </row>
    <row r="5688">
      <c r="A5688" s="1257"/>
      <c r="B5688" s="1113"/>
      <c r="C5688" s="1107"/>
      <c r="D5688" s="103"/>
      <c r="E5688" s="1137"/>
      <c r="F5688" s="112"/>
      <c r="G5688" s="1110"/>
      <c r="H5688" s="1138"/>
      <c r="I5688" s="1138"/>
      <c r="J5688" s="1139"/>
      <c r="K5688" s="1111"/>
      <c r="L5688" s="1112"/>
      <c r="M5688" s="1113"/>
      <c r="N5688" s="110"/>
      <c r="O5688" s="1140"/>
      <c r="P5688" s="1115"/>
      <c r="Q5688" s="1116"/>
      <c r="R5688" s="1141"/>
      <c r="S5688" s="1113"/>
      <c r="T5688" s="1143"/>
      <c r="U5688" s="1108"/>
      <c r="V5688" s="1108"/>
      <c r="W5688" s="1108"/>
      <c r="X5688" s="1108"/>
      <c r="Y5688" s="1108"/>
      <c r="Z5688" s="1114"/>
      <c r="AA5688" s="1114"/>
      <c r="AB5688" s="1114"/>
      <c r="AC5688" s="1117"/>
      <c r="AD5688" s="1115"/>
      <c r="AE5688" s="1115"/>
      <c r="AF5688" s="1115"/>
      <c r="AG5688" s="1115"/>
      <c r="AH5688" s="1115"/>
      <c r="AI5688" s="1115"/>
      <c r="AJ5688" s="1117"/>
      <c r="AK5688" s="1118"/>
      <c r="AL5688" s="1115"/>
      <c r="AM5688" s="1115"/>
      <c r="AN5688" s="1115"/>
      <c r="AO5688" s="1115"/>
      <c r="AP5688" s="1115"/>
      <c r="AQ5688" s="1115"/>
      <c r="AR5688" s="1115"/>
      <c r="AS5688" s="1117"/>
      <c r="AT5688" s="1075"/>
      <c r="AU5688" s="1193"/>
      <c r="AV5688" s="330"/>
      <c r="AW5688" s="331"/>
      <c r="AX5688" s="331"/>
      <c r="AY5688" s="331"/>
      <c r="AZ5688" s="331"/>
      <c r="BA5688" s="331"/>
      <c r="BB5688" s="331"/>
      <c r="BC5688" s="331"/>
      <c r="BD5688" s="331"/>
      <c r="BE5688" s="333"/>
      <c r="BF5688" s="330"/>
      <c r="BG5688" s="333"/>
      <c r="BH5688" s="1119"/>
      <c r="BI5688" s="319"/>
      <c r="BJ5688" s="319"/>
      <c r="BK5688" s="319"/>
      <c r="BL5688" s="319"/>
      <c r="BM5688" s="319"/>
      <c r="BN5688" s="319"/>
      <c r="BO5688" s="319"/>
      <c r="BP5688" s="953"/>
      <c r="BQ5688" s="319"/>
      <c r="BR5688" s="319"/>
      <c r="BS5688" s="330"/>
      <c r="BT5688" s="331"/>
      <c r="BU5688" s="920"/>
      <c r="BV5688" s="903"/>
      <c r="BW5688" s="908"/>
      <c r="BX5688" s="908"/>
      <c r="BY5688" s="331"/>
      <c r="BZ5688" s="331"/>
      <c r="CA5688" s="462"/>
      <c r="CB5688" s="319"/>
      <c r="CC5688" s="319"/>
      <c r="CD5688" s="319"/>
      <c r="CE5688" s="319"/>
      <c r="CF5688" s="319"/>
      <c r="CG5688" s="319"/>
      <c r="CH5688" s="318"/>
      <c r="CI5688" s="319"/>
      <c r="CJ5688" s="319"/>
      <c r="CK5688" s="342"/>
      <c r="CL5688" s="333"/>
      <c r="CM5688" s="1079"/>
      <c r="CN5688" s="1005"/>
      <c r="CO5688" s="1005"/>
      <c r="CP5688" s="1005"/>
    </row>
    <row r="5689">
      <c r="A5689" s="1257"/>
      <c r="B5689" s="1113"/>
      <c r="C5689" s="1107"/>
      <c r="D5689" s="103"/>
      <c r="E5689" s="1137"/>
      <c r="F5689" s="112"/>
      <c r="G5689" s="1110"/>
      <c r="H5689" s="1138"/>
      <c r="I5689" s="1138"/>
      <c r="J5689" s="1139"/>
      <c r="K5689" s="1111"/>
      <c r="L5689" s="1112"/>
      <c r="M5689" s="1113"/>
      <c r="N5689" s="110"/>
      <c r="O5689" s="1140"/>
      <c r="P5689" s="1115"/>
      <c r="Q5689" s="1116"/>
      <c r="R5689" s="1141"/>
      <c r="S5689" s="1113"/>
      <c r="T5689" s="1143"/>
      <c r="U5689" s="1108"/>
      <c r="V5689" s="1108"/>
      <c r="W5689" s="1108"/>
      <c r="X5689" s="1108"/>
      <c r="Y5689" s="1108"/>
      <c r="Z5689" s="1114"/>
      <c r="AA5689" s="1114"/>
      <c r="AB5689" s="1114"/>
      <c r="AC5689" s="1117"/>
      <c r="AD5689" s="1115"/>
      <c r="AE5689" s="1115"/>
      <c r="AF5689" s="1115"/>
      <c r="AG5689" s="1115"/>
      <c r="AH5689" s="1115"/>
      <c r="AI5689" s="1115"/>
      <c r="AJ5689" s="1117"/>
      <c r="AK5689" s="1118"/>
      <c r="AL5689" s="1115"/>
      <c r="AM5689" s="1115"/>
      <c r="AN5689" s="1115"/>
      <c r="AO5689" s="1115"/>
      <c r="AP5689" s="1115"/>
      <c r="AQ5689" s="1115"/>
      <c r="AR5689" s="1115"/>
      <c r="AS5689" s="1117"/>
      <c r="AT5689" s="1075"/>
      <c r="AU5689" s="1193"/>
      <c r="AV5689" s="330"/>
      <c r="AW5689" s="331"/>
      <c r="AX5689" s="331"/>
      <c r="AY5689" s="331"/>
      <c r="AZ5689" s="331"/>
      <c r="BA5689" s="331"/>
      <c r="BB5689" s="331"/>
      <c r="BC5689" s="331"/>
      <c r="BD5689" s="331"/>
      <c r="BE5689" s="333"/>
      <c r="BF5689" s="330"/>
      <c r="BG5689" s="333"/>
      <c r="BH5689" s="1119"/>
      <c r="BI5689" s="319"/>
      <c r="BJ5689" s="319"/>
      <c r="BK5689" s="319"/>
      <c r="BL5689" s="319"/>
      <c r="BM5689" s="319"/>
      <c r="BN5689" s="319"/>
      <c r="BO5689" s="319"/>
      <c r="BP5689" s="953"/>
      <c r="BQ5689" s="319"/>
      <c r="BR5689" s="319"/>
      <c r="BS5689" s="330"/>
      <c r="BT5689" s="331"/>
      <c r="BU5689" s="920"/>
      <c r="BV5689" s="903"/>
      <c r="BW5689" s="908"/>
      <c r="BX5689" s="908"/>
      <c r="BY5689" s="331"/>
      <c r="BZ5689" s="331"/>
      <c r="CA5689" s="462"/>
      <c r="CB5689" s="319"/>
      <c r="CC5689" s="319"/>
      <c r="CD5689" s="319"/>
      <c r="CE5689" s="319"/>
      <c r="CF5689" s="319"/>
      <c r="CG5689" s="319"/>
      <c r="CH5689" s="318"/>
      <c r="CI5689" s="319"/>
      <c r="CJ5689" s="319"/>
      <c r="CK5689" s="342"/>
      <c r="CL5689" s="333"/>
      <c r="CM5689" s="1079"/>
      <c r="CN5689" s="1005"/>
      <c r="CO5689" s="1005"/>
      <c r="CP5689" s="1005"/>
    </row>
    <row r="5690">
      <c r="A5690" s="1257"/>
      <c r="B5690" s="1113"/>
      <c r="C5690" s="1107"/>
      <c r="D5690" s="103"/>
      <c r="E5690" s="1137"/>
      <c r="F5690" s="112"/>
      <c r="G5690" s="1110"/>
      <c r="H5690" s="1138"/>
      <c r="I5690" s="1138"/>
      <c r="J5690" s="1139"/>
      <c r="K5690" s="1111"/>
      <c r="L5690" s="1112"/>
      <c r="M5690" s="1113"/>
      <c r="N5690" s="110"/>
      <c r="O5690" s="1140"/>
      <c r="P5690" s="1115"/>
      <c r="Q5690" s="1116"/>
      <c r="R5690" s="1141"/>
      <c r="S5690" s="1113"/>
      <c r="T5690" s="1143"/>
      <c r="U5690" s="1108"/>
      <c r="V5690" s="1108"/>
      <c r="W5690" s="1108"/>
      <c r="X5690" s="1108"/>
      <c r="Y5690" s="1108"/>
      <c r="Z5690" s="1114"/>
      <c r="AA5690" s="1114"/>
      <c r="AB5690" s="1114"/>
      <c r="AC5690" s="1117"/>
      <c r="AD5690" s="1115"/>
      <c r="AE5690" s="1115"/>
      <c r="AF5690" s="1115"/>
      <c r="AG5690" s="1115"/>
      <c r="AH5690" s="1115"/>
      <c r="AI5690" s="1115"/>
      <c r="AJ5690" s="1117"/>
      <c r="AK5690" s="1118"/>
      <c r="AL5690" s="1115"/>
      <c r="AM5690" s="1115"/>
      <c r="AN5690" s="1115"/>
      <c r="AO5690" s="1115"/>
      <c r="AP5690" s="1115"/>
      <c r="AQ5690" s="1115"/>
      <c r="AR5690" s="1115"/>
      <c r="AS5690" s="1117"/>
      <c r="AT5690" s="1075"/>
      <c r="AU5690" s="1193"/>
      <c r="AV5690" s="330"/>
      <c r="AW5690" s="331"/>
      <c r="AX5690" s="331"/>
      <c r="AY5690" s="331"/>
      <c r="AZ5690" s="331"/>
      <c r="BA5690" s="331"/>
      <c r="BB5690" s="331"/>
      <c r="BC5690" s="331"/>
      <c r="BD5690" s="331"/>
      <c r="BE5690" s="333"/>
      <c r="BF5690" s="330"/>
      <c r="BG5690" s="333"/>
      <c r="BH5690" s="1119"/>
      <c r="BI5690" s="319"/>
      <c r="BJ5690" s="319"/>
      <c r="BK5690" s="319"/>
      <c r="BL5690" s="319"/>
      <c r="BM5690" s="319"/>
      <c r="BN5690" s="319"/>
      <c r="BO5690" s="319"/>
      <c r="BP5690" s="953"/>
      <c r="BQ5690" s="319"/>
      <c r="BR5690" s="319"/>
      <c r="BS5690" s="330"/>
      <c r="BT5690" s="331"/>
      <c r="BU5690" s="920"/>
      <c r="BV5690" s="903"/>
      <c r="BW5690" s="908"/>
      <c r="BX5690" s="908"/>
      <c r="BY5690" s="331"/>
      <c r="BZ5690" s="331"/>
      <c r="CA5690" s="462"/>
      <c r="CB5690" s="319"/>
      <c r="CC5690" s="319"/>
      <c r="CD5690" s="319"/>
      <c r="CE5690" s="319"/>
      <c r="CF5690" s="319"/>
      <c r="CG5690" s="319"/>
      <c r="CH5690" s="318"/>
      <c r="CI5690" s="319"/>
      <c r="CJ5690" s="319"/>
      <c r="CK5690" s="342"/>
      <c r="CL5690" s="333"/>
      <c r="CM5690" s="1079"/>
      <c r="CN5690" s="1005"/>
      <c r="CO5690" s="1005"/>
      <c r="CP5690" s="1005"/>
    </row>
    <row r="5691">
      <c r="A5691" s="1257"/>
      <c r="B5691" s="1113"/>
      <c r="C5691" s="1107"/>
      <c r="D5691" s="103"/>
      <c r="E5691" s="1137"/>
      <c r="F5691" s="112"/>
      <c r="G5691" s="1110"/>
      <c r="H5691" s="1138"/>
      <c r="I5691" s="1138"/>
      <c r="J5691" s="1139"/>
      <c r="K5691" s="1111"/>
      <c r="L5691" s="1112"/>
      <c r="M5691" s="1113"/>
      <c r="N5691" s="110"/>
      <c r="O5691" s="1140"/>
      <c r="P5691" s="1115"/>
      <c r="Q5691" s="1116"/>
      <c r="R5691" s="1141"/>
      <c r="S5691" s="1113"/>
      <c r="T5691" s="1143"/>
      <c r="U5691" s="1108"/>
      <c r="V5691" s="1108"/>
      <c r="W5691" s="1108"/>
      <c r="X5691" s="1108"/>
      <c r="Y5691" s="1108"/>
      <c r="Z5691" s="1114"/>
      <c r="AA5691" s="1114"/>
      <c r="AB5691" s="1114"/>
      <c r="AC5691" s="1117"/>
      <c r="AD5691" s="1115"/>
      <c r="AE5691" s="1115"/>
      <c r="AF5691" s="1115"/>
      <c r="AG5691" s="1115"/>
      <c r="AH5691" s="1115"/>
      <c r="AI5691" s="1115"/>
      <c r="AJ5691" s="1117"/>
      <c r="AK5691" s="1118"/>
      <c r="AL5691" s="1115"/>
      <c r="AM5691" s="1115"/>
      <c r="AN5691" s="1115"/>
      <c r="AO5691" s="1115"/>
      <c r="AP5691" s="1115"/>
      <c r="AQ5691" s="1115"/>
      <c r="AR5691" s="1115"/>
      <c r="AS5691" s="1117"/>
      <c r="AT5691" s="1075"/>
      <c r="AU5691" s="1193"/>
      <c r="AV5691" s="330"/>
      <c r="AW5691" s="331"/>
      <c r="AX5691" s="331"/>
      <c r="AY5691" s="331"/>
      <c r="AZ5691" s="331"/>
      <c r="BA5691" s="331"/>
      <c r="BB5691" s="331"/>
      <c r="BC5691" s="331"/>
      <c r="BD5691" s="331"/>
      <c r="BE5691" s="333"/>
      <c r="BF5691" s="330"/>
      <c r="BG5691" s="333"/>
      <c r="BH5691" s="1119"/>
      <c r="BI5691" s="319"/>
      <c r="BJ5691" s="319"/>
      <c r="BK5691" s="319"/>
      <c r="BL5691" s="319"/>
      <c r="BM5691" s="319"/>
      <c r="BN5691" s="319"/>
      <c r="BO5691" s="319"/>
      <c r="BP5691" s="953"/>
      <c r="BQ5691" s="319"/>
      <c r="BR5691" s="319"/>
      <c r="BS5691" s="330"/>
      <c r="BT5691" s="331"/>
      <c r="BU5691" s="920"/>
      <c r="BV5691" s="903"/>
      <c r="BW5691" s="908"/>
      <c r="BX5691" s="908"/>
      <c r="BY5691" s="331"/>
      <c r="BZ5691" s="331"/>
      <c r="CA5691" s="462"/>
      <c r="CB5691" s="319"/>
      <c r="CC5691" s="319"/>
      <c r="CD5691" s="319"/>
      <c r="CE5691" s="319"/>
      <c r="CF5691" s="319"/>
      <c r="CG5691" s="319"/>
      <c r="CH5691" s="318"/>
      <c r="CI5691" s="319"/>
      <c r="CJ5691" s="319"/>
      <c r="CK5691" s="342"/>
      <c r="CL5691" s="333"/>
      <c r="CM5691" s="1079"/>
      <c r="CN5691" s="1005"/>
      <c r="CO5691" s="1005"/>
      <c r="CP5691" s="1005"/>
    </row>
    <row r="5692">
      <c r="A5692" s="1257"/>
      <c r="B5692" s="1113"/>
      <c r="C5692" s="1107"/>
      <c r="D5692" s="103"/>
      <c r="E5692" s="1137"/>
      <c r="F5692" s="112"/>
      <c r="G5692" s="1110"/>
      <c r="H5692" s="1138"/>
      <c r="I5692" s="1138"/>
      <c r="J5692" s="1139"/>
      <c r="K5692" s="1111"/>
      <c r="L5692" s="1112"/>
      <c r="M5692" s="1113"/>
      <c r="N5692" s="110"/>
      <c r="O5692" s="1140"/>
      <c r="P5692" s="1115"/>
      <c r="Q5692" s="1116"/>
      <c r="R5692" s="1141"/>
      <c r="S5692" s="1113"/>
      <c r="T5692" s="1143"/>
      <c r="U5692" s="1108"/>
      <c r="V5692" s="1108"/>
      <c r="W5692" s="1108"/>
      <c r="X5692" s="1108"/>
      <c r="Y5692" s="1108"/>
      <c r="Z5692" s="1114"/>
      <c r="AA5692" s="1114"/>
      <c r="AB5692" s="1114"/>
      <c r="AC5692" s="1117"/>
      <c r="AD5692" s="1115"/>
      <c r="AE5692" s="1115"/>
      <c r="AF5692" s="1115"/>
      <c r="AG5692" s="1115"/>
      <c r="AH5692" s="1115"/>
      <c r="AI5692" s="1115"/>
      <c r="AJ5692" s="1117"/>
      <c r="AK5692" s="1118"/>
      <c r="AL5692" s="1115"/>
      <c r="AM5692" s="1115"/>
      <c r="AN5692" s="1115"/>
      <c r="AO5692" s="1115"/>
      <c r="AP5692" s="1115"/>
      <c r="AQ5692" s="1115"/>
      <c r="AR5692" s="1115"/>
      <c r="AS5692" s="1117"/>
      <c r="AT5692" s="1075"/>
      <c r="AU5692" s="1193"/>
      <c r="AV5692" s="330"/>
      <c r="AW5692" s="331"/>
      <c r="AX5692" s="331"/>
      <c r="AY5692" s="331"/>
      <c r="AZ5692" s="331"/>
      <c r="BA5692" s="331"/>
      <c r="BB5692" s="331"/>
      <c r="BC5692" s="331"/>
      <c r="BD5692" s="331"/>
      <c r="BE5692" s="333"/>
      <c r="BF5692" s="330"/>
      <c r="BG5692" s="333"/>
      <c r="BH5692" s="1119"/>
      <c r="BI5692" s="319"/>
      <c r="BJ5692" s="319"/>
      <c r="BK5692" s="319"/>
      <c r="BL5692" s="319"/>
      <c r="BM5692" s="319"/>
      <c r="BN5692" s="319"/>
      <c r="BO5692" s="319"/>
      <c r="BP5692" s="953"/>
      <c r="BQ5692" s="319"/>
      <c r="BR5692" s="319"/>
      <c r="BS5692" s="330"/>
      <c r="BT5692" s="331"/>
      <c r="BU5692" s="920"/>
      <c r="BV5692" s="903"/>
      <c r="BW5692" s="908"/>
      <c r="BX5692" s="908"/>
      <c r="BY5692" s="331"/>
      <c r="BZ5692" s="331"/>
      <c r="CA5692" s="462"/>
      <c r="CB5692" s="319"/>
      <c r="CC5692" s="319"/>
      <c r="CD5692" s="319"/>
      <c r="CE5692" s="319"/>
      <c r="CF5692" s="319"/>
      <c r="CG5692" s="319"/>
      <c r="CH5692" s="318"/>
      <c r="CI5692" s="319"/>
      <c r="CJ5692" s="319"/>
      <c r="CK5692" s="342"/>
      <c r="CL5692" s="333"/>
      <c r="CM5692" s="1079"/>
      <c r="CN5692" s="1005"/>
      <c r="CO5692" s="1005"/>
      <c r="CP5692" s="1005"/>
    </row>
    <row r="5693">
      <c r="A5693" s="1257"/>
      <c r="B5693" s="1113"/>
      <c r="C5693" s="1107"/>
      <c r="D5693" s="103"/>
      <c r="E5693" s="1137"/>
      <c r="F5693" s="112"/>
      <c r="G5693" s="1110"/>
      <c r="H5693" s="1138"/>
      <c r="I5693" s="1138"/>
      <c r="J5693" s="1139"/>
      <c r="K5693" s="1111"/>
      <c r="L5693" s="1112"/>
      <c r="M5693" s="1113"/>
      <c r="N5693" s="110"/>
      <c r="O5693" s="1140"/>
      <c r="P5693" s="1115"/>
      <c r="Q5693" s="1116"/>
      <c r="R5693" s="1141"/>
      <c r="S5693" s="1113"/>
      <c r="T5693" s="1143"/>
      <c r="U5693" s="1108"/>
      <c r="V5693" s="1108"/>
      <c r="W5693" s="1108"/>
      <c r="X5693" s="1108"/>
      <c r="Y5693" s="1108"/>
      <c r="Z5693" s="1114"/>
      <c r="AA5693" s="1114"/>
      <c r="AB5693" s="1114"/>
      <c r="AC5693" s="1117"/>
      <c r="AD5693" s="1115"/>
      <c r="AE5693" s="1115"/>
      <c r="AF5693" s="1115"/>
      <c r="AG5693" s="1115"/>
      <c r="AH5693" s="1115"/>
      <c r="AI5693" s="1115"/>
      <c r="AJ5693" s="1117"/>
      <c r="AK5693" s="1118"/>
      <c r="AL5693" s="1115"/>
      <c r="AM5693" s="1115"/>
      <c r="AN5693" s="1115"/>
      <c r="AO5693" s="1115"/>
      <c r="AP5693" s="1115"/>
      <c r="AQ5693" s="1115"/>
      <c r="AR5693" s="1115"/>
      <c r="AS5693" s="1117"/>
      <c r="AT5693" s="1075"/>
      <c r="AU5693" s="1193"/>
      <c r="AV5693" s="330"/>
      <c r="AW5693" s="331"/>
      <c r="AX5693" s="331"/>
      <c r="AY5693" s="331"/>
      <c r="AZ5693" s="331"/>
      <c r="BA5693" s="331"/>
      <c r="BB5693" s="331"/>
      <c r="BC5693" s="331"/>
      <c r="BD5693" s="331"/>
      <c r="BE5693" s="333"/>
      <c r="BF5693" s="330"/>
      <c r="BG5693" s="333"/>
      <c r="BH5693" s="1119"/>
      <c r="BI5693" s="319"/>
      <c r="BJ5693" s="319"/>
      <c r="BK5693" s="319"/>
      <c r="BL5693" s="319"/>
      <c r="BM5693" s="319"/>
      <c r="BN5693" s="319"/>
      <c r="BO5693" s="319"/>
      <c r="BP5693" s="953"/>
      <c r="BQ5693" s="319"/>
      <c r="BR5693" s="319"/>
      <c r="BS5693" s="330"/>
      <c r="BT5693" s="331"/>
      <c r="BU5693" s="920"/>
      <c r="BV5693" s="903"/>
      <c r="BW5693" s="908"/>
      <c r="BX5693" s="908"/>
      <c r="BY5693" s="331"/>
      <c r="BZ5693" s="331"/>
      <c r="CA5693" s="462"/>
      <c r="CB5693" s="319"/>
      <c r="CC5693" s="319"/>
      <c r="CD5693" s="319"/>
      <c r="CE5693" s="319"/>
      <c r="CF5693" s="319"/>
      <c r="CG5693" s="319"/>
      <c r="CH5693" s="318"/>
      <c r="CI5693" s="319"/>
      <c r="CJ5693" s="319"/>
      <c r="CK5693" s="342"/>
      <c r="CL5693" s="333"/>
      <c r="CM5693" s="1079"/>
      <c r="CN5693" s="1005"/>
      <c r="CO5693" s="1005"/>
      <c r="CP5693" s="1005"/>
    </row>
    <row r="5694">
      <c r="A5694" s="1257"/>
      <c r="B5694" s="1113"/>
      <c r="C5694" s="1107"/>
      <c r="D5694" s="103"/>
      <c r="E5694" s="1137"/>
      <c r="F5694" s="112"/>
      <c r="G5694" s="1110"/>
      <c r="H5694" s="1138"/>
      <c r="I5694" s="1138"/>
      <c r="J5694" s="1139"/>
      <c r="K5694" s="1111"/>
      <c r="L5694" s="1112"/>
      <c r="M5694" s="1113"/>
      <c r="N5694" s="110"/>
      <c r="O5694" s="1140"/>
      <c r="P5694" s="1115"/>
      <c r="Q5694" s="1116"/>
      <c r="R5694" s="1141"/>
      <c r="S5694" s="1113"/>
      <c r="T5694" s="1143"/>
      <c r="U5694" s="1108"/>
      <c r="V5694" s="1108"/>
      <c r="W5694" s="1108"/>
      <c r="X5694" s="1108"/>
      <c r="Y5694" s="1108"/>
      <c r="Z5694" s="1114"/>
      <c r="AA5694" s="1114"/>
      <c r="AB5694" s="1114"/>
      <c r="AC5694" s="1117"/>
      <c r="AD5694" s="1115"/>
      <c r="AE5694" s="1115"/>
      <c r="AF5694" s="1115"/>
      <c r="AG5694" s="1115"/>
      <c r="AH5694" s="1115"/>
      <c r="AI5694" s="1115"/>
      <c r="AJ5694" s="1117"/>
      <c r="AK5694" s="1118"/>
      <c r="AL5694" s="1115"/>
      <c r="AM5694" s="1115"/>
      <c r="AN5694" s="1115"/>
      <c r="AO5694" s="1115"/>
      <c r="AP5694" s="1115"/>
      <c r="AQ5694" s="1115"/>
      <c r="AR5694" s="1115"/>
      <c r="AS5694" s="1117"/>
      <c r="AT5694" s="1075"/>
      <c r="AU5694" s="1193"/>
      <c r="AV5694" s="330"/>
      <c r="AW5694" s="331"/>
      <c r="AX5694" s="331"/>
      <c r="AY5694" s="331"/>
      <c r="AZ5694" s="331"/>
      <c r="BA5694" s="331"/>
      <c r="BB5694" s="331"/>
      <c r="BC5694" s="331"/>
      <c r="BD5694" s="331"/>
      <c r="BE5694" s="333"/>
      <c r="BF5694" s="330"/>
      <c r="BG5694" s="333"/>
      <c r="BH5694" s="1119"/>
      <c r="BI5694" s="319"/>
      <c r="BJ5694" s="319"/>
      <c r="BK5694" s="319"/>
      <c r="BL5694" s="319"/>
      <c r="BM5694" s="319"/>
      <c r="BN5694" s="319"/>
      <c r="BO5694" s="319"/>
      <c r="BP5694" s="953"/>
      <c r="BQ5694" s="319"/>
      <c r="BR5694" s="319"/>
      <c r="BS5694" s="330"/>
      <c r="BT5694" s="331"/>
      <c r="BU5694" s="920"/>
      <c r="BV5694" s="903"/>
      <c r="BW5694" s="908"/>
      <c r="BX5694" s="908"/>
      <c r="BY5694" s="331"/>
      <c r="BZ5694" s="331"/>
      <c r="CA5694" s="462"/>
      <c r="CB5694" s="319"/>
      <c r="CC5694" s="319"/>
      <c r="CD5694" s="319"/>
      <c r="CE5694" s="319"/>
      <c r="CF5694" s="319"/>
      <c r="CG5694" s="319"/>
      <c r="CH5694" s="318"/>
      <c r="CI5694" s="319"/>
      <c r="CJ5694" s="319"/>
      <c r="CK5694" s="342"/>
      <c r="CL5694" s="333"/>
      <c r="CM5694" s="1079"/>
      <c r="CN5694" s="1005"/>
      <c r="CO5694" s="1005"/>
      <c r="CP5694" s="1005"/>
    </row>
    <row r="5695">
      <c r="A5695" s="1257"/>
      <c r="B5695" s="1113"/>
      <c r="C5695" s="1107"/>
      <c r="D5695" s="103"/>
      <c r="E5695" s="1137"/>
      <c r="F5695" s="112"/>
      <c r="G5695" s="1110"/>
      <c r="H5695" s="1138"/>
      <c r="I5695" s="1138"/>
      <c r="J5695" s="1139"/>
      <c r="K5695" s="1111"/>
      <c r="L5695" s="1112"/>
      <c r="M5695" s="1113"/>
      <c r="N5695" s="110"/>
      <c r="O5695" s="1140"/>
      <c r="P5695" s="1115"/>
      <c r="Q5695" s="1116"/>
      <c r="R5695" s="1141"/>
      <c r="S5695" s="1113"/>
      <c r="T5695" s="1143"/>
      <c r="U5695" s="1108"/>
      <c r="V5695" s="1108"/>
      <c r="W5695" s="1108"/>
      <c r="X5695" s="1108"/>
      <c r="Y5695" s="1108"/>
      <c r="Z5695" s="1114"/>
      <c r="AA5695" s="1114"/>
      <c r="AB5695" s="1114"/>
      <c r="AC5695" s="1117"/>
      <c r="AD5695" s="1115"/>
      <c r="AE5695" s="1115"/>
      <c r="AF5695" s="1115"/>
      <c r="AG5695" s="1115"/>
      <c r="AH5695" s="1115"/>
      <c r="AI5695" s="1115"/>
      <c r="AJ5695" s="1117"/>
      <c r="AK5695" s="1118"/>
      <c r="AL5695" s="1115"/>
      <c r="AM5695" s="1115"/>
      <c r="AN5695" s="1115"/>
      <c r="AO5695" s="1115"/>
      <c r="AP5695" s="1115"/>
      <c r="AQ5695" s="1115"/>
      <c r="AR5695" s="1115"/>
      <c r="AS5695" s="1117"/>
      <c r="AT5695" s="1075"/>
      <c r="AU5695" s="1193"/>
      <c r="AV5695" s="330"/>
      <c r="AW5695" s="331"/>
      <c r="AX5695" s="331"/>
      <c r="AY5695" s="331"/>
      <c r="AZ5695" s="331"/>
      <c r="BA5695" s="331"/>
      <c r="BB5695" s="331"/>
      <c r="BC5695" s="331"/>
      <c r="BD5695" s="331"/>
      <c r="BE5695" s="333"/>
      <c r="BF5695" s="330"/>
      <c r="BG5695" s="333"/>
      <c r="BH5695" s="1119"/>
      <c r="BI5695" s="319"/>
      <c r="BJ5695" s="319"/>
      <c r="BK5695" s="319"/>
      <c r="BL5695" s="319"/>
      <c r="BM5695" s="319"/>
      <c r="BN5695" s="319"/>
      <c r="BO5695" s="319"/>
      <c r="BP5695" s="953"/>
      <c r="BQ5695" s="319"/>
      <c r="BR5695" s="319"/>
      <c r="BS5695" s="330"/>
      <c r="BT5695" s="331"/>
      <c r="BU5695" s="920"/>
      <c r="BV5695" s="903"/>
      <c r="BW5695" s="908"/>
      <c r="BX5695" s="908"/>
      <c r="BY5695" s="331"/>
      <c r="BZ5695" s="331"/>
      <c r="CA5695" s="462"/>
      <c r="CB5695" s="319"/>
      <c r="CC5695" s="319"/>
      <c r="CD5695" s="319"/>
      <c r="CE5695" s="319"/>
      <c r="CF5695" s="319"/>
      <c r="CG5695" s="319"/>
      <c r="CH5695" s="318"/>
      <c r="CI5695" s="319"/>
      <c r="CJ5695" s="319"/>
      <c r="CK5695" s="342"/>
      <c r="CL5695" s="333"/>
      <c r="CM5695" s="1079"/>
      <c r="CN5695" s="1005"/>
      <c r="CO5695" s="1005"/>
      <c r="CP5695" s="1005"/>
    </row>
    <row r="5696">
      <c r="A5696" s="1257"/>
      <c r="B5696" s="1113"/>
      <c r="C5696" s="1107"/>
      <c r="D5696" s="103"/>
      <c r="E5696" s="1137"/>
      <c r="F5696" s="112"/>
      <c r="G5696" s="1110"/>
      <c r="H5696" s="1138"/>
      <c r="I5696" s="1138"/>
      <c r="J5696" s="1139"/>
      <c r="K5696" s="1111"/>
      <c r="L5696" s="1112"/>
      <c r="M5696" s="1113"/>
      <c r="N5696" s="110"/>
      <c r="O5696" s="1140"/>
      <c r="P5696" s="1115"/>
      <c r="Q5696" s="1116"/>
      <c r="R5696" s="1141"/>
      <c r="S5696" s="1113"/>
      <c r="T5696" s="1143"/>
      <c r="U5696" s="1108"/>
      <c r="V5696" s="1108"/>
      <c r="W5696" s="1108"/>
      <c r="X5696" s="1108"/>
      <c r="Y5696" s="1108"/>
      <c r="Z5696" s="1114"/>
      <c r="AA5696" s="1114"/>
      <c r="AB5696" s="1114"/>
      <c r="AC5696" s="1117"/>
      <c r="AD5696" s="1115"/>
      <c r="AE5696" s="1115"/>
      <c r="AF5696" s="1115"/>
      <c r="AG5696" s="1115"/>
      <c r="AH5696" s="1115"/>
      <c r="AI5696" s="1115"/>
      <c r="AJ5696" s="1117"/>
      <c r="AK5696" s="1118"/>
      <c r="AL5696" s="1115"/>
      <c r="AM5696" s="1115"/>
      <c r="AN5696" s="1115"/>
      <c r="AO5696" s="1115"/>
      <c r="AP5696" s="1115"/>
      <c r="AQ5696" s="1115"/>
      <c r="AR5696" s="1115"/>
      <c r="AS5696" s="1117"/>
      <c r="AT5696" s="1075"/>
      <c r="AU5696" s="1193"/>
      <c r="AV5696" s="330"/>
      <c r="AW5696" s="331"/>
      <c r="AX5696" s="331"/>
      <c r="AY5696" s="331"/>
      <c r="AZ5696" s="331"/>
      <c r="BA5696" s="331"/>
      <c r="BB5696" s="331"/>
      <c r="BC5696" s="331"/>
      <c r="BD5696" s="331"/>
      <c r="BE5696" s="333"/>
      <c r="BF5696" s="330"/>
      <c r="BG5696" s="333"/>
      <c r="BH5696" s="1119"/>
      <c r="BI5696" s="319"/>
      <c r="BJ5696" s="319"/>
      <c r="BK5696" s="319"/>
      <c r="BL5696" s="319"/>
      <c r="BM5696" s="319"/>
      <c r="BN5696" s="319"/>
      <c r="BO5696" s="319"/>
      <c r="BP5696" s="953"/>
      <c r="BQ5696" s="319"/>
      <c r="BR5696" s="319"/>
      <c r="BS5696" s="330"/>
      <c r="BT5696" s="331"/>
      <c r="BU5696" s="920"/>
      <c r="BV5696" s="903"/>
      <c r="BW5696" s="908"/>
      <c r="BX5696" s="908"/>
      <c r="BY5696" s="331"/>
      <c r="BZ5696" s="331"/>
      <c r="CA5696" s="462"/>
      <c r="CB5696" s="319"/>
      <c r="CC5696" s="319"/>
      <c r="CD5696" s="319"/>
      <c r="CE5696" s="319"/>
      <c r="CF5696" s="319"/>
      <c r="CG5696" s="319"/>
      <c r="CH5696" s="318"/>
      <c r="CI5696" s="319"/>
      <c r="CJ5696" s="319"/>
      <c r="CK5696" s="342"/>
      <c r="CL5696" s="333"/>
      <c r="CM5696" s="1079"/>
      <c r="CN5696" s="1005"/>
      <c r="CO5696" s="1005"/>
      <c r="CP5696" s="1005"/>
    </row>
    <row r="5697">
      <c r="A5697" s="1257"/>
      <c r="B5697" s="1113"/>
      <c r="C5697" s="1107"/>
      <c r="D5697" s="103"/>
      <c r="E5697" s="1137"/>
      <c r="F5697" s="112"/>
      <c r="G5697" s="1110"/>
      <c r="H5697" s="1138"/>
      <c r="I5697" s="1138"/>
      <c r="J5697" s="1139"/>
      <c r="K5697" s="1111"/>
      <c r="L5697" s="1112"/>
      <c r="M5697" s="1113"/>
      <c r="N5697" s="110"/>
      <c r="O5697" s="1140"/>
      <c r="P5697" s="1115"/>
      <c r="Q5697" s="1116"/>
      <c r="R5697" s="1141"/>
      <c r="S5697" s="1113"/>
      <c r="T5697" s="1143"/>
      <c r="U5697" s="1108"/>
      <c r="V5697" s="1108"/>
      <c r="W5697" s="1108"/>
      <c r="X5697" s="1108"/>
      <c r="Y5697" s="1108"/>
      <c r="Z5697" s="1114"/>
      <c r="AA5697" s="1114"/>
      <c r="AB5697" s="1114"/>
      <c r="AC5697" s="1117"/>
      <c r="AD5697" s="1115"/>
      <c r="AE5697" s="1115"/>
      <c r="AF5697" s="1115"/>
      <c r="AG5697" s="1115"/>
      <c r="AH5697" s="1115"/>
      <c r="AI5697" s="1115"/>
      <c r="AJ5697" s="1117"/>
      <c r="AK5697" s="1118"/>
      <c r="AL5697" s="1115"/>
      <c r="AM5697" s="1115"/>
      <c r="AN5697" s="1115"/>
      <c r="AO5697" s="1115"/>
      <c r="AP5697" s="1115"/>
      <c r="AQ5697" s="1115"/>
      <c r="AR5697" s="1115"/>
      <c r="AS5697" s="1117"/>
      <c r="AT5697" s="1075"/>
      <c r="AU5697" s="1193"/>
      <c r="AV5697" s="330"/>
      <c r="AW5697" s="331"/>
      <c r="AX5697" s="331"/>
      <c r="AY5697" s="331"/>
      <c r="AZ5697" s="331"/>
      <c r="BA5697" s="331"/>
      <c r="BB5697" s="331"/>
      <c r="BC5697" s="331"/>
      <c r="BD5697" s="331"/>
      <c r="BE5697" s="333"/>
      <c r="BF5697" s="330"/>
      <c r="BG5697" s="333"/>
      <c r="BH5697" s="1119"/>
      <c r="BI5697" s="319"/>
      <c r="BJ5697" s="319"/>
      <c r="BK5697" s="319"/>
      <c r="BL5697" s="319"/>
      <c r="BM5697" s="319"/>
      <c r="BN5697" s="319"/>
      <c r="BO5697" s="319"/>
      <c r="BP5697" s="953"/>
      <c r="BQ5697" s="319"/>
      <c r="BR5697" s="319"/>
      <c r="BS5697" s="330"/>
      <c r="BT5697" s="331"/>
      <c r="BU5697" s="920"/>
      <c r="BV5697" s="903"/>
      <c r="BW5697" s="908"/>
      <c r="BX5697" s="908"/>
      <c r="BY5697" s="331"/>
      <c r="BZ5697" s="331"/>
      <c r="CA5697" s="462"/>
      <c r="CB5697" s="319"/>
      <c r="CC5697" s="319"/>
      <c r="CD5697" s="319"/>
      <c r="CE5697" s="319"/>
      <c r="CF5697" s="319"/>
      <c r="CG5697" s="319"/>
      <c r="CH5697" s="318"/>
      <c r="CI5697" s="319"/>
      <c r="CJ5697" s="319"/>
      <c r="CK5697" s="342"/>
      <c r="CL5697" s="333"/>
      <c r="CM5697" s="1079"/>
      <c r="CN5697" s="1005"/>
      <c r="CO5697" s="1005"/>
      <c r="CP5697" s="1005"/>
    </row>
    <row r="5698">
      <c r="A5698" s="1257"/>
      <c r="B5698" s="1113"/>
      <c r="C5698" s="1107"/>
      <c r="D5698" s="103"/>
      <c r="E5698" s="1137"/>
      <c r="F5698" s="112"/>
      <c r="G5698" s="1110"/>
      <c r="H5698" s="1138"/>
      <c r="I5698" s="1138"/>
      <c r="J5698" s="1139"/>
      <c r="K5698" s="1111"/>
      <c r="L5698" s="1112"/>
      <c r="M5698" s="1113"/>
      <c r="N5698" s="110"/>
      <c r="O5698" s="1140"/>
      <c r="P5698" s="1115"/>
      <c r="Q5698" s="1116"/>
      <c r="R5698" s="1141"/>
      <c r="S5698" s="1113"/>
      <c r="T5698" s="1143"/>
      <c r="U5698" s="1108"/>
      <c r="V5698" s="1108"/>
      <c r="W5698" s="1108"/>
      <c r="X5698" s="1108"/>
      <c r="Y5698" s="1108"/>
      <c r="Z5698" s="1114"/>
      <c r="AA5698" s="1114"/>
      <c r="AB5698" s="1114"/>
      <c r="AC5698" s="1117"/>
      <c r="AD5698" s="1115"/>
      <c r="AE5698" s="1115"/>
      <c r="AF5698" s="1115"/>
      <c r="AG5698" s="1115"/>
      <c r="AH5698" s="1115"/>
      <c r="AI5698" s="1115"/>
      <c r="AJ5698" s="1117"/>
      <c r="AK5698" s="1118"/>
      <c r="AL5698" s="1115"/>
      <c r="AM5698" s="1115"/>
      <c r="AN5698" s="1115"/>
      <c r="AO5698" s="1115"/>
      <c r="AP5698" s="1115"/>
      <c r="AQ5698" s="1115"/>
      <c r="AR5698" s="1115"/>
      <c r="AS5698" s="1117"/>
      <c r="AT5698" s="1075"/>
      <c r="AU5698" s="1193"/>
      <c r="AV5698" s="330"/>
      <c r="AW5698" s="331"/>
      <c r="AX5698" s="331"/>
      <c r="AY5698" s="331"/>
      <c r="AZ5698" s="331"/>
      <c r="BA5698" s="331"/>
      <c r="BB5698" s="331"/>
      <c r="BC5698" s="331"/>
      <c r="BD5698" s="331"/>
      <c r="BE5698" s="333"/>
      <c r="BF5698" s="330"/>
      <c r="BG5698" s="333"/>
      <c r="BH5698" s="1119"/>
      <c r="BI5698" s="319"/>
      <c r="BJ5698" s="319"/>
      <c r="BK5698" s="319"/>
      <c r="BL5698" s="319"/>
      <c r="BM5698" s="319"/>
      <c r="BN5698" s="319"/>
      <c r="BO5698" s="319"/>
      <c r="BP5698" s="953"/>
      <c r="BQ5698" s="319"/>
      <c r="BR5698" s="319"/>
      <c r="BS5698" s="330"/>
      <c r="BT5698" s="331"/>
      <c r="BU5698" s="920"/>
      <c r="BV5698" s="903"/>
      <c r="BW5698" s="908"/>
      <c r="BX5698" s="908"/>
      <c r="BY5698" s="331"/>
      <c r="BZ5698" s="331"/>
      <c r="CA5698" s="462"/>
      <c r="CB5698" s="319"/>
      <c r="CC5698" s="319"/>
      <c r="CD5698" s="319"/>
      <c r="CE5698" s="319"/>
      <c r="CF5698" s="319"/>
      <c r="CG5698" s="319"/>
      <c r="CH5698" s="318"/>
      <c r="CI5698" s="319"/>
      <c r="CJ5698" s="319"/>
      <c r="CK5698" s="342"/>
      <c r="CL5698" s="333"/>
      <c r="CM5698" s="1079"/>
      <c r="CN5698" s="1005"/>
      <c r="CO5698" s="1005"/>
      <c r="CP5698" s="1005"/>
    </row>
    <row r="5699">
      <c r="A5699" s="1257"/>
      <c r="B5699" s="1113"/>
      <c r="C5699" s="1107"/>
      <c r="D5699" s="103"/>
      <c r="E5699" s="1137"/>
      <c r="F5699" s="112"/>
      <c r="G5699" s="1110"/>
      <c r="H5699" s="1138"/>
      <c r="I5699" s="1138"/>
      <c r="J5699" s="1139"/>
      <c r="K5699" s="1111"/>
      <c r="L5699" s="1112"/>
      <c r="M5699" s="1113"/>
      <c r="N5699" s="110"/>
      <c r="O5699" s="1140"/>
      <c r="P5699" s="1115"/>
      <c r="Q5699" s="1116"/>
      <c r="R5699" s="1141"/>
      <c r="S5699" s="1113"/>
      <c r="T5699" s="1143"/>
      <c r="U5699" s="1108"/>
      <c r="V5699" s="1108"/>
      <c r="W5699" s="1108"/>
      <c r="X5699" s="1108"/>
      <c r="Y5699" s="1108"/>
      <c r="Z5699" s="1114"/>
      <c r="AA5699" s="1114"/>
      <c r="AB5699" s="1114"/>
      <c r="AC5699" s="1117"/>
      <c r="AD5699" s="1115"/>
      <c r="AE5699" s="1115"/>
      <c r="AF5699" s="1115"/>
      <c r="AG5699" s="1115"/>
      <c r="AH5699" s="1115"/>
      <c r="AI5699" s="1115"/>
      <c r="AJ5699" s="1117"/>
      <c r="AK5699" s="1118"/>
      <c r="AL5699" s="1115"/>
      <c r="AM5699" s="1115"/>
      <c r="AN5699" s="1115"/>
      <c r="AO5699" s="1115"/>
      <c r="AP5699" s="1115"/>
      <c r="AQ5699" s="1115"/>
      <c r="AR5699" s="1115"/>
      <c r="AS5699" s="1117"/>
      <c r="AT5699" s="1075"/>
      <c r="AU5699" s="1193"/>
      <c r="AV5699" s="330"/>
      <c r="AW5699" s="331"/>
      <c r="AX5699" s="331"/>
      <c r="AY5699" s="331"/>
      <c r="AZ5699" s="331"/>
      <c r="BA5699" s="331"/>
      <c r="BB5699" s="331"/>
      <c r="BC5699" s="331"/>
      <c r="BD5699" s="331"/>
      <c r="BE5699" s="333"/>
      <c r="BF5699" s="330"/>
      <c r="BG5699" s="333"/>
      <c r="BH5699" s="1119"/>
      <c r="BI5699" s="319"/>
      <c r="BJ5699" s="319"/>
      <c r="BK5699" s="319"/>
      <c r="BL5699" s="319"/>
      <c r="BM5699" s="319"/>
      <c r="BN5699" s="319"/>
      <c r="BO5699" s="319"/>
      <c r="BP5699" s="953"/>
      <c r="BQ5699" s="319"/>
      <c r="BR5699" s="319"/>
      <c r="BS5699" s="330"/>
      <c r="BT5699" s="331"/>
      <c r="BU5699" s="920"/>
      <c r="BV5699" s="903"/>
      <c r="BW5699" s="908"/>
      <c r="BX5699" s="908"/>
      <c r="BY5699" s="331"/>
      <c r="BZ5699" s="331"/>
      <c r="CA5699" s="462"/>
      <c r="CB5699" s="319"/>
      <c r="CC5699" s="319"/>
      <c r="CD5699" s="319"/>
      <c r="CE5699" s="319"/>
      <c r="CF5699" s="319"/>
      <c r="CG5699" s="319"/>
      <c r="CH5699" s="318"/>
      <c r="CI5699" s="319"/>
      <c r="CJ5699" s="319"/>
      <c r="CK5699" s="342"/>
      <c r="CL5699" s="333"/>
      <c r="CM5699" s="1079"/>
      <c r="CN5699" s="1005"/>
      <c r="CO5699" s="1005"/>
      <c r="CP5699" s="1005"/>
    </row>
    <row r="5700">
      <c r="A5700" s="1257"/>
      <c r="B5700" s="1113"/>
      <c r="C5700" s="1107"/>
      <c r="D5700" s="103"/>
      <c r="E5700" s="1137"/>
      <c r="F5700" s="112"/>
      <c r="G5700" s="1110"/>
      <c r="H5700" s="1138"/>
      <c r="I5700" s="1138"/>
      <c r="J5700" s="1139"/>
      <c r="K5700" s="1111"/>
      <c r="L5700" s="1112"/>
      <c r="M5700" s="1113"/>
      <c r="N5700" s="110"/>
      <c r="O5700" s="1140"/>
      <c r="P5700" s="1115"/>
      <c r="Q5700" s="1116"/>
      <c r="R5700" s="1141"/>
      <c r="S5700" s="1113"/>
      <c r="T5700" s="1143"/>
      <c r="U5700" s="1108"/>
      <c r="V5700" s="1108"/>
      <c r="W5700" s="1108"/>
      <c r="X5700" s="1108"/>
      <c r="Y5700" s="1108"/>
      <c r="Z5700" s="1114"/>
      <c r="AA5700" s="1114"/>
      <c r="AB5700" s="1114"/>
      <c r="AC5700" s="1117"/>
      <c r="AD5700" s="1115"/>
      <c r="AE5700" s="1115"/>
      <c r="AF5700" s="1115"/>
      <c r="AG5700" s="1115"/>
      <c r="AH5700" s="1115"/>
      <c r="AI5700" s="1115"/>
      <c r="AJ5700" s="1117"/>
      <c r="AK5700" s="1118"/>
      <c r="AL5700" s="1115"/>
      <c r="AM5700" s="1115"/>
      <c r="AN5700" s="1115"/>
      <c r="AO5700" s="1115"/>
      <c r="AP5700" s="1115"/>
      <c r="AQ5700" s="1115"/>
      <c r="AR5700" s="1115"/>
      <c r="AS5700" s="1117"/>
      <c r="AT5700" s="1075"/>
      <c r="AU5700" s="1193"/>
      <c r="AV5700" s="330"/>
      <c r="AW5700" s="331"/>
      <c r="AX5700" s="331"/>
      <c r="AY5700" s="331"/>
      <c r="AZ5700" s="331"/>
      <c r="BA5700" s="331"/>
      <c r="BB5700" s="331"/>
      <c r="BC5700" s="331"/>
      <c r="BD5700" s="331"/>
      <c r="BE5700" s="333"/>
      <c r="BF5700" s="330"/>
      <c r="BG5700" s="333"/>
      <c r="BH5700" s="1119"/>
      <c r="BI5700" s="319"/>
      <c r="BJ5700" s="319"/>
      <c r="BK5700" s="319"/>
      <c r="BL5700" s="319"/>
      <c r="BM5700" s="319"/>
      <c r="BN5700" s="319"/>
      <c r="BO5700" s="319"/>
      <c r="BP5700" s="953"/>
      <c r="BQ5700" s="319"/>
      <c r="BR5700" s="319"/>
      <c r="BS5700" s="330"/>
      <c r="BT5700" s="331"/>
      <c r="BU5700" s="920"/>
      <c r="BV5700" s="903"/>
      <c r="BW5700" s="908"/>
      <c r="BX5700" s="908"/>
      <c r="BY5700" s="331"/>
      <c r="BZ5700" s="331"/>
      <c r="CA5700" s="462"/>
      <c r="CB5700" s="319"/>
      <c r="CC5700" s="319"/>
      <c r="CD5700" s="319"/>
      <c r="CE5700" s="319"/>
      <c r="CF5700" s="319"/>
      <c r="CG5700" s="319"/>
      <c r="CH5700" s="318"/>
      <c r="CI5700" s="319"/>
      <c r="CJ5700" s="319"/>
      <c r="CK5700" s="342"/>
      <c r="CL5700" s="333"/>
      <c r="CM5700" s="1079"/>
      <c r="CN5700" s="1005"/>
      <c r="CO5700" s="1005"/>
      <c r="CP5700" s="1005"/>
    </row>
    <row r="5701">
      <c r="A5701" s="1257"/>
      <c r="B5701" s="1113"/>
      <c r="C5701" s="1107"/>
      <c r="D5701" s="103"/>
      <c r="E5701" s="1137"/>
      <c r="F5701" s="112"/>
      <c r="G5701" s="1110"/>
      <c r="H5701" s="1138"/>
      <c r="I5701" s="1138"/>
      <c r="J5701" s="1139"/>
      <c r="K5701" s="1111"/>
      <c r="L5701" s="1112"/>
      <c r="M5701" s="1113"/>
      <c r="N5701" s="110"/>
      <c r="O5701" s="1140"/>
      <c r="P5701" s="1115"/>
      <c r="Q5701" s="1116"/>
      <c r="R5701" s="1141"/>
      <c r="S5701" s="1113"/>
      <c r="T5701" s="1143"/>
      <c r="U5701" s="1108"/>
      <c r="V5701" s="1108"/>
      <c r="W5701" s="1108"/>
      <c r="X5701" s="1108"/>
      <c r="Y5701" s="1108"/>
      <c r="Z5701" s="1114"/>
      <c r="AA5701" s="1114"/>
      <c r="AB5701" s="1114"/>
      <c r="AC5701" s="1117"/>
      <c r="AD5701" s="1115"/>
      <c r="AE5701" s="1115"/>
      <c r="AF5701" s="1115"/>
      <c r="AG5701" s="1115"/>
      <c r="AH5701" s="1115"/>
      <c r="AI5701" s="1115"/>
      <c r="AJ5701" s="1117"/>
      <c r="AK5701" s="1118"/>
      <c r="AL5701" s="1115"/>
      <c r="AM5701" s="1115"/>
      <c r="AN5701" s="1115"/>
      <c r="AO5701" s="1115"/>
      <c r="AP5701" s="1115"/>
      <c r="AQ5701" s="1115"/>
      <c r="AR5701" s="1115"/>
      <c r="AS5701" s="1117"/>
      <c r="AT5701" s="1075"/>
      <c r="AU5701" s="1193"/>
      <c r="AV5701" s="330"/>
      <c r="AW5701" s="331"/>
      <c r="AX5701" s="331"/>
      <c r="AY5701" s="331"/>
      <c r="AZ5701" s="331"/>
      <c r="BA5701" s="331"/>
      <c r="BB5701" s="331"/>
      <c r="BC5701" s="331"/>
      <c r="BD5701" s="331"/>
      <c r="BE5701" s="333"/>
      <c r="BF5701" s="330"/>
      <c r="BG5701" s="333"/>
      <c r="BH5701" s="1119"/>
      <c r="BI5701" s="319"/>
      <c r="BJ5701" s="319"/>
      <c r="BK5701" s="319"/>
      <c r="BL5701" s="319"/>
      <c r="BM5701" s="319"/>
      <c r="BN5701" s="319"/>
      <c r="BO5701" s="319"/>
      <c r="BP5701" s="953"/>
      <c r="BQ5701" s="319"/>
      <c r="BR5701" s="319"/>
      <c r="BS5701" s="330"/>
      <c r="BT5701" s="331"/>
      <c r="BU5701" s="920"/>
      <c r="BV5701" s="903"/>
      <c r="BW5701" s="908"/>
      <c r="BX5701" s="908"/>
      <c r="BY5701" s="331"/>
      <c r="BZ5701" s="331"/>
      <c r="CA5701" s="462"/>
      <c r="CB5701" s="319"/>
      <c r="CC5701" s="319"/>
      <c r="CD5701" s="319"/>
      <c r="CE5701" s="319"/>
      <c r="CF5701" s="319"/>
      <c r="CG5701" s="319"/>
      <c r="CH5701" s="318"/>
      <c r="CI5701" s="319"/>
      <c r="CJ5701" s="319"/>
      <c r="CK5701" s="342"/>
      <c r="CL5701" s="333"/>
      <c r="CM5701" s="1079"/>
      <c r="CN5701" s="1005"/>
      <c r="CO5701" s="1005"/>
      <c r="CP5701" s="1005"/>
    </row>
    <row r="5702">
      <c r="A5702" s="1257"/>
      <c r="B5702" s="1113"/>
      <c r="C5702" s="1107"/>
      <c r="D5702" s="103"/>
      <c r="E5702" s="1137"/>
      <c r="F5702" s="112"/>
      <c r="G5702" s="1110"/>
      <c r="H5702" s="1138"/>
      <c r="I5702" s="1138"/>
      <c r="J5702" s="1139"/>
      <c r="K5702" s="1111"/>
      <c r="L5702" s="1112"/>
      <c r="M5702" s="1113"/>
      <c r="N5702" s="110"/>
      <c r="O5702" s="1140"/>
      <c r="P5702" s="1115"/>
      <c r="Q5702" s="1116"/>
      <c r="R5702" s="1141"/>
      <c r="S5702" s="1113"/>
      <c r="T5702" s="1143"/>
      <c r="U5702" s="1108"/>
      <c r="V5702" s="1108"/>
      <c r="W5702" s="1108"/>
      <c r="X5702" s="1108"/>
      <c r="Y5702" s="1108"/>
      <c r="Z5702" s="1114"/>
      <c r="AA5702" s="1114"/>
      <c r="AB5702" s="1114"/>
      <c r="AC5702" s="1117"/>
      <c r="AD5702" s="1115"/>
      <c r="AE5702" s="1115"/>
      <c r="AF5702" s="1115"/>
      <c r="AG5702" s="1115"/>
      <c r="AH5702" s="1115"/>
      <c r="AI5702" s="1115"/>
      <c r="AJ5702" s="1117"/>
      <c r="AK5702" s="1118"/>
      <c r="AL5702" s="1115"/>
      <c r="AM5702" s="1115"/>
      <c r="AN5702" s="1115"/>
      <c r="AO5702" s="1115"/>
      <c r="AP5702" s="1115"/>
      <c r="AQ5702" s="1115"/>
      <c r="AR5702" s="1115"/>
      <c r="AS5702" s="1117"/>
      <c r="AT5702" s="1075"/>
      <c r="AU5702" s="1193"/>
      <c r="AV5702" s="330"/>
      <c r="AW5702" s="331"/>
      <c r="AX5702" s="331"/>
      <c r="AY5702" s="331"/>
      <c r="AZ5702" s="331"/>
      <c r="BA5702" s="331"/>
      <c r="BB5702" s="331"/>
      <c r="BC5702" s="331"/>
      <c r="BD5702" s="331"/>
      <c r="BE5702" s="333"/>
      <c r="BF5702" s="330"/>
      <c r="BG5702" s="333"/>
      <c r="BH5702" s="1119"/>
      <c r="BI5702" s="319"/>
      <c r="BJ5702" s="319"/>
      <c r="BK5702" s="319"/>
      <c r="BL5702" s="319"/>
      <c r="BM5702" s="319"/>
      <c r="BN5702" s="319"/>
      <c r="BO5702" s="319"/>
      <c r="BP5702" s="953"/>
      <c r="BQ5702" s="319"/>
      <c r="BR5702" s="319"/>
      <c r="BS5702" s="330"/>
      <c r="BT5702" s="331"/>
      <c r="BU5702" s="920"/>
      <c r="BV5702" s="903"/>
      <c r="BW5702" s="908"/>
      <c r="BX5702" s="908"/>
      <c r="BY5702" s="331"/>
      <c r="BZ5702" s="331"/>
      <c r="CA5702" s="462"/>
      <c r="CB5702" s="319"/>
      <c r="CC5702" s="319"/>
      <c r="CD5702" s="319"/>
      <c r="CE5702" s="319"/>
      <c r="CF5702" s="319"/>
      <c r="CG5702" s="319"/>
      <c r="CH5702" s="318"/>
      <c r="CI5702" s="319"/>
      <c r="CJ5702" s="319"/>
      <c r="CK5702" s="342"/>
      <c r="CL5702" s="333"/>
      <c r="CM5702" s="1079"/>
      <c r="CN5702" s="1005"/>
      <c r="CO5702" s="1005"/>
      <c r="CP5702" s="1005"/>
    </row>
    <row r="5703">
      <c r="A5703" s="1257"/>
      <c r="B5703" s="1113"/>
      <c r="C5703" s="1107"/>
      <c r="D5703" s="103"/>
      <c r="E5703" s="1137"/>
      <c r="F5703" s="112"/>
      <c r="G5703" s="1110"/>
      <c r="H5703" s="1138"/>
      <c r="I5703" s="1138"/>
      <c r="J5703" s="1139"/>
      <c r="K5703" s="1111"/>
      <c r="L5703" s="1112"/>
      <c r="M5703" s="1113"/>
      <c r="N5703" s="110"/>
      <c r="O5703" s="1140"/>
      <c r="P5703" s="1115"/>
      <c r="Q5703" s="1116"/>
      <c r="R5703" s="1141"/>
      <c r="S5703" s="1113"/>
      <c r="T5703" s="1143"/>
      <c r="U5703" s="1108"/>
      <c r="V5703" s="1108"/>
      <c r="W5703" s="1108"/>
      <c r="X5703" s="1108"/>
      <c r="Y5703" s="1108"/>
      <c r="Z5703" s="1114"/>
      <c r="AA5703" s="1114"/>
      <c r="AB5703" s="1114"/>
      <c r="AC5703" s="1117"/>
      <c r="AD5703" s="1115"/>
      <c r="AE5703" s="1115"/>
      <c r="AF5703" s="1115"/>
      <c r="AG5703" s="1115"/>
      <c r="AH5703" s="1115"/>
      <c r="AI5703" s="1115"/>
      <c r="AJ5703" s="1117"/>
      <c r="AK5703" s="1118"/>
      <c r="AL5703" s="1115"/>
      <c r="AM5703" s="1115"/>
      <c r="AN5703" s="1115"/>
      <c r="AO5703" s="1115"/>
      <c r="AP5703" s="1115"/>
      <c r="AQ5703" s="1115"/>
      <c r="AR5703" s="1115"/>
      <c r="AS5703" s="1117"/>
      <c r="AT5703" s="1075"/>
      <c r="AU5703" s="1193"/>
      <c r="AV5703" s="330"/>
      <c r="AW5703" s="331"/>
      <c r="AX5703" s="331"/>
      <c r="AY5703" s="331"/>
      <c r="AZ5703" s="331"/>
      <c r="BA5703" s="331"/>
      <c r="BB5703" s="331"/>
      <c r="BC5703" s="331"/>
      <c r="BD5703" s="331"/>
      <c r="BE5703" s="333"/>
      <c r="BF5703" s="330"/>
      <c r="BG5703" s="333"/>
      <c r="BH5703" s="1119"/>
      <c r="BI5703" s="319"/>
      <c r="BJ5703" s="319"/>
      <c r="BK5703" s="319"/>
      <c r="BL5703" s="319"/>
      <c r="BM5703" s="319"/>
      <c r="BN5703" s="319"/>
      <c r="BO5703" s="319"/>
      <c r="BP5703" s="953"/>
      <c r="BQ5703" s="319"/>
      <c r="BR5703" s="319"/>
      <c r="BS5703" s="330"/>
      <c r="BT5703" s="331"/>
      <c r="BU5703" s="920"/>
      <c r="BV5703" s="903"/>
      <c r="BW5703" s="908"/>
      <c r="BX5703" s="908"/>
      <c r="BY5703" s="331"/>
      <c r="BZ5703" s="331"/>
      <c r="CA5703" s="462"/>
      <c r="CB5703" s="319"/>
      <c r="CC5703" s="319"/>
      <c r="CD5703" s="319"/>
      <c r="CE5703" s="319"/>
      <c r="CF5703" s="319"/>
      <c r="CG5703" s="319"/>
      <c r="CH5703" s="318"/>
      <c r="CI5703" s="319"/>
      <c r="CJ5703" s="319"/>
      <c r="CK5703" s="342"/>
      <c r="CL5703" s="333"/>
      <c r="CM5703" s="1079"/>
      <c r="CN5703" s="1005"/>
      <c r="CO5703" s="1005"/>
      <c r="CP5703" s="1005"/>
    </row>
    <row r="5704">
      <c r="A5704" s="1257"/>
      <c r="B5704" s="1113"/>
      <c r="C5704" s="1107"/>
      <c r="D5704" s="103"/>
      <c r="E5704" s="1137"/>
      <c r="F5704" s="112"/>
      <c r="G5704" s="1110"/>
      <c r="H5704" s="1138"/>
      <c r="I5704" s="1138"/>
      <c r="J5704" s="1139"/>
      <c r="K5704" s="1111"/>
      <c r="L5704" s="1112"/>
      <c r="M5704" s="1113"/>
      <c r="N5704" s="110"/>
      <c r="O5704" s="1140"/>
      <c r="P5704" s="1115"/>
      <c r="Q5704" s="1116"/>
      <c r="R5704" s="1141"/>
      <c r="S5704" s="1113"/>
      <c r="T5704" s="1143"/>
      <c r="U5704" s="1108"/>
      <c r="V5704" s="1108"/>
      <c r="W5704" s="1108"/>
      <c r="X5704" s="1108"/>
      <c r="Y5704" s="1108"/>
      <c r="Z5704" s="1114"/>
      <c r="AA5704" s="1114"/>
      <c r="AB5704" s="1114"/>
      <c r="AC5704" s="1117"/>
      <c r="AD5704" s="1115"/>
      <c r="AE5704" s="1115"/>
      <c r="AF5704" s="1115"/>
      <c r="AG5704" s="1115"/>
      <c r="AH5704" s="1115"/>
      <c r="AI5704" s="1115"/>
      <c r="AJ5704" s="1117"/>
      <c r="AK5704" s="1118"/>
      <c r="AL5704" s="1115"/>
      <c r="AM5704" s="1115"/>
      <c r="AN5704" s="1115"/>
      <c r="AO5704" s="1115"/>
      <c r="AP5704" s="1115"/>
      <c r="AQ5704" s="1115"/>
      <c r="AR5704" s="1115"/>
      <c r="AS5704" s="1117"/>
      <c r="AT5704" s="1075"/>
      <c r="AU5704" s="1193"/>
      <c r="AV5704" s="330"/>
      <c r="AW5704" s="331"/>
      <c r="AX5704" s="331"/>
      <c r="AY5704" s="331"/>
      <c r="AZ5704" s="331"/>
      <c r="BA5704" s="331"/>
      <c r="BB5704" s="331"/>
      <c r="BC5704" s="331"/>
      <c r="BD5704" s="331"/>
      <c r="BE5704" s="333"/>
      <c r="BF5704" s="330"/>
      <c r="BG5704" s="333"/>
      <c r="BH5704" s="1119"/>
      <c r="BI5704" s="319"/>
      <c r="BJ5704" s="319"/>
      <c r="BK5704" s="319"/>
      <c r="BL5704" s="319"/>
      <c r="BM5704" s="319"/>
      <c r="BN5704" s="319"/>
      <c r="BO5704" s="319"/>
      <c r="BP5704" s="953"/>
      <c r="BQ5704" s="319"/>
      <c r="BR5704" s="319"/>
      <c r="BS5704" s="330"/>
      <c r="BT5704" s="331"/>
      <c r="BU5704" s="920"/>
      <c r="BV5704" s="903"/>
      <c r="BW5704" s="908"/>
      <c r="BX5704" s="908"/>
      <c r="BY5704" s="331"/>
      <c r="BZ5704" s="331"/>
      <c r="CA5704" s="462"/>
      <c r="CB5704" s="319"/>
      <c r="CC5704" s="319"/>
      <c r="CD5704" s="319"/>
      <c r="CE5704" s="319"/>
      <c r="CF5704" s="319"/>
      <c r="CG5704" s="319"/>
      <c r="CH5704" s="318"/>
      <c r="CI5704" s="319"/>
      <c r="CJ5704" s="319"/>
      <c r="CK5704" s="342"/>
      <c r="CL5704" s="333"/>
      <c r="CM5704" s="1079"/>
      <c r="CN5704" s="1005"/>
      <c r="CO5704" s="1005"/>
      <c r="CP5704" s="1005"/>
    </row>
    <row r="5705">
      <c r="A5705" s="1257"/>
      <c r="B5705" s="1113"/>
      <c r="C5705" s="1107"/>
      <c r="D5705" s="103"/>
      <c r="E5705" s="1137"/>
      <c r="F5705" s="112"/>
      <c r="G5705" s="1110"/>
      <c r="H5705" s="1138"/>
      <c r="I5705" s="1138"/>
      <c r="J5705" s="1139"/>
      <c r="K5705" s="1111"/>
      <c r="L5705" s="1112"/>
      <c r="M5705" s="1113"/>
      <c r="N5705" s="110"/>
      <c r="O5705" s="1140"/>
      <c r="P5705" s="1115"/>
      <c r="Q5705" s="1116"/>
      <c r="R5705" s="1141"/>
      <c r="S5705" s="1113"/>
      <c r="T5705" s="1143"/>
      <c r="U5705" s="1108"/>
      <c r="V5705" s="1108"/>
      <c r="W5705" s="1108"/>
      <c r="X5705" s="1108"/>
      <c r="Y5705" s="1108"/>
      <c r="Z5705" s="1114"/>
      <c r="AA5705" s="1114"/>
      <c r="AB5705" s="1114"/>
      <c r="AC5705" s="1117"/>
      <c r="AD5705" s="1115"/>
      <c r="AE5705" s="1115"/>
      <c r="AF5705" s="1115"/>
      <c r="AG5705" s="1115"/>
      <c r="AH5705" s="1115"/>
      <c r="AI5705" s="1115"/>
      <c r="AJ5705" s="1117"/>
      <c r="AK5705" s="1118"/>
      <c r="AL5705" s="1115"/>
      <c r="AM5705" s="1115"/>
      <c r="AN5705" s="1115"/>
      <c r="AO5705" s="1115"/>
      <c r="AP5705" s="1115"/>
      <c r="AQ5705" s="1115"/>
      <c r="AR5705" s="1115"/>
      <c r="AS5705" s="1117"/>
      <c r="AT5705" s="1075"/>
      <c r="AU5705" s="1193"/>
      <c r="AV5705" s="330"/>
      <c r="AW5705" s="331"/>
      <c r="AX5705" s="331"/>
      <c r="AY5705" s="331"/>
      <c r="AZ5705" s="331"/>
      <c r="BA5705" s="331"/>
      <c r="BB5705" s="331"/>
      <c r="BC5705" s="331"/>
      <c r="BD5705" s="331"/>
      <c r="BE5705" s="333"/>
      <c r="BF5705" s="330"/>
      <c r="BG5705" s="333"/>
      <c r="BH5705" s="1119"/>
      <c r="BI5705" s="319"/>
      <c r="BJ5705" s="319"/>
      <c r="BK5705" s="319"/>
      <c r="BL5705" s="319"/>
      <c r="BM5705" s="319"/>
      <c r="BN5705" s="319"/>
      <c r="BO5705" s="319"/>
      <c r="BP5705" s="953"/>
      <c r="BQ5705" s="319"/>
      <c r="BR5705" s="319"/>
      <c r="BS5705" s="330"/>
      <c r="BT5705" s="331"/>
      <c r="BU5705" s="920"/>
      <c r="BV5705" s="903"/>
      <c r="BW5705" s="908"/>
      <c r="BX5705" s="908"/>
      <c r="BY5705" s="331"/>
      <c r="BZ5705" s="331"/>
      <c r="CA5705" s="462"/>
      <c r="CB5705" s="319"/>
      <c r="CC5705" s="319"/>
      <c r="CD5705" s="319"/>
      <c r="CE5705" s="319"/>
      <c r="CF5705" s="319"/>
      <c r="CG5705" s="319"/>
      <c r="CH5705" s="318"/>
      <c r="CI5705" s="319"/>
      <c r="CJ5705" s="319"/>
      <c r="CK5705" s="342"/>
      <c r="CL5705" s="333"/>
      <c r="CM5705" s="1079"/>
      <c r="CN5705" s="1005"/>
      <c r="CO5705" s="1005"/>
      <c r="CP5705" s="1005"/>
    </row>
    <row r="5706">
      <c r="A5706" s="1257"/>
      <c r="B5706" s="1113"/>
      <c r="C5706" s="1107"/>
      <c r="D5706" s="103"/>
      <c r="E5706" s="1137"/>
      <c r="F5706" s="112"/>
      <c r="G5706" s="1110"/>
      <c r="H5706" s="1138"/>
      <c r="I5706" s="1138"/>
      <c r="J5706" s="1139"/>
      <c r="K5706" s="1111"/>
      <c r="L5706" s="1112"/>
      <c r="M5706" s="1113"/>
      <c r="N5706" s="110"/>
      <c r="O5706" s="1140"/>
      <c r="P5706" s="1115"/>
      <c r="Q5706" s="1116"/>
      <c r="R5706" s="1141"/>
      <c r="S5706" s="1113"/>
      <c r="T5706" s="1143"/>
      <c r="U5706" s="1108"/>
      <c r="V5706" s="1108"/>
      <c r="W5706" s="1108"/>
      <c r="X5706" s="1108"/>
      <c r="Y5706" s="1108"/>
      <c r="Z5706" s="1114"/>
      <c r="AA5706" s="1114"/>
      <c r="AB5706" s="1114"/>
      <c r="AC5706" s="1117"/>
      <c r="AD5706" s="1115"/>
      <c r="AE5706" s="1115"/>
      <c r="AF5706" s="1115"/>
      <c r="AG5706" s="1115"/>
      <c r="AH5706" s="1115"/>
      <c r="AI5706" s="1115"/>
      <c r="AJ5706" s="1117"/>
      <c r="AK5706" s="1118"/>
      <c r="AL5706" s="1115"/>
      <c r="AM5706" s="1115"/>
      <c r="AN5706" s="1115"/>
      <c r="AO5706" s="1115"/>
      <c r="AP5706" s="1115"/>
      <c r="AQ5706" s="1115"/>
      <c r="AR5706" s="1115"/>
      <c r="AS5706" s="1117"/>
      <c r="AT5706" s="1075"/>
      <c r="AU5706" s="1193"/>
      <c r="AV5706" s="330"/>
      <c r="AW5706" s="331"/>
      <c r="AX5706" s="331"/>
      <c r="AY5706" s="331"/>
      <c r="AZ5706" s="331"/>
      <c r="BA5706" s="331"/>
      <c r="BB5706" s="331"/>
      <c r="BC5706" s="331"/>
      <c r="BD5706" s="331"/>
      <c r="BE5706" s="333"/>
      <c r="BF5706" s="330"/>
      <c r="BG5706" s="333"/>
      <c r="BH5706" s="1119"/>
      <c r="BI5706" s="319"/>
      <c r="BJ5706" s="319"/>
      <c r="BK5706" s="319"/>
      <c r="BL5706" s="319"/>
      <c r="BM5706" s="319"/>
      <c r="BN5706" s="319"/>
      <c r="BO5706" s="319"/>
      <c r="BP5706" s="953"/>
      <c r="BQ5706" s="319"/>
      <c r="BR5706" s="319"/>
      <c r="BS5706" s="330"/>
      <c r="BT5706" s="331"/>
      <c r="BU5706" s="920"/>
      <c r="BV5706" s="903"/>
      <c r="BW5706" s="908"/>
      <c r="BX5706" s="908"/>
      <c r="BY5706" s="331"/>
      <c r="BZ5706" s="331"/>
      <c r="CA5706" s="462"/>
      <c r="CB5706" s="319"/>
      <c r="CC5706" s="319"/>
      <c r="CD5706" s="319"/>
      <c r="CE5706" s="319"/>
      <c r="CF5706" s="319"/>
      <c r="CG5706" s="319"/>
      <c r="CH5706" s="318"/>
      <c r="CI5706" s="319"/>
      <c r="CJ5706" s="319"/>
      <c r="CK5706" s="342"/>
      <c r="CL5706" s="333"/>
      <c r="CM5706" s="1079"/>
      <c r="CN5706" s="1005"/>
      <c r="CO5706" s="1005"/>
      <c r="CP5706" s="1005"/>
    </row>
    <row r="5707">
      <c r="A5707" s="1257"/>
      <c r="B5707" s="1113"/>
      <c r="C5707" s="1107"/>
      <c r="D5707" s="103"/>
      <c r="E5707" s="1137"/>
      <c r="F5707" s="112"/>
      <c r="G5707" s="1110"/>
      <c r="H5707" s="1138"/>
      <c r="I5707" s="1138"/>
      <c r="J5707" s="1139"/>
      <c r="K5707" s="1111"/>
      <c r="L5707" s="1112"/>
      <c r="M5707" s="1113"/>
      <c r="N5707" s="110"/>
      <c r="O5707" s="1140"/>
      <c r="P5707" s="1115"/>
      <c r="Q5707" s="1116"/>
      <c r="R5707" s="1141"/>
      <c r="S5707" s="1113"/>
      <c r="T5707" s="1143"/>
      <c r="U5707" s="1108"/>
      <c r="V5707" s="1108"/>
      <c r="W5707" s="1108"/>
      <c r="X5707" s="1108"/>
      <c r="Y5707" s="1108"/>
      <c r="Z5707" s="1114"/>
      <c r="AA5707" s="1114"/>
      <c r="AB5707" s="1114"/>
      <c r="AC5707" s="1117"/>
      <c r="AD5707" s="1115"/>
      <c r="AE5707" s="1115"/>
      <c r="AF5707" s="1115"/>
      <c r="AG5707" s="1115"/>
      <c r="AH5707" s="1115"/>
      <c r="AI5707" s="1115"/>
      <c r="AJ5707" s="1117"/>
      <c r="AK5707" s="1118"/>
      <c r="AL5707" s="1115"/>
      <c r="AM5707" s="1115"/>
      <c r="AN5707" s="1115"/>
      <c r="AO5707" s="1115"/>
      <c r="AP5707" s="1115"/>
      <c r="AQ5707" s="1115"/>
      <c r="AR5707" s="1115"/>
      <c r="AS5707" s="1117"/>
      <c r="AT5707" s="1075"/>
      <c r="AU5707" s="1193"/>
      <c r="AV5707" s="330"/>
      <c r="AW5707" s="331"/>
      <c r="AX5707" s="331"/>
      <c r="AY5707" s="331"/>
      <c r="AZ5707" s="331"/>
      <c r="BA5707" s="331"/>
      <c r="BB5707" s="331"/>
      <c r="BC5707" s="331"/>
      <c r="BD5707" s="331"/>
      <c r="BE5707" s="333"/>
      <c r="BF5707" s="330"/>
      <c r="BG5707" s="333"/>
      <c r="BH5707" s="1119"/>
      <c r="BI5707" s="319"/>
      <c r="BJ5707" s="319"/>
      <c r="BK5707" s="319"/>
      <c r="BL5707" s="319"/>
      <c r="BM5707" s="319"/>
      <c r="BN5707" s="319"/>
      <c r="BO5707" s="319"/>
      <c r="BP5707" s="953"/>
      <c r="BQ5707" s="319"/>
      <c r="BR5707" s="319"/>
      <c r="BS5707" s="330"/>
      <c r="BT5707" s="331"/>
      <c r="BU5707" s="920"/>
      <c r="BV5707" s="903"/>
      <c r="BW5707" s="908"/>
      <c r="BX5707" s="908"/>
      <c r="BY5707" s="331"/>
      <c r="BZ5707" s="331"/>
      <c r="CA5707" s="462"/>
      <c r="CB5707" s="319"/>
      <c r="CC5707" s="319"/>
      <c r="CD5707" s="319"/>
      <c r="CE5707" s="319"/>
      <c r="CF5707" s="319"/>
      <c r="CG5707" s="319"/>
      <c r="CH5707" s="318"/>
      <c r="CI5707" s="319"/>
      <c r="CJ5707" s="319"/>
      <c r="CK5707" s="342"/>
      <c r="CL5707" s="333"/>
      <c r="CM5707" s="1079"/>
      <c r="CN5707" s="1005"/>
      <c r="CO5707" s="1005"/>
      <c r="CP5707" s="1005"/>
    </row>
    <row r="5708">
      <c r="A5708" s="1257"/>
      <c r="B5708" s="1113"/>
      <c r="C5708" s="1107"/>
      <c r="D5708" s="103"/>
      <c r="E5708" s="1137"/>
      <c r="F5708" s="112"/>
      <c r="G5708" s="1110"/>
      <c r="H5708" s="1138"/>
      <c r="I5708" s="1138"/>
      <c r="J5708" s="1139"/>
      <c r="K5708" s="1111"/>
      <c r="L5708" s="1112"/>
      <c r="M5708" s="1113"/>
      <c r="N5708" s="110"/>
      <c r="O5708" s="1140"/>
      <c r="P5708" s="1115"/>
      <c r="Q5708" s="1116"/>
      <c r="R5708" s="1141"/>
      <c r="S5708" s="1113"/>
      <c r="T5708" s="1143"/>
      <c r="U5708" s="1108"/>
      <c r="V5708" s="1108"/>
      <c r="W5708" s="1108"/>
      <c r="X5708" s="1108"/>
      <c r="Y5708" s="1108"/>
      <c r="Z5708" s="1114"/>
      <c r="AA5708" s="1114"/>
      <c r="AB5708" s="1114"/>
      <c r="AC5708" s="1117"/>
      <c r="AD5708" s="1115"/>
      <c r="AE5708" s="1115"/>
      <c r="AF5708" s="1115"/>
      <c r="AG5708" s="1115"/>
      <c r="AH5708" s="1115"/>
      <c r="AI5708" s="1115"/>
      <c r="AJ5708" s="1117"/>
      <c r="AK5708" s="1118"/>
      <c r="AL5708" s="1115"/>
      <c r="AM5708" s="1115"/>
      <c r="AN5708" s="1115"/>
      <c r="AO5708" s="1115"/>
      <c r="AP5708" s="1115"/>
      <c r="AQ5708" s="1115"/>
      <c r="AR5708" s="1115"/>
      <c r="AS5708" s="1117"/>
      <c r="AT5708" s="1075"/>
      <c r="AU5708" s="1193"/>
      <c r="AV5708" s="330"/>
      <c r="AW5708" s="331"/>
      <c r="AX5708" s="331"/>
      <c r="AY5708" s="331"/>
      <c r="AZ5708" s="331"/>
      <c r="BA5708" s="331"/>
      <c r="BB5708" s="331"/>
      <c r="BC5708" s="331"/>
      <c r="BD5708" s="331"/>
      <c r="BE5708" s="333"/>
      <c r="BF5708" s="330"/>
      <c r="BG5708" s="333"/>
      <c r="BH5708" s="1119"/>
      <c r="BI5708" s="319"/>
      <c r="BJ5708" s="319"/>
      <c r="BK5708" s="319"/>
      <c r="BL5708" s="319"/>
      <c r="BM5708" s="319"/>
      <c r="BN5708" s="319"/>
      <c r="BO5708" s="319"/>
      <c r="BP5708" s="953"/>
      <c r="BQ5708" s="319"/>
      <c r="BR5708" s="319"/>
      <c r="BS5708" s="330"/>
      <c r="BT5708" s="331"/>
      <c r="BU5708" s="920"/>
      <c r="BV5708" s="903"/>
      <c r="BW5708" s="908"/>
      <c r="BX5708" s="908"/>
      <c r="BY5708" s="331"/>
      <c r="BZ5708" s="331"/>
      <c r="CA5708" s="462"/>
      <c r="CB5708" s="319"/>
      <c r="CC5708" s="319"/>
      <c r="CD5708" s="319"/>
      <c r="CE5708" s="319"/>
      <c r="CF5708" s="319"/>
      <c r="CG5708" s="319"/>
      <c r="CH5708" s="318"/>
      <c r="CI5708" s="319"/>
      <c r="CJ5708" s="319"/>
      <c r="CK5708" s="342"/>
      <c r="CL5708" s="333"/>
      <c r="CM5708" s="1079"/>
      <c r="CN5708" s="1005"/>
      <c r="CO5708" s="1005"/>
      <c r="CP5708" s="1005"/>
    </row>
    <row r="5709">
      <c r="A5709" s="1257"/>
      <c r="B5709" s="1113"/>
      <c r="C5709" s="1107"/>
      <c r="D5709" s="103"/>
      <c r="E5709" s="1137"/>
      <c r="F5709" s="112"/>
      <c r="G5709" s="1110"/>
      <c r="H5709" s="1138"/>
      <c r="I5709" s="1138"/>
      <c r="J5709" s="1139"/>
      <c r="K5709" s="1111"/>
      <c r="L5709" s="1112"/>
      <c r="M5709" s="1113"/>
      <c r="N5709" s="110"/>
      <c r="O5709" s="1140"/>
      <c r="P5709" s="1115"/>
      <c r="Q5709" s="1116"/>
      <c r="R5709" s="1141"/>
      <c r="S5709" s="1113"/>
      <c r="T5709" s="1143"/>
      <c r="U5709" s="1108"/>
      <c r="V5709" s="1108"/>
      <c r="W5709" s="1108"/>
      <c r="X5709" s="1108"/>
      <c r="Y5709" s="1108"/>
      <c r="Z5709" s="1114"/>
      <c r="AA5709" s="1114"/>
      <c r="AB5709" s="1114"/>
      <c r="AC5709" s="1117"/>
      <c r="AD5709" s="1115"/>
      <c r="AE5709" s="1115"/>
      <c r="AF5709" s="1115"/>
      <c r="AG5709" s="1115"/>
      <c r="AH5709" s="1115"/>
      <c r="AI5709" s="1115"/>
      <c r="AJ5709" s="1117"/>
      <c r="AK5709" s="1118"/>
      <c r="AL5709" s="1115"/>
      <c r="AM5709" s="1115"/>
      <c r="AN5709" s="1115"/>
      <c r="AO5709" s="1115"/>
      <c r="AP5709" s="1115"/>
      <c r="AQ5709" s="1115"/>
      <c r="AR5709" s="1115"/>
      <c r="AS5709" s="1117"/>
      <c r="AT5709" s="1075"/>
      <c r="AU5709" s="1193"/>
      <c r="AV5709" s="330"/>
      <c r="AW5709" s="331"/>
      <c r="AX5709" s="331"/>
      <c r="AY5709" s="331"/>
      <c r="AZ5709" s="331"/>
      <c r="BA5709" s="331"/>
      <c r="BB5709" s="331"/>
      <c r="BC5709" s="331"/>
      <c r="BD5709" s="331"/>
      <c r="BE5709" s="333"/>
      <c r="BF5709" s="330"/>
      <c r="BG5709" s="333"/>
      <c r="BH5709" s="1119"/>
      <c r="BI5709" s="319"/>
      <c r="BJ5709" s="319"/>
      <c r="BK5709" s="319"/>
      <c r="BL5709" s="319"/>
      <c r="BM5709" s="319"/>
      <c r="BN5709" s="319"/>
      <c r="BO5709" s="319"/>
      <c r="BP5709" s="953"/>
      <c r="BQ5709" s="319"/>
      <c r="BR5709" s="319"/>
      <c r="BS5709" s="330"/>
      <c r="BT5709" s="331"/>
      <c r="BU5709" s="920"/>
      <c r="BV5709" s="903"/>
      <c r="BW5709" s="908"/>
      <c r="BX5709" s="908"/>
      <c r="BY5709" s="331"/>
      <c r="BZ5709" s="331"/>
      <c r="CA5709" s="462"/>
      <c r="CB5709" s="319"/>
      <c r="CC5709" s="319"/>
      <c r="CD5709" s="319"/>
      <c r="CE5709" s="319"/>
      <c r="CF5709" s="319"/>
      <c r="CG5709" s="319"/>
      <c r="CH5709" s="318"/>
      <c r="CI5709" s="319"/>
      <c r="CJ5709" s="319"/>
      <c r="CK5709" s="342"/>
      <c r="CL5709" s="333"/>
      <c r="CM5709" s="1079"/>
      <c r="CN5709" s="1005"/>
      <c r="CO5709" s="1005"/>
      <c r="CP5709" s="1005"/>
    </row>
    <row r="5710">
      <c r="A5710" s="1257"/>
      <c r="B5710" s="1113"/>
      <c r="C5710" s="1107"/>
      <c r="D5710" s="103"/>
      <c r="E5710" s="1137"/>
      <c r="F5710" s="112"/>
      <c r="G5710" s="1110"/>
      <c r="H5710" s="1138"/>
      <c r="I5710" s="1138"/>
      <c r="J5710" s="1139"/>
      <c r="K5710" s="1111"/>
      <c r="L5710" s="1112"/>
      <c r="M5710" s="1113"/>
      <c r="N5710" s="110"/>
      <c r="O5710" s="1140"/>
      <c r="P5710" s="1115"/>
      <c r="Q5710" s="1116"/>
      <c r="R5710" s="1141"/>
      <c r="S5710" s="1113"/>
      <c r="T5710" s="1143"/>
      <c r="U5710" s="1108"/>
      <c r="V5710" s="1108"/>
      <c r="W5710" s="1108"/>
      <c r="X5710" s="1108"/>
      <c r="Y5710" s="1108"/>
      <c r="Z5710" s="1114"/>
      <c r="AA5710" s="1114"/>
      <c r="AB5710" s="1114"/>
      <c r="AC5710" s="1117"/>
      <c r="AD5710" s="1115"/>
      <c r="AE5710" s="1115"/>
      <c r="AF5710" s="1115"/>
      <c r="AG5710" s="1115"/>
      <c r="AH5710" s="1115"/>
      <c r="AI5710" s="1115"/>
      <c r="AJ5710" s="1117"/>
      <c r="AK5710" s="1118"/>
      <c r="AL5710" s="1115"/>
      <c r="AM5710" s="1115"/>
      <c r="AN5710" s="1115"/>
      <c r="AO5710" s="1115"/>
      <c r="AP5710" s="1115"/>
      <c r="AQ5710" s="1115"/>
      <c r="AR5710" s="1115"/>
      <c r="AS5710" s="1117"/>
      <c r="AT5710" s="1075"/>
      <c r="AU5710" s="1193"/>
      <c r="AV5710" s="330"/>
      <c r="AW5710" s="331"/>
      <c r="AX5710" s="331"/>
      <c r="AY5710" s="331"/>
      <c r="AZ5710" s="331"/>
      <c r="BA5710" s="331"/>
      <c r="BB5710" s="331"/>
      <c r="BC5710" s="331"/>
      <c r="BD5710" s="331"/>
      <c r="BE5710" s="333"/>
      <c r="BF5710" s="330"/>
      <c r="BG5710" s="333"/>
      <c r="BH5710" s="1119"/>
      <c r="BI5710" s="319"/>
      <c r="BJ5710" s="319"/>
      <c r="BK5710" s="319"/>
      <c r="BL5710" s="319"/>
      <c r="BM5710" s="319"/>
      <c r="BN5710" s="319"/>
      <c r="BO5710" s="319"/>
      <c r="BP5710" s="953"/>
      <c r="BQ5710" s="319"/>
      <c r="BR5710" s="319"/>
      <c r="BS5710" s="330"/>
      <c r="BT5710" s="331"/>
      <c r="BU5710" s="920"/>
      <c r="BV5710" s="903"/>
      <c r="BW5710" s="908"/>
      <c r="BX5710" s="908"/>
      <c r="BY5710" s="331"/>
      <c r="BZ5710" s="331"/>
      <c r="CA5710" s="462"/>
      <c r="CB5710" s="319"/>
      <c r="CC5710" s="319"/>
      <c r="CD5710" s="319"/>
      <c r="CE5710" s="319"/>
      <c r="CF5710" s="319"/>
      <c r="CG5710" s="319"/>
      <c r="CH5710" s="318"/>
      <c r="CI5710" s="319"/>
      <c r="CJ5710" s="319"/>
      <c r="CK5710" s="342"/>
      <c r="CL5710" s="333"/>
      <c r="CM5710" s="1079"/>
      <c r="CN5710" s="1005"/>
      <c r="CO5710" s="1005"/>
      <c r="CP5710" s="1005"/>
    </row>
    <row r="5711">
      <c r="A5711" s="1257"/>
      <c r="B5711" s="1113"/>
      <c r="C5711" s="1107"/>
      <c r="D5711" s="103"/>
      <c r="E5711" s="1137"/>
      <c r="F5711" s="112"/>
      <c r="G5711" s="1110"/>
      <c r="H5711" s="1138"/>
      <c r="I5711" s="1138"/>
      <c r="J5711" s="1139"/>
      <c r="K5711" s="1111"/>
      <c r="L5711" s="1112"/>
      <c r="M5711" s="1113"/>
      <c r="N5711" s="110"/>
      <c r="O5711" s="1140"/>
      <c r="P5711" s="1115"/>
      <c r="Q5711" s="1116"/>
      <c r="R5711" s="1141"/>
      <c r="S5711" s="1113"/>
      <c r="T5711" s="1143"/>
      <c r="U5711" s="1108"/>
      <c r="V5711" s="1108"/>
      <c r="W5711" s="1108"/>
      <c r="X5711" s="1108"/>
      <c r="Y5711" s="1108"/>
      <c r="Z5711" s="1114"/>
      <c r="AA5711" s="1114"/>
      <c r="AB5711" s="1114"/>
      <c r="AC5711" s="1117"/>
      <c r="AD5711" s="1115"/>
      <c r="AE5711" s="1115"/>
      <c r="AF5711" s="1115"/>
      <c r="AG5711" s="1115"/>
      <c r="AH5711" s="1115"/>
      <c r="AI5711" s="1115"/>
      <c r="AJ5711" s="1117"/>
      <c r="AK5711" s="1118"/>
      <c r="AL5711" s="1115"/>
      <c r="AM5711" s="1115"/>
      <c r="AN5711" s="1115"/>
      <c r="AO5711" s="1115"/>
      <c r="AP5711" s="1115"/>
      <c r="AQ5711" s="1115"/>
      <c r="AR5711" s="1115"/>
      <c r="AS5711" s="1117"/>
      <c r="AT5711" s="1075"/>
      <c r="AU5711" s="1193"/>
      <c r="AV5711" s="330"/>
      <c r="AW5711" s="331"/>
      <c r="AX5711" s="331"/>
      <c r="AY5711" s="331"/>
      <c r="AZ5711" s="331"/>
      <c r="BA5711" s="331"/>
      <c r="BB5711" s="331"/>
      <c r="BC5711" s="331"/>
      <c r="BD5711" s="331"/>
      <c r="BE5711" s="333"/>
      <c r="BF5711" s="330"/>
      <c r="BG5711" s="333"/>
      <c r="BH5711" s="1119"/>
      <c r="BI5711" s="319"/>
      <c r="BJ5711" s="319"/>
      <c r="BK5711" s="319"/>
      <c r="BL5711" s="319"/>
      <c r="BM5711" s="319"/>
      <c r="BN5711" s="319"/>
      <c r="BO5711" s="319"/>
      <c r="BP5711" s="953"/>
      <c r="BQ5711" s="319"/>
      <c r="BR5711" s="319"/>
      <c r="BS5711" s="330"/>
      <c r="BT5711" s="331"/>
      <c r="BU5711" s="920"/>
      <c r="BV5711" s="903"/>
      <c r="BW5711" s="908"/>
      <c r="BX5711" s="908"/>
      <c r="BY5711" s="331"/>
      <c r="BZ5711" s="331"/>
      <c r="CA5711" s="462"/>
      <c r="CB5711" s="319"/>
      <c r="CC5711" s="319"/>
      <c r="CD5711" s="319"/>
      <c r="CE5711" s="319"/>
      <c r="CF5711" s="319"/>
      <c r="CG5711" s="319"/>
      <c r="CH5711" s="318"/>
      <c r="CI5711" s="319"/>
      <c r="CJ5711" s="319"/>
      <c r="CK5711" s="342"/>
      <c r="CL5711" s="333"/>
      <c r="CM5711" s="1079"/>
      <c r="CN5711" s="1005"/>
      <c r="CO5711" s="1005"/>
      <c r="CP5711" s="1005"/>
    </row>
    <row r="5712">
      <c r="A5712" s="1257"/>
      <c r="B5712" s="1113"/>
      <c r="C5712" s="1107"/>
      <c r="D5712" s="103"/>
      <c r="E5712" s="1137"/>
      <c r="F5712" s="112"/>
      <c r="G5712" s="1110"/>
      <c r="H5712" s="1138"/>
      <c r="I5712" s="1138"/>
      <c r="J5712" s="1139"/>
      <c r="K5712" s="1111"/>
      <c r="L5712" s="1112"/>
      <c r="M5712" s="1113"/>
      <c r="N5712" s="110"/>
      <c r="O5712" s="1140"/>
      <c r="P5712" s="1115"/>
      <c r="Q5712" s="1116"/>
      <c r="R5712" s="1141"/>
      <c r="S5712" s="1113"/>
      <c r="T5712" s="1143"/>
      <c r="U5712" s="1108"/>
      <c r="V5712" s="1108"/>
      <c r="W5712" s="1108"/>
      <c r="X5712" s="1108"/>
      <c r="Y5712" s="1108"/>
      <c r="Z5712" s="1114"/>
      <c r="AA5712" s="1114"/>
      <c r="AB5712" s="1114"/>
      <c r="AC5712" s="1117"/>
      <c r="AD5712" s="1115"/>
      <c r="AE5712" s="1115"/>
      <c r="AF5712" s="1115"/>
      <c r="AG5712" s="1115"/>
      <c r="AH5712" s="1115"/>
      <c r="AI5712" s="1115"/>
      <c r="AJ5712" s="1117"/>
      <c r="AK5712" s="1118"/>
      <c r="AL5712" s="1115"/>
      <c r="AM5712" s="1115"/>
      <c r="AN5712" s="1115"/>
      <c r="AO5712" s="1115"/>
      <c r="AP5712" s="1115"/>
      <c r="AQ5712" s="1115"/>
      <c r="AR5712" s="1115"/>
      <c r="AS5712" s="1117"/>
      <c r="AT5712" s="1075"/>
      <c r="AU5712" s="1193"/>
      <c r="AV5712" s="330"/>
      <c r="AW5712" s="331"/>
      <c r="AX5712" s="331"/>
      <c r="AY5712" s="331"/>
      <c r="AZ5712" s="331"/>
      <c r="BA5712" s="331"/>
      <c r="BB5712" s="331"/>
      <c r="BC5712" s="331"/>
      <c r="BD5712" s="331"/>
      <c r="BE5712" s="333"/>
      <c r="BF5712" s="330"/>
      <c r="BG5712" s="333"/>
      <c r="BH5712" s="1119"/>
      <c r="BI5712" s="319"/>
      <c r="BJ5712" s="319"/>
      <c r="BK5712" s="319"/>
      <c r="BL5712" s="319"/>
      <c r="BM5712" s="319"/>
      <c r="BN5712" s="319"/>
      <c r="BO5712" s="319"/>
      <c r="BP5712" s="953"/>
      <c r="BQ5712" s="319"/>
      <c r="BR5712" s="319"/>
      <c r="BS5712" s="330"/>
      <c r="BT5712" s="331"/>
      <c r="BU5712" s="920"/>
      <c r="BV5712" s="903"/>
      <c r="BW5712" s="908"/>
      <c r="BX5712" s="908"/>
      <c r="BY5712" s="331"/>
      <c r="BZ5712" s="331"/>
      <c r="CA5712" s="462"/>
      <c r="CB5712" s="319"/>
      <c r="CC5712" s="319"/>
      <c r="CD5712" s="319"/>
      <c r="CE5712" s="319"/>
      <c r="CF5712" s="319"/>
      <c r="CG5712" s="319"/>
      <c r="CH5712" s="318"/>
      <c r="CI5712" s="319"/>
      <c r="CJ5712" s="319"/>
      <c r="CK5712" s="342"/>
      <c r="CL5712" s="333"/>
      <c r="CM5712" s="1079"/>
      <c r="CN5712" s="1005"/>
      <c r="CO5712" s="1005"/>
      <c r="CP5712" s="1005"/>
    </row>
    <row r="5713">
      <c r="A5713" s="1257"/>
      <c r="B5713" s="1113"/>
      <c r="C5713" s="1107"/>
      <c r="D5713" s="103"/>
      <c r="E5713" s="1137"/>
      <c r="F5713" s="112"/>
      <c r="G5713" s="1110"/>
      <c r="H5713" s="1138"/>
      <c r="I5713" s="1138"/>
      <c r="J5713" s="1139"/>
      <c r="K5713" s="1111"/>
      <c r="L5713" s="1112"/>
      <c r="M5713" s="1113"/>
      <c r="N5713" s="110"/>
      <c r="O5713" s="1140"/>
      <c r="P5713" s="1115"/>
      <c r="Q5713" s="1116"/>
      <c r="R5713" s="1141"/>
      <c r="S5713" s="1113"/>
      <c r="T5713" s="1143"/>
      <c r="U5713" s="1108"/>
      <c r="V5713" s="1108"/>
      <c r="W5713" s="1108"/>
      <c r="X5713" s="1108"/>
      <c r="Y5713" s="1108"/>
      <c r="Z5713" s="1114"/>
      <c r="AA5713" s="1114"/>
      <c r="AB5713" s="1114"/>
      <c r="AC5713" s="1117"/>
      <c r="AD5713" s="1115"/>
      <c r="AE5713" s="1115"/>
      <c r="AF5713" s="1115"/>
      <c r="AG5713" s="1115"/>
      <c r="AH5713" s="1115"/>
      <c r="AI5713" s="1115"/>
      <c r="AJ5713" s="1117"/>
      <c r="AK5713" s="1118"/>
      <c r="AL5713" s="1115"/>
      <c r="AM5713" s="1115"/>
      <c r="AN5713" s="1115"/>
      <c r="AO5713" s="1115"/>
      <c r="AP5713" s="1115"/>
      <c r="AQ5713" s="1115"/>
      <c r="AR5713" s="1115"/>
      <c r="AS5713" s="1117"/>
      <c r="AT5713" s="1075"/>
      <c r="AU5713" s="1193"/>
      <c r="AV5713" s="330"/>
      <c r="AW5713" s="331"/>
      <c r="AX5713" s="331"/>
      <c r="AY5713" s="331"/>
      <c r="AZ5713" s="331"/>
      <c r="BA5713" s="331"/>
      <c r="BB5713" s="331"/>
      <c r="BC5713" s="331"/>
      <c r="BD5713" s="331"/>
      <c r="BE5713" s="333"/>
      <c r="BF5713" s="330"/>
      <c r="BG5713" s="333"/>
      <c r="BH5713" s="1119"/>
      <c r="BI5713" s="319"/>
      <c r="BJ5713" s="319"/>
      <c r="BK5713" s="319"/>
      <c r="BL5713" s="319"/>
      <c r="BM5713" s="319"/>
      <c r="BN5713" s="319"/>
      <c r="BO5713" s="319"/>
      <c r="BP5713" s="953"/>
      <c r="BQ5713" s="319"/>
      <c r="BR5713" s="319"/>
      <c r="BS5713" s="330"/>
      <c r="BT5713" s="331"/>
      <c r="BU5713" s="920"/>
      <c r="BV5713" s="903"/>
      <c r="BW5713" s="908"/>
      <c r="BX5713" s="908"/>
      <c r="BY5713" s="331"/>
      <c r="BZ5713" s="331"/>
      <c r="CA5713" s="462"/>
      <c r="CB5713" s="319"/>
      <c r="CC5713" s="319"/>
      <c r="CD5713" s="319"/>
      <c r="CE5713" s="319"/>
      <c r="CF5713" s="319"/>
      <c r="CG5713" s="319"/>
      <c r="CH5713" s="318"/>
      <c r="CI5713" s="319"/>
      <c r="CJ5713" s="319"/>
      <c r="CK5713" s="342"/>
      <c r="CL5713" s="333"/>
      <c r="CM5713" s="1079"/>
      <c r="CN5713" s="1005"/>
      <c r="CO5713" s="1005"/>
      <c r="CP5713" s="1005"/>
    </row>
    <row r="5714">
      <c r="A5714" s="1257"/>
      <c r="B5714" s="1113"/>
      <c r="C5714" s="1107"/>
      <c r="D5714" s="103"/>
      <c r="E5714" s="1137"/>
      <c r="F5714" s="112"/>
      <c r="G5714" s="1110"/>
      <c r="H5714" s="1138"/>
      <c r="I5714" s="1138"/>
      <c r="J5714" s="1139"/>
      <c r="K5714" s="1111"/>
      <c r="L5714" s="1112"/>
      <c r="M5714" s="1113"/>
      <c r="N5714" s="110"/>
      <c r="O5714" s="1140"/>
      <c r="P5714" s="1115"/>
      <c r="Q5714" s="1116"/>
      <c r="R5714" s="1141"/>
      <c r="S5714" s="1113"/>
      <c r="T5714" s="1143"/>
      <c r="U5714" s="1108"/>
      <c r="V5714" s="1108"/>
      <c r="W5714" s="1108"/>
      <c r="X5714" s="1108"/>
      <c r="Y5714" s="1108"/>
      <c r="Z5714" s="1114"/>
      <c r="AA5714" s="1114"/>
      <c r="AB5714" s="1114"/>
      <c r="AC5714" s="1117"/>
      <c r="AD5714" s="1115"/>
      <c r="AE5714" s="1115"/>
      <c r="AF5714" s="1115"/>
      <c r="AG5714" s="1115"/>
      <c r="AH5714" s="1115"/>
      <c r="AI5714" s="1115"/>
      <c r="AJ5714" s="1117"/>
      <c r="AK5714" s="1118"/>
      <c r="AL5714" s="1115"/>
      <c r="AM5714" s="1115"/>
      <c r="AN5714" s="1115"/>
      <c r="AO5714" s="1115"/>
      <c r="AP5714" s="1115"/>
      <c r="AQ5714" s="1115"/>
      <c r="AR5714" s="1115"/>
      <c r="AS5714" s="1117"/>
      <c r="AT5714" s="1075"/>
      <c r="AU5714" s="1193"/>
      <c r="AV5714" s="330"/>
      <c r="AW5714" s="331"/>
      <c r="AX5714" s="331"/>
      <c r="AY5714" s="331"/>
      <c r="AZ5714" s="331"/>
      <c r="BA5714" s="331"/>
      <c r="BB5714" s="331"/>
      <c r="BC5714" s="331"/>
      <c r="BD5714" s="331"/>
      <c r="BE5714" s="333"/>
      <c r="BF5714" s="330"/>
      <c r="BG5714" s="333"/>
      <c r="BH5714" s="1119"/>
      <c r="BI5714" s="319"/>
      <c r="BJ5714" s="319"/>
      <c r="BK5714" s="319"/>
      <c r="BL5714" s="319"/>
      <c r="BM5714" s="319"/>
      <c r="BN5714" s="319"/>
      <c r="BO5714" s="319"/>
      <c r="BP5714" s="953"/>
      <c r="BQ5714" s="319"/>
      <c r="BR5714" s="319"/>
      <c r="BS5714" s="330"/>
      <c r="BT5714" s="331"/>
      <c r="BU5714" s="920"/>
      <c r="BV5714" s="903"/>
      <c r="BW5714" s="908"/>
      <c r="BX5714" s="908"/>
      <c r="BY5714" s="331"/>
      <c r="BZ5714" s="331"/>
      <c r="CA5714" s="462"/>
      <c r="CB5714" s="319"/>
      <c r="CC5714" s="319"/>
      <c r="CD5714" s="319"/>
      <c r="CE5714" s="319"/>
      <c r="CF5714" s="319"/>
      <c r="CG5714" s="319"/>
      <c r="CH5714" s="318"/>
      <c r="CI5714" s="319"/>
      <c r="CJ5714" s="319"/>
      <c r="CK5714" s="342"/>
      <c r="CL5714" s="333"/>
      <c r="CM5714" s="1079"/>
      <c r="CN5714" s="1005"/>
      <c r="CO5714" s="1005"/>
      <c r="CP5714" s="1005"/>
    </row>
    <row r="5715">
      <c r="A5715" s="1257"/>
      <c r="B5715" s="1113"/>
      <c r="C5715" s="1107"/>
      <c r="D5715" s="103"/>
      <c r="E5715" s="1137"/>
      <c r="F5715" s="112"/>
      <c r="G5715" s="1110"/>
      <c r="H5715" s="1138"/>
      <c r="I5715" s="1138"/>
      <c r="J5715" s="1139"/>
      <c r="K5715" s="1111"/>
      <c r="L5715" s="1112"/>
      <c r="M5715" s="1113"/>
      <c r="N5715" s="110"/>
      <c r="O5715" s="1140"/>
      <c r="P5715" s="1115"/>
      <c r="Q5715" s="1116"/>
      <c r="R5715" s="1141"/>
      <c r="S5715" s="1113"/>
      <c r="T5715" s="1143"/>
      <c r="U5715" s="1108"/>
      <c r="V5715" s="1108"/>
      <c r="W5715" s="1108"/>
      <c r="X5715" s="1108"/>
      <c r="Y5715" s="1108"/>
      <c r="Z5715" s="1114"/>
      <c r="AA5715" s="1114"/>
      <c r="AB5715" s="1114"/>
      <c r="AC5715" s="1117"/>
      <c r="AD5715" s="1115"/>
      <c r="AE5715" s="1115"/>
      <c r="AF5715" s="1115"/>
      <c r="AG5715" s="1115"/>
      <c r="AH5715" s="1115"/>
      <c r="AI5715" s="1115"/>
      <c r="AJ5715" s="1117"/>
      <c r="AK5715" s="1118"/>
      <c r="AL5715" s="1115"/>
      <c r="AM5715" s="1115"/>
      <c r="AN5715" s="1115"/>
      <c r="AO5715" s="1115"/>
      <c r="AP5715" s="1115"/>
      <c r="AQ5715" s="1115"/>
      <c r="AR5715" s="1115"/>
      <c r="AS5715" s="1117"/>
      <c r="AT5715" s="1075"/>
      <c r="AU5715" s="1193"/>
      <c r="AV5715" s="330"/>
      <c r="AW5715" s="331"/>
      <c r="AX5715" s="331"/>
      <c r="AY5715" s="331"/>
      <c r="AZ5715" s="331"/>
      <c r="BA5715" s="331"/>
      <c r="BB5715" s="331"/>
      <c r="BC5715" s="331"/>
      <c r="BD5715" s="331"/>
      <c r="BE5715" s="333"/>
      <c r="BF5715" s="330"/>
      <c r="BG5715" s="333"/>
      <c r="BH5715" s="1119"/>
      <c r="BI5715" s="319"/>
      <c r="BJ5715" s="319"/>
      <c r="BK5715" s="319"/>
      <c r="BL5715" s="319"/>
      <c r="BM5715" s="319"/>
      <c r="BN5715" s="319"/>
      <c r="BO5715" s="319"/>
      <c r="BP5715" s="953"/>
      <c r="BQ5715" s="319"/>
      <c r="BR5715" s="319"/>
      <c r="BS5715" s="330"/>
      <c r="BT5715" s="331"/>
      <c r="BU5715" s="920"/>
      <c r="BV5715" s="903"/>
      <c r="BW5715" s="908"/>
      <c r="BX5715" s="908"/>
      <c r="BY5715" s="331"/>
      <c r="BZ5715" s="331"/>
      <c r="CA5715" s="462"/>
      <c r="CB5715" s="319"/>
      <c r="CC5715" s="319"/>
      <c r="CD5715" s="319"/>
      <c r="CE5715" s="319"/>
      <c r="CF5715" s="319"/>
      <c r="CG5715" s="319"/>
      <c r="CH5715" s="318"/>
      <c r="CI5715" s="319"/>
      <c r="CJ5715" s="319"/>
      <c r="CK5715" s="342"/>
      <c r="CL5715" s="333"/>
      <c r="CM5715" s="1079"/>
      <c r="CN5715" s="1005"/>
      <c r="CO5715" s="1005"/>
      <c r="CP5715" s="1005"/>
    </row>
    <row r="5716">
      <c r="A5716" s="1257"/>
      <c r="B5716" s="1113"/>
      <c r="C5716" s="1107"/>
      <c r="D5716" s="103"/>
      <c r="E5716" s="1137"/>
      <c r="F5716" s="112"/>
      <c r="G5716" s="1110"/>
      <c r="H5716" s="1138"/>
      <c r="I5716" s="1138"/>
      <c r="J5716" s="1139"/>
      <c r="K5716" s="1111"/>
      <c r="L5716" s="1112"/>
      <c r="M5716" s="1113"/>
      <c r="N5716" s="110"/>
      <c r="O5716" s="1140"/>
      <c r="P5716" s="1115"/>
      <c r="Q5716" s="1116"/>
      <c r="R5716" s="1141"/>
      <c r="S5716" s="1113"/>
      <c r="T5716" s="1143"/>
      <c r="U5716" s="1108"/>
      <c r="V5716" s="1108"/>
      <c r="W5716" s="1108"/>
      <c r="X5716" s="1108"/>
      <c r="Y5716" s="1108"/>
      <c r="Z5716" s="1114"/>
      <c r="AA5716" s="1114"/>
      <c r="AB5716" s="1114"/>
      <c r="AC5716" s="1117"/>
      <c r="AD5716" s="1115"/>
      <c r="AE5716" s="1115"/>
      <c r="AF5716" s="1115"/>
      <c r="AG5716" s="1115"/>
      <c r="AH5716" s="1115"/>
      <c r="AI5716" s="1115"/>
      <c r="AJ5716" s="1117"/>
      <c r="AK5716" s="1118"/>
      <c r="AL5716" s="1115"/>
      <c r="AM5716" s="1115"/>
      <c r="AN5716" s="1115"/>
      <c r="AO5716" s="1115"/>
      <c r="AP5716" s="1115"/>
      <c r="AQ5716" s="1115"/>
      <c r="AR5716" s="1115"/>
      <c r="AS5716" s="1117"/>
      <c r="AT5716" s="1075"/>
      <c r="AU5716" s="1193"/>
      <c r="AV5716" s="330"/>
      <c r="AW5716" s="331"/>
      <c r="AX5716" s="331"/>
      <c r="AY5716" s="331"/>
      <c r="AZ5716" s="331"/>
      <c r="BA5716" s="331"/>
      <c r="BB5716" s="331"/>
      <c r="BC5716" s="331"/>
      <c r="BD5716" s="331"/>
      <c r="BE5716" s="333"/>
      <c r="BF5716" s="330"/>
      <c r="BG5716" s="333"/>
      <c r="BH5716" s="1119"/>
      <c r="BI5716" s="319"/>
      <c r="BJ5716" s="319"/>
      <c r="BK5716" s="319"/>
      <c r="BL5716" s="319"/>
      <c r="BM5716" s="319"/>
      <c r="BN5716" s="319"/>
      <c r="BO5716" s="319"/>
      <c r="BP5716" s="953"/>
      <c r="BQ5716" s="319"/>
      <c r="BR5716" s="319"/>
      <c r="BS5716" s="330"/>
      <c r="BT5716" s="331"/>
      <c r="BU5716" s="920"/>
      <c r="BV5716" s="903"/>
      <c r="BW5716" s="908"/>
      <c r="BX5716" s="908"/>
      <c r="BY5716" s="331"/>
      <c r="BZ5716" s="331"/>
      <c r="CA5716" s="462"/>
      <c r="CB5716" s="319"/>
      <c r="CC5716" s="319"/>
      <c r="CD5716" s="319"/>
      <c r="CE5716" s="319"/>
      <c r="CF5716" s="319"/>
      <c r="CG5716" s="319"/>
      <c r="CH5716" s="318"/>
      <c r="CI5716" s="319"/>
      <c r="CJ5716" s="319"/>
      <c r="CK5716" s="342"/>
      <c r="CL5716" s="333"/>
      <c r="CM5716" s="1079"/>
      <c r="CN5716" s="1005"/>
      <c r="CO5716" s="1005"/>
      <c r="CP5716" s="1005"/>
    </row>
    <row r="5717">
      <c r="A5717" s="1257"/>
      <c r="B5717" s="1113"/>
      <c r="C5717" s="1107"/>
      <c r="D5717" s="103"/>
      <c r="E5717" s="1137"/>
      <c r="F5717" s="112"/>
      <c r="G5717" s="1110"/>
      <c r="H5717" s="1138"/>
      <c r="I5717" s="1138"/>
      <c r="J5717" s="1139"/>
      <c r="K5717" s="1111"/>
      <c r="L5717" s="1112"/>
      <c r="M5717" s="1113"/>
      <c r="N5717" s="110"/>
      <c r="O5717" s="1140"/>
      <c r="P5717" s="1115"/>
      <c r="Q5717" s="1116"/>
      <c r="R5717" s="1141"/>
      <c r="S5717" s="1113"/>
      <c r="T5717" s="1143"/>
      <c r="U5717" s="1108"/>
      <c r="V5717" s="1108"/>
      <c r="W5717" s="1108"/>
      <c r="X5717" s="1108"/>
      <c r="Y5717" s="1108"/>
      <c r="Z5717" s="1114"/>
      <c r="AA5717" s="1114"/>
      <c r="AB5717" s="1114"/>
      <c r="AC5717" s="1117"/>
      <c r="AD5717" s="1115"/>
      <c r="AE5717" s="1115"/>
      <c r="AF5717" s="1115"/>
      <c r="AG5717" s="1115"/>
      <c r="AH5717" s="1115"/>
      <c r="AI5717" s="1115"/>
      <c r="AJ5717" s="1117"/>
      <c r="AK5717" s="1118"/>
      <c r="AL5717" s="1115"/>
      <c r="AM5717" s="1115"/>
      <c r="AN5717" s="1115"/>
      <c r="AO5717" s="1115"/>
      <c r="AP5717" s="1115"/>
      <c r="AQ5717" s="1115"/>
      <c r="AR5717" s="1115"/>
      <c r="AS5717" s="1117"/>
      <c r="AT5717" s="1075"/>
      <c r="AU5717" s="1193"/>
      <c r="AV5717" s="330"/>
      <c r="AW5717" s="331"/>
      <c r="AX5717" s="331"/>
      <c r="AY5717" s="331"/>
      <c r="AZ5717" s="331"/>
      <c r="BA5717" s="331"/>
      <c r="BB5717" s="331"/>
      <c r="BC5717" s="331"/>
      <c r="BD5717" s="331"/>
      <c r="BE5717" s="333"/>
      <c r="BF5717" s="330"/>
      <c r="BG5717" s="333"/>
      <c r="BH5717" s="1119"/>
      <c r="BI5717" s="319"/>
      <c r="BJ5717" s="319"/>
      <c r="BK5717" s="319"/>
      <c r="BL5717" s="319"/>
      <c r="BM5717" s="319"/>
      <c r="BN5717" s="319"/>
      <c r="BO5717" s="319"/>
      <c r="BP5717" s="953"/>
      <c r="BQ5717" s="319"/>
      <c r="BR5717" s="319"/>
      <c r="BS5717" s="330"/>
      <c r="BT5717" s="331"/>
      <c r="BU5717" s="920"/>
      <c r="BV5717" s="903"/>
      <c r="BW5717" s="908"/>
      <c r="BX5717" s="908"/>
      <c r="BY5717" s="331"/>
      <c r="BZ5717" s="331"/>
      <c r="CA5717" s="462"/>
      <c r="CB5717" s="319"/>
      <c r="CC5717" s="319"/>
      <c r="CD5717" s="319"/>
      <c r="CE5717" s="319"/>
      <c r="CF5717" s="319"/>
      <c r="CG5717" s="319"/>
      <c r="CH5717" s="318"/>
      <c r="CI5717" s="319"/>
      <c r="CJ5717" s="319"/>
      <c r="CK5717" s="342"/>
      <c r="CL5717" s="333"/>
      <c r="CM5717" s="1079"/>
      <c r="CN5717" s="1005"/>
      <c r="CO5717" s="1005"/>
      <c r="CP5717" s="1005"/>
    </row>
    <row r="5718">
      <c r="A5718" s="1257"/>
      <c r="B5718" s="1113"/>
      <c r="C5718" s="1107"/>
      <c r="D5718" s="103"/>
      <c r="E5718" s="1137"/>
      <c r="F5718" s="112"/>
      <c r="G5718" s="1110"/>
      <c r="H5718" s="1138"/>
      <c r="I5718" s="1138"/>
      <c r="J5718" s="1139"/>
      <c r="K5718" s="1111"/>
      <c r="L5718" s="1112"/>
      <c r="M5718" s="1113"/>
      <c r="N5718" s="110"/>
      <c r="O5718" s="1140"/>
      <c r="P5718" s="1115"/>
      <c r="Q5718" s="1116"/>
      <c r="R5718" s="1141"/>
      <c r="S5718" s="1113"/>
      <c r="T5718" s="1143"/>
      <c r="U5718" s="1108"/>
      <c r="V5718" s="1108"/>
      <c r="W5718" s="1108"/>
      <c r="X5718" s="1108"/>
      <c r="Y5718" s="1108"/>
      <c r="Z5718" s="1114"/>
      <c r="AA5718" s="1114"/>
      <c r="AB5718" s="1114"/>
      <c r="AC5718" s="1117"/>
      <c r="AD5718" s="1115"/>
      <c r="AE5718" s="1115"/>
      <c r="AF5718" s="1115"/>
      <c r="AG5718" s="1115"/>
      <c r="AH5718" s="1115"/>
      <c r="AI5718" s="1115"/>
      <c r="AJ5718" s="1117"/>
      <c r="AK5718" s="1118"/>
      <c r="AL5718" s="1115"/>
      <c r="AM5718" s="1115"/>
      <c r="AN5718" s="1115"/>
      <c r="AO5718" s="1115"/>
      <c r="AP5718" s="1115"/>
      <c r="AQ5718" s="1115"/>
      <c r="AR5718" s="1115"/>
      <c r="AS5718" s="1117"/>
      <c r="AT5718" s="1075"/>
      <c r="AU5718" s="1193"/>
      <c r="AV5718" s="330"/>
      <c r="AW5718" s="331"/>
      <c r="AX5718" s="331"/>
      <c r="AY5718" s="331"/>
      <c r="AZ5718" s="331"/>
      <c r="BA5718" s="331"/>
      <c r="BB5718" s="331"/>
      <c r="BC5718" s="331"/>
      <c r="BD5718" s="331"/>
      <c r="BE5718" s="333"/>
      <c r="BF5718" s="330"/>
      <c r="BG5718" s="333"/>
      <c r="BH5718" s="1119"/>
      <c r="BI5718" s="319"/>
      <c r="BJ5718" s="319"/>
      <c r="BK5718" s="319"/>
      <c r="BL5718" s="319"/>
      <c r="BM5718" s="319"/>
      <c r="BN5718" s="319"/>
      <c r="BO5718" s="319"/>
      <c r="BP5718" s="953"/>
      <c r="BQ5718" s="319"/>
      <c r="BR5718" s="319"/>
      <c r="BS5718" s="330"/>
      <c r="BT5718" s="331"/>
      <c r="BU5718" s="920"/>
      <c r="BV5718" s="903"/>
      <c r="BW5718" s="908"/>
      <c r="BX5718" s="908"/>
      <c r="BY5718" s="331"/>
      <c r="BZ5718" s="331"/>
      <c r="CA5718" s="462"/>
      <c r="CB5718" s="319"/>
      <c r="CC5718" s="319"/>
      <c r="CD5718" s="319"/>
      <c r="CE5718" s="319"/>
      <c r="CF5718" s="319"/>
      <c r="CG5718" s="319"/>
      <c r="CH5718" s="318"/>
      <c r="CI5718" s="319"/>
      <c r="CJ5718" s="319"/>
      <c r="CK5718" s="342"/>
      <c r="CL5718" s="333"/>
      <c r="CM5718" s="1079"/>
      <c r="CN5718" s="1005"/>
      <c r="CO5718" s="1005"/>
      <c r="CP5718" s="1005"/>
    </row>
    <row r="5719">
      <c r="A5719" s="1257"/>
      <c r="B5719" s="1113"/>
      <c r="C5719" s="1107"/>
      <c r="D5719" s="103"/>
      <c r="E5719" s="1137"/>
      <c r="F5719" s="112"/>
      <c r="G5719" s="1110"/>
      <c r="H5719" s="1138"/>
      <c r="I5719" s="1138"/>
      <c r="J5719" s="1139"/>
      <c r="K5719" s="1111"/>
      <c r="L5719" s="1112"/>
      <c r="M5719" s="1113"/>
      <c r="N5719" s="110"/>
      <c r="O5719" s="1140"/>
      <c r="P5719" s="1115"/>
      <c r="Q5719" s="1116"/>
      <c r="R5719" s="1141"/>
      <c r="S5719" s="1113"/>
      <c r="T5719" s="1143"/>
      <c r="U5719" s="1108"/>
      <c r="V5719" s="1108"/>
      <c r="W5719" s="1108"/>
      <c r="X5719" s="1108"/>
      <c r="Y5719" s="1108"/>
      <c r="Z5719" s="1114"/>
      <c r="AA5719" s="1114"/>
      <c r="AB5719" s="1114"/>
      <c r="AC5719" s="1117"/>
      <c r="AD5719" s="1115"/>
      <c r="AE5719" s="1115"/>
      <c r="AF5719" s="1115"/>
      <c r="AG5719" s="1115"/>
      <c r="AH5719" s="1115"/>
      <c r="AI5719" s="1115"/>
      <c r="AJ5719" s="1117"/>
      <c r="AK5719" s="1118"/>
      <c r="AL5719" s="1115"/>
      <c r="AM5719" s="1115"/>
      <c r="AN5719" s="1115"/>
      <c r="AO5719" s="1115"/>
      <c r="AP5719" s="1115"/>
      <c r="AQ5719" s="1115"/>
      <c r="AR5719" s="1115"/>
      <c r="AS5719" s="1117"/>
      <c r="AT5719" s="1075"/>
      <c r="AU5719" s="1193"/>
      <c r="AV5719" s="330"/>
      <c r="AW5719" s="331"/>
      <c r="AX5719" s="331"/>
      <c r="AY5719" s="331"/>
      <c r="AZ5719" s="331"/>
      <c r="BA5719" s="331"/>
      <c r="BB5719" s="331"/>
      <c r="BC5719" s="331"/>
      <c r="BD5719" s="331"/>
      <c r="BE5719" s="333"/>
      <c r="BF5719" s="330"/>
      <c r="BG5719" s="333"/>
      <c r="BH5719" s="1119"/>
      <c r="BI5719" s="319"/>
      <c r="BJ5719" s="319"/>
      <c r="BK5719" s="319"/>
      <c r="BL5719" s="319"/>
      <c r="BM5719" s="319"/>
      <c r="BN5719" s="319"/>
      <c r="BO5719" s="319"/>
      <c r="BP5719" s="953"/>
      <c r="BQ5719" s="319"/>
      <c r="BR5719" s="319"/>
      <c r="BS5719" s="330"/>
      <c r="BT5719" s="331"/>
      <c r="BU5719" s="920"/>
      <c r="BV5719" s="903"/>
      <c r="BW5719" s="908"/>
      <c r="BX5719" s="908"/>
      <c r="BY5719" s="331"/>
      <c r="BZ5719" s="331"/>
      <c r="CA5719" s="462"/>
      <c r="CB5719" s="319"/>
      <c r="CC5719" s="319"/>
      <c r="CD5719" s="319"/>
      <c r="CE5719" s="319"/>
      <c r="CF5719" s="319"/>
      <c r="CG5719" s="319"/>
      <c r="CH5719" s="318"/>
      <c r="CI5719" s="319"/>
      <c r="CJ5719" s="319"/>
      <c r="CK5719" s="342"/>
      <c r="CL5719" s="333"/>
      <c r="CM5719" s="1079"/>
      <c r="CN5719" s="1005"/>
      <c r="CO5719" s="1005"/>
      <c r="CP5719" s="1005"/>
    </row>
    <row r="5720">
      <c r="A5720" s="1257"/>
      <c r="B5720" s="1113"/>
      <c r="C5720" s="1107"/>
      <c r="D5720" s="103"/>
      <c r="E5720" s="1137"/>
      <c r="F5720" s="112"/>
      <c r="G5720" s="1110"/>
      <c r="H5720" s="1138"/>
      <c r="I5720" s="1138"/>
      <c r="J5720" s="1139"/>
      <c r="K5720" s="1111"/>
      <c r="L5720" s="1112"/>
      <c r="M5720" s="1113"/>
      <c r="N5720" s="110"/>
      <c r="O5720" s="1140"/>
      <c r="P5720" s="1115"/>
      <c r="Q5720" s="1116"/>
      <c r="R5720" s="1141"/>
      <c r="S5720" s="1113"/>
      <c r="T5720" s="1143"/>
      <c r="U5720" s="1108"/>
      <c r="V5720" s="1108"/>
      <c r="W5720" s="1108"/>
      <c r="X5720" s="1108"/>
      <c r="Y5720" s="1108"/>
      <c r="Z5720" s="1114"/>
      <c r="AA5720" s="1114"/>
      <c r="AB5720" s="1114"/>
      <c r="AC5720" s="1117"/>
      <c r="AD5720" s="1115"/>
      <c r="AE5720" s="1115"/>
      <c r="AF5720" s="1115"/>
      <c r="AG5720" s="1115"/>
      <c r="AH5720" s="1115"/>
      <c r="AI5720" s="1115"/>
      <c r="AJ5720" s="1117"/>
      <c r="AK5720" s="1118"/>
      <c r="AL5720" s="1115"/>
      <c r="AM5720" s="1115"/>
      <c r="AN5720" s="1115"/>
      <c r="AO5720" s="1115"/>
      <c r="AP5720" s="1115"/>
      <c r="AQ5720" s="1115"/>
      <c r="AR5720" s="1115"/>
      <c r="AS5720" s="1117"/>
      <c r="AT5720" s="1075"/>
      <c r="AU5720" s="1193"/>
      <c r="AV5720" s="330"/>
      <c r="AW5720" s="331"/>
      <c r="AX5720" s="331"/>
      <c r="AY5720" s="331"/>
      <c r="AZ5720" s="331"/>
      <c r="BA5720" s="331"/>
      <c r="BB5720" s="331"/>
      <c r="BC5720" s="331"/>
      <c r="BD5720" s="331"/>
      <c r="BE5720" s="333"/>
      <c r="BF5720" s="330"/>
      <c r="BG5720" s="333"/>
      <c r="BH5720" s="1119"/>
      <c r="BI5720" s="319"/>
      <c r="BJ5720" s="319"/>
      <c r="BK5720" s="319"/>
      <c r="BL5720" s="319"/>
      <c r="BM5720" s="319"/>
      <c r="BN5720" s="319"/>
      <c r="BO5720" s="319"/>
      <c r="BP5720" s="953"/>
      <c r="BQ5720" s="319"/>
      <c r="BR5720" s="319"/>
      <c r="BS5720" s="330"/>
      <c r="BT5720" s="331"/>
      <c r="BU5720" s="920"/>
      <c r="BV5720" s="903"/>
      <c r="BW5720" s="908"/>
      <c r="BX5720" s="908"/>
      <c r="BY5720" s="331"/>
      <c r="BZ5720" s="331"/>
      <c r="CA5720" s="462"/>
      <c r="CB5720" s="319"/>
      <c r="CC5720" s="319"/>
      <c r="CD5720" s="319"/>
      <c r="CE5720" s="319"/>
      <c r="CF5720" s="319"/>
      <c r="CG5720" s="319"/>
      <c r="CH5720" s="318"/>
      <c r="CI5720" s="319"/>
      <c r="CJ5720" s="319"/>
      <c r="CK5720" s="342"/>
      <c r="CL5720" s="333"/>
      <c r="CM5720" s="1079"/>
      <c r="CN5720" s="1005"/>
      <c r="CO5720" s="1005"/>
      <c r="CP5720" s="1005"/>
    </row>
    <row r="5721">
      <c r="A5721" s="1257"/>
      <c r="B5721" s="1113"/>
      <c r="C5721" s="1107"/>
      <c r="D5721" s="103"/>
      <c r="E5721" s="1137"/>
      <c r="F5721" s="112"/>
      <c r="G5721" s="1110"/>
      <c r="H5721" s="1138"/>
      <c r="I5721" s="1138"/>
      <c r="J5721" s="1139"/>
      <c r="K5721" s="1111"/>
      <c r="L5721" s="1112"/>
      <c r="M5721" s="1113"/>
      <c r="N5721" s="110"/>
      <c r="O5721" s="1140"/>
      <c r="P5721" s="1115"/>
      <c r="Q5721" s="1116"/>
      <c r="R5721" s="1141"/>
      <c r="S5721" s="1113"/>
      <c r="T5721" s="1143"/>
      <c r="U5721" s="1108"/>
      <c r="V5721" s="1108"/>
      <c r="W5721" s="1108"/>
      <c r="X5721" s="1108"/>
      <c r="Y5721" s="1108"/>
      <c r="Z5721" s="1114"/>
      <c r="AA5721" s="1114"/>
      <c r="AB5721" s="1114"/>
      <c r="AC5721" s="1117"/>
      <c r="AD5721" s="1115"/>
      <c r="AE5721" s="1115"/>
      <c r="AF5721" s="1115"/>
      <c r="AG5721" s="1115"/>
      <c r="AH5721" s="1115"/>
      <c r="AI5721" s="1115"/>
      <c r="AJ5721" s="1117"/>
      <c r="AK5721" s="1118"/>
      <c r="AL5721" s="1115"/>
      <c r="AM5721" s="1115"/>
      <c r="AN5721" s="1115"/>
      <c r="AO5721" s="1115"/>
      <c r="AP5721" s="1115"/>
      <c r="AQ5721" s="1115"/>
      <c r="AR5721" s="1115"/>
      <c r="AS5721" s="1117"/>
      <c r="AT5721" s="1075"/>
      <c r="AU5721" s="1193"/>
      <c r="AV5721" s="330"/>
      <c r="AW5721" s="331"/>
      <c r="AX5721" s="331"/>
      <c r="AY5721" s="331"/>
      <c r="AZ5721" s="331"/>
      <c r="BA5721" s="331"/>
      <c r="BB5721" s="331"/>
      <c r="BC5721" s="331"/>
      <c r="BD5721" s="331"/>
      <c r="BE5721" s="333"/>
      <c r="BF5721" s="330"/>
      <c r="BG5721" s="333"/>
      <c r="BH5721" s="1119"/>
      <c r="BI5721" s="319"/>
      <c r="BJ5721" s="319"/>
      <c r="BK5721" s="319"/>
      <c r="BL5721" s="319"/>
      <c r="BM5721" s="319"/>
      <c r="BN5721" s="319"/>
      <c r="BO5721" s="319"/>
      <c r="BP5721" s="953"/>
      <c r="BQ5721" s="319"/>
      <c r="BR5721" s="319"/>
      <c r="BS5721" s="330"/>
      <c r="BT5721" s="331"/>
      <c r="BU5721" s="920"/>
      <c r="BV5721" s="903"/>
      <c r="BW5721" s="908"/>
      <c r="BX5721" s="908"/>
      <c r="BY5721" s="331"/>
      <c r="BZ5721" s="331"/>
      <c r="CA5721" s="462"/>
      <c r="CB5721" s="319"/>
      <c r="CC5721" s="319"/>
      <c r="CD5721" s="319"/>
      <c r="CE5721" s="319"/>
      <c r="CF5721" s="319"/>
      <c r="CG5721" s="319"/>
      <c r="CH5721" s="318"/>
      <c r="CI5721" s="319"/>
      <c r="CJ5721" s="319"/>
      <c r="CK5721" s="342"/>
      <c r="CL5721" s="333"/>
      <c r="CM5721" s="1079"/>
      <c r="CN5721" s="1005"/>
      <c r="CO5721" s="1005"/>
      <c r="CP5721" s="1005"/>
    </row>
    <row r="5722">
      <c r="A5722" s="1257"/>
      <c r="B5722" s="1113"/>
      <c r="C5722" s="1107"/>
      <c r="D5722" s="103"/>
      <c r="E5722" s="1137"/>
      <c r="F5722" s="112"/>
      <c r="G5722" s="1110"/>
      <c r="H5722" s="1138"/>
      <c r="I5722" s="1138"/>
      <c r="J5722" s="1139"/>
      <c r="K5722" s="1111"/>
      <c r="L5722" s="1112"/>
      <c r="M5722" s="1113"/>
      <c r="N5722" s="110"/>
      <c r="O5722" s="1140"/>
      <c r="P5722" s="1115"/>
      <c r="Q5722" s="1116"/>
      <c r="R5722" s="1141"/>
      <c r="S5722" s="1113"/>
      <c r="T5722" s="1143"/>
      <c r="U5722" s="1108"/>
      <c r="V5722" s="1108"/>
      <c r="W5722" s="1108"/>
      <c r="X5722" s="1108"/>
      <c r="Y5722" s="1108"/>
      <c r="Z5722" s="1114"/>
      <c r="AA5722" s="1114"/>
      <c r="AB5722" s="1114"/>
      <c r="AC5722" s="1117"/>
      <c r="AD5722" s="1115"/>
      <c r="AE5722" s="1115"/>
      <c r="AF5722" s="1115"/>
      <c r="AG5722" s="1115"/>
      <c r="AH5722" s="1115"/>
      <c r="AI5722" s="1115"/>
      <c r="AJ5722" s="1117"/>
      <c r="AK5722" s="1118"/>
      <c r="AL5722" s="1115"/>
      <c r="AM5722" s="1115"/>
      <c r="AN5722" s="1115"/>
      <c r="AO5722" s="1115"/>
      <c r="AP5722" s="1115"/>
      <c r="AQ5722" s="1115"/>
      <c r="AR5722" s="1115"/>
      <c r="AS5722" s="1117"/>
      <c r="AT5722" s="1075"/>
      <c r="AU5722" s="1193"/>
      <c r="AV5722" s="330"/>
      <c r="AW5722" s="331"/>
      <c r="AX5722" s="331"/>
      <c r="AY5722" s="331"/>
      <c r="AZ5722" s="331"/>
      <c r="BA5722" s="331"/>
      <c r="BB5722" s="331"/>
      <c r="BC5722" s="331"/>
      <c r="BD5722" s="331"/>
      <c r="BE5722" s="333"/>
      <c r="BF5722" s="330"/>
      <c r="BG5722" s="333"/>
      <c r="BH5722" s="1119"/>
      <c r="BI5722" s="319"/>
      <c r="BJ5722" s="319"/>
      <c r="BK5722" s="319"/>
      <c r="BL5722" s="319"/>
      <c r="BM5722" s="319"/>
      <c r="BN5722" s="319"/>
      <c r="BO5722" s="319"/>
      <c r="BP5722" s="953"/>
      <c r="BQ5722" s="319"/>
      <c r="BR5722" s="319"/>
      <c r="BS5722" s="330"/>
      <c r="BT5722" s="331"/>
      <c r="BU5722" s="920"/>
      <c r="BV5722" s="903"/>
      <c r="BW5722" s="908"/>
      <c r="BX5722" s="908"/>
      <c r="BY5722" s="331"/>
      <c r="BZ5722" s="331"/>
      <c r="CA5722" s="462"/>
      <c r="CB5722" s="319"/>
      <c r="CC5722" s="319"/>
      <c r="CD5722" s="319"/>
      <c r="CE5722" s="319"/>
      <c r="CF5722" s="319"/>
      <c r="CG5722" s="319"/>
      <c r="CH5722" s="318"/>
      <c r="CI5722" s="319"/>
      <c r="CJ5722" s="319"/>
      <c r="CK5722" s="342"/>
      <c r="CL5722" s="333"/>
      <c r="CM5722" s="1079"/>
      <c r="CN5722" s="1005"/>
      <c r="CO5722" s="1005"/>
      <c r="CP5722" s="1005"/>
    </row>
    <row r="5723">
      <c r="A5723" s="1257"/>
      <c r="B5723" s="1113"/>
      <c r="C5723" s="1107"/>
      <c r="D5723" s="103"/>
      <c r="E5723" s="1137"/>
      <c r="F5723" s="112"/>
      <c r="G5723" s="1110"/>
      <c r="H5723" s="1138"/>
      <c r="I5723" s="1138"/>
      <c r="J5723" s="1139"/>
      <c r="K5723" s="1111"/>
      <c r="L5723" s="1112"/>
      <c r="M5723" s="1113"/>
      <c r="N5723" s="110"/>
      <c r="O5723" s="1140"/>
      <c r="P5723" s="1115"/>
      <c r="Q5723" s="1116"/>
      <c r="R5723" s="1141"/>
      <c r="S5723" s="1113"/>
      <c r="T5723" s="1143"/>
      <c r="U5723" s="1108"/>
      <c r="V5723" s="1108"/>
      <c r="W5723" s="1108"/>
      <c r="X5723" s="1108"/>
      <c r="Y5723" s="1108"/>
      <c r="Z5723" s="1114"/>
      <c r="AA5723" s="1114"/>
      <c r="AB5723" s="1114"/>
      <c r="AC5723" s="1117"/>
      <c r="AD5723" s="1115"/>
      <c r="AE5723" s="1115"/>
      <c r="AF5723" s="1115"/>
      <c r="AG5723" s="1115"/>
      <c r="AH5723" s="1115"/>
      <c r="AI5723" s="1115"/>
      <c r="AJ5723" s="1117"/>
      <c r="AK5723" s="1118"/>
      <c r="AL5723" s="1115"/>
      <c r="AM5723" s="1115"/>
      <c r="AN5723" s="1115"/>
      <c r="AO5723" s="1115"/>
      <c r="AP5723" s="1115"/>
      <c r="AQ5723" s="1115"/>
      <c r="AR5723" s="1115"/>
      <c r="AS5723" s="1117"/>
      <c r="AT5723" s="1075"/>
      <c r="AU5723" s="1193"/>
      <c r="AV5723" s="330"/>
      <c r="AW5723" s="331"/>
      <c r="AX5723" s="331"/>
      <c r="AY5723" s="331"/>
      <c r="AZ5723" s="331"/>
      <c r="BA5723" s="331"/>
      <c r="BB5723" s="331"/>
      <c r="BC5723" s="331"/>
      <c r="BD5723" s="331"/>
      <c r="BE5723" s="333"/>
      <c r="BF5723" s="330"/>
      <c r="BG5723" s="333"/>
      <c r="BH5723" s="1119"/>
      <c r="BI5723" s="319"/>
      <c r="BJ5723" s="319"/>
      <c r="BK5723" s="319"/>
      <c r="BL5723" s="319"/>
      <c r="BM5723" s="319"/>
      <c r="BN5723" s="319"/>
      <c r="BO5723" s="319"/>
      <c r="BP5723" s="953"/>
      <c r="BQ5723" s="319"/>
      <c r="BR5723" s="319"/>
      <c r="BS5723" s="330"/>
      <c r="BT5723" s="331"/>
      <c r="BU5723" s="920"/>
      <c r="BV5723" s="903"/>
      <c r="BW5723" s="908"/>
      <c r="BX5723" s="908"/>
      <c r="BY5723" s="331"/>
      <c r="BZ5723" s="331"/>
      <c r="CA5723" s="462"/>
      <c r="CB5723" s="319"/>
      <c r="CC5723" s="319"/>
      <c r="CD5723" s="319"/>
      <c r="CE5723" s="319"/>
      <c r="CF5723" s="319"/>
      <c r="CG5723" s="319"/>
      <c r="CH5723" s="318"/>
      <c r="CI5723" s="319"/>
      <c r="CJ5723" s="319"/>
      <c r="CK5723" s="342"/>
      <c r="CL5723" s="333"/>
      <c r="CM5723" s="1079"/>
      <c r="CN5723" s="1005"/>
      <c r="CO5723" s="1005"/>
      <c r="CP5723" s="1005"/>
    </row>
    <row r="5724">
      <c r="A5724" s="1257"/>
      <c r="B5724" s="1113"/>
      <c r="C5724" s="1107"/>
      <c r="D5724" s="103"/>
      <c r="E5724" s="1137"/>
      <c r="F5724" s="112"/>
      <c r="G5724" s="1110"/>
      <c r="H5724" s="1138"/>
      <c r="I5724" s="1138"/>
      <c r="J5724" s="1139"/>
      <c r="K5724" s="1111"/>
      <c r="L5724" s="1112"/>
      <c r="M5724" s="1113"/>
      <c r="N5724" s="110"/>
      <c r="O5724" s="1140"/>
      <c r="P5724" s="1115"/>
      <c r="Q5724" s="1116"/>
      <c r="R5724" s="1141"/>
      <c r="S5724" s="1113"/>
      <c r="T5724" s="1143"/>
      <c r="U5724" s="1108"/>
      <c r="V5724" s="1108"/>
      <c r="W5724" s="1108"/>
      <c r="X5724" s="1108"/>
      <c r="Y5724" s="1108"/>
      <c r="Z5724" s="1114"/>
      <c r="AA5724" s="1114"/>
      <c r="AB5724" s="1114"/>
      <c r="AC5724" s="1117"/>
      <c r="AD5724" s="1115"/>
      <c r="AE5724" s="1115"/>
      <c r="AF5724" s="1115"/>
      <c r="AG5724" s="1115"/>
      <c r="AH5724" s="1115"/>
      <c r="AI5724" s="1115"/>
      <c r="AJ5724" s="1117"/>
      <c r="AK5724" s="1118"/>
      <c r="AL5724" s="1115"/>
      <c r="AM5724" s="1115"/>
      <c r="AN5724" s="1115"/>
      <c r="AO5724" s="1115"/>
      <c r="AP5724" s="1115"/>
      <c r="AQ5724" s="1115"/>
      <c r="AR5724" s="1115"/>
      <c r="AS5724" s="1117"/>
      <c r="AT5724" s="1075"/>
      <c r="AU5724" s="1193"/>
      <c r="AV5724" s="330"/>
      <c r="AW5724" s="331"/>
      <c r="AX5724" s="331"/>
      <c r="AY5724" s="331"/>
      <c r="AZ5724" s="331"/>
      <c r="BA5724" s="331"/>
      <c r="BB5724" s="331"/>
      <c r="BC5724" s="331"/>
      <c r="BD5724" s="331"/>
      <c r="BE5724" s="333"/>
      <c r="BF5724" s="330"/>
      <c r="BG5724" s="333"/>
      <c r="BH5724" s="1119"/>
      <c r="BI5724" s="319"/>
      <c r="BJ5724" s="319"/>
      <c r="BK5724" s="319"/>
      <c r="BL5724" s="319"/>
      <c r="BM5724" s="319"/>
      <c r="BN5724" s="319"/>
      <c r="BO5724" s="319"/>
      <c r="BP5724" s="953"/>
      <c r="BQ5724" s="319"/>
      <c r="BR5724" s="319"/>
      <c r="BS5724" s="330"/>
      <c r="BT5724" s="331"/>
      <c r="BU5724" s="920"/>
      <c r="BV5724" s="903"/>
      <c r="BW5724" s="908"/>
      <c r="BX5724" s="908"/>
      <c r="BY5724" s="331"/>
      <c r="BZ5724" s="331"/>
      <c r="CA5724" s="462"/>
      <c r="CB5724" s="319"/>
      <c r="CC5724" s="319"/>
      <c r="CD5724" s="319"/>
      <c r="CE5724" s="319"/>
      <c r="CF5724" s="319"/>
      <c r="CG5724" s="319"/>
      <c r="CH5724" s="318"/>
      <c r="CI5724" s="319"/>
      <c r="CJ5724" s="319"/>
      <c r="CK5724" s="342"/>
      <c r="CL5724" s="333"/>
      <c r="CM5724" s="1079"/>
      <c r="CN5724" s="1005"/>
      <c r="CO5724" s="1005"/>
      <c r="CP5724" s="1005"/>
    </row>
    <row r="5725">
      <c r="A5725" s="1257"/>
      <c r="B5725" s="1113"/>
      <c r="C5725" s="1107"/>
      <c r="D5725" s="103"/>
      <c r="E5725" s="1137"/>
      <c r="F5725" s="112"/>
      <c r="G5725" s="1110"/>
      <c r="H5725" s="1138"/>
      <c r="I5725" s="1138"/>
      <c r="J5725" s="1139"/>
      <c r="K5725" s="1111"/>
      <c r="L5725" s="1112"/>
      <c r="M5725" s="1113"/>
      <c r="N5725" s="110"/>
      <c r="O5725" s="1140"/>
      <c r="P5725" s="1115"/>
      <c r="Q5725" s="1116"/>
      <c r="R5725" s="1141"/>
      <c r="S5725" s="1113"/>
      <c r="T5725" s="1143"/>
      <c r="U5725" s="1108"/>
      <c r="V5725" s="1108"/>
      <c r="W5725" s="1108"/>
      <c r="X5725" s="1108"/>
      <c r="Y5725" s="1108"/>
      <c r="Z5725" s="1114"/>
      <c r="AA5725" s="1114"/>
      <c r="AB5725" s="1114"/>
      <c r="AC5725" s="1117"/>
      <c r="AD5725" s="1115"/>
      <c r="AE5725" s="1115"/>
      <c r="AF5725" s="1115"/>
      <c r="AG5725" s="1115"/>
      <c r="AH5725" s="1115"/>
      <c r="AI5725" s="1115"/>
      <c r="AJ5725" s="1117"/>
      <c r="AK5725" s="1118"/>
      <c r="AL5725" s="1115"/>
      <c r="AM5725" s="1115"/>
      <c r="AN5725" s="1115"/>
      <c r="AO5725" s="1115"/>
      <c r="AP5725" s="1115"/>
      <c r="AQ5725" s="1115"/>
      <c r="AR5725" s="1115"/>
      <c r="AS5725" s="1117"/>
      <c r="AT5725" s="1075"/>
      <c r="AU5725" s="1193"/>
      <c r="AV5725" s="330"/>
      <c r="AW5725" s="331"/>
      <c r="AX5725" s="331"/>
      <c r="AY5725" s="331"/>
      <c r="AZ5725" s="331"/>
      <c r="BA5725" s="331"/>
      <c r="BB5725" s="331"/>
      <c r="BC5725" s="331"/>
      <c r="BD5725" s="331"/>
      <c r="BE5725" s="333"/>
      <c r="BF5725" s="330"/>
      <c r="BG5725" s="333"/>
      <c r="BH5725" s="1119"/>
      <c r="BI5725" s="319"/>
      <c r="BJ5725" s="319"/>
      <c r="BK5725" s="319"/>
      <c r="BL5725" s="319"/>
      <c r="BM5725" s="319"/>
      <c r="BN5725" s="319"/>
      <c r="BO5725" s="319"/>
      <c r="BP5725" s="953"/>
      <c r="BQ5725" s="319"/>
      <c r="BR5725" s="319"/>
      <c r="BS5725" s="330"/>
      <c r="BT5725" s="331"/>
      <c r="BU5725" s="920"/>
      <c r="BV5725" s="903"/>
      <c r="BW5725" s="908"/>
      <c r="BX5725" s="908"/>
      <c r="BY5725" s="331"/>
      <c r="BZ5725" s="331"/>
      <c r="CA5725" s="462"/>
      <c r="CB5725" s="319"/>
      <c r="CC5725" s="319"/>
      <c r="CD5725" s="319"/>
      <c r="CE5725" s="319"/>
      <c r="CF5725" s="319"/>
      <c r="CG5725" s="319"/>
      <c r="CH5725" s="318"/>
      <c r="CI5725" s="319"/>
      <c r="CJ5725" s="319"/>
      <c r="CK5725" s="342"/>
      <c r="CL5725" s="333"/>
      <c r="CM5725" s="1079"/>
      <c r="CN5725" s="1005"/>
      <c r="CO5725" s="1005"/>
      <c r="CP5725" s="1005"/>
    </row>
    <row r="5726">
      <c r="A5726" s="1257"/>
      <c r="B5726" s="1113"/>
      <c r="C5726" s="1107"/>
      <c r="D5726" s="103"/>
      <c r="E5726" s="1137"/>
      <c r="F5726" s="112"/>
      <c r="G5726" s="1110"/>
      <c r="H5726" s="1138"/>
      <c r="I5726" s="1138"/>
      <c r="J5726" s="1139"/>
      <c r="K5726" s="1111"/>
      <c r="L5726" s="1112"/>
      <c r="M5726" s="1113"/>
      <c r="N5726" s="110"/>
      <c r="O5726" s="1140"/>
      <c r="P5726" s="1115"/>
      <c r="Q5726" s="1116"/>
      <c r="R5726" s="1141"/>
      <c r="S5726" s="1113"/>
      <c r="T5726" s="1143"/>
      <c r="U5726" s="1108"/>
      <c r="V5726" s="1108"/>
      <c r="W5726" s="1108"/>
      <c r="X5726" s="1108"/>
      <c r="Y5726" s="1108"/>
      <c r="Z5726" s="1114"/>
      <c r="AA5726" s="1114"/>
      <c r="AB5726" s="1114"/>
      <c r="AC5726" s="1117"/>
      <c r="AD5726" s="1115"/>
      <c r="AE5726" s="1115"/>
      <c r="AF5726" s="1115"/>
      <c r="AG5726" s="1115"/>
      <c r="AH5726" s="1115"/>
      <c r="AI5726" s="1115"/>
      <c r="AJ5726" s="1117"/>
      <c r="AK5726" s="1118"/>
      <c r="AL5726" s="1115"/>
      <c r="AM5726" s="1115"/>
      <c r="AN5726" s="1115"/>
      <c r="AO5726" s="1115"/>
      <c r="AP5726" s="1115"/>
      <c r="AQ5726" s="1115"/>
      <c r="AR5726" s="1115"/>
      <c r="AS5726" s="1117"/>
      <c r="AT5726" s="1075"/>
      <c r="AU5726" s="1193"/>
      <c r="AV5726" s="330"/>
      <c r="AW5726" s="331"/>
      <c r="AX5726" s="331"/>
      <c r="AY5726" s="331"/>
      <c r="AZ5726" s="331"/>
      <c r="BA5726" s="331"/>
      <c r="BB5726" s="331"/>
      <c r="BC5726" s="331"/>
      <c r="BD5726" s="331"/>
      <c r="BE5726" s="333"/>
      <c r="BF5726" s="330"/>
      <c r="BG5726" s="333"/>
      <c r="BH5726" s="1119"/>
      <c r="BI5726" s="319"/>
      <c r="BJ5726" s="319"/>
      <c r="BK5726" s="319"/>
      <c r="BL5726" s="319"/>
      <c r="BM5726" s="319"/>
      <c r="BN5726" s="319"/>
      <c r="BO5726" s="319"/>
      <c r="BP5726" s="953"/>
      <c r="BQ5726" s="319"/>
      <c r="BR5726" s="319"/>
      <c r="BS5726" s="330"/>
      <c r="BT5726" s="331"/>
      <c r="BU5726" s="920"/>
      <c r="BV5726" s="903"/>
      <c r="BW5726" s="908"/>
      <c r="BX5726" s="908"/>
      <c r="BY5726" s="331"/>
      <c r="BZ5726" s="331"/>
      <c r="CA5726" s="462"/>
      <c r="CB5726" s="319"/>
      <c r="CC5726" s="319"/>
      <c r="CD5726" s="319"/>
      <c r="CE5726" s="319"/>
      <c r="CF5726" s="319"/>
      <c r="CG5726" s="319"/>
      <c r="CH5726" s="318"/>
      <c r="CI5726" s="319"/>
      <c r="CJ5726" s="319"/>
      <c r="CK5726" s="342"/>
      <c r="CL5726" s="333"/>
      <c r="CM5726" s="1079"/>
      <c r="CN5726" s="1005"/>
      <c r="CO5726" s="1005"/>
      <c r="CP5726" s="1005"/>
    </row>
    <row r="5727">
      <c r="A5727" s="1257"/>
      <c r="B5727" s="1113"/>
      <c r="C5727" s="1107"/>
      <c r="D5727" s="103"/>
      <c r="E5727" s="1137"/>
      <c r="F5727" s="112"/>
      <c r="G5727" s="1110"/>
      <c r="H5727" s="1138"/>
      <c r="I5727" s="1138"/>
      <c r="J5727" s="1139"/>
      <c r="K5727" s="1111"/>
      <c r="L5727" s="1112"/>
      <c r="M5727" s="1113"/>
      <c r="N5727" s="110"/>
      <c r="O5727" s="1140"/>
      <c r="P5727" s="1115"/>
      <c r="Q5727" s="1116"/>
      <c r="R5727" s="1141"/>
      <c r="S5727" s="1113"/>
      <c r="T5727" s="1143"/>
      <c r="U5727" s="1108"/>
      <c r="V5727" s="1108"/>
      <c r="W5727" s="1108"/>
      <c r="X5727" s="1108"/>
      <c r="Y5727" s="1108"/>
      <c r="Z5727" s="1114"/>
      <c r="AA5727" s="1114"/>
      <c r="AB5727" s="1114"/>
      <c r="AC5727" s="1117"/>
      <c r="AD5727" s="1115"/>
      <c r="AE5727" s="1115"/>
      <c r="AF5727" s="1115"/>
      <c r="AG5727" s="1115"/>
      <c r="AH5727" s="1115"/>
      <c r="AI5727" s="1115"/>
      <c r="AJ5727" s="1117"/>
      <c r="AK5727" s="1118"/>
      <c r="AL5727" s="1115"/>
      <c r="AM5727" s="1115"/>
      <c r="AN5727" s="1115"/>
      <c r="AO5727" s="1115"/>
      <c r="AP5727" s="1115"/>
      <c r="AQ5727" s="1115"/>
      <c r="AR5727" s="1115"/>
      <c r="AS5727" s="1117"/>
      <c r="AT5727" s="1075"/>
      <c r="AU5727" s="1193"/>
      <c r="AV5727" s="330"/>
      <c r="AW5727" s="331"/>
      <c r="AX5727" s="331"/>
      <c r="AY5727" s="331"/>
      <c r="AZ5727" s="331"/>
      <c r="BA5727" s="331"/>
      <c r="BB5727" s="331"/>
      <c r="BC5727" s="331"/>
      <c r="BD5727" s="331"/>
      <c r="BE5727" s="333"/>
      <c r="BF5727" s="330"/>
      <c r="BG5727" s="333"/>
      <c r="BH5727" s="1119"/>
      <c r="BI5727" s="319"/>
      <c r="BJ5727" s="319"/>
      <c r="BK5727" s="319"/>
      <c r="BL5727" s="319"/>
      <c r="BM5727" s="319"/>
      <c r="BN5727" s="319"/>
      <c r="BO5727" s="319"/>
      <c r="BP5727" s="953"/>
      <c r="BQ5727" s="319"/>
      <c r="BR5727" s="319"/>
      <c r="BS5727" s="330"/>
      <c r="BT5727" s="331"/>
      <c r="BU5727" s="920"/>
      <c r="BV5727" s="903"/>
      <c r="BW5727" s="908"/>
      <c r="BX5727" s="908"/>
      <c r="BY5727" s="331"/>
      <c r="BZ5727" s="331"/>
      <c r="CA5727" s="462"/>
      <c r="CB5727" s="319"/>
      <c r="CC5727" s="319"/>
      <c r="CD5727" s="319"/>
      <c r="CE5727" s="319"/>
      <c r="CF5727" s="319"/>
      <c r="CG5727" s="319"/>
      <c r="CH5727" s="318"/>
      <c r="CI5727" s="319"/>
      <c r="CJ5727" s="319"/>
      <c r="CK5727" s="342"/>
      <c r="CL5727" s="333"/>
      <c r="CM5727" s="1079"/>
      <c r="CN5727" s="1005"/>
      <c r="CO5727" s="1005"/>
      <c r="CP5727" s="1005"/>
    </row>
    <row r="5728">
      <c r="A5728" s="1257"/>
      <c r="B5728" s="1113"/>
      <c r="C5728" s="1107"/>
      <c r="D5728" s="103"/>
      <c r="E5728" s="1137"/>
      <c r="F5728" s="112"/>
      <c r="G5728" s="1110"/>
      <c r="H5728" s="1138"/>
      <c r="I5728" s="1138"/>
      <c r="J5728" s="1139"/>
      <c r="K5728" s="1111"/>
      <c r="L5728" s="1112"/>
      <c r="M5728" s="1113"/>
      <c r="N5728" s="110"/>
      <c r="O5728" s="1140"/>
      <c r="P5728" s="1115"/>
      <c r="Q5728" s="1116"/>
      <c r="R5728" s="1141"/>
      <c r="S5728" s="1113"/>
      <c r="T5728" s="1143"/>
      <c r="U5728" s="1108"/>
      <c r="V5728" s="1108"/>
      <c r="W5728" s="1108"/>
      <c r="X5728" s="1108"/>
      <c r="Y5728" s="1108"/>
      <c r="Z5728" s="1114"/>
      <c r="AA5728" s="1114"/>
      <c r="AB5728" s="1114"/>
      <c r="AC5728" s="1117"/>
      <c r="AD5728" s="1115"/>
      <c r="AE5728" s="1115"/>
      <c r="AF5728" s="1115"/>
      <c r="AG5728" s="1115"/>
      <c r="AH5728" s="1115"/>
      <c r="AI5728" s="1115"/>
      <c r="AJ5728" s="1117"/>
      <c r="AK5728" s="1118"/>
      <c r="AL5728" s="1115"/>
      <c r="AM5728" s="1115"/>
      <c r="AN5728" s="1115"/>
      <c r="AO5728" s="1115"/>
      <c r="AP5728" s="1115"/>
      <c r="AQ5728" s="1115"/>
      <c r="AR5728" s="1115"/>
      <c r="AS5728" s="1117"/>
      <c r="AT5728" s="1075"/>
      <c r="AU5728" s="1193"/>
      <c r="AV5728" s="330"/>
      <c r="AW5728" s="331"/>
      <c r="AX5728" s="331"/>
      <c r="AY5728" s="331"/>
      <c r="AZ5728" s="331"/>
      <c r="BA5728" s="331"/>
      <c r="BB5728" s="331"/>
      <c r="BC5728" s="331"/>
      <c r="BD5728" s="331"/>
      <c r="BE5728" s="333"/>
      <c r="BF5728" s="330"/>
      <c r="BG5728" s="333"/>
      <c r="BH5728" s="1119"/>
      <c r="BI5728" s="319"/>
      <c r="BJ5728" s="319"/>
      <c r="BK5728" s="319"/>
      <c r="BL5728" s="319"/>
      <c r="BM5728" s="319"/>
      <c r="BN5728" s="319"/>
      <c r="BO5728" s="319"/>
      <c r="BP5728" s="953"/>
      <c r="BQ5728" s="319"/>
      <c r="BR5728" s="319"/>
      <c r="BS5728" s="330"/>
      <c r="BT5728" s="331"/>
      <c r="BU5728" s="920"/>
      <c r="BV5728" s="903"/>
      <c r="BW5728" s="908"/>
      <c r="BX5728" s="908"/>
      <c r="BY5728" s="331"/>
      <c r="BZ5728" s="331"/>
      <c r="CA5728" s="462"/>
      <c r="CB5728" s="319"/>
      <c r="CC5728" s="319"/>
      <c r="CD5728" s="319"/>
      <c r="CE5728" s="319"/>
      <c r="CF5728" s="319"/>
      <c r="CG5728" s="319"/>
      <c r="CH5728" s="318"/>
      <c r="CI5728" s="319"/>
      <c r="CJ5728" s="319"/>
      <c r="CK5728" s="342"/>
      <c r="CL5728" s="333"/>
      <c r="CM5728" s="1079"/>
      <c r="CN5728" s="1005"/>
      <c r="CO5728" s="1005"/>
      <c r="CP5728" s="1005"/>
    </row>
    <row r="5729">
      <c r="A5729" s="1257"/>
      <c r="B5729" s="1113"/>
      <c r="C5729" s="1107"/>
      <c r="D5729" s="103"/>
      <c r="E5729" s="1137"/>
      <c r="F5729" s="112"/>
      <c r="G5729" s="1110"/>
      <c r="H5729" s="1138"/>
      <c r="I5729" s="1138"/>
      <c r="J5729" s="1139"/>
      <c r="K5729" s="1111"/>
      <c r="L5729" s="1112"/>
      <c r="M5729" s="1113"/>
      <c r="N5729" s="110"/>
      <c r="O5729" s="1140"/>
      <c r="P5729" s="1115"/>
      <c r="Q5729" s="1116"/>
      <c r="R5729" s="1141"/>
      <c r="S5729" s="1113"/>
      <c r="T5729" s="1143"/>
      <c r="U5729" s="1108"/>
      <c r="V5729" s="1108"/>
      <c r="W5729" s="1108"/>
      <c r="X5729" s="1108"/>
      <c r="Y5729" s="1108"/>
      <c r="Z5729" s="1114"/>
      <c r="AA5729" s="1114"/>
      <c r="AB5729" s="1114"/>
      <c r="AC5729" s="1117"/>
      <c r="AD5729" s="1115"/>
      <c r="AE5729" s="1115"/>
      <c r="AF5729" s="1115"/>
      <c r="AG5729" s="1115"/>
      <c r="AH5729" s="1115"/>
      <c r="AI5729" s="1115"/>
      <c r="AJ5729" s="1117"/>
      <c r="AK5729" s="1118"/>
      <c r="AL5729" s="1115"/>
      <c r="AM5729" s="1115"/>
      <c r="AN5729" s="1115"/>
      <c r="AO5729" s="1115"/>
      <c r="AP5729" s="1115"/>
      <c r="AQ5729" s="1115"/>
      <c r="AR5729" s="1115"/>
      <c r="AS5729" s="1117"/>
      <c r="AT5729" s="1075"/>
      <c r="AU5729" s="1193"/>
      <c r="AV5729" s="330"/>
      <c r="AW5729" s="331"/>
      <c r="AX5729" s="331"/>
      <c r="AY5729" s="331"/>
      <c r="AZ5729" s="331"/>
      <c r="BA5729" s="331"/>
      <c r="BB5729" s="331"/>
      <c r="BC5729" s="331"/>
      <c r="BD5729" s="331"/>
      <c r="BE5729" s="333"/>
      <c r="BF5729" s="330"/>
      <c r="BG5729" s="333"/>
      <c r="BH5729" s="1119"/>
      <c r="BI5729" s="319"/>
      <c r="BJ5729" s="319"/>
      <c r="BK5729" s="319"/>
      <c r="BL5729" s="319"/>
      <c r="BM5729" s="319"/>
      <c r="BN5729" s="319"/>
      <c r="BO5729" s="319"/>
      <c r="BP5729" s="953"/>
      <c r="BQ5729" s="319"/>
      <c r="BR5729" s="319"/>
      <c r="BS5729" s="330"/>
      <c r="BT5729" s="331"/>
      <c r="BU5729" s="920"/>
      <c r="BV5729" s="903"/>
      <c r="BW5729" s="908"/>
      <c r="BX5729" s="908"/>
      <c r="BY5729" s="331"/>
      <c r="BZ5729" s="331"/>
      <c r="CA5729" s="462"/>
      <c r="CB5729" s="319"/>
      <c r="CC5729" s="319"/>
      <c r="CD5729" s="319"/>
      <c r="CE5729" s="319"/>
      <c r="CF5729" s="319"/>
      <c r="CG5729" s="319"/>
      <c r="CH5729" s="318"/>
      <c r="CI5729" s="319"/>
      <c r="CJ5729" s="319"/>
      <c r="CK5729" s="342"/>
      <c r="CL5729" s="333"/>
      <c r="CM5729" s="1079"/>
      <c r="CN5729" s="1005"/>
      <c r="CO5729" s="1005"/>
      <c r="CP5729" s="1005"/>
    </row>
    <row r="5730">
      <c r="A5730" s="1257"/>
      <c r="B5730" s="1113"/>
      <c r="C5730" s="1107"/>
      <c r="D5730" s="103"/>
      <c r="E5730" s="1137"/>
      <c r="F5730" s="112"/>
      <c r="G5730" s="1110"/>
      <c r="H5730" s="1138"/>
      <c r="I5730" s="1138"/>
      <c r="J5730" s="1139"/>
      <c r="K5730" s="1111"/>
      <c r="L5730" s="1112"/>
      <c r="M5730" s="1113"/>
      <c r="N5730" s="110"/>
      <c r="O5730" s="1140"/>
      <c r="P5730" s="1115"/>
      <c r="Q5730" s="1116"/>
      <c r="R5730" s="1141"/>
      <c r="S5730" s="1113"/>
      <c r="T5730" s="1143"/>
      <c r="U5730" s="1108"/>
      <c r="V5730" s="1108"/>
      <c r="W5730" s="1108"/>
      <c r="X5730" s="1108"/>
      <c r="Y5730" s="1108"/>
      <c r="Z5730" s="1114"/>
      <c r="AA5730" s="1114"/>
      <c r="AB5730" s="1114"/>
      <c r="AC5730" s="1117"/>
      <c r="AD5730" s="1115"/>
      <c r="AE5730" s="1115"/>
      <c r="AF5730" s="1115"/>
      <c r="AG5730" s="1115"/>
      <c r="AH5730" s="1115"/>
      <c r="AI5730" s="1115"/>
      <c r="AJ5730" s="1117"/>
      <c r="AK5730" s="1118"/>
      <c r="AL5730" s="1115"/>
      <c r="AM5730" s="1115"/>
      <c r="AN5730" s="1115"/>
      <c r="AO5730" s="1115"/>
      <c r="AP5730" s="1115"/>
      <c r="AQ5730" s="1115"/>
      <c r="AR5730" s="1115"/>
      <c r="AS5730" s="1117"/>
      <c r="AT5730" s="1075"/>
      <c r="AU5730" s="1193"/>
      <c r="AV5730" s="330"/>
      <c r="AW5730" s="331"/>
      <c r="AX5730" s="331"/>
      <c r="AY5730" s="331"/>
      <c r="AZ5730" s="331"/>
      <c r="BA5730" s="331"/>
      <c r="BB5730" s="331"/>
      <c r="BC5730" s="331"/>
      <c r="BD5730" s="331"/>
      <c r="BE5730" s="333"/>
      <c r="BF5730" s="330"/>
      <c r="BG5730" s="333"/>
      <c r="BH5730" s="1119"/>
      <c r="BI5730" s="319"/>
      <c r="BJ5730" s="319"/>
      <c r="BK5730" s="319"/>
      <c r="BL5730" s="319"/>
      <c r="BM5730" s="319"/>
      <c r="BN5730" s="319"/>
      <c r="BO5730" s="319"/>
      <c r="BP5730" s="953"/>
      <c r="BQ5730" s="319"/>
      <c r="BR5730" s="319"/>
      <c r="BS5730" s="330"/>
      <c r="BT5730" s="331"/>
      <c r="BU5730" s="920"/>
      <c r="BV5730" s="903"/>
      <c r="BW5730" s="908"/>
      <c r="BX5730" s="908"/>
      <c r="BY5730" s="331"/>
      <c r="BZ5730" s="331"/>
      <c r="CA5730" s="462"/>
      <c r="CB5730" s="319"/>
      <c r="CC5730" s="319"/>
      <c r="CD5730" s="319"/>
      <c r="CE5730" s="319"/>
      <c r="CF5730" s="319"/>
      <c r="CG5730" s="319"/>
      <c r="CH5730" s="318"/>
      <c r="CI5730" s="319"/>
      <c r="CJ5730" s="319"/>
      <c r="CK5730" s="342"/>
      <c r="CL5730" s="333"/>
      <c r="CM5730" s="1079"/>
      <c r="CN5730" s="1005"/>
      <c r="CO5730" s="1005"/>
      <c r="CP5730" s="1005"/>
    </row>
    <row r="5731">
      <c r="A5731" s="1257"/>
      <c r="B5731" s="1113"/>
      <c r="C5731" s="1107"/>
      <c r="D5731" s="103"/>
      <c r="E5731" s="1137"/>
      <c r="F5731" s="112"/>
      <c r="G5731" s="1110"/>
      <c r="H5731" s="1138"/>
      <c r="I5731" s="1138"/>
      <c r="J5731" s="1139"/>
      <c r="K5731" s="1111"/>
      <c r="L5731" s="1112"/>
      <c r="M5731" s="1113"/>
      <c r="N5731" s="110"/>
      <c r="O5731" s="1140"/>
      <c r="P5731" s="1115"/>
      <c r="Q5731" s="1116"/>
      <c r="R5731" s="1141"/>
      <c r="S5731" s="1113"/>
      <c r="T5731" s="1143"/>
      <c r="U5731" s="1108"/>
      <c r="V5731" s="1108"/>
      <c r="W5731" s="1108"/>
      <c r="X5731" s="1108"/>
      <c r="Y5731" s="1108"/>
      <c r="Z5731" s="1114"/>
      <c r="AA5731" s="1114"/>
      <c r="AB5731" s="1114"/>
      <c r="AC5731" s="1117"/>
      <c r="AD5731" s="1115"/>
      <c r="AE5731" s="1115"/>
      <c r="AF5731" s="1115"/>
      <c r="AG5731" s="1115"/>
      <c r="AH5731" s="1115"/>
      <c r="AI5731" s="1115"/>
      <c r="AJ5731" s="1117"/>
      <c r="AK5731" s="1118"/>
      <c r="AL5731" s="1115"/>
      <c r="AM5731" s="1115"/>
      <c r="AN5731" s="1115"/>
      <c r="AO5731" s="1115"/>
      <c r="AP5731" s="1115"/>
      <c r="AQ5731" s="1115"/>
      <c r="AR5731" s="1115"/>
      <c r="AS5731" s="1117"/>
      <c r="AT5731" s="1075"/>
      <c r="AU5731" s="1193"/>
      <c r="AV5731" s="330"/>
      <c r="AW5731" s="331"/>
      <c r="AX5731" s="331"/>
      <c r="AY5731" s="331"/>
      <c r="AZ5731" s="331"/>
      <c r="BA5731" s="331"/>
      <c r="BB5731" s="331"/>
      <c r="BC5731" s="331"/>
      <c r="BD5731" s="331"/>
      <c r="BE5731" s="333"/>
      <c r="BF5731" s="330"/>
      <c r="BG5731" s="333"/>
      <c r="BH5731" s="1119"/>
      <c r="BI5731" s="319"/>
      <c r="BJ5731" s="319"/>
      <c r="BK5731" s="319"/>
      <c r="BL5731" s="319"/>
      <c r="BM5731" s="319"/>
      <c r="BN5731" s="319"/>
      <c r="BO5731" s="319"/>
      <c r="BP5731" s="953"/>
      <c r="BQ5731" s="319"/>
      <c r="BR5731" s="319"/>
      <c r="BS5731" s="330"/>
      <c r="BT5731" s="331"/>
      <c r="BU5731" s="920"/>
      <c r="BV5731" s="903"/>
      <c r="BW5731" s="908"/>
      <c r="BX5731" s="908"/>
      <c r="BY5731" s="331"/>
      <c r="BZ5731" s="331"/>
      <c r="CA5731" s="462"/>
      <c r="CB5731" s="319"/>
      <c r="CC5731" s="319"/>
      <c r="CD5731" s="319"/>
      <c r="CE5731" s="319"/>
      <c r="CF5731" s="319"/>
      <c r="CG5731" s="319"/>
      <c r="CH5731" s="318"/>
      <c r="CI5731" s="319"/>
      <c r="CJ5731" s="319"/>
      <c r="CK5731" s="342"/>
      <c r="CL5731" s="333"/>
      <c r="CM5731" s="1079"/>
      <c r="CN5731" s="1005"/>
      <c r="CO5731" s="1005"/>
      <c r="CP5731" s="1005"/>
    </row>
    <row r="5732">
      <c r="A5732" s="1257"/>
      <c r="B5732" s="1113"/>
      <c r="C5732" s="1107"/>
      <c r="D5732" s="103"/>
      <c r="E5732" s="1137"/>
      <c r="F5732" s="112"/>
      <c r="G5732" s="1110"/>
      <c r="H5732" s="1138"/>
      <c r="I5732" s="1138"/>
      <c r="J5732" s="1139"/>
      <c r="K5732" s="1111"/>
      <c r="L5732" s="1112"/>
      <c r="M5732" s="1113"/>
      <c r="N5732" s="110"/>
      <c r="O5732" s="1140"/>
      <c r="P5732" s="1115"/>
      <c r="Q5732" s="1116"/>
      <c r="R5732" s="1141"/>
      <c r="S5732" s="1113"/>
      <c r="T5732" s="1143"/>
      <c r="U5732" s="1108"/>
      <c r="V5732" s="1108"/>
      <c r="W5732" s="1108"/>
      <c r="X5732" s="1108"/>
      <c r="Y5732" s="1108"/>
      <c r="Z5732" s="1114"/>
      <c r="AA5732" s="1114"/>
      <c r="AB5732" s="1114"/>
      <c r="AC5732" s="1117"/>
      <c r="AD5732" s="1115"/>
      <c r="AE5732" s="1115"/>
      <c r="AF5732" s="1115"/>
      <c r="AG5732" s="1115"/>
      <c r="AH5732" s="1115"/>
      <c r="AI5732" s="1115"/>
      <c r="AJ5732" s="1117"/>
      <c r="AK5732" s="1118"/>
      <c r="AL5732" s="1115"/>
      <c r="AM5732" s="1115"/>
      <c r="AN5732" s="1115"/>
      <c r="AO5732" s="1115"/>
      <c r="AP5732" s="1115"/>
      <c r="AQ5732" s="1115"/>
      <c r="AR5732" s="1115"/>
      <c r="AS5732" s="1117"/>
      <c r="AT5732" s="1075"/>
      <c r="AU5732" s="1193"/>
      <c r="AV5732" s="330"/>
      <c r="AW5732" s="331"/>
      <c r="AX5732" s="331"/>
      <c r="AY5732" s="331"/>
      <c r="AZ5732" s="331"/>
      <c r="BA5732" s="331"/>
      <c r="BB5732" s="331"/>
      <c r="BC5732" s="331"/>
      <c r="BD5732" s="331"/>
      <c r="BE5732" s="333"/>
      <c r="BF5732" s="330"/>
      <c r="BG5732" s="333"/>
      <c r="BH5732" s="1119"/>
      <c r="BI5732" s="319"/>
      <c r="BJ5732" s="319"/>
      <c r="BK5732" s="319"/>
      <c r="BL5732" s="319"/>
      <c r="BM5732" s="319"/>
      <c r="BN5732" s="319"/>
      <c r="BO5732" s="319"/>
      <c r="BP5732" s="953"/>
      <c r="BQ5732" s="319"/>
      <c r="BR5732" s="319"/>
      <c r="BS5732" s="330"/>
      <c r="BT5732" s="331"/>
      <c r="BU5732" s="920"/>
      <c r="BV5732" s="903"/>
      <c r="BW5732" s="908"/>
      <c r="BX5732" s="908"/>
      <c r="BY5732" s="331"/>
      <c r="BZ5732" s="331"/>
      <c r="CA5732" s="462"/>
      <c r="CB5732" s="319"/>
      <c r="CC5732" s="319"/>
      <c r="CD5732" s="319"/>
      <c r="CE5732" s="319"/>
      <c r="CF5732" s="319"/>
      <c r="CG5732" s="319"/>
      <c r="CH5732" s="318"/>
      <c r="CI5732" s="319"/>
      <c r="CJ5732" s="319"/>
      <c r="CK5732" s="342"/>
      <c r="CL5732" s="333"/>
      <c r="CM5732" s="1079"/>
      <c r="CN5732" s="1005"/>
      <c r="CO5732" s="1005"/>
      <c r="CP5732" s="1005"/>
    </row>
    <row r="5733">
      <c r="A5733" s="1257"/>
      <c r="B5733" s="1113"/>
      <c r="C5733" s="1107"/>
      <c r="D5733" s="103"/>
      <c r="E5733" s="1137"/>
      <c r="F5733" s="112"/>
      <c r="G5733" s="1110"/>
      <c r="H5733" s="1138"/>
      <c r="I5733" s="1138"/>
      <c r="J5733" s="1139"/>
      <c r="K5733" s="1111"/>
      <c r="L5733" s="1112"/>
      <c r="M5733" s="1113"/>
      <c r="N5733" s="110"/>
      <c r="O5733" s="1140"/>
      <c r="P5733" s="1115"/>
      <c r="Q5733" s="1116"/>
      <c r="R5733" s="1141"/>
      <c r="S5733" s="1113"/>
      <c r="T5733" s="1143"/>
      <c r="U5733" s="1108"/>
      <c r="V5733" s="1108"/>
      <c r="W5733" s="1108"/>
      <c r="X5733" s="1108"/>
      <c r="Y5733" s="1108"/>
      <c r="Z5733" s="1114"/>
      <c r="AA5733" s="1114"/>
      <c r="AB5733" s="1114"/>
      <c r="AC5733" s="1117"/>
      <c r="AD5733" s="1115"/>
      <c r="AE5733" s="1115"/>
      <c r="AF5733" s="1115"/>
      <c r="AG5733" s="1115"/>
      <c r="AH5733" s="1115"/>
      <c r="AI5733" s="1115"/>
      <c r="AJ5733" s="1117"/>
      <c r="AK5733" s="1118"/>
      <c r="AL5733" s="1115"/>
      <c r="AM5733" s="1115"/>
      <c r="AN5733" s="1115"/>
      <c r="AO5733" s="1115"/>
      <c r="AP5733" s="1115"/>
      <c r="AQ5733" s="1115"/>
      <c r="AR5733" s="1115"/>
      <c r="AS5733" s="1117"/>
      <c r="AT5733" s="1075"/>
      <c r="AU5733" s="1193"/>
      <c r="AV5733" s="330"/>
      <c r="AW5733" s="331"/>
      <c r="AX5733" s="331"/>
      <c r="AY5733" s="331"/>
      <c r="AZ5733" s="331"/>
      <c r="BA5733" s="331"/>
      <c r="BB5733" s="331"/>
      <c r="BC5733" s="331"/>
      <c r="BD5733" s="331"/>
      <c r="BE5733" s="333"/>
      <c r="BF5733" s="330"/>
      <c r="BG5733" s="333"/>
      <c r="BH5733" s="1119"/>
      <c r="BI5733" s="319"/>
      <c r="BJ5733" s="319"/>
      <c r="BK5733" s="319"/>
      <c r="BL5733" s="319"/>
      <c r="BM5733" s="319"/>
      <c r="BN5733" s="319"/>
      <c r="BO5733" s="319"/>
      <c r="BP5733" s="953"/>
      <c r="BQ5733" s="319"/>
      <c r="BR5733" s="319"/>
      <c r="BS5733" s="330"/>
      <c r="BT5733" s="331"/>
      <c r="BU5733" s="920"/>
      <c r="BV5733" s="903"/>
      <c r="BW5733" s="908"/>
      <c r="BX5733" s="908"/>
      <c r="BY5733" s="331"/>
      <c r="BZ5733" s="331"/>
      <c r="CA5733" s="462"/>
      <c r="CB5733" s="319"/>
      <c r="CC5733" s="319"/>
      <c r="CD5733" s="319"/>
      <c r="CE5733" s="319"/>
      <c r="CF5733" s="319"/>
      <c r="CG5733" s="319"/>
      <c r="CH5733" s="318"/>
      <c r="CI5733" s="319"/>
      <c r="CJ5733" s="319"/>
      <c r="CK5733" s="342"/>
      <c r="CL5733" s="333"/>
      <c r="CM5733" s="1079"/>
      <c r="CN5733" s="1005"/>
      <c r="CO5733" s="1005"/>
      <c r="CP5733" s="1005"/>
    </row>
    <row r="5734">
      <c r="A5734" s="1257"/>
      <c r="B5734" s="1113"/>
      <c r="C5734" s="1107"/>
      <c r="D5734" s="103"/>
      <c r="E5734" s="1137"/>
      <c r="F5734" s="112"/>
      <c r="G5734" s="1110"/>
      <c r="H5734" s="1138"/>
      <c r="I5734" s="1138"/>
      <c r="J5734" s="1139"/>
      <c r="K5734" s="1111"/>
      <c r="L5734" s="1112"/>
      <c r="M5734" s="1113"/>
      <c r="N5734" s="110"/>
      <c r="O5734" s="1140"/>
      <c r="P5734" s="1115"/>
      <c r="Q5734" s="1116"/>
      <c r="R5734" s="1141"/>
      <c r="S5734" s="1113"/>
      <c r="T5734" s="1143"/>
      <c r="U5734" s="1108"/>
      <c r="V5734" s="1108"/>
      <c r="W5734" s="1108"/>
      <c r="X5734" s="1108"/>
      <c r="Y5734" s="1108"/>
      <c r="Z5734" s="1114"/>
      <c r="AA5734" s="1114"/>
      <c r="AB5734" s="1114"/>
      <c r="AC5734" s="1117"/>
      <c r="AD5734" s="1115"/>
      <c r="AE5734" s="1115"/>
      <c r="AF5734" s="1115"/>
      <c r="AG5734" s="1115"/>
      <c r="AH5734" s="1115"/>
      <c r="AI5734" s="1115"/>
      <c r="AJ5734" s="1117"/>
      <c r="AK5734" s="1118"/>
      <c r="AL5734" s="1115"/>
      <c r="AM5734" s="1115"/>
      <c r="AN5734" s="1115"/>
      <c r="AO5734" s="1115"/>
      <c r="AP5734" s="1115"/>
      <c r="AQ5734" s="1115"/>
      <c r="AR5734" s="1115"/>
      <c r="AS5734" s="1117"/>
      <c r="AT5734" s="1075"/>
      <c r="AU5734" s="1193"/>
      <c r="AV5734" s="330"/>
      <c r="AW5734" s="331"/>
      <c r="AX5734" s="331"/>
      <c r="AY5734" s="331"/>
      <c r="AZ5734" s="331"/>
      <c r="BA5734" s="331"/>
      <c r="BB5734" s="331"/>
      <c r="BC5734" s="331"/>
      <c r="BD5734" s="331"/>
      <c r="BE5734" s="333"/>
      <c r="BF5734" s="330"/>
      <c r="BG5734" s="333"/>
      <c r="BH5734" s="1119"/>
      <c r="BI5734" s="319"/>
      <c r="BJ5734" s="319"/>
      <c r="BK5734" s="319"/>
      <c r="BL5734" s="319"/>
      <c r="BM5734" s="319"/>
      <c r="BN5734" s="319"/>
      <c r="BO5734" s="319"/>
      <c r="BP5734" s="953"/>
      <c r="BQ5734" s="319"/>
      <c r="BR5734" s="319"/>
      <c r="BS5734" s="330"/>
      <c r="BT5734" s="331"/>
      <c r="BU5734" s="920"/>
      <c r="BV5734" s="903"/>
      <c r="BW5734" s="908"/>
      <c r="BX5734" s="908"/>
      <c r="BY5734" s="331"/>
      <c r="BZ5734" s="331"/>
      <c r="CA5734" s="462"/>
      <c r="CB5734" s="319"/>
      <c r="CC5734" s="319"/>
      <c r="CD5734" s="319"/>
      <c r="CE5734" s="319"/>
      <c r="CF5734" s="319"/>
      <c r="CG5734" s="319"/>
      <c r="CH5734" s="318"/>
      <c r="CI5734" s="319"/>
      <c r="CJ5734" s="319"/>
      <c r="CK5734" s="342"/>
      <c r="CL5734" s="333"/>
      <c r="CM5734" s="1079"/>
      <c r="CN5734" s="1005"/>
      <c r="CO5734" s="1005"/>
      <c r="CP5734" s="1005"/>
    </row>
    <row r="5735">
      <c r="A5735" s="1257"/>
      <c r="B5735" s="1113"/>
      <c r="C5735" s="1107"/>
      <c r="D5735" s="103"/>
      <c r="E5735" s="1137"/>
      <c r="F5735" s="112"/>
      <c r="G5735" s="1110"/>
      <c r="H5735" s="1138"/>
      <c r="I5735" s="1138"/>
      <c r="J5735" s="1139"/>
      <c r="K5735" s="1111"/>
      <c r="L5735" s="1112"/>
      <c r="M5735" s="1113"/>
      <c r="N5735" s="110"/>
      <c r="O5735" s="1140"/>
      <c r="P5735" s="1115"/>
      <c r="Q5735" s="1116"/>
      <c r="R5735" s="1141"/>
      <c r="S5735" s="1113"/>
      <c r="T5735" s="1143"/>
      <c r="U5735" s="1108"/>
      <c r="V5735" s="1108"/>
      <c r="W5735" s="1108"/>
      <c r="X5735" s="1108"/>
      <c r="Y5735" s="1108"/>
      <c r="Z5735" s="1114"/>
      <c r="AA5735" s="1114"/>
      <c r="AB5735" s="1114"/>
      <c r="AC5735" s="1117"/>
      <c r="AD5735" s="1115"/>
      <c r="AE5735" s="1115"/>
      <c r="AF5735" s="1115"/>
      <c r="AG5735" s="1115"/>
      <c r="AH5735" s="1115"/>
      <c r="AI5735" s="1115"/>
      <c r="AJ5735" s="1117"/>
      <c r="AK5735" s="1118"/>
      <c r="AL5735" s="1115"/>
      <c r="AM5735" s="1115"/>
      <c r="AN5735" s="1115"/>
      <c r="AO5735" s="1115"/>
      <c r="AP5735" s="1115"/>
      <c r="AQ5735" s="1115"/>
      <c r="AR5735" s="1115"/>
      <c r="AS5735" s="1117"/>
      <c r="AT5735" s="1075"/>
      <c r="AU5735" s="1193"/>
      <c r="AV5735" s="330"/>
      <c r="AW5735" s="331"/>
      <c r="AX5735" s="331"/>
      <c r="AY5735" s="331"/>
      <c r="AZ5735" s="331"/>
      <c r="BA5735" s="331"/>
      <c r="BB5735" s="331"/>
      <c r="BC5735" s="331"/>
      <c r="BD5735" s="331"/>
      <c r="BE5735" s="333"/>
      <c r="BF5735" s="330"/>
      <c r="BG5735" s="333"/>
      <c r="BH5735" s="1119"/>
      <c r="BI5735" s="319"/>
      <c r="BJ5735" s="319"/>
      <c r="BK5735" s="319"/>
      <c r="BL5735" s="319"/>
      <c r="BM5735" s="319"/>
      <c r="BN5735" s="319"/>
      <c r="BO5735" s="319"/>
      <c r="BP5735" s="953"/>
      <c r="BQ5735" s="319"/>
      <c r="BR5735" s="319"/>
      <c r="BS5735" s="330"/>
      <c r="BT5735" s="331"/>
      <c r="BU5735" s="920"/>
      <c r="BV5735" s="903"/>
      <c r="BW5735" s="908"/>
      <c r="BX5735" s="908"/>
      <c r="BY5735" s="331"/>
      <c r="BZ5735" s="331"/>
      <c r="CA5735" s="462"/>
      <c r="CB5735" s="319"/>
      <c r="CC5735" s="319"/>
      <c r="CD5735" s="319"/>
      <c r="CE5735" s="319"/>
      <c r="CF5735" s="319"/>
      <c r="CG5735" s="319"/>
      <c r="CH5735" s="318"/>
      <c r="CI5735" s="319"/>
      <c r="CJ5735" s="319"/>
      <c r="CK5735" s="342"/>
      <c r="CL5735" s="333"/>
      <c r="CM5735" s="1079"/>
      <c r="CN5735" s="1005"/>
      <c r="CO5735" s="1005"/>
      <c r="CP5735" s="1005"/>
    </row>
    <row r="5736">
      <c r="A5736" s="1257"/>
      <c r="B5736" s="1113"/>
      <c r="C5736" s="1107"/>
      <c r="D5736" s="103"/>
      <c r="E5736" s="1137"/>
      <c r="F5736" s="112"/>
      <c r="G5736" s="1110"/>
      <c r="H5736" s="1138"/>
      <c r="I5736" s="1138"/>
      <c r="J5736" s="1139"/>
      <c r="K5736" s="1111"/>
      <c r="L5736" s="1112"/>
      <c r="M5736" s="1113"/>
      <c r="N5736" s="110"/>
      <c r="O5736" s="1140"/>
      <c r="P5736" s="1115"/>
      <c r="Q5736" s="1116"/>
      <c r="R5736" s="1141"/>
      <c r="S5736" s="1113"/>
      <c r="T5736" s="1143"/>
      <c r="U5736" s="1108"/>
      <c r="V5736" s="1108"/>
      <c r="W5736" s="1108"/>
      <c r="X5736" s="1108"/>
      <c r="Y5736" s="1108"/>
      <c r="Z5736" s="1114"/>
      <c r="AA5736" s="1114"/>
      <c r="AB5736" s="1114"/>
      <c r="AC5736" s="1117"/>
      <c r="AD5736" s="1115"/>
      <c r="AE5736" s="1115"/>
      <c r="AF5736" s="1115"/>
      <c r="AG5736" s="1115"/>
      <c r="AH5736" s="1115"/>
      <c r="AI5736" s="1115"/>
      <c r="AJ5736" s="1117"/>
      <c r="AK5736" s="1118"/>
      <c r="AL5736" s="1115"/>
      <c r="AM5736" s="1115"/>
      <c r="AN5736" s="1115"/>
      <c r="AO5736" s="1115"/>
      <c r="AP5736" s="1115"/>
      <c r="AQ5736" s="1115"/>
      <c r="AR5736" s="1115"/>
      <c r="AS5736" s="1117"/>
      <c r="AT5736" s="1075"/>
      <c r="AU5736" s="1193"/>
      <c r="AV5736" s="330"/>
      <c r="AW5736" s="331"/>
      <c r="AX5736" s="331"/>
      <c r="AY5736" s="331"/>
      <c r="AZ5736" s="331"/>
      <c r="BA5736" s="331"/>
      <c r="BB5736" s="331"/>
      <c r="BC5736" s="331"/>
      <c r="BD5736" s="331"/>
      <c r="BE5736" s="333"/>
      <c r="BF5736" s="330"/>
      <c r="BG5736" s="333"/>
      <c r="BH5736" s="1119"/>
      <c r="BI5736" s="319"/>
      <c r="BJ5736" s="319"/>
      <c r="BK5736" s="319"/>
      <c r="BL5736" s="319"/>
      <c r="BM5736" s="319"/>
      <c r="BN5736" s="319"/>
      <c r="BO5736" s="319"/>
      <c r="BP5736" s="953"/>
      <c r="BQ5736" s="319"/>
      <c r="BR5736" s="319"/>
      <c r="BS5736" s="330"/>
      <c r="BT5736" s="331"/>
      <c r="BU5736" s="920"/>
      <c r="BV5736" s="903"/>
      <c r="BW5736" s="908"/>
      <c r="BX5736" s="908"/>
      <c r="BY5736" s="331"/>
      <c r="BZ5736" s="331"/>
      <c r="CA5736" s="462"/>
      <c r="CB5736" s="319"/>
      <c r="CC5736" s="319"/>
      <c r="CD5736" s="319"/>
      <c r="CE5736" s="319"/>
      <c r="CF5736" s="319"/>
      <c r="CG5736" s="319"/>
      <c r="CH5736" s="318"/>
      <c r="CI5736" s="319"/>
      <c r="CJ5736" s="319"/>
      <c r="CK5736" s="342"/>
      <c r="CL5736" s="333"/>
      <c r="CM5736" s="1079"/>
      <c r="CN5736" s="1005"/>
      <c r="CO5736" s="1005"/>
      <c r="CP5736" s="1005"/>
    </row>
    <row r="5737">
      <c r="A5737" s="1257"/>
      <c r="B5737" s="1113"/>
      <c r="C5737" s="1107"/>
      <c r="D5737" s="103"/>
      <c r="E5737" s="1137"/>
      <c r="F5737" s="112"/>
      <c r="G5737" s="1110"/>
      <c r="H5737" s="1138"/>
      <c r="I5737" s="1138"/>
      <c r="J5737" s="1139"/>
      <c r="K5737" s="1111"/>
      <c r="L5737" s="1112"/>
      <c r="M5737" s="1113"/>
      <c r="N5737" s="110"/>
      <c r="O5737" s="1140"/>
      <c r="P5737" s="1115"/>
      <c r="Q5737" s="1116"/>
      <c r="R5737" s="1141"/>
      <c r="S5737" s="1113"/>
      <c r="T5737" s="1143"/>
      <c r="U5737" s="1108"/>
      <c r="V5737" s="1108"/>
      <c r="W5737" s="1108"/>
      <c r="X5737" s="1108"/>
      <c r="Y5737" s="1108"/>
      <c r="Z5737" s="1114"/>
      <c r="AA5737" s="1114"/>
      <c r="AB5737" s="1114"/>
      <c r="AC5737" s="1117"/>
      <c r="AD5737" s="1115"/>
      <c r="AE5737" s="1115"/>
      <c r="AF5737" s="1115"/>
      <c r="AG5737" s="1115"/>
      <c r="AH5737" s="1115"/>
      <c r="AI5737" s="1115"/>
      <c r="AJ5737" s="1117"/>
      <c r="AK5737" s="1118"/>
      <c r="AL5737" s="1115"/>
      <c r="AM5737" s="1115"/>
      <c r="AN5737" s="1115"/>
      <c r="AO5737" s="1115"/>
      <c r="AP5737" s="1115"/>
      <c r="AQ5737" s="1115"/>
      <c r="AR5737" s="1115"/>
      <c r="AS5737" s="1117"/>
      <c r="AT5737" s="1075"/>
      <c r="AU5737" s="1193"/>
      <c r="AV5737" s="330"/>
      <c r="AW5737" s="331"/>
      <c r="AX5737" s="331"/>
      <c r="AY5737" s="331"/>
      <c r="AZ5737" s="331"/>
      <c r="BA5737" s="331"/>
      <c r="BB5737" s="331"/>
      <c r="BC5737" s="331"/>
      <c r="BD5737" s="331"/>
      <c r="BE5737" s="333"/>
      <c r="BF5737" s="330"/>
      <c r="BG5737" s="333"/>
      <c r="BH5737" s="1119"/>
      <c r="BI5737" s="319"/>
      <c r="BJ5737" s="319"/>
      <c r="BK5737" s="319"/>
      <c r="BL5737" s="319"/>
      <c r="BM5737" s="319"/>
      <c r="BN5737" s="319"/>
      <c r="BO5737" s="319"/>
      <c r="BP5737" s="953"/>
      <c r="BQ5737" s="319"/>
      <c r="BR5737" s="319"/>
      <c r="BS5737" s="330"/>
      <c r="BT5737" s="331"/>
      <c r="BU5737" s="920"/>
      <c r="BV5737" s="903"/>
      <c r="BW5737" s="908"/>
      <c r="BX5737" s="908"/>
      <c r="BY5737" s="331"/>
      <c r="BZ5737" s="331"/>
      <c r="CA5737" s="462"/>
      <c r="CB5737" s="319"/>
      <c r="CC5737" s="319"/>
      <c r="CD5737" s="319"/>
      <c r="CE5737" s="319"/>
      <c r="CF5737" s="319"/>
      <c r="CG5737" s="319"/>
      <c r="CH5737" s="318"/>
      <c r="CI5737" s="319"/>
      <c r="CJ5737" s="319"/>
      <c r="CK5737" s="342"/>
      <c r="CL5737" s="333"/>
      <c r="CM5737" s="1079"/>
      <c r="CN5737" s="1005"/>
      <c r="CO5737" s="1005"/>
      <c r="CP5737" s="1005"/>
    </row>
    <row r="5738">
      <c r="A5738" s="1257"/>
      <c r="B5738" s="1113"/>
      <c r="C5738" s="1107"/>
      <c r="D5738" s="103"/>
      <c r="E5738" s="1137"/>
      <c r="F5738" s="112"/>
      <c r="G5738" s="1110"/>
      <c r="H5738" s="1138"/>
      <c r="I5738" s="1138"/>
      <c r="J5738" s="1139"/>
      <c r="K5738" s="1111"/>
      <c r="L5738" s="1112"/>
      <c r="M5738" s="1113"/>
      <c r="N5738" s="110"/>
      <c r="O5738" s="1140"/>
      <c r="P5738" s="1115"/>
      <c r="Q5738" s="1116"/>
      <c r="R5738" s="1141"/>
      <c r="S5738" s="1113"/>
      <c r="T5738" s="1143"/>
      <c r="U5738" s="1108"/>
      <c r="V5738" s="1108"/>
      <c r="W5738" s="1108"/>
      <c r="X5738" s="1108"/>
      <c r="Y5738" s="1108"/>
      <c r="Z5738" s="1114"/>
      <c r="AA5738" s="1114"/>
      <c r="AB5738" s="1114"/>
      <c r="AC5738" s="1117"/>
      <c r="AD5738" s="1115"/>
      <c r="AE5738" s="1115"/>
      <c r="AF5738" s="1115"/>
      <c r="AG5738" s="1115"/>
      <c r="AH5738" s="1115"/>
      <c r="AI5738" s="1115"/>
      <c r="AJ5738" s="1117"/>
      <c r="AK5738" s="1118"/>
      <c r="AL5738" s="1115"/>
      <c r="AM5738" s="1115"/>
      <c r="AN5738" s="1115"/>
      <c r="AO5738" s="1115"/>
      <c r="AP5738" s="1115"/>
      <c r="AQ5738" s="1115"/>
      <c r="AR5738" s="1115"/>
      <c r="AS5738" s="1117"/>
      <c r="AT5738" s="1075"/>
      <c r="AU5738" s="1193"/>
      <c r="AV5738" s="330"/>
      <c r="AW5738" s="331"/>
      <c r="AX5738" s="331"/>
      <c r="AY5738" s="331"/>
      <c r="AZ5738" s="331"/>
      <c r="BA5738" s="331"/>
      <c r="BB5738" s="331"/>
      <c r="BC5738" s="331"/>
      <c r="BD5738" s="331"/>
      <c r="BE5738" s="333"/>
      <c r="BF5738" s="330"/>
      <c r="BG5738" s="333"/>
      <c r="BH5738" s="1119"/>
      <c r="BI5738" s="319"/>
      <c r="BJ5738" s="319"/>
      <c r="BK5738" s="319"/>
      <c r="BL5738" s="319"/>
      <c r="BM5738" s="319"/>
      <c r="BN5738" s="319"/>
      <c r="BO5738" s="319"/>
      <c r="BP5738" s="953"/>
      <c r="BQ5738" s="319"/>
      <c r="BR5738" s="319"/>
      <c r="BS5738" s="330"/>
      <c r="BT5738" s="331"/>
      <c r="BU5738" s="920"/>
      <c r="BV5738" s="903"/>
      <c r="BW5738" s="908"/>
      <c r="BX5738" s="908"/>
      <c r="BY5738" s="331"/>
      <c r="BZ5738" s="331"/>
      <c r="CA5738" s="462"/>
      <c r="CB5738" s="319"/>
      <c r="CC5738" s="319"/>
      <c r="CD5738" s="319"/>
      <c r="CE5738" s="319"/>
      <c r="CF5738" s="319"/>
      <c r="CG5738" s="319"/>
      <c r="CH5738" s="318"/>
      <c r="CI5738" s="319"/>
      <c r="CJ5738" s="319"/>
      <c r="CK5738" s="342"/>
      <c r="CL5738" s="333"/>
      <c r="CM5738" s="1079"/>
      <c r="CN5738" s="1005"/>
      <c r="CO5738" s="1005"/>
      <c r="CP5738" s="1005"/>
    </row>
    <row r="5739">
      <c r="A5739" s="1257"/>
      <c r="B5739" s="1113"/>
      <c r="C5739" s="1107"/>
      <c r="D5739" s="103"/>
      <c r="E5739" s="1137"/>
      <c r="F5739" s="112"/>
      <c r="G5739" s="1110"/>
      <c r="H5739" s="1138"/>
      <c r="I5739" s="1138"/>
      <c r="J5739" s="1139"/>
      <c r="K5739" s="1111"/>
      <c r="L5739" s="1112"/>
      <c r="M5739" s="1113"/>
      <c r="N5739" s="110"/>
      <c r="O5739" s="1140"/>
      <c r="P5739" s="1115"/>
      <c r="Q5739" s="1116"/>
      <c r="R5739" s="1141"/>
      <c r="S5739" s="1113"/>
      <c r="T5739" s="1143"/>
      <c r="U5739" s="1108"/>
      <c r="V5739" s="1108"/>
      <c r="W5739" s="1108"/>
      <c r="X5739" s="1108"/>
      <c r="Y5739" s="1108"/>
      <c r="Z5739" s="1114"/>
      <c r="AA5739" s="1114"/>
      <c r="AB5739" s="1114"/>
      <c r="AC5739" s="1117"/>
      <c r="AD5739" s="1115"/>
      <c r="AE5739" s="1115"/>
      <c r="AF5739" s="1115"/>
      <c r="AG5739" s="1115"/>
      <c r="AH5739" s="1115"/>
      <c r="AI5739" s="1115"/>
      <c r="AJ5739" s="1117"/>
      <c r="AK5739" s="1118"/>
      <c r="AL5739" s="1115"/>
      <c r="AM5739" s="1115"/>
      <c r="AN5739" s="1115"/>
      <c r="AO5739" s="1115"/>
      <c r="AP5739" s="1115"/>
      <c r="AQ5739" s="1115"/>
      <c r="AR5739" s="1115"/>
      <c r="AS5739" s="1117"/>
      <c r="AT5739" s="1075"/>
      <c r="AU5739" s="1193"/>
      <c r="AV5739" s="330"/>
      <c r="AW5739" s="331"/>
      <c r="AX5739" s="331"/>
      <c r="AY5739" s="331"/>
      <c r="AZ5739" s="331"/>
      <c r="BA5739" s="331"/>
      <c r="BB5739" s="331"/>
      <c r="BC5739" s="331"/>
      <c r="BD5739" s="331"/>
      <c r="BE5739" s="333"/>
      <c r="BF5739" s="330"/>
      <c r="BG5739" s="333"/>
      <c r="BH5739" s="1119"/>
      <c r="BI5739" s="319"/>
      <c r="BJ5739" s="319"/>
      <c r="BK5739" s="319"/>
      <c r="BL5739" s="319"/>
      <c r="BM5739" s="319"/>
      <c r="BN5739" s="319"/>
      <c r="BO5739" s="319"/>
      <c r="BP5739" s="953"/>
      <c r="BQ5739" s="319"/>
      <c r="BR5739" s="319"/>
      <c r="BS5739" s="330"/>
      <c r="BT5739" s="331"/>
      <c r="BU5739" s="920"/>
      <c r="BV5739" s="903"/>
      <c r="BW5739" s="908"/>
      <c r="BX5739" s="908"/>
      <c r="BY5739" s="331"/>
      <c r="BZ5739" s="331"/>
      <c r="CA5739" s="462"/>
      <c r="CB5739" s="319"/>
      <c r="CC5739" s="319"/>
      <c r="CD5739" s="319"/>
      <c r="CE5739" s="319"/>
      <c r="CF5739" s="319"/>
      <c r="CG5739" s="319"/>
      <c r="CH5739" s="318"/>
      <c r="CI5739" s="319"/>
      <c r="CJ5739" s="319"/>
      <c r="CK5739" s="342"/>
      <c r="CL5739" s="333"/>
      <c r="CM5739" s="1079"/>
      <c r="CN5739" s="1005"/>
      <c r="CO5739" s="1005"/>
      <c r="CP5739" s="1005"/>
    </row>
    <row r="5740">
      <c r="A5740" s="1257"/>
      <c r="B5740" s="1113"/>
      <c r="C5740" s="1107"/>
      <c r="D5740" s="103"/>
      <c r="E5740" s="1137"/>
      <c r="F5740" s="112"/>
      <c r="G5740" s="1110"/>
      <c r="H5740" s="1138"/>
      <c r="I5740" s="1138"/>
      <c r="J5740" s="1139"/>
      <c r="K5740" s="1111"/>
      <c r="L5740" s="1112"/>
      <c r="M5740" s="1113"/>
      <c r="N5740" s="110"/>
      <c r="O5740" s="1140"/>
      <c r="P5740" s="1115"/>
      <c r="Q5740" s="1116"/>
      <c r="R5740" s="1141"/>
      <c r="S5740" s="1113"/>
      <c r="T5740" s="1143"/>
      <c r="U5740" s="1108"/>
      <c r="V5740" s="1108"/>
      <c r="W5740" s="1108"/>
      <c r="X5740" s="1108"/>
      <c r="Y5740" s="1108"/>
      <c r="Z5740" s="1114"/>
      <c r="AA5740" s="1114"/>
      <c r="AB5740" s="1114"/>
      <c r="AC5740" s="1117"/>
      <c r="AD5740" s="1115"/>
      <c r="AE5740" s="1115"/>
      <c r="AF5740" s="1115"/>
      <c r="AG5740" s="1115"/>
      <c r="AH5740" s="1115"/>
      <c r="AI5740" s="1115"/>
      <c r="AJ5740" s="1117"/>
      <c r="AK5740" s="1118"/>
      <c r="AL5740" s="1115"/>
      <c r="AM5740" s="1115"/>
      <c r="AN5740" s="1115"/>
      <c r="AO5740" s="1115"/>
      <c r="AP5740" s="1115"/>
      <c r="AQ5740" s="1115"/>
      <c r="AR5740" s="1115"/>
      <c r="AS5740" s="1117"/>
      <c r="AT5740" s="1075"/>
      <c r="AU5740" s="1193"/>
      <c r="AV5740" s="330"/>
      <c r="AW5740" s="331"/>
      <c r="AX5740" s="331"/>
      <c r="AY5740" s="331"/>
      <c r="AZ5740" s="331"/>
      <c r="BA5740" s="331"/>
      <c r="BB5740" s="331"/>
      <c r="BC5740" s="331"/>
      <c r="BD5740" s="331"/>
      <c r="BE5740" s="333"/>
      <c r="BF5740" s="330"/>
      <c r="BG5740" s="333"/>
      <c r="BH5740" s="1119"/>
      <c r="BI5740" s="319"/>
      <c r="BJ5740" s="319"/>
      <c r="BK5740" s="319"/>
      <c r="BL5740" s="319"/>
      <c r="BM5740" s="319"/>
      <c r="BN5740" s="319"/>
      <c r="BO5740" s="319"/>
      <c r="BP5740" s="953"/>
      <c r="BQ5740" s="319"/>
      <c r="BR5740" s="319"/>
      <c r="BS5740" s="330"/>
      <c r="BT5740" s="331"/>
      <c r="BU5740" s="920"/>
      <c r="BV5740" s="903"/>
      <c r="BW5740" s="908"/>
      <c r="BX5740" s="908"/>
      <c r="BY5740" s="331"/>
      <c r="BZ5740" s="331"/>
      <c r="CA5740" s="462"/>
      <c r="CB5740" s="319"/>
      <c r="CC5740" s="319"/>
      <c r="CD5740" s="319"/>
      <c r="CE5740" s="319"/>
      <c r="CF5740" s="319"/>
      <c r="CG5740" s="319"/>
      <c r="CH5740" s="318"/>
      <c r="CI5740" s="319"/>
      <c r="CJ5740" s="319"/>
      <c r="CK5740" s="342"/>
      <c r="CL5740" s="333"/>
      <c r="CM5740" s="1079"/>
      <c r="CN5740" s="1005"/>
      <c r="CO5740" s="1005"/>
      <c r="CP5740" s="1005"/>
    </row>
    <row r="5741">
      <c r="A5741" s="1257"/>
      <c r="B5741" s="1113"/>
      <c r="C5741" s="1107"/>
      <c r="D5741" s="103"/>
      <c r="E5741" s="1137"/>
      <c r="F5741" s="112"/>
      <c r="G5741" s="1110"/>
      <c r="H5741" s="1138"/>
      <c r="I5741" s="1138"/>
      <c r="J5741" s="1139"/>
      <c r="K5741" s="1111"/>
      <c r="L5741" s="1112"/>
      <c r="M5741" s="1113"/>
      <c r="N5741" s="110"/>
      <c r="O5741" s="1140"/>
      <c r="P5741" s="1115"/>
      <c r="Q5741" s="1116"/>
      <c r="R5741" s="1141"/>
      <c r="S5741" s="1113"/>
      <c r="T5741" s="1143"/>
      <c r="U5741" s="1108"/>
      <c r="V5741" s="1108"/>
      <c r="W5741" s="1108"/>
      <c r="X5741" s="1108"/>
      <c r="Y5741" s="1108"/>
      <c r="Z5741" s="1114"/>
      <c r="AA5741" s="1114"/>
      <c r="AB5741" s="1114"/>
      <c r="AC5741" s="1117"/>
      <c r="AD5741" s="1115"/>
      <c r="AE5741" s="1115"/>
      <c r="AF5741" s="1115"/>
      <c r="AG5741" s="1115"/>
      <c r="AH5741" s="1115"/>
      <c r="AI5741" s="1115"/>
      <c r="AJ5741" s="1117"/>
      <c r="AK5741" s="1118"/>
      <c r="AL5741" s="1115"/>
      <c r="AM5741" s="1115"/>
      <c r="AN5741" s="1115"/>
      <c r="AO5741" s="1115"/>
      <c r="AP5741" s="1115"/>
      <c r="AQ5741" s="1115"/>
      <c r="AR5741" s="1115"/>
      <c r="AS5741" s="1117"/>
      <c r="AT5741" s="1075"/>
      <c r="AU5741" s="1193"/>
      <c r="AV5741" s="330"/>
      <c r="AW5741" s="331"/>
      <c r="AX5741" s="331"/>
      <c r="AY5741" s="331"/>
      <c r="AZ5741" s="331"/>
      <c r="BA5741" s="331"/>
      <c r="BB5741" s="331"/>
      <c r="BC5741" s="331"/>
      <c r="BD5741" s="331"/>
      <c r="BE5741" s="333"/>
      <c r="BF5741" s="330"/>
      <c r="BG5741" s="333"/>
      <c r="BH5741" s="1119"/>
      <c r="BI5741" s="319"/>
      <c r="BJ5741" s="319"/>
      <c r="BK5741" s="319"/>
      <c r="BL5741" s="319"/>
      <c r="BM5741" s="319"/>
      <c r="BN5741" s="319"/>
      <c r="BO5741" s="319"/>
      <c r="BP5741" s="953"/>
      <c r="BQ5741" s="319"/>
      <c r="BR5741" s="319"/>
      <c r="BS5741" s="330"/>
      <c r="BT5741" s="331"/>
      <c r="BU5741" s="920"/>
      <c r="BV5741" s="903"/>
      <c r="BW5741" s="908"/>
      <c r="BX5741" s="908"/>
      <c r="BY5741" s="331"/>
      <c r="BZ5741" s="331"/>
      <c r="CA5741" s="462"/>
      <c r="CB5741" s="319"/>
      <c r="CC5741" s="319"/>
      <c r="CD5741" s="319"/>
      <c r="CE5741" s="319"/>
      <c r="CF5741" s="319"/>
      <c r="CG5741" s="319"/>
      <c r="CH5741" s="318"/>
      <c r="CI5741" s="319"/>
      <c r="CJ5741" s="319"/>
      <c r="CK5741" s="342"/>
      <c r="CL5741" s="333"/>
      <c r="CM5741" s="1079"/>
      <c r="CN5741" s="1005"/>
      <c r="CO5741" s="1005"/>
      <c r="CP5741" s="1005"/>
    </row>
    <row r="5742">
      <c r="A5742" s="1257"/>
      <c r="B5742" s="1113"/>
      <c r="C5742" s="1107"/>
      <c r="D5742" s="103"/>
      <c r="E5742" s="1137"/>
      <c r="F5742" s="112"/>
      <c r="G5742" s="1110"/>
      <c r="H5742" s="1138"/>
      <c r="I5742" s="1138"/>
      <c r="J5742" s="1139"/>
      <c r="K5742" s="1111"/>
      <c r="L5742" s="1112"/>
      <c r="M5742" s="1113"/>
      <c r="N5742" s="110"/>
      <c r="O5742" s="1140"/>
      <c r="P5742" s="1115"/>
      <c r="Q5742" s="1116"/>
      <c r="R5742" s="1141"/>
      <c r="S5742" s="1113"/>
      <c r="T5742" s="1143"/>
      <c r="U5742" s="1108"/>
      <c r="V5742" s="1108"/>
      <c r="W5742" s="1108"/>
      <c r="X5742" s="1108"/>
      <c r="Y5742" s="1108"/>
      <c r="Z5742" s="1114"/>
      <c r="AA5742" s="1114"/>
      <c r="AB5742" s="1114"/>
      <c r="AC5742" s="1117"/>
      <c r="AD5742" s="1115"/>
      <c r="AE5742" s="1115"/>
      <c r="AF5742" s="1115"/>
      <c r="AG5742" s="1115"/>
      <c r="AH5742" s="1115"/>
      <c r="AI5742" s="1115"/>
      <c r="AJ5742" s="1117"/>
      <c r="AK5742" s="1118"/>
      <c r="AL5742" s="1115"/>
      <c r="AM5742" s="1115"/>
      <c r="AN5742" s="1115"/>
      <c r="AO5742" s="1115"/>
      <c r="AP5742" s="1115"/>
      <c r="AQ5742" s="1115"/>
      <c r="AR5742" s="1115"/>
      <c r="AS5742" s="1117"/>
      <c r="AT5742" s="1075"/>
      <c r="AU5742" s="1193"/>
      <c r="AV5742" s="330"/>
      <c r="AW5742" s="331"/>
      <c r="AX5742" s="331"/>
      <c r="AY5742" s="331"/>
      <c r="AZ5742" s="331"/>
      <c r="BA5742" s="331"/>
      <c r="BB5742" s="331"/>
      <c r="BC5742" s="331"/>
      <c r="BD5742" s="331"/>
      <c r="BE5742" s="333"/>
      <c r="BF5742" s="330"/>
      <c r="BG5742" s="333"/>
      <c r="BH5742" s="1119"/>
      <c r="BI5742" s="319"/>
      <c r="BJ5742" s="319"/>
      <c r="BK5742" s="319"/>
      <c r="BL5742" s="319"/>
      <c r="BM5742" s="319"/>
      <c r="BN5742" s="319"/>
      <c r="BO5742" s="319"/>
      <c r="BP5742" s="953"/>
      <c r="BQ5742" s="319"/>
      <c r="BR5742" s="319"/>
      <c r="BS5742" s="330"/>
      <c r="BT5742" s="331"/>
      <c r="BU5742" s="920"/>
      <c r="BV5742" s="903"/>
      <c r="BW5742" s="908"/>
      <c r="BX5742" s="908"/>
      <c r="BY5742" s="331"/>
      <c r="BZ5742" s="331"/>
      <c r="CA5742" s="462"/>
      <c r="CB5742" s="319"/>
      <c r="CC5742" s="319"/>
      <c r="CD5742" s="319"/>
      <c r="CE5742" s="319"/>
      <c r="CF5742" s="319"/>
      <c r="CG5742" s="319"/>
      <c r="CH5742" s="318"/>
      <c r="CI5742" s="319"/>
      <c r="CJ5742" s="319"/>
      <c r="CK5742" s="342"/>
      <c r="CL5742" s="333"/>
      <c r="CM5742" s="1079"/>
      <c r="CN5742" s="1005"/>
      <c r="CO5742" s="1005"/>
      <c r="CP5742" s="1005"/>
    </row>
    <row r="5743">
      <c r="A5743" s="1257"/>
      <c r="B5743" s="1113"/>
      <c r="C5743" s="1107"/>
      <c r="D5743" s="103"/>
      <c r="E5743" s="1137"/>
      <c r="F5743" s="112"/>
      <c r="G5743" s="1110"/>
      <c r="H5743" s="1138"/>
      <c r="I5743" s="1138"/>
      <c r="J5743" s="1139"/>
      <c r="K5743" s="1111"/>
      <c r="L5743" s="1112"/>
      <c r="M5743" s="1113"/>
      <c r="N5743" s="110"/>
      <c r="O5743" s="1140"/>
      <c r="P5743" s="1115"/>
      <c r="Q5743" s="1116"/>
      <c r="R5743" s="1141"/>
      <c r="S5743" s="1113"/>
      <c r="T5743" s="1143"/>
      <c r="U5743" s="1108"/>
      <c r="V5743" s="1108"/>
      <c r="W5743" s="1108"/>
      <c r="X5743" s="1108"/>
      <c r="Y5743" s="1108"/>
      <c r="Z5743" s="1114"/>
      <c r="AA5743" s="1114"/>
      <c r="AB5743" s="1114"/>
      <c r="AC5743" s="1117"/>
      <c r="AD5743" s="1115"/>
      <c r="AE5743" s="1115"/>
      <c r="AF5743" s="1115"/>
      <c r="AG5743" s="1115"/>
      <c r="AH5743" s="1115"/>
      <c r="AI5743" s="1115"/>
      <c r="AJ5743" s="1117"/>
      <c r="AK5743" s="1118"/>
      <c r="AL5743" s="1115"/>
      <c r="AM5743" s="1115"/>
      <c r="AN5743" s="1115"/>
      <c r="AO5743" s="1115"/>
      <c r="AP5743" s="1115"/>
      <c r="AQ5743" s="1115"/>
      <c r="AR5743" s="1115"/>
      <c r="AS5743" s="1117"/>
      <c r="AT5743" s="1075"/>
      <c r="AU5743" s="1193"/>
      <c r="AV5743" s="330"/>
      <c r="AW5743" s="331"/>
      <c r="AX5743" s="331"/>
      <c r="AY5743" s="331"/>
      <c r="AZ5743" s="331"/>
      <c r="BA5743" s="331"/>
      <c r="BB5743" s="331"/>
      <c r="BC5743" s="331"/>
      <c r="BD5743" s="331"/>
      <c r="BE5743" s="333"/>
      <c r="BF5743" s="330"/>
      <c r="BG5743" s="333"/>
      <c r="BH5743" s="1119"/>
      <c r="BI5743" s="319"/>
      <c r="BJ5743" s="319"/>
      <c r="BK5743" s="319"/>
      <c r="BL5743" s="319"/>
      <c r="BM5743" s="319"/>
      <c r="BN5743" s="319"/>
      <c r="BO5743" s="319"/>
      <c r="BP5743" s="953"/>
      <c r="BQ5743" s="319"/>
      <c r="BR5743" s="319"/>
      <c r="BS5743" s="330"/>
      <c r="BT5743" s="331"/>
      <c r="BU5743" s="920"/>
      <c r="BV5743" s="903"/>
      <c r="BW5743" s="908"/>
      <c r="BX5743" s="908"/>
      <c r="BY5743" s="331"/>
      <c r="BZ5743" s="331"/>
      <c r="CA5743" s="462"/>
      <c r="CB5743" s="319"/>
      <c r="CC5743" s="319"/>
      <c r="CD5743" s="319"/>
      <c r="CE5743" s="319"/>
      <c r="CF5743" s="319"/>
      <c r="CG5743" s="319"/>
      <c r="CH5743" s="318"/>
      <c r="CI5743" s="319"/>
      <c r="CJ5743" s="319"/>
      <c r="CK5743" s="342"/>
      <c r="CL5743" s="333"/>
      <c r="CM5743" s="1079"/>
      <c r="CN5743" s="1005"/>
      <c r="CO5743" s="1005"/>
      <c r="CP5743" s="1005"/>
    </row>
    <row r="5744">
      <c r="A5744" s="1257"/>
      <c r="B5744" s="1113"/>
      <c r="C5744" s="1107"/>
      <c r="D5744" s="103"/>
      <c r="E5744" s="1137"/>
      <c r="F5744" s="112"/>
      <c r="G5744" s="1110"/>
      <c r="H5744" s="1138"/>
      <c r="I5744" s="1138"/>
      <c r="J5744" s="1139"/>
      <c r="K5744" s="1111"/>
      <c r="L5744" s="1112"/>
      <c r="M5744" s="1113"/>
      <c r="N5744" s="110"/>
      <c r="O5744" s="1140"/>
      <c r="P5744" s="1115"/>
      <c r="Q5744" s="1116"/>
      <c r="R5744" s="1141"/>
      <c r="S5744" s="1113"/>
      <c r="T5744" s="1143"/>
      <c r="U5744" s="1108"/>
      <c r="V5744" s="1108"/>
      <c r="W5744" s="1108"/>
      <c r="X5744" s="1108"/>
      <c r="Y5744" s="1108"/>
      <c r="Z5744" s="1114"/>
      <c r="AA5744" s="1114"/>
      <c r="AB5744" s="1114"/>
      <c r="AC5744" s="1117"/>
      <c r="AD5744" s="1115"/>
      <c r="AE5744" s="1115"/>
      <c r="AF5744" s="1115"/>
      <c r="AG5744" s="1115"/>
      <c r="AH5744" s="1115"/>
      <c r="AI5744" s="1115"/>
      <c r="AJ5744" s="1117"/>
      <c r="AK5744" s="1118"/>
      <c r="AL5744" s="1115"/>
      <c r="AM5744" s="1115"/>
      <c r="AN5744" s="1115"/>
      <c r="AO5744" s="1115"/>
      <c r="AP5744" s="1115"/>
      <c r="AQ5744" s="1115"/>
      <c r="AR5744" s="1115"/>
      <c r="AS5744" s="1117"/>
      <c r="AT5744" s="1075"/>
      <c r="AU5744" s="1193"/>
      <c r="AV5744" s="330"/>
      <c r="AW5744" s="331"/>
      <c r="AX5744" s="331"/>
      <c r="AY5744" s="331"/>
      <c r="AZ5744" s="331"/>
      <c r="BA5744" s="331"/>
      <c r="BB5744" s="331"/>
      <c r="BC5744" s="331"/>
      <c r="BD5744" s="331"/>
      <c r="BE5744" s="333"/>
      <c r="BF5744" s="330"/>
      <c r="BG5744" s="333"/>
      <c r="BH5744" s="1119"/>
      <c r="BI5744" s="319"/>
      <c r="BJ5744" s="319"/>
      <c r="BK5744" s="319"/>
      <c r="BL5744" s="319"/>
      <c r="BM5744" s="319"/>
      <c r="BN5744" s="319"/>
      <c r="BO5744" s="319"/>
      <c r="BP5744" s="953"/>
      <c r="BQ5744" s="319"/>
      <c r="BR5744" s="319"/>
      <c r="BS5744" s="330"/>
      <c r="BT5744" s="331"/>
      <c r="BU5744" s="920"/>
      <c r="BV5744" s="903"/>
      <c r="BW5744" s="908"/>
      <c r="BX5744" s="908"/>
      <c r="BY5744" s="331"/>
      <c r="BZ5744" s="331"/>
      <c r="CA5744" s="462"/>
      <c r="CB5744" s="319"/>
      <c r="CC5744" s="319"/>
      <c r="CD5744" s="319"/>
      <c r="CE5744" s="319"/>
      <c r="CF5744" s="319"/>
      <c r="CG5744" s="319"/>
      <c r="CH5744" s="318"/>
      <c r="CI5744" s="319"/>
      <c r="CJ5744" s="319"/>
      <c r="CK5744" s="342"/>
      <c r="CL5744" s="333"/>
      <c r="CM5744" s="1079"/>
      <c r="CN5744" s="1005"/>
      <c r="CO5744" s="1005"/>
      <c r="CP5744" s="1005"/>
    </row>
    <row r="5745">
      <c r="A5745" s="1257"/>
      <c r="B5745" s="1113"/>
      <c r="C5745" s="1107"/>
      <c r="D5745" s="103"/>
      <c r="E5745" s="1137"/>
      <c r="F5745" s="112"/>
      <c r="G5745" s="1110"/>
      <c r="H5745" s="1138"/>
      <c r="I5745" s="1138"/>
      <c r="J5745" s="1139"/>
      <c r="K5745" s="1111"/>
      <c r="L5745" s="1112"/>
      <c r="M5745" s="1113"/>
      <c r="N5745" s="110"/>
      <c r="O5745" s="1140"/>
      <c r="P5745" s="1115"/>
      <c r="Q5745" s="1116"/>
      <c r="R5745" s="1141"/>
      <c r="S5745" s="1113"/>
      <c r="T5745" s="1143"/>
      <c r="U5745" s="1108"/>
      <c r="V5745" s="1108"/>
      <c r="W5745" s="1108"/>
      <c r="X5745" s="1108"/>
      <c r="Y5745" s="1108"/>
      <c r="Z5745" s="1114"/>
      <c r="AA5745" s="1114"/>
      <c r="AB5745" s="1114"/>
      <c r="AC5745" s="1117"/>
      <c r="AD5745" s="1115"/>
      <c r="AE5745" s="1115"/>
      <c r="AF5745" s="1115"/>
      <c r="AG5745" s="1115"/>
      <c r="AH5745" s="1115"/>
      <c r="AI5745" s="1115"/>
      <c r="AJ5745" s="1117"/>
      <c r="AK5745" s="1118"/>
      <c r="AL5745" s="1115"/>
      <c r="AM5745" s="1115"/>
      <c r="AN5745" s="1115"/>
      <c r="AO5745" s="1115"/>
      <c r="AP5745" s="1115"/>
      <c r="AQ5745" s="1115"/>
      <c r="AR5745" s="1115"/>
      <c r="AS5745" s="1117"/>
      <c r="AT5745" s="1075"/>
      <c r="AU5745" s="1193"/>
      <c r="AV5745" s="330"/>
      <c r="AW5745" s="331"/>
      <c r="AX5745" s="331"/>
      <c r="AY5745" s="331"/>
      <c r="AZ5745" s="331"/>
      <c r="BA5745" s="331"/>
      <c r="BB5745" s="331"/>
      <c r="BC5745" s="331"/>
      <c r="BD5745" s="331"/>
      <c r="BE5745" s="333"/>
      <c r="BF5745" s="330"/>
      <c r="BG5745" s="333"/>
      <c r="BH5745" s="1119"/>
      <c r="BI5745" s="319"/>
      <c r="BJ5745" s="319"/>
      <c r="BK5745" s="319"/>
      <c r="BL5745" s="319"/>
      <c r="BM5745" s="319"/>
      <c r="BN5745" s="319"/>
      <c r="BO5745" s="319"/>
      <c r="BP5745" s="953"/>
      <c r="BQ5745" s="319"/>
      <c r="BR5745" s="319"/>
      <c r="BS5745" s="330"/>
      <c r="BT5745" s="331"/>
      <c r="BU5745" s="920"/>
      <c r="BV5745" s="903"/>
      <c r="BW5745" s="908"/>
      <c r="BX5745" s="908"/>
      <c r="BY5745" s="331"/>
      <c r="BZ5745" s="331"/>
      <c r="CA5745" s="462"/>
      <c r="CB5745" s="319"/>
      <c r="CC5745" s="319"/>
      <c r="CD5745" s="319"/>
      <c r="CE5745" s="319"/>
      <c r="CF5745" s="319"/>
      <c r="CG5745" s="319"/>
      <c r="CH5745" s="318"/>
      <c r="CI5745" s="319"/>
      <c r="CJ5745" s="319"/>
      <c r="CK5745" s="342"/>
      <c r="CL5745" s="333"/>
      <c r="CM5745" s="1079"/>
      <c r="CN5745" s="1005"/>
      <c r="CO5745" s="1005"/>
      <c r="CP5745" s="1005"/>
    </row>
    <row r="5746">
      <c r="A5746" s="1257"/>
      <c r="B5746" s="1113"/>
      <c r="C5746" s="1107"/>
      <c r="D5746" s="103"/>
      <c r="E5746" s="1137"/>
      <c r="F5746" s="112"/>
      <c r="G5746" s="1110"/>
      <c r="H5746" s="1138"/>
      <c r="I5746" s="1138"/>
      <c r="J5746" s="1139"/>
      <c r="K5746" s="1111"/>
      <c r="L5746" s="1112"/>
      <c r="M5746" s="1113"/>
      <c r="N5746" s="110"/>
      <c r="O5746" s="1140"/>
      <c r="P5746" s="1115"/>
      <c r="Q5746" s="1116"/>
      <c r="R5746" s="1141"/>
      <c r="S5746" s="1113"/>
      <c r="T5746" s="1143"/>
      <c r="U5746" s="1108"/>
      <c r="V5746" s="1108"/>
      <c r="W5746" s="1108"/>
      <c r="X5746" s="1108"/>
      <c r="Y5746" s="1108"/>
      <c r="Z5746" s="1114"/>
      <c r="AA5746" s="1114"/>
      <c r="AB5746" s="1114"/>
      <c r="AC5746" s="1117"/>
      <c r="AD5746" s="1115"/>
      <c r="AE5746" s="1115"/>
      <c r="AF5746" s="1115"/>
      <c r="AG5746" s="1115"/>
      <c r="AH5746" s="1115"/>
      <c r="AI5746" s="1115"/>
      <c r="AJ5746" s="1117"/>
      <c r="AK5746" s="1118"/>
      <c r="AL5746" s="1115"/>
      <c r="AM5746" s="1115"/>
      <c r="AN5746" s="1115"/>
      <c r="AO5746" s="1115"/>
      <c r="AP5746" s="1115"/>
      <c r="AQ5746" s="1115"/>
      <c r="AR5746" s="1115"/>
      <c r="AS5746" s="1117"/>
      <c r="AT5746" s="1075"/>
      <c r="AU5746" s="1193"/>
      <c r="AV5746" s="330"/>
      <c r="AW5746" s="331"/>
      <c r="AX5746" s="331"/>
      <c r="AY5746" s="331"/>
      <c r="AZ5746" s="331"/>
      <c r="BA5746" s="331"/>
      <c r="BB5746" s="331"/>
      <c r="BC5746" s="331"/>
      <c r="BD5746" s="331"/>
      <c r="BE5746" s="333"/>
      <c r="BF5746" s="330"/>
      <c r="BG5746" s="333"/>
      <c r="BH5746" s="1119"/>
      <c r="BI5746" s="319"/>
      <c r="BJ5746" s="319"/>
      <c r="BK5746" s="319"/>
      <c r="BL5746" s="319"/>
      <c r="BM5746" s="319"/>
      <c r="BN5746" s="319"/>
      <c r="BO5746" s="319"/>
      <c r="BP5746" s="953"/>
      <c r="BQ5746" s="319"/>
      <c r="BR5746" s="319"/>
      <c r="BS5746" s="330"/>
      <c r="BT5746" s="331"/>
      <c r="BU5746" s="920"/>
      <c r="BV5746" s="903"/>
      <c r="BW5746" s="908"/>
      <c r="BX5746" s="908"/>
      <c r="BY5746" s="331"/>
      <c r="BZ5746" s="331"/>
      <c r="CA5746" s="462"/>
      <c r="CB5746" s="319"/>
      <c r="CC5746" s="319"/>
      <c r="CD5746" s="319"/>
      <c r="CE5746" s="319"/>
      <c r="CF5746" s="319"/>
      <c r="CG5746" s="319"/>
      <c r="CH5746" s="318"/>
      <c r="CI5746" s="319"/>
      <c r="CJ5746" s="319"/>
      <c r="CK5746" s="342"/>
      <c r="CL5746" s="333"/>
      <c r="CM5746" s="1079"/>
      <c r="CN5746" s="1005"/>
      <c r="CO5746" s="1005"/>
      <c r="CP5746" s="1005"/>
    </row>
    <row r="5747">
      <c r="A5747" s="1257"/>
      <c r="B5747" s="1113"/>
      <c r="C5747" s="1107"/>
      <c r="D5747" s="103"/>
      <c r="E5747" s="1137"/>
      <c r="F5747" s="112"/>
      <c r="G5747" s="1110"/>
      <c r="H5747" s="1138"/>
      <c r="I5747" s="1138"/>
      <c r="J5747" s="1139"/>
      <c r="K5747" s="1111"/>
      <c r="L5747" s="1112"/>
      <c r="M5747" s="1113"/>
      <c r="N5747" s="110"/>
      <c r="O5747" s="1140"/>
      <c r="P5747" s="1115"/>
      <c r="Q5747" s="1116"/>
      <c r="R5747" s="1141"/>
      <c r="S5747" s="1113"/>
      <c r="T5747" s="1143"/>
      <c r="U5747" s="1108"/>
      <c r="V5747" s="1108"/>
      <c r="W5747" s="1108"/>
      <c r="X5747" s="1108"/>
      <c r="Y5747" s="1108"/>
      <c r="Z5747" s="1114"/>
      <c r="AA5747" s="1114"/>
      <c r="AB5747" s="1114"/>
      <c r="AC5747" s="1117"/>
      <c r="AD5747" s="1115"/>
      <c r="AE5747" s="1115"/>
      <c r="AF5747" s="1115"/>
      <c r="AG5747" s="1115"/>
      <c r="AH5747" s="1115"/>
      <c r="AI5747" s="1115"/>
      <c r="AJ5747" s="1117"/>
      <c r="AK5747" s="1118"/>
      <c r="AL5747" s="1115"/>
      <c r="AM5747" s="1115"/>
      <c r="AN5747" s="1115"/>
      <c r="AO5747" s="1115"/>
      <c r="AP5747" s="1115"/>
      <c r="AQ5747" s="1115"/>
      <c r="AR5747" s="1115"/>
      <c r="AS5747" s="1117"/>
      <c r="AT5747" s="1075"/>
      <c r="AU5747" s="1193"/>
      <c r="AV5747" s="330"/>
      <c r="AW5747" s="331"/>
      <c r="AX5747" s="331"/>
      <c r="AY5747" s="331"/>
      <c r="AZ5747" s="331"/>
      <c r="BA5747" s="331"/>
      <c r="BB5747" s="331"/>
      <c r="BC5747" s="331"/>
      <c r="BD5747" s="331"/>
      <c r="BE5747" s="333"/>
      <c r="BF5747" s="330"/>
      <c r="BG5747" s="333"/>
      <c r="BH5747" s="1119"/>
      <c r="BI5747" s="319"/>
      <c r="BJ5747" s="319"/>
      <c r="BK5747" s="319"/>
      <c r="BL5747" s="319"/>
      <c r="BM5747" s="319"/>
      <c r="BN5747" s="319"/>
      <c r="BO5747" s="319"/>
      <c r="BP5747" s="953"/>
      <c r="BQ5747" s="319"/>
      <c r="BR5747" s="319"/>
      <c r="BS5747" s="330"/>
      <c r="BT5747" s="331"/>
      <c r="BU5747" s="920"/>
      <c r="BV5747" s="903"/>
      <c r="BW5747" s="908"/>
      <c r="BX5747" s="908"/>
      <c r="BY5747" s="331"/>
      <c r="BZ5747" s="331"/>
      <c r="CA5747" s="462"/>
      <c r="CB5747" s="319"/>
      <c r="CC5747" s="319"/>
      <c r="CD5747" s="319"/>
      <c r="CE5747" s="319"/>
      <c r="CF5747" s="319"/>
      <c r="CG5747" s="319"/>
      <c r="CH5747" s="318"/>
      <c r="CI5747" s="319"/>
      <c r="CJ5747" s="319"/>
      <c r="CK5747" s="342"/>
      <c r="CL5747" s="333"/>
      <c r="CM5747" s="1079"/>
      <c r="CN5747" s="1005"/>
      <c r="CO5747" s="1005"/>
      <c r="CP5747" s="1005"/>
    </row>
    <row r="5748">
      <c r="A5748" s="1257"/>
      <c r="B5748" s="1113"/>
      <c r="C5748" s="1107"/>
      <c r="D5748" s="103"/>
      <c r="E5748" s="1137"/>
      <c r="F5748" s="112"/>
      <c r="G5748" s="1110"/>
      <c r="H5748" s="1138"/>
      <c r="I5748" s="1138"/>
      <c r="J5748" s="1139"/>
      <c r="K5748" s="1111"/>
      <c r="L5748" s="1112"/>
      <c r="M5748" s="1113"/>
      <c r="N5748" s="110"/>
      <c r="O5748" s="1140"/>
      <c r="P5748" s="1115"/>
      <c r="Q5748" s="1116"/>
      <c r="R5748" s="1141"/>
      <c r="S5748" s="1113"/>
      <c r="T5748" s="1143"/>
      <c r="U5748" s="1108"/>
      <c r="V5748" s="1108"/>
      <c r="W5748" s="1108"/>
      <c r="X5748" s="1108"/>
      <c r="Y5748" s="1108"/>
      <c r="Z5748" s="1114"/>
      <c r="AA5748" s="1114"/>
      <c r="AB5748" s="1114"/>
      <c r="AC5748" s="1117"/>
      <c r="AD5748" s="1115"/>
      <c r="AE5748" s="1115"/>
      <c r="AF5748" s="1115"/>
      <c r="AG5748" s="1115"/>
      <c r="AH5748" s="1115"/>
      <c r="AI5748" s="1115"/>
      <c r="AJ5748" s="1117"/>
      <c r="AK5748" s="1118"/>
      <c r="AL5748" s="1115"/>
      <c r="AM5748" s="1115"/>
      <c r="AN5748" s="1115"/>
      <c r="AO5748" s="1115"/>
      <c r="AP5748" s="1115"/>
      <c r="AQ5748" s="1115"/>
      <c r="AR5748" s="1115"/>
      <c r="AS5748" s="1117"/>
      <c r="AT5748" s="1075"/>
      <c r="AU5748" s="1193"/>
      <c r="AV5748" s="330"/>
      <c r="AW5748" s="331"/>
      <c r="AX5748" s="331"/>
      <c r="AY5748" s="331"/>
      <c r="AZ5748" s="331"/>
      <c r="BA5748" s="331"/>
      <c r="BB5748" s="331"/>
      <c r="BC5748" s="331"/>
      <c r="BD5748" s="331"/>
      <c r="BE5748" s="333"/>
      <c r="BF5748" s="330"/>
      <c r="BG5748" s="333"/>
      <c r="BH5748" s="1119"/>
      <c r="BI5748" s="319"/>
      <c r="BJ5748" s="319"/>
      <c r="BK5748" s="319"/>
      <c r="BL5748" s="319"/>
      <c r="BM5748" s="319"/>
      <c r="BN5748" s="319"/>
      <c r="BO5748" s="319"/>
      <c r="BP5748" s="953"/>
      <c r="BQ5748" s="319"/>
      <c r="BR5748" s="319"/>
      <c r="BS5748" s="330"/>
      <c r="BT5748" s="331"/>
      <c r="BU5748" s="920"/>
      <c r="BV5748" s="903"/>
      <c r="BW5748" s="908"/>
      <c r="BX5748" s="908"/>
      <c r="BY5748" s="331"/>
      <c r="BZ5748" s="331"/>
      <c r="CA5748" s="462"/>
      <c r="CB5748" s="319"/>
      <c r="CC5748" s="319"/>
      <c r="CD5748" s="319"/>
      <c r="CE5748" s="319"/>
      <c r="CF5748" s="319"/>
      <c r="CG5748" s="319"/>
      <c r="CH5748" s="318"/>
      <c r="CI5748" s="319"/>
      <c r="CJ5748" s="319"/>
      <c r="CK5748" s="342"/>
      <c r="CL5748" s="333"/>
      <c r="CM5748" s="1079"/>
      <c r="CN5748" s="1005"/>
      <c r="CO5748" s="1005"/>
      <c r="CP5748" s="1005"/>
    </row>
    <row r="5749">
      <c r="A5749" s="1257"/>
      <c r="B5749" s="1113"/>
      <c r="C5749" s="1107"/>
      <c r="D5749" s="103"/>
      <c r="E5749" s="1137"/>
      <c r="F5749" s="112"/>
      <c r="G5749" s="1110"/>
      <c r="H5749" s="1138"/>
      <c r="I5749" s="1138"/>
      <c r="J5749" s="1139"/>
      <c r="K5749" s="1111"/>
      <c r="L5749" s="1112"/>
      <c r="M5749" s="1113"/>
      <c r="N5749" s="110"/>
      <c r="O5749" s="1140"/>
      <c r="P5749" s="1115"/>
      <c r="Q5749" s="1116"/>
      <c r="R5749" s="1141"/>
      <c r="S5749" s="1113"/>
      <c r="T5749" s="1143"/>
      <c r="U5749" s="1108"/>
      <c r="V5749" s="1108"/>
      <c r="W5749" s="1108"/>
      <c r="X5749" s="1108"/>
      <c r="Y5749" s="1108"/>
      <c r="Z5749" s="1114"/>
      <c r="AA5749" s="1114"/>
      <c r="AB5749" s="1114"/>
      <c r="AC5749" s="1117"/>
      <c r="AD5749" s="1115"/>
      <c r="AE5749" s="1115"/>
      <c r="AF5749" s="1115"/>
      <c r="AG5749" s="1115"/>
      <c r="AH5749" s="1115"/>
      <c r="AI5749" s="1115"/>
      <c r="AJ5749" s="1117"/>
      <c r="AK5749" s="1118"/>
      <c r="AL5749" s="1115"/>
      <c r="AM5749" s="1115"/>
      <c r="AN5749" s="1115"/>
      <c r="AO5749" s="1115"/>
      <c r="AP5749" s="1115"/>
      <c r="AQ5749" s="1115"/>
      <c r="AR5749" s="1115"/>
      <c r="AS5749" s="1117"/>
      <c r="AT5749" s="1075"/>
      <c r="AU5749" s="1193"/>
      <c r="AV5749" s="330"/>
      <c r="AW5749" s="331"/>
      <c r="AX5749" s="331"/>
      <c r="AY5749" s="331"/>
      <c r="AZ5749" s="331"/>
      <c r="BA5749" s="331"/>
      <c r="BB5749" s="331"/>
      <c r="BC5749" s="331"/>
      <c r="BD5749" s="331"/>
      <c r="BE5749" s="333"/>
      <c r="BF5749" s="330"/>
      <c r="BG5749" s="333"/>
      <c r="BH5749" s="1119"/>
      <c r="BI5749" s="319"/>
      <c r="BJ5749" s="319"/>
      <c r="BK5749" s="319"/>
      <c r="BL5749" s="319"/>
      <c r="BM5749" s="319"/>
      <c r="BN5749" s="319"/>
      <c r="BO5749" s="319"/>
      <c r="BP5749" s="953"/>
      <c r="BQ5749" s="319"/>
      <c r="BR5749" s="319"/>
      <c r="BS5749" s="330"/>
      <c r="BT5749" s="331"/>
      <c r="BU5749" s="920"/>
      <c r="BV5749" s="903"/>
      <c r="BW5749" s="908"/>
      <c r="BX5749" s="908"/>
      <c r="BY5749" s="331"/>
      <c r="BZ5749" s="331"/>
      <c r="CA5749" s="462"/>
      <c r="CB5749" s="319"/>
      <c r="CC5749" s="319"/>
      <c r="CD5749" s="319"/>
      <c r="CE5749" s="319"/>
      <c r="CF5749" s="319"/>
      <c r="CG5749" s="319"/>
      <c r="CH5749" s="318"/>
      <c r="CI5749" s="319"/>
      <c r="CJ5749" s="319"/>
      <c r="CK5749" s="342"/>
      <c r="CL5749" s="333"/>
      <c r="CM5749" s="1079"/>
      <c r="CN5749" s="1005"/>
      <c r="CO5749" s="1005"/>
      <c r="CP5749" s="1005"/>
    </row>
    <row r="5750">
      <c r="A5750" s="1257"/>
      <c r="B5750" s="1113"/>
      <c r="C5750" s="1107"/>
      <c r="D5750" s="103"/>
      <c r="E5750" s="1137"/>
      <c r="F5750" s="112"/>
      <c r="G5750" s="1110"/>
      <c r="H5750" s="1138"/>
      <c r="I5750" s="1138"/>
      <c r="J5750" s="1139"/>
      <c r="K5750" s="1111"/>
      <c r="L5750" s="1112"/>
      <c r="M5750" s="1113"/>
      <c r="N5750" s="110"/>
      <c r="O5750" s="1140"/>
      <c r="P5750" s="1115"/>
      <c r="Q5750" s="1116"/>
      <c r="R5750" s="1141"/>
      <c r="S5750" s="1113"/>
      <c r="T5750" s="1143"/>
      <c r="U5750" s="1108"/>
      <c r="V5750" s="1108"/>
      <c r="W5750" s="1108"/>
      <c r="X5750" s="1108"/>
      <c r="Y5750" s="1108"/>
      <c r="Z5750" s="1114"/>
      <c r="AA5750" s="1114"/>
      <c r="AB5750" s="1114"/>
      <c r="AC5750" s="1117"/>
      <c r="AD5750" s="1115"/>
      <c r="AE5750" s="1115"/>
      <c r="AF5750" s="1115"/>
      <c r="AG5750" s="1115"/>
      <c r="AH5750" s="1115"/>
      <c r="AI5750" s="1115"/>
      <c r="AJ5750" s="1117"/>
      <c r="AK5750" s="1118"/>
      <c r="AL5750" s="1115"/>
      <c r="AM5750" s="1115"/>
      <c r="AN5750" s="1115"/>
      <c r="AO5750" s="1115"/>
      <c r="AP5750" s="1115"/>
      <c r="AQ5750" s="1115"/>
      <c r="AR5750" s="1115"/>
      <c r="AS5750" s="1117"/>
      <c r="AT5750" s="1075"/>
      <c r="AU5750" s="1193"/>
      <c r="AV5750" s="330"/>
      <c r="AW5750" s="331"/>
      <c r="AX5750" s="331"/>
      <c r="AY5750" s="331"/>
      <c r="AZ5750" s="331"/>
      <c r="BA5750" s="331"/>
      <c r="BB5750" s="331"/>
      <c r="BC5750" s="331"/>
      <c r="BD5750" s="331"/>
      <c r="BE5750" s="333"/>
      <c r="BF5750" s="330"/>
      <c r="BG5750" s="333"/>
      <c r="BH5750" s="1119"/>
      <c r="BI5750" s="319"/>
      <c r="BJ5750" s="319"/>
      <c r="BK5750" s="319"/>
      <c r="BL5750" s="319"/>
      <c r="BM5750" s="319"/>
      <c r="BN5750" s="319"/>
      <c r="BO5750" s="319"/>
      <c r="BP5750" s="953"/>
      <c r="BQ5750" s="319"/>
      <c r="BR5750" s="319"/>
      <c r="BS5750" s="330"/>
      <c r="BT5750" s="331"/>
      <c r="BU5750" s="920"/>
      <c r="BV5750" s="903"/>
      <c r="BW5750" s="908"/>
      <c r="BX5750" s="908"/>
      <c r="BY5750" s="331"/>
      <c r="BZ5750" s="331"/>
      <c r="CA5750" s="462"/>
      <c r="CB5750" s="319"/>
      <c r="CC5750" s="319"/>
      <c r="CD5750" s="319"/>
      <c r="CE5750" s="319"/>
      <c r="CF5750" s="319"/>
      <c r="CG5750" s="319"/>
      <c r="CH5750" s="318"/>
      <c r="CI5750" s="319"/>
      <c r="CJ5750" s="319"/>
      <c r="CK5750" s="342"/>
      <c r="CL5750" s="333"/>
      <c r="CM5750" s="1079"/>
      <c r="CN5750" s="1005"/>
      <c r="CO5750" s="1005"/>
      <c r="CP5750" s="1005"/>
    </row>
    <row r="5751">
      <c r="A5751" s="1257"/>
      <c r="B5751" s="1113"/>
      <c r="C5751" s="1107"/>
      <c r="D5751" s="103"/>
      <c r="E5751" s="1137"/>
      <c r="F5751" s="112"/>
      <c r="G5751" s="1110"/>
      <c r="H5751" s="1138"/>
      <c r="I5751" s="1138"/>
      <c r="J5751" s="1139"/>
      <c r="K5751" s="1111"/>
      <c r="L5751" s="1112"/>
      <c r="M5751" s="1113"/>
      <c r="N5751" s="110"/>
      <c r="O5751" s="1140"/>
      <c r="P5751" s="1115"/>
      <c r="Q5751" s="1116"/>
      <c r="R5751" s="1141"/>
      <c r="S5751" s="1113"/>
      <c r="T5751" s="1143"/>
      <c r="U5751" s="1108"/>
      <c r="V5751" s="1108"/>
      <c r="W5751" s="1108"/>
      <c r="X5751" s="1108"/>
      <c r="Y5751" s="1108"/>
      <c r="Z5751" s="1114"/>
      <c r="AA5751" s="1114"/>
      <c r="AB5751" s="1114"/>
      <c r="AC5751" s="1117"/>
      <c r="AD5751" s="1115"/>
      <c r="AE5751" s="1115"/>
      <c r="AF5751" s="1115"/>
      <c r="AG5751" s="1115"/>
      <c r="AH5751" s="1115"/>
      <c r="AI5751" s="1115"/>
      <c r="AJ5751" s="1117"/>
      <c r="AK5751" s="1118"/>
      <c r="AL5751" s="1115"/>
      <c r="AM5751" s="1115"/>
      <c r="AN5751" s="1115"/>
      <c r="AO5751" s="1115"/>
      <c r="AP5751" s="1115"/>
      <c r="AQ5751" s="1115"/>
      <c r="AR5751" s="1115"/>
      <c r="AS5751" s="1117"/>
      <c r="AT5751" s="1075"/>
      <c r="AU5751" s="1193"/>
      <c r="AV5751" s="330"/>
      <c r="AW5751" s="331"/>
      <c r="AX5751" s="331"/>
      <c r="AY5751" s="331"/>
      <c r="AZ5751" s="331"/>
      <c r="BA5751" s="331"/>
      <c r="BB5751" s="331"/>
      <c r="BC5751" s="331"/>
      <c r="BD5751" s="331"/>
      <c r="BE5751" s="333"/>
      <c r="BF5751" s="330"/>
      <c r="BG5751" s="333"/>
      <c r="BH5751" s="1119"/>
      <c r="BI5751" s="319"/>
      <c r="BJ5751" s="319"/>
      <c r="BK5751" s="319"/>
      <c r="BL5751" s="319"/>
      <c r="BM5751" s="319"/>
      <c r="BN5751" s="319"/>
      <c r="BO5751" s="319"/>
      <c r="BP5751" s="953"/>
      <c r="BQ5751" s="319"/>
      <c r="BR5751" s="319"/>
      <c r="BS5751" s="330"/>
      <c r="BT5751" s="331"/>
      <c r="BU5751" s="920"/>
      <c r="BV5751" s="903"/>
      <c r="BW5751" s="908"/>
      <c r="BX5751" s="908"/>
      <c r="BY5751" s="331"/>
      <c r="BZ5751" s="331"/>
      <c r="CA5751" s="462"/>
      <c r="CB5751" s="319"/>
      <c r="CC5751" s="319"/>
      <c r="CD5751" s="319"/>
      <c r="CE5751" s="319"/>
      <c r="CF5751" s="319"/>
      <c r="CG5751" s="319"/>
      <c r="CH5751" s="318"/>
      <c r="CI5751" s="319"/>
      <c r="CJ5751" s="319"/>
      <c r="CK5751" s="342"/>
      <c r="CL5751" s="333"/>
      <c r="CM5751" s="1079"/>
      <c r="CN5751" s="1005"/>
      <c r="CO5751" s="1005"/>
      <c r="CP5751" s="1005"/>
    </row>
    <row r="5752">
      <c r="A5752" s="1257"/>
      <c r="B5752" s="1113"/>
      <c r="C5752" s="1107"/>
      <c r="D5752" s="103"/>
      <c r="E5752" s="1137"/>
      <c r="F5752" s="112"/>
      <c r="G5752" s="1110"/>
      <c r="H5752" s="1138"/>
      <c r="I5752" s="1138"/>
      <c r="J5752" s="1139"/>
      <c r="K5752" s="1111"/>
      <c r="L5752" s="1112"/>
      <c r="M5752" s="1113"/>
      <c r="N5752" s="110"/>
      <c r="O5752" s="1140"/>
      <c r="P5752" s="1115"/>
      <c r="Q5752" s="1116"/>
      <c r="R5752" s="1141"/>
      <c r="S5752" s="1113"/>
      <c r="T5752" s="1143"/>
      <c r="U5752" s="1108"/>
      <c r="V5752" s="1108"/>
      <c r="W5752" s="1108"/>
      <c r="X5752" s="1108"/>
      <c r="Y5752" s="1108"/>
      <c r="Z5752" s="1114"/>
      <c r="AA5752" s="1114"/>
      <c r="AB5752" s="1114"/>
      <c r="AC5752" s="1117"/>
      <c r="AD5752" s="1115"/>
      <c r="AE5752" s="1115"/>
      <c r="AF5752" s="1115"/>
      <c r="AG5752" s="1115"/>
      <c r="AH5752" s="1115"/>
      <c r="AI5752" s="1115"/>
      <c r="AJ5752" s="1117"/>
      <c r="AK5752" s="1118"/>
      <c r="AL5752" s="1115"/>
      <c r="AM5752" s="1115"/>
      <c r="AN5752" s="1115"/>
      <c r="AO5752" s="1115"/>
      <c r="AP5752" s="1115"/>
      <c r="AQ5752" s="1115"/>
      <c r="AR5752" s="1115"/>
      <c r="AS5752" s="1117"/>
      <c r="AT5752" s="1075"/>
      <c r="AU5752" s="1193"/>
      <c r="AV5752" s="330"/>
      <c r="AW5752" s="331"/>
      <c r="AX5752" s="331"/>
      <c r="AY5752" s="331"/>
      <c r="AZ5752" s="331"/>
      <c r="BA5752" s="331"/>
      <c r="BB5752" s="331"/>
      <c r="BC5752" s="331"/>
      <c r="BD5752" s="331"/>
      <c r="BE5752" s="333"/>
      <c r="BF5752" s="330"/>
      <c r="BG5752" s="333"/>
      <c r="BH5752" s="1119"/>
      <c r="BI5752" s="319"/>
      <c r="BJ5752" s="319"/>
      <c r="BK5752" s="319"/>
      <c r="BL5752" s="319"/>
      <c r="BM5752" s="319"/>
      <c r="BN5752" s="319"/>
      <c r="BO5752" s="319"/>
      <c r="BP5752" s="953"/>
      <c r="BQ5752" s="319"/>
      <c r="BR5752" s="319"/>
      <c r="BS5752" s="330"/>
      <c r="BT5752" s="331"/>
      <c r="BU5752" s="920"/>
      <c r="BV5752" s="903"/>
      <c r="BW5752" s="908"/>
      <c r="BX5752" s="908"/>
      <c r="BY5752" s="331"/>
      <c r="BZ5752" s="331"/>
      <c r="CA5752" s="462"/>
      <c r="CB5752" s="319"/>
      <c r="CC5752" s="319"/>
      <c r="CD5752" s="319"/>
      <c r="CE5752" s="319"/>
      <c r="CF5752" s="319"/>
      <c r="CG5752" s="319"/>
      <c r="CH5752" s="318"/>
      <c r="CI5752" s="319"/>
      <c r="CJ5752" s="319"/>
      <c r="CK5752" s="342"/>
      <c r="CL5752" s="333"/>
      <c r="CM5752" s="1079"/>
      <c r="CN5752" s="1005"/>
      <c r="CO5752" s="1005"/>
      <c r="CP5752" s="1005"/>
    </row>
    <row r="5753">
      <c r="A5753" s="1257"/>
      <c r="B5753" s="1113"/>
      <c r="C5753" s="1107"/>
      <c r="D5753" s="103"/>
      <c r="E5753" s="1137"/>
      <c r="F5753" s="112"/>
      <c r="G5753" s="1110"/>
      <c r="H5753" s="1138"/>
      <c r="I5753" s="1138"/>
      <c r="J5753" s="1139"/>
      <c r="K5753" s="1111"/>
      <c r="L5753" s="1112"/>
      <c r="M5753" s="1113"/>
      <c r="N5753" s="110"/>
      <c r="O5753" s="1140"/>
      <c r="P5753" s="1115"/>
      <c r="Q5753" s="1116"/>
      <c r="R5753" s="1141"/>
      <c r="S5753" s="1113"/>
      <c r="T5753" s="1143"/>
      <c r="U5753" s="1108"/>
      <c r="V5753" s="1108"/>
      <c r="W5753" s="1108"/>
      <c r="X5753" s="1108"/>
      <c r="Y5753" s="1108"/>
      <c r="Z5753" s="1114"/>
      <c r="AA5753" s="1114"/>
      <c r="AB5753" s="1114"/>
      <c r="AC5753" s="1117"/>
      <c r="AD5753" s="1115"/>
      <c r="AE5753" s="1115"/>
      <c r="AF5753" s="1115"/>
      <c r="AG5753" s="1115"/>
      <c r="AH5753" s="1115"/>
      <c r="AI5753" s="1115"/>
      <c r="AJ5753" s="1117"/>
      <c r="AK5753" s="1118"/>
      <c r="AL5753" s="1115"/>
      <c r="AM5753" s="1115"/>
      <c r="AN5753" s="1115"/>
      <c r="AO5753" s="1115"/>
      <c r="AP5753" s="1115"/>
      <c r="AQ5753" s="1115"/>
      <c r="AR5753" s="1115"/>
      <c r="AS5753" s="1117"/>
      <c r="AT5753" s="1075"/>
      <c r="AU5753" s="1193"/>
      <c r="AV5753" s="330"/>
      <c r="AW5753" s="331"/>
      <c r="AX5753" s="331"/>
      <c r="AY5753" s="331"/>
      <c r="AZ5753" s="331"/>
      <c r="BA5753" s="331"/>
      <c r="BB5753" s="331"/>
      <c r="BC5753" s="331"/>
      <c r="BD5753" s="331"/>
      <c r="BE5753" s="333"/>
      <c r="BF5753" s="330"/>
      <c r="BG5753" s="333"/>
      <c r="BH5753" s="1119"/>
      <c r="BI5753" s="319"/>
      <c r="BJ5753" s="319"/>
      <c r="BK5753" s="319"/>
      <c r="BL5753" s="319"/>
      <c r="BM5753" s="319"/>
      <c r="BN5753" s="319"/>
      <c r="BO5753" s="319"/>
      <c r="BP5753" s="953"/>
      <c r="BQ5753" s="319"/>
      <c r="BR5753" s="319"/>
      <c r="BS5753" s="330"/>
      <c r="BT5753" s="331"/>
      <c r="BU5753" s="920"/>
      <c r="BV5753" s="903"/>
      <c r="BW5753" s="908"/>
      <c r="BX5753" s="908"/>
      <c r="BY5753" s="331"/>
      <c r="BZ5753" s="331"/>
      <c r="CA5753" s="462"/>
      <c r="CB5753" s="319"/>
      <c r="CC5753" s="319"/>
      <c r="CD5753" s="319"/>
      <c r="CE5753" s="319"/>
      <c r="CF5753" s="319"/>
      <c r="CG5753" s="319"/>
      <c r="CH5753" s="318"/>
      <c r="CI5753" s="319"/>
      <c r="CJ5753" s="319"/>
      <c r="CK5753" s="342"/>
      <c r="CL5753" s="333"/>
      <c r="CM5753" s="1079"/>
      <c r="CN5753" s="1005"/>
      <c r="CO5753" s="1005"/>
      <c r="CP5753" s="1005"/>
    </row>
    <row r="5754">
      <c r="A5754" s="1257"/>
      <c r="B5754" s="1113"/>
      <c r="C5754" s="1107"/>
      <c r="D5754" s="103"/>
      <c r="E5754" s="1137"/>
      <c r="F5754" s="112"/>
      <c r="G5754" s="1110"/>
      <c r="H5754" s="1138"/>
      <c r="I5754" s="1138"/>
      <c r="J5754" s="1139"/>
      <c r="K5754" s="1111"/>
      <c r="L5754" s="1112"/>
      <c r="M5754" s="1113"/>
      <c r="N5754" s="110"/>
      <c r="O5754" s="1140"/>
      <c r="P5754" s="1115"/>
      <c r="Q5754" s="1116"/>
      <c r="R5754" s="1141"/>
      <c r="S5754" s="1113"/>
      <c r="T5754" s="1143"/>
      <c r="U5754" s="1108"/>
      <c r="V5754" s="1108"/>
      <c r="W5754" s="1108"/>
      <c r="X5754" s="1108"/>
      <c r="Y5754" s="1108"/>
      <c r="Z5754" s="1114"/>
      <c r="AA5754" s="1114"/>
      <c r="AB5754" s="1114"/>
      <c r="AC5754" s="1117"/>
      <c r="AD5754" s="1115"/>
      <c r="AE5754" s="1115"/>
      <c r="AF5754" s="1115"/>
      <c r="AG5754" s="1115"/>
      <c r="AH5754" s="1115"/>
      <c r="AI5754" s="1115"/>
      <c r="AJ5754" s="1117"/>
      <c r="AK5754" s="1118"/>
      <c r="AL5754" s="1115"/>
      <c r="AM5754" s="1115"/>
      <c r="AN5754" s="1115"/>
      <c r="AO5754" s="1115"/>
      <c r="AP5754" s="1115"/>
      <c r="AQ5754" s="1115"/>
      <c r="AR5754" s="1115"/>
      <c r="AS5754" s="1117"/>
      <c r="AT5754" s="1075"/>
      <c r="AU5754" s="1193"/>
      <c r="AV5754" s="330"/>
      <c r="AW5754" s="331"/>
      <c r="AX5754" s="331"/>
      <c r="AY5754" s="331"/>
      <c r="AZ5754" s="331"/>
      <c r="BA5754" s="331"/>
      <c r="BB5754" s="331"/>
      <c r="BC5754" s="331"/>
      <c r="BD5754" s="331"/>
      <c r="BE5754" s="333"/>
      <c r="BF5754" s="330"/>
      <c r="BG5754" s="333"/>
      <c r="BH5754" s="1119"/>
      <c r="BI5754" s="319"/>
      <c r="BJ5754" s="319"/>
      <c r="BK5754" s="319"/>
      <c r="BL5754" s="319"/>
      <c r="BM5754" s="319"/>
      <c r="BN5754" s="319"/>
      <c r="BO5754" s="319"/>
      <c r="BP5754" s="953"/>
      <c r="BQ5754" s="319"/>
      <c r="BR5754" s="319"/>
      <c r="BS5754" s="330"/>
      <c r="BT5754" s="331"/>
      <c r="BU5754" s="920"/>
      <c r="BV5754" s="903"/>
      <c r="BW5754" s="908"/>
      <c r="BX5754" s="908"/>
      <c r="BY5754" s="331"/>
      <c r="BZ5754" s="331"/>
      <c r="CA5754" s="462"/>
      <c r="CB5754" s="319"/>
      <c r="CC5754" s="319"/>
      <c r="CD5754" s="319"/>
      <c r="CE5754" s="319"/>
      <c r="CF5754" s="319"/>
      <c r="CG5754" s="319"/>
      <c r="CH5754" s="318"/>
      <c r="CI5754" s="319"/>
      <c r="CJ5754" s="319"/>
      <c r="CK5754" s="342"/>
      <c r="CL5754" s="333"/>
      <c r="CM5754" s="1079"/>
      <c r="CN5754" s="1005"/>
      <c r="CO5754" s="1005"/>
      <c r="CP5754" s="1005"/>
    </row>
    <row r="5755">
      <c r="A5755" s="1257"/>
      <c r="B5755" s="1113"/>
      <c r="C5755" s="1107"/>
      <c r="D5755" s="103"/>
      <c r="E5755" s="1137"/>
      <c r="F5755" s="112"/>
      <c r="G5755" s="1110"/>
      <c r="H5755" s="1138"/>
      <c r="I5755" s="1138"/>
      <c r="J5755" s="1139"/>
      <c r="K5755" s="1111"/>
      <c r="L5755" s="1112"/>
      <c r="M5755" s="1113"/>
      <c r="N5755" s="110"/>
      <c r="O5755" s="1140"/>
      <c r="P5755" s="1115"/>
      <c r="Q5755" s="1116"/>
      <c r="R5755" s="1141"/>
      <c r="S5755" s="1113"/>
      <c r="T5755" s="1143"/>
      <c r="U5755" s="1108"/>
      <c r="V5755" s="1108"/>
      <c r="W5755" s="1108"/>
      <c r="X5755" s="1108"/>
      <c r="Y5755" s="1108"/>
      <c r="Z5755" s="1114"/>
      <c r="AA5755" s="1114"/>
      <c r="AB5755" s="1114"/>
      <c r="AC5755" s="1117"/>
      <c r="AD5755" s="1115"/>
      <c r="AE5755" s="1115"/>
      <c r="AF5755" s="1115"/>
      <c r="AG5755" s="1115"/>
      <c r="AH5755" s="1115"/>
      <c r="AI5755" s="1115"/>
      <c r="AJ5755" s="1117"/>
      <c r="AK5755" s="1118"/>
      <c r="AL5755" s="1115"/>
      <c r="AM5755" s="1115"/>
      <c r="AN5755" s="1115"/>
      <c r="AO5755" s="1115"/>
      <c r="AP5755" s="1115"/>
      <c r="AQ5755" s="1115"/>
      <c r="AR5755" s="1115"/>
      <c r="AS5755" s="1117"/>
      <c r="AT5755" s="1075"/>
      <c r="AU5755" s="1193"/>
      <c r="AV5755" s="330"/>
      <c r="AW5755" s="331"/>
      <c r="AX5755" s="331"/>
      <c r="AY5755" s="331"/>
      <c r="AZ5755" s="331"/>
      <c r="BA5755" s="331"/>
      <c r="BB5755" s="331"/>
      <c r="BC5755" s="331"/>
      <c r="BD5755" s="331"/>
      <c r="BE5755" s="333"/>
      <c r="BF5755" s="330"/>
      <c r="BG5755" s="333"/>
      <c r="BH5755" s="1119"/>
      <c r="BI5755" s="319"/>
      <c r="BJ5755" s="319"/>
      <c r="BK5755" s="319"/>
      <c r="BL5755" s="319"/>
      <c r="BM5755" s="319"/>
      <c r="BN5755" s="319"/>
      <c r="BO5755" s="319"/>
      <c r="BP5755" s="953"/>
      <c r="BQ5755" s="319"/>
      <c r="BR5755" s="319"/>
      <c r="BS5755" s="330"/>
      <c r="BT5755" s="331"/>
      <c r="BU5755" s="920"/>
      <c r="BV5755" s="903"/>
      <c r="BW5755" s="908"/>
      <c r="BX5755" s="908"/>
      <c r="BY5755" s="331"/>
      <c r="BZ5755" s="331"/>
      <c r="CA5755" s="462"/>
      <c r="CB5755" s="319"/>
      <c r="CC5755" s="319"/>
      <c r="CD5755" s="319"/>
      <c r="CE5755" s="319"/>
      <c r="CF5755" s="319"/>
      <c r="CG5755" s="319"/>
      <c r="CH5755" s="318"/>
      <c r="CI5755" s="319"/>
      <c r="CJ5755" s="319"/>
      <c r="CK5755" s="342"/>
      <c r="CL5755" s="333"/>
      <c r="CM5755" s="1079"/>
      <c r="CN5755" s="1005"/>
      <c r="CO5755" s="1005"/>
      <c r="CP5755" s="1005"/>
    </row>
    <row r="5756">
      <c r="A5756" s="1257"/>
      <c r="B5756" s="1113"/>
      <c r="C5756" s="1107"/>
      <c r="D5756" s="103"/>
      <c r="E5756" s="1137"/>
      <c r="F5756" s="112"/>
      <c r="G5756" s="1110"/>
      <c r="H5756" s="1138"/>
      <c r="I5756" s="1138"/>
      <c r="J5756" s="1139"/>
      <c r="K5756" s="1111"/>
      <c r="L5756" s="1112"/>
      <c r="M5756" s="1113"/>
      <c r="N5756" s="110"/>
      <c r="O5756" s="1140"/>
      <c r="P5756" s="1115"/>
      <c r="Q5756" s="1116"/>
      <c r="R5756" s="1141"/>
      <c r="S5756" s="1113"/>
      <c r="T5756" s="1143"/>
      <c r="U5756" s="1108"/>
      <c r="V5756" s="1108"/>
      <c r="W5756" s="1108"/>
      <c r="X5756" s="1108"/>
      <c r="Y5756" s="1108"/>
      <c r="Z5756" s="1114"/>
      <c r="AA5756" s="1114"/>
      <c r="AB5756" s="1114"/>
      <c r="AC5756" s="1117"/>
      <c r="AD5756" s="1115"/>
      <c r="AE5756" s="1115"/>
      <c r="AF5756" s="1115"/>
      <c r="AG5756" s="1115"/>
      <c r="AH5756" s="1115"/>
      <c r="AI5756" s="1115"/>
      <c r="AJ5756" s="1117"/>
      <c r="AK5756" s="1118"/>
      <c r="AL5756" s="1115"/>
      <c r="AM5756" s="1115"/>
      <c r="AN5756" s="1115"/>
      <c r="AO5756" s="1115"/>
      <c r="AP5756" s="1115"/>
      <c r="AQ5756" s="1115"/>
      <c r="AR5756" s="1115"/>
      <c r="AS5756" s="1117"/>
      <c r="AT5756" s="1075"/>
      <c r="AU5756" s="1193"/>
      <c r="AV5756" s="330"/>
      <c r="AW5756" s="331"/>
      <c r="AX5756" s="331"/>
      <c r="AY5756" s="331"/>
      <c r="AZ5756" s="331"/>
      <c r="BA5756" s="331"/>
      <c r="BB5756" s="331"/>
      <c r="BC5756" s="331"/>
      <c r="BD5756" s="331"/>
      <c r="BE5756" s="333"/>
      <c r="BF5756" s="330"/>
      <c r="BG5756" s="333"/>
      <c r="BH5756" s="1119"/>
      <c r="BI5756" s="319"/>
      <c r="BJ5756" s="319"/>
      <c r="BK5756" s="319"/>
      <c r="BL5756" s="319"/>
      <c r="BM5756" s="319"/>
      <c r="BN5756" s="319"/>
      <c r="BO5756" s="319"/>
      <c r="BP5756" s="953"/>
      <c r="BQ5756" s="319"/>
      <c r="BR5756" s="319"/>
      <c r="BS5756" s="330"/>
      <c r="BT5756" s="331"/>
      <c r="BU5756" s="920"/>
      <c r="BV5756" s="903"/>
      <c r="BW5756" s="908"/>
      <c r="BX5756" s="908"/>
      <c r="BY5756" s="331"/>
      <c r="BZ5756" s="331"/>
      <c r="CA5756" s="462"/>
      <c r="CB5756" s="319"/>
      <c r="CC5756" s="319"/>
      <c r="CD5756" s="319"/>
      <c r="CE5756" s="319"/>
      <c r="CF5756" s="319"/>
      <c r="CG5756" s="319"/>
      <c r="CH5756" s="318"/>
      <c r="CI5756" s="319"/>
      <c r="CJ5756" s="319"/>
      <c r="CK5756" s="342"/>
      <c r="CL5756" s="333"/>
      <c r="CM5756" s="1079"/>
      <c r="CN5756" s="1005"/>
      <c r="CO5756" s="1005"/>
      <c r="CP5756" s="1005"/>
    </row>
    <row r="5757">
      <c r="A5757" s="1257"/>
      <c r="B5757" s="1113"/>
      <c r="C5757" s="1107"/>
      <c r="D5757" s="103"/>
      <c r="E5757" s="1137"/>
      <c r="F5757" s="112"/>
      <c r="G5757" s="1110"/>
      <c r="H5757" s="1138"/>
      <c r="I5757" s="1138"/>
      <c r="J5757" s="1139"/>
      <c r="K5757" s="1111"/>
      <c r="L5757" s="1112"/>
      <c r="M5757" s="1113"/>
      <c r="N5757" s="110"/>
      <c r="O5757" s="1140"/>
      <c r="P5757" s="1115"/>
      <c r="Q5757" s="1116"/>
      <c r="R5757" s="1141"/>
      <c r="S5757" s="1113"/>
      <c r="T5757" s="1143"/>
      <c r="U5757" s="1108"/>
      <c r="V5757" s="1108"/>
      <c r="W5757" s="1108"/>
      <c r="X5757" s="1108"/>
      <c r="Y5757" s="1108"/>
      <c r="Z5757" s="1114"/>
      <c r="AA5757" s="1114"/>
      <c r="AB5757" s="1114"/>
      <c r="AC5757" s="1117"/>
      <c r="AD5757" s="1115"/>
      <c r="AE5757" s="1115"/>
      <c r="AF5757" s="1115"/>
      <c r="AG5757" s="1115"/>
      <c r="AH5757" s="1115"/>
      <c r="AI5757" s="1115"/>
      <c r="AJ5757" s="1117"/>
      <c r="AK5757" s="1118"/>
      <c r="AL5757" s="1115"/>
      <c r="AM5757" s="1115"/>
      <c r="AN5757" s="1115"/>
      <c r="AO5757" s="1115"/>
      <c r="AP5757" s="1115"/>
      <c r="AQ5757" s="1115"/>
      <c r="AR5757" s="1115"/>
      <c r="AS5757" s="1117"/>
      <c r="AT5757" s="1075"/>
      <c r="AU5757" s="1193"/>
      <c r="AV5757" s="330"/>
      <c r="AW5757" s="331"/>
      <c r="AX5757" s="331"/>
      <c r="AY5757" s="331"/>
      <c r="AZ5757" s="331"/>
      <c r="BA5757" s="331"/>
      <c r="BB5757" s="331"/>
      <c r="BC5757" s="331"/>
      <c r="BD5757" s="331"/>
      <c r="BE5757" s="333"/>
      <c r="BF5757" s="330"/>
      <c r="BG5757" s="333"/>
      <c r="BH5757" s="1119"/>
      <c r="BI5757" s="319"/>
      <c r="BJ5757" s="319"/>
      <c r="BK5757" s="319"/>
      <c r="BL5757" s="319"/>
      <c r="BM5757" s="319"/>
      <c r="BN5757" s="319"/>
      <c r="BO5757" s="319"/>
      <c r="BP5757" s="953"/>
      <c r="BQ5757" s="319"/>
      <c r="BR5757" s="319"/>
      <c r="BS5757" s="330"/>
      <c r="BT5757" s="331"/>
      <c r="BU5757" s="920"/>
      <c r="BV5757" s="903"/>
      <c r="BW5757" s="908"/>
      <c r="BX5757" s="908"/>
      <c r="BY5757" s="331"/>
      <c r="BZ5757" s="331"/>
      <c r="CA5757" s="462"/>
      <c r="CB5757" s="319"/>
      <c r="CC5757" s="319"/>
      <c r="CD5757" s="319"/>
      <c r="CE5757" s="319"/>
      <c r="CF5757" s="319"/>
      <c r="CG5757" s="319"/>
      <c r="CH5757" s="318"/>
      <c r="CI5757" s="319"/>
      <c r="CJ5757" s="319"/>
      <c r="CK5757" s="342"/>
      <c r="CL5757" s="333"/>
      <c r="CM5757" s="1079"/>
      <c r="CN5757" s="1005"/>
      <c r="CO5757" s="1005"/>
      <c r="CP5757" s="1005"/>
    </row>
    <row r="5758">
      <c r="A5758" s="1257"/>
      <c r="B5758" s="1113"/>
      <c r="C5758" s="1107"/>
      <c r="D5758" s="103"/>
      <c r="E5758" s="1137"/>
      <c r="F5758" s="112"/>
      <c r="G5758" s="1110"/>
      <c r="H5758" s="1138"/>
      <c r="I5758" s="1138"/>
      <c r="J5758" s="1139"/>
      <c r="K5758" s="1111"/>
      <c r="L5758" s="1112"/>
      <c r="M5758" s="1113"/>
      <c r="N5758" s="110"/>
      <c r="O5758" s="1140"/>
      <c r="P5758" s="1115"/>
      <c r="Q5758" s="1116"/>
      <c r="R5758" s="1141"/>
      <c r="S5758" s="1113"/>
      <c r="T5758" s="1143"/>
      <c r="U5758" s="1108"/>
      <c r="V5758" s="1108"/>
      <c r="W5758" s="1108"/>
      <c r="X5758" s="1108"/>
      <c r="Y5758" s="1108"/>
      <c r="Z5758" s="1114"/>
      <c r="AA5758" s="1114"/>
      <c r="AB5758" s="1114"/>
      <c r="AC5758" s="1117"/>
      <c r="AD5758" s="1115"/>
      <c r="AE5758" s="1115"/>
      <c r="AF5758" s="1115"/>
      <c r="AG5758" s="1115"/>
      <c r="AH5758" s="1115"/>
      <c r="AI5758" s="1115"/>
      <c r="AJ5758" s="1117"/>
      <c r="AK5758" s="1118"/>
      <c r="AL5758" s="1115"/>
      <c r="AM5758" s="1115"/>
      <c r="AN5758" s="1115"/>
      <c r="AO5758" s="1115"/>
      <c r="AP5758" s="1115"/>
      <c r="AQ5758" s="1115"/>
      <c r="AR5758" s="1115"/>
      <c r="AS5758" s="1117"/>
      <c r="AT5758" s="1075"/>
      <c r="AU5758" s="1193"/>
      <c r="AV5758" s="330"/>
      <c r="AW5758" s="331"/>
      <c r="AX5758" s="331"/>
      <c r="AY5758" s="331"/>
      <c r="AZ5758" s="331"/>
      <c r="BA5758" s="331"/>
      <c r="BB5758" s="331"/>
      <c r="BC5758" s="331"/>
      <c r="BD5758" s="331"/>
      <c r="BE5758" s="333"/>
      <c r="BF5758" s="330"/>
      <c r="BG5758" s="333"/>
      <c r="BH5758" s="1119"/>
      <c r="BI5758" s="319"/>
      <c r="BJ5758" s="319"/>
      <c r="BK5758" s="319"/>
      <c r="BL5758" s="319"/>
      <c r="BM5758" s="319"/>
      <c r="BN5758" s="319"/>
      <c r="BO5758" s="319"/>
      <c r="BP5758" s="953"/>
      <c r="BQ5758" s="319"/>
      <c r="BR5758" s="319"/>
      <c r="BS5758" s="330"/>
      <c r="BT5758" s="331"/>
      <c r="BU5758" s="920"/>
      <c r="BV5758" s="903"/>
      <c r="BW5758" s="908"/>
      <c r="BX5758" s="908"/>
      <c r="BY5758" s="331"/>
      <c r="BZ5758" s="331"/>
      <c r="CA5758" s="462"/>
      <c r="CB5758" s="319"/>
      <c r="CC5758" s="319"/>
      <c r="CD5758" s="319"/>
      <c r="CE5758" s="319"/>
      <c r="CF5758" s="319"/>
      <c r="CG5758" s="319"/>
      <c r="CH5758" s="318"/>
      <c r="CI5758" s="319"/>
      <c r="CJ5758" s="319"/>
      <c r="CK5758" s="342"/>
      <c r="CL5758" s="333"/>
      <c r="CM5758" s="1079"/>
      <c r="CN5758" s="1005"/>
      <c r="CO5758" s="1005"/>
      <c r="CP5758" s="1005"/>
    </row>
    <row r="5759">
      <c r="A5759" s="1257"/>
      <c r="B5759" s="1113"/>
      <c r="C5759" s="1107"/>
      <c r="D5759" s="103"/>
      <c r="E5759" s="1137"/>
      <c r="F5759" s="112"/>
      <c r="G5759" s="1110"/>
      <c r="H5759" s="1138"/>
      <c r="I5759" s="1138"/>
      <c r="J5759" s="1139"/>
      <c r="K5759" s="1111"/>
      <c r="L5759" s="1112"/>
      <c r="M5759" s="1113"/>
      <c r="N5759" s="110"/>
      <c r="O5759" s="1140"/>
      <c r="P5759" s="1115"/>
      <c r="Q5759" s="1116"/>
      <c r="R5759" s="1141"/>
      <c r="S5759" s="1113"/>
      <c r="T5759" s="1143"/>
      <c r="U5759" s="1108"/>
      <c r="V5759" s="1108"/>
      <c r="W5759" s="1108"/>
      <c r="X5759" s="1108"/>
      <c r="Y5759" s="1108"/>
      <c r="Z5759" s="1114"/>
      <c r="AA5759" s="1114"/>
      <c r="AB5759" s="1114"/>
      <c r="AC5759" s="1117"/>
      <c r="AD5759" s="1115"/>
      <c r="AE5759" s="1115"/>
      <c r="AF5759" s="1115"/>
      <c r="AG5759" s="1115"/>
      <c r="AH5759" s="1115"/>
      <c r="AI5759" s="1115"/>
      <c r="AJ5759" s="1117"/>
      <c r="AK5759" s="1118"/>
      <c r="AL5759" s="1115"/>
      <c r="AM5759" s="1115"/>
      <c r="AN5759" s="1115"/>
      <c r="AO5759" s="1115"/>
      <c r="AP5759" s="1115"/>
      <c r="AQ5759" s="1115"/>
      <c r="AR5759" s="1115"/>
      <c r="AS5759" s="1117"/>
      <c r="AT5759" s="1075"/>
      <c r="AU5759" s="1193"/>
      <c r="AV5759" s="330"/>
      <c r="AW5759" s="331"/>
      <c r="AX5759" s="331"/>
      <c r="AY5759" s="331"/>
      <c r="AZ5759" s="331"/>
      <c r="BA5759" s="331"/>
      <c r="BB5759" s="331"/>
      <c r="BC5759" s="331"/>
      <c r="BD5759" s="331"/>
      <c r="BE5759" s="333"/>
      <c r="BF5759" s="330"/>
      <c r="BG5759" s="333"/>
      <c r="BH5759" s="1119"/>
      <c r="BI5759" s="319"/>
      <c r="BJ5759" s="319"/>
      <c r="BK5759" s="319"/>
      <c r="BL5759" s="319"/>
      <c r="BM5759" s="319"/>
      <c r="BN5759" s="319"/>
      <c r="BO5759" s="319"/>
      <c r="BP5759" s="953"/>
      <c r="BQ5759" s="319"/>
      <c r="BR5759" s="319"/>
      <c r="BS5759" s="330"/>
      <c r="BT5759" s="331"/>
      <c r="BU5759" s="920"/>
      <c r="BV5759" s="903"/>
      <c r="BW5759" s="908"/>
      <c r="BX5759" s="908"/>
      <c r="BY5759" s="331"/>
      <c r="BZ5759" s="331"/>
      <c r="CA5759" s="462"/>
      <c r="CB5759" s="319"/>
      <c r="CC5759" s="319"/>
      <c r="CD5759" s="319"/>
      <c r="CE5759" s="319"/>
      <c r="CF5759" s="319"/>
      <c r="CG5759" s="319"/>
      <c r="CH5759" s="318"/>
      <c r="CI5759" s="319"/>
      <c r="CJ5759" s="319"/>
      <c r="CK5759" s="342"/>
      <c r="CL5759" s="333"/>
      <c r="CM5759" s="1079"/>
      <c r="CN5759" s="1005"/>
      <c r="CO5759" s="1005"/>
      <c r="CP5759" s="1005"/>
    </row>
    <row r="5760">
      <c r="A5760" s="1257"/>
      <c r="B5760" s="1113"/>
      <c r="C5760" s="1107"/>
      <c r="D5760" s="103"/>
      <c r="E5760" s="1137"/>
      <c r="F5760" s="112"/>
      <c r="G5760" s="1110"/>
      <c r="H5760" s="1138"/>
      <c r="I5760" s="1138"/>
      <c r="J5760" s="1139"/>
      <c r="K5760" s="1111"/>
      <c r="L5760" s="1112"/>
      <c r="M5760" s="1113"/>
      <c r="N5760" s="110"/>
      <c r="O5760" s="1140"/>
      <c r="P5760" s="1115"/>
      <c r="Q5760" s="1116"/>
      <c r="R5760" s="1141"/>
      <c r="S5760" s="1113"/>
      <c r="T5760" s="1143"/>
      <c r="U5760" s="1108"/>
      <c r="V5760" s="1108"/>
      <c r="W5760" s="1108"/>
      <c r="X5760" s="1108"/>
      <c r="Y5760" s="1108"/>
      <c r="Z5760" s="1114"/>
      <c r="AA5760" s="1114"/>
      <c r="AB5760" s="1114"/>
      <c r="AC5760" s="1117"/>
      <c r="AD5760" s="1115"/>
      <c r="AE5760" s="1115"/>
      <c r="AF5760" s="1115"/>
      <c r="AG5760" s="1115"/>
      <c r="AH5760" s="1115"/>
      <c r="AI5760" s="1115"/>
      <c r="AJ5760" s="1117"/>
      <c r="AK5760" s="1118"/>
      <c r="AL5760" s="1115"/>
      <c r="AM5760" s="1115"/>
      <c r="AN5760" s="1115"/>
      <c r="AO5760" s="1115"/>
      <c r="AP5760" s="1115"/>
      <c r="AQ5760" s="1115"/>
      <c r="AR5760" s="1115"/>
      <c r="AS5760" s="1117"/>
      <c r="AT5760" s="1075"/>
      <c r="AU5760" s="1193"/>
      <c r="AV5760" s="330"/>
      <c r="AW5760" s="331"/>
      <c r="AX5760" s="331"/>
      <c r="AY5760" s="331"/>
      <c r="AZ5760" s="331"/>
      <c r="BA5760" s="331"/>
      <c r="BB5760" s="331"/>
      <c r="BC5760" s="331"/>
      <c r="BD5760" s="331"/>
      <c r="BE5760" s="333"/>
      <c r="BF5760" s="330"/>
      <c r="BG5760" s="333"/>
      <c r="BH5760" s="1119"/>
      <c r="BI5760" s="319"/>
      <c r="BJ5760" s="319"/>
      <c r="BK5760" s="319"/>
      <c r="BL5760" s="319"/>
      <c r="BM5760" s="319"/>
      <c r="BN5760" s="319"/>
      <c r="BO5760" s="319"/>
      <c r="BP5760" s="953"/>
      <c r="BQ5760" s="319"/>
      <c r="BR5760" s="319"/>
      <c r="BS5760" s="330"/>
      <c r="BT5760" s="331"/>
      <c r="BU5760" s="920"/>
      <c r="BV5760" s="903"/>
      <c r="BW5760" s="908"/>
      <c r="BX5760" s="908"/>
      <c r="BY5760" s="331"/>
      <c r="BZ5760" s="331"/>
      <c r="CA5760" s="462"/>
      <c r="CB5760" s="319"/>
      <c r="CC5760" s="319"/>
      <c r="CD5760" s="319"/>
      <c r="CE5760" s="319"/>
      <c r="CF5760" s="319"/>
      <c r="CG5760" s="319"/>
      <c r="CH5760" s="318"/>
      <c r="CI5760" s="319"/>
      <c r="CJ5760" s="319"/>
      <c r="CK5760" s="342"/>
      <c r="CL5760" s="333"/>
      <c r="CM5760" s="1079"/>
      <c r="CN5760" s="1005"/>
      <c r="CO5760" s="1005"/>
      <c r="CP5760" s="1005"/>
    </row>
    <row r="5761">
      <c r="A5761" s="1257"/>
      <c r="B5761" s="1113"/>
      <c r="C5761" s="1107"/>
      <c r="D5761" s="103"/>
      <c r="E5761" s="1137"/>
      <c r="F5761" s="112"/>
      <c r="G5761" s="1110"/>
      <c r="H5761" s="1138"/>
      <c r="I5761" s="1138"/>
      <c r="J5761" s="1139"/>
      <c r="K5761" s="1111"/>
      <c r="L5761" s="1112"/>
      <c r="M5761" s="1113"/>
      <c r="N5761" s="110"/>
      <c r="O5761" s="1140"/>
      <c r="P5761" s="1115"/>
      <c r="Q5761" s="1116"/>
      <c r="R5761" s="1141"/>
      <c r="S5761" s="1113"/>
      <c r="T5761" s="1143"/>
      <c r="U5761" s="1108"/>
      <c r="V5761" s="1108"/>
      <c r="W5761" s="1108"/>
      <c r="X5761" s="1108"/>
      <c r="Y5761" s="1108"/>
      <c r="Z5761" s="1114"/>
      <c r="AA5761" s="1114"/>
      <c r="AB5761" s="1114"/>
      <c r="AC5761" s="1117"/>
      <c r="AD5761" s="1115"/>
      <c r="AE5761" s="1115"/>
      <c r="AF5761" s="1115"/>
      <c r="AG5761" s="1115"/>
      <c r="AH5761" s="1115"/>
      <c r="AI5761" s="1115"/>
      <c r="AJ5761" s="1117"/>
      <c r="AK5761" s="1118"/>
      <c r="AL5761" s="1115"/>
      <c r="AM5761" s="1115"/>
      <c r="AN5761" s="1115"/>
      <c r="AO5761" s="1115"/>
      <c r="AP5761" s="1115"/>
      <c r="AQ5761" s="1115"/>
      <c r="AR5761" s="1115"/>
      <c r="AS5761" s="1117"/>
      <c r="AT5761" s="1075"/>
      <c r="AU5761" s="1193"/>
      <c r="AV5761" s="330"/>
      <c r="AW5761" s="331"/>
      <c r="AX5761" s="331"/>
      <c r="AY5761" s="331"/>
      <c r="AZ5761" s="331"/>
      <c r="BA5761" s="331"/>
      <c r="BB5761" s="331"/>
      <c r="BC5761" s="331"/>
      <c r="BD5761" s="331"/>
      <c r="BE5761" s="333"/>
      <c r="BF5761" s="330"/>
      <c r="BG5761" s="333"/>
      <c r="BH5761" s="1119"/>
      <c r="BI5761" s="319"/>
      <c r="BJ5761" s="319"/>
      <c r="BK5761" s="319"/>
      <c r="BL5761" s="319"/>
      <c r="BM5761" s="319"/>
      <c r="BN5761" s="319"/>
      <c r="BO5761" s="319"/>
      <c r="BP5761" s="953"/>
      <c r="BQ5761" s="319"/>
      <c r="BR5761" s="319"/>
      <c r="BS5761" s="330"/>
      <c r="BT5761" s="331"/>
      <c r="BU5761" s="920"/>
      <c r="BV5761" s="903"/>
      <c r="BW5761" s="908"/>
      <c r="BX5761" s="908"/>
      <c r="BY5761" s="331"/>
      <c r="BZ5761" s="331"/>
      <c r="CA5761" s="462"/>
      <c r="CB5761" s="319"/>
      <c r="CC5761" s="319"/>
      <c r="CD5761" s="319"/>
      <c r="CE5761" s="319"/>
      <c r="CF5761" s="319"/>
      <c r="CG5761" s="319"/>
      <c r="CH5761" s="318"/>
      <c r="CI5761" s="319"/>
      <c r="CJ5761" s="319"/>
      <c r="CK5761" s="342"/>
      <c r="CL5761" s="333"/>
      <c r="CM5761" s="1079"/>
      <c r="CN5761" s="1005"/>
      <c r="CO5761" s="1005"/>
      <c r="CP5761" s="1005"/>
    </row>
    <row r="5762">
      <c r="A5762" s="1257"/>
      <c r="B5762" s="1113"/>
      <c r="C5762" s="1107"/>
      <c r="D5762" s="103"/>
      <c r="E5762" s="1137"/>
      <c r="F5762" s="112"/>
      <c r="G5762" s="1110"/>
      <c r="H5762" s="1138"/>
      <c r="I5762" s="1138"/>
      <c r="J5762" s="1139"/>
      <c r="K5762" s="1111"/>
      <c r="L5762" s="1112"/>
      <c r="M5762" s="1113"/>
      <c r="N5762" s="110"/>
      <c r="O5762" s="1140"/>
      <c r="P5762" s="1115"/>
      <c r="Q5762" s="1116"/>
      <c r="R5762" s="1141"/>
      <c r="S5762" s="1113"/>
      <c r="T5762" s="1143"/>
      <c r="U5762" s="1108"/>
      <c r="V5762" s="1108"/>
      <c r="W5762" s="1108"/>
      <c r="X5762" s="1108"/>
      <c r="Y5762" s="1108"/>
      <c r="Z5762" s="1114"/>
      <c r="AA5762" s="1114"/>
      <c r="AB5762" s="1114"/>
      <c r="AC5762" s="1117"/>
      <c r="AD5762" s="1115"/>
      <c r="AE5762" s="1115"/>
      <c r="AF5762" s="1115"/>
      <c r="AG5762" s="1115"/>
      <c r="AH5762" s="1115"/>
      <c r="AI5762" s="1115"/>
      <c r="AJ5762" s="1117"/>
      <c r="AK5762" s="1118"/>
      <c r="AL5762" s="1115"/>
      <c r="AM5762" s="1115"/>
      <c r="AN5762" s="1115"/>
      <c r="AO5762" s="1115"/>
      <c r="AP5762" s="1115"/>
      <c r="AQ5762" s="1115"/>
      <c r="AR5762" s="1115"/>
      <c r="AS5762" s="1117"/>
      <c r="AT5762" s="1075"/>
      <c r="AU5762" s="1193"/>
      <c r="AV5762" s="330"/>
      <c r="AW5762" s="331"/>
      <c r="AX5762" s="331"/>
      <c r="AY5762" s="331"/>
      <c r="AZ5762" s="331"/>
      <c r="BA5762" s="331"/>
      <c r="BB5762" s="331"/>
      <c r="BC5762" s="331"/>
      <c r="BD5762" s="331"/>
      <c r="BE5762" s="333"/>
      <c r="BF5762" s="330"/>
      <c r="BG5762" s="333"/>
      <c r="BH5762" s="1119"/>
      <c r="BI5762" s="319"/>
      <c r="BJ5762" s="319"/>
      <c r="BK5762" s="319"/>
      <c r="BL5762" s="319"/>
      <c r="BM5762" s="319"/>
      <c r="BN5762" s="319"/>
      <c r="BO5762" s="319"/>
      <c r="BP5762" s="953"/>
      <c r="BQ5762" s="319"/>
      <c r="BR5762" s="319"/>
      <c r="BS5762" s="330"/>
      <c r="BT5762" s="331"/>
      <c r="BU5762" s="920"/>
      <c r="BV5762" s="903"/>
      <c r="BW5762" s="908"/>
      <c r="BX5762" s="908"/>
      <c r="BY5762" s="331"/>
      <c r="BZ5762" s="331"/>
      <c r="CA5762" s="462"/>
      <c r="CB5762" s="319"/>
      <c r="CC5762" s="319"/>
      <c r="CD5762" s="319"/>
      <c r="CE5762" s="319"/>
      <c r="CF5762" s="319"/>
      <c r="CG5762" s="319"/>
      <c r="CH5762" s="318"/>
      <c r="CI5762" s="319"/>
      <c r="CJ5762" s="319"/>
      <c r="CK5762" s="342"/>
      <c r="CL5762" s="333"/>
      <c r="CM5762" s="1079"/>
      <c r="CN5762" s="1005"/>
      <c r="CO5762" s="1005"/>
      <c r="CP5762" s="1005"/>
    </row>
    <row r="5763">
      <c r="A5763" s="1257"/>
      <c r="B5763" s="1113"/>
      <c r="C5763" s="1107"/>
      <c r="D5763" s="103"/>
      <c r="E5763" s="1137"/>
      <c r="F5763" s="112"/>
      <c r="G5763" s="1110"/>
      <c r="H5763" s="1138"/>
      <c r="I5763" s="1138"/>
      <c r="J5763" s="1139"/>
      <c r="K5763" s="1111"/>
      <c r="L5763" s="1112"/>
      <c r="M5763" s="1113"/>
      <c r="N5763" s="110"/>
      <c r="O5763" s="1140"/>
      <c r="P5763" s="1115"/>
      <c r="Q5763" s="1116"/>
      <c r="R5763" s="1141"/>
      <c r="S5763" s="1113"/>
      <c r="T5763" s="1143"/>
      <c r="U5763" s="1108"/>
      <c r="V5763" s="1108"/>
      <c r="W5763" s="1108"/>
      <c r="X5763" s="1108"/>
      <c r="Y5763" s="1108"/>
      <c r="Z5763" s="1114"/>
      <c r="AA5763" s="1114"/>
      <c r="AB5763" s="1114"/>
      <c r="AC5763" s="1117"/>
      <c r="AD5763" s="1115"/>
      <c r="AE5763" s="1115"/>
      <c r="AF5763" s="1115"/>
      <c r="AG5763" s="1115"/>
      <c r="AH5763" s="1115"/>
      <c r="AI5763" s="1115"/>
      <c r="AJ5763" s="1117"/>
      <c r="AK5763" s="1118"/>
      <c r="AL5763" s="1115"/>
      <c r="AM5763" s="1115"/>
      <c r="AN5763" s="1115"/>
      <c r="AO5763" s="1115"/>
      <c r="AP5763" s="1115"/>
      <c r="AQ5763" s="1115"/>
      <c r="AR5763" s="1115"/>
      <c r="AS5763" s="1117"/>
      <c r="AT5763" s="1075"/>
      <c r="AU5763" s="1193"/>
      <c r="AV5763" s="330"/>
      <c r="AW5763" s="331"/>
      <c r="AX5763" s="331"/>
      <c r="AY5763" s="331"/>
      <c r="AZ5763" s="331"/>
      <c r="BA5763" s="331"/>
      <c r="BB5763" s="331"/>
      <c r="BC5763" s="331"/>
      <c r="BD5763" s="331"/>
      <c r="BE5763" s="333"/>
      <c r="BF5763" s="330"/>
      <c r="BG5763" s="333"/>
      <c r="BH5763" s="1119"/>
      <c r="BI5763" s="319"/>
      <c r="BJ5763" s="319"/>
      <c r="BK5763" s="319"/>
      <c r="BL5763" s="319"/>
      <c r="BM5763" s="319"/>
      <c r="BN5763" s="319"/>
      <c r="BO5763" s="319"/>
      <c r="BP5763" s="953"/>
      <c r="BQ5763" s="319"/>
      <c r="BR5763" s="319"/>
      <c r="BS5763" s="330"/>
      <c r="BT5763" s="331"/>
      <c r="BU5763" s="920"/>
      <c r="BV5763" s="903"/>
      <c r="BW5763" s="908"/>
      <c r="BX5763" s="908"/>
      <c r="BY5763" s="331"/>
      <c r="BZ5763" s="331"/>
      <c r="CA5763" s="462"/>
      <c r="CB5763" s="319"/>
      <c r="CC5763" s="319"/>
      <c r="CD5763" s="319"/>
      <c r="CE5763" s="319"/>
      <c r="CF5763" s="319"/>
      <c r="CG5763" s="319"/>
      <c r="CH5763" s="318"/>
      <c r="CI5763" s="319"/>
      <c r="CJ5763" s="319"/>
      <c r="CK5763" s="342"/>
      <c r="CL5763" s="333"/>
      <c r="CM5763" s="1079"/>
      <c r="CN5763" s="1005"/>
      <c r="CO5763" s="1005"/>
      <c r="CP5763" s="1005"/>
    </row>
    <row r="5764">
      <c r="A5764" s="1257"/>
      <c r="B5764" s="1113"/>
      <c r="C5764" s="1107"/>
      <c r="D5764" s="103"/>
      <c r="E5764" s="1137"/>
      <c r="F5764" s="112"/>
      <c r="G5764" s="1110"/>
      <c r="H5764" s="1138"/>
      <c r="I5764" s="1138"/>
      <c r="J5764" s="1139"/>
      <c r="K5764" s="1111"/>
      <c r="L5764" s="1112"/>
      <c r="M5764" s="1113"/>
      <c r="N5764" s="110"/>
      <c r="O5764" s="1140"/>
      <c r="P5764" s="1115"/>
      <c r="Q5764" s="1116"/>
      <c r="R5764" s="1141"/>
      <c r="S5764" s="1113"/>
      <c r="T5764" s="1143"/>
      <c r="U5764" s="1108"/>
      <c r="V5764" s="1108"/>
      <c r="W5764" s="1108"/>
      <c r="X5764" s="1108"/>
      <c r="Y5764" s="1108"/>
      <c r="Z5764" s="1114"/>
      <c r="AA5764" s="1114"/>
      <c r="AB5764" s="1114"/>
      <c r="AC5764" s="1117"/>
      <c r="AD5764" s="1115"/>
      <c r="AE5764" s="1115"/>
      <c r="AF5764" s="1115"/>
      <c r="AG5764" s="1115"/>
      <c r="AH5764" s="1115"/>
      <c r="AI5764" s="1115"/>
      <c r="AJ5764" s="1117"/>
      <c r="AK5764" s="1118"/>
      <c r="AL5764" s="1115"/>
      <c r="AM5764" s="1115"/>
      <c r="AN5764" s="1115"/>
      <c r="AO5764" s="1115"/>
      <c r="AP5764" s="1115"/>
      <c r="AQ5764" s="1115"/>
      <c r="AR5764" s="1115"/>
      <c r="AS5764" s="1117"/>
      <c r="AT5764" s="1075"/>
      <c r="AU5764" s="1193"/>
      <c r="AV5764" s="330"/>
      <c r="AW5764" s="331"/>
      <c r="AX5764" s="331"/>
      <c r="AY5764" s="331"/>
      <c r="AZ5764" s="331"/>
      <c r="BA5764" s="331"/>
      <c r="BB5764" s="331"/>
      <c r="BC5764" s="331"/>
      <c r="BD5764" s="331"/>
      <c r="BE5764" s="333"/>
      <c r="BF5764" s="330"/>
      <c r="BG5764" s="333"/>
      <c r="BH5764" s="1119"/>
      <c r="BI5764" s="319"/>
      <c r="BJ5764" s="319"/>
      <c r="BK5764" s="319"/>
      <c r="BL5764" s="319"/>
      <c r="BM5764" s="319"/>
      <c r="BN5764" s="319"/>
      <c r="BO5764" s="319"/>
      <c r="BP5764" s="953"/>
      <c r="BQ5764" s="319"/>
      <c r="BR5764" s="319"/>
      <c r="BS5764" s="330"/>
      <c r="BT5764" s="331"/>
      <c r="BU5764" s="920"/>
      <c r="BV5764" s="903"/>
      <c r="BW5764" s="908"/>
      <c r="BX5764" s="908"/>
      <c r="BY5764" s="331"/>
      <c r="BZ5764" s="331"/>
      <c r="CA5764" s="462"/>
      <c r="CB5764" s="319"/>
      <c r="CC5764" s="319"/>
      <c r="CD5764" s="319"/>
      <c r="CE5764" s="319"/>
      <c r="CF5764" s="319"/>
      <c r="CG5764" s="319"/>
      <c r="CH5764" s="318"/>
      <c r="CI5764" s="319"/>
      <c r="CJ5764" s="319"/>
      <c r="CK5764" s="342"/>
      <c r="CL5764" s="333"/>
      <c r="CM5764" s="1079"/>
      <c r="CN5764" s="1005"/>
      <c r="CO5764" s="1005"/>
      <c r="CP5764" s="1005"/>
    </row>
    <row r="5765">
      <c r="A5765" s="1257"/>
      <c r="B5765" s="1113"/>
      <c r="C5765" s="1107"/>
      <c r="D5765" s="103"/>
      <c r="E5765" s="1137"/>
      <c r="F5765" s="112"/>
      <c r="G5765" s="1110"/>
      <c r="H5765" s="1138"/>
      <c r="I5765" s="1138"/>
      <c r="J5765" s="1139"/>
      <c r="K5765" s="1111"/>
      <c r="L5765" s="1112"/>
      <c r="M5765" s="1113"/>
      <c r="N5765" s="110"/>
      <c r="O5765" s="1140"/>
      <c r="P5765" s="1115"/>
      <c r="Q5765" s="1116"/>
      <c r="R5765" s="1141"/>
      <c r="S5765" s="1113"/>
      <c r="T5765" s="1143"/>
      <c r="U5765" s="1108"/>
      <c r="V5765" s="1108"/>
      <c r="W5765" s="1108"/>
      <c r="X5765" s="1108"/>
      <c r="Y5765" s="1108"/>
      <c r="Z5765" s="1114"/>
      <c r="AA5765" s="1114"/>
      <c r="AB5765" s="1114"/>
      <c r="AC5765" s="1117"/>
      <c r="AD5765" s="1115"/>
      <c r="AE5765" s="1115"/>
      <c r="AF5765" s="1115"/>
      <c r="AG5765" s="1115"/>
      <c r="AH5765" s="1115"/>
      <c r="AI5765" s="1115"/>
      <c r="AJ5765" s="1117"/>
      <c r="AK5765" s="1118"/>
      <c r="AL5765" s="1115"/>
      <c r="AM5765" s="1115"/>
      <c r="AN5765" s="1115"/>
      <c r="AO5765" s="1115"/>
      <c r="AP5765" s="1115"/>
      <c r="AQ5765" s="1115"/>
      <c r="AR5765" s="1115"/>
      <c r="AS5765" s="1117"/>
      <c r="AT5765" s="1075"/>
      <c r="AU5765" s="1193"/>
      <c r="AV5765" s="330"/>
      <c r="AW5765" s="331"/>
      <c r="AX5765" s="331"/>
      <c r="AY5765" s="331"/>
      <c r="AZ5765" s="331"/>
      <c r="BA5765" s="331"/>
      <c r="BB5765" s="331"/>
      <c r="BC5765" s="331"/>
      <c r="BD5765" s="331"/>
      <c r="BE5765" s="333"/>
      <c r="BF5765" s="330"/>
      <c r="BG5765" s="333"/>
      <c r="BH5765" s="1119"/>
      <c r="BI5765" s="319"/>
      <c r="BJ5765" s="319"/>
      <c r="BK5765" s="319"/>
      <c r="BL5765" s="319"/>
      <c r="BM5765" s="319"/>
      <c r="BN5765" s="319"/>
      <c r="BO5765" s="319"/>
      <c r="BP5765" s="953"/>
      <c r="BQ5765" s="319"/>
      <c r="BR5765" s="319"/>
      <c r="BS5765" s="330"/>
      <c r="BT5765" s="331"/>
      <c r="BU5765" s="920"/>
      <c r="BV5765" s="903"/>
      <c r="BW5765" s="908"/>
      <c r="BX5765" s="908"/>
      <c r="BY5765" s="331"/>
      <c r="BZ5765" s="331"/>
      <c r="CA5765" s="462"/>
      <c r="CB5765" s="319"/>
      <c r="CC5765" s="319"/>
      <c r="CD5765" s="319"/>
      <c r="CE5765" s="319"/>
      <c r="CF5765" s="319"/>
      <c r="CG5765" s="319"/>
      <c r="CH5765" s="318"/>
      <c r="CI5765" s="319"/>
      <c r="CJ5765" s="319"/>
      <c r="CK5765" s="342"/>
      <c r="CL5765" s="333"/>
      <c r="CM5765" s="1079"/>
      <c r="CN5765" s="1005"/>
      <c r="CO5765" s="1005"/>
      <c r="CP5765" s="1005"/>
    </row>
    <row r="5766">
      <c r="A5766" s="1257"/>
      <c r="B5766" s="1113"/>
      <c r="C5766" s="1107"/>
      <c r="D5766" s="103"/>
      <c r="E5766" s="1137"/>
      <c r="F5766" s="112"/>
      <c r="G5766" s="1110"/>
      <c r="H5766" s="1138"/>
      <c r="I5766" s="1138"/>
      <c r="J5766" s="1139"/>
      <c r="K5766" s="1111"/>
      <c r="L5766" s="1112"/>
      <c r="M5766" s="1113"/>
      <c r="N5766" s="110"/>
      <c r="O5766" s="1140"/>
      <c r="P5766" s="1115"/>
      <c r="Q5766" s="1116"/>
      <c r="R5766" s="1141"/>
      <c r="S5766" s="1113"/>
      <c r="T5766" s="1143"/>
      <c r="U5766" s="1108"/>
      <c r="V5766" s="1108"/>
      <c r="W5766" s="1108"/>
      <c r="X5766" s="1108"/>
      <c r="Y5766" s="1108"/>
      <c r="Z5766" s="1114"/>
      <c r="AA5766" s="1114"/>
      <c r="AB5766" s="1114"/>
      <c r="AC5766" s="1117"/>
      <c r="AD5766" s="1115"/>
      <c r="AE5766" s="1115"/>
      <c r="AF5766" s="1115"/>
      <c r="AG5766" s="1115"/>
      <c r="AH5766" s="1115"/>
      <c r="AI5766" s="1115"/>
      <c r="AJ5766" s="1117"/>
      <c r="AK5766" s="1118"/>
      <c r="AL5766" s="1115"/>
      <c r="AM5766" s="1115"/>
      <c r="AN5766" s="1115"/>
      <c r="AO5766" s="1115"/>
      <c r="AP5766" s="1115"/>
      <c r="AQ5766" s="1115"/>
      <c r="AR5766" s="1115"/>
      <c r="AS5766" s="1117"/>
      <c r="AT5766" s="1075"/>
      <c r="AU5766" s="1193"/>
      <c r="AV5766" s="330"/>
      <c r="AW5766" s="331"/>
      <c r="AX5766" s="331"/>
      <c r="AY5766" s="331"/>
      <c r="AZ5766" s="331"/>
      <c r="BA5766" s="331"/>
      <c r="BB5766" s="331"/>
      <c r="BC5766" s="331"/>
      <c r="BD5766" s="331"/>
      <c r="BE5766" s="333"/>
      <c r="BF5766" s="330"/>
      <c r="BG5766" s="333"/>
      <c r="BH5766" s="1119"/>
      <c r="BI5766" s="319"/>
      <c r="BJ5766" s="319"/>
      <c r="BK5766" s="319"/>
      <c r="BL5766" s="319"/>
      <c r="BM5766" s="319"/>
      <c r="BN5766" s="319"/>
      <c r="BO5766" s="319"/>
      <c r="BP5766" s="953"/>
      <c r="BQ5766" s="319"/>
      <c r="BR5766" s="319"/>
      <c r="BS5766" s="330"/>
      <c r="BT5766" s="331"/>
      <c r="BU5766" s="920"/>
      <c r="BV5766" s="903"/>
      <c r="BW5766" s="908"/>
      <c r="BX5766" s="908"/>
      <c r="BY5766" s="331"/>
      <c r="BZ5766" s="331"/>
      <c r="CA5766" s="462"/>
      <c r="CB5766" s="319"/>
      <c r="CC5766" s="319"/>
      <c r="CD5766" s="319"/>
      <c r="CE5766" s="319"/>
      <c r="CF5766" s="319"/>
      <c r="CG5766" s="319"/>
      <c r="CH5766" s="318"/>
      <c r="CI5766" s="319"/>
      <c r="CJ5766" s="319"/>
      <c r="CK5766" s="342"/>
      <c r="CL5766" s="333"/>
      <c r="CM5766" s="1079"/>
      <c r="CN5766" s="1005"/>
      <c r="CO5766" s="1005"/>
      <c r="CP5766" s="1005"/>
    </row>
    <row r="5767">
      <c r="A5767" s="1257"/>
      <c r="B5767" s="1113"/>
      <c r="C5767" s="1107"/>
      <c r="D5767" s="103"/>
      <c r="E5767" s="1137"/>
      <c r="F5767" s="112"/>
      <c r="G5767" s="1110"/>
      <c r="H5767" s="1138"/>
      <c r="I5767" s="1138"/>
      <c r="J5767" s="1139"/>
      <c r="K5767" s="1111"/>
      <c r="L5767" s="1112"/>
      <c r="M5767" s="1113"/>
      <c r="N5767" s="110"/>
      <c r="O5767" s="1140"/>
      <c r="P5767" s="1115"/>
      <c r="Q5767" s="1116"/>
      <c r="R5767" s="1141"/>
      <c r="S5767" s="1113"/>
      <c r="T5767" s="1143"/>
      <c r="U5767" s="1108"/>
      <c r="V5767" s="1108"/>
      <c r="W5767" s="1108"/>
      <c r="X5767" s="1108"/>
      <c r="Y5767" s="1108"/>
      <c r="Z5767" s="1114"/>
      <c r="AA5767" s="1114"/>
      <c r="AB5767" s="1114"/>
      <c r="AC5767" s="1117"/>
      <c r="AD5767" s="1115"/>
      <c r="AE5767" s="1115"/>
      <c r="AF5767" s="1115"/>
      <c r="AG5767" s="1115"/>
      <c r="AH5767" s="1115"/>
      <c r="AI5767" s="1115"/>
      <c r="AJ5767" s="1117"/>
      <c r="AK5767" s="1118"/>
      <c r="AL5767" s="1115"/>
      <c r="AM5767" s="1115"/>
      <c r="AN5767" s="1115"/>
      <c r="AO5767" s="1115"/>
      <c r="AP5767" s="1115"/>
      <c r="AQ5767" s="1115"/>
      <c r="AR5767" s="1115"/>
      <c r="AS5767" s="1117"/>
      <c r="AT5767" s="1075"/>
      <c r="AU5767" s="1193"/>
      <c r="AV5767" s="330"/>
      <c r="AW5767" s="331"/>
      <c r="AX5767" s="331"/>
      <c r="AY5767" s="331"/>
      <c r="AZ5767" s="331"/>
      <c r="BA5767" s="331"/>
      <c r="BB5767" s="331"/>
      <c r="BC5767" s="331"/>
      <c r="BD5767" s="331"/>
      <c r="BE5767" s="333"/>
      <c r="BF5767" s="330"/>
      <c r="BG5767" s="333"/>
      <c r="BH5767" s="1119"/>
      <c r="BI5767" s="319"/>
      <c r="BJ5767" s="319"/>
      <c r="BK5767" s="319"/>
      <c r="BL5767" s="319"/>
      <c r="BM5767" s="319"/>
      <c r="BN5767" s="319"/>
      <c r="BO5767" s="319"/>
      <c r="BP5767" s="953"/>
      <c r="BQ5767" s="319"/>
      <c r="BR5767" s="319"/>
      <c r="BS5767" s="330"/>
      <c r="BT5767" s="331"/>
      <c r="BU5767" s="920"/>
      <c r="BV5767" s="903"/>
      <c r="BW5767" s="908"/>
      <c r="BX5767" s="908"/>
      <c r="BY5767" s="331"/>
      <c r="BZ5767" s="331"/>
      <c r="CA5767" s="462"/>
      <c r="CB5767" s="319"/>
      <c r="CC5767" s="319"/>
      <c r="CD5767" s="319"/>
      <c r="CE5767" s="319"/>
      <c r="CF5767" s="319"/>
      <c r="CG5767" s="319"/>
      <c r="CH5767" s="318"/>
      <c r="CI5767" s="319"/>
      <c r="CJ5767" s="319"/>
      <c r="CK5767" s="342"/>
      <c r="CL5767" s="333"/>
      <c r="CM5767" s="1079"/>
      <c r="CN5767" s="1005"/>
      <c r="CO5767" s="1005"/>
      <c r="CP5767" s="1005"/>
    </row>
    <row r="5768">
      <c r="A5768" s="1257"/>
      <c r="B5768" s="1113"/>
      <c r="C5768" s="1107"/>
      <c r="D5768" s="103"/>
      <c r="E5768" s="1137"/>
      <c r="F5768" s="112"/>
      <c r="G5768" s="1110"/>
      <c r="H5768" s="1138"/>
      <c r="I5768" s="1138"/>
      <c r="J5768" s="1139"/>
      <c r="K5768" s="1111"/>
      <c r="L5768" s="1112"/>
      <c r="M5768" s="1113"/>
      <c r="N5768" s="110"/>
      <c r="O5768" s="1140"/>
      <c r="P5768" s="1115"/>
      <c r="Q5768" s="1116"/>
      <c r="R5768" s="1141"/>
      <c r="S5768" s="1113"/>
      <c r="T5768" s="1143"/>
      <c r="U5768" s="1108"/>
      <c r="V5768" s="1108"/>
      <c r="W5768" s="1108"/>
      <c r="X5768" s="1108"/>
      <c r="Y5768" s="1108"/>
      <c r="Z5768" s="1114"/>
      <c r="AA5768" s="1114"/>
      <c r="AB5768" s="1114"/>
      <c r="AC5768" s="1117"/>
      <c r="AD5768" s="1115"/>
      <c r="AE5768" s="1115"/>
      <c r="AF5768" s="1115"/>
      <c r="AG5768" s="1115"/>
      <c r="AH5768" s="1115"/>
      <c r="AI5768" s="1115"/>
      <c r="AJ5768" s="1117"/>
      <c r="AK5768" s="1118"/>
      <c r="AL5768" s="1115"/>
      <c r="AM5768" s="1115"/>
      <c r="AN5768" s="1115"/>
      <c r="AO5768" s="1115"/>
      <c r="AP5768" s="1115"/>
      <c r="AQ5768" s="1115"/>
      <c r="AR5768" s="1115"/>
      <c r="AS5768" s="1117"/>
      <c r="AT5768" s="1075"/>
      <c r="AU5768" s="1193"/>
      <c r="AV5768" s="330"/>
      <c r="AW5768" s="331"/>
      <c r="AX5768" s="331"/>
      <c r="AY5768" s="331"/>
      <c r="AZ5768" s="331"/>
      <c r="BA5768" s="331"/>
      <c r="BB5768" s="331"/>
      <c r="BC5768" s="331"/>
      <c r="BD5768" s="331"/>
      <c r="BE5768" s="333"/>
      <c r="BF5768" s="330"/>
      <c r="BG5768" s="333"/>
      <c r="BH5768" s="1119"/>
      <c r="BI5768" s="319"/>
      <c r="BJ5768" s="319"/>
      <c r="BK5768" s="319"/>
      <c r="BL5768" s="319"/>
      <c r="BM5768" s="319"/>
      <c r="BN5768" s="319"/>
      <c r="BO5768" s="319"/>
      <c r="BP5768" s="953"/>
      <c r="BQ5768" s="319"/>
      <c r="BR5768" s="319"/>
      <c r="BS5768" s="330"/>
      <c r="BT5768" s="331"/>
      <c r="BU5768" s="920"/>
      <c r="BV5768" s="903"/>
      <c r="BW5768" s="908"/>
      <c r="BX5768" s="908"/>
      <c r="BY5768" s="331"/>
      <c r="BZ5768" s="331"/>
      <c r="CA5768" s="462"/>
      <c r="CB5768" s="319"/>
      <c r="CC5768" s="319"/>
      <c r="CD5768" s="319"/>
      <c r="CE5768" s="319"/>
      <c r="CF5768" s="319"/>
      <c r="CG5768" s="319"/>
      <c r="CH5768" s="318"/>
      <c r="CI5768" s="319"/>
      <c r="CJ5768" s="319"/>
      <c r="CK5768" s="342"/>
      <c r="CL5768" s="333"/>
      <c r="CM5768" s="1079"/>
      <c r="CN5768" s="1005"/>
      <c r="CO5768" s="1005"/>
      <c r="CP5768" s="1005"/>
    </row>
    <row r="5769">
      <c r="A5769" s="1257"/>
      <c r="B5769" s="1113"/>
      <c r="C5769" s="1107"/>
      <c r="D5769" s="103"/>
      <c r="E5769" s="1137"/>
      <c r="F5769" s="112"/>
      <c r="G5769" s="1110"/>
      <c r="H5769" s="1138"/>
      <c r="I5769" s="1138"/>
      <c r="J5769" s="1139"/>
      <c r="K5769" s="1111"/>
      <c r="L5769" s="1112"/>
      <c r="M5769" s="1113"/>
      <c r="N5769" s="110"/>
      <c r="O5769" s="1140"/>
      <c r="P5769" s="1115"/>
      <c r="Q5769" s="1116"/>
      <c r="R5769" s="1141"/>
      <c r="S5769" s="1113"/>
      <c r="T5769" s="1143"/>
      <c r="U5769" s="1108"/>
      <c r="V5769" s="1108"/>
      <c r="W5769" s="1108"/>
      <c r="X5769" s="1108"/>
      <c r="Y5769" s="1108"/>
      <c r="Z5769" s="1114"/>
      <c r="AA5769" s="1114"/>
      <c r="AB5769" s="1114"/>
      <c r="AC5769" s="1117"/>
      <c r="AD5769" s="1115"/>
      <c r="AE5769" s="1115"/>
      <c r="AF5769" s="1115"/>
      <c r="AG5769" s="1115"/>
      <c r="AH5769" s="1115"/>
      <c r="AI5769" s="1115"/>
      <c r="AJ5769" s="1117"/>
      <c r="AK5769" s="1118"/>
      <c r="AL5769" s="1115"/>
      <c r="AM5769" s="1115"/>
      <c r="AN5769" s="1115"/>
      <c r="AO5769" s="1115"/>
      <c r="AP5769" s="1115"/>
      <c r="AQ5769" s="1115"/>
      <c r="AR5769" s="1115"/>
      <c r="AS5769" s="1117"/>
      <c r="AT5769" s="1075"/>
      <c r="AU5769" s="1193"/>
      <c r="AV5769" s="330"/>
      <c r="AW5769" s="331"/>
      <c r="AX5769" s="331"/>
      <c r="AY5769" s="331"/>
      <c r="AZ5769" s="331"/>
      <c r="BA5769" s="331"/>
      <c r="BB5769" s="331"/>
      <c r="BC5769" s="331"/>
      <c r="BD5769" s="331"/>
      <c r="BE5769" s="333"/>
      <c r="BF5769" s="330"/>
      <c r="BG5769" s="333"/>
      <c r="BH5769" s="1119"/>
      <c r="BI5769" s="319"/>
      <c r="BJ5769" s="319"/>
      <c r="BK5769" s="319"/>
      <c r="BL5769" s="319"/>
      <c r="BM5769" s="319"/>
      <c r="BN5769" s="319"/>
      <c r="BO5769" s="319"/>
      <c r="BP5769" s="953"/>
      <c r="BQ5769" s="319"/>
      <c r="BR5769" s="319"/>
      <c r="BS5769" s="330"/>
      <c r="BT5769" s="331"/>
      <c r="BU5769" s="920"/>
      <c r="BV5769" s="903"/>
      <c r="BW5769" s="908"/>
      <c r="BX5769" s="908"/>
      <c r="BY5769" s="331"/>
      <c r="BZ5769" s="331"/>
      <c r="CA5769" s="462"/>
      <c r="CB5769" s="319"/>
      <c r="CC5769" s="319"/>
      <c r="CD5769" s="319"/>
      <c r="CE5769" s="319"/>
      <c r="CF5769" s="319"/>
      <c r="CG5769" s="319"/>
      <c r="CH5769" s="318"/>
      <c r="CI5769" s="319"/>
      <c r="CJ5769" s="319"/>
      <c r="CK5769" s="342"/>
      <c r="CL5769" s="333"/>
      <c r="CM5769" s="1079"/>
      <c r="CN5769" s="1005"/>
      <c r="CO5769" s="1005"/>
      <c r="CP5769" s="1005"/>
    </row>
    <row r="5770">
      <c r="A5770" s="1257"/>
      <c r="B5770" s="1113"/>
      <c r="C5770" s="1107"/>
      <c r="D5770" s="103"/>
      <c r="E5770" s="1137"/>
      <c r="F5770" s="112"/>
      <c r="G5770" s="1110"/>
      <c r="H5770" s="1138"/>
      <c r="I5770" s="1138"/>
      <c r="J5770" s="1139"/>
      <c r="K5770" s="1111"/>
      <c r="L5770" s="1112"/>
      <c r="M5770" s="1113"/>
      <c r="N5770" s="110"/>
      <c r="O5770" s="1140"/>
      <c r="P5770" s="1115"/>
      <c r="Q5770" s="1116"/>
      <c r="R5770" s="1141"/>
      <c r="S5770" s="1113"/>
      <c r="T5770" s="1143"/>
      <c r="U5770" s="1108"/>
      <c r="V5770" s="1108"/>
      <c r="W5770" s="1108"/>
      <c r="X5770" s="1108"/>
      <c r="Y5770" s="1108"/>
      <c r="Z5770" s="1114"/>
      <c r="AA5770" s="1114"/>
      <c r="AB5770" s="1114"/>
      <c r="AC5770" s="1117"/>
      <c r="AD5770" s="1115"/>
      <c r="AE5770" s="1115"/>
      <c r="AF5770" s="1115"/>
      <c r="AG5770" s="1115"/>
      <c r="AH5770" s="1115"/>
      <c r="AI5770" s="1115"/>
      <c r="AJ5770" s="1117"/>
      <c r="AK5770" s="1118"/>
      <c r="AL5770" s="1115"/>
      <c r="AM5770" s="1115"/>
      <c r="AN5770" s="1115"/>
      <c r="AO5770" s="1115"/>
      <c r="AP5770" s="1115"/>
      <c r="AQ5770" s="1115"/>
      <c r="AR5770" s="1115"/>
      <c r="AS5770" s="1117"/>
      <c r="AT5770" s="1075"/>
      <c r="AU5770" s="1193"/>
      <c r="AV5770" s="330"/>
      <c r="AW5770" s="331"/>
      <c r="AX5770" s="331"/>
      <c r="AY5770" s="331"/>
      <c r="AZ5770" s="331"/>
      <c r="BA5770" s="331"/>
      <c r="BB5770" s="331"/>
      <c r="BC5770" s="331"/>
      <c r="BD5770" s="331"/>
      <c r="BE5770" s="333"/>
      <c r="BF5770" s="330"/>
      <c r="BG5770" s="333"/>
      <c r="BH5770" s="1119"/>
      <c r="BI5770" s="319"/>
      <c r="BJ5770" s="319"/>
      <c r="BK5770" s="319"/>
      <c r="BL5770" s="319"/>
      <c r="BM5770" s="319"/>
      <c r="BN5770" s="319"/>
      <c r="BO5770" s="319"/>
      <c r="BP5770" s="953"/>
      <c r="BQ5770" s="319"/>
      <c r="BR5770" s="319"/>
      <c r="BS5770" s="330"/>
      <c r="BT5770" s="331"/>
      <c r="BU5770" s="920"/>
      <c r="BV5770" s="903"/>
      <c r="BW5770" s="908"/>
      <c r="BX5770" s="908"/>
      <c r="BY5770" s="331"/>
      <c r="BZ5770" s="331"/>
      <c r="CA5770" s="462"/>
      <c r="CB5770" s="319"/>
      <c r="CC5770" s="319"/>
      <c r="CD5770" s="319"/>
      <c r="CE5770" s="319"/>
      <c r="CF5770" s="319"/>
      <c r="CG5770" s="319"/>
      <c r="CH5770" s="318"/>
      <c r="CI5770" s="319"/>
      <c r="CJ5770" s="319"/>
      <c r="CK5770" s="342"/>
      <c r="CL5770" s="333"/>
      <c r="CM5770" s="1079"/>
      <c r="CN5770" s="1005"/>
      <c r="CO5770" s="1005"/>
      <c r="CP5770" s="1005"/>
    </row>
    <row r="5771">
      <c r="A5771" s="1257"/>
      <c r="B5771" s="1113"/>
      <c r="C5771" s="1107"/>
      <c r="D5771" s="103"/>
      <c r="E5771" s="1137"/>
      <c r="F5771" s="112"/>
      <c r="G5771" s="1110"/>
      <c r="H5771" s="1138"/>
      <c r="I5771" s="1138"/>
      <c r="J5771" s="1139"/>
      <c r="K5771" s="1111"/>
      <c r="L5771" s="1112"/>
      <c r="M5771" s="1113"/>
      <c r="N5771" s="110"/>
      <c r="O5771" s="1140"/>
      <c r="P5771" s="1115"/>
      <c r="Q5771" s="1116"/>
      <c r="R5771" s="1141"/>
      <c r="S5771" s="1113"/>
      <c r="T5771" s="1143"/>
      <c r="U5771" s="1108"/>
      <c r="V5771" s="1108"/>
      <c r="W5771" s="1108"/>
      <c r="X5771" s="1108"/>
      <c r="Y5771" s="1108"/>
      <c r="Z5771" s="1114"/>
      <c r="AA5771" s="1114"/>
      <c r="AB5771" s="1114"/>
      <c r="AC5771" s="1117"/>
      <c r="AD5771" s="1115"/>
      <c r="AE5771" s="1115"/>
      <c r="AF5771" s="1115"/>
      <c r="AG5771" s="1115"/>
      <c r="AH5771" s="1115"/>
      <c r="AI5771" s="1115"/>
      <c r="AJ5771" s="1117"/>
      <c r="AK5771" s="1118"/>
      <c r="AL5771" s="1115"/>
      <c r="AM5771" s="1115"/>
      <c r="AN5771" s="1115"/>
      <c r="AO5771" s="1115"/>
      <c r="AP5771" s="1115"/>
      <c r="AQ5771" s="1115"/>
      <c r="AR5771" s="1115"/>
      <c r="AS5771" s="1117"/>
      <c r="AT5771" s="1075"/>
      <c r="AU5771" s="1193"/>
      <c r="AV5771" s="330"/>
      <c r="AW5771" s="331"/>
      <c r="AX5771" s="331"/>
      <c r="AY5771" s="331"/>
      <c r="AZ5771" s="331"/>
      <c r="BA5771" s="331"/>
      <c r="BB5771" s="331"/>
      <c r="BC5771" s="331"/>
      <c r="BD5771" s="331"/>
      <c r="BE5771" s="333"/>
      <c r="BF5771" s="330"/>
      <c r="BG5771" s="333"/>
      <c r="BH5771" s="1119"/>
      <c r="BI5771" s="319"/>
      <c r="BJ5771" s="319"/>
      <c r="BK5771" s="319"/>
      <c r="BL5771" s="319"/>
      <c r="BM5771" s="319"/>
      <c r="BN5771" s="319"/>
      <c r="BO5771" s="319"/>
      <c r="BP5771" s="953"/>
      <c r="BQ5771" s="319"/>
      <c r="BR5771" s="319"/>
      <c r="BS5771" s="330"/>
      <c r="BT5771" s="331"/>
      <c r="BU5771" s="920"/>
      <c r="BV5771" s="903"/>
      <c r="BW5771" s="908"/>
      <c r="BX5771" s="908"/>
      <c r="BY5771" s="331"/>
      <c r="BZ5771" s="331"/>
      <c r="CA5771" s="462"/>
      <c r="CB5771" s="319"/>
      <c r="CC5771" s="319"/>
      <c r="CD5771" s="319"/>
      <c r="CE5771" s="319"/>
      <c r="CF5771" s="319"/>
      <c r="CG5771" s="319"/>
      <c r="CH5771" s="318"/>
      <c r="CI5771" s="319"/>
      <c r="CJ5771" s="319"/>
      <c r="CK5771" s="342"/>
      <c r="CL5771" s="333"/>
      <c r="CM5771" s="1079"/>
      <c r="CN5771" s="1005"/>
      <c r="CO5771" s="1005"/>
      <c r="CP5771" s="1005"/>
    </row>
    <row r="5772">
      <c r="A5772" s="1257"/>
      <c r="B5772" s="1113"/>
      <c r="C5772" s="1107"/>
      <c r="D5772" s="103"/>
      <c r="E5772" s="1137"/>
      <c r="F5772" s="112"/>
      <c r="G5772" s="1110"/>
      <c r="H5772" s="1138"/>
      <c r="I5772" s="1138"/>
      <c r="J5772" s="1139"/>
      <c r="K5772" s="1111"/>
      <c r="L5772" s="1112"/>
      <c r="M5772" s="1113"/>
      <c r="N5772" s="110"/>
      <c r="O5772" s="1140"/>
      <c r="P5772" s="1115"/>
      <c r="Q5772" s="1116"/>
      <c r="R5772" s="1141"/>
      <c r="S5772" s="1113"/>
      <c r="T5772" s="1143"/>
      <c r="U5772" s="1108"/>
      <c r="V5772" s="1108"/>
      <c r="W5772" s="1108"/>
      <c r="X5772" s="1108"/>
      <c r="Y5772" s="1108"/>
      <c r="Z5772" s="1114"/>
      <c r="AA5772" s="1114"/>
      <c r="AB5772" s="1114"/>
      <c r="AC5772" s="1117"/>
      <c r="AD5772" s="1115"/>
      <c r="AE5772" s="1115"/>
      <c r="AF5772" s="1115"/>
      <c r="AG5772" s="1115"/>
      <c r="AH5772" s="1115"/>
      <c r="AI5772" s="1115"/>
      <c r="AJ5772" s="1117"/>
      <c r="AK5772" s="1118"/>
      <c r="AL5772" s="1115"/>
      <c r="AM5772" s="1115"/>
      <c r="AN5772" s="1115"/>
      <c r="AO5772" s="1115"/>
      <c r="AP5772" s="1115"/>
      <c r="AQ5772" s="1115"/>
      <c r="AR5772" s="1115"/>
      <c r="AS5772" s="1117"/>
      <c r="AT5772" s="1075"/>
      <c r="AU5772" s="1193"/>
      <c r="AV5772" s="330"/>
      <c r="AW5772" s="331"/>
      <c r="AX5772" s="331"/>
      <c r="AY5772" s="331"/>
      <c r="AZ5772" s="331"/>
      <c r="BA5772" s="331"/>
      <c r="BB5772" s="331"/>
      <c r="BC5772" s="331"/>
      <c r="BD5772" s="331"/>
      <c r="BE5772" s="333"/>
      <c r="BF5772" s="330"/>
      <c r="BG5772" s="333"/>
      <c r="BH5772" s="1119"/>
      <c r="BI5772" s="319"/>
      <c r="BJ5772" s="319"/>
      <c r="BK5772" s="319"/>
      <c r="BL5772" s="319"/>
      <c r="BM5772" s="319"/>
      <c r="BN5772" s="319"/>
      <c r="BO5772" s="319"/>
      <c r="BP5772" s="953"/>
      <c r="BQ5772" s="319"/>
      <c r="BR5772" s="319"/>
      <c r="BS5772" s="330"/>
      <c r="BT5772" s="331"/>
      <c r="BU5772" s="920"/>
      <c r="BV5772" s="903"/>
      <c r="BW5772" s="908"/>
      <c r="BX5772" s="908"/>
      <c r="BY5772" s="331"/>
      <c r="BZ5772" s="331"/>
      <c r="CA5772" s="462"/>
      <c r="CB5772" s="319"/>
      <c r="CC5772" s="319"/>
      <c r="CD5772" s="319"/>
      <c r="CE5772" s="319"/>
      <c r="CF5772" s="319"/>
      <c r="CG5772" s="319"/>
      <c r="CH5772" s="318"/>
      <c r="CI5772" s="319"/>
      <c r="CJ5772" s="319"/>
      <c r="CK5772" s="342"/>
      <c r="CL5772" s="333"/>
      <c r="CM5772" s="1079"/>
      <c r="CN5772" s="1005"/>
      <c r="CO5772" s="1005"/>
      <c r="CP5772" s="1005"/>
    </row>
    <row r="5773">
      <c r="A5773" s="1257"/>
      <c r="B5773" s="1113"/>
      <c r="C5773" s="1107"/>
      <c r="D5773" s="103"/>
      <c r="E5773" s="1137"/>
      <c r="F5773" s="112"/>
      <c r="G5773" s="1110"/>
      <c r="H5773" s="1138"/>
      <c r="I5773" s="1138"/>
      <c r="J5773" s="1139"/>
      <c r="K5773" s="1111"/>
      <c r="L5773" s="1112"/>
      <c r="M5773" s="1113"/>
      <c r="N5773" s="110"/>
      <c r="O5773" s="1140"/>
      <c r="P5773" s="1115"/>
      <c r="Q5773" s="1116"/>
      <c r="R5773" s="1141"/>
      <c r="S5773" s="1113"/>
      <c r="T5773" s="1143"/>
      <c r="U5773" s="1108"/>
      <c r="V5773" s="1108"/>
      <c r="W5773" s="1108"/>
      <c r="X5773" s="1108"/>
      <c r="Y5773" s="1108"/>
      <c r="Z5773" s="1114"/>
      <c r="AA5773" s="1114"/>
      <c r="AB5773" s="1114"/>
      <c r="AC5773" s="1117"/>
      <c r="AD5773" s="1115"/>
      <c r="AE5773" s="1115"/>
      <c r="AF5773" s="1115"/>
      <c r="AG5773" s="1115"/>
      <c r="AH5773" s="1115"/>
      <c r="AI5773" s="1115"/>
      <c r="AJ5773" s="1117"/>
      <c r="AK5773" s="1118"/>
      <c r="AL5773" s="1115"/>
      <c r="AM5773" s="1115"/>
      <c r="AN5773" s="1115"/>
      <c r="AO5773" s="1115"/>
      <c r="AP5773" s="1115"/>
      <c r="AQ5773" s="1115"/>
      <c r="AR5773" s="1115"/>
      <c r="AS5773" s="1117"/>
      <c r="AT5773" s="1075"/>
      <c r="AU5773" s="1193"/>
      <c r="AV5773" s="330"/>
      <c r="AW5773" s="331"/>
      <c r="AX5773" s="331"/>
      <c r="AY5773" s="331"/>
      <c r="AZ5773" s="331"/>
      <c r="BA5773" s="331"/>
      <c r="BB5773" s="331"/>
      <c r="BC5773" s="331"/>
      <c r="BD5773" s="331"/>
      <c r="BE5773" s="333"/>
      <c r="BF5773" s="330"/>
      <c r="BG5773" s="333"/>
      <c r="BH5773" s="1119"/>
      <c r="BI5773" s="319"/>
      <c r="BJ5773" s="319"/>
      <c r="BK5773" s="319"/>
      <c r="BL5773" s="319"/>
      <c r="BM5773" s="319"/>
      <c r="BN5773" s="319"/>
      <c r="BO5773" s="319"/>
      <c r="BP5773" s="953"/>
      <c r="BQ5773" s="319"/>
      <c r="BR5773" s="319"/>
      <c r="BS5773" s="330"/>
      <c r="BT5773" s="331"/>
      <c r="BU5773" s="920"/>
      <c r="BV5773" s="903"/>
      <c r="BW5773" s="908"/>
      <c r="BX5773" s="908"/>
      <c r="BY5773" s="331"/>
      <c r="BZ5773" s="331"/>
      <c r="CA5773" s="462"/>
      <c r="CB5773" s="319"/>
      <c r="CC5773" s="319"/>
      <c r="CD5773" s="319"/>
      <c r="CE5773" s="319"/>
      <c r="CF5773" s="319"/>
      <c r="CG5773" s="319"/>
      <c r="CH5773" s="318"/>
      <c r="CI5773" s="319"/>
      <c r="CJ5773" s="319"/>
      <c r="CK5773" s="342"/>
      <c r="CL5773" s="333"/>
      <c r="CM5773" s="1079"/>
      <c r="CN5773" s="1005"/>
      <c r="CO5773" s="1005"/>
      <c r="CP5773" s="1005"/>
    </row>
    <row r="5774">
      <c r="A5774" s="1257"/>
      <c r="B5774" s="1113"/>
      <c r="C5774" s="1107"/>
      <c r="D5774" s="103"/>
      <c r="E5774" s="1137"/>
      <c r="F5774" s="112"/>
      <c r="G5774" s="1110"/>
      <c r="H5774" s="1138"/>
      <c r="I5774" s="1138"/>
      <c r="J5774" s="1139"/>
      <c r="K5774" s="1111"/>
      <c r="L5774" s="1112"/>
      <c r="M5774" s="1113"/>
      <c r="N5774" s="110"/>
      <c r="O5774" s="1140"/>
      <c r="P5774" s="1115"/>
      <c r="Q5774" s="1116"/>
      <c r="R5774" s="1141"/>
      <c r="S5774" s="1113"/>
      <c r="T5774" s="1143"/>
      <c r="U5774" s="1108"/>
      <c r="V5774" s="1108"/>
      <c r="W5774" s="1108"/>
      <c r="X5774" s="1108"/>
      <c r="Y5774" s="1108"/>
      <c r="Z5774" s="1114"/>
      <c r="AA5774" s="1114"/>
      <c r="AB5774" s="1114"/>
      <c r="AC5774" s="1117"/>
      <c r="AD5774" s="1115"/>
      <c r="AE5774" s="1115"/>
      <c r="AF5774" s="1115"/>
      <c r="AG5774" s="1115"/>
      <c r="AH5774" s="1115"/>
      <c r="AI5774" s="1115"/>
      <c r="AJ5774" s="1117"/>
      <c r="AK5774" s="1118"/>
      <c r="AL5774" s="1115"/>
      <c r="AM5774" s="1115"/>
      <c r="AN5774" s="1115"/>
      <c r="AO5774" s="1115"/>
      <c r="AP5774" s="1115"/>
      <c r="AQ5774" s="1115"/>
      <c r="AR5774" s="1115"/>
      <c r="AS5774" s="1117"/>
      <c r="AT5774" s="1075"/>
      <c r="AU5774" s="1193"/>
      <c r="AV5774" s="330"/>
      <c r="AW5774" s="331"/>
      <c r="AX5774" s="331"/>
      <c r="AY5774" s="331"/>
      <c r="AZ5774" s="331"/>
      <c r="BA5774" s="331"/>
      <c r="BB5774" s="331"/>
      <c r="BC5774" s="331"/>
      <c r="BD5774" s="331"/>
      <c r="BE5774" s="333"/>
      <c r="BF5774" s="330"/>
      <c r="BG5774" s="333"/>
      <c r="BH5774" s="1119"/>
      <c r="BI5774" s="319"/>
      <c r="BJ5774" s="319"/>
      <c r="BK5774" s="319"/>
      <c r="BL5774" s="319"/>
      <c r="BM5774" s="319"/>
      <c r="BN5774" s="319"/>
      <c r="BO5774" s="319"/>
      <c r="BP5774" s="953"/>
      <c r="BQ5774" s="319"/>
      <c r="BR5774" s="319"/>
      <c r="BS5774" s="330"/>
      <c r="BT5774" s="331"/>
      <c r="BU5774" s="920"/>
      <c r="BV5774" s="903"/>
      <c r="BW5774" s="908"/>
      <c r="BX5774" s="908"/>
      <c r="BY5774" s="331"/>
      <c r="BZ5774" s="331"/>
      <c r="CA5774" s="462"/>
      <c r="CB5774" s="319"/>
      <c r="CC5774" s="319"/>
      <c r="CD5774" s="319"/>
      <c r="CE5774" s="319"/>
      <c r="CF5774" s="319"/>
      <c r="CG5774" s="319"/>
      <c r="CH5774" s="318"/>
      <c r="CI5774" s="319"/>
      <c r="CJ5774" s="319"/>
      <c r="CK5774" s="342"/>
      <c r="CL5774" s="333"/>
      <c r="CM5774" s="1079"/>
      <c r="CN5774" s="1005"/>
      <c r="CO5774" s="1005"/>
      <c r="CP5774" s="1005"/>
    </row>
    <row r="5775">
      <c r="A5775" s="1257"/>
      <c r="B5775" s="1113"/>
      <c r="C5775" s="1107"/>
      <c r="D5775" s="103"/>
      <c r="E5775" s="1137"/>
      <c r="F5775" s="112"/>
      <c r="G5775" s="1110"/>
      <c r="H5775" s="1138"/>
      <c r="I5775" s="1138"/>
      <c r="J5775" s="1139"/>
      <c r="K5775" s="1111"/>
      <c r="L5775" s="1112"/>
      <c r="M5775" s="1113"/>
      <c r="N5775" s="110"/>
      <c r="O5775" s="1140"/>
      <c r="P5775" s="1115"/>
      <c r="Q5775" s="1116"/>
      <c r="R5775" s="1141"/>
      <c r="S5775" s="1113"/>
      <c r="T5775" s="1143"/>
      <c r="U5775" s="1108"/>
      <c r="V5775" s="1108"/>
      <c r="W5775" s="1108"/>
      <c r="X5775" s="1108"/>
      <c r="Y5775" s="1108"/>
      <c r="Z5775" s="1114"/>
      <c r="AA5775" s="1114"/>
      <c r="AB5775" s="1114"/>
      <c r="AC5775" s="1117"/>
      <c r="AD5775" s="1115"/>
      <c r="AE5775" s="1115"/>
      <c r="AF5775" s="1115"/>
      <c r="AG5775" s="1115"/>
      <c r="AH5775" s="1115"/>
      <c r="AI5775" s="1115"/>
      <c r="AJ5775" s="1117"/>
      <c r="AK5775" s="1118"/>
      <c r="AL5775" s="1115"/>
      <c r="AM5775" s="1115"/>
      <c r="AN5775" s="1115"/>
      <c r="AO5775" s="1115"/>
      <c r="AP5775" s="1115"/>
      <c r="AQ5775" s="1115"/>
      <c r="AR5775" s="1115"/>
      <c r="AS5775" s="1117"/>
      <c r="AT5775" s="1075"/>
      <c r="AU5775" s="1193"/>
      <c r="AV5775" s="330"/>
      <c r="AW5775" s="331"/>
      <c r="AX5775" s="331"/>
      <c r="AY5775" s="331"/>
      <c r="AZ5775" s="331"/>
      <c r="BA5775" s="331"/>
      <c r="BB5775" s="331"/>
      <c r="BC5775" s="331"/>
      <c r="BD5775" s="331"/>
      <c r="BE5775" s="333"/>
      <c r="BF5775" s="330"/>
      <c r="BG5775" s="333"/>
      <c r="BH5775" s="1119"/>
      <c r="BI5775" s="319"/>
      <c r="BJ5775" s="319"/>
      <c r="BK5775" s="319"/>
      <c r="BL5775" s="319"/>
      <c r="BM5775" s="319"/>
      <c r="BN5775" s="319"/>
      <c r="BO5775" s="319"/>
      <c r="BP5775" s="953"/>
      <c r="BQ5775" s="319"/>
      <c r="BR5775" s="319"/>
      <c r="BS5775" s="330"/>
      <c r="BT5775" s="331"/>
      <c r="BU5775" s="920"/>
      <c r="BV5775" s="903"/>
      <c r="BW5775" s="908"/>
      <c r="BX5775" s="908"/>
      <c r="BY5775" s="331"/>
      <c r="BZ5775" s="331"/>
      <c r="CA5775" s="462"/>
      <c r="CB5775" s="319"/>
      <c r="CC5775" s="319"/>
      <c r="CD5775" s="319"/>
      <c r="CE5775" s="319"/>
      <c r="CF5775" s="319"/>
      <c r="CG5775" s="319"/>
      <c r="CH5775" s="318"/>
      <c r="CI5775" s="319"/>
      <c r="CJ5775" s="319"/>
      <c r="CK5775" s="342"/>
      <c r="CL5775" s="333"/>
      <c r="CM5775" s="1079"/>
      <c r="CN5775" s="1005"/>
      <c r="CO5775" s="1005"/>
      <c r="CP5775" s="1005"/>
    </row>
    <row r="5776">
      <c r="A5776" s="1257"/>
      <c r="B5776" s="1113"/>
      <c r="C5776" s="1107"/>
      <c r="D5776" s="103"/>
      <c r="E5776" s="1137"/>
      <c r="F5776" s="112"/>
      <c r="G5776" s="1110"/>
      <c r="H5776" s="1138"/>
      <c r="I5776" s="1138"/>
      <c r="J5776" s="1139"/>
      <c r="K5776" s="1111"/>
      <c r="L5776" s="1112"/>
      <c r="M5776" s="1113"/>
      <c r="N5776" s="110"/>
      <c r="O5776" s="1140"/>
      <c r="P5776" s="1115"/>
      <c r="Q5776" s="1116"/>
      <c r="R5776" s="1141"/>
      <c r="S5776" s="1113"/>
      <c r="T5776" s="1143"/>
      <c r="U5776" s="1108"/>
      <c r="V5776" s="1108"/>
      <c r="W5776" s="1108"/>
      <c r="X5776" s="1108"/>
      <c r="Y5776" s="1108"/>
      <c r="Z5776" s="1114"/>
      <c r="AA5776" s="1114"/>
      <c r="AB5776" s="1114"/>
      <c r="AC5776" s="1117"/>
      <c r="AD5776" s="1115"/>
      <c r="AE5776" s="1115"/>
      <c r="AF5776" s="1115"/>
      <c r="AG5776" s="1115"/>
      <c r="AH5776" s="1115"/>
      <c r="AI5776" s="1115"/>
      <c r="AJ5776" s="1117"/>
      <c r="AK5776" s="1118"/>
      <c r="AL5776" s="1115"/>
      <c r="AM5776" s="1115"/>
      <c r="AN5776" s="1115"/>
      <c r="AO5776" s="1115"/>
      <c r="AP5776" s="1115"/>
      <c r="AQ5776" s="1115"/>
      <c r="AR5776" s="1115"/>
      <c r="AS5776" s="1117"/>
      <c r="AT5776" s="1075"/>
      <c r="AU5776" s="1193"/>
      <c r="AV5776" s="330"/>
      <c r="AW5776" s="331"/>
      <c r="AX5776" s="331"/>
      <c r="AY5776" s="331"/>
      <c r="AZ5776" s="331"/>
      <c r="BA5776" s="331"/>
      <c r="BB5776" s="331"/>
      <c r="BC5776" s="331"/>
      <c r="BD5776" s="331"/>
      <c r="BE5776" s="333"/>
      <c r="BF5776" s="330"/>
      <c r="BG5776" s="333"/>
      <c r="BH5776" s="1119"/>
      <c r="BI5776" s="319"/>
      <c r="BJ5776" s="319"/>
      <c r="BK5776" s="319"/>
      <c r="BL5776" s="319"/>
      <c r="BM5776" s="319"/>
      <c r="BN5776" s="319"/>
      <c r="BO5776" s="319"/>
      <c r="BP5776" s="953"/>
      <c r="BQ5776" s="319"/>
      <c r="BR5776" s="319"/>
      <c r="BS5776" s="330"/>
      <c r="BT5776" s="331"/>
      <c r="BU5776" s="920"/>
      <c r="BV5776" s="903"/>
      <c r="BW5776" s="908"/>
      <c r="BX5776" s="908"/>
      <c r="BY5776" s="331"/>
      <c r="BZ5776" s="331"/>
      <c r="CA5776" s="462"/>
      <c r="CB5776" s="319"/>
      <c r="CC5776" s="319"/>
      <c r="CD5776" s="319"/>
      <c r="CE5776" s="319"/>
      <c r="CF5776" s="319"/>
      <c r="CG5776" s="319"/>
      <c r="CH5776" s="318"/>
      <c r="CI5776" s="319"/>
      <c r="CJ5776" s="319"/>
      <c r="CK5776" s="342"/>
      <c r="CL5776" s="333"/>
      <c r="CM5776" s="1079"/>
      <c r="CN5776" s="1005"/>
      <c r="CO5776" s="1005"/>
      <c r="CP5776" s="1005"/>
    </row>
    <row r="5777">
      <c r="A5777" s="1257"/>
      <c r="B5777" s="1113"/>
      <c r="C5777" s="1107"/>
      <c r="D5777" s="103"/>
      <c r="E5777" s="1137"/>
      <c r="F5777" s="112"/>
      <c r="G5777" s="1110"/>
      <c r="H5777" s="1138"/>
      <c r="I5777" s="1138"/>
      <c r="J5777" s="1139"/>
      <c r="K5777" s="1111"/>
      <c r="L5777" s="1112"/>
      <c r="M5777" s="1113"/>
      <c r="N5777" s="110"/>
      <c r="O5777" s="1140"/>
      <c r="P5777" s="1115"/>
      <c r="Q5777" s="1116"/>
      <c r="R5777" s="1141"/>
      <c r="S5777" s="1113"/>
      <c r="T5777" s="1143"/>
      <c r="U5777" s="1108"/>
      <c r="V5777" s="1108"/>
      <c r="W5777" s="1108"/>
      <c r="X5777" s="1108"/>
      <c r="Y5777" s="1108"/>
      <c r="Z5777" s="1114"/>
      <c r="AA5777" s="1114"/>
      <c r="AB5777" s="1114"/>
      <c r="AC5777" s="1117"/>
      <c r="AD5777" s="1115"/>
      <c r="AE5777" s="1115"/>
      <c r="AF5777" s="1115"/>
      <c r="AG5777" s="1115"/>
      <c r="AH5777" s="1115"/>
      <c r="AI5777" s="1115"/>
      <c r="AJ5777" s="1117"/>
      <c r="AK5777" s="1118"/>
      <c r="AL5777" s="1115"/>
      <c r="AM5777" s="1115"/>
      <c r="AN5777" s="1115"/>
      <c r="AO5777" s="1115"/>
      <c r="AP5777" s="1115"/>
      <c r="AQ5777" s="1115"/>
      <c r="AR5777" s="1115"/>
      <c r="AS5777" s="1117"/>
      <c r="AT5777" s="1075"/>
      <c r="AU5777" s="1193"/>
      <c r="AV5777" s="330"/>
      <c r="AW5777" s="331"/>
      <c r="AX5777" s="331"/>
      <c r="AY5777" s="331"/>
      <c r="AZ5777" s="331"/>
      <c r="BA5777" s="331"/>
      <c r="BB5777" s="331"/>
      <c r="BC5777" s="331"/>
      <c r="BD5777" s="331"/>
      <c r="BE5777" s="333"/>
      <c r="BF5777" s="330"/>
      <c r="BG5777" s="333"/>
      <c r="BH5777" s="1119"/>
      <c r="BI5777" s="319"/>
      <c r="BJ5777" s="319"/>
      <c r="BK5777" s="319"/>
      <c r="BL5777" s="319"/>
      <c r="BM5777" s="319"/>
      <c r="BN5777" s="319"/>
      <c r="BO5777" s="319"/>
      <c r="BP5777" s="953"/>
      <c r="BQ5777" s="319"/>
      <c r="BR5777" s="319"/>
      <c r="BS5777" s="330"/>
      <c r="BT5777" s="331"/>
      <c r="BU5777" s="920"/>
      <c r="BV5777" s="903"/>
      <c r="BW5777" s="908"/>
      <c r="BX5777" s="908"/>
      <c r="BY5777" s="331"/>
      <c r="BZ5777" s="331"/>
      <c r="CA5777" s="462"/>
      <c r="CB5777" s="319"/>
      <c r="CC5777" s="319"/>
      <c r="CD5777" s="319"/>
      <c r="CE5777" s="319"/>
      <c r="CF5777" s="319"/>
      <c r="CG5777" s="319"/>
      <c r="CH5777" s="318"/>
      <c r="CI5777" s="319"/>
      <c r="CJ5777" s="319"/>
      <c r="CK5777" s="342"/>
      <c r="CL5777" s="333"/>
      <c r="CM5777" s="1079"/>
      <c r="CN5777" s="1005"/>
      <c r="CO5777" s="1005"/>
      <c r="CP5777" s="1005"/>
    </row>
    <row r="5778">
      <c r="A5778" s="1257"/>
      <c r="B5778" s="1113"/>
      <c r="C5778" s="1107"/>
      <c r="D5778" s="103"/>
      <c r="E5778" s="1137"/>
      <c r="F5778" s="112"/>
      <c r="G5778" s="1110"/>
      <c r="H5778" s="1138"/>
      <c r="I5778" s="1138"/>
      <c r="J5778" s="1139"/>
      <c r="K5778" s="1111"/>
      <c r="L5778" s="1112"/>
      <c r="M5778" s="1113"/>
      <c r="N5778" s="110"/>
      <c r="O5778" s="1140"/>
      <c r="P5778" s="1115"/>
      <c r="Q5778" s="1116"/>
      <c r="R5778" s="1141"/>
      <c r="S5778" s="1113"/>
      <c r="T5778" s="1143"/>
      <c r="U5778" s="1108"/>
      <c r="V5778" s="1108"/>
      <c r="W5778" s="1108"/>
      <c r="X5778" s="1108"/>
      <c r="Y5778" s="1108"/>
      <c r="Z5778" s="1114"/>
      <c r="AA5778" s="1114"/>
      <c r="AB5778" s="1114"/>
      <c r="AC5778" s="1117"/>
      <c r="AD5778" s="1115"/>
      <c r="AE5778" s="1115"/>
      <c r="AF5778" s="1115"/>
      <c r="AG5778" s="1115"/>
      <c r="AH5778" s="1115"/>
      <c r="AI5778" s="1115"/>
      <c r="AJ5778" s="1117"/>
      <c r="AK5778" s="1118"/>
      <c r="AL5778" s="1115"/>
      <c r="AM5778" s="1115"/>
      <c r="AN5778" s="1115"/>
      <c r="AO5778" s="1115"/>
      <c r="AP5778" s="1115"/>
      <c r="AQ5778" s="1115"/>
      <c r="AR5778" s="1115"/>
      <c r="AS5778" s="1117"/>
      <c r="AT5778" s="1075"/>
      <c r="AU5778" s="1193"/>
      <c r="AV5778" s="330"/>
      <c r="AW5778" s="331"/>
      <c r="AX5778" s="331"/>
      <c r="AY5778" s="331"/>
      <c r="AZ5778" s="331"/>
      <c r="BA5778" s="331"/>
      <c r="BB5778" s="331"/>
      <c r="BC5778" s="331"/>
      <c r="BD5778" s="331"/>
      <c r="BE5778" s="333"/>
      <c r="BF5778" s="330"/>
      <c r="BG5778" s="333"/>
      <c r="BH5778" s="1119"/>
      <c r="BI5778" s="319"/>
      <c r="BJ5778" s="319"/>
      <c r="BK5778" s="319"/>
      <c r="BL5778" s="319"/>
      <c r="BM5778" s="319"/>
      <c r="BN5778" s="319"/>
      <c r="BO5778" s="319"/>
      <c r="BP5778" s="953"/>
      <c r="BQ5778" s="319"/>
      <c r="BR5778" s="319"/>
      <c r="BS5778" s="330"/>
      <c r="BT5778" s="331"/>
      <c r="BU5778" s="920"/>
      <c r="BV5778" s="903"/>
      <c r="BW5778" s="908"/>
      <c r="BX5778" s="908"/>
      <c r="BY5778" s="331"/>
      <c r="BZ5778" s="331"/>
      <c r="CA5778" s="462"/>
      <c r="CB5778" s="319"/>
      <c r="CC5778" s="319"/>
      <c r="CD5778" s="319"/>
      <c r="CE5778" s="319"/>
      <c r="CF5778" s="319"/>
      <c r="CG5778" s="319"/>
      <c r="CH5778" s="318"/>
      <c r="CI5778" s="319"/>
      <c r="CJ5778" s="319"/>
      <c r="CK5778" s="342"/>
      <c r="CL5778" s="333"/>
      <c r="CM5778" s="1079"/>
      <c r="CN5778" s="1005"/>
      <c r="CO5778" s="1005"/>
      <c r="CP5778" s="1005"/>
    </row>
    <row r="5779">
      <c r="A5779" s="1257"/>
      <c r="B5779" s="1113"/>
      <c r="C5779" s="1107"/>
      <c r="D5779" s="103"/>
      <c r="E5779" s="1137"/>
      <c r="F5779" s="112"/>
      <c r="G5779" s="1110"/>
      <c r="H5779" s="1138"/>
      <c r="I5779" s="1138"/>
      <c r="J5779" s="1139"/>
      <c r="K5779" s="1111"/>
      <c r="L5779" s="1112"/>
      <c r="M5779" s="1113"/>
      <c r="N5779" s="110"/>
      <c r="O5779" s="1140"/>
      <c r="P5779" s="1115"/>
      <c r="Q5779" s="1116"/>
      <c r="R5779" s="1141"/>
      <c r="S5779" s="1113"/>
      <c r="T5779" s="1143"/>
      <c r="U5779" s="1108"/>
      <c r="V5779" s="1108"/>
      <c r="W5779" s="1108"/>
      <c r="X5779" s="1108"/>
      <c r="Y5779" s="1108"/>
      <c r="Z5779" s="1114"/>
      <c r="AA5779" s="1114"/>
      <c r="AB5779" s="1114"/>
      <c r="AC5779" s="1117"/>
      <c r="AD5779" s="1115"/>
      <c r="AE5779" s="1115"/>
      <c r="AF5779" s="1115"/>
      <c r="AG5779" s="1115"/>
      <c r="AH5779" s="1115"/>
      <c r="AI5779" s="1115"/>
      <c r="AJ5779" s="1117"/>
      <c r="AK5779" s="1118"/>
      <c r="AL5779" s="1115"/>
      <c r="AM5779" s="1115"/>
      <c r="AN5779" s="1115"/>
      <c r="AO5779" s="1115"/>
      <c r="AP5779" s="1115"/>
      <c r="AQ5779" s="1115"/>
      <c r="AR5779" s="1115"/>
      <c r="AS5779" s="1117"/>
      <c r="AT5779" s="1075"/>
      <c r="AU5779" s="1193"/>
      <c r="AV5779" s="330"/>
      <c r="AW5779" s="331"/>
      <c r="AX5779" s="331"/>
      <c r="AY5779" s="331"/>
      <c r="AZ5779" s="331"/>
      <c r="BA5779" s="331"/>
      <c r="BB5779" s="331"/>
      <c r="BC5779" s="331"/>
      <c r="BD5779" s="331"/>
      <c r="BE5779" s="333"/>
      <c r="BF5779" s="330"/>
      <c r="BG5779" s="333"/>
      <c r="BH5779" s="1119"/>
      <c r="BI5779" s="319"/>
      <c r="BJ5779" s="319"/>
      <c r="BK5779" s="319"/>
      <c r="BL5779" s="319"/>
      <c r="BM5779" s="319"/>
      <c r="BN5779" s="319"/>
      <c r="BO5779" s="319"/>
      <c r="BP5779" s="953"/>
      <c r="BQ5779" s="319"/>
      <c r="BR5779" s="319"/>
      <c r="BS5779" s="330"/>
      <c r="BT5779" s="331"/>
      <c r="BU5779" s="920"/>
      <c r="BV5779" s="903"/>
      <c r="BW5779" s="908"/>
      <c r="BX5779" s="908"/>
      <c r="BY5779" s="331"/>
      <c r="BZ5779" s="331"/>
      <c r="CA5779" s="462"/>
      <c r="CB5779" s="319"/>
      <c r="CC5779" s="319"/>
      <c r="CD5779" s="319"/>
      <c r="CE5779" s="319"/>
      <c r="CF5779" s="319"/>
      <c r="CG5779" s="319"/>
      <c r="CH5779" s="318"/>
      <c r="CI5779" s="319"/>
      <c r="CJ5779" s="319"/>
      <c r="CK5779" s="342"/>
      <c r="CL5779" s="333"/>
      <c r="CM5779" s="1079"/>
      <c r="CN5779" s="1005"/>
      <c r="CO5779" s="1005"/>
      <c r="CP5779" s="1005"/>
    </row>
    <row r="5780">
      <c r="A5780" s="1257"/>
      <c r="B5780" s="1113"/>
      <c r="C5780" s="1107"/>
      <c r="D5780" s="103"/>
      <c r="E5780" s="1137"/>
      <c r="F5780" s="112"/>
      <c r="G5780" s="1110"/>
      <c r="H5780" s="1138"/>
      <c r="I5780" s="1138"/>
      <c r="J5780" s="1139"/>
      <c r="K5780" s="1111"/>
      <c r="L5780" s="1112"/>
      <c r="M5780" s="1113"/>
      <c r="N5780" s="110"/>
      <c r="O5780" s="1140"/>
      <c r="P5780" s="1115"/>
      <c r="Q5780" s="1116"/>
      <c r="R5780" s="1141"/>
      <c r="S5780" s="1113"/>
      <c r="T5780" s="1143"/>
      <c r="U5780" s="1108"/>
      <c r="V5780" s="1108"/>
      <c r="W5780" s="1108"/>
      <c r="X5780" s="1108"/>
      <c r="Y5780" s="1108"/>
      <c r="Z5780" s="1114"/>
      <c r="AA5780" s="1114"/>
      <c r="AB5780" s="1114"/>
      <c r="AC5780" s="1117"/>
      <c r="AD5780" s="1115"/>
      <c r="AE5780" s="1115"/>
      <c r="AF5780" s="1115"/>
      <c r="AG5780" s="1115"/>
      <c r="AH5780" s="1115"/>
      <c r="AI5780" s="1115"/>
      <c r="AJ5780" s="1117"/>
      <c r="AK5780" s="1118"/>
      <c r="AL5780" s="1115"/>
      <c r="AM5780" s="1115"/>
      <c r="AN5780" s="1115"/>
      <c r="AO5780" s="1115"/>
      <c r="AP5780" s="1115"/>
      <c r="AQ5780" s="1115"/>
      <c r="AR5780" s="1115"/>
      <c r="AS5780" s="1117"/>
      <c r="AT5780" s="1075"/>
      <c r="AU5780" s="1193"/>
      <c r="AV5780" s="330"/>
      <c r="AW5780" s="331"/>
      <c r="AX5780" s="331"/>
      <c r="AY5780" s="331"/>
      <c r="AZ5780" s="331"/>
      <c r="BA5780" s="331"/>
      <c r="BB5780" s="331"/>
      <c r="BC5780" s="331"/>
      <c r="BD5780" s="331"/>
      <c r="BE5780" s="333"/>
      <c r="BF5780" s="330"/>
      <c r="BG5780" s="333"/>
      <c r="BH5780" s="1119"/>
      <c r="BI5780" s="319"/>
      <c r="BJ5780" s="319"/>
      <c r="BK5780" s="319"/>
      <c r="BL5780" s="319"/>
      <c r="BM5780" s="319"/>
      <c r="BN5780" s="319"/>
      <c r="BO5780" s="319"/>
      <c r="BP5780" s="953"/>
      <c r="BQ5780" s="319"/>
      <c r="BR5780" s="319"/>
      <c r="BS5780" s="330"/>
      <c r="BT5780" s="331"/>
      <c r="BU5780" s="920"/>
      <c r="BV5780" s="903"/>
      <c r="BW5780" s="908"/>
      <c r="BX5780" s="908"/>
      <c r="BY5780" s="331"/>
      <c r="BZ5780" s="331"/>
      <c r="CA5780" s="462"/>
      <c r="CB5780" s="319"/>
      <c r="CC5780" s="319"/>
      <c r="CD5780" s="319"/>
      <c r="CE5780" s="319"/>
      <c r="CF5780" s="319"/>
      <c r="CG5780" s="319"/>
      <c r="CH5780" s="318"/>
      <c r="CI5780" s="319"/>
      <c r="CJ5780" s="319"/>
      <c r="CK5780" s="342"/>
      <c r="CL5780" s="333"/>
      <c r="CM5780" s="1079"/>
      <c r="CN5780" s="1005"/>
      <c r="CO5780" s="1005"/>
      <c r="CP5780" s="1005"/>
    </row>
    <row r="5781">
      <c r="A5781" s="1257"/>
      <c r="B5781" s="1113"/>
      <c r="C5781" s="1107"/>
      <c r="D5781" s="103"/>
      <c r="E5781" s="1137"/>
      <c r="F5781" s="112"/>
      <c r="G5781" s="1110"/>
      <c r="H5781" s="1138"/>
      <c r="I5781" s="1138"/>
      <c r="J5781" s="1139"/>
      <c r="K5781" s="1111"/>
      <c r="L5781" s="1112"/>
      <c r="M5781" s="1113"/>
      <c r="N5781" s="110"/>
      <c r="O5781" s="1140"/>
      <c r="P5781" s="1115"/>
      <c r="Q5781" s="1116"/>
      <c r="R5781" s="1141"/>
      <c r="S5781" s="1113"/>
      <c r="T5781" s="1143"/>
      <c r="U5781" s="1108"/>
      <c r="V5781" s="1108"/>
      <c r="W5781" s="1108"/>
      <c r="X5781" s="1108"/>
      <c r="Y5781" s="1108"/>
      <c r="Z5781" s="1114"/>
      <c r="AA5781" s="1114"/>
      <c r="AB5781" s="1114"/>
      <c r="AC5781" s="1117"/>
      <c r="AD5781" s="1115"/>
      <c r="AE5781" s="1115"/>
      <c r="AF5781" s="1115"/>
      <c r="AG5781" s="1115"/>
      <c r="AH5781" s="1115"/>
      <c r="AI5781" s="1115"/>
      <c r="AJ5781" s="1117"/>
      <c r="AK5781" s="1118"/>
      <c r="AL5781" s="1115"/>
      <c r="AM5781" s="1115"/>
      <c r="AN5781" s="1115"/>
      <c r="AO5781" s="1115"/>
      <c r="AP5781" s="1115"/>
      <c r="AQ5781" s="1115"/>
      <c r="AR5781" s="1115"/>
      <c r="AS5781" s="1117"/>
      <c r="AT5781" s="1075"/>
      <c r="AU5781" s="1193"/>
      <c r="AV5781" s="330"/>
      <c r="AW5781" s="331"/>
      <c r="AX5781" s="331"/>
      <c r="AY5781" s="331"/>
      <c r="AZ5781" s="331"/>
      <c r="BA5781" s="331"/>
      <c r="BB5781" s="331"/>
      <c r="BC5781" s="331"/>
      <c r="BD5781" s="331"/>
      <c r="BE5781" s="333"/>
      <c r="BF5781" s="330"/>
      <c r="BG5781" s="333"/>
      <c r="BH5781" s="1119"/>
      <c r="BI5781" s="319"/>
      <c r="BJ5781" s="319"/>
      <c r="BK5781" s="319"/>
      <c r="BL5781" s="319"/>
      <c r="BM5781" s="319"/>
      <c r="BN5781" s="319"/>
      <c r="BO5781" s="319"/>
      <c r="BP5781" s="953"/>
      <c r="BQ5781" s="319"/>
      <c r="BR5781" s="319"/>
      <c r="BS5781" s="330"/>
      <c r="BT5781" s="331"/>
      <c r="BU5781" s="920"/>
      <c r="BV5781" s="903"/>
      <c r="BW5781" s="908"/>
      <c r="BX5781" s="908"/>
      <c r="BY5781" s="331"/>
      <c r="BZ5781" s="331"/>
      <c r="CA5781" s="462"/>
      <c r="CB5781" s="319"/>
      <c r="CC5781" s="319"/>
      <c r="CD5781" s="319"/>
      <c r="CE5781" s="319"/>
      <c r="CF5781" s="319"/>
      <c r="CG5781" s="319"/>
      <c r="CH5781" s="318"/>
      <c r="CI5781" s="319"/>
      <c r="CJ5781" s="319"/>
      <c r="CK5781" s="342"/>
      <c r="CL5781" s="333"/>
      <c r="CM5781" s="1079"/>
      <c r="CN5781" s="1005"/>
      <c r="CO5781" s="1005"/>
      <c r="CP5781" s="1005"/>
    </row>
    <row r="5782">
      <c r="A5782" s="1257"/>
      <c r="B5782" s="1113"/>
      <c r="C5782" s="1107"/>
      <c r="D5782" s="103"/>
      <c r="E5782" s="1137"/>
      <c r="F5782" s="112"/>
      <c r="G5782" s="1110"/>
      <c r="H5782" s="1138"/>
      <c r="I5782" s="1138"/>
      <c r="J5782" s="1139"/>
      <c r="K5782" s="1111"/>
      <c r="L5782" s="1112"/>
      <c r="M5782" s="1113"/>
      <c r="N5782" s="110"/>
      <c r="O5782" s="1140"/>
      <c r="P5782" s="1115"/>
      <c r="Q5782" s="1116"/>
      <c r="R5782" s="1141"/>
      <c r="S5782" s="1113"/>
      <c r="T5782" s="1143"/>
      <c r="U5782" s="1108"/>
      <c r="V5782" s="1108"/>
      <c r="W5782" s="1108"/>
      <c r="X5782" s="1108"/>
      <c r="Y5782" s="1108"/>
      <c r="Z5782" s="1114"/>
      <c r="AA5782" s="1114"/>
      <c r="AB5782" s="1114"/>
      <c r="AC5782" s="1117"/>
      <c r="AD5782" s="1115"/>
      <c r="AE5782" s="1115"/>
      <c r="AF5782" s="1115"/>
      <c r="AG5782" s="1115"/>
      <c r="AH5782" s="1115"/>
      <c r="AI5782" s="1115"/>
      <c r="AJ5782" s="1117"/>
      <c r="AK5782" s="1118"/>
      <c r="AL5782" s="1115"/>
      <c r="AM5782" s="1115"/>
      <c r="AN5782" s="1115"/>
      <c r="AO5782" s="1115"/>
      <c r="AP5782" s="1115"/>
      <c r="AQ5782" s="1115"/>
      <c r="AR5782" s="1115"/>
      <c r="AS5782" s="1117"/>
      <c r="AT5782" s="1075"/>
      <c r="AU5782" s="1193"/>
      <c r="AV5782" s="330"/>
      <c r="AW5782" s="331"/>
      <c r="AX5782" s="331"/>
      <c r="AY5782" s="331"/>
      <c r="AZ5782" s="331"/>
      <c r="BA5782" s="331"/>
      <c r="BB5782" s="331"/>
      <c r="BC5782" s="331"/>
      <c r="BD5782" s="331"/>
      <c r="BE5782" s="333"/>
      <c r="BF5782" s="330"/>
      <c r="BG5782" s="333"/>
      <c r="BH5782" s="1119"/>
      <c r="BI5782" s="319"/>
      <c r="BJ5782" s="319"/>
      <c r="BK5782" s="319"/>
      <c r="BL5782" s="319"/>
      <c r="BM5782" s="319"/>
      <c r="BN5782" s="319"/>
      <c r="BO5782" s="319"/>
      <c r="BP5782" s="953"/>
      <c r="BQ5782" s="319"/>
      <c r="BR5782" s="319"/>
      <c r="BS5782" s="330"/>
      <c r="BT5782" s="331"/>
      <c r="BU5782" s="920"/>
      <c r="BV5782" s="903"/>
      <c r="BW5782" s="908"/>
      <c r="BX5782" s="908"/>
      <c r="BY5782" s="331"/>
      <c r="BZ5782" s="331"/>
      <c r="CA5782" s="462"/>
      <c r="CB5782" s="319"/>
      <c r="CC5782" s="319"/>
      <c r="CD5782" s="319"/>
      <c r="CE5782" s="319"/>
      <c r="CF5782" s="319"/>
      <c r="CG5782" s="319"/>
      <c r="CH5782" s="318"/>
      <c r="CI5782" s="319"/>
      <c r="CJ5782" s="319"/>
      <c r="CK5782" s="342"/>
      <c r="CL5782" s="333"/>
      <c r="CM5782" s="1079"/>
      <c r="CN5782" s="1005"/>
      <c r="CO5782" s="1005"/>
      <c r="CP5782" s="1005"/>
    </row>
    <row r="5783">
      <c r="A5783" s="1257"/>
      <c r="B5783" s="1113"/>
      <c r="C5783" s="1107"/>
      <c r="D5783" s="103"/>
      <c r="E5783" s="1137"/>
      <c r="F5783" s="112"/>
      <c r="G5783" s="1110"/>
      <c r="H5783" s="1138"/>
      <c r="I5783" s="1138"/>
      <c r="J5783" s="1139"/>
      <c r="K5783" s="1111"/>
      <c r="L5783" s="1112"/>
      <c r="M5783" s="1113"/>
      <c r="N5783" s="110"/>
      <c r="O5783" s="1140"/>
      <c r="P5783" s="1115"/>
      <c r="Q5783" s="1116"/>
      <c r="R5783" s="1141"/>
      <c r="S5783" s="1113"/>
      <c r="T5783" s="1143"/>
      <c r="U5783" s="1108"/>
      <c r="V5783" s="1108"/>
      <c r="W5783" s="1108"/>
      <c r="X5783" s="1108"/>
      <c r="Y5783" s="1108"/>
      <c r="Z5783" s="1114"/>
      <c r="AA5783" s="1114"/>
      <c r="AB5783" s="1114"/>
      <c r="AC5783" s="1117"/>
      <c r="AD5783" s="1115"/>
      <c r="AE5783" s="1115"/>
      <c r="AF5783" s="1115"/>
      <c r="AG5783" s="1115"/>
      <c r="AH5783" s="1115"/>
      <c r="AI5783" s="1115"/>
      <c r="AJ5783" s="1117"/>
      <c r="AK5783" s="1118"/>
      <c r="AL5783" s="1115"/>
      <c r="AM5783" s="1115"/>
      <c r="AN5783" s="1115"/>
      <c r="AO5783" s="1115"/>
      <c r="AP5783" s="1115"/>
      <c r="AQ5783" s="1115"/>
      <c r="AR5783" s="1115"/>
      <c r="AS5783" s="1117"/>
      <c r="AT5783" s="1075"/>
      <c r="AU5783" s="1193"/>
      <c r="AV5783" s="330"/>
      <c r="AW5783" s="331"/>
      <c r="AX5783" s="331"/>
      <c r="AY5783" s="331"/>
      <c r="AZ5783" s="331"/>
      <c r="BA5783" s="331"/>
      <c r="BB5783" s="331"/>
      <c r="BC5783" s="331"/>
      <c r="BD5783" s="331"/>
      <c r="BE5783" s="333"/>
      <c r="BF5783" s="330"/>
      <c r="BG5783" s="333"/>
      <c r="BH5783" s="1119"/>
      <c r="BI5783" s="319"/>
      <c r="BJ5783" s="319"/>
      <c r="BK5783" s="319"/>
      <c r="BL5783" s="319"/>
      <c r="BM5783" s="319"/>
      <c r="BN5783" s="319"/>
      <c r="BO5783" s="319"/>
      <c r="BP5783" s="953"/>
      <c r="BQ5783" s="319"/>
      <c r="BR5783" s="319"/>
      <c r="BS5783" s="330"/>
      <c r="BT5783" s="331"/>
      <c r="BU5783" s="920"/>
      <c r="BV5783" s="903"/>
      <c r="BW5783" s="908"/>
      <c r="BX5783" s="908"/>
      <c r="BY5783" s="331"/>
      <c r="BZ5783" s="331"/>
      <c r="CA5783" s="462"/>
      <c r="CB5783" s="319"/>
      <c r="CC5783" s="319"/>
      <c r="CD5783" s="319"/>
      <c r="CE5783" s="319"/>
      <c r="CF5783" s="319"/>
      <c r="CG5783" s="319"/>
      <c r="CH5783" s="318"/>
      <c r="CI5783" s="319"/>
      <c r="CJ5783" s="319"/>
      <c r="CK5783" s="342"/>
      <c r="CL5783" s="333"/>
      <c r="CM5783" s="1079"/>
      <c r="CN5783" s="1005"/>
      <c r="CO5783" s="1005"/>
      <c r="CP5783" s="1005"/>
    </row>
    <row r="5784">
      <c r="A5784" s="1257"/>
      <c r="B5784" s="1113"/>
      <c r="C5784" s="1107"/>
      <c r="D5784" s="103"/>
      <c r="E5784" s="1137"/>
      <c r="F5784" s="112"/>
      <c r="G5784" s="1110"/>
      <c r="H5784" s="1138"/>
      <c r="I5784" s="1138"/>
      <c r="J5784" s="1139"/>
      <c r="K5784" s="1111"/>
      <c r="L5784" s="1112"/>
      <c r="M5784" s="1113"/>
      <c r="N5784" s="110"/>
      <c r="O5784" s="1140"/>
      <c r="P5784" s="1115"/>
      <c r="Q5784" s="1116"/>
      <c r="R5784" s="1141"/>
      <c r="S5784" s="1113"/>
      <c r="T5784" s="1143"/>
      <c r="U5784" s="1108"/>
      <c r="V5784" s="1108"/>
      <c r="W5784" s="1108"/>
      <c r="X5784" s="1108"/>
      <c r="Y5784" s="1108"/>
      <c r="Z5784" s="1114"/>
      <c r="AA5784" s="1114"/>
      <c r="AB5784" s="1114"/>
      <c r="AC5784" s="1117"/>
      <c r="AD5784" s="1115"/>
      <c r="AE5784" s="1115"/>
      <c r="AF5784" s="1115"/>
      <c r="AG5784" s="1115"/>
      <c r="AH5784" s="1115"/>
      <c r="AI5784" s="1115"/>
      <c r="AJ5784" s="1117"/>
      <c r="AK5784" s="1118"/>
      <c r="AL5784" s="1115"/>
      <c r="AM5784" s="1115"/>
      <c r="AN5784" s="1115"/>
      <c r="AO5784" s="1115"/>
      <c r="AP5784" s="1115"/>
      <c r="AQ5784" s="1115"/>
      <c r="AR5784" s="1115"/>
      <c r="AS5784" s="1117"/>
      <c r="AT5784" s="1075"/>
      <c r="AU5784" s="1193"/>
      <c r="AV5784" s="330"/>
      <c r="AW5784" s="331"/>
      <c r="AX5784" s="331"/>
      <c r="AY5784" s="331"/>
      <c r="AZ5784" s="331"/>
      <c r="BA5784" s="331"/>
      <c r="BB5784" s="331"/>
      <c r="BC5784" s="331"/>
      <c r="BD5784" s="331"/>
      <c r="BE5784" s="333"/>
      <c r="BF5784" s="330"/>
      <c r="BG5784" s="333"/>
      <c r="BH5784" s="1119"/>
      <c r="BI5784" s="319"/>
      <c r="BJ5784" s="319"/>
      <c r="BK5784" s="319"/>
      <c r="BL5784" s="319"/>
      <c r="BM5784" s="319"/>
      <c r="BN5784" s="319"/>
      <c r="BO5784" s="319"/>
      <c r="BP5784" s="953"/>
      <c r="BQ5784" s="319"/>
      <c r="BR5784" s="319"/>
      <c r="BS5784" s="330"/>
      <c r="BT5784" s="331"/>
      <c r="BU5784" s="920"/>
      <c r="BV5784" s="903"/>
      <c r="BW5784" s="908"/>
      <c r="BX5784" s="908"/>
      <c r="BY5784" s="331"/>
      <c r="BZ5784" s="331"/>
      <c r="CA5784" s="462"/>
      <c r="CB5784" s="319"/>
      <c r="CC5784" s="319"/>
      <c r="CD5784" s="319"/>
      <c r="CE5784" s="319"/>
      <c r="CF5784" s="319"/>
      <c r="CG5784" s="319"/>
      <c r="CH5784" s="318"/>
      <c r="CI5784" s="319"/>
      <c r="CJ5784" s="319"/>
      <c r="CK5784" s="342"/>
      <c r="CL5784" s="333"/>
      <c r="CM5784" s="1079"/>
      <c r="CN5784" s="1005"/>
      <c r="CO5784" s="1005"/>
      <c r="CP5784" s="1005"/>
    </row>
    <row r="5785">
      <c r="A5785" s="1257"/>
      <c r="B5785" s="1113"/>
      <c r="C5785" s="1107"/>
      <c r="D5785" s="103"/>
      <c r="E5785" s="1137"/>
      <c r="F5785" s="112"/>
      <c r="G5785" s="1110"/>
      <c r="H5785" s="1138"/>
      <c r="I5785" s="1138"/>
      <c r="J5785" s="1139"/>
      <c r="K5785" s="1111"/>
      <c r="L5785" s="1112"/>
      <c r="M5785" s="1113"/>
      <c r="N5785" s="110"/>
      <c r="O5785" s="1140"/>
      <c r="P5785" s="1115"/>
      <c r="Q5785" s="1116"/>
      <c r="R5785" s="1141"/>
      <c r="S5785" s="1113"/>
      <c r="T5785" s="1143"/>
      <c r="U5785" s="1108"/>
      <c r="V5785" s="1108"/>
      <c r="W5785" s="1108"/>
      <c r="X5785" s="1108"/>
      <c r="Y5785" s="1108"/>
      <c r="Z5785" s="1114"/>
      <c r="AA5785" s="1114"/>
      <c r="AB5785" s="1114"/>
      <c r="AC5785" s="1117"/>
      <c r="AD5785" s="1115"/>
      <c r="AE5785" s="1115"/>
      <c r="AF5785" s="1115"/>
      <c r="AG5785" s="1115"/>
      <c r="AH5785" s="1115"/>
      <c r="AI5785" s="1115"/>
      <c r="AJ5785" s="1117"/>
      <c r="AK5785" s="1118"/>
      <c r="AL5785" s="1115"/>
      <c r="AM5785" s="1115"/>
      <c r="AN5785" s="1115"/>
      <c r="AO5785" s="1115"/>
      <c r="AP5785" s="1115"/>
      <c r="AQ5785" s="1115"/>
      <c r="AR5785" s="1115"/>
      <c r="AS5785" s="1117"/>
      <c r="AT5785" s="1075"/>
      <c r="AU5785" s="1193"/>
      <c r="AV5785" s="330"/>
      <c r="AW5785" s="331"/>
      <c r="AX5785" s="331"/>
      <c r="AY5785" s="331"/>
      <c r="AZ5785" s="331"/>
      <c r="BA5785" s="331"/>
      <c r="BB5785" s="331"/>
      <c r="BC5785" s="331"/>
      <c r="BD5785" s="331"/>
      <c r="BE5785" s="333"/>
      <c r="BF5785" s="330"/>
      <c r="BG5785" s="333"/>
      <c r="BH5785" s="1119"/>
      <c r="BI5785" s="319"/>
      <c r="BJ5785" s="319"/>
      <c r="BK5785" s="319"/>
      <c r="BL5785" s="319"/>
      <c r="BM5785" s="319"/>
      <c r="BN5785" s="319"/>
      <c r="BO5785" s="319"/>
      <c r="BP5785" s="953"/>
      <c r="BQ5785" s="319"/>
      <c r="BR5785" s="319"/>
      <c r="BS5785" s="330"/>
      <c r="BT5785" s="331"/>
      <c r="BU5785" s="920"/>
      <c r="BV5785" s="903"/>
      <c r="BW5785" s="908"/>
      <c r="BX5785" s="908"/>
      <c r="BY5785" s="331"/>
      <c r="BZ5785" s="331"/>
      <c r="CA5785" s="462"/>
      <c r="CB5785" s="319"/>
      <c r="CC5785" s="319"/>
      <c r="CD5785" s="319"/>
      <c r="CE5785" s="319"/>
      <c r="CF5785" s="319"/>
      <c r="CG5785" s="319"/>
      <c r="CH5785" s="318"/>
      <c r="CI5785" s="319"/>
      <c r="CJ5785" s="319"/>
      <c r="CK5785" s="342"/>
      <c r="CL5785" s="333"/>
      <c r="CM5785" s="1079"/>
      <c r="CN5785" s="1005"/>
      <c r="CO5785" s="1005"/>
      <c r="CP5785" s="1005"/>
    </row>
    <row r="5786">
      <c r="A5786" s="1257"/>
      <c r="B5786" s="1113"/>
      <c r="C5786" s="1107"/>
      <c r="D5786" s="103"/>
      <c r="E5786" s="1137"/>
      <c r="F5786" s="112"/>
      <c r="G5786" s="1110"/>
      <c r="H5786" s="1138"/>
      <c r="I5786" s="1138"/>
      <c r="J5786" s="1139"/>
      <c r="K5786" s="1111"/>
      <c r="L5786" s="1112"/>
      <c r="M5786" s="1113"/>
      <c r="N5786" s="110"/>
      <c r="O5786" s="1140"/>
      <c r="P5786" s="1115"/>
      <c r="Q5786" s="1116"/>
      <c r="R5786" s="1141"/>
      <c r="S5786" s="1113"/>
      <c r="T5786" s="1143"/>
      <c r="U5786" s="1108"/>
      <c r="V5786" s="1108"/>
      <c r="W5786" s="1108"/>
      <c r="X5786" s="1108"/>
      <c r="Y5786" s="1108"/>
      <c r="Z5786" s="1114"/>
      <c r="AA5786" s="1114"/>
      <c r="AB5786" s="1114"/>
      <c r="AC5786" s="1117"/>
      <c r="AD5786" s="1115"/>
      <c r="AE5786" s="1115"/>
      <c r="AF5786" s="1115"/>
      <c r="AG5786" s="1115"/>
      <c r="AH5786" s="1115"/>
      <c r="AI5786" s="1115"/>
      <c r="AJ5786" s="1117"/>
      <c r="AK5786" s="1118"/>
      <c r="AL5786" s="1115"/>
      <c r="AM5786" s="1115"/>
      <c r="AN5786" s="1115"/>
      <c r="AO5786" s="1115"/>
      <c r="AP5786" s="1115"/>
      <c r="AQ5786" s="1115"/>
      <c r="AR5786" s="1115"/>
      <c r="AS5786" s="1117"/>
      <c r="AT5786" s="1075"/>
      <c r="AU5786" s="1193"/>
      <c r="AV5786" s="330"/>
      <c r="AW5786" s="331"/>
      <c r="AX5786" s="331"/>
      <c r="AY5786" s="331"/>
      <c r="AZ5786" s="331"/>
      <c r="BA5786" s="331"/>
      <c r="BB5786" s="331"/>
      <c r="BC5786" s="331"/>
      <c r="BD5786" s="331"/>
      <c r="BE5786" s="333"/>
      <c r="BF5786" s="330"/>
      <c r="BG5786" s="333"/>
      <c r="BH5786" s="1119"/>
      <c r="BI5786" s="319"/>
      <c r="BJ5786" s="319"/>
      <c r="BK5786" s="319"/>
      <c r="BL5786" s="319"/>
      <c r="BM5786" s="319"/>
      <c r="BN5786" s="319"/>
      <c r="BO5786" s="319"/>
      <c r="BP5786" s="953"/>
      <c r="BQ5786" s="319"/>
      <c r="BR5786" s="319"/>
      <c r="BS5786" s="330"/>
      <c r="BT5786" s="331"/>
      <c r="BU5786" s="920"/>
      <c r="BV5786" s="903"/>
      <c r="BW5786" s="908"/>
      <c r="BX5786" s="908"/>
      <c r="BY5786" s="331"/>
      <c r="BZ5786" s="331"/>
      <c r="CA5786" s="462"/>
      <c r="CB5786" s="319"/>
      <c r="CC5786" s="319"/>
      <c r="CD5786" s="319"/>
      <c r="CE5786" s="319"/>
      <c r="CF5786" s="319"/>
      <c r="CG5786" s="319"/>
      <c r="CH5786" s="318"/>
      <c r="CI5786" s="319"/>
      <c r="CJ5786" s="319"/>
      <c r="CK5786" s="342"/>
      <c r="CL5786" s="333"/>
      <c r="CM5786" s="1079"/>
      <c r="CN5786" s="1005"/>
      <c r="CO5786" s="1005"/>
      <c r="CP5786" s="1005"/>
    </row>
    <row r="5787">
      <c r="A5787" s="1257"/>
      <c r="B5787" s="1113"/>
      <c r="C5787" s="1107"/>
      <c r="D5787" s="103"/>
      <c r="E5787" s="1137"/>
      <c r="F5787" s="112"/>
      <c r="G5787" s="1110"/>
      <c r="H5787" s="1138"/>
      <c r="I5787" s="1138"/>
      <c r="J5787" s="1139"/>
      <c r="K5787" s="1111"/>
      <c r="L5787" s="1112"/>
      <c r="M5787" s="1113"/>
      <c r="N5787" s="110"/>
      <c r="O5787" s="1140"/>
      <c r="P5787" s="1115"/>
      <c r="Q5787" s="1116"/>
      <c r="R5787" s="1141"/>
      <c r="S5787" s="1113"/>
      <c r="T5787" s="1143"/>
      <c r="U5787" s="1108"/>
      <c r="V5787" s="1108"/>
      <c r="W5787" s="1108"/>
      <c r="X5787" s="1108"/>
      <c r="Y5787" s="1108"/>
      <c r="Z5787" s="1114"/>
      <c r="AA5787" s="1114"/>
      <c r="AB5787" s="1114"/>
      <c r="AC5787" s="1117"/>
      <c r="AD5787" s="1115"/>
      <c r="AE5787" s="1115"/>
      <c r="AF5787" s="1115"/>
      <c r="AG5787" s="1115"/>
      <c r="AH5787" s="1115"/>
      <c r="AI5787" s="1115"/>
      <c r="AJ5787" s="1117"/>
      <c r="AK5787" s="1118"/>
      <c r="AL5787" s="1115"/>
      <c r="AM5787" s="1115"/>
      <c r="AN5787" s="1115"/>
      <c r="AO5787" s="1115"/>
      <c r="AP5787" s="1115"/>
      <c r="AQ5787" s="1115"/>
      <c r="AR5787" s="1115"/>
      <c r="AS5787" s="1117"/>
      <c r="AT5787" s="1075"/>
      <c r="AU5787" s="1193"/>
      <c r="AV5787" s="330"/>
      <c r="AW5787" s="331"/>
      <c r="AX5787" s="331"/>
      <c r="AY5787" s="331"/>
      <c r="AZ5787" s="331"/>
      <c r="BA5787" s="331"/>
      <c r="BB5787" s="331"/>
      <c r="BC5787" s="331"/>
      <c r="BD5787" s="331"/>
      <c r="BE5787" s="333"/>
      <c r="BF5787" s="330"/>
      <c r="BG5787" s="333"/>
      <c r="BH5787" s="1119"/>
      <c r="BI5787" s="319"/>
      <c r="BJ5787" s="319"/>
      <c r="BK5787" s="319"/>
      <c r="BL5787" s="319"/>
      <c r="BM5787" s="319"/>
      <c r="BN5787" s="319"/>
      <c r="BO5787" s="319"/>
      <c r="BP5787" s="953"/>
      <c r="BQ5787" s="319"/>
      <c r="BR5787" s="319"/>
      <c r="BS5787" s="330"/>
      <c r="BT5787" s="331"/>
      <c r="BU5787" s="920"/>
      <c r="BV5787" s="903"/>
      <c r="BW5787" s="908"/>
      <c r="BX5787" s="908"/>
      <c r="BY5787" s="331"/>
      <c r="BZ5787" s="331"/>
      <c r="CA5787" s="462"/>
      <c r="CB5787" s="319"/>
      <c r="CC5787" s="319"/>
      <c r="CD5787" s="319"/>
      <c r="CE5787" s="319"/>
      <c r="CF5787" s="319"/>
      <c r="CG5787" s="319"/>
      <c r="CH5787" s="318"/>
      <c r="CI5787" s="319"/>
      <c r="CJ5787" s="319"/>
      <c r="CK5787" s="342"/>
      <c r="CL5787" s="333"/>
      <c r="CM5787" s="1079"/>
      <c r="CN5787" s="1005"/>
      <c r="CO5787" s="1005"/>
      <c r="CP5787" s="1005"/>
    </row>
    <row r="5788">
      <c r="A5788" s="1257"/>
      <c r="B5788" s="1113"/>
      <c r="C5788" s="1107"/>
      <c r="D5788" s="103"/>
      <c r="E5788" s="1137"/>
      <c r="F5788" s="112"/>
      <c r="G5788" s="1110"/>
      <c r="H5788" s="1138"/>
      <c r="I5788" s="1138"/>
      <c r="J5788" s="1139"/>
      <c r="K5788" s="1111"/>
      <c r="L5788" s="1112"/>
      <c r="M5788" s="1113"/>
      <c r="N5788" s="110"/>
      <c r="O5788" s="1140"/>
      <c r="P5788" s="1115"/>
      <c r="Q5788" s="1116"/>
      <c r="R5788" s="1141"/>
      <c r="S5788" s="1113"/>
      <c r="T5788" s="1143"/>
      <c r="U5788" s="1108"/>
      <c r="V5788" s="1108"/>
      <c r="W5788" s="1108"/>
      <c r="X5788" s="1108"/>
      <c r="Y5788" s="1108"/>
      <c r="Z5788" s="1114"/>
      <c r="AA5788" s="1114"/>
      <c r="AB5788" s="1114"/>
      <c r="AC5788" s="1117"/>
      <c r="AD5788" s="1115"/>
      <c r="AE5788" s="1115"/>
      <c r="AF5788" s="1115"/>
      <c r="AG5788" s="1115"/>
      <c r="AH5788" s="1115"/>
      <c r="AI5788" s="1115"/>
      <c r="AJ5788" s="1117"/>
      <c r="AK5788" s="1118"/>
      <c r="AL5788" s="1115"/>
      <c r="AM5788" s="1115"/>
      <c r="AN5788" s="1115"/>
      <c r="AO5788" s="1115"/>
      <c r="AP5788" s="1115"/>
      <c r="AQ5788" s="1115"/>
      <c r="AR5788" s="1115"/>
      <c r="AS5788" s="1117"/>
      <c r="AT5788" s="1075"/>
      <c r="AU5788" s="1193"/>
      <c r="AV5788" s="330"/>
      <c r="AW5788" s="331"/>
      <c r="AX5788" s="331"/>
      <c r="AY5788" s="331"/>
      <c r="AZ5788" s="331"/>
      <c r="BA5788" s="331"/>
      <c r="BB5788" s="331"/>
      <c r="BC5788" s="331"/>
      <c r="BD5788" s="331"/>
      <c r="BE5788" s="333"/>
      <c r="BF5788" s="330"/>
      <c r="BG5788" s="333"/>
      <c r="BH5788" s="1119"/>
      <c r="BI5788" s="319"/>
      <c r="BJ5788" s="319"/>
      <c r="BK5788" s="319"/>
      <c r="BL5788" s="319"/>
      <c r="BM5788" s="319"/>
      <c r="BN5788" s="319"/>
      <c r="BO5788" s="319"/>
      <c r="BP5788" s="953"/>
      <c r="BQ5788" s="319"/>
      <c r="BR5788" s="319"/>
      <c r="BS5788" s="330"/>
      <c r="BT5788" s="331"/>
      <c r="BU5788" s="920"/>
      <c r="BV5788" s="903"/>
      <c r="BW5788" s="908"/>
      <c r="BX5788" s="908"/>
      <c r="BY5788" s="331"/>
      <c r="BZ5788" s="331"/>
      <c r="CA5788" s="462"/>
      <c r="CB5788" s="319"/>
      <c r="CC5788" s="319"/>
      <c r="CD5788" s="319"/>
      <c r="CE5788" s="319"/>
      <c r="CF5788" s="319"/>
      <c r="CG5788" s="319"/>
      <c r="CH5788" s="318"/>
      <c r="CI5788" s="319"/>
      <c r="CJ5788" s="319"/>
      <c r="CK5788" s="342"/>
      <c r="CL5788" s="333"/>
      <c r="CM5788" s="1079"/>
      <c r="CN5788" s="1005"/>
      <c r="CO5788" s="1005"/>
      <c r="CP5788" s="1005"/>
    </row>
    <row r="5789">
      <c r="A5789" s="1257"/>
      <c r="B5789" s="1113"/>
      <c r="C5789" s="1107"/>
      <c r="D5789" s="103"/>
      <c r="E5789" s="1137"/>
      <c r="F5789" s="112"/>
      <c r="G5789" s="1110"/>
      <c r="H5789" s="1138"/>
      <c r="I5789" s="1138"/>
      <c r="J5789" s="1139"/>
      <c r="K5789" s="1111"/>
      <c r="L5789" s="1112"/>
      <c r="M5789" s="1113"/>
      <c r="N5789" s="110"/>
      <c r="O5789" s="1140"/>
      <c r="P5789" s="1115"/>
      <c r="Q5789" s="1116"/>
      <c r="R5789" s="1141"/>
      <c r="S5789" s="1113"/>
      <c r="T5789" s="1143"/>
      <c r="U5789" s="1108"/>
      <c r="V5789" s="1108"/>
      <c r="W5789" s="1108"/>
      <c r="X5789" s="1108"/>
      <c r="Y5789" s="1108"/>
      <c r="Z5789" s="1114"/>
      <c r="AA5789" s="1114"/>
      <c r="AB5789" s="1114"/>
      <c r="AC5789" s="1117"/>
      <c r="AD5789" s="1115"/>
      <c r="AE5789" s="1115"/>
      <c r="AF5789" s="1115"/>
      <c r="AG5789" s="1115"/>
      <c r="AH5789" s="1115"/>
      <c r="AI5789" s="1115"/>
      <c r="AJ5789" s="1117"/>
      <c r="AK5789" s="1118"/>
      <c r="AL5789" s="1115"/>
      <c r="AM5789" s="1115"/>
      <c r="AN5789" s="1115"/>
      <c r="AO5789" s="1115"/>
      <c r="AP5789" s="1115"/>
      <c r="AQ5789" s="1115"/>
      <c r="AR5789" s="1115"/>
      <c r="AS5789" s="1117"/>
      <c r="AT5789" s="1075"/>
      <c r="AU5789" s="1193"/>
      <c r="AV5789" s="330"/>
      <c r="AW5789" s="331"/>
      <c r="AX5789" s="331"/>
      <c r="AY5789" s="331"/>
      <c r="AZ5789" s="331"/>
      <c r="BA5789" s="331"/>
      <c r="BB5789" s="331"/>
      <c r="BC5789" s="331"/>
      <c r="BD5789" s="331"/>
      <c r="BE5789" s="333"/>
      <c r="BF5789" s="330"/>
      <c r="BG5789" s="333"/>
      <c r="BH5789" s="1119"/>
      <c r="BI5789" s="319"/>
      <c r="BJ5789" s="319"/>
      <c r="BK5789" s="319"/>
      <c r="BL5789" s="319"/>
      <c r="BM5789" s="319"/>
      <c r="BN5789" s="319"/>
      <c r="BO5789" s="319"/>
      <c r="BP5789" s="953"/>
      <c r="BQ5789" s="319"/>
      <c r="BR5789" s="319"/>
      <c r="BS5789" s="330"/>
      <c r="BT5789" s="331"/>
      <c r="BU5789" s="920"/>
      <c r="BV5789" s="903"/>
      <c r="BW5789" s="908"/>
      <c r="BX5789" s="908"/>
      <c r="BY5789" s="331"/>
      <c r="BZ5789" s="331"/>
      <c r="CA5789" s="462"/>
      <c r="CB5789" s="319"/>
      <c r="CC5789" s="319"/>
      <c r="CD5789" s="319"/>
      <c r="CE5789" s="319"/>
      <c r="CF5789" s="319"/>
      <c r="CG5789" s="319"/>
      <c r="CH5789" s="318"/>
      <c r="CI5789" s="319"/>
      <c r="CJ5789" s="319"/>
      <c r="CK5789" s="342"/>
      <c r="CL5789" s="333"/>
      <c r="CM5789" s="1079"/>
      <c r="CN5789" s="1005"/>
      <c r="CO5789" s="1005"/>
      <c r="CP5789" s="1005"/>
    </row>
    <row r="5790">
      <c r="A5790" s="1257"/>
      <c r="B5790" s="1113"/>
      <c r="C5790" s="1107"/>
      <c r="D5790" s="103"/>
      <c r="E5790" s="1137"/>
      <c r="F5790" s="112"/>
      <c r="G5790" s="1110"/>
      <c r="H5790" s="1138"/>
      <c r="I5790" s="1138"/>
      <c r="J5790" s="1139"/>
      <c r="K5790" s="1111"/>
      <c r="L5790" s="1112"/>
      <c r="M5790" s="1113"/>
      <c r="N5790" s="110"/>
      <c r="O5790" s="1140"/>
      <c r="P5790" s="1115"/>
      <c r="Q5790" s="1116"/>
      <c r="R5790" s="1141"/>
      <c r="S5790" s="1113"/>
      <c r="T5790" s="1143"/>
      <c r="U5790" s="1108"/>
      <c r="V5790" s="1108"/>
      <c r="W5790" s="1108"/>
      <c r="X5790" s="1108"/>
      <c r="Y5790" s="1108"/>
      <c r="Z5790" s="1114"/>
      <c r="AA5790" s="1114"/>
      <c r="AB5790" s="1114"/>
      <c r="AC5790" s="1117"/>
      <c r="AD5790" s="1115"/>
      <c r="AE5790" s="1115"/>
      <c r="AF5790" s="1115"/>
      <c r="AG5790" s="1115"/>
      <c r="AH5790" s="1115"/>
      <c r="AI5790" s="1115"/>
      <c r="AJ5790" s="1117"/>
      <c r="AK5790" s="1118"/>
      <c r="AL5790" s="1115"/>
      <c r="AM5790" s="1115"/>
      <c r="AN5790" s="1115"/>
      <c r="AO5790" s="1115"/>
      <c r="AP5790" s="1115"/>
      <c r="AQ5790" s="1115"/>
      <c r="AR5790" s="1115"/>
      <c r="AS5790" s="1117"/>
      <c r="AT5790" s="1075"/>
      <c r="AU5790" s="1193"/>
      <c r="AV5790" s="330"/>
      <c r="AW5790" s="331"/>
      <c r="AX5790" s="331"/>
      <c r="AY5790" s="331"/>
      <c r="AZ5790" s="331"/>
      <c r="BA5790" s="331"/>
      <c r="BB5790" s="331"/>
      <c r="BC5790" s="331"/>
      <c r="BD5790" s="331"/>
      <c r="BE5790" s="333"/>
      <c r="BF5790" s="330"/>
      <c r="BG5790" s="333"/>
      <c r="BH5790" s="1119"/>
      <c r="BI5790" s="319"/>
      <c r="BJ5790" s="319"/>
      <c r="BK5790" s="319"/>
      <c r="BL5790" s="319"/>
      <c r="BM5790" s="319"/>
      <c r="BN5790" s="319"/>
      <c r="BO5790" s="319"/>
      <c r="BP5790" s="953"/>
      <c r="BQ5790" s="319"/>
      <c r="BR5790" s="319"/>
      <c r="BS5790" s="330"/>
      <c r="BT5790" s="331"/>
      <c r="BU5790" s="920"/>
      <c r="BV5790" s="903"/>
      <c r="BW5790" s="908"/>
      <c r="BX5790" s="908"/>
      <c r="BY5790" s="331"/>
      <c r="BZ5790" s="331"/>
      <c r="CA5790" s="462"/>
      <c r="CB5790" s="319"/>
      <c r="CC5790" s="319"/>
      <c r="CD5790" s="319"/>
      <c r="CE5790" s="319"/>
      <c r="CF5790" s="319"/>
      <c r="CG5790" s="319"/>
      <c r="CH5790" s="318"/>
      <c r="CI5790" s="319"/>
      <c r="CJ5790" s="319"/>
      <c r="CK5790" s="342"/>
      <c r="CL5790" s="333"/>
      <c r="CM5790" s="1079"/>
      <c r="CN5790" s="1005"/>
      <c r="CO5790" s="1005"/>
      <c r="CP5790" s="1005"/>
    </row>
    <row r="5791">
      <c r="A5791" s="1257"/>
      <c r="B5791" s="1113"/>
      <c r="C5791" s="1107"/>
      <c r="D5791" s="103"/>
      <c r="E5791" s="1137"/>
      <c r="F5791" s="112"/>
      <c r="G5791" s="1110"/>
      <c r="H5791" s="1138"/>
      <c r="I5791" s="1138"/>
      <c r="J5791" s="1139"/>
      <c r="K5791" s="1111"/>
      <c r="L5791" s="1112"/>
      <c r="M5791" s="1113"/>
      <c r="N5791" s="110"/>
      <c r="O5791" s="1140"/>
      <c r="P5791" s="1115"/>
      <c r="Q5791" s="1116"/>
      <c r="R5791" s="1141"/>
      <c r="S5791" s="1113"/>
      <c r="T5791" s="1143"/>
      <c r="U5791" s="1108"/>
      <c r="V5791" s="1108"/>
      <c r="W5791" s="1108"/>
      <c r="X5791" s="1108"/>
      <c r="Y5791" s="1108"/>
      <c r="Z5791" s="1114"/>
      <c r="AA5791" s="1114"/>
      <c r="AB5791" s="1114"/>
      <c r="AC5791" s="1117"/>
      <c r="AD5791" s="1115"/>
      <c r="AE5791" s="1115"/>
      <c r="AF5791" s="1115"/>
      <c r="AG5791" s="1115"/>
      <c r="AH5791" s="1115"/>
      <c r="AI5791" s="1115"/>
      <c r="AJ5791" s="1117"/>
      <c r="AK5791" s="1118"/>
      <c r="AL5791" s="1115"/>
      <c r="AM5791" s="1115"/>
      <c r="AN5791" s="1115"/>
      <c r="AO5791" s="1115"/>
      <c r="AP5791" s="1115"/>
      <c r="AQ5791" s="1115"/>
      <c r="AR5791" s="1115"/>
      <c r="AS5791" s="1117"/>
      <c r="AT5791" s="1075"/>
      <c r="AU5791" s="1193"/>
      <c r="AV5791" s="330"/>
      <c r="AW5791" s="331"/>
      <c r="AX5791" s="331"/>
      <c r="AY5791" s="331"/>
      <c r="AZ5791" s="331"/>
      <c r="BA5791" s="331"/>
      <c r="BB5791" s="331"/>
      <c r="BC5791" s="331"/>
      <c r="BD5791" s="331"/>
      <c r="BE5791" s="333"/>
      <c r="BF5791" s="330"/>
      <c r="BG5791" s="333"/>
      <c r="BH5791" s="1119"/>
      <c r="BI5791" s="319"/>
      <c r="BJ5791" s="319"/>
      <c r="BK5791" s="319"/>
      <c r="BL5791" s="319"/>
      <c r="BM5791" s="319"/>
      <c r="BN5791" s="319"/>
      <c r="BO5791" s="319"/>
      <c r="BP5791" s="953"/>
      <c r="BQ5791" s="319"/>
      <c r="BR5791" s="319"/>
      <c r="BS5791" s="330"/>
      <c r="BT5791" s="331"/>
      <c r="BU5791" s="920"/>
      <c r="BV5791" s="903"/>
      <c r="BW5791" s="908"/>
      <c r="BX5791" s="908"/>
      <c r="BY5791" s="331"/>
      <c r="BZ5791" s="331"/>
      <c r="CA5791" s="462"/>
      <c r="CB5791" s="319"/>
      <c r="CC5791" s="319"/>
      <c r="CD5791" s="319"/>
      <c r="CE5791" s="319"/>
      <c r="CF5791" s="319"/>
      <c r="CG5791" s="319"/>
      <c r="CH5791" s="318"/>
      <c r="CI5791" s="319"/>
      <c r="CJ5791" s="319"/>
      <c r="CK5791" s="342"/>
      <c r="CL5791" s="333"/>
      <c r="CM5791" s="1079"/>
      <c r="CN5791" s="1005"/>
      <c r="CO5791" s="1005"/>
      <c r="CP5791" s="1005"/>
    </row>
    <row r="5792">
      <c r="A5792" s="1257"/>
      <c r="B5792" s="1113"/>
      <c r="C5792" s="1107"/>
      <c r="D5792" s="103"/>
      <c r="E5792" s="1137"/>
      <c r="F5792" s="112"/>
      <c r="G5792" s="1110"/>
      <c r="H5792" s="1138"/>
      <c r="I5792" s="1138"/>
      <c r="J5792" s="1139"/>
      <c r="K5792" s="1111"/>
      <c r="L5792" s="1112"/>
      <c r="M5792" s="1113"/>
      <c r="N5792" s="110"/>
      <c r="O5792" s="1140"/>
      <c r="P5792" s="1115"/>
      <c r="Q5792" s="1116"/>
      <c r="R5792" s="1141"/>
      <c r="S5792" s="1113"/>
      <c r="T5792" s="1143"/>
      <c r="U5792" s="1108"/>
      <c r="V5792" s="1108"/>
      <c r="W5792" s="1108"/>
      <c r="X5792" s="1108"/>
      <c r="Y5792" s="1108"/>
      <c r="Z5792" s="1114"/>
      <c r="AA5792" s="1114"/>
      <c r="AB5792" s="1114"/>
      <c r="AC5792" s="1117"/>
      <c r="AD5792" s="1115"/>
      <c r="AE5792" s="1115"/>
      <c r="AF5792" s="1115"/>
      <c r="AG5792" s="1115"/>
      <c r="AH5792" s="1115"/>
      <c r="AI5792" s="1115"/>
      <c r="AJ5792" s="1117"/>
      <c r="AK5792" s="1118"/>
      <c r="AL5792" s="1115"/>
      <c r="AM5792" s="1115"/>
      <c r="AN5792" s="1115"/>
      <c r="AO5792" s="1115"/>
      <c r="AP5792" s="1115"/>
      <c r="AQ5792" s="1115"/>
      <c r="AR5792" s="1115"/>
      <c r="AS5792" s="1117"/>
      <c r="AT5792" s="1075"/>
      <c r="AU5792" s="1193"/>
      <c r="AV5792" s="330"/>
      <c r="AW5792" s="331"/>
      <c r="AX5792" s="331"/>
      <c r="AY5792" s="331"/>
      <c r="AZ5792" s="331"/>
      <c r="BA5792" s="331"/>
      <c r="BB5792" s="331"/>
      <c r="BC5792" s="331"/>
      <c r="BD5792" s="331"/>
      <c r="BE5792" s="333"/>
      <c r="BF5792" s="330"/>
      <c r="BG5792" s="333"/>
      <c r="BH5792" s="1119"/>
      <c r="BI5792" s="319"/>
      <c r="BJ5792" s="319"/>
      <c r="BK5792" s="319"/>
      <c r="BL5792" s="319"/>
      <c r="BM5792" s="319"/>
      <c r="BN5792" s="319"/>
      <c r="BO5792" s="319"/>
      <c r="BP5792" s="953"/>
      <c r="BQ5792" s="319"/>
      <c r="BR5792" s="319"/>
      <c r="BS5792" s="330"/>
      <c r="BT5792" s="331"/>
      <c r="BU5792" s="920"/>
      <c r="BV5792" s="903"/>
      <c r="BW5792" s="908"/>
      <c r="BX5792" s="908"/>
      <c r="BY5792" s="331"/>
      <c r="BZ5792" s="331"/>
      <c r="CA5792" s="462"/>
      <c r="CB5792" s="319"/>
      <c r="CC5792" s="319"/>
      <c r="CD5792" s="319"/>
      <c r="CE5792" s="319"/>
      <c r="CF5792" s="319"/>
      <c r="CG5792" s="319"/>
      <c r="CH5792" s="318"/>
      <c r="CI5792" s="319"/>
      <c r="CJ5792" s="319"/>
      <c r="CK5792" s="342"/>
      <c r="CL5792" s="333"/>
      <c r="CM5792" s="1079"/>
      <c r="CN5792" s="1005"/>
      <c r="CO5792" s="1005"/>
      <c r="CP5792" s="1005"/>
    </row>
    <row r="5793">
      <c r="A5793" s="1257"/>
      <c r="B5793" s="1113"/>
      <c r="C5793" s="1107"/>
      <c r="D5793" s="103"/>
      <c r="E5793" s="1137"/>
      <c r="F5793" s="112"/>
      <c r="G5793" s="1110"/>
      <c r="H5793" s="1138"/>
      <c r="I5793" s="1138"/>
      <c r="J5793" s="1139"/>
      <c r="K5793" s="1111"/>
      <c r="L5793" s="1112"/>
      <c r="M5793" s="1113"/>
      <c r="N5793" s="110"/>
      <c r="O5793" s="1140"/>
      <c r="P5793" s="1115"/>
      <c r="Q5793" s="1116"/>
      <c r="R5793" s="1141"/>
      <c r="S5793" s="1113"/>
      <c r="T5793" s="1143"/>
      <c r="U5793" s="1108"/>
      <c r="V5793" s="1108"/>
      <c r="W5793" s="1108"/>
      <c r="X5793" s="1108"/>
      <c r="Y5793" s="1108"/>
      <c r="Z5793" s="1114"/>
      <c r="AA5793" s="1114"/>
      <c r="AB5793" s="1114"/>
      <c r="AC5793" s="1117"/>
      <c r="AD5793" s="1115"/>
      <c r="AE5793" s="1115"/>
      <c r="AF5793" s="1115"/>
      <c r="AG5793" s="1115"/>
      <c r="AH5793" s="1115"/>
      <c r="AI5793" s="1115"/>
      <c r="AJ5793" s="1117"/>
      <c r="AK5793" s="1118"/>
      <c r="AL5793" s="1115"/>
      <c r="AM5793" s="1115"/>
      <c r="AN5793" s="1115"/>
      <c r="AO5793" s="1115"/>
      <c r="AP5793" s="1115"/>
      <c r="AQ5793" s="1115"/>
      <c r="AR5793" s="1115"/>
      <c r="AS5793" s="1117"/>
      <c r="AT5793" s="1075"/>
      <c r="AU5793" s="1193"/>
      <c r="AV5793" s="330"/>
      <c r="AW5793" s="331"/>
      <c r="AX5793" s="331"/>
      <c r="AY5793" s="331"/>
      <c r="AZ5793" s="331"/>
      <c r="BA5793" s="331"/>
      <c r="BB5793" s="331"/>
      <c r="BC5793" s="331"/>
      <c r="BD5793" s="331"/>
      <c r="BE5793" s="333"/>
      <c r="BF5793" s="330"/>
      <c r="BG5793" s="333"/>
      <c r="BH5793" s="1119"/>
      <c r="BI5793" s="319"/>
      <c r="BJ5793" s="319"/>
      <c r="BK5793" s="319"/>
      <c r="BL5793" s="319"/>
      <c r="BM5793" s="319"/>
      <c r="BN5793" s="319"/>
      <c r="BO5793" s="319"/>
      <c r="BP5793" s="953"/>
      <c r="BQ5793" s="319"/>
      <c r="BR5793" s="319"/>
      <c r="BS5793" s="330"/>
      <c r="BT5793" s="331"/>
      <c r="BU5793" s="920"/>
      <c r="BV5793" s="903"/>
      <c r="BW5793" s="908"/>
      <c r="BX5793" s="908"/>
      <c r="BY5793" s="331"/>
      <c r="BZ5793" s="331"/>
      <c r="CA5793" s="462"/>
      <c r="CB5793" s="319"/>
      <c r="CC5793" s="319"/>
      <c r="CD5793" s="319"/>
      <c r="CE5793" s="319"/>
      <c r="CF5793" s="319"/>
      <c r="CG5793" s="319"/>
      <c r="CH5793" s="318"/>
      <c r="CI5793" s="319"/>
      <c r="CJ5793" s="319"/>
      <c r="CK5793" s="342"/>
      <c r="CL5793" s="333"/>
      <c r="CM5793" s="1079"/>
      <c r="CN5793" s="1005"/>
      <c r="CO5793" s="1005"/>
      <c r="CP5793" s="1005"/>
    </row>
    <row r="5794">
      <c r="A5794" s="1257"/>
      <c r="B5794" s="1113"/>
      <c r="C5794" s="1107"/>
      <c r="D5794" s="103"/>
      <c r="E5794" s="1137"/>
      <c r="F5794" s="112"/>
      <c r="G5794" s="1110"/>
      <c r="H5794" s="1138"/>
      <c r="I5794" s="1138"/>
      <c r="J5794" s="1139"/>
      <c r="K5794" s="1111"/>
      <c r="L5794" s="1112"/>
      <c r="M5794" s="1113"/>
      <c r="N5794" s="110"/>
      <c r="O5794" s="1140"/>
      <c r="P5794" s="1115"/>
      <c r="Q5794" s="1116"/>
      <c r="R5794" s="1141"/>
      <c r="S5794" s="1113"/>
      <c r="T5794" s="1143"/>
      <c r="U5794" s="1108"/>
      <c r="V5794" s="1108"/>
      <c r="W5794" s="1108"/>
      <c r="X5794" s="1108"/>
      <c r="Y5794" s="1108"/>
      <c r="Z5794" s="1114"/>
      <c r="AA5794" s="1114"/>
      <c r="AB5794" s="1114"/>
      <c r="AC5794" s="1117"/>
      <c r="AD5794" s="1115"/>
      <c r="AE5794" s="1115"/>
      <c r="AF5794" s="1115"/>
      <c r="AG5794" s="1115"/>
      <c r="AH5794" s="1115"/>
      <c r="AI5794" s="1115"/>
      <c r="AJ5794" s="1117"/>
      <c r="AK5794" s="1118"/>
      <c r="AL5794" s="1115"/>
      <c r="AM5794" s="1115"/>
      <c r="AN5794" s="1115"/>
      <c r="AO5794" s="1115"/>
      <c r="AP5794" s="1115"/>
      <c r="AQ5794" s="1115"/>
      <c r="AR5794" s="1115"/>
      <c r="AS5794" s="1117"/>
      <c r="AT5794" s="1075"/>
      <c r="AU5794" s="1193"/>
      <c r="AV5794" s="330"/>
      <c r="AW5794" s="331"/>
      <c r="AX5794" s="331"/>
      <c r="AY5794" s="331"/>
      <c r="AZ5794" s="331"/>
      <c r="BA5794" s="331"/>
      <c r="BB5794" s="331"/>
      <c r="BC5794" s="331"/>
      <c r="BD5794" s="331"/>
      <c r="BE5794" s="333"/>
      <c r="BF5794" s="330"/>
      <c r="BG5794" s="333"/>
      <c r="BH5794" s="1119"/>
      <c r="BI5794" s="319"/>
      <c r="BJ5794" s="319"/>
      <c r="BK5794" s="319"/>
      <c r="BL5794" s="319"/>
      <c r="BM5794" s="319"/>
      <c r="BN5794" s="319"/>
      <c r="BO5794" s="319"/>
      <c r="BP5794" s="953"/>
      <c r="BQ5794" s="319"/>
      <c r="BR5794" s="319"/>
      <c r="BS5794" s="330"/>
      <c r="BT5794" s="331"/>
      <c r="BU5794" s="920"/>
      <c r="BV5794" s="903"/>
      <c r="BW5794" s="908"/>
      <c r="BX5794" s="908"/>
      <c r="BY5794" s="331"/>
      <c r="BZ5794" s="331"/>
      <c r="CA5794" s="462"/>
      <c r="CB5794" s="319"/>
      <c r="CC5794" s="319"/>
      <c r="CD5794" s="319"/>
      <c r="CE5794" s="319"/>
      <c r="CF5794" s="319"/>
      <c r="CG5794" s="319"/>
      <c r="CH5794" s="318"/>
      <c r="CI5794" s="319"/>
      <c r="CJ5794" s="319"/>
      <c r="CK5794" s="342"/>
      <c r="CL5794" s="333"/>
      <c r="CM5794" s="1079"/>
      <c r="CN5794" s="1005"/>
      <c r="CO5794" s="1005"/>
      <c r="CP5794" s="1005"/>
    </row>
    <row r="5795">
      <c r="A5795" s="1257"/>
      <c r="B5795" s="1113"/>
      <c r="C5795" s="1107"/>
      <c r="D5795" s="103"/>
      <c r="E5795" s="1137"/>
      <c r="F5795" s="112"/>
      <c r="G5795" s="1110"/>
      <c r="H5795" s="1138"/>
      <c r="I5795" s="1138"/>
      <c r="J5795" s="1139"/>
      <c r="K5795" s="1111"/>
      <c r="L5795" s="1112"/>
      <c r="M5795" s="1113"/>
      <c r="N5795" s="110"/>
      <c r="O5795" s="1140"/>
      <c r="P5795" s="1115"/>
      <c r="Q5795" s="1116"/>
      <c r="R5795" s="1141"/>
      <c r="S5795" s="1113"/>
      <c r="T5795" s="1143"/>
      <c r="U5795" s="1108"/>
      <c r="V5795" s="1108"/>
      <c r="W5795" s="1108"/>
      <c r="X5795" s="1108"/>
      <c r="Y5795" s="1108"/>
      <c r="Z5795" s="1114"/>
      <c r="AA5795" s="1114"/>
      <c r="AB5795" s="1114"/>
      <c r="AC5795" s="1117"/>
      <c r="AD5795" s="1115"/>
      <c r="AE5795" s="1115"/>
      <c r="AF5795" s="1115"/>
      <c r="AG5795" s="1115"/>
      <c r="AH5795" s="1115"/>
      <c r="AI5795" s="1115"/>
      <c r="AJ5795" s="1117"/>
      <c r="AK5795" s="1118"/>
      <c r="AL5795" s="1115"/>
      <c r="AM5795" s="1115"/>
      <c r="AN5795" s="1115"/>
      <c r="AO5795" s="1115"/>
      <c r="AP5795" s="1115"/>
      <c r="AQ5795" s="1115"/>
      <c r="AR5795" s="1115"/>
      <c r="AS5795" s="1117"/>
      <c r="AT5795" s="1075"/>
      <c r="AU5795" s="1193"/>
      <c r="AV5795" s="330"/>
      <c r="AW5795" s="331"/>
      <c r="AX5795" s="331"/>
      <c r="AY5795" s="331"/>
      <c r="AZ5795" s="331"/>
      <c r="BA5795" s="331"/>
      <c r="BB5795" s="331"/>
      <c r="BC5795" s="331"/>
      <c r="BD5795" s="331"/>
      <c r="BE5795" s="333"/>
      <c r="BF5795" s="330"/>
      <c r="BG5795" s="333"/>
      <c r="BH5795" s="1119"/>
      <c r="BI5795" s="319"/>
      <c r="BJ5795" s="319"/>
      <c r="BK5795" s="319"/>
      <c r="BL5795" s="319"/>
      <c r="BM5795" s="319"/>
      <c r="BN5795" s="319"/>
      <c r="BO5795" s="319"/>
      <c r="BP5795" s="953"/>
      <c r="BQ5795" s="319"/>
      <c r="BR5795" s="319"/>
      <c r="BS5795" s="330"/>
      <c r="BT5795" s="331"/>
      <c r="BU5795" s="920"/>
      <c r="BV5795" s="903"/>
      <c r="BW5795" s="908"/>
      <c r="BX5795" s="908"/>
      <c r="BY5795" s="331"/>
      <c r="BZ5795" s="331"/>
      <c r="CA5795" s="462"/>
      <c r="CB5795" s="319"/>
      <c r="CC5795" s="319"/>
      <c r="CD5795" s="319"/>
      <c r="CE5795" s="319"/>
      <c r="CF5795" s="319"/>
      <c r="CG5795" s="319"/>
      <c r="CH5795" s="318"/>
      <c r="CI5795" s="319"/>
      <c r="CJ5795" s="319"/>
      <c r="CK5795" s="342"/>
      <c r="CL5795" s="333"/>
      <c r="CM5795" s="1079"/>
      <c r="CN5795" s="1005"/>
      <c r="CO5795" s="1005"/>
      <c r="CP5795" s="1005"/>
    </row>
    <row r="5796">
      <c r="A5796" s="1257"/>
      <c r="B5796" s="1113"/>
      <c r="C5796" s="1107"/>
      <c r="D5796" s="103"/>
      <c r="E5796" s="1137"/>
      <c r="F5796" s="112"/>
      <c r="G5796" s="1110"/>
      <c r="H5796" s="1138"/>
      <c r="I5796" s="1138"/>
      <c r="J5796" s="1139"/>
      <c r="K5796" s="1111"/>
      <c r="L5796" s="1112"/>
      <c r="M5796" s="1113"/>
      <c r="N5796" s="110"/>
      <c r="O5796" s="1140"/>
      <c r="P5796" s="1115"/>
      <c r="Q5796" s="1116"/>
      <c r="R5796" s="1141"/>
      <c r="S5796" s="1113"/>
      <c r="T5796" s="1143"/>
      <c r="U5796" s="1108"/>
      <c r="V5796" s="1108"/>
      <c r="W5796" s="1108"/>
      <c r="X5796" s="1108"/>
      <c r="Y5796" s="1108"/>
      <c r="Z5796" s="1114"/>
      <c r="AA5796" s="1114"/>
      <c r="AB5796" s="1114"/>
      <c r="AC5796" s="1117"/>
      <c r="AD5796" s="1115"/>
      <c r="AE5796" s="1115"/>
      <c r="AF5796" s="1115"/>
      <c r="AG5796" s="1115"/>
      <c r="AH5796" s="1115"/>
      <c r="AI5796" s="1115"/>
      <c r="AJ5796" s="1117"/>
      <c r="AK5796" s="1118"/>
      <c r="AL5796" s="1115"/>
      <c r="AM5796" s="1115"/>
      <c r="AN5796" s="1115"/>
      <c r="AO5796" s="1115"/>
      <c r="AP5796" s="1115"/>
      <c r="AQ5796" s="1115"/>
      <c r="AR5796" s="1115"/>
      <c r="AS5796" s="1117"/>
      <c r="AT5796" s="1075"/>
      <c r="AU5796" s="1193"/>
      <c r="AV5796" s="330"/>
      <c r="AW5796" s="331"/>
      <c r="AX5796" s="331"/>
      <c r="AY5796" s="331"/>
      <c r="AZ5796" s="331"/>
      <c r="BA5796" s="331"/>
      <c r="BB5796" s="331"/>
      <c r="BC5796" s="331"/>
      <c r="BD5796" s="331"/>
      <c r="BE5796" s="333"/>
      <c r="BF5796" s="330"/>
      <c r="BG5796" s="333"/>
      <c r="BH5796" s="1119"/>
      <c r="BI5796" s="319"/>
      <c r="BJ5796" s="319"/>
      <c r="BK5796" s="319"/>
      <c r="BL5796" s="319"/>
      <c r="BM5796" s="319"/>
      <c r="BN5796" s="319"/>
      <c r="BO5796" s="319"/>
      <c r="BP5796" s="953"/>
      <c r="BQ5796" s="319"/>
      <c r="BR5796" s="319"/>
      <c r="BS5796" s="330"/>
      <c r="BT5796" s="331"/>
      <c r="BU5796" s="920"/>
      <c r="BV5796" s="903"/>
      <c r="BW5796" s="908"/>
      <c r="BX5796" s="908"/>
      <c r="BY5796" s="331"/>
      <c r="BZ5796" s="331"/>
      <c r="CA5796" s="462"/>
      <c r="CB5796" s="319"/>
      <c r="CC5796" s="319"/>
      <c r="CD5796" s="319"/>
      <c r="CE5796" s="319"/>
      <c r="CF5796" s="319"/>
      <c r="CG5796" s="319"/>
      <c r="CH5796" s="318"/>
      <c r="CI5796" s="319"/>
      <c r="CJ5796" s="319"/>
      <c r="CK5796" s="342"/>
      <c r="CL5796" s="333"/>
      <c r="CM5796" s="1079"/>
      <c r="CN5796" s="1005"/>
      <c r="CO5796" s="1005"/>
      <c r="CP5796" s="1005"/>
    </row>
    <row r="5797">
      <c r="A5797" s="1257"/>
      <c r="B5797" s="1113"/>
      <c r="C5797" s="1107"/>
      <c r="D5797" s="103"/>
      <c r="E5797" s="1137"/>
      <c r="F5797" s="112"/>
      <c r="G5797" s="1110"/>
      <c r="H5797" s="1138"/>
      <c r="I5797" s="1138"/>
      <c r="J5797" s="1139"/>
      <c r="K5797" s="1111"/>
      <c r="L5797" s="1112"/>
      <c r="M5797" s="1113"/>
      <c r="N5797" s="110"/>
      <c r="O5797" s="1140"/>
      <c r="P5797" s="1115"/>
      <c r="Q5797" s="1116"/>
      <c r="R5797" s="1141"/>
      <c r="S5797" s="1113"/>
      <c r="T5797" s="1143"/>
      <c r="U5797" s="1108"/>
      <c r="V5797" s="1108"/>
      <c r="W5797" s="1108"/>
      <c r="X5797" s="1108"/>
      <c r="Y5797" s="1108"/>
      <c r="Z5797" s="1114"/>
      <c r="AA5797" s="1114"/>
      <c r="AB5797" s="1114"/>
      <c r="AC5797" s="1117"/>
      <c r="AD5797" s="1115"/>
      <c r="AE5797" s="1115"/>
      <c r="AF5797" s="1115"/>
      <c r="AG5797" s="1115"/>
      <c r="AH5797" s="1115"/>
      <c r="AI5797" s="1115"/>
      <c r="AJ5797" s="1117"/>
      <c r="AK5797" s="1118"/>
      <c r="AL5797" s="1115"/>
      <c r="AM5797" s="1115"/>
      <c r="AN5797" s="1115"/>
      <c r="AO5797" s="1115"/>
      <c r="AP5797" s="1115"/>
      <c r="AQ5797" s="1115"/>
      <c r="AR5797" s="1115"/>
      <c r="AS5797" s="1117"/>
      <c r="AT5797" s="1075"/>
      <c r="AU5797" s="1193"/>
      <c r="AV5797" s="330"/>
      <c r="AW5797" s="331"/>
      <c r="AX5797" s="331"/>
      <c r="AY5797" s="331"/>
      <c r="AZ5797" s="331"/>
      <c r="BA5797" s="331"/>
      <c r="BB5797" s="331"/>
      <c r="BC5797" s="331"/>
      <c r="BD5797" s="331"/>
      <c r="BE5797" s="333"/>
      <c r="BF5797" s="330"/>
      <c r="BG5797" s="333"/>
      <c r="BH5797" s="1119"/>
      <c r="BI5797" s="319"/>
      <c r="BJ5797" s="319"/>
      <c r="BK5797" s="319"/>
      <c r="BL5797" s="319"/>
      <c r="BM5797" s="319"/>
      <c r="BN5797" s="319"/>
      <c r="BO5797" s="319"/>
      <c r="BP5797" s="953"/>
      <c r="BQ5797" s="319"/>
      <c r="BR5797" s="319"/>
      <c r="BS5797" s="330"/>
      <c r="BT5797" s="331"/>
      <c r="BU5797" s="920"/>
      <c r="BV5797" s="903"/>
      <c r="BW5797" s="908"/>
      <c r="BX5797" s="908"/>
      <c r="BY5797" s="331"/>
      <c r="BZ5797" s="331"/>
      <c r="CA5797" s="462"/>
      <c r="CB5797" s="319"/>
      <c r="CC5797" s="319"/>
      <c r="CD5797" s="319"/>
      <c r="CE5797" s="319"/>
      <c r="CF5797" s="319"/>
      <c r="CG5797" s="319"/>
      <c r="CH5797" s="318"/>
      <c r="CI5797" s="319"/>
      <c r="CJ5797" s="319"/>
      <c r="CK5797" s="342"/>
      <c r="CL5797" s="333"/>
      <c r="CM5797" s="1079"/>
      <c r="CN5797" s="1005"/>
      <c r="CO5797" s="1005"/>
      <c r="CP5797" s="1005"/>
    </row>
    <row r="5798">
      <c r="A5798" s="1257"/>
      <c r="B5798" s="1113"/>
      <c r="C5798" s="1107"/>
      <c r="D5798" s="103"/>
      <c r="E5798" s="1137"/>
      <c r="F5798" s="112"/>
      <c r="G5798" s="1110"/>
      <c r="H5798" s="1138"/>
      <c r="I5798" s="1138"/>
      <c r="J5798" s="1139"/>
      <c r="K5798" s="1111"/>
      <c r="L5798" s="1112"/>
      <c r="M5798" s="1113"/>
      <c r="N5798" s="110"/>
      <c r="O5798" s="1140"/>
      <c r="P5798" s="1115"/>
      <c r="Q5798" s="1116"/>
      <c r="R5798" s="1141"/>
      <c r="S5798" s="1113"/>
      <c r="T5798" s="1143"/>
      <c r="U5798" s="1108"/>
      <c r="V5798" s="1108"/>
      <c r="W5798" s="1108"/>
      <c r="X5798" s="1108"/>
      <c r="Y5798" s="1108"/>
      <c r="Z5798" s="1114"/>
      <c r="AA5798" s="1114"/>
      <c r="AB5798" s="1114"/>
      <c r="AC5798" s="1117"/>
      <c r="AD5798" s="1115"/>
      <c r="AE5798" s="1115"/>
      <c r="AF5798" s="1115"/>
      <c r="AG5798" s="1115"/>
      <c r="AH5798" s="1115"/>
      <c r="AI5798" s="1115"/>
      <c r="AJ5798" s="1117"/>
      <c r="AK5798" s="1118"/>
      <c r="AL5798" s="1115"/>
      <c r="AM5798" s="1115"/>
      <c r="AN5798" s="1115"/>
      <c r="AO5798" s="1115"/>
      <c r="AP5798" s="1115"/>
      <c r="AQ5798" s="1115"/>
      <c r="AR5798" s="1115"/>
      <c r="AS5798" s="1117"/>
      <c r="AT5798" s="1075"/>
      <c r="AU5798" s="1193"/>
      <c r="AV5798" s="330"/>
      <c r="AW5798" s="331"/>
      <c r="AX5798" s="331"/>
      <c r="AY5798" s="331"/>
      <c r="AZ5798" s="331"/>
      <c r="BA5798" s="331"/>
      <c r="BB5798" s="331"/>
      <c r="BC5798" s="331"/>
      <c r="BD5798" s="331"/>
      <c r="BE5798" s="333"/>
      <c r="BF5798" s="330"/>
      <c r="BG5798" s="333"/>
      <c r="BH5798" s="1119"/>
      <c r="BI5798" s="319"/>
      <c r="BJ5798" s="319"/>
      <c r="BK5798" s="319"/>
      <c r="BL5798" s="319"/>
      <c r="BM5798" s="319"/>
      <c r="BN5798" s="319"/>
      <c r="BO5798" s="319"/>
      <c r="BP5798" s="953"/>
      <c r="BQ5798" s="319"/>
      <c r="BR5798" s="319"/>
      <c r="BS5798" s="330"/>
      <c r="BT5798" s="331"/>
      <c r="BU5798" s="920"/>
      <c r="BV5798" s="903"/>
      <c r="BW5798" s="908"/>
      <c r="BX5798" s="908"/>
      <c r="BY5798" s="331"/>
      <c r="BZ5798" s="331"/>
      <c r="CA5798" s="462"/>
      <c r="CB5798" s="319"/>
      <c r="CC5798" s="319"/>
      <c r="CD5798" s="319"/>
      <c r="CE5798" s="319"/>
      <c r="CF5798" s="319"/>
      <c r="CG5798" s="319"/>
      <c r="CH5798" s="318"/>
      <c r="CI5798" s="319"/>
      <c r="CJ5798" s="319"/>
      <c r="CK5798" s="342"/>
      <c r="CL5798" s="333"/>
      <c r="CM5798" s="1079"/>
      <c r="CN5798" s="1005"/>
      <c r="CO5798" s="1005"/>
      <c r="CP5798" s="1005"/>
    </row>
    <row r="5799">
      <c r="A5799" s="1257"/>
      <c r="B5799" s="1113"/>
      <c r="C5799" s="1107"/>
      <c r="D5799" s="103"/>
      <c r="E5799" s="1137"/>
      <c r="F5799" s="112"/>
      <c r="G5799" s="1110"/>
      <c r="H5799" s="1138"/>
      <c r="I5799" s="1138"/>
      <c r="J5799" s="1139"/>
      <c r="K5799" s="1111"/>
      <c r="L5799" s="1112"/>
      <c r="M5799" s="1113"/>
      <c r="N5799" s="110"/>
      <c r="O5799" s="1140"/>
      <c r="P5799" s="1115"/>
      <c r="Q5799" s="1116"/>
      <c r="R5799" s="1141"/>
      <c r="S5799" s="1113"/>
      <c r="T5799" s="1143"/>
      <c r="U5799" s="1108"/>
      <c r="V5799" s="1108"/>
      <c r="W5799" s="1108"/>
      <c r="X5799" s="1108"/>
      <c r="Y5799" s="1108"/>
      <c r="Z5799" s="1114"/>
      <c r="AA5799" s="1114"/>
      <c r="AB5799" s="1114"/>
      <c r="AC5799" s="1117"/>
      <c r="AD5799" s="1115"/>
      <c r="AE5799" s="1115"/>
      <c r="AF5799" s="1115"/>
      <c r="AG5799" s="1115"/>
      <c r="AH5799" s="1115"/>
      <c r="AI5799" s="1115"/>
      <c r="AJ5799" s="1117"/>
      <c r="AK5799" s="1118"/>
      <c r="AL5799" s="1115"/>
      <c r="AM5799" s="1115"/>
      <c r="AN5799" s="1115"/>
      <c r="AO5799" s="1115"/>
      <c r="AP5799" s="1115"/>
      <c r="AQ5799" s="1115"/>
      <c r="AR5799" s="1115"/>
      <c r="AS5799" s="1117"/>
      <c r="AT5799" s="1075"/>
      <c r="AU5799" s="1193"/>
      <c r="AV5799" s="330"/>
      <c r="AW5799" s="331"/>
      <c r="AX5799" s="331"/>
      <c r="AY5799" s="331"/>
      <c r="AZ5799" s="331"/>
      <c r="BA5799" s="331"/>
      <c r="BB5799" s="331"/>
      <c r="BC5799" s="331"/>
      <c r="BD5799" s="331"/>
      <c r="BE5799" s="333"/>
      <c r="BF5799" s="330"/>
      <c r="BG5799" s="333"/>
      <c r="BH5799" s="1119"/>
      <c r="BI5799" s="319"/>
      <c r="BJ5799" s="319"/>
      <c r="BK5799" s="319"/>
      <c r="BL5799" s="319"/>
      <c r="BM5799" s="319"/>
      <c r="BN5799" s="319"/>
      <c r="BO5799" s="319"/>
      <c r="BP5799" s="953"/>
      <c r="BQ5799" s="319"/>
      <c r="BR5799" s="319"/>
      <c r="BS5799" s="330"/>
      <c r="BT5799" s="331"/>
      <c r="BU5799" s="920"/>
      <c r="BV5799" s="903"/>
      <c r="BW5799" s="908"/>
      <c r="BX5799" s="908"/>
      <c r="BY5799" s="331"/>
      <c r="BZ5799" s="331"/>
      <c r="CA5799" s="462"/>
      <c r="CB5799" s="319"/>
      <c r="CC5799" s="319"/>
      <c r="CD5799" s="319"/>
      <c r="CE5799" s="319"/>
      <c r="CF5799" s="319"/>
      <c r="CG5799" s="319"/>
      <c r="CH5799" s="318"/>
      <c r="CI5799" s="319"/>
      <c r="CJ5799" s="319"/>
      <c r="CK5799" s="342"/>
      <c r="CL5799" s="333"/>
      <c r="CM5799" s="1079"/>
      <c r="CN5799" s="1005"/>
      <c r="CO5799" s="1005"/>
      <c r="CP5799" s="1005"/>
    </row>
    <row r="5800">
      <c r="A5800" s="1257"/>
      <c r="B5800" s="1113"/>
      <c r="C5800" s="1107"/>
      <c r="D5800" s="103"/>
      <c r="E5800" s="1137"/>
      <c r="F5800" s="112"/>
      <c r="G5800" s="1110"/>
      <c r="H5800" s="1138"/>
      <c r="I5800" s="1138"/>
      <c r="J5800" s="1139"/>
      <c r="K5800" s="1111"/>
      <c r="L5800" s="1112"/>
      <c r="M5800" s="1113"/>
      <c r="N5800" s="110"/>
      <c r="O5800" s="1140"/>
      <c r="P5800" s="1115"/>
      <c r="Q5800" s="1116"/>
      <c r="R5800" s="1141"/>
      <c r="S5800" s="1113"/>
      <c r="T5800" s="1143"/>
      <c r="U5800" s="1108"/>
      <c r="V5800" s="1108"/>
      <c r="W5800" s="1108"/>
      <c r="X5800" s="1108"/>
      <c r="Y5800" s="1108"/>
      <c r="Z5800" s="1114"/>
      <c r="AA5800" s="1114"/>
      <c r="AB5800" s="1114"/>
      <c r="AC5800" s="1117"/>
      <c r="AD5800" s="1115"/>
      <c r="AE5800" s="1115"/>
      <c r="AF5800" s="1115"/>
      <c r="AG5800" s="1115"/>
      <c r="AH5800" s="1115"/>
      <c r="AI5800" s="1115"/>
      <c r="AJ5800" s="1117"/>
      <c r="AK5800" s="1118"/>
      <c r="AL5800" s="1115"/>
      <c r="AM5800" s="1115"/>
      <c r="AN5800" s="1115"/>
      <c r="AO5800" s="1115"/>
      <c r="AP5800" s="1115"/>
      <c r="AQ5800" s="1115"/>
      <c r="AR5800" s="1115"/>
      <c r="AS5800" s="1117"/>
      <c r="AT5800" s="1075"/>
      <c r="AU5800" s="1193"/>
      <c r="AV5800" s="330"/>
      <c r="AW5800" s="331"/>
      <c r="AX5800" s="331"/>
      <c r="AY5800" s="331"/>
      <c r="AZ5800" s="331"/>
      <c r="BA5800" s="331"/>
      <c r="BB5800" s="331"/>
      <c r="BC5800" s="331"/>
      <c r="BD5800" s="331"/>
      <c r="BE5800" s="333"/>
      <c r="BF5800" s="330"/>
      <c r="BG5800" s="333"/>
      <c r="BH5800" s="1119"/>
      <c r="BI5800" s="319"/>
      <c r="BJ5800" s="319"/>
      <c r="BK5800" s="319"/>
      <c r="BL5800" s="319"/>
      <c r="BM5800" s="319"/>
      <c r="BN5800" s="319"/>
      <c r="BO5800" s="319"/>
      <c r="BP5800" s="953"/>
      <c r="BQ5800" s="319"/>
      <c r="BR5800" s="319"/>
      <c r="BS5800" s="330"/>
      <c r="BT5800" s="331"/>
      <c r="BU5800" s="920"/>
      <c r="BV5800" s="903"/>
      <c r="BW5800" s="908"/>
      <c r="BX5800" s="908"/>
      <c r="BY5800" s="331"/>
      <c r="BZ5800" s="331"/>
      <c r="CA5800" s="462"/>
      <c r="CB5800" s="319"/>
      <c r="CC5800" s="319"/>
      <c r="CD5800" s="319"/>
      <c r="CE5800" s="319"/>
      <c r="CF5800" s="319"/>
      <c r="CG5800" s="319"/>
      <c r="CH5800" s="318"/>
      <c r="CI5800" s="319"/>
      <c r="CJ5800" s="319"/>
      <c r="CK5800" s="342"/>
      <c r="CL5800" s="333"/>
      <c r="CM5800" s="1079"/>
      <c r="CN5800" s="1005"/>
      <c r="CO5800" s="1005"/>
      <c r="CP5800" s="1005"/>
    </row>
    <row r="5801">
      <c r="A5801" s="1257"/>
      <c r="B5801" s="1113"/>
      <c r="C5801" s="1107"/>
      <c r="D5801" s="103"/>
      <c r="E5801" s="1137"/>
      <c r="F5801" s="112"/>
      <c r="G5801" s="1110"/>
      <c r="H5801" s="1138"/>
      <c r="I5801" s="1138"/>
      <c r="J5801" s="1139"/>
      <c r="K5801" s="1111"/>
      <c r="L5801" s="1112"/>
      <c r="M5801" s="1113"/>
      <c r="N5801" s="110"/>
      <c r="O5801" s="1140"/>
      <c r="P5801" s="1115"/>
      <c r="Q5801" s="1116"/>
      <c r="R5801" s="1141"/>
      <c r="S5801" s="1113"/>
      <c r="T5801" s="1143"/>
      <c r="U5801" s="1108"/>
      <c r="V5801" s="1108"/>
      <c r="W5801" s="1108"/>
      <c r="X5801" s="1108"/>
      <c r="Y5801" s="1108"/>
      <c r="Z5801" s="1114"/>
      <c r="AA5801" s="1114"/>
      <c r="AB5801" s="1114"/>
      <c r="AC5801" s="1117"/>
      <c r="AD5801" s="1115"/>
      <c r="AE5801" s="1115"/>
      <c r="AF5801" s="1115"/>
      <c r="AG5801" s="1115"/>
      <c r="AH5801" s="1115"/>
      <c r="AI5801" s="1115"/>
      <c r="AJ5801" s="1117"/>
      <c r="AK5801" s="1118"/>
      <c r="AL5801" s="1115"/>
      <c r="AM5801" s="1115"/>
      <c r="AN5801" s="1115"/>
      <c r="AO5801" s="1115"/>
      <c r="AP5801" s="1115"/>
      <c r="AQ5801" s="1115"/>
      <c r="AR5801" s="1115"/>
      <c r="AS5801" s="1117"/>
      <c r="AT5801" s="1075"/>
      <c r="AU5801" s="1193"/>
      <c r="AV5801" s="330"/>
      <c r="AW5801" s="331"/>
      <c r="AX5801" s="331"/>
      <c r="AY5801" s="331"/>
      <c r="AZ5801" s="331"/>
      <c r="BA5801" s="331"/>
      <c r="BB5801" s="331"/>
      <c r="BC5801" s="331"/>
      <c r="BD5801" s="331"/>
      <c r="BE5801" s="333"/>
      <c r="BF5801" s="330"/>
      <c r="BG5801" s="333"/>
      <c r="BH5801" s="1119"/>
      <c r="BI5801" s="319"/>
      <c r="BJ5801" s="319"/>
      <c r="BK5801" s="319"/>
      <c r="BL5801" s="319"/>
      <c r="BM5801" s="319"/>
      <c r="BN5801" s="319"/>
      <c r="BO5801" s="319"/>
      <c r="BP5801" s="953"/>
      <c r="BQ5801" s="319"/>
      <c r="BR5801" s="319"/>
      <c r="BS5801" s="330"/>
      <c r="BT5801" s="331"/>
      <c r="BU5801" s="920"/>
      <c r="BV5801" s="903"/>
      <c r="BW5801" s="908"/>
      <c r="BX5801" s="908"/>
      <c r="BY5801" s="331"/>
      <c r="BZ5801" s="331"/>
      <c r="CA5801" s="462"/>
      <c r="CB5801" s="319"/>
      <c r="CC5801" s="319"/>
      <c r="CD5801" s="319"/>
      <c r="CE5801" s="319"/>
      <c r="CF5801" s="319"/>
      <c r="CG5801" s="319"/>
      <c r="CH5801" s="318"/>
      <c r="CI5801" s="319"/>
      <c r="CJ5801" s="319"/>
      <c r="CK5801" s="342"/>
      <c r="CL5801" s="333"/>
      <c r="CM5801" s="1079"/>
      <c r="CN5801" s="1005"/>
      <c r="CO5801" s="1005"/>
      <c r="CP5801" s="1005"/>
    </row>
    <row r="5802">
      <c r="A5802" s="1257"/>
      <c r="B5802" s="1113"/>
      <c r="C5802" s="1107"/>
      <c r="D5802" s="103"/>
      <c r="E5802" s="1137"/>
      <c r="F5802" s="112"/>
      <c r="G5802" s="1110"/>
      <c r="H5802" s="1138"/>
      <c r="I5802" s="1138"/>
      <c r="J5802" s="1139"/>
      <c r="K5802" s="1111"/>
      <c r="L5802" s="1112"/>
      <c r="M5802" s="1113"/>
      <c r="N5802" s="110"/>
      <c r="O5802" s="1140"/>
      <c r="P5802" s="1115"/>
      <c r="Q5802" s="1116"/>
      <c r="R5802" s="1141"/>
      <c r="S5802" s="1113"/>
      <c r="T5802" s="1143"/>
      <c r="U5802" s="1108"/>
      <c r="V5802" s="1108"/>
      <c r="W5802" s="1108"/>
      <c r="X5802" s="1108"/>
      <c r="Y5802" s="1108"/>
      <c r="Z5802" s="1114"/>
      <c r="AA5802" s="1114"/>
      <c r="AB5802" s="1114"/>
      <c r="AC5802" s="1117"/>
      <c r="AD5802" s="1115"/>
      <c r="AE5802" s="1115"/>
      <c r="AF5802" s="1115"/>
      <c r="AG5802" s="1115"/>
      <c r="AH5802" s="1115"/>
      <c r="AI5802" s="1115"/>
      <c r="AJ5802" s="1117"/>
      <c r="AK5802" s="1118"/>
      <c r="AL5802" s="1115"/>
      <c r="AM5802" s="1115"/>
      <c r="AN5802" s="1115"/>
      <c r="AO5802" s="1115"/>
      <c r="AP5802" s="1115"/>
      <c r="AQ5802" s="1115"/>
      <c r="AR5802" s="1115"/>
      <c r="AS5802" s="1117"/>
      <c r="AT5802" s="1075"/>
      <c r="AU5802" s="1193"/>
      <c r="AV5802" s="330"/>
      <c r="AW5802" s="331"/>
      <c r="AX5802" s="331"/>
      <c r="AY5802" s="331"/>
      <c r="AZ5802" s="331"/>
      <c r="BA5802" s="331"/>
      <c r="BB5802" s="331"/>
      <c r="BC5802" s="331"/>
      <c r="BD5802" s="331"/>
      <c r="BE5802" s="333"/>
      <c r="BF5802" s="330"/>
      <c r="BG5802" s="333"/>
      <c r="BH5802" s="1119"/>
      <c r="BI5802" s="319"/>
      <c r="BJ5802" s="319"/>
      <c r="BK5802" s="319"/>
      <c r="BL5802" s="319"/>
      <c r="BM5802" s="319"/>
      <c r="BN5802" s="319"/>
      <c r="BO5802" s="319"/>
      <c r="BP5802" s="953"/>
      <c r="BQ5802" s="319"/>
      <c r="BR5802" s="319"/>
      <c r="BS5802" s="330"/>
      <c r="BT5802" s="331"/>
      <c r="BU5802" s="920"/>
      <c r="BV5802" s="903"/>
      <c r="BW5802" s="908"/>
      <c r="BX5802" s="908"/>
      <c r="BY5802" s="331"/>
      <c r="BZ5802" s="331"/>
      <c r="CA5802" s="462"/>
      <c r="CB5802" s="319"/>
      <c r="CC5802" s="319"/>
      <c r="CD5802" s="319"/>
      <c r="CE5802" s="319"/>
      <c r="CF5802" s="319"/>
      <c r="CG5802" s="319"/>
      <c r="CH5802" s="318"/>
      <c r="CI5802" s="319"/>
      <c r="CJ5802" s="319"/>
      <c r="CK5802" s="342"/>
      <c r="CL5802" s="333"/>
      <c r="CM5802" s="1079"/>
      <c r="CN5802" s="1005"/>
      <c r="CO5802" s="1005"/>
      <c r="CP5802" s="1005"/>
    </row>
    <row r="5803">
      <c r="A5803" s="1257"/>
      <c r="B5803" s="1113"/>
      <c r="C5803" s="1107"/>
      <c r="D5803" s="103"/>
      <c r="E5803" s="1137"/>
      <c r="F5803" s="112"/>
      <c r="G5803" s="1110"/>
      <c r="H5803" s="1138"/>
      <c r="I5803" s="1138"/>
      <c r="J5803" s="1139"/>
      <c r="K5803" s="1111"/>
      <c r="L5803" s="1112"/>
      <c r="M5803" s="1113"/>
      <c r="N5803" s="110"/>
      <c r="O5803" s="1140"/>
      <c r="P5803" s="1115"/>
      <c r="Q5803" s="1116"/>
      <c r="R5803" s="1141"/>
      <c r="S5803" s="1113"/>
      <c r="T5803" s="1143"/>
      <c r="U5803" s="1108"/>
      <c r="V5803" s="1108"/>
      <c r="W5803" s="1108"/>
      <c r="X5803" s="1108"/>
      <c r="Y5803" s="1108"/>
      <c r="Z5803" s="1114"/>
      <c r="AA5803" s="1114"/>
      <c r="AB5803" s="1114"/>
      <c r="AC5803" s="1117"/>
      <c r="AD5803" s="1115"/>
      <c r="AE5803" s="1115"/>
      <c r="AF5803" s="1115"/>
      <c r="AG5803" s="1115"/>
      <c r="AH5803" s="1115"/>
      <c r="AI5803" s="1115"/>
      <c r="AJ5803" s="1117"/>
      <c r="AK5803" s="1118"/>
      <c r="AL5803" s="1115"/>
      <c r="AM5803" s="1115"/>
      <c r="AN5803" s="1115"/>
      <c r="AO5803" s="1115"/>
      <c r="AP5803" s="1115"/>
      <c r="AQ5803" s="1115"/>
      <c r="AR5803" s="1115"/>
      <c r="AS5803" s="1117"/>
      <c r="AT5803" s="1075"/>
      <c r="AU5803" s="1193"/>
      <c r="AV5803" s="330"/>
      <c r="AW5803" s="331"/>
      <c r="AX5803" s="331"/>
      <c r="AY5803" s="331"/>
      <c r="AZ5803" s="331"/>
      <c r="BA5803" s="331"/>
      <c r="BB5803" s="331"/>
      <c r="BC5803" s="331"/>
      <c r="BD5803" s="331"/>
      <c r="BE5803" s="333"/>
      <c r="BF5803" s="330"/>
      <c r="BG5803" s="333"/>
      <c r="BH5803" s="1119"/>
      <c r="BI5803" s="319"/>
      <c r="BJ5803" s="319"/>
      <c r="BK5803" s="319"/>
      <c r="BL5803" s="319"/>
      <c r="BM5803" s="319"/>
      <c r="BN5803" s="319"/>
      <c r="BO5803" s="319"/>
      <c r="BP5803" s="953"/>
      <c r="BQ5803" s="319"/>
      <c r="BR5803" s="319"/>
      <c r="BS5803" s="330"/>
      <c r="BT5803" s="331"/>
      <c r="BU5803" s="920"/>
      <c r="BV5803" s="903"/>
      <c r="BW5803" s="908"/>
      <c r="BX5803" s="908"/>
      <c r="BY5803" s="331"/>
      <c r="BZ5803" s="331"/>
      <c r="CA5803" s="462"/>
      <c r="CB5803" s="319"/>
      <c r="CC5803" s="319"/>
      <c r="CD5803" s="319"/>
      <c r="CE5803" s="319"/>
      <c r="CF5803" s="319"/>
      <c r="CG5803" s="319"/>
      <c r="CH5803" s="318"/>
      <c r="CI5803" s="319"/>
      <c r="CJ5803" s="319"/>
      <c r="CK5803" s="342"/>
      <c r="CL5803" s="333"/>
      <c r="CM5803" s="1079"/>
      <c r="CN5803" s="1005"/>
      <c r="CO5803" s="1005"/>
      <c r="CP5803" s="1005"/>
    </row>
    <row r="5804">
      <c r="A5804" s="1257"/>
      <c r="B5804" s="1113"/>
      <c r="C5804" s="1107"/>
      <c r="D5804" s="103"/>
      <c r="E5804" s="1137"/>
      <c r="F5804" s="112"/>
      <c r="G5804" s="1110"/>
      <c r="H5804" s="1138"/>
      <c r="I5804" s="1138"/>
      <c r="J5804" s="1139"/>
      <c r="K5804" s="1111"/>
      <c r="L5804" s="1112"/>
      <c r="M5804" s="1113"/>
      <c r="N5804" s="110"/>
      <c r="O5804" s="1140"/>
      <c r="P5804" s="1115"/>
      <c r="Q5804" s="1116"/>
      <c r="R5804" s="1141"/>
      <c r="S5804" s="1113"/>
      <c r="T5804" s="1143"/>
      <c r="U5804" s="1108"/>
      <c r="V5804" s="1108"/>
      <c r="W5804" s="1108"/>
      <c r="X5804" s="1108"/>
      <c r="Y5804" s="1108"/>
      <c r="Z5804" s="1114"/>
      <c r="AA5804" s="1114"/>
      <c r="AB5804" s="1114"/>
      <c r="AC5804" s="1117"/>
      <c r="AD5804" s="1115"/>
      <c r="AE5804" s="1115"/>
      <c r="AF5804" s="1115"/>
      <c r="AG5804" s="1115"/>
      <c r="AH5804" s="1115"/>
      <c r="AI5804" s="1115"/>
      <c r="AJ5804" s="1117"/>
      <c r="AK5804" s="1118"/>
      <c r="AL5804" s="1115"/>
      <c r="AM5804" s="1115"/>
      <c r="AN5804" s="1115"/>
      <c r="AO5804" s="1115"/>
      <c r="AP5804" s="1115"/>
      <c r="AQ5804" s="1115"/>
      <c r="AR5804" s="1115"/>
      <c r="AS5804" s="1117"/>
      <c r="AT5804" s="1075"/>
      <c r="AU5804" s="1193"/>
      <c r="AV5804" s="330"/>
      <c r="AW5804" s="331"/>
      <c r="AX5804" s="331"/>
      <c r="AY5804" s="331"/>
      <c r="AZ5804" s="331"/>
      <c r="BA5804" s="331"/>
      <c r="BB5804" s="331"/>
      <c r="BC5804" s="331"/>
      <c r="BD5804" s="331"/>
      <c r="BE5804" s="333"/>
      <c r="BF5804" s="330"/>
      <c r="BG5804" s="333"/>
      <c r="BH5804" s="1119"/>
      <c r="BI5804" s="319"/>
      <c r="BJ5804" s="319"/>
      <c r="BK5804" s="319"/>
      <c r="BL5804" s="319"/>
      <c r="BM5804" s="319"/>
      <c r="BN5804" s="319"/>
      <c r="BO5804" s="319"/>
      <c r="BP5804" s="953"/>
      <c r="BQ5804" s="319"/>
      <c r="BR5804" s="319"/>
      <c r="BS5804" s="330"/>
      <c r="BT5804" s="331"/>
      <c r="BU5804" s="920"/>
      <c r="BV5804" s="903"/>
      <c r="BW5804" s="908"/>
      <c r="BX5804" s="908"/>
      <c r="BY5804" s="331"/>
      <c r="BZ5804" s="331"/>
      <c r="CA5804" s="462"/>
      <c r="CB5804" s="319"/>
      <c r="CC5804" s="319"/>
      <c r="CD5804" s="319"/>
      <c r="CE5804" s="319"/>
      <c r="CF5804" s="319"/>
      <c r="CG5804" s="319"/>
      <c r="CH5804" s="318"/>
      <c r="CI5804" s="319"/>
      <c r="CJ5804" s="319"/>
      <c r="CK5804" s="342"/>
      <c r="CL5804" s="333"/>
      <c r="CM5804" s="1079"/>
      <c r="CN5804" s="1005"/>
      <c r="CO5804" s="1005"/>
      <c r="CP5804" s="1005"/>
    </row>
    <row r="5805">
      <c r="A5805" s="1257"/>
      <c r="B5805" s="1113"/>
      <c r="C5805" s="1107"/>
      <c r="D5805" s="103"/>
      <c r="E5805" s="1137"/>
      <c r="F5805" s="112"/>
      <c r="G5805" s="1110"/>
      <c r="H5805" s="1138"/>
      <c r="I5805" s="1138"/>
      <c r="J5805" s="1139"/>
      <c r="K5805" s="1111"/>
      <c r="L5805" s="1112"/>
      <c r="M5805" s="1113"/>
      <c r="N5805" s="110"/>
      <c r="O5805" s="1140"/>
      <c r="P5805" s="1115"/>
      <c r="Q5805" s="1116"/>
      <c r="R5805" s="1141"/>
      <c r="S5805" s="1113"/>
      <c r="T5805" s="1143"/>
      <c r="U5805" s="1108"/>
      <c r="V5805" s="1108"/>
      <c r="W5805" s="1108"/>
      <c r="X5805" s="1108"/>
      <c r="Y5805" s="1108"/>
      <c r="Z5805" s="1114"/>
      <c r="AA5805" s="1114"/>
      <c r="AB5805" s="1114"/>
      <c r="AC5805" s="1117"/>
      <c r="AD5805" s="1115"/>
      <c r="AE5805" s="1115"/>
      <c r="AF5805" s="1115"/>
      <c r="AG5805" s="1115"/>
      <c r="AH5805" s="1115"/>
      <c r="AI5805" s="1115"/>
      <c r="AJ5805" s="1117"/>
      <c r="AK5805" s="1118"/>
      <c r="AL5805" s="1115"/>
      <c r="AM5805" s="1115"/>
      <c r="AN5805" s="1115"/>
      <c r="AO5805" s="1115"/>
      <c r="AP5805" s="1115"/>
      <c r="AQ5805" s="1115"/>
      <c r="AR5805" s="1115"/>
      <c r="AS5805" s="1117"/>
      <c r="AT5805" s="1075"/>
      <c r="AU5805" s="1193"/>
      <c r="AV5805" s="330"/>
      <c r="AW5805" s="331"/>
      <c r="AX5805" s="331"/>
      <c r="AY5805" s="331"/>
      <c r="AZ5805" s="331"/>
      <c r="BA5805" s="331"/>
      <c r="BB5805" s="331"/>
      <c r="BC5805" s="331"/>
      <c r="BD5805" s="331"/>
      <c r="BE5805" s="333"/>
      <c r="BF5805" s="330"/>
      <c r="BG5805" s="333"/>
      <c r="BH5805" s="1119"/>
      <c r="BI5805" s="319"/>
      <c r="BJ5805" s="319"/>
      <c r="BK5805" s="319"/>
      <c r="BL5805" s="319"/>
      <c r="BM5805" s="319"/>
      <c r="BN5805" s="319"/>
      <c r="BO5805" s="319"/>
      <c r="BP5805" s="953"/>
      <c r="BQ5805" s="319"/>
      <c r="BR5805" s="319"/>
      <c r="BS5805" s="330"/>
      <c r="BT5805" s="331"/>
      <c r="BU5805" s="920"/>
      <c r="BV5805" s="903"/>
      <c r="BW5805" s="908"/>
      <c r="BX5805" s="908"/>
      <c r="BY5805" s="331"/>
      <c r="BZ5805" s="331"/>
      <c r="CA5805" s="462"/>
      <c r="CB5805" s="319"/>
      <c r="CC5805" s="319"/>
      <c r="CD5805" s="319"/>
      <c r="CE5805" s="319"/>
      <c r="CF5805" s="319"/>
      <c r="CG5805" s="319"/>
      <c r="CH5805" s="318"/>
      <c r="CI5805" s="319"/>
      <c r="CJ5805" s="319"/>
      <c r="CK5805" s="342"/>
      <c r="CL5805" s="333"/>
      <c r="CM5805" s="1079"/>
      <c r="CN5805" s="1005"/>
      <c r="CO5805" s="1005"/>
      <c r="CP5805" s="1005"/>
    </row>
    <row r="5806">
      <c r="A5806" s="1257"/>
      <c r="B5806" s="1113"/>
      <c r="C5806" s="1107"/>
      <c r="D5806" s="103"/>
      <c r="E5806" s="1137"/>
      <c r="F5806" s="112"/>
      <c r="G5806" s="1110"/>
      <c r="H5806" s="1138"/>
      <c r="I5806" s="1138"/>
      <c r="J5806" s="1139"/>
      <c r="K5806" s="1111"/>
      <c r="L5806" s="1112"/>
      <c r="M5806" s="1113"/>
      <c r="N5806" s="110"/>
      <c r="O5806" s="1140"/>
      <c r="P5806" s="1115"/>
      <c r="Q5806" s="1116"/>
      <c r="R5806" s="1141"/>
      <c r="S5806" s="1113"/>
      <c r="T5806" s="1143"/>
      <c r="U5806" s="1108"/>
      <c r="V5806" s="1108"/>
      <c r="W5806" s="1108"/>
      <c r="X5806" s="1108"/>
      <c r="Y5806" s="1108"/>
      <c r="Z5806" s="1114"/>
      <c r="AA5806" s="1114"/>
      <c r="AB5806" s="1114"/>
      <c r="AC5806" s="1117"/>
      <c r="AD5806" s="1115"/>
      <c r="AE5806" s="1115"/>
      <c r="AF5806" s="1115"/>
      <c r="AG5806" s="1115"/>
      <c r="AH5806" s="1115"/>
      <c r="AI5806" s="1115"/>
      <c r="AJ5806" s="1117"/>
      <c r="AK5806" s="1118"/>
      <c r="AL5806" s="1115"/>
      <c r="AM5806" s="1115"/>
      <c r="AN5806" s="1115"/>
      <c r="AO5806" s="1115"/>
      <c r="AP5806" s="1115"/>
      <c r="AQ5806" s="1115"/>
      <c r="AR5806" s="1115"/>
      <c r="AS5806" s="1117"/>
      <c r="AT5806" s="1075"/>
      <c r="AU5806" s="1193"/>
      <c r="AV5806" s="330"/>
      <c r="AW5806" s="331"/>
      <c r="AX5806" s="331"/>
      <c r="AY5806" s="331"/>
      <c r="AZ5806" s="331"/>
      <c r="BA5806" s="331"/>
      <c r="BB5806" s="331"/>
      <c r="BC5806" s="331"/>
      <c r="BD5806" s="331"/>
      <c r="BE5806" s="333"/>
      <c r="BF5806" s="330"/>
      <c r="BG5806" s="333"/>
      <c r="BH5806" s="1119"/>
      <c r="BI5806" s="319"/>
      <c r="BJ5806" s="319"/>
      <c r="BK5806" s="319"/>
      <c r="BL5806" s="319"/>
      <c r="BM5806" s="319"/>
      <c r="BN5806" s="319"/>
      <c r="BO5806" s="319"/>
      <c r="BP5806" s="953"/>
      <c r="BQ5806" s="319"/>
      <c r="BR5806" s="319"/>
      <c r="BS5806" s="330"/>
      <c r="BT5806" s="331"/>
      <c r="BU5806" s="920"/>
      <c r="BV5806" s="903"/>
      <c r="BW5806" s="908"/>
      <c r="BX5806" s="908"/>
      <c r="BY5806" s="331"/>
      <c r="BZ5806" s="331"/>
      <c r="CA5806" s="462"/>
      <c r="CB5806" s="319"/>
      <c r="CC5806" s="319"/>
      <c r="CD5806" s="319"/>
      <c r="CE5806" s="319"/>
      <c r="CF5806" s="319"/>
      <c r="CG5806" s="319"/>
      <c r="CH5806" s="318"/>
      <c r="CI5806" s="319"/>
      <c r="CJ5806" s="319"/>
      <c r="CK5806" s="342"/>
      <c r="CL5806" s="333"/>
      <c r="CM5806" s="1079"/>
      <c r="CN5806" s="1005"/>
      <c r="CO5806" s="1005"/>
      <c r="CP5806" s="1005"/>
    </row>
    <row r="5807">
      <c r="A5807" s="1257"/>
      <c r="B5807" s="1113"/>
      <c r="C5807" s="1107"/>
      <c r="D5807" s="103"/>
      <c r="E5807" s="1137"/>
      <c r="F5807" s="112"/>
      <c r="G5807" s="1110"/>
      <c r="H5807" s="1138"/>
      <c r="I5807" s="1138"/>
      <c r="J5807" s="1139"/>
      <c r="K5807" s="1111"/>
      <c r="L5807" s="1112"/>
      <c r="M5807" s="1113"/>
      <c r="N5807" s="110"/>
      <c r="O5807" s="1140"/>
      <c r="P5807" s="1115"/>
      <c r="Q5807" s="1116"/>
      <c r="R5807" s="1141"/>
      <c r="S5807" s="1113"/>
      <c r="T5807" s="1143"/>
      <c r="U5807" s="1108"/>
      <c r="V5807" s="1108"/>
      <c r="W5807" s="1108"/>
      <c r="X5807" s="1108"/>
      <c r="Y5807" s="1108"/>
      <c r="Z5807" s="1114"/>
      <c r="AA5807" s="1114"/>
      <c r="AB5807" s="1114"/>
      <c r="AC5807" s="1117"/>
      <c r="AD5807" s="1115"/>
      <c r="AE5807" s="1115"/>
      <c r="AF5807" s="1115"/>
      <c r="AG5807" s="1115"/>
      <c r="AH5807" s="1115"/>
      <c r="AI5807" s="1115"/>
      <c r="AJ5807" s="1117"/>
      <c r="AK5807" s="1118"/>
      <c r="AL5807" s="1115"/>
      <c r="AM5807" s="1115"/>
      <c r="AN5807" s="1115"/>
      <c r="AO5807" s="1115"/>
      <c r="AP5807" s="1115"/>
      <c r="AQ5807" s="1115"/>
      <c r="AR5807" s="1115"/>
      <c r="AS5807" s="1117"/>
      <c r="AT5807" s="1075"/>
      <c r="AU5807" s="1193"/>
      <c r="AV5807" s="330"/>
      <c r="AW5807" s="331"/>
      <c r="AX5807" s="331"/>
      <c r="AY5807" s="331"/>
      <c r="AZ5807" s="331"/>
      <c r="BA5807" s="331"/>
      <c r="BB5807" s="331"/>
      <c r="BC5807" s="331"/>
      <c r="BD5807" s="331"/>
      <c r="BE5807" s="333"/>
      <c r="BF5807" s="330"/>
      <c r="BG5807" s="333"/>
      <c r="BH5807" s="1119"/>
      <c r="BI5807" s="319"/>
      <c r="BJ5807" s="319"/>
      <c r="BK5807" s="319"/>
      <c r="BL5807" s="319"/>
      <c r="BM5807" s="319"/>
      <c r="BN5807" s="319"/>
      <c r="BO5807" s="319"/>
      <c r="BP5807" s="953"/>
      <c r="BQ5807" s="319"/>
      <c r="BR5807" s="319"/>
      <c r="BS5807" s="330"/>
      <c r="BT5807" s="331"/>
      <c r="BU5807" s="920"/>
      <c r="BV5807" s="903"/>
      <c r="BW5807" s="908"/>
      <c r="BX5807" s="908"/>
      <c r="BY5807" s="331"/>
      <c r="BZ5807" s="331"/>
      <c r="CA5807" s="462"/>
      <c r="CB5807" s="319"/>
      <c r="CC5807" s="319"/>
      <c r="CD5807" s="319"/>
      <c r="CE5807" s="319"/>
      <c r="CF5807" s="319"/>
      <c r="CG5807" s="319"/>
      <c r="CH5807" s="318"/>
      <c r="CI5807" s="319"/>
      <c r="CJ5807" s="319"/>
      <c r="CK5807" s="342"/>
      <c r="CL5807" s="333"/>
      <c r="CM5807" s="1079"/>
      <c r="CN5807" s="1005"/>
      <c r="CO5807" s="1005"/>
      <c r="CP5807" s="1005"/>
    </row>
    <row r="5808">
      <c r="A5808" s="1257"/>
      <c r="B5808" s="1113"/>
      <c r="C5808" s="1107"/>
      <c r="D5808" s="103"/>
      <c r="E5808" s="1137"/>
      <c r="F5808" s="112"/>
      <c r="G5808" s="1110"/>
      <c r="H5808" s="1138"/>
      <c r="I5808" s="1138"/>
      <c r="J5808" s="1139"/>
      <c r="K5808" s="1111"/>
      <c r="L5808" s="1112"/>
      <c r="M5808" s="1113"/>
      <c r="N5808" s="110"/>
      <c r="O5808" s="1140"/>
      <c r="P5808" s="1115"/>
      <c r="Q5808" s="1116"/>
      <c r="R5808" s="1141"/>
      <c r="S5808" s="1113"/>
      <c r="T5808" s="1143"/>
      <c r="U5808" s="1108"/>
      <c r="V5808" s="1108"/>
      <c r="W5808" s="1108"/>
      <c r="X5808" s="1108"/>
      <c r="Y5808" s="1108"/>
      <c r="Z5808" s="1114"/>
      <c r="AA5808" s="1114"/>
      <c r="AB5808" s="1114"/>
      <c r="AC5808" s="1117"/>
      <c r="AD5808" s="1115"/>
      <c r="AE5808" s="1115"/>
      <c r="AF5808" s="1115"/>
      <c r="AG5808" s="1115"/>
      <c r="AH5808" s="1115"/>
      <c r="AI5808" s="1115"/>
      <c r="AJ5808" s="1117"/>
      <c r="AK5808" s="1118"/>
      <c r="AL5808" s="1115"/>
      <c r="AM5808" s="1115"/>
      <c r="AN5808" s="1115"/>
      <c r="AO5808" s="1115"/>
      <c r="AP5808" s="1115"/>
      <c r="AQ5808" s="1115"/>
      <c r="AR5808" s="1115"/>
      <c r="AS5808" s="1117"/>
      <c r="AT5808" s="1075"/>
      <c r="AU5808" s="1193"/>
      <c r="AV5808" s="330"/>
      <c r="AW5808" s="331"/>
      <c r="AX5808" s="331"/>
      <c r="AY5808" s="331"/>
      <c r="AZ5808" s="331"/>
      <c r="BA5808" s="331"/>
      <c r="BB5808" s="331"/>
      <c r="BC5808" s="331"/>
      <c r="BD5808" s="331"/>
      <c r="BE5808" s="333"/>
      <c r="BF5808" s="330"/>
      <c r="BG5808" s="333"/>
      <c r="BH5808" s="1119"/>
      <c r="BI5808" s="319"/>
      <c r="BJ5808" s="319"/>
      <c r="BK5808" s="319"/>
      <c r="BL5808" s="319"/>
      <c r="BM5808" s="319"/>
      <c r="BN5808" s="319"/>
      <c r="BO5808" s="319"/>
      <c r="BP5808" s="953"/>
      <c r="BQ5808" s="319"/>
      <c r="BR5808" s="319"/>
      <c r="BS5808" s="330"/>
      <c r="BT5808" s="331"/>
      <c r="BU5808" s="920"/>
      <c r="BV5808" s="903"/>
      <c r="BW5808" s="908"/>
      <c r="BX5808" s="908"/>
      <c r="BY5808" s="331"/>
      <c r="BZ5808" s="331"/>
      <c r="CA5808" s="462"/>
      <c r="CB5808" s="319"/>
      <c r="CC5808" s="319"/>
      <c r="CD5808" s="319"/>
      <c r="CE5808" s="319"/>
      <c r="CF5808" s="319"/>
      <c r="CG5808" s="319"/>
      <c r="CH5808" s="318"/>
      <c r="CI5808" s="319"/>
      <c r="CJ5808" s="319"/>
      <c r="CK5808" s="342"/>
      <c r="CL5808" s="333"/>
      <c r="CM5808" s="1079"/>
      <c r="CN5808" s="1005"/>
      <c r="CO5808" s="1005"/>
      <c r="CP5808" s="1005"/>
    </row>
    <row r="5809">
      <c r="A5809" s="1257"/>
      <c r="B5809" s="1113"/>
      <c r="C5809" s="1107"/>
      <c r="D5809" s="103"/>
      <c r="E5809" s="1137"/>
      <c r="F5809" s="112"/>
      <c r="G5809" s="1110"/>
      <c r="H5809" s="1138"/>
      <c r="I5809" s="1138"/>
      <c r="J5809" s="1139"/>
      <c r="K5809" s="1111"/>
      <c r="L5809" s="1112"/>
      <c r="M5809" s="1113"/>
      <c r="N5809" s="110"/>
      <c r="O5809" s="1140"/>
      <c r="P5809" s="1115"/>
      <c r="Q5809" s="1116"/>
      <c r="R5809" s="1141"/>
      <c r="S5809" s="1113"/>
      <c r="T5809" s="1143"/>
      <c r="U5809" s="1108"/>
      <c r="V5809" s="1108"/>
      <c r="W5809" s="1108"/>
      <c r="X5809" s="1108"/>
      <c r="Y5809" s="1108"/>
      <c r="Z5809" s="1114"/>
      <c r="AA5809" s="1114"/>
      <c r="AB5809" s="1114"/>
      <c r="AC5809" s="1117"/>
      <c r="AD5809" s="1115"/>
      <c r="AE5809" s="1115"/>
      <c r="AF5809" s="1115"/>
      <c r="AG5809" s="1115"/>
      <c r="AH5809" s="1115"/>
      <c r="AI5809" s="1115"/>
      <c r="AJ5809" s="1117"/>
      <c r="AK5809" s="1118"/>
      <c r="AL5809" s="1115"/>
      <c r="AM5809" s="1115"/>
      <c r="AN5809" s="1115"/>
      <c r="AO5809" s="1115"/>
      <c r="AP5809" s="1115"/>
      <c r="AQ5809" s="1115"/>
      <c r="AR5809" s="1115"/>
      <c r="AS5809" s="1117"/>
      <c r="AT5809" s="1075"/>
      <c r="AU5809" s="1193"/>
      <c r="AV5809" s="330"/>
      <c r="AW5809" s="331"/>
      <c r="AX5809" s="331"/>
      <c r="AY5809" s="331"/>
      <c r="AZ5809" s="331"/>
      <c r="BA5809" s="331"/>
      <c r="BB5809" s="331"/>
      <c r="BC5809" s="331"/>
      <c r="BD5809" s="331"/>
      <c r="BE5809" s="333"/>
      <c r="BF5809" s="330"/>
      <c r="BG5809" s="333"/>
      <c r="BH5809" s="1119"/>
      <c r="BI5809" s="319"/>
      <c r="BJ5809" s="319"/>
      <c r="BK5809" s="319"/>
      <c r="BL5809" s="319"/>
      <c r="BM5809" s="319"/>
      <c r="BN5809" s="319"/>
      <c r="BO5809" s="319"/>
      <c r="BP5809" s="953"/>
      <c r="BQ5809" s="319"/>
      <c r="BR5809" s="319"/>
      <c r="BS5809" s="330"/>
      <c r="BT5809" s="331"/>
      <c r="BU5809" s="920"/>
      <c r="BV5809" s="903"/>
      <c r="BW5809" s="908"/>
      <c r="BX5809" s="908"/>
      <c r="BY5809" s="331"/>
      <c r="BZ5809" s="331"/>
      <c r="CA5809" s="462"/>
      <c r="CB5809" s="319"/>
      <c r="CC5809" s="319"/>
      <c r="CD5809" s="319"/>
      <c r="CE5809" s="319"/>
      <c r="CF5809" s="319"/>
      <c r="CG5809" s="319"/>
      <c r="CH5809" s="318"/>
      <c r="CI5809" s="319"/>
      <c r="CJ5809" s="319"/>
      <c r="CK5809" s="342"/>
      <c r="CL5809" s="333"/>
      <c r="CM5809" s="1079"/>
      <c r="CN5809" s="1005"/>
      <c r="CO5809" s="1005"/>
      <c r="CP5809" s="1005"/>
    </row>
    <row r="5810">
      <c r="A5810" s="1257"/>
      <c r="B5810" s="1113"/>
      <c r="C5810" s="1107"/>
      <c r="D5810" s="103"/>
      <c r="E5810" s="1137"/>
      <c r="F5810" s="112"/>
      <c r="G5810" s="1110"/>
      <c r="H5810" s="1138"/>
      <c r="I5810" s="1138"/>
      <c r="J5810" s="1139"/>
      <c r="K5810" s="1111"/>
      <c r="L5810" s="1112"/>
      <c r="M5810" s="1113"/>
      <c r="N5810" s="110"/>
      <c r="O5810" s="1140"/>
      <c r="P5810" s="1115"/>
      <c r="Q5810" s="1116"/>
      <c r="R5810" s="1141"/>
      <c r="S5810" s="1113"/>
      <c r="T5810" s="1143"/>
      <c r="U5810" s="1108"/>
      <c r="V5810" s="1108"/>
      <c r="W5810" s="1108"/>
      <c r="X5810" s="1108"/>
      <c r="Y5810" s="1108"/>
      <c r="Z5810" s="1114"/>
      <c r="AA5810" s="1114"/>
      <c r="AB5810" s="1114"/>
      <c r="AC5810" s="1117"/>
      <c r="AD5810" s="1115"/>
      <c r="AE5810" s="1115"/>
      <c r="AF5810" s="1115"/>
      <c r="AG5810" s="1115"/>
      <c r="AH5810" s="1115"/>
      <c r="AI5810" s="1115"/>
      <c r="AJ5810" s="1117"/>
      <c r="AK5810" s="1118"/>
      <c r="AL5810" s="1115"/>
      <c r="AM5810" s="1115"/>
      <c r="AN5810" s="1115"/>
      <c r="AO5810" s="1115"/>
      <c r="AP5810" s="1115"/>
      <c r="AQ5810" s="1115"/>
      <c r="AR5810" s="1115"/>
      <c r="AS5810" s="1117"/>
      <c r="AT5810" s="1075"/>
      <c r="AU5810" s="1193"/>
      <c r="AV5810" s="330"/>
      <c r="AW5810" s="331"/>
      <c r="AX5810" s="331"/>
      <c r="AY5810" s="331"/>
      <c r="AZ5810" s="331"/>
      <c r="BA5810" s="331"/>
      <c r="BB5810" s="331"/>
      <c r="BC5810" s="331"/>
      <c r="BD5810" s="331"/>
      <c r="BE5810" s="333"/>
      <c r="BF5810" s="330"/>
      <c r="BG5810" s="333"/>
      <c r="BH5810" s="1119"/>
      <c r="BI5810" s="319"/>
      <c r="BJ5810" s="319"/>
      <c r="BK5810" s="319"/>
      <c r="BL5810" s="319"/>
      <c r="BM5810" s="319"/>
      <c r="BN5810" s="319"/>
      <c r="BO5810" s="319"/>
      <c r="BP5810" s="953"/>
      <c r="BQ5810" s="319"/>
      <c r="BR5810" s="319"/>
      <c r="BS5810" s="330"/>
      <c r="BT5810" s="331"/>
      <c r="BU5810" s="920"/>
      <c r="BV5810" s="903"/>
      <c r="BW5810" s="908"/>
      <c r="BX5810" s="908"/>
      <c r="BY5810" s="331"/>
      <c r="BZ5810" s="331"/>
      <c r="CA5810" s="462"/>
      <c r="CB5810" s="319"/>
      <c r="CC5810" s="319"/>
      <c r="CD5810" s="319"/>
      <c r="CE5810" s="319"/>
      <c r="CF5810" s="319"/>
      <c r="CG5810" s="319"/>
      <c r="CH5810" s="318"/>
      <c r="CI5810" s="319"/>
      <c r="CJ5810" s="319"/>
      <c r="CK5810" s="342"/>
      <c r="CL5810" s="333"/>
      <c r="CM5810" s="1079"/>
      <c r="CN5810" s="1005"/>
      <c r="CO5810" s="1005"/>
      <c r="CP5810" s="1005"/>
    </row>
    <row r="5811">
      <c r="A5811" s="1257"/>
      <c r="B5811" s="1113"/>
      <c r="C5811" s="1107"/>
      <c r="D5811" s="103"/>
      <c r="E5811" s="1137"/>
      <c r="F5811" s="112"/>
      <c r="G5811" s="1110"/>
      <c r="H5811" s="1138"/>
      <c r="I5811" s="1138"/>
      <c r="J5811" s="1139"/>
      <c r="K5811" s="1111"/>
      <c r="L5811" s="1112"/>
      <c r="M5811" s="1113"/>
      <c r="N5811" s="110"/>
      <c r="O5811" s="1140"/>
      <c r="P5811" s="1115"/>
      <c r="Q5811" s="1116"/>
      <c r="R5811" s="1141"/>
      <c r="S5811" s="1113"/>
      <c r="T5811" s="1143"/>
      <c r="U5811" s="1108"/>
      <c r="V5811" s="1108"/>
      <c r="W5811" s="1108"/>
      <c r="X5811" s="1108"/>
      <c r="Y5811" s="1108"/>
      <c r="Z5811" s="1114"/>
      <c r="AA5811" s="1114"/>
      <c r="AB5811" s="1114"/>
      <c r="AC5811" s="1117"/>
      <c r="AD5811" s="1115"/>
      <c r="AE5811" s="1115"/>
      <c r="AF5811" s="1115"/>
      <c r="AG5811" s="1115"/>
      <c r="AH5811" s="1115"/>
      <c r="AI5811" s="1115"/>
      <c r="AJ5811" s="1117"/>
      <c r="AK5811" s="1118"/>
      <c r="AL5811" s="1115"/>
      <c r="AM5811" s="1115"/>
      <c r="AN5811" s="1115"/>
      <c r="AO5811" s="1115"/>
      <c r="AP5811" s="1115"/>
      <c r="AQ5811" s="1115"/>
      <c r="AR5811" s="1115"/>
      <c r="AS5811" s="1117"/>
      <c r="AT5811" s="1075"/>
      <c r="AU5811" s="1193"/>
      <c r="AV5811" s="330"/>
      <c r="AW5811" s="331"/>
      <c r="AX5811" s="331"/>
      <c r="AY5811" s="331"/>
      <c r="AZ5811" s="331"/>
      <c r="BA5811" s="331"/>
      <c r="BB5811" s="331"/>
      <c r="BC5811" s="331"/>
      <c r="BD5811" s="331"/>
      <c r="BE5811" s="333"/>
      <c r="BF5811" s="330"/>
      <c r="BG5811" s="333"/>
      <c r="BH5811" s="1119"/>
      <c r="BI5811" s="319"/>
      <c r="BJ5811" s="319"/>
      <c r="BK5811" s="319"/>
      <c r="BL5811" s="319"/>
      <c r="BM5811" s="319"/>
      <c r="BN5811" s="319"/>
      <c r="BO5811" s="319"/>
      <c r="BP5811" s="953"/>
      <c r="BQ5811" s="319"/>
      <c r="BR5811" s="319"/>
      <c r="BS5811" s="330"/>
      <c r="BT5811" s="331"/>
      <c r="BU5811" s="920"/>
      <c r="BV5811" s="903"/>
      <c r="BW5811" s="908"/>
      <c r="BX5811" s="908"/>
      <c r="BY5811" s="331"/>
      <c r="BZ5811" s="331"/>
      <c r="CA5811" s="462"/>
      <c r="CB5811" s="319"/>
      <c r="CC5811" s="319"/>
      <c r="CD5811" s="319"/>
      <c r="CE5811" s="319"/>
      <c r="CF5811" s="319"/>
      <c r="CG5811" s="319"/>
      <c r="CH5811" s="318"/>
      <c r="CI5811" s="319"/>
      <c r="CJ5811" s="319"/>
      <c r="CK5811" s="342"/>
      <c r="CL5811" s="333"/>
      <c r="CM5811" s="1079"/>
      <c r="CN5811" s="1005"/>
      <c r="CO5811" s="1005"/>
      <c r="CP5811" s="1005"/>
    </row>
    <row r="5812">
      <c r="A5812" s="1257"/>
      <c r="B5812" s="1113"/>
      <c r="C5812" s="1107"/>
      <c r="D5812" s="103"/>
      <c r="E5812" s="1137"/>
      <c r="F5812" s="112"/>
      <c r="G5812" s="1110"/>
      <c r="H5812" s="1138"/>
      <c r="I5812" s="1138"/>
      <c r="J5812" s="1139"/>
      <c r="K5812" s="1111"/>
      <c r="L5812" s="1112"/>
      <c r="M5812" s="1113"/>
      <c r="N5812" s="110"/>
      <c r="O5812" s="1140"/>
      <c r="P5812" s="1115"/>
      <c r="Q5812" s="1116"/>
      <c r="R5812" s="1141"/>
      <c r="S5812" s="1113"/>
      <c r="T5812" s="1143"/>
      <c r="U5812" s="1108"/>
      <c r="V5812" s="1108"/>
      <c r="W5812" s="1108"/>
      <c r="X5812" s="1108"/>
      <c r="Y5812" s="1108"/>
      <c r="Z5812" s="1114"/>
      <c r="AA5812" s="1114"/>
      <c r="AB5812" s="1114"/>
      <c r="AC5812" s="1117"/>
      <c r="AD5812" s="1115"/>
      <c r="AE5812" s="1115"/>
      <c r="AF5812" s="1115"/>
      <c r="AG5812" s="1115"/>
      <c r="AH5812" s="1115"/>
      <c r="AI5812" s="1115"/>
      <c r="AJ5812" s="1117"/>
      <c r="AK5812" s="1118"/>
      <c r="AL5812" s="1115"/>
      <c r="AM5812" s="1115"/>
      <c r="AN5812" s="1115"/>
      <c r="AO5812" s="1115"/>
      <c r="AP5812" s="1115"/>
      <c r="AQ5812" s="1115"/>
      <c r="AR5812" s="1115"/>
      <c r="AS5812" s="1117"/>
      <c r="AT5812" s="1075"/>
      <c r="AU5812" s="1193"/>
      <c r="AV5812" s="330"/>
      <c r="AW5812" s="331"/>
      <c r="AX5812" s="331"/>
      <c r="AY5812" s="331"/>
      <c r="AZ5812" s="331"/>
      <c r="BA5812" s="331"/>
      <c r="BB5812" s="331"/>
      <c r="BC5812" s="331"/>
      <c r="BD5812" s="331"/>
      <c r="BE5812" s="333"/>
      <c r="BF5812" s="330"/>
      <c r="BG5812" s="333"/>
      <c r="BH5812" s="1119"/>
      <c r="BI5812" s="319"/>
      <c r="BJ5812" s="319"/>
      <c r="BK5812" s="319"/>
      <c r="BL5812" s="319"/>
      <c r="BM5812" s="319"/>
      <c r="BN5812" s="319"/>
      <c r="BO5812" s="319"/>
      <c r="BP5812" s="953"/>
      <c r="BQ5812" s="319"/>
      <c r="BR5812" s="319"/>
      <c r="BS5812" s="330"/>
      <c r="BT5812" s="331"/>
      <c r="BU5812" s="920"/>
      <c r="BV5812" s="903"/>
      <c r="BW5812" s="908"/>
      <c r="BX5812" s="908"/>
      <c r="BY5812" s="331"/>
      <c r="BZ5812" s="331"/>
      <c r="CA5812" s="462"/>
      <c r="CB5812" s="319"/>
      <c r="CC5812" s="319"/>
      <c r="CD5812" s="319"/>
      <c r="CE5812" s="319"/>
      <c r="CF5812" s="319"/>
      <c r="CG5812" s="319"/>
      <c r="CH5812" s="318"/>
      <c r="CI5812" s="319"/>
      <c r="CJ5812" s="319"/>
      <c r="CK5812" s="342"/>
      <c r="CL5812" s="333"/>
      <c r="CM5812" s="1079"/>
      <c r="CN5812" s="1005"/>
      <c r="CO5812" s="1005"/>
      <c r="CP5812" s="1005"/>
    </row>
    <row r="5813">
      <c r="A5813" s="1257"/>
      <c r="B5813" s="1113"/>
      <c r="C5813" s="1107"/>
      <c r="D5813" s="103"/>
      <c r="E5813" s="1137"/>
      <c r="F5813" s="112"/>
      <c r="G5813" s="1110"/>
      <c r="H5813" s="1138"/>
      <c r="I5813" s="1138"/>
      <c r="J5813" s="1139"/>
      <c r="K5813" s="1111"/>
      <c r="L5813" s="1112"/>
      <c r="M5813" s="1113"/>
      <c r="N5813" s="110"/>
      <c r="O5813" s="1140"/>
      <c r="P5813" s="1115"/>
      <c r="Q5813" s="1116"/>
      <c r="R5813" s="1141"/>
      <c r="S5813" s="1113"/>
      <c r="T5813" s="1143"/>
      <c r="U5813" s="1108"/>
      <c r="V5813" s="1108"/>
      <c r="W5813" s="1108"/>
      <c r="X5813" s="1108"/>
      <c r="Y5813" s="1108"/>
      <c r="Z5813" s="1114"/>
      <c r="AA5813" s="1114"/>
      <c r="AB5813" s="1114"/>
      <c r="AC5813" s="1117"/>
      <c r="AD5813" s="1115"/>
      <c r="AE5813" s="1115"/>
      <c r="AF5813" s="1115"/>
      <c r="AG5813" s="1115"/>
      <c r="AH5813" s="1115"/>
      <c r="AI5813" s="1115"/>
      <c r="AJ5813" s="1117"/>
      <c r="AK5813" s="1118"/>
      <c r="AL5813" s="1115"/>
      <c r="AM5813" s="1115"/>
      <c r="AN5813" s="1115"/>
      <c r="AO5813" s="1115"/>
      <c r="AP5813" s="1115"/>
      <c r="AQ5813" s="1115"/>
      <c r="AR5813" s="1115"/>
      <c r="AS5813" s="1117"/>
      <c r="AT5813" s="1075"/>
      <c r="AU5813" s="1193"/>
      <c r="AV5813" s="330"/>
      <c r="AW5813" s="331"/>
      <c r="AX5813" s="331"/>
      <c r="AY5813" s="331"/>
      <c r="AZ5813" s="331"/>
      <c r="BA5813" s="331"/>
      <c r="BB5813" s="331"/>
      <c r="BC5813" s="331"/>
      <c r="BD5813" s="331"/>
      <c r="BE5813" s="333"/>
      <c r="BF5813" s="330"/>
      <c r="BG5813" s="333"/>
      <c r="BH5813" s="1119"/>
      <c r="BI5813" s="319"/>
      <c r="BJ5813" s="319"/>
      <c r="BK5813" s="319"/>
      <c r="BL5813" s="319"/>
      <c r="BM5813" s="319"/>
      <c r="BN5813" s="319"/>
      <c r="BO5813" s="319"/>
      <c r="BP5813" s="953"/>
      <c r="BQ5813" s="319"/>
      <c r="BR5813" s="319"/>
      <c r="BS5813" s="330"/>
      <c r="BT5813" s="331"/>
      <c r="BU5813" s="920"/>
      <c r="BV5813" s="903"/>
      <c r="BW5813" s="908"/>
      <c r="BX5813" s="908"/>
      <c r="BY5813" s="331"/>
      <c r="BZ5813" s="331"/>
      <c r="CA5813" s="462"/>
      <c r="CB5813" s="319"/>
      <c r="CC5813" s="319"/>
      <c r="CD5813" s="319"/>
      <c r="CE5813" s="319"/>
      <c r="CF5813" s="319"/>
      <c r="CG5813" s="319"/>
      <c r="CH5813" s="318"/>
      <c r="CI5813" s="319"/>
      <c r="CJ5813" s="319"/>
      <c r="CK5813" s="342"/>
      <c r="CL5813" s="333"/>
      <c r="CM5813" s="1079"/>
      <c r="CN5813" s="1005"/>
      <c r="CO5813" s="1005"/>
      <c r="CP5813" s="1005"/>
    </row>
    <row r="5814">
      <c r="A5814" s="1257"/>
      <c r="B5814" s="1113"/>
      <c r="C5814" s="1107"/>
      <c r="D5814" s="103"/>
      <c r="E5814" s="1137"/>
      <c r="F5814" s="112"/>
      <c r="G5814" s="1110"/>
      <c r="H5814" s="1138"/>
      <c r="I5814" s="1138"/>
      <c r="J5814" s="1139"/>
      <c r="K5814" s="1111"/>
      <c r="L5814" s="1112"/>
      <c r="M5814" s="1113"/>
      <c r="N5814" s="110"/>
      <c r="O5814" s="1140"/>
      <c r="P5814" s="1115"/>
      <c r="Q5814" s="1116"/>
      <c r="R5814" s="1141"/>
      <c r="S5814" s="1113"/>
      <c r="T5814" s="1143"/>
      <c r="U5814" s="1108"/>
      <c r="V5814" s="1108"/>
      <c r="W5814" s="1108"/>
      <c r="X5814" s="1108"/>
      <c r="Y5814" s="1108"/>
      <c r="Z5814" s="1114"/>
      <c r="AA5814" s="1114"/>
      <c r="AB5814" s="1114"/>
      <c r="AC5814" s="1117"/>
      <c r="AD5814" s="1115"/>
      <c r="AE5814" s="1115"/>
      <c r="AF5814" s="1115"/>
      <c r="AG5814" s="1115"/>
      <c r="AH5814" s="1115"/>
      <c r="AI5814" s="1115"/>
      <c r="AJ5814" s="1117"/>
      <c r="AK5814" s="1118"/>
      <c r="AL5814" s="1115"/>
      <c r="AM5814" s="1115"/>
      <c r="AN5814" s="1115"/>
      <c r="AO5814" s="1115"/>
      <c r="AP5814" s="1115"/>
      <c r="AQ5814" s="1115"/>
      <c r="AR5814" s="1115"/>
      <c r="AS5814" s="1117"/>
      <c r="AT5814" s="1075"/>
      <c r="AU5814" s="1193"/>
      <c r="AV5814" s="330"/>
      <c r="AW5814" s="331"/>
      <c r="AX5814" s="331"/>
      <c r="AY5814" s="331"/>
      <c r="AZ5814" s="331"/>
      <c r="BA5814" s="331"/>
      <c r="BB5814" s="331"/>
      <c r="BC5814" s="331"/>
      <c r="BD5814" s="331"/>
      <c r="BE5814" s="333"/>
      <c r="BF5814" s="330"/>
      <c r="BG5814" s="333"/>
      <c r="BH5814" s="1119"/>
      <c r="BI5814" s="319"/>
      <c r="BJ5814" s="319"/>
      <c r="BK5814" s="319"/>
      <c r="BL5814" s="319"/>
      <c r="BM5814" s="319"/>
      <c r="BN5814" s="319"/>
      <c r="BO5814" s="319"/>
      <c r="BP5814" s="953"/>
      <c r="BQ5814" s="319"/>
      <c r="BR5814" s="319"/>
      <c r="BS5814" s="330"/>
      <c r="BT5814" s="331"/>
      <c r="BU5814" s="920"/>
      <c r="BV5814" s="903"/>
      <c r="BW5814" s="908"/>
      <c r="BX5814" s="908"/>
      <c r="BY5814" s="331"/>
      <c r="BZ5814" s="331"/>
      <c r="CA5814" s="462"/>
      <c r="CB5814" s="319"/>
      <c r="CC5814" s="319"/>
      <c r="CD5814" s="319"/>
      <c r="CE5814" s="319"/>
      <c r="CF5814" s="319"/>
      <c r="CG5814" s="319"/>
      <c r="CH5814" s="318"/>
      <c r="CI5814" s="319"/>
      <c r="CJ5814" s="319"/>
      <c r="CK5814" s="342"/>
      <c r="CL5814" s="333"/>
      <c r="CM5814" s="1079"/>
      <c r="CN5814" s="1005"/>
      <c r="CO5814" s="1005"/>
      <c r="CP5814" s="1005"/>
    </row>
    <row r="5815">
      <c r="A5815" s="1257"/>
      <c r="B5815" s="1113"/>
      <c r="C5815" s="1107"/>
      <c r="D5815" s="103"/>
      <c r="E5815" s="1137"/>
      <c r="F5815" s="112"/>
      <c r="G5815" s="1110"/>
      <c r="H5815" s="1138"/>
      <c r="I5815" s="1138"/>
      <c r="J5815" s="1139"/>
      <c r="K5815" s="1111"/>
      <c r="L5815" s="1112"/>
      <c r="M5815" s="1113"/>
      <c r="N5815" s="110"/>
      <c r="O5815" s="1140"/>
      <c r="P5815" s="1115"/>
      <c r="Q5815" s="1116"/>
      <c r="R5815" s="1141"/>
      <c r="S5815" s="1113"/>
      <c r="T5815" s="1143"/>
      <c r="U5815" s="1108"/>
      <c r="V5815" s="1108"/>
      <c r="W5815" s="1108"/>
      <c r="X5815" s="1108"/>
      <c r="Y5815" s="1108"/>
      <c r="Z5815" s="1114"/>
      <c r="AA5815" s="1114"/>
      <c r="AB5815" s="1114"/>
      <c r="AC5815" s="1117"/>
      <c r="AD5815" s="1115"/>
      <c r="AE5815" s="1115"/>
      <c r="AF5815" s="1115"/>
      <c r="AG5815" s="1115"/>
      <c r="AH5815" s="1115"/>
      <c r="AI5815" s="1115"/>
      <c r="AJ5815" s="1117"/>
      <c r="AK5815" s="1118"/>
      <c r="AL5815" s="1115"/>
      <c r="AM5815" s="1115"/>
      <c r="AN5815" s="1115"/>
      <c r="AO5815" s="1115"/>
      <c r="AP5815" s="1115"/>
      <c r="AQ5815" s="1115"/>
      <c r="AR5815" s="1115"/>
      <c r="AS5815" s="1117"/>
      <c r="AT5815" s="1075"/>
      <c r="AU5815" s="1193"/>
      <c r="AV5815" s="330"/>
      <c r="AW5815" s="331"/>
      <c r="AX5815" s="331"/>
      <c r="AY5815" s="331"/>
      <c r="AZ5815" s="331"/>
      <c r="BA5815" s="331"/>
      <c r="BB5815" s="331"/>
      <c r="BC5815" s="331"/>
      <c r="BD5815" s="331"/>
      <c r="BE5815" s="333"/>
      <c r="BF5815" s="330"/>
      <c r="BG5815" s="333"/>
      <c r="BH5815" s="1119"/>
      <c r="BI5815" s="319"/>
      <c r="BJ5815" s="319"/>
      <c r="BK5815" s="319"/>
      <c r="BL5815" s="319"/>
      <c r="BM5815" s="319"/>
      <c r="BN5815" s="319"/>
      <c r="BO5815" s="319"/>
      <c r="BP5815" s="953"/>
      <c r="BQ5815" s="319"/>
      <c r="BR5815" s="319"/>
      <c r="BS5815" s="330"/>
      <c r="BT5815" s="331"/>
      <c r="BU5815" s="920"/>
      <c r="BV5815" s="903"/>
      <c r="BW5815" s="908"/>
      <c r="BX5815" s="908"/>
      <c r="BY5815" s="331"/>
      <c r="BZ5815" s="331"/>
      <c r="CA5815" s="462"/>
      <c r="CB5815" s="319"/>
      <c r="CC5815" s="319"/>
      <c r="CD5815" s="319"/>
      <c r="CE5815" s="319"/>
      <c r="CF5815" s="319"/>
      <c r="CG5815" s="319"/>
      <c r="CH5815" s="318"/>
      <c r="CI5815" s="319"/>
      <c r="CJ5815" s="319"/>
      <c r="CK5815" s="342"/>
      <c r="CL5815" s="333"/>
      <c r="CM5815" s="1079"/>
      <c r="CN5815" s="1005"/>
      <c r="CO5815" s="1005"/>
      <c r="CP5815" s="1005"/>
    </row>
    <row r="5816">
      <c r="A5816" s="1257"/>
      <c r="B5816" s="1113"/>
      <c r="C5816" s="1107"/>
      <c r="D5816" s="103"/>
      <c r="E5816" s="1137"/>
      <c r="F5816" s="112"/>
      <c r="G5816" s="1110"/>
      <c r="H5816" s="1138"/>
      <c r="I5816" s="1138"/>
      <c r="J5816" s="1139"/>
      <c r="K5816" s="1111"/>
      <c r="L5816" s="1112"/>
      <c r="M5816" s="1113"/>
      <c r="N5816" s="110"/>
      <c r="O5816" s="1140"/>
      <c r="P5816" s="1115"/>
      <c r="Q5816" s="1116"/>
      <c r="R5816" s="1141"/>
      <c r="S5816" s="1113"/>
      <c r="T5816" s="1143"/>
      <c r="U5816" s="1108"/>
      <c r="V5816" s="1108"/>
      <c r="W5816" s="1108"/>
      <c r="X5816" s="1108"/>
      <c r="Y5816" s="1108"/>
      <c r="Z5816" s="1114"/>
      <c r="AA5816" s="1114"/>
      <c r="AB5816" s="1114"/>
      <c r="AC5816" s="1117"/>
      <c r="AD5816" s="1115"/>
      <c r="AE5816" s="1115"/>
      <c r="AF5816" s="1115"/>
      <c r="AG5816" s="1115"/>
      <c r="AH5816" s="1115"/>
      <c r="AI5816" s="1115"/>
      <c r="AJ5816" s="1117"/>
      <c r="AK5816" s="1118"/>
      <c r="AL5816" s="1115"/>
      <c r="AM5816" s="1115"/>
      <c r="AN5816" s="1115"/>
      <c r="AO5816" s="1115"/>
      <c r="AP5816" s="1115"/>
      <c r="AQ5816" s="1115"/>
      <c r="AR5816" s="1115"/>
      <c r="AS5816" s="1117"/>
      <c r="AT5816" s="1075"/>
      <c r="AU5816" s="1193"/>
      <c r="AV5816" s="330"/>
      <c r="AW5816" s="331"/>
      <c r="AX5816" s="331"/>
      <c r="AY5816" s="331"/>
      <c r="AZ5816" s="331"/>
      <c r="BA5816" s="331"/>
      <c r="BB5816" s="331"/>
      <c r="BC5816" s="331"/>
      <c r="BD5816" s="331"/>
      <c r="BE5816" s="333"/>
      <c r="BF5816" s="330"/>
      <c r="BG5816" s="333"/>
      <c r="BH5816" s="1119"/>
      <c r="BI5816" s="319"/>
      <c r="BJ5816" s="319"/>
      <c r="BK5816" s="319"/>
      <c r="BL5816" s="319"/>
      <c r="BM5816" s="319"/>
      <c r="BN5816" s="319"/>
      <c r="BO5816" s="319"/>
      <c r="BP5816" s="953"/>
      <c r="BQ5816" s="319"/>
      <c r="BR5816" s="319"/>
      <c r="BS5816" s="330"/>
      <c r="BT5816" s="331"/>
      <c r="BU5816" s="920"/>
      <c r="BV5816" s="903"/>
      <c r="BW5816" s="908"/>
      <c r="BX5816" s="908"/>
      <c r="BY5816" s="331"/>
      <c r="BZ5816" s="331"/>
      <c r="CA5816" s="462"/>
      <c r="CB5816" s="319"/>
      <c r="CC5816" s="319"/>
      <c r="CD5816" s="319"/>
      <c r="CE5816" s="319"/>
      <c r="CF5816" s="319"/>
      <c r="CG5816" s="319"/>
      <c r="CH5816" s="318"/>
      <c r="CI5816" s="319"/>
      <c r="CJ5816" s="319"/>
      <c r="CK5816" s="342"/>
      <c r="CL5816" s="333"/>
      <c r="CM5816" s="1079"/>
      <c r="CN5816" s="1005"/>
      <c r="CO5816" s="1005"/>
      <c r="CP5816" s="1005"/>
    </row>
    <row r="5817">
      <c r="A5817" s="1257"/>
      <c r="B5817" s="1113"/>
      <c r="C5817" s="1107"/>
      <c r="D5817" s="103"/>
      <c r="E5817" s="1137"/>
      <c r="F5817" s="112"/>
      <c r="G5817" s="1110"/>
      <c r="H5817" s="1138"/>
      <c r="I5817" s="1138"/>
      <c r="J5817" s="1139"/>
      <c r="K5817" s="1111"/>
      <c r="L5817" s="1112"/>
      <c r="M5817" s="1113"/>
      <c r="N5817" s="110"/>
      <c r="O5817" s="1140"/>
      <c r="P5817" s="1115"/>
      <c r="Q5817" s="1116"/>
      <c r="R5817" s="1141"/>
      <c r="S5817" s="1113"/>
      <c r="T5817" s="1143"/>
      <c r="U5817" s="1108"/>
      <c r="V5817" s="1108"/>
      <c r="W5817" s="1108"/>
      <c r="X5817" s="1108"/>
      <c r="Y5817" s="1108"/>
      <c r="Z5817" s="1114"/>
      <c r="AA5817" s="1114"/>
      <c r="AB5817" s="1114"/>
      <c r="AC5817" s="1117"/>
      <c r="AD5817" s="1115"/>
      <c r="AE5817" s="1115"/>
      <c r="AF5817" s="1115"/>
      <c r="AG5817" s="1115"/>
      <c r="AH5817" s="1115"/>
      <c r="AI5817" s="1115"/>
      <c r="AJ5817" s="1117"/>
      <c r="AK5817" s="1118"/>
      <c r="AL5817" s="1115"/>
      <c r="AM5817" s="1115"/>
      <c r="AN5817" s="1115"/>
      <c r="AO5817" s="1115"/>
      <c r="AP5817" s="1115"/>
      <c r="AQ5817" s="1115"/>
      <c r="AR5817" s="1115"/>
      <c r="AS5817" s="1117"/>
      <c r="AT5817" s="1075"/>
      <c r="AU5817" s="1193"/>
      <c r="AV5817" s="330"/>
      <c r="AW5817" s="331"/>
      <c r="AX5817" s="331"/>
      <c r="AY5817" s="331"/>
      <c r="AZ5817" s="331"/>
      <c r="BA5817" s="331"/>
      <c r="BB5817" s="331"/>
      <c r="BC5817" s="331"/>
      <c r="BD5817" s="331"/>
      <c r="BE5817" s="333"/>
      <c r="BF5817" s="330"/>
      <c r="BG5817" s="333"/>
      <c r="BH5817" s="1119"/>
      <c r="BI5817" s="319"/>
      <c r="BJ5817" s="319"/>
      <c r="BK5817" s="319"/>
      <c r="BL5817" s="319"/>
      <c r="BM5817" s="319"/>
      <c r="BN5817" s="319"/>
      <c r="BO5817" s="319"/>
      <c r="BP5817" s="953"/>
      <c r="BQ5817" s="319"/>
      <c r="BR5817" s="319"/>
      <c r="BS5817" s="330"/>
      <c r="BT5817" s="331"/>
      <c r="BU5817" s="920"/>
      <c r="BV5817" s="903"/>
      <c r="BW5817" s="908"/>
      <c r="BX5817" s="908"/>
      <c r="BY5817" s="331"/>
      <c r="BZ5817" s="331"/>
      <c r="CA5817" s="462"/>
      <c r="CB5817" s="319"/>
      <c r="CC5817" s="319"/>
      <c r="CD5817" s="319"/>
      <c r="CE5817" s="319"/>
      <c r="CF5817" s="319"/>
      <c r="CG5817" s="319"/>
      <c r="CH5817" s="318"/>
      <c r="CI5817" s="319"/>
      <c r="CJ5817" s="319"/>
      <c r="CK5817" s="342"/>
      <c r="CL5817" s="333"/>
      <c r="CM5817" s="1079"/>
      <c r="CN5817" s="1005"/>
      <c r="CO5817" s="1005"/>
      <c r="CP5817" s="1005"/>
    </row>
    <row r="5818">
      <c r="A5818" s="1257"/>
      <c r="B5818" s="1113"/>
      <c r="C5818" s="1107"/>
      <c r="D5818" s="103"/>
      <c r="E5818" s="1137"/>
      <c r="F5818" s="112"/>
      <c r="G5818" s="1110"/>
      <c r="H5818" s="1138"/>
      <c r="I5818" s="1138"/>
      <c r="J5818" s="1139"/>
      <c r="K5818" s="1111"/>
      <c r="L5818" s="1112"/>
      <c r="M5818" s="1113"/>
      <c r="N5818" s="110"/>
      <c r="O5818" s="1140"/>
      <c r="P5818" s="1115"/>
      <c r="Q5818" s="1116"/>
      <c r="R5818" s="1141"/>
      <c r="S5818" s="1113"/>
      <c r="T5818" s="1143"/>
      <c r="U5818" s="1108"/>
      <c r="V5818" s="1108"/>
      <c r="W5818" s="1108"/>
      <c r="X5818" s="1108"/>
      <c r="Y5818" s="1108"/>
      <c r="Z5818" s="1114"/>
      <c r="AA5818" s="1114"/>
      <c r="AB5818" s="1114"/>
      <c r="AC5818" s="1117"/>
      <c r="AD5818" s="1115"/>
      <c r="AE5818" s="1115"/>
      <c r="AF5818" s="1115"/>
      <c r="AG5818" s="1115"/>
      <c r="AH5818" s="1115"/>
      <c r="AI5818" s="1115"/>
      <c r="AJ5818" s="1117"/>
      <c r="AK5818" s="1118"/>
      <c r="AL5818" s="1115"/>
      <c r="AM5818" s="1115"/>
      <c r="AN5818" s="1115"/>
      <c r="AO5818" s="1115"/>
      <c r="AP5818" s="1115"/>
      <c r="AQ5818" s="1115"/>
      <c r="AR5818" s="1115"/>
      <c r="AS5818" s="1117"/>
      <c r="AT5818" s="1075"/>
      <c r="AU5818" s="1193"/>
      <c r="AV5818" s="330"/>
      <c r="AW5818" s="331"/>
      <c r="AX5818" s="331"/>
      <c r="AY5818" s="331"/>
      <c r="AZ5818" s="331"/>
      <c r="BA5818" s="331"/>
      <c r="BB5818" s="331"/>
      <c r="BC5818" s="331"/>
      <c r="BD5818" s="331"/>
      <c r="BE5818" s="333"/>
      <c r="BF5818" s="330"/>
      <c r="BG5818" s="333"/>
      <c r="BH5818" s="1119"/>
      <c r="BI5818" s="319"/>
      <c r="BJ5818" s="319"/>
      <c r="BK5818" s="319"/>
      <c r="BL5818" s="319"/>
      <c r="BM5818" s="319"/>
      <c r="BN5818" s="319"/>
      <c r="BO5818" s="319"/>
      <c r="BP5818" s="953"/>
      <c r="BQ5818" s="319"/>
      <c r="BR5818" s="319"/>
      <c r="BS5818" s="330"/>
      <c r="BT5818" s="331"/>
      <c r="BU5818" s="920"/>
      <c r="BV5818" s="903"/>
      <c r="BW5818" s="908"/>
      <c r="BX5818" s="908"/>
      <c r="BY5818" s="331"/>
      <c r="BZ5818" s="331"/>
      <c r="CA5818" s="462"/>
      <c r="CB5818" s="319"/>
      <c r="CC5818" s="319"/>
      <c r="CD5818" s="319"/>
      <c r="CE5818" s="319"/>
      <c r="CF5818" s="319"/>
      <c r="CG5818" s="319"/>
      <c r="CH5818" s="318"/>
      <c r="CI5818" s="319"/>
      <c r="CJ5818" s="319"/>
      <c r="CK5818" s="342"/>
      <c r="CL5818" s="333"/>
      <c r="CM5818" s="1079"/>
      <c r="CN5818" s="1005"/>
      <c r="CO5818" s="1005"/>
      <c r="CP5818" s="1005"/>
    </row>
    <row r="5819">
      <c r="A5819" s="1257"/>
      <c r="B5819" s="1113"/>
      <c r="C5819" s="1107"/>
      <c r="D5819" s="103"/>
      <c r="E5819" s="1137"/>
      <c r="F5819" s="112"/>
      <c r="G5819" s="1110"/>
      <c r="H5819" s="1138"/>
      <c r="I5819" s="1138"/>
      <c r="J5819" s="1139"/>
      <c r="K5819" s="1111"/>
      <c r="L5819" s="1112"/>
      <c r="M5819" s="1113"/>
      <c r="N5819" s="110"/>
      <c r="O5819" s="1140"/>
      <c r="P5819" s="1115"/>
      <c r="Q5819" s="1116"/>
      <c r="R5819" s="1141"/>
      <c r="S5819" s="1113"/>
      <c r="T5819" s="1143"/>
      <c r="U5819" s="1108"/>
      <c r="V5819" s="1108"/>
      <c r="W5819" s="1108"/>
      <c r="X5819" s="1108"/>
      <c r="Y5819" s="1108"/>
      <c r="Z5819" s="1114"/>
      <c r="AA5819" s="1114"/>
      <c r="AB5819" s="1114"/>
      <c r="AC5819" s="1117"/>
      <c r="AD5819" s="1115"/>
      <c r="AE5819" s="1115"/>
      <c r="AF5819" s="1115"/>
      <c r="AG5819" s="1115"/>
      <c r="AH5819" s="1115"/>
      <c r="AI5819" s="1115"/>
      <c r="AJ5819" s="1117"/>
      <c r="AK5819" s="1118"/>
      <c r="AL5819" s="1115"/>
      <c r="AM5819" s="1115"/>
      <c r="AN5819" s="1115"/>
      <c r="AO5819" s="1115"/>
      <c r="AP5819" s="1115"/>
      <c r="AQ5819" s="1115"/>
      <c r="AR5819" s="1115"/>
      <c r="AS5819" s="1117"/>
      <c r="AT5819" s="1075"/>
      <c r="AU5819" s="1193"/>
      <c r="AV5819" s="330"/>
      <c r="AW5819" s="331"/>
      <c r="AX5819" s="331"/>
      <c r="AY5819" s="331"/>
      <c r="AZ5819" s="331"/>
      <c r="BA5819" s="331"/>
      <c r="BB5819" s="331"/>
      <c r="BC5819" s="331"/>
      <c r="BD5819" s="331"/>
      <c r="BE5819" s="333"/>
      <c r="BF5819" s="330"/>
      <c r="BG5819" s="333"/>
      <c r="BH5819" s="1119"/>
      <c r="BI5819" s="319"/>
      <c r="BJ5819" s="319"/>
      <c r="BK5819" s="319"/>
      <c r="BL5819" s="319"/>
      <c r="BM5819" s="319"/>
      <c r="BN5819" s="319"/>
      <c r="BO5819" s="319"/>
      <c r="BP5819" s="953"/>
      <c r="BQ5819" s="319"/>
      <c r="BR5819" s="319"/>
      <c r="BS5819" s="330"/>
      <c r="BT5819" s="331"/>
      <c r="BU5819" s="920"/>
      <c r="BV5819" s="903"/>
      <c r="BW5819" s="908"/>
      <c r="BX5819" s="908"/>
      <c r="BY5819" s="331"/>
      <c r="BZ5819" s="331"/>
      <c r="CA5819" s="462"/>
      <c r="CB5819" s="319"/>
      <c r="CC5819" s="319"/>
      <c r="CD5819" s="319"/>
      <c r="CE5819" s="319"/>
      <c r="CF5819" s="319"/>
      <c r="CG5819" s="319"/>
      <c r="CH5819" s="318"/>
      <c r="CI5819" s="319"/>
      <c r="CJ5819" s="319"/>
      <c r="CK5819" s="342"/>
      <c r="CL5819" s="333"/>
      <c r="CM5819" s="1079"/>
      <c r="CN5819" s="1005"/>
      <c r="CO5819" s="1005"/>
      <c r="CP5819" s="1005"/>
    </row>
    <row r="5820">
      <c r="A5820" s="1257"/>
      <c r="B5820" s="1113"/>
      <c r="C5820" s="1107"/>
      <c r="D5820" s="103"/>
      <c r="E5820" s="1137"/>
      <c r="F5820" s="112"/>
      <c r="G5820" s="1110"/>
      <c r="H5820" s="1138"/>
      <c r="I5820" s="1138"/>
      <c r="J5820" s="1139"/>
      <c r="K5820" s="1111"/>
      <c r="L5820" s="1112"/>
      <c r="M5820" s="1113"/>
      <c r="N5820" s="110"/>
      <c r="O5820" s="1140"/>
      <c r="P5820" s="1115"/>
      <c r="Q5820" s="1116"/>
      <c r="R5820" s="1141"/>
      <c r="S5820" s="1113"/>
      <c r="T5820" s="1143"/>
      <c r="U5820" s="1108"/>
      <c r="V5820" s="1108"/>
      <c r="W5820" s="1108"/>
      <c r="X5820" s="1108"/>
      <c r="Y5820" s="1108"/>
      <c r="Z5820" s="1114"/>
      <c r="AA5820" s="1114"/>
      <c r="AB5820" s="1114"/>
      <c r="AC5820" s="1117"/>
      <c r="AD5820" s="1115"/>
      <c r="AE5820" s="1115"/>
      <c r="AF5820" s="1115"/>
      <c r="AG5820" s="1115"/>
      <c r="AH5820" s="1115"/>
      <c r="AI5820" s="1115"/>
      <c r="AJ5820" s="1117"/>
      <c r="AK5820" s="1118"/>
      <c r="AL5820" s="1115"/>
      <c r="AM5820" s="1115"/>
      <c r="AN5820" s="1115"/>
      <c r="AO5820" s="1115"/>
      <c r="AP5820" s="1115"/>
      <c r="AQ5820" s="1115"/>
      <c r="AR5820" s="1115"/>
      <c r="AS5820" s="1117"/>
      <c r="AT5820" s="1075"/>
      <c r="AU5820" s="1193"/>
      <c r="AV5820" s="330"/>
      <c r="AW5820" s="331"/>
      <c r="AX5820" s="331"/>
      <c r="AY5820" s="331"/>
      <c r="AZ5820" s="331"/>
      <c r="BA5820" s="331"/>
      <c r="BB5820" s="331"/>
      <c r="BC5820" s="331"/>
      <c r="BD5820" s="331"/>
      <c r="BE5820" s="333"/>
      <c r="BF5820" s="330"/>
      <c r="BG5820" s="333"/>
      <c r="BH5820" s="1119"/>
      <c r="BI5820" s="319"/>
      <c r="BJ5820" s="319"/>
      <c r="BK5820" s="319"/>
      <c r="BL5820" s="319"/>
      <c r="BM5820" s="319"/>
      <c r="BN5820" s="319"/>
      <c r="BO5820" s="319"/>
      <c r="BP5820" s="953"/>
      <c r="BQ5820" s="319"/>
      <c r="BR5820" s="319"/>
      <c r="BS5820" s="330"/>
      <c r="BT5820" s="331"/>
      <c r="BU5820" s="920"/>
      <c r="BV5820" s="903"/>
      <c r="BW5820" s="908"/>
      <c r="BX5820" s="908"/>
      <c r="BY5820" s="331"/>
      <c r="BZ5820" s="331"/>
      <c r="CA5820" s="462"/>
      <c r="CB5820" s="319"/>
      <c r="CC5820" s="319"/>
      <c r="CD5820" s="319"/>
      <c r="CE5820" s="319"/>
      <c r="CF5820" s="319"/>
      <c r="CG5820" s="319"/>
      <c r="CH5820" s="318"/>
      <c r="CI5820" s="319"/>
      <c r="CJ5820" s="319"/>
      <c r="CK5820" s="342"/>
      <c r="CL5820" s="333"/>
      <c r="CM5820" s="1079"/>
      <c r="CN5820" s="1005"/>
      <c r="CO5820" s="1005"/>
      <c r="CP5820" s="1005"/>
    </row>
    <row r="5821">
      <c r="A5821" s="1257"/>
      <c r="B5821" s="1113"/>
      <c r="C5821" s="1107"/>
      <c r="D5821" s="103"/>
      <c r="E5821" s="1137"/>
      <c r="F5821" s="112"/>
      <c r="G5821" s="1110"/>
      <c r="H5821" s="1138"/>
      <c r="I5821" s="1138"/>
      <c r="J5821" s="1139"/>
      <c r="K5821" s="1111"/>
      <c r="L5821" s="1112"/>
      <c r="M5821" s="1113"/>
      <c r="N5821" s="110"/>
      <c r="O5821" s="1140"/>
      <c r="P5821" s="1115"/>
      <c r="Q5821" s="1116"/>
      <c r="R5821" s="1141"/>
      <c r="S5821" s="1113"/>
      <c r="T5821" s="1143"/>
      <c r="U5821" s="1108"/>
      <c r="V5821" s="1108"/>
      <c r="W5821" s="1108"/>
      <c r="X5821" s="1108"/>
      <c r="Y5821" s="1108"/>
      <c r="Z5821" s="1114"/>
      <c r="AA5821" s="1114"/>
      <c r="AB5821" s="1114"/>
      <c r="AC5821" s="1117"/>
      <c r="AD5821" s="1115"/>
      <c r="AE5821" s="1115"/>
      <c r="AF5821" s="1115"/>
      <c r="AG5821" s="1115"/>
      <c r="AH5821" s="1115"/>
      <c r="AI5821" s="1115"/>
      <c r="AJ5821" s="1117"/>
      <c r="AK5821" s="1118"/>
      <c r="AL5821" s="1115"/>
      <c r="AM5821" s="1115"/>
      <c r="AN5821" s="1115"/>
      <c r="AO5821" s="1115"/>
      <c r="AP5821" s="1115"/>
      <c r="AQ5821" s="1115"/>
      <c r="AR5821" s="1115"/>
      <c r="AS5821" s="1117"/>
      <c r="AT5821" s="1075"/>
      <c r="AU5821" s="1193"/>
      <c r="AV5821" s="330"/>
      <c r="AW5821" s="331"/>
      <c r="AX5821" s="331"/>
      <c r="AY5821" s="331"/>
      <c r="AZ5821" s="331"/>
      <c r="BA5821" s="331"/>
      <c r="BB5821" s="331"/>
      <c r="BC5821" s="331"/>
      <c r="BD5821" s="331"/>
      <c r="BE5821" s="333"/>
      <c r="BF5821" s="330"/>
      <c r="BG5821" s="333"/>
      <c r="BH5821" s="1119"/>
      <c r="BI5821" s="319"/>
      <c r="BJ5821" s="319"/>
      <c r="BK5821" s="319"/>
      <c r="BL5821" s="319"/>
      <c r="BM5821" s="319"/>
      <c r="BN5821" s="319"/>
      <c r="BO5821" s="319"/>
      <c r="BP5821" s="953"/>
      <c r="BQ5821" s="319"/>
      <c r="BR5821" s="319"/>
      <c r="BS5821" s="330"/>
      <c r="BT5821" s="331"/>
      <c r="BU5821" s="920"/>
      <c r="BV5821" s="903"/>
      <c r="BW5821" s="908"/>
      <c r="BX5821" s="908"/>
      <c r="BY5821" s="331"/>
      <c r="BZ5821" s="331"/>
      <c r="CA5821" s="462"/>
      <c r="CB5821" s="319"/>
      <c r="CC5821" s="319"/>
      <c r="CD5821" s="319"/>
      <c r="CE5821" s="319"/>
      <c r="CF5821" s="319"/>
      <c r="CG5821" s="319"/>
      <c r="CH5821" s="318"/>
      <c r="CI5821" s="319"/>
      <c r="CJ5821" s="319"/>
      <c r="CK5821" s="342"/>
      <c r="CL5821" s="333"/>
      <c r="CM5821" s="1079"/>
      <c r="CN5821" s="1005"/>
      <c r="CO5821" s="1005"/>
      <c r="CP5821" s="1005"/>
    </row>
    <row r="5822">
      <c r="A5822" s="1257"/>
      <c r="B5822" s="1113"/>
      <c r="C5822" s="1107"/>
      <c r="D5822" s="103"/>
      <c r="E5822" s="1137"/>
      <c r="F5822" s="112"/>
      <c r="G5822" s="1110"/>
      <c r="H5822" s="1138"/>
      <c r="I5822" s="1138"/>
      <c r="J5822" s="1139"/>
      <c r="K5822" s="1111"/>
      <c r="L5822" s="1112"/>
      <c r="M5822" s="1113"/>
      <c r="N5822" s="110"/>
      <c r="O5822" s="1140"/>
      <c r="P5822" s="1115"/>
      <c r="Q5822" s="1116"/>
      <c r="R5822" s="1141"/>
      <c r="S5822" s="1113"/>
      <c r="T5822" s="1143"/>
      <c r="U5822" s="1108"/>
      <c r="V5822" s="1108"/>
      <c r="W5822" s="1108"/>
      <c r="X5822" s="1108"/>
      <c r="Y5822" s="1108"/>
      <c r="Z5822" s="1114"/>
      <c r="AA5822" s="1114"/>
      <c r="AB5822" s="1114"/>
      <c r="AC5822" s="1117"/>
      <c r="AD5822" s="1115"/>
      <c r="AE5822" s="1115"/>
      <c r="AF5822" s="1115"/>
      <c r="AG5822" s="1115"/>
      <c r="AH5822" s="1115"/>
      <c r="AI5822" s="1115"/>
      <c r="AJ5822" s="1117"/>
      <c r="AK5822" s="1118"/>
      <c r="AL5822" s="1115"/>
      <c r="AM5822" s="1115"/>
      <c r="AN5822" s="1115"/>
      <c r="AO5822" s="1115"/>
      <c r="AP5822" s="1115"/>
      <c r="AQ5822" s="1115"/>
      <c r="AR5822" s="1115"/>
      <c r="AS5822" s="1117"/>
      <c r="AT5822" s="1075"/>
      <c r="AU5822" s="1193"/>
      <c r="AV5822" s="330"/>
      <c r="AW5822" s="331"/>
      <c r="AX5822" s="331"/>
      <c r="AY5822" s="331"/>
      <c r="AZ5822" s="331"/>
      <c r="BA5822" s="331"/>
      <c r="BB5822" s="331"/>
      <c r="BC5822" s="331"/>
      <c r="BD5822" s="331"/>
      <c r="BE5822" s="333"/>
      <c r="BF5822" s="330"/>
      <c r="BG5822" s="333"/>
      <c r="BH5822" s="1119"/>
      <c r="BI5822" s="319"/>
      <c r="BJ5822" s="319"/>
      <c r="BK5822" s="319"/>
      <c r="BL5822" s="319"/>
      <c r="BM5822" s="319"/>
      <c r="BN5822" s="319"/>
      <c r="BO5822" s="319"/>
      <c r="BP5822" s="953"/>
      <c r="BQ5822" s="319"/>
      <c r="BR5822" s="319"/>
      <c r="BS5822" s="330"/>
      <c r="BT5822" s="331"/>
      <c r="BU5822" s="920"/>
      <c r="BV5822" s="903"/>
      <c r="BW5822" s="908"/>
      <c r="BX5822" s="908"/>
      <c r="BY5822" s="331"/>
      <c r="BZ5822" s="331"/>
      <c r="CA5822" s="462"/>
      <c r="CB5822" s="319"/>
      <c r="CC5822" s="319"/>
      <c r="CD5822" s="319"/>
      <c r="CE5822" s="319"/>
      <c r="CF5822" s="319"/>
      <c r="CG5822" s="319"/>
      <c r="CH5822" s="318"/>
      <c r="CI5822" s="319"/>
      <c r="CJ5822" s="319"/>
      <c r="CK5822" s="342"/>
      <c r="CL5822" s="333"/>
      <c r="CM5822" s="1079"/>
      <c r="CN5822" s="1005"/>
      <c r="CO5822" s="1005"/>
      <c r="CP5822" s="1005"/>
    </row>
    <row r="5823">
      <c r="A5823" s="1257"/>
      <c r="B5823" s="1113"/>
      <c r="C5823" s="1107"/>
      <c r="D5823" s="103"/>
      <c r="E5823" s="1137"/>
      <c r="F5823" s="112"/>
      <c r="G5823" s="1110"/>
      <c r="H5823" s="1138"/>
      <c r="I5823" s="1138"/>
      <c r="J5823" s="1139"/>
      <c r="K5823" s="1111"/>
      <c r="L5823" s="1112"/>
      <c r="M5823" s="1113"/>
      <c r="N5823" s="110"/>
      <c r="O5823" s="1140"/>
      <c r="P5823" s="1115"/>
      <c r="Q5823" s="1116"/>
      <c r="R5823" s="1141"/>
      <c r="S5823" s="1113"/>
      <c r="T5823" s="1143"/>
      <c r="U5823" s="1108"/>
      <c r="V5823" s="1108"/>
      <c r="W5823" s="1108"/>
      <c r="X5823" s="1108"/>
      <c r="Y5823" s="1108"/>
      <c r="Z5823" s="1114"/>
      <c r="AA5823" s="1114"/>
      <c r="AB5823" s="1114"/>
      <c r="AC5823" s="1117"/>
      <c r="AD5823" s="1115"/>
      <c r="AE5823" s="1115"/>
      <c r="AF5823" s="1115"/>
      <c r="AG5823" s="1115"/>
      <c r="AH5823" s="1115"/>
      <c r="AI5823" s="1115"/>
      <c r="AJ5823" s="1117"/>
      <c r="AK5823" s="1118"/>
      <c r="AL5823" s="1115"/>
      <c r="AM5823" s="1115"/>
      <c r="AN5823" s="1115"/>
      <c r="AO5823" s="1115"/>
      <c r="AP5823" s="1115"/>
      <c r="AQ5823" s="1115"/>
      <c r="AR5823" s="1115"/>
      <c r="AS5823" s="1117"/>
      <c r="AT5823" s="1075"/>
      <c r="AU5823" s="1193"/>
      <c r="AV5823" s="330"/>
      <c r="AW5823" s="331"/>
      <c r="AX5823" s="331"/>
      <c r="AY5823" s="331"/>
      <c r="AZ5823" s="331"/>
      <c r="BA5823" s="331"/>
      <c r="BB5823" s="331"/>
      <c r="BC5823" s="331"/>
      <c r="BD5823" s="331"/>
      <c r="BE5823" s="333"/>
      <c r="BF5823" s="330"/>
      <c r="BG5823" s="333"/>
      <c r="BH5823" s="1119"/>
      <c r="BI5823" s="319"/>
      <c r="BJ5823" s="319"/>
      <c r="BK5823" s="319"/>
      <c r="BL5823" s="319"/>
      <c r="BM5823" s="319"/>
      <c r="BN5823" s="319"/>
      <c r="BO5823" s="319"/>
      <c r="BP5823" s="953"/>
      <c r="BQ5823" s="319"/>
      <c r="BR5823" s="319"/>
      <c r="BS5823" s="330"/>
      <c r="BT5823" s="331"/>
      <c r="BU5823" s="920"/>
      <c r="BV5823" s="903"/>
      <c r="BW5823" s="908"/>
      <c r="BX5823" s="908"/>
      <c r="BY5823" s="331"/>
      <c r="BZ5823" s="331"/>
      <c r="CA5823" s="462"/>
      <c r="CB5823" s="319"/>
      <c r="CC5823" s="319"/>
      <c r="CD5823" s="319"/>
      <c r="CE5823" s="319"/>
      <c r="CF5823" s="319"/>
      <c r="CG5823" s="319"/>
      <c r="CH5823" s="318"/>
      <c r="CI5823" s="319"/>
      <c r="CJ5823" s="319"/>
      <c r="CK5823" s="342"/>
      <c r="CL5823" s="333"/>
      <c r="CM5823" s="1079"/>
      <c r="CN5823" s="1005"/>
      <c r="CO5823" s="1005"/>
      <c r="CP5823" s="1005"/>
    </row>
    <row r="5824">
      <c r="A5824" s="1257"/>
      <c r="B5824" s="1113"/>
      <c r="C5824" s="1107"/>
      <c r="D5824" s="103"/>
      <c r="E5824" s="1137"/>
      <c r="F5824" s="112"/>
      <c r="G5824" s="1110"/>
      <c r="H5824" s="1138"/>
      <c r="I5824" s="1138"/>
      <c r="J5824" s="1139"/>
      <c r="K5824" s="1111"/>
      <c r="L5824" s="1112"/>
      <c r="M5824" s="1113"/>
      <c r="N5824" s="110"/>
      <c r="O5824" s="1140"/>
      <c r="P5824" s="1115"/>
      <c r="Q5824" s="1116"/>
      <c r="R5824" s="1141"/>
      <c r="S5824" s="1113"/>
      <c r="T5824" s="1143"/>
      <c r="U5824" s="1108"/>
      <c r="V5824" s="1108"/>
      <c r="W5824" s="1108"/>
      <c r="X5824" s="1108"/>
      <c r="Y5824" s="1108"/>
      <c r="Z5824" s="1114"/>
      <c r="AA5824" s="1114"/>
      <c r="AB5824" s="1114"/>
      <c r="AC5824" s="1117"/>
      <c r="AD5824" s="1115"/>
      <c r="AE5824" s="1115"/>
      <c r="AF5824" s="1115"/>
      <c r="AG5824" s="1115"/>
      <c r="AH5824" s="1115"/>
      <c r="AI5824" s="1115"/>
      <c r="AJ5824" s="1117"/>
      <c r="AK5824" s="1118"/>
      <c r="AL5824" s="1115"/>
      <c r="AM5824" s="1115"/>
      <c r="AN5824" s="1115"/>
      <c r="AO5824" s="1115"/>
      <c r="AP5824" s="1115"/>
      <c r="AQ5824" s="1115"/>
      <c r="AR5824" s="1115"/>
      <c r="AS5824" s="1117"/>
      <c r="AT5824" s="1075"/>
      <c r="AU5824" s="1193"/>
      <c r="AV5824" s="330"/>
      <c r="AW5824" s="331"/>
      <c r="AX5824" s="331"/>
      <c r="AY5824" s="331"/>
      <c r="AZ5824" s="331"/>
      <c r="BA5824" s="331"/>
      <c r="BB5824" s="331"/>
      <c r="BC5824" s="331"/>
      <c r="BD5824" s="331"/>
      <c r="BE5824" s="333"/>
      <c r="BF5824" s="330"/>
      <c r="BG5824" s="333"/>
      <c r="BH5824" s="1119"/>
      <c r="BI5824" s="319"/>
      <c r="BJ5824" s="319"/>
      <c r="BK5824" s="319"/>
      <c r="BL5824" s="319"/>
      <c r="BM5824" s="319"/>
      <c r="BN5824" s="319"/>
      <c r="BO5824" s="319"/>
      <c r="BP5824" s="953"/>
      <c r="BQ5824" s="319"/>
      <c r="BR5824" s="319"/>
      <c r="BS5824" s="330"/>
      <c r="BT5824" s="331"/>
      <c r="BU5824" s="920"/>
      <c r="BV5824" s="903"/>
      <c r="BW5824" s="908"/>
      <c r="BX5824" s="908"/>
      <c r="BY5824" s="331"/>
      <c r="BZ5824" s="331"/>
      <c r="CA5824" s="462"/>
      <c r="CB5824" s="319"/>
      <c r="CC5824" s="319"/>
      <c r="CD5824" s="319"/>
      <c r="CE5824" s="319"/>
      <c r="CF5824" s="319"/>
      <c r="CG5824" s="319"/>
      <c r="CH5824" s="318"/>
      <c r="CI5824" s="319"/>
      <c r="CJ5824" s="319"/>
      <c r="CK5824" s="342"/>
      <c r="CL5824" s="333"/>
      <c r="CM5824" s="1079"/>
      <c r="CN5824" s="1005"/>
      <c r="CO5824" s="1005"/>
      <c r="CP5824" s="1005"/>
    </row>
    <row r="5825">
      <c r="A5825" s="1257"/>
      <c r="B5825" s="1113"/>
      <c r="C5825" s="1107"/>
      <c r="D5825" s="103"/>
      <c r="E5825" s="1137"/>
      <c r="F5825" s="112"/>
      <c r="G5825" s="1110"/>
      <c r="H5825" s="1138"/>
      <c r="I5825" s="1138"/>
      <c r="J5825" s="1139"/>
      <c r="K5825" s="1111"/>
      <c r="L5825" s="1112"/>
      <c r="M5825" s="1113"/>
      <c r="N5825" s="110"/>
      <c r="O5825" s="1140"/>
      <c r="P5825" s="1115"/>
      <c r="Q5825" s="1116"/>
      <c r="R5825" s="1141"/>
      <c r="S5825" s="1113"/>
      <c r="T5825" s="1143"/>
      <c r="U5825" s="1108"/>
      <c r="V5825" s="1108"/>
      <c r="W5825" s="1108"/>
      <c r="X5825" s="1108"/>
      <c r="Y5825" s="1108"/>
      <c r="Z5825" s="1114"/>
      <c r="AA5825" s="1114"/>
      <c r="AB5825" s="1114"/>
      <c r="AC5825" s="1117"/>
      <c r="AD5825" s="1115"/>
      <c r="AE5825" s="1115"/>
      <c r="AF5825" s="1115"/>
      <c r="AG5825" s="1115"/>
      <c r="AH5825" s="1115"/>
      <c r="AI5825" s="1115"/>
      <c r="AJ5825" s="1117"/>
      <c r="AK5825" s="1118"/>
      <c r="AL5825" s="1115"/>
      <c r="AM5825" s="1115"/>
      <c r="AN5825" s="1115"/>
      <c r="AO5825" s="1115"/>
      <c r="AP5825" s="1115"/>
      <c r="AQ5825" s="1115"/>
      <c r="AR5825" s="1115"/>
      <c r="AS5825" s="1117"/>
      <c r="AT5825" s="1075"/>
      <c r="AU5825" s="1193"/>
      <c r="AV5825" s="330"/>
      <c r="AW5825" s="331"/>
      <c r="AX5825" s="331"/>
      <c r="AY5825" s="331"/>
      <c r="AZ5825" s="331"/>
      <c r="BA5825" s="331"/>
      <c r="BB5825" s="331"/>
      <c r="BC5825" s="331"/>
      <c r="BD5825" s="331"/>
      <c r="BE5825" s="333"/>
      <c r="BF5825" s="330"/>
      <c r="BG5825" s="333"/>
      <c r="BH5825" s="1119"/>
      <c r="BI5825" s="319"/>
      <c r="BJ5825" s="319"/>
      <c r="BK5825" s="319"/>
      <c r="BL5825" s="319"/>
      <c r="BM5825" s="319"/>
      <c r="BN5825" s="319"/>
      <c r="BO5825" s="319"/>
      <c r="BP5825" s="953"/>
      <c r="BQ5825" s="319"/>
      <c r="BR5825" s="319"/>
      <c r="BS5825" s="330"/>
      <c r="BT5825" s="331"/>
      <c r="BU5825" s="920"/>
      <c r="BV5825" s="903"/>
      <c r="BW5825" s="908"/>
      <c r="BX5825" s="908"/>
      <c r="BY5825" s="331"/>
      <c r="BZ5825" s="331"/>
      <c r="CA5825" s="462"/>
      <c r="CB5825" s="319"/>
      <c r="CC5825" s="319"/>
      <c r="CD5825" s="319"/>
      <c r="CE5825" s="319"/>
      <c r="CF5825" s="319"/>
      <c r="CG5825" s="319"/>
      <c r="CH5825" s="318"/>
      <c r="CI5825" s="319"/>
      <c r="CJ5825" s="319"/>
      <c r="CK5825" s="342"/>
      <c r="CL5825" s="333"/>
      <c r="CM5825" s="1079"/>
      <c r="CN5825" s="1005"/>
      <c r="CO5825" s="1005"/>
      <c r="CP5825" s="1005"/>
    </row>
    <row r="5826">
      <c r="A5826" s="1257"/>
      <c r="B5826" s="1113"/>
      <c r="C5826" s="1107"/>
      <c r="D5826" s="103"/>
      <c r="E5826" s="1137"/>
      <c r="F5826" s="112"/>
      <c r="G5826" s="1110"/>
      <c r="H5826" s="1138"/>
      <c r="I5826" s="1138"/>
      <c r="J5826" s="1139"/>
      <c r="K5826" s="1111"/>
      <c r="L5826" s="1112"/>
      <c r="M5826" s="1113"/>
      <c r="N5826" s="110"/>
      <c r="O5826" s="1140"/>
      <c r="P5826" s="1115"/>
      <c r="Q5826" s="1116"/>
      <c r="R5826" s="1141"/>
      <c r="S5826" s="1113"/>
      <c r="T5826" s="1143"/>
      <c r="U5826" s="1108"/>
      <c r="V5826" s="1108"/>
      <c r="W5826" s="1108"/>
      <c r="X5826" s="1108"/>
      <c r="Y5826" s="1108"/>
      <c r="Z5826" s="1114"/>
      <c r="AA5826" s="1114"/>
      <c r="AB5826" s="1114"/>
      <c r="AC5826" s="1117"/>
      <c r="AD5826" s="1115"/>
      <c r="AE5826" s="1115"/>
      <c r="AF5826" s="1115"/>
      <c r="AG5826" s="1115"/>
      <c r="AH5826" s="1115"/>
      <c r="AI5826" s="1115"/>
      <c r="AJ5826" s="1117"/>
      <c r="AK5826" s="1118"/>
      <c r="AL5826" s="1115"/>
      <c r="AM5826" s="1115"/>
      <c r="AN5826" s="1115"/>
      <c r="AO5826" s="1115"/>
      <c r="AP5826" s="1115"/>
      <c r="AQ5826" s="1115"/>
      <c r="AR5826" s="1115"/>
      <c r="AS5826" s="1117"/>
      <c r="AT5826" s="1075"/>
      <c r="AU5826" s="1193"/>
      <c r="AV5826" s="330"/>
      <c r="AW5826" s="331"/>
      <c r="AX5826" s="331"/>
      <c r="AY5826" s="331"/>
      <c r="AZ5826" s="331"/>
      <c r="BA5826" s="331"/>
      <c r="BB5826" s="331"/>
      <c r="BC5826" s="331"/>
      <c r="BD5826" s="331"/>
      <c r="BE5826" s="333"/>
      <c r="BF5826" s="330"/>
      <c r="BG5826" s="333"/>
      <c r="BH5826" s="1119"/>
      <c r="BI5826" s="319"/>
      <c r="BJ5826" s="319"/>
      <c r="BK5826" s="319"/>
      <c r="BL5826" s="319"/>
      <c r="BM5826" s="319"/>
      <c r="BN5826" s="319"/>
      <c r="BO5826" s="319"/>
      <c r="BP5826" s="953"/>
      <c r="BQ5826" s="319"/>
      <c r="BR5826" s="319"/>
      <c r="BS5826" s="330"/>
      <c r="BT5826" s="331"/>
      <c r="BU5826" s="920"/>
      <c r="BV5826" s="903"/>
      <c r="BW5826" s="908"/>
      <c r="BX5826" s="908"/>
      <c r="BY5826" s="331"/>
      <c r="BZ5826" s="331"/>
      <c r="CA5826" s="462"/>
      <c r="CB5826" s="319"/>
      <c r="CC5826" s="319"/>
      <c r="CD5826" s="319"/>
      <c r="CE5826" s="319"/>
      <c r="CF5826" s="319"/>
      <c r="CG5826" s="319"/>
      <c r="CH5826" s="318"/>
      <c r="CI5826" s="319"/>
      <c r="CJ5826" s="319"/>
      <c r="CK5826" s="342"/>
      <c r="CL5826" s="333"/>
      <c r="CM5826" s="1079"/>
      <c r="CN5826" s="1005"/>
      <c r="CO5826" s="1005"/>
      <c r="CP5826" s="1005"/>
    </row>
    <row r="5827">
      <c r="A5827" s="1257"/>
      <c r="B5827" s="1113"/>
      <c r="C5827" s="1107"/>
      <c r="D5827" s="103"/>
      <c r="E5827" s="1137"/>
      <c r="F5827" s="112"/>
      <c r="G5827" s="1110"/>
      <c r="H5827" s="1138"/>
      <c r="I5827" s="1138"/>
      <c r="J5827" s="1139"/>
      <c r="K5827" s="1111"/>
      <c r="L5827" s="1112"/>
      <c r="M5827" s="1113"/>
      <c r="N5827" s="110"/>
      <c r="O5827" s="1140"/>
      <c r="P5827" s="1115"/>
      <c r="Q5827" s="1116"/>
      <c r="R5827" s="1141"/>
      <c r="S5827" s="1113"/>
      <c r="T5827" s="1143"/>
      <c r="U5827" s="1108"/>
      <c r="V5827" s="1108"/>
      <c r="W5827" s="1108"/>
      <c r="X5827" s="1108"/>
      <c r="Y5827" s="1108"/>
      <c r="Z5827" s="1114"/>
      <c r="AA5827" s="1114"/>
      <c r="AB5827" s="1114"/>
      <c r="AC5827" s="1117"/>
      <c r="AD5827" s="1115"/>
      <c r="AE5827" s="1115"/>
      <c r="AF5827" s="1115"/>
      <c r="AG5827" s="1115"/>
      <c r="AH5827" s="1115"/>
      <c r="AI5827" s="1115"/>
      <c r="AJ5827" s="1117"/>
      <c r="AK5827" s="1118"/>
      <c r="AL5827" s="1115"/>
      <c r="AM5827" s="1115"/>
      <c r="AN5827" s="1115"/>
      <c r="AO5827" s="1115"/>
      <c r="AP5827" s="1115"/>
      <c r="AQ5827" s="1115"/>
      <c r="AR5827" s="1115"/>
      <c r="AS5827" s="1117"/>
      <c r="AT5827" s="1075"/>
      <c r="AU5827" s="1193"/>
      <c r="AV5827" s="330"/>
      <c r="AW5827" s="331"/>
      <c r="AX5827" s="331"/>
      <c r="AY5827" s="331"/>
      <c r="AZ5827" s="331"/>
      <c r="BA5827" s="331"/>
      <c r="BB5827" s="331"/>
      <c r="BC5827" s="331"/>
      <c r="BD5827" s="331"/>
      <c r="BE5827" s="333"/>
      <c r="BF5827" s="330"/>
      <c r="BG5827" s="333"/>
      <c r="BH5827" s="1119"/>
      <c r="BI5827" s="319"/>
      <c r="BJ5827" s="319"/>
      <c r="BK5827" s="319"/>
      <c r="BL5827" s="319"/>
      <c r="BM5827" s="319"/>
      <c r="BN5827" s="319"/>
      <c r="BO5827" s="319"/>
      <c r="BP5827" s="953"/>
      <c r="BQ5827" s="319"/>
      <c r="BR5827" s="319"/>
      <c r="BS5827" s="330"/>
      <c r="BT5827" s="331"/>
      <c r="BU5827" s="920"/>
      <c r="BV5827" s="903"/>
      <c r="BW5827" s="908"/>
      <c r="BX5827" s="908"/>
      <c r="BY5827" s="331"/>
      <c r="BZ5827" s="331"/>
      <c r="CA5827" s="462"/>
      <c r="CB5827" s="319"/>
      <c r="CC5827" s="319"/>
      <c r="CD5827" s="319"/>
      <c r="CE5827" s="319"/>
      <c r="CF5827" s="319"/>
      <c r="CG5827" s="319"/>
      <c r="CH5827" s="318"/>
      <c r="CI5827" s="319"/>
      <c r="CJ5827" s="319"/>
      <c r="CK5827" s="342"/>
      <c r="CL5827" s="333"/>
      <c r="CM5827" s="1079"/>
      <c r="CN5827" s="1005"/>
      <c r="CO5827" s="1005"/>
      <c r="CP5827" s="1005"/>
    </row>
    <row r="5828">
      <c r="A5828" s="1257"/>
      <c r="B5828" s="1113"/>
      <c r="C5828" s="1107"/>
      <c r="D5828" s="103"/>
      <c r="E5828" s="1137"/>
      <c r="F5828" s="112"/>
      <c r="G5828" s="1110"/>
      <c r="H5828" s="1138"/>
      <c r="I5828" s="1138"/>
      <c r="J5828" s="1139"/>
      <c r="K5828" s="1111"/>
      <c r="L5828" s="1112"/>
      <c r="M5828" s="1113"/>
      <c r="N5828" s="110"/>
      <c r="O5828" s="1140"/>
      <c r="P5828" s="1115"/>
      <c r="Q5828" s="1116"/>
      <c r="R5828" s="1141"/>
      <c r="S5828" s="1113"/>
      <c r="T5828" s="1143"/>
      <c r="U5828" s="1108"/>
      <c r="V5828" s="1108"/>
      <c r="W5828" s="1108"/>
      <c r="X5828" s="1108"/>
      <c r="Y5828" s="1108"/>
      <c r="Z5828" s="1114"/>
      <c r="AA5828" s="1114"/>
      <c r="AB5828" s="1114"/>
      <c r="AC5828" s="1117"/>
      <c r="AD5828" s="1115"/>
      <c r="AE5828" s="1115"/>
      <c r="AF5828" s="1115"/>
      <c r="AG5828" s="1115"/>
      <c r="AH5828" s="1115"/>
      <c r="AI5828" s="1115"/>
      <c r="AJ5828" s="1117"/>
      <c r="AK5828" s="1118"/>
      <c r="AL5828" s="1115"/>
      <c r="AM5828" s="1115"/>
      <c r="AN5828" s="1115"/>
      <c r="AO5828" s="1115"/>
      <c r="AP5828" s="1115"/>
      <c r="AQ5828" s="1115"/>
      <c r="AR5828" s="1115"/>
      <c r="AS5828" s="1117"/>
      <c r="AT5828" s="1075"/>
      <c r="AU5828" s="1193"/>
      <c r="AV5828" s="330"/>
      <c r="AW5828" s="331"/>
      <c r="AX5828" s="331"/>
      <c r="AY5828" s="331"/>
      <c r="AZ5828" s="331"/>
      <c r="BA5828" s="331"/>
      <c r="BB5828" s="331"/>
      <c r="BC5828" s="331"/>
      <c r="BD5828" s="331"/>
      <c r="BE5828" s="333"/>
      <c r="BF5828" s="330"/>
      <c r="BG5828" s="333"/>
      <c r="BH5828" s="1119"/>
      <c r="BI5828" s="319"/>
      <c r="BJ5828" s="319"/>
      <c r="BK5828" s="319"/>
      <c r="BL5828" s="319"/>
      <c r="BM5828" s="319"/>
      <c r="BN5828" s="319"/>
      <c r="BO5828" s="319"/>
      <c r="BP5828" s="953"/>
      <c r="BQ5828" s="319"/>
      <c r="BR5828" s="319"/>
      <c r="BS5828" s="330"/>
      <c r="BT5828" s="331"/>
      <c r="BU5828" s="920"/>
      <c r="BV5828" s="903"/>
      <c r="BW5828" s="908"/>
      <c r="BX5828" s="908"/>
      <c r="BY5828" s="331"/>
      <c r="BZ5828" s="331"/>
      <c r="CA5828" s="462"/>
      <c r="CB5828" s="319"/>
      <c r="CC5828" s="319"/>
      <c r="CD5828" s="319"/>
      <c r="CE5828" s="319"/>
      <c r="CF5828" s="319"/>
      <c r="CG5828" s="319"/>
      <c r="CH5828" s="318"/>
      <c r="CI5828" s="319"/>
      <c r="CJ5828" s="319"/>
      <c r="CK5828" s="342"/>
      <c r="CL5828" s="333"/>
      <c r="CM5828" s="1079"/>
      <c r="CN5828" s="1005"/>
      <c r="CO5828" s="1005"/>
      <c r="CP5828" s="1005"/>
    </row>
    <row r="5829">
      <c r="A5829" s="1257"/>
      <c r="B5829" s="1113"/>
      <c r="C5829" s="1107"/>
      <c r="D5829" s="103"/>
      <c r="E5829" s="1137"/>
      <c r="F5829" s="112"/>
      <c r="G5829" s="1110"/>
      <c r="H5829" s="1138"/>
      <c r="I5829" s="1138"/>
      <c r="J5829" s="1139"/>
      <c r="K5829" s="1111"/>
      <c r="L5829" s="1112"/>
      <c r="M5829" s="1113"/>
      <c r="N5829" s="110"/>
      <c r="O5829" s="1140"/>
      <c r="P5829" s="1115"/>
      <c r="Q5829" s="1116"/>
      <c r="R5829" s="1141"/>
      <c r="S5829" s="1113"/>
      <c r="T5829" s="1143"/>
      <c r="U5829" s="1108"/>
      <c r="V5829" s="1108"/>
      <c r="W5829" s="1108"/>
      <c r="X5829" s="1108"/>
      <c r="Y5829" s="1108"/>
      <c r="Z5829" s="1114"/>
      <c r="AA5829" s="1114"/>
      <c r="AB5829" s="1114"/>
      <c r="AC5829" s="1117"/>
      <c r="AD5829" s="1115"/>
      <c r="AE5829" s="1115"/>
      <c r="AF5829" s="1115"/>
      <c r="AG5829" s="1115"/>
      <c r="AH5829" s="1115"/>
      <c r="AI5829" s="1115"/>
      <c r="AJ5829" s="1117"/>
      <c r="AK5829" s="1118"/>
      <c r="AL5829" s="1115"/>
      <c r="AM5829" s="1115"/>
      <c r="AN5829" s="1115"/>
      <c r="AO5829" s="1115"/>
      <c r="AP5829" s="1115"/>
      <c r="AQ5829" s="1115"/>
      <c r="AR5829" s="1115"/>
      <c r="AS5829" s="1117"/>
      <c r="AT5829" s="1075"/>
      <c r="AU5829" s="1193"/>
      <c r="AV5829" s="330"/>
      <c r="AW5829" s="331"/>
      <c r="AX5829" s="331"/>
      <c r="AY5829" s="331"/>
      <c r="AZ5829" s="331"/>
      <c r="BA5829" s="331"/>
      <c r="BB5829" s="331"/>
      <c r="BC5829" s="331"/>
      <c r="BD5829" s="331"/>
      <c r="BE5829" s="333"/>
      <c r="BF5829" s="330"/>
      <c r="BG5829" s="333"/>
      <c r="BH5829" s="1119"/>
      <c r="BI5829" s="319"/>
      <c r="BJ5829" s="319"/>
      <c r="BK5829" s="319"/>
      <c r="BL5829" s="319"/>
      <c r="BM5829" s="319"/>
      <c r="BN5829" s="319"/>
      <c r="BO5829" s="319"/>
      <c r="BP5829" s="953"/>
      <c r="BQ5829" s="319"/>
      <c r="BR5829" s="319"/>
      <c r="BS5829" s="330"/>
      <c r="BT5829" s="331"/>
      <c r="BU5829" s="920"/>
      <c r="BV5829" s="903"/>
      <c r="BW5829" s="908"/>
      <c r="BX5829" s="908"/>
      <c r="BY5829" s="331"/>
      <c r="BZ5829" s="331"/>
      <c r="CA5829" s="462"/>
      <c r="CB5829" s="319"/>
      <c r="CC5829" s="319"/>
      <c r="CD5829" s="319"/>
      <c r="CE5829" s="319"/>
      <c r="CF5829" s="319"/>
      <c r="CG5829" s="319"/>
      <c r="CH5829" s="318"/>
      <c r="CI5829" s="319"/>
      <c r="CJ5829" s="319"/>
      <c r="CK5829" s="342"/>
      <c r="CL5829" s="333"/>
      <c r="CM5829" s="1079"/>
      <c r="CN5829" s="1005"/>
      <c r="CO5829" s="1005"/>
      <c r="CP5829" s="1005"/>
    </row>
    <row r="5830">
      <c r="A5830" s="1257"/>
      <c r="B5830" s="1113"/>
      <c r="C5830" s="1107"/>
      <c r="D5830" s="103"/>
      <c r="E5830" s="1137"/>
      <c r="F5830" s="112"/>
      <c r="G5830" s="1110"/>
      <c r="H5830" s="1138"/>
      <c r="I5830" s="1138"/>
      <c r="J5830" s="1139"/>
      <c r="K5830" s="1111"/>
      <c r="L5830" s="1112"/>
      <c r="M5830" s="1113"/>
      <c r="N5830" s="110"/>
      <c r="O5830" s="1140"/>
      <c r="P5830" s="1115"/>
      <c r="Q5830" s="1116"/>
      <c r="R5830" s="1141"/>
      <c r="S5830" s="1113"/>
      <c r="T5830" s="1143"/>
      <c r="U5830" s="1108"/>
      <c r="V5830" s="1108"/>
      <c r="W5830" s="1108"/>
      <c r="X5830" s="1108"/>
      <c r="Y5830" s="1108"/>
      <c r="Z5830" s="1114"/>
      <c r="AA5830" s="1114"/>
      <c r="AB5830" s="1114"/>
      <c r="AC5830" s="1117"/>
      <c r="AD5830" s="1115"/>
      <c r="AE5830" s="1115"/>
      <c r="AF5830" s="1115"/>
      <c r="AG5830" s="1115"/>
      <c r="AH5830" s="1115"/>
      <c r="AI5830" s="1115"/>
      <c r="AJ5830" s="1117"/>
      <c r="AK5830" s="1118"/>
      <c r="AL5830" s="1115"/>
      <c r="AM5830" s="1115"/>
      <c r="AN5830" s="1115"/>
      <c r="AO5830" s="1115"/>
      <c r="AP5830" s="1115"/>
      <c r="AQ5830" s="1115"/>
      <c r="AR5830" s="1115"/>
      <c r="AS5830" s="1117"/>
      <c r="AT5830" s="1075"/>
      <c r="AU5830" s="1193"/>
      <c r="AV5830" s="330"/>
      <c r="AW5830" s="331"/>
      <c r="AX5830" s="331"/>
      <c r="AY5830" s="331"/>
      <c r="AZ5830" s="331"/>
      <c r="BA5830" s="331"/>
      <c r="BB5830" s="331"/>
      <c r="BC5830" s="331"/>
      <c r="BD5830" s="331"/>
      <c r="BE5830" s="333"/>
      <c r="BF5830" s="330"/>
      <c r="BG5830" s="333"/>
      <c r="BH5830" s="1119"/>
      <c r="BI5830" s="319"/>
      <c r="BJ5830" s="319"/>
      <c r="BK5830" s="319"/>
      <c r="BL5830" s="319"/>
      <c r="BM5830" s="319"/>
      <c r="BN5830" s="319"/>
      <c r="BO5830" s="319"/>
      <c r="BP5830" s="953"/>
      <c r="BQ5830" s="319"/>
      <c r="BR5830" s="319"/>
      <c r="BS5830" s="330"/>
      <c r="BT5830" s="331"/>
      <c r="BU5830" s="920"/>
      <c r="BV5830" s="903"/>
      <c r="BW5830" s="908"/>
      <c r="BX5830" s="908"/>
      <c r="BY5830" s="331"/>
      <c r="BZ5830" s="331"/>
      <c r="CA5830" s="462"/>
      <c r="CB5830" s="319"/>
      <c r="CC5830" s="319"/>
      <c r="CD5830" s="319"/>
      <c r="CE5830" s="319"/>
      <c r="CF5830" s="319"/>
      <c r="CG5830" s="319"/>
      <c r="CH5830" s="318"/>
      <c r="CI5830" s="319"/>
      <c r="CJ5830" s="319"/>
      <c r="CK5830" s="342"/>
      <c r="CL5830" s="333"/>
      <c r="CM5830" s="1079"/>
      <c r="CN5830" s="1005"/>
      <c r="CO5830" s="1005"/>
      <c r="CP5830" s="1005"/>
    </row>
    <row r="5831">
      <c r="A5831" s="1257"/>
      <c r="B5831" s="1113"/>
      <c r="C5831" s="1107"/>
      <c r="D5831" s="103"/>
      <c r="E5831" s="1137"/>
      <c r="F5831" s="112"/>
      <c r="G5831" s="1110"/>
      <c r="H5831" s="1138"/>
      <c r="I5831" s="1138"/>
      <c r="J5831" s="1139"/>
      <c r="K5831" s="1111"/>
      <c r="L5831" s="1112"/>
      <c r="M5831" s="1113"/>
      <c r="N5831" s="110"/>
      <c r="O5831" s="1140"/>
      <c r="P5831" s="1115"/>
      <c r="Q5831" s="1116"/>
      <c r="R5831" s="1141"/>
      <c r="S5831" s="1113"/>
      <c r="T5831" s="1143"/>
      <c r="U5831" s="1108"/>
      <c r="V5831" s="1108"/>
      <c r="W5831" s="1108"/>
      <c r="X5831" s="1108"/>
      <c r="Y5831" s="1108"/>
      <c r="Z5831" s="1114"/>
      <c r="AA5831" s="1114"/>
      <c r="AB5831" s="1114"/>
      <c r="AC5831" s="1117"/>
      <c r="AD5831" s="1115"/>
      <c r="AE5831" s="1115"/>
      <c r="AF5831" s="1115"/>
      <c r="AG5831" s="1115"/>
      <c r="AH5831" s="1115"/>
      <c r="AI5831" s="1115"/>
      <c r="AJ5831" s="1117"/>
      <c r="AK5831" s="1118"/>
      <c r="AL5831" s="1115"/>
      <c r="AM5831" s="1115"/>
      <c r="AN5831" s="1115"/>
      <c r="AO5831" s="1115"/>
      <c r="AP5831" s="1115"/>
      <c r="AQ5831" s="1115"/>
      <c r="AR5831" s="1115"/>
      <c r="AS5831" s="1117"/>
      <c r="AT5831" s="1075"/>
      <c r="AU5831" s="1193"/>
      <c r="AV5831" s="330"/>
      <c r="AW5831" s="331"/>
      <c r="AX5831" s="331"/>
      <c r="AY5831" s="331"/>
      <c r="AZ5831" s="331"/>
      <c r="BA5831" s="331"/>
      <c r="BB5831" s="331"/>
      <c r="BC5831" s="331"/>
      <c r="BD5831" s="331"/>
      <c r="BE5831" s="333"/>
      <c r="BF5831" s="330"/>
      <c r="BG5831" s="333"/>
      <c r="BH5831" s="1119"/>
      <c r="BI5831" s="319"/>
      <c r="BJ5831" s="319"/>
      <c r="BK5831" s="319"/>
      <c r="BL5831" s="319"/>
      <c r="BM5831" s="319"/>
      <c r="BN5831" s="319"/>
      <c r="BO5831" s="319"/>
      <c r="BP5831" s="953"/>
      <c r="BQ5831" s="319"/>
      <c r="BR5831" s="319"/>
      <c r="BS5831" s="330"/>
      <c r="BT5831" s="331"/>
      <c r="BU5831" s="920"/>
      <c r="BV5831" s="903"/>
      <c r="BW5831" s="908"/>
      <c r="BX5831" s="908"/>
      <c r="BY5831" s="331"/>
      <c r="BZ5831" s="331"/>
      <c r="CA5831" s="462"/>
      <c r="CB5831" s="319"/>
      <c r="CC5831" s="319"/>
      <c r="CD5831" s="319"/>
      <c r="CE5831" s="319"/>
      <c r="CF5831" s="319"/>
      <c r="CG5831" s="319"/>
      <c r="CH5831" s="318"/>
      <c r="CI5831" s="319"/>
      <c r="CJ5831" s="319"/>
      <c r="CK5831" s="342"/>
      <c r="CL5831" s="333"/>
      <c r="CM5831" s="1079"/>
      <c r="CN5831" s="1005"/>
      <c r="CO5831" s="1005"/>
      <c r="CP5831" s="1005"/>
    </row>
    <row r="5832">
      <c r="A5832" s="1257"/>
      <c r="B5832" s="1113"/>
      <c r="C5832" s="1107"/>
      <c r="D5832" s="103"/>
      <c r="E5832" s="1137"/>
      <c r="F5832" s="112"/>
      <c r="G5832" s="1110"/>
      <c r="H5832" s="1138"/>
      <c r="I5832" s="1138"/>
      <c r="J5832" s="1139"/>
      <c r="K5832" s="1111"/>
      <c r="L5832" s="1112"/>
      <c r="M5832" s="1113"/>
      <c r="N5832" s="110"/>
      <c r="O5832" s="1140"/>
      <c r="P5832" s="1115"/>
      <c r="Q5832" s="1116"/>
      <c r="R5832" s="1141"/>
      <c r="S5832" s="1113"/>
      <c r="T5832" s="1143"/>
      <c r="U5832" s="1108"/>
      <c r="V5832" s="1108"/>
      <c r="W5832" s="1108"/>
      <c r="X5832" s="1108"/>
      <c r="Y5832" s="1108"/>
      <c r="Z5832" s="1114"/>
      <c r="AA5832" s="1114"/>
      <c r="AB5832" s="1114"/>
      <c r="AC5832" s="1117"/>
      <c r="AD5832" s="1115"/>
      <c r="AE5832" s="1115"/>
      <c r="AF5832" s="1115"/>
      <c r="AG5832" s="1115"/>
      <c r="AH5832" s="1115"/>
      <c r="AI5832" s="1115"/>
      <c r="AJ5832" s="1117"/>
      <c r="AK5832" s="1118"/>
      <c r="AL5832" s="1115"/>
      <c r="AM5832" s="1115"/>
      <c r="AN5832" s="1115"/>
      <c r="AO5832" s="1115"/>
      <c r="AP5832" s="1115"/>
      <c r="AQ5832" s="1115"/>
      <c r="AR5832" s="1115"/>
      <c r="AS5832" s="1117"/>
      <c r="AT5832" s="1075"/>
      <c r="AU5832" s="1193"/>
      <c r="AV5832" s="330"/>
      <c r="AW5832" s="331"/>
      <c r="AX5832" s="331"/>
      <c r="AY5832" s="331"/>
      <c r="AZ5832" s="331"/>
      <c r="BA5832" s="331"/>
      <c r="BB5832" s="331"/>
      <c r="BC5832" s="331"/>
      <c r="BD5832" s="331"/>
      <c r="BE5832" s="333"/>
      <c r="BF5832" s="330"/>
      <c r="BG5832" s="333"/>
      <c r="BH5832" s="1119"/>
      <c r="BI5832" s="319"/>
      <c r="BJ5832" s="319"/>
      <c r="BK5832" s="319"/>
      <c r="BL5832" s="319"/>
      <c r="BM5832" s="319"/>
      <c r="BN5832" s="319"/>
      <c r="BO5832" s="319"/>
      <c r="BP5832" s="953"/>
      <c r="BQ5832" s="319"/>
      <c r="BR5832" s="319"/>
      <c r="BS5832" s="330"/>
      <c r="BT5832" s="331"/>
      <c r="BU5832" s="920"/>
      <c r="BV5832" s="903"/>
      <c r="BW5832" s="908"/>
      <c r="BX5832" s="908"/>
      <c r="BY5832" s="331"/>
      <c r="BZ5832" s="331"/>
      <c r="CA5832" s="462"/>
      <c r="CB5832" s="319"/>
      <c r="CC5832" s="319"/>
      <c r="CD5832" s="319"/>
      <c r="CE5832" s="319"/>
      <c r="CF5832" s="319"/>
      <c r="CG5832" s="319"/>
      <c r="CH5832" s="318"/>
      <c r="CI5832" s="319"/>
      <c r="CJ5832" s="319"/>
      <c r="CK5832" s="342"/>
      <c r="CL5832" s="333"/>
      <c r="CM5832" s="1079"/>
      <c r="CN5832" s="1005"/>
      <c r="CO5832" s="1005"/>
      <c r="CP5832" s="1005"/>
    </row>
    <row r="5833">
      <c r="A5833" s="1257"/>
      <c r="B5833" s="1113"/>
      <c r="C5833" s="1107"/>
      <c r="D5833" s="103"/>
      <c r="E5833" s="1137"/>
      <c r="F5833" s="112"/>
      <c r="G5833" s="1110"/>
      <c r="H5833" s="1138"/>
      <c r="I5833" s="1138"/>
      <c r="J5833" s="1139"/>
      <c r="K5833" s="1111"/>
      <c r="L5833" s="1112"/>
      <c r="M5833" s="1113"/>
      <c r="N5833" s="110"/>
      <c r="O5833" s="1140"/>
      <c r="P5833" s="1115"/>
      <c r="Q5833" s="1116"/>
      <c r="R5833" s="1141"/>
      <c r="S5833" s="1113"/>
      <c r="T5833" s="1143"/>
      <c r="U5833" s="1108"/>
      <c r="V5833" s="1108"/>
      <c r="W5833" s="1108"/>
      <c r="X5833" s="1108"/>
      <c r="Y5833" s="1108"/>
      <c r="Z5833" s="1114"/>
      <c r="AA5833" s="1114"/>
      <c r="AB5833" s="1114"/>
      <c r="AC5833" s="1117"/>
      <c r="AD5833" s="1115"/>
      <c r="AE5833" s="1115"/>
      <c r="AF5833" s="1115"/>
      <c r="AG5833" s="1115"/>
      <c r="AH5833" s="1115"/>
      <c r="AI5833" s="1115"/>
      <c r="AJ5833" s="1117"/>
      <c r="AK5833" s="1118"/>
      <c r="AL5833" s="1115"/>
      <c r="AM5833" s="1115"/>
      <c r="AN5833" s="1115"/>
      <c r="AO5833" s="1115"/>
      <c r="AP5833" s="1115"/>
      <c r="AQ5833" s="1115"/>
      <c r="AR5833" s="1115"/>
      <c r="AS5833" s="1117"/>
      <c r="AT5833" s="1075"/>
      <c r="AU5833" s="1193"/>
      <c r="AV5833" s="330"/>
      <c r="AW5833" s="331"/>
      <c r="AX5833" s="331"/>
      <c r="AY5833" s="331"/>
      <c r="AZ5833" s="331"/>
      <c r="BA5833" s="331"/>
      <c r="BB5833" s="331"/>
      <c r="BC5833" s="331"/>
      <c r="BD5833" s="331"/>
      <c r="BE5833" s="333"/>
      <c r="BF5833" s="330"/>
      <c r="BG5833" s="333"/>
      <c r="BH5833" s="1119"/>
      <c r="BI5833" s="319"/>
      <c r="BJ5833" s="319"/>
      <c r="BK5833" s="319"/>
      <c r="BL5833" s="319"/>
      <c r="BM5833" s="319"/>
      <c r="BN5833" s="319"/>
      <c r="BO5833" s="319"/>
      <c r="BP5833" s="953"/>
      <c r="BQ5833" s="319"/>
      <c r="BR5833" s="319"/>
      <c r="BS5833" s="330"/>
      <c r="BT5833" s="331"/>
      <c r="BU5833" s="920"/>
      <c r="BV5833" s="903"/>
      <c r="BW5833" s="908"/>
      <c r="BX5833" s="908"/>
      <c r="BY5833" s="331"/>
      <c r="BZ5833" s="331"/>
      <c r="CA5833" s="462"/>
      <c r="CB5833" s="319"/>
      <c r="CC5833" s="319"/>
      <c r="CD5833" s="319"/>
      <c r="CE5833" s="319"/>
      <c r="CF5833" s="319"/>
      <c r="CG5833" s="319"/>
      <c r="CH5833" s="318"/>
      <c r="CI5833" s="319"/>
      <c r="CJ5833" s="319"/>
      <c r="CK5833" s="342"/>
      <c r="CL5833" s="333"/>
      <c r="CM5833" s="1079"/>
      <c r="CN5833" s="1005"/>
      <c r="CO5833" s="1005"/>
      <c r="CP5833" s="1005"/>
    </row>
    <row r="5834">
      <c r="A5834" s="1257"/>
      <c r="B5834" s="1113"/>
      <c r="C5834" s="1107"/>
      <c r="D5834" s="103"/>
      <c r="E5834" s="1137"/>
      <c r="F5834" s="112"/>
      <c r="G5834" s="1110"/>
      <c r="H5834" s="1138"/>
      <c r="I5834" s="1138"/>
      <c r="J5834" s="1139"/>
      <c r="K5834" s="1111"/>
      <c r="L5834" s="1112"/>
      <c r="M5834" s="1113"/>
      <c r="N5834" s="110"/>
      <c r="O5834" s="1140"/>
      <c r="P5834" s="1115"/>
      <c r="Q5834" s="1116"/>
      <c r="R5834" s="1141"/>
      <c r="S5834" s="1113"/>
      <c r="T5834" s="1143"/>
      <c r="U5834" s="1108"/>
      <c r="V5834" s="1108"/>
      <c r="W5834" s="1108"/>
      <c r="X5834" s="1108"/>
      <c r="Y5834" s="1108"/>
      <c r="Z5834" s="1114"/>
      <c r="AA5834" s="1114"/>
      <c r="AB5834" s="1114"/>
      <c r="AC5834" s="1117"/>
      <c r="AD5834" s="1115"/>
      <c r="AE5834" s="1115"/>
      <c r="AF5834" s="1115"/>
      <c r="AG5834" s="1115"/>
      <c r="AH5834" s="1115"/>
      <c r="AI5834" s="1115"/>
      <c r="AJ5834" s="1117"/>
      <c r="AK5834" s="1118"/>
      <c r="AL5834" s="1115"/>
      <c r="AM5834" s="1115"/>
      <c r="AN5834" s="1115"/>
      <c r="AO5834" s="1115"/>
      <c r="AP5834" s="1115"/>
      <c r="AQ5834" s="1115"/>
      <c r="AR5834" s="1115"/>
      <c r="AS5834" s="1117"/>
      <c r="AT5834" s="1075"/>
      <c r="AU5834" s="1193"/>
      <c r="AV5834" s="330"/>
      <c r="AW5834" s="331"/>
      <c r="AX5834" s="331"/>
      <c r="AY5834" s="331"/>
      <c r="AZ5834" s="331"/>
      <c r="BA5834" s="331"/>
      <c r="BB5834" s="331"/>
      <c r="BC5834" s="331"/>
      <c r="BD5834" s="331"/>
      <c r="BE5834" s="333"/>
      <c r="BF5834" s="330"/>
      <c r="BG5834" s="333"/>
      <c r="BH5834" s="1119"/>
      <c r="BI5834" s="319"/>
      <c r="BJ5834" s="319"/>
      <c r="BK5834" s="319"/>
      <c r="BL5834" s="319"/>
      <c r="BM5834" s="319"/>
      <c r="BN5834" s="319"/>
      <c r="BO5834" s="319"/>
      <c r="BP5834" s="953"/>
      <c r="BQ5834" s="319"/>
      <c r="BR5834" s="319"/>
      <c r="BS5834" s="330"/>
      <c r="BT5834" s="331"/>
      <c r="BU5834" s="920"/>
      <c r="BV5834" s="903"/>
      <c r="BW5834" s="908"/>
      <c r="BX5834" s="908"/>
      <c r="BY5834" s="331"/>
      <c r="BZ5834" s="331"/>
      <c r="CA5834" s="462"/>
      <c r="CB5834" s="319"/>
      <c r="CC5834" s="319"/>
      <c r="CD5834" s="319"/>
      <c r="CE5834" s="319"/>
      <c r="CF5834" s="319"/>
      <c r="CG5834" s="319"/>
      <c r="CH5834" s="318"/>
      <c r="CI5834" s="319"/>
      <c r="CJ5834" s="319"/>
      <c r="CK5834" s="342"/>
      <c r="CL5834" s="333"/>
      <c r="CM5834" s="1079"/>
      <c r="CN5834" s="1005"/>
      <c r="CO5834" s="1005"/>
      <c r="CP5834" s="1005"/>
    </row>
    <row r="5835">
      <c r="A5835" s="1257"/>
      <c r="B5835" s="1113"/>
      <c r="C5835" s="1107"/>
      <c r="D5835" s="103"/>
      <c r="E5835" s="1137"/>
      <c r="F5835" s="112"/>
      <c r="G5835" s="1110"/>
      <c r="H5835" s="1138"/>
      <c r="I5835" s="1138"/>
      <c r="J5835" s="1139"/>
      <c r="K5835" s="1111"/>
      <c r="L5835" s="1112"/>
      <c r="M5835" s="1113"/>
      <c r="N5835" s="110"/>
      <c r="O5835" s="1140"/>
      <c r="P5835" s="1115"/>
      <c r="Q5835" s="1116"/>
      <c r="R5835" s="1141"/>
      <c r="S5835" s="1113"/>
      <c r="T5835" s="1143"/>
      <c r="U5835" s="1108"/>
      <c r="V5835" s="1108"/>
      <c r="W5835" s="1108"/>
      <c r="X5835" s="1108"/>
      <c r="Y5835" s="1108"/>
      <c r="Z5835" s="1114"/>
      <c r="AA5835" s="1114"/>
      <c r="AB5835" s="1114"/>
      <c r="AC5835" s="1117"/>
      <c r="AD5835" s="1115"/>
      <c r="AE5835" s="1115"/>
      <c r="AF5835" s="1115"/>
      <c r="AG5835" s="1115"/>
      <c r="AH5835" s="1115"/>
      <c r="AI5835" s="1115"/>
      <c r="AJ5835" s="1117"/>
      <c r="AK5835" s="1118"/>
      <c r="AL5835" s="1115"/>
      <c r="AM5835" s="1115"/>
      <c r="AN5835" s="1115"/>
      <c r="AO5835" s="1115"/>
      <c r="AP5835" s="1115"/>
      <c r="AQ5835" s="1115"/>
      <c r="AR5835" s="1115"/>
      <c r="AS5835" s="1117"/>
      <c r="AT5835" s="1075"/>
      <c r="AU5835" s="1193"/>
      <c r="AV5835" s="330"/>
      <c r="AW5835" s="331"/>
      <c r="AX5835" s="331"/>
      <c r="AY5835" s="331"/>
      <c r="AZ5835" s="331"/>
      <c r="BA5835" s="331"/>
      <c r="BB5835" s="331"/>
      <c r="BC5835" s="331"/>
      <c r="BD5835" s="331"/>
      <c r="BE5835" s="333"/>
      <c r="BF5835" s="330"/>
      <c r="BG5835" s="333"/>
      <c r="BH5835" s="1119"/>
      <c r="BI5835" s="319"/>
      <c r="BJ5835" s="319"/>
      <c r="BK5835" s="319"/>
      <c r="BL5835" s="319"/>
      <c r="BM5835" s="319"/>
      <c r="BN5835" s="319"/>
      <c r="BO5835" s="319"/>
      <c r="BP5835" s="953"/>
      <c r="BQ5835" s="319"/>
      <c r="BR5835" s="319"/>
      <c r="BS5835" s="330"/>
      <c r="BT5835" s="331"/>
      <c r="BU5835" s="920"/>
      <c r="BV5835" s="903"/>
      <c r="BW5835" s="908"/>
      <c r="BX5835" s="908"/>
      <c r="BY5835" s="331"/>
      <c r="BZ5835" s="331"/>
      <c r="CA5835" s="462"/>
      <c r="CB5835" s="319"/>
      <c r="CC5835" s="319"/>
      <c r="CD5835" s="319"/>
      <c r="CE5835" s="319"/>
      <c r="CF5835" s="319"/>
      <c r="CG5835" s="319"/>
      <c r="CH5835" s="318"/>
      <c r="CI5835" s="319"/>
      <c r="CJ5835" s="319"/>
      <c r="CK5835" s="342"/>
      <c r="CL5835" s="333"/>
      <c r="CM5835" s="1079"/>
      <c r="CN5835" s="1005"/>
      <c r="CO5835" s="1005"/>
      <c r="CP5835" s="1005"/>
    </row>
    <row r="5836">
      <c r="A5836" s="1257"/>
      <c r="B5836" s="1113"/>
      <c r="C5836" s="1107"/>
      <c r="D5836" s="103"/>
      <c r="E5836" s="1137"/>
      <c r="F5836" s="112"/>
      <c r="G5836" s="1110"/>
      <c r="H5836" s="1138"/>
      <c r="I5836" s="1138"/>
      <c r="J5836" s="1139"/>
      <c r="K5836" s="1111"/>
      <c r="L5836" s="1112"/>
      <c r="M5836" s="1113"/>
      <c r="N5836" s="110"/>
      <c r="O5836" s="1140"/>
      <c r="P5836" s="1115"/>
      <c r="Q5836" s="1116"/>
      <c r="R5836" s="1141"/>
      <c r="S5836" s="1113"/>
      <c r="T5836" s="1143"/>
      <c r="U5836" s="1108"/>
      <c r="V5836" s="1108"/>
      <c r="W5836" s="1108"/>
      <c r="X5836" s="1108"/>
      <c r="Y5836" s="1108"/>
      <c r="Z5836" s="1114"/>
      <c r="AA5836" s="1114"/>
      <c r="AB5836" s="1114"/>
      <c r="AC5836" s="1117"/>
      <c r="AD5836" s="1115"/>
      <c r="AE5836" s="1115"/>
      <c r="AF5836" s="1115"/>
      <c r="AG5836" s="1115"/>
      <c r="AH5836" s="1115"/>
      <c r="AI5836" s="1115"/>
      <c r="AJ5836" s="1117"/>
      <c r="AK5836" s="1118"/>
      <c r="AL5836" s="1115"/>
      <c r="AM5836" s="1115"/>
      <c r="AN5836" s="1115"/>
      <c r="AO5836" s="1115"/>
      <c r="AP5836" s="1115"/>
      <c r="AQ5836" s="1115"/>
      <c r="AR5836" s="1115"/>
      <c r="AS5836" s="1117"/>
      <c r="AT5836" s="1075"/>
      <c r="AU5836" s="1193"/>
      <c r="AV5836" s="330"/>
      <c r="AW5836" s="331"/>
      <c r="AX5836" s="331"/>
      <c r="AY5836" s="331"/>
      <c r="AZ5836" s="331"/>
      <c r="BA5836" s="331"/>
      <c r="BB5836" s="331"/>
      <c r="BC5836" s="331"/>
      <c r="BD5836" s="331"/>
      <c r="BE5836" s="333"/>
      <c r="BF5836" s="330"/>
      <c r="BG5836" s="333"/>
      <c r="BH5836" s="1119"/>
      <c r="BI5836" s="319"/>
      <c r="BJ5836" s="319"/>
      <c r="BK5836" s="319"/>
      <c r="BL5836" s="319"/>
      <c r="BM5836" s="319"/>
      <c r="BN5836" s="319"/>
      <c r="BO5836" s="319"/>
      <c r="BP5836" s="953"/>
      <c r="BQ5836" s="319"/>
      <c r="BR5836" s="319"/>
      <c r="BS5836" s="330"/>
      <c r="BT5836" s="331"/>
      <c r="BU5836" s="920"/>
      <c r="BV5836" s="903"/>
      <c r="BW5836" s="908"/>
      <c r="BX5836" s="908"/>
      <c r="BY5836" s="331"/>
      <c r="BZ5836" s="331"/>
      <c r="CA5836" s="462"/>
      <c r="CB5836" s="319"/>
      <c r="CC5836" s="319"/>
      <c r="CD5836" s="319"/>
      <c r="CE5836" s="319"/>
      <c r="CF5836" s="319"/>
      <c r="CG5836" s="319"/>
      <c r="CH5836" s="318"/>
      <c r="CI5836" s="319"/>
      <c r="CJ5836" s="319"/>
      <c r="CK5836" s="342"/>
      <c r="CL5836" s="333"/>
      <c r="CM5836" s="1079"/>
      <c r="CN5836" s="1005"/>
      <c r="CO5836" s="1005"/>
      <c r="CP5836" s="1005"/>
    </row>
    <row r="5837">
      <c r="A5837" s="1257"/>
      <c r="B5837" s="1113"/>
      <c r="C5837" s="1107"/>
      <c r="D5837" s="103"/>
      <c r="E5837" s="1137"/>
      <c r="F5837" s="112"/>
      <c r="G5837" s="1110"/>
      <c r="H5837" s="1138"/>
      <c r="I5837" s="1138"/>
      <c r="J5837" s="1139"/>
      <c r="K5837" s="1111"/>
      <c r="L5837" s="1112"/>
      <c r="M5837" s="1113"/>
      <c r="N5837" s="110"/>
      <c r="O5837" s="1140"/>
      <c r="P5837" s="1115"/>
      <c r="Q5837" s="1116"/>
      <c r="R5837" s="1141"/>
      <c r="S5837" s="1113"/>
      <c r="T5837" s="1143"/>
      <c r="U5837" s="1108"/>
      <c r="V5837" s="1108"/>
      <c r="W5837" s="1108"/>
      <c r="X5837" s="1108"/>
      <c r="Y5837" s="1108"/>
      <c r="Z5837" s="1114"/>
      <c r="AA5837" s="1114"/>
      <c r="AB5837" s="1114"/>
      <c r="AC5837" s="1117"/>
      <c r="AD5837" s="1115"/>
      <c r="AE5837" s="1115"/>
      <c r="AF5837" s="1115"/>
      <c r="AG5837" s="1115"/>
      <c r="AH5837" s="1115"/>
      <c r="AI5837" s="1115"/>
      <c r="AJ5837" s="1117"/>
      <c r="AK5837" s="1118"/>
      <c r="AL5837" s="1115"/>
      <c r="AM5837" s="1115"/>
      <c r="AN5837" s="1115"/>
      <c r="AO5837" s="1115"/>
      <c r="AP5837" s="1115"/>
      <c r="AQ5837" s="1115"/>
      <c r="AR5837" s="1115"/>
      <c r="AS5837" s="1117"/>
      <c r="AT5837" s="1075"/>
      <c r="AU5837" s="1193"/>
      <c r="AV5837" s="330"/>
      <c r="AW5837" s="331"/>
      <c r="AX5837" s="331"/>
      <c r="AY5837" s="331"/>
      <c r="AZ5837" s="331"/>
      <c r="BA5837" s="331"/>
      <c r="BB5837" s="331"/>
      <c r="BC5837" s="331"/>
      <c r="BD5837" s="331"/>
      <c r="BE5837" s="333"/>
      <c r="BF5837" s="330"/>
      <c r="BG5837" s="333"/>
      <c r="BH5837" s="1119"/>
      <c r="BI5837" s="319"/>
      <c r="BJ5837" s="319"/>
      <c r="BK5837" s="319"/>
      <c r="BL5837" s="319"/>
      <c r="BM5837" s="319"/>
      <c r="BN5837" s="319"/>
      <c r="BO5837" s="319"/>
      <c r="BP5837" s="953"/>
      <c r="BQ5837" s="319"/>
      <c r="BR5837" s="319"/>
      <c r="BS5837" s="330"/>
      <c r="BT5837" s="331"/>
      <c r="BU5837" s="920"/>
      <c r="BV5837" s="903"/>
      <c r="BW5837" s="908"/>
      <c r="BX5837" s="908"/>
      <c r="BY5837" s="331"/>
      <c r="BZ5837" s="331"/>
      <c r="CA5837" s="462"/>
      <c r="CB5837" s="319"/>
      <c r="CC5837" s="319"/>
      <c r="CD5837" s="319"/>
      <c r="CE5837" s="319"/>
      <c r="CF5837" s="319"/>
      <c r="CG5837" s="319"/>
      <c r="CH5837" s="318"/>
      <c r="CI5837" s="319"/>
      <c r="CJ5837" s="319"/>
      <c r="CK5837" s="342"/>
      <c r="CL5837" s="333"/>
      <c r="CM5837" s="1079"/>
      <c r="CN5837" s="1005"/>
      <c r="CO5837" s="1005"/>
      <c r="CP5837" s="1005"/>
    </row>
    <row r="5838">
      <c r="A5838" s="1257"/>
      <c r="B5838" s="1113"/>
      <c r="C5838" s="1107"/>
      <c r="D5838" s="103"/>
      <c r="E5838" s="1137"/>
      <c r="F5838" s="112"/>
      <c r="G5838" s="1110"/>
      <c r="H5838" s="1138"/>
      <c r="I5838" s="1138"/>
      <c r="J5838" s="1139"/>
      <c r="K5838" s="1111"/>
      <c r="L5838" s="1112"/>
      <c r="M5838" s="1113"/>
      <c r="N5838" s="110"/>
      <c r="O5838" s="1140"/>
      <c r="P5838" s="1115"/>
      <c r="Q5838" s="1116"/>
      <c r="R5838" s="1141"/>
      <c r="S5838" s="1113"/>
      <c r="T5838" s="1143"/>
      <c r="U5838" s="1108"/>
      <c r="V5838" s="1108"/>
      <c r="W5838" s="1108"/>
      <c r="X5838" s="1108"/>
      <c r="Y5838" s="1108"/>
      <c r="Z5838" s="1114"/>
      <c r="AA5838" s="1114"/>
      <c r="AB5838" s="1114"/>
      <c r="AC5838" s="1117"/>
      <c r="AD5838" s="1115"/>
      <c r="AE5838" s="1115"/>
      <c r="AF5838" s="1115"/>
      <c r="AG5838" s="1115"/>
      <c r="AH5838" s="1115"/>
      <c r="AI5838" s="1115"/>
      <c r="AJ5838" s="1117"/>
      <c r="AK5838" s="1118"/>
      <c r="AL5838" s="1115"/>
      <c r="AM5838" s="1115"/>
      <c r="AN5838" s="1115"/>
      <c r="AO5838" s="1115"/>
      <c r="AP5838" s="1115"/>
      <c r="AQ5838" s="1115"/>
      <c r="AR5838" s="1115"/>
      <c r="AS5838" s="1117"/>
      <c r="AT5838" s="1075"/>
      <c r="AU5838" s="1193"/>
      <c r="AV5838" s="330"/>
      <c r="AW5838" s="331"/>
      <c r="AX5838" s="331"/>
      <c r="AY5838" s="331"/>
      <c r="AZ5838" s="331"/>
      <c r="BA5838" s="331"/>
      <c r="BB5838" s="331"/>
      <c r="BC5838" s="331"/>
      <c r="BD5838" s="331"/>
      <c r="BE5838" s="333"/>
      <c r="BF5838" s="330"/>
      <c r="BG5838" s="333"/>
      <c r="BH5838" s="1119"/>
      <c r="BI5838" s="319"/>
      <c r="BJ5838" s="319"/>
      <c r="BK5838" s="319"/>
      <c r="BL5838" s="319"/>
      <c r="BM5838" s="319"/>
      <c r="BN5838" s="319"/>
      <c r="BO5838" s="319"/>
      <c r="BP5838" s="953"/>
      <c r="BQ5838" s="319"/>
      <c r="BR5838" s="319"/>
      <c r="BS5838" s="330"/>
      <c r="BT5838" s="331"/>
      <c r="BU5838" s="920"/>
      <c r="BV5838" s="903"/>
      <c r="BW5838" s="908"/>
      <c r="BX5838" s="908"/>
      <c r="BY5838" s="331"/>
      <c r="BZ5838" s="331"/>
      <c r="CA5838" s="462"/>
      <c r="CB5838" s="319"/>
      <c r="CC5838" s="319"/>
      <c r="CD5838" s="319"/>
      <c r="CE5838" s="319"/>
      <c r="CF5838" s="319"/>
      <c r="CG5838" s="319"/>
      <c r="CH5838" s="318"/>
      <c r="CI5838" s="319"/>
      <c r="CJ5838" s="319"/>
      <c r="CK5838" s="342"/>
      <c r="CL5838" s="333"/>
      <c r="CM5838" s="1079"/>
      <c r="CN5838" s="1005"/>
      <c r="CO5838" s="1005"/>
      <c r="CP5838" s="1005"/>
    </row>
    <row r="5839">
      <c r="A5839" s="1257"/>
      <c r="B5839" s="1113"/>
      <c r="C5839" s="1107"/>
      <c r="D5839" s="103"/>
      <c r="E5839" s="1137"/>
      <c r="F5839" s="112"/>
      <c r="G5839" s="1110"/>
      <c r="H5839" s="1138"/>
      <c r="I5839" s="1138"/>
      <c r="J5839" s="1139"/>
      <c r="K5839" s="1111"/>
      <c r="L5839" s="1112"/>
      <c r="M5839" s="1113"/>
      <c r="N5839" s="110"/>
      <c r="O5839" s="1140"/>
      <c r="P5839" s="1115"/>
      <c r="Q5839" s="1116"/>
      <c r="R5839" s="1141"/>
      <c r="S5839" s="1113"/>
      <c r="T5839" s="1143"/>
      <c r="U5839" s="1108"/>
      <c r="V5839" s="1108"/>
      <c r="W5839" s="1108"/>
      <c r="X5839" s="1108"/>
      <c r="Y5839" s="1108"/>
      <c r="Z5839" s="1114"/>
      <c r="AA5839" s="1114"/>
      <c r="AB5839" s="1114"/>
      <c r="AC5839" s="1117"/>
      <c r="AD5839" s="1115"/>
      <c r="AE5839" s="1115"/>
      <c r="AF5839" s="1115"/>
      <c r="AG5839" s="1115"/>
      <c r="AH5839" s="1115"/>
      <c r="AI5839" s="1115"/>
      <c r="AJ5839" s="1117"/>
      <c r="AK5839" s="1118"/>
      <c r="AL5839" s="1115"/>
      <c r="AM5839" s="1115"/>
      <c r="AN5839" s="1115"/>
      <c r="AO5839" s="1115"/>
      <c r="AP5839" s="1115"/>
      <c r="AQ5839" s="1115"/>
      <c r="AR5839" s="1115"/>
      <c r="AS5839" s="1117"/>
      <c r="AT5839" s="1075"/>
      <c r="AU5839" s="1193"/>
      <c r="AV5839" s="330"/>
      <c r="AW5839" s="331"/>
      <c r="AX5839" s="331"/>
      <c r="AY5839" s="331"/>
      <c r="AZ5839" s="331"/>
      <c r="BA5839" s="331"/>
      <c r="BB5839" s="331"/>
      <c r="BC5839" s="331"/>
      <c r="BD5839" s="331"/>
      <c r="BE5839" s="333"/>
      <c r="BF5839" s="330"/>
      <c r="BG5839" s="333"/>
      <c r="BH5839" s="1119"/>
      <c r="BI5839" s="319"/>
      <c r="BJ5839" s="319"/>
      <c r="BK5839" s="319"/>
      <c r="BL5839" s="319"/>
      <c r="BM5839" s="319"/>
      <c r="BN5839" s="319"/>
      <c r="BO5839" s="319"/>
      <c r="BP5839" s="953"/>
      <c r="BQ5839" s="319"/>
      <c r="BR5839" s="319"/>
      <c r="BS5839" s="330"/>
      <c r="BT5839" s="331"/>
      <c r="BU5839" s="920"/>
      <c r="BV5839" s="903"/>
      <c r="BW5839" s="908"/>
      <c r="BX5839" s="908"/>
      <c r="BY5839" s="331"/>
      <c r="BZ5839" s="331"/>
      <c r="CA5839" s="462"/>
      <c r="CB5839" s="319"/>
      <c r="CC5839" s="319"/>
      <c r="CD5839" s="319"/>
      <c r="CE5839" s="319"/>
      <c r="CF5839" s="319"/>
      <c r="CG5839" s="319"/>
      <c r="CH5839" s="318"/>
      <c r="CI5839" s="319"/>
      <c r="CJ5839" s="319"/>
      <c r="CK5839" s="342"/>
      <c r="CL5839" s="333"/>
      <c r="CM5839" s="1079"/>
      <c r="CN5839" s="1005"/>
      <c r="CO5839" s="1005"/>
      <c r="CP5839" s="1005"/>
    </row>
    <row r="5840">
      <c r="A5840" s="1257"/>
      <c r="B5840" s="1113"/>
      <c r="C5840" s="1107"/>
      <c r="D5840" s="103"/>
      <c r="E5840" s="1137"/>
      <c r="F5840" s="112"/>
      <c r="G5840" s="1110"/>
      <c r="H5840" s="1138"/>
      <c r="I5840" s="1138"/>
      <c r="J5840" s="1139"/>
      <c r="K5840" s="1111"/>
      <c r="L5840" s="1112"/>
      <c r="M5840" s="1113"/>
      <c r="N5840" s="110"/>
      <c r="O5840" s="1140"/>
      <c r="P5840" s="1115"/>
      <c r="Q5840" s="1116"/>
      <c r="R5840" s="1141"/>
      <c r="S5840" s="1113"/>
      <c r="T5840" s="1143"/>
      <c r="U5840" s="1108"/>
      <c r="V5840" s="1108"/>
      <c r="W5840" s="1108"/>
      <c r="X5840" s="1108"/>
      <c r="Y5840" s="1108"/>
      <c r="Z5840" s="1114"/>
      <c r="AA5840" s="1114"/>
      <c r="AB5840" s="1114"/>
      <c r="AC5840" s="1117"/>
      <c r="AD5840" s="1115"/>
      <c r="AE5840" s="1115"/>
      <c r="AF5840" s="1115"/>
      <c r="AG5840" s="1115"/>
      <c r="AH5840" s="1115"/>
      <c r="AI5840" s="1115"/>
      <c r="AJ5840" s="1117"/>
      <c r="AK5840" s="1118"/>
      <c r="AL5840" s="1115"/>
      <c r="AM5840" s="1115"/>
      <c r="AN5840" s="1115"/>
      <c r="AO5840" s="1115"/>
      <c r="AP5840" s="1115"/>
      <c r="AQ5840" s="1115"/>
      <c r="AR5840" s="1115"/>
      <c r="AS5840" s="1117"/>
      <c r="AT5840" s="1075"/>
      <c r="AU5840" s="1193"/>
      <c r="AV5840" s="330"/>
      <c r="AW5840" s="331"/>
      <c r="AX5840" s="331"/>
      <c r="AY5840" s="331"/>
      <c r="AZ5840" s="331"/>
      <c r="BA5840" s="331"/>
      <c r="BB5840" s="331"/>
      <c r="BC5840" s="331"/>
      <c r="BD5840" s="331"/>
      <c r="BE5840" s="333"/>
      <c r="BF5840" s="330"/>
      <c r="BG5840" s="333"/>
      <c r="BH5840" s="1119"/>
      <c r="BI5840" s="319"/>
      <c r="BJ5840" s="319"/>
      <c r="BK5840" s="319"/>
      <c r="BL5840" s="319"/>
      <c r="BM5840" s="319"/>
      <c r="BN5840" s="319"/>
      <c r="BO5840" s="319"/>
      <c r="BP5840" s="953"/>
      <c r="BQ5840" s="319"/>
      <c r="BR5840" s="319"/>
      <c r="BS5840" s="330"/>
      <c r="BT5840" s="331"/>
      <c r="BU5840" s="920"/>
      <c r="BV5840" s="903"/>
      <c r="BW5840" s="908"/>
      <c r="BX5840" s="908"/>
      <c r="BY5840" s="331"/>
      <c r="BZ5840" s="331"/>
      <c r="CA5840" s="462"/>
      <c r="CB5840" s="319"/>
      <c r="CC5840" s="319"/>
      <c r="CD5840" s="319"/>
      <c r="CE5840" s="319"/>
      <c r="CF5840" s="319"/>
      <c r="CG5840" s="319"/>
      <c r="CH5840" s="318"/>
      <c r="CI5840" s="319"/>
      <c r="CJ5840" s="319"/>
      <c r="CK5840" s="342"/>
      <c r="CL5840" s="333"/>
      <c r="CM5840" s="1079"/>
      <c r="CN5840" s="1005"/>
      <c r="CO5840" s="1005"/>
      <c r="CP5840" s="1005"/>
    </row>
    <row r="5841">
      <c r="A5841" s="1257"/>
      <c r="B5841" s="1113"/>
      <c r="C5841" s="1107"/>
      <c r="D5841" s="103"/>
      <c r="E5841" s="1137"/>
      <c r="F5841" s="112"/>
      <c r="G5841" s="1110"/>
      <c r="H5841" s="1138"/>
      <c r="I5841" s="1138"/>
      <c r="J5841" s="1139"/>
      <c r="K5841" s="1111"/>
      <c r="L5841" s="1112"/>
      <c r="M5841" s="1113"/>
      <c r="N5841" s="110"/>
      <c r="O5841" s="1140"/>
      <c r="P5841" s="1115"/>
      <c r="Q5841" s="1116"/>
      <c r="R5841" s="1141"/>
      <c r="S5841" s="1113"/>
      <c r="T5841" s="1143"/>
      <c r="U5841" s="1108"/>
      <c r="V5841" s="1108"/>
      <c r="W5841" s="1108"/>
      <c r="X5841" s="1108"/>
      <c r="Y5841" s="1108"/>
      <c r="Z5841" s="1114"/>
      <c r="AA5841" s="1114"/>
      <c r="AB5841" s="1114"/>
      <c r="AC5841" s="1117"/>
      <c r="AD5841" s="1115"/>
      <c r="AE5841" s="1115"/>
      <c r="AF5841" s="1115"/>
      <c r="AG5841" s="1115"/>
      <c r="AH5841" s="1115"/>
      <c r="AI5841" s="1115"/>
      <c r="AJ5841" s="1117"/>
      <c r="AK5841" s="1118"/>
      <c r="AL5841" s="1115"/>
      <c r="AM5841" s="1115"/>
      <c r="AN5841" s="1115"/>
      <c r="AO5841" s="1115"/>
      <c r="AP5841" s="1115"/>
      <c r="AQ5841" s="1115"/>
      <c r="AR5841" s="1115"/>
      <c r="AS5841" s="1117"/>
      <c r="AT5841" s="1075"/>
      <c r="AU5841" s="1193"/>
      <c r="AV5841" s="330"/>
      <c r="AW5841" s="331"/>
      <c r="AX5841" s="331"/>
      <c r="AY5841" s="331"/>
      <c r="AZ5841" s="331"/>
      <c r="BA5841" s="331"/>
      <c r="BB5841" s="331"/>
      <c r="BC5841" s="331"/>
      <c r="BD5841" s="331"/>
      <c r="BE5841" s="333"/>
      <c r="BF5841" s="330"/>
      <c r="BG5841" s="333"/>
      <c r="BH5841" s="1119"/>
      <c r="BI5841" s="319"/>
      <c r="BJ5841" s="319"/>
      <c r="BK5841" s="319"/>
      <c r="BL5841" s="319"/>
      <c r="BM5841" s="319"/>
      <c r="BN5841" s="319"/>
      <c r="BO5841" s="319"/>
      <c r="BP5841" s="953"/>
      <c r="BQ5841" s="319"/>
      <c r="BR5841" s="319"/>
      <c r="BS5841" s="330"/>
      <c r="BT5841" s="331"/>
      <c r="BU5841" s="920"/>
      <c r="BV5841" s="903"/>
      <c r="BW5841" s="908"/>
      <c r="BX5841" s="908"/>
      <c r="BY5841" s="331"/>
      <c r="BZ5841" s="331"/>
      <c r="CA5841" s="462"/>
      <c r="CB5841" s="319"/>
      <c r="CC5841" s="319"/>
      <c r="CD5841" s="319"/>
      <c r="CE5841" s="319"/>
      <c r="CF5841" s="319"/>
      <c r="CG5841" s="319"/>
      <c r="CH5841" s="318"/>
      <c r="CI5841" s="319"/>
      <c r="CJ5841" s="319"/>
      <c r="CK5841" s="342"/>
      <c r="CL5841" s="333"/>
      <c r="CM5841" s="1079"/>
      <c r="CN5841" s="1005"/>
      <c r="CO5841" s="1005"/>
      <c r="CP5841" s="1005"/>
    </row>
    <row r="5842">
      <c r="A5842" s="1257"/>
      <c r="B5842" s="1113"/>
      <c r="C5842" s="1107"/>
      <c r="D5842" s="103"/>
      <c r="E5842" s="1137"/>
      <c r="F5842" s="112"/>
      <c r="G5842" s="1110"/>
      <c r="H5842" s="1138"/>
      <c r="I5842" s="1138"/>
      <c r="J5842" s="1139"/>
      <c r="K5842" s="1111"/>
      <c r="L5842" s="1112"/>
      <c r="M5842" s="1113"/>
      <c r="N5842" s="110"/>
      <c r="O5842" s="1140"/>
      <c r="P5842" s="1115"/>
      <c r="Q5842" s="1116"/>
      <c r="R5842" s="1141"/>
      <c r="S5842" s="1113"/>
      <c r="T5842" s="1143"/>
      <c r="U5842" s="1108"/>
      <c r="V5842" s="1108"/>
      <c r="W5842" s="1108"/>
      <c r="X5842" s="1108"/>
      <c r="Y5842" s="1108"/>
      <c r="Z5842" s="1114"/>
      <c r="AA5842" s="1114"/>
      <c r="AB5842" s="1114"/>
      <c r="AC5842" s="1117"/>
      <c r="AD5842" s="1115"/>
      <c r="AE5842" s="1115"/>
      <c r="AF5842" s="1115"/>
      <c r="AG5842" s="1115"/>
      <c r="AH5842" s="1115"/>
      <c r="AI5842" s="1115"/>
      <c r="AJ5842" s="1117"/>
      <c r="AK5842" s="1118"/>
      <c r="AL5842" s="1115"/>
      <c r="AM5842" s="1115"/>
      <c r="AN5842" s="1115"/>
      <c r="AO5842" s="1115"/>
      <c r="AP5842" s="1115"/>
      <c r="AQ5842" s="1115"/>
      <c r="AR5842" s="1115"/>
      <c r="AS5842" s="1117"/>
      <c r="AT5842" s="1075"/>
      <c r="AU5842" s="1193"/>
      <c r="AV5842" s="330"/>
      <c r="AW5842" s="331"/>
      <c r="AX5842" s="331"/>
      <c r="AY5842" s="331"/>
      <c r="AZ5842" s="331"/>
      <c r="BA5842" s="331"/>
      <c r="BB5842" s="331"/>
      <c r="BC5842" s="331"/>
      <c r="BD5842" s="331"/>
      <c r="BE5842" s="333"/>
      <c r="BF5842" s="330"/>
      <c r="BG5842" s="333"/>
      <c r="BH5842" s="1119"/>
      <c r="BI5842" s="319"/>
      <c r="BJ5842" s="319"/>
      <c r="BK5842" s="319"/>
      <c r="BL5842" s="319"/>
      <c r="BM5842" s="319"/>
      <c r="BN5842" s="319"/>
      <c r="BO5842" s="319"/>
      <c r="BP5842" s="953"/>
      <c r="BQ5842" s="319"/>
      <c r="BR5842" s="319"/>
      <c r="BS5842" s="330"/>
      <c r="BT5842" s="331"/>
      <c r="BU5842" s="920"/>
      <c r="BV5842" s="903"/>
      <c r="BW5842" s="908"/>
      <c r="BX5842" s="908"/>
      <c r="BY5842" s="331"/>
      <c r="BZ5842" s="331"/>
      <c r="CA5842" s="462"/>
      <c r="CB5842" s="319"/>
      <c r="CC5842" s="319"/>
      <c r="CD5842" s="319"/>
      <c r="CE5842" s="319"/>
      <c r="CF5842" s="319"/>
      <c r="CG5842" s="319"/>
      <c r="CH5842" s="318"/>
      <c r="CI5842" s="319"/>
      <c r="CJ5842" s="319"/>
      <c r="CK5842" s="342"/>
      <c r="CL5842" s="333"/>
      <c r="CM5842" s="1079"/>
      <c r="CN5842" s="1005"/>
      <c r="CO5842" s="1005"/>
      <c r="CP5842" s="1005"/>
    </row>
    <row r="5843">
      <c r="A5843" s="1257"/>
      <c r="B5843" s="1113"/>
      <c r="C5843" s="1107"/>
      <c r="D5843" s="103"/>
      <c r="E5843" s="1137"/>
      <c r="F5843" s="112"/>
      <c r="G5843" s="1110"/>
      <c r="H5843" s="1138"/>
      <c r="I5843" s="1138"/>
      <c r="J5843" s="1139"/>
      <c r="K5843" s="1111"/>
      <c r="L5843" s="1112"/>
      <c r="M5843" s="1113"/>
      <c r="N5843" s="110"/>
      <c r="O5843" s="1140"/>
      <c r="P5843" s="1115"/>
      <c r="Q5843" s="1116"/>
      <c r="R5843" s="1141"/>
      <c r="S5843" s="1113"/>
      <c r="T5843" s="1143"/>
      <c r="U5843" s="1108"/>
      <c r="V5843" s="1108"/>
      <c r="W5843" s="1108"/>
      <c r="X5843" s="1108"/>
      <c r="Y5843" s="1108"/>
      <c r="Z5843" s="1114"/>
      <c r="AA5843" s="1114"/>
      <c r="AB5843" s="1114"/>
      <c r="AC5843" s="1117"/>
      <c r="AD5843" s="1115"/>
      <c r="AE5843" s="1115"/>
      <c r="AF5843" s="1115"/>
      <c r="AG5843" s="1115"/>
      <c r="AH5843" s="1115"/>
      <c r="AI5843" s="1115"/>
      <c r="AJ5843" s="1117"/>
      <c r="AK5843" s="1118"/>
      <c r="AL5843" s="1115"/>
      <c r="AM5843" s="1115"/>
      <c r="AN5843" s="1115"/>
      <c r="AO5843" s="1115"/>
      <c r="AP5843" s="1115"/>
      <c r="AQ5843" s="1115"/>
      <c r="AR5843" s="1115"/>
      <c r="AS5843" s="1117"/>
      <c r="AT5843" s="1075"/>
      <c r="AU5843" s="1193"/>
      <c r="AV5843" s="330"/>
      <c r="AW5843" s="331"/>
      <c r="AX5843" s="331"/>
      <c r="AY5843" s="331"/>
      <c r="AZ5843" s="331"/>
      <c r="BA5843" s="331"/>
      <c r="BB5843" s="331"/>
      <c r="BC5843" s="331"/>
      <c r="BD5843" s="331"/>
      <c r="BE5843" s="333"/>
      <c r="BF5843" s="330"/>
      <c r="BG5843" s="333"/>
      <c r="BH5843" s="1119"/>
      <c r="BI5843" s="319"/>
      <c r="BJ5843" s="319"/>
      <c r="BK5843" s="319"/>
      <c r="BL5843" s="319"/>
      <c r="BM5843" s="319"/>
      <c r="BN5843" s="319"/>
      <c r="BO5843" s="319"/>
      <c r="BP5843" s="953"/>
      <c r="BQ5843" s="319"/>
      <c r="BR5843" s="319"/>
      <c r="BS5843" s="330"/>
      <c r="BT5843" s="331"/>
      <c r="BU5843" s="920"/>
      <c r="BV5843" s="903"/>
      <c r="BW5843" s="908"/>
      <c r="BX5843" s="908"/>
      <c r="BY5843" s="331"/>
      <c r="BZ5843" s="331"/>
      <c r="CA5843" s="462"/>
      <c r="CB5843" s="319"/>
      <c r="CC5843" s="319"/>
      <c r="CD5843" s="319"/>
      <c r="CE5843" s="319"/>
      <c r="CF5843" s="319"/>
      <c r="CG5843" s="319"/>
      <c r="CH5843" s="318"/>
      <c r="CI5843" s="319"/>
      <c r="CJ5843" s="319"/>
      <c r="CK5843" s="342"/>
      <c r="CL5843" s="333"/>
      <c r="CM5843" s="1079"/>
      <c r="CN5843" s="1005"/>
      <c r="CO5843" s="1005"/>
      <c r="CP5843" s="1005"/>
    </row>
    <row r="5844">
      <c r="A5844" s="1257"/>
      <c r="B5844" s="1113"/>
      <c r="C5844" s="1107"/>
      <c r="D5844" s="103"/>
      <c r="E5844" s="1137"/>
      <c r="F5844" s="112"/>
      <c r="G5844" s="1110"/>
      <c r="H5844" s="1138"/>
      <c r="I5844" s="1138"/>
      <c r="J5844" s="1139"/>
      <c r="K5844" s="1111"/>
      <c r="L5844" s="1112"/>
      <c r="M5844" s="1113"/>
      <c r="N5844" s="110"/>
      <c r="O5844" s="1140"/>
      <c r="P5844" s="1115"/>
      <c r="Q5844" s="1116"/>
      <c r="R5844" s="1141"/>
      <c r="S5844" s="1113"/>
      <c r="T5844" s="1143"/>
      <c r="U5844" s="1108"/>
      <c r="V5844" s="1108"/>
      <c r="W5844" s="1108"/>
      <c r="X5844" s="1108"/>
      <c r="Y5844" s="1108"/>
      <c r="Z5844" s="1114"/>
      <c r="AA5844" s="1114"/>
      <c r="AB5844" s="1114"/>
      <c r="AC5844" s="1117"/>
      <c r="AD5844" s="1115"/>
      <c r="AE5844" s="1115"/>
      <c r="AF5844" s="1115"/>
      <c r="AG5844" s="1115"/>
      <c r="AH5844" s="1115"/>
      <c r="AI5844" s="1115"/>
      <c r="AJ5844" s="1117"/>
      <c r="AK5844" s="1118"/>
      <c r="AL5844" s="1115"/>
      <c r="AM5844" s="1115"/>
      <c r="AN5844" s="1115"/>
      <c r="AO5844" s="1115"/>
      <c r="AP5844" s="1115"/>
      <c r="AQ5844" s="1115"/>
      <c r="AR5844" s="1115"/>
      <c r="AS5844" s="1117"/>
      <c r="AT5844" s="1075"/>
      <c r="AU5844" s="1193"/>
      <c r="AV5844" s="330"/>
      <c r="AW5844" s="331"/>
      <c r="AX5844" s="331"/>
      <c r="AY5844" s="331"/>
      <c r="AZ5844" s="331"/>
      <c r="BA5844" s="331"/>
      <c r="BB5844" s="331"/>
      <c r="BC5844" s="331"/>
      <c r="BD5844" s="331"/>
      <c r="BE5844" s="333"/>
      <c r="BF5844" s="330"/>
      <c r="BG5844" s="333"/>
      <c r="BH5844" s="1119"/>
      <c r="BI5844" s="319"/>
      <c r="BJ5844" s="319"/>
      <c r="BK5844" s="319"/>
      <c r="BL5844" s="319"/>
      <c r="BM5844" s="319"/>
      <c r="BN5844" s="319"/>
      <c r="BO5844" s="319"/>
      <c r="BP5844" s="953"/>
      <c r="BQ5844" s="319"/>
      <c r="BR5844" s="319"/>
      <c r="BS5844" s="330"/>
      <c r="BT5844" s="331"/>
      <c r="BU5844" s="920"/>
      <c r="BV5844" s="903"/>
      <c r="BW5844" s="908"/>
      <c r="BX5844" s="908"/>
      <c r="BY5844" s="331"/>
      <c r="BZ5844" s="331"/>
      <c r="CA5844" s="462"/>
      <c r="CB5844" s="319"/>
      <c r="CC5844" s="319"/>
      <c r="CD5844" s="319"/>
      <c r="CE5844" s="319"/>
      <c r="CF5844" s="319"/>
      <c r="CG5844" s="319"/>
      <c r="CH5844" s="318"/>
      <c r="CI5844" s="319"/>
      <c r="CJ5844" s="319"/>
      <c r="CK5844" s="342"/>
      <c r="CL5844" s="333"/>
      <c r="CM5844" s="1079"/>
      <c r="CN5844" s="1005"/>
      <c r="CO5844" s="1005"/>
      <c r="CP5844" s="1005"/>
    </row>
    <row r="5845">
      <c r="A5845" s="1257"/>
      <c r="B5845" s="1113"/>
      <c r="C5845" s="1107"/>
      <c r="D5845" s="103"/>
      <c r="E5845" s="1137"/>
      <c r="F5845" s="112"/>
      <c r="G5845" s="1110"/>
      <c r="H5845" s="1138"/>
      <c r="I5845" s="1138"/>
      <c r="J5845" s="1139"/>
      <c r="K5845" s="1111"/>
      <c r="L5845" s="1112"/>
      <c r="M5845" s="1113"/>
      <c r="N5845" s="110"/>
      <c r="O5845" s="1140"/>
      <c r="P5845" s="1115"/>
      <c r="Q5845" s="1116"/>
      <c r="R5845" s="1141"/>
      <c r="S5845" s="1113"/>
      <c r="T5845" s="1143"/>
      <c r="U5845" s="1108"/>
      <c r="V5845" s="1108"/>
      <c r="W5845" s="1108"/>
      <c r="X5845" s="1108"/>
      <c r="Y5845" s="1108"/>
      <c r="Z5845" s="1114"/>
      <c r="AA5845" s="1114"/>
      <c r="AB5845" s="1114"/>
      <c r="AC5845" s="1117"/>
      <c r="AD5845" s="1115"/>
      <c r="AE5845" s="1115"/>
      <c r="AF5845" s="1115"/>
      <c r="AG5845" s="1115"/>
      <c r="AH5845" s="1115"/>
      <c r="AI5845" s="1115"/>
      <c r="AJ5845" s="1117"/>
      <c r="AK5845" s="1118"/>
      <c r="AL5845" s="1115"/>
      <c r="AM5845" s="1115"/>
      <c r="AN5845" s="1115"/>
      <c r="AO5845" s="1115"/>
      <c r="AP5845" s="1115"/>
      <c r="AQ5845" s="1115"/>
      <c r="AR5845" s="1115"/>
      <c r="AS5845" s="1117"/>
      <c r="AT5845" s="1075"/>
      <c r="AU5845" s="1193"/>
      <c r="AV5845" s="330"/>
      <c r="AW5845" s="331"/>
      <c r="AX5845" s="331"/>
      <c r="AY5845" s="331"/>
      <c r="AZ5845" s="331"/>
      <c r="BA5845" s="331"/>
      <c r="BB5845" s="331"/>
      <c r="BC5845" s="331"/>
      <c r="BD5845" s="331"/>
      <c r="BE5845" s="333"/>
      <c r="BF5845" s="330"/>
      <c r="BG5845" s="333"/>
      <c r="BH5845" s="1119"/>
      <c r="BI5845" s="319"/>
      <c r="BJ5845" s="319"/>
      <c r="BK5845" s="319"/>
      <c r="BL5845" s="319"/>
      <c r="BM5845" s="319"/>
      <c r="BN5845" s="319"/>
      <c r="BO5845" s="319"/>
      <c r="BP5845" s="953"/>
      <c r="BQ5845" s="319"/>
      <c r="BR5845" s="319"/>
      <c r="BS5845" s="330"/>
      <c r="BT5845" s="331"/>
      <c r="BU5845" s="920"/>
      <c r="BV5845" s="903"/>
      <c r="BW5845" s="908"/>
      <c r="BX5845" s="908"/>
      <c r="BY5845" s="331"/>
      <c r="BZ5845" s="331"/>
      <c r="CA5845" s="462"/>
      <c r="CB5845" s="319"/>
      <c r="CC5845" s="319"/>
      <c r="CD5845" s="319"/>
      <c r="CE5845" s="319"/>
      <c r="CF5845" s="319"/>
      <c r="CG5845" s="319"/>
      <c r="CH5845" s="318"/>
      <c r="CI5845" s="319"/>
      <c r="CJ5845" s="319"/>
      <c r="CK5845" s="342"/>
      <c r="CL5845" s="333"/>
      <c r="CM5845" s="1079"/>
      <c r="CN5845" s="1005"/>
      <c r="CO5845" s="1005"/>
      <c r="CP5845" s="1005"/>
    </row>
    <row r="5846">
      <c r="A5846" s="1257"/>
      <c r="B5846" s="1113"/>
      <c r="C5846" s="1107"/>
      <c r="D5846" s="103"/>
      <c r="E5846" s="1137"/>
      <c r="F5846" s="112"/>
      <c r="G5846" s="1110"/>
      <c r="H5846" s="1138"/>
      <c r="I5846" s="1138"/>
      <c r="J5846" s="1139"/>
      <c r="K5846" s="1111"/>
      <c r="L5846" s="1112"/>
      <c r="M5846" s="1113"/>
      <c r="N5846" s="110"/>
      <c r="O5846" s="1140"/>
      <c r="P5846" s="1115"/>
      <c r="Q5846" s="1116"/>
      <c r="R5846" s="1141"/>
      <c r="S5846" s="1113"/>
      <c r="T5846" s="1143"/>
      <c r="U5846" s="1108"/>
      <c r="V5846" s="1108"/>
      <c r="W5846" s="1108"/>
      <c r="X5846" s="1108"/>
      <c r="Y5846" s="1108"/>
      <c r="Z5846" s="1114"/>
      <c r="AA5846" s="1114"/>
      <c r="AB5846" s="1114"/>
      <c r="AC5846" s="1117"/>
      <c r="AD5846" s="1115"/>
      <c r="AE5846" s="1115"/>
      <c r="AF5846" s="1115"/>
      <c r="AG5846" s="1115"/>
      <c r="AH5846" s="1115"/>
      <c r="AI5846" s="1115"/>
      <c r="AJ5846" s="1117"/>
      <c r="AK5846" s="1118"/>
      <c r="AL5846" s="1115"/>
      <c r="AM5846" s="1115"/>
      <c r="AN5846" s="1115"/>
      <c r="AO5846" s="1115"/>
      <c r="AP5846" s="1115"/>
      <c r="AQ5846" s="1115"/>
      <c r="AR5846" s="1115"/>
      <c r="AS5846" s="1117"/>
      <c r="AT5846" s="1075"/>
      <c r="AU5846" s="1193"/>
      <c r="AV5846" s="330"/>
      <c r="AW5846" s="331"/>
      <c r="AX5846" s="331"/>
      <c r="AY5846" s="331"/>
      <c r="AZ5846" s="331"/>
      <c r="BA5846" s="331"/>
      <c r="BB5846" s="331"/>
      <c r="BC5846" s="331"/>
      <c r="BD5846" s="331"/>
      <c r="BE5846" s="333"/>
      <c r="BF5846" s="330"/>
      <c r="BG5846" s="333"/>
      <c r="BH5846" s="1119"/>
      <c r="BI5846" s="319"/>
      <c r="BJ5846" s="319"/>
      <c r="BK5846" s="319"/>
      <c r="BL5846" s="319"/>
      <c r="BM5846" s="319"/>
      <c r="BN5846" s="319"/>
      <c r="BO5846" s="319"/>
      <c r="BP5846" s="953"/>
      <c r="BQ5846" s="319"/>
      <c r="BR5846" s="319"/>
      <c r="BS5846" s="330"/>
      <c r="BT5846" s="331"/>
      <c r="BU5846" s="920"/>
      <c r="BV5846" s="903"/>
      <c r="BW5846" s="908"/>
      <c r="BX5846" s="908"/>
      <c r="BY5846" s="331"/>
      <c r="BZ5846" s="331"/>
      <c r="CA5846" s="462"/>
      <c r="CB5846" s="319"/>
      <c r="CC5846" s="319"/>
      <c r="CD5846" s="319"/>
      <c r="CE5846" s="319"/>
      <c r="CF5846" s="319"/>
      <c r="CG5846" s="319"/>
      <c r="CH5846" s="318"/>
      <c r="CI5846" s="319"/>
      <c r="CJ5846" s="319"/>
      <c r="CK5846" s="342"/>
      <c r="CL5846" s="333"/>
      <c r="CM5846" s="1079"/>
      <c r="CN5846" s="1005"/>
      <c r="CO5846" s="1005"/>
      <c r="CP5846" s="1005"/>
    </row>
    <row r="5847">
      <c r="A5847" s="1257"/>
      <c r="B5847" s="1113"/>
      <c r="C5847" s="1107"/>
      <c r="D5847" s="103"/>
      <c r="E5847" s="1137"/>
      <c r="F5847" s="112"/>
      <c r="G5847" s="1110"/>
      <c r="H5847" s="1138"/>
      <c r="I5847" s="1138"/>
      <c r="J5847" s="1139"/>
      <c r="K5847" s="1111"/>
      <c r="L5847" s="1112"/>
      <c r="M5847" s="1113"/>
      <c r="N5847" s="110"/>
      <c r="O5847" s="1140"/>
      <c r="P5847" s="1115"/>
      <c r="Q5847" s="1116"/>
      <c r="R5847" s="1141"/>
      <c r="S5847" s="1113"/>
      <c r="T5847" s="1143"/>
      <c r="U5847" s="1108"/>
      <c r="V5847" s="1108"/>
      <c r="W5847" s="1108"/>
      <c r="X5847" s="1108"/>
      <c r="Y5847" s="1108"/>
      <c r="Z5847" s="1114"/>
      <c r="AA5847" s="1114"/>
      <c r="AB5847" s="1114"/>
      <c r="AC5847" s="1117"/>
      <c r="AD5847" s="1115"/>
      <c r="AE5847" s="1115"/>
      <c r="AF5847" s="1115"/>
      <c r="AG5847" s="1115"/>
      <c r="AH5847" s="1115"/>
      <c r="AI5847" s="1115"/>
      <c r="AJ5847" s="1117"/>
      <c r="AK5847" s="1118"/>
      <c r="AL5847" s="1115"/>
      <c r="AM5847" s="1115"/>
      <c r="AN5847" s="1115"/>
      <c r="AO5847" s="1115"/>
      <c r="AP5847" s="1115"/>
      <c r="AQ5847" s="1115"/>
      <c r="AR5847" s="1115"/>
      <c r="AS5847" s="1117"/>
      <c r="AT5847" s="1075"/>
      <c r="AU5847" s="1193"/>
      <c r="AV5847" s="330"/>
      <c r="AW5847" s="331"/>
      <c r="AX5847" s="331"/>
      <c r="AY5847" s="331"/>
      <c r="AZ5847" s="331"/>
      <c r="BA5847" s="331"/>
      <c r="BB5847" s="331"/>
      <c r="BC5847" s="331"/>
      <c r="BD5847" s="331"/>
      <c r="BE5847" s="333"/>
      <c r="BF5847" s="330"/>
      <c r="BG5847" s="333"/>
      <c r="BH5847" s="1119"/>
      <c r="BI5847" s="319"/>
      <c r="BJ5847" s="319"/>
      <c r="BK5847" s="319"/>
      <c r="BL5847" s="319"/>
      <c r="BM5847" s="319"/>
      <c r="BN5847" s="319"/>
      <c r="BO5847" s="319"/>
      <c r="BP5847" s="953"/>
      <c r="BQ5847" s="319"/>
      <c r="BR5847" s="319"/>
      <c r="BS5847" s="330"/>
      <c r="BT5847" s="331"/>
      <c r="BU5847" s="920"/>
      <c r="BV5847" s="903"/>
      <c r="BW5847" s="908"/>
      <c r="BX5847" s="908"/>
      <c r="BY5847" s="331"/>
      <c r="BZ5847" s="331"/>
      <c r="CA5847" s="462"/>
      <c r="CB5847" s="319"/>
      <c r="CC5847" s="319"/>
      <c r="CD5847" s="319"/>
      <c r="CE5847" s="319"/>
      <c r="CF5847" s="319"/>
      <c r="CG5847" s="319"/>
      <c r="CH5847" s="318"/>
      <c r="CI5847" s="319"/>
      <c r="CJ5847" s="319"/>
      <c r="CK5847" s="342"/>
      <c r="CL5847" s="333"/>
      <c r="CM5847" s="1079"/>
      <c r="CN5847" s="1005"/>
      <c r="CO5847" s="1005"/>
      <c r="CP5847" s="1005"/>
    </row>
    <row r="5848">
      <c r="A5848" s="1257"/>
      <c r="B5848" s="1113"/>
      <c r="C5848" s="1107"/>
      <c r="D5848" s="103"/>
      <c r="E5848" s="1137"/>
      <c r="F5848" s="112"/>
      <c r="G5848" s="1110"/>
      <c r="H5848" s="1138"/>
      <c r="I5848" s="1138"/>
      <c r="J5848" s="1139"/>
      <c r="K5848" s="1111"/>
      <c r="L5848" s="1112"/>
      <c r="M5848" s="1113"/>
      <c r="N5848" s="110"/>
      <c r="O5848" s="1140"/>
      <c r="P5848" s="1115"/>
      <c r="Q5848" s="1116"/>
      <c r="R5848" s="1141"/>
      <c r="S5848" s="1113"/>
      <c r="T5848" s="1143"/>
      <c r="U5848" s="1108"/>
      <c r="V5848" s="1108"/>
      <c r="W5848" s="1108"/>
      <c r="X5848" s="1108"/>
      <c r="Y5848" s="1108"/>
      <c r="Z5848" s="1114"/>
      <c r="AA5848" s="1114"/>
      <c r="AB5848" s="1114"/>
      <c r="AC5848" s="1117"/>
      <c r="AD5848" s="1115"/>
      <c r="AE5848" s="1115"/>
      <c r="AF5848" s="1115"/>
      <c r="AG5848" s="1115"/>
      <c r="AH5848" s="1115"/>
      <c r="AI5848" s="1115"/>
      <c r="AJ5848" s="1117"/>
      <c r="AK5848" s="1118"/>
      <c r="AL5848" s="1115"/>
      <c r="AM5848" s="1115"/>
      <c r="AN5848" s="1115"/>
      <c r="AO5848" s="1115"/>
      <c r="AP5848" s="1115"/>
      <c r="AQ5848" s="1115"/>
      <c r="AR5848" s="1115"/>
      <c r="AS5848" s="1117"/>
      <c r="AT5848" s="1075"/>
      <c r="AU5848" s="1193"/>
      <c r="AV5848" s="330"/>
      <c r="AW5848" s="331"/>
      <c r="AX5848" s="331"/>
      <c r="AY5848" s="331"/>
      <c r="AZ5848" s="331"/>
      <c r="BA5848" s="331"/>
      <c r="BB5848" s="331"/>
      <c r="BC5848" s="331"/>
      <c r="BD5848" s="331"/>
      <c r="BE5848" s="333"/>
      <c r="BF5848" s="330"/>
      <c r="BG5848" s="333"/>
      <c r="BH5848" s="1119"/>
      <c r="BI5848" s="319"/>
      <c r="BJ5848" s="319"/>
      <c r="BK5848" s="319"/>
      <c r="BL5848" s="319"/>
      <c r="BM5848" s="319"/>
      <c r="BN5848" s="319"/>
      <c r="BO5848" s="319"/>
      <c r="BP5848" s="953"/>
      <c r="BQ5848" s="319"/>
      <c r="BR5848" s="319"/>
      <c r="BS5848" s="330"/>
      <c r="BT5848" s="331"/>
      <c r="BU5848" s="920"/>
      <c r="BV5848" s="903"/>
      <c r="BW5848" s="908"/>
      <c r="BX5848" s="908"/>
      <c r="BY5848" s="331"/>
      <c r="BZ5848" s="331"/>
      <c r="CA5848" s="462"/>
      <c r="CB5848" s="319"/>
      <c r="CC5848" s="319"/>
      <c r="CD5848" s="319"/>
      <c r="CE5848" s="319"/>
      <c r="CF5848" s="319"/>
      <c r="CG5848" s="319"/>
      <c r="CH5848" s="318"/>
      <c r="CI5848" s="319"/>
      <c r="CJ5848" s="319"/>
      <c r="CK5848" s="342"/>
      <c r="CL5848" s="333"/>
      <c r="CM5848" s="1079"/>
      <c r="CN5848" s="1005"/>
      <c r="CO5848" s="1005"/>
      <c r="CP5848" s="1005"/>
    </row>
    <row r="5849">
      <c r="A5849" s="1257"/>
      <c r="B5849" s="1113"/>
      <c r="C5849" s="1107"/>
      <c r="D5849" s="103"/>
      <c r="E5849" s="1137"/>
      <c r="F5849" s="112"/>
      <c r="G5849" s="1110"/>
      <c r="H5849" s="1138"/>
      <c r="I5849" s="1138"/>
      <c r="J5849" s="1139"/>
      <c r="K5849" s="1111"/>
      <c r="L5849" s="1112"/>
      <c r="M5849" s="1113"/>
      <c r="N5849" s="110"/>
      <c r="O5849" s="1140"/>
      <c r="P5849" s="1115"/>
      <c r="Q5849" s="1116"/>
      <c r="R5849" s="1141"/>
      <c r="S5849" s="1113"/>
      <c r="T5849" s="1143"/>
      <c r="U5849" s="1108"/>
      <c r="V5849" s="1108"/>
      <c r="W5849" s="1108"/>
      <c r="X5849" s="1108"/>
      <c r="Y5849" s="1108"/>
      <c r="Z5849" s="1114"/>
      <c r="AA5849" s="1114"/>
      <c r="AB5849" s="1114"/>
      <c r="AC5849" s="1117"/>
      <c r="AD5849" s="1115"/>
      <c r="AE5849" s="1115"/>
      <c r="AF5849" s="1115"/>
      <c r="AG5849" s="1115"/>
      <c r="AH5849" s="1115"/>
      <c r="AI5849" s="1115"/>
      <c r="AJ5849" s="1117"/>
      <c r="AK5849" s="1118"/>
      <c r="AL5849" s="1115"/>
      <c r="AM5849" s="1115"/>
      <c r="AN5849" s="1115"/>
      <c r="AO5849" s="1115"/>
      <c r="AP5849" s="1115"/>
      <c r="AQ5849" s="1115"/>
      <c r="AR5849" s="1115"/>
      <c r="AS5849" s="1117"/>
      <c r="AT5849" s="1075"/>
      <c r="AU5849" s="1193"/>
      <c r="AV5849" s="330"/>
      <c r="AW5849" s="331"/>
      <c r="AX5849" s="331"/>
      <c r="AY5849" s="331"/>
      <c r="AZ5849" s="331"/>
      <c r="BA5849" s="331"/>
      <c r="BB5849" s="331"/>
      <c r="BC5849" s="331"/>
      <c r="BD5849" s="331"/>
      <c r="BE5849" s="333"/>
      <c r="BF5849" s="330"/>
      <c r="BG5849" s="333"/>
      <c r="BH5849" s="1119"/>
      <c r="BI5849" s="319"/>
      <c r="BJ5849" s="319"/>
      <c r="BK5849" s="319"/>
      <c r="BL5849" s="319"/>
      <c r="BM5849" s="319"/>
      <c r="BN5849" s="319"/>
      <c r="BO5849" s="319"/>
      <c r="BP5849" s="953"/>
      <c r="BQ5849" s="319"/>
      <c r="BR5849" s="319"/>
      <c r="BS5849" s="330"/>
      <c r="BT5849" s="331"/>
      <c r="BU5849" s="920"/>
      <c r="BV5849" s="903"/>
      <c r="BW5849" s="908"/>
      <c r="BX5849" s="908"/>
      <c r="BY5849" s="331"/>
      <c r="BZ5849" s="331"/>
      <c r="CA5849" s="462"/>
      <c r="CB5849" s="319"/>
      <c r="CC5849" s="319"/>
      <c r="CD5849" s="319"/>
      <c r="CE5849" s="319"/>
      <c r="CF5849" s="319"/>
      <c r="CG5849" s="319"/>
      <c r="CH5849" s="318"/>
      <c r="CI5849" s="319"/>
      <c r="CJ5849" s="319"/>
      <c r="CK5849" s="342"/>
      <c r="CL5849" s="333"/>
      <c r="CM5849" s="1079"/>
      <c r="CN5849" s="1005"/>
      <c r="CO5849" s="1005"/>
      <c r="CP5849" s="1005"/>
    </row>
    <row r="5850">
      <c r="A5850" s="1257"/>
      <c r="B5850" s="1113"/>
      <c r="C5850" s="1107"/>
      <c r="D5850" s="103"/>
      <c r="E5850" s="1137"/>
      <c r="F5850" s="112"/>
      <c r="G5850" s="1110"/>
      <c r="H5850" s="1138"/>
      <c r="I5850" s="1138"/>
      <c r="J5850" s="1139"/>
      <c r="K5850" s="1111"/>
      <c r="L5850" s="1112"/>
      <c r="M5850" s="1113"/>
      <c r="N5850" s="110"/>
      <c r="O5850" s="1140"/>
      <c r="P5850" s="1115"/>
      <c r="Q5850" s="1116"/>
      <c r="R5850" s="1141"/>
      <c r="S5850" s="1113"/>
      <c r="T5850" s="1143"/>
      <c r="U5850" s="1108"/>
      <c r="V5850" s="1108"/>
      <c r="W5850" s="1108"/>
      <c r="X5850" s="1108"/>
      <c r="Y5850" s="1108"/>
      <c r="Z5850" s="1114"/>
      <c r="AA5850" s="1114"/>
      <c r="AB5850" s="1114"/>
      <c r="AC5850" s="1117"/>
      <c r="AD5850" s="1115"/>
      <c r="AE5850" s="1115"/>
      <c r="AF5850" s="1115"/>
      <c r="AG5850" s="1115"/>
      <c r="AH5850" s="1115"/>
      <c r="AI5850" s="1115"/>
      <c r="AJ5850" s="1117"/>
      <c r="AK5850" s="1118"/>
      <c r="AL5850" s="1115"/>
      <c r="AM5850" s="1115"/>
      <c r="AN5850" s="1115"/>
      <c r="AO5850" s="1115"/>
      <c r="AP5850" s="1115"/>
      <c r="AQ5850" s="1115"/>
      <c r="AR5850" s="1115"/>
      <c r="AS5850" s="1117"/>
      <c r="AT5850" s="1075"/>
      <c r="AU5850" s="1193"/>
      <c r="AV5850" s="330"/>
      <c r="AW5850" s="331"/>
      <c r="AX5850" s="331"/>
      <c r="AY5850" s="331"/>
      <c r="AZ5850" s="331"/>
      <c r="BA5850" s="331"/>
      <c r="BB5850" s="331"/>
      <c r="BC5850" s="331"/>
      <c r="BD5850" s="331"/>
      <c r="BE5850" s="333"/>
      <c r="BF5850" s="330"/>
      <c r="BG5850" s="333"/>
      <c r="BH5850" s="1119"/>
      <c r="BI5850" s="319"/>
      <c r="BJ5850" s="319"/>
      <c r="BK5850" s="319"/>
      <c r="BL5850" s="319"/>
      <c r="BM5850" s="319"/>
      <c r="BN5850" s="319"/>
      <c r="BO5850" s="319"/>
      <c r="BP5850" s="953"/>
      <c r="BQ5850" s="319"/>
      <c r="BR5850" s="319"/>
      <c r="BS5850" s="330"/>
      <c r="BT5850" s="331"/>
      <c r="BU5850" s="920"/>
      <c r="BV5850" s="903"/>
      <c r="BW5850" s="908"/>
      <c r="BX5850" s="908"/>
      <c r="BY5850" s="331"/>
      <c r="BZ5850" s="331"/>
      <c r="CA5850" s="462"/>
      <c r="CB5850" s="319"/>
      <c r="CC5850" s="319"/>
      <c r="CD5850" s="319"/>
      <c r="CE5850" s="319"/>
      <c r="CF5850" s="319"/>
      <c r="CG5850" s="319"/>
      <c r="CH5850" s="318"/>
      <c r="CI5850" s="319"/>
      <c r="CJ5850" s="319"/>
      <c r="CK5850" s="342"/>
      <c r="CL5850" s="333"/>
      <c r="CM5850" s="1079"/>
      <c r="CN5850" s="1005"/>
      <c r="CO5850" s="1005"/>
      <c r="CP5850" s="1005"/>
    </row>
    <row r="5851">
      <c r="A5851" s="1257"/>
      <c r="B5851" s="1113"/>
      <c r="C5851" s="1107"/>
      <c r="D5851" s="103"/>
      <c r="E5851" s="1137"/>
      <c r="F5851" s="112"/>
      <c r="G5851" s="1110"/>
      <c r="H5851" s="1138"/>
      <c r="I5851" s="1138"/>
      <c r="J5851" s="1139"/>
      <c r="K5851" s="1111"/>
      <c r="L5851" s="1112"/>
      <c r="M5851" s="1113"/>
      <c r="N5851" s="110"/>
      <c r="O5851" s="1140"/>
      <c r="P5851" s="1115"/>
      <c r="Q5851" s="1116"/>
      <c r="R5851" s="1141"/>
      <c r="S5851" s="1113"/>
      <c r="T5851" s="1143"/>
      <c r="U5851" s="1108"/>
      <c r="V5851" s="1108"/>
      <c r="W5851" s="1108"/>
      <c r="X5851" s="1108"/>
      <c r="Y5851" s="1108"/>
      <c r="Z5851" s="1114"/>
      <c r="AA5851" s="1114"/>
      <c r="AB5851" s="1114"/>
      <c r="AC5851" s="1117"/>
      <c r="AD5851" s="1115"/>
      <c r="AE5851" s="1115"/>
      <c r="AF5851" s="1115"/>
      <c r="AG5851" s="1115"/>
      <c r="AH5851" s="1115"/>
      <c r="AI5851" s="1115"/>
      <c r="AJ5851" s="1117"/>
      <c r="AK5851" s="1118"/>
      <c r="AL5851" s="1115"/>
      <c r="AM5851" s="1115"/>
      <c r="AN5851" s="1115"/>
      <c r="AO5851" s="1115"/>
      <c r="AP5851" s="1115"/>
      <c r="AQ5851" s="1115"/>
      <c r="AR5851" s="1115"/>
      <c r="AS5851" s="1117"/>
      <c r="AT5851" s="1075"/>
      <c r="AU5851" s="1193"/>
      <c r="AV5851" s="330"/>
      <c r="AW5851" s="331"/>
      <c r="AX5851" s="331"/>
      <c r="AY5851" s="331"/>
      <c r="AZ5851" s="331"/>
      <c r="BA5851" s="331"/>
      <c r="BB5851" s="331"/>
      <c r="BC5851" s="331"/>
      <c r="BD5851" s="331"/>
      <c r="BE5851" s="333"/>
      <c r="BF5851" s="330"/>
      <c r="BG5851" s="333"/>
      <c r="BH5851" s="1119"/>
      <c r="BI5851" s="319"/>
      <c r="BJ5851" s="319"/>
      <c r="BK5851" s="319"/>
      <c r="BL5851" s="319"/>
      <c r="BM5851" s="319"/>
      <c r="BN5851" s="319"/>
      <c r="BO5851" s="319"/>
      <c r="BP5851" s="953"/>
      <c r="BQ5851" s="319"/>
      <c r="BR5851" s="319"/>
      <c r="BS5851" s="330"/>
      <c r="BT5851" s="331"/>
      <c r="BU5851" s="920"/>
      <c r="BV5851" s="903"/>
      <c r="BW5851" s="908"/>
      <c r="BX5851" s="908"/>
      <c r="BY5851" s="331"/>
      <c r="BZ5851" s="331"/>
      <c r="CA5851" s="462"/>
      <c r="CB5851" s="319"/>
      <c r="CC5851" s="319"/>
      <c r="CD5851" s="319"/>
      <c r="CE5851" s="319"/>
      <c r="CF5851" s="319"/>
      <c r="CG5851" s="319"/>
      <c r="CH5851" s="318"/>
      <c r="CI5851" s="319"/>
      <c r="CJ5851" s="319"/>
      <c r="CK5851" s="342"/>
      <c r="CL5851" s="333"/>
      <c r="CM5851" s="1079"/>
      <c r="CN5851" s="1005"/>
      <c r="CO5851" s="1005"/>
      <c r="CP5851" s="1005"/>
    </row>
    <row r="5852">
      <c r="A5852" s="1257"/>
      <c r="B5852" s="1113"/>
      <c r="C5852" s="1107"/>
      <c r="D5852" s="103"/>
      <c r="E5852" s="1137"/>
      <c r="F5852" s="112"/>
      <c r="G5852" s="1110"/>
      <c r="H5852" s="1138"/>
      <c r="I5852" s="1138"/>
      <c r="J5852" s="1139"/>
      <c r="K5852" s="1111"/>
      <c r="L5852" s="1112"/>
      <c r="M5852" s="1113"/>
      <c r="N5852" s="110"/>
      <c r="O5852" s="1140"/>
      <c r="P5852" s="1115"/>
      <c r="Q5852" s="1116"/>
      <c r="R5852" s="1141"/>
      <c r="S5852" s="1113"/>
      <c r="T5852" s="1143"/>
      <c r="U5852" s="1108"/>
      <c r="V5852" s="1108"/>
      <c r="W5852" s="1108"/>
      <c r="X5852" s="1108"/>
      <c r="Y5852" s="1108"/>
      <c r="Z5852" s="1114"/>
      <c r="AA5852" s="1114"/>
      <c r="AB5852" s="1114"/>
      <c r="AC5852" s="1117"/>
      <c r="AD5852" s="1115"/>
      <c r="AE5852" s="1115"/>
      <c r="AF5852" s="1115"/>
      <c r="AG5852" s="1115"/>
      <c r="AH5852" s="1115"/>
      <c r="AI5852" s="1115"/>
      <c r="AJ5852" s="1117"/>
      <c r="AK5852" s="1118"/>
      <c r="AL5852" s="1115"/>
      <c r="AM5852" s="1115"/>
      <c r="AN5852" s="1115"/>
      <c r="AO5852" s="1115"/>
      <c r="AP5852" s="1115"/>
      <c r="AQ5852" s="1115"/>
      <c r="AR5852" s="1115"/>
      <c r="AS5852" s="1117"/>
      <c r="AT5852" s="1075"/>
      <c r="AU5852" s="1193"/>
      <c r="AV5852" s="330"/>
      <c r="AW5852" s="331"/>
      <c r="AX5852" s="331"/>
      <c r="AY5852" s="331"/>
      <c r="AZ5852" s="331"/>
      <c r="BA5852" s="331"/>
      <c r="BB5852" s="331"/>
      <c r="BC5852" s="331"/>
      <c r="BD5852" s="331"/>
      <c r="BE5852" s="333"/>
      <c r="BF5852" s="330"/>
      <c r="BG5852" s="333"/>
      <c r="BH5852" s="1119"/>
      <c r="BI5852" s="319"/>
      <c r="BJ5852" s="319"/>
      <c r="BK5852" s="319"/>
      <c r="BL5852" s="319"/>
      <c r="BM5852" s="319"/>
      <c r="BN5852" s="319"/>
      <c r="BO5852" s="319"/>
      <c r="BP5852" s="953"/>
      <c r="BQ5852" s="319"/>
      <c r="BR5852" s="319"/>
      <c r="BS5852" s="330"/>
      <c r="BT5852" s="331"/>
      <c r="BU5852" s="920"/>
      <c r="BV5852" s="903"/>
      <c r="BW5852" s="908"/>
      <c r="BX5852" s="908"/>
      <c r="BY5852" s="331"/>
      <c r="BZ5852" s="331"/>
      <c r="CA5852" s="462"/>
      <c r="CB5852" s="319"/>
      <c r="CC5852" s="319"/>
      <c r="CD5852" s="319"/>
      <c r="CE5852" s="319"/>
      <c r="CF5852" s="319"/>
      <c r="CG5852" s="319"/>
      <c r="CH5852" s="318"/>
      <c r="CI5852" s="319"/>
      <c r="CJ5852" s="319"/>
      <c r="CK5852" s="342"/>
      <c r="CL5852" s="333"/>
      <c r="CM5852" s="1079"/>
      <c r="CN5852" s="1005"/>
      <c r="CO5852" s="1005"/>
      <c r="CP5852" s="1005"/>
    </row>
    <row r="5853">
      <c r="A5853" s="1257"/>
      <c r="B5853" s="1113"/>
      <c r="C5853" s="1107"/>
      <c r="D5853" s="103"/>
      <c r="E5853" s="1137"/>
      <c r="F5853" s="112"/>
      <c r="G5853" s="1110"/>
      <c r="H5853" s="1138"/>
      <c r="I5853" s="1138"/>
      <c r="J5853" s="1139"/>
      <c r="K5853" s="1111"/>
      <c r="L5853" s="1112"/>
      <c r="M5853" s="1113"/>
      <c r="N5853" s="110"/>
      <c r="O5853" s="1140"/>
      <c r="P5853" s="1115"/>
      <c r="Q5853" s="1116"/>
      <c r="R5853" s="1141"/>
      <c r="S5853" s="1113"/>
      <c r="T5853" s="1143"/>
      <c r="U5853" s="1108"/>
      <c r="V5853" s="1108"/>
      <c r="W5853" s="1108"/>
      <c r="X5853" s="1108"/>
      <c r="Y5853" s="1108"/>
      <c r="Z5853" s="1114"/>
      <c r="AA5853" s="1114"/>
      <c r="AB5853" s="1114"/>
      <c r="AC5853" s="1117"/>
      <c r="AD5853" s="1115"/>
      <c r="AE5853" s="1115"/>
      <c r="AF5853" s="1115"/>
      <c r="AG5853" s="1115"/>
      <c r="AH5853" s="1115"/>
      <c r="AI5853" s="1115"/>
      <c r="AJ5853" s="1117"/>
      <c r="AK5853" s="1118"/>
      <c r="AL5853" s="1115"/>
      <c r="AM5853" s="1115"/>
      <c r="AN5853" s="1115"/>
      <c r="AO5853" s="1115"/>
      <c r="AP5853" s="1115"/>
      <c r="AQ5853" s="1115"/>
      <c r="AR5853" s="1115"/>
      <c r="AS5853" s="1117"/>
      <c r="AT5853" s="1075"/>
      <c r="AU5853" s="1193"/>
      <c r="AV5853" s="330"/>
      <c r="AW5853" s="331"/>
      <c r="AX5853" s="331"/>
      <c r="AY5853" s="331"/>
      <c r="AZ5853" s="331"/>
      <c r="BA5853" s="331"/>
      <c r="BB5853" s="331"/>
      <c r="BC5853" s="331"/>
      <c r="BD5853" s="331"/>
      <c r="BE5853" s="333"/>
      <c r="BF5853" s="330"/>
      <c r="BG5853" s="333"/>
      <c r="BH5853" s="1119"/>
      <c r="BI5853" s="319"/>
      <c r="BJ5853" s="319"/>
      <c r="BK5853" s="319"/>
      <c r="BL5853" s="319"/>
      <c r="BM5853" s="319"/>
      <c r="BN5853" s="319"/>
      <c r="BO5853" s="319"/>
      <c r="BP5853" s="953"/>
      <c r="BQ5853" s="319"/>
      <c r="BR5853" s="319"/>
      <c r="BS5853" s="330"/>
      <c r="BT5853" s="331"/>
      <c r="BU5853" s="920"/>
      <c r="BV5853" s="903"/>
      <c r="BW5853" s="908"/>
      <c r="BX5853" s="908"/>
      <c r="BY5853" s="331"/>
      <c r="BZ5853" s="331"/>
      <c r="CA5853" s="462"/>
      <c r="CB5853" s="319"/>
      <c r="CC5853" s="319"/>
      <c r="CD5853" s="319"/>
      <c r="CE5853" s="319"/>
      <c r="CF5853" s="319"/>
      <c r="CG5853" s="319"/>
      <c r="CH5853" s="318"/>
      <c r="CI5853" s="319"/>
      <c r="CJ5853" s="319"/>
      <c r="CK5853" s="342"/>
      <c r="CL5853" s="333"/>
      <c r="CM5853" s="1079"/>
      <c r="CN5853" s="1005"/>
      <c r="CO5853" s="1005"/>
      <c r="CP5853" s="1005"/>
    </row>
    <row r="5854">
      <c r="A5854" s="1257"/>
      <c r="B5854" s="1113"/>
      <c r="C5854" s="1107"/>
      <c r="D5854" s="103"/>
      <c r="E5854" s="1137"/>
      <c r="F5854" s="112"/>
      <c r="G5854" s="1110"/>
      <c r="H5854" s="1138"/>
      <c r="I5854" s="1138"/>
      <c r="J5854" s="1139"/>
      <c r="K5854" s="1111"/>
      <c r="L5854" s="1112"/>
      <c r="M5854" s="1113"/>
      <c r="N5854" s="110"/>
      <c r="O5854" s="1140"/>
      <c r="P5854" s="1115"/>
      <c r="Q5854" s="1116"/>
      <c r="R5854" s="1141"/>
      <c r="S5854" s="1113"/>
      <c r="T5854" s="1143"/>
      <c r="U5854" s="1108"/>
      <c r="V5854" s="1108"/>
      <c r="W5854" s="1108"/>
      <c r="X5854" s="1108"/>
      <c r="Y5854" s="1108"/>
      <c r="Z5854" s="1114"/>
      <c r="AA5854" s="1114"/>
      <c r="AB5854" s="1114"/>
      <c r="AC5854" s="1117"/>
      <c r="AD5854" s="1115"/>
      <c r="AE5854" s="1115"/>
      <c r="AF5854" s="1115"/>
      <c r="AG5854" s="1115"/>
      <c r="AH5854" s="1115"/>
      <c r="AI5854" s="1115"/>
      <c r="AJ5854" s="1117"/>
      <c r="AK5854" s="1118"/>
      <c r="AL5854" s="1115"/>
      <c r="AM5854" s="1115"/>
      <c r="AN5854" s="1115"/>
      <c r="AO5854" s="1115"/>
      <c r="AP5854" s="1115"/>
      <c r="AQ5854" s="1115"/>
      <c r="AR5854" s="1115"/>
      <c r="AS5854" s="1117"/>
      <c r="AT5854" s="1075"/>
      <c r="AU5854" s="1193"/>
      <c r="AV5854" s="330"/>
      <c r="AW5854" s="331"/>
      <c r="AX5854" s="331"/>
      <c r="AY5854" s="331"/>
      <c r="AZ5854" s="331"/>
      <c r="BA5854" s="331"/>
      <c r="BB5854" s="331"/>
      <c r="BC5854" s="331"/>
      <c r="BD5854" s="331"/>
      <c r="BE5854" s="333"/>
      <c r="BF5854" s="330"/>
      <c r="BG5854" s="333"/>
      <c r="BH5854" s="1119"/>
      <c r="BI5854" s="319"/>
      <c r="BJ5854" s="319"/>
      <c r="BK5854" s="319"/>
      <c r="BL5854" s="319"/>
      <c r="BM5854" s="319"/>
      <c r="BN5854" s="319"/>
      <c r="BO5854" s="319"/>
      <c r="BP5854" s="953"/>
      <c r="BQ5854" s="319"/>
      <c r="BR5854" s="319"/>
      <c r="BS5854" s="330"/>
      <c r="BT5854" s="331"/>
      <c r="BU5854" s="920"/>
      <c r="BV5854" s="903"/>
      <c r="BW5854" s="908"/>
      <c r="BX5854" s="908"/>
      <c r="BY5854" s="331"/>
      <c r="BZ5854" s="331"/>
      <c r="CA5854" s="462"/>
      <c r="CB5854" s="319"/>
      <c r="CC5854" s="319"/>
      <c r="CD5854" s="319"/>
      <c r="CE5854" s="319"/>
      <c r="CF5854" s="319"/>
      <c r="CG5854" s="319"/>
      <c r="CH5854" s="318"/>
      <c r="CI5854" s="319"/>
      <c r="CJ5854" s="319"/>
      <c r="CK5854" s="342"/>
      <c r="CL5854" s="333"/>
      <c r="CM5854" s="1079"/>
      <c r="CN5854" s="1005"/>
      <c r="CO5854" s="1005"/>
      <c r="CP5854" s="1005"/>
    </row>
    <row r="5855">
      <c r="A5855" s="1257"/>
      <c r="B5855" s="1113"/>
      <c r="C5855" s="1107"/>
      <c r="D5855" s="103"/>
      <c r="E5855" s="1137"/>
      <c r="F5855" s="112"/>
      <c r="G5855" s="1110"/>
      <c r="H5855" s="1138"/>
      <c r="I5855" s="1138"/>
      <c r="J5855" s="1139"/>
      <c r="K5855" s="1111"/>
      <c r="L5855" s="1112"/>
      <c r="M5855" s="1113"/>
      <c r="N5855" s="110"/>
      <c r="O5855" s="1140"/>
      <c r="P5855" s="1115"/>
      <c r="Q5855" s="1116"/>
      <c r="R5855" s="1141"/>
      <c r="S5855" s="1113"/>
      <c r="T5855" s="1143"/>
      <c r="U5855" s="1108"/>
      <c r="V5855" s="1108"/>
      <c r="W5855" s="1108"/>
      <c r="X5855" s="1108"/>
      <c r="Y5855" s="1108"/>
      <c r="Z5855" s="1114"/>
      <c r="AA5855" s="1114"/>
      <c r="AB5855" s="1114"/>
      <c r="AC5855" s="1117"/>
      <c r="AD5855" s="1115"/>
      <c r="AE5855" s="1115"/>
      <c r="AF5855" s="1115"/>
      <c r="AG5855" s="1115"/>
      <c r="AH5855" s="1115"/>
      <c r="AI5855" s="1115"/>
      <c r="AJ5855" s="1117"/>
      <c r="AK5855" s="1118"/>
      <c r="AL5855" s="1115"/>
      <c r="AM5855" s="1115"/>
      <c r="AN5855" s="1115"/>
      <c r="AO5855" s="1115"/>
      <c r="AP5855" s="1115"/>
      <c r="AQ5855" s="1115"/>
      <c r="AR5855" s="1115"/>
      <c r="AS5855" s="1117"/>
      <c r="AT5855" s="1075"/>
      <c r="AU5855" s="1193"/>
      <c r="AV5855" s="330"/>
      <c r="AW5855" s="331"/>
      <c r="AX5855" s="331"/>
      <c r="AY5855" s="331"/>
      <c r="AZ5855" s="331"/>
      <c r="BA5855" s="331"/>
      <c r="BB5855" s="331"/>
      <c r="BC5855" s="331"/>
      <c r="BD5855" s="331"/>
      <c r="BE5855" s="333"/>
      <c r="BF5855" s="330"/>
      <c r="BG5855" s="333"/>
      <c r="BH5855" s="1119"/>
      <c r="BI5855" s="319"/>
      <c r="BJ5855" s="319"/>
      <c r="BK5855" s="319"/>
      <c r="BL5855" s="319"/>
      <c r="BM5855" s="319"/>
      <c r="BN5855" s="319"/>
      <c r="BO5855" s="319"/>
      <c r="BP5855" s="953"/>
      <c r="BQ5855" s="319"/>
      <c r="BR5855" s="319"/>
      <c r="BS5855" s="330"/>
      <c r="BT5855" s="331"/>
      <c r="BU5855" s="920"/>
      <c r="BV5855" s="903"/>
      <c r="BW5855" s="908"/>
      <c r="BX5855" s="908"/>
      <c r="BY5855" s="331"/>
      <c r="BZ5855" s="331"/>
      <c r="CA5855" s="462"/>
      <c r="CB5855" s="319"/>
      <c r="CC5855" s="319"/>
      <c r="CD5855" s="319"/>
      <c r="CE5855" s="319"/>
      <c r="CF5855" s="319"/>
      <c r="CG5855" s="319"/>
      <c r="CH5855" s="318"/>
      <c r="CI5855" s="319"/>
      <c r="CJ5855" s="319"/>
      <c r="CK5855" s="342"/>
      <c r="CL5855" s="333"/>
      <c r="CM5855" s="1079"/>
      <c r="CN5855" s="1005"/>
      <c r="CO5855" s="1005"/>
      <c r="CP5855" s="1005"/>
    </row>
    <row r="5856">
      <c r="A5856" s="1257"/>
      <c r="B5856" s="1113"/>
      <c r="C5856" s="1107"/>
      <c r="D5856" s="103"/>
      <c r="E5856" s="1137"/>
      <c r="F5856" s="112"/>
      <c r="G5856" s="1110"/>
      <c r="H5856" s="1138"/>
      <c r="I5856" s="1138"/>
      <c r="J5856" s="1139"/>
      <c r="K5856" s="1111"/>
      <c r="L5856" s="1112"/>
      <c r="M5856" s="1113"/>
      <c r="N5856" s="110"/>
      <c r="O5856" s="1140"/>
      <c r="P5856" s="1115"/>
      <c r="Q5856" s="1116"/>
      <c r="R5856" s="1141"/>
      <c r="S5856" s="1113"/>
      <c r="T5856" s="1143"/>
      <c r="U5856" s="1108"/>
      <c r="V5856" s="1108"/>
      <c r="W5856" s="1108"/>
      <c r="X5856" s="1108"/>
      <c r="Y5856" s="1108"/>
      <c r="Z5856" s="1114"/>
      <c r="AA5856" s="1114"/>
      <c r="AB5856" s="1114"/>
      <c r="AC5856" s="1117"/>
      <c r="AD5856" s="1115"/>
      <c r="AE5856" s="1115"/>
      <c r="AF5856" s="1115"/>
      <c r="AG5856" s="1115"/>
      <c r="AH5856" s="1115"/>
      <c r="AI5856" s="1115"/>
      <c r="AJ5856" s="1117"/>
      <c r="AK5856" s="1118"/>
      <c r="AL5856" s="1115"/>
      <c r="AM5856" s="1115"/>
      <c r="AN5856" s="1115"/>
      <c r="AO5856" s="1115"/>
      <c r="AP5856" s="1115"/>
      <c r="AQ5856" s="1115"/>
      <c r="AR5856" s="1115"/>
      <c r="AS5856" s="1117"/>
      <c r="AT5856" s="1075"/>
      <c r="AU5856" s="1193"/>
      <c r="AV5856" s="330"/>
      <c r="AW5856" s="331"/>
      <c r="AX5856" s="331"/>
      <c r="AY5856" s="331"/>
      <c r="AZ5856" s="331"/>
      <c r="BA5856" s="331"/>
      <c r="BB5856" s="331"/>
      <c r="BC5856" s="331"/>
      <c r="BD5856" s="331"/>
      <c r="BE5856" s="333"/>
      <c r="BF5856" s="330"/>
      <c r="BG5856" s="333"/>
      <c r="BH5856" s="1119"/>
      <c r="BI5856" s="319"/>
      <c r="BJ5856" s="319"/>
      <c r="BK5856" s="319"/>
      <c r="BL5856" s="319"/>
      <c r="BM5856" s="319"/>
      <c r="BN5856" s="319"/>
      <c r="BO5856" s="319"/>
      <c r="BP5856" s="953"/>
      <c r="BQ5856" s="319"/>
      <c r="BR5856" s="319"/>
      <c r="BS5856" s="330"/>
      <c r="BT5856" s="331"/>
      <c r="BU5856" s="920"/>
      <c r="BV5856" s="903"/>
      <c r="BW5856" s="908"/>
      <c r="BX5856" s="908"/>
      <c r="BY5856" s="331"/>
      <c r="BZ5856" s="331"/>
      <c r="CA5856" s="462"/>
      <c r="CB5856" s="319"/>
      <c r="CC5856" s="319"/>
      <c r="CD5856" s="319"/>
      <c r="CE5856" s="319"/>
      <c r="CF5856" s="319"/>
      <c r="CG5856" s="319"/>
      <c r="CH5856" s="318"/>
      <c r="CI5856" s="319"/>
      <c r="CJ5856" s="319"/>
      <c r="CK5856" s="342"/>
      <c r="CL5856" s="333"/>
      <c r="CM5856" s="1079"/>
      <c r="CN5856" s="1005"/>
      <c r="CO5856" s="1005"/>
      <c r="CP5856" s="1005"/>
    </row>
    <row r="5857">
      <c r="A5857" s="1257"/>
      <c r="B5857" s="1113"/>
      <c r="C5857" s="1107"/>
      <c r="D5857" s="103"/>
      <c r="E5857" s="1137"/>
      <c r="F5857" s="112"/>
      <c r="G5857" s="1110"/>
      <c r="H5857" s="1138"/>
      <c r="I5857" s="1138"/>
      <c r="J5857" s="1139"/>
      <c r="K5857" s="1111"/>
      <c r="L5857" s="1112"/>
      <c r="M5857" s="1113"/>
      <c r="N5857" s="110"/>
      <c r="O5857" s="1140"/>
      <c r="P5857" s="1115"/>
      <c r="Q5857" s="1116"/>
      <c r="R5857" s="1141"/>
      <c r="S5857" s="1113"/>
      <c r="T5857" s="1143"/>
      <c r="U5857" s="1108"/>
      <c r="V5857" s="1108"/>
      <c r="W5857" s="1108"/>
      <c r="X5857" s="1108"/>
      <c r="Y5857" s="1108"/>
      <c r="Z5857" s="1114"/>
      <c r="AA5857" s="1114"/>
      <c r="AB5857" s="1114"/>
      <c r="AC5857" s="1117"/>
      <c r="AD5857" s="1115"/>
      <c r="AE5857" s="1115"/>
      <c r="AF5857" s="1115"/>
      <c r="AG5857" s="1115"/>
      <c r="AH5857" s="1115"/>
      <c r="AI5857" s="1115"/>
      <c r="AJ5857" s="1117"/>
      <c r="AK5857" s="1118"/>
      <c r="AL5857" s="1115"/>
      <c r="AM5857" s="1115"/>
      <c r="AN5857" s="1115"/>
      <c r="AO5857" s="1115"/>
      <c r="AP5857" s="1115"/>
      <c r="AQ5857" s="1115"/>
      <c r="AR5857" s="1115"/>
      <c r="AS5857" s="1117"/>
      <c r="AT5857" s="1075"/>
      <c r="AU5857" s="1193"/>
      <c r="AV5857" s="330"/>
      <c r="AW5857" s="331"/>
      <c r="AX5857" s="331"/>
      <c r="AY5857" s="331"/>
      <c r="AZ5857" s="331"/>
      <c r="BA5857" s="331"/>
      <c r="BB5857" s="331"/>
      <c r="BC5857" s="331"/>
      <c r="BD5857" s="331"/>
      <c r="BE5857" s="333"/>
      <c r="BF5857" s="330"/>
      <c r="BG5857" s="333"/>
      <c r="BH5857" s="1119"/>
      <c r="BI5857" s="319"/>
      <c r="BJ5857" s="319"/>
      <c r="BK5857" s="319"/>
      <c r="BL5857" s="319"/>
      <c r="BM5857" s="319"/>
      <c r="BN5857" s="319"/>
      <c r="BO5857" s="319"/>
      <c r="BP5857" s="953"/>
      <c r="BQ5857" s="319"/>
      <c r="BR5857" s="319"/>
      <c r="BS5857" s="330"/>
      <c r="BT5857" s="331"/>
      <c r="BU5857" s="920"/>
      <c r="BV5857" s="903"/>
      <c r="BW5857" s="908"/>
      <c r="BX5857" s="908"/>
      <c r="BY5857" s="331"/>
      <c r="BZ5857" s="331"/>
      <c r="CA5857" s="462"/>
      <c r="CB5857" s="319"/>
      <c r="CC5857" s="319"/>
      <c r="CD5857" s="319"/>
      <c r="CE5857" s="319"/>
      <c r="CF5857" s="319"/>
      <c r="CG5857" s="319"/>
      <c r="CH5857" s="318"/>
      <c r="CI5857" s="319"/>
      <c r="CJ5857" s="319"/>
      <c r="CK5857" s="342"/>
      <c r="CL5857" s="333"/>
      <c r="CM5857" s="1079"/>
      <c r="CN5857" s="1005"/>
      <c r="CO5857" s="1005"/>
      <c r="CP5857" s="1005"/>
    </row>
    <row r="5858">
      <c r="A5858" s="1257"/>
      <c r="B5858" s="1113"/>
      <c r="C5858" s="1107"/>
      <c r="D5858" s="103"/>
      <c r="E5858" s="1137"/>
      <c r="F5858" s="112"/>
      <c r="G5858" s="1110"/>
      <c r="H5858" s="1138"/>
      <c r="I5858" s="1138"/>
      <c r="J5858" s="1139"/>
      <c r="K5858" s="1111"/>
      <c r="L5858" s="1112"/>
      <c r="M5858" s="1113"/>
      <c r="N5858" s="110"/>
      <c r="O5858" s="1140"/>
      <c r="P5858" s="1115"/>
      <c r="Q5858" s="1116"/>
      <c r="R5858" s="1141"/>
      <c r="S5858" s="1113"/>
      <c r="T5858" s="1143"/>
      <c r="U5858" s="1108"/>
      <c r="V5858" s="1108"/>
      <c r="W5858" s="1108"/>
      <c r="X5858" s="1108"/>
      <c r="Y5858" s="1108"/>
      <c r="Z5858" s="1114"/>
      <c r="AA5858" s="1114"/>
      <c r="AB5858" s="1114"/>
      <c r="AC5858" s="1117"/>
      <c r="AD5858" s="1115"/>
      <c r="AE5858" s="1115"/>
      <c r="AF5858" s="1115"/>
      <c r="AG5858" s="1115"/>
      <c r="AH5858" s="1115"/>
      <c r="AI5858" s="1115"/>
      <c r="AJ5858" s="1117"/>
      <c r="AK5858" s="1118"/>
      <c r="AL5858" s="1115"/>
      <c r="AM5858" s="1115"/>
      <c r="AN5858" s="1115"/>
      <c r="AO5858" s="1115"/>
      <c r="AP5858" s="1115"/>
      <c r="AQ5858" s="1115"/>
      <c r="AR5858" s="1115"/>
      <c r="AS5858" s="1117"/>
      <c r="AT5858" s="1075"/>
      <c r="AU5858" s="1193"/>
      <c r="AV5858" s="330"/>
      <c r="AW5858" s="331"/>
      <c r="AX5858" s="331"/>
      <c r="AY5858" s="331"/>
      <c r="AZ5858" s="331"/>
      <c r="BA5858" s="331"/>
      <c r="BB5858" s="331"/>
      <c r="BC5858" s="331"/>
      <c r="BD5858" s="331"/>
      <c r="BE5858" s="333"/>
      <c r="BF5858" s="330"/>
      <c r="BG5858" s="333"/>
      <c r="BH5858" s="1119"/>
      <c r="BI5858" s="319"/>
      <c r="BJ5858" s="319"/>
      <c r="BK5858" s="319"/>
      <c r="BL5858" s="319"/>
      <c r="BM5858" s="319"/>
      <c r="BN5858" s="319"/>
      <c r="BO5858" s="319"/>
      <c r="BP5858" s="953"/>
      <c r="BQ5858" s="319"/>
      <c r="BR5858" s="319"/>
      <c r="BS5858" s="330"/>
      <c r="BT5858" s="331"/>
      <c r="BU5858" s="920"/>
      <c r="BV5858" s="903"/>
      <c r="BW5858" s="908"/>
      <c r="BX5858" s="908"/>
      <c r="BY5858" s="331"/>
      <c r="BZ5858" s="331"/>
      <c r="CA5858" s="462"/>
      <c r="CB5858" s="319"/>
      <c r="CC5858" s="319"/>
      <c r="CD5858" s="319"/>
      <c r="CE5858" s="319"/>
      <c r="CF5858" s="319"/>
      <c r="CG5858" s="319"/>
      <c r="CH5858" s="318"/>
      <c r="CI5858" s="319"/>
      <c r="CJ5858" s="319"/>
      <c r="CK5858" s="342"/>
      <c r="CL5858" s="333"/>
      <c r="CM5858" s="1079"/>
      <c r="CN5858" s="1005"/>
      <c r="CO5858" s="1005"/>
      <c r="CP5858" s="1005"/>
    </row>
    <row r="5859">
      <c r="A5859" s="1257"/>
      <c r="B5859" s="1113"/>
      <c r="C5859" s="1107"/>
      <c r="D5859" s="103"/>
      <c r="E5859" s="1137"/>
      <c r="F5859" s="112"/>
      <c r="G5859" s="1110"/>
      <c r="H5859" s="1138"/>
      <c r="I5859" s="1138"/>
      <c r="J5859" s="1139"/>
      <c r="K5859" s="1111"/>
      <c r="L5859" s="1112"/>
      <c r="M5859" s="1113"/>
      <c r="N5859" s="110"/>
      <c r="O5859" s="1140"/>
      <c r="P5859" s="1115"/>
      <c r="Q5859" s="1116"/>
      <c r="R5859" s="1141"/>
      <c r="S5859" s="1113"/>
      <c r="T5859" s="1143"/>
      <c r="U5859" s="1108"/>
      <c r="V5859" s="1108"/>
      <c r="W5859" s="1108"/>
      <c r="X5859" s="1108"/>
      <c r="Y5859" s="1108"/>
      <c r="Z5859" s="1114"/>
      <c r="AA5859" s="1114"/>
      <c r="AB5859" s="1114"/>
      <c r="AC5859" s="1117"/>
      <c r="AD5859" s="1115"/>
      <c r="AE5859" s="1115"/>
      <c r="AF5859" s="1115"/>
      <c r="AG5859" s="1115"/>
      <c r="AH5859" s="1115"/>
      <c r="AI5859" s="1115"/>
      <c r="AJ5859" s="1117"/>
      <c r="AK5859" s="1118"/>
      <c r="AL5859" s="1115"/>
      <c r="AM5859" s="1115"/>
      <c r="AN5859" s="1115"/>
      <c r="AO5859" s="1115"/>
      <c r="AP5859" s="1115"/>
      <c r="AQ5859" s="1115"/>
      <c r="AR5859" s="1115"/>
      <c r="AS5859" s="1117"/>
      <c r="AT5859" s="1075"/>
      <c r="AU5859" s="1193"/>
      <c r="AV5859" s="330"/>
      <c r="AW5859" s="331"/>
      <c r="AX5859" s="331"/>
      <c r="AY5859" s="331"/>
      <c r="AZ5859" s="331"/>
      <c r="BA5859" s="331"/>
      <c r="BB5859" s="331"/>
      <c r="BC5859" s="331"/>
      <c r="BD5859" s="331"/>
      <c r="BE5859" s="333"/>
      <c r="BF5859" s="330"/>
      <c r="BG5859" s="333"/>
      <c r="BH5859" s="1119"/>
      <c r="BI5859" s="319"/>
      <c r="BJ5859" s="319"/>
      <c r="BK5859" s="319"/>
      <c r="BL5859" s="319"/>
      <c r="BM5859" s="319"/>
      <c r="BN5859" s="319"/>
      <c r="BO5859" s="319"/>
      <c r="BP5859" s="953"/>
      <c r="BQ5859" s="319"/>
      <c r="BR5859" s="319"/>
      <c r="BS5859" s="330"/>
      <c r="BT5859" s="331"/>
      <c r="BU5859" s="920"/>
      <c r="BV5859" s="903"/>
      <c r="BW5859" s="908"/>
      <c r="BX5859" s="908"/>
      <c r="BY5859" s="331"/>
      <c r="BZ5859" s="331"/>
      <c r="CA5859" s="462"/>
      <c r="CB5859" s="319"/>
      <c r="CC5859" s="319"/>
      <c r="CD5859" s="319"/>
      <c r="CE5859" s="319"/>
      <c r="CF5859" s="319"/>
      <c r="CG5859" s="319"/>
      <c r="CH5859" s="318"/>
      <c r="CI5859" s="319"/>
      <c r="CJ5859" s="319"/>
      <c r="CK5859" s="342"/>
      <c r="CL5859" s="333"/>
      <c r="CM5859" s="1079"/>
      <c r="CN5859" s="1005"/>
      <c r="CO5859" s="1005"/>
      <c r="CP5859" s="1005"/>
    </row>
    <row r="5860">
      <c r="A5860" s="1257"/>
      <c r="B5860" s="1113"/>
      <c r="C5860" s="1107"/>
      <c r="D5860" s="103"/>
      <c r="E5860" s="1137"/>
      <c r="F5860" s="112"/>
      <c r="G5860" s="1110"/>
      <c r="H5860" s="1138"/>
      <c r="I5860" s="1138"/>
      <c r="J5860" s="1139"/>
      <c r="K5860" s="1111"/>
      <c r="L5860" s="1112"/>
      <c r="M5860" s="1113"/>
      <c r="N5860" s="110"/>
      <c r="O5860" s="1140"/>
      <c r="P5860" s="1115"/>
      <c r="Q5860" s="1116"/>
      <c r="R5860" s="1141"/>
      <c r="S5860" s="1113"/>
      <c r="T5860" s="1143"/>
      <c r="U5860" s="1108"/>
      <c r="V5860" s="1108"/>
      <c r="W5860" s="1108"/>
      <c r="X5860" s="1108"/>
      <c r="Y5860" s="1108"/>
      <c r="Z5860" s="1114"/>
      <c r="AA5860" s="1114"/>
      <c r="AB5860" s="1114"/>
      <c r="AC5860" s="1117"/>
      <c r="AD5860" s="1115"/>
      <c r="AE5860" s="1115"/>
      <c r="AF5860" s="1115"/>
      <c r="AG5860" s="1115"/>
      <c r="AH5860" s="1115"/>
      <c r="AI5860" s="1115"/>
      <c r="AJ5860" s="1117"/>
      <c r="AK5860" s="1118"/>
      <c r="AL5860" s="1115"/>
      <c r="AM5860" s="1115"/>
      <c r="AN5860" s="1115"/>
      <c r="AO5860" s="1115"/>
      <c r="AP5860" s="1115"/>
      <c r="AQ5860" s="1115"/>
      <c r="AR5860" s="1115"/>
      <c r="AS5860" s="1117"/>
      <c r="AT5860" s="1075"/>
      <c r="AU5860" s="1193"/>
      <c r="AV5860" s="330"/>
      <c r="AW5860" s="331"/>
      <c r="AX5860" s="331"/>
      <c r="AY5860" s="331"/>
      <c r="AZ5860" s="331"/>
      <c r="BA5860" s="331"/>
      <c r="BB5860" s="331"/>
      <c r="BC5860" s="331"/>
      <c r="BD5860" s="331"/>
      <c r="BE5860" s="333"/>
      <c r="BF5860" s="330"/>
      <c r="BG5860" s="333"/>
      <c r="BH5860" s="1119"/>
      <c r="BI5860" s="319"/>
      <c r="BJ5860" s="319"/>
      <c r="BK5860" s="319"/>
      <c r="BL5860" s="319"/>
      <c r="BM5860" s="319"/>
      <c r="BN5860" s="319"/>
      <c r="BO5860" s="319"/>
      <c r="BP5860" s="953"/>
      <c r="BQ5860" s="319"/>
      <c r="BR5860" s="319"/>
      <c r="BS5860" s="330"/>
      <c r="BT5860" s="331"/>
      <c r="BU5860" s="920"/>
      <c r="BV5860" s="903"/>
      <c r="BW5860" s="908"/>
      <c r="BX5860" s="908"/>
      <c r="BY5860" s="331"/>
      <c r="BZ5860" s="331"/>
      <c r="CA5860" s="462"/>
      <c r="CB5860" s="319"/>
      <c r="CC5860" s="319"/>
      <c r="CD5860" s="319"/>
      <c r="CE5860" s="319"/>
      <c r="CF5860" s="319"/>
      <c r="CG5860" s="319"/>
      <c r="CH5860" s="318"/>
      <c r="CI5860" s="319"/>
      <c r="CJ5860" s="319"/>
      <c r="CK5860" s="342"/>
      <c r="CL5860" s="333"/>
      <c r="CM5860" s="1079"/>
      <c r="CN5860" s="1005"/>
      <c r="CO5860" s="1005"/>
      <c r="CP5860" s="1005"/>
    </row>
    <row r="5861">
      <c r="A5861" s="1257"/>
      <c r="B5861" s="1113"/>
      <c r="C5861" s="1107"/>
      <c r="D5861" s="103"/>
      <c r="E5861" s="1137"/>
      <c r="F5861" s="112"/>
      <c r="G5861" s="1110"/>
      <c r="H5861" s="1138"/>
      <c r="I5861" s="1138"/>
      <c r="J5861" s="1139"/>
      <c r="K5861" s="1111"/>
      <c r="L5861" s="1112"/>
      <c r="M5861" s="1113"/>
      <c r="N5861" s="110"/>
      <c r="O5861" s="1140"/>
      <c r="P5861" s="1115"/>
      <c r="Q5861" s="1116"/>
      <c r="R5861" s="1141"/>
      <c r="S5861" s="1113"/>
      <c r="T5861" s="1143"/>
      <c r="U5861" s="1108"/>
      <c r="V5861" s="1108"/>
      <c r="W5861" s="1108"/>
      <c r="X5861" s="1108"/>
      <c r="Y5861" s="1108"/>
      <c r="Z5861" s="1114"/>
      <c r="AA5861" s="1114"/>
      <c r="AB5861" s="1114"/>
      <c r="AC5861" s="1117"/>
      <c r="AD5861" s="1115"/>
      <c r="AE5861" s="1115"/>
      <c r="AF5861" s="1115"/>
      <c r="AG5861" s="1115"/>
      <c r="AH5861" s="1115"/>
      <c r="AI5861" s="1115"/>
      <c r="AJ5861" s="1117"/>
      <c r="AK5861" s="1118"/>
      <c r="AL5861" s="1115"/>
      <c r="AM5861" s="1115"/>
      <c r="AN5861" s="1115"/>
      <c r="AO5861" s="1115"/>
      <c r="AP5861" s="1115"/>
      <c r="AQ5861" s="1115"/>
      <c r="AR5861" s="1115"/>
      <c r="AS5861" s="1117"/>
      <c r="AT5861" s="1075"/>
      <c r="AU5861" s="1193"/>
      <c r="AV5861" s="330"/>
      <c r="AW5861" s="331"/>
      <c r="AX5861" s="331"/>
      <c r="AY5861" s="331"/>
      <c r="AZ5861" s="331"/>
      <c r="BA5861" s="331"/>
      <c r="BB5861" s="331"/>
      <c r="BC5861" s="331"/>
      <c r="BD5861" s="331"/>
      <c r="BE5861" s="333"/>
      <c r="BF5861" s="330"/>
      <c r="BG5861" s="333"/>
      <c r="BH5861" s="1119"/>
      <c r="BI5861" s="319"/>
      <c r="BJ5861" s="319"/>
      <c r="BK5861" s="319"/>
      <c r="BL5861" s="319"/>
      <c r="BM5861" s="319"/>
      <c r="BN5861" s="319"/>
      <c r="BO5861" s="319"/>
      <c r="BP5861" s="953"/>
      <c r="BQ5861" s="319"/>
      <c r="BR5861" s="319"/>
      <c r="BS5861" s="330"/>
      <c r="BT5861" s="331"/>
      <c r="BU5861" s="920"/>
      <c r="BV5861" s="903"/>
      <c r="BW5861" s="908"/>
      <c r="BX5861" s="908"/>
      <c r="BY5861" s="331"/>
      <c r="BZ5861" s="331"/>
      <c r="CA5861" s="462"/>
      <c r="CB5861" s="319"/>
      <c r="CC5861" s="319"/>
      <c r="CD5861" s="319"/>
      <c r="CE5861" s="319"/>
      <c r="CF5861" s="319"/>
      <c r="CG5861" s="319"/>
      <c r="CH5861" s="318"/>
      <c r="CI5861" s="319"/>
      <c r="CJ5861" s="319"/>
      <c r="CK5861" s="342"/>
      <c r="CL5861" s="333"/>
      <c r="CM5861" s="1079"/>
      <c r="CN5861" s="1005"/>
      <c r="CO5861" s="1005"/>
      <c r="CP5861" s="1005"/>
    </row>
    <row r="5862">
      <c r="A5862" s="1257"/>
      <c r="B5862" s="1113"/>
      <c r="C5862" s="1107"/>
      <c r="D5862" s="103"/>
      <c r="E5862" s="1137"/>
      <c r="F5862" s="112"/>
      <c r="G5862" s="1110"/>
      <c r="H5862" s="1138"/>
      <c r="I5862" s="1138"/>
      <c r="J5862" s="1139"/>
      <c r="K5862" s="1111"/>
      <c r="L5862" s="1112"/>
      <c r="M5862" s="1113"/>
      <c r="N5862" s="110"/>
      <c r="O5862" s="1140"/>
      <c r="P5862" s="1115"/>
      <c r="Q5862" s="1116"/>
      <c r="R5862" s="1141"/>
      <c r="S5862" s="1113"/>
      <c r="T5862" s="1143"/>
      <c r="U5862" s="1108"/>
      <c r="V5862" s="1108"/>
      <c r="W5862" s="1108"/>
      <c r="X5862" s="1108"/>
      <c r="Y5862" s="1108"/>
      <c r="Z5862" s="1114"/>
      <c r="AA5862" s="1114"/>
      <c r="AB5862" s="1114"/>
      <c r="AC5862" s="1117"/>
      <c r="AD5862" s="1115"/>
      <c r="AE5862" s="1115"/>
      <c r="AF5862" s="1115"/>
      <c r="AG5862" s="1115"/>
      <c r="AH5862" s="1115"/>
      <c r="AI5862" s="1115"/>
      <c r="AJ5862" s="1117"/>
      <c r="AK5862" s="1118"/>
      <c r="AL5862" s="1115"/>
      <c r="AM5862" s="1115"/>
      <c r="AN5862" s="1115"/>
      <c r="AO5862" s="1115"/>
      <c r="AP5862" s="1115"/>
      <c r="AQ5862" s="1115"/>
      <c r="AR5862" s="1115"/>
      <c r="AS5862" s="1117"/>
      <c r="AT5862" s="1075"/>
      <c r="AU5862" s="1193"/>
      <c r="AV5862" s="330"/>
      <c r="AW5862" s="331"/>
      <c r="AX5862" s="331"/>
      <c r="AY5862" s="331"/>
      <c r="AZ5862" s="331"/>
      <c r="BA5862" s="331"/>
      <c r="BB5862" s="331"/>
      <c r="BC5862" s="331"/>
      <c r="BD5862" s="331"/>
      <c r="BE5862" s="333"/>
      <c r="BF5862" s="330"/>
      <c r="BG5862" s="333"/>
      <c r="BH5862" s="1119"/>
      <c r="BI5862" s="319"/>
      <c r="BJ5862" s="319"/>
      <c r="BK5862" s="319"/>
      <c r="BL5862" s="319"/>
      <c r="BM5862" s="319"/>
      <c r="BN5862" s="319"/>
      <c r="BO5862" s="319"/>
      <c r="BP5862" s="953"/>
      <c r="BQ5862" s="319"/>
      <c r="BR5862" s="319"/>
      <c r="BS5862" s="330"/>
      <c r="BT5862" s="331"/>
      <c r="BU5862" s="920"/>
      <c r="BV5862" s="903"/>
      <c r="BW5862" s="908"/>
      <c r="BX5862" s="908"/>
      <c r="BY5862" s="331"/>
      <c r="BZ5862" s="331"/>
      <c r="CA5862" s="462"/>
      <c r="CB5862" s="319"/>
      <c r="CC5862" s="319"/>
      <c r="CD5862" s="319"/>
      <c r="CE5862" s="319"/>
      <c r="CF5862" s="319"/>
      <c r="CG5862" s="319"/>
      <c r="CH5862" s="318"/>
      <c r="CI5862" s="319"/>
      <c r="CJ5862" s="319"/>
      <c r="CK5862" s="342"/>
      <c r="CL5862" s="333"/>
      <c r="CM5862" s="1079"/>
      <c r="CN5862" s="1005"/>
      <c r="CO5862" s="1005"/>
      <c r="CP5862" s="1005"/>
    </row>
    <row r="5863">
      <c r="A5863" s="1257"/>
      <c r="B5863" s="1113"/>
      <c r="C5863" s="1107"/>
      <c r="D5863" s="103"/>
      <c r="E5863" s="1137"/>
      <c r="F5863" s="112"/>
      <c r="G5863" s="1110"/>
      <c r="H5863" s="1138"/>
      <c r="I5863" s="1138"/>
      <c r="J5863" s="1139"/>
      <c r="K5863" s="1111"/>
      <c r="L5863" s="1112"/>
      <c r="M5863" s="1113"/>
      <c r="N5863" s="110"/>
      <c r="O5863" s="1140"/>
      <c r="P5863" s="1115"/>
      <c r="Q5863" s="1116"/>
      <c r="R5863" s="1141"/>
      <c r="S5863" s="1113"/>
      <c r="T5863" s="1143"/>
      <c r="U5863" s="1108"/>
      <c r="V5863" s="1108"/>
      <c r="W5863" s="1108"/>
      <c r="X5863" s="1108"/>
      <c r="Y5863" s="1108"/>
      <c r="Z5863" s="1114"/>
      <c r="AA5863" s="1114"/>
      <c r="AB5863" s="1114"/>
      <c r="AC5863" s="1117"/>
      <c r="AD5863" s="1115"/>
      <c r="AE5863" s="1115"/>
      <c r="AF5863" s="1115"/>
      <c r="AG5863" s="1115"/>
      <c r="AH5863" s="1115"/>
      <c r="AI5863" s="1115"/>
      <c r="AJ5863" s="1117"/>
      <c r="AK5863" s="1118"/>
      <c r="AL5863" s="1115"/>
      <c r="AM5863" s="1115"/>
      <c r="AN5863" s="1115"/>
      <c r="AO5863" s="1115"/>
      <c r="AP5863" s="1115"/>
      <c r="AQ5863" s="1115"/>
      <c r="AR5863" s="1115"/>
      <c r="AS5863" s="1117"/>
      <c r="AT5863" s="1075"/>
      <c r="AU5863" s="1193"/>
      <c r="AV5863" s="330"/>
      <c r="AW5863" s="331"/>
      <c r="AX5863" s="331"/>
      <c r="AY5863" s="331"/>
      <c r="AZ5863" s="331"/>
      <c r="BA5863" s="331"/>
      <c r="BB5863" s="331"/>
      <c r="BC5863" s="331"/>
      <c r="BD5863" s="331"/>
      <c r="BE5863" s="333"/>
      <c r="BF5863" s="330"/>
      <c r="BG5863" s="333"/>
      <c r="BH5863" s="1119"/>
      <c r="BI5863" s="319"/>
      <c r="BJ5863" s="319"/>
      <c r="BK5863" s="319"/>
      <c r="BL5863" s="319"/>
      <c r="BM5863" s="319"/>
      <c r="BN5863" s="319"/>
      <c r="BO5863" s="319"/>
      <c r="BP5863" s="953"/>
      <c r="BQ5863" s="319"/>
      <c r="BR5863" s="319"/>
      <c r="BS5863" s="330"/>
      <c r="BT5863" s="331"/>
      <c r="BU5863" s="920"/>
      <c r="BV5863" s="903"/>
      <c r="BW5863" s="908"/>
      <c r="BX5863" s="908"/>
      <c r="BY5863" s="331"/>
      <c r="BZ5863" s="331"/>
      <c r="CA5863" s="462"/>
      <c r="CB5863" s="319"/>
      <c r="CC5863" s="319"/>
      <c r="CD5863" s="319"/>
      <c r="CE5863" s="319"/>
      <c r="CF5863" s="319"/>
      <c r="CG5863" s="319"/>
      <c r="CH5863" s="318"/>
      <c r="CI5863" s="319"/>
      <c r="CJ5863" s="319"/>
      <c r="CK5863" s="342"/>
      <c r="CL5863" s="333"/>
      <c r="CM5863" s="1079"/>
      <c r="CN5863" s="1005"/>
      <c r="CO5863" s="1005"/>
      <c r="CP5863" s="1005"/>
    </row>
    <row r="5864">
      <c r="A5864" s="1257"/>
      <c r="B5864" s="1113"/>
      <c r="C5864" s="1107"/>
      <c r="D5864" s="103"/>
      <c r="E5864" s="1137"/>
      <c r="F5864" s="112"/>
      <c r="G5864" s="1110"/>
      <c r="H5864" s="1138"/>
      <c r="I5864" s="1138"/>
      <c r="J5864" s="1139"/>
      <c r="K5864" s="1111"/>
      <c r="L5864" s="1112"/>
      <c r="M5864" s="1113"/>
      <c r="N5864" s="110"/>
      <c r="O5864" s="1140"/>
      <c r="P5864" s="1115"/>
      <c r="Q5864" s="1116"/>
      <c r="R5864" s="1141"/>
      <c r="S5864" s="1113"/>
      <c r="T5864" s="1143"/>
      <c r="U5864" s="1108"/>
      <c r="V5864" s="1108"/>
      <c r="W5864" s="1108"/>
      <c r="X5864" s="1108"/>
      <c r="Y5864" s="1108"/>
      <c r="Z5864" s="1114"/>
      <c r="AA5864" s="1114"/>
      <c r="AB5864" s="1114"/>
      <c r="AC5864" s="1117"/>
      <c r="AD5864" s="1115"/>
      <c r="AE5864" s="1115"/>
      <c r="AF5864" s="1115"/>
      <c r="AG5864" s="1115"/>
      <c r="AH5864" s="1115"/>
      <c r="AI5864" s="1115"/>
      <c r="AJ5864" s="1117"/>
      <c r="AK5864" s="1118"/>
      <c r="AL5864" s="1115"/>
      <c r="AM5864" s="1115"/>
      <c r="AN5864" s="1115"/>
      <c r="AO5864" s="1115"/>
      <c r="AP5864" s="1115"/>
      <c r="AQ5864" s="1115"/>
      <c r="AR5864" s="1115"/>
      <c r="AS5864" s="1117"/>
      <c r="AT5864" s="1075"/>
      <c r="AU5864" s="1193"/>
      <c r="AV5864" s="330"/>
      <c r="AW5864" s="331"/>
      <c r="AX5864" s="331"/>
      <c r="AY5864" s="331"/>
      <c r="AZ5864" s="331"/>
      <c r="BA5864" s="331"/>
      <c r="BB5864" s="331"/>
      <c r="BC5864" s="331"/>
      <c r="BD5864" s="331"/>
      <c r="BE5864" s="333"/>
      <c r="BF5864" s="330"/>
      <c r="BG5864" s="333"/>
      <c r="BH5864" s="1119"/>
      <c r="BI5864" s="319"/>
      <c r="BJ5864" s="319"/>
      <c r="BK5864" s="319"/>
      <c r="BL5864" s="319"/>
      <c r="BM5864" s="319"/>
      <c r="BN5864" s="319"/>
      <c r="BO5864" s="319"/>
      <c r="BP5864" s="953"/>
      <c r="BQ5864" s="319"/>
      <c r="BR5864" s="319"/>
      <c r="BS5864" s="330"/>
      <c r="BT5864" s="331"/>
      <c r="BU5864" s="920"/>
      <c r="BV5864" s="903"/>
      <c r="BW5864" s="908"/>
      <c r="BX5864" s="908"/>
      <c r="BY5864" s="331"/>
      <c r="BZ5864" s="331"/>
      <c r="CA5864" s="462"/>
      <c r="CB5864" s="319"/>
      <c r="CC5864" s="319"/>
      <c r="CD5864" s="319"/>
      <c r="CE5864" s="319"/>
      <c r="CF5864" s="319"/>
      <c r="CG5864" s="319"/>
      <c r="CH5864" s="318"/>
      <c r="CI5864" s="319"/>
      <c r="CJ5864" s="319"/>
      <c r="CK5864" s="342"/>
      <c r="CL5864" s="333"/>
      <c r="CM5864" s="1079"/>
      <c r="CN5864" s="1005"/>
      <c r="CO5864" s="1005"/>
      <c r="CP5864" s="1005"/>
    </row>
    <row r="5865">
      <c r="A5865" s="1257"/>
      <c r="B5865" s="1113"/>
      <c r="C5865" s="1107"/>
      <c r="D5865" s="103"/>
      <c r="E5865" s="1137"/>
      <c r="F5865" s="112"/>
      <c r="G5865" s="1110"/>
      <c r="H5865" s="1138"/>
      <c r="I5865" s="1138"/>
      <c r="J5865" s="1139"/>
      <c r="K5865" s="1111"/>
      <c r="L5865" s="1112"/>
      <c r="M5865" s="1113"/>
      <c r="N5865" s="110"/>
      <c r="O5865" s="1140"/>
      <c r="P5865" s="1115"/>
      <c r="Q5865" s="1116"/>
      <c r="R5865" s="1141"/>
      <c r="S5865" s="1113"/>
      <c r="T5865" s="1143"/>
      <c r="U5865" s="1108"/>
      <c r="V5865" s="1108"/>
      <c r="W5865" s="1108"/>
      <c r="X5865" s="1108"/>
      <c r="Y5865" s="1108"/>
      <c r="Z5865" s="1114"/>
      <c r="AA5865" s="1114"/>
      <c r="AB5865" s="1114"/>
      <c r="AC5865" s="1117"/>
      <c r="AD5865" s="1115"/>
      <c r="AE5865" s="1115"/>
      <c r="AF5865" s="1115"/>
      <c r="AG5865" s="1115"/>
      <c r="AH5865" s="1115"/>
      <c r="AI5865" s="1115"/>
      <c r="AJ5865" s="1117"/>
      <c r="AK5865" s="1118"/>
      <c r="AL5865" s="1115"/>
      <c r="AM5865" s="1115"/>
      <c r="AN5865" s="1115"/>
      <c r="AO5865" s="1115"/>
      <c r="AP5865" s="1115"/>
      <c r="AQ5865" s="1115"/>
      <c r="AR5865" s="1115"/>
      <c r="AS5865" s="1117"/>
      <c r="AT5865" s="1075"/>
      <c r="AU5865" s="1193"/>
      <c r="AV5865" s="330"/>
      <c r="AW5865" s="331"/>
      <c r="AX5865" s="331"/>
      <c r="AY5865" s="331"/>
      <c r="AZ5865" s="331"/>
      <c r="BA5865" s="331"/>
      <c r="BB5865" s="331"/>
      <c r="BC5865" s="331"/>
      <c r="BD5865" s="331"/>
      <c r="BE5865" s="333"/>
      <c r="BF5865" s="330"/>
      <c r="BG5865" s="333"/>
      <c r="BH5865" s="1119"/>
      <c r="BI5865" s="319"/>
      <c r="BJ5865" s="319"/>
      <c r="BK5865" s="319"/>
      <c r="BL5865" s="319"/>
      <c r="BM5865" s="319"/>
      <c r="BN5865" s="319"/>
      <c r="BO5865" s="319"/>
      <c r="BP5865" s="953"/>
      <c r="BQ5865" s="319"/>
      <c r="BR5865" s="319"/>
      <c r="BS5865" s="330"/>
      <c r="BT5865" s="331"/>
      <c r="BU5865" s="920"/>
      <c r="BV5865" s="903"/>
      <c r="BW5865" s="908"/>
      <c r="BX5865" s="908"/>
      <c r="BY5865" s="331"/>
      <c r="BZ5865" s="331"/>
      <c r="CA5865" s="462"/>
      <c r="CB5865" s="319"/>
      <c r="CC5865" s="319"/>
      <c r="CD5865" s="319"/>
      <c r="CE5865" s="319"/>
      <c r="CF5865" s="319"/>
      <c r="CG5865" s="319"/>
      <c r="CH5865" s="318"/>
      <c r="CI5865" s="319"/>
      <c r="CJ5865" s="319"/>
      <c r="CK5865" s="342"/>
      <c r="CL5865" s="333"/>
      <c r="CM5865" s="1079"/>
      <c r="CN5865" s="1005"/>
      <c r="CO5865" s="1005"/>
      <c r="CP5865" s="1005"/>
    </row>
    <row r="5866">
      <c r="A5866" s="1257"/>
      <c r="B5866" s="1113"/>
      <c r="C5866" s="1107"/>
      <c r="D5866" s="103"/>
      <c r="E5866" s="1137"/>
      <c r="F5866" s="112"/>
      <c r="G5866" s="1110"/>
      <c r="H5866" s="1138"/>
      <c r="I5866" s="1138"/>
      <c r="J5866" s="1139"/>
      <c r="K5866" s="1111"/>
      <c r="L5866" s="1112"/>
      <c r="M5866" s="1113"/>
      <c r="N5866" s="110"/>
      <c r="O5866" s="1140"/>
      <c r="P5866" s="1115"/>
      <c r="Q5866" s="1116"/>
      <c r="R5866" s="1141"/>
      <c r="S5866" s="1113"/>
      <c r="T5866" s="1143"/>
      <c r="U5866" s="1108"/>
      <c r="V5866" s="1108"/>
      <c r="W5866" s="1108"/>
      <c r="X5866" s="1108"/>
      <c r="Y5866" s="1108"/>
      <c r="Z5866" s="1114"/>
      <c r="AA5866" s="1114"/>
      <c r="AB5866" s="1114"/>
      <c r="AC5866" s="1117"/>
      <c r="AD5866" s="1115"/>
      <c r="AE5866" s="1115"/>
      <c r="AF5866" s="1115"/>
      <c r="AG5866" s="1115"/>
      <c r="AH5866" s="1115"/>
      <c r="AI5866" s="1115"/>
      <c r="AJ5866" s="1117"/>
      <c r="AK5866" s="1118"/>
      <c r="AL5866" s="1115"/>
      <c r="AM5866" s="1115"/>
      <c r="AN5866" s="1115"/>
      <c r="AO5866" s="1115"/>
      <c r="AP5866" s="1115"/>
      <c r="AQ5866" s="1115"/>
      <c r="AR5866" s="1115"/>
      <c r="AS5866" s="1117"/>
      <c r="AT5866" s="1075"/>
      <c r="AU5866" s="1193"/>
      <c r="AV5866" s="330"/>
      <c r="AW5866" s="331"/>
      <c r="AX5866" s="331"/>
      <c r="AY5866" s="331"/>
      <c r="AZ5866" s="331"/>
      <c r="BA5866" s="331"/>
      <c r="BB5866" s="331"/>
      <c r="BC5866" s="331"/>
      <c r="BD5866" s="331"/>
      <c r="BE5866" s="333"/>
      <c r="BF5866" s="330"/>
      <c r="BG5866" s="333"/>
      <c r="BH5866" s="1119"/>
      <c r="BI5866" s="319"/>
      <c r="BJ5866" s="319"/>
      <c r="BK5866" s="319"/>
      <c r="BL5866" s="319"/>
      <c r="BM5866" s="319"/>
      <c r="BN5866" s="319"/>
      <c r="BO5866" s="319"/>
      <c r="BP5866" s="953"/>
      <c r="BQ5866" s="319"/>
      <c r="BR5866" s="319"/>
      <c r="BS5866" s="330"/>
      <c r="BT5866" s="331"/>
      <c r="BU5866" s="920"/>
      <c r="BV5866" s="903"/>
      <c r="BW5866" s="908"/>
      <c r="BX5866" s="908"/>
      <c r="BY5866" s="331"/>
      <c r="BZ5866" s="331"/>
      <c r="CA5866" s="462"/>
      <c r="CB5866" s="319"/>
      <c r="CC5866" s="319"/>
      <c r="CD5866" s="319"/>
      <c r="CE5866" s="319"/>
      <c r="CF5866" s="319"/>
      <c r="CG5866" s="319"/>
      <c r="CH5866" s="318"/>
      <c r="CI5866" s="319"/>
      <c r="CJ5866" s="319"/>
      <c r="CK5866" s="342"/>
      <c r="CL5866" s="333"/>
      <c r="CM5866" s="1079"/>
      <c r="CN5866" s="1005"/>
      <c r="CO5866" s="1005"/>
      <c r="CP5866" s="1005"/>
    </row>
    <row r="5867">
      <c r="A5867" s="1257"/>
      <c r="B5867" s="1113"/>
      <c r="C5867" s="1107"/>
      <c r="D5867" s="103"/>
      <c r="E5867" s="1137"/>
      <c r="F5867" s="112"/>
      <c r="G5867" s="1110"/>
      <c r="H5867" s="1138"/>
      <c r="I5867" s="1138"/>
      <c r="J5867" s="1139"/>
      <c r="K5867" s="1111"/>
      <c r="L5867" s="1112"/>
      <c r="M5867" s="1113"/>
      <c r="N5867" s="110"/>
      <c r="O5867" s="1140"/>
      <c r="P5867" s="1115"/>
      <c r="Q5867" s="1116"/>
      <c r="R5867" s="1141"/>
      <c r="S5867" s="1113"/>
      <c r="T5867" s="1143"/>
      <c r="U5867" s="1108"/>
      <c r="V5867" s="1108"/>
      <c r="W5867" s="1108"/>
      <c r="X5867" s="1108"/>
      <c r="Y5867" s="1108"/>
      <c r="Z5867" s="1114"/>
      <c r="AA5867" s="1114"/>
      <c r="AB5867" s="1114"/>
      <c r="AC5867" s="1117"/>
      <c r="AD5867" s="1115"/>
      <c r="AE5867" s="1115"/>
      <c r="AF5867" s="1115"/>
      <c r="AG5867" s="1115"/>
      <c r="AH5867" s="1115"/>
      <c r="AI5867" s="1115"/>
      <c r="AJ5867" s="1117"/>
      <c r="AK5867" s="1118"/>
      <c r="AL5867" s="1115"/>
      <c r="AM5867" s="1115"/>
      <c r="AN5867" s="1115"/>
      <c r="AO5867" s="1115"/>
      <c r="AP5867" s="1115"/>
      <c r="AQ5867" s="1115"/>
      <c r="AR5867" s="1115"/>
      <c r="AS5867" s="1117"/>
      <c r="AT5867" s="1075"/>
      <c r="AU5867" s="1193"/>
      <c r="AV5867" s="330"/>
      <c r="AW5867" s="331"/>
      <c r="AX5867" s="331"/>
      <c r="AY5867" s="331"/>
      <c r="AZ5867" s="331"/>
      <c r="BA5867" s="331"/>
      <c r="BB5867" s="331"/>
      <c r="BC5867" s="331"/>
      <c r="BD5867" s="331"/>
      <c r="BE5867" s="333"/>
      <c r="BF5867" s="330"/>
      <c r="BG5867" s="333"/>
      <c r="BH5867" s="1119"/>
      <c r="BI5867" s="319"/>
      <c r="BJ5867" s="319"/>
      <c r="BK5867" s="319"/>
      <c r="BL5867" s="319"/>
      <c r="BM5867" s="319"/>
      <c r="BN5867" s="319"/>
      <c r="BO5867" s="319"/>
      <c r="BP5867" s="953"/>
      <c r="BQ5867" s="319"/>
      <c r="BR5867" s="319"/>
      <c r="BS5867" s="330"/>
      <c r="BT5867" s="331"/>
      <c r="BU5867" s="920"/>
      <c r="BV5867" s="903"/>
      <c r="BW5867" s="908"/>
      <c r="BX5867" s="908"/>
      <c r="BY5867" s="331"/>
      <c r="BZ5867" s="331"/>
      <c r="CA5867" s="462"/>
      <c r="CB5867" s="319"/>
      <c r="CC5867" s="319"/>
      <c r="CD5867" s="319"/>
      <c r="CE5867" s="319"/>
      <c r="CF5867" s="319"/>
      <c r="CG5867" s="319"/>
      <c r="CH5867" s="318"/>
      <c r="CI5867" s="319"/>
      <c r="CJ5867" s="319"/>
      <c r="CK5867" s="342"/>
      <c r="CL5867" s="333"/>
      <c r="CM5867" s="1079"/>
      <c r="CN5867" s="1005"/>
      <c r="CO5867" s="1005"/>
      <c r="CP5867" s="1005"/>
    </row>
    <row r="5868">
      <c r="A5868" s="1257"/>
      <c r="B5868" s="1113"/>
      <c r="C5868" s="1107"/>
      <c r="D5868" s="103"/>
      <c r="E5868" s="1137"/>
      <c r="F5868" s="112"/>
      <c r="G5868" s="1110"/>
      <c r="H5868" s="1138"/>
      <c r="I5868" s="1138"/>
      <c r="J5868" s="1139"/>
      <c r="K5868" s="1111"/>
      <c r="L5868" s="1112"/>
      <c r="M5868" s="1113"/>
      <c r="N5868" s="110"/>
      <c r="O5868" s="1140"/>
      <c r="P5868" s="1115"/>
      <c r="Q5868" s="1116"/>
      <c r="R5868" s="1141"/>
      <c r="S5868" s="1113"/>
      <c r="T5868" s="1143"/>
      <c r="U5868" s="1108"/>
      <c r="V5868" s="1108"/>
      <c r="W5868" s="1108"/>
      <c r="X5868" s="1108"/>
      <c r="Y5868" s="1108"/>
      <c r="Z5868" s="1114"/>
      <c r="AA5868" s="1114"/>
      <c r="AB5868" s="1114"/>
      <c r="AC5868" s="1117"/>
      <c r="AD5868" s="1115"/>
      <c r="AE5868" s="1115"/>
      <c r="AF5868" s="1115"/>
      <c r="AG5868" s="1115"/>
      <c r="AH5868" s="1115"/>
      <c r="AI5868" s="1115"/>
      <c r="AJ5868" s="1117"/>
      <c r="AK5868" s="1118"/>
      <c r="AL5868" s="1115"/>
      <c r="AM5868" s="1115"/>
      <c r="AN5868" s="1115"/>
      <c r="AO5868" s="1115"/>
      <c r="AP5868" s="1115"/>
      <c r="AQ5868" s="1115"/>
      <c r="AR5868" s="1115"/>
      <c r="AS5868" s="1117"/>
      <c r="AT5868" s="1075"/>
      <c r="AU5868" s="1193"/>
      <c r="AV5868" s="330"/>
      <c r="AW5868" s="331"/>
      <c r="AX5868" s="331"/>
      <c r="AY5868" s="331"/>
      <c r="AZ5868" s="331"/>
      <c r="BA5868" s="331"/>
      <c r="BB5868" s="331"/>
      <c r="BC5868" s="331"/>
      <c r="BD5868" s="331"/>
      <c r="BE5868" s="333"/>
      <c r="BF5868" s="330"/>
      <c r="BG5868" s="333"/>
      <c r="BH5868" s="1119"/>
      <c r="BI5868" s="319"/>
      <c r="BJ5868" s="319"/>
      <c r="BK5868" s="319"/>
      <c r="BL5868" s="319"/>
      <c r="BM5868" s="319"/>
      <c r="BN5868" s="319"/>
      <c r="BO5868" s="319"/>
      <c r="BP5868" s="953"/>
      <c r="BQ5868" s="319"/>
      <c r="BR5868" s="319"/>
      <c r="BS5868" s="330"/>
      <c r="BT5868" s="331"/>
      <c r="BU5868" s="920"/>
      <c r="BV5868" s="903"/>
      <c r="BW5868" s="908"/>
      <c r="BX5868" s="908"/>
      <c r="BY5868" s="331"/>
      <c r="BZ5868" s="331"/>
      <c r="CA5868" s="462"/>
      <c r="CB5868" s="319"/>
      <c r="CC5868" s="319"/>
      <c r="CD5868" s="319"/>
      <c r="CE5868" s="319"/>
      <c r="CF5868" s="319"/>
      <c r="CG5868" s="319"/>
      <c r="CH5868" s="318"/>
      <c r="CI5868" s="319"/>
      <c r="CJ5868" s="319"/>
      <c r="CK5868" s="342"/>
      <c r="CL5868" s="333"/>
      <c r="CM5868" s="1079"/>
      <c r="CN5868" s="1005"/>
      <c r="CO5868" s="1005"/>
      <c r="CP5868" s="1005"/>
    </row>
    <row r="5869">
      <c r="A5869" s="1257"/>
      <c r="B5869" s="1113"/>
      <c r="C5869" s="1107"/>
      <c r="D5869" s="103"/>
      <c r="E5869" s="1137"/>
      <c r="F5869" s="112"/>
      <c r="G5869" s="1110"/>
      <c r="H5869" s="1138"/>
      <c r="I5869" s="1138"/>
      <c r="J5869" s="1139"/>
      <c r="K5869" s="1111"/>
      <c r="L5869" s="1112"/>
      <c r="M5869" s="1113"/>
      <c r="N5869" s="110"/>
      <c r="O5869" s="1140"/>
      <c r="P5869" s="1115"/>
      <c r="Q5869" s="1116"/>
      <c r="R5869" s="1141"/>
      <c r="S5869" s="1113"/>
      <c r="T5869" s="1143"/>
      <c r="U5869" s="1108"/>
      <c r="V5869" s="1108"/>
      <c r="W5869" s="1108"/>
      <c r="X5869" s="1108"/>
      <c r="Y5869" s="1108"/>
      <c r="Z5869" s="1114"/>
      <c r="AA5869" s="1114"/>
      <c r="AB5869" s="1114"/>
      <c r="AC5869" s="1117"/>
      <c r="AD5869" s="1115"/>
      <c r="AE5869" s="1115"/>
      <c r="AF5869" s="1115"/>
      <c r="AG5869" s="1115"/>
      <c r="AH5869" s="1115"/>
      <c r="AI5869" s="1115"/>
      <c r="AJ5869" s="1117"/>
      <c r="AK5869" s="1118"/>
      <c r="AL5869" s="1115"/>
      <c r="AM5869" s="1115"/>
      <c r="AN5869" s="1115"/>
      <c r="AO5869" s="1115"/>
      <c r="AP5869" s="1115"/>
      <c r="AQ5869" s="1115"/>
      <c r="AR5869" s="1115"/>
      <c r="AS5869" s="1117"/>
      <c r="AT5869" s="1075"/>
      <c r="AU5869" s="1193"/>
      <c r="AV5869" s="330"/>
      <c r="AW5869" s="331"/>
      <c r="AX5869" s="331"/>
      <c r="AY5869" s="331"/>
      <c r="AZ5869" s="331"/>
      <c r="BA5869" s="331"/>
      <c r="BB5869" s="331"/>
      <c r="BC5869" s="331"/>
      <c r="BD5869" s="331"/>
      <c r="BE5869" s="333"/>
      <c r="BF5869" s="330"/>
      <c r="BG5869" s="333"/>
      <c r="BH5869" s="1119"/>
      <c r="BI5869" s="319"/>
      <c r="BJ5869" s="319"/>
      <c r="BK5869" s="319"/>
      <c r="BL5869" s="319"/>
      <c r="BM5869" s="319"/>
      <c r="BN5869" s="319"/>
      <c r="BO5869" s="319"/>
      <c r="BP5869" s="953"/>
      <c r="BQ5869" s="319"/>
      <c r="BR5869" s="319"/>
      <c r="BS5869" s="330"/>
      <c r="BT5869" s="331"/>
      <c r="BU5869" s="920"/>
      <c r="BV5869" s="903"/>
      <c r="BW5869" s="908"/>
      <c r="BX5869" s="908"/>
      <c r="BY5869" s="331"/>
      <c r="BZ5869" s="331"/>
      <c r="CA5869" s="462"/>
      <c r="CB5869" s="319"/>
      <c r="CC5869" s="319"/>
      <c r="CD5869" s="319"/>
      <c r="CE5869" s="319"/>
      <c r="CF5869" s="319"/>
      <c r="CG5869" s="319"/>
      <c r="CH5869" s="318"/>
      <c r="CI5869" s="319"/>
      <c r="CJ5869" s="319"/>
      <c r="CK5869" s="342"/>
      <c r="CL5869" s="333"/>
      <c r="CM5869" s="1079"/>
      <c r="CN5869" s="1005"/>
      <c r="CO5869" s="1005"/>
      <c r="CP5869" s="1005"/>
    </row>
    <row r="5870">
      <c r="A5870" s="1257"/>
      <c r="B5870" s="1113"/>
      <c r="C5870" s="1107"/>
      <c r="D5870" s="103"/>
      <c r="E5870" s="1137"/>
      <c r="F5870" s="112"/>
      <c r="G5870" s="1110"/>
      <c r="H5870" s="1138"/>
      <c r="I5870" s="1138"/>
      <c r="J5870" s="1139"/>
      <c r="K5870" s="1111"/>
      <c r="L5870" s="1112"/>
      <c r="M5870" s="1113"/>
      <c r="N5870" s="110"/>
      <c r="O5870" s="1140"/>
      <c r="P5870" s="1115"/>
      <c r="Q5870" s="1116"/>
      <c r="R5870" s="1141"/>
      <c r="S5870" s="1113"/>
      <c r="T5870" s="1143"/>
      <c r="U5870" s="1108"/>
      <c r="V5870" s="1108"/>
      <c r="W5870" s="1108"/>
      <c r="X5870" s="1108"/>
      <c r="Y5870" s="1108"/>
      <c r="Z5870" s="1114"/>
      <c r="AA5870" s="1114"/>
      <c r="AB5870" s="1114"/>
      <c r="AC5870" s="1117"/>
      <c r="AD5870" s="1115"/>
      <c r="AE5870" s="1115"/>
      <c r="AF5870" s="1115"/>
      <c r="AG5870" s="1115"/>
      <c r="AH5870" s="1115"/>
      <c r="AI5870" s="1115"/>
      <c r="AJ5870" s="1117"/>
      <c r="AK5870" s="1118"/>
      <c r="AL5870" s="1115"/>
      <c r="AM5870" s="1115"/>
      <c r="AN5870" s="1115"/>
      <c r="AO5870" s="1115"/>
      <c r="AP5870" s="1115"/>
      <c r="AQ5870" s="1115"/>
      <c r="AR5870" s="1115"/>
      <c r="AS5870" s="1117"/>
      <c r="AT5870" s="1075"/>
      <c r="AU5870" s="1193"/>
      <c r="AV5870" s="330"/>
      <c r="AW5870" s="331"/>
      <c r="AX5870" s="331"/>
      <c r="AY5870" s="331"/>
      <c r="AZ5870" s="331"/>
      <c r="BA5870" s="331"/>
      <c r="BB5870" s="331"/>
      <c r="BC5870" s="331"/>
      <c r="BD5870" s="331"/>
      <c r="BE5870" s="333"/>
      <c r="BF5870" s="330"/>
      <c r="BG5870" s="333"/>
      <c r="BH5870" s="1119"/>
      <c r="BI5870" s="319"/>
      <c r="BJ5870" s="319"/>
      <c r="BK5870" s="319"/>
      <c r="BL5870" s="319"/>
      <c r="BM5870" s="319"/>
      <c r="BN5870" s="319"/>
      <c r="BO5870" s="319"/>
      <c r="BP5870" s="953"/>
      <c r="BQ5870" s="319"/>
      <c r="BR5870" s="319"/>
      <c r="BS5870" s="330"/>
      <c r="BT5870" s="331"/>
      <c r="BU5870" s="920"/>
      <c r="BV5870" s="903"/>
      <c r="BW5870" s="908"/>
      <c r="BX5870" s="908"/>
      <c r="BY5870" s="331"/>
      <c r="BZ5870" s="331"/>
      <c r="CA5870" s="462"/>
      <c r="CB5870" s="319"/>
      <c r="CC5870" s="319"/>
      <c r="CD5870" s="319"/>
      <c r="CE5870" s="319"/>
      <c r="CF5870" s="319"/>
      <c r="CG5870" s="319"/>
      <c r="CH5870" s="318"/>
      <c r="CI5870" s="319"/>
      <c r="CJ5870" s="319"/>
      <c r="CK5870" s="342"/>
      <c r="CL5870" s="333"/>
      <c r="CM5870" s="1079"/>
      <c r="CN5870" s="1005"/>
      <c r="CO5870" s="1005"/>
      <c r="CP5870" s="1005"/>
    </row>
    <row r="5871">
      <c r="A5871" s="1257"/>
      <c r="B5871" s="1113"/>
      <c r="C5871" s="1107"/>
      <c r="D5871" s="103"/>
      <c r="E5871" s="1137"/>
      <c r="F5871" s="112"/>
      <c r="G5871" s="1110"/>
      <c r="H5871" s="1138"/>
      <c r="I5871" s="1138"/>
      <c r="J5871" s="1139"/>
      <c r="K5871" s="1111"/>
      <c r="L5871" s="1112"/>
      <c r="M5871" s="1113"/>
      <c r="N5871" s="110"/>
      <c r="O5871" s="1140"/>
      <c r="P5871" s="1115"/>
      <c r="Q5871" s="1116"/>
      <c r="R5871" s="1141"/>
      <c r="S5871" s="1113"/>
      <c r="T5871" s="1143"/>
      <c r="U5871" s="1108"/>
      <c r="V5871" s="1108"/>
      <c r="W5871" s="1108"/>
      <c r="X5871" s="1108"/>
      <c r="Y5871" s="1108"/>
      <c r="Z5871" s="1114"/>
      <c r="AA5871" s="1114"/>
      <c r="AB5871" s="1114"/>
      <c r="AC5871" s="1117"/>
      <c r="AD5871" s="1115"/>
      <c r="AE5871" s="1115"/>
      <c r="AF5871" s="1115"/>
      <c r="AG5871" s="1115"/>
      <c r="AH5871" s="1115"/>
      <c r="AI5871" s="1115"/>
      <c r="AJ5871" s="1117"/>
      <c r="AK5871" s="1118"/>
      <c r="AL5871" s="1115"/>
      <c r="AM5871" s="1115"/>
      <c r="AN5871" s="1115"/>
      <c r="AO5871" s="1115"/>
      <c r="AP5871" s="1115"/>
      <c r="AQ5871" s="1115"/>
      <c r="AR5871" s="1115"/>
      <c r="AS5871" s="1117"/>
      <c r="AT5871" s="1075"/>
      <c r="AU5871" s="1193"/>
      <c r="AV5871" s="330"/>
      <c r="AW5871" s="331"/>
      <c r="AX5871" s="331"/>
      <c r="AY5871" s="331"/>
      <c r="AZ5871" s="331"/>
      <c r="BA5871" s="331"/>
      <c r="BB5871" s="331"/>
      <c r="BC5871" s="331"/>
      <c r="BD5871" s="331"/>
      <c r="BE5871" s="333"/>
      <c r="BF5871" s="330"/>
      <c r="BG5871" s="333"/>
      <c r="BH5871" s="1119"/>
      <c r="BI5871" s="319"/>
      <c r="BJ5871" s="319"/>
      <c r="BK5871" s="319"/>
      <c r="BL5871" s="319"/>
      <c r="BM5871" s="319"/>
      <c r="BN5871" s="319"/>
      <c r="BO5871" s="319"/>
      <c r="BP5871" s="953"/>
      <c r="BQ5871" s="319"/>
      <c r="BR5871" s="319"/>
      <c r="BS5871" s="330"/>
      <c r="BT5871" s="331"/>
      <c r="BU5871" s="920"/>
      <c r="BV5871" s="903"/>
      <c r="BW5871" s="908"/>
      <c r="BX5871" s="908"/>
      <c r="BY5871" s="331"/>
      <c r="BZ5871" s="331"/>
      <c r="CA5871" s="462"/>
      <c r="CB5871" s="319"/>
      <c r="CC5871" s="319"/>
      <c r="CD5871" s="319"/>
      <c r="CE5871" s="319"/>
      <c r="CF5871" s="319"/>
      <c r="CG5871" s="319"/>
      <c r="CH5871" s="318"/>
      <c r="CI5871" s="319"/>
      <c r="CJ5871" s="319"/>
      <c r="CK5871" s="342"/>
      <c r="CL5871" s="333"/>
      <c r="CM5871" s="1079"/>
      <c r="CN5871" s="1005"/>
      <c r="CO5871" s="1005"/>
      <c r="CP5871" s="1005"/>
    </row>
    <row r="5872">
      <c r="A5872" s="1257"/>
      <c r="B5872" s="1113"/>
      <c r="C5872" s="1107"/>
      <c r="D5872" s="103"/>
      <c r="E5872" s="1137"/>
      <c r="F5872" s="112"/>
      <c r="G5872" s="1110"/>
      <c r="H5872" s="1138"/>
      <c r="I5872" s="1138"/>
      <c r="J5872" s="1139"/>
      <c r="K5872" s="1111"/>
      <c r="L5872" s="1112"/>
      <c r="M5872" s="1113"/>
      <c r="N5872" s="110"/>
      <c r="O5872" s="1140"/>
      <c r="P5872" s="1115"/>
      <c r="Q5872" s="1116"/>
      <c r="R5872" s="1141"/>
      <c r="S5872" s="1113"/>
      <c r="T5872" s="1143"/>
      <c r="U5872" s="1108"/>
      <c r="V5872" s="1108"/>
      <c r="W5872" s="1108"/>
      <c r="X5872" s="1108"/>
      <c r="Y5872" s="1108"/>
      <c r="Z5872" s="1114"/>
      <c r="AA5872" s="1114"/>
      <c r="AB5872" s="1114"/>
      <c r="AC5872" s="1117"/>
      <c r="AD5872" s="1115"/>
      <c r="AE5872" s="1115"/>
      <c r="AF5872" s="1115"/>
      <c r="AG5872" s="1115"/>
      <c r="AH5872" s="1115"/>
      <c r="AI5872" s="1115"/>
      <c r="AJ5872" s="1117"/>
      <c r="AK5872" s="1118"/>
      <c r="AL5872" s="1115"/>
      <c r="AM5872" s="1115"/>
      <c r="AN5872" s="1115"/>
      <c r="AO5872" s="1115"/>
      <c r="AP5872" s="1115"/>
      <c r="AQ5872" s="1115"/>
      <c r="AR5872" s="1115"/>
      <c r="AS5872" s="1117"/>
      <c r="AT5872" s="1075"/>
      <c r="AU5872" s="1193"/>
      <c r="AV5872" s="330"/>
      <c r="AW5872" s="331"/>
      <c r="AX5872" s="331"/>
      <c r="AY5872" s="331"/>
      <c r="AZ5872" s="331"/>
      <c r="BA5872" s="331"/>
      <c r="BB5872" s="331"/>
      <c r="BC5872" s="331"/>
      <c r="BD5872" s="331"/>
      <c r="BE5872" s="333"/>
      <c r="BF5872" s="330"/>
      <c r="BG5872" s="333"/>
      <c r="BH5872" s="1119"/>
      <c r="BI5872" s="319"/>
      <c r="BJ5872" s="319"/>
      <c r="BK5872" s="319"/>
      <c r="BL5872" s="319"/>
      <c r="BM5872" s="319"/>
      <c r="BN5872" s="319"/>
      <c r="BO5872" s="319"/>
      <c r="BP5872" s="953"/>
      <c r="BQ5872" s="319"/>
      <c r="BR5872" s="319"/>
      <c r="BS5872" s="330"/>
      <c r="BT5872" s="331"/>
      <c r="BU5872" s="920"/>
      <c r="BV5872" s="903"/>
      <c r="BW5872" s="908"/>
      <c r="BX5872" s="908"/>
      <c r="BY5872" s="331"/>
      <c r="BZ5872" s="331"/>
      <c r="CA5872" s="462"/>
      <c r="CB5872" s="319"/>
      <c r="CC5872" s="319"/>
      <c r="CD5872" s="319"/>
      <c r="CE5872" s="319"/>
      <c r="CF5872" s="319"/>
      <c r="CG5872" s="319"/>
      <c r="CH5872" s="318"/>
      <c r="CI5872" s="319"/>
      <c r="CJ5872" s="319"/>
      <c r="CK5872" s="342"/>
      <c r="CL5872" s="333"/>
      <c r="CM5872" s="1079"/>
      <c r="CN5872" s="1005"/>
      <c r="CO5872" s="1005"/>
      <c r="CP5872" s="1005"/>
    </row>
    <row r="5873">
      <c r="A5873" s="1257"/>
      <c r="B5873" s="1113"/>
      <c r="C5873" s="1107"/>
      <c r="D5873" s="103"/>
      <c r="E5873" s="1137"/>
      <c r="F5873" s="112"/>
      <c r="G5873" s="1110"/>
      <c r="H5873" s="1138"/>
      <c r="I5873" s="1138"/>
      <c r="J5873" s="1139"/>
      <c r="K5873" s="1111"/>
      <c r="L5873" s="1112"/>
      <c r="M5873" s="1113"/>
      <c r="N5873" s="110"/>
      <c r="O5873" s="1140"/>
      <c r="P5873" s="1115"/>
      <c r="Q5873" s="1116"/>
      <c r="R5873" s="1141"/>
      <c r="S5873" s="1113"/>
      <c r="T5873" s="1143"/>
      <c r="U5873" s="1108"/>
      <c r="V5873" s="1108"/>
      <c r="W5873" s="1108"/>
      <c r="X5873" s="1108"/>
      <c r="Y5873" s="1108"/>
      <c r="Z5873" s="1114"/>
      <c r="AA5873" s="1114"/>
      <c r="AB5873" s="1114"/>
      <c r="AC5873" s="1117"/>
      <c r="AD5873" s="1115"/>
      <c r="AE5873" s="1115"/>
      <c r="AF5873" s="1115"/>
      <c r="AG5873" s="1115"/>
      <c r="AH5873" s="1115"/>
      <c r="AI5873" s="1115"/>
      <c r="AJ5873" s="1117"/>
      <c r="AK5873" s="1118"/>
      <c r="AL5873" s="1115"/>
      <c r="AM5873" s="1115"/>
      <c r="AN5873" s="1115"/>
      <c r="AO5873" s="1115"/>
      <c r="AP5873" s="1115"/>
      <c r="AQ5873" s="1115"/>
      <c r="AR5873" s="1115"/>
      <c r="AS5873" s="1117"/>
      <c r="AT5873" s="1075"/>
      <c r="AU5873" s="1193"/>
      <c r="AV5873" s="330"/>
      <c r="AW5873" s="331"/>
      <c r="AX5873" s="331"/>
      <c r="AY5873" s="331"/>
      <c r="AZ5873" s="331"/>
      <c r="BA5873" s="331"/>
      <c r="BB5873" s="331"/>
      <c r="BC5873" s="331"/>
      <c r="BD5873" s="331"/>
      <c r="BE5873" s="333"/>
      <c r="BF5873" s="330"/>
      <c r="BG5873" s="333"/>
      <c r="BH5873" s="1119"/>
      <c r="BI5873" s="319"/>
      <c r="BJ5873" s="319"/>
      <c r="BK5873" s="319"/>
      <c r="BL5873" s="319"/>
      <c r="BM5873" s="319"/>
      <c r="BN5873" s="319"/>
      <c r="BO5873" s="319"/>
      <c r="BP5873" s="953"/>
      <c r="BQ5873" s="319"/>
      <c r="BR5873" s="319"/>
      <c r="BS5873" s="330"/>
      <c r="BT5873" s="331"/>
      <c r="BU5873" s="920"/>
      <c r="BV5873" s="903"/>
      <c r="BW5873" s="908"/>
      <c r="BX5873" s="908"/>
      <c r="BY5873" s="331"/>
      <c r="BZ5873" s="331"/>
      <c r="CA5873" s="462"/>
      <c r="CB5873" s="319"/>
      <c r="CC5873" s="319"/>
      <c r="CD5873" s="319"/>
      <c r="CE5873" s="319"/>
      <c r="CF5873" s="319"/>
      <c r="CG5873" s="319"/>
      <c r="CH5873" s="318"/>
      <c r="CI5873" s="319"/>
      <c r="CJ5873" s="319"/>
      <c r="CK5873" s="342"/>
      <c r="CL5873" s="333"/>
      <c r="CM5873" s="1079"/>
      <c r="CN5873" s="1005"/>
      <c r="CO5873" s="1005"/>
      <c r="CP5873" s="1005"/>
    </row>
    <row r="5874">
      <c r="A5874" s="1257"/>
      <c r="B5874" s="1113"/>
      <c r="C5874" s="1107"/>
      <c r="D5874" s="103"/>
      <c r="E5874" s="1137"/>
      <c r="F5874" s="112"/>
      <c r="G5874" s="1110"/>
      <c r="H5874" s="1138"/>
      <c r="I5874" s="1138"/>
      <c r="J5874" s="1139"/>
      <c r="K5874" s="1111"/>
      <c r="L5874" s="1112"/>
      <c r="M5874" s="1113"/>
      <c r="N5874" s="110"/>
      <c r="O5874" s="1140"/>
      <c r="P5874" s="1115"/>
      <c r="Q5874" s="1116"/>
      <c r="R5874" s="1141"/>
      <c r="S5874" s="1113"/>
      <c r="T5874" s="1143"/>
      <c r="U5874" s="1108"/>
      <c r="V5874" s="1108"/>
      <c r="W5874" s="1108"/>
      <c r="X5874" s="1108"/>
      <c r="Y5874" s="1108"/>
      <c r="Z5874" s="1114"/>
      <c r="AA5874" s="1114"/>
      <c r="AB5874" s="1114"/>
      <c r="AC5874" s="1117"/>
      <c r="AD5874" s="1115"/>
      <c r="AE5874" s="1115"/>
      <c r="AF5874" s="1115"/>
      <c r="AG5874" s="1115"/>
      <c r="AH5874" s="1115"/>
      <c r="AI5874" s="1115"/>
      <c r="AJ5874" s="1117"/>
      <c r="AK5874" s="1118"/>
      <c r="AL5874" s="1115"/>
      <c r="AM5874" s="1115"/>
      <c r="AN5874" s="1115"/>
      <c r="AO5874" s="1115"/>
      <c r="AP5874" s="1115"/>
      <c r="AQ5874" s="1115"/>
      <c r="AR5874" s="1115"/>
      <c r="AS5874" s="1117"/>
      <c r="AT5874" s="1075"/>
      <c r="AU5874" s="1193"/>
      <c r="AV5874" s="330"/>
      <c r="AW5874" s="331"/>
      <c r="AX5874" s="331"/>
      <c r="AY5874" s="331"/>
      <c r="AZ5874" s="331"/>
      <c r="BA5874" s="331"/>
      <c r="BB5874" s="331"/>
      <c r="BC5874" s="331"/>
      <c r="BD5874" s="331"/>
      <c r="BE5874" s="333"/>
      <c r="BF5874" s="330"/>
      <c r="BG5874" s="333"/>
      <c r="BH5874" s="1119"/>
      <c r="BI5874" s="319"/>
      <c r="BJ5874" s="319"/>
      <c r="BK5874" s="319"/>
      <c r="BL5874" s="319"/>
      <c r="BM5874" s="319"/>
      <c r="BN5874" s="319"/>
      <c r="BO5874" s="319"/>
      <c r="BP5874" s="953"/>
      <c r="BQ5874" s="319"/>
      <c r="BR5874" s="319"/>
      <c r="BS5874" s="330"/>
      <c r="BT5874" s="331"/>
      <c r="BU5874" s="920"/>
      <c r="BV5874" s="903"/>
      <c r="BW5874" s="908"/>
      <c r="BX5874" s="908"/>
      <c r="BY5874" s="331"/>
      <c r="BZ5874" s="331"/>
      <c r="CA5874" s="462"/>
      <c r="CB5874" s="319"/>
      <c r="CC5874" s="319"/>
      <c r="CD5874" s="319"/>
      <c r="CE5874" s="319"/>
      <c r="CF5874" s="319"/>
      <c r="CG5874" s="319"/>
      <c r="CH5874" s="318"/>
      <c r="CI5874" s="319"/>
      <c r="CJ5874" s="319"/>
      <c r="CK5874" s="342"/>
      <c r="CL5874" s="333"/>
      <c r="CM5874" s="1079"/>
      <c r="CN5874" s="1005"/>
      <c r="CO5874" s="1005"/>
      <c r="CP5874" s="1005"/>
    </row>
    <row r="5875">
      <c r="A5875" s="1257"/>
      <c r="B5875" s="1113"/>
      <c r="C5875" s="1107"/>
      <c r="D5875" s="103"/>
      <c r="E5875" s="1137"/>
      <c r="F5875" s="112"/>
      <c r="G5875" s="1110"/>
      <c r="H5875" s="1138"/>
      <c r="I5875" s="1138"/>
      <c r="J5875" s="1139"/>
      <c r="K5875" s="1111"/>
      <c r="L5875" s="1112"/>
      <c r="M5875" s="1113"/>
      <c r="N5875" s="110"/>
      <c r="O5875" s="1140"/>
      <c r="P5875" s="1115"/>
      <c r="Q5875" s="1116"/>
      <c r="R5875" s="1141"/>
      <c r="S5875" s="1113"/>
      <c r="T5875" s="1143"/>
      <c r="U5875" s="1108"/>
      <c r="V5875" s="1108"/>
      <c r="W5875" s="1108"/>
      <c r="X5875" s="1108"/>
      <c r="Y5875" s="1108"/>
      <c r="Z5875" s="1114"/>
      <c r="AA5875" s="1114"/>
      <c r="AB5875" s="1114"/>
      <c r="AC5875" s="1117"/>
      <c r="AD5875" s="1115"/>
      <c r="AE5875" s="1115"/>
      <c r="AF5875" s="1115"/>
      <c r="AG5875" s="1115"/>
      <c r="AH5875" s="1115"/>
      <c r="AI5875" s="1115"/>
      <c r="AJ5875" s="1117"/>
      <c r="AK5875" s="1118"/>
      <c r="AL5875" s="1115"/>
      <c r="AM5875" s="1115"/>
      <c r="AN5875" s="1115"/>
      <c r="AO5875" s="1115"/>
      <c r="AP5875" s="1115"/>
      <c r="AQ5875" s="1115"/>
      <c r="AR5875" s="1115"/>
      <c r="AS5875" s="1117"/>
      <c r="AT5875" s="1075"/>
      <c r="AU5875" s="1193"/>
      <c r="AV5875" s="330"/>
      <c r="AW5875" s="331"/>
      <c r="AX5875" s="331"/>
      <c r="AY5875" s="331"/>
      <c r="AZ5875" s="331"/>
      <c r="BA5875" s="331"/>
      <c r="BB5875" s="331"/>
      <c r="BC5875" s="331"/>
      <c r="BD5875" s="331"/>
      <c r="BE5875" s="333"/>
      <c r="BF5875" s="330"/>
      <c r="BG5875" s="333"/>
      <c r="BH5875" s="1119"/>
      <c r="BI5875" s="319"/>
      <c r="BJ5875" s="319"/>
      <c r="BK5875" s="319"/>
      <c r="BL5875" s="319"/>
      <c r="BM5875" s="319"/>
      <c r="BN5875" s="319"/>
      <c r="BO5875" s="319"/>
      <c r="BP5875" s="953"/>
      <c r="BQ5875" s="319"/>
      <c r="BR5875" s="319"/>
      <c r="BS5875" s="330"/>
      <c r="BT5875" s="331"/>
      <c r="BU5875" s="920"/>
      <c r="BV5875" s="903"/>
      <c r="BW5875" s="908"/>
      <c r="BX5875" s="908"/>
      <c r="BY5875" s="331"/>
      <c r="BZ5875" s="331"/>
      <c r="CA5875" s="462"/>
      <c r="CB5875" s="319"/>
      <c r="CC5875" s="319"/>
      <c r="CD5875" s="319"/>
      <c r="CE5875" s="319"/>
      <c r="CF5875" s="319"/>
      <c r="CG5875" s="319"/>
      <c r="CH5875" s="318"/>
      <c r="CI5875" s="319"/>
      <c r="CJ5875" s="319"/>
      <c r="CK5875" s="342"/>
      <c r="CL5875" s="333"/>
      <c r="CM5875" s="1079"/>
      <c r="CN5875" s="1005"/>
      <c r="CO5875" s="1005"/>
      <c r="CP5875" s="1005"/>
    </row>
    <row r="5876">
      <c r="A5876" s="1257"/>
      <c r="B5876" s="1113"/>
      <c r="C5876" s="1107"/>
      <c r="D5876" s="103"/>
      <c r="E5876" s="1137"/>
      <c r="F5876" s="112"/>
      <c r="G5876" s="1110"/>
      <c r="H5876" s="1138"/>
      <c r="I5876" s="1138"/>
      <c r="J5876" s="1139"/>
      <c r="K5876" s="1111"/>
      <c r="L5876" s="1112"/>
      <c r="M5876" s="1113"/>
      <c r="N5876" s="110"/>
      <c r="O5876" s="1140"/>
      <c r="P5876" s="1115"/>
      <c r="Q5876" s="1116"/>
      <c r="R5876" s="1141"/>
      <c r="S5876" s="1113"/>
      <c r="T5876" s="1143"/>
      <c r="U5876" s="1108"/>
      <c r="V5876" s="1108"/>
      <c r="W5876" s="1108"/>
      <c r="X5876" s="1108"/>
      <c r="Y5876" s="1108"/>
      <c r="Z5876" s="1114"/>
      <c r="AA5876" s="1114"/>
      <c r="AB5876" s="1114"/>
      <c r="AC5876" s="1117"/>
      <c r="AD5876" s="1115"/>
      <c r="AE5876" s="1115"/>
      <c r="AF5876" s="1115"/>
      <c r="AG5876" s="1115"/>
      <c r="AH5876" s="1115"/>
      <c r="AI5876" s="1115"/>
      <c r="AJ5876" s="1117"/>
      <c r="AK5876" s="1118"/>
      <c r="AL5876" s="1115"/>
      <c r="AM5876" s="1115"/>
      <c r="AN5876" s="1115"/>
      <c r="AO5876" s="1115"/>
      <c r="AP5876" s="1115"/>
      <c r="AQ5876" s="1115"/>
      <c r="AR5876" s="1115"/>
      <c r="AS5876" s="1117"/>
      <c r="AT5876" s="1075"/>
      <c r="AU5876" s="1193"/>
      <c r="AV5876" s="330"/>
      <c r="AW5876" s="331"/>
      <c r="AX5876" s="331"/>
      <c r="AY5876" s="331"/>
      <c r="AZ5876" s="331"/>
      <c r="BA5876" s="331"/>
      <c r="BB5876" s="331"/>
      <c r="BC5876" s="331"/>
      <c r="BD5876" s="331"/>
      <c r="BE5876" s="333"/>
      <c r="BF5876" s="330"/>
      <c r="BG5876" s="333"/>
      <c r="BH5876" s="1119"/>
      <c r="BI5876" s="319"/>
      <c r="BJ5876" s="319"/>
      <c r="BK5876" s="319"/>
      <c r="BL5876" s="319"/>
      <c r="BM5876" s="319"/>
      <c r="BN5876" s="319"/>
      <c r="BO5876" s="319"/>
      <c r="BP5876" s="953"/>
      <c r="BQ5876" s="319"/>
      <c r="BR5876" s="319"/>
      <c r="BS5876" s="330"/>
      <c r="BT5876" s="331"/>
      <c r="BU5876" s="920"/>
      <c r="BV5876" s="903"/>
      <c r="BW5876" s="908"/>
      <c r="BX5876" s="908"/>
      <c r="BY5876" s="331"/>
      <c r="BZ5876" s="331"/>
      <c r="CA5876" s="462"/>
      <c r="CB5876" s="319"/>
      <c r="CC5876" s="319"/>
      <c r="CD5876" s="319"/>
      <c r="CE5876" s="319"/>
      <c r="CF5876" s="319"/>
      <c r="CG5876" s="319"/>
      <c r="CH5876" s="318"/>
      <c r="CI5876" s="319"/>
      <c r="CJ5876" s="319"/>
      <c r="CK5876" s="342"/>
      <c r="CL5876" s="333"/>
      <c r="CM5876" s="1079"/>
      <c r="CN5876" s="1005"/>
      <c r="CO5876" s="1005"/>
      <c r="CP5876" s="1005"/>
    </row>
    <row r="5877">
      <c r="A5877" s="1257"/>
      <c r="B5877" s="1113"/>
      <c r="C5877" s="1107"/>
      <c r="D5877" s="103"/>
      <c r="E5877" s="1137"/>
      <c r="F5877" s="112"/>
      <c r="G5877" s="1110"/>
      <c r="H5877" s="1138"/>
      <c r="I5877" s="1138"/>
      <c r="J5877" s="1139"/>
      <c r="K5877" s="1111"/>
      <c r="L5877" s="1112"/>
      <c r="M5877" s="1113"/>
      <c r="N5877" s="110"/>
      <c r="O5877" s="1140"/>
      <c r="P5877" s="1115"/>
      <c r="Q5877" s="1116"/>
      <c r="R5877" s="1141"/>
      <c r="S5877" s="1113"/>
      <c r="T5877" s="1143"/>
      <c r="U5877" s="1108"/>
      <c r="V5877" s="1108"/>
      <c r="W5877" s="1108"/>
      <c r="X5877" s="1108"/>
      <c r="Y5877" s="1108"/>
      <c r="Z5877" s="1114"/>
      <c r="AA5877" s="1114"/>
      <c r="AB5877" s="1114"/>
      <c r="AC5877" s="1117"/>
      <c r="AD5877" s="1115"/>
      <c r="AE5877" s="1115"/>
      <c r="AF5877" s="1115"/>
      <c r="AG5877" s="1115"/>
      <c r="AH5877" s="1115"/>
      <c r="AI5877" s="1115"/>
      <c r="AJ5877" s="1117"/>
      <c r="AK5877" s="1118"/>
      <c r="AL5877" s="1115"/>
      <c r="AM5877" s="1115"/>
      <c r="AN5877" s="1115"/>
      <c r="AO5877" s="1115"/>
      <c r="AP5877" s="1115"/>
      <c r="AQ5877" s="1115"/>
      <c r="AR5877" s="1115"/>
      <c r="AS5877" s="1117"/>
      <c r="AT5877" s="1075"/>
      <c r="AU5877" s="1193"/>
      <c r="AV5877" s="330"/>
      <c r="AW5877" s="331"/>
      <c r="AX5877" s="331"/>
      <c r="AY5877" s="331"/>
      <c r="AZ5877" s="331"/>
      <c r="BA5877" s="331"/>
      <c r="BB5877" s="331"/>
      <c r="BC5877" s="331"/>
      <c r="BD5877" s="331"/>
      <c r="BE5877" s="333"/>
      <c r="BF5877" s="330"/>
      <c r="BG5877" s="333"/>
      <c r="BH5877" s="1119"/>
      <c r="BI5877" s="319"/>
      <c r="BJ5877" s="319"/>
      <c r="BK5877" s="319"/>
      <c r="BL5877" s="319"/>
      <c r="BM5877" s="319"/>
      <c r="BN5877" s="319"/>
      <c r="BO5877" s="319"/>
      <c r="BP5877" s="953"/>
      <c r="BQ5877" s="319"/>
      <c r="BR5877" s="319"/>
      <c r="BS5877" s="330"/>
      <c r="BT5877" s="331"/>
      <c r="BU5877" s="920"/>
      <c r="BV5877" s="903"/>
      <c r="BW5877" s="908"/>
      <c r="BX5877" s="908"/>
      <c r="BY5877" s="331"/>
      <c r="BZ5877" s="331"/>
      <c r="CA5877" s="462"/>
      <c r="CB5877" s="319"/>
      <c r="CC5877" s="319"/>
      <c r="CD5877" s="319"/>
      <c r="CE5877" s="319"/>
      <c r="CF5877" s="319"/>
      <c r="CG5877" s="319"/>
      <c r="CH5877" s="318"/>
      <c r="CI5877" s="319"/>
      <c r="CJ5877" s="319"/>
      <c r="CK5877" s="342"/>
      <c r="CL5877" s="333"/>
      <c r="CM5877" s="1079"/>
      <c r="CN5877" s="1005"/>
      <c r="CO5877" s="1005"/>
      <c r="CP5877" s="1005"/>
    </row>
    <row r="5878">
      <c r="A5878" s="1257"/>
      <c r="B5878" s="1113"/>
      <c r="C5878" s="1107"/>
      <c r="D5878" s="103"/>
      <c r="E5878" s="1137"/>
      <c r="F5878" s="112"/>
      <c r="G5878" s="1110"/>
      <c r="H5878" s="1138"/>
      <c r="I5878" s="1138"/>
      <c r="J5878" s="1139"/>
      <c r="K5878" s="1111"/>
      <c r="L5878" s="1112"/>
      <c r="M5878" s="1113"/>
      <c r="N5878" s="110"/>
      <c r="O5878" s="1140"/>
      <c r="P5878" s="1115"/>
      <c r="Q5878" s="1116"/>
      <c r="R5878" s="1141"/>
      <c r="S5878" s="1113"/>
      <c r="T5878" s="1143"/>
      <c r="U5878" s="1108"/>
      <c r="V5878" s="1108"/>
      <c r="W5878" s="1108"/>
      <c r="X5878" s="1108"/>
      <c r="Y5878" s="1108"/>
      <c r="Z5878" s="1114"/>
      <c r="AA5878" s="1114"/>
      <c r="AB5878" s="1114"/>
      <c r="AC5878" s="1117"/>
      <c r="AD5878" s="1115"/>
      <c r="AE5878" s="1115"/>
      <c r="AF5878" s="1115"/>
      <c r="AG5878" s="1115"/>
      <c r="AH5878" s="1115"/>
      <c r="AI5878" s="1115"/>
      <c r="AJ5878" s="1117"/>
      <c r="AK5878" s="1118"/>
      <c r="AL5878" s="1115"/>
      <c r="AM5878" s="1115"/>
      <c r="AN5878" s="1115"/>
      <c r="AO5878" s="1115"/>
      <c r="AP5878" s="1115"/>
      <c r="AQ5878" s="1115"/>
      <c r="AR5878" s="1115"/>
      <c r="AS5878" s="1117"/>
      <c r="AT5878" s="1075"/>
      <c r="AU5878" s="1193"/>
      <c r="AV5878" s="330"/>
      <c r="AW5878" s="331"/>
      <c r="AX5878" s="331"/>
      <c r="AY5878" s="331"/>
      <c r="AZ5878" s="331"/>
      <c r="BA5878" s="331"/>
      <c r="BB5878" s="331"/>
      <c r="BC5878" s="331"/>
      <c r="BD5878" s="331"/>
      <c r="BE5878" s="333"/>
      <c r="BF5878" s="330"/>
      <c r="BG5878" s="333"/>
      <c r="BH5878" s="1119"/>
      <c r="BI5878" s="319"/>
      <c r="BJ5878" s="319"/>
      <c r="BK5878" s="319"/>
      <c r="BL5878" s="319"/>
      <c r="BM5878" s="319"/>
      <c r="BN5878" s="319"/>
      <c r="BO5878" s="319"/>
      <c r="BP5878" s="953"/>
      <c r="BQ5878" s="319"/>
      <c r="BR5878" s="319"/>
      <c r="BS5878" s="330"/>
      <c r="BT5878" s="331"/>
      <c r="BU5878" s="920"/>
      <c r="BV5878" s="903"/>
      <c r="BW5878" s="908"/>
      <c r="BX5878" s="908"/>
      <c r="BY5878" s="331"/>
      <c r="BZ5878" s="331"/>
      <c r="CA5878" s="462"/>
      <c r="CB5878" s="319"/>
      <c r="CC5878" s="319"/>
      <c r="CD5878" s="319"/>
      <c r="CE5878" s="319"/>
      <c r="CF5878" s="319"/>
      <c r="CG5878" s="319"/>
      <c r="CH5878" s="318"/>
      <c r="CI5878" s="319"/>
      <c r="CJ5878" s="319"/>
      <c r="CK5878" s="342"/>
      <c r="CL5878" s="333"/>
      <c r="CM5878" s="1079"/>
      <c r="CN5878" s="1005"/>
      <c r="CO5878" s="1005"/>
      <c r="CP5878" s="1005"/>
    </row>
    <row r="5879">
      <c r="A5879" s="1257"/>
      <c r="B5879" s="1113"/>
      <c r="C5879" s="1107"/>
      <c r="D5879" s="103"/>
      <c r="E5879" s="1137"/>
      <c r="F5879" s="112"/>
      <c r="G5879" s="1110"/>
      <c r="H5879" s="1138"/>
      <c r="I5879" s="1138"/>
      <c r="J5879" s="1139"/>
      <c r="K5879" s="1111"/>
      <c r="L5879" s="1112"/>
      <c r="M5879" s="1113"/>
      <c r="N5879" s="110"/>
      <c r="O5879" s="1140"/>
      <c r="P5879" s="1115"/>
      <c r="Q5879" s="1116"/>
      <c r="R5879" s="1141"/>
      <c r="S5879" s="1113"/>
      <c r="T5879" s="1143"/>
      <c r="U5879" s="1108"/>
      <c r="V5879" s="1108"/>
      <c r="W5879" s="1108"/>
      <c r="X5879" s="1108"/>
      <c r="Y5879" s="1108"/>
      <c r="Z5879" s="1114"/>
      <c r="AA5879" s="1114"/>
      <c r="AB5879" s="1114"/>
      <c r="AC5879" s="1117"/>
      <c r="AD5879" s="1115"/>
      <c r="AE5879" s="1115"/>
      <c r="AF5879" s="1115"/>
      <c r="AG5879" s="1115"/>
      <c r="AH5879" s="1115"/>
      <c r="AI5879" s="1115"/>
      <c r="AJ5879" s="1117"/>
      <c r="AK5879" s="1118"/>
      <c r="AL5879" s="1115"/>
      <c r="AM5879" s="1115"/>
      <c r="AN5879" s="1115"/>
      <c r="AO5879" s="1115"/>
      <c r="AP5879" s="1115"/>
      <c r="AQ5879" s="1115"/>
      <c r="AR5879" s="1115"/>
      <c r="AS5879" s="1117"/>
      <c r="AT5879" s="1075"/>
      <c r="AU5879" s="1193"/>
      <c r="AV5879" s="330"/>
      <c r="AW5879" s="331"/>
      <c r="AX5879" s="331"/>
      <c r="AY5879" s="331"/>
      <c r="AZ5879" s="331"/>
      <c r="BA5879" s="331"/>
      <c r="BB5879" s="331"/>
      <c r="BC5879" s="331"/>
      <c r="BD5879" s="331"/>
      <c r="BE5879" s="333"/>
      <c r="BF5879" s="330"/>
      <c r="BG5879" s="333"/>
      <c r="BH5879" s="1119"/>
      <c r="BI5879" s="319"/>
      <c r="BJ5879" s="319"/>
      <c r="BK5879" s="319"/>
      <c r="BL5879" s="319"/>
      <c r="BM5879" s="319"/>
      <c r="BN5879" s="319"/>
      <c r="BO5879" s="319"/>
      <c r="BP5879" s="953"/>
      <c r="BQ5879" s="319"/>
      <c r="BR5879" s="319"/>
      <c r="BS5879" s="330"/>
      <c r="BT5879" s="331"/>
      <c r="BU5879" s="920"/>
      <c r="BV5879" s="903"/>
      <c r="BW5879" s="908"/>
      <c r="BX5879" s="908"/>
      <c r="BY5879" s="331"/>
      <c r="BZ5879" s="331"/>
      <c r="CA5879" s="462"/>
      <c r="CB5879" s="319"/>
      <c r="CC5879" s="319"/>
      <c r="CD5879" s="319"/>
      <c r="CE5879" s="319"/>
      <c r="CF5879" s="319"/>
      <c r="CG5879" s="319"/>
      <c r="CH5879" s="318"/>
      <c r="CI5879" s="319"/>
      <c r="CJ5879" s="319"/>
      <c r="CK5879" s="342"/>
      <c r="CL5879" s="333"/>
      <c r="CM5879" s="1079"/>
      <c r="CN5879" s="1005"/>
      <c r="CO5879" s="1005"/>
      <c r="CP5879" s="1005"/>
    </row>
    <row r="5880">
      <c r="A5880" s="1257"/>
      <c r="B5880" s="1113"/>
      <c r="C5880" s="1107"/>
      <c r="D5880" s="103"/>
      <c r="E5880" s="1137"/>
      <c r="F5880" s="112"/>
      <c r="G5880" s="1110"/>
      <c r="H5880" s="1138"/>
      <c r="I5880" s="1138"/>
      <c r="J5880" s="1139"/>
      <c r="K5880" s="1111"/>
      <c r="L5880" s="1112"/>
      <c r="M5880" s="1113"/>
      <c r="N5880" s="110"/>
      <c r="O5880" s="1140"/>
      <c r="P5880" s="1115"/>
      <c r="Q5880" s="1116"/>
      <c r="R5880" s="1141"/>
      <c r="S5880" s="1113"/>
      <c r="T5880" s="1143"/>
      <c r="U5880" s="1108"/>
      <c r="V5880" s="1108"/>
      <c r="W5880" s="1108"/>
      <c r="X5880" s="1108"/>
      <c r="Y5880" s="1108"/>
      <c r="Z5880" s="1114"/>
      <c r="AA5880" s="1114"/>
      <c r="AB5880" s="1114"/>
      <c r="AC5880" s="1117"/>
      <c r="AD5880" s="1115"/>
      <c r="AE5880" s="1115"/>
      <c r="AF5880" s="1115"/>
      <c r="AG5880" s="1115"/>
      <c r="AH5880" s="1115"/>
      <c r="AI5880" s="1115"/>
      <c r="AJ5880" s="1117"/>
      <c r="AK5880" s="1118"/>
      <c r="AL5880" s="1115"/>
      <c r="AM5880" s="1115"/>
      <c r="AN5880" s="1115"/>
      <c r="AO5880" s="1115"/>
      <c r="AP5880" s="1115"/>
      <c r="AQ5880" s="1115"/>
      <c r="AR5880" s="1115"/>
      <c r="AS5880" s="1117"/>
      <c r="AT5880" s="1075"/>
      <c r="AU5880" s="1193"/>
      <c r="AV5880" s="330"/>
      <c r="AW5880" s="331"/>
      <c r="AX5880" s="331"/>
      <c r="AY5880" s="331"/>
      <c r="AZ5880" s="331"/>
      <c r="BA5880" s="331"/>
      <c r="BB5880" s="331"/>
      <c r="BC5880" s="331"/>
      <c r="BD5880" s="331"/>
      <c r="BE5880" s="333"/>
      <c r="BF5880" s="330"/>
      <c r="BG5880" s="333"/>
      <c r="BH5880" s="1119"/>
      <c r="BI5880" s="319"/>
      <c r="BJ5880" s="319"/>
      <c r="BK5880" s="319"/>
      <c r="BL5880" s="319"/>
      <c r="BM5880" s="319"/>
      <c r="BN5880" s="319"/>
      <c r="BO5880" s="319"/>
      <c r="BP5880" s="953"/>
      <c r="BQ5880" s="319"/>
      <c r="BR5880" s="319"/>
      <c r="BS5880" s="330"/>
      <c r="BT5880" s="331"/>
      <c r="BU5880" s="920"/>
      <c r="BV5880" s="903"/>
      <c r="BW5880" s="908"/>
      <c r="BX5880" s="908"/>
      <c r="BY5880" s="331"/>
      <c r="BZ5880" s="331"/>
      <c r="CA5880" s="462"/>
      <c r="CB5880" s="319"/>
      <c r="CC5880" s="319"/>
      <c r="CD5880" s="319"/>
      <c r="CE5880" s="319"/>
      <c r="CF5880" s="319"/>
      <c r="CG5880" s="319"/>
      <c r="CH5880" s="318"/>
      <c r="CI5880" s="319"/>
      <c r="CJ5880" s="319"/>
      <c r="CK5880" s="342"/>
      <c r="CL5880" s="333"/>
      <c r="CM5880" s="1079"/>
      <c r="CN5880" s="1005"/>
      <c r="CO5880" s="1005"/>
      <c r="CP5880" s="1005"/>
    </row>
    <row r="5881">
      <c r="A5881" s="1257"/>
      <c r="B5881" s="1113"/>
      <c r="C5881" s="1107"/>
      <c r="D5881" s="103"/>
      <c r="E5881" s="1137"/>
      <c r="F5881" s="112"/>
      <c r="G5881" s="1110"/>
      <c r="H5881" s="1138"/>
      <c r="I5881" s="1138"/>
      <c r="J5881" s="1139"/>
      <c r="K5881" s="1111"/>
      <c r="L5881" s="1112"/>
      <c r="M5881" s="1113"/>
      <c r="N5881" s="110"/>
      <c r="O5881" s="1140"/>
      <c r="P5881" s="1115"/>
      <c r="Q5881" s="1116"/>
      <c r="R5881" s="1141"/>
      <c r="S5881" s="1113"/>
      <c r="T5881" s="1143"/>
      <c r="U5881" s="1108"/>
      <c r="V5881" s="1108"/>
      <c r="W5881" s="1108"/>
      <c r="X5881" s="1108"/>
      <c r="Y5881" s="1108"/>
      <c r="Z5881" s="1114"/>
      <c r="AA5881" s="1114"/>
      <c r="AB5881" s="1114"/>
      <c r="AC5881" s="1117"/>
      <c r="AD5881" s="1115"/>
      <c r="AE5881" s="1115"/>
      <c r="AF5881" s="1115"/>
      <c r="AG5881" s="1115"/>
      <c r="AH5881" s="1115"/>
      <c r="AI5881" s="1115"/>
      <c r="AJ5881" s="1117"/>
      <c r="AK5881" s="1118"/>
      <c r="AL5881" s="1115"/>
      <c r="AM5881" s="1115"/>
      <c r="AN5881" s="1115"/>
      <c r="AO5881" s="1115"/>
      <c r="AP5881" s="1115"/>
      <c r="AQ5881" s="1115"/>
      <c r="AR5881" s="1115"/>
      <c r="AS5881" s="1117"/>
      <c r="AT5881" s="1075"/>
      <c r="AU5881" s="1193"/>
      <c r="AV5881" s="330"/>
      <c r="AW5881" s="331"/>
      <c r="AX5881" s="331"/>
      <c r="AY5881" s="331"/>
      <c r="AZ5881" s="331"/>
      <c r="BA5881" s="331"/>
      <c r="BB5881" s="331"/>
      <c r="BC5881" s="331"/>
      <c r="BD5881" s="331"/>
      <c r="BE5881" s="333"/>
      <c r="BF5881" s="330"/>
      <c r="BG5881" s="333"/>
      <c r="BH5881" s="1119"/>
      <c r="BI5881" s="319"/>
      <c r="BJ5881" s="319"/>
      <c r="BK5881" s="319"/>
      <c r="BL5881" s="319"/>
      <c r="BM5881" s="319"/>
      <c r="BN5881" s="319"/>
      <c r="BO5881" s="319"/>
      <c r="BP5881" s="953"/>
      <c r="BQ5881" s="319"/>
      <c r="BR5881" s="319"/>
      <c r="BS5881" s="330"/>
      <c r="BT5881" s="331"/>
      <c r="BU5881" s="920"/>
      <c r="BV5881" s="903"/>
      <c r="BW5881" s="908"/>
      <c r="BX5881" s="908"/>
      <c r="BY5881" s="331"/>
      <c r="BZ5881" s="331"/>
      <c r="CA5881" s="462"/>
      <c r="CB5881" s="319"/>
      <c r="CC5881" s="319"/>
      <c r="CD5881" s="319"/>
      <c r="CE5881" s="319"/>
      <c r="CF5881" s="319"/>
      <c r="CG5881" s="319"/>
      <c r="CH5881" s="318"/>
      <c r="CI5881" s="319"/>
      <c r="CJ5881" s="319"/>
      <c r="CK5881" s="342"/>
      <c r="CL5881" s="333"/>
      <c r="CM5881" s="1079"/>
      <c r="CN5881" s="1005"/>
      <c r="CO5881" s="1005"/>
      <c r="CP5881" s="1005"/>
    </row>
    <row r="5882">
      <c r="A5882" s="1257"/>
      <c r="B5882" s="1113"/>
      <c r="C5882" s="1107"/>
      <c r="D5882" s="103"/>
      <c r="E5882" s="1137"/>
      <c r="F5882" s="112"/>
      <c r="G5882" s="1110"/>
      <c r="H5882" s="1138"/>
      <c r="I5882" s="1138"/>
      <c r="J5882" s="1139"/>
      <c r="K5882" s="1111"/>
      <c r="L5882" s="1112"/>
      <c r="M5882" s="1113"/>
      <c r="N5882" s="110"/>
      <c r="O5882" s="1140"/>
      <c r="P5882" s="1115"/>
      <c r="Q5882" s="1116"/>
      <c r="R5882" s="1141"/>
      <c r="S5882" s="1113"/>
      <c r="T5882" s="1143"/>
      <c r="U5882" s="1108"/>
      <c r="V5882" s="1108"/>
      <c r="W5882" s="1108"/>
      <c r="X5882" s="1108"/>
      <c r="Y5882" s="1108"/>
      <c r="Z5882" s="1114"/>
      <c r="AA5882" s="1114"/>
      <c r="AB5882" s="1114"/>
      <c r="AC5882" s="1117"/>
      <c r="AD5882" s="1115"/>
      <c r="AE5882" s="1115"/>
      <c r="AF5882" s="1115"/>
      <c r="AG5882" s="1115"/>
      <c r="AH5882" s="1115"/>
      <c r="AI5882" s="1115"/>
      <c r="AJ5882" s="1117"/>
      <c r="AK5882" s="1118"/>
      <c r="AL5882" s="1115"/>
      <c r="AM5882" s="1115"/>
      <c r="AN5882" s="1115"/>
      <c r="AO5882" s="1115"/>
      <c r="AP5882" s="1115"/>
      <c r="AQ5882" s="1115"/>
      <c r="AR5882" s="1115"/>
      <c r="AS5882" s="1117"/>
      <c r="AT5882" s="1075"/>
      <c r="AU5882" s="1193"/>
      <c r="AV5882" s="330"/>
      <c r="AW5882" s="331"/>
      <c r="AX5882" s="331"/>
      <c r="AY5882" s="331"/>
      <c r="AZ5882" s="331"/>
      <c r="BA5882" s="331"/>
      <c r="BB5882" s="331"/>
      <c r="BC5882" s="331"/>
      <c r="BD5882" s="331"/>
      <c r="BE5882" s="333"/>
      <c r="BF5882" s="330"/>
      <c r="BG5882" s="333"/>
      <c r="BH5882" s="1119"/>
      <c r="BI5882" s="319"/>
      <c r="BJ5882" s="319"/>
      <c r="BK5882" s="319"/>
      <c r="BL5882" s="319"/>
      <c r="BM5882" s="319"/>
      <c r="BN5882" s="319"/>
      <c r="BO5882" s="319"/>
      <c r="BP5882" s="953"/>
      <c r="BQ5882" s="319"/>
      <c r="BR5882" s="319"/>
      <c r="BS5882" s="330"/>
      <c r="BT5882" s="331"/>
      <c r="BU5882" s="920"/>
      <c r="BV5882" s="903"/>
      <c r="BW5882" s="908"/>
      <c r="BX5882" s="908"/>
      <c r="BY5882" s="331"/>
      <c r="BZ5882" s="331"/>
      <c r="CA5882" s="462"/>
      <c r="CB5882" s="319"/>
      <c r="CC5882" s="319"/>
      <c r="CD5882" s="319"/>
      <c r="CE5882" s="319"/>
      <c r="CF5882" s="319"/>
      <c r="CG5882" s="319"/>
      <c r="CH5882" s="318"/>
      <c r="CI5882" s="319"/>
      <c r="CJ5882" s="319"/>
      <c r="CK5882" s="342"/>
      <c r="CL5882" s="333"/>
      <c r="CM5882" s="1079"/>
      <c r="CN5882" s="1005"/>
      <c r="CO5882" s="1005"/>
      <c r="CP5882" s="1005"/>
    </row>
    <row r="5883">
      <c r="A5883" s="1257"/>
      <c r="B5883" s="1113"/>
      <c r="C5883" s="1107"/>
      <c r="D5883" s="103"/>
      <c r="E5883" s="1137"/>
      <c r="F5883" s="112"/>
      <c r="G5883" s="1110"/>
      <c r="H5883" s="1138"/>
      <c r="I5883" s="1138"/>
      <c r="J5883" s="1139"/>
      <c r="K5883" s="1111"/>
      <c r="L5883" s="1112"/>
      <c r="M5883" s="1113"/>
      <c r="N5883" s="110"/>
      <c r="O5883" s="1140"/>
      <c r="P5883" s="1115"/>
      <c r="Q5883" s="1116"/>
      <c r="R5883" s="1141"/>
      <c r="S5883" s="1113"/>
      <c r="T5883" s="1143"/>
      <c r="U5883" s="1108"/>
      <c r="V5883" s="1108"/>
      <c r="W5883" s="1108"/>
      <c r="X5883" s="1108"/>
      <c r="Y5883" s="1108"/>
      <c r="Z5883" s="1114"/>
      <c r="AA5883" s="1114"/>
      <c r="AB5883" s="1114"/>
      <c r="AC5883" s="1117"/>
      <c r="AD5883" s="1115"/>
      <c r="AE5883" s="1115"/>
      <c r="AF5883" s="1115"/>
      <c r="AG5883" s="1115"/>
      <c r="AH5883" s="1115"/>
      <c r="AI5883" s="1115"/>
      <c r="AJ5883" s="1117"/>
      <c r="AK5883" s="1118"/>
      <c r="AL5883" s="1115"/>
      <c r="AM5883" s="1115"/>
      <c r="AN5883" s="1115"/>
      <c r="AO5883" s="1115"/>
      <c r="AP5883" s="1115"/>
      <c r="AQ5883" s="1115"/>
      <c r="AR5883" s="1115"/>
      <c r="AS5883" s="1117"/>
      <c r="AT5883" s="1075"/>
      <c r="AU5883" s="1193"/>
      <c r="AV5883" s="330"/>
      <c r="AW5883" s="331"/>
      <c r="AX5883" s="331"/>
      <c r="AY5883" s="331"/>
      <c r="AZ5883" s="331"/>
      <c r="BA5883" s="331"/>
      <c r="BB5883" s="331"/>
      <c r="BC5883" s="331"/>
      <c r="BD5883" s="331"/>
      <c r="BE5883" s="333"/>
      <c r="BF5883" s="330"/>
      <c r="BG5883" s="333"/>
      <c r="BH5883" s="1119"/>
      <c r="BI5883" s="319"/>
      <c r="BJ5883" s="319"/>
      <c r="BK5883" s="319"/>
      <c r="BL5883" s="319"/>
      <c r="BM5883" s="319"/>
      <c r="BN5883" s="319"/>
      <c r="BO5883" s="319"/>
      <c r="BP5883" s="953"/>
      <c r="BQ5883" s="319"/>
      <c r="BR5883" s="319"/>
      <c r="BS5883" s="330"/>
      <c r="BT5883" s="331"/>
      <c r="BU5883" s="920"/>
      <c r="BV5883" s="903"/>
      <c r="BW5883" s="908"/>
      <c r="BX5883" s="908"/>
      <c r="BY5883" s="331"/>
      <c r="BZ5883" s="331"/>
      <c r="CA5883" s="462"/>
      <c r="CB5883" s="319"/>
      <c r="CC5883" s="319"/>
      <c r="CD5883" s="319"/>
      <c r="CE5883" s="319"/>
      <c r="CF5883" s="319"/>
      <c r="CG5883" s="319"/>
      <c r="CH5883" s="318"/>
      <c r="CI5883" s="319"/>
      <c r="CJ5883" s="319"/>
      <c r="CK5883" s="342"/>
      <c r="CL5883" s="333"/>
      <c r="CM5883" s="1079"/>
      <c r="CN5883" s="1005"/>
      <c r="CO5883" s="1005"/>
      <c r="CP5883" s="1005"/>
    </row>
    <row r="5884">
      <c r="A5884" s="1257"/>
      <c r="B5884" s="1113"/>
      <c r="C5884" s="1107"/>
      <c r="D5884" s="103"/>
      <c r="E5884" s="1137"/>
      <c r="F5884" s="112"/>
      <c r="G5884" s="1110"/>
      <c r="H5884" s="1138"/>
      <c r="I5884" s="1138"/>
      <c r="J5884" s="1139"/>
      <c r="K5884" s="1111"/>
      <c r="L5884" s="1112"/>
      <c r="M5884" s="1113"/>
      <c r="N5884" s="110"/>
      <c r="O5884" s="1140"/>
      <c r="P5884" s="1115"/>
      <c r="Q5884" s="1116"/>
      <c r="R5884" s="1141"/>
      <c r="S5884" s="1113"/>
      <c r="T5884" s="1143"/>
      <c r="U5884" s="1108"/>
      <c r="V5884" s="1108"/>
      <c r="W5884" s="1108"/>
      <c r="X5884" s="1108"/>
      <c r="Y5884" s="1108"/>
      <c r="Z5884" s="1114"/>
      <c r="AA5884" s="1114"/>
      <c r="AB5884" s="1114"/>
      <c r="AC5884" s="1117"/>
      <c r="AD5884" s="1115"/>
      <c r="AE5884" s="1115"/>
      <c r="AF5884" s="1115"/>
      <c r="AG5884" s="1115"/>
      <c r="AH5884" s="1115"/>
      <c r="AI5884" s="1115"/>
      <c r="AJ5884" s="1117"/>
      <c r="AK5884" s="1118"/>
      <c r="AL5884" s="1115"/>
      <c r="AM5884" s="1115"/>
      <c r="AN5884" s="1115"/>
      <c r="AO5884" s="1115"/>
      <c r="AP5884" s="1115"/>
      <c r="AQ5884" s="1115"/>
      <c r="AR5884" s="1115"/>
      <c r="AS5884" s="1117"/>
      <c r="AT5884" s="1075"/>
      <c r="AU5884" s="1193"/>
      <c r="AV5884" s="330"/>
      <c r="AW5884" s="331"/>
      <c r="AX5884" s="331"/>
      <c r="AY5884" s="331"/>
      <c r="AZ5884" s="331"/>
      <c r="BA5884" s="331"/>
      <c r="BB5884" s="331"/>
      <c r="BC5884" s="331"/>
      <c r="BD5884" s="331"/>
      <c r="BE5884" s="333"/>
      <c r="BF5884" s="330"/>
      <c r="BG5884" s="333"/>
      <c r="BH5884" s="1119"/>
      <c r="BI5884" s="319"/>
      <c r="BJ5884" s="319"/>
      <c r="BK5884" s="319"/>
      <c r="BL5884" s="319"/>
      <c r="BM5884" s="319"/>
      <c r="BN5884" s="319"/>
      <c r="BO5884" s="319"/>
      <c r="BP5884" s="953"/>
      <c r="BQ5884" s="319"/>
      <c r="BR5884" s="319"/>
      <c r="BS5884" s="330"/>
      <c r="BT5884" s="331"/>
      <c r="BU5884" s="920"/>
      <c r="BV5884" s="903"/>
      <c r="BW5884" s="908"/>
      <c r="BX5884" s="908"/>
      <c r="BY5884" s="331"/>
      <c r="BZ5884" s="331"/>
      <c r="CA5884" s="462"/>
      <c r="CB5884" s="319"/>
      <c r="CC5884" s="319"/>
      <c r="CD5884" s="319"/>
      <c r="CE5884" s="319"/>
      <c r="CF5884" s="319"/>
      <c r="CG5884" s="319"/>
      <c r="CH5884" s="318"/>
      <c r="CI5884" s="319"/>
      <c r="CJ5884" s="319"/>
      <c r="CK5884" s="342"/>
      <c r="CL5884" s="333"/>
      <c r="CM5884" s="1079"/>
      <c r="CN5884" s="1005"/>
      <c r="CO5884" s="1005"/>
      <c r="CP5884" s="1005"/>
    </row>
    <row r="5885">
      <c r="A5885" s="1257"/>
      <c r="B5885" s="1113"/>
      <c r="C5885" s="1107"/>
      <c r="D5885" s="103"/>
      <c r="E5885" s="1137"/>
      <c r="F5885" s="112"/>
      <c r="G5885" s="1110"/>
      <c r="H5885" s="1138"/>
      <c r="I5885" s="1138"/>
      <c r="J5885" s="1139"/>
      <c r="K5885" s="1111"/>
      <c r="L5885" s="1112"/>
      <c r="M5885" s="1113"/>
      <c r="N5885" s="110"/>
      <c r="O5885" s="1140"/>
      <c r="P5885" s="1115"/>
      <c r="Q5885" s="1116"/>
      <c r="R5885" s="1141"/>
      <c r="S5885" s="1113"/>
      <c r="T5885" s="1143"/>
      <c r="U5885" s="1108"/>
      <c r="V5885" s="1108"/>
      <c r="W5885" s="1108"/>
      <c r="X5885" s="1108"/>
      <c r="Y5885" s="1108"/>
      <c r="Z5885" s="1114"/>
      <c r="AA5885" s="1114"/>
      <c r="AB5885" s="1114"/>
      <c r="AC5885" s="1117"/>
      <c r="AD5885" s="1115"/>
      <c r="AE5885" s="1115"/>
      <c r="AF5885" s="1115"/>
      <c r="AG5885" s="1115"/>
      <c r="AH5885" s="1115"/>
      <c r="AI5885" s="1115"/>
      <c r="AJ5885" s="1117"/>
      <c r="AK5885" s="1118"/>
      <c r="AL5885" s="1115"/>
      <c r="AM5885" s="1115"/>
      <c r="AN5885" s="1115"/>
      <c r="AO5885" s="1115"/>
      <c r="AP5885" s="1115"/>
      <c r="AQ5885" s="1115"/>
      <c r="AR5885" s="1115"/>
      <c r="AS5885" s="1117"/>
      <c r="AT5885" s="1075"/>
      <c r="AU5885" s="1193"/>
      <c r="AV5885" s="330"/>
      <c r="AW5885" s="331"/>
      <c r="AX5885" s="331"/>
      <c r="AY5885" s="331"/>
      <c r="AZ5885" s="331"/>
      <c r="BA5885" s="331"/>
      <c r="BB5885" s="331"/>
      <c r="BC5885" s="331"/>
      <c r="BD5885" s="331"/>
      <c r="BE5885" s="333"/>
      <c r="BF5885" s="330"/>
      <c r="BG5885" s="333"/>
      <c r="BH5885" s="1119"/>
      <c r="BI5885" s="319"/>
      <c r="BJ5885" s="319"/>
      <c r="BK5885" s="319"/>
      <c r="BL5885" s="319"/>
      <c r="BM5885" s="319"/>
      <c r="BN5885" s="319"/>
      <c r="BO5885" s="319"/>
      <c r="BP5885" s="953"/>
      <c r="BQ5885" s="319"/>
      <c r="BR5885" s="319"/>
      <c r="BS5885" s="330"/>
      <c r="BT5885" s="331"/>
      <c r="BU5885" s="920"/>
      <c r="BV5885" s="903"/>
      <c r="BW5885" s="908"/>
      <c r="BX5885" s="908"/>
      <c r="BY5885" s="331"/>
      <c r="BZ5885" s="331"/>
      <c r="CA5885" s="462"/>
      <c r="CB5885" s="319"/>
      <c r="CC5885" s="319"/>
      <c r="CD5885" s="319"/>
      <c r="CE5885" s="319"/>
      <c r="CF5885" s="319"/>
      <c r="CG5885" s="319"/>
      <c r="CH5885" s="318"/>
      <c r="CI5885" s="319"/>
      <c r="CJ5885" s="319"/>
      <c r="CK5885" s="342"/>
      <c r="CL5885" s="333"/>
      <c r="CM5885" s="1079"/>
      <c r="CN5885" s="1005"/>
      <c r="CO5885" s="1005"/>
      <c r="CP5885" s="1005"/>
    </row>
    <row r="5886">
      <c r="A5886" s="1257"/>
      <c r="B5886" s="1113"/>
      <c r="C5886" s="1107"/>
      <c r="D5886" s="103"/>
      <c r="E5886" s="1137"/>
      <c r="F5886" s="112"/>
      <c r="G5886" s="1110"/>
      <c r="H5886" s="1138"/>
      <c r="I5886" s="1138"/>
      <c r="J5886" s="1139"/>
      <c r="K5886" s="1111"/>
      <c r="L5886" s="1112"/>
      <c r="M5886" s="1113"/>
      <c r="N5886" s="110"/>
      <c r="O5886" s="1140"/>
      <c r="P5886" s="1115"/>
      <c r="Q5886" s="1116"/>
      <c r="R5886" s="1141"/>
      <c r="S5886" s="1113"/>
      <c r="T5886" s="1143"/>
      <c r="U5886" s="1108"/>
      <c r="V5886" s="1108"/>
      <c r="W5886" s="1108"/>
      <c r="X5886" s="1108"/>
      <c r="Y5886" s="1108"/>
      <c r="Z5886" s="1114"/>
      <c r="AA5886" s="1114"/>
      <c r="AB5886" s="1114"/>
      <c r="AC5886" s="1117"/>
      <c r="AD5886" s="1115"/>
      <c r="AE5886" s="1115"/>
      <c r="AF5886" s="1115"/>
      <c r="AG5886" s="1115"/>
      <c r="AH5886" s="1115"/>
      <c r="AI5886" s="1115"/>
      <c r="AJ5886" s="1117"/>
      <c r="AK5886" s="1118"/>
      <c r="AL5886" s="1115"/>
      <c r="AM5886" s="1115"/>
      <c r="AN5886" s="1115"/>
      <c r="AO5886" s="1115"/>
      <c r="AP5886" s="1115"/>
      <c r="AQ5886" s="1115"/>
      <c r="AR5886" s="1115"/>
      <c r="AS5886" s="1117"/>
      <c r="AT5886" s="1075"/>
      <c r="AU5886" s="1193"/>
      <c r="AV5886" s="330"/>
      <c r="AW5886" s="331"/>
      <c r="AX5886" s="331"/>
      <c r="AY5886" s="331"/>
      <c r="AZ5886" s="331"/>
      <c r="BA5886" s="331"/>
      <c r="BB5886" s="331"/>
      <c r="BC5886" s="331"/>
      <c r="BD5886" s="331"/>
      <c r="BE5886" s="333"/>
      <c r="BF5886" s="330"/>
      <c r="BG5886" s="333"/>
      <c r="BH5886" s="1119"/>
      <c r="BI5886" s="319"/>
      <c r="BJ5886" s="319"/>
      <c r="BK5886" s="319"/>
      <c r="BL5886" s="319"/>
      <c r="BM5886" s="319"/>
      <c r="BN5886" s="319"/>
      <c r="BO5886" s="319"/>
      <c r="BP5886" s="953"/>
      <c r="BQ5886" s="319"/>
      <c r="BR5886" s="319"/>
      <c r="BS5886" s="330"/>
      <c r="BT5886" s="331"/>
      <c r="BU5886" s="920"/>
      <c r="BV5886" s="903"/>
      <c r="BW5886" s="908"/>
      <c r="BX5886" s="908"/>
      <c r="BY5886" s="331"/>
      <c r="BZ5886" s="331"/>
      <c r="CA5886" s="462"/>
      <c r="CB5886" s="319"/>
      <c r="CC5886" s="319"/>
      <c r="CD5886" s="319"/>
      <c r="CE5886" s="319"/>
      <c r="CF5886" s="319"/>
      <c r="CG5886" s="319"/>
      <c r="CH5886" s="318"/>
      <c r="CI5886" s="319"/>
      <c r="CJ5886" s="319"/>
      <c r="CK5886" s="342"/>
      <c r="CL5886" s="333"/>
      <c r="CM5886" s="1079"/>
      <c r="CN5886" s="1005"/>
      <c r="CO5886" s="1005"/>
      <c r="CP5886" s="1005"/>
    </row>
    <row r="5887">
      <c r="A5887" s="1257"/>
      <c r="B5887" s="1113"/>
      <c r="C5887" s="1107"/>
      <c r="D5887" s="103"/>
      <c r="E5887" s="1137"/>
      <c r="F5887" s="112"/>
      <c r="G5887" s="1110"/>
      <c r="H5887" s="1138"/>
      <c r="I5887" s="1138"/>
      <c r="J5887" s="1139"/>
      <c r="K5887" s="1111"/>
      <c r="L5887" s="1112"/>
      <c r="M5887" s="1113"/>
      <c r="N5887" s="110"/>
      <c r="O5887" s="1140"/>
      <c r="P5887" s="1115"/>
      <c r="Q5887" s="1116"/>
      <c r="R5887" s="1141"/>
      <c r="S5887" s="1113"/>
      <c r="T5887" s="1143"/>
      <c r="U5887" s="1108"/>
      <c r="V5887" s="1108"/>
      <c r="W5887" s="1108"/>
      <c r="X5887" s="1108"/>
      <c r="Y5887" s="1108"/>
      <c r="Z5887" s="1114"/>
      <c r="AA5887" s="1114"/>
      <c r="AB5887" s="1114"/>
      <c r="AC5887" s="1117"/>
      <c r="AD5887" s="1115"/>
      <c r="AE5887" s="1115"/>
      <c r="AF5887" s="1115"/>
      <c r="AG5887" s="1115"/>
      <c r="AH5887" s="1115"/>
      <c r="AI5887" s="1115"/>
      <c r="AJ5887" s="1117"/>
      <c r="AK5887" s="1118"/>
      <c r="AL5887" s="1115"/>
      <c r="AM5887" s="1115"/>
      <c r="AN5887" s="1115"/>
      <c r="AO5887" s="1115"/>
      <c r="AP5887" s="1115"/>
      <c r="AQ5887" s="1115"/>
      <c r="AR5887" s="1115"/>
      <c r="AS5887" s="1117"/>
      <c r="AT5887" s="1075"/>
      <c r="AU5887" s="1193"/>
      <c r="AV5887" s="330"/>
      <c r="AW5887" s="331"/>
      <c r="AX5887" s="331"/>
      <c r="AY5887" s="331"/>
      <c r="AZ5887" s="331"/>
      <c r="BA5887" s="331"/>
      <c r="BB5887" s="331"/>
      <c r="BC5887" s="331"/>
      <c r="BD5887" s="331"/>
      <c r="BE5887" s="333"/>
      <c r="BF5887" s="330"/>
      <c r="BG5887" s="333"/>
      <c r="BH5887" s="1119"/>
      <c r="BI5887" s="319"/>
      <c r="BJ5887" s="319"/>
      <c r="BK5887" s="319"/>
      <c r="BL5887" s="319"/>
      <c r="BM5887" s="319"/>
      <c r="BN5887" s="319"/>
      <c r="BO5887" s="319"/>
      <c r="BP5887" s="953"/>
      <c r="BQ5887" s="319"/>
      <c r="BR5887" s="319"/>
      <c r="BS5887" s="330"/>
      <c r="BT5887" s="331"/>
      <c r="BU5887" s="920"/>
      <c r="BV5887" s="903"/>
      <c r="BW5887" s="908"/>
      <c r="BX5887" s="908"/>
      <c r="BY5887" s="331"/>
      <c r="BZ5887" s="331"/>
      <c r="CA5887" s="462"/>
      <c r="CB5887" s="319"/>
      <c r="CC5887" s="319"/>
      <c r="CD5887" s="319"/>
      <c r="CE5887" s="319"/>
      <c r="CF5887" s="319"/>
      <c r="CG5887" s="319"/>
      <c r="CH5887" s="318"/>
      <c r="CI5887" s="319"/>
      <c r="CJ5887" s="319"/>
      <c r="CK5887" s="342"/>
      <c r="CL5887" s="333"/>
      <c r="CM5887" s="1079"/>
      <c r="CN5887" s="1005"/>
      <c r="CO5887" s="1005"/>
      <c r="CP5887" s="1005"/>
    </row>
    <row r="5888">
      <c r="A5888" s="1257"/>
      <c r="B5888" s="1113"/>
      <c r="C5888" s="1107"/>
      <c r="D5888" s="103"/>
      <c r="E5888" s="1137"/>
      <c r="F5888" s="112"/>
      <c r="G5888" s="1110"/>
      <c r="H5888" s="1138"/>
      <c r="I5888" s="1138"/>
      <c r="J5888" s="1139"/>
      <c r="K5888" s="1111"/>
      <c r="L5888" s="1112"/>
      <c r="M5888" s="1113"/>
      <c r="N5888" s="110"/>
      <c r="O5888" s="1140"/>
      <c r="P5888" s="1115"/>
      <c r="Q5888" s="1116"/>
      <c r="R5888" s="1141"/>
      <c r="S5888" s="1113"/>
      <c r="T5888" s="1143"/>
      <c r="U5888" s="1108"/>
      <c r="V5888" s="1108"/>
      <c r="W5888" s="1108"/>
      <c r="X5888" s="1108"/>
      <c r="Y5888" s="1108"/>
      <c r="Z5888" s="1114"/>
      <c r="AA5888" s="1114"/>
      <c r="AB5888" s="1114"/>
      <c r="AC5888" s="1117"/>
      <c r="AD5888" s="1115"/>
      <c r="AE5888" s="1115"/>
      <c r="AF5888" s="1115"/>
      <c r="AG5888" s="1115"/>
      <c r="AH5888" s="1115"/>
      <c r="AI5888" s="1115"/>
      <c r="AJ5888" s="1117"/>
      <c r="AK5888" s="1118"/>
      <c r="AL5888" s="1115"/>
      <c r="AM5888" s="1115"/>
      <c r="AN5888" s="1115"/>
      <c r="AO5888" s="1115"/>
      <c r="AP5888" s="1115"/>
      <c r="AQ5888" s="1115"/>
      <c r="AR5888" s="1115"/>
      <c r="AS5888" s="1117"/>
      <c r="AT5888" s="1075"/>
      <c r="AU5888" s="1193"/>
      <c r="AV5888" s="330"/>
      <c r="AW5888" s="331"/>
      <c r="AX5888" s="331"/>
      <c r="AY5888" s="331"/>
      <c r="AZ5888" s="331"/>
      <c r="BA5888" s="331"/>
      <c r="BB5888" s="331"/>
      <c r="BC5888" s="331"/>
      <c r="BD5888" s="331"/>
      <c r="BE5888" s="333"/>
      <c r="BF5888" s="330"/>
      <c r="BG5888" s="333"/>
      <c r="BH5888" s="1119"/>
      <c r="BI5888" s="319"/>
      <c r="BJ5888" s="319"/>
      <c r="BK5888" s="319"/>
      <c r="BL5888" s="319"/>
      <c r="BM5888" s="319"/>
      <c r="BN5888" s="319"/>
      <c r="BO5888" s="319"/>
      <c r="BP5888" s="953"/>
      <c r="BQ5888" s="319"/>
      <c r="BR5888" s="319"/>
      <c r="BS5888" s="330"/>
      <c r="BT5888" s="331"/>
      <c r="BU5888" s="920"/>
      <c r="BV5888" s="903"/>
      <c r="BW5888" s="908"/>
      <c r="BX5888" s="908"/>
      <c r="BY5888" s="331"/>
      <c r="BZ5888" s="331"/>
      <c r="CA5888" s="462"/>
      <c r="CB5888" s="319"/>
      <c r="CC5888" s="319"/>
      <c r="CD5888" s="319"/>
      <c r="CE5888" s="319"/>
      <c r="CF5888" s="319"/>
      <c r="CG5888" s="319"/>
      <c r="CH5888" s="318"/>
      <c r="CI5888" s="319"/>
      <c r="CJ5888" s="319"/>
      <c r="CK5888" s="342"/>
      <c r="CL5888" s="333"/>
      <c r="CM5888" s="1079"/>
      <c r="CN5888" s="1005"/>
      <c r="CO5888" s="1005"/>
      <c r="CP5888" s="1005"/>
    </row>
    <row r="5889">
      <c r="A5889" s="1257"/>
      <c r="B5889" s="1113"/>
      <c r="C5889" s="1107"/>
      <c r="D5889" s="103"/>
      <c r="E5889" s="1137"/>
      <c r="F5889" s="112"/>
      <c r="G5889" s="1110"/>
      <c r="H5889" s="1138"/>
      <c r="I5889" s="1138"/>
      <c r="J5889" s="1139"/>
      <c r="K5889" s="1111"/>
      <c r="L5889" s="1112"/>
      <c r="M5889" s="1113"/>
      <c r="N5889" s="110"/>
      <c r="O5889" s="1140"/>
      <c r="P5889" s="1115"/>
      <c r="Q5889" s="1116"/>
      <c r="R5889" s="1141"/>
      <c r="S5889" s="1113"/>
      <c r="T5889" s="1143"/>
      <c r="U5889" s="1108"/>
      <c r="V5889" s="1108"/>
      <c r="W5889" s="1108"/>
      <c r="X5889" s="1108"/>
      <c r="Y5889" s="1108"/>
      <c r="Z5889" s="1114"/>
      <c r="AA5889" s="1114"/>
      <c r="AB5889" s="1114"/>
      <c r="AC5889" s="1117"/>
      <c r="AD5889" s="1115"/>
      <c r="AE5889" s="1115"/>
      <c r="AF5889" s="1115"/>
      <c r="AG5889" s="1115"/>
      <c r="AH5889" s="1115"/>
      <c r="AI5889" s="1115"/>
      <c r="AJ5889" s="1117"/>
      <c r="AK5889" s="1118"/>
      <c r="AL5889" s="1115"/>
      <c r="AM5889" s="1115"/>
      <c r="AN5889" s="1115"/>
      <c r="AO5889" s="1115"/>
      <c r="AP5889" s="1115"/>
      <c r="AQ5889" s="1115"/>
      <c r="AR5889" s="1115"/>
      <c r="AS5889" s="1117"/>
      <c r="AT5889" s="1075"/>
      <c r="AU5889" s="1193"/>
      <c r="AV5889" s="330"/>
      <c r="AW5889" s="331"/>
      <c r="AX5889" s="331"/>
      <c r="AY5889" s="331"/>
      <c r="AZ5889" s="331"/>
      <c r="BA5889" s="331"/>
      <c r="BB5889" s="331"/>
      <c r="BC5889" s="331"/>
      <c r="BD5889" s="331"/>
      <c r="BE5889" s="333"/>
      <c r="BF5889" s="330"/>
      <c r="BG5889" s="333"/>
      <c r="BH5889" s="1119"/>
      <c r="BI5889" s="319"/>
      <c r="BJ5889" s="319"/>
      <c r="BK5889" s="319"/>
      <c r="BL5889" s="319"/>
      <c r="BM5889" s="319"/>
      <c r="BN5889" s="319"/>
      <c r="BO5889" s="319"/>
      <c r="BP5889" s="953"/>
      <c r="BQ5889" s="319"/>
      <c r="BR5889" s="319"/>
      <c r="BS5889" s="330"/>
      <c r="BT5889" s="331"/>
      <c r="BU5889" s="920"/>
      <c r="BV5889" s="903"/>
      <c r="BW5889" s="908"/>
      <c r="BX5889" s="908"/>
      <c r="BY5889" s="331"/>
      <c r="BZ5889" s="331"/>
      <c r="CA5889" s="462"/>
      <c r="CB5889" s="319"/>
      <c r="CC5889" s="319"/>
      <c r="CD5889" s="319"/>
      <c r="CE5889" s="319"/>
      <c r="CF5889" s="319"/>
      <c r="CG5889" s="319"/>
      <c r="CH5889" s="318"/>
      <c r="CI5889" s="319"/>
      <c r="CJ5889" s="319"/>
      <c r="CK5889" s="342"/>
      <c r="CL5889" s="333"/>
      <c r="CM5889" s="1079"/>
      <c r="CN5889" s="1005"/>
      <c r="CO5889" s="1005"/>
      <c r="CP5889" s="1005"/>
    </row>
    <row r="5890">
      <c r="A5890" s="1257"/>
      <c r="B5890" s="1113"/>
      <c r="C5890" s="1107"/>
      <c r="D5890" s="103"/>
      <c r="E5890" s="1137"/>
      <c r="F5890" s="112"/>
      <c r="G5890" s="1110"/>
      <c r="H5890" s="1138"/>
      <c r="I5890" s="1138"/>
      <c r="J5890" s="1139"/>
      <c r="K5890" s="1111"/>
      <c r="L5890" s="1112"/>
      <c r="M5890" s="1113"/>
      <c r="N5890" s="110"/>
      <c r="O5890" s="1140"/>
      <c r="P5890" s="1115"/>
      <c r="Q5890" s="1116"/>
      <c r="R5890" s="1141"/>
      <c r="S5890" s="1113"/>
      <c r="T5890" s="1143"/>
      <c r="U5890" s="1108"/>
      <c r="V5890" s="1108"/>
      <c r="W5890" s="1108"/>
      <c r="X5890" s="1108"/>
      <c r="Y5890" s="1108"/>
      <c r="Z5890" s="1114"/>
      <c r="AA5890" s="1114"/>
      <c r="AB5890" s="1114"/>
      <c r="AC5890" s="1117"/>
      <c r="AD5890" s="1115"/>
      <c r="AE5890" s="1115"/>
      <c r="AF5890" s="1115"/>
      <c r="AG5890" s="1115"/>
      <c r="AH5890" s="1115"/>
      <c r="AI5890" s="1115"/>
      <c r="AJ5890" s="1117"/>
      <c r="AK5890" s="1118"/>
      <c r="AL5890" s="1115"/>
      <c r="AM5890" s="1115"/>
      <c r="AN5890" s="1115"/>
      <c r="AO5890" s="1115"/>
      <c r="AP5890" s="1115"/>
      <c r="AQ5890" s="1115"/>
      <c r="AR5890" s="1115"/>
      <c r="AS5890" s="1117"/>
      <c r="AT5890" s="1075"/>
      <c r="AU5890" s="1193"/>
      <c r="AV5890" s="330"/>
      <c r="AW5890" s="331"/>
      <c r="AX5890" s="331"/>
      <c r="AY5890" s="331"/>
      <c r="AZ5890" s="331"/>
      <c r="BA5890" s="331"/>
      <c r="BB5890" s="331"/>
      <c r="BC5890" s="331"/>
      <c r="BD5890" s="331"/>
      <c r="BE5890" s="333"/>
      <c r="BF5890" s="330"/>
      <c r="BG5890" s="333"/>
      <c r="BH5890" s="1119"/>
      <c r="BI5890" s="319"/>
      <c r="BJ5890" s="319"/>
      <c r="BK5890" s="319"/>
      <c r="BL5890" s="319"/>
      <c r="BM5890" s="319"/>
      <c r="BN5890" s="319"/>
      <c r="BO5890" s="319"/>
      <c r="BP5890" s="953"/>
      <c r="BQ5890" s="319"/>
      <c r="BR5890" s="319"/>
      <c r="BS5890" s="330"/>
      <c r="BT5890" s="331"/>
      <c r="BU5890" s="920"/>
      <c r="BV5890" s="903"/>
      <c r="BW5890" s="908"/>
      <c r="BX5890" s="908"/>
      <c r="BY5890" s="331"/>
      <c r="BZ5890" s="331"/>
      <c r="CA5890" s="462"/>
      <c r="CB5890" s="319"/>
      <c r="CC5890" s="319"/>
      <c r="CD5890" s="319"/>
      <c r="CE5890" s="319"/>
      <c r="CF5890" s="319"/>
      <c r="CG5890" s="319"/>
      <c r="CH5890" s="318"/>
      <c r="CI5890" s="319"/>
      <c r="CJ5890" s="319"/>
      <c r="CK5890" s="342"/>
      <c r="CL5890" s="333"/>
      <c r="CM5890" s="1079"/>
      <c r="CN5890" s="1005"/>
      <c r="CO5890" s="1005"/>
      <c r="CP5890" s="1005"/>
    </row>
    <row r="5891">
      <c r="A5891" s="1257"/>
      <c r="B5891" s="1113"/>
      <c r="C5891" s="1107"/>
      <c r="D5891" s="103"/>
      <c r="E5891" s="1137"/>
      <c r="F5891" s="112"/>
      <c r="G5891" s="1110"/>
      <c r="H5891" s="1138"/>
      <c r="I5891" s="1138"/>
      <c r="J5891" s="1139"/>
      <c r="K5891" s="1111"/>
      <c r="L5891" s="1112"/>
      <c r="M5891" s="1113"/>
      <c r="N5891" s="110"/>
      <c r="O5891" s="1140"/>
      <c r="P5891" s="1115"/>
      <c r="Q5891" s="1116"/>
      <c r="R5891" s="1141"/>
      <c r="S5891" s="1113"/>
      <c r="T5891" s="1143"/>
      <c r="U5891" s="1108"/>
      <c r="V5891" s="1108"/>
      <c r="W5891" s="1108"/>
      <c r="X5891" s="1108"/>
      <c r="Y5891" s="1108"/>
      <c r="Z5891" s="1114"/>
      <c r="AA5891" s="1114"/>
      <c r="AB5891" s="1114"/>
      <c r="AC5891" s="1117"/>
      <c r="AD5891" s="1115"/>
      <c r="AE5891" s="1115"/>
      <c r="AF5891" s="1115"/>
      <c r="AG5891" s="1115"/>
      <c r="AH5891" s="1115"/>
      <c r="AI5891" s="1115"/>
      <c r="AJ5891" s="1117"/>
      <c r="AK5891" s="1118"/>
      <c r="AL5891" s="1115"/>
      <c r="AM5891" s="1115"/>
      <c r="AN5891" s="1115"/>
      <c r="AO5891" s="1115"/>
      <c r="AP5891" s="1115"/>
      <c r="AQ5891" s="1115"/>
      <c r="AR5891" s="1115"/>
      <c r="AS5891" s="1117"/>
      <c r="AT5891" s="1075"/>
      <c r="AU5891" s="1193"/>
      <c r="AV5891" s="330"/>
      <c r="AW5891" s="331"/>
      <c r="AX5891" s="331"/>
      <c r="AY5891" s="331"/>
      <c r="AZ5891" s="331"/>
      <c r="BA5891" s="331"/>
      <c r="BB5891" s="331"/>
      <c r="BC5891" s="331"/>
      <c r="BD5891" s="331"/>
      <c r="BE5891" s="333"/>
      <c r="BF5891" s="330"/>
      <c r="BG5891" s="333"/>
      <c r="BH5891" s="1119"/>
      <c r="BI5891" s="319"/>
      <c r="BJ5891" s="319"/>
      <c r="BK5891" s="319"/>
      <c r="BL5891" s="319"/>
      <c r="BM5891" s="319"/>
      <c r="BN5891" s="319"/>
      <c r="BO5891" s="319"/>
      <c r="BP5891" s="953"/>
      <c r="BQ5891" s="319"/>
      <c r="BR5891" s="319"/>
      <c r="BS5891" s="330"/>
      <c r="BT5891" s="331"/>
      <c r="BU5891" s="920"/>
      <c r="BV5891" s="903"/>
      <c r="BW5891" s="908"/>
      <c r="BX5891" s="908"/>
      <c r="BY5891" s="331"/>
      <c r="BZ5891" s="331"/>
      <c r="CA5891" s="462"/>
      <c r="CB5891" s="319"/>
      <c r="CC5891" s="319"/>
      <c r="CD5891" s="319"/>
      <c r="CE5891" s="319"/>
      <c r="CF5891" s="319"/>
      <c r="CG5891" s="319"/>
      <c r="CH5891" s="318"/>
      <c r="CI5891" s="319"/>
      <c r="CJ5891" s="319"/>
      <c r="CK5891" s="342"/>
      <c r="CL5891" s="333"/>
      <c r="CM5891" s="1079"/>
      <c r="CN5891" s="1005"/>
      <c r="CO5891" s="1005"/>
      <c r="CP5891" s="1005"/>
    </row>
    <row r="5892">
      <c r="A5892" s="1257"/>
      <c r="B5892" s="1113"/>
      <c r="C5892" s="1107"/>
      <c r="D5892" s="103"/>
      <c r="E5892" s="1137"/>
      <c r="F5892" s="112"/>
      <c r="G5892" s="1110"/>
      <c r="H5892" s="1138"/>
      <c r="I5892" s="1138"/>
      <c r="J5892" s="1139"/>
      <c r="K5892" s="1111"/>
      <c r="L5892" s="1112"/>
      <c r="M5892" s="1113"/>
      <c r="N5892" s="110"/>
      <c r="O5892" s="1140"/>
      <c r="P5892" s="1115"/>
      <c r="Q5892" s="1116"/>
      <c r="R5892" s="1141"/>
      <c r="S5892" s="1113"/>
      <c r="T5892" s="1143"/>
      <c r="U5892" s="1108"/>
      <c r="V5892" s="1108"/>
      <c r="W5892" s="1108"/>
      <c r="X5892" s="1108"/>
      <c r="Y5892" s="1108"/>
      <c r="Z5892" s="1114"/>
      <c r="AA5892" s="1114"/>
      <c r="AB5892" s="1114"/>
      <c r="AC5892" s="1117"/>
      <c r="AD5892" s="1115"/>
      <c r="AE5892" s="1115"/>
      <c r="AF5892" s="1115"/>
      <c r="AG5892" s="1115"/>
      <c r="AH5892" s="1115"/>
      <c r="AI5892" s="1115"/>
      <c r="AJ5892" s="1117"/>
      <c r="AK5892" s="1118"/>
      <c r="AL5892" s="1115"/>
      <c r="AM5892" s="1115"/>
      <c r="AN5892" s="1115"/>
      <c r="AO5892" s="1115"/>
      <c r="AP5892" s="1115"/>
      <c r="AQ5892" s="1115"/>
      <c r="AR5892" s="1115"/>
      <c r="AS5892" s="1117"/>
      <c r="AT5892" s="1075"/>
      <c r="AU5892" s="1193"/>
      <c r="AV5892" s="330"/>
      <c r="AW5892" s="331"/>
      <c r="AX5892" s="331"/>
      <c r="AY5892" s="331"/>
      <c r="AZ5892" s="331"/>
      <c r="BA5892" s="331"/>
      <c r="BB5892" s="331"/>
      <c r="BC5892" s="331"/>
      <c r="BD5892" s="331"/>
      <c r="BE5892" s="333"/>
      <c r="BF5892" s="330"/>
      <c r="BG5892" s="333"/>
      <c r="BH5892" s="1119"/>
      <c r="BI5892" s="319"/>
      <c r="BJ5892" s="319"/>
      <c r="BK5892" s="319"/>
      <c r="BL5892" s="319"/>
      <c r="BM5892" s="319"/>
      <c r="BN5892" s="319"/>
      <c r="BO5892" s="319"/>
      <c r="BP5892" s="953"/>
      <c r="BQ5892" s="319"/>
      <c r="BR5892" s="319"/>
      <c r="BS5892" s="330"/>
      <c r="BT5892" s="331"/>
      <c r="BU5892" s="920"/>
      <c r="BV5892" s="903"/>
      <c r="BW5892" s="908"/>
      <c r="BX5892" s="908"/>
      <c r="BY5892" s="331"/>
      <c r="BZ5892" s="331"/>
      <c r="CA5892" s="462"/>
      <c r="CB5892" s="319"/>
      <c r="CC5892" s="319"/>
      <c r="CD5892" s="319"/>
      <c r="CE5892" s="319"/>
      <c r="CF5892" s="319"/>
      <c r="CG5892" s="319"/>
      <c r="CH5892" s="318"/>
      <c r="CI5892" s="319"/>
      <c r="CJ5892" s="319"/>
      <c r="CK5892" s="342"/>
      <c r="CL5892" s="333"/>
      <c r="CM5892" s="1079"/>
      <c r="CN5892" s="1005"/>
      <c r="CO5892" s="1005"/>
      <c r="CP5892" s="1005"/>
    </row>
    <row r="5893">
      <c r="A5893" s="1257"/>
      <c r="B5893" s="1113"/>
      <c r="C5893" s="1107"/>
      <c r="D5893" s="103"/>
      <c r="E5893" s="1137"/>
      <c r="F5893" s="112"/>
      <c r="G5893" s="1110"/>
      <c r="H5893" s="1138"/>
      <c r="I5893" s="1138"/>
      <c r="J5893" s="1139"/>
      <c r="K5893" s="1111"/>
      <c r="L5893" s="1112"/>
      <c r="M5893" s="1113"/>
      <c r="N5893" s="110"/>
      <c r="O5893" s="1140"/>
      <c r="P5893" s="1115"/>
      <c r="Q5893" s="1116"/>
      <c r="R5893" s="1141"/>
      <c r="S5893" s="1113"/>
      <c r="T5893" s="1143"/>
      <c r="U5893" s="1108"/>
      <c r="V5893" s="1108"/>
      <c r="W5893" s="1108"/>
      <c r="X5893" s="1108"/>
      <c r="Y5893" s="1108"/>
      <c r="Z5893" s="1114"/>
      <c r="AA5893" s="1114"/>
      <c r="AB5893" s="1114"/>
      <c r="AC5893" s="1117"/>
      <c r="AD5893" s="1115"/>
      <c r="AE5893" s="1115"/>
      <c r="AF5893" s="1115"/>
      <c r="AG5893" s="1115"/>
      <c r="AH5893" s="1115"/>
      <c r="AI5893" s="1115"/>
      <c r="AJ5893" s="1117"/>
      <c r="AK5893" s="1118"/>
      <c r="AL5893" s="1115"/>
      <c r="AM5893" s="1115"/>
      <c r="AN5893" s="1115"/>
      <c r="AO5893" s="1115"/>
      <c r="AP5893" s="1115"/>
      <c r="AQ5893" s="1115"/>
      <c r="AR5893" s="1115"/>
      <c r="AS5893" s="1117"/>
      <c r="AT5893" s="1075"/>
      <c r="AU5893" s="1193"/>
      <c r="AV5893" s="330"/>
      <c r="AW5893" s="331"/>
      <c r="AX5893" s="331"/>
      <c r="AY5893" s="331"/>
      <c r="AZ5893" s="331"/>
      <c r="BA5893" s="331"/>
      <c r="BB5893" s="331"/>
      <c r="BC5893" s="331"/>
      <c r="BD5893" s="331"/>
      <c r="BE5893" s="333"/>
      <c r="BF5893" s="330"/>
      <c r="BG5893" s="333"/>
      <c r="BH5893" s="1119"/>
      <c r="BI5893" s="319"/>
      <c r="BJ5893" s="319"/>
      <c r="BK5893" s="319"/>
      <c r="BL5893" s="319"/>
      <c r="BM5893" s="319"/>
      <c r="BN5893" s="319"/>
      <c r="BO5893" s="319"/>
      <c r="BP5893" s="953"/>
      <c r="BQ5893" s="319"/>
      <c r="BR5893" s="319"/>
      <c r="BS5893" s="330"/>
      <c r="BT5893" s="331"/>
      <c r="BU5893" s="920"/>
      <c r="BV5893" s="903"/>
      <c r="BW5893" s="908"/>
      <c r="BX5893" s="908"/>
      <c r="BY5893" s="331"/>
      <c r="BZ5893" s="331"/>
      <c r="CA5893" s="462"/>
      <c r="CB5893" s="319"/>
      <c r="CC5893" s="319"/>
      <c r="CD5893" s="319"/>
      <c r="CE5893" s="319"/>
      <c r="CF5893" s="319"/>
      <c r="CG5893" s="319"/>
      <c r="CH5893" s="318"/>
      <c r="CI5893" s="319"/>
      <c r="CJ5893" s="319"/>
      <c r="CK5893" s="342"/>
      <c r="CL5893" s="333"/>
      <c r="CM5893" s="1079"/>
      <c r="CN5893" s="1005"/>
      <c r="CO5893" s="1005"/>
      <c r="CP5893" s="1005"/>
    </row>
    <row r="5894">
      <c r="A5894" s="1257"/>
      <c r="B5894" s="1113"/>
      <c r="C5894" s="1107"/>
      <c r="D5894" s="103"/>
      <c r="E5894" s="1137"/>
      <c r="F5894" s="112"/>
      <c r="G5894" s="1110"/>
      <c r="H5894" s="1138"/>
      <c r="I5894" s="1138"/>
      <c r="J5894" s="1139"/>
      <c r="K5894" s="1111"/>
      <c r="L5894" s="1112"/>
      <c r="M5894" s="1113"/>
      <c r="N5894" s="110"/>
      <c r="O5894" s="1140"/>
      <c r="P5894" s="1115"/>
      <c r="Q5894" s="1116"/>
      <c r="R5894" s="1141"/>
      <c r="S5894" s="1113"/>
      <c r="T5894" s="1143"/>
      <c r="U5894" s="1108"/>
      <c r="V5894" s="1108"/>
      <c r="W5894" s="1108"/>
      <c r="X5894" s="1108"/>
      <c r="Y5894" s="1108"/>
      <c r="Z5894" s="1114"/>
      <c r="AA5894" s="1114"/>
      <c r="AB5894" s="1114"/>
      <c r="AC5894" s="1117"/>
      <c r="AD5894" s="1115"/>
      <c r="AE5894" s="1115"/>
      <c r="AF5894" s="1115"/>
      <c r="AG5894" s="1115"/>
      <c r="AH5894" s="1115"/>
      <c r="AI5894" s="1115"/>
      <c r="AJ5894" s="1117"/>
      <c r="AK5894" s="1118"/>
      <c r="AL5894" s="1115"/>
      <c r="AM5894" s="1115"/>
      <c r="AN5894" s="1115"/>
      <c r="AO5894" s="1115"/>
      <c r="AP5894" s="1115"/>
      <c r="AQ5894" s="1115"/>
      <c r="AR5894" s="1115"/>
      <c r="AS5894" s="1117"/>
      <c r="AT5894" s="1075"/>
      <c r="AU5894" s="1193"/>
      <c r="AV5894" s="330"/>
      <c r="AW5894" s="331"/>
      <c r="AX5894" s="331"/>
      <c r="AY5894" s="331"/>
      <c r="AZ5894" s="331"/>
      <c r="BA5894" s="331"/>
      <c r="BB5894" s="331"/>
      <c r="BC5894" s="331"/>
      <c r="BD5894" s="331"/>
      <c r="BE5894" s="333"/>
      <c r="BF5894" s="330"/>
      <c r="BG5894" s="333"/>
      <c r="BH5894" s="1119"/>
      <c r="BI5894" s="319"/>
      <c r="BJ5894" s="319"/>
      <c r="BK5894" s="319"/>
      <c r="BL5894" s="319"/>
      <c r="BM5894" s="319"/>
      <c r="BN5894" s="319"/>
      <c r="BO5894" s="319"/>
      <c r="BP5894" s="953"/>
      <c r="BQ5894" s="319"/>
      <c r="BR5894" s="319"/>
      <c r="BS5894" s="330"/>
      <c r="BT5894" s="331"/>
      <c r="BU5894" s="920"/>
      <c r="BV5894" s="903"/>
      <c r="BW5894" s="908"/>
      <c r="BX5894" s="908"/>
      <c r="BY5894" s="331"/>
      <c r="BZ5894" s="331"/>
      <c r="CA5894" s="462"/>
      <c r="CB5894" s="319"/>
      <c r="CC5894" s="319"/>
      <c r="CD5894" s="319"/>
      <c r="CE5894" s="319"/>
      <c r="CF5894" s="319"/>
      <c r="CG5894" s="319"/>
      <c r="CH5894" s="318"/>
      <c r="CI5894" s="319"/>
      <c r="CJ5894" s="319"/>
      <c r="CK5894" s="342"/>
      <c r="CL5894" s="333"/>
      <c r="CM5894" s="1079"/>
      <c r="CN5894" s="1005"/>
      <c r="CO5894" s="1005"/>
      <c r="CP5894" s="1005"/>
    </row>
    <row r="5895">
      <c r="A5895" s="1257"/>
      <c r="B5895" s="1113"/>
      <c r="C5895" s="1107"/>
      <c r="D5895" s="103"/>
      <c r="E5895" s="1137"/>
      <c r="F5895" s="112"/>
      <c r="G5895" s="1110"/>
      <c r="H5895" s="1138"/>
      <c r="I5895" s="1138"/>
      <c r="J5895" s="1139"/>
      <c r="K5895" s="1111"/>
      <c r="L5895" s="1112"/>
      <c r="M5895" s="1113"/>
      <c r="N5895" s="110"/>
      <c r="O5895" s="1140"/>
      <c r="P5895" s="1115"/>
      <c r="Q5895" s="1116"/>
      <c r="R5895" s="1141"/>
      <c r="S5895" s="1113"/>
      <c r="T5895" s="1143"/>
      <c r="U5895" s="1108"/>
      <c r="V5895" s="1108"/>
      <c r="W5895" s="1108"/>
      <c r="X5895" s="1108"/>
      <c r="Y5895" s="1108"/>
      <c r="Z5895" s="1114"/>
      <c r="AA5895" s="1114"/>
      <c r="AB5895" s="1114"/>
      <c r="AC5895" s="1117"/>
      <c r="AD5895" s="1115"/>
      <c r="AE5895" s="1115"/>
      <c r="AF5895" s="1115"/>
      <c r="AG5895" s="1115"/>
      <c r="AH5895" s="1115"/>
      <c r="AI5895" s="1115"/>
      <c r="AJ5895" s="1117"/>
      <c r="AK5895" s="1118"/>
      <c r="AL5895" s="1115"/>
      <c r="AM5895" s="1115"/>
      <c r="AN5895" s="1115"/>
      <c r="AO5895" s="1115"/>
      <c r="AP5895" s="1115"/>
      <c r="AQ5895" s="1115"/>
      <c r="AR5895" s="1115"/>
      <c r="AS5895" s="1117"/>
      <c r="AT5895" s="1075"/>
      <c r="AU5895" s="1193"/>
      <c r="AV5895" s="330"/>
      <c r="AW5895" s="331"/>
      <c r="AX5895" s="331"/>
      <c r="AY5895" s="331"/>
      <c r="AZ5895" s="331"/>
      <c r="BA5895" s="331"/>
      <c r="BB5895" s="331"/>
      <c r="BC5895" s="331"/>
      <c r="BD5895" s="331"/>
      <c r="BE5895" s="333"/>
      <c r="BF5895" s="330"/>
      <c r="BG5895" s="333"/>
      <c r="BH5895" s="1119"/>
      <c r="BI5895" s="319"/>
      <c r="BJ5895" s="319"/>
      <c r="BK5895" s="319"/>
      <c r="BL5895" s="319"/>
      <c r="BM5895" s="319"/>
      <c r="BN5895" s="319"/>
      <c r="BO5895" s="319"/>
      <c r="BP5895" s="953"/>
      <c r="BQ5895" s="319"/>
      <c r="BR5895" s="319"/>
      <c r="BS5895" s="330"/>
      <c r="BT5895" s="331"/>
      <c r="BU5895" s="920"/>
      <c r="BV5895" s="903"/>
      <c r="BW5895" s="908"/>
      <c r="BX5895" s="908"/>
      <c r="BY5895" s="331"/>
      <c r="BZ5895" s="331"/>
      <c r="CA5895" s="462"/>
      <c r="CB5895" s="319"/>
      <c r="CC5895" s="319"/>
      <c r="CD5895" s="319"/>
      <c r="CE5895" s="319"/>
      <c r="CF5895" s="319"/>
      <c r="CG5895" s="319"/>
      <c r="CH5895" s="318"/>
      <c r="CI5895" s="319"/>
      <c r="CJ5895" s="319"/>
      <c r="CK5895" s="342"/>
      <c r="CL5895" s="333"/>
      <c r="CM5895" s="1079"/>
      <c r="CN5895" s="1005"/>
      <c r="CO5895" s="1005"/>
      <c r="CP5895" s="1005"/>
    </row>
    <row r="5896">
      <c r="A5896" s="1257"/>
      <c r="B5896" s="1113"/>
      <c r="C5896" s="1107"/>
      <c r="D5896" s="103"/>
      <c r="E5896" s="1137"/>
      <c r="F5896" s="112"/>
      <c r="G5896" s="1110"/>
      <c r="H5896" s="1138"/>
      <c r="I5896" s="1138"/>
      <c r="J5896" s="1139"/>
      <c r="K5896" s="1111"/>
      <c r="L5896" s="1112"/>
      <c r="M5896" s="1113"/>
      <c r="N5896" s="110"/>
      <c r="O5896" s="1140"/>
      <c r="P5896" s="1115"/>
      <c r="Q5896" s="1116"/>
      <c r="R5896" s="1141"/>
      <c r="S5896" s="1113"/>
      <c r="T5896" s="1143"/>
      <c r="U5896" s="1108"/>
      <c r="V5896" s="1108"/>
      <c r="W5896" s="1108"/>
      <c r="X5896" s="1108"/>
      <c r="Y5896" s="1108"/>
      <c r="Z5896" s="1114"/>
      <c r="AA5896" s="1114"/>
      <c r="AB5896" s="1114"/>
      <c r="AC5896" s="1117"/>
      <c r="AD5896" s="1115"/>
      <c r="AE5896" s="1115"/>
      <c r="AF5896" s="1115"/>
      <c r="AG5896" s="1115"/>
      <c r="AH5896" s="1115"/>
      <c r="AI5896" s="1115"/>
      <c r="AJ5896" s="1117"/>
      <c r="AK5896" s="1118"/>
      <c r="AL5896" s="1115"/>
      <c r="AM5896" s="1115"/>
      <c r="AN5896" s="1115"/>
      <c r="AO5896" s="1115"/>
      <c r="AP5896" s="1115"/>
      <c r="AQ5896" s="1115"/>
      <c r="AR5896" s="1115"/>
      <c r="AS5896" s="1117"/>
      <c r="AT5896" s="1075"/>
      <c r="AU5896" s="1193"/>
      <c r="AV5896" s="330"/>
      <c r="AW5896" s="331"/>
      <c r="AX5896" s="331"/>
      <c r="AY5896" s="331"/>
      <c r="AZ5896" s="331"/>
      <c r="BA5896" s="331"/>
      <c r="BB5896" s="331"/>
      <c r="BC5896" s="331"/>
      <c r="BD5896" s="331"/>
      <c r="BE5896" s="333"/>
      <c r="BF5896" s="330"/>
      <c r="BG5896" s="333"/>
      <c r="BH5896" s="1119"/>
      <c r="BI5896" s="319"/>
      <c r="BJ5896" s="319"/>
      <c r="BK5896" s="319"/>
      <c r="BL5896" s="319"/>
      <c r="BM5896" s="319"/>
      <c r="BN5896" s="319"/>
      <c r="BO5896" s="319"/>
      <c r="BP5896" s="953"/>
      <c r="BQ5896" s="319"/>
      <c r="BR5896" s="319"/>
      <c r="BS5896" s="330"/>
      <c r="BT5896" s="331"/>
      <c r="BU5896" s="920"/>
      <c r="BV5896" s="903"/>
      <c r="BW5896" s="908"/>
      <c r="BX5896" s="908"/>
      <c r="BY5896" s="331"/>
      <c r="BZ5896" s="331"/>
      <c r="CA5896" s="462"/>
      <c r="CB5896" s="319"/>
      <c r="CC5896" s="319"/>
      <c r="CD5896" s="319"/>
      <c r="CE5896" s="319"/>
      <c r="CF5896" s="319"/>
      <c r="CG5896" s="319"/>
      <c r="CH5896" s="318"/>
      <c r="CI5896" s="319"/>
      <c r="CJ5896" s="319"/>
      <c r="CK5896" s="342"/>
      <c r="CL5896" s="333"/>
      <c r="CM5896" s="1079"/>
      <c r="CN5896" s="1005"/>
      <c r="CO5896" s="1005"/>
      <c r="CP5896" s="1005"/>
    </row>
    <row r="5897">
      <c r="A5897" s="1257"/>
      <c r="B5897" s="1113"/>
      <c r="C5897" s="1107"/>
      <c r="D5897" s="103"/>
      <c r="E5897" s="1137"/>
      <c r="F5897" s="112"/>
      <c r="G5897" s="1110"/>
      <c r="H5897" s="1138"/>
      <c r="I5897" s="1138"/>
      <c r="J5897" s="1139"/>
      <c r="K5897" s="1111"/>
      <c r="L5897" s="1112"/>
      <c r="M5897" s="1113"/>
      <c r="N5897" s="110"/>
      <c r="O5897" s="1140"/>
      <c r="P5897" s="1115"/>
      <c r="Q5897" s="1116"/>
      <c r="R5897" s="1141"/>
      <c r="S5897" s="1113"/>
      <c r="T5897" s="1143"/>
      <c r="U5897" s="1108"/>
      <c r="V5897" s="1108"/>
      <c r="W5897" s="1108"/>
      <c r="X5897" s="1108"/>
      <c r="Y5897" s="1108"/>
      <c r="Z5897" s="1114"/>
      <c r="AA5897" s="1114"/>
      <c r="AB5897" s="1114"/>
      <c r="AC5897" s="1117"/>
      <c r="AD5897" s="1115"/>
      <c r="AE5897" s="1115"/>
      <c r="AF5897" s="1115"/>
      <c r="AG5897" s="1115"/>
      <c r="AH5897" s="1115"/>
      <c r="AI5897" s="1115"/>
      <c r="AJ5897" s="1117"/>
      <c r="AK5897" s="1118"/>
      <c r="AL5897" s="1115"/>
      <c r="AM5897" s="1115"/>
      <c r="AN5897" s="1115"/>
      <c r="AO5897" s="1115"/>
      <c r="AP5897" s="1115"/>
      <c r="AQ5897" s="1115"/>
      <c r="AR5897" s="1115"/>
      <c r="AS5897" s="1117"/>
      <c r="AT5897" s="1075"/>
      <c r="AU5897" s="1193"/>
      <c r="AV5897" s="330"/>
      <c r="AW5897" s="331"/>
      <c r="AX5897" s="331"/>
      <c r="AY5897" s="331"/>
      <c r="AZ5897" s="331"/>
      <c r="BA5897" s="331"/>
      <c r="BB5897" s="331"/>
      <c r="BC5897" s="331"/>
      <c r="BD5897" s="331"/>
      <c r="BE5897" s="333"/>
      <c r="BF5897" s="330"/>
      <c r="BG5897" s="333"/>
      <c r="BH5897" s="1119"/>
      <c r="BI5897" s="319"/>
      <c r="BJ5897" s="319"/>
      <c r="BK5897" s="319"/>
      <c r="BL5897" s="319"/>
      <c r="BM5897" s="319"/>
      <c r="BN5897" s="319"/>
      <c r="BO5897" s="319"/>
      <c r="BP5897" s="953"/>
      <c r="BQ5897" s="319"/>
      <c r="BR5897" s="319"/>
      <c r="BS5897" s="330"/>
      <c r="BT5897" s="331"/>
      <c r="BU5897" s="920"/>
      <c r="BV5897" s="903"/>
      <c r="BW5897" s="908"/>
      <c r="BX5897" s="908"/>
      <c r="BY5897" s="331"/>
      <c r="BZ5897" s="331"/>
      <c r="CA5897" s="462"/>
      <c r="CB5897" s="319"/>
      <c r="CC5897" s="319"/>
      <c r="CD5897" s="319"/>
      <c r="CE5897" s="319"/>
      <c r="CF5897" s="319"/>
      <c r="CG5897" s="319"/>
      <c r="CH5897" s="318"/>
      <c r="CI5897" s="319"/>
      <c r="CJ5897" s="319"/>
      <c r="CK5897" s="342"/>
      <c r="CL5897" s="333"/>
      <c r="CM5897" s="1079"/>
      <c r="CN5897" s="1005"/>
      <c r="CO5897" s="1005"/>
      <c r="CP5897" s="1005"/>
    </row>
    <row r="5898">
      <c r="A5898" s="1257"/>
      <c r="B5898" s="1113"/>
      <c r="C5898" s="1107"/>
      <c r="D5898" s="103"/>
      <c r="E5898" s="1137"/>
      <c r="F5898" s="112"/>
      <c r="G5898" s="1110"/>
      <c r="H5898" s="1138"/>
      <c r="I5898" s="1138"/>
      <c r="J5898" s="1139"/>
      <c r="K5898" s="1111"/>
      <c r="L5898" s="1112"/>
      <c r="M5898" s="1113"/>
      <c r="N5898" s="110"/>
      <c r="O5898" s="1140"/>
      <c r="P5898" s="1115"/>
      <c r="Q5898" s="1116"/>
      <c r="R5898" s="1141"/>
      <c r="S5898" s="1113"/>
      <c r="T5898" s="1143"/>
      <c r="U5898" s="1108"/>
      <c r="V5898" s="1108"/>
      <c r="W5898" s="1108"/>
      <c r="X5898" s="1108"/>
      <c r="Y5898" s="1108"/>
      <c r="Z5898" s="1114"/>
      <c r="AA5898" s="1114"/>
      <c r="AB5898" s="1114"/>
      <c r="AC5898" s="1117"/>
      <c r="AD5898" s="1115"/>
      <c r="AE5898" s="1115"/>
      <c r="AF5898" s="1115"/>
      <c r="AG5898" s="1115"/>
      <c r="AH5898" s="1115"/>
      <c r="AI5898" s="1115"/>
      <c r="AJ5898" s="1117"/>
      <c r="AK5898" s="1118"/>
      <c r="AL5898" s="1115"/>
      <c r="AM5898" s="1115"/>
      <c r="AN5898" s="1115"/>
      <c r="AO5898" s="1115"/>
      <c r="AP5898" s="1115"/>
      <c r="AQ5898" s="1115"/>
      <c r="AR5898" s="1115"/>
      <c r="AS5898" s="1117"/>
      <c r="AT5898" s="1075"/>
      <c r="AU5898" s="1193"/>
      <c r="AV5898" s="330"/>
      <c r="AW5898" s="331"/>
      <c r="AX5898" s="331"/>
      <c r="AY5898" s="331"/>
      <c r="AZ5898" s="331"/>
      <c r="BA5898" s="331"/>
      <c r="BB5898" s="331"/>
      <c r="BC5898" s="331"/>
      <c r="BD5898" s="331"/>
      <c r="BE5898" s="333"/>
      <c r="BF5898" s="330"/>
      <c r="BG5898" s="333"/>
      <c r="BH5898" s="1119"/>
      <c r="BI5898" s="319"/>
      <c r="BJ5898" s="319"/>
      <c r="BK5898" s="319"/>
      <c r="BL5898" s="319"/>
      <c r="BM5898" s="319"/>
      <c r="BN5898" s="319"/>
      <c r="BO5898" s="319"/>
      <c r="BP5898" s="953"/>
      <c r="BQ5898" s="319"/>
      <c r="BR5898" s="319"/>
      <c r="BS5898" s="330"/>
      <c r="BT5898" s="331"/>
      <c r="BU5898" s="920"/>
      <c r="BV5898" s="903"/>
      <c r="BW5898" s="908"/>
      <c r="BX5898" s="908"/>
      <c r="BY5898" s="331"/>
      <c r="BZ5898" s="331"/>
      <c r="CA5898" s="462"/>
      <c r="CB5898" s="319"/>
      <c r="CC5898" s="319"/>
      <c r="CD5898" s="319"/>
      <c r="CE5898" s="319"/>
      <c r="CF5898" s="319"/>
      <c r="CG5898" s="319"/>
      <c r="CH5898" s="318"/>
      <c r="CI5898" s="319"/>
      <c r="CJ5898" s="319"/>
      <c r="CK5898" s="342"/>
      <c r="CL5898" s="333"/>
      <c r="CM5898" s="1079"/>
      <c r="CN5898" s="1005"/>
      <c r="CO5898" s="1005"/>
      <c r="CP5898" s="1005"/>
    </row>
    <row r="5899">
      <c r="A5899" s="1257"/>
      <c r="B5899" s="1113"/>
      <c r="C5899" s="1107"/>
      <c r="D5899" s="103"/>
      <c r="E5899" s="1137"/>
      <c r="F5899" s="112"/>
      <c r="G5899" s="1110"/>
      <c r="H5899" s="1138"/>
      <c r="I5899" s="1138"/>
      <c r="J5899" s="1139"/>
      <c r="K5899" s="1111"/>
      <c r="L5899" s="1112"/>
      <c r="M5899" s="1113"/>
      <c r="N5899" s="110"/>
      <c r="O5899" s="1140"/>
      <c r="P5899" s="1115"/>
      <c r="Q5899" s="1116"/>
      <c r="R5899" s="1141"/>
      <c r="S5899" s="1113"/>
      <c r="T5899" s="1143"/>
      <c r="U5899" s="1108"/>
      <c r="V5899" s="1108"/>
      <c r="W5899" s="1108"/>
      <c r="X5899" s="1108"/>
      <c r="Y5899" s="1108"/>
      <c r="Z5899" s="1114"/>
      <c r="AA5899" s="1114"/>
      <c r="AB5899" s="1114"/>
      <c r="AC5899" s="1117"/>
      <c r="AD5899" s="1115"/>
      <c r="AE5899" s="1115"/>
      <c r="AF5899" s="1115"/>
      <c r="AG5899" s="1115"/>
      <c r="AH5899" s="1115"/>
      <c r="AI5899" s="1115"/>
      <c r="AJ5899" s="1117"/>
      <c r="AK5899" s="1118"/>
      <c r="AL5899" s="1115"/>
      <c r="AM5899" s="1115"/>
      <c r="AN5899" s="1115"/>
      <c r="AO5899" s="1115"/>
      <c r="AP5899" s="1115"/>
      <c r="AQ5899" s="1115"/>
      <c r="AR5899" s="1115"/>
      <c r="AS5899" s="1117"/>
      <c r="AT5899" s="1075"/>
      <c r="AU5899" s="1193"/>
      <c r="AV5899" s="330"/>
      <c r="AW5899" s="331"/>
      <c r="AX5899" s="331"/>
      <c r="AY5899" s="331"/>
      <c r="AZ5899" s="331"/>
      <c r="BA5899" s="331"/>
      <c r="BB5899" s="331"/>
      <c r="BC5899" s="331"/>
      <c r="BD5899" s="331"/>
      <c r="BE5899" s="333"/>
      <c r="BF5899" s="330"/>
      <c r="BG5899" s="333"/>
      <c r="BH5899" s="1119"/>
      <c r="BI5899" s="319"/>
      <c r="BJ5899" s="319"/>
      <c r="BK5899" s="319"/>
      <c r="BL5899" s="319"/>
      <c r="BM5899" s="319"/>
      <c r="BN5899" s="319"/>
      <c r="BO5899" s="319"/>
      <c r="BP5899" s="953"/>
      <c r="BQ5899" s="319"/>
      <c r="BR5899" s="319"/>
      <c r="BS5899" s="330"/>
      <c r="BT5899" s="331"/>
      <c r="BU5899" s="920"/>
      <c r="BV5899" s="903"/>
      <c r="BW5899" s="908"/>
      <c r="BX5899" s="908"/>
      <c r="BY5899" s="331"/>
      <c r="BZ5899" s="331"/>
      <c r="CA5899" s="462"/>
      <c r="CB5899" s="319"/>
      <c r="CC5899" s="319"/>
      <c r="CD5899" s="319"/>
      <c r="CE5899" s="319"/>
      <c r="CF5899" s="319"/>
      <c r="CG5899" s="319"/>
      <c r="CH5899" s="318"/>
      <c r="CI5899" s="319"/>
      <c r="CJ5899" s="319"/>
      <c r="CK5899" s="342"/>
      <c r="CL5899" s="333"/>
      <c r="CM5899" s="1079"/>
      <c r="CN5899" s="1005"/>
      <c r="CO5899" s="1005"/>
      <c r="CP5899" s="1005"/>
    </row>
    <row r="5900">
      <c r="A5900" s="1257"/>
      <c r="B5900" s="1113"/>
      <c r="C5900" s="1107"/>
      <c r="D5900" s="103"/>
      <c r="E5900" s="1137"/>
      <c r="F5900" s="112"/>
      <c r="G5900" s="1110"/>
      <c r="H5900" s="1138"/>
      <c r="I5900" s="1138"/>
      <c r="J5900" s="1139"/>
      <c r="K5900" s="1111"/>
      <c r="L5900" s="1112"/>
      <c r="M5900" s="1113"/>
      <c r="N5900" s="110"/>
      <c r="O5900" s="1140"/>
      <c r="P5900" s="1115"/>
      <c r="Q5900" s="1116"/>
      <c r="R5900" s="1141"/>
      <c r="S5900" s="1113"/>
      <c r="T5900" s="1143"/>
      <c r="U5900" s="1108"/>
      <c r="V5900" s="1108"/>
      <c r="W5900" s="1108"/>
      <c r="X5900" s="1108"/>
      <c r="Y5900" s="1108"/>
      <c r="Z5900" s="1114"/>
      <c r="AA5900" s="1114"/>
      <c r="AB5900" s="1114"/>
      <c r="AC5900" s="1117"/>
      <c r="AD5900" s="1115"/>
      <c r="AE5900" s="1115"/>
      <c r="AF5900" s="1115"/>
      <c r="AG5900" s="1115"/>
      <c r="AH5900" s="1115"/>
      <c r="AI5900" s="1115"/>
      <c r="AJ5900" s="1117"/>
      <c r="AK5900" s="1118"/>
      <c r="AL5900" s="1115"/>
      <c r="AM5900" s="1115"/>
      <c r="AN5900" s="1115"/>
      <c r="AO5900" s="1115"/>
      <c r="AP5900" s="1115"/>
      <c r="AQ5900" s="1115"/>
      <c r="AR5900" s="1115"/>
      <c r="AS5900" s="1117"/>
      <c r="AT5900" s="1075"/>
      <c r="AU5900" s="1193"/>
      <c r="AV5900" s="330"/>
      <c r="AW5900" s="331"/>
      <c r="AX5900" s="331"/>
      <c r="AY5900" s="331"/>
      <c r="AZ5900" s="331"/>
      <c r="BA5900" s="331"/>
      <c r="BB5900" s="331"/>
      <c r="BC5900" s="331"/>
      <c r="BD5900" s="331"/>
      <c r="BE5900" s="333"/>
      <c r="BF5900" s="330"/>
      <c r="BG5900" s="333"/>
      <c r="BH5900" s="1119"/>
      <c r="BI5900" s="319"/>
      <c r="BJ5900" s="319"/>
      <c r="BK5900" s="319"/>
      <c r="BL5900" s="319"/>
      <c r="BM5900" s="319"/>
      <c r="BN5900" s="319"/>
      <c r="BO5900" s="319"/>
      <c r="BP5900" s="953"/>
      <c r="BQ5900" s="319"/>
      <c r="BR5900" s="319"/>
      <c r="BS5900" s="330"/>
      <c r="BT5900" s="331"/>
      <c r="BU5900" s="920"/>
      <c r="BV5900" s="903"/>
      <c r="BW5900" s="908"/>
      <c r="BX5900" s="908"/>
      <c r="BY5900" s="331"/>
      <c r="BZ5900" s="331"/>
      <c r="CA5900" s="462"/>
      <c r="CB5900" s="319"/>
      <c r="CC5900" s="319"/>
      <c r="CD5900" s="319"/>
      <c r="CE5900" s="319"/>
      <c r="CF5900" s="319"/>
      <c r="CG5900" s="319"/>
      <c r="CH5900" s="318"/>
      <c r="CI5900" s="319"/>
      <c r="CJ5900" s="319"/>
      <c r="CK5900" s="342"/>
      <c r="CL5900" s="333"/>
      <c r="CM5900" s="1079"/>
      <c r="CN5900" s="1005"/>
      <c r="CO5900" s="1005"/>
      <c r="CP5900" s="1005"/>
    </row>
    <row r="5901">
      <c r="A5901" s="1257"/>
      <c r="B5901" s="1113"/>
      <c r="C5901" s="1107"/>
      <c r="D5901" s="103"/>
      <c r="E5901" s="1137"/>
      <c r="F5901" s="112"/>
      <c r="G5901" s="1110"/>
      <c r="H5901" s="1138"/>
      <c r="I5901" s="1138"/>
      <c r="J5901" s="1139"/>
      <c r="K5901" s="1111"/>
      <c r="L5901" s="1112"/>
      <c r="M5901" s="1113"/>
      <c r="N5901" s="110"/>
      <c r="O5901" s="1140"/>
      <c r="P5901" s="1115"/>
      <c r="Q5901" s="1116"/>
      <c r="R5901" s="1141"/>
      <c r="S5901" s="1113"/>
      <c r="T5901" s="1143"/>
      <c r="U5901" s="1108"/>
      <c r="V5901" s="1108"/>
      <c r="W5901" s="1108"/>
      <c r="X5901" s="1108"/>
      <c r="Y5901" s="1108"/>
      <c r="Z5901" s="1114"/>
      <c r="AA5901" s="1114"/>
      <c r="AB5901" s="1114"/>
      <c r="AC5901" s="1117"/>
      <c r="AD5901" s="1115"/>
      <c r="AE5901" s="1115"/>
      <c r="AF5901" s="1115"/>
      <c r="AG5901" s="1115"/>
      <c r="AH5901" s="1115"/>
      <c r="AI5901" s="1115"/>
      <c r="AJ5901" s="1117"/>
      <c r="AK5901" s="1118"/>
      <c r="AL5901" s="1115"/>
      <c r="AM5901" s="1115"/>
      <c r="AN5901" s="1115"/>
      <c r="AO5901" s="1115"/>
      <c r="AP5901" s="1115"/>
      <c r="AQ5901" s="1115"/>
      <c r="AR5901" s="1115"/>
      <c r="AS5901" s="1117"/>
      <c r="AT5901" s="1075"/>
      <c r="AU5901" s="1193"/>
      <c r="AV5901" s="330"/>
      <c r="AW5901" s="331"/>
      <c r="AX5901" s="331"/>
      <c r="AY5901" s="331"/>
      <c r="AZ5901" s="331"/>
      <c r="BA5901" s="331"/>
      <c r="BB5901" s="331"/>
      <c r="BC5901" s="331"/>
      <c r="BD5901" s="331"/>
      <c r="BE5901" s="333"/>
      <c r="BF5901" s="330"/>
      <c r="BG5901" s="333"/>
      <c r="BH5901" s="1119"/>
      <c r="BI5901" s="319"/>
      <c r="BJ5901" s="319"/>
      <c r="BK5901" s="319"/>
      <c r="BL5901" s="319"/>
      <c r="BM5901" s="319"/>
      <c r="BN5901" s="319"/>
      <c r="BO5901" s="319"/>
      <c r="BP5901" s="953"/>
      <c r="BQ5901" s="319"/>
      <c r="BR5901" s="319"/>
      <c r="BS5901" s="330"/>
      <c r="BT5901" s="331"/>
      <c r="BU5901" s="920"/>
      <c r="BV5901" s="903"/>
      <c r="BW5901" s="908"/>
      <c r="BX5901" s="908"/>
      <c r="BY5901" s="331"/>
      <c r="BZ5901" s="331"/>
      <c r="CA5901" s="462"/>
      <c r="CB5901" s="319"/>
      <c r="CC5901" s="319"/>
      <c r="CD5901" s="319"/>
      <c r="CE5901" s="319"/>
      <c r="CF5901" s="319"/>
      <c r="CG5901" s="319"/>
      <c r="CH5901" s="318"/>
      <c r="CI5901" s="319"/>
      <c r="CJ5901" s="319"/>
      <c r="CK5901" s="342"/>
      <c r="CL5901" s="333"/>
      <c r="CM5901" s="1079"/>
      <c r="CN5901" s="1005"/>
      <c r="CO5901" s="1005"/>
      <c r="CP5901" s="1005"/>
    </row>
    <row r="5902">
      <c r="A5902" s="1257"/>
      <c r="B5902" s="1113"/>
      <c r="C5902" s="1107"/>
      <c r="D5902" s="103"/>
      <c r="E5902" s="1137"/>
      <c r="F5902" s="112"/>
      <c r="G5902" s="1110"/>
      <c r="H5902" s="1138"/>
      <c r="I5902" s="1138"/>
      <c r="J5902" s="1139"/>
      <c r="K5902" s="1111"/>
      <c r="L5902" s="1112"/>
      <c r="M5902" s="1113"/>
      <c r="N5902" s="110"/>
      <c r="O5902" s="1140"/>
      <c r="P5902" s="1115"/>
      <c r="Q5902" s="1116"/>
      <c r="R5902" s="1141"/>
      <c r="S5902" s="1113"/>
      <c r="T5902" s="1143"/>
      <c r="U5902" s="1108"/>
      <c r="V5902" s="1108"/>
      <c r="W5902" s="1108"/>
      <c r="X5902" s="1108"/>
      <c r="Y5902" s="1108"/>
      <c r="Z5902" s="1114"/>
      <c r="AA5902" s="1114"/>
      <c r="AB5902" s="1114"/>
      <c r="AC5902" s="1117"/>
      <c r="AD5902" s="1115"/>
      <c r="AE5902" s="1115"/>
      <c r="AF5902" s="1115"/>
      <c r="AG5902" s="1115"/>
      <c r="AH5902" s="1115"/>
      <c r="AI5902" s="1115"/>
      <c r="AJ5902" s="1117"/>
      <c r="AK5902" s="1118"/>
      <c r="AL5902" s="1115"/>
      <c r="AM5902" s="1115"/>
      <c r="AN5902" s="1115"/>
      <c r="AO5902" s="1115"/>
      <c r="AP5902" s="1115"/>
      <c r="AQ5902" s="1115"/>
      <c r="AR5902" s="1115"/>
      <c r="AS5902" s="1117"/>
      <c r="AT5902" s="1075"/>
      <c r="AU5902" s="1193"/>
      <c r="AV5902" s="330"/>
      <c r="AW5902" s="331"/>
      <c r="AX5902" s="331"/>
      <c r="AY5902" s="331"/>
      <c r="AZ5902" s="331"/>
      <c r="BA5902" s="331"/>
      <c r="BB5902" s="331"/>
      <c r="BC5902" s="331"/>
      <c r="BD5902" s="331"/>
      <c r="BE5902" s="333"/>
      <c r="BF5902" s="330"/>
      <c r="BG5902" s="333"/>
      <c r="BH5902" s="1119"/>
      <c r="BI5902" s="319"/>
      <c r="BJ5902" s="319"/>
      <c r="BK5902" s="319"/>
      <c r="BL5902" s="319"/>
      <c r="BM5902" s="319"/>
      <c r="BN5902" s="319"/>
      <c r="BO5902" s="319"/>
      <c r="BP5902" s="953"/>
      <c r="BQ5902" s="319"/>
      <c r="BR5902" s="319"/>
      <c r="BS5902" s="330"/>
      <c r="BT5902" s="331"/>
      <c r="BU5902" s="920"/>
      <c r="BV5902" s="903"/>
      <c r="BW5902" s="908"/>
      <c r="BX5902" s="908"/>
      <c r="BY5902" s="331"/>
      <c r="BZ5902" s="331"/>
      <c r="CA5902" s="462"/>
      <c r="CB5902" s="319"/>
      <c r="CC5902" s="319"/>
      <c r="CD5902" s="319"/>
      <c r="CE5902" s="319"/>
      <c r="CF5902" s="319"/>
      <c r="CG5902" s="319"/>
      <c r="CH5902" s="318"/>
      <c r="CI5902" s="319"/>
      <c r="CJ5902" s="319"/>
      <c r="CK5902" s="342"/>
      <c r="CL5902" s="333"/>
      <c r="CM5902" s="1079"/>
      <c r="CN5902" s="1005"/>
      <c r="CO5902" s="1005"/>
      <c r="CP5902" s="1005"/>
    </row>
    <row r="5903">
      <c r="A5903" s="1257"/>
      <c r="B5903" s="1113"/>
      <c r="C5903" s="1107"/>
      <c r="D5903" s="103"/>
      <c r="E5903" s="1137"/>
      <c r="F5903" s="112"/>
      <c r="G5903" s="1110"/>
      <c r="H5903" s="1138"/>
      <c r="I5903" s="1138"/>
      <c r="J5903" s="1139"/>
      <c r="K5903" s="1111"/>
      <c r="L5903" s="1112"/>
      <c r="M5903" s="1113"/>
      <c r="N5903" s="110"/>
      <c r="O5903" s="1140"/>
      <c r="P5903" s="1115"/>
      <c r="Q5903" s="1116"/>
      <c r="R5903" s="1141"/>
      <c r="S5903" s="1113"/>
      <c r="T5903" s="1143"/>
      <c r="U5903" s="1108"/>
      <c r="V5903" s="1108"/>
      <c r="W5903" s="1108"/>
      <c r="X5903" s="1108"/>
      <c r="Y5903" s="1108"/>
      <c r="Z5903" s="1114"/>
      <c r="AA5903" s="1114"/>
      <c r="AB5903" s="1114"/>
      <c r="AC5903" s="1117"/>
      <c r="AD5903" s="1115"/>
      <c r="AE5903" s="1115"/>
      <c r="AF5903" s="1115"/>
      <c r="AG5903" s="1115"/>
      <c r="AH5903" s="1115"/>
      <c r="AI5903" s="1115"/>
      <c r="AJ5903" s="1117"/>
      <c r="AK5903" s="1118"/>
      <c r="AL5903" s="1115"/>
      <c r="AM5903" s="1115"/>
      <c r="AN5903" s="1115"/>
      <c r="AO5903" s="1115"/>
      <c r="AP5903" s="1115"/>
      <c r="AQ5903" s="1115"/>
      <c r="AR5903" s="1115"/>
      <c r="AS5903" s="1117"/>
      <c r="AT5903" s="1075"/>
      <c r="AU5903" s="1193"/>
      <c r="AV5903" s="330"/>
      <c r="AW5903" s="331"/>
      <c r="AX5903" s="331"/>
      <c r="AY5903" s="331"/>
      <c r="AZ5903" s="331"/>
      <c r="BA5903" s="331"/>
      <c r="BB5903" s="331"/>
      <c r="BC5903" s="331"/>
      <c r="BD5903" s="331"/>
      <c r="BE5903" s="333"/>
      <c r="BF5903" s="330"/>
      <c r="BG5903" s="333"/>
      <c r="BH5903" s="1119"/>
      <c r="BI5903" s="319"/>
      <c r="BJ5903" s="319"/>
      <c r="BK5903" s="319"/>
      <c r="BL5903" s="319"/>
      <c r="BM5903" s="319"/>
      <c r="BN5903" s="319"/>
      <c r="BO5903" s="319"/>
      <c r="BP5903" s="953"/>
      <c r="BQ5903" s="319"/>
      <c r="BR5903" s="319"/>
      <c r="BS5903" s="330"/>
      <c r="BT5903" s="331"/>
      <c r="BU5903" s="920"/>
      <c r="BV5903" s="903"/>
      <c r="BW5903" s="908"/>
      <c r="BX5903" s="908"/>
      <c r="BY5903" s="331"/>
      <c r="BZ5903" s="331"/>
      <c r="CA5903" s="462"/>
      <c r="CB5903" s="319"/>
      <c r="CC5903" s="319"/>
      <c r="CD5903" s="319"/>
      <c r="CE5903" s="319"/>
      <c r="CF5903" s="319"/>
      <c r="CG5903" s="319"/>
      <c r="CH5903" s="318"/>
      <c r="CI5903" s="319"/>
      <c r="CJ5903" s="319"/>
      <c r="CK5903" s="342"/>
      <c r="CL5903" s="333"/>
      <c r="CM5903" s="1079"/>
      <c r="CN5903" s="1005"/>
      <c r="CO5903" s="1005"/>
      <c r="CP5903" s="1005"/>
    </row>
    <row r="5904">
      <c r="A5904" s="1257"/>
      <c r="B5904" s="1113"/>
      <c r="C5904" s="1107"/>
      <c r="D5904" s="103"/>
      <c r="E5904" s="1137"/>
      <c r="F5904" s="112"/>
      <c r="G5904" s="1110"/>
      <c r="H5904" s="1138"/>
      <c r="I5904" s="1138"/>
      <c r="J5904" s="1139"/>
      <c r="K5904" s="1111"/>
      <c r="L5904" s="1112"/>
      <c r="M5904" s="1113"/>
      <c r="N5904" s="110"/>
      <c r="O5904" s="1140"/>
      <c r="P5904" s="1115"/>
      <c r="Q5904" s="1116"/>
      <c r="R5904" s="1141"/>
      <c r="S5904" s="1113"/>
      <c r="T5904" s="1143"/>
      <c r="U5904" s="1108"/>
      <c r="V5904" s="1108"/>
      <c r="W5904" s="1108"/>
      <c r="X5904" s="1108"/>
      <c r="Y5904" s="1108"/>
      <c r="Z5904" s="1114"/>
      <c r="AA5904" s="1114"/>
      <c r="AB5904" s="1114"/>
      <c r="AC5904" s="1117"/>
      <c r="AD5904" s="1115"/>
      <c r="AE5904" s="1115"/>
      <c r="AF5904" s="1115"/>
      <c r="AG5904" s="1115"/>
      <c r="AH5904" s="1115"/>
      <c r="AI5904" s="1115"/>
      <c r="AJ5904" s="1117"/>
      <c r="AK5904" s="1118"/>
      <c r="AL5904" s="1115"/>
      <c r="AM5904" s="1115"/>
      <c r="AN5904" s="1115"/>
      <c r="AO5904" s="1115"/>
      <c r="AP5904" s="1115"/>
      <c r="AQ5904" s="1115"/>
      <c r="AR5904" s="1115"/>
      <c r="AS5904" s="1117"/>
      <c r="AT5904" s="1075"/>
      <c r="AU5904" s="1193"/>
      <c r="AV5904" s="330"/>
      <c r="AW5904" s="331"/>
      <c r="AX5904" s="331"/>
      <c r="AY5904" s="331"/>
      <c r="AZ5904" s="331"/>
      <c r="BA5904" s="331"/>
      <c r="BB5904" s="331"/>
      <c r="BC5904" s="331"/>
      <c r="BD5904" s="331"/>
      <c r="BE5904" s="333"/>
      <c r="BF5904" s="330"/>
      <c r="BG5904" s="333"/>
      <c r="BH5904" s="1119"/>
      <c r="BI5904" s="319"/>
      <c r="BJ5904" s="319"/>
      <c r="BK5904" s="319"/>
      <c r="BL5904" s="319"/>
      <c r="BM5904" s="319"/>
      <c r="BN5904" s="319"/>
      <c r="BO5904" s="319"/>
      <c r="BP5904" s="953"/>
      <c r="BQ5904" s="319"/>
      <c r="BR5904" s="319"/>
      <c r="BS5904" s="330"/>
      <c r="BT5904" s="331"/>
      <c r="BU5904" s="920"/>
      <c r="BV5904" s="903"/>
      <c r="BW5904" s="908"/>
      <c r="BX5904" s="908"/>
      <c r="BY5904" s="331"/>
      <c r="BZ5904" s="331"/>
      <c r="CA5904" s="462"/>
      <c r="CB5904" s="319"/>
      <c r="CC5904" s="319"/>
      <c r="CD5904" s="319"/>
      <c r="CE5904" s="319"/>
      <c r="CF5904" s="319"/>
      <c r="CG5904" s="319"/>
      <c r="CH5904" s="318"/>
      <c r="CI5904" s="319"/>
      <c r="CJ5904" s="319"/>
      <c r="CK5904" s="342"/>
      <c r="CL5904" s="333"/>
      <c r="CM5904" s="1079"/>
      <c r="CN5904" s="1005"/>
      <c r="CO5904" s="1005"/>
      <c r="CP5904" s="1005"/>
    </row>
    <row r="5905">
      <c r="A5905" s="1257"/>
      <c r="B5905" s="1113"/>
      <c r="C5905" s="1107"/>
      <c r="D5905" s="103"/>
      <c r="E5905" s="1137"/>
      <c r="F5905" s="112"/>
      <c r="G5905" s="1110"/>
      <c r="H5905" s="1138"/>
      <c r="I5905" s="1138"/>
      <c r="J5905" s="1139"/>
      <c r="K5905" s="1111"/>
      <c r="L5905" s="1112"/>
      <c r="M5905" s="1113"/>
      <c r="N5905" s="110"/>
      <c r="O5905" s="1140"/>
      <c r="P5905" s="1115"/>
      <c r="Q5905" s="1116"/>
      <c r="R5905" s="1141"/>
      <c r="S5905" s="1113"/>
      <c r="T5905" s="1143"/>
      <c r="U5905" s="1108"/>
      <c r="V5905" s="1108"/>
      <c r="W5905" s="1108"/>
      <c r="X5905" s="1108"/>
      <c r="Y5905" s="1108"/>
      <c r="Z5905" s="1114"/>
      <c r="AA5905" s="1114"/>
      <c r="AB5905" s="1114"/>
      <c r="AC5905" s="1117"/>
      <c r="AD5905" s="1115"/>
      <c r="AE5905" s="1115"/>
      <c r="AF5905" s="1115"/>
      <c r="AG5905" s="1115"/>
      <c r="AH5905" s="1115"/>
      <c r="AI5905" s="1115"/>
      <c r="AJ5905" s="1117"/>
      <c r="AK5905" s="1118"/>
      <c r="AL5905" s="1115"/>
      <c r="AM5905" s="1115"/>
      <c r="AN5905" s="1115"/>
      <c r="AO5905" s="1115"/>
      <c r="AP5905" s="1115"/>
      <c r="AQ5905" s="1115"/>
      <c r="AR5905" s="1115"/>
      <c r="AS5905" s="1117"/>
      <c r="AT5905" s="1075"/>
      <c r="AU5905" s="1193"/>
      <c r="AV5905" s="330"/>
      <c r="AW5905" s="331"/>
      <c r="AX5905" s="331"/>
      <c r="AY5905" s="331"/>
      <c r="AZ5905" s="331"/>
      <c r="BA5905" s="331"/>
      <c r="BB5905" s="331"/>
      <c r="BC5905" s="331"/>
      <c r="BD5905" s="331"/>
      <c r="BE5905" s="333"/>
      <c r="BF5905" s="330"/>
      <c r="BG5905" s="333"/>
      <c r="BH5905" s="1119"/>
      <c r="BI5905" s="319"/>
      <c r="BJ5905" s="319"/>
      <c r="BK5905" s="319"/>
      <c r="BL5905" s="319"/>
      <c r="BM5905" s="319"/>
      <c r="BN5905" s="319"/>
      <c r="BO5905" s="319"/>
      <c r="BP5905" s="953"/>
      <c r="BQ5905" s="319"/>
      <c r="BR5905" s="319"/>
      <c r="BS5905" s="330"/>
      <c r="BT5905" s="331"/>
      <c r="BU5905" s="920"/>
      <c r="BV5905" s="903"/>
      <c r="BW5905" s="908"/>
      <c r="BX5905" s="908"/>
      <c r="BY5905" s="331"/>
      <c r="BZ5905" s="331"/>
      <c r="CA5905" s="462"/>
      <c r="CB5905" s="319"/>
      <c r="CC5905" s="319"/>
      <c r="CD5905" s="319"/>
      <c r="CE5905" s="319"/>
      <c r="CF5905" s="319"/>
      <c r="CG5905" s="319"/>
      <c r="CH5905" s="318"/>
      <c r="CI5905" s="319"/>
      <c r="CJ5905" s="319"/>
      <c r="CK5905" s="342"/>
      <c r="CL5905" s="333"/>
      <c r="CM5905" s="1079"/>
      <c r="CN5905" s="1005"/>
      <c r="CO5905" s="1005"/>
      <c r="CP5905" s="1005"/>
    </row>
    <row r="5906">
      <c r="A5906" s="1257"/>
      <c r="B5906" s="1113"/>
      <c r="C5906" s="1107"/>
      <c r="D5906" s="103"/>
      <c r="E5906" s="1137"/>
      <c r="F5906" s="112"/>
      <c r="G5906" s="1110"/>
      <c r="H5906" s="1138"/>
      <c r="I5906" s="1138"/>
      <c r="J5906" s="1139"/>
      <c r="K5906" s="1111"/>
      <c r="L5906" s="1112"/>
      <c r="M5906" s="1113"/>
      <c r="N5906" s="110"/>
      <c r="O5906" s="1140"/>
      <c r="P5906" s="1115"/>
      <c r="Q5906" s="1116"/>
      <c r="R5906" s="1141"/>
      <c r="S5906" s="1113"/>
      <c r="T5906" s="1143"/>
      <c r="U5906" s="1108"/>
      <c r="V5906" s="1108"/>
      <c r="W5906" s="1108"/>
      <c r="X5906" s="1108"/>
      <c r="Y5906" s="1108"/>
      <c r="Z5906" s="1114"/>
      <c r="AA5906" s="1114"/>
      <c r="AB5906" s="1114"/>
      <c r="AC5906" s="1117"/>
      <c r="AD5906" s="1115"/>
      <c r="AE5906" s="1115"/>
      <c r="AF5906" s="1115"/>
      <c r="AG5906" s="1115"/>
      <c r="AH5906" s="1115"/>
      <c r="AI5906" s="1115"/>
      <c r="AJ5906" s="1117"/>
      <c r="AK5906" s="1118"/>
      <c r="AL5906" s="1115"/>
      <c r="AM5906" s="1115"/>
      <c r="AN5906" s="1115"/>
      <c r="AO5906" s="1115"/>
      <c r="AP5906" s="1115"/>
      <c r="AQ5906" s="1115"/>
      <c r="AR5906" s="1115"/>
      <c r="AS5906" s="1117"/>
      <c r="AT5906" s="1075"/>
      <c r="AU5906" s="1193"/>
      <c r="AV5906" s="330"/>
      <c r="AW5906" s="331"/>
      <c r="AX5906" s="331"/>
      <c r="AY5906" s="331"/>
      <c r="AZ5906" s="331"/>
      <c r="BA5906" s="331"/>
      <c r="BB5906" s="331"/>
      <c r="BC5906" s="331"/>
      <c r="BD5906" s="331"/>
      <c r="BE5906" s="333"/>
      <c r="BF5906" s="330"/>
      <c r="BG5906" s="333"/>
      <c r="BH5906" s="1119"/>
      <c r="BI5906" s="319"/>
      <c r="BJ5906" s="319"/>
      <c r="BK5906" s="319"/>
      <c r="BL5906" s="319"/>
      <c r="BM5906" s="319"/>
      <c r="BN5906" s="319"/>
      <c r="BO5906" s="319"/>
      <c r="BP5906" s="953"/>
      <c r="BQ5906" s="319"/>
      <c r="BR5906" s="319"/>
      <c r="BS5906" s="330"/>
      <c r="BT5906" s="331"/>
      <c r="BU5906" s="920"/>
      <c r="BV5906" s="903"/>
      <c r="BW5906" s="908"/>
      <c r="BX5906" s="908"/>
      <c r="BY5906" s="331"/>
      <c r="BZ5906" s="331"/>
      <c r="CA5906" s="462"/>
      <c r="CB5906" s="319"/>
      <c r="CC5906" s="319"/>
      <c r="CD5906" s="319"/>
      <c r="CE5906" s="319"/>
      <c r="CF5906" s="319"/>
      <c r="CG5906" s="319"/>
      <c r="CH5906" s="318"/>
      <c r="CI5906" s="319"/>
      <c r="CJ5906" s="319"/>
      <c r="CK5906" s="342"/>
      <c r="CL5906" s="333"/>
      <c r="CM5906" s="1079"/>
      <c r="CN5906" s="1005"/>
      <c r="CO5906" s="1005"/>
      <c r="CP5906" s="1005"/>
    </row>
    <row r="5907">
      <c r="A5907" s="1257"/>
      <c r="B5907" s="1113"/>
      <c r="C5907" s="1107"/>
      <c r="D5907" s="103"/>
      <c r="E5907" s="1137"/>
      <c r="F5907" s="112"/>
      <c r="G5907" s="1110"/>
      <c r="H5907" s="1138"/>
      <c r="I5907" s="1138"/>
      <c r="J5907" s="1139"/>
      <c r="K5907" s="1111"/>
      <c r="L5907" s="1112"/>
      <c r="M5907" s="1113"/>
      <c r="N5907" s="110"/>
      <c r="O5907" s="1140"/>
      <c r="P5907" s="1115"/>
      <c r="Q5907" s="1116"/>
      <c r="R5907" s="1141"/>
      <c r="S5907" s="1113"/>
      <c r="T5907" s="1143"/>
      <c r="U5907" s="1108"/>
      <c r="V5907" s="1108"/>
      <c r="W5907" s="1108"/>
      <c r="X5907" s="1108"/>
      <c r="Y5907" s="1108"/>
      <c r="Z5907" s="1114"/>
      <c r="AA5907" s="1114"/>
      <c r="AB5907" s="1114"/>
      <c r="AC5907" s="1117"/>
      <c r="AD5907" s="1115"/>
      <c r="AE5907" s="1115"/>
      <c r="AF5907" s="1115"/>
      <c r="AG5907" s="1115"/>
      <c r="AH5907" s="1115"/>
      <c r="AI5907" s="1115"/>
      <c r="AJ5907" s="1117"/>
      <c r="AK5907" s="1118"/>
      <c r="AL5907" s="1115"/>
      <c r="AM5907" s="1115"/>
      <c r="AN5907" s="1115"/>
      <c r="AO5907" s="1115"/>
      <c r="AP5907" s="1115"/>
      <c r="AQ5907" s="1115"/>
      <c r="AR5907" s="1115"/>
      <c r="AS5907" s="1117"/>
      <c r="AT5907" s="1075"/>
      <c r="AU5907" s="1193"/>
      <c r="AV5907" s="330"/>
      <c r="AW5907" s="331"/>
      <c r="AX5907" s="331"/>
      <c r="AY5907" s="331"/>
      <c r="AZ5907" s="331"/>
      <c r="BA5907" s="331"/>
      <c r="BB5907" s="331"/>
      <c r="BC5907" s="331"/>
      <c r="BD5907" s="331"/>
      <c r="BE5907" s="333"/>
      <c r="BF5907" s="330"/>
      <c r="BG5907" s="333"/>
      <c r="BH5907" s="1119"/>
      <c r="BI5907" s="319"/>
      <c r="BJ5907" s="319"/>
      <c r="BK5907" s="319"/>
      <c r="BL5907" s="319"/>
      <c r="BM5907" s="319"/>
      <c r="BN5907" s="319"/>
      <c r="BO5907" s="319"/>
      <c r="BP5907" s="953"/>
      <c r="BQ5907" s="319"/>
      <c r="BR5907" s="319"/>
      <c r="BS5907" s="330"/>
      <c r="BT5907" s="331"/>
      <c r="BU5907" s="920"/>
      <c r="BV5907" s="903"/>
      <c r="BW5907" s="908"/>
      <c r="BX5907" s="908"/>
      <c r="BY5907" s="331"/>
      <c r="BZ5907" s="331"/>
      <c r="CA5907" s="462"/>
      <c r="CB5907" s="319"/>
      <c r="CC5907" s="319"/>
      <c r="CD5907" s="319"/>
      <c r="CE5907" s="319"/>
      <c r="CF5907" s="319"/>
      <c r="CG5907" s="319"/>
      <c r="CH5907" s="318"/>
      <c r="CI5907" s="319"/>
      <c r="CJ5907" s="319"/>
      <c r="CK5907" s="342"/>
      <c r="CL5907" s="333"/>
      <c r="CM5907" s="1079"/>
      <c r="CN5907" s="1005"/>
      <c r="CO5907" s="1005"/>
      <c r="CP5907" s="1005"/>
    </row>
    <row r="5908">
      <c r="A5908" s="1257"/>
      <c r="B5908" s="1113"/>
      <c r="C5908" s="1107"/>
      <c r="D5908" s="103"/>
      <c r="E5908" s="1137"/>
      <c r="F5908" s="112"/>
      <c r="G5908" s="1110"/>
      <c r="H5908" s="1138"/>
      <c r="I5908" s="1138"/>
      <c r="J5908" s="1139"/>
      <c r="K5908" s="1111"/>
      <c r="L5908" s="1112"/>
      <c r="M5908" s="1113"/>
      <c r="N5908" s="110"/>
      <c r="O5908" s="1140"/>
      <c r="P5908" s="1115"/>
      <c r="Q5908" s="1116"/>
      <c r="R5908" s="1141"/>
      <c r="S5908" s="1113"/>
      <c r="T5908" s="1143"/>
      <c r="U5908" s="1108"/>
      <c r="V5908" s="1108"/>
      <c r="W5908" s="1108"/>
      <c r="X5908" s="1108"/>
      <c r="Y5908" s="1108"/>
      <c r="Z5908" s="1114"/>
      <c r="AA5908" s="1114"/>
      <c r="AB5908" s="1114"/>
      <c r="AC5908" s="1117"/>
      <c r="AD5908" s="1115"/>
      <c r="AE5908" s="1115"/>
      <c r="AF5908" s="1115"/>
      <c r="AG5908" s="1115"/>
      <c r="AH5908" s="1115"/>
      <c r="AI5908" s="1115"/>
      <c r="AJ5908" s="1117"/>
      <c r="AK5908" s="1118"/>
      <c r="AL5908" s="1115"/>
      <c r="AM5908" s="1115"/>
      <c r="AN5908" s="1115"/>
      <c r="AO5908" s="1115"/>
      <c r="AP5908" s="1115"/>
      <c r="AQ5908" s="1115"/>
      <c r="AR5908" s="1115"/>
      <c r="AS5908" s="1117"/>
      <c r="AT5908" s="1075"/>
      <c r="AU5908" s="1193"/>
      <c r="AV5908" s="330"/>
      <c r="AW5908" s="331"/>
      <c r="AX5908" s="331"/>
      <c r="AY5908" s="331"/>
      <c r="AZ5908" s="331"/>
      <c r="BA5908" s="331"/>
      <c r="BB5908" s="331"/>
      <c r="BC5908" s="331"/>
      <c r="BD5908" s="331"/>
      <c r="BE5908" s="333"/>
      <c r="BF5908" s="330"/>
      <c r="BG5908" s="333"/>
      <c r="BH5908" s="1119"/>
      <c r="BI5908" s="319"/>
      <c r="BJ5908" s="319"/>
      <c r="BK5908" s="319"/>
      <c r="BL5908" s="319"/>
      <c r="BM5908" s="319"/>
      <c r="BN5908" s="319"/>
      <c r="BO5908" s="319"/>
      <c r="BP5908" s="953"/>
      <c r="BQ5908" s="319"/>
      <c r="BR5908" s="319"/>
      <c r="BS5908" s="330"/>
      <c r="BT5908" s="331"/>
      <c r="BU5908" s="920"/>
      <c r="BV5908" s="903"/>
      <c r="BW5908" s="908"/>
      <c r="BX5908" s="908"/>
      <c r="BY5908" s="331"/>
      <c r="BZ5908" s="331"/>
      <c r="CA5908" s="462"/>
      <c r="CB5908" s="319"/>
      <c r="CC5908" s="319"/>
      <c r="CD5908" s="319"/>
      <c r="CE5908" s="319"/>
      <c r="CF5908" s="319"/>
      <c r="CG5908" s="319"/>
      <c r="CH5908" s="318"/>
      <c r="CI5908" s="319"/>
      <c r="CJ5908" s="319"/>
      <c r="CK5908" s="342"/>
      <c r="CL5908" s="333"/>
      <c r="CM5908" s="1079"/>
      <c r="CN5908" s="1005"/>
      <c r="CO5908" s="1005"/>
      <c r="CP5908" s="1005"/>
    </row>
    <row r="5909">
      <c r="A5909" s="1257"/>
      <c r="B5909" s="1113"/>
      <c r="C5909" s="1107"/>
      <c r="D5909" s="103"/>
      <c r="E5909" s="1137"/>
      <c r="F5909" s="112"/>
      <c r="G5909" s="1110"/>
      <c r="H5909" s="1138"/>
      <c r="I5909" s="1138"/>
      <c r="J5909" s="1139"/>
      <c r="K5909" s="1111"/>
      <c r="L5909" s="1112"/>
      <c r="M5909" s="1113"/>
      <c r="N5909" s="110"/>
      <c r="O5909" s="1140"/>
      <c r="P5909" s="1115"/>
      <c r="Q5909" s="1116"/>
      <c r="R5909" s="1141"/>
      <c r="S5909" s="1113"/>
      <c r="T5909" s="1143"/>
      <c r="U5909" s="1108"/>
      <c r="V5909" s="1108"/>
      <c r="W5909" s="1108"/>
      <c r="X5909" s="1108"/>
      <c r="Y5909" s="1108"/>
      <c r="Z5909" s="1114"/>
      <c r="AA5909" s="1114"/>
      <c r="AB5909" s="1114"/>
      <c r="AC5909" s="1117"/>
      <c r="AD5909" s="1115"/>
      <c r="AE5909" s="1115"/>
      <c r="AF5909" s="1115"/>
      <c r="AG5909" s="1115"/>
      <c r="AH5909" s="1115"/>
      <c r="AI5909" s="1115"/>
      <c r="AJ5909" s="1117"/>
      <c r="AK5909" s="1118"/>
      <c r="AL5909" s="1115"/>
      <c r="AM5909" s="1115"/>
      <c r="AN5909" s="1115"/>
      <c r="AO5909" s="1115"/>
      <c r="AP5909" s="1115"/>
      <c r="AQ5909" s="1115"/>
      <c r="AR5909" s="1115"/>
      <c r="AS5909" s="1117"/>
      <c r="AT5909" s="1075"/>
      <c r="AU5909" s="1193"/>
      <c r="AV5909" s="330"/>
      <c r="AW5909" s="331"/>
      <c r="AX5909" s="331"/>
      <c r="AY5909" s="331"/>
      <c r="AZ5909" s="331"/>
      <c r="BA5909" s="331"/>
      <c r="BB5909" s="331"/>
      <c r="BC5909" s="331"/>
      <c r="BD5909" s="331"/>
      <c r="BE5909" s="333"/>
      <c r="BF5909" s="330"/>
      <c r="BG5909" s="333"/>
      <c r="BH5909" s="1119"/>
      <c r="BI5909" s="319"/>
      <c r="BJ5909" s="319"/>
      <c r="BK5909" s="319"/>
      <c r="BL5909" s="319"/>
      <c r="BM5909" s="319"/>
      <c r="BN5909" s="319"/>
      <c r="BO5909" s="319"/>
      <c r="BP5909" s="953"/>
      <c r="BQ5909" s="319"/>
      <c r="BR5909" s="319"/>
      <c r="BS5909" s="330"/>
      <c r="BT5909" s="331"/>
      <c r="BU5909" s="920"/>
      <c r="BV5909" s="903"/>
      <c r="BW5909" s="908"/>
      <c r="BX5909" s="908"/>
      <c r="BY5909" s="331"/>
      <c r="BZ5909" s="331"/>
      <c r="CA5909" s="462"/>
      <c r="CB5909" s="319"/>
      <c r="CC5909" s="319"/>
      <c r="CD5909" s="319"/>
      <c r="CE5909" s="319"/>
      <c r="CF5909" s="319"/>
      <c r="CG5909" s="319"/>
      <c r="CH5909" s="318"/>
      <c r="CI5909" s="319"/>
      <c r="CJ5909" s="319"/>
      <c r="CK5909" s="342"/>
      <c r="CL5909" s="333"/>
      <c r="CM5909" s="1079"/>
      <c r="CN5909" s="1005"/>
      <c r="CO5909" s="1005"/>
      <c r="CP5909" s="1005"/>
    </row>
    <row r="5910">
      <c r="A5910" s="1257"/>
      <c r="B5910" s="1113"/>
      <c r="C5910" s="1107"/>
      <c r="D5910" s="103"/>
      <c r="E5910" s="1137"/>
      <c r="F5910" s="112"/>
      <c r="G5910" s="1110"/>
      <c r="H5910" s="1138"/>
      <c r="I5910" s="1138"/>
      <c r="J5910" s="1139"/>
      <c r="K5910" s="1111"/>
      <c r="L5910" s="1112"/>
      <c r="M5910" s="1113"/>
      <c r="N5910" s="110"/>
      <c r="O5910" s="1140"/>
      <c r="P5910" s="1115"/>
      <c r="Q5910" s="1116"/>
      <c r="R5910" s="1141"/>
      <c r="S5910" s="1113"/>
      <c r="T5910" s="1143"/>
      <c r="U5910" s="1108"/>
      <c r="V5910" s="1108"/>
      <c r="W5910" s="1108"/>
      <c r="X5910" s="1108"/>
      <c r="Y5910" s="1108"/>
      <c r="Z5910" s="1114"/>
      <c r="AA5910" s="1114"/>
      <c r="AB5910" s="1114"/>
      <c r="AC5910" s="1117"/>
      <c r="AD5910" s="1115"/>
      <c r="AE5910" s="1115"/>
      <c r="AF5910" s="1115"/>
      <c r="AG5910" s="1115"/>
      <c r="AH5910" s="1115"/>
      <c r="AI5910" s="1115"/>
      <c r="AJ5910" s="1117"/>
      <c r="AK5910" s="1118"/>
      <c r="AL5910" s="1115"/>
      <c r="AM5910" s="1115"/>
      <c r="AN5910" s="1115"/>
      <c r="AO5910" s="1115"/>
      <c r="AP5910" s="1115"/>
      <c r="AQ5910" s="1115"/>
      <c r="AR5910" s="1115"/>
      <c r="AS5910" s="1117"/>
      <c r="AT5910" s="1075"/>
      <c r="AU5910" s="1193"/>
      <c r="AV5910" s="330"/>
      <c r="AW5910" s="331"/>
      <c r="AX5910" s="331"/>
      <c r="AY5910" s="331"/>
      <c r="AZ5910" s="331"/>
      <c r="BA5910" s="331"/>
      <c r="BB5910" s="331"/>
      <c r="BC5910" s="331"/>
      <c r="BD5910" s="331"/>
      <c r="BE5910" s="333"/>
      <c r="BF5910" s="330"/>
      <c r="BG5910" s="333"/>
      <c r="BH5910" s="1119"/>
      <c r="BI5910" s="319"/>
      <c r="BJ5910" s="319"/>
      <c r="BK5910" s="319"/>
      <c r="BL5910" s="319"/>
      <c r="BM5910" s="319"/>
      <c r="BN5910" s="319"/>
      <c r="BO5910" s="319"/>
      <c r="BP5910" s="953"/>
      <c r="BQ5910" s="319"/>
      <c r="BR5910" s="319"/>
      <c r="BS5910" s="330"/>
      <c r="BT5910" s="331"/>
      <c r="BU5910" s="920"/>
      <c r="BV5910" s="903"/>
      <c r="BW5910" s="908"/>
      <c r="BX5910" s="908"/>
      <c r="BY5910" s="331"/>
      <c r="BZ5910" s="331"/>
      <c r="CA5910" s="462"/>
      <c r="CB5910" s="319"/>
      <c r="CC5910" s="319"/>
      <c r="CD5910" s="319"/>
      <c r="CE5910" s="319"/>
      <c r="CF5910" s="319"/>
      <c r="CG5910" s="319"/>
      <c r="CH5910" s="318"/>
      <c r="CI5910" s="319"/>
      <c r="CJ5910" s="319"/>
      <c r="CK5910" s="342"/>
      <c r="CL5910" s="333"/>
      <c r="CM5910" s="1079"/>
      <c r="CN5910" s="1005"/>
      <c r="CO5910" s="1005"/>
      <c r="CP5910" s="1005"/>
    </row>
    <row r="5911">
      <c r="A5911" s="1257"/>
      <c r="B5911" s="1113"/>
      <c r="C5911" s="1107"/>
      <c r="D5911" s="103"/>
      <c r="E5911" s="1137"/>
      <c r="F5911" s="112"/>
      <c r="G5911" s="1110"/>
      <c r="H5911" s="1138"/>
      <c r="I5911" s="1138"/>
      <c r="J5911" s="1139"/>
      <c r="K5911" s="1111"/>
      <c r="L5911" s="1112"/>
      <c r="M5911" s="1113"/>
      <c r="N5911" s="110"/>
      <c r="O5911" s="1140"/>
      <c r="P5911" s="1115"/>
      <c r="Q5911" s="1116"/>
      <c r="R5911" s="1141"/>
      <c r="S5911" s="1113"/>
      <c r="T5911" s="1143"/>
      <c r="U5911" s="1108"/>
      <c r="V5911" s="1108"/>
      <c r="W5911" s="1108"/>
      <c r="X5911" s="1108"/>
      <c r="Y5911" s="1108"/>
      <c r="Z5911" s="1114"/>
      <c r="AA5911" s="1114"/>
      <c r="AB5911" s="1114"/>
      <c r="AC5911" s="1117"/>
      <c r="AD5911" s="1115"/>
      <c r="AE5911" s="1115"/>
      <c r="AF5911" s="1115"/>
      <c r="AG5911" s="1115"/>
      <c r="AH5911" s="1115"/>
      <c r="AI5911" s="1115"/>
      <c r="AJ5911" s="1117"/>
      <c r="AK5911" s="1118"/>
      <c r="AL5911" s="1115"/>
      <c r="AM5911" s="1115"/>
      <c r="AN5911" s="1115"/>
      <c r="AO5911" s="1115"/>
      <c r="AP5911" s="1115"/>
      <c r="AQ5911" s="1115"/>
      <c r="AR5911" s="1115"/>
      <c r="AS5911" s="1117"/>
      <c r="AT5911" s="1075"/>
      <c r="AU5911" s="1193"/>
      <c r="AV5911" s="330"/>
      <c r="AW5911" s="331"/>
      <c r="AX5911" s="331"/>
      <c r="AY5911" s="331"/>
      <c r="AZ5911" s="331"/>
      <c r="BA5911" s="331"/>
      <c r="BB5911" s="331"/>
      <c r="BC5911" s="331"/>
      <c r="BD5911" s="331"/>
      <c r="BE5911" s="333"/>
      <c r="BF5911" s="330"/>
      <c r="BG5911" s="333"/>
      <c r="BH5911" s="1119"/>
      <c r="BI5911" s="319"/>
      <c r="BJ5911" s="319"/>
      <c r="BK5911" s="319"/>
      <c r="BL5911" s="319"/>
      <c r="BM5911" s="319"/>
      <c r="BN5911" s="319"/>
      <c r="BO5911" s="319"/>
      <c r="BP5911" s="953"/>
      <c r="BQ5911" s="319"/>
      <c r="BR5911" s="319"/>
      <c r="BS5911" s="330"/>
      <c r="BT5911" s="331"/>
      <c r="BU5911" s="920"/>
      <c r="BV5911" s="903"/>
      <c r="BW5911" s="908"/>
      <c r="BX5911" s="908"/>
      <c r="BY5911" s="331"/>
      <c r="BZ5911" s="331"/>
      <c r="CA5911" s="462"/>
      <c r="CB5911" s="319"/>
      <c r="CC5911" s="319"/>
      <c r="CD5911" s="319"/>
      <c r="CE5911" s="319"/>
      <c r="CF5911" s="319"/>
      <c r="CG5911" s="319"/>
      <c r="CH5911" s="318"/>
      <c r="CI5911" s="319"/>
      <c r="CJ5911" s="319"/>
      <c r="CK5911" s="342"/>
      <c r="CL5911" s="333"/>
      <c r="CM5911" s="1079"/>
      <c r="CN5911" s="1005"/>
      <c r="CO5911" s="1005"/>
      <c r="CP5911" s="1005"/>
    </row>
    <row r="5912">
      <c r="A5912" s="1257"/>
      <c r="B5912" s="1113"/>
      <c r="C5912" s="1107"/>
      <c r="D5912" s="103"/>
      <c r="E5912" s="1137"/>
      <c r="F5912" s="112"/>
      <c r="G5912" s="1110"/>
      <c r="H5912" s="1138"/>
      <c r="I5912" s="1138"/>
      <c r="J5912" s="1139"/>
      <c r="K5912" s="1111"/>
      <c r="L5912" s="1112"/>
      <c r="M5912" s="1113"/>
      <c r="N5912" s="110"/>
      <c r="O5912" s="1140"/>
      <c r="P5912" s="1115"/>
      <c r="Q5912" s="1116"/>
      <c r="R5912" s="1141"/>
      <c r="S5912" s="1113"/>
      <c r="T5912" s="1143"/>
      <c r="U5912" s="1108"/>
      <c r="V5912" s="1108"/>
      <c r="W5912" s="1108"/>
      <c r="X5912" s="1108"/>
      <c r="Y5912" s="1108"/>
      <c r="Z5912" s="1114"/>
      <c r="AA5912" s="1114"/>
      <c r="AB5912" s="1114"/>
      <c r="AC5912" s="1117"/>
      <c r="AD5912" s="1115"/>
      <c r="AE5912" s="1115"/>
      <c r="AF5912" s="1115"/>
      <c r="AG5912" s="1115"/>
      <c r="AH5912" s="1115"/>
      <c r="AI5912" s="1115"/>
      <c r="AJ5912" s="1117"/>
      <c r="AK5912" s="1118"/>
      <c r="AL5912" s="1115"/>
      <c r="AM5912" s="1115"/>
      <c r="AN5912" s="1115"/>
      <c r="AO5912" s="1115"/>
      <c r="AP5912" s="1115"/>
      <c r="AQ5912" s="1115"/>
      <c r="AR5912" s="1115"/>
      <c r="AS5912" s="1117"/>
      <c r="AT5912" s="1075"/>
      <c r="AU5912" s="1193"/>
      <c r="AV5912" s="330"/>
      <c r="AW5912" s="331"/>
      <c r="AX5912" s="331"/>
      <c r="AY5912" s="331"/>
      <c r="AZ5912" s="331"/>
      <c r="BA5912" s="331"/>
      <c r="BB5912" s="331"/>
      <c r="BC5912" s="331"/>
      <c r="BD5912" s="331"/>
      <c r="BE5912" s="333"/>
      <c r="BF5912" s="330"/>
      <c r="BG5912" s="333"/>
      <c r="BH5912" s="1119"/>
      <c r="BI5912" s="319"/>
      <c r="BJ5912" s="319"/>
      <c r="BK5912" s="319"/>
      <c r="BL5912" s="319"/>
      <c r="BM5912" s="319"/>
      <c r="BN5912" s="319"/>
      <c r="BO5912" s="319"/>
      <c r="BP5912" s="953"/>
      <c r="BQ5912" s="319"/>
      <c r="BR5912" s="319"/>
      <c r="BS5912" s="330"/>
      <c r="BT5912" s="331"/>
      <c r="BU5912" s="920"/>
      <c r="BV5912" s="903"/>
      <c r="BW5912" s="908"/>
      <c r="BX5912" s="908"/>
      <c r="BY5912" s="331"/>
      <c r="BZ5912" s="331"/>
      <c r="CA5912" s="462"/>
      <c r="CB5912" s="319"/>
      <c r="CC5912" s="319"/>
      <c r="CD5912" s="319"/>
      <c r="CE5912" s="319"/>
      <c r="CF5912" s="319"/>
      <c r="CG5912" s="319"/>
      <c r="CH5912" s="318"/>
      <c r="CI5912" s="319"/>
      <c r="CJ5912" s="319"/>
      <c r="CK5912" s="342"/>
      <c r="CL5912" s="333"/>
      <c r="CM5912" s="1079"/>
      <c r="CN5912" s="1005"/>
      <c r="CO5912" s="1005"/>
      <c r="CP5912" s="1005"/>
    </row>
    <row r="5913">
      <c r="A5913" s="1257"/>
      <c r="B5913" s="1113"/>
      <c r="C5913" s="1107"/>
      <c r="D5913" s="103"/>
      <c r="E5913" s="1137"/>
      <c r="F5913" s="112"/>
      <c r="G5913" s="1110"/>
      <c r="H5913" s="1138"/>
      <c r="I5913" s="1138"/>
      <c r="J5913" s="1139"/>
      <c r="K5913" s="1111"/>
      <c r="L5913" s="1112"/>
      <c r="M5913" s="1113"/>
      <c r="N5913" s="110"/>
      <c r="O5913" s="1140"/>
      <c r="P5913" s="1115"/>
      <c r="Q5913" s="1116"/>
      <c r="R5913" s="1141"/>
      <c r="S5913" s="1113"/>
      <c r="T5913" s="1143"/>
      <c r="U5913" s="1108"/>
      <c r="V5913" s="1108"/>
      <c r="W5913" s="1108"/>
      <c r="X5913" s="1108"/>
      <c r="Y5913" s="1108"/>
      <c r="Z5913" s="1114"/>
      <c r="AA5913" s="1114"/>
      <c r="AB5913" s="1114"/>
      <c r="AC5913" s="1117"/>
      <c r="AD5913" s="1115"/>
      <c r="AE5913" s="1115"/>
      <c r="AF5913" s="1115"/>
      <c r="AG5913" s="1115"/>
      <c r="AH5913" s="1115"/>
      <c r="AI5913" s="1115"/>
      <c r="AJ5913" s="1117"/>
      <c r="AK5913" s="1118"/>
      <c r="AL5913" s="1115"/>
      <c r="AM5913" s="1115"/>
      <c r="AN5913" s="1115"/>
      <c r="AO5913" s="1115"/>
      <c r="AP5913" s="1115"/>
      <c r="AQ5913" s="1115"/>
      <c r="AR5913" s="1115"/>
      <c r="AS5913" s="1117"/>
      <c r="AT5913" s="1075"/>
      <c r="AU5913" s="1193"/>
      <c r="AV5913" s="330"/>
      <c r="AW5913" s="331"/>
      <c r="AX5913" s="331"/>
      <c r="AY5913" s="331"/>
      <c r="AZ5913" s="331"/>
      <c r="BA5913" s="331"/>
      <c r="BB5913" s="331"/>
      <c r="BC5913" s="331"/>
      <c r="BD5913" s="331"/>
      <c r="BE5913" s="333"/>
      <c r="BF5913" s="330"/>
      <c r="BG5913" s="333"/>
      <c r="BH5913" s="1119"/>
      <c r="BI5913" s="319"/>
      <c r="BJ5913" s="319"/>
      <c r="BK5913" s="319"/>
      <c r="BL5913" s="319"/>
      <c r="BM5913" s="319"/>
      <c r="BN5913" s="319"/>
      <c r="BO5913" s="319"/>
      <c r="BP5913" s="953"/>
      <c r="BQ5913" s="319"/>
      <c r="BR5913" s="319"/>
      <c r="BS5913" s="330"/>
      <c r="BT5913" s="331"/>
      <c r="BU5913" s="920"/>
      <c r="BV5913" s="903"/>
      <c r="BW5913" s="908"/>
      <c r="BX5913" s="908"/>
      <c r="BY5913" s="331"/>
      <c r="BZ5913" s="331"/>
      <c r="CA5913" s="462"/>
      <c r="CB5913" s="319"/>
      <c r="CC5913" s="319"/>
      <c r="CD5913" s="319"/>
      <c r="CE5913" s="319"/>
      <c r="CF5913" s="319"/>
      <c r="CG5913" s="319"/>
      <c r="CH5913" s="318"/>
      <c r="CI5913" s="319"/>
      <c r="CJ5913" s="319"/>
      <c r="CK5913" s="342"/>
      <c r="CL5913" s="333"/>
      <c r="CM5913" s="1079"/>
      <c r="CN5913" s="1005"/>
      <c r="CO5913" s="1005"/>
      <c r="CP5913" s="1005"/>
    </row>
    <row r="5914">
      <c r="A5914" s="1257"/>
      <c r="B5914" s="1113"/>
      <c r="C5914" s="1107"/>
      <c r="D5914" s="103"/>
      <c r="E5914" s="1137"/>
      <c r="F5914" s="112"/>
      <c r="G5914" s="1110"/>
      <c r="H5914" s="1138"/>
      <c r="I5914" s="1138"/>
      <c r="J5914" s="1139"/>
      <c r="K5914" s="1111"/>
      <c r="L5914" s="1112"/>
      <c r="M5914" s="1113"/>
      <c r="N5914" s="110"/>
      <c r="O5914" s="1140"/>
      <c r="P5914" s="1115"/>
      <c r="Q5914" s="1116"/>
      <c r="R5914" s="1141"/>
      <c r="S5914" s="1113"/>
      <c r="T5914" s="1143"/>
      <c r="U5914" s="1108"/>
      <c r="V5914" s="1108"/>
      <c r="W5914" s="1108"/>
      <c r="X5914" s="1108"/>
      <c r="Y5914" s="1108"/>
      <c r="Z5914" s="1114"/>
      <c r="AA5914" s="1114"/>
      <c r="AB5914" s="1114"/>
      <c r="AC5914" s="1117"/>
      <c r="AD5914" s="1115"/>
      <c r="AE5914" s="1115"/>
      <c r="AF5914" s="1115"/>
      <c r="AG5914" s="1115"/>
      <c r="AH5914" s="1115"/>
      <c r="AI5914" s="1115"/>
      <c r="AJ5914" s="1117"/>
      <c r="AK5914" s="1118"/>
      <c r="AL5914" s="1115"/>
      <c r="AM5914" s="1115"/>
      <c r="AN5914" s="1115"/>
      <c r="AO5914" s="1115"/>
      <c r="AP5914" s="1115"/>
      <c r="AQ5914" s="1115"/>
      <c r="AR5914" s="1115"/>
      <c r="AS5914" s="1117"/>
      <c r="AT5914" s="1075"/>
      <c r="AU5914" s="1193"/>
      <c r="AV5914" s="330"/>
      <c r="AW5914" s="331"/>
      <c r="AX5914" s="331"/>
      <c r="AY5914" s="331"/>
      <c r="AZ5914" s="331"/>
      <c r="BA5914" s="331"/>
      <c r="BB5914" s="331"/>
      <c r="BC5914" s="331"/>
      <c r="BD5914" s="331"/>
      <c r="BE5914" s="333"/>
      <c r="BF5914" s="330"/>
      <c r="BG5914" s="333"/>
      <c r="BH5914" s="1119"/>
      <c r="BI5914" s="319"/>
      <c r="BJ5914" s="319"/>
      <c r="BK5914" s="319"/>
      <c r="BL5914" s="319"/>
      <c r="BM5914" s="319"/>
      <c r="BN5914" s="319"/>
      <c r="BO5914" s="319"/>
      <c r="BP5914" s="953"/>
      <c r="BQ5914" s="319"/>
      <c r="BR5914" s="319"/>
      <c r="BS5914" s="330"/>
      <c r="BT5914" s="331"/>
      <c r="BU5914" s="920"/>
      <c r="BV5914" s="903"/>
      <c r="BW5914" s="908"/>
      <c r="BX5914" s="908"/>
      <c r="BY5914" s="331"/>
      <c r="BZ5914" s="331"/>
      <c r="CA5914" s="462"/>
      <c r="CB5914" s="319"/>
      <c r="CC5914" s="319"/>
      <c r="CD5914" s="319"/>
      <c r="CE5914" s="319"/>
      <c r="CF5914" s="319"/>
      <c r="CG5914" s="319"/>
      <c r="CH5914" s="318"/>
      <c r="CI5914" s="319"/>
      <c r="CJ5914" s="319"/>
      <c r="CK5914" s="342"/>
      <c r="CL5914" s="333"/>
      <c r="CM5914" s="1079"/>
      <c r="CN5914" s="1005"/>
      <c r="CO5914" s="1005"/>
      <c r="CP5914" s="1005"/>
    </row>
    <row r="5915">
      <c r="A5915" s="1257"/>
      <c r="B5915" s="1113"/>
      <c r="C5915" s="1107"/>
      <c r="D5915" s="103"/>
      <c r="E5915" s="1137"/>
      <c r="F5915" s="112"/>
      <c r="G5915" s="1110"/>
      <c r="H5915" s="1138"/>
      <c r="I5915" s="1138"/>
      <c r="J5915" s="1139"/>
      <c r="K5915" s="1111"/>
      <c r="L5915" s="1112"/>
      <c r="M5915" s="1113"/>
      <c r="N5915" s="110"/>
      <c r="O5915" s="1140"/>
      <c r="P5915" s="1115"/>
      <c r="Q5915" s="1116"/>
      <c r="R5915" s="1141"/>
      <c r="S5915" s="1113"/>
      <c r="T5915" s="1143"/>
      <c r="U5915" s="1108"/>
      <c r="V5915" s="1108"/>
      <c r="W5915" s="1108"/>
      <c r="X5915" s="1108"/>
      <c r="Y5915" s="1108"/>
      <c r="Z5915" s="1114"/>
      <c r="AA5915" s="1114"/>
      <c r="AB5915" s="1114"/>
      <c r="AC5915" s="1117"/>
      <c r="AD5915" s="1115"/>
      <c r="AE5915" s="1115"/>
      <c r="AF5915" s="1115"/>
      <c r="AG5915" s="1115"/>
      <c r="AH5915" s="1115"/>
      <c r="AI5915" s="1115"/>
      <c r="AJ5915" s="1117"/>
      <c r="AK5915" s="1118"/>
      <c r="AL5915" s="1115"/>
      <c r="AM5915" s="1115"/>
      <c r="AN5915" s="1115"/>
      <c r="AO5915" s="1115"/>
      <c r="AP5915" s="1115"/>
      <c r="AQ5915" s="1115"/>
      <c r="AR5915" s="1115"/>
      <c r="AS5915" s="1117"/>
      <c r="AT5915" s="1075"/>
      <c r="AU5915" s="1193"/>
      <c r="AV5915" s="330"/>
      <c r="AW5915" s="331"/>
      <c r="AX5915" s="331"/>
      <c r="AY5915" s="331"/>
      <c r="AZ5915" s="331"/>
      <c r="BA5915" s="331"/>
      <c r="BB5915" s="331"/>
      <c r="BC5915" s="331"/>
      <c r="BD5915" s="331"/>
      <c r="BE5915" s="333"/>
      <c r="BF5915" s="330"/>
      <c r="BG5915" s="333"/>
      <c r="BH5915" s="1119"/>
      <c r="BI5915" s="319"/>
      <c r="BJ5915" s="319"/>
      <c r="BK5915" s="319"/>
      <c r="BL5915" s="319"/>
      <c r="BM5915" s="319"/>
      <c r="BN5915" s="319"/>
      <c r="BO5915" s="319"/>
      <c r="BP5915" s="953"/>
      <c r="BQ5915" s="319"/>
      <c r="BR5915" s="319"/>
      <c r="BS5915" s="330"/>
      <c r="BT5915" s="331"/>
      <c r="BU5915" s="920"/>
      <c r="BV5915" s="903"/>
      <c r="BW5915" s="908"/>
      <c r="BX5915" s="908"/>
      <c r="BY5915" s="331"/>
      <c r="BZ5915" s="331"/>
      <c r="CA5915" s="462"/>
      <c r="CB5915" s="319"/>
      <c r="CC5915" s="319"/>
      <c r="CD5915" s="319"/>
      <c r="CE5915" s="319"/>
      <c r="CF5915" s="319"/>
      <c r="CG5915" s="319"/>
      <c r="CH5915" s="318"/>
      <c r="CI5915" s="319"/>
      <c r="CJ5915" s="319"/>
      <c r="CK5915" s="342"/>
      <c r="CL5915" s="333"/>
      <c r="CM5915" s="1079"/>
      <c r="CN5915" s="1005"/>
      <c r="CO5915" s="1005"/>
      <c r="CP5915" s="1005"/>
    </row>
    <row r="5916">
      <c r="A5916" s="1257"/>
      <c r="B5916" s="1113"/>
      <c r="C5916" s="1107"/>
      <c r="D5916" s="103"/>
      <c r="E5916" s="1137"/>
      <c r="F5916" s="112"/>
      <c r="G5916" s="1110"/>
      <c r="H5916" s="1138"/>
      <c r="I5916" s="1138"/>
      <c r="J5916" s="1139"/>
      <c r="K5916" s="1111"/>
      <c r="L5916" s="1112"/>
      <c r="M5916" s="1113"/>
      <c r="N5916" s="110"/>
      <c r="O5916" s="1140"/>
      <c r="P5916" s="1115"/>
      <c r="Q5916" s="1116"/>
      <c r="R5916" s="1141"/>
      <c r="S5916" s="1113"/>
      <c r="T5916" s="1143"/>
      <c r="U5916" s="1108"/>
      <c r="V5916" s="1108"/>
      <c r="W5916" s="1108"/>
      <c r="X5916" s="1108"/>
      <c r="Y5916" s="1108"/>
      <c r="Z5916" s="1114"/>
      <c r="AA5916" s="1114"/>
      <c r="AB5916" s="1114"/>
      <c r="AC5916" s="1117"/>
      <c r="AD5916" s="1115"/>
      <c r="AE5916" s="1115"/>
      <c r="AF5916" s="1115"/>
      <c r="AG5916" s="1115"/>
      <c r="AH5916" s="1115"/>
      <c r="AI5916" s="1115"/>
      <c r="AJ5916" s="1117"/>
      <c r="AK5916" s="1118"/>
      <c r="AL5916" s="1115"/>
      <c r="AM5916" s="1115"/>
      <c r="AN5916" s="1115"/>
      <c r="AO5916" s="1115"/>
      <c r="AP5916" s="1115"/>
      <c r="AQ5916" s="1115"/>
      <c r="AR5916" s="1115"/>
      <c r="AS5916" s="1117"/>
      <c r="AT5916" s="1075"/>
      <c r="AU5916" s="1193"/>
      <c r="AV5916" s="330"/>
      <c r="AW5916" s="331"/>
      <c r="AX5916" s="331"/>
      <c r="AY5916" s="331"/>
      <c r="AZ5916" s="331"/>
      <c r="BA5916" s="331"/>
      <c r="BB5916" s="331"/>
      <c r="BC5916" s="331"/>
      <c r="BD5916" s="331"/>
      <c r="BE5916" s="333"/>
      <c r="BF5916" s="330"/>
      <c r="BG5916" s="333"/>
      <c r="BH5916" s="1119"/>
      <c r="BI5916" s="319"/>
      <c r="BJ5916" s="319"/>
      <c r="BK5916" s="319"/>
      <c r="BL5916" s="319"/>
      <c r="BM5916" s="319"/>
      <c r="BN5916" s="319"/>
      <c r="BO5916" s="319"/>
      <c r="BP5916" s="953"/>
      <c r="BQ5916" s="319"/>
      <c r="BR5916" s="319"/>
      <c r="BS5916" s="330"/>
      <c r="BT5916" s="331"/>
      <c r="BU5916" s="920"/>
      <c r="BV5916" s="903"/>
      <c r="BW5916" s="908"/>
      <c r="BX5916" s="908"/>
      <c r="BY5916" s="331"/>
      <c r="BZ5916" s="331"/>
      <c r="CA5916" s="462"/>
      <c r="CB5916" s="319"/>
      <c r="CC5916" s="319"/>
      <c r="CD5916" s="319"/>
      <c r="CE5916" s="319"/>
      <c r="CF5916" s="319"/>
      <c r="CG5916" s="319"/>
      <c r="CH5916" s="318"/>
      <c r="CI5916" s="319"/>
      <c r="CJ5916" s="319"/>
      <c r="CK5916" s="342"/>
      <c r="CL5916" s="333"/>
      <c r="CM5916" s="1079"/>
      <c r="CN5916" s="1005"/>
      <c r="CO5916" s="1005"/>
      <c r="CP5916" s="1005"/>
    </row>
    <row r="5917">
      <c r="A5917" s="1257"/>
      <c r="B5917" s="1113"/>
      <c r="C5917" s="1107"/>
      <c r="D5917" s="103"/>
      <c r="E5917" s="1137"/>
      <c r="F5917" s="112"/>
      <c r="G5917" s="1110"/>
      <c r="H5917" s="1138"/>
      <c r="I5917" s="1138"/>
      <c r="J5917" s="1139"/>
      <c r="K5917" s="1111"/>
      <c r="L5917" s="1112"/>
      <c r="M5917" s="1113"/>
      <c r="N5917" s="110"/>
      <c r="O5917" s="1140"/>
      <c r="P5917" s="1115"/>
      <c r="Q5917" s="1116"/>
      <c r="R5917" s="1141"/>
      <c r="S5917" s="1113"/>
      <c r="T5917" s="1143"/>
      <c r="U5917" s="1108"/>
      <c r="V5917" s="1108"/>
      <c r="W5917" s="1108"/>
      <c r="X5917" s="1108"/>
      <c r="Y5917" s="1108"/>
      <c r="Z5917" s="1114"/>
      <c r="AA5917" s="1114"/>
      <c r="AB5917" s="1114"/>
      <c r="AC5917" s="1117"/>
      <c r="AD5917" s="1115"/>
      <c r="AE5917" s="1115"/>
      <c r="AF5917" s="1115"/>
      <c r="AG5917" s="1115"/>
      <c r="AH5917" s="1115"/>
      <c r="AI5917" s="1115"/>
      <c r="AJ5917" s="1117"/>
      <c r="AK5917" s="1118"/>
      <c r="AL5917" s="1115"/>
      <c r="AM5917" s="1115"/>
      <c r="AN5917" s="1115"/>
      <c r="AO5917" s="1115"/>
      <c r="AP5917" s="1115"/>
      <c r="AQ5917" s="1115"/>
      <c r="AR5917" s="1115"/>
      <c r="AS5917" s="1117"/>
      <c r="AT5917" s="1075"/>
      <c r="AU5917" s="1193"/>
      <c r="AV5917" s="330"/>
      <c r="AW5917" s="331"/>
      <c r="AX5917" s="331"/>
      <c r="AY5917" s="331"/>
      <c r="AZ5917" s="331"/>
      <c r="BA5917" s="331"/>
      <c r="BB5917" s="331"/>
      <c r="BC5917" s="331"/>
      <c r="BD5917" s="331"/>
      <c r="BE5917" s="333"/>
      <c r="BF5917" s="330"/>
      <c r="BG5917" s="333"/>
      <c r="BH5917" s="1119"/>
      <c r="BI5917" s="319"/>
      <c r="BJ5917" s="319"/>
      <c r="BK5917" s="319"/>
      <c r="BL5917" s="319"/>
      <c r="BM5917" s="319"/>
      <c r="BN5917" s="319"/>
      <c r="BO5917" s="319"/>
      <c r="BP5917" s="953"/>
      <c r="BQ5917" s="319"/>
      <c r="BR5917" s="319"/>
      <c r="BS5917" s="330"/>
      <c r="BT5917" s="331"/>
      <c r="BU5917" s="920"/>
      <c r="BV5917" s="903"/>
      <c r="BW5917" s="908"/>
      <c r="BX5917" s="908"/>
      <c r="BY5917" s="331"/>
      <c r="BZ5917" s="331"/>
      <c r="CA5917" s="462"/>
      <c r="CB5917" s="319"/>
      <c r="CC5917" s="319"/>
      <c r="CD5917" s="319"/>
      <c r="CE5917" s="319"/>
      <c r="CF5917" s="319"/>
      <c r="CG5917" s="319"/>
      <c r="CH5917" s="318"/>
      <c r="CI5917" s="319"/>
      <c r="CJ5917" s="319"/>
      <c r="CK5917" s="342"/>
      <c r="CL5917" s="333"/>
      <c r="CM5917" s="1079"/>
      <c r="CN5917" s="1005"/>
      <c r="CO5917" s="1005"/>
      <c r="CP5917" s="1005"/>
    </row>
    <row r="5918">
      <c r="A5918" s="1257"/>
      <c r="B5918" s="1113"/>
      <c r="C5918" s="1107"/>
      <c r="D5918" s="103"/>
      <c r="E5918" s="1137"/>
      <c r="F5918" s="112"/>
      <c r="G5918" s="1110"/>
      <c r="H5918" s="1138"/>
      <c r="I5918" s="1138"/>
      <c r="J5918" s="1139"/>
      <c r="K5918" s="1111"/>
      <c r="L5918" s="1112"/>
      <c r="M5918" s="1113"/>
      <c r="N5918" s="110"/>
      <c r="O5918" s="1140"/>
      <c r="P5918" s="1115"/>
      <c r="Q5918" s="1116"/>
      <c r="R5918" s="1141"/>
      <c r="S5918" s="1113"/>
      <c r="T5918" s="1143"/>
      <c r="U5918" s="1108"/>
      <c r="V5918" s="1108"/>
      <c r="W5918" s="1108"/>
      <c r="X5918" s="1108"/>
      <c r="Y5918" s="1108"/>
      <c r="Z5918" s="1114"/>
      <c r="AA5918" s="1114"/>
      <c r="AB5918" s="1114"/>
      <c r="AC5918" s="1117"/>
      <c r="AD5918" s="1115"/>
      <c r="AE5918" s="1115"/>
      <c r="AF5918" s="1115"/>
      <c r="AG5918" s="1115"/>
      <c r="AH5918" s="1115"/>
      <c r="AI5918" s="1115"/>
      <c r="AJ5918" s="1117"/>
      <c r="AK5918" s="1118"/>
      <c r="AL5918" s="1115"/>
      <c r="AM5918" s="1115"/>
      <c r="AN5918" s="1115"/>
      <c r="AO5918" s="1115"/>
      <c r="AP5918" s="1115"/>
      <c r="AQ5918" s="1115"/>
      <c r="AR5918" s="1115"/>
      <c r="AS5918" s="1117"/>
      <c r="AT5918" s="1075"/>
      <c r="AU5918" s="1193"/>
      <c r="AV5918" s="330"/>
      <c r="AW5918" s="331"/>
      <c r="AX5918" s="331"/>
      <c r="AY5918" s="331"/>
      <c r="AZ5918" s="331"/>
      <c r="BA5918" s="331"/>
      <c r="BB5918" s="331"/>
      <c r="BC5918" s="331"/>
      <c r="BD5918" s="331"/>
      <c r="BE5918" s="333"/>
      <c r="BF5918" s="330"/>
      <c r="BG5918" s="333"/>
      <c r="BH5918" s="1119"/>
      <c r="BI5918" s="319"/>
      <c r="BJ5918" s="319"/>
      <c r="BK5918" s="319"/>
      <c r="BL5918" s="319"/>
      <c r="BM5918" s="319"/>
      <c r="BN5918" s="319"/>
      <c r="BO5918" s="319"/>
      <c r="BP5918" s="953"/>
      <c r="BQ5918" s="319"/>
      <c r="BR5918" s="319"/>
      <c r="BS5918" s="330"/>
      <c r="BT5918" s="331"/>
      <c r="BU5918" s="920"/>
      <c r="BV5918" s="903"/>
      <c r="BW5918" s="908"/>
      <c r="BX5918" s="908"/>
      <c r="BY5918" s="331"/>
      <c r="BZ5918" s="331"/>
      <c r="CA5918" s="462"/>
      <c r="CB5918" s="319"/>
      <c r="CC5918" s="319"/>
      <c r="CD5918" s="319"/>
      <c r="CE5918" s="319"/>
      <c r="CF5918" s="319"/>
      <c r="CG5918" s="319"/>
      <c r="CH5918" s="318"/>
      <c r="CI5918" s="319"/>
      <c r="CJ5918" s="319"/>
      <c r="CK5918" s="342"/>
      <c r="CL5918" s="333"/>
      <c r="CM5918" s="1079"/>
      <c r="CN5918" s="1005"/>
      <c r="CO5918" s="1005"/>
      <c r="CP5918" s="1005"/>
    </row>
    <row r="5919">
      <c r="A5919" s="1257"/>
      <c r="B5919" s="1113"/>
      <c r="C5919" s="1107"/>
      <c r="D5919" s="103"/>
      <c r="E5919" s="1137"/>
      <c r="F5919" s="112"/>
      <c r="G5919" s="1110"/>
      <c r="H5919" s="1138"/>
      <c r="I5919" s="1138"/>
      <c r="J5919" s="1139"/>
      <c r="K5919" s="1111"/>
      <c r="L5919" s="1112"/>
      <c r="M5919" s="1113"/>
      <c r="N5919" s="110"/>
      <c r="O5919" s="1140"/>
      <c r="P5919" s="1115"/>
      <c r="Q5919" s="1116"/>
      <c r="R5919" s="1141"/>
      <c r="S5919" s="1113"/>
      <c r="T5919" s="1143"/>
      <c r="U5919" s="1108"/>
      <c r="V5919" s="1108"/>
      <c r="W5919" s="1108"/>
      <c r="X5919" s="1108"/>
      <c r="Y5919" s="1108"/>
      <c r="Z5919" s="1114"/>
      <c r="AA5919" s="1114"/>
      <c r="AB5919" s="1114"/>
      <c r="AC5919" s="1117"/>
      <c r="AD5919" s="1115"/>
      <c r="AE5919" s="1115"/>
      <c r="AF5919" s="1115"/>
      <c r="AG5919" s="1115"/>
      <c r="AH5919" s="1115"/>
      <c r="AI5919" s="1115"/>
      <c r="AJ5919" s="1117"/>
      <c r="AK5919" s="1118"/>
      <c r="AL5919" s="1115"/>
      <c r="AM5919" s="1115"/>
      <c r="AN5919" s="1115"/>
      <c r="AO5919" s="1115"/>
      <c r="AP5919" s="1115"/>
      <c r="AQ5919" s="1115"/>
      <c r="AR5919" s="1115"/>
      <c r="AS5919" s="1117"/>
      <c r="AT5919" s="1075"/>
      <c r="AU5919" s="1193"/>
      <c r="AV5919" s="330"/>
      <c r="AW5919" s="331"/>
      <c r="AX5919" s="331"/>
      <c r="AY5919" s="331"/>
      <c r="AZ5919" s="331"/>
      <c r="BA5919" s="331"/>
      <c r="BB5919" s="331"/>
      <c r="BC5919" s="331"/>
      <c r="BD5919" s="331"/>
      <c r="BE5919" s="333"/>
      <c r="BF5919" s="330"/>
      <c r="BG5919" s="333"/>
      <c r="BH5919" s="1119"/>
      <c r="BI5919" s="319"/>
      <c r="BJ5919" s="319"/>
      <c r="BK5919" s="319"/>
      <c r="BL5919" s="319"/>
      <c r="BM5919" s="319"/>
      <c r="BN5919" s="319"/>
      <c r="BO5919" s="319"/>
      <c r="BP5919" s="953"/>
      <c r="BQ5919" s="319"/>
      <c r="BR5919" s="319"/>
      <c r="BS5919" s="330"/>
      <c r="BT5919" s="331"/>
      <c r="BU5919" s="920"/>
      <c r="BV5919" s="903"/>
      <c r="BW5919" s="908"/>
      <c r="BX5919" s="908"/>
      <c r="BY5919" s="331"/>
      <c r="BZ5919" s="331"/>
      <c r="CA5919" s="462"/>
      <c r="CB5919" s="319"/>
      <c r="CC5919" s="319"/>
      <c r="CD5919" s="319"/>
      <c r="CE5919" s="319"/>
      <c r="CF5919" s="319"/>
      <c r="CG5919" s="319"/>
      <c r="CH5919" s="318"/>
      <c r="CI5919" s="319"/>
      <c r="CJ5919" s="319"/>
      <c r="CK5919" s="342"/>
      <c r="CL5919" s="333"/>
      <c r="CM5919" s="1079"/>
      <c r="CN5919" s="1005"/>
      <c r="CO5919" s="1005"/>
      <c r="CP5919" s="1005"/>
    </row>
    <row r="5920">
      <c r="A5920" s="1257"/>
      <c r="B5920" s="1113"/>
      <c r="C5920" s="1107"/>
      <c r="D5920" s="103"/>
      <c r="E5920" s="1137"/>
      <c r="F5920" s="112"/>
      <c r="G5920" s="1110"/>
      <c r="H5920" s="1138"/>
      <c r="I5920" s="1138"/>
      <c r="J5920" s="1139"/>
      <c r="K5920" s="1111"/>
      <c r="L5920" s="1112"/>
      <c r="M5920" s="1113"/>
      <c r="N5920" s="110"/>
      <c r="O5920" s="1140"/>
      <c r="P5920" s="1115"/>
      <c r="Q5920" s="1116"/>
      <c r="R5920" s="1141"/>
      <c r="S5920" s="1113"/>
      <c r="T5920" s="1143"/>
      <c r="U5920" s="1108"/>
      <c r="V5920" s="1108"/>
      <c r="W5920" s="1108"/>
      <c r="X5920" s="1108"/>
      <c r="Y5920" s="1108"/>
      <c r="Z5920" s="1114"/>
      <c r="AA5920" s="1114"/>
      <c r="AB5920" s="1114"/>
      <c r="AC5920" s="1117"/>
      <c r="AD5920" s="1115"/>
      <c r="AE5920" s="1115"/>
      <c r="AF5920" s="1115"/>
      <c r="AG5920" s="1115"/>
      <c r="AH5920" s="1115"/>
      <c r="AI5920" s="1115"/>
      <c r="AJ5920" s="1117"/>
      <c r="AK5920" s="1118"/>
      <c r="AL5920" s="1115"/>
      <c r="AM5920" s="1115"/>
      <c r="AN5920" s="1115"/>
      <c r="AO5920" s="1115"/>
      <c r="AP5920" s="1115"/>
      <c r="AQ5920" s="1115"/>
      <c r="AR5920" s="1115"/>
      <c r="AS5920" s="1117"/>
      <c r="AT5920" s="1075"/>
      <c r="AU5920" s="1193"/>
      <c r="AV5920" s="330"/>
      <c r="AW5920" s="331"/>
      <c r="AX5920" s="331"/>
      <c r="AY5920" s="331"/>
      <c r="AZ5920" s="331"/>
      <c r="BA5920" s="331"/>
      <c r="BB5920" s="331"/>
      <c r="BC5920" s="331"/>
      <c r="BD5920" s="331"/>
      <c r="BE5920" s="333"/>
      <c r="BF5920" s="330"/>
      <c r="BG5920" s="333"/>
      <c r="BH5920" s="1119"/>
      <c r="BI5920" s="319"/>
      <c r="BJ5920" s="319"/>
      <c r="BK5920" s="319"/>
      <c r="BL5920" s="319"/>
      <c r="BM5920" s="319"/>
      <c r="BN5920" s="319"/>
      <c r="BO5920" s="319"/>
      <c r="BP5920" s="953"/>
      <c r="BQ5920" s="319"/>
      <c r="BR5920" s="319"/>
      <c r="BS5920" s="330"/>
      <c r="BT5920" s="331"/>
      <c r="BU5920" s="920"/>
      <c r="BV5920" s="903"/>
      <c r="BW5920" s="908"/>
      <c r="BX5920" s="908"/>
      <c r="BY5920" s="331"/>
      <c r="BZ5920" s="331"/>
      <c r="CA5920" s="462"/>
      <c r="CB5920" s="319"/>
      <c r="CC5920" s="319"/>
      <c r="CD5920" s="319"/>
      <c r="CE5920" s="319"/>
      <c r="CF5920" s="319"/>
      <c r="CG5920" s="319"/>
      <c r="CH5920" s="318"/>
      <c r="CI5920" s="319"/>
      <c r="CJ5920" s="319"/>
      <c r="CK5920" s="342"/>
      <c r="CL5920" s="333"/>
      <c r="CM5920" s="1079"/>
      <c r="CN5920" s="1005"/>
      <c r="CO5920" s="1005"/>
      <c r="CP5920" s="1005"/>
    </row>
    <row r="5921">
      <c r="A5921" s="1257"/>
      <c r="B5921" s="1113"/>
      <c r="C5921" s="1107"/>
      <c r="D5921" s="103"/>
      <c r="E5921" s="1137"/>
      <c r="F5921" s="112"/>
      <c r="G5921" s="1110"/>
      <c r="H5921" s="1138"/>
      <c r="I5921" s="1138"/>
      <c r="J5921" s="1139"/>
      <c r="K5921" s="1111"/>
      <c r="L5921" s="1112"/>
      <c r="M5921" s="1113"/>
      <c r="N5921" s="110"/>
      <c r="O5921" s="1140"/>
      <c r="P5921" s="1115"/>
      <c r="Q5921" s="1116"/>
      <c r="R5921" s="1141"/>
      <c r="S5921" s="1113"/>
      <c r="T5921" s="1143"/>
      <c r="U5921" s="1108"/>
      <c r="V5921" s="1108"/>
      <c r="W5921" s="1108"/>
      <c r="X5921" s="1108"/>
      <c r="Y5921" s="1108"/>
      <c r="Z5921" s="1114"/>
      <c r="AA5921" s="1114"/>
      <c r="AB5921" s="1114"/>
      <c r="AC5921" s="1117"/>
      <c r="AD5921" s="1115"/>
      <c r="AE5921" s="1115"/>
      <c r="AF5921" s="1115"/>
      <c r="AG5921" s="1115"/>
      <c r="AH5921" s="1115"/>
      <c r="AI5921" s="1115"/>
      <c r="AJ5921" s="1117"/>
      <c r="AK5921" s="1118"/>
      <c r="AL5921" s="1115"/>
      <c r="AM5921" s="1115"/>
      <c r="AN5921" s="1115"/>
      <c r="AO5921" s="1115"/>
      <c r="AP5921" s="1115"/>
      <c r="AQ5921" s="1115"/>
      <c r="AR5921" s="1115"/>
      <c r="AS5921" s="1117"/>
      <c r="AT5921" s="1075"/>
      <c r="AU5921" s="1193"/>
      <c r="AV5921" s="330"/>
      <c r="AW5921" s="331"/>
      <c r="AX5921" s="331"/>
      <c r="AY5921" s="331"/>
      <c r="AZ5921" s="331"/>
      <c r="BA5921" s="331"/>
      <c r="BB5921" s="331"/>
      <c r="BC5921" s="331"/>
      <c r="BD5921" s="331"/>
      <c r="BE5921" s="333"/>
      <c r="BF5921" s="330"/>
      <c r="BG5921" s="333"/>
      <c r="BH5921" s="1119"/>
      <c r="BI5921" s="319"/>
      <c r="BJ5921" s="319"/>
      <c r="BK5921" s="319"/>
      <c r="BL5921" s="319"/>
      <c r="BM5921" s="319"/>
      <c r="BN5921" s="319"/>
      <c r="BO5921" s="319"/>
      <c r="BP5921" s="953"/>
      <c r="BQ5921" s="319"/>
      <c r="BR5921" s="319"/>
      <c r="BS5921" s="330"/>
      <c r="BT5921" s="331"/>
      <c r="BU5921" s="920"/>
      <c r="BV5921" s="903"/>
      <c r="BW5921" s="908"/>
      <c r="BX5921" s="908"/>
      <c r="BY5921" s="331"/>
      <c r="BZ5921" s="331"/>
      <c r="CA5921" s="462"/>
      <c r="CB5921" s="319"/>
      <c r="CC5921" s="319"/>
      <c r="CD5921" s="319"/>
      <c r="CE5921" s="319"/>
      <c r="CF5921" s="319"/>
      <c r="CG5921" s="319"/>
      <c r="CH5921" s="318"/>
      <c r="CI5921" s="319"/>
      <c r="CJ5921" s="319"/>
      <c r="CK5921" s="342"/>
      <c r="CL5921" s="333"/>
      <c r="CM5921" s="1079"/>
      <c r="CN5921" s="1005"/>
      <c r="CO5921" s="1005"/>
      <c r="CP5921" s="1005"/>
    </row>
    <row r="5922">
      <c r="A5922" s="1257"/>
      <c r="B5922" s="1113"/>
      <c r="C5922" s="1107"/>
      <c r="D5922" s="103"/>
      <c r="E5922" s="1137"/>
      <c r="F5922" s="112"/>
      <c r="G5922" s="1110"/>
      <c r="H5922" s="1138"/>
      <c r="I5922" s="1138"/>
      <c r="J5922" s="1139"/>
      <c r="K5922" s="1111"/>
      <c r="L5922" s="1112"/>
      <c r="M5922" s="1113"/>
      <c r="N5922" s="110"/>
      <c r="O5922" s="1140"/>
      <c r="P5922" s="1115"/>
      <c r="Q5922" s="1116"/>
      <c r="R5922" s="1141"/>
      <c r="S5922" s="1113"/>
      <c r="T5922" s="1143"/>
      <c r="U5922" s="1108"/>
      <c r="V5922" s="1108"/>
      <c r="W5922" s="1108"/>
      <c r="X5922" s="1108"/>
      <c r="Y5922" s="1108"/>
      <c r="Z5922" s="1114"/>
      <c r="AA5922" s="1114"/>
      <c r="AB5922" s="1114"/>
      <c r="AC5922" s="1117"/>
      <c r="AD5922" s="1115"/>
      <c r="AE5922" s="1115"/>
      <c r="AF5922" s="1115"/>
      <c r="AG5922" s="1115"/>
      <c r="AH5922" s="1115"/>
      <c r="AI5922" s="1115"/>
      <c r="AJ5922" s="1117"/>
      <c r="AK5922" s="1118"/>
      <c r="AL5922" s="1115"/>
      <c r="AM5922" s="1115"/>
      <c r="AN5922" s="1115"/>
      <c r="AO5922" s="1115"/>
      <c r="AP5922" s="1115"/>
      <c r="AQ5922" s="1115"/>
      <c r="AR5922" s="1115"/>
      <c r="AS5922" s="1117"/>
      <c r="AT5922" s="1075"/>
      <c r="AU5922" s="1193"/>
      <c r="AV5922" s="330"/>
      <c r="AW5922" s="331"/>
      <c r="AX5922" s="331"/>
      <c r="AY5922" s="331"/>
      <c r="AZ5922" s="331"/>
      <c r="BA5922" s="331"/>
      <c r="BB5922" s="331"/>
      <c r="BC5922" s="331"/>
      <c r="BD5922" s="331"/>
      <c r="BE5922" s="333"/>
      <c r="BF5922" s="330"/>
      <c r="BG5922" s="333"/>
      <c r="BH5922" s="1119"/>
      <c r="BI5922" s="319"/>
      <c r="BJ5922" s="319"/>
      <c r="BK5922" s="319"/>
      <c r="BL5922" s="319"/>
      <c r="BM5922" s="319"/>
      <c r="BN5922" s="319"/>
      <c r="BO5922" s="319"/>
      <c r="BP5922" s="953"/>
      <c r="BQ5922" s="319"/>
      <c r="BR5922" s="319"/>
      <c r="BS5922" s="330"/>
      <c r="BT5922" s="331"/>
      <c r="BU5922" s="920"/>
      <c r="BV5922" s="903"/>
      <c r="BW5922" s="908"/>
      <c r="BX5922" s="908"/>
      <c r="BY5922" s="331"/>
      <c r="BZ5922" s="331"/>
      <c r="CA5922" s="462"/>
      <c r="CB5922" s="319"/>
      <c r="CC5922" s="319"/>
      <c r="CD5922" s="319"/>
      <c r="CE5922" s="319"/>
      <c r="CF5922" s="319"/>
      <c r="CG5922" s="319"/>
      <c r="CH5922" s="318"/>
      <c r="CI5922" s="319"/>
      <c r="CJ5922" s="319"/>
      <c r="CK5922" s="342"/>
      <c r="CL5922" s="333"/>
      <c r="CM5922" s="1079"/>
      <c r="CN5922" s="1005"/>
      <c r="CO5922" s="1005"/>
      <c r="CP5922" s="1005"/>
    </row>
    <row r="5923">
      <c r="A5923" s="1257"/>
      <c r="B5923" s="1113"/>
      <c r="C5923" s="1107"/>
      <c r="D5923" s="103"/>
      <c r="E5923" s="1137"/>
      <c r="F5923" s="112"/>
      <c r="G5923" s="1110"/>
      <c r="H5923" s="1138"/>
      <c r="I5923" s="1138"/>
      <c r="J5923" s="1139"/>
      <c r="K5923" s="1111"/>
      <c r="L5923" s="1112"/>
      <c r="M5923" s="1113"/>
      <c r="N5923" s="110"/>
      <c r="O5923" s="1140"/>
      <c r="P5923" s="1115"/>
      <c r="Q5923" s="1116"/>
      <c r="R5923" s="1141"/>
      <c r="S5923" s="1113"/>
      <c r="T5923" s="1143"/>
      <c r="U5923" s="1108"/>
      <c r="V5923" s="1108"/>
      <c r="W5923" s="1108"/>
      <c r="X5923" s="1108"/>
      <c r="Y5923" s="1108"/>
      <c r="Z5923" s="1114"/>
      <c r="AA5923" s="1114"/>
      <c r="AB5923" s="1114"/>
      <c r="AC5923" s="1117"/>
      <c r="AD5923" s="1115"/>
      <c r="AE5923" s="1115"/>
      <c r="AF5923" s="1115"/>
      <c r="AG5923" s="1115"/>
      <c r="AH5923" s="1115"/>
      <c r="AI5923" s="1115"/>
      <c r="AJ5923" s="1117"/>
      <c r="AK5923" s="1118"/>
      <c r="AL5923" s="1115"/>
      <c r="AM5923" s="1115"/>
      <c r="AN5923" s="1115"/>
      <c r="AO5923" s="1115"/>
      <c r="AP5923" s="1115"/>
      <c r="AQ5923" s="1115"/>
      <c r="AR5923" s="1115"/>
      <c r="AS5923" s="1117"/>
      <c r="AT5923" s="1075"/>
      <c r="AU5923" s="1193"/>
      <c r="AV5923" s="330"/>
      <c r="AW5923" s="331"/>
      <c r="AX5923" s="331"/>
      <c r="AY5923" s="331"/>
      <c r="AZ5923" s="331"/>
      <c r="BA5923" s="331"/>
      <c r="BB5923" s="331"/>
      <c r="BC5923" s="331"/>
      <c r="BD5923" s="331"/>
      <c r="BE5923" s="333"/>
      <c r="BF5923" s="330"/>
      <c r="BG5923" s="333"/>
      <c r="BH5923" s="1119"/>
      <c r="BI5923" s="319"/>
      <c r="BJ5923" s="319"/>
      <c r="BK5923" s="319"/>
      <c r="BL5923" s="319"/>
      <c r="BM5923" s="319"/>
      <c r="BN5923" s="319"/>
      <c r="BO5923" s="319"/>
      <c r="BP5923" s="953"/>
      <c r="BQ5923" s="319"/>
      <c r="BR5923" s="319"/>
      <c r="BS5923" s="330"/>
      <c r="BT5923" s="331"/>
      <c r="BU5923" s="920"/>
      <c r="BV5923" s="903"/>
      <c r="BW5923" s="908"/>
      <c r="BX5923" s="908"/>
      <c r="BY5923" s="331"/>
      <c r="BZ5923" s="331"/>
      <c r="CA5923" s="462"/>
      <c r="CB5923" s="319"/>
      <c r="CC5923" s="319"/>
      <c r="CD5923" s="319"/>
      <c r="CE5923" s="319"/>
      <c r="CF5923" s="319"/>
      <c r="CG5923" s="319"/>
      <c r="CH5923" s="318"/>
      <c r="CI5923" s="319"/>
      <c r="CJ5923" s="319"/>
      <c r="CK5923" s="342"/>
      <c r="CL5923" s="333"/>
      <c r="CM5923" s="1079"/>
      <c r="CN5923" s="1005"/>
      <c r="CO5923" s="1005"/>
      <c r="CP5923" s="1005"/>
    </row>
    <row r="5924">
      <c r="A5924" s="1257"/>
      <c r="B5924" s="1113"/>
      <c r="C5924" s="1107"/>
      <c r="D5924" s="103"/>
      <c r="E5924" s="1137"/>
      <c r="F5924" s="112"/>
      <c r="G5924" s="1110"/>
      <c r="H5924" s="1138"/>
      <c r="I5924" s="1138"/>
      <c r="J5924" s="1139"/>
      <c r="K5924" s="1111"/>
      <c r="L5924" s="1112"/>
      <c r="M5924" s="1113"/>
      <c r="N5924" s="110"/>
      <c r="O5924" s="1140"/>
      <c r="P5924" s="1115"/>
      <c r="Q5924" s="1116"/>
      <c r="R5924" s="1141"/>
      <c r="S5924" s="1113"/>
      <c r="T5924" s="1143"/>
      <c r="U5924" s="1108"/>
      <c r="V5924" s="1108"/>
      <c r="W5924" s="1108"/>
      <c r="X5924" s="1108"/>
      <c r="Y5924" s="1108"/>
      <c r="Z5924" s="1114"/>
      <c r="AA5924" s="1114"/>
      <c r="AB5924" s="1114"/>
      <c r="AC5924" s="1117"/>
      <c r="AD5924" s="1115"/>
      <c r="AE5924" s="1115"/>
      <c r="AF5924" s="1115"/>
      <c r="AG5924" s="1115"/>
      <c r="AH5924" s="1115"/>
      <c r="AI5924" s="1115"/>
      <c r="AJ5924" s="1117"/>
      <c r="AK5924" s="1118"/>
      <c r="AL5924" s="1115"/>
      <c r="AM5924" s="1115"/>
      <c r="AN5924" s="1115"/>
      <c r="AO5924" s="1115"/>
      <c r="AP5924" s="1115"/>
      <c r="AQ5924" s="1115"/>
      <c r="AR5924" s="1115"/>
      <c r="AS5924" s="1117"/>
      <c r="AT5924" s="1075"/>
      <c r="AU5924" s="1193"/>
      <c r="AV5924" s="330"/>
      <c r="AW5924" s="331"/>
      <c r="AX5924" s="331"/>
      <c r="AY5924" s="331"/>
      <c r="AZ5924" s="331"/>
      <c r="BA5924" s="331"/>
      <c r="BB5924" s="331"/>
      <c r="BC5924" s="331"/>
      <c r="BD5924" s="331"/>
      <c r="BE5924" s="333"/>
      <c r="BF5924" s="330"/>
      <c r="BG5924" s="333"/>
      <c r="BH5924" s="1119"/>
      <c r="BI5924" s="319"/>
      <c r="BJ5924" s="319"/>
      <c r="BK5924" s="319"/>
      <c r="BL5924" s="319"/>
      <c r="BM5924" s="319"/>
      <c r="BN5924" s="319"/>
      <c r="BO5924" s="319"/>
      <c r="BP5924" s="953"/>
      <c r="BQ5924" s="319"/>
      <c r="BR5924" s="319"/>
      <c r="BS5924" s="330"/>
      <c r="BT5924" s="331"/>
      <c r="BU5924" s="920"/>
      <c r="BV5924" s="903"/>
      <c r="BW5924" s="908"/>
      <c r="BX5924" s="908"/>
      <c r="BY5924" s="331"/>
      <c r="BZ5924" s="331"/>
      <c r="CA5924" s="462"/>
      <c r="CB5924" s="319"/>
      <c r="CC5924" s="319"/>
      <c r="CD5924" s="319"/>
      <c r="CE5924" s="319"/>
      <c r="CF5924" s="319"/>
      <c r="CG5924" s="319"/>
      <c r="CH5924" s="318"/>
      <c r="CI5924" s="319"/>
      <c r="CJ5924" s="319"/>
      <c r="CK5924" s="342"/>
      <c r="CL5924" s="333"/>
      <c r="CM5924" s="1079"/>
      <c r="CN5924" s="1005"/>
      <c r="CO5924" s="1005"/>
      <c r="CP5924" s="1005"/>
    </row>
    <row r="5925">
      <c r="A5925" s="1257"/>
      <c r="B5925" s="1113"/>
      <c r="C5925" s="1107"/>
      <c r="D5925" s="103"/>
      <c r="E5925" s="1137"/>
      <c r="F5925" s="112"/>
      <c r="G5925" s="1110"/>
      <c r="H5925" s="1138"/>
      <c r="I5925" s="1138"/>
      <c r="J5925" s="1139"/>
      <c r="K5925" s="1111"/>
      <c r="L5925" s="1112"/>
      <c r="M5925" s="1113"/>
      <c r="N5925" s="110"/>
      <c r="O5925" s="1140"/>
      <c r="P5925" s="1115"/>
      <c r="Q5925" s="1116"/>
      <c r="R5925" s="1141"/>
      <c r="S5925" s="1113"/>
      <c r="T5925" s="1143"/>
      <c r="U5925" s="1108"/>
      <c r="V5925" s="1108"/>
      <c r="W5925" s="1108"/>
      <c r="X5925" s="1108"/>
      <c r="Y5925" s="1108"/>
      <c r="Z5925" s="1114"/>
      <c r="AA5925" s="1114"/>
      <c r="AB5925" s="1114"/>
      <c r="AC5925" s="1117"/>
      <c r="AD5925" s="1115"/>
      <c r="AE5925" s="1115"/>
      <c r="AF5925" s="1115"/>
      <c r="AG5925" s="1115"/>
      <c r="AH5925" s="1115"/>
      <c r="AI5925" s="1115"/>
      <c r="AJ5925" s="1117"/>
      <c r="AK5925" s="1118"/>
      <c r="AL5925" s="1115"/>
      <c r="AM5925" s="1115"/>
      <c r="AN5925" s="1115"/>
      <c r="AO5925" s="1115"/>
      <c r="AP5925" s="1115"/>
      <c r="AQ5925" s="1115"/>
      <c r="AR5925" s="1115"/>
      <c r="AS5925" s="1117"/>
      <c r="AT5925" s="1075"/>
      <c r="AU5925" s="1193"/>
      <c r="AV5925" s="330"/>
      <c r="AW5925" s="331"/>
      <c r="AX5925" s="331"/>
      <c r="AY5925" s="331"/>
      <c r="AZ5925" s="331"/>
      <c r="BA5925" s="331"/>
      <c r="BB5925" s="331"/>
      <c r="BC5925" s="331"/>
      <c r="BD5925" s="331"/>
      <c r="BE5925" s="333"/>
      <c r="BF5925" s="330"/>
      <c r="BG5925" s="333"/>
      <c r="BH5925" s="1119"/>
      <c r="BI5925" s="319"/>
      <c r="BJ5925" s="319"/>
      <c r="BK5925" s="319"/>
      <c r="BL5925" s="319"/>
      <c r="BM5925" s="319"/>
      <c r="BN5925" s="319"/>
      <c r="BO5925" s="319"/>
      <c r="BP5925" s="953"/>
      <c r="BQ5925" s="319"/>
      <c r="BR5925" s="319"/>
      <c r="BS5925" s="330"/>
      <c r="BT5925" s="331"/>
      <c r="BU5925" s="920"/>
      <c r="BV5925" s="903"/>
      <c r="BW5925" s="908"/>
      <c r="BX5925" s="908"/>
      <c r="BY5925" s="331"/>
      <c r="BZ5925" s="331"/>
      <c r="CA5925" s="462"/>
      <c r="CB5925" s="319"/>
      <c r="CC5925" s="319"/>
      <c r="CD5925" s="319"/>
      <c r="CE5925" s="319"/>
      <c r="CF5925" s="319"/>
      <c r="CG5925" s="319"/>
      <c r="CH5925" s="318"/>
      <c r="CI5925" s="319"/>
      <c r="CJ5925" s="319"/>
      <c r="CK5925" s="342"/>
      <c r="CL5925" s="333"/>
      <c r="CM5925" s="1079"/>
      <c r="CN5925" s="1005"/>
      <c r="CO5925" s="1005"/>
      <c r="CP5925" s="1005"/>
    </row>
    <row r="5926">
      <c r="A5926" s="1257"/>
      <c r="B5926" s="1113"/>
      <c r="C5926" s="1107"/>
      <c r="D5926" s="103"/>
      <c r="E5926" s="1137"/>
      <c r="F5926" s="112"/>
      <c r="G5926" s="1110"/>
      <c r="H5926" s="1138"/>
      <c r="I5926" s="1138"/>
      <c r="J5926" s="1139"/>
      <c r="K5926" s="1111"/>
      <c r="L5926" s="1112"/>
      <c r="M5926" s="1113"/>
      <c r="N5926" s="110"/>
      <c r="O5926" s="1140"/>
      <c r="P5926" s="1115"/>
      <c r="Q5926" s="1116"/>
      <c r="R5926" s="1141"/>
      <c r="S5926" s="1113"/>
      <c r="T5926" s="1143"/>
      <c r="U5926" s="1108"/>
      <c r="V5926" s="1108"/>
      <c r="W5926" s="1108"/>
      <c r="X5926" s="1108"/>
      <c r="Y5926" s="1108"/>
      <c r="Z5926" s="1114"/>
      <c r="AA5926" s="1114"/>
      <c r="AB5926" s="1114"/>
      <c r="AC5926" s="1117"/>
      <c r="AD5926" s="1115"/>
      <c r="AE5926" s="1115"/>
      <c r="AF5926" s="1115"/>
      <c r="AG5926" s="1115"/>
      <c r="AH5926" s="1115"/>
      <c r="AI5926" s="1115"/>
      <c r="AJ5926" s="1117"/>
      <c r="AK5926" s="1118"/>
      <c r="AL5926" s="1115"/>
      <c r="AM5926" s="1115"/>
      <c r="AN5926" s="1115"/>
      <c r="AO5926" s="1115"/>
      <c r="AP5926" s="1115"/>
      <c r="AQ5926" s="1115"/>
      <c r="AR5926" s="1115"/>
      <c r="AS5926" s="1117"/>
      <c r="AT5926" s="1075"/>
      <c r="AU5926" s="1193"/>
      <c r="AV5926" s="330"/>
      <c r="AW5926" s="331"/>
      <c r="AX5926" s="331"/>
      <c r="AY5926" s="331"/>
      <c r="AZ5926" s="331"/>
      <c r="BA5926" s="331"/>
      <c r="BB5926" s="331"/>
      <c r="BC5926" s="331"/>
      <c r="BD5926" s="331"/>
      <c r="BE5926" s="333"/>
      <c r="BF5926" s="330"/>
      <c r="BG5926" s="333"/>
      <c r="BH5926" s="1119"/>
      <c r="BI5926" s="319"/>
      <c r="BJ5926" s="319"/>
      <c r="BK5926" s="319"/>
      <c r="BL5926" s="319"/>
      <c r="BM5926" s="319"/>
      <c r="BN5926" s="319"/>
      <c r="BO5926" s="319"/>
      <c r="BP5926" s="953"/>
      <c r="BQ5926" s="319"/>
      <c r="BR5926" s="319"/>
      <c r="BS5926" s="330"/>
      <c r="BT5926" s="331"/>
      <c r="BU5926" s="920"/>
      <c r="BV5926" s="903"/>
      <c r="BW5926" s="908"/>
      <c r="BX5926" s="908"/>
      <c r="BY5926" s="331"/>
      <c r="BZ5926" s="331"/>
      <c r="CA5926" s="462"/>
      <c r="CB5926" s="319"/>
      <c r="CC5926" s="319"/>
      <c r="CD5926" s="319"/>
      <c r="CE5926" s="319"/>
      <c r="CF5926" s="319"/>
      <c r="CG5926" s="319"/>
      <c r="CH5926" s="318"/>
      <c r="CI5926" s="319"/>
      <c r="CJ5926" s="319"/>
      <c r="CK5926" s="342"/>
      <c r="CL5926" s="333"/>
      <c r="CM5926" s="1079"/>
      <c r="CN5926" s="1005"/>
      <c r="CO5926" s="1005"/>
      <c r="CP5926" s="1005"/>
    </row>
    <row r="5927">
      <c r="A5927" s="1257"/>
      <c r="B5927" s="1113"/>
      <c r="C5927" s="1107"/>
      <c r="D5927" s="103"/>
      <c r="E5927" s="1137"/>
      <c r="F5927" s="112"/>
      <c r="G5927" s="1110"/>
      <c r="H5927" s="1138"/>
      <c r="I5927" s="1138"/>
      <c r="J5927" s="1139"/>
      <c r="K5927" s="1111"/>
      <c r="L5927" s="1112"/>
      <c r="M5927" s="1113"/>
      <c r="N5927" s="110"/>
      <c r="O5927" s="1140"/>
      <c r="P5927" s="1115"/>
      <c r="Q5927" s="1116"/>
      <c r="R5927" s="1141"/>
      <c r="S5927" s="1113"/>
      <c r="T5927" s="1143"/>
      <c r="U5927" s="1108"/>
      <c r="V5927" s="1108"/>
      <c r="W5927" s="1108"/>
      <c r="X5927" s="1108"/>
      <c r="Y5927" s="1108"/>
      <c r="Z5927" s="1114"/>
      <c r="AA5927" s="1114"/>
      <c r="AB5927" s="1114"/>
      <c r="AC5927" s="1117"/>
      <c r="AD5927" s="1115"/>
      <c r="AE5927" s="1115"/>
      <c r="AF5927" s="1115"/>
      <c r="AG5927" s="1115"/>
      <c r="AH5927" s="1115"/>
      <c r="AI5927" s="1115"/>
      <c r="AJ5927" s="1117"/>
      <c r="AK5927" s="1118"/>
      <c r="AL5927" s="1115"/>
      <c r="AM5927" s="1115"/>
      <c r="AN5927" s="1115"/>
      <c r="AO5927" s="1115"/>
      <c r="AP5927" s="1115"/>
      <c r="AQ5927" s="1115"/>
      <c r="AR5927" s="1115"/>
      <c r="AS5927" s="1117"/>
      <c r="AT5927" s="1075"/>
      <c r="AU5927" s="1193"/>
      <c r="AV5927" s="330"/>
      <c r="AW5927" s="331"/>
      <c r="AX5927" s="331"/>
      <c r="AY5927" s="331"/>
      <c r="AZ5927" s="331"/>
      <c r="BA5927" s="331"/>
      <c r="BB5927" s="331"/>
      <c r="BC5927" s="331"/>
      <c r="BD5927" s="331"/>
      <c r="BE5927" s="333"/>
      <c r="BF5927" s="330"/>
      <c r="BG5927" s="333"/>
      <c r="BH5927" s="1119"/>
      <c r="BI5927" s="319"/>
      <c r="BJ5927" s="319"/>
      <c r="BK5927" s="319"/>
      <c r="BL5927" s="319"/>
      <c r="BM5927" s="319"/>
      <c r="BN5927" s="319"/>
      <c r="BO5927" s="319"/>
      <c r="BP5927" s="953"/>
      <c r="BQ5927" s="319"/>
      <c r="BR5927" s="319"/>
      <c r="BS5927" s="330"/>
      <c r="BT5927" s="331"/>
      <c r="BU5927" s="920"/>
      <c r="BV5927" s="903"/>
      <c r="BW5927" s="908"/>
      <c r="BX5927" s="908"/>
      <c r="BY5927" s="331"/>
      <c r="BZ5927" s="331"/>
      <c r="CA5927" s="462"/>
      <c r="CB5927" s="319"/>
      <c r="CC5927" s="319"/>
      <c r="CD5927" s="319"/>
      <c r="CE5927" s="319"/>
      <c r="CF5927" s="319"/>
      <c r="CG5927" s="319"/>
      <c r="CH5927" s="318"/>
      <c r="CI5927" s="319"/>
      <c r="CJ5927" s="319"/>
      <c r="CK5927" s="342"/>
      <c r="CL5927" s="333"/>
      <c r="CM5927" s="1079"/>
      <c r="CN5927" s="1005"/>
      <c r="CO5927" s="1005"/>
      <c r="CP5927" s="1005"/>
    </row>
    <row r="5928">
      <c r="A5928" s="1257"/>
      <c r="B5928" s="1113"/>
      <c r="C5928" s="1107"/>
      <c r="D5928" s="103"/>
      <c r="E5928" s="1137"/>
      <c r="F5928" s="112"/>
      <c r="G5928" s="1110"/>
      <c r="H5928" s="1138"/>
      <c r="I5928" s="1138"/>
      <c r="J5928" s="1139"/>
      <c r="K5928" s="1111"/>
      <c r="L5928" s="1112"/>
      <c r="M5928" s="1113"/>
      <c r="N5928" s="110"/>
      <c r="O5928" s="1140"/>
      <c r="P5928" s="1115"/>
      <c r="Q5928" s="1116"/>
      <c r="R5928" s="1141"/>
      <c r="S5928" s="1113"/>
      <c r="T5928" s="1143"/>
      <c r="U5928" s="1108"/>
      <c r="V5928" s="1108"/>
      <c r="W5928" s="1108"/>
      <c r="X5928" s="1108"/>
      <c r="Y5928" s="1108"/>
      <c r="Z5928" s="1114"/>
      <c r="AA5928" s="1114"/>
      <c r="AB5928" s="1114"/>
      <c r="AC5928" s="1117"/>
      <c r="AD5928" s="1115"/>
      <c r="AE5928" s="1115"/>
      <c r="AF5928" s="1115"/>
      <c r="AG5928" s="1115"/>
      <c r="AH5928" s="1115"/>
      <c r="AI5928" s="1115"/>
      <c r="AJ5928" s="1117"/>
      <c r="AK5928" s="1118"/>
      <c r="AL5928" s="1115"/>
      <c r="AM5928" s="1115"/>
      <c r="AN5928" s="1115"/>
      <c r="AO5928" s="1115"/>
      <c r="AP5928" s="1115"/>
      <c r="AQ5928" s="1115"/>
      <c r="AR5928" s="1115"/>
      <c r="AS5928" s="1117"/>
      <c r="AT5928" s="1075"/>
      <c r="AU5928" s="1193"/>
      <c r="AV5928" s="330"/>
      <c r="AW5928" s="331"/>
      <c r="AX5928" s="331"/>
      <c r="AY5928" s="331"/>
      <c r="AZ5928" s="331"/>
      <c r="BA5928" s="331"/>
      <c r="BB5928" s="331"/>
      <c r="BC5928" s="331"/>
      <c r="BD5928" s="331"/>
      <c r="BE5928" s="333"/>
      <c r="BF5928" s="330"/>
      <c r="BG5928" s="333"/>
      <c r="BH5928" s="1119"/>
      <c r="BI5928" s="319"/>
      <c r="BJ5928" s="319"/>
      <c r="BK5928" s="319"/>
      <c r="BL5928" s="319"/>
      <c r="BM5928" s="319"/>
      <c r="BN5928" s="319"/>
      <c r="BO5928" s="319"/>
      <c r="BP5928" s="953"/>
      <c r="BQ5928" s="319"/>
      <c r="BR5928" s="319"/>
      <c r="BS5928" s="330"/>
      <c r="BT5928" s="331"/>
      <c r="BU5928" s="920"/>
      <c r="BV5928" s="903"/>
      <c r="BW5928" s="908"/>
      <c r="BX5928" s="908"/>
      <c r="BY5928" s="331"/>
      <c r="BZ5928" s="331"/>
      <c r="CA5928" s="462"/>
      <c r="CB5928" s="319"/>
      <c r="CC5928" s="319"/>
      <c r="CD5928" s="319"/>
      <c r="CE5928" s="319"/>
      <c r="CF5928" s="319"/>
      <c r="CG5928" s="319"/>
      <c r="CH5928" s="318"/>
      <c r="CI5928" s="319"/>
      <c r="CJ5928" s="319"/>
      <c r="CK5928" s="342"/>
      <c r="CL5928" s="333"/>
      <c r="CM5928" s="1079"/>
      <c r="CN5928" s="1005"/>
      <c r="CO5928" s="1005"/>
      <c r="CP5928" s="1005"/>
    </row>
    <row r="5929">
      <c r="A5929" s="1257"/>
      <c r="B5929" s="1113"/>
      <c r="C5929" s="1107"/>
      <c r="D5929" s="103"/>
      <c r="E5929" s="1137"/>
      <c r="F5929" s="112"/>
      <c r="G5929" s="1110"/>
      <c r="H5929" s="1138"/>
      <c r="I5929" s="1138"/>
      <c r="J5929" s="1139"/>
      <c r="K5929" s="1111"/>
      <c r="L5929" s="1112"/>
      <c r="M5929" s="1113"/>
      <c r="N5929" s="110"/>
      <c r="O5929" s="1140"/>
      <c r="P5929" s="1115"/>
      <c r="Q5929" s="1116"/>
      <c r="R5929" s="1141"/>
      <c r="S5929" s="1113"/>
      <c r="T5929" s="1143"/>
      <c r="U5929" s="1108"/>
      <c r="V5929" s="1108"/>
      <c r="W5929" s="1108"/>
      <c r="X5929" s="1108"/>
      <c r="Y5929" s="1108"/>
      <c r="Z5929" s="1114"/>
      <c r="AA5929" s="1114"/>
      <c r="AB5929" s="1114"/>
      <c r="AC5929" s="1117"/>
      <c r="AD5929" s="1115"/>
      <c r="AE5929" s="1115"/>
      <c r="AF5929" s="1115"/>
      <c r="AG5929" s="1115"/>
      <c r="AH5929" s="1115"/>
      <c r="AI5929" s="1115"/>
      <c r="AJ5929" s="1117"/>
      <c r="AK5929" s="1118"/>
      <c r="AL5929" s="1115"/>
      <c r="AM5929" s="1115"/>
      <c r="AN5929" s="1115"/>
      <c r="AO5929" s="1115"/>
      <c r="AP5929" s="1115"/>
      <c r="AQ5929" s="1115"/>
      <c r="AR5929" s="1115"/>
      <c r="AS5929" s="1117"/>
      <c r="AT5929" s="1075"/>
      <c r="AU5929" s="1193"/>
      <c r="AV5929" s="330"/>
      <c r="AW5929" s="331"/>
      <c r="AX5929" s="331"/>
      <c r="AY5929" s="331"/>
      <c r="AZ5929" s="331"/>
      <c r="BA5929" s="331"/>
      <c r="BB5929" s="331"/>
      <c r="BC5929" s="331"/>
      <c r="BD5929" s="331"/>
      <c r="BE5929" s="333"/>
      <c r="BF5929" s="330"/>
      <c r="BG5929" s="333"/>
      <c r="BH5929" s="1119"/>
      <c r="BI5929" s="319"/>
      <c r="BJ5929" s="319"/>
      <c r="BK5929" s="319"/>
      <c r="BL5929" s="319"/>
      <c r="BM5929" s="319"/>
      <c r="BN5929" s="319"/>
      <c r="BO5929" s="319"/>
      <c r="BP5929" s="953"/>
      <c r="BQ5929" s="319"/>
      <c r="BR5929" s="319"/>
      <c r="BS5929" s="330"/>
      <c r="BT5929" s="331"/>
      <c r="BU5929" s="920"/>
      <c r="BV5929" s="903"/>
      <c r="BW5929" s="908"/>
      <c r="BX5929" s="908"/>
      <c r="BY5929" s="331"/>
      <c r="BZ5929" s="331"/>
      <c r="CA5929" s="462"/>
      <c r="CB5929" s="319"/>
      <c r="CC5929" s="319"/>
      <c r="CD5929" s="319"/>
      <c r="CE5929" s="319"/>
      <c r="CF5929" s="319"/>
      <c r="CG5929" s="319"/>
      <c r="CH5929" s="318"/>
      <c r="CI5929" s="319"/>
      <c r="CJ5929" s="319"/>
      <c r="CK5929" s="342"/>
      <c r="CL5929" s="333"/>
      <c r="CM5929" s="1079"/>
      <c r="CN5929" s="1005"/>
      <c r="CO5929" s="1005"/>
      <c r="CP5929" s="1005"/>
    </row>
    <row r="5930">
      <c r="A5930" s="1257"/>
      <c r="B5930" s="1113"/>
      <c r="C5930" s="1107"/>
      <c r="D5930" s="103"/>
      <c r="E5930" s="1137"/>
      <c r="F5930" s="112"/>
      <c r="G5930" s="1110"/>
      <c r="H5930" s="1138"/>
      <c r="I5930" s="1138"/>
      <c r="J5930" s="1139"/>
      <c r="K5930" s="1111"/>
      <c r="L5930" s="1112"/>
      <c r="M5930" s="1113"/>
      <c r="N5930" s="110"/>
      <c r="O5930" s="1140"/>
      <c r="P5930" s="1115"/>
      <c r="Q5930" s="1116"/>
      <c r="R5930" s="1141"/>
      <c r="S5930" s="1113"/>
      <c r="T5930" s="1143"/>
      <c r="U5930" s="1108"/>
      <c r="V5930" s="1108"/>
      <c r="W5930" s="1108"/>
      <c r="X5930" s="1108"/>
      <c r="Y5930" s="1108"/>
      <c r="Z5930" s="1114"/>
      <c r="AA5930" s="1114"/>
      <c r="AB5930" s="1114"/>
      <c r="AC5930" s="1117"/>
      <c r="AD5930" s="1115"/>
      <c r="AE5930" s="1115"/>
      <c r="AF5930" s="1115"/>
      <c r="AG5930" s="1115"/>
      <c r="AH5930" s="1115"/>
      <c r="AI5930" s="1115"/>
      <c r="AJ5930" s="1117"/>
      <c r="AK5930" s="1118"/>
      <c r="AL5930" s="1115"/>
      <c r="AM5930" s="1115"/>
      <c r="AN5930" s="1115"/>
      <c r="AO5930" s="1115"/>
      <c r="AP5930" s="1115"/>
      <c r="AQ5930" s="1115"/>
      <c r="AR5930" s="1115"/>
      <c r="AS5930" s="1117"/>
      <c r="AT5930" s="1075"/>
      <c r="AU5930" s="1193"/>
      <c r="AV5930" s="330"/>
      <c r="AW5930" s="331"/>
      <c r="AX5930" s="331"/>
      <c r="AY5930" s="331"/>
      <c r="AZ5930" s="331"/>
      <c r="BA5930" s="331"/>
      <c r="BB5930" s="331"/>
      <c r="BC5930" s="331"/>
      <c r="BD5930" s="331"/>
      <c r="BE5930" s="333"/>
      <c r="BF5930" s="330"/>
      <c r="BG5930" s="333"/>
      <c r="BH5930" s="1119"/>
      <c r="BI5930" s="319"/>
      <c r="BJ5930" s="319"/>
      <c r="BK5930" s="319"/>
      <c r="BL5930" s="319"/>
      <c r="BM5930" s="319"/>
      <c r="BN5930" s="319"/>
      <c r="BO5930" s="319"/>
      <c r="BP5930" s="953"/>
      <c r="BQ5930" s="319"/>
      <c r="BR5930" s="319"/>
      <c r="BS5930" s="330"/>
      <c r="BT5930" s="331"/>
      <c r="BU5930" s="920"/>
      <c r="BV5930" s="903"/>
      <c r="BW5930" s="908"/>
      <c r="BX5930" s="908"/>
      <c r="BY5930" s="331"/>
      <c r="BZ5930" s="331"/>
      <c r="CA5930" s="462"/>
      <c r="CB5930" s="319"/>
      <c r="CC5930" s="319"/>
      <c r="CD5930" s="319"/>
      <c r="CE5930" s="319"/>
      <c r="CF5930" s="319"/>
      <c r="CG5930" s="319"/>
      <c r="CH5930" s="318"/>
      <c r="CI5930" s="319"/>
      <c r="CJ5930" s="319"/>
      <c r="CK5930" s="342"/>
      <c r="CL5930" s="333"/>
      <c r="CM5930" s="1079"/>
      <c r="CN5930" s="1005"/>
      <c r="CO5930" s="1005"/>
      <c r="CP5930" s="1005"/>
    </row>
    <row r="5931">
      <c r="A5931" s="1257"/>
      <c r="B5931" s="1113"/>
      <c r="C5931" s="1107"/>
      <c r="D5931" s="103"/>
      <c r="E5931" s="1137"/>
      <c r="F5931" s="112"/>
      <c r="G5931" s="1110"/>
      <c r="H5931" s="1138"/>
      <c r="I5931" s="1138"/>
      <c r="J5931" s="1139"/>
      <c r="K5931" s="1111"/>
      <c r="L5931" s="1112"/>
      <c r="M5931" s="1113"/>
      <c r="N5931" s="110"/>
      <c r="O5931" s="1140"/>
      <c r="P5931" s="1115"/>
      <c r="Q5931" s="1116"/>
      <c r="R5931" s="1141"/>
      <c r="S5931" s="1113"/>
      <c r="T5931" s="1143"/>
      <c r="U5931" s="1108"/>
      <c r="V5931" s="1108"/>
      <c r="W5931" s="1108"/>
      <c r="X5931" s="1108"/>
      <c r="Y5931" s="1108"/>
      <c r="Z5931" s="1114"/>
      <c r="AA5931" s="1114"/>
      <c r="AB5931" s="1114"/>
      <c r="AC5931" s="1117"/>
      <c r="AD5931" s="1115"/>
      <c r="AE5931" s="1115"/>
      <c r="AF5931" s="1115"/>
      <c r="AG5931" s="1115"/>
      <c r="AH5931" s="1115"/>
      <c r="AI5931" s="1115"/>
      <c r="AJ5931" s="1117"/>
      <c r="AK5931" s="1118"/>
      <c r="AL5931" s="1115"/>
      <c r="AM5931" s="1115"/>
      <c r="AN5931" s="1115"/>
      <c r="AO5931" s="1115"/>
      <c r="AP5931" s="1115"/>
      <c r="AQ5931" s="1115"/>
      <c r="AR5931" s="1115"/>
      <c r="AS5931" s="1117"/>
      <c r="AT5931" s="1075"/>
      <c r="AU5931" s="1193"/>
      <c r="AV5931" s="330"/>
      <c r="AW5931" s="331"/>
      <c r="AX5931" s="331"/>
      <c r="AY5931" s="331"/>
      <c r="AZ5931" s="331"/>
      <c r="BA5931" s="331"/>
      <c r="BB5931" s="331"/>
      <c r="BC5931" s="331"/>
      <c r="BD5931" s="331"/>
      <c r="BE5931" s="333"/>
      <c r="BF5931" s="330"/>
      <c r="BG5931" s="333"/>
      <c r="BH5931" s="1119"/>
      <c r="BI5931" s="319"/>
      <c r="BJ5931" s="319"/>
      <c r="BK5931" s="319"/>
      <c r="BL5931" s="319"/>
      <c r="BM5931" s="319"/>
      <c r="BN5931" s="319"/>
      <c r="BO5931" s="319"/>
      <c r="BP5931" s="953"/>
      <c r="BQ5931" s="319"/>
      <c r="BR5931" s="319"/>
      <c r="BS5931" s="330"/>
      <c r="BT5931" s="331"/>
      <c r="BU5931" s="920"/>
      <c r="BV5931" s="903"/>
      <c r="BW5931" s="908"/>
      <c r="BX5931" s="908"/>
      <c r="BY5931" s="331"/>
      <c r="BZ5931" s="331"/>
      <c r="CA5931" s="462"/>
      <c r="CB5931" s="319"/>
      <c r="CC5931" s="319"/>
      <c r="CD5931" s="319"/>
      <c r="CE5931" s="319"/>
      <c r="CF5931" s="319"/>
      <c r="CG5931" s="319"/>
      <c r="CH5931" s="318"/>
      <c r="CI5931" s="319"/>
      <c r="CJ5931" s="319"/>
      <c r="CK5931" s="342"/>
      <c r="CL5931" s="333"/>
      <c r="CM5931" s="1079"/>
      <c r="CN5931" s="1005"/>
      <c r="CO5931" s="1005"/>
      <c r="CP5931" s="1005"/>
    </row>
    <row r="5932">
      <c r="A5932" s="1257"/>
      <c r="B5932" s="1113"/>
      <c r="C5932" s="1107"/>
      <c r="D5932" s="103"/>
      <c r="E5932" s="1137"/>
      <c r="F5932" s="112"/>
      <c r="G5932" s="1110"/>
      <c r="H5932" s="1138"/>
      <c r="I5932" s="1138"/>
      <c r="J5932" s="1139"/>
      <c r="K5932" s="1111"/>
      <c r="L5932" s="1112"/>
      <c r="M5932" s="1113"/>
      <c r="N5932" s="110"/>
      <c r="O5932" s="1140"/>
      <c r="P5932" s="1115"/>
      <c r="Q5932" s="1116"/>
      <c r="R5932" s="1141"/>
      <c r="S5932" s="1113"/>
      <c r="T5932" s="1143"/>
      <c r="U5932" s="1108"/>
      <c r="V5932" s="1108"/>
      <c r="W5932" s="1108"/>
      <c r="X5932" s="1108"/>
      <c r="Y5932" s="1108"/>
      <c r="Z5932" s="1114"/>
      <c r="AA5932" s="1114"/>
      <c r="AB5932" s="1114"/>
      <c r="AC5932" s="1117"/>
      <c r="AD5932" s="1115"/>
      <c r="AE5932" s="1115"/>
      <c r="AF5932" s="1115"/>
      <c r="AG5932" s="1115"/>
      <c r="AH5932" s="1115"/>
      <c r="AI5932" s="1115"/>
      <c r="AJ5932" s="1117"/>
      <c r="AK5932" s="1118"/>
      <c r="AL5932" s="1115"/>
      <c r="AM5932" s="1115"/>
      <c r="AN5932" s="1115"/>
      <c r="AO5932" s="1115"/>
      <c r="AP5932" s="1115"/>
      <c r="AQ5932" s="1115"/>
      <c r="AR5932" s="1115"/>
      <c r="AS5932" s="1117"/>
      <c r="AT5932" s="1075"/>
      <c r="AU5932" s="1193"/>
      <c r="AV5932" s="330"/>
      <c r="AW5932" s="331"/>
      <c r="AX5932" s="331"/>
      <c r="AY5932" s="331"/>
      <c r="AZ5932" s="331"/>
      <c r="BA5932" s="331"/>
      <c r="BB5932" s="331"/>
      <c r="BC5932" s="331"/>
      <c r="BD5932" s="331"/>
      <c r="BE5932" s="333"/>
      <c r="BF5932" s="330"/>
      <c r="BG5932" s="333"/>
      <c r="BH5932" s="1119"/>
      <c r="BI5932" s="319"/>
      <c r="BJ5932" s="319"/>
      <c r="BK5932" s="319"/>
      <c r="BL5932" s="319"/>
      <c r="BM5932" s="319"/>
      <c r="BN5932" s="319"/>
      <c r="BO5932" s="319"/>
      <c r="BP5932" s="953"/>
      <c r="BQ5932" s="319"/>
      <c r="BR5932" s="319"/>
      <c r="BS5932" s="330"/>
      <c r="BT5932" s="331"/>
      <c r="BU5932" s="920"/>
      <c r="BV5932" s="903"/>
      <c r="BW5932" s="908"/>
      <c r="BX5932" s="908"/>
      <c r="BY5932" s="331"/>
      <c r="BZ5932" s="331"/>
      <c r="CA5932" s="462"/>
      <c r="CB5932" s="319"/>
      <c r="CC5932" s="319"/>
      <c r="CD5932" s="319"/>
      <c r="CE5932" s="319"/>
      <c r="CF5932" s="319"/>
      <c r="CG5932" s="319"/>
      <c r="CH5932" s="318"/>
      <c r="CI5932" s="319"/>
      <c r="CJ5932" s="319"/>
      <c r="CK5932" s="342"/>
      <c r="CL5932" s="333"/>
      <c r="CM5932" s="1079"/>
      <c r="CN5932" s="1005"/>
      <c r="CO5932" s="1005"/>
      <c r="CP5932" s="1005"/>
    </row>
    <row r="5933">
      <c r="A5933" s="1257"/>
      <c r="B5933" s="1113"/>
      <c r="C5933" s="1107"/>
      <c r="D5933" s="103"/>
      <c r="E5933" s="1137"/>
      <c r="F5933" s="112"/>
      <c r="G5933" s="1110"/>
      <c r="H5933" s="1138"/>
      <c r="I5933" s="1138"/>
      <c r="J5933" s="1139"/>
      <c r="K5933" s="1111"/>
      <c r="L5933" s="1112"/>
      <c r="M5933" s="1113"/>
      <c r="N5933" s="110"/>
      <c r="O5933" s="1140"/>
      <c r="P5933" s="1115"/>
      <c r="Q5933" s="1116"/>
      <c r="R5933" s="1141"/>
      <c r="S5933" s="1113"/>
      <c r="T5933" s="1143"/>
      <c r="U5933" s="1108"/>
      <c r="V5933" s="1108"/>
      <c r="W5933" s="1108"/>
      <c r="X5933" s="1108"/>
      <c r="Y5933" s="1108"/>
      <c r="Z5933" s="1114"/>
      <c r="AA5933" s="1114"/>
      <c r="AB5933" s="1114"/>
      <c r="AC5933" s="1117"/>
      <c r="AD5933" s="1115"/>
      <c r="AE5933" s="1115"/>
      <c r="AF5933" s="1115"/>
      <c r="AG5933" s="1115"/>
      <c r="AH5933" s="1115"/>
      <c r="AI5933" s="1115"/>
      <c r="AJ5933" s="1117"/>
      <c r="AK5933" s="1118"/>
      <c r="AL5933" s="1115"/>
      <c r="AM5933" s="1115"/>
      <c r="AN5933" s="1115"/>
      <c r="AO5933" s="1115"/>
      <c r="AP5933" s="1115"/>
      <c r="AQ5933" s="1115"/>
      <c r="AR5933" s="1115"/>
      <c r="AS5933" s="1117"/>
      <c r="AT5933" s="1075"/>
      <c r="AU5933" s="1193"/>
      <c r="AV5933" s="330"/>
      <c r="AW5933" s="331"/>
      <c r="AX5933" s="331"/>
      <c r="AY5933" s="331"/>
      <c r="AZ5933" s="331"/>
      <c r="BA5933" s="331"/>
      <c r="BB5933" s="331"/>
      <c r="BC5933" s="331"/>
      <c r="BD5933" s="331"/>
      <c r="BE5933" s="333"/>
      <c r="BF5933" s="330"/>
      <c r="BG5933" s="333"/>
      <c r="BH5933" s="1119"/>
      <c r="BI5933" s="319"/>
      <c r="BJ5933" s="319"/>
      <c r="BK5933" s="319"/>
      <c r="BL5933" s="319"/>
      <c r="BM5933" s="319"/>
      <c r="BN5933" s="319"/>
      <c r="BO5933" s="319"/>
      <c r="BP5933" s="953"/>
      <c r="BQ5933" s="319"/>
      <c r="BR5933" s="319"/>
      <c r="BS5933" s="330"/>
      <c r="BT5933" s="331"/>
      <c r="BU5933" s="920"/>
      <c r="BV5933" s="903"/>
      <c r="BW5933" s="908"/>
      <c r="BX5933" s="908"/>
      <c r="BY5933" s="331"/>
      <c r="BZ5933" s="331"/>
      <c r="CA5933" s="462"/>
      <c r="CB5933" s="319"/>
      <c r="CC5933" s="319"/>
      <c r="CD5933" s="319"/>
      <c r="CE5933" s="319"/>
      <c r="CF5933" s="319"/>
      <c r="CG5933" s="319"/>
      <c r="CH5933" s="318"/>
      <c r="CI5933" s="319"/>
      <c r="CJ5933" s="319"/>
      <c r="CK5933" s="342"/>
      <c r="CL5933" s="333"/>
      <c r="CM5933" s="1079"/>
      <c r="CN5933" s="1005"/>
      <c r="CO5933" s="1005"/>
      <c r="CP5933" s="1005"/>
    </row>
    <row r="5934">
      <c r="A5934" s="1257"/>
      <c r="B5934" s="1113"/>
      <c r="C5934" s="1107"/>
      <c r="D5934" s="103"/>
      <c r="E5934" s="1137"/>
      <c r="F5934" s="112"/>
      <c r="G5934" s="1110"/>
      <c r="H5934" s="1138"/>
      <c r="I5934" s="1138"/>
      <c r="J5934" s="1139"/>
      <c r="K5934" s="1111"/>
      <c r="L5934" s="1112"/>
      <c r="M5934" s="1113"/>
      <c r="N5934" s="110"/>
      <c r="O5934" s="1140"/>
      <c r="P5934" s="1115"/>
      <c r="Q5934" s="1116"/>
      <c r="R5934" s="1141"/>
      <c r="S5934" s="1113"/>
      <c r="T5934" s="1143"/>
      <c r="U5934" s="1108"/>
      <c r="V5934" s="1108"/>
      <c r="W5934" s="1108"/>
      <c r="X5934" s="1108"/>
      <c r="Y5934" s="1108"/>
      <c r="Z5934" s="1114"/>
      <c r="AA5934" s="1114"/>
      <c r="AB5934" s="1114"/>
      <c r="AC5934" s="1117"/>
      <c r="AD5934" s="1115"/>
      <c r="AE5934" s="1115"/>
      <c r="AF5934" s="1115"/>
      <c r="AG5934" s="1115"/>
      <c r="AH5934" s="1115"/>
      <c r="AI5934" s="1115"/>
      <c r="AJ5934" s="1117"/>
      <c r="AK5934" s="1118"/>
      <c r="AL5934" s="1115"/>
      <c r="AM5934" s="1115"/>
      <c r="AN5934" s="1115"/>
      <c r="AO5934" s="1115"/>
      <c r="AP5934" s="1115"/>
      <c r="AQ5934" s="1115"/>
      <c r="AR5934" s="1115"/>
      <c r="AS5934" s="1117"/>
      <c r="AT5934" s="1075"/>
      <c r="AU5934" s="1193"/>
      <c r="AV5934" s="330"/>
      <c r="AW5934" s="331"/>
      <c r="AX5934" s="331"/>
      <c r="AY5934" s="331"/>
      <c r="AZ5934" s="331"/>
      <c r="BA5934" s="331"/>
      <c r="BB5934" s="331"/>
      <c r="BC5934" s="331"/>
      <c r="BD5934" s="331"/>
      <c r="BE5934" s="333"/>
      <c r="BF5934" s="330"/>
      <c r="BG5934" s="333"/>
      <c r="BH5934" s="1119"/>
      <c r="BI5934" s="319"/>
      <c r="BJ5934" s="319"/>
      <c r="BK5934" s="319"/>
      <c r="BL5934" s="319"/>
      <c r="BM5934" s="319"/>
      <c r="BN5934" s="319"/>
      <c r="BO5934" s="319"/>
      <c r="BP5934" s="953"/>
      <c r="BQ5934" s="319"/>
      <c r="BR5934" s="319"/>
      <c r="BS5934" s="330"/>
      <c r="BT5934" s="331"/>
      <c r="BU5934" s="920"/>
      <c r="BV5934" s="903"/>
      <c r="BW5934" s="908"/>
      <c r="BX5934" s="908"/>
      <c r="BY5934" s="331"/>
      <c r="BZ5934" s="331"/>
      <c r="CA5934" s="462"/>
      <c r="CB5934" s="319"/>
      <c r="CC5934" s="319"/>
      <c r="CD5934" s="319"/>
      <c r="CE5934" s="319"/>
      <c r="CF5934" s="319"/>
      <c r="CG5934" s="319"/>
      <c r="CH5934" s="318"/>
      <c r="CI5934" s="319"/>
      <c r="CJ5934" s="319"/>
      <c r="CK5934" s="342"/>
      <c r="CL5934" s="333"/>
      <c r="CM5934" s="1079"/>
      <c r="CN5934" s="1005"/>
      <c r="CO5934" s="1005"/>
      <c r="CP5934" s="1005"/>
    </row>
    <row r="5935">
      <c r="A5935" s="1257"/>
      <c r="B5935" s="1113"/>
      <c r="C5935" s="1107"/>
      <c r="D5935" s="103"/>
      <c r="E5935" s="1137"/>
      <c r="F5935" s="112"/>
      <c r="G5935" s="1110"/>
      <c r="H5935" s="1138"/>
      <c r="I5935" s="1138"/>
      <c r="J5935" s="1139"/>
      <c r="K5935" s="1111"/>
      <c r="L5935" s="1112"/>
      <c r="M5935" s="1113"/>
      <c r="N5935" s="110"/>
      <c r="O5935" s="1140"/>
      <c r="P5935" s="1115"/>
      <c r="Q5935" s="1116"/>
      <c r="R5935" s="1141"/>
      <c r="S5935" s="1113"/>
      <c r="T5935" s="1143"/>
      <c r="U5935" s="1108"/>
      <c r="V5935" s="1108"/>
      <c r="W5935" s="1108"/>
      <c r="X5935" s="1108"/>
      <c r="Y5935" s="1108"/>
      <c r="Z5935" s="1114"/>
      <c r="AA5935" s="1114"/>
      <c r="AB5935" s="1114"/>
      <c r="AC5935" s="1117"/>
      <c r="AD5935" s="1115"/>
      <c r="AE5935" s="1115"/>
      <c r="AF5935" s="1115"/>
      <c r="AG5935" s="1115"/>
      <c r="AH5935" s="1115"/>
      <c r="AI5935" s="1115"/>
      <c r="AJ5935" s="1117"/>
      <c r="AK5935" s="1118"/>
      <c r="AL5935" s="1115"/>
      <c r="AM5935" s="1115"/>
      <c r="AN5935" s="1115"/>
      <c r="AO5935" s="1115"/>
      <c r="AP5935" s="1115"/>
      <c r="AQ5935" s="1115"/>
      <c r="AR5935" s="1115"/>
      <c r="AS5935" s="1117"/>
      <c r="AT5935" s="1075"/>
      <c r="AU5935" s="1193"/>
      <c r="AV5935" s="330"/>
      <c r="AW5935" s="331"/>
      <c r="AX5935" s="331"/>
      <c r="AY5935" s="331"/>
      <c r="AZ5935" s="331"/>
      <c r="BA5935" s="331"/>
      <c r="BB5935" s="331"/>
      <c r="BC5935" s="331"/>
      <c r="BD5935" s="331"/>
      <c r="BE5935" s="333"/>
      <c r="BF5935" s="330"/>
      <c r="BG5935" s="333"/>
      <c r="BH5935" s="1119"/>
      <c r="BI5935" s="319"/>
      <c r="BJ5935" s="319"/>
      <c r="BK5935" s="319"/>
      <c r="BL5935" s="319"/>
      <c r="BM5935" s="319"/>
      <c r="BN5935" s="319"/>
      <c r="BO5935" s="319"/>
      <c r="BP5935" s="953"/>
      <c r="BQ5935" s="319"/>
      <c r="BR5935" s="319"/>
      <c r="BS5935" s="330"/>
      <c r="BT5935" s="331"/>
      <c r="BU5935" s="920"/>
      <c r="BV5935" s="903"/>
      <c r="BW5935" s="908"/>
      <c r="BX5935" s="908"/>
      <c r="BY5935" s="331"/>
      <c r="BZ5935" s="331"/>
      <c r="CA5935" s="462"/>
      <c r="CB5935" s="319"/>
      <c r="CC5935" s="319"/>
      <c r="CD5935" s="319"/>
      <c r="CE5935" s="319"/>
      <c r="CF5935" s="319"/>
      <c r="CG5935" s="319"/>
      <c r="CH5935" s="318"/>
      <c r="CI5935" s="319"/>
      <c r="CJ5935" s="319"/>
      <c r="CK5935" s="342"/>
      <c r="CL5935" s="333"/>
      <c r="CM5935" s="1079"/>
      <c r="CN5935" s="1005"/>
      <c r="CO5935" s="1005"/>
      <c r="CP5935" s="1005"/>
    </row>
    <row r="5936">
      <c r="A5936" s="1257"/>
      <c r="B5936" s="1113"/>
      <c r="C5936" s="1107"/>
      <c r="D5936" s="103"/>
      <c r="E5936" s="1137"/>
      <c r="F5936" s="112"/>
      <c r="G5936" s="1110"/>
      <c r="H5936" s="1138"/>
      <c r="I5936" s="1138"/>
      <c r="J5936" s="1139"/>
      <c r="K5936" s="1111"/>
      <c r="L5936" s="1112"/>
      <c r="M5936" s="1113"/>
      <c r="N5936" s="110"/>
      <c r="O5936" s="1140"/>
      <c r="P5936" s="1115"/>
      <c r="Q5936" s="1116"/>
      <c r="R5936" s="1141"/>
      <c r="S5936" s="1113"/>
      <c r="T5936" s="1143"/>
      <c r="U5936" s="1108"/>
      <c r="V5936" s="1108"/>
      <c r="W5936" s="1108"/>
      <c r="X5936" s="1108"/>
      <c r="Y5936" s="1108"/>
      <c r="Z5936" s="1114"/>
      <c r="AA5936" s="1114"/>
      <c r="AB5936" s="1114"/>
      <c r="AC5936" s="1117"/>
      <c r="AD5936" s="1115"/>
      <c r="AE5936" s="1115"/>
      <c r="AF5936" s="1115"/>
      <c r="AG5936" s="1115"/>
      <c r="AH5936" s="1115"/>
      <c r="AI5936" s="1115"/>
      <c r="AJ5936" s="1117"/>
      <c r="AK5936" s="1118"/>
      <c r="AL5936" s="1115"/>
      <c r="AM5936" s="1115"/>
      <c r="AN5936" s="1115"/>
      <c r="AO5936" s="1115"/>
      <c r="AP5936" s="1115"/>
      <c r="AQ5936" s="1115"/>
      <c r="AR5936" s="1115"/>
      <c r="AS5936" s="1117"/>
      <c r="AT5936" s="1075"/>
      <c r="AU5936" s="1193"/>
      <c r="AV5936" s="330"/>
      <c r="AW5936" s="331"/>
      <c r="AX5936" s="331"/>
      <c r="AY5936" s="331"/>
      <c r="AZ5936" s="331"/>
      <c r="BA5936" s="331"/>
      <c r="BB5936" s="331"/>
      <c r="BC5936" s="331"/>
      <c r="BD5936" s="331"/>
      <c r="BE5936" s="333"/>
      <c r="BF5936" s="330"/>
      <c r="BG5936" s="333"/>
      <c r="BH5936" s="1119"/>
      <c r="BI5936" s="319"/>
      <c r="BJ5936" s="319"/>
      <c r="BK5936" s="319"/>
      <c r="BL5936" s="319"/>
      <c r="BM5936" s="319"/>
      <c r="BN5936" s="319"/>
      <c r="BO5936" s="319"/>
      <c r="BP5936" s="953"/>
      <c r="BQ5936" s="319"/>
      <c r="BR5936" s="319"/>
      <c r="BS5936" s="330"/>
      <c r="BT5936" s="331"/>
      <c r="BU5936" s="920"/>
      <c r="BV5936" s="903"/>
      <c r="BW5936" s="908"/>
      <c r="BX5936" s="908"/>
      <c r="BY5936" s="331"/>
      <c r="BZ5936" s="331"/>
      <c r="CA5936" s="462"/>
      <c r="CB5936" s="319"/>
      <c r="CC5936" s="319"/>
      <c r="CD5936" s="319"/>
      <c r="CE5936" s="319"/>
      <c r="CF5936" s="319"/>
      <c r="CG5936" s="319"/>
      <c r="CH5936" s="318"/>
      <c r="CI5936" s="319"/>
      <c r="CJ5936" s="319"/>
      <c r="CK5936" s="342"/>
      <c r="CL5936" s="333"/>
      <c r="CM5936" s="1079"/>
      <c r="CN5936" s="1005"/>
      <c r="CO5936" s="1005"/>
      <c r="CP5936" s="1005"/>
    </row>
    <row r="5937">
      <c r="A5937" s="1257"/>
      <c r="B5937" s="1113"/>
      <c r="C5937" s="1107"/>
      <c r="D5937" s="103"/>
      <c r="E5937" s="1137"/>
      <c r="F5937" s="112"/>
      <c r="G5937" s="1110"/>
      <c r="H5937" s="1138"/>
      <c r="I5937" s="1138"/>
      <c r="J5937" s="1139"/>
      <c r="K5937" s="1111"/>
      <c r="L5937" s="1112"/>
      <c r="M5937" s="1113"/>
      <c r="N5937" s="110"/>
      <c r="O5937" s="1140"/>
      <c r="P5937" s="1115"/>
      <c r="Q5937" s="1116"/>
      <c r="R5937" s="1141"/>
      <c r="S5937" s="1113"/>
      <c r="T5937" s="1143"/>
      <c r="U5937" s="1108"/>
      <c r="V5937" s="1108"/>
      <c r="W5937" s="1108"/>
      <c r="X5937" s="1108"/>
      <c r="Y5937" s="1108"/>
      <c r="Z5937" s="1114"/>
      <c r="AA5937" s="1114"/>
      <c r="AB5937" s="1114"/>
      <c r="AC5937" s="1117"/>
      <c r="AD5937" s="1115"/>
      <c r="AE5937" s="1115"/>
      <c r="AF5937" s="1115"/>
      <c r="AG5937" s="1115"/>
      <c r="AH5937" s="1115"/>
      <c r="AI5937" s="1115"/>
      <c r="AJ5937" s="1117"/>
      <c r="AK5937" s="1118"/>
      <c r="AL5937" s="1115"/>
      <c r="AM5937" s="1115"/>
      <c r="AN5937" s="1115"/>
      <c r="AO5937" s="1115"/>
      <c r="AP5937" s="1115"/>
      <c r="AQ5937" s="1115"/>
      <c r="AR5937" s="1115"/>
      <c r="AS5937" s="1117"/>
      <c r="AT5937" s="1075"/>
      <c r="AU5937" s="1193"/>
      <c r="AV5937" s="330"/>
      <c r="AW5937" s="331"/>
      <c r="AX5937" s="331"/>
      <c r="AY5937" s="331"/>
      <c r="AZ5937" s="331"/>
      <c r="BA5937" s="331"/>
      <c r="BB5937" s="331"/>
      <c r="BC5937" s="331"/>
      <c r="BD5937" s="331"/>
      <c r="BE5937" s="333"/>
      <c r="BF5937" s="330"/>
      <c r="BG5937" s="333"/>
      <c r="BH5937" s="1119"/>
      <c r="BI5937" s="319"/>
      <c r="BJ5937" s="319"/>
      <c r="BK5937" s="319"/>
      <c r="BL5937" s="319"/>
      <c r="BM5937" s="319"/>
      <c r="BN5937" s="319"/>
      <c r="BO5937" s="319"/>
      <c r="BP5937" s="953"/>
      <c r="BQ5937" s="319"/>
      <c r="BR5937" s="319"/>
      <c r="BS5937" s="330"/>
      <c r="BT5937" s="331"/>
      <c r="BU5937" s="920"/>
      <c r="BV5937" s="903"/>
      <c r="BW5937" s="908"/>
      <c r="BX5937" s="908"/>
      <c r="BY5937" s="331"/>
      <c r="BZ5937" s="331"/>
      <c r="CA5937" s="462"/>
      <c r="CB5937" s="319"/>
      <c r="CC5937" s="319"/>
      <c r="CD5937" s="319"/>
      <c r="CE5937" s="319"/>
      <c r="CF5937" s="319"/>
      <c r="CG5937" s="319"/>
      <c r="CH5937" s="318"/>
      <c r="CI5937" s="319"/>
      <c r="CJ5937" s="319"/>
      <c r="CK5937" s="342"/>
      <c r="CL5937" s="333"/>
      <c r="CM5937" s="1079"/>
      <c r="CN5937" s="1005"/>
      <c r="CO5937" s="1005"/>
      <c r="CP5937" s="1005"/>
    </row>
    <row r="5938">
      <c r="A5938" s="1257"/>
      <c r="B5938" s="1113"/>
      <c r="C5938" s="1107"/>
      <c r="D5938" s="103"/>
      <c r="E5938" s="1137"/>
      <c r="F5938" s="112"/>
      <c r="G5938" s="1110"/>
      <c r="H5938" s="1138"/>
      <c r="I5938" s="1138"/>
      <c r="J5938" s="1139"/>
      <c r="K5938" s="1111"/>
      <c r="L5938" s="1112"/>
      <c r="M5938" s="1113"/>
      <c r="N5938" s="110"/>
      <c r="O5938" s="1140"/>
      <c r="P5938" s="1115"/>
      <c r="Q5938" s="1116"/>
      <c r="R5938" s="1141"/>
      <c r="S5938" s="1113"/>
      <c r="T5938" s="1143"/>
      <c r="U5938" s="1108"/>
      <c r="V5938" s="1108"/>
      <c r="W5938" s="1108"/>
      <c r="X5938" s="1108"/>
      <c r="Y5938" s="1108"/>
      <c r="Z5938" s="1114"/>
      <c r="AA5938" s="1114"/>
      <c r="AB5938" s="1114"/>
      <c r="AC5938" s="1117"/>
      <c r="AD5938" s="1115"/>
      <c r="AE5938" s="1115"/>
      <c r="AF5938" s="1115"/>
      <c r="AG5938" s="1115"/>
      <c r="AH5938" s="1115"/>
      <c r="AI5938" s="1115"/>
      <c r="AJ5938" s="1117"/>
      <c r="AK5938" s="1118"/>
      <c r="AL5938" s="1115"/>
      <c r="AM5938" s="1115"/>
      <c r="AN5938" s="1115"/>
      <c r="AO5938" s="1115"/>
      <c r="AP5938" s="1115"/>
      <c r="AQ5938" s="1115"/>
      <c r="AR5938" s="1115"/>
      <c r="AS5938" s="1117"/>
      <c r="AT5938" s="1075"/>
      <c r="AU5938" s="1193"/>
      <c r="AV5938" s="330"/>
      <c r="AW5938" s="331"/>
      <c r="AX5938" s="331"/>
      <c r="AY5938" s="331"/>
      <c r="AZ5938" s="331"/>
      <c r="BA5938" s="331"/>
      <c r="BB5938" s="331"/>
      <c r="BC5938" s="331"/>
      <c r="BD5938" s="331"/>
      <c r="BE5938" s="333"/>
      <c r="BF5938" s="330"/>
      <c r="BG5938" s="333"/>
      <c r="BH5938" s="1119"/>
      <c r="BI5938" s="319"/>
      <c r="BJ5938" s="319"/>
      <c r="BK5938" s="319"/>
      <c r="BL5938" s="319"/>
      <c r="BM5938" s="319"/>
      <c r="BN5938" s="319"/>
      <c r="BO5938" s="319"/>
      <c r="BP5938" s="953"/>
      <c r="BQ5938" s="319"/>
      <c r="BR5938" s="319"/>
      <c r="BS5938" s="330"/>
      <c r="BT5938" s="331"/>
      <c r="BU5938" s="920"/>
      <c r="BV5938" s="903"/>
      <c r="BW5938" s="908"/>
      <c r="BX5938" s="908"/>
      <c r="BY5938" s="331"/>
      <c r="BZ5938" s="331"/>
      <c r="CA5938" s="462"/>
      <c r="CB5938" s="319"/>
      <c r="CC5938" s="319"/>
      <c r="CD5938" s="319"/>
      <c r="CE5938" s="319"/>
      <c r="CF5938" s="319"/>
      <c r="CG5938" s="319"/>
      <c r="CH5938" s="318"/>
      <c r="CI5938" s="319"/>
      <c r="CJ5938" s="319"/>
      <c r="CK5938" s="342"/>
      <c r="CL5938" s="333"/>
      <c r="CM5938" s="1079"/>
      <c r="CN5938" s="1005"/>
      <c r="CO5938" s="1005"/>
      <c r="CP5938" s="1005"/>
    </row>
    <row r="5939">
      <c r="A5939" s="1257"/>
      <c r="B5939" s="1113"/>
      <c r="C5939" s="1107"/>
      <c r="D5939" s="103"/>
      <c r="E5939" s="1137"/>
      <c r="F5939" s="112"/>
      <c r="G5939" s="1110"/>
      <c r="H5939" s="1138"/>
      <c r="I5939" s="1138"/>
      <c r="J5939" s="1139"/>
      <c r="K5939" s="1111"/>
      <c r="L5939" s="1112"/>
      <c r="M5939" s="1113"/>
      <c r="N5939" s="110"/>
      <c r="O5939" s="1140"/>
      <c r="P5939" s="1115"/>
      <c r="Q5939" s="1116"/>
      <c r="R5939" s="1141"/>
      <c r="S5939" s="1113"/>
      <c r="T5939" s="1143"/>
      <c r="U5939" s="1108"/>
      <c r="V5939" s="1108"/>
      <c r="W5939" s="1108"/>
      <c r="X5939" s="1108"/>
      <c r="Y5939" s="1108"/>
      <c r="Z5939" s="1114"/>
      <c r="AA5939" s="1114"/>
      <c r="AB5939" s="1114"/>
      <c r="AC5939" s="1117"/>
      <c r="AD5939" s="1115"/>
      <c r="AE5939" s="1115"/>
      <c r="AF5939" s="1115"/>
      <c r="AG5939" s="1115"/>
      <c r="AH5939" s="1115"/>
      <c r="AI5939" s="1115"/>
      <c r="AJ5939" s="1117"/>
      <c r="AK5939" s="1118"/>
      <c r="AL5939" s="1115"/>
      <c r="AM5939" s="1115"/>
      <c r="AN5939" s="1115"/>
      <c r="AO5939" s="1115"/>
      <c r="AP5939" s="1115"/>
      <c r="AQ5939" s="1115"/>
      <c r="AR5939" s="1115"/>
      <c r="AS5939" s="1117"/>
      <c r="AT5939" s="1075"/>
      <c r="AU5939" s="1193"/>
      <c r="AV5939" s="330"/>
      <c r="AW5939" s="331"/>
      <c r="AX5939" s="331"/>
      <c r="AY5939" s="331"/>
      <c r="AZ5939" s="331"/>
      <c r="BA5939" s="331"/>
      <c r="BB5939" s="331"/>
      <c r="BC5939" s="331"/>
      <c r="BD5939" s="331"/>
      <c r="BE5939" s="333"/>
      <c r="BF5939" s="330"/>
      <c r="BG5939" s="333"/>
      <c r="BH5939" s="1119"/>
      <c r="BI5939" s="319"/>
      <c r="BJ5939" s="319"/>
      <c r="BK5939" s="319"/>
      <c r="BL5939" s="319"/>
      <c r="BM5939" s="319"/>
      <c r="BN5939" s="319"/>
      <c r="BO5939" s="319"/>
      <c r="BP5939" s="953"/>
      <c r="BQ5939" s="319"/>
      <c r="BR5939" s="319"/>
      <c r="BS5939" s="330"/>
      <c r="BT5939" s="331"/>
      <c r="BU5939" s="920"/>
      <c r="BV5939" s="903"/>
      <c r="BW5939" s="908"/>
      <c r="BX5939" s="908"/>
      <c r="BY5939" s="331"/>
      <c r="BZ5939" s="331"/>
      <c r="CA5939" s="462"/>
      <c r="CB5939" s="319"/>
      <c r="CC5939" s="319"/>
      <c r="CD5939" s="319"/>
      <c r="CE5939" s="319"/>
      <c r="CF5939" s="319"/>
      <c r="CG5939" s="319"/>
      <c r="CH5939" s="318"/>
      <c r="CI5939" s="319"/>
      <c r="CJ5939" s="319"/>
      <c r="CK5939" s="342"/>
      <c r="CL5939" s="333"/>
      <c r="CM5939" s="1079"/>
      <c r="CN5939" s="1005"/>
      <c r="CO5939" s="1005"/>
      <c r="CP5939" s="1005"/>
    </row>
    <row r="5940">
      <c r="A5940" s="1257"/>
      <c r="B5940" s="1113"/>
      <c r="C5940" s="1107"/>
      <c r="D5940" s="103"/>
      <c r="E5940" s="1137"/>
      <c r="F5940" s="112"/>
      <c r="G5940" s="1110"/>
      <c r="H5940" s="1138"/>
      <c r="I5940" s="1138"/>
      <c r="J5940" s="1139"/>
      <c r="K5940" s="1111"/>
      <c r="L5940" s="1112"/>
      <c r="M5940" s="1113"/>
      <c r="N5940" s="110"/>
      <c r="O5940" s="1140"/>
      <c r="P5940" s="1115"/>
      <c r="Q5940" s="1116"/>
      <c r="R5940" s="1141"/>
      <c r="S5940" s="1113"/>
      <c r="T5940" s="1143"/>
      <c r="U5940" s="1108"/>
      <c r="V5940" s="1108"/>
      <c r="W5940" s="1108"/>
      <c r="X5940" s="1108"/>
      <c r="Y5940" s="1108"/>
      <c r="Z5940" s="1114"/>
      <c r="AA5940" s="1114"/>
      <c r="AB5940" s="1114"/>
      <c r="AC5940" s="1117"/>
      <c r="AD5940" s="1115"/>
      <c r="AE5940" s="1115"/>
      <c r="AF5940" s="1115"/>
      <c r="AG5940" s="1115"/>
      <c r="AH5940" s="1115"/>
      <c r="AI5940" s="1115"/>
      <c r="AJ5940" s="1117"/>
      <c r="AK5940" s="1118"/>
      <c r="AL5940" s="1115"/>
      <c r="AM5940" s="1115"/>
      <c r="AN5940" s="1115"/>
      <c r="AO5940" s="1115"/>
      <c r="AP5940" s="1115"/>
      <c r="AQ5940" s="1115"/>
      <c r="AR5940" s="1115"/>
      <c r="AS5940" s="1117"/>
      <c r="AT5940" s="1075"/>
      <c r="AU5940" s="1193"/>
      <c r="AV5940" s="330"/>
      <c r="AW5940" s="331"/>
      <c r="AX5940" s="331"/>
      <c r="AY5940" s="331"/>
      <c r="AZ5940" s="331"/>
      <c r="BA5940" s="331"/>
      <c r="BB5940" s="331"/>
      <c r="BC5940" s="331"/>
      <c r="BD5940" s="331"/>
      <c r="BE5940" s="333"/>
      <c r="BF5940" s="330"/>
      <c r="BG5940" s="333"/>
      <c r="BH5940" s="1119"/>
      <c r="BI5940" s="319"/>
      <c r="BJ5940" s="319"/>
      <c r="BK5940" s="319"/>
      <c r="BL5940" s="319"/>
      <c r="BM5940" s="319"/>
      <c r="BN5940" s="319"/>
      <c r="BO5940" s="319"/>
      <c r="BP5940" s="953"/>
      <c r="BQ5940" s="319"/>
      <c r="BR5940" s="319"/>
      <c r="BS5940" s="330"/>
      <c r="BT5940" s="331"/>
      <c r="BU5940" s="920"/>
      <c r="BV5940" s="903"/>
      <c r="BW5940" s="908"/>
      <c r="BX5940" s="908"/>
      <c r="BY5940" s="331"/>
      <c r="BZ5940" s="331"/>
      <c r="CA5940" s="462"/>
      <c r="CB5940" s="319"/>
      <c r="CC5940" s="319"/>
      <c r="CD5940" s="319"/>
      <c r="CE5940" s="319"/>
      <c r="CF5940" s="319"/>
      <c r="CG5940" s="319"/>
      <c r="CH5940" s="318"/>
      <c r="CI5940" s="319"/>
      <c r="CJ5940" s="319"/>
      <c r="CK5940" s="342"/>
      <c r="CL5940" s="333"/>
      <c r="CM5940" s="1079"/>
      <c r="CN5940" s="1005"/>
      <c r="CO5940" s="1005"/>
      <c r="CP5940" s="1005"/>
    </row>
    <row r="5941">
      <c r="A5941" s="1257"/>
      <c r="B5941" s="1113"/>
      <c r="C5941" s="1107"/>
      <c r="D5941" s="103"/>
      <c r="E5941" s="1137"/>
      <c r="F5941" s="112"/>
      <c r="G5941" s="1110"/>
      <c r="H5941" s="1138"/>
      <c r="I5941" s="1138"/>
      <c r="J5941" s="1139"/>
      <c r="K5941" s="1111"/>
      <c r="L5941" s="1112"/>
      <c r="M5941" s="1113"/>
      <c r="N5941" s="110"/>
      <c r="O5941" s="1140"/>
      <c r="P5941" s="1115"/>
      <c r="Q5941" s="1116"/>
      <c r="R5941" s="1141"/>
      <c r="S5941" s="1113"/>
      <c r="T5941" s="1143"/>
      <c r="U5941" s="1108"/>
      <c r="V5941" s="1108"/>
      <c r="W5941" s="1108"/>
      <c r="X5941" s="1108"/>
      <c r="Y5941" s="1108"/>
      <c r="Z5941" s="1114"/>
      <c r="AA5941" s="1114"/>
      <c r="AB5941" s="1114"/>
      <c r="AC5941" s="1117"/>
      <c r="AD5941" s="1115"/>
      <c r="AE5941" s="1115"/>
      <c r="AF5941" s="1115"/>
      <c r="AG5941" s="1115"/>
      <c r="AH5941" s="1115"/>
      <c r="AI5941" s="1115"/>
      <c r="AJ5941" s="1117"/>
      <c r="AK5941" s="1118"/>
      <c r="AL5941" s="1115"/>
      <c r="AM5941" s="1115"/>
      <c r="AN5941" s="1115"/>
      <c r="AO5941" s="1115"/>
      <c r="AP5941" s="1115"/>
      <c r="AQ5941" s="1115"/>
      <c r="AR5941" s="1115"/>
      <c r="AS5941" s="1117"/>
      <c r="AT5941" s="1075"/>
      <c r="AU5941" s="1193"/>
      <c r="AV5941" s="330"/>
      <c r="AW5941" s="331"/>
      <c r="AX5941" s="331"/>
      <c r="AY5941" s="331"/>
      <c r="AZ5941" s="331"/>
      <c r="BA5941" s="331"/>
      <c r="BB5941" s="331"/>
      <c r="BC5941" s="331"/>
      <c r="BD5941" s="331"/>
      <c r="BE5941" s="333"/>
      <c r="BF5941" s="330"/>
      <c r="BG5941" s="333"/>
      <c r="BH5941" s="1119"/>
      <c r="BI5941" s="319"/>
      <c r="BJ5941" s="319"/>
      <c r="BK5941" s="319"/>
      <c r="BL5941" s="319"/>
      <c r="BM5941" s="319"/>
      <c r="BN5941" s="319"/>
      <c r="BO5941" s="319"/>
      <c r="BP5941" s="953"/>
      <c r="BQ5941" s="319"/>
      <c r="BR5941" s="319"/>
      <c r="BS5941" s="330"/>
      <c r="BT5941" s="331"/>
      <c r="BU5941" s="920"/>
      <c r="BV5941" s="903"/>
      <c r="BW5941" s="908"/>
      <c r="BX5941" s="908"/>
      <c r="BY5941" s="331"/>
      <c r="BZ5941" s="331"/>
      <c r="CA5941" s="462"/>
      <c r="CB5941" s="319"/>
      <c r="CC5941" s="319"/>
      <c r="CD5941" s="319"/>
      <c r="CE5941" s="319"/>
      <c r="CF5941" s="319"/>
      <c r="CG5941" s="319"/>
      <c r="CH5941" s="318"/>
      <c r="CI5941" s="319"/>
      <c r="CJ5941" s="319"/>
      <c r="CK5941" s="342"/>
      <c r="CL5941" s="333"/>
      <c r="CM5941" s="1079"/>
      <c r="CN5941" s="1005"/>
      <c r="CO5941" s="1005"/>
      <c r="CP5941" s="1005"/>
    </row>
    <row r="5942">
      <c r="A5942" s="1257"/>
      <c r="B5942" s="1113"/>
      <c r="C5942" s="1107"/>
      <c r="D5942" s="103"/>
      <c r="E5942" s="1137"/>
      <c r="F5942" s="112"/>
      <c r="G5942" s="1110"/>
      <c r="H5942" s="1138"/>
      <c r="I5942" s="1138"/>
      <c r="J5942" s="1139"/>
      <c r="K5942" s="1111"/>
      <c r="L5942" s="1112"/>
      <c r="M5942" s="1113"/>
      <c r="N5942" s="110"/>
      <c r="O5942" s="1140"/>
      <c r="P5942" s="1115"/>
      <c r="Q5942" s="1116"/>
      <c r="R5942" s="1141"/>
      <c r="S5942" s="1113"/>
      <c r="T5942" s="1143"/>
      <c r="U5942" s="1108"/>
      <c r="V5942" s="1108"/>
      <c r="W5942" s="1108"/>
      <c r="X5942" s="1108"/>
      <c r="Y5942" s="1108"/>
      <c r="Z5942" s="1114"/>
      <c r="AA5942" s="1114"/>
      <c r="AB5942" s="1114"/>
      <c r="AC5942" s="1117"/>
      <c r="AD5942" s="1115"/>
      <c r="AE5942" s="1115"/>
      <c r="AF5942" s="1115"/>
      <c r="AG5942" s="1115"/>
      <c r="AH5942" s="1115"/>
      <c r="AI5942" s="1115"/>
      <c r="AJ5942" s="1117"/>
      <c r="AK5942" s="1118"/>
      <c r="AL5942" s="1115"/>
      <c r="AM5942" s="1115"/>
      <c r="AN5942" s="1115"/>
      <c r="AO5942" s="1115"/>
      <c r="AP5942" s="1115"/>
      <c r="AQ5942" s="1115"/>
      <c r="AR5942" s="1115"/>
      <c r="AS5942" s="1117"/>
      <c r="AT5942" s="1075"/>
      <c r="AU5942" s="1193"/>
      <c r="AV5942" s="330"/>
      <c r="AW5942" s="331"/>
      <c r="AX5942" s="331"/>
      <c r="AY5942" s="331"/>
      <c r="AZ5942" s="331"/>
      <c r="BA5942" s="331"/>
      <c r="BB5942" s="331"/>
      <c r="BC5942" s="331"/>
      <c r="BD5942" s="331"/>
      <c r="BE5942" s="333"/>
      <c r="BF5942" s="330"/>
      <c r="BG5942" s="333"/>
      <c r="BH5942" s="1119"/>
      <c r="BI5942" s="319"/>
      <c r="BJ5942" s="319"/>
      <c r="BK5942" s="319"/>
      <c r="BL5942" s="319"/>
      <c r="BM5942" s="319"/>
      <c r="BN5942" s="319"/>
      <c r="BO5942" s="319"/>
      <c r="BP5942" s="953"/>
      <c r="BQ5942" s="319"/>
      <c r="BR5942" s="319"/>
      <c r="BS5942" s="330"/>
      <c r="BT5942" s="331"/>
      <c r="BU5942" s="920"/>
      <c r="BV5942" s="903"/>
      <c r="BW5942" s="908"/>
      <c r="BX5942" s="908"/>
      <c r="BY5942" s="331"/>
      <c r="BZ5942" s="331"/>
      <c r="CA5942" s="462"/>
      <c r="CB5942" s="319"/>
      <c r="CC5942" s="319"/>
      <c r="CD5942" s="319"/>
      <c r="CE5942" s="319"/>
      <c r="CF5942" s="319"/>
      <c r="CG5942" s="319"/>
      <c r="CH5942" s="318"/>
      <c r="CI5942" s="319"/>
      <c r="CJ5942" s="319"/>
      <c r="CK5942" s="342"/>
      <c r="CL5942" s="333"/>
      <c r="CM5942" s="1079"/>
      <c r="CN5942" s="1005"/>
      <c r="CO5942" s="1005"/>
      <c r="CP5942" s="1005"/>
    </row>
    <row r="5943">
      <c r="A5943" s="1257"/>
      <c r="B5943" s="1113"/>
      <c r="C5943" s="1107"/>
      <c r="D5943" s="103"/>
      <c r="E5943" s="1137"/>
      <c r="F5943" s="112"/>
      <c r="G5943" s="1110"/>
      <c r="H5943" s="1138"/>
      <c r="I5943" s="1138"/>
      <c r="J5943" s="1139"/>
      <c r="K5943" s="1111"/>
      <c r="L5943" s="1112"/>
      <c r="M5943" s="1113"/>
      <c r="N5943" s="110"/>
      <c r="O5943" s="1140"/>
      <c r="P5943" s="1115"/>
      <c r="Q5943" s="1116"/>
      <c r="R5943" s="1141"/>
      <c r="S5943" s="1113"/>
      <c r="T5943" s="1143"/>
      <c r="U5943" s="1108"/>
      <c r="V5943" s="1108"/>
      <c r="W5943" s="1108"/>
      <c r="X5943" s="1108"/>
      <c r="Y5943" s="1108"/>
      <c r="Z5943" s="1114"/>
      <c r="AA5943" s="1114"/>
      <c r="AB5943" s="1114"/>
      <c r="AC5943" s="1117"/>
      <c r="AD5943" s="1115"/>
      <c r="AE5943" s="1115"/>
      <c r="AF5943" s="1115"/>
      <c r="AG5943" s="1115"/>
      <c r="AH5943" s="1115"/>
      <c r="AI5943" s="1115"/>
      <c r="AJ5943" s="1117"/>
      <c r="AK5943" s="1118"/>
      <c r="AL5943" s="1115"/>
      <c r="AM5943" s="1115"/>
      <c r="AN5943" s="1115"/>
      <c r="AO5943" s="1115"/>
      <c r="AP5943" s="1115"/>
      <c r="AQ5943" s="1115"/>
      <c r="AR5943" s="1115"/>
      <c r="AS5943" s="1117"/>
      <c r="AT5943" s="1075"/>
      <c r="AU5943" s="1193"/>
      <c r="AV5943" s="330"/>
      <c r="AW5943" s="331"/>
      <c r="AX5943" s="331"/>
      <c r="AY5943" s="331"/>
      <c r="AZ5943" s="331"/>
      <c r="BA5943" s="331"/>
      <c r="BB5943" s="331"/>
      <c r="BC5943" s="331"/>
      <c r="BD5943" s="331"/>
      <c r="BE5943" s="333"/>
      <c r="BF5943" s="330"/>
      <c r="BG5943" s="333"/>
      <c r="BH5943" s="1119"/>
      <c r="BI5943" s="319"/>
      <c r="BJ5943" s="319"/>
      <c r="BK5943" s="319"/>
      <c r="BL5943" s="319"/>
      <c r="BM5943" s="319"/>
      <c r="BN5943" s="319"/>
      <c r="BO5943" s="319"/>
      <c r="BP5943" s="953"/>
      <c r="BQ5943" s="319"/>
      <c r="BR5943" s="319"/>
      <c r="BS5943" s="330"/>
      <c r="BT5943" s="331"/>
      <c r="BU5943" s="920"/>
      <c r="BV5943" s="903"/>
      <c r="BW5943" s="908"/>
      <c r="BX5943" s="908"/>
      <c r="BY5943" s="331"/>
      <c r="BZ5943" s="331"/>
      <c r="CA5943" s="462"/>
      <c r="CB5943" s="319"/>
      <c r="CC5943" s="319"/>
      <c r="CD5943" s="319"/>
      <c r="CE5943" s="319"/>
      <c r="CF5943" s="319"/>
      <c r="CG5943" s="319"/>
      <c r="CH5943" s="318"/>
      <c r="CI5943" s="319"/>
      <c r="CJ5943" s="319"/>
      <c r="CK5943" s="342"/>
      <c r="CL5943" s="333"/>
      <c r="CM5943" s="1079"/>
      <c r="CN5943" s="1005"/>
      <c r="CO5943" s="1005"/>
      <c r="CP5943" s="1005"/>
    </row>
    <row r="5944">
      <c r="A5944" s="1257"/>
      <c r="B5944" s="1113"/>
      <c r="C5944" s="1107"/>
      <c r="D5944" s="103"/>
      <c r="E5944" s="1137"/>
      <c r="F5944" s="112"/>
      <c r="G5944" s="1110"/>
      <c r="H5944" s="1138"/>
      <c r="I5944" s="1138"/>
      <c r="J5944" s="1139"/>
      <c r="K5944" s="1111"/>
      <c r="L5944" s="1112"/>
      <c r="M5944" s="1113"/>
      <c r="N5944" s="110"/>
      <c r="O5944" s="1140"/>
      <c r="P5944" s="1115"/>
      <c r="Q5944" s="1116"/>
      <c r="R5944" s="1141"/>
      <c r="S5944" s="1113"/>
      <c r="T5944" s="1143"/>
      <c r="U5944" s="1108"/>
      <c r="V5944" s="1108"/>
      <c r="W5944" s="1108"/>
      <c r="X5944" s="1108"/>
      <c r="Y5944" s="1108"/>
      <c r="Z5944" s="1114"/>
      <c r="AA5944" s="1114"/>
      <c r="AB5944" s="1114"/>
      <c r="AC5944" s="1117"/>
      <c r="AD5944" s="1115"/>
      <c r="AE5944" s="1115"/>
      <c r="AF5944" s="1115"/>
      <c r="AG5944" s="1115"/>
      <c r="AH5944" s="1115"/>
      <c r="AI5944" s="1115"/>
      <c r="AJ5944" s="1117"/>
      <c r="AK5944" s="1118"/>
      <c r="AL5944" s="1115"/>
      <c r="AM5944" s="1115"/>
      <c r="AN5944" s="1115"/>
      <c r="AO5944" s="1115"/>
      <c r="AP5944" s="1115"/>
      <c r="AQ5944" s="1115"/>
      <c r="AR5944" s="1115"/>
      <c r="AS5944" s="1117"/>
      <c r="AT5944" s="1075"/>
      <c r="AU5944" s="1193"/>
      <c r="AV5944" s="330"/>
      <c r="AW5944" s="331"/>
      <c r="AX5944" s="331"/>
      <c r="AY5944" s="331"/>
      <c r="AZ5944" s="331"/>
      <c r="BA5944" s="331"/>
      <c r="BB5944" s="331"/>
      <c r="BC5944" s="331"/>
      <c r="BD5944" s="331"/>
      <c r="BE5944" s="333"/>
      <c r="BF5944" s="330"/>
      <c r="BG5944" s="333"/>
      <c r="BH5944" s="1119"/>
      <c r="BI5944" s="319"/>
      <c r="BJ5944" s="319"/>
      <c r="BK5944" s="319"/>
      <c r="BL5944" s="319"/>
      <c r="BM5944" s="319"/>
      <c r="BN5944" s="319"/>
      <c r="BO5944" s="319"/>
      <c r="BP5944" s="953"/>
      <c r="BQ5944" s="319"/>
      <c r="BR5944" s="319"/>
      <c r="BS5944" s="330"/>
      <c r="BT5944" s="331"/>
      <c r="BU5944" s="920"/>
      <c r="BV5944" s="903"/>
      <c r="BW5944" s="908"/>
      <c r="BX5944" s="908"/>
      <c r="BY5944" s="331"/>
      <c r="BZ5944" s="331"/>
      <c r="CA5944" s="462"/>
      <c r="CB5944" s="319"/>
      <c r="CC5944" s="319"/>
      <c r="CD5944" s="319"/>
      <c r="CE5944" s="319"/>
      <c r="CF5944" s="319"/>
      <c r="CG5944" s="319"/>
      <c r="CH5944" s="318"/>
      <c r="CI5944" s="319"/>
      <c r="CJ5944" s="319"/>
      <c r="CK5944" s="342"/>
      <c r="CL5944" s="333"/>
      <c r="CM5944" s="1079"/>
      <c r="CN5944" s="1005"/>
      <c r="CO5944" s="1005"/>
      <c r="CP5944" s="1005"/>
    </row>
    <row r="5945">
      <c r="A5945" s="1257"/>
      <c r="B5945" s="1113"/>
      <c r="C5945" s="1107"/>
      <c r="D5945" s="103"/>
      <c r="E5945" s="1137"/>
      <c r="F5945" s="112"/>
      <c r="G5945" s="1110"/>
      <c r="H5945" s="1138"/>
      <c r="I5945" s="1138"/>
      <c r="J5945" s="1139"/>
      <c r="K5945" s="1111"/>
      <c r="L5945" s="1112"/>
      <c r="M5945" s="1113"/>
      <c r="N5945" s="110"/>
      <c r="O5945" s="1140"/>
      <c r="P5945" s="1115"/>
      <c r="Q5945" s="1116"/>
      <c r="R5945" s="1141"/>
      <c r="S5945" s="1113"/>
      <c r="T5945" s="1143"/>
      <c r="U5945" s="1108"/>
      <c r="V5945" s="1108"/>
      <c r="W5945" s="1108"/>
      <c r="X5945" s="1108"/>
      <c r="Y5945" s="1108"/>
      <c r="Z5945" s="1114"/>
      <c r="AA5945" s="1114"/>
      <c r="AB5945" s="1114"/>
      <c r="AC5945" s="1117"/>
      <c r="AD5945" s="1115"/>
      <c r="AE5945" s="1115"/>
      <c r="AF5945" s="1115"/>
      <c r="AG5945" s="1115"/>
      <c r="AH5945" s="1115"/>
      <c r="AI5945" s="1115"/>
      <c r="AJ5945" s="1117"/>
      <c r="AK5945" s="1118"/>
      <c r="AL5945" s="1115"/>
      <c r="AM5945" s="1115"/>
      <c r="AN5945" s="1115"/>
      <c r="AO5945" s="1115"/>
      <c r="AP5945" s="1115"/>
      <c r="AQ5945" s="1115"/>
      <c r="AR5945" s="1115"/>
      <c r="AS5945" s="1117"/>
      <c r="AT5945" s="1075"/>
      <c r="AU5945" s="1193"/>
      <c r="AV5945" s="330"/>
      <c r="AW5945" s="331"/>
      <c r="AX5945" s="331"/>
      <c r="AY5945" s="331"/>
      <c r="AZ5945" s="331"/>
      <c r="BA5945" s="331"/>
      <c r="BB5945" s="331"/>
      <c r="BC5945" s="331"/>
      <c r="BD5945" s="331"/>
      <c r="BE5945" s="333"/>
      <c r="BF5945" s="330"/>
      <c r="BG5945" s="333"/>
      <c r="BH5945" s="1119"/>
      <c r="BI5945" s="319"/>
      <c r="BJ5945" s="319"/>
      <c r="BK5945" s="319"/>
      <c r="BL5945" s="319"/>
      <c r="BM5945" s="319"/>
      <c r="BN5945" s="319"/>
      <c r="BO5945" s="319"/>
      <c r="BP5945" s="953"/>
      <c r="BQ5945" s="319"/>
      <c r="BR5945" s="319"/>
      <c r="BS5945" s="330"/>
      <c r="BT5945" s="331"/>
      <c r="BU5945" s="920"/>
      <c r="BV5945" s="903"/>
      <c r="BW5945" s="908"/>
      <c r="BX5945" s="908"/>
      <c r="BY5945" s="331"/>
      <c r="BZ5945" s="331"/>
      <c r="CA5945" s="462"/>
      <c r="CB5945" s="319"/>
      <c r="CC5945" s="319"/>
      <c r="CD5945" s="319"/>
      <c r="CE5945" s="319"/>
      <c r="CF5945" s="319"/>
      <c r="CG5945" s="319"/>
      <c r="CH5945" s="318"/>
      <c r="CI5945" s="319"/>
      <c r="CJ5945" s="319"/>
      <c r="CK5945" s="342"/>
      <c r="CL5945" s="333"/>
      <c r="CM5945" s="1079"/>
      <c r="CN5945" s="1005"/>
      <c r="CO5945" s="1005"/>
      <c r="CP5945" s="1005"/>
    </row>
    <row r="5946">
      <c r="A5946" s="1257"/>
      <c r="B5946" s="1113"/>
      <c r="C5946" s="1107"/>
      <c r="D5946" s="103"/>
      <c r="E5946" s="1137"/>
      <c r="F5946" s="112"/>
      <c r="G5946" s="1110"/>
      <c r="H5946" s="1138"/>
      <c r="I5946" s="1138"/>
      <c r="J5946" s="1139"/>
      <c r="K5946" s="1111"/>
      <c r="L5946" s="1112"/>
      <c r="M5946" s="1113"/>
      <c r="N5946" s="110"/>
      <c r="O5946" s="1140"/>
      <c r="P5946" s="1115"/>
      <c r="Q5946" s="1116"/>
      <c r="R5946" s="1141"/>
      <c r="S5946" s="1113"/>
      <c r="T5946" s="1143"/>
      <c r="U5946" s="1108"/>
      <c r="V5946" s="1108"/>
      <c r="W5946" s="1108"/>
      <c r="X5946" s="1108"/>
      <c r="Y5946" s="1108"/>
      <c r="Z5946" s="1114"/>
      <c r="AA5946" s="1114"/>
      <c r="AB5946" s="1114"/>
      <c r="AC5946" s="1117"/>
      <c r="AD5946" s="1115"/>
      <c r="AE5946" s="1115"/>
      <c r="AF5946" s="1115"/>
      <c r="AG5946" s="1115"/>
      <c r="AH5946" s="1115"/>
      <c r="AI5946" s="1115"/>
      <c r="AJ5946" s="1117"/>
      <c r="AK5946" s="1118"/>
      <c r="AL5946" s="1115"/>
      <c r="AM5946" s="1115"/>
      <c r="AN5946" s="1115"/>
      <c r="AO5946" s="1115"/>
      <c r="AP5946" s="1115"/>
      <c r="AQ5946" s="1115"/>
      <c r="AR5946" s="1115"/>
      <c r="AS5946" s="1117"/>
      <c r="AT5946" s="1075"/>
      <c r="AU5946" s="1193"/>
      <c r="AV5946" s="330"/>
      <c r="AW5946" s="331"/>
      <c r="AX5946" s="331"/>
      <c r="AY5946" s="331"/>
      <c r="AZ5946" s="331"/>
      <c r="BA5946" s="331"/>
      <c r="BB5946" s="331"/>
      <c r="BC5946" s="331"/>
      <c r="BD5946" s="331"/>
      <c r="BE5946" s="333"/>
      <c r="BF5946" s="330"/>
      <c r="BG5946" s="333"/>
      <c r="BH5946" s="1119"/>
      <c r="BI5946" s="319"/>
      <c r="BJ5946" s="319"/>
      <c r="BK5946" s="319"/>
      <c r="BL5946" s="319"/>
      <c r="BM5946" s="319"/>
      <c r="BN5946" s="319"/>
      <c r="BO5946" s="319"/>
      <c r="BP5946" s="953"/>
      <c r="BQ5946" s="319"/>
      <c r="BR5946" s="319"/>
      <c r="BS5946" s="330"/>
      <c r="BT5946" s="331"/>
      <c r="BU5946" s="920"/>
      <c r="BV5946" s="903"/>
      <c r="BW5946" s="908"/>
      <c r="BX5946" s="908"/>
      <c r="BY5946" s="331"/>
      <c r="BZ5946" s="331"/>
      <c r="CA5946" s="462"/>
      <c r="CB5946" s="319"/>
      <c r="CC5946" s="319"/>
      <c r="CD5946" s="319"/>
      <c r="CE5946" s="319"/>
      <c r="CF5946" s="319"/>
      <c r="CG5946" s="319"/>
      <c r="CH5946" s="318"/>
      <c r="CI5946" s="319"/>
      <c r="CJ5946" s="319"/>
      <c r="CK5946" s="342"/>
      <c r="CL5946" s="333"/>
      <c r="CM5946" s="1079"/>
      <c r="CN5946" s="1005"/>
      <c r="CO5946" s="1005"/>
      <c r="CP5946" s="1005"/>
    </row>
    <row r="5947">
      <c r="A5947" s="1257"/>
      <c r="B5947" s="1113"/>
      <c r="C5947" s="1107"/>
      <c r="D5947" s="103"/>
      <c r="E5947" s="1137"/>
      <c r="F5947" s="112"/>
      <c r="G5947" s="1110"/>
      <c r="H5947" s="1138"/>
      <c r="I5947" s="1138"/>
      <c r="J5947" s="1139"/>
      <c r="K5947" s="1111"/>
      <c r="L5947" s="1112"/>
      <c r="M5947" s="1113"/>
      <c r="N5947" s="110"/>
      <c r="O5947" s="1140"/>
      <c r="P5947" s="1115"/>
      <c r="Q5947" s="1116"/>
      <c r="R5947" s="1141"/>
      <c r="S5947" s="1113"/>
      <c r="T5947" s="1143"/>
      <c r="U5947" s="1108"/>
      <c r="V5947" s="1108"/>
      <c r="W5947" s="1108"/>
      <c r="X5947" s="1108"/>
      <c r="Y5947" s="1108"/>
      <c r="Z5947" s="1114"/>
      <c r="AA5947" s="1114"/>
      <c r="AB5947" s="1114"/>
      <c r="AC5947" s="1117"/>
      <c r="AD5947" s="1115"/>
      <c r="AE5947" s="1115"/>
      <c r="AF5947" s="1115"/>
      <c r="AG5947" s="1115"/>
      <c r="AH5947" s="1115"/>
      <c r="AI5947" s="1115"/>
      <c r="AJ5947" s="1117"/>
      <c r="AK5947" s="1118"/>
      <c r="AL5947" s="1115"/>
      <c r="AM5947" s="1115"/>
      <c r="AN5947" s="1115"/>
      <c r="AO5947" s="1115"/>
      <c r="AP5947" s="1115"/>
      <c r="AQ5947" s="1115"/>
      <c r="AR5947" s="1115"/>
      <c r="AS5947" s="1117"/>
      <c r="AT5947" s="1075"/>
      <c r="AU5947" s="1193"/>
      <c r="AV5947" s="330"/>
      <c r="AW5947" s="331"/>
      <c r="AX5947" s="331"/>
      <c r="AY5947" s="331"/>
      <c r="AZ5947" s="331"/>
      <c r="BA5947" s="331"/>
      <c r="BB5947" s="331"/>
      <c r="BC5947" s="331"/>
      <c r="BD5947" s="331"/>
      <c r="BE5947" s="333"/>
      <c r="BF5947" s="330"/>
      <c r="BG5947" s="333"/>
      <c r="BH5947" s="1119"/>
      <c r="BI5947" s="319"/>
      <c r="BJ5947" s="319"/>
      <c r="BK5947" s="319"/>
      <c r="BL5947" s="319"/>
      <c r="BM5947" s="319"/>
      <c r="BN5947" s="319"/>
      <c r="BO5947" s="319"/>
      <c r="BP5947" s="953"/>
      <c r="BQ5947" s="319"/>
      <c r="BR5947" s="319"/>
      <c r="BS5947" s="330"/>
      <c r="BT5947" s="331"/>
      <c r="BU5947" s="920"/>
      <c r="BV5947" s="903"/>
      <c r="BW5947" s="908"/>
      <c r="BX5947" s="908"/>
      <c r="BY5947" s="331"/>
      <c r="BZ5947" s="331"/>
      <c r="CA5947" s="462"/>
      <c r="CB5947" s="319"/>
      <c r="CC5947" s="319"/>
      <c r="CD5947" s="319"/>
      <c r="CE5947" s="319"/>
      <c r="CF5947" s="319"/>
      <c r="CG5947" s="319"/>
      <c r="CH5947" s="318"/>
      <c r="CI5947" s="319"/>
      <c r="CJ5947" s="319"/>
      <c r="CK5947" s="342"/>
      <c r="CL5947" s="333"/>
      <c r="CM5947" s="1079"/>
      <c r="CN5947" s="1005"/>
      <c r="CO5947" s="1005"/>
      <c r="CP5947" s="1005"/>
    </row>
    <row r="5948">
      <c r="A5948" s="1257"/>
      <c r="B5948" s="1113"/>
      <c r="C5948" s="1107"/>
      <c r="D5948" s="103"/>
      <c r="E5948" s="1137"/>
      <c r="F5948" s="112"/>
      <c r="G5948" s="1110"/>
      <c r="H5948" s="1138"/>
      <c r="I5948" s="1138"/>
      <c r="J5948" s="1139"/>
      <c r="K5948" s="1111"/>
      <c r="L5948" s="1112"/>
      <c r="M5948" s="1113"/>
      <c r="N5948" s="110"/>
      <c r="O5948" s="1140"/>
      <c r="P5948" s="1115"/>
      <c r="Q5948" s="1116"/>
      <c r="R5948" s="1141"/>
      <c r="S5948" s="1113"/>
      <c r="T5948" s="1143"/>
      <c r="U5948" s="1108"/>
      <c r="V5948" s="1108"/>
      <c r="W5948" s="1108"/>
      <c r="X5948" s="1108"/>
      <c r="Y5948" s="1108"/>
      <c r="Z5948" s="1114"/>
      <c r="AA5948" s="1114"/>
      <c r="AB5948" s="1114"/>
      <c r="AC5948" s="1117"/>
      <c r="AD5948" s="1115"/>
      <c r="AE5948" s="1115"/>
      <c r="AF5948" s="1115"/>
      <c r="AG5948" s="1115"/>
      <c r="AH5948" s="1115"/>
      <c r="AI5948" s="1115"/>
      <c r="AJ5948" s="1117"/>
      <c r="AK5948" s="1118"/>
      <c r="AL5948" s="1115"/>
      <c r="AM5948" s="1115"/>
      <c r="AN5948" s="1115"/>
      <c r="AO5948" s="1115"/>
      <c r="AP5948" s="1115"/>
      <c r="AQ5948" s="1115"/>
      <c r="AR5948" s="1115"/>
      <c r="AS5948" s="1117"/>
      <c r="AT5948" s="1075"/>
      <c r="AU5948" s="1193"/>
      <c r="AV5948" s="330"/>
      <c r="AW5948" s="331"/>
      <c r="AX5948" s="331"/>
      <c r="AY5948" s="331"/>
      <c r="AZ5948" s="331"/>
      <c r="BA5948" s="331"/>
      <c r="BB5948" s="331"/>
      <c r="BC5948" s="331"/>
      <c r="BD5948" s="331"/>
      <c r="BE5948" s="333"/>
      <c r="BF5948" s="330"/>
      <c r="BG5948" s="333"/>
      <c r="BH5948" s="1119"/>
      <c r="BI5948" s="319"/>
      <c r="BJ5948" s="319"/>
      <c r="BK5948" s="319"/>
      <c r="BL5948" s="319"/>
      <c r="BM5948" s="319"/>
      <c r="BN5948" s="319"/>
      <c r="BO5948" s="319"/>
      <c r="BP5948" s="953"/>
      <c r="BQ5948" s="319"/>
      <c r="BR5948" s="319"/>
      <c r="BS5948" s="330"/>
      <c r="BT5948" s="331"/>
      <c r="BU5948" s="920"/>
      <c r="BV5948" s="903"/>
      <c r="BW5948" s="908"/>
      <c r="BX5948" s="908"/>
      <c r="BY5948" s="331"/>
      <c r="BZ5948" s="331"/>
      <c r="CA5948" s="462"/>
      <c r="CB5948" s="319"/>
      <c r="CC5948" s="319"/>
      <c r="CD5948" s="319"/>
      <c r="CE5948" s="319"/>
      <c r="CF5948" s="319"/>
      <c r="CG5948" s="319"/>
      <c r="CH5948" s="318"/>
      <c r="CI5948" s="319"/>
      <c r="CJ5948" s="319"/>
      <c r="CK5948" s="342"/>
      <c r="CL5948" s="333"/>
      <c r="CM5948" s="1079"/>
      <c r="CN5948" s="1005"/>
      <c r="CO5948" s="1005"/>
      <c r="CP5948" s="1005"/>
    </row>
    <row r="5949">
      <c r="A5949" s="1257"/>
      <c r="B5949" s="1113"/>
      <c r="C5949" s="1107"/>
      <c r="D5949" s="103"/>
      <c r="E5949" s="1137"/>
      <c r="F5949" s="112"/>
      <c r="G5949" s="1110"/>
      <c r="H5949" s="1138"/>
      <c r="I5949" s="1138"/>
      <c r="J5949" s="1139"/>
      <c r="K5949" s="1111"/>
      <c r="L5949" s="1112"/>
      <c r="M5949" s="1113"/>
      <c r="N5949" s="110"/>
      <c r="O5949" s="1140"/>
      <c r="P5949" s="1115"/>
      <c r="Q5949" s="1116"/>
      <c r="R5949" s="1141"/>
      <c r="S5949" s="1113"/>
      <c r="T5949" s="1143"/>
      <c r="U5949" s="1108"/>
      <c r="V5949" s="1108"/>
      <c r="W5949" s="1108"/>
      <c r="X5949" s="1108"/>
      <c r="Y5949" s="1108"/>
      <c r="Z5949" s="1114"/>
      <c r="AA5949" s="1114"/>
      <c r="AB5949" s="1114"/>
      <c r="AC5949" s="1117"/>
      <c r="AD5949" s="1115"/>
      <c r="AE5949" s="1115"/>
      <c r="AF5949" s="1115"/>
      <c r="AG5949" s="1115"/>
      <c r="AH5949" s="1115"/>
      <c r="AI5949" s="1115"/>
      <c r="AJ5949" s="1117"/>
      <c r="AK5949" s="1118"/>
      <c r="AL5949" s="1115"/>
      <c r="AM5949" s="1115"/>
      <c r="AN5949" s="1115"/>
      <c r="AO5949" s="1115"/>
      <c r="AP5949" s="1115"/>
      <c r="AQ5949" s="1115"/>
      <c r="AR5949" s="1115"/>
      <c r="AS5949" s="1117"/>
      <c r="AT5949" s="1075"/>
      <c r="AU5949" s="1193"/>
      <c r="AV5949" s="330"/>
      <c r="AW5949" s="331"/>
      <c r="AX5949" s="331"/>
      <c r="AY5949" s="331"/>
      <c r="AZ5949" s="331"/>
      <c r="BA5949" s="331"/>
      <c r="BB5949" s="331"/>
      <c r="BC5949" s="331"/>
      <c r="BD5949" s="331"/>
      <c r="BE5949" s="333"/>
      <c r="BF5949" s="330"/>
      <c r="BG5949" s="333"/>
      <c r="BH5949" s="1119"/>
      <c r="BI5949" s="319"/>
      <c r="BJ5949" s="319"/>
      <c r="BK5949" s="319"/>
      <c r="BL5949" s="319"/>
      <c r="BM5949" s="319"/>
      <c r="BN5949" s="319"/>
      <c r="BO5949" s="319"/>
      <c r="BP5949" s="953"/>
      <c r="BQ5949" s="319"/>
      <c r="BR5949" s="319"/>
      <c r="BS5949" s="330"/>
      <c r="BT5949" s="331"/>
      <c r="BU5949" s="920"/>
      <c r="BV5949" s="903"/>
      <c r="BW5949" s="908"/>
      <c r="BX5949" s="908"/>
      <c r="BY5949" s="331"/>
      <c r="BZ5949" s="331"/>
      <c r="CA5949" s="462"/>
      <c r="CB5949" s="319"/>
      <c r="CC5949" s="319"/>
      <c r="CD5949" s="319"/>
      <c r="CE5949" s="319"/>
      <c r="CF5949" s="319"/>
      <c r="CG5949" s="319"/>
      <c r="CH5949" s="318"/>
      <c r="CI5949" s="319"/>
      <c r="CJ5949" s="319"/>
      <c r="CK5949" s="342"/>
      <c r="CL5949" s="333"/>
      <c r="CM5949" s="1079"/>
      <c r="CN5949" s="1005"/>
      <c r="CO5949" s="1005"/>
      <c r="CP5949" s="1005"/>
    </row>
    <row r="5950">
      <c r="A5950" s="1257"/>
      <c r="B5950" s="1113"/>
      <c r="C5950" s="1107"/>
      <c r="D5950" s="103"/>
      <c r="E5950" s="1137"/>
      <c r="F5950" s="112"/>
      <c r="G5950" s="1110"/>
      <c r="H5950" s="1138"/>
      <c r="I5950" s="1138"/>
      <c r="J5950" s="1139"/>
      <c r="K5950" s="1111"/>
      <c r="L5950" s="1112"/>
      <c r="M5950" s="1113"/>
      <c r="N5950" s="110"/>
      <c r="O5950" s="1140"/>
      <c r="P5950" s="1115"/>
      <c r="Q5950" s="1116"/>
      <c r="R5950" s="1141"/>
      <c r="S5950" s="1113"/>
      <c r="T5950" s="1143"/>
      <c r="U5950" s="1108"/>
      <c r="V5950" s="1108"/>
      <c r="W5950" s="1108"/>
      <c r="X5950" s="1108"/>
      <c r="Y5950" s="1108"/>
      <c r="Z5950" s="1114"/>
      <c r="AA5950" s="1114"/>
      <c r="AB5950" s="1114"/>
      <c r="AC5950" s="1117"/>
      <c r="AD5950" s="1115"/>
      <c r="AE5950" s="1115"/>
      <c r="AF5950" s="1115"/>
      <c r="AG5950" s="1115"/>
      <c r="AH5950" s="1115"/>
      <c r="AI5950" s="1115"/>
      <c r="AJ5950" s="1117"/>
      <c r="AK5950" s="1118"/>
      <c r="AL5950" s="1115"/>
      <c r="AM5950" s="1115"/>
      <c r="AN5950" s="1115"/>
      <c r="AO5950" s="1115"/>
      <c r="AP5950" s="1115"/>
      <c r="AQ5950" s="1115"/>
      <c r="AR5950" s="1115"/>
      <c r="AS5950" s="1117"/>
      <c r="AT5950" s="1075"/>
      <c r="AU5950" s="1193"/>
      <c r="AV5950" s="330"/>
      <c r="AW5950" s="331"/>
      <c r="AX5950" s="331"/>
      <c r="AY5950" s="331"/>
      <c r="AZ5950" s="331"/>
      <c r="BA5950" s="331"/>
      <c r="BB5950" s="331"/>
      <c r="BC5950" s="331"/>
      <c r="BD5950" s="331"/>
      <c r="BE5950" s="333"/>
      <c r="BF5950" s="330"/>
      <c r="BG5950" s="333"/>
      <c r="BH5950" s="1119"/>
      <c r="BI5950" s="319"/>
      <c r="BJ5950" s="319"/>
      <c r="BK5950" s="319"/>
      <c r="BL5950" s="319"/>
      <c r="BM5950" s="319"/>
      <c r="BN5950" s="319"/>
      <c r="BO5950" s="319"/>
      <c r="BP5950" s="953"/>
      <c r="BQ5950" s="319"/>
      <c r="BR5950" s="319"/>
      <c r="BS5950" s="330"/>
      <c r="BT5950" s="331"/>
      <c r="BU5950" s="920"/>
      <c r="BV5950" s="903"/>
      <c r="BW5950" s="908"/>
      <c r="BX5950" s="908"/>
      <c r="BY5950" s="331"/>
      <c r="BZ5950" s="331"/>
      <c r="CA5950" s="462"/>
      <c r="CB5950" s="319"/>
      <c r="CC5950" s="319"/>
      <c r="CD5950" s="319"/>
      <c r="CE5950" s="319"/>
      <c r="CF5950" s="319"/>
      <c r="CG5950" s="319"/>
      <c r="CH5950" s="318"/>
      <c r="CI5950" s="319"/>
      <c r="CJ5950" s="319"/>
      <c r="CK5950" s="342"/>
      <c r="CL5950" s="333"/>
      <c r="CM5950" s="1079"/>
      <c r="CN5950" s="1005"/>
      <c r="CO5950" s="1005"/>
      <c r="CP5950" s="1005"/>
    </row>
    <row r="5951">
      <c r="A5951" s="1257"/>
      <c r="B5951" s="1113"/>
      <c r="C5951" s="1107"/>
      <c r="D5951" s="103"/>
      <c r="E5951" s="1137"/>
      <c r="F5951" s="112"/>
      <c r="G5951" s="1110"/>
      <c r="H5951" s="1138"/>
      <c r="I5951" s="1138"/>
      <c r="J5951" s="1139"/>
      <c r="K5951" s="1111"/>
      <c r="L5951" s="1112"/>
      <c r="M5951" s="1113"/>
      <c r="N5951" s="110"/>
      <c r="O5951" s="1140"/>
      <c r="P5951" s="1115"/>
      <c r="Q5951" s="1116"/>
      <c r="R5951" s="1141"/>
      <c r="S5951" s="1113"/>
      <c r="T5951" s="1143"/>
      <c r="U5951" s="1108"/>
      <c r="V5951" s="1108"/>
      <c r="W5951" s="1108"/>
      <c r="X5951" s="1108"/>
      <c r="Y5951" s="1108"/>
      <c r="Z5951" s="1114"/>
      <c r="AA5951" s="1114"/>
      <c r="AB5951" s="1114"/>
      <c r="AC5951" s="1117"/>
      <c r="AD5951" s="1115"/>
      <c r="AE5951" s="1115"/>
      <c r="AF5951" s="1115"/>
      <c r="AG5951" s="1115"/>
      <c r="AH5951" s="1115"/>
      <c r="AI5951" s="1115"/>
      <c r="AJ5951" s="1117"/>
      <c r="AK5951" s="1118"/>
      <c r="AL5951" s="1115"/>
      <c r="AM5951" s="1115"/>
      <c r="AN5951" s="1115"/>
      <c r="AO5951" s="1115"/>
      <c r="AP5951" s="1115"/>
      <c r="AQ5951" s="1115"/>
      <c r="AR5951" s="1115"/>
      <c r="AS5951" s="1117"/>
      <c r="AT5951" s="1075"/>
      <c r="AU5951" s="1193"/>
      <c r="AV5951" s="330"/>
      <c r="AW5951" s="331"/>
      <c r="AX5951" s="331"/>
      <c r="AY5951" s="331"/>
      <c r="AZ5951" s="331"/>
      <c r="BA5951" s="331"/>
      <c r="BB5951" s="331"/>
      <c r="BC5951" s="331"/>
      <c r="BD5951" s="331"/>
      <c r="BE5951" s="333"/>
      <c r="BF5951" s="330"/>
      <c r="BG5951" s="333"/>
      <c r="BH5951" s="1119"/>
      <c r="BI5951" s="319"/>
      <c r="BJ5951" s="319"/>
      <c r="BK5951" s="319"/>
      <c r="BL5951" s="319"/>
      <c r="BM5951" s="319"/>
      <c r="BN5951" s="319"/>
      <c r="BO5951" s="319"/>
      <c r="BP5951" s="953"/>
      <c r="BQ5951" s="319"/>
      <c r="BR5951" s="319"/>
      <c r="BS5951" s="330"/>
      <c r="BT5951" s="331"/>
      <c r="BU5951" s="920"/>
      <c r="BV5951" s="903"/>
      <c r="BW5951" s="908"/>
      <c r="BX5951" s="908"/>
      <c r="BY5951" s="331"/>
      <c r="BZ5951" s="331"/>
      <c r="CA5951" s="462"/>
      <c r="CB5951" s="319"/>
      <c r="CC5951" s="319"/>
      <c r="CD5951" s="319"/>
      <c r="CE5951" s="319"/>
      <c r="CF5951" s="319"/>
      <c r="CG5951" s="319"/>
      <c r="CH5951" s="318"/>
      <c r="CI5951" s="319"/>
      <c r="CJ5951" s="319"/>
      <c r="CK5951" s="342"/>
      <c r="CL5951" s="333"/>
      <c r="CM5951" s="1079"/>
      <c r="CN5951" s="1005"/>
      <c r="CO5951" s="1005"/>
      <c r="CP5951" s="1005"/>
    </row>
    <row r="5952">
      <c r="A5952" s="1257"/>
      <c r="B5952" s="1113"/>
      <c r="C5952" s="1107"/>
      <c r="D5952" s="103"/>
      <c r="E5952" s="1137"/>
      <c r="F5952" s="112"/>
      <c r="G5952" s="1110"/>
      <c r="H5952" s="1138"/>
      <c r="I5952" s="1138"/>
      <c r="J5952" s="1139"/>
      <c r="K5952" s="1111"/>
      <c r="L5952" s="1112"/>
      <c r="M5952" s="1113"/>
      <c r="N5952" s="110"/>
      <c r="O5952" s="1140"/>
      <c r="P5952" s="1115"/>
      <c r="Q5952" s="1116"/>
      <c r="R5952" s="1141"/>
      <c r="S5952" s="1113"/>
      <c r="T5952" s="1143"/>
      <c r="U5952" s="1108"/>
      <c r="V5952" s="1108"/>
      <c r="W5952" s="1108"/>
      <c r="X5952" s="1108"/>
      <c r="Y5952" s="1108"/>
      <c r="Z5952" s="1114"/>
      <c r="AA5952" s="1114"/>
      <c r="AB5952" s="1114"/>
      <c r="AC5952" s="1117"/>
      <c r="AD5952" s="1115"/>
      <c r="AE5952" s="1115"/>
      <c r="AF5952" s="1115"/>
      <c r="AG5952" s="1115"/>
      <c r="AH5952" s="1115"/>
      <c r="AI5952" s="1115"/>
      <c r="AJ5952" s="1117"/>
      <c r="AK5952" s="1118"/>
      <c r="AL5952" s="1115"/>
      <c r="AM5952" s="1115"/>
      <c r="AN5952" s="1115"/>
      <c r="AO5952" s="1115"/>
      <c r="AP5952" s="1115"/>
      <c r="AQ5952" s="1115"/>
      <c r="AR5952" s="1115"/>
      <c r="AS5952" s="1117"/>
      <c r="AT5952" s="1075"/>
      <c r="AU5952" s="1193"/>
      <c r="AV5952" s="330"/>
      <c r="AW5952" s="331"/>
      <c r="AX5952" s="331"/>
      <c r="AY5952" s="331"/>
      <c r="AZ5952" s="331"/>
      <c r="BA5952" s="331"/>
      <c r="BB5952" s="331"/>
      <c r="BC5952" s="331"/>
      <c r="BD5952" s="331"/>
      <c r="BE5952" s="333"/>
      <c r="BF5952" s="330"/>
      <c r="BG5952" s="333"/>
      <c r="BH5952" s="1119"/>
      <c r="BI5952" s="319"/>
      <c r="BJ5952" s="319"/>
      <c r="BK5952" s="319"/>
      <c r="BL5952" s="319"/>
      <c r="BM5952" s="319"/>
      <c r="BN5952" s="319"/>
      <c r="BO5952" s="319"/>
      <c r="BP5952" s="953"/>
      <c r="BQ5952" s="319"/>
      <c r="BR5952" s="319"/>
      <c r="BS5952" s="330"/>
      <c r="BT5952" s="331"/>
      <c r="BU5952" s="920"/>
      <c r="BV5952" s="903"/>
      <c r="BW5952" s="908"/>
      <c r="BX5952" s="908"/>
      <c r="BY5952" s="331"/>
      <c r="BZ5952" s="331"/>
      <c r="CA5952" s="462"/>
      <c r="CB5952" s="319"/>
      <c r="CC5952" s="319"/>
      <c r="CD5952" s="319"/>
      <c r="CE5952" s="319"/>
      <c r="CF5952" s="319"/>
      <c r="CG5952" s="319"/>
      <c r="CH5952" s="318"/>
      <c r="CI5952" s="319"/>
      <c r="CJ5952" s="319"/>
      <c r="CK5952" s="342"/>
      <c r="CL5952" s="333"/>
      <c r="CM5952" s="1079"/>
      <c r="CN5952" s="1005"/>
      <c r="CO5952" s="1005"/>
      <c r="CP5952" s="1005"/>
    </row>
    <row r="5953">
      <c r="A5953" s="1257"/>
      <c r="B5953" s="1113"/>
      <c r="C5953" s="1107"/>
      <c r="D5953" s="103"/>
      <c r="E5953" s="1137"/>
      <c r="F5953" s="112"/>
      <c r="G5953" s="1110"/>
      <c r="H5953" s="1138"/>
      <c r="I5953" s="1138"/>
      <c r="J5953" s="1139"/>
      <c r="K5953" s="1111"/>
      <c r="L5953" s="1112"/>
      <c r="M5953" s="1113"/>
      <c r="N5953" s="110"/>
      <c r="O5953" s="1140"/>
      <c r="P5953" s="1115"/>
      <c r="Q5953" s="1116"/>
      <c r="R5953" s="1141"/>
      <c r="S5953" s="1113"/>
      <c r="T5953" s="1143"/>
      <c r="U5953" s="1108"/>
      <c r="V5953" s="1108"/>
      <c r="W5953" s="1108"/>
      <c r="X5953" s="1108"/>
      <c r="Y5953" s="1108"/>
      <c r="Z5953" s="1114"/>
      <c r="AA5953" s="1114"/>
      <c r="AB5953" s="1114"/>
      <c r="AC5953" s="1117"/>
      <c r="AD5953" s="1115"/>
      <c r="AE5953" s="1115"/>
      <c r="AF5953" s="1115"/>
      <c r="AG5953" s="1115"/>
      <c r="AH5953" s="1115"/>
      <c r="AI5953" s="1115"/>
      <c r="AJ5953" s="1117"/>
      <c r="AK5953" s="1118"/>
      <c r="AL5953" s="1115"/>
      <c r="AM5953" s="1115"/>
      <c r="AN5953" s="1115"/>
      <c r="AO5953" s="1115"/>
      <c r="AP5953" s="1115"/>
      <c r="AQ5953" s="1115"/>
      <c r="AR5953" s="1115"/>
      <c r="AS5953" s="1117"/>
      <c r="AT5953" s="1075"/>
      <c r="AU5953" s="1193"/>
      <c r="AV5953" s="330"/>
      <c r="AW5953" s="331"/>
      <c r="AX5953" s="331"/>
      <c r="AY5953" s="331"/>
      <c r="AZ5953" s="331"/>
      <c r="BA5953" s="331"/>
      <c r="BB5953" s="331"/>
      <c r="BC5953" s="331"/>
      <c r="BD5953" s="331"/>
      <c r="BE5953" s="333"/>
      <c r="BF5953" s="330"/>
      <c r="BG5953" s="333"/>
      <c r="BH5953" s="1119"/>
      <c r="BI5953" s="319"/>
      <c r="BJ5953" s="319"/>
      <c r="BK5953" s="319"/>
      <c r="BL5953" s="319"/>
      <c r="BM5953" s="319"/>
      <c r="BN5953" s="319"/>
      <c r="BO5953" s="319"/>
      <c r="BP5953" s="953"/>
      <c r="BQ5953" s="319"/>
      <c r="BR5953" s="319"/>
      <c r="BS5953" s="330"/>
      <c r="BT5953" s="331"/>
      <c r="BU5953" s="920"/>
      <c r="BV5953" s="903"/>
      <c r="BW5953" s="908"/>
      <c r="BX5953" s="908"/>
      <c r="BY5953" s="331"/>
      <c r="BZ5953" s="331"/>
      <c r="CA5953" s="462"/>
      <c r="CB5953" s="319"/>
      <c r="CC5953" s="319"/>
      <c r="CD5953" s="319"/>
      <c r="CE5953" s="319"/>
      <c r="CF5953" s="319"/>
      <c r="CG5953" s="319"/>
      <c r="CH5953" s="318"/>
      <c r="CI5953" s="319"/>
      <c r="CJ5953" s="319"/>
      <c r="CK5953" s="342"/>
      <c r="CL5953" s="333"/>
      <c r="CM5953" s="1079"/>
      <c r="CN5953" s="1005"/>
      <c r="CO5953" s="1005"/>
      <c r="CP5953" s="1005"/>
    </row>
    <row r="5954">
      <c r="A5954" s="1257"/>
      <c r="B5954" s="1113"/>
      <c r="C5954" s="1107"/>
      <c r="D5954" s="103"/>
      <c r="E5954" s="1137"/>
      <c r="F5954" s="112"/>
      <c r="G5954" s="1110"/>
      <c r="H5954" s="1138"/>
      <c r="I5954" s="1138"/>
      <c r="J5954" s="1139"/>
      <c r="K5954" s="1111"/>
      <c r="L5954" s="1112"/>
      <c r="M5954" s="1113"/>
      <c r="N5954" s="110"/>
      <c r="O5954" s="1140"/>
      <c r="P5954" s="1115"/>
      <c r="Q5954" s="1116"/>
      <c r="R5954" s="1141"/>
      <c r="S5954" s="1113"/>
      <c r="T5954" s="1143"/>
      <c r="U5954" s="1108"/>
      <c r="V5954" s="1108"/>
      <c r="W5954" s="1108"/>
      <c r="X5954" s="1108"/>
      <c r="Y5954" s="1108"/>
      <c r="Z5954" s="1114"/>
      <c r="AA5954" s="1114"/>
      <c r="AB5954" s="1114"/>
      <c r="AC5954" s="1117"/>
      <c r="AD5954" s="1115"/>
      <c r="AE5954" s="1115"/>
      <c r="AF5954" s="1115"/>
      <c r="AG5954" s="1115"/>
      <c r="AH5954" s="1115"/>
      <c r="AI5954" s="1115"/>
      <c r="AJ5954" s="1117"/>
      <c r="AK5954" s="1118"/>
      <c r="AL5954" s="1115"/>
      <c r="AM5954" s="1115"/>
      <c r="AN5954" s="1115"/>
      <c r="AO5954" s="1115"/>
      <c r="AP5954" s="1115"/>
      <c r="AQ5954" s="1115"/>
      <c r="AR5954" s="1115"/>
      <c r="AS5954" s="1117"/>
      <c r="AT5954" s="1075"/>
      <c r="AU5954" s="1193"/>
      <c r="AV5954" s="330"/>
      <c r="AW5954" s="331"/>
      <c r="AX5954" s="331"/>
      <c r="AY5954" s="331"/>
      <c r="AZ5954" s="331"/>
      <c r="BA5954" s="331"/>
      <c r="BB5954" s="331"/>
      <c r="BC5954" s="331"/>
      <c r="BD5954" s="331"/>
      <c r="BE5954" s="333"/>
      <c r="BF5954" s="330"/>
      <c r="BG5954" s="333"/>
      <c r="BH5954" s="1119"/>
      <c r="BI5954" s="319"/>
      <c r="BJ5954" s="319"/>
      <c r="BK5954" s="319"/>
      <c r="BL5954" s="319"/>
      <c r="BM5954" s="319"/>
      <c r="BN5954" s="319"/>
      <c r="BO5954" s="319"/>
      <c r="BP5954" s="953"/>
      <c r="BQ5954" s="319"/>
      <c r="BR5954" s="319"/>
      <c r="BS5954" s="330"/>
      <c r="BT5954" s="331"/>
      <c r="BU5954" s="920"/>
      <c r="BV5954" s="903"/>
      <c r="BW5954" s="908"/>
      <c r="BX5954" s="908"/>
      <c r="BY5954" s="331"/>
      <c r="BZ5954" s="331"/>
      <c r="CA5954" s="462"/>
      <c r="CB5954" s="319"/>
      <c r="CC5954" s="319"/>
      <c r="CD5954" s="319"/>
      <c r="CE5954" s="319"/>
      <c r="CF5954" s="319"/>
      <c r="CG5954" s="319"/>
      <c r="CH5954" s="318"/>
      <c r="CI5954" s="319"/>
      <c r="CJ5954" s="319"/>
      <c r="CK5954" s="342"/>
      <c r="CL5954" s="333"/>
      <c r="CM5954" s="1079"/>
      <c r="CN5954" s="1005"/>
      <c r="CO5954" s="1005"/>
      <c r="CP5954" s="1005"/>
    </row>
    <row r="5955">
      <c r="A5955" s="1257"/>
      <c r="B5955" s="1113"/>
      <c r="C5955" s="1107"/>
      <c r="D5955" s="103"/>
      <c r="E5955" s="1137"/>
      <c r="F5955" s="112"/>
      <c r="G5955" s="1110"/>
      <c r="H5955" s="1138"/>
      <c r="I5955" s="1138"/>
      <c r="J5955" s="1139"/>
      <c r="K5955" s="1111"/>
      <c r="L5955" s="1112"/>
      <c r="M5955" s="1113"/>
      <c r="N5955" s="110"/>
      <c r="O5955" s="1140"/>
      <c r="P5955" s="1115"/>
      <c r="Q5955" s="1116"/>
      <c r="R5955" s="1141"/>
      <c r="S5955" s="1113"/>
      <c r="T5955" s="1143"/>
      <c r="U5955" s="1108"/>
      <c r="V5955" s="1108"/>
      <c r="W5955" s="1108"/>
      <c r="X5955" s="1108"/>
      <c r="Y5955" s="1108"/>
      <c r="Z5955" s="1114"/>
      <c r="AA5955" s="1114"/>
      <c r="AB5955" s="1114"/>
      <c r="AC5955" s="1117"/>
      <c r="AD5955" s="1115"/>
      <c r="AE5955" s="1115"/>
      <c r="AF5955" s="1115"/>
      <c r="AG5955" s="1115"/>
      <c r="AH5955" s="1115"/>
      <c r="AI5955" s="1115"/>
      <c r="AJ5955" s="1117"/>
      <c r="AK5955" s="1118"/>
      <c r="AL5955" s="1115"/>
      <c r="AM5955" s="1115"/>
      <c r="AN5955" s="1115"/>
      <c r="AO5955" s="1115"/>
      <c r="AP5955" s="1115"/>
      <c r="AQ5955" s="1115"/>
      <c r="AR5955" s="1115"/>
      <c r="AS5955" s="1117"/>
      <c r="AT5955" s="1075"/>
      <c r="AU5955" s="1193"/>
      <c r="AV5955" s="330"/>
      <c r="AW5955" s="331"/>
      <c r="AX5955" s="331"/>
      <c r="AY5955" s="331"/>
      <c r="AZ5955" s="331"/>
      <c r="BA5955" s="331"/>
      <c r="BB5955" s="331"/>
      <c r="BC5955" s="331"/>
      <c r="BD5955" s="331"/>
      <c r="BE5955" s="333"/>
      <c r="BF5955" s="330"/>
      <c r="BG5955" s="333"/>
      <c r="BH5955" s="1119"/>
      <c r="BI5955" s="319"/>
      <c r="BJ5955" s="319"/>
      <c r="BK5955" s="319"/>
      <c r="BL5955" s="319"/>
      <c r="BM5955" s="319"/>
      <c r="BN5955" s="319"/>
      <c r="BO5955" s="319"/>
      <c r="BP5955" s="953"/>
      <c r="BQ5955" s="319"/>
      <c r="BR5955" s="319"/>
      <c r="BS5955" s="330"/>
      <c r="BT5955" s="331"/>
      <c r="BU5955" s="920"/>
      <c r="BV5955" s="903"/>
      <c r="BW5955" s="908"/>
      <c r="BX5955" s="908"/>
      <c r="BY5955" s="331"/>
      <c r="BZ5955" s="331"/>
      <c r="CA5955" s="462"/>
      <c r="CB5955" s="319"/>
      <c r="CC5955" s="319"/>
      <c r="CD5955" s="319"/>
      <c r="CE5955" s="319"/>
      <c r="CF5955" s="319"/>
      <c r="CG5955" s="319"/>
      <c r="CH5955" s="318"/>
      <c r="CI5955" s="319"/>
      <c r="CJ5955" s="319"/>
      <c r="CK5955" s="342"/>
      <c r="CL5955" s="333"/>
      <c r="CM5955" s="1079"/>
      <c r="CN5955" s="1005"/>
      <c r="CO5955" s="1005"/>
      <c r="CP5955" s="1005"/>
    </row>
    <row r="5956">
      <c r="A5956" s="1257"/>
      <c r="B5956" s="1113"/>
      <c r="C5956" s="1107"/>
      <c r="D5956" s="103"/>
      <c r="E5956" s="1137"/>
      <c r="F5956" s="112"/>
      <c r="G5956" s="1110"/>
      <c r="H5956" s="1138"/>
      <c r="I5956" s="1138"/>
      <c r="J5956" s="1139"/>
      <c r="K5956" s="1111"/>
      <c r="L5956" s="1112"/>
      <c r="M5956" s="1113"/>
      <c r="N5956" s="110"/>
      <c r="O5956" s="1140"/>
      <c r="P5956" s="1115"/>
      <c r="Q5956" s="1116"/>
      <c r="R5956" s="1141"/>
      <c r="S5956" s="1113"/>
      <c r="T5956" s="1143"/>
      <c r="U5956" s="1108"/>
      <c r="V5956" s="1108"/>
      <c r="W5956" s="1108"/>
      <c r="X5956" s="1108"/>
      <c r="Y5956" s="1108"/>
      <c r="Z5956" s="1114"/>
      <c r="AA5956" s="1114"/>
      <c r="AB5956" s="1114"/>
      <c r="AC5956" s="1117"/>
      <c r="AD5956" s="1115"/>
      <c r="AE5956" s="1115"/>
      <c r="AF5956" s="1115"/>
      <c r="AG5956" s="1115"/>
      <c r="AH5956" s="1115"/>
      <c r="AI5956" s="1115"/>
      <c r="AJ5956" s="1117"/>
      <c r="AK5956" s="1118"/>
      <c r="AL5956" s="1115"/>
      <c r="AM5956" s="1115"/>
      <c r="AN5956" s="1115"/>
      <c r="AO5956" s="1115"/>
      <c r="AP5956" s="1115"/>
      <c r="AQ5956" s="1115"/>
      <c r="AR5956" s="1115"/>
      <c r="AS5956" s="1117"/>
      <c r="AT5956" s="1075"/>
      <c r="AU5956" s="1193"/>
      <c r="AV5956" s="330"/>
      <c r="AW5956" s="331"/>
      <c r="AX5956" s="331"/>
      <c r="AY5956" s="331"/>
      <c r="AZ5956" s="331"/>
      <c r="BA5956" s="331"/>
      <c r="BB5956" s="331"/>
      <c r="BC5956" s="331"/>
      <c r="BD5956" s="331"/>
      <c r="BE5956" s="333"/>
      <c r="BF5956" s="330"/>
      <c r="BG5956" s="333"/>
      <c r="BH5956" s="1119"/>
      <c r="BI5956" s="319"/>
      <c r="BJ5956" s="319"/>
      <c r="BK5956" s="319"/>
      <c r="BL5956" s="319"/>
      <c r="BM5956" s="319"/>
      <c r="BN5956" s="319"/>
      <c r="BO5956" s="319"/>
      <c r="BP5956" s="953"/>
      <c r="BQ5956" s="319"/>
      <c r="BR5956" s="319"/>
      <c r="BS5956" s="330"/>
      <c r="BT5956" s="331"/>
      <c r="BU5956" s="920"/>
      <c r="BV5956" s="903"/>
      <c r="BW5956" s="908"/>
      <c r="BX5956" s="908"/>
      <c r="BY5956" s="331"/>
      <c r="BZ5956" s="331"/>
      <c r="CA5956" s="462"/>
      <c r="CB5956" s="319"/>
      <c r="CC5956" s="319"/>
      <c r="CD5956" s="319"/>
      <c r="CE5956" s="319"/>
      <c r="CF5956" s="319"/>
      <c r="CG5956" s="319"/>
      <c r="CH5956" s="318"/>
      <c r="CI5956" s="319"/>
      <c r="CJ5956" s="319"/>
      <c r="CK5956" s="342"/>
      <c r="CL5956" s="333"/>
      <c r="CM5956" s="1079"/>
      <c r="CN5956" s="1005"/>
      <c r="CO5956" s="1005"/>
      <c r="CP5956" s="1005"/>
    </row>
    <row r="5957">
      <c r="A5957" s="1257"/>
      <c r="B5957" s="1113"/>
      <c r="C5957" s="1107"/>
      <c r="D5957" s="103"/>
      <c r="E5957" s="1137"/>
      <c r="F5957" s="112"/>
      <c r="G5957" s="1110"/>
      <c r="H5957" s="1138"/>
      <c r="I5957" s="1138"/>
      <c r="J5957" s="1139"/>
      <c r="K5957" s="1111"/>
      <c r="L5957" s="1112"/>
      <c r="M5957" s="1113"/>
      <c r="N5957" s="110"/>
      <c r="O5957" s="1140"/>
      <c r="P5957" s="1115"/>
      <c r="Q5957" s="1116"/>
      <c r="R5957" s="1141"/>
      <c r="S5957" s="1113"/>
      <c r="T5957" s="1143"/>
      <c r="U5957" s="1108"/>
      <c r="V5957" s="1108"/>
      <c r="W5957" s="1108"/>
      <c r="X5957" s="1108"/>
      <c r="Y5957" s="1108"/>
      <c r="Z5957" s="1114"/>
      <c r="AA5957" s="1114"/>
      <c r="AB5957" s="1114"/>
      <c r="AC5957" s="1117"/>
      <c r="AD5957" s="1115"/>
      <c r="AE5957" s="1115"/>
      <c r="AF5957" s="1115"/>
      <c r="AG5957" s="1115"/>
      <c r="AH5957" s="1115"/>
      <c r="AI5957" s="1115"/>
      <c r="AJ5957" s="1117"/>
      <c r="AK5957" s="1118"/>
      <c r="AL5957" s="1115"/>
      <c r="AM5957" s="1115"/>
      <c r="AN5957" s="1115"/>
      <c r="AO5957" s="1115"/>
      <c r="AP5957" s="1115"/>
      <c r="AQ5957" s="1115"/>
      <c r="AR5957" s="1115"/>
      <c r="AS5957" s="1117"/>
      <c r="AT5957" s="1075"/>
      <c r="AU5957" s="1193"/>
      <c r="AV5957" s="330"/>
      <c r="AW5957" s="331"/>
      <c r="AX5957" s="331"/>
      <c r="AY5957" s="331"/>
      <c r="AZ5957" s="331"/>
      <c r="BA5957" s="331"/>
      <c r="BB5957" s="331"/>
      <c r="BC5957" s="331"/>
      <c r="BD5957" s="331"/>
      <c r="BE5957" s="333"/>
      <c r="BF5957" s="330"/>
      <c r="BG5957" s="333"/>
      <c r="BH5957" s="1119"/>
      <c r="BI5957" s="319"/>
      <c r="BJ5957" s="319"/>
      <c r="BK5957" s="319"/>
      <c r="BL5957" s="319"/>
      <c r="BM5957" s="319"/>
      <c r="BN5957" s="319"/>
      <c r="BO5957" s="319"/>
      <c r="BP5957" s="953"/>
      <c r="BQ5957" s="319"/>
      <c r="BR5957" s="319"/>
      <c r="BS5957" s="330"/>
      <c r="BT5957" s="331"/>
      <c r="BU5957" s="920"/>
      <c r="BV5957" s="903"/>
      <c r="BW5957" s="908"/>
      <c r="BX5957" s="908"/>
      <c r="BY5957" s="331"/>
      <c r="BZ5957" s="331"/>
      <c r="CA5957" s="462"/>
      <c r="CB5957" s="319"/>
      <c r="CC5957" s="319"/>
      <c r="CD5957" s="319"/>
      <c r="CE5957" s="319"/>
      <c r="CF5957" s="319"/>
      <c r="CG5957" s="319"/>
      <c r="CH5957" s="318"/>
      <c r="CI5957" s="319"/>
      <c r="CJ5957" s="319"/>
      <c r="CK5957" s="342"/>
      <c r="CL5957" s="333"/>
      <c r="CM5957" s="1079"/>
      <c r="CN5957" s="1005"/>
      <c r="CO5957" s="1005"/>
      <c r="CP5957" s="1005"/>
    </row>
    <row r="5958">
      <c r="A5958" s="1257"/>
      <c r="B5958" s="1113"/>
      <c r="C5958" s="1107"/>
      <c r="D5958" s="103"/>
      <c r="E5958" s="1137"/>
      <c r="F5958" s="112"/>
      <c r="G5958" s="1110"/>
      <c r="H5958" s="1138"/>
      <c r="I5958" s="1138"/>
      <c r="J5958" s="1139"/>
      <c r="K5958" s="1111"/>
      <c r="L5958" s="1112"/>
      <c r="M5958" s="1113"/>
      <c r="N5958" s="110"/>
      <c r="O5958" s="1140"/>
      <c r="P5958" s="1115"/>
      <c r="Q5958" s="1116"/>
      <c r="R5958" s="1141"/>
      <c r="S5958" s="1113"/>
      <c r="T5958" s="1143"/>
      <c r="U5958" s="1108"/>
      <c r="V5958" s="1108"/>
      <c r="W5958" s="1108"/>
      <c r="X5958" s="1108"/>
      <c r="Y5958" s="1108"/>
      <c r="Z5958" s="1114"/>
      <c r="AA5958" s="1114"/>
      <c r="AB5958" s="1114"/>
      <c r="AC5958" s="1117"/>
      <c r="AD5958" s="1115"/>
      <c r="AE5958" s="1115"/>
      <c r="AF5958" s="1115"/>
      <c r="AG5958" s="1115"/>
      <c r="AH5958" s="1115"/>
      <c r="AI5958" s="1115"/>
      <c r="AJ5958" s="1117"/>
      <c r="AK5958" s="1118"/>
      <c r="AL5958" s="1115"/>
      <c r="AM5958" s="1115"/>
      <c r="AN5958" s="1115"/>
      <c r="AO5958" s="1115"/>
      <c r="AP5958" s="1115"/>
      <c r="AQ5958" s="1115"/>
      <c r="AR5958" s="1115"/>
      <c r="AS5958" s="1117"/>
      <c r="AT5958" s="1075"/>
      <c r="AU5958" s="1193"/>
      <c r="AV5958" s="330"/>
      <c r="AW5958" s="331"/>
      <c r="AX5958" s="331"/>
      <c r="AY5958" s="331"/>
      <c r="AZ5958" s="331"/>
      <c r="BA5958" s="331"/>
      <c r="BB5958" s="331"/>
      <c r="BC5958" s="331"/>
      <c r="BD5958" s="331"/>
      <c r="BE5958" s="333"/>
      <c r="BF5958" s="330"/>
      <c r="BG5958" s="333"/>
      <c r="BH5958" s="1119"/>
      <c r="BI5958" s="319"/>
      <c r="BJ5958" s="319"/>
      <c r="BK5958" s="319"/>
      <c r="BL5958" s="319"/>
      <c r="BM5958" s="319"/>
      <c r="BN5958" s="319"/>
      <c r="BO5958" s="319"/>
      <c r="BP5958" s="953"/>
      <c r="BQ5958" s="319"/>
      <c r="BR5958" s="319"/>
      <c r="BS5958" s="330"/>
      <c r="BT5958" s="331"/>
      <c r="BU5958" s="920"/>
      <c r="BV5958" s="903"/>
      <c r="BW5958" s="908"/>
      <c r="BX5958" s="908"/>
      <c r="BY5958" s="331"/>
      <c r="BZ5958" s="331"/>
      <c r="CA5958" s="462"/>
      <c r="CB5958" s="319"/>
      <c r="CC5958" s="319"/>
      <c r="CD5958" s="319"/>
      <c r="CE5958" s="319"/>
      <c r="CF5958" s="319"/>
      <c r="CG5958" s="319"/>
      <c r="CH5958" s="318"/>
      <c r="CI5958" s="319"/>
      <c r="CJ5958" s="319"/>
      <c r="CK5958" s="342"/>
      <c r="CL5958" s="333"/>
      <c r="CM5958" s="1079"/>
      <c r="CN5958" s="1005"/>
      <c r="CO5958" s="1005"/>
      <c r="CP5958" s="1005"/>
    </row>
    <row r="5959">
      <c r="A5959" s="1257"/>
      <c r="B5959" s="1113"/>
      <c r="C5959" s="1107"/>
      <c r="D5959" s="103"/>
      <c r="E5959" s="1137"/>
      <c r="F5959" s="112"/>
      <c r="G5959" s="1110"/>
      <c r="H5959" s="1138"/>
      <c r="I5959" s="1138"/>
      <c r="J5959" s="1139"/>
      <c r="K5959" s="1111"/>
      <c r="L5959" s="1112"/>
      <c r="M5959" s="1113"/>
      <c r="N5959" s="110"/>
      <c r="O5959" s="1140"/>
      <c r="P5959" s="1115"/>
      <c r="Q5959" s="1116"/>
      <c r="R5959" s="1141"/>
      <c r="S5959" s="1113"/>
      <c r="T5959" s="1143"/>
      <c r="U5959" s="1108"/>
      <c r="V5959" s="1108"/>
      <c r="W5959" s="1108"/>
      <c r="X5959" s="1108"/>
      <c r="Y5959" s="1108"/>
      <c r="Z5959" s="1114"/>
      <c r="AA5959" s="1114"/>
      <c r="AB5959" s="1114"/>
      <c r="AC5959" s="1117"/>
      <c r="AD5959" s="1115"/>
      <c r="AE5959" s="1115"/>
      <c r="AF5959" s="1115"/>
      <c r="AG5959" s="1115"/>
      <c r="AH5959" s="1115"/>
      <c r="AI5959" s="1115"/>
      <c r="AJ5959" s="1117"/>
      <c r="AK5959" s="1118"/>
      <c r="AL5959" s="1115"/>
      <c r="AM5959" s="1115"/>
      <c r="AN5959" s="1115"/>
      <c r="AO5959" s="1115"/>
      <c r="AP5959" s="1115"/>
      <c r="AQ5959" s="1115"/>
      <c r="AR5959" s="1115"/>
      <c r="AS5959" s="1117"/>
      <c r="AT5959" s="1075"/>
      <c r="AU5959" s="1193"/>
      <c r="AV5959" s="330"/>
      <c r="AW5959" s="331"/>
      <c r="AX5959" s="331"/>
      <c r="AY5959" s="331"/>
      <c r="AZ5959" s="331"/>
      <c r="BA5959" s="331"/>
      <c r="BB5959" s="331"/>
      <c r="BC5959" s="331"/>
      <c r="BD5959" s="331"/>
      <c r="BE5959" s="333"/>
      <c r="BF5959" s="330"/>
      <c r="BG5959" s="333"/>
      <c r="BH5959" s="1119"/>
      <c r="BI5959" s="319"/>
      <c r="BJ5959" s="319"/>
      <c r="BK5959" s="319"/>
      <c r="BL5959" s="319"/>
      <c r="BM5959" s="319"/>
      <c r="BN5959" s="319"/>
      <c r="BO5959" s="319"/>
      <c r="BP5959" s="953"/>
      <c r="BQ5959" s="319"/>
      <c r="BR5959" s="319"/>
      <c r="BS5959" s="330"/>
      <c r="BT5959" s="331"/>
      <c r="BU5959" s="920"/>
      <c r="BV5959" s="903"/>
      <c r="BW5959" s="908"/>
      <c r="BX5959" s="908"/>
      <c r="BY5959" s="331"/>
      <c r="BZ5959" s="331"/>
      <c r="CA5959" s="462"/>
      <c r="CB5959" s="319"/>
      <c r="CC5959" s="319"/>
      <c r="CD5959" s="319"/>
      <c r="CE5959" s="319"/>
      <c r="CF5959" s="319"/>
      <c r="CG5959" s="319"/>
      <c r="CH5959" s="318"/>
      <c r="CI5959" s="319"/>
      <c r="CJ5959" s="319"/>
      <c r="CK5959" s="342"/>
      <c r="CL5959" s="333"/>
      <c r="CM5959" s="1079"/>
      <c r="CN5959" s="1005"/>
      <c r="CO5959" s="1005"/>
      <c r="CP5959" s="1005"/>
    </row>
    <row r="5960">
      <c r="A5960" s="1257"/>
      <c r="B5960" s="1113"/>
      <c r="C5960" s="1107"/>
      <c r="D5960" s="103"/>
      <c r="E5960" s="1137"/>
      <c r="F5960" s="112"/>
      <c r="G5960" s="1110"/>
      <c r="H5960" s="1138"/>
      <c r="I5960" s="1138"/>
      <c r="J5960" s="1139"/>
      <c r="K5960" s="1111"/>
      <c r="L5960" s="1112"/>
      <c r="M5960" s="1113"/>
      <c r="N5960" s="110"/>
      <c r="O5960" s="1140"/>
      <c r="P5960" s="1115"/>
      <c r="Q5960" s="1116"/>
      <c r="R5960" s="1141"/>
      <c r="S5960" s="1113"/>
      <c r="T5960" s="1143"/>
      <c r="U5960" s="1108"/>
      <c r="V5960" s="1108"/>
      <c r="W5960" s="1108"/>
      <c r="X5960" s="1108"/>
      <c r="Y5960" s="1108"/>
      <c r="Z5960" s="1114"/>
      <c r="AA5960" s="1114"/>
      <c r="AB5960" s="1114"/>
      <c r="AC5960" s="1117"/>
      <c r="AD5960" s="1115"/>
      <c r="AE5960" s="1115"/>
      <c r="AF5960" s="1115"/>
      <c r="AG5960" s="1115"/>
      <c r="AH5960" s="1115"/>
      <c r="AI5960" s="1115"/>
      <c r="AJ5960" s="1117"/>
      <c r="AK5960" s="1118"/>
      <c r="AL5960" s="1115"/>
      <c r="AM5960" s="1115"/>
      <c r="AN5960" s="1115"/>
      <c r="AO5960" s="1115"/>
      <c r="AP5960" s="1115"/>
      <c r="AQ5960" s="1115"/>
      <c r="AR5960" s="1115"/>
      <c r="AS5960" s="1117"/>
      <c r="AT5960" s="1075"/>
      <c r="AU5960" s="1193"/>
      <c r="AV5960" s="330"/>
      <c r="AW5960" s="331"/>
      <c r="AX5960" s="331"/>
      <c r="AY5960" s="331"/>
      <c r="AZ5960" s="331"/>
      <c r="BA5960" s="331"/>
      <c r="BB5960" s="331"/>
      <c r="BC5960" s="331"/>
      <c r="BD5960" s="331"/>
      <c r="BE5960" s="333"/>
      <c r="BF5960" s="330"/>
      <c r="BG5960" s="333"/>
      <c r="BH5960" s="1119"/>
      <c r="BI5960" s="319"/>
      <c r="BJ5960" s="319"/>
      <c r="BK5960" s="319"/>
      <c r="BL5960" s="319"/>
      <c r="BM5960" s="319"/>
      <c r="BN5960" s="319"/>
      <c r="BO5960" s="319"/>
      <c r="BP5960" s="953"/>
      <c r="BQ5960" s="319"/>
      <c r="BR5960" s="319"/>
      <c r="BS5960" s="330"/>
      <c r="BT5960" s="331"/>
      <c r="BU5960" s="920"/>
      <c r="BV5960" s="903"/>
      <c r="BW5960" s="908"/>
      <c r="BX5960" s="908"/>
      <c r="BY5960" s="331"/>
      <c r="BZ5960" s="331"/>
      <c r="CA5960" s="462"/>
      <c r="CB5960" s="319"/>
      <c r="CC5960" s="319"/>
      <c r="CD5960" s="319"/>
      <c r="CE5960" s="319"/>
      <c r="CF5960" s="319"/>
      <c r="CG5960" s="319"/>
      <c r="CH5960" s="318"/>
      <c r="CI5960" s="319"/>
      <c r="CJ5960" s="319"/>
      <c r="CK5960" s="342"/>
      <c r="CL5960" s="333"/>
      <c r="CM5960" s="1079"/>
      <c r="CN5960" s="1005"/>
      <c r="CO5960" s="1005"/>
      <c r="CP5960" s="1005"/>
    </row>
    <row r="5961">
      <c r="A5961" s="1257"/>
      <c r="B5961" s="1113"/>
      <c r="C5961" s="1107"/>
      <c r="D5961" s="103"/>
      <c r="E5961" s="1137"/>
      <c r="F5961" s="112"/>
      <c r="G5961" s="1110"/>
      <c r="H5961" s="1138"/>
      <c r="I5961" s="1138"/>
      <c r="J5961" s="1139"/>
      <c r="K5961" s="1111"/>
      <c r="L5961" s="1112"/>
      <c r="M5961" s="1113"/>
      <c r="N5961" s="110"/>
      <c r="O5961" s="1140"/>
      <c r="P5961" s="1115"/>
      <c r="Q5961" s="1116"/>
      <c r="R5961" s="1141"/>
      <c r="S5961" s="1113"/>
      <c r="T5961" s="1143"/>
      <c r="U5961" s="1108"/>
      <c r="V5961" s="1108"/>
      <c r="W5961" s="1108"/>
      <c r="X5961" s="1108"/>
      <c r="Y5961" s="1108"/>
      <c r="Z5961" s="1114"/>
      <c r="AA5961" s="1114"/>
      <c r="AB5961" s="1114"/>
      <c r="AC5961" s="1117"/>
      <c r="AD5961" s="1115"/>
      <c r="AE5961" s="1115"/>
      <c r="AF5961" s="1115"/>
      <c r="AG5961" s="1115"/>
      <c r="AH5961" s="1115"/>
      <c r="AI5961" s="1115"/>
      <c r="AJ5961" s="1117"/>
      <c r="AK5961" s="1118"/>
      <c r="AL5961" s="1115"/>
      <c r="AM5961" s="1115"/>
      <c r="AN5961" s="1115"/>
      <c r="AO5961" s="1115"/>
      <c r="AP5961" s="1115"/>
      <c r="AQ5961" s="1115"/>
      <c r="AR5961" s="1115"/>
      <c r="AS5961" s="1117"/>
      <c r="AT5961" s="1075"/>
      <c r="AU5961" s="1193"/>
      <c r="AV5961" s="330"/>
      <c r="AW5961" s="331"/>
      <c r="AX5961" s="331"/>
      <c r="AY5961" s="331"/>
      <c r="AZ5961" s="331"/>
      <c r="BA5961" s="331"/>
      <c r="BB5961" s="331"/>
      <c r="BC5961" s="331"/>
      <c r="BD5961" s="331"/>
      <c r="BE5961" s="333"/>
      <c r="BF5961" s="330"/>
      <c r="BG5961" s="333"/>
      <c r="BH5961" s="1119"/>
      <c r="BI5961" s="319"/>
      <c r="BJ5961" s="319"/>
      <c r="BK5961" s="319"/>
      <c r="BL5961" s="319"/>
      <c r="BM5961" s="319"/>
      <c r="BN5961" s="319"/>
      <c r="BO5961" s="319"/>
      <c r="BP5961" s="953"/>
      <c r="BQ5961" s="319"/>
      <c r="BR5961" s="319"/>
      <c r="BS5961" s="330"/>
      <c r="BT5961" s="331"/>
      <c r="BU5961" s="920"/>
      <c r="BV5961" s="903"/>
      <c r="BW5961" s="908"/>
      <c r="BX5961" s="908"/>
      <c r="BY5961" s="331"/>
      <c r="BZ5961" s="331"/>
      <c r="CA5961" s="462"/>
      <c r="CB5961" s="319"/>
      <c r="CC5961" s="319"/>
      <c r="CD5961" s="319"/>
      <c r="CE5961" s="319"/>
      <c r="CF5961" s="319"/>
      <c r="CG5961" s="319"/>
      <c r="CH5961" s="318"/>
      <c r="CI5961" s="319"/>
      <c r="CJ5961" s="319"/>
      <c r="CK5961" s="342"/>
      <c r="CL5961" s="333"/>
      <c r="CM5961" s="1079"/>
      <c r="CN5961" s="1005"/>
      <c r="CO5961" s="1005"/>
      <c r="CP5961" s="1005"/>
    </row>
    <row r="5962">
      <c r="A5962" s="1257"/>
      <c r="B5962" s="1113"/>
      <c r="C5962" s="1107"/>
      <c r="D5962" s="103"/>
      <c r="E5962" s="1137"/>
      <c r="F5962" s="112"/>
      <c r="G5962" s="1110"/>
      <c r="H5962" s="1138"/>
      <c r="I5962" s="1138"/>
      <c r="J5962" s="1139"/>
      <c r="K5962" s="1111"/>
      <c r="L5962" s="1112"/>
      <c r="M5962" s="1113"/>
      <c r="N5962" s="110"/>
      <c r="O5962" s="1140"/>
      <c r="P5962" s="1115"/>
      <c r="Q5962" s="1116"/>
      <c r="R5962" s="1141"/>
      <c r="S5962" s="1113"/>
      <c r="T5962" s="1143"/>
      <c r="U5962" s="1108"/>
      <c r="V5962" s="1108"/>
      <c r="W5962" s="1108"/>
      <c r="X5962" s="1108"/>
      <c r="Y5962" s="1108"/>
      <c r="Z5962" s="1114"/>
      <c r="AA5962" s="1114"/>
      <c r="AB5962" s="1114"/>
      <c r="AC5962" s="1117"/>
      <c r="AD5962" s="1115"/>
      <c r="AE5962" s="1115"/>
      <c r="AF5962" s="1115"/>
      <c r="AG5962" s="1115"/>
      <c r="AH5962" s="1115"/>
      <c r="AI5962" s="1115"/>
      <c r="AJ5962" s="1117"/>
      <c r="AK5962" s="1118"/>
      <c r="AL5962" s="1115"/>
      <c r="AM5962" s="1115"/>
      <c r="AN5962" s="1115"/>
      <c r="AO5962" s="1115"/>
      <c r="AP5962" s="1115"/>
      <c r="AQ5962" s="1115"/>
      <c r="AR5962" s="1115"/>
      <c r="AS5962" s="1117"/>
      <c r="AT5962" s="1075"/>
      <c r="AU5962" s="1193"/>
      <c r="AV5962" s="330"/>
      <c r="AW5962" s="331"/>
      <c r="AX5962" s="331"/>
      <c r="AY5962" s="331"/>
      <c r="AZ5962" s="331"/>
      <c r="BA5962" s="331"/>
      <c r="BB5962" s="331"/>
      <c r="BC5962" s="331"/>
      <c r="BD5962" s="331"/>
      <c r="BE5962" s="333"/>
      <c r="BF5962" s="330"/>
      <c r="BG5962" s="333"/>
      <c r="BH5962" s="1119"/>
      <c r="BI5962" s="319"/>
      <c r="BJ5962" s="319"/>
      <c r="BK5962" s="319"/>
      <c r="BL5962" s="319"/>
      <c r="BM5962" s="319"/>
      <c r="BN5962" s="319"/>
      <c r="BO5962" s="319"/>
      <c r="BP5962" s="953"/>
      <c r="BQ5962" s="319"/>
      <c r="BR5962" s="319"/>
      <c r="BS5962" s="330"/>
      <c r="BT5962" s="331"/>
      <c r="BU5962" s="920"/>
      <c r="BV5962" s="903"/>
      <c r="BW5962" s="908"/>
      <c r="BX5962" s="908"/>
      <c r="BY5962" s="331"/>
      <c r="BZ5962" s="331"/>
      <c r="CA5962" s="462"/>
      <c r="CB5962" s="319"/>
      <c r="CC5962" s="319"/>
      <c r="CD5962" s="319"/>
      <c r="CE5962" s="319"/>
      <c r="CF5962" s="319"/>
      <c r="CG5962" s="319"/>
      <c r="CH5962" s="318"/>
      <c r="CI5962" s="319"/>
      <c r="CJ5962" s="319"/>
      <c r="CK5962" s="342"/>
      <c r="CL5962" s="333"/>
      <c r="CM5962" s="1079"/>
      <c r="CN5962" s="1005"/>
      <c r="CO5962" s="1005"/>
      <c r="CP5962" s="1005"/>
    </row>
    <row r="5963">
      <c r="A5963" s="1257"/>
      <c r="B5963" s="1113"/>
      <c r="C5963" s="1107"/>
      <c r="D5963" s="103"/>
      <c r="E5963" s="1137"/>
      <c r="F5963" s="112"/>
      <c r="G5963" s="1110"/>
      <c r="H5963" s="1138"/>
      <c r="I5963" s="1138"/>
      <c r="J5963" s="1139"/>
      <c r="K5963" s="1111"/>
      <c r="L5963" s="1112"/>
      <c r="M5963" s="1113"/>
      <c r="N5963" s="110"/>
      <c r="O5963" s="1140"/>
      <c r="P5963" s="1115"/>
      <c r="Q5963" s="1116"/>
      <c r="R5963" s="1141"/>
      <c r="S5963" s="1113"/>
      <c r="T5963" s="1143"/>
      <c r="U5963" s="1108"/>
      <c r="V5963" s="1108"/>
      <c r="W5963" s="1108"/>
      <c r="X5963" s="1108"/>
      <c r="Y5963" s="1108"/>
      <c r="Z5963" s="1114"/>
      <c r="AA5963" s="1114"/>
      <c r="AB5963" s="1114"/>
      <c r="AC5963" s="1117"/>
      <c r="AD5963" s="1115"/>
      <c r="AE5963" s="1115"/>
      <c r="AF5963" s="1115"/>
      <c r="AG5963" s="1115"/>
      <c r="AH5963" s="1115"/>
      <c r="AI5963" s="1115"/>
      <c r="AJ5963" s="1117"/>
      <c r="AK5963" s="1118"/>
      <c r="AL5963" s="1115"/>
      <c r="AM5963" s="1115"/>
      <c r="AN5963" s="1115"/>
      <c r="AO5963" s="1115"/>
      <c r="AP5963" s="1115"/>
      <c r="AQ5963" s="1115"/>
      <c r="AR5963" s="1115"/>
      <c r="AS5963" s="1117"/>
      <c r="AT5963" s="1075"/>
      <c r="AU5963" s="1193"/>
      <c r="AV5963" s="330"/>
      <c r="AW5963" s="331"/>
      <c r="AX5963" s="331"/>
      <c r="AY5963" s="331"/>
      <c r="AZ5963" s="331"/>
      <c r="BA5963" s="331"/>
      <c r="BB5963" s="331"/>
      <c r="BC5963" s="331"/>
      <c r="BD5963" s="331"/>
      <c r="BE5963" s="333"/>
      <c r="BF5963" s="330"/>
      <c r="BG5963" s="333"/>
      <c r="BH5963" s="1119"/>
      <c r="BI5963" s="319"/>
      <c r="BJ5963" s="319"/>
      <c r="BK5963" s="319"/>
      <c r="BL5963" s="319"/>
      <c r="BM5963" s="319"/>
      <c r="BN5963" s="319"/>
      <c r="BO5963" s="319"/>
      <c r="BP5963" s="953"/>
      <c r="BQ5963" s="319"/>
      <c r="BR5963" s="319"/>
      <c r="BS5963" s="330"/>
      <c r="BT5963" s="331"/>
      <c r="BU5963" s="920"/>
      <c r="BV5963" s="903"/>
      <c r="BW5963" s="908"/>
      <c r="BX5963" s="908"/>
      <c r="BY5963" s="331"/>
      <c r="BZ5963" s="331"/>
      <c r="CA5963" s="462"/>
      <c r="CB5963" s="319"/>
      <c r="CC5963" s="319"/>
      <c r="CD5963" s="319"/>
      <c r="CE5963" s="319"/>
      <c r="CF5963" s="319"/>
      <c r="CG5963" s="319"/>
      <c r="CH5963" s="318"/>
      <c r="CI5963" s="319"/>
      <c r="CJ5963" s="319"/>
      <c r="CK5963" s="342"/>
      <c r="CL5963" s="333"/>
      <c r="CM5963" s="1079"/>
      <c r="CN5963" s="1005"/>
      <c r="CO5963" s="1005"/>
      <c r="CP5963" s="1005"/>
    </row>
    <row r="5964">
      <c r="A5964" s="1257"/>
      <c r="B5964" s="1113"/>
      <c r="C5964" s="1107"/>
      <c r="D5964" s="103"/>
      <c r="E5964" s="1137"/>
      <c r="F5964" s="112"/>
      <c r="G5964" s="1110"/>
      <c r="H5964" s="1138"/>
      <c r="I5964" s="1138"/>
      <c r="J5964" s="1139"/>
      <c r="K5964" s="1111"/>
      <c r="L5964" s="1112"/>
      <c r="M5964" s="1113"/>
      <c r="N5964" s="110"/>
      <c r="O5964" s="1140"/>
      <c r="P5964" s="1115"/>
      <c r="Q5964" s="1116"/>
      <c r="R5964" s="1141"/>
      <c r="S5964" s="1113"/>
      <c r="T5964" s="1143"/>
      <c r="U5964" s="1108"/>
      <c r="V5964" s="1108"/>
      <c r="W5964" s="1108"/>
      <c r="X5964" s="1108"/>
      <c r="Y5964" s="1108"/>
      <c r="Z5964" s="1114"/>
      <c r="AA5964" s="1114"/>
      <c r="AB5964" s="1114"/>
      <c r="AC5964" s="1117"/>
      <c r="AD5964" s="1115"/>
      <c r="AE5964" s="1115"/>
      <c r="AF5964" s="1115"/>
      <c r="AG5964" s="1115"/>
      <c r="AH5964" s="1115"/>
      <c r="AI5964" s="1115"/>
      <c r="AJ5964" s="1117"/>
      <c r="AK5964" s="1118"/>
      <c r="AL5964" s="1115"/>
      <c r="AM5964" s="1115"/>
      <c r="AN5964" s="1115"/>
      <c r="AO5964" s="1115"/>
      <c r="AP5964" s="1115"/>
      <c r="AQ5964" s="1115"/>
      <c r="AR5964" s="1115"/>
      <c r="AS5964" s="1117"/>
      <c r="AT5964" s="1075"/>
      <c r="AU5964" s="1193"/>
      <c r="AV5964" s="330"/>
      <c r="AW5964" s="331"/>
      <c r="AX5964" s="331"/>
      <c r="AY5964" s="331"/>
      <c r="AZ5964" s="331"/>
      <c r="BA5964" s="331"/>
      <c r="BB5964" s="331"/>
      <c r="BC5964" s="331"/>
      <c r="BD5964" s="331"/>
      <c r="BE5964" s="333"/>
      <c r="BF5964" s="330"/>
      <c r="BG5964" s="333"/>
      <c r="BH5964" s="1119"/>
      <c r="BI5964" s="319"/>
      <c r="BJ5964" s="319"/>
      <c r="BK5964" s="319"/>
      <c r="BL5964" s="319"/>
      <c r="BM5964" s="319"/>
      <c r="BN5964" s="319"/>
      <c r="BO5964" s="319"/>
      <c r="BP5964" s="953"/>
      <c r="BQ5964" s="319"/>
      <c r="BR5964" s="319"/>
      <c r="BS5964" s="330"/>
      <c r="BT5964" s="331"/>
      <c r="BU5964" s="920"/>
      <c r="BV5964" s="903"/>
      <c r="BW5964" s="908"/>
      <c r="BX5964" s="908"/>
      <c r="BY5964" s="331"/>
      <c r="BZ5964" s="331"/>
      <c r="CA5964" s="462"/>
      <c r="CB5964" s="319"/>
      <c r="CC5964" s="319"/>
      <c r="CD5964" s="319"/>
      <c r="CE5964" s="319"/>
      <c r="CF5964" s="319"/>
      <c r="CG5964" s="319"/>
      <c r="CH5964" s="318"/>
      <c r="CI5964" s="319"/>
      <c r="CJ5964" s="319"/>
      <c r="CK5964" s="342"/>
      <c r="CL5964" s="333"/>
      <c r="CM5964" s="1079"/>
      <c r="CN5964" s="1005"/>
      <c r="CO5964" s="1005"/>
      <c r="CP5964" s="1005"/>
    </row>
    <row r="5965">
      <c r="A5965" s="1257"/>
      <c r="B5965" s="1113"/>
      <c r="C5965" s="1107"/>
      <c r="D5965" s="103"/>
      <c r="E5965" s="1137"/>
      <c r="F5965" s="112"/>
      <c r="G5965" s="1110"/>
      <c r="H5965" s="1138"/>
      <c r="I5965" s="1138"/>
      <c r="J5965" s="1139"/>
      <c r="K5965" s="1111"/>
      <c r="L5965" s="1112"/>
      <c r="M5965" s="1113"/>
      <c r="N5965" s="110"/>
      <c r="O5965" s="1140"/>
      <c r="P5965" s="1115"/>
      <c r="Q5965" s="1116"/>
      <c r="R5965" s="1141"/>
      <c r="S5965" s="1113"/>
      <c r="T5965" s="1143"/>
      <c r="U5965" s="1108"/>
      <c r="V5965" s="1108"/>
      <c r="W5965" s="1108"/>
      <c r="X5965" s="1108"/>
      <c r="Y5965" s="1108"/>
      <c r="Z5965" s="1114"/>
      <c r="AA5965" s="1114"/>
      <c r="AB5965" s="1114"/>
      <c r="AC5965" s="1117"/>
      <c r="AD5965" s="1115"/>
      <c r="AE5965" s="1115"/>
      <c r="AF5965" s="1115"/>
      <c r="AG5965" s="1115"/>
      <c r="AH5965" s="1115"/>
      <c r="AI5965" s="1115"/>
      <c r="AJ5965" s="1117"/>
      <c r="AK5965" s="1118"/>
      <c r="AL5965" s="1115"/>
      <c r="AM5965" s="1115"/>
      <c r="AN5965" s="1115"/>
      <c r="AO5965" s="1115"/>
      <c r="AP5965" s="1115"/>
      <c r="AQ5965" s="1115"/>
      <c r="AR5965" s="1115"/>
      <c r="AS5965" s="1117"/>
      <c r="AT5965" s="1075"/>
      <c r="AU5965" s="1193"/>
      <c r="AV5965" s="330"/>
      <c r="AW5965" s="331"/>
      <c r="AX5965" s="331"/>
      <c r="AY5965" s="331"/>
      <c r="AZ5965" s="331"/>
      <c r="BA5965" s="331"/>
      <c r="BB5965" s="331"/>
      <c r="BC5965" s="331"/>
      <c r="BD5965" s="331"/>
      <c r="BE5965" s="333"/>
      <c r="BF5965" s="330"/>
      <c r="BG5965" s="333"/>
      <c r="BH5965" s="1119"/>
      <c r="BI5965" s="319"/>
      <c r="BJ5965" s="319"/>
      <c r="BK5965" s="319"/>
      <c r="BL5965" s="319"/>
      <c r="BM5965" s="319"/>
      <c r="BN5965" s="319"/>
      <c r="BO5965" s="319"/>
      <c r="BP5965" s="953"/>
      <c r="BQ5965" s="319"/>
      <c r="BR5965" s="319"/>
      <c r="BS5965" s="330"/>
      <c r="BT5965" s="331"/>
      <c r="BU5965" s="920"/>
      <c r="BV5965" s="903"/>
      <c r="BW5965" s="908"/>
      <c r="BX5965" s="908"/>
      <c r="BY5965" s="331"/>
      <c r="BZ5965" s="331"/>
      <c r="CA5965" s="462"/>
      <c r="CB5965" s="319"/>
      <c r="CC5965" s="319"/>
      <c r="CD5965" s="319"/>
      <c r="CE5965" s="319"/>
      <c r="CF5965" s="319"/>
      <c r="CG5965" s="319"/>
      <c r="CH5965" s="318"/>
      <c r="CI5965" s="319"/>
      <c r="CJ5965" s="319"/>
      <c r="CK5965" s="342"/>
      <c r="CL5965" s="333"/>
      <c r="CM5965" s="1079"/>
      <c r="CN5965" s="1005"/>
      <c r="CO5965" s="1005"/>
      <c r="CP5965" s="1005"/>
    </row>
    <row r="5966">
      <c r="A5966" s="1257"/>
      <c r="B5966" s="1113"/>
      <c r="C5966" s="1107"/>
      <c r="D5966" s="103"/>
      <c r="E5966" s="1137"/>
      <c r="F5966" s="112"/>
      <c r="G5966" s="1110"/>
      <c r="H5966" s="1138"/>
      <c r="I5966" s="1138"/>
      <c r="J5966" s="1139"/>
      <c r="K5966" s="1111"/>
      <c r="L5966" s="1112"/>
      <c r="M5966" s="1113"/>
      <c r="N5966" s="110"/>
      <c r="O5966" s="1140"/>
      <c r="P5966" s="1115"/>
      <c r="Q5966" s="1116"/>
      <c r="R5966" s="1141"/>
      <c r="S5966" s="1113"/>
      <c r="T5966" s="1143"/>
      <c r="U5966" s="1108"/>
      <c r="V5966" s="1108"/>
      <c r="W5966" s="1108"/>
      <c r="X5966" s="1108"/>
      <c r="Y5966" s="1108"/>
      <c r="Z5966" s="1114"/>
      <c r="AA5966" s="1114"/>
      <c r="AB5966" s="1114"/>
      <c r="AC5966" s="1117"/>
      <c r="AD5966" s="1115"/>
      <c r="AE5966" s="1115"/>
      <c r="AF5966" s="1115"/>
      <c r="AG5966" s="1115"/>
      <c r="AH5966" s="1115"/>
      <c r="AI5966" s="1115"/>
      <c r="AJ5966" s="1117"/>
      <c r="AK5966" s="1118"/>
      <c r="AL5966" s="1115"/>
      <c r="AM5966" s="1115"/>
      <c r="AN5966" s="1115"/>
      <c r="AO5966" s="1115"/>
      <c r="AP5966" s="1115"/>
      <c r="AQ5966" s="1115"/>
      <c r="AR5966" s="1115"/>
      <c r="AS5966" s="1117"/>
      <c r="AT5966" s="1075"/>
      <c r="AU5966" s="1193"/>
      <c r="AV5966" s="330"/>
      <c r="AW5966" s="331"/>
      <c r="AX5966" s="331"/>
      <c r="AY5966" s="331"/>
      <c r="AZ5966" s="331"/>
      <c r="BA5966" s="331"/>
      <c r="BB5966" s="331"/>
      <c r="BC5966" s="331"/>
      <c r="BD5966" s="331"/>
      <c r="BE5966" s="333"/>
      <c r="BF5966" s="330"/>
      <c r="BG5966" s="333"/>
      <c r="BH5966" s="1119"/>
      <c r="BI5966" s="319"/>
      <c r="BJ5966" s="319"/>
      <c r="BK5966" s="319"/>
      <c r="BL5966" s="319"/>
      <c r="BM5966" s="319"/>
      <c r="BN5966" s="319"/>
      <c r="BO5966" s="319"/>
      <c r="BP5966" s="953"/>
      <c r="BQ5966" s="319"/>
      <c r="BR5966" s="319"/>
      <c r="BS5966" s="330"/>
      <c r="BT5966" s="331"/>
      <c r="BU5966" s="920"/>
      <c r="BV5966" s="903"/>
      <c r="BW5966" s="908"/>
      <c r="BX5966" s="908"/>
      <c r="BY5966" s="331"/>
      <c r="BZ5966" s="331"/>
      <c r="CA5966" s="462"/>
      <c r="CB5966" s="319"/>
      <c r="CC5966" s="319"/>
      <c r="CD5966" s="319"/>
      <c r="CE5966" s="319"/>
      <c r="CF5966" s="319"/>
      <c r="CG5966" s="319"/>
      <c r="CH5966" s="318"/>
      <c r="CI5966" s="319"/>
      <c r="CJ5966" s="319"/>
      <c r="CK5966" s="342"/>
      <c r="CL5966" s="333"/>
      <c r="CM5966" s="1079"/>
      <c r="CN5966" s="1005"/>
      <c r="CO5966" s="1005"/>
      <c r="CP5966" s="1005"/>
    </row>
    <row r="5967">
      <c r="A5967" s="1257"/>
      <c r="B5967" s="1113"/>
      <c r="C5967" s="1107"/>
      <c r="D5967" s="103"/>
      <c r="E5967" s="1137"/>
      <c r="F5967" s="112"/>
      <c r="G5967" s="1110"/>
      <c r="H5967" s="1138"/>
      <c r="I5967" s="1138"/>
      <c r="J5967" s="1139"/>
      <c r="K5967" s="1111"/>
      <c r="L5967" s="1112"/>
      <c r="M5967" s="1113"/>
      <c r="N5967" s="110"/>
      <c r="O5967" s="1140"/>
      <c r="P5967" s="1115"/>
      <c r="Q5967" s="1116"/>
      <c r="R5967" s="1141"/>
      <c r="S5967" s="1113"/>
      <c r="T5967" s="1143"/>
      <c r="U5967" s="1108"/>
      <c r="V5967" s="1108"/>
      <c r="W5967" s="1108"/>
      <c r="X5967" s="1108"/>
      <c r="Y5967" s="1108"/>
      <c r="Z5967" s="1114"/>
      <c r="AA5967" s="1114"/>
      <c r="AB5967" s="1114"/>
      <c r="AC5967" s="1117"/>
      <c r="AD5967" s="1115"/>
      <c r="AE5967" s="1115"/>
      <c r="AF5967" s="1115"/>
      <c r="AG5967" s="1115"/>
      <c r="AH5967" s="1115"/>
      <c r="AI5967" s="1115"/>
      <c r="AJ5967" s="1117"/>
      <c r="AK5967" s="1118"/>
      <c r="AL5967" s="1115"/>
      <c r="AM5967" s="1115"/>
      <c r="AN5967" s="1115"/>
      <c r="AO5967" s="1115"/>
      <c r="AP5967" s="1115"/>
      <c r="AQ5967" s="1115"/>
      <c r="AR5967" s="1115"/>
      <c r="AS5967" s="1117"/>
      <c r="AT5967" s="1075"/>
      <c r="AU5967" s="1193"/>
      <c r="AV5967" s="330"/>
      <c r="AW5967" s="331"/>
      <c r="AX5967" s="331"/>
      <c r="AY5967" s="331"/>
      <c r="AZ5967" s="331"/>
      <c r="BA5967" s="331"/>
      <c r="BB5967" s="331"/>
      <c r="BC5967" s="331"/>
      <c r="BD5967" s="331"/>
      <c r="BE5967" s="333"/>
      <c r="BF5967" s="330"/>
      <c r="BG5967" s="333"/>
      <c r="BH5967" s="1119"/>
      <c r="BI5967" s="319"/>
      <c r="BJ5967" s="319"/>
      <c r="BK5967" s="319"/>
      <c r="BL5967" s="319"/>
      <c r="BM5967" s="319"/>
      <c r="BN5967" s="319"/>
      <c r="BO5967" s="319"/>
      <c r="BP5967" s="953"/>
      <c r="BQ5967" s="319"/>
      <c r="BR5967" s="319"/>
      <c r="BS5967" s="330"/>
      <c r="BT5967" s="331"/>
      <c r="BU5967" s="920"/>
      <c r="BV5967" s="903"/>
      <c r="BW5967" s="908"/>
      <c r="BX5967" s="908"/>
      <c r="BY5967" s="331"/>
      <c r="BZ5967" s="331"/>
      <c r="CA5967" s="462"/>
      <c r="CB5967" s="319"/>
      <c r="CC5967" s="319"/>
      <c r="CD5967" s="319"/>
      <c r="CE5967" s="319"/>
      <c r="CF5967" s="319"/>
      <c r="CG5967" s="319"/>
      <c r="CH5967" s="318"/>
      <c r="CI5967" s="319"/>
      <c r="CJ5967" s="319"/>
      <c r="CK5967" s="342"/>
      <c r="CL5967" s="333"/>
      <c r="CM5967" s="1079"/>
      <c r="CN5967" s="1005"/>
      <c r="CO5967" s="1005"/>
      <c r="CP5967" s="1005"/>
    </row>
    <row r="5968">
      <c r="A5968" s="1257"/>
      <c r="B5968" s="1113"/>
      <c r="C5968" s="1107"/>
      <c r="D5968" s="103"/>
      <c r="E5968" s="1137"/>
      <c r="F5968" s="112"/>
      <c r="G5968" s="1110"/>
      <c r="H5968" s="1138"/>
      <c r="I5968" s="1138"/>
      <c r="J5968" s="1139"/>
      <c r="K5968" s="1111"/>
      <c r="L5968" s="1112"/>
      <c r="M5968" s="1113"/>
      <c r="N5968" s="110"/>
      <c r="O5968" s="1140"/>
      <c r="P5968" s="1115"/>
      <c r="Q5968" s="1116"/>
      <c r="R5968" s="1141"/>
      <c r="S5968" s="1113"/>
      <c r="T5968" s="1143"/>
      <c r="U5968" s="1108"/>
      <c r="V5968" s="1108"/>
      <c r="W5968" s="1108"/>
      <c r="X5968" s="1108"/>
      <c r="Y5968" s="1108"/>
      <c r="Z5968" s="1114"/>
      <c r="AA5968" s="1114"/>
      <c r="AB5968" s="1114"/>
      <c r="AC5968" s="1117"/>
      <c r="AD5968" s="1115"/>
      <c r="AE5968" s="1115"/>
      <c r="AF5968" s="1115"/>
      <c r="AG5968" s="1115"/>
      <c r="AH5968" s="1115"/>
      <c r="AI5968" s="1115"/>
      <c r="AJ5968" s="1117"/>
      <c r="AK5968" s="1118"/>
      <c r="AL5968" s="1115"/>
      <c r="AM5968" s="1115"/>
      <c r="AN5968" s="1115"/>
      <c r="AO5968" s="1115"/>
      <c r="AP5968" s="1115"/>
      <c r="AQ5968" s="1115"/>
      <c r="AR5968" s="1115"/>
      <c r="AS5968" s="1117"/>
      <c r="AT5968" s="1075"/>
      <c r="AU5968" s="1193"/>
      <c r="AV5968" s="330"/>
      <c r="AW5968" s="331"/>
      <c r="AX5968" s="331"/>
      <c r="AY5968" s="331"/>
      <c r="AZ5968" s="331"/>
      <c r="BA5968" s="331"/>
      <c r="BB5968" s="331"/>
      <c r="BC5968" s="331"/>
      <c r="BD5968" s="331"/>
      <c r="BE5968" s="333"/>
      <c r="BF5968" s="330"/>
      <c r="BG5968" s="333"/>
      <c r="BH5968" s="1119"/>
      <c r="BI5968" s="319"/>
      <c r="BJ5968" s="319"/>
      <c r="BK5968" s="319"/>
      <c r="BL5968" s="319"/>
      <c r="BM5968" s="319"/>
      <c r="BN5968" s="319"/>
      <c r="BO5968" s="319"/>
      <c r="BP5968" s="953"/>
      <c r="BQ5968" s="319"/>
      <c r="BR5968" s="319"/>
      <c r="BS5968" s="330"/>
      <c r="BT5968" s="331"/>
      <c r="BU5968" s="920"/>
      <c r="BV5968" s="903"/>
      <c r="BW5968" s="908"/>
      <c r="BX5968" s="908"/>
      <c r="BY5968" s="331"/>
      <c r="BZ5968" s="331"/>
      <c r="CA5968" s="462"/>
      <c r="CB5968" s="319"/>
      <c r="CC5968" s="319"/>
      <c r="CD5968" s="319"/>
      <c r="CE5968" s="319"/>
      <c r="CF5968" s="319"/>
      <c r="CG5968" s="319"/>
      <c r="CH5968" s="318"/>
      <c r="CI5968" s="319"/>
      <c r="CJ5968" s="319"/>
      <c r="CK5968" s="342"/>
      <c r="CL5968" s="333"/>
      <c r="CM5968" s="1079"/>
      <c r="CN5968" s="1005"/>
      <c r="CO5968" s="1005"/>
      <c r="CP5968" s="1005"/>
    </row>
    <row r="5969">
      <c r="A5969" s="1257"/>
      <c r="B5969" s="1113"/>
      <c r="C5969" s="1107"/>
      <c r="D5969" s="103"/>
      <c r="E5969" s="1137"/>
      <c r="F5969" s="112"/>
      <c r="G5969" s="1110"/>
      <c r="H5969" s="1138"/>
      <c r="I5969" s="1138"/>
      <c r="J5969" s="1139"/>
      <c r="K5969" s="1111"/>
      <c r="L5969" s="1112"/>
      <c r="M5969" s="1113"/>
      <c r="N5969" s="110"/>
      <c r="O5969" s="1140"/>
      <c r="P5969" s="1115"/>
      <c r="Q5969" s="1116"/>
      <c r="R5969" s="1141"/>
      <c r="S5969" s="1113"/>
      <c r="T5969" s="1143"/>
      <c r="U5969" s="1108"/>
      <c r="V5969" s="1108"/>
      <c r="W5969" s="1108"/>
      <c r="X5969" s="1108"/>
      <c r="Y5969" s="1108"/>
      <c r="Z5969" s="1114"/>
      <c r="AA5969" s="1114"/>
      <c r="AB5969" s="1114"/>
      <c r="AC5969" s="1117"/>
      <c r="AD5969" s="1115"/>
      <c r="AE5969" s="1115"/>
      <c r="AF5969" s="1115"/>
      <c r="AG5969" s="1115"/>
      <c r="AH5969" s="1115"/>
      <c r="AI5969" s="1115"/>
      <c r="AJ5969" s="1117"/>
      <c r="AK5969" s="1118"/>
      <c r="AL5969" s="1115"/>
      <c r="AM5969" s="1115"/>
      <c r="AN5969" s="1115"/>
      <c r="AO5969" s="1115"/>
      <c r="AP5969" s="1115"/>
      <c r="AQ5969" s="1115"/>
      <c r="AR5969" s="1115"/>
      <c r="AS5969" s="1117"/>
      <c r="AT5969" s="1075"/>
      <c r="AU5969" s="1193"/>
      <c r="AV5969" s="330"/>
      <c r="AW5969" s="331"/>
      <c r="AX5969" s="331"/>
      <c r="AY5969" s="331"/>
      <c r="AZ5969" s="331"/>
      <c r="BA5969" s="331"/>
      <c r="BB5969" s="331"/>
      <c r="BC5969" s="331"/>
      <c r="BD5969" s="331"/>
      <c r="BE5969" s="333"/>
      <c r="BF5969" s="330"/>
      <c r="BG5969" s="333"/>
      <c r="BH5969" s="1119"/>
      <c r="BI5969" s="319"/>
      <c r="BJ5969" s="319"/>
      <c r="BK5969" s="319"/>
      <c r="BL5969" s="319"/>
      <c r="BM5969" s="319"/>
      <c r="BN5969" s="319"/>
      <c r="BO5969" s="319"/>
      <c r="BP5969" s="953"/>
      <c r="BQ5969" s="319"/>
      <c r="BR5969" s="319"/>
      <c r="BS5969" s="330"/>
      <c r="BT5969" s="331"/>
      <c r="BU5969" s="920"/>
      <c r="BV5969" s="903"/>
      <c r="BW5969" s="908"/>
      <c r="BX5969" s="908"/>
      <c r="BY5969" s="331"/>
      <c r="BZ5969" s="331"/>
      <c r="CA5969" s="462"/>
      <c r="CB5969" s="319"/>
      <c r="CC5969" s="319"/>
      <c r="CD5969" s="319"/>
      <c r="CE5969" s="319"/>
      <c r="CF5969" s="319"/>
      <c r="CG5969" s="319"/>
      <c r="CH5969" s="318"/>
      <c r="CI5969" s="319"/>
      <c r="CJ5969" s="319"/>
      <c r="CK5969" s="342"/>
      <c r="CL5969" s="333"/>
      <c r="CM5969" s="1079"/>
      <c r="CN5969" s="1005"/>
      <c r="CO5969" s="1005"/>
      <c r="CP5969" s="1005"/>
    </row>
    <row r="5970">
      <c r="A5970" s="1257"/>
      <c r="B5970" s="1113"/>
      <c r="C5970" s="1107"/>
      <c r="D5970" s="103"/>
      <c r="E5970" s="1137"/>
      <c r="F5970" s="112"/>
      <c r="G5970" s="1110"/>
      <c r="H5970" s="1138"/>
      <c r="I5970" s="1138"/>
      <c r="J5970" s="1139"/>
      <c r="K5970" s="1111"/>
      <c r="L5970" s="1112"/>
      <c r="M5970" s="1113"/>
      <c r="N5970" s="110"/>
      <c r="O5970" s="1140"/>
      <c r="P5970" s="1115"/>
      <c r="Q5970" s="1116"/>
      <c r="R5970" s="1141"/>
      <c r="S5970" s="1113"/>
      <c r="T5970" s="1143"/>
      <c r="U5970" s="1108"/>
      <c r="V5970" s="1108"/>
      <c r="W5970" s="1108"/>
      <c r="X5970" s="1108"/>
      <c r="Y5970" s="1108"/>
      <c r="Z5970" s="1114"/>
      <c r="AA5970" s="1114"/>
      <c r="AB5970" s="1114"/>
      <c r="AC5970" s="1117"/>
      <c r="AD5970" s="1115"/>
      <c r="AE5970" s="1115"/>
      <c r="AF5970" s="1115"/>
      <c r="AG5970" s="1115"/>
      <c r="AH5970" s="1115"/>
      <c r="AI5970" s="1115"/>
      <c r="AJ5970" s="1117"/>
      <c r="AK5970" s="1118"/>
      <c r="AL5970" s="1115"/>
      <c r="AM5970" s="1115"/>
      <c r="AN5970" s="1115"/>
      <c r="AO5970" s="1115"/>
      <c r="AP5970" s="1115"/>
      <c r="AQ5970" s="1115"/>
      <c r="AR5970" s="1115"/>
      <c r="AS5970" s="1117"/>
      <c r="AT5970" s="1075"/>
      <c r="AU5970" s="1193"/>
      <c r="AV5970" s="330"/>
      <c r="AW5970" s="331"/>
      <c r="AX5970" s="331"/>
      <c r="AY5970" s="331"/>
      <c r="AZ5970" s="331"/>
      <c r="BA5970" s="331"/>
      <c r="BB5970" s="331"/>
      <c r="BC5970" s="331"/>
      <c r="BD5970" s="331"/>
      <c r="BE5970" s="333"/>
      <c r="BF5970" s="330"/>
      <c r="BG5970" s="333"/>
      <c r="BH5970" s="1119"/>
      <c r="BI5970" s="319"/>
      <c r="BJ5970" s="319"/>
      <c r="BK5970" s="319"/>
      <c r="BL5970" s="319"/>
      <c r="BM5970" s="319"/>
      <c r="BN5970" s="319"/>
      <c r="BO5970" s="319"/>
      <c r="BP5970" s="953"/>
      <c r="BQ5970" s="319"/>
      <c r="BR5970" s="319"/>
      <c r="BS5970" s="330"/>
      <c r="BT5970" s="331"/>
      <c r="BU5970" s="920"/>
      <c r="BV5970" s="903"/>
      <c r="BW5970" s="908"/>
      <c r="BX5970" s="908"/>
      <c r="BY5970" s="331"/>
      <c r="BZ5970" s="331"/>
      <c r="CA5970" s="462"/>
      <c r="CB5970" s="319"/>
      <c r="CC5970" s="319"/>
      <c r="CD5970" s="319"/>
      <c r="CE5970" s="319"/>
      <c r="CF5970" s="319"/>
      <c r="CG5970" s="319"/>
      <c r="CH5970" s="318"/>
      <c r="CI5970" s="319"/>
      <c r="CJ5970" s="319"/>
      <c r="CK5970" s="342"/>
      <c r="CL5970" s="333"/>
      <c r="CM5970" s="1079"/>
      <c r="CN5970" s="1005"/>
      <c r="CO5970" s="1005"/>
      <c r="CP5970" s="1005"/>
    </row>
    <row r="5971">
      <c r="A5971" s="1257"/>
      <c r="B5971" s="1113"/>
      <c r="C5971" s="1107"/>
      <c r="D5971" s="103"/>
      <c r="E5971" s="1137"/>
      <c r="F5971" s="112"/>
      <c r="G5971" s="1110"/>
      <c r="H5971" s="1138"/>
      <c r="I5971" s="1138"/>
      <c r="J5971" s="1139"/>
      <c r="K5971" s="1111"/>
      <c r="L5971" s="1112"/>
      <c r="M5971" s="1113"/>
      <c r="N5971" s="110"/>
      <c r="O5971" s="1140"/>
      <c r="P5971" s="1115"/>
      <c r="Q5971" s="1116"/>
      <c r="R5971" s="1141"/>
      <c r="S5971" s="1113"/>
      <c r="T5971" s="1143"/>
      <c r="U5971" s="1108"/>
      <c r="V5971" s="1108"/>
      <c r="W5971" s="1108"/>
      <c r="X5971" s="1108"/>
      <c r="Y5971" s="1108"/>
      <c r="Z5971" s="1114"/>
      <c r="AA5971" s="1114"/>
      <c r="AB5971" s="1114"/>
      <c r="AC5971" s="1117"/>
      <c r="AD5971" s="1115"/>
      <c r="AE5971" s="1115"/>
      <c r="AF5971" s="1115"/>
      <c r="AG5971" s="1115"/>
      <c r="AH5971" s="1115"/>
      <c r="AI5971" s="1115"/>
      <c r="AJ5971" s="1117"/>
      <c r="AK5971" s="1118"/>
      <c r="AL5971" s="1115"/>
      <c r="AM5971" s="1115"/>
      <c r="AN5971" s="1115"/>
      <c r="AO5971" s="1115"/>
      <c r="AP5971" s="1115"/>
      <c r="AQ5971" s="1115"/>
      <c r="AR5971" s="1115"/>
      <c r="AS5971" s="1117"/>
      <c r="AT5971" s="1075"/>
      <c r="AU5971" s="1193"/>
      <c r="AV5971" s="330"/>
      <c r="AW5971" s="331"/>
      <c r="AX5971" s="331"/>
      <c r="AY5971" s="331"/>
      <c r="AZ5971" s="331"/>
      <c r="BA5971" s="331"/>
      <c r="BB5971" s="331"/>
      <c r="BC5971" s="331"/>
      <c r="BD5971" s="331"/>
      <c r="BE5971" s="333"/>
      <c r="BF5971" s="330"/>
      <c r="BG5971" s="333"/>
      <c r="BH5971" s="1119"/>
      <c r="BI5971" s="319"/>
      <c r="BJ5971" s="319"/>
      <c r="BK5971" s="319"/>
      <c r="BL5971" s="319"/>
      <c r="BM5971" s="319"/>
      <c r="BN5971" s="319"/>
      <c r="BO5971" s="319"/>
      <c r="BP5971" s="953"/>
      <c r="BQ5971" s="319"/>
      <c r="BR5971" s="319"/>
      <c r="BS5971" s="330"/>
      <c r="BT5971" s="331"/>
      <c r="BU5971" s="920"/>
      <c r="BV5971" s="903"/>
      <c r="BW5971" s="908"/>
      <c r="BX5971" s="908"/>
      <c r="BY5971" s="331"/>
      <c r="BZ5971" s="331"/>
      <c r="CA5971" s="462"/>
      <c r="CB5971" s="319"/>
      <c r="CC5971" s="319"/>
      <c r="CD5971" s="319"/>
      <c r="CE5971" s="319"/>
      <c r="CF5971" s="319"/>
      <c r="CG5971" s="319"/>
      <c r="CH5971" s="318"/>
      <c r="CI5971" s="319"/>
      <c r="CJ5971" s="319"/>
      <c r="CK5971" s="342"/>
      <c r="CL5971" s="333"/>
      <c r="CM5971" s="1079"/>
      <c r="CN5971" s="1005"/>
      <c r="CO5971" s="1005"/>
      <c r="CP5971" s="1005"/>
    </row>
    <row r="5972">
      <c r="A5972" s="1257"/>
      <c r="B5972" s="1113"/>
      <c r="C5972" s="1107"/>
      <c r="D5972" s="103"/>
      <c r="E5972" s="1137"/>
      <c r="F5972" s="112"/>
      <c r="G5972" s="1110"/>
      <c r="H5972" s="1138"/>
      <c r="I5972" s="1138"/>
      <c r="J5972" s="1139"/>
      <c r="K5972" s="1111"/>
      <c r="L5972" s="1112"/>
      <c r="M5972" s="1113"/>
      <c r="N5972" s="110"/>
      <c r="O5972" s="1140"/>
      <c r="P5972" s="1115"/>
      <c r="Q5972" s="1116"/>
      <c r="R5972" s="1141"/>
      <c r="S5972" s="1113"/>
      <c r="T5972" s="1143"/>
      <c r="U5972" s="1108"/>
      <c r="V5972" s="1108"/>
      <c r="W5972" s="1108"/>
      <c r="X5972" s="1108"/>
      <c r="Y5972" s="1108"/>
      <c r="Z5972" s="1114"/>
      <c r="AA5972" s="1114"/>
      <c r="AB5972" s="1114"/>
      <c r="AC5972" s="1117"/>
      <c r="AD5972" s="1115"/>
      <c r="AE5972" s="1115"/>
      <c r="AF5972" s="1115"/>
      <c r="AG5972" s="1115"/>
      <c r="AH5972" s="1115"/>
      <c r="AI5972" s="1115"/>
      <c r="AJ5972" s="1117"/>
      <c r="AK5972" s="1118"/>
      <c r="AL5972" s="1115"/>
      <c r="AM5972" s="1115"/>
      <c r="AN5972" s="1115"/>
      <c r="AO5972" s="1115"/>
      <c r="AP5972" s="1115"/>
      <c r="AQ5972" s="1115"/>
      <c r="AR5972" s="1115"/>
      <c r="AS5972" s="1117"/>
      <c r="AT5972" s="1075"/>
      <c r="AU5972" s="1193"/>
      <c r="AV5972" s="330"/>
      <c r="AW5972" s="331"/>
      <c r="AX5972" s="331"/>
      <c r="AY5972" s="331"/>
      <c r="AZ5972" s="331"/>
      <c r="BA5972" s="331"/>
      <c r="BB5972" s="331"/>
      <c r="BC5972" s="331"/>
      <c r="BD5972" s="331"/>
      <c r="BE5972" s="333"/>
      <c r="BF5972" s="330"/>
      <c r="BG5972" s="333"/>
      <c r="BH5972" s="1119"/>
      <c r="BI5972" s="319"/>
      <c r="BJ5972" s="319"/>
      <c r="BK5972" s="319"/>
      <c r="BL5972" s="319"/>
      <c r="BM5972" s="319"/>
      <c r="BN5972" s="319"/>
      <c r="BO5972" s="319"/>
      <c r="BP5972" s="953"/>
      <c r="BQ5972" s="319"/>
      <c r="BR5972" s="319"/>
      <c r="BS5972" s="330"/>
      <c r="BT5972" s="331"/>
      <c r="BU5972" s="920"/>
      <c r="BV5972" s="903"/>
      <c r="BW5972" s="908"/>
      <c r="BX5972" s="908"/>
      <c r="BY5972" s="331"/>
      <c r="BZ5972" s="331"/>
      <c r="CA5972" s="462"/>
      <c r="CB5972" s="319"/>
      <c r="CC5972" s="319"/>
      <c r="CD5972" s="319"/>
      <c r="CE5972" s="319"/>
      <c r="CF5972" s="319"/>
      <c r="CG5972" s="319"/>
      <c r="CH5972" s="318"/>
      <c r="CI5972" s="319"/>
      <c r="CJ5972" s="319"/>
      <c r="CK5972" s="342"/>
      <c r="CL5972" s="333"/>
      <c r="CM5972" s="1079"/>
      <c r="CN5972" s="1005"/>
      <c r="CO5972" s="1005"/>
      <c r="CP5972" s="1005"/>
    </row>
    <row r="5973">
      <c r="A5973" s="1257"/>
      <c r="B5973" s="1113"/>
      <c r="C5973" s="1107"/>
      <c r="D5973" s="103"/>
      <c r="E5973" s="1137"/>
      <c r="F5973" s="112"/>
      <c r="G5973" s="1110"/>
      <c r="H5973" s="1138"/>
      <c r="I5973" s="1138"/>
      <c r="J5973" s="1139"/>
      <c r="K5973" s="1111"/>
      <c r="L5973" s="1112"/>
      <c r="M5973" s="1113"/>
      <c r="N5973" s="110"/>
      <c r="O5973" s="1140"/>
      <c r="P5973" s="1115"/>
      <c r="Q5973" s="1116"/>
      <c r="R5973" s="1141"/>
      <c r="S5973" s="1113"/>
      <c r="T5973" s="1143"/>
      <c r="U5973" s="1108"/>
      <c r="V5973" s="1108"/>
      <c r="W5973" s="1108"/>
      <c r="X5973" s="1108"/>
      <c r="Y5973" s="1108"/>
      <c r="Z5973" s="1114"/>
      <c r="AA5973" s="1114"/>
      <c r="AB5973" s="1114"/>
      <c r="AC5973" s="1117"/>
      <c r="AD5973" s="1115"/>
      <c r="AE5973" s="1115"/>
      <c r="AF5973" s="1115"/>
      <c r="AG5973" s="1115"/>
      <c r="AH5973" s="1115"/>
      <c r="AI5973" s="1115"/>
      <c r="AJ5973" s="1117"/>
      <c r="AK5973" s="1118"/>
      <c r="AL5973" s="1115"/>
      <c r="AM5973" s="1115"/>
      <c r="AN5973" s="1115"/>
      <c r="AO5973" s="1115"/>
      <c r="AP5973" s="1115"/>
      <c r="AQ5973" s="1115"/>
      <c r="AR5973" s="1115"/>
      <c r="AS5973" s="1117"/>
      <c r="AT5973" s="1075"/>
      <c r="AU5973" s="1193"/>
      <c r="AV5973" s="330"/>
      <c r="AW5973" s="331"/>
      <c r="AX5973" s="331"/>
      <c r="AY5973" s="331"/>
      <c r="AZ5973" s="331"/>
      <c r="BA5973" s="331"/>
      <c r="BB5973" s="331"/>
      <c r="BC5973" s="331"/>
      <c r="BD5973" s="331"/>
      <c r="BE5973" s="333"/>
      <c r="BF5973" s="330"/>
      <c r="BG5973" s="333"/>
      <c r="BH5973" s="1119"/>
      <c r="BI5973" s="319"/>
      <c r="BJ5973" s="319"/>
      <c r="BK5973" s="319"/>
      <c r="BL5973" s="319"/>
      <c r="BM5973" s="319"/>
      <c r="BN5973" s="319"/>
      <c r="BO5973" s="319"/>
      <c r="BP5973" s="953"/>
      <c r="BQ5973" s="319"/>
      <c r="BR5973" s="319"/>
      <c r="BS5973" s="330"/>
      <c r="BT5973" s="331"/>
      <c r="BU5973" s="920"/>
      <c r="BV5973" s="903"/>
      <c r="BW5973" s="908"/>
      <c r="BX5973" s="908"/>
      <c r="BY5973" s="331"/>
      <c r="BZ5973" s="331"/>
      <c r="CA5973" s="462"/>
      <c r="CB5973" s="319"/>
      <c r="CC5973" s="319"/>
      <c r="CD5973" s="319"/>
      <c r="CE5973" s="319"/>
      <c r="CF5973" s="319"/>
      <c r="CG5973" s="319"/>
      <c r="CH5973" s="318"/>
      <c r="CI5973" s="319"/>
      <c r="CJ5973" s="319"/>
      <c r="CK5973" s="342"/>
      <c r="CL5973" s="333"/>
      <c r="CM5973" s="1079"/>
      <c r="CN5973" s="1005"/>
      <c r="CO5973" s="1005"/>
      <c r="CP5973" s="1005"/>
    </row>
    <row r="5974">
      <c r="A5974" s="1257"/>
      <c r="B5974" s="1113"/>
      <c r="C5974" s="1107"/>
      <c r="D5974" s="103"/>
      <c r="E5974" s="1137"/>
      <c r="F5974" s="112"/>
      <c r="G5974" s="1110"/>
      <c r="H5974" s="1138"/>
      <c r="I5974" s="1138"/>
      <c r="J5974" s="1139"/>
      <c r="K5974" s="1111"/>
      <c r="L5974" s="1112"/>
      <c r="M5974" s="1113"/>
      <c r="N5974" s="110"/>
      <c r="O5974" s="1140"/>
      <c r="P5974" s="1115"/>
      <c r="Q5974" s="1116"/>
      <c r="R5974" s="1141"/>
      <c r="S5974" s="1113"/>
      <c r="T5974" s="1143"/>
      <c r="U5974" s="1108"/>
      <c r="V5974" s="1108"/>
      <c r="W5974" s="1108"/>
      <c r="X5974" s="1108"/>
      <c r="Y5974" s="1108"/>
      <c r="Z5974" s="1114"/>
      <c r="AA5974" s="1114"/>
      <c r="AB5974" s="1114"/>
      <c r="AC5974" s="1117"/>
      <c r="AD5974" s="1115"/>
      <c r="AE5974" s="1115"/>
      <c r="AF5974" s="1115"/>
      <c r="AG5974" s="1115"/>
      <c r="AH5974" s="1115"/>
      <c r="AI5974" s="1115"/>
      <c r="AJ5974" s="1117"/>
      <c r="AK5974" s="1118"/>
      <c r="AL5974" s="1115"/>
      <c r="AM5974" s="1115"/>
      <c r="AN5974" s="1115"/>
      <c r="AO5974" s="1115"/>
      <c r="AP5974" s="1115"/>
      <c r="AQ5974" s="1115"/>
      <c r="AR5974" s="1115"/>
      <c r="AS5974" s="1117"/>
      <c r="AT5974" s="1075"/>
      <c r="AU5974" s="1193"/>
      <c r="AV5974" s="330"/>
      <c r="AW5974" s="331"/>
      <c r="AX5974" s="331"/>
      <c r="AY5974" s="331"/>
      <c r="AZ5974" s="331"/>
      <c r="BA5974" s="331"/>
      <c r="BB5974" s="331"/>
      <c r="BC5974" s="331"/>
      <c r="BD5974" s="331"/>
      <c r="BE5974" s="333"/>
      <c r="BF5974" s="330"/>
      <c r="BG5974" s="333"/>
      <c r="BH5974" s="1119"/>
      <c r="BI5974" s="319"/>
      <c r="BJ5974" s="319"/>
      <c r="BK5974" s="319"/>
      <c r="BL5974" s="319"/>
      <c r="BM5974" s="319"/>
      <c r="BN5974" s="319"/>
      <c r="BO5974" s="319"/>
      <c r="BP5974" s="953"/>
      <c r="BQ5974" s="319"/>
      <c r="BR5974" s="319"/>
      <c r="BS5974" s="330"/>
      <c r="BT5974" s="331"/>
      <c r="BU5974" s="920"/>
      <c r="BV5974" s="903"/>
      <c r="BW5974" s="908"/>
      <c r="BX5974" s="908"/>
      <c r="BY5974" s="331"/>
      <c r="BZ5974" s="331"/>
      <c r="CA5974" s="462"/>
      <c r="CB5974" s="319"/>
      <c r="CC5974" s="319"/>
      <c r="CD5974" s="319"/>
      <c r="CE5974" s="319"/>
      <c r="CF5974" s="319"/>
      <c r="CG5974" s="319"/>
      <c r="CH5974" s="318"/>
      <c r="CI5974" s="319"/>
      <c r="CJ5974" s="319"/>
      <c r="CK5974" s="342"/>
      <c r="CL5974" s="333"/>
      <c r="CM5974" s="1079"/>
      <c r="CN5974" s="1005"/>
      <c r="CO5974" s="1005"/>
      <c r="CP5974" s="1005"/>
    </row>
    <row r="5975">
      <c r="A5975" s="1257"/>
      <c r="B5975" s="1113"/>
      <c r="C5975" s="1107"/>
      <c r="D5975" s="103"/>
      <c r="E5975" s="1137"/>
      <c r="F5975" s="112"/>
      <c r="G5975" s="1110"/>
      <c r="H5975" s="1138"/>
      <c r="I5975" s="1138"/>
      <c r="J5975" s="1139"/>
      <c r="K5975" s="1111"/>
      <c r="L5975" s="1112"/>
      <c r="M5975" s="1113"/>
      <c r="N5975" s="110"/>
      <c r="O5975" s="1140"/>
      <c r="P5975" s="1115"/>
      <c r="Q5975" s="1116"/>
      <c r="R5975" s="1141"/>
      <c r="S5975" s="1113"/>
      <c r="T5975" s="1143"/>
      <c r="U5975" s="1108"/>
      <c r="V5975" s="1108"/>
      <c r="W5975" s="1108"/>
      <c r="X5975" s="1108"/>
      <c r="Y5975" s="1108"/>
      <c r="Z5975" s="1114"/>
      <c r="AA5975" s="1114"/>
      <c r="AB5975" s="1114"/>
      <c r="AC5975" s="1117"/>
      <c r="AD5975" s="1115"/>
      <c r="AE5975" s="1115"/>
      <c r="AF5975" s="1115"/>
      <c r="AG5975" s="1115"/>
      <c r="AH5975" s="1115"/>
      <c r="AI5975" s="1115"/>
      <c r="AJ5975" s="1117"/>
      <c r="AK5975" s="1118"/>
      <c r="AL5975" s="1115"/>
      <c r="AM5975" s="1115"/>
      <c r="AN5975" s="1115"/>
      <c r="AO5975" s="1115"/>
      <c r="AP5975" s="1115"/>
      <c r="AQ5975" s="1115"/>
      <c r="AR5975" s="1115"/>
      <c r="AS5975" s="1117"/>
      <c r="AT5975" s="1075"/>
      <c r="AU5975" s="1193"/>
      <c r="AV5975" s="330"/>
      <c r="AW5975" s="331"/>
      <c r="AX5975" s="331"/>
      <c r="AY5975" s="331"/>
      <c r="AZ5975" s="331"/>
      <c r="BA5975" s="331"/>
      <c r="BB5975" s="331"/>
      <c r="BC5975" s="331"/>
      <c r="BD5975" s="331"/>
      <c r="BE5975" s="333"/>
      <c r="BF5975" s="330"/>
      <c r="BG5975" s="333"/>
      <c r="BH5975" s="1119"/>
      <c r="BI5975" s="319"/>
      <c r="BJ5975" s="319"/>
      <c r="BK5975" s="319"/>
      <c r="BL5975" s="319"/>
      <c r="BM5975" s="319"/>
      <c r="BN5975" s="319"/>
      <c r="BO5975" s="319"/>
      <c r="BP5975" s="953"/>
      <c r="BQ5975" s="319"/>
      <c r="BR5975" s="319"/>
      <c r="BS5975" s="330"/>
      <c r="BT5975" s="331"/>
      <c r="BU5975" s="920"/>
      <c r="BV5975" s="903"/>
      <c r="BW5975" s="908"/>
      <c r="BX5975" s="908"/>
      <c r="BY5975" s="331"/>
      <c r="BZ5975" s="331"/>
      <c r="CA5975" s="462"/>
      <c r="CB5975" s="319"/>
      <c r="CC5975" s="319"/>
      <c r="CD5975" s="319"/>
      <c r="CE5975" s="319"/>
      <c r="CF5975" s="319"/>
      <c r="CG5975" s="319"/>
      <c r="CH5975" s="318"/>
      <c r="CI5975" s="319"/>
      <c r="CJ5975" s="319"/>
      <c r="CK5975" s="342"/>
      <c r="CL5975" s="333"/>
      <c r="CM5975" s="1079"/>
      <c r="CN5975" s="1005"/>
      <c r="CO5975" s="1005"/>
      <c r="CP5975" s="1005"/>
    </row>
    <row r="5976">
      <c r="A5976" s="1257"/>
      <c r="B5976" s="1113"/>
      <c r="C5976" s="1107"/>
      <c r="D5976" s="103"/>
      <c r="E5976" s="1137"/>
      <c r="F5976" s="112"/>
      <c r="G5976" s="1110"/>
      <c r="H5976" s="1138"/>
      <c r="I5976" s="1138"/>
      <c r="J5976" s="1139"/>
      <c r="K5976" s="1111"/>
      <c r="L5976" s="1112"/>
      <c r="M5976" s="1113"/>
      <c r="N5976" s="110"/>
      <c r="O5976" s="1140"/>
      <c r="P5976" s="1115"/>
      <c r="Q5976" s="1116"/>
      <c r="R5976" s="1141"/>
      <c r="S5976" s="1113"/>
      <c r="T5976" s="1143"/>
      <c r="U5976" s="1108"/>
      <c r="V5976" s="1108"/>
      <c r="W5976" s="1108"/>
      <c r="X5976" s="1108"/>
      <c r="Y5976" s="1108"/>
      <c r="Z5976" s="1114"/>
      <c r="AA5976" s="1114"/>
      <c r="AB5976" s="1114"/>
      <c r="AC5976" s="1117"/>
      <c r="AD5976" s="1115"/>
      <c r="AE5976" s="1115"/>
      <c r="AF5976" s="1115"/>
      <c r="AG5976" s="1115"/>
      <c r="AH5976" s="1115"/>
      <c r="AI5976" s="1115"/>
      <c r="AJ5976" s="1117"/>
      <c r="AK5976" s="1118"/>
      <c r="AL5976" s="1115"/>
      <c r="AM5976" s="1115"/>
      <c r="AN5976" s="1115"/>
      <c r="AO5976" s="1115"/>
      <c r="AP5976" s="1115"/>
      <c r="AQ5976" s="1115"/>
      <c r="AR5976" s="1115"/>
      <c r="AS5976" s="1117"/>
      <c r="AT5976" s="1075"/>
      <c r="AU5976" s="1193"/>
      <c r="AV5976" s="330"/>
      <c r="AW5976" s="331"/>
      <c r="AX5976" s="331"/>
      <c r="AY5976" s="331"/>
      <c r="AZ5976" s="331"/>
      <c r="BA5976" s="331"/>
      <c r="BB5976" s="331"/>
      <c r="BC5976" s="331"/>
      <c r="BD5976" s="331"/>
      <c r="BE5976" s="333"/>
      <c r="BF5976" s="330"/>
      <c r="BG5976" s="333"/>
      <c r="BH5976" s="1119"/>
      <c r="BI5976" s="319"/>
      <c r="BJ5976" s="319"/>
      <c r="BK5976" s="319"/>
      <c r="BL5976" s="319"/>
      <c r="BM5976" s="319"/>
      <c r="BN5976" s="319"/>
      <c r="BO5976" s="319"/>
      <c r="BP5976" s="953"/>
      <c r="BQ5976" s="319"/>
      <c r="BR5976" s="319"/>
      <c r="BS5976" s="330"/>
      <c r="BT5976" s="331"/>
      <c r="BU5976" s="920"/>
      <c r="BV5976" s="903"/>
      <c r="BW5976" s="908"/>
      <c r="BX5976" s="908"/>
      <c r="BY5976" s="331"/>
      <c r="BZ5976" s="331"/>
      <c r="CA5976" s="462"/>
      <c r="CB5976" s="319"/>
      <c r="CC5976" s="319"/>
      <c r="CD5976" s="319"/>
      <c r="CE5976" s="319"/>
      <c r="CF5976" s="319"/>
      <c r="CG5976" s="319"/>
      <c r="CH5976" s="318"/>
      <c r="CI5976" s="319"/>
      <c r="CJ5976" s="319"/>
      <c r="CK5976" s="342"/>
      <c r="CL5976" s="333"/>
      <c r="CM5976" s="1079"/>
      <c r="CN5976" s="1005"/>
      <c r="CO5976" s="1005"/>
      <c r="CP5976" s="1005"/>
    </row>
    <row r="5977">
      <c r="A5977" s="1257"/>
      <c r="B5977" s="1113"/>
      <c r="C5977" s="1107"/>
      <c r="D5977" s="103"/>
      <c r="E5977" s="1137"/>
      <c r="F5977" s="112"/>
      <c r="G5977" s="1110"/>
      <c r="H5977" s="1138"/>
      <c r="I5977" s="1138"/>
      <c r="J5977" s="1139"/>
      <c r="K5977" s="1111"/>
      <c r="L5977" s="1112"/>
      <c r="M5977" s="1113"/>
      <c r="N5977" s="110"/>
      <c r="O5977" s="1140"/>
      <c r="P5977" s="1115"/>
      <c r="Q5977" s="1116"/>
      <c r="R5977" s="1141"/>
      <c r="S5977" s="1113"/>
      <c r="T5977" s="1143"/>
      <c r="U5977" s="1108"/>
      <c r="V5977" s="1108"/>
      <c r="W5977" s="1108"/>
      <c r="X5977" s="1108"/>
      <c r="Y5977" s="1108"/>
      <c r="Z5977" s="1114"/>
      <c r="AA5977" s="1114"/>
      <c r="AB5977" s="1114"/>
      <c r="AC5977" s="1117"/>
      <c r="AD5977" s="1115"/>
      <c r="AE5977" s="1115"/>
      <c r="AF5977" s="1115"/>
      <c r="AG5977" s="1115"/>
      <c r="AH5977" s="1115"/>
      <c r="AI5977" s="1115"/>
      <c r="AJ5977" s="1117"/>
      <c r="AK5977" s="1118"/>
      <c r="AL5977" s="1115"/>
      <c r="AM5977" s="1115"/>
      <c r="AN5977" s="1115"/>
      <c r="AO5977" s="1115"/>
      <c r="AP5977" s="1115"/>
      <c r="AQ5977" s="1115"/>
      <c r="AR5977" s="1115"/>
      <c r="AS5977" s="1117"/>
      <c r="AT5977" s="1075"/>
      <c r="AU5977" s="1193"/>
      <c r="AV5977" s="330"/>
      <c r="AW5977" s="331"/>
      <c r="AX5977" s="331"/>
      <c r="AY5977" s="331"/>
      <c r="AZ5977" s="331"/>
      <c r="BA5977" s="331"/>
      <c r="BB5977" s="331"/>
      <c r="BC5977" s="331"/>
      <c r="BD5977" s="331"/>
      <c r="BE5977" s="333"/>
      <c r="BF5977" s="330"/>
      <c r="BG5977" s="333"/>
      <c r="BH5977" s="1119"/>
      <c r="BI5977" s="319"/>
      <c r="BJ5977" s="319"/>
      <c r="BK5977" s="319"/>
      <c r="BL5977" s="319"/>
      <c r="BM5977" s="319"/>
      <c r="BN5977" s="319"/>
      <c r="BO5977" s="319"/>
      <c r="BP5977" s="953"/>
      <c r="BQ5977" s="319"/>
      <c r="BR5977" s="319"/>
      <c r="BS5977" s="330"/>
      <c r="BT5977" s="331"/>
      <c r="BU5977" s="920"/>
      <c r="BV5977" s="903"/>
      <c r="BW5977" s="908"/>
      <c r="BX5977" s="908"/>
      <c r="BY5977" s="331"/>
      <c r="BZ5977" s="331"/>
      <c r="CA5977" s="462"/>
      <c r="CB5977" s="319"/>
      <c r="CC5977" s="319"/>
      <c r="CD5977" s="319"/>
      <c r="CE5977" s="319"/>
      <c r="CF5977" s="319"/>
      <c r="CG5977" s="319"/>
      <c r="CH5977" s="318"/>
      <c r="CI5977" s="319"/>
      <c r="CJ5977" s="319"/>
      <c r="CK5977" s="342"/>
      <c r="CL5977" s="333"/>
      <c r="CM5977" s="1079"/>
      <c r="CN5977" s="1005"/>
      <c r="CO5977" s="1005"/>
      <c r="CP5977" s="1005"/>
    </row>
    <row r="5978">
      <c r="A5978" s="1257"/>
      <c r="B5978" s="1113"/>
      <c r="C5978" s="1107"/>
      <c r="D5978" s="103"/>
      <c r="E5978" s="1137"/>
      <c r="F5978" s="112"/>
      <c r="G5978" s="1110"/>
      <c r="H5978" s="1138"/>
      <c r="I5978" s="1138"/>
      <c r="J5978" s="1139"/>
      <c r="K5978" s="1111"/>
      <c r="L5978" s="1112"/>
      <c r="M5978" s="1113"/>
      <c r="N5978" s="110"/>
      <c r="O5978" s="1140"/>
      <c r="P5978" s="1115"/>
      <c r="Q5978" s="1116"/>
      <c r="R5978" s="1141"/>
      <c r="S5978" s="1113"/>
      <c r="T5978" s="1143"/>
      <c r="U5978" s="1108"/>
      <c r="V5978" s="1108"/>
      <c r="W5978" s="1108"/>
      <c r="X5978" s="1108"/>
      <c r="Y5978" s="1108"/>
      <c r="Z5978" s="1114"/>
      <c r="AA5978" s="1114"/>
      <c r="AB5978" s="1114"/>
      <c r="AC5978" s="1117"/>
      <c r="AD5978" s="1115"/>
      <c r="AE5978" s="1115"/>
      <c r="AF5978" s="1115"/>
      <c r="AG5978" s="1115"/>
      <c r="AH5978" s="1115"/>
      <c r="AI5978" s="1115"/>
      <c r="AJ5978" s="1117"/>
      <c r="AK5978" s="1118"/>
      <c r="AL5978" s="1115"/>
      <c r="AM5978" s="1115"/>
      <c r="AN5978" s="1115"/>
      <c r="AO5978" s="1115"/>
      <c r="AP5978" s="1115"/>
      <c r="AQ5978" s="1115"/>
      <c r="AR5978" s="1115"/>
      <c r="AS5978" s="1117"/>
      <c r="AT5978" s="1075"/>
      <c r="AU5978" s="1193"/>
      <c r="AV5978" s="330"/>
      <c r="AW5978" s="331"/>
      <c r="AX5978" s="331"/>
      <c r="AY5978" s="331"/>
      <c r="AZ5978" s="331"/>
      <c r="BA5978" s="331"/>
      <c r="BB5978" s="331"/>
      <c r="BC5978" s="331"/>
      <c r="BD5978" s="331"/>
      <c r="BE5978" s="333"/>
      <c r="BF5978" s="330"/>
      <c r="BG5978" s="333"/>
      <c r="BH5978" s="1119"/>
      <c r="BI5978" s="319"/>
      <c r="BJ5978" s="319"/>
      <c r="BK5978" s="319"/>
      <c r="BL5978" s="319"/>
      <c r="BM5978" s="319"/>
      <c r="BN5978" s="319"/>
      <c r="BO5978" s="319"/>
      <c r="BP5978" s="953"/>
      <c r="BQ5978" s="319"/>
      <c r="BR5978" s="319"/>
      <c r="BS5978" s="330"/>
      <c r="BT5978" s="331"/>
      <c r="BU5978" s="920"/>
      <c r="BV5978" s="903"/>
      <c r="BW5978" s="908"/>
      <c r="BX5978" s="908"/>
      <c r="BY5978" s="331"/>
      <c r="BZ5978" s="331"/>
      <c r="CA5978" s="462"/>
      <c r="CB5978" s="319"/>
      <c r="CC5978" s="319"/>
      <c r="CD5978" s="319"/>
      <c r="CE5978" s="319"/>
      <c r="CF5978" s="319"/>
      <c r="CG5978" s="319"/>
      <c r="CH5978" s="318"/>
      <c r="CI5978" s="319"/>
      <c r="CJ5978" s="319"/>
      <c r="CK5978" s="342"/>
      <c r="CL5978" s="333"/>
      <c r="CM5978" s="1079"/>
      <c r="CN5978" s="1005"/>
      <c r="CO5978" s="1005"/>
      <c r="CP5978" s="1005"/>
    </row>
    <row r="5979">
      <c r="A5979" s="1257"/>
      <c r="B5979" s="1113"/>
      <c r="C5979" s="1107"/>
      <c r="D5979" s="103"/>
      <c r="E5979" s="1137"/>
      <c r="F5979" s="112"/>
      <c r="G5979" s="1110"/>
      <c r="H5979" s="1138"/>
      <c r="I5979" s="1138"/>
      <c r="J5979" s="1139"/>
      <c r="K5979" s="1111"/>
      <c r="L5979" s="1112"/>
      <c r="M5979" s="1113"/>
      <c r="N5979" s="110"/>
      <c r="O5979" s="1140"/>
      <c r="P5979" s="1115"/>
      <c r="Q5979" s="1116"/>
      <c r="R5979" s="1141"/>
      <c r="S5979" s="1113"/>
      <c r="T5979" s="1143"/>
      <c r="U5979" s="1108"/>
      <c r="V5979" s="1108"/>
      <c r="W5979" s="1108"/>
      <c r="X5979" s="1108"/>
      <c r="Y5979" s="1108"/>
      <c r="Z5979" s="1114"/>
      <c r="AA5979" s="1114"/>
      <c r="AB5979" s="1114"/>
      <c r="AC5979" s="1117"/>
      <c r="AD5979" s="1115"/>
      <c r="AE5979" s="1115"/>
      <c r="AF5979" s="1115"/>
      <c r="AG5979" s="1115"/>
      <c r="AH5979" s="1115"/>
      <c r="AI5979" s="1115"/>
      <c r="AJ5979" s="1117"/>
      <c r="AK5979" s="1118"/>
      <c r="AL5979" s="1115"/>
      <c r="AM5979" s="1115"/>
      <c r="AN5979" s="1115"/>
      <c r="AO5979" s="1115"/>
      <c r="AP5979" s="1115"/>
      <c r="AQ5979" s="1115"/>
      <c r="AR5979" s="1115"/>
      <c r="AS5979" s="1117"/>
      <c r="AT5979" s="1075"/>
      <c r="AU5979" s="1193"/>
      <c r="AV5979" s="330"/>
      <c r="AW5979" s="331"/>
      <c r="AX5979" s="331"/>
      <c r="AY5979" s="331"/>
      <c r="AZ5979" s="331"/>
      <c r="BA5979" s="331"/>
      <c r="BB5979" s="331"/>
      <c r="BC5979" s="331"/>
      <c r="BD5979" s="331"/>
      <c r="BE5979" s="333"/>
      <c r="BF5979" s="330"/>
      <c r="BG5979" s="333"/>
      <c r="BH5979" s="1119"/>
      <c r="BI5979" s="319"/>
      <c r="BJ5979" s="319"/>
      <c r="BK5979" s="319"/>
      <c r="BL5979" s="319"/>
      <c r="BM5979" s="319"/>
      <c r="BN5979" s="319"/>
      <c r="BO5979" s="319"/>
      <c r="BP5979" s="953"/>
      <c r="BQ5979" s="319"/>
      <c r="BR5979" s="319"/>
      <c r="BS5979" s="330"/>
      <c r="BT5979" s="331"/>
      <c r="BU5979" s="920"/>
      <c r="BV5979" s="903"/>
      <c r="BW5979" s="908"/>
      <c r="BX5979" s="908"/>
      <c r="BY5979" s="331"/>
      <c r="BZ5979" s="331"/>
      <c r="CA5979" s="462"/>
      <c r="CB5979" s="319"/>
      <c r="CC5979" s="319"/>
      <c r="CD5979" s="319"/>
      <c r="CE5979" s="319"/>
      <c r="CF5979" s="319"/>
      <c r="CG5979" s="319"/>
      <c r="CH5979" s="318"/>
      <c r="CI5979" s="319"/>
      <c r="CJ5979" s="319"/>
      <c r="CK5979" s="342"/>
      <c r="CL5979" s="333"/>
      <c r="CM5979" s="1079"/>
      <c r="CN5979" s="1005"/>
      <c r="CO5979" s="1005"/>
      <c r="CP5979" s="1005"/>
    </row>
    <row r="5980">
      <c r="A5980" s="1257"/>
      <c r="B5980" s="1113"/>
      <c r="C5980" s="1107"/>
      <c r="D5980" s="103"/>
      <c r="E5980" s="1137"/>
      <c r="F5980" s="112"/>
      <c r="G5980" s="1110"/>
      <c r="H5980" s="1138"/>
      <c r="I5980" s="1138"/>
      <c r="J5980" s="1139"/>
      <c r="K5980" s="1111"/>
      <c r="L5980" s="1112"/>
      <c r="M5980" s="1113"/>
      <c r="N5980" s="110"/>
      <c r="O5980" s="1140"/>
      <c r="P5980" s="1115"/>
      <c r="Q5980" s="1116"/>
      <c r="R5980" s="1141"/>
      <c r="S5980" s="1113"/>
      <c r="T5980" s="1143"/>
      <c r="U5980" s="1108"/>
      <c r="V5980" s="1108"/>
      <c r="W5980" s="1108"/>
      <c r="X5980" s="1108"/>
      <c r="Y5980" s="1108"/>
      <c r="Z5980" s="1114"/>
      <c r="AA5980" s="1114"/>
      <c r="AB5980" s="1114"/>
      <c r="AC5980" s="1117"/>
      <c r="AD5980" s="1115"/>
      <c r="AE5980" s="1115"/>
      <c r="AF5980" s="1115"/>
      <c r="AG5980" s="1115"/>
      <c r="AH5980" s="1115"/>
      <c r="AI5980" s="1115"/>
      <c r="AJ5980" s="1117"/>
      <c r="AK5980" s="1118"/>
      <c r="AL5980" s="1115"/>
      <c r="AM5980" s="1115"/>
      <c r="AN5980" s="1115"/>
      <c r="AO5980" s="1115"/>
      <c r="AP5980" s="1115"/>
      <c r="AQ5980" s="1115"/>
      <c r="AR5980" s="1115"/>
      <c r="AS5980" s="1117"/>
      <c r="AT5980" s="1075"/>
      <c r="AU5980" s="1193"/>
      <c r="AV5980" s="330"/>
      <c r="AW5980" s="331"/>
      <c r="AX5980" s="331"/>
      <c r="AY5980" s="331"/>
      <c r="AZ5980" s="331"/>
      <c r="BA5980" s="331"/>
      <c r="BB5980" s="331"/>
      <c r="BC5980" s="331"/>
      <c r="BD5980" s="331"/>
      <c r="BE5980" s="333"/>
      <c r="BF5980" s="330"/>
      <c r="BG5980" s="333"/>
      <c r="BH5980" s="1119"/>
      <c r="BI5980" s="319"/>
      <c r="BJ5980" s="319"/>
      <c r="BK5980" s="319"/>
      <c r="BL5980" s="319"/>
      <c r="BM5980" s="319"/>
      <c r="BN5980" s="319"/>
      <c r="BO5980" s="319"/>
      <c r="BP5980" s="953"/>
      <c r="BQ5980" s="319"/>
      <c r="BR5980" s="319"/>
      <c r="BS5980" s="330"/>
      <c r="BT5980" s="331"/>
      <c r="BU5980" s="920"/>
      <c r="BV5980" s="903"/>
      <c r="BW5980" s="908"/>
      <c r="BX5980" s="908"/>
      <c r="BY5980" s="331"/>
      <c r="BZ5980" s="331"/>
      <c r="CA5980" s="462"/>
      <c r="CB5980" s="319"/>
      <c r="CC5980" s="319"/>
      <c r="CD5980" s="319"/>
      <c r="CE5980" s="319"/>
      <c r="CF5980" s="319"/>
      <c r="CG5980" s="319"/>
      <c r="CH5980" s="318"/>
      <c r="CI5980" s="319"/>
      <c r="CJ5980" s="319"/>
      <c r="CK5980" s="342"/>
      <c r="CL5980" s="333"/>
      <c r="CM5980" s="1079"/>
      <c r="CN5980" s="1005"/>
      <c r="CO5980" s="1005"/>
      <c r="CP5980" s="1005"/>
    </row>
    <row r="5981">
      <c r="A5981" s="1257"/>
      <c r="B5981" s="1113"/>
      <c r="C5981" s="1107"/>
      <c r="D5981" s="103"/>
      <c r="E5981" s="1137"/>
      <c r="F5981" s="112"/>
      <c r="G5981" s="1110"/>
      <c r="H5981" s="1138"/>
      <c r="I5981" s="1138"/>
      <c r="J5981" s="1139"/>
      <c r="K5981" s="1111"/>
      <c r="L5981" s="1112"/>
      <c r="M5981" s="1113"/>
      <c r="N5981" s="110"/>
      <c r="O5981" s="1140"/>
      <c r="P5981" s="1115"/>
      <c r="Q5981" s="1116"/>
      <c r="R5981" s="1141"/>
      <c r="S5981" s="1113"/>
      <c r="T5981" s="1143"/>
      <c r="U5981" s="1108"/>
      <c r="V5981" s="1108"/>
      <c r="W5981" s="1108"/>
      <c r="X5981" s="1108"/>
      <c r="Y5981" s="1108"/>
      <c r="Z5981" s="1114"/>
      <c r="AA5981" s="1114"/>
      <c r="AB5981" s="1114"/>
      <c r="AC5981" s="1117"/>
      <c r="AD5981" s="1115"/>
      <c r="AE5981" s="1115"/>
      <c r="AF5981" s="1115"/>
      <c r="AG5981" s="1115"/>
      <c r="AH5981" s="1115"/>
      <c r="AI5981" s="1115"/>
      <c r="AJ5981" s="1117"/>
      <c r="AK5981" s="1118"/>
      <c r="AL5981" s="1115"/>
      <c r="AM5981" s="1115"/>
      <c r="AN5981" s="1115"/>
      <c r="AO5981" s="1115"/>
      <c r="AP5981" s="1115"/>
      <c r="AQ5981" s="1115"/>
      <c r="AR5981" s="1115"/>
      <c r="AS5981" s="1117"/>
      <c r="AT5981" s="1075"/>
      <c r="AU5981" s="1193"/>
      <c r="AV5981" s="330"/>
      <c r="AW5981" s="331"/>
      <c r="AX5981" s="331"/>
      <c r="AY5981" s="331"/>
      <c r="AZ5981" s="331"/>
      <c r="BA5981" s="331"/>
      <c r="BB5981" s="331"/>
      <c r="BC5981" s="331"/>
      <c r="BD5981" s="331"/>
      <c r="BE5981" s="333"/>
      <c r="BF5981" s="330"/>
      <c r="BG5981" s="333"/>
      <c r="BH5981" s="1119"/>
      <c r="BI5981" s="319"/>
      <c r="BJ5981" s="319"/>
      <c r="BK5981" s="319"/>
      <c r="BL5981" s="319"/>
      <c r="BM5981" s="319"/>
      <c r="BN5981" s="319"/>
      <c r="BO5981" s="319"/>
      <c r="BP5981" s="953"/>
      <c r="BQ5981" s="319"/>
      <c r="BR5981" s="319"/>
      <c r="BS5981" s="330"/>
      <c r="BT5981" s="331"/>
      <c r="BU5981" s="920"/>
      <c r="BV5981" s="903"/>
      <c r="BW5981" s="908"/>
      <c r="BX5981" s="908"/>
      <c r="BY5981" s="331"/>
      <c r="BZ5981" s="331"/>
      <c r="CA5981" s="462"/>
      <c r="CB5981" s="319"/>
      <c r="CC5981" s="319"/>
      <c r="CD5981" s="319"/>
      <c r="CE5981" s="319"/>
      <c r="CF5981" s="319"/>
      <c r="CG5981" s="319"/>
      <c r="CH5981" s="318"/>
      <c r="CI5981" s="319"/>
      <c r="CJ5981" s="319"/>
      <c r="CK5981" s="342"/>
      <c r="CL5981" s="333"/>
      <c r="CM5981" s="1079"/>
      <c r="CN5981" s="1005"/>
      <c r="CO5981" s="1005"/>
      <c r="CP5981" s="1005"/>
    </row>
    <row r="5982">
      <c r="A5982" s="1257"/>
      <c r="B5982" s="1113"/>
      <c r="C5982" s="1107"/>
      <c r="D5982" s="103"/>
      <c r="E5982" s="1137"/>
      <c r="F5982" s="112"/>
      <c r="G5982" s="1110"/>
      <c r="H5982" s="1138"/>
      <c r="I5982" s="1138"/>
      <c r="J5982" s="1139"/>
      <c r="K5982" s="1111"/>
      <c r="L5982" s="1112"/>
      <c r="M5982" s="1113"/>
      <c r="N5982" s="110"/>
      <c r="O5982" s="1140"/>
      <c r="P5982" s="1115"/>
      <c r="Q5982" s="1116"/>
      <c r="R5982" s="1141"/>
      <c r="S5982" s="1113"/>
      <c r="T5982" s="1143"/>
      <c r="U5982" s="1108"/>
      <c r="V5982" s="1108"/>
      <c r="W5982" s="1108"/>
      <c r="X5982" s="1108"/>
      <c r="Y5982" s="1108"/>
      <c r="Z5982" s="1114"/>
      <c r="AA5982" s="1114"/>
      <c r="AB5982" s="1114"/>
      <c r="AC5982" s="1117"/>
      <c r="AD5982" s="1115"/>
      <c r="AE5982" s="1115"/>
      <c r="AF5982" s="1115"/>
      <c r="AG5982" s="1115"/>
      <c r="AH5982" s="1115"/>
      <c r="AI5982" s="1115"/>
      <c r="AJ5982" s="1117"/>
      <c r="AK5982" s="1118"/>
      <c r="AL5982" s="1115"/>
      <c r="AM5982" s="1115"/>
      <c r="AN5982" s="1115"/>
      <c r="AO5982" s="1115"/>
      <c r="AP5982" s="1115"/>
      <c r="AQ5982" s="1115"/>
      <c r="AR5982" s="1115"/>
      <c r="AS5982" s="1117"/>
      <c r="AT5982" s="1075"/>
      <c r="AU5982" s="1193"/>
      <c r="AV5982" s="330"/>
      <c r="AW5982" s="331"/>
      <c r="AX5982" s="331"/>
      <c r="AY5982" s="331"/>
      <c r="AZ5982" s="331"/>
      <c r="BA5982" s="331"/>
      <c r="BB5982" s="331"/>
      <c r="BC5982" s="331"/>
      <c r="BD5982" s="331"/>
      <c r="BE5982" s="333"/>
      <c r="BF5982" s="330"/>
      <c r="BG5982" s="333"/>
      <c r="BH5982" s="1119"/>
      <c r="BI5982" s="319"/>
      <c r="BJ5982" s="319"/>
      <c r="BK5982" s="319"/>
      <c r="BL5982" s="319"/>
      <c r="BM5982" s="319"/>
      <c r="BN5982" s="319"/>
      <c r="BO5982" s="319"/>
      <c r="BP5982" s="953"/>
      <c r="BQ5982" s="319"/>
      <c r="BR5982" s="319"/>
      <c r="BS5982" s="330"/>
      <c r="BT5982" s="331"/>
      <c r="BU5982" s="920"/>
      <c r="BV5982" s="903"/>
      <c r="BW5982" s="908"/>
      <c r="BX5982" s="908"/>
      <c r="BY5982" s="331"/>
      <c r="BZ5982" s="331"/>
      <c r="CA5982" s="462"/>
      <c r="CB5982" s="319"/>
      <c r="CC5982" s="319"/>
      <c r="CD5982" s="319"/>
      <c r="CE5982" s="319"/>
      <c r="CF5982" s="319"/>
      <c r="CG5982" s="319"/>
      <c r="CH5982" s="318"/>
      <c r="CI5982" s="319"/>
      <c r="CJ5982" s="319"/>
      <c r="CK5982" s="342"/>
      <c r="CL5982" s="333"/>
      <c r="CM5982" s="1079"/>
      <c r="CN5982" s="1005"/>
      <c r="CO5982" s="1005"/>
      <c r="CP5982" s="1005"/>
    </row>
    <row r="5983">
      <c r="A5983" s="1257"/>
      <c r="B5983" s="1113"/>
      <c r="C5983" s="1107"/>
      <c r="D5983" s="103"/>
      <c r="E5983" s="1137"/>
      <c r="F5983" s="112"/>
      <c r="G5983" s="1110"/>
      <c r="H5983" s="1138"/>
      <c r="I5983" s="1138"/>
      <c r="J5983" s="1139"/>
      <c r="K5983" s="1111"/>
      <c r="L5983" s="1112"/>
      <c r="M5983" s="1113"/>
      <c r="N5983" s="110"/>
      <c r="O5983" s="1140"/>
      <c r="P5983" s="1115"/>
      <c r="Q5983" s="1116"/>
      <c r="R5983" s="1141"/>
      <c r="S5983" s="1113"/>
      <c r="T5983" s="1143"/>
      <c r="U5983" s="1108"/>
      <c r="V5983" s="1108"/>
      <c r="W5983" s="1108"/>
      <c r="X5983" s="1108"/>
      <c r="Y5983" s="1108"/>
      <c r="Z5983" s="1114"/>
      <c r="AA5983" s="1114"/>
      <c r="AB5983" s="1114"/>
      <c r="AC5983" s="1117"/>
      <c r="AD5983" s="1115"/>
      <c r="AE5983" s="1115"/>
      <c r="AF5983" s="1115"/>
      <c r="AG5983" s="1115"/>
      <c r="AH5983" s="1115"/>
      <c r="AI5983" s="1115"/>
      <c r="AJ5983" s="1117"/>
      <c r="AK5983" s="1118"/>
      <c r="AL5983" s="1115"/>
      <c r="AM5983" s="1115"/>
      <c r="AN5983" s="1115"/>
      <c r="AO5983" s="1115"/>
      <c r="AP5983" s="1115"/>
      <c r="AQ5983" s="1115"/>
      <c r="AR5983" s="1115"/>
      <c r="AS5983" s="1117"/>
      <c r="AT5983" s="1075"/>
      <c r="AU5983" s="1193"/>
      <c r="AV5983" s="330"/>
      <c r="AW5983" s="331"/>
      <c r="AX5983" s="331"/>
      <c r="AY5983" s="331"/>
      <c r="AZ5983" s="331"/>
      <c r="BA5983" s="331"/>
      <c r="BB5983" s="331"/>
      <c r="BC5983" s="331"/>
      <c r="BD5983" s="331"/>
      <c r="BE5983" s="333"/>
      <c r="BF5983" s="330"/>
      <c r="BG5983" s="333"/>
      <c r="BH5983" s="1119"/>
      <c r="BI5983" s="319"/>
      <c r="BJ5983" s="319"/>
      <c r="BK5983" s="319"/>
      <c r="BL5983" s="319"/>
      <c r="BM5983" s="319"/>
      <c r="BN5983" s="319"/>
      <c r="BO5983" s="319"/>
      <c r="BP5983" s="953"/>
      <c r="BQ5983" s="319"/>
      <c r="BR5983" s="319"/>
      <c r="BS5983" s="330"/>
      <c r="BT5983" s="331"/>
      <c r="BU5983" s="920"/>
      <c r="BV5983" s="903"/>
      <c r="BW5983" s="908"/>
      <c r="BX5983" s="908"/>
      <c r="BY5983" s="331"/>
      <c r="BZ5983" s="331"/>
      <c r="CA5983" s="462"/>
      <c r="CB5983" s="319"/>
      <c r="CC5983" s="319"/>
      <c r="CD5983" s="319"/>
      <c r="CE5983" s="319"/>
      <c r="CF5983" s="319"/>
      <c r="CG5983" s="319"/>
      <c r="CH5983" s="318"/>
      <c r="CI5983" s="319"/>
      <c r="CJ5983" s="319"/>
      <c r="CK5983" s="342"/>
      <c r="CL5983" s="333"/>
      <c r="CM5983" s="1079"/>
      <c r="CN5983" s="1005"/>
      <c r="CO5983" s="1005"/>
      <c r="CP5983" s="1005"/>
    </row>
    <row r="5984">
      <c r="A5984" s="1257"/>
      <c r="B5984" s="1113"/>
      <c r="C5984" s="1107"/>
      <c r="D5984" s="103"/>
      <c r="E5984" s="1137"/>
      <c r="F5984" s="112"/>
      <c r="G5984" s="1110"/>
      <c r="H5984" s="1138"/>
      <c r="I5984" s="1138"/>
      <c r="J5984" s="1139"/>
      <c r="K5984" s="1111"/>
      <c r="L5984" s="1112"/>
      <c r="M5984" s="1113"/>
      <c r="N5984" s="110"/>
      <c r="O5984" s="1140"/>
      <c r="P5984" s="1115"/>
      <c r="Q5984" s="1116"/>
      <c r="R5984" s="1141"/>
      <c r="S5984" s="1113"/>
      <c r="T5984" s="1143"/>
      <c r="U5984" s="1108"/>
      <c r="V5984" s="1108"/>
      <c r="W5984" s="1108"/>
      <c r="X5984" s="1108"/>
      <c r="Y5984" s="1108"/>
      <c r="Z5984" s="1114"/>
      <c r="AA5984" s="1114"/>
      <c r="AB5984" s="1114"/>
      <c r="AC5984" s="1117"/>
      <c r="AD5984" s="1115"/>
      <c r="AE5984" s="1115"/>
      <c r="AF5984" s="1115"/>
      <c r="AG5984" s="1115"/>
      <c r="AH5984" s="1115"/>
      <c r="AI5984" s="1115"/>
      <c r="AJ5984" s="1117"/>
      <c r="AK5984" s="1118"/>
      <c r="AL5984" s="1115"/>
      <c r="AM5984" s="1115"/>
      <c r="AN5984" s="1115"/>
      <c r="AO5984" s="1115"/>
      <c r="AP5984" s="1115"/>
      <c r="AQ5984" s="1115"/>
      <c r="AR5984" s="1115"/>
      <c r="AS5984" s="1117"/>
      <c r="AT5984" s="1075"/>
      <c r="AU5984" s="1193"/>
      <c r="AV5984" s="330"/>
      <c r="AW5984" s="331"/>
      <c r="AX5984" s="331"/>
      <c r="AY5984" s="331"/>
      <c r="AZ5984" s="331"/>
      <c r="BA5984" s="331"/>
      <c r="BB5984" s="331"/>
      <c r="BC5984" s="331"/>
      <c r="BD5984" s="331"/>
      <c r="BE5984" s="333"/>
      <c r="BF5984" s="330"/>
      <c r="BG5984" s="333"/>
      <c r="BH5984" s="1119"/>
      <c r="BI5984" s="319"/>
      <c r="BJ5984" s="319"/>
      <c r="BK5984" s="319"/>
      <c r="BL5984" s="319"/>
      <c r="BM5984" s="319"/>
      <c r="BN5984" s="319"/>
      <c r="BO5984" s="319"/>
      <c r="BP5984" s="953"/>
      <c r="BQ5984" s="319"/>
      <c r="BR5984" s="319"/>
      <c r="BS5984" s="330"/>
      <c r="BT5984" s="331"/>
      <c r="BU5984" s="920"/>
      <c r="BV5984" s="903"/>
      <c r="BW5984" s="908"/>
      <c r="BX5984" s="908"/>
      <c r="BY5984" s="331"/>
      <c r="BZ5984" s="331"/>
      <c r="CA5984" s="462"/>
      <c r="CB5984" s="319"/>
      <c r="CC5984" s="319"/>
      <c r="CD5984" s="319"/>
      <c r="CE5984" s="319"/>
      <c r="CF5984" s="319"/>
      <c r="CG5984" s="319"/>
      <c r="CH5984" s="318"/>
      <c r="CI5984" s="319"/>
      <c r="CJ5984" s="319"/>
      <c r="CK5984" s="342"/>
      <c r="CL5984" s="333"/>
      <c r="CM5984" s="1079"/>
      <c r="CN5984" s="1005"/>
      <c r="CO5984" s="1005"/>
      <c r="CP5984" s="1005"/>
    </row>
    <row r="5985">
      <c r="A5985" s="1257"/>
      <c r="B5985" s="1113"/>
      <c r="C5985" s="1107"/>
      <c r="D5985" s="103"/>
      <c r="E5985" s="1137"/>
      <c r="F5985" s="112"/>
      <c r="G5985" s="1110"/>
      <c r="H5985" s="1138"/>
      <c r="I5985" s="1138"/>
      <c r="J5985" s="1139"/>
      <c r="K5985" s="1111"/>
      <c r="L5985" s="1112"/>
      <c r="M5985" s="1113"/>
      <c r="N5985" s="110"/>
      <c r="O5985" s="1140"/>
      <c r="P5985" s="1115"/>
      <c r="Q5985" s="1116"/>
      <c r="R5985" s="1141"/>
      <c r="S5985" s="1113"/>
      <c r="T5985" s="1143"/>
      <c r="U5985" s="1108"/>
      <c r="V5985" s="1108"/>
      <c r="W5985" s="1108"/>
      <c r="X5985" s="1108"/>
      <c r="Y5985" s="1108"/>
      <c r="Z5985" s="1114"/>
      <c r="AA5985" s="1114"/>
      <c r="AB5985" s="1114"/>
      <c r="AC5985" s="1117"/>
      <c r="AD5985" s="1115"/>
      <c r="AE5985" s="1115"/>
      <c r="AF5985" s="1115"/>
      <c r="AG5985" s="1115"/>
      <c r="AH5985" s="1115"/>
      <c r="AI5985" s="1115"/>
      <c r="AJ5985" s="1117"/>
      <c r="AK5985" s="1118"/>
      <c r="AL5985" s="1115"/>
      <c r="AM5985" s="1115"/>
      <c r="AN5985" s="1115"/>
      <c r="AO5985" s="1115"/>
      <c r="AP5985" s="1115"/>
      <c r="AQ5985" s="1115"/>
      <c r="AR5985" s="1115"/>
      <c r="AS5985" s="1117"/>
      <c r="AT5985" s="1075"/>
      <c r="AU5985" s="1193"/>
      <c r="AV5985" s="330"/>
      <c r="AW5985" s="331"/>
      <c r="AX5985" s="331"/>
      <c r="AY5985" s="331"/>
      <c r="AZ5985" s="331"/>
      <c r="BA5985" s="331"/>
      <c r="BB5985" s="331"/>
      <c r="BC5985" s="331"/>
      <c r="BD5985" s="331"/>
      <c r="BE5985" s="333"/>
      <c r="BF5985" s="330"/>
      <c r="BG5985" s="333"/>
      <c r="BH5985" s="1119"/>
      <c r="BI5985" s="319"/>
      <c r="BJ5985" s="319"/>
      <c r="BK5985" s="319"/>
      <c r="BL5985" s="319"/>
      <c r="BM5985" s="319"/>
      <c r="BN5985" s="319"/>
      <c r="BO5985" s="319"/>
      <c r="BP5985" s="953"/>
      <c r="BQ5985" s="319"/>
      <c r="BR5985" s="319"/>
      <c r="BS5985" s="330"/>
      <c r="BT5985" s="331"/>
      <c r="BU5985" s="920"/>
      <c r="BV5985" s="903"/>
      <c r="BW5985" s="908"/>
      <c r="BX5985" s="908"/>
      <c r="BY5985" s="331"/>
      <c r="BZ5985" s="331"/>
      <c r="CA5985" s="462"/>
      <c r="CB5985" s="319"/>
      <c r="CC5985" s="319"/>
      <c r="CD5985" s="319"/>
      <c r="CE5985" s="319"/>
      <c r="CF5985" s="319"/>
      <c r="CG5985" s="319"/>
      <c r="CH5985" s="318"/>
      <c r="CI5985" s="319"/>
      <c r="CJ5985" s="319"/>
      <c r="CK5985" s="342"/>
      <c r="CL5985" s="333"/>
      <c r="CM5985" s="1079"/>
      <c r="CN5985" s="1005"/>
      <c r="CO5985" s="1005"/>
      <c r="CP5985" s="1005"/>
    </row>
    <row r="5986">
      <c r="A5986" s="1257"/>
      <c r="B5986" s="1113"/>
      <c r="C5986" s="1107"/>
      <c r="D5986" s="103"/>
      <c r="E5986" s="1137"/>
      <c r="F5986" s="112"/>
      <c r="G5986" s="1110"/>
      <c r="H5986" s="1138"/>
      <c r="I5986" s="1138"/>
      <c r="J5986" s="1139"/>
      <c r="K5986" s="1111"/>
      <c r="L5986" s="1112"/>
      <c r="M5986" s="1113"/>
      <c r="N5986" s="110"/>
      <c r="O5986" s="1140"/>
      <c r="P5986" s="1115"/>
      <c r="Q5986" s="1116"/>
      <c r="R5986" s="1141"/>
      <c r="S5986" s="1113"/>
      <c r="T5986" s="1143"/>
      <c r="U5986" s="1108"/>
      <c r="V5986" s="1108"/>
      <c r="W5986" s="1108"/>
      <c r="X5986" s="1108"/>
      <c r="Y5986" s="1108"/>
      <c r="Z5986" s="1114"/>
      <c r="AA5986" s="1114"/>
      <c r="AB5986" s="1114"/>
      <c r="AC5986" s="1117"/>
      <c r="AD5986" s="1115"/>
      <c r="AE5986" s="1115"/>
      <c r="AF5986" s="1115"/>
      <c r="AG5986" s="1115"/>
      <c r="AH5986" s="1115"/>
      <c r="AI5986" s="1115"/>
      <c r="AJ5986" s="1117"/>
      <c r="AK5986" s="1118"/>
      <c r="AL5986" s="1115"/>
      <c r="AM5986" s="1115"/>
      <c r="AN5986" s="1115"/>
      <c r="AO5986" s="1115"/>
      <c r="AP5986" s="1115"/>
      <c r="AQ5986" s="1115"/>
      <c r="AR5986" s="1115"/>
      <c r="AS5986" s="1117"/>
      <c r="AT5986" s="1075"/>
      <c r="AU5986" s="1193"/>
      <c r="AV5986" s="330"/>
      <c r="AW5986" s="331"/>
      <c r="AX5986" s="331"/>
      <c r="AY5986" s="331"/>
      <c r="AZ5986" s="331"/>
      <c r="BA5986" s="331"/>
      <c r="BB5986" s="331"/>
      <c r="BC5986" s="331"/>
      <c r="BD5986" s="331"/>
      <c r="BE5986" s="333"/>
      <c r="BF5986" s="330"/>
      <c r="BG5986" s="333"/>
      <c r="BH5986" s="1119"/>
      <c r="BI5986" s="319"/>
      <c r="BJ5986" s="319"/>
      <c r="BK5986" s="319"/>
      <c r="BL5986" s="319"/>
      <c r="BM5986" s="319"/>
      <c r="BN5986" s="319"/>
      <c r="BO5986" s="319"/>
      <c r="BP5986" s="953"/>
      <c r="BQ5986" s="319"/>
      <c r="BR5986" s="319"/>
      <c r="BS5986" s="330"/>
      <c r="BT5986" s="331"/>
      <c r="BU5986" s="920"/>
      <c r="BV5986" s="903"/>
      <c r="BW5986" s="908"/>
      <c r="BX5986" s="908"/>
      <c r="BY5986" s="331"/>
      <c r="BZ5986" s="331"/>
      <c r="CA5986" s="462"/>
      <c r="CB5986" s="319"/>
      <c r="CC5986" s="319"/>
      <c r="CD5986" s="319"/>
      <c r="CE5986" s="319"/>
      <c r="CF5986" s="319"/>
      <c r="CG5986" s="319"/>
      <c r="CH5986" s="318"/>
      <c r="CI5986" s="319"/>
      <c r="CJ5986" s="319"/>
      <c r="CK5986" s="342"/>
      <c r="CL5986" s="333"/>
      <c r="CM5986" s="1079"/>
      <c r="CN5986" s="1005"/>
      <c r="CO5986" s="1005"/>
      <c r="CP5986" s="1005"/>
    </row>
    <row r="5987">
      <c r="A5987" s="1257"/>
      <c r="B5987" s="1113"/>
      <c r="C5987" s="1107"/>
      <c r="D5987" s="103"/>
      <c r="E5987" s="1137"/>
      <c r="F5987" s="112"/>
      <c r="G5987" s="1110"/>
      <c r="H5987" s="1138"/>
      <c r="I5987" s="1138"/>
      <c r="J5987" s="1139"/>
      <c r="K5987" s="1111"/>
      <c r="L5987" s="1112"/>
      <c r="M5987" s="1113"/>
      <c r="N5987" s="110"/>
      <c r="O5987" s="1140"/>
      <c r="P5987" s="1115"/>
      <c r="Q5987" s="1116"/>
      <c r="R5987" s="1141"/>
      <c r="S5987" s="1113"/>
      <c r="T5987" s="1143"/>
      <c r="U5987" s="1108"/>
      <c r="V5987" s="1108"/>
      <c r="W5987" s="1108"/>
      <c r="X5987" s="1108"/>
      <c r="Y5987" s="1108"/>
      <c r="Z5987" s="1114"/>
      <c r="AA5987" s="1114"/>
      <c r="AB5987" s="1114"/>
      <c r="AC5987" s="1117"/>
      <c r="AD5987" s="1115"/>
      <c r="AE5987" s="1115"/>
      <c r="AF5987" s="1115"/>
      <c r="AG5987" s="1115"/>
      <c r="AH5987" s="1115"/>
      <c r="AI5987" s="1115"/>
      <c r="AJ5987" s="1117"/>
      <c r="AK5987" s="1118"/>
      <c r="AL5987" s="1115"/>
      <c r="AM5987" s="1115"/>
      <c r="AN5987" s="1115"/>
      <c r="AO5987" s="1115"/>
      <c r="AP5987" s="1115"/>
      <c r="AQ5987" s="1115"/>
      <c r="AR5987" s="1115"/>
      <c r="AS5987" s="1117"/>
      <c r="AT5987" s="1075"/>
      <c r="AU5987" s="1193"/>
      <c r="AV5987" s="330"/>
      <c r="AW5987" s="331"/>
      <c r="AX5987" s="331"/>
      <c r="AY5987" s="331"/>
      <c r="AZ5987" s="331"/>
      <c r="BA5987" s="331"/>
      <c r="BB5987" s="331"/>
      <c r="BC5987" s="331"/>
      <c r="BD5987" s="331"/>
      <c r="BE5987" s="333"/>
      <c r="BF5987" s="330"/>
      <c r="BG5987" s="333"/>
      <c r="BH5987" s="1119"/>
      <c r="BI5987" s="319"/>
      <c r="BJ5987" s="319"/>
      <c r="BK5987" s="319"/>
      <c r="BL5987" s="319"/>
      <c r="BM5987" s="319"/>
      <c r="BN5987" s="319"/>
      <c r="BO5987" s="319"/>
      <c r="BP5987" s="953"/>
      <c r="BQ5987" s="319"/>
      <c r="BR5987" s="319"/>
      <c r="BS5987" s="330"/>
      <c r="BT5987" s="331"/>
      <c r="BU5987" s="920"/>
      <c r="BV5987" s="903"/>
      <c r="BW5987" s="908"/>
      <c r="BX5987" s="908"/>
      <c r="BY5987" s="331"/>
      <c r="BZ5987" s="331"/>
      <c r="CA5987" s="462"/>
      <c r="CB5987" s="319"/>
      <c r="CC5987" s="319"/>
      <c r="CD5987" s="319"/>
      <c r="CE5987" s="319"/>
      <c r="CF5987" s="319"/>
      <c r="CG5987" s="319"/>
      <c r="CH5987" s="318"/>
      <c r="CI5987" s="319"/>
      <c r="CJ5987" s="319"/>
      <c r="CK5987" s="342"/>
      <c r="CL5987" s="333"/>
      <c r="CM5987" s="1079"/>
      <c r="CN5987" s="1005"/>
      <c r="CO5987" s="1005"/>
      <c r="CP5987" s="1005"/>
    </row>
    <row r="5988">
      <c r="A5988" s="1257"/>
      <c r="B5988" s="1113"/>
      <c r="C5988" s="1107"/>
      <c r="D5988" s="103"/>
      <c r="E5988" s="1137"/>
      <c r="F5988" s="112"/>
      <c r="G5988" s="1110"/>
      <c r="H5988" s="1138"/>
      <c r="I5988" s="1138"/>
      <c r="J5988" s="1139"/>
      <c r="K5988" s="1111"/>
      <c r="L5988" s="1112"/>
      <c r="M5988" s="1113"/>
      <c r="N5988" s="110"/>
      <c r="O5988" s="1140"/>
      <c r="P5988" s="1115"/>
      <c r="Q5988" s="1116"/>
      <c r="R5988" s="1141"/>
      <c r="S5988" s="1113"/>
      <c r="T5988" s="1143"/>
      <c r="U5988" s="1108"/>
      <c r="V5988" s="1108"/>
      <c r="W5988" s="1108"/>
      <c r="X5988" s="1108"/>
      <c r="Y5988" s="1108"/>
      <c r="Z5988" s="1114"/>
      <c r="AA5988" s="1114"/>
      <c r="AB5988" s="1114"/>
      <c r="AC5988" s="1117"/>
      <c r="AD5988" s="1115"/>
      <c r="AE5988" s="1115"/>
      <c r="AF5988" s="1115"/>
      <c r="AG5988" s="1115"/>
      <c r="AH5988" s="1115"/>
      <c r="AI5988" s="1115"/>
      <c r="AJ5988" s="1117"/>
      <c r="AK5988" s="1118"/>
      <c r="AL5988" s="1115"/>
      <c r="AM5988" s="1115"/>
      <c r="AN5988" s="1115"/>
      <c r="AO5988" s="1115"/>
      <c r="AP5988" s="1115"/>
      <c r="AQ5988" s="1115"/>
      <c r="AR5988" s="1115"/>
      <c r="AS5988" s="1117"/>
      <c r="AT5988" s="1075"/>
      <c r="AU5988" s="1193"/>
      <c r="AV5988" s="330"/>
      <c r="AW5988" s="331"/>
      <c r="AX5988" s="331"/>
      <c r="AY5988" s="331"/>
      <c r="AZ5988" s="331"/>
      <c r="BA5988" s="331"/>
      <c r="BB5988" s="331"/>
      <c r="BC5988" s="331"/>
      <c r="BD5988" s="331"/>
      <c r="BE5988" s="333"/>
      <c r="BF5988" s="330"/>
      <c r="BG5988" s="333"/>
      <c r="BH5988" s="1119"/>
      <c r="BI5988" s="319"/>
      <c r="BJ5988" s="319"/>
      <c r="BK5988" s="319"/>
      <c r="BL5988" s="319"/>
      <c r="BM5988" s="319"/>
      <c r="BN5988" s="319"/>
      <c r="BO5988" s="319"/>
      <c r="BP5988" s="953"/>
      <c r="BQ5988" s="319"/>
      <c r="BR5988" s="319"/>
      <c r="BS5988" s="330"/>
      <c r="BT5988" s="331"/>
      <c r="BU5988" s="920"/>
      <c r="BV5988" s="903"/>
      <c r="BW5988" s="908"/>
      <c r="BX5988" s="908"/>
      <c r="BY5988" s="331"/>
      <c r="BZ5988" s="331"/>
      <c r="CA5988" s="462"/>
      <c r="CB5988" s="319"/>
      <c r="CC5988" s="319"/>
      <c r="CD5988" s="319"/>
      <c r="CE5988" s="319"/>
      <c r="CF5988" s="319"/>
      <c r="CG5988" s="319"/>
      <c r="CH5988" s="318"/>
      <c r="CI5988" s="319"/>
      <c r="CJ5988" s="319"/>
      <c r="CK5988" s="342"/>
      <c r="CL5988" s="333"/>
      <c r="CM5988" s="1079"/>
      <c r="CN5988" s="1005"/>
      <c r="CO5988" s="1005"/>
      <c r="CP5988" s="1005"/>
    </row>
    <row r="5989">
      <c r="A5989" s="1257"/>
      <c r="B5989" s="1113"/>
      <c r="C5989" s="1107"/>
      <c r="D5989" s="103"/>
      <c r="E5989" s="1137"/>
      <c r="F5989" s="112"/>
      <c r="G5989" s="1110"/>
      <c r="H5989" s="1138"/>
      <c r="I5989" s="1138"/>
      <c r="J5989" s="1139"/>
      <c r="K5989" s="1111"/>
      <c r="L5989" s="1112"/>
      <c r="M5989" s="1113"/>
      <c r="N5989" s="110"/>
      <c r="O5989" s="1140"/>
      <c r="P5989" s="1115"/>
      <c r="Q5989" s="1116"/>
      <c r="R5989" s="1141"/>
      <c r="S5989" s="1113"/>
      <c r="T5989" s="1143"/>
      <c r="U5989" s="1108"/>
      <c r="V5989" s="1108"/>
      <c r="W5989" s="1108"/>
      <c r="X5989" s="1108"/>
      <c r="Y5989" s="1108"/>
      <c r="Z5989" s="1114"/>
      <c r="AA5989" s="1114"/>
      <c r="AB5989" s="1114"/>
      <c r="AC5989" s="1117"/>
      <c r="AD5989" s="1115"/>
      <c r="AE5989" s="1115"/>
      <c r="AF5989" s="1115"/>
      <c r="AG5989" s="1115"/>
      <c r="AH5989" s="1115"/>
      <c r="AI5989" s="1115"/>
      <c r="AJ5989" s="1117"/>
      <c r="AK5989" s="1118"/>
      <c r="AL5989" s="1115"/>
      <c r="AM5989" s="1115"/>
      <c r="AN5989" s="1115"/>
      <c r="AO5989" s="1115"/>
      <c r="AP5989" s="1115"/>
      <c r="AQ5989" s="1115"/>
      <c r="AR5989" s="1115"/>
      <c r="AS5989" s="1117"/>
      <c r="AT5989" s="1075"/>
      <c r="AU5989" s="1193"/>
      <c r="AV5989" s="330"/>
      <c r="AW5989" s="331"/>
      <c r="AX5989" s="331"/>
      <c r="AY5989" s="331"/>
      <c r="AZ5989" s="331"/>
      <c r="BA5989" s="331"/>
      <c r="BB5989" s="331"/>
      <c r="BC5989" s="331"/>
      <c r="BD5989" s="331"/>
      <c r="BE5989" s="333"/>
      <c r="BF5989" s="330"/>
      <c r="BG5989" s="333"/>
      <c r="BH5989" s="1119"/>
      <c r="BI5989" s="319"/>
      <c r="BJ5989" s="319"/>
      <c r="BK5989" s="319"/>
      <c r="BL5989" s="319"/>
      <c r="BM5989" s="319"/>
      <c r="BN5989" s="319"/>
      <c r="BO5989" s="319"/>
      <c r="BP5989" s="953"/>
      <c r="BQ5989" s="319"/>
      <c r="BR5989" s="319"/>
      <c r="BS5989" s="330"/>
      <c r="BT5989" s="331"/>
      <c r="BU5989" s="920"/>
      <c r="BV5989" s="903"/>
      <c r="BW5989" s="908"/>
      <c r="BX5989" s="908"/>
      <c r="BY5989" s="331"/>
      <c r="BZ5989" s="331"/>
      <c r="CA5989" s="462"/>
      <c r="CB5989" s="319"/>
      <c r="CC5989" s="319"/>
      <c r="CD5989" s="319"/>
      <c r="CE5989" s="319"/>
      <c r="CF5989" s="319"/>
      <c r="CG5989" s="319"/>
      <c r="CH5989" s="318"/>
      <c r="CI5989" s="319"/>
      <c r="CJ5989" s="319"/>
      <c r="CK5989" s="342"/>
      <c r="CL5989" s="333"/>
      <c r="CM5989" s="1079"/>
      <c r="CN5989" s="1005"/>
      <c r="CO5989" s="1005"/>
      <c r="CP5989" s="1005"/>
    </row>
    <row r="5990">
      <c r="A5990" s="1257"/>
      <c r="B5990" s="1113"/>
      <c r="C5990" s="1107"/>
      <c r="D5990" s="103"/>
      <c r="E5990" s="1137"/>
      <c r="F5990" s="112"/>
      <c r="G5990" s="1110"/>
      <c r="H5990" s="1138"/>
      <c r="I5990" s="1138"/>
      <c r="J5990" s="1139"/>
      <c r="K5990" s="1111"/>
      <c r="L5990" s="1112"/>
      <c r="M5990" s="1113"/>
      <c r="N5990" s="110"/>
      <c r="O5990" s="1140"/>
      <c r="P5990" s="1115"/>
      <c r="Q5990" s="1116"/>
      <c r="R5990" s="1141"/>
      <c r="S5990" s="1113"/>
      <c r="T5990" s="1143"/>
      <c r="U5990" s="1108"/>
      <c r="V5990" s="1108"/>
      <c r="W5990" s="1108"/>
      <c r="X5990" s="1108"/>
      <c r="Y5990" s="1108"/>
      <c r="Z5990" s="1114"/>
      <c r="AA5990" s="1114"/>
      <c r="AB5990" s="1114"/>
      <c r="AC5990" s="1117"/>
      <c r="AD5990" s="1115"/>
      <c r="AE5990" s="1115"/>
      <c r="AF5990" s="1115"/>
      <c r="AG5990" s="1115"/>
      <c r="AH5990" s="1115"/>
      <c r="AI5990" s="1115"/>
      <c r="AJ5990" s="1117"/>
      <c r="AK5990" s="1118"/>
      <c r="AL5990" s="1115"/>
      <c r="AM5990" s="1115"/>
      <c r="AN5990" s="1115"/>
      <c r="AO5990" s="1115"/>
      <c r="AP5990" s="1115"/>
      <c r="AQ5990" s="1115"/>
      <c r="AR5990" s="1115"/>
      <c r="AS5990" s="1117"/>
      <c r="AT5990" s="1075"/>
      <c r="AU5990" s="1193"/>
      <c r="AV5990" s="330"/>
      <c r="AW5990" s="331"/>
      <c r="AX5990" s="331"/>
      <c r="AY5990" s="331"/>
      <c r="AZ5990" s="331"/>
      <c r="BA5990" s="331"/>
      <c r="BB5990" s="331"/>
      <c r="BC5990" s="331"/>
      <c r="BD5990" s="331"/>
      <c r="BE5990" s="333"/>
      <c r="BF5990" s="330"/>
      <c r="BG5990" s="333"/>
      <c r="BH5990" s="1119"/>
      <c r="BI5990" s="319"/>
      <c r="BJ5990" s="319"/>
      <c r="BK5990" s="319"/>
      <c r="BL5990" s="319"/>
      <c r="BM5990" s="319"/>
      <c r="BN5990" s="319"/>
      <c r="BO5990" s="319"/>
      <c r="BP5990" s="953"/>
      <c r="BQ5990" s="319"/>
      <c r="BR5990" s="319"/>
      <c r="BS5990" s="330"/>
      <c r="BT5990" s="331"/>
      <c r="BU5990" s="920"/>
      <c r="BV5990" s="903"/>
      <c r="BW5990" s="908"/>
      <c r="BX5990" s="908"/>
      <c r="BY5990" s="331"/>
      <c r="BZ5990" s="331"/>
      <c r="CA5990" s="462"/>
      <c r="CB5990" s="319"/>
      <c r="CC5990" s="319"/>
      <c r="CD5990" s="319"/>
      <c r="CE5990" s="319"/>
      <c r="CF5990" s="319"/>
      <c r="CG5990" s="319"/>
      <c r="CH5990" s="318"/>
      <c r="CI5990" s="319"/>
      <c r="CJ5990" s="319"/>
      <c r="CK5990" s="342"/>
      <c r="CL5990" s="333"/>
      <c r="CM5990" s="1079"/>
      <c r="CN5990" s="1005"/>
      <c r="CO5990" s="1005"/>
      <c r="CP5990" s="1005"/>
    </row>
    <row r="5991">
      <c r="A5991" s="1257"/>
      <c r="B5991" s="1113"/>
      <c r="C5991" s="1107"/>
      <c r="D5991" s="103"/>
      <c r="E5991" s="1137"/>
      <c r="F5991" s="112"/>
      <c r="G5991" s="1110"/>
      <c r="H5991" s="1138"/>
      <c r="I5991" s="1138"/>
      <c r="J5991" s="1139"/>
      <c r="K5991" s="1111"/>
      <c r="L5991" s="1112"/>
      <c r="M5991" s="1113"/>
      <c r="N5991" s="110"/>
      <c r="O5991" s="1140"/>
      <c r="P5991" s="1115"/>
      <c r="Q5991" s="1116"/>
      <c r="R5991" s="1141"/>
      <c r="S5991" s="1113"/>
      <c r="T5991" s="1143"/>
      <c r="U5991" s="1108"/>
      <c r="V5991" s="1108"/>
      <c r="W5991" s="1108"/>
      <c r="X5991" s="1108"/>
      <c r="Y5991" s="1108"/>
      <c r="Z5991" s="1114"/>
      <c r="AA5991" s="1114"/>
      <c r="AB5991" s="1114"/>
      <c r="AC5991" s="1117"/>
      <c r="AD5991" s="1115"/>
      <c r="AE5991" s="1115"/>
      <c r="AF5991" s="1115"/>
      <c r="AG5991" s="1115"/>
      <c r="AH5991" s="1115"/>
      <c r="AI5991" s="1115"/>
      <c r="AJ5991" s="1117"/>
      <c r="AK5991" s="1118"/>
      <c r="AL5991" s="1115"/>
      <c r="AM5991" s="1115"/>
      <c r="AN5991" s="1115"/>
      <c r="AO5991" s="1115"/>
      <c r="AP5991" s="1115"/>
      <c r="AQ5991" s="1115"/>
      <c r="AR5991" s="1115"/>
      <c r="AS5991" s="1117"/>
      <c r="AT5991" s="1075"/>
      <c r="AU5991" s="1193"/>
      <c r="AV5991" s="330"/>
      <c r="AW5991" s="331"/>
      <c r="AX5991" s="331"/>
      <c r="AY5991" s="331"/>
      <c r="AZ5991" s="331"/>
      <c r="BA5991" s="331"/>
      <c r="BB5991" s="331"/>
      <c r="BC5991" s="331"/>
      <c r="BD5991" s="331"/>
      <c r="BE5991" s="333"/>
      <c r="BF5991" s="330"/>
      <c r="BG5991" s="333"/>
      <c r="BH5991" s="1119"/>
      <c r="BI5991" s="319"/>
      <c r="BJ5991" s="319"/>
      <c r="BK5991" s="319"/>
      <c r="BL5991" s="319"/>
      <c r="BM5991" s="319"/>
      <c r="BN5991" s="319"/>
      <c r="BO5991" s="319"/>
      <c r="BP5991" s="953"/>
      <c r="BQ5991" s="319"/>
      <c r="BR5991" s="319"/>
      <c r="BS5991" s="330"/>
      <c r="BT5991" s="331"/>
      <c r="BU5991" s="920"/>
      <c r="BV5991" s="903"/>
      <c r="BW5991" s="908"/>
      <c r="BX5991" s="908"/>
      <c r="BY5991" s="331"/>
      <c r="BZ5991" s="331"/>
      <c r="CA5991" s="462"/>
      <c r="CB5991" s="319"/>
      <c r="CC5991" s="319"/>
      <c r="CD5991" s="319"/>
      <c r="CE5991" s="319"/>
      <c r="CF5991" s="319"/>
      <c r="CG5991" s="319"/>
      <c r="CH5991" s="318"/>
      <c r="CI5991" s="319"/>
      <c r="CJ5991" s="319"/>
      <c r="CK5991" s="342"/>
      <c r="CL5991" s="333"/>
      <c r="CM5991" s="1079"/>
      <c r="CN5991" s="1005"/>
      <c r="CO5991" s="1005"/>
      <c r="CP5991" s="1005"/>
    </row>
    <row r="5992">
      <c r="A5992" s="1257"/>
      <c r="B5992" s="1113"/>
      <c r="C5992" s="1107"/>
      <c r="D5992" s="103"/>
      <c r="E5992" s="1137"/>
      <c r="F5992" s="112"/>
      <c r="G5992" s="1110"/>
      <c r="H5992" s="1138"/>
      <c r="I5992" s="1138"/>
      <c r="J5992" s="1139"/>
      <c r="K5992" s="1111"/>
      <c r="L5992" s="1112"/>
      <c r="M5992" s="1113"/>
      <c r="N5992" s="110"/>
      <c r="O5992" s="1140"/>
      <c r="P5992" s="1115"/>
      <c r="Q5992" s="1116"/>
      <c r="R5992" s="1141"/>
      <c r="S5992" s="1113"/>
      <c r="T5992" s="1143"/>
      <c r="U5992" s="1108"/>
      <c r="V5992" s="1108"/>
      <c r="W5992" s="1108"/>
      <c r="X5992" s="1108"/>
      <c r="Y5992" s="1108"/>
      <c r="Z5992" s="1114"/>
      <c r="AA5992" s="1114"/>
      <c r="AB5992" s="1114"/>
      <c r="AC5992" s="1117"/>
      <c r="AD5992" s="1115"/>
      <c r="AE5992" s="1115"/>
      <c r="AF5992" s="1115"/>
      <c r="AG5992" s="1115"/>
      <c r="AH5992" s="1115"/>
      <c r="AI5992" s="1115"/>
      <c r="AJ5992" s="1117"/>
      <c r="AK5992" s="1118"/>
      <c r="AL5992" s="1115"/>
      <c r="AM5992" s="1115"/>
      <c r="AN5992" s="1115"/>
      <c r="AO5992" s="1115"/>
      <c r="AP5992" s="1115"/>
      <c r="AQ5992" s="1115"/>
      <c r="AR5992" s="1115"/>
      <c r="AS5992" s="1117"/>
      <c r="AT5992" s="1075"/>
      <c r="AU5992" s="1193"/>
      <c r="AV5992" s="330"/>
      <c r="AW5992" s="331"/>
      <c r="AX5992" s="331"/>
      <c r="AY5992" s="331"/>
      <c r="AZ5992" s="331"/>
      <c r="BA5992" s="331"/>
      <c r="BB5992" s="331"/>
      <c r="BC5992" s="331"/>
      <c r="BD5992" s="331"/>
      <c r="BE5992" s="333"/>
      <c r="BF5992" s="330"/>
      <c r="BG5992" s="333"/>
      <c r="BH5992" s="1119"/>
      <c r="BI5992" s="319"/>
      <c r="BJ5992" s="319"/>
      <c r="BK5992" s="319"/>
      <c r="BL5992" s="319"/>
      <c r="BM5992" s="319"/>
      <c r="BN5992" s="319"/>
      <c r="BO5992" s="319"/>
      <c r="BP5992" s="953"/>
      <c r="BQ5992" s="319"/>
      <c r="BR5992" s="319"/>
      <c r="BS5992" s="330"/>
      <c r="BT5992" s="331"/>
      <c r="BU5992" s="920"/>
      <c r="BV5992" s="903"/>
      <c r="BW5992" s="908"/>
      <c r="BX5992" s="908"/>
      <c r="BY5992" s="331"/>
      <c r="BZ5992" s="331"/>
      <c r="CA5992" s="462"/>
      <c r="CB5992" s="319"/>
      <c r="CC5992" s="319"/>
      <c r="CD5992" s="319"/>
      <c r="CE5992" s="319"/>
      <c r="CF5992" s="319"/>
      <c r="CG5992" s="319"/>
      <c r="CH5992" s="318"/>
      <c r="CI5992" s="319"/>
      <c r="CJ5992" s="319"/>
      <c r="CK5992" s="342"/>
      <c r="CL5992" s="333"/>
      <c r="CM5992" s="1079"/>
      <c r="CN5992" s="1005"/>
      <c r="CO5992" s="1005"/>
      <c r="CP5992" s="1005"/>
    </row>
    <row r="5993">
      <c r="A5993" s="1257"/>
      <c r="B5993" s="1113"/>
      <c r="C5993" s="1107"/>
      <c r="D5993" s="103"/>
      <c r="E5993" s="1137"/>
      <c r="F5993" s="112"/>
      <c r="G5993" s="1110"/>
      <c r="H5993" s="1138"/>
      <c r="I5993" s="1138"/>
      <c r="J5993" s="1139"/>
      <c r="K5993" s="1111"/>
      <c r="L5993" s="1112"/>
      <c r="M5993" s="1113"/>
      <c r="N5993" s="110"/>
      <c r="O5993" s="1140"/>
      <c r="P5993" s="1115"/>
      <c r="Q5993" s="1116"/>
      <c r="R5993" s="1141"/>
      <c r="S5993" s="1113"/>
      <c r="T5993" s="1143"/>
      <c r="U5993" s="1108"/>
      <c r="V5993" s="1108"/>
      <c r="W5993" s="1108"/>
      <c r="X5993" s="1108"/>
      <c r="Y5993" s="1108"/>
      <c r="Z5993" s="1114"/>
      <c r="AA5993" s="1114"/>
      <c r="AB5993" s="1114"/>
      <c r="AC5993" s="1117"/>
      <c r="AD5993" s="1115"/>
      <c r="AE5993" s="1115"/>
      <c r="AF5993" s="1115"/>
      <c r="AG5993" s="1115"/>
      <c r="AH5993" s="1115"/>
      <c r="AI5993" s="1115"/>
      <c r="AJ5993" s="1117"/>
      <c r="AK5993" s="1118"/>
      <c r="AL5993" s="1115"/>
      <c r="AM5993" s="1115"/>
      <c r="AN5993" s="1115"/>
      <c r="AO5993" s="1115"/>
      <c r="AP5993" s="1115"/>
      <c r="AQ5993" s="1115"/>
      <c r="AR5993" s="1115"/>
      <c r="AS5993" s="1117"/>
      <c r="AT5993" s="1075"/>
      <c r="AU5993" s="1193"/>
      <c r="AV5993" s="330"/>
      <c r="AW5993" s="331"/>
      <c r="AX5993" s="331"/>
      <c r="AY5993" s="331"/>
      <c r="AZ5993" s="331"/>
      <c r="BA5993" s="331"/>
      <c r="BB5993" s="331"/>
      <c r="BC5993" s="331"/>
      <c r="BD5993" s="331"/>
      <c r="BE5993" s="333"/>
      <c r="BF5993" s="330"/>
      <c r="BG5993" s="333"/>
      <c r="BH5993" s="1119"/>
      <c r="BI5993" s="319"/>
      <c r="BJ5993" s="319"/>
      <c r="BK5993" s="319"/>
      <c r="BL5993" s="319"/>
      <c r="BM5993" s="319"/>
      <c r="BN5993" s="319"/>
      <c r="BO5993" s="319"/>
      <c r="BP5993" s="953"/>
      <c r="BQ5993" s="319"/>
      <c r="BR5993" s="319"/>
      <c r="BS5993" s="330"/>
      <c r="BT5993" s="331"/>
      <c r="BU5993" s="920"/>
      <c r="BV5993" s="903"/>
      <c r="BW5993" s="908"/>
      <c r="BX5993" s="908"/>
      <c r="BY5993" s="331"/>
      <c r="BZ5993" s="331"/>
      <c r="CA5993" s="462"/>
      <c r="CB5993" s="319"/>
      <c r="CC5993" s="319"/>
      <c r="CD5993" s="319"/>
      <c r="CE5993" s="319"/>
      <c r="CF5993" s="319"/>
      <c r="CG5993" s="319"/>
      <c r="CH5993" s="318"/>
      <c r="CI5993" s="319"/>
      <c r="CJ5993" s="319"/>
      <c r="CK5993" s="342"/>
      <c r="CL5993" s="333"/>
      <c r="CM5993" s="1079"/>
      <c r="CN5993" s="1005"/>
      <c r="CO5993" s="1005"/>
      <c r="CP5993" s="1005"/>
    </row>
    <row r="5994">
      <c r="A5994" s="1257"/>
      <c r="B5994" s="1113"/>
      <c r="C5994" s="1107"/>
      <c r="D5994" s="103"/>
      <c r="E5994" s="1137"/>
      <c r="F5994" s="112"/>
      <c r="G5994" s="1110"/>
      <c r="H5994" s="1138"/>
      <c r="I5994" s="1138"/>
      <c r="J5994" s="1139"/>
      <c r="K5994" s="1111"/>
      <c r="L5994" s="1112"/>
      <c r="M5994" s="1113"/>
      <c r="N5994" s="110"/>
      <c r="O5994" s="1140"/>
      <c r="P5994" s="1115"/>
      <c r="Q5994" s="1116"/>
      <c r="R5994" s="1141"/>
      <c r="S5994" s="1113"/>
      <c r="T5994" s="1143"/>
      <c r="U5994" s="1108"/>
      <c r="V5994" s="1108"/>
      <c r="W5994" s="1108"/>
      <c r="X5994" s="1108"/>
      <c r="Y5994" s="1108"/>
      <c r="Z5994" s="1114"/>
      <c r="AA5994" s="1114"/>
      <c r="AB5994" s="1114"/>
      <c r="AC5994" s="1117"/>
      <c r="AD5994" s="1115"/>
      <c r="AE5994" s="1115"/>
      <c r="AF5994" s="1115"/>
      <c r="AG5994" s="1115"/>
      <c r="AH5994" s="1115"/>
      <c r="AI5994" s="1115"/>
      <c r="AJ5994" s="1117"/>
      <c r="AK5994" s="1118"/>
      <c r="AL5994" s="1115"/>
      <c r="AM5994" s="1115"/>
      <c r="AN5994" s="1115"/>
      <c r="AO5994" s="1115"/>
      <c r="AP5994" s="1115"/>
      <c r="AQ5994" s="1115"/>
      <c r="AR5994" s="1115"/>
      <c r="AS5994" s="1117"/>
      <c r="AT5994" s="1075"/>
      <c r="AU5994" s="1193"/>
      <c r="AV5994" s="330"/>
      <c r="AW5994" s="331"/>
      <c r="AX5994" s="331"/>
      <c r="AY5994" s="331"/>
      <c r="AZ5994" s="331"/>
      <c r="BA5994" s="331"/>
      <c r="BB5994" s="331"/>
      <c r="BC5994" s="331"/>
      <c r="BD5994" s="331"/>
      <c r="BE5994" s="333"/>
      <c r="BF5994" s="330"/>
      <c r="BG5994" s="333"/>
      <c r="BH5994" s="1119"/>
      <c r="BI5994" s="319"/>
      <c r="BJ5994" s="319"/>
      <c r="BK5994" s="319"/>
      <c r="BL5994" s="319"/>
      <c r="BM5994" s="319"/>
      <c r="BN5994" s="319"/>
      <c r="BO5994" s="319"/>
      <c r="BP5994" s="953"/>
      <c r="BQ5994" s="319"/>
      <c r="BR5994" s="319"/>
      <c r="BS5994" s="330"/>
      <c r="BT5994" s="331"/>
      <c r="BU5994" s="920"/>
      <c r="BV5994" s="903"/>
      <c r="BW5994" s="908"/>
      <c r="BX5994" s="908"/>
      <c r="BY5994" s="331"/>
      <c r="BZ5994" s="331"/>
      <c r="CA5994" s="462"/>
      <c r="CB5994" s="319"/>
      <c r="CC5994" s="319"/>
      <c r="CD5994" s="319"/>
      <c r="CE5994" s="319"/>
      <c r="CF5994" s="319"/>
      <c r="CG5994" s="319"/>
      <c r="CH5994" s="318"/>
      <c r="CI5994" s="319"/>
      <c r="CJ5994" s="319"/>
      <c r="CK5994" s="342"/>
      <c r="CL5994" s="333"/>
      <c r="CM5994" s="1079"/>
      <c r="CN5994" s="1005"/>
      <c r="CO5994" s="1005"/>
      <c r="CP5994" s="1005"/>
    </row>
    <row r="5995">
      <c r="A5995" s="1257"/>
      <c r="B5995" s="1113"/>
      <c r="C5995" s="1107"/>
      <c r="D5995" s="103"/>
      <c r="E5995" s="1137"/>
      <c r="F5995" s="112"/>
      <c r="G5995" s="1110"/>
      <c r="H5995" s="1138"/>
      <c r="I5995" s="1138"/>
      <c r="J5995" s="1139"/>
      <c r="K5995" s="1111"/>
      <c r="L5995" s="1112"/>
      <c r="M5995" s="1113"/>
      <c r="N5995" s="110"/>
      <c r="O5995" s="1140"/>
      <c r="P5995" s="1115"/>
      <c r="Q5995" s="1116"/>
      <c r="R5995" s="1141"/>
      <c r="S5995" s="1113"/>
      <c r="T5995" s="1143"/>
      <c r="U5995" s="1108"/>
      <c r="V5995" s="1108"/>
      <c r="W5995" s="1108"/>
      <c r="X5995" s="1108"/>
      <c r="Y5995" s="1108"/>
      <c r="Z5995" s="1114"/>
      <c r="AA5995" s="1114"/>
      <c r="AB5995" s="1114"/>
      <c r="AC5995" s="1117"/>
      <c r="AD5995" s="1115"/>
      <c r="AE5995" s="1115"/>
      <c r="AF5995" s="1115"/>
      <c r="AG5995" s="1115"/>
      <c r="AH5995" s="1115"/>
      <c r="AI5995" s="1115"/>
      <c r="AJ5995" s="1117"/>
      <c r="AK5995" s="1118"/>
      <c r="AL5995" s="1115"/>
      <c r="AM5995" s="1115"/>
      <c r="AN5995" s="1115"/>
      <c r="AO5995" s="1115"/>
      <c r="AP5995" s="1115"/>
      <c r="AQ5995" s="1115"/>
      <c r="AR5995" s="1115"/>
      <c r="AS5995" s="1117"/>
      <c r="AT5995" s="1075"/>
      <c r="AU5995" s="1193"/>
      <c r="AV5995" s="330"/>
      <c r="AW5995" s="331"/>
      <c r="AX5995" s="331"/>
      <c r="AY5995" s="331"/>
      <c r="AZ5995" s="331"/>
      <c r="BA5995" s="331"/>
      <c r="BB5995" s="331"/>
      <c r="BC5995" s="331"/>
      <c r="BD5995" s="331"/>
      <c r="BE5995" s="333"/>
      <c r="BF5995" s="330"/>
      <c r="BG5995" s="333"/>
      <c r="BH5995" s="1119"/>
      <c r="BI5995" s="319"/>
      <c r="BJ5995" s="319"/>
      <c r="BK5995" s="319"/>
      <c r="BL5995" s="319"/>
      <c r="BM5995" s="319"/>
      <c r="BN5995" s="319"/>
      <c r="BO5995" s="319"/>
      <c r="BP5995" s="953"/>
      <c r="BQ5995" s="319"/>
      <c r="BR5995" s="319"/>
      <c r="BS5995" s="330"/>
      <c r="BT5995" s="331"/>
      <c r="BU5995" s="920"/>
      <c r="BV5995" s="903"/>
      <c r="BW5995" s="908"/>
      <c r="BX5995" s="908"/>
      <c r="BY5995" s="331"/>
      <c r="BZ5995" s="331"/>
      <c r="CA5995" s="462"/>
      <c r="CB5995" s="319"/>
      <c r="CC5995" s="319"/>
      <c r="CD5995" s="319"/>
      <c r="CE5995" s="319"/>
      <c r="CF5995" s="319"/>
      <c r="CG5995" s="319"/>
      <c r="CH5995" s="318"/>
      <c r="CI5995" s="319"/>
      <c r="CJ5995" s="319"/>
      <c r="CK5995" s="342"/>
      <c r="CL5995" s="333"/>
      <c r="CM5995" s="1079"/>
      <c r="CN5995" s="1005"/>
      <c r="CO5995" s="1005"/>
      <c r="CP5995" s="1005"/>
    </row>
    <row r="5996">
      <c r="A5996" s="1257"/>
      <c r="B5996" s="1113"/>
      <c r="C5996" s="1107"/>
      <c r="D5996" s="103"/>
      <c r="E5996" s="1137"/>
      <c r="F5996" s="112"/>
      <c r="G5996" s="1110"/>
      <c r="H5996" s="1138"/>
      <c r="I5996" s="1138"/>
      <c r="J5996" s="1139"/>
      <c r="K5996" s="1111"/>
      <c r="L5996" s="1112"/>
      <c r="M5996" s="1113"/>
      <c r="N5996" s="110"/>
      <c r="O5996" s="1140"/>
      <c r="P5996" s="1115"/>
      <c r="Q5996" s="1116"/>
      <c r="R5996" s="1141"/>
      <c r="S5996" s="1113"/>
      <c r="T5996" s="1143"/>
      <c r="U5996" s="1108"/>
      <c r="V5996" s="1108"/>
      <c r="W5996" s="1108"/>
      <c r="X5996" s="1108"/>
      <c r="Y5996" s="1108"/>
      <c r="Z5996" s="1114"/>
      <c r="AA5996" s="1114"/>
      <c r="AB5996" s="1114"/>
      <c r="AC5996" s="1117"/>
      <c r="AD5996" s="1115"/>
      <c r="AE5996" s="1115"/>
      <c r="AF5996" s="1115"/>
      <c r="AG5996" s="1115"/>
      <c r="AH5996" s="1115"/>
      <c r="AI5996" s="1115"/>
      <c r="AJ5996" s="1117"/>
      <c r="AK5996" s="1118"/>
      <c r="AL5996" s="1115"/>
      <c r="AM5996" s="1115"/>
      <c r="AN5996" s="1115"/>
      <c r="AO5996" s="1115"/>
      <c r="AP5996" s="1115"/>
      <c r="AQ5996" s="1115"/>
      <c r="AR5996" s="1115"/>
      <c r="AS5996" s="1117"/>
      <c r="AT5996" s="1075"/>
      <c r="AU5996" s="1193"/>
      <c r="AV5996" s="330"/>
      <c r="AW5996" s="331"/>
      <c r="AX5996" s="331"/>
      <c r="AY5996" s="331"/>
      <c r="AZ5996" s="331"/>
      <c r="BA5996" s="331"/>
      <c r="BB5996" s="331"/>
      <c r="BC5996" s="331"/>
      <c r="BD5996" s="331"/>
      <c r="BE5996" s="333"/>
      <c r="BF5996" s="330"/>
      <c r="BG5996" s="333"/>
      <c r="BH5996" s="1119"/>
      <c r="BI5996" s="319"/>
      <c r="BJ5996" s="319"/>
      <c r="BK5996" s="319"/>
      <c r="BL5996" s="319"/>
      <c r="BM5996" s="319"/>
      <c r="BN5996" s="319"/>
      <c r="BO5996" s="319"/>
      <c r="BP5996" s="953"/>
      <c r="BQ5996" s="319"/>
      <c r="BR5996" s="319"/>
      <c r="BS5996" s="330"/>
      <c r="BT5996" s="331"/>
      <c r="BU5996" s="920"/>
      <c r="BV5996" s="903"/>
      <c r="BW5996" s="908"/>
      <c r="BX5996" s="908"/>
      <c r="BY5996" s="331"/>
      <c r="BZ5996" s="331"/>
      <c r="CA5996" s="462"/>
      <c r="CB5996" s="319"/>
      <c r="CC5996" s="319"/>
      <c r="CD5996" s="319"/>
      <c r="CE5996" s="319"/>
      <c r="CF5996" s="319"/>
      <c r="CG5996" s="319"/>
      <c r="CH5996" s="318"/>
      <c r="CI5996" s="319"/>
      <c r="CJ5996" s="319"/>
      <c r="CK5996" s="342"/>
      <c r="CL5996" s="333"/>
      <c r="CM5996" s="1079"/>
      <c r="CN5996" s="1005"/>
      <c r="CO5996" s="1005"/>
      <c r="CP5996" s="1005"/>
    </row>
    <row r="5997">
      <c r="A5997" s="1257"/>
      <c r="B5997" s="1113"/>
      <c r="C5997" s="1107"/>
      <c r="D5997" s="103"/>
      <c r="E5997" s="1137"/>
      <c r="F5997" s="112"/>
      <c r="G5997" s="1110"/>
      <c r="H5997" s="1138"/>
      <c r="I5997" s="1138"/>
      <c r="J5997" s="1139"/>
      <c r="K5997" s="1111"/>
      <c r="L5997" s="1112"/>
      <c r="M5997" s="1113"/>
      <c r="N5997" s="110"/>
      <c r="O5997" s="1140"/>
      <c r="P5997" s="1115"/>
      <c r="Q5997" s="1116"/>
      <c r="R5997" s="1141"/>
      <c r="S5997" s="1113"/>
      <c r="T5997" s="1143"/>
      <c r="U5997" s="1108"/>
      <c r="V5997" s="1108"/>
      <c r="W5997" s="1108"/>
      <c r="X5997" s="1108"/>
      <c r="Y5997" s="1108"/>
      <c r="Z5997" s="1114"/>
      <c r="AA5997" s="1114"/>
      <c r="AB5997" s="1114"/>
      <c r="AC5997" s="1117"/>
      <c r="AD5997" s="1115"/>
      <c r="AE5997" s="1115"/>
      <c r="AF5997" s="1115"/>
      <c r="AG5997" s="1115"/>
      <c r="AH5997" s="1115"/>
      <c r="AI5997" s="1115"/>
      <c r="AJ5997" s="1117"/>
      <c r="AK5997" s="1118"/>
      <c r="AL5997" s="1115"/>
      <c r="AM5997" s="1115"/>
      <c r="AN5997" s="1115"/>
      <c r="AO5997" s="1115"/>
      <c r="AP5997" s="1115"/>
      <c r="AQ5997" s="1115"/>
      <c r="AR5997" s="1115"/>
      <c r="AS5997" s="1117"/>
      <c r="AT5997" s="1075"/>
      <c r="AU5997" s="1193"/>
      <c r="AV5997" s="330"/>
      <c r="AW5997" s="331"/>
      <c r="AX5997" s="331"/>
      <c r="AY5997" s="331"/>
      <c r="AZ5997" s="331"/>
      <c r="BA5997" s="331"/>
      <c r="BB5997" s="331"/>
      <c r="BC5997" s="331"/>
      <c r="BD5997" s="331"/>
      <c r="BE5997" s="333"/>
      <c r="BF5997" s="330"/>
      <c r="BG5997" s="333"/>
      <c r="BH5997" s="1119"/>
      <c r="BI5997" s="319"/>
      <c r="BJ5997" s="319"/>
      <c r="BK5997" s="319"/>
      <c r="BL5997" s="319"/>
      <c r="BM5997" s="319"/>
      <c r="BN5997" s="319"/>
      <c r="BO5997" s="319"/>
      <c r="BP5997" s="953"/>
      <c r="BQ5997" s="319"/>
      <c r="BR5997" s="319"/>
      <c r="BS5997" s="330"/>
      <c r="BT5997" s="331"/>
      <c r="BU5997" s="920"/>
      <c r="BV5997" s="903"/>
      <c r="BW5997" s="908"/>
      <c r="BX5997" s="908"/>
      <c r="BY5997" s="331"/>
      <c r="BZ5997" s="331"/>
      <c r="CA5997" s="462"/>
      <c r="CB5997" s="319"/>
      <c r="CC5997" s="319"/>
      <c r="CD5997" s="319"/>
      <c r="CE5997" s="319"/>
      <c r="CF5997" s="319"/>
      <c r="CG5997" s="319"/>
      <c r="CH5997" s="318"/>
      <c r="CI5997" s="319"/>
      <c r="CJ5997" s="319"/>
      <c r="CK5997" s="342"/>
      <c r="CL5997" s="333"/>
      <c r="CM5997" s="1079"/>
      <c r="CN5997" s="1005"/>
      <c r="CO5997" s="1005"/>
      <c r="CP5997" s="1005"/>
    </row>
    <row r="5998">
      <c r="A5998" s="1257"/>
      <c r="B5998" s="1113"/>
      <c r="C5998" s="1107"/>
      <c r="D5998" s="103"/>
      <c r="E5998" s="1137"/>
      <c r="F5998" s="112"/>
      <c r="G5998" s="1110"/>
      <c r="H5998" s="1138"/>
      <c r="I5998" s="1138"/>
      <c r="J5998" s="1139"/>
      <c r="K5998" s="1111"/>
      <c r="L5998" s="1112"/>
      <c r="M5998" s="1113"/>
      <c r="N5998" s="110"/>
      <c r="O5998" s="1140"/>
      <c r="P5998" s="1115"/>
      <c r="Q5998" s="1116"/>
      <c r="R5998" s="1141"/>
      <c r="S5998" s="1113"/>
      <c r="T5998" s="1143"/>
      <c r="U5998" s="1108"/>
      <c r="V5998" s="1108"/>
      <c r="W5998" s="1108"/>
      <c r="X5998" s="1108"/>
      <c r="Y5998" s="1108"/>
      <c r="Z5998" s="1114"/>
      <c r="AA5998" s="1114"/>
      <c r="AB5998" s="1114"/>
      <c r="AC5998" s="1117"/>
      <c r="AD5998" s="1115"/>
      <c r="AE5998" s="1115"/>
      <c r="AF5998" s="1115"/>
      <c r="AG5998" s="1115"/>
      <c r="AH5998" s="1115"/>
      <c r="AI5998" s="1115"/>
      <c r="AJ5998" s="1117"/>
      <c r="AK5998" s="1118"/>
      <c r="AL5998" s="1115"/>
      <c r="AM5998" s="1115"/>
      <c r="AN5998" s="1115"/>
      <c r="AO5998" s="1115"/>
      <c r="AP5998" s="1115"/>
      <c r="AQ5998" s="1115"/>
      <c r="AR5998" s="1115"/>
      <c r="AS5998" s="1117"/>
      <c r="AT5998" s="1075"/>
      <c r="AU5998" s="1193"/>
      <c r="AV5998" s="330"/>
      <c r="AW5998" s="331"/>
      <c r="AX5998" s="331"/>
      <c r="AY5998" s="331"/>
      <c r="AZ5998" s="331"/>
      <c r="BA5998" s="331"/>
      <c r="BB5998" s="331"/>
      <c r="BC5998" s="331"/>
      <c r="BD5998" s="331"/>
      <c r="BE5998" s="333"/>
      <c r="BF5998" s="330"/>
      <c r="BG5998" s="333"/>
      <c r="BH5998" s="1119"/>
      <c r="BI5998" s="319"/>
      <c r="BJ5998" s="319"/>
      <c r="BK5998" s="319"/>
      <c r="BL5998" s="319"/>
      <c r="BM5998" s="319"/>
      <c r="BN5998" s="319"/>
      <c r="BO5998" s="319"/>
      <c r="BP5998" s="953"/>
      <c r="BQ5998" s="319"/>
      <c r="BR5998" s="319"/>
      <c r="BS5998" s="330"/>
      <c r="BT5998" s="331"/>
      <c r="BU5998" s="920"/>
      <c r="BV5998" s="903"/>
      <c r="BW5998" s="908"/>
      <c r="BX5998" s="908"/>
      <c r="BY5998" s="331"/>
      <c r="BZ5998" s="331"/>
      <c r="CA5998" s="462"/>
      <c r="CB5998" s="319"/>
      <c r="CC5998" s="319"/>
      <c r="CD5998" s="319"/>
      <c r="CE5998" s="319"/>
      <c r="CF5998" s="319"/>
      <c r="CG5998" s="319"/>
      <c r="CH5998" s="318"/>
      <c r="CI5998" s="319"/>
      <c r="CJ5998" s="319"/>
      <c r="CK5998" s="342"/>
      <c r="CL5998" s="333"/>
      <c r="CM5998" s="1079"/>
      <c r="CN5998" s="1005"/>
      <c r="CO5998" s="1005"/>
      <c r="CP5998" s="1005"/>
    </row>
    <row r="5999">
      <c r="A5999" s="1257"/>
      <c r="B5999" s="1113"/>
      <c r="C5999" s="1107"/>
      <c r="D5999" s="103"/>
      <c r="E5999" s="1137"/>
      <c r="F5999" s="112"/>
      <c r="G5999" s="1110"/>
      <c r="H5999" s="1138"/>
      <c r="I5999" s="1138"/>
      <c r="J5999" s="1139"/>
      <c r="K5999" s="1111"/>
      <c r="L5999" s="1112"/>
      <c r="M5999" s="1113"/>
      <c r="N5999" s="110"/>
      <c r="O5999" s="1140"/>
      <c r="P5999" s="1115"/>
      <c r="Q5999" s="1116"/>
      <c r="R5999" s="1141"/>
      <c r="S5999" s="1113"/>
      <c r="T5999" s="1143"/>
      <c r="U5999" s="1108"/>
      <c r="V5999" s="1108"/>
      <c r="W5999" s="1108"/>
      <c r="X5999" s="1108"/>
      <c r="Y5999" s="1108"/>
      <c r="Z5999" s="1114"/>
      <c r="AA5999" s="1114"/>
      <c r="AB5999" s="1114"/>
      <c r="AC5999" s="1117"/>
      <c r="AD5999" s="1115"/>
      <c r="AE5999" s="1115"/>
      <c r="AF5999" s="1115"/>
      <c r="AG5999" s="1115"/>
      <c r="AH5999" s="1115"/>
      <c r="AI5999" s="1115"/>
      <c r="AJ5999" s="1117"/>
      <c r="AK5999" s="1118"/>
      <c r="AL5999" s="1115"/>
      <c r="AM5999" s="1115"/>
      <c r="AN5999" s="1115"/>
      <c r="AO5999" s="1115"/>
      <c r="AP5999" s="1115"/>
      <c r="AQ5999" s="1115"/>
      <c r="AR5999" s="1115"/>
      <c r="AS5999" s="1117"/>
      <c r="AT5999" s="1075"/>
      <c r="AU5999" s="1193"/>
      <c r="AV5999" s="330"/>
      <c r="AW5999" s="331"/>
      <c r="AX5999" s="331"/>
      <c r="AY5999" s="331"/>
      <c r="AZ5999" s="331"/>
      <c r="BA5999" s="331"/>
      <c r="BB5999" s="331"/>
      <c r="BC5999" s="331"/>
      <c r="BD5999" s="331"/>
      <c r="BE5999" s="333"/>
      <c r="BF5999" s="330"/>
      <c r="BG5999" s="333"/>
      <c r="BH5999" s="1119"/>
      <c r="BI5999" s="319"/>
      <c r="BJ5999" s="319"/>
      <c r="BK5999" s="319"/>
      <c r="BL5999" s="319"/>
      <c r="BM5999" s="319"/>
      <c r="BN5999" s="319"/>
      <c r="BO5999" s="319"/>
      <c r="BP5999" s="953"/>
      <c r="BQ5999" s="319"/>
      <c r="BR5999" s="319"/>
      <c r="BS5999" s="330"/>
      <c r="BT5999" s="331"/>
      <c r="BU5999" s="920"/>
      <c r="BV5999" s="903"/>
      <c r="BW5999" s="908"/>
      <c r="BX5999" s="908"/>
      <c r="BY5999" s="331"/>
      <c r="BZ5999" s="331"/>
      <c r="CA5999" s="462"/>
      <c r="CB5999" s="319"/>
      <c r="CC5999" s="319"/>
      <c r="CD5999" s="319"/>
      <c r="CE5999" s="319"/>
      <c r="CF5999" s="319"/>
      <c r="CG5999" s="319"/>
      <c r="CH5999" s="318"/>
      <c r="CI5999" s="319"/>
      <c r="CJ5999" s="319"/>
      <c r="CK5999" s="342"/>
      <c r="CL5999" s="333"/>
      <c r="CM5999" s="1079"/>
      <c r="CN5999" s="1005"/>
      <c r="CO5999" s="1005"/>
      <c r="CP5999" s="1005"/>
    </row>
    <row r="6000">
      <c r="A6000" s="1257"/>
      <c r="B6000" s="1113"/>
      <c r="C6000" s="1107"/>
      <c r="D6000" s="103"/>
      <c r="E6000" s="1137"/>
      <c r="F6000" s="112"/>
      <c r="G6000" s="1110"/>
      <c r="H6000" s="1138"/>
      <c r="I6000" s="1138"/>
      <c r="J6000" s="1139"/>
      <c r="K6000" s="1111"/>
      <c r="L6000" s="1112"/>
      <c r="M6000" s="1113"/>
      <c r="N6000" s="110"/>
      <c r="O6000" s="1140"/>
      <c r="P6000" s="1115"/>
      <c r="Q6000" s="1116"/>
      <c r="R6000" s="1141"/>
      <c r="S6000" s="1113"/>
      <c r="T6000" s="1143"/>
      <c r="U6000" s="1108"/>
      <c r="V6000" s="1108"/>
      <c r="W6000" s="1108"/>
      <c r="X6000" s="1108"/>
      <c r="Y6000" s="1108"/>
      <c r="Z6000" s="1114"/>
      <c r="AA6000" s="1114"/>
      <c r="AB6000" s="1114"/>
      <c r="AC6000" s="1117"/>
      <c r="AD6000" s="1115"/>
      <c r="AE6000" s="1115"/>
      <c r="AF6000" s="1115"/>
      <c r="AG6000" s="1115"/>
      <c r="AH6000" s="1115"/>
      <c r="AI6000" s="1115"/>
      <c r="AJ6000" s="1117"/>
      <c r="AK6000" s="1118"/>
      <c r="AL6000" s="1115"/>
      <c r="AM6000" s="1115"/>
      <c r="AN6000" s="1115"/>
      <c r="AO6000" s="1115"/>
      <c r="AP6000" s="1115"/>
      <c r="AQ6000" s="1115"/>
      <c r="AR6000" s="1115"/>
      <c r="AS6000" s="1117"/>
      <c r="AT6000" s="1075"/>
      <c r="AU6000" s="1193"/>
      <c r="AV6000" s="330"/>
      <c r="AW6000" s="331"/>
      <c r="AX6000" s="331"/>
      <c r="AY6000" s="331"/>
      <c r="AZ6000" s="331"/>
      <c r="BA6000" s="331"/>
      <c r="BB6000" s="331"/>
      <c r="BC6000" s="331"/>
      <c r="BD6000" s="331"/>
      <c r="BE6000" s="333"/>
      <c r="BF6000" s="330"/>
      <c r="BG6000" s="333"/>
      <c r="BH6000" s="1119"/>
      <c r="BI6000" s="319"/>
      <c r="BJ6000" s="319"/>
      <c r="BK6000" s="319"/>
      <c r="BL6000" s="319"/>
      <c r="BM6000" s="319"/>
      <c r="BN6000" s="319"/>
      <c r="BO6000" s="319"/>
      <c r="BP6000" s="953"/>
      <c r="BQ6000" s="319"/>
      <c r="BR6000" s="319"/>
      <c r="BS6000" s="330"/>
      <c r="BT6000" s="331"/>
      <c r="BU6000" s="920"/>
      <c r="BV6000" s="903"/>
      <c r="BW6000" s="908"/>
      <c r="BX6000" s="908"/>
      <c r="BY6000" s="331"/>
      <c r="BZ6000" s="331"/>
      <c r="CA6000" s="462"/>
      <c r="CB6000" s="319"/>
      <c r="CC6000" s="319"/>
      <c r="CD6000" s="319"/>
      <c r="CE6000" s="319"/>
      <c r="CF6000" s="319"/>
      <c r="CG6000" s="319"/>
      <c r="CH6000" s="318"/>
      <c r="CI6000" s="319"/>
      <c r="CJ6000" s="319"/>
      <c r="CK6000" s="342"/>
      <c r="CL6000" s="333"/>
      <c r="CM6000" s="1079"/>
      <c r="CN6000" s="1005"/>
      <c r="CO6000" s="1005"/>
      <c r="CP6000" s="1005"/>
    </row>
    <row r="6001">
      <c r="A6001" s="1257"/>
      <c r="B6001" s="1113"/>
      <c r="C6001" s="1107"/>
      <c r="D6001" s="103"/>
      <c r="E6001" s="1137"/>
      <c r="F6001" s="112"/>
      <c r="G6001" s="1110"/>
      <c r="H6001" s="1138"/>
      <c r="I6001" s="1138"/>
      <c r="J6001" s="1139"/>
      <c r="K6001" s="1111"/>
      <c r="L6001" s="1112"/>
      <c r="M6001" s="1113"/>
      <c r="N6001" s="110"/>
      <c r="O6001" s="1140"/>
      <c r="P6001" s="1115"/>
      <c r="Q6001" s="1116"/>
      <c r="R6001" s="1141"/>
      <c r="S6001" s="1113"/>
      <c r="T6001" s="1143"/>
      <c r="U6001" s="1108"/>
      <c r="V6001" s="1108"/>
      <c r="W6001" s="1108"/>
      <c r="X6001" s="1108"/>
      <c r="Y6001" s="1108"/>
      <c r="Z6001" s="1114"/>
      <c r="AA6001" s="1114"/>
      <c r="AB6001" s="1114"/>
      <c r="AC6001" s="1117"/>
      <c r="AD6001" s="1115"/>
      <c r="AE6001" s="1115"/>
      <c r="AF6001" s="1115"/>
      <c r="AG6001" s="1115"/>
      <c r="AH6001" s="1115"/>
      <c r="AI6001" s="1115"/>
      <c r="AJ6001" s="1117"/>
      <c r="AK6001" s="1118"/>
      <c r="AL6001" s="1115"/>
      <c r="AM6001" s="1115"/>
      <c r="AN6001" s="1115"/>
      <c r="AO6001" s="1115"/>
      <c r="AP6001" s="1115"/>
      <c r="AQ6001" s="1115"/>
      <c r="AR6001" s="1115"/>
      <c r="AS6001" s="1117"/>
      <c r="AT6001" s="1075"/>
      <c r="AU6001" s="1193"/>
      <c r="AV6001" s="330"/>
      <c r="AW6001" s="331"/>
      <c r="AX6001" s="331"/>
      <c r="AY6001" s="331"/>
      <c r="AZ6001" s="331"/>
      <c r="BA6001" s="331"/>
      <c r="BB6001" s="331"/>
      <c r="BC6001" s="331"/>
      <c r="BD6001" s="331"/>
      <c r="BE6001" s="333"/>
      <c r="BF6001" s="330"/>
      <c r="BG6001" s="333"/>
      <c r="BH6001" s="1119"/>
      <c r="BI6001" s="319"/>
      <c r="BJ6001" s="319"/>
      <c r="BK6001" s="319"/>
      <c r="BL6001" s="319"/>
      <c r="BM6001" s="319"/>
      <c r="BN6001" s="319"/>
      <c r="BO6001" s="319"/>
      <c r="BP6001" s="953"/>
      <c r="BQ6001" s="319"/>
      <c r="BR6001" s="319"/>
      <c r="BS6001" s="330"/>
      <c r="BT6001" s="331"/>
      <c r="BU6001" s="920"/>
      <c r="BV6001" s="903"/>
      <c r="BW6001" s="908"/>
      <c r="BX6001" s="908"/>
      <c r="BY6001" s="331"/>
      <c r="BZ6001" s="331"/>
      <c r="CA6001" s="462"/>
      <c r="CB6001" s="319"/>
      <c r="CC6001" s="319"/>
      <c r="CD6001" s="319"/>
      <c r="CE6001" s="319"/>
      <c r="CF6001" s="319"/>
      <c r="CG6001" s="319"/>
      <c r="CH6001" s="318"/>
      <c r="CI6001" s="319"/>
      <c r="CJ6001" s="319"/>
      <c r="CK6001" s="342"/>
      <c r="CL6001" s="333"/>
      <c r="CM6001" s="1079"/>
      <c r="CN6001" s="1005"/>
      <c r="CO6001" s="1005"/>
      <c r="CP6001" s="1005"/>
    </row>
    <row r="6002">
      <c r="A6002" s="1257"/>
      <c r="B6002" s="1113"/>
      <c r="C6002" s="1107"/>
      <c r="D6002" s="103"/>
      <c r="E6002" s="1137"/>
      <c r="F6002" s="112"/>
      <c r="G6002" s="1110"/>
      <c r="H6002" s="1138"/>
      <c r="I6002" s="1138"/>
      <c r="J6002" s="1139"/>
      <c r="K6002" s="1111"/>
      <c r="L6002" s="1112"/>
      <c r="M6002" s="1113"/>
      <c r="N6002" s="110"/>
      <c r="O6002" s="1140"/>
      <c r="P6002" s="1115"/>
      <c r="Q6002" s="1116"/>
      <c r="R6002" s="1141"/>
      <c r="S6002" s="1113"/>
      <c r="T6002" s="1143"/>
      <c r="U6002" s="1108"/>
      <c r="V6002" s="1108"/>
      <c r="W6002" s="1108"/>
      <c r="X6002" s="1108"/>
      <c r="Y6002" s="1108"/>
      <c r="Z6002" s="1114"/>
      <c r="AA6002" s="1114"/>
      <c r="AB6002" s="1114"/>
      <c r="AC6002" s="1117"/>
      <c r="AD6002" s="1115"/>
      <c r="AE6002" s="1115"/>
      <c r="AF6002" s="1115"/>
      <c r="AG6002" s="1115"/>
      <c r="AH6002" s="1115"/>
      <c r="AI6002" s="1115"/>
      <c r="AJ6002" s="1117"/>
      <c r="AK6002" s="1118"/>
      <c r="AL6002" s="1115"/>
      <c r="AM6002" s="1115"/>
      <c r="AN6002" s="1115"/>
      <c r="AO6002" s="1115"/>
      <c r="AP6002" s="1115"/>
      <c r="AQ6002" s="1115"/>
      <c r="AR6002" s="1115"/>
      <c r="AS6002" s="1117"/>
      <c r="AT6002" s="1075"/>
      <c r="AU6002" s="1193"/>
      <c r="AV6002" s="330"/>
      <c r="AW6002" s="331"/>
      <c r="AX6002" s="331"/>
      <c r="AY6002" s="331"/>
      <c r="AZ6002" s="331"/>
      <c r="BA6002" s="331"/>
      <c r="BB6002" s="331"/>
      <c r="BC6002" s="331"/>
      <c r="BD6002" s="331"/>
      <c r="BE6002" s="333"/>
      <c r="BF6002" s="330"/>
      <c r="BG6002" s="333"/>
      <c r="BH6002" s="1119"/>
      <c r="BI6002" s="319"/>
      <c r="BJ6002" s="319"/>
      <c r="BK6002" s="319"/>
      <c r="BL6002" s="319"/>
      <c r="BM6002" s="319"/>
      <c r="BN6002" s="319"/>
      <c r="BO6002" s="319"/>
      <c r="BP6002" s="953"/>
      <c r="BQ6002" s="319"/>
      <c r="BR6002" s="319"/>
      <c r="BS6002" s="330"/>
      <c r="BT6002" s="331"/>
      <c r="BU6002" s="920"/>
      <c r="BV6002" s="903"/>
      <c r="BW6002" s="908"/>
      <c r="BX6002" s="908"/>
      <c r="BY6002" s="331"/>
      <c r="BZ6002" s="331"/>
      <c r="CA6002" s="462"/>
      <c r="CB6002" s="319"/>
      <c r="CC6002" s="319"/>
      <c r="CD6002" s="319"/>
      <c r="CE6002" s="319"/>
      <c r="CF6002" s="319"/>
      <c r="CG6002" s="319"/>
      <c r="CH6002" s="318"/>
      <c r="CI6002" s="319"/>
      <c r="CJ6002" s="319"/>
      <c r="CK6002" s="342"/>
      <c r="CL6002" s="333"/>
      <c r="CM6002" s="1079"/>
      <c r="CN6002" s="1005"/>
      <c r="CO6002" s="1005"/>
      <c r="CP6002" s="1005"/>
    </row>
    <row r="6003">
      <c r="A6003" s="1257"/>
      <c r="B6003" s="1113"/>
      <c r="C6003" s="1107"/>
      <c r="D6003" s="103"/>
      <c r="E6003" s="1137"/>
      <c r="F6003" s="112"/>
      <c r="G6003" s="1110"/>
      <c r="H6003" s="1138"/>
      <c r="I6003" s="1138"/>
      <c r="J6003" s="1139"/>
      <c r="K6003" s="1111"/>
      <c r="L6003" s="1112"/>
      <c r="M6003" s="1113"/>
      <c r="N6003" s="110"/>
      <c r="O6003" s="1140"/>
      <c r="P6003" s="1115"/>
      <c r="Q6003" s="1116"/>
      <c r="R6003" s="1141"/>
      <c r="S6003" s="1113"/>
      <c r="T6003" s="1143"/>
      <c r="U6003" s="1108"/>
      <c r="V6003" s="1108"/>
      <c r="W6003" s="1108"/>
      <c r="X6003" s="1108"/>
      <c r="Y6003" s="1108"/>
      <c r="Z6003" s="1114"/>
      <c r="AA6003" s="1114"/>
      <c r="AB6003" s="1114"/>
      <c r="AC6003" s="1117"/>
      <c r="AD6003" s="1115"/>
      <c r="AE6003" s="1115"/>
      <c r="AF6003" s="1115"/>
      <c r="AG6003" s="1115"/>
      <c r="AH6003" s="1115"/>
      <c r="AI6003" s="1115"/>
      <c r="AJ6003" s="1117"/>
      <c r="AK6003" s="1118"/>
      <c r="AL6003" s="1115"/>
      <c r="AM6003" s="1115"/>
      <c r="AN6003" s="1115"/>
      <c r="AO6003" s="1115"/>
      <c r="AP6003" s="1115"/>
      <c r="AQ6003" s="1115"/>
      <c r="AR6003" s="1115"/>
      <c r="AS6003" s="1117"/>
      <c r="AT6003" s="1075"/>
      <c r="AU6003" s="1193"/>
      <c r="AV6003" s="330"/>
      <c r="AW6003" s="331"/>
      <c r="AX6003" s="331"/>
      <c r="AY6003" s="331"/>
      <c r="AZ6003" s="331"/>
      <c r="BA6003" s="331"/>
      <c r="BB6003" s="331"/>
      <c r="BC6003" s="331"/>
      <c r="BD6003" s="331"/>
      <c r="BE6003" s="333"/>
      <c r="BF6003" s="330"/>
      <c r="BG6003" s="333"/>
      <c r="BH6003" s="1119"/>
      <c r="BI6003" s="319"/>
      <c r="BJ6003" s="319"/>
      <c r="BK6003" s="319"/>
      <c r="BL6003" s="319"/>
      <c r="BM6003" s="319"/>
      <c r="BN6003" s="319"/>
      <c r="BO6003" s="319"/>
      <c r="BP6003" s="953"/>
      <c r="BQ6003" s="319"/>
      <c r="BR6003" s="319"/>
      <c r="BS6003" s="330"/>
      <c r="BT6003" s="331"/>
      <c r="BU6003" s="920"/>
      <c r="BV6003" s="903"/>
      <c r="BW6003" s="908"/>
      <c r="BX6003" s="908"/>
      <c r="BY6003" s="331"/>
      <c r="BZ6003" s="331"/>
      <c r="CA6003" s="462"/>
      <c r="CB6003" s="319"/>
      <c r="CC6003" s="319"/>
      <c r="CD6003" s="319"/>
      <c r="CE6003" s="319"/>
      <c r="CF6003" s="319"/>
      <c r="CG6003" s="319"/>
      <c r="CH6003" s="318"/>
      <c r="CI6003" s="319"/>
      <c r="CJ6003" s="319"/>
      <c r="CK6003" s="342"/>
      <c r="CL6003" s="333"/>
      <c r="CM6003" s="1079"/>
      <c r="CN6003" s="1005"/>
      <c r="CO6003" s="1005"/>
      <c r="CP6003" s="1005"/>
    </row>
    <row r="6004">
      <c r="A6004" s="1257"/>
      <c r="B6004" s="1113"/>
      <c r="C6004" s="1107"/>
      <c r="D6004" s="103"/>
      <c r="E6004" s="1137"/>
      <c r="F6004" s="112"/>
      <c r="G6004" s="1110"/>
      <c r="H6004" s="1138"/>
      <c r="I6004" s="1138"/>
      <c r="J6004" s="1139"/>
      <c r="K6004" s="1111"/>
      <c r="L6004" s="1112"/>
      <c r="M6004" s="1113"/>
      <c r="N6004" s="110"/>
      <c r="O6004" s="1140"/>
      <c r="P6004" s="1115"/>
      <c r="Q6004" s="1116"/>
      <c r="R6004" s="1141"/>
      <c r="S6004" s="1113"/>
      <c r="T6004" s="1143"/>
      <c r="U6004" s="1108"/>
      <c r="V6004" s="1108"/>
      <c r="W6004" s="1108"/>
      <c r="X6004" s="1108"/>
      <c r="Y6004" s="1108"/>
      <c r="Z6004" s="1114"/>
      <c r="AA6004" s="1114"/>
      <c r="AB6004" s="1114"/>
      <c r="AC6004" s="1117"/>
      <c r="AD6004" s="1115"/>
      <c r="AE6004" s="1115"/>
      <c r="AF6004" s="1115"/>
      <c r="AG6004" s="1115"/>
      <c r="AH6004" s="1115"/>
      <c r="AI6004" s="1115"/>
      <c r="AJ6004" s="1117"/>
      <c r="AK6004" s="1118"/>
      <c r="AL6004" s="1115"/>
      <c r="AM6004" s="1115"/>
      <c r="AN6004" s="1115"/>
      <c r="AO6004" s="1115"/>
      <c r="AP6004" s="1115"/>
      <c r="AQ6004" s="1115"/>
      <c r="AR6004" s="1115"/>
      <c r="AS6004" s="1117"/>
      <c r="AT6004" s="1075"/>
      <c r="AU6004" s="1193"/>
      <c r="AV6004" s="330"/>
      <c r="AW6004" s="331"/>
      <c r="AX6004" s="331"/>
      <c r="AY6004" s="331"/>
      <c r="AZ6004" s="331"/>
      <c r="BA6004" s="331"/>
      <c r="BB6004" s="331"/>
      <c r="BC6004" s="331"/>
      <c r="BD6004" s="331"/>
      <c r="BE6004" s="333"/>
      <c r="BF6004" s="330"/>
      <c r="BG6004" s="333"/>
      <c r="BH6004" s="1119"/>
      <c r="BI6004" s="319"/>
      <c r="BJ6004" s="319"/>
      <c r="BK6004" s="319"/>
      <c r="BL6004" s="319"/>
      <c r="BM6004" s="319"/>
      <c r="BN6004" s="319"/>
      <c r="BO6004" s="319"/>
      <c r="BP6004" s="953"/>
      <c r="BQ6004" s="319"/>
      <c r="BR6004" s="319"/>
      <c r="BS6004" s="330"/>
      <c r="BT6004" s="331"/>
      <c r="BU6004" s="920"/>
      <c r="BV6004" s="903"/>
      <c r="BW6004" s="908"/>
      <c r="BX6004" s="908"/>
      <c r="BY6004" s="331"/>
      <c r="BZ6004" s="331"/>
      <c r="CA6004" s="462"/>
      <c r="CB6004" s="319"/>
      <c r="CC6004" s="319"/>
      <c r="CD6004" s="319"/>
      <c r="CE6004" s="319"/>
      <c r="CF6004" s="319"/>
      <c r="CG6004" s="319"/>
      <c r="CH6004" s="318"/>
      <c r="CI6004" s="319"/>
      <c r="CJ6004" s="319"/>
      <c r="CK6004" s="342"/>
      <c r="CL6004" s="333"/>
      <c r="CM6004" s="1079"/>
      <c r="CN6004" s="1005"/>
      <c r="CO6004" s="1005"/>
      <c r="CP6004" s="1005"/>
    </row>
    <row r="6005">
      <c r="A6005" s="1257"/>
      <c r="B6005" s="1113"/>
      <c r="C6005" s="1107"/>
      <c r="D6005" s="103"/>
      <c r="E6005" s="1137"/>
      <c r="F6005" s="112"/>
      <c r="G6005" s="1110"/>
      <c r="H6005" s="1138"/>
      <c r="I6005" s="1138"/>
      <c r="J6005" s="1139"/>
      <c r="K6005" s="1111"/>
      <c r="L6005" s="1112"/>
      <c r="M6005" s="1113"/>
      <c r="N6005" s="110"/>
      <c r="O6005" s="1140"/>
      <c r="P6005" s="1115"/>
      <c r="Q6005" s="1116"/>
      <c r="R6005" s="1141"/>
      <c r="S6005" s="1113"/>
      <c r="T6005" s="1143"/>
      <c r="U6005" s="1108"/>
      <c r="V6005" s="1108"/>
      <c r="W6005" s="1108"/>
      <c r="X6005" s="1108"/>
      <c r="Y6005" s="1108"/>
      <c r="Z6005" s="1114"/>
      <c r="AA6005" s="1114"/>
      <c r="AB6005" s="1114"/>
      <c r="AC6005" s="1117"/>
      <c r="AD6005" s="1115"/>
      <c r="AE6005" s="1115"/>
      <c r="AF6005" s="1115"/>
      <c r="AG6005" s="1115"/>
      <c r="AH6005" s="1115"/>
      <c r="AI6005" s="1115"/>
      <c r="AJ6005" s="1117"/>
      <c r="AK6005" s="1118"/>
      <c r="AL6005" s="1115"/>
      <c r="AM6005" s="1115"/>
      <c r="AN6005" s="1115"/>
      <c r="AO6005" s="1115"/>
      <c r="AP6005" s="1115"/>
      <c r="AQ6005" s="1115"/>
      <c r="AR6005" s="1115"/>
      <c r="AS6005" s="1117"/>
      <c r="AT6005" s="1075"/>
      <c r="AU6005" s="1193"/>
      <c r="AV6005" s="330"/>
      <c r="AW6005" s="331"/>
      <c r="AX6005" s="331"/>
      <c r="AY6005" s="331"/>
      <c r="AZ6005" s="331"/>
      <c r="BA6005" s="331"/>
      <c r="BB6005" s="331"/>
      <c r="BC6005" s="331"/>
      <c r="BD6005" s="331"/>
      <c r="BE6005" s="333"/>
      <c r="BF6005" s="330"/>
      <c r="BG6005" s="333"/>
      <c r="BH6005" s="1119"/>
      <c r="BI6005" s="319"/>
      <c r="BJ6005" s="319"/>
      <c r="BK6005" s="319"/>
      <c r="BL6005" s="319"/>
      <c r="BM6005" s="319"/>
      <c r="BN6005" s="319"/>
      <c r="BO6005" s="319"/>
      <c r="BP6005" s="953"/>
      <c r="BQ6005" s="319"/>
      <c r="BR6005" s="319"/>
      <c r="BS6005" s="330"/>
      <c r="BT6005" s="331"/>
      <c r="BU6005" s="920"/>
      <c r="BV6005" s="903"/>
      <c r="BW6005" s="908"/>
      <c r="BX6005" s="908"/>
      <c r="BY6005" s="331"/>
      <c r="BZ6005" s="331"/>
      <c r="CA6005" s="462"/>
      <c r="CB6005" s="319"/>
      <c r="CC6005" s="319"/>
      <c r="CD6005" s="319"/>
      <c r="CE6005" s="319"/>
      <c r="CF6005" s="319"/>
      <c r="CG6005" s="319"/>
      <c r="CH6005" s="318"/>
      <c r="CI6005" s="319"/>
      <c r="CJ6005" s="319"/>
      <c r="CK6005" s="342"/>
      <c r="CL6005" s="333"/>
      <c r="CM6005" s="1079"/>
      <c r="CN6005" s="1005"/>
      <c r="CO6005" s="1005"/>
      <c r="CP6005" s="1005"/>
    </row>
    <row r="6006">
      <c r="A6006" s="1257"/>
      <c r="B6006" s="1113"/>
      <c r="C6006" s="1107"/>
      <c r="D6006" s="103"/>
      <c r="E6006" s="1137"/>
      <c r="F6006" s="112"/>
      <c r="G6006" s="1110"/>
      <c r="H6006" s="1138"/>
      <c r="I6006" s="1138"/>
      <c r="J6006" s="1139"/>
      <c r="K6006" s="1111"/>
      <c r="L6006" s="1112"/>
      <c r="M6006" s="1113"/>
      <c r="N6006" s="110"/>
      <c r="O6006" s="1140"/>
      <c r="P6006" s="1115"/>
      <c r="Q6006" s="1116"/>
      <c r="R6006" s="1141"/>
      <c r="S6006" s="1113"/>
      <c r="T6006" s="1143"/>
      <c r="U6006" s="1108"/>
      <c r="V6006" s="1108"/>
      <c r="W6006" s="1108"/>
      <c r="X6006" s="1108"/>
      <c r="Y6006" s="1108"/>
      <c r="Z6006" s="1114"/>
      <c r="AA6006" s="1114"/>
      <c r="AB6006" s="1114"/>
      <c r="AC6006" s="1117"/>
      <c r="AD6006" s="1115"/>
      <c r="AE6006" s="1115"/>
      <c r="AF6006" s="1115"/>
      <c r="AG6006" s="1115"/>
      <c r="AH6006" s="1115"/>
      <c r="AI6006" s="1115"/>
      <c r="AJ6006" s="1117"/>
      <c r="AK6006" s="1118"/>
      <c r="AL6006" s="1115"/>
      <c r="AM6006" s="1115"/>
      <c r="AN6006" s="1115"/>
      <c r="AO6006" s="1115"/>
      <c r="AP6006" s="1115"/>
      <c r="AQ6006" s="1115"/>
      <c r="AR6006" s="1115"/>
      <c r="AS6006" s="1117"/>
      <c r="AT6006" s="1075"/>
      <c r="AU6006" s="1193"/>
      <c r="AV6006" s="330"/>
      <c r="AW6006" s="331"/>
      <c r="AX6006" s="331"/>
      <c r="AY6006" s="331"/>
      <c r="AZ6006" s="331"/>
      <c r="BA6006" s="331"/>
      <c r="BB6006" s="331"/>
      <c r="BC6006" s="331"/>
      <c r="BD6006" s="331"/>
      <c r="BE6006" s="333"/>
      <c r="BF6006" s="330"/>
      <c r="BG6006" s="333"/>
      <c r="BH6006" s="1119"/>
      <c r="BI6006" s="319"/>
      <c r="BJ6006" s="319"/>
      <c r="BK6006" s="319"/>
      <c r="BL6006" s="319"/>
      <c r="BM6006" s="319"/>
      <c r="BN6006" s="319"/>
      <c r="BO6006" s="319"/>
      <c r="BP6006" s="953"/>
      <c r="BQ6006" s="319"/>
      <c r="BR6006" s="319"/>
      <c r="BS6006" s="330"/>
      <c r="BT6006" s="331"/>
      <c r="BU6006" s="920"/>
      <c r="BV6006" s="903"/>
      <c r="BW6006" s="908"/>
      <c r="BX6006" s="908"/>
      <c r="BY6006" s="331"/>
      <c r="BZ6006" s="331"/>
      <c r="CA6006" s="462"/>
      <c r="CB6006" s="319"/>
      <c r="CC6006" s="319"/>
      <c r="CD6006" s="319"/>
      <c r="CE6006" s="319"/>
      <c r="CF6006" s="319"/>
      <c r="CG6006" s="319"/>
      <c r="CH6006" s="318"/>
      <c r="CI6006" s="319"/>
      <c r="CJ6006" s="319"/>
      <c r="CK6006" s="342"/>
      <c r="CL6006" s="333"/>
      <c r="CM6006" s="1079"/>
      <c r="CN6006" s="1005"/>
      <c r="CO6006" s="1005"/>
      <c r="CP6006" s="1005"/>
    </row>
    <row r="6007">
      <c r="A6007" s="1257"/>
      <c r="B6007" s="1113"/>
      <c r="C6007" s="1107"/>
      <c r="D6007" s="103"/>
      <c r="E6007" s="1137"/>
      <c r="F6007" s="112"/>
      <c r="G6007" s="1110"/>
      <c r="H6007" s="1138"/>
      <c r="I6007" s="1138"/>
      <c r="J6007" s="1139"/>
      <c r="K6007" s="1111"/>
      <c r="L6007" s="1112"/>
      <c r="M6007" s="1113"/>
      <c r="N6007" s="110"/>
      <c r="O6007" s="1140"/>
      <c r="P6007" s="1115"/>
      <c r="Q6007" s="1116"/>
      <c r="R6007" s="1141"/>
      <c r="S6007" s="1113"/>
      <c r="T6007" s="1143"/>
      <c r="U6007" s="1108"/>
      <c r="V6007" s="1108"/>
      <c r="W6007" s="1108"/>
      <c r="X6007" s="1108"/>
      <c r="Y6007" s="1108"/>
      <c r="Z6007" s="1114"/>
      <c r="AA6007" s="1114"/>
      <c r="AB6007" s="1114"/>
      <c r="AC6007" s="1117"/>
      <c r="AD6007" s="1115"/>
      <c r="AE6007" s="1115"/>
      <c r="AF6007" s="1115"/>
      <c r="AG6007" s="1115"/>
      <c r="AH6007" s="1115"/>
      <c r="AI6007" s="1115"/>
      <c r="AJ6007" s="1117"/>
      <c r="AK6007" s="1118"/>
      <c r="AL6007" s="1115"/>
      <c r="AM6007" s="1115"/>
      <c r="AN6007" s="1115"/>
      <c r="AO6007" s="1115"/>
      <c r="AP6007" s="1115"/>
      <c r="AQ6007" s="1115"/>
      <c r="AR6007" s="1115"/>
      <c r="AS6007" s="1117"/>
      <c r="AT6007" s="1075"/>
      <c r="AU6007" s="1193"/>
      <c r="AV6007" s="330"/>
      <c r="AW6007" s="331"/>
      <c r="AX6007" s="331"/>
      <c r="AY6007" s="331"/>
      <c r="AZ6007" s="331"/>
      <c r="BA6007" s="331"/>
      <c r="BB6007" s="331"/>
      <c r="BC6007" s="331"/>
      <c r="BD6007" s="331"/>
      <c r="BE6007" s="333"/>
      <c r="BF6007" s="330"/>
      <c r="BG6007" s="333"/>
      <c r="BH6007" s="1119"/>
      <c r="BI6007" s="319"/>
      <c r="BJ6007" s="319"/>
      <c r="BK6007" s="319"/>
      <c r="BL6007" s="319"/>
      <c r="BM6007" s="319"/>
      <c r="BN6007" s="319"/>
      <c r="BO6007" s="319"/>
      <c r="BP6007" s="953"/>
      <c r="BQ6007" s="319"/>
      <c r="BR6007" s="319"/>
      <c r="BS6007" s="330"/>
      <c r="BT6007" s="331"/>
      <c r="BU6007" s="920"/>
      <c r="BV6007" s="903"/>
      <c r="BW6007" s="908"/>
      <c r="BX6007" s="908"/>
      <c r="BY6007" s="331"/>
      <c r="BZ6007" s="331"/>
      <c r="CA6007" s="462"/>
      <c r="CB6007" s="319"/>
      <c r="CC6007" s="319"/>
      <c r="CD6007" s="319"/>
      <c r="CE6007" s="319"/>
      <c r="CF6007" s="319"/>
      <c r="CG6007" s="319"/>
      <c r="CH6007" s="318"/>
      <c r="CI6007" s="319"/>
      <c r="CJ6007" s="319"/>
      <c r="CK6007" s="342"/>
      <c r="CL6007" s="333"/>
      <c r="CM6007" s="1079"/>
      <c r="CN6007" s="1005"/>
      <c r="CO6007" s="1005"/>
      <c r="CP6007" s="1005"/>
    </row>
    <row r="6008">
      <c r="A6008" s="1257"/>
      <c r="B6008" s="1113"/>
      <c r="C6008" s="1107"/>
      <c r="D6008" s="103"/>
      <c r="E6008" s="1137"/>
      <c r="F6008" s="112"/>
      <c r="G6008" s="1110"/>
      <c r="H6008" s="1138"/>
      <c r="I6008" s="1138"/>
      <c r="J6008" s="1139"/>
      <c r="K6008" s="1111"/>
      <c r="L6008" s="1112"/>
      <c r="M6008" s="1113"/>
      <c r="N6008" s="110"/>
      <c r="O6008" s="1140"/>
      <c r="P6008" s="1115"/>
      <c r="Q6008" s="1116"/>
      <c r="R6008" s="1141"/>
      <c r="S6008" s="1113"/>
      <c r="T6008" s="1143"/>
      <c r="U6008" s="1108"/>
      <c r="V6008" s="1108"/>
      <c r="W6008" s="1108"/>
      <c r="X6008" s="1108"/>
      <c r="Y6008" s="1108"/>
      <c r="Z6008" s="1114"/>
      <c r="AA6008" s="1114"/>
      <c r="AB6008" s="1114"/>
      <c r="AC6008" s="1117"/>
      <c r="AD6008" s="1115"/>
      <c r="AE6008" s="1115"/>
      <c r="AF6008" s="1115"/>
      <c r="AG6008" s="1115"/>
      <c r="AH6008" s="1115"/>
      <c r="AI6008" s="1115"/>
      <c r="AJ6008" s="1117"/>
      <c r="AK6008" s="1118"/>
      <c r="AL6008" s="1115"/>
      <c r="AM6008" s="1115"/>
      <c r="AN6008" s="1115"/>
      <c r="AO6008" s="1115"/>
      <c r="AP6008" s="1115"/>
      <c r="AQ6008" s="1115"/>
      <c r="AR6008" s="1115"/>
      <c r="AS6008" s="1117"/>
      <c r="AT6008" s="1075"/>
      <c r="AU6008" s="1193"/>
      <c r="AV6008" s="330"/>
      <c r="AW6008" s="331"/>
      <c r="AX6008" s="331"/>
      <c r="AY6008" s="331"/>
      <c r="AZ6008" s="331"/>
      <c r="BA6008" s="331"/>
      <c r="BB6008" s="331"/>
      <c r="BC6008" s="331"/>
      <c r="BD6008" s="331"/>
      <c r="BE6008" s="333"/>
      <c r="BF6008" s="330"/>
      <c r="BG6008" s="333"/>
      <c r="BH6008" s="1119"/>
      <c r="BI6008" s="319"/>
      <c r="BJ6008" s="319"/>
      <c r="BK6008" s="319"/>
      <c r="BL6008" s="319"/>
      <c r="BM6008" s="319"/>
      <c r="BN6008" s="319"/>
      <c r="BO6008" s="319"/>
      <c r="BP6008" s="953"/>
      <c r="BQ6008" s="319"/>
      <c r="BR6008" s="319"/>
      <c r="BS6008" s="330"/>
      <c r="BT6008" s="331"/>
      <c r="BU6008" s="920"/>
      <c r="BV6008" s="903"/>
      <c r="BW6008" s="908"/>
      <c r="BX6008" s="908"/>
      <c r="BY6008" s="331"/>
      <c r="BZ6008" s="331"/>
      <c r="CA6008" s="462"/>
      <c r="CB6008" s="319"/>
      <c r="CC6008" s="319"/>
      <c r="CD6008" s="319"/>
      <c r="CE6008" s="319"/>
      <c r="CF6008" s="319"/>
      <c r="CG6008" s="319"/>
      <c r="CH6008" s="318"/>
      <c r="CI6008" s="319"/>
      <c r="CJ6008" s="319"/>
      <c r="CK6008" s="342"/>
      <c r="CL6008" s="333"/>
      <c r="CM6008" s="1079"/>
      <c r="CN6008" s="1005"/>
      <c r="CO6008" s="1005"/>
      <c r="CP6008" s="1005"/>
    </row>
    <row r="6009">
      <c r="A6009" s="1257"/>
      <c r="B6009" s="1113"/>
      <c r="C6009" s="1107"/>
      <c r="D6009" s="103"/>
      <c r="E6009" s="1137"/>
      <c r="F6009" s="112"/>
      <c r="G6009" s="1110"/>
      <c r="H6009" s="1138"/>
      <c r="I6009" s="1138"/>
      <c r="J6009" s="1139"/>
      <c r="K6009" s="1111"/>
      <c r="L6009" s="1112"/>
      <c r="M6009" s="1113"/>
      <c r="N6009" s="110"/>
      <c r="O6009" s="1140"/>
      <c r="P6009" s="1115"/>
      <c r="Q6009" s="1116"/>
      <c r="R6009" s="1141"/>
      <c r="S6009" s="1113"/>
      <c r="T6009" s="1143"/>
      <c r="U6009" s="1108"/>
      <c r="V6009" s="1108"/>
      <c r="W6009" s="1108"/>
      <c r="X6009" s="1108"/>
      <c r="Y6009" s="1108"/>
      <c r="Z6009" s="1114"/>
      <c r="AA6009" s="1114"/>
      <c r="AB6009" s="1114"/>
      <c r="AC6009" s="1117"/>
      <c r="AD6009" s="1115"/>
      <c r="AE6009" s="1115"/>
      <c r="AF6009" s="1115"/>
      <c r="AG6009" s="1115"/>
      <c r="AH6009" s="1115"/>
      <c r="AI6009" s="1115"/>
      <c r="AJ6009" s="1117"/>
      <c r="AK6009" s="1118"/>
      <c r="AL6009" s="1115"/>
      <c r="AM6009" s="1115"/>
      <c r="AN6009" s="1115"/>
      <c r="AO6009" s="1115"/>
      <c r="AP6009" s="1115"/>
      <c r="AQ6009" s="1115"/>
      <c r="AR6009" s="1115"/>
      <c r="AS6009" s="1117"/>
      <c r="AT6009" s="1075"/>
      <c r="AU6009" s="1193"/>
      <c r="AV6009" s="330"/>
      <c r="AW6009" s="331"/>
      <c r="AX6009" s="331"/>
      <c r="AY6009" s="331"/>
      <c r="AZ6009" s="331"/>
      <c r="BA6009" s="331"/>
      <c r="BB6009" s="331"/>
      <c r="BC6009" s="331"/>
      <c r="BD6009" s="331"/>
      <c r="BE6009" s="333"/>
      <c r="BF6009" s="330"/>
      <c r="BG6009" s="333"/>
      <c r="BH6009" s="1119"/>
      <c r="BI6009" s="319"/>
      <c r="BJ6009" s="319"/>
      <c r="BK6009" s="319"/>
      <c r="BL6009" s="319"/>
      <c r="BM6009" s="319"/>
      <c r="BN6009" s="319"/>
      <c r="BO6009" s="319"/>
      <c r="BP6009" s="953"/>
      <c r="BQ6009" s="319"/>
      <c r="BR6009" s="319"/>
      <c r="BS6009" s="330"/>
      <c r="BT6009" s="331"/>
      <c r="BU6009" s="920"/>
      <c r="BV6009" s="903"/>
      <c r="BW6009" s="908"/>
      <c r="BX6009" s="908"/>
      <c r="BY6009" s="331"/>
      <c r="BZ6009" s="331"/>
      <c r="CA6009" s="462"/>
      <c r="CB6009" s="319"/>
      <c r="CC6009" s="319"/>
      <c r="CD6009" s="319"/>
      <c r="CE6009" s="319"/>
      <c r="CF6009" s="319"/>
      <c r="CG6009" s="319"/>
      <c r="CH6009" s="318"/>
      <c r="CI6009" s="319"/>
      <c r="CJ6009" s="319"/>
      <c r="CK6009" s="342"/>
      <c r="CL6009" s="333"/>
      <c r="CM6009" s="1079"/>
      <c r="CN6009" s="1005"/>
      <c r="CO6009" s="1005"/>
      <c r="CP6009" s="1005"/>
    </row>
    <row r="6010">
      <c r="A6010" s="1257"/>
      <c r="B6010" s="1113"/>
      <c r="C6010" s="1107"/>
      <c r="D6010" s="103"/>
      <c r="E6010" s="1137"/>
      <c r="F6010" s="112"/>
      <c r="G6010" s="1110"/>
      <c r="H6010" s="1138"/>
      <c r="I6010" s="1138"/>
      <c r="J6010" s="1139"/>
      <c r="K6010" s="1111"/>
      <c r="L6010" s="1112"/>
      <c r="M6010" s="1113"/>
      <c r="N6010" s="110"/>
      <c r="O6010" s="1140"/>
      <c r="P6010" s="1115"/>
      <c r="Q6010" s="1116"/>
      <c r="R6010" s="1141"/>
      <c r="S6010" s="1113"/>
      <c r="T6010" s="1143"/>
      <c r="U6010" s="1108"/>
      <c r="V6010" s="1108"/>
      <c r="W6010" s="1108"/>
      <c r="X6010" s="1108"/>
      <c r="Y6010" s="1108"/>
      <c r="Z6010" s="1114"/>
      <c r="AA6010" s="1114"/>
      <c r="AB6010" s="1114"/>
      <c r="AC6010" s="1117"/>
      <c r="AD6010" s="1115"/>
      <c r="AE6010" s="1115"/>
      <c r="AF6010" s="1115"/>
      <c r="AG6010" s="1115"/>
      <c r="AH6010" s="1115"/>
      <c r="AI6010" s="1115"/>
      <c r="AJ6010" s="1117"/>
      <c r="AK6010" s="1118"/>
      <c r="AL6010" s="1115"/>
      <c r="AM6010" s="1115"/>
      <c r="AN6010" s="1115"/>
      <c r="AO6010" s="1115"/>
      <c r="AP6010" s="1115"/>
      <c r="AQ6010" s="1115"/>
      <c r="AR6010" s="1115"/>
      <c r="AS6010" s="1117"/>
      <c r="AT6010" s="1075"/>
      <c r="AU6010" s="1193"/>
      <c r="AV6010" s="330"/>
      <c r="AW6010" s="331"/>
      <c r="AX6010" s="331"/>
      <c r="AY6010" s="331"/>
      <c r="AZ6010" s="331"/>
      <c r="BA6010" s="331"/>
      <c r="BB6010" s="331"/>
      <c r="BC6010" s="331"/>
      <c r="BD6010" s="331"/>
      <c r="BE6010" s="333"/>
      <c r="BF6010" s="330"/>
      <c r="BG6010" s="333"/>
      <c r="BH6010" s="1119"/>
      <c r="BI6010" s="319"/>
      <c r="BJ6010" s="319"/>
      <c r="BK6010" s="319"/>
      <c r="BL6010" s="319"/>
      <c r="BM6010" s="319"/>
      <c r="BN6010" s="319"/>
      <c r="BO6010" s="319"/>
      <c r="BP6010" s="953"/>
      <c r="BQ6010" s="319"/>
      <c r="BR6010" s="319"/>
      <c r="BS6010" s="330"/>
      <c r="BT6010" s="331"/>
      <c r="BU6010" s="920"/>
      <c r="BV6010" s="903"/>
      <c r="BW6010" s="908"/>
      <c r="BX6010" s="908"/>
      <c r="BY6010" s="331"/>
      <c r="BZ6010" s="331"/>
      <c r="CA6010" s="462"/>
      <c r="CB6010" s="319"/>
      <c r="CC6010" s="319"/>
      <c r="CD6010" s="319"/>
      <c r="CE6010" s="319"/>
      <c r="CF6010" s="319"/>
      <c r="CG6010" s="319"/>
      <c r="CH6010" s="318"/>
      <c r="CI6010" s="319"/>
      <c r="CJ6010" s="319"/>
      <c r="CK6010" s="342"/>
      <c r="CL6010" s="333"/>
      <c r="CM6010" s="1079"/>
      <c r="CN6010" s="1005"/>
      <c r="CO6010" s="1005"/>
      <c r="CP6010" s="1005"/>
    </row>
    <row r="6011">
      <c r="A6011" s="1257"/>
      <c r="B6011" s="1113"/>
      <c r="C6011" s="1107"/>
      <c r="D6011" s="103"/>
      <c r="E6011" s="1137"/>
      <c r="F6011" s="112"/>
      <c r="G6011" s="1110"/>
      <c r="H6011" s="1138"/>
      <c r="I6011" s="1138"/>
      <c r="J6011" s="1139"/>
      <c r="K6011" s="1111"/>
      <c r="L6011" s="1112"/>
      <c r="M6011" s="1113"/>
      <c r="N6011" s="110"/>
      <c r="O6011" s="1140"/>
      <c r="P6011" s="1115"/>
      <c r="Q6011" s="1116"/>
      <c r="R6011" s="1141"/>
      <c r="S6011" s="1113"/>
      <c r="T6011" s="1143"/>
      <c r="U6011" s="1108"/>
      <c r="V6011" s="1108"/>
      <c r="W6011" s="1108"/>
      <c r="X6011" s="1108"/>
      <c r="Y6011" s="1108"/>
      <c r="Z6011" s="1114"/>
      <c r="AA6011" s="1114"/>
      <c r="AB6011" s="1114"/>
      <c r="AC6011" s="1117"/>
      <c r="AD6011" s="1115"/>
      <c r="AE6011" s="1115"/>
      <c r="AF6011" s="1115"/>
      <c r="AG6011" s="1115"/>
      <c r="AH6011" s="1115"/>
      <c r="AI6011" s="1115"/>
      <c r="AJ6011" s="1117"/>
      <c r="AK6011" s="1118"/>
      <c r="AL6011" s="1115"/>
      <c r="AM6011" s="1115"/>
      <c r="AN6011" s="1115"/>
      <c r="AO6011" s="1115"/>
      <c r="AP6011" s="1115"/>
      <c r="AQ6011" s="1115"/>
      <c r="AR6011" s="1115"/>
      <c r="AS6011" s="1117"/>
      <c r="AT6011" s="1075"/>
      <c r="AU6011" s="1193"/>
      <c r="AV6011" s="330"/>
      <c r="AW6011" s="331"/>
      <c r="AX6011" s="331"/>
      <c r="AY6011" s="331"/>
      <c r="AZ6011" s="331"/>
      <c r="BA6011" s="331"/>
      <c r="BB6011" s="331"/>
      <c r="BC6011" s="331"/>
      <c r="BD6011" s="331"/>
      <c r="BE6011" s="333"/>
      <c r="BF6011" s="330"/>
      <c r="BG6011" s="333"/>
      <c r="BH6011" s="1119"/>
      <c r="BI6011" s="319"/>
      <c r="BJ6011" s="319"/>
      <c r="BK6011" s="319"/>
      <c r="BL6011" s="319"/>
      <c r="BM6011" s="319"/>
      <c r="BN6011" s="319"/>
      <c r="BO6011" s="319"/>
      <c r="BP6011" s="953"/>
      <c r="BQ6011" s="319"/>
      <c r="BR6011" s="319"/>
      <c r="BS6011" s="330"/>
      <c r="BT6011" s="331"/>
      <c r="BU6011" s="920"/>
      <c r="BV6011" s="903"/>
      <c r="BW6011" s="908"/>
      <c r="BX6011" s="908"/>
      <c r="BY6011" s="331"/>
      <c r="BZ6011" s="331"/>
      <c r="CA6011" s="462"/>
      <c r="CB6011" s="319"/>
      <c r="CC6011" s="319"/>
      <c r="CD6011" s="319"/>
      <c r="CE6011" s="319"/>
      <c r="CF6011" s="319"/>
      <c r="CG6011" s="319"/>
      <c r="CH6011" s="318"/>
      <c r="CI6011" s="319"/>
      <c r="CJ6011" s="319"/>
      <c r="CK6011" s="342"/>
      <c r="CL6011" s="333"/>
      <c r="CM6011" s="1079"/>
      <c r="CN6011" s="1005"/>
      <c r="CO6011" s="1005"/>
      <c r="CP6011" s="1005"/>
    </row>
    <row r="6012">
      <c r="A6012" s="1257"/>
      <c r="B6012" s="1113"/>
      <c r="C6012" s="1107"/>
      <c r="D6012" s="103"/>
      <c r="E6012" s="1137"/>
      <c r="F6012" s="112"/>
      <c r="G6012" s="1110"/>
      <c r="H6012" s="1138"/>
      <c r="I6012" s="1138"/>
      <c r="J6012" s="1139"/>
      <c r="K6012" s="1111"/>
      <c r="L6012" s="1112"/>
      <c r="M6012" s="1113"/>
      <c r="N6012" s="110"/>
      <c r="O6012" s="1140"/>
      <c r="P6012" s="1115"/>
      <c r="Q6012" s="1116"/>
      <c r="R6012" s="1141"/>
      <c r="S6012" s="1113"/>
      <c r="T6012" s="1143"/>
      <c r="U6012" s="1108"/>
      <c r="V6012" s="1108"/>
      <c r="W6012" s="1108"/>
      <c r="X6012" s="1108"/>
      <c r="Y6012" s="1108"/>
      <c r="Z6012" s="1114"/>
      <c r="AA6012" s="1114"/>
      <c r="AB6012" s="1114"/>
      <c r="AC6012" s="1117"/>
      <c r="AD6012" s="1115"/>
      <c r="AE6012" s="1115"/>
      <c r="AF6012" s="1115"/>
      <c r="AG6012" s="1115"/>
      <c r="AH6012" s="1115"/>
      <c r="AI6012" s="1115"/>
      <c r="AJ6012" s="1117"/>
      <c r="AK6012" s="1118"/>
      <c r="AL6012" s="1115"/>
      <c r="AM6012" s="1115"/>
      <c r="AN6012" s="1115"/>
      <c r="AO6012" s="1115"/>
      <c r="AP6012" s="1115"/>
      <c r="AQ6012" s="1115"/>
      <c r="AR6012" s="1115"/>
      <c r="AS6012" s="1117"/>
      <c r="AT6012" s="1075"/>
      <c r="AU6012" s="1193"/>
      <c r="AV6012" s="330"/>
      <c r="AW6012" s="331"/>
      <c r="AX6012" s="331"/>
      <c r="AY6012" s="331"/>
      <c r="AZ6012" s="331"/>
      <c r="BA6012" s="331"/>
      <c r="BB6012" s="331"/>
      <c r="BC6012" s="331"/>
      <c r="BD6012" s="331"/>
      <c r="BE6012" s="333"/>
      <c r="BF6012" s="330"/>
      <c r="BG6012" s="333"/>
      <c r="BH6012" s="1119"/>
      <c r="BI6012" s="319"/>
      <c r="BJ6012" s="319"/>
      <c r="BK6012" s="319"/>
      <c r="BL6012" s="319"/>
      <c r="BM6012" s="319"/>
      <c r="BN6012" s="319"/>
      <c r="BO6012" s="319"/>
      <c r="BP6012" s="953"/>
      <c r="BQ6012" s="319"/>
      <c r="BR6012" s="319"/>
      <c r="BS6012" s="330"/>
      <c r="BT6012" s="331"/>
      <c r="BU6012" s="920"/>
      <c r="BV6012" s="903"/>
      <c r="BW6012" s="908"/>
      <c r="BX6012" s="908"/>
      <c r="BY6012" s="331"/>
      <c r="BZ6012" s="331"/>
      <c r="CA6012" s="462"/>
      <c r="CB6012" s="319"/>
      <c r="CC6012" s="319"/>
      <c r="CD6012" s="319"/>
      <c r="CE6012" s="319"/>
      <c r="CF6012" s="319"/>
      <c r="CG6012" s="319"/>
      <c r="CH6012" s="318"/>
      <c r="CI6012" s="319"/>
      <c r="CJ6012" s="319"/>
      <c r="CK6012" s="342"/>
      <c r="CL6012" s="333"/>
      <c r="CM6012" s="1079"/>
      <c r="CN6012" s="1005"/>
      <c r="CO6012" s="1005"/>
      <c r="CP6012" s="1005"/>
    </row>
    <row r="6013">
      <c r="A6013" s="1257"/>
      <c r="B6013" s="1113"/>
      <c r="C6013" s="1107"/>
      <c r="D6013" s="103"/>
      <c r="E6013" s="1137"/>
      <c r="F6013" s="112"/>
      <c r="G6013" s="1110"/>
      <c r="H6013" s="1138"/>
      <c r="I6013" s="1138"/>
      <c r="J6013" s="1139"/>
      <c r="K6013" s="1111"/>
      <c r="L6013" s="1112"/>
      <c r="M6013" s="1113"/>
      <c r="N6013" s="110"/>
      <c r="O6013" s="1140"/>
      <c r="P6013" s="1115"/>
      <c r="Q6013" s="1116"/>
      <c r="R6013" s="1141"/>
      <c r="S6013" s="1113"/>
      <c r="T6013" s="1143"/>
      <c r="U6013" s="1108"/>
      <c r="V6013" s="1108"/>
      <c r="W6013" s="1108"/>
      <c r="X6013" s="1108"/>
      <c r="Y6013" s="1108"/>
      <c r="Z6013" s="1114"/>
      <c r="AA6013" s="1114"/>
      <c r="AB6013" s="1114"/>
      <c r="AC6013" s="1117"/>
      <c r="AD6013" s="1115"/>
      <c r="AE6013" s="1115"/>
      <c r="AF6013" s="1115"/>
      <c r="AG6013" s="1115"/>
      <c r="AH6013" s="1115"/>
      <c r="AI6013" s="1115"/>
      <c r="AJ6013" s="1117"/>
      <c r="AK6013" s="1118"/>
      <c r="AL6013" s="1115"/>
      <c r="AM6013" s="1115"/>
      <c r="AN6013" s="1115"/>
      <c r="AO6013" s="1115"/>
      <c r="AP6013" s="1115"/>
      <c r="AQ6013" s="1115"/>
      <c r="AR6013" s="1115"/>
      <c r="AS6013" s="1117"/>
      <c r="AT6013" s="1075"/>
      <c r="AU6013" s="1193"/>
      <c r="AV6013" s="330"/>
      <c r="AW6013" s="331"/>
      <c r="AX6013" s="331"/>
      <c r="AY6013" s="331"/>
      <c r="AZ6013" s="331"/>
      <c r="BA6013" s="331"/>
      <c r="BB6013" s="331"/>
      <c r="BC6013" s="331"/>
      <c r="BD6013" s="331"/>
      <c r="BE6013" s="333"/>
      <c r="BF6013" s="330"/>
      <c r="BG6013" s="333"/>
      <c r="BH6013" s="1119"/>
      <c r="BI6013" s="319"/>
      <c r="BJ6013" s="319"/>
      <c r="BK6013" s="319"/>
      <c r="BL6013" s="319"/>
      <c r="BM6013" s="319"/>
      <c r="BN6013" s="319"/>
      <c r="BO6013" s="319"/>
      <c r="BP6013" s="953"/>
      <c r="BQ6013" s="319"/>
      <c r="BR6013" s="319"/>
      <c r="BS6013" s="330"/>
      <c r="BT6013" s="331"/>
      <c r="BU6013" s="920"/>
      <c r="BV6013" s="903"/>
      <c r="BW6013" s="908"/>
      <c r="BX6013" s="908"/>
      <c r="BY6013" s="331"/>
      <c r="BZ6013" s="331"/>
      <c r="CA6013" s="462"/>
      <c r="CB6013" s="319"/>
      <c r="CC6013" s="319"/>
      <c r="CD6013" s="319"/>
      <c r="CE6013" s="319"/>
      <c r="CF6013" s="319"/>
      <c r="CG6013" s="319"/>
      <c r="CH6013" s="318"/>
      <c r="CI6013" s="319"/>
      <c r="CJ6013" s="319"/>
      <c r="CK6013" s="342"/>
      <c r="CL6013" s="333"/>
      <c r="CM6013" s="1079"/>
      <c r="CN6013" s="1005"/>
      <c r="CO6013" s="1005"/>
      <c r="CP6013" s="1005"/>
    </row>
    <row r="6014">
      <c r="A6014" s="1257"/>
      <c r="B6014" s="1113"/>
      <c r="C6014" s="1107"/>
      <c r="D6014" s="103"/>
      <c r="E6014" s="1137"/>
      <c r="F6014" s="112"/>
      <c r="G6014" s="1110"/>
      <c r="H6014" s="1138"/>
      <c r="I6014" s="1138"/>
      <c r="J6014" s="1139"/>
      <c r="K6014" s="1111"/>
      <c r="L6014" s="1112"/>
      <c r="M6014" s="1113"/>
      <c r="N6014" s="110"/>
      <c r="O6014" s="1140"/>
      <c r="P6014" s="1115"/>
      <c r="Q6014" s="1116"/>
      <c r="R6014" s="1141"/>
      <c r="S6014" s="1113"/>
      <c r="T6014" s="1143"/>
      <c r="U6014" s="1108"/>
      <c r="V6014" s="1108"/>
      <c r="W6014" s="1108"/>
      <c r="X6014" s="1108"/>
      <c r="Y6014" s="1108"/>
      <c r="Z6014" s="1114"/>
      <c r="AA6014" s="1114"/>
      <c r="AB6014" s="1114"/>
      <c r="AC6014" s="1117"/>
      <c r="AD6014" s="1115"/>
      <c r="AE6014" s="1115"/>
      <c r="AF6014" s="1115"/>
      <c r="AG6014" s="1115"/>
      <c r="AH6014" s="1115"/>
      <c r="AI6014" s="1115"/>
      <c r="AJ6014" s="1117"/>
      <c r="AK6014" s="1118"/>
      <c r="AL6014" s="1115"/>
      <c r="AM6014" s="1115"/>
      <c r="AN6014" s="1115"/>
      <c r="AO6014" s="1115"/>
      <c r="AP6014" s="1115"/>
      <c r="AQ6014" s="1115"/>
      <c r="AR6014" s="1115"/>
      <c r="AS6014" s="1117"/>
      <c r="AT6014" s="1075"/>
      <c r="AU6014" s="1193"/>
      <c r="AV6014" s="330"/>
      <c r="AW6014" s="331"/>
      <c r="AX6014" s="331"/>
      <c r="AY6014" s="331"/>
      <c r="AZ6014" s="331"/>
      <c r="BA6014" s="331"/>
      <c r="BB6014" s="331"/>
      <c r="BC6014" s="331"/>
      <c r="BD6014" s="331"/>
      <c r="BE6014" s="333"/>
      <c r="BF6014" s="330"/>
      <c r="BG6014" s="333"/>
      <c r="BH6014" s="1119"/>
      <c r="BI6014" s="319"/>
      <c r="BJ6014" s="319"/>
      <c r="BK6014" s="319"/>
      <c r="BL6014" s="319"/>
      <c r="BM6014" s="319"/>
      <c r="BN6014" s="319"/>
      <c r="BO6014" s="319"/>
      <c r="BP6014" s="953"/>
      <c r="BQ6014" s="319"/>
      <c r="BR6014" s="319"/>
      <c r="BS6014" s="330"/>
      <c r="BT6014" s="331"/>
      <c r="BU6014" s="920"/>
      <c r="BV6014" s="903"/>
      <c r="BW6014" s="908"/>
      <c r="BX6014" s="908"/>
      <c r="BY6014" s="331"/>
      <c r="BZ6014" s="331"/>
      <c r="CA6014" s="462"/>
      <c r="CB6014" s="319"/>
      <c r="CC6014" s="319"/>
      <c r="CD6014" s="319"/>
      <c r="CE6014" s="319"/>
      <c r="CF6014" s="319"/>
      <c r="CG6014" s="319"/>
      <c r="CH6014" s="318"/>
      <c r="CI6014" s="319"/>
      <c r="CJ6014" s="319"/>
      <c r="CK6014" s="342"/>
      <c r="CL6014" s="333"/>
      <c r="CM6014" s="1079"/>
      <c r="CN6014" s="1005"/>
      <c r="CO6014" s="1005"/>
      <c r="CP6014" s="1005"/>
    </row>
    <row r="6015">
      <c r="A6015" s="1257"/>
      <c r="B6015" s="1113"/>
      <c r="C6015" s="1107"/>
      <c r="D6015" s="103"/>
      <c r="E6015" s="1137"/>
      <c r="F6015" s="112"/>
      <c r="G6015" s="1110"/>
      <c r="H6015" s="1138"/>
      <c r="I6015" s="1138"/>
      <c r="J6015" s="1139"/>
      <c r="K6015" s="1111"/>
      <c r="L6015" s="1112"/>
      <c r="M6015" s="1113"/>
      <c r="N6015" s="110"/>
      <c r="O6015" s="1140"/>
      <c r="P6015" s="1115"/>
      <c r="Q6015" s="1116"/>
      <c r="R6015" s="1141"/>
      <c r="S6015" s="1113"/>
      <c r="T6015" s="1143"/>
      <c r="U6015" s="1108"/>
      <c r="V6015" s="1108"/>
      <c r="W6015" s="1108"/>
      <c r="X6015" s="1108"/>
      <c r="Y6015" s="1108"/>
      <c r="Z6015" s="1114"/>
      <c r="AA6015" s="1114"/>
      <c r="AB6015" s="1114"/>
      <c r="AC6015" s="1117"/>
      <c r="AD6015" s="1115"/>
      <c r="AE6015" s="1115"/>
      <c r="AF6015" s="1115"/>
      <c r="AG6015" s="1115"/>
      <c r="AH6015" s="1115"/>
      <c r="AI6015" s="1115"/>
      <c r="AJ6015" s="1117"/>
      <c r="AK6015" s="1118"/>
      <c r="AL6015" s="1115"/>
      <c r="AM6015" s="1115"/>
      <c r="AN6015" s="1115"/>
      <c r="AO6015" s="1115"/>
      <c r="AP6015" s="1115"/>
      <c r="AQ6015" s="1115"/>
      <c r="AR6015" s="1115"/>
      <c r="AS6015" s="1117"/>
      <c r="AT6015" s="1075"/>
      <c r="AU6015" s="1193"/>
      <c r="AV6015" s="330"/>
      <c r="AW6015" s="331"/>
      <c r="AX6015" s="331"/>
      <c r="AY6015" s="331"/>
      <c r="AZ6015" s="331"/>
      <c r="BA6015" s="331"/>
      <c r="BB6015" s="331"/>
      <c r="BC6015" s="331"/>
      <c r="BD6015" s="331"/>
      <c r="BE6015" s="333"/>
      <c r="BF6015" s="330"/>
      <c r="BG6015" s="333"/>
      <c r="BH6015" s="1119"/>
      <c r="BI6015" s="319"/>
      <c r="BJ6015" s="319"/>
      <c r="BK6015" s="319"/>
      <c r="BL6015" s="319"/>
      <c r="BM6015" s="319"/>
      <c r="BN6015" s="319"/>
      <c r="BO6015" s="319"/>
      <c r="BP6015" s="953"/>
      <c r="BQ6015" s="319"/>
      <c r="BR6015" s="319"/>
      <c r="BS6015" s="330"/>
      <c r="BT6015" s="331"/>
      <c r="BU6015" s="920"/>
      <c r="BV6015" s="903"/>
      <c r="BW6015" s="908"/>
      <c r="BX6015" s="908"/>
      <c r="BY6015" s="331"/>
      <c r="BZ6015" s="331"/>
      <c r="CA6015" s="462"/>
      <c r="CB6015" s="319"/>
      <c r="CC6015" s="319"/>
      <c r="CD6015" s="319"/>
      <c r="CE6015" s="319"/>
      <c r="CF6015" s="319"/>
      <c r="CG6015" s="319"/>
      <c r="CH6015" s="318"/>
      <c r="CI6015" s="319"/>
      <c r="CJ6015" s="319"/>
      <c r="CK6015" s="342"/>
      <c r="CL6015" s="333"/>
      <c r="CM6015" s="1079"/>
      <c r="CN6015" s="1005"/>
      <c r="CO6015" s="1005"/>
      <c r="CP6015" s="1005"/>
    </row>
    <row r="6016">
      <c r="A6016" s="1257"/>
      <c r="B6016" s="1113"/>
      <c r="C6016" s="1107"/>
      <c r="D6016" s="103"/>
      <c r="E6016" s="1137"/>
      <c r="F6016" s="112"/>
      <c r="G6016" s="1110"/>
      <c r="H6016" s="1138"/>
      <c r="I6016" s="1138"/>
      <c r="J6016" s="1139"/>
      <c r="K6016" s="1111"/>
      <c r="L6016" s="1112"/>
      <c r="M6016" s="1113"/>
      <c r="N6016" s="110"/>
      <c r="O6016" s="1140"/>
      <c r="P6016" s="1115"/>
      <c r="Q6016" s="1116"/>
      <c r="R6016" s="1141"/>
      <c r="S6016" s="1113"/>
      <c r="T6016" s="1143"/>
      <c r="U6016" s="1108"/>
      <c r="V6016" s="1108"/>
      <c r="W6016" s="1108"/>
      <c r="X6016" s="1108"/>
      <c r="Y6016" s="1108"/>
      <c r="Z6016" s="1114"/>
      <c r="AA6016" s="1114"/>
      <c r="AB6016" s="1114"/>
      <c r="AC6016" s="1117"/>
      <c r="AD6016" s="1115"/>
      <c r="AE6016" s="1115"/>
      <c r="AF6016" s="1115"/>
      <c r="AG6016" s="1115"/>
      <c r="AH6016" s="1115"/>
      <c r="AI6016" s="1115"/>
      <c r="AJ6016" s="1117"/>
      <c r="AK6016" s="1118"/>
      <c r="AL6016" s="1115"/>
      <c r="AM6016" s="1115"/>
      <c r="AN6016" s="1115"/>
      <c r="AO6016" s="1115"/>
      <c r="AP6016" s="1115"/>
      <c r="AQ6016" s="1115"/>
      <c r="AR6016" s="1115"/>
      <c r="AS6016" s="1117"/>
      <c r="AT6016" s="1075"/>
      <c r="AU6016" s="1193"/>
      <c r="AV6016" s="330"/>
      <c r="AW6016" s="331"/>
      <c r="AX6016" s="331"/>
      <c r="AY6016" s="331"/>
      <c r="AZ6016" s="331"/>
      <c r="BA6016" s="331"/>
      <c r="BB6016" s="331"/>
      <c r="BC6016" s="331"/>
      <c r="BD6016" s="331"/>
      <c r="BE6016" s="333"/>
      <c r="BF6016" s="330"/>
      <c r="BG6016" s="333"/>
      <c r="BH6016" s="1119"/>
      <c r="BI6016" s="319"/>
      <c r="BJ6016" s="319"/>
      <c r="BK6016" s="319"/>
      <c r="BL6016" s="319"/>
      <c r="BM6016" s="319"/>
      <c r="BN6016" s="319"/>
      <c r="BO6016" s="319"/>
      <c r="BP6016" s="953"/>
      <c r="BQ6016" s="319"/>
      <c r="BR6016" s="319"/>
      <c r="BS6016" s="330"/>
      <c r="BT6016" s="331"/>
      <c r="BU6016" s="920"/>
      <c r="BV6016" s="903"/>
      <c r="BW6016" s="908"/>
      <c r="BX6016" s="908"/>
      <c r="BY6016" s="331"/>
      <c r="BZ6016" s="331"/>
      <c r="CA6016" s="462"/>
      <c r="CB6016" s="319"/>
      <c r="CC6016" s="319"/>
      <c r="CD6016" s="319"/>
      <c r="CE6016" s="319"/>
      <c r="CF6016" s="319"/>
      <c r="CG6016" s="319"/>
      <c r="CH6016" s="318"/>
      <c r="CI6016" s="319"/>
      <c r="CJ6016" s="319"/>
      <c r="CK6016" s="342"/>
      <c r="CL6016" s="333"/>
      <c r="CM6016" s="1079"/>
      <c r="CN6016" s="1005"/>
      <c r="CO6016" s="1005"/>
      <c r="CP6016" s="1005"/>
    </row>
    <row r="6017">
      <c r="A6017" s="1257"/>
      <c r="B6017" s="1113"/>
      <c r="C6017" s="1107"/>
      <c r="D6017" s="103"/>
      <c r="E6017" s="1137"/>
      <c r="F6017" s="112"/>
      <c r="G6017" s="1110"/>
      <c r="H6017" s="1138"/>
      <c r="I6017" s="1138"/>
      <c r="J6017" s="1139"/>
      <c r="K6017" s="1111"/>
      <c r="L6017" s="1112"/>
      <c r="M6017" s="1113"/>
      <c r="N6017" s="110"/>
      <c r="O6017" s="1140"/>
      <c r="P6017" s="1115"/>
      <c r="Q6017" s="1116"/>
      <c r="R6017" s="1141"/>
      <c r="S6017" s="1113"/>
      <c r="T6017" s="1143"/>
      <c r="U6017" s="1108"/>
      <c r="V6017" s="1108"/>
      <c r="W6017" s="1108"/>
      <c r="X6017" s="1108"/>
      <c r="Y6017" s="1108"/>
      <c r="Z6017" s="1114"/>
      <c r="AA6017" s="1114"/>
      <c r="AB6017" s="1114"/>
      <c r="AC6017" s="1117"/>
      <c r="AD6017" s="1115"/>
      <c r="AE6017" s="1115"/>
      <c r="AF6017" s="1115"/>
      <c r="AG6017" s="1115"/>
      <c r="AH6017" s="1115"/>
      <c r="AI6017" s="1115"/>
      <c r="AJ6017" s="1117"/>
      <c r="AK6017" s="1118"/>
      <c r="AL6017" s="1115"/>
      <c r="AM6017" s="1115"/>
      <c r="AN6017" s="1115"/>
      <c r="AO6017" s="1115"/>
      <c r="AP6017" s="1115"/>
      <c r="AQ6017" s="1115"/>
      <c r="AR6017" s="1115"/>
      <c r="AS6017" s="1117"/>
      <c r="AT6017" s="1075"/>
      <c r="AU6017" s="1193"/>
      <c r="AV6017" s="330"/>
      <c r="AW6017" s="331"/>
      <c r="AX6017" s="331"/>
      <c r="AY6017" s="331"/>
      <c r="AZ6017" s="331"/>
      <c r="BA6017" s="331"/>
      <c r="BB6017" s="331"/>
      <c r="BC6017" s="331"/>
      <c r="BD6017" s="331"/>
      <c r="BE6017" s="333"/>
      <c r="BF6017" s="330"/>
      <c r="BG6017" s="333"/>
      <c r="BH6017" s="1119"/>
      <c r="BI6017" s="319"/>
      <c r="BJ6017" s="319"/>
      <c r="BK6017" s="319"/>
      <c r="BL6017" s="319"/>
      <c r="BM6017" s="319"/>
      <c r="BN6017" s="319"/>
      <c r="BO6017" s="319"/>
      <c r="BP6017" s="953"/>
      <c r="BQ6017" s="319"/>
      <c r="BR6017" s="319"/>
      <c r="BS6017" s="330"/>
      <c r="BT6017" s="331"/>
      <c r="BU6017" s="920"/>
      <c r="BV6017" s="903"/>
      <c r="BW6017" s="908"/>
      <c r="BX6017" s="908"/>
      <c r="BY6017" s="331"/>
      <c r="BZ6017" s="331"/>
      <c r="CA6017" s="462"/>
      <c r="CB6017" s="319"/>
      <c r="CC6017" s="319"/>
      <c r="CD6017" s="319"/>
      <c r="CE6017" s="319"/>
      <c r="CF6017" s="319"/>
      <c r="CG6017" s="319"/>
      <c r="CH6017" s="318"/>
      <c r="CI6017" s="319"/>
      <c r="CJ6017" s="319"/>
      <c r="CK6017" s="342"/>
      <c r="CL6017" s="333"/>
      <c r="CM6017" s="1079"/>
      <c r="CN6017" s="1005"/>
      <c r="CO6017" s="1005"/>
      <c r="CP6017" s="1005"/>
    </row>
    <row r="6018">
      <c r="A6018" s="1257"/>
      <c r="B6018" s="1113"/>
      <c r="C6018" s="1107"/>
      <c r="D6018" s="103"/>
      <c r="E6018" s="1137"/>
      <c r="F6018" s="112"/>
      <c r="G6018" s="1110"/>
      <c r="H6018" s="1138"/>
      <c r="I6018" s="1138"/>
      <c r="J6018" s="1139"/>
      <c r="K6018" s="1111"/>
      <c r="L6018" s="1112"/>
      <c r="M6018" s="1113"/>
      <c r="N6018" s="110"/>
      <c r="O6018" s="1140"/>
      <c r="P6018" s="1115"/>
      <c r="Q6018" s="1116"/>
      <c r="R6018" s="1141"/>
      <c r="S6018" s="1113"/>
      <c r="T6018" s="1143"/>
      <c r="U6018" s="1108"/>
      <c r="V6018" s="1108"/>
      <c r="W6018" s="1108"/>
      <c r="X6018" s="1108"/>
      <c r="Y6018" s="1108"/>
      <c r="Z6018" s="1114"/>
      <c r="AA6018" s="1114"/>
      <c r="AB6018" s="1114"/>
      <c r="AC6018" s="1117"/>
      <c r="AD6018" s="1115"/>
      <c r="AE6018" s="1115"/>
      <c r="AF6018" s="1115"/>
      <c r="AG6018" s="1115"/>
      <c r="AH6018" s="1115"/>
      <c r="AI6018" s="1115"/>
      <c r="AJ6018" s="1117"/>
      <c r="AK6018" s="1118"/>
      <c r="AL6018" s="1115"/>
      <c r="AM6018" s="1115"/>
      <c r="AN6018" s="1115"/>
      <c r="AO6018" s="1115"/>
      <c r="AP6018" s="1115"/>
      <c r="AQ6018" s="1115"/>
      <c r="AR6018" s="1115"/>
      <c r="AS6018" s="1117"/>
      <c r="AT6018" s="1075"/>
      <c r="AU6018" s="1193"/>
      <c r="AV6018" s="330"/>
      <c r="AW6018" s="331"/>
      <c r="AX6018" s="331"/>
      <c r="AY6018" s="331"/>
      <c r="AZ6018" s="331"/>
      <c r="BA6018" s="331"/>
      <c r="BB6018" s="331"/>
      <c r="BC6018" s="331"/>
      <c r="BD6018" s="331"/>
      <c r="BE6018" s="333"/>
      <c r="BF6018" s="330"/>
      <c r="BG6018" s="333"/>
      <c r="BH6018" s="1119"/>
      <c r="BI6018" s="319"/>
      <c r="BJ6018" s="319"/>
      <c r="BK6018" s="319"/>
      <c r="BL6018" s="319"/>
      <c r="BM6018" s="319"/>
      <c r="BN6018" s="319"/>
      <c r="BO6018" s="319"/>
      <c r="BP6018" s="953"/>
      <c r="BQ6018" s="319"/>
      <c r="BR6018" s="319"/>
      <c r="BS6018" s="330"/>
      <c r="BT6018" s="331"/>
      <c r="BU6018" s="920"/>
      <c r="BV6018" s="903"/>
      <c r="BW6018" s="908"/>
      <c r="BX6018" s="908"/>
      <c r="BY6018" s="331"/>
      <c r="BZ6018" s="331"/>
      <c r="CA6018" s="462"/>
      <c r="CB6018" s="319"/>
      <c r="CC6018" s="319"/>
      <c r="CD6018" s="319"/>
      <c r="CE6018" s="319"/>
      <c r="CF6018" s="319"/>
      <c r="CG6018" s="319"/>
      <c r="CH6018" s="318"/>
      <c r="CI6018" s="319"/>
      <c r="CJ6018" s="319"/>
      <c r="CK6018" s="342"/>
      <c r="CL6018" s="333"/>
      <c r="CM6018" s="1079"/>
      <c r="CN6018" s="1005"/>
      <c r="CO6018" s="1005"/>
      <c r="CP6018" s="1005"/>
    </row>
    <row r="6019">
      <c r="A6019" s="1257"/>
      <c r="B6019" s="1113"/>
      <c r="C6019" s="1107"/>
      <c r="D6019" s="103"/>
      <c r="E6019" s="1137"/>
      <c r="F6019" s="112"/>
      <c r="G6019" s="1110"/>
      <c r="H6019" s="1138"/>
      <c r="I6019" s="1138"/>
      <c r="J6019" s="1139"/>
      <c r="K6019" s="1111"/>
      <c r="L6019" s="1112"/>
      <c r="M6019" s="1113"/>
      <c r="N6019" s="110"/>
      <c r="O6019" s="1140"/>
      <c r="P6019" s="1115"/>
      <c r="Q6019" s="1116"/>
      <c r="R6019" s="1141"/>
      <c r="S6019" s="1113"/>
      <c r="T6019" s="1143"/>
      <c r="U6019" s="1108"/>
      <c r="V6019" s="1108"/>
      <c r="W6019" s="1108"/>
      <c r="X6019" s="1108"/>
      <c r="Y6019" s="1108"/>
      <c r="Z6019" s="1114"/>
      <c r="AA6019" s="1114"/>
      <c r="AB6019" s="1114"/>
      <c r="AC6019" s="1117"/>
      <c r="AD6019" s="1115"/>
      <c r="AE6019" s="1115"/>
      <c r="AF6019" s="1115"/>
      <c r="AG6019" s="1115"/>
      <c r="AH6019" s="1115"/>
      <c r="AI6019" s="1115"/>
      <c r="AJ6019" s="1117"/>
      <c r="AK6019" s="1118"/>
      <c r="AL6019" s="1115"/>
      <c r="AM6019" s="1115"/>
      <c r="AN6019" s="1115"/>
      <c r="AO6019" s="1115"/>
      <c r="AP6019" s="1115"/>
      <c r="AQ6019" s="1115"/>
      <c r="AR6019" s="1115"/>
      <c r="AS6019" s="1117"/>
      <c r="AT6019" s="1075"/>
      <c r="AU6019" s="1193"/>
      <c r="AV6019" s="330"/>
      <c r="AW6019" s="331"/>
      <c r="AX6019" s="331"/>
      <c r="AY6019" s="331"/>
      <c r="AZ6019" s="331"/>
      <c r="BA6019" s="331"/>
      <c r="BB6019" s="331"/>
      <c r="BC6019" s="331"/>
      <c r="BD6019" s="331"/>
      <c r="BE6019" s="333"/>
      <c r="BF6019" s="330"/>
      <c r="BG6019" s="333"/>
      <c r="BH6019" s="1119"/>
      <c r="BI6019" s="319"/>
      <c r="BJ6019" s="319"/>
      <c r="BK6019" s="319"/>
      <c r="BL6019" s="319"/>
      <c r="BM6019" s="319"/>
      <c r="BN6019" s="319"/>
      <c r="BO6019" s="319"/>
      <c r="BP6019" s="953"/>
      <c r="BQ6019" s="319"/>
      <c r="BR6019" s="319"/>
      <c r="BS6019" s="330"/>
      <c r="BT6019" s="331"/>
      <c r="BU6019" s="920"/>
      <c r="BV6019" s="903"/>
      <c r="BW6019" s="908"/>
      <c r="BX6019" s="908"/>
      <c r="BY6019" s="331"/>
      <c r="BZ6019" s="331"/>
      <c r="CA6019" s="462"/>
      <c r="CB6019" s="319"/>
      <c r="CC6019" s="319"/>
      <c r="CD6019" s="319"/>
      <c r="CE6019" s="319"/>
      <c r="CF6019" s="319"/>
      <c r="CG6019" s="319"/>
      <c r="CH6019" s="318"/>
      <c r="CI6019" s="319"/>
      <c r="CJ6019" s="319"/>
      <c r="CK6019" s="342"/>
      <c r="CL6019" s="333"/>
      <c r="CM6019" s="1079"/>
      <c r="CN6019" s="1005"/>
      <c r="CO6019" s="1005"/>
      <c r="CP6019" s="1005"/>
    </row>
    <row r="6020">
      <c r="A6020" s="1257"/>
      <c r="B6020" s="1113"/>
      <c r="C6020" s="1107"/>
      <c r="D6020" s="103"/>
      <c r="E6020" s="1137"/>
      <c r="F6020" s="112"/>
      <c r="G6020" s="1110"/>
      <c r="H6020" s="1138"/>
      <c r="I6020" s="1138"/>
      <c r="J6020" s="1139"/>
      <c r="K6020" s="1111"/>
      <c r="L6020" s="1112"/>
      <c r="M6020" s="1113"/>
      <c r="N6020" s="110"/>
      <c r="O6020" s="1140"/>
      <c r="P6020" s="1115"/>
      <c r="Q6020" s="1116"/>
      <c r="R6020" s="1141"/>
      <c r="S6020" s="1113"/>
      <c r="T6020" s="1143"/>
      <c r="U6020" s="1108"/>
      <c r="V6020" s="1108"/>
      <c r="W6020" s="1108"/>
      <c r="X6020" s="1108"/>
      <c r="Y6020" s="1108"/>
      <c r="Z6020" s="1114"/>
      <c r="AA6020" s="1114"/>
      <c r="AB6020" s="1114"/>
      <c r="AC6020" s="1117"/>
      <c r="AD6020" s="1115"/>
      <c r="AE6020" s="1115"/>
      <c r="AF6020" s="1115"/>
      <c r="AG6020" s="1115"/>
      <c r="AH6020" s="1115"/>
      <c r="AI6020" s="1115"/>
      <c r="AJ6020" s="1117"/>
      <c r="AK6020" s="1118"/>
      <c r="AL6020" s="1115"/>
      <c r="AM6020" s="1115"/>
      <c r="AN6020" s="1115"/>
      <c r="AO6020" s="1115"/>
      <c r="AP6020" s="1115"/>
      <c r="AQ6020" s="1115"/>
      <c r="AR6020" s="1115"/>
      <c r="AS6020" s="1117"/>
      <c r="AT6020" s="1075"/>
      <c r="AU6020" s="1193"/>
      <c r="AV6020" s="330"/>
      <c r="AW6020" s="331"/>
      <c r="AX6020" s="331"/>
      <c r="AY6020" s="331"/>
      <c r="AZ6020" s="331"/>
      <c r="BA6020" s="331"/>
      <c r="BB6020" s="331"/>
      <c r="BC6020" s="331"/>
      <c r="BD6020" s="331"/>
      <c r="BE6020" s="333"/>
      <c r="BF6020" s="330"/>
      <c r="BG6020" s="333"/>
      <c r="BH6020" s="1119"/>
      <c r="BI6020" s="319"/>
      <c r="BJ6020" s="319"/>
      <c r="BK6020" s="319"/>
      <c r="BL6020" s="319"/>
      <c r="BM6020" s="319"/>
      <c r="BN6020" s="319"/>
      <c r="BO6020" s="319"/>
      <c r="BP6020" s="953"/>
      <c r="BQ6020" s="319"/>
      <c r="BR6020" s="319"/>
      <c r="BS6020" s="330"/>
      <c r="BT6020" s="331"/>
      <c r="BU6020" s="920"/>
      <c r="BV6020" s="903"/>
      <c r="BW6020" s="908"/>
      <c r="BX6020" s="908"/>
      <c r="BY6020" s="331"/>
      <c r="BZ6020" s="331"/>
      <c r="CA6020" s="462"/>
      <c r="CB6020" s="319"/>
      <c r="CC6020" s="319"/>
      <c r="CD6020" s="319"/>
      <c r="CE6020" s="319"/>
      <c r="CF6020" s="319"/>
      <c r="CG6020" s="319"/>
      <c r="CH6020" s="318"/>
      <c r="CI6020" s="319"/>
      <c r="CJ6020" s="319"/>
      <c r="CK6020" s="342"/>
      <c r="CL6020" s="333"/>
      <c r="CM6020" s="1079"/>
      <c r="CN6020" s="1005"/>
      <c r="CO6020" s="1005"/>
      <c r="CP6020" s="1005"/>
    </row>
    <row r="6021">
      <c r="A6021" s="1257"/>
      <c r="B6021" s="1113"/>
      <c r="C6021" s="1107"/>
      <c r="D6021" s="103"/>
      <c r="E6021" s="1137"/>
      <c r="F6021" s="112"/>
      <c r="G6021" s="1110"/>
      <c r="H6021" s="1138"/>
      <c r="I6021" s="1138"/>
      <c r="J6021" s="1139"/>
      <c r="K6021" s="1111"/>
      <c r="L6021" s="1112"/>
      <c r="M6021" s="1113"/>
      <c r="N6021" s="110"/>
      <c r="O6021" s="1140"/>
      <c r="P6021" s="1115"/>
      <c r="Q6021" s="1116"/>
      <c r="R6021" s="1141"/>
      <c r="S6021" s="1113"/>
      <c r="T6021" s="1143"/>
      <c r="U6021" s="1108"/>
      <c r="V6021" s="1108"/>
      <c r="W6021" s="1108"/>
      <c r="X6021" s="1108"/>
      <c r="Y6021" s="1108"/>
      <c r="Z6021" s="1114"/>
      <c r="AA6021" s="1114"/>
      <c r="AB6021" s="1114"/>
      <c r="AC6021" s="1117"/>
      <c r="AD6021" s="1115"/>
      <c r="AE6021" s="1115"/>
      <c r="AF6021" s="1115"/>
      <c r="AG6021" s="1115"/>
      <c r="AH6021" s="1115"/>
      <c r="AI6021" s="1115"/>
      <c r="AJ6021" s="1117"/>
      <c r="AK6021" s="1118"/>
      <c r="AL6021" s="1115"/>
      <c r="AM6021" s="1115"/>
      <c r="AN6021" s="1115"/>
      <c r="AO6021" s="1115"/>
      <c r="AP6021" s="1115"/>
      <c r="AQ6021" s="1115"/>
      <c r="AR6021" s="1115"/>
      <c r="AS6021" s="1117"/>
      <c r="AT6021" s="1075"/>
      <c r="AU6021" s="1193"/>
      <c r="AV6021" s="330"/>
      <c r="AW6021" s="331"/>
      <c r="AX6021" s="331"/>
      <c r="AY6021" s="331"/>
      <c r="AZ6021" s="331"/>
      <c r="BA6021" s="331"/>
      <c r="BB6021" s="331"/>
      <c r="BC6021" s="331"/>
      <c r="BD6021" s="331"/>
      <c r="BE6021" s="333"/>
      <c r="BF6021" s="330"/>
      <c r="BG6021" s="333"/>
      <c r="BH6021" s="1119"/>
      <c r="BI6021" s="319"/>
      <c r="BJ6021" s="319"/>
      <c r="BK6021" s="319"/>
      <c r="BL6021" s="319"/>
      <c r="BM6021" s="319"/>
      <c r="BN6021" s="319"/>
      <c r="BO6021" s="319"/>
      <c r="BP6021" s="953"/>
      <c r="BQ6021" s="319"/>
      <c r="BR6021" s="319"/>
      <c r="BS6021" s="330"/>
      <c r="BT6021" s="331"/>
      <c r="BU6021" s="920"/>
      <c r="BV6021" s="903"/>
      <c r="BW6021" s="908"/>
      <c r="BX6021" s="908"/>
      <c r="BY6021" s="331"/>
      <c r="BZ6021" s="331"/>
      <c r="CA6021" s="462"/>
      <c r="CB6021" s="319"/>
      <c r="CC6021" s="319"/>
      <c r="CD6021" s="319"/>
      <c r="CE6021" s="319"/>
      <c r="CF6021" s="319"/>
      <c r="CG6021" s="319"/>
      <c r="CH6021" s="318"/>
      <c r="CI6021" s="319"/>
      <c r="CJ6021" s="319"/>
      <c r="CK6021" s="342"/>
      <c r="CL6021" s="333"/>
      <c r="CM6021" s="1079"/>
      <c r="CN6021" s="1005"/>
      <c r="CO6021" s="1005"/>
      <c r="CP6021" s="1005"/>
    </row>
    <row r="6022">
      <c r="A6022" s="1257"/>
      <c r="B6022" s="1113"/>
      <c r="C6022" s="1107"/>
      <c r="D6022" s="103"/>
      <c r="E6022" s="1137"/>
      <c r="F6022" s="112"/>
      <c r="G6022" s="1110"/>
      <c r="H6022" s="1138"/>
      <c r="I6022" s="1138"/>
      <c r="J6022" s="1139"/>
      <c r="K6022" s="1111"/>
      <c r="L6022" s="1112"/>
      <c r="M6022" s="1113"/>
      <c r="N6022" s="110"/>
      <c r="O6022" s="1140"/>
      <c r="P6022" s="1115"/>
      <c r="Q6022" s="1116"/>
      <c r="R6022" s="1141"/>
      <c r="S6022" s="1113"/>
      <c r="T6022" s="1143"/>
      <c r="U6022" s="1108"/>
      <c r="V6022" s="1108"/>
      <c r="W6022" s="1108"/>
      <c r="X6022" s="1108"/>
      <c r="Y6022" s="1108"/>
      <c r="Z6022" s="1114"/>
      <c r="AA6022" s="1114"/>
      <c r="AB6022" s="1114"/>
      <c r="AC6022" s="1117"/>
      <c r="AD6022" s="1115"/>
      <c r="AE6022" s="1115"/>
      <c r="AF6022" s="1115"/>
      <c r="AG6022" s="1115"/>
      <c r="AH6022" s="1115"/>
      <c r="AI6022" s="1115"/>
      <c r="AJ6022" s="1117"/>
      <c r="AK6022" s="1118"/>
      <c r="AL6022" s="1115"/>
      <c r="AM6022" s="1115"/>
      <c r="AN6022" s="1115"/>
      <c r="AO6022" s="1115"/>
      <c r="AP6022" s="1115"/>
      <c r="AQ6022" s="1115"/>
      <c r="AR6022" s="1115"/>
      <c r="AS6022" s="1117"/>
      <c r="AT6022" s="1075"/>
      <c r="AU6022" s="1193"/>
      <c r="AV6022" s="330"/>
      <c r="AW6022" s="331"/>
      <c r="AX6022" s="331"/>
      <c r="AY6022" s="331"/>
      <c r="AZ6022" s="331"/>
      <c r="BA6022" s="331"/>
      <c r="BB6022" s="331"/>
      <c r="BC6022" s="331"/>
      <c r="BD6022" s="331"/>
      <c r="BE6022" s="333"/>
      <c r="BF6022" s="330"/>
      <c r="BG6022" s="333"/>
      <c r="BH6022" s="1119"/>
      <c r="BI6022" s="319"/>
      <c r="BJ6022" s="319"/>
      <c r="BK6022" s="319"/>
      <c r="BL6022" s="319"/>
      <c r="BM6022" s="319"/>
      <c r="BN6022" s="319"/>
      <c r="BO6022" s="319"/>
      <c r="BP6022" s="953"/>
      <c r="BQ6022" s="319"/>
      <c r="BR6022" s="319"/>
      <c r="BS6022" s="330"/>
      <c r="BT6022" s="331"/>
      <c r="BU6022" s="920"/>
      <c r="BV6022" s="903"/>
      <c r="BW6022" s="908"/>
      <c r="BX6022" s="908"/>
      <c r="BY6022" s="331"/>
      <c r="BZ6022" s="331"/>
      <c r="CA6022" s="462"/>
      <c r="CB6022" s="319"/>
      <c r="CC6022" s="319"/>
      <c r="CD6022" s="319"/>
      <c r="CE6022" s="319"/>
      <c r="CF6022" s="319"/>
      <c r="CG6022" s="319"/>
      <c r="CH6022" s="318"/>
      <c r="CI6022" s="319"/>
      <c r="CJ6022" s="319"/>
      <c r="CK6022" s="342"/>
      <c r="CL6022" s="333"/>
      <c r="CM6022" s="1079"/>
      <c r="CN6022" s="1005"/>
      <c r="CO6022" s="1005"/>
      <c r="CP6022" s="1005"/>
    </row>
    <row r="6023">
      <c r="A6023" s="1257"/>
      <c r="B6023" s="1113"/>
      <c r="C6023" s="1107"/>
      <c r="D6023" s="103"/>
      <c r="E6023" s="1137"/>
      <c r="F6023" s="112"/>
      <c r="G6023" s="1110"/>
      <c r="H6023" s="1138"/>
      <c r="I6023" s="1138"/>
      <c r="J6023" s="1139"/>
      <c r="K6023" s="1111"/>
      <c r="L6023" s="1112"/>
      <c r="M6023" s="1113"/>
      <c r="N6023" s="110"/>
      <c r="O6023" s="1140"/>
      <c r="P6023" s="1115"/>
      <c r="Q6023" s="1116"/>
      <c r="R6023" s="1141"/>
      <c r="S6023" s="1113"/>
      <c r="T6023" s="1143"/>
      <c r="U6023" s="1108"/>
      <c r="V6023" s="1108"/>
      <c r="W6023" s="1108"/>
      <c r="X6023" s="1108"/>
      <c r="Y6023" s="1108"/>
      <c r="Z6023" s="1114"/>
      <c r="AA6023" s="1114"/>
      <c r="AB6023" s="1114"/>
      <c r="AC6023" s="1117"/>
      <c r="AD6023" s="1115"/>
      <c r="AE6023" s="1115"/>
      <c r="AF6023" s="1115"/>
      <c r="AG6023" s="1115"/>
      <c r="AH6023" s="1115"/>
      <c r="AI6023" s="1115"/>
      <c r="AJ6023" s="1117"/>
      <c r="AK6023" s="1118"/>
      <c r="AL6023" s="1115"/>
      <c r="AM6023" s="1115"/>
      <c r="AN6023" s="1115"/>
      <c r="AO6023" s="1115"/>
      <c r="AP6023" s="1115"/>
      <c r="AQ6023" s="1115"/>
      <c r="AR6023" s="1115"/>
      <c r="AS6023" s="1117"/>
      <c r="AT6023" s="1075"/>
      <c r="AU6023" s="1193"/>
      <c r="AV6023" s="330"/>
      <c r="AW6023" s="331"/>
      <c r="AX6023" s="331"/>
      <c r="AY6023" s="331"/>
      <c r="AZ6023" s="331"/>
      <c r="BA6023" s="331"/>
      <c r="BB6023" s="331"/>
      <c r="BC6023" s="331"/>
      <c r="BD6023" s="331"/>
      <c r="BE6023" s="333"/>
      <c r="BF6023" s="330"/>
      <c r="BG6023" s="333"/>
      <c r="BH6023" s="1119"/>
      <c r="BI6023" s="319"/>
      <c r="BJ6023" s="319"/>
      <c r="BK6023" s="319"/>
      <c r="BL6023" s="319"/>
      <c r="BM6023" s="319"/>
      <c r="BN6023" s="319"/>
      <c r="BO6023" s="319"/>
      <c r="BP6023" s="953"/>
      <c r="BQ6023" s="319"/>
      <c r="BR6023" s="319"/>
      <c r="BS6023" s="330"/>
      <c r="BT6023" s="331"/>
      <c r="BU6023" s="920"/>
      <c r="BV6023" s="903"/>
      <c r="BW6023" s="908"/>
      <c r="BX6023" s="908"/>
      <c r="BY6023" s="331"/>
      <c r="BZ6023" s="331"/>
      <c r="CA6023" s="462"/>
      <c r="CB6023" s="319"/>
      <c r="CC6023" s="319"/>
      <c r="CD6023" s="319"/>
      <c r="CE6023" s="319"/>
      <c r="CF6023" s="319"/>
      <c r="CG6023" s="319"/>
      <c r="CH6023" s="318"/>
      <c r="CI6023" s="319"/>
      <c r="CJ6023" s="319"/>
      <c r="CK6023" s="342"/>
      <c r="CL6023" s="333"/>
      <c r="CM6023" s="1079"/>
      <c r="CN6023" s="1005"/>
      <c r="CO6023" s="1005"/>
      <c r="CP6023" s="1005"/>
    </row>
    <row r="6024">
      <c r="A6024" s="1257"/>
      <c r="B6024" s="1113"/>
      <c r="C6024" s="1107"/>
      <c r="D6024" s="103"/>
      <c r="E6024" s="1137"/>
      <c r="F6024" s="112"/>
      <c r="G6024" s="1110"/>
      <c r="H6024" s="1138"/>
      <c r="I6024" s="1138"/>
      <c r="J6024" s="1139"/>
      <c r="K6024" s="1111"/>
      <c r="L6024" s="1112"/>
      <c r="M6024" s="1113"/>
      <c r="N6024" s="110"/>
      <c r="O6024" s="1140"/>
      <c r="P6024" s="1115"/>
      <c r="Q6024" s="1116"/>
      <c r="R6024" s="1141"/>
      <c r="S6024" s="1113"/>
      <c r="T6024" s="1143"/>
      <c r="U6024" s="1108"/>
      <c r="V6024" s="1108"/>
      <c r="W6024" s="1108"/>
      <c r="X6024" s="1108"/>
      <c r="Y6024" s="1108"/>
      <c r="Z6024" s="1114"/>
      <c r="AA6024" s="1114"/>
      <c r="AB6024" s="1114"/>
      <c r="AC6024" s="1117"/>
      <c r="AD6024" s="1115"/>
      <c r="AE6024" s="1115"/>
      <c r="AF6024" s="1115"/>
      <c r="AG6024" s="1115"/>
      <c r="AH6024" s="1115"/>
      <c r="AI6024" s="1115"/>
      <c r="AJ6024" s="1117"/>
      <c r="AK6024" s="1118"/>
      <c r="AL6024" s="1115"/>
      <c r="AM6024" s="1115"/>
      <c r="AN6024" s="1115"/>
      <c r="AO6024" s="1115"/>
      <c r="AP6024" s="1115"/>
      <c r="AQ6024" s="1115"/>
      <c r="AR6024" s="1115"/>
      <c r="AS6024" s="1117"/>
      <c r="AT6024" s="1075"/>
      <c r="AU6024" s="1193"/>
      <c r="AV6024" s="330"/>
      <c r="AW6024" s="331"/>
      <c r="AX6024" s="331"/>
      <c r="AY6024" s="331"/>
      <c r="AZ6024" s="331"/>
      <c r="BA6024" s="331"/>
      <c r="BB6024" s="331"/>
      <c r="BC6024" s="331"/>
      <c r="BD6024" s="331"/>
      <c r="BE6024" s="333"/>
      <c r="BF6024" s="330"/>
      <c r="BG6024" s="333"/>
      <c r="BH6024" s="1119"/>
      <c r="BI6024" s="319"/>
      <c r="BJ6024" s="319"/>
      <c r="BK6024" s="319"/>
      <c r="BL6024" s="319"/>
      <c r="BM6024" s="319"/>
      <c r="BN6024" s="319"/>
      <c r="BO6024" s="319"/>
      <c r="BP6024" s="953"/>
      <c r="BQ6024" s="319"/>
      <c r="BR6024" s="319"/>
      <c r="BS6024" s="330"/>
      <c r="BT6024" s="331"/>
      <c r="BU6024" s="920"/>
      <c r="BV6024" s="903"/>
      <c r="BW6024" s="908"/>
      <c r="BX6024" s="908"/>
      <c r="BY6024" s="331"/>
      <c r="BZ6024" s="331"/>
      <c r="CA6024" s="462"/>
      <c r="CB6024" s="319"/>
      <c r="CC6024" s="319"/>
      <c r="CD6024" s="319"/>
      <c r="CE6024" s="319"/>
      <c r="CF6024" s="319"/>
      <c r="CG6024" s="319"/>
      <c r="CH6024" s="318"/>
      <c r="CI6024" s="319"/>
      <c r="CJ6024" s="319"/>
      <c r="CK6024" s="342"/>
      <c r="CL6024" s="333"/>
      <c r="CM6024" s="1079"/>
      <c r="CN6024" s="1005"/>
      <c r="CO6024" s="1005"/>
      <c r="CP6024" s="1005"/>
    </row>
    <row r="6025">
      <c r="A6025" s="1257"/>
      <c r="B6025" s="1113"/>
      <c r="C6025" s="1107"/>
      <c r="D6025" s="103"/>
      <c r="E6025" s="1137"/>
      <c r="F6025" s="112"/>
      <c r="G6025" s="1110"/>
      <c r="H6025" s="1138"/>
      <c r="I6025" s="1138"/>
      <c r="J6025" s="1139"/>
      <c r="K6025" s="1111"/>
      <c r="L6025" s="1112"/>
      <c r="M6025" s="1113"/>
      <c r="N6025" s="110"/>
      <c r="O6025" s="1140"/>
      <c r="P6025" s="1115"/>
      <c r="Q6025" s="1116"/>
      <c r="R6025" s="1141"/>
      <c r="S6025" s="1113"/>
      <c r="T6025" s="1143"/>
      <c r="U6025" s="1108"/>
      <c r="V6025" s="1108"/>
      <c r="W6025" s="1108"/>
      <c r="X6025" s="1108"/>
      <c r="Y6025" s="1108"/>
      <c r="Z6025" s="1114"/>
      <c r="AA6025" s="1114"/>
      <c r="AB6025" s="1114"/>
      <c r="AC6025" s="1117"/>
      <c r="AD6025" s="1115"/>
      <c r="AE6025" s="1115"/>
      <c r="AF6025" s="1115"/>
      <c r="AG6025" s="1115"/>
      <c r="AH6025" s="1115"/>
      <c r="AI6025" s="1115"/>
      <c r="AJ6025" s="1117"/>
      <c r="AK6025" s="1118"/>
      <c r="AL6025" s="1115"/>
      <c r="AM6025" s="1115"/>
      <c r="AN6025" s="1115"/>
      <c r="AO6025" s="1115"/>
      <c r="AP6025" s="1115"/>
      <c r="AQ6025" s="1115"/>
      <c r="AR6025" s="1115"/>
      <c r="AS6025" s="1117"/>
      <c r="AT6025" s="1075"/>
      <c r="AU6025" s="1193"/>
      <c r="AV6025" s="330"/>
      <c r="AW6025" s="331"/>
      <c r="AX6025" s="331"/>
      <c r="AY6025" s="331"/>
      <c r="AZ6025" s="331"/>
      <c r="BA6025" s="331"/>
      <c r="BB6025" s="331"/>
      <c r="BC6025" s="331"/>
      <c r="BD6025" s="331"/>
      <c r="BE6025" s="333"/>
      <c r="BF6025" s="330"/>
      <c r="BG6025" s="333"/>
      <c r="BH6025" s="1119"/>
      <c r="BI6025" s="319"/>
      <c r="BJ6025" s="319"/>
      <c r="BK6025" s="319"/>
      <c r="BL6025" s="319"/>
      <c r="BM6025" s="319"/>
      <c r="BN6025" s="319"/>
      <c r="BO6025" s="319"/>
      <c r="BP6025" s="953"/>
      <c r="BQ6025" s="319"/>
      <c r="BR6025" s="319"/>
      <c r="BS6025" s="330"/>
      <c r="BT6025" s="331"/>
      <c r="BU6025" s="920"/>
      <c r="BV6025" s="903"/>
      <c r="BW6025" s="908"/>
      <c r="BX6025" s="908"/>
      <c r="BY6025" s="331"/>
      <c r="BZ6025" s="331"/>
      <c r="CA6025" s="462"/>
      <c r="CB6025" s="319"/>
      <c r="CC6025" s="319"/>
      <c r="CD6025" s="319"/>
      <c r="CE6025" s="319"/>
      <c r="CF6025" s="319"/>
      <c r="CG6025" s="319"/>
      <c r="CH6025" s="318"/>
      <c r="CI6025" s="319"/>
      <c r="CJ6025" s="319"/>
      <c r="CK6025" s="342"/>
      <c r="CL6025" s="333"/>
      <c r="CM6025" s="1079"/>
      <c r="CN6025" s="1005"/>
      <c r="CO6025" s="1005"/>
      <c r="CP6025" s="1005"/>
    </row>
    <row r="6026">
      <c r="A6026" s="1257"/>
      <c r="B6026" s="1113"/>
      <c r="C6026" s="1107"/>
      <c r="D6026" s="103"/>
      <c r="E6026" s="1137"/>
      <c r="F6026" s="112"/>
      <c r="G6026" s="1110"/>
      <c r="H6026" s="1138"/>
      <c r="I6026" s="1138"/>
      <c r="J6026" s="1139"/>
      <c r="K6026" s="1111"/>
      <c r="L6026" s="1112"/>
      <c r="M6026" s="1113"/>
      <c r="N6026" s="110"/>
      <c r="O6026" s="1140"/>
      <c r="P6026" s="1115"/>
      <c r="Q6026" s="1116"/>
      <c r="R6026" s="1141"/>
      <c r="S6026" s="1113"/>
      <c r="T6026" s="1143"/>
      <c r="U6026" s="1108"/>
      <c r="V6026" s="1108"/>
      <c r="W6026" s="1108"/>
      <c r="X6026" s="1108"/>
      <c r="Y6026" s="1108"/>
      <c r="Z6026" s="1114"/>
      <c r="AA6026" s="1114"/>
      <c r="AB6026" s="1114"/>
      <c r="AC6026" s="1117"/>
      <c r="AD6026" s="1115"/>
      <c r="AE6026" s="1115"/>
      <c r="AF6026" s="1115"/>
      <c r="AG6026" s="1115"/>
      <c r="AH6026" s="1115"/>
      <c r="AI6026" s="1115"/>
      <c r="AJ6026" s="1117"/>
      <c r="AK6026" s="1118"/>
      <c r="AL6026" s="1115"/>
      <c r="AM6026" s="1115"/>
      <c r="AN6026" s="1115"/>
      <c r="AO6026" s="1115"/>
      <c r="AP6026" s="1115"/>
      <c r="AQ6026" s="1115"/>
      <c r="AR6026" s="1115"/>
      <c r="AS6026" s="1117"/>
      <c r="AT6026" s="1075"/>
      <c r="AU6026" s="1193"/>
      <c r="AV6026" s="330"/>
      <c r="AW6026" s="331"/>
      <c r="AX6026" s="331"/>
      <c r="AY6026" s="331"/>
      <c r="AZ6026" s="331"/>
      <c r="BA6026" s="331"/>
      <c r="BB6026" s="331"/>
      <c r="BC6026" s="331"/>
      <c r="BD6026" s="331"/>
      <c r="BE6026" s="333"/>
      <c r="BF6026" s="330"/>
      <c r="BG6026" s="333"/>
      <c r="BH6026" s="1119"/>
      <c r="BI6026" s="319"/>
      <c r="BJ6026" s="319"/>
      <c r="BK6026" s="319"/>
      <c r="BL6026" s="319"/>
      <c r="BM6026" s="319"/>
      <c r="BN6026" s="319"/>
      <c r="BO6026" s="319"/>
      <c r="BP6026" s="953"/>
      <c r="BQ6026" s="319"/>
      <c r="BR6026" s="319"/>
      <c r="BS6026" s="330"/>
      <c r="BT6026" s="331"/>
      <c r="BU6026" s="920"/>
      <c r="BV6026" s="903"/>
      <c r="BW6026" s="908"/>
      <c r="BX6026" s="908"/>
      <c r="BY6026" s="331"/>
      <c r="BZ6026" s="331"/>
      <c r="CA6026" s="462"/>
      <c r="CB6026" s="319"/>
      <c r="CC6026" s="319"/>
      <c r="CD6026" s="319"/>
      <c r="CE6026" s="319"/>
      <c r="CF6026" s="319"/>
      <c r="CG6026" s="319"/>
      <c r="CH6026" s="318"/>
      <c r="CI6026" s="319"/>
      <c r="CJ6026" s="319"/>
      <c r="CK6026" s="342"/>
      <c r="CL6026" s="333"/>
      <c r="CM6026" s="1079"/>
      <c r="CN6026" s="1005"/>
      <c r="CO6026" s="1005"/>
      <c r="CP6026" s="1005"/>
    </row>
    <row r="6027">
      <c r="A6027" s="1257"/>
      <c r="B6027" s="1113"/>
      <c r="C6027" s="1107"/>
      <c r="D6027" s="103"/>
      <c r="E6027" s="1137"/>
      <c r="F6027" s="112"/>
      <c r="G6027" s="1110"/>
      <c r="H6027" s="1138"/>
      <c r="I6027" s="1138"/>
      <c r="J6027" s="1139"/>
      <c r="K6027" s="1111"/>
      <c r="L6027" s="1112"/>
      <c r="M6027" s="1113"/>
      <c r="N6027" s="110"/>
      <c r="O6027" s="1140"/>
      <c r="P6027" s="1115"/>
      <c r="Q6027" s="1116"/>
      <c r="R6027" s="1141"/>
      <c r="S6027" s="1113"/>
      <c r="T6027" s="1143"/>
      <c r="U6027" s="1108"/>
      <c r="V6027" s="1108"/>
      <c r="W6027" s="1108"/>
      <c r="X6027" s="1108"/>
      <c r="Y6027" s="1108"/>
      <c r="Z6027" s="1114"/>
      <c r="AA6027" s="1114"/>
      <c r="AB6027" s="1114"/>
      <c r="AC6027" s="1117"/>
      <c r="AD6027" s="1115"/>
      <c r="AE6027" s="1115"/>
      <c r="AF6027" s="1115"/>
      <c r="AG6027" s="1115"/>
      <c r="AH6027" s="1115"/>
      <c r="AI6027" s="1115"/>
      <c r="AJ6027" s="1117"/>
      <c r="AK6027" s="1118"/>
      <c r="AL6027" s="1115"/>
      <c r="AM6027" s="1115"/>
      <c r="AN6027" s="1115"/>
      <c r="AO6027" s="1115"/>
      <c r="AP6027" s="1115"/>
      <c r="AQ6027" s="1115"/>
      <c r="AR6027" s="1115"/>
      <c r="AS6027" s="1117"/>
      <c r="AT6027" s="1075"/>
      <c r="AU6027" s="1193"/>
      <c r="AV6027" s="330"/>
      <c r="AW6027" s="331"/>
      <c r="AX6027" s="331"/>
      <c r="AY6027" s="331"/>
      <c r="AZ6027" s="331"/>
      <c r="BA6027" s="331"/>
      <c r="BB6027" s="331"/>
      <c r="BC6027" s="331"/>
      <c r="BD6027" s="331"/>
      <c r="BE6027" s="333"/>
      <c r="BF6027" s="330"/>
      <c r="BG6027" s="333"/>
      <c r="BH6027" s="1119"/>
      <c r="BI6027" s="319"/>
      <c r="BJ6027" s="319"/>
      <c r="BK6027" s="319"/>
      <c r="BL6027" s="319"/>
      <c r="BM6027" s="319"/>
      <c r="BN6027" s="319"/>
      <c r="BO6027" s="319"/>
      <c r="BP6027" s="953"/>
      <c r="BQ6027" s="319"/>
      <c r="BR6027" s="319"/>
      <c r="BS6027" s="330"/>
      <c r="BT6027" s="331"/>
      <c r="BU6027" s="920"/>
      <c r="BV6027" s="903"/>
      <c r="BW6027" s="908"/>
      <c r="BX6027" s="908"/>
      <c r="BY6027" s="331"/>
      <c r="BZ6027" s="331"/>
      <c r="CA6027" s="462"/>
      <c r="CB6027" s="319"/>
      <c r="CC6027" s="319"/>
      <c r="CD6027" s="319"/>
      <c r="CE6027" s="319"/>
      <c r="CF6027" s="319"/>
      <c r="CG6027" s="319"/>
      <c r="CH6027" s="318"/>
      <c r="CI6027" s="319"/>
      <c r="CJ6027" s="319"/>
      <c r="CK6027" s="342"/>
      <c r="CL6027" s="333"/>
      <c r="CM6027" s="1079"/>
      <c r="CN6027" s="1005"/>
      <c r="CO6027" s="1005"/>
      <c r="CP6027" s="1005"/>
    </row>
    <row r="6028">
      <c r="A6028" s="1257"/>
      <c r="B6028" s="1113"/>
      <c r="C6028" s="1107"/>
      <c r="D6028" s="103"/>
      <c r="E6028" s="1137"/>
      <c r="F6028" s="112"/>
      <c r="G6028" s="1110"/>
      <c r="H6028" s="1138"/>
      <c r="I6028" s="1138"/>
      <c r="J6028" s="1139"/>
      <c r="K6028" s="1111"/>
      <c r="L6028" s="1112"/>
      <c r="M6028" s="1113"/>
      <c r="N6028" s="110"/>
      <c r="O6028" s="1140"/>
      <c r="P6028" s="1115"/>
      <c r="Q6028" s="1116"/>
      <c r="R6028" s="1141"/>
      <c r="S6028" s="1113"/>
      <c r="T6028" s="1143"/>
      <c r="U6028" s="1108"/>
      <c r="V6028" s="1108"/>
      <c r="W6028" s="1108"/>
      <c r="X6028" s="1108"/>
      <c r="Y6028" s="1108"/>
      <c r="Z6028" s="1114"/>
      <c r="AA6028" s="1114"/>
      <c r="AB6028" s="1114"/>
      <c r="AC6028" s="1117"/>
      <c r="AD6028" s="1115"/>
      <c r="AE6028" s="1115"/>
      <c r="AF6028" s="1115"/>
      <c r="AG6028" s="1115"/>
      <c r="AH6028" s="1115"/>
      <c r="AI6028" s="1115"/>
      <c r="AJ6028" s="1117"/>
      <c r="AK6028" s="1118"/>
      <c r="AL6028" s="1115"/>
      <c r="AM6028" s="1115"/>
      <c r="AN6028" s="1115"/>
      <c r="AO6028" s="1115"/>
      <c r="AP6028" s="1115"/>
      <c r="AQ6028" s="1115"/>
      <c r="AR6028" s="1115"/>
      <c r="AS6028" s="1117"/>
      <c r="AT6028" s="1075"/>
      <c r="AU6028" s="1193"/>
      <c r="AV6028" s="330"/>
      <c r="AW6028" s="331"/>
      <c r="AX6028" s="331"/>
      <c r="AY6028" s="331"/>
      <c r="AZ6028" s="331"/>
      <c r="BA6028" s="331"/>
      <c r="BB6028" s="331"/>
      <c r="BC6028" s="331"/>
      <c r="BD6028" s="331"/>
      <c r="BE6028" s="333"/>
      <c r="BF6028" s="330"/>
      <c r="BG6028" s="333"/>
      <c r="BH6028" s="1119"/>
      <c r="BI6028" s="319"/>
      <c r="BJ6028" s="319"/>
      <c r="BK6028" s="319"/>
      <c r="BL6028" s="319"/>
      <c r="BM6028" s="319"/>
      <c r="BN6028" s="319"/>
      <c r="BO6028" s="319"/>
      <c r="BP6028" s="953"/>
      <c r="BQ6028" s="319"/>
      <c r="BR6028" s="319"/>
      <c r="BS6028" s="330"/>
      <c r="BT6028" s="331"/>
      <c r="BU6028" s="920"/>
      <c r="BV6028" s="903"/>
      <c r="BW6028" s="908"/>
      <c r="BX6028" s="908"/>
      <c r="BY6028" s="331"/>
      <c r="BZ6028" s="331"/>
      <c r="CA6028" s="462"/>
      <c r="CB6028" s="319"/>
      <c r="CC6028" s="319"/>
      <c r="CD6028" s="319"/>
      <c r="CE6028" s="319"/>
      <c r="CF6028" s="319"/>
      <c r="CG6028" s="319"/>
      <c r="CH6028" s="318"/>
      <c r="CI6028" s="319"/>
      <c r="CJ6028" s="319"/>
      <c r="CK6028" s="342"/>
      <c r="CL6028" s="333"/>
      <c r="CM6028" s="1079"/>
      <c r="CN6028" s="1005"/>
      <c r="CO6028" s="1005"/>
      <c r="CP6028" s="1005"/>
    </row>
    <row r="6029">
      <c r="A6029" s="1257"/>
      <c r="B6029" s="1113"/>
      <c r="C6029" s="1107"/>
      <c r="D6029" s="103"/>
      <c r="E6029" s="1137"/>
      <c r="F6029" s="112"/>
      <c r="G6029" s="1110"/>
      <c r="H6029" s="1138"/>
      <c r="I6029" s="1138"/>
      <c r="J6029" s="1139"/>
      <c r="K6029" s="1111"/>
      <c r="L6029" s="1112"/>
      <c r="M6029" s="1113"/>
      <c r="N6029" s="110"/>
      <c r="O6029" s="1140"/>
      <c r="P6029" s="1115"/>
      <c r="Q6029" s="1116"/>
      <c r="R6029" s="1141"/>
      <c r="S6029" s="1113"/>
      <c r="T6029" s="1143"/>
      <c r="U6029" s="1108"/>
      <c r="V6029" s="1108"/>
      <c r="W6029" s="1108"/>
      <c r="X6029" s="1108"/>
      <c r="Y6029" s="1108"/>
      <c r="Z6029" s="1114"/>
      <c r="AA6029" s="1114"/>
      <c r="AB6029" s="1114"/>
      <c r="AC6029" s="1117"/>
      <c r="AD6029" s="1115"/>
      <c r="AE6029" s="1115"/>
      <c r="AF6029" s="1115"/>
      <c r="AG6029" s="1115"/>
      <c r="AH6029" s="1115"/>
      <c r="AI6029" s="1115"/>
      <c r="AJ6029" s="1117"/>
      <c r="AK6029" s="1118"/>
      <c r="AL6029" s="1115"/>
      <c r="AM6029" s="1115"/>
      <c r="AN6029" s="1115"/>
      <c r="AO6029" s="1115"/>
      <c r="AP6029" s="1115"/>
      <c r="AQ6029" s="1115"/>
      <c r="AR6029" s="1115"/>
      <c r="AS6029" s="1117"/>
      <c r="AT6029" s="1075"/>
      <c r="AU6029" s="1193"/>
      <c r="AV6029" s="330"/>
      <c r="AW6029" s="331"/>
      <c r="AX6029" s="331"/>
      <c r="AY6029" s="331"/>
      <c r="AZ6029" s="331"/>
      <c r="BA6029" s="331"/>
      <c r="BB6029" s="331"/>
      <c r="BC6029" s="331"/>
      <c r="BD6029" s="331"/>
      <c r="BE6029" s="333"/>
      <c r="BF6029" s="330"/>
      <c r="BG6029" s="333"/>
      <c r="BH6029" s="1119"/>
      <c r="BI6029" s="319"/>
      <c r="BJ6029" s="319"/>
      <c r="BK6029" s="319"/>
      <c r="BL6029" s="319"/>
      <c r="BM6029" s="319"/>
      <c r="BN6029" s="319"/>
      <c r="BO6029" s="319"/>
      <c r="BP6029" s="953"/>
      <c r="BQ6029" s="319"/>
      <c r="BR6029" s="319"/>
      <c r="BS6029" s="330"/>
      <c r="BT6029" s="331"/>
      <c r="BU6029" s="920"/>
      <c r="BV6029" s="903"/>
      <c r="BW6029" s="908"/>
      <c r="BX6029" s="908"/>
      <c r="BY6029" s="331"/>
      <c r="BZ6029" s="331"/>
      <c r="CA6029" s="462"/>
      <c r="CB6029" s="319"/>
      <c r="CC6029" s="319"/>
      <c r="CD6029" s="319"/>
      <c r="CE6029" s="319"/>
      <c r="CF6029" s="319"/>
      <c r="CG6029" s="319"/>
      <c r="CH6029" s="318"/>
      <c r="CI6029" s="319"/>
      <c r="CJ6029" s="319"/>
      <c r="CK6029" s="342"/>
      <c r="CL6029" s="333"/>
      <c r="CM6029" s="1079"/>
      <c r="CN6029" s="1005"/>
      <c r="CO6029" s="1005"/>
      <c r="CP6029" s="1005"/>
    </row>
    <row r="6030">
      <c r="A6030" s="1257"/>
      <c r="B6030" s="1113"/>
      <c r="C6030" s="1107"/>
      <c r="D6030" s="103"/>
      <c r="E6030" s="1137"/>
      <c r="F6030" s="112"/>
      <c r="G6030" s="1110"/>
      <c r="H6030" s="1138"/>
      <c r="I6030" s="1138"/>
      <c r="J6030" s="1139"/>
      <c r="K6030" s="1111"/>
      <c r="L6030" s="1112"/>
      <c r="M6030" s="1113"/>
      <c r="N6030" s="110"/>
      <c r="O6030" s="1140"/>
      <c r="P6030" s="1115"/>
      <c r="Q6030" s="1116"/>
      <c r="R6030" s="1141"/>
      <c r="S6030" s="1113"/>
      <c r="T6030" s="1143"/>
      <c r="U6030" s="1108"/>
      <c r="V6030" s="1108"/>
      <c r="W6030" s="1108"/>
      <c r="X6030" s="1108"/>
      <c r="Y6030" s="1108"/>
      <c r="Z6030" s="1114"/>
      <c r="AA6030" s="1114"/>
      <c r="AB6030" s="1114"/>
      <c r="AC6030" s="1117"/>
      <c r="AD6030" s="1115"/>
      <c r="AE6030" s="1115"/>
      <c r="AF6030" s="1115"/>
      <c r="AG6030" s="1115"/>
      <c r="AH6030" s="1115"/>
      <c r="AI6030" s="1115"/>
      <c r="AJ6030" s="1117"/>
      <c r="AK6030" s="1118"/>
      <c r="AL6030" s="1115"/>
      <c r="AM6030" s="1115"/>
      <c r="AN6030" s="1115"/>
      <c r="AO6030" s="1115"/>
      <c r="AP6030" s="1115"/>
      <c r="AQ6030" s="1115"/>
      <c r="AR6030" s="1115"/>
      <c r="AS6030" s="1117"/>
      <c r="AT6030" s="1075"/>
      <c r="AU6030" s="1193"/>
      <c r="AV6030" s="330"/>
      <c r="AW6030" s="331"/>
      <c r="AX6030" s="331"/>
      <c r="AY6030" s="331"/>
      <c r="AZ6030" s="331"/>
      <c r="BA6030" s="331"/>
      <c r="BB6030" s="331"/>
      <c r="BC6030" s="331"/>
      <c r="BD6030" s="331"/>
      <c r="BE6030" s="333"/>
      <c r="BF6030" s="330"/>
      <c r="BG6030" s="333"/>
      <c r="BH6030" s="1119"/>
      <c r="BI6030" s="319"/>
      <c r="BJ6030" s="319"/>
      <c r="BK6030" s="319"/>
      <c r="BL6030" s="319"/>
      <c r="BM6030" s="319"/>
      <c r="BN6030" s="319"/>
      <c r="BO6030" s="319"/>
      <c r="BP6030" s="953"/>
      <c r="BQ6030" s="319"/>
      <c r="BR6030" s="319"/>
      <c r="BS6030" s="330"/>
      <c r="BT6030" s="331"/>
      <c r="BU6030" s="920"/>
      <c r="BV6030" s="903"/>
      <c r="BW6030" s="908"/>
      <c r="BX6030" s="908"/>
      <c r="BY6030" s="331"/>
      <c r="BZ6030" s="331"/>
      <c r="CA6030" s="462"/>
      <c r="CB6030" s="319"/>
      <c r="CC6030" s="319"/>
      <c r="CD6030" s="319"/>
      <c r="CE6030" s="319"/>
      <c r="CF6030" s="319"/>
      <c r="CG6030" s="319"/>
      <c r="CH6030" s="318"/>
      <c r="CI6030" s="319"/>
      <c r="CJ6030" s="319"/>
      <c r="CK6030" s="342"/>
      <c r="CL6030" s="333"/>
      <c r="CM6030" s="1079"/>
      <c r="CN6030" s="1005"/>
      <c r="CO6030" s="1005"/>
      <c r="CP6030" s="1005"/>
    </row>
    <row r="6031">
      <c r="A6031" s="1257"/>
      <c r="B6031" s="1113"/>
      <c r="C6031" s="1107"/>
      <c r="D6031" s="103"/>
      <c r="E6031" s="1137"/>
      <c r="F6031" s="112"/>
      <c r="G6031" s="1110"/>
      <c r="H6031" s="1138"/>
      <c r="I6031" s="1138"/>
      <c r="J6031" s="1139"/>
      <c r="K6031" s="1111"/>
      <c r="L6031" s="1112"/>
      <c r="M6031" s="1113"/>
      <c r="N6031" s="110"/>
      <c r="O6031" s="1140"/>
      <c r="P6031" s="1115"/>
      <c r="Q6031" s="1116"/>
      <c r="R6031" s="1141"/>
      <c r="S6031" s="1113"/>
      <c r="T6031" s="1143"/>
      <c r="U6031" s="1108"/>
      <c r="V6031" s="1108"/>
      <c r="W6031" s="1108"/>
      <c r="X6031" s="1108"/>
      <c r="Y6031" s="1108"/>
      <c r="Z6031" s="1114"/>
      <c r="AA6031" s="1114"/>
      <c r="AB6031" s="1114"/>
      <c r="AC6031" s="1117"/>
      <c r="AD6031" s="1115"/>
      <c r="AE6031" s="1115"/>
      <c r="AF6031" s="1115"/>
      <c r="AG6031" s="1115"/>
      <c r="AH6031" s="1115"/>
      <c r="AI6031" s="1115"/>
      <c r="AJ6031" s="1117"/>
      <c r="AK6031" s="1118"/>
      <c r="AL6031" s="1115"/>
      <c r="AM6031" s="1115"/>
      <c r="AN6031" s="1115"/>
      <c r="AO6031" s="1115"/>
      <c r="AP6031" s="1115"/>
      <c r="AQ6031" s="1115"/>
      <c r="AR6031" s="1115"/>
      <c r="AS6031" s="1117"/>
      <c r="AT6031" s="1075"/>
      <c r="AU6031" s="1193"/>
      <c r="AV6031" s="330"/>
      <c r="AW6031" s="331"/>
      <c r="AX6031" s="331"/>
      <c r="AY6031" s="331"/>
      <c r="AZ6031" s="331"/>
      <c r="BA6031" s="331"/>
      <c r="BB6031" s="331"/>
      <c r="BC6031" s="331"/>
      <c r="BD6031" s="331"/>
      <c r="BE6031" s="333"/>
      <c r="BF6031" s="330"/>
      <c r="BG6031" s="333"/>
      <c r="BH6031" s="1119"/>
      <c r="BI6031" s="319"/>
      <c r="BJ6031" s="319"/>
      <c r="BK6031" s="319"/>
      <c r="BL6031" s="319"/>
      <c r="BM6031" s="319"/>
      <c r="BN6031" s="319"/>
      <c r="BO6031" s="319"/>
      <c r="BP6031" s="953"/>
      <c r="BQ6031" s="319"/>
      <c r="BR6031" s="319"/>
      <c r="BS6031" s="330"/>
      <c r="BT6031" s="331"/>
      <c r="BU6031" s="920"/>
      <c r="BV6031" s="903"/>
      <c r="BW6031" s="908"/>
      <c r="BX6031" s="908"/>
      <c r="BY6031" s="331"/>
      <c r="BZ6031" s="331"/>
      <c r="CA6031" s="462"/>
      <c r="CB6031" s="319"/>
      <c r="CC6031" s="319"/>
      <c r="CD6031" s="319"/>
      <c r="CE6031" s="319"/>
      <c r="CF6031" s="319"/>
      <c r="CG6031" s="319"/>
      <c r="CH6031" s="318"/>
      <c r="CI6031" s="319"/>
      <c r="CJ6031" s="319"/>
      <c r="CK6031" s="342"/>
      <c r="CL6031" s="333"/>
      <c r="CM6031" s="1079"/>
      <c r="CN6031" s="1005"/>
      <c r="CO6031" s="1005"/>
      <c r="CP6031" s="1005"/>
    </row>
    <row r="6032">
      <c r="A6032" s="1257"/>
      <c r="B6032" s="1113"/>
      <c r="C6032" s="1107"/>
      <c r="D6032" s="103"/>
      <c r="E6032" s="1137"/>
      <c r="F6032" s="112"/>
      <c r="G6032" s="1110"/>
      <c r="H6032" s="1138"/>
      <c r="I6032" s="1138"/>
      <c r="J6032" s="1139"/>
      <c r="K6032" s="1111"/>
      <c r="L6032" s="1112"/>
      <c r="M6032" s="1113"/>
      <c r="N6032" s="110"/>
      <c r="O6032" s="1140"/>
      <c r="P6032" s="1115"/>
      <c r="Q6032" s="1116"/>
      <c r="R6032" s="1141"/>
      <c r="S6032" s="1113"/>
      <c r="T6032" s="1143"/>
      <c r="U6032" s="1108"/>
      <c r="V6032" s="1108"/>
      <c r="W6032" s="1108"/>
      <c r="X6032" s="1108"/>
      <c r="Y6032" s="1108"/>
      <c r="Z6032" s="1114"/>
      <c r="AA6032" s="1114"/>
      <c r="AB6032" s="1114"/>
      <c r="AC6032" s="1117"/>
      <c r="AD6032" s="1115"/>
      <c r="AE6032" s="1115"/>
      <c r="AF6032" s="1115"/>
      <c r="AG6032" s="1115"/>
      <c r="AH6032" s="1115"/>
      <c r="AI6032" s="1115"/>
      <c r="AJ6032" s="1117"/>
      <c r="AK6032" s="1118"/>
      <c r="AL6032" s="1115"/>
      <c r="AM6032" s="1115"/>
      <c r="AN6032" s="1115"/>
      <c r="AO6032" s="1115"/>
      <c r="AP6032" s="1115"/>
      <c r="AQ6032" s="1115"/>
      <c r="AR6032" s="1115"/>
      <c r="AS6032" s="1117"/>
      <c r="AT6032" s="1075"/>
      <c r="AU6032" s="1193"/>
      <c r="AV6032" s="330"/>
      <c r="AW6032" s="331"/>
      <c r="AX6032" s="331"/>
      <c r="AY6032" s="331"/>
      <c r="AZ6032" s="331"/>
      <c r="BA6032" s="331"/>
      <c r="BB6032" s="331"/>
      <c r="BC6032" s="331"/>
      <c r="BD6032" s="331"/>
      <c r="BE6032" s="333"/>
      <c r="BF6032" s="330"/>
      <c r="BG6032" s="333"/>
      <c r="BH6032" s="1119"/>
      <c r="BI6032" s="319"/>
      <c r="BJ6032" s="319"/>
      <c r="BK6032" s="319"/>
      <c r="BL6032" s="319"/>
      <c r="BM6032" s="319"/>
      <c r="BN6032" s="319"/>
      <c r="BO6032" s="319"/>
      <c r="BP6032" s="953"/>
      <c r="BQ6032" s="319"/>
      <c r="BR6032" s="319"/>
      <c r="BS6032" s="330"/>
      <c r="BT6032" s="331"/>
      <c r="BU6032" s="920"/>
      <c r="BV6032" s="903"/>
      <c r="BW6032" s="908"/>
      <c r="BX6032" s="908"/>
      <c r="BY6032" s="331"/>
      <c r="BZ6032" s="331"/>
      <c r="CA6032" s="462"/>
      <c r="CB6032" s="319"/>
      <c r="CC6032" s="319"/>
      <c r="CD6032" s="319"/>
      <c r="CE6032" s="319"/>
      <c r="CF6032" s="319"/>
      <c r="CG6032" s="319"/>
      <c r="CH6032" s="318"/>
      <c r="CI6032" s="319"/>
      <c r="CJ6032" s="319"/>
      <c r="CK6032" s="342"/>
      <c r="CL6032" s="333"/>
      <c r="CM6032" s="1079"/>
      <c r="CN6032" s="1005"/>
      <c r="CO6032" s="1005"/>
      <c r="CP6032" s="1005"/>
    </row>
    <row r="6033">
      <c r="A6033" s="1257"/>
      <c r="B6033" s="1113"/>
      <c r="C6033" s="1107"/>
      <c r="D6033" s="103"/>
      <c r="E6033" s="1137"/>
      <c r="F6033" s="112"/>
      <c r="G6033" s="1110"/>
      <c r="H6033" s="1138"/>
      <c r="I6033" s="1138"/>
      <c r="J6033" s="1139"/>
      <c r="K6033" s="1111"/>
      <c r="L6033" s="1112"/>
      <c r="M6033" s="1113"/>
      <c r="N6033" s="110"/>
      <c r="O6033" s="1140"/>
      <c r="P6033" s="1115"/>
      <c r="Q6033" s="1116"/>
      <c r="R6033" s="1141"/>
      <c r="S6033" s="1113"/>
      <c r="T6033" s="1143"/>
      <c r="U6033" s="1108"/>
      <c r="V6033" s="1108"/>
      <c r="W6033" s="1108"/>
      <c r="X6033" s="1108"/>
      <c r="Y6033" s="1108"/>
      <c r="Z6033" s="1114"/>
      <c r="AA6033" s="1114"/>
      <c r="AB6033" s="1114"/>
      <c r="AC6033" s="1117"/>
      <c r="AD6033" s="1115"/>
      <c r="AE6033" s="1115"/>
      <c r="AF6033" s="1115"/>
      <c r="AG6033" s="1115"/>
      <c r="AH6033" s="1115"/>
      <c r="AI6033" s="1115"/>
      <c r="AJ6033" s="1117"/>
      <c r="AK6033" s="1118"/>
      <c r="AL6033" s="1115"/>
      <c r="AM6033" s="1115"/>
      <c r="AN6033" s="1115"/>
      <c r="AO6033" s="1115"/>
      <c r="AP6033" s="1115"/>
      <c r="AQ6033" s="1115"/>
      <c r="AR6033" s="1115"/>
      <c r="AS6033" s="1117"/>
      <c r="AT6033" s="1075"/>
      <c r="AU6033" s="1193"/>
      <c r="AV6033" s="330"/>
      <c r="AW6033" s="331"/>
      <c r="AX6033" s="331"/>
      <c r="AY6033" s="331"/>
      <c r="AZ6033" s="331"/>
      <c r="BA6033" s="331"/>
      <c r="BB6033" s="331"/>
      <c r="BC6033" s="331"/>
      <c r="BD6033" s="331"/>
      <c r="BE6033" s="333"/>
      <c r="BF6033" s="330"/>
      <c r="BG6033" s="333"/>
      <c r="BH6033" s="1119"/>
      <c r="BI6033" s="319"/>
      <c r="BJ6033" s="319"/>
      <c r="BK6033" s="319"/>
      <c r="BL6033" s="319"/>
      <c r="BM6033" s="319"/>
      <c r="BN6033" s="319"/>
      <c r="BO6033" s="319"/>
      <c r="BP6033" s="953"/>
      <c r="BQ6033" s="319"/>
      <c r="BR6033" s="319"/>
      <c r="BS6033" s="330"/>
      <c r="BT6033" s="331"/>
      <c r="BU6033" s="920"/>
      <c r="BV6033" s="903"/>
      <c r="BW6033" s="908"/>
      <c r="BX6033" s="908"/>
      <c r="BY6033" s="331"/>
      <c r="BZ6033" s="331"/>
      <c r="CA6033" s="462"/>
      <c r="CB6033" s="319"/>
      <c r="CC6033" s="319"/>
      <c r="CD6033" s="319"/>
      <c r="CE6033" s="319"/>
      <c r="CF6033" s="319"/>
      <c r="CG6033" s="319"/>
      <c r="CH6033" s="318"/>
      <c r="CI6033" s="319"/>
      <c r="CJ6033" s="319"/>
      <c r="CK6033" s="342"/>
      <c r="CL6033" s="333"/>
      <c r="CM6033" s="1079"/>
      <c r="CN6033" s="1005"/>
      <c r="CO6033" s="1005"/>
      <c r="CP6033" s="1005"/>
    </row>
    <row r="6034">
      <c r="A6034" s="1257"/>
      <c r="B6034" s="1113"/>
      <c r="C6034" s="1107"/>
      <c r="D6034" s="103"/>
      <c r="E6034" s="1137"/>
      <c r="F6034" s="112"/>
      <c r="G6034" s="1110"/>
      <c r="H6034" s="1138"/>
      <c r="I6034" s="1138"/>
      <c r="J6034" s="1139"/>
      <c r="K6034" s="1111"/>
      <c r="L6034" s="1112"/>
      <c r="M6034" s="1113"/>
      <c r="N6034" s="110"/>
      <c r="O6034" s="1140"/>
      <c r="P6034" s="1115"/>
      <c r="Q6034" s="1116"/>
      <c r="R6034" s="1141"/>
      <c r="S6034" s="1113"/>
      <c r="T6034" s="1143"/>
      <c r="U6034" s="1108"/>
      <c r="V6034" s="1108"/>
      <c r="W6034" s="1108"/>
      <c r="X6034" s="1108"/>
      <c r="Y6034" s="1108"/>
      <c r="Z6034" s="1114"/>
      <c r="AA6034" s="1114"/>
      <c r="AB6034" s="1114"/>
      <c r="AC6034" s="1117"/>
      <c r="AD6034" s="1115"/>
      <c r="AE6034" s="1115"/>
      <c r="AF6034" s="1115"/>
      <c r="AG6034" s="1115"/>
      <c r="AH6034" s="1115"/>
      <c r="AI6034" s="1115"/>
      <c r="AJ6034" s="1117"/>
      <c r="AK6034" s="1118"/>
      <c r="AL6034" s="1115"/>
      <c r="AM6034" s="1115"/>
      <c r="AN6034" s="1115"/>
      <c r="AO6034" s="1115"/>
      <c r="AP6034" s="1115"/>
      <c r="AQ6034" s="1115"/>
      <c r="AR6034" s="1115"/>
      <c r="AS6034" s="1117"/>
      <c r="AT6034" s="1075"/>
      <c r="AU6034" s="1193"/>
      <c r="AV6034" s="330"/>
      <c r="AW6034" s="331"/>
      <c r="AX6034" s="331"/>
      <c r="AY6034" s="331"/>
      <c r="AZ6034" s="331"/>
      <c r="BA6034" s="331"/>
      <c r="BB6034" s="331"/>
      <c r="BC6034" s="331"/>
      <c r="BD6034" s="331"/>
      <c r="BE6034" s="333"/>
      <c r="BF6034" s="330"/>
      <c r="BG6034" s="333"/>
      <c r="BH6034" s="1119"/>
      <c r="BI6034" s="319"/>
      <c r="BJ6034" s="319"/>
      <c r="BK6034" s="319"/>
      <c r="BL6034" s="319"/>
      <c r="BM6034" s="319"/>
      <c r="BN6034" s="319"/>
      <c r="BO6034" s="319"/>
      <c r="BP6034" s="953"/>
      <c r="BQ6034" s="319"/>
      <c r="BR6034" s="319"/>
      <c r="BS6034" s="330"/>
      <c r="BT6034" s="331"/>
      <c r="BU6034" s="920"/>
      <c r="BV6034" s="903"/>
      <c r="BW6034" s="908"/>
      <c r="BX6034" s="908"/>
      <c r="BY6034" s="331"/>
      <c r="BZ6034" s="331"/>
      <c r="CA6034" s="462"/>
      <c r="CB6034" s="319"/>
      <c r="CC6034" s="319"/>
      <c r="CD6034" s="319"/>
      <c r="CE6034" s="319"/>
      <c r="CF6034" s="319"/>
      <c r="CG6034" s="319"/>
      <c r="CH6034" s="318"/>
      <c r="CI6034" s="319"/>
      <c r="CJ6034" s="319"/>
      <c r="CK6034" s="342"/>
      <c r="CL6034" s="333"/>
      <c r="CM6034" s="1079"/>
      <c r="CN6034" s="1005"/>
      <c r="CO6034" s="1005"/>
      <c r="CP6034" s="1005"/>
    </row>
    <row r="6035">
      <c r="A6035" s="1257"/>
      <c r="B6035" s="1113"/>
      <c r="C6035" s="1107"/>
      <c r="D6035" s="103"/>
      <c r="E6035" s="1137"/>
      <c r="F6035" s="112"/>
      <c r="G6035" s="1110"/>
      <c r="H6035" s="1138"/>
      <c r="I6035" s="1138"/>
      <c r="J6035" s="1139"/>
      <c r="K6035" s="1111"/>
      <c r="L6035" s="1112"/>
      <c r="M6035" s="1113"/>
      <c r="N6035" s="110"/>
      <c r="O6035" s="1140"/>
      <c r="P6035" s="1115"/>
      <c r="Q6035" s="1116"/>
      <c r="R6035" s="1141"/>
      <c r="S6035" s="1113"/>
      <c r="T6035" s="1143"/>
      <c r="U6035" s="1108"/>
      <c r="V6035" s="1108"/>
      <c r="W6035" s="1108"/>
      <c r="X6035" s="1108"/>
      <c r="Y6035" s="1108"/>
      <c r="Z6035" s="1114"/>
      <c r="AA6035" s="1114"/>
      <c r="AB6035" s="1114"/>
      <c r="AC6035" s="1117"/>
      <c r="AD6035" s="1115"/>
      <c r="AE6035" s="1115"/>
      <c r="AF6035" s="1115"/>
      <c r="AG6035" s="1115"/>
      <c r="AH6035" s="1115"/>
      <c r="AI6035" s="1115"/>
      <c r="AJ6035" s="1117"/>
      <c r="AK6035" s="1118"/>
      <c r="AL6035" s="1115"/>
      <c r="AM6035" s="1115"/>
      <c r="AN6035" s="1115"/>
      <c r="AO6035" s="1115"/>
      <c r="AP6035" s="1115"/>
      <c r="AQ6035" s="1115"/>
      <c r="AR6035" s="1115"/>
      <c r="AS6035" s="1117"/>
      <c r="AT6035" s="1075"/>
      <c r="AU6035" s="1193"/>
      <c r="AV6035" s="330"/>
      <c r="AW6035" s="331"/>
      <c r="AX6035" s="331"/>
      <c r="AY6035" s="331"/>
      <c r="AZ6035" s="331"/>
      <c r="BA6035" s="331"/>
      <c r="BB6035" s="331"/>
      <c r="BC6035" s="331"/>
      <c r="BD6035" s="331"/>
      <c r="BE6035" s="333"/>
      <c r="BF6035" s="330"/>
      <c r="BG6035" s="333"/>
      <c r="BH6035" s="1119"/>
      <c r="BI6035" s="319"/>
      <c r="BJ6035" s="319"/>
      <c r="BK6035" s="319"/>
      <c r="BL6035" s="319"/>
      <c r="BM6035" s="319"/>
      <c r="BN6035" s="319"/>
      <c r="BO6035" s="319"/>
      <c r="BP6035" s="953"/>
      <c r="BQ6035" s="319"/>
      <c r="BR6035" s="319"/>
      <c r="BS6035" s="330"/>
      <c r="BT6035" s="331"/>
      <c r="BU6035" s="920"/>
      <c r="BV6035" s="903"/>
      <c r="BW6035" s="908"/>
      <c r="BX6035" s="908"/>
      <c r="BY6035" s="331"/>
      <c r="BZ6035" s="331"/>
      <c r="CA6035" s="462"/>
      <c r="CB6035" s="319"/>
      <c r="CC6035" s="319"/>
      <c r="CD6035" s="319"/>
      <c r="CE6035" s="319"/>
      <c r="CF6035" s="319"/>
      <c r="CG6035" s="319"/>
      <c r="CH6035" s="318"/>
      <c r="CI6035" s="319"/>
      <c r="CJ6035" s="319"/>
      <c r="CK6035" s="342"/>
      <c r="CL6035" s="333"/>
      <c r="CM6035" s="1079"/>
      <c r="CN6035" s="1005"/>
      <c r="CO6035" s="1005"/>
      <c r="CP6035" s="1005"/>
    </row>
    <row r="6036">
      <c r="A6036" s="1257"/>
      <c r="B6036" s="1113"/>
      <c r="C6036" s="1107"/>
      <c r="D6036" s="103"/>
      <c r="E6036" s="1137"/>
      <c r="F6036" s="112"/>
      <c r="G6036" s="1110"/>
      <c r="H6036" s="1138"/>
      <c r="I6036" s="1138"/>
      <c r="J6036" s="1139"/>
      <c r="K6036" s="1111"/>
      <c r="L6036" s="1112"/>
      <c r="M6036" s="1113"/>
      <c r="N6036" s="110"/>
      <c r="O6036" s="1140"/>
      <c r="P6036" s="1115"/>
      <c r="Q6036" s="1116"/>
      <c r="R6036" s="1141"/>
      <c r="S6036" s="1113"/>
      <c r="T6036" s="1143"/>
      <c r="U6036" s="1108"/>
      <c r="V6036" s="1108"/>
      <c r="W6036" s="1108"/>
      <c r="X6036" s="1108"/>
      <c r="Y6036" s="1108"/>
      <c r="Z6036" s="1114"/>
      <c r="AA6036" s="1114"/>
      <c r="AB6036" s="1114"/>
      <c r="AC6036" s="1117"/>
      <c r="AD6036" s="1115"/>
      <c r="AE6036" s="1115"/>
      <c r="AF6036" s="1115"/>
      <c r="AG6036" s="1115"/>
      <c r="AH6036" s="1115"/>
      <c r="AI6036" s="1115"/>
      <c r="AJ6036" s="1117"/>
      <c r="AK6036" s="1118"/>
      <c r="AL6036" s="1115"/>
      <c r="AM6036" s="1115"/>
      <c r="AN6036" s="1115"/>
      <c r="AO6036" s="1115"/>
      <c r="AP6036" s="1115"/>
      <c r="AQ6036" s="1115"/>
      <c r="AR6036" s="1115"/>
      <c r="AS6036" s="1117"/>
      <c r="AT6036" s="1075"/>
      <c r="AU6036" s="1193"/>
      <c r="AV6036" s="330"/>
      <c r="AW6036" s="331"/>
      <c r="AX6036" s="331"/>
      <c r="AY6036" s="331"/>
      <c r="AZ6036" s="331"/>
      <c r="BA6036" s="331"/>
      <c r="BB6036" s="331"/>
      <c r="BC6036" s="331"/>
      <c r="BD6036" s="331"/>
      <c r="BE6036" s="333"/>
      <c r="BF6036" s="330"/>
      <c r="BG6036" s="333"/>
      <c r="BH6036" s="1119"/>
      <c r="BI6036" s="319"/>
      <c r="BJ6036" s="319"/>
      <c r="BK6036" s="319"/>
      <c r="BL6036" s="319"/>
      <c r="BM6036" s="319"/>
      <c r="BN6036" s="319"/>
      <c r="BO6036" s="319"/>
      <c r="BP6036" s="953"/>
      <c r="BQ6036" s="319"/>
      <c r="BR6036" s="319"/>
      <c r="BS6036" s="330"/>
      <c r="BT6036" s="331"/>
      <c r="BU6036" s="920"/>
      <c r="BV6036" s="903"/>
      <c r="BW6036" s="908"/>
      <c r="BX6036" s="908"/>
      <c r="BY6036" s="331"/>
      <c r="BZ6036" s="331"/>
      <c r="CA6036" s="462"/>
      <c r="CB6036" s="319"/>
      <c r="CC6036" s="319"/>
      <c r="CD6036" s="319"/>
      <c r="CE6036" s="319"/>
      <c r="CF6036" s="319"/>
      <c r="CG6036" s="319"/>
      <c r="CH6036" s="318"/>
      <c r="CI6036" s="319"/>
      <c r="CJ6036" s="319"/>
      <c r="CK6036" s="342"/>
      <c r="CL6036" s="333"/>
      <c r="CM6036" s="1079"/>
      <c r="CN6036" s="1005"/>
      <c r="CO6036" s="1005"/>
      <c r="CP6036" s="1005"/>
    </row>
    <row r="6037">
      <c r="A6037" s="1257"/>
      <c r="B6037" s="1113"/>
      <c r="C6037" s="1107"/>
      <c r="D6037" s="103"/>
      <c r="E6037" s="1137"/>
      <c r="F6037" s="112"/>
      <c r="G6037" s="1110"/>
      <c r="H6037" s="1138"/>
      <c r="I6037" s="1138"/>
      <c r="J6037" s="1139"/>
      <c r="K6037" s="1111"/>
      <c r="L6037" s="1112"/>
      <c r="M6037" s="1113"/>
      <c r="N6037" s="110"/>
      <c r="O6037" s="1140"/>
      <c r="P6037" s="1115"/>
      <c r="Q6037" s="1116"/>
      <c r="R6037" s="1141"/>
      <c r="S6037" s="1113"/>
      <c r="T6037" s="1143"/>
      <c r="U6037" s="1108"/>
      <c r="V6037" s="1108"/>
      <c r="W6037" s="1108"/>
      <c r="X6037" s="1108"/>
      <c r="Y6037" s="1108"/>
      <c r="Z6037" s="1114"/>
      <c r="AA6037" s="1114"/>
      <c r="AB6037" s="1114"/>
      <c r="AC6037" s="1117"/>
      <c r="AD6037" s="1115"/>
      <c r="AE6037" s="1115"/>
      <c r="AF6037" s="1115"/>
      <c r="AG6037" s="1115"/>
      <c r="AH6037" s="1115"/>
      <c r="AI6037" s="1115"/>
      <c r="AJ6037" s="1117"/>
      <c r="AK6037" s="1118"/>
      <c r="AL6037" s="1115"/>
      <c r="AM6037" s="1115"/>
      <c r="AN6037" s="1115"/>
      <c r="AO6037" s="1115"/>
      <c r="AP6037" s="1115"/>
      <c r="AQ6037" s="1115"/>
      <c r="AR6037" s="1115"/>
      <c r="AS6037" s="1117"/>
      <c r="AT6037" s="1075"/>
      <c r="AU6037" s="1193"/>
      <c r="AV6037" s="330"/>
      <c r="AW6037" s="331"/>
      <c r="AX6037" s="331"/>
      <c r="AY6037" s="331"/>
      <c r="AZ6037" s="331"/>
      <c r="BA6037" s="331"/>
      <c r="BB6037" s="331"/>
      <c r="BC6037" s="331"/>
      <c r="BD6037" s="331"/>
      <c r="BE6037" s="333"/>
      <c r="BF6037" s="330"/>
      <c r="BG6037" s="333"/>
      <c r="BH6037" s="1119"/>
      <c r="BI6037" s="319"/>
      <c r="BJ6037" s="319"/>
      <c r="BK6037" s="319"/>
      <c r="BL6037" s="319"/>
      <c r="BM6037" s="319"/>
      <c r="BN6037" s="319"/>
      <c r="BO6037" s="319"/>
      <c r="BP6037" s="953"/>
      <c r="BQ6037" s="319"/>
      <c r="BR6037" s="319"/>
      <c r="BS6037" s="330"/>
      <c r="BT6037" s="331"/>
      <c r="BU6037" s="920"/>
      <c r="BV6037" s="903"/>
      <c r="BW6037" s="908"/>
      <c r="BX6037" s="908"/>
      <c r="BY6037" s="331"/>
      <c r="BZ6037" s="331"/>
      <c r="CA6037" s="462"/>
      <c r="CB6037" s="319"/>
      <c r="CC6037" s="319"/>
      <c r="CD6037" s="319"/>
      <c r="CE6037" s="319"/>
      <c r="CF6037" s="319"/>
      <c r="CG6037" s="319"/>
      <c r="CH6037" s="318"/>
      <c r="CI6037" s="319"/>
      <c r="CJ6037" s="319"/>
      <c r="CK6037" s="342"/>
      <c r="CL6037" s="333"/>
      <c r="CM6037" s="1079"/>
      <c r="CN6037" s="1005"/>
      <c r="CO6037" s="1005"/>
      <c r="CP6037" s="1005"/>
    </row>
    <row r="6038">
      <c r="A6038" s="1257"/>
      <c r="B6038" s="1113"/>
      <c r="C6038" s="1107"/>
      <c r="D6038" s="103"/>
      <c r="E6038" s="1137"/>
      <c r="F6038" s="112"/>
      <c r="G6038" s="1110"/>
      <c r="H6038" s="1138"/>
      <c r="I6038" s="1138"/>
      <c r="J6038" s="1139"/>
      <c r="K6038" s="1111"/>
      <c r="L6038" s="1112"/>
      <c r="M6038" s="1113"/>
      <c r="N6038" s="110"/>
      <c r="O6038" s="1140"/>
      <c r="P6038" s="1115"/>
      <c r="Q6038" s="1116"/>
      <c r="R6038" s="1141"/>
      <c r="S6038" s="1113"/>
      <c r="T6038" s="1143"/>
      <c r="U6038" s="1108"/>
      <c r="V6038" s="1108"/>
      <c r="W6038" s="1108"/>
      <c r="X6038" s="1108"/>
      <c r="Y6038" s="1108"/>
      <c r="Z6038" s="1114"/>
      <c r="AA6038" s="1114"/>
      <c r="AB6038" s="1114"/>
      <c r="AC6038" s="1117"/>
      <c r="AD6038" s="1115"/>
      <c r="AE6038" s="1115"/>
      <c r="AF6038" s="1115"/>
      <c r="AG6038" s="1115"/>
      <c r="AH6038" s="1115"/>
      <c r="AI6038" s="1115"/>
      <c r="AJ6038" s="1117"/>
      <c r="AK6038" s="1118"/>
      <c r="AL6038" s="1115"/>
      <c r="AM6038" s="1115"/>
      <c r="AN6038" s="1115"/>
      <c r="AO6038" s="1115"/>
      <c r="AP6038" s="1115"/>
      <c r="AQ6038" s="1115"/>
      <c r="AR6038" s="1115"/>
      <c r="AS6038" s="1117"/>
      <c r="AT6038" s="1075"/>
      <c r="AU6038" s="1193"/>
      <c r="AV6038" s="330"/>
      <c r="AW6038" s="331"/>
      <c r="AX6038" s="331"/>
      <c r="AY6038" s="331"/>
      <c r="AZ6038" s="331"/>
      <c r="BA6038" s="331"/>
      <c r="BB6038" s="331"/>
      <c r="BC6038" s="331"/>
      <c r="BD6038" s="331"/>
      <c r="BE6038" s="333"/>
      <c r="BF6038" s="330"/>
      <c r="BG6038" s="333"/>
      <c r="BH6038" s="1119"/>
      <c r="BI6038" s="319"/>
      <c r="BJ6038" s="319"/>
      <c r="BK6038" s="319"/>
      <c r="BL6038" s="319"/>
      <c r="BM6038" s="319"/>
      <c r="BN6038" s="319"/>
      <c r="BO6038" s="319"/>
      <c r="BP6038" s="953"/>
      <c r="BQ6038" s="319"/>
      <c r="BR6038" s="319"/>
      <c r="BS6038" s="330"/>
      <c r="BT6038" s="331"/>
      <c r="BU6038" s="920"/>
      <c r="BV6038" s="903"/>
      <c r="BW6038" s="908"/>
      <c r="BX6038" s="908"/>
      <c r="BY6038" s="331"/>
      <c r="BZ6038" s="331"/>
      <c r="CA6038" s="462"/>
      <c r="CB6038" s="319"/>
      <c r="CC6038" s="319"/>
      <c r="CD6038" s="319"/>
      <c r="CE6038" s="319"/>
      <c r="CF6038" s="319"/>
      <c r="CG6038" s="319"/>
      <c r="CH6038" s="318"/>
      <c r="CI6038" s="319"/>
      <c r="CJ6038" s="319"/>
      <c r="CK6038" s="342"/>
      <c r="CL6038" s="333"/>
      <c r="CM6038" s="1079"/>
      <c r="CN6038" s="1005"/>
      <c r="CO6038" s="1005"/>
      <c r="CP6038" s="1005"/>
    </row>
    <row r="6039">
      <c r="A6039" s="1257"/>
      <c r="B6039" s="1113"/>
      <c r="C6039" s="1107"/>
      <c r="D6039" s="103"/>
      <c r="E6039" s="1137"/>
      <c r="F6039" s="112"/>
      <c r="G6039" s="1110"/>
      <c r="H6039" s="1138"/>
      <c r="I6039" s="1138"/>
      <c r="J6039" s="1139"/>
      <c r="K6039" s="1111"/>
      <c r="L6039" s="1112"/>
      <c r="M6039" s="1113"/>
      <c r="N6039" s="110"/>
      <c r="O6039" s="1140"/>
      <c r="P6039" s="1115"/>
      <c r="Q6039" s="1116"/>
      <c r="R6039" s="1141"/>
      <c r="S6039" s="1113"/>
      <c r="T6039" s="1143"/>
      <c r="U6039" s="1108"/>
      <c r="V6039" s="1108"/>
      <c r="W6039" s="1108"/>
      <c r="X6039" s="1108"/>
      <c r="Y6039" s="1108"/>
      <c r="Z6039" s="1114"/>
      <c r="AA6039" s="1114"/>
      <c r="AB6039" s="1114"/>
      <c r="AC6039" s="1117"/>
      <c r="AD6039" s="1115"/>
      <c r="AE6039" s="1115"/>
      <c r="AF6039" s="1115"/>
      <c r="AG6039" s="1115"/>
      <c r="AH6039" s="1115"/>
      <c r="AI6039" s="1115"/>
      <c r="AJ6039" s="1117"/>
      <c r="AK6039" s="1118"/>
      <c r="AL6039" s="1115"/>
      <c r="AM6039" s="1115"/>
      <c r="AN6039" s="1115"/>
      <c r="AO6039" s="1115"/>
      <c r="AP6039" s="1115"/>
      <c r="AQ6039" s="1115"/>
      <c r="AR6039" s="1115"/>
      <c r="AS6039" s="1117"/>
      <c r="AT6039" s="1075"/>
      <c r="AU6039" s="1193"/>
      <c r="AV6039" s="330"/>
      <c r="AW6039" s="331"/>
      <c r="AX6039" s="331"/>
      <c r="AY6039" s="331"/>
      <c r="AZ6039" s="331"/>
      <c r="BA6039" s="331"/>
      <c r="BB6039" s="331"/>
      <c r="BC6039" s="331"/>
      <c r="BD6039" s="331"/>
      <c r="BE6039" s="333"/>
      <c r="BF6039" s="330"/>
      <c r="BG6039" s="333"/>
      <c r="BH6039" s="1119"/>
      <c r="BI6039" s="319"/>
      <c r="BJ6039" s="319"/>
      <c r="BK6039" s="319"/>
      <c r="BL6039" s="319"/>
      <c r="BM6039" s="319"/>
      <c r="BN6039" s="319"/>
      <c r="BO6039" s="319"/>
      <c r="BP6039" s="953"/>
      <c r="BQ6039" s="319"/>
      <c r="BR6039" s="319"/>
      <c r="BS6039" s="330"/>
      <c r="BT6039" s="331"/>
      <c r="BU6039" s="920"/>
      <c r="BV6039" s="903"/>
      <c r="BW6039" s="908"/>
      <c r="BX6039" s="908"/>
      <c r="BY6039" s="331"/>
      <c r="BZ6039" s="331"/>
      <c r="CA6039" s="462"/>
      <c r="CB6039" s="319"/>
      <c r="CC6039" s="319"/>
      <c r="CD6039" s="319"/>
      <c r="CE6039" s="319"/>
      <c r="CF6039" s="319"/>
      <c r="CG6039" s="319"/>
      <c r="CH6039" s="318"/>
      <c r="CI6039" s="319"/>
      <c r="CJ6039" s="319"/>
      <c r="CK6039" s="342"/>
      <c r="CL6039" s="333"/>
      <c r="CM6039" s="1079"/>
      <c r="CN6039" s="1005"/>
      <c r="CO6039" s="1005"/>
      <c r="CP6039" s="1005"/>
    </row>
    <row r="6040">
      <c r="A6040" s="1257"/>
      <c r="B6040" s="1113"/>
      <c r="C6040" s="1107"/>
      <c r="D6040" s="103"/>
      <c r="E6040" s="1137"/>
      <c r="F6040" s="112"/>
      <c r="G6040" s="1110"/>
      <c r="H6040" s="1138"/>
      <c r="I6040" s="1138"/>
      <c r="J6040" s="1139"/>
      <c r="K6040" s="1111"/>
      <c r="L6040" s="1112"/>
      <c r="M6040" s="1113"/>
      <c r="N6040" s="110"/>
      <c r="O6040" s="1140"/>
      <c r="P6040" s="1115"/>
      <c r="Q6040" s="1116"/>
      <c r="R6040" s="1141"/>
      <c r="S6040" s="1113"/>
      <c r="T6040" s="1143"/>
      <c r="U6040" s="1108"/>
      <c r="V6040" s="1108"/>
      <c r="W6040" s="1108"/>
      <c r="X6040" s="1108"/>
      <c r="Y6040" s="1108"/>
      <c r="Z6040" s="1114"/>
      <c r="AA6040" s="1114"/>
      <c r="AB6040" s="1114"/>
      <c r="AC6040" s="1117"/>
      <c r="AD6040" s="1115"/>
      <c r="AE6040" s="1115"/>
      <c r="AF6040" s="1115"/>
      <c r="AG6040" s="1115"/>
      <c r="AH6040" s="1115"/>
      <c r="AI6040" s="1115"/>
      <c r="AJ6040" s="1117"/>
      <c r="AK6040" s="1118"/>
      <c r="AL6040" s="1115"/>
      <c r="AM6040" s="1115"/>
      <c r="AN6040" s="1115"/>
      <c r="AO6040" s="1115"/>
      <c r="AP6040" s="1115"/>
      <c r="AQ6040" s="1115"/>
      <c r="AR6040" s="1115"/>
      <c r="AS6040" s="1117"/>
      <c r="AT6040" s="1075"/>
      <c r="AU6040" s="1193"/>
      <c r="AV6040" s="330"/>
      <c r="AW6040" s="331"/>
      <c r="AX6040" s="331"/>
      <c r="AY6040" s="331"/>
      <c r="AZ6040" s="331"/>
      <c r="BA6040" s="331"/>
      <c r="BB6040" s="331"/>
      <c r="BC6040" s="331"/>
      <c r="BD6040" s="331"/>
      <c r="BE6040" s="333"/>
      <c r="BF6040" s="330"/>
      <c r="BG6040" s="333"/>
      <c r="BH6040" s="1119"/>
      <c r="BI6040" s="319"/>
      <c r="BJ6040" s="319"/>
      <c r="BK6040" s="319"/>
      <c r="BL6040" s="319"/>
      <c r="BM6040" s="319"/>
      <c r="BN6040" s="319"/>
      <c r="BO6040" s="319"/>
      <c r="BP6040" s="953"/>
      <c r="BQ6040" s="319"/>
      <c r="BR6040" s="319"/>
      <c r="BS6040" s="330"/>
      <c r="BT6040" s="331"/>
      <c r="BU6040" s="920"/>
      <c r="BV6040" s="903"/>
      <c r="BW6040" s="908"/>
      <c r="BX6040" s="908"/>
      <c r="BY6040" s="331"/>
      <c r="BZ6040" s="331"/>
      <c r="CA6040" s="462"/>
      <c r="CB6040" s="319"/>
      <c r="CC6040" s="319"/>
      <c r="CD6040" s="319"/>
      <c r="CE6040" s="319"/>
      <c r="CF6040" s="319"/>
      <c r="CG6040" s="319"/>
      <c r="CH6040" s="318"/>
      <c r="CI6040" s="319"/>
      <c r="CJ6040" s="319"/>
      <c r="CK6040" s="342"/>
      <c r="CL6040" s="333"/>
      <c r="CM6040" s="1079"/>
      <c r="CN6040" s="1005"/>
      <c r="CO6040" s="1005"/>
      <c r="CP6040" s="1005"/>
    </row>
    <row r="6041">
      <c r="A6041" s="1257"/>
      <c r="B6041" s="1113"/>
      <c r="C6041" s="1107"/>
      <c r="D6041" s="103"/>
      <c r="E6041" s="1137"/>
      <c r="F6041" s="112"/>
      <c r="G6041" s="1110"/>
      <c r="H6041" s="1138"/>
      <c r="I6041" s="1138"/>
      <c r="J6041" s="1139"/>
      <c r="K6041" s="1111"/>
      <c r="L6041" s="1112"/>
      <c r="M6041" s="1113"/>
      <c r="N6041" s="110"/>
      <c r="O6041" s="1140"/>
      <c r="P6041" s="1115"/>
      <c r="Q6041" s="1116"/>
      <c r="R6041" s="1141"/>
      <c r="S6041" s="1113"/>
      <c r="T6041" s="1143"/>
      <c r="U6041" s="1108"/>
      <c r="V6041" s="1108"/>
      <c r="W6041" s="1108"/>
      <c r="X6041" s="1108"/>
      <c r="Y6041" s="1108"/>
      <c r="Z6041" s="1114"/>
      <c r="AA6041" s="1114"/>
      <c r="AB6041" s="1114"/>
      <c r="AC6041" s="1117"/>
      <c r="AD6041" s="1115"/>
      <c r="AE6041" s="1115"/>
      <c r="AF6041" s="1115"/>
      <c r="AG6041" s="1115"/>
      <c r="AH6041" s="1115"/>
      <c r="AI6041" s="1115"/>
      <c r="AJ6041" s="1117"/>
      <c r="AK6041" s="1118"/>
      <c r="AL6041" s="1115"/>
      <c r="AM6041" s="1115"/>
      <c r="AN6041" s="1115"/>
      <c r="AO6041" s="1115"/>
      <c r="AP6041" s="1115"/>
      <c r="AQ6041" s="1115"/>
      <c r="AR6041" s="1115"/>
      <c r="AS6041" s="1117"/>
      <c r="AT6041" s="1075"/>
      <c r="AU6041" s="1193"/>
      <c r="AV6041" s="330"/>
      <c r="AW6041" s="331"/>
      <c r="AX6041" s="331"/>
      <c r="AY6041" s="331"/>
      <c r="AZ6041" s="331"/>
      <c r="BA6041" s="331"/>
      <c r="BB6041" s="331"/>
      <c r="BC6041" s="331"/>
      <c r="BD6041" s="331"/>
      <c r="BE6041" s="333"/>
      <c r="BF6041" s="330"/>
      <c r="BG6041" s="333"/>
      <c r="BH6041" s="1119"/>
      <c r="BI6041" s="319"/>
      <c r="BJ6041" s="319"/>
      <c r="BK6041" s="319"/>
      <c r="BL6041" s="319"/>
      <c r="BM6041" s="319"/>
      <c r="BN6041" s="319"/>
      <c r="BO6041" s="319"/>
      <c r="BP6041" s="953"/>
      <c r="BQ6041" s="319"/>
      <c r="BR6041" s="319"/>
      <c r="BS6041" s="330"/>
      <c r="BT6041" s="331"/>
      <c r="BU6041" s="920"/>
      <c r="BV6041" s="903"/>
      <c r="BW6041" s="908"/>
      <c r="BX6041" s="908"/>
      <c r="BY6041" s="331"/>
      <c r="BZ6041" s="331"/>
      <c r="CA6041" s="462"/>
      <c r="CB6041" s="319"/>
      <c r="CC6041" s="319"/>
      <c r="CD6041" s="319"/>
      <c r="CE6041" s="319"/>
      <c r="CF6041" s="319"/>
      <c r="CG6041" s="319"/>
      <c r="CH6041" s="318"/>
      <c r="CI6041" s="319"/>
      <c r="CJ6041" s="319"/>
      <c r="CK6041" s="342"/>
      <c r="CL6041" s="333"/>
      <c r="CM6041" s="1079"/>
      <c r="CN6041" s="1005"/>
      <c r="CO6041" s="1005"/>
      <c r="CP6041" s="1005"/>
    </row>
    <row r="6042">
      <c r="A6042" s="1257"/>
      <c r="B6042" s="1113"/>
      <c r="C6042" s="1107"/>
      <c r="D6042" s="103"/>
      <c r="E6042" s="1137"/>
      <c r="F6042" s="112"/>
      <c r="G6042" s="1110"/>
      <c r="H6042" s="1138"/>
      <c r="I6042" s="1138"/>
      <c r="J6042" s="1139"/>
      <c r="K6042" s="1111"/>
      <c r="L6042" s="1112"/>
      <c r="M6042" s="1113"/>
      <c r="N6042" s="110"/>
      <c r="O6042" s="1140"/>
      <c r="P6042" s="1115"/>
      <c r="Q6042" s="1116"/>
      <c r="R6042" s="1141"/>
      <c r="S6042" s="1113"/>
      <c r="T6042" s="1143"/>
      <c r="U6042" s="1108"/>
      <c r="V6042" s="1108"/>
      <c r="W6042" s="1108"/>
      <c r="X6042" s="1108"/>
      <c r="Y6042" s="1108"/>
      <c r="Z6042" s="1114"/>
      <c r="AA6042" s="1114"/>
      <c r="AB6042" s="1114"/>
      <c r="AC6042" s="1117"/>
      <c r="AD6042" s="1115"/>
      <c r="AE6042" s="1115"/>
      <c r="AF6042" s="1115"/>
      <c r="AG6042" s="1115"/>
      <c r="AH6042" s="1115"/>
      <c r="AI6042" s="1115"/>
      <c r="AJ6042" s="1117"/>
      <c r="AK6042" s="1118"/>
      <c r="AL6042" s="1115"/>
      <c r="AM6042" s="1115"/>
      <c r="AN6042" s="1115"/>
      <c r="AO6042" s="1115"/>
      <c r="AP6042" s="1115"/>
      <c r="AQ6042" s="1115"/>
      <c r="AR6042" s="1115"/>
      <c r="AS6042" s="1117"/>
      <c r="AT6042" s="1075"/>
      <c r="AU6042" s="1193"/>
      <c r="AV6042" s="330"/>
      <c r="AW6042" s="331"/>
      <c r="AX6042" s="331"/>
      <c r="AY6042" s="331"/>
      <c r="AZ6042" s="331"/>
      <c r="BA6042" s="331"/>
      <c r="BB6042" s="331"/>
      <c r="BC6042" s="331"/>
      <c r="BD6042" s="331"/>
      <c r="BE6042" s="333"/>
      <c r="BF6042" s="330"/>
      <c r="BG6042" s="333"/>
      <c r="BH6042" s="1119"/>
      <c r="BI6042" s="319"/>
      <c r="BJ6042" s="319"/>
      <c r="BK6042" s="319"/>
      <c r="BL6042" s="319"/>
      <c r="BM6042" s="319"/>
      <c r="BN6042" s="319"/>
      <c r="BO6042" s="319"/>
      <c r="BP6042" s="953"/>
      <c r="BQ6042" s="319"/>
      <c r="BR6042" s="319"/>
      <c r="BS6042" s="330"/>
      <c r="BT6042" s="331"/>
      <c r="BU6042" s="920"/>
      <c r="BV6042" s="903"/>
      <c r="BW6042" s="908"/>
      <c r="BX6042" s="908"/>
      <c r="BY6042" s="331"/>
      <c r="BZ6042" s="331"/>
      <c r="CA6042" s="462"/>
      <c r="CB6042" s="319"/>
      <c r="CC6042" s="319"/>
      <c r="CD6042" s="319"/>
      <c r="CE6042" s="319"/>
      <c r="CF6042" s="319"/>
      <c r="CG6042" s="319"/>
      <c r="CH6042" s="318"/>
      <c r="CI6042" s="319"/>
      <c r="CJ6042" s="319"/>
      <c r="CK6042" s="342"/>
      <c r="CL6042" s="333"/>
      <c r="CM6042" s="1079"/>
      <c r="CN6042" s="1005"/>
      <c r="CO6042" s="1005"/>
      <c r="CP6042" s="1005"/>
    </row>
    <row r="6043">
      <c r="A6043" s="1257"/>
      <c r="B6043" s="1113"/>
      <c r="C6043" s="1107"/>
      <c r="D6043" s="103"/>
      <c r="E6043" s="1137"/>
      <c r="F6043" s="112"/>
      <c r="G6043" s="1110"/>
      <c r="H6043" s="1138"/>
      <c r="I6043" s="1138"/>
      <c r="J6043" s="1139"/>
      <c r="K6043" s="1111"/>
      <c r="L6043" s="1112"/>
      <c r="M6043" s="1113"/>
      <c r="N6043" s="110"/>
      <c r="O6043" s="1140"/>
      <c r="P6043" s="1115"/>
      <c r="Q6043" s="1116"/>
      <c r="R6043" s="1141"/>
      <c r="S6043" s="1113"/>
      <c r="T6043" s="1143"/>
      <c r="U6043" s="1108"/>
      <c r="V6043" s="1108"/>
      <c r="W6043" s="1108"/>
      <c r="X6043" s="1108"/>
      <c r="Y6043" s="1108"/>
      <c r="Z6043" s="1114"/>
      <c r="AA6043" s="1114"/>
      <c r="AB6043" s="1114"/>
      <c r="AC6043" s="1117"/>
      <c r="AD6043" s="1115"/>
      <c r="AE6043" s="1115"/>
      <c r="AF6043" s="1115"/>
      <c r="AG6043" s="1115"/>
      <c r="AH6043" s="1115"/>
      <c r="AI6043" s="1115"/>
      <c r="AJ6043" s="1117"/>
      <c r="AK6043" s="1118"/>
      <c r="AL6043" s="1115"/>
      <c r="AM6043" s="1115"/>
      <c r="AN6043" s="1115"/>
      <c r="AO6043" s="1115"/>
      <c r="AP6043" s="1115"/>
      <c r="AQ6043" s="1115"/>
      <c r="AR6043" s="1115"/>
      <c r="AS6043" s="1117"/>
      <c r="AT6043" s="1075"/>
      <c r="AU6043" s="1193"/>
      <c r="AV6043" s="330"/>
      <c r="AW6043" s="331"/>
      <c r="AX6043" s="331"/>
      <c r="AY6043" s="331"/>
      <c r="AZ6043" s="331"/>
      <c r="BA6043" s="331"/>
      <c r="BB6043" s="331"/>
      <c r="BC6043" s="331"/>
      <c r="BD6043" s="331"/>
      <c r="BE6043" s="333"/>
      <c r="BF6043" s="330"/>
      <c r="BG6043" s="333"/>
      <c r="BH6043" s="1119"/>
      <c r="BI6043" s="319"/>
      <c r="BJ6043" s="319"/>
      <c r="BK6043" s="319"/>
      <c r="BL6043" s="319"/>
      <c r="BM6043" s="319"/>
      <c r="BN6043" s="319"/>
      <c r="BO6043" s="319"/>
      <c r="BP6043" s="953"/>
      <c r="BQ6043" s="319"/>
      <c r="BR6043" s="319"/>
      <c r="BS6043" s="330"/>
      <c r="BT6043" s="331"/>
      <c r="BU6043" s="920"/>
      <c r="BV6043" s="903"/>
      <c r="BW6043" s="908"/>
      <c r="BX6043" s="908"/>
      <c r="BY6043" s="331"/>
      <c r="BZ6043" s="331"/>
      <c r="CA6043" s="462"/>
      <c r="CB6043" s="319"/>
      <c r="CC6043" s="319"/>
      <c r="CD6043" s="319"/>
      <c r="CE6043" s="319"/>
      <c r="CF6043" s="319"/>
      <c r="CG6043" s="319"/>
      <c r="CH6043" s="318"/>
      <c r="CI6043" s="319"/>
      <c r="CJ6043" s="319"/>
      <c r="CK6043" s="342"/>
      <c r="CL6043" s="333"/>
      <c r="CM6043" s="1079"/>
      <c r="CN6043" s="1005"/>
      <c r="CO6043" s="1005"/>
      <c r="CP6043" s="1005"/>
    </row>
    <row r="6044">
      <c r="A6044" s="1257"/>
      <c r="B6044" s="1113"/>
      <c r="C6044" s="1107"/>
      <c r="D6044" s="103"/>
      <c r="E6044" s="1137"/>
      <c r="F6044" s="112"/>
      <c r="G6044" s="1110"/>
      <c r="H6044" s="1138"/>
      <c r="I6044" s="1138"/>
      <c r="J6044" s="1139"/>
      <c r="K6044" s="1111"/>
      <c r="L6044" s="1112"/>
      <c r="M6044" s="1113"/>
      <c r="N6044" s="110"/>
      <c r="O6044" s="1140"/>
      <c r="P6044" s="1115"/>
      <c r="Q6044" s="1116"/>
      <c r="R6044" s="1141"/>
      <c r="S6044" s="1113"/>
      <c r="T6044" s="1143"/>
      <c r="U6044" s="1108"/>
      <c r="V6044" s="1108"/>
      <c r="W6044" s="1108"/>
      <c r="X6044" s="1108"/>
      <c r="Y6044" s="1108"/>
      <c r="Z6044" s="1114"/>
      <c r="AA6044" s="1114"/>
      <c r="AB6044" s="1114"/>
      <c r="AC6044" s="1117"/>
      <c r="AD6044" s="1115"/>
      <c r="AE6044" s="1115"/>
      <c r="AF6044" s="1115"/>
      <c r="AG6044" s="1115"/>
      <c r="AH6044" s="1115"/>
      <c r="AI6044" s="1115"/>
      <c r="AJ6044" s="1117"/>
      <c r="AK6044" s="1118"/>
      <c r="AL6044" s="1115"/>
      <c r="AM6044" s="1115"/>
      <c r="AN6044" s="1115"/>
      <c r="AO6044" s="1115"/>
      <c r="AP6044" s="1115"/>
      <c r="AQ6044" s="1115"/>
      <c r="AR6044" s="1115"/>
      <c r="AS6044" s="1117"/>
      <c r="AT6044" s="1075"/>
      <c r="AU6044" s="1193"/>
      <c r="AV6044" s="330"/>
      <c r="AW6044" s="331"/>
      <c r="AX6044" s="331"/>
      <c r="AY6044" s="331"/>
      <c r="AZ6044" s="331"/>
      <c r="BA6044" s="331"/>
      <c r="BB6044" s="331"/>
      <c r="BC6044" s="331"/>
      <c r="BD6044" s="331"/>
      <c r="BE6044" s="333"/>
      <c r="BF6044" s="330"/>
      <c r="BG6044" s="333"/>
      <c r="BH6044" s="1119"/>
      <c r="BI6044" s="319"/>
      <c r="BJ6044" s="319"/>
      <c r="BK6044" s="319"/>
      <c r="BL6044" s="319"/>
      <c r="BM6044" s="319"/>
      <c r="BN6044" s="319"/>
      <c r="BO6044" s="319"/>
      <c r="BP6044" s="953"/>
      <c r="BQ6044" s="319"/>
      <c r="BR6044" s="319"/>
      <c r="BS6044" s="330"/>
      <c r="BT6044" s="331"/>
      <c r="BU6044" s="920"/>
      <c r="BV6044" s="903"/>
      <c r="BW6044" s="908"/>
      <c r="BX6044" s="908"/>
      <c r="BY6044" s="331"/>
      <c r="BZ6044" s="331"/>
      <c r="CA6044" s="462"/>
      <c r="CB6044" s="319"/>
      <c r="CC6044" s="319"/>
      <c r="CD6044" s="319"/>
      <c r="CE6044" s="319"/>
      <c r="CF6044" s="319"/>
      <c r="CG6044" s="319"/>
      <c r="CH6044" s="318"/>
      <c r="CI6044" s="319"/>
      <c r="CJ6044" s="319"/>
      <c r="CK6044" s="342"/>
      <c r="CL6044" s="333"/>
      <c r="CM6044" s="1079"/>
      <c r="CN6044" s="1005"/>
      <c r="CO6044" s="1005"/>
      <c r="CP6044" s="1005"/>
    </row>
    <row r="6045">
      <c r="A6045" s="1257"/>
      <c r="B6045" s="1113"/>
      <c r="C6045" s="1107"/>
      <c r="D6045" s="103"/>
      <c r="E6045" s="1137"/>
      <c r="F6045" s="112"/>
      <c r="G6045" s="1110"/>
      <c r="H6045" s="1138"/>
      <c r="I6045" s="1138"/>
      <c r="J6045" s="1139"/>
      <c r="K6045" s="1111"/>
      <c r="L6045" s="1112"/>
      <c r="M6045" s="1113"/>
      <c r="N6045" s="110"/>
      <c r="O6045" s="1140"/>
      <c r="P6045" s="1115"/>
      <c r="Q6045" s="1116"/>
      <c r="R6045" s="1141"/>
      <c r="S6045" s="1113"/>
      <c r="T6045" s="1143"/>
      <c r="U6045" s="1108"/>
      <c r="V6045" s="1108"/>
      <c r="W6045" s="1108"/>
      <c r="X6045" s="1108"/>
      <c r="Y6045" s="1108"/>
      <c r="Z6045" s="1114"/>
      <c r="AA6045" s="1114"/>
      <c r="AB6045" s="1114"/>
      <c r="AC6045" s="1117"/>
      <c r="AD6045" s="1115"/>
      <c r="AE6045" s="1115"/>
      <c r="AF6045" s="1115"/>
      <c r="AG6045" s="1115"/>
      <c r="AH6045" s="1115"/>
      <c r="AI6045" s="1115"/>
      <c r="AJ6045" s="1117"/>
      <c r="AK6045" s="1118"/>
      <c r="AL6045" s="1115"/>
      <c r="AM6045" s="1115"/>
      <c r="AN6045" s="1115"/>
      <c r="AO6045" s="1115"/>
      <c r="AP6045" s="1115"/>
      <c r="AQ6045" s="1115"/>
      <c r="AR6045" s="1115"/>
      <c r="AS6045" s="1117"/>
      <c r="AT6045" s="1075"/>
      <c r="AU6045" s="1193"/>
      <c r="AV6045" s="330"/>
      <c r="AW6045" s="331"/>
      <c r="AX6045" s="331"/>
      <c r="AY6045" s="331"/>
      <c r="AZ6045" s="331"/>
      <c r="BA6045" s="331"/>
      <c r="BB6045" s="331"/>
      <c r="BC6045" s="331"/>
      <c r="BD6045" s="331"/>
      <c r="BE6045" s="333"/>
      <c r="BF6045" s="330"/>
      <c r="BG6045" s="333"/>
      <c r="BH6045" s="1119"/>
      <c r="BI6045" s="319"/>
      <c r="BJ6045" s="319"/>
      <c r="BK6045" s="319"/>
      <c r="BL6045" s="319"/>
      <c r="BM6045" s="319"/>
      <c r="BN6045" s="319"/>
      <c r="BO6045" s="319"/>
      <c r="BP6045" s="953"/>
      <c r="BQ6045" s="319"/>
      <c r="BR6045" s="319"/>
      <c r="BS6045" s="330"/>
      <c r="BT6045" s="331"/>
      <c r="BU6045" s="920"/>
      <c r="BV6045" s="903"/>
      <c r="BW6045" s="908"/>
      <c r="BX6045" s="908"/>
      <c r="BY6045" s="331"/>
      <c r="BZ6045" s="331"/>
      <c r="CA6045" s="462"/>
      <c r="CB6045" s="319"/>
      <c r="CC6045" s="319"/>
      <c r="CD6045" s="319"/>
      <c r="CE6045" s="319"/>
      <c r="CF6045" s="319"/>
      <c r="CG6045" s="319"/>
      <c r="CH6045" s="318"/>
      <c r="CI6045" s="319"/>
      <c r="CJ6045" s="319"/>
      <c r="CK6045" s="342"/>
      <c r="CL6045" s="333"/>
      <c r="CM6045" s="1079"/>
      <c r="CN6045" s="1005"/>
      <c r="CO6045" s="1005"/>
      <c r="CP6045" s="1005"/>
    </row>
    <row r="6046">
      <c r="A6046" s="1257"/>
      <c r="B6046" s="1113"/>
      <c r="C6046" s="1107"/>
      <c r="D6046" s="103"/>
      <c r="E6046" s="1137"/>
      <c r="F6046" s="112"/>
      <c r="G6046" s="1110"/>
      <c r="H6046" s="1138"/>
      <c r="I6046" s="1138"/>
      <c r="J6046" s="1139"/>
      <c r="K6046" s="1111"/>
      <c r="L6046" s="1112"/>
      <c r="M6046" s="1113"/>
      <c r="N6046" s="110"/>
      <c r="O6046" s="1140"/>
      <c r="P6046" s="1115"/>
      <c r="Q6046" s="1116"/>
      <c r="R6046" s="1141"/>
      <c r="S6046" s="1113"/>
      <c r="T6046" s="1143"/>
      <c r="U6046" s="1108"/>
      <c r="V6046" s="1108"/>
      <c r="W6046" s="1108"/>
      <c r="X6046" s="1108"/>
      <c r="Y6046" s="1108"/>
      <c r="Z6046" s="1114"/>
      <c r="AA6046" s="1114"/>
      <c r="AB6046" s="1114"/>
      <c r="AC6046" s="1117"/>
      <c r="AD6046" s="1115"/>
      <c r="AE6046" s="1115"/>
      <c r="AF6046" s="1115"/>
      <c r="AG6046" s="1115"/>
      <c r="AH6046" s="1115"/>
      <c r="AI6046" s="1115"/>
      <c r="AJ6046" s="1117"/>
      <c r="AK6046" s="1118"/>
      <c r="AL6046" s="1115"/>
      <c r="AM6046" s="1115"/>
      <c r="AN6046" s="1115"/>
      <c r="AO6046" s="1115"/>
      <c r="AP6046" s="1115"/>
      <c r="AQ6046" s="1115"/>
      <c r="AR6046" s="1115"/>
      <c r="AS6046" s="1117"/>
      <c r="AT6046" s="1075"/>
      <c r="AU6046" s="1193"/>
      <c r="AV6046" s="330"/>
      <c r="AW6046" s="331"/>
      <c r="AX6046" s="331"/>
      <c r="AY6046" s="331"/>
      <c r="AZ6046" s="331"/>
      <c r="BA6046" s="331"/>
      <c r="BB6046" s="331"/>
      <c r="BC6046" s="331"/>
      <c r="BD6046" s="331"/>
      <c r="BE6046" s="333"/>
      <c r="BF6046" s="330"/>
      <c r="BG6046" s="333"/>
      <c r="BH6046" s="1119"/>
      <c r="BI6046" s="319"/>
      <c r="BJ6046" s="319"/>
      <c r="BK6046" s="319"/>
      <c r="BL6046" s="319"/>
      <c r="BM6046" s="319"/>
      <c r="BN6046" s="319"/>
      <c r="BO6046" s="319"/>
      <c r="BP6046" s="953"/>
      <c r="BQ6046" s="319"/>
      <c r="BR6046" s="319"/>
      <c r="BS6046" s="330"/>
      <c r="BT6046" s="331"/>
      <c r="BU6046" s="920"/>
      <c r="BV6046" s="903"/>
      <c r="BW6046" s="908"/>
      <c r="BX6046" s="908"/>
      <c r="BY6046" s="331"/>
      <c r="BZ6046" s="331"/>
      <c r="CA6046" s="462"/>
      <c r="CB6046" s="319"/>
      <c r="CC6046" s="319"/>
      <c r="CD6046" s="319"/>
      <c r="CE6046" s="319"/>
      <c r="CF6046" s="319"/>
      <c r="CG6046" s="319"/>
      <c r="CH6046" s="318"/>
      <c r="CI6046" s="319"/>
      <c r="CJ6046" s="319"/>
      <c r="CK6046" s="342"/>
      <c r="CL6046" s="333"/>
      <c r="CM6046" s="1079"/>
      <c r="CN6046" s="1005"/>
      <c r="CO6046" s="1005"/>
      <c r="CP6046" s="1005"/>
    </row>
    <row r="6047">
      <c r="A6047" s="1257"/>
      <c r="B6047" s="1113"/>
      <c r="C6047" s="1107"/>
      <c r="D6047" s="103"/>
      <c r="E6047" s="1137"/>
      <c r="F6047" s="112"/>
      <c r="G6047" s="1110"/>
      <c r="H6047" s="1138"/>
      <c r="I6047" s="1138"/>
      <c r="J6047" s="1139"/>
      <c r="K6047" s="1111"/>
      <c r="L6047" s="1112"/>
      <c r="M6047" s="1113"/>
      <c r="N6047" s="110"/>
      <c r="O6047" s="1140"/>
      <c r="P6047" s="1115"/>
      <c r="Q6047" s="1116"/>
      <c r="R6047" s="1141"/>
      <c r="S6047" s="1113"/>
      <c r="T6047" s="1143"/>
      <c r="U6047" s="1108"/>
      <c r="V6047" s="1108"/>
      <c r="W6047" s="1108"/>
      <c r="X6047" s="1108"/>
      <c r="Y6047" s="1108"/>
      <c r="Z6047" s="1114"/>
      <c r="AA6047" s="1114"/>
      <c r="AB6047" s="1114"/>
      <c r="AC6047" s="1117"/>
      <c r="AD6047" s="1115"/>
      <c r="AE6047" s="1115"/>
      <c r="AF6047" s="1115"/>
      <c r="AG6047" s="1115"/>
      <c r="AH6047" s="1115"/>
      <c r="AI6047" s="1115"/>
      <c r="AJ6047" s="1117"/>
      <c r="AK6047" s="1118"/>
      <c r="AL6047" s="1115"/>
      <c r="AM6047" s="1115"/>
      <c r="AN6047" s="1115"/>
      <c r="AO6047" s="1115"/>
      <c r="AP6047" s="1115"/>
      <c r="AQ6047" s="1115"/>
      <c r="AR6047" s="1115"/>
      <c r="AS6047" s="1117"/>
      <c r="AT6047" s="1075"/>
      <c r="AU6047" s="1193"/>
      <c r="AV6047" s="330"/>
      <c r="AW6047" s="331"/>
      <c r="AX6047" s="331"/>
      <c r="AY6047" s="331"/>
      <c r="AZ6047" s="331"/>
      <c r="BA6047" s="331"/>
      <c r="BB6047" s="331"/>
      <c r="BC6047" s="331"/>
      <c r="BD6047" s="331"/>
      <c r="BE6047" s="333"/>
      <c r="BF6047" s="330"/>
      <c r="BG6047" s="333"/>
      <c r="BH6047" s="1119"/>
      <c r="BI6047" s="319"/>
      <c r="BJ6047" s="319"/>
      <c r="BK6047" s="319"/>
      <c r="BL6047" s="319"/>
      <c r="BM6047" s="319"/>
      <c r="BN6047" s="319"/>
      <c r="BO6047" s="319"/>
      <c r="BP6047" s="953"/>
      <c r="BQ6047" s="319"/>
      <c r="BR6047" s="319"/>
      <c r="BS6047" s="330"/>
      <c r="BT6047" s="331"/>
      <c r="BU6047" s="920"/>
      <c r="BV6047" s="903"/>
      <c r="BW6047" s="908"/>
      <c r="BX6047" s="908"/>
      <c r="BY6047" s="331"/>
      <c r="BZ6047" s="331"/>
      <c r="CA6047" s="462"/>
      <c r="CB6047" s="319"/>
      <c r="CC6047" s="319"/>
      <c r="CD6047" s="319"/>
      <c r="CE6047" s="319"/>
      <c r="CF6047" s="319"/>
      <c r="CG6047" s="319"/>
      <c r="CH6047" s="318"/>
      <c r="CI6047" s="319"/>
      <c r="CJ6047" s="319"/>
      <c r="CK6047" s="342"/>
      <c r="CL6047" s="333"/>
      <c r="CM6047" s="1079"/>
      <c r="CN6047" s="1005"/>
      <c r="CO6047" s="1005"/>
      <c r="CP6047" s="1005"/>
    </row>
    <row r="6048">
      <c r="A6048" s="1257"/>
      <c r="B6048" s="1113"/>
      <c r="C6048" s="1107"/>
      <c r="D6048" s="103"/>
      <c r="E6048" s="1137"/>
      <c r="F6048" s="112"/>
      <c r="G6048" s="1110"/>
      <c r="H6048" s="1138"/>
      <c r="I6048" s="1138"/>
      <c r="J6048" s="1139"/>
      <c r="K6048" s="1111"/>
      <c r="L6048" s="1112"/>
      <c r="M6048" s="1113"/>
      <c r="N6048" s="110"/>
      <c r="O6048" s="1140"/>
      <c r="P6048" s="1115"/>
      <c r="Q6048" s="1116"/>
      <c r="R6048" s="1141"/>
      <c r="S6048" s="1113"/>
      <c r="T6048" s="1143"/>
      <c r="U6048" s="1108"/>
      <c r="V6048" s="1108"/>
      <c r="W6048" s="1108"/>
      <c r="X6048" s="1108"/>
      <c r="Y6048" s="1108"/>
      <c r="Z6048" s="1114"/>
      <c r="AA6048" s="1114"/>
      <c r="AB6048" s="1114"/>
      <c r="AC6048" s="1117"/>
      <c r="AD6048" s="1115"/>
      <c r="AE6048" s="1115"/>
      <c r="AF6048" s="1115"/>
      <c r="AG6048" s="1115"/>
      <c r="AH6048" s="1115"/>
      <c r="AI6048" s="1115"/>
      <c r="AJ6048" s="1117"/>
      <c r="AK6048" s="1118"/>
      <c r="AL6048" s="1115"/>
      <c r="AM6048" s="1115"/>
      <c r="AN6048" s="1115"/>
      <c r="AO6048" s="1115"/>
      <c r="AP6048" s="1115"/>
      <c r="AQ6048" s="1115"/>
      <c r="AR6048" s="1115"/>
      <c r="AS6048" s="1117"/>
      <c r="AT6048" s="1075"/>
      <c r="AU6048" s="1193"/>
      <c r="AV6048" s="330"/>
      <c r="AW6048" s="331"/>
      <c r="AX6048" s="331"/>
      <c r="AY6048" s="331"/>
      <c r="AZ6048" s="331"/>
      <c r="BA6048" s="331"/>
      <c r="BB6048" s="331"/>
      <c r="BC6048" s="331"/>
      <c r="BD6048" s="331"/>
      <c r="BE6048" s="333"/>
      <c r="BF6048" s="330"/>
      <c r="BG6048" s="333"/>
      <c r="BH6048" s="1119"/>
      <c r="BI6048" s="319"/>
      <c r="BJ6048" s="319"/>
      <c r="BK6048" s="319"/>
      <c r="BL6048" s="319"/>
      <c r="BM6048" s="319"/>
      <c r="BN6048" s="319"/>
      <c r="BO6048" s="319"/>
      <c r="BP6048" s="953"/>
      <c r="BQ6048" s="319"/>
      <c r="BR6048" s="319"/>
      <c r="BS6048" s="330"/>
      <c r="BT6048" s="331"/>
      <c r="BU6048" s="920"/>
      <c r="BV6048" s="903"/>
      <c r="BW6048" s="908"/>
      <c r="BX6048" s="908"/>
      <c r="BY6048" s="331"/>
      <c r="BZ6048" s="331"/>
      <c r="CA6048" s="462"/>
      <c r="CB6048" s="319"/>
      <c r="CC6048" s="319"/>
      <c r="CD6048" s="319"/>
      <c r="CE6048" s="319"/>
      <c r="CF6048" s="319"/>
      <c r="CG6048" s="319"/>
      <c r="CH6048" s="318"/>
      <c r="CI6048" s="319"/>
      <c r="CJ6048" s="319"/>
      <c r="CK6048" s="342"/>
      <c r="CL6048" s="333"/>
      <c r="CM6048" s="1079"/>
      <c r="CN6048" s="1005"/>
      <c r="CO6048" s="1005"/>
      <c r="CP6048" s="1005"/>
    </row>
    <row r="6049">
      <c r="A6049" s="1257"/>
      <c r="B6049" s="1113"/>
      <c r="C6049" s="1107"/>
      <c r="D6049" s="103"/>
      <c r="E6049" s="1137"/>
      <c r="F6049" s="112"/>
      <c r="G6049" s="1110"/>
      <c r="H6049" s="1138"/>
      <c r="I6049" s="1138"/>
      <c r="J6049" s="1139"/>
      <c r="K6049" s="1111"/>
      <c r="L6049" s="1112"/>
      <c r="M6049" s="1113"/>
      <c r="N6049" s="110"/>
      <c r="O6049" s="1140"/>
      <c r="P6049" s="1115"/>
      <c r="Q6049" s="1116"/>
      <c r="R6049" s="1141"/>
      <c r="S6049" s="1113"/>
      <c r="T6049" s="1143"/>
      <c r="U6049" s="1108"/>
      <c r="V6049" s="1108"/>
      <c r="W6049" s="1108"/>
      <c r="X6049" s="1108"/>
      <c r="Y6049" s="1108"/>
      <c r="Z6049" s="1114"/>
      <c r="AA6049" s="1114"/>
      <c r="AB6049" s="1114"/>
      <c r="AC6049" s="1117"/>
      <c r="AD6049" s="1115"/>
      <c r="AE6049" s="1115"/>
      <c r="AF6049" s="1115"/>
      <c r="AG6049" s="1115"/>
      <c r="AH6049" s="1115"/>
      <c r="AI6049" s="1115"/>
      <c r="AJ6049" s="1117"/>
      <c r="AK6049" s="1118"/>
      <c r="AL6049" s="1115"/>
      <c r="AM6049" s="1115"/>
      <c r="AN6049" s="1115"/>
      <c r="AO6049" s="1115"/>
      <c r="AP6049" s="1115"/>
      <c r="AQ6049" s="1115"/>
      <c r="AR6049" s="1115"/>
      <c r="AS6049" s="1117"/>
      <c r="AT6049" s="1075"/>
      <c r="AU6049" s="1193"/>
      <c r="AV6049" s="330"/>
      <c r="AW6049" s="331"/>
      <c r="AX6049" s="331"/>
      <c r="AY6049" s="331"/>
      <c r="AZ6049" s="331"/>
      <c r="BA6049" s="331"/>
      <c r="BB6049" s="331"/>
      <c r="BC6049" s="331"/>
      <c r="BD6049" s="331"/>
      <c r="BE6049" s="333"/>
      <c r="BF6049" s="330"/>
      <c r="BG6049" s="333"/>
      <c r="BH6049" s="1119"/>
      <c r="BI6049" s="319"/>
      <c r="BJ6049" s="319"/>
      <c r="BK6049" s="319"/>
      <c r="BL6049" s="319"/>
      <c r="BM6049" s="319"/>
      <c r="BN6049" s="319"/>
      <c r="BO6049" s="319"/>
      <c r="BP6049" s="953"/>
      <c r="BQ6049" s="319"/>
      <c r="BR6049" s="319"/>
      <c r="BS6049" s="330"/>
      <c r="BT6049" s="331"/>
      <c r="BU6049" s="920"/>
      <c r="BV6049" s="903"/>
      <c r="BW6049" s="908"/>
      <c r="BX6049" s="908"/>
      <c r="BY6049" s="331"/>
      <c r="BZ6049" s="331"/>
      <c r="CA6049" s="462"/>
      <c r="CB6049" s="319"/>
      <c r="CC6049" s="319"/>
      <c r="CD6049" s="319"/>
      <c r="CE6049" s="319"/>
      <c r="CF6049" s="319"/>
      <c r="CG6049" s="319"/>
      <c r="CH6049" s="318"/>
      <c r="CI6049" s="319"/>
      <c r="CJ6049" s="319"/>
      <c r="CK6049" s="342"/>
      <c r="CL6049" s="333"/>
      <c r="CM6049" s="1079"/>
      <c r="CN6049" s="1005"/>
      <c r="CO6049" s="1005"/>
      <c r="CP6049" s="1005"/>
    </row>
    <row r="6050">
      <c r="A6050" s="1257"/>
      <c r="B6050" s="1113"/>
      <c r="C6050" s="1107"/>
      <c r="D6050" s="103"/>
      <c r="E6050" s="1137"/>
      <c r="F6050" s="112"/>
      <c r="G6050" s="1110"/>
      <c r="H6050" s="1138"/>
      <c r="I6050" s="1138"/>
      <c r="J6050" s="1139"/>
      <c r="K6050" s="1111"/>
      <c r="L6050" s="1112"/>
      <c r="M6050" s="1113"/>
      <c r="N6050" s="110"/>
      <c r="O6050" s="1140"/>
      <c r="P6050" s="1115"/>
      <c r="Q6050" s="1116"/>
      <c r="R6050" s="1141"/>
      <c r="S6050" s="1113"/>
      <c r="T6050" s="1143"/>
      <c r="U6050" s="1108"/>
      <c r="V6050" s="1108"/>
      <c r="W6050" s="1108"/>
      <c r="X6050" s="1108"/>
      <c r="Y6050" s="1108"/>
      <c r="Z6050" s="1114"/>
      <c r="AA6050" s="1114"/>
      <c r="AB6050" s="1114"/>
      <c r="AC6050" s="1117"/>
      <c r="AD6050" s="1115"/>
      <c r="AE6050" s="1115"/>
      <c r="AF6050" s="1115"/>
      <c r="AG6050" s="1115"/>
      <c r="AH6050" s="1115"/>
      <c r="AI6050" s="1115"/>
      <c r="AJ6050" s="1117"/>
      <c r="AK6050" s="1118"/>
      <c r="AL6050" s="1115"/>
      <c r="AM6050" s="1115"/>
      <c r="AN6050" s="1115"/>
      <c r="AO6050" s="1115"/>
      <c r="AP6050" s="1115"/>
      <c r="AQ6050" s="1115"/>
      <c r="AR6050" s="1115"/>
      <c r="AS6050" s="1117"/>
      <c r="AT6050" s="1075"/>
      <c r="AU6050" s="1193"/>
      <c r="AV6050" s="330"/>
      <c r="AW6050" s="331"/>
      <c r="AX6050" s="331"/>
      <c r="AY6050" s="331"/>
      <c r="AZ6050" s="331"/>
      <c r="BA6050" s="331"/>
      <c r="BB6050" s="331"/>
      <c r="BC6050" s="331"/>
      <c r="BD6050" s="331"/>
      <c r="BE6050" s="333"/>
      <c r="BF6050" s="330"/>
      <c r="BG6050" s="333"/>
      <c r="BH6050" s="1119"/>
      <c r="BI6050" s="319"/>
      <c r="BJ6050" s="319"/>
      <c r="BK6050" s="319"/>
      <c r="BL6050" s="319"/>
      <c r="BM6050" s="319"/>
      <c r="BN6050" s="319"/>
      <c r="BO6050" s="319"/>
      <c r="BP6050" s="953"/>
      <c r="BQ6050" s="319"/>
      <c r="BR6050" s="319"/>
      <c r="BS6050" s="330"/>
      <c r="BT6050" s="331"/>
      <c r="BU6050" s="920"/>
      <c r="BV6050" s="903"/>
      <c r="BW6050" s="908"/>
      <c r="BX6050" s="908"/>
      <c r="BY6050" s="331"/>
      <c r="BZ6050" s="331"/>
      <c r="CA6050" s="462"/>
      <c r="CB6050" s="319"/>
      <c r="CC6050" s="319"/>
      <c r="CD6050" s="319"/>
      <c r="CE6050" s="319"/>
      <c r="CF6050" s="319"/>
      <c r="CG6050" s="319"/>
      <c r="CH6050" s="318"/>
      <c r="CI6050" s="319"/>
      <c r="CJ6050" s="319"/>
      <c r="CK6050" s="342"/>
      <c r="CL6050" s="333"/>
      <c r="CM6050" s="1079"/>
      <c r="CN6050" s="1005"/>
      <c r="CO6050" s="1005"/>
      <c r="CP6050" s="1005"/>
    </row>
    <row r="6051">
      <c r="A6051" s="1257"/>
      <c r="B6051" s="1113"/>
      <c r="C6051" s="1107"/>
      <c r="D6051" s="103"/>
      <c r="E6051" s="1137"/>
      <c r="F6051" s="112"/>
      <c r="G6051" s="1110"/>
      <c r="H6051" s="1138"/>
      <c r="I6051" s="1138"/>
      <c r="J6051" s="1139"/>
      <c r="K6051" s="1111"/>
      <c r="L6051" s="1112"/>
      <c r="M6051" s="1113"/>
      <c r="N6051" s="110"/>
      <c r="O6051" s="1140"/>
      <c r="P6051" s="1115"/>
      <c r="Q6051" s="1116"/>
      <c r="R6051" s="1141"/>
      <c r="S6051" s="1113"/>
      <c r="T6051" s="1143"/>
      <c r="U6051" s="1108"/>
      <c r="V6051" s="1108"/>
      <c r="W6051" s="1108"/>
      <c r="X6051" s="1108"/>
      <c r="Y6051" s="1108"/>
      <c r="Z6051" s="1114"/>
      <c r="AA6051" s="1114"/>
      <c r="AB6051" s="1114"/>
      <c r="AC6051" s="1117"/>
      <c r="AD6051" s="1115"/>
      <c r="AE6051" s="1115"/>
      <c r="AF6051" s="1115"/>
      <c r="AG6051" s="1115"/>
      <c r="AH6051" s="1115"/>
      <c r="AI6051" s="1115"/>
      <c r="AJ6051" s="1117"/>
      <c r="AK6051" s="1118"/>
      <c r="AL6051" s="1115"/>
      <c r="AM6051" s="1115"/>
      <c r="AN6051" s="1115"/>
      <c r="AO6051" s="1115"/>
      <c r="AP6051" s="1115"/>
      <c r="AQ6051" s="1115"/>
      <c r="AR6051" s="1115"/>
      <c r="AS6051" s="1117"/>
      <c r="AT6051" s="1075"/>
      <c r="AU6051" s="1193"/>
      <c r="AV6051" s="330"/>
      <c r="AW6051" s="331"/>
      <c r="AX6051" s="331"/>
      <c r="AY6051" s="331"/>
      <c r="AZ6051" s="331"/>
      <c r="BA6051" s="331"/>
      <c r="BB6051" s="331"/>
      <c r="BC6051" s="331"/>
      <c r="BD6051" s="331"/>
      <c r="BE6051" s="333"/>
      <c r="BF6051" s="330"/>
      <c r="BG6051" s="333"/>
      <c r="BH6051" s="1119"/>
      <c r="BI6051" s="319"/>
      <c r="BJ6051" s="319"/>
      <c r="BK6051" s="319"/>
      <c r="BL6051" s="319"/>
      <c r="BM6051" s="319"/>
      <c r="BN6051" s="319"/>
      <c r="BO6051" s="319"/>
      <c r="BP6051" s="953"/>
      <c r="BQ6051" s="319"/>
      <c r="BR6051" s="319"/>
      <c r="BS6051" s="330"/>
      <c r="BT6051" s="331"/>
      <c r="BU6051" s="920"/>
      <c r="BV6051" s="903"/>
      <c r="BW6051" s="908"/>
      <c r="BX6051" s="908"/>
      <c r="BY6051" s="331"/>
      <c r="BZ6051" s="331"/>
      <c r="CA6051" s="462"/>
      <c r="CB6051" s="319"/>
      <c r="CC6051" s="319"/>
      <c r="CD6051" s="319"/>
      <c r="CE6051" s="319"/>
      <c r="CF6051" s="319"/>
      <c r="CG6051" s="319"/>
      <c r="CH6051" s="318"/>
      <c r="CI6051" s="319"/>
      <c r="CJ6051" s="319"/>
      <c r="CK6051" s="342"/>
      <c r="CL6051" s="333"/>
      <c r="CM6051" s="1079"/>
      <c r="CN6051" s="1005"/>
      <c r="CO6051" s="1005"/>
      <c r="CP6051" s="1005"/>
    </row>
    <row r="6052">
      <c r="A6052" s="1257"/>
      <c r="B6052" s="1113"/>
      <c r="C6052" s="1107"/>
      <c r="D6052" s="103"/>
      <c r="E6052" s="1137"/>
      <c r="F6052" s="112"/>
      <c r="G6052" s="1110"/>
      <c r="H6052" s="1138"/>
      <c r="I6052" s="1138"/>
      <c r="J6052" s="1139"/>
      <c r="K6052" s="1111"/>
      <c r="L6052" s="1112"/>
      <c r="M6052" s="1113"/>
      <c r="N6052" s="110"/>
      <c r="O6052" s="1140"/>
      <c r="P6052" s="1115"/>
      <c r="Q6052" s="1116"/>
      <c r="R6052" s="1141"/>
      <c r="S6052" s="1113"/>
      <c r="T6052" s="1143"/>
      <c r="U6052" s="1108"/>
      <c r="V6052" s="1108"/>
      <c r="W6052" s="1108"/>
      <c r="X6052" s="1108"/>
      <c r="Y6052" s="1108"/>
      <c r="Z6052" s="1114"/>
      <c r="AA6052" s="1114"/>
      <c r="AB6052" s="1114"/>
      <c r="AC6052" s="1117"/>
      <c r="AD6052" s="1115"/>
      <c r="AE6052" s="1115"/>
      <c r="AF6052" s="1115"/>
      <c r="AG6052" s="1115"/>
      <c r="AH6052" s="1115"/>
      <c r="AI6052" s="1115"/>
      <c r="AJ6052" s="1117"/>
      <c r="AK6052" s="1118"/>
      <c r="AL6052" s="1115"/>
      <c r="AM6052" s="1115"/>
      <c r="AN6052" s="1115"/>
      <c r="AO6052" s="1115"/>
      <c r="AP6052" s="1115"/>
      <c r="AQ6052" s="1115"/>
      <c r="AR6052" s="1115"/>
      <c r="AS6052" s="1117"/>
      <c r="AT6052" s="1075"/>
      <c r="AU6052" s="1193"/>
      <c r="AV6052" s="330"/>
      <c r="AW6052" s="331"/>
      <c r="AX6052" s="331"/>
      <c r="AY6052" s="331"/>
      <c r="AZ6052" s="331"/>
      <c r="BA6052" s="331"/>
      <c r="BB6052" s="331"/>
      <c r="BC6052" s="331"/>
      <c r="BD6052" s="331"/>
      <c r="BE6052" s="333"/>
      <c r="BF6052" s="330"/>
      <c r="BG6052" s="333"/>
      <c r="BH6052" s="1119"/>
      <c r="BI6052" s="319"/>
      <c r="BJ6052" s="319"/>
      <c r="BK6052" s="319"/>
      <c r="BL6052" s="319"/>
      <c r="BM6052" s="319"/>
      <c r="BN6052" s="319"/>
      <c r="BO6052" s="319"/>
      <c r="BP6052" s="953"/>
      <c r="BQ6052" s="319"/>
      <c r="BR6052" s="319"/>
      <c r="BS6052" s="330"/>
      <c r="BT6052" s="331"/>
      <c r="BU6052" s="920"/>
      <c r="BV6052" s="903"/>
      <c r="BW6052" s="908"/>
      <c r="BX6052" s="908"/>
      <c r="BY6052" s="331"/>
      <c r="BZ6052" s="331"/>
      <c r="CA6052" s="462"/>
      <c r="CB6052" s="319"/>
      <c r="CC6052" s="319"/>
      <c r="CD6052" s="319"/>
      <c r="CE6052" s="319"/>
      <c r="CF6052" s="319"/>
      <c r="CG6052" s="319"/>
      <c r="CH6052" s="318"/>
      <c r="CI6052" s="319"/>
      <c r="CJ6052" s="319"/>
      <c r="CK6052" s="342"/>
      <c r="CL6052" s="333"/>
      <c r="CM6052" s="1079"/>
      <c r="CN6052" s="1005"/>
      <c r="CO6052" s="1005"/>
      <c r="CP6052" s="1005"/>
    </row>
    <row r="6053">
      <c r="A6053" s="1257"/>
      <c r="B6053" s="1113"/>
      <c r="C6053" s="1107"/>
      <c r="D6053" s="103"/>
      <c r="E6053" s="1137"/>
      <c r="F6053" s="112"/>
      <c r="G6053" s="1110"/>
      <c r="H6053" s="1138"/>
      <c r="I6053" s="1138"/>
      <c r="J6053" s="1139"/>
      <c r="K6053" s="1111"/>
      <c r="L6053" s="1112"/>
      <c r="M6053" s="1113"/>
      <c r="N6053" s="110"/>
      <c r="O6053" s="1140"/>
      <c r="P6053" s="1115"/>
      <c r="Q6053" s="1116"/>
      <c r="R6053" s="1141"/>
      <c r="S6053" s="1113"/>
      <c r="T6053" s="1143"/>
      <c r="U6053" s="1108"/>
      <c r="V6053" s="1108"/>
      <c r="W6053" s="1108"/>
      <c r="X6053" s="1108"/>
      <c r="Y6053" s="1108"/>
      <c r="Z6053" s="1114"/>
      <c r="AA6053" s="1114"/>
      <c r="AB6053" s="1114"/>
      <c r="AC6053" s="1117"/>
      <c r="AD6053" s="1115"/>
      <c r="AE6053" s="1115"/>
      <c r="AF6053" s="1115"/>
      <c r="AG6053" s="1115"/>
      <c r="AH6053" s="1115"/>
      <c r="AI6053" s="1115"/>
      <c r="AJ6053" s="1117"/>
      <c r="AK6053" s="1118"/>
      <c r="AL6053" s="1115"/>
      <c r="AM6053" s="1115"/>
      <c r="AN6053" s="1115"/>
      <c r="AO6053" s="1115"/>
      <c r="AP6053" s="1115"/>
      <c r="AQ6053" s="1115"/>
      <c r="AR6053" s="1115"/>
      <c r="AS6053" s="1117"/>
      <c r="AT6053" s="1075"/>
      <c r="AU6053" s="1193"/>
      <c r="AV6053" s="330"/>
      <c r="AW6053" s="331"/>
      <c r="AX6053" s="331"/>
      <c r="AY6053" s="331"/>
      <c r="AZ6053" s="331"/>
      <c r="BA6053" s="331"/>
      <c r="BB6053" s="331"/>
      <c r="BC6053" s="331"/>
      <c r="BD6053" s="331"/>
      <c r="BE6053" s="333"/>
      <c r="BF6053" s="330"/>
      <c r="BG6053" s="333"/>
      <c r="BH6053" s="1119"/>
      <c r="BI6053" s="319"/>
      <c r="BJ6053" s="319"/>
      <c r="BK6053" s="319"/>
      <c r="BL6053" s="319"/>
      <c r="BM6053" s="319"/>
      <c r="BN6053" s="319"/>
      <c r="BO6053" s="319"/>
      <c r="BP6053" s="953"/>
      <c r="BQ6053" s="319"/>
      <c r="BR6053" s="319"/>
      <c r="BS6053" s="330"/>
      <c r="BT6053" s="331"/>
      <c r="BU6053" s="920"/>
      <c r="BV6053" s="903"/>
      <c r="BW6053" s="908"/>
      <c r="BX6053" s="908"/>
      <c r="BY6053" s="331"/>
      <c r="BZ6053" s="331"/>
      <c r="CA6053" s="462"/>
      <c r="CB6053" s="319"/>
      <c r="CC6053" s="319"/>
      <c r="CD6053" s="319"/>
      <c r="CE6053" s="319"/>
      <c r="CF6053" s="319"/>
      <c r="CG6053" s="319"/>
      <c r="CH6053" s="318"/>
      <c r="CI6053" s="319"/>
      <c r="CJ6053" s="319"/>
      <c r="CK6053" s="342"/>
      <c r="CL6053" s="333"/>
      <c r="CM6053" s="1079"/>
      <c r="CN6053" s="1005"/>
      <c r="CO6053" s="1005"/>
      <c r="CP6053" s="1005"/>
    </row>
    <row r="6054">
      <c r="A6054" s="1257"/>
      <c r="B6054" s="1113"/>
      <c r="C6054" s="1107"/>
      <c r="D6054" s="103"/>
      <c r="E6054" s="1137"/>
      <c r="F6054" s="112"/>
      <c r="G6054" s="1110"/>
      <c r="H6054" s="1138"/>
      <c r="I6054" s="1138"/>
      <c r="J6054" s="1139"/>
      <c r="K6054" s="1111"/>
      <c r="L6054" s="1112"/>
      <c r="M6054" s="1113"/>
      <c r="N6054" s="110"/>
      <c r="O6054" s="1140"/>
      <c r="P6054" s="1115"/>
      <c r="Q6054" s="1116"/>
      <c r="R6054" s="1141"/>
      <c r="S6054" s="1113"/>
      <c r="T6054" s="1143"/>
      <c r="U6054" s="1108"/>
      <c r="V6054" s="1108"/>
      <c r="W6054" s="1108"/>
      <c r="X6054" s="1108"/>
      <c r="Y6054" s="1108"/>
      <c r="Z6054" s="1114"/>
      <c r="AA6054" s="1114"/>
      <c r="AB6054" s="1114"/>
      <c r="AC6054" s="1117"/>
      <c r="AD6054" s="1115"/>
      <c r="AE6054" s="1115"/>
      <c r="AF6054" s="1115"/>
      <c r="AG6054" s="1115"/>
      <c r="AH6054" s="1115"/>
      <c r="AI6054" s="1115"/>
      <c r="AJ6054" s="1117"/>
      <c r="AK6054" s="1118"/>
      <c r="AL6054" s="1115"/>
      <c r="AM6054" s="1115"/>
      <c r="AN6054" s="1115"/>
      <c r="AO6054" s="1115"/>
      <c r="AP6054" s="1115"/>
      <c r="AQ6054" s="1115"/>
      <c r="AR6054" s="1115"/>
      <c r="AS6054" s="1117"/>
      <c r="AT6054" s="1075"/>
      <c r="AU6054" s="1193"/>
      <c r="AV6054" s="330"/>
      <c r="AW6054" s="331"/>
      <c r="AX6054" s="331"/>
      <c r="AY6054" s="331"/>
      <c r="AZ6054" s="331"/>
      <c r="BA6054" s="331"/>
      <c r="BB6054" s="331"/>
      <c r="BC6054" s="331"/>
      <c r="BD6054" s="331"/>
      <c r="BE6054" s="333"/>
      <c r="BF6054" s="330"/>
      <c r="BG6054" s="333"/>
      <c r="BH6054" s="1119"/>
      <c r="BI6054" s="319"/>
      <c r="BJ6054" s="319"/>
      <c r="BK6054" s="319"/>
      <c r="BL6054" s="319"/>
      <c r="BM6054" s="319"/>
      <c r="BN6054" s="319"/>
      <c r="BO6054" s="319"/>
      <c r="BP6054" s="953"/>
      <c r="BQ6054" s="319"/>
      <c r="BR6054" s="319"/>
      <c r="BS6054" s="330"/>
      <c r="BT6054" s="331"/>
      <c r="BU6054" s="920"/>
      <c r="BV6054" s="903"/>
      <c r="BW6054" s="908"/>
      <c r="BX6054" s="908"/>
      <c r="BY6054" s="331"/>
      <c r="BZ6054" s="331"/>
      <c r="CA6054" s="462"/>
      <c r="CB6054" s="319"/>
      <c r="CC6054" s="319"/>
      <c r="CD6054" s="319"/>
      <c r="CE6054" s="319"/>
      <c r="CF6054" s="319"/>
      <c r="CG6054" s="319"/>
      <c r="CH6054" s="318"/>
      <c r="CI6054" s="319"/>
      <c r="CJ6054" s="319"/>
      <c r="CK6054" s="342"/>
      <c r="CL6054" s="333"/>
      <c r="CM6054" s="1079"/>
      <c r="CN6054" s="1005"/>
      <c r="CO6054" s="1005"/>
      <c r="CP6054" s="1005"/>
    </row>
    <row r="6055">
      <c r="A6055" s="1257"/>
      <c r="B6055" s="1113"/>
      <c r="C6055" s="1107"/>
      <c r="D6055" s="103"/>
      <c r="E6055" s="1137"/>
      <c r="F6055" s="112"/>
      <c r="G6055" s="1110"/>
      <c r="H6055" s="1138"/>
      <c r="I6055" s="1138"/>
      <c r="J6055" s="1139"/>
      <c r="K6055" s="1111"/>
      <c r="L6055" s="1112"/>
      <c r="M6055" s="1113"/>
      <c r="N6055" s="110"/>
      <c r="O6055" s="1140"/>
      <c r="P6055" s="1115"/>
      <c r="Q6055" s="1116"/>
      <c r="R6055" s="1141"/>
      <c r="S6055" s="1113"/>
      <c r="T6055" s="1143"/>
      <c r="U6055" s="1108"/>
      <c r="V6055" s="1108"/>
      <c r="W6055" s="1108"/>
      <c r="X6055" s="1108"/>
      <c r="Y6055" s="1108"/>
      <c r="Z6055" s="1114"/>
      <c r="AA6055" s="1114"/>
      <c r="AB6055" s="1114"/>
      <c r="AC6055" s="1117"/>
      <c r="AD6055" s="1115"/>
      <c r="AE6055" s="1115"/>
      <c r="AF6055" s="1115"/>
      <c r="AG6055" s="1115"/>
      <c r="AH6055" s="1115"/>
      <c r="AI6055" s="1115"/>
      <c r="AJ6055" s="1117"/>
      <c r="AK6055" s="1118"/>
      <c r="AL6055" s="1115"/>
      <c r="AM6055" s="1115"/>
      <c r="AN6055" s="1115"/>
      <c r="AO6055" s="1115"/>
      <c r="AP6055" s="1115"/>
      <c r="AQ6055" s="1115"/>
      <c r="AR6055" s="1115"/>
      <c r="AS6055" s="1117"/>
      <c r="AT6055" s="1075"/>
      <c r="AU6055" s="1193"/>
      <c r="AV6055" s="330"/>
      <c r="AW6055" s="331"/>
      <c r="AX6055" s="331"/>
      <c r="AY6055" s="331"/>
      <c r="AZ6055" s="331"/>
      <c r="BA6055" s="331"/>
      <c r="BB6055" s="331"/>
      <c r="BC6055" s="331"/>
      <c r="BD6055" s="331"/>
      <c r="BE6055" s="333"/>
      <c r="BF6055" s="330"/>
      <c r="BG6055" s="333"/>
      <c r="BH6055" s="1119"/>
      <c r="BI6055" s="319"/>
      <c r="BJ6055" s="319"/>
      <c r="BK6055" s="319"/>
      <c r="BL6055" s="319"/>
      <c r="BM6055" s="319"/>
      <c r="BN6055" s="319"/>
      <c r="BO6055" s="319"/>
      <c r="BP6055" s="953"/>
      <c r="BQ6055" s="319"/>
      <c r="BR6055" s="319"/>
      <c r="BS6055" s="330"/>
      <c r="BT6055" s="331"/>
      <c r="BU6055" s="920"/>
      <c r="BV6055" s="903"/>
      <c r="BW6055" s="908"/>
      <c r="BX6055" s="908"/>
      <c r="BY6055" s="331"/>
      <c r="BZ6055" s="331"/>
      <c r="CA6055" s="462"/>
      <c r="CB6055" s="319"/>
      <c r="CC6055" s="319"/>
      <c r="CD6055" s="319"/>
      <c r="CE6055" s="319"/>
      <c r="CF6055" s="319"/>
      <c r="CG6055" s="319"/>
      <c r="CH6055" s="318"/>
      <c r="CI6055" s="319"/>
      <c r="CJ6055" s="319"/>
      <c r="CK6055" s="342"/>
      <c r="CL6055" s="333"/>
      <c r="CM6055" s="1079"/>
      <c r="CN6055" s="1005"/>
      <c r="CO6055" s="1005"/>
      <c r="CP6055" s="1005"/>
    </row>
    <row r="6056">
      <c r="A6056" s="1257"/>
      <c r="B6056" s="1113"/>
      <c r="C6056" s="1107"/>
      <c r="D6056" s="103"/>
      <c r="E6056" s="1137"/>
      <c r="F6056" s="112"/>
      <c r="G6056" s="1110"/>
      <c r="H6056" s="1138"/>
      <c r="I6056" s="1138"/>
      <c r="J6056" s="1139"/>
      <c r="K6056" s="1111"/>
      <c r="L6056" s="1112"/>
      <c r="M6056" s="1113"/>
      <c r="N6056" s="110"/>
      <c r="O6056" s="1140"/>
      <c r="P6056" s="1115"/>
      <c r="Q6056" s="1116"/>
      <c r="R6056" s="1141"/>
      <c r="S6056" s="1113"/>
      <c r="T6056" s="1143"/>
      <c r="U6056" s="1108"/>
      <c r="V6056" s="1108"/>
      <c r="W6056" s="1108"/>
      <c r="X6056" s="1108"/>
      <c r="Y6056" s="1108"/>
      <c r="Z6056" s="1114"/>
      <c r="AA6056" s="1114"/>
      <c r="AB6056" s="1114"/>
      <c r="AC6056" s="1117"/>
      <c r="AD6056" s="1115"/>
      <c r="AE6056" s="1115"/>
      <c r="AF6056" s="1115"/>
      <c r="AG6056" s="1115"/>
      <c r="AH6056" s="1115"/>
      <c r="AI6056" s="1115"/>
      <c r="AJ6056" s="1117"/>
      <c r="AK6056" s="1118"/>
      <c r="AL6056" s="1115"/>
      <c r="AM6056" s="1115"/>
      <c r="AN6056" s="1115"/>
      <c r="AO6056" s="1115"/>
      <c r="AP6056" s="1115"/>
      <c r="AQ6056" s="1115"/>
      <c r="AR6056" s="1115"/>
      <c r="AS6056" s="1117"/>
      <c r="AT6056" s="1075"/>
      <c r="AU6056" s="1193"/>
      <c r="AV6056" s="330"/>
      <c r="AW6056" s="331"/>
      <c r="AX6056" s="331"/>
      <c r="AY6056" s="331"/>
      <c r="AZ6056" s="331"/>
      <c r="BA6056" s="331"/>
      <c r="BB6056" s="331"/>
      <c r="BC6056" s="331"/>
      <c r="BD6056" s="331"/>
      <c r="BE6056" s="333"/>
      <c r="BF6056" s="330"/>
      <c r="BG6056" s="333"/>
      <c r="BH6056" s="1119"/>
      <c r="BI6056" s="319"/>
      <c r="BJ6056" s="319"/>
      <c r="BK6056" s="319"/>
      <c r="BL6056" s="319"/>
      <c r="BM6056" s="319"/>
      <c r="BN6056" s="319"/>
      <c r="BO6056" s="319"/>
      <c r="BP6056" s="953"/>
      <c r="BQ6056" s="319"/>
      <c r="BR6056" s="319"/>
      <c r="BS6056" s="330"/>
      <c r="BT6056" s="331"/>
      <c r="BU6056" s="920"/>
      <c r="BV6056" s="903"/>
      <c r="BW6056" s="908"/>
      <c r="BX6056" s="908"/>
      <c r="BY6056" s="331"/>
      <c r="BZ6056" s="331"/>
      <c r="CA6056" s="462"/>
      <c r="CB6056" s="319"/>
      <c r="CC6056" s="319"/>
      <c r="CD6056" s="319"/>
      <c r="CE6056" s="319"/>
      <c r="CF6056" s="319"/>
      <c r="CG6056" s="319"/>
      <c r="CH6056" s="318"/>
      <c r="CI6056" s="319"/>
      <c r="CJ6056" s="319"/>
      <c r="CK6056" s="342"/>
      <c r="CL6056" s="333"/>
      <c r="CM6056" s="1079"/>
      <c r="CN6056" s="1005"/>
      <c r="CO6056" s="1005"/>
      <c r="CP6056" s="1005"/>
    </row>
    <row r="6057">
      <c r="A6057" s="1257"/>
      <c r="B6057" s="1113"/>
      <c r="C6057" s="1107"/>
      <c r="D6057" s="103"/>
      <c r="E6057" s="1137"/>
      <c r="F6057" s="112"/>
      <c r="G6057" s="1110"/>
      <c r="H6057" s="1138"/>
      <c r="I6057" s="1138"/>
      <c r="J6057" s="1139"/>
      <c r="K6057" s="1111"/>
      <c r="L6057" s="1112"/>
      <c r="M6057" s="1113"/>
      <c r="N6057" s="110"/>
      <c r="O6057" s="1140"/>
      <c r="P6057" s="1115"/>
      <c r="Q6057" s="1116"/>
      <c r="R6057" s="1141"/>
      <c r="S6057" s="1113"/>
      <c r="T6057" s="1143"/>
      <c r="U6057" s="1108"/>
      <c r="V6057" s="1108"/>
      <c r="W6057" s="1108"/>
      <c r="X6057" s="1108"/>
      <c r="Y6057" s="1108"/>
      <c r="Z6057" s="1114"/>
      <c r="AA6057" s="1114"/>
      <c r="AB6057" s="1114"/>
      <c r="AC6057" s="1117"/>
      <c r="AD6057" s="1115"/>
      <c r="AE6057" s="1115"/>
      <c r="AF6057" s="1115"/>
      <c r="AG6057" s="1115"/>
      <c r="AH6057" s="1115"/>
      <c r="AI6057" s="1115"/>
      <c r="AJ6057" s="1117"/>
      <c r="AK6057" s="1118"/>
      <c r="AL6057" s="1115"/>
      <c r="AM6057" s="1115"/>
      <c r="AN6057" s="1115"/>
      <c r="AO6057" s="1115"/>
      <c r="AP6057" s="1115"/>
      <c r="AQ6057" s="1115"/>
      <c r="AR6057" s="1115"/>
      <c r="AS6057" s="1117"/>
      <c r="AT6057" s="1075"/>
      <c r="AU6057" s="1193"/>
      <c r="AV6057" s="330"/>
      <c r="AW6057" s="331"/>
      <c r="AX6057" s="331"/>
      <c r="AY6057" s="331"/>
      <c r="AZ6057" s="331"/>
      <c r="BA6057" s="331"/>
      <c r="BB6057" s="331"/>
      <c r="BC6057" s="331"/>
      <c r="BD6057" s="331"/>
      <c r="BE6057" s="333"/>
      <c r="BF6057" s="330"/>
      <c r="BG6057" s="333"/>
      <c r="BH6057" s="1119"/>
      <c r="BI6057" s="319"/>
      <c r="BJ6057" s="319"/>
      <c r="BK6057" s="319"/>
      <c r="BL6057" s="319"/>
      <c r="BM6057" s="319"/>
      <c r="BN6057" s="319"/>
      <c r="BO6057" s="319"/>
      <c r="BP6057" s="953"/>
      <c r="BQ6057" s="319"/>
      <c r="BR6057" s="319"/>
      <c r="BS6057" s="330"/>
      <c r="BT6057" s="331"/>
      <c r="BU6057" s="920"/>
      <c r="BV6057" s="903"/>
      <c r="BW6057" s="908"/>
      <c r="BX6057" s="908"/>
      <c r="BY6057" s="331"/>
      <c r="BZ6057" s="331"/>
      <c r="CA6057" s="462"/>
      <c r="CB6057" s="319"/>
      <c r="CC6057" s="319"/>
      <c r="CD6057" s="319"/>
      <c r="CE6057" s="319"/>
      <c r="CF6057" s="319"/>
      <c r="CG6057" s="319"/>
      <c r="CH6057" s="318"/>
      <c r="CI6057" s="319"/>
      <c r="CJ6057" s="319"/>
      <c r="CK6057" s="342"/>
      <c r="CL6057" s="333"/>
      <c r="CM6057" s="1079"/>
      <c r="CN6057" s="1005"/>
      <c r="CO6057" s="1005"/>
      <c r="CP6057" s="1005"/>
    </row>
    <row r="6058">
      <c r="A6058" s="1257"/>
      <c r="B6058" s="1113"/>
      <c r="C6058" s="1107"/>
      <c r="D6058" s="103"/>
      <c r="E6058" s="1137"/>
      <c r="F6058" s="112"/>
      <c r="G6058" s="1110"/>
      <c r="H6058" s="1138"/>
      <c r="I6058" s="1138"/>
      <c r="J6058" s="1139"/>
      <c r="K6058" s="1111"/>
      <c r="L6058" s="1112"/>
      <c r="M6058" s="1113"/>
      <c r="N6058" s="110"/>
      <c r="O6058" s="1140"/>
      <c r="P6058" s="1115"/>
      <c r="Q6058" s="1116"/>
      <c r="R6058" s="1141"/>
      <c r="S6058" s="1113"/>
      <c r="T6058" s="1143"/>
      <c r="U6058" s="1108"/>
      <c r="V6058" s="1108"/>
      <c r="W6058" s="1108"/>
      <c r="X6058" s="1108"/>
      <c r="Y6058" s="1108"/>
      <c r="Z6058" s="1114"/>
      <c r="AA6058" s="1114"/>
      <c r="AB6058" s="1114"/>
      <c r="AC6058" s="1117"/>
      <c r="AD6058" s="1115"/>
      <c r="AE6058" s="1115"/>
      <c r="AF6058" s="1115"/>
      <c r="AG6058" s="1115"/>
      <c r="AH6058" s="1115"/>
      <c r="AI6058" s="1115"/>
      <c r="AJ6058" s="1117"/>
      <c r="AK6058" s="1118"/>
      <c r="AL6058" s="1115"/>
      <c r="AM6058" s="1115"/>
      <c r="AN6058" s="1115"/>
      <c r="AO6058" s="1115"/>
      <c r="AP6058" s="1115"/>
      <c r="AQ6058" s="1115"/>
      <c r="AR6058" s="1115"/>
      <c r="AS6058" s="1117"/>
      <c r="AT6058" s="1075"/>
      <c r="AU6058" s="1193"/>
      <c r="AV6058" s="330"/>
      <c r="AW6058" s="331"/>
      <c r="AX6058" s="331"/>
      <c r="AY6058" s="331"/>
      <c r="AZ6058" s="331"/>
      <c r="BA6058" s="331"/>
      <c r="BB6058" s="331"/>
      <c r="BC6058" s="331"/>
      <c r="BD6058" s="331"/>
      <c r="BE6058" s="333"/>
      <c r="BF6058" s="330"/>
      <c r="BG6058" s="333"/>
      <c r="BH6058" s="1119"/>
      <c r="BI6058" s="319"/>
      <c r="BJ6058" s="319"/>
      <c r="BK6058" s="319"/>
      <c r="BL6058" s="319"/>
      <c r="BM6058" s="319"/>
      <c r="BN6058" s="319"/>
      <c r="BO6058" s="319"/>
      <c r="BP6058" s="953"/>
      <c r="BQ6058" s="319"/>
      <c r="BR6058" s="319"/>
      <c r="BS6058" s="330"/>
      <c r="BT6058" s="331"/>
      <c r="BU6058" s="920"/>
      <c r="BV6058" s="903"/>
      <c r="BW6058" s="908"/>
      <c r="BX6058" s="908"/>
      <c r="BY6058" s="331"/>
      <c r="BZ6058" s="331"/>
      <c r="CA6058" s="462"/>
      <c r="CB6058" s="319"/>
      <c r="CC6058" s="319"/>
      <c r="CD6058" s="319"/>
      <c r="CE6058" s="319"/>
      <c r="CF6058" s="319"/>
      <c r="CG6058" s="319"/>
      <c r="CH6058" s="318"/>
      <c r="CI6058" s="319"/>
      <c r="CJ6058" s="319"/>
      <c r="CK6058" s="342"/>
      <c r="CL6058" s="333"/>
      <c r="CM6058" s="1079"/>
      <c r="CN6058" s="1005"/>
      <c r="CO6058" s="1005"/>
      <c r="CP6058" s="1005"/>
    </row>
    <row r="6059">
      <c r="A6059" s="1257"/>
      <c r="B6059" s="1113"/>
      <c r="C6059" s="1107"/>
      <c r="D6059" s="103"/>
      <c r="E6059" s="1137"/>
      <c r="F6059" s="112"/>
      <c r="G6059" s="1110"/>
      <c r="H6059" s="1138"/>
      <c r="I6059" s="1138"/>
      <c r="J6059" s="1139"/>
      <c r="K6059" s="1111"/>
      <c r="L6059" s="1112"/>
      <c r="M6059" s="1113"/>
      <c r="N6059" s="110"/>
      <c r="O6059" s="1140"/>
      <c r="P6059" s="1115"/>
      <c r="Q6059" s="1116"/>
      <c r="R6059" s="1141"/>
      <c r="S6059" s="1113"/>
      <c r="T6059" s="1143"/>
      <c r="U6059" s="1108"/>
      <c r="V6059" s="1108"/>
      <c r="W6059" s="1108"/>
      <c r="X6059" s="1108"/>
      <c r="Y6059" s="1108"/>
      <c r="Z6059" s="1114"/>
      <c r="AA6059" s="1114"/>
      <c r="AB6059" s="1114"/>
      <c r="AC6059" s="1117"/>
      <c r="AD6059" s="1115"/>
      <c r="AE6059" s="1115"/>
      <c r="AF6059" s="1115"/>
      <c r="AG6059" s="1115"/>
      <c r="AH6059" s="1115"/>
      <c r="AI6059" s="1115"/>
      <c r="AJ6059" s="1117"/>
      <c r="AK6059" s="1118"/>
      <c r="AL6059" s="1115"/>
      <c r="AM6059" s="1115"/>
      <c r="AN6059" s="1115"/>
      <c r="AO6059" s="1115"/>
      <c r="AP6059" s="1115"/>
      <c r="AQ6059" s="1115"/>
      <c r="AR6059" s="1115"/>
      <c r="AS6059" s="1117"/>
      <c r="AT6059" s="1075"/>
      <c r="AU6059" s="1193"/>
      <c r="AV6059" s="330"/>
      <c r="AW6059" s="331"/>
      <c r="AX6059" s="331"/>
      <c r="AY6059" s="331"/>
      <c r="AZ6059" s="331"/>
      <c r="BA6059" s="331"/>
      <c r="BB6059" s="331"/>
      <c r="BC6059" s="331"/>
      <c r="BD6059" s="331"/>
      <c r="BE6059" s="333"/>
      <c r="BF6059" s="330"/>
      <c r="BG6059" s="333"/>
      <c r="BH6059" s="1119"/>
      <c r="BI6059" s="319"/>
      <c r="BJ6059" s="319"/>
      <c r="BK6059" s="319"/>
      <c r="BL6059" s="319"/>
      <c r="BM6059" s="319"/>
      <c r="BN6059" s="319"/>
      <c r="BO6059" s="319"/>
      <c r="BP6059" s="953"/>
      <c r="BQ6059" s="319"/>
      <c r="BR6059" s="319"/>
      <c r="BS6059" s="330"/>
      <c r="BT6059" s="331"/>
      <c r="BU6059" s="920"/>
      <c r="BV6059" s="903"/>
      <c r="BW6059" s="908"/>
      <c r="BX6059" s="908"/>
      <c r="BY6059" s="331"/>
      <c r="BZ6059" s="331"/>
      <c r="CA6059" s="462"/>
      <c r="CB6059" s="319"/>
      <c r="CC6059" s="319"/>
      <c r="CD6059" s="319"/>
      <c r="CE6059" s="319"/>
      <c r="CF6059" s="319"/>
      <c r="CG6059" s="319"/>
      <c r="CH6059" s="318"/>
      <c r="CI6059" s="319"/>
      <c r="CJ6059" s="319"/>
      <c r="CK6059" s="342"/>
      <c r="CL6059" s="333"/>
      <c r="CM6059" s="1079"/>
      <c r="CN6059" s="1005"/>
      <c r="CO6059" s="1005"/>
      <c r="CP6059" s="1005"/>
    </row>
    <row r="6060">
      <c r="A6060" s="1257"/>
      <c r="B6060" s="1113"/>
      <c r="C6060" s="1107"/>
      <c r="D6060" s="103"/>
      <c r="E6060" s="1137"/>
      <c r="F6060" s="112"/>
      <c r="G6060" s="1110"/>
      <c r="H6060" s="1138"/>
      <c r="I6060" s="1138"/>
      <c r="J6060" s="1139"/>
      <c r="K6060" s="1111"/>
      <c r="L6060" s="1112"/>
      <c r="M6060" s="1113"/>
      <c r="N6060" s="110"/>
      <c r="O6060" s="1140"/>
      <c r="P6060" s="1115"/>
      <c r="Q6060" s="1116"/>
      <c r="R6060" s="1141"/>
      <c r="S6060" s="1113"/>
      <c r="T6060" s="1143"/>
      <c r="U6060" s="1108"/>
      <c r="V6060" s="1108"/>
      <c r="W6060" s="1108"/>
      <c r="X6060" s="1108"/>
      <c r="Y6060" s="1108"/>
      <c r="Z6060" s="1114"/>
      <c r="AA6060" s="1114"/>
      <c r="AB6060" s="1114"/>
      <c r="AC6060" s="1117"/>
      <c r="AD6060" s="1115"/>
      <c r="AE6060" s="1115"/>
      <c r="AF6060" s="1115"/>
      <c r="AG6060" s="1115"/>
      <c r="AH6060" s="1115"/>
      <c r="AI6060" s="1115"/>
      <c r="AJ6060" s="1117"/>
      <c r="AK6060" s="1118"/>
      <c r="AL6060" s="1115"/>
      <c r="AM6060" s="1115"/>
      <c r="AN6060" s="1115"/>
      <c r="AO6060" s="1115"/>
      <c r="AP6060" s="1115"/>
      <c r="AQ6060" s="1115"/>
      <c r="AR6060" s="1115"/>
      <c r="AS6060" s="1117"/>
      <c r="AT6060" s="1075"/>
      <c r="AU6060" s="1193"/>
      <c r="AV6060" s="330"/>
      <c r="AW6060" s="331"/>
      <c r="AX6060" s="331"/>
      <c r="AY6060" s="331"/>
      <c r="AZ6060" s="331"/>
      <c r="BA6060" s="331"/>
      <c r="BB6060" s="331"/>
      <c r="BC6060" s="331"/>
      <c r="BD6060" s="331"/>
      <c r="BE6060" s="333"/>
      <c r="BF6060" s="330"/>
      <c r="BG6060" s="333"/>
      <c r="BH6060" s="1119"/>
      <c r="BI6060" s="319"/>
      <c r="BJ6060" s="319"/>
      <c r="BK6060" s="319"/>
      <c r="BL6060" s="319"/>
      <c r="BM6060" s="319"/>
      <c r="BN6060" s="319"/>
      <c r="BO6060" s="319"/>
      <c r="BP6060" s="953"/>
      <c r="BQ6060" s="319"/>
      <c r="BR6060" s="319"/>
      <c r="BS6060" s="330"/>
      <c r="BT6060" s="331"/>
      <c r="BU6060" s="920"/>
      <c r="BV6060" s="903"/>
      <c r="BW6060" s="908"/>
      <c r="BX6060" s="908"/>
      <c r="BY6060" s="331"/>
      <c r="BZ6060" s="331"/>
      <c r="CA6060" s="462"/>
      <c r="CB6060" s="319"/>
      <c r="CC6060" s="319"/>
      <c r="CD6060" s="319"/>
      <c r="CE6060" s="319"/>
      <c r="CF6060" s="319"/>
      <c r="CG6060" s="319"/>
      <c r="CH6060" s="318"/>
      <c r="CI6060" s="319"/>
      <c r="CJ6060" s="319"/>
      <c r="CK6060" s="342"/>
      <c r="CL6060" s="333"/>
      <c r="CM6060" s="1079"/>
      <c r="CN6060" s="1005"/>
      <c r="CO6060" s="1005"/>
      <c r="CP6060" s="1005"/>
    </row>
    <row r="6061">
      <c r="A6061" s="1257"/>
      <c r="B6061" s="1113"/>
      <c r="C6061" s="1107"/>
      <c r="D6061" s="103"/>
      <c r="E6061" s="1137"/>
      <c r="F6061" s="112"/>
      <c r="G6061" s="1110"/>
      <c r="H6061" s="1138"/>
      <c r="I6061" s="1138"/>
      <c r="J6061" s="1139"/>
      <c r="K6061" s="1111"/>
      <c r="L6061" s="1112"/>
      <c r="M6061" s="1113"/>
      <c r="N6061" s="110"/>
      <c r="O6061" s="1140"/>
      <c r="P6061" s="1115"/>
      <c r="Q6061" s="1116"/>
      <c r="R6061" s="1141"/>
      <c r="S6061" s="1113"/>
      <c r="T6061" s="1143"/>
      <c r="U6061" s="1108"/>
      <c r="V6061" s="1108"/>
      <c r="W6061" s="1108"/>
      <c r="X6061" s="1108"/>
      <c r="Y6061" s="1108"/>
      <c r="Z6061" s="1114"/>
      <c r="AA6061" s="1114"/>
      <c r="AB6061" s="1114"/>
      <c r="AC6061" s="1117"/>
      <c r="AD6061" s="1115"/>
      <c r="AE6061" s="1115"/>
      <c r="AF6061" s="1115"/>
      <c r="AG6061" s="1115"/>
      <c r="AH6061" s="1115"/>
      <c r="AI6061" s="1115"/>
      <c r="AJ6061" s="1117"/>
      <c r="AK6061" s="1118"/>
      <c r="AL6061" s="1115"/>
      <c r="AM6061" s="1115"/>
      <c r="AN6061" s="1115"/>
      <c r="AO6061" s="1115"/>
      <c r="AP6061" s="1115"/>
      <c r="AQ6061" s="1115"/>
      <c r="AR6061" s="1115"/>
      <c r="AS6061" s="1117"/>
      <c r="AT6061" s="1075"/>
      <c r="AU6061" s="1193"/>
      <c r="AV6061" s="330"/>
      <c r="AW6061" s="331"/>
      <c r="AX6061" s="331"/>
      <c r="AY6061" s="331"/>
      <c r="AZ6061" s="331"/>
      <c r="BA6061" s="331"/>
      <c r="BB6061" s="331"/>
      <c r="BC6061" s="331"/>
      <c r="BD6061" s="331"/>
      <c r="BE6061" s="333"/>
      <c r="BF6061" s="330"/>
      <c r="BG6061" s="333"/>
      <c r="BH6061" s="1119"/>
      <c r="BI6061" s="319"/>
      <c r="BJ6061" s="319"/>
      <c r="BK6061" s="319"/>
      <c r="BL6061" s="319"/>
      <c r="BM6061" s="319"/>
      <c r="BN6061" s="319"/>
      <c r="BO6061" s="319"/>
      <c r="BP6061" s="953"/>
      <c r="BQ6061" s="319"/>
      <c r="BR6061" s="319"/>
      <c r="BS6061" s="330"/>
      <c r="BT6061" s="331"/>
      <c r="BU6061" s="920"/>
      <c r="BV6061" s="903"/>
      <c r="BW6061" s="908"/>
      <c r="BX6061" s="908"/>
      <c r="BY6061" s="331"/>
      <c r="BZ6061" s="331"/>
      <c r="CA6061" s="462"/>
      <c r="CB6061" s="319"/>
      <c r="CC6061" s="319"/>
      <c r="CD6061" s="319"/>
      <c r="CE6061" s="319"/>
      <c r="CF6061" s="319"/>
      <c r="CG6061" s="319"/>
      <c r="CH6061" s="318"/>
      <c r="CI6061" s="319"/>
      <c r="CJ6061" s="319"/>
      <c r="CK6061" s="342"/>
      <c r="CL6061" s="333"/>
      <c r="CM6061" s="1079"/>
      <c r="CN6061" s="1005"/>
      <c r="CO6061" s="1005"/>
      <c r="CP6061" s="1005"/>
    </row>
    <row r="6062">
      <c r="A6062" s="1257"/>
      <c r="B6062" s="1113"/>
      <c r="C6062" s="1107"/>
      <c r="D6062" s="103"/>
      <c r="E6062" s="1137"/>
      <c r="F6062" s="112"/>
      <c r="G6062" s="1110"/>
      <c r="H6062" s="1138"/>
      <c r="I6062" s="1138"/>
      <c r="J6062" s="1139"/>
      <c r="K6062" s="1111"/>
      <c r="L6062" s="1112"/>
      <c r="M6062" s="1113"/>
      <c r="N6062" s="110"/>
      <c r="O6062" s="1140"/>
      <c r="P6062" s="1115"/>
      <c r="Q6062" s="1116"/>
      <c r="R6062" s="1141"/>
      <c r="S6062" s="1113"/>
      <c r="T6062" s="1143"/>
      <c r="U6062" s="1108"/>
      <c r="V6062" s="1108"/>
      <c r="W6062" s="1108"/>
      <c r="X6062" s="1108"/>
      <c r="Y6062" s="1108"/>
      <c r="Z6062" s="1114"/>
      <c r="AA6062" s="1114"/>
      <c r="AB6062" s="1114"/>
      <c r="AC6062" s="1117"/>
      <c r="AD6062" s="1115"/>
      <c r="AE6062" s="1115"/>
      <c r="AF6062" s="1115"/>
      <c r="AG6062" s="1115"/>
      <c r="AH6062" s="1115"/>
      <c r="AI6062" s="1115"/>
      <c r="AJ6062" s="1117"/>
      <c r="AK6062" s="1118"/>
      <c r="AL6062" s="1115"/>
      <c r="AM6062" s="1115"/>
      <c r="AN6062" s="1115"/>
      <c r="AO6062" s="1115"/>
      <c r="AP6062" s="1115"/>
      <c r="AQ6062" s="1115"/>
      <c r="AR6062" s="1115"/>
      <c r="AS6062" s="1117"/>
      <c r="AT6062" s="1075"/>
      <c r="AU6062" s="1193"/>
      <c r="AV6062" s="330"/>
      <c r="AW6062" s="331"/>
      <c r="AX6062" s="331"/>
      <c r="AY6062" s="331"/>
      <c r="AZ6062" s="331"/>
      <c r="BA6062" s="331"/>
      <c r="BB6062" s="331"/>
      <c r="BC6062" s="331"/>
      <c r="BD6062" s="331"/>
      <c r="BE6062" s="333"/>
      <c r="BF6062" s="330"/>
      <c r="BG6062" s="333"/>
      <c r="BH6062" s="1119"/>
      <c r="BI6062" s="319"/>
      <c r="BJ6062" s="319"/>
      <c r="BK6062" s="319"/>
      <c r="BL6062" s="319"/>
      <c r="BM6062" s="319"/>
      <c r="BN6062" s="319"/>
      <c r="BO6062" s="319"/>
      <c r="BP6062" s="953"/>
      <c r="BQ6062" s="319"/>
      <c r="BR6062" s="319"/>
      <c r="BS6062" s="330"/>
      <c r="BT6062" s="331"/>
      <c r="BU6062" s="920"/>
      <c r="BV6062" s="903"/>
      <c r="BW6062" s="908"/>
      <c r="BX6062" s="908"/>
      <c r="BY6062" s="331"/>
      <c r="BZ6062" s="331"/>
      <c r="CA6062" s="462"/>
      <c r="CB6062" s="319"/>
      <c r="CC6062" s="319"/>
      <c r="CD6062" s="319"/>
      <c r="CE6062" s="319"/>
      <c r="CF6062" s="319"/>
      <c r="CG6062" s="319"/>
      <c r="CH6062" s="318"/>
      <c r="CI6062" s="319"/>
      <c r="CJ6062" s="319"/>
      <c r="CK6062" s="342"/>
      <c r="CL6062" s="333"/>
      <c r="CM6062" s="1079"/>
      <c r="CN6062" s="1005"/>
      <c r="CO6062" s="1005"/>
      <c r="CP6062" s="1005"/>
    </row>
    <row r="6063">
      <c r="A6063" s="1257"/>
      <c r="B6063" s="1113"/>
      <c r="C6063" s="1107"/>
      <c r="D6063" s="103"/>
      <c r="E6063" s="1137"/>
      <c r="F6063" s="112"/>
      <c r="G6063" s="1110"/>
      <c r="H6063" s="1138"/>
      <c r="I6063" s="1138"/>
      <c r="J6063" s="1139"/>
      <c r="K6063" s="1111"/>
      <c r="L6063" s="1112"/>
      <c r="M6063" s="1113"/>
      <c r="N6063" s="110"/>
      <c r="O6063" s="1140"/>
      <c r="P6063" s="1115"/>
      <c r="Q6063" s="1116"/>
      <c r="R6063" s="1141"/>
      <c r="S6063" s="1113"/>
      <c r="T6063" s="1143"/>
      <c r="U6063" s="1108"/>
      <c r="V6063" s="1108"/>
      <c r="W6063" s="1108"/>
      <c r="X6063" s="1108"/>
      <c r="Y6063" s="1108"/>
      <c r="Z6063" s="1114"/>
      <c r="AA6063" s="1114"/>
      <c r="AB6063" s="1114"/>
      <c r="AC6063" s="1117"/>
      <c r="AD6063" s="1115"/>
      <c r="AE6063" s="1115"/>
      <c r="AF6063" s="1115"/>
      <c r="AG6063" s="1115"/>
      <c r="AH6063" s="1115"/>
      <c r="AI6063" s="1115"/>
      <c r="AJ6063" s="1117"/>
      <c r="AK6063" s="1118"/>
      <c r="AL6063" s="1115"/>
      <c r="AM6063" s="1115"/>
      <c r="AN6063" s="1115"/>
      <c r="AO6063" s="1115"/>
      <c r="AP6063" s="1115"/>
      <c r="AQ6063" s="1115"/>
      <c r="AR6063" s="1115"/>
      <c r="AS6063" s="1117"/>
      <c r="AT6063" s="1075"/>
      <c r="AU6063" s="1193"/>
      <c r="AV6063" s="330"/>
      <c r="AW6063" s="331"/>
      <c r="AX6063" s="331"/>
      <c r="AY6063" s="331"/>
      <c r="AZ6063" s="331"/>
      <c r="BA6063" s="331"/>
      <c r="BB6063" s="331"/>
      <c r="BC6063" s="331"/>
      <c r="BD6063" s="331"/>
      <c r="BE6063" s="333"/>
      <c r="BF6063" s="330"/>
      <c r="BG6063" s="333"/>
      <c r="BH6063" s="1119"/>
      <c r="BI6063" s="319"/>
      <c r="BJ6063" s="319"/>
      <c r="BK6063" s="319"/>
      <c r="BL6063" s="319"/>
      <c r="BM6063" s="319"/>
      <c r="BN6063" s="319"/>
      <c r="BO6063" s="319"/>
      <c r="BP6063" s="953"/>
      <c r="BQ6063" s="319"/>
      <c r="BR6063" s="319"/>
      <c r="BS6063" s="330"/>
      <c r="BT6063" s="331"/>
      <c r="BU6063" s="920"/>
      <c r="BV6063" s="903"/>
      <c r="BW6063" s="908"/>
      <c r="BX6063" s="908"/>
      <c r="BY6063" s="331"/>
      <c r="BZ6063" s="331"/>
      <c r="CA6063" s="462"/>
      <c r="CB6063" s="319"/>
      <c r="CC6063" s="319"/>
      <c r="CD6063" s="319"/>
      <c r="CE6063" s="319"/>
      <c r="CF6063" s="319"/>
      <c r="CG6063" s="319"/>
      <c r="CH6063" s="318"/>
      <c r="CI6063" s="319"/>
      <c r="CJ6063" s="319"/>
      <c r="CK6063" s="342"/>
      <c r="CL6063" s="333"/>
      <c r="CM6063" s="1079"/>
      <c r="CN6063" s="1005"/>
      <c r="CO6063" s="1005"/>
      <c r="CP6063" s="1005"/>
    </row>
    <row r="6064">
      <c r="A6064" s="1257"/>
      <c r="B6064" s="1113"/>
      <c r="C6064" s="1107"/>
      <c r="D6064" s="103"/>
      <c r="E6064" s="1137"/>
      <c r="F6064" s="112"/>
      <c r="G6064" s="1110"/>
      <c r="H6064" s="1138"/>
      <c r="I6064" s="1138"/>
      <c r="J6064" s="1139"/>
      <c r="K6064" s="1111"/>
      <c r="L6064" s="1112"/>
      <c r="M6064" s="1113"/>
      <c r="N6064" s="110"/>
      <c r="O6064" s="1140"/>
      <c r="P6064" s="1115"/>
      <c r="Q6064" s="1116"/>
      <c r="R6064" s="1141"/>
      <c r="S6064" s="1113"/>
      <c r="T6064" s="1143"/>
      <c r="U6064" s="1108"/>
      <c r="V6064" s="1108"/>
      <c r="W6064" s="1108"/>
      <c r="X6064" s="1108"/>
      <c r="Y6064" s="1108"/>
      <c r="Z6064" s="1114"/>
      <c r="AA6064" s="1114"/>
      <c r="AB6064" s="1114"/>
      <c r="AC6064" s="1117"/>
      <c r="AD6064" s="1115"/>
      <c r="AE6064" s="1115"/>
      <c r="AF6064" s="1115"/>
      <c r="AG6064" s="1115"/>
      <c r="AH6064" s="1115"/>
      <c r="AI6064" s="1115"/>
      <c r="AJ6064" s="1117"/>
      <c r="AK6064" s="1118"/>
      <c r="AL6064" s="1115"/>
      <c r="AM6064" s="1115"/>
      <c r="AN6064" s="1115"/>
      <c r="AO6064" s="1115"/>
      <c r="AP6064" s="1115"/>
      <c r="AQ6064" s="1115"/>
      <c r="AR6064" s="1115"/>
      <c r="AS6064" s="1117"/>
      <c r="AT6064" s="1075"/>
      <c r="AU6064" s="1193"/>
      <c r="AV6064" s="330"/>
      <c r="AW6064" s="331"/>
      <c r="AX6064" s="331"/>
      <c r="AY6064" s="331"/>
      <c r="AZ6064" s="331"/>
      <c r="BA6064" s="331"/>
      <c r="BB6064" s="331"/>
      <c r="BC6064" s="331"/>
      <c r="BD6064" s="331"/>
      <c r="BE6064" s="333"/>
      <c r="BF6064" s="330"/>
      <c r="BG6064" s="333"/>
      <c r="BH6064" s="1119"/>
      <c r="BI6064" s="319"/>
      <c r="BJ6064" s="319"/>
      <c r="BK6064" s="319"/>
      <c r="BL6064" s="319"/>
      <c r="BM6064" s="319"/>
      <c r="BN6064" s="319"/>
      <c r="BO6064" s="319"/>
      <c r="BP6064" s="953"/>
      <c r="BQ6064" s="319"/>
      <c r="BR6064" s="319"/>
      <c r="BS6064" s="330"/>
      <c r="BT6064" s="331"/>
      <c r="BU6064" s="920"/>
      <c r="BV6064" s="903"/>
      <c r="BW6064" s="908"/>
      <c r="BX6064" s="908"/>
      <c r="BY6064" s="331"/>
      <c r="BZ6064" s="331"/>
      <c r="CA6064" s="462"/>
      <c r="CB6064" s="319"/>
      <c r="CC6064" s="319"/>
      <c r="CD6064" s="319"/>
      <c r="CE6064" s="319"/>
      <c r="CF6064" s="319"/>
      <c r="CG6064" s="319"/>
      <c r="CH6064" s="318"/>
      <c r="CI6064" s="319"/>
      <c r="CJ6064" s="319"/>
      <c r="CK6064" s="342"/>
      <c r="CL6064" s="333"/>
      <c r="CM6064" s="1079"/>
      <c r="CN6064" s="1005"/>
      <c r="CO6064" s="1005"/>
      <c r="CP6064" s="1005"/>
    </row>
    <row r="6065">
      <c r="A6065" s="1257"/>
      <c r="B6065" s="1113"/>
      <c r="C6065" s="1107"/>
      <c r="D6065" s="103"/>
      <c r="E6065" s="1137"/>
      <c r="F6065" s="112"/>
      <c r="G6065" s="1110"/>
      <c r="H6065" s="1138"/>
      <c r="I6065" s="1138"/>
      <c r="J6065" s="1139"/>
      <c r="K6065" s="1111"/>
      <c r="L6065" s="1112"/>
      <c r="M6065" s="1113"/>
      <c r="N6065" s="110"/>
      <c r="O6065" s="1140"/>
      <c r="P6065" s="1115"/>
      <c r="Q6065" s="1116"/>
      <c r="R6065" s="1141"/>
      <c r="S6065" s="1113"/>
      <c r="T6065" s="1143"/>
      <c r="U6065" s="1108"/>
      <c r="V6065" s="1108"/>
      <c r="W6065" s="1108"/>
      <c r="X6065" s="1108"/>
      <c r="Y6065" s="1108"/>
      <c r="Z6065" s="1114"/>
      <c r="AA6065" s="1114"/>
      <c r="AB6065" s="1114"/>
      <c r="AC6065" s="1117"/>
      <c r="AD6065" s="1115"/>
      <c r="AE6065" s="1115"/>
      <c r="AF6065" s="1115"/>
      <c r="AG6065" s="1115"/>
      <c r="AH6065" s="1115"/>
      <c r="AI6065" s="1115"/>
      <c r="AJ6065" s="1117"/>
      <c r="AK6065" s="1118"/>
      <c r="AL6065" s="1115"/>
      <c r="AM6065" s="1115"/>
      <c r="AN6065" s="1115"/>
      <c r="AO6065" s="1115"/>
      <c r="AP6065" s="1115"/>
      <c r="AQ6065" s="1115"/>
      <c r="AR6065" s="1115"/>
      <c r="AS6065" s="1117"/>
      <c r="AT6065" s="1075"/>
      <c r="AU6065" s="1193"/>
      <c r="AV6065" s="330"/>
      <c r="AW6065" s="331"/>
      <c r="AX6065" s="331"/>
      <c r="AY6065" s="331"/>
      <c r="AZ6065" s="331"/>
      <c r="BA6065" s="331"/>
      <c r="BB6065" s="331"/>
      <c r="BC6065" s="331"/>
      <c r="BD6065" s="331"/>
      <c r="BE6065" s="333"/>
      <c r="BF6065" s="330"/>
      <c r="BG6065" s="333"/>
      <c r="BH6065" s="1119"/>
      <c r="BI6065" s="319"/>
      <c r="BJ6065" s="319"/>
      <c r="BK6065" s="319"/>
      <c r="BL6065" s="319"/>
      <c r="BM6065" s="319"/>
      <c r="BN6065" s="319"/>
      <c r="BO6065" s="319"/>
      <c r="BP6065" s="953"/>
      <c r="BQ6065" s="319"/>
      <c r="BR6065" s="319"/>
      <c r="BS6065" s="330"/>
      <c r="BT6065" s="331"/>
      <c r="BU6065" s="920"/>
      <c r="BV6065" s="903"/>
      <c r="BW6065" s="908"/>
      <c r="BX6065" s="908"/>
      <c r="BY6065" s="331"/>
      <c r="BZ6065" s="331"/>
      <c r="CA6065" s="462"/>
      <c r="CB6065" s="319"/>
      <c r="CC6065" s="319"/>
      <c r="CD6065" s="319"/>
      <c r="CE6065" s="319"/>
      <c r="CF6065" s="319"/>
      <c r="CG6065" s="319"/>
      <c r="CH6065" s="318"/>
      <c r="CI6065" s="319"/>
      <c r="CJ6065" s="319"/>
      <c r="CK6065" s="342"/>
      <c r="CL6065" s="333"/>
      <c r="CM6065" s="1079"/>
      <c r="CN6065" s="1005"/>
      <c r="CO6065" s="1005"/>
      <c r="CP6065" s="1005"/>
    </row>
    <row r="6066">
      <c r="A6066" s="1257"/>
      <c r="B6066" s="1113"/>
      <c r="C6066" s="1107"/>
      <c r="D6066" s="103"/>
      <c r="E6066" s="1137"/>
      <c r="F6066" s="112"/>
      <c r="G6066" s="1110"/>
      <c r="H6066" s="1138"/>
      <c r="I6066" s="1138"/>
      <c r="J6066" s="1139"/>
      <c r="K6066" s="1111"/>
      <c r="L6066" s="1112"/>
      <c r="M6066" s="1113"/>
      <c r="N6066" s="110"/>
      <c r="O6066" s="1140"/>
      <c r="P6066" s="1115"/>
      <c r="Q6066" s="1116"/>
      <c r="R6066" s="1141"/>
      <c r="S6066" s="1113"/>
      <c r="T6066" s="1143"/>
      <c r="U6066" s="1108"/>
      <c r="V6066" s="1108"/>
      <c r="W6066" s="1108"/>
      <c r="X6066" s="1108"/>
      <c r="Y6066" s="1108"/>
      <c r="Z6066" s="1114"/>
      <c r="AA6066" s="1114"/>
      <c r="AB6066" s="1114"/>
      <c r="AC6066" s="1117"/>
      <c r="AD6066" s="1115"/>
      <c r="AE6066" s="1115"/>
      <c r="AF6066" s="1115"/>
      <c r="AG6066" s="1115"/>
      <c r="AH6066" s="1115"/>
      <c r="AI6066" s="1115"/>
      <c r="AJ6066" s="1117"/>
      <c r="AK6066" s="1118"/>
      <c r="AL6066" s="1115"/>
      <c r="AM6066" s="1115"/>
      <c r="AN6066" s="1115"/>
      <c r="AO6066" s="1115"/>
      <c r="AP6066" s="1115"/>
      <c r="AQ6066" s="1115"/>
      <c r="AR6066" s="1115"/>
      <c r="AS6066" s="1117"/>
      <c r="AT6066" s="1075"/>
      <c r="AU6066" s="1193"/>
      <c r="AV6066" s="330"/>
      <c r="AW6066" s="331"/>
      <c r="AX6066" s="331"/>
      <c r="AY6066" s="331"/>
      <c r="AZ6066" s="331"/>
      <c r="BA6066" s="331"/>
      <c r="BB6066" s="331"/>
      <c r="BC6066" s="331"/>
      <c r="BD6066" s="331"/>
      <c r="BE6066" s="333"/>
      <c r="BF6066" s="330"/>
      <c r="BG6066" s="333"/>
      <c r="BH6066" s="1119"/>
      <c r="BI6066" s="319"/>
      <c r="BJ6066" s="319"/>
      <c r="BK6066" s="319"/>
      <c r="BL6066" s="319"/>
      <c r="BM6066" s="319"/>
      <c r="BN6066" s="319"/>
      <c r="BO6066" s="319"/>
      <c r="BP6066" s="953"/>
      <c r="BQ6066" s="319"/>
      <c r="BR6066" s="319"/>
      <c r="BS6066" s="330"/>
      <c r="BT6066" s="331"/>
      <c r="BU6066" s="920"/>
      <c r="BV6066" s="903"/>
      <c r="BW6066" s="908"/>
      <c r="BX6066" s="908"/>
      <c r="BY6066" s="331"/>
      <c r="BZ6066" s="331"/>
      <c r="CA6066" s="462"/>
      <c r="CB6066" s="319"/>
      <c r="CC6066" s="319"/>
      <c r="CD6066" s="319"/>
      <c r="CE6066" s="319"/>
      <c r="CF6066" s="319"/>
      <c r="CG6066" s="319"/>
      <c r="CH6066" s="318"/>
      <c r="CI6066" s="319"/>
      <c r="CJ6066" s="319"/>
      <c r="CK6066" s="342"/>
      <c r="CL6066" s="333"/>
      <c r="CM6066" s="1079"/>
      <c r="CN6066" s="1005"/>
      <c r="CO6066" s="1005"/>
      <c r="CP6066" s="1005"/>
    </row>
    <row r="6067">
      <c r="A6067" s="1257"/>
      <c r="B6067" s="1113"/>
      <c r="C6067" s="1107"/>
      <c r="D6067" s="103"/>
      <c r="E6067" s="1137"/>
      <c r="F6067" s="112"/>
      <c r="G6067" s="1110"/>
      <c r="H6067" s="1138"/>
      <c r="I6067" s="1138"/>
      <c r="J6067" s="1139"/>
      <c r="K6067" s="1111"/>
      <c r="L6067" s="1112"/>
      <c r="M6067" s="1113"/>
      <c r="N6067" s="110"/>
      <c r="O6067" s="1140"/>
      <c r="P6067" s="1115"/>
      <c r="Q6067" s="1116"/>
      <c r="R6067" s="1141"/>
      <c r="S6067" s="1113"/>
      <c r="T6067" s="1143"/>
      <c r="U6067" s="1108"/>
      <c r="V6067" s="1108"/>
      <c r="W6067" s="1108"/>
      <c r="X6067" s="1108"/>
      <c r="Y6067" s="1108"/>
      <c r="Z6067" s="1114"/>
      <c r="AA6067" s="1114"/>
      <c r="AB6067" s="1114"/>
      <c r="AC6067" s="1117"/>
      <c r="AD6067" s="1115"/>
      <c r="AE6067" s="1115"/>
      <c r="AF6067" s="1115"/>
      <c r="AG6067" s="1115"/>
      <c r="AH6067" s="1115"/>
      <c r="AI6067" s="1115"/>
      <c r="AJ6067" s="1117"/>
      <c r="AK6067" s="1118"/>
      <c r="AL6067" s="1115"/>
      <c r="AM6067" s="1115"/>
      <c r="AN6067" s="1115"/>
      <c r="AO6067" s="1115"/>
      <c r="AP6067" s="1115"/>
      <c r="AQ6067" s="1115"/>
      <c r="AR6067" s="1115"/>
      <c r="AS6067" s="1117"/>
      <c r="AT6067" s="1075"/>
      <c r="AU6067" s="1193"/>
      <c r="AV6067" s="330"/>
      <c r="AW6067" s="331"/>
      <c r="AX6067" s="331"/>
      <c r="AY6067" s="331"/>
      <c r="AZ6067" s="331"/>
      <c r="BA6067" s="331"/>
      <c r="BB6067" s="331"/>
      <c r="BC6067" s="331"/>
      <c r="BD6067" s="331"/>
      <c r="BE6067" s="333"/>
      <c r="BF6067" s="330"/>
      <c r="BG6067" s="333"/>
      <c r="BH6067" s="1119"/>
      <c r="BI6067" s="319"/>
      <c r="BJ6067" s="319"/>
      <c r="BK6067" s="319"/>
      <c r="BL6067" s="319"/>
      <c r="BM6067" s="319"/>
      <c r="BN6067" s="319"/>
      <c r="BO6067" s="319"/>
      <c r="BP6067" s="953"/>
      <c r="BQ6067" s="319"/>
      <c r="BR6067" s="319"/>
      <c r="BS6067" s="330"/>
      <c r="BT6067" s="331"/>
      <c r="BU6067" s="920"/>
      <c r="BV6067" s="903"/>
      <c r="BW6067" s="908"/>
      <c r="BX6067" s="908"/>
      <c r="BY6067" s="331"/>
      <c r="BZ6067" s="331"/>
      <c r="CA6067" s="462"/>
      <c r="CB6067" s="319"/>
      <c r="CC6067" s="319"/>
      <c r="CD6067" s="319"/>
      <c r="CE6067" s="319"/>
      <c r="CF6067" s="319"/>
      <c r="CG6067" s="319"/>
      <c r="CH6067" s="318"/>
      <c r="CI6067" s="319"/>
      <c r="CJ6067" s="319"/>
      <c r="CK6067" s="342"/>
      <c r="CL6067" s="333"/>
      <c r="CM6067" s="1079"/>
      <c r="CN6067" s="1005"/>
      <c r="CO6067" s="1005"/>
      <c r="CP6067" s="1005"/>
    </row>
    <row r="6068">
      <c r="A6068" s="1257"/>
      <c r="B6068" s="1113"/>
      <c r="C6068" s="1107"/>
      <c r="D6068" s="103"/>
      <c r="E6068" s="1137"/>
      <c r="F6068" s="112"/>
      <c r="G6068" s="1110"/>
      <c r="H6068" s="1138"/>
      <c r="I6068" s="1138"/>
      <c r="J6068" s="1139"/>
      <c r="K6068" s="1111"/>
      <c r="L6068" s="1112"/>
      <c r="M6068" s="1113"/>
      <c r="N6068" s="110"/>
      <c r="O6068" s="1140"/>
      <c r="P6068" s="1115"/>
      <c r="Q6068" s="1116"/>
      <c r="R6068" s="1141"/>
      <c r="S6068" s="1113"/>
      <c r="T6068" s="1143"/>
      <c r="U6068" s="1108"/>
      <c r="V6068" s="1108"/>
      <c r="W6068" s="1108"/>
      <c r="X6068" s="1108"/>
      <c r="Y6068" s="1108"/>
      <c r="Z6068" s="1114"/>
      <c r="AA6068" s="1114"/>
      <c r="AB6068" s="1114"/>
      <c r="AC6068" s="1117"/>
      <c r="AD6068" s="1115"/>
      <c r="AE6068" s="1115"/>
      <c r="AF6068" s="1115"/>
      <c r="AG6068" s="1115"/>
      <c r="AH6068" s="1115"/>
      <c r="AI6068" s="1115"/>
      <c r="AJ6068" s="1117"/>
      <c r="AK6068" s="1118"/>
      <c r="AL6068" s="1115"/>
      <c r="AM6068" s="1115"/>
      <c r="AN6068" s="1115"/>
      <c r="AO6068" s="1115"/>
      <c r="AP6068" s="1115"/>
      <c r="AQ6068" s="1115"/>
      <c r="AR6068" s="1115"/>
      <c r="AS6068" s="1117"/>
      <c r="AT6068" s="1075"/>
      <c r="AU6068" s="1193"/>
      <c r="AV6068" s="330"/>
      <c r="AW6068" s="331"/>
      <c r="AX6068" s="331"/>
      <c r="AY6068" s="331"/>
      <c r="AZ6068" s="331"/>
      <c r="BA6068" s="331"/>
      <c r="BB6068" s="331"/>
      <c r="BC6068" s="331"/>
      <c r="BD6068" s="331"/>
      <c r="BE6068" s="333"/>
      <c r="BF6068" s="330"/>
      <c r="BG6068" s="333"/>
      <c r="BH6068" s="1119"/>
      <c r="BI6068" s="319"/>
      <c r="BJ6068" s="319"/>
      <c r="BK6068" s="319"/>
      <c r="BL6068" s="319"/>
      <c r="BM6068" s="319"/>
      <c r="BN6068" s="319"/>
      <c r="BO6068" s="319"/>
      <c r="BP6068" s="953"/>
      <c r="BQ6068" s="319"/>
      <c r="BR6068" s="319"/>
      <c r="BS6068" s="330"/>
      <c r="BT6068" s="331"/>
      <c r="BU6068" s="920"/>
      <c r="BV6068" s="903"/>
      <c r="BW6068" s="908"/>
      <c r="BX6068" s="908"/>
      <c r="BY6068" s="331"/>
      <c r="BZ6068" s="331"/>
      <c r="CA6068" s="462"/>
      <c r="CB6068" s="319"/>
      <c r="CC6068" s="319"/>
      <c r="CD6068" s="319"/>
      <c r="CE6068" s="319"/>
      <c r="CF6068" s="319"/>
      <c r="CG6068" s="319"/>
      <c r="CH6068" s="318"/>
      <c r="CI6068" s="319"/>
      <c r="CJ6068" s="319"/>
      <c r="CK6068" s="342"/>
      <c r="CL6068" s="333"/>
      <c r="CM6068" s="1079"/>
      <c r="CN6068" s="1005"/>
      <c r="CO6068" s="1005"/>
      <c r="CP6068" s="1005"/>
    </row>
    <row r="6069">
      <c r="A6069" s="1257"/>
      <c r="B6069" s="1113"/>
      <c r="C6069" s="1107"/>
      <c r="D6069" s="103"/>
      <c r="E6069" s="1137"/>
      <c r="F6069" s="112"/>
      <c r="G6069" s="1110"/>
      <c r="H6069" s="1138"/>
      <c r="I6069" s="1138"/>
      <c r="J6069" s="1139"/>
      <c r="K6069" s="1111"/>
      <c r="L6069" s="1112"/>
      <c r="M6069" s="1113"/>
      <c r="N6069" s="110"/>
      <c r="O6069" s="1140"/>
      <c r="P6069" s="1115"/>
      <c r="Q6069" s="1116"/>
      <c r="R6069" s="1141"/>
      <c r="S6069" s="1113"/>
      <c r="T6069" s="1143"/>
      <c r="U6069" s="1108"/>
      <c r="V6069" s="1108"/>
      <c r="W6069" s="1108"/>
      <c r="X6069" s="1108"/>
      <c r="Y6069" s="1108"/>
      <c r="Z6069" s="1114"/>
      <c r="AA6069" s="1114"/>
      <c r="AB6069" s="1114"/>
      <c r="AC6069" s="1117"/>
      <c r="AD6069" s="1115"/>
      <c r="AE6069" s="1115"/>
      <c r="AF6069" s="1115"/>
      <c r="AG6069" s="1115"/>
      <c r="AH6069" s="1115"/>
      <c r="AI6069" s="1115"/>
      <c r="AJ6069" s="1117"/>
      <c r="AK6069" s="1118"/>
      <c r="AL6069" s="1115"/>
      <c r="AM6069" s="1115"/>
      <c r="AN6069" s="1115"/>
      <c r="AO6069" s="1115"/>
      <c r="AP6069" s="1115"/>
      <c r="AQ6069" s="1115"/>
      <c r="AR6069" s="1115"/>
      <c r="AS6069" s="1117"/>
      <c r="AT6069" s="1075"/>
      <c r="AU6069" s="1193"/>
      <c r="AV6069" s="330"/>
      <c r="AW6069" s="331"/>
      <c r="AX6069" s="331"/>
      <c r="AY6069" s="331"/>
      <c r="AZ6069" s="331"/>
      <c r="BA6069" s="331"/>
      <c r="BB6069" s="331"/>
      <c r="BC6069" s="331"/>
      <c r="BD6069" s="331"/>
      <c r="BE6069" s="333"/>
      <c r="BF6069" s="330"/>
      <c r="BG6069" s="333"/>
      <c r="BH6069" s="1119"/>
      <c r="BI6069" s="319"/>
      <c r="BJ6069" s="319"/>
      <c r="BK6069" s="319"/>
      <c r="BL6069" s="319"/>
      <c r="BM6069" s="319"/>
      <c r="BN6069" s="319"/>
      <c r="BO6069" s="319"/>
      <c r="BP6069" s="953"/>
      <c r="BQ6069" s="319"/>
      <c r="BR6069" s="319"/>
      <c r="BS6069" s="330"/>
      <c r="BT6069" s="331"/>
      <c r="BU6069" s="920"/>
      <c r="BV6069" s="903"/>
      <c r="BW6069" s="908"/>
      <c r="BX6069" s="908"/>
      <c r="BY6069" s="331"/>
      <c r="BZ6069" s="331"/>
      <c r="CA6069" s="462"/>
      <c r="CB6069" s="319"/>
      <c r="CC6069" s="319"/>
      <c r="CD6069" s="319"/>
      <c r="CE6069" s="319"/>
      <c r="CF6069" s="319"/>
      <c r="CG6069" s="319"/>
      <c r="CH6069" s="318"/>
      <c r="CI6069" s="319"/>
      <c r="CJ6069" s="319"/>
      <c r="CK6069" s="342"/>
      <c r="CL6069" s="333"/>
      <c r="CM6069" s="1079"/>
      <c r="CN6069" s="1005"/>
      <c r="CO6069" s="1005"/>
      <c r="CP6069" s="1005"/>
    </row>
    <row r="6070">
      <c r="A6070" s="1257"/>
      <c r="B6070" s="1113"/>
      <c r="C6070" s="1107"/>
      <c r="D6070" s="103"/>
      <c r="E6070" s="1137"/>
      <c r="F6070" s="112"/>
      <c r="G6070" s="1110"/>
      <c r="H6070" s="1138"/>
      <c r="I6070" s="1138"/>
      <c r="J6070" s="1139"/>
      <c r="K6070" s="1111"/>
      <c r="L6070" s="1112"/>
      <c r="M6070" s="1113"/>
      <c r="N6070" s="110"/>
      <c r="O6070" s="1140"/>
      <c r="P6070" s="1115"/>
      <c r="Q6070" s="1116"/>
      <c r="R6070" s="1141"/>
      <c r="S6070" s="1113"/>
      <c r="T6070" s="1143"/>
      <c r="U6070" s="1108"/>
      <c r="V6070" s="1108"/>
      <c r="W6070" s="1108"/>
      <c r="X6070" s="1108"/>
      <c r="Y6070" s="1108"/>
      <c r="Z6070" s="1114"/>
      <c r="AA6070" s="1114"/>
      <c r="AB6070" s="1114"/>
      <c r="AC6070" s="1117"/>
      <c r="AD6070" s="1115"/>
      <c r="AE6070" s="1115"/>
      <c r="AF6070" s="1115"/>
      <c r="AG6070" s="1115"/>
      <c r="AH6070" s="1115"/>
      <c r="AI6070" s="1115"/>
      <c r="AJ6070" s="1117"/>
      <c r="AK6070" s="1118"/>
      <c r="AL6070" s="1115"/>
      <c r="AM6070" s="1115"/>
      <c r="AN6070" s="1115"/>
      <c r="AO6070" s="1115"/>
      <c r="AP6070" s="1115"/>
      <c r="AQ6070" s="1115"/>
      <c r="AR6070" s="1115"/>
      <c r="AS6070" s="1117"/>
      <c r="AT6070" s="1075"/>
      <c r="AU6070" s="1193"/>
      <c r="AV6070" s="330"/>
      <c r="AW6070" s="331"/>
      <c r="AX6070" s="331"/>
      <c r="AY6070" s="331"/>
      <c r="AZ6070" s="331"/>
      <c r="BA6070" s="331"/>
      <c r="BB6070" s="331"/>
      <c r="BC6070" s="331"/>
      <c r="BD6070" s="331"/>
      <c r="BE6070" s="333"/>
      <c r="BF6070" s="330"/>
      <c r="BG6070" s="333"/>
      <c r="BH6070" s="1119"/>
      <c r="BI6070" s="319"/>
      <c r="BJ6070" s="319"/>
      <c r="BK6070" s="319"/>
      <c r="BL6070" s="319"/>
      <c r="BM6070" s="319"/>
      <c r="BN6070" s="319"/>
      <c r="BO6070" s="319"/>
      <c r="BP6070" s="953"/>
      <c r="BQ6070" s="319"/>
      <c r="BR6070" s="319"/>
      <c r="BS6070" s="330"/>
      <c r="BT6070" s="331"/>
      <c r="BU6070" s="920"/>
      <c r="BV6070" s="903"/>
      <c r="BW6070" s="908"/>
      <c r="BX6070" s="908"/>
      <c r="BY6070" s="331"/>
      <c r="BZ6070" s="331"/>
      <c r="CA6070" s="462"/>
      <c r="CB6070" s="319"/>
      <c r="CC6070" s="319"/>
      <c r="CD6070" s="319"/>
      <c r="CE6070" s="319"/>
      <c r="CF6070" s="319"/>
      <c r="CG6070" s="319"/>
      <c r="CH6070" s="318"/>
      <c r="CI6070" s="319"/>
      <c r="CJ6070" s="319"/>
      <c r="CK6070" s="342"/>
      <c r="CL6070" s="333"/>
      <c r="CM6070" s="1079"/>
      <c r="CN6070" s="1005"/>
      <c r="CO6070" s="1005"/>
      <c r="CP6070" s="1005"/>
    </row>
    <row r="6071">
      <c r="A6071" s="1257"/>
      <c r="B6071" s="1113"/>
      <c r="C6071" s="1107"/>
      <c r="D6071" s="103"/>
      <c r="E6071" s="1137"/>
      <c r="F6071" s="112"/>
      <c r="G6071" s="1110"/>
      <c r="H6071" s="1138"/>
      <c r="I6071" s="1138"/>
      <c r="J6071" s="1139"/>
      <c r="K6071" s="1111"/>
      <c r="L6071" s="1112"/>
      <c r="M6071" s="1113"/>
      <c r="N6071" s="110"/>
      <c r="O6071" s="1140"/>
      <c r="P6071" s="1115"/>
      <c r="Q6071" s="1116"/>
      <c r="R6071" s="1141"/>
      <c r="S6071" s="1113"/>
      <c r="T6071" s="1143"/>
      <c r="U6071" s="1108"/>
      <c r="V6071" s="1108"/>
      <c r="W6071" s="1108"/>
      <c r="X6071" s="1108"/>
      <c r="Y6071" s="1108"/>
      <c r="Z6071" s="1114"/>
      <c r="AA6071" s="1114"/>
      <c r="AB6071" s="1114"/>
      <c r="AC6071" s="1117"/>
      <c r="AD6071" s="1115"/>
      <c r="AE6071" s="1115"/>
      <c r="AF6071" s="1115"/>
      <c r="AG6071" s="1115"/>
      <c r="AH6071" s="1115"/>
      <c r="AI6071" s="1115"/>
      <c r="AJ6071" s="1117"/>
      <c r="AK6071" s="1118"/>
      <c r="AL6071" s="1115"/>
      <c r="AM6071" s="1115"/>
      <c r="AN6071" s="1115"/>
      <c r="AO6071" s="1115"/>
      <c r="AP6071" s="1115"/>
      <c r="AQ6071" s="1115"/>
      <c r="AR6071" s="1115"/>
      <c r="AS6071" s="1117"/>
      <c r="AT6071" s="1075"/>
      <c r="AU6071" s="1193"/>
      <c r="AV6071" s="330"/>
      <c r="AW6071" s="331"/>
      <c r="AX6071" s="331"/>
      <c r="AY6071" s="331"/>
      <c r="AZ6071" s="331"/>
      <c r="BA6071" s="331"/>
      <c r="BB6071" s="331"/>
      <c r="BC6071" s="331"/>
      <c r="BD6071" s="331"/>
      <c r="BE6071" s="333"/>
      <c r="BF6071" s="330"/>
      <c r="BG6071" s="333"/>
      <c r="BH6071" s="1119"/>
      <c r="BI6071" s="319"/>
      <c r="BJ6071" s="319"/>
      <c r="BK6071" s="319"/>
      <c r="BL6071" s="319"/>
      <c r="BM6071" s="319"/>
      <c r="BN6071" s="319"/>
      <c r="BO6071" s="319"/>
      <c r="BP6071" s="953"/>
      <c r="BQ6071" s="319"/>
      <c r="BR6071" s="319"/>
      <c r="BS6071" s="330"/>
      <c r="BT6071" s="331"/>
      <c r="BU6071" s="920"/>
      <c r="BV6071" s="903"/>
      <c r="BW6071" s="908"/>
      <c r="BX6071" s="908"/>
      <c r="BY6071" s="331"/>
      <c r="BZ6071" s="331"/>
      <c r="CA6071" s="462"/>
      <c r="CB6071" s="319"/>
      <c r="CC6071" s="319"/>
      <c r="CD6071" s="319"/>
      <c r="CE6071" s="319"/>
      <c r="CF6071" s="319"/>
      <c r="CG6071" s="319"/>
      <c r="CH6071" s="318"/>
      <c r="CI6071" s="319"/>
      <c r="CJ6071" s="319"/>
      <c r="CK6071" s="342"/>
      <c r="CL6071" s="333"/>
      <c r="CM6071" s="1079"/>
      <c r="CN6071" s="1005"/>
      <c r="CO6071" s="1005"/>
      <c r="CP6071" s="1005"/>
    </row>
    <row r="6072">
      <c r="A6072" s="1257"/>
      <c r="B6072" s="1113"/>
      <c r="C6072" s="1107"/>
      <c r="D6072" s="103"/>
      <c r="E6072" s="1137"/>
      <c r="F6072" s="112"/>
      <c r="G6072" s="1110"/>
      <c r="H6072" s="1138"/>
      <c r="I6072" s="1138"/>
      <c r="J6072" s="1139"/>
      <c r="K6072" s="1111"/>
      <c r="L6072" s="1112"/>
      <c r="M6072" s="1113"/>
      <c r="N6072" s="110"/>
      <c r="O6072" s="1140"/>
      <c r="P6072" s="1115"/>
      <c r="Q6072" s="1116"/>
      <c r="R6072" s="1141"/>
      <c r="S6072" s="1113"/>
      <c r="T6072" s="1143"/>
      <c r="U6072" s="1108"/>
      <c r="V6072" s="1108"/>
      <c r="W6072" s="1108"/>
      <c r="X6072" s="1108"/>
      <c r="Y6072" s="1108"/>
      <c r="Z6072" s="1114"/>
      <c r="AA6072" s="1114"/>
      <c r="AB6072" s="1114"/>
      <c r="AC6072" s="1117"/>
      <c r="AD6072" s="1115"/>
      <c r="AE6072" s="1115"/>
      <c r="AF6072" s="1115"/>
      <c r="AG6072" s="1115"/>
      <c r="AH6072" s="1115"/>
      <c r="AI6072" s="1115"/>
      <c r="AJ6072" s="1117"/>
      <c r="AK6072" s="1118"/>
      <c r="AL6072" s="1115"/>
      <c r="AM6072" s="1115"/>
      <c r="AN6072" s="1115"/>
      <c r="AO6072" s="1115"/>
      <c r="AP6072" s="1115"/>
      <c r="AQ6072" s="1115"/>
      <c r="AR6072" s="1115"/>
      <c r="AS6072" s="1117"/>
      <c r="AT6072" s="1075"/>
      <c r="AU6072" s="1193"/>
      <c r="AV6072" s="330"/>
      <c r="AW6072" s="331"/>
      <c r="AX6072" s="331"/>
      <c r="AY6072" s="331"/>
      <c r="AZ6072" s="331"/>
      <c r="BA6072" s="331"/>
      <c r="BB6072" s="331"/>
      <c r="BC6072" s="331"/>
      <c r="BD6072" s="331"/>
      <c r="BE6072" s="333"/>
      <c r="BF6072" s="330"/>
      <c r="BG6072" s="333"/>
      <c r="BH6072" s="1119"/>
      <c r="BI6072" s="319"/>
      <c r="BJ6072" s="319"/>
      <c r="BK6072" s="319"/>
      <c r="BL6072" s="319"/>
      <c r="BM6072" s="319"/>
      <c r="BN6072" s="319"/>
      <c r="BO6072" s="319"/>
      <c r="BP6072" s="953"/>
      <c r="BQ6072" s="319"/>
      <c r="BR6072" s="319"/>
      <c r="BS6072" s="330"/>
      <c r="BT6072" s="331"/>
      <c r="BU6072" s="920"/>
      <c r="BV6072" s="903"/>
      <c r="BW6072" s="908"/>
      <c r="BX6072" s="908"/>
      <c r="BY6072" s="331"/>
      <c r="BZ6072" s="331"/>
      <c r="CA6072" s="462"/>
      <c r="CB6072" s="319"/>
      <c r="CC6072" s="319"/>
      <c r="CD6072" s="319"/>
      <c r="CE6072" s="319"/>
      <c r="CF6072" s="319"/>
      <c r="CG6072" s="319"/>
      <c r="CH6072" s="318"/>
      <c r="CI6072" s="319"/>
      <c r="CJ6072" s="319"/>
      <c r="CK6072" s="342"/>
      <c r="CL6072" s="333"/>
      <c r="CM6072" s="1079"/>
      <c r="CN6072" s="1005"/>
      <c r="CO6072" s="1005"/>
      <c r="CP6072" s="1005"/>
    </row>
    <row r="6073">
      <c r="A6073" s="1257"/>
      <c r="B6073" s="1113"/>
      <c r="C6073" s="1107"/>
      <c r="D6073" s="103"/>
      <c r="E6073" s="1137"/>
      <c r="F6073" s="112"/>
      <c r="G6073" s="1110"/>
      <c r="H6073" s="1138"/>
      <c r="I6073" s="1138"/>
      <c r="J6073" s="1139"/>
      <c r="K6073" s="1111"/>
      <c r="L6073" s="1112"/>
      <c r="M6073" s="1113"/>
      <c r="N6073" s="110"/>
      <c r="O6073" s="1140"/>
      <c r="P6073" s="1115"/>
      <c r="Q6073" s="1116"/>
      <c r="R6073" s="1141"/>
      <c r="S6073" s="1113"/>
      <c r="T6073" s="1143"/>
      <c r="U6073" s="1108"/>
      <c r="V6073" s="1108"/>
      <c r="W6073" s="1108"/>
      <c r="X6073" s="1108"/>
      <c r="Y6073" s="1108"/>
      <c r="Z6073" s="1114"/>
      <c r="AA6073" s="1114"/>
      <c r="AB6073" s="1114"/>
      <c r="AC6073" s="1117"/>
      <c r="AD6073" s="1115"/>
      <c r="AE6073" s="1115"/>
      <c r="AF6073" s="1115"/>
      <c r="AG6073" s="1115"/>
      <c r="AH6073" s="1115"/>
      <c r="AI6073" s="1115"/>
      <c r="AJ6073" s="1117"/>
      <c r="AK6073" s="1118"/>
      <c r="AL6073" s="1115"/>
      <c r="AM6073" s="1115"/>
      <c r="AN6073" s="1115"/>
      <c r="AO6073" s="1115"/>
      <c r="AP6073" s="1115"/>
      <c r="AQ6073" s="1115"/>
      <c r="AR6073" s="1115"/>
      <c r="AS6073" s="1117"/>
      <c r="AT6073" s="1075"/>
      <c r="AU6073" s="1193"/>
      <c r="AV6073" s="330"/>
      <c r="AW6073" s="331"/>
      <c r="AX6073" s="331"/>
      <c r="AY6073" s="331"/>
      <c r="AZ6073" s="331"/>
      <c r="BA6073" s="331"/>
      <c r="BB6073" s="331"/>
      <c r="BC6073" s="331"/>
      <c r="BD6073" s="331"/>
      <c r="BE6073" s="333"/>
      <c r="BF6073" s="330"/>
      <c r="BG6073" s="333"/>
      <c r="BH6073" s="1119"/>
      <c r="BI6073" s="319"/>
      <c r="BJ6073" s="319"/>
      <c r="BK6073" s="319"/>
      <c r="BL6073" s="319"/>
      <c r="BM6073" s="319"/>
      <c r="BN6073" s="319"/>
      <c r="BO6073" s="319"/>
      <c r="BP6073" s="953"/>
      <c r="BQ6073" s="319"/>
      <c r="BR6073" s="319"/>
      <c r="BS6073" s="330"/>
      <c r="BT6073" s="331"/>
      <c r="BU6073" s="920"/>
      <c r="BV6073" s="903"/>
      <c r="BW6073" s="908"/>
      <c r="BX6073" s="908"/>
      <c r="BY6073" s="331"/>
      <c r="BZ6073" s="331"/>
      <c r="CA6073" s="462"/>
      <c r="CB6073" s="319"/>
      <c r="CC6073" s="319"/>
      <c r="CD6073" s="319"/>
      <c r="CE6073" s="319"/>
      <c r="CF6073" s="319"/>
      <c r="CG6073" s="319"/>
      <c r="CH6073" s="318"/>
      <c r="CI6073" s="319"/>
      <c r="CJ6073" s="319"/>
      <c r="CK6073" s="342"/>
      <c r="CL6073" s="333"/>
      <c r="CM6073" s="1079"/>
      <c r="CN6073" s="1005"/>
      <c r="CO6073" s="1005"/>
      <c r="CP6073" s="1005"/>
    </row>
    <row r="6074">
      <c r="A6074" s="1257"/>
      <c r="B6074" s="1113"/>
      <c r="C6074" s="1107"/>
      <c r="D6074" s="103"/>
      <c r="E6074" s="1137"/>
      <c r="F6074" s="112"/>
      <c r="G6074" s="1110"/>
      <c r="H6074" s="1138"/>
      <c r="I6074" s="1138"/>
      <c r="J6074" s="1139"/>
      <c r="K6074" s="1111"/>
      <c r="L6074" s="1112"/>
      <c r="M6074" s="1113"/>
      <c r="N6074" s="110"/>
      <c r="O6074" s="1140"/>
      <c r="P6074" s="1115"/>
      <c r="Q6074" s="1116"/>
      <c r="R6074" s="1141"/>
      <c r="S6074" s="1113"/>
      <c r="T6074" s="1143"/>
      <c r="U6074" s="1108"/>
      <c r="V6074" s="1108"/>
      <c r="W6074" s="1108"/>
      <c r="X6074" s="1108"/>
      <c r="Y6074" s="1108"/>
      <c r="Z6074" s="1114"/>
      <c r="AA6074" s="1114"/>
      <c r="AB6074" s="1114"/>
      <c r="AC6074" s="1117"/>
      <c r="AD6074" s="1115"/>
      <c r="AE6074" s="1115"/>
      <c r="AF6074" s="1115"/>
      <c r="AG6074" s="1115"/>
      <c r="AH6074" s="1115"/>
      <c r="AI6074" s="1115"/>
      <c r="AJ6074" s="1117"/>
      <c r="AK6074" s="1118"/>
      <c r="AL6074" s="1115"/>
      <c r="AM6074" s="1115"/>
      <c r="AN6074" s="1115"/>
      <c r="AO6074" s="1115"/>
      <c r="AP6074" s="1115"/>
      <c r="AQ6074" s="1115"/>
      <c r="AR6074" s="1115"/>
      <c r="AS6074" s="1117"/>
      <c r="AT6074" s="1075"/>
      <c r="AU6074" s="1193"/>
      <c r="AV6074" s="330"/>
      <c r="AW6074" s="331"/>
      <c r="AX6074" s="331"/>
      <c r="AY6074" s="331"/>
      <c r="AZ6074" s="331"/>
      <c r="BA6074" s="331"/>
      <c r="BB6074" s="331"/>
      <c r="BC6074" s="331"/>
      <c r="BD6074" s="331"/>
      <c r="BE6074" s="333"/>
      <c r="BF6074" s="330"/>
      <c r="BG6074" s="333"/>
      <c r="BH6074" s="1119"/>
      <c r="BI6074" s="319"/>
      <c r="BJ6074" s="319"/>
      <c r="BK6074" s="319"/>
      <c r="BL6074" s="319"/>
      <c r="BM6074" s="319"/>
      <c r="BN6074" s="319"/>
      <c r="BO6074" s="319"/>
      <c r="BP6074" s="953"/>
      <c r="BQ6074" s="319"/>
      <c r="BR6074" s="319"/>
      <c r="BS6074" s="330"/>
      <c r="BT6074" s="331"/>
      <c r="BU6074" s="920"/>
      <c r="BV6074" s="903"/>
      <c r="BW6074" s="908"/>
      <c r="BX6074" s="908"/>
      <c r="BY6074" s="331"/>
      <c r="BZ6074" s="331"/>
      <c r="CA6074" s="462"/>
      <c r="CB6074" s="319"/>
      <c r="CC6074" s="319"/>
      <c r="CD6074" s="319"/>
      <c r="CE6074" s="319"/>
      <c r="CF6074" s="319"/>
      <c r="CG6074" s="319"/>
      <c r="CH6074" s="318"/>
      <c r="CI6074" s="319"/>
      <c r="CJ6074" s="319"/>
      <c r="CK6074" s="342"/>
      <c r="CL6074" s="333"/>
      <c r="CM6074" s="1079"/>
      <c r="CN6074" s="1005"/>
      <c r="CO6074" s="1005"/>
      <c r="CP6074" s="1005"/>
    </row>
    <row r="6075">
      <c r="A6075" s="1257"/>
      <c r="B6075" s="1113"/>
      <c r="C6075" s="1107"/>
      <c r="D6075" s="103"/>
      <c r="E6075" s="1137"/>
      <c r="F6075" s="112"/>
      <c r="G6075" s="1110"/>
      <c r="H6075" s="1138"/>
      <c r="I6075" s="1138"/>
      <c r="J6075" s="1139"/>
      <c r="K6075" s="1111"/>
      <c r="L6075" s="1112"/>
      <c r="M6075" s="1113"/>
      <c r="N6075" s="110"/>
      <c r="O6075" s="1140"/>
      <c r="P6075" s="1115"/>
      <c r="Q6075" s="1116"/>
      <c r="R6075" s="1141"/>
      <c r="S6075" s="1113"/>
      <c r="T6075" s="1143"/>
      <c r="U6075" s="1108"/>
      <c r="V6075" s="1108"/>
      <c r="W6075" s="1108"/>
      <c r="X6075" s="1108"/>
      <c r="Y6075" s="1108"/>
      <c r="Z6075" s="1114"/>
      <c r="AA6075" s="1114"/>
      <c r="AB6075" s="1114"/>
      <c r="AC6075" s="1117"/>
      <c r="AD6075" s="1115"/>
      <c r="AE6075" s="1115"/>
      <c r="AF6075" s="1115"/>
      <c r="AG6075" s="1115"/>
      <c r="AH6075" s="1115"/>
      <c r="AI6075" s="1115"/>
      <c r="AJ6075" s="1117"/>
      <c r="AK6075" s="1118"/>
      <c r="AL6075" s="1115"/>
      <c r="AM6075" s="1115"/>
      <c r="AN6075" s="1115"/>
      <c r="AO6075" s="1115"/>
      <c r="AP6075" s="1115"/>
      <c r="AQ6075" s="1115"/>
      <c r="AR6075" s="1115"/>
      <c r="AS6075" s="1117"/>
      <c r="AT6075" s="1075"/>
      <c r="AU6075" s="1193"/>
      <c r="AV6075" s="330"/>
      <c r="AW6075" s="331"/>
      <c r="AX6075" s="331"/>
      <c r="AY6075" s="331"/>
      <c r="AZ6075" s="331"/>
      <c r="BA6075" s="331"/>
      <c r="BB6075" s="331"/>
      <c r="BC6075" s="331"/>
      <c r="BD6075" s="331"/>
      <c r="BE6075" s="333"/>
      <c r="BF6075" s="330"/>
      <c r="BG6075" s="333"/>
      <c r="BH6075" s="1119"/>
      <c r="BI6075" s="319"/>
      <c r="BJ6075" s="319"/>
      <c r="BK6075" s="319"/>
      <c r="BL6075" s="319"/>
      <c r="BM6075" s="319"/>
      <c r="BN6075" s="319"/>
      <c r="BO6075" s="319"/>
      <c r="BP6075" s="953"/>
      <c r="BQ6075" s="319"/>
      <c r="BR6075" s="319"/>
      <c r="BS6075" s="330"/>
      <c r="BT6075" s="331"/>
      <c r="BU6075" s="920"/>
      <c r="BV6075" s="903"/>
      <c r="BW6075" s="908"/>
      <c r="BX6075" s="908"/>
      <c r="BY6075" s="331"/>
      <c r="BZ6075" s="331"/>
      <c r="CA6075" s="462"/>
      <c r="CB6075" s="319"/>
      <c r="CC6075" s="319"/>
      <c r="CD6075" s="319"/>
      <c r="CE6075" s="319"/>
      <c r="CF6075" s="319"/>
      <c r="CG6075" s="319"/>
      <c r="CH6075" s="318"/>
      <c r="CI6075" s="319"/>
      <c r="CJ6075" s="319"/>
      <c r="CK6075" s="342"/>
      <c r="CL6075" s="333"/>
      <c r="CM6075" s="1079"/>
      <c r="CN6075" s="1005"/>
      <c r="CO6075" s="1005"/>
      <c r="CP6075" s="1005"/>
    </row>
    <row r="6076">
      <c r="A6076" s="1257"/>
      <c r="B6076" s="1113"/>
      <c r="C6076" s="1107"/>
      <c r="D6076" s="103"/>
      <c r="E6076" s="1137"/>
      <c r="F6076" s="112"/>
      <c r="G6076" s="1110"/>
      <c r="H6076" s="1138"/>
      <c r="I6076" s="1138"/>
      <c r="J6076" s="1139"/>
      <c r="K6076" s="1111"/>
      <c r="L6076" s="1112"/>
      <c r="M6076" s="1113"/>
      <c r="N6076" s="110"/>
      <c r="O6076" s="1140"/>
      <c r="P6076" s="1115"/>
      <c r="Q6076" s="1116"/>
      <c r="R6076" s="1141"/>
      <c r="S6076" s="1113"/>
      <c r="T6076" s="1143"/>
      <c r="U6076" s="1108"/>
      <c r="V6076" s="1108"/>
      <c r="W6076" s="1108"/>
      <c r="X6076" s="1108"/>
      <c r="Y6076" s="1108"/>
      <c r="Z6076" s="1114"/>
      <c r="AA6076" s="1114"/>
      <c r="AB6076" s="1114"/>
      <c r="AC6076" s="1117"/>
      <c r="AD6076" s="1115"/>
      <c r="AE6076" s="1115"/>
      <c r="AF6076" s="1115"/>
      <c r="AG6076" s="1115"/>
      <c r="AH6076" s="1115"/>
      <c r="AI6076" s="1115"/>
      <c r="AJ6076" s="1117"/>
      <c r="AK6076" s="1118"/>
      <c r="AL6076" s="1115"/>
      <c r="AM6076" s="1115"/>
      <c r="AN6076" s="1115"/>
      <c r="AO6076" s="1115"/>
      <c r="AP6076" s="1115"/>
      <c r="AQ6076" s="1115"/>
      <c r="AR6076" s="1115"/>
      <c r="AS6076" s="1117"/>
      <c r="AT6076" s="1075"/>
      <c r="AU6076" s="1193"/>
      <c r="AV6076" s="330"/>
      <c r="AW6076" s="331"/>
      <c r="AX6076" s="331"/>
      <c r="AY6076" s="331"/>
      <c r="AZ6076" s="331"/>
      <c r="BA6076" s="331"/>
      <c r="BB6076" s="331"/>
      <c r="BC6076" s="331"/>
      <c r="BD6076" s="331"/>
      <c r="BE6076" s="333"/>
      <c r="BF6076" s="330"/>
      <c r="BG6076" s="333"/>
      <c r="BH6076" s="1119"/>
      <c r="BI6076" s="319"/>
      <c r="BJ6076" s="319"/>
      <c r="BK6076" s="319"/>
      <c r="BL6076" s="319"/>
      <c r="BM6076" s="319"/>
      <c r="BN6076" s="319"/>
      <c r="BO6076" s="319"/>
      <c r="BP6076" s="953"/>
      <c r="BQ6076" s="319"/>
      <c r="BR6076" s="319"/>
      <c r="BS6076" s="330"/>
      <c r="BT6076" s="331"/>
      <c r="BU6076" s="920"/>
      <c r="BV6076" s="903"/>
      <c r="BW6076" s="908"/>
      <c r="BX6076" s="908"/>
      <c r="BY6076" s="331"/>
      <c r="BZ6076" s="331"/>
      <c r="CA6076" s="462"/>
      <c r="CB6076" s="319"/>
      <c r="CC6076" s="319"/>
      <c r="CD6076" s="319"/>
      <c r="CE6076" s="319"/>
      <c r="CF6076" s="319"/>
      <c r="CG6076" s="319"/>
      <c r="CH6076" s="318"/>
      <c r="CI6076" s="319"/>
      <c r="CJ6076" s="319"/>
      <c r="CK6076" s="342"/>
      <c r="CL6076" s="333"/>
      <c r="CM6076" s="1079"/>
      <c r="CN6076" s="1005"/>
      <c r="CO6076" s="1005"/>
      <c r="CP6076" s="1005"/>
    </row>
    <row r="6077">
      <c r="A6077" s="1257"/>
      <c r="B6077" s="1113"/>
      <c r="C6077" s="1107"/>
      <c r="D6077" s="103"/>
      <c r="E6077" s="1137"/>
      <c r="F6077" s="112"/>
      <c r="G6077" s="1110"/>
      <c r="H6077" s="1138"/>
      <c r="I6077" s="1138"/>
      <c r="J6077" s="1139"/>
      <c r="K6077" s="1111"/>
      <c r="L6077" s="1112"/>
      <c r="M6077" s="1113"/>
      <c r="N6077" s="110"/>
      <c r="O6077" s="1140"/>
      <c r="P6077" s="1115"/>
      <c r="Q6077" s="1116"/>
      <c r="R6077" s="1141"/>
      <c r="S6077" s="1113"/>
      <c r="T6077" s="1143"/>
      <c r="U6077" s="1108"/>
      <c r="V6077" s="1108"/>
      <c r="W6077" s="1108"/>
      <c r="X6077" s="1108"/>
      <c r="Y6077" s="1108"/>
      <c r="Z6077" s="1114"/>
      <c r="AA6077" s="1114"/>
      <c r="AB6077" s="1114"/>
      <c r="AC6077" s="1117"/>
      <c r="AD6077" s="1115"/>
      <c r="AE6077" s="1115"/>
      <c r="AF6077" s="1115"/>
      <c r="AG6077" s="1115"/>
      <c r="AH6077" s="1115"/>
      <c r="AI6077" s="1115"/>
      <c r="AJ6077" s="1117"/>
      <c r="AK6077" s="1118"/>
      <c r="AL6077" s="1115"/>
      <c r="AM6077" s="1115"/>
      <c r="AN6077" s="1115"/>
      <c r="AO6077" s="1115"/>
      <c r="AP6077" s="1115"/>
      <c r="AQ6077" s="1115"/>
      <c r="AR6077" s="1115"/>
      <c r="AS6077" s="1117"/>
      <c r="AT6077" s="1075"/>
      <c r="AU6077" s="1193"/>
      <c r="AV6077" s="330"/>
      <c r="AW6077" s="331"/>
      <c r="AX6077" s="331"/>
      <c r="AY6077" s="331"/>
      <c r="AZ6077" s="331"/>
      <c r="BA6077" s="331"/>
      <c r="BB6077" s="331"/>
      <c r="BC6077" s="331"/>
      <c r="BD6077" s="331"/>
      <c r="BE6077" s="333"/>
      <c r="BF6077" s="330"/>
      <c r="BG6077" s="333"/>
      <c r="BH6077" s="1119"/>
      <c r="BI6077" s="319"/>
      <c r="BJ6077" s="319"/>
      <c r="BK6077" s="319"/>
      <c r="BL6077" s="319"/>
      <c r="BM6077" s="319"/>
      <c r="BN6077" s="319"/>
      <c r="BO6077" s="319"/>
      <c r="BP6077" s="953"/>
      <c r="BQ6077" s="319"/>
      <c r="BR6077" s="319"/>
      <c r="BS6077" s="330"/>
      <c r="BT6077" s="331"/>
      <c r="BU6077" s="920"/>
      <c r="BV6077" s="903"/>
      <c r="BW6077" s="908"/>
      <c r="BX6077" s="908"/>
      <c r="BY6077" s="331"/>
      <c r="BZ6077" s="331"/>
      <c r="CA6077" s="462"/>
      <c r="CB6077" s="319"/>
      <c r="CC6077" s="319"/>
      <c r="CD6077" s="319"/>
      <c r="CE6077" s="319"/>
      <c r="CF6077" s="319"/>
      <c r="CG6077" s="319"/>
      <c r="CH6077" s="318"/>
      <c r="CI6077" s="319"/>
      <c r="CJ6077" s="319"/>
      <c r="CK6077" s="342"/>
      <c r="CL6077" s="333"/>
      <c r="CM6077" s="1079"/>
      <c r="CN6077" s="1005"/>
      <c r="CO6077" s="1005"/>
      <c r="CP6077" s="1005"/>
    </row>
    <row r="6078">
      <c r="A6078" s="1257"/>
      <c r="B6078" s="1113"/>
      <c r="C6078" s="1107"/>
      <c r="D6078" s="103"/>
      <c r="E6078" s="1137"/>
      <c r="F6078" s="112"/>
      <c r="G6078" s="1110"/>
      <c r="H6078" s="1138"/>
      <c r="I6078" s="1138"/>
      <c r="J6078" s="1139"/>
      <c r="K6078" s="1111"/>
      <c r="L6078" s="1112"/>
      <c r="M6078" s="1113"/>
      <c r="N6078" s="110"/>
      <c r="O6078" s="1140"/>
      <c r="P6078" s="1115"/>
      <c r="Q6078" s="1116"/>
      <c r="R6078" s="1141"/>
      <c r="S6078" s="1113"/>
      <c r="T6078" s="1143"/>
      <c r="U6078" s="1108"/>
      <c r="V6078" s="1108"/>
      <c r="W6078" s="1108"/>
      <c r="X6078" s="1108"/>
      <c r="Y6078" s="1108"/>
      <c r="Z6078" s="1114"/>
      <c r="AA6078" s="1114"/>
      <c r="AB6078" s="1114"/>
      <c r="AC6078" s="1117"/>
      <c r="AD6078" s="1115"/>
      <c r="AE6078" s="1115"/>
      <c r="AF6078" s="1115"/>
      <c r="AG6078" s="1115"/>
      <c r="AH6078" s="1115"/>
      <c r="AI6078" s="1115"/>
      <c r="AJ6078" s="1117"/>
      <c r="AK6078" s="1118"/>
      <c r="AL6078" s="1115"/>
      <c r="AM6078" s="1115"/>
      <c r="AN6078" s="1115"/>
      <c r="AO6078" s="1115"/>
      <c r="AP6078" s="1115"/>
      <c r="AQ6078" s="1115"/>
      <c r="AR6078" s="1115"/>
      <c r="AS6078" s="1117"/>
      <c r="AT6078" s="1075"/>
      <c r="AU6078" s="1193"/>
      <c r="AV6078" s="330"/>
      <c r="AW6078" s="331"/>
      <c r="AX6078" s="331"/>
      <c r="AY6078" s="331"/>
      <c r="AZ6078" s="331"/>
      <c r="BA6078" s="331"/>
      <c r="BB6078" s="331"/>
      <c r="BC6078" s="331"/>
      <c r="BD6078" s="331"/>
      <c r="BE6078" s="333"/>
      <c r="BF6078" s="330"/>
      <c r="BG6078" s="333"/>
      <c r="BH6078" s="1119"/>
      <c r="BI6078" s="319"/>
      <c r="BJ6078" s="319"/>
      <c r="BK6078" s="319"/>
      <c r="BL6078" s="319"/>
      <c r="BM6078" s="319"/>
      <c r="BN6078" s="319"/>
      <c r="BO6078" s="319"/>
      <c r="BP6078" s="953"/>
      <c r="BQ6078" s="319"/>
      <c r="BR6078" s="319"/>
      <c r="BS6078" s="330"/>
      <c r="BT6078" s="331"/>
      <c r="BU6078" s="920"/>
      <c r="BV6078" s="903"/>
      <c r="BW6078" s="908"/>
      <c r="BX6078" s="908"/>
      <c r="BY6078" s="331"/>
      <c r="BZ6078" s="331"/>
      <c r="CA6078" s="462"/>
      <c r="CB6078" s="319"/>
      <c r="CC6078" s="319"/>
      <c r="CD6078" s="319"/>
      <c r="CE6078" s="319"/>
      <c r="CF6078" s="319"/>
      <c r="CG6078" s="319"/>
      <c r="CH6078" s="318"/>
      <c r="CI6078" s="319"/>
      <c r="CJ6078" s="319"/>
      <c r="CK6078" s="342"/>
      <c r="CL6078" s="333"/>
      <c r="CM6078" s="1079"/>
      <c r="CN6078" s="1005"/>
      <c r="CO6078" s="1005"/>
      <c r="CP6078" s="1005"/>
    </row>
    <row r="6079">
      <c r="A6079" s="1257"/>
      <c r="B6079" s="1113"/>
      <c r="C6079" s="1107"/>
      <c r="D6079" s="103"/>
      <c r="E6079" s="1137"/>
      <c r="F6079" s="112"/>
      <c r="G6079" s="1110"/>
      <c r="H6079" s="1138"/>
      <c r="I6079" s="1138"/>
      <c r="J6079" s="1139"/>
      <c r="K6079" s="1111"/>
      <c r="L6079" s="1112"/>
      <c r="M6079" s="1113"/>
      <c r="N6079" s="110"/>
      <c r="O6079" s="1140"/>
      <c r="P6079" s="1115"/>
      <c r="Q6079" s="1116"/>
      <c r="R6079" s="1141"/>
      <c r="S6079" s="1113"/>
      <c r="T6079" s="1143"/>
      <c r="U6079" s="1108"/>
      <c r="V6079" s="1108"/>
      <c r="W6079" s="1108"/>
      <c r="X6079" s="1108"/>
      <c r="Y6079" s="1108"/>
      <c r="Z6079" s="1114"/>
      <c r="AA6079" s="1114"/>
      <c r="AB6079" s="1114"/>
      <c r="AC6079" s="1117"/>
      <c r="AD6079" s="1115"/>
      <c r="AE6079" s="1115"/>
      <c r="AF6079" s="1115"/>
      <c r="AG6079" s="1115"/>
      <c r="AH6079" s="1115"/>
      <c r="AI6079" s="1115"/>
      <c r="AJ6079" s="1117"/>
      <c r="AK6079" s="1118"/>
      <c r="AL6079" s="1115"/>
      <c r="AM6079" s="1115"/>
      <c r="AN6079" s="1115"/>
      <c r="AO6079" s="1115"/>
      <c r="AP6079" s="1115"/>
      <c r="AQ6079" s="1115"/>
      <c r="AR6079" s="1115"/>
      <c r="AS6079" s="1117"/>
      <c r="AT6079" s="1075"/>
      <c r="AU6079" s="1193"/>
      <c r="AV6079" s="330"/>
      <c r="AW6079" s="331"/>
      <c r="AX6079" s="331"/>
      <c r="AY6079" s="331"/>
      <c r="AZ6079" s="331"/>
      <c r="BA6079" s="331"/>
      <c r="BB6079" s="331"/>
      <c r="BC6079" s="331"/>
      <c r="BD6079" s="331"/>
      <c r="BE6079" s="333"/>
      <c r="BF6079" s="330"/>
      <c r="BG6079" s="333"/>
      <c r="BH6079" s="1119"/>
      <c r="BI6079" s="319"/>
      <c r="BJ6079" s="319"/>
      <c r="BK6079" s="319"/>
      <c r="BL6079" s="319"/>
      <c r="BM6079" s="319"/>
      <c r="BN6079" s="319"/>
      <c r="BO6079" s="319"/>
      <c r="BP6079" s="953"/>
      <c r="BQ6079" s="319"/>
      <c r="BR6079" s="319"/>
      <c r="BS6079" s="330"/>
      <c r="BT6079" s="331"/>
      <c r="BU6079" s="920"/>
      <c r="BV6079" s="903"/>
      <c r="BW6079" s="908"/>
      <c r="BX6079" s="908"/>
      <c r="BY6079" s="331"/>
      <c r="BZ6079" s="331"/>
      <c r="CA6079" s="462"/>
      <c r="CB6079" s="319"/>
      <c r="CC6079" s="319"/>
      <c r="CD6079" s="319"/>
      <c r="CE6079" s="319"/>
      <c r="CF6079" s="319"/>
      <c r="CG6079" s="319"/>
      <c r="CH6079" s="318"/>
      <c r="CI6079" s="319"/>
      <c r="CJ6079" s="319"/>
      <c r="CK6079" s="342"/>
      <c r="CL6079" s="333"/>
      <c r="CM6079" s="1079"/>
      <c r="CN6079" s="1005"/>
      <c r="CO6079" s="1005"/>
      <c r="CP6079" s="1005"/>
    </row>
    <row r="6080">
      <c r="A6080" s="1257"/>
      <c r="B6080" s="1113"/>
      <c r="C6080" s="1107"/>
      <c r="D6080" s="103"/>
      <c r="E6080" s="1137"/>
      <c r="F6080" s="112"/>
      <c r="G6080" s="1110"/>
      <c r="H6080" s="1138"/>
      <c r="I6080" s="1138"/>
      <c r="J6080" s="1139"/>
      <c r="K6080" s="1111"/>
      <c r="L6080" s="1112"/>
      <c r="M6080" s="1113"/>
      <c r="N6080" s="110"/>
      <c r="O6080" s="1140"/>
      <c r="P6080" s="1115"/>
      <c r="Q6080" s="1116"/>
      <c r="R6080" s="1141"/>
      <c r="S6080" s="1113"/>
      <c r="T6080" s="1143"/>
      <c r="U6080" s="1108"/>
      <c r="V6080" s="1108"/>
      <c r="W6080" s="1108"/>
      <c r="X6080" s="1108"/>
      <c r="Y6080" s="1108"/>
      <c r="Z6080" s="1114"/>
      <c r="AA6080" s="1114"/>
      <c r="AB6080" s="1114"/>
      <c r="AC6080" s="1117"/>
      <c r="AD6080" s="1115"/>
      <c r="AE6080" s="1115"/>
      <c r="AF6080" s="1115"/>
      <c r="AG6080" s="1115"/>
      <c r="AH6080" s="1115"/>
      <c r="AI6080" s="1115"/>
      <c r="AJ6080" s="1117"/>
      <c r="AK6080" s="1118"/>
      <c r="AL6080" s="1115"/>
      <c r="AM6080" s="1115"/>
      <c r="AN6080" s="1115"/>
      <c r="AO6080" s="1115"/>
      <c r="AP6080" s="1115"/>
      <c r="AQ6080" s="1115"/>
      <c r="AR6080" s="1115"/>
      <c r="AS6080" s="1117"/>
      <c r="AT6080" s="1075"/>
      <c r="AU6080" s="1193"/>
      <c r="AV6080" s="330"/>
      <c r="AW6080" s="331"/>
      <c r="AX6080" s="331"/>
      <c r="AY6080" s="331"/>
      <c r="AZ6080" s="331"/>
      <c r="BA6080" s="331"/>
      <c r="BB6080" s="331"/>
      <c r="BC6080" s="331"/>
      <c r="BD6080" s="331"/>
      <c r="BE6080" s="333"/>
      <c r="BF6080" s="330"/>
      <c r="BG6080" s="333"/>
      <c r="BH6080" s="1119"/>
      <c r="BI6080" s="319"/>
      <c r="BJ6080" s="319"/>
      <c r="BK6080" s="319"/>
      <c r="BL6080" s="319"/>
      <c r="BM6080" s="319"/>
      <c r="BN6080" s="319"/>
      <c r="BO6080" s="319"/>
      <c r="BP6080" s="953"/>
      <c r="BQ6080" s="319"/>
      <c r="BR6080" s="319"/>
      <c r="BS6080" s="330"/>
      <c r="BT6080" s="331"/>
      <c r="BU6080" s="920"/>
      <c r="BV6080" s="903"/>
      <c r="BW6080" s="908"/>
      <c r="BX6080" s="908"/>
      <c r="BY6080" s="331"/>
      <c r="BZ6080" s="331"/>
      <c r="CA6080" s="462"/>
      <c r="CB6080" s="319"/>
      <c r="CC6080" s="319"/>
      <c r="CD6080" s="319"/>
      <c r="CE6080" s="319"/>
      <c r="CF6080" s="319"/>
      <c r="CG6080" s="319"/>
      <c r="CH6080" s="318"/>
      <c r="CI6080" s="319"/>
      <c r="CJ6080" s="319"/>
      <c r="CK6080" s="342"/>
      <c r="CL6080" s="333"/>
      <c r="CM6080" s="1079"/>
      <c r="CN6080" s="1005"/>
      <c r="CO6080" s="1005"/>
      <c r="CP6080" s="1005"/>
    </row>
    <row r="6081">
      <c r="A6081" s="1257"/>
      <c r="B6081" s="1113"/>
      <c r="C6081" s="1107"/>
      <c r="D6081" s="103"/>
      <c r="E6081" s="1137"/>
      <c r="F6081" s="112"/>
      <c r="G6081" s="1110"/>
      <c r="H6081" s="1138"/>
      <c r="I6081" s="1138"/>
      <c r="J6081" s="1139"/>
      <c r="K6081" s="1111"/>
      <c r="L6081" s="1112"/>
      <c r="M6081" s="1113"/>
      <c r="N6081" s="110"/>
      <c r="O6081" s="1140"/>
      <c r="P6081" s="1115"/>
      <c r="Q6081" s="1116"/>
      <c r="R6081" s="1141"/>
      <c r="S6081" s="1113"/>
      <c r="T6081" s="1143"/>
      <c r="U6081" s="1108"/>
      <c r="V6081" s="1108"/>
      <c r="W6081" s="1108"/>
      <c r="X6081" s="1108"/>
      <c r="Y6081" s="1108"/>
      <c r="Z6081" s="1114"/>
      <c r="AA6081" s="1114"/>
      <c r="AB6081" s="1114"/>
      <c r="AC6081" s="1117"/>
      <c r="AD6081" s="1115"/>
      <c r="AE6081" s="1115"/>
      <c r="AF6081" s="1115"/>
      <c r="AG6081" s="1115"/>
      <c r="AH6081" s="1115"/>
      <c r="AI6081" s="1115"/>
      <c r="AJ6081" s="1117"/>
      <c r="AK6081" s="1118"/>
      <c r="AL6081" s="1115"/>
      <c r="AM6081" s="1115"/>
      <c r="AN6081" s="1115"/>
      <c r="AO6081" s="1115"/>
      <c r="AP6081" s="1115"/>
      <c r="AQ6081" s="1115"/>
      <c r="AR6081" s="1115"/>
      <c r="AS6081" s="1117"/>
      <c r="AT6081" s="1075"/>
      <c r="AU6081" s="1193"/>
      <c r="AV6081" s="330"/>
      <c r="AW6081" s="331"/>
      <c r="AX6081" s="331"/>
      <c r="AY6081" s="331"/>
      <c r="AZ6081" s="331"/>
      <c r="BA6081" s="331"/>
      <c r="BB6081" s="331"/>
      <c r="BC6081" s="331"/>
      <c r="BD6081" s="331"/>
      <c r="BE6081" s="333"/>
      <c r="BF6081" s="330"/>
      <c r="BG6081" s="333"/>
      <c r="BH6081" s="1119"/>
      <c r="BI6081" s="319"/>
      <c r="BJ6081" s="319"/>
      <c r="BK6081" s="319"/>
      <c r="BL6081" s="319"/>
      <c r="BM6081" s="319"/>
      <c r="BN6081" s="319"/>
      <c r="BO6081" s="319"/>
      <c r="BP6081" s="953"/>
      <c r="BQ6081" s="319"/>
      <c r="BR6081" s="319"/>
      <c r="BS6081" s="330"/>
      <c r="BT6081" s="331"/>
      <c r="BU6081" s="920"/>
      <c r="BV6081" s="903"/>
      <c r="BW6081" s="908"/>
      <c r="BX6081" s="908"/>
      <c r="BY6081" s="331"/>
      <c r="BZ6081" s="331"/>
      <c r="CA6081" s="462"/>
      <c r="CB6081" s="319"/>
      <c r="CC6081" s="319"/>
      <c r="CD6081" s="319"/>
      <c r="CE6081" s="319"/>
      <c r="CF6081" s="319"/>
      <c r="CG6081" s="319"/>
      <c r="CH6081" s="318"/>
      <c r="CI6081" s="319"/>
      <c r="CJ6081" s="319"/>
      <c r="CK6081" s="342"/>
      <c r="CL6081" s="333"/>
      <c r="CM6081" s="1079"/>
      <c r="CN6081" s="1005"/>
      <c r="CO6081" s="1005"/>
      <c r="CP6081" s="1005"/>
    </row>
    <row r="6082">
      <c r="A6082" s="1257"/>
      <c r="B6082" s="1113"/>
      <c r="C6082" s="1107"/>
      <c r="D6082" s="103"/>
      <c r="E6082" s="1137"/>
      <c r="F6082" s="112"/>
      <c r="G6082" s="1110"/>
      <c r="H6082" s="1138"/>
      <c r="I6082" s="1138"/>
      <c r="J6082" s="1139"/>
      <c r="K6082" s="1111"/>
      <c r="L6082" s="1112"/>
      <c r="M6082" s="1113"/>
      <c r="N6082" s="110"/>
      <c r="O6082" s="1140"/>
      <c r="P6082" s="1115"/>
      <c r="Q6082" s="1116"/>
      <c r="R6082" s="1141"/>
      <c r="S6082" s="1113"/>
      <c r="T6082" s="1143"/>
      <c r="U6082" s="1108"/>
      <c r="V6082" s="1108"/>
      <c r="W6082" s="1108"/>
      <c r="X6082" s="1108"/>
      <c r="Y6082" s="1108"/>
      <c r="Z6082" s="1114"/>
      <c r="AA6082" s="1114"/>
      <c r="AB6082" s="1114"/>
      <c r="AC6082" s="1117"/>
      <c r="AD6082" s="1115"/>
      <c r="AE6082" s="1115"/>
      <c r="AF6082" s="1115"/>
      <c r="AG6082" s="1115"/>
      <c r="AH6082" s="1115"/>
      <c r="AI6082" s="1115"/>
      <c r="AJ6082" s="1117"/>
      <c r="AK6082" s="1118"/>
      <c r="AL6082" s="1115"/>
      <c r="AM6082" s="1115"/>
      <c r="AN6082" s="1115"/>
      <c r="AO6082" s="1115"/>
      <c r="AP6082" s="1115"/>
      <c r="AQ6082" s="1115"/>
      <c r="AR6082" s="1115"/>
      <c r="AS6082" s="1117"/>
      <c r="AT6082" s="1075"/>
      <c r="AU6082" s="1193"/>
      <c r="AV6082" s="330"/>
      <c r="AW6082" s="331"/>
      <c r="AX6082" s="331"/>
      <c r="AY6082" s="331"/>
      <c r="AZ6082" s="331"/>
      <c r="BA6082" s="331"/>
      <c r="BB6082" s="331"/>
      <c r="BC6082" s="331"/>
      <c r="BD6082" s="331"/>
      <c r="BE6082" s="333"/>
      <c r="BF6082" s="330"/>
      <c r="BG6082" s="333"/>
      <c r="BH6082" s="1119"/>
      <c r="BI6082" s="319"/>
      <c r="BJ6082" s="319"/>
      <c r="BK6082" s="319"/>
      <c r="BL6082" s="319"/>
      <c r="BM6082" s="319"/>
      <c r="BN6082" s="319"/>
      <c r="BO6082" s="319"/>
      <c r="BP6082" s="953"/>
      <c r="BQ6082" s="319"/>
      <c r="BR6082" s="319"/>
      <c r="BS6082" s="330"/>
      <c r="BT6082" s="331"/>
      <c r="BU6082" s="920"/>
      <c r="BV6082" s="903"/>
      <c r="BW6082" s="908"/>
      <c r="BX6082" s="908"/>
      <c r="BY6082" s="331"/>
      <c r="BZ6082" s="331"/>
      <c r="CA6082" s="462"/>
      <c r="CB6082" s="319"/>
      <c r="CC6082" s="319"/>
      <c r="CD6082" s="319"/>
      <c r="CE6082" s="319"/>
      <c r="CF6082" s="319"/>
      <c r="CG6082" s="319"/>
      <c r="CH6082" s="318"/>
      <c r="CI6082" s="319"/>
      <c r="CJ6082" s="319"/>
      <c r="CK6082" s="342"/>
      <c r="CL6082" s="333"/>
      <c r="CM6082" s="1079"/>
      <c r="CN6082" s="1005"/>
      <c r="CO6082" s="1005"/>
      <c r="CP6082" s="1005"/>
    </row>
    <row r="6083">
      <c r="A6083" s="1257"/>
      <c r="B6083" s="1113"/>
      <c r="C6083" s="1107"/>
      <c r="D6083" s="103"/>
      <c r="E6083" s="1137"/>
      <c r="F6083" s="112"/>
      <c r="G6083" s="1110"/>
      <c r="H6083" s="1138"/>
      <c r="I6083" s="1138"/>
      <c r="J6083" s="1139"/>
      <c r="K6083" s="1111"/>
      <c r="L6083" s="1112"/>
      <c r="M6083" s="1113"/>
      <c r="N6083" s="110"/>
      <c r="O6083" s="1140"/>
      <c r="P6083" s="1115"/>
      <c r="Q6083" s="1116"/>
      <c r="R6083" s="1141"/>
      <c r="S6083" s="1113"/>
      <c r="T6083" s="1143"/>
      <c r="U6083" s="1108"/>
      <c r="V6083" s="1108"/>
      <c r="W6083" s="1108"/>
      <c r="X6083" s="1108"/>
      <c r="Y6083" s="1108"/>
      <c r="Z6083" s="1114"/>
      <c r="AA6083" s="1114"/>
      <c r="AB6083" s="1114"/>
      <c r="AC6083" s="1117"/>
      <c r="AD6083" s="1115"/>
      <c r="AE6083" s="1115"/>
      <c r="AF6083" s="1115"/>
      <c r="AG6083" s="1115"/>
      <c r="AH6083" s="1115"/>
      <c r="AI6083" s="1115"/>
      <c r="AJ6083" s="1117"/>
      <c r="AK6083" s="1118"/>
      <c r="AL6083" s="1115"/>
      <c r="AM6083" s="1115"/>
      <c r="AN6083" s="1115"/>
      <c r="AO6083" s="1115"/>
      <c r="AP6083" s="1115"/>
      <c r="AQ6083" s="1115"/>
      <c r="AR6083" s="1115"/>
      <c r="AS6083" s="1117"/>
      <c r="AT6083" s="1075"/>
      <c r="AU6083" s="1193"/>
      <c r="AV6083" s="330"/>
      <c r="AW6083" s="331"/>
      <c r="AX6083" s="331"/>
      <c r="AY6083" s="331"/>
      <c r="AZ6083" s="331"/>
      <c r="BA6083" s="331"/>
      <c r="BB6083" s="331"/>
      <c r="BC6083" s="331"/>
      <c r="BD6083" s="331"/>
      <c r="BE6083" s="333"/>
      <c r="BF6083" s="330"/>
      <c r="BG6083" s="333"/>
      <c r="BH6083" s="1119"/>
      <c r="BI6083" s="319"/>
      <c r="BJ6083" s="319"/>
      <c r="BK6083" s="319"/>
      <c r="BL6083" s="319"/>
      <c r="BM6083" s="319"/>
      <c r="BN6083" s="319"/>
      <c r="BO6083" s="319"/>
      <c r="BP6083" s="953"/>
      <c r="BQ6083" s="319"/>
      <c r="BR6083" s="319"/>
      <c r="BS6083" s="330"/>
      <c r="BT6083" s="331"/>
      <c r="BU6083" s="920"/>
      <c r="BV6083" s="903"/>
      <c r="BW6083" s="908"/>
      <c r="BX6083" s="908"/>
      <c r="BY6083" s="331"/>
      <c r="BZ6083" s="331"/>
      <c r="CA6083" s="462"/>
      <c r="CB6083" s="319"/>
      <c r="CC6083" s="319"/>
      <c r="CD6083" s="319"/>
      <c r="CE6083" s="319"/>
      <c r="CF6083" s="319"/>
      <c r="CG6083" s="319"/>
      <c r="CH6083" s="318"/>
      <c r="CI6083" s="319"/>
      <c r="CJ6083" s="319"/>
      <c r="CK6083" s="342"/>
      <c r="CL6083" s="333"/>
      <c r="CM6083" s="1079"/>
      <c r="CN6083" s="1005"/>
      <c r="CO6083" s="1005"/>
      <c r="CP6083" s="1005"/>
    </row>
    <row r="6084">
      <c r="A6084" s="1257"/>
      <c r="B6084" s="1113"/>
      <c r="C6084" s="1107"/>
      <c r="D6084" s="103"/>
      <c r="E6084" s="1137"/>
      <c r="F6084" s="112"/>
      <c r="G6084" s="1110"/>
      <c r="H6084" s="1138"/>
      <c r="I6084" s="1138"/>
      <c r="J6084" s="1139"/>
      <c r="K6084" s="1111"/>
      <c r="L6084" s="1112"/>
      <c r="M6084" s="1113"/>
      <c r="N6084" s="110"/>
      <c r="O6084" s="1140"/>
      <c r="P6084" s="1115"/>
      <c r="Q6084" s="1116"/>
      <c r="R6084" s="1141"/>
      <c r="S6084" s="1113"/>
      <c r="T6084" s="1143"/>
      <c r="U6084" s="1108"/>
      <c r="V6084" s="1108"/>
      <c r="W6084" s="1108"/>
      <c r="X6084" s="1108"/>
      <c r="Y6084" s="1108"/>
      <c r="Z6084" s="1114"/>
      <c r="AA6084" s="1114"/>
      <c r="AB6084" s="1114"/>
      <c r="AC6084" s="1117"/>
      <c r="AD6084" s="1115"/>
      <c r="AE6084" s="1115"/>
      <c r="AF6084" s="1115"/>
      <c r="AG6084" s="1115"/>
      <c r="AH6084" s="1115"/>
      <c r="AI6084" s="1115"/>
      <c r="AJ6084" s="1117"/>
      <c r="AK6084" s="1118"/>
      <c r="AL6084" s="1115"/>
      <c r="AM6084" s="1115"/>
      <c r="AN6084" s="1115"/>
      <c r="AO6084" s="1115"/>
      <c r="AP6084" s="1115"/>
      <c r="AQ6084" s="1115"/>
      <c r="AR6084" s="1115"/>
      <c r="AS6084" s="1117"/>
      <c r="AT6084" s="1075"/>
      <c r="AU6084" s="1193"/>
      <c r="AV6084" s="330"/>
      <c r="AW6084" s="331"/>
      <c r="AX6084" s="331"/>
      <c r="AY6084" s="331"/>
      <c r="AZ6084" s="331"/>
      <c r="BA6084" s="331"/>
      <c r="BB6084" s="331"/>
      <c r="BC6084" s="331"/>
      <c r="BD6084" s="331"/>
      <c r="BE6084" s="333"/>
      <c r="BF6084" s="330"/>
      <c r="BG6084" s="333"/>
      <c r="BH6084" s="1119"/>
      <c r="BI6084" s="319"/>
      <c r="BJ6084" s="319"/>
      <c r="BK6084" s="319"/>
      <c r="BL6084" s="319"/>
      <c r="BM6084" s="319"/>
      <c r="BN6084" s="319"/>
      <c r="BO6084" s="319"/>
      <c r="BP6084" s="953"/>
      <c r="BQ6084" s="319"/>
      <c r="BR6084" s="319"/>
      <c r="BS6084" s="330"/>
      <c r="BT6084" s="331"/>
      <c r="BU6084" s="920"/>
      <c r="BV6084" s="903"/>
      <c r="BW6084" s="908"/>
      <c r="BX6084" s="908"/>
      <c r="BY6084" s="331"/>
      <c r="BZ6084" s="331"/>
      <c r="CA6084" s="462"/>
      <c r="CB6084" s="319"/>
      <c r="CC6084" s="319"/>
      <c r="CD6084" s="319"/>
      <c r="CE6084" s="319"/>
      <c r="CF6084" s="319"/>
      <c r="CG6084" s="319"/>
      <c r="CH6084" s="318"/>
      <c r="CI6084" s="319"/>
      <c r="CJ6084" s="319"/>
      <c r="CK6084" s="342"/>
      <c r="CL6084" s="333"/>
      <c r="CM6084" s="1079"/>
      <c r="CN6084" s="1005"/>
      <c r="CO6084" s="1005"/>
      <c r="CP6084" s="1005"/>
    </row>
    <row r="6085">
      <c r="A6085" s="1257"/>
      <c r="B6085" s="1113"/>
      <c r="C6085" s="1107"/>
      <c r="D6085" s="103"/>
      <c r="E6085" s="1137"/>
      <c r="F6085" s="112"/>
      <c r="G6085" s="1110"/>
      <c r="H6085" s="1138"/>
      <c r="I6085" s="1138"/>
      <c r="J6085" s="1139"/>
      <c r="K6085" s="1111"/>
      <c r="L6085" s="1112"/>
      <c r="M6085" s="1113"/>
      <c r="N6085" s="110"/>
      <c r="O6085" s="1140"/>
      <c r="P6085" s="1115"/>
      <c r="Q6085" s="1116"/>
      <c r="R6085" s="1141"/>
      <c r="S6085" s="1113"/>
      <c r="T6085" s="1143"/>
      <c r="U6085" s="1108"/>
      <c r="V6085" s="1108"/>
      <c r="W6085" s="1108"/>
      <c r="X6085" s="1108"/>
      <c r="Y6085" s="1108"/>
      <c r="Z6085" s="1114"/>
      <c r="AA6085" s="1114"/>
      <c r="AB6085" s="1114"/>
      <c r="AC6085" s="1117"/>
      <c r="AD6085" s="1115"/>
      <c r="AE6085" s="1115"/>
      <c r="AF6085" s="1115"/>
      <c r="AG6085" s="1115"/>
      <c r="AH6085" s="1115"/>
      <c r="AI6085" s="1115"/>
      <c r="AJ6085" s="1117"/>
      <c r="AK6085" s="1118"/>
      <c r="AL6085" s="1115"/>
      <c r="AM6085" s="1115"/>
      <c r="AN6085" s="1115"/>
      <c r="AO6085" s="1115"/>
      <c r="AP6085" s="1115"/>
      <c r="AQ6085" s="1115"/>
      <c r="AR6085" s="1115"/>
      <c r="AS6085" s="1117"/>
      <c r="AT6085" s="1075"/>
      <c r="AU6085" s="1193"/>
      <c r="AV6085" s="330"/>
      <c r="AW6085" s="331"/>
      <c r="AX6085" s="331"/>
      <c r="AY6085" s="331"/>
      <c r="AZ6085" s="331"/>
      <c r="BA6085" s="331"/>
      <c r="BB6085" s="331"/>
      <c r="BC6085" s="331"/>
      <c r="BD6085" s="331"/>
      <c r="BE6085" s="333"/>
      <c r="BF6085" s="330"/>
      <c r="BG6085" s="333"/>
      <c r="BH6085" s="1119"/>
      <c r="BI6085" s="319"/>
      <c r="BJ6085" s="319"/>
      <c r="BK6085" s="319"/>
      <c r="BL6085" s="319"/>
      <c r="BM6085" s="319"/>
      <c r="BN6085" s="319"/>
      <c r="BO6085" s="319"/>
      <c r="BP6085" s="953"/>
      <c r="BQ6085" s="319"/>
      <c r="BR6085" s="319"/>
      <c r="BS6085" s="330"/>
      <c r="BT6085" s="331"/>
      <c r="BU6085" s="920"/>
      <c r="BV6085" s="903"/>
      <c r="BW6085" s="908"/>
      <c r="BX6085" s="908"/>
      <c r="BY6085" s="331"/>
      <c r="BZ6085" s="331"/>
      <c r="CA6085" s="462"/>
      <c r="CB6085" s="319"/>
      <c r="CC6085" s="319"/>
      <c r="CD6085" s="319"/>
      <c r="CE6085" s="319"/>
      <c r="CF6085" s="319"/>
      <c r="CG6085" s="319"/>
      <c r="CH6085" s="318"/>
      <c r="CI6085" s="319"/>
      <c r="CJ6085" s="319"/>
      <c r="CK6085" s="342"/>
      <c r="CL6085" s="333"/>
      <c r="CM6085" s="1079"/>
      <c r="CN6085" s="1005"/>
      <c r="CO6085" s="1005"/>
      <c r="CP6085" s="1005"/>
    </row>
    <row r="6086">
      <c r="A6086" s="1257"/>
      <c r="B6086" s="1113"/>
      <c r="C6086" s="1107"/>
      <c r="D6086" s="103"/>
      <c r="E6086" s="1137"/>
      <c r="F6086" s="112"/>
      <c r="G6086" s="1110"/>
      <c r="H6086" s="1138"/>
      <c r="I6086" s="1138"/>
      <c r="J6086" s="1139"/>
      <c r="K6086" s="1111"/>
      <c r="L6086" s="1112"/>
      <c r="M6086" s="1113"/>
      <c r="N6086" s="110"/>
      <c r="O6086" s="1140"/>
      <c r="P6086" s="1115"/>
      <c r="Q6086" s="1116"/>
      <c r="R6086" s="1141"/>
      <c r="S6086" s="1113"/>
      <c r="T6086" s="1143"/>
      <c r="U6086" s="1108"/>
      <c r="V6086" s="1108"/>
      <c r="W6086" s="1108"/>
      <c r="X6086" s="1108"/>
      <c r="Y6086" s="1108"/>
      <c r="Z6086" s="1114"/>
      <c r="AA6086" s="1114"/>
      <c r="AB6086" s="1114"/>
      <c r="AC6086" s="1117"/>
      <c r="AD6086" s="1115"/>
      <c r="AE6086" s="1115"/>
      <c r="AF6086" s="1115"/>
      <c r="AG6086" s="1115"/>
      <c r="AH6086" s="1115"/>
      <c r="AI6086" s="1115"/>
      <c r="AJ6086" s="1117"/>
      <c r="AK6086" s="1118"/>
      <c r="AL6086" s="1115"/>
      <c r="AM6086" s="1115"/>
      <c r="AN6086" s="1115"/>
      <c r="AO6086" s="1115"/>
      <c r="AP6086" s="1115"/>
      <c r="AQ6086" s="1115"/>
      <c r="AR6086" s="1115"/>
      <c r="AS6086" s="1117"/>
      <c r="AT6086" s="1075"/>
      <c r="AU6086" s="1193"/>
      <c r="AV6086" s="330"/>
      <c r="AW6086" s="331"/>
      <c r="AX6086" s="331"/>
      <c r="AY6086" s="331"/>
      <c r="AZ6086" s="331"/>
      <c r="BA6086" s="331"/>
      <c r="BB6086" s="331"/>
      <c r="BC6086" s="331"/>
      <c r="BD6086" s="331"/>
      <c r="BE6086" s="333"/>
      <c r="BF6086" s="330"/>
      <c r="BG6086" s="333"/>
      <c r="BH6086" s="1119"/>
      <c r="BI6086" s="319"/>
      <c r="BJ6086" s="319"/>
      <c r="BK6086" s="319"/>
      <c r="BL6086" s="319"/>
      <c r="BM6086" s="319"/>
      <c r="BN6086" s="319"/>
      <c r="BO6086" s="319"/>
      <c r="BP6086" s="953"/>
      <c r="BQ6086" s="319"/>
      <c r="BR6086" s="319"/>
      <c r="BS6086" s="330"/>
      <c r="BT6086" s="331"/>
      <c r="BU6086" s="920"/>
      <c r="BV6086" s="903"/>
      <c r="BW6086" s="908"/>
      <c r="BX6086" s="908"/>
      <c r="BY6086" s="331"/>
      <c r="BZ6086" s="331"/>
      <c r="CA6086" s="462"/>
      <c r="CB6086" s="319"/>
      <c r="CC6086" s="319"/>
      <c r="CD6086" s="319"/>
      <c r="CE6086" s="319"/>
      <c r="CF6086" s="319"/>
      <c r="CG6086" s="319"/>
      <c r="CH6086" s="318"/>
      <c r="CI6086" s="319"/>
      <c r="CJ6086" s="319"/>
      <c r="CK6086" s="342"/>
      <c r="CL6086" s="333"/>
      <c r="CM6086" s="1079"/>
      <c r="CN6086" s="1005"/>
      <c r="CO6086" s="1005"/>
      <c r="CP6086" s="1005"/>
    </row>
    <row r="6087">
      <c r="A6087" s="1257"/>
      <c r="B6087" s="1113"/>
      <c r="C6087" s="1107"/>
      <c r="D6087" s="103"/>
      <c r="E6087" s="1137"/>
      <c r="F6087" s="112"/>
      <c r="G6087" s="1110"/>
      <c r="H6087" s="1138"/>
      <c r="I6087" s="1138"/>
      <c r="J6087" s="1139"/>
      <c r="K6087" s="1111"/>
      <c r="L6087" s="1112"/>
      <c r="M6087" s="1113"/>
      <c r="N6087" s="110"/>
      <c r="O6087" s="1140"/>
      <c r="P6087" s="1115"/>
      <c r="Q6087" s="1116"/>
      <c r="R6087" s="1141"/>
      <c r="S6087" s="1113"/>
      <c r="T6087" s="1143"/>
      <c r="U6087" s="1108"/>
      <c r="V6087" s="1108"/>
      <c r="W6087" s="1108"/>
      <c r="X6087" s="1108"/>
      <c r="Y6087" s="1108"/>
      <c r="Z6087" s="1114"/>
      <c r="AA6087" s="1114"/>
      <c r="AB6087" s="1114"/>
      <c r="AC6087" s="1117"/>
      <c r="AD6087" s="1115"/>
      <c r="AE6087" s="1115"/>
      <c r="AF6087" s="1115"/>
      <c r="AG6087" s="1115"/>
      <c r="AH6087" s="1115"/>
      <c r="AI6087" s="1115"/>
      <c r="AJ6087" s="1117"/>
      <c r="AK6087" s="1118"/>
      <c r="AL6087" s="1115"/>
      <c r="AM6087" s="1115"/>
      <c r="AN6087" s="1115"/>
      <c r="AO6087" s="1115"/>
      <c r="AP6087" s="1115"/>
      <c r="AQ6087" s="1115"/>
      <c r="AR6087" s="1115"/>
      <c r="AS6087" s="1117"/>
      <c r="AT6087" s="1075"/>
      <c r="AU6087" s="1193"/>
      <c r="AV6087" s="330"/>
      <c r="AW6087" s="331"/>
      <c r="AX6087" s="331"/>
      <c r="AY6087" s="331"/>
      <c r="AZ6087" s="331"/>
      <c r="BA6087" s="331"/>
      <c r="BB6087" s="331"/>
      <c r="BC6087" s="331"/>
      <c r="BD6087" s="331"/>
      <c r="BE6087" s="333"/>
      <c r="BF6087" s="330"/>
      <c r="BG6087" s="333"/>
      <c r="BH6087" s="1119"/>
      <c r="BI6087" s="319"/>
      <c r="BJ6087" s="319"/>
      <c r="BK6087" s="319"/>
      <c r="BL6087" s="319"/>
      <c r="BM6087" s="319"/>
      <c r="BN6087" s="319"/>
      <c r="BO6087" s="319"/>
      <c r="BP6087" s="953"/>
      <c r="BQ6087" s="319"/>
      <c r="BR6087" s="319"/>
      <c r="BS6087" s="330"/>
      <c r="BT6087" s="331"/>
      <c r="BU6087" s="920"/>
      <c r="BV6087" s="903"/>
      <c r="BW6087" s="908"/>
      <c r="BX6087" s="908"/>
      <c r="BY6087" s="331"/>
      <c r="BZ6087" s="331"/>
      <c r="CA6087" s="462"/>
      <c r="CB6087" s="319"/>
      <c r="CC6087" s="319"/>
      <c r="CD6087" s="319"/>
      <c r="CE6087" s="319"/>
      <c r="CF6087" s="319"/>
      <c r="CG6087" s="319"/>
      <c r="CH6087" s="318"/>
      <c r="CI6087" s="319"/>
      <c r="CJ6087" s="319"/>
      <c r="CK6087" s="342"/>
      <c r="CL6087" s="333"/>
      <c r="CM6087" s="1079"/>
      <c r="CN6087" s="1005"/>
      <c r="CO6087" s="1005"/>
      <c r="CP6087" s="1005"/>
    </row>
    <row r="6088">
      <c r="A6088" s="1257"/>
      <c r="B6088" s="1113"/>
      <c r="C6088" s="1107"/>
      <c r="D6088" s="103"/>
      <c r="E6088" s="1137"/>
      <c r="F6088" s="112"/>
      <c r="G6088" s="1110"/>
      <c r="H6088" s="1138"/>
      <c r="I6088" s="1138"/>
      <c r="J6088" s="1139"/>
      <c r="K6088" s="1111"/>
      <c r="L6088" s="1112"/>
      <c r="M6088" s="1113"/>
      <c r="N6088" s="110"/>
      <c r="O6088" s="1140"/>
      <c r="P6088" s="1115"/>
      <c r="Q6088" s="1116"/>
      <c r="R6088" s="1141"/>
      <c r="S6088" s="1113"/>
      <c r="T6088" s="1143"/>
      <c r="U6088" s="1108"/>
      <c r="V6088" s="1108"/>
      <c r="W6088" s="1108"/>
      <c r="X6088" s="1108"/>
      <c r="Y6088" s="1108"/>
      <c r="Z6088" s="1114"/>
      <c r="AA6088" s="1114"/>
      <c r="AB6088" s="1114"/>
      <c r="AC6088" s="1117"/>
      <c r="AD6088" s="1115"/>
      <c r="AE6088" s="1115"/>
      <c r="AF6088" s="1115"/>
      <c r="AG6088" s="1115"/>
      <c r="AH6088" s="1115"/>
      <c r="AI6088" s="1115"/>
      <c r="AJ6088" s="1117"/>
      <c r="AK6088" s="1118"/>
      <c r="AL6088" s="1115"/>
      <c r="AM6088" s="1115"/>
      <c r="AN6088" s="1115"/>
      <c r="AO6088" s="1115"/>
      <c r="AP6088" s="1115"/>
      <c r="AQ6088" s="1115"/>
      <c r="AR6088" s="1115"/>
      <c r="AS6088" s="1117"/>
      <c r="AT6088" s="1075"/>
      <c r="AU6088" s="1193"/>
      <c r="AV6088" s="330"/>
      <c r="AW6088" s="331"/>
      <c r="AX6088" s="331"/>
      <c r="AY6088" s="331"/>
      <c r="AZ6088" s="331"/>
      <c r="BA6088" s="331"/>
      <c r="BB6088" s="331"/>
      <c r="BC6088" s="331"/>
      <c r="BD6088" s="331"/>
      <c r="BE6088" s="333"/>
      <c r="BF6088" s="330"/>
      <c r="BG6088" s="333"/>
      <c r="BH6088" s="1119"/>
      <c r="BI6088" s="319"/>
      <c r="BJ6088" s="319"/>
      <c r="BK6088" s="319"/>
      <c r="BL6088" s="319"/>
      <c r="BM6088" s="319"/>
      <c r="BN6088" s="319"/>
      <c r="BO6088" s="319"/>
      <c r="BP6088" s="953"/>
      <c r="BQ6088" s="319"/>
      <c r="BR6088" s="319"/>
      <c r="BS6088" s="330"/>
      <c r="BT6088" s="331"/>
      <c r="BU6088" s="920"/>
      <c r="BV6088" s="903"/>
      <c r="BW6088" s="908"/>
      <c r="BX6088" s="908"/>
      <c r="BY6088" s="331"/>
      <c r="BZ6088" s="331"/>
      <c r="CA6088" s="462"/>
      <c r="CB6088" s="319"/>
      <c r="CC6088" s="319"/>
      <c r="CD6088" s="319"/>
      <c r="CE6088" s="319"/>
      <c r="CF6088" s="319"/>
      <c r="CG6088" s="319"/>
      <c r="CH6088" s="318"/>
      <c r="CI6088" s="319"/>
      <c r="CJ6088" s="319"/>
      <c r="CK6088" s="342"/>
      <c r="CL6088" s="333"/>
      <c r="CM6088" s="1079"/>
      <c r="CN6088" s="1005"/>
      <c r="CO6088" s="1005"/>
      <c r="CP6088" s="1005"/>
    </row>
    <row r="6089">
      <c r="A6089" s="1257"/>
      <c r="B6089" s="1113"/>
      <c r="C6089" s="1107"/>
      <c r="D6089" s="103"/>
      <c r="E6089" s="1137"/>
      <c r="F6089" s="112"/>
      <c r="G6089" s="1110"/>
      <c r="H6089" s="1138"/>
      <c r="I6089" s="1138"/>
      <c r="J6089" s="1139"/>
      <c r="K6089" s="1111"/>
      <c r="L6089" s="1112"/>
      <c r="M6089" s="1113"/>
      <c r="N6089" s="110"/>
      <c r="O6089" s="1140"/>
      <c r="P6089" s="1115"/>
      <c r="Q6089" s="1116"/>
      <c r="R6089" s="1141"/>
      <c r="S6089" s="1113"/>
      <c r="T6089" s="1143"/>
      <c r="U6089" s="1108"/>
      <c r="V6089" s="1108"/>
      <c r="W6089" s="1108"/>
      <c r="X6089" s="1108"/>
      <c r="Y6089" s="1108"/>
      <c r="Z6089" s="1114"/>
      <c r="AA6089" s="1114"/>
      <c r="AB6089" s="1114"/>
      <c r="AC6089" s="1117"/>
      <c r="AD6089" s="1115"/>
      <c r="AE6089" s="1115"/>
      <c r="AF6089" s="1115"/>
      <c r="AG6089" s="1115"/>
      <c r="AH6089" s="1115"/>
      <c r="AI6089" s="1115"/>
      <c r="AJ6089" s="1117"/>
      <c r="AK6089" s="1118"/>
      <c r="AL6089" s="1115"/>
      <c r="AM6089" s="1115"/>
      <c r="AN6089" s="1115"/>
      <c r="AO6089" s="1115"/>
      <c r="AP6089" s="1115"/>
      <c r="AQ6089" s="1115"/>
      <c r="AR6089" s="1115"/>
      <c r="AS6089" s="1117"/>
      <c r="AT6089" s="1075"/>
      <c r="AU6089" s="1193"/>
      <c r="AV6089" s="330"/>
      <c r="AW6089" s="331"/>
      <c r="AX6089" s="331"/>
      <c r="AY6089" s="331"/>
      <c r="AZ6089" s="331"/>
      <c r="BA6089" s="331"/>
      <c r="BB6089" s="331"/>
      <c r="BC6089" s="331"/>
      <c r="BD6089" s="331"/>
      <c r="BE6089" s="333"/>
      <c r="BF6089" s="330"/>
      <c r="BG6089" s="333"/>
      <c r="BH6089" s="1119"/>
      <c r="BI6089" s="319"/>
      <c r="BJ6089" s="319"/>
      <c r="BK6089" s="319"/>
      <c r="BL6089" s="319"/>
      <c r="BM6089" s="319"/>
      <c r="BN6089" s="319"/>
      <c r="BO6089" s="319"/>
      <c r="BP6089" s="953"/>
      <c r="BQ6089" s="319"/>
      <c r="BR6089" s="319"/>
      <c r="BS6089" s="330"/>
      <c r="BT6089" s="331"/>
      <c r="BU6089" s="920"/>
      <c r="BV6089" s="903"/>
      <c r="BW6089" s="908"/>
      <c r="BX6089" s="908"/>
      <c r="BY6089" s="331"/>
      <c r="BZ6089" s="331"/>
      <c r="CA6089" s="462"/>
      <c r="CB6089" s="319"/>
      <c r="CC6089" s="319"/>
      <c r="CD6089" s="319"/>
      <c r="CE6089" s="319"/>
      <c r="CF6089" s="319"/>
      <c r="CG6089" s="319"/>
      <c r="CH6089" s="318"/>
      <c r="CI6089" s="319"/>
      <c r="CJ6089" s="319"/>
      <c r="CK6089" s="342"/>
      <c r="CL6089" s="333"/>
      <c r="CM6089" s="1079"/>
      <c r="CN6089" s="1005"/>
      <c r="CO6089" s="1005"/>
      <c r="CP6089" s="1005"/>
    </row>
    <row r="6090">
      <c r="A6090" s="1257"/>
      <c r="B6090" s="1113"/>
      <c r="C6090" s="1107"/>
      <c r="D6090" s="103"/>
      <c r="E6090" s="1137"/>
      <c r="F6090" s="112"/>
      <c r="G6090" s="1110"/>
      <c r="H6090" s="1138"/>
      <c r="I6090" s="1138"/>
      <c r="J6090" s="1139"/>
      <c r="K6090" s="1111"/>
      <c r="L6090" s="1112"/>
      <c r="M6090" s="1113"/>
      <c r="N6090" s="110"/>
      <c r="O6090" s="1140"/>
      <c r="P6090" s="1115"/>
      <c r="Q6090" s="1116"/>
      <c r="R6090" s="1141"/>
      <c r="S6090" s="1113"/>
      <c r="T6090" s="1143"/>
      <c r="U6090" s="1108"/>
      <c r="V6090" s="1108"/>
      <c r="W6090" s="1108"/>
      <c r="X6090" s="1108"/>
      <c r="Y6090" s="1108"/>
      <c r="Z6090" s="1114"/>
      <c r="AA6090" s="1114"/>
      <c r="AB6090" s="1114"/>
      <c r="AC6090" s="1117"/>
      <c r="AD6090" s="1115"/>
      <c r="AE6090" s="1115"/>
      <c r="AF6090" s="1115"/>
      <c r="AG6090" s="1115"/>
      <c r="AH6090" s="1115"/>
      <c r="AI6090" s="1115"/>
      <c r="AJ6090" s="1117"/>
      <c r="AK6090" s="1118"/>
      <c r="AL6090" s="1115"/>
      <c r="AM6090" s="1115"/>
      <c r="AN6090" s="1115"/>
      <c r="AO6090" s="1115"/>
      <c r="AP6090" s="1115"/>
      <c r="AQ6090" s="1115"/>
      <c r="AR6090" s="1115"/>
      <c r="AS6090" s="1117"/>
      <c r="AT6090" s="1075"/>
      <c r="AU6090" s="1193"/>
      <c r="AV6090" s="330"/>
      <c r="AW6090" s="331"/>
      <c r="AX6090" s="331"/>
      <c r="AY6090" s="331"/>
      <c r="AZ6090" s="331"/>
      <c r="BA6090" s="331"/>
      <c r="BB6090" s="331"/>
      <c r="BC6090" s="331"/>
      <c r="BD6090" s="331"/>
      <c r="BE6090" s="333"/>
      <c r="BF6090" s="330"/>
      <c r="BG6090" s="333"/>
      <c r="BH6090" s="1119"/>
      <c r="BI6090" s="319"/>
      <c r="BJ6090" s="319"/>
      <c r="BK6090" s="319"/>
      <c r="BL6090" s="319"/>
      <c r="BM6090" s="319"/>
      <c r="BN6090" s="319"/>
      <c r="BO6090" s="319"/>
      <c r="BP6090" s="953"/>
      <c r="BQ6090" s="319"/>
      <c r="BR6090" s="319"/>
      <c r="BS6090" s="330"/>
      <c r="BT6090" s="331"/>
      <c r="BU6090" s="920"/>
      <c r="BV6090" s="903"/>
      <c r="BW6090" s="908"/>
      <c r="BX6090" s="908"/>
      <c r="BY6090" s="331"/>
      <c r="BZ6090" s="331"/>
      <c r="CA6090" s="462"/>
      <c r="CB6090" s="319"/>
      <c r="CC6090" s="319"/>
      <c r="CD6090" s="319"/>
      <c r="CE6090" s="319"/>
      <c r="CF6090" s="319"/>
      <c r="CG6090" s="319"/>
      <c r="CH6090" s="318"/>
      <c r="CI6090" s="319"/>
      <c r="CJ6090" s="319"/>
      <c r="CK6090" s="342"/>
      <c r="CL6090" s="333"/>
      <c r="CM6090" s="1079"/>
      <c r="CN6090" s="1005"/>
      <c r="CO6090" s="1005"/>
      <c r="CP6090" s="1005"/>
    </row>
    <row r="6091">
      <c r="A6091" s="1257"/>
      <c r="B6091" s="1113"/>
      <c r="C6091" s="1107"/>
      <c r="D6091" s="103"/>
      <c r="E6091" s="1137"/>
      <c r="F6091" s="112"/>
      <c r="G6091" s="1110"/>
      <c r="H6091" s="1138"/>
      <c r="I6091" s="1138"/>
      <c r="J6091" s="1139"/>
      <c r="K6091" s="1111"/>
      <c r="L6091" s="1112"/>
      <c r="M6091" s="1113"/>
      <c r="N6091" s="110"/>
      <c r="O6091" s="1140"/>
      <c r="P6091" s="1115"/>
      <c r="Q6091" s="1116"/>
      <c r="R6091" s="1141"/>
      <c r="S6091" s="1113"/>
      <c r="T6091" s="1143"/>
      <c r="U6091" s="1108"/>
      <c r="V6091" s="1108"/>
      <c r="W6091" s="1108"/>
      <c r="X6091" s="1108"/>
      <c r="Y6091" s="1108"/>
      <c r="Z6091" s="1114"/>
      <c r="AA6091" s="1114"/>
      <c r="AB6091" s="1114"/>
      <c r="AC6091" s="1117"/>
      <c r="AD6091" s="1115"/>
      <c r="AE6091" s="1115"/>
      <c r="AF6091" s="1115"/>
      <c r="AG6091" s="1115"/>
      <c r="AH6091" s="1115"/>
      <c r="AI6091" s="1115"/>
      <c r="AJ6091" s="1117"/>
      <c r="AK6091" s="1118"/>
      <c r="AL6091" s="1115"/>
      <c r="AM6091" s="1115"/>
      <c r="AN6091" s="1115"/>
      <c r="AO6091" s="1115"/>
      <c r="AP6091" s="1115"/>
      <c r="AQ6091" s="1115"/>
      <c r="AR6091" s="1115"/>
      <c r="AS6091" s="1117"/>
      <c r="AT6091" s="1075"/>
      <c r="AU6091" s="1193"/>
      <c r="AV6091" s="330"/>
      <c r="AW6091" s="331"/>
      <c r="AX6091" s="331"/>
      <c r="AY6091" s="331"/>
      <c r="AZ6091" s="331"/>
      <c r="BA6091" s="331"/>
      <c r="BB6091" s="331"/>
      <c r="BC6091" s="331"/>
      <c r="BD6091" s="331"/>
      <c r="BE6091" s="333"/>
      <c r="BF6091" s="330"/>
      <c r="BG6091" s="333"/>
      <c r="BH6091" s="1119"/>
      <c r="BI6091" s="319"/>
      <c r="BJ6091" s="319"/>
      <c r="BK6091" s="319"/>
      <c r="BL6091" s="319"/>
      <c r="BM6091" s="319"/>
      <c r="BN6091" s="319"/>
      <c r="BO6091" s="319"/>
      <c r="BP6091" s="953"/>
      <c r="BQ6091" s="319"/>
      <c r="BR6091" s="319"/>
      <c r="BS6091" s="330"/>
      <c r="BT6091" s="331"/>
      <c r="BU6091" s="920"/>
      <c r="BV6091" s="903"/>
      <c r="BW6091" s="908"/>
      <c r="BX6091" s="908"/>
      <c r="BY6091" s="331"/>
      <c r="BZ6091" s="331"/>
      <c r="CA6091" s="462"/>
      <c r="CB6091" s="319"/>
      <c r="CC6091" s="319"/>
      <c r="CD6091" s="319"/>
      <c r="CE6091" s="319"/>
      <c r="CF6091" s="319"/>
      <c r="CG6091" s="319"/>
      <c r="CH6091" s="318"/>
      <c r="CI6091" s="319"/>
      <c r="CJ6091" s="319"/>
      <c r="CK6091" s="342"/>
      <c r="CL6091" s="333"/>
      <c r="CM6091" s="1079"/>
      <c r="CN6091" s="1005"/>
      <c r="CO6091" s="1005"/>
      <c r="CP6091" s="1005"/>
    </row>
    <row r="6092">
      <c r="A6092" s="1257"/>
      <c r="B6092" s="1113"/>
      <c r="C6092" s="1107"/>
      <c r="D6092" s="103"/>
      <c r="E6092" s="1137"/>
      <c r="F6092" s="112"/>
      <c r="G6092" s="1110"/>
      <c r="H6092" s="1138"/>
      <c r="I6092" s="1138"/>
      <c r="J6092" s="1139"/>
      <c r="K6092" s="1111"/>
      <c r="L6092" s="1112"/>
      <c r="M6092" s="1113"/>
      <c r="N6092" s="110"/>
      <c r="O6092" s="1140"/>
      <c r="P6092" s="1115"/>
      <c r="Q6092" s="1116"/>
      <c r="R6092" s="1141"/>
      <c r="S6092" s="1113"/>
      <c r="T6092" s="1143"/>
      <c r="U6092" s="1108"/>
      <c r="V6092" s="1108"/>
      <c r="W6092" s="1108"/>
      <c r="X6092" s="1108"/>
      <c r="Y6092" s="1108"/>
      <c r="Z6092" s="1114"/>
      <c r="AA6092" s="1114"/>
      <c r="AB6092" s="1114"/>
      <c r="AC6092" s="1117"/>
      <c r="AD6092" s="1115"/>
      <c r="AE6092" s="1115"/>
      <c r="AF6092" s="1115"/>
      <c r="AG6092" s="1115"/>
      <c r="AH6092" s="1115"/>
      <c r="AI6092" s="1115"/>
      <c r="AJ6092" s="1117"/>
      <c r="AK6092" s="1118"/>
      <c r="AL6092" s="1115"/>
      <c r="AM6092" s="1115"/>
      <c r="AN6092" s="1115"/>
      <c r="AO6092" s="1115"/>
      <c r="AP6092" s="1115"/>
      <c r="AQ6092" s="1115"/>
      <c r="AR6092" s="1115"/>
      <c r="AS6092" s="1117"/>
      <c r="AT6092" s="1075"/>
      <c r="AU6092" s="1193"/>
      <c r="AV6092" s="330"/>
      <c r="AW6092" s="331"/>
      <c r="AX6092" s="331"/>
      <c r="AY6092" s="331"/>
      <c r="AZ6092" s="331"/>
      <c r="BA6092" s="331"/>
      <c r="BB6092" s="331"/>
      <c r="BC6092" s="331"/>
      <c r="BD6092" s="331"/>
      <c r="BE6092" s="333"/>
      <c r="BF6092" s="330"/>
      <c r="BG6092" s="333"/>
      <c r="BH6092" s="1119"/>
      <c r="BI6092" s="319"/>
      <c r="BJ6092" s="319"/>
      <c r="BK6092" s="319"/>
      <c r="BL6092" s="319"/>
      <c r="BM6092" s="319"/>
      <c r="BN6092" s="319"/>
      <c r="BO6092" s="319"/>
      <c r="BP6092" s="953"/>
      <c r="BQ6092" s="319"/>
      <c r="BR6092" s="319"/>
      <c r="BS6092" s="330"/>
      <c r="BT6092" s="331"/>
      <c r="BU6092" s="920"/>
      <c r="BV6092" s="903"/>
      <c r="BW6092" s="908"/>
      <c r="BX6092" s="908"/>
      <c r="BY6092" s="331"/>
      <c r="BZ6092" s="331"/>
      <c r="CA6092" s="462"/>
      <c r="CB6092" s="319"/>
      <c r="CC6092" s="319"/>
      <c r="CD6092" s="319"/>
      <c r="CE6092" s="319"/>
      <c r="CF6092" s="319"/>
      <c r="CG6092" s="319"/>
      <c r="CH6092" s="318"/>
      <c r="CI6092" s="319"/>
      <c r="CJ6092" s="319"/>
      <c r="CK6092" s="342"/>
      <c r="CL6092" s="333"/>
      <c r="CM6092" s="1079"/>
      <c r="CN6092" s="1005"/>
      <c r="CO6092" s="1005"/>
      <c r="CP6092" s="1005"/>
    </row>
    <row r="6093">
      <c r="A6093" s="1257"/>
      <c r="B6093" s="1113"/>
      <c r="C6093" s="1107"/>
      <c r="D6093" s="103"/>
      <c r="E6093" s="1137"/>
      <c r="F6093" s="112"/>
      <c r="G6093" s="1110"/>
      <c r="H6093" s="1138"/>
      <c r="I6093" s="1138"/>
      <c r="J6093" s="1139"/>
      <c r="K6093" s="1111"/>
      <c r="L6093" s="1112"/>
      <c r="M6093" s="1113"/>
      <c r="N6093" s="110"/>
      <c r="O6093" s="1140"/>
      <c r="P6093" s="1115"/>
      <c r="Q6093" s="1116"/>
      <c r="R6093" s="1141"/>
      <c r="S6093" s="1113"/>
      <c r="T6093" s="1143"/>
      <c r="U6093" s="1108"/>
      <c r="V6093" s="1108"/>
      <c r="W6093" s="1108"/>
      <c r="X6093" s="1108"/>
      <c r="Y6093" s="1108"/>
      <c r="Z6093" s="1114"/>
      <c r="AA6093" s="1114"/>
      <c r="AB6093" s="1114"/>
      <c r="AC6093" s="1117"/>
      <c r="AD6093" s="1115"/>
      <c r="AE6093" s="1115"/>
      <c r="AF6093" s="1115"/>
      <c r="AG6093" s="1115"/>
      <c r="AH6093" s="1115"/>
      <c r="AI6093" s="1115"/>
      <c r="AJ6093" s="1117"/>
      <c r="AK6093" s="1118"/>
      <c r="AL6093" s="1115"/>
      <c r="AM6093" s="1115"/>
      <c r="AN6093" s="1115"/>
      <c r="AO6093" s="1115"/>
      <c r="AP6093" s="1115"/>
      <c r="AQ6093" s="1115"/>
      <c r="AR6093" s="1115"/>
      <c r="AS6093" s="1117"/>
      <c r="AT6093" s="1075"/>
      <c r="AU6093" s="1193"/>
      <c r="AV6093" s="330"/>
      <c r="AW6093" s="331"/>
      <c r="AX6093" s="331"/>
      <c r="AY6093" s="331"/>
      <c r="AZ6093" s="331"/>
      <c r="BA6093" s="331"/>
      <c r="BB6093" s="331"/>
      <c r="BC6093" s="331"/>
      <c r="BD6093" s="331"/>
      <c r="BE6093" s="333"/>
      <c r="BF6093" s="330"/>
      <c r="BG6093" s="333"/>
      <c r="BH6093" s="1119"/>
      <c r="BI6093" s="319"/>
      <c r="BJ6093" s="319"/>
      <c r="BK6093" s="319"/>
      <c r="BL6093" s="319"/>
      <c r="BM6093" s="319"/>
      <c r="BN6093" s="319"/>
      <c r="BO6093" s="319"/>
      <c r="BP6093" s="953"/>
      <c r="BQ6093" s="319"/>
      <c r="BR6093" s="319"/>
      <c r="BS6093" s="330"/>
      <c r="BT6093" s="331"/>
      <c r="BU6093" s="920"/>
      <c r="BV6093" s="903"/>
      <c r="BW6093" s="908"/>
      <c r="BX6093" s="908"/>
      <c r="BY6093" s="331"/>
      <c r="BZ6093" s="331"/>
      <c r="CA6093" s="462"/>
      <c r="CB6093" s="319"/>
      <c r="CC6093" s="319"/>
      <c r="CD6093" s="319"/>
      <c r="CE6093" s="319"/>
      <c r="CF6093" s="319"/>
      <c r="CG6093" s="319"/>
      <c r="CH6093" s="318"/>
      <c r="CI6093" s="319"/>
      <c r="CJ6093" s="319"/>
      <c r="CK6093" s="342"/>
      <c r="CL6093" s="333"/>
      <c r="CM6093" s="1079"/>
      <c r="CN6093" s="1005"/>
      <c r="CO6093" s="1005"/>
      <c r="CP6093" s="1005"/>
    </row>
    <row r="6094">
      <c r="A6094" s="1257"/>
      <c r="B6094" s="1113"/>
      <c r="C6094" s="1107"/>
      <c r="D6094" s="103"/>
      <c r="E6094" s="1137"/>
      <c r="F6094" s="112"/>
      <c r="G6094" s="1110"/>
      <c r="H6094" s="1138"/>
      <c r="I6094" s="1138"/>
      <c r="J6094" s="1139"/>
      <c r="K6094" s="1111"/>
      <c r="L6094" s="1112"/>
      <c r="M6094" s="1113"/>
      <c r="N6094" s="110"/>
      <c r="O6094" s="1140"/>
      <c r="P6094" s="1115"/>
      <c r="Q6094" s="1116"/>
      <c r="R6094" s="1141"/>
      <c r="S6094" s="1113"/>
      <c r="T6094" s="1143"/>
      <c r="U6094" s="1108"/>
      <c r="V6094" s="1108"/>
      <c r="W6094" s="1108"/>
      <c r="X6094" s="1108"/>
      <c r="Y6094" s="1108"/>
      <c r="Z6094" s="1114"/>
      <c r="AA6094" s="1114"/>
      <c r="AB6094" s="1114"/>
      <c r="AC6094" s="1117"/>
      <c r="AD6094" s="1115"/>
      <c r="AE6094" s="1115"/>
      <c r="AF6094" s="1115"/>
      <c r="AG6094" s="1115"/>
      <c r="AH6094" s="1115"/>
      <c r="AI6094" s="1115"/>
      <c r="AJ6094" s="1117"/>
      <c r="AK6094" s="1118"/>
      <c r="AL6094" s="1115"/>
      <c r="AM6094" s="1115"/>
      <c r="AN6094" s="1115"/>
      <c r="AO6094" s="1115"/>
      <c r="AP6094" s="1115"/>
      <c r="AQ6094" s="1115"/>
      <c r="AR6094" s="1115"/>
      <c r="AS6094" s="1117"/>
      <c r="AT6094" s="1075"/>
      <c r="AU6094" s="1193"/>
      <c r="AV6094" s="330"/>
      <c r="AW6094" s="331"/>
      <c r="AX6094" s="331"/>
      <c r="AY6094" s="331"/>
      <c r="AZ6094" s="331"/>
      <c r="BA6094" s="331"/>
      <c r="BB6094" s="331"/>
      <c r="BC6094" s="331"/>
      <c r="BD6094" s="331"/>
      <c r="BE6094" s="333"/>
      <c r="BF6094" s="330"/>
      <c r="BG6094" s="333"/>
      <c r="BH6094" s="1119"/>
      <c r="BI6094" s="319"/>
      <c r="BJ6094" s="319"/>
      <c r="BK6094" s="319"/>
      <c r="BL6094" s="319"/>
      <c r="BM6094" s="319"/>
      <c r="BN6094" s="319"/>
      <c r="BO6094" s="319"/>
      <c r="BP6094" s="953"/>
      <c r="BQ6094" s="319"/>
      <c r="BR6094" s="319"/>
      <c r="BS6094" s="330"/>
      <c r="BT6094" s="331"/>
      <c r="BU6094" s="920"/>
      <c r="BV6094" s="903"/>
      <c r="BW6094" s="908"/>
      <c r="BX6094" s="908"/>
      <c r="BY6094" s="331"/>
      <c r="BZ6094" s="331"/>
      <c r="CA6094" s="462"/>
      <c r="CB6094" s="319"/>
      <c r="CC6094" s="319"/>
      <c r="CD6094" s="319"/>
      <c r="CE6094" s="319"/>
      <c r="CF6094" s="319"/>
      <c r="CG6094" s="319"/>
      <c r="CH6094" s="318"/>
      <c r="CI6094" s="319"/>
      <c r="CJ6094" s="319"/>
      <c r="CK6094" s="342"/>
      <c r="CL6094" s="333"/>
      <c r="CM6094" s="1079"/>
      <c r="CN6094" s="1005"/>
      <c r="CO6094" s="1005"/>
      <c r="CP6094" s="1005"/>
    </row>
    <row r="6095">
      <c r="A6095" s="1257"/>
      <c r="B6095" s="1113"/>
      <c r="C6095" s="1107"/>
      <c r="D6095" s="103"/>
      <c r="E6095" s="1137"/>
      <c r="F6095" s="112"/>
      <c r="G6095" s="1110"/>
      <c r="H6095" s="1138"/>
      <c r="I6095" s="1138"/>
      <c r="J6095" s="1139"/>
      <c r="K6095" s="1111"/>
      <c r="L6095" s="1112"/>
      <c r="M6095" s="1113"/>
      <c r="N6095" s="110"/>
      <c r="O6095" s="1140"/>
      <c r="P6095" s="1115"/>
      <c r="Q6095" s="1116"/>
      <c r="R6095" s="1141"/>
      <c r="S6095" s="1113"/>
      <c r="T6095" s="1143"/>
      <c r="U6095" s="1108"/>
      <c r="V6095" s="1108"/>
      <c r="W6095" s="1108"/>
      <c r="X6095" s="1108"/>
      <c r="Y6095" s="1108"/>
      <c r="Z6095" s="1114"/>
      <c r="AA6095" s="1114"/>
      <c r="AB6095" s="1114"/>
      <c r="AC6095" s="1117"/>
      <c r="AD6095" s="1115"/>
      <c r="AE6095" s="1115"/>
      <c r="AF6095" s="1115"/>
      <c r="AG6095" s="1115"/>
      <c r="AH6095" s="1115"/>
      <c r="AI6095" s="1115"/>
      <c r="AJ6095" s="1117"/>
      <c r="AK6095" s="1118"/>
      <c r="AL6095" s="1115"/>
      <c r="AM6095" s="1115"/>
      <c r="AN6095" s="1115"/>
      <c r="AO6095" s="1115"/>
      <c r="AP6095" s="1115"/>
      <c r="AQ6095" s="1115"/>
      <c r="AR6095" s="1115"/>
      <c r="AS6095" s="1117"/>
      <c r="AT6095" s="1075"/>
      <c r="AU6095" s="1193"/>
      <c r="AV6095" s="330"/>
      <c r="AW6095" s="331"/>
      <c r="AX6095" s="331"/>
      <c r="AY6095" s="331"/>
      <c r="AZ6095" s="331"/>
      <c r="BA6095" s="331"/>
      <c r="BB6095" s="331"/>
      <c r="BC6095" s="331"/>
      <c r="BD6095" s="331"/>
      <c r="BE6095" s="333"/>
      <c r="BF6095" s="330"/>
      <c r="BG6095" s="333"/>
      <c r="BH6095" s="1119"/>
      <c r="BI6095" s="319"/>
      <c r="BJ6095" s="319"/>
      <c r="BK6095" s="319"/>
      <c r="BL6095" s="319"/>
      <c r="BM6095" s="319"/>
      <c r="BN6095" s="319"/>
      <c r="BO6095" s="319"/>
      <c r="BP6095" s="953"/>
      <c r="BQ6095" s="319"/>
      <c r="BR6095" s="319"/>
      <c r="BS6095" s="330"/>
      <c r="BT6095" s="331"/>
      <c r="BU6095" s="920"/>
      <c r="BV6095" s="903"/>
      <c r="BW6095" s="908"/>
      <c r="BX6095" s="908"/>
      <c r="BY6095" s="331"/>
      <c r="BZ6095" s="331"/>
      <c r="CA6095" s="462"/>
      <c r="CB6095" s="319"/>
      <c r="CC6095" s="319"/>
      <c r="CD6095" s="319"/>
      <c r="CE6095" s="319"/>
      <c r="CF6095" s="319"/>
      <c r="CG6095" s="319"/>
      <c r="CH6095" s="318"/>
      <c r="CI6095" s="319"/>
      <c r="CJ6095" s="319"/>
      <c r="CK6095" s="342"/>
      <c r="CL6095" s="333"/>
      <c r="CM6095" s="1079"/>
      <c r="CN6095" s="1005"/>
      <c r="CO6095" s="1005"/>
      <c r="CP6095" s="1005"/>
    </row>
    <row r="6096">
      <c r="A6096" s="1257"/>
      <c r="B6096" s="1113"/>
      <c r="C6096" s="1107"/>
      <c r="D6096" s="103"/>
      <c r="E6096" s="1137"/>
      <c r="F6096" s="112"/>
      <c r="G6096" s="1110"/>
      <c r="H6096" s="1138"/>
      <c r="I6096" s="1138"/>
      <c r="J6096" s="1139"/>
      <c r="K6096" s="1111"/>
      <c r="L6096" s="1112"/>
      <c r="M6096" s="1113"/>
      <c r="N6096" s="110"/>
      <c r="O6096" s="1140"/>
      <c r="P6096" s="1115"/>
      <c r="Q6096" s="1116"/>
      <c r="R6096" s="1141"/>
      <c r="S6096" s="1113"/>
      <c r="T6096" s="1143"/>
      <c r="U6096" s="1108"/>
      <c r="V6096" s="1108"/>
      <c r="W6096" s="1108"/>
      <c r="X6096" s="1108"/>
      <c r="Y6096" s="1108"/>
      <c r="Z6096" s="1114"/>
      <c r="AA6096" s="1114"/>
      <c r="AB6096" s="1114"/>
      <c r="AC6096" s="1117"/>
      <c r="AD6096" s="1115"/>
      <c r="AE6096" s="1115"/>
      <c r="AF6096" s="1115"/>
      <c r="AG6096" s="1115"/>
      <c r="AH6096" s="1115"/>
      <c r="AI6096" s="1115"/>
      <c r="AJ6096" s="1117"/>
      <c r="AK6096" s="1118"/>
      <c r="AL6096" s="1115"/>
      <c r="AM6096" s="1115"/>
      <c r="AN6096" s="1115"/>
      <c r="AO6096" s="1115"/>
      <c r="AP6096" s="1115"/>
      <c r="AQ6096" s="1115"/>
      <c r="AR6096" s="1115"/>
      <c r="AS6096" s="1117"/>
      <c r="AT6096" s="1075"/>
      <c r="AU6096" s="1193"/>
      <c r="AV6096" s="330"/>
      <c r="AW6096" s="331"/>
      <c r="AX6096" s="331"/>
      <c r="AY6096" s="331"/>
      <c r="AZ6096" s="331"/>
      <c r="BA6096" s="331"/>
      <c r="BB6096" s="331"/>
      <c r="BC6096" s="331"/>
      <c r="BD6096" s="331"/>
      <c r="BE6096" s="333"/>
      <c r="BF6096" s="330"/>
      <c r="BG6096" s="333"/>
      <c r="BH6096" s="1119"/>
      <c r="BI6096" s="319"/>
      <c r="BJ6096" s="319"/>
      <c r="BK6096" s="319"/>
      <c r="BL6096" s="319"/>
      <c r="BM6096" s="319"/>
      <c r="BN6096" s="319"/>
      <c r="BO6096" s="319"/>
      <c r="BP6096" s="953"/>
      <c r="BQ6096" s="319"/>
      <c r="BR6096" s="319"/>
      <c r="BS6096" s="330"/>
      <c r="BT6096" s="331"/>
      <c r="BU6096" s="920"/>
      <c r="BV6096" s="903"/>
      <c r="BW6096" s="908"/>
      <c r="BX6096" s="908"/>
      <c r="BY6096" s="331"/>
      <c r="BZ6096" s="331"/>
      <c r="CA6096" s="462"/>
      <c r="CB6096" s="319"/>
      <c r="CC6096" s="319"/>
      <c r="CD6096" s="319"/>
      <c r="CE6096" s="319"/>
      <c r="CF6096" s="319"/>
      <c r="CG6096" s="319"/>
      <c r="CH6096" s="318"/>
      <c r="CI6096" s="319"/>
      <c r="CJ6096" s="319"/>
      <c r="CK6096" s="342"/>
      <c r="CL6096" s="333"/>
      <c r="CM6096" s="1079"/>
      <c r="CN6096" s="1005"/>
      <c r="CO6096" s="1005"/>
      <c r="CP6096" s="1005"/>
    </row>
    <row r="6097">
      <c r="A6097" s="1257"/>
      <c r="B6097" s="1113"/>
      <c r="C6097" s="1107"/>
      <c r="D6097" s="103"/>
      <c r="E6097" s="1137"/>
      <c r="F6097" s="112"/>
      <c r="G6097" s="1110"/>
      <c r="H6097" s="1138"/>
      <c r="I6097" s="1138"/>
      <c r="J6097" s="1139"/>
      <c r="K6097" s="1111"/>
      <c r="L6097" s="1112"/>
      <c r="M6097" s="1113"/>
      <c r="N6097" s="110"/>
      <c r="O6097" s="1140"/>
      <c r="P6097" s="1115"/>
      <c r="Q6097" s="1116"/>
      <c r="R6097" s="1141"/>
      <c r="S6097" s="1113"/>
      <c r="T6097" s="1143"/>
      <c r="U6097" s="1108"/>
      <c r="V6097" s="1108"/>
      <c r="W6097" s="1108"/>
      <c r="X6097" s="1108"/>
      <c r="Y6097" s="1108"/>
      <c r="Z6097" s="1114"/>
      <c r="AA6097" s="1114"/>
      <c r="AB6097" s="1114"/>
      <c r="AC6097" s="1117"/>
      <c r="AD6097" s="1115"/>
      <c r="AE6097" s="1115"/>
      <c r="AF6097" s="1115"/>
      <c r="AG6097" s="1115"/>
      <c r="AH6097" s="1115"/>
      <c r="AI6097" s="1115"/>
      <c r="AJ6097" s="1117"/>
      <c r="AK6097" s="1118"/>
      <c r="AL6097" s="1115"/>
      <c r="AM6097" s="1115"/>
      <c r="AN6097" s="1115"/>
      <c r="AO6097" s="1115"/>
      <c r="AP6097" s="1115"/>
      <c r="AQ6097" s="1115"/>
      <c r="AR6097" s="1115"/>
      <c r="AS6097" s="1117"/>
      <c r="AT6097" s="1075"/>
      <c r="AU6097" s="1193"/>
      <c r="AV6097" s="330"/>
      <c r="AW6097" s="331"/>
      <c r="AX6097" s="331"/>
      <c r="AY6097" s="331"/>
      <c r="AZ6097" s="331"/>
      <c r="BA6097" s="331"/>
      <c r="BB6097" s="331"/>
      <c r="BC6097" s="331"/>
      <c r="BD6097" s="331"/>
      <c r="BE6097" s="333"/>
      <c r="BF6097" s="330"/>
      <c r="BG6097" s="333"/>
      <c r="BH6097" s="1119"/>
      <c r="BI6097" s="319"/>
      <c r="BJ6097" s="319"/>
      <c r="BK6097" s="319"/>
      <c r="BL6097" s="319"/>
      <c r="BM6097" s="319"/>
      <c r="BN6097" s="319"/>
      <c r="BO6097" s="319"/>
      <c r="BP6097" s="953"/>
      <c r="BQ6097" s="319"/>
      <c r="BR6097" s="319"/>
      <c r="BS6097" s="330"/>
      <c r="BT6097" s="331"/>
      <c r="BU6097" s="920"/>
      <c r="BV6097" s="903"/>
      <c r="BW6097" s="908"/>
      <c r="BX6097" s="908"/>
      <c r="BY6097" s="331"/>
      <c r="BZ6097" s="331"/>
      <c r="CA6097" s="462"/>
      <c r="CB6097" s="319"/>
      <c r="CC6097" s="319"/>
      <c r="CD6097" s="319"/>
      <c r="CE6097" s="319"/>
      <c r="CF6097" s="319"/>
      <c r="CG6097" s="319"/>
      <c r="CH6097" s="318"/>
      <c r="CI6097" s="319"/>
      <c r="CJ6097" s="319"/>
      <c r="CK6097" s="342"/>
      <c r="CL6097" s="333"/>
      <c r="CM6097" s="1079"/>
      <c r="CN6097" s="1005"/>
      <c r="CO6097" s="1005"/>
      <c r="CP6097" s="1005"/>
    </row>
    <row r="6098">
      <c r="A6098" s="1257"/>
      <c r="B6098" s="1113"/>
      <c r="C6098" s="1107"/>
      <c r="D6098" s="103"/>
      <c r="E6098" s="1137"/>
      <c r="F6098" s="112"/>
      <c r="G6098" s="1110"/>
      <c r="H6098" s="1138"/>
      <c r="I6098" s="1138"/>
      <c r="J6098" s="1139"/>
      <c r="K6098" s="1111"/>
      <c r="L6098" s="1112"/>
      <c r="M6098" s="1113"/>
      <c r="N6098" s="110"/>
      <c r="O6098" s="1140"/>
      <c r="P6098" s="1115"/>
      <c r="Q6098" s="1116"/>
      <c r="R6098" s="1141"/>
      <c r="S6098" s="1113"/>
      <c r="T6098" s="1143"/>
      <c r="U6098" s="1108"/>
      <c r="V6098" s="1108"/>
      <c r="W6098" s="1108"/>
      <c r="X6098" s="1108"/>
      <c r="Y6098" s="1108"/>
      <c r="Z6098" s="1114"/>
      <c r="AA6098" s="1114"/>
      <c r="AB6098" s="1114"/>
      <c r="AC6098" s="1117"/>
      <c r="AD6098" s="1115"/>
      <c r="AE6098" s="1115"/>
      <c r="AF6098" s="1115"/>
      <c r="AG6098" s="1115"/>
      <c r="AH6098" s="1115"/>
      <c r="AI6098" s="1115"/>
      <c r="AJ6098" s="1117"/>
      <c r="AK6098" s="1118"/>
      <c r="AL6098" s="1115"/>
      <c r="AM6098" s="1115"/>
      <c r="AN6098" s="1115"/>
      <c r="AO6098" s="1115"/>
      <c r="AP6098" s="1115"/>
      <c r="AQ6098" s="1115"/>
      <c r="AR6098" s="1115"/>
      <c r="AS6098" s="1117"/>
      <c r="AT6098" s="1075"/>
      <c r="AU6098" s="1193"/>
      <c r="AV6098" s="330"/>
      <c r="AW6098" s="331"/>
      <c r="AX6098" s="331"/>
      <c r="AY6098" s="331"/>
      <c r="AZ6098" s="331"/>
      <c r="BA6098" s="331"/>
      <c r="BB6098" s="331"/>
      <c r="BC6098" s="331"/>
      <c r="BD6098" s="331"/>
      <c r="BE6098" s="333"/>
      <c r="BF6098" s="330"/>
      <c r="BG6098" s="333"/>
      <c r="BH6098" s="1119"/>
      <c r="BI6098" s="319"/>
      <c r="BJ6098" s="319"/>
      <c r="BK6098" s="319"/>
      <c r="BL6098" s="319"/>
      <c r="BM6098" s="319"/>
      <c r="BN6098" s="319"/>
      <c r="BO6098" s="319"/>
      <c r="BP6098" s="953"/>
      <c r="BQ6098" s="319"/>
      <c r="BR6098" s="319"/>
      <c r="BS6098" s="330"/>
      <c r="BT6098" s="331"/>
      <c r="BU6098" s="920"/>
      <c r="BV6098" s="903"/>
      <c r="BW6098" s="908"/>
      <c r="BX6098" s="908"/>
      <c r="BY6098" s="331"/>
      <c r="BZ6098" s="331"/>
      <c r="CA6098" s="462"/>
      <c r="CB6098" s="319"/>
      <c r="CC6098" s="319"/>
      <c r="CD6098" s="319"/>
      <c r="CE6098" s="319"/>
      <c r="CF6098" s="319"/>
      <c r="CG6098" s="319"/>
      <c r="CH6098" s="318"/>
      <c r="CI6098" s="319"/>
      <c r="CJ6098" s="319"/>
      <c r="CK6098" s="342"/>
      <c r="CL6098" s="333"/>
      <c r="CM6098" s="1079"/>
      <c r="CN6098" s="1005"/>
      <c r="CO6098" s="1005"/>
      <c r="CP6098" s="1005"/>
    </row>
    <row r="6099">
      <c r="A6099" s="1257"/>
      <c r="B6099" s="1113"/>
      <c r="C6099" s="1107"/>
      <c r="D6099" s="103"/>
      <c r="E6099" s="1137"/>
      <c r="F6099" s="112"/>
      <c r="G6099" s="1110"/>
      <c r="H6099" s="1138"/>
      <c r="I6099" s="1138"/>
      <c r="J6099" s="1139"/>
      <c r="K6099" s="1111"/>
      <c r="L6099" s="1112"/>
      <c r="M6099" s="1113"/>
      <c r="N6099" s="110"/>
      <c r="O6099" s="1140"/>
      <c r="P6099" s="1115"/>
      <c r="Q6099" s="1116"/>
      <c r="R6099" s="1141"/>
      <c r="S6099" s="1113"/>
      <c r="T6099" s="1143"/>
      <c r="U6099" s="1108"/>
      <c r="V6099" s="1108"/>
      <c r="W6099" s="1108"/>
      <c r="X6099" s="1108"/>
      <c r="Y6099" s="1108"/>
      <c r="Z6099" s="1114"/>
      <c r="AA6099" s="1114"/>
      <c r="AB6099" s="1114"/>
      <c r="AC6099" s="1117"/>
      <c r="AD6099" s="1115"/>
      <c r="AE6099" s="1115"/>
      <c r="AF6099" s="1115"/>
      <c r="AG6099" s="1115"/>
      <c r="AH6099" s="1115"/>
      <c r="AI6099" s="1115"/>
      <c r="AJ6099" s="1117"/>
      <c r="AK6099" s="1118"/>
      <c r="AL6099" s="1115"/>
      <c r="AM6099" s="1115"/>
      <c r="AN6099" s="1115"/>
      <c r="AO6099" s="1115"/>
      <c r="AP6099" s="1115"/>
      <c r="AQ6099" s="1115"/>
      <c r="AR6099" s="1115"/>
      <c r="AS6099" s="1117"/>
      <c r="AT6099" s="1075"/>
      <c r="AU6099" s="1193"/>
      <c r="AV6099" s="330"/>
      <c r="AW6099" s="331"/>
      <c r="AX6099" s="331"/>
      <c r="AY6099" s="331"/>
      <c r="AZ6099" s="331"/>
      <c r="BA6099" s="331"/>
      <c r="BB6099" s="331"/>
      <c r="BC6099" s="331"/>
      <c r="BD6099" s="331"/>
      <c r="BE6099" s="333"/>
      <c r="BF6099" s="330"/>
      <c r="BG6099" s="333"/>
      <c r="BH6099" s="1119"/>
      <c r="BI6099" s="319"/>
      <c r="BJ6099" s="319"/>
      <c r="BK6099" s="319"/>
      <c r="BL6099" s="319"/>
      <c r="BM6099" s="319"/>
      <c r="BN6099" s="319"/>
      <c r="BO6099" s="319"/>
      <c r="BP6099" s="953"/>
      <c r="BQ6099" s="319"/>
      <c r="BR6099" s="319"/>
      <c r="BS6099" s="330"/>
      <c r="BT6099" s="331"/>
      <c r="BU6099" s="920"/>
      <c r="BV6099" s="903"/>
      <c r="BW6099" s="908"/>
      <c r="BX6099" s="908"/>
      <c r="BY6099" s="331"/>
      <c r="BZ6099" s="331"/>
      <c r="CA6099" s="462"/>
      <c r="CB6099" s="319"/>
      <c r="CC6099" s="319"/>
      <c r="CD6099" s="319"/>
      <c r="CE6099" s="319"/>
      <c r="CF6099" s="319"/>
      <c r="CG6099" s="319"/>
      <c r="CH6099" s="318"/>
      <c r="CI6099" s="319"/>
      <c r="CJ6099" s="319"/>
      <c r="CK6099" s="342"/>
      <c r="CL6099" s="333"/>
      <c r="CM6099" s="1079"/>
      <c r="CN6099" s="1005"/>
      <c r="CO6099" s="1005"/>
      <c r="CP6099" s="1005"/>
    </row>
    <row r="6100">
      <c r="A6100" s="1257"/>
      <c r="B6100" s="1113"/>
      <c r="C6100" s="1107"/>
      <c r="D6100" s="103"/>
      <c r="E6100" s="1137"/>
      <c r="F6100" s="112"/>
      <c r="G6100" s="1110"/>
      <c r="H6100" s="1138"/>
      <c r="I6100" s="1138"/>
      <c r="J6100" s="1139"/>
      <c r="K6100" s="1111"/>
      <c r="L6100" s="1112"/>
      <c r="M6100" s="1113"/>
      <c r="N6100" s="110"/>
      <c r="O6100" s="1140"/>
      <c r="P6100" s="1115"/>
      <c r="Q6100" s="1116"/>
      <c r="R6100" s="1141"/>
      <c r="S6100" s="1113"/>
      <c r="T6100" s="1143"/>
      <c r="U6100" s="1108"/>
      <c r="V6100" s="1108"/>
      <c r="W6100" s="1108"/>
      <c r="X6100" s="1108"/>
      <c r="Y6100" s="1108"/>
      <c r="Z6100" s="1114"/>
      <c r="AA6100" s="1114"/>
      <c r="AB6100" s="1114"/>
      <c r="AC6100" s="1117"/>
      <c r="AD6100" s="1115"/>
      <c r="AE6100" s="1115"/>
      <c r="AF6100" s="1115"/>
      <c r="AG6100" s="1115"/>
      <c r="AH6100" s="1115"/>
      <c r="AI6100" s="1115"/>
      <c r="AJ6100" s="1117"/>
      <c r="AK6100" s="1118"/>
      <c r="AL6100" s="1115"/>
      <c r="AM6100" s="1115"/>
      <c r="AN6100" s="1115"/>
      <c r="AO6100" s="1115"/>
      <c r="AP6100" s="1115"/>
      <c r="AQ6100" s="1115"/>
      <c r="AR6100" s="1115"/>
      <c r="AS6100" s="1117"/>
      <c r="AT6100" s="1075"/>
      <c r="AU6100" s="1193"/>
      <c r="AV6100" s="330"/>
      <c r="AW6100" s="331"/>
      <c r="AX6100" s="331"/>
      <c r="AY6100" s="331"/>
      <c r="AZ6100" s="331"/>
      <c r="BA6100" s="331"/>
      <c r="BB6100" s="331"/>
      <c r="BC6100" s="331"/>
      <c r="BD6100" s="331"/>
      <c r="BE6100" s="333"/>
      <c r="BF6100" s="330"/>
      <c r="BG6100" s="333"/>
      <c r="BH6100" s="1119"/>
      <c r="BI6100" s="319"/>
      <c r="BJ6100" s="319"/>
      <c r="BK6100" s="319"/>
      <c r="BL6100" s="319"/>
      <c r="BM6100" s="319"/>
      <c r="BN6100" s="319"/>
      <c r="BO6100" s="319"/>
      <c r="BP6100" s="953"/>
      <c r="BQ6100" s="319"/>
      <c r="BR6100" s="319"/>
      <c r="BS6100" s="330"/>
      <c r="BT6100" s="331"/>
      <c r="BU6100" s="920"/>
      <c r="BV6100" s="903"/>
      <c r="BW6100" s="908"/>
      <c r="BX6100" s="908"/>
      <c r="BY6100" s="331"/>
      <c r="BZ6100" s="331"/>
      <c r="CA6100" s="462"/>
      <c r="CB6100" s="319"/>
      <c r="CC6100" s="319"/>
      <c r="CD6100" s="319"/>
      <c r="CE6100" s="319"/>
      <c r="CF6100" s="319"/>
      <c r="CG6100" s="319"/>
      <c r="CH6100" s="318"/>
      <c r="CI6100" s="319"/>
      <c r="CJ6100" s="319"/>
      <c r="CK6100" s="342"/>
      <c r="CL6100" s="333"/>
      <c r="CM6100" s="1079"/>
      <c r="CN6100" s="1005"/>
      <c r="CO6100" s="1005"/>
      <c r="CP6100" s="1005"/>
    </row>
    <row r="6101">
      <c r="A6101" s="1257"/>
      <c r="B6101" s="1113"/>
      <c r="C6101" s="1107"/>
      <c r="D6101" s="103"/>
      <c r="E6101" s="1137"/>
      <c r="F6101" s="112"/>
      <c r="G6101" s="1110"/>
      <c r="H6101" s="1138"/>
      <c r="I6101" s="1138"/>
      <c r="J6101" s="1139"/>
      <c r="K6101" s="1111"/>
      <c r="L6101" s="1112"/>
      <c r="M6101" s="1113"/>
      <c r="N6101" s="110"/>
      <c r="O6101" s="1140"/>
      <c r="P6101" s="1115"/>
      <c r="Q6101" s="1116"/>
      <c r="R6101" s="1141"/>
      <c r="S6101" s="1113"/>
      <c r="T6101" s="1143"/>
      <c r="U6101" s="1108"/>
      <c r="V6101" s="1108"/>
      <c r="W6101" s="1108"/>
      <c r="X6101" s="1108"/>
      <c r="Y6101" s="1108"/>
      <c r="Z6101" s="1114"/>
      <c r="AA6101" s="1114"/>
      <c r="AB6101" s="1114"/>
      <c r="AC6101" s="1117"/>
      <c r="AD6101" s="1115"/>
      <c r="AE6101" s="1115"/>
      <c r="AF6101" s="1115"/>
      <c r="AG6101" s="1115"/>
      <c r="AH6101" s="1115"/>
      <c r="AI6101" s="1115"/>
      <c r="AJ6101" s="1117"/>
      <c r="AK6101" s="1118"/>
      <c r="AL6101" s="1115"/>
      <c r="AM6101" s="1115"/>
      <c r="AN6101" s="1115"/>
      <c r="AO6101" s="1115"/>
      <c r="AP6101" s="1115"/>
      <c r="AQ6101" s="1115"/>
      <c r="AR6101" s="1115"/>
      <c r="AS6101" s="1117"/>
      <c r="AT6101" s="1075"/>
      <c r="AU6101" s="1193"/>
      <c r="AV6101" s="330"/>
      <c r="AW6101" s="331"/>
      <c r="AX6101" s="331"/>
      <c r="AY6101" s="331"/>
      <c r="AZ6101" s="331"/>
      <c r="BA6101" s="331"/>
      <c r="BB6101" s="331"/>
      <c r="BC6101" s="331"/>
      <c r="BD6101" s="331"/>
      <c r="BE6101" s="333"/>
      <c r="BF6101" s="330"/>
      <c r="BG6101" s="333"/>
      <c r="BH6101" s="1119"/>
      <c r="BI6101" s="319"/>
      <c r="BJ6101" s="319"/>
      <c r="BK6101" s="319"/>
      <c r="BL6101" s="319"/>
      <c r="BM6101" s="319"/>
      <c r="BN6101" s="319"/>
      <c r="BO6101" s="319"/>
      <c r="BP6101" s="953"/>
      <c r="BQ6101" s="319"/>
      <c r="BR6101" s="319"/>
      <c r="BS6101" s="330"/>
      <c r="BT6101" s="331"/>
      <c r="BU6101" s="920"/>
      <c r="BV6101" s="903"/>
      <c r="BW6101" s="908"/>
      <c r="BX6101" s="908"/>
      <c r="BY6101" s="331"/>
      <c r="BZ6101" s="331"/>
      <c r="CA6101" s="462"/>
      <c r="CB6101" s="319"/>
      <c r="CC6101" s="319"/>
      <c r="CD6101" s="319"/>
      <c r="CE6101" s="319"/>
      <c r="CF6101" s="319"/>
      <c r="CG6101" s="319"/>
      <c r="CH6101" s="318"/>
      <c r="CI6101" s="319"/>
      <c r="CJ6101" s="319"/>
      <c r="CK6101" s="342"/>
      <c r="CL6101" s="333"/>
      <c r="CM6101" s="1079"/>
      <c r="CN6101" s="1005"/>
      <c r="CO6101" s="1005"/>
      <c r="CP6101" s="1005"/>
    </row>
    <row r="6102">
      <c r="A6102" s="1257"/>
      <c r="B6102" s="1113"/>
      <c r="C6102" s="1107"/>
      <c r="D6102" s="103"/>
      <c r="E6102" s="1137"/>
      <c r="F6102" s="112"/>
      <c r="G6102" s="1110"/>
      <c r="H6102" s="1138"/>
      <c r="I6102" s="1138"/>
      <c r="J6102" s="1139"/>
      <c r="K6102" s="1111"/>
      <c r="L6102" s="1112"/>
      <c r="M6102" s="1113"/>
      <c r="N6102" s="110"/>
      <c r="O6102" s="1140"/>
      <c r="P6102" s="1115"/>
      <c r="Q6102" s="1116"/>
      <c r="R6102" s="1141"/>
      <c r="S6102" s="1113"/>
      <c r="T6102" s="1143"/>
      <c r="U6102" s="1108"/>
      <c r="V6102" s="1108"/>
      <c r="W6102" s="1108"/>
      <c r="X6102" s="1108"/>
      <c r="Y6102" s="1108"/>
      <c r="Z6102" s="1114"/>
      <c r="AA6102" s="1114"/>
      <c r="AB6102" s="1114"/>
      <c r="AC6102" s="1117"/>
      <c r="AD6102" s="1115"/>
      <c r="AE6102" s="1115"/>
      <c r="AF6102" s="1115"/>
      <c r="AG6102" s="1115"/>
      <c r="AH6102" s="1115"/>
      <c r="AI6102" s="1115"/>
      <c r="AJ6102" s="1117"/>
      <c r="AK6102" s="1118"/>
      <c r="AL6102" s="1115"/>
      <c r="AM6102" s="1115"/>
      <c r="AN6102" s="1115"/>
      <c r="AO6102" s="1115"/>
      <c r="AP6102" s="1115"/>
      <c r="AQ6102" s="1115"/>
      <c r="AR6102" s="1115"/>
      <c r="AS6102" s="1117"/>
      <c r="AT6102" s="1075"/>
      <c r="AU6102" s="1193"/>
      <c r="AV6102" s="330"/>
      <c r="AW6102" s="331"/>
      <c r="AX6102" s="331"/>
      <c r="AY6102" s="331"/>
      <c r="AZ6102" s="331"/>
      <c r="BA6102" s="331"/>
      <c r="BB6102" s="331"/>
      <c r="BC6102" s="331"/>
      <c r="BD6102" s="331"/>
      <c r="BE6102" s="333"/>
      <c r="BF6102" s="330"/>
      <c r="BG6102" s="333"/>
      <c r="BH6102" s="1119"/>
      <c r="BI6102" s="319"/>
      <c r="BJ6102" s="319"/>
      <c r="BK6102" s="319"/>
      <c r="BL6102" s="319"/>
      <c r="BM6102" s="319"/>
      <c r="BN6102" s="319"/>
      <c r="BO6102" s="319"/>
      <c r="BP6102" s="953"/>
      <c r="BQ6102" s="319"/>
      <c r="BR6102" s="319"/>
      <c r="BS6102" s="330"/>
      <c r="BT6102" s="331"/>
      <c r="BU6102" s="920"/>
      <c r="BV6102" s="903"/>
      <c r="BW6102" s="908"/>
      <c r="BX6102" s="908"/>
      <c r="BY6102" s="331"/>
      <c r="BZ6102" s="331"/>
      <c r="CA6102" s="462"/>
      <c r="CB6102" s="319"/>
      <c r="CC6102" s="319"/>
      <c r="CD6102" s="319"/>
      <c r="CE6102" s="319"/>
      <c r="CF6102" s="319"/>
      <c r="CG6102" s="319"/>
      <c r="CH6102" s="318"/>
      <c r="CI6102" s="319"/>
      <c r="CJ6102" s="319"/>
      <c r="CK6102" s="342"/>
      <c r="CL6102" s="333"/>
      <c r="CM6102" s="1079"/>
      <c r="CN6102" s="1005"/>
      <c r="CO6102" s="1005"/>
      <c r="CP6102" s="1005"/>
    </row>
    <row r="6103">
      <c r="A6103" s="1257"/>
      <c r="B6103" s="1113"/>
      <c r="C6103" s="1107"/>
      <c r="D6103" s="103"/>
      <c r="E6103" s="1137"/>
      <c r="F6103" s="112"/>
      <c r="G6103" s="1110"/>
      <c r="H6103" s="1138"/>
      <c r="I6103" s="1138"/>
      <c r="J6103" s="1139"/>
      <c r="K6103" s="1111"/>
      <c r="L6103" s="1112"/>
      <c r="M6103" s="1113"/>
      <c r="N6103" s="110"/>
      <c r="O6103" s="1140"/>
      <c r="P6103" s="1115"/>
      <c r="Q6103" s="1116"/>
      <c r="R6103" s="1141"/>
      <c r="S6103" s="1113"/>
      <c r="T6103" s="1143"/>
      <c r="U6103" s="1108"/>
      <c r="V6103" s="1108"/>
      <c r="W6103" s="1108"/>
      <c r="X6103" s="1108"/>
      <c r="Y6103" s="1108"/>
      <c r="Z6103" s="1114"/>
      <c r="AA6103" s="1114"/>
      <c r="AB6103" s="1114"/>
      <c r="AC6103" s="1117"/>
      <c r="AD6103" s="1115"/>
      <c r="AE6103" s="1115"/>
      <c r="AF6103" s="1115"/>
      <c r="AG6103" s="1115"/>
      <c r="AH6103" s="1115"/>
      <c r="AI6103" s="1115"/>
      <c r="AJ6103" s="1117"/>
      <c r="AK6103" s="1118"/>
      <c r="AL6103" s="1115"/>
      <c r="AM6103" s="1115"/>
      <c r="AN6103" s="1115"/>
      <c r="AO6103" s="1115"/>
      <c r="AP6103" s="1115"/>
      <c r="AQ6103" s="1115"/>
      <c r="AR6103" s="1115"/>
      <c r="AS6103" s="1117"/>
      <c r="AT6103" s="1075"/>
      <c r="AU6103" s="1193"/>
      <c r="AV6103" s="330"/>
      <c r="AW6103" s="331"/>
      <c r="AX6103" s="331"/>
      <c r="AY6103" s="331"/>
      <c r="AZ6103" s="331"/>
      <c r="BA6103" s="331"/>
      <c r="BB6103" s="331"/>
      <c r="BC6103" s="331"/>
      <c r="BD6103" s="331"/>
      <c r="BE6103" s="333"/>
      <c r="BF6103" s="330"/>
      <c r="BG6103" s="333"/>
      <c r="BH6103" s="1119"/>
      <c r="BI6103" s="319"/>
      <c r="BJ6103" s="319"/>
      <c r="BK6103" s="319"/>
      <c r="BL6103" s="319"/>
      <c r="BM6103" s="319"/>
      <c r="BN6103" s="319"/>
      <c r="BO6103" s="319"/>
      <c r="BP6103" s="953"/>
      <c r="BQ6103" s="319"/>
      <c r="BR6103" s="319"/>
      <c r="BS6103" s="330"/>
      <c r="BT6103" s="331"/>
      <c r="BU6103" s="920"/>
      <c r="BV6103" s="903"/>
      <c r="BW6103" s="908"/>
      <c r="BX6103" s="908"/>
      <c r="BY6103" s="331"/>
      <c r="BZ6103" s="331"/>
      <c r="CA6103" s="462"/>
      <c r="CB6103" s="319"/>
      <c r="CC6103" s="319"/>
      <c r="CD6103" s="319"/>
      <c r="CE6103" s="319"/>
      <c r="CF6103" s="319"/>
      <c r="CG6103" s="319"/>
      <c r="CH6103" s="318"/>
      <c r="CI6103" s="319"/>
      <c r="CJ6103" s="319"/>
      <c r="CK6103" s="342"/>
      <c r="CL6103" s="333"/>
      <c r="CM6103" s="1079"/>
      <c r="CN6103" s="1005"/>
      <c r="CO6103" s="1005"/>
      <c r="CP6103" s="1005"/>
    </row>
    <row r="6104">
      <c r="A6104" s="1257"/>
      <c r="B6104" s="1113"/>
      <c r="C6104" s="1107"/>
      <c r="D6104" s="103"/>
      <c r="E6104" s="1137"/>
      <c r="F6104" s="112"/>
      <c r="G6104" s="1110"/>
      <c r="H6104" s="1138"/>
      <c r="I6104" s="1138"/>
      <c r="J6104" s="1139"/>
      <c r="K6104" s="1111"/>
      <c r="L6104" s="1112"/>
      <c r="M6104" s="1113"/>
      <c r="N6104" s="110"/>
      <c r="O6104" s="1140"/>
      <c r="P6104" s="1115"/>
      <c r="Q6104" s="1116"/>
      <c r="R6104" s="1141"/>
      <c r="S6104" s="1113"/>
      <c r="T6104" s="1143"/>
      <c r="U6104" s="1108"/>
      <c r="V6104" s="1108"/>
      <c r="W6104" s="1108"/>
      <c r="X6104" s="1108"/>
      <c r="Y6104" s="1108"/>
      <c r="Z6104" s="1114"/>
      <c r="AA6104" s="1114"/>
      <c r="AB6104" s="1114"/>
      <c r="AC6104" s="1117"/>
      <c r="AD6104" s="1115"/>
      <c r="AE6104" s="1115"/>
      <c r="AF6104" s="1115"/>
      <c r="AG6104" s="1115"/>
      <c r="AH6104" s="1115"/>
      <c r="AI6104" s="1115"/>
      <c r="AJ6104" s="1117"/>
      <c r="AK6104" s="1118"/>
      <c r="AL6104" s="1115"/>
      <c r="AM6104" s="1115"/>
      <c r="AN6104" s="1115"/>
      <c r="AO6104" s="1115"/>
      <c r="AP6104" s="1115"/>
      <c r="AQ6104" s="1115"/>
      <c r="AR6104" s="1115"/>
      <c r="AS6104" s="1117"/>
      <c r="AT6104" s="1075"/>
      <c r="AU6104" s="1193"/>
      <c r="AV6104" s="330"/>
      <c r="AW6104" s="331"/>
      <c r="AX6104" s="331"/>
      <c r="AY6104" s="331"/>
      <c r="AZ6104" s="331"/>
      <c r="BA6104" s="331"/>
      <c r="BB6104" s="331"/>
      <c r="BC6104" s="331"/>
      <c r="BD6104" s="331"/>
      <c r="BE6104" s="333"/>
      <c r="BF6104" s="330"/>
      <c r="BG6104" s="333"/>
      <c r="BH6104" s="1119"/>
      <c r="BI6104" s="319"/>
      <c r="BJ6104" s="319"/>
      <c r="BK6104" s="319"/>
      <c r="BL6104" s="319"/>
      <c r="BM6104" s="319"/>
      <c r="BN6104" s="319"/>
      <c r="BO6104" s="319"/>
      <c r="BP6104" s="953"/>
      <c r="BQ6104" s="319"/>
      <c r="BR6104" s="319"/>
      <c r="BS6104" s="330"/>
      <c r="BT6104" s="331"/>
      <c r="BU6104" s="920"/>
      <c r="BV6104" s="903"/>
      <c r="BW6104" s="908"/>
      <c r="BX6104" s="908"/>
      <c r="BY6104" s="331"/>
      <c r="BZ6104" s="331"/>
      <c r="CA6104" s="462"/>
      <c r="CB6104" s="319"/>
      <c r="CC6104" s="319"/>
      <c r="CD6104" s="319"/>
      <c r="CE6104" s="319"/>
      <c r="CF6104" s="319"/>
      <c r="CG6104" s="319"/>
      <c r="CH6104" s="318"/>
      <c r="CI6104" s="319"/>
      <c r="CJ6104" s="319"/>
      <c r="CK6104" s="342"/>
      <c r="CL6104" s="333"/>
      <c r="CM6104" s="1079"/>
      <c r="CN6104" s="1005"/>
      <c r="CO6104" s="1005"/>
      <c r="CP6104" s="1005"/>
    </row>
    <row r="6105">
      <c r="A6105" s="1257"/>
      <c r="B6105" s="1113"/>
      <c r="C6105" s="1107"/>
      <c r="D6105" s="103"/>
      <c r="E6105" s="1137"/>
      <c r="F6105" s="112"/>
      <c r="G6105" s="1110"/>
      <c r="H6105" s="1138"/>
      <c r="I6105" s="1138"/>
      <c r="J6105" s="1139"/>
      <c r="K6105" s="1111"/>
      <c r="L6105" s="1112"/>
      <c r="M6105" s="1113"/>
      <c r="N6105" s="110"/>
      <c r="O6105" s="1140"/>
      <c r="P6105" s="1115"/>
      <c r="Q6105" s="1116"/>
      <c r="R6105" s="1141"/>
      <c r="S6105" s="1113"/>
      <c r="T6105" s="1143"/>
      <c r="U6105" s="1108"/>
      <c r="V6105" s="1108"/>
      <c r="W6105" s="1108"/>
      <c r="X6105" s="1108"/>
      <c r="Y6105" s="1108"/>
      <c r="Z6105" s="1114"/>
      <c r="AA6105" s="1114"/>
      <c r="AB6105" s="1114"/>
      <c r="AC6105" s="1117"/>
      <c r="AD6105" s="1115"/>
      <c r="AE6105" s="1115"/>
      <c r="AF6105" s="1115"/>
      <c r="AG6105" s="1115"/>
      <c r="AH6105" s="1115"/>
      <c r="AI6105" s="1115"/>
      <c r="AJ6105" s="1117"/>
      <c r="AK6105" s="1118"/>
      <c r="AL6105" s="1115"/>
      <c r="AM6105" s="1115"/>
      <c r="AN6105" s="1115"/>
      <c r="AO6105" s="1115"/>
      <c r="AP6105" s="1115"/>
      <c r="AQ6105" s="1115"/>
      <c r="AR6105" s="1115"/>
      <c r="AS6105" s="1117"/>
      <c r="AT6105" s="1075"/>
      <c r="AU6105" s="1193"/>
      <c r="AV6105" s="330"/>
      <c r="AW6105" s="331"/>
      <c r="AX6105" s="331"/>
      <c r="AY6105" s="331"/>
      <c r="AZ6105" s="331"/>
      <c r="BA6105" s="331"/>
      <c r="BB6105" s="331"/>
      <c r="BC6105" s="331"/>
      <c r="BD6105" s="331"/>
      <c r="BE6105" s="333"/>
      <c r="BF6105" s="330"/>
      <c r="BG6105" s="333"/>
      <c r="BH6105" s="1119"/>
      <c r="BI6105" s="319"/>
      <c r="BJ6105" s="319"/>
      <c r="BK6105" s="319"/>
      <c r="BL6105" s="319"/>
      <c r="BM6105" s="319"/>
      <c r="BN6105" s="319"/>
      <c r="BO6105" s="319"/>
      <c r="BP6105" s="953"/>
      <c r="BQ6105" s="319"/>
      <c r="BR6105" s="319"/>
      <c r="BS6105" s="330"/>
      <c r="BT6105" s="331"/>
      <c r="BU6105" s="920"/>
      <c r="BV6105" s="903"/>
      <c r="BW6105" s="908"/>
      <c r="BX6105" s="908"/>
      <c r="BY6105" s="331"/>
      <c r="BZ6105" s="331"/>
      <c r="CA6105" s="462"/>
      <c r="CB6105" s="319"/>
      <c r="CC6105" s="319"/>
      <c r="CD6105" s="319"/>
      <c r="CE6105" s="319"/>
      <c r="CF6105" s="319"/>
      <c r="CG6105" s="319"/>
      <c r="CH6105" s="318"/>
      <c r="CI6105" s="319"/>
      <c r="CJ6105" s="319"/>
      <c r="CK6105" s="342"/>
      <c r="CL6105" s="333"/>
      <c r="CM6105" s="1079"/>
      <c r="CN6105" s="1005"/>
      <c r="CO6105" s="1005"/>
      <c r="CP6105" s="1005"/>
    </row>
    <row r="6106">
      <c r="A6106" s="1257"/>
      <c r="B6106" s="1113"/>
      <c r="C6106" s="1107"/>
      <c r="D6106" s="103"/>
      <c r="E6106" s="1137"/>
      <c r="F6106" s="112"/>
      <c r="G6106" s="1110"/>
      <c r="H6106" s="1138"/>
      <c r="I6106" s="1138"/>
      <c r="J6106" s="1139"/>
      <c r="K6106" s="1111"/>
      <c r="L6106" s="1112"/>
      <c r="M6106" s="1113"/>
      <c r="N6106" s="110"/>
      <c r="O6106" s="1140"/>
      <c r="P6106" s="1115"/>
      <c r="Q6106" s="1116"/>
      <c r="R6106" s="1141"/>
      <c r="S6106" s="1113"/>
      <c r="T6106" s="1143"/>
      <c r="U6106" s="1108"/>
      <c r="V6106" s="1108"/>
      <c r="W6106" s="1108"/>
      <c r="X6106" s="1108"/>
      <c r="Y6106" s="1108"/>
      <c r="Z6106" s="1114"/>
      <c r="AA6106" s="1114"/>
      <c r="AB6106" s="1114"/>
      <c r="AC6106" s="1117"/>
      <c r="AD6106" s="1115"/>
      <c r="AE6106" s="1115"/>
      <c r="AF6106" s="1115"/>
      <c r="AG6106" s="1115"/>
      <c r="AH6106" s="1115"/>
      <c r="AI6106" s="1115"/>
      <c r="AJ6106" s="1117"/>
      <c r="AK6106" s="1118"/>
      <c r="AL6106" s="1115"/>
      <c r="AM6106" s="1115"/>
      <c r="AN6106" s="1115"/>
      <c r="AO6106" s="1115"/>
      <c r="AP6106" s="1115"/>
      <c r="AQ6106" s="1115"/>
      <c r="AR6106" s="1115"/>
      <c r="AS6106" s="1117"/>
      <c r="AT6106" s="1075"/>
      <c r="AU6106" s="1193"/>
      <c r="AV6106" s="330"/>
      <c r="AW6106" s="331"/>
      <c r="AX6106" s="331"/>
      <c r="AY6106" s="331"/>
      <c r="AZ6106" s="331"/>
      <c r="BA6106" s="331"/>
      <c r="BB6106" s="331"/>
      <c r="BC6106" s="331"/>
      <c r="BD6106" s="331"/>
      <c r="BE6106" s="333"/>
      <c r="BF6106" s="330"/>
      <c r="BG6106" s="333"/>
      <c r="BH6106" s="1119"/>
      <c r="BI6106" s="319"/>
      <c r="BJ6106" s="319"/>
      <c r="BK6106" s="319"/>
      <c r="BL6106" s="319"/>
      <c r="BM6106" s="319"/>
      <c r="BN6106" s="319"/>
      <c r="BO6106" s="319"/>
      <c r="BP6106" s="953"/>
      <c r="BQ6106" s="319"/>
      <c r="BR6106" s="319"/>
      <c r="BS6106" s="330"/>
      <c r="BT6106" s="331"/>
      <c r="BU6106" s="920"/>
      <c r="BV6106" s="903"/>
      <c r="BW6106" s="908"/>
      <c r="BX6106" s="908"/>
      <c r="BY6106" s="331"/>
      <c r="BZ6106" s="331"/>
      <c r="CA6106" s="462"/>
      <c r="CB6106" s="319"/>
      <c r="CC6106" s="319"/>
      <c r="CD6106" s="319"/>
      <c r="CE6106" s="319"/>
      <c r="CF6106" s="319"/>
      <c r="CG6106" s="319"/>
      <c r="CH6106" s="318"/>
      <c r="CI6106" s="319"/>
      <c r="CJ6106" s="319"/>
      <c r="CK6106" s="342"/>
      <c r="CL6106" s="333"/>
      <c r="CM6106" s="1079"/>
      <c r="CN6106" s="1005"/>
      <c r="CO6106" s="1005"/>
      <c r="CP6106" s="1005"/>
    </row>
    <row r="6107">
      <c r="A6107" s="1257"/>
      <c r="B6107" s="1113"/>
      <c r="C6107" s="1107"/>
      <c r="D6107" s="103"/>
      <c r="E6107" s="1137"/>
      <c r="F6107" s="112"/>
      <c r="G6107" s="1110"/>
      <c r="H6107" s="1138"/>
      <c r="I6107" s="1138"/>
      <c r="J6107" s="1139"/>
      <c r="K6107" s="1111"/>
      <c r="L6107" s="1112"/>
      <c r="M6107" s="1113"/>
      <c r="N6107" s="110"/>
      <c r="O6107" s="1140"/>
      <c r="P6107" s="1115"/>
      <c r="Q6107" s="1116"/>
      <c r="R6107" s="1141"/>
      <c r="S6107" s="1113"/>
      <c r="T6107" s="1143"/>
      <c r="U6107" s="1108"/>
      <c r="V6107" s="1108"/>
      <c r="W6107" s="1108"/>
      <c r="X6107" s="1108"/>
      <c r="Y6107" s="1108"/>
      <c r="Z6107" s="1114"/>
      <c r="AA6107" s="1114"/>
      <c r="AB6107" s="1114"/>
      <c r="AC6107" s="1117"/>
      <c r="AD6107" s="1115"/>
      <c r="AE6107" s="1115"/>
      <c r="AF6107" s="1115"/>
      <c r="AG6107" s="1115"/>
      <c r="AH6107" s="1115"/>
      <c r="AI6107" s="1115"/>
      <c r="AJ6107" s="1117"/>
      <c r="AK6107" s="1118"/>
      <c r="AL6107" s="1115"/>
      <c r="AM6107" s="1115"/>
      <c r="AN6107" s="1115"/>
      <c r="AO6107" s="1115"/>
      <c r="AP6107" s="1115"/>
      <c r="AQ6107" s="1115"/>
      <c r="AR6107" s="1115"/>
      <c r="AS6107" s="1117"/>
      <c r="AT6107" s="1075"/>
      <c r="AU6107" s="1193"/>
      <c r="AV6107" s="330"/>
      <c r="AW6107" s="331"/>
      <c r="AX6107" s="331"/>
      <c r="AY6107" s="331"/>
      <c r="AZ6107" s="331"/>
      <c r="BA6107" s="331"/>
      <c r="BB6107" s="331"/>
      <c r="BC6107" s="331"/>
      <c r="BD6107" s="331"/>
      <c r="BE6107" s="333"/>
      <c r="BF6107" s="330"/>
      <c r="BG6107" s="333"/>
      <c r="BH6107" s="1119"/>
      <c r="BI6107" s="319"/>
      <c r="BJ6107" s="319"/>
      <c r="BK6107" s="319"/>
      <c r="BL6107" s="319"/>
      <c r="BM6107" s="319"/>
      <c r="BN6107" s="319"/>
      <c r="BO6107" s="319"/>
      <c r="BP6107" s="953"/>
      <c r="BQ6107" s="319"/>
      <c r="BR6107" s="319"/>
      <c r="BS6107" s="330"/>
      <c r="BT6107" s="331"/>
      <c r="BU6107" s="920"/>
      <c r="BV6107" s="903"/>
      <c r="BW6107" s="908"/>
      <c r="BX6107" s="908"/>
      <c r="BY6107" s="331"/>
      <c r="BZ6107" s="331"/>
      <c r="CA6107" s="462"/>
      <c r="CB6107" s="319"/>
      <c r="CC6107" s="319"/>
      <c r="CD6107" s="319"/>
      <c r="CE6107" s="319"/>
      <c r="CF6107" s="319"/>
      <c r="CG6107" s="319"/>
      <c r="CH6107" s="318"/>
      <c r="CI6107" s="319"/>
      <c r="CJ6107" s="319"/>
      <c r="CK6107" s="342"/>
      <c r="CL6107" s="333"/>
      <c r="CM6107" s="1079"/>
      <c r="CN6107" s="1005"/>
      <c r="CO6107" s="1005"/>
      <c r="CP6107" s="1005"/>
    </row>
    <row r="6108">
      <c r="A6108" s="1257"/>
      <c r="B6108" s="1113"/>
      <c r="C6108" s="1107"/>
      <c r="D6108" s="103"/>
      <c r="E6108" s="1137"/>
      <c r="F6108" s="112"/>
      <c r="G6108" s="1110"/>
      <c r="H6108" s="1138"/>
      <c r="I6108" s="1138"/>
      <c r="J6108" s="1139"/>
      <c r="K6108" s="1111"/>
      <c r="L6108" s="1112"/>
      <c r="M6108" s="1113"/>
      <c r="N6108" s="110"/>
      <c r="O6108" s="1140"/>
      <c r="P6108" s="1115"/>
      <c r="Q6108" s="1116"/>
      <c r="R6108" s="1141"/>
      <c r="S6108" s="1113"/>
      <c r="T6108" s="1143"/>
      <c r="U6108" s="1108"/>
      <c r="V6108" s="1108"/>
      <c r="W6108" s="1108"/>
      <c r="X6108" s="1108"/>
      <c r="Y6108" s="1108"/>
      <c r="Z6108" s="1114"/>
      <c r="AA6108" s="1114"/>
      <c r="AB6108" s="1114"/>
      <c r="AC6108" s="1117"/>
      <c r="AD6108" s="1115"/>
      <c r="AE6108" s="1115"/>
      <c r="AF6108" s="1115"/>
      <c r="AG6108" s="1115"/>
      <c r="AH6108" s="1115"/>
      <c r="AI6108" s="1115"/>
      <c r="AJ6108" s="1117"/>
      <c r="AK6108" s="1118"/>
      <c r="AL6108" s="1115"/>
      <c r="AM6108" s="1115"/>
      <c r="AN6108" s="1115"/>
      <c r="AO6108" s="1115"/>
      <c r="AP6108" s="1115"/>
      <c r="AQ6108" s="1115"/>
      <c r="AR6108" s="1115"/>
      <c r="AS6108" s="1117"/>
      <c r="AT6108" s="1075"/>
      <c r="AU6108" s="1193"/>
      <c r="AV6108" s="330"/>
      <c r="AW6108" s="331"/>
      <c r="AX6108" s="331"/>
      <c r="AY6108" s="331"/>
      <c r="AZ6108" s="331"/>
      <c r="BA6108" s="331"/>
      <c r="BB6108" s="331"/>
      <c r="BC6108" s="331"/>
      <c r="BD6108" s="331"/>
      <c r="BE6108" s="333"/>
      <c r="BF6108" s="330"/>
      <c r="BG6108" s="333"/>
      <c r="BH6108" s="1119"/>
      <c r="BI6108" s="319"/>
      <c r="BJ6108" s="319"/>
      <c r="BK6108" s="319"/>
      <c r="BL6108" s="319"/>
      <c r="BM6108" s="319"/>
      <c r="BN6108" s="319"/>
      <c r="BO6108" s="319"/>
      <c r="BP6108" s="953"/>
      <c r="BQ6108" s="319"/>
      <c r="BR6108" s="319"/>
      <c r="BS6108" s="330"/>
      <c r="BT6108" s="331"/>
      <c r="BU6108" s="920"/>
      <c r="BV6108" s="903"/>
      <c r="BW6108" s="908"/>
      <c r="BX6108" s="908"/>
      <c r="BY6108" s="331"/>
      <c r="BZ6108" s="331"/>
      <c r="CA6108" s="462"/>
      <c r="CB6108" s="319"/>
      <c r="CC6108" s="319"/>
      <c r="CD6108" s="319"/>
      <c r="CE6108" s="319"/>
      <c r="CF6108" s="319"/>
      <c r="CG6108" s="319"/>
      <c r="CH6108" s="318"/>
      <c r="CI6108" s="319"/>
      <c r="CJ6108" s="319"/>
      <c r="CK6108" s="342"/>
      <c r="CL6108" s="333"/>
      <c r="CM6108" s="1079"/>
      <c r="CN6108" s="1005"/>
      <c r="CO6108" s="1005"/>
      <c r="CP6108" s="1005"/>
    </row>
    <row r="6109">
      <c r="A6109" s="1257"/>
      <c r="B6109" s="1113"/>
      <c r="C6109" s="1107"/>
      <c r="D6109" s="103"/>
      <c r="E6109" s="1137"/>
      <c r="F6109" s="112"/>
      <c r="G6109" s="1110"/>
      <c r="H6109" s="1138"/>
      <c r="I6109" s="1138"/>
      <c r="J6109" s="1139"/>
      <c r="K6109" s="1111"/>
      <c r="L6109" s="1112"/>
      <c r="M6109" s="1113"/>
      <c r="N6109" s="110"/>
      <c r="O6109" s="1140"/>
      <c r="P6109" s="1115"/>
      <c r="Q6109" s="1116"/>
      <c r="R6109" s="1141"/>
      <c r="S6109" s="1113"/>
      <c r="T6109" s="1143"/>
      <c r="U6109" s="1108"/>
      <c r="V6109" s="1108"/>
      <c r="W6109" s="1108"/>
      <c r="X6109" s="1108"/>
      <c r="Y6109" s="1108"/>
      <c r="Z6109" s="1114"/>
      <c r="AA6109" s="1114"/>
      <c r="AB6109" s="1114"/>
      <c r="AC6109" s="1117"/>
      <c r="AD6109" s="1115"/>
      <c r="AE6109" s="1115"/>
      <c r="AF6109" s="1115"/>
      <c r="AG6109" s="1115"/>
      <c r="AH6109" s="1115"/>
      <c r="AI6109" s="1115"/>
      <c r="AJ6109" s="1117"/>
      <c r="AK6109" s="1118"/>
      <c r="AL6109" s="1115"/>
      <c r="AM6109" s="1115"/>
      <c r="AN6109" s="1115"/>
      <c r="AO6109" s="1115"/>
      <c r="AP6109" s="1115"/>
      <c r="AQ6109" s="1115"/>
      <c r="AR6109" s="1115"/>
      <c r="AS6109" s="1117"/>
      <c r="AT6109" s="1075"/>
      <c r="AU6109" s="1193"/>
      <c r="AV6109" s="330"/>
      <c r="AW6109" s="331"/>
      <c r="AX6109" s="331"/>
      <c r="AY6109" s="331"/>
      <c r="AZ6109" s="331"/>
      <c r="BA6109" s="331"/>
      <c r="BB6109" s="331"/>
      <c r="BC6109" s="331"/>
      <c r="BD6109" s="331"/>
      <c r="BE6109" s="333"/>
      <c r="BF6109" s="330"/>
      <c r="BG6109" s="333"/>
      <c r="BH6109" s="1119"/>
      <c r="BI6109" s="319"/>
      <c r="BJ6109" s="319"/>
      <c r="BK6109" s="319"/>
      <c r="BL6109" s="319"/>
      <c r="BM6109" s="319"/>
      <c r="BN6109" s="319"/>
      <c r="BO6109" s="319"/>
      <c r="BP6109" s="953"/>
      <c r="BQ6109" s="319"/>
      <c r="BR6109" s="319"/>
      <c r="BS6109" s="330"/>
      <c r="BT6109" s="331"/>
      <c r="BU6109" s="920"/>
      <c r="BV6109" s="903"/>
      <c r="BW6109" s="908"/>
      <c r="BX6109" s="908"/>
      <c r="BY6109" s="331"/>
      <c r="BZ6109" s="331"/>
      <c r="CA6109" s="462"/>
      <c r="CB6109" s="319"/>
      <c r="CC6109" s="319"/>
      <c r="CD6109" s="319"/>
      <c r="CE6109" s="319"/>
      <c r="CF6109" s="319"/>
      <c r="CG6109" s="319"/>
      <c r="CH6109" s="318"/>
      <c r="CI6109" s="319"/>
      <c r="CJ6109" s="319"/>
      <c r="CK6109" s="342"/>
      <c r="CL6109" s="333"/>
      <c r="CM6109" s="1079"/>
      <c r="CN6109" s="1005"/>
      <c r="CO6109" s="1005"/>
      <c r="CP6109" s="1005"/>
    </row>
    <row r="6110">
      <c r="A6110" s="1257"/>
      <c r="B6110" s="1113"/>
      <c r="C6110" s="1107"/>
      <c r="D6110" s="103"/>
      <c r="E6110" s="1137"/>
      <c r="F6110" s="112"/>
      <c r="G6110" s="1110"/>
      <c r="H6110" s="1138"/>
      <c r="I6110" s="1138"/>
      <c r="J6110" s="1139"/>
      <c r="K6110" s="1111"/>
      <c r="L6110" s="1112"/>
      <c r="M6110" s="1113"/>
      <c r="N6110" s="110"/>
      <c r="O6110" s="1140"/>
      <c r="P6110" s="1115"/>
      <c r="Q6110" s="1116"/>
      <c r="R6110" s="1141"/>
      <c r="S6110" s="1113"/>
      <c r="T6110" s="1143"/>
      <c r="U6110" s="1108"/>
      <c r="V6110" s="1108"/>
      <c r="W6110" s="1108"/>
      <c r="X6110" s="1108"/>
      <c r="Y6110" s="1108"/>
      <c r="Z6110" s="1114"/>
      <c r="AA6110" s="1114"/>
      <c r="AB6110" s="1114"/>
      <c r="AC6110" s="1117"/>
      <c r="AD6110" s="1115"/>
      <c r="AE6110" s="1115"/>
      <c r="AF6110" s="1115"/>
      <c r="AG6110" s="1115"/>
      <c r="AH6110" s="1115"/>
      <c r="AI6110" s="1115"/>
      <c r="AJ6110" s="1117"/>
      <c r="AK6110" s="1118"/>
      <c r="AL6110" s="1115"/>
      <c r="AM6110" s="1115"/>
      <c r="AN6110" s="1115"/>
      <c r="AO6110" s="1115"/>
      <c r="AP6110" s="1115"/>
      <c r="AQ6110" s="1115"/>
      <c r="AR6110" s="1115"/>
      <c r="AS6110" s="1117"/>
      <c r="AT6110" s="1075"/>
      <c r="AU6110" s="1193"/>
      <c r="AV6110" s="330"/>
      <c r="AW6110" s="331"/>
      <c r="AX6110" s="331"/>
      <c r="AY6110" s="331"/>
      <c r="AZ6110" s="331"/>
      <c r="BA6110" s="331"/>
      <c r="BB6110" s="331"/>
      <c r="BC6110" s="331"/>
      <c r="BD6110" s="331"/>
      <c r="BE6110" s="333"/>
      <c r="BF6110" s="330"/>
      <c r="BG6110" s="333"/>
      <c r="BH6110" s="1119"/>
      <c r="BI6110" s="319"/>
      <c r="BJ6110" s="319"/>
      <c r="BK6110" s="319"/>
      <c r="BL6110" s="319"/>
      <c r="BM6110" s="319"/>
      <c r="BN6110" s="319"/>
      <c r="BO6110" s="319"/>
      <c r="BP6110" s="953"/>
      <c r="BQ6110" s="319"/>
      <c r="BR6110" s="319"/>
      <c r="BS6110" s="330"/>
      <c r="BT6110" s="331"/>
      <c r="BU6110" s="920"/>
      <c r="BV6110" s="903"/>
      <c r="BW6110" s="908"/>
      <c r="BX6110" s="908"/>
      <c r="BY6110" s="331"/>
      <c r="BZ6110" s="331"/>
      <c r="CA6110" s="462"/>
      <c r="CB6110" s="319"/>
      <c r="CC6110" s="319"/>
      <c r="CD6110" s="319"/>
      <c r="CE6110" s="319"/>
      <c r="CF6110" s="319"/>
      <c r="CG6110" s="319"/>
      <c r="CH6110" s="318"/>
      <c r="CI6110" s="319"/>
      <c r="CJ6110" s="319"/>
      <c r="CK6110" s="342"/>
      <c r="CL6110" s="333"/>
      <c r="CM6110" s="1079"/>
      <c r="CN6110" s="1005"/>
      <c r="CO6110" s="1005"/>
      <c r="CP6110" s="1005"/>
    </row>
    <row r="6111">
      <c r="A6111" s="1257"/>
      <c r="B6111" s="1113"/>
      <c r="C6111" s="1107"/>
      <c r="D6111" s="103"/>
      <c r="E6111" s="1137"/>
      <c r="F6111" s="112"/>
      <c r="G6111" s="1110"/>
      <c r="H6111" s="1138"/>
      <c r="I6111" s="1138"/>
      <c r="J6111" s="1139"/>
      <c r="K6111" s="1111"/>
      <c r="L6111" s="1112"/>
      <c r="M6111" s="1113"/>
      <c r="N6111" s="110"/>
      <c r="O6111" s="1140"/>
      <c r="P6111" s="1115"/>
      <c r="Q6111" s="1116"/>
      <c r="R6111" s="1141"/>
      <c r="S6111" s="1113"/>
      <c r="T6111" s="1143"/>
      <c r="U6111" s="1108"/>
      <c r="V6111" s="1108"/>
      <c r="W6111" s="1108"/>
      <c r="X6111" s="1108"/>
      <c r="Y6111" s="1108"/>
      <c r="Z6111" s="1114"/>
      <c r="AA6111" s="1114"/>
      <c r="AB6111" s="1114"/>
      <c r="AC6111" s="1117"/>
      <c r="AD6111" s="1115"/>
      <c r="AE6111" s="1115"/>
      <c r="AF6111" s="1115"/>
      <c r="AG6111" s="1115"/>
      <c r="AH6111" s="1115"/>
      <c r="AI6111" s="1115"/>
      <c r="AJ6111" s="1117"/>
      <c r="AK6111" s="1118"/>
      <c r="AL6111" s="1115"/>
      <c r="AM6111" s="1115"/>
      <c r="AN6111" s="1115"/>
      <c r="AO6111" s="1115"/>
      <c r="AP6111" s="1115"/>
      <c r="AQ6111" s="1115"/>
      <c r="AR6111" s="1115"/>
      <c r="AS6111" s="1117"/>
      <c r="AT6111" s="1075"/>
      <c r="AU6111" s="1193"/>
      <c r="AV6111" s="330"/>
      <c r="AW6111" s="331"/>
      <c r="AX6111" s="331"/>
      <c r="AY6111" s="331"/>
      <c r="AZ6111" s="331"/>
      <c r="BA6111" s="331"/>
      <c r="BB6111" s="331"/>
      <c r="BC6111" s="331"/>
      <c r="BD6111" s="331"/>
      <c r="BE6111" s="333"/>
      <c r="BF6111" s="330"/>
      <c r="BG6111" s="333"/>
      <c r="BH6111" s="1119"/>
      <c r="BI6111" s="319"/>
      <c r="BJ6111" s="319"/>
      <c r="BK6111" s="319"/>
      <c r="BL6111" s="319"/>
      <c r="BM6111" s="319"/>
      <c r="BN6111" s="319"/>
      <c r="BO6111" s="319"/>
      <c r="BP6111" s="953"/>
      <c r="BQ6111" s="319"/>
      <c r="BR6111" s="319"/>
      <c r="BS6111" s="330"/>
      <c r="BT6111" s="331"/>
      <c r="BU6111" s="920"/>
      <c r="BV6111" s="903"/>
      <c r="BW6111" s="908"/>
      <c r="BX6111" s="908"/>
      <c r="BY6111" s="331"/>
      <c r="BZ6111" s="331"/>
      <c r="CA6111" s="462"/>
      <c r="CB6111" s="319"/>
      <c r="CC6111" s="319"/>
      <c r="CD6111" s="319"/>
      <c r="CE6111" s="319"/>
      <c r="CF6111" s="319"/>
      <c r="CG6111" s="319"/>
      <c r="CH6111" s="318"/>
      <c r="CI6111" s="319"/>
      <c r="CJ6111" s="319"/>
      <c r="CK6111" s="342"/>
      <c r="CL6111" s="333"/>
      <c r="CM6111" s="1079"/>
      <c r="CN6111" s="1005"/>
      <c r="CO6111" s="1005"/>
      <c r="CP6111" s="1005"/>
    </row>
    <row r="6112">
      <c r="A6112" s="1257"/>
      <c r="B6112" s="1113"/>
      <c r="C6112" s="1107"/>
      <c r="D6112" s="103"/>
      <c r="E6112" s="1137"/>
      <c r="F6112" s="112"/>
      <c r="G6112" s="1110"/>
      <c r="H6112" s="1138"/>
      <c r="I6112" s="1138"/>
      <c r="J6112" s="1139"/>
      <c r="K6112" s="1111"/>
      <c r="L6112" s="1112"/>
      <c r="M6112" s="1113"/>
      <c r="N6112" s="110"/>
      <c r="O6112" s="1140"/>
      <c r="P6112" s="1115"/>
      <c r="Q6112" s="1116"/>
      <c r="R6112" s="1141"/>
      <c r="S6112" s="1113"/>
      <c r="T6112" s="1143"/>
      <c r="U6112" s="1108"/>
      <c r="V6112" s="1108"/>
      <c r="W6112" s="1108"/>
      <c r="X6112" s="1108"/>
      <c r="Y6112" s="1108"/>
      <c r="Z6112" s="1114"/>
      <c r="AA6112" s="1114"/>
      <c r="AB6112" s="1114"/>
      <c r="AC6112" s="1117"/>
      <c r="AD6112" s="1115"/>
      <c r="AE6112" s="1115"/>
      <c r="AF6112" s="1115"/>
      <c r="AG6112" s="1115"/>
      <c r="AH6112" s="1115"/>
      <c r="AI6112" s="1115"/>
      <c r="AJ6112" s="1117"/>
      <c r="AK6112" s="1118"/>
      <c r="AL6112" s="1115"/>
      <c r="AM6112" s="1115"/>
      <c r="AN6112" s="1115"/>
      <c r="AO6112" s="1115"/>
      <c r="AP6112" s="1115"/>
      <c r="AQ6112" s="1115"/>
      <c r="AR6112" s="1115"/>
      <c r="AS6112" s="1117"/>
      <c r="AT6112" s="1075"/>
      <c r="AU6112" s="1193"/>
      <c r="AV6112" s="330"/>
      <c r="AW6112" s="331"/>
      <c r="AX6112" s="331"/>
      <c r="AY6112" s="331"/>
      <c r="AZ6112" s="331"/>
      <c r="BA6112" s="331"/>
      <c r="BB6112" s="331"/>
      <c r="BC6112" s="331"/>
      <c r="BD6112" s="331"/>
      <c r="BE6112" s="333"/>
      <c r="BF6112" s="330"/>
      <c r="BG6112" s="333"/>
      <c r="BH6112" s="1119"/>
      <c r="BI6112" s="319"/>
      <c r="BJ6112" s="319"/>
      <c r="BK6112" s="319"/>
      <c r="BL6112" s="319"/>
      <c r="BM6112" s="319"/>
      <c r="BN6112" s="319"/>
      <c r="BO6112" s="319"/>
      <c r="BP6112" s="953"/>
      <c r="BQ6112" s="319"/>
      <c r="BR6112" s="319"/>
      <c r="BS6112" s="330"/>
      <c r="BT6112" s="331"/>
      <c r="BU6112" s="920"/>
      <c r="BV6112" s="903"/>
      <c r="BW6112" s="908"/>
      <c r="BX6112" s="908"/>
      <c r="BY6112" s="331"/>
      <c r="BZ6112" s="331"/>
      <c r="CA6112" s="462"/>
      <c r="CB6112" s="319"/>
      <c r="CC6112" s="319"/>
      <c r="CD6112" s="319"/>
      <c r="CE6112" s="319"/>
      <c r="CF6112" s="319"/>
      <c r="CG6112" s="319"/>
      <c r="CH6112" s="318"/>
      <c r="CI6112" s="319"/>
      <c r="CJ6112" s="319"/>
      <c r="CK6112" s="342"/>
      <c r="CL6112" s="333"/>
      <c r="CM6112" s="1079"/>
      <c r="CN6112" s="1005"/>
      <c r="CO6112" s="1005"/>
      <c r="CP6112" s="1005"/>
    </row>
    <row r="6113">
      <c r="A6113" s="1257"/>
      <c r="B6113" s="1113"/>
      <c r="C6113" s="1107"/>
      <c r="D6113" s="103"/>
      <c r="E6113" s="1137"/>
      <c r="F6113" s="112"/>
      <c r="G6113" s="1110"/>
      <c r="H6113" s="1138"/>
      <c r="I6113" s="1138"/>
      <c r="J6113" s="1139"/>
      <c r="K6113" s="1111"/>
      <c r="L6113" s="1112"/>
      <c r="M6113" s="1113"/>
      <c r="N6113" s="110"/>
      <c r="O6113" s="1140"/>
      <c r="P6113" s="1115"/>
      <c r="Q6113" s="1116"/>
      <c r="R6113" s="1141"/>
      <c r="S6113" s="1113"/>
      <c r="T6113" s="1143"/>
      <c r="U6113" s="1108"/>
      <c r="V6113" s="1108"/>
      <c r="W6113" s="1108"/>
      <c r="X6113" s="1108"/>
      <c r="Y6113" s="1108"/>
      <c r="Z6113" s="1114"/>
      <c r="AA6113" s="1114"/>
      <c r="AB6113" s="1114"/>
      <c r="AC6113" s="1117"/>
      <c r="AD6113" s="1115"/>
      <c r="AE6113" s="1115"/>
      <c r="AF6113" s="1115"/>
      <c r="AG6113" s="1115"/>
      <c r="AH6113" s="1115"/>
      <c r="AI6113" s="1115"/>
      <c r="AJ6113" s="1117"/>
      <c r="AK6113" s="1118"/>
      <c r="AL6113" s="1115"/>
      <c r="AM6113" s="1115"/>
      <c r="AN6113" s="1115"/>
      <c r="AO6113" s="1115"/>
      <c r="AP6113" s="1115"/>
      <c r="AQ6113" s="1115"/>
      <c r="AR6113" s="1115"/>
      <c r="AS6113" s="1117"/>
      <c r="AT6113" s="1075"/>
      <c r="AU6113" s="1193"/>
      <c r="AV6113" s="330"/>
      <c r="AW6113" s="331"/>
      <c r="AX6113" s="331"/>
      <c r="AY6113" s="331"/>
      <c r="AZ6113" s="331"/>
      <c r="BA6113" s="331"/>
      <c r="BB6113" s="331"/>
      <c r="BC6113" s="331"/>
      <c r="BD6113" s="331"/>
      <c r="BE6113" s="333"/>
      <c r="BF6113" s="330"/>
      <c r="BG6113" s="333"/>
      <c r="BH6113" s="1119"/>
      <c r="BI6113" s="319"/>
      <c r="BJ6113" s="319"/>
      <c r="BK6113" s="319"/>
      <c r="BL6113" s="319"/>
      <c r="BM6113" s="319"/>
      <c r="BN6113" s="319"/>
      <c r="BO6113" s="319"/>
      <c r="BP6113" s="953"/>
      <c r="BQ6113" s="319"/>
      <c r="BR6113" s="319"/>
      <c r="BS6113" s="330"/>
      <c r="BT6113" s="331"/>
      <c r="BU6113" s="920"/>
      <c r="BV6113" s="903"/>
      <c r="BW6113" s="908"/>
      <c r="BX6113" s="908"/>
      <c r="BY6113" s="331"/>
      <c r="BZ6113" s="331"/>
      <c r="CA6113" s="462"/>
      <c r="CB6113" s="319"/>
      <c r="CC6113" s="319"/>
      <c r="CD6113" s="319"/>
      <c r="CE6113" s="319"/>
      <c r="CF6113" s="319"/>
      <c r="CG6113" s="319"/>
      <c r="CH6113" s="318"/>
      <c r="CI6113" s="319"/>
      <c r="CJ6113" s="319"/>
      <c r="CK6113" s="342"/>
      <c r="CL6113" s="333"/>
      <c r="CM6113" s="1079"/>
      <c r="CN6113" s="1005"/>
      <c r="CO6113" s="1005"/>
      <c r="CP6113" s="1005"/>
    </row>
    <row r="6114">
      <c r="A6114" s="1257"/>
      <c r="B6114" s="1113"/>
      <c r="C6114" s="1107"/>
      <c r="D6114" s="103"/>
      <c r="E6114" s="1137"/>
      <c r="F6114" s="112"/>
      <c r="G6114" s="1110"/>
      <c r="H6114" s="1138"/>
      <c r="I6114" s="1138"/>
      <c r="J6114" s="1139"/>
      <c r="K6114" s="1111"/>
      <c r="L6114" s="1112"/>
      <c r="M6114" s="1113"/>
      <c r="N6114" s="110"/>
      <c r="O6114" s="1140"/>
      <c r="P6114" s="1115"/>
      <c r="Q6114" s="1116"/>
      <c r="R6114" s="1141"/>
      <c r="S6114" s="1113"/>
      <c r="T6114" s="1143"/>
      <c r="U6114" s="1108"/>
      <c r="V6114" s="1108"/>
      <c r="W6114" s="1108"/>
      <c r="X6114" s="1108"/>
      <c r="Y6114" s="1108"/>
      <c r="Z6114" s="1114"/>
      <c r="AA6114" s="1114"/>
      <c r="AB6114" s="1114"/>
      <c r="AC6114" s="1117"/>
      <c r="AD6114" s="1115"/>
      <c r="AE6114" s="1115"/>
      <c r="AF6114" s="1115"/>
      <c r="AG6114" s="1115"/>
      <c r="AH6114" s="1115"/>
      <c r="AI6114" s="1115"/>
      <c r="AJ6114" s="1117"/>
      <c r="AK6114" s="1118"/>
      <c r="AL6114" s="1115"/>
      <c r="AM6114" s="1115"/>
      <c r="AN6114" s="1115"/>
      <c r="AO6114" s="1115"/>
      <c r="AP6114" s="1115"/>
      <c r="AQ6114" s="1115"/>
      <c r="AR6114" s="1115"/>
      <c r="AS6114" s="1117"/>
      <c r="AT6114" s="1075"/>
      <c r="AU6114" s="1193"/>
      <c r="AV6114" s="330"/>
      <c r="AW6114" s="331"/>
      <c r="AX6114" s="331"/>
      <c r="AY6114" s="331"/>
      <c r="AZ6114" s="331"/>
      <c r="BA6114" s="331"/>
      <c r="BB6114" s="331"/>
      <c r="BC6114" s="331"/>
      <c r="BD6114" s="331"/>
      <c r="BE6114" s="333"/>
      <c r="BF6114" s="330"/>
      <c r="BG6114" s="333"/>
      <c r="BH6114" s="1119"/>
      <c r="BI6114" s="319"/>
      <c r="BJ6114" s="319"/>
      <c r="BK6114" s="319"/>
      <c r="BL6114" s="319"/>
      <c r="BM6114" s="319"/>
      <c r="BN6114" s="319"/>
      <c r="BO6114" s="319"/>
      <c r="BP6114" s="953"/>
      <c r="BQ6114" s="319"/>
      <c r="BR6114" s="319"/>
      <c r="BS6114" s="330"/>
      <c r="BT6114" s="331"/>
      <c r="BU6114" s="920"/>
      <c r="BV6114" s="903"/>
      <c r="BW6114" s="908"/>
      <c r="BX6114" s="908"/>
      <c r="BY6114" s="331"/>
      <c r="BZ6114" s="331"/>
      <c r="CA6114" s="462"/>
      <c r="CB6114" s="319"/>
      <c r="CC6114" s="319"/>
      <c r="CD6114" s="319"/>
      <c r="CE6114" s="319"/>
      <c r="CF6114" s="319"/>
      <c r="CG6114" s="319"/>
      <c r="CH6114" s="318"/>
      <c r="CI6114" s="319"/>
      <c r="CJ6114" s="319"/>
      <c r="CK6114" s="342"/>
      <c r="CL6114" s="333"/>
      <c r="CM6114" s="1079"/>
      <c r="CN6114" s="1005"/>
      <c r="CO6114" s="1005"/>
      <c r="CP6114" s="1005"/>
    </row>
    <row r="6115">
      <c r="A6115" s="1257"/>
      <c r="B6115" s="1113"/>
      <c r="C6115" s="1107"/>
      <c r="D6115" s="103"/>
      <c r="E6115" s="1137"/>
      <c r="F6115" s="112"/>
      <c r="G6115" s="1110"/>
      <c r="H6115" s="1138"/>
      <c r="I6115" s="1138"/>
      <c r="J6115" s="1139"/>
      <c r="K6115" s="1111"/>
      <c r="L6115" s="1112"/>
      <c r="M6115" s="1113"/>
      <c r="N6115" s="110"/>
      <c r="O6115" s="1140"/>
      <c r="P6115" s="1115"/>
      <c r="Q6115" s="1116"/>
      <c r="R6115" s="1141"/>
      <c r="S6115" s="1113"/>
      <c r="T6115" s="1143"/>
      <c r="U6115" s="1108"/>
      <c r="V6115" s="1108"/>
      <c r="W6115" s="1108"/>
      <c r="X6115" s="1108"/>
      <c r="Y6115" s="1108"/>
      <c r="Z6115" s="1114"/>
      <c r="AA6115" s="1114"/>
      <c r="AB6115" s="1114"/>
      <c r="AC6115" s="1117"/>
      <c r="AD6115" s="1115"/>
      <c r="AE6115" s="1115"/>
      <c r="AF6115" s="1115"/>
      <c r="AG6115" s="1115"/>
      <c r="AH6115" s="1115"/>
      <c r="AI6115" s="1115"/>
      <c r="AJ6115" s="1117"/>
      <c r="AK6115" s="1118"/>
      <c r="AL6115" s="1115"/>
      <c r="AM6115" s="1115"/>
      <c r="AN6115" s="1115"/>
      <c r="AO6115" s="1115"/>
      <c r="AP6115" s="1115"/>
      <c r="AQ6115" s="1115"/>
      <c r="AR6115" s="1115"/>
      <c r="AS6115" s="1117"/>
      <c r="AT6115" s="1075"/>
      <c r="AU6115" s="1193"/>
      <c r="AV6115" s="330"/>
      <c r="AW6115" s="331"/>
      <c r="AX6115" s="331"/>
      <c r="AY6115" s="331"/>
      <c r="AZ6115" s="331"/>
      <c r="BA6115" s="331"/>
      <c r="BB6115" s="331"/>
      <c r="BC6115" s="331"/>
      <c r="BD6115" s="331"/>
      <c r="BE6115" s="333"/>
      <c r="BF6115" s="330"/>
      <c r="BG6115" s="333"/>
      <c r="BH6115" s="1119"/>
      <c r="BI6115" s="319"/>
      <c r="BJ6115" s="319"/>
      <c r="BK6115" s="319"/>
      <c r="BL6115" s="319"/>
      <c r="BM6115" s="319"/>
      <c r="BN6115" s="319"/>
      <c r="BO6115" s="319"/>
      <c r="BP6115" s="953"/>
      <c r="BQ6115" s="319"/>
      <c r="BR6115" s="319"/>
      <c r="BS6115" s="330"/>
      <c r="BT6115" s="331"/>
      <c r="BU6115" s="920"/>
      <c r="BV6115" s="903"/>
      <c r="BW6115" s="908"/>
      <c r="BX6115" s="908"/>
      <c r="BY6115" s="331"/>
      <c r="BZ6115" s="331"/>
      <c r="CA6115" s="462"/>
      <c r="CB6115" s="319"/>
      <c r="CC6115" s="319"/>
      <c r="CD6115" s="319"/>
      <c r="CE6115" s="319"/>
      <c r="CF6115" s="319"/>
      <c r="CG6115" s="319"/>
      <c r="CH6115" s="318"/>
      <c r="CI6115" s="319"/>
      <c r="CJ6115" s="319"/>
      <c r="CK6115" s="342"/>
      <c r="CL6115" s="333"/>
      <c r="CM6115" s="1079"/>
      <c r="CN6115" s="1005"/>
      <c r="CO6115" s="1005"/>
      <c r="CP6115" s="1005"/>
    </row>
    <row r="6116">
      <c r="A6116" s="1257"/>
      <c r="B6116" s="1113"/>
      <c r="C6116" s="1107"/>
      <c r="D6116" s="103"/>
      <c r="E6116" s="1137"/>
      <c r="F6116" s="112"/>
      <c r="G6116" s="1110"/>
      <c r="H6116" s="1138"/>
      <c r="I6116" s="1138"/>
      <c r="J6116" s="1139"/>
      <c r="K6116" s="1111"/>
      <c r="L6116" s="1112"/>
      <c r="M6116" s="1113"/>
      <c r="N6116" s="110"/>
      <c r="O6116" s="1140"/>
      <c r="P6116" s="1115"/>
      <c r="Q6116" s="1116"/>
      <c r="R6116" s="1141"/>
      <c r="S6116" s="1113"/>
      <c r="T6116" s="1143"/>
      <c r="U6116" s="1108"/>
      <c r="V6116" s="1108"/>
      <c r="W6116" s="1108"/>
      <c r="X6116" s="1108"/>
      <c r="Y6116" s="1108"/>
      <c r="Z6116" s="1114"/>
      <c r="AA6116" s="1114"/>
      <c r="AB6116" s="1114"/>
      <c r="AC6116" s="1117"/>
      <c r="AD6116" s="1115"/>
      <c r="AE6116" s="1115"/>
      <c r="AF6116" s="1115"/>
      <c r="AG6116" s="1115"/>
      <c r="AH6116" s="1115"/>
      <c r="AI6116" s="1115"/>
      <c r="AJ6116" s="1117"/>
      <c r="AK6116" s="1118"/>
      <c r="AL6116" s="1115"/>
      <c r="AM6116" s="1115"/>
      <c r="AN6116" s="1115"/>
      <c r="AO6116" s="1115"/>
      <c r="AP6116" s="1115"/>
      <c r="AQ6116" s="1115"/>
      <c r="AR6116" s="1115"/>
      <c r="AS6116" s="1117"/>
      <c r="AT6116" s="1075"/>
      <c r="AU6116" s="1193"/>
      <c r="AV6116" s="330"/>
      <c r="AW6116" s="331"/>
      <c r="AX6116" s="331"/>
      <c r="AY6116" s="331"/>
      <c r="AZ6116" s="331"/>
      <c r="BA6116" s="331"/>
      <c r="BB6116" s="331"/>
      <c r="BC6116" s="331"/>
      <c r="BD6116" s="331"/>
      <c r="BE6116" s="333"/>
      <c r="BF6116" s="330"/>
      <c r="BG6116" s="333"/>
      <c r="BH6116" s="1119"/>
      <c r="BI6116" s="319"/>
      <c r="BJ6116" s="319"/>
      <c r="BK6116" s="319"/>
      <c r="BL6116" s="319"/>
      <c r="BM6116" s="319"/>
      <c r="BN6116" s="319"/>
      <c r="BO6116" s="319"/>
      <c r="BP6116" s="953"/>
      <c r="BQ6116" s="319"/>
      <c r="BR6116" s="319"/>
      <c r="BS6116" s="330"/>
      <c r="BT6116" s="331"/>
      <c r="BU6116" s="920"/>
      <c r="BV6116" s="903"/>
      <c r="BW6116" s="908"/>
      <c r="BX6116" s="908"/>
      <c r="BY6116" s="331"/>
      <c r="BZ6116" s="331"/>
      <c r="CA6116" s="462"/>
      <c r="CB6116" s="319"/>
      <c r="CC6116" s="319"/>
      <c r="CD6116" s="319"/>
      <c r="CE6116" s="319"/>
      <c r="CF6116" s="319"/>
      <c r="CG6116" s="319"/>
      <c r="CH6116" s="318"/>
      <c r="CI6116" s="319"/>
      <c r="CJ6116" s="319"/>
      <c r="CK6116" s="342"/>
      <c r="CL6116" s="333"/>
      <c r="CM6116" s="1079"/>
      <c r="CN6116" s="1005"/>
      <c r="CO6116" s="1005"/>
      <c r="CP6116" s="1005"/>
    </row>
    <row r="6117">
      <c r="A6117" s="1257"/>
      <c r="B6117" s="1113"/>
      <c r="C6117" s="1107"/>
      <c r="D6117" s="103"/>
      <c r="E6117" s="1137"/>
      <c r="F6117" s="112"/>
      <c r="G6117" s="1110"/>
      <c r="H6117" s="1138"/>
      <c r="I6117" s="1138"/>
      <c r="J6117" s="1139"/>
      <c r="K6117" s="1111"/>
      <c r="L6117" s="1112"/>
      <c r="M6117" s="1113"/>
      <c r="N6117" s="110"/>
      <c r="O6117" s="1140"/>
      <c r="P6117" s="1115"/>
      <c r="Q6117" s="1116"/>
      <c r="R6117" s="1141"/>
      <c r="S6117" s="1113"/>
      <c r="T6117" s="1143"/>
      <c r="U6117" s="1108"/>
      <c r="V6117" s="1108"/>
      <c r="W6117" s="1108"/>
      <c r="X6117" s="1108"/>
      <c r="Y6117" s="1108"/>
      <c r="Z6117" s="1114"/>
      <c r="AA6117" s="1114"/>
      <c r="AB6117" s="1114"/>
      <c r="AC6117" s="1117"/>
      <c r="AD6117" s="1115"/>
      <c r="AE6117" s="1115"/>
      <c r="AF6117" s="1115"/>
      <c r="AG6117" s="1115"/>
      <c r="AH6117" s="1115"/>
      <c r="AI6117" s="1115"/>
      <c r="AJ6117" s="1117"/>
      <c r="AK6117" s="1118"/>
      <c r="AL6117" s="1115"/>
      <c r="AM6117" s="1115"/>
      <c r="AN6117" s="1115"/>
      <c r="AO6117" s="1115"/>
      <c r="AP6117" s="1115"/>
      <c r="AQ6117" s="1115"/>
      <c r="AR6117" s="1115"/>
      <c r="AS6117" s="1117"/>
      <c r="AT6117" s="1075"/>
      <c r="AU6117" s="1193"/>
      <c r="AV6117" s="330"/>
      <c r="AW6117" s="331"/>
      <c r="AX6117" s="331"/>
      <c r="AY6117" s="331"/>
      <c r="AZ6117" s="331"/>
      <c r="BA6117" s="331"/>
      <c r="BB6117" s="331"/>
      <c r="BC6117" s="331"/>
      <c r="BD6117" s="331"/>
      <c r="BE6117" s="333"/>
      <c r="BF6117" s="330"/>
      <c r="BG6117" s="333"/>
      <c r="BH6117" s="1119"/>
      <c r="BI6117" s="319"/>
      <c r="BJ6117" s="319"/>
      <c r="BK6117" s="319"/>
      <c r="BL6117" s="319"/>
      <c r="BM6117" s="319"/>
      <c r="BN6117" s="319"/>
      <c r="BO6117" s="319"/>
      <c r="BP6117" s="953"/>
      <c r="BQ6117" s="319"/>
      <c r="BR6117" s="319"/>
      <c r="BS6117" s="330"/>
      <c r="BT6117" s="331"/>
      <c r="BU6117" s="920"/>
      <c r="BV6117" s="903"/>
      <c r="BW6117" s="908"/>
      <c r="BX6117" s="908"/>
      <c r="BY6117" s="331"/>
      <c r="BZ6117" s="331"/>
      <c r="CA6117" s="462"/>
      <c r="CB6117" s="319"/>
      <c r="CC6117" s="319"/>
      <c r="CD6117" s="319"/>
      <c r="CE6117" s="319"/>
      <c r="CF6117" s="319"/>
      <c r="CG6117" s="319"/>
      <c r="CH6117" s="318"/>
      <c r="CI6117" s="319"/>
      <c r="CJ6117" s="319"/>
      <c r="CK6117" s="342"/>
      <c r="CL6117" s="333"/>
      <c r="CM6117" s="1079"/>
      <c r="CN6117" s="1005"/>
      <c r="CO6117" s="1005"/>
      <c r="CP6117" s="1005"/>
    </row>
    <row r="6118">
      <c r="A6118" s="1257"/>
      <c r="B6118" s="1113"/>
      <c r="C6118" s="1107"/>
      <c r="D6118" s="103"/>
      <c r="E6118" s="1137"/>
      <c r="F6118" s="112"/>
      <c r="G6118" s="1110"/>
      <c r="H6118" s="1138"/>
      <c r="I6118" s="1138"/>
      <c r="J6118" s="1139"/>
      <c r="K6118" s="1111"/>
      <c r="L6118" s="1112"/>
      <c r="M6118" s="1113"/>
      <c r="N6118" s="110"/>
      <c r="O6118" s="1140"/>
      <c r="P6118" s="1115"/>
      <c r="Q6118" s="1116"/>
      <c r="R6118" s="1141"/>
      <c r="S6118" s="1113"/>
      <c r="T6118" s="1143"/>
      <c r="U6118" s="1108"/>
      <c r="V6118" s="1108"/>
      <c r="W6118" s="1108"/>
      <c r="X6118" s="1108"/>
      <c r="Y6118" s="1108"/>
      <c r="Z6118" s="1114"/>
      <c r="AA6118" s="1114"/>
      <c r="AB6118" s="1114"/>
      <c r="AC6118" s="1117"/>
      <c r="AD6118" s="1115"/>
      <c r="AE6118" s="1115"/>
      <c r="AF6118" s="1115"/>
      <c r="AG6118" s="1115"/>
      <c r="AH6118" s="1115"/>
      <c r="AI6118" s="1115"/>
      <c r="AJ6118" s="1117"/>
      <c r="AK6118" s="1118"/>
      <c r="AL6118" s="1115"/>
      <c r="AM6118" s="1115"/>
      <c r="AN6118" s="1115"/>
      <c r="AO6118" s="1115"/>
      <c r="AP6118" s="1115"/>
      <c r="AQ6118" s="1115"/>
      <c r="AR6118" s="1115"/>
      <c r="AS6118" s="1117"/>
      <c r="AT6118" s="1075"/>
      <c r="AU6118" s="1193"/>
      <c r="AV6118" s="330"/>
      <c r="AW6118" s="331"/>
      <c r="AX6118" s="331"/>
      <c r="AY6118" s="331"/>
      <c r="AZ6118" s="331"/>
      <c r="BA6118" s="331"/>
      <c r="BB6118" s="331"/>
      <c r="BC6118" s="331"/>
      <c r="BD6118" s="331"/>
      <c r="BE6118" s="333"/>
      <c r="BF6118" s="330"/>
      <c r="BG6118" s="333"/>
      <c r="BH6118" s="1119"/>
      <c r="BI6118" s="319"/>
      <c r="BJ6118" s="319"/>
      <c r="BK6118" s="319"/>
      <c r="BL6118" s="319"/>
      <c r="BM6118" s="319"/>
      <c r="BN6118" s="319"/>
      <c r="BO6118" s="319"/>
      <c r="BP6118" s="953"/>
      <c r="BQ6118" s="319"/>
      <c r="BR6118" s="319"/>
      <c r="BS6118" s="330"/>
      <c r="BT6118" s="331"/>
      <c r="BU6118" s="920"/>
      <c r="BV6118" s="903"/>
      <c r="BW6118" s="908"/>
      <c r="BX6118" s="908"/>
      <c r="BY6118" s="331"/>
      <c r="BZ6118" s="331"/>
      <c r="CA6118" s="462"/>
      <c r="CB6118" s="319"/>
      <c r="CC6118" s="319"/>
      <c r="CD6118" s="319"/>
      <c r="CE6118" s="319"/>
      <c r="CF6118" s="319"/>
      <c r="CG6118" s="319"/>
      <c r="CH6118" s="318"/>
      <c r="CI6118" s="319"/>
      <c r="CJ6118" s="319"/>
      <c r="CK6118" s="342"/>
      <c r="CL6118" s="333"/>
      <c r="CM6118" s="1079"/>
      <c r="CN6118" s="1005"/>
      <c r="CO6118" s="1005"/>
      <c r="CP6118" s="1005"/>
    </row>
    <row r="6119">
      <c r="A6119" s="1257"/>
      <c r="B6119" s="1113"/>
      <c r="C6119" s="1107"/>
      <c r="D6119" s="103"/>
      <c r="E6119" s="1137"/>
      <c r="F6119" s="112"/>
      <c r="G6119" s="1110"/>
      <c r="H6119" s="1138"/>
      <c r="I6119" s="1138"/>
      <c r="J6119" s="1139"/>
      <c r="K6119" s="1111"/>
      <c r="L6119" s="1112"/>
      <c r="M6119" s="1113"/>
      <c r="N6119" s="110"/>
      <c r="O6119" s="1140"/>
      <c r="P6119" s="1115"/>
      <c r="Q6119" s="1116"/>
      <c r="R6119" s="1141"/>
      <c r="S6119" s="1113"/>
      <c r="T6119" s="1143"/>
      <c r="U6119" s="1108"/>
      <c r="V6119" s="1108"/>
      <c r="W6119" s="1108"/>
      <c r="X6119" s="1108"/>
      <c r="Y6119" s="1108"/>
      <c r="Z6119" s="1114"/>
      <c r="AA6119" s="1114"/>
      <c r="AB6119" s="1114"/>
      <c r="AC6119" s="1117"/>
      <c r="AD6119" s="1115"/>
      <c r="AE6119" s="1115"/>
      <c r="AF6119" s="1115"/>
      <c r="AG6119" s="1115"/>
      <c r="AH6119" s="1115"/>
      <c r="AI6119" s="1115"/>
      <c r="AJ6119" s="1117"/>
      <c r="AK6119" s="1118"/>
      <c r="AL6119" s="1115"/>
      <c r="AM6119" s="1115"/>
      <c r="AN6119" s="1115"/>
      <c r="AO6119" s="1115"/>
      <c r="AP6119" s="1115"/>
      <c r="AQ6119" s="1115"/>
      <c r="AR6119" s="1115"/>
      <c r="AS6119" s="1117"/>
      <c r="AT6119" s="1075"/>
      <c r="AU6119" s="1193"/>
      <c r="AV6119" s="330"/>
      <c r="AW6119" s="331"/>
      <c r="AX6119" s="331"/>
      <c r="AY6119" s="331"/>
      <c r="AZ6119" s="331"/>
      <c r="BA6119" s="331"/>
      <c r="BB6119" s="331"/>
      <c r="BC6119" s="331"/>
      <c r="BD6119" s="331"/>
      <c r="BE6119" s="333"/>
      <c r="BF6119" s="330"/>
      <c r="BG6119" s="333"/>
      <c r="BH6119" s="1119"/>
      <c r="BI6119" s="319"/>
      <c r="BJ6119" s="319"/>
      <c r="BK6119" s="319"/>
      <c r="BL6119" s="319"/>
      <c r="BM6119" s="319"/>
      <c r="BN6119" s="319"/>
      <c r="BO6119" s="319"/>
      <c r="BP6119" s="953"/>
      <c r="BQ6119" s="319"/>
      <c r="BR6119" s="319"/>
      <c r="BS6119" s="330"/>
      <c r="BT6119" s="331"/>
      <c r="BU6119" s="920"/>
      <c r="BV6119" s="903"/>
      <c r="BW6119" s="908"/>
      <c r="BX6119" s="908"/>
      <c r="BY6119" s="331"/>
      <c r="BZ6119" s="331"/>
      <c r="CA6119" s="462"/>
      <c r="CB6119" s="319"/>
      <c r="CC6119" s="319"/>
      <c r="CD6119" s="319"/>
      <c r="CE6119" s="319"/>
      <c r="CF6119" s="319"/>
      <c r="CG6119" s="319"/>
      <c r="CH6119" s="318"/>
      <c r="CI6119" s="319"/>
      <c r="CJ6119" s="319"/>
      <c r="CK6119" s="342"/>
      <c r="CL6119" s="333"/>
      <c r="CM6119" s="1079"/>
      <c r="CN6119" s="1005"/>
      <c r="CO6119" s="1005"/>
      <c r="CP6119" s="1005"/>
    </row>
    <row r="6120">
      <c r="A6120" s="1257"/>
      <c r="B6120" s="1113"/>
      <c r="C6120" s="1107"/>
      <c r="D6120" s="103"/>
      <c r="E6120" s="1137"/>
      <c r="F6120" s="112"/>
      <c r="G6120" s="1110"/>
      <c r="H6120" s="1138"/>
      <c r="I6120" s="1138"/>
      <c r="J6120" s="1139"/>
      <c r="K6120" s="1111"/>
      <c r="L6120" s="1112"/>
      <c r="M6120" s="1113"/>
      <c r="N6120" s="110"/>
      <c r="O6120" s="1140"/>
      <c r="P6120" s="1115"/>
      <c r="Q6120" s="1116"/>
      <c r="R6120" s="1141"/>
      <c r="S6120" s="1113"/>
      <c r="T6120" s="1143"/>
      <c r="U6120" s="1108"/>
      <c r="V6120" s="1108"/>
      <c r="W6120" s="1108"/>
      <c r="X6120" s="1108"/>
      <c r="Y6120" s="1108"/>
      <c r="Z6120" s="1114"/>
      <c r="AA6120" s="1114"/>
      <c r="AB6120" s="1114"/>
      <c r="AC6120" s="1117"/>
      <c r="AD6120" s="1115"/>
      <c r="AE6120" s="1115"/>
      <c r="AF6120" s="1115"/>
      <c r="AG6120" s="1115"/>
      <c r="AH6120" s="1115"/>
      <c r="AI6120" s="1115"/>
      <c r="AJ6120" s="1117"/>
      <c r="AK6120" s="1118"/>
      <c r="AL6120" s="1115"/>
      <c r="AM6120" s="1115"/>
      <c r="AN6120" s="1115"/>
      <c r="AO6120" s="1115"/>
      <c r="AP6120" s="1115"/>
      <c r="AQ6120" s="1115"/>
      <c r="AR6120" s="1115"/>
      <c r="AS6120" s="1117"/>
      <c r="AT6120" s="1075"/>
      <c r="AU6120" s="1193"/>
      <c r="AV6120" s="330"/>
      <c r="AW6120" s="331"/>
      <c r="AX6120" s="331"/>
      <c r="AY6120" s="331"/>
      <c r="AZ6120" s="331"/>
      <c r="BA6120" s="331"/>
      <c r="BB6120" s="331"/>
      <c r="BC6120" s="331"/>
      <c r="BD6120" s="331"/>
      <c r="BE6120" s="333"/>
      <c r="BF6120" s="330"/>
      <c r="BG6120" s="333"/>
      <c r="BH6120" s="1119"/>
      <c r="BI6120" s="319"/>
      <c r="BJ6120" s="319"/>
      <c r="BK6120" s="319"/>
      <c r="BL6120" s="319"/>
      <c r="BM6120" s="319"/>
      <c r="BN6120" s="319"/>
      <c r="BO6120" s="319"/>
      <c r="BP6120" s="953"/>
      <c r="BQ6120" s="319"/>
      <c r="BR6120" s="319"/>
      <c r="BS6120" s="330"/>
      <c r="BT6120" s="331"/>
      <c r="BU6120" s="920"/>
      <c r="BV6120" s="903"/>
      <c r="BW6120" s="908"/>
      <c r="BX6120" s="908"/>
      <c r="BY6120" s="331"/>
      <c r="BZ6120" s="331"/>
      <c r="CA6120" s="462"/>
      <c r="CB6120" s="319"/>
      <c r="CC6120" s="319"/>
      <c r="CD6120" s="319"/>
      <c r="CE6120" s="319"/>
      <c r="CF6120" s="319"/>
      <c r="CG6120" s="319"/>
      <c r="CH6120" s="318"/>
      <c r="CI6120" s="319"/>
      <c r="CJ6120" s="319"/>
      <c r="CK6120" s="342"/>
      <c r="CL6120" s="333"/>
      <c r="CM6120" s="1079"/>
      <c r="CN6120" s="1005"/>
      <c r="CO6120" s="1005"/>
      <c r="CP6120" s="1005"/>
    </row>
    <row r="6121">
      <c r="A6121" s="1257"/>
      <c r="B6121" s="1113"/>
      <c r="C6121" s="1107"/>
      <c r="D6121" s="103"/>
      <c r="E6121" s="1137"/>
      <c r="F6121" s="112"/>
      <c r="G6121" s="1110"/>
      <c r="H6121" s="1138"/>
      <c r="I6121" s="1138"/>
      <c r="J6121" s="1139"/>
      <c r="K6121" s="1111"/>
      <c r="L6121" s="1112"/>
      <c r="M6121" s="1113"/>
      <c r="N6121" s="110"/>
      <c r="O6121" s="1140"/>
      <c r="P6121" s="1115"/>
      <c r="Q6121" s="1116"/>
      <c r="R6121" s="1141"/>
      <c r="S6121" s="1113"/>
      <c r="T6121" s="1143"/>
      <c r="U6121" s="1108"/>
      <c r="V6121" s="1108"/>
      <c r="W6121" s="1108"/>
      <c r="X6121" s="1108"/>
      <c r="Y6121" s="1108"/>
      <c r="Z6121" s="1114"/>
      <c r="AA6121" s="1114"/>
      <c r="AB6121" s="1114"/>
      <c r="AC6121" s="1117"/>
      <c r="AD6121" s="1115"/>
      <c r="AE6121" s="1115"/>
      <c r="AF6121" s="1115"/>
      <c r="AG6121" s="1115"/>
      <c r="AH6121" s="1115"/>
      <c r="AI6121" s="1115"/>
      <c r="AJ6121" s="1117"/>
      <c r="AK6121" s="1118"/>
      <c r="AL6121" s="1115"/>
      <c r="AM6121" s="1115"/>
      <c r="AN6121" s="1115"/>
      <c r="AO6121" s="1115"/>
      <c r="AP6121" s="1115"/>
      <c r="AQ6121" s="1115"/>
      <c r="AR6121" s="1115"/>
      <c r="AS6121" s="1117"/>
      <c r="AT6121" s="1075"/>
      <c r="AU6121" s="1193"/>
      <c r="AV6121" s="330"/>
      <c r="AW6121" s="331"/>
      <c r="AX6121" s="331"/>
      <c r="AY6121" s="331"/>
      <c r="AZ6121" s="331"/>
      <c r="BA6121" s="331"/>
      <c r="BB6121" s="331"/>
      <c r="BC6121" s="331"/>
      <c r="BD6121" s="331"/>
      <c r="BE6121" s="333"/>
      <c r="BF6121" s="330"/>
      <c r="BG6121" s="333"/>
      <c r="BH6121" s="1119"/>
      <c r="BI6121" s="319"/>
      <c r="BJ6121" s="319"/>
      <c r="BK6121" s="319"/>
      <c r="BL6121" s="319"/>
      <c r="BM6121" s="319"/>
      <c r="BN6121" s="319"/>
      <c r="BO6121" s="319"/>
      <c r="BP6121" s="953"/>
      <c r="BQ6121" s="319"/>
      <c r="BR6121" s="319"/>
      <c r="BS6121" s="330"/>
      <c r="BT6121" s="331"/>
      <c r="BU6121" s="920"/>
      <c r="BV6121" s="903"/>
      <c r="BW6121" s="908"/>
      <c r="BX6121" s="908"/>
      <c r="BY6121" s="331"/>
      <c r="BZ6121" s="331"/>
      <c r="CA6121" s="462"/>
      <c r="CB6121" s="319"/>
      <c r="CC6121" s="319"/>
      <c r="CD6121" s="319"/>
      <c r="CE6121" s="319"/>
      <c r="CF6121" s="319"/>
      <c r="CG6121" s="319"/>
      <c r="CH6121" s="318"/>
      <c r="CI6121" s="319"/>
      <c r="CJ6121" s="319"/>
      <c r="CK6121" s="342"/>
      <c r="CL6121" s="333"/>
      <c r="CM6121" s="1079"/>
      <c r="CN6121" s="1005"/>
      <c r="CO6121" s="1005"/>
      <c r="CP6121" s="1005"/>
    </row>
    <row r="6122">
      <c r="A6122" s="1257"/>
      <c r="B6122" s="1113"/>
      <c r="C6122" s="1107"/>
      <c r="D6122" s="103"/>
      <c r="E6122" s="1137"/>
      <c r="F6122" s="112"/>
      <c r="G6122" s="1110"/>
      <c r="H6122" s="1138"/>
      <c r="I6122" s="1138"/>
      <c r="J6122" s="1139"/>
      <c r="K6122" s="1111"/>
      <c r="L6122" s="1112"/>
      <c r="M6122" s="1113"/>
      <c r="N6122" s="110"/>
      <c r="O6122" s="1140"/>
      <c r="P6122" s="1115"/>
      <c r="Q6122" s="1116"/>
      <c r="R6122" s="1141"/>
      <c r="S6122" s="1113"/>
      <c r="T6122" s="1143"/>
      <c r="U6122" s="1108"/>
      <c r="V6122" s="1108"/>
      <c r="W6122" s="1108"/>
      <c r="X6122" s="1108"/>
      <c r="Y6122" s="1108"/>
      <c r="Z6122" s="1114"/>
      <c r="AA6122" s="1114"/>
      <c r="AB6122" s="1114"/>
      <c r="AC6122" s="1117"/>
      <c r="AD6122" s="1115"/>
      <c r="AE6122" s="1115"/>
      <c r="AF6122" s="1115"/>
      <c r="AG6122" s="1115"/>
      <c r="AH6122" s="1115"/>
      <c r="AI6122" s="1115"/>
      <c r="AJ6122" s="1117"/>
      <c r="AK6122" s="1118"/>
      <c r="AL6122" s="1115"/>
      <c r="AM6122" s="1115"/>
      <c r="AN6122" s="1115"/>
      <c r="AO6122" s="1115"/>
      <c r="AP6122" s="1115"/>
      <c r="AQ6122" s="1115"/>
      <c r="AR6122" s="1115"/>
      <c r="AS6122" s="1117"/>
      <c r="AT6122" s="1075"/>
      <c r="AU6122" s="1193"/>
      <c r="AV6122" s="330"/>
      <c r="AW6122" s="331"/>
      <c r="AX6122" s="331"/>
      <c r="AY6122" s="331"/>
      <c r="AZ6122" s="331"/>
      <c r="BA6122" s="331"/>
      <c r="BB6122" s="331"/>
      <c r="BC6122" s="331"/>
      <c r="BD6122" s="331"/>
      <c r="BE6122" s="333"/>
      <c r="BF6122" s="330"/>
      <c r="BG6122" s="333"/>
      <c r="BH6122" s="1119"/>
      <c r="BI6122" s="319"/>
      <c r="BJ6122" s="319"/>
      <c r="BK6122" s="319"/>
      <c r="BL6122" s="319"/>
      <c r="BM6122" s="319"/>
      <c r="BN6122" s="319"/>
      <c r="BO6122" s="319"/>
      <c r="BP6122" s="953"/>
      <c r="BQ6122" s="319"/>
      <c r="BR6122" s="319"/>
      <c r="BS6122" s="330"/>
      <c r="BT6122" s="331"/>
      <c r="BU6122" s="920"/>
      <c r="BV6122" s="903"/>
      <c r="BW6122" s="908"/>
      <c r="BX6122" s="908"/>
      <c r="BY6122" s="331"/>
      <c r="BZ6122" s="331"/>
      <c r="CA6122" s="462"/>
      <c r="CB6122" s="319"/>
      <c r="CC6122" s="319"/>
      <c r="CD6122" s="319"/>
      <c r="CE6122" s="319"/>
      <c r="CF6122" s="319"/>
      <c r="CG6122" s="319"/>
      <c r="CH6122" s="318"/>
      <c r="CI6122" s="319"/>
      <c r="CJ6122" s="319"/>
      <c r="CK6122" s="342"/>
      <c r="CL6122" s="333"/>
      <c r="CM6122" s="1079"/>
      <c r="CN6122" s="1005"/>
      <c r="CO6122" s="1005"/>
      <c r="CP6122" s="1005"/>
    </row>
    <row r="6123">
      <c r="A6123" s="1257"/>
      <c r="B6123" s="1113"/>
      <c r="C6123" s="1107"/>
      <c r="D6123" s="103"/>
      <c r="E6123" s="1137"/>
      <c r="F6123" s="112"/>
      <c r="G6123" s="1110"/>
      <c r="H6123" s="1138"/>
      <c r="I6123" s="1138"/>
      <c r="J6123" s="1139"/>
      <c r="K6123" s="1111"/>
      <c r="L6123" s="1112"/>
      <c r="M6123" s="1113"/>
      <c r="N6123" s="110"/>
      <c r="O6123" s="1140"/>
      <c r="P6123" s="1115"/>
      <c r="Q6123" s="1116"/>
      <c r="R6123" s="1141"/>
      <c r="S6123" s="1113"/>
      <c r="T6123" s="1143"/>
      <c r="U6123" s="1108"/>
      <c r="V6123" s="1108"/>
      <c r="W6123" s="1108"/>
      <c r="X6123" s="1108"/>
      <c r="Y6123" s="1108"/>
      <c r="Z6123" s="1114"/>
      <c r="AA6123" s="1114"/>
      <c r="AB6123" s="1114"/>
      <c r="AC6123" s="1117"/>
      <c r="AD6123" s="1115"/>
      <c r="AE6123" s="1115"/>
      <c r="AF6123" s="1115"/>
      <c r="AG6123" s="1115"/>
      <c r="AH6123" s="1115"/>
      <c r="AI6123" s="1115"/>
      <c r="AJ6123" s="1117"/>
      <c r="AK6123" s="1118"/>
      <c r="AL6123" s="1115"/>
      <c r="AM6123" s="1115"/>
      <c r="AN6123" s="1115"/>
      <c r="AO6123" s="1115"/>
      <c r="AP6123" s="1115"/>
      <c r="AQ6123" s="1115"/>
      <c r="AR6123" s="1115"/>
      <c r="AS6123" s="1117"/>
      <c r="AT6123" s="1075"/>
      <c r="AU6123" s="1193"/>
      <c r="AV6123" s="330"/>
      <c r="AW6123" s="331"/>
      <c r="AX6123" s="331"/>
      <c r="AY6123" s="331"/>
      <c r="AZ6123" s="331"/>
      <c r="BA6123" s="331"/>
      <c r="BB6123" s="331"/>
      <c r="BC6123" s="331"/>
      <c r="BD6123" s="331"/>
      <c r="BE6123" s="333"/>
      <c r="BF6123" s="330"/>
      <c r="BG6123" s="333"/>
      <c r="BH6123" s="1119"/>
      <c r="BI6123" s="319"/>
      <c r="BJ6123" s="319"/>
      <c r="BK6123" s="319"/>
      <c r="BL6123" s="319"/>
      <c r="BM6123" s="319"/>
      <c r="BN6123" s="319"/>
      <c r="BO6123" s="319"/>
      <c r="BP6123" s="953"/>
      <c r="BQ6123" s="319"/>
      <c r="BR6123" s="319"/>
      <c r="BS6123" s="330"/>
      <c r="BT6123" s="331"/>
      <c r="BU6123" s="920"/>
      <c r="BV6123" s="903"/>
      <c r="BW6123" s="908"/>
      <c r="BX6123" s="908"/>
      <c r="BY6123" s="331"/>
      <c r="BZ6123" s="331"/>
      <c r="CA6123" s="462"/>
      <c r="CB6123" s="319"/>
      <c r="CC6123" s="319"/>
      <c r="CD6123" s="319"/>
      <c r="CE6123" s="319"/>
      <c r="CF6123" s="319"/>
      <c r="CG6123" s="319"/>
      <c r="CH6123" s="318"/>
      <c r="CI6123" s="319"/>
      <c r="CJ6123" s="319"/>
      <c r="CK6123" s="342"/>
      <c r="CL6123" s="333"/>
      <c r="CM6123" s="1079"/>
      <c r="CN6123" s="1005"/>
      <c r="CO6123" s="1005"/>
      <c r="CP6123" s="1005"/>
    </row>
    <row r="6124">
      <c r="A6124" s="1257"/>
      <c r="B6124" s="1113"/>
      <c r="C6124" s="1107"/>
      <c r="D6124" s="103"/>
      <c r="E6124" s="1137"/>
      <c r="F6124" s="112"/>
      <c r="G6124" s="1110"/>
      <c r="H6124" s="1138"/>
      <c r="I6124" s="1138"/>
      <c r="J6124" s="1139"/>
      <c r="K6124" s="1111"/>
      <c r="L6124" s="1112"/>
      <c r="M6124" s="1113"/>
      <c r="N6124" s="110"/>
      <c r="O6124" s="1140"/>
      <c r="P6124" s="1115"/>
      <c r="Q6124" s="1116"/>
      <c r="R6124" s="1141"/>
      <c r="S6124" s="1113"/>
      <c r="T6124" s="1143"/>
      <c r="U6124" s="1108"/>
      <c r="V6124" s="1108"/>
      <c r="W6124" s="1108"/>
      <c r="X6124" s="1108"/>
      <c r="Y6124" s="1108"/>
      <c r="Z6124" s="1114"/>
      <c r="AA6124" s="1114"/>
      <c r="AB6124" s="1114"/>
      <c r="AC6124" s="1117"/>
      <c r="AD6124" s="1115"/>
      <c r="AE6124" s="1115"/>
      <c r="AF6124" s="1115"/>
      <c r="AG6124" s="1115"/>
      <c r="AH6124" s="1115"/>
      <c r="AI6124" s="1115"/>
      <c r="AJ6124" s="1117"/>
      <c r="AK6124" s="1118"/>
      <c r="AL6124" s="1115"/>
      <c r="AM6124" s="1115"/>
      <c r="AN6124" s="1115"/>
      <c r="AO6124" s="1115"/>
      <c r="AP6124" s="1115"/>
      <c r="AQ6124" s="1115"/>
      <c r="AR6124" s="1115"/>
      <c r="AS6124" s="1117"/>
      <c r="AT6124" s="1075"/>
      <c r="AU6124" s="1193"/>
      <c r="AV6124" s="330"/>
      <c r="AW6124" s="331"/>
      <c r="AX6124" s="331"/>
      <c r="AY6124" s="331"/>
      <c r="AZ6124" s="331"/>
      <c r="BA6124" s="331"/>
      <c r="BB6124" s="331"/>
      <c r="BC6124" s="331"/>
      <c r="BD6124" s="331"/>
      <c r="BE6124" s="333"/>
      <c r="BF6124" s="330"/>
      <c r="BG6124" s="333"/>
      <c r="BH6124" s="1119"/>
      <c r="BI6124" s="319"/>
      <c r="BJ6124" s="319"/>
      <c r="BK6124" s="319"/>
      <c r="BL6124" s="319"/>
      <c r="BM6124" s="319"/>
      <c r="BN6124" s="319"/>
      <c r="BO6124" s="319"/>
      <c r="BP6124" s="953"/>
      <c r="BQ6124" s="319"/>
      <c r="BR6124" s="319"/>
      <c r="BS6124" s="330"/>
      <c r="BT6124" s="331"/>
      <c r="BU6124" s="920"/>
      <c r="BV6124" s="903"/>
      <c r="BW6124" s="908"/>
      <c r="BX6124" s="908"/>
      <c r="BY6124" s="331"/>
      <c r="BZ6124" s="331"/>
      <c r="CA6124" s="462"/>
      <c r="CB6124" s="319"/>
      <c r="CC6124" s="319"/>
      <c r="CD6124" s="319"/>
      <c r="CE6124" s="319"/>
      <c r="CF6124" s="319"/>
      <c r="CG6124" s="319"/>
      <c r="CH6124" s="318"/>
      <c r="CI6124" s="319"/>
      <c r="CJ6124" s="319"/>
      <c r="CK6124" s="342"/>
      <c r="CL6124" s="333"/>
      <c r="CM6124" s="1079"/>
      <c r="CN6124" s="1005"/>
      <c r="CO6124" s="1005"/>
      <c r="CP6124" s="1005"/>
    </row>
    <row r="6125">
      <c r="A6125" s="1257"/>
      <c r="B6125" s="1113"/>
      <c r="C6125" s="1107"/>
      <c r="D6125" s="103"/>
      <c r="E6125" s="1137"/>
      <c r="F6125" s="112"/>
      <c r="G6125" s="1110"/>
      <c r="H6125" s="1138"/>
      <c r="I6125" s="1138"/>
      <c r="J6125" s="1139"/>
      <c r="K6125" s="1111"/>
      <c r="L6125" s="1112"/>
      <c r="M6125" s="1113"/>
      <c r="N6125" s="110"/>
      <c r="O6125" s="1140"/>
      <c r="P6125" s="1115"/>
      <c r="Q6125" s="1116"/>
      <c r="R6125" s="1141"/>
      <c r="S6125" s="1113"/>
      <c r="T6125" s="1143"/>
      <c r="U6125" s="1108"/>
      <c r="V6125" s="1108"/>
      <c r="W6125" s="1108"/>
      <c r="X6125" s="1108"/>
      <c r="Y6125" s="1108"/>
      <c r="Z6125" s="1114"/>
      <c r="AA6125" s="1114"/>
      <c r="AB6125" s="1114"/>
      <c r="AC6125" s="1117"/>
      <c r="AD6125" s="1115"/>
      <c r="AE6125" s="1115"/>
      <c r="AF6125" s="1115"/>
      <c r="AG6125" s="1115"/>
      <c r="AH6125" s="1115"/>
      <c r="AI6125" s="1115"/>
      <c r="AJ6125" s="1117"/>
      <c r="AK6125" s="1118"/>
      <c r="AL6125" s="1115"/>
      <c r="AM6125" s="1115"/>
      <c r="AN6125" s="1115"/>
      <c r="AO6125" s="1115"/>
      <c r="AP6125" s="1115"/>
      <c r="AQ6125" s="1115"/>
      <c r="AR6125" s="1115"/>
      <c r="AS6125" s="1117"/>
      <c r="AT6125" s="1075"/>
      <c r="AU6125" s="1193"/>
      <c r="AV6125" s="330"/>
      <c r="AW6125" s="331"/>
      <c r="AX6125" s="331"/>
      <c r="AY6125" s="331"/>
      <c r="AZ6125" s="331"/>
      <c r="BA6125" s="331"/>
      <c r="BB6125" s="331"/>
      <c r="BC6125" s="331"/>
      <c r="BD6125" s="331"/>
      <c r="BE6125" s="333"/>
      <c r="BF6125" s="330"/>
      <c r="BG6125" s="333"/>
      <c r="BH6125" s="1119"/>
      <c r="BI6125" s="319"/>
      <c r="BJ6125" s="319"/>
      <c r="BK6125" s="319"/>
      <c r="BL6125" s="319"/>
      <c r="BM6125" s="319"/>
      <c r="BN6125" s="319"/>
      <c r="BO6125" s="319"/>
      <c r="BP6125" s="953"/>
      <c r="BQ6125" s="319"/>
      <c r="BR6125" s="319"/>
      <c r="BS6125" s="330"/>
      <c r="BT6125" s="331"/>
      <c r="BU6125" s="920"/>
      <c r="BV6125" s="903"/>
      <c r="BW6125" s="908"/>
      <c r="BX6125" s="908"/>
      <c r="BY6125" s="331"/>
      <c r="BZ6125" s="331"/>
      <c r="CA6125" s="462"/>
      <c r="CB6125" s="319"/>
      <c r="CC6125" s="319"/>
      <c r="CD6125" s="319"/>
      <c r="CE6125" s="319"/>
      <c r="CF6125" s="319"/>
      <c r="CG6125" s="319"/>
      <c r="CH6125" s="318"/>
      <c r="CI6125" s="319"/>
      <c r="CJ6125" s="319"/>
      <c r="CK6125" s="342"/>
      <c r="CL6125" s="333"/>
      <c r="CM6125" s="1079"/>
      <c r="CN6125" s="1005"/>
      <c r="CO6125" s="1005"/>
      <c r="CP6125" s="1005"/>
    </row>
    <row r="6126">
      <c r="A6126" s="1257"/>
      <c r="B6126" s="1113"/>
      <c r="C6126" s="1107"/>
      <c r="D6126" s="103"/>
      <c r="E6126" s="1137"/>
      <c r="F6126" s="112"/>
      <c r="G6126" s="1110"/>
      <c r="H6126" s="1138"/>
      <c r="I6126" s="1138"/>
      <c r="J6126" s="1139"/>
      <c r="K6126" s="1111"/>
      <c r="L6126" s="1112"/>
      <c r="M6126" s="1113"/>
      <c r="N6126" s="110"/>
      <c r="O6126" s="1140"/>
      <c r="P6126" s="1115"/>
      <c r="Q6126" s="1116"/>
      <c r="R6126" s="1141"/>
      <c r="S6126" s="1113"/>
      <c r="T6126" s="1143"/>
      <c r="U6126" s="1108"/>
      <c r="V6126" s="1108"/>
      <c r="W6126" s="1108"/>
      <c r="X6126" s="1108"/>
      <c r="Y6126" s="1108"/>
      <c r="Z6126" s="1114"/>
      <c r="AA6126" s="1114"/>
      <c r="AB6126" s="1114"/>
      <c r="AC6126" s="1117"/>
      <c r="AD6126" s="1115"/>
      <c r="AE6126" s="1115"/>
      <c r="AF6126" s="1115"/>
      <c r="AG6126" s="1115"/>
      <c r="AH6126" s="1115"/>
      <c r="AI6126" s="1115"/>
      <c r="AJ6126" s="1117"/>
      <c r="AK6126" s="1118"/>
      <c r="AL6126" s="1115"/>
      <c r="AM6126" s="1115"/>
      <c r="AN6126" s="1115"/>
      <c r="AO6126" s="1115"/>
      <c r="AP6126" s="1115"/>
      <c r="AQ6126" s="1115"/>
      <c r="AR6126" s="1115"/>
      <c r="AS6126" s="1117"/>
      <c r="AT6126" s="1075"/>
      <c r="AU6126" s="1193"/>
      <c r="AV6126" s="330"/>
      <c r="AW6126" s="331"/>
      <c r="AX6126" s="331"/>
      <c r="AY6126" s="331"/>
      <c r="AZ6126" s="331"/>
      <c r="BA6126" s="331"/>
      <c r="BB6126" s="331"/>
      <c r="BC6126" s="331"/>
      <c r="BD6126" s="331"/>
      <c r="BE6126" s="333"/>
      <c r="BF6126" s="330"/>
      <c r="BG6126" s="333"/>
      <c r="BH6126" s="1119"/>
      <c r="BI6126" s="319"/>
      <c r="BJ6126" s="319"/>
      <c r="BK6126" s="319"/>
      <c r="BL6126" s="319"/>
      <c r="BM6126" s="319"/>
      <c r="BN6126" s="319"/>
      <c r="BO6126" s="319"/>
      <c r="BP6126" s="953"/>
      <c r="BQ6126" s="319"/>
      <c r="BR6126" s="319"/>
      <c r="BS6126" s="330"/>
      <c r="BT6126" s="331"/>
      <c r="BU6126" s="920"/>
      <c r="BV6126" s="903"/>
      <c r="BW6126" s="908"/>
      <c r="BX6126" s="908"/>
      <c r="BY6126" s="331"/>
      <c r="BZ6126" s="331"/>
      <c r="CA6126" s="462"/>
      <c r="CB6126" s="319"/>
      <c r="CC6126" s="319"/>
      <c r="CD6126" s="319"/>
      <c r="CE6126" s="319"/>
      <c r="CF6126" s="319"/>
      <c r="CG6126" s="319"/>
      <c r="CH6126" s="318"/>
      <c r="CI6126" s="319"/>
      <c r="CJ6126" s="319"/>
      <c r="CK6126" s="342"/>
      <c r="CL6126" s="333"/>
      <c r="CM6126" s="1079"/>
      <c r="CN6126" s="1005"/>
      <c r="CO6126" s="1005"/>
      <c r="CP6126" s="1005"/>
    </row>
    <row r="6127">
      <c r="A6127" s="1257"/>
      <c r="B6127" s="1113"/>
      <c r="C6127" s="1107"/>
      <c r="D6127" s="103"/>
      <c r="E6127" s="1137"/>
      <c r="F6127" s="112"/>
      <c r="G6127" s="1110"/>
      <c r="H6127" s="1138"/>
      <c r="I6127" s="1138"/>
      <c r="J6127" s="1139"/>
      <c r="K6127" s="1111"/>
      <c r="L6127" s="1112"/>
      <c r="M6127" s="1113"/>
      <c r="N6127" s="110"/>
      <c r="O6127" s="1140"/>
      <c r="P6127" s="1115"/>
      <c r="Q6127" s="1116"/>
      <c r="R6127" s="1141"/>
      <c r="S6127" s="1113"/>
      <c r="T6127" s="1143"/>
      <c r="U6127" s="1108"/>
      <c r="V6127" s="1108"/>
      <c r="W6127" s="1108"/>
      <c r="X6127" s="1108"/>
      <c r="Y6127" s="1108"/>
      <c r="Z6127" s="1114"/>
      <c r="AA6127" s="1114"/>
      <c r="AB6127" s="1114"/>
      <c r="AC6127" s="1117"/>
      <c r="AD6127" s="1115"/>
      <c r="AE6127" s="1115"/>
      <c r="AF6127" s="1115"/>
      <c r="AG6127" s="1115"/>
      <c r="AH6127" s="1115"/>
      <c r="AI6127" s="1115"/>
      <c r="AJ6127" s="1117"/>
      <c r="AK6127" s="1118"/>
      <c r="AL6127" s="1115"/>
      <c r="AM6127" s="1115"/>
      <c r="AN6127" s="1115"/>
      <c r="AO6127" s="1115"/>
      <c r="AP6127" s="1115"/>
      <c r="AQ6127" s="1115"/>
      <c r="AR6127" s="1115"/>
      <c r="AS6127" s="1117"/>
      <c r="AT6127" s="1075"/>
      <c r="AU6127" s="1193"/>
      <c r="AV6127" s="330"/>
      <c r="AW6127" s="331"/>
      <c r="AX6127" s="331"/>
      <c r="AY6127" s="331"/>
      <c r="AZ6127" s="331"/>
      <c r="BA6127" s="331"/>
      <c r="BB6127" s="331"/>
      <c r="BC6127" s="331"/>
      <c r="BD6127" s="331"/>
      <c r="BE6127" s="333"/>
      <c r="BF6127" s="330"/>
      <c r="BG6127" s="333"/>
      <c r="BH6127" s="1119"/>
      <c r="BI6127" s="319"/>
      <c r="BJ6127" s="319"/>
      <c r="BK6127" s="319"/>
      <c r="BL6127" s="319"/>
      <c r="BM6127" s="319"/>
      <c r="BN6127" s="319"/>
      <c r="BO6127" s="319"/>
      <c r="BP6127" s="953"/>
      <c r="BQ6127" s="319"/>
      <c r="BR6127" s="319"/>
      <c r="BS6127" s="330"/>
      <c r="BT6127" s="331"/>
      <c r="BU6127" s="920"/>
      <c r="BV6127" s="903"/>
      <c r="BW6127" s="908"/>
      <c r="BX6127" s="908"/>
      <c r="BY6127" s="331"/>
      <c r="BZ6127" s="331"/>
      <c r="CA6127" s="462"/>
      <c r="CB6127" s="319"/>
      <c r="CC6127" s="319"/>
      <c r="CD6127" s="319"/>
      <c r="CE6127" s="319"/>
      <c r="CF6127" s="319"/>
      <c r="CG6127" s="319"/>
      <c r="CH6127" s="318"/>
      <c r="CI6127" s="319"/>
      <c r="CJ6127" s="319"/>
      <c r="CK6127" s="342"/>
      <c r="CL6127" s="333"/>
      <c r="CM6127" s="1079"/>
      <c r="CN6127" s="1005"/>
      <c r="CO6127" s="1005"/>
      <c r="CP6127" s="1005"/>
    </row>
    <row r="6128">
      <c r="A6128" s="1257"/>
      <c r="B6128" s="1113"/>
      <c r="C6128" s="1107"/>
      <c r="D6128" s="103"/>
      <c r="E6128" s="1137"/>
      <c r="F6128" s="112"/>
      <c r="G6128" s="1110"/>
      <c r="H6128" s="1138"/>
      <c r="I6128" s="1138"/>
      <c r="J6128" s="1139"/>
      <c r="K6128" s="1111"/>
      <c r="L6128" s="1112"/>
      <c r="M6128" s="1113"/>
      <c r="N6128" s="110"/>
      <c r="O6128" s="1140"/>
      <c r="P6128" s="1115"/>
      <c r="Q6128" s="1116"/>
      <c r="R6128" s="1141"/>
      <c r="S6128" s="1113"/>
      <c r="T6128" s="1143"/>
      <c r="U6128" s="1108"/>
      <c r="V6128" s="1108"/>
      <c r="W6128" s="1108"/>
      <c r="X6128" s="1108"/>
      <c r="Y6128" s="1108"/>
      <c r="Z6128" s="1114"/>
      <c r="AA6128" s="1114"/>
      <c r="AB6128" s="1114"/>
      <c r="AC6128" s="1117"/>
      <c r="AD6128" s="1115"/>
      <c r="AE6128" s="1115"/>
      <c r="AF6128" s="1115"/>
      <c r="AG6128" s="1115"/>
      <c r="AH6128" s="1115"/>
      <c r="AI6128" s="1115"/>
      <c r="AJ6128" s="1117"/>
      <c r="AK6128" s="1118"/>
      <c r="AL6128" s="1115"/>
      <c r="AM6128" s="1115"/>
      <c r="AN6128" s="1115"/>
      <c r="AO6128" s="1115"/>
      <c r="AP6128" s="1115"/>
      <c r="AQ6128" s="1115"/>
      <c r="AR6128" s="1115"/>
      <c r="AS6128" s="1117"/>
      <c r="AT6128" s="1075"/>
      <c r="AU6128" s="1193"/>
      <c r="AV6128" s="330"/>
      <c r="AW6128" s="331"/>
      <c r="AX6128" s="331"/>
      <c r="AY6128" s="331"/>
      <c r="AZ6128" s="331"/>
      <c r="BA6128" s="331"/>
      <c r="BB6128" s="331"/>
      <c r="BC6128" s="331"/>
      <c r="BD6128" s="331"/>
      <c r="BE6128" s="333"/>
      <c r="BF6128" s="330"/>
      <c r="BG6128" s="333"/>
      <c r="BH6128" s="1119"/>
      <c r="BI6128" s="319"/>
      <c r="BJ6128" s="319"/>
      <c r="BK6128" s="319"/>
      <c r="BL6128" s="319"/>
      <c r="BM6128" s="319"/>
      <c r="BN6128" s="319"/>
      <c r="BO6128" s="319"/>
      <c r="BP6128" s="953"/>
      <c r="BQ6128" s="319"/>
      <c r="BR6128" s="319"/>
      <c r="BS6128" s="330"/>
      <c r="BT6128" s="331"/>
      <c r="BU6128" s="920"/>
      <c r="BV6128" s="903"/>
      <c r="BW6128" s="908"/>
      <c r="BX6128" s="908"/>
      <c r="BY6128" s="331"/>
      <c r="BZ6128" s="331"/>
      <c r="CA6128" s="462"/>
      <c r="CB6128" s="319"/>
      <c r="CC6128" s="319"/>
      <c r="CD6128" s="319"/>
      <c r="CE6128" s="319"/>
      <c r="CF6128" s="319"/>
      <c r="CG6128" s="319"/>
      <c r="CH6128" s="318"/>
      <c r="CI6128" s="319"/>
      <c r="CJ6128" s="319"/>
      <c r="CK6128" s="342"/>
      <c r="CL6128" s="333"/>
      <c r="CM6128" s="1079"/>
      <c r="CN6128" s="1005"/>
      <c r="CO6128" s="1005"/>
      <c r="CP6128" s="1005"/>
    </row>
    <row r="6129">
      <c r="A6129" s="1257"/>
      <c r="B6129" s="1113"/>
      <c r="C6129" s="1107"/>
      <c r="D6129" s="103"/>
      <c r="E6129" s="1137"/>
      <c r="F6129" s="112"/>
      <c r="G6129" s="1110"/>
      <c r="H6129" s="1138"/>
      <c r="I6129" s="1138"/>
      <c r="J6129" s="1139"/>
      <c r="K6129" s="1111"/>
      <c r="L6129" s="1112"/>
      <c r="M6129" s="1113"/>
      <c r="N6129" s="110"/>
      <c r="O6129" s="1140"/>
      <c r="P6129" s="1115"/>
      <c r="Q6129" s="1116"/>
      <c r="R6129" s="1141"/>
      <c r="S6129" s="1113"/>
      <c r="T6129" s="1143"/>
      <c r="U6129" s="1108"/>
      <c r="V6129" s="1108"/>
      <c r="W6129" s="1108"/>
      <c r="X6129" s="1108"/>
      <c r="Y6129" s="1108"/>
      <c r="Z6129" s="1114"/>
      <c r="AA6129" s="1114"/>
      <c r="AB6129" s="1114"/>
      <c r="AC6129" s="1117"/>
      <c r="AD6129" s="1115"/>
      <c r="AE6129" s="1115"/>
      <c r="AF6129" s="1115"/>
      <c r="AG6129" s="1115"/>
      <c r="AH6129" s="1115"/>
      <c r="AI6129" s="1115"/>
      <c r="AJ6129" s="1117"/>
      <c r="AK6129" s="1118"/>
      <c r="AL6129" s="1115"/>
      <c r="AM6129" s="1115"/>
      <c r="AN6129" s="1115"/>
      <c r="AO6129" s="1115"/>
      <c r="AP6129" s="1115"/>
      <c r="AQ6129" s="1115"/>
      <c r="AR6129" s="1115"/>
      <c r="AS6129" s="1117"/>
      <c r="AT6129" s="1075"/>
      <c r="AU6129" s="1193"/>
      <c r="AV6129" s="330"/>
      <c r="AW6129" s="331"/>
      <c r="AX6129" s="331"/>
      <c r="AY6129" s="331"/>
      <c r="AZ6129" s="331"/>
      <c r="BA6129" s="331"/>
      <c r="BB6129" s="331"/>
      <c r="BC6129" s="331"/>
      <c r="BD6129" s="331"/>
      <c r="BE6129" s="333"/>
      <c r="BF6129" s="330"/>
      <c r="BG6129" s="333"/>
      <c r="BH6129" s="1119"/>
      <c r="BI6129" s="319"/>
      <c r="BJ6129" s="319"/>
      <c r="BK6129" s="319"/>
      <c r="BL6129" s="319"/>
      <c r="BM6129" s="319"/>
      <c r="BN6129" s="319"/>
      <c r="BO6129" s="319"/>
      <c r="BP6129" s="953"/>
      <c r="BQ6129" s="319"/>
      <c r="BR6129" s="319"/>
      <c r="BS6129" s="330"/>
      <c r="BT6129" s="331"/>
      <c r="BU6129" s="920"/>
      <c r="BV6129" s="903"/>
      <c r="BW6129" s="908"/>
      <c r="BX6129" s="908"/>
      <c r="BY6129" s="331"/>
      <c r="BZ6129" s="331"/>
      <c r="CA6129" s="462"/>
      <c r="CB6129" s="319"/>
      <c r="CC6129" s="319"/>
      <c r="CD6129" s="319"/>
      <c r="CE6129" s="319"/>
      <c r="CF6129" s="319"/>
      <c r="CG6129" s="319"/>
      <c r="CH6129" s="318"/>
      <c r="CI6129" s="319"/>
      <c r="CJ6129" s="319"/>
      <c r="CK6129" s="342"/>
      <c r="CL6129" s="333"/>
      <c r="CM6129" s="1079"/>
      <c r="CN6129" s="1005"/>
      <c r="CO6129" s="1005"/>
      <c r="CP6129" s="1005"/>
    </row>
    <row r="6130">
      <c r="A6130" s="1257"/>
      <c r="B6130" s="1113"/>
      <c r="C6130" s="1107"/>
      <c r="D6130" s="103"/>
      <c r="E6130" s="1137"/>
      <c r="F6130" s="112"/>
      <c r="G6130" s="1110"/>
      <c r="H6130" s="1138"/>
      <c r="I6130" s="1138"/>
      <c r="J6130" s="1139"/>
      <c r="K6130" s="1111"/>
      <c r="L6130" s="1112"/>
      <c r="M6130" s="1113"/>
      <c r="N6130" s="110"/>
      <c r="O6130" s="1140"/>
      <c r="P6130" s="1115"/>
      <c r="Q6130" s="1116"/>
      <c r="R6130" s="1141"/>
      <c r="S6130" s="1113"/>
      <c r="T6130" s="1143"/>
      <c r="U6130" s="1108"/>
      <c r="V6130" s="1108"/>
      <c r="W6130" s="1108"/>
      <c r="X6130" s="1108"/>
      <c r="Y6130" s="1108"/>
      <c r="Z6130" s="1114"/>
      <c r="AA6130" s="1114"/>
      <c r="AB6130" s="1114"/>
      <c r="AC6130" s="1117"/>
      <c r="AD6130" s="1115"/>
      <c r="AE6130" s="1115"/>
      <c r="AF6130" s="1115"/>
      <c r="AG6130" s="1115"/>
      <c r="AH6130" s="1115"/>
      <c r="AI6130" s="1115"/>
      <c r="AJ6130" s="1117"/>
      <c r="AK6130" s="1118"/>
      <c r="AL6130" s="1115"/>
      <c r="AM6130" s="1115"/>
      <c r="AN6130" s="1115"/>
      <c r="AO6130" s="1115"/>
      <c r="AP6130" s="1115"/>
      <c r="AQ6130" s="1115"/>
      <c r="AR6130" s="1115"/>
      <c r="AS6130" s="1117"/>
      <c r="AT6130" s="1075"/>
      <c r="AU6130" s="1193"/>
      <c r="AV6130" s="330"/>
      <c r="AW6130" s="331"/>
      <c r="AX6130" s="331"/>
      <c r="AY6130" s="331"/>
      <c r="AZ6130" s="331"/>
      <c r="BA6130" s="331"/>
      <c r="BB6130" s="331"/>
      <c r="BC6130" s="331"/>
      <c r="BD6130" s="331"/>
      <c r="BE6130" s="333"/>
      <c r="BF6130" s="330"/>
      <c r="BG6130" s="333"/>
      <c r="BH6130" s="1119"/>
      <c r="BI6130" s="319"/>
      <c r="BJ6130" s="319"/>
      <c r="BK6130" s="319"/>
      <c r="BL6130" s="319"/>
      <c r="BM6130" s="319"/>
      <c r="BN6130" s="319"/>
      <c r="BO6130" s="319"/>
      <c r="BP6130" s="953"/>
      <c r="BQ6130" s="319"/>
      <c r="BR6130" s="319"/>
      <c r="BS6130" s="330"/>
      <c r="BT6130" s="331"/>
      <c r="BU6130" s="920"/>
      <c r="BV6130" s="903"/>
      <c r="BW6130" s="908"/>
      <c r="BX6130" s="908"/>
      <c r="BY6130" s="331"/>
      <c r="BZ6130" s="331"/>
      <c r="CA6130" s="462"/>
      <c r="CB6130" s="319"/>
      <c r="CC6130" s="319"/>
      <c r="CD6130" s="319"/>
      <c r="CE6130" s="319"/>
      <c r="CF6130" s="319"/>
      <c r="CG6130" s="319"/>
      <c r="CH6130" s="318"/>
      <c r="CI6130" s="319"/>
      <c r="CJ6130" s="319"/>
      <c r="CK6130" s="342"/>
      <c r="CL6130" s="333"/>
      <c r="CM6130" s="1079"/>
      <c r="CN6130" s="1005"/>
      <c r="CO6130" s="1005"/>
      <c r="CP6130" s="1005"/>
    </row>
    <row r="6131">
      <c r="A6131" s="1257"/>
      <c r="B6131" s="1113"/>
      <c r="C6131" s="1107"/>
      <c r="D6131" s="103"/>
      <c r="E6131" s="1137"/>
      <c r="F6131" s="112"/>
      <c r="G6131" s="1110"/>
      <c r="H6131" s="1138"/>
      <c r="I6131" s="1138"/>
      <c r="J6131" s="1139"/>
      <c r="K6131" s="1111"/>
      <c r="L6131" s="1112"/>
      <c r="M6131" s="1113"/>
      <c r="N6131" s="110"/>
      <c r="O6131" s="1140"/>
      <c r="P6131" s="1115"/>
      <c r="Q6131" s="1116"/>
      <c r="R6131" s="1141"/>
      <c r="S6131" s="1113"/>
      <c r="T6131" s="1143"/>
      <c r="U6131" s="1108"/>
      <c r="V6131" s="1108"/>
      <c r="W6131" s="1108"/>
      <c r="X6131" s="1108"/>
      <c r="Y6131" s="1108"/>
      <c r="Z6131" s="1114"/>
      <c r="AA6131" s="1114"/>
      <c r="AB6131" s="1114"/>
      <c r="AC6131" s="1117"/>
      <c r="AD6131" s="1115"/>
      <c r="AE6131" s="1115"/>
      <c r="AF6131" s="1115"/>
      <c r="AG6131" s="1115"/>
      <c r="AH6131" s="1115"/>
      <c r="AI6131" s="1115"/>
      <c r="AJ6131" s="1117"/>
      <c r="AK6131" s="1118"/>
      <c r="AL6131" s="1115"/>
      <c r="AM6131" s="1115"/>
      <c r="AN6131" s="1115"/>
      <c r="AO6131" s="1115"/>
      <c r="AP6131" s="1115"/>
      <c r="AQ6131" s="1115"/>
      <c r="AR6131" s="1115"/>
      <c r="AS6131" s="1117"/>
      <c r="AT6131" s="1075"/>
      <c r="AU6131" s="1193"/>
      <c r="AV6131" s="330"/>
      <c r="AW6131" s="331"/>
      <c r="AX6131" s="331"/>
      <c r="AY6131" s="331"/>
      <c r="AZ6131" s="331"/>
      <c r="BA6131" s="331"/>
      <c r="BB6131" s="331"/>
      <c r="BC6131" s="331"/>
      <c r="BD6131" s="331"/>
      <c r="BE6131" s="333"/>
      <c r="BF6131" s="330"/>
      <c r="BG6131" s="333"/>
      <c r="BH6131" s="1119"/>
      <c r="BI6131" s="319"/>
      <c r="BJ6131" s="319"/>
      <c r="BK6131" s="319"/>
      <c r="BL6131" s="319"/>
      <c r="BM6131" s="319"/>
      <c r="BN6131" s="319"/>
      <c r="BO6131" s="319"/>
      <c r="BP6131" s="953"/>
      <c r="BQ6131" s="319"/>
      <c r="BR6131" s="319"/>
      <c r="BS6131" s="330"/>
      <c r="BT6131" s="331"/>
      <c r="BU6131" s="920"/>
      <c r="BV6131" s="903"/>
      <c r="BW6131" s="908"/>
      <c r="BX6131" s="908"/>
      <c r="BY6131" s="331"/>
      <c r="BZ6131" s="331"/>
      <c r="CA6131" s="462"/>
      <c r="CB6131" s="319"/>
      <c r="CC6131" s="319"/>
      <c r="CD6131" s="319"/>
      <c r="CE6131" s="319"/>
      <c r="CF6131" s="319"/>
      <c r="CG6131" s="319"/>
      <c r="CH6131" s="318"/>
      <c r="CI6131" s="319"/>
      <c r="CJ6131" s="319"/>
      <c r="CK6131" s="342"/>
      <c r="CL6131" s="333"/>
      <c r="CM6131" s="1079"/>
      <c r="CN6131" s="1005"/>
      <c r="CO6131" s="1005"/>
      <c r="CP6131" s="1005"/>
    </row>
    <row r="6132">
      <c r="A6132" s="1257"/>
      <c r="B6132" s="1113"/>
      <c r="C6132" s="1107"/>
      <c r="D6132" s="103"/>
      <c r="E6132" s="1137"/>
      <c r="F6132" s="112"/>
      <c r="G6132" s="1110"/>
      <c r="H6132" s="1138"/>
      <c r="I6132" s="1138"/>
      <c r="J6132" s="1139"/>
      <c r="K6132" s="1111"/>
      <c r="L6132" s="1112"/>
      <c r="M6132" s="1113"/>
      <c r="N6132" s="110"/>
      <c r="O6132" s="1140"/>
      <c r="P6132" s="1115"/>
      <c r="Q6132" s="1116"/>
      <c r="R6132" s="1141"/>
      <c r="S6132" s="1113"/>
      <c r="T6132" s="1143"/>
      <c r="U6132" s="1108"/>
      <c r="V6132" s="1108"/>
      <c r="W6132" s="1108"/>
      <c r="X6132" s="1108"/>
      <c r="Y6132" s="1108"/>
      <c r="Z6132" s="1114"/>
      <c r="AA6132" s="1114"/>
      <c r="AB6132" s="1114"/>
      <c r="AC6132" s="1117"/>
      <c r="AD6132" s="1115"/>
      <c r="AE6132" s="1115"/>
      <c r="AF6132" s="1115"/>
      <c r="AG6132" s="1115"/>
      <c r="AH6132" s="1115"/>
      <c r="AI6132" s="1115"/>
      <c r="AJ6132" s="1117"/>
      <c r="AK6132" s="1118"/>
      <c r="AL6132" s="1115"/>
      <c r="AM6132" s="1115"/>
      <c r="AN6132" s="1115"/>
      <c r="AO6132" s="1115"/>
      <c r="AP6132" s="1115"/>
      <c r="AQ6132" s="1115"/>
      <c r="AR6132" s="1115"/>
      <c r="AS6132" s="1117"/>
      <c r="AT6132" s="1075"/>
      <c r="AU6132" s="1193"/>
      <c r="AV6132" s="330"/>
      <c r="AW6132" s="331"/>
      <c r="AX6132" s="331"/>
      <c r="AY6132" s="331"/>
      <c r="AZ6132" s="331"/>
      <c r="BA6132" s="331"/>
      <c r="BB6132" s="331"/>
      <c r="BC6132" s="331"/>
      <c r="BD6132" s="331"/>
      <c r="BE6132" s="333"/>
      <c r="BF6132" s="330"/>
      <c r="BG6132" s="333"/>
      <c r="BH6132" s="1119"/>
      <c r="BI6132" s="319"/>
      <c r="BJ6132" s="319"/>
      <c r="BK6132" s="319"/>
      <c r="BL6132" s="319"/>
      <c r="BM6132" s="319"/>
      <c r="BN6132" s="319"/>
      <c r="BO6132" s="319"/>
      <c r="BP6132" s="953"/>
      <c r="BQ6132" s="319"/>
      <c r="BR6132" s="319"/>
      <c r="BS6132" s="330"/>
      <c r="BT6132" s="331"/>
      <c r="BU6132" s="920"/>
      <c r="BV6132" s="903"/>
      <c r="BW6132" s="908"/>
      <c r="BX6132" s="908"/>
      <c r="BY6132" s="331"/>
      <c r="BZ6132" s="331"/>
      <c r="CA6132" s="462"/>
      <c r="CB6132" s="319"/>
      <c r="CC6132" s="319"/>
      <c r="CD6132" s="319"/>
      <c r="CE6132" s="319"/>
      <c r="CF6132" s="319"/>
      <c r="CG6132" s="319"/>
      <c r="CH6132" s="318"/>
      <c r="CI6132" s="319"/>
      <c r="CJ6132" s="319"/>
      <c r="CK6132" s="342"/>
      <c r="CL6132" s="333"/>
      <c r="CM6132" s="1079"/>
      <c r="CN6132" s="1005"/>
      <c r="CO6132" s="1005"/>
      <c r="CP6132" s="1005"/>
    </row>
    <row r="6133">
      <c r="A6133" s="1257"/>
      <c r="B6133" s="1113"/>
      <c r="C6133" s="1107"/>
      <c r="D6133" s="103"/>
      <c r="E6133" s="1137"/>
      <c r="F6133" s="112"/>
      <c r="G6133" s="1110"/>
      <c r="H6133" s="1138"/>
      <c r="I6133" s="1138"/>
      <c r="J6133" s="1139"/>
      <c r="K6133" s="1111"/>
      <c r="L6133" s="1112"/>
      <c r="M6133" s="1113"/>
      <c r="N6133" s="110"/>
      <c r="O6133" s="1140"/>
      <c r="P6133" s="1115"/>
      <c r="Q6133" s="1116"/>
      <c r="R6133" s="1141"/>
      <c r="S6133" s="1113"/>
      <c r="T6133" s="1143"/>
      <c r="U6133" s="1108"/>
      <c r="V6133" s="1108"/>
      <c r="W6133" s="1108"/>
      <c r="X6133" s="1108"/>
      <c r="Y6133" s="1108"/>
      <c r="Z6133" s="1114"/>
      <c r="AA6133" s="1114"/>
      <c r="AB6133" s="1114"/>
      <c r="AC6133" s="1117"/>
      <c r="AD6133" s="1115"/>
      <c r="AE6133" s="1115"/>
      <c r="AF6133" s="1115"/>
      <c r="AG6133" s="1115"/>
      <c r="AH6133" s="1115"/>
      <c r="AI6133" s="1115"/>
      <c r="AJ6133" s="1117"/>
      <c r="AK6133" s="1118"/>
      <c r="AL6133" s="1115"/>
      <c r="AM6133" s="1115"/>
      <c r="AN6133" s="1115"/>
      <c r="AO6133" s="1115"/>
      <c r="AP6133" s="1115"/>
      <c r="AQ6133" s="1115"/>
      <c r="AR6133" s="1115"/>
      <c r="AS6133" s="1117"/>
      <c r="AT6133" s="1075"/>
      <c r="AU6133" s="1193"/>
      <c r="AV6133" s="330"/>
      <c r="AW6133" s="331"/>
      <c r="AX6133" s="331"/>
      <c r="AY6133" s="331"/>
      <c r="AZ6133" s="331"/>
      <c r="BA6133" s="331"/>
      <c r="BB6133" s="331"/>
      <c r="BC6133" s="331"/>
      <c r="BD6133" s="331"/>
      <c r="BE6133" s="333"/>
      <c r="BF6133" s="330"/>
      <c r="BG6133" s="333"/>
      <c r="BH6133" s="1119"/>
      <c r="BI6133" s="319"/>
      <c r="BJ6133" s="319"/>
      <c r="BK6133" s="319"/>
      <c r="BL6133" s="319"/>
      <c r="BM6133" s="319"/>
      <c r="BN6133" s="319"/>
      <c r="BO6133" s="319"/>
      <c r="BP6133" s="953"/>
      <c r="BQ6133" s="319"/>
      <c r="BR6133" s="319"/>
      <c r="BS6133" s="330"/>
      <c r="BT6133" s="331"/>
      <c r="BU6133" s="920"/>
      <c r="BV6133" s="903"/>
      <c r="BW6133" s="908"/>
      <c r="BX6133" s="908"/>
      <c r="BY6133" s="331"/>
      <c r="BZ6133" s="331"/>
      <c r="CA6133" s="462"/>
      <c r="CB6133" s="319"/>
      <c r="CC6133" s="319"/>
      <c r="CD6133" s="319"/>
      <c r="CE6133" s="319"/>
      <c r="CF6133" s="319"/>
      <c r="CG6133" s="319"/>
      <c r="CH6133" s="318"/>
      <c r="CI6133" s="319"/>
      <c r="CJ6133" s="319"/>
      <c r="CK6133" s="342"/>
      <c r="CL6133" s="333"/>
      <c r="CM6133" s="1079"/>
      <c r="CN6133" s="1005"/>
      <c r="CO6133" s="1005"/>
      <c r="CP6133" s="1005"/>
    </row>
    <row r="6134">
      <c r="A6134" s="1257"/>
      <c r="B6134" s="1113"/>
      <c r="C6134" s="1107"/>
      <c r="D6134" s="103"/>
      <c r="E6134" s="1137"/>
      <c r="F6134" s="112"/>
      <c r="G6134" s="1110"/>
      <c r="H6134" s="1138"/>
      <c r="I6134" s="1138"/>
      <c r="J6134" s="1139"/>
      <c r="K6134" s="1111"/>
      <c r="L6134" s="1112"/>
      <c r="M6134" s="1113"/>
      <c r="N6134" s="110"/>
      <c r="O6134" s="1140"/>
      <c r="P6134" s="1115"/>
      <c r="Q6134" s="1116"/>
      <c r="R6134" s="1141"/>
      <c r="S6134" s="1113"/>
      <c r="T6134" s="1143"/>
      <c r="U6134" s="1108"/>
      <c r="V6134" s="1108"/>
      <c r="W6134" s="1108"/>
      <c r="X6134" s="1108"/>
      <c r="Y6134" s="1108"/>
      <c r="Z6134" s="1114"/>
      <c r="AA6134" s="1114"/>
      <c r="AB6134" s="1114"/>
      <c r="AC6134" s="1117"/>
      <c r="AD6134" s="1115"/>
      <c r="AE6134" s="1115"/>
      <c r="AF6134" s="1115"/>
      <c r="AG6134" s="1115"/>
      <c r="AH6134" s="1115"/>
      <c r="AI6134" s="1115"/>
      <c r="AJ6134" s="1117"/>
      <c r="AK6134" s="1118"/>
      <c r="AL6134" s="1115"/>
      <c r="AM6134" s="1115"/>
      <c r="AN6134" s="1115"/>
      <c r="AO6134" s="1115"/>
      <c r="AP6134" s="1115"/>
      <c r="AQ6134" s="1115"/>
      <c r="AR6134" s="1115"/>
      <c r="AS6134" s="1117"/>
      <c r="AT6134" s="1075"/>
      <c r="AU6134" s="1193"/>
      <c r="AV6134" s="330"/>
      <c r="AW6134" s="331"/>
      <c r="AX6134" s="331"/>
      <c r="AY6134" s="331"/>
      <c r="AZ6134" s="331"/>
      <c r="BA6134" s="331"/>
      <c r="BB6134" s="331"/>
      <c r="BC6134" s="331"/>
      <c r="BD6134" s="331"/>
      <c r="BE6134" s="333"/>
      <c r="BF6134" s="330"/>
      <c r="BG6134" s="333"/>
      <c r="BH6134" s="1119"/>
      <c r="BI6134" s="319"/>
      <c r="BJ6134" s="319"/>
      <c r="BK6134" s="319"/>
      <c r="BL6134" s="319"/>
      <c r="BM6134" s="319"/>
      <c r="BN6134" s="319"/>
      <c r="BO6134" s="319"/>
      <c r="BP6134" s="953"/>
      <c r="BQ6134" s="319"/>
      <c r="BR6134" s="319"/>
      <c r="BS6134" s="330"/>
      <c r="BT6134" s="331"/>
      <c r="BU6134" s="920"/>
      <c r="BV6134" s="903"/>
      <c r="BW6134" s="908"/>
      <c r="BX6134" s="908"/>
      <c r="BY6134" s="331"/>
      <c r="BZ6134" s="331"/>
      <c r="CA6134" s="462"/>
      <c r="CB6134" s="319"/>
      <c r="CC6134" s="319"/>
      <c r="CD6134" s="319"/>
      <c r="CE6134" s="319"/>
      <c r="CF6134" s="319"/>
      <c r="CG6134" s="319"/>
      <c r="CH6134" s="318"/>
      <c r="CI6134" s="319"/>
      <c r="CJ6134" s="319"/>
      <c r="CK6134" s="342"/>
      <c r="CL6134" s="333"/>
      <c r="CM6134" s="1079"/>
      <c r="CN6134" s="1005"/>
      <c r="CO6134" s="1005"/>
      <c r="CP6134" s="1005"/>
    </row>
    <row r="6135">
      <c r="A6135" s="1257"/>
      <c r="B6135" s="1113"/>
      <c r="C6135" s="1107"/>
      <c r="D6135" s="103"/>
      <c r="E6135" s="1137"/>
      <c r="F6135" s="112"/>
      <c r="G6135" s="1110"/>
      <c r="H6135" s="1138"/>
      <c r="I6135" s="1138"/>
      <c r="J6135" s="1139"/>
      <c r="K6135" s="1111"/>
      <c r="L6135" s="1112"/>
      <c r="M6135" s="1113"/>
      <c r="N6135" s="110"/>
      <c r="O6135" s="1140"/>
      <c r="P6135" s="1115"/>
      <c r="Q6135" s="1116"/>
      <c r="R6135" s="1141"/>
      <c r="S6135" s="1113"/>
      <c r="T6135" s="1143"/>
      <c r="U6135" s="1108"/>
      <c r="V6135" s="1108"/>
      <c r="W6135" s="1108"/>
      <c r="X6135" s="1108"/>
      <c r="Y6135" s="1108"/>
      <c r="Z6135" s="1114"/>
      <c r="AA6135" s="1114"/>
      <c r="AB6135" s="1114"/>
      <c r="AC6135" s="1117"/>
      <c r="AD6135" s="1115"/>
      <c r="AE6135" s="1115"/>
      <c r="AF6135" s="1115"/>
      <c r="AG6135" s="1115"/>
      <c r="AH6135" s="1115"/>
      <c r="AI6135" s="1115"/>
      <c r="AJ6135" s="1117"/>
      <c r="AK6135" s="1118"/>
      <c r="AL6135" s="1115"/>
      <c r="AM6135" s="1115"/>
      <c r="AN6135" s="1115"/>
      <c r="AO6135" s="1115"/>
      <c r="AP6135" s="1115"/>
      <c r="AQ6135" s="1115"/>
      <c r="AR6135" s="1115"/>
      <c r="AS6135" s="1117"/>
      <c r="AT6135" s="1075"/>
      <c r="AU6135" s="1193"/>
      <c r="AV6135" s="330"/>
      <c r="AW6135" s="331"/>
      <c r="AX6135" s="331"/>
      <c r="AY6135" s="331"/>
      <c r="AZ6135" s="331"/>
      <c r="BA6135" s="331"/>
      <c r="BB6135" s="331"/>
      <c r="BC6135" s="331"/>
      <c r="BD6135" s="331"/>
      <c r="BE6135" s="333"/>
      <c r="BF6135" s="330"/>
      <c r="BG6135" s="333"/>
      <c r="BH6135" s="1119"/>
      <c r="BI6135" s="319"/>
      <c r="BJ6135" s="319"/>
      <c r="BK6135" s="319"/>
      <c r="BL6135" s="319"/>
      <c r="BM6135" s="319"/>
      <c r="BN6135" s="319"/>
      <c r="BO6135" s="319"/>
      <c r="BP6135" s="953"/>
      <c r="BQ6135" s="319"/>
      <c r="BR6135" s="319"/>
      <c r="BS6135" s="330"/>
      <c r="BT6135" s="331"/>
      <c r="BU6135" s="920"/>
      <c r="BV6135" s="903"/>
      <c r="BW6135" s="908"/>
      <c r="BX6135" s="908"/>
      <c r="BY6135" s="331"/>
      <c r="BZ6135" s="331"/>
      <c r="CA6135" s="462"/>
      <c r="CB6135" s="319"/>
      <c r="CC6135" s="319"/>
      <c r="CD6135" s="319"/>
      <c r="CE6135" s="319"/>
      <c r="CF6135" s="319"/>
      <c r="CG6135" s="319"/>
      <c r="CH6135" s="318"/>
      <c r="CI6135" s="319"/>
      <c r="CJ6135" s="319"/>
      <c r="CK6135" s="342"/>
      <c r="CL6135" s="333"/>
      <c r="CM6135" s="1079"/>
      <c r="CN6135" s="1005"/>
      <c r="CO6135" s="1005"/>
      <c r="CP6135" s="1005"/>
    </row>
    <row r="6136">
      <c r="A6136" s="1257"/>
      <c r="B6136" s="1113"/>
      <c r="C6136" s="1107"/>
      <c r="D6136" s="103"/>
      <c r="E6136" s="1137"/>
      <c r="F6136" s="112"/>
      <c r="G6136" s="1110"/>
      <c r="H6136" s="1138"/>
      <c r="I6136" s="1138"/>
      <c r="J6136" s="1139"/>
      <c r="K6136" s="1111"/>
      <c r="L6136" s="1112"/>
      <c r="M6136" s="1113"/>
      <c r="N6136" s="110"/>
      <c r="O6136" s="1140"/>
      <c r="P6136" s="1115"/>
      <c r="Q6136" s="1116"/>
      <c r="R6136" s="1141"/>
      <c r="S6136" s="1113"/>
      <c r="T6136" s="1143"/>
      <c r="U6136" s="1108"/>
      <c r="V6136" s="1108"/>
      <c r="W6136" s="1108"/>
      <c r="X6136" s="1108"/>
      <c r="Y6136" s="1108"/>
      <c r="Z6136" s="1114"/>
      <c r="AA6136" s="1114"/>
      <c r="AB6136" s="1114"/>
      <c r="AC6136" s="1117"/>
      <c r="AD6136" s="1115"/>
      <c r="AE6136" s="1115"/>
      <c r="AF6136" s="1115"/>
      <c r="AG6136" s="1115"/>
      <c r="AH6136" s="1115"/>
      <c r="AI6136" s="1115"/>
      <c r="AJ6136" s="1117"/>
      <c r="AK6136" s="1118"/>
      <c r="AL6136" s="1115"/>
      <c r="AM6136" s="1115"/>
      <c r="AN6136" s="1115"/>
      <c r="AO6136" s="1115"/>
      <c r="AP6136" s="1115"/>
      <c r="AQ6136" s="1115"/>
      <c r="AR6136" s="1115"/>
      <c r="AS6136" s="1117"/>
      <c r="AT6136" s="1075"/>
      <c r="AU6136" s="1193"/>
      <c r="AV6136" s="330"/>
      <c r="AW6136" s="331"/>
      <c r="AX6136" s="331"/>
      <c r="AY6136" s="331"/>
      <c r="AZ6136" s="331"/>
      <c r="BA6136" s="331"/>
      <c r="BB6136" s="331"/>
      <c r="BC6136" s="331"/>
      <c r="BD6136" s="331"/>
      <c r="BE6136" s="333"/>
      <c r="BF6136" s="330"/>
      <c r="BG6136" s="333"/>
      <c r="BH6136" s="1119"/>
      <c r="BI6136" s="319"/>
      <c r="BJ6136" s="319"/>
      <c r="BK6136" s="319"/>
      <c r="BL6136" s="319"/>
      <c r="BM6136" s="319"/>
      <c r="BN6136" s="319"/>
      <c r="BO6136" s="319"/>
      <c r="BP6136" s="953"/>
      <c r="BQ6136" s="319"/>
      <c r="BR6136" s="319"/>
      <c r="BS6136" s="330"/>
      <c r="BT6136" s="331"/>
      <c r="BU6136" s="920"/>
      <c r="BV6136" s="903"/>
      <c r="BW6136" s="908"/>
      <c r="BX6136" s="908"/>
      <c r="BY6136" s="331"/>
      <c r="BZ6136" s="331"/>
      <c r="CA6136" s="462"/>
      <c r="CB6136" s="319"/>
      <c r="CC6136" s="319"/>
      <c r="CD6136" s="319"/>
      <c r="CE6136" s="319"/>
      <c r="CF6136" s="319"/>
      <c r="CG6136" s="319"/>
      <c r="CH6136" s="318"/>
      <c r="CI6136" s="319"/>
      <c r="CJ6136" s="319"/>
      <c r="CK6136" s="342"/>
      <c r="CL6136" s="333"/>
      <c r="CM6136" s="1079"/>
      <c r="CN6136" s="1005"/>
      <c r="CO6136" s="1005"/>
      <c r="CP6136" s="1005"/>
    </row>
    <row r="6137">
      <c r="A6137" s="1257"/>
      <c r="B6137" s="1113"/>
      <c r="C6137" s="1107"/>
      <c r="D6137" s="103"/>
      <c r="E6137" s="1137"/>
      <c r="F6137" s="112"/>
      <c r="G6137" s="1110"/>
      <c r="H6137" s="1138"/>
      <c r="I6137" s="1138"/>
      <c r="J6137" s="1139"/>
      <c r="K6137" s="1111"/>
      <c r="L6137" s="1112"/>
      <c r="M6137" s="1113"/>
      <c r="N6137" s="110"/>
      <c r="O6137" s="1140"/>
      <c r="P6137" s="1115"/>
      <c r="Q6137" s="1116"/>
      <c r="R6137" s="1141"/>
      <c r="S6137" s="1113"/>
      <c r="T6137" s="1143"/>
      <c r="U6137" s="1108"/>
      <c r="V6137" s="1108"/>
      <c r="W6137" s="1108"/>
      <c r="X6137" s="1108"/>
      <c r="Y6137" s="1108"/>
      <c r="Z6137" s="1114"/>
      <c r="AA6137" s="1114"/>
      <c r="AB6137" s="1114"/>
      <c r="AC6137" s="1117"/>
      <c r="AD6137" s="1115"/>
      <c r="AE6137" s="1115"/>
      <c r="AF6137" s="1115"/>
      <c r="AG6137" s="1115"/>
      <c r="AH6137" s="1115"/>
      <c r="AI6137" s="1115"/>
      <c r="AJ6137" s="1117"/>
      <c r="AK6137" s="1118"/>
      <c r="AL6137" s="1115"/>
      <c r="AM6137" s="1115"/>
      <c r="AN6137" s="1115"/>
      <c r="AO6137" s="1115"/>
      <c r="AP6137" s="1115"/>
      <c r="AQ6137" s="1115"/>
      <c r="AR6137" s="1115"/>
      <c r="AS6137" s="1117"/>
      <c r="AT6137" s="1075"/>
      <c r="AU6137" s="1193"/>
      <c r="AV6137" s="330"/>
      <c r="AW6137" s="331"/>
      <c r="AX6137" s="331"/>
      <c r="AY6137" s="331"/>
      <c r="AZ6137" s="331"/>
      <c r="BA6137" s="331"/>
      <c r="BB6137" s="331"/>
      <c r="BC6137" s="331"/>
      <c r="BD6137" s="331"/>
      <c r="BE6137" s="333"/>
      <c r="BF6137" s="330"/>
      <c r="BG6137" s="333"/>
      <c r="BH6137" s="1119"/>
      <c r="BI6137" s="319"/>
      <c r="BJ6137" s="319"/>
      <c r="BK6137" s="319"/>
      <c r="BL6137" s="319"/>
      <c r="BM6137" s="319"/>
      <c r="BN6137" s="319"/>
      <c r="BO6137" s="319"/>
      <c r="BP6137" s="953"/>
      <c r="BQ6137" s="319"/>
      <c r="BR6137" s="319"/>
      <c r="BS6137" s="330"/>
      <c r="BT6137" s="331"/>
      <c r="BU6137" s="920"/>
      <c r="BV6137" s="903"/>
      <c r="BW6137" s="908"/>
      <c r="BX6137" s="908"/>
      <c r="BY6137" s="331"/>
      <c r="BZ6137" s="331"/>
      <c r="CA6137" s="462"/>
      <c r="CB6137" s="319"/>
      <c r="CC6137" s="319"/>
      <c r="CD6137" s="319"/>
      <c r="CE6137" s="319"/>
      <c r="CF6137" s="319"/>
      <c r="CG6137" s="319"/>
      <c r="CH6137" s="318"/>
      <c r="CI6137" s="319"/>
      <c r="CJ6137" s="319"/>
      <c r="CK6137" s="342"/>
      <c r="CL6137" s="333"/>
      <c r="CM6137" s="1079"/>
      <c r="CN6137" s="1005"/>
      <c r="CO6137" s="1005"/>
      <c r="CP6137" s="1005"/>
    </row>
    <row r="6138">
      <c r="A6138" s="1257"/>
      <c r="B6138" s="1113"/>
      <c r="C6138" s="1107"/>
      <c r="D6138" s="103"/>
      <c r="E6138" s="1137"/>
      <c r="F6138" s="112"/>
      <c r="G6138" s="1110"/>
      <c r="H6138" s="1138"/>
      <c r="I6138" s="1138"/>
      <c r="J6138" s="1139"/>
      <c r="K6138" s="1111"/>
      <c r="L6138" s="1112"/>
      <c r="M6138" s="1113"/>
      <c r="N6138" s="110"/>
      <c r="O6138" s="1140"/>
      <c r="P6138" s="1115"/>
      <c r="Q6138" s="1116"/>
      <c r="R6138" s="1141"/>
      <c r="S6138" s="1113"/>
      <c r="T6138" s="1143"/>
      <c r="U6138" s="1108"/>
      <c r="V6138" s="1108"/>
      <c r="W6138" s="1108"/>
      <c r="X6138" s="1108"/>
      <c r="Y6138" s="1108"/>
      <c r="Z6138" s="1114"/>
      <c r="AA6138" s="1114"/>
      <c r="AB6138" s="1114"/>
      <c r="AC6138" s="1117"/>
      <c r="AD6138" s="1115"/>
      <c r="AE6138" s="1115"/>
      <c r="AF6138" s="1115"/>
      <c r="AG6138" s="1115"/>
      <c r="AH6138" s="1115"/>
      <c r="AI6138" s="1115"/>
      <c r="AJ6138" s="1117"/>
      <c r="AK6138" s="1118"/>
      <c r="AL6138" s="1115"/>
      <c r="AM6138" s="1115"/>
      <c r="AN6138" s="1115"/>
      <c r="AO6138" s="1115"/>
      <c r="AP6138" s="1115"/>
      <c r="AQ6138" s="1115"/>
      <c r="AR6138" s="1115"/>
      <c r="AS6138" s="1117"/>
      <c r="AT6138" s="1075"/>
      <c r="AU6138" s="1193"/>
      <c r="AV6138" s="330"/>
      <c r="AW6138" s="331"/>
      <c r="AX6138" s="331"/>
      <c r="AY6138" s="331"/>
      <c r="AZ6138" s="331"/>
      <c r="BA6138" s="331"/>
      <c r="BB6138" s="331"/>
      <c r="BC6138" s="331"/>
      <c r="BD6138" s="331"/>
      <c r="BE6138" s="333"/>
      <c r="BF6138" s="330"/>
      <c r="BG6138" s="333"/>
      <c r="BH6138" s="1119"/>
      <c r="BI6138" s="319"/>
      <c r="BJ6138" s="319"/>
      <c r="BK6138" s="319"/>
      <c r="BL6138" s="319"/>
      <c r="BM6138" s="319"/>
      <c r="BN6138" s="319"/>
      <c r="BO6138" s="319"/>
      <c r="BP6138" s="953"/>
      <c r="BQ6138" s="319"/>
      <c r="BR6138" s="319"/>
      <c r="BS6138" s="330"/>
      <c r="BT6138" s="331"/>
      <c r="BU6138" s="920"/>
      <c r="BV6138" s="903"/>
      <c r="BW6138" s="908"/>
      <c r="BX6138" s="908"/>
      <c r="BY6138" s="331"/>
      <c r="BZ6138" s="331"/>
      <c r="CA6138" s="462"/>
      <c r="CB6138" s="319"/>
      <c r="CC6138" s="319"/>
      <c r="CD6138" s="319"/>
      <c r="CE6138" s="319"/>
      <c r="CF6138" s="319"/>
      <c r="CG6138" s="319"/>
      <c r="CH6138" s="318"/>
      <c r="CI6138" s="319"/>
      <c r="CJ6138" s="319"/>
      <c r="CK6138" s="342"/>
      <c r="CL6138" s="333"/>
      <c r="CM6138" s="1079"/>
      <c r="CN6138" s="1005"/>
      <c r="CO6138" s="1005"/>
      <c r="CP6138" s="1005"/>
    </row>
    <row r="6139">
      <c r="A6139" s="1257"/>
      <c r="B6139" s="1113"/>
      <c r="C6139" s="1107"/>
      <c r="D6139" s="103"/>
      <c r="E6139" s="1137"/>
      <c r="F6139" s="112"/>
      <c r="G6139" s="1110"/>
      <c r="H6139" s="1138"/>
      <c r="I6139" s="1138"/>
      <c r="J6139" s="1139"/>
      <c r="K6139" s="1111"/>
      <c r="L6139" s="1112"/>
      <c r="M6139" s="1113"/>
      <c r="N6139" s="110"/>
      <c r="O6139" s="1140"/>
      <c r="P6139" s="1115"/>
      <c r="Q6139" s="1116"/>
      <c r="R6139" s="1141"/>
      <c r="S6139" s="1113"/>
      <c r="T6139" s="1143"/>
      <c r="U6139" s="1108"/>
      <c r="V6139" s="1108"/>
      <c r="W6139" s="1108"/>
      <c r="X6139" s="1108"/>
      <c r="Y6139" s="1108"/>
      <c r="Z6139" s="1114"/>
      <c r="AA6139" s="1114"/>
      <c r="AB6139" s="1114"/>
      <c r="AC6139" s="1117"/>
      <c r="AD6139" s="1115"/>
      <c r="AE6139" s="1115"/>
      <c r="AF6139" s="1115"/>
      <c r="AG6139" s="1115"/>
      <c r="AH6139" s="1115"/>
      <c r="AI6139" s="1115"/>
      <c r="AJ6139" s="1117"/>
      <c r="AK6139" s="1118"/>
      <c r="AL6139" s="1115"/>
      <c r="AM6139" s="1115"/>
      <c r="AN6139" s="1115"/>
      <c r="AO6139" s="1115"/>
      <c r="AP6139" s="1115"/>
      <c r="AQ6139" s="1115"/>
      <c r="AR6139" s="1115"/>
      <c r="AS6139" s="1117"/>
      <c r="AT6139" s="1075"/>
      <c r="AU6139" s="1193"/>
      <c r="AV6139" s="330"/>
      <c r="AW6139" s="331"/>
      <c r="AX6139" s="331"/>
      <c r="AY6139" s="331"/>
      <c r="AZ6139" s="331"/>
      <c r="BA6139" s="331"/>
      <c r="BB6139" s="331"/>
      <c r="BC6139" s="331"/>
      <c r="BD6139" s="331"/>
      <c r="BE6139" s="333"/>
      <c r="BF6139" s="330"/>
      <c r="BG6139" s="333"/>
      <c r="BH6139" s="1119"/>
      <c r="BI6139" s="319"/>
      <c r="BJ6139" s="319"/>
      <c r="BK6139" s="319"/>
      <c r="BL6139" s="319"/>
      <c r="BM6139" s="319"/>
      <c r="BN6139" s="319"/>
      <c r="BO6139" s="319"/>
      <c r="BP6139" s="953"/>
      <c r="BQ6139" s="319"/>
      <c r="BR6139" s="319"/>
      <c r="BS6139" s="330"/>
      <c r="BT6139" s="331"/>
      <c r="BU6139" s="920"/>
      <c r="BV6139" s="903"/>
      <c r="BW6139" s="908"/>
      <c r="BX6139" s="908"/>
      <c r="BY6139" s="331"/>
      <c r="BZ6139" s="331"/>
      <c r="CA6139" s="462"/>
      <c r="CB6139" s="319"/>
      <c r="CC6139" s="319"/>
      <c r="CD6139" s="319"/>
      <c r="CE6139" s="319"/>
      <c r="CF6139" s="319"/>
      <c r="CG6139" s="319"/>
      <c r="CH6139" s="318"/>
      <c r="CI6139" s="319"/>
      <c r="CJ6139" s="319"/>
      <c r="CK6139" s="342"/>
      <c r="CL6139" s="333"/>
      <c r="CM6139" s="1079"/>
      <c r="CN6139" s="1005"/>
      <c r="CO6139" s="1005"/>
      <c r="CP6139" s="1005"/>
    </row>
    <row r="6140">
      <c r="A6140" s="1257"/>
      <c r="B6140" s="1113"/>
      <c r="C6140" s="1107"/>
      <c r="D6140" s="103"/>
      <c r="E6140" s="1137"/>
      <c r="F6140" s="112"/>
      <c r="G6140" s="1110"/>
      <c r="H6140" s="1138"/>
      <c r="I6140" s="1138"/>
      <c r="J6140" s="1139"/>
      <c r="K6140" s="1111"/>
      <c r="L6140" s="1112"/>
      <c r="M6140" s="1113"/>
      <c r="N6140" s="110"/>
      <c r="O6140" s="1140"/>
      <c r="P6140" s="1115"/>
      <c r="Q6140" s="1116"/>
      <c r="R6140" s="1141"/>
      <c r="S6140" s="1113"/>
      <c r="T6140" s="1143"/>
      <c r="U6140" s="1108"/>
      <c r="V6140" s="1108"/>
      <c r="W6140" s="1108"/>
      <c r="X6140" s="1108"/>
      <c r="Y6140" s="1108"/>
      <c r="Z6140" s="1114"/>
      <c r="AA6140" s="1114"/>
      <c r="AB6140" s="1114"/>
      <c r="AC6140" s="1117"/>
      <c r="AD6140" s="1115"/>
      <c r="AE6140" s="1115"/>
      <c r="AF6140" s="1115"/>
      <c r="AG6140" s="1115"/>
      <c r="AH6140" s="1115"/>
      <c r="AI6140" s="1115"/>
      <c r="AJ6140" s="1117"/>
      <c r="AK6140" s="1118"/>
      <c r="AL6140" s="1115"/>
      <c r="AM6140" s="1115"/>
      <c r="AN6140" s="1115"/>
      <c r="AO6140" s="1115"/>
      <c r="AP6140" s="1115"/>
      <c r="AQ6140" s="1115"/>
      <c r="AR6140" s="1115"/>
      <c r="AS6140" s="1117"/>
      <c r="AT6140" s="1075"/>
      <c r="AU6140" s="1193"/>
      <c r="AV6140" s="330"/>
      <c r="AW6140" s="331"/>
      <c r="AX6140" s="331"/>
      <c r="AY6140" s="331"/>
      <c r="AZ6140" s="331"/>
      <c r="BA6140" s="331"/>
      <c r="BB6140" s="331"/>
      <c r="BC6140" s="331"/>
      <c r="BD6140" s="331"/>
      <c r="BE6140" s="333"/>
      <c r="BF6140" s="330"/>
      <c r="BG6140" s="333"/>
      <c r="BH6140" s="1119"/>
      <c r="BI6140" s="319"/>
      <c r="BJ6140" s="319"/>
      <c r="BK6140" s="319"/>
      <c r="BL6140" s="319"/>
      <c r="BM6140" s="319"/>
      <c r="BN6140" s="319"/>
      <c r="BO6140" s="319"/>
      <c r="BP6140" s="953"/>
      <c r="BQ6140" s="319"/>
      <c r="BR6140" s="319"/>
      <c r="BS6140" s="330"/>
      <c r="BT6140" s="331"/>
      <c r="BU6140" s="920"/>
      <c r="BV6140" s="903"/>
      <c r="BW6140" s="908"/>
      <c r="BX6140" s="908"/>
      <c r="BY6140" s="331"/>
      <c r="BZ6140" s="331"/>
      <c r="CA6140" s="462"/>
      <c r="CB6140" s="319"/>
      <c r="CC6140" s="319"/>
      <c r="CD6140" s="319"/>
      <c r="CE6140" s="319"/>
      <c r="CF6140" s="319"/>
      <c r="CG6140" s="319"/>
      <c r="CH6140" s="318"/>
      <c r="CI6140" s="319"/>
      <c r="CJ6140" s="319"/>
      <c r="CK6140" s="342"/>
      <c r="CL6140" s="333"/>
      <c r="CM6140" s="1079"/>
      <c r="CN6140" s="1005"/>
      <c r="CO6140" s="1005"/>
      <c r="CP6140" s="1005"/>
    </row>
    <row r="6141">
      <c r="A6141" s="1257"/>
      <c r="B6141" s="1113"/>
      <c r="C6141" s="1107"/>
      <c r="D6141" s="103"/>
      <c r="E6141" s="1137"/>
      <c r="F6141" s="112"/>
      <c r="G6141" s="1110"/>
      <c r="H6141" s="1138"/>
      <c r="I6141" s="1138"/>
      <c r="J6141" s="1139"/>
      <c r="K6141" s="1111"/>
      <c r="L6141" s="1112"/>
      <c r="M6141" s="1113"/>
      <c r="N6141" s="110"/>
      <c r="O6141" s="1140"/>
      <c r="P6141" s="1115"/>
      <c r="Q6141" s="1116"/>
      <c r="R6141" s="1141"/>
      <c r="S6141" s="1113"/>
      <c r="T6141" s="1143"/>
      <c r="U6141" s="1108"/>
      <c r="V6141" s="1108"/>
      <c r="W6141" s="1108"/>
      <c r="X6141" s="1108"/>
      <c r="Y6141" s="1108"/>
      <c r="Z6141" s="1114"/>
      <c r="AA6141" s="1114"/>
      <c r="AB6141" s="1114"/>
      <c r="AC6141" s="1117"/>
      <c r="AD6141" s="1115"/>
      <c r="AE6141" s="1115"/>
      <c r="AF6141" s="1115"/>
      <c r="AG6141" s="1115"/>
      <c r="AH6141" s="1115"/>
      <c r="AI6141" s="1115"/>
      <c r="AJ6141" s="1117"/>
      <c r="AK6141" s="1118"/>
      <c r="AL6141" s="1115"/>
      <c r="AM6141" s="1115"/>
      <c r="AN6141" s="1115"/>
      <c r="AO6141" s="1115"/>
      <c r="AP6141" s="1115"/>
      <c r="AQ6141" s="1115"/>
      <c r="AR6141" s="1115"/>
      <c r="AS6141" s="1117"/>
      <c r="AT6141" s="1075"/>
      <c r="AU6141" s="1193"/>
      <c r="AV6141" s="330"/>
      <c r="AW6141" s="331"/>
      <c r="AX6141" s="331"/>
      <c r="AY6141" s="331"/>
      <c r="AZ6141" s="331"/>
      <c r="BA6141" s="331"/>
      <c r="BB6141" s="331"/>
      <c r="BC6141" s="331"/>
      <c r="BD6141" s="331"/>
      <c r="BE6141" s="333"/>
      <c r="BF6141" s="330"/>
      <c r="BG6141" s="333"/>
      <c r="BH6141" s="1119"/>
      <c r="BI6141" s="319"/>
      <c r="BJ6141" s="319"/>
      <c r="BK6141" s="319"/>
      <c r="BL6141" s="319"/>
      <c r="BM6141" s="319"/>
      <c r="BN6141" s="319"/>
      <c r="BO6141" s="319"/>
      <c r="BP6141" s="953"/>
      <c r="BQ6141" s="319"/>
      <c r="BR6141" s="319"/>
      <c r="BS6141" s="330"/>
      <c r="BT6141" s="331"/>
      <c r="BU6141" s="920"/>
      <c r="BV6141" s="903"/>
      <c r="BW6141" s="908"/>
      <c r="BX6141" s="908"/>
      <c r="BY6141" s="331"/>
      <c r="BZ6141" s="331"/>
      <c r="CA6141" s="462"/>
      <c r="CB6141" s="319"/>
      <c r="CC6141" s="319"/>
      <c r="CD6141" s="319"/>
      <c r="CE6141" s="319"/>
      <c r="CF6141" s="319"/>
      <c r="CG6141" s="319"/>
      <c r="CH6141" s="318"/>
      <c r="CI6141" s="319"/>
      <c r="CJ6141" s="319"/>
      <c r="CK6141" s="342"/>
      <c r="CL6141" s="333"/>
      <c r="CM6141" s="1079"/>
      <c r="CN6141" s="1005"/>
      <c r="CO6141" s="1005"/>
      <c r="CP6141" s="1005"/>
    </row>
    <row r="6142">
      <c r="A6142" s="1257"/>
      <c r="B6142" s="1113"/>
      <c r="C6142" s="1107"/>
      <c r="D6142" s="103"/>
      <c r="E6142" s="1137"/>
      <c r="F6142" s="112"/>
      <c r="G6142" s="1110"/>
      <c r="H6142" s="1138"/>
      <c r="I6142" s="1138"/>
      <c r="J6142" s="1139"/>
      <c r="K6142" s="1111"/>
      <c r="L6142" s="1112"/>
      <c r="M6142" s="1113"/>
      <c r="N6142" s="110"/>
      <c r="O6142" s="1140"/>
      <c r="P6142" s="1115"/>
      <c r="Q6142" s="1116"/>
      <c r="R6142" s="1141"/>
      <c r="S6142" s="1113"/>
      <c r="T6142" s="1143"/>
      <c r="U6142" s="1108"/>
      <c r="V6142" s="1108"/>
      <c r="W6142" s="1108"/>
      <c r="X6142" s="1108"/>
      <c r="Y6142" s="1108"/>
      <c r="Z6142" s="1114"/>
      <c r="AA6142" s="1114"/>
      <c r="AB6142" s="1114"/>
      <c r="AC6142" s="1117"/>
      <c r="AD6142" s="1115"/>
      <c r="AE6142" s="1115"/>
      <c r="AF6142" s="1115"/>
      <c r="AG6142" s="1115"/>
      <c r="AH6142" s="1115"/>
      <c r="AI6142" s="1115"/>
      <c r="AJ6142" s="1117"/>
      <c r="AK6142" s="1118"/>
      <c r="AL6142" s="1115"/>
      <c r="AM6142" s="1115"/>
      <c r="AN6142" s="1115"/>
      <c r="AO6142" s="1115"/>
      <c r="AP6142" s="1115"/>
      <c r="AQ6142" s="1115"/>
      <c r="AR6142" s="1115"/>
      <c r="AS6142" s="1117"/>
      <c r="AT6142" s="1075"/>
      <c r="AU6142" s="1193"/>
      <c r="AV6142" s="330"/>
      <c r="AW6142" s="331"/>
      <c r="AX6142" s="331"/>
      <c r="AY6142" s="331"/>
      <c r="AZ6142" s="331"/>
      <c r="BA6142" s="331"/>
      <c r="BB6142" s="331"/>
      <c r="BC6142" s="331"/>
      <c r="BD6142" s="331"/>
      <c r="BE6142" s="333"/>
      <c r="BF6142" s="330"/>
      <c r="BG6142" s="333"/>
      <c r="BH6142" s="1119"/>
      <c r="BI6142" s="319"/>
      <c r="BJ6142" s="319"/>
      <c r="BK6142" s="319"/>
      <c r="BL6142" s="319"/>
      <c r="BM6142" s="319"/>
      <c r="BN6142" s="319"/>
      <c r="BO6142" s="319"/>
      <c r="BP6142" s="953"/>
      <c r="BQ6142" s="319"/>
      <c r="BR6142" s="319"/>
      <c r="BS6142" s="330"/>
      <c r="BT6142" s="331"/>
      <c r="BU6142" s="920"/>
      <c r="BV6142" s="903"/>
      <c r="BW6142" s="908"/>
      <c r="BX6142" s="908"/>
      <c r="BY6142" s="331"/>
      <c r="BZ6142" s="331"/>
      <c r="CA6142" s="462"/>
      <c r="CB6142" s="319"/>
      <c r="CC6142" s="319"/>
      <c r="CD6142" s="319"/>
      <c r="CE6142" s="319"/>
      <c r="CF6142" s="319"/>
      <c r="CG6142" s="319"/>
      <c r="CH6142" s="318"/>
      <c r="CI6142" s="319"/>
      <c r="CJ6142" s="319"/>
      <c r="CK6142" s="342"/>
      <c r="CL6142" s="333"/>
      <c r="CM6142" s="1079"/>
      <c r="CN6142" s="1005"/>
      <c r="CO6142" s="1005"/>
      <c r="CP6142" s="1005"/>
    </row>
    <row r="6143">
      <c r="A6143" s="1257"/>
      <c r="B6143" s="1113"/>
      <c r="C6143" s="1107"/>
      <c r="D6143" s="103"/>
      <c r="E6143" s="1137"/>
      <c r="F6143" s="112"/>
      <c r="G6143" s="1110"/>
      <c r="H6143" s="1138"/>
      <c r="I6143" s="1138"/>
      <c r="J6143" s="1139"/>
      <c r="K6143" s="1111"/>
      <c r="L6143" s="1112"/>
      <c r="M6143" s="1113"/>
      <c r="N6143" s="110"/>
      <c r="O6143" s="1140"/>
      <c r="P6143" s="1115"/>
      <c r="Q6143" s="1116"/>
      <c r="R6143" s="1141"/>
      <c r="S6143" s="1113"/>
      <c r="T6143" s="1143"/>
      <c r="U6143" s="1108"/>
      <c r="V6143" s="1108"/>
      <c r="W6143" s="1108"/>
      <c r="X6143" s="1108"/>
      <c r="Y6143" s="1108"/>
      <c r="Z6143" s="1114"/>
      <c r="AA6143" s="1114"/>
      <c r="AB6143" s="1114"/>
      <c r="AC6143" s="1117"/>
      <c r="AD6143" s="1115"/>
      <c r="AE6143" s="1115"/>
      <c r="AF6143" s="1115"/>
      <c r="AG6143" s="1115"/>
      <c r="AH6143" s="1115"/>
      <c r="AI6143" s="1115"/>
      <c r="AJ6143" s="1117"/>
      <c r="AK6143" s="1118"/>
      <c r="AL6143" s="1115"/>
      <c r="AM6143" s="1115"/>
      <c r="AN6143" s="1115"/>
      <c r="AO6143" s="1115"/>
      <c r="AP6143" s="1115"/>
      <c r="AQ6143" s="1115"/>
      <c r="AR6143" s="1115"/>
      <c r="AS6143" s="1117"/>
      <c r="AT6143" s="1075"/>
      <c r="AU6143" s="1193"/>
      <c r="AV6143" s="330"/>
      <c r="AW6143" s="331"/>
      <c r="AX6143" s="331"/>
      <c r="AY6143" s="331"/>
      <c r="AZ6143" s="331"/>
      <c r="BA6143" s="331"/>
      <c r="BB6143" s="331"/>
      <c r="BC6143" s="331"/>
      <c r="BD6143" s="331"/>
      <c r="BE6143" s="333"/>
      <c r="BF6143" s="330"/>
      <c r="BG6143" s="333"/>
      <c r="BH6143" s="1119"/>
      <c r="BI6143" s="319"/>
      <c r="BJ6143" s="319"/>
      <c r="BK6143" s="319"/>
      <c r="BL6143" s="319"/>
      <c r="BM6143" s="319"/>
      <c r="BN6143" s="319"/>
      <c r="BO6143" s="319"/>
      <c r="BP6143" s="953"/>
      <c r="BQ6143" s="319"/>
      <c r="BR6143" s="319"/>
      <c r="BS6143" s="330"/>
      <c r="BT6143" s="331"/>
      <c r="BU6143" s="920"/>
      <c r="BV6143" s="903"/>
      <c r="BW6143" s="908"/>
      <c r="BX6143" s="908"/>
      <c r="BY6143" s="331"/>
      <c r="BZ6143" s="331"/>
      <c r="CA6143" s="462"/>
      <c r="CB6143" s="319"/>
      <c r="CC6143" s="319"/>
      <c r="CD6143" s="319"/>
      <c r="CE6143" s="319"/>
      <c r="CF6143" s="319"/>
      <c r="CG6143" s="319"/>
      <c r="CH6143" s="318"/>
      <c r="CI6143" s="319"/>
      <c r="CJ6143" s="319"/>
      <c r="CK6143" s="342"/>
      <c r="CL6143" s="333"/>
      <c r="CM6143" s="1079"/>
      <c r="CN6143" s="1005"/>
      <c r="CO6143" s="1005"/>
      <c r="CP6143" s="1005"/>
    </row>
    <row r="6144">
      <c r="A6144" s="1257"/>
      <c r="B6144" s="1113"/>
      <c r="C6144" s="1107"/>
      <c r="D6144" s="103"/>
      <c r="E6144" s="1137"/>
      <c r="F6144" s="112"/>
      <c r="G6144" s="1110"/>
      <c r="H6144" s="1138"/>
      <c r="I6144" s="1138"/>
      <c r="J6144" s="1139"/>
      <c r="K6144" s="1111"/>
      <c r="L6144" s="1112"/>
      <c r="M6144" s="1113"/>
      <c r="N6144" s="110"/>
      <c r="O6144" s="1140"/>
      <c r="P6144" s="1115"/>
      <c r="Q6144" s="1116"/>
      <c r="R6144" s="1141"/>
      <c r="S6144" s="1113"/>
      <c r="T6144" s="1143"/>
      <c r="U6144" s="1108"/>
      <c r="V6144" s="1108"/>
      <c r="W6144" s="1108"/>
      <c r="X6144" s="1108"/>
      <c r="Y6144" s="1108"/>
      <c r="Z6144" s="1114"/>
      <c r="AA6144" s="1114"/>
      <c r="AB6144" s="1114"/>
      <c r="AC6144" s="1117"/>
      <c r="AD6144" s="1115"/>
      <c r="AE6144" s="1115"/>
      <c r="AF6144" s="1115"/>
      <c r="AG6144" s="1115"/>
      <c r="AH6144" s="1115"/>
      <c r="AI6144" s="1115"/>
      <c r="AJ6144" s="1117"/>
      <c r="AK6144" s="1118"/>
      <c r="AL6144" s="1115"/>
      <c r="AM6144" s="1115"/>
      <c r="AN6144" s="1115"/>
      <c r="AO6144" s="1115"/>
      <c r="AP6144" s="1115"/>
      <c r="AQ6144" s="1115"/>
      <c r="AR6144" s="1115"/>
      <c r="AS6144" s="1117"/>
      <c r="AT6144" s="1075"/>
      <c r="AU6144" s="1193"/>
      <c r="AV6144" s="330"/>
      <c r="AW6144" s="331"/>
      <c r="AX6144" s="331"/>
      <c r="AY6144" s="331"/>
      <c r="AZ6144" s="331"/>
      <c r="BA6144" s="331"/>
      <c r="BB6144" s="331"/>
      <c r="BC6144" s="331"/>
      <c r="BD6144" s="331"/>
      <c r="BE6144" s="333"/>
      <c r="BF6144" s="330"/>
      <c r="BG6144" s="333"/>
      <c r="BH6144" s="1119"/>
      <c r="BI6144" s="319"/>
      <c r="BJ6144" s="319"/>
      <c r="BK6144" s="319"/>
      <c r="BL6144" s="319"/>
      <c r="BM6144" s="319"/>
      <c r="BN6144" s="319"/>
      <c r="BO6144" s="319"/>
      <c r="BP6144" s="953"/>
      <c r="BQ6144" s="319"/>
      <c r="BR6144" s="319"/>
      <c r="BS6144" s="330"/>
      <c r="BT6144" s="331"/>
      <c r="BU6144" s="920"/>
      <c r="BV6144" s="903"/>
      <c r="BW6144" s="908"/>
      <c r="BX6144" s="908"/>
      <c r="BY6144" s="331"/>
      <c r="BZ6144" s="331"/>
      <c r="CA6144" s="462"/>
      <c r="CB6144" s="319"/>
      <c r="CC6144" s="319"/>
      <c r="CD6144" s="319"/>
      <c r="CE6144" s="319"/>
      <c r="CF6144" s="319"/>
      <c r="CG6144" s="319"/>
      <c r="CH6144" s="318"/>
      <c r="CI6144" s="319"/>
      <c r="CJ6144" s="319"/>
      <c r="CK6144" s="342"/>
      <c r="CL6144" s="333"/>
      <c r="CM6144" s="1079"/>
      <c r="CN6144" s="1005"/>
      <c r="CO6144" s="1005"/>
      <c r="CP6144" s="1005"/>
    </row>
    <row r="6145">
      <c r="A6145" s="1257"/>
      <c r="B6145" s="1113"/>
      <c r="C6145" s="1107"/>
      <c r="D6145" s="103"/>
      <c r="E6145" s="1137"/>
      <c r="F6145" s="112"/>
      <c r="G6145" s="1110"/>
      <c r="H6145" s="1138"/>
      <c r="I6145" s="1138"/>
      <c r="J6145" s="1139"/>
      <c r="K6145" s="1111"/>
      <c r="L6145" s="1112"/>
      <c r="M6145" s="1113"/>
      <c r="N6145" s="110"/>
      <c r="O6145" s="1140"/>
      <c r="P6145" s="1115"/>
      <c r="Q6145" s="1116"/>
      <c r="R6145" s="1141"/>
      <c r="S6145" s="1113"/>
      <c r="T6145" s="1143"/>
      <c r="U6145" s="1108"/>
      <c r="V6145" s="1108"/>
      <c r="W6145" s="1108"/>
      <c r="X6145" s="1108"/>
      <c r="Y6145" s="1108"/>
      <c r="Z6145" s="1114"/>
      <c r="AA6145" s="1114"/>
      <c r="AB6145" s="1114"/>
      <c r="AC6145" s="1117"/>
      <c r="AD6145" s="1115"/>
      <c r="AE6145" s="1115"/>
      <c r="AF6145" s="1115"/>
      <c r="AG6145" s="1115"/>
      <c r="AH6145" s="1115"/>
      <c r="AI6145" s="1115"/>
      <c r="AJ6145" s="1117"/>
      <c r="AK6145" s="1118"/>
      <c r="AL6145" s="1115"/>
      <c r="AM6145" s="1115"/>
      <c r="AN6145" s="1115"/>
      <c r="AO6145" s="1115"/>
      <c r="AP6145" s="1115"/>
      <c r="AQ6145" s="1115"/>
      <c r="AR6145" s="1115"/>
      <c r="AS6145" s="1117"/>
      <c r="AT6145" s="1075"/>
      <c r="AU6145" s="1193"/>
      <c r="AV6145" s="330"/>
      <c r="AW6145" s="331"/>
      <c r="AX6145" s="331"/>
      <c r="AY6145" s="331"/>
      <c r="AZ6145" s="331"/>
      <c r="BA6145" s="331"/>
      <c r="BB6145" s="331"/>
      <c r="BC6145" s="331"/>
      <c r="BD6145" s="331"/>
      <c r="BE6145" s="333"/>
      <c r="BF6145" s="330"/>
      <c r="BG6145" s="333"/>
      <c r="BH6145" s="1119"/>
      <c r="BI6145" s="319"/>
      <c r="BJ6145" s="319"/>
      <c r="BK6145" s="319"/>
      <c r="BL6145" s="319"/>
      <c r="BM6145" s="319"/>
      <c r="BN6145" s="319"/>
      <c r="BO6145" s="319"/>
      <c r="BP6145" s="953"/>
      <c r="BQ6145" s="319"/>
      <c r="BR6145" s="319"/>
      <c r="BS6145" s="330"/>
      <c r="BT6145" s="331"/>
      <c r="BU6145" s="920"/>
      <c r="BV6145" s="903"/>
      <c r="BW6145" s="908"/>
      <c r="BX6145" s="908"/>
      <c r="BY6145" s="331"/>
      <c r="BZ6145" s="331"/>
      <c r="CA6145" s="462"/>
      <c r="CB6145" s="319"/>
      <c r="CC6145" s="319"/>
      <c r="CD6145" s="319"/>
      <c r="CE6145" s="319"/>
      <c r="CF6145" s="319"/>
      <c r="CG6145" s="319"/>
      <c r="CH6145" s="318"/>
      <c r="CI6145" s="319"/>
      <c r="CJ6145" s="319"/>
      <c r="CK6145" s="342"/>
      <c r="CL6145" s="333"/>
      <c r="CM6145" s="1079"/>
      <c r="CN6145" s="1005"/>
      <c r="CO6145" s="1005"/>
      <c r="CP6145" s="1005"/>
    </row>
    <row r="6146">
      <c r="A6146" s="1257"/>
      <c r="B6146" s="1113"/>
      <c r="C6146" s="1107"/>
      <c r="D6146" s="103"/>
      <c r="E6146" s="1137"/>
      <c r="F6146" s="112"/>
      <c r="G6146" s="1110"/>
      <c r="H6146" s="1138"/>
      <c r="I6146" s="1138"/>
      <c r="J6146" s="1139"/>
      <c r="K6146" s="1111"/>
      <c r="L6146" s="1112"/>
      <c r="M6146" s="1113"/>
      <c r="N6146" s="110"/>
      <c r="O6146" s="1140"/>
      <c r="P6146" s="1115"/>
      <c r="Q6146" s="1116"/>
      <c r="R6146" s="1141"/>
      <c r="S6146" s="1113"/>
      <c r="T6146" s="1143"/>
      <c r="U6146" s="1108"/>
      <c r="V6146" s="1108"/>
      <c r="W6146" s="1108"/>
      <c r="X6146" s="1108"/>
      <c r="Y6146" s="1108"/>
      <c r="Z6146" s="1114"/>
      <c r="AA6146" s="1114"/>
      <c r="AB6146" s="1114"/>
      <c r="AC6146" s="1117"/>
      <c r="AD6146" s="1115"/>
      <c r="AE6146" s="1115"/>
      <c r="AF6146" s="1115"/>
      <c r="AG6146" s="1115"/>
      <c r="AH6146" s="1115"/>
      <c r="AI6146" s="1115"/>
      <c r="AJ6146" s="1117"/>
      <c r="AK6146" s="1118"/>
      <c r="AL6146" s="1115"/>
      <c r="AM6146" s="1115"/>
      <c r="AN6146" s="1115"/>
      <c r="AO6146" s="1115"/>
      <c r="AP6146" s="1115"/>
      <c r="AQ6146" s="1115"/>
      <c r="AR6146" s="1115"/>
      <c r="AS6146" s="1117"/>
      <c r="AT6146" s="1075"/>
      <c r="AU6146" s="1193"/>
      <c r="AV6146" s="330"/>
      <c r="AW6146" s="331"/>
      <c r="AX6146" s="331"/>
      <c r="AY6146" s="331"/>
      <c r="AZ6146" s="331"/>
      <c r="BA6146" s="331"/>
      <c r="BB6146" s="331"/>
      <c r="BC6146" s="331"/>
      <c r="BD6146" s="331"/>
      <c r="BE6146" s="333"/>
      <c r="BF6146" s="330"/>
      <c r="BG6146" s="333"/>
      <c r="BH6146" s="1119"/>
      <c r="BI6146" s="319"/>
      <c r="BJ6146" s="319"/>
      <c r="BK6146" s="319"/>
      <c r="BL6146" s="319"/>
      <c r="BM6146" s="319"/>
      <c r="BN6146" s="319"/>
      <c r="BO6146" s="319"/>
      <c r="BP6146" s="953"/>
      <c r="BQ6146" s="319"/>
      <c r="BR6146" s="319"/>
      <c r="BS6146" s="330"/>
      <c r="BT6146" s="331"/>
      <c r="BU6146" s="920"/>
      <c r="BV6146" s="903"/>
      <c r="BW6146" s="908"/>
      <c r="BX6146" s="908"/>
      <c r="BY6146" s="331"/>
      <c r="BZ6146" s="331"/>
      <c r="CA6146" s="462"/>
      <c r="CB6146" s="319"/>
      <c r="CC6146" s="319"/>
      <c r="CD6146" s="319"/>
      <c r="CE6146" s="319"/>
      <c r="CF6146" s="319"/>
      <c r="CG6146" s="319"/>
      <c r="CH6146" s="318"/>
      <c r="CI6146" s="319"/>
      <c r="CJ6146" s="319"/>
      <c r="CK6146" s="342"/>
      <c r="CL6146" s="333"/>
      <c r="CM6146" s="1079"/>
      <c r="CN6146" s="1005"/>
      <c r="CO6146" s="1005"/>
      <c r="CP6146" s="1005"/>
    </row>
    <row r="6147">
      <c r="A6147" s="1257"/>
      <c r="B6147" s="1113"/>
      <c r="C6147" s="1107"/>
      <c r="D6147" s="103"/>
      <c r="E6147" s="1137"/>
      <c r="F6147" s="112"/>
      <c r="G6147" s="1110"/>
      <c r="H6147" s="1138"/>
      <c r="I6147" s="1138"/>
      <c r="J6147" s="1139"/>
      <c r="K6147" s="1111"/>
      <c r="L6147" s="1112"/>
      <c r="M6147" s="1113"/>
      <c r="N6147" s="110"/>
      <c r="O6147" s="1140"/>
      <c r="P6147" s="1115"/>
      <c r="Q6147" s="1116"/>
      <c r="R6147" s="1141"/>
      <c r="S6147" s="1113"/>
      <c r="T6147" s="1143"/>
      <c r="U6147" s="1108"/>
      <c r="V6147" s="1108"/>
      <c r="W6147" s="1108"/>
      <c r="X6147" s="1108"/>
      <c r="Y6147" s="1108"/>
      <c r="Z6147" s="1114"/>
      <c r="AA6147" s="1114"/>
      <c r="AB6147" s="1114"/>
      <c r="AC6147" s="1117"/>
      <c r="AD6147" s="1115"/>
      <c r="AE6147" s="1115"/>
      <c r="AF6147" s="1115"/>
      <c r="AG6147" s="1115"/>
      <c r="AH6147" s="1115"/>
      <c r="AI6147" s="1115"/>
      <c r="AJ6147" s="1117"/>
      <c r="AK6147" s="1118"/>
      <c r="AL6147" s="1115"/>
      <c r="AM6147" s="1115"/>
      <c r="AN6147" s="1115"/>
      <c r="AO6147" s="1115"/>
      <c r="AP6147" s="1115"/>
      <c r="AQ6147" s="1115"/>
      <c r="AR6147" s="1115"/>
      <c r="AS6147" s="1117"/>
      <c r="AT6147" s="1075"/>
      <c r="AU6147" s="1193"/>
      <c r="AV6147" s="330"/>
      <c r="AW6147" s="331"/>
      <c r="AX6147" s="331"/>
      <c r="AY6147" s="331"/>
      <c r="AZ6147" s="331"/>
      <c r="BA6147" s="331"/>
      <c r="BB6147" s="331"/>
      <c r="BC6147" s="331"/>
      <c r="BD6147" s="331"/>
      <c r="BE6147" s="333"/>
      <c r="BF6147" s="330"/>
      <c r="BG6147" s="333"/>
      <c r="BH6147" s="1119"/>
      <c r="BI6147" s="319"/>
      <c r="BJ6147" s="319"/>
      <c r="BK6147" s="319"/>
      <c r="BL6147" s="319"/>
      <c r="BM6147" s="319"/>
      <c r="BN6147" s="319"/>
      <c r="BO6147" s="319"/>
      <c r="BP6147" s="953"/>
      <c r="BQ6147" s="319"/>
      <c r="BR6147" s="319"/>
      <c r="BS6147" s="330"/>
      <c r="BT6147" s="331"/>
      <c r="BU6147" s="920"/>
      <c r="BV6147" s="903"/>
      <c r="BW6147" s="908"/>
      <c r="BX6147" s="908"/>
      <c r="BY6147" s="331"/>
      <c r="BZ6147" s="331"/>
      <c r="CA6147" s="462"/>
      <c r="CB6147" s="319"/>
      <c r="CC6147" s="319"/>
      <c r="CD6147" s="319"/>
      <c r="CE6147" s="319"/>
      <c r="CF6147" s="319"/>
      <c r="CG6147" s="319"/>
      <c r="CH6147" s="318"/>
      <c r="CI6147" s="319"/>
      <c r="CJ6147" s="319"/>
      <c r="CK6147" s="342"/>
      <c r="CL6147" s="333"/>
      <c r="CM6147" s="1079"/>
      <c r="CN6147" s="1005"/>
      <c r="CO6147" s="1005"/>
      <c r="CP6147" s="1005"/>
    </row>
    <row r="6148">
      <c r="A6148" s="1257"/>
      <c r="B6148" s="1113"/>
      <c r="C6148" s="1107"/>
      <c r="D6148" s="103"/>
      <c r="E6148" s="1137"/>
      <c r="F6148" s="112"/>
      <c r="G6148" s="1110"/>
      <c r="H6148" s="1138"/>
      <c r="I6148" s="1138"/>
      <c r="J6148" s="1139"/>
      <c r="K6148" s="1111"/>
      <c r="L6148" s="1112"/>
      <c r="M6148" s="1113"/>
      <c r="N6148" s="110"/>
      <c r="O6148" s="1140"/>
      <c r="P6148" s="1115"/>
      <c r="Q6148" s="1116"/>
      <c r="R6148" s="1141"/>
      <c r="S6148" s="1113"/>
      <c r="T6148" s="1143"/>
      <c r="U6148" s="1108"/>
      <c r="V6148" s="1108"/>
      <c r="W6148" s="1108"/>
      <c r="X6148" s="1108"/>
      <c r="Y6148" s="1108"/>
      <c r="Z6148" s="1114"/>
      <c r="AA6148" s="1114"/>
      <c r="AB6148" s="1114"/>
      <c r="AC6148" s="1117"/>
      <c r="AD6148" s="1115"/>
      <c r="AE6148" s="1115"/>
      <c r="AF6148" s="1115"/>
      <c r="AG6148" s="1115"/>
      <c r="AH6148" s="1115"/>
      <c r="AI6148" s="1115"/>
      <c r="AJ6148" s="1117"/>
      <c r="AK6148" s="1118"/>
      <c r="AL6148" s="1115"/>
      <c r="AM6148" s="1115"/>
      <c r="AN6148" s="1115"/>
      <c r="AO6148" s="1115"/>
      <c r="AP6148" s="1115"/>
      <c r="AQ6148" s="1115"/>
      <c r="AR6148" s="1115"/>
      <c r="AS6148" s="1117"/>
      <c r="AT6148" s="1075"/>
      <c r="AU6148" s="1193"/>
      <c r="AV6148" s="330"/>
      <c r="AW6148" s="331"/>
      <c r="AX6148" s="331"/>
      <c r="AY6148" s="331"/>
      <c r="AZ6148" s="331"/>
      <c r="BA6148" s="331"/>
      <c r="BB6148" s="331"/>
      <c r="BC6148" s="331"/>
      <c r="BD6148" s="331"/>
      <c r="BE6148" s="333"/>
      <c r="BF6148" s="330"/>
      <c r="BG6148" s="333"/>
      <c r="BH6148" s="1119"/>
      <c r="BI6148" s="319"/>
      <c r="BJ6148" s="319"/>
      <c r="BK6148" s="319"/>
      <c r="BL6148" s="319"/>
      <c r="BM6148" s="319"/>
      <c r="BN6148" s="319"/>
      <c r="BO6148" s="319"/>
      <c r="BP6148" s="953"/>
      <c r="BQ6148" s="319"/>
      <c r="BR6148" s="319"/>
      <c r="BS6148" s="330"/>
      <c r="BT6148" s="331"/>
      <c r="BU6148" s="920"/>
      <c r="BV6148" s="903"/>
      <c r="BW6148" s="908"/>
      <c r="BX6148" s="908"/>
      <c r="BY6148" s="331"/>
      <c r="BZ6148" s="331"/>
      <c r="CA6148" s="462"/>
      <c r="CB6148" s="319"/>
      <c r="CC6148" s="319"/>
      <c r="CD6148" s="319"/>
      <c r="CE6148" s="319"/>
      <c r="CF6148" s="319"/>
      <c r="CG6148" s="319"/>
      <c r="CH6148" s="318"/>
      <c r="CI6148" s="319"/>
      <c r="CJ6148" s="319"/>
      <c r="CK6148" s="342"/>
      <c r="CL6148" s="333"/>
      <c r="CM6148" s="1079"/>
      <c r="CN6148" s="1005"/>
      <c r="CO6148" s="1005"/>
      <c r="CP6148" s="1005"/>
    </row>
    <row r="6149">
      <c r="A6149" s="1257"/>
      <c r="B6149" s="1113"/>
      <c r="C6149" s="1107"/>
      <c r="D6149" s="103"/>
      <c r="E6149" s="1137"/>
      <c r="F6149" s="112"/>
      <c r="G6149" s="1110"/>
      <c r="H6149" s="1138"/>
      <c r="I6149" s="1138"/>
      <c r="J6149" s="1139"/>
      <c r="K6149" s="1111"/>
      <c r="L6149" s="1112"/>
      <c r="M6149" s="1113"/>
      <c r="N6149" s="110"/>
      <c r="O6149" s="1140"/>
      <c r="P6149" s="1115"/>
      <c r="Q6149" s="1116"/>
      <c r="R6149" s="1141"/>
      <c r="S6149" s="1113"/>
      <c r="T6149" s="1143"/>
      <c r="U6149" s="1108"/>
      <c r="V6149" s="1108"/>
      <c r="W6149" s="1108"/>
      <c r="X6149" s="1108"/>
      <c r="Y6149" s="1108"/>
      <c r="Z6149" s="1114"/>
      <c r="AA6149" s="1114"/>
      <c r="AB6149" s="1114"/>
      <c r="AC6149" s="1117"/>
      <c r="AD6149" s="1115"/>
      <c r="AE6149" s="1115"/>
      <c r="AF6149" s="1115"/>
      <c r="AG6149" s="1115"/>
      <c r="AH6149" s="1115"/>
      <c r="AI6149" s="1115"/>
      <c r="AJ6149" s="1117"/>
      <c r="AK6149" s="1118"/>
      <c r="AL6149" s="1115"/>
      <c r="AM6149" s="1115"/>
      <c r="AN6149" s="1115"/>
      <c r="AO6149" s="1115"/>
      <c r="AP6149" s="1115"/>
      <c r="AQ6149" s="1115"/>
      <c r="AR6149" s="1115"/>
      <c r="AS6149" s="1117"/>
      <c r="AT6149" s="1075"/>
      <c r="AU6149" s="1193"/>
      <c r="AV6149" s="330"/>
      <c r="AW6149" s="331"/>
      <c r="AX6149" s="331"/>
      <c r="AY6149" s="331"/>
      <c r="AZ6149" s="331"/>
      <c r="BA6149" s="331"/>
      <c r="BB6149" s="331"/>
      <c r="BC6149" s="331"/>
      <c r="BD6149" s="331"/>
      <c r="BE6149" s="333"/>
      <c r="BF6149" s="330"/>
      <c r="BG6149" s="333"/>
      <c r="BH6149" s="1119"/>
      <c r="BI6149" s="319"/>
      <c r="BJ6149" s="319"/>
      <c r="BK6149" s="319"/>
      <c r="BL6149" s="319"/>
      <c r="BM6149" s="319"/>
      <c r="BN6149" s="319"/>
      <c r="BO6149" s="319"/>
      <c r="BP6149" s="953"/>
      <c r="BQ6149" s="319"/>
      <c r="BR6149" s="319"/>
      <c r="BS6149" s="330"/>
      <c r="BT6149" s="331"/>
      <c r="BU6149" s="920"/>
      <c r="BV6149" s="903"/>
      <c r="BW6149" s="908"/>
      <c r="BX6149" s="908"/>
      <c r="BY6149" s="331"/>
      <c r="BZ6149" s="331"/>
      <c r="CA6149" s="462"/>
      <c r="CB6149" s="319"/>
      <c r="CC6149" s="319"/>
      <c r="CD6149" s="319"/>
      <c r="CE6149" s="319"/>
      <c r="CF6149" s="319"/>
      <c r="CG6149" s="319"/>
      <c r="CH6149" s="318"/>
      <c r="CI6149" s="319"/>
      <c r="CJ6149" s="319"/>
      <c r="CK6149" s="342"/>
      <c r="CL6149" s="333"/>
      <c r="CM6149" s="1079"/>
      <c r="CN6149" s="1005"/>
      <c r="CO6149" s="1005"/>
      <c r="CP6149" s="1005"/>
    </row>
    <row r="6150">
      <c r="A6150" s="1257"/>
      <c r="B6150" s="1113"/>
      <c r="C6150" s="1107"/>
      <c r="D6150" s="103"/>
      <c r="E6150" s="1137"/>
      <c r="F6150" s="112"/>
      <c r="G6150" s="1110"/>
      <c r="H6150" s="1138"/>
      <c r="I6150" s="1138"/>
      <c r="J6150" s="1139"/>
      <c r="K6150" s="1111"/>
      <c r="L6150" s="1112"/>
      <c r="M6150" s="1113"/>
      <c r="N6150" s="110"/>
      <c r="O6150" s="1140"/>
      <c r="P6150" s="1115"/>
      <c r="Q6150" s="1116"/>
      <c r="R6150" s="1141"/>
      <c r="S6150" s="1113"/>
      <c r="T6150" s="1143"/>
      <c r="U6150" s="1108"/>
      <c r="V6150" s="1108"/>
      <c r="W6150" s="1108"/>
      <c r="X6150" s="1108"/>
      <c r="Y6150" s="1108"/>
      <c r="Z6150" s="1114"/>
      <c r="AA6150" s="1114"/>
      <c r="AB6150" s="1114"/>
      <c r="AC6150" s="1117"/>
      <c r="AD6150" s="1115"/>
      <c r="AE6150" s="1115"/>
      <c r="AF6150" s="1115"/>
      <c r="AG6150" s="1115"/>
      <c r="AH6150" s="1115"/>
      <c r="AI6150" s="1115"/>
      <c r="AJ6150" s="1117"/>
      <c r="AK6150" s="1118"/>
      <c r="AL6150" s="1115"/>
      <c r="AM6150" s="1115"/>
      <c r="AN6150" s="1115"/>
      <c r="AO6150" s="1115"/>
      <c r="AP6150" s="1115"/>
      <c r="AQ6150" s="1115"/>
      <c r="AR6150" s="1115"/>
      <c r="AS6150" s="1117"/>
      <c r="AT6150" s="1075"/>
      <c r="AU6150" s="1193"/>
      <c r="AV6150" s="330"/>
      <c r="AW6150" s="331"/>
      <c r="AX6150" s="331"/>
      <c r="AY6150" s="331"/>
      <c r="AZ6150" s="331"/>
      <c r="BA6150" s="331"/>
      <c r="BB6150" s="331"/>
      <c r="BC6150" s="331"/>
      <c r="BD6150" s="331"/>
      <c r="BE6150" s="333"/>
      <c r="BF6150" s="330"/>
      <c r="BG6150" s="333"/>
      <c r="BH6150" s="1119"/>
      <c r="BI6150" s="319"/>
      <c r="BJ6150" s="319"/>
      <c r="BK6150" s="319"/>
      <c r="BL6150" s="319"/>
      <c r="BM6150" s="319"/>
      <c r="BN6150" s="319"/>
      <c r="BO6150" s="319"/>
      <c r="BP6150" s="953"/>
      <c r="BQ6150" s="319"/>
      <c r="BR6150" s="319"/>
      <c r="BS6150" s="330"/>
      <c r="BT6150" s="331"/>
      <c r="BU6150" s="920"/>
      <c r="BV6150" s="903"/>
      <c r="BW6150" s="908"/>
      <c r="BX6150" s="908"/>
      <c r="BY6150" s="331"/>
      <c r="BZ6150" s="331"/>
      <c r="CA6150" s="462"/>
      <c r="CB6150" s="319"/>
      <c r="CC6150" s="319"/>
      <c r="CD6150" s="319"/>
      <c r="CE6150" s="319"/>
      <c r="CF6150" s="319"/>
      <c r="CG6150" s="319"/>
      <c r="CH6150" s="318"/>
      <c r="CI6150" s="319"/>
      <c r="CJ6150" s="319"/>
      <c r="CK6150" s="342"/>
      <c r="CL6150" s="333"/>
      <c r="CM6150" s="1079"/>
      <c r="CN6150" s="1005"/>
      <c r="CO6150" s="1005"/>
      <c r="CP6150" s="1005"/>
    </row>
    <row r="6151">
      <c r="A6151" s="1257"/>
      <c r="B6151" s="1113"/>
      <c r="C6151" s="1107"/>
      <c r="D6151" s="103"/>
      <c r="E6151" s="1137"/>
      <c r="F6151" s="112"/>
      <c r="G6151" s="1110"/>
      <c r="H6151" s="1138"/>
      <c r="I6151" s="1138"/>
      <c r="J6151" s="1139"/>
      <c r="K6151" s="1111"/>
      <c r="L6151" s="1112"/>
      <c r="M6151" s="1113"/>
      <c r="N6151" s="110"/>
      <c r="O6151" s="1140"/>
      <c r="P6151" s="1115"/>
      <c r="Q6151" s="1116"/>
      <c r="R6151" s="1141"/>
      <c r="S6151" s="1113"/>
      <c r="T6151" s="1143"/>
      <c r="U6151" s="1108"/>
      <c r="V6151" s="1108"/>
      <c r="W6151" s="1108"/>
      <c r="X6151" s="1108"/>
      <c r="Y6151" s="1108"/>
      <c r="Z6151" s="1114"/>
      <c r="AA6151" s="1114"/>
      <c r="AB6151" s="1114"/>
      <c r="AC6151" s="1117"/>
      <c r="AD6151" s="1115"/>
      <c r="AE6151" s="1115"/>
      <c r="AF6151" s="1115"/>
      <c r="AG6151" s="1115"/>
      <c r="AH6151" s="1115"/>
      <c r="AI6151" s="1115"/>
      <c r="AJ6151" s="1117"/>
      <c r="AK6151" s="1118"/>
      <c r="AL6151" s="1115"/>
      <c r="AM6151" s="1115"/>
      <c r="AN6151" s="1115"/>
      <c r="AO6151" s="1115"/>
      <c r="AP6151" s="1115"/>
      <c r="AQ6151" s="1115"/>
      <c r="AR6151" s="1115"/>
      <c r="AS6151" s="1117"/>
      <c r="AT6151" s="1075"/>
      <c r="AU6151" s="1193"/>
      <c r="AV6151" s="330"/>
      <c r="AW6151" s="331"/>
      <c r="AX6151" s="331"/>
      <c r="AY6151" s="331"/>
      <c r="AZ6151" s="331"/>
      <c r="BA6151" s="331"/>
      <c r="BB6151" s="331"/>
      <c r="BC6151" s="331"/>
      <c r="BD6151" s="331"/>
      <c r="BE6151" s="333"/>
      <c r="BF6151" s="330"/>
      <c r="BG6151" s="333"/>
      <c r="BH6151" s="1119"/>
      <c r="BI6151" s="319"/>
      <c r="BJ6151" s="319"/>
      <c r="BK6151" s="319"/>
      <c r="BL6151" s="319"/>
      <c r="BM6151" s="319"/>
      <c r="BN6151" s="319"/>
      <c r="BO6151" s="319"/>
      <c r="BP6151" s="953"/>
      <c r="BQ6151" s="319"/>
      <c r="BR6151" s="319"/>
      <c r="BS6151" s="330"/>
      <c r="BT6151" s="331"/>
      <c r="BU6151" s="920"/>
      <c r="BV6151" s="903"/>
      <c r="BW6151" s="908"/>
      <c r="BX6151" s="908"/>
      <c r="BY6151" s="331"/>
      <c r="BZ6151" s="331"/>
      <c r="CA6151" s="462"/>
      <c r="CB6151" s="319"/>
      <c r="CC6151" s="319"/>
      <c r="CD6151" s="319"/>
      <c r="CE6151" s="319"/>
      <c r="CF6151" s="319"/>
      <c r="CG6151" s="319"/>
      <c r="CH6151" s="318"/>
      <c r="CI6151" s="319"/>
      <c r="CJ6151" s="319"/>
      <c r="CK6151" s="342"/>
      <c r="CL6151" s="333"/>
      <c r="CM6151" s="1079"/>
      <c r="CN6151" s="1005"/>
      <c r="CO6151" s="1005"/>
      <c r="CP6151" s="1005"/>
    </row>
    <row r="6152">
      <c r="A6152" s="1257"/>
      <c r="B6152" s="1113"/>
      <c r="C6152" s="1107"/>
      <c r="D6152" s="103"/>
      <c r="E6152" s="1137"/>
      <c r="F6152" s="112"/>
      <c r="G6152" s="1110"/>
      <c r="H6152" s="1138"/>
      <c r="I6152" s="1138"/>
      <c r="J6152" s="1139"/>
      <c r="K6152" s="1111"/>
      <c r="L6152" s="1112"/>
      <c r="M6152" s="1113"/>
      <c r="N6152" s="110"/>
      <c r="O6152" s="1140"/>
      <c r="P6152" s="1115"/>
      <c r="Q6152" s="1116"/>
      <c r="R6152" s="1141"/>
      <c r="S6152" s="1113"/>
      <c r="T6152" s="1143"/>
      <c r="U6152" s="1108"/>
      <c r="V6152" s="1108"/>
      <c r="W6152" s="1108"/>
      <c r="X6152" s="1108"/>
      <c r="Y6152" s="1108"/>
      <c r="Z6152" s="1114"/>
      <c r="AA6152" s="1114"/>
      <c r="AB6152" s="1114"/>
      <c r="AC6152" s="1117"/>
      <c r="AD6152" s="1115"/>
      <c r="AE6152" s="1115"/>
      <c r="AF6152" s="1115"/>
      <c r="AG6152" s="1115"/>
      <c r="AH6152" s="1115"/>
      <c r="AI6152" s="1115"/>
      <c r="AJ6152" s="1117"/>
      <c r="AK6152" s="1118"/>
      <c r="AL6152" s="1115"/>
      <c r="AM6152" s="1115"/>
      <c r="AN6152" s="1115"/>
      <c r="AO6152" s="1115"/>
      <c r="AP6152" s="1115"/>
      <c r="AQ6152" s="1115"/>
      <c r="AR6152" s="1115"/>
      <c r="AS6152" s="1117"/>
      <c r="AT6152" s="1075"/>
      <c r="AU6152" s="1193"/>
      <c r="AV6152" s="330"/>
      <c r="AW6152" s="331"/>
      <c r="AX6152" s="331"/>
      <c r="AY6152" s="331"/>
      <c r="AZ6152" s="331"/>
      <c r="BA6152" s="331"/>
      <c r="BB6152" s="331"/>
      <c r="BC6152" s="331"/>
      <c r="BD6152" s="331"/>
      <c r="BE6152" s="333"/>
      <c r="BF6152" s="330"/>
      <c r="BG6152" s="333"/>
      <c r="BH6152" s="1119"/>
      <c r="BI6152" s="319"/>
      <c r="BJ6152" s="319"/>
      <c r="BK6152" s="319"/>
      <c r="BL6152" s="319"/>
      <c r="BM6152" s="319"/>
      <c r="BN6152" s="319"/>
      <c r="BO6152" s="319"/>
      <c r="BP6152" s="953"/>
      <c r="BQ6152" s="319"/>
      <c r="BR6152" s="319"/>
      <c r="BS6152" s="330"/>
      <c r="BT6152" s="331"/>
      <c r="BU6152" s="920"/>
      <c r="BV6152" s="903"/>
      <c r="BW6152" s="908"/>
      <c r="BX6152" s="908"/>
      <c r="BY6152" s="331"/>
      <c r="BZ6152" s="331"/>
      <c r="CA6152" s="462"/>
      <c r="CB6152" s="319"/>
      <c r="CC6152" s="319"/>
      <c r="CD6152" s="319"/>
      <c r="CE6152" s="319"/>
      <c r="CF6152" s="319"/>
      <c r="CG6152" s="319"/>
      <c r="CH6152" s="318"/>
      <c r="CI6152" s="319"/>
      <c r="CJ6152" s="319"/>
      <c r="CK6152" s="342"/>
      <c r="CL6152" s="333"/>
      <c r="CM6152" s="1079"/>
      <c r="CN6152" s="1005"/>
      <c r="CO6152" s="1005"/>
      <c r="CP6152" s="1005"/>
    </row>
    <row r="6153">
      <c r="A6153" s="1257"/>
      <c r="B6153" s="1113"/>
      <c r="C6153" s="1107"/>
      <c r="D6153" s="103"/>
      <c r="E6153" s="1137"/>
      <c r="F6153" s="112"/>
      <c r="G6153" s="1110"/>
      <c r="H6153" s="1138"/>
      <c r="I6153" s="1138"/>
      <c r="J6153" s="1139"/>
      <c r="K6153" s="1111"/>
      <c r="L6153" s="1112"/>
      <c r="M6153" s="1113"/>
      <c r="N6153" s="110"/>
      <c r="O6153" s="1140"/>
      <c r="P6153" s="1115"/>
      <c r="Q6153" s="1116"/>
      <c r="R6153" s="1141"/>
      <c r="S6153" s="1113"/>
      <c r="T6153" s="1143"/>
      <c r="U6153" s="1108"/>
      <c r="V6153" s="1108"/>
      <c r="W6153" s="1108"/>
      <c r="X6153" s="1108"/>
      <c r="Y6153" s="1108"/>
      <c r="Z6153" s="1114"/>
      <c r="AA6153" s="1114"/>
      <c r="AB6153" s="1114"/>
      <c r="AC6153" s="1117"/>
      <c r="AD6153" s="1115"/>
      <c r="AE6153" s="1115"/>
      <c r="AF6153" s="1115"/>
      <c r="AG6153" s="1115"/>
      <c r="AH6153" s="1115"/>
      <c r="AI6153" s="1115"/>
      <c r="AJ6153" s="1117"/>
      <c r="AK6153" s="1118"/>
      <c r="AL6153" s="1115"/>
      <c r="AM6153" s="1115"/>
      <c r="AN6153" s="1115"/>
      <c r="AO6153" s="1115"/>
      <c r="AP6153" s="1115"/>
      <c r="AQ6153" s="1115"/>
      <c r="AR6153" s="1115"/>
      <c r="AS6153" s="1117"/>
      <c r="AT6153" s="1075"/>
      <c r="AU6153" s="1193"/>
      <c r="AV6153" s="330"/>
      <c r="AW6153" s="331"/>
      <c r="AX6153" s="331"/>
      <c r="AY6153" s="331"/>
      <c r="AZ6153" s="331"/>
      <c r="BA6153" s="331"/>
      <c r="BB6153" s="331"/>
      <c r="BC6153" s="331"/>
      <c r="BD6153" s="331"/>
      <c r="BE6153" s="333"/>
      <c r="BF6153" s="330"/>
      <c r="BG6153" s="333"/>
      <c r="BH6153" s="1119"/>
      <c r="BI6153" s="319"/>
      <c r="BJ6153" s="319"/>
      <c r="BK6153" s="319"/>
      <c r="BL6153" s="319"/>
      <c r="BM6153" s="319"/>
      <c r="BN6153" s="319"/>
      <c r="BO6153" s="319"/>
      <c r="BP6153" s="953"/>
      <c r="BQ6153" s="319"/>
      <c r="BR6153" s="319"/>
      <c r="BS6153" s="330"/>
      <c r="BT6153" s="331"/>
      <c r="BU6153" s="920"/>
      <c r="BV6153" s="903"/>
      <c r="BW6153" s="908"/>
      <c r="BX6153" s="908"/>
      <c r="BY6153" s="331"/>
      <c r="BZ6153" s="331"/>
      <c r="CA6153" s="462"/>
      <c r="CB6153" s="319"/>
      <c r="CC6153" s="319"/>
      <c r="CD6153" s="319"/>
      <c r="CE6153" s="319"/>
      <c r="CF6153" s="319"/>
      <c r="CG6153" s="319"/>
      <c r="CH6153" s="318"/>
      <c r="CI6153" s="319"/>
      <c r="CJ6153" s="319"/>
      <c r="CK6153" s="342"/>
      <c r="CL6153" s="333"/>
      <c r="CM6153" s="1079"/>
      <c r="CN6153" s="1005"/>
      <c r="CO6153" s="1005"/>
      <c r="CP6153" s="1005"/>
    </row>
    <row r="6154">
      <c r="A6154" s="1257"/>
      <c r="B6154" s="1113"/>
      <c r="C6154" s="1107"/>
      <c r="D6154" s="103"/>
      <c r="E6154" s="1137"/>
      <c r="F6154" s="112"/>
      <c r="G6154" s="1110"/>
      <c r="H6154" s="1138"/>
      <c r="I6154" s="1138"/>
      <c r="J6154" s="1139"/>
      <c r="K6154" s="1111"/>
      <c r="L6154" s="1112"/>
      <c r="M6154" s="1113"/>
      <c r="N6154" s="110"/>
      <c r="O6154" s="1140"/>
      <c r="P6154" s="1115"/>
      <c r="Q6154" s="1116"/>
      <c r="R6154" s="1141"/>
      <c r="S6154" s="1113"/>
      <c r="T6154" s="1143"/>
      <c r="U6154" s="1108"/>
      <c r="V6154" s="1108"/>
      <c r="W6154" s="1108"/>
      <c r="X6154" s="1108"/>
      <c r="Y6154" s="1108"/>
      <c r="Z6154" s="1114"/>
      <c r="AA6154" s="1114"/>
      <c r="AB6154" s="1114"/>
      <c r="AC6154" s="1117"/>
      <c r="AD6154" s="1115"/>
      <c r="AE6154" s="1115"/>
      <c r="AF6154" s="1115"/>
      <c r="AG6154" s="1115"/>
      <c r="AH6154" s="1115"/>
      <c r="AI6154" s="1115"/>
      <c r="AJ6154" s="1117"/>
      <c r="AK6154" s="1118"/>
      <c r="AL6154" s="1115"/>
      <c r="AM6154" s="1115"/>
      <c r="AN6154" s="1115"/>
      <c r="AO6154" s="1115"/>
      <c r="AP6154" s="1115"/>
      <c r="AQ6154" s="1115"/>
      <c r="AR6154" s="1115"/>
      <c r="AS6154" s="1117"/>
      <c r="AT6154" s="1075"/>
      <c r="AU6154" s="1193"/>
      <c r="AV6154" s="330"/>
      <c r="AW6154" s="331"/>
      <c r="AX6154" s="331"/>
      <c r="AY6154" s="331"/>
      <c r="AZ6154" s="331"/>
      <c r="BA6154" s="331"/>
      <c r="BB6154" s="331"/>
      <c r="BC6154" s="331"/>
      <c r="BD6154" s="331"/>
      <c r="BE6154" s="333"/>
      <c r="BF6154" s="330"/>
      <c r="BG6154" s="333"/>
      <c r="BH6154" s="1119"/>
      <c r="BI6154" s="319"/>
      <c r="BJ6154" s="319"/>
      <c r="BK6154" s="319"/>
      <c r="BL6154" s="319"/>
      <c r="BM6154" s="319"/>
      <c r="BN6154" s="319"/>
      <c r="BO6154" s="319"/>
      <c r="BP6154" s="953"/>
      <c r="BQ6154" s="319"/>
      <c r="BR6154" s="319"/>
      <c r="BS6154" s="330"/>
      <c r="BT6154" s="331"/>
      <c r="BU6154" s="920"/>
      <c r="BV6154" s="903"/>
      <c r="BW6154" s="908"/>
      <c r="BX6154" s="908"/>
      <c r="BY6154" s="331"/>
      <c r="BZ6154" s="331"/>
      <c r="CA6154" s="462"/>
      <c r="CB6154" s="319"/>
      <c r="CC6154" s="319"/>
      <c r="CD6154" s="319"/>
      <c r="CE6154" s="319"/>
      <c r="CF6154" s="319"/>
      <c r="CG6154" s="319"/>
      <c r="CH6154" s="318"/>
      <c r="CI6154" s="319"/>
      <c r="CJ6154" s="319"/>
      <c r="CK6154" s="342"/>
      <c r="CL6154" s="333"/>
      <c r="CM6154" s="1079"/>
      <c r="CN6154" s="1005"/>
      <c r="CO6154" s="1005"/>
      <c r="CP6154" s="1005"/>
    </row>
    <row r="6155">
      <c r="A6155" s="1257"/>
      <c r="B6155" s="1113"/>
      <c r="C6155" s="1107"/>
      <c r="D6155" s="103"/>
      <c r="E6155" s="1137"/>
      <c r="F6155" s="112"/>
      <c r="G6155" s="1110"/>
      <c r="H6155" s="1138"/>
      <c r="I6155" s="1138"/>
      <c r="J6155" s="1139"/>
      <c r="K6155" s="1111"/>
      <c r="L6155" s="1112"/>
      <c r="M6155" s="1113"/>
      <c r="N6155" s="110"/>
      <c r="O6155" s="1140"/>
      <c r="P6155" s="1115"/>
      <c r="Q6155" s="1116"/>
      <c r="R6155" s="1141"/>
      <c r="S6155" s="1113"/>
      <c r="T6155" s="1143"/>
      <c r="U6155" s="1108"/>
      <c r="V6155" s="1108"/>
      <c r="W6155" s="1108"/>
      <c r="X6155" s="1108"/>
      <c r="Y6155" s="1108"/>
      <c r="Z6155" s="1114"/>
      <c r="AA6155" s="1114"/>
      <c r="AB6155" s="1114"/>
      <c r="AC6155" s="1117"/>
      <c r="AD6155" s="1115"/>
      <c r="AE6155" s="1115"/>
      <c r="AF6155" s="1115"/>
      <c r="AG6155" s="1115"/>
      <c r="AH6155" s="1115"/>
      <c r="AI6155" s="1115"/>
      <c r="AJ6155" s="1117"/>
      <c r="AK6155" s="1118"/>
      <c r="AL6155" s="1115"/>
      <c r="AM6155" s="1115"/>
      <c r="AN6155" s="1115"/>
      <c r="AO6155" s="1115"/>
      <c r="AP6155" s="1115"/>
      <c r="AQ6155" s="1115"/>
      <c r="AR6155" s="1115"/>
      <c r="AS6155" s="1117"/>
      <c r="AT6155" s="1075"/>
      <c r="AU6155" s="1193"/>
      <c r="AV6155" s="330"/>
      <c r="AW6155" s="331"/>
      <c r="AX6155" s="331"/>
      <c r="AY6155" s="331"/>
      <c r="AZ6155" s="331"/>
      <c r="BA6155" s="331"/>
      <c r="BB6155" s="331"/>
      <c r="BC6155" s="331"/>
      <c r="BD6155" s="331"/>
      <c r="BE6155" s="333"/>
      <c r="BF6155" s="330"/>
      <c r="BG6155" s="333"/>
      <c r="BH6155" s="1119"/>
      <c r="BI6155" s="319"/>
      <c r="BJ6155" s="319"/>
      <c r="BK6155" s="319"/>
      <c r="BL6155" s="319"/>
      <c r="BM6155" s="319"/>
      <c r="BN6155" s="319"/>
      <c r="BO6155" s="319"/>
      <c r="BP6155" s="953"/>
      <c r="BQ6155" s="319"/>
      <c r="BR6155" s="319"/>
      <c r="BS6155" s="330"/>
      <c r="BT6155" s="331"/>
      <c r="BU6155" s="920"/>
      <c r="BV6155" s="903"/>
      <c r="BW6155" s="908"/>
      <c r="BX6155" s="908"/>
      <c r="BY6155" s="331"/>
      <c r="BZ6155" s="331"/>
      <c r="CA6155" s="462"/>
      <c r="CB6155" s="319"/>
      <c r="CC6155" s="319"/>
      <c r="CD6155" s="319"/>
      <c r="CE6155" s="319"/>
      <c r="CF6155" s="319"/>
      <c r="CG6155" s="319"/>
      <c r="CH6155" s="318"/>
      <c r="CI6155" s="319"/>
      <c r="CJ6155" s="319"/>
      <c r="CK6155" s="342"/>
      <c r="CL6155" s="333"/>
      <c r="CM6155" s="1079"/>
      <c r="CN6155" s="1005"/>
      <c r="CO6155" s="1005"/>
      <c r="CP6155" s="1005"/>
    </row>
    <row r="6156">
      <c r="A6156" s="1257"/>
      <c r="B6156" s="1113"/>
      <c r="C6156" s="1107"/>
      <c r="D6156" s="103"/>
      <c r="E6156" s="1137"/>
      <c r="F6156" s="112"/>
      <c r="G6156" s="1110"/>
      <c r="H6156" s="1138"/>
      <c r="I6156" s="1138"/>
      <c r="J6156" s="1139"/>
      <c r="K6156" s="1111"/>
      <c r="L6156" s="1112"/>
      <c r="M6156" s="1113"/>
      <c r="N6156" s="110"/>
      <c r="O6156" s="1140"/>
      <c r="P6156" s="1115"/>
      <c r="Q6156" s="1116"/>
      <c r="R6156" s="1141"/>
      <c r="S6156" s="1113"/>
      <c r="T6156" s="1143"/>
      <c r="U6156" s="1108"/>
      <c r="V6156" s="1108"/>
      <c r="W6156" s="1108"/>
      <c r="X6156" s="1108"/>
      <c r="Y6156" s="1108"/>
      <c r="Z6156" s="1114"/>
      <c r="AA6156" s="1114"/>
      <c r="AB6156" s="1114"/>
      <c r="AC6156" s="1117"/>
      <c r="AD6156" s="1115"/>
      <c r="AE6156" s="1115"/>
      <c r="AF6156" s="1115"/>
      <c r="AG6156" s="1115"/>
      <c r="AH6156" s="1115"/>
      <c r="AI6156" s="1115"/>
      <c r="AJ6156" s="1117"/>
      <c r="AK6156" s="1118"/>
      <c r="AL6156" s="1115"/>
      <c r="AM6156" s="1115"/>
      <c r="AN6156" s="1115"/>
      <c r="AO6156" s="1115"/>
      <c r="AP6156" s="1115"/>
      <c r="AQ6156" s="1115"/>
      <c r="AR6156" s="1115"/>
      <c r="AS6156" s="1117"/>
      <c r="AT6156" s="1075"/>
      <c r="AU6156" s="1193"/>
      <c r="AV6156" s="330"/>
      <c r="AW6156" s="331"/>
      <c r="AX6156" s="331"/>
      <c r="AY6156" s="331"/>
      <c r="AZ6156" s="331"/>
      <c r="BA6156" s="331"/>
      <c r="BB6156" s="331"/>
      <c r="BC6156" s="331"/>
      <c r="BD6156" s="331"/>
      <c r="BE6156" s="333"/>
      <c r="BF6156" s="330"/>
      <c r="BG6156" s="333"/>
      <c r="BH6156" s="1119"/>
      <c r="BI6156" s="319"/>
      <c r="BJ6156" s="319"/>
      <c r="BK6156" s="319"/>
      <c r="BL6156" s="319"/>
      <c r="BM6156" s="319"/>
      <c r="BN6156" s="319"/>
      <c r="BO6156" s="319"/>
      <c r="BP6156" s="953"/>
      <c r="BQ6156" s="319"/>
      <c r="BR6156" s="319"/>
      <c r="BS6156" s="330"/>
      <c r="BT6156" s="331"/>
      <c r="BU6156" s="920"/>
      <c r="BV6156" s="903"/>
      <c r="BW6156" s="908"/>
      <c r="BX6156" s="908"/>
      <c r="BY6156" s="331"/>
      <c r="BZ6156" s="331"/>
      <c r="CA6156" s="462"/>
      <c r="CB6156" s="319"/>
      <c r="CC6156" s="319"/>
      <c r="CD6156" s="319"/>
      <c r="CE6156" s="319"/>
      <c r="CF6156" s="319"/>
      <c r="CG6156" s="319"/>
      <c r="CH6156" s="318"/>
      <c r="CI6156" s="319"/>
      <c r="CJ6156" s="319"/>
      <c r="CK6156" s="342"/>
      <c r="CL6156" s="333"/>
      <c r="CM6156" s="1079"/>
      <c r="CN6156" s="1005"/>
      <c r="CO6156" s="1005"/>
      <c r="CP6156" s="1005"/>
    </row>
    <row r="6157">
      <c r="A6157" s="1257"/>
      <c r="B6157" s="1113"/>
      <c r="C6157" s="1107"/>
      <c r="D6157" s="103"/>
      <c r="E6157" s="1137"/>
      <c r="F6157" s="112"/>
      <c r="G6157" s="1110"/>
      <c r="H6157" s="1138"/>
      <c r="I6157" s="1138"/>
      <c r="J6157" s="1139"/>
      <c r="K6157" s="1111"/>
      <c r="L6157" s="1112"/>
      <c r="M6157" s="1113"/>
      <c r="N6157" s="110"/>
      <c r="O6157" s="1140"/>
      <c r="P6157" s="1115"/>
      <c r="Q6157" s="1116"/>
      <c r="R6157" s="1141"/>
      <c r="S6157" s="1113"/>
      <c r="T6157" s="1143"/>
      <c r="U6157" s="1108"/>
      <c r="V6157" s="1108"/>
      <c r="W6157" s="1108"/>
      <c r="X6157" s="1108"/>
      <c r="Y6157" s="1108"/>
      <c r="Z6157" s="1114"/>
      <c r="AA6157" s="1114"/>
      <c r="AB6157" s="1114"/>
      <c r="AC6157" s="1117"/>
      <c r="AD6157" s="1115"/>
      <c r="AE6157" s="1115"/>
      <c r="AF6157" s="1115"/>
      <c r="AG6157" s="1115"/>
      <c r="AH6157" s="1115"/>
      <c r="AI6157" s="1115"/>
      <c r="AJ6157" s="1117"/>
      <c r="AK6157" s="1118"/>
      <c r="AL6157" s="1115"/>
      <c r="AM6157" s="1115"/>
      <c r="AN6157" s="1115"/>
      <c r="AO6157" s="1115"/>
      <c r="AP6157" s="1115"/>
      <c r="AQ6157" s="1115"/>
      <c r="AR6157" s="1115"/>
      <c r="AS6157" s="1117"/>
      <c r="AT6157" s="1075"/>
      <c r="AU6157" s="1193"/>
      <c r="AV6157" s="330"/>
      <c r="AW6157" s="331"/>
      <c r="AX6157" s="331"/>
      <c r="AY6157" s="331"/>
      <c r="AZ6157" s="331"/>
      <c r="BA6157" s="331"/>
      <c r="BB6157" s="331"/>
      <c r="BC6157" s="331"/>
      <c r="BD6157" s="331"/>
      <c r="BE6157" s="333"/>
      <c r="BF6157" s="330"/>
      <c r="BG6157" s="333"/>
      <c r="BH6157" s="1119"/>
      <c r="BI6157" s="319"/>
      <c r="BJ6157" s="319"/>
      <c r="BK6157" s="319"/>
      <c r="BL6157" s="319"/>
      <c r="BM6157" s="319"/>
      <c r="BN6157" s="319"/>
      <c r="BO6157" s="319"/>
      <c r="BP6157" s="953"/>
      <c r="BQ6157" s="319"/>
      <c r="BR6157" s="319"/>
      <c r="BS6157" s="330"/>
      <c r="BT6157" s="331"/>
      <c r="BU6157" s="920"/>
      <c r="BV6157" s="903"/>
      <c r="BW6157" s="908"/>
      <c r="BX6157" s="908"/>
      <c r="BY6157" s="331"/>
      <c r="BZ6157" s="331"/>
      <c r="CA6157" s="462"/>
      <c r="CB6157" s="319"/>
      <c r="CC6157" s="319"/>
      <c r="CD6157" s="319"/>
      <c r="CE6157" s="319"/>
      <c r="CF6157" s="319"/>
      <c r="CG6157" s="319"/>
      <c r="CH6157" s="318"/>
      <c r="CI6157" s="319"/>
      <c r="CJ6157" s="319"/>
      <c r="CK6157" s="342"/>
      <c r="CL6157" s="333"/>
      <c r="CM6157" s="1079"/>
      <c r="CN6157" s="1005"/>
      <c r="CO6157" s="1005"/>
      <c r="CP6157" s="1005"/>
    </row>
    <row r="6158">
      <c r="A6158" s="1257"/>
      <c r="B6158" s="1113"/>
      <c r="C6158" s="1107"/>
      <c r="D6158" s="103"/>
      <c r="E6158" s="1137"/>
      <c r="F6158" s="112"/>
      <c r="G6158" s="1110"/>
      <c r="H6158" s="1138"/>
      <c r="I6158" s="1138"/>
      <c r="J6158" s="1139"/>
      <c r="K6158" s="1111"/>
      <c r="L6158" s="1112"/>
      <c r="M6158" s="1113"/>
      <c r="N6158" s="110"/>
      <c r="O6158" s="1140"/>
      <c r="P6158" s="1115"/>
      <c r="Q6158" s="1116"/>
      <c r="R6158" s="1141"/>
      <c r="S6158" s="1113"/>
      <c r="T6158" s="1143"/>
      <c r="U6158" s="1108"/>
      <c r="V6158" s="1108"/>
      <c r="W6158" s="1108"/>
      <c r="X6158" s="1108"/>
      <c r="Y6158" s="1108"/>
      <c r="Z6158" s="1114"/>
      <c r="AA6158" s="1114"/>
      <c r="AB6158" s="1114"/>
      <c r="AC6158" s="1117"/>
      <c r="AD6158" s="1115"/>
      <c r="AE6158" s="1115"/>
      <c r="AF6158" s="1115"/>
      <c r="AG6158" s="1115"/>
      <c r="AH6158" s="1115"/>
      <c r="AI6158" s="1115"/>
      <c r="AJ6158" s="1117"/>
      <c r="AK6158" s="1118"/>
      <c r="AL6158" s="1115"/>
      <c r="AM6158" s="1115"/>
      <c r="AN6158" s="1115"/>
      <c r="AO6158" s="1115"/>
      <c r="AP6158" s="1115"/>
      <c r="AQ6158" s="1115"/>
      <c r="AR6158" s="1115"/>
      <c r="AS6158" s="1117"/>
      <c r="AT6158" s="1075"/>
      <c r="AU6158" s="1193"/>
      <c r="AV6158" s="330"/>
      <c r="AW6158" s="331"/>
      <c r="AX6158" s="331"/>
      <c r="AY6158" s="331"/>
      <c r="AZ6158" s="331"/>
      <c r="BA6158" s="331"/>
      <c r="BB6158" s="331"/>
      <c r="BC6158" s="331"/>
      <c r="BD6158" s="331"/>
      <c r="BE6158" s="333"/>
      <c r="BF6158" s="330"/>
      <c r="BG6158" s="333"/>
      <c r="BH6158" s="1119"/>
      <c r="BI6158" s="319"/>
      <c r="BJ6158" s="319"/>
      <c r="BK6158" s="319"/>
      <c r="BL6158" s="319"/>
      <c r="BM6158" s="319"/>
      <c r="BN6158" s="319"/>
      <c r="BO6158" s="319"/>
      <c r="BP6158" s="953"/>
      <c r="BQ6158" s="319"/>
      <c r="BR6158" s="319"/>
      <c r="BS6158" s="330"/>
      <c r="BT6158" s="331"/>
      <c r="BU6158" s="920"/>
      <c r="BV6158" s="903"/>
      <c r="BW6158" s="908"/>
      <c r="BX6158" s="908"/>
      <c r="BY6158" s="331"/>
      <c r="BZ6158" s="331"/>
      <c r="CA6158" s="462"/>
      <c r="CB6158" s="319"/>
      <c r="CC6158" s="319"/>
      <c r="CD6158" s="319"/>
      <c r="CE6158" s="319"/>
      <c r="CF6158" s="319"/>
      <c r="CG6158" s="319"/>
      <c r="CH6158" s="318"/>
      <c r="CI6158" s="319"/>
      <c r="CJ6158" s="319"/>
      <c r="CK6158" s="342"/>
      <c r="CL6158" s="333"/>
      <c r="CM6158" s="1079"/>
      <c r="CN6158" s="1005"/>
      <c r="CO6158" s="1005"/>
      <c r="CP6158" s="1005"/>
    </row>
    <row r="6159">
      <c r="A6159" s="1257"/>
      <c r="B6159" s="1113"/>
      <c r="C6159" s="1107"/>
      <c r="D6159" s="103"/>
      <c r="E6159" s="1137"/>
      <c r="F6159" s="112"/>
      <c r="G6159" s="1110"/>
      <c r="H6159" s="1138"/>
      <c r="I6159" s="1138"/>
      <c r="J6159" s="1139"/>
      <c r="K6159" s="1111"/>
      <c r="L6159" s="1112"/>
      <c r="M6159" s="1113"/>
      <c r="N6159" s="110"/>
      <c r="O6159" s="1140"/>
      <c r="P6159" s="1115"/>
      <c r="Q6159" s="1116"/>
      <c r="R6159" s="1141"/>
      <c r="S6159" s="1113"/>
      <c r="T6159" s="1143"/>
      <c r="U6159" s="1108"/>
      <c r="V6159" s="1108"/>
      <c r="W6159" s="1108"/>
      <c r="X6159" s="1108"/>
      <c r="Y6159" s="1108"/>
      <c r="Z6159" s="1114"/>
      <c r="AA6159" s="1114"/>
      <c r="AB6159" s="1114"/>
      <c r="AC6159" s="1117"/>
      <c r="AD6159" s="1115"/>
      <c r="AE6159" s="1115"/>
      <c r="AF6159" s="1115"/>
      <c r="AG6159" s="1115"/>
      <c r="AH6159" s="1115"/>
      <c r="AI6159" s="1115"/>
      <c r="AJ6159" s="1117"/>
      <c r="AK6159" s="1118"/>
      <c r="AL6159" s="1115"/>
      <c r="AM6159" s="1115"/>
      <c r="AN6159" s="1115"/>
      <c r="AO6159" s="1115"/>
      <c r="AP6159" s="1115"/>
      <c r="AQ6159" s="1115"/>
      <c r="AR6159" s="1115"/>
      <c r="AS6159" s="1117"/>
      <c r="AT6159" s="1075"/>
      <c r="AU6159" s="1193"/>
      <c r="AV6159" s="330"/>
      <c r="AW6159" s="331"/>
      <c r="AX6159" s="331"/>
      <c r="AY6159" s="331"/>
      <c r="AZ6159" s="331"/>
      <c r="BA6159" s="331"/>
      <c r="BB6159" s="331"/>
      <c r="BC6159" s="331"/>
      <c r="BD6159" s="331"/>
      <c r="BE6159" s="333"/>
      <c r="BF6159" s="330"/>
      <c r="BG6159" s="333"/>
      <c r="BH6159" s="1119"/>
      <c r="BI6159" s="319"/>
      <c r="BJ6159" s="319"/>
      <c r="BK6159" s="319"/>
      <c r="BL6159" s="319"/>
      <c r="BM6159" s="319"/>
      <c r="BN6159" s="319"/>
      <c r="BO6159" s="319"/>
      <c r="BP6159" s="953"/>
      <c r="BQ6159" s="319"/>
      <c r="BR6159" s="319"/>
      <c r="BS6159" s="330"/>
      <c r="BT6159" s="331"/>
      <c r="BU6159" s="920"/>
      <c r="BV6159" s="903"/>
      <c r="BW6159" s="908"/>
      <c r="BX6159" s="908"/>
      <c r="BY6159" s="331"/>
      <c r="BZ6159" s="331"/>
      <c r="CA6159" s="462"/>
      <c r="CB6159" s="319"/>
      <c r="CC6159" s="319"/>
      <c r="CD6159" s="319"/>
      <c r="CE6159" s="319"/>
      <c r="CF6159" s="319"/>
      <c r="CG6159" s="319"/>
      <c r="CH6159" s="318"/>
      <c r="CI6159" s="319"/>
      <c r="CJ6159" s="319"/>
      <c r="CK6159" s="342"/>
      <c r="CL6159" s="333"/>
      <c r="CM6159" s="1079"/>
      <c r="CN6159" s="1005"/>
      <c r="CO6159" s="1005"/>
      <c r="CP6159" s="1005"/>
    </row>
    <row r="6160">
      <c r="A6160" s="1257"/>
      <c r="B6160" s="1113"/>
      <c r="C6160" s="1107"/>
      <c r="D6160" s="103"/>
      <c r="E6160" s="1137"/>
      <c r="F6160" s="112"/>
      <c r="G6160" s="1110"/>
      <c r="H6160" s="1138"/>
      <c r="I6160" s="1138"/>
      <c r="J6160" s="1139"/>
      <c r="K6160" s="1111"/>
      <c r="L6160" s="1112"/>
      <c r="M6160" s="1113"/>
      <c r="N6160" s="110"/>
      <c r="O6160" s="1140"/>
      <c r="P6160" s="1115"/>
      <c r="Q6160" s="1116"/>
      <c r="R6160" s="1141"/>
      <c r="S6160" s="1113"/>
      <c r="T6160" s="1143"/>
      <c r="U6160" s="1108"/>
      <c r="V6160" s="1108"/>
      <c r="W6160" s="1108"/>
      <c r="X6160" s="1108"/>
      <c r="Y6160" s="1108"/>
      <c r="Z6160" s="1114"/>
      <c r="AA6160" s="1114"/>
      <c r="AB6160" s="1114"/>
      <c r="AC6160" s="1117"/>
      <c r="AD6160" s="1115"/>
      <c r="AE6160" s="1115"/>
      <c r="AF6160" s="1115"/>
      <c r="AG6160" s="1115"/>
      <c r="AH6160" s="1115"/>
      <c r="AI6160" s="1115"/>
      <c r="AJ6160" s="1117"/>
      <c r="AK6160" s="1118"/>
      <c r="AL6160" s="1115"/>
      <c r="AM6160" s="1115"/>
      <c r="AN6160" s="1115"/>
      <c r="AO6160" s="1115"/>
      <c r="AP6160" s="1115"/>
      <c r="AQ6160" s="1115"/>
      <c r="AR6160" s="1115"/>
      <c r="AS6160" s="1117"/>
      <c r="AT6160" s="1075"/>
      <c r="AU6160" s="1193"/>
      <c r="AV6160" s="330"/>
      <c r="AW6160" s="331"/>
      <c r="AX6160" s="331"/>
      <c r="AY6160" s="331"/>
      <c r="AZ6160" s="331"/>
      <c r="BA6160" s="331"/>
      <c r="BB6160" s="331"/>
      <c r="BC6160" s="331"/>
      <c r="BD6160" s="331"/>
      <c r="BE6160" s="333"/>
      <c r="BF6160" s="330"/>
      <c r="BG6160" s="333"/>
      <c r="BH6160" s="1119"/>
      <c r="BI6160" s="319"/>
      <c r="BJ6160" s="319"/>
      <c r="BK6160" s="319"/>
      <c r="BL6160" s="319"/>
      <c r="BM6160" s="319"/>
      <c r="BN6160" s="319"/>
      <c r="BO6160" s="319"/>
      <c r="BP6160" s="953"/>
      <c r="BQ6160" s="319"/>
      <c r="BR6160" s="319"/>
      <c r="BS6160" s="330"/>
      <c r="BT6160" s="331"/>
      <c r="BU6160" s="920"/>
      <c r="BV6160" s="903"/>
      <c r="BW6160" s="908"/>
      <c r="BX6160" s="908"/>
      <c r="BY6160" s="331"/>
      <c r="BZ6160" s="331"/>
      <c r="CA6160" s="462"/>
      <c r="CB6160" s="319"/>
      <c r="CC6160" s="319"/>
      <c r="CD6160" s="319"/>
      <c r="CE6160" s="319"/>
      <c r="CF6160" s="319"/>
      <c r="CG6160" s="319"/>
      <c r="CH6160" s="318"/>
      <c r="CI6160" s="319"/>
      <c r="CJ6160" s="319"/>
      <c r="CK6160" s="342"/>
      <c r="CL6160" s="333"/>
      <c r="CM6160" s="1079"/>
      <c r="CN6160" s="1005"/>
      <c r="CO6160" s="1005"/>
      <c r="CP6160" s="1005"/>
    </row>
    <row r="6161">
      <c r="A6161" s="1257"/>
      <c r="B6161" s="1113"/>
      <c r="C6161" s="1107"/>
      <c r="D6161" s="103"/>
      <c r="E6161" s="1137"/>
      <c r="F6161" s="112"/>
      <c r="G6161" s="1110"/>
      <c r="H6161" s="1138"/>
      <c r="I6161" s="1138"/>
      <c r="J6161" s="1139"/>
      <c r="K6161" s="1111"/>
      <c r="L6161" s="1112"/>
      <c r="M6161" s="1113"/>
      <c r="N6161" s="110"/>
      <c r="O6161" s="1140"/>
      <c r="P6161" s="1115"/>
      <c r="Q6161" s="1116"/>
      <c r="R6161" s="1141"/>
      <c r="S6161" s="1113"/>
      <c r="T6161" s="1143"/>
      <c r="U6161" s="1108"/>
      <c r="V6161" s="1108"/>
      <c r="W6161" s="1108"/>
      <c r="X6161" s="1108"/>
      <c r="Y6161" s="1108"/>
      <c r="Z6161" s="1114"/>
      <c r="AA6161" s="1114"/>
      <c r="AB6161" s="1114"/>
      <c r="AC6161" s="1117"/>
      <c r="AD6161" s="1115"/>
      <c r="AE6161" s="1115"/>
      <c r="AF6161" s="1115"/>
      <c r="AG6161" s="1115"/>
      <c r="AH6161" s="1115"/>
      <c r="AI6161" s="1115"/>
      <c r="AJ6161" s="1117"/>
      <c r="AK6161" s="1118"/>
      <c r="AL6161" s="1115"/>
      <c r="AM6161" s="1115"/>
      <c r="AN6161" s="1115"/>
      <c r="AO6161" s="1115"/>
      <c r="AP6161" s="1115"/>
      <c r="AQ6161" s="1115"/>
      <c r="AR6161" s="1115"/>
      <c r="AS6161" s="1117"/>
      <c r="AT6161" s="1075"/>
      <c r="AU6161" s="1193"/>
      <c r="AV6161" s="330"/>
      <c r="AW6161" s="331"/>
      <c r="AX6161" s="331"/>
      <c r="AY6161" s="331"/>
      <c r="AZ6161" s="331"/>
      <c r="BA6161" s="331"/>
      <c r="BB6161" s="331"/>
      <c r="BC6161" s="331"/>
      <c r="BD6161" s="331"/>
      <c r="BE6161" s="333"/>
      <c r="BF6161" s="330"/>
      <c r="BG6161" s="333"/>
      <c r="BH6161" s="1119"/>
      <c r="BI6161" s="319"/>
      <c r="BJ6161" s="319"/>
      <c r="BK6161" s="319"/>
      <c r="BL6161" s="319"/>
      <c r="BM6161" s="319"/>
      <c r="BN6161" s="319"/>
      <c r="BO6161" s="319"/>
      <c r="BP6161" s="953"/>
      <c r="BQ6161" s="319"/>
      <c r="BR6161" s="319"/>
      <c r="BS6161" s="330"/>
      <c r="BT6161" s="331"/>
      <c r="BU6161" s="920"/>
      <c r="BV6161" s="903"/>
      <c r="BW6161" s="908"/>
      <c r="BX6161" s="908"/>
      <c r="BY6161" s="331"/>
      <c r="BZ6161" s="331"/>
      <c r="CA6161" s="462"/>
      <c r="CB6161" s="319"/>
      <c r="CC6161" s="319"/>
      <c r="CD6161" s="319"/>
      <c r="CE6161" s="319"/>
      <c r="CF6161" s="319"/>
      <c r="CG6161" s="319"/>
      <c r="CH6161" s="318"/>
      <c r="CI6161" s="319"/>
      <c r="CJ6161" s="319"/>
      <c r="CK6161" s="342"/>
      <c r="CL6161" s="333"/>
      <c r="CM6161" s="1079"/>
      <c r="CN6161" s="1005"/>
      <c r="CO6161" s="1005"/>
      <c r="CP6161" s="1005"/>
    </row>
    <row r="6162">
      <c r="A6162" s="1257"/>
      <c r="B6162" s="1113"/>
      <c r="C6162" s="1107"/>
      <c r="D6162" s="103"/>
      <c r="E6162" s="1137"/>
      <c r="F6162" s="112"/>
      <c r="G6162" s="1110"/>
      <c r="H6162" s="1138"/>
      <c r="I6162" s="1138"/>
      <c r="J6162" s="1139"/>
      <c r="K6162" s="1111"/>
      <c r="L6162" s="1112"/>
      <c r="M6162" s="1113"/>
      <c r="N6162" s="110"/>
      <c r="O6162" s="1140"/>
      <c r="P6162" s="1115"/>
      <c r="Q6162" s="1116"/>
      <c r="R6162" s="1141"/>
      <c r="S6162" s="1113"/>
      <c r="T6162" s="1143"/>
      <c r="U6162" s="1108"/>
      <c r="V6162" s="1108"/>
      <c r="W6162" s="1108"/>
      <c r="X6162" s="1108"/>
      <c r="Y6162" s="1108"/>
      <c r="Z6162" s="1114"/>
      <c r="AA6162" s="1114"/>
      <c r="AB6162" s="1114"/>
      <c r="AC6162" s="1117"/>
      <c r="AD6162" s="1115"/>
      <c r="AE6162" s="1115"/>
      <c r="AF6162" s="1115"/>
      <c r="AG6162" s="1115"/>
      <c r="AH6162" s="1115"/>
      <c r="AI6162" s="1115"/>
      <c r="AJ6162" s="1117"/>
      <c r="AK6162" s="1118"/>
      <c r="AL6162" s="1115"/>
      <c r="AM6162" s="1115"/>
      <c r="AN6162" s="1115"/>
      <c r="AO6162" s="1115"/>
      <c r="AP6162" s="1115"/>
      <c r="AQ6162" s="1115"/>
      <c r="AR6162" s="1115"/>
      <c r="AS6162" s="1117"/>
      <c r="AT6162" s="1075"/>
      <c r="AU6162" s="1193"/>
      <c r="AV6162" s="330"/>
      <c r="AW6162" s="331"/>
      <c r="AX6162" s="331"/>
      <c r="AY6162" s="331"/>
      <c r="AZ6162" s="331"/>
      <c r="BA6162" s="331"/>
      <c r="BB6162" s="331"/>
      <c r="BC6162" s="331"/>
      <c r="BD6162" s="331"/>
      <c r="BE6162" s="333"/>
      <c r="BF6162" s="330"/>
      <c r="BG6162" s="333"/>
      <c r="BH6162" s="1119"/>
      <c r="BI6162" s="319"/>
      <c r="BJ6162" s="319"/>
      <c r="BK6162" s="319"/>
      <c r="BL6162" s="319"/>
      <c r="BM6162" s="319"/>
      <c r="BN6162" s="319"/>
      <c r="BO6162" s="319"/>
      <c r="BP6162" s="953"/>
      <c r="BQ6162" s="319"/>
      <c r="BR6162" s="319"/>
      <c r="BS6162" s="330"/>
      <c r="BT6162" s="331"/>
      <c r="BU6162" s="920"/>
      <c r="BV6162" s="903"/>
      <c r="BW6162" s="908"/>
      <c r="BX6162" s="908"/>
      <c r="BY6162" s="331"/>
      <c r="BZ6162" s="331"/>
      <c r="CA6162" s="462"/>
      <c r="CB6162" s="319"/>
      <c r="CC6162" s="319"/>
      <c r="CD6162" s="319"/>
      <c r="CE6162" s="319"/>
      <c r="CF6162" s="319"/>
      <c r="CG6162" s="319"/>
      <c r="CH6162" s="318"/>
      <c r="CI6162" s="319"/>
      <c r="CJ6162" s="319"/>
      <c r="CK6162" s="342"/>
      <c r="CL6162" s="333"/>
      <c r="CM6162" s="1079"/>
      <c r="CN6162" s="1005"/>
      <c r="CO6162" s="1005"/>
      <c r="CP6162" s="1005"/>
    </row>
    <row r="6163">
      <c r="A6163" s="1257"/>
      <c r="B6163" s="1113"/>
      <c r="C6163" s="1107"/>
      <c r="D6163" s="103"/>
      <c r="E6163" s="1137"/>
      <c r="F6163" s="112"/>
      <c r="G6163" s="1110"/>
      <c r="H6163" s="1138"/>
      <c r="I6163" s="1138"/>
      <c r="J6163" s="1139"/>
      <c r="K6163" s="1111"/>
      <c r="L6163" s="1112"/>
      <c r="M6163" s="1113"/>
      <c r="N6163" s="110"/>
      <c r="O6163" s="1140"/>
      <c r="P6163" s="1115"/>
      <c r="Q6163" s="1116"/>
      <c r="R6163" s="1141"/>
      <c r="S6163" s="1113"/>
      <c r="T6163" s="1143"/>
      <c r="U6163" s="1108"/>
      <c r="V6163" s="1108"/>
      <c r="W6163" s="1108"/>
      <c r="X6163" s="1108"/>
      <c r="Y6163" s="1108"/>
      <c r="Z6163" s="1114"/>
      <c r="AA6163" s="1114"/>
      <c r="AB6163" s="1114"/>
      <c r="AC6163" s="1117"/>
      <c r="AD6163" s="1115"/>
      <c r="AE6163" s="1115"/>
      <c r="AF6163" s="1115"/>
      <c r="AG6163" s="1115"/>
      <c r="AH6163" s="1115"/>
      <c r="AI6163" s="1115"/>
      <c r="AJ6163" s="1117"/>
      <c r="AK6163" s="1118"/>
      <c r="AL6163" s="1115"/>
      <c r="AM6163" s="1115"/>
      <c r="AN6163" s="1115"/>
      <c r="AO6163" s="1115"/>
      <c r="AP6163" s="1115"/>
      <c r="AQ6163" s="1115"/>
      <c r="AR6163" s="1115"/>
      <c r="AS6163" s="1117"/>
      <c r="AT6163" s="1075"/>
      <c r="AU6163" s="1193"/>
      <c r="AV6163" s="330"/>
      <c r="AW6163" s="331"/>
      <c r="AX6163" s="331"/>
      <c r="AY6163" s="331"/>
      <c r="AZ6163" s="331"/>
      <c r="BA6163" s="331"/>
      <c r="BB6163" s="331"/>
      <c r="BC6163" s="331"/>
      <c r="BD6163" s="331"/>
      <c r="BE6163" s="333"/>
      <c r="BF6163" s="330"/>
      <c r="BG6163" s="333"/>
      <c r="BH6163" s="1119"/>
      <c r="BI6163" s="319"/>
      <c r="BJ6163" s="319"/>
      <c r="BK6163" s="319"/>
      <c r="BL6163" s="319"/>
      <c r="BM6163" s="319"/>
      <c r="BN6163" s="319"/>
      <c r="BO6163" s="319"/>
      <c r="BP6163" s="953"/>
      <c r="BQ6163" s="319"/>
      <c r="BR6163" s="319"/>
      <c r="BS6163" s="330"/>
      <c r="BT6163" s="331"/>
      <c r="BU6163" s="920"/>
      <c r="BV6163" s="903"/>
      <c r="BW6163" s="908"/>
      <c r="BX6163" s="908"/>
      <c r="BY6163" s="331"/>
      <c r="BZ6163" s="331"/>
      <c r="CA6163" s="462"/>
      <c r="CB6163" s="319"/>
      <c r="CC6163" s="319"/>
      <c r="CD6163" s="319"/>
      <c r="CE6163" s="319"/>
      <c r="CF6163" s="319"/>
      <c r="CG6163" s="319"/>
      <c r="CH6163" s="318"/>
      <c r="CI6163" s="319"/>
      <c r="CJ6163" s="319"/>
      <c r="CK6163" s="342"/>
      <c r="CL6163" s="333"/>
      <c r="CM6163" s="1079"/>
      <c r="CN6163" s="1005"/>
      <c r="CO6163" s="1005"/>
      <c r="CP6163" s="1005"/>
    </row>
    <row r="6164">
      <c r="A6164" s="1257"/>
      <c r="B6164" s="1113"/>
      <c r="C6164" s="1107"/>
      <c r="D6164" s="103"/>
      <c r="E6164" s="1137"/>
      <c r="F6164" s="112"/>
      <c r="G6164" s="1110"/>
      <c r="H6164" s="1138"/>
      <c r="I6164" s="1138"/>
      <c r="J6164" s="1139"/>
      <c r="K6164" s="1111"/>
      <c r="L6164" s="1112"/>
      <c r="M6164" s="1113"/>
      <c r="N6164" s="110"/>
      <c r="O6164" s="1140"/>
      <c r="P6164" s="1115"/>
      <c r="Q6164" s="1116"/>
      <c r="R6164" s="1141"/>
      <c r="S6164" s="1113"/>
      <c r="T6164" s="1143"/>
      <c r="U6164" s="1108"/>
      <c r="V6164" s="1108"/>
      <c r="W6164" s="1108"/>
      <c r="X6164" s="1108"/>
      <c r="Y6164" s="1108"/>
      <c r="Z6164" s="1114"/>
      <c r="AA6164" s="1114"/>
      <c r="AB6164" s="1114"/>
      <c r="AC6164" s="1117"/>
      <c r="AD6164" s="1115"/>
      <c r="AE6164" s="1115"/>
      <c r="AF6164" s="1115"/>
      <c r="AG6164" s="1115"/>
      <c r="AH6164" s="1115"/>
      <c r="AI6164" s="1115"/>
      <c r="AJ6164" s="1117"/>
      <c r="AK6164" s="1118"/>
      <c r="AL6164" s="1115"/>
      <c r="AM6164" s="1115"/>
      <c r="AN6164" s="1115"/>
      <c r="AO6164" s="1115"/>
      <c r="AP6164" s="1115"/>
      <c r="AQ6164" s="1115"/>
      <c r="AR6164" s="1115"/>
      <c r="AS6164" s="1117"/>
      <c r="AT6164" s="1075"/>
      <c r="AU6164" s="1193"/>
      <c r="AV6164" s="330"/>
      <c r="AW6164" s="331"/>
      <c r="AX6164" s="331"/>
      <c r="AY6164" s="331"/>
      <c r="AZ6164" s="331"/>
      <c r="BA6164" s="331"/>
      <c r="BB6164" s="331"/>
      <c r="BC6164" s="331"/>
      <c r="BD6164" s="331"/>
      <c r="BE6164" s="333"/>
      <c r="BF6164" s="330"/>
      <c r="BG6164" s="333"/>
      <c r="BH6164" s="1119"/>
      <c r="BI6164" s="319"/>
      <c r="BJ6164" s="319"/>
      <c r="BK6164" s="319"/>
      <c r="BL6164" s="319"/>
      <c r="BM6164" s="319"/>
      <c r="BN6164" s="319"/>
      <c r="BO6164" s="319"/>
      <c r="BP6164" s="953"/>
      <c r="BQ6164" s="319"/>
      <c r="BR6164" s="319"/>
      <c r="BS6164" s="330"/>
      <c r="BT6164" s="331"/>
      <c r="BU6164" s="920"/>
      <c r="BV6164" s="903"/>
      <c r="BW6164" s="908"/>
      <c r="BX6164" s="908"/>
      <c r="BY6164" s="331"/>
      <c r="BZ6164" s="331"/>
      <c r="CA6164" s="462"/>
      <c r="CB6164" s="319"/>
      <c r="CC6164" s="319"/>
      <c r="CD6164" s="319"/>
      <c r="CE6164" s="319"/>
      <c r="CF6164" s="319"/>
      <c r="CG6164" s="319"/>
      <c r="CH6164" s="318"/>
      <c r="CI6164" s="319"/>
      <c r="CJ6164" s="319"/>
      <c r="CK6164" s="342"/>
      <c r="CL6164" s="333"/>
      <c r="CM6164" s="1079"/>
      <c r="CN6164" s="1005"/>
      <c r="CO6164" s="1005"/>
      <c r="CP6164" s="1005"/>
    </row>
    <row r="6165">
      <c r="A6165" s="1257"/>
      <c r="B6165" s="1113"/>
      <c r="C6165" s="1107"/>
      <c r="D6165" s="103"/>
      <c r="E6165" s="1137"/>
      <c r="F6165" s="112"/>
      <c r="G6165" s="1110"/>
      <c r="H6165" s="1138"/>
      <c r="I6165" s="1138"/>
      <c r="J6165" s="1139"/>
      <c r="K6165" s="1111"/>
      <c r="L6165" s="1112"/>
      <c r="M6165" s="1113"/>
      <c r="N6165" s="110"/>
      <c r="O6165" s="1140"/>
      <c r="P6165" s="1115"/>
      <c r="Q6165" s="1116"/>
      <c r="R6165" s="1141"/>
      <c r="S6165" s="1113"/>
      <c r="T6165" s="1143"/>
      <c r="U6165" s="1108"/>
      <c r="V6165" s="1108"/>
      <c r="W6165" s="1108"/>
      <c r="X6165" s="1108"/>
      <c r="Y6165" s="1108"/>
      <c r="Z6165" s="1114"/>
      <c r="AA6165" s="1114"/>
      <c r="AB6165" s="1114"/>
      <c r="AC6165" s="1117"/>
      <c r="AD6165" s="1115"/>
      <c r="AE6165" s="1115"/>
      <c r="AF6165" s="1115"/>
      <c r="AG6165" s="1115"/>
      <c r="AH6165" s="1115"/>
      <c r="AI6165" s="1115"/>
      <c r="AJ6165" s="1117"/>
      <c r="AK6165" s="1118"/>
      <c r="AL6165" s="1115"/>
      <c r="AM6165" s="1115"/>
      <c r="AN6165" s="1115"/>
      <c r="AO6165" s="1115"/>
      <c r="AP6165" s="1115"/>
      <c r="AQ6165" s="1115"/>
      <c r="AR6165" s="1115"/>
      <c r="AS6165" s="1117"/>
      <c r="AT6165" s="1075"/>
      <c r="AU6165" s="1193"/>
      <c r="AV6165" s="330"/>
      <c r="AW6165" s="331"/>
      <c r="AX6165" s="331"/>
      <c r="AY6165" s="331"/>
      <c r="AZ6165" s="331"/>
      <c r="BA6165" s="331"/>
      <c r="BB6165" s="331"/>
      <c r="BC6165" s="331"/>
      <c r="BD6165" s="331"/>
      <c r="BE6165" s="333"/>
      <c r="BF6165" s="330"/>
      <c r="BG6165" s="333"/>
      <c r="BH6165" s="1119"/>
      <c r="BI6165" s="319"/>
      <c r="BJ6165" s="319"/>
      <c r="BK6165" s="319"/>
      <c r="BL6165" s="319"/>
      <c r="BM6165" s="319"/>
      <c r="BN6165" s="319"/>
      <c r="BO6165" s="319"/>
      <c r="BP6165" s="953"/>
      <c r="BQ6165" s="319"/>
      <c r="BR6165" s="319"/>
      <c r="BS6165" s="330"/>
      <c r="BT6165" s="331"/>
      <c r="BU6165" s="920"/>
      <c r="BV6165" s="903"/>
      <c r="BW6165" s="908"/>
      <c r="BX6165" s="908"/>
      <c r="BY6165" s="331"/>
      <c r="BZ6165" s="331"/>
      <c r="CA6165" s="462"/>
      <c r="CB6165" s="319"/>
      <c r="CC6165" s="319"/>
      <c r="CD6165" s="319"/>
      <c r="CE6165" s="319"/>
      <c r="CF6165" s="319"/>
      <c r="CG6165" s="319"/>
      <c r="CH6165" s="318"/>
      <c r="CI6165" s="319"/>
      <c r="CJ6165" s="319"/>
      <c r="CK6165" s="342"/>
      <c r="CL6165" s="333"/>
      <c r="CM6165" s="1079"/>
      <c r="CN6165" s="1005"/>
      <c r="CO6165" s="1005"/>
      <c r="CP6165" s="1005"/>
    </row>
    <row r="6166">
      <c r="A6166" s="1257"/>
      <c r="B6166" s="1113"/>
      <c r="C6166" s="1107"/>
      <c r="D6166" s="103"/>
      <c r="E6166" s="1137"/>
      <c r="F6166" s="112"/>
      <c r="G6166" s="1110"/>
      <c r="H6166" s="1138"/>
      <c r="I6166" s="1138"/>
      <c r="J6166" s="1139"/>
      <c r="K6166" s="1111"/>
      <c r="L6166" s="1112"/>
      <c r="M6166" s="1113"/>
      <c r="N6166" s="110"/>
      <c r="O6166" s="1140"/>
      <c r="P6166" s="1115"/>
      <c r="Q6166" s="1116"/>
      <c r="R6166" s="1141"/>
      <c r="S6166" s="1113"/>
      <c r="T6166" s="1143"/>
      <c r="U6166" s="1108"/>
      <c r="V6166" s="1108"/>
      <c r="W6166" s="1108"/>
      <c r="X6166" s="1108"/>
      <c r="Y6166" s="1108"/>
      <c r="Z6166" s="1114"/>
      <c r="AA6166" s="1114"/>
      <c r="AB6166" s="1114"/>
      <c r="AC6166" s="1117"/>
      <c r="AD6166" s="1115"/>
      <c r="AE6166" s="1115"/>
      <c r="AF6166" s="1115"/>
      <c r="AG6166" s="1115"/>
      <c r="AH6166" s="1115"/>
      <c r="AI6166" s="1115"/>
      <c r="AJ6166" s="1117"/>
      <c r="AK6166" s="1118"/>
      <c r="AL6166" s="1115"/>
      <c r="AM6166" s="1115"/>
      <c r="AN6166" s="1115"/>
      <c r="AO6166" s="1115"/>
      <c r="AP6166" s="1115"/>
      <c r="AQ6166" s="1115"/>
      <c r="AR6166" s="1115"/>
      <c r="AS6166" s="1117"/>
      <c r="AT6166" s="1075"/>
      <c r="AU6166" s="1193"/>
      <c r="AV6166" s="330"/>
      <c r="AW6166" s="331"/>
      <c r="AX6166" s="331"/>
      <c r="AY6166" s="331"/>
      <c r="AZ6166" s="331"/>
      <c r="BA6166" s="331"/>
      <c r="BB6166" s="331"/>
      <c r="BC6166" s="331"/>
      <c r="BD6166" s="331"/>
      <c r="BE6166" s="333"/>
      <c r="BF6166" s="330"/>
      <c r="BG6166" s="333"/>
      <c r="BH6166" s="1119"/>
      <c r="BI6166" s="319"/>
      <c r="BJ6166" s="319"/>
      <c r="BK6166" s="319"/>
      <c r="BL6166" s="319"/>
      <c r="BM6166" s="319"/>
      <c r="BN6166" s="319"/>
      <c r="BO6166" s="319"/>
      <c r="BP6166" s="953"/>
      <c r="BQ6166" s="319"/>
      <c r="BR6166" s="319"/>
      <c r="BS6166" s="330"/>
      <c r="BT6166" s="331"/>
      <c r="BU6166" s="920"/>
      <c r="BV6166" s="903"/>
      <c r="BW6166" s="908"/>
      <c r="BX6166" s="908"/>
      <c r="BY6166" s="331"/>
      <c r="BZ6166" s="331"/>
      <c r="CA6166" s="462"/>
      <c r="CB6166" s="319"/>
      <c r="CC6166" s="319"/>
      <c r="CD6166" s="319"/>
      <c r="CE6166" s="319"/>
      <c r="CF6166" s="319"/>
      <c r="CG6166" s="319"/>
      <c r="CH6166" s="318"/>
      <c r="CI6166" s="319"/>
      <c r="CJ6166" s="319"/>
      <c r="CK6166" s="342"/>
      <c r="CL6166" s="333"/>
      <c r="CM6166" s="1079"/>
      <c r="CN6166" s="1005"/>
      <c r="CO6166" s="1005"/>
      <c r="CP6166" s="1005"/>
    </row>
    <row r="6167">
      <c r="A6167" s="1257"/>
      <c r="B6167" s="1113"/>
      <c r="C6167" s="1107"/>
      <c r="D6167" s="103"/>
      <c r="E6167" s="1137"/>
      <c r="F6167" s="112"/>
      <c r="G6167" s="1110"/>
      <c r="H6167" s="1138"/>
      <c r="I6167" s="1138"/>
      <c r="J6167" s="1139"/>
      <c r="K6167" s="1111"/>
      <c r="L6167" s="1112"/>
      <c r="M6167" s="1113"/>
      <c r="N6167" s="110"/>
      <c r="O6167" s="1140"/>
      <c r="P6167" s="1115"/>
      <c r="Q6167" s="1116"/>
      <c r="R6167" s="1141"/>
      <c r="S6167" s="1113"/>
      <c r="T6167" s="1143"/>
      <c r="U6167" s="1108"/>
      <c r="V6167" s="1108"/>
      <c r="W6167" s="1108"/>
      <c r="X6167" s="1108"/>
      <c r="Y6167" s="1108"/>
      <c r="Z6167" s="1114"/>
      <c r="AA6167" s="1114"/>
      <c r="AB6167" s="1114"/>
      <c r="AC6167" s="1117"/>
      <c r="AD6167" s="1115"/>
      <c r="AE6167" s="1115"/>
      <c r="AF6167" s="1115"/>
      <c r="AG6167" s="1115"/>
      <c r="AH6167" s="1115"/>
      <c r="AI6167" s="1115"/>
      <c r="AJ6167" s="1117"/>
      <c r="AK6167" s="1118"/>
      <c r="AL6167" s="1115"/>
      <c r="AM6167" s="1115"/>
      <c r="AN6167" s="1115"/>
      <c r="AO6167" s="1115"/>
      <c r="AP6167" s="1115"/>
      <c r="AQ6167" s="1115"/>
      <c r="AR6167" s="1115"/>
      <c r="AS6167" s="1117"/>
      <c r="AT6167" s="1075"/>
      <c r="AU6167" s="1193"/>
      <c r="AV6167" s="330"/>
      <c r="AW6167" s="331"/>
      <c r="AX6167" s="331"/>
      <c r="AY6167" s="331"/>
      <c r="AZ6167" s="331"/>
      <c r="BA6167" s="331"/>
      <c r="BB6167" s="331"/>
      <c r="BC6167" s="331"/>
      <c r="BD6167" s="331"/>
      <c r="BE6167" s="333"/>
      <c r="BF6167" s="330"/>
      <c r="BG6167" s="333"/>
      <c r="BH6167" s="1119"/>
      <c r="BI6167" s="319"/>
      <c r="BJ6167" s="319"/>
      <c r="BK6167" s="319"/>
      <c r="BL6167" s="319"/>
      <c r="BM6167" s="319"/>
      <c r="BN6167" s="319"/>
      <c r="BO6167" s="319"/>
      <c r="BP6167" s="953"/>
      <c r="BQ6167" s="319"/>
      <c r="BR6167" s="319"/>
      <c r="BS6167" s="330"/>
      <c r="BT6167" s="331"/>
      <c r="BU6167" s="920"/>
      <c r="BV6167" s="903"/>
      <c r="BW6167" s="908"/>
      <c r="BX6167" s="908"/>
      <c r="BY6167" s="331"/>
      <c r="BZ6167" s="331"/>
      <c r="CA6167" s="462"/>
      <c r="CB6167" s="319"/>
      <c r="CC6167" s="319"/>
      <c r="CD6167" s="319"/>
      <c r="CE6167" s="319"/>
      <c r="CF6167" s="319"/>
      <c r="CG6167" s="319"/>
      <c r="CH6167" s="318"/>
      <c r="CI6167" s="319"/>
      <c r="CJ6167" s="319"/>
      <c r="CK6167" s="342"/>
      <c r="CL6167" s="333"/>
      <c r="CM6167" s="1079"/>
      <c r="CN6167" s="1005"/>
      <c r="CO6167" s="1005"/>
      <c r="CP6167" s="1005"/>
    </row>
    <row r="6168">
      <c r="A6168" s="1257"/>
      <c r="B6168" s="1113"/>
      <c r="C6168" s="1107"/>
      <c r="D6168" s="103"/>
      <c r="E6168" s="1137"/>
      <c r="F6168" s="112"/>
      <c r="G6168" s="1110"/>
      <c r="H6168" s="1138"/>
      <c r="I6168" s="1138"/>
      <c r="J6168" s="1139"/>
      <c r="K6168" s="1111"/>
      <c r="L6168" s="1112"/>
      <c r="M6168" s="1113"/>
      <c r="N6168" s="110"/>
      <c r="O6168" s="1140"/>
      <c r="P6168" s="1115"/>
      <c r="Q6168" s="1116"/>
      <c r="R6168" s="1141"/>
      <c r="S6168" s="1113"/>
      <c r="T6168" s="1143"/>
      <c r="U6168" s="1108"/>
      <c r="V6168" s="1108"/>
      <c r="W6168" s="1108"/>
      <c r="X6168" s="1108"/>
      <c r="Y6168" s="1108"/>
      <c r="Z6168" s="1114"/>
      <c r="AA6168" s="1114"/>
      <c r="AB6168" s="1114"/>
      <c r="AC6168" s="1117"/>
      <c r="AD6168" s="1115"/>
      <c r="AE6168" s="1115"/>
      <c r="AF6168" s="1115"/>
      <c r="AG6168" s="1115"/>
      <c r="AH6168" s="1115"/>
      <c r="AI6168" s="1115"/>
      <c r="AJ6168" s="1117"/>
      <c r="AK6168" s="1118"/>
      <c r="AL6168" s="1115"/>
      <c r="AM6168" s="1115"/>
      <c r="AN6168" s="1115"/>
      <c r="AO6168" s="1115"/>
      <c r="AP6168" s="1115"/>
      <c r="AQ6168" s="1115"/>
      <c r="AR6168" s="1115"/>
      <c r="AS6168" s="1117"/>
      <c r="AT6168" s="1075"/>
      <c r="AU6168" s="1193"/>
      <c r="AV6168" s="330"/>
      <c r="AW6168" s="331"/>
      <c r="AX6168" s="331"/>
      <c r="AY6168" s="331"/>
      <c r="AZ6168" s="331"/>
      <c r="BA6168" s="331"/>
      <c r="BB6168" s="331"/>
      <c r="BC6168" s="331"/>
      <c r="BD6168" s="331"/>
      <c r="BE6168" s="333"/>
      <c r="BF6168" s="330"/>
      <c r="BG6168" s="333"/>
      <c r="BH6168" s="1119"/>
      <c r="BI6168" s="319"/>
      <c r="BJ6168" s="319"/>
      <c r="BK6168" s="319"/>
      <c r="BL6168" s="319"/>
      <c r="BM6168" s="319"/>
      <c r="BN6168" s="319"/>
      <c r="BO6168" s="319"/>
      <c r="BP6168" s="953"/>
      <c r="BQ6168" s="319"/>
      <c r="BR6168" s="319"/>
      <c r="BS6168" s="330"/>
      <c r="BT6168" s="331"/>
      <c r="BU6168" s="920"/>
      <c r="BV6168" s="903"/>
      <c r="BW6168" s="908"/>
      <c r="BX6168" s="908"/>
      <c r="BY6168" s="331"/>
      <c r="BZ6168" s="331"/>
      <c r="CA6168" s="462"/>
      <c r="CB6168" s="319"/>
      <c r="CC6168" s="319"/>
      <c r="CD6168" s="319"/>
      <c r="CE6168" s="319"/>
      <c r="CF6168" s="319"/>
      <c r="CG6168" s="319"/>
      <c r="CH6168" s="318"/>
      <c r="CI6168" s="319"/>
      <c r="CJ6168" s="319"/>
      <c r="CK6168" s="342"/>
      <c r="CL6168" s="333"/>
      <c r="CM6168" s="1079"/>
      <c r="CN6168" s="1005"/>
      <c r="CO6168" s="1005"/>
      <c r="CP6168" s="1005"/>
    </row>
    <row r="6169">
      <c r="A6169" s="1257"/>
      <c r="B6169" s="1113"/>
      <c r="C6169" s="1107"/>
      <c r="D6169" s="103"/>
      <c r="E6169" s="1137"/>
      <c r="F6169" s="112"/>
      <c r="G6169" s="1110"/>
      <c r="H6169" s="1138"/>
      <c r="I6169" s="1138"/>
      <c r="J6169" s="1139"/>
      <c r="K6169" s="1111"/>
      <c r="L6169" s="1112"/>
      <c r="M6169" s="1113"/>
      <c r="N6169" s="110"/>
      <c r="O6169" s="1140"/>
      <c r="P6169" s="1115"/>
      <c r="Q6169" s="1116"/>
      <c r="R6169" s="1141"/>
      <c r="S6169" s="1113"/>
      <c r="T6169" s="1143"/>
      <c r="U6169" s="1108"/>
      <c r="V6169" s="1108"/>
      <c r="W6169" s="1108"/>
      <c r="X6169" s="1108"/>
      <c r="Y6169" s="1108"/>
      <c r="Z6169" s="1114"/>
      <c r="AA6169" s="1114"/>
      <c r="AB6169" s="1114"/>
      <c r="AC6169" s="1117"/>
      <c r="AD6169" s="1115"/>
      <c r="AE6169" s="1115"/>
      <c r="AF6169" s="1115"/>
      <c r="AG6169" s="1115"/>
      <c r="AH6169" s="1115"/>
      <c r="AI6169" s="1115"/>
      <c r="AJ6169" s="1117"/>
      <c r="AK6169" s="1118"/>
      <c r="AL6169" s="1115"/>
      <c r="AM6169" s="1115"/>
      <c r="AN6169" s="1115"/>
      <c r="AO6169" s="1115"/>
      <c r="AP6169" s="1115"/>
      <c r="AQ6169" s="1115"/>
      <c r="AR6169" s="1115"/>
      <c r="AS6169" s="1117"/>
      <c r="AT6169" s="1075"/>
      <c r="AU6169" s="1193"/>
      <c r="AV6169" s="330"/>
      <c r="AW6169" s="331"/>
      <c r="AX6169" s="331"/>
      <c r="AY6169" s="331"/>
      <c r="AZ6169" s="331"/>
      <c r="BA6169" s="331"/>
      <c r="BB6169" s="331"/>
      <c r="BC6169" s="331"/>
      <c r="BD6169" s="331"/>
      <c r="BE6169" s="333"/>
      <c r="BF6169" s="330"/>
      <c r="BG6169" s="333"/>
      <c r="BH6169" s="1119"/>
      <c r="BI6169" s="319"/>
      <c r="BJ6169" s="319"/>
      <c r="BK6169" s="319"/>
      <c r="BL6169" s="319"/>
      <c r="BM6169" s="319"/>
      <c r="BN6169" s="319"/>
      <c r="BO6169" s="319"/>
      <c r="BP6169" s="953"/>
      <c r="BQ6169" s="319"/>
      <c r="BR6169" s="319"/>
      <c r="BS6169" s="330"/>
      <c r="BT6169" s="331"/>
      <c r="BU6169" s="920"/>
      <c r="BV6169" s="903"/>
      <c r="BW6169" s="908"/>
      <c r="BX6169" s="908"/>
      <c r="BY6169" s="331"/>
      <c r="BZ6169" s="331"/>
      <c r="CA6169" s="462"/>
      <c r="CB6169" s="319"/>
      <c r="CC6169" s="319"/>
      <c r="CD6169" s="319"/>
      <c r="CE6169" s="319"/>
      <c r="CF6169" s="319"/>
      <c r="CG6169" s="319"/>
      <c r="CH6169" s="318"/>
      <c r="CI6169" s="319"/>
      <c r="CJ6169" s="319"/>
      <c r="CK6169" s="342"/>
      <c r="CL6169" s="333"/>
      <c r="CM6169" s="1079"/>
      <c r="CN6169" s="1005"/>
      <c r="CO6169" s="1005"/>
      <c r="CP6169" s="1005"/>
    </row>
    <row r="6170">
      <c r="A6170" s="1257"/>
      <c r="B6170" s="1113"/>
      <c r="C6170" s="1107"/>
      <c r="D6170" s="103"/>
      <c r="E6170" s="1137"/>
      <c r="F6170" s="112"/>
      <c r="G6170" s="1110"/>
      <c r="H6170" s="1138"/>
      <c r="I6170" s="1138"/>
      <c r="J6170" s="1139"/>
      <c r="K6170" s="1111"/>
      <c r="L6170" s="1112"/>
      <c r="M6170" s="1113"/>
      <c r="N6170" s="110"/>
      <c r="O6170" s="1140"/>
      <c r="P6170" s="1115"/>
      <c r="Q6170" s="1116"/>
      <c r="R6170" s="1141"/>
      <c r="S6170" s="1113"/>
      <c r="T6170" s="1143"/>
      <c r="U6170" s="1108"/>
      <c r="V6170" s="1108"/>
      <c r="W6170" s="1108"/>
      <c r="X6170" s="1108"/>
      <c r="Y6170" s="1108"/>
      <c r="Z6170" s="1114"/>
      <c r="AA6170" s="1114"/>
      <c r="AB6170" s="1114"/>
      <c r="AC6170" s="1117"/>
      <c r="AD6170" s="1115"/>
      <c r="AE6170" s="1115"/>
      <c r="AF6170" s="1115"/>
      <c r="AG6170" s="1115"/>
      <c r="AH6170" s="1115"/>
      <c r="AI6170" s="1115"/>
      <c r="AJ6170" s="1117"/>
      <c r="AK6170" s="1118"/>
      <c r="AL6170" s="1115"/>
      <c r="AM6170" s="1115"/>
      <c r="AN6170" s="1115"/>
      <c r="AO6170" s="1115"/>
      <c r="AP6170" s="1115"/>
      <c r="AQ6170" s="1115"/>
      <c r="AR6170" s="1115"/>
      <c r="AS6170" s="1117"/>
      <c r="AT6170" s="1075"/>
      <c r="AU6170" s="1193"/>
      <c r="AV6170" s="330"/>
      <c r="AW6170" s="331"/>
      <c r="AX6170" s="331"/>
      <c r="AY6170" s="331"/>
      <c r="AZ6170" s="331"/>
      <c r="BA6170" s="331"/>
      <c r="BB6170" s="331"/>
      <c r="BC6170" s="331"/>
      <c r="BD6170" s="331"/>
      <c r="BE6170" s="333"/>
      <c r="BF6170" s="330"/>
      <c r="BG6170" s="333"/>
      <c r="BH6170" s="1119"/>
      <c r="BI6170" s="319"/>
      <c r="BJ6170" s="319"/>
      <c r="BK6170" s="319"/>
      <c r="BL6170" s="319"/>
      <c r="BM6170" s="319"/>
      <c r="BN6170" s="319"/>
      <c r="BO6170" s="319"/>
      <c r="BP6170" s="953"/>
      <c r="BQ6170" s="319"/>
      <c r="BR6170" s="319"/>
      <c r="BS6170" s="330"/>
      <c r="BT6170" s="331"/>
      <c r="BU6170" s="920"/>
      <c r="BV6170" s="903"/>
      <c r="BW6170" s="908"/>
      <c r="BX6170" s="908"/>
      <c r="BY6170" s="331"/>
      <c r="BZ6170" s="331"/>
      <c r="CA6170" s="462"/>
      <c r="CB6170" s="319"/>
      <c r="CC6170" s="319"/>
      <c r="CD6170" s="319"/>
      <c r="CE6170" s="319"/>
      <c r="CF6170" s="319"/>
      <c r="CG6170" s="319"/>
      <c r="CH6170" s="318"/>
      <c r="CI6170" s="319"/>
      <c r="CJ6170" s="319"/>
      <c r="CK6170" s="342"/>
      <c r="CL6170" s="333"/>
      <c r="CM6170" s="1079"/>
      <c r="CN6170" s="1005"/>
      <c r="CO6170" s="1005"/>
      <c r="CP6170" s="1005"/>
    </row>
    <row r="6171">
      <c r="A6171" s="1257"/>
      <c r="B6171" s="1113"/>
      <c r="C6171" s="1107"/>
      <c r="D6171" s="103"/>
      <c r="E6171" s="1137"/>
      <c r="F6171" s="112"/>
      <c r="G6171" s="1110"/>
      <c r="H6171" s="1138"/>
      <c r="I6171" s="1138"/>
      <c r="J6171" s="1139"/>
      <c r="K6171" s="1111"/>
      <c r="L6171" s="1112"/>
      <c r="M6171" s="1113"/>
      <c r="N6171" s="110"/>
      <c r="O6171" s="1140"/>
      <c r="P6171" s="1115"/>
      <c r="Q6171" s="1116"/>
      <c r="R6171" s="1141"/>
      <c r="S6171" s="1113"/>
      <c r="T6171" s="1143"/>
      <c r="U6171" s="1108"/>
      <c r="V6171" s="1108"/>
      <c r="W6171" s="1108"/>
      <c r="X6171" s="1108"/>
      <c r="Y6171" s="1108"/>
      <c r="Z6171" s="1114"/>
      <c r="AA6171" s="1114"/>
      <c r="AB6171" s="1114"/>
      <c r="AC6171" s="1117"/>
      <c r="AD6171" s="1115"/>
      <c r="AE6171" s="1115"/>
      <c r="AF6171" s="1115"/>
      <c r="AG6171" s="1115"/>
      <c r="AH6171" s="1115"/>
      <c r="AI6171" s="1115"/>
      <c r="AJ6171" s="1117"/>
      <c r="AK6171" s="1118"/>
      <c r="AL6171" s="1115"/>
      <c r="AM6171" s="1115"/>
      <c r="AN6171" s="1115"/>
      <c r="AO6171" s="1115"/>
      <c r="AP6171" s="1115"/>
      <c r="AQ6171" s="1115"/>
      <c r="AR6171" s="1115"/>
      <c r="AS6171" s="1117"/>
      <c r="AT6171" s="1075"/>
      <c r="AU6171" s="1193"/>
      <c r="AV6171" s="330"/>
      <c r="AW6171" s="331"/>
      <c r="AX6171" s="331"/>
      <c r="AY6171" s="331"/>
      <c r="AZ6171" s="331"/>
      <c r="BA6171" s="331"/>
      <c r="BB6171" s="331"/>
      <c r="BC6171" s="331"/>
      <c r="BD6171" s="331"/>
      <c r="BE6171" s="333"/>
      <c r="BF6171" s="330"/>
      <c r="BG6171" s="333"/>
      <c r="BH6171" s="1119"/>
      <c r="BI6171" s="319"/>
      <c r="BJ6171" s="319"/>
      <c r="BK6171" s="319"/>
      <c r="BL6171" s="319"/>
      <c r="BM6171" s="319"/>
      <c r="BN6171" s="319"/>
      <c r="BO6171" s="319"/>
      <c r="BP6171" s="953"/>
      <c r="BQ6171" s="319"/>
      <c r="BR6171" s="319"/>
      <c r="BS6171" s="330"/>
      <c r="BT6171" s="331"/>
      <c r="BU6171" s="920"/>
      <c r="BV6171" s="903"/>
      <c r="BW6171" s="908"/>
      <c r="BX6171" s="908"/>
      <c r="BY6171" s="331"/>
      <c r="BZ6171" s="331"/>
      <c r="CA6171" s="462"/>
      <c r="CB6171" s="319"/>
      <c r="CC6171" s="319"/>
      <c r="CD6171" s="319"/>
      <c r="CE6171" s="319"/>
      <c r="CF6171" s="319"/>
      <c r="CG6171" s="319"/>
      <c r="CH6171" s="318"/>
      <c r="CI6171" s="319"/>
      <c r="CJ6171" s="319"/>
      <c r="CK6171" s="342"/>
      <c r="CL6171" s="333"/>
      <c r="CM6171" s="1079"/>
      <c r="CN6171" s="1005"/>
      <c r="CO6171" s="1005"/>
      <c r="CP6171" s="1005"/>
    </row>
    <row r="6172">
      <c r="A6172" s="1257"/>
      <c r="B6172" s="1113"/>
      <c r="C6172" s="1107"/>
      <c r="D6172" s="103"/>
      <c r="E6172" s="1137"/>
      <c r="F6172" s="112"/>
      <c r="G6172" s="1110"/>
      <c r="H6172" s="1138"/>
      <c r="I6172" s="1138"/>
      <c r="J6172" s="1139"/>
      <c r="K6172" s="1111"/>
      <c r="L6172" s="1112"/>
      <c r="M6172" s="1113"/>
      <c r="N6172" s="110"/>
      <c r="O6172" s="1140"/>
      <c r="P6172" s="1115"/>
      <c r="Q6172" s="1116"/>
      <c r="R6172" s="1141"/>
      <c r="S6172" s="1113"/>
      <c r="T6172" s="1143"/>
      <c r="U6172" s="1108"/>
      <c r="V6172" s="1108"/>
      <c r="W6172" s="1108"/>
      <c r="X6172" s="1108"/>
      <c r="Y6172" s="1108"/>
      <c r="Z6172" s="1114"/>
      <c r="AA6172" s="1114"/>
      <c r="AB6172" s="1114"/>
      <c r="AC6172" s="1117"/>
      <c r="AD6172" s="1115"/>
      <c r="AE6172" s="1115"/>
      <c r="AF6172" s="1115"/>
      <c r="AG6172" s="1115"/>
      <c r="AH6172" s="1115"/>
      <c r="AI6172" s="1115"/>
      <c r="AJ6172" s="1117"/>
      <c r="AK6172" s="1118"/>
      <c r="AL6172" s="1115"/>
      <c r="AM6172" s="1115"/>
      <c r="AN6172" s="1115"/>
      <c r="AO6172" s="1115"/>
      <c r="AP6172" s="1115"/>
      <c r="AQ6172" s="1115"/>
      <c r="AR6172" s="1115"/>
      <c r="AS6172" s="1117"/>
      <c r="AT6172" s="1075"/>
      <c r="AU6172" s="1193"/>
      <c r="AV6172" s="330"/>
      <c r="AW6172" s="331"/>
      <c r="AX6172" s="331"/>
      <c r="AY6172" s="331"/>
      <c r="AZ6172" s="331"/>
      <c r="BA6172" s="331"/>
      <c r="BB6172" s="331"/>
      <c r="BC6172" s="331"/>
      <c r="BD6172" s="331"/>
      <c r="BE6172" s="333"/>
      <c r="BF6172" s="330"/>
      <c r="BG6172" s="333"/>
      <c r="BH6172" s="1119"/>
      <c r="BI6172" s="319"/>
      <c r="BJ6172" s="319"/>
      <c r="BK6172" s="319"/>
      <c r="BL6172" s="319"/>
      <c r="BM6172" s="319"/>
      <c r="BN6172" s="319"/>
      <c r="BO6172" s="319"/>
      <c r="BP6172" s="953"/>
      <c r="BQ6172" s="319"/>
      <c r="BR6172" s="319"/>
      <c r="BS6172" s="330"/>
      <c r="BT6172" s="331"/>
      <c r="BU6172" s="920"/>
      <c r="BV6172" s="903"/>
      <c r="BW6172" s="908"/>
      <c r="BX6172" s="908"/>
      <c r="BY6172" s="331"/>
      <c r="BZ6172" s="331"/>
      <c r="CA6172" s="462"/>
      <c r="CB6172" s="319"/>
      <c r="CC6172" s="319"/>
      <c r="CD6172" s="319"/>
      <c r="CE6172" s="319"/>
      <c r="CF6172" s="319"/>
      <c r="CG6172" s="319"/>
      <c r="CH6172" s="318"/>
      <c r="CI6172" s="319"/>
      <c r="CJ6172" s="319"/>
      <c r="CK6172" s="342"/>
      <c r="CL6172" s="333"/>
      <c r="CM6172" s="1079"/>
      <c r="CN6172" s="1005"/>
      <c r="CO6172" s="1005"/>
      <c r="CP6172" s="1005"/>
    </row>
    <row r="6173">
      <c r="A6173" s="1257"/>
      <c r="B6173" s="1113"/>
      <c r="C6173" s="1107"/>
      <c r="D6173" s="103"/>
      <c r="E6173" s="1137"/>
      <c r="F6173" s="112"/>
      <c r="G6173" s="1110"/>
      <c r="H6173" s="1138"/>
      <c r="I6173" s="1138"/>
      <c r="J6173" s="1139"/>
      <c r="K6173" s="1111"/>
      <c r="L6173" s="1112"/>
      <c r="M6173" s="1113"/>
      <c r="N6173" s="110"/>
      <c r="O6173" s="1140"/>
      <c r="P6173" s="1115"/>
      <c r="Q6173" s="1116"/>
      <c r="R6173" s="1141"/>
      <c r="S6173" s="1113"/>
      <c r="T6173" s="1143"/>
      <c r="U6173" s="1108"/>
      <c r="V6173" s="1108"/>
      <c r="W6173" s="1108"/>
      <c r="X6173" s="1108"/>
      <c r="Y6173" s="1108"/>
      <c r="Z6173" s="1114"/>
      <c r="AA6173" s="1114"/>
      <c r="AB6173" s="1114"/>
      <c r="AC6173" s="1117"/>
      <c r="AD6173" s="1115"/>
      <c r="AE6173" s="1115"/>
      <c r="AF6173" s="1115"/>
      <c r="AG6173" s="1115"/>
      <c r="AH6173" s="1115"/>
      <c r="AI6173" s="1115"/>
      <c r="AJ6173" s="1117"/>
      <c r="AK6173" s="1118"/>
      <c r="AL6173" s="1115"/>
      <c r="AM6173" s="1115"/>
      <c r="AN6173" s="1115"/>
      <c r="AO6173" s="1115"/>
      <c r="AP6173" s="1115"/>
      <c r="AQ6173" s="1115"/>
      <c r="AR6173" s="1115"/>
      <c r="AS6173" s="1117"/>
      <c r="AT6173" s="1075"/>
      <c r="AU6173" s="1193"/>
      <c r="AV6173" s="330"/>
      <c r="AW6173" s="331"/>
      <c r="AX6173" s="331"/>
      <c r="AY6173" s="331"/>
      <c r="AZ6173" s="331"/>
      <c r="BA6173" s="331"/>
      <c r="BB6173" s="331"/>
      <c r="BC6173" s="331"/>
      <c r="BD6173" s="331"/>
      <c r="BE6173" s="333"/>
      <c r="BF6173" s="330"/>
      <c r="BG6173" s="333"/>
      <c r="BH6173" s="1119"/>
      <c r="BI6173" s="319"/>
      <c r="BJ6173" s="319"/>
      <c r="BK6173" s="319"/>
      <c r="BL6173" s="319"/>
      <c r="BM6173" s="319"/>
      <c r="BN6173" s="319"/>
      <c r="BO6173" s="319"/>
      <c r="BP6173" s="953"/>
      <c r="BQ6173" s="319"/>
      <c r="BR6173" s="319"/>
      <c r="BS6173" s="330"/>
      <c r="BT6173" s="331"/>
      <c r="BU6173" s="920"/>
      <c r="BV6173" s="903"/>
      <c r="BW6173" s="908"/>
      <c r="BX6173" s="908"/>
      <c r="BY6173" s="331"/>
      <c r="BZ6173" s="331"/>
      <c r="CA6173" s="462"/>
      <c r="CB6173" s="319"/>
      <c r="CC6173" s="319"/>
      <c r="CD6173" s="319"/>
      <c r="CE6173" s="319"/>
      <c r="CF6173" s="319"/>
      <c r="CG6173" s="319"/>
      <c r="CH6173" s="318"/>
      <c r="CI6173" s="319"/>
      <c r="CJ6173" s="319"/>
      <c r="CK6173" s="342"/>
      <c r="CL6173" s="333"/>
      <c r="CM6173" s="1079"/>
      <c r="CN6173" s="1005"/>
      <c r="CO6173" s="1005"/>
      <c r="CP6173" s="1005"/>
    </row>
    <row r="6174">
      <c r="A6174" s="1257"/>
      <c r="B6174" s="1113"/>
      <c r="C6174" s="1107"/>
      <c r="D6174" s="103"/>
      <c r="E6174" s="1137"/>
      <c r="F6174" s="112"/>
      <c r="G6174" s="1110"/>
      <c r="H6174" s="1138"/>
      <c r="I6174" s="1138"/>
      <c r="J6174" s="1139"/>
      <c r="K6174" s="1111"/>
      <c r="L6174" s="1112"/>
      <c r="M6174" s="1113"/>
      <c r="N6174" s="110"/>
      <c r="O6174" s="1140"/>
      <c r="P6174" s="1115"/>
      <c r="Q6174" s="1116"/>
      <c r="R6174" s="1141"/>
      <c r="S6174" s="1113"/>
      <c r="T6174" s="1143"/>
      <c r="U6174" s="1108"/>
      <c r="V6174" s="1108"/>
      <c r="W6174" s="1108"/>
      <c r="X6174" s="1108"/>
      <c r="Y6174" s="1108"/>
      <c r="Z6174" s="1114"/>
      <c r="AA6174" s="1114"/>
      <c r="AB6174" s="1114"/>
      <c r="AC6174" s="1117"/>
      <c r="AD6174" s="1115"/>
      <c r="AE6174" s="1115"/>
      <c r="AF6174" s="1115"/>
      <c r="AG6174" s="1115"/>
      <c r="AH6174" s="1115"/>
      <c r="AI6174" s="1115"/>
      <c r="AJ6174" s="1117"/>
      <c r="AK6174" s="1118"/>
      <c r="AL6174" s="1115"/>
      <c r="AM6174" s="1115"/>
      <c r="AN6174" s="1115"/>
      <c r="AO6174" s="1115"/>
      <c r="AP6174" s="1115"/>
      <c r="AQ6174" s="1115"/>
      <c r="AR6174" s="1115"/>
      <c r="AS6174" s="1117"/>
      <c r="AT6174" s="1075"/>
      <c r="AU6174" s="1193"/>
      <c r="AV6174" s="330"/>
      <c r="AW6174" s="331"/>
      <c r="AX6174" s="331"/>
      <c r="AY6174" s="331"/>
      <c r="AZ6174" s="331"/>
      <c r="BA6174" s="331"/>
      <c r="BB6174" s="331"/>
      <c r="BC6174" s="331"/>
      <c r="BD6174" s="331"/>
      <c r="BE6174" s="333"/>
      <c r="BF6174" s="330"/>
      <c r="BG6174" s="333"/>
      <c r="BH6174" s="1119"/>
      <c r="BI6174" s="319"/>
      <c r="BJ6174" s="319"/>
      <c r="BK6174" s="319"/>
      <c r="BL6174" s="319"/>
      <c r="BM6174" s="319"/>
      <c r="BN6174" s="319"/>
      <c r="BO6174" s="319"/>
      <c r="BP6174" s="953"/>
      <c r="BQ6174" s="319"/>
      <c r="BR6174" s="319"/>
      <c r="BS6174" s="330"/>
      <c r="BT6174" s="331"/>
      <c r="BU6174" s="920"/>
      <c r="BV6174" s="903"/>
      <c r="BW6174" s="908"/>
      <c r="BX6174" s="908"/>
      <c r="BY6174" s="331"/>
      <c r="BZ6174" s="331"/>
      <c r="CA6174" s="462"/>
      <c r="CB6174" s="319"/>
      <c r="CC6174" s="319"/>
      <c r="CD6174" s="319"/>
      <c r="CE6174" s="319"/>
      <c r="CF6174" s="319"/>
      <c r="CG6174" s="319"/>
      <c r="CH6174" s="318"/>
      <c r="CI6174" s="319"/>
      <c r="CJ6174" s="319"/>
      <c r="CK6174" s="342"/>
      <c r="CL6174" s="333"/>
      <c r="CM6174" s="1079"/>
      <c r="CN6174" s="1005"/>
      <c r="CO6174" s="1005"/>
      <c r="CP6174" s="1005"/>
    </row>
    <row r="6175">
      <c r="A6175" s="1257"/>
      <c r="B6175" s="1113"/>
      <c r="C6175" s="1107"/>
      <c r="D6175" s="103"/>
      <c r="E6175" s="1137"/>
      <c r="F6175" s="112"/>
      <c r="G6175" s="1110"/>
      <c r="H6175" s="1138"/>
      <c r="I6175" s="1138"/>
      <c r="J6175" s="1139"/>
      <c r="K6175" s="1111"/>
      <c r="L6175" s="1112"/>
      <c r="M6175" s="1113"/>
      <c r="N6175" s="110"/>
      <c r="O6175" s="1140"/>
      <c r="P6175" s="1115"/>
      <c r="Q6175" s="1116"/>
      <c r="R6175" s="1141"/>
      <c r="S6175" s="1113"/>
      <c r="T6175" s="1143"/>
      <c r="U6175" s="1108"/>
      <c r="V6175" s="1108"/>
      <c r="W6175" s="1108"/>
      <c r="X6175" s="1108"/>
      <c r="Y6175" s="1108"/>
      <c r="Z6175" s="1114"/>
      <c r="AA6175" s="1114"/>
      <c r="AB6175" s="1114"/>
      <c r="AC6175" s="1117"/>
      <c r="AD6175" s="1115"/>
      <c r="AE6175" s="1115"/>
      <c r="AF6175" s="1115"/>
      <c r="AG6175" s="1115"/>
      <c r="AH6175" s="1115"/>
      <c r="AI6175" s="1115"/>
      <c r="AJ6175" s="1117"/>
      <c r="AK6175" s="1118"/>
      <c r="AL6175" s="1115"/>
      <c r="AM6175" s="1115"/>
      <c r="AN6175" s="1115"/>
      <c r="AO6175" s="1115"/>
      <c r="AP6175" s="1115"/>
      <c r="AQ6175" s="1115"/>
      <c r="AR6175" s="1115"/>
      <c r="AS6175" s="1117"/>
      <c r="AT6175" s="1075"/>
      <c r="AU6175" s="1193"/>
      <c r="AV6175" s="330"/>
      <c r="AW6175" s="331"/>
      <c r="AX6175" s="331"/>
      <c r="AY6175" s="331"/>
      <c r="AZ6175" s="331"/>
      <c r="BA6175" s="331"/>
      <c r="BB6175" s="331"/>
      <c r="BC6175" s="331"/>
      <c r="BD6175" s="331"/>
      <c r="BE6175" s="333"/>
      <c r="BF6175" s="330"/>
      <c r="BG6175" s="333"/>
      <c r="BH6175" s="1119"/>
      <c r="BI6175" s="319"/>
      <c r="BJ6175" s="319"/>
      <c r="BK6175" s="319"/>
      <c r="BL6175" s="319"/>
      <c r="BM6175" s="319"/>
      <c r="BN6175" s="319"/>
      <c r="BO6175" s="319"/>
      <c r="BP6175" s="953"/>
      <c r="BQ6175" s="319"/>
      <c r="BR6175" s="319"/>
      <c r="BS6175" s="330"/>
      <c r="BT6175" s="331"/>
      <c r="BU6175" s="920"/>
      <c r="BV6175" s="903"/>
      <c r="BW6175" s="908"/>
      <c r="BX6175" s="908"/>
      <c r="BY6175" s="331"/>
      <c r="BZ6175" s="331"/>
      <c r="CA6175" s="462"/>
      <c r="CB6175" s="319"/>
      <c r="CC6175" s="319"/>
      <c r="CD6175" s="319"/>
      <c r="CE6175" s="319"/>
      <c r="CF6175" s="319"/>
      <c r="CG6175" s="319"/>
      <c r="CH6175" s="318"/>
      <c r="CI6175" s="319"/>
      <c r="CJ6175" s="319"/>
      <c r="CK6175" s="342"/>
      <c r="CL6175" s="333"/>
      <c r="CM6175" s="1079"/>
      <c r="CN6175" s="1005"/>
      <c r="CO6175" s="1005"/>
      <c r="CP6175" s="1005"/>
    </row>
    <row r="6176">
      <c r="A6176" s="1257"/>
      <c r="B6176" s="1113"/>
      <c r="C6176" s="1107"/>
      <c r="D6176" s="103"/>
      <c r="E6176" s="1137"/>
      <c r="F6176" s="112"/>
      <c r="G6176" s="1110"/>
      <c r="H6176" s="1138"/>
      <c r="I6176" s="1138"/>
      <c r="J6176" s="1139"/>
      <c r="K6176" s="1111"/>
      <c r="L6176" s="1112"/>
      <c r="M6176" s="1113"/>
      <c r="N6176" s="110"/>
      <c r="O6176" s="1140"/>
      <c r="P6176" s="1115"/>
      <c r="Q6176" s="1116"/>
      <c r="R6176" s="1141"/>
      <c r="S6176" s="1113"/>
      <c r="T6176" s="1143"/>
      <c r="U6176" s="1108"/>
      <c r="V6176" s="1108"/>
      <c r="W6176" s="1108"/>
      <c r="X6176" s="1108"/>
      <c r="Y6176" s="1108"/>
      <c r="Z6176" s="1114"/>
      <c r="AA6176" s="1114"/>
      <c r="AB6176" s="1114"/>
      <c r="AC6176" s="1117"/>
      <c r="AD6176" s="1115"/>
      <c r="AE6176" s="1115"/>
      <c r="AF6176" s="1115"/>
      <c r="AG6176" s="1115"/>
      <c r="AH6176" s="1115"/>
      <c r="AI6176" s="1115"/>
      <c r="AJ6176" s="1117"/>
      <c r="AK6176" s="1118"/>
      <c r="AL6176" s="1115"/>
      <c r="AM6176" s="1115"/>
      <c r="AN6176" s="1115"/>
      <c r="AO6176" s="1115"/>
      <c r="AP6176" s="1115"/>
      <c r="AQ6176" s="1115"/>
      <c r="AR6176" s="1115"/>
      <c r="AS6176" s="1117"/>
      <c r="AT6176" s="1075"/>
      <c r="AU6176" s="1193"/>
      <c r="AV6176" s="330"/>
      <c r="AW6176" s="331"/>
      <c r="AX6176" s="331"/>
      <c r="AY6176" s="331"/>
      <c r="AZ6176" s="331"/>
      <c r="BA6176" s="331"/>
      <c r="BB6176" s="331"/>
      <c r="BC6176" s="331"/>
      <c r="BD6176" s="331"/>
      <c r="BE6176" s="333"/>
      <c r="BF6176" s="330"/>
      <c r="BG6176" s="333"/>
      <c r="BH6176" s="1119"/>
      <c r="BI6176" s="319"/>
      <c r="BJ6176" s="319"/>
      <c r="BK6176" s="319"/>
      <c r="BL6176" s="319"/>
      <c r="BM6176" s="319"/>
      <c r="BN6176" s="319"/>
      <c r="BO6176" s="319"/>
      <c r="BP6176" s="953"/>
      <c r="BQ6176" s="319"/>
      <c r="BR6176" s="319"/>
      <c r="BS6176" s="330"/>
      <c r="BT6176" s="331"/>
      <c r="BU6176" s="920"/>
      <c r="BV6176" s="903"/>
      <c r="BW6176" s="908"/>
      <c r="BX6176" s="908"/>
      <c r="BY6176" s="331"/>
      <c r="BZ6176" s="331"/>
      <c r="CA6176" s="462"/>
      <c r="CB6176" s="319"/>
      <c r="CC6176" s="319"/>
      <c r="CD6176" s="319"/>
      <c r="CE6176" s="319"/>
      <c r="CF6176" s="319"/>
      <c r="CG6176" s="319"/>
      <c r="CH6176" s="318"/>
      <c r="CI6176" s="319"/>
      <c r="CJ6176" s="319"/>
      <c r="CK6176" s="342"/>
      <c r="CL6176" s="333"/>
      <c r="CM6176" s="1079"/>
      <c r="CN6176" s="1005"/>
      <c r="CO6176" s="1005"/>
      <c r="CP6176" s="1005"/>
    </row>
    <row r="6177">
      <c r="A6177" s="1257"/>
      <c r="B6177" s="1113"/>
      <c r="C6177" s="1107"/>
      <c r="D6177" s="103"/>
      <c r="E6177" s="1137"/>
      <c r="F6177" s="112"/>
      <c r="G6177" s="1110"/>
      <c r="H6177" s="1138"/>
      <c r="I6177" s="1138"/>
      <c r="J6177" s="1139"/>
      <c r="K6177" s="1111"/>
      <c r="L6177" s="1112"/>
      <c r="M6177" s="1113"/>
      <c r="N6177" s="110"/>
      <c r="O6177" s="1140"/>
      <c r="P6177" s="1115"/>
      <c r="Q6177" s="1116"/>
      <c r="R6177" s="1141"/>
      <c r="S6177" s="1113"/>
      <c r="T6177" s="1143"/>
      <c r="U6177" s="1108"/>
      <c r="V6177" s="1108"/>
      <c r="W6177" s="1108"/>
      <c r="X6177" s="1108"/>
      <c r="Y6177" s="1108"/>
      <c r="Z6177" s="1114"/>
      <c r="AA6177" s="1114"/>
      <c r="AB6177" s="1114"/>
      <c r="AC6177" s="1117"/>
      <c r="AD6177" s="1115"/>
      <c r="AE6177" s="1115"/>
      <c r="AF6177" s="1115"/>
      <c r="AG6177" s="1115"/>
      <c r="AH6177" s="1115"/>
      <c r="AI6177" s="1115"/>
      <c r="AJ6177" s="1117"/>
      <c r="AK6177" s="1118"/>
      <c r="AL6177" s="1115"/>
      <c r="AM6177" s="1115"/>
      <c r="AN6177" s="1115"/>
      <c r="AO6177" s="1115"/>
      <c r="AP6177" s="1115"/>
      <c r="AQ6177" s="1115"/>
      <c r="AR6177" s="1115"/>
      <c r="AS6177" s="1117"/>
      <c r="AT6177" s="1075"/>
      <c r="AU6177" s="1193"/>
      <c r="AV6177" s="330"/>
      <c r="AW6177" s="331"/>
      <c r="AX6177" s="331"/>
      <c r="AY6177" s="331"/>
      <c r="AZ6177" s="331"/>
      <c r="BA6177" s="331"/>
      <c r="BB6177" s="331"/>
      <c r="BC6177" s="331"/>
      <c r="BD6177" s="331"/>
      <c r="BE6177" s="333"/>
      <c r="BF6177" s="330"/>
      <c r="BG6177" s="333"/>
      <c r="BH6177" s="1119"/>
      <c r="BI6177" s="319"/>
      <c r="BJ6177" s="319"/>
      <c r="BK6177" s="319"/>
      <c r="BL6177" s="319"/>
      <c r="BM6177" s="319"/>
      <c r="BN6177" s="319"/>
      <c r="BO6177" s="319"/>
      <c r="BP6177" s="953"/>
      <c r="BQ6177" s="319"/>
      <c r="BR6177" s="319"/>
      <c r="BS6177" s="330"/>
      <c r="BT6177" s="331"/>
      <c r="BU6177" s="920"/>
      <c r="BV6177" s="903"/>
      <c r="BW6177" s="908"/>
      <c r="BX6177" s="908"/>
      <c r="BY6177" s="331"/>
      <c r="BZ6177" s="331"/>
      <c r="CA6177" s="462"/>
      <c r="CB6177" s="319"/>
      <c r="CC6177" s="319"/>
      <c r="CD6177" s="319"/>
      <c r="CE6177" s="319"/>
      <c r="CF6177" s="319"/>
      <c r="CG6177" s="319"/>
      <c r="CH6177" s="318"/>
      <c r="CI6177" s="319"/>
      <c r="CJ6177" s="319"/>
      <c r="CK6177" s="342"/>
      <c r="CL6177" s="333"/>
      <c r="CM6177" s="1079"/>
      <c r="CN6177" s="1005"/>
      <c r="CO6177" s="1005"/>
      <c r="CP6177" s="1005"/>
    </row>
    <row r="6178">
      <c r="A6178" s="1257"/>
      <c r="B6178" s="1113"/>
      <c r="C6178" s="1107"/>
      <c r="D6178" s="103"/>
      <c r="E6178" s="1137"/>
      <c r="F6178" s="112"/>
      <c r="G6178" s="1110"/>
      <c r="H6178" s="1138"/>
      <c r="I6178" s="1138"/>
      <c r="J6178" s="1139"/>
      <c r="K6178" s="1111"/>
      <c r="L6178" s="1112"/>
      <c r="M6178" s="1113"/>
      <c r="N6178" s="110"/>
      <c r="O6178" s="1140"/>
      <c r="P6178" s="1115"/>
      <c r="Q6178" s="1116"/>
      <c r="R6178" s="1141"/>
      <c r="S6178" s="1113"/>
      <c r="T6178" s="1143"/>
      <c r="U6178" s="1108"/>
      <c r="V6178" s="1108"/>
      <c r="W6178" s="1108"/>
      <c r="X6178" s="1108"/>
      <c r="Y6178" s="1108"/>
      <c r="Z6178" s="1114"/>
      <c r="AA6178" s="1114"/>
      <c r="AB6178" s="1114"/>
      <c r="AC6178" s="1117"/>
      <c r="AD6178" s="1115"/>
      <c r="AE6178" s="1115"/>
      <c r="AF6178" s="1115"/>
      <c r="AG6178" s="1115"/>
      <c r="AH6178" s="1115"/>
      <c r="AI6178" s="1115"/>
      <c r="AJ6178" s="1117"/>
      <c r="AK6178" s="1118"/>
      <c r="AL6178" s="1115"/>
      <c r="AM6178" s="1115"/>
      <c r="AN6178" s="1115"/>
      <c r="AO6178" s="1115"/>
      <c r="AP6178" s="1115"/>
      <c r="AQ6178" s="1115"/>
      <c r="AR6178" s="1115"/>
      <c r="AS6178" s="1117"/>
      <c r="AT6178" s="1075"/>
      <c r="AU6178" s="1193"/>
      <c r="AV6178" s="330"/>
      <c r="AW6178" s="331"/>
      <c r="AX6178" s="331"/>
      <c r="AY6178" s="331"/>
      <c r="AZ6178" s="331"/>
      <c r="BA6178" s="331"/>
      <c r="BB6178" s="331"/>
      <c r="BC6178" s="331"/>
      <c r="BD6178" s="331"/>
      <c r="BE6178" s="333"/>
      <c r="BF6178" s="330"/>
      <c r="BG6178" s="333"/>
      <c r="BH6178" s="1119"/>
      <c r="BI6178" s="319"/>
      <c r="BJ6178" s="319"/>
      <c r="BK6178" s="319"/>
      <c r="BL6178" s="319"/>
      <c r="BM6178" s="319"/>
      <c r="BN6178" s="319"/>
      <c r="BO6178" s="319"/>
      <c r="BP6178" s="953"/>
      <c r="BQ6178" s="319"/>
      <c r="BR6178" s="319"/>
      <c r="BS6178" s="330"/>
      <c r="BT6178" s="331"/>
      <c r="BU6178" s="920"/>
      <c r="BV6178" s="903"/>
      <c r="BW6178" s="908"/>
      <c r="BX6178" s="908"/>
      <c r="BY6178" s="331"/>
      <c r="BZ6178" s="331"/>
      <c r="CA6178" s="462"/>
      <c r="CB6178" s="319"/>
      <c r="CC6178" s="319"/>
      <c r="CD6178" s="319"/>
      <c r="CE6178" s="319"/>
      <c r="CF6178" s="319"/>
      <c r="CG6178" s="319"/>
      <c r="CH6178" s="318"/>
      <c r="CI6178" s="319"/>
      <c r="CJ6178" s="319"/>
      <c r="CK6178" s="342"/>
      <c r="CL6178" s="333"/>
      <c r="CM6178" s="1079"/>
      <c r="CN6178" s="1005"/>
      <c r="CO6178" s="1005"/>
      <c r="CP6178" s="1005"/>
    </row>
    <row r="6179">
      <c r="A6179" s="1257"/>
      <c r="B6179" s="1113"/>
      <c r="C6179" s="1107"/>
      <c r="D6179" s="103"/>
      <c r="E6179" s="1137"/>
      <c r="F6179" s="112"/>
      <c r="G6179" s="1110"/>
      <c r="H6179" s="1138"/>
      <c r="I6179" s="1138"/>
      <c r="J6179" s="1139"/>
      <c r="K6179" s="1111"/>
      <c r="L6179" s="1112"/>
      <c r="M6179" s="1113"/>
      <c r="N6179" s="110"/>
      <c r="O6179" s="1140"/>
      <c r="P6179" s="1115"/>
      <c r="Q6179" s="1116"/>
      <c r="R6179" s="1141"/>
      <c r="S6179" s="1113"/>
      <c r="T6179" s="1143"/>
      <c r="U6179" s="1108"/>
      <c r="V6179" s="1108"/>
      <c r="W6179" s="1108"/>
      <c r="X6179" s="1108"/>
      <c r="Y6179" s="1108"/>
      <c r="Z6179" s="1114"/>
      <c r="AA6179" s="1114"/>
      <c r="AB6179" s="1114"/>
      <c r="AC6179" s="1117"/>
      <c r="AD6179" s="1115"/>
      <c r="AE6179" s="1115"/>
      <c r="AF6179" s="1115"/>
      <c r="AG6179" s="1115"/>
      <c r="AH6179" s="1115"/>
      <c r="AI6179" s="1115"/>
      <c r="AJ6179" s="1117"/>
      <c r="AK6179" s="1118"/>
      <c r="AL6179" s="1115"/>
      <c r="AM6179" s="1115"/>
      <c r="AN6179" s="1115"/>
      <c r="AO6179" s="1115"/>
      <c r="AP6179" s="1115"/>
      <c r="AQ6179" s="1115"/>
      <c r="AR6179" s="1115"/>
      <c r="AS6179" s="1117"/>
      <c r="AT6179" s="1075"/>
      <c r="AU6179" s="1193"/>
      <c r="AV6179" s="330"/>
      <c r="AW6179" s="331"/>
      <c r="AX6179" s="331"/>
      <c r="AY6179" s="331"/>
      <c r="AZ6179" s="331"/>
      <c r="BA6179" s="331"/>
      <c r="BB6179" s="331"/>
      <c r="BC6179" s="331"/>
      <c r="BD6179" s="331"/>
      <c r="BE6179" s="333"/>
      <c r="BF6179" s="330"/>
      <c r="BG6179" s="333"/>
      <c r="BH6179" s="1119"/>
      <c r="BI6179" s="319"/>
      <c r="BJ6179" s="319"/>
      <c r="BK6179" s="319"/>
      <c r="BL6179" s="319"/>
      <c r="BM6179" s="319"/>
      <c r="BN6179" s="319"/>
      <c r="BO6179" s="319"/>
      <c r="BP6179" s="953"/>
      <c r="BQ6179" s="319"/>
      <c r="BR6179" s="319"/>
      <c r="BS6179" s="330"/>
      <c r="BT6179" s="331"/>
      <c r="BU6179" s="920"/>
      <c r="BV6179" s="903"/>
      <c r="BW6179" s="908"/>
      <c r="BX6179" s="908"/>
      <c r="BY6179" s="331"/>
      <c r="BZ6179" s="331"/>
      <c r="CA6179" s="462"/>
      <c r="CB6179" s="319"/>
      <c r="CC6179" s="319"/>
      <c r="CD6179" s="319"/>
      <c r="CE6179" s="319"/>
      <c r="CF6179" s="319"/>
      <c r="CG6179" s="319"/>
      <c r="CH6179" s="318"/>
      <c r="CI6179" s="319"/>
      <c r="CJ6179" s="319"/>
      <c r="CK6179" s="342"/>
      <c r="CL6179" s="333"/>
      <c r="CM6179" s="1079"/>
      <c r="CN6179" s="1005"/>
      <c r="CO6179" s="1005"/>
      <c r="CP6179" s="1005"/>
    </row>
    <row r="6180">
      <c r="A6180" s="1257"/>
      <c r="B6180" s="1113"/>
      <c r="C6180" s="1107"/>
      <c r="D6180" s="103"/>
      <c r="E6180" s="1137"/>
      <c r="F6180" s="112"/>
      <c r="G6180" s="1110"/>
      <c r="H6180" s="1138"/>
      <c r="I6180" s="1138"/>
      <c r="J6180" s="1139"/>
      <c r="K6180" s="1111"/>
      <c r="L6180" s="1112"/>
      <c r="M6180" s="1113"/>
      <c r="N6180" s="110"/>
      <c r="O6180" s="1140"/>
      <c r="P6180" s="1115"/>
      <c r="Q6180" s="1116"/>
      <c r="R6180" s="1141"/>
      <c r="S6180" s="1113"/>
      <c r="T6180" s="1143"/>
      <c r="U6180" s="1108"/>
      <c r="V6180" s="1108"/>
      <c r="W6180" s="1108"/>
      <c r="X6180" s="1108"/>
      <c r="Y6180" s="1108"/>
      <c r="Z6180" s="1114"/>
      <c r="AA6180" s="1114"/>
      <c r="AB6180" s="1114"/>
      <c r="AC6180" s="1117"/>
      <c r="AD6180" s="1115"/>
      <c r="AE6180" s="1115"/>
      <c r="AF6180" s="1115"/>
      <c r="AG6180" s="1115"/>
      <c r="AH6180" s="1115"/>
      <c r="AI6180" s="1115"/>
      <c r="AJ6180" s="1117"/>
      <c r="AK6180" s="1118"/>
      <c r="AL6180" s="1115"/>
      <c r="AM6180" s="1115"/>
      <c r="AN6180" s="1115"/>
      <c r="AO6180" s="1115"/>
      <c r="AP6180" s="1115"/>
      <c r="AQ6180" s="1115"/>
      <c r="AR6180" s="1115"/>
      <c r="AS6180" s="1117"/>
      <c r="AT6180" s="1075"/>
      <c r="AU6180" s="1193"/>
      <c r="AV6180" s="330"/>
      <c r="AW6180" s="331"/>
      <c r="AX6180" s="331"/>
      <c r="AY6180" s="331"/>
      <c r="AZ6180" s="331"/>
      <c r="BA6180" s="331"/>
      <c r="BB6180" s="331"/>
      <c r="BC6180" s="331"/>
      <c r="BD6180" s="331"/>
      <c r="BE6180" s="333"/>
      <c r="BF6180" s="330"/>
      <c r="BG6180" s="333"/>
      <c r="BH6180" s="1119"/>
      <c r="BI6180" s="319"/>
      <c r="BJ6180" s="319"/>
      <c r="BK6180" s="319"/>
      <c r="BL6180" s="319"/>
      <c r="BM6180" s="319"/>
      <c r="BN6180" s="319"/>
      <c r="BO6180" s="319"/>
      <c r="BP6180" s="953"/>
      <c r="BQ6180" s="319"/>
      <c r="BR6180" s="319"/>
      <c r="BS6180" s="330"/>
      <c r="BT6180" s="331"/>
      <c r="BU6180" s="920"/>
      <c r="BV6180" s="903"/>
      <c r="BW6180" s="908"/>
      <c r="BX6180" s="908"/>
      <c r="BY6180" s="331"/>
      <c r="BZ6180" s="331"/>
      <c r="CA6180" s="462"/>
      <c r="CB6180" s="319"/>
      <c r="CC6180" s="319"/>
      <c r="CD6180" s="319"/>
      <c r="CE6180" s="319"/>
      <c r="CF6180" s="319"/>
      <c r="CG6180" s="319"/>
      <c r="CH6180" s="318"/>
      <c r="CI6180" s="319"/>
      <c r="CJ6180" s="319"/>
      <c r="CK6180" s="342"/>
      <c r="CL6180" s="333"/>
      <c r="CM6180" s="1079"/>
      <c r="CN6180" s="1005"/>
      <c r="CO6180" s="1005"/>
      <c r="CP6180" s="1005"/>
    </row>
    <row r="6181">
      <c r="A6181" s="1257"/>
      <c r="B6181" s="1113"/>
      <c r="C6181" s="1107"/>
      <c r="D6181" s="103"/>
      <c r="E6181" s="1137"/>
      <c r="F6181" s="112"/>
      <c r="G6181" s="1110"/>
      <c r="H6181" s="1138"/>
      <c r="I6181" s="1138"/>
      <c r="J6181" s="1139"/>
      <c r="K6181" s="1111"/>
      <c r="L6181" s="1112"/>
      <c r="M6181" s="1113"/>
      <c r="N6181" s="110"/>
      <c r="O6181" s="1140"/>
      <c r="P6181" s="1115"/>
      <c r="Q6181" s="1116"/>
      <c r="R6181" s="1141"/>
      <c r="S6181" s="1113"/>
      <c r="T6181" s="1143"/>
      <c r="U6181" s="1108"/>
      <c r="V6181" s="1108"/>
      <c r="W6181" s="1108"/>
      <c r="X6181" s="1108"/>
      <c r="Y6181" s="1108"/>
      <c r="Z6181" s="1114"/>
      <c r="AA6181" s="1114"/>
      <c r="AB6181" s="1114"/>
      <c r="AC6181" s="1117"/>
      <c r="AD6181" s="1115"/>
      <c r="AE6181" s="1115"/>
      <c r="AF6181" s="1115"/>
      <c r="AG6181" s="1115"/>
      <c r="AH6181" s="1115"/>
      <c r="AI6181" s="1115"/>
      <c r="AJ6181" s="1117"/>
      <c r="AK6181" s="1118"/>
      <c r="AL6181" s="1115"/>
      <c r="AM6181" s="1115"/>
      <c r="AN6181" s="1115"/>
      <c r="AO6181" s="1115"/>
      <c r="AP6181" s="1115"/>
      <c r="AQ6181" s="1115"/>
      <c r="AR6181" s="1115"/>
      <c r="AS6181" s="1117"/>
      <c r="AT6181" s="1075"/>
      <c r="AU6181" s="1193"/>
      <c r="AV6181" s="330"/>
      <c r="AW6181" s="331"/>
      <c r="AX6181" s="331"/>
      <c r="AY6181" s="331"/>
      <c r="AZ6181" s="331"/>
      <c r="BA6181" s="331"/>
      <c r="BB6181" s="331"/>
      <c r="BC6181" s="331"/>
      <c r="BD6181" s="331"/>
      <c r="BE6181" s="333"/>
      <c r="BF6181" s="330"/>
      <c r="BG6181" s="333"/>
      <c r="BH6181" s="1119"/>
      <c r="BI6181" s="319"/>
      <c r="BJ6181" s="319"/>
      <c r="BK6181" s="319"/>
      <c r="BL6181" s="319"/>
      <c r="BM6181" s="319"/>
      <c r="BN6181" s="319"/>
      <c r="BO6181" s="319"/>
      <c r="BP6181" s="953"/>
      <c r="BQ6181" s="319"/>
      <c r="BR6181" s="319"/>
      <c r="BS6181" s="330"/>
      <c r="BT6181" s="331"/>
      <c r="BU6181" s="920"/>
      <c r="BV6181" s="903"/>
      <c r="BW6181" s="908"/>
      <c r="BX6181" s="908"/>
      <c r="BY6181" s="331"/>
      <c r="BZ6181" s="331"/>
      <c r="CA6181" s="462"/>
      <c r="CB6181" s="319"/>
      <c r="CC6181" s="319"/>
      <c r="CD6181" s="319"/>
      <c r="CE6181" s="319"/>
      <c r="CF6181" s="319"/>
      <c r="CG6181" s="319"/>
      <c r="CH6181" s="318"/>
      <c r="CI6181" s="319"/>
      <c r="CJ6181" s="319"/>
      <c r="CK6181" s="342"/>
      <c r="CL6181" s="333"/>
      <c r="CM6181" s="1079"/>
      <c r="CN6181" s="1005"/>
      <c r="CO6181" s="1005"/>
      <c r="CP6181" s="1005"/>
    </row>
    <row r="6182">
      <c r="A6182" s="1257"/>
      <c r="B6182" s="1113"/>
      <c r="C6182" s="1107"/>
      <c r="D6182" s="103"/>
      <c r="E6182" s="1137"/>
      <c r="F6182" s="112"/>
      <c r="G6182" s="1110"/>
      <c r="H6182" s="1138"/>
      <c r="I6182" s="1138"/>
      <c r="J6182" s="1139"/>
      <c r="K6182" s="1111"/>
      <c r="L6182" s="1112"/>
      <c r="M6182" s="1113"/>
      <c r="N6182" s="110"/>
      <c r="O6182" s="1140"/>
      <c r="P6182" s="1115"/>
      <c r="Q6182" s="1116"/>
      <c r="R6182" s="1141"/>
      <c r="S6182" s="1113"/>
      <c r="T6182" s="1143"/>
      <c r="U6182" s="1108"/>
      <c r="V6182" s="1108"/>
      <c r="W6182" s="1108"/>
      <c r="X6182" s="1108"/>
      <c r="Y6182" s="1108"/>
      <c r="Z6182" s="1114"/>
      <c r="AA6182" s="1114"/>
      <c r="AB6182" s="1114"/>
      <c r="AC6182" s="1117"/>
      <c r="AD6182" s="1115"/>
      <c r="AE6182" s="1115"/>
      <c r="AF6182" s="1115"/>
      <c r="AG6182" s="1115"/>
      <c r="AH6182" s="1115"/>
      <c r="AI6182" s="1115"/>
      <c r="AJ6182" s="1117"/>
      <c r="AK6182" s="1118"/>
      <c r="AL6182" s="1115"/>
      <c r="AM6182" s="1115"/>
      <c r="AN6182" s="1115"/>
      <c r="AO6182" s="1115"/>
      <c r="AP6182" s="1115"/>
      <c r="AQ6182" s="1115"/>
      <c r="AR6182" s="1115"/>
      <c r="AS6182" s="1117"/>
      <c r="AT6182" s="1075"/>
      <c r="AU6182" s="1193"/>
      <c r="AV6182" s="330"/>
      <c r="AW6182" s="331"/>
      <c r="AX6182" s="331"/>
      <c r="AY6182" s="331"/>
      <c r="AZ6182" s="331"/>
      <c r="BA6182" s="331"/>
      <c r="BB6182" s="331"/>
      <c r="BC6182" s="331"/>
      <c r="BD6182" s="331"/>
      <c r="BE6182" s="333"/>
      <c r="BF6182" s="330"/>
      <c r="BG6182" s="333"/>
      <c r="BH6182" s="1119"/>
      <c r="BI6182" s="319"/>
      <c r="BJ6182" s="319"/>
      <c r="BK6182" s="319"/>
      <c r="BL6182" s="319"/>
      <c r="BM6182" s="319"/>
      <c r="BN6182" s="319"/>
      <c r="BO6182" s="319"/>
      <c r="BP6182" s="953"/>
      <c r="BQ6182" s="319"/>
      <c r="BR6182" s="319"/>
      <c r="BS6182" s="330"/>
      <c r="BT6182" s="331"/>
      <c r="BU6182" s="920"/>
      <c r="BV6182" s="903"/>
      <c r="BW6182" s="908"/>
      <c r="BX6182" s="908"/>
      <c r="BY6182" s="331"/>
      <c r="BZ6182" s="331"/>
      <c r="CA6182" s="462"/>
      <c r="CB6182" s="319"/>
      <c r="CC6182" s="319"/>
      <c r="CD6182" s="319"/>
      <c r="CE6182" s="319"/>
      <c r="CF6182" s="319"/>
      <c r="CG6182" s="319"/>
      <c r="CH6182" s="318"/>
      <c r="CI6182" s="319"/>
      <c r="CJ6182" s="319"/>
      <c r="CK6182" s="342"/>
      <c r="CL6182" s="333"/>
      <c r="CM6182" s="1079"/>
      <c r="CN6182" s="1005"/>
      <c r="CO6182" s="1005"/>
      <c r="CP6182" s="1005"/>
    </row>
    <row r="6183">
      <c r="A6183" s="1257"/>
      <c r="B6183" s="1113"/>
      <c r="C6183" s="1107"/>
      <c r="D6183" s="103"/>
      <c r="E6183" s="1137"/>
      <c r="F6183" s="112"/>
      <c r="G6183" s="1110"/>
      <c r="H6183" s="1138"/>
      <c r="I6183" s="1138"/>
      <c r="J6183" s="1139"/>
      <c r="K6183" s="1111"/>
      <c r="L6183" s="1112"/>
      <c r="M6183" s="1113"/>
      <c r="N6183" s="110"/>
      <c r="O6183" s="1140"/>
      <c r="P6183" s="1115"/>
      <c r="Q6183" s="1116"/>
      <c r="R6183" s="1141"/>
      <c r="S6183" s="1113"/>
      <c r="T6183" s="1143"/>
      <c r="U6183" s="1108"/>
      <c r="V6183" s="1108"/>
      <c r="W6183" s="1108"/>
      <c r="X6183" s="1108"/>
      <c r="Y6183" s="1108"/>
      <c r="Z6183" s="1114"/>
      <c r="AA6183" s="1114"/>
      <c r="AB6183" s="1114"/>
      <c r="AC6183" s="1117"/>
      <c r="AD6183" s="1115"/>
      <c r="AE6183" s="1115"/>
      <c r="AF6183" s="1115"/>
      <c r="AG6183" s="1115"/>
      <c r="AH6183" s="1115"/>
      <c r="AI6183" s="1115"/>
      <c r="AJ6183" s="1117"/>
      <c r="AK6183" s="1118"/>
      <c r="AL6183" s="1115"/>
      <c r="AM6183" s="1115"/>
      <c r="AN6183" s="1115"/>
      <c r="AO6183" s="1115"/>
      <c r="AP6183" s="1115"/>
      <c r="AQ6183" s="1115"/>
      <c r="AR6183" s="1115"/>
      <c r="AS6183" s="1117"/>
      <c r="AT6183" s="1075"/>
      <c r="AU6183" s="1193"/>
      <c r="AV6183" s="330"/>
      <c r="AW6183" s="331"/>
      <c r="AX6183" s="331"/>
      <c r="AY6183" s="331"/>
      <c r="AZ6183" s="331"/>
      <c r="BA6183" s="331"/>
      <c r="BB6183" s="331"/>
      <c r="BC6183" s="331"/>
      <c r="BD6183" s="331"/>
      <c r="BE6183" s="333"/>
      <c r="BF6183" s="330"/>
      <c r="BG6183" s="333"/>
      <c r="BH6183" s="1119"/>
      <c r="BI6183" s="319"/>
      <c r="BJ6183" s="319"/>
      <c r="BK6183" s="319"/>
      <c r="BL6183" s="319"/>
      <c r="BM6183" s="319"/>
      <c r="BN6183" s="319"/>
      <c r="BO6183" s="319"/>
      <c r="BP6183" s="953"/>
      <c r="BQ6183" s="319"/>
      <c r="BR6183" s="319"/>
      <c r="BS6183" s="330"/>
      <c r="BT6183" s="331"/>
      <c r="BU6183" s="920"/>
      <c r="BV6183" s="903"/>
      <c r="BW6183" s="908"/>
      <c r="BX6183" s="908"/>
      <c r="BY6183" s="331"/>
      <c r="BZ6183" s="331"/>
      <c r="CA6183" s="462"/>
      <c r="CB6183" s="319"/>
      <c r="CC6183" s="319"/>
      <c r="CD6183" s="319"/>
      <c r="CE6183" s="319"/>
      <c r="CF6183" s="319"/>
      <c r="CG6183" s="319"/>
      <c r="CH6183" s="318"/>
      <c r="CI6183" s="319"/>
      <c r="CJ6183" s="319"/>
      <c r="CK6183" s="342"/>
      <c r="CL6183" s="333"/>
      <c r="CM6183" s="1079"/>
      <c r="CN6183" s="1005"/>
      <c r="CO6183" s="1005"/>
      <c r="CP6183" s="1005"/>
    </row>
    <row r="6184">
      <c r="A6184" s="1257"/>
      <c r="B6184" s="1113"/>
      <c r="C6184" s="1107"/>
      <c r="D6184" s="103"/>
      <c r="E6184" s="1137"/>
      <c r="F6184" s="112"/>
      <c r="G6184" s="1110"/>
      <c r="H6184" s="1138"/>
      <c r="I6184" s="1138"/>
      <c r="J6184" s="1139"/>
      <c r="K6184" s="1111"/>
      <c r="L6184" s="1112"/>
      <c r="M6184" s="1113"/>
      <c r="N6184" s="110"/>
      <c r="O6184" s="1140"/>
      <c r="P6184" s="1115"/>
      <c r="Q6184" s="1116"/>
      <c r="R6184" s="1141"/>
      <c r="S6184" s="1113"/>
      <c r="T6184" s="1143"/>
      <c r="U6184" s="1108"/>
      <c r="V6184" s="1108"/>
      <c r="W6184" s="1108"/>
      <c r="X6184" s="1108"/>
      <c r="Y6184" s="1108"/>
      <c r="Z6184" s="1114"/>
      <c r="AA6184" s="1114"/>
      <c r="AB6184" s="1114"/>
      <c r="AC6184" s="1117"/>
      <c r="AD6184" s="1115"/>
      <c r="AE6184" s="1115"/>
      <c r="AF6184" s="1115"/>
      <c r="AG6184" s="1115"/>
      <c r="AH6184" s="1115"/>
      <c r="AI6184" s="1115"/>
      <c r="AJ6184" s="1117"/>
      <c r="AK6184" s="1118"/>
      <c r="AL6184" s="1115"/>
      <c r="AM6184" s="1115"/>
      <c r="AN6184" s="1115"/>
      <c r="AO6184" s="1115"/>
      <c r="AP6184" s="1115"/>
      <c r="AQ6184" s="1115"/>
      <c r="AR6184" s="1115"/>
      <c r="AS6184" s="1117"/>
      <c r="AT6184" s="1075"/>
      <c r="AU6184" s="1193"/>
      <c r="AV6184" s="330"/>
      <c r="AW6184" s="331"/>
      <c r="AX6184" s="331"/>
      <c r="AY6184" s="331"/>
      <c r="AZ6184" s="331"/>
      <c r="BA6184" s="331"/>
      <c r="BB6184" s="331"/>
      <c r="BC6184" s="331"/>
      <c r="BD6184" s="331"/>
      <c r="BE6184" s="333"/>
      <c r="BF6184" s="330"/>
      <c r="BG6184" s="333"/>
      <c r="BH6184" s="1119"/>
      <c r="BI6184" s="319"/>
      <c r="BJ6184" s="319"/>
      <c r="BK6184" s="319"/>
      <c r="BL6184" s="319"/>
      <c r="BM6184" s="319"/>
      <c r="BN6184" s="319"/>
      <c r="BO6184" s="319"/>
      <c r="BP6184" s="953"/>
      <c r="BQ6184" s="319"/>
      <c r="BR6184" s="319"/>
      <c r="BS6184" s="330"/>
      <c r="BT6184" s="331"/>
      <c r="BU6184" s="920"/>
      <c r="BV6184" s="903"/>
      <c r="BW6184" s="908"/>
      <c r="BX6184" s="908"/>
      <c r="BY6184" s="331"/>
      <c r="BZ6184" s="331"/>
      <c r="CA6184" s="462"/>
      <c r="CB6184" s="319"/>
      <c r="CC6184" s="319"/>
      <c r="CD6184" s="319"/>
      <c r="CE6184" s="319"/>
      <c r="CF6184" s="319"/>
      <c r="CG6184" s="319"/>
      <c r="CH6184" s="318"/>
      <c r="CI6184" s="319"/>
      <c r="CJ6184" s="319"/>
      <c r="CK6184" s="342"/>
      <c r="CL6184" s="333"/>
      <c r="CM6184" s="1079"/>
      <c r="CN6184" s="1005"/>
      <c r="CO6184" s="1005"/>
      <c r="CP6184" s="1005"/>
    </row>
    <row r="6185">
      <c r="A6185" s="1257"/>
      <c r="B6185" s="1113"/>
      <c r="C6185" s="1107"/>
      <c r="D6185" s="103"/>
      <c r="E6185" s="1137"/>
      <c r="F6185" s="112"/>
      <c r="G6185" s="1110"/>
      <c r="H6185" s="1138"/>
      <c r="I6185" s="1138"/>
      <c r="J6185" s="1139"/>
      <c r="K6185" s="1111"/>
      <c r="L6185" s="1112"/>
      <c r="M6185" s="1113"/>
      <c r="N6185" s="110"/>
      <c r="O6185" s="1140"/>
      <c r="P6185" s="1115"/>
      <c r="Q6185" s="1116"/>
      <c r="R6185" s="1141"/>
      <c r="S6185" s="1113"/>
      <c r="T6185" s="1143"/>
      <c r="U6185" s="1108"/>
      <c r="V6185" s="1108"/>
      <c r="W6185" s="1108"/>
      <c r="X6185" s="1108"/>
      <c r="Y6185" s="1108"/>
      <c r="Z6185" s="1114"/>
      <c r="AA6185" s="1114"/>
      <c r="AB6185" s="1114"/>
      <c r="AC6185" s="1117"/>
      <c r="AD6185" s="1115"/>
      <c r="AE6185" s="1115"/>
      <c r="AF6185" s="1115"/>
      <c r="AG6185" s="1115"/>
      <c r="AH6185" s="1115"/>
      <c r="AI6185" s="1115"/>
      <c r="AJ6185" s="1117"/>
      <c r="AK6185" s="1118"/>
      <c r="AL6185" s="1115"/>
      <c r="AM6185" s="1115"/>
      <c r="AN6185" s="1115"/>
      <c r="AO6185" s="1115"/>
      <c r="AP6185" s="1115"/>
      <c r="AQ6185" s="1115"/>
      <c r="AR6185" s="1115"/>
      <c r="AS6185" s="1117"/>
      <c r="AT6185" s="1075"/>
      <c r="AU6185" s="1193"/>
      <c r="AV6185" s="330"/>
      <c r="AW6185" s="331"/>
      <c r="AX6185" s="331"/>
      <c r="AY6185" s="331"/>
      <c r="AZ6185" s="331"/>
      <c r="BA6185" s="331"/>
      <c r="BB6185" s="331"/>
      <c r="BC6185" s="331"/>
      <c r="BD6185" s="331"/>
      <c r="BE6185" s="333"/>
      <c r="BF6185" s="330"/>
      <c r="BG6185" s="333"/>
      <c r="BH6185" s="1119"/>
      <c r="BI6185" s="319"/>
      <c r="BJ6185" s="319"/>
      <c r="BK6185" s="319"/>
      <c r="BL6185" s="319"/>
      <c r="BM6185" s="319"/>
      <c r="BN6185" s="319"/>
      <c r="BO6185" s="319"/>
      <c r="BP6185" s="953"/>
      <c r="BQ6185" s="319"/>
      <c r="BR6185" s="319"/>
      <c r="BS6185" s="330"/>
      <c r="BT6185" s="331"/>
      <c r="BU6185" s="920"/>
      <c r="BV6185" s="903"/>
      <c r="BW6185" s="908"/>
      <c r="BX6185" s="908"/>
      <c r="BY6185" s="331"/>
      <c r="BZ6185" s="331"/>
      <c r="CA6185" s="462"/>
      <c r="CB6185" s="319"/>
      <c r="CC6185" s="319"/>
      <c r="CD6185" s="319"/>
      <c r="CE6185" s="319"/>
      <c r="CF6185" s="319"/>
      <c r="CG6185" s="319"/>
      <c r="CH6185" s="318"/>
      <c r="CI6185" s="319"/>
      <c r="CJ6185" s="319"/>
      <c r="CK6185" s="342"/>
      <c r="CL6185" s="333"/>
      <c r="CM6185" s="1079"/>
      <c r="CN6185" s="1005"/>
      <c r="CO6185" s="1005"/>
      <c r="CP6185" s="1005"/>
    </row>
    <row r="6186">
      <c r="A6186" s="1257"/>
      <c r="B6186" s="1113"/>
      <c r="C6186" s="1107"/>
      <c r="D6186" s="103"/>
      <c r="E6186" s="1137"/>
      <c r="F6186" s="112"/>
      <c r="G6186" s="1110"/>
      <c r="H6186" s="1138"/>
      <c r="I6186" s="1138"/>
      <c r="J6186" s="1139"/>
      <c r="K6186" s="1111"/>
      <c r="L6186" s="1112"/>
      <c r="M6186" s="1113"/>
      <c r="N6186" s="110"/>
      <c r="O6186" s="1140"/>
      <c r="P6186" s="1115"/>
      <c r="Q6186" s="1116"/>
      <c r="R6186" s="1141"/>
      <c r="S6186" s="1113"/>
      <c r="T6186" s="1143"/>
      <c r="U6186" s="1108"/>
      <c r="V6186" s="1108"/>
      <c r="W6186" s="1108"/>
      <c r="X6186" s="1108"/>
      <c r="Y6186" s="1108"/>
      <c r="Z6186" s="1114"/>
      <c r="AA6186" s="1114"/>
      <c r="AB6186" s="1114"/>
      <c r="AC6186" s="1117"/>
      <c r="AD6186" s="1115"/>
      <c r="AE6186" s="1115"/>
      <c r="AF6186" s="1115"/>
      <c r="AG6186" s="1115"/>
      <c r="AH6186" s="1115"/>
      <c r="AI6186" s="1115"/>
      <c r="AJ6186" s="1117"/>
      <c r="AK6186" s="1118"/>
      <c r="AL6186" s="1115"/>
      <c r="AM6186" s="1115"/>
      <c r="AN6186" s="1115"/>
      <c r="AO6186" s="1115"/>
      <c r="AP6186" s="1115"/>
      <c r="AQ6186" s="1115"/>
      <c r="AR6186" s="1115"/>
      <c r="AS6186" s="1117"/>
      <c r="AT6186" s="1075"/>
      <c r="AU6186" s="1193"/>
      <c r="AV6186" s="330"/>
      <c r="AW6186" s="331"/>
      <c r="AX6186" s="331"/>
      <c r="AY6186" s="331"/>
      <c r="AZ6186" s="331"/>
      <c r="BA6186" s="331"/>
      <c r="BB6186" s="331"/>
      <c r="BC6186" s="331"/>
      <c r="BD6186" s="331"/>
      <c r="BE6186" s="333"/>
      <c r="BF6186" s="330"/>
      <c r="BG6186" s="333"/>
      <c r="BH6186" s="1119"/>
      <c r="BI6186" s="319"/>
      <c r="BJ6186" s="319"/>
      <c r="BK6186" s="319"/>
      <c r="BL6186" s="319"/>
      <c r="BM6186" s="319"/>
      <c r="BN6186" s="319"/>
      <c r="BO6186" s="319"/>
      <c r="BP6186" s="953"/>
      <c r="BQ6186" s="319"/>
      <c r="BR6186" s="319"/>
      <c r="BS6186" s="330"/>
      <c r="BT6186" s="331"/>
      <c r="BU6186" s="920"/>
      <c r="BV6186" s="903"/>
      <c r="BW6186" s="908"/>
      <c r="BX6186" s="908"/>
      <c r="BY6186" s="331"/>
      <c r="BZ6186" s="331"/>
      <c r="CA6186" s="462"/>
      <c r="CB6186" s="319"/>
      <c r="CC6186" s="319"/>
      <c r="CD6186" s="319"/>
      <c r="CE6186" s="319"/>
      <c r="CF6186" s="319"/>
      <c r="CG6186" s="319"/>
      <c r="CH6186" s="318"/>
      <c r="CI6186" s="319"/>
      <c r="CJ6186" s="319"/>
      <c r="CK6186" s="342"/>
      <c r="CL6186" s="333"/>
      <c r="CM6186" s="1079"/>
      <c r="CN6186" s="1005"/>
      <c r="CO6186" s="1005"/>
      <c r="CP6186" s="1005"/>
    </row>
    <row r="6187">
      <c r="A6187" s="1257"/>
      <c r="B6187" s="1113"/>
      <c r="C6187" s="1107"/>
      <c r="D6187" s="103"/>
      <c r="E6187" s="1137"/>
      <c r="F6187" s="112"/>
      <c r="G6187" s="1110"/>
      <c r="H6187" s="1138"/>
      <c r="I6187" s="1138"/>
      <c r="J6187" s="1139"/>
      <c r="K6187" s="1111"/>
      <c r="L6187" s="1112"/>
      <c r="M6187" s="1113"/>
      <c r="N6187" s="110"/>
      <c r="O6187" s="1140"/>
      <c r="P6187" s="1115"/>
      <c r="Q6187" s="1116"/>
      <c r="R6187" s="1141"/>
      <c r="S6187" s="1113"/>
      <c r="T6187" s="1143"/>
      <c r="U6187" s="1108"/>
      <c r="V6187" s="1108"/>
      <c r="W6187" s="1108"/>
      <c r="X6187" s="1108"/>
      <c r="Y6187" s="1108"/>
      <c r="Z6187" s="1114"/>
      <c r="AA6187" s="1114"/>
      <c r="AB6187" s="1114"/>
      <c r="AC6187" s="1117"/>
      <c r="AD6187" s="1115"/>
      <c r="AE6187" s="1115"/>
      <c r="AF6187" s="1115"/>
      <c r="AG6187" s="1115"/>
      <c r="AH6187" s="1115"/>
      <c r="AI6187" s="1115"/>
      <c r="AJ6187" s="1117"/>
      <c r="AK6187" s="1118"/>
      <c r="AL6187" s="1115"/>
      <c r="AM6187" s="1115"/>
      <c r="AN6187" s="1115"/>
      <c r="AO6187" s="1115"/>
      <c r="AP6187" s="1115"/>
      <c r="AQ6187" s="1115"/>
      <c r="AR6187" s="1115"/>
      <c r="AS6187" s="1117"/>
      <c r="AT6187" s="1075"/>
      <c r="AU6187" s="1193"/>
      <c r="AV6187" s="330"/>
      <c r="AW6187" s="331"/>
      <c r="AX6187" s="331"/>
      <c r="AY6187" s="331"/>
      <c r="AZ6187" s="331"/>
      <c r="BA6187" s="331"/>
      <c r="BB6187" s="331"/>
      <c r="BC6187" s="331"/>
      <c r="BD6187" s="331"/>
      <c r="BE6187" s="333"/>
      <c r="BF6187" s="330"/>
      <c r="BG6187" s="333"/>
      <c r="BH6187" s="1119"/>
      <c r="BI6187" s="319"/>
      <c r="BJ6187" s="319"/>
      <c r="BK6187" s="319"/>
      <c r="BL6187" s="319"/>
      <c r="BM6187" s="319"/>
      <c r="BN6187" s="319"/>
      <c r="BO6187" s="319"/>
      <c r="BP6187" s="953"/>
      <c r="BQ6187" s="319"/>
      <c r="BR6187" s="319"/>
      <c r="BS6187" s="330"/>
      <c r="BT6187" s="331"/>
      <c r="BU6187" s="920"/>
      <c r="BV6187" s="903"/>
      <c r="BW6187" s="908"/>
      <c r="BX6187" s="908"/>
      <c r="BY6187" s="331"/>
      <c r="BZ6187" s="331"/>
      <c r="CA6187" s="462"/>
      <c r="CB6187" s="319"/>
      <c r="CC6187" s="319"/>
      <c r="CD6187" s="319"/>
      <c r="CE6187" s="319"/>
      <c r="CF6187" s="319"/>
      <c r="CG6187" s="319"/>
      <c r="CH6187" s="318"/>
      <c r="CI6187" s="319"/>
      <c r="CJ6187" s="319"/>
      <c r="CK6187" s="342"/>
      <c r="CL6187" s="333"/>
      <c r="CM6187" s="1079"/>
      <c r="CN6187" s="1005"/>
      <c r="CO6187" s="1005"/>
      <c r="CP6187" s="1005"/>
    </row>
    <row r="6188">
      <c r="A6188" s="1257"/>
      <c r="B6188" s="1113"/>
      <c r="C6188" s="1107"/>
      <c r="D6188" s="103"/>
      <c r="E6188" s="1137"/>
      <c r="F6188" s="112"/>
      <c r="G6188" s="1110"/>
      <c r="H6188" s="1138"/>
      <c r="I6188" s="1138"/>
      <c r="J6188" s="1139"/>
      <c r="K6188" s="1111"/>
      <c r="L6188" s="1112"/>
      <c r="M6188" s="1113"/>
      <c r="N6188" s="110"/>
      <c r="O6188" s="1140"/>
      <c r="P6188" s="1115"/>
      <c r="Q6188" s="1116"/>
      <c r="R6188" s="1141"/>
      <c r="S6188" s="1113"/>
      <c r="T6188" s="1143"/>
      <c r="U6188" s="1108"/>
      <c r="V6188" s="1108"/>
      <c r="W6188" s="1108"/>
      <c r="X6188" s="1108"/>
      <c r="Y6188" s="1108"/>
      <c r="Z6188" s="1114"/>
      <c r="AA6188" s="1114"/>
      <c r="AB6188" s="1114"/>
      <c r="AC6188" s="1117"/>
      <c r="AD6188" s="1115"/>
      <c r="AE6188" s="1115"/>
      <c r="AF6188" s="1115"/>
      <c r="AG6188" s="1115"/>
      <c r="AH6188" s="1115"/>
      <c r="AI6188" s="1115"/>
      <c r="AJ6188" s="1117"/>
      <c r="AK6188" s="1118"/>
      <c r="AL6188" s="1115"/>
      <c r="AM6188" s="1115"/>
      <c r="AN6188" s="1115"/>
      <c r="AO6188" s="1115"/>
      <c r="AP6188" s="1115"/>
      <c r="AQ6188" s="1115"/>
      <c r="AR6188" s="1115"/>
      <c r="AS6188" s="1117"/>
      <c r="AT6188" s="1075"/>
      <c r="AU6188" s="1193"/>
      <c r="AV6188" s="330"/>
      <c r="AW6188" s="331"/>
      <c r="AX6188" s="331"/>
      <c r="AY6188" s="331"/>
      <c r="AZ6188" s="331"/>
      <c r="BA6188" s="331"/>
      <c r="BB6188" s="331"/>
      <c r="BC6188" s="331"/>
      <c r="BD6188" s="331"/>
      <c r="BE6188" s="333"/>
      <c r="BF6188" s="330"/>
      <c r="BG6188" s="333"/>
      <c r="BH6188" s="1119"/>
      <c r="BI6188" s="319"/>
      <c r="BJ6188" s="319"/>
      <c r="BK6188" s="319"/>
      <c r="BL6188" s="319"/>
      <c r="BM6188" s="319"/>
      <c r="BN6188" s="319"/>
      <c r="BO6188" s="319"/>
      <c r="BP6188" s="953"/>
      <c r="BQ6188" s="319"/>
      <c r="BR6188" s="319"/>
      <c r="BS6188" s="330"/>
      <c r="BT6188" s="331"/>
      <c r="BU6188" s="920"/>
      <c r="BV6188" s="903"/>
      <c r="BW6188" s="908"/>
      <c r="BX6188" s="908"/>
      <c r="BY6188" s="331"/>
      <c r="BZ6188" s="331"/>
      <c r="CA6188" s="462"/>
      <c r="CB6188" s="319"/>
      <c r="CC6188" s="319"/>
      <c r="CD6188" s="319"/>
      <c r="CE6188" s="319"/>
      <c r="CF6188" s="319"/>
      <c r="CG6188" s="319"/>
      <c r="CH6188" s="318"/>
      <c r="CI6188" s="319"/>
      <c r="CJ6188" s="319"/>
      <c r="CK6188" s="342"/>
      <c r="CL6188" s="333"/>
      <c r="CM6188" s="1079"/>
      <c r="CN6188" s="1005"/>
      <c r="CO6188" s="1005"/>
      <c r="CP6188" s="1005"/>
    </row>
    <row r="6189">
      <c r="A6189" s="1257"/>
      <c r="B6189" s="1113"/>
      <c r="C6189" s="1107"/>
      <c r="D6189" s="103"/>
      <c r="E6189" s="1137"/>
      <c r="F6189" s="112"/>
      <c r="G6189" s="1110"/>
      <c r="H6189" s="1138"/>
      <c r="I6189" s="1138"/>
      <c r="J6189" s="1139"/>
      <c r="K6189" s="1111"/>
      <c r="L6189" s="1112"/>
      <c r="M6189" s="1113"/>
      <c r="N6189" s="110"/>
      <c r="O6189" s="1140"/>
      <c r="P6189" s="1115"/>
      <c r="Q6189" s="1116"/>
      <c r="R6189" s="1141"/>
      <c r="S6189" s="1113"/>
      <c r="T6189" s="1143"/>
      <c r="U6189" s="1108"/>
      <c r="V6189" s="1108"/>
      <c r="W6189" s="1108"/>
      <c r="X6189" s="1108"/>
      <c r="Y6189" s="1108"/>
      <c r="Z6189" s="1114"/>
      <c r="AA6189" s="1114"/>
      <c r="AB6189" s="1114"/>
      <c r="AC6189" s="1117"/>
      <c r="AD6189" s="1115"/>
      <c r="AE6189" s="1115"/>
      <c r="AF6189" s="1115"/>
      <c r="AG6189" s="1115"/>
      <c r="AH6189" s="1115"/>
      <c r="AI6189" s="1115"/>
      <c r="AJ6189" s="1117"/>
      <c r="AK6189" s="1118"/>
      <c r="AL6189" s="1115"/>
      <c r="AM6189" s="1115"/>
      <c r="AN6189" s="1115"/>
      <c r="AO6189" s="1115"/>
      <c r="AP6189" s="1115"/>
      <c r="AQ6189" s="1115"/>
      <c r="AR6189" s="1115"/>
      <c r="AS6189" s="1117"/>
      <c r="AT6189" s="1075"/>
      <c r="AU6189" s="1193"/>
      <c r="AV6189" s="330"/>
      <c r="AW6189" s="331"/>
      <c r="AX6189" s="331"/>
      <c r="AY6189" s="331"/>
      <c r="AZ6189" s="331"/>
      <c r="BA6189" s="331"/>
      <c r="BB6189" s="331"/>
      <c r="BC6189" s="331"/>
      <c r="BD6189" s="331"/>
      <c r="BE6189" s="333"/>
      <c r="BF6189" s="330"/>
      <c r="BG6189" s="333"/>
      <c r="BH6189" s="1119"/>
      <c r="BI6189" s="319"/>
      <c r="BJ6189" s="319"/>
      <c r="BK6189" s="319"/>
      <c r="BL6189" s="319"/>
      <c r="BM6189" s="319"/>
      <c r="BN6189" s="319"/>
      <c r="BO6189" s="319"/>
      <c r="BP6189" s="953"/>
      <c r="BQ6189" s="319"/>
      <c r="BR6189" s="319"/>
      <c r="BS6189" s="330"/>
      <c r="BT6189" s="331"/>
      <c r="BU6189" s="920"/>
      <c r="BV6189" s="903"/>
      <c r="BW6189" s="908"/>
      <c r="BX6189" s="908"/>
      <c r="BY6189" s="331"/>
      <c r="BZ6189" s="331"/>
      <c r="CA6189" s="462"/>
      <c r="CB6189" s="319"/>
      <c r="CC6189" s="319"/>
      <c r="CD6189" s="319"/>
      <c r="CE6189" s="319"/>
      <c r="CF6189" s="319"/>
      <c r="CG6189" s="319"/>
      <c r="CH6189" s="318"/>
      <c r="CI6189" s="319"/>
      <c r="CJ6189" s="319"/>
      <c r="CK6189" s="342"/>
      <c r="CL6189" s="333"/>
      <c r="CM6189" s="1079"/>
      <c r="CN6189" s="1005"/>
      <c r="CO6189" s="1005"/>
      <c r="CP6189" s="1005"/>
    </row>
    <row r="6190">
      <c r="A6190" s="1257"/>
      <c r="B6190" s="1113"/>
      <c r="C6190" s="1107"/>
      <c r="D6190" s="103"/>
      <c r="E6190" s="1137"/>
      <c r="F6190" s="112"/>
      <c r="G6190" s="1110"/>
      <c r="H6190" s="1138"/>
      <c r="I6190" s="1138"/>
      <c r="J6190" s="1139"/>
      <c r="K6190" s="1111"/>
      <c r="L6190" s="1112"/>
      <c r="M6190" s="1113"/>
      <c r="N6190" s="110"/>
      <c r="O6190" s="1140"/>
      <c r="P6190" s="1115"/>
      <c r="Q6190" s="1116"/>
      <c r="R6190" s="1141"/>
      <c r="S6190" s="1113"/>
      <c r="T6190" s="1143"/>
      <c r="U6190" s="1108"/>
      <c r="V6190" s="1108"/>
      <c r="W6190" s="1108"/>
      <c r="X6190" s="1108"/>
      <c r="Y6190" s="1108"/>
      <c r="Z6190" s="1114"/>
      <c r="AA6190" s="1114"/>
      <c r="AB6190" s="1114"/>
      <c r="AC6190" s="1117"/>
      <c r="AD6190" s="1115"/>
      <c r="AE6190" s="1115"/>
      <c r="AF6190" s="1115"/>
      <c r="AG6190" s="1115"/>
      <c r="AH6190" s="1115"/>
      <c r="AI6190" s="1115"/>
      <c r="AJ6190" s="1117"/>
      <c r="AK6190" s="1118"/>
      <c r="AL6190" s="1115"/>
      <c r="AM6190" s="1115"/>
      <c r="AN6190" s="1115"/>
      <c r="AO6190" s="1115"/>
      <c r="AP6190" s="1115"/>
      <c r="AQ6190" s="1115"/>
      <c r="AR6190" s="1115"/>
      <c r="AS6190" s="1117"/>
      <c r="AT6190" s="1075"/>
      <c r="AU6190" s="1193"/>
      <c r="AV6190" s="330"/>
      <c r="AW6190" s="331"/>
      <c r="AX6190" s="331"/>
      <c r="AY6190" s="331"/>
      <c r="AZ6190" s="331"/>
      <c r="BA6190" s="331"/>
      <c r="BB6190" s="331"/>
      <c r="BC6190" s="331"/>
      <c r="BD6190" s="331"/>
      <c r="BE6190" s="333"/>
      <c r="BF6190" s="330"/>
      <c r="BG6190" s="333"/>
      <c r="BH6190" s="1119"/>
      <c r="BI6190" s="319"/>
      <c r="BJ6190" s="319"/>
      <c r="BK6190" s="319"/>
      <c r="BL6190" s="319"/>
      <c r="BM6190" s="319"/>
      <c r="BN6190" s="319"/>
      <c r="BO6190" s="319"/>
      <c r="BP6190" s="953"/>
      <c r="BQ6190" s="319"/>
      <c r="BR6190" s="319"/>
      <c r="BS6190" s="330"/>
      <c r="BT6190" s="331"/>
      <c r="BU6190" s="920"/>
      <c r="BV6190" s="903"/>
      <c r="BW6190" s="908"/>
      <c r="BX6190" s="908"/>
      <c r="BY6190" s="331"/>
      <c r="BZ6190" s="331"/>
      <c r="CA6190" s="462"/>
      <c r="CB6190" s="319"/>
      <c r="CC6190" s="319"/>
      <c r="CD6190" s="319"/>
      <c r="CE6190" s="319"/>
      <c r="CF6190" s="319"/>
      <c r="CG6190" s="319"/>
      <c r="CH6190" s="318"/>
      <c r="CI6190" s="319"/>
      <c r="CJ6190" s="319"/>
      <c r="CK6190" s="342"/>
      <c r="CL6190" s="333"/>
      <c r="CM6190" s="1079"/>
      <c r="CN6190" s="1005"/>
      <c r="CO6190" s="1005"/>
      <c r="CP6190" s="1005"/>
    </row>
    <row r="6191">
      <c r="A6191" s="1257"/>
      <c r="B6191" s="1113"/>
      <c r="C6191" s="1107"/>
      <c r="D6191" s="103"/>
      <c r="E6191" s="1137"/>
      <c r="F6191" s="112"/>
      <c r="G6191" s="1110"/>
      <c r="H6191" s="1138"/>
      <c r="I6191" s="1138"/>
      <c r="J6191" s="1139"/>
      <c r="K6191" s="1111"/>
      <c r="L6191" s="1112"/>
      <c r="M6191" s="1113"/>
      <c r="N6191" s="110"/>
      <c r="O6191" s="1140"/>
      <c r="P6191" s="1115"/>
      <c r="Q6191" s="1116"/>
      <c r="R6191" s="1141"/>
      <c r="S6191" s="1113"/>
      <c r="T6191" s="1143"/>
      <c r="U6191" s="1108"/>
      <c r="V6191" s="1108"/>
      <c r="W6191" s="1108"/>
      <c r="X6191" s="1108"/>
      <c r="Y6191" s="1108"/>
      <c r="Z6191" s="1114"/>
      <c r="AA6191" s="1114"/>
      <c r="AB6191" s="1114"/>
      <c r="AC6191" s="1117"/>
      <c r="AD6191" s="1115"/>
      <c r="AE6191" s="1115"/>
      <c r="AF6191" s="1115"/>
      <c r="AG6191" s="1115"/>
      <c r="AH6191" s="1115"/>
      <c r="AI6191" s="1115"/>
      <c r="AJ6191" s="1117"/>
      <c r="AK6191" s="1118"/>
      <c r="AL6191" s="1115"/>
      <c r="AM6191" s="1115"/>
      <c r="AN6191" s="1115"/>
      <c r="AO6191" s="1115"/>
      <c r="AP6191" s="1115"/>
      <c r="AQ6191" s="1115"/>
      <c r="AR6191" s="1115"/>
      <c r="AS6191" s="1117"/>
      <c r="AT6191" s="1075"/>
      <c r="AU6191" s="1193"/>
      <c r="AV6191" s="330"/>
      <c r="AW6191" s="331"/>
      <c r="AX6191" s="331"/>
      <c r="AY6191" s="331"/>
      <c r="AZ6191" s="331"/>
      <c r="BA6191" s="331"/>
      <c r="BB6191" s="331"/>
      <c r="BC6191" s="331"/>
      <c r="BD6191" s="331"/>
      <c r="BE6191" s="333"/>
      <c r="BF6191" s="330"/>
      <c r="BG6191" s="333"/>
      <c r="BH6191" s="1119"/>
      <c r="BI6191" s="319"/>
      <c r="BJ6191" s="319"/>
      <c r="BK6191" s="319"/>
      <c r="BL6191" s="319"/>
      <c r="BM6191" s="319"/>
      <c r="BN6191" s="319"/>
      <c r="BO6191" s="319"/>
      <c r="BP6191" s="953"/>
      <c r="BQ6191" s="319"/>
      <c r="BR6191" s="319"/>
      <c r="BS6191" s="330"/>
      <c r="BT6191" s="331"/>
      <c r="BU6191" s="920"/>
      <c r="BV6191" s="903"/>
      <c r="BW6191" s="908"/>
      <c r="BX6191" s="908"/>
      <c r="BY6191" s="331"/>
      <c r="BZ6191" s="331"/>
      <c r="CA6191" s="462"/>
      <c r="CB6191" s="319"/>
      <c r="CC6191" s="319"/>
      <c r="CD6191" s="319"/>
      <c r="CE6191" s="319"/>
      <c r="CF6191" s="319"/>
      <c r="CG6191" s="319"/>
      <c r="CH6191" s="318"/>
      <c r="CI6191" s="319"/>
      <c r="CJ6191" s="319"/>
      <c r="CK6191" s="342"/>
      <c r="CL6191" s="333"/>
      <c r="CM6191" s="1079"/>
      <c r="CN6191" s="1005"/>
      <c r="CO6191" s="1005"/>
      <c r="CP6191" s="1005"/>
    </row>
    <row r="6192">
      <c r="A6192" s="1257"/>
      <c r="B6192" s="1113"/>
      <c r="C6192" s="1107"/>
      <c r="D6192" s="103"/>
      <c r="E6192" s="1137"/>
      <c r="F6192" s="112"/>
      <c r="G6192" s="1110"/>
      <c r="H6192" s="1138"/>
      <c r="I6192" s="1138"/>
      <c r="J6192" s="1139"/>
      <c r="K6192" s="1111"/>
      <c r="L6192" s="1112"/>
      <c r="M6192" s="1113"/>
      <c r="N6192" s="110"/>
      <c r="O6192" s="1140"/>
      <c r="P6192" s="1115"/>
      <c r="Q6192" s="1116"/>
      <c r="R6192" s="1141"/>
      <c r="S6192" s="1113"/>
      <c r="T6192" s="1143"/>
      <c r="U6192" s="1108"/>
      <c r="V6192" s="1108"/>
      <c r="W6192" s="1108"/>
      <c r="X6192" s="1108"/>
      <c r="Y6192" s="1108"/>
      <c r="Z6192" s="1114"/>
      <c r="AA6192" s="1114"/>
      <c r="AB6192" s="1114"/>
      <c r="AC6192" s="1117"/>
      <c r="AD6192" s="1115"/>
      <c r="AE6192" s="1115"/>
      <c r="AF6192" s="1115"/>
      <c r="AG6192" s="1115"/>
      <c r="AH6192" s="1115"/>
      <c r="AI6192" s="1115"/>
      <c r="AJ6192" s="1117"/>
      <c r="AK6192" s="1118"/>
      <c r="AL6192" s="1115"/>
      <c r="AM6192" s="1115"/>
      <c r="AN6192" s="1115"/>
      <c r="AO6192" s="1115"/>
      <c r="AP6192" s="1115"/>
      <c r="AQ6192" s="1115"/>
      <c r="AR6192" s="1115"/>
      <c r="AS6192" s="1117"/>
      <c r="AT6192" s="1075"/>
      <c r="AU6192" s="1193"/>
      <c r="AV6192" s="330"/>
      <c r="AW6192" s="331"/>
      <c r="AX6192" s="331"/>
      <c r="AY6192" s="331"/>
      <c r="AZ6192" s="331"/>
      <c r="BA6192" s="331"/>
      <c r="BB6192" s="331"/>
      <c r="BC6192" s="331"/>
      <c r="BD6192" s="331"/>
      <c r="BE6192" s="333"/>
      <c r="BF6192" s="330"/>
      <c r="BG6192" s="333"/>
      <c r="BH6192" s="1119"/>
      <c r="BI6192" s="319"/>
      <c r="BJ6192" s="319"/>
      <c r="BK6192" s="319"/>
      <c r="BL6192" s="319"/>
      <c r="BM6192" s="319"/>
      <c r="BN6192" s="319"/>
      <c r="BO6192" s="319"/>
      <c r="BP6192" s="953"/>
      <c r="BQ6192" s="319"/>
      <c r="BR6192" s="319"/>
      <c r="BS6192" s="330"/>
      <c r="BT6192" s="331"/>
      <c r="BU6192" s="920"/>
      <c r="BV6192" s="903"/>
      <c r="BW6192" s="908"/>
      <c r="BX6192" s="908"/>
      <c r="BY6192" s="331"/>
      <c r="BZ6192" s="331"/>
      <c r="CA6192" s="462"/>
      <c r="CB6192" s="319"/>
      <c r="CC6192" s="319"/>
      <c r="CD6192" s="319"/>
      <c r="CE6192" s="319"/>
      <c r="CF6192" s="319"/>
      <c r="CG6192" s="319"/>
      <c r="CH6192" s="318"/>
      <c r="CI6192" s="319"/>
      <c r="CJ6192" s="319"/>
      <c r="CK6192" s="342"/>
      <c r="CL6192" s="333"/>
      <c r="CM6192" s="1079"/>
      <c r="CN6192" s="1005"/>
      <c r="CO6192" s="1005"/>
      <c r="CP6192" s="1005"/>
    </row>
    <row r="6193">
      <c r="A6193" s="1257"/>
      <c r="B6193" s="1113"/>
      <c r="C6193" s="1107"/>
      <c r="D6193" s="103"/>
      <c r="E6193" s="1137"/>
      <c r="F6193" s="112"/>
      <c r="G6193" s="1110"/>
      <c r="H6193" s="1138"/>
      <c r="I6193" s="1138"/>
      <c r="J6193" s="1139"/>
      <c r="K6193" s="1111"/>
      <c r="L6193" s="1112"/>
      <c r="M6193" s="1113"/>
      <c r="N6193" s="110"/>
      <c r="O6193" s="1140"/>
      <c r="P6193" s="1115"/>
      <c r="Q6193" s="1116"/>
      <c r="R6193" s="1141"/>
      <c r="S6193" s="1113"/>
      <c r="T6193" s="1143"/>
      <c r="U6193" s="1108"/>
      <c r="V6193" s="1108"/>
      <c r="W6193" s="1108"/>
      <c r="X6193" s="1108"/>
      <c r="Y6193" s="1108"/>
      <c r="Z6193" s="1114"/>
      <c r="AA6193" s="1114"/>
      <c r="AB6193" s="1114"/>
      <c r="AC6193" s="1117"/>
      <c r="AD6193" s="1115"/>
      <c r="AE6193" s="1115"/>
      <c r="AF6193" s="1115"/>
      <c r="AG6193" s="1115"/>
      <c r="AH6193" s="1115"/>
      <c r="AI6193" s="1115"/>
      <c r="AJ6193" s="1117"/>
      <c r="AK6193" s="1118"/>
      <c r="AL6193" s="1115"/>
      <c r="AM6193" s="1115"/>
      <c r="AN6193" s="1115"/>
      <c r="AO6193" s="1115"/>
      <c r="AP6193" s="1115"/>
      <c r="AQ6193" s="1115"/>
      <c r="AR6193" s="1115"/>
      <c r="AS6193" s="1117"/>
      <c r="AT6193" s="1075"/>
      <c r="AU6193" s="1193"/>
      <c r="AV6193" s="330"/>
      <c r="AW6193" s="331"/>
      <c r="AX6193" s="331"/>
      <c r="AY6193" s="331"/>
      <c r="AZ6193" s="331"/>
      <c r="BA6193" s="331"/>
      <c r="BB6193" s="331"/>
      <c r="BC6193" s="331"/>
      <c r="BD6193" s="331"/>
      <c r="BE6193" s="333"/>
      <c r="BF6193" s="330"/>
      <c r="BG6193" s="333"/>
      <c r="BH6193" s="1119"/>
      <c r="BI6193" s="319"/>
      <c r="BJ6193" s="319"/>
      <c r="BK6193" s="319"/>
      <c r="BL6193" s="319"/>
      <c r="BM6193" s="319"/>
      <c r="BN6193" s="319"/>
      <c r="BO6193" s="319"/>
      <c r="BP6193" s="953"/>
      <c r="BQ6193" s="319"/>
      <c r="BR6193" s="319"/>
      <c r="BS6193" s="330"/>
      <c r="BT6193" s="331"/>
      <c r="BU6193" s="920"/>
      <c r="BV6193" s="903"/>
      <c r="BW6193" s="908"/>
      <c r="BX6193" s="908"/>
      <c r="BY6193" s="331"/>
      <c r="BZ6193" s="331"/>
      <c r="CA6193" s="462"/>
      <c r="CB6193" s="319"/>
      <c r="CC6193" s="319"/>
      <c r="CD6193" s="319"/>
      <c r="CE6193" s="319"/>
      <c r="CF6193" s="319"/>
      <c r="CG6193" s="319"/>
      <c r="CH6193" s="318"/>
      <c r="CI6193" s="319"/>
      <c r="CJ6193" s="319"/>
      <c r="CK6193" s="342"/>
      <c r="CL6193" s="333"/>
      <c r="CM6193" s="1079"/>
      <c r="CN6193" s="1005"/>
      <c r="CO6193" s="1005"/>
      <c r="CP6193" s="1005"/>
    </row>
    <row r="6194">
      <c r="A6194" s="1257"/>
      <c r="B6194" s="1113"/>
      <c r="C6194" s="1107"/>
      <c r="D6194" s="103"/>
      <c r="E6194" s="1137"/>
      <c r="F6194" s="112"/>
      <c r="G6194" s="1110"/>
      <c r="H6194" s="1138"/>
      <c r="I6194" s="1138"/>
      <c r="J6194" s="1139"/>
      <c r="K6194" s="1111"/>
      <c r="L6194" s="1112"/>
      <c r="M6194" s="1113"/>
      <c r="N6194" s="110"/>
      <c r="O6194" s="1140"/>
      <c r="P6194" s="1115"/>
      <c r="Q6194" s="1116"/>
      <c r="R6194" s="1141"/>
      <c r="S6194" s="1113"/>
      <c r="T6194" s="1143"/>
      <c r="U6194" s="1108"/>
      <c r="V6194" s="1108"/>
      <c r="W6194" s="1108"/>
      <c r="X6194" s="1108"/>
      <c r="Y6194" s="1108"/>
      <c r="Z6194" s="1114"/>
      <c r="AA6194" s="1114"/>
      <c r="AB6194" s="1114"/>
      <c r="AC6194" s="1117"/>
      <c r="AD6194" s="1115"/>
      <c r="AE6194" s="1115"/>
      <c r="AF6194" s="1115"/>
      <c r="AG6194" s="1115"/>
      <c r="AH6194" s="1115"/>
      <c r="AI6194" s="1115"/>
      <c r="AJ6194" s="1117"/>
      <c r="AK6194" s="1118"/>
      <c r="AL6194" s="1115"/>
      <c r="AM6194" s="1115"/>
      <c r="AN6194" s="1115"/>
      <c r="AO6194" s="1115"/>
      <c r="AP6194" s="1115"/>
      <c r="AQ6194" s="1115"/>
      <c r="AR6194" s="1115"/>
      <c r="AS6194" s="1117"/>
      <c r="AT6194" s="1075"/>
      <c r="AU6194" s="1193"/>
      <c r="AV6194" s="330"/>
      <c r="AW6194" s="331"/>
      <c r="AX6194" s="331"/>
      <c r="AY6194" s="331"/>
      <c r="AZ6194" s="331"/>
      <c r="BA6194" s="331"/>
      <c r="BB6194" s="331"/>
      <c r="BC6194" s="331"/>
      <c r="BD6194" s="331"/>
      <c r="BE6194" s="333"/>
      <c r="BF6194" s="330"/>
      <c r="BG6194" s="333"/>
      <c r="BH6194" s="1119"/>
      <c r="BI6194" s="319"/>
      <c r="BJ6194" s="319"/>
      <c r="BK6194" s="319"/>
      <c r="BL6194" s="319"/>
      <c r="BM6194" s="319"/>
      <c r="BN6194" s="319"/>
      <c r="BO6194" s="319"/>
      <c r="BP6194" s="953"/>
      <c r="BQ6194" s="319"/>
      <c r="BR6194" s="319"/>
      <c r="BS6194" s="330"/>
      <c r="BT6194" s="331"/>
      <c r="BU6194" s="920"/>
      <c r="BV6194" s="903"/>
      <c r="BW6194" s="908"/>
      <c r="BX6194" s="908"/>
      <c r="BY6194" s="331"/>
      <c r="BZ6194" s="331"/>
      <c r="CA6194" s="462"/>
      <c r="CB6194" s="319"/>
      <c r="CC6194" s="319"/>
      <c r="CD6194" s="319"/>
      <c r="CE6194" s="319"/>
      <c r="CF6194" s="319"/>
      <c r="CG6194" s="319"/>
      <c r="CH6194" s="318"/>
      <c r="CI6194" s="319"/>
      <c r="CJ6194" s="319"/>
      <c r="CK6194" s="342"/>
      <c r="CL6194" s="333"/>
      <c r="CM6194" s="1079"/>
      <c r="CN6194" s="1005"/>
      <c r="CO6194" s="1005"/>
      <c r="CP6194" s="1005"/>
    </row>
    <row r="6195">
      <c r="A6195" s="1257"/>
      <c r="B6195" s="1113"/>
      <c r="C6195" s="1107"/>
      <c r="D6195" s="103"/>
      <c r="E6195" s="1137"/>
      <c r="F6195" s="112"/>
      <c r="G6195" s="1110"/>
      <c r="H6195" s="1138"/>
      <c r="I6195" s="1138"/>
      <c r="J6195" s="1139"/>
      <c r="K6195" s="1111"/>
      <c r="L6195" s="1112"/>
      <c r="M6195" s="1113"/>
      <c r="N6195" s="110"/>
      <c r="O6195" s="1140"/>
      <c r="P6195" s="1115"/>
      <c r="Q6195" s="1116"/>
      <c r="R6195" s="1141"/>
      <c r="S6195" s="1113"/>
      <c r="T6195" s="1143"/>
      <c r="U6195" s="1108"/>
      <c r="V6195" s="1108"/>
      <c r="W6195" s="1108"/>
      <c r="X6195" s="1108"/>
      <c r="Y6195" s="1108"/>
      <c r="Z6195" s="1114"/>
      <c r="AA6195" s="1114"/>
      <c r="AB6195" s="1114"/>
      <c r="AC6195" s="1117"/>
      <c r="AD6195" s="1115"/>
      <c r="AE6195" s="1115"/>
      <c r="AF6195" s="1115"/>
      <c r="AG6195" s="1115"/>
      <c r="AH6195" s="1115"/>
      <c r="AI6195" s="1115"/>
      <c r="AJ6195" s="1117"/>
      <c r="AK6195" s="1118"/>
      <c r="AL6195" s="1115"/>
      <c r="AM6195" s="1115"/>
      <c r="AN6195" s="1115"/>
      <c r="AO6195" s="1115"/>
      <c r="AP6195" s="1115"/>
      <c r="AQ6195" s="1115"/>
      <c r="AR6195" s="1115"/>
      <c r="AS6195" s="1117"/>
      <c r="AT6195" s="1075"/>
      <c r="AU6195" s="1193"/>
      <c r="AV6195" s="330"/>
      <c r="AW6195" s="331"/>
      <c r="AX6195" s="331"/>
      <c r="AY6195" s="331"/>
      <c r="AZ6195" s="331"/>
      <c r="BA6195" s="331"/>
      <c r="BB6195" s="331"/>
      <c r="BC6195" s="331"/>
      <c r="BD6195" s="331"/>
      <c r="BE6195" s="333"/>
      <c r="BF6195" s="330"/>
      <c r="BG6195" s="333"/>
      <c r="BH6195" s="1119"/>
      <c r="BI6195" s="319"/>
      <c r="BJ6195" s="319"/>
      <c r="BK6195" s="319"/>
      <c r="BL6195" s="319"/>
      <c r="BM6195" s="319"/>
      <c r="BN6195" s="319"/>
      <c r="BO6195" s="319"/>
      <c r="BP6195" s="953"/>
      <c r="BQ6195" s="319"/>
      <c r="BR6195" s="319"/>
      <c r="BS6195" s="330"/>
      <c r="BT6195" s="331"/>
      <c r="BU6195" s="920"/>
      <c r="BV6195" s="903"/>
      <c r="BW6195" s="908"/>
      <c r="BX6195" s="908"/>
      <c r="BY6195" s="331"/>
      <c r="BZ6195" s="331"/>
      <c r="CA6195" s="462"/>
      <c r="CB6195" s="319"/>
      <c r="CC6195" s="319"/>
      <c r="CD6195" s="319"/>
      <c r="CE6195" s="319"/>
      <c r="CF6195" s="319"/>
      <c r="CG6195" s="319"/>
      <c r="CH6195" s="318"/>
      <c r="CI6195" s="319"/>
      <c r="CJ6195" s="319"/>
      <c r="CK6195" s="342"/>
      <c r="CL6195" s="333"/>
      <c r="CM6195" s="1079"/>
      <c r="CN6195" s="1005"/>
      <c r="CO6195" s="1005"/>
      <c r="CP6195" s="1005"/>
    </row>
    <row r="6196">
      <c r="A6196" s="1257"/>
      <c r="B6196" s="1113"/>
      <c r="C6196" s="1107"/>
      <c r="D6196" s="103"/>
      <c r="E6196" s="1137"/>
      <c r="F6196" s="112"/>
      <c r="G6196" s="1110"/>
      <c r="H6196" s="1138"/>
      <c r="I6196" s="1138"/>
      <c r="J6196" s="1139"/>
      <c r="K6196" s="1111"/>
      <c r="L6196" s="1112"/>
      <c r="M6196" s="1113"/>
      <c r="N6196" s="110"/>
      <c r="O6196" s="1140"/>
      <c r="P6196" s="1115"/>
      <c r="Q6196" s="1116"/>
      <c r="R6196" s="1141"/>
      <c r="S6196" s="1113"/>
      <c r="T6196" s="1143"/>
      <c r="U6196" s="1108"/>
      <c r="V6196" s="1108"/>
      <c r="W6196" s="1108"/>
      <c r="X6196" s="1108"/>
      <c r="Y6196" s="1108"/>
      <c r="Z6196" s="1114"/>
      <c r="AA6196" s="1114"/>
      <c r="AB6196" s="1114"/>
      <c r="AC6196" s="1117"/>
      <c r="AD6196" s="1115"/>
      <c r="AE6196" s="1115"/>
      <c r="AF6196" s="1115"/>
      <c r="AG6196" s="1115"/>
      <c r="AH6196" s="1115"/>
      <c r="AI6196" s="1115"/>
      <c r="AJ6196" s="1117"/>
      <c r="AK6196" s="1118"/>
      <c r="AL6196" s="1115"/>
      <c r="AM6196" s="1115"/>
      <c r="AN6196" s="1115"/>
      <c r="AO6196" s="1115"/>
      <c r="AP6196" s="1115"/>
      <c r="AQ6196" s="1115"/>
      <c r="AR6196" s="1115"/>
      <c r="AS6196" s="1117"/>
      <c r="AT6196" s="1075"/>
      <c r="AU6196" s="1193"/>
      <c r="AV6196" s="330"/>
      <c r="AW6196" s="331"/>
      <c r="AX6196" s="331"/>
      <c r="AY6196" s="331"/>
      <c r="AZ6196" s="331"/>
      <c r="BA6196" s="331"/>
      <c r="BB6196" s="331"/>
      <c r="BC6196" s="331"/>
      <c r="BD6196" s="331"/>
      <c r="BE6196" s="333"/>
      <c r="BF6196" s="330"/>
      <c r="BG6196" s="333"/>
      <c r="BH6196" s="1119"/>
      <c r="BI6196" s="319"/>
      <c r="BJ6196" s="319"/>
      <c r="BK6196" s="319"/>
      <c r="BL6196" s="319"/>
      <c r="BM6196" s="319"/>
      <c r="BN6196" s="319"/>
      <c r="BO6196" s="319"/>
      <c r="BP6196" s="953"/>
      <c r="BQ6196" s="319"/>
      <c r="BR6196" s="319"/>
      <c r="BS6196" s="330"/>
      <c r="BT6196" s="331"/>
      <c r="BU6196" s="920"/>
      <c r="BV6196" s="903"/>
      <c r="BW6196" s="908"/>
      <c r="BX6196" s="908"/>
      <c r="BY6196" s="331"/>
      <c r="BZ6196" s="331"/>
      <c r="CA6196" s="462"/>
      <c r="CB6196" s="319"/>
      <c r="CC6196" s="319"/>
      <c r="CD6196" s="319"/>
      <c r="CE6196" s="319"/>
      <c r="CF6196" s="319"/>
      <c r="CG6196" s="319"/>
      <c r="CH6196" s="318"/>
      <c r="CI6196" s="319"/>
      <c r="CJ6196" s="319"/>
      <c r="CK6196" s="342"/>
      <c r="CL6196" s="333"/>
      <c r="CM6196" s="1079"/>
      <c r="CN6196" s="1005"/>
      <c r="CO6196" s="1005"/>
      <c r="CP6196" s="1005"/>
    </row>
    <row r="6197">
      <c r="A6197" s="1257"/>
      <c r="B6197" s="1113"/>
      <c r="C6197" s="1107"/>
      <c r="D6197" s="103"/>
      <c r="E6197" s="1137"/>
      <c r="F6197" s="112"/>
      <c r="G6197" s="1110"/>
      <c r="H6197" s="1138"/>
      <c r="I6197" s="1138"/>
      <c r="J6197" s="1139"/>
      <c r="K6197" s="1111"/>
      <c r="L6197" s="1112"/>
      <c r="M6197" s="1113"/>
      <c r="N6197" s="110"/>
      <c r="O6197" s="1140"/>
      <c r="P6197" s="1115"/>
      <c r="Q6197" s="1116"/>
      <c r="R6197" s="1141"/>
      <c r="S6197" s="1113"/>
      <c r="T6197" s="1143"/>
      <c r="U6197" s="1108"/>
      <c r="V6197" s="1108"/>
      <c r="W6197" s="1108"/>
      <c r="X6197" s="1108"/>
      <c r="Y6197" s="1108"/>
      <c r="Z6197" s="1114"/>
      <c r="AA6197" s="1114"/>
      <c r="AB6197" s="1114"/>
      <c r="AC6197" s="1117"/>
      <c r="AD6197" s="1115"/>
      <c r="AE6197" s="1115"/>
      <c r="AF6197" s="1115"/>
      <c r="AG6197" s="1115"/>
      <c r="AH6197" s="1115"/>
      <c r="AI6197" s="1115"/>
      <c r="AJ6197" s="1117"/>
      <c r="AK6197" s="1118"/>
      <c r="AL6197" s="1115"/>
      <c r="AM6197" s="1115"/>
      <c r="AN6197" s="1115"/>
      <c r="AO6197" s="1115"/>
      <c r="AP6197" s="1115"/>
      <c r="AQ6197" s="1115"/>
      <c r="AR6197" s="1115"/>
      <c r="AS6197" s="1117"/>
      <c r="AT6197" s="1075"/>
      <c r="AU6197" s="1193"/>
      <c r="AV6197" s="330"/>
      <c r="AW6197" s="331"/>
      <c r="AX6197" s="331"/>
      <c r="AY6197" s="331"/>
      <c r="AZ6197" s="331"/>
      <c r="BA6197" s="331"/>
      <c r="BB6197" s="331"/>
      <c r="BC6197" s="331"/>
      <c r="BD6197" s="331"/>
      <c r="BE6197" s="333"/>
      <c r="BF6197" s="330"/>
      <c r="BG6197" s="333"/>
      <c r="BH6197" s="1119"/>
      <c r="BI6197" s="319"/>
      <c r="BJ6197" s="319"/>
      <c r="BK6197" s="319"/>
      <c r="BL6197" s="319"/>
      <c r="BM6197" s="319"/>
      <c r="BN6197" s="319"/>
      <c r="BO6197" s="319"/>
      <c r="BP6197" s="953"/>
      <c r="BQ6197" s="319"/>
      <c r="BR6197" s="319"/>
      <c r="BS6197" s="330"/>
      <c r="BT6197" s="331"/>
      <c r="BU6197" s="920"/>
      <c r="BV6197" s="903"/>
      <c r="BW6197" s="908"/>
      <c r="BX6197" s="908"/>
      <c r="BY6197" s="331"/>
      <c r="BZ6197" s="331"/>
      <c r="CA6197" s="462"/>
      <c r="CB6197" s="319"/>
      <c r="CC6197" s="319"/>
      <c r="CD6197" s="319"/>
      <c r="CE6197" s="319"/>
      <c r="CF6197" s="319"/>
      <c r="CG6197" s="319"/>
      <c r="CH6197" s="318"/>
      <c r="CI6197" s="319"/>
      <c r="CJ6197" s="319"/>
      <c r="CK6197" s="342"/>
      <c r="CL6197" s="333"/>
      <c r="CM6197" s="1079"/>
      <c r="CN6197" s="1005"/>
      <c r="CO6197" s="1005"/>
      <c r="CP6197" s="1005"/>
    </row>
    <row r="6198">
      <c r="A6198" s="1257"/>
      <c r="B6198" s="1113"/>
      <c r="C6198" s="1107"/>
      <c r="D6198" s="103"/>
      <c r="E6198" s="1137"/>
      <c r="F6198" s="112"/>
      <c r="G6198" s="1110"/>
      <c r="H6198" s="1138"/>
      <c r="I6198" s="1138"/>
      <c r="J6198" s="1139"/>
      <c r="K6198" s="1111"/>
      <c r="L6198" s="1112"/>
      <c r="M6198" s="1113"/>
      <c r="N6198" s="110"/>
      <c r="O6198" s="1140"/>
      <c r="P6198" s="1115"/>
      <c r="Q6198" s="1116"/>
      <c r="R6198" s="1141"/>
      <c r="S6198" s="1113"/>
      <c r="T6198" s="1143"/>
      <c r="U6198" s="1108"/>
      <c r="V6198" s="1108"/>
      <c r="W6198" s="1108"/>
      <c r="X6198" s="1108"/>
      <c r="Y6198" s="1108"/>
      <c r="Z6198" s="1114"/>
      <c r="AA6198" s="1114"/>
      <c r="AB6198" s="1114"/>
      <c r="AC6198" s="1117"/>
      <c r="AD6198" s="1115"/>
      <c r="AE6198" s="1115"/>
      <c r="AF6198" s="1115"/>
      <c r="AG6198" s="1115"/>
      <c r="AH6198" s="1115"/>
      <c r="AI6198" s="1115"/>
      <c r="AJ6198" s="1117"/>
      <c r="AK6198" s="1118"/>
      <c r="AL6198" s="1115"/>
      <c r="AM6198" s="1115"/>
      <c r="AN6198" s="1115"/>
      <c r="AO6198" s="1115"/>
      <c r="AP6198" s="1115"/>
      <c r="AQ6198" s="1115"/>
      <c r="AR6198" s="1115"/>
      <c r="AS6198" s="1117"/>
      <c r="AT6198" s="1075"/>
      <c r="AU6198" s="1193"/>
      <c r="AV6198" s="330"/>
      <c r="AW6198" s="331"/>
      <c r="AX6198" s="331"/>
      <c r="AY6198" s="331"/>
      <c r="AZ6198" s="331"/>
      <c r="BA6198" s="331"/>
      <c r="BB6198" s="331"/>
      <c r="BC6198" s="331"/>
      <c r="BD6198" s="331"/>
      <c r="BE6198" s="333"/>
      <c r="BF6198" s="330"/>
      <c r="BG6198" s="333"/>
      <c r="BH6198" s="1119"/>
      <c r="BI6198" s="319"/>
      <c r="BJ6198" s="319"/>
      <c r="BK6198" s="319"/>
      <c r="BL6198" s="319"/>
      <c r="BM6198" s="319"/>
      <c r="BN6198" s="319"/>
      <c r="BO6198" s="319"/>
      <c r="BP6198" s="953"/>
      <c r="BQ6198" s="319"/>
      <c r="BR6198" s="319"/>
      <c r="BS6198" s="330"/>
      <c r="BT6198" s="331"/>
      <c r="BU6198" s="920"/>
      <c r="BV6198" s="903"/>
      <c r="BW6198" s="908"/>
      <c r="BX6198" s="908"/>
      <c r="BY6198" s="331"/>
      <c r="BZ6198" s="331"/>
      <c r="CA6198" s="462"/>
      <c r="CB6198" s="319"/>
      <c r="CC6198" s="319"/>
      <c r="CD6198" s="319"/>
      <c r="CE6198" s="319"/>
      <c r="CF6198" s="319"/>
      <c r="CG6198" s="319"/>
      <c r="CH6198" s="318"/>
      <c r="CI6198" s="319"/>
      <c r="CJ6198" s="319"/>
      <c r="CK6198" s="342"/>
      <c r="CL6198" s="333"/>
      <c r="CM6198" s="1079"/>
      <c r="CN6198" s="1005"/>
      <c r="CO6198" s="1005"/>
      <c r="CP6198" s="1005"/>
    </row>
    <row r="6199">
      <c r="A6199" s="1257"/>
      <c r="B6199" s="1113"/>
      <c r="C6199" s="1107"/>
      <c r="D6199" s="103"/>
      <c r="E6199" s="1137"/>
      <c r="F6199" s="112"/>
      <c r="G6199" s="1110"/>
      <c r="H6199" s="1138"/>
      <c r="I6199" s="1138"/>
      <c r="J6199" s="1139"/>
      <c r="K6199" s="1111"/>
      <c r="L6199" s="1112"/>
      <c r="M6199" s="1113"/>
      <c r="N6199" s="110"/>
      <c r="O6199" s="1140"/>
      <c r="P6199" s="1115"/>
      <c r="Q6199" s="1116"/>
      <c r="R6199" s="1141"/>
      <c r="S6199" s="1113"/>
      <c r="T6199" s="1143"/>
      <c r="U6199" s="1108"/>
      <c r="V6199" s="1108"/>
      <c r="W6199" s="1108"/>
      <c r="X6199" s="1108"/>
      <c r="Y6199" s="1108"/>
      <c r="Z6199" s="1114"/>
      <c r="AA6199" s="1114"/>
      <c r="AB6199" s="1114"/>
      <c r="AC6199" s="1117"/>
      <c r="AD6199" s="1115"/>
      <c r="AE6199" s="1115"/>
      <c r="AF6199" s="1115"/>
      <c r="AG6199" s="1115"/>
      <c r="AH6199" s="1115"/>
      <c r="AI6199" s="1115"/>
      <c r="AJ6199" s="1117"/>
      <c r="AK6199" s="1118"/>
      <c r="AL6199" s="1115"/>
      <c r="AM6199" s="1115"/>
      <c r="AN6199" s="1115"/>
      <c r="AO6199" s="1115"/>
      <c r="AP6199" s="1115"/>
      <c r="AQ6199" s="1115"/>
      <c r="AR6199" s="1115"/>
      <c r="AS6199" s="1117"/>
      <c r="AT6199" s="1075"/>
      <c r="AU6199" s="1193"/>
      <c r="AV6199" s="330"/>
      <c r="AW6199" s="331"/>
      <c r="AX6199" s="331"/>
      <c r="AY6199" s="331"/>
      <c r="AZ6199" s="331"/>
      <c r="BA6199" s="331"/>
      <c r="BB6199" s="331"/>
      <c r="BC6199" s="331"/>
      <c r="BD6199" s="331"/>
      <c r="BE6199" s="333"/>
      <c r="BF6199" s="330"/>
      <c r="BG6199" s="333"/>
      <c r="BH6199" s="1119"/>
      <c r="BI6199" s="319"/>
      <c r="BJ6199" s="319"/>
      <c r="BK6199" s="319"/>
      <c r="BL6199" s="319"/>
      <c r="BM6199" s="319"/>
      <c r="BN6199" s="319"/>
      <c r="BO6199" s="319"/>
      <c r="BP6199" s="953"/>
      <c r="BQ6199" s="319"/>
      <c r="BR6199" s="319"/>
      <c r="BS6199" s="330"/>
      <c r="BT6199" s="331"/>
      <c r="BU6199" s="920"/>
      <c r="BV6199" s="903"/>
      <c r="BW6199" s="908"/>
      <c r="BX6199" s="908"/>
      <c r="BY6199" s="331"/>
      <c r="BZ6199" s="331"/>
      <c r="CA6199" s="462"/>
      <c r="CB6199" s="319"/>
      <c r="CC6199" s="319"/>
      <c r="CD6199" s="319"/>
      <c r="CE6199" s="319"/>
      <c r="CF6199" s="319"/>
      <c r="CG6199" s="319"/>
      <c r="CH6199" s="318"/>
      <c r="CI6199" s="319"/>
      <c r="CJ6199" s="319"/>
      <c r="CK6199" s="342"/>
      <c r="CL6199" s="333"/>
      <c r="CM6199" s="1079"/>
      <c r="CN6199" s="1005"/>
      <c r="CO6199" s="1005"/>
      <c r="CP6199" s="1005"/>
    </row>
    <row r="6200">
      <c r="A6200" s="1257"/>
      <c r="B6200" s="1113"/>
      <c r="C6200" s="1107"/>
      <c r="D6200" s="103"/>
      <c r="E6200" s="1137"/>
      <c r="F6200" s="112"/>
      <c r="G6200" s="1110"/>
      <c r="H6200" s="1138"/>
      <c r="I6200" s="1138"/>
      <c r="J6200" s="1139"/>
      <c r="K6200" s="1111"/>
      <c r="L6200" s="1112"/>
      <c r="M6200" s="1113"/>
      <c r="N6200" s="110"/>
      <c r="O6200" s="1140"/>
      <c r="P6200" s="1115"/>
      <c r="Q6200" s="1116"/>
      <c r="R6200" s="1141"/>
      <c r="S6200" s="1113"/>
      <c r="T6200" s="1143"/>
      <c r="U6200" s="1108"/>
      <c r="V6200" s="1108"/>
      <c r="W6200" s="1108"/>
      <c r="X6200" s="1108"/>
      <c r="Y6200" s="1108"/>
      <c r="Z6200" s="1114"/>
      <c r="AA6200" s="1114"/>
      <c r="AB6200" s="1114"/>
      <c r="AC6200" s="1117"/>
      <c r="AD6200" s="1115"/>
      <c r="AE6200" s="1115"/>
      <c r="AF6200" s="1115"/>
      <c r="AG6200" s="1115"/>
      <c r="AH6200" s="1115"/>
      <c r="AI6200" s="1115"/>
      <c r="AJ6200" s="1117"/>
      <c r="AK6200" s="1118"/>
      <c r="AL6200" s="1115"/>
      <c r="AM6200" s="1115"/>
      <c r="AN6200" s="1115"/>
      <c r="AO6200" s="1115"/>
      <c r="AP6200" s="1115"/>
      <c r="AQ6200" s="1115"/>
      <c r="AR6200" s="1115"/>
      <c r="AS6200" s="1117"/>
      <c r="AT6200" s="1075"/>
      <c r="AU6200" s="1193"/>
      <c r="AV6200" s="330"/>
      <c r="AW6200" s="331"/>
      <c r="AX6200" s="331"/>
      <c r="AY6200" s="331"/>
      <c r="AZ6200" s="331"/>
      <c r="BA6200" s="331"/>
      <c r="BB6200" s="331"/>
      <c r="BC6200" s="331"/>
      <c r="BD6200" s="331"/>
      <c r="BE6200" s="333"/>
      <c r="BF6200" s="330"/>
      <c r="BG6200" s="333"/>
      <c r="BH6200" s="1119"/>
      <c r="BI6200" s="319"/>
      <c r="BJ6200" s="319"/>
      <c r="BK6200" s="319"/>
      <c r="BL6200" s="319"/>
      <c r="BM6200" s="319"/>
      <c r="BN6200" s="319"/>
      <c r="BO6200" s="319"/>
      <c r="BP6200" s="953"/>
      <c r="BQ6200" s="319"/>
      <c r="BR6200" s="319"/>
      <c r="BS6200" s="330"/>
      <c r="BT6200" s="331"/>
      <c r="BU6200" s="920"/>
      <c r="BV6200" s="903"/>
      <c r="BW6200" s="908"/>
      <c r="BX6200" s="908"/>
      <c r="BY6200" s="331"/>
      <c r="BZ6200" s="331"/>
      <c r="CA6200" s="462"/>
      <c r="CB6200" s="319"/>
      <c r="CC6200" s="319"/>
      <c r="CD6200" s="319"/>
      <c r="CE6200" s="319"/>
      <c r="CF6200" s="319"/>
      <c r="CG6200" s="319"/>
      <c r="CH6200" s="318"/>
      <c r="CI6200" s="319"/>
      <c r="CJ6200" s="319"/>
      <c r="CK6200" s="342"/>
      <c r="CL6200" s="333"/>
      <c r="CM6200" s="1079"/>
      <c r="CN6200" s="1005"/>
      <c r="CO6200" s="1005"/>
      <c r="CP6200" s="1005"/>
    </row>
    <row r="6201">
      <c r="A6201" s="1257"/>
      <c r="B6201" s="1113"/>
      <c r="C6201" s="1107"/>
      <c r="D6201" s="103"/>
      <c r="E6201" s="1137"/>
      <c r="F6201" s="112"/>
      <c r="G6201" s="1110"/>
      <c r="H6201" s="1138"/>
      <c r="I6201" s="1138"/>
      <c r="J6201" s="1139"/>
      <c r="K6201" s="1111"/>
      <c r="L6201" s="1112"/>
      <c r="M6201" s="1113"/>
      <c r="N6201" s="110"/>
      <c r="O6201" s="1140"/>
      <c r="P6201" s="1115"/>
      <c r="Q6201" s="1116"/>
      <c r="R6201" s="1141"/>
      <c r="S6201" s="1113"/>
      <c r="T6201" s="1143"/>
      <c r="U6201" s="1108"/>
      <c r="V6201" s="1108"/>
      <c r="W6201" s="1108"/>
      <c r="X6201" s="1108"/>
      <c r="Y6201" s="1108"/>
      <c r="Z6201" s="1114"/>
      <c r="AA6201" s="1114"/>
      <c r="AB6201" s="1114"/>
      <c r="AC6201" s="1117"/>
      <c r="AD6201" s="1115"/>
      <c r="AE6201" s="1115"/>
      <c r="AF6201" s="1115"/>
      <c r="AG6201" s="1115"/>
      <c r="AH6201" s="1115"/>
      <c r="AI6201" s="1115"/>
      <c r="AJ6201" s="1117"/>
      <c r="AK6201" s="1118"/>
      <c r="AL6201" s="1115"/>
      <c r="AM6201" s="1115"/>
      <c r="AN6201" s="1115"/>
      <c r="AO6201" s="1115"/>
      <c r="AP6201" s="1115"/>
      <c r="AQ6201" s="1115"/>
      <c r="AR6201" s="1115"/>
      <c r="AS6201" s="1117"/>
      <c r="AT6201" s="1075"/>
      <c r="AU6201" s="1193"/>
      <c r="AV6201" s="330"/>
      <c r="AW6201" s="331"/>
      <c r="AX6201" s="331"/>
      <c r="AY6201" s="331"/>
      <c r="AZ6201" s="331"/>
      <c r="BA6201" s="331"/>
      <c r="BB6201" s="331"/>
      <c r="BC6201" s="331"/>
      <c r="BD6201" s="331"/>
      <c r="BE6201" s="333"/>
      <c r="BF6201" s="330"/>
      <c r="BG6201" s="333"/>
      <c r="BH6201" s="1119"/>
      <c r="BI6201" s="319"/>
      <c r="BJ6201" s="319"/>
      <c r="BK6201" s="319"/>
      <c r="BL6201" s="319"/>
      <c r="BM6201" s="319"/>
      <c r="BN6201" s="319"/>
      <c r="BO6201" s="319"/>
      <c r="BP6201" s="953"/>
      <c r="BQ6201" s="319"/>
      <c r="BR6201" s="319"/>
      <c r="BS6201" s="330"/>
      <c r="BT6201" s="331"/>
      <c r="BU6201" s="920"/>
      <c r="BV6201" s="903"/>
      <c r="BW6201" s="908"/>
      <c r="BX6201" s="908"/>
      <c r="BY6201" s="331"/>
      <c r="BZ6201" s="331"/>
      <c r="CA6201" s="462"/>
      <c r="CB6201" s="319"/>
      <c r="CC6201" s="319"/>
      <c r="CD6201" s="319"/>
      <c r="CE6201" s="319"/>
      <c r="CF6201" s="319"/>
      <c r="CG6201" s="319"/>
      <c r="CH6201" s="318"/>
      <c r="CI6201" s="319"/>
      <c r="CJ6201" s="319"/>
      <c r="CK6201" s="342"/>
      <c r="CL6201" s="333"/>
      <c r="CM6201" s="1079"/>
      <c r="CN6201" s="1005"/>
      <c r="CO6201" s="1005"/>
      <c r="CP6201" s="1005"/>
    </row>
    <row r="6202">
      <c r="A6202" s="1257"/>
      <c r="B6202" s="1113"/>
      <c r="C6202" s="1107"/>
      <c r="D6202" s="103"/>
      <c r="E6202" s="1137"/>
      <c r="F6202" s="112"/>
      <c r="G6202" s="1110"/>
      <c r="H6202" s="1138"/>
      <c r="I6202" s="1138"/>
      <c r="J6202" s="1139"/>
      <c r="K6202" s="1111"/>
      <c r="L6202" s="1112"/>
      <c r="M6202" s="1113"/>
      <c r="N6202" s="110"/>
      <c r="O6202" s="1140"/>
      <c r="P6202" s="1115"/>
      <c r="Q6202" s="1116"/>
      <c r="R6202" s="1141"/>
      <c r="S6202" s="1113"/>
      <c r="T6202" s="1143"/>
      <c r="U6202" s="1108"/>
      <c r="V6202" s="1108"/>
      <c r="W6202" s="1108"/>
      <c r="X6202" s="1108"/>
      <c r="Y6202" s="1108"/>
      <c r="Z6202" s="1114"/>
      <c r="AA6202" s="1114"/>
      <c r="AB6202" s="1114"/>
      <c r="AC6202" s="1117"/>
      <c r="AD6202" s="1115"/>
      <c r="AE6202" s="1115"/>
      <c r="AF6202" s="1115"/>
      <c r="AG6202" s="1115"/>
      <c r="AH6202" s="1115"/>
      <c r="AI6202" s="1115"/>
      <c r="AJ6202" s="1117"/>
      <c r="AK6202" s="1118"/>
      <c r="AL6202" s="1115"/>
      <c r="AM6202" s="1115"/>
      <c r="AN6202" s="1115"/>
      <c r="AO6202" s="1115"/>
      <c r="AP6202" s="1115"/>
      <c r="AQ6202" s="1115"/>
      <c r="AR6202" s="1115"/>
      <c r="AS6202" s="1117"/>
      <c r="AT6202" s="1075"/>
      <c r="AU6202" s="1193"/>
      <c r="AV6202" s="330"/>
      <c r="AW6202" s="331"/>
      <c r="AX6202" s="331"/>
      <c r="AY6202" s="331"/>
      <c r="AZ6202" s="331"/>
      <c r="BA6202" s="331"/>
      <c r="BB6202" s="331"/>
      <c r="BC6202" s="331"/>
      <c r="BD6202" s="331"/>
      <c r="BE6202" s="333"/>
      <c r="BF6202" s="330"/>
      <c r="BG6202" s="333"/>
      <c r="BH6202" s="1119"/>
      <c r="BI6202" s="319"/>
      <c r="BJ6202" s="319"/>
      <c r="BK6202" s="319"/>
      <c r="BL6202" s="319"/>
      <c r="BM6202" s="319"/>
      <c r="BN6202" s="319"/>
      <c r="BO6202" s="319"/>
      <c r="BP6202" s="953"/>
      <c r="BQ6202" s="319"/>
      <c r="BR6202" s="319"/>
      <c r="BS6202" s="330"/>
      <c r="BT6202" s="331"/>
      <c r="BU6202" s="920"/>
      <c r="BV6202" s="903"/>
      <c r="BW6202" s="908"/>
      <c r="BX6202" s="908"/>
      <c r="BY6202" s="331"/>
      <c r="BZ6202" s="331"/>
      <c r="CA6202" s="462"/>
      <c r="CB6202" s="319"/>
      <c r="CC6202" s="319"/>
      <c r="CD6202" s="319"/>
      <c r="CE6202" s="319"/>
      <c r="CF6202" s="319"/>
      <c r="CG6202" s="319"/>
      <c r="CH6202" s="318"/>
      <c r="CI6202" s="319"/>
      <c r="CJ6202" s="319"/>
      <c r="CK6202" s="342"/>
      <c r="CL6202" s="333"/>
      <c r="CM6202" s="1079"/>
      <c r="CN6202" s="1005"/>
      <c r="CO6202" s="1005"/>
      <c r="CP6202" s="1005"/>
    </row>
    <row r="6203">
      <c r="A6203" s="1257"/>
      <c r="B6203" s="1113"/>
      <c r="C6203" s="1107"/>
      <c r="D6203" s="103"/>
      <c r="E6203" s="1137"/>
      <c r="F6203" s="112"/>
      <c r="G6203" s="1110"/>
      <c r="H6203" s="1138"/>
      <c r="I6203" s="1138"/>
      <c r="J6203" s="1139"/>
      <c r="K6203" s="1111"/>
      <c r="L6203" s="1112"/>
      <c r="M6203" s="1113"/>
      <c r="N6203" s="110"/>
      <c r="O6203" s="1140"/>
      <c r="P6203" s="1115"/>
      <c r="Q6203" s="1116"/>
      <c r="R6203" s="1141"/>
      <c r="S6203" s="1113"/>
      <c r="T6203" s="1143"/>
      <c r="U6203" s="1108"/>
      <c r="V6203" s="1108"/>
      <c r="W6203" s="1108"/>
      <c r="X6203" s="1108"/>
      <c r="Y6203" s="1108"/>
      <c r="Z6203" s="1114"/>
      <c r="AA6203" s="1114"/>
      <c r="AB6203" s="1114"/>
      <c r="AC6203" s="1117"/>
      <c r="AD6203" s="1115"/>
      <c r="AE6203" s="1115"/>
      <c r="AF6203" s="1115"/>
      <c r="AG6203" s="1115"/>
      <c r="AH6203" s="1115"/>
      <c r="AI6203" s="1115"/>
      <c r="AJ6203" s="1117"/>
      <c r="AK6203" s="1118"/>
      <c r="AL6203" s="1115"/>
      <c r="AM6203" s="1115"/>
      <c r="AN6203" s="1115"/>
      <c r="AO6203" s="1115"/>
      <c r="AP6203" s="1115"/>
      <c r="AQ6203" s="1115"/>
      <c r="AR6203" s="1115"/>
      <c r="AS6203" s="1117"/>
      <c r="AT6203" s="1075"/>
      <c r="AU6203" s="1193"/>
      <c r="AV6203" s="330"/>
      <c r="AW6203" s="331"/>
      <c r="AX6203" s="331"/>
      <c r="AY6203" s="331"/>
      <c r="AZ6203" s="331"/>
      <c r="BA6203" s="331"/>
      <c r="BB6203" s="331"/>
      <c r="BC6203" s="331"/>
      <c r="BD6203" s="331"/>
      <c r="BE6203" s="333"/>
      <c r="BF6203" s="330"/>
      <c r="BG6203" s="333"/>
      <c r="BH6203" s="1119"/>
      <c r="BI6203" s="319"/>
      <c r="BJ6203" s="319"/>
      <c r="BK6203" s="319"/>
      <c r="BL6203" s="319"/>
      <c r="BM6203" s="319"/>
      <c r="BN6203" s="319"/>
      <c r="BO6203" s="319"/>
      <c r="BP6203" s="953"/>
      <c r="BQ6203" s="319"/>
      <c r="BR6203" s="319"/>
      <c r="BS6203" s="330"/>
      <c r="BT6203" s="331"/>
      <c r="BU6203" s="920"/>
      <c r="BV6203" s="903"/>
      <c r="BW6203" s="908"/>
      <c r="BX6203" s="908"/>
      <c r="BY6203" s="331"/>
      <c r="BZ6203" s="331"/>
      <c r="CA6203" s="462"/>
      <c r="CB6203" s="319"/>
      <c r="CC6203" s="319"/>
      <c r="CD6203" s="319"/>
      <c r="CE6203" s="319"/>
      <c r="CF6203" s="319"/>
      <c r="CG6203" s="319"/>
      <c r="CH6203" s="318"/>
      <c r="CI6203" s="319"/>
      <c r="CJ6203" s="319"/>
      <c r="CK6203" s="342"/>
      <c r="CL6203" s="333"/>
      <c r="CM6203" s="1079"/>
      <c r="CN6203" s="1005"/>
      <c r="CO6203" s="1005"/>
      <c r="CP6203" s="1005"/>
    </row>
    <row r="6204">
      <c r="A6204" s="1257"/>
      <c r="B6204" s="1113"/>
      <c r="C6204" s="1107"/>
      <c r="D6204" s="103"/>
      <c r="E6204" s="1137"/>
      <c r="F6204" s="112"/>
      <c r="G6204" s="1110"/>
      <c r="H6204" s="1138"/>
      <c r="I6204" s="1138"/>
      <c r="J6204" s="1139"/>
      <c r="K6204" s="1111"/>
      <c r="L6204" s="1112"/>
      <c r="M6204" s="1113"/>
      <c r="N6204" s="110"/>
      <c r="O6204" s="1140"/>
      <c r="P6204" s="1115"/>
      <c r="Q6204" s="1116"/>
      <c r="R6204" s="1141"/>
      <c r="S6204" s="1113"/>
      <c r="T6204" s="1143"/>
      <c r="U6204" s="1108"/>
      <c r="V6204" s="1108"/>
      <c r="W6204" s="1108"/>
      <c r="X6204" s="1108"/>
      <c r="Y6204" s="1108"/>
      <c r="Z6204" s="1114"/>
      <c r="AA6204" s="1114"/>
      <c r="AB6204" s="1114"/>
      <c r="AC6204" s="1117"/>
      <c r="AD6204" s="1115"/>
      <c r="AE6204" s="1115"/>
      <c r="AF6204" s="1115"/>
      <c r="AG6204" s="1115"/>
      <c r="AH6204" s="1115"/>
      <c r="AI6204" s="1115"/>
      <c r="AJ6204" s="1117"/>
      <c r="AK6204" s="1118"/>
      <c r="AL6204" s="1115"/>
      <c r="AM6204" s="1115"/>
      <c r="AN6204" s="1115"/>
      <c r="AO6204" s="1115"/>
      <c r="AP6204" s="1115"/>
      <c r="AQ6204" s="1115"/>
      <c r="AR6204" s="1115"/>
      <c r="AS6204" s="1117"/>
      <c r="AT6204" s="1075"/>
      <c r="AU6204" s="1193"/>
      <c r="AV6204" s="330"/>
      <c r="AW6204" s="331"/>
      <c r="AX6204" s="331"/>
      <c r="AY6204" s="331"/>
      <c r="AZ6204" s="331"/>
      <c r="BA6204" s="331"/>
      <c r="BB6204" s="331"/>
      <c r="BC6204" s="331"/>
      <c r="BD6204" s="331"/>
      <c r="BE6204" s="333"/>
      <c r="BF6204" s="330"/>
      <c r="BG6204" s="333"/>
      <c r="BH6204" s="1119"/>
      <c r="BI6204" s="319"/>
      <c r="BJ6204" s="319"/>
      <c r="BK6204" s="319"/>
      <c r="BL6204" s="319"/>
      <c r="BM6204" s="319"/>
      <c r="BN6204" s="319"/>
      <c r="BO6204" s="319"/>
      <c r="BP6204" s="953"/>
      <c r="BQ6204" s="319"/>
      <c r="BR6204" s="319"/>
      <c r="BS6204" s="330"/>
      <c r="BT6204" s="331"/>
      <c r="BU6204" s="920"/>
      <c r="BV6204" s="903"/>
      <c r="BW6204" s="908"/>
      <c r="BX6204" s="908"/>
      <c r="BY6204" s="331"/>
      <c r="BZ6204" s="331"/>
      <c r="CA6204" s="462"/>
      <c r="CB6204" s="319"/>
      <c r="CC6204" s="319"/>
      <c r="CD6204" s="319"/>
      <c r="CE6204" s="319"/>
      <c r="CF6204" s="319"/>
      <c r="CG6204" s="319"/>
      <c r="CH6204" s="318"/>
      <c r="CI6204" s="319"/>
      <c r="CJ6204" s="319"/>
      <c r="CK6204" s="342"/>
      <c r="CL6204" s="333"/>
      <c r="CM6204" s="1079"/>
      <c r="CN6204" s="1005"/>
      <c r="CO6204" s="1005"/>
      <c r="CP6204" s="1005"/>
    </row>
    <row r="6205">
      <c r="A6205" s="1257"/>
      <c r="B6205" s="1113"/>
      <c r="C6205" s="1107"/>
      <c r="D6205" s="103"/>
      <c r="E6205" s="1137"/>
      <c r="F6205" s="112"/>
      <c r="G6205" s="1110"/>
      <c r="H6205" s="1138"/>
      <c r="I6205" s="1138"/>
      <c r="J6205" s="1139"/>
      <c r="K6205" s="1111"/>
      <c r="L6205" s="1112"/>
      <c r="M6205" s="1113"/>
      <c r="N6205" s="110"/>
      <c r="O6205" s="1140"/>
      <c r="P6205" s="1115"/>
      <c r="Q6205" s="1116"/>
      <c r="R6205" s="1141"/>
      <c r="S6205" s="1113"/>
      <c r="T6205" s="1143"/>
      <c r="U6205" s="1108"/>
      <c r="V6205" s="1108"/>
      <c r="W6205" s="1108"/>
      <c r="X6205" s="1108"/>
      <c r="Y6205" s="1108"/>
      <c r="Z6205" s="1114"/>
      <c r="AA6205" s="1114"/>
      <c r="AB6205" s="1114"/>
      <c r="AC6205" s="1117"/>
      <c r="AD6205" s="1115"/>
      <c r="AE6205" s="1115"/>
      <c r="AF6205" s="1115"/>
      <c r="AG6205" s="1115"/>
      <c r="AH6205" s="1115"/>
      <c r="AI6205" s="1115"/>
      <c r="AJ6205" s="1117"/>
      <c r="AK6205" s="1118"/>
      <c r="AL6205" s="1115"/>
      <c r="AM6205" s="1115"/>
      <c r="AN6205" s="1115"/>
      <c r="AO6205" s="1115"/>
      <c r="AP6205" s="1115"/>
      <c r="AQ6205" s="1115"/>
      <c r="AR6205" s="1115"/>
      <c r="AS6205" s="1117"/>
      <c r="AT6205" s="1075"/>
      <c r="AU6205" s="1193"/>
      <c r="AV6205" s="330"/>
      <c r="AW6205" s="331"/>
      <c r="AX6205" s="331"/>
      <c r="AY6205" s="331"/>
      <c r="AZ6205" s="331"/>
      <c r="BA6205" s="331"/>
      <c r="BB6205" s="331"/>
      <c r="BC6205" s="331"/>
      <c r="BD6205" s="331"/>
      <c r="BE6205" s="333"/>
      <c r="BF6205" s="330"/>
      <c r="BG6205" s="333"/>
      <c r="BH6205" s="1119"/>
      <c r="BI6205" s="319"/>
      <c r="BJ6205" s="319"/>
      <c r="BK6205" s="319"/>
      <c r="BL6205" s="319"/>
      <c r="BM6205" s="319"/>
      <c r="BN6205" s="319"/>
      <c r="BO6205" s="319"/>
      <c r="BP6205" s="953"/>
      <c r="BQ6205" s="319"/>
      <c r="BR6205" s="319"/>
      <c r="BS6205" s="330"/>
      <c r="BT6205" s="331"/>
      <c r="BU6205" s="920"/>
      <c r="BV6205" s="903"/>
      <c r="BW6205" s="908"/>
      <c r="BX6205" s="908"/>
      <c r="BY6205" s="331"/>
      <c r="BZ6205" s="331"/>
      <c r="CA6205" s="462"/>
      <c r="CB6205" s="319"/>
      <c r="CC6205" s="319"/>
      <c r="CD6205" s="319"/>
      <c r="CE6205" s="319"/>
      <c r="CF6205" s="319"/>
      <c r="CG6205" s="319"/>
      <c r="CH6205" s="318"/>
      <c r="CI6205" s="319"/>
      <c r="CJ6205" s="319"/>
      <c r="CK6205" s="342"/>
      <c r="CL6205" s="333"/>
      <c r="CM6205" s="1079"/>
      <c r="CN6205" s="1005"/>
      <c r="CO6205" s="1005"/>
      <c r="CP6205" s="1005"/>
    </row>
    <row r="6206">
      <c r="A6206" s="1257"/>
      <c r="B6206" s="1113"/>
      <c r="C6206" s="1107"/>
      <c r="D6206" s="103"/>
      <c r="E6206" s="1137"/>
      <c r="F6206" s="112"/>
      <c r="G6206" s="1110"/>
      <c r="H6206" s="1138"/>
      <c r="I6206" s="1138"/>
      <c r="J6206" s="1139"/>
      <c r="K6206" s="1111"/>
      <c r="L6206" s="1112"/>
      <c r="M6206" s="1113"/>
      <c r="N6206" s="110"/>
      <c r="O6206" s="1140"/>
      <c r="P6206" s="1115"/>
      <c r="Q6206" s="1116"/>
      <c r="R6206" s="1141"/>
      <c r="S6206" s="1113"/>
      <c r="T6206" s="1143"/>
      <c r="U6206" s="1108"/>
      <c r="V6206" s="1108"/>
      <c r="W6206" s="1108"/>
      <c r="X6206" s="1108"/>
      <c r="Y6206" s="1108"/>
      <c r="Z6206" s="1114"/>
      <c r="AA6206" s="1114"/>
      <c r="AB6206" s="1114"/>
      <c r="AC6206" s="1117"/>
      <c r="AD6206" s="1115"/>
      <c r="AE6206" s="1115"/>
      <c r="AF6206" s="1115"/>
      <c r="AG6206" s="1115"/>
      <c r="AH6206" s="1115"/>
      <c r="AI6206" s="1115"/>
      <c r="AJ6206" s="1117"/>
      <c r="AK6206" s="1118"/>
      <c r="AL6206" s="1115"/>
      <c r="AM6206" s="1115"/>
      <c r="AN6206" s="1115"/>
      <c r="AO6206" s="1115"/>
      <c r="AP6206" s="1115"/>
      <c r="AQ6206" s="1115"/>
      <c r="AR6206" s="1115"/>
      <c r="AS6206" s="1117"/>
      <c r="AT6206" s="1075"/>
      <c r="AU6206" s="1193"/>
      <c r="AV6206" s="330"/>
      <c r="AW6206" s="331"/>
      <c r="AX6206" s="331"/>
      <c r="AY6206" s="331"/>
      <c r="AZ6206" s="331"/>
      <c r="BA6206" s="331"/>
      <c r="BB6206" s="331"/>
      <c r="BC6206" s="331"/>
      <c r="BD6206" s="331"/>
      <c r="BE6206" s="333"/>
      <c r="BF6206" s="330"/>
      <c r="BG6206" s="333"/>
      <c r="BH6206" s="1119"/>
      <c r="BI6206" s="319"/>
      <c r="BJ6206" s="319"/>
      <c r="BK6206" s="319"/>
      <c r="BL6206" s="319"/>
      <c r="BM6206" s="319"/>
      <c r="BN6206" s="319"/>
      <c r="BO6206" s="319"/>
      <c r="BP6206" s="953"/>
      <c r="BQ6206" s="319"/>
      <c r="BR6206" s="319"/>
      <c r="BS6206" s="330"/>
      <c r="BT6206" s="331"/>
      <c r="BU6206" s="920"/>
      <c r="BV6206" s="903"/>
      <c r="BW6206" s="908"/>
      <c r="BX6206" s="908"/>
      <c r="BY6206" s="331"/>
      <c r="BZ6206" s="331"/>
      <c r="CA6206" s="462"/>
      <c r="CB6206" s="319"/>
      <c r="CC6206" s="319"/>
      <c r="CD6206" s="319"/>
      <c r="CE6206" s="319"/>
      <c r="CF6206" s="319"/>
      <c r="CG6206" s="319"/>
      <c r="CH6206" s="318"/>
      <c r="CI6206" s="319"/>
      <c r="CJ6206" s="319"/>
      <c r="CK6206" s="342"/>
      <c r="CL6206" s="333"/>
      <c r="CM6206" s="1079"/>
      <c r="CN6206" s="1005"/>
      <c r="CO6206" s="1005"/>
      <c r="CP6206" s="1005"/>
    </row>
    <row r="6207">
      <c r="A6207" s="1257"/>
      <c r="B6207" s="1113"/>
      <c r="C6207" s="1107"/>
      <c r="D6207" s="103"/>
      <c r="E6207" s="1137"/>
      <c r="F6207" s="112"/>
      <c r="G6207" s="1110"/>
      <c r="H6207" s="1138"/>
      <c r="I6207" s="1138"/>
      <c r="J6207" s="1139"/>
      <c r="K6207" s="1111"/>
      <c r="L6207" s="1112"/>
      <c r="M6207" s="1113"/>
      <c r="N6207" s="110"/>
      <c r="O6207" s="1140"/>
      <c r="P6207" s="1115"/>
      <c r="Q6207" s="1116"/>
      <c r="R6207" s="1141"/>
      <c r="S6207" s="1113"/>
      <c r="T6207" s="1143"/>
      <c r="U6207" s="1108"/>
      <c r="V6207" s="1108"/>
      <c r="W6207" s="1108"/>
      <c r="X6207" s="1108"/>
      <c r="Y6207" s="1108"/>
      <c r="Z6207" s="1114"/>
      <c r="AA6207" s="1114"/>
      <c r="AB6207" s="1114"/>
      <c r="AC6207" s="1117"/>
      <c r="AD6207" s="1115"/>
      <c r="AE6207" s="1115"/>
      <c r="AF6207" s="1115"/>
      <c r="AG6207" s="1115"/>
      <c r="AH6207" s="1115"/>
      <c r="AI6207" s="1115"/>
      <c r="AJ6207" s="1117"/>
      <c r="AK6207" s="1118"/>
      <c r="AL6207" s="1115"/>
      <c r="AM6207" s="1115"/>
      <c r="AN6207" s="1115"/>
      <c r="AO6207" s="1115"/>
      <c r="AP6207" s="1115"/>
      <c r="AQ6207" s="1115"/>
      <c r="AR6207" s="1115"/>
      <c r="AS6207" s="1117"/>
      <c r="AT6207" s="1075"/>
      <c r="AU6207" s="1193"/>
      <c r="AV6207" s="330"/>
      <c r="AW6207" s="331"/>
      <c r="AX6207" s="331"/>
      <c r="AY6207" s="331"/>
      <c r="AZ6207" s="331"/>
      <c r="BA6207" s="331"/>
      <c r="BB6207" s="331"/>
      <c r="BC6207" s="331"/>
      <c r="BD6207" s="331"/>
      <c r="BE6207" s="333"/>
      <c r="BF6207" s="330"/>
      <c r="BG6207" s="333"/>
      <c r="BH6207" s="1119"/>
      <c r="BI6207" s="319"/>
      <c r="BJ6207" s="319"/>
      <c r="BK6207" s="319"/>
      <c r="BL6207" s="319"/>
      <c r="BM6207" s="319"/>
      <c r="BN6207" s="319"/>
      <c r="BO6207" s="319"/>
      <c r="BP6207" s="953"/>
      <c r="BQ6207" s="319"/>
      <c r="BR6207" s="319"/>
      <c r="BS6207" s="330"/>
      <c r="BT6207" s="331"/>
      <c r="BU6207" s="920"/>
      <c r="BV6207" s="903"/>
      <c r="BW6207" s="908"/>
      <c r="BX6207" s="908"/>
      <c r="BY6207" s="331"/>
      <c r="BZ6207" s="331"/>
      <c r="CA6207" s="462"/>
      <c r="CB6207" s="319"/>
      <c r="CC6207" s="319"/>
      <c r="CD6207" s="319"/>
      <c r="CE6207" s="319"/>
      <c r="CF6207" s="319"/>
      <c r="CG6207" s="319"/>
      <c r="CH6207" s="318"/>
      <c r="CI6207" s="319"/>
      <c r="CJ6207" s="319"/>
      <c r="CK6207" s="342"/>
      <c r="CL6207" s="333"/>
      <c r="CM6207" s="1079"/>
      <c r="CN6207" s="1005"/>
      <c r="CO6207" s="1005"/>
      <c r="CP6207" s="1005"/>
    </row>
    <row r="6208">
      <c r="A6208" s="1257"/>
      <c r="B6208" s="1113"/>
      <c r="C6208" s="1107"/>
      <c r="D6208" s="103"/>
      <c r="E6208" s="1137"/>
      <c r="F6208" s="112"/>
      <c r="G6208" s="1110"/>
      <c r="H6208" s="1138"/>
      <c r="I6208" s="1138"/>
      <c r="J6208" s="1139"/>
      <c r="K6208" s="1111"/>
      <c r="L6208" s="1112"/>
      <c r="M6208" s="1113"/>
      <c r="N6208" s="110"/>
      <c r="O6208" s="1140"/>
      <c r="P6208" s="1115"/>
      <c r="Q6208" s="1116"/>
      <c r="R6208" s="1141"/>
      <c r="S6208" s="1113"/>
      <c r="T6208" s="1143"/>
      <c r="U6208" s="1108"/>
      <c r="V6208" s="1108"/>
      <c r="W6208" s="1108"/>
      <c r="X6208" s="1108"/>
      <c r="Y6208" s="1108"/>
      <c r="Z6208" s="1114"/>
      <c r="AA6208" s="1114"/>
      <c r="AB6208" s="1114"/>
      <c r="AC6208" s="1117"/>
      <c r="AD6208" s="1115"/>
      <c r="AE6208" s="1115"/>
      <c r="AF6208" s="1115"/>
      <c r="AG6208" s="1115"/>
      <c r="AH6208" s="1115"/>
      <c r="AI6208" s="1115"/>
      <c r="AJ6208" s="1117"/>
      <c r="AK6208" s="1118"/>
      <c r="AL6208" s="1115"/>
      <c r="AM6208" s="1115"/>
      <c r="AN6208" s="1115"/>
      <c r="AO6208" s="1115"/>
      <c r="AP6208" s="1115"/>
      <c r="AQ6208" s="1115"/>
      <c r="AR6208" s="1115"/>
      <c r="AS6208" s="1117"/>
      <c r="AT6208" s="1075"/>
      <c r="AU6208" s="1193"/>
      <c r="AV6208" s="330"/>
      <c r="AW6208" s="331"/>
      <c r="AX6208" s="331"/>
      <c r="AY6208" s="331"/>
      <c r="AZ6208" s="331"/>
      <c r="BA6208" s="331"/>
      <c r="BB6208" s="331"/>
      <c r="BC6208" s="331"/>
      <c r="BD6208" s="331"/>
      <c r="BE6208" s="333"/>
      <c r="BF6208" s="330"/>
      <c r="BG6208" s="333"/>
      <c r="BH6208" s="1119"/>
      <c r="BI6208" s="319"/>
      <c r="BJ6208" s="319"/>
      <c r="BK6208" s="319"/>
      <c r="BL6208" s="319"/>
      <c r="BM6208" s="319"/>
      <c r="BN6208" s="319"/>
      <c r="BO6208" s="319"/>
      <c r="BP6208" s="953"/>
      <c r="BQ6208" s="319"/>
      <c r="BR6208" s="319"/>
      <c r="BS6208" s="330"/>
      <c r="BT6208" s="331"/>
      <c r="BU6208" s="920"/>
      <c r="BV6208" s="903"/>
      <c r="BW6208" s="908"/>
      <c r="BX6208" s="908"/>
      <c r="BY6208" s="331"/>
      <c r="BZ6208" s="331"/>
      <c r="CA6208" s="462"/>
      <c r="CB6208" s="319"/>
      <c r="CC6208" s="319"/>
      <c r="CD6208" s="319"/>
      <c r="CE6208" s="319"/>
      <c r="CF6208" s="319"/>
      <c r="CG6208" s="319"/>
      <c r="CH6208" s="318"/>
      <c r="CI6208" s="319"/>
      <c r="CJ6208" s="319"/>
      <c r="CK6208" s="342"/>
      <c r="CL6208" s="333"/>
      <c r="CM6208" s="1079"/>
      <c r="CN6208" s="1005"/>
      <c r="CO6208" s="1005"/>
      <c r="CP6208" s="1005"/>
    </row>
    <row r="6209">
      <c r="A6209" s="1257"/>
      <c r="B6209" s="1113"/>
      <c r="C6209" s="1107"/>
      <c r="D6209" s="103"/>
      <c r="E6209" s="1137"/>
      <c r="F6209" s="112"/>
      <c r="G6209" s="1110"/>
      <c r="H6209" s="1138"/>
      <c r="I6209" s="1138"/>
      <c r="J6209" s="1139"/>
      <c r="K6209" s="1111"/>
      <c r="L6209" s="1112"/>
      <c r="M6209" s="1113"/>
      <c r="N6209" s="110"/>
      <c r="O6209" s="1140"/>
      <c r="P6209" s="1115"/>
      <c r="Q6209" s="1116"/>
      <c r="R6209" s="1141"/>
      <c r="S6209" s="1113"/>
      <c r="T6209" s="1143"/>
      <c r="U6209" s="1108"/>
      <c r="V6209" s="1108"/>
      <c r="W6209" s="1108"/>
      <c r="X6209" s="1108"/>
      <c r="Y6209" s="1108"/>
      <c r="Z6209" s="1114"/>
      <c r="AA6209" s="1114"/>
      <c r="AB6209" s="1114"/>
      <c r="AC6209" s="1117"/>
      <c r="AD6209" s="1115"/>
      <c r="AE6209" s="1115"/>
      <c r="AF6209" s="1115"/>
      <c r="AG6209" s="1115"/>
      <c r="AH6209" s="1115"/>
      <c r="AI6209" s="1115"/>
      <c r="AJ6209" s="1117"/>
      <c r="AK6209" s="1118"/>
      <c r="AL6209" s="1115"/>
      <c r="AM6209" s="1115"/>
      <c r="AN6209" s="1115"/>
      <c r="AO6209" s="1115"/>
      <c r="AP6209" s="1115"/>
      <c r="AQ6209" s="1115"/>
      <c r="AR6209" s="1115"/>
      <c r="AS6209" s="1117"/>
      <c r="AT6209" s="1075"/>
      <c r="AU6209" s="1193"/>
      <c r="AV6209" s="330"/>
      <c r="AW6209" s="331"/>
      <c r="AX6209" s="331"/>
      <c r="AY6209" s="331"/>
      <c r="AZ6209" s="331"/>
      <c r="BA6209" s="331"/>
      <c r="BB6209" s="331"/>
      <c r="BC6209" s="331"/>
      <c r="BD6209" s="331"/>
      <c r="BE6209" s="333"/>
      <c r="BF6209" s="330"/>
      <c r="BG6209" s="333"/>
      <c r="BH6209" s="1119"/>
      <c r="BI6209" s="319"/>
      <c r="BJ6209" s="319"/>
      <c r="BK6209" s="319"/>
      <c r="BL6209" s="319"/>
      <c r="BM6209" s="319"/>
      <c r="BN6209" s="319"/>
      <c r="BO6209" s="319"/>
      <c r="BP6209" s="953"/>
      <c r="BQ6209" s="319"/>
      <c r="BR6209" s="319"/>
      <c r="BS6209" s="330"/>
      <c r="BT6209" s="331"/>
      <c r="BU6209" s="920"/>
      <c r="BV6209" s="903"/>
      <c r="BW6209" s="908"/>
      <c r="BX6209" s="908"/>
      <c r="BY6209" s="331"/>
      <c r="BZ6209" s="331"/>
      <c r="CA6209" s="462"/>
      <c r="CB6209" s="319"/>
      <c r="CC6209" s="319"/>
      <c r="CD6209" s="319"/>
      <c r="CE6209" s="319"/>
      <c r="CF6209" s="319"/>
      <c r="CG6209" s="319"/>
      <c r="CH6209" s="318"/>
      <c r="CI6209" s="319"/>
      <c r="CJ6209" s="319"/>
      <c r="CK6209" s="342"/>
      <c r="CL6209" s="333"/>
      <c r="CM6209" s="1079"/>
      <c r="CN6209" s="1005"/>
      <c r="CO6209" s="1005"/>
      <c r="CP6209" s="1005"/>
    </row>
    <row r="6210">
      <c r="A6210" s="1257"/>
      <c r="B6210" s="1113"/>
      <c r="C6210" s="1107"/>
      <c r="D6210" s="103"/>
      <c r="E6210" s="1137"/>
      <c r="F6210" s="112"/>
      <c r="G6210" s="1110"/>
      <c r="H6210" s="1138"/>
      <c r="I6210" s="1138"/>
      <c r="J6210" s="1139"/>
      <c r="K6210" s="1111"/>
      <c r="L6210" s="1112"/>
      <c r="M6210" s="1113"/>
      <c r="N6210" s="110"/>
      <c r="O6210" s="1140"/>
      <c r="P6210" s="1115"/>
      <c r="Q6210" s="1116"/>
      <c r="R6210" s="1141"/>
      <c r="S6210" s="1113"/>
      <c r="T6210" s="1143"/>
      <c r="U6210" s="1108"/>
      <c r="V6210" s="1108"/>
      <c r="W6210" s="1108"/>
      <c r="X6210" s="1108"/>
      <c r="Y6210" s="1108"/>
      <c r="Z6210" s="1114"/>
      <c r="AA6210" s="1114"/>
      <c r="AB6210" s="1114"/>
      <c r="AC6210" s="1117"/>
      <c r="AD6210" s="1115"/>
      <c r="AE6210" s="1115"/>
      <c r="AF6210" s="1115"/>
      <c r="AG6210" s="1115"/>
      <c r="AH6210" s="1115"/>
      <c r="AI6210" s="1115"/>
      <c r="AJ6210" s="1117"/>
      <c r="AK6210" s="1118"/>
      <c r="AL6210" s="1115"/>
      <c r="AM6210" s="1115"/>
      <c r="AN6210" s="1115"/>
      <c r="AO6210" s="1115"/>
      <c r="AP6210" s="1115"/>
      <c r="AQ6210" s="1115"/>
      <c r="AR6210" s="1115"/>
      <c r="AS6210" s="1117"/>
      <c r="AT6210" s="1075"/>
      <c r="AU6210" s="1193"/>
      <c r="AV6210" s="330"/>
      <c r="AW6210" s="331"/>
      <c r="AX6210" s="331"/>
      <c r="AY6210" s="331"/>
      <c r="AZ6210" s="331"/>
      <c r="BA6210" s="331"/>
      <c r="BB6210" s="331"/>
      <c r="BC6210" s="331"/>
      <c r="BD6210" s="331"/>
      <c r="BE6210" s="333"/>
      <c r="BF6210" s="330"/>
      <c r="BG6210" s="333"/>
      <c r="BH6210" s="1119"/>
      <c r="BI6210" s="319"/>
      <c r="BJ6210" s="319"/>
      <c r="BK6210" s="319"/>
      <c r="BL6210" s="319"/>
      <c r="BM6210" s="319"/>
      <c r="BN6210" s="319"/>
      <c r="BO6210" s="319"/>
      <c r="BP6210" s="953"/>
      <c r="BQ6210" s="319"/>
      <c r="BR6210" s="319"/>
      <c r="BS6210" s="330"/>
      <c r="BT6210" s="331"/>
      <c r="BU6210" s="920"/>
      <c r="BV6210" s="903"/>
      <c r="BW6210" s="908"/>
      <c r="BX6210" s="908"/>
      <c r="BY6210" s="331"/>
      <c r="BZ6210" s="331"/>
      <c r="CA6210" s="462"/>
      <c r="CB6210" s="319"/>
      <c r="CC6210" s="319"/>
      <c r="CD6210" s="319"/>
      <c r="CE6210" s="319"/>
      <c r="CF6210" s="319"/>
      <c r="CG6210" s="319"/>
      <c r="CH6210" s="318"/>
      <c r="CI6210" s="319"/>
      <c r="CJ6210" s="319"/>
      <c r="CK6210" s="342"/>
      <c r="CL6210" s="333"/>
      <c r="CM6210" s="1079"/>
      <c r="CN6210" s="1005"/>
      <c r="CO6210" s="1005"/>
      <c r="CP6210" s="1005"/>
    </row>
    <row r="6211">
      <c r="A6211" s="1257"/>
      <c r="B6211" s="1113"/>
      <c r="C6211" s="1107"/>
      <c r="D6211" s="103"/>
      <c r="E6211" s="1137"/>
      <c r="F6211" s="112"/>
      <c r="G6211" s="1110"/>
      <c r="H6211" s="1138"/>
      <c r="I6211" s="1138"/>
      <c r="J6211" s="1139"/>
      <c r="K6211" s="1111"/>
      <c r="L6211" s="1112"/>
      <c r="M6211" s="1113"/>
      <c r="N6211" s="110"/>
      <c r="O6211" s="1140"/>
      <c r="P6211" s="1115"/>
      <c r="Q6211" s="1116"/>
      <c r="R6211" s="1141"/>
      <c r="S6211" s="1113"/>
      <c r="T6211" s="1143"/>
      <c r="U6211" s="1108"/>
      <c r="V6211" s="1108"/>
      <c r="W6211" s="1108"/>
      <c r="X6211" s="1108"/>
      <c r="Y6211" s="1108"/>
      <c r="Z6211" s="1114"/>
      <c r="AA6211" s="1114"/>
      <c r="AB6211" s="1114"/>
      <c r="AC6211" s="1117"/>
      <c r="AD6211" s="1115"/>
      <c r="AE6211" s="1115"/>
      <c r="AF6211" s="1115"/>
      <c r="AG6211" s="1115"/>
      <c r="AH6211" s="1115"/>
      <c r="AI6211" s="1115"/>
      <c r="AJ6211" s="1117"/>
      <c r="AK6211" s="1118"/>
      <c r="AL6211" s="1115"/>
      <c r="AM6211" s="1115"/>
      <c r="AN6211" s="1115"/>
      <c r="AO6211" s="1115"/>
      <c r="AP6211" s="1115"/>
      <c r="AQ6211" s="1115"/>
      <c r="AR6211" s="1115"/>
      <c r="AS6211" s="1117"/>
      <c r="AT6211" s="1075"/>
      <c r="AU6211" s="1193"/>
      <c r="AV6211" s="330"/>
      <c r="AW6211" s="331"/>
      <c r="AX6211" s="331"/>
      <c r="AY6211" s="331"/>
      <c r="AZ6211" s="331"/>
      <c r="BA6211" s="331"/>
      <c r="BB6211" s="331"/>
      <c r="BC6211" s="331"/>
      <c r="BD6211" s="331"/>
      <c r="BE6211" s="333"/>
      <c r="BF6211" s="330"/>
      <c r="BG6211" s="333"/>
      <c r="BH6211" s="1119"/>
      <c r="BI6211" s="319"/>
      <c r="BJ6211" s="319"/>
      <c r="BK6211" s="319"/>
      <c r="BL6211" s="319"/>
      <c r="BM6211" s="319"/>
      <c r="BN6211" s="319"/>
      <c r="BO6211" s="319"/>
      <c r="BP6211" s="953"/>
      <c r="BQ6211" s="319"/>
      <c r="BR6211" s="319"/>
      <c r="BS6211" s="330"/>
      <c r="BT6211" s="331"/>
      <c r="BU6211" s="920"/>
      <c r="BV6211" s="903"/>
      <c r="BW6211" s="908"/>
      <c r="BX6211" s="908"/>
      <c r="BY6211" s="331"/>
      <c r="BZ6211" s="331"/>
      <c r="CA6211" s="462"/>
      <c r="CB6211" s="319"/>
      <c r="CC6211" s="319"/>
      <c r="CD6211" s="319"/>
      <c r="CE6211" s="319"/>
      <c r="CF6211" s="319"/>
      <c r="CG6211" s="319"/>
      <c r="CH6211" s="318"/>
      <c r="CI6211" s="319"/>
      <c r="CJ6211" s="319"/>
      <c r="CK6211" s="342"/>
      <c r="CL6211" s="333"/>
      <c r="CM6211" s="1079"/>
      <c r="CN6211" s="1005"/>
      <c r="CO6211" s="1005"/>
      <c r="CP6211" s="1005"/>
    </row>
    <row r="6212">
      <c r="A6212" s="1257"/>
      <c r="B6212" s="1113"/>
      <c r="C6212" s="1107"/>
      <c r="D6212" s="103"/>
      <c r="E6212" s="1137"/>
      <c r="F6212" s="112"/>
      <c r="G6212" s="1110"/>
      <c r="H6212" s="1138"/>
      <c r="I6212" s="1138"/>
      <c r="J6212" s="1139"/>
      <c r="K6212" s="1111"/>
      <c r="L6212" s="1112"/>
      <c r="M6212" s="1113"/>
      <c r="N6212" s="110"/>
      <c r="O6212" s="1140"/>
      <c r="P6212" s="1115"/>
      <c r="Q6212" s="1116"/>
      <c r="R6212" s="1141"/>
      <c r="S6212" s="1113"/>
      <c r="T6212" s="1143"/>
      <c r="U6212" s="1108"/>
      <c r="V6212" s="1108"/>
      <c r="W6212" s="1108"/>
      <c r="X6212" s="1108"/>
      <c r="Y6212" s="1108"/>
      <c r="Z6212" s="1114"/>
      <c r="AA6212" s="1114"/>
      <c r="AB6212" s="1114"/>
      <c r="AC6212" s="1117"/>
      <c r="AD6212" s="1115"/>
      <c r="AE6212" s="1115"/>
      <c r="AF6212" s="1115"/>
      <c r="AG6212" s="1115"/>
      <c r="AH6212" s="1115"/>
      <c r="AI6212" s="1115"/>
      <c r="AJ6212" s="1117"/>
      <c r="AK6212" s="1118"/>
      <c r="AL6212" s="1115"/>
      <c r="AM6212" s="1115"/>
      <c r="AN6212" s="1115"/>
      <c r="AO6212" s="1115"/>
      <c r="AP6212" s="1115"/>
      <c r="AQ6212" s="1115"/>
      <c r="AR6212" s="1115"/>
      <c r="AS6212" s="1117"/>
      <c r="AT6212" s="1075"/>
      <c r="AU6212" s="1193"/>
      <c r="AV6212" s="330"/>
      <c r="AW6212" s="331"/>
      <c r="AX6212" s="331"/>
      <c r="AY6212" s="331"/>
      <c r="AZ6212" s="331"/>
      <c r="BA6212" s="331"/>
      <c r="BB6212" s="331"/>
      <c r="BC6212" s="331"/>
      <c r="BD6212" s="331"/>
      <c r="BE6212" s="333"/>
      <c r="BF6212" s="330"/>
      <c r="BG6212" s="333"/>
      <c r="BH6212" s="1119"/>
      <c r="BI6212" s="319"/>
      <c r="BJ6212" s="319"/>
      <c r="BK6212" s="319"/>
      <c r="BL6212" s="319"/>
      <c r="BM6212" s="319"/>
      <c r="BN6212" s="319"/>
      <c r="BO6212" s="319"/>
      <c r="BP6212" s="953"/>
      <c r="BQ6212" s="319"/>
      <c r="BR6212" s="319"/>
      <c r="BS6212" s="330"/>
      <c r="BT6212" s="331"/>
      <c r="BU6212" s="920"/>
      <c r="BV6212" s="903"/>
      <c r="BW6212" s="908"/>
      <c r="BX6212" s="908"/>
      <c r="BY6212" s="331"/>
      <c r="BZ6212" s="331"/>
      <c r="CA6212" s="462"/>
      <c r="CB6212" s="319"/>
      <c r="CC6212" s="319"/>
      <c r="CD6212" s="319"/>
      <c r="CE6212" s="319"/>
      <c r="CF6212" s="319"/>
      <c r="CG6212" s="319"/>
      <c r="CH6212" s="318"/>
      <c r="CI6212" s="319"/>
      <c r="CJ6212" s="319"/>
      <c r="CK6212" s="342"/>
      <c r="CL6212" s="333"/>
      <c r="CM6212" s="1079"/>
      <c r="CN6212" s="1005"/>
      <c r="CO6212" s="1005"/>
      <c r="CP6212" s="1005"/>
    </row>
    <row r="6213">
      <c r="A6213" s="1257"/>
      <c r="B6213" s="1113"/>
      <c r="C6213" s="1107"/>
      <c r="D6213" s="103"/>
      <c r="E6213" s="1137"/>
      <c r="F6213" s="112"/>
      <c r="G6213" s="1110"/>
      <c r="H6213" s="1138"/>
      <c r="I6213" s="1138"/>
      <c r="J6213" s="1139"/>
      <c r="K6213" s="1111"/>
      <c r="L6213" s="1112"/>
      <c r="M6213" s="1113"/>
      <c r="N6213" s="110"/>
      <c r="O6213" s="1140"/>
      <c r="P6213" s="1115"/>
      <c r="Q6213" s="1116"/>
      <c r="R6213" s="1141"/>
      <c r="S6213" s="1113"/>
      <c r="T6213" s="1143"/>
      <c r="U6213" s="1108"/>
      <c r="V6213" s="1108"/>
      <c r="W6213" s="1108"/>
      <c r="X6213" s="1108"/>
      <c r="Y6213" s="1108"/>
      <c r="Z6213" s="1114"/>
      <c r="AA6213" s="1114"/>
      <c r="AB6213" s="1114"/>
      <c r="AC6213" s="1117"/>
      <c r="AD6213" s="1115"/>
      <c r="AE6213" s="1115"/>
      <c r="AF6213" s="1115"/>
      <c r="AG6213" s="1115"/>
      <c r="AH6213" s="1115"/>
      <c r="AI6213" s="1115"/>
      <c r="AJ6213" s="1117"/>
      <c r="AK6213" s="1118"/>
      <c r="AL6213" s="1115"/>
      <c r="AM6213" s="1115"/>
      <c r="AN6213" s="1115"/>
      <c r="AO6213" s="1115"/>
      <c r="AP6213" s="1115"/>
      <c r="AQ6213" s="1115"/>
      <c r="AR6213" s="1115"/>
      <c r="AS6213" s="1117"/>
      <c r="AT6213" s="1075"/>
      <c r="AU6213" s="1193"/>
      <c r="AV6213" s="330"/>
      <c r="AW6213" s="331"/>
      <c r="AX6213" s="331"/>
      <c r="AY6213" s="331"/>
      <c r="AZ6213" s="331"/>
      <c r="BA6213" s="331"/>
      <c r="BB6213" s="331"/>
      <c r="BC6213" s="331"/>
      <c r="BD6213" s="331"/>
      <c r="BE6213" s="333"/>
      <c r="BF6213" s="330"/>
      <c r="BG6213" s="333"/>
      <c r="BH6213" s="1119"/>
      <c r="BI6213" s="319"/>
      <c r="BJ6213" s="319"/>
      <c r="BK6213" s="319"/>
      <c r="BL6213" s="319"/>
      <c r="BM6213" s="319"/>
      <c r="BN6213" s="319"/>
      <c r="BO6213" s="319"/>
      <c r="BP6213" s="953"/>
      <c r="BQ6213" s="319"/>
      <c r="BR6213" s="319"/>
      <c r="BS6213" s="330"/>
      <c r="BT6213" s="331"/>
      <c r="BU6213" s="920"/>
      <c r="BV6213" s="903"/>
      <c r="BW6213" s="908"/>
      <c r="BX6213" s="908"/>
      <c r="BY6213" s="331"/>
      <c r="BZ6213" s="331"/>
      <c r="CA6213" s="462"/>
      <c r="CB6213" s="319"/>
      <c r="CC6213" s="319"/>
      <c r="CD6213" s="319"/>
      <c r="CE6213" s="319"/>
      <c r="CF6213" s="319"/>
      <c r="CG6213" s="319"/>
      <c r="CH6213" s="318"/>
      <c r="CI6213" s="319"/>
      <c r="CJ6213" s="319"/>
      <c r="CK6213" s="342"/>
      <c r="CL6213" s="333"/>
      <c r="CM6213" s="1079"/>
      <c r="CN6213" s="1005"/>
      <c r="CO6213" s="1005"/>
      <c r="CP6213" s="1005"/>
    </row>
    <row r="6214">
      <c r="A6214" s="1257"/>
      <c r="B6214" s="1113"/>
      <c r="C6214" s="1107"/>
      <c r="D6214" s="103"/>
      <c r="E6214" s="1137"/>
      <c r="F6214" s="112"/>
      <c r="G6214" s="1110"/>
      <c r="H6214" s="1138"/>
      <c r="I6214" s="1138"/>
      <c r="J6214" s="1139"/>
      <c r="K6214" s="1111"/>
      <c r="L6214" s="1112"/>
      <c r="M6214" s="1113"/>
      <c r="N6214" s="110"/>
      <c r="O6214" s="1140"/>
      <c r="P6214" s="1115"/>
      <c r="Q6214" s="1116"/>
      <c r="R6214" s="1141"/>
      <c r="S6214" s="1113"/>
      <c r="T6214" s="1143"/>
      <c r="U6214" s="1108"/>
      <c r="V6214" s="1108"/>
      <c r="W6214" s="1108"/>
      <c r="X6214" s="1108"/>
      <c r="Y6214" s="1108"/>
      <c r="Z6214" s="1114"/>
      <c r="AA6214" s="1114"/>
      <c r="AB6214" s="1114"/>
      <c r="AC6214" s="1117"/>
      <c r="AD6214" s="1115"/>
      <c r="AE6214" s="1115"/>
      <c r="AF6214" s="1115"/>
      <c r="AG6214" s="1115"/>
      <c r="AH6214" s="1115"/>
      <c r="AI6214" s="1115"/>
      <c r="AJ6214" s="1117"/>
      <c r="AK6214" s="1118"/>
      <c r="AL6214" s="1115"/>
      <c r="AM6214" s="1115"/>
      <c r="AN6214" s="1115"/>
      <c r="AO6214" s="1115"/>
      <c r="AP6214" s="1115"/>
      <c r="AQ6214" s="1115"/>
      <c r="AR6214" s="1115"/>
      <c r="AS6214" s="1117"/>
      <c r="AT6214" s="1075"/>
      <c r="AU6214" s="1193"/>
      <c r="AV6214" s="330"/>
      <c r="AW6214" s="331"/>
      <c r="AX6214" s="331"/>
      <c r="AY6214" s="331"/>
      <c r="AZ6214" s="331"/>
      <c r="BA6214" s="331"/>
      <c r="BB6214" s="331"/>
      <c r="BC6214" s="331"/>
      <c r="BD6214" s="331"/>
      <c r="BE6214" s="333"/>
      <c r="BF6214" s="330"/>
      <c r="BG6214" s="333"/>
      <c r="BH6214" s="1119"/>
      <c r="BI6214" s="319"/>
      <c r="BJ6214" s="319"/>
      <c r="BK6214" s="319"/>
      <c r="BL6214" s="319"/>
      <c r="BM6214" s="319"/>
      <c r="BN6214" s="319"/>
      <c r="BO6214" s="319"/>
      <c r="BP6214" s="953"/>
      <c r="BQ6214" s="319"/>
      <c r="BR6214" s="319"/>
      <c r="BS6214" s="330"/>
      <c r="BT6214" s="331"/>
      <c r="BU6214" s="920"/>
      <c r="BV6214" s="903"/>
      <c r="BW6214" s="908"/>
      <c r="BX6214" s="908"/>
      <c r="BY6214" s="331"/>
      <c r="BZ6214" s="331"/>
      <c r="CA6214" s="462"/>
      <c r="CB6214" s="319"/>
      <c r="CC6214" s="319"/>
      <c r="CD6214" s="319"/>
      <c r="CE6214" s="319"/>
      <c r="CF6214" s="319"/>
      <c r="CG6214" s="319"/>
      <c r="CH6214" s="318"/>
      <c r="CI6214" s="319"/>
      <c r="CJ6214" s="319"/>
      <c r="CK6214" s="342"/>
      <c r="CL6214" s="333"/>
      <c r="CM6214" s="1079"/>
      <c r="CN6214" s="1005"/>
      <c r="CO6214" s="1005"/>
      <c r="CP6214" s="1005"/>
    </row>
    <row r="6215">
      <c r="A6215" s="1257"/>
      <c r="B6215" s="1113"/>
      <c r="C6215" s="1107"/>
      <c r="D6215" s="103"/>
      <c r="E6215" s="1137"/>
      <c r="F6215" s="112"/>
      <c r="G6215" s="1110"/>
      <c r="H6215" s="1138"/>
      <c r="I6215" s="1138"/>
      <c r="J6215" s="1139"/>
      <c r="K6215" s="1111"/>
      <c r="L6215" s="1112"/>
      <c r="M6215" s="1113"/>
      <c r="N6215" s="110"/>
      <c r="O6215" s="1140"/>
      <c r="P6215" s="1115"/>
      <c r="Q6215" s="1116"/>
      <c r="R6215" s="1141"/>
      <c r="S6215" s="1113"/>
      <c r="T6215" s="1143"/>
      <c r="U6215" s="1108"/>
      <c r="V6215" s="1108"/>
      <c r="W6215" s="1108"/>
      <c r="X6215" s="1108"/>
      <c r="Y6215" s="1108"/>
      <c r="Z6215" s="1114"/>
      <c r="AA6215" s="1114"/>
      <c r="AB6215" s="1114"/>
      <c r="AC6215" s="1117"/>
      <c r="AD6215" s="1115"/>
      <c r="AE6215" s="1115"/>
      <c r="AF6215" s="1115"/>
      <c r="AG6215" s="1115"/>
      <c r="AH6215" s="1115"/>
      <c r="AI6215" s="1115"/>
      <c r="AJ6215" s="1117"/>
      <c r="AK6215" s="1118"/>
      <c r="AL6215" s="1115"/>
      <c r="AM6215" s="1115"/>
      <c r="AN6215" s="1115"/>
      <c r="AO6215" s="1115"/>
      <c r="AP6215" s="1115"/>
      <c r="AQ6215" s="1115"/>
      <c r="AR6215" s="1115"/>
      <c r="AS6215" s="1117"/>
      <c r="AT6215" s="1075"/>
      <c r="AU6215" s="1193"/>
      <c r="AV6215" s="330"/>
      <c r="AW6215" s="331"/>
      <c r="AX6215" s="331"/>
      <c r="AY6215" s="331"/>
      <c r="AZ6215" s="331"/>
      <c r="BA6215" s="331"/>
      <c r="BB6215" s="331"/>
      <c r="BC6215" s="331"/>
      <c r="BD6215" s="331"/>
      <c r="BE6215" s="333"/>
      <c r="BF6215" s="330"/>
      <c r="BG6215" s="333"/>
      <c r="BH6215" s="1119"/>
      <c r="BI6215" s="319"/>
      <c r="BJ6215" s="319"/>
      <c r="BK6215" s="319"/>
      <c r="BL6215" s="319"/>
      <c r="BM6215" s="319"/>
      <c r="BN6215" s="319"/>
      <c r="BO6215" s="319"/>
      <c r="BP6215" s="953"/>
      <c r="BQ6215" s="319"/>
      <c r="BR6215" s="319"/>
      <c r="BS6215" s="330"/>
      <c r="BT6215" s="331"/>
      <c r="BU6215" s="920"/>
      <c r="BV6215" s="903"/>
      <c r="BW6215" s="908"/>
      <c r="BX6215" s="908"/>
      <c r="BY6215" s="331"/>
      <c r="BZ6215" s="331"/>
      <c r="CA6215" s="462"/>
      <c r="CB6215" s="319"/>
      <c r="CC6215" s="319"/>
      <c r="CD6215" s="319"/>
      <c r="CE6215" s="319"/>
      <c r="CF6215" s="319"/>
      <c r="CG6215" s="319"/>
      <c r="CH6215" s="318"/>
      <c r="CI6215" s="319"/>
      <c r="CJ6215" s="319"/>
      <c r="CK6215" s="342"/>
      <c r="CL6215" s="333"/>
      <c r="CM6215" s="1079"/>
      <c r="CN6215" s="1005"/>
      <c r="CO6215" s="1005"/>
      <c r="CP6215" s="1005"/>
    </row>
    <row r="6216">
      <c r="A6216" s="1257"/>
      <c r="B6216" s="1113"/>
      <c r="C6216" s="1107"/>
      <c r="D6216" s="103"/>
      <c r="E6216" s="1137"/>
      <c r="F6216" s="112"/>
      <c r="G6216" s="1110"/>
      <c r="H6216" s="1138"/>
      <c r="I6216" s="1138"/>
      <c r="J6216" s="1139"/>
      <c r="K6216" s="1111"/>
      <c r="L6216" s="1112"/>
      <c r="M6216" s="1113"/>
      <c r="N6216" s="110"/>
      <c r="O6216" s="1140"/>
      <c r="P6216" s="1115"/>
      <c r="Q6216" s="1116"/>
      <c r="R6216" s="1141"/>
      <c r="S6216" s="1113"/>
      <c r="T6216" s="1143"/>
      <c r="U6216" s="1108"/>
      <c r="V6216" s="1108"/>
      <c r="W6216" s="1108"/>
      <c r="X6216" s="1108"/>
      <c r="Y6216" s="1108"/>
      <c r="Z6216" s="1114"/>
      <c r="AA6216" s="1114"/>
      <c r="AB6216" s="1114"/>
      <c r="AC6216" s="1117"/>
      <c r="AD6216" s="1115"/>
      <c r="AE6216" s="1115"/>
      <c r="AF6216" s="1115"/>
      <c r="AG6216" s="1115"/>
      <c r="AH6216" s="1115"/>
      <c r="AI6216" s="1115"/>
      <c r="AJ6216" s="1117"/>
      <c r="AK6216" s="1118"/>
      <c r="AL6216" s="1115"/>
      <c r="AM6216" s="1115"/>
      <c r="AN6216" s="1115"/>
      <c r="AO6216" s="1115"/>
      <c r="AP6216" s="1115"/>
      <c r="AQ6216" s="1115"/>
      <c r="AR6216" s="1115"/>
      <c r="AS6216" s="1117"/>
      <c r="AT6216" s="1075"/>
      <c r="AU6216" s="1193"/>
      <c r="AV6216" s="330"/>
      <c r="AW6216" s="331"/>
      <c r="AX6216" s="331"/>
      <c r="AY6216" s="331"/>
      <c r="AZ6216" s="331"/>
      <c r="BA6216" s="331"/>
      <c r="BB6216" s="331"/>
      <c r="BC6216" s="331"/>
      <c r="BD6216" s="331"/>
      <c r="BE6216" s="333"/>
      <c r="BF6216" s="330"/>
      <c r="BG6216" s="333"/>
      <c r="BH6216" s="1119"/>
      <c r="BI6216" s="319"/>
      <c r="BJ6216" s="319"/>
      <c r="BK6216" s="319"/>
      <c r="BL6216" s="319"/>
      <c r="BM6216" s="319"/>
      <c r="BN6216" s="319"/>
      <c r="BO6216" s="319"/>
      <c r="BP6216" s="953"/>
      <c r="BQ6216" s="319"/>
      <c r="BR6216" s="319"/>
      <c r="BS6216" s="330"/>
      <c r="BT6216" s="331"/>
      <c r="BU6216" s="920"/>
      <c r="BV6216" s="903"/>
      <c r="BW6216" s="908"/>
      <c r="BX6216" s="908"/>
      <c r="BY6216" s="331"/>
      <c r="BZ6216" s="331"/>
      <c r="CA6216" s="462"/>
      <c r="CB6216" s="319"/>
      <c r="CC6216" s="319"/>
      <c r="CD6216" s="319"/>
      <c r="CE6216" s="319"/>
      <c r="CF6216" s="319"/>
      <c r="CG6216" s="319"/>
      <c r="CH6216" s="318"/>
      <c r="CI6216" s="319"/>
      <c r="CJ6216" s="319"/>
      <c r="CK6216" s="342"/>
      <c r="CL6216" s="333"/>
      <c r="CM6216" s="1079"/>
      <c r="CN6216" s="1005"/>
      <c r="CO6216" s="1005"/>
      <c r="CP6216" s="1005"/>
    </row>
    <row r="6217">
      <c r="A6217" s="1257"/>
      <c r="B6217" s="1113"/>
      <c r="C6217" s="1107"/>
      <c r="D6217" s="103"/>
      <c r="E6217" s="1137"/>
      <c r="F6217" s="112"/>
      <c r="G6217" s="1110"/>
      <c r="H6217" s="1138"/>
      <c r="I6217" s="1138"/>
      <c r="J6217" s="1139"/>
      <c r="K6217" s="1111"/>
      <c r="L6217" s="1112"/>
      <c r="M6217" s="1113"/>
      <c r="N6217" s="110"/>
      <c r="O6217" s="1140"/>
      <c r="P6217" s="1115"/>
      <c r="Q6217" s="1116"/>
      <c r="R6217" s="1141"/>
      <c r="S6217" s="1113"/>
      <c r="T6217" s="1143"/>
      <c r="U6217" s="1108"/>
      <c r="V6217" s="1108"/>
      <c r="W6217" s="1108"/>
      <c r="X6217" s="1108"/>
      <c r="Y6217" s="1108"/>
      <c r="Z6217" s="1114"/>
      <c r="AA6217" s="1114"/>
      <c r="AB6217" s="1114"/>
      <c r="AC6217" s="1117"/>
      <c r="AD6217" s="1115"/>
      <c r="AE6217" s="1115"/>
      <c r="AF6217" s="1115"/>
      <c r="AG6217" s="1115"/>
      <c r="AH6217" s="1115"/>
      <c r="AI6217" s="1115"/>
      <c r="AJ6217" s="1117"/>
      <c r="AK6217" s="1118"/>
      <c r="AL6217" s="1115"/>
      <c r="AM6217" s="1115"/>
      <c r="AN6217" s="1115"/>
      <c r="AO6217" s="1115"/>
      <c r="AP6217" s="1115"/>
      <c r="AQ6217" s="1115"/>
      <c r="AR6217" s="1115"/>
      <c r="AS6217" s="1117"/>
      <c r="AT6217" s="1075"/>
      <c r="AU6217" s="1193"/>
      <c r="AV6217" s="330"/>
      <c r="AW6217" s="331"/>
      <c r="AX6217" s="331"/>
      <c r="AY6217" s="331"/>
      <c r="AZ6217" s="331"/>
      <c r="BA6217" s="331"/>
      <c r="BB6217" s="331"/>
      <c r="BC6217" s="331"/>
      <c r="BD6217" s="331"/>
      <c r="BE6217" s="333"/>
      <c r="BF6217" s="330"/>
      <c r="BG6217" s="333"/>
      <c r="BH6217" s="1119"/>
      <c r="BI6217" s="319"/>
      <c r="BJ6217" s="319"/>
      <c r="BK6217" s="319"/>
      <c r="BL6217" s="319"/>
      <c r="BM6217" s="319"/>
      <c r="BN6217" s="319"/>
      <c r="BO6217" s="319"/>
      <c r="BP6217" s="953"/>
      <c r="BQ6217" s="319"/>
      <c r="BR6217" s="319"/>
      <c r="BS6217" s="330"/>
      <c r="BT6217" s="331"/>
      <c r="BU6217" s="920"/>
      <c r="BV6217" s="903"/>
      <c r="BW6217" s="908"/>
      <c r="BX6217" s="908"/>
      <c r="BY6217" s="331"/>
      <c r="BZ6217" s="331"/>
      <c r="CA6217" s="462"/>
      <c r="CB6217" s="319"/>
      <c r="CC6217" s="319"/>
      <c r="CD6217" s="319"/>
      <c r="CE6217" s="319"/>
      <c r="CF6217" s="319"/>
      <c r="CG6217" s="319"/>
      <c r="CH6217" s="318"/>
      <c r="CI6217" s="319"/>
      <c r="CJ6217" s="319"/>
      <c r="CK6217" s="342"/>
      <c r="CL6217" s="333"/>
      <c r="CM6217" s="1079"/>
      <c r="CN6217" s="1005"/>
      <c r="CO6217" s="1005"/>
      <c r="CP6217" s="1005"/>
    </row>
    <row r="6218">
      <c r="A6218" s="1257"/>
      <c r="B6218" s="1113"/>
      <c r="C6218" s="1107"/>
      <c r="D6218" s="103"/>
      <c r="E6218" s="1137"/>
      <c r="F6218" s="112"/>
      <c r="G6218" s="1110"/>
      <c r="H6218" s="1138"/>
      <c r="I6218" s="1138"/>
      <c r="J6218" s="1139"/>
      <c r="K6218" s="1111"/>
      <c r="L6218" s="1112"/>
      <c r="M6218" s="1113"/>
      <c r="N6218" s="110"/>
      <c r="O6218" s="1140"/>
      <c r="P6218" s="1115"/>
      <c r="Q6218" s="1116"/>
      <c r="R6218" s="1141"/>
      <c r="S6218" s="1113"/>
      <c r="T6218" s="1143"/>
      <c r="U6218" s="1108"/>
      <c r="V6218" s="1108"/>
      <c r="W6218" s="1108"/>
      <c r="X6218" s="1108"/>
      <c r="Y6218" s="1108"/>
      <c r="Z6218" s="1114"/>
      <c r="AA6218" s="1114"/>
      <c r="AB6218" s="1114"/>
      <c r="AC6218" s="1117"/>
      <c r="AD6218" s="1115"/>
      <c r="AE6218" s="1115"/>
      <c r="AF6218" s="1115"/>
      <c r="AG6218" s="1115"/>
      <c r="AH6218" s="1115"/>
      <c r="AI6218" s="1115"/>
      <c r="AJ6218" s="1117"/>
      <c r="AK6218" s="1118"/>
      <c r="AL6218" s="1115"/>
      <c r="AM6218" s="1115"/>
      <c r="AN6218" s="1115"/>
      <c r="AO6218" s="1115"/>
      <c r="AP6218" s="1115"/>
      <c r="AQ6218" s="1115"/>
      <c r="AR6218" s="1115"/>
      <c r="AS6218" s="1117"/>
      <c r="AT6218" s="1075"/>
      <c r="AU6218" s="1193"/>
      <c r="AV6218" s="330"/>
      <c r="AW6218" s="331"/>
      <c r="AX6218" s="331"/>
      <c r="AY6218" s="331"/>
      <c r="AZ6218" s="331"/>
      <c r="BA6218" s="331"/>
      <c r="BB6218" s="331"/>
      <c r="BC6218" s="331"/>
      <c r="BD6218" s="331"/>
      <c r="BE6218" s="333"/>
      <c r="BF6218" s="330"/>
      <c r="BG6218" s="333"/>
      <c r="BH6218" s="1119"/>
      <c r="BI6218" s="319"/>
      <c r="BJ6218" s="319"/>
      <c r="BK6218" s="319"/>
      <c r="BL6218" s="319"/>
      <c r="BM6218" s="319"/>
      <c r="BN6218" s="319"/>
      <c r="BO6218" s="319"/>
      <c r="BP6218" s="953"/>
      <c r="BQ6218" s="319"/>
      <c r="BR6218" s="319"/>
      <c r="BS6218" s="330"/>
      <c r="BT6218" s="331"/>
      <c r="BU6218" s="920"/>
      <c r="BV6218" s="903"/>
      <c r="BW6218" s="908"/>
      <c r="BX6218" s="908"/>
      <c r="BY6218" s="331"/>
      <c r="BZ6218" s="331"/>
      <c r="CA6218" s="462"/>
      <c r="CB6218" s="319"/>
      <c r="CC6218" s="319"/>
      <c r="CD6218" s="319"/>
      <c r="CE6218" s="319"/>
      <c r="CF6218" s="319"/>
      <c r="CG6218" s="319"/>
      <c r="CH6218" s="318"/>
      <c r="CI6218" s="319"/>
      <c r="CJ6218" s="319"/>
      <c r="CK6218" s="342"/>
      <c r="CL6218" s="333"/>
      <c r="CM6218" s="1079"/>
      <c r="CN6218" s="1005"/>
      <c r="CO6218" s="1005"/>
      <c r="CP6218" s="1005"/>
    </row>
    <row r="6219">
      <c r="A6219" s="1257"/>
      <c r="B6219" s="1113"/>
      <c r="C6219" s="1107"/>
      <c r="D6219" s="103"/>
      <c r="E6219" s="1137"/>
      <c r="F6219" s="112"/>
      <c r="G6219" s="1110"/>
      <c r="H6219" s="1138"/>
      <c r="I6219" s="1138"/>
      <c r="J6219" s="1139"/>
      <c r="K6219" s="1111"/>
      <c r="L6219" s="1112"/>
      <c r="M6219" s="1113"/>
      <c r="N6219" s="110"/>
      <c r="O6219" s="1140"/>
      <c r="P6219" s="1115"/>
      <c r="Q6219" s="1116"/>
      <c r="R6219" s="1141"/>
      <c r="S6219" s="1113"/>
      <c r="T6219" s="1143"/>
      <c r="U6219" s="1108"/>
      <c r="V6219" s="1108"/>
      <c r="W6219" s="1108"/>
      <c r="X6219" s="1108"/>
      <c r="Y6219" s="1108"/>
      <c r="Z6219" s="1114"/>
      <c r="AA6219" s="1114"/>
      <c r="AB6219" s="1114"/>
      <c r="AC6219" s="1117"/>
      <c r="AD6219" s="1115"/>
      <c r="AE6219" s="1115"/>
      <c r="AF6219" s="1115"/>
      <c r="AG6219" s="1115"/>
      <c r="AH6219" s="1115"/>
      <c r="AI6219" s="1115"/>
      <c r="AJ6219" s="1117"/>
      <c r="AK6219" s="1118"/>
      <c r="AL6219" s="1115"/>
      <c r="AM6219" s="1115"/>
      <c r="AN6219" s="1115"/>
      <c r="AO6219" s="1115"/>
      <c r="AP6219" s="1115"/>
      <c r="AQ6219" s="1115"/>
      <c r="AR6219" s="1115"/>
      <c r="AS6219" s="1117"/>
      <c r="AT6219" s="1075"/>
      <c r="AU6219" s="1193"/>
      <c r="AV6219" s="330"/>
      <c r="AW6219" s="331"/>
      <c r="AX6219" s="331"/>
      <c r="AY6219" s="331"/>
      <c r="AZ6219" s="331"/>
      <c r="BA6219" s="331"/>
      <c r="BB6219" s="331"/>
      <c r="BC6219" s="331"/>
      <c r="BD6219" s="331"/>
      <c r="BE6219" s="333"/>
      <c r="BF6219" s="330"/>
      <c r="BG6219" s="333"/>
      <c r="BH6219" s="1119"/>
      <c r="BI6219" s="319"/>
      <c r="BJ6219" s="319"/>
      <c r="BK6219" s="319"/>
      <c r="BL6219" s="319"/>
      <c r="BM6219" s="319"/>
      <c r="BN6219" s="319"/>
      <c r="BO6219" s="319"/>
      <c r="BP6219" s="953"/>
      <c r="BQ6219" s="319"/>
      <c r="BR6219" s="319"/>
      <c r="BS6219" s="330"/>
      <c r="BT6219" s="331"/>
      <c r="BU6219" s="920"/>
      <c r="BV6219" s="903"/>
      <c r="BW6219" s="908"/>
      <c r="BX6219" s="908"/>
      <c r="BY6219" s="331"/>
      <c r="BZ6219" s="331"/>
      <c r="CA6219" s="462"/>
      <c r="CB6219" s="319"/>
      <c r="CC6219" s="319"/>
      <c r="CD6219" s="319"/>
      <c r="CE6219" s="319"/>
      <c r="CF6219" s="319"/>
      <c r="CG6219" s="319"/>
      <c r="CH6219" s="318"/>
      <c r="CI6219" s="319"/>
      <c r="CJ6219" s="319"/>
      <c r="CK6219" s="342"/>
      <c r="CL6219" s="333"/>
      <c r="CM6219" s="1079"/>
      <c r="CN6219" s="1005"/>
      <c r="CO6219" s="1005"/>
      <c r="CP6219" s="1005"/>
    </row>
    <row r="6220">
      <c r="A6220" s="1257"/>
      <c r="B6220" s="1113"/>
      <c r="C6220" s="1107"/>
      <c r="D6220" s="103"/>
      <c r="E6220" s="1137"/>
      <c r="F6220" s="112"/>
      <c r="G6220" s="1110"/>
      <c r="H6220" s="1138"/>
      <c r="I6220" s="1138"/>
      <c r="J6220" s="1139"/>
      <c r="K6220" s="1111"/>
      <c r="L6220" s="1112"/>
      <c r="M6220" s="1113"/>
      <c r="N6220" s="110"/>
      <c r="O6220" s="1140"/>
      <c r="P6220" s="1115"/>
      <c r="Q6220" s="1116"/>
      <c r="R6220" s="1141"/>
      <c r="S6220" s="1113"/>
      <c r="T6220" s="1143"/>
      <c r="U6220" s="1108"/>
      <c r="V6220" s="1108"/>
      <c r="W6220" s="1108"/>
      <c r="X6220" s="1108"/>
      <c r="Y6220" s="1108"/>
      <c r="Z6220" s="1114"/>
      <c r="AA6220" s="1114"/>
      <c r="AB6220" s="1114"/>
      <c r="AC6220" s="1117"/>
      <c r="AD6220" s="1115"/>
      <c r="AE6220" s="1115"/>
      <c r="AF6220" s="1115"/>
      <c r="AG6220" s="1115"/>
      <c r="AH6220" s="1115"/>
      <c r="AI6220" s="1115"/>
      <c r="AJ6220" s="1117"/>
      <c r="AK6220" s="1118"/>
      <c r="AL6220" s="1115"/>
      <c r="AM6220" s="1115"/>
      <c r="AN6220" s="1115"/>
      <c r="AO6220" s="1115"/>
      <c r="AP6220" s="1115"/>
      <c r="AQ6220" s="1115"/>
      <c r="AR6220" s="1115"/>
      <c r="AS6220" s="1117"/>
      <c r="AT6220" s="1075"/>
      <c r="AU6220" s="1193"/>
      <c r="AV6220" s="330"/>
      <c r="AW6220" s="331"/>
      <c r="AX6220" s="331"/>
      <c r="AY6220" s="331"/>
      <c r="AZ6220" s="331"/>
      <c r="BA6220" s="331"/>
      <c r="BB6220" s="331"/>
      <c r="BC6220" s="331"/>
      <c r="BD6220" s="331"/>
      <c r="BE6220" s="333"/>
      <c r="BF6220" s="330"/>
      <c r="BG6220" s="333"/>
      <c r="BH6220" s="1119"/>
      <c r="BI6220" s="319"/>
      <c r="BJ6220" s="319"/>
      <c r="BK6220" s="319"/>
      <c r="BL6220" s="319"/>
      <c r="BM6220" s="319"/>
      <c r="BN6220" s="319"/>
      <c r="BO6220" s="319"/>
      <c r="BP6220" s="953"/>
      <c r="BQ6220" s="319"/>
      <c r="BR6220" s="319"/>
      <c r="BS6220" s="330"/>
      <c r="BT6220" s="331"/>
      <c r="BU6220" s="920"/>
      <c r="BV6220" s="903"/>
      <c r="BW6220" s="908"/>
      <c r="BX6220" s="908"/>
      <c r="BY6220" s="331"/>
      <c r="BZ6220" s="331"/>
      <c r="CA6220" s="462"/>
      <c r="CB6220" s="319"/>
      <c r="CC6220" s="319"/>
      <c r="CD6220" s="319"/>
      <c r="CE6220" s="319"/>
      <c r="CF6220" s="319"/>
      <c r="CG6220" s="319"/>
      <c r="CH6220" s="318"/>
      <c r="CI6220" s="319"/>
      <c r="CJ6220" s="319"/>
      <c r="CK6220" s="342"/>
      <c r="CL6220" s="333"/>
      <c r="CM6220" s="1079"/>
      <c r="CN6220" s="1005"/>
      <c r="CO6220" s="1005"/>
      <c r="CP6220" s="1005"/>
    </row>
    <row r="6221">
      <c r="A6221" s="1257"/>
      <c r="B6221" s="1113"/>
      <c r="C6221" s="1107"/>
      <c r="D6221" s="103"/>
      <c r="E6221" s="1137"/>
      <c r="F6221" s="112"/>
      <c r="G6221" s="1110"/>
      <c r="H6221" s="1138"/>
      <c r="I6221" s="1138"/>
      <c r="J6221" s="1139"/>
      <c r="K6221" s="1111"/>
      <c r="L6221" s="1112"/>
      <c r="M6221" s="1113"/>
      <c r="N6221" s="110"/>
      <c r="O6221" s="1140"/>
      <c r="P6221" s="1115"/>
      <c r="Q6221" s="1116"/>
      <c r="R6221" s="1141"/>
      <c r="S6221" s="1113"/>
      <c r="T6221" s="1143"/>
      <c r="U6221" s="1108"/>
      <c r="V6221" s="1108"/>
      <c r="W6221" s="1108"/>
      <c r="X6221" s="1108"/>
      <c r="Y6221" s="1108"/>
      <c r="Z6221" s="1114"/>
      <c r="AA6221" s="1114"/>
      <c r="AB6221" s="1114"/>
      <c r="AC6221" s="1117"/>
      <c r="AD6221" s="1115"/>
      <c r="AE6221" s="1115"/>
      <c r="AF6221" s="1115"/>
      <c r="AG6221" s="1115"/>
      <c r="AH6221" s="1115"/>
      <c r="AI6221" s="1115"/>
      <c r="AJ6221" s="1117"/>
      <c r="AK6221" s="1118"/>
      <c r="AL6221" s="1115"/>
      <c r="AM6221" s="1115"/>
      <c r="AN6221" s="1115"/>
      <c r="AO6221" s="1115"/>
      <c r="AP6221" s="1115"/>
      <c r="AQ6221" s="1115"/>
      <c r="AR6221" s="1115"/>
      <c r="AS6221" s="1117"/>
      <c r="AT6221" s="1075"/>
      <c r="AU6221" s="1193"/>
      <c r="AV6221" s="330"/>
      <c r="AW6221" s="331"/>
      <c r="AX6221" s="331"/>
      <c r="AY6221" s="331"/>
      <c r="AZ6221" s="331"/>
      <c r="BA6221" s="331"/>
      <c r="BB6221" s="331"/>
      <c r="BC6221" s="331"/>
      <c r="BD6221" s="331"/>
      <c r="BE6221" s="333"/>
      <c r="BF6221" s="330"/>
      <c r="BG6221" s="333"/>
      <c r="BH6221" s="1119"/>
      <c r="BI6221" s="319"/>
      <c r="BJ6221" s="319"/>
      <c r="BK6221" s="319"/>
      <c r="BL6221" s="319"/>
      <c r="BM6221" s="319"/>
      <c r="BN6221" s="319"/>
      <c r="BO6221" s="319"/>
      <c r="BP6221" s="953"/>
      <c r="BQ6221" s="319"/>
      <c r="BR6221" s="319"/>
      <c r="BS6221" s="330"/>
      <c r="BT6221" s="331"/>
      <c r="BU6221" s="920"/>
      <c r="BV6221" s="903"/>
      <c r="BW6221" s="908"/>
      <c r="BX6221" s="908"/>
      <c r="BY6221" s="331"/>
      <c r="BZ6221" s="331"/>
      <c r="CA6221" s="462"/>
      <c r="CB6221" s="319"/>
      <c r="CC6221" s="319"/>
      <c r="CD6221" s="319"/>
      <c r="CE6221" s="319"/>
      <c r="CF6221" s="319"/>
      <c r="CG6221" s="319"/>
      <c r="CH6221" s="318"/>
      <c r="CI6221" s="319"/>
      <c r="CJ6221" s="319"/>
      <c r="CK6221" s="342"/>
      <c r="CL6221" s="333"/>
      <c r="CM6221" s="1079"/>
      <c r="CN6221" s="1005"/>
      <c r="CO6221" s="1005"/>
      <c r="CP6221" s="1005"/>
    </row>
    <row r="6222">
      <c r="A6222" s="1257"/>
      <c r="B6222" s="1113"/>
      <c r="C6222" s="1107"/>
      <c r="D6222" s="103"/>
      <c r="E6222" s="1137"/>
      <c r="F6222" s="112"/>
      <c r="G6222" s="1110"/>
      <c r="H6222" s="1138"/>
      <c r="I6222" s="1138"/>
      <c r="J6222" s="1139"/>
      <c r="K6222" s="1111"/>
      <c r="L6222" s="1112"/>
      <c r="M6222" s="1113"/>
      <c r="N6222" s="110"/>
      <c r="O6222" s="1140"/>
      <c r="P6222" s="1115"/>
      <c r="Q6222" s="1116"/>
      <c r="R6222" s="1141"/>
      <c r="S6222" s="1113"/>
      <c r="T6222" s="1143"/>
      <c r="U6222" s="1108"/>
      <c r="V6222" s="1108"/>
      <c r="W6222" s="1108"/>
      <c r="X6222" s="1108"/>
      <c r="Y6222" s="1108"/>
      <c r="Z6222" s="1114"/>
      <c r="AA6222" s="1114"/>
      <c r="AB6222" s="1114"/>
      <c r="AC6222" s="1117"/>
      <c r="AD6222" s="1115"/>
      <c r="AE6222" s="1115"/>
      <c r="AF6222" s="1115"/>
      <c r="AG6222" s="1115"/>
      <c r="AH6222" s="1115"/>
      <c r="AI6222" s="1115"/>
      <c r="AJ6222" s="1117"/>
      <c r="AK6222" s="1118"/>
      <c r="AL6222" s="1115"/>
      <c r="AM6222" s="1115"/>
      <c r="AN6222" s="1115"/>
      <c r="AO6222" s="1115"/>
      <c r="AP6222" s="1115"/>
      <c r="AQ6222" s="1115"/>
      <c r="AR6222" s="1115"/>
      <c r="AS6222" s="1117"/>
      <c r="AT6222" s="1075"/>
      <c r="AU6222" s="1193"/>
      <c r="AV6222" s="330"/>
      <c r="AW6222" s="331"/>
      <c r="AX6222" s="331"/>
      <c r="AY6222" s="331"/>
      <c r="AZ6222" s="331"/>
      <c r="BA6222" s="331"/>
      <c r="BB6222" s="331"/>
      <c r="BC6222" s="331"/>
      <c r="BD6222" s="331"/>
      <c r="BE6222" s="333"/>
      <c r="BF6222" s="330"/>
      <c r="BG6222" s="333"/>
      <c r="BH6222" s="1119"/>
      <c r="BI6222" s="319"/>
      <c r="BJ6222" s="319"/>
      <c r="BK6222" s="319"/>
      <c r="BL6222" s="319"/>
      <c r="BM6222" s="319"/>
      <c r="BN6222" s="319"/>
      <c r="BO6222" s="319"/>
      <c r="BP6222" s="953"/>
      <c r="BQ6222" s="319"/>
      <c r="BR6222" s="319"/>
      <c r="BS6222" s="330"/>
      <c r="BT6222" s="331"/>
      <c r="BU6222" s="920"/>
      <c r="BV6222" s="903"/>
      <c r="BW6222" s="908"/>
      <c r="BX6222" s="908"/>
      <c r="BY6222" s="331"/>
      <c r="BZ6222" s="331"/>
      <c r="CA6222" s="462"/>
      <c r="CB6222" s="319"/>
      <c r="CC6222" s="319"/>
      <c r="CD6222" s="319"/>
      <c r="CE6222" s="319"/>
      <c r="CF6222" s="319"/>
      <c r="CG6222" s="319"/>
      <c r="CH6222" s="318"/>
      <c r="CI6222" s="319"/>
      <c r="CJ6222" s="319"/>
      <c r="CK6222" s="342"/>
      <c r="CL6222" s="333"/>
      <c r="CM6222" s="1079"/>
      <c r="CN6222" s="1005"/>
      <c r="CO6222" s="1005"/>
      <c r="CP6222" s="1005"/>
    </row>
    <row r="6223">
      <c r="A6223" s="1257"/>
      <c r="B6223" s="1113"/>
      <c r="C6223" s="1107"/>
      <c r="D6223" s="103"/>
      <c r="E6223" s="1137"/>
      <c r="F6223" s="112"/>
      <c r="G6223" s="1110"/>
      <c r="H6223" s="1138"/>
      <c r="I6223" s="1138"/>
      <c r="J6223" s="1139"/>
      <c r="K6223" s="1111"/>
      <c r="L6223" s="1112"/>
      <c r="M6223" s="1113"/>
      <c r="N6223" s="110"/>
      <c r="O6223" s="1140"/>
      <c r="P6223" s="1115"/>
      <c r="Q6223" s="1116"/>
      <c r="R6223" s="1141"/>
      <c r="S6223" s="1113"/>
      <c r="T6223" s="1143"/>
      <c r="U6223" s="1108"/>
      <c r="V6223" s="1108"/>
      <c r="W6223" s="1108"/>
      <c r="X6223" s="1108"/>
      <c r="Y6223" s="1108"/>
      <c r="Z6223" s="1114"/>
      <c r="AA6223" s="1114"/>
      <c r="AB6223" s="1114"/>
      <c r="AC6223" s="1117"/>
      <c r="AD6223" s="1115"/>
      <c r="AE6223" s="1115"/>
      <c r="AF6223" s="1115"/>
      <c r="AG6223" s="1115"/>
      <c r="AH6223" s="1115"/>
      <c r="AI6223" s="1115"/>
      <c r="AJ6223" s="1117"/>
      <c r="AK6223" s="1118"/>
      <c r="AL6223" s="1115"/>
      <c r="AM6223" s="1115"/>
      <c r="AN6223" s="1115"/>
      <c r="AO6223" s="1115"/>
      <c r="AP6223" s="1115"/>
      <c r="AQ6223" s="1115"/>
      <c r="AR6223" s="1115"/>
      <c r="AS6223" s="1117"/>
      <c r="AT6223" s="1075"/>
      <c r="AU6223" s="1193"/>
      <c r="AV6223" s="330"/>
      <c r="AW6223" s="331"/>
      <c r="AX6223" s="331"/>
      <c r="AY6223" s="331"/>
      <c r="AZ6223" s="331"/>
      <c r="BA6223" s="331"/>
      <c r="BB6223" s="331"/>
      <c r="BC6223" s="331"/>
      <c r="BD6223" s="331"/>
      <c r="BE6223" s="333"/>
      <c r="BF6223" s="330"/>
      <c r="BG6223" s="333"/>
      <c r="BH6223" s="1119"/>
      <c r="BI6223" s="319"/>
      <c r="BJ6223" s="319"/>
      <c r="BK6223" s="319"/>
      <c r="BL6223" s="319"/>
      <c r="BM6223" s="319"/>
      <c r="BN6223" s="319"/>
      <c r="BO6223" s="319"/>
      <c r="BP6223" s="953"/>
      <c r="BQ6223" s="319"/>
      <c r="BR6223" s="319"/>
      <c r="BS6223" s="330"/>
      <c r="BT6223" s="331"/>
      <c r="BU6223" s="920"/>
      <c r="BV6223" s="903"/>
      <c r="BW6223" s="908"/>
      <c r="BX6223" s="908"/>
      <c r="BY6223" s="331"/>
      <c r="BZ6223" s="331"/>
      <c r="CA6223" s="462"/>
      <c r="CB6223" s="319"/>
      <c r="CC6223" s="319"/>
      <c r="CD6223" s="319"/>
      <c r="CE6223" s="319"/>
      <c r="CF6223" s="319"/>
      <c r="CG6223" s="319"/>
      <c r="CH6223" s="318"/>
      <c r="CI6223" s="319"/>
      <c r="CJ6223" s="319"/>
      <c r="CK6223" s="342"/>
      <c r="CL6223" s="333"/>
      <c r="CM6223" s="1079"/>
      <c r="CN6223" s="1005"/>
      <c r="CO6223" s="1005"/>
      <c r="CP6223" s="1005"/>
    </row>
    <row r="6224">
      <c r="A6224" s="1257"/>
      <c r="B6224" s="1113"/>
      <c r="C6224" s="1107"/>
      <c r="D6224" s="103"/>
      <c r="E6224" s="1137"/>
      <c r="F6224" s="112"/>
      <c r="G6224" s="1110"/>
      <c r="H6224" s="1138"/>
      <c r="I6224" s="1138"/>
      <c r="J6224" s="1139"/>
      <c r="K6224" s="1111"/>
      <c r="L6224" s="1112"/>
      <c r="M6224" s="1113"/>
      <c r="N6224" s="110"/>
      <c r="O6224" s="1140"/>
      <c r="P6224" s="1115"/>
      <c r="Q6224" s="1116"/>
      <c r="R6224" s="1141"/>
      <c r="S6224" s="1113"/>
      <c r="T6224" s="1143"/>
      <c r="U6224" s="1108"/>
      <c r="V6224" s="1108"/>
      <c r="W6224" s="1108"/>
      <c r="X6224" s="1108"/>
      <c r="Y6224" s="1108"/>
      <c r="Z6224" s="1114"/>
      <c r="AA6224" s="1114"/>
      <c r="AB6224" s="1114"/>
      <c r="AC6224" s="1117"/>
      <c r="AD6224" s="1115"/>
      <c r="AE6224" s="1115"/>
      <c r="AF6224" s="1115"/>
      <c r="AG6224" s="1115"/>
      <c r="AH6224" s="1115"/>
      <c r="AI6224" s="1115"/>
      <c r="AJ6224" s="1117"/>
      <c r="AK6224" s="1118"/>
      <c r="AL6224" s="1115"/>
      <c r="AM6224" s="1115"/>
      <c r="AN6224" s="1115"/>
      <c r="AO6224" s="1115"/>
      <c r="AP6224" s="1115"/>
      <c r="AQ6224" s="1115"/>
      <c r="AR6224" s="1115"/>
      <c r="AS6224" s="1117"/>
      <c r="AT6224" s="1075"/>
      <c r="AU6224" s="1193"/>
      <c r="AV6224" s="330"/>
      <c r="AW6224" s="331"/>
      <c r="AX6224" s="331"/>
      <c r="AY6224" s="331"/>
      <c r="AZ6224" s="331"/>
      <c r="BA6224" s="331"/>
      <c r="BB6224" s="331"/>
      <c r="BC6224" s="331"/>
      <c r="BD6224" s="331"/>
      <c r="BE6224" s="333"/>
      <c r="BF6224" s="330"/>
      <c r="BG6224" s="333"/>
      <c r="BH6224" s="1119"/>
      <c r="BI6224" s="319"/>
      <c r="BJ6224" s="319"/>
      <c r="BK6224" s="319"/>
      <c r="BL6224" s="319"/>
      <c r="BM6224" s="319"/>
      <c r="BN6224" s="319"/>
      <c r="BO6224" s="319"/>
      <c r="BP6224" s="953"/>
      <c r="BQ6224" s="319"/>
      <c r="BR6224" s="319"/>
      <c r="BS6224" s="330"/>
      <c r="BT6224" s="331"/>
      <c r="BU6224" s="920"/>
      <c r="BV6224" s="903"/>
      <c r="BW6224" s="908"/>
      <c r="BX6224" s="908"/>
      <c r="BY6224" s="331"/>
      <c r="BZ6224" s="331"/>
      <c r="CA6224" s="462"/>
      <c r="CB6224" s="319"/>
      <c r="CC6224" s="319"/>
      <c r="CD6224" s="319"/>
      <c r="CE6224" s="319"/>
      <c r="CF6224" s="319"/>
      <c r="CG6224" s="319"/>
      <c r="CH6224" s="318"/>
      <c r="CI6224" s="319"/>
      <c r="CJ6224" s="319"/>
      <c r="CK6224" s="342"/>
      <c r="CL6224" s="333"/>
      <c r="CM6224" s="1079"/>
      <c r="CN6224" s="1005"/>
      <c r="CO6224" s="1005"/>
      <c r="CP6224" s="1005"/>
    </row>
    <row r="6225">
      <c r="A6225" s="1257"/>
      <c r="B6225" s="1113"/>
      <c r="C6225" s="1107"/>
      <c r="D6225" s="103"/>
      <c r="E6225" s="1137"/>
      <c r="F6225" s="112"/>
      <c r="G6225" s="1110"/>
      <c r="H6225" s="1138"/>
      <c r="I6225" s="1138"/>
      <c r="J6225" s="1139"/>
      <c r="K6225" s="1111"/>
      <c r="L6225" s="1112"/>
      <c r="M6225" s="1113"/>
      <c r="N6225" s="110"/>
      <c r="O6225" s="1140"/>
      <c r="P6225" s="1115"/>
      <c r="Q6225" s="1116"/>
      <c r="R6225" s="1141"/>
      <c r="S6225" s="1113"/>
      <c r="T6225" s="1143"/>
      <c r="U6225" s="1108"/>
      <c r="V6225" s="1108"/>
      <c r="W6225" s="1108"/>
      <c r="X6225" s="1108"/>
      <c r="Y6225" s="1108"/>
      <c r="Z6225" s="1114"/>
      <c r="AA6225" s="1114"/>
      <c r="AB6225" s="1114"/>
      <c r="AC6225" s="1117"/>
      <c r="AD6225" s="1115"/>
      <c r="AE6225" s="1115"/>
      <c r="AF6225" s="1115"/>
      <c r="AG6225" s="1115"/>
      <c r="AH6225" s="1115"/>
      <c r="AI6225" s="1115"/>
      <c r="AJ6225" s="1117"/>
      <c r="AK6225" s="1118"/>
      <c r="AL6225" s="1115"/>
      <c r="AM6225" s="1115"/>
      <c r="AN6225" s="1115"/>
      <c r="AO6225" s="1115"/>
      <c r="AP6225" s="1115"/>
      <c r="AQ6225" s="1115"/>
      <c r="AR6225" s="1115"/>
      <c r="AS6225" s="1117"/>
      <c r="AT6225" s="1075"/>
      <c r="AU6225" s="1193"/>
      <c r="AV6225" s="330"/>
      <c r="AW6225" s="331"/>
      <c r="AX6225" s="331"/>
      <c r="AY6225" s="331"/>
      <c r="AZ6225" s="331"/>
      <c r="BA6225" s="331"/>
      <c r="BB6225" s="331"/>
      <c r="BC6225" s="331"/>
      <c r="BD6225" s="331"/>
      <c r="BE6225" s="333"/>
      <c r="BF6225" s="330"/>
      <c r="BG6225" s="333"/>
      <c r="BH6225" s="1119"/>
      <c r="BI6225" s="319"/>
      <c r="BJ6225" s="319"/>
      <c r="BK6225" s="319"/>
      <c r="BL6225" s="319"/>
      <c r="BM6225" s="319"/>
      <c r="BN6225" s="319"/>
      <c r="BO6225" s="319"/>
      <c r="BP6225" s="953"/>
      <c r="BQ6225" s="319"/>
      <c r="BR6225" s="319"/>
      <c r="BS6225" s="330"/>
      <c r="BT6225" s="331"/>
      <c r="BU6225" s="920"/>
      <c r="BV6225" s="903"/>
      <c r="BW6225" s="908"/>
      <c r="BX6225" s="908"/>
      <c r="BY6225" s="331"/>
      <c r="BZ6225" s="331"/>
      <c r="CA6225" s="462"/>
      <c r="CB6225" s="319"/>
      <c r="CC6225" s="319"/>
      <c r="CD6225" s="319"/>
      <c r="CE6225" s="319"/>
      <c r="CF6225" s="319"/>
      <c r="CG6225" s="319"/>
      <c r="CH6225" s="318"/>
      <c r="CI6225" s="319"/>
      <c r="CJ6225" s="319"/>
      <c r="CK6225" s="342"/>
      <c r="CL6225" s="333"/>
      <c r="CM6225" s="1079"/>
      <c r="CN6225" s="1005"/>
      <c r="CO6225" s="1005"/>
      <c r="CP6225" s="1005"/>
    </row>
    <row r="6226">
      <c r="A6226" s="1257"/>
      <c r="B6226" s="1113"/>
      <c r="C6226" s="1107"/>
      <c r="D6226" s="103"/>
      <c r="E6226" s="1137"/>
      <c r="F6226" s="112"/>
      <c r="G6226" s="1110"/>
      <c r="H6226" s="1138"/>
      <c r="I6226" s="1138"/>
      <c r="J6226" s="1139"/>
      <c r="K6226" s="1111"/>
      <c r="L6226" s="1112"/>
      <c r="M6226" s="1113"/>
      <c r="N6226" s="110"/>
      <c r="O6226" s="1140"/>
      <c r="P6226" s="1115"/>
      <c r="Q6226" s="1116"/>
      <c r="R6226" s="1141"/>
      <c r="S6226" s="1113"/>
      <c r="T6226" s="1143"/>
      <c r="U6226" s="1108"/>
      <c r="V6226" s="1108"/>
      <c r="W6226" s="1108"/>
      <c r="X6226" s="1108"/>
      <c r="Y6226" s="1108"/>
      <c r="Z6226" s="1114"/>
      <c r="AA6226" s="1114"/>
      <c r="AB6226" s="1114"/>
      <c r="AC6226" s="1117"/>
      <c r="AD6226" s="1115"/>
      <c r="AE6226" s="1115"/>
      <c r="AF6226" s="1115"/>
      <c r="AG6226" s="1115"/>
      <c r="AH6226" s="1115"/>
      <c r="AI6226" s="1115"/>
      <c r="AJ6226" s="1117"/>
      <c r="AK6226" s="1118"/>
      <c r="AL6226" s="1115"/>
      <c r="AM6226" s="1115"/>
      <c r="AN6226" s="1115"/>
      <c r="AO6226" s="1115"/>
      <c r="AP6226" s="1115"/>
      <c r="AQ6226" s="1115"/>
      <c r="AR6226" s="1115"/>
      <c r="AS6226" s="1117"/>
      <c r="AT6226" s="1075"/>
      <c r="AU6226" s="1193"/>
      <c r="AV6226" s="330"/>
      <c r="AW6226" s="331"/>
      <c r="AX6226" s="331"/>
      <c r="AY6226" s="331"/>
      <c r="AZ6226" s="331"/>
      <c r="BA6226" s="331"/>
      <c r="BB6226" s="331"/>
      <c r="BC6226" s="331"/>
      <c r="BD6226" s="331"/>
      <c r="BE6226" s="333"/>
      <c r="BF6226" s="330"/>
      <c r="BG6226" s="333"/>
      <c r="BH6226" s="1119"/>
      <c r="BI6226" s="319"/>
      <c r="BJ6226" s="319"/>
      <c r="BK6226" s="319"/>
      <c r="BL6226" s="319"/>
      <c r="BM6226" s="319"/>
      <c r="BN6226" s="319"/>
      <c r="BO6226" s="319"/>
      <c r="BP6226" s="953"/>
      <c r="BQ6226" s="319"/>
      <c r="BR6226" s="319"/>
      <c r="BS6226" s="330"/>
      <c r="BT6226" s="331"/>
      <c r="BU6226" s="920"/>
      <c r="BV6226" s="903"/>
      <c r="BW6226" s="908"/>
      <c r="BX6226" s="908"/>
      <c r="BY6226" s="331"/>
      <c r="BZ6226" s="331"/>
      <c r="CA6226" s="462"/>
      <c r="CB6226" s="319"/>
      <c r="CC6226" s="319"/>
      <c r="CD6226" s="319"/>
      <c r="CE6226" s="319"/>
      <c r="CF6226" s="319"/>
      <c r="CG6226" s="319"/>
      <c r="CH6226" s="318"/>
      <c r="CI6226" s="319"/>
      <c r="CJ6226" s="319"/>
      <c r="CK6226" s="342"/>
      <c r="CL6226" s="333"/>
      <c r="CM6226" s="1079"/>
      <c r="CN6226" s="1005"/>
      <c r="CO6226" s="1005"/>
      <c r="CP6226" s="1005"/>
    </row>
    <row r="6227">
      <c r="A6227" s="1257"/>
      <c r="B6227" s="1113"/>
      <c r="C6227" s="1107"/>
      <c r="D6227" s="103"/>
      <c r="E6227" s="1137"/>
      <c r="F6227" s="112"/>
      <c r="G6227" s="1110"/>
      <c r="H6227" s="1138"/>
      <c r="I6227" s="1138"/>
      <c r="J6227" s="1139"/>
      <c r="K6227" s="1111"/>
      <c r="L6227" s="1112"/>
      <c r="M6227" s="1113"/>
      <c r="N6227" s="110"/>
      <c r="O6227" s="1140"/>
      <c r="P6227" s="1115"/>
      <c r="Q6227" s="1116"/>
      <c r="R6227" s="1141"/>
      <c r="S6227" s="1113"/>
      <c r="T6227" s="1143"/>
      <c r="U6227" s="1108"/>
      <c r="V6227" s="1108"/>
      <c r="W6227" s="1108"/>
      <c r="X6227" s="1108"/>
      <c r="Y6227" s="1108"/>
      <c r="Z6227" s="1114"/>
      <c r="AA6227" s="1114"/>
      <c r="AB6227" s="1114"/>
      <c r="AC6227" s="1117"/>
      <c r="AD6227" s="1115"/>
      <c r="AE6227" s="1115"/>
      <c r="AF6227" s="1115"/>
      <c r="AG6227" s="1115"/>
      <c r="AH6227" s="1115"/>
      <c r="AI6227" s="1115"/>
      <c r="AJ6227" s="1117"/>
      <c r="AK6227" s="1118"/>
      <c r="AL6227" s="1115"/>
      <c r="AM6227" s="1115"/>
      <c r="AN6227" s="1115"/>
      <c r="AO6227" s="1115"/>
      <c r="AP6227" s="1115"/>
      <c r="AQ6227" s="1115"/>
      <c r="AR6227" s="1115"/>
      <c r="AS6227" s="1117"/>
      <c r="AT6227" s="1075"/>
      <c r="AU6227" s="1193"/>
      <c r="AV6227" s="330"/>
      <c r="AW6227" s="331"/>
      <c r="AX6227" s="331"/>
      <c r="AY6227" s="331"/>
      <c r="AZ6227" s="331"/>
      <c r="BA6227" s="331"/>
      <c r="BB6227" s="331"/>
      <c r="BC6227" s="331"/>
      <c r="BD6227" s="331"/>
      <c r="BE6227" s="333"/>
      <c r="BF6227" s="330"/>
      <c r="BG6227" s="333"/>
      <c r="BH6227" s="1119"/>
      <c r="BI6227" s="319"/>
      <c r="BJ6227" s="319"/>
      <c r="BK6227" s="319"/>
      <c r="BL6227" s="319"/>
      <c r="BM6227" s="319"/>
      <c r="BN6227" s="319"/>
      <c r="BO6227" s="319"/>
      <c r="BP6227" s="953"/>
      <c r="BQ6227" s="319"/>
      <c r="BR6227" s="319"/>
      <c r="BS6227" s="330"/>
      <c r="BT6227" s="331"/>
      <c r="BU6227" s="920"/>
      <c r="BV6227" s="903"/>
      <c r="BW6227" s="908"/>
      <c r="BX6227" s="908"/>
      <c r="BY6227" s="331"/>
      <c r="BZ6227" s="331"/>
      <c r="CA6227" s="462"/>
      <c r="CB6227" s="319"/>
      <c r="CC6227" s="319"/>
      <c r="CD6227" s="319"/>
      <c r="CE6227" s="319"/>
      <c r="CF6227" s="319"/>
      <c r="CG6227" s="319"/>
      <c r="CH6227" s="318"/>
      <c r="CI6227" s="319"/>
      <c r="CJ6227" s="319"/>
      <c r="CK6227" s="342"/>
      <c r="CL6227" s="333"/>
      <c r="CM6227" s="1079"/>
      <c r="CN6227" s="1005"/>
      <c r="CO6227" s="1005"/>
      <c r="CP6227" s="1005"/>
    </row>
    <row r="6228">
      <c r="A6228" s="1257"/>
      <c r="B6228" s="1113"/>
      <c r="C6228" s="1107"/>
      <c r="D6228" s="103"/>
      <c r="E6228" s="1137"/>
      <c r="F6228" s="112"/>
      <c r="G6228" s="1110"/>
      <c r="H6228" s="1138"/>
      <c r="I6228" s="1138"/>
      <c r="J6228" s="1139"/>
      <c r="K6228" s="1111"/>
      <c r="L6228" s="1112"/>
      <c r="M6228" s="1113"/>
      <c r="N6228" s="110"/>
      <c r="O6228" s="1140"/>
      <c r="P6228" s="1115"/>
      <c r="Q6228" s="1116"/>
      <c r="R6228" s="1141"/>
      <c r="S6228" s="1113"/>
      <c r="T6228" s="1143"/>
      <c r="U6228" s="1108"/>
      <c r="V6228" s="1108"/>
      <c r="W6228" s="1108"/>
      <c r="X6228" s="1108"/>
      <c r="Y6228" s="1108"/>
      <c r="Z6228" s="1114"/>
      <c r="AA6228" s="1114"/>
      <c r="AB6228" s="1114"/>
      <c r="AC6228" s="1117"/>
      <c r="AD6228" s="1115"/>
      <c r="AE6228" s="1115"/>
      <c r="AF6228" s="1115"/>
      <c r="AG6228" s="1115"/>
      <c r="AH6228" s="1115"/>
      <c r="AI6228" s="1115"/>
      <c r="AJ6228" s="1117"/>
      <c r="AK6228" s="1118"/>
      <c r="AL6228" s="1115"/>
      <c r="AM6228" s="1115"/>
      <c r="AN6228" s="1115"/>
      <c r="AO6228" s="1115"/>
      <c r="AP6228" s="1115"/>
      <c r="AQ6228" s="1115"/>
      <c r="AR6228" s="1115"/>
      <c r="AS6228" s="1117"/>
      <c r="AT6228" s="1075"/>
      <c r="AU6228" s="1193"/>
      <c r="AV6228" s="330"/>
      <c r="AW6228" s="331"/>
      <c r="AX6228" s="331"/>
      <c r="AY6228" s="331"/>
      <c r="AZ6228" s="331"/>
      <c r="BA6228" s="331"/>
      <c r="BB6228" s="331"/>
      <c r="BC6228" s="331"/>
      <c r="BD6228" s="331"/>
      <c r="BE6228" s="333"/>
      <c r="BF6228" s="330"/>
      <c r="BG6228" s="333"/>
      <c r="BH6228" s="1119"/>
      <c r="BI6228" s="319"/>
      <c r="BJ6228" s="319"/>
      <c r="BK6228" s="319"/>
      <c r="BL6228" s="319"/>
      <c r="BM6228" s="319"/>
      <c r="BN6228" s="319"/>
      <c r="BO6228" s="319"/>
      <c r="BP6228" s="953"/>
      <c r="BQ6228" s="319"/>
      <c r="BR6228" s="319"/>
      <c r="BS6228" s="330"/>
      <c r="BT6228" s="331"/>
      <c r="BU6228" s="920"/>
      <c r="BV6228" s="903"/>
      <c r="BW6228" s="908"/>
      <c r="BX6228" s="908"/>
      <c r="BY6228" s="331"/>
      <c r="BZ6228" s="331"/>
      <c r="CA6228" s="462"/>
      <c r="CB6228" s="319"/>
      <c r="CC6228" s="319"/>
      <c r="CD6228" s="319"/>
      <c r="CE6228" s="319"/>
      <c r="CF6228" s="319"/>
      <c r="CG6228" s="319"/>
      <c r="CH6228" s="318"/>
      <c r="CI6228" s="319"/>
      <c r="CJ6228" s="319"/>
      <c r="CK6228" s="342"/>
      <c r="CL6228" s="333"/>
      <c r="CM6228" s="1079"/>
      <c r="CN6228" s="1005"/>
      <c r="CO6228" s="1005"/>
      <c r="CP6228" s="1005"/>
    </row>
    <row r="6229">
      <c r="A6229" s="1257"/>
      <c r="B6229" s="1113"/>
      <c r="C6229" s="1107"/>
      <c r="D6229" s="103"/>
      <c r="E6229" s="1137"/>
      <c r="F6229" s="112"/>
      <c r="G6229" s="1110"/>
      <c r="H6229" s="1138"/>
      <c r="I6229" s="1138"/>
      <c r="J6229" s="1139"/>
      <c r="K6229" s="1111"/>
      <c r="L6229" s="1112"/>
      <c r="M6229" s="1113"/>
      <c r="N6229" s="110"/>
      <c r="O6229" s="1140"/>
      <c r="P6229" s="1115"/>
      <c r="Q6229" s="1116"/>
      <c r="R6229" s="1141"/>
      <c r="S6229" s="1113"/>
      <c r="T6229" s="1143"/>
      <c r="U6229" s="1108"/>
      <c r="V6229" s="1108"/>
      <c r="W6229" s="1108"/>
      <c r="X6229" s="1108"/>
      <c r="Y6229" s="1108"/>
      <c r="Z6229" s="1114"/>
      <c r="AA6229" s="1114"/>
      <c r="AB6229" s="1114"/>
      <c r="AC6229" s="1117"/>
      <c r="AD6229" s="1115"/>
      <c r="AE6229" s="1115"/>
      <c r="AF6229" s="1115"/>
      <c r="AG6229" s="1115"/>
      <c r="AH6229" s="1115"/>
      <c r="AI6229" s="1115"/>
      <c r="AJ6229" s="1117"/>
      <c r="AK6229" s="1118"/>
      <c r="AL6229" s="1115"/>
      <c r="AM6229" s="1115"/>
      <c r="AN6229" s="1115"/>
      <c r="AO6229" s="1115"/>
      <c r="AP6229" s="1115"/>
      <c r="AQ6229" s="1115"/>
      <c r="AR6229" s="1115"/>
      <c r="AS6229" s="1117"/>
      <c r="AT6229" s="1075"/>
      <c r="AU6229" s="1193"/>
      <c r="AV6229" s="330"/>
      <c r="AW6229" s="331"/>
      <c r="AX6229" s="331"/>
      <c r="AY6229" s="331"/>
      <c r="AZ6229" s="331"/>
      <c r="BA6229" s="331"/>
      <c r="BB6229" s="331"/>
      <c r="BC6229" s="331"/>
      <c r="BD6229" s="331"/>
      <c r="BE6229" s="333"/>
      <c r="BF6229" s="330"/>
      <c r="BG6229" s="333"/>
      <c r="BH6229" s="1119"/>
      <c r="BI6229" s="319"/>
      <c r="BJ6229" s="319"/>
      <c r="BK6229" s="319"/>
      <c r="BL6229" s="319"/>
      <c r="BM6229" s="319"/>
      <c r="BN6229" s="319"/>
      <c r="BO6229" s="319"/>
      <c r="BP6229" s="953"/>
      <c r="BQ6229" s="319"/>
      <c r="BR6229" s="319"/>
      <c r="BS6229" s="330"/>
      <c r="BT6229" s="331"/>
      <c r="BU6229" s="920"/>
      <c r="BV6229" s="903"/>
      <c r="BW6229" s="908"/>
      <c r="BX6229" s="908"/>
      <c r="BY6229" s="331"/>
      <c r="BZ6229" s="331"/>
      <c r="CA6229" s="462"/>
      <c r="CB6229" s="319"/>
      <c r="CC6229" s="319"/>
      <c r="CD6229" s="319"/>
      <c r="CE6229" s="319"/>
      <c r="CF6229" s="319"/>
      <c r="CG6229" s="319"/>
      <c r="CH6229" s="318"/>
      <c r="CI6229" s="319"/>
      <c r="CJ6229" s="319"/>
      <c r="CK6229" s="342"/>
      <c r="CL6229" s="333"/>
      <c r="CM6229" s="1079"/>
      <c r="CN6229" s="1005"/>
      <c r="CO6229" s="1005"/>
      <c r="CP6229" s="1005"/>
    </row>
    <row r="6230">
      <c r="A6230" s="1257"/>
      <c r="B6230" s="1113"/>
      <c r="C6230" s="1107"/>
      <c r="D6230" s="103"/>
      <c r="E6230" s="1137"/>
      <c r="F6230" s="112"/>
      <c r="G6230" s="1110"/>
      <c r="H6230" s="1138"/>
      <c r="I6230" s="1138"/>
      <c r="J6230" s="1139"/>
      <c r="K6230" s="1111"/>
      <c r="L6230" s="1112"/>
      <c r="M6230" s="1113"/>
      <c r="N6230" s="110"/>
      <c r="O6230" s="1140"/>
      <c r="P6230" s="1115"/>
      <c r="Q6230" s="1116"/>
      <c r="R6230" s="1141"/>
      <c r="S6230" s="1113"/>
      <c r="T6230" s="1143"/>
      <c r="U6230" s="1108"/>
      <c r="V6230" s="1108"/>
      <c r="W6230" s="1108"/>
      <c r="X6230" s="1108"/>
      <c r="Y6230" s="1108"/>
      <c r="Z6230" s="1114"/>
      <c r="AA6230" s="1114"/>
      <c r="AB6230" s="1114"/>
      <c r="AC6230" s="1117"/>
      <c r="AD6230" s="1115"/>
      <c r="AE6230" s="1115"/>
      <c r="AF6230" s="1115"/>
      <c r="AG6230" s="1115"/>
      <c r="AH6230" s="1115"/>
      <c r="AI6230" s="1115"/>
      <c r="AJ6230" s="1117"/>
      <c r="AK6230" s="1118"/>
      <c r="AL6230" s="1115"/>
      <c r="AM6230" s="1115"/>
      <c r="AN6230" s="1115"/>
      <c r="AO6230" s="1115"/>
      <c r="AP6230" s="1115"/>
      <c r="AQ6230" s="1115"/>
      <c r="AR6230" s="1115"/>
      <c r="AS6230" s="1117"/>
      <c r="AT6230" s="1075"/>
      <c r="AU6230" s="1193"/>
      <c r="AV6230" s="330"/>
      <c r="AW6230" s="331"/>
      <c r="AX6230" s="331"/>
      <c r="AY6230" s="331"/>
      <c r="AZ6230" s="331"/>
      <c r="BA6230" s="331"/>
      <c r="BB6230" s="331"/>
      <c r="BC6230" s="331"/>
      <c r="BD6230" s="331"/>
      <c r="BE6230" s="333"/>
      <c r="BF6230" s="330"/>
      <c r="BG6230" s="333"/>
      <c r="BH6230" s="1119"/>
      <c r="BI6230" s="319"/>
      <c r="BJ6230" s="319"/>
      <c r="BK6230" s="319"/>
      <c r="BL6230" s="319"/>
      <c r="BM6230" s="319"/>
      <c r="BN6230" s="319"/>
      <c r="BO6230" s="319"/>
      <c r="BP6230" s="953"/>
      <c r="BQ6230" s="319"/>
      <c r="BR6230" s="319"/>
      <c r="BS6230" s="330"/>
      <c r="BT6230" s="331"/>
      <c r="BU6230" s="920"/>
      <c r="BV6230" s="903"/>
      <c r="BW6230" s="908"/>
      <c r="BX6230" s="908"/>
      <c r="BY6230" s="331"/>
      <c r="BZ6230" s="331"/>
      <c r="CA6230" s="462"/>
      <c r="CB6230" s="319"/>
      <c r="CC6230" s="319"/>
      <c r="CD6230" s="319"/>
      <c r="CE6230" s="319"/>
      <c r="CF6230" s="319"/>
      <c r="CG6230" s="319"/>
      <c r="CH6230" s="318"/>
      <c r="CI6230" s="319"/>
      <c r="CJ6230" s="319"/>
      <c r="CK6230" s="342"/>
      <c r="CL6230" s="333"/>
      <c r="CM6230" s="1079"/>
      <c r="CN6230" s="1005"/>
      <c r="CO6230" s="1005"/>
      <c r="CP6230" s="1005"/>
    </row>
    <row r="6231">
      <c r="A6231" s="1257"/>
      <c r="B6231" s="1113"/>
      <c r="C6231" s="1107"/>
      <c r="D6231" s="103"/>
      <c r="E6231" s="1137"/>
      <c r="F6231" s="112"/>
      <c r="G6231" s="1110"/>
      <c r="H6231" s="1138"/>
      <c r="I6231" s="1138"/>
      <c r="J6231" s="1139"/>
      <c r="K6231" s="1111"/>
      <c r="L6231" s="1112"/>
      <c r="M6231" s="1113"/>
      <c r="N6231" s="110"/>
      <c r="O6231" s="1140"/>
      <c r="P6231" s="1115"/>
      <c r="Q6231" s="1116"/>
      <c r="R6231" s="1141"/>
      <c r="S6231" s="1113"/>
      <c r="T6231" s="1143"/>
      <c r="U6231" s="1108"/>
      <c r="V6231" s="1108"/>
      <c r="W6231" s="1108"/>
      <c r="X6231" s="1108"/>
      <c r="Y6231" s="1108"/>
      <c r="Z6231" s="1114"/>
      <c r="AA6231" s="1114"/>
      <c r="AB6231" s="1114"/>
      <c r="AC6231" s="1117"/>
      <c r="AD6231" s="1115"/>
      <c r="AE6231" s="1115"/>
      <c r="AF6231" s="1115"/>
      <c r="AG6231" s="1115"/>
      <c r="AH6231" s="1115"/>
      <c r="AI6231" s="1115"/>
      <c r="AJ6231" s="1117"/>
      <c r="AK6231" s="1118"/>
      <c r="AL6231" s="1115"/>
      <c r="AM6231" s="1115"/>
      <c r="AN6231" s="1115"/>
      <c r="AO6231" s="1115"/>
      <c r="AP6231" s="1115"/>
      <c r="AQ6231" s="1115"/>
      <c r="AR6231" s="1115"/>
      <c r="AS6231" s="1117"/>
      <c r="AT6231" s="1075"/>
      <c r="AU6231" s="1193"/>
      <c r="AV6231" s="330"/>
      <c r="AW6231" s="331"/>
      <c r="AX6231" s="331"/>
      <c r="AY6231" s="331"/>
      <c r="AZ6231" s="331"/>
      <c r="BA6231" s="331"/>
      <c r="BB6231" s="331"/>
      <c r="BC6231" s="331"/>
      <c r="BD6231" s="331"/>
      <c r="BE6231" s="333"/>
      <c r="BF6231" s="330"/>
      <c r="BG6231" s="333"/>
      <c r="BH6231" s="1119"/>
      <c r="BI6231" s="319"/>
      <c r="BJ6231" s="319"/>
      <c r="BK6231" s="319"/>
      <c r="BL6231" s="319"/>
      <c r="BM6231" s="319"/>
      <c r="BN6231" s="319"/>
      <c r="BO6231" s="319"/>
      <c r="BP6231" s="953"/>
      <c r="BQ6231" s="319"/>
      <c r="BR6231" s="319"/>
      <c r="BS6231" s="330"/>
      <c r="BT6231" s="331"/>
      <c r="BU6231" s="920"/>
      <c r="BV6231" s="903"/>
      <c r="BW6231" s="908"/>
      <c r="BX6231" s="908"/>
      <c r="BY6231" s="331"/>
      <c r="BZ6231" s="331"/>
      <c r="CA6231" s="462"/>
      <c r="CB6231" s="319"/>
      <c r="CC6231" s="319"/>
      <c r="CD6231" s="319"/>
      <c r="CE6231" s="319"/>
      <c r="CF6231" s="319"/>
      <c r="CG6231" s="319"/>
      <c r="CH6231" s="318"/>
      <c r="CI6231" s="319"/>
      <c r="CJ6231" s="319"/>
      <c r="CK6231" s="342"/>
      <c r="CL6231" s="333"/>
      <c r="CM6231" s="1079"/>
      <c r="CN6231" s="1005"/>
      <c r="CO6231" s="1005"/>
      <c r="CP6231" s="1005"/>
    </row>
    <row r="6232">
      <c r="A6232" s="1257"/>
      <c r="B6232" s="1113"/>
      <c r="C6232" s="1107"/>
      <c r="D6232" s="103"/>
      <c r="E6232" s="1137"/>
      <c r="F6232" s="112"/>
      <c r="G6232" s="1110"/>
      <c r="H6232" s="1138"/>
      <c r="I6232" s="1138"/>
      <c r="J6232" s="1139"/>
      <c r="K6232" s="1111"/>
      <c r="L6232" s="1112"/>
      <c r="M6232" s="1113"/>
      <c r="N6232" s="110"/>
      <c r="O6232" s="1140"/>
      <c r="P6232" s="1115"/>
      <c r="Q6232" s="1116"/>
      <c r="R6232" s="1141"/>
      <c r="S6232" s="1113"/>
      <c r="T6232" s="1143"/>
      <c r="U6232" s="1108"/>
      <c r="V6232" s="1108"/>
      <c r="W6232" s="1108"/>
      <c r="X6232" s="1108"/>
      <c r="Y6232" s="1108"/>
      <c r="Z6232" s="1114"/>
      <c r="AA6232" s="1114"/>
      <c r="AB6232" s="1114"/>
      <c r="AC6232" s="1117"/>
      <c r="AD6232" s="1115"/>
      <c r="AE6232" s="1115"/>
      <c r="AF6232" s="1115"/>
      <c r="AG6232" s="1115"/>
      <c r="AH6232" s="1115"/>
      <c r="AI6232" s="1115"/>
      <c r="AJ6232" s="1117"/>
      <c r="AK6232" s="1118"/>
      <c r="AL6232" s="1115"/>
      <c r="AM6232" s="1115"/>
      <c r="AN6232" s="1115"/>
      <c r="AO6232" s="1115"/>
      <c r="AP6232" s="1115"/>
      <c r="AQ6232" s="1115"/>
      <c r="AR6232" s="1115"/>
      <c r="AS6232" s="1117"/>
      <c r="AT6232" s="1075"/>
      <c r="AU6232" s="1193"/>
      <c r="AV6232" s="330"/>
      <c r="AW6232" s="331"/>
      <c r="AX6232" s="331"/>
      <c r="AY6232" s="331"/>
      <c r="AZ6232" s="331"/>
      <c r="BA6232" s="331"/>
      <c r="BB6232" s="331"/>
      <c r="BC6232" s="331"/>
      <c r="BD6232" s="331"/>
      <c r="BE6232" s="333"/>
      <c r="BF6232" s="330"/>
      <c r="BG6232" s="333"/>
      <c r="BH6232" s="1119"/>
      <c r="BI6232" s="319"/>
      <c r="BJ6232" s="319"/>
      <c r="BK6232" s="319"/>
      <c r="BL6232" s="319"/>
      <c r="BM6232" s="319"/>
      <c r="BN6232" s="319"/>
      <c r="BO6232" s="319"/>
      <c r="BP6232" s="953"/>
      <c r="BQ6232" s="319"/>
      <c r="BR6232" s="319"/>
      <c r="BS6232" s="330"/>
      <c r="BT6232" s="331"/>
      <c r="BU6232" s="920"/>
      <c r="BV6232" s="903"/>
      <c r="BW6232" s="908"/>
      <c r="BX6232" s="908"/>
      <c r="BY6232" s="331"/>
      <c r="BZ6232" s="331"/>
      <c r="CA6232" s="462"/>
      <c r="CB6232" s="319"/>
      <c r="CC6232" s="319"/>
      <c r="CD6232" s="319"/>
      <c r="CE6232" s="319"/>
      <c r="CF6232" s="319"/>
      <c r="CG6232" s="319"/>
      <c r="CH6232" s="318"/>
      <c r="CI6232" s="319"/>
      <c r="CJ6232" s="319"/>
      <c r="CK6232" s="342"/>
      <c r="CL6232" s="333"/>
      <c r="CM6232" s="1079"/>
      <c r="CN6232" s="1005"/>
      <c r="CO6232" s="1005"/>
      <c r="CP6232" s="1005"/>
    </row>
    <row r="6233">
      <c r="A6233" s="1257"/>
      <c r="B6233" s="1113"/>
      <c r="C6233" s="1107"/>
      <c r="D6233" s="103"/>
      <c r="E6233" s="1137"/>
      <c r="F6233" s="112"/>
      <c r="G6233" s="1110"/>
      <c r="H6233" s="1138"/>
      <c r="I6233" s="1138"/>
      <c r="J6233" s="1139"/>
      <c r="K6233" s="1111"/>
      <c r="L6233" s="1112"/>
      <c r="M6233" s="1113"/>
      <c r="N6233" s="110"/>
      <c r="O6233" s="1140"/>
      <c r="P6233" s="1115"/>
      <c r="Q6233" s="1116"/>
      <c r="R6233" s="1141"/>
      <c r="S6233" s="1113"/>
      <c r="T6233" s="1143"/>
      <c r="U6233" s="1108"/>
      <c r="V6233" s="1108"/>
      <c r="W6233" s="1108"/>
      <c r="X6233" s="1108"/>
      <c r="Y6233" s="1108"/>
      <c r="Z6233" s="1114"/>
      <c r="AA6233" s="1114"/>
      <c r="AB6233" s="1114"/>
      <c r="AC6233" s="1117"/>
      <c r="AD6233" s="1115"/>
      <c r="AE6233" s="1115"/>
      <c r="AF6233" s="1115"/>
      <c r="AG6233" s="1115"/>
      <c r="AH6233" s="1115"/>
      <c r="AI6233" s="1115"/>
      <c r="AJ6233" s="1117"/>
      <c r="AK6233" s="1118"/>
      <c r="AL6233" s="1115"/>
      <c r="AM6233" s="1115"/>
      <c r="AN6233" s="1115"/>
      <c r="AO6233" s="1115"/>
      <c r="AP6233" s="1115"/>
      <c r="AQ6233" s="1115"/>
      <c r="AR6233" s="1115"/>
      <c r="AS6233" s="1117"/>
      <c r="AT6233" s="1075"/>
      <c r="AU6233" s="1193"/>
      <c r="AV6233" s="330"/>
      <c r="AW6233" s="331"/>
      <c r="AX6233" s="331"/>
      <c r="AY6233" s="331"/>
      <c r="AZ6233" s="331"/>
      <c r="BA6233" s="331"/>
      <c r="BB6233" s="331"/>
      <c r="BC6233" s="331"/>
      <c r="BD6233" s="331"/>
      <c r="BE6233" s="333"/>
      <c r="BF6233" s="330"/>
      <c r="BG6233" s="333"/>
      <c r="BH6233" s="1119"/>
      <c r="BI6233" s="319"/>
      <c r="BJ6233" s="319"/>
      <c r="BK6233" s="319"/>
      <c r="BL6233" s="319"/>
      <c r="BM6233" s="319"/>
      <c r="BN6233" s="319"/>
      <c r="BO6233" s="319"/>
      <c r="BP6233" s="953"/>
      <c r="BQ6233" s="319"/>
      <c r="BR6233" s="319"/>
      <c r="BS6233" s="330"/>
      <c r="BT6233" s="331"/>
      <c r="BU6233" s="920"/>
      <c r="BV6233" s="903"/>
      <c r="BW6233" s="908"/>
      <c r="BX6233" s="908"/>
      <c r="BY6233" s="331"/>
      <c r="BZ6233" s="331"/>
      <c r="CA6233" s="462"/>
      <c r="CB6233" s="319"/>
      <c r="CC6233" s="319"/>
      <c r="CD6233" s="319"/>
      <c r="CE6233" s="319"/>
      <c r="CF6233" s="319"/>
      <c r="CG6233" s="319"/>
      <c r="CH6233" s="318"/>
      <c r="CI6233" s="319"/>
      <c r="CJ6233" s="319"/>
      <c r="CK6233" s="342"/>
      <c r="CL6233" s="333"/>
      <c r="CM6233" s="1079"/>
      <c r="CN6233" s="1005"/>
      <c r="CO6233" s="1005"/>
      <c r="CP6233" s="1005"/>
    </row>
    <row r="6234">
      <c r="A6234" s="1257"/>
      <c r="B6234" s="1113"/>
      <c r="C6234" s="1107"/>
      <c r="D6234" s="103"/>
      <c r="E6234" s="1137"/>
      <c r="F6234" s="112"/>
      <c r="G6234" s="1110"/>
      <c r="H6234" s="1138"/>
      <c r="I6234" s="1138"/>
      <c r="J6234" s="1139"/>
      <c r="K6234" s="1111"/>
      <c r="L6234" s="1112"/>
      <c r="M6234" s="1113"/>
      <c r="N6234" s="110"/>
      <c r="O6234" s="1140"/>
      <c r="P6234" s="1115"/>
      <c r="Q6234" s="1116"/>
      <c r="R6234" s="1141"/>
      <c r="S6234" s="1113"/>
      <c r="T6234" s="1143"/>
      <c r="U6234" s="1108"/>
      <c r="V6234" s="1108"/>
      <c r="W6234" s="1108"/>
      <c r="X6234" s="1108"/>
      <c r="Y6234" s="1108"/>
      <c r="Z6234" s="1114"/>
      <c r="AA6234" s="1114"/>
      <c r="AB6234" s="1114"/>
      <c r="AC6234" s="1117"/>
      <c r="AD6234" s="1115"/>
      <c r="AE6234" s="1115"/>
      <c r="AF6234" s="1115"/>
      <c r="AG6234" s="1115"/>
      <c r="AH6234" s="1115"/>
      <c r="AI6234" s="1115"/>
      <c r="AJ6234" s="1117"/>
      <c r="AK6234" s="1118"/>
      <c r="AL6234" s="1115"/>
      <c r="AM6234" s="1115"/>
      <c r="AN6234" s="1115"/>
      <c r="AO6234" s="1115"/>
      <c r="AP6234" s="1115"/>
      <c r="AQ6234" s="1115"/>
      <c r="AR6234" s="1115"/>
      <c r="AS6234" s="1117"/>
      <c r="AT6234" s="1075"/>
      <c r="AU6234" s="1193"/>
      <c r="AV6234" s="330"/>
      <c r="AW6234" s="331"/>
      <c r="AX6234" s="331"/>
      <c r="AY6234" s="331"/>
      <c r="AZ6234" s="331"/>
      <c r="BA6234" s="331"/>
      <c r="BB6234" s="331"/>
      <c r="BC6234" s="331"/>
      <c r="BD6234" s="331"/>
      <c r="BE6234" s="333"/>
      <c r="BF6234" s="330"/>
      <c r="BG6234" s="333"/>
      <c r="BH6234" s="1119"/>
      <c r="BI6234" s="319"/>
      <c r="BJ6234" s="319"/>
      <c r="BK6234" s="319"/>
      <c r="BL6234" s="319"/>
      <c r="BM6234" s="319"/>
      <c r="BN6234" s="319"/>
      <c r="BO6234" s="319"/>
      <c r="BP6234" s="953"/>
      <c r="BQ6234" s="319"/>
      <c r="BR6234" s="319"/>
      <c r="BS6234" s="330"/>
      <c r="BT6234" s="331"/>
      <c r="BU6234" s="920"/>
      <c r="BV6234" s="903"/>
      <c r="BW6234" s="908"/>
      <c r="BX6234" s="908"/>
      <c r="BY6234" s="331"/>
      <c r="BZ6234" s="331"/>
      <c r="CA6234" s="462"/>
      <c r="CB6234" s="319"/>
      <c r="CC6234" s="319"/>
      <c r="CD6234" s="319"/>
      <c r="CE6234" s="319"/>
      <c r="CF6234" s="319"/>
      <c r="CG6234" s="319"/>
      <c r="CH6234" s="318"/>
      <c r="CI6234" s="319"/>
      <c r="CJ6234" s="319"/>
      <c r="CK6234" s="342"/>
      <c r="CL6234" s="333"/>
      <c r="CM6234" s="1079"/>
      <c r="CN6234" s="1005"/>
      <c r="CO6234" s="1005"/>
      <c r="CP6234" s="1005"/>
    </row>
    <row r="6235">
      <c r="A6235" s="1257"/>
      <c r="B6235" s="1113"/>
      <c r="C6235" s="1107"/>
      <c r="D6235" s="103"/>
      <c r="E6235" s="1137"/>
      <c r="F6235" s="112"/>
      <c r="G6235" s="1110"/>
      <c r="H6235" s="1138"/>
      <c r="I6235" s="1138"/>
      <c r="J6235" s="1139"/>
      <c r="K6235" s="1111"/>
      <c r="L6235" s="1112"/>
      <c r="M6235" s="1113"/>
      <c r="N6235" s="110"/>
      <c r="O6235" s="1140"/>
      <c r="P6235" s="1115"/>
      <c r="Q6235" s="1116"/>
      <c r="R6235" s="1141"/>
      <c r="S6235" s="1113"/>
      <c r="T6235" s="1143"/>
      <c r="U6235" s="1108"/>
      <c r="V6235" s="1108"/>
      <c r="W6235" s="1108"/>
      <c r="X6235" s="1108"/>
      <c r="Y6235" s="1108"/>
      <c r="Z6235" s="1114"/>
      <c r="AA6235" s="1114"/>
      <c r="AB6235" s="1114"/>
      <c r="AC6235" s="1117"/>
      <c r="AD6235" s="1115"/>
      <c r="AE6235" s="1115"/>
      <c r="AF6235" s="1115"/>
      <c r="AG6235" s="1115"/>
      <c r="AH6235" s="1115"/>
      <c r="AI6235" s="1115"/>
      <c r="AJ6235" s="1117"/>
      <c r="AK6235" s="1118"/>
      <c r="AL6235" s="1115"/>
      <c r="AM6235" s="1115"/>
      <c r="AN6235" s="1115"/>
      <c r="AO6235" s="1115"/>
      <c r="AP6235" s="1115"/>
      <c r="AQ6235" s="1115"/>
      <c r="AR6235" s="1115"/>
      <c r="AS6235" s="1117"/>
      <c r="AT6235" s="1075"/>
      <c r="AU6235" s="1193"/>
      <c r="AV6235" s="330"/>
      <c r="AW6235" s="331"/>
      <c r="AX6235" s="331"/>
      <c r="AY6235" s="331"/>
      <c r="AZ6235" s="331"/>
      <c r="BA6235" s="331"/>
      <c r="BB6235" s="331"/>
      <c r="BC6235" s="331"/>
      <c r="BD6235" s="331"/>
      <c r="BE6235" s="333"/>
      <c r="BF6235" s="330"/>
      <c r="BG6235" s="333"/>
      <c r="BH6235" s="1119"/>
      <c r="BI6235" s="319"/>
      <c r="BJ6235" s="319"/>
      <c r="BK6235" s="319"/>
      <c r="BL6235" s="319"/>
      <c r="BM6235" s="319"/>
      <c r="BN6235" s="319"/>
      <c r="BO6235" s="319"/>
      <c r="BP6235" s="953"/>
      <c r="BQ6235" s="319"/>
      <c r="BR6235" s="319"/>
      <c r="BS6235" s="330"/>
      <c r="BT6235" s="331"/>
      <c r="BU6235" s="920"/>
      <c r="BV6235" s="903"/>
      <c r="BW6235" s="908"/>
      <c r="BX6235" s="908"/>
      <c r="BY6235" s="331"/>
      <c r="BZ6235" s="331"/>
      <c r="CA6235" s="462"/>
      <c r="CB6235" s="319"/>
      <c r="CC6235" s="319"/>
      <c r="CD6235" s="319"/>
      <c r="CE6235" s="319"/>
      <c r="CF6235" s="319"/>
      <c r="CG6235" s="319"/>
      <c r="CH6235" s="318"/>
      <c r="CI6235" s="319"/>
      <c r="CJ6235" s="319"/>
      <c r="CK6235" s="342"/>
      <c r="CL6235" s="333"/>
      <c r="CM6235" s="1079"/>
      <c r="CN6235" s="1005"/>
      <c r="CO6235" s="1005"/>
      <c r="CP6235" s="1005"/>
    </row>
    <row r="6236">
      <c r="A6236" s="1257"/>
      <c r="B6236" s="1113"/>
      <c r="C6236" s="1107"/>
      <c r="D6236" s="103"/>
      <c r="E6236" s="1137"/>
      <c r="F6236" s="112"/>
      <c r="G6236" s="1110"/>
      <c r="H6236" s="1138"/>
      <c r="I6236" s="1138"/>
      <c r="J6236" s="1139"/>
      <c r="K6236" s="1111"/>
      <c r="L6236" s="1112"/>
      <c r="M6236" s="1113"/>
      <c r="N6236" s="110"/>
      <c r="O6236" s="1140"/>
      <c r="P6236" s="1115"/>
      <c r="Q6236" s="1116"/>
      <c r="R6236" s="1141"/>
      <c r="S6236" s="1113"/>
      <c r="T6236" s="1143"/>
      <c r="U6236" s="1108"/>
      <c r="V6236" s="1108"/>
      <c r="W6236" s="1108"/>
      <c r="X6236" s="1108"/>
      <c r="Y6236" s="1108"/>
      <c r="Z6236" s="1114"/>
      <c r="AA6236" s="1114"/>
      <c r="AB6236" s="1114"/>
      <c r="AC6236" s="1117"/>
      <c r="AD6236" s="1115"/>
      <c r="AE6236" s="1115"/>
      <c r="AF6236" s="1115"/>
      <c r="AG6236" s="1115"/>
      <c r="AH6236" s="1115"/>
      <c r="AI6236" s="1115"/>
      <c r="AJ6236" s="1117"/>
      <c r="AK6236" s="1118"/>
      <c r="AL6236" s="1115"/>
      <c r="AM6236" s="1115"/>
      <c r="AN6236" s="1115"/>
      <c r="AO6236" s="1115"/>
      <c r="AP6236" s="1115"/>
      <c r="AQ6236" s="1115"/>
      <c r="AR6236" s="1115"/>
      <c r="AS6236" s="1117"/>
      <c r="AT6236" s="1075"/>
      <c r="AU6236" s="1193"/>
      <c r="AV6236" s="330"/>
      <c r="AW6236" s="331"/>
      <c r="AX6236" s="331"/>
      <c r="AY6236" s="331"/>
      <c r="AZ6236" s="331"/>
      <c r="BA6236" s="331"/>
      <c r="BB6236" s="331"/>
      <c r="BC6236" s="331"/>
      <c r="BD6236" s="331"/>
      <c r="BE6236" s="333"/>
      <c r="BF6236" s="330"/>
      <c r="BG6236" s="333"/>
      <c r="BH6236" s="1119"/>
      <c r="BI6236" s="319"/>
      <c r="BJ6236" s="319"/>
      <c r="BK6236" s="319"/>
      <c r="BL6236" s="319"/>
      <c r="BM6236" s="319"/>
      <c r="BN6236" s="319"/>
      <c r="BO6236" s="319"/>
      <c r="BP6236" s="953"/>
      <c r="BQ6236" s="319"/>
      <c r="BR6236" s="319"/>
      <c r="BS6236" s="330"/>
      <c r="BT6236" s="331"/>
      <c r="BU6236" s="920"/>
      <c r="BV6236" s="903"/>
      <c r="BW6236" s="908"/>
      <c r="BX6236" s="908"/>
      <c r="BY6236" s="331"/>
      <c r="BZ6236" s="331"/>
      <c r="CA6236" s="462"/>
      <c r="CB6236" s="319"/>
      <c r="CC6236" s="319"/>
      <c r="CD6236" s="319"/>
      <c r="CE6236" s="319"/>
      <c r="CF6236" s="319"/>
      <c r="CG6236" s="319"/>
      <c r="CH6236" s="318"/>
      <c r="CI6236" s="319"/>
      <c r="CJ6236" s="319"/>
      <c r="CK6236" s="342"/>
      <c r="CL6236" s="333"/>
      <c r="CM6236" s="1079"/>
      <c r="CN6236" s="1005"/>
      <c r="CO6236" s="1005"/>
      <c r="CP6236" s="1005"/>
    </row>
    <row r="6237">
      <c r="A6237" s="1257"/>
      <c r="B6237" s="1113"/>
      <c r="C6237" s="1107"/>
      <c r="D6237" s="103"/>
      <c r="E6237" s="1137"/>
      <c r="F6237" s="112"/>
      <c r="G6237" s="1110"/>
      <c r="H6237" s="1138"/>
      <c r="I6237" s="1138"/>
      <c r="J6237" s="1139"/>
      <c r="K6237" s="1111"/>
      <c r="L6237" s="1112"/>
      <c r="M6237" s="1113"/>
      <c r="N6237" s="110"/>
      <c r="O6237" s="1140"/>
      <c r="P6237" s="1115"/>
      <c r="Q6237" s="1116"/>
      <c r="R6237" s="1141"/>
      <c r="S6237" s="1113"/>
      <c r="T6237" s="1143"/>
      <c r="U6237" s="1108"/>
      <c r="V6237" s="1108"/>
      <c r="W6237" s="1108"/>
      <c r="X6237" s="1108"/>
      <c r="Y6237" s="1108"/>
      <c r="Z6237" s="1114"/>
      <c r="AA6237" s="1114"/>
      <c r="AB6237" s="1114"/>
      <c r="AC6237" s="1117"/>
      <c r="AD6237" s="1115"/>
      <c r="AE6237" s="1115"/>
      <c r="AF6237" s="1115"/>
      <c r="AG6237" s="1115"/>
      <c r="AH6237" s="1115"/>
      <c r="AI6237" s="1115"/>
      <c r="AJ6237" s="1117"/>
      <c r="AK6237" s="1118"/>
      <c r="AL6237" s="1115"/>
      <c r="AM6237" s="1115"/>
      <c r="AN6237" s="1115"/>
      <c r="AO6237" s="1115"/>
      <c r="AP6237" s="1115"/>
      <c r="AQ6237" s="1115"/>
      <c r="AR6237" s="1115"/>
      <c r="AS6237" s="1117"/>
      <c r="AT6237" s="1075"/>
      <c r="AU6237" s="1193"/>
      <c r="AV6237" s="330"/>
      <c r="AW6237" s="331"/>
      <c r="AX6237" s="331"/>
      <c r="AY6237" s="331"/>
      <c r="AZ6237" s="331"/>
      <c r="BA6237" s="331"/>
      <c r="BB6237" s="331"/>
      <c r="BC6237" s="331"/>
      <c r="BD6237" s="331"/>
      <c r="BE6237" s="333"/>
      <c r="BF6237" s="330"/>
      <c r="BG6237" s="333"/>
      <c r="BH6237" s="1119"/>
      <c r="BI6237" s="319"/>
      <c r="BJ6237" s="319"/>
      <c r="BK6237" s="319"/>
      <c r="BL6237" s="319"/>
      <c r="BM6237" s="319"/>
      <c r="BN6237" s="319"/>
      <c r="BO6237" s="319"/>
      <c r="BP6237" s="953"/>
      <c r="BQ6237" s="319"/>
      <c r="BR6237" s="319"/>
      <c r="BS6237" s="330"/>
      <c r="BT6237" s="331"/>
      <c r="BU6237" s="920"/>
      <c r="BV6237" s="903"/>
      <c r="BW6237" s="908"/>
      <c r="BX6237" s="908"/>
      <c r="BY6237" s="331"/>
      <c r="BZ6237" s="331"/>
      <c r="CA6237" s="462"/>
      <c r="CB6237" s="319"/>
      <c r="CC6237" s="319"/>
      <c r="CD6237" s="319"/>
      <c r="CE6237" s="319"/>
      <c r="CF6237" s="319"/>
      <c r="CG6237" s="319"/>
      <c r="CH6237" s="318"/>
      <c r="CI6237" s="319"/>
      <c r="CJ6237" s="319"/>
      <c r="CK6237" s="342"/>
      <c r="CL6237" s="333"/>
      <c r="CM6237" s="1079"/>
      <c r="CN6237" s="1005"/>
      <c r="CO6237" s="1005"/>
      <c r="CP6237" s="1005"/>
    </row>
    <row r="6238">
      <c r="A6238" s="1257"/>
      <c r="B6238" s="1113"/>
      <c r="C6238" s="1107"/>
      <c r="D6238" s="103"/>
      <c r="E6238" s="1137"/>
      <c r="F6238" s="112"/>
      <c r="G6238" s="1110"/>
      <c r="H6238" s="1138"/>
      <c r="I6238" s="1138"/>
      <c r="J6238" s="1139"/>
      <c r="K6238" s="1111"/>
      <c r="L6238" s="1112"/>
      <c r="M6238" s="1113"/>
      <c r="N6238" s="110"/>
      <c r="O6238" s="1140"/>
      <c r="P6238" s="1115"/>
      <c r="Q6238" s="1116"/>
      <c r="R6238" s="1141"/>
      <c r="S6238" s="1113"/>
      <c r="T6238" s="1143"/>
      <c r="U6238" s="1108"/>
      <c r="V6238" s="1108"/>
      <c r="W6238" s="1108"/>
      <c r="X6238" s="1108"/>
      <c r="Y6238" s="1108"/>
      <c r="Z6238" s="1114"/>
      <c r="AA6238" s="1114"/>
      <c r="AB6238" s="1114"/>
      <c r="AC6238" s="1117"/>
      <c r="AD6238" s="1115"/>
      <c r="AE6238" s="1115"/>
      <c r="AF6238" s="1115"/>
      <c r="AG6238" s="1115"/>
      <c r="AH6238" s="1115"/>
      <c r="AI6238" s="1115"/>
      <c r="AJ6238" s="1117"/>
      <c r="AK6238" s="1118"/>
      <c r="AL6238" s="1115"/>
      <c r="AM6238" s="1115"/>
      <c r="AN6238" s="1115"/>
      <c r="AO6238" s="1115"/>
      <c r="AP6238" s="1115"/>
      <c r="AQ6238" s="1115"/>
      <c r="AR6238" s="1115"/>
      <c r="AS6238" s="1117"/>
      <c r="AT6238" s="1075"/>
      <c r="AU6238" s="1193"/>
      <c r="AV6238" s="330"/>
      <c r="AW6238" s="331"/>
      <c r="AX6238" s="331"/>
      <c r="AY6238" s="331"/>
      <c r="AZ6238" s="331"/>
      <c r="BA6238" s="331"/>
      <c r="BB6238" s="331"/>
      <c r="BC6238" s="331"/>
      <c r="BD6238" s="331"/>
      <c r="BE6238" s="333"/>
      <c r="BF6238" s="330"/>
      <c r="BG6238" s="333"/>
      <c r="BH6238" s="1119"/>
      <c r="BI6238" s="319"/>
      <c r="BJ6238" s="319"/>
      <c r="BK6238" s="319"/>
      <c r="BL6238" s="319"/>
      <c r="BM6238" s="319"/>
      <c r="BN6238" s="319"/>
      <c r="BO6238" s="319"/>
      <c r="BP6238" s="953"/>
      <c r="BQ6238" s="319"/>
      <c r="BR6238" s="319"/>
      <c r="BS6238" s="330"/>
      <c r="BT6238" s="331"/>
      <c r="BU6238" s="920"/>
      <c r="BV6238" s="903"/>
      <c r="BW6238" s="908"/>
      <c r="BX6238" s="908"/>
      <c r="BY6238" s="331"/>
      <c r="BZ6238" s="331"/>
      <c r="CA6238" s="462"/>
      <c r="CB6238" s="319"/>
      <c r="CC6238" s="319"/>
      <c r="CD6238" s="319"/>
      <c r="CE6238" s="319"/>
      <c r="CF6238" s="319"/>
      <c r="CG6238" s="319"/>
      <c r="CH6238" s="318"/>
      <c r="CI6238" s="319"/>
      <c r="CJ6238" s="319"/>
      <c r="CK6238" s="342"/>
      <c r="CL6238" s="333"/>
      <c r="CM6238" s="1079"/>
      <c r="CN6238" s="1005"/>
      <c r="CO6238" s="1005"/>
      <c r="CP6238" s="1005"/>
    </row>
    <row r="6239">
      <c r="A6239" s="1257"/>
      <c r="B6239" s="1113"/>
      <c r="C6239" s="1107"/>
      <c r="D6239" s="103"/>
      <c r="E6239" s="1137"/>
      <c r="F6239" s="112"/>
      <c r="G6239" s="1110"/>
      <c r="H6239" s="1138"/>
      <c r="I6239" s="1138"/>
      <c r="J6239" s="1139"/>
      <c r="K6239" s="1111"/>
      <c r="L6239" s="1112"/>
      <c r="M6239" s="1113"/>
      <c r="N6239" s="110"/>
      <c r="O6239" s="1140"/>
      <c r="P6239" s="1115"/>
      <c r="Q6239" s="1116"/>
      <c r="R6239" s="1141"/>
      <c r="S6239" s="1113"/>
      <c r="T6239" s="1143"/>
      <c r="U6239" s="1108"/>
      <c r="V6239" s="1108"/>
      <c r="W6239" s="1108"/>
      <c r="X6239" s="1108"/>
      <c r="Y6239" s="1108"/>
      <c r="Z6239" s="1114"/>
      <c r="AA6239" s="1114"/>
      <c r="AB6239" s="1114"/>
      <c r="AC6239" s="1117"/>
      <c r="AD6239" s="1115"/>
      <c r="AE6239" s="1115"/>
      <c r="AF6239" s="1115"/>
      <c r="AG6239" s="1115"/>
      <c r="AH6239" s="1115"/>
      <c r="AI6239" s="1115"/>
      <c r="AJ6239" s="1117"/>
      <c r="AK6239" s="1118"/>
      <c r="AL6239" s="1115"/>
      <c r="AM6239" s="1115"/>
      <c r="AN6239" s="1115"/>
      <c r="AO6239" s="1115"/>
      <c r="AP6239" s="1115"/>
      <c r="AQ6239" s="1115"/>
      <c r="AR6239" s="1115"/>
      <c r="AS6239" s="1117"/>
      <c r="AT6239" s="1075"/>
      <c r="AU6239" s="1193"/>
      <c r="AV6239" s="330"/>
      <c r="AW6239" s="331"/>
      <c r="AX6239" s="331"/>
      <c r="AY6239" s="331"/>
      <c r="AZ6239" s="331"/>
      <c r="BA6239" s="331"/>
      <c r="BB6239" s="331"/>
      <c r="BC6239" s="331"/>
      <c r="BD6239" s="331"/>
      <c r="BE6239" s="333"/>
      <c r="BF6239" s="330"/>
      <c r="BG6239" s="333"/>
      <c r="BH6239" s="1119"/>
      <c r="BI6239" s="319"/>
      <c r="BJ6239" s="319"/>
      <c r="BK6239" s="319"/>
      <c r="BL6239" s="319"/>
      <c r="BM6239" s="319"/>
      <c r="BN6239" s="319"/>
      <c r="BO6239" s="319"/>
      <c r="BP6239" s="953"/>
      <c r="BQ6239" s="319"/>
      <c r="BR6239" s="319"/>
      <c r="BS6239" s="330"/>
      <c r="BT6239" s="331"/>
      <c r="BU6239" s="920"/>
      <c r="BV6239" s="903"/>
      <c r="BW6239" s="908"/>
      <c r="BX6239" s="908"/>
      <c r="BY6239" s="331"/>
      <c r="BZ6239" s="331"/>
      <c r="CA6239" s="462"/>
      <c r="CB6239" s="319"/>
      <c r="CC6239" s="319"/>
      <c r="CD6239" s="319"/>
      <c r="CE6239" s="319"/>
      <c r="CF6239" s="319"/>
      <c r="CG6239" s="319"/>
      <c r="CH6239" s="318"/>
      <c r="CI6239" s="319"/>
      <c r="CJ6239" s="319"/>
      <c r="CK6239" s="342"/>
      <c r="CL6239" s="333"/>
      <c r="CM6239" s="1079"/>
      <c r="CN6239" s="1005"/>
      <c r="CO6239" s="1005"/>
      <c r="CP6239" s="1005"/>
    </row>
    <row r="6240">
      <c r="A6240" s="1257"/>
      <c r="B6240" s="1113"/>
      <c r="C6240" s="1107"/>
      <c r="D6240" s="103"/>
      <c r="E6240" s="1137"/>
      <c r="F6240" s="112"/>
      <c r="G6240" s="1110"/>
      <c r="H6240" s="1138"/>
      <c r="I6240" s="1138"/>
      <c r="J6240" s="1139"/>
      <c r="K6240" s="1111"/>
      <c r="L6240" s="1112"/>
      <c r="M6240" s="1113"/>
      <c r="N6240" s="110"/>
      <c r="O6240" s="1140"/>
      <c r="P6240" s="1115"/>
      <c r="Q6240" s="1116"/>
      <c r="R6240" s="1141"/>
      <c r="S6240" s="1113"/>
      <c r="T6240" s="1143"/>
      <c r="U6240" s="1108"/>
      <c r="V6240" s="1108"/>
      <c r="W6240" s="1108"/>
      <c r="X6240" s="1108"/>
      <c r="Y6240" s="1108"/>
      <c r="Z6240" s="1114"/>
      <c r="AA6240" s="1114"/>
      <c r="AB6240" s="1114"/>
      <c r="AC6240" s="1117"/>
      <c r="AD6240" s="1115"/>
      <c r="AE6240" s="1115"/>
      <c r="AF6240" s="1115"/>
      <c r="AG6240" s="1115"/>
      <c r="AH6240" s="1115"/>
      <c r="AI6240" s="1115"/>
      <c r="AJ6240" s="1117"/>
      <c r="AK6240" s="1118"/>
      <c r="AL6240" s="1115"/>
      <c r="AM6240" s="1115"/>
      <c r="AN6240" s="1115"/>
      <c r="AO6240" s="1115"/>
      <c r="AP6240" s="1115"/>
      <c r="AQ6240" s="1115"/>
      <c r="AR6240" s="1115"/>
      <c r="AS6240" s="1117"/>
      <c r="AT6240" s="1075"/>
      <c r="AU6240" s="1193"/>
      <c r="AV6240" s="330"/>
      <c r="AW6240" s="331"/>
      <c r="AX6240" s="331"/>
      <c r="AY6240" s="331"/>
      <c r="AZ6240" s="331"/>
      <c r="BA6240" s="331"/>
      <c r="BB6240" s="331"/>
      <c r="BC6240" s="331"/>
      <c r="BD6240" s="331"/>
      <c r="BE6240" s="333"/>
      <c r="BF6240" s="330"/>
      <c r="BG6240" s="333"/>
      <c r="BH6240" s="1119"/>
      <c r="BI6240" s="319"/>
      <c r="BJ6240" s="319"/>
      <c r="BK6240" s="319"/>
      <c r="BL6240" s="319"/>
      <c r="BM6240" s="319"/>
      <c r="BN6240" s="319"/>
      <c r="BO6240" s="319"/>
      <c r="BP6240" s="953"/>
      <c r="BQ6240" s="319"/>
      <c r="BR6240" s="319"/>
      <c r="BS6240" s="330"/>
      <c r="BT6240" s="331"/>
      <c r="BU6240" s="920"/>
      <c r="BV6240" s="903"/>
      <c r="BW6240" s="908"/>
      <c r="BX6240" s="908"/>
      <c r="BY6240" s="331"/>
      <c r="BZ6240" s="331"/>
      <c r="CA6240" s="462"/>
      <c r="CB6240" s="319"/>
      <c r="CC6240" s="319"/>
      <c r="CD6240" s="319"/>
      <c r="CE6240" s="319"/>
      <c r="CF6240" s="319"/>
      <c r="CG6240" s="319"/>
      <c r="CH6240" s="318"/>
      <c r="CI6240" s="319"/>
      <c r="CJ6240" s="319"/>
      <c r="CK6240" s="342"/>
      <c r="CL6240" s="333"/>
      <c r="CM6240" s="1079"/>
      <c r="CN6240" s="1005"/>
      <c r="CO6240" s="1005"/>
      <c r="CP6240" s="1005"/>
    </row>
    <row r="6241">
      <c r="A6241" s="1257"/>
      <c r="B6241" s="1113"/>
      <c r="C6241" s="1107"/>
      <c r="D6241" s="103"/>
      <c r="E6241" s="1137"/>
      <c r="F6241" s="112"/>
      <c r="G6241" s="1110"/>
      <c r="H6241" s="1138"/>
      <c r="I6241" s="1138"/>
      <c r="J6241" s="1139"/>
      <c r="K6241" s="1111"/>
      <c r="L6241" s="1112"/>
      <c r="M6241" s="1113"/>
      <c r="N6241" s="110"/>
      <c r="O6241" s="1140"/>
      <c r="P6241" s="1115"/>
      <c r="Q6241" s="1116"/>
      <c r="R6241" s="1141"/>
      <c r="S6241" s="1113"/>
      <c r="T6241" s="1143"/>
      <c r="U6241" s="1108"/>
      <c r="V6241" s="1108"/>
      <c r="W6241" s="1108"/>
      <c r="X6241" s="1108"/>
      <c r="Y6241" s="1108"/>
      <c r="Z6241" s="1114"/>
      <c r="AA6241" s="1114"/>
      <c r="AB6241" s="1114"/>
      <c r="AC6241" s="1117"/>
      <c r="AD6241" s="1115"/>
      <c r="AE6241" s="1115"/>
      <c r="AF6241" s="1115"/>
      <c r="AG6241" s="1115"/>
      <c r="AH6241" s="1115"/>
      <c r="AI6241" s="1115"/>
      <c r="AJ6241" s="1117"/>
      <c r="AK6241" s="1118"/>
      <c r="AL6241" s="1115"/>
      <c r="AM6241" s="1115"/>
      <c r="AN6241" s="1115"/>
      <c r="AO6241" s="1115"/>
      <c r="AP6241" s="1115"/>
      <c r="AQ6241" s="1115"/>
      <c r="AR6241" s="1115"/>
      <c r="AS6241" s="1117"/>
      <c r="AT6241" s="1075"/>
      <c r="AU6241" s="1193"/>
      <c r="AV6241" s="330"/>
      <c r="AW6241" s="331"/>
      <c r="AX6241" s="331"/>
      <c r="AY6241" s="331"/>
      <c r="AZ6241" s="331"/>
      <c r="BA6241" s="331"/>
      <c r="BB6241" s="331"/>
      <c r="BC6241" s="331"/>
      <c r="BD6241" s="331"/>
      <c r="BE6241" s="333"/>
      <c r="BF6241" s="330"/>
      <c r="BG6241" s="333"/>
      <c r="BH6241" s="1119"/>
      <c r="BI6241" s="319"/>
      <c r="BJ6241" s="319"/>
      <c r="BK6241" s="319"/>
      <c r="BL6241" s="319"/>
      <c r="BM6241" s="319"/>
      <c r="BN6241" s="319"/>
      <c r="BO6241" s="319"/>
      <c r="BP6241" s="953"/>
      <c r="BQ6241" s="319"/>
      <c r="BR6241" s="319"/>
      <c r="BS6241" s="330"/>
      <c r="BT6241" s="331"/>
      <c r="BU6241" s="920"/>
      <c r="BV6241" s="903"/>
      <c r="BW6241" s="908"/>
      <c r="BX6241" s="908"/>
      <c r="BY6241" s="331"/>
      <c r="BZ6241" s="331"/>
      <c r="CA6241" s="462"/>
      <c r="CB6241" s="319"/>
      <c r="CC6241" s="319"/>
      <c r="CD6241" s="319"/>
      <c r="CE6241" s="319"/>
      <c r="CF6241" s="319"/>
      <c r="CG6241" s="319"/>
      <c r="CH6241" s="318"/>
      <c r="CI6241" s="319"/>
      <c r="CJ6241" s="319"/>
      <c r="CK6241" s="342"/>
      <c r="CL6241" s="333"/>
      <c r="CM6241" s="1079"/>
      <c r="CN6241" s="1005"/>
      <c r="CO6241" s="1005"/>
      <c r="CP6241" s="1005"/>
    </row>
    <row r="6242">
      <c r="A6242" s="1257"/>
      <c r="B6242" s="1113"/>
      <c r="C6242" s="1107"/>
      <c r="D6242" s="103"/>
      <c r="E6242" s="1137"/>
      <c r="F6242" s="112"/>
      <c r="G6242" s="1110"/>
      <c r="H6242" s="1138"/>
      <c r="I6242" s="1138"/>
      <c r="J6242" s="1139"/>
      <c r="K6242" s="1111"/>
      <c r="L6242" s="1112"/>
      <c r="M6242" s="1113"/>
      <c r="N6242" s="110"/>
      <c r="O6242" s="1140"/>
      <c r="P6242" s="1115"/>
      <c r="Q6242" s="1116"/>
      <c r="R6242" s="1141"/>
      <c r="S6242" s="1113"/>
      <c r="T6242" s="1143"/>
      <c r="U6242" s="1108"/>
      <c r="V6242" s="1108"/>
      <c r="W6242" s="1108"/>
      <c r="X6242" s="1108"/>
      <c r="Y6242" s="1108"/>
      <c r="Z6242" s="1114"/>
      <c r="AA6242" s="1114"/>
      <c r="AB6242" s="1114"/>
      <c r="AC6242" s="1117"/>
      <c r="AD6242" s="1115"/>
      <c r="AE6242" s="1115"/>
      <c r="AF6242" s="1115"/>
      <c r="AG6242" s="1115"/>
      <c r="AH6242" s="1115"/>
      <c r="AI6242" s="1115"/>
      <c r="AJ6242" s="1117"/>
      <c r="AK6242" s="1118"/>
      <c r="AL6242" s="1115"/>
      <c r="AM6242" s="1115"/>
      <c r="AN6242" s="1115"/>
      <c r="AO6242" s="1115"/>
      <c r="AP6242" s="1115"/>
      <c r="AQ6242" s="1115"/>
      <c r="AR6242" s="1115"/>
      <c r="AS6242" s="1117"/>
      <c r="AT6242" s="1075"/>
      <c r="AU6242" s="1193"/>
      <c r="AV6242" s="330"/>
      <c r="AW6242" s="331"/>
      <c r="AX6242" s="331"/>
      <c r="AY6242" s="331"/>
      <c r="AZ6242" s="331"/>
      <c r="BA6242" s="331"/>
      <c r="BB6242" s="331"/>
      <c r="BC6242" s="331"/>
      <c r="BD6242" s="331"/>
      <c r="BE6242" s="333"/>
      <c r="BF6242" s="330"/>
      <c r="BG6242" s="333"/>
      <c r="BH6242" s="1119"/>
      <c r="BI6242" s="319"/>
      <c r="BJ6242" s="319"/>
      <c r="BK6242" s="319"/>
      <c r="BL6242" s="319"/>
      <c r="BM6242" s="319"/>
      <c r="BN6242" s="319"/>
      <c r="BO6242" s="319"/>
      <c r="BP6242" s="953"/>
      <c r="BQ6242" s="319"/>
      <c r="BR6242" s="319"/>
      <c r="BS6242" s="330"/>
      <c r="BT6242" s="331"/>
      <c r="BU6242" s="920"/>
      <c r="BV6242" s="903"/>
      <c r="BW6242" s="908"/>
      <c r="BX6242" s="908"/>
      <c r="BY6242" s="331"/>
      <c r="BZ6242" s="331"/>
      <c r="CA6242" s="462"/>
      <c r="CB6242" s="319"/>
      <c r="CC6242" s="319"/>
      <c r="CD6242" s="319"/>
      <c r="CE6242" s="319"/>
      <c r="CF6242" s="319"/>
      <c r="CG6242" s="319"/>
      <c r="CH6242" s="318"/>
      <c r="CI6242" s="319"/>
      <c r="CJ6242" s="319"/>
      <c r="CK6242" s="342"/>
      <c r="CL6242" s="333"/>
      <c r="CM6242" s="1079"/>
      <c r="CN6242" s="1005"/>
      <c r="CO6242" s="1005"/>
      <c r="CP6242" s="1005"/>
    </row>
    <row r="6243">
      <c r="A6243" s="1257"/>
      <c r="B6243" s="1113"/>
      <c r="C6243" s="1107"/>
      <c r="D6243" s="103"/>
      <c r="E6243" s="1137"/>
      <c r="F6243" s="112"/>
      <c r="G6243" s="1110"/>
      <c r="H6243" s="1138"/>
      <c r="I6243" s="1138"/>
      <c r="J6243" s="1139"/>
      <c r="K6243" s="1111"/>
      <c r="L6243" s="1112"/>
      <c r="M6243" s="1113"/>
      <c r="N6243" s="110"/>
      <c r="O6243" s="1140"/>
      <c r="P6243" s="1115"/>
      <c r="Q6243" s="1116"/>
      <c r="R6243" s="1141"/>
      <c r="S6243" s="1113"/>
      <c r="T6243" s="1143"/>
      <c r="U6243" s="1108"/>
      <c r="V6243" s="1108"/>
      <c r="W6243" s="1108"/>
      <c r="X6243" s="1108"/>
      <c r="Y6243" s="1108"/>
      <c r="Z6243" s="1114"/>
      <c r="AA6243" s="1114"/>
      <c r="AB6243" s="1114"/>
      <c r="AC6243" s="1117"/>
      <c r="AD6243" s="1115"/>
      <c r="AE6243" s="1115"/>
      <c r="AF6243" s="1115"/>
      <c r="AG6243" s="1115"/>
      <c r="AH6243" s="1115"/>
      <c r="AI6243" s="1115"/>
      <c r="AJ6243" s="1117"/>
      <c r="AK6243" s="1118"/>
      <c r="AL6243" s="1115"/>
      <c r="AM6243" s="1115"/>
      <c r="AN6243" s="1115"/>
      <c r="AO6243" s="1115"/>
      <c r="AP6243" s="1115"/>
      <c r="AQ6243" s="1115"/>
      <c r="AR6243" s="1115"/>
      <c r="AS6243" s="1117"/>
      <c r="AT6243" s="1075"/>
      <c r="AU6243" s="1193"/>
      <c r="AV6243" s="330"/>
      <c r="AW6243" s="331"/>
      <c r="AX6243" s="331"/>
      <c r="AY6243" s="331"/>
      <c r="AZ6243" s="331"/>
      <c r="BA6243" s="331"/>
      <c r="BB6243" s="331"/>
      <c r="BC6243" s="331"/>
      <c r="BD6243" s="331"/>
      <c r="BE6243" s="333"/>
      <c r="BF6243" s="330"/>
      <c r="BG6243" s="333"/>
      <c r="BH6243" s="1119"/>
      <c r="BI6243" s="319"/>
      <c r="BJ6243" s="319"/>
      <c r="BK6243" s="319"/>
      <c r="BL6243" s="319"/>
      <c r="BM6243" s="319"/>
      <c r="BN6243" s="319"/>
      <c r="BO6243" s="319"/>
      <c r="BP6243" s="953"/>
      <c r="BQ6243" s="319"/>
      <c r="BR6243" s="319"/>
      <c r="BS6243" s="330"/>
      <c r="BT6243" s="331"/>
      <c r="BU6243" s="920"/>
      <c r="BV6243" s="903"/>
      <c r="BW6243" s="908"/>
      <c r="BX6243" s="908"/>
      <c r="BY6243" s="331"/>
      <c r="BZ6243" s="331"/>
      <c r="CA6243" s="462"/>
      <c r="CB6243" s="319"/>
      <c r="CC6243" s="319"/>
      <c r="CD6243" s="319"/>
      <c r="CE6243" s="319"/>
      <c r="CF6243" s="319"/>
      <c r="CG6243" s="319"/>
      <c r="CH6243" s="318"/>
      <c r="CI6243" s="319"/>
      <c r="CJ6243" s="319"/>
      <c r="CK6243" s="342"/>
      <c r="CL6243" s="333"/>
      <c r="CM6243" s="1079"/>
      <c r="CN6243" s="1005"/>
      <c r="CO6243" s="1005"/>
      <c r="CP6243" s="1005"/>
    </row>
    <row r="6244">
      <c r="A6244" s="1257"/>
      <c r="B6244" s="1113"/>
      <c r="C6244" s="1107"/>
      <c r="D6244" s="103"/>
      <c r="E6244" s="1137"/>
      <c r="F6244" s="112"/>
      <c r="G6244" s="1110"/>
      <c r="H6244" s="1138"/>
      <c r="I6244" s="1138"/>
      <c r="J6244" s="1139"/>
      <c r="K6244" s="1111"/>
      <c r="L6244" s="1112"/>
      <c r="M6244" s="1113"/>
      <c r="N6244" s="110"/>
      <c r="O6244" s="1140"/>
      <c r="P6244" s="1115"/>
      <c r="Q6244" s="1116"/>
      <c r="R6244" s="1141"/>
      <c r="S6244" s="1113"/>
      <c r="T6244" s="1143"/>
      <c r="U6244" s="1108"/>
      <c r="V6244" s="1108"/>
      <c r="W6244" s="1108"/>
      <c r="X6244" s="1108"/>
      <c r="Y6244" s="1108"/>
      <c r="Z6244" s="1114"/>
      <c r="AA6244" s="1114"/>
      <c r="AB6244" s="1114"/>
      <c r="AC6244" s="1117"/>
      <c r="AD6244" s="1115"/>
      <c r="AE6244" s="1115"/>
      <c r="AF6244" s="1115"/>
      <c r="AG6244" s="1115"/>
      <c r="AH6244" s="1115"/>
      <c r="AI6244" s="1115"/>
      <c r="AJ6244" s="1117"/>
      <c r="AK6244" s="1118"/>
      <c r="AL6244" s="1115"/>
      <c r="AM6244" s="1115"/>
      <c r="AN6244" s="1115"/>
      <c r="AO6244" s="1115"/>
      <c r="AP6244" s="1115"/>
      <c r="AQ6244" s="1115"/>
      <c r="AR6244" s="1115"/>
      <c r="AS6244" s="1117"/>
      <c r="AT6244" s="1075"/>
      <c r="AU6244" s="1193"/>
      <c r="AV6244" s="330"/>
      <c r="AW6244" s="331"/>
      <c r="AX6244" s="331"/>
      <c r="AY6244" s="331"/>
      <c r="AZ6244" s="331"/>
      <c r="BA6244" s="331"/>
      <c r="BB6244" s="331"/>
      <c r="BC6244" s="331"/>
      <c r="BD6244" s="331"/>
      <c r="BE6244" s="333"/>
      <c r="BF6244" s="330"/>
      <c r="BG6244" s="333"/>
      <c r="BH6244" s="1119"/>
      <c r="BI6244" s="319"/>
      <c r="BJ6244" s="319"/>
      <c r="BK6244" s="319"/>
      <c r="BL6244" s="319"/>
      <c r="BM6244" s="319"/>
      <c r="BN6244" s="319"/>
      <c r="BO6244" s="319"/>
      <c r="BP6244" s="953"/>
      <c r="BQ6244" s="319"/>
      <c r="BR6244" s="319"/>
      <c r="BS6244" s="330"/>
      <c r="BT6244" s="331"/>
      <c r="BU6244" s="920"/>
      <c r="BV6244" s="903"/>
      <c r="BW6244" s="908"/>
      <c r="BX6244" s="908"/>
      <c r="BY6244" s="331"/>
      <c r="BZ6244" s="331"/>
      <c r="CA6244" s="462"/>
      <c r="CB6244" s="319"/>
      <c r="CC6244" s="319"/>
      <c r="CD6244" s="319"/>
      <c r="CE6244" s="319"/>
      <c r="CF6244" s="319"/>
      <c r="CG6244" s="319"/>
      <c r="CH6244" s="318"/>
      <c r="CI6244" s="319"/>
      <c r="CJ6244" s="319"/>
      <c r="CK6244" s="342"/>
      <c r="CL6244" s="333"/>
      <c r="CM6244" s="1079"/>
      <c r="CN6244" s="1005"/>
      <c r="CO6244" s="1005"/>
      <c r="CP6244" s="1005"/>
    </row>
    <row r="6245">
      <c r="A6245" s="1257"/>
      <c r="B6245" s="1113"/>
      <c r="C6245" s="1107"/>
      <c r="D6245" s="103"/>
      <c r="E6245" s="1137"/>
      <c r="F6245" s="112"/>
      <c r="G6245" s="1110"/>
      <c r="H6245" s="1138"/>
      <c r="I6245" s="1138"/>
      <c r="J6245" s="1139"/>
      <c r="K6245" s="1111"/>
      <c r="L6245" s="1112"/>
      <c r="M6245" s="1113"/>
      <c r="N6245" s="110"/>
      <c r="O6245" s="1140"/>
      <c r="P6245" s="1115"/>
      <c r="Q6245" s="1116"/>
      <c r="R6245" s="1141"/>
      <c r="S6245" s="1113"/>
      <c r="T6245" s="1143"/>
      <c r="U6245" s="1108"/>
      <c r="V6245" s="1108"/>
      <c r="W6245" s="1108"/>
      <c r="X6245" s="1108"/>
      <c r="Y6245" s="1108"/>
      <c r="Z6245" s="1114"/>
      <c r="AA6245" s="1114"/>
      <c r="AB6245" s="1114"/>
      <c r="AC6245" s="1117"/>
      <c r="AD6245" s="1115"/>
      <c r="AE6245" s="1115"/>
      <c r="AF6245" s="1115"/>
      <c r="AG6245" s="1115"/>
      <c r="AH6245" s="1115"/>
      <c r="AI6245" s="1115"/>
      <c r="AJ6245" s="1117"/>
      <c r="AK6245" s="1118"/>
      <c r="AL6245" s="1115"/>
      <c r="AM6245" s="1115"/>
      <c r="AN6245" s="1115"/>
      <c r="AO6245" s="1115"/>
      <c r="AP6245" s="1115"/>
      <c r="AQ6245" s="1115"/>
      <c r="AR6245" s="1115"/>
      <c r="AS6245" s="1117"/>
      <c r="AT6245" s="1075"/>
      <c r="AU6245" s="1193"/>
      <c r="AV6245" s="330"/>
      <c r="AW6245" s="331"/>
      <c r="AX6245" s="331"/>
      <c r="AY6245" s="331"/>
      <c r="AZ6245" s="331"/>
      <c r="BA6245" s="331"/>
      <c r="BB6245" s="331"/>
      <c r="BC6245" s="331"/>
      <c r="BD6245" s="331"/>
      <c r="BE6245" s="333"/>
      <c r="BF6245" s="330"/>
      <c r="BG6245" s="333"/>
      <c r="BH6245" s="1119"/>
      <c r="BI6245" s="319"/>
      <c r="BJ6245" s="319"/>
      <c r="BK6245" s="319"/>
      <c r="BL6245" s="319"/>
      <c r="BM6245" s="319"/>
      <c r="BN6245" s="319"/>
      <c r="BO6245" s="319"/>
      <c r="BP6245" s="953"/>
      <c r="BQ6245" s="319"/>
      <c r="BR6245" s="319"/>
      <c r="BS6245" s="330"/>
      <c r="BT6245" s="331"/>
      <c r="BU6245" s="920"/>
      <c r="BV6245" s="903"/>
      <c r="BW6245" s="908"/>
      <c r="BX6245" s="908"/>
      <c r="BY6245" s="331"/>
      <c r="BZ6245" s="331"/>
      <c r="CA6245" s="462"/>
      <c r="CB6245" s="319"/>
      <c r="CC6245" s="319"/>
      <c r="CD6245" s="319"/>
      <c r="CE6245" s="319"/>
      <c r="CF6245" s="319"/>
      <c r="CG6245" s="319"/>
      <c r="CH6245" s="318"/>
      <c r="CI6245" s="319"/>
      <c r="CJ6245" s="319"/>
      <c r="CK6245" s="342"/>
      <c r="CL6245" s="333"/>
      <c r="CM6245" s="1079"/>
      <c r="CN6245" s="1005"/>
      <c r="CO6245" s="1005"/>
      <c r="CP6245" s="1005"/>
    </row>
    <row r="6246">
      <c r="A6246" s="1257"/>
      <c r="B6246" s="1113"/>
      <c r="C6246" s="1107"/>
      <c r="D6246" s="103"/>
      <c r="E6246" s="1137"/>
      <c r="F6246" s="112"/>
      <c r="G6246" s="1110"/>
      <c r="H6246" s="1138"/>
      <c r="I6246" s="1138"/>
      <c r="J6246" s="1139"/>
      <c r="K6246" s="1111"/>
      <c r="L6246" s="1112"/>
      <c r="M6246" s="1113"/>
      <c r="N6246" s="110"/>
      <c r="O6246" s="1140"/>
      <c r="P6246" s="1115"/>
      <c r="Q6246" s="1116"/>
      <c r="R6246" s="1141"/>
      <c r="S6246" s="1113"/>
      <c r="T6246" s="1143"/>
      <c r="U6246" s="1108"/>
      <c r="V6246" s="1108"/>
      <c r="W6246" s="1108"/>
      <c r="X6246" s="1108"/>
      <c r="Y6246" s="1108"/>
      <c r="Z6246" s="1114"/>
      <c r="AA6246" s="1114"/>
      <c r="AB6246" s="1114"/>
      <c r="AC6246" s="1117"/>
      <c r="AD6246" s="1115"/>
      <c r="AE6246" s="1115"/>
      <c r="AF6246" s="1115"/>
      <c r="AG6246" s="1115"/>
      <c r="AH6246" s="1115"/>
      <c r="AI6246" s="1115"/>
      <c r="AJ6246" s="1117"/>
      <c r="AK6246" s="1118"/>
      <c r="AL6246" s="1115"/>
      <c r="AM6246" s="1115"/>
      <c r="AN6246" s="1115"/>
      <c r="AO6246" s="1115"/>
      <c r="AP6246" s="1115"/>
      <c r="AQ6246" s="1115"/>
      <c r="AR6246" s="1115"/>
      <c r="AS6246" s="1117"/>
      <c r="AT6246" s="1075"/>
      <c r="AU6246" s="1193"/>
      <c r="AV6246" s="330"/>
      <c r="AW6246" s="331"/>
      <c r="AX6246" s="331"/>
      <c r="AY6246" s="331"/>
      <c r="AZ6246" s="331"/>
      <c r="BA6246" s="331"/>
      <c r="BB6246" s="331"/>
      <c r="BC6246" s="331"/>
      <c r="BD6246" s="331"/>
      <c r="BE6246" s="333"/>
      <c r="BF6246" s="330"/>
      <c r="BG6246" s="333"/>
      <c r="BH6246" s="1119"/>
      <c r="BI6246" s="319"/>
      <c r="BJ6246" s="319"/>
      <c r="BK6246" s="319"/>
      <c r="BL6246" s="319"/>
      <c r="BM6246" s="319"/>
      <c r="BN6246" s="319"/>
      <c r="BO6246" s="319"/>
      <c r="BP6246" s="953"/>
      <c r="BQ6246" s="319"/>
      <c r="BR6246" s="319"/>
      <c r="BS6246" s="330"/>
      <c r="BT6246" s="331"/>
      <c r="BU6246" s="920"/>
      <c r="BV6246" s="903"/>
      <c r="BW6246" s="908"/>
      <c r="BX6246" s="908"/>
      <c r="BY6246" s="331"/>
      <c r="BZ6246" s="331"/>
      <c r="CA6246" s="462"/>
      <c r="CB6246" s="319"/>
      <c r="CC6246" s="319"/>
      <c r="CD6246" s="319"/>
      <c r="CE6246" s="319"/>
      <c r="CF6246" s="319"/>
      <c r="CG6246" s="319"/>
      <c r="CH6246" s="318"/>
      <c r="CI6246" s="319"/>
      <c r="CJ6246" s="319"/>
      <c r="CK6246" s="342"/>
      <c r="CL6246" s="333"/>
      <c r="CM6246" s="1079"/>
      <c r="CN6246" s="1005"/>
      <c r="CO6246" s="1005"/>
      <c r="CP6246" s="1005"/>
    </row>
    <row r="6247">
      <c r="A6247" s="1257"/>
      <c r="B6247" s="1113"/>
      <c r="C6247" s="1107"/>
      <c r="D6247" s="103"/>
      <c r="E6247" s="1137"/>
      <c r="F6247" s="112"/>
      <c r="G6247" s="1110"/>
      <c r="H6247" s="1138"/>
      <c r="I6247" s="1138"/>
      <c r="J6247" s="1139"/>
      <c r="K6247" s="1111"/>
      <c r="L6247" s="1112"/>
      <c r="M6247" s="1113"/>
      <c r="N6247" s="110"/>
      <c r="O6247" s="1140"/>
      <c r="P6247" s="1115"/>
      <c r="Q6247" s="1116"/>
      <c r="R6247" s="1141"/>
      <c r="S6247" s="1113"/>
      <c r="T6247" s="1143"/>
      <c r="U6247" s="1108"/>
      <c r="V6247" s="1108"/>
      <c r="W6247" s="1108"/>
      <c r="X6247" s="1108"/>
      <c r="Y6247" s="1108"/>
      <c r="Z6247" s="1114"/>
      <c r="AA6247" s="1114"/>
      <c r="AB6247" s="1114"/>
      <c r="AC6247" s="1117"/>
      <c r="AD6247" s="1115"/>
      <c r="AE6247" s="1115"/>
      <c r="AF6247" s="1115"/>
      <c r="AG6247" s="1115"/>
      <c r="AH6247" s="1115"/>
      <c r="AI6247" s="1115"/>
      <c r="AJ6247" s="1117"/>
      <c r="AK6247" s="1118"/>
      <c r="AL6247" s="1115"/>
      <c r="AM6247" s="1115"/>
      <c r="AN6247" s="1115"/>
      <c r="AO6247" s="1115"/>
      <c r="AP6247" s="1115"/>
      <c r="AQ6247" s="1115"/>
      <c r="AR6247" s="1115"/>
      <c r="AS6247" s="1117"/>
      <c r="AT6247" s="1075"/>
      <c r="AU6247" s="1193"/>
      <c r="AV6247" s="330"/>
      <c r="AW6247" s="331"/>
      <c r="AX6247" s="331"/>
      <c r="AY6247" s="331"/>
      <c r="AZ6247" s="331"/>
      <c r="BA6247" s="331"/>
      <c r="BB6247" s="331"/>
      <c r="BC6247" s="331"/>
      <c r="BD6247" s="331"/>
      <c r="BE6247" s="333"/>
      <c r="BF6247" s="330"/>
      <c r="BG6247" s="333"/>
      <c r="BH6247" s="1119"/>
      <c r="BI6247" s="319"/>
      <c r="BJ6247" s="319"/>
      <c r="BK6247" s="319"/>
      <c r="BL6247" s="319"/>
      <c r="BM6247" s="319"/>
      <c r="BN6247" s="319"/>
      <c r="BO6247" s="319"/>
      <c r="BP6247" s="953"/>
      <c r="BQ6247" s="319"/>
      <c r="BR6247" s="319"/>
      <c r="BS6247" s="330"/>
      <c r="BT6247" s="331"/>
      <c r="BU6247" s="920"/>
      <c r="BV6247" s="903"/>
      <c r="BW6247" s="908"/>
      <c r="BX6247" s="908"/>
      <c r="BY6247" s="331"/>
      <c r="BZ6247" s="331"/>
      <c r="CA6247" s="462"/>
      <c r="CB6247" s="319"/>
      <c r="CC6247" s="319"/>
      <c r="CD6247" s="319"/>
      <c r="CE6247" s="319"/>
      <c r="CF6247" s="319"/>
      <c r="CG6247" s="319"/>
      <c r="CH6247" s="318"/>
      <c r="CI6247" s="319"/>
      <c r="CJ6247" s="319"/>
      <c r="CK6247" s="342"/>
      <c r="CL6247" s="333"/>
      <c r="CM6247" s="1079"/>
      <c r="CN6247" s="1005"/>
      <c r="CO6247" s="1005"/>
      <c r="CP6247" s="1005"/>
    </row>
    <row r="6248">
      <c r="A6248" s="1257"/>
      <c r="B6248" s="1113"/>
      <c r="C6248" s="1107"/>
      <c r="D6248" s="103"/>
      <c r="E6248" s="1137"/>
      <c r="F6248" s="112"/>
      <c r="G6248" s="1110"/>
      <c r="H6248" s="1138"/>
      <c r="I6248" s="1138"/>
      <c r="J6248" s="1139"/>
      <c r="K6248" s="1111"/>
      <c r="L6248" s="1112"/>
      <c r="M6248" s="1113"/>
      <c r="N6248" s="110"/>
      <c r="O6248" s="1140"/>
      <c r="P6248" s="1115"/>
      <c r="Q6248" s="1116"/>
      <c r="R6248" s="1141"/>
      <c r="S6248" s="1113"/>
      <c r="T6248" s="1143"/>
      <c r="U6248" s="1108"/>
      <c r="V6248" s="1108"/>
      <c r="W6248" s="1108"/>
      <c r="X6248" s="1108"/>
      <c r="Y6248" s="1108"/>
      <c r="Z6248" s="1114"/>
      <c r="AA6248" s="1114"/>
      <c r="AB6248" s="1114"/>
      <c r="AC6248" s="1117"/>
      <c r="AD6248" s="1115"/>
      <c r="AE6248" s="1115"/>
      <c r="AF6248" s="1115"/>
      <c r="AG6248" s="1115"/>
      <c r="AH6248" s="1115"/>
      <c r="AI6248" s="1115"/>
      <c r="AJ6248" s="1117"/>
      <c r="AK6248" s="1118"/>
      <c r="AL6248" s="1115"/>
      <c r="AM6248" s="1115"/>
      <c r="AN6248" s="1115"/>
      <c r="AO6248" s="1115"/>
      <c r="AP6248" s="1115"/>
      <c r="AQ6248" s="1115"/>
      <c r="AR6248" s="1115"/>
      <c r="AS6248" s="1117"/>
      <c r="AT6248" s="1075"/>
      <c r="AU6248" s="1193"/>
      <c r="AV6248" s="330"/>
      <c r="AW6248" s="331"/>
      <c r="AX6248" s="331"/>
      <c r="AY6248" s="331"/>
      <c r="AZ6248" s="331"/>
      <c r="BA6248" s="331"/>
      <c r="BB6248" s="331"/>
      <c r="BC6248" s="331"/>
      <c r="BD6248" s="331"/>
      <c r="BE6248" s="333"/>
      <c r="BF6248" s="330"/>
      <c r="BG6248" s="333"/>
      <c r="BH6248" s="1119"/>
      <c r="BI6248" s="319"/>
      <c r="BJ6248" s="319"/>
      <c r="BK6248" s="319"/>
      <c r="BL6248" s="319"/>
      <c r="BM6248" s="319"/>
      <c r="BN6248" s="319"/>
      <c r="BO6248" s="319"/>
      <c r="BP6248" s="953"/>
      <c r="BQ6248" s="319"/>
      <c r="BR6248" s="319"/>
      <c r="BS6248" s="330"/>
      <c r="BT6248" s="331"/>
      <c r="BU6248" s="920"/>
      <c r="BV6248" s="903"/>
      <c r="BW6248" s="908"/>
      <c r="BX6248" s="908"/>
      <c r="BY6248" s="331"/>
      <c r="BZ6248" s="331"/>
      <c r="CA6248" s="462"/>
      <c r="CB6248" s="319"/>
      <c r="CC6248" s="319"/>
      <c r="CD6248" s="319"/>
      <c r="CE6248" s="319"/>
      <c r="CF6248" s="319"/>
      <c r="CG6248" s="319"/>
      <c r="CH6248" s="318"/>
      <c r="CI6248" s="319"/>
      <c r="CJ6248" s="319"/>
      <c r="CK6248" s="342"/>
      <c r="CL6248" s="333"/>
      <c r="CM6248" s="1079"/>
      <c r="CN6248" s="1005"/>
      <c r="CO6248" s="1005"/>
      <c r="CP6248" s="1005"/>
    </row>
    <row r="6249">
      <c r="A6249" s="1257"/>
      <c r="B6249" s="1113"/>
      <c r="C6249" s="1107"/>
      <c r="D6249" s="103"/>
      <c r="E6249" s="1137"/>
      <c r="F6249" s="112"/>
      <c r="G6249" s="1110"/>
      <c r="H6249" s="1138"/>
      <c r="I6249" s="1138"/>
      <c r="J6249" s="1139"/>
      <c r="K6249" s="1111"/>
      <c r="L6249" s="1112"/>
      <c r="M6249" s="1113"/>
      <c r="N6249" s="110"/>
      <c r="O6249" s="1140"/>
      <c r="P6249" s="1115"/>
      <c r="Q6249" s="1116"/>
      <c r="R6249" s="1141"/>
      <c r="S6249" s="1113"/>
      <c r="T6249" s="1143"/>
      <c r="U6249" s="1108"/>
      <c r="V6249" s="1108"/>
      <c r="W6249" s="1108"/>
      <c r="X6249" s="1108"/>
      <c r="Y6249" s="1108"/>
      <c r="Z6249" s="1114"/>
      <c r="AA6249" s="1114"/>
      <c r="AB6249" s="1114"/>
      <c r="AC6249" s="1117"/>
      <c r="AD6249" s="1115"/>
      <c r="AE6249" s="1115"/>
      <c r="AF6249" s="1115"/>
      <c r="AG6249" s="1115"/>
      <c r="AH6249" s="1115"/>
      <c r="AI6249" s="1115"/>
      <c r="AJ6249" s="1117"/>
      <c r="AK6249" s="1118"/>
      <c r="AL6249" s="1115"/>
      <c r="AM6249" s="1115"/>
      <c r="AN6249" s="1115"/>
      <c r="AO6249" s="1115"/>
      <c r="AP6249" s="1115"/>
      <c r="AQ6249" s="1115"/>
      <c r="AR6249" s="1115"/>
      <c r="AS6249" s="1117"/>
      <c r="AT6249" s="1075"/>
      <c r="AU6249" s="1193"/>
      <c r="AV6249" s="330"/>
      <c r="AW6249" s="331"/>
      <c r="AX6249" s="331"/>
      <c r="AY6249" s="331"/>
      <c r="AZ6249" s="331"/>
      <c r="BA6249" s="331"/>
      <c r="BB6249" s="331"/>
      <c r="BC6249" s="331"/>
      <c r="BD6249" s="331"/>
      <c r="BE6249" s="333"/>
      <c r="BF6249" s="330"/>
      <c r="BG6249" s="333"/>
      <c r="BH6249" s="1119"/>
      <c r="BI6249" s="319"/>
      <c r="BJ6249" s="319"/>
      <c r="BK6249" s="319"/>
      <c r="BL6249" s="319"/>
      <c r="BM6249" s="319"/>
      <c r="BN6249" s="319"/>
      <c r="BO6249" s="319"/>
      <c r="BP6249" s="953"/>
      <c r="BQ6249" s="319"/>
      <c r="BR6249" s="319"/>
      <c r="BS6249" s="330"/>
      <c r="BT6249" s="331"/>
      <c r="BU6249" s="920"/>
      <c r="BV6249" s="903"/>
      <c r="BW6249" s="908"/>
      <c r="BX6249" s="908"/>
      <c r="BY6249" s="331"/>
      <c r="BZ6249" s="331"/>
      <c r="CA6249" s="462"/>
      <c r="CB6249" s="319"/>
      <c r="CC6249" s="319"/>
      <c r="CD6249" s="319"/>
      <c r="CE6249" s="319"/>
      <c r="CF6249" s="319"/>
      <c r="CG6249" s="319"/>
      <c r="CH6249" s="318"/>
      <c r="CI6249" s="319"/>
      <c r="CJ6249" s="319"/>
      <c r="CK6249" s="342"/>
      <c r="CL6249" s="333"/>
      <c r="CM6249" s="1079"/>
      <c r="CN6249" s="1005"/>
      <c r="CO6249" s="1005"/>
      <c r="CP6249" s="1005"/>
    </row>
    <row r="6250">
      <c r="A6250" s="1257"/>
      <c r="B6250" s="1113"/>
      <c r="C6250" s="1107"/>
      <c r="D6250" s="103"/>
      <c r="E6250" s="1137"/>
      <c r="F6250" s="112"/>
      <c r="G6250" s="1110"/>
      <c r="H6250" s="1138"/>
      <c r="I6250" s="1138"/>
      <c r="J6250" s="1139"/>
      <c r="K6250" s="1111"/>
      <c r="L6250" s="1112"/>
      <c r="M6250" s="1113"/>
      <c r="N6250" s="110"/>
      <c r="O6250" s="1140"/>
      <c r="P6250" s="1115"/>
      <c r="Q6250" s="1116"/>
      <c r="R6250" s="1141"/>
      <c r="S6250" s="1113"/>
      <c r="T6250" s="1143"/>
      <c r="U6250" s="1108"/>
      <c r="V6250" s="1108"/>
      <c r="W6250" s="1108"/>
      <c r="X6250" s="1108"/>
      <c r="Y6250" s="1108"/>
      <c r="Z6250" s="1114"/>
      <c r="AA6250" s="1114"/>
      <c r="AB6250" s="1114"/>
      <c r="AC6250" s="1117"/>
      <c r="AD6250" s="1115"/>
      <c r="AE6250" s="1115"/>
      <c r="AF6250" s="1115"/>
      <c r="AG6250" s="1115"/>
      <c r="AH6250" s="1115"/>
      <c r="AI6250" s="1115"/>
      <c r="AJ6250" s="1117"/>
      <c r="AK6250" s="1118"/>
      <c r="AL6250" s="1115"/>
      <c r="AM6250" s="1115"/>
      <c r="AN6250" s="1115"/>
      <c r="AO6250" s="1115"/>
      <c r="AP6250" s="1115"/>
      <c r="AQ6250" s="1115"/>
      <c r="AR6250" s="1115"/>
      <c r="AS6250" s="1117"/>
      <c r="AT6250" s="1075"/>
      <c r="AU6250" s="1193"/>
      <c r="AV6250" s="330"/>
      <c r="AW6250" s="331"/>
      <c r="AX6250" s="331"/>
      <c r="AY6250" s="331"/>
      <c r="AZ6250" s="331"/>
      <c r="BA6250" s="331"/>
      <c r="BB6250" s="331"/>
      <c r="BC6250" s="331"/>
      <c r="BD6250" s="331"/>
      <c r="BE6250" s="333"/>
      <c r="BF6250" s="330"/>
      <c r="BG6250" s="333"/>
      <c r="BH6250" s="1119"/>
      <c r="BI6250" s="319"/>
      <c r="BJ6250" s="319"/>
      <c r="BK6250" s="319"/>
      <c r="BL6250" s="319"/>
      <c r="BM6250" s="319"/>
      <c r="BN6250" s="319"/>
      <c r="BO6250" s="319"/>
      <c r="BP6250" s="953"/>
      <c r="BQ6250" s="319"/>
      <c r="BR6250" s="319"/>
      <c r="BS6250" s="330"/>
      <c r="BT6250" s="331"/>
      <c r="BU6250" s="920"/>
      <c r="BV6250" s="903"/>
      <c r="BW6250" s="908"/>
      <c r="BX6250" s="908"/>
      <c r="BY6250" s="331"/>
      <c r="BZ6250" s="331"/>
      <c r="CA6250" s="462"/>
      <c r="CB6250" s="319"/>
      <c r="CC6250" s="319"/>
      <c r="CD6250" s="319"/>
      <c r="CE6250" s="319"/>
      <c r="CF6250" s="319"/>
      <c r="CG6250" s="319"/>
      <c r="CH6250" s="318"/>
      <c r="CI6250" s="319"/>
      <c r="CJ6250" s="319"/>
      <c r="CK6250" s="342"/>
      <c r="CL6250" s="333"/>
      <c r="CM6250" s="1079"/>
      <c r="CN6250" s="1005"/>
      <c r="CO6250" s="1005"/>
      <c r="CP6250" s="1005"/>
    </row>
    <row r="6251">
      <c r="A6251" s="1257"/>
      <c r="B6251" s="1113"/>
      <c r="C6251" s="1107"/>
      <c r="D6251" s="103"/>
      <c r="E6251" s="1137"/>
      <c r="F6251" s="112"/>
      <c r="G6251" s="1110"/>
      <c r="H6251" s="1138"/>
      <c r="I6251" s="1138"/>
      <c r="J6251" s="1139"/>
      <c r="K6251" s="1111"/>
      <c r="L6251" s="1112"/>
      <c r="M6251" s="1113"/>
      <c r="N6251" s="110"/>
      <c r="O6251" s="1140"/>
      <c r="P6251" s="1115"/>
      <c r="Q6251" s="1116"/>
      <c r="R6251" s="1141"/>
      <c r="S6251" s="1113"/>
      <c r="T6251" s="1143"/>
      <c r="U6251" s="1108"/>
      <c r="V6251" s="1108"/>
      <c r="W6251" s="1108"/>
      <c r="X6251" s="1108"/>
      <c r="Y6251" s="1108"/>
      <c r="Z6251" s="1114"/>
      <c r="AA6251" s="1114"/>
      <c r="AB6251" s="1114"/>
      <c r="AC6251" s="1117"/>
      <c r="AD6251" s="1115"/>
      <c r="AE6251" s="1115"/>
      <c r="AF6251" s="1115"/>
      <c r="AG6251" s="1115"/>
      <c r="AH6251" s="1115"/>
      <c r="AI6251" s="1115"/>
      <c r="AJ6251" s="1117"/>
      <c r="AK6251" s="1118"/>
      <c r="AL6251" s="1115"/>
      <c r="AM6251" s="1115"/>
      <c r="AN6251" s="1115"/>
      <c r="AO6251" s="1115"/>
      <c r="AP6251" s="1115"/>
      <c r="AQ6251" s="1115"/>
      <c r="AR6251" s="1115"/>
      <c r="AS6251" s="1117"/>
      <c r="AT6251" s="1075"/>
      <c r="AU6251" s="1193"/>
      <c r="AV6251" s="330"/>
      <c r="AW6251" s="331"/>
      <c r="AX6251" s="331"/>
      <c r="AY6251" s="331"/>
      <c r="AZ6251" s="331"/>
      <c r="BA6251" s="331"/>
      <c r="BB6251" s="331"/>
      <c r="BC6251" s="331"/>
      <c r="BD6251" s="331"/>
      <c r="BE6251" s="333"/>
      <c r="BF6251" s="330"/>
      <c r="BG6251" s="333"/>
      <c r="BH6251" s="1119"/>
      <c r="BI6251" s="319"/>
      <c r="BJ6251" s="319"/>
      <c r="BK6251" s="319"/>
      <c r="BL6251" s="319"/>
      <c r="BM6251" s="319"/>
      <c r="BN6251" s="319"/>
      <c r="BO6251" s="319"/>
      <c r="BP6251" s="953"/>
      <c r="BQ6251" s="319"/>
      <c r="BR6251" s="319"/>
      <c r="BS6251" s="330"/>
      <c r="BT6251" s="331"/>
      <c r="BU6251" s="920"/>
      <c r="BV6251" s="903"/>
      <c r="BW6251" s="908"/>
      <c r="BX6251" s="908"/>
      <c r="BY6251" s="331"/>
      <c r="BZ6251" s="331"/>
      <c r="CA6251" s="462"/>
      <c r="CB6251" s="319"/>
      <c r="CC6251" s="319"/>
      <c r="CD6251" s="319"/>
      <c r="CE6251" s="319"/>
      <c r="CF6251" s="319"/>
      <c r="CG6251" s="319"/>
      <c r="CH6251" s="318"/>
      <c r="CI6251" s="319"/>
      <c r="CJ6251" s="319"/>
      <c r="CK6251" s="342"/>
      <c r="CL6251" s="333"/>
      <c r="CM6251" s="1079"/>
      <c r="CN6251" s="1005"/>
      <c r="CO6251" s="1005"/>
      <c r="CP6251" s="1005"/>
    </row>
    <row r="6252">
      <c r="A6252" s="1257"/>
      <c r="B6252" s="1113"/>
      <c r="C6252" s="1107"/>
      <c r="D6252" s="103"/>
      <c r="E6252" s="1137"/>
      <c r="F6252" s="112"/>
      <c r="G6252" s="1110"/>
      <c r="H6252" s="1138"/>
      <c r="I6252" s="1138"/>
      <c r="J6252" s="1139"/>
      <c r="K6252" s="1111"/>
      <c r="L6252" s="1112"/>
      <c r="M6252" s="1113"/>
      <c r="N6252" s="110"/>
      <c r="O6252" s="1140"/>
      <c r="P6252" s="1115"/>
      <c r="Q6252" s="1116"/>
      <c r="R6252" s="1141"/>
      <c r="S6252" s="1113"/>
      <c r="T6252" s="1143"/>
      <c r="U6252" s="1108"/>
      <c r="V6252" s="1108"/>
      <c r="W6252" s="1108"/>
      <c r="X6252" s="1108"/>
      <c r="Y6252" s="1108"/>
      <c r="Z6252" s="1114"/>
      <c r="AA6252" s="1114"/>
      <c r="AB6252" s="1114"/>
      <c r="AC6252" s="1117"/>
      <c r="AD6252" s="1115"/>
      <c r="AE6252" s="1115"/>
      <c r="AF6252" s="1115"/>
      <c r="AG6252" s="1115"/>
      <c r="AH6252" s="1115"/>
      <c r="AI6252" s="1115"/>
      <c r="AJ6252" s="1117"/>
      <c r="AK6252" s="1118"/>
      <c r="AL6252" s="1115"/>
      <c r="AM6252" s="1115"/>
      <c r="AN6252" s="1115"/>
      <c r="AO6252" s="1115"/>
      <c r="AP6252" s="1115"/>
      <c r="AQ6252" s="1115"/>
      <c r="AR6252" s="1115"/>
      <c r="AS6252" s="1117"/>
      <c r="AT6252" s="1075"/>
      <c r="AU6252" s="1193"/>
      <c r="AV6252" s="330"/>
      <c r="AW6252" s="331"/>
      <c r="AX6252" s="331"/>
      <c r="AY6252" s="331"/>
      <c r="AZ6252" s="331"/>
      <c r="BA6252" s="331"/>
      <c r="BB6252" s="331"/>
      <c r="BC6252" s="331"/>
      <c r="BD6252" s="331"/>
      <c r="BE6252" s="333"/>
      <c r="BF6252" s="330"/>
      <c r="BG6252" s="333"/>
      <c r="BH6252" s="1119"/>
      <c r="BI6252" s="319"/>
      <c r="BJ6252" s="319"/>
      <c r="BK6252" s="319"/>
      <c r="BL6252" s="319"/>
      <c r="BM6252" s="319"/>
      <c r="BN6252" s="319"/>
      <c r="BO6252" s="319"/>
      <c r="BP6252" s="953"/>
      <c r="BQ6252" s="319"/>
      <c r="BR6252" s="319"/>
      <c r="BS6252" s="330"/>
      <c r="BT6252" s="331"/>
      <c r="BU6252" s="920"/>
      <c r="BV6252" s="903"/>
      <c r="BW6252" s="908"/>
      <c r="BX6252" s="908"/>
      <c r="BY6252" s="331"/>
      <c r="BZ6252" s="331"/>
      <c r="CA6252" s="462"/>
      <c r="CB6252" s="319"/>
      <c r="CC6252" s="319"/>
      <c r="CD6252" s="319"/>
      <c r="CE6252" s="319"/>
      <c r="CF6252" s="319"/>
      <c r="CG6252" s="319"/>
      <c r="CH6252" s="318"/>
      <c r="CI6252" s="319"/>
      <c r="CJ6252" s="319"/>
      <c r="CK6252" s="342"/>
      <c r="CL6252" s="333"/>
      <c r="CM6252" s="1079"/>
      <c r="CN6252" s="1005"/>
      <c r="CO6252" s="1005"/>
      <c r="CP6252" s="1005"/>
    </row>
    <row r="6253">
      <c r="A6253" s="1257"/>
      <c r="B6253" s="1113"/>
      <c r="C6253" s="1107"/>
      <c r="D6253" s="103"/>
      <c r="E6253" s="1137"/>
      <c r="F6253" s="112"/>
      <c r="G6253" s="1110"/>
      <c r="H6253" s="1138"/>
      <c r="I6253" s="1138"/>
      <c r="J6253" s="1139"/>
      <c r="K6253" s="1111"/>
      <c r="L6253" s="1112"/>
      <c r="M6253" s="1113"/>
      <c r="N6253" s="110"/>
      <c r="O6253" s="1140"/>
      <c r="P6253" s="1115"/>
      <c r="Q6253" s="1116"/>
      <c r="R6253" s="1141"/>
      <c r="S6253" s="1113"/>
      <c r="T6253" s="1143"/>
      <c r="U6253" s="1108"/>
      <c r="V6253" s="1108"/>
      <c r="W6253" s="1108"/>
      <c r="X6253" s="1108"/>
      <c r="Y6253" s="1108"/>
      <c r="Z6253" s="1114"/>
      <c r="AA6253" s="1114"/>
      <c r="AB6253" s="1114"/>
      <c r="AC6253" s="1117"/>
      <c r="AD6253" s="1115"/>
      <c r="AE6253" s="1115"/>
      <c r="AF6253" s="1115"/>
      <c r="AG6253" s="1115"/>
      <c r="AH6253" s="1115"/>
      <c r="AI6253" s="1115"/>
      <c r="AJ6253" s="1117"/>
      <c r="AK6253" s="1118"/>
      <c r="AL6253" s="1115"/>
      <c r="AM6253" s="1115"/>
      <c r="AN6253" s="1115"/>
      <c r="AO6253" s="1115"/>
      <c r="AP6253" s="1115"/>
      <c r="AQ6253" s="1115"/>
      <c r="AR6253" s="1115"/>
      <c r="AS6253" s="1117"/>
      <c r="AT6253" s="1075"/>
      <c r="AU6253" s="1193"/>
      <c r="AV6253" s="330"/>
      <c r="AW6253" s="331"/>
      <c r="AX6253" s="331"/>
      <c r="AY6253" s="331"/>
      <c r="AZ6253" s="331"/>
      <c r="BA6253" s="331"/>
      <c r="BB6253" s="331"/>
      <c r="BC6253" s="331"/>
      <c r="BD6253" s="331"/>
      <c r="BE6253" s="333"/>
      <c r="BF6253" s="330"/>
      <c r="BG6253" s="333"/>
      <c r="BH6253" s="1119"/>
      <c r="BI6253" s="319"/>
      <c r="BJ6253" s="319"/>
      <c r="BK6253" s="319"/>
      <c r="BL6253" s="319"/>
      <c r="BM6253" s="319"/>
      <c r="BN6253" s="319"/>
      <c r="BO6253" s="319"/>
      <c r="BP6253" s="953"/>
      <c r="BQ6253" s="319"/>
      <c r="BR6253" s="319"/>
      <c r="BS6253" s="330"/>
      <c r="BT6253" s="331"/>
      <c r="BU6253" s="920"/>
      <c r="BV6253" s="903"/>
      <c r="BW6253" s="908"/>
      <c r="BX6253" s="908"/>
      <c r="BY6253" s="331"/>
      <c r="BZ6253" s="331"/>
      <c r="CA6253" s="462"/>
      <c r="CB6253" s="319"/>
      <c r="CC6253" s="319"/>
      <c r="CD6253" s="319"/>
      <c r="CE6253" s="319"/>
      <c r="CF6253" s="319"/>
      <c r="CG6253" s="319"/>
      <c r="CH6253" s="318"/>
      <c r="CI6253" s="319"/>
      <c r="CJ6253" s="319"/>
      <c r="CK6253" s="342"/>
      <c r="CL6253" s="333"/>
      <c r="CM6253" s="1079"/>
      <c r="CN6253" s="1005"/>
      <c r="CO6253" s="1005"/>
      <c r="CP6253" s="1005"/>
    </row>
    <row r="6254">
      <c r="A6254" s="1257"/>
      <c r="B6254" s="1113"/>
      <c r="C6254" s="1107"/>
      <c r="D6254" s="103"/>
      <c r="E6254" s="1137"/>
      <c r="F6254" s="112"/>
      <c r="G6254" s="1110"/>
      <c r="H6254" s="1138"/>
      <c r="I6254" s="1138"/>
      <c r="J6254" s="1139"/>
      <c r="K6254" s="1111"/>
      <c r="L6254" s="1112"/>
      <c r="M6254" s="1113"/>
      <c r="N6254" s="110"/>
      <c r="O6254" s="1140"/>
      <c r="P6254" s="1115"/>
      <c r="Q6254" s="1116"/>
      <c r="R6254" s="1141"/>
      <c r="S6254" s="1113"/>
      <c r="T6254" s="1143"/>
      <c r="U6254" s="1108"/>
      <c r="V6254" s="1108"/>
      <c r="W6254" s="1108"/>
      <c r="X6254" s="1108"/>
      <c r="Y6254" s="1108"/>
      <c r="Z6254" s="1114"/>
      <c r="AA6254" s="1114"/>
      <c r="AB6254" s="1114"/>
      <c r="AC6254" s="1117"/>
      <c r="AD6254" s="1115"/>
      <c r="AE6254" s="1115"/>
      <c r="AF6254" s="1115"/>
      <c r="AG6254" s="1115"/>
      <c r="AH6254" s="1115"/>
      <c r="AI6254" s="1115"/>
      <c r="AJ6254" s="1117"/>
      <c r="AK6254" s="1118"/>
      <c r="AL6254" s="1115"/>
      <c r="AM6254" s="1115"/>
      <c r="AN6254" s="1115"/>
      <c r="AO6254" s="1115"/>
      <c r="AP6254" s="1115"/>
      <c r="AQ6254" s="1115"/>
      <c r="AR6254" s="1115"/>
      <c r="AS6254" s="1117"/>
      <c r="AT6254" s="1075"/>
      <c r="AU6254" s="1193"/>
      <c r="AV6254" s="330"/>
      <c r="AW6254" s="331"/>
      <c r="AX6254" s="331"/>
      <c r="AY6254" s="331"/>
      <c r="AZ6254" s="331"/>
      <c r="BA6254" s="331"/>
      <c r="BB6254" s="331"/>
      <c r="BC6254" s="331"/>
      <c r="BD6254" s="331"/>
      <c r="BE6254" s="333"/>
      <c r="BF6254" s="330"/>
      <c r="BG6254" s="333"/>
      <c r="BH6254" s="1119"/>
      <c r="BI6254" s="319"/>
      <c r="BJ6254" s="319"/>
      <c r="BK6254" s="319"/>
      <c r="BL6254" s="319"/>
      <c r="BM6254" s="319"/>
      <c r="BN6254" s="319"/>
      <c r="BO6254" s="319"/>
      <c r="BP6254" s="953"/>
      <c r="BQ6254" s="319"/>
      <c r="BR6254" s="319"/>
      <c r="BS6254" s="330"/>
      <c r="BT6254" s="331"/>
      <c r="BU6254" s="920"/>
      <c r="BV6254" s="903"/>
      <c r="BW6254" s="908"/>
      <c r="BX6254" s="908"/>
      <c r="BY6254" s="331"/>
      <c r="BZ6254" s="331"/>
      <c r="CA6254" s="462"/>
      <c r="CB6254" s="319"/>
      <c r="CC6254" s="319"/>
      <c r="CD6254" s="319"/>
      <c r="CE6254" s="319"/>
      <c r="CF6254" s="319"/>
      <c r="CG6254" s="319"/>
      <c r="CH6254" s="318"/>
      <c r="CI6254" s="319"/>
      <c r="CJ6254" s="319"/>
      <c r="CK6254" s="342"/>
      <c r="CL6254" s="333"/>
      <c r="CM6254" s="1079"/>
      <c r="CN6254" s="1005"/>
      <c r="CO6254" s="1005"/>
      <c r="CP6254" s="1005"/>
    </row>
    <row r="6255">
      <c r="A6255" s="1257"/>
      <c r="B6255" s="1113"/>
      <c r="C6255" s="1107"/>
      <c r="D6255" s="103"/>
      <c r="E6255" s="1137"/>
      <c r="F6255" s="112"/>
      <c r="G6255" s="1110"/>
      <c r="H6255" s="1138"/>
      <c r="I6255" s="1138"/>
      <c r="J6255" s="1139"/>
      <c r="K6255" s="1111"/>
      <c r="L6255" s="1112"/>
      <c r="M6255" s="1113"/>
      <c r="N6255" s="110"/>
      <c r="O6255" s="1140"/>
      <c r="P6255" s="1115"/>
      <c r="Q6255" s="1116"/>
      <c r="R6255" s="1141"/>
      <c r="S6255" s="1113"/>
      <c r="T6255" s="1143"/>
      <c r="U6255" s="1108"/>
      <c r="V6255" s="1108"/>
      <c r="W6255" s="1108"/>
      <c r="X6255" s="1108"/>
      <c r="Y6255" s="1108"/>
      <c r="Z6255" s="1114"/>
      <c r="AA6255" s="1114"/>
      <c r="AB6255" s="1114"/>
      <c r="AC6255" s="1117"/>
      <c r="AD6255" s="1115"/>
      <c r="AE6255" s="1115"/>
      <c r="AF6255" s="1115"/>
      <c r="AG6255" s="1115"/>
      <c r="AH6255" s="1115"/>
      <c r="AI6255" s="1115"/>
      <c r="AJ6255" s="1117"/>
      <c r="AK6255" s="1118"/>
      <c r="AL6255" s="1115"/>
      <c r="AM6255" s="1115"/>
      <c r="AN6255" s="1115"/>
      <c r="AO6255" s="1115"/>
      <c r="AP6255" s="1115"/>
      <c r="AQ6255" s="1115"/>
      <c r="AR6255" s="1115"/>
      <c r="AS6255" s="1117"/>
      <c r="AT6255" s="1075"/>
      <c r="AU6255" s="1193"/>
      <c r="AV6255" s="330"/>
      <c r="AW6255" s="331"/>
      <c r="AX6255" s="331"/>
      <c r="AY6255" s="331"/>
      <c r="AZ6255" s="331"/>
      <c r="BA6255" s="331"/>
      <c r="BB6255" s="331"/>
      <c r="BC6255" s="331"/>
      <c r="BD6255" s="331"/>
      <c r="BE6255" s="333"/>
      <c r="BF6255" s="330"/>
      <c r="BG6255" s="333"/>
      <c r="BH6255" s="1119"/>
      <c r="BI6255" s="319"/>
      <c r="BJ6255" s="319"/>
      <c r="BK6255" s="319"/>
      <c r="BL6255" s="319"/>
      <c r="BM6255" s="319"/>
      <c r="BN6255" s="319"/>
      <c r="BO6255" s="319"/>
      <c r="BP6255" s="953"/>
      <c r="BQ6255" s="319"/>
      <c r="BR6255" s="319"/>
      <c r="BS6255" s="330"/>
      <c r="BT6255" s="331"/>
      <c r="BU6255" s="920"/>
      <c r="BV6255" s="903"/>
      <c r="BW6255" s="908"/>
      <c r="BX6255" s="908"/>
      <c r="BY6255" s="331"/>
      <c r="BZ6255" s="331"/>
      <c r="CA6255" s="462"/>
      <c r="CB6255" s="319"/>
      <c r="CC6255" s="319"/>
      <c r="CD6255" s="319"/>
      <c r="CE6255" s="319"/>
      <c r="CF6255" s="319"/>
      <c r="CG6255" s="319"/>
      <c r="CH6255" s="318"/>
      <c r="CI6255" s="319"/>
      <c r="CJ6255" s="319"/>
      <c r="CK6255" s="342"/>
      <c r="CL6255" s="333"/>
      <c r="CM6255" s="1079"/>
      <c r="CN6255" s="1005"/>
      <c r="CO6255" s="1005"/>
      <c r="CP6255" s="1005"/>
    </row>
    <row r="6256">
      <c r="A6256" s="1257"/>
      <c r="B6256" s="1113"/>
      <c r="C6256" s="1107"/>
      <c r="D6256" s="103"/>
      <c r="E6256" s="1137"/>
      <c r="F6256" s="112"/>
      <c r="G6256" s="1110"/>
      <c r="H6256" s="1138"/>
      <c r="I6256" s="1138"/>
      <c r="J6256" s="1139"/>
      <c r="K6256" s="1111"/>
      <c r="L6256" s="1112"/>
      <c r="M6256" s="1113"/>
      <c r="N6256" s="110"/>
      <c r="O6256" s="1140"/>
      <c r="P6256" s="1115"/>
      <c r="Q6256" s="1116"/>
      <c r="R6256" s="1141"/>
      <c r="S6256" s="1113"/>
      <c r="T6256" s="1143"/>
      <c r="U6256" s="1108"/>
      <c r="V6256" s="1108"/>
      <c r="W6256" s="1108"/>
      <c r="X6256" s="1108"/>
      <c r="Y6256" s="1108"/>
      <c r="Z6256" s="1114"/>
      <c r="AA6256" s="1114"/>
      <c r="AB6256" s="1114"/>
      <c r="AC6256" s="1117"/>
      <c r="AD6256" s="1115"/>
      <c r="AE6256" s="1115"/>
      <c r="AF6256" s="1115"/>
      <c r="AG6256" s="1115"/>
      <c r="AH6256" s="1115"/>
      <c r="AI6256" s="1115"/>
      <c r="AJ6256" s="1117"/>
      <c r="AK6256" s="1118"/>
      <c r="AL6256" s="1115"/>
      <c r="AM6256" s="1115"/>
      <c r="AN6256" s="1115"/>
      <c r="AO6256" s="1115"/>
      <c r="AP6256" s="1115"/>
      <c r="AQ6256" s="1115"/>
      <c r="AR6256" s="1115"/>
      <c r="AS6256" s="1117"/>
      <c r="AT6256" s="1075"/>
      <c r="AU6256" s="1193"/>
      <c r="AV6256" s="330"/>
      <c r="AW6256" s="331"/>
      <c r="AX6256" s="331"/>
      <c r="AY6256" s="331"/>
      <c r="AZ6256" s="331"/>
      <c r="BA6256" s="331"/>
      <c r="BB6256" s="331"/>
      <c r="BC6256" s="331"/>
      <c r="BD6256" s="331"/>
      <c r="BE6256" s="333"/>
      <c r="BF6256" s="330"/>
      <c r="BG6256" s="333"/>
      <c r="BH6256" s="1119"/>
      <c r="BI6256" s="319"/>
      <c r="BJ6256" s="319"/>
      <c r="BK6256" s="319"/>
      <c r="BL6256" s="319"/>
      <c r="BM6256" s="319"/>
      <c r="BN6256" s="319"/>
      <c r="BO6256" s="319"/>
      <c r="BP6256" s="953"/>
      <c r="BQ6256" s="319"/>
      <c r="BR6256" s="319"/>
      <c r="BS6256" s="330"/>
      <c r="BT6256" s="331"/>
      <c r="BU6256" s="920"/>
      <c r="BV6256" s="903"/>
      <c r="BW6256" s="908"/>
      <c r="BX6256" s="908"/>
      <c r="BY6256" s="331"/>
      <c r="BZ6256" s="331"/>
      <c r="CA6256" s="462"/>
      <c r="CB6256" s="319"/>
      <c r="CC6256" s="319"/>
      <c r="CD6256" s="319"/>
      <c r="CE6256" s="319"/>
      <c r="CF6256" s="319"/>
      <c r="CG6256" s="319"/>
      <c r="CH6256" s="318"/>
      <c r="CI6256" s="319"/>
      <c r="CJ6256" s="319"/>
      <c r="CK6256" s="342"/>
      <c r="CL6256" s="333"/>
      <c r="CM6256" s="1079"/>
      <c r="CN6256" s="1005"/>
      <c r="CO6256" s="1005"/>
      <c r="CP6256" s="1005"/>
    </row>
    <row r="6257">
      <c r="A6257" s="1257"/>
      <c r="B6257" s="1113"/>
      <c r="C6257" s="1107"/>
      <c r="D6257" s="103"/>
      <c r="E6257" s="1137"/>
      <c r="F6257" s="112"/>
      <c r="G6257" s="1110"/>
      <c r="H6257" s="1138"/>
      <c r="I6257" s="1138"/>
      <c r="J6257" s="1139"/>
      <c r="K6257" s="1111"/>
      <c r="L6257" s="1112"/>
      <c r="M6257" s="1113"/>
      <c r="N6257" s="110"/>
      <c r="O6257" s="1140"/>
      <c r="P6257" s="1115"/>
      <c r="Q6257" s="1116"/>
      <c r="R6257" s="1141"/>
      <c r="S6257" s="1113"/>
      <c r="T6257" s="1143"/>
      <c r="U6257" s="1108"/>
      <c r="V6257" s="1108"/>
      <c r="W6257" s="1108"/>
      <c r="X6257" s="1108"/>
      <c r="Y6257" s="1108"/>
      <c r="Z6257" s="1114"/>
      <c r="AA6257" s="1114"/>
      <c r="AB6257" s="1114"/>
      <c r="AC6257" s="1117"/>
      <c r="AD6257" s="1115"/>
      <c r="AE6257" s="1115"/>
      <c r="AF6257" s="1115"/>
      <c r="AG6257" s="1115"/>
      <c r="AH6257" s="1115"/>
      <c r="AI6257" s="1115"/>
      <c r="AJ6257" s="1117"/>
      <c r="AK6257" s="1118"/>
      <c r="AL6257" s="1115"/>
      <c r="AM6257" s="1115"/>
      <c r="AN6257" s="1115"/>
      <c r="AO6257" s="1115"/>
      <c r="AP6257" s="1115"/>
      <c r="AQ6257" s="1115"/>
      <c r="AR6257" s="1115"/>
      <c r="AS6257" s="1117"/>
      <c r="AT6257" s="1075"/>
      <c r="AU6257" s="1193"/>
      <c r="AV6257" s="330"/>
      <c r="AW6257" s="331"/>
      <c r="AX6257" s="331"/>
      <c r="AY6257" s="331"/>
      <c r="AZ6257" s="331"/>
      <c r="BA6257" s="331"/>
      <c r="BB6257" s="331"/>
      <c r="BC6257" s="331"/>
      <c r="BD6257" s="331"/>
      <c r="BE6257" s="333"/>
      <c r="BF6257" s="330"/>
      <c r="BG6257" s="333"/>
      <c r="BH6257" s="1119"/>
      <c r="BI6257" s="319"/>
      <c r="BJ6257" s="319"/>
      <c r="BK6257" s="319"/>
      <c r="BL6257" s="319"/>
      <c r="BM6257" s="319"/>
      <c r="BN6257" s="319"/>
      <c r="BO6257" s="319"/>
      <c r="BP6257" s="953"/>
      <c r="BQ6257" s="319"/>
      <c r="BR6257" s="319"/>
      <c r="BS6257" s="330"/>
      <c r="BT6257" s="331"/>
      <c r="BU6257" s="920"/>
      <c r="BV6257" s="903"/>
      <c r="BW6257" s="908"/>
      <c r="BX6257" s="908"/>
      <c r="BY6257" s="331"/>
      <c r="BZ6257" s="331"/>
      <c r="CA6257" s="462"/>
      <c r="CB6257" s="319"/>
      <c r="CC6257" s="319"/>
      <c r="CD6257" s="319"/>
      <c r="CE6257" s="319"/>
      <c r="CF6257" s="319"/>
      <c r="CG6257" s="319"/>
      <c r="CH6257" s="318"/>
      <c r="CI6257" s="319"/>
      <c r="CJ6257" s="319"/>
      <c r="CK6257" s="342"/>
      <c r="CL6257" s="333"/>
      <c r="CM6257" s="1079"/>
      <c r="CN6257" s="1005"/>
      <c r="CO6257" s="1005"/>
      <c r="CP6257" s="1005"/>
    </row>
    <row r="6258">
      <c r="A6258" s="1257"/>
      <c r="B6258" s="1113"/>
      <c r="C6258" s="1107"/>
      <c r="D6258" s="103"/>
      <c r="E6258" s="1137"/>
      <c r="F6258" s="112"/>
      <c r="G6258" s="1110"/>
      <c r="H6258" s="1138"/>
      <c r="I6258" s="1138"/>
      <c r="J6258" s="1139"/>
      <c r="K6258" s="1111"/>
      <c r="L6258" s="1112"/>
      <c r="M6258" s="1113"/>
      <c r="N6258" s="110"/>
      <c r="O6258" s="1140"/>
      <c r="P6258" s="1115"/>
      <c r="Q6258" s="1116"/>
      <c r="R6258" s="1141"/>
      <c r="S6258" s="1113"/>
      <c r="T6258" s="1143"/>
      <c r="U6258" s="1108"/>
      <c r="V6258" s="1108"/>
      <c r="W6258" s="1108"/>
      <c r="X6258" s="1108"/>
      <c r="Y6258" s="1108"/>
      <c r="Z6258" s="1114"/>
      <c r="AA6258" s="1114"/>
      <c r="AB6258" s="1114"/>
      <c r="AC6258" s="1117"/>
      <c r="AD6258" s="1115"/>
      <c r="AE6258" s="1115"/>
      <c r="AF6258" s="1115"/>
      <c r="AG6258" s="1115"/>
      <c r="AH6258" s="1115"/>
      <c r="AI6258" s="1115"/>
      <c r="AJ6258" s="1117"/>
      <c r="AK6258" s="1118"/>
      <c r="AL6258" s="1115"/>
      <c r="AM6258" s="1115"/>
      <c r="AN6258" s="1115"/>
      <c r="AO6258" s="1115"/>
      <c r="AP6258" s="1115"/>
      <c r="AQ6258" s="1115"/>
      <c r="AR6258" s="1115"/>
      <c r="AS6258" s="1117"/>
      <c r="AT6258" s="1075"/>
      <c r="AU6258" s="1193"/>
      <c r="AV6258" s="330"/>
      <c r="AW6258" s="331"/>
      <c r="AX6258" s="331"/>
      <c r="AY6258" s="331"/>
      <c r="AZ6258" s="331"/>
      <c r="BA6258" s="331"/>
      <c r="BB6258" s="331"/>
      <c r="BC6258" s="331"/>
      <c r="BD6258" s="331"/>
      <c r="BE6258" s="333"/>
      <c r="BF6258" s="330"/>
      <c r="BG6258" s="333"/>
      <c r="BH6258" s="1119"/>
      <c r="BI6258" s="319"/>
      <c r="BJ6258" s="319"/>
      <c r="BK6258" s="319"/>
      <c r="BL6258" s="319"/>
      <c r="BM6258" s="319"/>
      <c r="BN6258" s="319"/>
      <c r="BO6258" s="319"/>
      <c r="BP6258" s="953"/>
      <c r="BQ6258" s="319"/>
      <c r="BR6258" s="319"/>
      <c r="BS6258" s="330"/>
      <c r="BT6258" s="331"/>
      <c r="BU6258" s="920"/>
      <c r="BV6258" s="903"/>
      <c r="BW6258" s="908"/>
      <c r="BX6258" s="908"/>
      <c r="BY6258" s="331"/>
      <c r="BZ6258" s="331"/>
      <c r="CA6258" s="462"/>
      <c r="CB6258" s="319"/>
      <c r="CC6258" s="319"/>
      <c r="CD6258" s="319"/>
      <c r="CE6258" s="319"/>
      <c r="CF6258" s="319"/>
      <c r="CG6258" s="319"/>
      <c r="CH6258" s="318"/>
      <c r="CI6258" s="319"/>
      <c r="CJ6258" s="319"/>
      <c r="CK6258" s="342"/>
      <c r="CL6258" s="333"/>
      <c r="CM6258" s="1079"/>
      <c r="CN6258" s="1005"/>
      <c r="CO6258" s="1005"/>
      <c r="CP6258" s="1005"/>
    </row>
    <row r="6259">
      <c r="A6259" s="1257"/>
      <c r="B6259" s="1113"/>
      <c r="C6259" s="1107"/>
      <c r="D6259" s="103"/>
      <c r="E6259" s="1137"/>
      <c r="F6259" s="112"/>
      <c r="G6259" s="1110"/>
      <c r="H6259" s="1138"/>
      <c r="I6259" s="1138"/>
      <c r="J6259" s="1139"/>
      <c r="K6259" s="1111"/>
      <c r="L6259" s="1112"/>
      <c r="M6259" s="1113"/>
      <c r="N6259" s="110"/>
      <c r="O6259" s="1140"/>
      <c r="P6259" s="1115"/>
      <c r="Q6259" s="1116"/>
      <c r="R6259" s="1141"/>
      <c r="S6259" s="1113"/>
      <c r="T6259" s="1143"/>
      <c r="U6259" s="1108"/>
      <c r="V6259" s="1108"/>
      <c r="W6259" s="1108"/>
      <c r="X6259" s="1108"/>
      <c r="Y6259" s="1108"/>
      <c r="Z6259" s="1114"/>
      <c r="AA6259" s="1114"/>
      <c r="AB6259" s="1114"/>
      <c r="AC6259" s="1117"/>
      <c r="AD6259" s="1115"/>
      <c r="AE6259" s="1115"/>
      <c r="AF6259" s="1115"/>
      <c r="AG6259" s="1115"/>
      <c r="AH6259" s="1115"/>
      <c r="AI6259" s="1115"/>
      <c r="AJ6259" s="1117"/>
      <c r="AK6259" s="1118"/>
      <c r="AL6259" s="1115"/>
      <c r="AM6259" s="1115"/>
      <c r="AN6259" s="1115"/>
      <c r="AO6259" s="1115"/>
      <c r="AP6259" s="1115"/>
      <c r="AQ6259" s="1115"/>
      <c r="AR6259" s="1115"/>
      <c r="AS6259" s="1117"/>
      <c r="AT6259" s="1075"/>
      <c r="AU6259" s="1193"/>
      <c r="AV6259" s="330"/>
      <c r="AW6259" s="331"/>
      <c r="AX6259" s="331"/>
      <c r="AY6259" s="331"/>
      <c r="AZ6259" s="331"/>
      <c r="BA6259" s="331"/>
      <c r="BB6259" s="331"/>
      <c r="BC6259" s="331"/>
      <c r="BD6259" s="331"/>
      <c r="BE6259" s="333"/>
      <c r="BF6259" s="330"/>
      <c r="BG6259" s="333"/>
      <c r="BH6259" s="1119"/>
      <c r="BI6259" s="319"/>
      <c r="BJ6259" s="319"/>
      <c r="BK6259" s="319"/>
      <c r="BL6259" s="319"/>
      <c r="BM6259" s="319"/>
      <c r="BN6259" s="319"/>
      <c r="BO6259" s="319"/>
      <c r="BP6259" s="953"/>
      <c r="BQ6259" s="319"/>
      <c r="BR6259" s="319"/>
      <c r="BS6259" s="330"/>
      <c r="BT6259" s="331"/>
      <c r="BU6259" s="920"/>
      <c r="BV6259" s="903"/>
      <c r="BW6259" s="908"/>
      <c r="BX6259" s="908"/>
      <c r="BY6259" s="331"/>
      <c r="BZ6259" s="331"/>
      <c r="CA6259" s="462"/>
      <c r="CB6259" s="319"/>
      <c r="CC6259" s="319"/>
      <c r="CD6259" s="319"/>
      <c r="CE6259" s="319"/>
      <c r="CF6259" s="319"/>
      <c r="CG6259" s="319"/>
      <c r="CH6259" s="318"/>
      <c r="CI6259" s="319"/>
      <c r="CJ6259" s="319"/>
      <c r="CK6259" s="342"/>
      <c r="CL6259" s="333"/>
      <c r="CM6259" s="1079"/>
      <c r="CN6259" s="1005"/>
      <c r="CO6259" s="1005"/>
      <c r="CP6259" s="1005"/>
    </row>
    <row r="6260">
      <c r="A6260" s="1257"/>
      <c r="B6260" s="1113"/>
      <c r="C6260" s="1107"/>
      <c r="D6260" s="103"/>
      <c r="E6260" s="1137"/>
      <c r="F6260" s="112"/>
      <c r="G6260" s="1110"/>
      <c r="H6260" s="1138"/>
      <c r="I6260" s="1138"/>
      <c r="J6260" s="1139"/>
      <c r="K6260" s="1111"/>
      <c r="L6260" s="1112"/>
      <c r="M6260" s="1113"/>
      <c r="N6260" s="110"/>
      <c r="O6260" s="1140"/>
      <c r="P6260" s="1115"/>
      <c r="Q6260" s="1116"/>
      <c r="R6260" s="1141"/>
      <c r="S6260" s="1113"/>
      <c r="T6260" s="1143"/>
      <c r="U6260" s="1108"/>
      <c r="V6260" s="1108"/>
      <c r="W6260" s="1108"/>
      <c r="X6260" s="1108"/>
      <c r="Y6260" s="1108"/>
      <c r="Z6260" s="1114"/>
      <c r="AA6260" s="1114"/>
      <c r="AB6260" s="1114"/>
      <c r="AC6260" s="1117"/>
      <c r="AD6260" s="1115"/>
      <c r="AE6260" s="1115"/>
      <c r="AF6260" s="1115"/>
      <c r="AG6260" s="1115"/>
      <c r="AH6260" s="1115"/>
      <c r="AI6260" s="1115"/>
      <c r="AJ6260" s="1117"/>
      <c r="AK6260" s="1118"/>
      <c r="AL6260" s="1115"/>
      <c r="AM6260" s="1115"/>
      <c r="AN6260" s="1115"/>
      <c r="AO6260" s="1115"/>
      <c r="AP6260" s="1115"/>
      <c r="AQ6260" s="1115"/>
      <c r="AR6260" s="1115"/>
      <c r="AS6260" s="1117"/>
      <c r="AT6260" s="1075"/>
      <c r="AU6260" s="1193"/>
      <c r="AV6260" s="330"/>
      <c r="AW6260" s="331"/>
      <c r="AX6260" s="331"/>
      <c r="AY6260" s="331"/>
      <c r="AZ6260" s="331"/>
      <c r="BA6260" s="331"/>
      <c r="BB6260" s="331"/>
      <c r="BC6260" s="331"/>
      <c r="BD6260" s="331"/>
      <c r="BE6260" s="333"/>
      <c r="BF6260" s="330"/>
      <c r="BG6260" s="333"/>
      <c r="BH6260" s="1119"/>
      <c r="BI6260" s="319"/>
      <c r="BJ6260" s="319"/>
      <c r="BK6260" s="319"/>
      <c r="BL6260" s="319"/>
      <c r="BM6260" s="319"/>
      <c r="BN6260" s="319"/>
      <c r="BO6260" s="319"/>
      <c r="BP6260" s="953"/>
      <c r="BQ6260" s="319"/>
      <c r="BR6260" s="319"/>
      <c r="BS6260" s="330"/>
      <c r="BT6260" s="331"/>
      <c r="BU6260" s="920"/>
      <c r="BV6260" s="903"/>
      <c r="BW6260" s="908"/>
      <c r="BX6260" s="908"/>
      <c r="BY6260" s="331"/>
      <c r="BZ6260" s="331"/>
      <c r="CA6260" s="462"/>
      <c r="CB6260" s="319"/>
      <c r="CC6260" s="319"/>
      <c r="CD6260" s="319"/>
      <c r="CE6260" s="319"/>
      <c r="CF6260" s="319"/>
      <c r="CG6260" s="319"/>
      <c r="CH6260" s="318"/>
      <c r="CI6260" s="319"/>
      <c r="CJ6260" s="319"/>
      <c r="CK6260" s="342"/>
      <c r="CL6260" s="333"/>
      <c r="CM6260" s="1079"/>
      <c r="CN6260" s="1005"/>
      <c r="CO6260" s="1005"/>
      <c r="CP6260" s="1005"/>
    </row>
    <row r="6261">
      <c r="A6261" s="1257"/>
      <c r="B6261" s="1113"/>
      <c r="C6261" s="1107"/>
      <c r="D6261" s="103"/>
      <c r="E6261" s="1137"/>
      <c r="F6261" s="112"/>
      <c r="G6261" s="1110"/>
      <c r="H6261" s="1138"/>
      <c r="I6261" s="1138"/>
      <c r="J6261" s="1139"/>
      <c r="K6261" s="1111"/>
      <c r="L6261" s="1112"/>
      <c r="M6261" s="1113"/>
      <c r="N6261" s="110"/>
      <c r="O6261" s="1140"/>
      <c r="P6261" s="1115"/>
      <c r="Q6261" s="1116"/>
      <c r="R6261" s="1141"/>
      <c r="S6261" s="1113"/>
      <c r="T6261" s="1143"/>
      <c r="U6261" s="1108"/>
      <c r="V6261" s="1108"/>
      <c r="W6261" s="1108"/>
      <c r="X6261" s="1108"/>
      <c r="Y6261" s="1108"/>
      <c r="Z6261" s="1114"/>
      <c r="AA6261" s="1114"/>
      <c r="AB6261" s="1114"/>
      <c r="AC6261" s="1117"/>
      <c r="AD6261" s="1115"/>
      <c r="AE6261" s="1115"/>
      <c r="AF6261" s="1115"/>
      <c r="AG6261" s="1115"/>
      <c r="AH6261" s="1115"/>
      <c r="AI6261" s="1115"/>
      <c r="AJ6261" s="1117"/>
      <c r="AK6261" s="1118"/>
      <c r="AL6261" s="1115"/>
      <c r="AM6261" s="1115"/>
      <c r="AN6261" s="1115"/>
      <c r="AO6261" s="1115"/>
      <c r="AP6261" s="1115"/>
      <c r="AQ6261" s="1115"/>
      <c r="AR6261" s="1115"/>
      <c r="AS6261" s="1117"/>
      <c r="AT6261" s="1075"/>
      <c r="AU6261" s="1193"/>
      <c r="AV6261" s="330"/>
      <c r="AW6261" s="331"/>
      <c r="AX6261" s="331"/>
      <c r="AY6261" s="331"/>
      <c r="AZ6261" s="331"/>
      <c r="BA6261" s="331"/>
      <c r="BB6261" s="331"/>
      <c r="BC6261" s="331"/>
      <c r="BD6261" s="331"/>
      <c r="BE6261" s="333"/>
      <c r="BF6261" s="330"/>
      <c r="BG6261" s="333"/>
      <c r="BH6261" s="1119"/>
      <c r="BI6261" s="319"/>
      <c r="BJ6261" s="319"/>
      <c r="BK6261" s="319"/>
      <c r="BL6261" s="319"/>
      <c r="BM6261" s="319"/>
      <c r="BN6261" s="319"/>
      <c r="BO6261" s="319"/>
      <c r="BP6261" s="953"/>
      <c r="BQ6261" s="319"/>
      <c r="BR6261" s="319"/>
      <c r="BS6261" s="330"/>
      <c r="BT6261" s="331"/>
      <c r="BU6261" s="920"/>
      <c r="BV6261" s="903"/>
      <c r="BW6261" s="908"/>
      <c r="BX6261" s="908"/>
      <c r="BY6261" s="331"/>
      <c r="BZ6261" s="331"/>
      <c r="CA6261" s="462"/>
      <c r="CB6261" s="319"/>
      <c r="CC6261" s="319"/>
      <c r="CD6261" s="319"/>
      <c r="CE6261" s="319"/>
      <c r="CF6261" s="319"/>
      <c r="CG6261" s="319"/>
      <c r="CH6261" s="318"/>
      <c r="CI6261" s="319"/>
      <c r="CJ6261" s="319"/>
      <c r="CK6261" s="342"/>
      <c r="CL6261" s="333"/>
      <c r="CM6261" s="1079"/>
      <c r="CN6261" s="1005"/>
      <c r="CO6261" s="1005"/>
      <c r="CP6261" s="1005"/>
    </row>
    <row r="6262">
      <c r="A6262" s="1257"/>
      <c r="B6262" s="1113"/>
      <c r="C6262" s="1107"/>
      <c r="D6262" s="103"/>
      <c r="E6262" s="1137"/>
      <c r="F6262" s="112"/>
      <c r="G6262" s="1110"/>
      <c r="H6262" s="1138"/>
      <c r="I6262" s="1138"/>
      <c r="J6262" s="1139"/>
      <c r="K6262" s="1111"/>
      <c r="L6262" s="1112"/>
      <c r="M6262" s="1113"/>
      <c r="N6262" s="110"/>
      <c r="O6262" s="1140"/>
      <c r="P6262" s="1115"/>
      <c r="Q6262" s="1116"/>
      <c r="R6262" s="1141"/>
      <c r="S6262" s="1113"/>
      <c r="T6262" s="1143"/>
      <c r="U6262" s="1108"/>
      <c r="V6262" s="1108"/>
      <c r="W6262" s="1108"/>
      <c r="X6262" s="1108"/>
      <c r="Y6262" s="1108"/>
      <c r="Z6262" s="1114"/>
      <c r="AA6262" s="1114"/>
      <c r="AB6262" s="1114"/>
      <c r="AC6262" s="1117"/>
      <c r="AD6262" s="1115"/>
      <c r="AE6262" s="1115"/>
      <c r="AF6262" s="1115"/>
      <c r="AG6262" s="1115"/>
      <c r="AH6262" s="1115"/>
      <c r="AI6262" s="1115"/>
      <c r="AJ6262" s="1117"/>
      <c r="AK6262" s="1118"/>
      <c r="AL6262" s="1115"/>
      <c r="AM6262" s="1115"/>
      <c r="AN6262" s="1115"/>
      <c r="AO6262" s="1115"/>
      <c r="AP6262" s="1115"/>
      <c r="AQ6262" s="1115"/>
      <c r="AR6262" s="1115"/>
      <c r="AS6262" s="1117"/>
      <c r="AT6262" s="1075"/>
      <c r="AU6262" s="1193"/>
      <c r="AV6262" s="330"/>
      <c r="AW6262" s="331"/>
      <c r="AX6262" s="331"/>
      <c r="AY6262" s="331"/>
      <c r="AZ6262" s="331"/>
      <c r="BA6262" s="331"/>
      <c r="BB6262" s="331"/>
      <c r="BC6262" s="331"/>
      <c r="BD6262" s="331"/>
      <c r="BE6262" s="333"/>
      <c r="BF6262" s="330"/>
      <c r="BG6262" s="333"/>
      <c r="BH6262" s="1119"/>
      <c r="BI6262" s="319"/>
      <c r="BJ6262" s="319"/>
      <c r="BK6262" s="319"/>
      <c r="BL6262" s="319"/>
      <c r="BM6262" s="319"/>
      <c r="BN6262" s="319"/>
      <c r="BO6262" s="319"/>
      <c r="BP6262" s="953"/>
      <c r="BQ6262" s="319"/>
      <c r="BR6262" s="319"/>
      <c r="BS6262" s="330"/>
      <c r="BT6262" s="331"/>
      <c r="BU6262" s="920"/>
      <c r="BV6262" s="903"/>
      <c r="BW6262" s="908"/>
      <c r="BX6262" s="908"/>
      <c r="BY6262" s="331"/>
      <c r="BZ6262" s="331"/>
      <c r="CA6262" s="462"/>
      <c r="CB6262" s="319"/>
      <c r="CC6262" s="319"/>
      <c r="CD6262" s="319"/>
      <c r="CE6262" s="319"/>
      <c r="CF6262" s="319"/>
      <c r="CG6262" s="319"/>
      <c r="CH6262" s="318"/>
      <c r="CI6262" s="319"/>
      <c r="CJ6262" s="319"/>
      <c r="CK6262" s="342"/>
      <c r="CL6262" s="333"/>
      <c r="CM6262" s="1079"/>
      <c r="CN6262" s="1005"/>
      <c r="CO6262" s="1005"/>
      <c r="CP6262" s="1005"/>
    </row>
    <row r="6263">
      <c r="A6263" s="1257"/>
      <c r="B6263" s="1113"/>
      <c r="C6263" s="1107"/>
      <c r="D6263" s="103"/>
      <c r="E6263" s="1137"/>
      <c r="F6263" s="112"/>
      <c r="G6263" s="1110"/>
      <c r="H6263" s="1138"/>
      <c r="I6263" s="1138"/>
      <c r="J6263" s="1139"/>
      <c r="K6263" s="1111"/>
      <c r="L6263" s="1112"/>
      <c r="M6263" s="1113"/>
      <c r="N6263" s="110"/>
      <c r="O6263" s="1140"/>
      <c r="P6263" s="1115"/>
      <c r="Q6263" s="1116"/>
      <c r="R6263" s="1141"/>
      <c r="S6263" s="1113"/>
      <c r="T6263" s="1143"/>
      <c r="U6263" s="1108"/>
      <c r="V6263" s="1108"/>
      <c r="W6263" s="1108"/>
      <c r="X6263" s="1108"/>
      <c r="Y6263" s="1108"/>
      <c r="Z6263" s="1114"/>
      <c r="AA6263" s="1114"/>
      <c r="AB6263" s="1114"/>
      <c r="AC6263" s="1117"/>
      <c r="AD6263" s="1115"/>
      <c r="AE6263" s="1115"/>
      <c r="AF6263" s="1115"/>
      <c r="AG6263" s="1115"/>
      <c r="AH6263" s="1115"/>
      <c r="AI6263" s="1115"/>
      <c r="AJ6263" s="1117"/>
      <c r="AK6263" s="1118"/>
      <c r="AL6263" s="1115"/>
      <c r="AM6263" s="1115"/>
      <c r="AN6263" s="1115"/>
      <c r="AO6263" s="1115"/>
      <c r="AP6263" s="1115"/>
      <c r="AQ6263" s="1115"/>
      <c r="AR6263" s="1115"/>
      <c r="AS6263" s="1117"/>
      <c r="AT6263" s="1075"/>
      <c r="AU6263" s="1193"/>
      <c r="AV6263" s="330"/>
      <c r="AW6263" s="331"/>
      <c r="AX6263" s="331"/>
      <c r="AY6263" s="331"/>
      <c r="AZ6263" s="331"/>
      <c r="BA6263" s="331"/>
      <c r="BB6263" s="331"/>
      <c r="BC6263" s="331"/>
      <c r="BD6263" s="331"/>
      <c r="BE6263" s="333"/>
      <c r="BF6263" s="330"/>
      <c r="BG6263" s="333"/>
      <c r="BH6263" s="1119"/>
      <c r="BI6263" s="319"/>
      <c r="BJ6263" s="319"/>
      <c r="BK6263" s="319"/>
      <c r="BL6263" s="319"/>
      <c r="BM6263" s="319"/>
      <c r="BN6263" s="319"/>
      <c r="BO6263" s="319"/>
      <c r="BP6263" s="953"/>
      <c r="BQ6263" s="319"/>
      <c r="BR6263" s="319"/>
      <c r="BS6263" s="330"/>
      <c r="BT6263" s="331"/>
      <c r="BU6263" s="920"/>
      <c r="BV6263" s="903"/>
      <c r="BW6263" s="908"/>
      <c r="BX6263" s="908"/>
      <c r="BY6263" s="331"/>
      <c r="BZ6263" s="331"/>
      <c r="CA6263" s="462"/>
      <c r="CB6263" s="319"/>
      <c r="CC6263" s="319"/>
      <c r="CD6263" s="319"/>
      <c r="CE6263" s="319"/>
      <c r="CF6263" s="319"/>
      <c r="CG6263" s="319"/>
      <c r="CH6263" s="318"/>
      <c r="CI6263" s="319"/>
      <c r="CJ6263" s="319"/>
      <c r="CK6263" s="342"/>
      <c r="CL6263" s="333"/>
      <c r="CM6263" s="1079"/>
      <c r="CN6263" s="1005"/>
      <c r="CO6263" s="1005"/>
      <c r="CP6263" s="1005"/>
    </row>
    <row r="6264">
      <c r="A6264" s="1257"/>
      <c r="B6264" s="1113"/>
      <c r="C6264" s="1107"/>
      <c r="D6264" s="103"/>
      <c r="E6264" s="1137"/>
      <c r="F6264" s="112"/>
      <c r="G6264" s="1110"/>
      <c r="H6264" s="1138"/>
      <c r="I6264" s="1138"/>
      <c r="J6264" s="1139"/>
      <c r="K6264" s="1111"/>
      <c r="L6264" s="1112"/>
      <c r="M6264" s="1113"/>
      <c r="N6264" s="110"/>
      <c r="O6264" s="1140"/>
      <c r="P6264" s="1115"/>
      <c r="Q6264" s="1116"/>
      <c r="R6264" s="1141"/>
      <c r="S6264" s="1113"/>
      <c r="T6264" s="1143"/>
      <c r="U6264" s="1108"/>
      <c r="V6264" s="1108"/>
      <c r="W6264" s="1108"/>
      <c r="X6264" s="1108"/>
      <c r="Y6264" s="1108"/>
      <c r="Z6264" s="1114"/>
      <c r="AA6264" s="1114"/>
      <c r="AB6264" s="1114"/>
      <c r="AC6264" s="1117"/>
      <c r="AD6264" s="1115"/>
      <c r="AE6264" s="1115"/>
      <c r="AF6264" s="1115"/>
      <c r="AG6264" s="1115"/>
      <c r="AH6264" s="1115"/>
      <c r="AI6264" s="1115"/>
      <c r="AJ6264" s="1117"/>
      <c r="AK6264" s="1118"/>
      <c r="AL6264" s="1115"/>
      <c r="AM6264" s="1115"/>
      <c r="AN6264" s="1115"/>
      <c r="AO6264" s="1115"/>
      <c r="AP6264" s="1115"/>
      <c r="AQ6264" s="1115"/>
      <c r="AR6264" s="1115"/>
      <c r="AS6264" s="1117"/>
      <c r="AT6264" s="1075"/>
      <c r="AU6264" s="1193"/>
      <c r="AV6264" s="330"/>
      <c r="AW6264" s="331"/>
      <c r="AX6264" s="331"/>
      <c r="AY6264" s="331"/>
      <c r="AZ6264" s="331"/>
      <c r="BA6264" s="331"/>
      <c r="BB6264" s="331"/>
      <c r="BC6264" s="331"/>
      <c r="BD6264" s="331"/>
      <c r="BE6264" s="333"/>
      <c r="BF6264" s="330"/>
      <c r="BG6264" s="333"/>
      <c r="BH6264" s="1119"/>
      <c r="BI6264" s="319"/>
      <c r="BJ6264" s="319"/>
      <c r="BK6264" s="319"/>
      <c r="BL6264" s="319"/>
      <c r="BM6264" s="319"/>
      <c r="BN6264" s="319"/>
      <c r="BO6264" s="319"/>
      <c r="BP6264" s="953"/>
      <c r="BQ6264" s="319"/>
      <c r="BR6264" s="319"/>
      <c r="BS6264" s="330"/>
      <c r="BT6264" s="331"/>
      <c r="BU6264" s="920"/>
      <c r="BV6264" s="903"/>
      <c r="BW6264" s="908"/>
      <c r="BX6264" s="908"/>
      <c r="BY6264" s="331"/>
      <c r="BZ6264" s="331"/>
      <c r="CA6264" s="462"/>
      <c r="CB6264" s="319"/>
      <c r="CC6264" s="319"/>
      <c r="CD6264" s="319"/>
      <c r="CE6264" s="319"/>
      <c r="CF6264" s="319"/>
      <c r="CG6264" s="319"/>
      <c r="CH6264" s="318"/>
      <c r="CI6264" s="319"/>
      <c r="CJ6264" s="319"/>
      <c r="CK6264" s="342"/>
      <c r="CL6264" s="333"/>
      <c r="CM6264" s="1079"/>
      <c r="CN6264" s="1005"/>
      <c r="CO6264" s="1005"/>
      <c r="CP6264" s="1005"/>
    </row>
    <row r="6265">
      <c r="A6265" s="1257"/>
      <c r="B6265" s="1113"/>
      <c r="C6265" s="1107"/>
      <c r="D6265" s="103"/>
      <c r="E6265" s="1137"/>
      <c r="F6265" s="112"/>
      <c r="G6265" s="1110"/>
      <c r="H6265" s="1138"/>
      <c r="I6265" s="1138"/>
      <c r="J6265" s="1139"/>
      <c r="K6265" s="1111"/>
      <c r="L6265" s="1112"/>
      <c r="M6265" s="1113"/>
      <c r="N6265" s="110"/>
      <c r="O6265" s="1140"/>
      <c r="P6265" s="1115"/>
      <c r="Q6265" s="1116"/>
      <c r="R6265" s="1141"/>
      <c r="S6265" s="1113"/>
      <c r="T6265" s="1143"/>
      <c r="U6265" s="1108"/>
      <c r="V6265" s="1108"/>
      <c r="W6265" s="1108"/>
      <c r="X6265" s="1108"/>
      <c r="Y6265" s="1108"/>
      <c r="Z6265" s="1114"/>
      <c r="AA6265" s="1114"/>
      <c r="AB6265" s="1114"/>
      <c r="AC6265" s="1117"/>
      <c r="AD6265" s="1115"/>
      <c r="AE6265" s="1115"/>
      <c r="AF6265" s="1115"/>
      <c r="AG6265" s="1115"/>
      <c r="AH6265" s="1115"/>
      <c r="AI6265" s="1115"/>
      <c r="AJ6265" s="1117"/>
      <c r="AK6265" s="1118"/>
      <c r="AL6265" s="1115"/>
      <c r="AM6265" s="1115"/>
      <c r="AN6265" s="1115"/>
      <c r="AO6265" s="1115"/>
      <c r="AP6265" s="1115"/>
      <c r="AQ6265" s="1115"/>
      <c r="AR6265" s="1115"/>
      <c r="AS6265" s="1117"/>
      <c r="AT6265" s="1075"/>
      <c r="AU6265" s="1193"/>
      <c r="AV6265" s="330"/>
      <c r="AW6265" s="331"/>
      <c r="AX6265" s="331"/>
      <c r="AY6265" s="331"/>
      <c r="AZ6265" s="331"/>
      <c r="BA6265" s="331"/>
      <c r="BB6265" s="331"/>
      <c r="BC6265" s="331"/>
      <c r="BD6265" s="331"/>
      <c r="BE6265" s="333"/>
      <c r="BF6265" s="330"/>
      <c r="BG6265" s="333"/>
      <c r="BH6265" s="1119"/>
      <c r="BI6265" s="319"/>
      <c r="BJ6265" s="319"/>
      <c r="BK6265" s="319"/>
      <c r="BL6265" s="319"/>
      <c r="BM6265" s="319"/>
      <c r="BN6265" s="319"/>
      <c r="BO6265" s="319"/>
      <c r="BP6265" s="953"/>
      <c r="BQ6265" s="319"/>
      <c r="BR6265" s="319"/>
      <c r="BS6265" s="330"/>
      <c r="BT6265" s="331"/>
      <c r="BU6265" s="920"/>
      <c r="BV6265" s="903"/>
      <c r="BW6265" s="908"/>
      <c r="BX6265" s="908"/>
      <c r="BY6265" s="331"/>
      <c r="BZ6265" s="331"/>
      <c r="CA6265" s="462"/>
      <c r="CB6265" s="319"/>
      <c r="CC6265" s="319"/>
      <c r="CD6265" s="319"/>
      <c r="CE6265" s="319"/>
      <c r="CF6265" s="319"/>
      <c r="CG6265" s="319"/>
      <c r="CH6265" s="318"/>
      <c r="CI6265" s="319"/>
      <c r="CJ6265" s="319"/>
      <c r="CK6265" s="342"/>
      <c r="CL6265" s="333"/>
      <c r="CM6265" s="1079"/>
      <c r="CN6265" s="1005"/>
      <c r="CO6265" s="1005"/>
      <c r="CP6265" s="1005"/>
    </row>
    <row r="6266">
      <c r="A6266" s="1257"/>
      <c r="B6266" s="1113"/>
      <c r="C6266" s="1107"/>
      <c r="D6266" s="103"/>
      <c r="E6266" s="1137"/>
      <c r="F6266" s="112"/>
      <c r="G6266" s="1110"/>
      <c r="H6266" s="1138"/>
      <c r="I6266" s="1138"/>
      <c r="J6266" s="1139"/>
      <c r="K6266" s="1111"/>
      <c r="L6266" s="1112"/>
      <c r="M6266" s="1113"/>
      <c r="N6266" s="110"/>
      <c r="O6266" s="1140"/>
      <c r="P6266" s="1115"/>
      <c r="Q6266" s="1116"/>
      <c r="R6266" s="1141"/>
      <c r="S6266" s="1113"/>
      <c r="T6266" s="1143"/>
      <c r="U6266" s="1108"/>
      <c r="V6266" s="1108"/>
      <c r="W6266" s="1108"/>
      <c r="X6266" s="1108"/>
      <c r="Y6266" s="1108"/>
      <c r="Z6266" s="1114"/>
      <c r="AA6266" s="1114"/>
      <c r="AB6266" s="1114"/>
      <c r="AC6266" s="1117"/>
      <c r="AD6266" s="1115"/>
      <c r="AE6266" s="1115"/>
      <c r="AF6266" s="1115"/>
      <c r="AG6266" s="1115"/>
      <c r="AH6266" s="1115"/>
      <c r="AI6266" s="1115"/>
      <c r="AJ6266" s="1117"/>
      <c r="AK6266" s="1118"/>
      <c r="AL6266" s="1115"/>
      <c r="AM6266" s="1115"/>
      <c r="AN6266" s="1115"/>
      <c r="AO6266" s="1115"/>
      <c r="AP6266" s="1115"/>
      <c r="AQ6266" s="1115"/>
      <c r="AR6266" s="1115"/>
      <c r="AS6266" s="1117"/>
      <c r="AT6266" s="1075"/>
      <c r="AU6266" s="1193"/>
      <c r="AV6266" s="330"/>
      <c r="AW6266" s="331"/>
      <c r="AX6266" s="331"/>
      <c r="AY6266" s="331"/>
      <c r="AZ6266" s="331"/>
      <c r="BA6266" s="331"/>
      <c r="BB6266" s="331"/>
      <c r="BC6266" s="331"/>
      <c r="BD6266" s="331"/>
      <c r="BE6266" s="333"/>
      <c r="BF6266" s="330"/>
      <c r="BG6266" s="333"/>
      <c r="BH6266" s="1119"/>
      <c r="BI6266" s="319"/>
      <c r="BJ6266" s="319"/>
      <c r="BK6266" s="319"/>
      <c r="BL6266" s="319"/>
      <c r="BM6266" s="319"/>
      <c r="BN6266" s="319"/>
      <c r="BO6266" s="319"/>
      <c r="BP6266" s="953"/>
      <c r="BQ6266" s="319"/>
      <c r="BR6266" s="319"/>
      <c r="BS6266" s="330"/>
      <c r="BT6266" s="331"/>
      <c r="BU6266" s="920"/>
      <c r="BV6266" s="903"/>
      <c r="BW6266" s="908"/>
      <c r="BX6266" s="908"/>
      <c r="BY6266" s="331"/>
      <c r="BZ6266" s="331"/>
      <c r="CA6266" s="462"/>
      <c r="CB6266" s="319"/>
      <c r="CC6266" s="319"/>
      <c r="CD6266" s="319"/>
      <c r="CE6266" s="319"/>
      <c r="CF6266" s="319"/>
      <c r="CG6266" s="319"/>
      <c r="CH6266" s="318"/>
      <c r="CI6266" s="319"/>
      <c r="CJ6266" s="319"/>
      <c r="CK6266" s="342"/>
      <c r="CL6266" s="333"/>
      <c r="CM6266" s="1079"/>
      <c r="CN6266" s="1005"/>
      <c r="CO6266" s="1005"/>
      <c r="CP6266" s="1005"/>
    </row>
    <row r="6267">
      <c r="A6267" s="1257"/>
      <c r="B6267" s="1113"/>
      <c r="C6267" s="1107"/>
      <c r="D6267" s="103"/>
      <c r="E6267" s="1137"/>
      <c r="F6267" s="112"/>
      <c r="G6267" s="1110"/>
      <c r="H6267" s="1138"/>
      <c r="I6267" s="1138"/>
      <c r="J6267" s="1139"/>
      <c r="K6267" s="1111"/>
      <c r="L6267" s="1112"/>
      <c r="M6267" s="1113"/>
      <c r="N6267" s="110"/>
      <c r="O6267" s="1140"/>
      <c r="P6267" s="1115"/>
      <c r="Q6267" s="1116"/>
      <c r="R6267" s="1141"/>
      <c r="S6267" s="1113"/>
      <c r="T6267" s="1143"/>
      <c r="U6267" s="1108"/>
      <c r="V6267" s="1108"/>
      <c r="W6267" s="1108"/>
      <c r="X6267" s="1108"/>
      <c r="Y6267" s="1108"/>
      <c r="Z6267" s="1114"/>
      <c r="AA6267" s="1114"/>
      <c r="AB6267" s="1114"/>
      <c r="AC6267" s="1117"/>
      <c r="AD6267" s="1115"/>
      <c r="AE6267" s="1115"/>
      <c r="AF6267" s="1115"/>
      <c r="AG6267" s="1115"/>
      <c r="AH6267" s="1115"/>
      <c r="AI6267" s="1115"/>
      <c r="AJ6267" s="1117"/>
      <c r="AK6267" s="1118"/>
      <c r="AL6267" s="1115"/>
      <c r="AM6267" s="1115"/>
      <c r="AN6267" s="1115"/>
      <c r="AO6267" s="1115"/>
      <c r="AP6267" s="1115"/>
      <c r="AQ6267" s="1115"/>
      <c r="AR6267" s="1115"/>
      <c r="AS6267" s="1117"/>
      <c r="AT6267" s="1075"/>
      <c r="AU6267" s="1193"/>
      <c r="AV6267" s="330"/>
      <c r="AW6267" s="331"/>
      <c r="AX6267" s="331"/>
      <c r="AY6267" s="331"/>
      <c r="AZ6267" s="331"/>
      <c r="BA6267" s="331"/>
      <c r="BB6267" s="331"/>
      <c r="BC6267" s="331"/>
      <c r="BD6267" s="331"/>
      <c r="BE6267" s="333"/>
      <c r="BF6267" s="330"/>
      <c r="BG6267" s="333"/>
      <c r="BH6267" s="1119"/>
      <c r="BI6267" s="319"/>
      <c r="BJ6267" s="319"/>
      <c r="BK6267" s="319"/>
      <c r="BL6267" s="319"/>
      <c r="BM6267" s="319"/>
      <c r="BN6267" s="319"/>
      <c r="BO6267" s="319"/>
      <c r="BP6267" s="953"/>
      <c r="BQ6267" s="319"/>
      <c r="BR6267" s="319"/>
      <c r="BS6267" s="330"/>
      <c r="BT6267" s="331"/>
      <c r="BU6267" s="920"/>
      <c r="BV6267" s="903"/>
      <c r="BW6267" s="908"/>
      <c r="BX6267" s="908"/>
      <c r="BY6267" s="331"/>
      <c r="BZ6267" s="331"/>
      <c r="CA6267" s="462"/>
      <c r="CB6267" s="319"/>
      <c r="CC6267" s="319"/>
      <c r="CD6267" s="319"/>
      <c r="CE6267" s="319"/>
      <c r="CF6267" s="319"/>
      <c r="CG6267" s="319"/>
      <c r="CH6267" s="318"/>
      <c r="CI6267" s="319"/>
      <c r="CJ6267" s="319"/>
      <c r="CK6267" s="342"/>
      <c r="CL6267" s="333"/>
      <c r="CM6267" s="1079"/>
      <c r="CN6267" s="1005"/>
      <c r="CO6267" s="1005"/>
      <c r="CP6267" s="1005"/>
    </row>
    <row r="6268">
      <c r="A6268" s="1257"/>
      <c r="B6268" s="1113"/>
      <c r="C6268" s="1107"/>
      <c r="D6268" s="103"/>
      <c r="E6268" s="1137"/>
      <c r="F6268" s="112"/>
      <c r="G6268" s="1110"/>
      <c r="H6268" s="1138"/>
      <c r="I6268" s="1138"/>
      <c r="J6268" s="1139"/>
      <c r="K6268" s="1111"/>
      <c r="L6268" s="1112"/>
      <c r="M6268" s="1113"/>
      <c r="N6268" s="110"/>
      <c r="O6268" s="1140"/>
      <c r="P6268" s="1115"/>
      <c r="Q6268" s="1116"/>
      <c r="R6268" s="1141"/>
      <c r="S6268" s="1113"/>
      <c r="T6268" s="1143"/>
      <c r="U6268" s="1108"/>
      <c r="V6268" s="1108"/>
      <c r="W6268" s="1108"/>
      <c r="X6268" s="1108"/>
      <c r="Y6268" s="1108"/>
      <c r="Z6268" s="1114"/>
      <c r="AA6268" s="1114"/>
      <c r="AB6268" s="1114"/>
      <c r="AC6268" s="1117"/>
      <c r="AD6268" s="1115"/>
      <c r="AE6268" s="1115"/>
      <c r="AF6268" s="1115"/>
      <c r="AG6268" s="1115"/>
      <c r="AH6268" s="1115"/>
      <c r="AI6268" s="1115"/>
      <c r="AJ6268" s="1117"/>
      <c r="AK6268" s="1118"/>
      <c r="AL6268" s="1115"/>
      <c r="AM6268" s="1115"/>
      <c r="AN6268" s="1115"/>
      <c r="AO6268" s="1115"/>
      <c r="AP6268" s="1115"/>
      <c r="AQ6268" s="1115"/>
      <c r="AR6268" s="1115"/>
      <c r="AS6268" s="1117"/>
      <c r="AT6268" s="1075"/>
      <c r="AU6268" s="1193"/>
      <c r="AV6268" s="330"/>
      <c r="AW6268" s="331"/>
      <c r="AX6268" s="331"/>
      <c r="AY6268" s="331"/>
      <c r="AZ6268" s="331"/>
      <c r="BA6268" s="331"/>
      <c r="BB6268" s="331"/>
      <c r="BC6268" s="331"/>
      <c r="BD6268" s="331"/>
      <c r="BE6268" s="333"/>
      <c r="BF6268" s="330"/>
      <c r="BG6268" s="333"/>
      <c r="BH6268" s="1119"/>
      <c r="BI6268" s="319"/>
      <c r="BJ6268" s="319"/>
      <c r="BK6268" s="319"/>
      <c r="BL6268" s="319"/>
      <c r="BM6268" s="319"/>
      <c r="BN6268" s="319"/>
      <c r="BO6268" s="319"/>
      <c r="BP6268" s="953"/>
      <c r="BQ6268" s="319"/>
      <c r="BR6268" s="319"/>
      <c r="BS6268" s="330"/>
      <c r="BT6268" s="331"/>
      <c r="BU6268" s="920"/>
      <c r="BV6268" s="903"/>
      <c r="BW6268" s="908"/>
      <c r="BX6268" s="908"/>
      <c r="BY6268" s="331"/>
      <c r="BZ6268" s="331"/>
      <c r="CA6268" s="462"/>
      <c r="CB6268" s="319"/>
      <c r="CC6268" s="319"/>
      <c r="CD6268" s="319"/>
      <c r="CE6268" s="319"/>
      <c r="CF6268" s="319"/>
      <c r="CG6268" s="319"/>
      <c r="CH6268" s="318"/>
      <c r="CI6268" s="319"/>
      <c r="CJ6268" s="319"/>
      <c r="CK6268" s="342"/>
      <c r="CL6268" s="333"/>
      <c r="CM6268" s="1079"/>
      <c r="CN6268" s="1005"/>
      <c r="CO6268" s="1005"/>
      <c r="CP6268" s="1005"/>
    </row>
    <row r="6269">
      <c r="A6269" s="1257"/>
      <c r="B6269" s="1113"/>
      <c r="C6269" s="1107"/>
      <c r="D6269" s="103"/>
      <c r="E6269" s="1137"/>
      <c r="F6269" s="112"/>
      <c r="G6269" s="1110"/>
      <c r="H6269" s="1138"/>
      <c r="I6269" s="1138"/>
      <c r="J6269" s="1139"/>
      <c r="K6269" s="1111"/>
      <c r="L6269" s="1112"/>
      <c r="M6269" s="1113"/>
      <c r="N6269" s="110"/>
      <c r="O6269" s="1140"/>
      <c r="P6269" s="1115"/>
      <c r="Q6269" s="1116"/>
      <c r="R6269" s="1141"/>
      <c r="S6269" s="1113"/>
      <c r="T6269" s="1143"/>
      <c r="U6269" s="1108"/>
      <c r="V6269" s="1108"/>
      <c r="W6269" s="1108"/>
      <c r="X6269" s="1108"/>
      <c r="Y6269" s="1108"/>
      <c r="Z6269" s="1114"/>
      <c r="AA6269" s="1114"/>
      <c r="AB6269" s="1114"/>
      <c r="AC6269" s="1117"/>
      <c r="AD6269" s="1115"/>
      <c r="AE6269" s="1115"/>
      <c r="AF6269" s="1115"/>
      <c r="AG6269" s="1115"/>
      <c r="AH6269" s="1115"/>
      <c r="AI6269" s="1115"/>
      <c r="AJ6269" s="1117"/>
      <c r="AK6269" s="1118"/>
      <c r="AL6269" s="1115"/>
      <c r="AM6269" s="1115"/>
      <c r="AN6269" s="1115"/>
      <c r="AO6269" s="1115"/>
      <c r="AP6269" s="1115"/>
      <c r="AQ6269" s="1115"/>
      <c r="AR6269" s="1115"/>
      <c r="AS6269" s="1117"/>
      <c r="AT6269" s="1075"/>
      <c r="AU6269" s="1193"/>
      <c r="AV6269" s="330"/>
      <c r="AW6269" s="331"/>
      <c r="AX6269" s="331"/>
      <c r="AY6269" s="331"/>
      <c r="AZ6269" s="331"/>
      <c r="BA6269" s="331"/>
      <c r="BB6269" s="331"/>
      <c r="BC6269" s="331"/>
      <c r="BD6269" s="331"/>
      <c r="BE6269" s="333"/>
      <c r="BF6269" s="330"/>
      <c r="BG6269" s="333"/>
      <c r="BH6269" s="1119"/>
      <c r="BI6269" s="319"/>
      <c r="BJ6269" s="319"/>
      <c r="BK6269" s="319"/>
      <c r="BL6269" s="319"/>
      <c r="BM6269" s="319"/>
      <c r="BN6269" s="319"/>
      <c r="BO6269" s="319"/>
      <c r="BP6269" s="953"/>
      <c r="BQ6269" s="319"/>
      <c r="BR6269" s="319"/>
      <c r="BS6269" s="330"/>
      <c r="BT6269" s="331"/>
      <c r="BU6269" s="920"/>
      <c r="BV6269" s="903"/>
      <c r="BW6269" s="908"/>
      <c r="BX6269" s="908"/>
      <c r="BY6269" s="331"/>
      <c r="BZ6269" s="331"/>
      <c r="CA6269" s="462"/>
      <c r="CB6269" s="319"/>
      <c r="CC6269" s="319"/>
      <c r="CD6269" s="319"/>
      <c r="CE6269" s="319"/>
      <c r="CF6269" s="319"/>
      <c r="CG6269" s="319"/>
      <c r="CH6269" s="318"/>
      <c r="CI6269" s="319"/>
      <c r="CJ6269" s="319"/>
      <c r="CK6269" s="342"/>
      <c r="CL6269" s="333"/>
      <c r="CM6269" s="1079"/>
      <c r="CN6269" s="1005"/>
      <c r="CO6269" s="1005"/>
      <c r="CP6269" s="1005"/>
    </row>
    <row r="6270">
      <c r="A6270" s="1257"/>
      <c r="B6270" s="1113"/>
      <c r="C6270" s="1107"/>
      <c r="D6270" s="103"/>
      <c r="E6270" s="1137"/>
      <c r="F6270" s="112"/>
      <c r="G6270" s="1110"/>
      <c r="H6270" s="1138"/>
      <c r="I6270" s="1138"/>
      <c r="J6270" s="1139"/>
      <c r="K6270" s="1111"/>
      <c r="L6270" s="1112"/>
      <c r="M6270" s="1113"/>
      <c r="N6270" s="110"/>
      <c r="O6270" s="1140"/>
      <c r="P6270" s="1115"/>
      <c r="Q6270" s="1116"/>
      <c r="R6270" s="1141"/>
      <c r="S6270" s="1113"/>
      <c r="T6270" s="1143"/>
      <c r="U6270" s="1108"/>
      <c r="V6270" s="1108"/>
      <c r="W6270" s="1108"/>
      <c r="X6270" s="1108"/>
      <c r="Y6270" s="1108"/>
      <c r="Z6270" s="1114"/>
      <c r="AA6270" s="1114"/>
      <c r="AB6270" s="1114"/>
      <c r="AC6270" s="1117"/>
      <c r="AD6270" s="1115"/>
      <c r="AE6270" s="1115"/>
      <c r="AF6270" s="1115"/>
      <c r="AG6270" s="1115"/>
      <c r="AH6270" s="1115"/>
      <c r="AI6270" s="1115"/>
      <c r="AJ6270" s="1117"/>
      <c r="AK6270" s="1118"/>
      <c r="AL6270" s="1115"/>
      <c r="AM6270" s="1115"/>
      <c r="AN6270" s="1115"/>
      <c r="AO6270" s="1115"/>
      <c r="AP6270" s="1115"/>
      <c r="AQ6270" s="1115"/>
      <c r="AR6270" s="1115"/>
      <c r="AS6270" s="1117"/>
      <c r="AT6270" s="1075"/>
      <c r="AU6270" s="1193"/>
      <c r="AV6270" s="330"/>
      <c r="AW6270" s="331"/>
      <c r="AX6270" s="331"/>
      <c r="AY6270" s="331"/>
      <c r="AZ6270" s="331"/>
      <c r="BA6270" s="331"/>
      <c r="BB6270" s="331"/>
      <c r="BC6270" s="331"/>
      <c r="BD6270" s="331"/>
      <c r="BE6270" s="333"/>
      <c r="BF6270" s="330"/>
      <c r="BG6270" s="333"/>
      <c r="BH6270" s="1119"/>
      <c r="BI6270" s="319"/>
      <c r="BJ6270" s="319"/>
      <c r="BK6270" s="319"/>
      <c r="BL6270" s="319"/>
      <c r="BM6270" s="319"/>
      <c r="BN6270" s="319"/>
      <c r="BO6270" s="319"/>
      <c r="BP6270" s="953"/>
      <c r="BQ6270" s="319"/>
      <c r="BR6270" s="319"/>
      <c r="BS6270" s="330"/>
      <c r="BT6270" s="331"/>
      <c r="BU6270" s="920"/>
      <c r="BV6270" s="903"/>
      <c r="BW6270" s="908"/>
      <c r="BX6270" s="908"/>
      <c r="BY6270" s="331"/>
      <c r="BZ6270" s="331"/>
      <c r="CA6270" s="462"/>
      <c r="CB6270" s="319"/>
      <c r="CC6270" s="319"/>
      <c r="CD6270" s="319"/>
      <c r="CE6270" s="319"/>
      <c r="CF6270" s="319"/>
      <c r="CG6270" s="319"/>
      <c r="CH6270" s="318"/>
      <c r="CI6270" s="319"/>
      <c r="CJ6270" s="319"/>
      <c r="CK6270" s="342"/>
      <c r="CL6270" s="333"/>
      <c r="CM6270" s="1079"/>
      <c r="CN6270" s="1005"/>
      <c r="CO6270" s="1005"/>
      <c r="CP6270" s="1005"/>
    </row>
    <row r="6271">
      <c r="A6271" s="1257"/>
      <c r="B6271" s="1113"/>
      <c r="C6271" s="1107"/>
      <c r="D6271" s="103"/>
      <c r="E6271" s="1137"/>
      <c r="F6271" s="112"/>
      <c r="G6271" s="1110"/>
      <c r="H6271" s="1138"/>
      <c r="I6271" s="1138"/>
      <c r="J6271" s="1139"/>
      <c r="K6271" s="1111"/>
      <c r="L6271" s="1112"/>
      <c r="M6271" s="1113"/>
      <c r="N6271" s="110"/>
      <c r="O6271" s="1140"/>
      <c r="P6271" s="1115"/>
      <c r="Q6271" s="1116"/>
      <c r="R6271" s="1141"/>
      <c r="S6271" s="1113"/>
      <c r="T6271" s="1143"/>
      <c r="U6271" s="1108"/>
      <c r="V6271" s="1108"/>
      <c r="W6271" s="1108"/>
      <c r="X6271" s="1108"/>
      <c r="Y6271" s="1108"/>
      <c r="Z6271" s="1114"/>
      <c r="AA6271" s="1114"/>
      <c r="AB6271" s="1114"/>
      <c r="AC6271" s="1117"/>
      <c r="AD6271" s="1115"/>
      <c r="AE6271" s="1115"/>
      <c r="AF6271" s="1115"/>
      <c r="AG6271" s="1115"/>
      <c r="AH6271" s="1115"/>
      <c r="AI6271" s="1115"/>
      <c r="AJ6271" s="1117"/>
      <c r="AK6271" s="1118"/>
      <c r="AL6271" s="1115"/>
      <c r="AM6271" s="1115"/>
      <c r="AN6271" s="1115"/>
      <c r="AO6271" s="1115"/>
      <c r="AP6271" s="1115"/>
      <c r="AQ6271" s="1115"/>
      <c r="AR6271" s="1115"/>
      <c r="AS6271" s="1117"/>
      <c r="AT6271" s="1075"/>
      <c r="AU6271" s="1193"/>
      <c r="AV6271" s="330"/>
      <c r="AW6271" s="331"/>
      <c r="AX6271" s="331"/>
      <c r="AY6271" s="331"/>
      <c r="AZ6271" s="331"/>
      <c r="BA6271" s="331"/>
      <c r="BB6271" s="331"/>
      <c r="BC6271" s="331"/>
      <c r="BD6271" s="331"/>
      <c r="BE6271" s="333"/>
      <c r="BF6271" s="330"/>
      <c r="BG6271" s="333"/>
      <c r="BH6271" s="1119"/>
      <c r="BI6271" s="319"/>
      <c r="BJ6271" s="319"/>
      <c r="BK6271" s="319"/>
      <c r="BL6271" s="319"/>
      <c r="BM6271" s="319"/>
      <c r="BN6271" s="319"/>
      <c r="BO6271" s="319"/>
      <c r="BP6271" s="953"/>
      <c r="BQ6271" s="319"/>
      <c r="BR6271" s="319"/>
      <c r="BS6271" s="330"/>
      <c r="BT6271" s="331"/>
      <c r="BU6271" s="920"/>
      <c r="BV6271" s="903"/>
      <c r="BW6271" s="908"/>
      <c r="BX6271" s="908"/>
      <c r="BY6271" s="331"/>
      <c r="BZ6271" s="331"/>
      <c r="CA6271" s="462"/>
      <c r="CB6271" s="319"/>
      <c r="CC6271" s="319"/>
      <c r="CD6271" s="319"/>
      <c r="CE6271" s="319"/>
      <c r="CF6271" s="319"/>
      <c r="CG6271" s="319"/>
      <c r="CH6271" s="318"/>
      <c r="CI6271" s="319"/>
      <c r="CJ6271" s="319"/>
      <c r="CK6271" s="342"/>
      <c r="CL6271" s="333"/>
      <c r="CM6271" s="1079"/>
      <c r="CN6271" s="1005"/>
      <c r="CO6271" s="1005"/>
      <c r="CP6271" s="1005"/>
    </row>
    <row r="6272">
      <c r="A6272" s="1257"/>
      <c r="B6272" s="1113"/>
      <c r="C6272" s="1107"/>
      <c r="D6272" s="103"/>
      <c r="E6272" s="1137"/>
      <c r="F6272" s="112"/>
      <c r="G6272" s="1110"/>
      <c r="H6272" s="1138"/>
      <c r="I6272" s="1138"/>
      <c r="J6272" s="1139"/>
      <c r="K6272" s="1111"/>
      <c r="L6272" s="1112"/>
      <c r="M6272" s="1113"/>
      <c r="N6272" s="110"/>
      <c r="O6272" s="1140"/>
      <c r="P6272" s="1115"/>
      <c r="Q6272" s="1116"/>
      <c r="R6272" s="1141"/>
      <c r="S6272" s="1113"/>
      <c r="T6272" s="1143"/>
      <c r="U6272" s="1108"/>
      <c r="V6272" s="1108"/>
      <c r="W6272" s="1108"/>
      <c r="X6272" s="1108"/>
      <c r="Y6272" s="1108"/>
      <c r="Z6272" s="1114"/>
      <c r="AA6272" s="1114"/>
      <c r="AB6272" s="1114"/>
      <c r="AC6272" s="1117"/>
      <c r="AD6272" s="1115"/>
      <c r="AE6272" s="1115"/>
      <c r="AF6272" s="1115"/>
      <c r="AG6272" s="1115"/>
      <c r="AH6272" s="1115"/>
      <c r="AI6272" s="1115"/>
      <c r="AJ6272" s="1117"/>
      <c r="AK6272" s="1118"/>
      <c r="AL6272" s="1115"/>
      <c r="AM6272" s="1115"/>
      <c r="AN6272" s="1115"/>
      <c r="AO6272" s="1115"/>
      <c r="AP6272" s="1115"/>
      <c r="AQ6272" s="1115"/>
      <c r="AR6272" s="1115"/>
      <c r="AS6272" s="1117"/>
      <c r="AT6272" s="1075"/>
      <c r="AU6272" s="1193"/>
      <c r="AV6272" s="330"/>
      <c r="AW6272" s="331"/>
      <c r="AX6272" s="331"/>
      <c r="AY6272" s="331"/>
      <c r="AZ6272" s="331"/>
      <c r="BA6272" s="331"/>
      <c r="BB6272" s="331"/>
      <c r="BC6272" s="331"/>
      <c r="BD6272" s="331"/>
      <c r="BE6272" s="333"/>
      <c r="BF6272" s="330"/>
      <c r="BG6272" s="333"/>
      <c r="BH6272" s="1119"/>
      <c r="BI6272" s="319"/>
      <c r="BJ6272" s="319"/>
      <c r="BK6272" s="319"/>
      <c r="BL6272" s="319"/>
      <c r="BM6272" s="319"/>
      <c r="BN6272" s="319"/>
      <c r="BO6272" s="319"/>
      <c r="BP6272" s="953"/>
      <c r="BQ6272" s="319"/>
      <c r="BR6272" s="319"/>
      <c r="BS6272" s="330"/>
      <c r="BT6272" s="331"/>
      <c r="BU6272" s="920"/>
      <c r="BV6272" s="903"/>
      <c r="BW6272" s="908"/>
      <c r="BX6272" s="908"/>
      <c r="BY6272" s="331"/>
      <c r="BZ6272" s="331"/>
      <c r="CA6272" s="462"/>
      <c r="CB6272" s="319"/>
      <c r="CC6272" s="319"/>
      <c r="CD6272" s="319"/>
      <c r="CE6272" s="319"/>
      <c r="CF6272" s="319"/>
      <c r="CG6272" s="319"/>
      <c r="CH6272" s="318"/>
      <c r="CI6272" s="319"/>
      <c r="CJ6272" s="319"/>
      <c r="CK6272" s="342"/>
      <c r="CL6272" s="333"/>
      <c r="CM6272" s="1079"/>
      <c r="CN6272" s="1005"/>
      <c r="CO6272" s="1005"/>
      <c r="CP6272" s="1005"/>
    </row>
    <row r="6273">
      <c r="A6273" s="1257"/>
      <c r="B6273" s="1113"/>
      <c r="C6273" s="1107"/>
      <c r="D6273" s="103"/>
      <c r="E6273" s="1137"/>
      <c r="F6273" s="112"/>
      <c r="G6273" s="1110"/>
      <c r="H6273" s="1138"/>
      <c r="I6273" s="1138"/>
      <c r="J6273" s="1139"/>
      <c r="K6273" s="1111"/>
      <c r="L6273" s="1112"/>
      <c r="M6273" s="1113"/>
      <c r="N6273" s="110"/>
      <c r="O6273" s="1140"/>
      <c r="P6273" s="1115"/>
      <c r="Q6273" s="1116"/>
      <c r="R6273" s="1141"/>
      <c r="S6273" s="1113"/>
      <c r="T6273" s="1143"/>
      <c r="U6273" s="1108"/>
      <c r="V6273" s="1108"/>
      <c r="W6273" s="1108"/>
      <c r="X6273" s="1108"/>
      <c r="Y6273" s="1108"/>
      <c r="Z6273" s="1114"/>
      <c r="AA6273" s="1114"/>
      <c r="AB6273" s="1114"/>
      <c r="AC6273" s="1117"/>
      <c r="AD6273" s="1115"/>
      <c r="AE6273" s="1115"/>
      <c r="AF6273" s="1115"/>
      <c r="AG6273" s="1115"/>
      <c r="AH6273" s="1115"/>
      <c r="AI6273" s="1115"/>
      <c r="AJ6273" s="1117"/>
      <c r="AK6273" s="1118"/>
      <c r="AL6273" s="1115"/>
      <c r="AM6273" s="1115"/>
      <c r="AN6273" s="1115"/>
      <c r="AO6273" s="1115"/>
      <c r="AP6273" s="1115"/>
      <c r="AQ6273" s="1115"/>
      <c r="AR6273" s="1115"/>
      <c r="AS6273" s="1117"/>
      <c r="AT6273" s="1075"/>
      <c r="AU6273" s="1193"/>
      <c r="AV6273" s="330"/>
      <c r="AW6273" s="331"/>
      <c r="AX6273" s="331"/>
      <c r="AY6273" s="331"/>
      <c r="AZ6273" s="331"/>
      <c r="BA6273" s="331"/>
      <c r="BB6273" s="331"/>
      <c r="BC6273" s="331"/>
      <c r="BD6273" s="331"/>
      <c r="BE6273" s="333"/>
      <c r="BF6273" s="330"/>
      <c r="BG6273" s="333"/>
      <c r="BH6273" s="1119"/>
      <c r="BI6273" s="319"/>
      <c r="BJ6273" s="319"/>
      <c r="BK6273" s="319"/>
      <c r="BL6273" s="319"/>
      <c r="BM6273" s="319"/>
      <c r="BN6273" s="319"/>
      <c r="BO6273" s="319"/>
      <c r="BP6273" s="953"/>
      <c r="BQ6273" s="319"/>
      <c r="BR6273" s="319"/>
      <c r="BS6273" s="330"/>
      <c r="BT6273" s="331"/>
      <c r="BU6273" s="920"/>
      <c r="BV6273" s="903"/>
      <c r="BW6273" s="908"/>
      <c r="BX6273" s="908"/>
      <c r="BY6273" s="331"/>
      <c r="BZ6273" s="331"/>
      <c r="CA6273" s="462"/>
      <c r="CB6273" s="319"/>
      <c r="CC6273" s="319"/>
      <c r="CD6273" s="319"/>
      <c r="CE6273" s="319"/>
      <c r="CF6273" s="319"/>
      <c r="CG6273" s="319"/>
      <c r="CH6273" s="318"/>
      <c r="CI6273" s="319"/>
      <c r="CJ6273" s="319"/>
      <c r="CK6273" s="342"/>
      <c r="CL6273" s="333"/>
      <c r="CM6273" s="1079"/>
      <c r="CN6273" s="1005"/>
      <c r="CO6273" s="1005"/>
      <c r="CP6273" s="1005"/>
    </row>
    <row r="6274">
      <c r="A6274" s="1257"/>
      <c r="B6274" s="1113"/>
      <c r="C6274" s="1107"/>
      <c r="D6274" s="103"/>
      <c r="E6274" s="1137"/>
      <c r="F6274" s="112"/>
      <c r="G6274" s="1110"/>
      <c r="H6274" s="1138"/>
      <c r="I6274" s="1138"/>
      <c r="J6274" s="1139"/>
      <c r="K6274" s="1111"/>
      <c r="L6274" s="1112"/>
      <c r="M6274" s="1113"/>
      <c r="N6274" s="110"/>
      <c r="O6274" s="1140"/>
      <c r="P6274" s="1115"/>
      <c r="Q6274" s="1116"/>
      <c r="R6274" s="1141"/>
      <c r="S6274" s="1113"/>
      <c r="T6274" s="1143"/>
      <c r="U6274" s="1108"/>
      <c r="V6274" s="1108"/>
      <c r="W6274" s="1108"/>
      <c r="X6274" s="1108"/>
      <c r="Y6274" s="1108"/>
      <c r="Z6274" s="1114"/>
      <c r="AA6274" s="1114"/>
      <c r="AB6274" s="1114"/>
      <c r="AC6274" s="1117"/>
      <c r="AD6274" s="1115"/>
      <c r="AE6274" s="1115"/>
      <c r="AF6274" s="1115"/>
      <c r="AG6274" s="1115"/>
      <c r="AH6274" s="1115"/>
      <c r="AI6274" s="1115"/>
      <c r="AJ6274" s="1117"/>
      <c r="AK6274" s="1118"/>
      <c r="AL6274" s="1115"/>
      <c r="AM6274" s="1115"/>
      <c r="AN6274" s="1115"/>
      <c r="AO6274" s="1115"/>
      <c r="AP6274" s="1115"/>
      <c r="AQ6274" s="1115"/>
      <c r="AR6274" s="1115"/>
      <c r="AS6274" s="1117"/>
      <c r="AT6274" s="1075"/>
      <c r="AU6274" s="1193"/>
      <c r="AV6274" s="330"/>
      <c r="AW6274" s="331"/>
      <c r="AX6274" s="331"/>
      <c r="AY6274" s="331"/>
      <c r="AZ6274" s="331"/>
      <c r="BA6274" s="331"/>
      <c r="BB6274" s="331"/>
      <c r="BC6274" s="331"/>
      <c r="BD6274" s="331"/>
      <c r="BE6274" s="333"/>
      <c r="BF6274" s="330"/>
      <c r="BG6274" s="333"/>
      <c r="BH6274" s="1119"/>
      <c r="BI6274" s="319"/>
      <c r="BJ6274" s="319"/>
      <c r="BK6274" s="319"/>
      <c r="BL6274" s="319"/>
      <c r="BM6274" s="319"/>
      <c r="BN6274" s="319"/>
      <c r="BO6274" s="319"/>
      <c r="BP6274" s="953"/>
      <c r="BQ6274" s="319"/>
      <c r="BR6274" s="319"/>
      <c r="BS6274" s="330"/>
      <c r="BT6274" s="331"/>
      <c r="BU6274" s="920"/>
      <c r="BV6274" s="903"/>
      <c r="BW6274" s="908"/>
      <c r="BX6274" s="908"/>
      <c r="BY6274" s="331"/>
      <c r="BZ6274" s="331"/>
      <c r="CA6274" s="462"/>
      <c r="CB6274" s="319"/>
      <c r="CC6274" s="319"/>
      <c r="CD6274" s="319"/>
      <c r="CE6274" s="319"/>
      <c r="CF6274" s="319"/>
      <c r="CG6274" s="319"/>
      <c r="CH6274" s="318"/>
      <c r="CI6274" s="319"/>
      <c r="CJ6274" s="319"/>
      <c r="CK6274" s="342"/>
      <c r="CL6274" s="333"/>
      <c r="CM6274" s="1079"/>
      <c r="CN6274" s="1005"/>
      <c r="CO6274" s="1005"/>
      <c r="CP6274" s="1005"/>
    </row>
    <row r="6275">
      <c r="A6275" s="1257"/>
      <c r="B6275" s="1113"/>
      <c r="C6275" s="1107"/>
      <c r="D6275" s="103"/>
      <c r="E6275" s="1137"/>
      <c r="F6275" s="112"/>
      <c r="G6275" s="1110"/>
      <c r="H6275" s="1138"/>
      <c r="I6275" s="1138"/>
      <c r="J6275" s="1139"/>
      <c r="K6275" s="1111"/>
      <c r="L6275" s="1112"/>
      <c r="M6275" s="1113"/>
      <c r="N6275" s="110"/>
      <c r="O6275" s="1140"/>
      <c r="P6275" s="1115"/>
      <c r="Q6275" s="1116"/>
      <c r="R6275" s="1141"/>
      <c r="S6275" s="1113"/>
      <c r="T6275" s="1143"/>
      <c r="U6275" s="1108"/>
      <c r="V6275" s="1108"/>
      <c r="W6275" s="1108"/>
      <c r="X6275" s="1108"/>
      <c r="Y6275" s="1108"/>
      <c r="Z6275" s="1114"/>
      <c r="AA6275" s="1114"/>
      <c r="AB6275" s="1114"/>
      <c r="AC6275" s="1117"/>
      <c r="AD6275" s="1115"/>
      <c r="AE6275" s="1115"/>
      <c r="AF6275" s="1115"/>
      <c r="AG6275" s="1115"/>
      <c r="AH6275" s="1115"/>
      <c r="AI6275" s="1115"/>
      <c r="AJ6275" s="1117"/>
      <c r="AK6275" s="1118"/>
      <c r="AL6275" s="1115"/>
      <c r="AM6275" s="1115"/>
      <c r="AN6275" s="1115"/>
      <c r="AO6275" s="1115"/>
      <c r="AP6275" s="1115"/>
      <c r="AQ6275" s="1115"/>
      <c r="AR6275" s="1115"/>
      <c r="AS6275" s="1117"/>
      <c r="AT6275" s="1075"/>
      <c r="AU6275" s="1193"/>
      <c r="AV6275" s="330"/>
      <c r="AW6275" s="331"/>
      <c r="AX6275" s="331"/>
      <c r="AY6275" s="331"/>
      <c r="AZ6275" s="331"/>
      <c r="BA6275" s="331"/>
      <c r="BB6275" s="331"/>
      <c r="BC6275" s="331"/>
      <c r="BD6275" s="331"/>
      <c r="BE6275" s="333"/>
      <c r="BF6275" s="330"/>
      <c r="BG6275" s="333"/>
      <c r="BH6275" s="1119"/>
      <c r="BI6275" s="319"/>
      <c r="BJ6275" s="319"/>
      <c r="BK6275" s="319"/>
      <c r="BL6275" s="319"/>
      <c r="BM6275" s="319"/>
      <c r="BN6275" s="319"/>
      <c r="BO6275" s="319"/>
      <c r="BP6275" s="953"/>
      <c r="BQ6275" s="319"/>
      <c r="BR6275" s="319"/>
      <c r="BS6275" s="330"/>
      <c r="BT6275" s="331"/>
      <c r="BU6275" s="920"/>
      <c r="BV6275" s="903"/>
      <c r="BW6275" s="908"/>
      <c r="BX6275" s="908"/>
      <c r="BY6275" s="331"/>
      <c r="BZ6275" s="331"/>
      <c r="CA6275" s="462"/>
      <c r="CB6275" s="319"/>
      <c r="CC6275" s="319"/>
      <c r="CD6275" s="319"/>
      <c r="CE6275" s="319"/>
      <c r="CF6275" s="319"/>
      <c r="CG6275" s="319"/>
      <c r="CH6275" s="318"/>
      <c r="CI6275" s="319"/>
      <c r="CJ6275" s="319"/>
      <c r="CK6275" s="342"/>
      <c r="CL6275" s="333"/>
      <c r="CM6275" s="1079"/>
      <c r="CN6275" s="1005"/>
      <c r="CO6275" s="1005"/>
      <c r="CP6275" s="1005"/>
    </row>
    <row r="6276">
      <c r="A6276" s="1257"/>
      <c r="B6276" s="1113"/>
      <c r="C6276" s="1107"/>
      <c r="D6276" s="103"/>
      <c r="E6276" s="1137"/>
      <c r="F6276" s="112"/>
      <c r="G6276" s="1110"/>
      <c r="H6276" s="1138"/>
      <c r="I6276" s="1138"/>
      <c r="J6276" s="1139"/>
      <c r="K6276" s="1111"/>
      <c r="L6276" s="1112"/>
      <c r="M6276" s="1113"/>
      <c r="N6276" s="110"/>
      <c r="O6276" s="1140"/>
      <c r="P6276" s="1115"/>
      <c r="Q6276" s="1116"/>
      <c r="R6276" s="1141"/>
      <c r="S6276" s="1113"/>
      <c r="T6276" s="1143"/>
      <c r="U6276" s="1108"/>
      <c r="V6276" s="1108"/>
      <c r="W6276" s="1108"/>
      <c r="X6276" s="1108"/>
      <c r="Y6276" s="1108"/>
      <c r="Z6276" s="1114"/>
      <c r="AA6276" s="1114"/>
      <c r="AB6276" s="1114"/>
      <c r="AC6276" s="1117"/>
      <c r="AD6276" s="1115"/>
      <c r="AE6276" s="1115"/>
      <c r="AF6276" s="1115"/>
      <c r="AG6276" s="1115"/>
      <c r="AH6276" s="1115"/>
      <c r="AI6276" s="1115"/>
      <c r="AJ6276" s="1117"/>
      <c r="AK6276" s="1118"/>
      <c r="AL6276" s="1115"/>
      <c r="AM6276" s="1115"/>
      <c r="AN6276" s="1115"/>
      <c r="AO6276" s="1115"/>
      <c r="AP6276" s="1115"/>
      <c r="AQ6276" s="1115"/>
      <c r="AR6276" s="1115"/>
      <c r="AS6276" s="1117"/>
      <c r="AT6276" s="1075"/>
      <c r="AU6276" s="1193"/>
      <c r="AV6276" s="330"/>
      <c r="AW6276" s="331"/>
      <c r="AX6276" s="331"/>
      <c r="AY6276" s="331"/>
      <c r="AZ6276" s="331"/>
      <c r="BA6276" s="331"/>
      <c r="BB6276" s="331"/>
      <c r="BC6276" s="331"/>
      <c r="BD6276" s="331"/>
      <c r="BE6276" s="333"/>
      <c r="BF6276" s="330"/>
      <c r="BG6276" s="333"/>
      <c r="BH6276" s="1119"/>
      <c r="BI6276" s="319"/>
      <c r="BJ6276" s="319"/>
      <c r="BK6276" s="319"/>
      <c r="BL6276" s="319"/>
      <c r="BM6276" s="319"/>
      <c r="BN6276" s="319"/>
      <c r="BO6276" s="319"/>
      <c r="BP6276" s="953"/>
      <c r="BQ6276" s="319"/>
      <c r="BR6276" s="319"/>
      <c r="BS6276" s="330"/>
      <c r="BT6276" s="331"/>
      <c r="BU6276" s="920"/>
      <c r="BV6276" s="903"/>
      <c r="BW6276" s="908"/>
      <c r="BX6276" s="908"/>
      <c r="BY6276" s="331"/>
      <c r="BZ6276" s="331"/>
      <c r="CA6276" s="462"/>
      <c r="CB6276" s="319"/>
      <c r="CC6276" s="319"/>
      <c r="CD6276" s="319"/>
      <c r="CE6276" s="319"/>
      <c r="CF6276" s="319"/>
      <c r="CG6276" s="319"/>
      <c r="CH6276" s="318"/>
      <c r="CI6276" s="319"/>
      <c r="CJ6276" s="319"/>
      <c r="CK6276" s="342"/>
      <c r="CL6276" s="333"/>
      <c r="CM6276" s="1079"/>
      <c r="CN6276" s="1005"/>
      <c r="CO6276" s="1005"/>
      <c r="CP6276" s="1005"/>
    </row>
    <row r="6277">
      <c r="A6277" s="1257"/>
      <c r="B6277" s="1113"/>
      <c r="C6277" s="1107"/>
      <c r="D6277" s="103"/>
      <c r="E6277" s="1137"/>
      <c r="F6277" s="112"/>
      <c r="G6277" s="1110"/>
      <c r="H6277" s="1138"/>
      <c r="I6277" s="1138"/>
      <c r="J6277" s="1139"/>
      <c r="K6277" s="1111"/>
      <c r="L6277" s="1112"/>
      <c r="M6277" s="1113"/>
      <c r="N6277" s="110"/>
      <c r="O6277" s="1140"/>
      <c r="P6277" s="1115"/>
      <c r="Q6277" s="1116"/>
      <c r="R6277" s="1141"/>
      <c r="S6277" s="1113"/>
      <c r="T6277" s="1143"/>
      <c r="U6277" s="1108"/>
      <c r="V6277" s="1108"/>
      <c r="W6277" s="1108"/>
      <c r="X6277" s="1108"/>
      <c r="Y6277" s="1108"/>
      <c r="Z6277" s="1114"/>
      <c r="AA6277" s="1114"/>
      <c r="AB6277" s="1114"/>
      <c r="AC6277" s="1117"/>
      <c r="AD6277" s="1115"/>
      <c r="AE6277" s="1115"/>
      <c r="AF6277" s="1115"/>
      <c r="AG6277" s="1115"/>
      <c r="AH6277" s="1115"/>
      <c r="AI6277" s="1115"/>
      <c r="AJ6277" s="1117"/>
      <c r="AK6277" s="1118"/>
      <c r="AL6277" s="1115"/>
      <c r="AM6277" s="1115"/>
      <c r="AN6277" s="1115"/>
      <c r="AO6277" s="1115"/>
      <c r="AP6277" s="1115"/>
      <c r="AQ6277" s="1115"/>
      <c r="AR6277" s="1115"/>
      <c r="AS6277" s="1117"/>
      <c r="AT6277" s="1075"/>
      <c r="AU6277" s="1193"/>
      <c r="AV6277" s="330"/>
      <c r="AW6277" s="331"/>
      <c r="AX6277" s="331"/>
      <c r="AY6277" s="331"/>
      <c r="AZ6277" s="331"/>
      <c r="BA6277" s="331"/>
      <c r="BB6277" s="331"/>
      <c r="BC6277" s="331"/>
      <c r="BD6277" s="331"/>
      <c r="BE6277" s="333"/>
      <c r="BF6277" s="330"/>
      <c r="BG6277" s="333"/>
      <c r="BH6277" s="1119"/>
      <c r="BI6277" s="319"/>
      <c r="BJ6277" s="319"/>
      <c r="BK6277" s="319"/>
      <c r="BL6277" s="319"/>
      <c r="BM6277" s="319"/>
      <c r="BN6277" s="319"/>
      <c r="BO6277" s="319"/>
      <c r="BP6277" s="953"/>
      <c r="BQ6277" s="319"/>
      <c r="BR6277" s="319"/>
      <c r="BS6277" s="330"/>
      <c r="BT6277" s="331"/>
      <c r="BU6277" s="920"/>
      <c r="BV6277" s="903"/>
      <c r="BW6277" s="908"/>
      <c r="BX6277" s="908"/>
      <c r="BY6277" s="331"/>
      <c r="BZ6277" s="331"/>
      <c r="CA6277" s="462"/>
      <c r="CB6277" s="319"/>
      <c r="CC6277" s="319"/>
      <c r="CD6277" s="319"/>
      <c r="CE6277" s="319"/>
      <c r="CF6277" s="319"/>
      <c r="CG6277" s="319"/>
      <c r="CH6277" s="318"/>
      <c r="CI6277" s="319"/>
      <c r="CJ6277" s="319"/>
      <c r="CK6277" s="342"/>
      <c r="CL6277" s="333"/>
      <c r="CM6277" s="1079"/>
      <c r="CN6277" s="1005"/>
      <c r="CO6277" s="1005"/>
      <c r="CP6277" s="1005"/>
    </row>
    <row r="6278">
      <c r="A6278" s="1257"/>
      <c r="B6278" s="1113"/>
      <c r="C6278" s="1107"/>
      <c r="D6278" s="103"/>
      <c r="E6278" s="1137"/>
      <c r="F6278" s="112"/>
      <c r="G6278" s="1110"/>
      <c r="H6278" s="1138"/>
      <c r="I6278" s="1138"/>
      <c r="J6278" s="1139"/>
      <c r="K6278" s="1111"/>
      <c r="L6278" s="1112"/>
      <c r="M6278" s="1113"/>
      <c r="N6278" s="110"/>
      <c r="O6278" s="1140"/>
      <c r="P6278" s="1115"/>
      <c r="Q6278" s="1116"/>
      <c r="R6278" s="1141"/>
      <c r="S6278" s="1113"/>
      <c r="T6278" s="1143"/>
      <c r="U6278" s="1108"/>
      <c r="V6278" s="1108"/>
      <c r="W6278" s="1108"/>
      <c r="X6278" s="1108"/>
      <c r="Y6278" s="1108"/>
      <c r="Z6278" s="1114"/>
      <c r="AA6278" s="1114"/>
      <c r="AB6278" s="1114"/>
      <c r="AC6278" s="1117"/>
      <c r="AD6278" s="1115"/>
      <c r="AE6278" s="1115"/>
      <c r="AF6278" s="1115"/>
      <c r="AG6278" s="1115"/>
      <c r="AH6278" s="1115"/>
      <c r="AI6278" s="1115"/>
      <c r="AJ6278" s="1117"/>
      <c r="AK6278" s="1118"/>
      <c r="AL6278" s="1115"/>
      <c r="AM6278" s="1115"/>
      <c r="AN6278" s="1115"/>
      <c r="AO6278" s="1115"/>
      <c r="AP6278" s="1115"/>
      <c r="AQ6278" s="1115"/>
      <c r="AR6278" s="1115"/>
      <c r="AS6278" s="1117"/>
      <c r="AT6278" s="1075"/>
      <c r="AU6278" s="1193"/>
      <c r="AV6278" s="330"/>
      <c r="AW6278" s="331"/>
      <c r="AX6278" s="331"/>
      <c r="AY6278" s="331"/>
      <c r="AZ6278" s="331"/>
      <c r="BA6278" s="331"/>
      <c r="BB6278" s="331"/>
      <c r="BC6278" s="331"/>
      <c r="BD6278" s="331"/>
      <c r="BE6278" s="333"/>
      <c r="BF6278" s="330"/>
      <c r="BG6278" s="333"/>
      <c r="BH6278" s="1119"/>
      <c r="BI6278" s="319"/>
      <c r="BJ6278" s="319"/>
      <c r="BK6278" s="319"/>
      <c r="BL6278" s="319"/>
      <c r="BM6278" s="319"/>
      <c r="BN6278" s="319"/>
      <c r="BO6278" s="319"/>
      <c r="BP6278" s="953"/>
      <c r="BQ6278" s="319"/>
      <c r="BR6278" s="319"/>
      <c r="BS6278" s="330"/>
      <c r="BT6278" s="331"/>
      <c r="BU6278" s="920"/>
      <c r="BV6278" s="903"/>
      <c r="BW6278" s="908"/>
      <c r="BX6278" s="908"/>
      <c r="BY6278" s="331"/>
      <c r="BZ6278" s="331"/>
      <c r="CA6278" s="462"/>
      <c r="CB6278" s="319"/>
      <c r="CC6278" s="319"/>
      <c r="CD6278" s="319"/>
      <c r="CE6278" s="319"/>
      <c r="CF6278" s="319"/>
      <c r="CG6278" s="319"/>
      <c r="CH6278" s="318"/>
      <c r="CI6278" s="319"/>
      <c r="CJ6278" s="319"/>
      <c r="CK6278" s="342"/>
      <c r="CL6278" s="333"/>
      <c r="CM6278" s="1079"/>
      <c r="CN6278" s="1005"/>
      <c r="CO6278" s="1005"/>
      <c r="CP6278" s="1005"/>
    </row>
    <row r="6279">
      <c r="A6279" s="1257"/>
      <c r="B6279" s="1113"/>
      <c r="C6279" s="1107"/>
      <c r="D6279" s="103"/>
      <c r="E6279" s="1137"/>
      <c r="F6279" s="112"/>
      <c r="G6279" s="1110"/>
      <c r="H6279" s="1138"/>
      <c r="I6279" s="1138"/>
      <c r="J6279" s="1139"/>
      <c r="K6279" s="1111"/>
      <c r="L6279" s="1112"/>
      <c r="M6279" s="1113"/>
      <c r="N6279" s="110"/>
      <c r="O6279" s="1140"/>
      <c r="P6279" s="1115"/>
      <c r="Q6279" s="1116"/>
      <c r="R6279" s="1141"/>
      <c r="S6279" s="1113"/>
      <c r="T6279" s="1143"/>
      <c r="U6279" s="1108"/>
      <c r="V6279" s="1108"/>
      <c r="W6279" s="1108"/>
      <c r="X6279" s="1108"/>
      <c r="Y6279" s="1108"/>
      <c r="Z6279" s="1114"/>
      <c r="AA6279" s="1114"/>
      <c r="AB6279" s="1114"/>
      <c r="AC6279" s="1117"/>
      <c r="AD6279" s="1115"/>
      <c r="AE6279" s="1115"/>
      <c r="AF6279" s="1115"/>
      <c r="AG6279" s="1115"/>
      <c r="AH6279" s="1115"/>
      <c r="AI6279" s="1115"/>
      <c r="AJ6279" s="1117"/>
      <c r="AK6279" s="1118"/>
      <c r="AL6279" s="1115"/>
      <c r="AM6279" s="1115"/>
      <c r="AN6279" s="1115"/>
      <c r="AO6279" s="1115"/>
      <c r="AP6279" s="1115"/>
      <c r="AQ6279" s="1115"/>
      <c r="AR6279" s="1115"/>
      <c r="AS6279" s="1117"/>
      <c r="AT6279" s="1075"/>
      <c r="AU6279" s="1193"/>
      <c r="AV6279" s="330"/>
      <c r="AW6279" s="331"/>
      <c r="AX6279" s="331"/>
      <c r="AY6279" s="331"/>
      <c r="AZ6279" s="331"/>
      <c r="BA6279" s="331"/>
      <c r="BB6279" s="331"/>
      <c r="BC6279" s="331"/>
      <c r="BD6279" s="331"/>
      <c r="BE6279" s="333"/>
      <c r="BF6279" s="330"/>
      <c r="BG6279" s="333"/>
      <c r="BH6279" s="1119"/>
      <c r="BI6279" s="319"/>
      <c r="BJ6279" s="319"/>
      <c r="BK6279" s="319"/>
      <c r="BL6279" s="319"/>
      <c r="BM6279" s="319"/>
      <c r="BN6279" s="319"/>
      <c r="BO6279" s="319"/>
      <c r="BP6279" s="953"/>
      <c r="BQ6279" s="319"/>
      <c r="BR6279" s="319"/>
      <c r="BS6279" s="330"/>
      <c r="BT6279" s="331"/>
      <c r="BU6279" s="920"/>
      <c r="BV6279" s="903"/>
      <c r="BW6279" s="908"/>
      <c r="BX6279" s="908"/>
      <c r="BY6279" s="331"/>
      <c r="BZ6279" s="331"/>
      <c r="CA6279" s="462"/>
      <c r="CB6279" s="319"/>
      <c r="CC6279" s="319"/>
      <c r="CD6279" s="319"/>
      <c r="CE6279" s="319"/>
      <c r="CF6279" s="319"/>
      <c r="CG6279" s="319"/>
      <c r="CH6279" s="318"/>
      <c r="CI6279" s="319"/>
      <c r="CJ6279" s="319"/>
      <c r="CK6279" s="342"/>
      <c r="CL6279" s="333"/>
      <c r="CM6279" s="1079"/>
      <c r="CN6279" s="1005"/>
      <c r="CO6279" s="1005"/>
      <c r="CP6279" s="1005"/>
    </row>
    <row r="6280">
      <c r="A6280" s="1257"/>
      <c r="B6280" s="1113"/>
      <c r="C6280" s="1107"/>
      <c r="D6280" s="103"/>
      <c r="E6280" s="1137"/>
      <c r="F6280" s="112"/>
      <c r="G6280" s="1110"/>
      <c r="H6280" s="1138"/>
      <c r="I6280" s="1138"/>
      <c r="J6280" s="1139"/>
      <c r="K6280" s="1111"/>
      <c r="L6280" s="1112"/>
      <c r="M6280" s="1113"/>
      <c r="N6280" s="110"/>
      <c r="O6280" s="1140"/>
      <c r="P6280" s="1115"/>
      <c r="Q6280" s="1116"/>
      <c r="R6280" s="1141"/>
      <c r="S6280" s="1113"/>
      <c r="T6280" s="1143"/>
      <c r="U6280" s="1108"/>
      <c r="V6280" s="1108"/>
      <c r="W6280" s="1108"/>
      <c r="X6280" s="1108"/>
      <c r="Y6280" s="1108"/>
      <c r="Z6280" s="1114"/>
      <c r="AA6280" s="1114"/>
      <c r="AB6280" s="1114"/>
      <c r="AC6280" s="1117"/>
      <c r="AD6280" s="1115"/>
      <c r="AE6280" s="1115"/>
      <c r="AF6280" s="1115"/>
      <c r="AG6280" s="1115"/>
      <c r="AH6280" s="1115"/>
      <c r="AI6280" s="1115"/>
      <c r="AJ6280" s="1117"/>
      <c r="AK6280" s="1118"/>
      <c r="AL6280" s="1115"/>
      <c r="AM6280" s="1115"/>
      <c r="AN6280" s="1115"/>
      <c r="AO6280" s="1115"/>
      <c r="AP6280" s="1115"/>
      <c r="AQ6280" s="1115"/>
      <c r="AR6280" s="1115"/>
      <c r="AS6280" s="1117"/>
      <c r="AT6280" s="1075"/>
      <c r="AU6280" s="1193"/>
      <c r="AV6280" s="330"/>
      <c r="AW6280" s="331"/>
      <c r="AX6280" s="331"/>
      <c r="AY6280" s="331"/>
      <c r="AZ6280" s="331"/>
      <c r="BA6280" s="331"/>
      <c r="BB6280" s="331"/>
      <c r="BC6280" s="331"/>
      <c r="BD6280" s="331"/>
      <c r="BE6280" s="333"/>
      <c r="BF6280" s="330"/>
      <c r="BG6280" s="333"/>
      <c r="BH6280" s="1119"/>
      <c r="BI6280" s="319"/>
      <c r="BJ6280" s="319"/>
      <c r="BK6280" s="319"/>
      <c r="BL6280" s="319"/>
      <c r="BM6280" s="319"/>
      <c r="BN6280" s="319"/>
      <c r="BO6280" s="319"/>
      <c r="BP6280" s="953"/>
      <c r="BQ6280" s="319"/>
      <c r="BR6280" s="319"/>
      <c r="BS6280" s="330"/>
      <c r="BT6280" s="331"/>
      <c r="BU6280" s="920"/>
      <c r="BV6280" s="903"/>
      <c r="BW6280" s="908"/>
      <c r="BX6280" s="908"/>
      <c r="BY6280" s="331"/>
      <c r="BZ6280" s="331"/>
      <c r="CA6280" s="462"/>
      <c r="CB6280" s="319"/>
      <c r="CC6280" s="319"/>
      <c r="CD6280" s="319"/>
      <c r="CE6280" s="319"/>
      <c r="CF6280" s="319"/>
      <c r="CG6280" s="319"/>
      <c r="CH6280" s="318"/>
      <c r="CI6280" s="319"/>
      <c r="CJ6280" s="319"/>
      <c r="CK6280" s="342"/>
      <c r="CL6280" s="333"/>
      <c r="CM6280" s="1079"/>
      <c r="CN6280" s="1005"/>
      <c r="CO6280" s="1005"/>
      <c r="CP6280" s="1005"/>
    </row>
    <row r="6281">
      <c r="A6281" s="1257"/>
      <c r="B6281" s="1113"/>
      <c r="C6281" s="1107"/>
      <c r="D6281" s="103"/>
      <c r="E6281" s="1137"/>
      <c r="F6281" s="112"/>
      <c r="G6281" s="1110"/>
      <c r="H6281" s="1138"/>
      <c r="I6281" s="1138"/>
      <c r="J6281" s="1139"/>
      <c r="K6281" s="1111"/>
      <c r="L6281" s="1112"/>
      <c r="M6281" s="1113"/>
      <c r="N6281" s="110"/>
      <c r="O6281" s="1140"/>
      <c r="P6281" s="1115"/>
      <c r="Q6281" s="1116"/>
      <c r="R6281" s="1141"/>
      <c r="S6281" s="1113"/>
      <c r="T6281" s="1143"/>
      <c r="U6281" s="1108"/>
      <c r="V6281" s="1108"/>
      <c r="W6281" s="1108"/>
      <c r="X6281" s="1108"/>
      <c r="Y6281" s="1108"/>
      <c r="Z6281" s="1114"/>
      <c r="AA6281" s="1114"/>
      <c r="AB6281" s="1114"/>
      <c r="AC6281" s="1117"/>
      <c r="AD6281" s="1115"/>
      <c r="AE6281" s="1115"/>
      <c r="AF6281" s="1115"/>
      <c r="AG6281" s="1115"/>
      <c r="AH6281" s="1115"/>
      <c r="AI6281" s="1115"/>
      <c r="AJ6281" s="1117"/>
      <c r="AK6281" s="1118"/>
      <c r="AL6281" s="1115"/>
      <c r="AM6281" s="1115"/>
      <c r="AN6281" s="1115"/>
      <c r="AO6281" s="1115"/>
      <c r="AP6281" s="1115"/>
      <c r="AQ6281" s="1115"/>
      <c r="AR6281" s="1115"/>
      <c r="AS6281" s="1117"/>
      <c r="AT6281" s="1075"/>
      <c r="AU6281" s="1193"/>
      <c r="AV6281" s="330"/>
      <c r="AW6281" s="331"/>
      <c r="AX6281" s="331"/>
      <c r="AY6281" s="331"/>
      <c r="AZ6281" s="331"/>
      <c r="BA6281" s="331"/>
      <c r="BB6281" s="331"/>
      <c r="BC6281" s="331"/>
      <c r="BD6281" s="331"/>
      <c r="BE6281" s="333"/>
      <c r="BF6281" s="330"/>
      <c r="BG6281" s="333"/>
      <c r="BH6281" s="1119"/>
      <c r="BI6281" s="319"/>
      <c r="BJ6281" s="319"/>
      <c r="BK6281" s="319"/>
      <c r="BL6281" s="319"/>
      <c r="BM6281" s="319"/>
      <c r="BN6281" s="319"/>
      <c r="BO6281" s="319"/>
      <c r="BP6281" s="953"/>
      <c r="BQ6281" s="319"/>
      <c r="BR6281" s="319"/>
      <c r="BS6281" s="330"/>
      <c r="BT6281" s="331"/>
      <c r="BU6281" s="920"/>
      <c r="BV6281" s="903"/>
      <c r="BW6281" s="908"/>
      <c r="BX6281" s="908"/>
      <c r="BY6281" s="331"/>
      <c r="BZ6281" s="331"/>
      <c r="CA6281" s="462"/>
      <c r="CB6281" s="319"/>
      <c r="CC6281" s="319"/>
      <c r="CD6281" s="319"/>
      <c r="CE6281" s="319"/>
      <c r="CF6281" s="319"/>
      <c r="CG6281" s="319"/>
      <c r="CH6281" s="318"/>
      <c r="CI6281" s="319"/>
      <c r="CJ6281" s="319"/>
      <c r="CK6281" s="342"/>
      <c r="CL6281" s="333"/>
      <c r="CM6281" s="1079"/>
      <c r="CN6281" s="1005"/>
      <c r="CO6281" s="1005"/>
      <c r="CP6281" s="1005"/>
    </row>
    <row r="6282">
      <c r="A6282" s="1257"/>
      <c r="B6282" s="1113"/>
      <c r="C6282" s="1107"/>
      <c r="D6282" s="103"/>
      <c r="E6282" s="1137"/>
      <c r="F6282" s="112"/>
      <c r="G6282" s="1110"/>
      <c r="H6282" s="1138"/>
      <c r="I6282" s="1138"/>
      <c r="J6282" s="1139"/>
      <c r="K6282" s="1111"/>
      <c r="L6282" s="1112"/>
      <c r="M6282" s="1113"/>
      <c r="N6282" s="110"/>
      <c r="O6282" s="1140"/>
      <c r="P6282" s="1115"/>
      <c r="Q6282" s="1116"/>
      <c r="R6282" s="1141"/>
      <c r="S6282" s="1113"/>
      <c r="T6282" s="1143"/>
      <c r="U6282" s="1108"/>
      <c r="V6282" s="1108"/>
      <c r="W6282" s="1108"/>
      <c r="X6282" s="1108"/>
      <c r="Y6282" s="1108"/>
      <c r="Z6282" s="1114"/>
      <c r="AA6282" s="1114"/>
      <c r="AB6282" s="1114"/>
      <c r="AC6282" s="1117"/>
      <c r="AD6282" s="1115"/>
      <c r="AE6282" s="1115"/>
      <c r="AF6282" s="1115"/>
      <c r="AG6282" s="1115"/>
      <c r="AH6282" s="1115"/>
      <c r="AI6282" s="1115"/>
      <c r="AJ6282" s="1117"/>
      <c r="AK6282" s="1118"/>
      <c r="AL6282" s="1115"/>
      <c r="AM6282" s="1115"/>
      <c r="AN6282" s="1115"/>
      <c r="AO6282" s="1115"/>
      <c r="AP6282" s="1115"/>
      <c r="AQ6282" s="1115"/>
      <c r="AR6282" s="1115"/>
      <c r="AS6282" s="1117"/>
      <c r="AT6282" s="1075"/>
      <c r="AU6282" s="1193"/>
      <c r="AV6282" s="330"/>
      <c r="AW6282" s="331"/>
      <c r="AX6282" s="331"/>
      <c r="AY6282" s="331"/>
      <c r="AZ6282" s="331"/>
      <c r="BA6282" s="331"/>
      <c r="BB6282" s="331"/>
      <c r="BC6282" s="331"/>
      <c r="BD6282" s="331"/>
      <c r="BE6282" s="333"/>
      <c r="BF6282" s="330"/>
      <c r="BG6282" s="333"/>
      <c r="BH6282" s="1119"/>
      <c r="BI6282" s="319"/>
      <c r="BJ6282" s="319"/>
      <c r="BK6282" s="319"/>
      <c r="BL6282" s="319"/>
      <c r="BM6282" s="319"/>
      <c r="BN6282" s="319"/>
      <c r="BO6282" s="319"/>
      <c r="BP6282" s="953"/>
      <c r="BQ6282" s="319"/>
      <c r="BR6282" s="319"/>
      <c r="BS6282" s="330"/>
      <c r="BT6282" s="331"/>
      <c r="BU6282" s="920"/>
      <c r="BV6282" s="903"/>
      <c r="BW6282" s="908"/>
      <c r="BX6282" s="908"/>
      <c r="BY6282" s="331"/>
      <c r="BZ6282" s="331"/>
      <c r="CA6282" s="462"/>
      <c r="CB6282" s="319"/>
      <c r="CC6282" s="319"/>
      <c r="CD6282" s="319"/>
      <c r="CE6282" s="319"/>
      <c r="CF6282" s="319"/>
      <c r="CG6282" s="319"/>
      <c r="CH6282" s="318"/>
      <c r="CI6282" s="319"/>
      <c r="CJ6282" s="319"/>
      <c r="CK6282" s="342"/>
      <c r="CL6282" s="333"/>
      <c r="CM6282" s="1079"/>
      <c r="CN6282" s="1005"/>
      <c r="CO6282" s="1005"/>
      <c r="CP6282" s="1005"/>
    </row>
    <row r="6283">
      <c r="A6283" s="1257"/>
      <c r="B6283" s="1113"/>
      <c r="C6283" s="1107"/>
      <c r="D6283" s="103"/>
      <c r="E6283" s="1137"/>
      <c r="F6283" s="112"/>
      <c r="G6283" s="1110"/>
      <c r="H6283" s="1138"/>
      <c r="I6283" s="1138"/>
      <c r="J6283" s="1139"/>
      <c r="K6283" s="1111"/>
      <c r="L6283" s="1112"/>
      <c r="M6283" s="1113"/>
      <c r="N6283" s="110"/>
      <c r="O6283" s="1140"/>
      <c r="P6283" s="1115"/>
      <c r="Q6283" s="1116"/>
      <c r="R6283" s="1141"/>
      <c r="S6283" s="1113"/>
      <c r="T6283" s="1143"/>
      <c r="U6283" s="1108"/>
      <c r="V6283" s="1108"/>
      <c r="W6283" s="1108"/>
      <c r="X6283" s="1108"/>
      <c r="Y6283" s="1108"/>
      <c r="Z6283" s="1114"/>
      <c r="AA6283" s="1114"/>
      <c r="AB6283" s="1114"/>
      <c r="AC6283" s="1117"/>
      <c r="AD6283" s="1115"/>
      <c r="AE6283" s="1115"/>
      <c r="AF6283" s="1115"/>
      <c r="AG6283" s="1115"/>
      <c r="AH6283" s="1115"/>
      <c r="AI6283" s="1115"/>
      <c r="AJ6283" s="1117"/>
      <c r="AK6283" s="1118"/>
      <c r="AL6283" s="1115"/>
      <c r="AM6283" s="1115"/>
      <c r="AN6283" s="1115"/>
      <c r="AO6283" s="1115"/>
      <c r="AP6283" s="1115"/>
      <c r="AQ6283" s="1115"/>
      <c r="AR6283" s="1115"/>
      <c r="AS6283" s="1117"/>
      <c r="AT6283" s="1075"/>
      <c r="AU6283" s="1193"/>
      <c r="AV6283" s="330"/>
      <c r="AW6283" s="331"/>
      <c r="AX6283" s="331"/>
      <c r="AY6283" s="331"/>
      <c r="AZ6283" s="331"/>
      <c r="BA6283" s="331"/>
      <c r="BB6283" s="331"/>
      <c r="BC6283" s="331"/>
      <c r="BD6283" s="331"/>
      <c r="BE6283" s="333"/>
      <c r="BF6283" s="330"/>
      <c r="BG6283" s="333"/>
      <c r="BH6283" s="1119"/>
      <c r="BI6283" s="319"/>
      <c r="BJ6283" s="319"/>
      <c r="BK6283" s="319"/>
      <c r="BL6283" s="319"/>
      <c r="BM6283" s="319"/>
      <c r="BN6283" s="319"/>
      <c r="BO6283" s="319"/>
      <c r="BP6283" s="953"/>
      <c r="BQ6283" s="319"/>
      <c r="BR6283" s="319"/>
      <c r="BS6283" s="330"/>
      <c r="BT6283" s="331"/>
      <c r="BU6283" s="920"/>
      <c r="BV6283" s="903"/>
      <c r="BW6283" s="908"/>
      <c r="BX6283" s="908"/>
      <c r="BY6283" s="331"/>
      <c r="BZ6283" s="331"/>
      <c r="CA6283" s="462"/>
      <c r="CB6283" s="319"/>
      <c r="CC6283" s="319"/>
      <c r="CD6283" s="319"/>
      <c r="CE6283" s="319"/>
      <c r="CF6283" s="319"/>
      <c r="CG6283" s="319"/>
      <c r="CH6283" s="318"/>
      <c r="CI6283" s="319"/>
      <c r="CJ6283" s="319"/>
      <c r="CK6283" s="342"/>
      <c r="CL6283" s="333"/>
      <c r="CM6283" s="1079"/>
      <c r="CN6283" s="1005"/>
      <c r="CO6283" s="1005"/>
      <c r="CP6283" s="1005"/>
    </row>
    <row r="6284">
      <c r="A6284" s="1257"/>
      <c r="B6284" s="1113"/>
      <c r="C6284" s="1107"/>
      <c r="D6284" s="103"/>
      <c r="E6284" s="1137"/>
      <c r="F6284" s="112"/>
      <c r="G6284" s="1110"/>
      <c r="H6284" s="1138"/>
      <c r="I6284" s="1138"/>
      <c r="J6284" s="1139"/>
      <c r="K6284" s="1111"/>
      <c r="L6284" s="1112"/>
      <c r="M6284" s="1113"/>
      <c r="N6284" s="110"/>
      <c r="O6284" s="1140"/>
      <c r="P6284" s="1115"/>
      <c r="Q6284" s="1116"/>
      <c r="R6284" s="1141"/>
      <c r="S6284" s="1113"/>
      <c r="T6284" s="1143"/>
      <c r="U6284" s="1108"/>
      <c r="V6284" s="1108"/>
      <c r="W6284" s="1108"/>
      <c r="X6284" s="1108"/>
      <c r="Y6284" s="1108"/>
      <c r="Z6284" s="1114"/>
      <c r="AA6284" s="1114"/>
      <c r="AB6284" s="1114"/>
      <c r="AC6284" s="1117"/>
      <c r="AD6284" s="1115"/>
      <c r="AE6284" s="1115"/>
      <c r="AF6284" s="1115"/>
      <c r="AG6284" s="1115"/>
      <c r="AH6284" s="1115"/>
      <c r="AI6284" s="1115"/>
      <c r="AJ6284" s="1117"/>
      <c r="AK6284" s="1118"/>
      <c r="AL6284" s="1115"/>
      <c r="AM6284" s="1115"/>
      <c r="AN6284" s="1115"/>
      <c r="AO6284" s="1115"/>
      <c r="AP6284" s="1115"/>
      <c r="AQ6284" s="1115"/>
      <c r="AR6284" s="1115"/>
      <c r="AS6284" s="1117"/>
      <c r="AT6284" s="1075"/>
      <c r="AU6284" s="1193"/>
      <c r="AV6284" s="330"/>
      <c r="AW6284" s="331"/>
      <c r="AX6284" s="331"/>
      <c r="AY6284" s="331"/>
      <c r="AZ6284" s="331"/>
      <c r="BA6284" s="331"/>
      <c r="BB6284" s="331"/>
      <c r="BC6284" s="331"/>
      <c r="BD6284" s="331"/>
      <c r="BE6284" s="333"/>
      <c r="BF6284" s="330"/>
      <c r="BG6284" s="333"/>
      <c r="BH6284" s="1119"/>
      <c r="BI6284" s="319"/>
      <c r="BJ6284" s="319"/>
      <c r="BK6284" s="319"/>
      <c r="BL6284" s="319"/>
      <c r="BM6284" s="319"/>
      <c r="BN6284" s="319"/>
      <c r="BO6284" s="319"/>
      <c r="BP6284" s="953"/>
      <c r="BQ6284" s="319"/>
      <c r="BR6284" s="319"/>
      <c r="BS6284" s="330"/>
      <c r="BT6284" s="331"/>
      <c r="BU6284" s="920"/>
      <c r="BV6284" s="903"/>
      <c r="BW6284" s="908"/>
      <c r="BX6284" s="908"/>
      <c r="BY6284" s="331"/>
      <c r="BZ6284" s="331"/>
      <c r="CA6284" s="462"/>
      <c r="CB6284" s="319"/>
      <c r="CC6284" s="319"/>
      <c r="CD6284" s="319"/>
      <c r="CE6284" s="319"/>
      <c r="CF6284" s="319"/>
      <c r="CG6284" s="319"/>
      <c r="CH6284" s="318"/>
      <c r="CI6284" s="319"/>
      <c r="CJ6284" s="319"/>
      <c r="CK6284" s="342"/>
      <c r="CL6284" s="333"/>
      <c r="CM6284" s="1079"/>
      <c r="CN6284" s="1005"/>
      <c r="CO6284" s="1005"/>
      <c r="CP6284" s="1005"/>
    </row>
    <row r="6285">
      <c r="A6285" s="1257"/>
      <c r="B6285" s="1113"/>
      <c r="C6285" s="1107"/>
      <c r="D6285" s="103"/>
      <c r="E6285" s="1137"/>
      <c r="F6285" s="112"/>
      <c r="G6285" s="1110"/>
      <c r="H6285" s="1138"/>
      <c r="I6285" s="1138"/>
      <c r="J6285" s="1139"/>
      <c r="K6285" s="1111"/>
      <c r="L6285" s="1112"/>
      <c r="M6285" s="1113"/>
      <c r="N6285" s="110"/>
      <c r="O6285" s="1140"/>
      <c r="P6285" s="1115"/>
      <c r="Q6285" s="1116"/>
      <c r="R6285" s="1141"/>
      <c r="S6285" s="1113"/>
      <c r="T6285" s="1143"/>
      <c r="U6285" s="1108"/>
      <c r="V6285" s="1108"/>
      <c r="W6285" s="1108"/>
      <c r="X6285" s="1108"/>
      <c r="Y6285" s="1108"/>
      <c r="Z6285" s="1114"/>
      <c r="AA6285" s="1114"/>
      <c r="AB6285" s="1114"/>
      <c r="AC6285" s="1117"/>
      <c r="AD6285" s="1115"/>
      <c r="AE6285" s="1115"/>
      <c r="AF6285" s="1115"/>
      <c r="AG6285" s="1115"/>
      <c r="AH6285" s="1115"/>
      <c r="AI6285" s="1115"/>
      <c r="AJ6285" s="1117"/>
      <c r="AK6285" s="1118"/>
      <c r="AL6285" s="1115"/>
      <c r="AM6285" s="1115"/>
      <c r="AN6285" s="1115"/>
      <c r="AO6285" s="1115"/>
      <c r="AP6285" s="1115"/>
      <c r="AQ6285" s="1115"/>
      <c r="AR6285" s="1115"/>
      <c r="AS6285" s="1117"/>
      <c r="AT6285" s="1075"/>
      <c r="AU6285" s="1193"/>
      <c r="AV6285" s="330"/>
      <c r="AW6285" s="331"/>
      <c r="AX6285" s="331"/>
      <c r="AY6285" s="331"/>
      <c r="AZ6285" s="331"/>
      <c r="BA6285" s="331"/>
      <c r="BB6285" s="331"/>
      <c r="BC6285" s="331"/>
      <c r="BD6285" s="331"/>
      <c r="BE6285" s="333"/>
      <c r="BF6285" s="330"/>
      <c r="BG6285" s="333"/>
      <c r="BH6285" s="1119"/>
      <c r="BI6285" s="319"/>
      <c r="BJ6285" s="319"/>
      <c r="BK6285" s="319"/>
      <c r="BL6285" s="319"/>
      <c r="BM6285" s="319"/>
      <c r="BN6285" s="319"/>
      <c r="BO6285" s="319"/>
      <c r="BP6285" s="953"/>
      <c r="BQ6285" s="319"/>
      <c r="BR6285" s="319"/>
      <c r="BS6285" s="330"/>
      <c r="BT6285" s="331"/>
      <c r="BU6285" s="920"/>
      <c r="BV6285" s="903"/>
      <c r="BW6285" s="908"/>
      <c r="BX6285" s="908"/>
      <c r="BY6285" s="331"/>
      <c r="BZ6285" s="331"/>
      <c r="CA6285" s="462"/>
      <c r="CB6285" s="319"/>
      <c r="CC6285" s="319"/>
      <c r="CD6285" s="319"/>
      <c r="CE6285" s="319"/>
      <c r="CF6285" s="319"/>
      <c r="CG6285" s="319"/>
      <c r="CH6285" s="318"/>
      <c r="CI6285" s="319"/>
      <c r="CJ6285" s="319"/>
      <c r="CK6285" s="342"/>
      <c r="CL6285" s="333"/>
      <c r="CM6285" s="1079"/>
      <c r="CN6285" s="1005"/>
      <c r="CO6285" s="1005"/>
      <c r="CP6285" s="1005"/>
    </row>
    <row r="6286">
      <c r="A6286" s="1257"/>
      <c r="B6286" s="1113"/>
      <c r="C6286" s="1107"/>
      <c r="D6286" s="103"/>
      <c r="E6286" s="1137"/>
      <c r="F6286" s="112"/>
      <c r="G6286" s="1110"/>
      <c r="H6286" s="1138"/>
      <c r="I6286" s="1138"/>
      <c r="J6286" s="1139"/>
      <c r="K6286" s="1111"/>
      <c r="L6286" s="1112"/>
      <c r="M6286" s="1113"/>
      <c r="N6286" s="110"/>
      <c r="O6286" s="1140"/>
      <c r="P6286" s="1115"/>
      <c r="Q6286" s="1116"/>
      <c r="R6286" s="1141"/>
      <c r="S6286" s="1113"/>
      <c r="T6286" s="1143"/>
      <c r="U6286" s="1108"/>
      <c r="V6286" s="1108"/>
      <c r="W6286" s="1108"/>
      <c r="X6286" s="1108"/>
      <c r="Y6286" s="1108"/>
      <c r="Z6286" s="1114"/>
      <c r="AA6286" s="1114"/>
      <c r="AB6286" s="1114"/>
      <c r="AC6286" s="1117"/>
      <c r="AD6286" s="1115"/>
      <c r="AE6286" s="1115"/>
      <c r="AF6286" s="1115"/>
      <c r="AG6286" s="1115"/>
      <c r="AH6286" s="1115"/>
      <c r="AI6286" s="1115"/>
      <c r="AJ6286" s="1117"/>
      <c r="AK6286" s="1118"/>
      <c r="AL6286" s="1115"/>
      <c r="AM6286" s="1115"/>
      <c r="AN6286" s="1115"/>
      <c r="AO6286" s="1115"/>
      <c r="AP6286" s="1115"/>
      <c r="AQ6286" s="1115"/>
      <c r="AR6286" s="1115"/>
      <c r="AS6286" s="1117"/>
      <c r="AT6286" s="1075"/>
      <c r="AU6286" s="1193"/>
      <c r="AV6286" s="330"/>
      <c r="AW6286" s="331"/>
      <c r="AX6286" s="331"/>
      <c r="AY6286" s="331"/>
      <c r="AZ6286" s="331"/>
      <c r="BA6286" s="331"/>
      <c r="BB6286" s="331"/>
      <c r="BC6286" s="331"/>
      <c r="BD6286" s="331"/>
      <c r="BE6286" s="333"/>
      <c r="BF6286" s="330"/>
      <c r="BG6286" s="333"/>
      <c r="BH6286" s="1119"/>
      <c r="BI6286" s="319"/>
      <c r="BJ6286" s="319"/>
      <c r="BK6286" s="319"/>
      <c r="BL6286" s="319"/>
      <c r="BM6286" s="319"/>
      <c r="BN6286" s="319"/>
      <c r="BO6286" s="319"/>
      <c r="BP6286" s="953"/>
      <c r="BQ6286" s="319"/>
      <c r="BR6286" s="319"/>
      <c r="BS6286" s="330"/>
      <c r="BT6286" s="331"/>
      <c r="BU6286" s="920"/>
      <c r="BV6286" s="903"/>
      <c r="BW6286" s="908"/>
      <c r="BX6286" s="908"/>
      <c r="BY6286" s="331"/>
      <c r="BZ6286" s="331"/>
      <c r="CA6286" s="462"/>
      <c r="CB6286" s="319"/>
      <c r="CC6286" s="319"/>
      <c r="CD6286" s="319"/>
      <c r="CE6286" s="319"/>
      <c r="CF6286" s="319"/>
      <c r="CG6286" s="319"/>
      <c r="CH6286" s="318"/>
      <c r="CI6286" s="319"/>
      <c r="CJ6286" s="319"/>
      <c r="CK6286" s="342"/>
      <c r="CL6286" s="333"/>
      <c r="CM6286" s="1079"/>
      <c r="CN6286" s="1005"/>
      <c r="CO6286" s="1005"/>
      <c r="CP6286" s="1005"/>
    </row>
    <row r="6287">
      <c r="A6287" s="1257"/>
      <c r="B6287" s="1113"/>
      <c r="C6287" s="1107"/>
      <c r="D6287" s="103"/>
      <c r="E6287" s="1137"/>
      <c r="F6287" s="112"/>
      <c r="G6287" s="1110"/>
      <c r="H6287" s="1138"/>
      <c r="I6287" s="1138"/>
      <c r="J6287" s="1139"/>
      <c r="K6287" s="1111"/>
      <c r="L6287" s="1112"/>
      <c r="M6287" s="1113"/>
      <c r="N6287" s="110"/>
      <c r="O6287" s="1140"/>
      <c r="P6287" s="1115"/>
      <c r="Q6287" s="1116"/>
      <c r="R6287" s="1141"/>
      <c r="S6287" s="1113"/>
      <c r="T6287" s="1143"/>
      <c r="U6287" s="1108"/>
      <c r="V6287" s="1108"/>
      <c r="W6287" s="1108"/>
      <c r="X6287" s="1108"/>
      <c r="Y6287" s="1108"/>
      <c r="Z6287" s="1114"/>
      <c r="AA6287" s="1114"/>
      <c r="AB6287" s="1114"/>
      <c r="AC6287" s="1117"/>
      <c r="AD6287" s="1115"/>
      <c r="AE6287" s="1115"/>
      <c r="AF6287" s="1115"/>
      <c r="AG6287" s="1115"/>
      <c r="AH6287" s="1115"/>
      <c r="AI6287" s="1115"/>
      <c r="AJ6287" s="1117"/>
      <c r="AK6287" s="1118"/>
      <c r="AL6287" s="1115"/>
      <c r="AM6287" s="1115"/>
      <c r="AN6287" s="1115"/>
      <c r="AO6287" s="1115"/>
      <c r="AP6287" s="1115"/>
      <c r="AQ6287" s="1115"/>
      <c r="AR6287" s="1115"/>
      <c r="AS6287" s="1117"/>
      <c r="AT6287" s="1075"/>
      <c r="AU6287" s="1193"/>
      <c r="AV6287" s="330"/>
      <c r="AW6287" s="331"/>
      <c r="AX6287" s="331"/>
      <c r="AY6287" s="331"/>
      <c r="AZ6287" s="331"/>
      <c r="BA6287" s="331"/>
      <c r="BB6287" s="331"/>
      <c r="BC6287" s="331"/>
      <c r="BD6287" s="331"/>
      <c r="BE6287" s="333"/>
      <c r="BF6287" s="330"/>
      <c r="BG6287" s="333"/>
      <c r="BH6287" s="1119"/>
      <c r="BI6287" s="319"/>
      <c r="BJ6287" s="319"/>
      <c r="BK6287" s="319"/>
      <c r="BL6287" s="319"/>
      <c r="BM6287" s="319"/>
      <c r="BN6287" s="319"/>
      <c r="BO6287" s="319"/>
      <c r="BP6287" s="953"/>
      <c r="BQ6287" s="319"/>
      <c r="BR6287" s="319"/>
      <c r="BS6287" s="330"/>
      <c r="BT6287" s="331"/>
      <c r="BU6287" s="920"/>
      <c r="BV6287" s="903"/>
      <c r="BW6287" s="908"/>
      <c r="BX6287" s="908"/>
      <c r="BY6287" s="331"/>
      <c r="BZ6287" s="331"/>
      <c r="CA6287" s="462"/>
      <c r="CB6287" s="319"/>
      <c r="CC6287" s="319"/>
      <c r="CD6287" s="319"/>
      <c r="CE6287" s="319"/>
      <c r="CF6287" s="319"/>
      <c r="CG6287" s="319"/>
      <c r="CH6287" s="318"/>
      <c r="CI6287" s="319"/>
      <c r="CJ6287" s="319"/>
      <c r="CK6287" s="342"/>
      <c r="CL6287" s="333"/>
      <c r="CM6287" s="1079"/>
      <c r="CN6287" s="1005"/>
      <c r="CO6287" s="1005"/>
      <c r="CP6287" s="1005"/>
    </row>
    <row r="6288">
      <c r="A6288" s="1257"/>
      <c r="B6288" s="1113"/>
      <c r="C6288" s="1107"/>
      <c r="D6288" s="103"/>
      <c r="E6288" s="1137"/>
      <c r="F6288" s="112"/>
      <c r="G6288" s="1110"/>
      <c r="H6288" s="1138"/>
      <c r="I6288" s="1138"/>
      <c r="J6288" s="1139"/>
      <c r="K6288" s="1111"/>
      <c r="L6288" s="1112"/>
      <c r="M6288" s="1113"/>
      <c r="N6288" s="110"/>
      <c r="O6288" s="1140"/>
      <c r="P6288" s="1115"/>
      <c r="Q6288" s="1116"/>
      <c r="R6288" s="1141"/>
      <c r="S6288" s="1113"/>
      <c r="T6288" s="1143"/>
      <c r="U6288" s="1108"/>
      <c r="V6288" s="1108"/>
      <c r="W6288" s="1108"/>
      <c r="X6288" s="1108"/>
      <c r="Y6288" s="1108"/>
      <c r="Z6288" s="1114"/>
      <c r="AA6288" s="1114"/>
      <c r="AB6288" s="1114"/>
      <c r="AC6288" s="1117"/>
      <c r="AD6288" s="1115"/>
      <c r="AE6288" s="1115"/>
      <c r="AF6288" s="1115"/>
      <c r="AG6288" s="1115"/>
      <c r="AH6288" s="1115"/>
      <c r="AI6288" s="1115"/>
      <c r="AJ6288" s="1117"/>
      <c r="AK6288" s="1118"/>
      <c r="AL6288" s="1115"/>
      <c r="AM6288" s="1115"/>
      <c r="AN6288" s="1115"/>
      <c r="AO6288" s="1115"/>
      <c r="AP6288" s="1115"/>
      <c r="AQ6288" s="1115"/>
      <c r="AR6288" s="1115"/>
      <c r="AS6288" s="1117"/>
      <c r="AT6288" s="1075"/>
      <c r="AU6288" s="1193"/>
      <c r="AV6288" s="330"/>
      <c r="AW6288" s="331"/>
      <c r="AX6288" s="331"/>
      <c r="AY6288" s="331"/>
      <c r="AZ6288" s="331"/>
      <c r="BA6288" s="331"/>
      <c r="BB6288" s="331"/>
      <c r="BC6288" s="331"/>
      <c r="BD6288" s="331"/>
      <c r="BE6288" s="333"/>
      <c r="BF6288" s="330"/>
      <c r="BG6288" s="333"/>
      <c r="BH6288" s="1119"/>
      <c r="BI6288" s="319"/>
      <c r="BJ6288" s="319"/>
      <c r="BK6288" s="319"/>
      <c r="BL6288" s="319"/>
      <c r="BM6288" s="319"/>
      <c r="BN6288" s="319"/>
      <c r="BO6288" s="319"/>
      <c r="BP6288" s="953"/>
      <c r="BQ6288" s="319"/>
      <c r="BR6288" s="319"/>
      <c r="BS6288" s="330"/>
      <c r="BT6288" s="331"/>
      <c r="BU6288" s="920"/>
      <c r="BV6288" s="903"/>
      <c r="BW6288" s="908"/>
      <c r="BX6288" s="908"/>
      <c r="BY6288" s="331"/>
      <c r="BZ6288" s="331"/>
      <c r="CA6288" s="462"/>
      <c r="CB6288" s="319"/>
      <c r="CC6288" s="319"/>
      <c r="CD6288" s="319"/>
      <c r="CE6288" s="319"/>
      <c r="CF6288" s="319"/>
      <c r="CG6288" s="319"/>
      <c r="CH6288" s="318"/>
      <c r="CI6288" s="319"/>
      <c r="CJ6288" s="319"/>
      <c r="CK6288" s="342"/>
      <c r="CL6288" s="333"/>
      <c r="CM6288" s="1079"/>
      <c r="CN6288" s="1005"/>
      <c r="CO6288" s="1005"/>
      <c r="CP6288" s="1005"/>
    </row>
    <row r="6289">
      <c r="A6289" s="1257"/>
      <c r="B6289" s="1113"/>
      <c r="C6289" s="1107"/>
      <c r="D6289" s="103"/>
      <c r="E6289" s="1137"/>
      <c r="F6289" s="112"/>
      <c r="G6289" s="1110"/>
      <c r="H6289" s="1138"/>
      <c r="I6289" s="1138"/>
      <c r="J6289" s="1139"/>
      <c r="K6289" s="1111"/>
      <c r="L6289" s="1112"/>
      <c r="M6289" s="1113"/>
      <c r="N6289" s="110"/>
      <c r="O6289" s="1140"/>
      <c r="P6289" s="1115"/>
      <c r="Q6289" s="1116"/>
      <c r="R6289" s="1141"/>
      <c r="S6289" s="1113"/>
      <c r="T6289" s="1143"/>
      <c r="U6289" s="1108"/>
      <c r="V6289" s="1108"/>
      <c r="W6289" s="1108"/>
      <c r="X6289" s="1108"/>
      <c r="Y6289" s="1108"/>
      <c r="Z6289" s="1114"/>
      <c r="AA6289" s="1114"/>
      <c r="AB6289" s="1114"/>
      <c r="AC6289" s="1117"/>
      <c r="AD6289" s="1115"/>
      <c r="AE6289" s="1115"/>
      <c r="AF6289" s="1115"/>
      <c r="AG6289" s="1115"/>
      <c r="AH6289" s="1115"/>
      <c r="AI6289" s="1115"/>
      <c r="AJ6289" s="1117"/>
      <c r="AK6289" s="1118"/>
      <c r="AL6289" s="1115"/>
      <c r="AM6289" s="1115"/>
      <c r="AN6289" s="1115"/>
      <c r="AO6289" s="1115"/>
      <c r="AP6289" s="1115"/>
      <c r="AQ6289" s="1115"/>
      <c r="AR6289" s="1115"/>
      <c r="AS6289" s="1117"/>
      <c r="AT6289" s="1075"/>
      <c r="AU6289" s="1193"/>
      <c r="AV6289" s="330"/>
      <c r="AW6289" s="331"/>
      <c r="AX6289" s="331"/>
      <c r="AY6289" s="331"/>
      <c r="AZ6289" s="331"/>
      <c r="BA6289" s="331"/>
      <c r="BB6289" s="331"/>
      <c r="BC6289" s="331"/>
      <c r="BD6289" s="331"/>
      <c r="BE6289" s="333"/>
      <c r="BF6289" s="330"/>
      <c r="BG6289" s="333"/>
      <c r="BH6289" s="1119"/>
      <c r="BI6289" s="319"/>
      <c r="BJ6289" s="319"/>
      <c r="BK6289" s="319"/>
      <c r="BL6289" s="319"/>
      <c r="BM6289" s="319"/>
      <c r="BN6289" s="319"/>
      <c r="BO6289" s="319"/>
      <c r="BP6289" s="953"/>
      <c r="BQ6289" s="319"/>
      <c r="BR6289" s="319"/>
      <c r="BS6289" s="330"/>
      <c r="BT6289" s="331"/>
      <c r="BU6289" s="920"/>
      <c r="BV6289" s="903"/>
      <c r="BW6289" s="908"/>
      <c r="BX6289" s="908"/>
      <c r="BY6289" s="331"/>
      <c r="BZ6289" s="331"/>
      <c r="CA6289" s="462"/>
      <c r="CB6289" s="319"/>
      <c r="CC6289" s="319"/>
      <c r="CD6289" s="319"/>
      <c r="CE6289" s="319"/>
      <c r="CF6289" s="319"/>
      <c r="CG6289" s="319"/>
      <c r="CH6289" s="318"/>
      <c r="CI6289" s="319"/>
      <c r="CJ6289" s="319"/>
      <c r="CK6289" s="342"/>
      <c r="CL6289" s="333"/>
      <c r="CM6289" s="1079"/>
      <c r="CN6289" s="1005"/>
      <c r="CO6289" s="1005"/>
      <c r="CP6289" s="1005"/>
    </row>
    <row r="6290">
      <c r="A6290" s="1257"/>
      <c r="B6290" s="1113"/>
      <c r="C6290" s="1107"/>
      <c r="D6290" s="103"/>
      <c r="E6290" s="1137"/>
      <c r="F6290" s="112"/>
      <c r="G6290" s="1110"/>
      <c r="H6290" s="1138"/>
      <c r="I6290" s="1138"/>
      <c r="J6290" s="1139"/>
      <c r="K6290" s="1111"/>
      <c r="L6290" s="1112"/>
      <c r="M6290" s="1113"/>
      <c r="N6290" s="110"/>
      <c r="O6290" s="1140"/>
      <c r="P6290" s="1115"/>
      <c r="Q6290" s="1116"/>
      <c r="R6290" s="1141"/>
      <c r="S6290" s="1113"/>
      <c r="T6290" s="1143"/>
      <c r="U6290" s="1108"/>
      <c r="V6290" s="1108"/>
      <c r="W6290" s="1108"/>
      <c r="X6290" s="1108"/>
      <c r="Y6290" s="1108"/>
      <c r="Z6290" s="1114"/>
      <c r="AA6290" s="1114"/>
      <c r="AB6290" s="1114"/>
      <c r="AC6290" s="1117"/>
      <c r="AD6290" s="1115"/>
      <c r="AE6290" s="1115"/>
      <c r="AF6290" s="1115"/>
      <c r="AG6290" s="1115"/>
      <c r="AH6290" s="1115"/>
      <c r="AI6290" s="1115"/>
      <c r="AJ6290" s="1117"/>
      <c r="AK6290" s="1118"/>
      <c r="AL6290" s="1115"/>
      <c r="AM6290" s="1115"/>
      <c r="AN6290" s="1115"/>
      <c r="AO6290" s="1115"/>
      <c r="AP6290" s="1115"/>
      <c r="AQ6290" s="1115"/>
      <c r="AR6290" s="1115"/>
      <c r="AS6290" s="1117"/>
      <c r="AT6290" s="1075"/>
      <c r="AU6290" s="1193"/>
      <c r="AV6290" s="330"/>
      <c r="AW6290" s="331"/>
      <c r="AX6290" s="331"/>
      <c r="AY6290" s="331"/>
      <c r="AZ6290" s="331"/>
      <c r="BA6290" s="331"/>
      <c r="BB6290" s="331"/>
      <c r="BC6290" s="331"/>
      <c r="BD6290" s="331"/>
      <c r="BE6290" s="333"/>
      <c r="BF6290" s="330"/>
      <c r="BG6290" s="333"/>
      <c r="BH6290" s="1119"/>
      <c r="BI6290" s="319"/>
      <c r="BJ6290" s="319"/>
      <c r="BK6290" s="319"/>
      <c r="BL6290" s="319"/>
      <c r="BM6290" s="319"/>
      <c r="BN6290" s="319"/>
      <c r="BO6290" s="319"/>
      <c r="BP6290" s="953"/>
      <c r="BQ6290" s="319"/>
      <c r="BR6290" s="319"/>
      <c r="BS6290" s="330"/>
      <c r="BT6290" s="331"/>
      <c r="BU6290" s="920"/>
      <c r="BV6290" s="903"/>
      <c r="BW6290" s="908"/>
      <c r="BX6290" s="908"/>
      <c r="BY6290" s="331"/>
      <c r="BZ6290" s="331"/>
      <c r="CA6290" s="462"/>
      <c r="CB6290" s="319"/>
      <c r="CC6290" s="319"/>
      <c r="CD6290" s="319"/>
      <c r="CE6290" s="319"/>
      <c r="CF6290" s="319"/>
      <c r="CG6290" s="319"/>
      <c r="CH6290" s="318"/>
      <c r="CI6290" s="319"/>
      <c r="CJ6290" s="319"/>
      <c r="CK6290" s="342"/>
      <c r="CL6290" s="333"/>
      <c r="CM6290" s="1079"/>
      <c r="CN6290" s="1005"/>
      <c r="CO6290" s="1005"/>
      <c r="CP6290" s="1005"/>
    </row>
    <row r="6291">
      <c r="A6291" s="1257"/>
      <c r="B6291" s="1113"/>
      <c r="C6291" s="1107"/>
      <c r="D6291" s="103"/>
      <c r="E6291" s="1137"/>
      <c r="F6291" s="112"/>
      <c r="G6291" s="1110"/>
      <c r="H6291" s="1138"/>
      <c r="I6291" s="1138"/>
      <c r="J6291" s="1139"/>
      <c r="K6291" s="1111"/>
      <c r="L6291" s="1112"/>
      <c r="M6291" s="1113"/>
      <c r="N6291" s="110"/>
      <c r="O6291" s="1140"/>
      <c r="P6291" s="1115"/>
      <c r="Q6291" s="1116"/>
      <c r="R6291" s="1141"/>
      <c r="S6291" s="1113"/>
      <c r="T6291" s="1143"/>
      <c r="U6291" s="1108"/>
      <c r="V6291" s="1108"/>
      <c r="W6291" s="1108"/>
      <c r="X6291" s="1108"/>
      <c r="Y6291" s="1108"/>
      <c r="Z6291" s="1114"/>
      <c r="AA6291" s="1114"/>
      <c r="AB6291" s="1114"/>
      <c r="AC6291" s="1117"/>
      <c r="AD6291" s="1115"/>
      <c r="AE6291" s="1115"/>
      <c r="AF6291" s="1115"/>
      <c r="AG6291" s="1115"/>
      <c r="AH6291" s="1115"/>
      <c r="AI6291" s="1115"/>
      <c r="AJ6291" s="1117"/>
      <c r="AK6291" s="1118"/>
      <c r="AL6291" s="1115"/>
      <c r="AM6291" s="1115"/>
      <c r="AN6291" s="1115"/>
      <c r="AO6291" s="1115"/>
      <c r="AP6291" s="1115"/>
      <c r="AQ6291" s="1115"/>
      <c r="AR6291" s="1115"/>
      <c r="AS6291" s="1117"/>
      <c r="AT6291" s="1075"/>
      <c r="AU6291" s="1193"/>
      <c r="AV6291" s="330"/>
      <c r="AW6291" s="331"/>
      <c r="AX6291" s="331"/>
      <c r="AY6291" s="331"/>
      <c r="AZ6291" s="331"/>
      <c r="BA6291" s="331"/>
      <c r="BB6291" s="331"/>
      <c r="BC6291" s="331"/>
      <c r="BD6291" s="331"/>
      <c r="BE6291" s="333"/>
      <c r="BF6291" s="330"/>
      <c r="BG6291" s="333"/>
      <c r="BH6291" s="1119"/>
      <c r="BI6291" s="319"/>
      <c r="BJ6291" s="319"/>
      <c r="BK6291" s="319"/>
      <c r="BL6291" s="319"/>
      <c r="BM6291" s="319"/>
      <c r="BN6291" s="319"/>
      <c r="BO6291" s="319"/>
      <c r="BP6291" s="953"/>
      <c r="BQ6291" s="319"/>
      <c r="BR6291" s="319"/>
      <c r="BS6291" s="330"/>
      <c r="BT6291" s="331"/>
      <c r="BU6291" s="920"/>
      <c r="BV6291" s="903"/>
      <c r="BW6291" s="908"/>
      <c r="BX6291" s="908"/>
      <c r="BY6291" s="331"/>
      <c r="BZ6291" s="331"/>
      <c r="CA6291" s="462"/>
      <c r="CB6291" s="319"/>
      <c r="CC6291" s="319"/>
      <c r="CD6291" s="319"/>
      <c r="CE6291" s="319"/>
      <c r="CF6291" s="319"/>
      <c r="CG6291" s="319"/>
      <c r="CH6291" s="318"/>
      <c r="CI6291" s="319"/>
      <c r="CJ6291" s="319"/>
      <c r="CK6291" s="342"/>
      <c r="CL6291" s="333"/>
      <c r="CM6291" s="1079"/>
      <c r="CN6291" s="1005"/>
      <c r="CO6291" s="1005"/>
      <c r="CP6291" s="1005"/>
    </row>
    <row r="6292">
      <c r="A6292" s="1257"/>
      <c r="B6292" s="1113"/>
      <c r="C6292" s="1107"/>
      <c r="D6292" s="103"/>
      <c r="E6292" s="1137"/>
      <c r="F6292" s="112"/>
      <c r="G6292" s="1110"/>
      <c r="H6292" s="1138"/>
      <c r="I6292" s="1138"/>
      <c r="J6292" s="1139"/>
      <c r="K6292" s="1111"/>
      <c r="L6292" s="1112"/>
      <c r="M6292" s="1113"/>
      <c r="N6292" s="110"/>
      <c r="O6292" s="1140"/>
      <c r="P6292" s="1115"/>
      <c r="Q6292" s="1116"/>
      <c r="R6292" s="1141"/>
      <c r="S6292" s="1113"/>
      <c r="T6292" s="1143"/>
      <c r="U6292" s="1108"/>
      <c r="V6292" s="1108"/>
      <c r="W6292" s="1108"/>
      <c r="X6292" s="1108"/>
      <c r="Y6292" s="1108"/>
      <c r="Z6292" s="1114"/>
      <c r="AA6292" s="1114"/>
      <c r="AB6292" s="1114"/>
      <c r="AC6292" s="1117"/>
      <c r="AD6292" s="1115"/>
      <c r="AE6292" s="1115"/>
      <c r="AF6292" s="1115"/>
      <c r="AG6292" s="1115"/>
      <c r="AH6292" s="1115"/>
      <c r="AI6292" s="1115"/>
      <c r="AJ6292" s="1117"/>
      <c r="AK6292" s="1118"/>
      <c r="AL6292" s="1115"/>
      <c r="AM6292" s="1115"/>
      <c r="AN6292" s="1115"/>
      <c r="AO6292" s="1115"/>
      <c r="AP6292" s="1115"/>
      <c r="AQ6292" s="1115"/>
      <c r="AR6292" s="1115"/>
      <c r="AS6292" s="1117"/>
      <c r="AT6292" s="1075"/>
      <c r="AU6292" s="1193"/>
      <c r="AV6292" s="330"/>
      <c r="AW6292" s="331"/>
      <c r="AX6292" s="331"/>
      <c r="AY6292" s="331"/>
      <c r="AZ6292" s="331"/>
      <c r="BA6292" s="331"/>
      <c r="BB6292" s="331"/>
      <c r="BC6292" s="331"/>
      <c r="BD6292" s="331"/>
      <c r="BE6292" s="333"/>
      <c r="BF6292" s="330"/>
      <c r="BG6292" s="333"/>
      <c r="BH6292" s="1119"/>
      <c r="BI6292" s="319"/>
      <c r="BJ6292" s="319"/>
      <c r="BK6292" s="319"/>
      <c r="BL6292" s="319"/>
      <c r="BM6292" s="319"/>
      <c r="BN6292" s="319"/>
      <c r="BO6292" s="319"/>
      <c r="BP6292" s="953"/>
      <c r="BQ6292" s="319"/>
      <c r="BR6292" s="319"/>
      <c r="BS6292" s="330"/>
      <c r="BT6292" s="331"/>
      <c r="BU6292" s="920"/>
      <c r="BV6292" s="903"/>
      <c r="BW6292" s="908"/>
      <c r="BX6292" s="908"/>
      <c r="BY6292" s="331"/>
      <c r="BZ6292" s="331"/>
      <c r="CA6292" s="462"/>
      <c r="CB6292" s="319"/>
      <c r="CC6292" s="319"/>
      <c r="CD6292" s="319"/>
      <c r="CE6292" s="319"/>
      <c r="CF6292" s="319"/>
      <c r="CG6292" s="319"/>
      <c r="CH6292" s="318"/>
      <c r="CI6292" s="319"/>
      <c r="CJ6292" s="319"/>
      <c r="CK6292" s="342"/>
      <c r="CL6292" s="333"/>
      <c r="CM6292" s="1079"/>
      <c r="CN6292" s="1005"/>
      <c r="CO6292" s="1005"/>
      <c r="CP6292" s="1005"/>
    </row>
    <row r="6293">
      <c r="A6293" s="1257"/>
      <c r="B6293" s="1113"/>
      <c r="C6293" s="1107"/>
      <c r="D6293" s="103"/>
      <c r="E6293" s="1137"/>
      <c r="F6293" s="112"/>
      <c r="G6293" s="1110"/>
      <c r="H6293" s="1138"/>
      <c r="I6293" s="1138"/>
      <c r="J6293" s="1139"/>
      <c r="K6293" s="1111"/>
      <c r="L6293" s="1112"/>
      <c r="M6293" s="1113"/>
      <c r="N6293" s="110"/>
      <c r="O6293" s="1140"/>
      <c r="P6293" s="1115"/>
      <c r="Q6293" s="1116"/>
      <c r="R6293" s="1141"/>
      <c r="S6293" s="1113"/>
      <c r="T6293" s="1143"/>
      <c r="U6293" s="1108"/>
      <c r="V6293" s="1108"/>
      <c r="W6293" s="1108"/>
      <c r="X6293" s="1108"/>
      <c r="Y6293" s="1108"/>
      <c r="Z6293" s="1114"/>
      <c r="AA6293" s="1114"/>
      <c r="AB6293" s="1114"/>
      <c r="AC6293" s="1117"/>
      <c r="AD6293" s="1115"/>
      <c r="AE6293" s="1115"/>
      <c r="AF6293" s="1115"/>
      <c r="AG6293" s="1115"/>
      <c r="AH6293" s="1115"/>
      <c r="AI6293" s="1115"/>
      <c r="AJ6293" s="1117"/>
      <c r="AK6293" s="1118"/>
      <c r="AL6293" s="1115"/>
      <c r="AM6293" s="1115"/>
      <c r="AN6293" s="1115"/>
      <c r="AO6293" s="1115"/>
      <c r="AP6293" s="1115"/>
      <c r="AQ6293" s="1115"/>
      <c r="AR6293" s="1115"/>
      <c r="AS6293" s="1117"/>
      <c r="AT6293" s="1075"/>
      <c r="AU6293" s="1193"/>
      <c r="AV6293" s="330"/>
      <c r="AW6293" s="331"/>
      <c r="AX6293" s="331"/>
      <c r="AY6293" s="331"/>
      <c r="AZ6293" s="331"/>
      <c r="BA6293" s="331"/>
      <c r="BB6293" s="331"/>
      <c r="BC6293" s="331"/>
      <c r="BD6293" s="331"/>
      <c r="BE6293" s="333"/>
      <c r="BF6293" s="330"/>
      <c r="BG6293" s="333"/>
      <c r="BH6293" s="1119"/>
      <c r="BI6293" s="319"/>
      <c r="BJ6293" s="319"/>
      <c r="BK6293" s="319"/>
      <c r="BL6293" s="319"/>
      <c r="BM6293" s="319"/>
      <c r="BN6293" s="319"/>
      <c r="BO6293" s="319"/>
      <c r="BP6293" s="953"/>
      <c r="BQ6293" s="319"/>
      <c r="BR6293" s="319"/>
      <c r="BS6293" s="330"/>
      <c r="BT6293" s="331"/>
      <c r="BU6293" s="920"/>
      <c r="BV6293" s="903"/>
      <c r="BW6293" s="908"/>
      <c r="BX6293" s="908"/>
      <c r="BY6293" s="331"/>
      <c r="BZ6293" s="331"/>
      <c r="CA6293" s="462"/>
      <c r="CB6293" s="319"/>
      <c r="CC6293" s="319"/>
      <c r="CD6293" s="319"/>
      <c r="CE6293" s="319"/>
      <c r="CF6293" s="319"/>
      <c r="CG6293" s="319"/>
      <c r="CH6293" s="318"/>
      <c r="CI6293" s="319"/>
      <c r="CJ6293" s="319"/>
      <c r="CK6293" s="342"/>
      <c r="CL6293" s="333"/>
      <c r="CM6293" s="1079"/>
      <c r="CN6293" s="1005"/>
      <c r="CO6293" s="1005"/>
      <c r="CP6293" s="1005"/>
    </row>
    <row r="6294">
      <c r="A6294" s="1257"/>
      <c r="B6294" s="1113"/>
      <c r="C6294" s="1107"/>
      <c r="D6294" s="103"/>
      <c r="E6294" s="1137"/>
      <c r="F6294" s="112"/>
      <c r="G6294" s="1110"/>
      <c r="H6294" s="1138"/>
      <c r="I6294" s="1138"/>
      <c r="J6294" s="1139"/>
      <c r="K6294" s="1111"/>
      <c r="L6294" s="1112"/>
      <c r="M6294" s="1113"/>
      <c r="N6294" s="110"/>
      <c r="O6294" s="1140"/>
      <c r="P6294" s="1115"/>
      <c r="Q6294" s="1116"/>
      <c r="R6294" s="1141"/>
      <c r="S6294" s="1113"/>
      <c r="T6294" s="1143"/>
      <c r="U6294" s="1108"/>
      <c r="V6294" s="1108"/>
      <c r="W6294" s="1108"/>
      <c r="X6294" s="1108"/>
      <c r="Y6294" s="1108"/>
      <c r="Z6294" s="1114"/>
      <c r="AA6294" s="1114"/>
      <c r="AB6294" s="1114"/>
      <c r="AC6294" s="1117"/>
      <c r="AD6294" s="1115"/>
      <c r="AE6294" s="1115"/>
      <c r="AF6294" s="1115"/>
      <c r="AG6294" s="1115"/>
      <c r="AH6294" s="1115"/>
      <c r="AI6294" s="1115"/>
      <c r="AJ6294" s="1117"/>
      <c r="AK6294" s="1118"/>
      <c r="AL6294" s="1115"/>
      <c r="AM6294" s="1115"/>
      <c r="AN6294" s="1115"/>
      <c r="AO6294" s="1115"/>
      <c r="AP6294" s="1115"/>
      <c r="AQ6294" s="1115"/>
      <c r="AR6294" s="1115"/>
      <c r="AS6294" s="1117"/>
      <c r="AT6294" s="1075"/>
      <c r="AU6294" s="1193"/>
      <c r="AV6294" s="330"/>
      <c r="AW6294" s="331"/>
      <c r="AX6294" s="331"/>
      <c r="AY6294" s="331"/>
      <c r="AZ6294" s="331"/>
      <c r="BA6294" s="331"/>
      <c r="BB6294" s="331"/>
      <c r="BC6294" s="331"/>
      <c r="BD6294" s="331"/>
      <c r="BE6294" s="333"/>
      <c r="BF6294" s="330"/>
      <c r="BG6294" s="333"/>
      <c r="BH6294" s="1119"/>
      <c r="BI6294" s="319"/>
      <c r="BJ6294" s="319"/>
      <c r="BK6294" s="319"/>
      <c r="BL6294" s="319"/>
      <c r="BM6294" s="319"/>
      <c r="BN6294" s="319"/>
      <c r="BO6294" s="319"/>
      <c r="BP6294" s="953"/>
      <c r="BQ6294" s="319"/>
      <c r="BR6294" s="319"/>
      <c r="BS6294" s="330"/>
      <c r="BT6294" s="331"/>
      <c r="BU6294" s="920"/>
      <c r="BV6294" s="903"/>
      <c r="BW6294" s="908"/>
      <c r="BX6294" s="908"/>
      <c r="BY6294" s="331"/>
      <c r="BZ6294" s="331"/>
      <c r="CA6294" s="462"/>
      <c r="CB6294" s="319"/>
      <c r="CC6294" s="319"/>
      <c r="CD6294" s="319"/>
      <c r="CE6294" s="319"/>
      <c r="CF6294" s="319"/>
      <c r="CG6294" s="319"/>
      <c r="CH6294" s="318"/>
      <c r="CI6294" s="319"/>
      <c r="CJ6294" s="319"/>
      <c r="CK6294" s="342"/>
      <c r="CL6294" s="333"/>
      <c r="CM6294" s="1079"/>
      <c r="CN6294" s="1005"/>
      <c r="CO6294" s="1005"/>
      <c r="CP6294" s="1005"/>
    </row>
    <row r="6295">
      <c r="A6295" s="1257"/>
      <c r="B6295" s="1113"/>
      <c r="C6295" s="1107"/>
      <c r="D6295" s="103"/>
      <c r="E6295" s="1137"/>
      <c r="F6295" s="112"/>
      <c r="G6295" s="1110"/>
      <c r="H6295" s="1138"/>
      <c r="I6295" s="1138"/>
      <c r="J6295" s="1139"/>
      <c r="K6295" s="1111"/>
      <c r="L6295" s="1112"/>
      <c r="M6295" s="1113"/>
      <c r="N6295" s="110"/>
      <c r="O6295" s="1140"/>
      <c r="P6295" s="1115"/>
      <c r="Q6295" s="1116"/>
      <c r="R6295" s="1141"/>
      <c r="S6295" s="1113"/>
      <c r="T6295" s="1143"/>
      <c r="U6295" s="1108"/>
      <c r="V6295" s="1108"/>
      <c r="W6295" s="1108"/>
      <c r="X6295" s="1108"/>
      <c r="Y6295" s="1108"/>
      <c r="Z6295" s="1114"/>
      <c r="AA6295" s="1114"/>
      <c r="AB6295" s="1114"/>
      <c r="AC6295" s="1117"/>
      <c r="AD6295" s="1115"/>
      <c r="AE6295" s="1115"/>
      <c r="AF6295" s="1115"/>
      <c r="AG6295" s="1115"/>
      <c r="AH6295" s="1115"/>
      <c r="AI6295" s="1115"/>
      <c r="AJ6295" s="1117"/>
      <c r="AK6295" s="1118"/>
      <c r="AL6295" s="1115"/>
      <c r="AM6295" s="1115"/>
      <c r="AN6295" s="1115"/>
      <c r="AO6295" s="1115"/>
      <c r="AP6295" s="1115"/>
      <c r="AQ6295" s="1115"/>
      <c r="AR6295" s="1115"/>
      <c r="AS6295" s="1117"/>
      <c r="AT6295" s="1075"/>
      <c r="AU6295" s="1193"/>
      <c r="AV6295" s="330"/>
      <c r="AW6295" s="331"/>
      <c r="AX6295" s="331"/>
      <c r="AY6295" s="331"/>
      <c r="AZ6295" s="331"/>
      <c r="BA6295" s="331"/>
      <c r="BB6295" s="331"/>
      <c r="BC6295" s="331"/>
      <c r="BD6295" s="331"/>
      <c r="BE6295" s="333"/>
      <c r="BF6295" s="330"/>
      <c r="BG6295" s="333"/>
      <c r="BH6295" s="1119"/>
      <c r="BI6295" s="319"/>
      <c r="BJ6295" s="319"/>
      <c r="BK6295" s="319"/>
      <c r="BL6295" s="319"/>
      <c r="BM6295" s="319"/>
      <c r="BN6295" s="319"/>
      <c r="BO6295" s="319"/>
      <c r="BP6295" s="953"/>
      <c r="BQ6295" s="319"/>
      <c r="BR6295" s="319"/>
      <c r="BS6295" s="330"/>
      <c r="BT6295" s="331"/>
      <c r="BU6295" s="920"/>
      <c r="BV6295" s="903"/>
      <c r="BW6295" s="908"/>
      <c r="BX6295" s="908"/>
      <c r="BY6295" s="331"/>
      <c r="BZ6295" s="331"/>
      <c r="CA6295" s="462"/>
      <c r="CB6295" s="319"/>
      <c r="CC6295" s="319"/>
      <c r="CD6295" s="319"/>
      <c r="CE6295" s="319"/>
      <c r="CF6295" s="319"/>
      <c r="CG6295" s="319"/>
      <c r="CH6295" s="318"/>
      <c r="CI6295" s="319"/>
      <c r="CJ6295" s="319"/>
      <c r="CK6295" s="342"/>
      <c r="CL6295" s="333"/>
      <c r="CM6295" s="1079"/>
      <c r="CN6295" s="1005"/>
      <c r="CO6295" s="1005"/>
      <c r="CP6295" s="1005"/>
    </row>
    <row r="6296">
      <c r="A6296" s="1257"/>
      <c r="B6296" s="1113"/>
      <c r="C6296" s="1107"/>
      <c r="D6296" s="103"/>
      <c r="E6296" s="1137"/>
      <c r="F6296" s="112"/>
      <c r="G6296" s="1110"/>
      <c r="H6296" s="1138"/>
      <c r="I6296" s="1138"/>
      <c r="J6296" s="1139"/>
      <c r="K6296" s="1111"/>
      <c r="L6296" s="1112"/>
      <c r="M6296" s="1113"/>
      <c r="N6296" s="110"/>
      <c r="O6296" s="1140"/>
      <c r="P6296" s="1115"/>
      <c r="Q6296" s="1116"/>
      <c r="R6296" s="1141"/>
      <c r="S6296" s="1113"/>
      <c r="T6296" s="1143"/>
      <c r="U6296" s="1108"/>
      <c r="V6296" s="1108"/>
      <c r="W6296" s="1108"/>
      <c r="X6296" s="1108"/>
      <c r="Y6296" s="1108"/>
      <c r="Z6296" s="1114"/>
      <c r="AA6296" s="1114"/>
      <c r="AB6296" s="1114"/>
      <c r="AC6296" s="1117"/>
      <c r="AD6296" s="1115"/>
      <c r="AE6296" s="1115"/>
      <c r="AF6296" s="1115"/>
      <c r="AG6296" s="1115"/>
      <c r="AH6296" s="1115"/>
      <c r="AI6296" s="1115"/>
      <c r="AJ6296" s="1117"/>
      <c r="AK6296" s="1118"/>
      <c r="AL6296" s="1115"/>
      <c r="AM6296" s="1115"/>
      <c r="AN6296" s="1115"/>
      <c r="AO6296" s="1115"/>
      <c r="AP6296" s="1115"/>
      <c r="AQ6296" s="1115"/>
      <c r="AR6296" s="1115"/>
      <c r="AS6296" s="1117"/>
      <c r="AT6296" s="1075"/>
      <c r="AU6296" s="1193"/>
      <c r="AV6296" s="330"/>
      <c r="AW6296" s="331"/>
      <c r="AX6296" s="331"/>
      <c r="AY6296" s="331"/>
      <c r="AZ6296" s="331"/>
      <c r="BA6296" s="331"/>
      <c r="BB6296" s="331"/>
      <c r="BC6296" s="331"/>
      <c r="BD6296" s="331"/>
      <c r="BE6296" s="333"/>
      <c r="BF6296" s="330"/>
      <c r="BG6296" s="333"/>
      <c r="BH6296" s="1119"/>
      <c r="BI6296" s="319"/>
      <c r="BJ6296" s="319"/>
      <c r="BK6296" s="319"/>
      <c r="BL6296" s="319"/>
      <c r="BM6296" s="319"/>
      <c r="BN6296" s="319"/>
      <c r="BO6296" s="319"/>
      <c r="BP6296" s="953"/>
      <c r="BQ6296" s="319"/>
      <c r="BR6296" s="319"/>
      <c r="BS6296" s="330"/>
      <c r="BT6296" s="331"/>
      <c r="BU6296" s="920"/>
      <c r="BV6296" s="903"/>
      <c r="BW6296" s="908"/>
      <c r="BX6296" s="908"/>
      <c r="BY6296" s="331"/>
      <c r="BZ6296" s="331"/>
      <c r="CA6296" s="462"/>
      <c r="CB6296" s="319"/>
      <c r="CC6296" s="319"/>
      <c r="CD6296" s="319"/>
      <c r="CE6296" s="319"/>
      <c r="CF6296" s="319"/>
      <c r="CG6296" s="319"/>
      <c r="CH6296" s="318"/>
      <c r="CI6296" s="319"/>
      <c r="CJ6296" s="319"/>
      <c r="CK6296" s="342"/>
      <c r="CL6296" s="333"/>
      <c r="CM6296" s="1079"/>
      <c r="CN6296" s="1005"/>
      <c r="CO6296" s="1005"/>
      <c r="CP6296" s="1005"/>
    </row>
    <row r="6297">
      <c r="A6297" s="1257"/>
      <c r="B6297" s="1113"/>
      <c r="C6297" s="1107"/>
      <c r="D6297" s="103"/>
      <c r="E6297" s="1137"/>
      <c r="F6297" s="112"/>
      <c r="G6297" s="1110"/>
      <c r="H6297" s="1138"/>
      <c r="I6297" s="1138"/>
      <c r="J6297" s="1139"/>
      <c r="K6297" s="1111"/>
      <c r="L6297" s="1112"/>
      <c r="M6297" s="1113"/>
      <c r="N6297" s="110"/>
      <c r="O6297" s="1140"/>
      <c r="P6297" s="1115"/>
      <c r="Q6297" s="1116"/>
      <c r="R6297" s="1141"/>
      <c r="S6297" s="1113"/>
      <c r="T6297" s="1143"/>
      <c r="U6297" s="1108"/>
      <c r="V6297" s="1108"/>
      <c r="W6297" s="1108"/>
      <c r="X6297" s="1108"/>
      <c r="Y6297" s="1108"/>
      <c r="Z6297" s="1114"/>
      <c r="AA6297" s="1114"/>
      <c r="AB6297" s="1114"/>
      <c r="AC6297" s="1117"/>
      <c r="AD6297" s="1115"/>
      <c r="AE6297" s="1115"/>
      <c r="AF6297" s="1115"/>
      <c r="AG6297" s="1115"/>
      <c r="AH6297" s="1115"/>
      <c r="AI6297" s="1115"/>
      <c r="AJ6297" s="1117"/>
      <c r="AK6297" s="1118"/>
      <c r="AL6297" s="1115"/>
      <c r="AM6297" s="1115"/>
      <c r="AN6297" s="1115"/>
      <c r="AO6297" s="1115"/>
      <c r="AP6297" s="1115"/>
      <c r="AQ6297" s="1115"/>
      <c r="AR6297" s="1115"/>
      <c r="AS6297" s="1117"/>
      <c r="AT6297" s="1075"/>
      <c r="AU6297" s="1193"/>
      <c r="AV6297" s="330"/>
      <c r="AW6297" s="331"/>
      <c r="AX6297" s="331"/>
      <c r="AY6297" s="331"/>
      <c r="AZ6297" s="331"/>
      <c r="BA6297" s="331"/>
      <c r="BB6297" s="331"/>
      <c r="BC6297" s="331"/>
      <c r="BD6297" s="331"/>
      <c r="BE6297" s="333"/>
      <c r="BF6297" s="330"/>
      <c r="BG6297" s="333"/>
      <c r="BH6297" s="1119"/>
      <c r="BI6297" s="319"/>
      <c r="BJ6297" s="319"/>
      <c r="BK6297" s="319"/>
      <c r="BL6297" s="319"/>
      <c r="BM6297" s="319"/>
      <c r="BN6297" s="319"/>
      <c r="BO6297" s="319"/>
      <c r="BP6297" s="953"/>
      <c r="BQ6297" s="319"/>
      <c r="BR6297" s="319"/>
      <c r="BS6297" s="330"/>
      <c r="BT6297" s="331"/>
      <c r="BU6297" s="920"/>
      <c r="BV6297" s="903"/>
      <c r="BW6297" s="908"/>
      <c r="BX6297" s="908"/>
      <c r="BY6297" s="331"/>
      <c r="BZ6297" s="331"/>
      <c r="CA6297" s="462"/>
      <c r="CB6297" s="319"/>
      <c r="CC6297" s="319"/>
      <c r="CD6297" s="319"/>
      <c r="CE6297" s="319"/>
      <c r="CF6297" s="319"/>
      <c r="CG6297" s="319"/>
      <c r="CH6297" s="318"/>
      <c r="CI6297" s="319"/>
      <c r="CJ6297" s="319"/>
      <c r="CK6297" s="342"/>
      <c r="CL6297" s="333"/>
      <c r="CM6297" s="1079"/>
      <c r="CN6297" s="1005"/>
      <c r="CO6297" s="1005"/>
      <c r="CP6297" s="1005"/>
    </row>
    <row r="6298">
      <c r="A6298" s="1257"/>
      <c r="B6298" s="1113"/>
      <c r="C6298" s="1107"/>
      <c r="D6298" s="103"/>
      <c r="E6298" s="1137"/>
      <c r="F6298" s="112"/>
      <c r="G6298" s="1110"/>
      <c r="H6298" s="1138"/>
      <c r="I6298" s="1138"/>
      <c r="J6298" s="1139"/>
      <c r="K6298" s="1111"/>
      <c r="L6298" s="1112"/>
      <c r="M6298" s="1113"/>
      <c r="N6298" s="110"/>
      <c r="O6298" s="1140"/>
      <c r="P6298" s="1115"/>
      <c r="Q6298" s="1116"/>
      <c r="R6298" s="1141"/>
      <c r="S6298" s="1113"/>
      <c r="T6298" s="1143"/>
      <c r="U6298" s="1108"/>
      <c r="V6298" s="1108"/>
      <c r="W6298" s="1108"/>
      <c r="X6298" s="1108"/>
      <c r="Y6298" s="1108"/>
      <c r="Z6298" s="1114"/>
      <c r="AA6298" s="1114"/>
      <c r="AB6298" s="1114"/>
      <c r="AC6298" s="1117"/>
      <c r="AD6298" s="1115"/>
      <c r="AE6298" s="1115"/>
      <c r="AF6298" s="1115"/>
      <c r="AG6298" s="1115"/>
      <c r="AH6298" s="1115"/>
      <c r="AI6298" s="1115"/>
      <c r="AJ6298" s="1117"/>
      <c r="AK6298" s="1118"/>
      <c r="AL6298" s="1115"/>
      <c r="AM6298" s="1115"/>
      <c r="AN6298" s="1115"/>
      <c r="AO6298" s="1115"/>
      <c r="AP6298" s="1115"/>
      <c r="AQ6298" s="1115"/>
      <c r="AR6298" s="1115"/>
      <c r="AS6298" s="1117"/>
      <c r="AT6298" s="1075"/>
      <c r="AU6298" s="1193"/>
      <c r="AV6298" s="330"/>
      <c r="AW6298" s="331"/>
      <c r="AX6298" s="331"/>
      <c r="AY6298" s="331"/>
      <c r="AZ6298" s="331"/>
      <c r="BA6298" s="331"/>
      <c r="BB6298" s="331"/>
      <c r="BC6298" s="331"/>
      <c r="BD6298" s="331"/>
      <c r="BE6298" s="333"/>
      <c r="BF6298" s="330"/>
      <c r="BG6298" s="333"/>
      <c r="BH6298" s="1119"/>
      <c r="BI6298" s="319"/>
      <c r="BJ6298" s="319"/>
      <c r="BK6298" s="319"/>
      <c r="BL6298" s="319"/>
      <c r="BM6298" s="319"/>
      <c r="BN6298" s="319"/>
      <c r="BO6298" s="319"/>
      <c r="BP6298" s="953"/>
      <c r="BQ6298" s="319"/>
      <c r="BR6298" s="319"/>
      <c r="BS6298" s="330"/>
      <c r="BT6298" s="331"/>
      <c r="BU6298" s="920"/>
      <c r="BV6298" s="903"/>
      <c r="BW6298" s="908"/>
      <c r="BX6298" s="908"/>
      <c r="BY6298" s="331"/>
      <c r="BZ6298" s="331"/>
      <c r="CA6298" s="462"/>
      <c r="CB6298" s="319"/>
      <c r="CC6298" s="319"/>
      <c r="CD6298" s="319"/>
      <c r="CE6298" s="319"/>
      <c r="CF6298" s="319"/>
      <c r="CG6298" s="319"/>
      <c r="CH6298" s="318"/>
      <c r="CI6298" s="319"/>
      <c r="CJ6298" s="319"/>
      <c r="CK6298" s="342"/>
      <c r="CL6298" s="333"/>
      <c r="CM6298" s="1079"/>
      <c r="CN6298" s="1005"/>
      <c r="CO6298" s="1005"/>
      <c r="CP6298" s="1005"/>
    </row>
    <row r="6299">
      <c r="A6299" s="1257"/>
      <c r="B6299" s="1113"/>
      <c r="C6299" s="1107"/>
      <c r="D6299" s="103"/>
      <c r="E6299" s="1137"/>
      <c r="F6299" s="112"/>
      <c r="G6299" s="1110"/>
      <c r="H6299" s="1138"/>
      <c r="I6299" s="1138"/>
      <c r="J6299" s="1139"/>
      <c r="K6299" s="1111"/>
      <c r="L6299" s="1112"/>
      <c r="M6299" s="1113"/>
      <c r="N6299" s="110"/>
      <c r="O6299" s="1140"/>
      <c r="P6299" s="1115"/>
      <c r="Q6299" s="1116"/>
      <c r="R6299" s="1141"/>
      <c r="S6299" s="1113"/>
      <c r="T6299" s="1143"/>
      <c r="U6299" s="1108"/>
      <c r="V6299" s="1108"/>
      <c r="W6299" s="1108"/>
      <c r="X6299" s="1108"/>
      <c r="Y6299" s="1108"/>
      <c r="Z6299" s="1114"/>
      <c r="AA6299" s="1114"/>
      <c r="AB6299" s="1114"/>
      <c r="AC6299" s="1117"/>
      <c r="AD6299" s="1115"/>
      <c r="AE6299" s="1115"/>
      <c r="AF6299" s="1115"/>
      <c r="AG6299" s="1115"/>
      <c r="AH6299" s="1115"/>
      <c r="AI6299" s="1115"/>
      <c r="AJ6299" s="1117"/>
      <c r="AK6299" s="1118"/>
      <c r="AL6299" s="1115"/>
      <c r="AM6299" s="1115"/>
      <c r="AN6299" s="1115"/>
      <c r="AO6299" s="1115"/>
      <c r="AP6299" s="1115"/>
      <c r="AQ6299" s="1115"/>
      <c r="AR6299" s="1115"/>
      <c r="AS6299" s="1117"/>
      <c r="AT6299" s="1075"/>
      <c r="AU6299" s="1193"/>
      <c r="AV6299" s="330"/>
      <c r="AW6299" s="331"/>
      <c r="AX6299" s="331"/>
      <c r="AY6299" s="331"/>
      <c r="AZ6299" s="331"/>
      <c r="BA6299" s="331"/>
      <c r="BB6299" s="331"/>
      <c r="BC6299" s="331"/>
      <c r="BD6299" s="331"/>
      <c r="BE6299" s="333"/>
      <c r="BF6299" s="330"/>
      <c r="BG6299" s="333"/>
      <c r="BH6299" s="1119"/>
      <c r="BI6299" s="319"/>
      <c r="BJ6299" s="319"/>
      <c r="BK6299" s="319"/>
      <c r="BL6299" s="319"/>
      <c r="BM6299" s="319"/>
      <c r="BN6299" s="319"/>
      <c r="BO6299" s="319"/>
      <c r="BP6299" s="953"/>
      <c r="BQ6299" s="319"/>
      <c r="BR6299" s="319"/>
      <c r="BS6299" s="330"/>
      <c r="BT6299" s="331"/>
      <c r="BU6299" s="920"/>
      <c r="BV6299" s="903"/>
      <c r="BW6299" s="908"/>
      <c r="BX6299" s="908"/>
      <c r="BY6299" s="331"/>
      <c r="BZ6299" s="331"/>
      <c r="CA6299" s="462"/>
      <c r="CB6299" s="319"/>
      <c r="CC6299" s="319"/>
      <c r="CD6299" s="319"/>
      <c r="CE6299" s="319"/>
      <c r="CF6299" s="319"/>
      <c r="CG6299" s="319"/>
      <c r="CH6299" s="318"/>
      <c r="CI6299" s="319"/>
      <c r="CJ6299" s="319"/>
      <c r="CK6299" s="342"/>
      <c r="CL6299" s="333"/>
      <c r="CM6299" s="1079"/>
      <c r="CN6299" s="1005"/>
      <c r="CO6299" s="1005"/>
      <c r="CP6299" s="1005"/>
    </row>
    <row r="6300">
      <c r="A6300" s="1257"/>
      <c r="B6300" s="1113"/>
      <c r="C6300" s="1107"/>
      <c r="D6300" s="103"/>
      <c r="E6300" s="1137"/>
      <c r="F6300" s="112"/>
      <c r="G6300" s="1110"/>
      <c r="H6300" s="1138"/>
      <c r="I6300" s="1138"/>
      <c r="J6300" s="1139"/>
      <c r="K6300" s="1111"/>
      <c r="L6300" s="1112"/>
      <c r="M6300" s="1113"/>
      <c r="N6300" s="110"/>
      <c r="O6300" s="1140"/>
      <c r="P6300" s="1115"/>
      <c r="Q6300" s="1116"/>
      <c r="R6300" s="1141"/>
      <c r="S6300" s="1113"/>
      <c r="T6300" s="1143"/>
      <c r="U6300" s="1108"/>
      <c r="V6300" s="1108"/>
      <c r="W6300" s="1108"/>
      <c r="X6300" s="1108"/>
      <c r="Y6300" s="1108"/>
      <c r="Z6300" s="1114"/>
      <c r="AA6300" s="1114"/>
      <c r="AB6300" s="1114"/>
      <c r="AC6300" s="1117"/>
      <c r="AD6300" s="1115"/>
      <c r="AE6300" s="1115"/>
      <c r="AF6300" s="1115"/>
      <c r="AG6300" s="1115"/>
      <c r="AH6300" s="1115"/>
      <c r="AI6300" s="1115"/>
      <c r="AJ6300" s="1117"/>
      <c r="AK6300" s="1118"/>
      <c r="AL6300" s="1115"/>
      <c r="AM6300" s="1115"/>
      <c r="AN6300" s="1115"/>
      <c r="AO6300" s="1115"/>
      <c r="AP6300" s="1115"/>
      <c r="AQ6300" s="1115"/>
      <c r="AR6300" s="1115"/>
      <c r="AS6300" s="1117"/>
      <c r="AT6300" s="1075"/>
      <c r="AU6300" s="1193"/>
      <c r="AV6300" s="330"/>
      <c r="AW6300" s="331"/>
      <c r="AX6300" s="331"/>
      <c r="AY6300" s="331"/>
      <c r="AZ6300" s="331"/>
      <c r="BA6300" s="331"/>
      <c r="BB6300" s="331"/>
      <c r="BC6300" s="331"/>
      <c r="BD6300" s="331"/>
      <c r="BE6300" s="333"/>
      <c r="BF6300" s="330"/>
      <c r="BG6300" s="333"/>
      <c r="BH6300" s="1119"/>
      <c r="BI6300" s="319"/>
      <c r="BJ6300" s="319"/>
      <c r="BK6300" s="319"/>
      <c r="BL6300" s="319"/>
      <c r="BM6300" s="319"/>
      <c r="BN6300" s="319"/>
      <c r="BO6300" s="319"/>
      <c r="BP6300" s="953"/>
      <c r="BQ6300" s="319"/>
      <c r="BR6300" s="319"/>
      <c r="BS6300" s="330"/>
      <c r="BT6300" s="331"/>
      <c r="BU6300" s="920"/>
      <c r="BV6300" s="903"/>
      <c r="BW6300" s="908"/>
      <c r="BX6300" s="908"/>
      <c r="BY6300" s="331"/>
      <c r="BZ6300" s="331"/>
      <c r="CA6300" s="462"/>
      <c r="CB6300" s="319"/>
      <c r="CC6300" s="319"/>
      <c r="CD6300" s="319"/>
      <c r="CE6300" s="319"/>
      <c r="CF6300" s="319"/>
      <c r="CG6300" s="319"/>
      <c r="CH6300" s="318"/>
      <c r="CI6300" s="319"/>
      <c r="CJ6300" s="319"/>
      <c r="CK6300" s="342"/>
      <c r="CL6300" s="333"/>
      <c r="CM6300" s="1079"/>
      <c r="CN6300" s="1005"/>
      <c r="CO6300" s="1005"/>
      <c r="CP6300" s="1005"/>
    </row>
    <row r="6301">
      <c r="A6301" s="1257"/>
      <c r="B6301" s="1113"/>
      <c r="C6301" s="1107"/>
      <c r="D6301" s="103"/>
      <c r="E6301" s="1137"/>
      <c r="F6301" s="112"/>
      <c r="G6301" s="1110"/>
      <c r="H6301" s="1138"/>
      <c r="I6301" s="1138"/>
      <c r="J6301" s="1139"/>
      <c r="K6301" s="1111"/>
      <c r="L6301" s="1112"/>
      <c r="M6301" s="1113"/>
      <c r="N6301" s="110"/>
      <c r="O6301" s="1140"/>
      <c r="P6301" s="1115"/>
      <c r="Q6301" s="1116"/>
      <c r="R6301" s="1141"/>
      <c r="S6301" s="1113"/>
      <c r="T6301" s="1143"/>
      <c r="U6301" s="1108"/>
      <c r="V6301" s="1108"/>
      <c r="W6301" s="1108"/>
      <c r="X6301" s="1108"/>
      <c r="Y6301" s="1108"/>
      <c r="Z6301" s="1114"/>
      <c r="AA6301" s="1114"/>
      <c r="AB6301" s="1114"/>
      <c r="AC6301" s="1117"/>
      <c r="AD6301" s="1115"/>
      <c r="AE6301" s="1115"/>
      <c r="AF6301" s="1115"/>
      <c r="AG6301" s="1115"/>
      <c r="AH6301" s="1115"/>
      <c r="AI6301" s="1115"/>
      <c r="AJ6301" s="1117"/>
      <c r="AK6301" s="1118"/>
      <c r="AL6301" s="1115"/>
      <c r="AM6301" s="1115"/>
      <c r="AN6301" s="1115"/>
      <c r="AO6301" s="1115"/>
      <c r="AP6301" s="1115"/>
      <c r="AQ6301" s="1115"/>
      <c r="AR6301" s="1115"/>
      <c r="AS6301" s="1117"/>
      <c r="AT6301" s="1075"/>
      <c r="AU6301" s="1193"/>
      <c r="AV6301" s="330"/>
      <c r="AW6301" s="331"/>
      <c r="AX6301" s="331"/>
      <c r="AY6301" s="331"/>
      <c r="AZ6301" s="331"/>
      <c r="BA6301" s="331"/>
      <c r="BB6301" s="331"/>
      <c r="BC6301" s="331"/>
      <c r="BD6301" s="331"/>
      <c r="BE6301" s="333"/>
      <c r="BF6301" s="330"/>
      <c r="BG6301" s="333"/>
      <c r="BH6301" s="1119"/>
      <c r="BI6301" s="319"/>
      <c r="BJ6301" s="319"/>
      <c r="BK6301" s="319"/>
      <c r="BL6301" s="319"/>
      <c r="BM6301" s="319"/>
      <c r="BN6301" s="319"/>
      <c r="BO6301" s="319"/>
      <c r="BP6301" s="953"/>
      <c r="BQ6301" s="319"/>
      <c r="BR6301" s="319"/>
      <c r="BS6301" s="330"/>
      <c r="BT6301" s="331"/>
      <c r="BU6301" s="920"/>
      <c r="BV6301" s="903"/>
      <c r="BW6301" s="908"/>
      <c r="BX6301" s="908"/>
      <c r="BY6301" s="331"/>
      <c r="BZ6301" s="331"/>
      <c r="CA6301" s="462"/>
      <c r="CB6301" s="319"/>
      <c r="CC6301" s="319"/>
      <c r="CD6301" s="319"/>
      <c r="CE6301" s="319"/>
      <c r="CF6301" s="319"/>
      <c r="CG6301" s="319"/>
      <c r="CH6301" s="318"/>
      <c r="CI6301" s="319"/>
      <c r="CJ6301" s="319"/>
      <c r="CK6301" s="342"/>
      <c r="CL6301" s="333"/>
      <c r="CM6301" s="1079"/>
      <c r="CN6301" s="1005"/>
      <c r="CO6301" s="1005"/>
      <c r="CP6301" s="1005"/>
    </row>
    <row r="6302">
      <c r="A6302" s="1257"/>
      <c r="B6302" s="1113"/>
      <c r="C6302" s="1107"/>
      <c r="D6302" s="103"/>
      <c r="E6302" s="1137"/>
      <c r="F6302" s="112"/>
      <c r="G6302" s="1110"/>
      <c r="H6302" s="1138"/>
      <c r="I6302" s="1138"/>
      <c r="J6302" s="1139"/>
      <c r="K6302" s="1111"/>
      <c r="L6302" s="1112"/>
      <c r="M6302" s="1113"/>
      <c r="N6302" s="110"/>
      <c r="O6302" s="1140"/>
      <c r="P6302" s="1115"/>
      <c r="Q6302" s="1116"/>
      <c r="R6302" s="1141"/>
      <c r="S6302" s="1113"/>
      <c r="T6302" s="1143"/>
      <c r="U6302" s="1108"/>
      <c r="V6302" s="1108"/>
      <c r="W6302" s="1108"/>
      <c r="X6302" s="1108"/>
      <c r="Y6302" s="1108"/>
      <c r="Z6302" s="1114"/>
      <c r="AA6302" s="1114"/>
      <c r="AB6302" s="1114"/>
      <c r="AC6302" s="1117"/>
      <c r="AD6302" s="1115"/>
      <c r="AE6302" s="1115"/>
      <c r="AF6302" s="1115"/>
      <c r="AG6302" s="1115"/>
      <c r="AH6302" s="1115"/>
      <c r="AI6302" s="1115"/>
      <c r="AJ6302" s="1117"/>
      <c r="AK6302" s="1118"/>
      <c r="AL6302" s="1115"/>
      <c r="AM6302" s="1115"/>
      <c r="AN6302" s="1115"/>
      <c r="AO6302" s="1115"/>
      <c r="AP6302" s="1115"/>
      <c r="AQ6302" s="1115"/>
      <c r="AR6302" s="1115"/>
      <c r="AS6302" s="1117"/>
      <c r="AT6302" s="1075"/>
      <c r="AU6302" s="1193"/>
      <c r="AV6302" s="330"/>
      <c r="AW6302" s="331"/>
      <c r="AX6302" s="331"/>
      <c r="AY6302" s="331"/>
      <c r="AZ6302" s="331"/>
      <c r="BA6302" s="331"/>
      <c r="BB6302" s="331"/>
      <c r="BC6302" s="331"/>
      <c r="BD6302" s="331"/>
      <c r="BE6302" s="333"/>
      <c r="BF6302" s="330"/>
      <c r="BG6302" s="333"/>
      <c r="BH6302" s="1119"/>
      <c r="BI6302" s="319"/>
      <c r="BJ6302" s="319"/>
      <c r="BK6302" s="319"/>
      <c r="BL6302" s="319"/>
      <c r="BM6302" s="319"/>
      <c r="BN6302" s="319"/>
      <c r="BO6302" s="319"/>
      <c r="BP6302" s="953"/>
      <c r="BQ6302" s="319"/>
      <c r="BR6302" s="319"/>
      <c r="BS6302" s="330"/>
      <c r="BT6302" s="331"/>
      <c r="BU6302" s="920"/>
      <c r="BV6302" s="903"/>
      <c r="BW6302" s="908"/>
      <c r="BX6302" s="908"/>
      <c r="BY6302" s="331"/>
      <c r="BZ6302" s="331"/>
      <c r="CA6302" s="462"/>
      <c r="CB6302" s="319"/>
      <c r="CC6302" s="319"/>
      <c r="CD6302" s="319"/>
      <c r="CE6302" s="319"/>
      <c r="CF6302" s="319"/>
      <c r="CG6302" s="319"/>
      <c r="CH6302" s="318"/>
      <c r="CI6302" s="319"/>
      <c r="CJ6302" s="319"/>
      <c r="CK6302" s="342"/>
      <c r="CL6302" s="333"/>
      <c r="CM6302" s="1079"/>
      <c r="CN6302" s="1005"/>
      <c r="CO6302" s="1005"/>
      <c r="CP6302" s="1005"/>
    </row>
    <row r="6303">
      <c r="A6303" s="1257"/>
      <c r="B6303" s="1113"/>
      <c r="C6303" s="1107"/>
      <c r="D6303" s="103"/>
      <c r="E6303" s="1137"/>
      <c r="F6303" s="112"/>
      <c r="G6303" s="1110"/>
      <c r="H6303" s="1138"/>
      <c r="I6303" s="1138"/>
      <c r="J6303" s="1139"/>
      <c r="K6303" s="1111"/>
      <c r="L6303" s="1112"/>
      <c r="M6303" s="1113"/>
      <c r="N6303" s="110"/>
      <c r="O6303" s="1140"/>
      <c r="P6303" s="1115"/>
      <c r="Q6303" s="1116"/>
      <c r="R6303" s="1141"/>
      <c r="S6303" s="1113"/>
      <c r="T6303" s="1143"/>
      <c r="U6303" s="1108"/>
      <c r="V6303" s="1108"/>
      <c r="W6303" s="1108"/>
      <c r="X6303" s="1108"/>
      <c r="Y6303" s="1108"/>
      <c r="Z6303" s="1114"/>
      <c r="AA6303" s="1114"/>
      <c r="AB6303" s="1114"/>
      <c r="AC6303" s="1117"/>
      <c r="AD6303" s="1115"/>
      <c r="AE6303" s="1115"/>
      <c r="AF6303" s="1115"/>
      <c r="AG6303" s="1115"/>
      <c r="AH6303" s="1115"/>
      <c r="AI6303" s="1115"/>
      <c r="AJ6303" s="1117"/>
      <c r="AK6303" s="1118"/>
      <c r="AL6303" s="1115"/>
      <c r="AM6303" s="1115"/>
      <c r="AN6303" s="1115"/>
      <c r="AO6303" s="1115"/>
      <c r="AP6303" s="1115"/>
      <c r="AQ6303" s="1115"/>
      <c r="AR6303" s="1115"/>
      <c r="AS6303" s="1117"/>
      <c r="AT6303" s="1075"/>
      <c r="AU6303" s="1193"/>
      <c r="AV6303" s="330"/>
      <c r="AW6303" s="331"/>
      <c r="AX6303" s="331"/>
      <c r="AY6303" s="331"/>
      <c r="AZ6303" s="331"/>
      <c r="BA6303" s="331"/>
      <c r="BB6303" s="331"/>
      <c r="BC6303" s="331"/>
      <c r="BD6303" s="331"/>
      <c r="BE6303" s="333"/>
      <c r="BF6303" s="330"/>
      <c r="BG6303" s="333"/>
      <c r="BH6303" s="1119"/>
      <c r="BI6303" s="319"/>
      <c r="BJ6303" s="319"/>
      <c r="BK6303" s="319"/>
      <c r="BL6303" s="319"/>
      <c r="BM6303" s="319"/>
      <c r="BN6303" s="319"/>
      <c r="BO6303" s="319"/>
      <c r="BP6303" s="953"/>
      <c r="BQ6303" s="319"/>
      <c r="BR6303" s="319"/>
      <c r="BS6303" s="330"/>
      <c r="BT6303" s="331"/>
      <c r="BU6303" s="920"/>
      <c r="BV6303" s="903"/>
      <c r="BW6303" s="908"/>
      <c r="BX6303" s="908"/>
      <c r="BY6303" s="331"/>
      <c r="BZ6303" s="331"/>
      <c r="CA6303" s="462"/>
      <c r="CB6303" s="319"/>
      <c r="CC6303" s="319"/>
      <c r="CD6303" s="319"/>
      <c r="CE6303" s="319"/>
      <c r="CF6303" s="319"/>
      <c r="CG6303" s="319"/>
      <c r="CH6303" s="318"/>
      <c r="CI6303" s="319"/>
      <c r="CJ6303" s="319"/>
      <c r="CK6303" s="342"/>
      <c r="CL6303" s="333"/>
      <c r="CM6303" s="1079"/>
      <c r="CN6303" s="1005"/>
      <c r="CO6303" s="1005"/>
      <c r="CP6303" s="1005"/>
    </row>
    <row r="6304">
      <c r="A6304" s="1257"/>
      <c r="B6304" s="1113"/>
      <c r="C6304" s="1107"/>
      <c r="D6304" s="103"/>
      <c r="E6304" s="1137"/>
      <c r="F6304" s="112"/>
      <c r="G6304" s="1110"/>
      <c r="H6304" s="1138"/>
      <c r="I6304" s="1138"/>
      <c r="J6304" s="1139"/>
      <c r="K6304" s="1111"/>
      <c r="L6304" s="1112"/>
      <c r="M6304" s="1113"/>
      <c r="N6304" s="110"/>
      <c r="O6304" s="1140"/>
      <c r="P6304" s="1115"/>
      <c r="Q6304" s="1116"/>
      <c r="R6304" s="1141"/>
      <c r="S6304" s="1113"/>
      <c r="T6304" s="1143"/>
      <c r="U6304" s="1108"/>
      <c r="V6304" s="1108"/>
      <c r="W6304" s="1108"/>
      <c r="X6304" s="1108"/>
      <c r="Y6304" s="1108"/>
      <c r="Z6304" s="1114"/>
      <c r="AA6304" s="1114"/>
      <c r="AB6304" s="1114"/>
      <c r="AC6304" s="1117"/>
      <c r="AD6304" s="1115"/>
      <c r="AE6304" s="1115"/>
      <c r="AF6304" s="1115"/>
      <c r="AG6304" s="1115"/>
      <c r="AH6304" s="1115"/>
      <c r="AI6304" s="1115"/>
      <c r="AJ6304" s="1117"/>
      <c r="AK6304" s="1118"/>
      <c r="AL6304" s="1115"/>
      <c r="AM6304" s="1115"/>
      <c r="AN6304" s="1115"/>
      <c r="AO6304" s="1115"/>
      <c r="AP6304" s="1115"/>
      <c r="AQ6304" s="1115"/>
      <c r="AR6304" s="1115"/>
      <c r="AS6304" s="1117"/>
      <c r="AT6304" s="1075"/>
      <c r="AU6304" s="1193"/>
      <c r="AV6304" s="330"/>
      <c r="AW6304" s="331"/>
      <c r="AX6304" s="331"/>
      <c r="AY6304" s="331"/>
      <c r="AZ6304" s="331"/>
      <c r="BA6304" s="331"/>
      <c r="BB6304" s="331"/>
      <c r="BC6304" s="331"/>
      <c r="BD6304" s="331"/>
      <c r="BE6304" s="333"/>
      <c r="BF6304" s="330"/>
      <c r="BG6304" s="333"/>
      <c r="BH6304" s="1119"/>
      <c r="BI6304" s="319"/>
      <c r="BJ6304" s="319"/>
      <c r="BK6304" s="319"/>
      <c r="BL6304" s="319"/>
      <c r="BM6304" s="319"/>
      <c r="BN6304" s="319"/>
      <c r="BO6304" s="319"/>
      <c r="BP6304" s="953"/>
      <c r="BQ6304" s="319"/>
      <c r="BR6304" s="319"/>
      <c r="BS6304" s="330"/>
      <c r="BT6304" s="331"/>
      <c r="BU6304" s="920"/>
      <c r="BV6304" s="903"/>
      <c r="BW6304" s="908"/>
      <c r="BX6304" s="908"/>
      <c r="BY6304" s="331"/>
      <c r="BZ6304" s="331"/>
      <c r="CA6304" s="462"/>
      <c r="CB6304" s="319"/>
      <c r="CC6304" s="319"/>
      <c r="CD6304" s="319"/>
      <c r="CE6304" s="319"/>
      <c r="CF6304" s="319"/>
      <c r="CG6304" s="319"/>
      <c r="CH6304" s="318"/>
      <c r="CI6304" s="319"/>
      <c r="CJ6304" s="319"/>
      <c r="CK6304" s="342"/>
      <c r="CL6304" s="333"/>
      <c r="CM6304" s="1079"/>
      <c r="CN6304" s="1005"/>
      <c r="CO6304" s="1005"/>
      <c r="CP6304" s="1005"/>
    </row>
    <row r="6305">
      <c r="A6305" s="1257"/>
      <c r="B6305" s="1113"/>
      <c r="C6305" s="1107"/>
      <c r="D6305" s="103"/>
      <c r="E6305" s="1137"/>
      <c r="F6305" s="112"/>
      <c r="G6305" s="1110"/>
      <c r="H6305" s="1138"/>
      <c r="I6305" s="1138"/>
      <c r="J6305" s="1139"/>
      <c r="K6305" s="1111"/>
      <c r="L6305" s="1112"/>
      <c r="M6305" s="1113"/>
      <c r="N6305" s="110"/>
      <c r="O6305" s="1140"/>
      <c r="P6305" s="1115"/>
      <c r="Q6305" s="1116"/>
      <c r="R6305" s="1141"/>
      <c r="S6305" s="1113"/>
      <c r="T6305" s="1143"/>
      <c r="U6305" s="1108"/>
      <c r="V6305" s="1108"/>
      <c r="W6305" s="1108"/>
      <c r="X6305" s="1108"/>
      <c r="Y6305" s="1108"/>
      <c r="Z6305" s="1114"/>
      <c r="AA6305" s="1114"/>
      <c r="AB6305" s="1114"/>
      <c r="AC6305" s="1117"/>
      <c r="AD6305" s="1115"/>
      <c r="AE6305" s="1115"/>
      <c r="AF6305" s="1115"/>
      <c r="AG6305" s="1115"/>
      <c r="AH6305" s="1115"/>
      <c r="AI6305" s="1115"/>
      <c r="AJ6305" s="1117"/>
      <c r="AK6305" s="1118"/>
      <c r="AL6305" s="1115"/>
      <c r="AM6305" s="1115"/>
      <c r="AN6305" s="1115"/>
      <c r="AO6305" s="1115"/>
      <c r="AP6305" s="1115"/>
      <c r="AQ6305" s="1115"/>
      <c r="AR6305" s="1115"/>
      <c r="AS6305" s="1117"/>
      <c r="AT6305" s="1075"/>
      <c r="AU6305" s="1193"/>
      <c r="AV6305" s="330"/>
      <c r="AW6305" s="331"/>
      <c r="AX6305" s="331"/>
      <c r="AY6305" s="331"/>
      <c r="AZ6305" s="331"/>
      <c r="BA6305" s="331"/>
      <c r="BB6305" s="331"/>
      <c r="BC6305" s="331"/>
      <c r="BD6305" s="331"/>
      <c r="BE6305" s="333"/>
      <c r="BF6305" s="330"/>
      <c r="BG6305" s="333"/>
      <c r="BH6305" s="1119"/>
      <c r="BI6305" s="319"/>
      <c r="BJ6305" s="319"/>
      <c r="BK6305" s="319"/>
      <c r="BL6305" s="319"/>
      <c r="BM6305" s="319"/>
      <c r="BN6305" s="319"/>
      <c r="BO6305" s="319"/>
      <c r="BP6305" s="953"/>
      <c r="BQ6305" s="319"/>
      <c r="BR6305" s="319"/>
      <c r="BS6305" s="330"/>
      <c r="BT6305" s="331"/>
      <c r="BU6305" s="920"/>
      <c r="BV6305" s="903"/>
      <c r="BW6305" s="908"/>
      <c r="BX6305" s="908"/>
      <c r="BY6305" s="331"/>
      <c r="BZ6305" s="331"/>
      <c r="CA6305" s="462"/>
      <c r="CB6305" s="319"/>
      <c r="CC6305" s="319"/>
      <c r="CD6305" s="319"/>
      <c r="CE6305" s="319"/>
      <c r="CF6305" s="319"/>
      <c r="CG6305" s="319"/>
      <c r="CH6305" s="318"/>
      <c r="CI6305" s="319"/>
      <c r="CJ6305" s="319"/>
      <c r="CK6305" s="342"/>
      <c r="CL6305" s="333"/>
      <c r="CM6305" s="1079"/>
      <c r="CN6305" s="1005"/>
      <c r="CO6305" s="1005"/>
      <c r="CP6305" s="1005"/>
    </row>
    <row r="6306">
      <c r="A6306" s="1257"/>
      <c r="B6306" s="1113"/>
      <c r="C6306" s="1107"/>
      <c r="D6306" s="103"/>
      <c r="E6306" s="1137"/>
      <c r="F6306" s="112"/>
      <c r="G6306" s="1110"/>
      <c r="H6306" s="1138"/>
      <c r="I6306" s="1138"/>
      <c r="J6306" s="1139"/>
      <c r="K6306" s="1111"/>
      <c r="L6306" s="1112"/>
      <c r="M6306" s="1113"/>
      <c r="N6306" s="110"/>
      <c r="O6306" s="1140"/>
      <c r="P6306" s="1115"/>
      <c r="Q6306" s="1116"/>
      <c r="R6306" s="1141"/>
      <c r="S6306" s="1113"/>
      <c r="T6306" s="1143"/>
      <c r="U6306" s="1108"/>
      <c r="V6306" s="1108"/>
      <c r="W6306" s="1108"/>
      <c r="X6306" s="1108"/>
      <c r="Y6306" s="1108"/>
      <c r="Z6306" s="1114"/>
      <c r="AA6306" s="1114"/>
      <c r="AB6306" s="1114"/>
      <c r="AC6306" s="1117"/>
      <c r="AD6306" s="1115"/>
      <c r="AE6306" s="1115"/>
      <c r="AF6306" s="1115"/>
      <c r="AG6306" s="1115"/>
      <c r="AH6306" s="1115"/>
      <c r="AI6306" s="1115"/>
      <c r="AJ6306" s="1117"/>
      <c r="AK6306" s="1118"/>
      <c r="AL6306" s="1115"/>
      <c r="AM6306" s="1115"/>
      <c r="AN6306" s="1115"/>
      <c r="AO6306" s="1115"/>
      <c r="AP6306" s="1115"/>
      <c r="AQ6306" s="1115"/>
      <c r="AR6306" s="1115"/>
      <c r="AS6306" s="1117"/>
      <c r="AT6306" s="1075"/>
      <c r="AU6306" s="1193"/>
      <c r="AV6306" s="330"/>
      <c r="AW6306" s="331"/>
      <c r="AX6306" s="331"/>
      <c r="AY6306" s="331"/>
      <c r="AZ6306" s="331"/>
      <c r="BA6306" s="331"/>
      <c r="BB6306" s="331"/>
      <c r="BC6306" s="331"/>
      <c r="BD6306" s="331"/>
      <c r="BE6306" s="333"/>
      <c r="BF6306" s="330"/>
      <c r="BG6306" s="333"/>
      <c r="BH6306" s="1119"/>
      <c r="BI6306" s="319"/>
      <c r="BJ6306" s="319"/>
      <c r="BK6306" s="319"/>
      <c r="BL6306" s="319"/>
      <c r="BM6306" s="319"/>
      <c r="BN6306" s="319"/>
      <c r="BO6306" s="319"/>
      <c r="BP6306" s="953"/>
      <c r="BQ6306" s="319"/>
      <c r="BR6306" s="319"/>
      <c r="BS6306" s="330"/>
      <c r="BT6306" s="331"/>
      <c r="BU6306" s="920"/>
      <c r="BV6306" s="903"/>
      <c r="BW6306" s="908"/>
      <c r="BX6306" s="908"/>
      <c r="BY6306" s="331"/>
      <c r="BZ6306" s="331"/>
      <c r="CA6306" s="462"/>
      <c r="CB6306" s="319"/>
      <c r="CC6306" s="319"/>
      <c r="CD6306" s="319"/>
      <c r="CE6306" s="319"/>
      <c r="CF6306" s="319"/>
      <c r="CG6306" s="319"/>
      <c r="CH6306" s="318"/>
      <c r="CI6306" s="319"/>
      <c r="CJ6306" s="319"/>
      <c r="CK6306" s="342"/>
      <c r="CL6306" s="333"/>
      <c r="CM6306" s="1079"/>
      <c r="CN6306" s="1005"/>
      <c r="CO6306" s="1005"/>
      <c r="CP6306" s="1005"/>
    </row>
    <row r="6307">
      <c r="A6307" s="1257"/>
      <c r="B6307" s="1113"/>
      <c r="C6307" s="1107"/>
      <c r="D6307" s="103"/>
      <c r="E6307" s="1137"/>
      <c r="F6307" s="112"/>
      <c r="G6307" s="1110"/>
      <c r="H6307" s="1138"/>
      <c r="I6307" s="1138"/>
      <c r="J6307" s="1139"/>
      <c r="K6307" s="1111"/>
      <c r="L6307" s="1112"/>
      <c r="M6307" s="1113"/>
      <c r="N6307" s="110"/>
      <c r="O6307" s="1140"/>
      <c r="P6307" s="1115"/>
      <c r="Q6307" s="1116"/>
      <c r="R6307" s="1141"/>
      <c r="S6307" s="1113"/>
      <c r="T6307" s="1143"/>
      <c r="U6307" s="1108"/>
      <c r="V6307" s="1108"/>
      <c r="W6307" s="1108"/>
      <c r="X6307" s="1108"/>
      <c r="Y6307" s="1108"/>
      <c r="Z6307" s="1114"/>
      <c r="AA6307" s="1114"/>
      <c r="AB6307" s="1114"/>
      <c r="AC6307" s="1117"/>
      <c r="AD6307" s="1115"/>
      <c r="AE6307" s="1115"/>
      <c r="AF6307" s="1115"/>
      <c r="AG6307" s="1115"/>
      <c r="AH6307" s="1115"/>
      <c r="AI6307" s="1115"/>
      <c r="AJ6307" s="1117"/>
      <c r="AK6307" s="1118"/>
      <c r="AL6307" s="1115"/>
      <c r="AM6307" s="1115"/>
      <c r="AN6307" s="1115"/>
      <c r="AO6307" s="1115"/>
      <c r="AP6307" s="1115"/>
      <c r="AQ6307" s="1115"/>
      <c r="AR6307" s="1115"/>
      <c r="AS6307" s="1117"/>
      <c r="AT6307" s="1075"/>
      <c r="AU6307" s="1193"/>
      <c r="AV6307" s="330"/>
      <c r="AW6307" s="331"/>
      <c r="AX6307" s="331"/>
      <c r="AY6307" s="331"/>
      <c r="AZ6307" s="331"/>
      <c r="BA6307" s="331"/>
      <c r="BB6307" s="331"/>
      <c r="BC6307" s="331"/>
      <c r="BD6307" s="331"/>
      <c r="BE6307" s="333"/>
      <c r="BF6307" s="330"/>
      <c r="BG6307" s="333"/>
      <c r="BH6307" s="1119"/>
      <c r="BI6307" s="319"/>
      <c r="BJ6307" s="319"/>
      <c r="BK6307" s="319"/>
      <c r="BL6307" s="319"/>
      <c r="BM6307" s="319"/>
      <c r="BN6307" s="319"/>
      <c r="BO6307" s="319"/>
      <c r="BP6307" s="953"/>
      <c r="BQ6307" s="319"/>
      <c r="BR6307" s="319"/>
      <c r="BS6307" s="330"/>
      <c r="BT6307" s="331"/>
      <c r="BU6307" s="920"/>
      <c r="BV6307" s="903"/>
      <c r="BW6307" s="908"/>
      <c r="BX6307" s="908"/>
      <c r="BY6307" s="331"/>
      <c r="BZ6307" s="331"/>
      <c r="CA6307" s="462"/>
      <c r="CB6307" s="319"/>
      <c r="CC6307" s="319"/>
      <c r="CD6307" s="319"/>
      <c r="CE6307" s="319"/>
      <c r="CF6307" s="319"/>
      <c r="CG6307" s="319"/>
      <c r="CH6307" s="318"/>
      <c r="CI6307" s="319"/>
      <c r="CJ6307" s="319"/>
      <c r="CK6307" s="342"/>
      <c r="CL6307" s="333"/>
      <c r="CM6307" s="1079"/>
      <c r="CN6307" s="1005"/>
      <c r="CO6307" s="1005"/>
      <c r="CP6307" s="1005"/>
    </row>
    <row r="6308">
      <c r="A6308" s="1257"/>
      <c r="B6308" s="1113"/>
      <c r="C6308" s="1107"/>
      <c r="D6308" s="103"/>
      <c r="E6308" s="1137"/>
      <c r="F6308" s="112"/>
      <c r="G6308" s="1110"/>
      <c r="H6308" s="1138"/>
      <c r="I6308" s="1138"/>
      <c r="J6308" s="1139"/>
      <c r="K6308" s="1111"/>
      <c r="L6308" s="1112"/>
      <c r="M6308" s="1113"/>
      <c r="N6308" s="110"/>
      <c r="O6308" s="1140"/>
      <c r="P6308" s="1115"/>
      <c r="Q6308" s="1116"/>
      <c r="R6308" s="1141"/>
      <c r="S6308" s="1113"/>
      <c r="T6308" s="1143"/>
      <c r="U6308" s="1108"/>
      <c r="V6308" s="1108"/>
      <c r="W6308" s="1108"/>
      <c r="X6308" s="1108"/>
      <c r="Y6308" s="1108"/>
      <c r="Z6308" s="1114"/>
      <c r="AA6308" s="1114"/>
      <c r="AB6308" s="1114"/>
      <c r="AC6308" s="1117"/>
      <c r="AD6308" s="1115"/>
      <c r="AE6308" s="1115"/>
      <c r="AF6308" s="1115"/>
      <c r="AG6308" s="1115"/>
      <c r="AH6308" s="1115"/>
      <c r="AI6308" s="1115"/>
      <c r="AJ6308" s="1117"/>
      <c r="AK6308" s="1118"/>
      <c r="AL6308" s="1115"/>
      <c r="AM6308" s="1115"/>
      <c r="AN6308" s="1115"/>
      <c r="AO6308" s="1115"/>
      <c r="AP6308" s="1115"/>
      <c r="AQ6308" s="1115"/>
      <c r="AR6308" s="1115"/>
      <c r="AS6308" s="1117"/>
      <c r="AT6308" s="1075"/>
      <c r="AU6308" s="1193"/>
      <c r="AV6308" s="330"/>
      <c r="AW6308" s="331"/>
      <c r="AX6308" s="331"/>
      <c r="AY6308" s="331"/>
      <c r="AZ6308" s="331"/>
      <c r="BA6308" s="331"/>
      <c r="BB6308" s="331"/>
      <c r="BC6308" s="331"/>
      <c r="BD6308" s="331"/>
      <c r="BE6308" s="333"/>
      <c r="BF6308" s="330"/>
      <c r="BG6308" s="333"/>
      <c r="BH6308" s="1119"/>
      <c r="BI6308" s="319"/>
      <c r="BJ6308" s="319"/>
      <c r="BK6308" s="319"/>
      <c r="BL6308" s="319"/>
      <c r="BM6308" s="319"/>
      <c r="BN6308" s="319"/>
      <c r="BO6308" s="319"/>
      <c r="BP6308" s="953"/>
      <c r="BQ6308" s="319"/>
      <c r="BR6308" s="319"/>
      <c r="BS6308" s="330"/>
      <c r="BT6308" s="331"/>
      <c r="BU6308" s="920"/>
      <c r="BV6308" s="903"/>
      <c r="BW6308" s="908"/>
      <c r="BX6308" s="908"/>
      <c r="BY6308" s="331"/>
      <c r="BZ6308" s="331"/>
      <c r="CA6308" s="462"/>
      <c r="CB6308" s="319"/>
      <c r="CC6308" s="319"/>
      <c r="CD6308" s="319"/>
      <c r="CE6308" s="319"/>
      <c r="CF6308" s="319"/>
      <c r="CG6308" s="319"/>
      <c r="CH6308" s="318"/>
      <c r="CI6308" s="319"/>
      <c r="CJ6308" s="319"/>
      <c r="CK6308" s="342"/>
      <c r="CL6308" s="333"/>
      <c r="CM6308" s="1079"/>
      <c r="CN6308" s="1005"/>
      <c r="CO6308" s="1005"/>
      <c r="CP6308" s="1005"/>
    </row>
    <row r="6309">
      <c r="A6309" s="1257"/>
      <c r="B6309" s="1113"/>
      <c r="C6309" s="1107"/>
      <c r="D6309" s="103"/>
      <c r="E6309" s="1137"/>
      <c r="F6309" s="112"/>
      <c r="G6309" s="1110"/>
      <c r="H6309" s="1138"/>
      <c r="I6309" s="1138"/>
      <c r="J6309" s="1139"/>
      <c r="K6309" s="1111"/>
      <c r="L6309" s="1112"/>
      <c r="M6309" s="1113"/>
      <c r="N6309" s="110"/>
      <c r="O6309" s="1140"/>
      <c r="P6309" s="1115"/>
      <c r="Q6309" s="1116"/>
      <c r="R6309" s="1141"/>
      <c r="S6309" s="1113"/>
      <c r="T6309" s="1143"/>
      <c r="U6309" s="1108"/>
      <c r="V6309" s="1108"/>
      <c r="W6309" s="1108"/>
      <c r="X6309" s="1108"/>
      <c r="Y6309" s="1108"/>
      <c r="Z6309" s="1114"/>
      <c r="AA6309" s="1114"/>
      <c r="AB6309" s="1114"/>
      <c r="AC6309" s="1117"/>
      <c r="AD6309" s="1115"/>
      <c r="AE6309" s="1115"/>
      <c r="AF6309" s="1115"/>
      <c r="AG6309" s="1115"/>
      <c r="AH6309" s="1115"/>
      <c r="AI6309" s="1115"/>
      <c r="AJ6309" s="1117"/>
      <c r="AK6309" s="1118"/>
      <c r="AL6309" s="1115"/>
      <c r="AM6309" s="1115"/>
      <c r="AN6309" s="1115"/>
      <c r="AO6309" s="1115"/>
      <c r="AP6309" s="1115"/>
      <c r="AQ6309" s="1115"/>
      <c r="AR6309" s="1115"/>
      <c r="AS6309" s="1117"/>
      <c r="AT6309" s="1075"/>
      <c r="AU6309" s="1193"/>
      <c r="AV6309" s="330"/>
      <c r="AW6309" s="331"/>
      <c r="AX6309" s="331"/>
      <c r="AY6309" s="331"/>
      <c r="AZ6309" s="331"/>
      <c r="BA6309" s="331"/>
      <c r="BB6309" s="331"/>
      <c r="BC6309" s="331"/>
      <c r="BD6309" s="331"/>
      <c r="BE6309" s="333"/>
      <c r="BF6309" s="330"/>
      <c r="BG6309" s="333"/>
      <c r="BH6309" s="1119"/>
      <c r="BI6309" s="319"/>
      <c r="BJ6309" s="319"/>
      <c r="BK6309" s="319"/>
      <c r="BL6309" s="319"/>
      <c r="BM6309" s="319"/>
      <c r="BN6309" s="319"/>
      <c r="BO6309" s="319"/>
      <c r="BP6309" s="953"/>
      <c r="BQ6309" s="319"/>
      <c r="BR6309" s="319"/>
      <c r="BS6309" s="330"/>
      <c r="BT6309" s="331"/>
      <c r="BU6309" s="920"/>
      <c r="BV6309" s="903"/>
      <c r="BW6309" s="908"/>
      <c r="BX6309" s="908"/>
      <c r="BY6309" s="331"/>
      <c r="BZ6309" s="331"/>
      <c r="CA6309" s="462"/>
      <c r="CB6309" s="319"/>
      <c r="CC6309" s="319"/>
      <c r="CD6309" s="319"/>
      <c r="CE6309" s="319"/>
      <c r="CF6309" s="319"/>
      <c r="CG6309" s="319"/>
      <c r="CH6309" s="318"/>
      <c r="CI6309" s="319"/>
      <c r="CJ6309" s="319"/>
      <c r="CK6309" s="342"/>
      <c r="CL6309" s="333"/>
      <c r="CM6309" s="1079"/>
      <c r="CN6309" s="1005"/>
      <c r="CO6309" s="1005"/>
      <c r="CP6309" s="1005"/>
    </row>
    <row r="6310">
      <c r="A6310" s="1257"/>
      <c r="B6310" s="1113"/>
      <c r="C6310" s="1107"/>
      <c r="D6310" s="103"/>
      <c r="E6310" s="1137"/>
      <c r="F6310" s="112"/>
      <c r="G6310" s="1110"/>
      <c r="H6310" s="1138"/>
      <c r="I6310" s="1138"/>
      <c r="J6310" s="1139"/>
      <c r="K6310" s="1111"/>
      <c r="L6310" s="1112"/>
      <c r="M6310" s="1113"/>
      <c r="N6310" s="110"/>
      <c r="O6310" s="1140"/>
      <c r="P6310" s="1115"/>
      <c r="Q6310" s="1116"/>
      <c r="R6310" s="1141"/>
      <c r="S6310" s="1113"/>
      <c r="T6310" s="1143"/>
      <c r="U6310" s="1108"/>
      <c r="V6310" s="1108"/>
      <c r="W6310" s="1108"/>
      <c r="X6310" s="1108"/>
      <c r="Y6310" s="1108"/>
      <c r="Z6310" s="1114"/>
      <c r="AA6310" s="1114"/>
      <c r="AB6310" s="1114"/>
      <c r="AC6310" s="1117"/>
      <c r="AD6310" s="1115"/>
      <c r="AE6310" s="1115"/>
      <c r="AF6310" s="1115"/>
      <c r="AG6310" s="1115"/>
      <c r="AH6310" s="1115"/>
      <c r="AI6310" s="1115"/>
      <c r="AJ6310" s="1117"/>
      <c r="AK6310" s="1118"/>
      <c r="AL6310" s="1115"/>
      <c r="AM6310" s="1115"/>
      <c r="AN6310" s="1115"/>
      <c r="AO6310" s="1115"/>
      <c r="AP6310" s="1115"/>
      <c r="AQ6310" s="1115"/>
      <c r="AR6310" s="1115"/>
      <c r="AS6310" s="1117"/>
      <c r="AT6310" s="1075"/>
      <c r="AU6310" s="1193"/>
      <c r="AV6310" s="330"/>
      <c r="AW6310" s="331"/>
      <c r="AX6310" s="331"/>
      <c r="AY6310" s="331"/>
      <c r="AZ6310" s="331"/>
      <c r="BA6310" s="331"/>
      <c r="BB6310" s="331"/>
      <c r="BC6310" s="331"/>
      <c r="BD6310" s="331"/>
      <c r="BE6310" s="333"/>
      <c r="BF6310" s="330"/>
      <c r="BG6310" s="333"/>
      <c r="BH6310" s="1119"/>
      <c r="BI6310" s="319"/>
      <c r="BJ6310" s="319"/>
      <c r="BK6310" s="319"/>
      <c r="BL6310" s="319"/>
      <c r="BM6310" s="319"/>
      <c r="BN6310" s="319"/>
      <c r="BO6310" s="319"/>
      <c r="BP6310" s="953"/>
      <c r="BQ6310" s="319"/>
      <c r="BR6310" s="319"/>
      <c r="BS6310" s="330"/>
      <c r="BT6310" s="331"/>
      <c r="BU6310" s="920"/>
      <c r="BV6310" s="903"/>
      <c r="BW6310" s="908"/>
      <c r="BX6310" s="908"/>
      <c r="BY6310" s="331"/>
      <c r="BZ6310" s="331"/>
      <c r="CA6310" s="462"/>
      <c r="CB6310" s="319"/>
      <c r="CC6310" s="319"/>
      <c r="CD6310" s="319"/>
      <c r="CE6310" s="319"/>
      <c r="CF6310" s="319"/>
      <c r="CG6310" s="319"/>
      <c r="CH6310" s="318"/>
      <c r="CI6310" s="319"/>
      <c r="CJ6310" s="319"/>
      <c r="CK6310" s="342"/>
      <c r="CL6310" s="333"/>
      <c r="CM6310" s="1079"/>
      <c r="CN6310" s="1005"/>
      <c r="CO6310" s="1005"/>
      <c r="CP6310" s="1005"/>
    </row>
    <row r="6311">
      <c r="A6311" s="1257"/>
      <c r="B6311" s="1113"/>
      <c r="C6311" s="1107"/>
      <c r="D6311" s="103"/>
      <c r="E6311" s="1137"/>
      <c r="F6311" s="112"/>
      <c r="G6311" s="1110"/>
      <c r="H6311" s="1138"/>
      <c r="I6311" s="1138"/>
      <c r="J6311" s="1139"/>
      <c r="K6311" s="1111"/>
      <c r="L6311" s="1112"/>
      <c r="M6311" s="1113"/>
      <c r="N6311" s="110"/>
      <c r="O6311" s="1140"/>
      <c r="P6311" s="1115"/>
      <c r="Q6311" s="1116"/>
      <c r="R6311" s="1141"/>
      <c r="S6311" s="1113"/>
      <c r="T6311" s="1143"/>
      <c r="U6311" s="1108"/>
      <c r="V6311" s="1108"/>
      <c r="W6311" s="1108"/>
      <c r="X6311" s="1108"/>
      <c r="Y6311" s="1108"/>
      <c r="Z6311" s="1114"/>
      <c r="AA6311" s="1114"/>
      <c r="AB6311" s="1114"/>
      <c r="AC6311" s="1117"/>
      <c r="AD6311" s="1115"/>
      <c r="AE6311" s="1115"/>
      <c r="AF6311" s="1115"/>
      <c r="AG6311" s="1115"/>
      <c r="AH6311" s="1115"/>
      <c r="AI6311" s="1115"/>
      <c r="AJ6311" s="1117"/>
      <c r="AK6311" s="1118"/>
      <c r="AL6311" s="1115"/>
      <c r="AM6311" s="1115"/>
      <c r="AN6311" s="1115"/>
      <c r="AO6311" s="1115"/>
      <c r="AP6311" s="1115"/>
      <c r="AQ6311" s="1115"/>
      <c r="AR6311" s="1115"/>
      <c r="AS6311" s="1117"/>
      <c r="AT6311" s="1075"/>
      <c r="AU6311" s="1193"/>
      <c r="AV6311" s="330"/>
      <c r="AW6311" s="331"/>
      <c r="AX6311" s="331"/>
      <c r="AY6311" s="331"/>
      <c r="AZ6311" s="331"/>
      <c r="BA6311" s="331"/>
      <c r="BB6311" s="331"/>
      <c r="BC6311" s="331"/>
      <c r="BD6311" s="331"/>
      <c r="BE6311" s="333"/>
      <c r="BF6311" s="330"/>
      <c r="BG6311" s="333"/>
      <c r="BH6311" s="1119"/>
      <c r="BI6311" s="319"/>
      <c r="BJ6311" s="319"/>
      <c r="BK6311" s="319"/>
      <c r="BL6311" s="319"/>
      <c r="BM6311" s="319"/>
      <c r="BN6311" s="319"/>
      <c r="BO6311" s="319"/>
      <c r="BP6311" s="953"/>
      <c r="BQ6311" s="319"/>
      <c r="BR6311" s="319"/>
      <c r="BS6311" s="330"/>
      <c r="BT6311" s="331"/>
      <c r="BU6311" s="920"/>
      <c r="BV6311" s="903"/>
      <c r="BW6311" s="908"/>
      <c r="BX6311" s="908"/>
      <c r="BY6311" s="331"/>
      <c r="BZ6311" s="331"/>
      <c r="CA6311" s="462"/>
      <c r="CB6311" s="319"/>
      <c r="CC6311" s="319"/>
      <c r="CD6311" s="319"/>
      <c r="CE6311" s="319"/>
      <c r="CF6311" s="319"/>
      <c r="CG6311" s="319"/>
      <c r="CH6311" s="318"/>
      <c r="CI6311" s="319"/>
      <c r="CJ6311" s="319"/>
      <c r="CK6311" s="342"/>
      <c r="CL6311" s="333"/>
      <c r="CM6311" s="1079"/>
      <c r="CN6311" s="1005"/>
      <c r="CO6311" s="1005"/>
      <c r="CP6311" s="1005"/>
    </row>
    <row r="6312">
      <c r="A6312" s="1257"/>
      <c r="B6312" s="1113"/>
      <c r="C6312" s="1107"/>
      <c r="D6312" s="103"/>
      <c r="E6312" s="1137"/>
      <c r="F6312" s="112"/>
      <c r="G6312" s="1110"/>
      <c r="H6312" s="1138"/>
      <c r="I6312" s="1138"/>
      <c r="J6312" s="1139"/>
      <c r="K6312" s="1111"/>
      <c r="L6312" s="1112"/>
      <c r="M6312" s="1113"/>
      <c r="N6312" s="110"/>
      <c r="O6312" s="1140"/>
      <c r="P6312" s="1115"/>
      <c r="Q6312" s="1116"/>
      <c r="R6312" s="1141"/>
      <c r="S6312" s="1113"/>
      <c r="T6312" s="1143"/>
      <c r="U6312" s="1108"/>
      <c r="V6312" s="1108"/>
      <c r="W6312" s="1108"/>
      <c r="X6312" s="1108"/>
      <c r="Y6312" s="1108"/>
      <c r="Z6312" s="1114"/>
      <c r="AA6312" s="1114"/>
      <c r="AB6312" s="1114"/>
      <c r="AC6312" s="1117"/>
      <c r="AD6312" s="1115"/>
      <c r="AE6312" s="1115"/>
      <c r="AF6312" s="1115"/>
      <c r="AG6312" s="1115"/>
      <c r="AH6312" s="1115"/>
      <c r="AI6312" s="1115"/>
      <c r="AJ6312" s="1117"/>
      <c r="AK6312" s="1118"/>
      <c r="AL6312" s="1115"/>
      <c r="AM6312" s="1115"/>
      <c r="AN6312" s="1115"/>
      <c r="AO6312" s="1115"/>
      <c r="AP6312" s="1115"/>
      <c r="AQ6312" s="1115"/>
      <c r="AR6312" s="1115"/>
      <c r="AS6312" s="1117"/>
      <c r="AT6312" s="1075"/>
      <c r="AU6312" s="1193"/>
      <c r="AV6312" s="330"/>
      <c r="AW6312" s="331"/>
      <c r="AX6312" s="331"/>
      <c r="AY6312" s="331"/>
      <c r="AZ6312" s="331"/>
      <c r="BA6312" s="331"/>
      <c r="BB6312" s="331"/>
      <c r="BC6312" s="331"/>
      <c r="BD6312" s="331"/>
      <c r="BE6312" s="333"/>
      <c r="BF6312" s="330"/>
      <c r="BG6312" s="333"/>
      <c r="BH6312" s="1119"/>
      <c r="BI6312" s="319"/>
      <c r="BJ6312" s="319"/>
      <c r="BK6312" s="319"/>
      <c r="BL6312" s="319"/>
      <c r="BM6312" s="319"/>
      <c r="BN6312" s="319"/>
      <c r="BO6312" s="319"/>
      <c r="BP6312" s="953"/>
      <c r="BQ6312" s="319"/>
      <c r="BR6312" s="319"/>
      <c r="BS6312" s="330"/>
      <c r="BT6312" s="331"/>
      <c r="BU6312" s="920"/>
      <c r="BV6312" s="903"/>
      <c r="BW6312" s="908"/>
      <c r="BX6312" s="908"/>
      <c r="BY6312" s="331"/>
      <c r="BZ6312" s="331"/>
      <c r="CA6312" s="462"/>
      <c r="CB6312" s="319"/>
      <c r="CC6312" s="319"/>
      <c r="CD6312" s="319"/>
      <c r="CE6312" s="319"/>
      <c r="CF6312" s="319"/>
      <c r="CG6312" s="319"/>
      <c r="CH6312" s="318"/>
      <c r="CI6312" s="319"/>
      <c r="CJ6312" s="319"/>
      <c r="CK6312" s="342"/>
      <c r="CL6312" s="333"/>
      <c r="CM6312" s="1079"/>
      <c r="CN6312" s="1005"/>
      <c r="CO6312" s="1005"/>
      <c r="CP6312" s="1005"/>
    </row>
    <row r="6313">
      <c r="A6313" s="1257"/>
      <c r="B6313" s="1113"/>
      <c r="C6313" s="1107"/>
      <c r="D6313" s="103"/>
      <c r="E6313" s="1137"/>
      <c r="F6313" s="112"/>
      <c r="G6313" s="1110"/>
      <c r="H6313" s="1138"/>
      <c r="I6313" s="1138"/>
      <c r="J6313" s="1139"/>
      <c r="K6313" s="1111"/>
      <c r="L6313" s="1112"/>
      <c r="M6313" s="1113"/>
      <c r="N6313" s="110"/>
      <c r="O6313" s="1140"/>
      <c r="P6313" s="1115"/>
      <c r="Q6313" s="1116"/>
      <c r="R6313" s="1141"/>
      <c r="S6313" s="1113"/>
      <c r="T6313" s="1143"/>
      <c r="U6313" s="1108"/>
      <c r="V6313" s="1108"/>
      <c r="W6313" s="1108"/>
      <c r="X6313" s="1108"/>
      <c r="Y6313" s="1108"/>
      <c r="Z6313" s="1114"/>
      <c r="AA6313" s="1114"/>
      <c r="AB6313" s="1114"/>
      <c r="AC6313" s="1117"/>
      <c r="AD6313" s="1115"/>
      <c r="AE6313" s="1115"/>
      <c r="AF6313" s="1115"/>
      <c r="AG6313" s="1115"/>
      <c r="AH6313" s="1115"/>
      <c r="AI6313" s="1115"/>
      <c r="AJ6313" s="1117"/>
      <c r="AK6313" s="1118"/>
      <c r="AL6313" s="1115"/>
      <c r="AM6313" s="1115"/>
      <c r="AN6313" s="1115"/>
      <c r="AO6313" s="1115"/>
      <c r="AP6313" s="1115"/>
      <c r="AQ6313" s="1115"/>
      <c r="AR6313" s="1115"/>
      <c r="AS6313" s="1117"/>
      <c r="AT6313" s="1075"/>
      <c r="AU6313" s="1193"/>
      <c r="AV6313" s="330"/>
      <c r="AW6313" s="331"/>
      <c r="AX6313" s="331"/>
      <c r="AY6313" s="331"/>
      <c r="AZ6313" s="331"/>
      <c r="BA6313" s="331"/>
      <c r="BB6313" s="331"/>
      <c r="BC6313" s="331"/>
      <c r="BD6313" s="331"/>
      <c r="BE6313" s="333"/>
      <c r="BF6313" s="330"/>
      <c r="BG6313" s="333"/>
      <c r="BH6313" s="1119"/>
      <c r="BI6313" s="319"/>
      <c r="BJ6313" s="319"/>
      <c r="BK6313" s="319"/>
      <c r="BL6313" s="319"/>
      <c r="BM6313" s="319"/>
      <c r="BN6313" s="319"/>
      <c r="BO6313" s="319"/>
      <c r="BP6313" s="953"/>
      <c r="BQ6313" s="319"/>
      <c r="BR6313" s="319"/>
      <c r="BS6313" s="330"/>
      <c r="BT6313" s="331"/>
      <c r="BU6313" s="920"/>
      <c r="BV6313" s="903"/>
      <c r="BW6313" s="908"/>
      <c r="BX6313" s="908"/>
      <c r="BY6313" s="331"/>
      <c r="BZ6313" s="331"/>
      <c r="CA6313" s="462"/>
      <c r="CB6313" s="319"/>
      <c r="CC6313" s="319"/>
      <c r="CD6313" s="319"/>
      <c r="CE6313" s="319"/>
      <c r="CF6313" s="319"/>
      <c r="CG6313" s="319"/>
      <c r="CH6313" s="318"/>
      <c r="CI6313" s="319"/>
      <c r="CJ6313" s="319"/>
      <c r="CK6313" s="342"/>
      <c r="CL6313" s="333"/>
      <c r="CM6313" s="1079"/>
      <c r="CN6313" s="1005"/>
      <c r="CO6313" s="1005"/>
      <c r="CP6313" s="1005"/>
    </row>
    <row r="6314">
      <c r="A6314" s="1257"/>
      <c r="B6314" s="1113"/>
      <c r="C6314" s="1107"/>
      <c r="D6314" s="103"/>
      <c r="E6314" s="1137"/>
      <c r="F6314" s="112"/>
      <c r="G6314" s="1110"/>
      <c r="H6314" s="1138"/>
      <c r="I6314" s="1138"/>
      <c r="J6314" s="1139"/>
      <c r="K6314" s="1111"/>
      <c r="L6314" s="1112"/>
      <c r="M6314" s="1113"/>
      <c r="N6314" s="110"/>
      <c r="O6314" s="1140"/>
      <c r="P6314" s="1115"/>
      <c r="Q6314" s="1116"/>
      <c r="R6314" s="1141"/>
      <c r="S6314" s="1113"/>
      <c r="T6314" s="1143"/>
      <c r="U6314" s="1108"/>
      <c r="V6314" s="1108"/>
      <c r="W6314" s="1108"/>
      <c r="X6314" s="1108"/>
      <c r="Y6314" s="1108"/>
      <c r="Z6314" s="1114"/>
      <c r="AA6314" s="1114"/>
      <c r="AB6314" s="1114"/>
      <c r="AC6314" s="1117"/>
      <c r="AD6314" s="1115"/>
      <c r="AE6314" s="1115"/>
      <c r="AF6314" s="1115"/>
      <c r="AG6314" s="1115"/>
      <c r="AH6314" s="1115"/>
      <c r="AI6314" s="1115"/>
      <c r="AJ6314" s="1117"/>
      <c r="AK6314" s="1118"/>
      <c r="AL6314" s="1115"/>
      <c r="AM6314" s="1115"/>
      <c r="AN6314" s="1115"/>
      <c r="AO6314" s="1115"/>
      <c r="AP6314" s="1115"/>
      <c r="AQ6314" s="1115"/>
      <c r="AR6314" s="1115"/>
      <c r="AS6314" s="1117"/>
      <c r="AT6314" s="1075"/>
      <c r="AU6314" s="1193"/>
      <c r="AV6314" s="330"/>
      <c r="AW6314" s="331"/>
      <c r="AX6314" s="331"/>
      <c r="AY6314" s="331"/>
      <c r="AZ6314" s="331"/>
      <c r="BA6314" s="331"/>
      <c r="BB6314" s="331"/>
      <c r="BC6314" s="331"/>
      <c r="BD6314" s="331"/>
      <c r="BE6314" s="333"/>
      <c r="BF6314" s="330"/>
      <c r="BG6314" s="333"/>
      <c r="BH6314" s="1119"/>
      <c r="BI6314" s="319"/>
      <c r="BJ6314" s="319"/>
      <c r="BK6314" s="319"/>
      <c r="BL6314" s="319"/>
      <c r="BM6314" s="319"/>
      <c r="BN6314" s="319"/>
      <c r="BO6314" s="319"/>
      <c r="BP6314" s="953"/>
      <c r="BQ6314" s="319"/>
      <c r="BR6314" s="319"/>
      <c r="BS6314" s="330"/>
      <c r="BT6314" s="331"/>
      <c r="BU6314" s="920"/>
      <c r="BV6314" s="903"/>
      <c r="BW6314" s="908"/>
      <c r="BX6314" s="908"/>
      <c r="BY6314" s="331"/>
      <c r="BZ6314" s="331"/>
      <c r="CA6314" s="462"/>
      <c r="CB6314" s="319"/>
      <c r="CC6314" s="319"/>
      <c r="CD6314" s="319"/>
      <c r="CE6314" s="319"/>
      <c r="CF6314" s="319"/>
      <c r="CG6314" s="319"/>
      <c r="CH6314" s="318"/>
      <c r="CI6314" s="319"/>
      <c r="CJ6314" s="319"/>
      <c r="CK6314" s="342"/>
      <c r="CL6314" s="333"/>
      <c r="CM6314" s="1079"/>
      <c r="CN6314" s="1005"/>
      <c r="CO6314" s="1005"/>
      <c r="CP6314" s="1005"/>
    </row>
    <row r="6315">
      <c r="A6315" s="1257"/>
      <c r="B6315" s="1113"/>
      <c r="C6315" s="1107"/>
      <c r="D6315" s="103"/>
      <c r="E6315" s="1137"/>
      <c r="F6315" s="112"/>
      <c r="G6315" s="1110"/>
      <c r="H6315" s="1138"/>
      <c r="I6315" s="1138"/>
      <c r="J6315" s="1139"/>
      <c r="K6315" s="1111"/>
      <c r="L6315" s="1112"/>
      <c r="M6315" s="1113"/>
      <c r="N6315" s="110"/>
      <c r="O6315" s="1140"/>
      <c r="P6315" s="1115"/>
      <c r="Q6315" s="1116"/>
      <c r="R6315" s="1141"/>
      <c r="S6315" s="1113"/>
      <c r="T6315" s="1143"/>
      <c r="U6315" s="1108"/>
      <c r="V6315" s="1108"/>
      <c r="W6315" s="1108"/>
      <c r="X6315" s="1108"/>
      <c r="Y6315" s="1108"/>
      <c r="Z6315" s="1114"/>
      <c r="AA6315" s="1114"/>
      <c r="AB6315" s="1114"/>
      <c r="AC6315" s="1117"/>
      <c r="AD6315" s="1115"/>
      <c r="AE6315" s="1115"/>
      <c r="AF6315" s="1115"/>
      <c r="AG6315" s="1115"/>
      <c r="AH6315" s="1115"/>
      <c r="AI6315" s="1115"/>
      <c r="AJ6315" s="1117"/>
      <c r="AK6315" s="1118"/>
      <c r="AL6315" s="1115"/>
      <c r="AM6315" s="1115"/>
      <c r="AN6315" s="1115"/>
      <c r="AO6315" s="1115"/>
      <c r="AP6315" s="1115"/>
      <c r="AQ6315" s="1115"/>
      <c r="AR6315" s="1115"/>
      <c r="AS6315" s="1117"/>
      <c r="AT6315" s="1075"/>
      <c r="AU6315" s="1193"/>
      <c r="AV6315" s="330"/>
      <c r="AW6315" s="331"/>
      <c r="AX6315" s="331"/>
      <c r="AY6315" s="331"/>
      <c r="AZ6315" s="331"/>
      <c r="BA6315" s="331"/>
      <c r="BB6315" s="331"/>
      <c r="BC6315" s="331"/>
      <c r="BD6315" s="331"/>
      <c r="BE6315" s="333"/>
      <c r="BF6315" s="330"/>
      <c r="BG6315" s="333"/>
      <c r="BH6315" s="1119"/>
      <c r="BI6315" s="319"/>
      <c r="BJ6315" s="319"/>
      <c r="BK6315" s="319"/>
      <c r="BL6315" s="319"/>
      <c r="BM6315" s="319"/>
      <c r="BN6315" s="319"/>
      <c r="BO6315" s="319"/>
      <c r="BP6315" s="953"/>
      <c r="BQ6315" s="319"/>
      <c r="BR6315" s="319"/>
      <c r="BS6315" s="330"/>
      <c r="BT6315" s="331"/>
      <c r="BU6315" s="920"/>
      <c r="BV6315" s="903"/>
      <c r="BW6315" s="908"/>
      <c r="BX6315" s="908"/>
      <c r="BY6315" s="331"/>
      <c r="BZ6315" s="331"/>
      <c r="CA6315" s="462"/>
      <c r="CB6315" s="319"/>
      <c r="CC6315" s="319"/>
      <c r="CD6315" s="319"/>
      <c r="CE6315" s="319"/>
      <c r="CF6315" s="319"/>
      <c r="CG6315" s="319"/>
      <c r="CH6315" s="318"/>
      <c r="CI6315" s="319"/>
      <c r="CJ6315" s="319"/>
      <c r="CK6315" s="342"/>
      <c r="CL6315" s="333"/>
      <c r="CM6315" s="1079"/>
      <c r="CN6315" s="1005"/>
      <c r="CO6315" s="1005"/>
      <c r="CP6315" s="1005"/>
    </row>
    <row r="6316">
      <c r="A6316" s="1257"/>
      <c r="B6316" s="1113"/>
      <c r="C6316" s="1107"/>
      <c r="D6316" s="103"/>
      <c r="E6316" s="1137"/>
      <c r="F6316" s="112"/>
      <c r="G6316" s="1110"/>
      <c r="H6316" s="1138"/>
      <c r="I6316" s="1138"/>
      <c r="J6316" s="1139"/>
      <c r="K6316" s="1111"/>
      <c r="L6316" s="1112"/>
      <c r="M6316" s="1113"/>
      <c r="N6316" s="110"/>
      <c r="O6316" s="1140"/>
      <c r="P6316" s="1115"/>
      <c r="Q6316" s="1116"/>
      <c r="R6316" s="1141"/>
      <c r="S6316" s="1113"/>
      <c r="T6316" s="1143"/>
      <c r="U6316" s="1108"/>
      <c r="V6316" s="1108"/>
      <c r="W6316" s="1108"/>
      <c r="X6316" s="1108"/>
      <c r="Y6316" s="1108"/>
      <c r="Z6316" s="1114"/>
      <c r="AA6316" s="1114"/>
      <c r="AB6316" s="1114"/>
      <c r="AC6316" s="1117"/>
      <c r="AD6316" s="1115"/>
      <c r="AE6316" s="1115"/>
      <c r="AF6316" s="1115"/>
      <c r="AG6316" s="1115"/>
      <c r="AH6316" s="1115"/>
      <c r="AI6316" s="1115"/>
      <c r="AJ6316" s="1117"/>
      <c r="AK6316" s="1118"/>
      <c r="AL6316" s="1115"/>
      <c r="AM6316" s="1115"/>
      <c r="AN6316" s="1115"/>
      <c r="AO6316" s="1115"/>
      <c r="AP6316" s="1115"/>
      <c r="AQ6316" s="1115"/>
      <c r="AR6316" s="1115"/>
      <c r="AS6316" s="1117"/>
      <c r="AT6316" s="1075"/>
      <c r="AU6316" s="1193"/>
      <c r="AV6316" s="330"/>
      <c r="AW6316" s="331"/>
      <c r="AX6316" s="331"/>
      <c r="AY6316" s="331"/>
      <c r="AZ6316" s="331"/>
      <c r="BA6316" s="331"/>
      <c r="BB6316" s="331"/>
      <c r="BC6316" s="331"/>
      <c r="BD6316" s="331"/>
      <c r="BE6316" s="333"/>
      <c r="BF6316" s="330"/>
      <c r="BG6316" s="333"/>
      <c r="BH6316" s="1119"/>
      <c r="BI6316" s="319"/>
      <c r="BJ6316" s="319"/>
      <c r="BK6316" s="319"/>
      <c r="BL6316" s="319"/>
      <c r="BM6316" s="319"/>
      <c r="BN6316" s="319"/>
      <c r="BO6316" s="319"/>
      <c r="BP6316" s="953"/>
      <c r="BQ6316" s="319"/>
      <c r="BR6316" s="319"/>
      <c r="BS6316" s="330"/>
      <c r="BT6316" s="331"/>
      <c r="BU6316" s="920"/>
      <c r="BV6316" s="903"/>
      <c r="BW6316" s="908"/>
      <c r="BX6316" s="908"/>
      <c r="BY6316" s="331"/>
      <c r="BZ6316" s="331"/>
      <c r="CA6316" s="462"/>
      <c r="CB6316" s="319"/>
      <c r="CC6316" s="319"/>
      <c r="CD6316" s="319"/>
      <c r="CE6316" s="319"/>
      <c r="CF6316" s="319"/>
      <c r="CG6316" s="319"/>
      <c r="CH6316" s="318"/>
      <c r="CI6316" s="319"/>
      <c r="CJ6316" s="319"/>
      <c r="CK6316" s="342"/>
      <c r="CL6316" s="333"/>
      <c r="CM6316" s="1079"/>
      <c r="CN6316" s="1005"/>
      <c r="CO6316" s="1005"/>
      <c r="CP6316" s="1005"/>
    </row>
    <row r="6317">
      <c r="A6317" s="1257"/>
      <c r="B6317" s="1113"/>
      <c r="C6317" s="1107"/>
      <c r="D6317" s="103"/>
      <c r="E6317" s="1137"/>
      <c r="F6317" s="112"/>
      <c r="G6317" s="1110"/>
      <c r="H6317" s="1138"/>
      <c r="I6317" s="1138"/>
      <c r="J6317" s="1139"/>
      <c r="K6317" s="1111"/>
      <c r="L6317" s="1112"/>
      <c r="M6317" s="1113"/>
      <c r="N6317" s="110"/>
      <c r="O6317" s="1140"/>
      <c r="P6317" s="1115"/>
      <c r="Q6317" s="1116"/>
      <c r="R6317" s="1141"/>
      <c r="S6317" s="1113"/>
      <c r="T6317" s="1143"/>
      <c r="U6317" s="1108"/>
      <c r="V6317" s="1108"/>
      <c r="W6317" s="1108"/>
      <c r="X6317" s="1108"/>
      <c r="Y6317" s="1108"/>
      <c r="Z6317" s="1114"/>
      <c r="AA6317" s="1114"/>
      <c r="AB6317" s="1114"/>
      <c r="AC6317" s="1117"/>
      <c r="AD6317" s="1115"/>
      <c r="AE6317" s="1115"/>
      <c r="AF6317" s="1115"/>
      <c r="AG6317" s="1115"/>
      <c r="AH6317" s="1115"/>
      <c r="AI6317" s="1115"/>
      <c r="AJ6317" s="1117"/>
      <c r="AK6317" s="1118"/>
      <c r="AL6317" s="1115"/>
      <c r="AM6317" s="1115"/>
      <c r="AN6317" s="1115"/>
      <c r="AO6317" s="1115"/>
      <c r="AP6317" s="1115"/>
      <c r="AQ6317" s="1115"/>
      <c r="AR6317" s="1115"/>
      <c r="AS6317" s="1117"/>
      <c r="AT6317" s="1075"/>
      <c r="AU6317" s="1193"/>
      <c r="AV6317" s="330"/>
      <c r="AW6317" s="331"/>
      <c r="AX6317" s="331"/>
      <c r="AY6317" s="331"/>
      <c r="AZ6317" s="331"/>
      <c r="BA6317" s="331"/>
      <c r="BB6317" s="331"/>
      <c r="BC6317" s="331"/>
      <c r="BD6317" s="331"/>
      <c r="BE6317" s="333"/>
      <c r="BF6317" s="330"/>
      <c r="BG6317" s="333"/>
      <c r="BH6317" s="1119"/>
      <c r="BI6317" s="319"/>
      <c r="BJ6317" s="319"/>
      <c r="BK6317" s="319"/>
      <c r="BL6317" s="319"/>
      <c r="BM6317" s="319"/>
      <c r="BN6317" s="319"/>
      <c r="BO6317" s="319"/>
      <c r="BP6317" s="953"/>
      <c r="BQ6317" s="319"/>
      <c r="BR6317" s="319"/>
      <c r="BS6317" s="330"/>
      <c r="BT6317" s="331"/>
      <c r="BU6317" s="920"/>
      <c r="BV6317" s="903"/>
      <c r="BW6317" s="908"/>
      <c r="BX6317" s="908"/>
      <c r="BY6317" s="331"/>
      <c r="BZ6317" s="331"/>
      <c r="CA6317" s="462"/>
      <c r="CB6317" s="319"/>
      <c r="CC6317" s="319"/>
      <c r="CD6317" s="319"/>
      <c r="CE6317" s="319"/>
      <c r="CF6317" s="319"/>
      <c r="CG6317" s="319"/>
      <c r="CH6317" s="318"/>
      <c r="CI6317" s="319"/>
      <c r="CJ6317" s="319"/>
      <c r="CK6317" s="342"/>
      <c r="CL6317" s="333"/>
      <c r="CM6317" s="1079"/>
      <c r="CN6317" s="1005"/>
      <c r="CO6317" s="1005"/>
      <c r="CP6317" s="1005"/>
    </row>
    <row r="6318">
      <c r="A6318" s="1257"/>
      <c r="B6318" s="1113"/>
      <c r="C6318" s="1107"/>
      <c r="D6318" s="103"/>
      <c r="E6318" s="1137"/>
      <c r="F6318" s="112"/>
      <c r="G6318" s="1110"/>
      <c r="H6318" s="1138"/>
      <c r="I6318" s="1138"/>
      <c r="J6318" s="1139"/>
      <c r="K6318" s="1111"/>
      <c r="L6318" s="1112"/>
      <c r="M6318" s="1113"/>
      <c r="N6318" s="110"/>
      <c r="O6318" s="1140"/>
      <c r="P6318" s="1115"/>
      <c r="Q6318" s="1116"/>
      <c r="R6318" s="1141"/>
      <c r="S6318" s="1113"/>
      <c r="T6318" s="1143"/>
      <c r="U6318" s="1108"/>
      <c r="V6318" s="1108"/>
      <c r="W6318" s="1108"/>
      <c r="X6318" s="1108"/>
      <c r="Y6318" s="1108"/>
      <c r="Z6318" s="1114"/>
      <c r="AA6318" s="1114"/>
      <c r="AB6318" s="1114"/>
      <c r="AC6318" s="1117"/>
      <c r="AD6318" s="1115"/>
      <c r="AE6318" s="1115"/>
      <c r="AF6318" s="1115"/>
      <c r="AG6318" s="1115"/>
      <c r="AH6318" s="1115"/>
      <c r="AI6318" s="1115"/>
      <c r="AJ6318" s="1117"/>
      <c r="AK6318" s="1118"/>
      <c r="AL6318" s="1115"/>
      <c r="AM6318" s="1115"/>
      <c r="AN6318" s="1115"/>
      <c r="AO6318" s="1115"/>
      <c r="AP6318" s="1115"/>
      <c r="AQ6318" s="1115"/>
      <c r="AR6318" s="1115"/>
      <c r="AS6318" s="1117"/>
      <c r="AT6318" s="1075"/>
      <c r="AU6318" s="1193"/>
      <c r="AV6318" s="330"/>
      <c r="AW6318" s="331"/>
      <c r="AX6318" s="331"/>
      <c r="AY6318" s="331"/>
      <c r="AZ6318" s="331"/>
      <c r="BA6318" s="331"/>
      <c r="BB6318" s="331"/>
      <c r="BC6318" s="331"/>
      <c r="BD6318" s="331"/>
      <c r="BE6318" s="333"/>
      <c r="BF6318" s="330"/>
      <c r="BG6318" s="333"/>
      <c r="BH6318" s="1119"/>
      <c r="BI6318" s="319"/>
      <c r="BJ6318" s="319"/>
      <c r="BK6318" s="319"/>
      <c r="BL6318" s="319"/>
      <c r="BM6318" s="319"/>
      <c r="BN6318" s="319"/>
      <c r="BO6318" s="319"/>
      <c r="BP6318" s="953"/>
      <c r="BQ6318" s="319"/>
      <c r="BR6318" s="319"/>
      <c r="BS6318" s="330"/>
      <c r="BT6318" s="331"/>
      <c r="BU6318" s="920"/>
      <c r="BV6318" s="903"/>
      <c r="BW6318" s="908"/>
      <c r="BX6318" s="908"/>
      <c r="BY6318" s="331"/>
      <c r="BZ6318" s="331"/>
      <c r="CA6318" s="462"/>
      <c r="CB6318" s="319"/>
      <c r="CC6318" s="319"/>
      <c r="CD6318" s="319"/>
      <c r="CE6318" s="319"/>
      <c r="CF6318" s="319"/>
      <c r="CG6318" s="319"/>
      <c r="CH6318" s="318"/>
      <c r="CI6318" s="319"/>
      <c r="CJ6318" s="319"/>
      <c r="CK6318" s="342"/>
      <c r="CL6318" s="333"/>
      <c r="CM6318" s="1079"/>
      <c r="CN6318" s="1005"/>
      <c r="CO6318" s="1005"/>
      <c r="CP6318" s="1005"/>
    </row>
    <row r="6319">
      <c r="A6319" s="1257"/>
      <c r="B6319" s="1113"/>
      <c r="C6319" s="1107"/>
      <c r="D6319" s="103"/>
      <c r="E6319" s="1137"/>
      <c r="F6319" s="112"/>
      <c r="G6319" s="1110"/>
      <c r="H6319" s="1138"/>
      <c r="I6319" s="1138"/>
      <c r="J6319" s="1139"/>
      <c r="K6319" s="1111"/>
      <c r="L6319" s="1112"/>
      <c r="M6319" s="1113"/>
      <c r="N6319" s="110"/>
      <c r="O6319" s="1140"/>
      <c r="P6319" s="1115"/>
      <c r="Q6319" s="1116"/>
      <c r="R6319" s="1141"/>
      <c r="S6319" s="1113"/>
      <c r="T6319" s="1143"/>
      <c r="U6319" s="1108"/>
      <c r="V6319" s="1108"/>
      <c r="W6319" s="1108"/>
      <c r="X6319" s="1108"/>
      <c r="Y6319" s="1108"/>
      <c r="Z6319" s="1114"/>
      <c r="AA6319" s="1114"/>
      <c r="AB6319" s="1114"/>
      <c r="AC6319" s="1117"/>
      <c r="AD6319" s="1115"/>
      <c r="AE6319" s="1115"/>
      <c r="AF6319" s="1115"/>
      <c r="AG6319" s="1115"/>
      <c r="AH6319" s="1115"/>
      <c r="AI6319" s="1115"/>
      <c r="AJ6319" s="1117"/>
      <c r="AK6319" s="1118"/>
      <c r="AL6319" s="1115"/>
      <c r="AM6319" s="1115"/>
      <c r="AN6319" s="1115"/>
      <c r="AO6319" s="1115"/>
      <c r="AP6319" s="1115"/>
      <c r="AQ6319" s="1115"/>
      <c r="AR6319" s="1115"/>
      <c r="AS6319" s="1117"/>
      <c r="AT6319" s="1075"/>
      <c r="AU6319" s="1193"/>
      <c r="AV6319" s="330"/>
      <c r="AW6319" s="331"/>
      <c r="AX6319" s="331"/>
      <c r="AY6319" s="331"/>
      <c r="AZ6319" s="331"/>
      <c r="BA6319" s="331"/>
      <c r="BB6319" s="331"/>
      <c r="BC6319" s="331"/>
      <c r="BD6319" s="331"/>
      <c r="BE6319" s="333"/>
      <c r="BF6319" s="330"/>
      <c r="BG6319" s="333"/>
      <c r="BH6319" s="1119"/>
      <c r="BI6319" s="319"/>
      <c r="BJ6319" s="319"/>
      <c r="BK6319" s="319"/>
      <c r="BL6319" s="319"/>
      <c r="BM6319" s="319"/>
      <c r="BN6319" s="319"/>
      <c r="BO6319" s="319"/>
      <c r="BP6319" s="953"/>
      <c r="BQ6319" s="319"/>
      <c r="BR6319" s="319"/>
      <c r="BS6319" s="330"/>
      <c r="BT6319" s="331"/>
      <c r="BU6319" s="920"/>
      <c r="BV6319" s="903"/>
      <c r="BW6319" s="908"/>
      <c r="BX6319" s="908"/>
      <c r="BY6319" s="331"/>
      <c r="BZ6319" s="331"/>
      <c r="CA6319" s="462"/>
      <c r="CB6319" s="319"/>
      <c r="CC6319" s="319"/>
      <c r="CD6319" s="319"/>
      <c r="CE6319" s="319"/>
      <c r="CF6319" s="319"/>
      <c r="CG6319" s="319"/>
      <c r="CH6319" s="318"/>
      <c r="CI6319" s="319"/>
      <c r="CJ6319" s="319"/>
      <c r="CK6319" s="342"/>
      <c r="CL6319" s="333"/>
      <c r="CM6319" s="1079"/>
      <c r="CN6319" s="1005"/>
      <c r="CO6319" s="1005"/>
      <c r="CP6319" s="1005"/>
    </row>
    <row r="6320">
      <c r="A6320" s="1257"/>
      <c r="B6320" s="1113"/>
      <c r="C6320" s="1107"/>
      <c r="D6320" s="103"/>
      <c r="E6320" s="1137"/>
      <c r="F6320" s="112"/>
      <c r="G6320" s="1110"/>
      <c r="H6320" s="1138"/>
      <c r="I6320" s="1138"/>
      <c r="J6320" s="1139"/>
      <c r="K6320" s="1111"/>
      <c r="L6320" s="1112"/>
      <c r="M6320" s="1113"/>
      <c r="N6320" s="110"/>
      <c r="O6320" s="1140"/>
      <c r="P6320" s="1115"/>
      <c r="Q6320" s="1116"/>
      <c r="R6320" s="1141"/>
      <c r="S6320" s="1113"/>
      <c r="T6320" s="1143"/>
      <c r="U6320" s="1108"/>
      <c r="V6320" s="1108"/>
      <c r="W6320" s="1108"/>
      <c r="X6320" s="1108"/>
      <c r="Y6320" s="1108"/>
      <c r="Z6320" s="1114"/>
      <c r="AA6320" s="1114"/>
      <c r="AB6320" s="1114"/>
      <c r="AC6320" s="1117"/>
      <c r="AD6320" s="1115"/>
      <c r="AE6320" s="1115"/>
      <c r="AF6320" s="1115"/>
      <c r="AG6320" s="1115"/>
      <c r="AH6320" s="1115"/>
      <c r="AI6320" s="1115"/>
      <c r="AJ6320" s="1117"/>
      <c r="AK6320" s="1118"/>
      <c r="AL6320" s="1115"/>
      <c r="AM6320" s="1115"/>
      <c r="AN6320" s="1115"/>
      <c r="AO6320" s="1115"/>
      <c r="AP6320" s="1115"/>
      <c r="AQ6320" s="1115"/>
      <c r="AR6320" s="1115"/>
      <c r="AS6320" s="1117"/>
      <c r="AT6320" s="1075"/>
      <c r="AU6320" s="1193"/>
      <c r="AV6320" s="330"/>
      <c r="AW6320" s="331"/>
      <c r="AX6320" s="331"/>
      <c r="AY6320" s="331"/>
      <c r="AZ6320" s="331"/>
      <c r="BA6320" s="331"/>
      <c r="BB6320" s="331"/>
      <c r="BC6320" s="331"/>
      <c r="BD6320" s="331"/>
      <c r="BE6320" s="333"/>
      <c r="BF6320" s="330"/>
      <c r="BG6320" s="333"/>
      <c r="BH6320" s="1119"/>
      <c r="BI6320" s="319"/>
      <c r="BJ6320" s="319"/>
      <c r="BK6320" s="319"/>
      <c r="BL6320" s="319"/>
      <c r="BM6320" s="319"/>
      <c r="BN6320" s="319"/>
      <c r="BO6320" s="319"/>
      <c r="BP6320" s="953"/>
      <c r="BQ6320" s="319"/>
      <c r="BR6320" s="319"/>
      <c r="BS6320" s="330"/>
      <c r="BT6320" s="331"/>
      <c r="BU6320" s="920"/>
      <c r="BV6320" s="903"/>
      <c r="BW6320" s="908"/>
      <c r="BX6320" s="908"/>
      <c r="BY6320" s="331"/>
      <c r="BZ6320" s="331"/>
      <c r="CA6320" s="462"/>
      <c r="CB6320" s="319"/>
      <c r="CC6320" s="319"/>
      <c r="CD6320" s="319"/>
      <c r="CE6320" s="319"/>
      <c r="CF6320" s="319"/>
      <c r="CG6320" s="319"/>
      <c r="CH6320" s="318"/>
      <c r="CI6320" s="319"/>
      <c r="CJ6320" s="319"/>
      <c r="CK6320" s="342"/>
      <c r="CL6320" s="333"/>
      <c r="CM6320" s="1079"/>
      <c r="CN6320" s="1005"/>
      <c r="CO6320" s="1005"/>
      <c r="CP6320" s="1005"/>
    </row>
    <row r="6321">
      <c r="A6321" s="1257"/>
      <c r="B6321" s="1113"/>
      <c r="C6321" s="1107"/>
      <c r="D6321" s="103"/>
      <c r="E6321" s="1137"/>
      <c r="F6321" s="112"/>
      <c r="G6321" s="1110"/>
      <c r="H6321" s="1138"/>
      <c r="I6321" s="1138"/>
      <c r="J6321" s="1139"/>
      <c r="K6321" s="1111"/>
      <c r="L6321" s="1112"/>
      <c r="M6321" s="1113"/>
      <c r="N6321" s="110"/>
      <c r="O6321" s="1140"/>
      <c r="P6321" s="1115"/>
      <c r="Q6321" s="1116"/>
      <c r="R6321" s="1141"/>
      <c r="S6321" s="1113"/>
      <c r="T6321" s="1143"/>
      <c r="U6321" s="1108"/>
      <c r="V6321" s="1108"/>
      <c r="W6321" s="1108"/>
      <c r="X6321" s="1108"/>
      <c r="Y6321" s="1108"/>
      <c r="Z6321" s="1114"/>
      <c r="AA6321" s="1114"/>
      <c r="AB6321" s="1114"/>
      <c r="AC6321" s="1117"/>
      <c r="AD6321" s="1115"/>
      <c r="AE6321" s="1115"/>
      <c r="AF6321" s="1115"/>
      <c r="AG6321" s="1115"/>
      <c r="AH6321" s="1115"/>
      <c r="AI6321" s="1115"/>
      <c r="AJ6321" s="1117"/>
      <c r="AK6321" s="1118"/>
      <c r="AL6321" s="1115"/>
      <c r="AM6321" s="1115"/>
      <c r="AN6321" s="1115"/>
      <c r="AO6321" s="1115"/>
      <c r="AP6321" s="1115"/>
      <c r="AQ6321" s="1115"/>
      <c r="AR6321" s="1115"/>
      <c r="AS6321" s="1117"/>
      <c r="AT6321" s="1075"/>
      <c r="AU6321" s="1193"/>
      <c r="AV6321" s="330"/>
      <c r="AW6321" s="331"/>
      <c r="AX6321" s="331"/>
      <c r="AY6321" s="331"/>
      <c r="AZ6321" s="331"/>
      <c r="BA6321" s="331"/>
      <c r="BB6321" s="331"/>
      <c r="BC6321" s="331"/>
      <c r="BD6321" s="331"/>
      <c r="BE6321" s="333"/>
      <c r="BF6321" s="330"/>
      <c r="BG6321" s="333"/>
      <c r="BH6321" s="1119"/>
      <c r="BI6321" s="319"/>
      <c r="BJ6321" s="319"/>
      <c r="BK6321" s="319"/>
      <c r="BL6321" s="319"/>
      <c r="BM6321" s="319"/>
      <c r="BN6321" s="319"/>
      <c r="BO6321" s="319"/>
      <c r="BP6321" s="953"/>
      <c r="BQ6321" s="319"/>
      <c r="BR6321" s="319"/>
      <c r="BS6321" s="330"/>
      <c r="BT6321" s="331"/>
      <c r="BU6321" s="920"/>
      <c r="BV6321" s="903"/>
      <c r="BW6321" s="908"/>
      <c r="BX6321" s="908"/>
      <c r="BY6321" s="331"/>
      <c r="BZ6321" s="331"/>
      <c r="CA6321" s="462"/>
      <c r="CB6321" s="319"/>
      <c r="CC6321" s="319"/>
      <c r="CD6321" s="319"/>
      <c r="CE6321" s="319"/>
      <c r="CF6321" s="319"/>
      <c r="CG6321" s="319"/>
      <c r="CH6321" s="318"/>
      <c r="CI6321" s="319"/>
      <c r="CJ6321" s="319"/>
      <c r="CK6321" s="342"/>
      <c r="CL6321" s="333"/>
      <c r="CM6321" s="1079"/>
      <c r="CN6321" s="1005"/>
      <c r="CO6321" s="1005"/>
      <c r="CP6321" s="1005"/>
    </row>
    <row r="6322">
      <c r="A6322" s="1257"/>
      <c r="B6322" s="1113"/>
      <c r="C6322" s="1107"/>
      <c r="D6322" s="103"/>
      <c r="E6322" s="1137"/>
      <c r="F6322" s="112"/>
      <c r="G6322" s="1110"/>
      <c r="H6322" s="1138"/>
      <c r="I6322" s="1138"/>
      <c r="J6322" s="1139"/>
      <c r="K6322" s="1111"/>
      <c r="L6322" s="1112"/>
      <c r="M6322" s="1113"/>
      <c r="N6322" s="110"/>
      <c r="O6322" s="1140"/>
      <c r="P6322" s="1115"/>
      <c r="Q6322" s="1116"/>
      <c r="R6322" s="1141"/>
      <c r="S6322" s="1113"/>
      <c r="T6322" s="1143"/>
      <c r="U6322" s="1108"/>
      <c r="V6322" s="1108"/>
      <c r="W6322" s="1108"/>
      <c r="X6322" s="1108"/>
      <c r="Y6322" s="1108"/>
      <c r="Z6322" s="1114"/>
      <c r="AA6322" s="1114"/>
      <c r="AB6322" s="1114"/>
      <c r="AC6322" s="1117"/>
      <c r="AD6322" s="1115"/>
      <c r="AE6322" s="1115"/>
      <c r="AF6322" s="1115"/>
      <c r="AG6322" s="1115"/>
      <c r="AH6322" s="1115"/>
      <c r="AI6322" s="1115"/>
      <c r="AJ6322" s="1117"/>
      <c r="AK6322" s="1118"/>
      <c r="AL6322" s="1115"/>
      <c r="AM6322" s="1115"/>
      <c r="AN6322" s="1115"/>
      <c r="AO6322" s="1115"/>
      <c r="AP6322" s="1115"/>
      <c r="AQ6322" s="1115"/>
      <c r="AR6322" s="1115"/>
      <c r="AS6322" s="1117"/>
      <c r="AT6322" s="1075"/>
      <c r="AU6322" s="1193"/>
      <c r="AV6322" s="330"/>
      <c r="AW6322" s="331"/>
      <c r="AX6322" s="331"/>
      <c r="AY6322" s="331"/>
      <c r="AZ6322" s="331"/>
      <c r="BA6322" s="331"/>
      <c r="BB6322" s="331"/>
      <c r="BC6322" s="331"/>
      <c r="BD6322" s="331"/>
      <c r="BE6322" s="333"/>
      <c r="BF6322" s="330"/>
      <c r="BG6322" s="333"/>
      <c r="BH6322" s="1119"/>
      <c r="BI6322" s="319"/>
      <c r="BJ6322" s="319"/>
      <c r="BK6322" s="319"/>
      <c r="BL6322" s="319"/>
      <c r="BM6322" s="319"/>
      <c r="BN6322" s="319"/>
      <c r="BO6322" s="319"/>
      <c r="BP6322" s="953"/>
      <c r="BQ6322" s="319"/>
      <c r="BR6322" s="319"/>
      <c r="BS6322" s="330"/>
      <c r="BT6322" s="331"/>
      <c r="BU6322" s="920"/>
      <c r="BV6322" s="903"/>
      <c r="BW6322" s="908"/>
      <c r="BX6322" s="908"/>
      <c r="BY6322" s="331"/>
      <c r="BZ6322" s="331"/>
      <c r="CA6322" s="462"/>
      <c r="CB6322" s="319"/>
      <c r="CC6322" s="319"/>
      <c r="CD6322" s="319"/>
      <c r="CE6322" s="319"/>
      <c r="CF6322" s="319"/>
      <c r="CG6322" s="319"/>
      <c r="CH6322" s="318"/>
      <c r="CI6322" s="319"/>
      <c r="CJ6322" s="319"/>
      <c r="CK6322" s="342"/>
      <c r="CL6322" s="333"/>
      <c r="CM6322" s="1079"/>
      <c r="CN6322" s="1005"/>
      <c r="CO6322" s="1005"/>
      <c r="CP6322" s="1005"/>
    </row>
    <row r="6323">
      <c r="A6323" s="1257"/>
      <c r="B6323" s="1113"/>
      <c r="C6323" s="1107"/>
      <c r="D6323" s="103"/>
      <c r="E6323" s="1137"/>
      <c r="F6323" s="112"/>
      <c r="G6323" s="1110"/>
      <c r="H6323" s="1138"/>
      <c r="I6323" s="1138"/>
      <c r="J6323" s="1139"/>
      <c r="K6323" s="1111"/>
      <c r="L6323" s="1112"/>
      <c r="M6323" s="1113"/>
      <c r="N6323" s="110"/>
      <c r="O6323" s="1140"/>
      <c r="P6323" s="1115"/>
      <c r="Q6323" s="1116"/>
      <c r="R6323" s="1141"/>
      <c r="S6323" s="1113"/>
      <c r="T6323" s="1143"/>
      <c r="U6323" s="1108"/>
      <c r="V6323" s="1108"/>
      <c r="W6323" s="1108"/>
      <c r="X6323" s="1108"/>
      <c r="Y6323" s="1108"/>
      <c r="Z6323" s="1114"/>
      <c r="AA6323" s="1114"/>
      <c r="AB6323" s="1114"/>
      <c r="AC6323" s="1117"/>
      <c r="AD6323" s="1115"/>
      <c r="AE6323" s="1115"/>
      <c r="AF6323" s="1115"/>
      <c r="AG6323" s="1115"/>
      <c r="AH6323" s="1115"/>
      <c r="AI6323" s="1115"/>
      <c r="AJ6323" s="1117"/>
      <c r="AK6323" s="1118"/>
      <c r="AL6323" s="1115"/>
      <c r="AM6323" s="1115"/>
      <c r="AN6323" s="1115"/>
      <c r="AO6323" s="1115"/>
      <c r="AP6323" s="1115"/>
      <c r="AQ6323" s="1115"/>
      <c r="AR6323" s="1115"/>
      <c r="AS6323" s="1117"/>
      <c r="AT6323" s="1075"/>
      <c r="AU6323" s="1193"/>
      <c r="AV6323" s="330"/>
      <c r="AW6323" s="331"/>
      <c r="AX6323" s="331"/>
      <c r="AY6323" s="331"/>
      <c r="AZ6323" s="331"/>
      <c r="BA6323" s="331"/>
      <c r="BB6323" s="331"/>
      <c r="BC6323" s="331"/>
      <c r="BD6323" s="331"/>
      <c r="BE6323" s="333"/>
      <c r="BF6323" s="330"/>
      <c r="BG6323" s="333"/>
      <c r="BH6323" s="1119"/>
      <c r="BI6323" s="319"/>
      <c r="BJ6323" s="319"/>
      <c r="BK6323" s="319"/>
      <c r="BL6323" s="319"/>
      <c r="BM6323" s="319"/>
      <c r="BN6323" s="319"/>
      <c r="BO6323" s="319"/>
      <c r="BP6323" s="953"/>
      <c r="BQ6323" s="319"/>
      <c r="BR6323" s="319"/>
      <c r="BS6323" s="330"/>
      <c r="BT6323" s="331"/>
      <c r="BU6323" s="920"/>
      <c r="BV6323" s="903"/>
      <c r="BW6323" s="908"/>
      <c r="BX6323" s="908"/>
      <c r="BY6323" s="331"/>
      <c r="BZ6323" s="331"/>
      <c r="CA6323" s="462"/>
      <c r="CB6323" s="319"/>
      <c r="CC6323" s="319"/>
      <c r="CD6323" s="319"/>
      <c r="CE6323" s="319"/>
      <c r="CF6323" s="319"/>
      <c r="CG6323" s="319"/>
      <c r="CH6323" s="318"/>
      <c r="CI6323" s="319"/>
      <c r="CJ6323" s="319"/>
      <c r="CK6323" s="342"/>
      <c r="CL6323" s="333"/>
      <c r="CM6323" s="1079"/>
      <c r="CN6323" s="1005"/>
      <c r="CO6323" s="1005"/>
      <c r="CP6323" s="1005"/>
    </row>
    <row r="6324">
      <c r="A6324" s="1257"/>
      <c r="B6324" s="1113"/>
      <c r="C6324" s="1107"/>
      <c r="D6324" s="103"/>
      <c r="E6324" s="1137"/>
      <c r="F6324" s="112"/>
      <c r="G6324" s="1110"/>
      <c r="H6324" s="1138"/>
      <c r="I6324" s="1138"/>
      <c r="J6324" s="1139"/>
      <c r="K6324" s="1111"/>
      <c r="L6324" s="1112"/>
      <c r="M6324" s="1113"/>
      <c r="N6324" s="110"/>
      <c r="O6324" s="1140"/>
      <c r="P6324" s="1115"/>
      <c r="Q6324" s="1116"/>
      <c r="R6324" s="1141"/>
      <c r="S6324" s="1113"/>
      <c r="T6324" s="1143"/>
      <c r="U6324" s="1108"/>
      <c r="V6324" s="1108"/>
      <c r="W6324" s="1108"/>
      <c r="X6324" s="1108"/>
      <c r="Y6324" s="1108"/>
      <c r="Z6324" s="1114"/>
      <c r="AA6324" s="1114"/>
      <c r="AB6324" s="1114"/>
      <c r="AC6324" s="1117"/>
      <c r="AD6324" s="1115"/>
      <c r="AE6324" s="1115"/>
      <c r="AF6324" s="1115"/>
      <c r="AG6324" s="1115"/>
      <c r="AH6324" s="1115"/>
      <c r="AI6324" s="1115"/>
      <c r="AJ6324" s="1117"/>
      <c r="AK6324" s="1118"/>
      <c r="AL6324" s="1115"/>
      <c r="AM6324" s="1115"/>
      <c r="AN6324" s="1115"/>
      <c r="AO6324" s="1115"/>
      <c r="AP6324" s="1115"/>
      <c r="AQ6324" s="1115"/>
      <c r="AR6324" s="1115"/>
      <c r="AS6324" s="1117"/>
      <c r="AT6324" s="1075"/>
      <c r="AU6324" s="1193"/>
      <c r="AV6324" s="330"/>
      <c r="AW6324" s="331"/>
      <c r="AX6324" s="331"/>
      <c r="AY6324" s="331"/>
      <c r="AZ6324" s="331"/>
      <c r="BA6324" s="331"/>
      <c r="BB6324" s="331"/>
      <c r="BC6324" s="331"/>
      <c r="BD6324" s="331"/>
      <c r="BE6324" s="333"/>
      <c r="BF6324" s="330"/>
      <c r="BG6324" s="333"/>
      <c r="BH6324" s="1119"/>
      <c r="BI6324" s="319"/>
      <c r="BJ6324" s="319"/>
      <c r="BK6324" s="319"/>
      <c r="BL6324" s="319"/>
      <c r="BM6324" s="319"/>
      <c r="BN6324" s="319"/>
      <c r="BO6324" s="319"/>
      <c r="BP6324" s="953"/>
      <c r="BQ6324" s="319"/>
      <c r="BR6324" s="319"/>
      <c r="BS6324" s="330"/>
      <c r="BT6324" s="331"/>
      <c r="BU6324" s="920"/>
      <c r="BV6324" s="903"/>
      <c r="BW6324" s="908"/>
      <c r="BX6324" s="908"/>
      <c r="BY6324" s="331"/>
      <c r="BZ6324" s="331"/>
      <c r="CA6324" s="462"/>
      <c r="CB6324" s="319"/>
      <c r="CC6324" s="319"/>
      <c r="CD6324" s="319"/>
      <c r="CE6324" s="319"/>
      <c r="CF6324" s="319"/>
      <c r="CG6324" s="319"/>
      <c r="CH6324" s="318"/>
      <c r="CI6324" s="319"/>
      <c r="CJ6324" s="319"/>
      <c r="CK6324" s="342"/>
      <c r="CL6324" s="333"/>
      <c r="CM6324" s="1079"/>
      <c r="CN6324" s="1005"/>
      <c r="CO6324" s="1005"/>
      <c r="CP6324" s="1005"/>
    </row>
    <row r="6325">
      <c r="A6325" s="1257"/>
      <c r="B6325" s="1113"/>
      <c r="C6325" s="1107"/>
      <c r="D6325" s="103"/>
      <c r="E6325" s="1137"/>
      <c r="F6325" s="112"/>
      <c r="G6325" s="1110"/>
      <c r="H6325" s="1138"/>
      <c r="I6325" s="1138"/>
      <c r="J6325" s="1139"/>
      <c r="K6325" s="1111"/>
      <c r="L6325" s="1112"/>
      <c r="M6325" s="1113"/>
      <c r="N6325" s="110"/>
      <c r="O6325" s="1140"/>
      <c r="P6325" s="1115"/>
      <c r="Q6325" s="1116"/>
      <c r="R6325" s="1141"/>
      <c r="S6325" s="1113"/>
      <c r="T6325" s="1143"/>
      <c r="U6325" s="1108"/>
      <c r="V6325" s="1108"/>
      <c r="W6325" s="1108"/>
      <c r="X6325" s="1108"/>
      <c r="Y6325" s="1108"/>
      <c r="Z6325" s="1114"/>
      <c r="AA6325" s="1114"/>
      <c r="AB6325" s="1114"/>
      <c r="AC6325" s="1117"/>
      <c r="AD6325" s="1115"/>
      <c r="AE6325" s="1115"/>
      <c r="AF6325" s="1115"/>
      <c r="AG6325" s="1115"/>
      <c r="AH6325" s="1115"/>
      <c r="AI6325" s="1115"/>
      <c r="AJ6325" s="1117"/>
      <c r="AK6325" s="1118"/>
      <c r="AL6325" s="1115"/>
      <c r="AM6325" s="1115"/>
      <c r="AN6325" s="1115"/>
      <c r="AO6325" s="1115"/>
      <c r="AP6325" s="1115"/>
      <c r="AQ6325" s="1115"/>
      <c r="AR6325" s="1115"/>
      <c r="AS6325" s="1117"/>
      <c r="AT6325" s="1075"/>
      <c r="AU6325" s="1193"/>
      <c r="AV6325" s="330"/>
      <c r="AW6325" s="331"/>
      <c r="AX6325" s="331"/>
      <c r="AY6325" s="331"/>
      <c r="AZ6325" s="331"/>
      <c r="BA6325" s="331"/>
      <c r="BB6325" s="331"/>
      <c r="BC6325" s="331"/>
      <c r="BD6325" s="331"/>
      <c r="BE6325" s="333"/>
      <c r="BF6325" s="330"/>
      <c r="BG6325" s="333"/>
      <c r="BH6325" s="1119"/>
      <c r="BI6325" s="319"/>
      <c r="BJ6325" s="319"/>
      <c r="BK6325" s="319"/>
      <c r="BL6325" s="319"/>
      <c r="BM6325" s="319"/>
      <c r="BN6325" s="319"/>
      <c r="BO6325" s="319"/>
      <c r="BP6325" s="953"/>
      <c r="BQ6325" s="319"/>
      <c r="BR6325" s="319"/>
      <c r="BS6325" s="330"/>
      <c r="BT6325" s="331"/>
      <c r="BU6325" s="920"/>
      <c r="BV6325" s="903"/>
      <c r="BW6325" s="908"/>
      <c r="BX6325" s="908"/>
      <c r="BY6325" s="331"/>
      <c r="BZ6325" s="331"/>
      <c r="CA6325" s="462"/>
      <c r="CB6325" s="319"/>
      <c r="CC6325" s="319"/>
      <c r="CD6325" s="319"/>
      <c r="CE6325" s="319"/>
      <c r="CF6325" s="319"/>
      <c r="CG6325" s="319"/>
      <c r="CH6325" s="318"/>
      <c r="CI6325" s="319"/>
      <c r="CJ6325" s="319"/>
      <c r="CK6325" s="342"/>
      <c r="CL6325" s="333"/>
      <c r="CM6325" s="1079"/>
      <c r="CN6325" s="1005"/>
      <c r="CO6325" s="1005"/>
      <c r="CP6325" s="1005"/>
    </row>
    <row r="6326">
      <c r="A6326" s="1257"/>
      <c r="B6326" s="1113"/>
      <c r="C6326" s="1107"/>
      <c r="D6326" s="103"/>
      <c r="E6326" s="1137"/>
      <c r="F6326" s="112"/>
      <c r="G6326" s="1110"/>
      <c r="H6326" s="1138"/>
      <c r="I6326" s="1138"/>
      <c r="J6326" s="1139"/>
      <c r="K6326" s="1111"/>
      <c r="L6326" s="1112"/>
      <c r="M6326" s="1113"/>
      <c r="N6326" s="110"/>
      <c r="O6326" s="1140"/>
      <c r="P6326" s="1115"/>
      <c r="Q6326" s="1116"/>
      <c r="R6326" s="1141"/>
      <c r="S6326" s="1113"/>
      <c r="T6326" s="1143"/>
      <c r="U6326" s="1108"/>
      <c r="V6326" s="1108"/>
      <c r="W6326" s="1108"/>
      <c r="X6326" s="1108"/>
      <c r="Y6326" s="1108"/>
      <c r="Z6326" s="1114"/>
      <c r="AA6326" s="1114"/>
      <c r="AB6326" s="1114"/>
      <c r="AC6326" s="1117"/>
      <c r="AD6326" s="1115"/>
      <c r="AE6326" s="1115"/>
      <c r="AF6326" s="1115"/>
      <c r="AG6326" s="1115"/>
      <c r="AH6326" s="1115"/>
      <c r="AI6326" s="1115"/>
      <c r="AJ6326" s="1117"/>
      <c r="AK6326" s="1118"/>
      <c r="AL6326" s="1115"/>
      <c r="AM6326" s="1115"/>
      <c r="AN6326" s="1115"/>
      <c r="AO6326" s="1115"/>
      <c r="AP6326" s="1115"/>
      <c r="AQ6326" s="1115"/>
      <c r="AR6326" s="1115"/>
      <c r="AS6326" s="1117"/>
      <c r="AT6326" s="1075"/>
      <c r="AU6326" s="1193"/>
      <c r="AV6326" s="330"/>
      <c r="AW6326" s="331"/>
      <c r="AX6326" s="331"/>
      <c r="AY6326" s="331"/>
      <c r="AZ6326" s="331"/>
      <c r="BA6326" s="331"/>
      <c r="BB6326" s="331"/>
      <c r="BC6326" s="331"/>
      <c r="BD6326" s="331"/>
      <c r="BE6326" s="333"/>
      <c r="BF6326" s="330"/>
      <c r="BG6326" s="333"/>
      <c r="BH6326" s="1119"/>
      <c r="BI6326" s="319"/>
      <c r="BJ6326" s="319"/>
      <c r="BK6326" s="319"/>
      <c r="BL6326" s="319"/>
      <c r="BM6326" s="319"/>
      <c r="BN6326" s="319"/>
      <c r="BO6326" s="319"/>
      <c r="BP6326" s="953"/>
      <c r="BQ6326" s="319"/>
      <c r="BR6326" s="319"/>
      <c r="BS6326" s="330"/>
      <c r="BT6326" s="331"/>
      <c r="BU6326" s="920"/>
      <c r="BV6326" s="903"/>
      <c r="BW6326" s="908"/>
      <c r="BX6326" s="908"/>
      <c r="BY6326" s="331"/>
      <c r="BZ6326" s="331"/>
      <c r="CA6326" s="462"/>
      <c r="CB6326" s="319"/>
      <c r="CC6326" s="319"/>
      <c r="CD6326" s="319"/>
      <c r="CE6326" s="319"/>
      <c r="CF6326" s="319"/>
      <c r="CG6326" s="319"/>
      <c r="CH6326" s="318"/>
      <c r="CI6326" s="319"/>
      <c r="CJ6326" s="319"/>
      <c r="CK6326" s="342"/>
      <c r="CL6326" s="333"/>
      <c r="CM6326" s="1079"/>
      <c r="CN6326" s="1005"/>
      <c r="CO6326" s="1005"/>
      <c r="CP6326" s="1005"/>
    </row>
    <row r="6327">
      <c r="A6327" s="1257"/>
      <c r="B6327" s="1113"/>
      <c r="C6327" s="1107"/>
      <c r="D6327" s="103"/>
      <c r="E6327" s="1137"/>
      <c r="F6327" s="112"/>
      <c r="G6327" s="1110"/>
      <c r="H6327" s="1138"/>
      <c r="I6327" s="1138"/>
      <c r="J6327" s="1139"/>
      <c r="K6327" s="1111"/>
      <c r="L6327" s="1112"/>
      <c r="M6327" s="1113"/>
      <c r="N6327" s="110"/>
      <c r="O6327" s="1140"/>
      <c r="P6327" s="1115"/>
      <c r="Q6327" s="1116"/>
      <c r="R6327" s="1141"/>
      <c r="S6327" s="1113"/>
      <c r="T6327" s="1143"/>
      <c r="U6327" s="1108"/>
      <c r="V6327" s="1108"/>
      <c r="W6327" s="1108"/>
      <c r="X6327" s="1108"/>
      <c r="Y6327" s="1108"/>
      <c r="Z6327" s="1114"/>
      <c r="AA6327" s="1114"/>
      <c r="AB6327" s="1114"/>
      <c r="AC6327" s="1117"/>
      <c r="AD6327" s="1115"/>
      <c r="AE6327" s="1115"/>
      <c r="AF6327" s="1115"/>
      <c r="AG6327" s="1115"/>
      <c r="AH6327" s="1115"/>
      <c r="AI6327" s="1115"/>
      <c r="AJ6327" s="1117"/>
      <c r="AK6327" s="1118"/>
      <c r="AL6327" s="1115"/>
      <c r="AM6327" s="1115"/>
      <c r="AN6327" s="1115"/>
      <c r="AO6327" s="1115"/>
      <c r="AP6327" s="1115"/>
      <c r="AQ6327" s="1115"/>
      <c r="AR6327" s="1115"/>
      <c r="AS6327" s="1117"/>
      <c r="AT6327" s="1075"/>
      <c r="AU6327" s="1193"/>
      <c r="AV6327" s="330"/>
      <c r="AW6327" s="331"/>
      <c r="AX6327" s="331"/>
      <c r="AY6327" s="331"/>
      <c r="AZ6327" s="331"/>
      <c r="BA6327" s="331"/>
      <c r="BB6327" s="331"/>
      <c r="BC6327" s="331"/>
      <c r="BD6327" s="331"/>
      <c r="BE6327" s="333"/>
      <c r="BF6327" s="330"/>
      <c r="BG6327" s="333"/>
      <c r="BH6327" s="1119"/>
      <c r="BI6327" s="319"/>
      <c r="BJ6327" s="319"/>
      <c r="BK6327" s="319"/>
      <c r="BL6327" s="319"/>
      <c r="BM6327" s="319"/>
      <c r="BN6327" s="319"/>
      <c r="BO6327" s="319"/>
      <c r="BP6327" s="953"/>
      <c r="BQ6327" s="319"/>
      <c r="BR6327" s="319"/>
      <c r="BS6327" s="330"/>
      <c r="BT6327" s="331"/>
      <c r="BU6327" s="920"/>
      <c r="BV6327" s="903"/>
      <c r="BW6327" s="908"/>
      <c r="BX6327" s="908"/>
      <c r="BY6327" s="331"/>
      <c r="BZ6327" s="331"/>
      <c r="CA6327" s="462"/>
      <c r="CB6327" s="319"/>
      <c r="CC6327" s="319"/>
      <c r="CD6327" s="319"/>
      <c r="CE6327" s="319"/>
      <c r="CF6327" s="319"/>
      <c r="CG6327" s="319"/>
      <c r="CH6327" s="318"/>
      <c r="CI6327" s="319"/>
      <c r="CJ6327" s="319"/>
      <c r="CK6327" s="342"/>
      <c r="CL6327" s="333"/>
      <c r="CM6327" s="1079"/>
      <c r="CN6327" s="1005"/>
      <c r="CO6327" s="1005"/>
      <c r="CP6327" s="1005"/>
    </row>
    <row r="6328">
      <c r="A6328" s="1257"/>
      <c r="B6328" s="1113"/>
      <c r="C6328" s="1107"/>
      <c r="D6328" s="103"/>
      <c r="E6328" s="1137"/>
      <c r="F6328" s="112"/>
      <c r="G6328" s="1110"/>
      <c r="H6328" s="1138"/>
      <c r="I6328" s="1138"/>
      <c r="J6328" s="1139"/>
      <c r="K6328" s="1111"/>
      <c r="L6328" s="1112"/>
      <c r="M6328" s="1113"/>
      <c r="N6328" s="110"/>
      <c r="O6328" s="1140"/>
      <c r="P6328" s="1115"/>
      <c r="Q6328" s="1116"/>
      <c r="R6328" s="1141"/>
      <c r="S6328" s="1113"/>
      <c r="T6328" s="1143"/>
      <c r="U6328" s="1108"/>
      <c r="V6328" s="1108"/>
      <c r="W6328" s="1108"/>
      <c r="X6328" s="1108"/>
      <c r="Y6328" s="1108"/>
      <c r="Z6328" s="1114"/>
      <c r="AA6328" s="1114"/>
      <c r="AB6328" s="1114"/>
      <c r="AC6328" s="1117"/>
      <c r="AD6328" s="1115"/>
      <c r="AE6328" s="1115"/>
      <c r="AF6328" s="1115"/>
      <c r="AG6328" s="1115"/>
      <c r="AH6328" s="1115"/>
      <c r="AI6328" s="1115"/>
      <c r="AJ6328" s="1117"/>
      <c r="AK6328" s="1118"/>
      <c r="AL6328" s="1115"/>
      <c r="AM6328" s="1115"/>
      <c r="AN6328" s="1115"/>
      <c r="AO6328" s="1115"/>
      <c r="AP6328" s="1115"/>
      <c r="AQ6328" s="1115"/>
      <c r="AR6328" s="1115"/>
      <c r="AS6328" s="1117"/>
      <c r="AT6328" s="1075"/>
      <c r="AU6328" s="1193"/>
      <c r="AV6328" s="330"/>
      <c r="AW6328" s="331"/>
      <c r="AX6328" s="331"/>
      <c r="AY6328" s="331"/>
      <c r="AZ6328" s="331"/>
      <c r="BA6328" s="331"/>
      <c r="BB6328" s="331"/>
      <c r="BC6328" s="331"/>
      <c r="BD6328" s="331"/>
      <c r="BE6328" s="333"/>
      <c r="BF6328" s="330"/>
      <c r="BG6328" s="333"/>
      <c r="BH6328" s="1119"/>
      <c r="BI6328" s="319"/>
      <c r="BJ6328" s="319"/>
      <c r="BK6328" s="319"/>
      <c r="BL6328" s="319"/>
      <c r="BM6328" s="319"/>
      <c r="BN6328" s="319"/>
      <c r="BO6328" s="319"/>
      <c r="BP6328" s="953"/>
      <c r="BQ6328" s="319"/>
      <c r="BR6328" s="319"/>
      <c r="BS6328" s="330"/>
      <c r="BT6328" s="331"/>
      <c r="BU6328" s="920"/>
      <c r="BV6328" s="903"/>
      <c r="BW6328" s="908"/>
      <c r="BX6328" s="908"/>
      <c r="BY6328" s="331"/>
      <c r="BZ6328" s="331"/>
      <c r="CA6328" s="462"/>
      <c r="CB6328" s="319"/>
      <c r="CC6328" s="319"/>
      <c r="CD6328" s="319"/>
      <c r="CE6328" s="319"/>
      <c r="CF6328" s="319"/>
      <c r="CG6328" s="319"/>
      <c r="CH6328" s="318"/>
      <c r="CI6328" s="319"/>
      <c r="CJ6328" s="319"/>
      <c r="CK6328" s="342"/>
      <c r="CL6328" s="333"/>
      <c r="CM6328" s="1079"/>
      <c r="CN6328" s="1005"/>
      <c r="CO6328" s="1005"/>
      <c r="CP6328" s="1005"/>
    </row>
    <row r="6329">
      <c r="A6329" s="1257"/>
      <c r="B6329" s="1113"/>
      <c r="C6329" s="1107"/>
      <c r="D6329" s="103"/>
      <c r="E6329" s="1137"/>
      <c r="F6329" s="112"/>
      <c r="G6329" s="1110"/>
      <c r="H6329" s="1138"/>
      <c r="I6329" s="1138"/>
      <c r="J6329" s="1139"/>
      <c r="K6329" s="1111"/>
      <c r="L6329" s="1112"/>
      <c r="M6329" s="1113"/>
      <c r="N6329" s="110"/>
      <c r="O6329" s="1140"/>
      <c r="P6329" s="1115"/>
      <c r="Q6329" s="1116"/>
      <c r="R6329" s="1141"/>
      <c r="S6329" s="1113"/>
      <c r="T6329" s="1143"/>
      <c r="U6329" s="1108"/>
      <c r="V6329" s="1108"/>
      <c r="W6329" s="1108"/>
      <c r="X6329" s="1108"/>
      <c r="Y6329" s="1108"/>
      <c r="Z6329" s="1114"/>
      <c r="AA6329" s="1114"/>
      <c r="AB6329" s="1114"/>
      <c r="AC6329" s="1117"/>
      <c r="AD6329" s="1115"/>
      <c r="AE6329" s="1115"/>
      <c r="AF6329" s="1115"/>
      <c r="AG6329" s="1115"/>
      <c r="AH6329" s="1115"/>
      <c r="AI6329" s="1115"/>
      <c r="AJ6329" s="1117"/>
      <c r="AK6329" s="1118"/>
      <c r="AL6329" s="1115"/>
      <c r="AM6329" s="1115"/>
      <c r="AN6329" s="1115"/>
      <c r="AO6329" s="1115"/>
      <c r="AP6329" s="1115"/>
      <c r="AQ6329" s="1115"/>
      <c r="AR6329" s="1115"/>
      <c r="AS6329" s="1117"/>
      <c r="AT6329" s="1075"/>
      <c r="AU6329" s="1193"/>
      <c r="AV6329" s="330"/>
      <c r="AW6329" s="331"/>
      <c r="AX6329" s="331"/>
      <c r="AY6329" s="331"/>
      <c r="AZ6329" s="331"/>
      <c r="BA6329" s="331"/>
      <c r="BB6329" s="331"/>
      <c r="BC6329" s="331"/>
      <c r="BD6329" s="331"/>
      <c r="BE6329" s="333"/>
      <c r="BF6329" s="330"/>
      <c r="BG6329" s="333"/>
      <c r="BH6329" s="1119"/>
      <c r="BI6329" s="319"/>
      <c r="BJ6329" s="319"/>
      <c r="BK6329" s="319"/>
      <c r="BL6329" s="319"/>
      <c r="BM6329" s="319"/>
      <c r="BN6329" s="319"/>
      <c r="BO6329" s="319"/>
      <c r="BP6329" s="953"/>
      <c r="BQ6329" s="319"/>
      <c r="BR6329" s="319"/>
      <c r="BS6329" s="330"/>
      <c r="BT6329" s="331"/>
      <c r="BU6329" s="920"/>
      <c r="BV6329" s="903"/>
      <c r="BW6329" s="908"/>
      <c r="BX6329" s="908"/>
      <c r="BY6329" s="331"/>
      <c r="BZ6329" s="331"/>
      <c r="CA6329" s="462"/>
      <c r="CB6329" s="319"/>
      <c r="CC6329" s="319"/>
      <c r="CD6329" s="319"/>
      <c r="CE6329" s="319"/>
      <c r="CF6329" s="319"/>
      <c r="CG6329" s="319"/>
      <c r="CH6329" s="318"/>
      <c r="CI6329" s="319"/>
      <c r="CJ6329" s="319"/>
      <c r="CK6329" s="342"/>
      <c r="CL6329" s="333"/>
      <c r="CM6329" s="1079"/>
      <c r="CN6329" s="1005"/>
      <c r="CO6329" s="1005"/>
      <c r="CP6329" s="1005"/>
    </row>
    <row r="6330">
      <c r="A6330" s="1257"/>
      <c r="B6330" s="1113"/>
      <c r="C6330" s="1107"/>
      <c r="D6330" s="103"/>
      <c r="E6330" s="1137"/>
      <c r="F6330" s="112"/>
      <c r="G6330" s="1110"/>
      <c r="H6330" s="1138"/>
      <c r="I6330" s="1138"/>
      <c r="J6330" s="1139"/>
      <c r="K6330" s="1111"/>
      <c r="L6330" s="1112"/>
      <c r="M6330" s="1113"/>
      <c r="N6330" s="110"/>
      <c r="O6330" s="1140"/>
      <c r="P6330" s="1115"/>
      <c r="Q6330" s="1116"/>
      <c r="R6330" s="1141"/>
      <c r="S6330" s="1113"/>
      <c r="T6330" s="1143"/>
      <c r="U6330" s="1108"/>
      <c r="V6330" s="1108"/>
      <c r="W6330" s="1108"/>
      <c r="X6330" s="1108"/>
      <c r="Y6330" s="1108"/>
      <c r="Z6330" s="1114"/>
      <c r="AA6330" s="1114"/>
      <c r="AB6330" s="1114"/>
      <c r="AC6330" s="1117"/>
      <c r="AD6330" s="1115"/>
      <c r="AE6330" s="1115"/>
      <c r="AF6330" s="1115"/>
      <c r="AG6330" s="1115"/>
      <c r="AH6330" s="1115"/>
      <c r="AI6330" s="1115"/>
      <c r="AJ6330" s="1117"/>
      <c r="AK6330" s="1118"/>
      <c r="AL6330" s="1115"/>
      <c r="AM6330" s="1115"/>
      <c r="AN6330" s="1115"/>
      <c r="AO6330" s="1115"/>
      <c r="AP6330" s="1115"/>
      <c r="AQ6330" s="1115"/>
      <c r="AR6330" s="1115"/>
      <c r="AS6330" s="1117"/>
      <c r="AT6330" s="1075"/>
      <c r="AU6330" s="1193"/>
      <c r="AV6330" s="330"/>
      <c r="AW6330" s="331"/>
      <c r="AX6330" s="331"/>
      <c r="AY6330" s="331"/>
      <c r="AZ6330" s="331"/>
      <c r="BA6330" s="331"/>
      <c r="BB6330" s="331"/>
      <c r="BC6330" s="331"/>
      <c r="BD6330" s="331"/>
      <c r="BE6330" s="333"/>
      <c r="BF6330" s="330"/>
      <c r="BG6330" s="333"/>
      <c r="BH6330" s="1119"/>
      <c r="BI6330" s="319"/>
      <c r="BJ6330" s="319"/>
      <c r="BK6330" s="319"/>
      <c r="BL6330" s="319"/>
      <c r="BM6330" s="319"/>
      <c r="BN6330" s="319"/>
      <c r="BO6330" s="319"/>
      <c r="BP6330" s="953"/>
      <c r="BQ6330" s="319"/>
      <c r="BR6330" s="319"/>
      <c r="BS6330" s="330"/>
      <c r="BT6330" s="331"/>
      <c r="BU6330" s="920"/>
      <c r="BV6330" s="903"/>
      <c r="BW6330" s="908"/>
      <c r="BX6330" s="908"/>
      <c r="BY6330" s="331"/>
      <c r="BZ6330" s="331"/>
      <c r="CA6330" s="462"/>
      <c r="CB6330" s="319"/>
      <c r="CC6330" s="319"/>
      <c r="CD6330" s="319"/>
      <c r="CE6330" s="319"/>
      <c r="CF6330" s="319"/>
      <c r="CG6330" s="319"/>
      <c r="CH6330" s="318"/>
      <c r="CI6330" s="319"/>
      <c r="CJ6330" s="319"/>
      <c r="CK6330" s="342"/>
      <c r="CL6330" s="333"/>
      <c r="CM6330" s="1079"/>
      <c r="CN6330" s="1005"/>
      <c r="CO6330" s="1005"/>
      <c r="CP6330" s="1005"/>
    </row>
    <row r="6331">
      <c r="A6331" s="1257"/>
      <c r="B6331" s="1113"/>
      <c r="C6331" s="1107"/>
      <c r="D6331" s="103"/>
      <c r="E6331" s="1137"/>
      <c r="F6331" s="112"/>
      <c r="G6331" s="1110"/>
      <c r="H6331" s="1138"/>
      <c r="I6331" s="1138"/>
      <c r="J6331" s="1139"/>
      <c r="K6331" s="1111"/>
      <c r="L6331" s="1112"/>
      <c r="M6331" s="1113"/>
      <c r="N6331" s="110"/>
      <c r="O6331" s="1140"/>
      <c r="P6331" s="1115"/>
      <c r="Q6331" s="1116"/>
      <c r="R6331" s="1141"/>
      <c r="S6331" s="1113"/>
      <c r="T6331" s="1143"/>
      <c r="U6331" s="1108"/>
      <c r="V6331" s="1108"/>
      <c r="W6331" s="1108"/>
      <c r="X6331" s="1108"/>
      <c r="Y6331" s="1108"/>
      <c r="Z6331" s="1114"/>
      <c r="AA6331" s="1114"/>
      <c r="AB6331" s="1114"/>
      <c r="AC6331" s="1117"/>
      <c r="AD6331" s="1115"/>
      <c r="AE6331" s="1115"/>
      <c r="AF6331" s="1115"/>
      <c r="AG6331" s="1115"/>
      <c r="AH6331" s="1115"/>
      <c r="AI6331" s="1115"/>
      <c r="AJ6331" s="1117"/>
      <c r="AK6331" s="1118"/>
      <c r="AL6331" s="1115"/>
      <c r="AM6331" s="1115"/>
      <c r="AN6331" s="1115"/>
      <c r="AO6331" s="1115"/>
      <c r="AP6331" s="1115"/>
      <c r="AQ6331" s="1115"/>
      <c r="AR6331" s="1115"/>
      <c r="AS6331" s="1117"/>
      <c r="AT6331" s="1075"/>
      <c r="AU6331" s="1193"/>
      <c r="AV6331" s="330"/>
      <c r="AW6331" s="331"/>
      <c r="AX6331" s="331"/>
      <c r="AY6331" s="331"/>
      <c r="AZ6331" s="331"/>
      <c r="BA6331" s="331"/>
      <c r="BB6331" s="331"/>
      <c r="BC6331" s="331"/>
      <c r="BD6331" s="331"/>
      <c r="BE6331" s="333"/>
      <c r="BF6331" s="330"/>
      <c r="BG6331" s="333"/>
      <c r="BH6331" s="1119"/>
      <c r="BI6331" s="319"/>
      <c r="BJ6331" s="319"/>
      <c r="BK6331" s="319"/>
      <c r="BL6331" s="319"/>
      <c r="BM6331" s="319"/>
      <c r="BN6331" s="319"/>
      <c r="BO6331" s="319"/>
      <c r="BP6331" s="953"/>
      <c r="BQ6331" s="319"/>
      <c r="BR6331" s="319"/>
      <c r="BS6331" s="330"/>
      <c r="BT6331" s="331"/>
      <c r="BU6331" s="920"/>
      <c r="BV6331" s="903"/>
      <c r="BW6331" s="908"/>
      <c r="BX6331" s="908"/>
      <c r="BY6331" s="331"/>
      <c r="BZ6331" s="331"/>
      <c r="CA6331" s="462"/>
      <c r="CB6331" s="319"/>
      <c r="CC6331" s="319"/>
      <c r="CD6331" s="319"/>
      <c r="CE6331" s="319"/>
      <c r="CF6331" s="319"/>
      <c r="CG6331" s="319"/>
      <c r="CH6331" s="318"/>
      <c r="CI6331" s="319"/>
      <c r="CJ6331" s="319"/>
      <c r="CK6331" s="342"/>
      <c r="CL6331" s="333"/>
      <c r="CM6331" s="1079"/>
      <c r="CN6331" s="1005"/>
      <c r="CO6331" s="1005"/>
      <c r="CP6331" s="1005"/>
    </row>
    <row r="6332">
      <c r="A6332" s="1257"/>
      <c r="B6332" s="1113"/>
      <c r="C6332" s="1107"/>
      <c r="D6332" s="103"/>
      <c r="E6332" s="1137"/>
      <c r="F6332" s="112"/>
      <c r="G6332" s="1110"/>
      <c r="H6332" s="1138"/>
      <c r="I6332" s="1138"/>
      <c r="J6332" s="1139"/>
      <c r="K6332" s="1111"/>
      <c r="L6332" s="1112"/>
      <c r="M6332" s="1113"/>
      <c r="N6332" s="110"/>
      <c r="O6332" s="1140"/>
      <c r="P6332" s="1115"/>
      <c r="Q6332" s="1116"/>
      <c r="R6332" s="1141"/>
      <c r="S6332" s="1113"/>
      <c r="T6332" s="1143"/>
      <c r="U6332" s="1108"/>
      <c r="V6332" s="1108"/>
      <c r="W6332" s="1108"/>
      <c r="X6332" s="1108"/>
      <c r="Y6332" s="1108"/>
      <c r="Z6332" s="1114"/>
      <c r="AA6332" s="1114"/>
      <c r="AB6332" s="1114"/>
      <c r="AC6332" s="1117"/>
      <c r="AD6332" s="1115"/>
      <c r="AE6332" s="1115"/>
      <c r="AF6332" s="1115"/>
      <c r="AG6332" s="1115"/>
      <c r="AH6332" s="1115"/>
      <c r="AI6332" s="1115"/>
      <c r="AJ6332" s="1117"/>
      <c r="AK6332" s="1118"/>
      <c r="AL6332" s="1115"/>
      <c r="AM6332" s="1115"/>
      <c r="AN6332" s="1115"/>
      <c r="AO6332" s="1115"/>
      <c r="AP6332" s="1115"/>
      <c r="AQ6332" s="1115"/>
      <c r="AR6332" s="1115"/>
      <c r="AS6332" s="1117"/>
      <c r="AT6332" s="1075"/>
      <c r="AU6332" s="1193"/>
      <c r="AV6332" s="330"/>
      <c r="AW6332" s="331"/>
      <c r="AX6332" s="331"/>
      <c r="AY6332" s="331"/>
      <c r="AZ6332" s="331"/>
      <c r="BA6332" s="331"/>
      <c r="BB6332" s="331"/>
      <c r="BC6332" s="331"/>
      <c r="BD6332" s="331"/>
      <c r="BE6332" s="333"/>
      <c r="BF6332" s="330"/>
      <c r="BG6332" s="333"/>
      <c r="BH6332" s="1119"/>
      <c r="BI6332" s="319"/>
      <c r="BJ6332" s="319"/>
      <c r="BK6332" s="319"/>
      <c r="BL6332" s="319"/>
      <c r="BM6332" s="319"/>
      <c r="BN6332" s="319"/>
      <c r="BO6332" s="319"/>
      <c r="BP6332" s="953"/>
      <c r="BQ6332" s="319"/>
      <c r="BR6332" s="319"/>
      <c r="BS6332" s="330"/>
      <c r="BT6332" s="331"/>
      <c r="BU6332" s="920"/>
      <c r="BV6332" s="903"/>
      <c r="BW6332" s="908"/>
      <c r="BX6332" s="908"/>
      <c r="BY6332" s="331"/>
      <c r="BZ6332" s="331"/>
      <c r="CA6332" s="462"/>
      <c r="CB6332" s="319"/>
      <c r="CC6332" s="319"/>
      <c r="CD6332" s="319"/>
      <c r="CE6332" s="319"/>
      <c r="CF6332" s="319"/>
      <c r="CG6332" s="319"/>
      <c r="CH6332" s="318"/>
      <c r="CI6332" s="319"/>
      <c r="CJ6332" s="319"/>
      <c r="CK6332" s="342"/>
      <c r="CL6332" s="333"/>
      <c r="CM6332" s="1079"/>
      <c r="CN6332" s="1005"/>
      <c r="CO6332" s="1005"/>
      <c r="CP6332" s="1005"/>
    </row>
    <row r="6333">
      <c r="A6333" s="1257"/>
      <c r="B6333" s="1113"/>
      <c r="C6333" s="1107"/>
      <c r="D6333" s="103"/>
      <c r="E6333" s="1137"/>
      <c r="F6333" s="112"/>
      <c r="G6333" s="1110"/>
      <c r="H6333" s="1138"/>
      <c r="I6333" s="1138"/>
      <c r="J6333" s="1139"/>
      <c r="K6333" s="1111"/>
      <c r="L6333" s="1112"/>
      <c r="M6333" s="1113"/>
      <c r="N6333" s="110"/>
      <c r="O6333" s="1140"/>
      <c r="P6333" s="1115"/>
      <c r="Q6333" s="1116"/>
      <c r="R6333" s="1141"/>
      <c r="S6333" s="1113"/>
      <c r="T6333" s="1143"/>
      <c r="U6333" s="1108"/>
      <c r="V6333" s="1108"/>
      <c r="W6333" s="1108"/>
      <c r="X6333" s="1108"/>
      <c r="Y6333" s="1108"/>
      <c r="Z6333" s="1114"/>
      <c r="AA6333" s="1114"/>
      <c r="AB6333" s="1114"/>
      <c r="AC6333" s="1117"/>
      <c r="AD6333" s="1115"/>
      <c r="AE6333" s="1115"/>
      <c r="AF6333" s="1115"/>
      <c r="AG6333" s="1115"/>
      <c r="AH6333" s="1115"/>
      <c r="AI6333" s="1115"/>
      <c r="AJ6333" s="1117"/>
      <c r="AK6333" s="1118"/>
      <c r="AL6333" s="1115"/>
      <c r="AM6333" s="1115"/>
      <c r="AN6333" s="1115"/>
      <c r="AO6333" s="1115"/>
      <c r="AP6333" s="1115"/>
      <c r="AQ6333" s="1115"/>
      <c r="AR6333" s="1115"/>
      <c r="AS6333" s="1117"/>
      <c r="AT6333" s="1075"/>
      <c r="AU6333" s="1193"/>
      <c r="AV6333" s="330"/>
      <c r="AW6333" s="331"/>
      <c r="AX6333" s="331"/>
      <c r="AY6333" s="331"/>
      <c r="AZ6333" s="331"/>
      <c r="BA6333" s="331"/>
      <c r="BB6333" s="331"/>
      <c r="BC6333" s="331"/>
      <c r="BD6333" s="331"/>
      <c r="BE6333" s="333"/>
      <c r="BF6333" s="330"/>
      <c r="BG6333" s="333"/>
      <c r="BH6333" s="1119"/>
      <c r="BI6333" s="319"/>
      <c r="BJ6333" s="319"/>
      <c r="BK6333" s="319"/>
      <c r="BL6333" s="319"/>
      <c r="BM6333" s="319"/>
      <c r="BN6333" s="319"/>
      <c r="BO6333" s="319"/>
      <c r="BP6333" s="953"/>
      <c r="BQ6333" s="319"/>
      <c r="BR6333" s="319"/>
      <c r="BS6333" s="330"/>
      <c r="BT6333" s="331"/>
      <c r="BU6333" s="920"/>
      <c r="BV6333" s="903"/>
      <c r="BW6333" s="908"/>
      <c r="BX6333" s="908"/>
      <c r="BY6333" s="331"/>
      <c r="BZ6333" s="331"/>
      <c r="CA6333" s="462"/>
      <c r="CB6333" s="319"/>
      <c r="CC6333" s="319"/>
      <c r="CD6333" s="319"/>
      <c r="CE6333" s="319"/>
      <c r="CF6333" s="319"/>
      <c r="CG6333" s="319"/>
      <c r="CH6333" s="318"/>
      <c r="CI6333" s="319"/>
      <c r="CJ6333" s="319"/>
      <c r="CK6333" s="342"/>
      <c r="CL6333" s="333"/>
      <c r="CM6333" s="1079"/>
      <c r="CN6333" s="1005"/>
      <c r="CO6333" s="1005"/>
      <c r="CP6333" s="1005"/>
    </row>
    <row r="6334">
      <c r="A6334" s="1257"/>
      <c r="B6334" s="1113"/>
      <c r="C6334" s="1107"/>
      <c r="D6334" s="103"/>
      <c r="E6334" s="1137"/>
      <c r="F6334" s="112"/>
      <c r="G6334" s="1110"/>
      <c r="H6334" s="1138"/>
      <c r="I6334" s="1138"/>
      <c r="J6334" s="1139"/>
      <c r="K6334" s="1111"/>
      <c r="L6334" s="1112"/>
      <c r="M6334" s="1113"/>
      <c r="N6334" s="110"/>
      <c r="O6334" s="1140"/>
      <c r="P6334" s="1115"/>
      <c r="Q6334" s="1116"/>
      <c r="R6334" s="1141"/>
      <c r="S6334" s="1113"/>
      <c r="T6334" s="1143"/>
      <c r="U6334" s="1108"/>
      <c r="V6334" s="1108"/>
      <c r="W6334" s="1108"/>
      <c r="X6334" s="1108"/>
      <c r="Y6334" s="1108"/>
      <c r="Z6334" s="1114"/>
      <c r="AA6334" s="1114"/>
      <c r="AB6334" s="1114"/>
      <c r="AC6334" s="1117"/>
      <c r="AD6334" s="1115"/>
      <c r="AE6334" s="1115"/>
      <c r="AF6334" s="1115"/>
      <c r="AG6334" s="1115"/>
      <c r="AH6334" s="1115"/>
      <c r="AI6334" s="1115"/>
      <c r="AJ6334" s="1117"/>
      <c r="AK6334" s="1118"/>
      <c r="AL6334" s="1115"/>
      <c r="AM6334" s="1115"/>
      <c r="AN6334" s="1115"/>
      <c r="AO6334" s="1115"/>
      <c r="AP6334" s="1115"/>
      <c r="AQ6334" s="1115"/>
      <c r="AR6334" s="1115"/>
      <c r="AS6334" s="1117"/>
      <c r="AT6334" s="1075"/>
      <c r="AU6334" s="1193"/>
      <c r="AV6334" s="330"/>
      <c r="AW6334" s="331"/>
      <c r="AX6334" s="331"/>
      <c r="AY6334" s="331"/>
      <c r="AZ6334" s="331"/>
      <c r="BA6334" s="331"/>
      <c r="BB6334" s="331"/>
      <c r="BC6334" s="331"/>
      <c r="BD6334" s="331"/>
      <c r="BE6334" s="333"/>
      <c r="BF6334" s="330"/>
      <c r="BG6334" s="333"/>
      <c r="BH6334" s="1119"/>
      <c r="BI6334" s="319"/>
      <c r="BJ6334" s="319"/>
      <c r="BK6334" s="319"/>
      <c r="BL6334" s="319"/>
      <c r="BM6334" s="319"/>
      <c r="BN6334" s="319"/>
      <c r="BO6334" s="319"/>
      <c r="BP6334" s="953"/>
      <c r="BQ6334" s="319"/>
      <c r="BR6334" s="319"/>
      <c r="BS6334" s="330"/>
      <c r="BT6334" s="331"/>
      <c r="BU6334" s="920"/>
      <c r="BV6334" s="903"/>
      <c r="BW6334" s="908"/>
      <c r="BX6334" s="908"/>
      <c r="BY6334" s="331"/>
      <c r="BZ6334" s="331"/>
      <c r="CA6334" s="462"/>
      <c r="CB6334" s="319"/>
      <c r="CC6334" s="319"/>
      <c r="CD6334" s="319"/>
      <c r="CE6334" s="319"/>
      <c r="CF6334" s="319"/>
      <c r="CG6334" s="319"/>
      <c r="CH6334" s="318"/>
      <c r="CI6334" s="319"/>
      <c r="CJ6334" s="319"/>
      <c r="CK6334" s="342"/>
      <c r="CL6334" s="333"/>
      <c r="CM6334" s="1079"/>
      <c r="CN6334" s="1005"/>
      <c r="CO6334" s="1005"/>
      <c r="CP6334" s="1005"/>
    </row>
    <row r="6335">
      <c r="A6335" s="1257"/>
      <c r="B6335" s="1113"/>
      <c r="C6335" s="1107"/>
      <c r="D6335" s="103"/>
      <c r="E6335" s="1137"/>
      <c r="F6335" s="112"/>
      <c r="G6335" s="1110"/>
      <c r="H6335" s="1138"/>
      <c r="I6335" s="1138"/>
      <c r="J6335" s="1139"/>
      <c r="K6335" s="1111"/>
      <c r="L6335" s="1112"/>
      <c r="M6335" s="1113"/>
      <c r="N6335" s="110"/>
      <c r="O6335" s="1140"/>
      <c r="P6335" s="1115"/>
      <c r="Q6335" s="1116"/>
      <c r="R6335" s="1141"/>
      <c r="S6335" s="1113"/>
      <c r="T6335" s="1143"/>
      <c r="U6335" s="1108"/>
      <c r="V6335" s="1108"/>
      <c r="W6335" s="1108"/>
      <c r="X6335" s="1108"/>
      <c r="Y6335" s="1108"/>
      <c r="Z6335" s="1114"/>
      <c r="AA6335" s="1114"/>
      <c r="AB6335" s="1114"/>
      <c r="AC6335" s="1117"/>
      <c r="AD6335" s="1115"/>
      <c r="AE6335" s="1115"/>
      <c r="AF6335" s="1115"/>
      <c r="AG6335" s="1115"/>
      <c r="AH6335" s="1115"/>
      <c r="AI6335" s="1115"/>
      <c r="AJ6335" s="1117"/>
      <c r="AK6335" s="1118"/>
      <c r="AL6335" s="1115"/>
      <c r="AM6335" s="1115"/>
      <c r="AN6335" s="1115"/>
      <c r="AO6335" s="1115"/>
      <c r="AP6335" s="1115"/>
      <c r="AQ6335" s="1115"/>
      <c r="AR6335" s="1115"/>
      <c r="AS6335" s="1117"/>
      <c r="AT6335" s="1075"/>
      <c r="AU6335" s="1193"/>
      <c r="AV6335" s="330"/>
      <c r="AW6335" s="331"/>
      <c r="AX6335" s="331"/>
      <c r="AY6335" s="331"/>
      <c r="AZ6335" s="331"/>
      <c r="BA6335" s="331"/>
      <c r="BB6335" s="331"/>
      <c r="BC6335" s="331"/>
      <c r="BD6335" s="331"/>
      <c r="BE6335" s="333"/>
      <c r="BF6335" s="330"/>
      <c r="BG6335" s="333"/>
      <c r="BH6335" s="1119"/>
      <c r="BI6335" s="319"/>
      <c r="BJ6335" s="319"/>
      <c r="BK6335" s="319"/>
      <c r="BL6335" s="319"/>
      <c r="BM6335" s="319"/>
      <c r="BN6335" s="319"/>
      <c r="BO6335" s="319"/>
      <c r="BP6335" s="953"/>
      <c r="BQ6335" s="319"/>
      <c r="BR6335" s="319"/>
      <c r="BS6335" s="330"/>
      <c r="BT6335" s="331"/>
      <c r="BU6335" s="920"/>
      <c r="BV6335" s="903"/>
      <c r="BW6335" s="908"/>
      <c r="BX6335" s="908"/>
      <c r="BY6335" s="331"/>
      <c r="BZ6335" s="331"/>
      <c r="CA6335" s="462"/>
      <c r="CB6335" s="319"/>
      <c r="CC6335" s="319"/>
      <c r="CD6335" s="319"/>
      <c r="CE6335" s="319"/>
      <c r="CF6335" s="319"/>
      <c r="CG6335" s="319"/>
      <c r="CH6335" s="318"/>
      <c r="CI6335" s="319"/>
      <c r="CJ6335" s="319"/>
      <c r="CK6335" s="342"/>
      <c r="CL6335" s="333"/>
      <c r="CM6335" s="1079"/>
      <c r="CN6335" s="1005"/>
      <c r="CO6335" s="1005"/>
      <c r="CP6335" s="1005"/>
    </row>
    <row r="6336">
      <c r="A6336" s="1257"/>
      <c r="B6336" s="1113"/>
      <c r="C6336" s="1107"/>
      <c r="D6336" s="103"/>
      <c r="E6336" s="1137"/>
      <c r="F6336" s="112"/>
      <c r="G6336" s="1110"/>
      <c r="H6336" s="1138"/>
      <c r="I6336" s="1138"/>
      <c r="J6336" s="1139"/>
      <c r="K6336" s="1111"/>
      <c r="L6336" s="1112"/>
      <c r="M6336" s="1113"/>
      <c r="N6336" s="110"/>
      <c r="O6336" s="1140"/>
      <c r="P6336" s="1115"/>
      <c r="Q6336" s="1116"/>
      <c r="R6336" s="1141"/>
      <c r="S6336" s="1113"/>
      <c r="T6336" s="1143"/>
      <c r="U6336" s="1108"/>
      <c r="V6336" s="1108"/>
      <c r="W6336" s="1108"/>
      <c r="X6336" s="1108"/>
      <c r="Y6336" s="1108"/>
      <c r="Z6336" s="1114"/>
      <c r="AA6336" s="1114"/>
      <c r="AB6336" s="1114"/>
      <c r="AC6336" s="1117"/>
      <c r="AD6336" s="1115"/>
      <c r="AE6336" s="1115"/>
      <c r="AF6336" s="1115"/>
      <c r="AG6336" s="1115"/>
      <c r="AH6336" s="1115"/>
      <c r="AI6336" s="1115"/>
      <c r="AJ6336" s="1117"/>
      <c r="AK6336" s="1118"/>
      <c r="AL6336" s="1115"/>
      <c r="AM6336" s="1115"/>
      <c r="AN6336" s="1115"/>
      <c r="AO6336" s="1115"/>
      <c r="AP6336" s="1115"/>
      <c r="AQ6336" s="1115"/>
      <c r="AR6336" s="1115"/>
      <c r="AS6336" s="1117"/>
      <c r="AT6336" s="1075"/>
      <c r="AU6336" s="1193"/>
      <c r="AV6336" s="330"/>
      <c r="AW6336" s="331"/>
      <c r="AX6336" s="331"/>
      <c r="AY6336" s="331"/>
      <c r="AZ6336" s="331"/>
      <c r="BA6336" s="331"/>
      <c r="BB6336" s="331"/>
      <c r="BC6336" s="331"/>
      <c r="BD6336" s="331"/>
      <c r="BE6336" s="333"/>
      <c r="BF6336" s="330"/>
      <c r="BG6336" s="333"/>
      <c r="BH6336" s="1119"/>
      <c r="BI6336" s="319"/>
      <c r="BJ6336" s="319"/>
      <c r="BK6336" s="319"/>
      <c r="BL6336" s="319"/>
      <c r="BM6336" s="319"/>
      <c r="BN6336" s="319"/>
      <c r="BO6336" s="319"/>
      <c r="BP6336" s="953"/>
      <c r="BQ6336" s="319"/>
      <c r="BR6336" s="319"/>
      <c r="BS6336" s="330"/>
      <c r="BT6336" s="331"/>
      <c r="BU6336" s="920"/>
      <c r="BV6336" s="903"/>
      <c r="BW6336" s="908"/>
      <c r="BX6336" s="908"/>
      <c r="BY6336" s="331"/>
      <c r="BZ6336" s="331"/>
      <c r="CA6336" s="462"/>
      <c r="CB6336" s="319"/>
      <c r="CC6336" s="319"/>
      <c r="CD6336" s="319"/>
      <c r="CE6336" s="319"/>
      <c r="CF6336" s="319"/>
      <c r="CG6336" s="319"/>
      <c r="CH6336" s="318"/>
      <c r="CI6336" s="319"/>
      <c r="CJ6336" s="319"/>
      <c r="CK6336" s="342"/>
      <c r="CL6336" s="333"/>
      <c r="CM6336" s="1079"/>
      <c r="CN6336" s="1005"/>
      <c r="CO6336" s="1005"/>
      <c r="CP6336" s="1005"/>
    </row>
    <row r="6337">
      <c r="A6337" s="1257"/>
      <c r="B6337" s="1113"/>
      <c r="C6337" s="1107"/>
      <c r="D6337" s="103"/>
      <c r="E6337" s="1137"/>
      <c r="F6337" s="112"/>
      <c r="G6337" s="1110"/>
      <c r="H6337" s="1138"/>
      <c r="I6337" s="1138"/>
      <c r="J6337" s="1139"/>
      <c r="K6337" s="1111"/>
      <c r="L6337" s="1112"/>
      <c r="M6337" s="1113"/>
      <c r="N6337" s="110"/>
      <c r="O6337" s="1140"/>
      <c r="P6337" s="1115"/>
      <c r="Q6337" s="1116"/>
      <c r="R6337" s="1141"/>
      <c r="S6337" s="1113"/>
      <c r="T6337" s="1143"/>
      <c r="U6337" s="1108"/>
      <c r="V6337" s="1108"/>
      <c r="W6337" s="1108"/>
      <c r="X6337" s="1108"/>
      <c r="Y6337" s="1108"/>
      <c r="Z6337" s="1114"/>
      <c r="AA6337" s="1114"/>
      <c r="AB6337" s="1114"/>
      <c r="AC6337" s="1117"/>
      <c r="AD6337" s="1115"/>
      <c r="AE6337" s="1115"/>
      <c r="AF6337" s="1115"/>
      <c r="AG6337" s="1115"/>
      <c r="AH6337" s="1115"/>
      <c r="AI6337" s="1115"/>
      <c r="AJ6337" s="1117"/>
      <c r="AK6337" s="1118"/>
      <c r="AL6337" s="1115"/>
      <c r="AM6337" s="1115"/>
      <c r="AN6337" s="1115"/>
      <c r="AO6337" s="1115"/>
      <c r="AP6337" s="1115"/>
      <c r="AQ6337" s="1115"/>
      <c r="AR6337" s="1115"/>
      <c r="AS6337" s="1117"/>
      <c r="AT6337" s="1075"/>
      <c r="AU6337" s="1193"/>
      <c r="AV6337" s="330"/>
      <c r="AW6337" s="331"/>
      <c r="AX6337" s="331"/>
      <c r="AY6337" s="331"/>
      <c r="AZ6337" s="331"/>
      <c r="BA6337" s="331"/>
      <c r="BB6337" s="331"/>
      <c r="BC6337" s="331"/>
      <c r="BD6337" s="331"/>
      <c r="BE6337" s="333"/>
      <c r="BF6337" s="330"/>
      <c r="BG6337" s="333"/>
      <c r="BH6337" s="1119"/>
      <c r="BI6337" s="319"/>
      <c r="BJ6337" s="319"/>
      <c r="BK6337" s="319"/>
      <c r="BL6337" s="319"/>
      <c r="BM6337" s="319"/>
      <c r="BN6337" s="319"/>
      <c r="BO6337" s="319"/>
      <c r="BP6337" s="953"/>
      <c r="BQ6337" s="319"/>
      <c r="BR6337" s="319"/>
      <c r="BS6337" s="330"/>
      <c r="BT6337" s="331"/>
      <c r="BU6337" s="920"/>
      <c r="BV6337" s="903"/>
      <c r="BW6337" s="908"/>
      <c r="BX6337" s="908"/>
      <c r="BY6337" s="331"/>
      <c r="BZ6337" s="331"/>
      <c r="CA6337" s="462"/>
      <c r="CB6337" s="319"/>
      <c r="CC6337" s="319"/>
      <c r="CD6337" s="319"/>
      <c r="CE6337" s="319"/>
      <c r="CF6337" s="319"/>
      <c r="CG6337" s="319"/>
      <c r="CH6337" s="318"/>
      <c r="CI6337" s="319"/>
      <c r="CJ6337" s="319"/>
      <c r="CK6337" s="342"/>
      <c r="CL6337" s="333"/>
      <c r="CM6337" s="1079"/>
      <c r="CN6337" s="1005"/>
      <c r="CO6337" s="1005"/>
      <c r="CP6337" s="1005"/>
    </row>
    <row r="6338">
      <c r="A6338" s="1257"/>
      <c r="B6338" s="1113"/>
      <c r="C6338" s="1107"/>
      <c r="D6338" s="103"/>
      <c r="E6338" s="1137"/>
      <c r="F6338" s="112"/>
      <c r="G6338" s="1110"/>
      <c r="H6338" s="1138"/>
      <c r="I6338" s="1138"/>
      <c r="J6338" s="1139"/>
      <c r="K6338" s="1111"/>
      <c r="L6338" s="1112"/>
      <c r="M6338" s="1113"/>
      <c r="N6338" s="110"/>
      <c r="O6338" s="1140"/>
      <c r="P6338" s="1115"/>
      <c r="Q6338" s="1116"/>
      <c r="R6338" s="1141"/>
      <c r="S6338" s="1113"/>
      <c r="T6338" s="1143"/>
      <c r="U6338" s="1108"/>
      <c r="V6338" s="1108"/>
      <c r="W6338" s="1108"/>
      <c r="X6338" s="1108"/>
      <c r="Y6338" s="1108"/>
      <c r="Z6338" s="1114"/>
      <c r="AA6338" s="1114"/>
      <c r="AB6338" s="1114"/>
      <c r="AC6338" s="1117"/>
      <c r="AD6338" s="1115"/>
      <c r="AE6338" s="1115"/>
      <c r="AF6338" s="1115"/>
      <c r="AG6338" s="1115"/>
      <c r="AH6338" s="1115"/>
      <c r="AI6338" s="1115"/>
      <c r="AJ6338" s="1117"/>
      <c r="AK6338" s="1118"/>
      <c r="AL6338" s="1115"/>
      <c r="AM6338" s="1115"/>
      <c r="AN6338" s="1115"/>
      <c r="AO6338" s="1115"/>
      <c r="AP6338" s="1115"/>
      <c r="AQ6338" s="1115"/>
      <c r="AR6338" s="1115"/>
      <c r="AS6338" s="1117"/>
      <c r="AT6338" s="1075"/>
      <c r="AU6338" s="1193"/>
      <c r="AV6338" s="330"/>
      <c r="AW6338" s="331"/>
      <c r="AX6338" s="331"/>
      <c r="AY6338" s="331"/>
      <c r="AZ6338" s="331"/>
      <c r="BA6338" s="331"/>
      <c r="BB6338" s="331"/>
      <c r="BC6338" s="331"/>
      <c r="BD6338" s="331"/>
      <c r="BE6338" s="333"/>
      <c r="BF6338" s="330"/>
      <c r="BG6338" s="333"/>
      <c r="BH6338" s="1119"/>
      <c r="BI6338" s="319"/>
      <c r="BJ6338" s="319"/>
      <c r="BK6338" s="319"/>
      <c r="BL6338" s="319"/>
      <c r="BM6338" s="319"/>
      <c r="BN6338" s="319"/>
      <c r="BO6338" s="319"/>
      <c r="BP6338" s="953"/>
      <c r="BQ6338" s="319"/>
      <c r="BR6338" s="319"/>
      <c r="BS6338" s="330"/>
      <c r="BT6338" s="331"/>
      <c r="BU6338" s="920"/>
      <c r="BV6338" s="903"/>
      <c r="BW6338" s="908"/>
      <c r="BX6338" s="908"/>
      <c r="BY6338" s="331"/>
      <c r="BZ6338" s="331"/>
      <c r="CA6338" s="462"/>
      <c r="CB6338" s="319"/>
      <c r="CC6338" s="319"/>
      <c r="CD6338" s="319"/>
      <c r="CE6338" s="319"/>
      <c r="CF6338" s="319"/>
      <c r="CG6338" s="319"/>
      <c r="CH6338" s="318"/>
      <c r="CI6338" s="319"/>
      <c r="CJ6338" s="319"/>
      <c r="CK6338" s="342"/>
      <c r="CL6338" s="333"/>
      <c r="CM6338" s="1079"/>
      <c r="CN6338" s="1005"/>
      <c r="CO6338" s="1005"/>
      <c r="CP6338" s="1005"/>
    </row>
    <row r="6339">
      <c r="A6339" s="1257"/>
      <c r="B6339" s="1113"/>
      <c r="C6339" s="1107"/>
      <c r="D6339" s="103"/>
      <c r="E6339" s="1137"/>
      <c r="F6339" s="112"/>
      <c r="G6339" s="1110"/>
      <c r="H6339" s="1138"/>
      <c r="I6339" s="1138"/>
      <c r="J6339" s="1139"/>
      <c r="K6339" s="1111"/>
      <c r="L6339" s="1112"/>
      <c r="M6339" s="1113"/>
      <c r="N6339" s="110"/>
      <c r="O6339" s="1140"/>
      <c r="P6339" s="1115"/>
      <c r="Q6339" s="1116"/>
      <c r="R6339" s="1141"/>
      <c r="S6339" s="1113"/>
      <c r="T6339" s="1143"/>
      <c r="U6339" s="1108"/>
      <c r="V6339" s="1108"/>
      <c r="W6339" s="1108"/>
      <c r="X6339" s="1108"/>
      <c r="Y6339" s="1108"/>
      <c r="Z6339" s="1114"/>
      <c r="AA6339" s="1114"/>
      <c r="AB6339" s="1114"/>
      <c r="AC6339" s="1117"/>
      <c r="AD6339" s="1115"/>
      <c r="AE6339" s="1115"/>
      <c r="AF6339" s="1115"/>
      <c r="AG6339" s="1115"/>
      <c r="AH6339" s="1115"/>
      <c r="AI6339" s="1115"/>
      <c r="AJ6339" s="1117"/>
      <c r="AK6339" s="1118"/>
      <c r="AL6339" s="1115"/>
      <c r="AM6339" s="1115"/>
      <c r="AN6339" s="1115"/>
      <c r="AO6339" s="1115"/>
      <c r="AP6339" s="1115"/>
      <c r="AQ6339" s="1115"/>
      <c r="AR6339" s="1115"/>
      <c r="AS6339" s="1117"/>
      <c r="AT6339" s="1075"/>
      <c r="AU6339" s="1193"/>
      <c r="AV6339" s="330"/>
      <c r="AW6339" s="331"/>
      <c r="AX6339" s="331"/>
      <c r="AY6339" s="331"/>
      <c r="AZ6339" s="331"/>
      <c r="BA6339" s="331"/>
      <c r="BB6339" s="331"/>
      <c r="BC6339" s="331"/>
      <c r="BD6339" s="331"/>
      <c r="BE6339" s="333"/>
      <c r="BF6339" s="330"/>
      <c r="BG6339" s="333"/>
      <c r="BH6339" s="1119"/>
      <c r="BI6339" s="319"/>
      <c r="BJ6339" s="319"/>
      <c r="BK6339" s="319"/>
      <c r="BL6339" s="319"/>
      <c r="BM6339" s="319"/>
      <c r="BN6339" s="319"/>
      <c r="BO6339" s="319"/>
      <c r="BP6339" s="953"/>
      <c r="BQ6339" s="319"/>
      <c r="BR6339" s="319"/>
      <c r="BS6339" s="330"/>
      <c r="BT6339" s="331"/>
      <c r="BU6339" s="920"/>
      <c r="BV6339" s="903"/>
      <c r="BW6339" s="908"/>
      <c r="BX6339" s="908"/>
      <c r="BY6339" s="331"/>
      <c r="BZ6339" s="331"/>
      <c r="CA6339" s="462"/>
      <c r="CB6339" s="319"/>
      <c r="CC6339" s="319"/>
      <c r="CD6339" s="319"/>
      <c r="CE6339" s="319"/>
      <c r="CF6339" s="319"/>
      <c r="CG6339" s="319"/>
      <c r="CH6339" s="318"/>
      <c r="CI6339" s="319"/>
      <c r="CJ6339" s="319"/>
      <c r="CK6339" s="342"/>
      <c r="CL6339" s="333"/>
      <c r="CM6339" s="1079"/>
      <c r="CN6339" s="1005"/>
      <c r="CO6339" s="1005"/>
      <c r="CP6339" s="1005"/>
    </row>
    <row r="6340">
      <c r="A6340" s="1257"/>
      <c r="B6340" s="1113"/>
      <c r="C6340" s="1107"/>
      <c r="D6340" s="103"/>
      <c r="E6340" s="1137"/>
      <c r="F6340" s="112"/>
      <c r="G6340" s="1110"/>
      <c r="H6340" s="1138"/>
      <c r="I6340" s="1138"/>
      <c r="J6340" s="1139"/>
      <c r="K6340" s="1111"/>
      <c r="L6340" s="1112"/>
      <c r="M6340" s="1113"/>
      <c r="N6340" s="110"/>
      <c r="O6340" s="1140"/>
      <c r="P6340" s="1115"/>
      <c r="Q6340" s="1116"/>
      <c r="R6340" s="1141"/>
      <c r="S6340" s="1113"/>
      <c r="T6340" s="1143"/>
      <c r="U6340" s="1108"/>
      <c r="V6340" s="1108"/>
      <c r="W6340" s="1108"/>
      <c r="X6340" s="1108"/>
      <c r="Y6340" s="1108"/>
      <c r="Z6340" s="1114"/>
      <c r="AA6340" s="1114"/>
      <c r="AB6340" s="1114"/>
      <c r="AC6340" s="1117"/>
      <c r="AD6340" s="1115"/>
      <c r="AE6340" s="1115"/>
      <c r="AF6340" s="1115"/>
      <c r="AG6340" s="1115"/>
      <c r="AH6340" s="1115"/>
      <c r="AI6340" s="1115"/>
      <c r="AJ6340" s="1117"/>
      <c r="AK6340" s="1118"/>
      <c r="AL6340" s="1115"/>
      <c r="AM6340" s="1115"/>
      <c r="AN6340" s="1115"/>
      <c r="AO6340" s="1115"/>
      <c r="AP6340" s="1115"/>
      <c r="AQ6340" s="1115"/>
      <c r="AR6340" s="1115"/>
      <c r="AS6340" s="1117"/>
      <c r="AT6340" s="1075"/>
      <c r="AU6340" s="1193"/>
      <c r="AV6340" s="330"/>
      <c r="AW6340" s="331"/>
      <c r="AX6340" s="331"/>
      <c r="AY6340" s="331"/>
      <c r="AZ6340" s="331"/>
      <c r="BA6340" s="331"/>
      <c r="BB6340" s="331"/>
      <c r="BC6340" s="331"/>
      <c r="BD6340" s="331"/>
      <c r="BE6340" s="333"/>
      <c r="BF6340" s="330"/>
      <c r="BG6340" s="333"/>
      <c r="BH6340" s="1119"/>
      <c r="BI6340" s="319"/>
      <c r="BJ6340" s="319"/>
      <c r="BK6340" s="319"/>
      <c r="BL6340" s="319"/>
      <c r="BM6340" s="319"/>
      <c r="BN6340" s="319"/>
      <c r="BO6340" s="319"/>
      <c r="BP6340" s="953"/>
      <c r="BQ6340" s="319"/>
      <c r="BR6340" s="319"/>
      <c r="BS6340" s="330"/>
      <c r="BT6340" s="331"/>
      <c r="BU6340" s="920"/>
      <c r="BV6340" s="903"/>
      <c r="BW6340" s="908"/>
      <c r="BX6340" s="908"/>
      <c r="BY6340" s="331"/>
      <c r="BZ6340" s="331"/>
      <c r="CA6340" s="462"/>
      <c r="CB6340" s="319"/>
      <c r="CC6340" s="319"/>
      <c r="CD6340" s="319"/>
      <c r="CE6340" s="319"/>
      <c r="CF6340" s="319"/>
      <c r="CG6340" s="319"/>
      <c r="CH6340" s="318"/>
      <c r="CI6340" s="319"/>
      <c r="CJ6340" s="319"/>
      <c r="CK6340" s="342"/>
      <c r="CL6340" s="333"/>
      <c r="CM6340" s="1079"/>
      <c r="CN6340" s="1005"/>
      <c r="CO6340" s="1005"/>
      <c r="CP6340" s="1005"/>
    </row>
    <row r="6341">
      <c r="A6341" s="1257"/>
      <c r="B6341" s="1113"/>
      <c r="C6341" s="1107"/>
      <c r="D6341" s="103"/>
      <c r="E6341" s="1137"/>
      <c r="F6341" s="112"/>
      <c r="G6341" s="1110"/>
      <c r="H6341" s="1138"/>
      <c r="I6341" s="1138"/>
      <c r="J6341" s="1139"/>
      <c r="K6341" s="1111"/>
      <c r="L6341" s="1112"/>
      <c r="M6341" s="1113"/>
      <c r="N6341" s="110"/>
      <c r="O6341" s="1140"/>
      <c r="P6341" s="1115"/>
      <c r="Q6341" s="1116"/>
      <c r="R6341" s="1141"/>
      <c r="S6341" s="1113"/>
      <c r="T6341" s="1143"/>
      <c r="U6341" s="1108"/>
      <c r="V6341" s="1108"/>
      <c r="W6341" s="1108"/>
      <c r="X6341" s="1108"/>
      <c r="Y6341" s="1108"/>
      <c r="Z6341" s="1114"/>
      <c r="AA6341" s="1114"/>
      <c r="AB6341" s="1114"/>
      <c r="AC6341" s="1117"/>
      <c r="AD6341" s="1115"/>
      <c r="AE6341" s="1115"/>
      <c r="AF6341" s="1115"/>
      <c r="AG6341" s="1115"/>
      <c r="AH6341" s="1115"/>
      <c r="AI6341" s="1115"/>
      <c r="AJ6341" s="1117"/>
      <c r="AK6341" s="1118"/>
      <c r="AL6341" s="1115"/>
      <c r="AM6341" s="1115"/>
      <c r="AN6341" s="1115"/>
      <c r="AO6341" s="1115"/>
      <c r="AP6341" s="1115"/>
      <c r="AQ6341" s="1115"/>
      <c r="AR6341" s="1115"/>
      <c r="AS6341" s="1117"/>
      <c r="AT6341" s="1075"/>
      <c r="AU6341" s="1193"/>
      <c r="AV6341" s="330"/>
      <c r="AW6341" s="331"/>
      <c r="AX6341" s="331"/>
      <c r="AY6341" s="331"/>
      <c r="AZ6341" s="331"/>
      <c r="BA6341" s="331"/>
      <c r="BB6341" s="331"/>
      <c r="BC6341" s="331"/>
      <c r="BD6341" s="331"/>
      <c r="BE6341" s="333"/>
      <c r="BF6341" s="330"/>
      <c r="BG6341" s="333"/>
      <c r="BH6341" s="1119"/>
      <c r="BI6341" s="319"/>
      <c r="BJ6341" s="319"/>
      <c r="BK6341" s="319"/>
      <c r="BL6341" s="319"/>
      <c r="BM6341" s="319"/>
      <c r="BN6341" s="319"/>
      <c r="BO6341" s="319"/>
      <c r="BP6341" s="953"/>
      <c r="BQ6341" s="319"/>
      <c r="BR6341" s="319"/>
      <c r="BS6341" s="330"/>
      <c r="BT6341" s="331"/>
      <c r="BU6341" s="920"/>
      <c r="BV6341" s="903"/>
      <c r="BW6341" s="908"/>
      <c r="BX6341" s="908"/>
      <c r="BY6341" s="331"/>
      <c r="BZ6341" s="331"/>
      <c r="CA6341" s="462"/>
      <c r="CB6341" s="319"/>
      <c r="CC6341" s="319"/>
      <c r="CD6341" s="319"/>
      <c r="CE6341" s="319"/>
      <c r="CF6341" s="319"/>
      <c r="CG6341" s="319"/>
      <c r="CH6341" s="318"/>
      <c r="CI6341" s="319"/>
      <c r="CJ6341" s="319"/>
      <c r="CK6341" s="342"/>
      <c r="CL6341" s="333"/>
      <c r="CM6341" s="1079"/>
      <c r="CN6341" s="1005"/>
      <c r="CO6341" s="1005"/>
      <c r="CP6341" s="1005"/>
    </row>
    <row r="6342">
      <c r="A6342" s="1257"/>
      <c r="B6342" s="1113"/>
      <c r="C6342" s="1107"/>
      <c r="D6342" s="103"/>
      <c r="E6342" s="1137"/>
      <c r="F6342" s="112"/>
      <c r="G6342" s="1110"/>
      <c r="H6342" s="1138"/>
      <c r="I6342" s="1138"/>
      <c r="J6342" s="1139"/>
      <c r="K6342" s="1111"/>
      <c r="L6342" s="1112"/>
      <c r="M6342" s="1113"/>
      <c r="N6342" s="110"/>
      <c r="O6342" s="1140"/>
      <c r="P6342" s="1115"/>
      <c r="Q6342" s="1116"/>
      <c r="R6342" s="1141"/>
      <c r="S6342" s="1113"/>
      <c r="T6342" s="1143"/>
      <c r="U6342" s="1108"/>
      <c r="V6342" s="1108"/>
      <c r="W6342" s="1108"/>
      <c r="X6342" s="1108"/>
      <c r="Y6342" s="1108"/>
      <c r="Z6342" s="1114"/>
      <c r="AA6342" s="1114"/>
      <c r="AB6342" s="1114"/>
      <c r="AC6342" s="1117"/>
      <c r="AD6342" s="1115"/>
      <c r="AE6342" s="1115"/>
      <c r="AF6342" s="1115"/>
      <c r="AG6342" s="1115"/>
      <c r="AH6342" s="1115"/>
      <c r="AI6342" s="1115"/>
      <c r="AJ6342" s="1117"/>
      <c r="AK6342" s="1118"/>
      <c r="AL6342" s="1115"/>
      <c r="AM6342" s="1115"/>
      <c r="AN6342" s="1115"/>
      <c r="AO6342" s="1115"/>
      <c r="AP6342" s="1115"/>
      <c r="AQ6342" s="1115"/>
      <c r="AR6342" s="1115"/>
      <c r="AS6342" s="1117"/>
      <c r="AT6342" s="1075"/>
      <c r="AU6342" s="1193"/>
      <c r="AV6342" s="330"/>
      <c r="AW6342" s="331"/>
      <c r="AX6342" s="331"/>
      <c r="AY6342" s="331"/>
      <c r="AZ6342" s="331"/>
      <c r="BA6342" s="331"/>
      <c r="BB6342" s="331"/>
      <c r="BC6342" s="331"/>
      <c r="BD6342" s="331"/>
      <c r="BE6342" s="333"/>
      <c r="BF6342" s="330"/>
      <c r="BG6342" s="333"/>
      <c r="BH6342" s="1119"/>
      <c r="BI6342" s="319"/>
      <c r="BJ6342" s="319"/>
      <c r="BK6342" s="319"/>
      <c r="BL6342" s="319"/>
      <c r="BM6342" s="319"/>
      <c r="BN6342" s="319"/>
      <c r="BO6342" s="319"/>
      <c r="BP6342" s="953"/>
      <c r="BQ6342" s="319"/>
      <c r="BR6342" s="319"/>
      <c r="BS6342" s="330"/>
      <c r="BT6342" s="331"/>
      <c r="BU6342" s="920"/>
      <c r="BV6342" s="903"/>
      <c r="BW6342" s="908"/>
      <c r="BX6342" s="908"/>
      <c r="BY6342" s="331"/>
      <c r="BZ6342" s="331"/>
      <c r="CA6342" s="462"/>
      <c r="CB6342" s="319"/>
      <c r="CC6342" s="319"/>
      <c r="CD6342" s="319"/>
      <c r="CE6342" s="319"/>
      <c r="CF6342" s="319"/>
      <c r="CG6342" s="319"/>
      <c r="CH6342" s="318"/>
      <c r="CI6342" s="319"/>
      <c r="CJ6342" s="319"/>
      <c r="CK6342" s="342"/>
      <c r="CL6342" s="333"/>
      <c r="CM6342" s="1079"/>
      <c r="CN6342" s="1005"/>
      <c r="CO6342" s="1005"/>
      <c r="CP6342" s="1005"/>
    </row>
    <row r="6343">
      <c r="A6343" s="1257"/>
      <c r="B6343" s="1113"/>
      <c r="C6343" s="1107"/>
      <c r="D6343" s="103"/>
      <c r="E6343" s="1137"/>
      <c r="F6343" s="112"/>
      <c r="G6343" s="1110"/>
      <c r="H6343" s="1138"/>
      <c r="I6343" s="1138"/>
      <c r="J6343" s="1139"/>
      <c r="K6343" s="1111"/>
      <c r="L6343" s="1112"/>
      <c r="M6343" s="1113"/>
      <c r="N6343" s="110"/>
      <c r="O6343" s="1140"/>
      <c r="P6343" s="1115"/>
      <c r="Q6343" s="1116"/>
      <c r="R6343" s="1141"/>
      <c r="S6343" s="1113"/>
      <c r="T6343" s="1143"/>
      <c r="U6343" s="1108"/>
      <c r="V6343" s="1108"/>
      <c r="W6343" s="1108"/>
      <c r="X6343" s="1108"/>
      <c r="Y6343" s="1108"/>
      <c r="Z6343" s="1114"/>
      <c r="AA6343" s="1114"/>
      <c r="AB6343" s="1114"/>
      <c r="AC6343" s="1117"/>
      <c r="AD6343" s="1115"/>
      <c r="AE6343" s="1115"/>
      <c r="AF6343" s="1115"/>
      <c r="AG6343" s="1115"/>
      <c r="AH6343" s="1115"/>
      <c r="AI6343" s="1115"/>
      <c r="AJ6343" s="1117"/>
      <c r="AK6343" s="1118"/>
      <c r="AL6343" s="1115"/>
      <c r="AM6343" s="1115"/>
      <c r="AN6343" s="1115"/>
      <c r="AO6343" s="1115"/>
      <c r="AP6343" s="1115"/>
      <c r="AQ6343" s="1115"/>
      <c r="AR6343" s="1115"/>
      <c r="AS6343" s="1117"/>
      <c r="AT6343" s="1075"/>
      <c r="AU6343" s="1193"/>
      <c r="AV6343" s="330"/>
      <c r="AW6343" s="331"/>
      <c r="AX6343" s="331"/>
      <c r="AY6343" s="331"/>
      <c r="AZ6343" s="331"/>
      <c r="BA6343" s="331"/>
      <c r="BB6343" s="331"/>
      <c r="BC6343" s="331"/>
      <c r="BD6343" s="331"/>
      <c r="BE6343" s="333"/>
      <c r="BF6343" s="330"/>
      <c r="BG6343" s="333"/>
      <c r="BH6343" s="1119"/>
      <c r="BI6343" s="319"/>
      <c r="BJ6343" s="319"/>
      <c r="BK6343" s="319"/>
      <c r="BL6343" s="319"/>
      <c r="BM6343" s="319"/>
      <c r="BN6343" s="319"/>
      <c r="BO6343" s="319"/>
      <c r="BP6343" s="953"/>
      <c r="BQ6343" s="319"/>
      <c r="BR6343" s="319"/>
      <c r="BS6343" s="330"/>
      <c r="BT6343" s="331"/>
      <c r="BU6343" s="920"/>
      <c r="BV6343" s="903"/>
      <c r="BW6343" s="908"/>
      <c r="BX6343" s="908"/>
      <c r="BY6343" s="331"/>
      <c r="BZ6343" s="331"/>
      <c r="CA6343" s="462"/>
      <c r="CB6343" s="319"/>
      <c r="CC6343" s="319"/>
      <c r="CD6343" s="319"/>
      <c r="CE6343" s="319"/>
      <c r="CF6343" s="319"/>
      <c r="CG6343" s="319"/>
      <c r="CH6343" s="318"/>
      <c r="CI6343" s="319"/>
      <c r="CJ6343" s="319"/>
      <c r="CK6343" s="342"/>
      <c r="CL6343" s="333"/>
      <c r="CM6343" s="1079"/>
      <c r="CN6343" s="1005"/>
      <c r="CO6343" s="1005"/>
      <c r="CP6343" s="1005"/>
    </row>
    <row r="6344">
      <c r="A6344" s="1257"/>
      <c r="B6344" s="1113"/>
      <c r="C6344" s="1107"/>
      <c r="D6344" s="103"/>
      <c r="E6344" s="1137"/>
      <c r="F6344" s="112"/>
      <c r="G6344" s="1110"/>
      <c r="H6344" s="1138"/>
      <c r="I6344" s="1138"/>
      <c r="J6344" s="1139"/>
      <c r="K6344" s="1111"/>
      <c r="L6344" s="1112"/>
      <c r="M6344" s="1113"/>
      <c r="N6344" s="110"/>
      <c r="O6344" s="1140"/>
      <c r="P6344" s="1115"/>
      <c r="Q6344" s="1116"/>
      <c r="R6344" s="1141"/>
      <c r="S6344" s="1113"/>
      <c r="T6344" s="1143"/>
      <c r="U6344" s="1108"/>
      <c r="V6344" s="1108"/>
      <c r="W6344" s="1108"/>
      <c r="X6344" s="1108"/>
      <c r="Y6344" s="1108"/>
      <c r="Z6344" s="1114"/>
      <c r="AA6344" s="1114"/>
      <c r="AB6344" s="1114"/>
      <c r="AC6344" s="1117"/>
      <c r="AD6344" s="1115"/>
      <c r="AE6344" s="1115"/>
      <c r="AF6344" s="1115"/>
      <c r="AG6344" s="1115"/>
      <c r="AH6344" s="1115"/>
      <c r="AI6344" s="1115"/>
      <c r="AJ6344" s="1117"/>
      <c r="AK6344" s="1118"/>
      <c r="AL6344" s="1115"/>
      <c r="AM6344" s="1115"/>
      <c r="AN6344" s="1115"/>
      <c r="AO6344" s="1115"/>
      <c r="AP6344" s="1115"/>
      <c r="AQ6344" s="1115"/>
      <c r="AR6344" s="1115"/>
      <c r="AS6344" s="1117"/>
      <c r="AT6344" s="1075"/>
      <c r="AU6344" s="1193"/>
      <c r="AV6344" s="330"/>
      <c r="AW6344" s="331"/>
      <c r="AX6344" s="331"/>
      <c r="AY6344" s="331"/>
      <c r="AZ6344" s="331"/>
      <c r="BA6344" s="331"/>
      <c r="BB6344" s="331"/>
      <c r="BC6344" s="331"/>
      <c r="BD6344" s="331"/>
      <c r="BE6344" s="333"/>
      <c r="BF6344" s="330"/>
      <c r="BG6344" s="333"/>
      <c r="BH6344" s="1119"/>
      <c r="BI6344" s="319"/>
      <c r="BJ6344" s="319"/>
      <c r="BK6344" s="319"/>
      <c r="BL6344" s="319"/>
      <c r="BM6344" s="319"/>
      <c r="BN6344" s="319"/>
      <c r="BO6344" s="319"/>
      <c r="BP6344" s="953"/>
      <c r="BQ6344" s="319"/>
      <c r="BR6344" s="319"/>
      <c r="BS6344" s="330"/>
      <c r="BT6344" s="331"/>
      <c r="BU6344" s="920"/>
      <c r="BV6344" s="903"/>
      <c r="BW6344" s="908"/>
      <c r="BX6344" s="908"/>
      <c r="BY6344" s="331"/>
      <c r="BZ6344" s="331"/>
      <c r="CA6344" s="462"/>
      <c r="CB6344" s="319"/>
      <c r="CC6344" s="319"/>
      <c r="CD6344" s="319"/>
      <c r="CE6344" s="319"/>
      <c r="CF6344" s="319"/>
      <c r="CG6344" s="319"/>
      <c r="CH6344" s="318"/>
      <c r="CI6344" s="319"/>
      <c r="CJ6344" s="319"/>
      <c r="CK6344" s="342"/>
      <c r="CL6344" s="333"/>
      <c r="CM6344" s="1079"/>
      <c r="CN6344" s="1005"/>
      <c r="CO6344" s="1005"/>
      <c r="CP6344" s="1005"/>
    </row>
    <row r="6345">
      <c r="A6345" s="1257"/>
      <c r="B6345" s="1113"/>
      <c r="C6345" s="1107"/>
      <c r="D6345" s="103"/>
      <c r="E6345" s="1137"/>
      <c r="F6345" s="112"/>
      <c r="G6345" s="1110"/>
      <c r="H6345" s="1138"/>
      <c r="I6345" s="1138"/>
      <c r="J6345" s="1139"/>
      <c r="K6345" s="1111"/>
      <c r="L6345" s="1112"/>
      <c r="M6345" s="1113"/>
      <c r="N6345" s="110"/>
      <c r="O6345" s="1140"/>
      <c r="P6345" s="1115"/>
      <c r="Q6345" s="1116"/>
      <c r="R6345" s="1141"/>
      <c r="S6345" s="1113"/>
      <c r="T6345" s="1143"/>
      <c r="U6345" s="1108"/>
      <c r="V6345" s="1108"/>
      <c r="W6345" s="1108"/>
      <c r="X6345" s="1108"/>
      <c r="Y6345" s="1108"/>
      <c r="Z6345" s="1114"/>
      <c r="AA6345" s="1114"/>
      <c r="AB6345" s="1114"/>
      <c r="AC6345" s="1117"/>
      <c r="AD6345" s="1115"/>
      <c r="AE6345" s="1115"/>
      <c r="AF6345" s="1115"/>
      <c r="AG6345" s="1115"/>
      <c r="AH6345" s="1115"/>
      <c r="AI6345" s="1115"/>
      <c r="AJ6345" s="1117"/>
      <c r="AK6345" s="1118"/>
      <c r="AL6345" s="1115"/>
      <c r="AM6345" s="1115"/>
      <c r="AN6345" s="1115"/>
      <c r="AO6345" s="1115"/>
      <c r="AP6345" s="1115"/>
      <c r="AQ6345" s="1115"/>
      <c r="AR6345" s="1115"/>
      <c r="AS6345" s="1117"/>
      <c r="AT6345" s="1075"/>
      <c r="AU6345" s="1193"/>
      <c r="AV6345" s="330"/>
      <c r="AW6345" s="331"/>
      <c r="AX6345" s="331"/>
      <c r="AY6345" s="331"/>
      <c r="AZ6345" s="331"/>
      <c r="BA6345" s="331"/>
      <c r="BB6345" s="331"/>
      <c r="BC6345" s="331"/>
      <c r="BD6345" s="331"/>
      <c r="BE6345" s="333"/>
      <c r="BF6345" s="330"/>
      <c r="BG6345" s="333"/>
      <c r="BH6345" s="1119"/>
      <c r="BI6345" s="319"/>
      <c r="BJ6345" s="319"/>
      <c r="BK6345" s="319"/>
      <c r="BL6345" s="319"/>
      <c r="BM6345" s="319"/>
      <c r="BN6345" s="319"/>
      <c r="BO6345" s="319"/>
      <c r="BP6345" s="953"/>
      <c r="BQ6345" s="319"/>
      <c r="BR6345" s="319"/>
      <c r="BS6345" s="330"/>
      <c r="BT6345" s="331"/>
      <c r="BU6345" s="920"/>
      <c r="BV6345" s="903"/>
      <c r="BW6345" s="908"/>
      <c r="BX6345" s="908"/>
      <c r="BY6345" s="331"/>
      <c r="BZ6345" s="331"/>
      <c r="CA6345" s="462"/>
      <c r="CB6345" s="319"/>
      <c r="CC6345" s="319"/>
      <c r="CD6345" s="319"/>
      <c r="CE6345" s="319"/>
      <c r="CF6345" s="319"/>
      <c r="CG6345" s="319"/>
      <c r="CH6345" s="318"/>
      <c r="CI6345" s="319"/>
      <c r="CJ6345" s="319"/>
      <c r="CK6345" s="342"/>
      <c r="CL6345" s="333"/>
      <c r="CM6345" s="1079"/>
      <c r="CN6345" s="1005"/>
      <c r="CO6345" s="1005"/>
      <c r="CP6345" s="1005"/>
    </row>
    <row r="6346">
      <c r="A6346" s="1257"/>
      <c r="B6346" s="1113"/>
      <c r="C6346" s="1107"/>
      <c r="D6346" s="103"/>
      <c r="E6346" s="1137"/>
      <c r="F6346" s="112"/>
      <c r="G6346" s="1110"/>
      <c r="H6346" s="1138"/>
      <c r="I6346" s="1138"/>
      <c r="J6346" s="1139"/>
      <c r="K6346" s="1111"/>
      <c r="L6346" s="1112"/>
      <c r="M6346" s="1113"/>
      <c r="N6346" s="110"/>
      <c r="O6346" s="1140"/>
      <c r="P6346" s="1115"/>
      <c r="Q6346" s="1116"/>
      <c r="R6346" s="1141"/>
      <c r="S6346" s="1113"/>
      <c r="T6346" s="1143"/>
      <c r="U6346" s="1108"/>
      <c r="V6346" s="1108"/>
      <c r="W6346" s="1108"/>
      <c r="X6346" s="1108"/>
      <c r="Y6346" s="1108"/>
      <c r="Z6346" s="1114"/>
      <c r="AA6346" s="1114"/>
      <c r="AB6346" s="1114"/>
      <c r="AC6346" s="1117"/>
      <c r="AD6346" s="1115"/>
      <c r="AE6346" s="1115"/>
      <c r="AF6346" s="1115"/>
      <c r="AG6346" s="1115"/>
      <c r="AH6346" s="1115"/>
      <c r="AI6346" s="1115"/>
      <c r="AJ6346" s="1117"/>
      <c r="AK6346" s="1118"/>
      <c r="AL6346" s="1115"/>
      <c r="AM6346" s="1115"/>
      <c r="AN6346" s="1115"/>
      <c r="AO6346" s="1115"/>
      <c r="AP6346" s="1115"/>
      <c r="AQ6346" s="1115"/>
      <c r="AR6346" s="1115"/>
      <c r="AS6346" s="1117"/>
      <c r="AT6346" s="1075"/>
      <c r="AU6346" s="1193"/>
      <c r="AV6346" s="330"/>
      <c r="AW6346" s="331"/>
      <c r="AX6346" s="331"/>
      <c r="AY6346" s="331"/>
      <c r="AZ6346" s="331"/>
      <c r="BA6346" s="331"/>
      <c r="BB6346" s="331"/>
      <c r="BC6346" s="331"/>
      <c r="BD6346" s="331"/>
      <c r="BE6346" s="333"/>
      <c r="BF6346" s="330"/>
      <c r="BG6346" s="333"/>
      <c r="BH6346" s="1119"/>
      <c r="BI6346" s="319"/>
      <c r="BJ6346" s="319"/>
      <c r="BK6346" s="319"/>
      <c r="BL6346" s="319"/>
      <c r="BM6346" s="319"/>
      <c r="BN6346" s="319"/>
      <c r="BO6346" s="319"/>
      <c r="BP6346" s="953"/>
      <c r="BQ6346" s="319"/>
      <c r="BR6346" s="319"/>
      <c r="BS6346" s="330"/>
      <c r="BT6346" s="331"/>
      <c r="BU6346" s="920"/>
      <c r="BV6346" s="903"/>
      <c r="BW6346" s="908"/>
      <c r="BX6346" s="908"/>
      <c r="BY6346" s="331"/>
      <c r="BZ6346" s="331"/>
      <c r="CA6346" s="462"/>
      <c r="CB6346" s="319"/>
      <c r="CC6346" s="319"/>
      <c r="CD6346" s="319"/>
      <c r="CE6346" s="319"/>
      <c r="CF6346" s="319"/>
      <c r="CG6346" s="319"/>
      <c r="CH6346" s="318"/>
      <c r="CI6346" s="319"/>
      <c r="CJ6346" s="319"/>
      <c r="CK6346" s="342"/>
      <c r="CL6346" s="333"/>
      <c r="CM6346" s="1079"/>
      <c r="CN6346" s="1005"/>
      <c r="CO6346" s="1005"/>
      <c r="CP6346" s="1005"/>
    </row>
    <row r="6347">
      <c r="A6347" s="1257"/>
      <c r="B6347" s="1113"/>
      <c r="C6347" s="1107"/>
      <c r="D6347" s="103"/>
      <c r="E6347" s="1137"/>
      <c r="F6347" s="112"/>
      <c r="G6347" s="1110"/>
      <c r="H6347" s="1138"/>
      <c r="I6347" s="1138"/>
      <c r="J6347" s="1139"/>
      <c r="K6347" s="1111"/>
      <c r="L6347" s="1112"/>
      <c r="M6347" s="1113"/>
      <c r="N6347" s="110"/>
      <c r="O6347" s="1140"/>
      <c r="P6347" s="1115"/>
      <c r="Q6347" s="1116"/>
      <c r="R6347" s="1141"/>
      <c r="S6347" s="1113"/>
      <c r="T6347" s="1143"/>
      <c r="U6347" s="1108"/>
      <c r="V6347" s="1108"/>
      <c r="W6347" s="1108"/>
      <c r="X6347" s="1108"/>
      <c r="Y6347" s="1108"/>
      <c r="Z6347" s="1114"/>
      <c r="AA6347" s="1114"/>
      <c r="AB6347" s="1114"/>
      <c r="AC6347" s="1117"/>
      <c r="AD6347" s="1115"/>
      <c r="AE6347" s="1115"/>
      <c r="AF6347" s="1115"/>
      <c r="AG6347" s="1115"/>
      <c r="AH6347" s="1115"/>
      <c r="AI6347" s="1115"/>
      <c r="AJ6347" s="1117"/>
      <c r="AK6347" s="1118"/>
      <c r="AL6347" s="1115"/>
      <c r="AM6347" s="1115"/>
      <c r="AN6347" s="1115"/>
      <c r="AO6347" s="1115"/>
      <c r="AP6347" s="1115"/>
      <c r="AQ6347" s="1115"/>
      <c r="AR6347" s="1115"/>
      <c r="AS6347" s="1117"/>
      <c r="AT6347" s="1075"/>
      <c r="AU6347" s="1193"/>
      <c r="AV6347" s="330"/>
      <c r="AW6347" s="331"/>
      <c r="AX6347" s="331"/>
      <c r="AY6347" s="331"/>
      <c r="AZ6347" s="331"/>
      <c r="BA6347" s="331"/>
      <c r="BB6347" s="331"/>
      <c r="BC6347" s="331"/>
      <c r="BD6347" s="331"/>
      <c r="BE6347" s="333"/>
      <c r="BF6347" s="330"/>
      <c r="BG6347" s="333"/>
      <c r="BH6347" s="1119"/>
      <c r="BI6347" s="319"/>
      <c r="BJ6347" s="319"/>
      <c r="BK6347" s="319"/>
      <c r="BL6347" s="319"/>
      <c r="BM6347" s="319"/>
      <c r="BN6347" s="319"/>
      <c r="BO6347" s="319"/>
      <c r="BP6347" s="953"/>
      <c r="BQ6347" s="319"/>
      <c r="BR6347" s="319"/>
      <c r="BS6347" s="330"/>
      <c r="BT6347" s="331"/>
      <c r="BU6347" s="920"/>
      <c r="BV6347" s="903"/>
      <c r="BW6347" s="908"/>
      <c r="BX6347" s="908"/>
      <c r="BY6347" s="331"/>
      <c r="BZ6347" s="331"/>
      <c r="CA6347" s="462"/>
      <c r="CB6347" s="319"/>
      <c r="CC6347" s="319"/>
      <c r="CD6347" s="319"/>
      <c r="CE6347" s="319"/>
      <c r="CF6347" s="319"/>
      <c r="CG6347" s="319"/>
      <c r="CH6347" s="318"/>
      <c r="CI6347" s="319"/>
      <c r="CJ6347" s="319"/>
      <c r="CK6347" s="342"/>
      <c r="CL6347" s="333"/>
      <c r="CM6347" s="1079"/>
      <c r="CN6347" s="1005"/>
      <c r="CO6347" s="1005"/>
      <c r="CP6347" s="1005"/>
    </row>
    <row r="6348">
      <c r="A6348" s="1257"/>
      <c r="B6348" s="1113"/>
      <c r="C6348" s="1107"/>
      <c r="D6348" s="103"/>
      <c r="E6348" s="1137"/>
      <c r="F6348" s="112"/>
      <c r="G6348" s="1110"/>
      <c r="H6348" s="1138"/>
      <c r="I6348" s="1138"/>
      <c r="J6348" s="1139"/>
      <c r="K6348" s="1111"/>
      <c r="L6348" s="1112"/>
      <c r="M6348" s="1113"/>
      <c r="N6348" s="110"/>
      <c r="O6348" s="1140"/>
      <c r="P6348" s="1115"/>
      <c r="Q6348" s="1116"/>
      <c r="R6348" s="1141"/>
      <c r="S6348" s="1113"/>
      <c r="T6348" s="1143"/>
      <c r="U6348" s="1108"/>
      <c r="V6348" s="1108"/>
      <c r="W6348" s="1108"/>
      <c r="X6348" s="1108"/>
      <c r="Y6348" s="1108"/>
      <c r="Z6348" s="1114"/>
      <c r="AA6348" s="1114"/>
      <c r="AB6348" s="1114"/>
      <c r="AC6348" s="1117"/>
      <c r="AD6348" s="1115"/>
      <c r="AE6348" s="1115"/>
      <c r="AF6348" s="1115"/>
      <c r="AG6348" s="1115"/>
      <c r="AH6348" s="1115"/>
      <c r="AI6348" s="1115"/>
      <c r="AJ6348" s="1117"/>
      <c r="AK6348" s="1118"/>
      <c r="AL6348" s="1115"/>
      <c r="AM6348" s="1115"/>
      <c r="AN6348" s="1115"/>
      <c r="AO6348" s="1115"/>
      <c r="AP6348" s="1115"/>
      <c r="AQ6348" s="1115"/>
      <c r="AR6348" s="1115"/>
      <c r="AS6348" s="1117"/>
      <c r="AT6348" s="1075"/>
      <c r="AU6348" s="1193"/>
      <c r="AV6348" s="330"/>
      <c r="AW6348" s="331"/>
      <c r="AX6348" s="331"/>
      <c r="AY6348" s="331"/>
      <c r="AZ6348" s="331"/>
      <c r="BA6348" s="331"/>
      <c r="BB6348" s="331"/>
      <c r="BC6348" s="331"/>
      <c r="BD6348" s="331"/>
      <c r="BE6348" s="333"/>
      <c r="BF6348" s="330"/>
      <c r="BG6348" s="333"/>
      <c r="BH6348" s="1119"/>
      <c r="BI6348" s="319"/>
      <c r="BJ6348" s="319"/>
      <c r="BK6348" s="319"/>
      <c r="BL6348" s="319"/>
      <c r="BM6348" s="319"/>
      <c r="BN6348" s="319"/>
      <c r="BO6348" s="319"/>
      <c r="BP6348" s="953"/>
      <c r="BQ6348" s="319"/>
      <c r="BR6348" s="319"/>
      <c r="BS6348" s="330"/>
      <c r="BT6348" s="331"/>
      <c r="BU6348" s="920"/>
      <c r="BV6348" s="903"/>
      <c r="BW6348" s="908"/>
      <c r="BX6348" s="908"/>
      <c r="BY6348" s="331"/>
      <c r="BZ6348" s="331"/>
      <c r="CA6348" s="462"/>
      <c r="CB6348" s="319"/>
      <c r="CC6348" s="319"/>
      <c r="CD6348" s="319"/>
      <c r="CE6348" s="319"/>
      <c r="CF6348" s="319"/>
      <c r="CG6348" s="319"/>
      <c r="CH6348" s="318"/>
      <c r="CI6348" s="319"/>
      <c r="CJ6348" s="319"/>
      <c r="CK6348" s="342"/>
      <c r="CL6348" s="333"/>
      <c r="CM6348" s="1079"/>
      <c r="CN6348" s="1005"/>
      <c r="CO6348" s="1005"/>
      <c r="CP6348" s="1005"/>
    </row>
    <row r="6349">
      <c r="A6349" s="1257"/>
      <c r="B6349" s="1113"/>
      <c r="C6349" s="1107"/>
      <c r="D6349" s="103"/>
      <c r="E6349" s="1137"/>
      <c r="F6349" s="112"/>
      <c r="G6349" s="1110"/>
      <c r="H6349" s="1138"/>
      <c r="I6349" s="1138"/>
      <c r="J6349" s="1139"/>
      <c r="K6349" s="1111"/>
      <c r="L6349" s="1112"/>
      <c r="M6349" s="1113"/>
      <c r="N6349" s="110"/>
      <c r="O6349" s="1140"/>
      <c r="P6349" s="1115"/>
      <c r="Q6349" s="1116"/>
      <c r="R6349" s="1141"/>
      <c r="S6349" s="1113"/>
      <c r="T6349" s="1143"/>
      <c r="U6349" s="1108"/>
      <c r="V6349" s="1108"/>
      <c r="W6349" s="1108"/>
      <c r="X6349" s="1108"/>
      <c r="Y6349" s="1108"/>
      <c r="Z6349" s="1114"/>
      <c r="AA6349" s="1114"/>
      <c r="AB6349" s="1114"/>
      <c r="AC6349" s="1117"/>
      <c r="AD6349" s="1115"/>
      <c r="AE6349" s="1115"/>
      <c r="AF6349" s="1115"/>
      <c r="AG6349" s="1115"/>
      <c r="AH6349" s="1115"/>
      <c r="AI6349" s="1115"/>
      <c r="AJ6349" s="1117"/>
      <c r="AK6349" s="1118"/>
      <c r="AL6349" s="1115"/>
      <c r="AM6349" s="1115"/>
      <c r="AN6349" s="1115"/>
      <c r="AO6349" s="1115"/>
      <c r="AP6349" s="1115"/>
      <c r="AQ6349" s="1115"/>
      <c r="AR6349" s="1115"/>
      <c r="AS6349" s="1117"/>
      <c r="AT6349" s="1075"/>
      <c r="AU6349" s="1193"/>
      <c r="AV6349" s="330"/>
      <c r="AW6349" s="331"/>
      <c r="AX6349" s="331"/>
      <c r="AY6349" s="331"/>
      <c r="AZ6349" s="331"/>
      <c r="BA6349" s="331"/>
      <c r="BB6349" s="331"/>
      <c r="BC6349" s="331"/>
      <c r="BD6349" s="331"/>
      <c r="BE6349" s="333"/>
      <c r="BF6349" s="330"/>
      <c r="BG6349" s="333"/>
      <c r="BH6349" s="1119"/>
      <c r="BI6349" s="319"/>
      <c r="BJ6349" s="319"/>
      <c r="BK6349" s="319"/>
      <c r="BL6349" s="319"/>
      <c r="BM6349" s="319"/>
      <c r="BN6349" s="319"/>
      <c r="BO6349" s="319"/>
      <c r="BP6349" s="953"/>
      <c r="BQ6349" s="319"/>
      <c r="BR6349" s="319"/>
      <c r="BS6349" s="330"/>
      <c r="BT6349" s="331"/>
      <c r="BU6349" s="920"/>
      <c r="BV6349" s="903"/>
      <c r="BW6349" s="908"/>
      <c r="BX6349" s="908"/>
      <c r="BY6349" s="331"/>
      <c r="BZ6349" s="331"/>
      <c r="CA6349" s="462"/>
      <c r="CB6349" s="319"/>
      <c r="CC6349" s="319"/>
      <c r="CD6349" s="319"/>
      <c r="CE6349" s="319"/>
      <c r="CF6349" s="319"/>
      <c r="CG6349" s="319"/>
      <c r="CH6349" s="318"/>
      <c r="CI6349" s="319"/>
      <c r="CJ6349" s="319"/>
      <c r="CK6349" s="342"/>
      <c r="CL6349" s="333"/>
      <c r="CM6349" s="1079"/>
      <c r="CN6349" s="1005"/>
      <c r="CO6349" s="1005"/>
      <c r="CP6349" s="1005"/>
    </row>
    <row r="6350">
      <c r="A6350" s="1257"/>
      <c r="B6350" s="1113"/>
      <c r="C6350" s="1107"/>
      <c r="D6350" s="103"/>
      <c r="E6350" s="1137"/>
      <c r="F6350" s="112"/>
      <c r="G6350" s="1110"/>
      <c r="H6350" s="1138"/>
      <c r="I6350" s="1138"/>
      <c r="J6350" s="1139"/>
      <c r="K6350" s="1111"/>
      <c r="L6350" s="1112"/>
      <c r="M6350" s="1113"/>
      <c r="N6350" s="110"/>
      <c r="O6350" s="1140"/>
      <c r="P6350" s="1115"/>
      <c r="Q6350" s="1116"/>
      <c r="R6350" s="1141"/>
      <c r="S6350" s="1113"/>
      <c r="T6350" s="1143"/>
      <c r="U6350" s="1108"/>
      <c r="V6350" s="1108"/>
      <c r="W6350" s="1108"/>
      <c r="X6350" s="1108"/>
      <c r="Y6350" s="1108"/>
      <c r="Z6350" s="1114"/>
      <c r="AA6350" s="1114"/>
      <c r="AB6350" s="1114"/>
      <c r="AC6350" s="1117"/>
      <c r="AD6350" s="1115"/>
      <c r="AE6350" s="1115"/>
      <c r="AF6350" s="1115"/>
      <c r="AG6350" s="1115"/>
      <c r="AH6350" s="1115"/>
      <c r="AI6350" s="1115"/>
      <c r="AJ6350" s="1117"/>
      <c r="AK6350" s="1118"/>
      <c r="AL6350" s="1115"/>
      <c r="AM6350" s="1115"/>
      <c r="AN6350" s="1115"/>
      <c r="AO6350" s="1115"/>
      <c r="AP6350" s="1115"/>
      <c r="AQ6350" s="1115"/>
      <c r="AR6350" s="1115"/>
      <c r="AS6350" s="1117"/>
      <c r="AT6350" s="1075"/>
      <c r="AU6350" s="1193"/>
      <c r="AV6350" s="330"/>
      <c r="AW6350" s="331"/>
      <c r="AX6350" s="331"/>
      <c r="AY6350" s="331"/>
      <c r="AZ6350" s="331"/>
      <c r="BA6350" s="331"/>
      <c r="BB6350" s="331"/>
      <c r="BC6350" s="331"/>
      <c r="BD6350" s="331"/>
      <c r="BE6350" s="333"/>
      <c r="BF6350" s="330"/>
      <c r="BG6350" s="333"/>
      <c r="BH6350" s="1119"/>
      <c r="BI6350" s="319"/>
      <c r="BJ6350" s="319"/>
      <c r="BK6350" s="319"/>
      <c r="BL6350" s="319"/>
      <c r="BM6350" s="319"/>
      <c r="BN6350" s="319"/>
      <c r="BO6350" s="319"/>
      <c r="BP6350" s="953"/>
      <c r="BQ6350" s="319"/>
      <c r="BR6350" s="319"/>
      <c r="BS6350" s="330"/>
      <c r="BT6350" s="331"/>
      <c r="BU6350" s="920"/>
      <c r="BV6350" s="903"/>
      <c r="BW6350" s="908"/>
      <c r="BX6350" s="908"/>
      <c r="BY6350" s="331"/>
      <c r="BZ6350" s="331"/>
      <c r="CA6350" s="462"/>
      <c r="CB6350" s="319"/>
      <c r="CC6350" s="319"/>
      <c r="CD6350" s="319"/>
      <c r="CE6350" s="319"/>
      <c r="CF6350" s="319"/>
      <c r="CG6350" s="319"/>
      <c r="CH6350" s="318"/>
      <c r="CI6350" s="319"/>
      <c r="CJ6350" s="319"/>
      <c r="CK6350" s="342"/>
      <c r="CL6350" s="333"/>
      <c r="CM6350" s="1079"/>
      <c r="CN6350" s="1005"/>
      <c r="CO6350" s="1005"/>
      <c r="CP6350" s="1005"/>
    </row>
    <row r="6351">
      <c r="A6351" s="1257"/>
      <c r="B6351" s="1113"/>
      <c r="C6351" s="1107"/>
      <c r="D6351" s="103"/>
      <c r="E6351" s="1137"/>
      <c r="F6351" s="112"/>
      <c r="G6351" s="1110"/>
      <c r="H6351" s="1138"/>
      <c r="I6351" s="1138"/>
      <c r="J6351" s="1139"/>
      <c r="K6351" s="1111"/>
      <c r="L6351" s="1112"/>
      <c r="M6351" s="1113"/>
      <c r="N6351" s="110"/>
      <c r="O6351" s="1140"/>
      <c r="P6351" s="1115"/>
      <c r="Q6351" s="1116"/>
      <c r="R6351" s="1141"/>
      <c r="S6351" s="1113"/>
      <c r="T6351" s="1143"/>
      <c r="U6351" s="1108"/>
      <c r="V6351" s="1108"/>
      <c r="W6351" s="1108"/>
      <c r="X6351" s="1108"/>
      <c r="Y6351" s="1108"/>
      <c r="Z6351" s="1114"/>
      <c r="AA6351" s="1114"/>
      <c r="AB6351" s="1114"/>
      <c r="AC6351" s="1117"/>
      <c r="AD6351" s="1115"/>
      <c r="AE6351" s="1115"/>
      <c r="AF6351" s="1115"/>
      <c r="AG6351" s="1115"/>
      <c r="AH6351" s="1115"/>
      <c r="AI6351" s="1115"/>
      <c r="AJ6351" s="1117"/>
      <c r="AK6351" s="1118"/>
      <c r="AL6351" s="1115"/>
      <c r="AM6351" s="1115"/>
      <c r="AN6351" s="1115"/>
      <c r="AO6351" s="1115"/>
      <c r="AP6351" s="1115"/>
      <c r="AQ6351" s="1115"/>
      <c r="AR6351" s="1115"/>
      <c r="AS6351" s="1117"/>
      <c r="AT6351" s="1075"/>
      <c r="AU6351" s="1193"/>
      <c r="AV6351" s="330"/>
      <c r="AW6351" s="331"/>
      <c r="AX6351" s="331"/>
      <c r="AY6351" s="331"/>
      <c r="AZ6351" s="331"/>
      <c r="BA6351" s="331"/>
      <c r="BB6351" s="331"/>
      <c r="BC6351" s="331"/>
      <c r="BD6351" s="331"/>
      <c r="BE6351" s="333"/>
      <c r="BF6351" s="330"/>
      <c r="BG6351" s="333"/>
      <c r="BH6351" s="1119"/>
      <c r="BI6351" s="319"/>
      <c r="BJ6351" s="319"/>
      <c r="BK6351" s="319"/>
      <c r="BL6351" s="319"/>
      <c r="BM6351" s="319"/>
      <c r="BN6351" s="319"/>
      <c r="BO6351" s="319"/>
      <c r="BP6351" s="953"/>
      <c r="BQ6351" s="319"/>
      <c r="BR6351" s="319"/>
      <c r="BS6351" s="330"/>
      <c r="BT6351" s="331"/>
      <c r="BU6351" s="920"/>
      <c r="BV6351" s="903"/>
      <c r="BW6351" s="908"/>
      <c r="BX6351" s="908"/>
      <c r="BY6351" s="331"/>
      <c r="BZ6351" s="331"/>
      <c r="CA6351" s="462"/>
      <c r="CB6351" s="319"/>
      <c r="CC6351" s="319"/>
      <c r="CD6351" s="319"/>
      <c r="CE6351" s="319"/>
      <c r="CF6351" s="319"/>
      <c r="CG6351" s="319"/>
      <c r="CH6351" s="318"/>
      <c r="CI6351" s="319"/>
      <c r="CJ6351" s="319"/>
      <c r="CK6351" s="342"/>
      <c r="CL6351" s="333"/>
      <c r="CM6351" s="1079"/>
      <c r="CN6351" s="1005"/>
      <c r="CO6351" s="1005"/>
      <c r="CP6351" s="1005"/>
    </row>
    <row r="6352">
      <c r="A6352" s="1257"/>
      <c r="B6352" s="1113"/>
      <c r="C6352" s="1107"/>
      <c r="D6352" s="103"/>
      <c r="E6352" s="1137"/>
      <c r="F6352" s="112"/>
      <c r="G6352" s="1110"/>
      <c r="H6352" s="1138"/>
      <c r="I6352" s="1138"/>
      <c r="J6352" s="1139"/>
      <c r="K6352" s="1111"/>
      <c r="L6352" s="1112"/>
      <c r="M6352" s="1113"/>
      <c r="N6352" s="110"/>
      <c r="O6352" s="1140"/>
      <c r="P6352" s="1115"/>
      <c r="Q6352" s="1116"/>
      <c r="R6352" s="1141"/>
      <c r="S6352" s="1113"/>
      <c r="T6352" s="1143"/>
      <c r="U6352" s="1108"/>
      <c r="V6352" s="1108"/>
      <c r="W6352" s="1108"/>
      <c r="X6352" s="1108"/>
      <c r="Y6352" s="1108"/>
      <c r="Z6352" s="1114"/>
      <c r="AA6352" s="1114"/>
      <c r="AB6352" s="1114"/>
      <c r="AC6352" s="1117"/>
      <c r="AD6352" s="1115"/>
      <c r="AE6352" s="1115"/>
      <c r="AF6352" s="1115"/>
      <c r="AG6352" s="1115"/>
      <c r="AH6352" s="1115"/>
      <c r="AI6352" s="1115"/>
      <c r="AJ6352" s="1117"/>
      <c r="AK6352" s="1118"/>
      <c r="AL6352" s="1115"/>
      <c r="AM6352" s="1115"/>
      <c r="AN6352" s="1115"/>
      <c r="AO6352" s="1115"/>
      <c r="AP6352" s="1115"/>
      <c r="AQ6352" s="1115"/>
      <c r="AR6352" s="1115"/>
      <c r="AS6352" s="1117"/>
      <c r="AT6352" s="1075"/>
      <c r="AU6352" s="1193"/>
      <c r="AV6352" s="330"/>
      <c r="AW6352" s="331"/>
      <c r="AX6352" s="331"/>
      <c r="AY6352" s="331"/>
      <c r="AZ6352" s="331"/>
      <c r="BA6352" s="331"/>
      <c r="BB6352" s="331"/>
      <c r="BC6352" s="331"/>
      <c r="BD6352" s="331"/>
      <c r="BE6352" s="333"/>
      <c r="BF6352" s="330"/>
      <c r="BG6352" s="333"/>
      <c r="BH6352" s="1119"/>
      <c r="BI6352" s="319"/>
      <c r="BJ6352" s="319"/>
      <c r="BK6352" s="319"/>
      <c r="BL6352" s="319"/>
      <c r="BM6352" s="319"/>
      <c r="BN6352" s="319"/>
      <c r="BO6352" s="319"/>
      <c r="BP6352" s="953"/>
      <c r="BQ6352" s="319"/>
      <c r="BR6352" s="319"/>
      <c r="BS6352" s="330"/>
      <c r="BT6352" s="331"/>
      <c r="BU6352" s="920"/>
      <c r="BV6352" s="903"/>
      <c r="BW6352" s="908"/>
      <c r="BX6352" s="908"/>
      <c r="BY6352" s="331"/>
      <c r="BZ6352" s="331"/>
      <c r="CA6352" s="462"/>
      <c r="CB6352" s="319"/>
      <c r="CC6352" s="319"/>
      <c r="CD6352" s="319"/>
      <c r="CE6352" s="319"/>
      <c r="CF6352" s="319"/>
      <c r="CG6352" s="319"/>
      <c r="CH6352" s="318"/>
      <c r="CI6352" s="319"/>
      <c r="CJ6352" s="319"/>
      <c r="CK6352" s="342"/>
      <c r="CL6352" s="333"/>
      <c r="CM6352" s="1079"/>
      <c r="CN6352" s="1005"/>
      <c r="CO6352" s="1005"/>
      <c r="CP6352" s="1005"/>
    </row>
    <row r="6353">
      <c r="A6353" s="1257"/>
      <c r="B6353" s="1113"/>
      <c r="C6353" s="1107"/>
      <c r="D6353" s="103"/>
      <c r="E6353" s="1137"/>
      <c r="F6353" s="112"/>
      <c r="G6353" s="1110"/>
      <c r="H6353" s="1138"/>
      <c r="I6353" s="1138"/>
      <c r="J6353" s="1139"/>
      <c r="K6353" s="1111"/>
      <c r="L6353" s="1112"/>
      <c r="M6353" s="1113"/>
      <c r="N6353" s="110"/>
      <c r="O6353" s="1140"/>
      <c r="P6353" s="1115"/>
      <c r="Q6353" s="1116"/>
      <c r="R6353" s="1141"/>
      <c r="S6353" s="1113"/>
      <c r="T6353" s="1143"/>
      <c r="U6353" s="1108"/>
      <c r="V6353" s="1108"/>
      <c r="W6353" s="1108"/>
      <c r="X6353" s="1108"/>
      <c r="Y6353" s="1108"/>
      <c r="Z6353" s="1114"/>
      <c r="AA6353" s="1114"/>
      <c r="AB6353" s="1114"/>
      <c r="AC6353" s="1117"/>
      <c r="AD6353" s="1115"/>
      <c r="AE6353" s="1115"/>
      <c r="AF6353" s="1115"/>
      <c r="AG6353" s="1115"/>
      <c r="AH6353" s="1115"/>
      <c r="AI6353" s="1115"/>
      <c r="AJ6353" s="1117"/>
      <c r="AK6353" s="1118"/>
      <c r="AL6353" s="1115"/>
      <c r="AM6353" s="1115"/>
      <c r="AN6353" s="1115"/>
      <c r="AO6353" s="1115"/>
      <c r="AP6353" s="1115"/>
      <c r="AQ6353" s="1115"/>
      <c r="AR6353" s="1115"/>
      <c r="AS6353" s="1117"/>
      <c r="AT6353" s="1075"/>
      <c r="AU6353" s="1193"/>
      <c r="AV6353" s="330"/>
      <c r="AW6353" s="331"/>
      <c r="AX6353" s="331"/>
      <c r="AY6353" s="331"/>
      <c r="AZ6353" s="331"/>
      <c r="BA6353" s="331"/>
      <c r="BB6353" s="331"/>
      <c r="BC6353" s="331"/>
      <c r="BD6353" s="331"/>
      <c r="BE6353" s="333"/>
      <c r="BF6353" s="330"/>
      <c r="BG6353" s="333"/>
      <c r="BH6353" s="1119"/>
      <c r="BI6353" s="319"/>
      <c r="BJ6353" s="319"/>
      <c r="BK6353" s="319"/>
      <c r="BL6353" s="319"/>
      <c r="BM6353" s="319"/>
      <c r="BN6353" s="319"/>
      <c r="BO6353" s="319"/>
      <c r="BP6353" s="953"/>
      <c r="BQ6353" s="319"/>
      <c r="BR6353" s="319"/>
      <c r="BS6353" s="330"/>
      <c r="BT6353" s="331"/>
      <c r="BU6353" s="920"/>
      <c r="BV6353" s="903"/>
      <c r="BW6353" s="908"/>
      <c r="BX6353" s="908"/>
      <c r="BY6353" s="331"/>
      <c r="BZ6353" s="331"/>
      <c r="CA6353" s="462"/>
      <c r="CB6353" s="319"/>
      <c r="CC6353" s="319"/>
      <c r="CD6353" s="319"/>
      <c r="CE6353" s="319"/>
      <c r="CF6353" s="319"/>
      <c r="CG6353" s="319"/>
      <c r="CH6353" s="318"/>
      <c r="CI6353" s="319"/>
      <c r="CJ6353" s="319"/>
      <c r="CK6353" s="342"/>
      <c r="CL6353" s="333"/>
      <c r="CM6353" s="1079"/>
      <c r="CN6353" s="1005"/>
      <c r="CO6353" s="1005"/>
      <c r="CP6353" s="1005"/>
    </row>
    <row r="6354">
      <c r="A6354" s="1257"/>
      <c r="B6354" s="1113"/>
      <c r="C6354" s="1107"/>
      <c r="D6354" s="103"/>
      <c r="E6354" s="1137"/>
      <c r="F6354" s="112"/>
      <c r="G6354" s="1110"/>
      <c r="H6354" s="1138"/>
      <c r="I6354" s="1138"/>
      <c r="J6354" s="1139"/>
      <c r="K6354" s="1111"/>
      <c r="L6354" s="1112"/>
      <c r="M6354" s="1113"/>
      <c r="N6354" s="110"/>
      <c r="O6354" s="1140"/>
      <c r="P6354" s="1115"/>
      <c r="Q6354" s="1116"/>
      <c r="R6354" s="1141"/>
      <c r="S6354" s="1113"/>
      <c r="T6354" s="1143"/>
      <c r="U6354" s="1108"/>
      <c r="V6354" s="1108"/>
      <c r="W6354" s="1108"/>
      <c r="X6354" s="1108"/>
      <c r="Y6354" s="1108"/>
      <c r="Z6354" s="1114"/>
      <c r="AA6354" s="1114"/>
      <c r="AB6354" s="1114"/>
      <c r="AC6354" s="1117"/>
      <c r="AD6354" s="1115"/>
      <c r="AE6354" s="1115"/>
      <c r="AF6354" s="1115"/>
      <c r="AG6354" s="1115"/>
      <c r="AH6354" s="1115"/>
      <c r="AI6354" s="1115"/>
      <c r="AJ6354" s="1117"/>
      <c r="AK6354" s="1118"/>
      <c r="AL6354" s="1115"/>
      <c r="AM6354" s="1115"/>
      <c r="AN6354" s="1115"/>
      <c r="AO6354" s="1115"/>
      <c r="AP6354" s="1115"/>
      <c r="AQ6354" s="1115"/>
      <c r="AR6354" s="1115"/>
      <c r="AS6354" s="1117"/>
      <c r="AT6354" s="1075"/>
      <c r="AU6354" s="1193"/>
      <c r="AV6354" s="330"/>
      <c r="AW6354" s="331"/>
      <c r="AX6354" s="331"/>
      <c r="AY6354" s="331"/>
      <c r="AZ6354" s="331"/>
      <c r="BA6354" s="331"/>
      <c r="BB6354" s="331"/>
      <c r="BC6354" s="331"/>
      <c r="BD6354" s="331"/>
      <c r="BE6354" s="333"/>
      <c r="BF6354" s="330"/>
      <c r="BG6354" s="333"/>
      <c r="BH6354" s="1119"/>
      <c r="BI6354" s="319"/>
      <c r="BJ6354" s="319"/>
      <c r="BK6354" s="319"/>
      <c r="BL6354" s="319"/>
      <c r="BM6354" s="319"/>
      <c r="BN6354" s="319"/>
      <c r="BO6354" s="319"/>
      <c r="BP6354" s="953"/>
      <c r="BQ6354" s="319"/>
      <c r="BR6354" s="319"/>
      <c r="BS6354" s="330"/>
      <c r="BT6354" s="331"/>
      <c r="BU6354" s="920"/>
      <c r="BV6354" s="903"/>
      <c r="BW6354" s="908"/>
      <c r="BX6354" s="908"/>
      <c r="BY6354" s="331"/>
      <c r="BZ6354" s="331"/>
      <c r="CA6354" s="462"/>
      <c r="CB6354" s="319"/>
      <c r="CC6354" s="319"/>
      <c r="CD6354" s="319"/>
      <c r="CE6354" s="319"/>
      <c r="CF6354" s="319"/>
      <c r="CG6354" s="319"/>
      <c r="CH6354" s="318"/>
      <c r="CI6354" s="319"/>
      <c r="CJ6354" s="319"/>
      <c r="CK6354" s="342"/>
      <c r="CL6354" s="333"/>
      <c r="CM6354" s="1079"/>
      <c r="CN6354" s="1005"/>
      <c r="CO6354" s="1005"/>
      <c r="CP6354" s="1005"/>
    </row>
    <row r="6355">
      <c r="A6355" s="1257"/>
      <c r="B6355" s="1113"/>
      <c r="C6355" s="1107"/>
      <c r="D6355" s="103"/>
      <c r="E6355" s="1137"/>
      <c r="F6355" s="112"/>
      <c r="G6355" s="1110"/>
      <c r="H6355" s="1138"/>
      <c r="I6355" s="1138"/>
      <c r="J6355" s="1139"/>
      <c r="K6355" s="1111"/>
      <c r="L6355" s="1112"/>
      <c r="M6355" s="1113"/>
      <c r="N6355" s="110"/>
      <c r="O6355" s="1140"/>
      <c r="P6355" s="1115"/>
      <c r="Q6355" s="1116"/>
      <c r="R6355" s="1141"/>
      <c r="S6355" s="1113"/>
      <c r="T6355" s="1143"/>
      <c r="U6355" s="1108"/>
      <c r="V6355" s="1108"/>
      <c r="W6355" s="1108"/>
      <c r="X6355" s="1108"/>
      <c r="Y6355" s="1108"/>
      <c r="Z6355" s="1114"/>
      <c r="AA6355" s="1114"/>
      <c r="AB6355" s="1114"/>
      <c r="AC6355" s="1117"/>
      <c r="AD6355" s="1115"/>
      <c r="AE6355" s="1115"/>
      <c r="AF6355" s="1115"/>
      <c r="AG6355" s="1115"/>
      <c r="AH6355" s="1115"/>
      <c r="AI6355" s="1115"/>
      <c r="AJ6355" s="1117"/>
      <c r="AK6355" s="1118"/>
      <c r="AL6355" s="1115"/>
      <c r="AM6355" s="1115"/>
      <c r="AN6355" s="1115"/>
      <c r="AO6355" s="1115"/>
      <c r="AP6355" s="1115"/>
      <c r="AQ6355" s="1115"/>
      <c r="AR6355" s="1115"/>
      <c r="AS6355" s="1117"/>
      <c r="AT6355" s="1075"/>
      <c r="AU6355" s="1193"/>
      <c r="AV6355" s="330"/>
      <c r="AW6355" s="331"/>
      <c r="AX6355" s="331"/>
      <c r="AY6355" s="331"/>
      <c r="AZ6355" s="331"/>
      <c r="BA6355" s="331"/>
      <c r="BB6355" s="331"/>
      <c r="BC6355" s="331"/>
      <c r="BD6355" s="331"/>
      <c r="BE6355" s="333"/>
      <c r="BF6355" s="330"/>
      <c r="BG6355" s="333"/>
      <c r="BH6355" s="1119"/>
      <c r="BI6355" s="319"/>
      <c r="BJ6355" s="319"/>
      <c r="BK6355" s="319"/>
      <c r="BL6355" s="319"/>
      <c r="BM6355" s="319"/>
      <c r="BN6355" s="319"/>
      <c r="BO6355" s="319"/>
      <c r="BP6355" s="953"/>
      <c r="BQ6355" s="319"/>
      <c r="BR6355" s="319"/>
      <c r="BS6355" s="330"/>
      <c r="BT6355" s="331"/>
      <c r="BU6355" s="920"/>
      <c r="BV6355" s="903"/>
      <c r="BW6355" s="908"/>
      <c r="BX6355" s="908"/>
      <c r="BY6355" s="331"/>
      <c r="BZ6355" s="331"/>
      <c r="CA6355" s="462"/>
      <c r="CB6355" s="319"/>
      <c r="CC6355" s="319"/>
      <c r="CD6355" s="319"/>
      <c r="CE6355" s="319"/>
      <c r="CF6355" s="319"/>
      <c r="CG6355" s="319"/>
      <c r="CH6355" s="318"/>
      <c r="CI6355" s="319"/>
      <c r="CJ6355" s="319"/>
      <c r="CK6355" s="342"/>
      <c r="CL6355" s="333"/>
      <c r="CM6355" s="1079"/>
      <c r="CN6355" s="1005"/>
      <c r="CO6355" s="1005"/>
      <c r="CP6355" s="1005"/>
    </row>
    <row r="6356">
      <c r="A6356" s="1257"/>
      <c r="B6356" s="1113"/>
      <c r="C6356" s="1107"/>
      <c r="D6356" s="103"/>
      <c r="E6356" s="1137"/>
      <c r="F6356" s="112"/>
      <c r="G6356" s="1110"/>
      <c r="H6356" s="1138"/>
      <c r="I6356" s="1138"/>
      <c r="J6356" s="1139"/>
      <c r="K6356" s="1111"/>
      <c r="L6356" s="1112"/>
      <c r="M6356" s="1113"/>
      <c r="N6356" s="110"/>
      <c r="O6356" s="1140"/>
      <c r="P6356" s="1115"/>
      <c r="Q6356" s="1116"/>
      <c r="R6356" s="1141"/>
      <c r="S6356" s="1113"/>
      <c r="T6356" s="1143"/>
      <c r="U6356" s="1108"/>
      <c r="V6356" s="1108"/>
      <c r="W6356" s="1108"/>
      <c r="X6356" s="1108"/>
      <c r="Y6356" s="1108"/>
      <c r="Z6356" s="1114"/>
      <c r="AA6356" s="1114"/>
      <c r="AB6356" s="1114"/>
      <c r="AC6356" s="1117"/>
      <c r="AD6356" s="1115"/>
      <c r="AE6356" s="1115"/>
      <c r="AF6356" s="1115"/>
      <c r="AG6356" s="1115"/>
      <c r="AH6356" s="1115"/>
      <c r="AI6356" s="1115"/>
      <c r="AJ6356" s="1117"/>
      <c r="AK6356" s="1118"/>
      <c r="AL6356" s="1115"/>
      <c r="AM6356" s="1115"/>
      <c r="AN6356" s="1115"/>
      <c r="AO6356" s="1115"/>
      <c r="AP6356" s="1115"/>
      <c r="AQ6356" s="1115"/>
      <c r="AR6356" s="1115"/>
      <c r="AS6356" s="1117"/>
      <c r="AT6356" s="1075"/>
      <c r="AU6356" s="1193"/>
      <c r="AV6356" s="330"/>
      <c r="AW6356" s="331"/>
      <c r="AX6356" s="331"/>
      <c r="AY6356" s="331"/>
      <c r="AZ6356" s="331"/>
      <c r="BA6356" s="331"/>
      <c r="BB6356" s="331"/>
      <c r="BC6356" s="331"/>
      <c r="BD6356" s="331"/>
      <c r="BE6356" s="333"/>
      <c r="BF6356" s="330"/>
      <c r="BG6356" s="333"/>
      <c r="BH6356" s="1119"/>
      <c r="BI6356" s="319"/>
      <c r="BJ6356" s="319"/>
      <c r="BK6356" s="319"/>
      <c r="BL6356" s="319"/>
      <c r="BM6356" s="319"/>
      <c r="BN6356" s="319"/>
      <c r="BO6356" s="319"/>
      <c r="BP6356" s="953"/>
      <c r="BQ6356" s="319"/>
      <c r="BR6356" s="319"/>
      <c r="BS6356" s="330"/>
      <c r="BT6356" s="331"/>
      <c r="BU6356" s="920"/>
      <c r="BV6356" s="903"/>
      <c r="BW6356" s="908"/>
      <c r="BX6356" s="908"/>
      <c r="BY6356" s="331"/>
      <c r="BZ6356" s="331"/>
      <c r="CA6356" s="462"/>
      <c r="CB6356" s="319"/>
      <c r="CC6356" s="319"/>
      <c r="CD6356" s="319"/>
      <c r="CE6356" s="319"/>
      <c r="CF6356" s="319"/>
      <c r="CG6356" s="319"/>
      <c r="CH6356" s="318"/>
      <c r="CI6356" s="319"/>
      <c r="CJ6356" s="319"/>
      <c r="CK6356" s="342"/>
      <c r="CL6356" s="333"/>
      <c r="CM6356" s="1079"/>
      <c r="CN6356" s="1005"/>
      <c r="CO6356" s="1005"/>
      <c r="CP6356" s="1005"/>
    </row>
    <row r="6357">
      <c r="A6357" s="1257"/>
      <c r="B6357" s="1113"/>
      <c r="C6357" s="1107"/>
      <c r="D6357" s="103"/>
      <c r="E6357" s="1137"/>
      <c r="F6357" s="112"/>
      <c r="G6357" s="1110"/>
      <c r="H6357" s="1138"/>
      <c r="I6357" s="1138"/>
      <c r="J6357" s="1139"/>
      <c r="K6357" s="1111"/>
      <c r="L6357" s="1112"/>
      <c r="M6357" s="1113"/>
      <c r="N6357" s="110"/>
      <c r="O6357" s="1140"/>
      <c r="P6357" s="1115"/>
      <c r="Q6357" s="1116"/>
      <c r="R6357" s="1141"/>
      <c r="S6357" s="1113"/>
      <c r="T6357" s="1143"/>
      <c r="U6357" s="1108"/>
      <c r="V6357" s="1108"/>
      <c r="W6357" s="1108"/>
      <c r="X6357" s="1108"/>
      <c r="Y6357" s="1108"/>
      <c r="Z6357" s="1114"/>
      <c r="AA6357" s="1114"/>
      <c r="AB6357" s="1114"/>
      <c r="AC6357" s="1117"/>
      <c r="AD6357" s="1115"/>
      <c r="AE6357" s="1115"/>
      <c r="AF6357" s="1115"/>
      <c r="AG6357" s="1115"/>
      <c r="AH6357" s="1115"/>
      <c r="AI6357" s="1115"/>
      <c r="AJ6357" s="1117"/>
      <c r="AK6357" s="1118"/>
      <c r="AL6357" s="1115"/>
      <c r="AM6357" s="1115"/>
      <c r="AN6357" s="1115"/>
      <c r="AO6357" s="1115"/>
      <c r="AP6357" s="1115"/>
      <c r="AQ6357" s="1115"/>
      <c r="AR6357" s="1115"/>
      <c r="AS6357" s="1117"/>
      <c r="AT6357" s="1075"/>
      <c r="AU6357" s="1193"/>
      <c r="AV6357" s="330"/>
      <c r="AW6357" s="331"/>
      <c r="AX6357" s="331"/>
      <c r="AY6357" s="331"/>
      <c r="AZ6357" s="331"/>
      <c r="BA6357" s="331"/>
      <c r="BB6357" s="331"/>
      <c r="BC6357" s="331"/>
      <c r="BD6357" s="331"/>
      <c r="BE6357" s="333"/>
      <c r="BF6357" s="330"/>
      <c r="BG6357" s="333"/>
      <c r="BH6357" s="1119"/>
      <c r="BI6357" s="319"/>
      <c r="BJ6357" s="319"/>
      <c r="BK6357" s="319"/>
      <c r="BL6357" s="319"/>
      <c r="BM6357" s="319"/>
      <c r="BN6357" s="319"/>
      <c r="BO6357" s="319"/>
      <c r="BP6357" s="953"/>
      <c r="BQ6357" s="319"/>
      <c r="BR6357" s="319"/>
      <c r="BS6357" s="330"/>
      <c r="BT6357" s="331"/>
      <c r="BU6357" s="920"/>
      <c r="BV6357" s="903"/>
      <c r="BW6357" s="908"/>
      <c r="BX6357" s="908"/>
      <c r="BY6357" s="331"/>
      <c r="BZ6357" s="331"/>
      <c r="CA6357" s="462"/>
      <c r="CB6357" s="319"/>
      <c r="CC6357" s="319"/>
      <c r="CD6357" s="319"/>
      <c r="CE6357" s="319"/>
      <c r="CF6357" s="319"/>
      <c r="CG6357" s="319"/>
      <c r="CH6357" s="318"/>
      <c r="CI6357" s="319"/>
      <c r="CJ6357" s="319"/>
      <c r="CK6357" s="342"/>
      <c r="CL6357" s="333"/>
      <c r="CM6357" s="1079"/>
      <c r="CN6357" s="1005"/>
      <c r="CO6357" s="1005"/>
      <c r="CP6357" s="1005"/>
    </row>
    <row r="6358">
      <c r="A6358" s="1257"/>
      <c r="B6358" s="1113"/>
      <c r="C6358" s="1107"/>
      <c r="D6358" s="103"/>
      <c r="E6358" s="1137"/>
      <c r="F6358" s="112"/>
      <c r="G6358" s="1110"/>
      <c r="H6358" s="1138"/>
      <c r="I6358" s="1138"/>
      <c r="J6358" s="1139"/>
      <c r="K6358" s="1111"/>
      <c r="L6358" s="1112"/>
      <c r="M6358" s="1113"/>
      <c r="N6358" s="110"/>
      <c r="O6358" s="1140"/>
      <c r="P6358" s="1115"/>
      <c r="Q6358" s="1116"/>
      <c r="R6358" s="1141"/>
      <c r="S6358" s="1113"/>
      <c r="T6358" s="1143"/>
      <c r="U6358" s="1108"/>
      <c r="V6358" s="1108"/>
      <c r="W6358" s="1108"/>
      <c r="X6358" s="1108"/>
      <c r="Y6358" s="1108"/>
      <c r="Z6358" s="1114"/>
      <c r="AA6358" s="1114"/>
      <c r="AB6358" s="1114"/>
      <c r="AC6358" s="1117"/>
      <c r="AD6358" s="1115"/>
      <c r="AE6358" s="1115"/>
      <c r="AF6358" s="1115"/>
      <c r="AG6358" s="1115"/>
      <c r="AH6358" s="1115"/>
      <c r="AI6358" s="1115"/>
      <c r="AJ6358" s="1117"/>
      <c r="AK6358" s="1118"/>
      <c r="AL6358" s="1115"/>
      <c r="AM6358" s="1115"/>
      <c r="AN6358" s="1115"/>
      <c r="AO6358" s="1115"/>
      <c r="AP6358" s="1115"/>
      <c r="AQ6358" s="1115"/>
      <c r="AR6358" s="1115"/>
      <c r="AS6358" s="1117"/>
      <c r="AT6358" s="1075"/>
      <c r="AU6358" s="1193"/>
      <c r="AV6358" s="330"/>
      <c r="AW6358" s="331"/>
      <c r="AX6358" s="331"/>
      <c r="AY6358" s="331"/>
      <c r="AZ6358" s="331"/>
      <c r="BA6358" s="331"/>
      <c r="BB6358" s="331"/>
      <c r="BC6358" s="331"/>
      <c r="BD6358" s="331"/>
      <c r="BE6358" s="333"/>
      <c r="BF6358" s="330"/>
      <c r="BG6358" s="333"/>
      <c r="BH6358" s="1119"/>
      <c r="BI6358" s="319"/>
      <c r="BJ6358" s="319"/>
      <c r="BK6358" s="319"/>
      <c r="BL6358" s="319"/>
      <c r="BM6358" s="319"/>
      <c r="BN6358" s="319"/>
      <c r="BO6358" s="319"/>
      <c r="BP6358" s="953"/>
      <c r="BQ6358" s="319"/>
      <c r="BR6358" s="319"/>
      <c r="BS6358" s="330"/>
      <c r="BT6358" s="331"/>
      <c r="BU6358" s="920"/>
      <c r="BV6358" s="903"/>
      <c r="BW6358" s="908"/>
      <c r="BX6358" s="908"/>
      <c r="BY6358" s="331"/>
      <c r="BZ6358" s="331"/>
      <c r="CA6358" s="462"/>
      <c r="CB6358" s="319"/>
      <c r="CC6358" s="319"/>
      <c r="CD6358" s="319"/>
      <c r="CE6358" s="319"/>
      <c r="CF6358" s="319"/>
      <c r="CG6358" s="319"/>
      <c r="CH6358" s="318"/>
      <c r="CI6358" s="319"/>
      <c r="CJ6358" s="319"/>
      <c r="CK6358" s="342"/>
      <c r="CL6358" s="333"/>
      <c r="CM6358" s="1079"/>
      <c r="CN6358" s="1005"/>
      <c r="CO6358" s="1005"/>
      <c r="CP6358" s="1005"/>
    </row>
    <row r="6359">
      <c r="A6359" s="1257"/>
      <c r="B6359" s="1113"/>
      <c r="C6359" s="1107"/>
      <c r="D6359" s="103"/>
      <c r="E6359" s="1137"/>
      <c r="F6359" s="112"/>
      <c r="G6359" s="1110"/>
      <c r="H6359" s="1138"/>
      <c r="I6359" s="1138"/>
      <c r="J6359" s="1139"/>
      <c r="K6359" s="1111"/>
      <c r="L6359" s="1112"/>
      <c r="M6359" s="1113"/>
      <c r="N6359" s="110"/>
      <c r="O6359" s="1140"/>
      <c r="P6359" s="1115"/>
      <c r="Q6359" s="1116"/>
      <c r="R6359" s="1141"/>
      <c r="S6359" s="1113"/>
      <c r="T6359" s="1143"/>
      <c r="U6359" s="1108"/>
      <c r="V6359" s="1108"/>
      <c r="W6359" s="1108"/>
      <c r="X6359" s="1108"/>
      <c r="Y6359" s="1108"/>
      <c r="Z6359" s="1114"/>
      <c r="AA6359" s="1114"/>
      <c r="AB6359" s="1114"/>
      <c r="AC6359" s="1117"/>
      <c r="AD6359" s="1115"/>
      <c r="AE6359" s="1115"/>
      <c r="AF6359" s="1115"/>
      <c r="AG6359" s="1115"/>
      <c r="AH6359" s="1115"/>
      <c r="AI6359" s="1115"/>
      <c r="AJ6359" s="1117"/>
      <c r="AK6359" s="1118"/>
      <c r="AL6359" s="1115"/>
      <c r="AM6359" s="1115"/>
      <c r="AN6359" s="1115"/>
      <c r="AO6359" s="1115"/>
      <c r="AP6359" s="1115"/>
      <c r="AQ6359" s="1115"/>
      <c r="AR6359" s="1115"/>
      <c r="AS6359" s="1117"/>
      <c r="AT6359" s="1075"/>
      <c r="AU6359" s="1193"/>
      <c r="AV6359" s="330"/>
      <c r="AW6359" s="331"/>
      <c r="AX6359" s="331"/>
      <c r="AY6359" s="331"/>
      <c r="AZ6359" s="331"/>
      <c r="BA6359" s="331"/>
      <c r="BB6359" s="331"/>
      <c r="BC6359" s="331"/>
      <c r="BD6359" s="331"/>
      <c r="BE6359" s="333"/>
      <c r="BF6359" s="330"/>
      <c r="BG6359" s="333"/>
      <c r="BH6359" s="1119"/>
      <c r="BI6359" s="319"/>
      <c r="BJ6359" s="319"/>
      <c r="BK6359" s="319"/>
      <c r="BL6359" s="319"/>
      <c r="BM6359" s="319"/>
      <c r="BN6359" s="319"/>
      <c r="BO6359" s="319"/>
      <c r="BP6359" s="953"/>
      <c r="BQ6359" s="319"/>
      <c r="BR6359" s="319"/>
      <c r="BS6359" s="330"/>
      <c r="BT6359" s="331"/>
      <c r="BU6359" s="920"/>
      <c r="BV6359" s="903"/>
      <c r="BW6359" s="908"/>
      <c r="BX6359" s="908"/>
      <c r="BY6359" s="331"/>
      <c r="BZ6359" s="331"/>
      <c r="CA6359" s="462"/>
      <c r="CB6359" s="319"/>
      <c r="CC6359" s="319"/>
      <c r="CD6359" s="319"/>
      <c r="CE6359" s="319"/>
      <c r="CF6359" s="319"/>
      <c r="CG6359" s="319"/>
      <c r="CH6359" s="318"/>
      <c r="CI6359" s="319"/>
      <c r="CJ6359" s="319"/>
      <c r="CK6359" s="342"/>
      <c r="CL6359" s="333"/>
      <c r="CM6359" s="1079"/>
      <c r="CN6359" s="1005"/>
      <c r="CO6359" s="1005"/>
      <c r="CP6359" s="1005"/>
    </row>
    <row r="6360">
      <c r="A6360" s="1257"/>
      <c r="B6360" s="1113"/>
      <c r="C6360" s="1107"/>
      <c r="D6360" s="103"/>
      <c r="E6360" s="1137"/>
      <c r="F6360" s="112"/>
      <c r="G6360" s="1110"/>
      <c r="H6360" s="1138"/>
      <c r="I6360" s="1138"/>
      <c r="J6360" s="1139"/>
      <c r="K6360" s="1111"/>
      <c r="L6360" s="1112"/>
      <c r="M6360" s="1113"/>
      <c r="N6360" s="110"/>
      <c r="O6360" s="1140"/>
      <c r="P6360" s="1115"/>
      <c r="Q6360" s="1116"/>
      <c r="R6360" s="1141"/>
      <c r="S6360" s="1113"/>
      <c r="T6360" s="1143"/>
      <c r="U6360" s="1108"/>
      <c r="V6360" s="1108"/>
      <c r="W6360" s="1108"/>
      <c r="X6360" s="1108"/>
      <c r="Y6360" s="1108"/>
      <c r="Z6360" s="1114"/>
      <c r="AA6360" s="1114"/>
      <c r="AB6360" s="1114"/>
      <c r="AC6360" s="1117"/>
      <c r="AD6360" s="1115"/>
      <c r="AE6360" s="1115"/>
      <c r="AF6360" s="1115"/>
      <c r="AG6360" s="1115"/>
      <c r="AH6360" s="1115"/>
      <c r="AI6360" s="1115"/>
      <c r="AJ6360" s="1117"/>
      <c r="AK6360" s="1118"/>
      <c r="AL6360" s="1115"/>
      <c r="AM6360" s="1115"/>
      <c r="AN6360" s="1115"/>
      <c r="AO6360" s="1115"/>
      <c r="AP6360" s="1115"/>
      <c r="AQ6360" s="1115"/>
      <c r="AR6360" s="1115"/>
      <c r="AS6360" s="1117"/>
      <c r="AT6360" s="1075"/>
      <c r="AU6360" s="1193"/>
      <c r="AV6360" s="330"/>
      <c r="AW6360" s="331"/>
      <c r="AX6360" s="331"/>
      <c r="AY6360" s="331"/>
      <c r="AZ6360" s="331"/>
      <c r="BA6360" s="331"/>
      <c r="BB6360" s="331"/>
      <c r="BC6360" s="331"/>
      <c r="BD6360" s="331"/>
      <c r="BE6360" s="333"/>
      <c r="BF6360" s="330"/>
      <c r="BG6360" s="333"/>
      <c r="BH6360" s="1119"/>
      <c r="BI6360" s="319"/>
      <c r="BJ6360" s="319"/>
      <c r="BK6360" s="319"/>
      <c r="BL6360" s="319"/>
      <c r="BM6360" s="319"/>
      <c r="BN6360" s="319"/>
      <c r="BO6360" s="319"/>
      <c r="BP6360" s="953"/>
      <c r="BQ6360" s="319"/>
      <c r="BR6360" s="319"/>
      <c r="BS6360" s="330"/>
      <c r="BT6360" s="331"/>
      <c r="BU6360" s="920"/>
      <c r="BV6360" s="903"/>
      <c r="BW6360" s="908"/>
      <c r="BX6360" s="908"/>
      <c r="BY6360" s="331"/>
      <c r="BZ6360" s="331"/>
      <c r="CA6360" s="462"/>
      <c r="CB6360" s="319"/>
      <c r="CC6360" s="319"/>
      <c r="CD6360" s="319"/>
      <c r="CE6360" s="319"/>
      <c r="CF6360" s="319"/>
      <c r="CG6360" s="319"/>
      <c r="CH6360" s="318"/>
      <c r="CI6360" s="319"/>
      <c r="CJ6360" s="319"/>
      <c r="CK6360" s="342"/>
      <c r="CL6360" s="333"/>
      <c r="CM6360" s="1079"/>
      <c r="CN6360" s="1005"/>
      <c r="CO6360" s="1005"/>
      <c r="CP6360" s="1005"/>
    </row>
    <row r="6361">
      <c r="A6361" s="1257"/>
      <c r="B6361" s="1113"/>
      <c r="C6361" s="1107"/>
      <c r="D6361" s="103"/>
      <c r="E6361" s="1137"/>
      <c r="F6361" s="112"/>
      <c r="G6361" s="1110"/>
      <c r="H6361" s="1138"/>
      <c r="I6361" s="1138"/>
      <c r="J6361" s="1139"/>
      <c r="K6361" s="1111"/>
      <c r="L6361" s="1112"/>
      <c r="M6361" s="1113"/>
      <c r="N6361" s="110"/>
      <c r="O6361" s="1140"/>
      <c r="P6361" s="1115"/>
      <c r="Q6361" s="1116"/>
      <c r="R6361" s="1141"/>
      <c r="S6361" s="1113"/>
      <c r="T6361" s="1143"/>
      <c r="U6361" s="1108"/>
      <c r="V6361" s="1108"/>
      <c r="W6361" s="1108"/>
      <c r="X6361" s="1108"/>
      <c r="Y6361" s="1108"/>
      <c r="Z6361" s="1114"/>
      <c r="AA6361" s="1114"/>
      <c r="AB6361" s="1114"/>
      <c r="AC6361" s="1117"/>
      <c r="AD6361" s="1115"/>
      <c r="AE6361" s="1115"/>
      <c r="AF6361" s="1115"/>
      <c r="AG6361" s="1115"/>
      <c r="AH6361" s="1115"/>
      <c r="AI6361" s="1115"/>
      <c r="AJ6361" s="1117"/>
      <c r="AK6361" s="1118"/>
      <c r="AL6361" s="1115"/>
      <c r="AM6361" s="1115"/>
      <c r="AN6361" s="1115"/>
      <c r="AO6361" s="1115"/>
      <c r="AP6361" s="1115"/>
      <c r="AQ6361" s="1115"/>
      <c r="AR6361" s="1115"/>
      <c r="AS6361" s="1117"/>
      <c r="AT6361" s="1075"/>
      <c r="AU6361" s="1193"/>
      <c r="AV6361" s="330"/>
      <c r="AW6361" s="331"/>
      <c r="AX6361" s="331"/>
      <c r="AY6361" s="331"/>
      <c r="AZ6361" s="331"/>
      <c r="BA6361" s="331"/>
      <c r="BB6361" s="331"/>
      <c r="BC6361" s="331"/>
      <c r="BD6361" s="331"/>
      <c r="BE6361" s="333"/>
      <c r="BF6361" s="330"/>
      <c r="BG6361" s="333"/>
      <c r="BH6361" s="1119"/>
      <c r="BI6361" s="319"/>
      <c r="BJ6361" s="319"/>
      <c r="BK6361" s="319"/>
      <c r="BL6361" s="319"/>
      <c r="BM6361" s="319"/>
      <c r="BN6361" s="319"/>
      <c r="BO6361" s="319"/>
      <c r="BP6361" s="953"/>
      <c r="BQ6361" s="319"/>
      <c r="BR6361" s="319"/>
      <c r="BS6361" s="330"/>
      <c r="BT6361" s="331"/>
      <c r="BU6361" s="920"/>
      <c r="BV6361" s="903"/>
      <c r="BW6361" s="908"/>
      <c r="BX6361" s="908"/>
      <c r="BY6361" s="331"/>
      <c r="BZ6361" s="331"/>
      <c r="CA6361" s="462"/>
      <c r="CB6361" s="319"/>
      <c r="CC6361" s="319"/>
      <c r="CD6361" s="319"/>
      <c r="CE6361" s="319"/>
      <c r="CF6361" s="319"/>
      <c r="CG6361" s="319"/>
      <c r="CH6361" s="318"/>
      <c r="CI6361" s="319"/>
      <c r="CJ6361" s="319"/>
      <c r="CK6361" s="342"/>
      <c r="CL6361" s="333"/>
      <c r="CM6361" s="1079"/>
      <c r="CN6361" s="1005"/>
      <c r="CO6361" s="1005"/>
      <c r="CP6361" s="1005"/>
    </row>
    <row r="6362">
      <c r="A6362" s="1257"/>
      <c r="B6362" s="1113"/>
      <c r="C6362" s="1107"/>
      <c r="D6362" s="103"/>
      <c r="E6362" s="1137"/>
      <c r="F6362" s="112"/>
      <c r="G6362" s="1110"/>
      <c r="H6362" s="1138"/>
      <c r="I6362" s="1138"/>
      <c r="J6362" s="1139"/>
      <c r="K6362" s="1111"/>
      <c r="L6362" s="1112"/>
      <c r="M6362" s="1113"/>
      <c r="N6362" s="110"/>
      <c r="O6362" s="1140"/>
      <c r="P6362" s="1115"/>
      <c r="Q6362" s="1116"/>
      <c r="R6362" s="1141"/>
      <c r="S6362" s="1113"/>
      <c r="T6362" s="1143"/>
      <c r="U6362" s="1108"/>
      <c r="V6362" s="1108"/>
      <c r="W6362" s="1108"/>
      <c r="X6362" s="1108"/>
      <c r="Y6362" s="1108"/>
      <c r="Z6362" s="1114"/>
      <c r="AA6362" s="1114"/>
      <c r="AB6362" s="1114"/>
      <c r="AC6362" s="1117"/>
      <c r="AD6362" s="1115"/>
      <c r="AE6362" s="1115"/>
      <c r="AF6362" s="1115"/>
      <c r="AG6362" s="1115"/>
      <c r="AH6362" s="1115"/>
      <c r="AI6362" s="1115"/>
      <c r="AJ6362" s="1117"/>
      <c r="AK6362" s="1118"/>
      <c r="AL6362" s="1115"/>
      <c r="AM6362" s="1115"/>
      <c r="AN6362" s="1115"/>
      <c r="AO6362" s="1115"/>
      <c r="AP6362" s="1115"/>
      <c r="AQ6362" s="1115"/>
      <c r="AR6362" s="1115"/>
      <c r="AS6362" s="1117"/>
      <c r="AT6362" s="1075"/>
      <c r="AU6362" s="1193"/>
      <c r="AV6362" s="330"/>
      <c r="AW6362" s="331"/>
      <c r="AX6362" s="331"/>
      <c r="AY6362" s="331"/>
      <c r="AZ6362" s="331"/>
      <c r="BA6362" s="331"/>
      <c r="BB6362" s="331"/>
      <c r="BC6362" s="331"/>
      <c r="BD6362" s="331"/>
      <c r="BE6362" s="333"/>
      <c r="BF6362" s="330"/>
      <c r="BG6362" s="333"/>
      <c r="BH6362" s="1119"/>
      <c r="BI6362" s="319"/>
      <c r="BJ6362" s="319"/>
      <c r="BK6362" s="319"/>
      <c r="BL6362" s="319"/>
      <c r="BM6362" s="319"/>
      <c r="BN6362" s="319"/>
      <c r="BO6362" s="319"/>
      <c r="BP6362" s="953"/>
      <c r="BQ6362" s="319"/>
      <c r="BR6362" s="319"/>
      <c r="BS6362" s="330"/>
      <c r="BT6362" s="331"/>
      <c r="BU6362" s="920"/>
      <c r="BV6362" s="903"/>
      <c r="BW6362" s="908"/>
      <c r="BX6362" s="908"/>
      <c r="BY6362" s="331"/>
      <c r="BZ6362" s="331"/>
      <c r="CA6362" s="462"/>
      <c r="CB6362" s="319"/>
      <c r="CC6362" s="319"/>
      <c r="CD6362" s="319"/>
      <c r="CE6362" s="319"/>
      <c r="CF6362" s="319"/>
      <c r="CG6362" s="319"/>
      <c r="CH6362" s="318"/>
      <c r="CI6362" s="319"/>
      <c r="CJ6362" s="319"/>
      <c r="CK6362" s="342"/>
      <c r="CL6362" s="333"/>
      <c r="CM6362" s="1079"/>
      <c r="CN6362" s="1005"/>
      <c r="CO6362" s="1005"/>
      <c r="CP6362" s="1005"/>
    </row>
    <row r="6363">
      <c r="A6363" s="1257"/>
      <c r="B6363" s="1113"/>
      <c r="C6363" s="1107"/>
      <c r="D6363" s="103"/>
      <c r="E6363" s="1137"/>
      <c r="F6363" s="112"/>
      <c r="G6363" s="1110"/>
      <c r="H6363" s="1138"/>
      <c r="I6363" s="1138"/>
      <c r="J6363" s="1139"/>
      <c r="K6363" s="1111"/>
      <c r="L6363" s="1112"/>
      <c r="M6363" s="1113"/>
      <c r="N6363" s="110"/>
      <c r="O6363" s="1140"/>
      <c r="P6363" s="1115"/>
      <c r="Q6363" s="1116"/>
      <c r="R6363" s="1141"/>
      <c r="S6363" s="1113"/>
      <c r="T6363" s="1143"/>
      <c r="U6363" s="1108"/>
      <c r="V6363" s="1108"/>
      <c r="W6363" s="1108"/>
      <c r="X6363" s="1108"/>
      <c r="Y6363" s="1108"/>
      <c r="Z6363" s="1114"/>
      <c r="AA6363" s="1114"/>
      <c r="AB6363" s="1114"/>
      <c r="AC6363" s="1117"/>
      <c r="AD6363" s="1115"/>
      <c r="AE6363" s="1115"/>
      <c r="AF6363" s="1115"/>
      <c r="AG6363" s="1115"/>
      <c r="AH6363" s="1115"/>
      <c r="AI6363" s="1115"/>
      <c r="AJ6363" s="1117"/>
      <c r="AK6363" s="1118"/>
      <c r="AL6363" s="1115"/>
      <c r="AM6363" s="1115"/>
      <c r="AN6363" s="1115"/>
      <c r="AO6363" s="1115"/>
      <c r="AP6363" s="1115"/>
      <c r="AQ6363" s="1115"/>
      <c r="AR6363" s="1115"/>
      <c r="AS6363" s="1117"/>
      <c r="AT6363" s="1075"/>
      <c r="AU6363" s="1193"/>
      <c r="AV6363" s="330"/>
      <c r="AW6363" s="331"/>
      <c r="AX6363" s="331"/>
      <c r="AY6363" s="331"/>
      <c r="AZ6363" s="331"/>
      <c r="BA6363" s="331"/>
      <c r="BB6363" s="331"/>
      <c r="BC6363" s="331"/>
      <c r="BD6363" s="331"/>
      <c r="BE6363" s="333"/>
      <c r="BF6363" s="330"/>
      <c r="BG6363" s="333"/>
      <c r="BH6363" s="1119"/>
      <c r="BI6363" s="319"/>
      <c r="BJ6363" s="319"/>
      <c r="BK6363" s="319"/>
      <c r="BL6363" s="319"/>
      <c r="BM6363" s="319"/>
      <c r="BN6363" s="319"/>
      <c r="BO6363" s="319"/>
      <c r="BP6363" s="953"/>
      <c r="BQ6363" s="319"/>
      <c r="BR6363" s="319"/>
      <c r="BS6363" s="330"/>
      <c r="BT6363" s="331"/>
      <c r="BU6363" s="920"/>
      <c r="BV6363" s="903"/>
      <c r="BW6363" s="908"/>
      <c r="BX6363" s="908"/>
      <c r="BY6363" s="331"/>
      <c r="BZ6363" s="331"/>
      <c r="CA6363" s="462"/>
      <c r="CB6363" s="319"/>
      <c r="CC6363" s="319"/>
      <c r="CD6363" s="319"/>
      <c r="CE6363" s="319"/>
      <c r="CF6363" s="319"/>
      <c r="CG6363" s="319"/>
      <c r="CH6363" s="318"/>
      <c r="CI6363" s="319"/>
      <c r="CJ6363" s="319"/>
      <c r="CK6363" s="342"/>
      <c r="CL6363" s="333"/>
      <c r="CM6363" s="1079"/>
      <c r="CN6363" s="1005"/>
      <c r="CO6363" s="1005"/>
      <c r="CP6363" s="1005"/>
    </row>
    <row r="6364">
      <c r="A6364" s="1257"/>
      <c r="B6364" s="1113"/>
      <c r="C6364" s="1107"/>
      <c r="D6364" s="103"/>
      <c r="E6364" s="1137"/>
      <c r="F6364" s="112"/>
      <c r="G6364" s="1110"/>
      <c r="H6364" s="1138"/>
      <c r="I6364" s="1138"/>
      <c r="J6364" s="1139"/>
      <c r="K6364" s="1111"/>
      <c r="L6364" s="1112"/>
      <c r="M6364" s="1113"/>
      <c r="N6364" s="110"/>
      <c r="O6364" s="1140"/>
      <c r="P6364" s="1115"/>
      <c r="Q6364" s="1116"/>
      <c r="R6364" s="1141"/>
      <c r="S6364" s="1113"/>
      <c r="T6364" s="1143"/>
      <c r="U6364" s="1108"/>
      <c r="V6364" s="1108"/>
      <c r="W6364" s="1108"/>
      <c r="X6364" s="1108"/>
      <c r="Y6364" s="1108"/>
      <c r="Z6364" s="1114"/>
      <c r="AA6364" s="1114"/>
      <c r="AB6364" s="1114"/>
      <c r="AC6364" s="1117"/>
      <c r="AD6364" s="1115"/>
      <c r="AE6364" s="1115"/>
      <c r="AF6364" s="1115"/>
      <c r="AG6364" s="1115"/>
      <c r="AH6364" s="1115"/>
      <c r="AI6364" s="1115"/>
      <c r="AJ6364" s="1117"/>
      <c r="AK6364" s="1118"/>
      <c r="AL6364" s="1115"/>
      <c r="AM6364" s="1115"/>
      <c r="AN6364" s="1115"/>
      <c r="AO6364" s="1115"/>
      <c r="AP6364" s="1115"/>
      <c r="AQ6364" s="1115"/>
      <c r="AR6364" s="1115"/>
      <c r="AS6364" s="1117"/>
      <c r="AT6364" s="1075"/>
      <c r="AU6364" s="1193"/>
      <c r="AV6364" s="330"/>
      <c r="AW6364" s="331"/>
      <c r="AX6364" s="331"/>
      <c r="AY6364" s="331"/>
      <c r="AZ6364" s="331"/>
      <c r="BA6364" s="331"/>
      <c r="BB6364" s="331"/>
      <c r="BC6364" s="331"/>
      <c r="BD6364" s="331"/>
      <c r="BE6364" s="333"/>
      <c r="BF6364" s="330"/>
      <c r="BG6364" s="333"/>
      <c r="BH6364" s="1119"/>
      <c r="BI6364" s="319"/>
      <c r="BJ6364" s="319"/>
      <c r="BK6364" s="319"/>
      <c r="BL6364" s="319"/>
      <c r="BM6364" s="319"/>
      <c r="BN6364" s="319"/>
      <c r="BO6364" s="319"/>
      <c r="BP6364" s="953"/>
      <c r="BQ6364" s="319"/>
      <c r="BR6364" s="319"/>
      <c r="BS6364" s="330"/>
      <c r="BT6364" s="331"/>
      <c r="BU6364" s="920"/>
      <c r="BV6364" s="903"/>
      <c r="BW6364" s="908"/>
      <c r="BX6364" s="908"/>
      <c r="BY6364" s="331"/>
      <c r="BZ6364" s="331"/>
      <c r="CA6364" s="462"/>
      <c r="CB6364" s="319"/>
      <c r="CC6364" s="319"/>
      <c r="CD6364" s="319"/>
      <c r="CE6364" s="319"/>
      <c r="CF6364" s="319"/>
      <c r="CG6364" s="319"/>
      <c r="CH6364" s="318"/>
      <c r="CI6364" s="319"/>
      <c r="CJ6364" s="319"/>
      <c r="CK6364" s="342"/>
      <c r="CL6364" s="333"/>
      <c r="CM6364" s="1079"/>
      <c r="CN6364" s="1005"/>
      <c r="CO6364" s="1005"/>
      <c r="CP6364" s="1005"/>
    </row>
    <row r="6365">
      <c r="A6365" s="1257"/>
      <c r="B6365" s="1113"/>
      <c r="C6365" s="1107"/>
      <c r="D6365" s="103"/>
      <c r="E6365" s="1137"/>
      <c r="F6365" s="112"/>
      <c r="G6365" s="1110"/>
      <c r="H6365" s="1138"/>
      <c r="I6365" s="1138"/>
      <c r="J6365" s="1139"/>
      <c r="K6365" s="1111"/>
      <c r="L6365" s="1112"/>
      <c r="M6365" s="1113"/>
      <c r="N6365" s="110"/>
      <c r="O6365" s="1140"/>
      <c r="P6365" s="1115"/>
      <c r="Q6365" s="1116"/>
      <c r="R6365" s="1141"/>
      <c r="S6365" s="1113"/>
      <c r="T6365" s="1143"/>
      <c r="U6365" s="1108"/>
      <c r="V6365" s="1108"/>
      <c r="W6365" s="1108"/>
      <c r="X6365" s="1108"/>
      <c r="Y6365" s="1108"/>
      <c r="Z6365" s="1114"/>
      <c r="AA6365" s="1114"/>
      <c r="AB6365" s="1114"/>
      <c r="AC6365" s="1117"/>
      <c r="AD6365" s="1115"/>
      <c r="AE6365" s="1115"/>
      <c r="AF6365" s="1115"/>
      <c r="AG6365" s="1115"/>
      <c r="AH6365" s="1115"/>
      <c r="AI6365" s="1115"/>
      <c r="AJ6365" s="1117"/>
      <c r="AK6365" s="1118"/>
      <c r="AL6365" s="1115"/>
      <c r="AM6365" s="1115"/>
      <c r="AN6365" s="1115"/>
      <c r="AO6365" s="1115"/>
      <c r="AP6365" s="1115"/>
      <c r="AQ6365" s="1115"/>
      <c r="AR6365" s="1115"/>
      <c r="AS6365" s="1117"/>
      <c r="AT6365" s="1075"/>
      <c r="AU6365" s="1193"/>
      <c r="AV6365" s="330"/>
      <c r="AW6365" s="331"/>
      <c r="AX6365" s="331"/>
      <c r="AY6365" s="331"/>
      <c r="AZ6365" s="331"/>
      <c r="BA6365" s="331"/>
      <c r="BB6365" s="331"/>
      <c r="BC6365" s="331"/>
      <c r="BD6365" s="331"/>
      <c r="BE6365" s="333"/>
      <c r="BF6365" s="330"/>
      <c r="BG6365" s="333"/>
      <c r="BH6365" s="1119"/>
      <c r="BI6365" s="319"/>
      <c r="BJ6365" s="319"/>
      <c r="BK6365" s="319"/>
      <c r="BL6365" s="319"/>
      <c r="BM6365" s="319"/>
      <c r="BN6365" s="319"/>
      <c r="BO6365" s="319"/>
      <c r="BP6365" s="953"/>
      <c r="BQ6365" s="319"/>
      <c r="BR6365" s="319"/>
      <c r="BS6365" s="330"/>
      <c r="BT6365" s="331"/>
      <c r="BU6365" s="920"/>
      <c r="BV6365" s="903"/>
      <c r="BW6365" s="908"/>
      <c r="BX6365" s="908"/>
      <c r="BY6365" s="331"/>
      <c r="BZ6365" s="331"/>
      <c r="CA6365" s="462"/>
      <c r="CB6365" s="319"/>
      <c r="CC6365" s="319"/>
      <c r="CD6365" s="319"/>
      <c r="CE6365" s="319"/>
      <c r="CF6365" s="319"/>
      <c r="CG6365" s="319"/>
      <c r="CH6365" s="318"/>
      <c r="CI6365" s="319"/>
      <c r="CJ6365" s="319"/>
      <c r="CK6365" s="342"/>
      <c r="CL6365" s="333"/>
      <c r="CM6365" s="1079"/>
      <c r="CN6365" s="1005"/>
      <c r="CO6365" s="1005"/>
      <c r="CP6365" s="1005"/>
    </row>
    <row r="6366">
      <c r="A6366" s="1257"/>
      <c r="B6366" s="1113"/>
      <c r="C6366" s="1107"/>
      <c r="D6366" s="103"/>
      <c r="E6366" s="1137"/>
      <c r="F6366" s="112"/>
      <c r="G6366" s="1110"/>
      <c r="H6366" s="1138"/>
      <c r="I6366" s="1138"/>
      <c r="J6366" s="1139"/>
      <c r="K6366" s="1111"/>
      <c r="L6366" s="1112"/>
      <c r="M6366" s="1113"/>
      <c r="N6366" s="110"/>
      <c r="O6366" s="1140"/>
      <c r="P6366" s="1115"/>
      <c r="Q6366" s="1116"/>
      <c r="R6366" s="1141"/>
      <c r="S6366" s="1113"/>
      <c r="T6366" s="1143"/>
      <c r="U6366" s="1108"/>
      <c r="V6366" s="1108"/>
      <c r="W6366" s="1108"/>
      <c r="X6366" s="1108"/>
      <c r="Y6366" s="1108"/>
      <c r="Z6366" s="1114"/>
      <c r="AA6366" s="1114"/>
      <c r="AB6366" s="1114"/>
      <c r="AC6366" s="1117"/>
      <c r="AD6366" s="1115"/>
      <c r="AE6366" s="1115"/>
      <c r="AF6366" s="1115"/>
      <c r="AG6366" s="1115"/>
      <c r="AH6366" s="1115"/>
      <c r="AI6366" s="1115"/>
      <c r="AJ6366" s="1117"/>
      <c r="AK6366" s="1118"/>
      <c r="AL6366" s="1115"/>
      <c r="AM6366" s="1115"/>
      <c r="AN6366" s="1115"/>
      <c r="AO6366" s="1115"/>
      <c r="AP6366" s="1115"/>
      <c r="AQ6366" s="1115"/>
      <c r="AR6366" s="1115"/>
      <c r="AS6366" s="1117"/>
      <c r="AT6366" s="1075"/>
      <c r="AU6366" s="1193"/>
      <c r="AV6366" s="330"/>
      <c r="AW6366" s="331"/>
      <c r="AX6366" s="331"/>
      <c r="AY6366" s="331"/>
      <c r="AZ6366" s="331"/>
      <c r="BA6366" s="331"/>
      <c r="BB6366" s="331"/>
      <c r="BC6366" s="331"/>
      <c r="BD6366" s="331"/>
      <c r="BE6366" s="333"/>
      <c r="BF6366" s="330"/>
      <c r="BG6366" s="333"/>
      <c r="BH6366" s="1119"/>
      <c r="BI6366" s="319"/>
      <c r="BJ6366" s="319"/>
      <c r="BK6366" s="319"/>
      <c r="BL6366" s="319"/>
      <c r="BM6366" s="319"/>
      <c r="BN6366" s="319"/>
      <c r="BO6366" s="319"/>
      <c r="BP6366" s="953"/>
      <c r="BQ6366" s="319"/>
      <c r="BR6366" s="319"/>
      <c r="BS6366" s="330"/>
      <c r="BT6366" s="331"/>
      <c r="BU6366" s="920"/>
      <c r="BV6366" s="903"/>
      <c r="BW6366" s="908"/>
      <c r="BX6366" s="908"/>
      <c r="BY6366" s="331"/>
      <c r="BZ6366" s="331"/>
      <c r="CA6366" s="462"/>
      <c r="CB6366" s="319"/>
      <c r="CC6366" s="319"/>
      <c r="CD6366" s="319"/>
      <c r="CE6366" s="319"/>
      <c r="CF6366" s="319"/>
      <c r="CG6366" s="319"/>
      <c r="CH6366" s="318"/>
      <c r="CI6366" s="319"/>
      <c r="CJ6366" s="319"/>
      <c r="CK6366" s="342"/>
      <c r="CL6366" s="333"/>
      <c r="CM6366" s="1079"/>
      <c r="CN6366" s="1005"/>
      <c r="CO6366" s="1005"/>
      <c r="CP6366" s="1005"/>
    </row>
    <row r="6367">
      <c r="A6367" s="1257"/>
      <c r="B6367" s="1113"/>
      <c r="C6367" s="1107"/>
      <c r="D6367" s="103"/>
      <c r="E6367" s="1137"/>
      <c r="F6367" s="112"/>
      <c r="G6367" s="1110"/>
      <c r="H6367" s="1138"/>
      <c r="I6367" s="1138"/>
      <c r="J6367" s="1139"/>
      <c r="K6367" s="1111"/>
      <c r="L6367" s="1112"/>
      <c r="M6367" s="1113"/>
      <c r="N6367" s="110"/>
      <c r="O6367" s="1140"/>
      <c r="P6367" s="1115"/>
      <c r="Q6367" s="1116"/>
      <c r="R6367" s="1141"/>
      <c r="S6367" s="1113"/>
      <c r="T6367" s="1143"/>
      <c r="U6367" s="1108"/>
      <c r="V6367" s="1108"/>
      <c r="W6367" s="1108"/>
      <c r="X6367" s="1108"/>
      <c r="Y6367" s="1108"/>
      <c r="Z6367" s="1114"/>
      <c r="AA6367" s="1114"/>
      <c r="AB6367" s="1114"/>
      <c r="AC6367" s="1117"/>
      <c r="AD6367" s="1115"/>
      <c r="AE6367" s="1115"/>
      <c r="AF6367" s="1115"/>
      <c r="AG6367" s="1115"/>
      <c r="AH6367" s="1115"/>
      <c r="AI6367" s="1115"/>
      <c r="AJ6367" s="1117"/>
      <c r="AK6367" s="1118"/>
      <c r="AL6367" s="1115"/>
      <c r="AM6367" s="1115"/>
      <c r="AN6367" s="1115"/>
      <c r="AO6367" s="1115"/>
      <c r="AP6367" s="1115"/>
      <c r="AQ6367" s="1115"/>
      <c r="AR6367" s="1115"/>
      <c r="AS6367" s="1117"/>
      <c r="AT6367" s="1075"/>
      <c r="AU6367" s="1193"/>
      <c r="AV6367" s="330"/>
      <c r="AW6367" s="331"/>
      <c r="AX6367" s="331"/>
      <c r="AY6367" s="331"/>
      <c r="AZ6367" s="331"/>
      <c r="BA6367" s="331"/>
      <c r="BB6367" s="331"/>
      <c r="BC6367" s="331"/>
      <c r="BD6367" s="331"/>
      <c r="BE6367" s="333"/>
      <c r="BF6367" s="330"/>
      <c r="BG6367" s="333"/>
      <c r="BH6367" s="1119"/>
      <c r="BI6367" s="319"/>
      <c r="BJ6367" s="319"/>
      <c r="BK6367" s="319"/>
      <c r="BL6367" s="319"/>
      <c r="BM6367" s="319"/>
      <c r="BN6367" s="319"/>
      <c r="BO6367" s="319"/>
      <c r="BP6367" s="953"/>
      <c r="BQ6367" s="319"/>
      <c r="BR6367" s="319"/>
      <c r="BS6367" s="330"/>
      <c r="BT6367" s="331"/>
      <c r="BU6367" s="920"/>
      <c r="BV6367" s="903"/>
      <c r="BW6367" s="908"/>
      <c r="BX6367" s="908"/>
      <c r="BY6367" s="331"/>
      <c r="BZ6367" s="331"/>
      <c r="CA6367" s="462"/>
      <c r="CB6367" s="319"/>
      <c r="CC6367" s="319"/>
      <c r="CD6367" s="319"/>
      <c r="CE6367" s="319"/>
      <c r="CF6367" s="319"/>
      <c r="CG6367" s="319"/>
      <c r="CH6367" s="318"/>
      <c r="CI6367" s="319"/>
      <c r="CJ6367" s="319"/>
      <c r="CK6367" s="342"/>
      <c r="CL6367" s="333"/>
      <c r="CM6367" s="1079"/>
      <c r="CN6367" s="1005"/>
      <c r="CO6367" s="1005"/>
      <c r="CP6367" s="1005"/>
    </row>
    <row r="6368">
      <c r="A6368" s="1257"/>
      <c r="B6368" s="1113"/>
      <c r="C6368" s="1107"/>
      <c r="D6368" s="103"/>
      <c r="E6368" s="1137"/>
      <c r="F6368" s="112"/>
      <c r="G6368" s="1110"/>
      <c r="H6368" s="1138"/>
      <c r="I6368" s="1138"/>
      <c r="J6368" s="1139"/>
      <c r="K6368" s="1111"/>
      <c r="L6368" s="1112"/>
      <c r="M6368" s="1113"/>
      <c r="N6368" s="110"/>
      <c r="O6368" s="1140"/>
      <c r="P6368" s="1115"/>
      <c r="Q6368" s="1116"/>
      <c r="R6368" s="1141"/>
      <c r="S6368" s="1113"/>
      <c r="T6368" s="1143"/>
      <c r="U6368" s="1108"/>
      <c r="V6368" s="1108"/>
      <c r="W6368" s="1108"/>
      <c r="X6368" s="1108"/>
      <c r="Y6368" s="1108"/>
      <c r="Z6368" s="1114"/>
      <c r="AA6368" s="1114"/>
      <c r="AB6368" s="1114"/>
      <c r="AC6368" s="1117"/>
      <c r="AD6368" s="1115"/>
      <c r="AE6368" s="1115"/>
      <c r="AF6368" s="1115"/>
      <c r="AG6368" s="1115"/>
      <c r="AH6368" s="1115"/>
      <c r="AI6368" s="1115"/>
      <c r="AJ6368" s="1117"/>
      <c r="AK6368" s="1118"/>
      <c r="AL6368" s="1115"/>
      <c r="AM6368" s="1115"/>
      <c r="AN6368" s="1115"/>
      <c r="AO6368" s="1115"/>
      <c r="AP6368" s="1115"/>
      <c r="AQ6368" s="1115"/>
      <c r="AR6368" s="1115"/>
      <c r="AS6368" s="1117"/>
      <c r="AT6368" s="1075"/>
      <c r="AU6368" s="1193"/>
      <c r="AV6368" s="330"/>
      <c r="AW6368" s="331"/>
      <c r="AX6368" s="331"/>
      <c r="AY6368" s="331"/>
      <c r="AZ6368" s="331"/>
      <c r="BA6368" s="331"/>
      <c r="BB6368" s="331"/>
      <c r="BC6368" s="331"/>
      <c r="BD6368" s="331"/>
      <c r="BE6368" s="333"/>
      <c r="BF6368" s="330"/>
      <c r="BG6368" s="333"/>
      <c r="BH6368" s="1119"/>
      <c r="BI6368" s="319"/>
      <c r="BJ6368" s="319"/>
      <c r="BK6368" s="319"/>
      <c r="BL6368" s="319"/>
      <c r="BM6368" s="319"/>
      <c r="BN6368" s="319"/>
      <c r="BO6368" s="319"/>
      <c r="BP6368" s="953"/>
      <c r="BQ6368" s="319"/>
      <c r="BR6368" s="319"/>
      <c r="BS6368" s="330"/>
      <c r="BT6368" s="331"/>
      <c r="BU6368" s="920"/>
      <c r="BV6368" s="903"/>
      <c r="BW6368" s="908"/>
      <c r="BX6368" s="908"/>
      <c r="BY6368" s="331"/>
      <c r="BZ6368" s="331"/>
      <c r="CA6368" s="462"/>
      <c r="CB6368" s="319"/>
      <c r="CC6368" s="319"/>
      <c r="CD6368" s="319"/>
      <c r="CE6368" s="319"/>
      <c r="CF6368" s="319"/>
      <c r="CG6368" s="319"/>
      <c r="CH6368" s="318"/>
      <c r="CI6368" s="319"/>
      <c r="CJ6368" s="319"/>
      <c r="CK6368" s="342"/>
      <c r="CL6368" s="333"/>
      <c r="CM6368" s="1079"/>
      <c r="CN6368" s="1005"/>
      <c r="CO6368" s="1005"/>
      <c r="CP6368" s="1005"/>
    </row>
    <row r="6369">
      <c r="A6369" s="1257"/>
      <c r="B6369" s="1113"/>
      <c r="C6369" s="1107"/>
      <c r="D6369" s="103"/>
      <c r="E6369" s="1137"/>
      <c r="F6369" s="112"/>
      <c r="G6369" s="1110"/>
      <c r="H6369" s="1138"/>
      <c r="I6369" s="1138"/>
      <c r="J6369" s="1139"/>
      <c r="K6369" s="1111"/>
      <c r="L6369" s="1112"/>
      <c r="M6369" s="1113"/>
      <c r="N6369" s="110"/>
      <c r="O6369" s="1140"/>
      <c r="P6369" s="1115"/>
      <c r="Q6369" s="1116"/>
      <c r="R6369" s="1141"/>
      <c r="S6369" s="1113"/>
      <c r="T6369" s="1143"/>
      <c r="U6369" s="1108"/>
      <c r="V6369" s="1108"/>
      <c r="W6369" s="1108"/>
      <c r="X6369" s="1108"/>
      <c r="Y6369" s="1108"/>
      <c r="Z6369" s="1114"/>
      <c r="AA6369" s="1114"/>
      <c r="AB6369" s="1114"/>
      <c r="AC6369" s="1117"/>
      <c r="AD6369" s="1115"/>
      <c r="AE6369" s="1115"/>
      <c r="AF6369" s="1115"/>
      <c r="AG6369" s="1115"/>
      <c r="AH6369" s="1115"/>
      <c r="AI6369" s="1115"/>
      <c r="AJ6369" s="1117"/>
      <c r="AK6369" s="1118"/>
      <c r="AL6369" s="1115"/>
      <c r="AM6369" s="1115"/>
      <c r="AN6369" s="1115"/>
      <c r="AO6369" s="1115"/>
      <c r="AP6369" s="1115"/>
      <c r="AQ6369" s="1115"/>
      <c r="AR6369" s="1115"/>
      <c r="AS6369" s="1117"/>
      <c r="AT6369" s="1075"/>
      <c r="AU6369" s="1193"/>
      <c r="AV6369" s="330"/>
      <c r="AW6369" s="331"/>
      <c r="AX6369" s="331"/>
      <c r="AY6369" s="331"/>
      <c r="AZ6369" s="331"/>
      <c r="BA6369" s="331"/>
      <c r="BB6369" s="331"/>
      <c r="BC6369" s="331"/>
      <c r="BD6369" s="331"/>
      <c r="BE6369" s="333"/>
      <c r="BF6369" s="330"/>
      <c r="BG6369" s="333"/>
      <c r="BH6369" s="1119"/>
      <c r="BI6369" s="319"/>
      <c r="BJ6369" s="319"/>
      <c r="BK6369" s="319"/>
      <c r="BL6369" s="319"/>
      <c r="BM6369" s="319"/>
      <c r="BN6369" s="319"/>
      <c r="BO6369" s="319"/>
      <c r="BP6369" s="953"/>
      <c r="BQ6369" s="319"/>
      <c r="BR6369" s="319"/>
      <c r="BS6369" s="330"/>
      <c r="BT6369" s="331"/>
      <c r="BU6369" s="920"/>
      <c r="BV6369" s="903"/>
      <c r="BW6369" s="908"/>
      <c r="BX6369" s="908"/>
      <c r="BY6369" s="331"/>
      <c r="BZ6369" s="331"/>
      <c r="CA6369" s="462"/>
      <c r="CB6369" s="319"/>
      <c r="CC6369" s="319"/>
      <c r="CD6369" s="319"/>
      <c r="CE6369" s="319"/>
      <c r="CF6369" s="319"/>
      <c r="CG6369" s="319"/>
      <c r="CH6369" s="318"/>
      <c r="CI6369" s="319"/>
      <c r="CJ6369" s="319"/>
      <c r="CK6369" s="342"/>
      <c r="CL6369" s="333"/>
      <c r="CM6369" s="1079"/>
      <c r="CN6369" s="1005"/>
      <c r="CO6369" s="1005"/>
      <c r="CP6369" s="1005"/>
    </row>
    <row r="6370">
      <c r="A6370" s="1257"/>
      <c r="B6370" s="1113"/>
      <c r="C6370" s="1107"/>
      <c r="D6370" s="103"/>
      <c r="E6370" s="1137"/>
      <c r="F6370" s="112"/>
      <c r="G6370" s="1110"/>
      <c r="H6370" s="1138"/>
      <c r="I6370" s="1138"/>
      <c r="J6370" s="1139"/>
      <c r="K6370" s="1111"/>
      <c r="L6370" s="1112"/>
      <c r="M6370" s="1113"/>
      <c r="N6370" s="110"/>
      <c r="O6370" s="1140"/>
      <c r="P6370" s="1115"/>
      <c r="Q6370" s="1116"/>
      <c r="R6370" s="1141"/>
      <c r="S6370" s="1113"/>
      <c r="T6370" s="1143"/>
      <c r="U6370" s="1108"/>
      <c r="V6370" s="1108"/>
      <c r="W6370" s="1108"/>
      <c r="X6370" s="1108"/>
      <c r="Y6370" s="1108"/>
      <c r="Z6370" s="1114"/>
      <c r="AA6370" s="1114"/>
      <c r="AB6370" s="1114"/>
      <c r="AC6370" s="1117"/>
      <c r="AD6370" s="1115"/>
      <c r="AE6370" s="1115"/>
      <c r="AF6370" s="1115"/>
      <c r="AG6370" s="1115"/>
      <c r="AH6370" s="1115"/>
      <c r="AI6370" s="1115"/>
      <c r="AJ6370" s="1117"/>
      <c r="AK6370" s="1118"/>
      <c r="AL6370" s="1115"/>
      <c r="AM6370" s="1115"/>
      <c r="AN6370" s="1115"/>
      <c r="AO6370" s="1115"/>
      <c r="AP6370" s="1115"/>
      <c r="AQ6370" s="1115"/>
      <c r="AR6370" s="1115"/>
      <c r="AS6370" s="1117"/>
      <c r="AT6370" s="1075"/>
      <c r="AU6370" s="1193"/>
      <c r="AV6370" s="330"/>
      <c r="AW6370" s="331"/>
      <c r="AX6370" s="331"/>
      <c r="AY6370" s="331"/>
      <c r="AZ6370" s="331"/>
      <c r="BA6370" s="331"/>
      <c r="BB6370" s="331"/>
      <c r="BC6370" s="331"/>
      <c r="BD6370" s="331"/>
      <c r="BE6370" s="333"/>
      <c r="BF6370" s="330"/>
      <c r="BG6370" s="333"/>
      <c r="BH6370" s="1119"/>
      <c r="BI6370" s="319"/>
      <c r="BJ6370" s="319"/>
      <c r="BK6370" s="319"/>
      <c r="BL6370" s="319"/>
      <c r="BM6370" s="319"/>
      <c r="BN6370" s="319"/>
      <c r="BO6370" s="319"/>
      <c r="BP6370" s="953"/>
      <c r="BQ6370" s="319"/>
      <c r="BR6370" s="319"/>
      <c r="BS6370" s="330"/>
      <c r="BT6370" s="331"/>
      <c r="BU6370" s="920"/>
      <c r="BV6370" s="903"/>
      <c r="BW6370" s="908"/>
      <c r="BX6370" s="908"/>
      <c r="BY6370" s="331"/>
      <c r="BZ6370" s="331"/>
      <c r="CA6370" s="462"/>
      <c r="CB6370" s="319"/>
      <c r="CC6370" s="319"/>
      <c r="CD6370" s="319"/>
      <c r="CE6370" s="319"/>
      <c r="CF6370" s="319"/>
      <c r="CG6370" s="319"/>
      <c r="CH6370" s="318"/>
      <c r="CI6370" s="319"/>
      <c r="CJ6370" s="319"/>
      <c r="CK6370" s="342"/>
      <c r="CL6370" s="333"/>
      <c r="CM6370" s="1079"/>
      <c r="CN6370" s="1005"/>
      <c r="CO6370" s="1005"/>
      <c r="CP6370" s="1005"/>
    </row>
    <row r="6371">
      <c r="A6371" s="1257"/>
      <c r="B6371" s="1113"/>
      <c r="C6371" s="1107"/>
      <c r="D6371" s="103"/>
      <c r="E6371" s="1137"/>
      <c r="F6371" s="112"/>
      <c r="G6371" s="1110"/>
      <c r="H6371" s="1138"/>
      <c r="I6371" s="1138"/>
      <c r="J6371" s="1139"/>
      <c r="K6371" s="1111"/>
      <c r="L6371" s="1112"/>
      <c r="M6371" s="1113"/>
      <c r="N6371" s="110"/>
      <c r="O6371" s="1140"/>
      <c r="P6371" s="1115"/>
      <c r="Q6371" s="1116"/>
      <c r="R6371" s="1141"/>
      <c r="S6371" s="1113"/>
      <c r="T6371" s="1143"/>
      <c r="U6371" s="1108"/>
      <c r="V6371" s="1108"/>
      <c r="W6371" s="1108"/>
      <c r="X6371" s="1108"/>
      <c r="Y6371" s="1108"/>
      <c r="Z6371" s="1114"/>
      <c r="AA6371" s="1114"/>
      <c r="AB6371" s="1114"/>
      <c r="AC6371" s="1117"/>
      <c r="AD6371" s="1115"/>
      <c r="AE6371" s="1115"/>
      <c r="AF6371" s="1115"/>
      <c r="AG6371" s="1115"/>
      <c r="AH6371" s="1115"/>
      <c r="AI6371" s="1115"/>
      <c r="AJ6371" s="1117"/>
      <c r="AK6371" s="1118"/>
      <c r="AL6371" s="1115"/>
      <c r="AM6371" s="1115"/>
      <c r="AN6371" s="1115"/>
      <c r="AO6371" s="1115"/>
      <c r="AP6371" s="1115"/>
      <c r="AQ6371" s="1115"/>
      <c r="AR6371" s="1115"/>
      <c r="AS6371" s="1117"/>
      <c r="AT6371" s="1075"/>
      <c r="AU6371" s="1193"/>
      <c r="AV6371" s="330"/>
      <c r="AW6371" s="331"/>
      <c r="AX6371" s="331"/>
      <c r="AY6371" s="331"/>
      <c r="AZ6371" s="331"/>
      <c r="BA6371" s="331"/>
      <c r="BB6371" s="331"/>
      <c r="BC6371" s="331"/>
      <c r="BD6371" s="331"/>
      <c r="BE6371" s="333"/>
      <c r="BF6371" s="330"/>
      <c r="BG6371" s="333"/>
      <c r="BH6371" s="1119"/>
      <c r="BI6371" s="319"/>
      <c r="BJ6371" s="319"/>
      <c r="BK6371" s="319"/>
      <c r="BL6371" s="319"/>
      <c r="BM6371" s="319"/>
      <c r="BN6371" s="319"/>
      <c r="BO6371" s="319"/>
      <c r="BP6371" s="953"/>
      <c r="BQ6371" s="319"/>
      <c r="BR6371" s="319"/>
      <c r="BS6371" s="330"/>
      <c r="BT6371" s="331"/>
      <c r="BU6371" s="920"/>
      <c r="BV6371" s="903"/>
      <c r="BW6371" s="908"/>
      <c r="BX6371" s="908"/>
      <c r="BY6371" s="331"/>
      <c r="BZ6371" s="331"/>
      <c r="CA6371" s="462"/>
      <c r="CB6371" s="319"/>
      <c r="CC6371" s="319"/>
      <c r="CD6371" s="319"/>
      <c r="CE6371" s="319"/>
      <c r="CF6371" s="319"/>
      <c r="CG6371" s="319"/>
      <c r="CH6371" s="318"/>
      <c r="CI6371" s="319"/>
      <c r="CJ6371" s="319"/>
      <c r="CK6371" s="342"/>
      <c r="CL6371" s="333"/>
      <c r="CM6371" s="1079"/>
      <c r="CN6371" s="1005"/>
      <c r="CO6371" s="1005"/>
      <c r="CP6371" s="1005"/>
    </row>
    <row r="6372">
      <c r="A6372" s="1257"/>
      <c r="B6372" s="1113"/>
      <c r="C6372" s="1107"/>
      <c r="D6372" s="103"/>
      <c r="E6372" s="1137"/>
      <c r="F6372" s="112"/>
      <c r="G6372" s="1110"/>
      <c r="H6372" s="1138"/>
      <c r="I6372" s="1138"/>
      <c r="J6372" s="1139"/>
      <c r="K6372" s="1111"/>
      <c r="L6372" s="1112"/>
      <c r="M6372" s="1113"/>
      <c r="N6372" s="110"/>
      <c r="O6372" s="1140"/>
      <c r="P6372" s="1115"/>
      <c r="Q6372" s="1116"/>
      <c r="R6372" s="1141"/>
      <c r="S6372" s="1113"/>
      <c r="T6372" s="1143"/>
      <c r="U6372" s="1108"/>
      <c r="V6372" s="1108"/>
      <c r="W6372" s="1108"/>
      <c r="X6372" s="1108"/>
      <c r="Y6372" s="1108"/>
      <c r="Z6372" s="1114"/>
      <c r="AA6372" s="1114"/>
      <c r="AB6372" s="1114"/>
      <c r="AC6372" s="1117"/>
      <c r="AD6372" s="1115"/>
      <c r="AE6372" s="1115"/>
      <c r="AF6372" s="1115"/>
      <c r="AG6372" s="1115"/>
      <c r="AH6372" s="1115"/>
      <c r="AI6372" s="1115"/>
      <c r="AJ6372" s="1117"/>
      <c r="AK6372" s="1118"/>
      <c r="AL6372" s="1115"/>
      <c r="AM6372" s="1115"/>
      <c r="AN6372" s="1115"/>
      <c r="AO6372" s="1115"/>
      <c r="AP6372" s="1115"/>
      <c r="AQ6372" s="1115"/>
      <c r="AR6372" s="1115"/>
      <c r="AS6372" s="1117"/>
      <c r="AT6372" s="1075"/>
      <c r="AU6372" s="1193"/>
      <c r="AV6372" s="330"/>
      <c r="AW6372" s="331"/>
      <c r="AX6372" s="331"/>
      <c r="AY6372" s="331"/>
      <c r="AZ6372" s="331"/>
      <c r="BA6372" s="331"/>
      <c r="BB6372" s="331"/>
      <c r="BC6372" s="331"/>
      <c r="BD6372" s="331"/>
      <c r="BE6372" s="333"/>
      <c r="BF6372" s="330"/>
      <c r="BG6372" s="333"/>
      <c r="BH6372" s="1119"/>
      <c r="BI6372" s="319"/>
      <c r="BJ6372" s="319"/>
      <c r="BK6372" s="319"/>
      <c r="BL6372" s="319"/>
      <c r="BM6372" s="319"/>
      <c r="BN6372" s="319"/>
      <c r="BO6372" s="319"/>
      <c r="BP6372" s="953"/>
      <c r="BQ6372" s="319"/>
      <c r="BR6372" s="319"/>
      <c r="BS6372" s="330"/>
      <c r="BT6372" s="331"/>
      <c r="BU6372" s="920"/>
      <c r="BV6372" s="903"/>
      <c r="BW6372" s="908"/>
      <c r="BX6372" s="908"/>
      <c r="BY6372" s="331"/>
      <c r="BZ6372" s="331"/>
      <c r="CA6372" s="462"/>
      <c r="CB6372" s="319"/>
      <c r="CC6372" s="319"/>
      <c r="CD6372" s="319"/>
      <c r="CE6372" s="319"/>
      <c r="CF6372" s="319"/>
      <c r="CG6372" s="319"/>
      <c r="CH6372" s="318"/>
      <c r="CI6372" s="319"/>
      <c r="CJ6372" s="319"/>
      <c r="CK6372" s="342"/>
      <c r="CL6372" s="333"/>
      <c r="CM6372" s="1079"/>
      <c r="CN6372" s="1005"/>
      <c r="CO6372" s="1005"/>
      <c r="CP6372" s="1005"/>
    </row>
    <row r="6373">
      <c r="A6373" s="1257"/>
      <c r="B6373" s="1113"/>
      <c r="C6373" s="1107"/>
      <c r="D6373" s="103"/>
      <c r="E6373" s="1137"/>
      <c r="F6373" s="112"/>
      <c r="G6373" s="1110"/>
      <c r="H6373" s="1138"/>
      <c r="I6373" s="1138"/>
      <c r="J6373" s="1139"/>
      <c r="K6373" s="1111"/>
      <c r="L6373" s="1112"/>
      <c r="M6373" s="1113"/>
      <c r="N6373" s="110"/>
      <c r="O6373" s="1140"/>
      <c r="P6373" s="1115"/>
      <c r="Q6373" s="1116"/>
      <c r="R6373" s="1141"/>
      <c r="S6373" s="1113"/>
      <c r="T6373" s="1143"/>
      <c r="U6373" s="1108"/>
      <c r="V6373" s="1108"/>
      <c r="W6373" s="1108"/>
      <c r="X6373" s="1108"/>
      <c r="Y6373" s="1108"/>
      <c r="Z6373" s="1114"/>
      <c r="AA6373" s="1114"/>
      <c r="AB6373" s="1114"/>
      <c r="AC6373" s="1117"/>
      <c r="AD6373" s="1115"/>
      <c r="AE6373" s="1115"/>
      <c r="AF6373" s="1115"/>
      <c r="AG6373" s="1115"/>
      <c r="AH6373" s="1115"/>
      <c r="AI6373" s="1115"/>
      <c r="AJ6373" s="1117"/>
      <c r="AK6373" s="1118"/>
      <c r="AL6373" s="1115"/>
      <c r="AM6373" s="1115"/>
      <c r="AN6373" s="1115"/>
      <c r="AO6373" s="1115"/>
      <c r="AP6373" s="1115"/>
      <c r="AQ6373" s="1115"/>
      <c r="AR6373" s="1115"/>
      <c r="AS6373" s="1117"/>
      <c r="AT6373" s="1075"/>
      <c r="AU6373" s="1193"/>
      <c r="AV6373" s="330"/>
      <c r="AW6373" s="331"/>
      <c r="AX6373" s="331"/>
      <c r="AY6373" s="331"/>
      <c r="AZ6373" s="331"/>
      <c r="BA6373" s="331"/>
      <c r="BB6373" s="331"/>
      <c r="BC6373" s="331"/>
      <c r="BD6373" s="331"/>
      <c r="BE6373" s="333"/>
      <c r="BF6373" s="330"/>
      <c r="BG6373" s="333"/>
      <c r="BH6373" s="1119"/>
      <c r="BI6373" s="319"/>
      <c r="BJ6373" s="319"/>
      <c r="BK6373" s="319"/>
      <c r="BL6373" s="319"/>
      <c r="BM6373" s="319"/>
      <c r="BN6373" s="319"/>
      <c r="BO6373" s="319"/>
      <c r="BP6373" s="953"/>
      <c r="BQ6373" s="319"/>
      <c r="BR6373" s="319"/>
      <c r="BS6373" s="330"/>
      <c r="BT6373" s="331"/>
      <c r="BU6373" s="920"/>
      <c r="BV6373" s="903"/>
      <c r="BW6373" s="908"/>
      <c r="BX6373" s="908"/>
      <c r="BY6373" s="331"/>
      <c r="BZ6373" s="331"/>
      <c r="CA6373" s="462"/>
      <c r="CB6373" s="319"/>
      <c r="CC6373" s="319"/>
      <c r="CD6373" s="319"/>
      <c r="CE6373" s="319"/>
      <c r="CF6373" s="319"/>
      <c r="CG6373" s="319"/>
      <c r="CH6373" s="318"/>
      <c r="CI6373" s="319"/>
      <c r="CJ6373" s="319"/>
      <c r="CK6373" s="342"/>
      <c r="CL6373" s="333"/>
      <c r="CM6373" s="1079"/>
      <c r="CN6373" s="1005"/>
      <c r="CO6373" s="1005"/>
      <c r="CP6373" s="1005"/>
    </row>
    <row r="6374">
      <c r="A6374" s="1257"/>
      <c r="B6374" s="1113"/>
      <c r="C6374" s="1107"/>
      <c r="D6374" s="103"/>
      <c r="E6374" s="1137"/>
      <c r="F6374" s="112"/>
      <c r="G6374" s="1110"/>
      <c r="H6374" s="1138"/>
      <c r="I6374" s="1138"/>
      <c r="J6374" s="1139"/>
      <c r="K6374" s="1111"/>
      <c r="L6374" s="1112"/>
      <c r="M6374" s="1113"/>
      <c r="N6374" s="110"/>
      <c r="O6374" s="1140"/>
      <c r="P6374" s="1115"/>
      <c r="Q6374" s="1116"/>
      <c r="R6374" s="1141"/>
      <c r="S6374" s="1113"/>
      <c r="T6374" s="1143"/>
      <c r="U6374" s="1108"/>
      <c r="V6374" s="1108"/>
      <c r="W6374" s="1108"/>
      <c r="X6374" s="1108"/>
      <c r="Y6374" s="1108"/>
      <c r="Z6374" s="1114"/>
      <c r="AA6374" s="1114"/>
      <c r="AB6374" s="1114"/>
      <c r="AC6374" s="1117"/>
      <c r="AD6374" s="1115"/>
      <c r="AE6374" s="1115"/>
      <c r="AF6374" s="1115"/>
      <c r="AG6374" s="1115"/>
      <c r="AH6374" s="1115"/>
      <c r="AI6374" s="1115"/>
      <c r="AJ6374" s="1117"/>
      <c r="AK6374" s="1118"/>
      <c r="AL6374" s="1115"/>
      <c r="AM6374" s="1115"/>
      <c r="AN6374" s="1115"/>
      <c r="AO6374" s="1115"/>
      <c r="AP6374" s="1115"/>
      <c r="AQ6374" s="1115"/>
      <c r="AR6374" s="1115"/>
      <c r="AS6374" s="1117"/>
      <c r="AT6374" s="1075"/>
      <c r="AU6374" s="1193"/>
      <c r="AV6374" s="330"/>
      <c r="AW6374" s="331"/>
      <c r="AX6374" s="331"/>
      <c r="AY6374" s="331"/>
      <c r="AZ6374" s="331"/>
      <c r="BA6374" s="331"/>
      <c r="BB6374" s="331"/>
      <c r="BC6374" s="331"/>
      <c r="BD6374" s="331"/>
      <c r="BE6374" s="333"/>
      <c r="BF6374" s="330"/>
      <c r="BG6374" s="333"/>
      <c r="BH6374" s="1119"/>
      <c r="BI6374" s="319"/>
      <c r="BJ6374" s="319"/>
      <c r="BK6374" s="319"/>
      <c r="BL6374" s="319"/>
      <c r="BM6374" s="319"/>
      <c r="BN6374" s="319"/>
      <c r="BO6374" s="319"/>
      <c r="BP6374" s="953"/>
      <c r="BQ6374" s="319"/>
      <c r="BR6374" s="319"/>
      <c r="BS6374" s="330"/>
      <c r="BT6374" s="331"/>
      <c r="BU6374" s="920"/>
      <c r="BV6374" s="903"/>
      <c r="BW6374" s="908"/>
      <c r="BX6374" s="908"/>
      <c r="BY6374" s="331"/>
      <c r="BZ6374" s="331"/>
      <c r="CA6374" s="462"/>
      <c r="CB6374" s="319"/>
      <c r="CC6374" s="319"/>
      <c r="CD6374" s="319"/>
      <c r="CE6374" s="319"/>
      <c r="CF6374" s="319"/>
      <c r="CG6374" s="319"/>
      <c r="CH6374" s="318"/>
      <c r="CI6374" s="319"/>
      <c r="CJ6374" s="319"/>
      <c r="CK6374" s="342"/>
      <c r="CL6374" s="333"/>
      <c r="CM6374" s="1079"/>
      <c r="CN6374" s="1005"/>
      <c r="CO6374" s="1005"/>
      <c r="CP6374" s="1005"/>
    </row>
    <row r="6375">
      <c r="A6375" s="1257"/>
      <c r="B6375" s="1113"/>
      <c r="C6375" s="1107"/>
      <c r="D6375" s="103"/>
      <c r="E6375" s="1137"/>
      <c r="F6375" s="112"/>
      <c r="G6375" s="1110"/>
      <c r="H6375" s="1138"/>
      <c r="I6375" s="1138"/>
      <c r="J6375" s="1139"/>
      <c r="K6375" s="1111"/>
      <c r="L6375" s="1112"/>
      <c r="M6375" s="1113"/>
      <c r="N6375" s="110"/>
      <c r="O6375" s="1140"/>
      <c r="P6375" s="1115"/>
      <c r="Q6375" s="1116"/>
      <c r="R6375" s="1141"/>
      <c r="S6375" s="1113"/>
      <c r="T6375" s="1143"/>
      <c r="U6375" s="1108"/>
      <c r="V6375" s="1108"/>
      <c r="W6375" s="1108"/>
      <c r="X6375" s="1108"/>
      <c r="Y6375" s="1108"/>
      <c r="Z6375" s="1114"/>
      <c r="AA6375" s="1114"/>
      <c r="AB6375" s="1114"/>
      <c r="AC6375" s="1117"/>
      <c r="AD6375" s="1115"/>
      <c r="AE6375" s="1115"/>
      <c r="AF6375" s="1115"/>
      <c r="AG6375" s="1115"/>
      <c r="AH6375" s="1115"/>
      <c r="AI6375" s="1115"/>
      <c r="AJ6375" s="1117"/>
      <c r="AK6375" s="1118"/>
      <c r="AL6375" s="1115"/>
      <c r="AM6375" s="1115"/>
      <c r="AN6375" s="1115"/>
      <c r="AO6375" s="1115"/>
      <c r="AP6375" s="1115"/>
      <c r="AQ6375" s="1115"/>
      <c r="AR6375" s="1115"/>
      <c r="AS6375" s="1117"/>
      <c r="AT6375" s="1075"/>
      <c r="AU6375" s="1193"/>
      <c r="AV6375" s="330"/>
      <c r="AW6375" s="331"/>
      <c r="AX6375" s="331"/>
      <c r="AY6375" s="331"/>
      <c r="AZ6375" s="331"/>
      <c r="BA6375" s="331"/>
      <c r="BB6375" s="331"/>
      <c r="BC6375" s="331"/>
      <c r="BD6375" s="331"/>
      <c r="BE6375" s="333"/>
      <c r="BF6375" s="330"/>
      <c r="BG6375" s="333"/>
      <c r="BH6375" s="1119"/>
      <c r="BI6375" s="319"/>
      <c r="BJ6375" s="319"/>
      <c r="BK6375" s="319"/>
      <c r="BL6375" s="319"/>
      <c r="BM6375" s="319"/>
      <c r="BN6375" s="319"/>
      <c r="BO6375" s="319"/>
      <c r="BP6375" s="953"/>
      <c r="BQ6375" s="319"/>
      <c r="BR6375" s="319"/>
      <c r="BS6375" s="330"/>
      <c r="BT6375" s="331"/>
      <c r="BU6375" s="920"/>
      <c r="BV6375" s="903"/>
      <c r="BW6375" s="908"/>
      <c r="BX6375" s="908"/>
      <c r="BY6375" s="331"/>
      <c r="BZ6375" s="331"/>
      <c r="CA6375" s="462"/>
      <c r="CB6375" s="319"/>
      <c r="CC6375" s="319"/>
      <c r="CD6375" s="319"/>
      <c r="CE6375" s="319"/>
      <c r="CF6375" s="319"/>
      <c r="CG6375" s="319"/>
      <c r="CH6375" s="318"/>
      <c r="CI6375" s="319"/>
      <c r="CJ6375" s="319"/>
      <c r="CK6375" s="342"/>
      <c r="CL6375" s="333"/>
      <c r="CM6375" s="1079"/>
      <c r="CN6375" s="1005"/>
      <c r="CO6375" s="1005"/>
      <c r="CP6375" s="1005"/>
    </row>
    <row r="6376">
      <c r="A6376" s="1257"/>
      <c r="B6376" s="1113"/>
      <c r="C6376" s="1107"/>
      <c r="D6376" s="103"/>
      <c r="E6376" s="1137"/>
      <c r="F6376" s="112"/>
      <c r="G6376" s="1110"/>
      <c r="H6376" s="1138"/>
      <c r="I6376" s="1138"/>
      <c r="J6376" s="1139"/>
      <c r="K6376" s="1111"/>
      <c r="L6376" s="1112"/>
      <c r="M6376" s="1113"/>
      <c r="N6376" s="110"/>
      <c r="O6376" s="1140"/>
      <c r="P6376" s="1115"/>
      <c r="Q6376" s="1116"/>
      <c r="R6376" s="1141"/>
      <c r="S6376" s="1113"/>
      <c r="T6376" s="1143"/>
      <c r="U6376" s="1108"/>
      <c r="V6376" s="1108"/>
      <c r="W6376" s="1108"/>
      <c r="X6376" s="1108"/>
      <c r="Y6376" s="1108"/>
      <c r="Z6376" s="1114"/>
      <c r="AA6376" s="1114"/>
      <c r="AB6376" s="1114"/>
      <c r="AC6376" s="1117"/>
      <c r="AD6376" s="1115"/>
      <c r="AE6376" s="1115"/>
      <c r="AF6376" s="1115"/>
      <c r="AG6376" s="1115"/>
      <c r="AH6376" s="1115"/>
      <c r="AI6376" s="1115"/>
      <c r="AJ6376" s="1117"/>
      <c r="AK6376" s="1118"/>
      <c r="AL6376" s="1115"/>
      <c r="AM6376" s="1115"/>
      <c r="AN6376" s="1115"/>
      <c r="AO6376" s="1115"/>
      <c r="AP6376" s="1115"/>
      <c r="AQ6376" s="1115"/>
      <c r="AR6376" s="1115"/>
      <c r="AS6376" s="1117"/>
      <c r="AT6376" s="1075"/>
      <c r="AU6376" s="1193"/>
      <c r="AV6376" s="330"/>
      <c r="AW6376" s="331"/>
      <c r="AX6376" s="331"/>
      <c r="AY6376" s="331"/>
      <c r="AZ6376" s="331"/>
      <c r="BA6376" s="331"/>
      <c r="BB6376" s="331"/>
      <c r="BC6376" s="331"/>
      <c r="BD6376" s="331"/>
      <c r="BE6376" s="333"/>
      <c r="BF6376" s="330"/>
      <c r="BG6376" s="333"/>
      <c r="BH6376" s="1119"/>
      <c r="BI6376" s="319"/>
      <c r="BJ6376" s="319"/>
      <c r="BK6376" s="319"/>
      <c r="BL6376" s="319"/>
      <c r="BM6376" s="319"/>
      <c r="BN6376" s="319"/>
      <c r="BO6376" s="319"/>
      <c r="BP6376" s="953"/>
      <c r="BQ6376" s="319"/>
      <c r="BR6376" s="319"/>
      <c r="BS6376" s="330"/>
      <c r="BT6376" s="331"/>
      <c r="BU6376" s="920"/>
      <c r="BV6376" s="903"/>
      <c r="BW6376" s="908"/>
      <c r="BX6376" s="908"/>
      <c r="BY6376" s="331"/>
      <c r="BZ6376" s="331"/>
      <c r="CA6376" s="462"/>
      <c r="CB6376" s="319"/>
      <c r="CC6376" s="319"/>
      <c r="CD6376" s="319"/>
      <c r="CE6376" s="319"/>
      <c r="CF6376" s="319"/>
      <c r="CG6376" s="319"/>
      <c r="CH6376" s="318"/>
      <c r="CI6376" s="319"/>
      <c r="CJ6376" s="319"/>
      <c r="CK6376" s="342"/>
      <c r="CL6376" s="333"/>
      <c r="CM6376" s="1079"/>
      <c r="CN6376" s="1005"/>
      <c r="CO6376" s="1005"/>
      <c r="CP6376" s="1005"/>
    </row>
    <row r="6377">
      <c r="A6377" s="1257"/>
      <c r="B6377" s="1113"/>
      <c r="C6377" s="1107"/>
      <c r="D6377" s="103"/>
      <c r="E6377" s="1137"/>
      <c r="F6377" s="112"/>
      <c r="G6377" s="1110"/>
      <c r="H6377" s="1138"/>
      <c r="I6377" s="1138"/>
      <c r="J6377" s="1139"/>
      <c r="K6377" s="1111"/>
      <c r="L6377" s="1112"/>
      <c r="M6377" s="1113"/>
      <c r="N6377" s="110"/>
      <c r="O6377" s="1140"/>
      <c r="P6377" s="1115"/>
      <c r="Q6377" s="1116"/>
      <c r="R6377" s="1141"/>
      <c r="S6377" s="1113"/>
      <c r="T6377" s="1143"/>
      <c r="U6377" s="1108"/>
      <c r="V6377" s="1108"/>
      <c r="W6377" s="1108"/>
      <c r="X6377" s="1108"/>
      <c r="Y6377" s="1108"/>
      <c r="Z6377" s="1114"/>
      <c r="AA6377" s="1114"/>
      <c r="AB6377" s="1114"/>
      <c r="AC6377" s="1117"/>
      <c r="AD6377" s="1115"/>
      <c r="AE6377" s="1115"/>
      <c r="AF6377" s="1115"/>
      <c r="AG6377" s="1115"/>
      <c r="AH6377" s="1115"/>
      <c r="AI6377" s="1115"/>
      <c r="AJ6377" s="1117"/>
      <c r="AK6377" s="1118"/>
      <c r="AL6377" s="1115"/>
      <c r="AM6377" s="1115"/>
      <c r="AN6377" s="1115"/>
      <c r="AO6377" s="1115"/>
      <c r="AP6377" s="1115"/>
      <c r="AQ6377" s="1115"/>
      <c r="AR6377" s="1115"/>
      <c r="AS6377" s="1117"/>
      <c r="AT6377" s="1075"/>
      <c r="AU6377" s="1193"/>
      <c r="AV6377" s="330"/>
      <c r="AW6377" s="331"/>
      <c r="AX6377" s="331"/>
      <c r="AY6377" s="331"/>
      <c r="AZ6377" s="331"/>
      <c r="BA6377" s="331"/>
      <c r="BB6377" s="331"/>
      <c r="BC6377" s="331"/>
      <c r="BD6377" s="331"/>
      <c r="BE6377" s="333"/>
      <c r="BF6377" s="330"/>
      <c r="BG6377" s="333"/>
      <c r="BH6377" s="1119"/>
      <c r="BI6377" s="319"/>
      <c r="BJ6377" s="319"/>
      <c r="BK6377" s="319"/>
      <c r="BL6377" s="319"/>
      <c r="BM6377" s="319"/>
      <c r="BN6377" s="319"/>
      <c r="BO6377" s="319"/>
      <c r="BP6377" s="953"/>
      <c r="BQ6377" s="319"/>
      <c r="BR6377" s="319"/>
      <c r="BS6377" s="330"/>
      <c r="BT6377" s="331"/>
      <c r="BU6377" s="920"/>
      <c r="BV6377" s="903"/>
      <c r="BW6377" s="908"/>
      <c r="BX6377" s="908"/>
      <c r="BY6377" s="331"/>
      <c r="BZ6377" s="331"/>
      <c r="CA6377" s="462"/>
      <c r="CB6377" s="319"/>
      <c r="CC6377" s="319"/>
      <c r="CD6377" s="319"/>
      <c r="CE6377" s="319"/>
      <c r="CF6377" s="319"/>
      <c r="CG6377" s="319"/>
      <c r="CH6377" s="318"/>
      <c r="CI6377" s="319"/>
      <c r="CJ6377" s="319"/>
      <c r="CK6377" s="342"/>
      <c r="CL6377" s="333"/>
      <c r="CM6377" s="1079"/>
      <c r="CN6377" s="1005"/>
      <c r="CO6377" s="1005"/>
      <c r="CP6377" s="1005"/>
    </row>
    <row r="6378">
      <c r="A6378" s="1257"/>
      <c r="B6378" s="1113"/>
      <c r="C6378" s="1107"/>
      <c r="D6378" s="103"/>
      <c r="E6378" s="1137"/>
      <c r="F6378" s="112"/>
      <c r="G6378" s="1110"/>
      <c r="H6378" s="1138"/>
      <c r="I6378" s="1138"/>
      <c r="J6378" s="1139"/>
      <c r="K6378" s="1111"/>
      <c r="L6378" s="1112"/>
      <c r="M6378" s="1113"/>
      <c r="N6378" s="110"/>
      <c r="O6378" s="1140"/>
      <c r="P6378" s="1115"/>
      <c r="Q6378" s="1116"/>
      <c r="R6378" s="1141"/>
      <c r="S6378" s="1113"/>
      <c r="T6378" s="1143"/>
      <c r="U6378" s="1108"/>
      <c r="V6378" s="1108"/>
      <c r="W6378" s="1108"/>
      <c r="X6378" s="1108"/>
      <c r="Y6378" s="1108"/>
      <c r="Z6378" s="1114"/>
      <c r="AA6378" s="1114"/>
      <c r="AB6378" s="1114"/>
      <c r="AC6378" s="1117"/>
      <c r="AD6378" s="1115"/>
      <c r="AE6378" s="1115"/>
      <c r="AF6378" s="1115"/>
      <c r="AG6378" s="1115"/>
      <c r="AH6378" s="1115"/>
      <c r="AI6378" s="1115"/>
      <c r="AJ6378" s="1117"/>
      <c r="AK6378" s="1118"/>
      <c r="AL6378" s="1115"/>
      <c r="AM6378" s="1115"/>
      <c r="AN6378" s="1115"/>
      <c r="AO6378" s="1115"/>
      <c r="AP6378" s="1115"/>
      <c r="AQ6378" s="1115"/>
      <c r="AR6378" s="1115"/>
      <c r="AS6378" s="1117"/>
      <c r="AT6378" s="1075"/>
      <c r="AU6378" s="1193"/>
      <c r="AV6378" s="330"/>
      <c r="AW6378" s="331"/>
      <c r="AX6378" s="331"/>
      <c r="AY6378" s="331"/>
      <c r="AZ6378" s="331"/>
      <c r="BA6378" s="331"/>
      <c r="BB6378" s="331"/>
      <c r="BC6378" s="331"/>
      <c r="BD6378" s="331"/>
      <c r="BE6378" s="333"/>
      <c r="BF6378" s="330"/>
      <c r="BG6378" s="333"/>
      <c r="BH6378" s="1119"/>
      <c r="BI6378" s="319"/>
      <c r="BJ6378" s="319"/>
      <c r="BK6378" s="319"/>
      <c r="BL6378" s="319"/>
      <c r="BM6378" s="319"/>
      <c r="BN6378" s="319"/>
      <c r="BO6378" s="319"/>
      <c r="BP6378" s="953"/>
      <c r="BQ6378" s="319"/>
      <c r="BR6378" s="319"/>
      <c r="BS6378" s="330"/>
      <c r="BT6378" s="331"/>
      <c r="BU6378" s="920"/>
      <c r="BV6378" s="903"/>
      <c r="BW6378" s="908"/>
      <c r="BX6378" s="908"/>
      <c r="BY6378" s="331"/>
      <c r="BZ6378" s="331"/>
      <c r="CA6378" s="462"/>
      <c r="CB6378" s="319"/>
      <c r="CC6378" s="319"/>
      <c r="CD6378" s="319"/>
      <c r="CE6378" s="319"/>
      <c r="CF6378" s="319"/>
      <c r="CG6378" s="319"/>
      <c r="CH6378" s="318"/>
      <c r="CI6378" s="319"/>
      <c r="CJ6378" s="319"/>
      <c r="CK6378" s="342"/>
      <c r="CL6378" s="333"/>
      <c r="CM6378" s="1079"/>
      <c r="CN6378" s="1005"/>
      <c r="CO6378" s="1005"/>
      <c r="CP6378" s="1005"/>
    </row>
    <row r="6379">
      <c r="A6379" s="1257"/>
      <c r="B6379" s="1113"/>
      <c r="C6379" s="1107"/>
      <c r="D6379" s="103"/>
      <c r="E6379" s="1137"/>
      <c r="F6379" s="112"/>
      <c r="G6379" s="1110"/>
      <c r="H6379" s="1138"/>
      <c r="I6379" s="1138"/>
      <c r="J6379" s="1139"/>
      <c r="K6379" s="1111"/>
      <c r="L6379" s="1112"/>
      <c r="M6379" s="1113"/>
      <c r="N6379" s="110"/>
      <c r="O6379" s="1140"/>
      <c r="P6379" s="1115"/>
      <c r="Q6379" s="1116"/>
      <c r="R6379" s="1141"/>
      <c r="S6379" s="1113"/>
      <c r="T6379" s="1143"/>
      <c r="U6379" s="1108"/>
      <c r="V6379" s="1108"/>
      <c r="W6379" s="1108"/>
      <c r="X6379" s="1108"/>
      <c r="Y6379" s="1108"/>
      <c r="Z6379" s="1114"/>
      <c r="AA6379" s="1114"/>
      <c r="AB6379" s="1114"/>
      <c r="AC6379" s="1117"/>
      <c r="AD6379" s="1115"/>
      <c r="AE6379" s="1115"/>
      <c r="AF6379" s="1115"/>
      <c r="AG6379" s="1115"/>
      <c r="AH6379" s="1115"/>
      <c r="AI6379" s="1115"/>
      <c r="AJ6379" s="1117"/>
      <c r="AK6379" s="1118"/>
      <c r="AL6379" s="1115"/>
      <c r="AM6379" s="1115"/>
      <c r="AN6379" s="1115"/>
      <c r="AO6379" s="1115"/>
      <c r="AP6379" s="1115"/>
      <c r="AQ6379" s="1115"/>
      <c r="AR6379" s="1115"/>
      <c r="AS6379" s="1117"/>
      <c r="AT6379" s="1075"/>
      <c r="AU6379" s="1193"/>
      <c r="AV6379" s="330"/>
      <c r="AW6379" s="331"/>
      <c r="AX6379" s="331"/>
      <c r="AY6379" s="331"/>
      <c r="AZ6379" s="331"/>
      <c r="BA6379" s="331"/>
      <c r="BB6379" s="331"/>
      <c r="BC6379" s="331"/>
      <c r="BD6379" s="331"/>
      <c r="BE6379" s="333"/>
      <c r="BF6379" s="330"/>
      <c r="BG6379" s="333"/>
      <c r="BH6379" s="1119"/>
      <c r="BI6379" s="319"/>
      <c r="BJ6379" s="319"/>
      <c r="BK6379" s="319"/>
      <c r="BL6379" s="319"/>
      <c r="BM6379" s="319"/>
      <c r="BN6379" s="319"/>
      <c r="BO6379" s="319"/>
      <c r="BP6379" s="953"/>
      <c r="BQ6379" s="319"/>
      <c r="BR6379" s="319"/>
      <c r="BS6379" s="330"/>
      <c r="BT6379" s="331"/>
      <c r="BU6379" s="920"/>
      <c r="BV6379" s="903"/>
      <c r="BW6379" s="908"/>
      <c r="BX6379" s="908"/>
      <c r="BY6379" s="331"/>
      <c r="BZ6379" s="331"/>
      <c r="CA6379" s="462"/>
      <c r="CB6379" s="319"/>
      <c r="CC6379" s="319"/>
      <c r="CD6379" s="319"/>
      <c r="CE6379" s="319"/>
      <c r="CF6379" s="319"/>
      <c r="CG6379" s="319"/>
      <c r="CH6379" s="318"/>
      <c r="CI6379" s="319"/>
      <c r="CJ6379" s="319"/>
      <c r="CK6379" s="342"/>
      <c r="CL6379" s="333"/>
      <c r="CM6379" s="1079"/>
      <c r="CN6379" s="1005"/>
      <c r="CO6379" s="1005"/>
      <c r="CP6379" s="1005"/>
    </row>
    <row r="6380">
      <c r="A6380" s="1257"/>
      <c r="B6380" s="1113"/>
      <c r="C6380" s="1107"/>
      <c r="D6380" s="103"/>
      <c r="E6380" s="1137"/>
      <c r="F6380" s="112"/>
      <c r="G6380" s="1110"/>
      <c r="H6380" s="1138"/>
      <c r="I6380" s="1138"/>
      <c r="J6380" s="1139"/>
      <c r="K6380" s="1111"/>
      <c r="L6380" s="1112"/>
      <c r="M6380" s="1113"/>
      <c r="N6380" s="110"/>
      <c r="O6380" s="1140"/>
      <c r="P6380" s="1115"/>
      <c r="Q6380" s="1116"/>
      <c r="R6380" s="1141"/>
      <c r="S6380" s="1113"/>
      <c r="T6380" s="1143"/>
      <c r="U6380" s="1108"/>
      <c r="V6380" s="1108"/>
      <c r="W6380" s="1108"/>
      <c r="X6380" s="1108"/>
      <c r="Y6380" s="1108"/>
      <c r="Z6380" s="1114"/>
      <c r="AA6380" s="1114"/>
      <c r="AB6380" s="1114"/>
      <c r="AC6380" s="1117"/>
      <c r="AD6380" s="1115"/>
      <c r="AE6380" s="1115"/>
      <c r="AF6380" s="1115"/>
      <c r="AG6380" s="1115"/>
      <c r="AH6380" s="1115"/>
      <c r="AI6380" s="1115"/>
      <c r="AJ6380" s="1117"/>
      <c r="AK6380" s="1118"/>
      <c r="AL6380" s="1115"/>
      <c r="AM6380" s="1115"/>
      <c r="AN6380" s="1115"/>
      <c r="AO6380" s="1115"/>
      <c r="AP6380" s="1115"/>
      <c r="AQ6380" s="1115"/>
      <c r="AR6380" s="1115"/>
      <c r="AS6380" s="1117"/>
      <c r="AT6380" s="1075"/>
      <c r="AU6380" s="1193"/>
      <c r="AV6380" s="330"/>
      <c r="AW6380" s="331"/>
      <c r="AX6380" s="331"/>
      <c r="AY6380" s="331"/>
      <c r="AZ6380" s="331"/>
      <c r="BA6380" s="331"/>
      <c r="BB6380" s="331"/>
      <c r="BC6380" s="331"/>
      <c r="BD6380" s="331"/>
      <c r="BE6380" s="333"/>
      <c r="BF6380" s="330"/>
      <c r="BG6380" s="333"/>
      <c r="BH6380" s="1119"/>
      <c r="BI6380" s="319"/>
      <c r="BJ6380" s="319"/>
      <c r="BK6380" s="319"/>
      <c r="BL6380" s="319"/>
      <c r="BM6380" s="319"/>
      <c r="BN6380" s="319"/>
      <c r="BO6380" s="319"/>
      <c r="BP6380" s="953"/>
      <c r="BQ6380" s="319"/>
      <c r="BR6380" s="319"/>
      <c r="BS6380" s="330"/>
      <c r="BT6380" s="331"/>
      <c r="BU6380" s="920"/>
      <c r="BV6380" s="903"/>
      <c r="BW6380" s="908"/>
      <c r="BX6380" s="908"/>
      <c r="BY6380" s="331"/>
      <c r="BZ6380" s="331"/>
      <c r="CA6380" s="462"/>
      <c r="CB6380" s="319"/>
      <c r="CC6380" s="319"/>
      <c r="CD6380" s="319"/>
      <c r="CE6380" s="319"/>
      <c r="CF6380" s="319"/>
      <c r="CG6380" s="319"/>
      <c r="CH6380" s="318"/>
      <c r="CI6380" s="319"/>
      <c r="CJ6380" s="319"/>
      <c r="CK6380" s="342"/>
      <c r="CL6380" s="333"/>
      <c r="CM6380" s="1079"/>
      <c r="CN6380" s="1005"/>
      <c r="CO6380" s="1005"/>
      <c r="CP6380" s="1005"/>
    </row>
    <row r="6381">
      <c r="A6381" s="1257"/>
      <c r="B6381" s="1113"/>
      <c r="C6381" s="1107"/>
      <c r="D6381" s="103"/>
      <c r="E6381" s="1137"/>
      <c r="F6381" s="112"/>
      <c r="G6381" s="1110"/>
      <c r="H6381" s="1138"/>
      <c r="I6381" s="1138"/>
      <c r="J6381" s="1139"/>
      <c r="K6381" s="1111"/>
      <c r="L6381" s="1112"/>
      <c r="M6381" s="1113"/>
      <c r="N6381" s="110"/>
      <c r="O6381" s="1140"/>
      <c r="P6381" s="1115"/>
      <c r="Q6381" s="1116"/>
      <c r="R6381" s="1141"/>
      <c r="S6381" s="1113"/>
      <c r="T6381" s="1143"/>
      <c r="U6381" s="1108"/>
      <c r="V6381" s="1108"/>
      <c r="W6381" s="1108"/>
      <c r="X6381" s="1108"/>
      <c r="Y6381" s="1108"/>
      <c r="Z6381" s="1114"/>
      <c r="AA6381" s="1114"/>
      <c r="AB6381" s="1114"/>
      <c r="AC6381" s="1117"/>
      <c r="AD6381" s="1115"/>
      <c r="AE6381" s="1115"/>
      <c r="AF6381" s="1115"/>
      <c r="AG6381" s="1115"/>
      <c r="AH6381" s="1115"/>
      <c r="AI6381" s="1115"/>
      <c r="AJ6381" s="1117"/>
      <c r="AK6381" s="1118"/>
      <c r="AL6381" s="1115"/>
      <c r="AM6381" s="1115"/>
      <c r="AN6381" s="1115"/>
      <c r="AO6381" s="1115"/>
      <c r="AP6381" s="1115"/>
      <c r="AQ6381" s="1115"/>
      <c r="AR6381" s="1115"/>
      <c r="AS6381" s="1117"/>
      <c r="AT6381" s="1075"/>
      <c r="AU6381" s="1193"/>
      <c r="AV6381" s="330"/>
      <c r="AW6381" s="331"/>
      <c r="AX6381" s="331"/>
      <c r="AY6381" s="331"/>
      <c r="AZ6381" s="331"/>
      <c r="BA6381" s="331"/>
      <c r="BB6381" s="331"/>
      <c r="BC6381" s="331"/>
      <c r="BD6381" s="331"/>
      <c r="BE6381" s="333"/>
      <c r="BF6381" s="330"/>
      <c r="BG6381" s="333"/>
      <c r="BH6381" s="1119"/>
      <c r="BI6381" s="319"/>
      <c r="BJ6381" s="319"/>
      <c r="BK6381" s="319"/>
      <c r="BL6381" s="319"/>
      <c r="BM6381" s="319"/>
      <c r="BN6381" s="319"/>
      <c r="BO6381" s="319"/>
      <c r="BP6381" s="953"/>
      <c r="BQ6381" s="319"/>
      <c r="BR6381" s="319"/>
      <c r="BS6381" s="330"/>
      <c r="BT6381" s="331"/>
      <c r="BU6381" s="920"/>
      <c r="BV6381" s="903"/>
      <c r="BW6381" s="908"/>
      <c r="BX6381" s="908"/>
      <c r="BY6381" s="331"/>
      <c r="BZ6381" s="331"/>
      <c r="CA6381" s="462"/>
      <c r="CB6381" s="319"/>
      <c r="CC6381" s="319"/>
      <c r="CD6381" s="319"/>
      <c r="CE6381" s="319"/>
      <c r="CF6381" s="319"/>
      <c r="CG6381" s="319"/>
      <c r="CH6381" s="318"/>
      <c r="CI6381" s="319"/>
      <c r="CJ6381" s="319"/>
      <c r="CK6381" s="342"/>
      <c r="CL6381" s="333"/>
      <c r="CM6381" s="1079"/>
      <c r="CN6381" s="1005"/>
      <c r="CO6381" s="1005"/>
      <c r="CP6381" s="1005"/>
    </row>
    <row r="6382">
      <c r="A6382" s="1257"/>
      <c r="B6382" s="1113"/>
      <c r="C6382" s="1107"/>
      <c r="D6382" s="103"/>
      <c r="E6382" s="1137"/>
      <c r="F6382" s="112"/>
      <c r="G6382" s="1110"/>
      <c r="H6382" s="1138"/>
      <c r="I6382" s="1138"/>
      <c r="J6382" s="1139"/>
      <c r="K6382" s="1111"/>
      <c r="L6382" s="1112"/>
      <c r="M6382" s="1113"/>
      <c r="N6382" s="110"/>
      <c r="O6382" s="1140"/>
      <c r="P6382" s="1115"/>
      <c r="Q6382" s="1116"/>
      <c r="R6382" s="1141"/>
      <c r="S6382" s="1113"/>
      <c r="T6382" s="1143"/>
      <c r="U6382" s="1108"/>
      <c r="V6382" s="1108"/>
      <c r="W6382" s="1108"/>
      <c r="X6382" s="1108"/>
      <c r="Y6382" s="1108"/>
      <c r="Z6382" s="1114"/>
      <c r="AA6382" s="1114"/>
      <c r="AB6382" s="1114"/>
      <c r="AC6382" s="1117"/>
      <c r="AD6382" s="1115"/>
      <c r="AE6382" s="1115"/>
      <c r="AF6382" s="1115"/>
      <c r="AG6382" s="1115"/>
      <c r="AH6382" s="1115"/>
      <c r="AI6382" s="1115"/>
      <c r="AJ6382" s="1117"/>
      <c r="AK6382" s="1118"/>
      <c r="AL6382" s="1115"/>
      <c r="AM6382" s="1115"/>
      <c r="AN6382" s="1115"/>
      <c r="AO6382" s="1115"/>
      <c r="AP6382" s="1115"/>
      <c r="AQ6382" s="1115"/>
      <c r="AR6382" s="1115"/>
      <c r="AS6382" s="1117"/>
      <c r="AT6382" s="1075"/>
      <c r="AU6382" s="1193"/>
      <c r="AV6382" s="330"/>
      <c r="AW6382" s="331"/>
      <c r="AX6382" s="331"/>
      <c r="AY6382" s="331"/>
      <c r="AZ6382" s="331"/>
      <c r="BA6382" s="331"/>
      <c r="BB6382" s="331"/>
      <c r="BC6382" s="331"/>
      <c r="BD6382" s="331"/>
      <c r="BE6382" s="333"/>
      <c r="BF6382" s="330"/>
      <c r="BG6382" s="333"/>
      <c r="BH6382" s="1119"/>
      <c r="BI6382" s="319"/>
      <c r="BJ6382" s="319"/>
      <c r="BK6382" s="319"/>
      <c r="BL6382" s="319"/>
      <c r="BM6382" s="319"/>
      <c r="BN6382" s="319"/>
      <c r="BO6382" s="319"/>
      <c r="BP6382" s="953"/>
      <c r="BQ6382" s="319"/>
      <c r="BR6382" s="319"/>
      <c r="BS6382" s="330"/>
      <c r="BT6382" s="331"/>
      <c r="BU6382" s="920"/>
      <c r="BV6382" s="903"/>
      <c r="BW6382" s="908"/>
      <c r="BX6382" s="908"/>
      <c r="BY6382" s="331"/>
      <c r="BZ6382" s="331"/>
      <c r="CA6382" s="462"/>
      <c r="CB6382" s="319"/>
      <c r="CC6382" s="319"/>
      <c r="CD6382" s="319"/>
      <c r="CE6382" s="319"/>
      <c r="CF6382" s="319"/>
      <c r="CG6382" s="319"/>
      <c r="CH6382" s="318"/>
      <c r="CI6382" s="319"/>
      <c r="CJ6382" s="319"/>
      <c r="CK6382" s="342"/>
      <c r="CL6382" s="333"/>
      <c r="CM6382" s="1079"/>
      <c r="CN6382" s="1005"/>
      <c r="CO6382" s="1005"/>
      <c r="CP6382" s="1005"/>
    </row>
    <row r="6383">
      <c r="A6383" s="1257"/>
      <c r="B6383" s="1113"/>
      <c r="C6383" s="1107"/>
      <c r="D6383" s="103"/>
      <c r="E6383" s="1137"/>
      <c r="F6383" s="112"/>
      <c r="G6383" s="1110"/>
      <c r="H6383" s="1138"/>
      <c r="I6383" s="1138"/>
      <c r="J6383" s="1139"/>
      <c r="K6383" s="1111"/>
      <c r="L6383" s="1112"/>
      <c r="M6383" s="1113"/>
      <c r="N6383" s="110"/>
      <c r="O6383" s="1140"/>
      <c r="P6383" s="1115"/>
      <c r="Q6383" s="1116"/>
      <c r="R6383" s="1141"/>
      <c r="S6383" s="1113"/>
      <c r="T6383" s="1143"/>
      <c r="U6383" s="1108"/>
      <c r="V6383" s="1108"/>
      <c r="W6383" s="1108"/>
      <c r="X6383" s="1108"/>
      <c r="Y6383" s="1108"/>
      <c r="Z6383" s="1114"/>
      <c r="AA6383" s="1114"/>
      <c r="AB6383" s="1114"/>
      <c r="AC6383" s="1117"/>
      <c r="AD6383" s="1115"/>
      <c r="AE6383" s="1115"/>
      <c r="AF6383" s="1115"/>
      <c r="AG6383" s="1115"/>
      <c r="AH6383" s="1115"/>
      <c r="AI6383" s="1115"/>
      <c r="AJ6383" s="1117"/>
      <c r="AK6383" s="1118"/>
      <c r="AL6383" s="1115"/>
      <c r="AM6383" s="1115"/>
      <c r="AN6383" s="1115"/>
      <c r="AO6383" s="1115"/>
      <c r="AP6383" s="1115"/>
      <c r="AQ6383" s="1115"/>
      <c r="AR6383" s="1115"/>
      <c r="AS6383" s="1117"/>
      <c r="AT6383" s="1075"/>
      <c r="AU6383" s="1193"/>
      <c r="AV6383" s="330"/>
      <c r="AW6383" s="331"/>
      <c r="AX6383" s="331"/>
      <c r="AY6383" s="331"/>
      <c r="AZ6383" s="331"/>
      <c r="BA6383" s="331"/>
      <c r="BB6383" s="331"/>
      <c r="BC6383" s="331"/>
      <c r="BD6383" s="331"/>
      <c r="BE6383" s="333"/>
      <c r="BF6383" s="330"/>
      <c r="BG6383" s="333"/>
      <c r="BH6383" s="1119"/>
      <c r="BI6383" s="319"/>
      <c r="BJ6383" s="319"/>
      <c r="BK6383" s="319"/>
      <c r="BL6383" s="319"/>
      <c r="BM6383" s="319"/>
      <c r="BN6383" s="319"/>
      <c r="BO6383" s="319"/>
      <c r="BP6383" s="953"/>
      <c r="BQ6383" s="319"/>
      <c r="BR6383" s="319"/>
      <c r="BS6383" s="330"/>
      <c r="BT6383" s="331"/>
      <c r="BU6383" s="920"/>
      <c r="BV6383" s="903"/>
      <c r="BW6383" s="908"/>
      <c r="BX6383" s="908"/>
      <c r="BY6383" s="331"/>
      <c r="BZ6383" s="331"/>
      <c r="CA6383" s="462"/>
      <c r="CB6383" s="319"/>
      <c r="CC6383" s="319"/>
      <c r="CD6383" s="319"/>
      <c r="CE6383" s="319"/>
      <c r="CF6383" s="319"/>
      <c r="CG6383" s="319"/>
      <c r="CH6383" s="318"/>
      <c r="CI6383" s="319"/>
      <c r="CJ6383" s="319"/>
      <c r="CK6383" s="342"/>
      <c r="CL6383" s="333"/>
      <c r="CM6383" s="1079"/>
      <c r="CN6383" s="1005"/>
      <c r="CO6383" s="1005"/>
      <c r="CP6383" s="1005"/>
    </row>
    <row r="6384">
      <c r="A6384" s="1257"/>
      <c r="B6384" s="1113"/>
      <c r="C6384" s="1107"/>
      <c r="D6384" s="103"/>
      <c r="E6384" s="1137"/>
      <c r="F6384" s="112"/>
      <c r="G6384" s="1110"/>
      <c r="H6384" s="1138"/>
      <c r="I6384" s="1138"/>
      <c r="J6384" s="1139"/>
      <c r="K6384" s="1111"/>
      <c r="L6384" s="1112"/>
      <c r="M6384" s="1113"/>
      <c r="N6384" s="110"/>
      <c r="O6384" s="1140"/>
      <c r="P6384" s="1115"/>
      <c r="Q6384" s="1116"/>
      <c r="R6384" s="1141"/>
      <c r="S6384" s="1113"/>
      <c r="T6384" s="1143"/>
      <c r="U6384" s="1108"/>
      <c r="V6384" s="1108"/>
      <c r="W6384" s="1108"/>
      <c r="X6384" s="1108"/>
      <c r="Y6384" s="1108"/>
      <c r="Z6384" s="1114"/>
      <c r="AA6384" s="1114"/>
      <c r="AB6384" s="1114"/>
      <c r="AC6384" s="1117"/>
      <c r="AD6384" s="1115"/>
      <c r="AE6384" s="1115"/>
      <c r="AF6384" s="1115"/>
      <c r="AG6384" s="1115"/>
      <c r="AH6384" s="1115"/>
      <c r="AI6384" s="1115"/>
      <c r="AJ6384" s="1117"/>
      <c r="AK6384" s="1118"/>
      <c r="AL6384" s="1115"/>
      <c r="AM6384" s="1115"/>
      <c r="AN6384" s="1115"/>
      <c r="AO6384" s="1115"/>
      <c r="AP6384" s="1115"/>
      <c r="AQ6384" s="1115"/>
      <c r="AR6384" s="1115"/>
      <c r="AS6384" s="1117"/>
      <c r="AT6384" s="1075"/>
      <c r="AU6384" s="1193"/>
      <c r="AV6384" s="330"/>
      <c r="AW6384" s="331"/>
      <c r="AX6384" s="331"/>
      <c r="AY6384" s="331"/>
      <c r="AZ6384" s="331"/>
      <c r="BA6384" s="331"/>
      <c r="BB6384" s="331"/>
      <c r="BC6384" s="331"/>
      <c r="BD6384" s="331"/>
      <c r="BE6384" s="333"/>
      <c r="BF6384" s="330"/>
      <c r="BG6384" s="333"/>
      <c r="BH6384" s="1119"/>
      <c r="BI6384" s="319"/>
      <c r="BJ6384" s="319"/>
      <c r="BK6384" s="319"/>
      <c r="BL6384" s="319"/>
      <c r="BM6384" s="319"/>
      <c r="BN6384" s="319"/>
      <c r="BO6384" s="319"/>
      <c r="BP6384" s="953"/>
      <c r="BQ6384" s="319"/>
      <c r="BR6384" s="319"/>
      <c r="BS6384" s="330"/>
      <c r="BT6384" s="331"/>
      <c r="BU6384" s="920"/>
      <c r="BV6384" s="903"/>
      <c r="BW6384" s="908"/>
      <c r="BX6384" s="908"/>
      <c r="BY6384" s="331"/>
      <c r="BZ6384" s="331"/>
      <c r="CA6384" s="462"/>
      <c r="CB6384" s="319"/>
      <c r="CC6384" s="319"/>
      <c r="CD6384" s="319"/>
      <c r="CE6384" s="319"/>
      <c r="CF6384" s="319"/>
      <c r="CG6384" s="319"/>
      <c r="CH6384" s="318"/>
      <c r="CI6384" s="319"/>
      <c r="CJ6384" s="319"/>
      <c r="CK6384" s="342"/>
      <c r="CL6384" s="333"/>
      <c r="CM6384" s="1079"/>
      <c r="CN6384" s="1005"/>
      <c r="CO6384" s="1005"/>
      <c r="CP6384" s="1005"/>
    </row>
    <row r="6385">
      <c r="A6385" s="1257"/>
      <c r="B6385" s="1113"/>
      <c r="C6385" s="1107"/>
      <c r="D6385" s="103"/>
      <c r="E6385" s="1137"/>
      <c r="F6385" s="112"/>
      <c r="G6385" s="1110"/>
      <c r="H6385" s="1138"/>
      <c r="I6385" s="1138"/>
      <c r="J6385" s="1139"/>
      <c r="K6385" s="1111"/>
      <c r="L6385" s="1112"/>
      <c r="M6385" s="1113"/>
      <c r="N6385" s="110"/>
      <c r="O6385" s="1140"/>
      <c r="P6385" s="1115"/>
      <c r="Q6385" s="1116"/>
      <c r="R6385" s="1141"/>
      <c r="S6385" s="1113"/>
      <c r="T6385" s="1143"/>
      <c r="U6385" s="1108"/>
      <c r="V6385" s="1108"/>
      <c r="W6385" s="1108"/>
      <c r="X6385" s="1108"/>
      <c r="Y6385" s="1108"/>
      <c r="Z6385" s="1114"/>
      <c r="AA6385" s="1114"/>
      <c r="AB6385" s="1114"/>
      <c r="AC6385" s="1117"/>
      <c r="AD6385" s="1115"/>
      <c r="AE6385" s="1115"/>
      <c r="AF6385" s="1115"/>
      <c r="AG6385" s="1115"/>
      <c r="AH6385" s="1115"/>
      <c r="AI6385" s="1115"/>
      <c r="AJ6385" s="1117"/>
      <c r="AK6385" s="1118"/>
      <c r="AL6385" s="1115"/>
      <c r="AM6385" s="1115"/>
      <c r="AN6385" s="1115"/>
      <c r="AO6385" s="1115"/>
      <c r="AP6385" s="1115"/>
      <c r="AQ6385" s="1115"/>
      <c r="AR6385" s="1115"/>
      <c r="AS6385" s="1117"/>
      <c r="AT6385" s="1075"/>
      <c r="AU6385" s="1193"/>
      <c r="AV6385" s="330"/>
      <c r="AW6385" s="331"/>
      <c r="AX6385" s="331"/>
      <c r="AY6385" s="331"/>
      <c r="AZ6385" s="331"/>
      <c r="BA6385" s="331"/>
      <c r="BB6385" s="331"/>
      <c r="BC6385" s="331"/>
      <c r="BD6385" s="331"/>
      <c r="BE6385" s="333"/>
      <c r="BF6385" s="330"/>
      <c r="BG6385" s="333"/>
      <c r="BH6385" s="1119"/>
      <c r="BI6385" s="319"/>
      <c r="BJ6385" s="319"/>
      <c r="BK6385" s="319"/>
      <c r="BL6385" s="319"/>
      <c r="BM6385" s="319"/>
      <c r="BN6385" s="319"/>
      <c r="BO6385" s="319"/>
      <c r="BP6385" s="953"/>
      <c r="BQ6385" s="319"/>
      <c r="BR6385" s="319"/>
      <c r="BS6385" s="330"/>
      <c r="BT6385" s="331"/>
      <c r="BU6385" s="920"/>
      <c r="BV6385" s="903"/>
      <c r="BW6385" s="908"/>
      <c r="BX6385" s="908"/>
      <c r="BY6385" s="331"/>
      <c r="BZ6385" s="331"/>
      <c r="CA6385" s="462"/>
      <c r="CB6385" s="319"/>
      <c r="CC6385" s="319"/>
      <c r="CD6385" s="319"/>
      <c r="CE6385" s="319"/>
      <c r="CF6385" s="319"/>
      <c r="CG6385" s="319"/>
      <c r="CH6385" s="318"/>
      <c r="CI6385" s="319"/>
      <c r="CJ6385" s="319"/>
      <c r="CK6385" s="342"/>
      <c r="CL6385" s="333"/>
      <c r="CM6385" s="1079"/>
      <c r="CN6385" s="1005"/>
      <c r="CO6385" s="1005"/>
      <c r="CP6385" s="1005"/>
    </row>
    <row r="6386">
      <c r="A6386" s="1257"/>
      <c r="B6386" s="1113"/>
      <c r="C6386" s="1107"/>
      <c r="D6386" s="103"/>
      <c r="E6386" s="1137"/>
      <c r="F6386" s="112"/>
      <c r="G6386" s="1110"/>
      <c r="H6386" s="1138"/>
      <c r="I6386" s="1138"/>
      <c r="J6386" s="1139"/>
      <c r="K6386" s="1111"/>
      <c r="L6386" s="1112"/>
      <c r="M6386" s="1113"/>
      <c r="N6386" s="110"/>
      <c r="O6386" s="1140"/>
      <c r="P6386" s="1115"/>
      <c r="Q6386" s="1116"/>
      <c r="R6386" s="1141"/>
      <c r="S6386" s="1113"/>
      <c r="T6386" s="1143"/>
      <c r="U6386" s="1108"/>
      <c r="V6386" s="1108"/>
      <c r="W6386" s="1108"/>
      <c r="X6386" s="1108"/>
      <c r="Y6386" s="1108"/>
      <c r="Z6386" s="1114"/>
      <c r="AA6386" s="1114"/>
      <c r="AB6386" s="1114"/>
      <c r="AC6386" s="1117"/>
      <c r="AD6386" s="1115"/>
      <c r="AE6386" s="1115"/>
      <c r="AF6386" s="1115"/>
      <c r="AG6386" s="1115"/>
      <c r="AH6386" s="1115"/>
      <c r="AI6386" s="1115"/>
      <c r="AJ6386" s="1117"/>
      <c r="AK6386" s="1118"/>
      <c r="AL6386" s="1115"/>
      <c r="AM6386" s="1115"/>
      <c r="AN6386" s="1115"/>
      <c r="AO6386" s="1115"/>
      <c r="AP6386" s="1115"/>
      <c r="AQ6386" s="1115"/>
      <c r="AR6386" s="1115"/>
      <c r="AS6386" s="1117"/>
      <c r="AT6386" s="1075"/>
      <c r="AU6386" s="1193"/>
      <c r="AV6386" s="330"/>
      <c r="AW6386" s="331"/>
      <c r="AX6386" s="331"/>
      <c r="AY6386" s="331"/>
      <c r="AZ6386" s="331"/>
      <c r="BA6386" s="331"/>
      <c r="BB6386" s="331"/>
      <c r="BC6386" s="331"/>
      <c r="BD6386" s="331"/>
      <c r="BE6386" s="333"/>
      <c r="BF6386" s="330"/>
      <c r="BG6386" s="333"/>
      <c r="BH6386" s="1119"/>
      <c r="BI6386" s="319"/>
      <c r="BJ6386" s="319"/>
      <c r="BK6386" s="319"/>
      <c r="BL6386" s="319"/>
      <c r="BM6386" s="319"/>
      <c r="BN6386" s="319"/>
      <c r="BO6386" s="319"/>
      <c r="BP6386" s="953"/>
      <c r="BQ6386" s="319"/>
      <c r="BR6386" s="319"/>
      <c r="BS6386" s="330"/>
      <c r="BT6386" s="331"/>
      <c r="BU6386" s="920"/>
      <c r="BV6386" s="903"/>
      <c r="BW6386" s="908"/>
      <c r="BX6386" s="908"/>
      <c r="BY6386" s="331"/>
      <c r="BZ6386" s="331"/>
      <c r="CA6386" s="462"/>
      <c r="CB6386" s="319"/>
      <c r="CC6386" s="319"/>
      <c r="CD6386" s="319"/>
      <c r="CE6386" s="319"/>
      <c r="CF6386" s="319"/>
      <c r="CG6386" s="319"/>
      <c r="CH6386" s="318"/>
      <c r="CI6386" s="319"/>
      <c r="CJ6386" s="319"/>
      <c r="CK6386" s="342"/>
      <c r="CL6386" s="333"/>
      <c r="CM6386" s="1079"/>
      <c r="CN6386" s="1005"/>
      <c r="CO6386" s="1005"/>
      <c r="CP6386" s="1005"/>
    </row>
    <row r="6387">
      <c r="A6387" s="1257"/>
      <c r="B6387" s="1113"/>
      <c r="C6387" s="1107"/>
      <c r="D6387" s="103"/>
      <c r="E6387" s="1137"/>
      <c r="F6387" s="112"/>
      <c r="G6387" s="1110"/>
      <c r="H6387" s="1138"/>
      <c r="I6387" s="1138"/>
      <c r="J6387" s="1139"/>
      <c r="K6387" s="1111"/>
      <c r="L6387" s="1112"/>
      <c r="M6387" s="1113"/>
      <c r="N6387" s="110"/>
      <c r="O6387" s="1140"/>
      <c r="P6387" s="1115"/>
      <c r="Q6387" s="1116"/>
      <c r="R6387" s="1141"/>
      <c r="S6387" s="1113"/>
      <c r="T6387" s="1143"/>
      <c r="U6387" s="1108"/>
      <c r="V6387" s="1108"/>
      <c r="W6387" s="1108"/>
      <c r="X6387" s="1108"/>
      <c r="Y6387" s="1108"/>
      <c r="Z6387" s="1114"/>
      <c r="AA6387" s="1114"/>
      <c r="AB6387" s="1114"/>
      <c r="AC6387" s="1117"/>
      <c r="AD6387" s="1115"/>
      <c r="AE6387" s="1115"/>
      <c r="AF6387" s="1115"/>
      <c r="AG6387" s="1115"/>
      <c r="AH6387" s="1115"/>
      <c r="AI6387" s="1115"/>
      <c r="AJ6387" s="1117"/>
      <c r="AK6387" s="1118"/>
      <c r="AL6387" s="1115"/>
      <c r="AM6387" s="1115"/>
      <c r="AN6387" s="1115"/>
      <c r="AO6387" s="1115"/>
      <c r="AP6387" s="1115"/>
      <c r="AQ6387" s="1115"/>
      <c r="AR6387" s="1115"/>
      <c r="AS6387" s="1117"/>
      <c r="AT6387" s="1075"/>
      <c r="AU6387" s="1193"/>
      <c r="AV6387" s="330"/>
      <c r="AW6387" s="331"/>
      <c r="AX6387" s="331"/>
      <c r="AY6387" s="331"/>
      <c r="AZ6387" s="331"/>
      <c r="BA6387" s="331"/>
      <c r="BB6387" s="331"/>
      <c r="BC6387" s="331"/>
      <c r="BD6387" s="331"/>
      <c r="BE6387" s="333"/>
      <c r="BF6387" s="330"/>
      <c r="BG6387" s="333"/>
      <c r="BH6387" s="1119"/>
      <c r="BI6387" s="319"/>
      <c r="BJ6387" s="319"/>
      <c r="BK6387" s="319"/>
      <c r="BL6387" s="319"/>
      <c r="BM6387" s="319"/>
      <c r="BN6387" s="319"/>
      <c r="BO6387" s="319"/>
      <c r="BP6387" s="953"/>
      <c r="BQ6387" s="319"/>
      <c r="BR6387" s="319"/>
      <c r="BS6387" s="330"/>
      <c r="BT6387" s="331"/>
      <c r="BU6387" s="920"/>
      <c r="BV6387" s="903"/>
      <c r="BW6387" s="908"/>
      <c r="BX6387" s="908"/>
      <c r="BY6387" s="331"/>
      <c r="BZ6387" s="331"/>
      <c r="CA6387" s="462"/>
      <c r="CB6387" s="319"/>
      <c r="CC6387" s="319"/>
      <c r="CD6387" s="319"/>
      <c r="CE6387" s="319"/>
      <c r="CF6387" s="319"/>
      <c r="CG6387" s="319"/>
      <c r="CH6387" s="318"/>
      <c r="CI6387" s="319"/>
      <c r="CJ6387" s="319"/>
      <c r="CK6387" s="342"/>
      <c r="CL6387" s="333"/>
      <c r="CM6387" s="1079"/>
      <c r="CN6387" s="1005"/>
      <c r="CO6387" s="1005"/>
      <c r="CP6387" s="1005"/>
    </row>
    <row r="6388">
      <c r="A6388" s="1257"/>
      <c r="B6388" s="1113"/>
      <c r="C6388" s="1107"/>
      <c r="D6388" s="103"/>
      <c r="E6388" s="1137"/>
      <c r="F6388" s="112"/>
      <c r="G6388" s="1110"/>
      <c r="H6388" s="1138"/>
      <c r="I6388" s="1138"/>
      <c r="J6388" s="1139"/>
      <c r="K6388" s="1111"/>
      <c r="L6388" s="1112"/>
      <c r="M6388" s="1113"/>
      <c r="N6388" s="110"/>
      <c r="O6388" s="1140"/>
      <c r="P6388" s="1115"/>
      <c r="Q6388" s="1116"/>
      <c r="R6388" s="1141"/>
      <c r="S6388" s="1113"/>
      <c r="T6388" s="1143"/>
      <c r="U6388" s="1108"/>
      <c r="V6388" s="1108"/>
      <c r="W6388" s="1108"/>
      <c r="X6388" s="1108"/>
      <c r="Y6388" s="1108"/>
      <c r="Z6388" s="1114"/>
      <c r="AA6388" s="1114"/>
      <c r="AB6388" s="1114"/>
      <c r="AC6388" s="1117"/>
      <c r="AD6388" s="1115"/>
      <c r="AE6388" s="1115"/>
      <c r="AF6388" s="1115"/>
      <c r="AG6388" s="1115"/>
      <c r="AH6388" s="1115"/>
      <c r="AI6388" s="1115"/>
      <c r="AJ6388" s="1117"/>
      <c r="AK6388" s="1118"/>
      <c r="AL6388" s="1115"/>
      <c r="AM6388" s="1115"/>
      <c r="AN6388" s="1115"/>
      <c r="AO6388" s="1115"/>
      <c r="AP6388" s="1115"/>
      <c r="AQ6388" s="1115"/>
      <c r="AR6388" s="1115"/>
      <c r="AS6388" s="1117"/>
      <c r="AT6388" s="1075"/>
      <c r="AU6388" s="1193"/>
      <c r="AV6388" s="330"/>
      <c r="AW6388" s="331"/>
      <c r="AX6388" s="331"/>
      <c r="AY6388" s="331"/>
      <c r="AZ6388" s="331"/>
      <c r="BA6388" s="331"/>
      <c r="BB6388" s="331"/>
      <c r="BC6388" s="331"/>
      <c r="BD6388" s="331"/>
      <c r="BE6388" s="333"/>
      <c r="BF6388" s="330"/>
      <c r="BG6388" s="333"/>
      <c r="BH6388" s="1119"/>
      <c r="BI6388" s="319"/>
      <c r="BJ6388" s="319"/>
      <c r="BK6388" s="319"/>
      <c r="BL6388" s="319"/>
      <c r="BM6388" s="319"/>
      <c r="BN6388" s="319"/>
      <c r="BO6388" s="319"/>
      <c r="BP6388" s="953"/>
      <c r="BQ6388" s="319"/>
      <c r="BR6388" s="319"/>
      <c r="BS6388" s="330"/>
      <c r="BT6388" s="331"/>
      <c r="BU6388" s="920"/>
      <c r="BV6388" s="903"/>
      <c r="BW6388" s="908"/>
      <c r="BX6388" s="908"/>
      <c r="BY6388" s="331"/>
      <c r="BZ6388" s="331"/>
      <c r="CA6388" s="462"/>
      <c r="CB6388" s="319"/>
      <c r="CC6388" s="319"/>
      <c r="CD6388" s="319"/>
      <c r="CE6388" s="319"/>
      <c r="CF6388" s="319"/>
      <c r="CG6388" s="319"/>
      <c r="CH6388" s="318"/>
      <c r="CI6388" s="319"/>
      <c r="CJ6388" s="319"/>
      <c r="CK6388" s="342"/>
      <c r="CL6388" s="333"/>
      <c r="CM6388" s="1079"/>
      <c r="CN6388" s="1005"/>
      <c r="CO6388" s="1005"/>
      <c r="CP6388" s="1005"/>
    </row>
    <row r="6389">
      <c r="A6389" s="1257"/>
      <c r="B6389" s="1113"/>
      <c r="C6389" s="1107"/>
      <c r="D6389" s="103"/>
      <c r="E6389" s="1137"/>
      <c r="F6389" s="112"/>
      <c r="G6389" s="1110"/>
      <c r="H6389" s="1138"/>
      <c r="I6389" s="1138"/>
      <c r="J6389" s="1139"/>
      <c r="K6389" s="1111"/>
      <c r="L6389" s="1112"/>
      <c r="M6389" s="1113"/>
      <c r="N6389" s="110"/>
      <c r="O6389" s="1140"/>
      <c r="P6389" s="1115"/>
      <c r="Q6389" s="1116"/>
      <c r="R6389" s="1141"/>
      <c r="S6389" s="1113"/>
      <c r="T6389" s="1143"/>
      <c r="U6389" s="1108"/>
      <c r="V6389" s="1108"/>
      <c r="W6389" s="1108"/>
      <c r="X6389" s="1108"/>
      <c r="Y6389" s="1108"/>
      <c r="Z6389" s="1114"/>
      <c r="AA6389" s="1114"/>
      <c r="AB6389" s="1114"/>
      <c r="AC6389" s="1117"/>
      <c r="AD6389" s="1115"/>
      <c r="AE6389" s="1115"/>
      <c r="AF6389" s="1115"/>
      <c r="AG6389" s="1115"/>
      <c r="AH6389" s="1115"/>
      <c r="AI6389" s="1115"/>
      <c r="AJ6389" s="1117"/>
      <c r="AK6389" s="1118"/>
      <c r="AL6389" s="1115"/>
      <c r="AM6389" s="1115"/>
      <c r="AN6389" s="1115"/>
      <c r="AO6389" s="1115"/>
      <c r="AP6389" s="1115"/>
      <c r="AQ6389" s="1115"/>
      <c r="AR6389" s="1115"/>
      <c r="AS6389" s="1117"/>
      <c r="AT6389" s="1075"/>
      <c r="AU6389" s="1193"/>
      <c r="AV6389" s="330"/>
      <c r="AW6389" s="331"/>
      <c r="AX6389" s="331"/>
      <c r="AY6389" s="331"/>
      <c r="AZ6389" s="331"/>
      <c r="BA6389" s="331"/>
      <c r="BB6389" s="331"/>
      <c r="BC6389" s="331"/>
      <c r="BD6389" s="331"/>
      <c r="BE6389" s="333"/>
      <c r="BF6389" s="330"/>
      <c r="BG6389" s="333"/>
      <c r="BH6389" s="1119"/>
      <c r="BI6389" s="319"/>
      <c r="BJ6389" s="319"/>
      <c r="BK6389" s="319"/>
      <c r="BL6389" s="319"/>
      <c r="BM6389" s="319"/>
      <c r="BN6389" s="319"/>
      <c r="BO6389" s="319"/>
      <c r="BP6389" s="953"/>
      <c r="BQ6389" s="319"/>
      <c r="BR6389" s="319"/>
      <c r="BS6389" s="330"/>
      <c r="BT6389" s="331"/>
      <c r="BU6389" s="920"/>
      <c r="BV6389" s="903"/>
      <c r="BW6389" s="908"/>
      <c r="BX6389" s="908"/>
      <c r="BY6389" s="331"/>
      <c r="BZ6389" s="331"/>
      <c r="CA6389" s="462"/>
      <c r="CB6389" s="319"/>
      <c r="CC6389" s="319"/>
      <c r="CD6389" s="319"/>
      <c r="CE6389" s="319"/>
      <c r="CF6389" s="319"/>
      <c r="CG6389" s="319"/>
      <c r="CH6389" s="318"/>
      <c r="CI6389" s="319"/>
      <c r="CJ6389" s="319"/>
      <c r="CK6389" s="342"/>
      <c r="CL6389" s="333"/>
      <c r="CM6389" s="1079"/>
      <c r="CN6389" s="1005"/>
      <c r="CO6389" s="1005"/>
      <c r="CP6389" s="1005"/>
    </row>
    <row r="6390">
      <c r="A6390" s="1257"/>
      <c r="B6390" s="1113"/>
      <c r="C6390" s="1107"/>
      <c r="D6390" s="103"/>
      <c r="E6390" s="1137"/>
      <c r="F6390" s="112"/>
      <c r="G6390" s="1110"/>
      <c r="H6390" s="1138"/>
      <c r="I6390" s="1138"/>
      <c r="J6390" s="1139"/>
      <c r="K6390" s="1111"/>
      <c r="L6390" s="1112"/>
      <c r="M6390" s="1113"/>
      <c r="N6390" s="110"/>
      <c r="O6390" s="1140"/>
      <c r="P6390" s="1115"/>
      <c r="Q6390" s="1116"/>
      <c r="R6390" s="1141"/>
      <c r="S6390" s="1113"/>
      <c r="T6390" s="1143"/>
      <c r="U6390" s="1108"/>
      <c r="V6390" s="1108"/>
      <c r="W6390" s="1108"/>
      <c r="X6390" s="1108"/>
      <c r="Y6390" s="1108"/>
      <c r="Z6390" s="1114"/>
      <c r="AA6390" s="1114"/>
      <c r="AB6390" s="1114"/>
      <c r="AC6390" s="1117"/>
      <c r="AD6390" s="1115"/>
      <c r="AE6390" s="1115"/>
      <c r="AF6390" s="1115"/>
      <c r="AG6390" s="1115"/>
      <c r="AH6390" s="1115"/>
      <c r="AI6390" s="1115"/>
      <c r="AJ6390" s="1117"/>
      <c r="AK6390" s="1118"/>
      <c r="AL6390" s="1115"/>
      <c r="AM6390" s="1115"/>
      <c r="AN6390" s="1115"/>
      <c r="AO6390" s="1115"/>
      <c r="AP6390" s="1115"/>
      <c r="AQ6390" s="1115"/>
      <c r="AR6390" s="1115"/>
      <c r="AS6390" s="1117"/>
      <c r="AT6390" s="1075"/>
      <c r="AU6390" s="1193"/>
      <c r="AV6390" s="330"/>
      <c r="AW6390" s="331"/>
      <c r="AX6390" s="331"/>
      <c r="AY6390" s="331"/>
      <c r="AZ6390" s="331"/>
      <c r="BA6390" s="331"/>
      <c r="BB6390" s="331"/>
      <c r="BC6390" s="331"/>
      <c r="BD6390" s="331"/>
      <c r="BE6390" s="333"/>
      <c r="BF6390" s="330"/>
      <c r="BG6390" s="333"/>
      <c r="BH6390" s="1119"/>
      <c r="BI6390" s="319"/>
      <c r="BJ6390" s="319"/>
      <c r="BK6390" s="319"/>
      <c r="BL6390" s="319"/>
      <c r="BM6390" s="319"/>
      <c r="BN6390" s="319"/>
      <c r="BO6390" s="319"/>
      <c r="BP6390" s="953"/>
      <c r="BQ6390" s="319"/>
      <c r="BR6390" s="319"/>
      <c r="BS6390" s="330"/>
      <c r="BT6390" s="331"/>
      <c r="BU6390" s="920"/>
      <c r="BV6390" s="903"/>
      <c r="BW6390" s="908"/>
      <c r="BX6390" s="908"/>
      <c r="BY6390" s="331"/>
      <c r="BZ6390" s="331"/>
      <c r="CA6390" s="462"/>
      <c r="CB6390" s="319"/>
      <c r="CC6390" s="319"/>
      <c r="CD6390" s="319"/>
      <c r="CE6390" s="319"/>
      <c r="CF6390" s="319"/>
      <c r="CG6390" s="319"/>
      <c r="CH6390" s="318"/>
      <c r="CI6390" s="319"/>
      <c r="CJ6390" s="319"/>
      <c r="CK6390" s="342"/>
      <c r="CL6390" s="333"/>
      <c r="CM6390" s="1079"/>
      <c r="CN6390" s="1005"/>
      <c r="CO6390" s="1005"/>
      <c r="CP6390" s="1005"/>
    </row>
    <row r="6391">
      <c r="A6391" s="1257"/>
      <c r="B6391" s="1113"/>
      <c r="C6391" s="1107"/>
      <c r="D6391" s="103"/>
      <c r="E6391" s="1137"/>
      <c r="F6391" s="112"/>
      <c r="G6391" s="1110"/>
      <c r="H6391" s="1138"/>
      <c r="I6391" s="1138"/>
      <c r="J6391" s="1139"/>
      <c r="K6391" s="1111"/>
      <c r="L6391" s="1112"/>
      <c r="M6391" s="1113"/>
      <c r="N6391" s="110"/>
      <c r="O6391" s="1140"/>
      <c r="P6391" s="1115"/>
      <c r="Q6391" s="1116"/>
      <c r="R6391" s="1141"/>
      <c r="S6391" s="1113"/>
      <c r="T6391" s="1143"/>
      <c r="U6391" s="1108"/>
      <c r="V6391" s="1108"/>
      <c r="W6391" s="1108"/>
      <c r="X6391" s="1108"/>
      <c r="Y6391" s="1108"/>
      <c r="Z6391" s="1114"/>
      <c r="AA6391" s="1114"/>
      <c r="AB6391" s="1114"/>
      <c r="AC6391" s="1117"/>
      <c r="AD6391" s="1115"/>
      <c r="AE6391" s="1115"/>
      <c r="AF6391" s="1115"/>
      <c r="AG6391" s="1115"/>
      <c r="AH6391" s="1115"/>
      <c r="AI6391" s="1115"/>
      <c r="AJ6391" s="1117"/>
      <c r="AK6391" s="1118"/>
      <c r="AL6391" s="1115"/>
      <c r="AM6391" s="1115"/>
      <c r="AN6391" s="1115"/>
      <c r="AO6391" s="1115"/>
      <c r="AP6391" s="1115"/>
      <c r="AQ6391" s="1115"/>
      <c r="AR6391" s="1115"/>
      <c r="AS6391" s="1117"/>
      <c r="AT6391" s="1075"/>
      <c r="AU6391" s="1193"/>
      <c r="AV6391" s="330"/>
      <c r="AW6391" s="331"/>
      <c r="AX6391" s="331"/>
      <c r="AY6391" s="331"/>
      <c r="AZ6391" s="331"/>
      <c r="BA6391" s="331"/>
      <c r="BB6391" s="331"/>
      <c r="BC6391" s="331"/>
      <c r="BD6391" s="331"/>
      <c r="BE6391" s="333"/>
      <c r="BF6391" s="330"/>
      <c r="BG6391" s="333"/>
      <c r="BH6391" s="1119"/>
      <c r="BI6391" s="319"/>
      <c r="BJ6391" s="319"/>
      <c r="BK6391" s="319"/>
      <c r="BL6391" s="319"/>
      <c r="BM6391" s="319"/>
      <c r="BN6391" s="319"/>
      <c r="BO6391" s="319"/>
      <c r="BP6391" s="953"/>
      <c r="BQ6391" s="319"/>
      <c r="BR6391" s="319"/>
      <c r="BS6391" s="330"/>
      <c r="BT6391" s="331"/>
      <c r="BU6391" s="920"/>
      <c r="BV6391" s="903"/>
      <c r="BW6391" s="908"/>
      <c r="BX6391" s="908"/>
      <c r="BY6391" s="331"/>
      <c r="BZ6391" s="331"/>
      <c r="CA6391" s="462"/>
      <c r="CB6391" s="319"/>
      <c r="CC6391" s="319"/>
      <c r="CD6391" s="319"/>
      <c r="CE6391" s="319"/>
      <c r="CF6391" s="319"/>
      <c r="CG6391" s="319"/>
      <c r="CH6391" s="318"/>
      <c r="CI6391" s="319"/>
      <c r="CJ6391" s="319"/>
      <c r="CK6391" s="342"/>
      <c r="CL6391" s="333"/>
      <c r="CM6391" s="1079"/>
      <c r="CN6391" s="1005"/>
      <c r="CO6391" s="1005"/>
      <c r="CP6391" s="1005"/>
    </row>
    <row r="6392">
      <c r="A6392" s="1257"/>
      <c r="B6392" s="1113"/>
      <c r="C6392" s="1107"/>
      <c r="D6392" s="103"/>
      <c r="E6392" s="1137"/>
      <c r="F6392" s="112"/>
      <c r="G6392" s="1110"/>
      <c r="H6392" s="1138"/>
      <c r="I6392" s="1138"/>
      <c r="J6392" s="1139"/>
      <c r="K6392" s="1111"/>
      <c r="L6392" s="1112"/>
      <c r="M6392" s="1113"/>
      <c r="N6392" s="110"/>
      <c r="O6392" s="1140"/>
      <c r="P6392" s="1115"/>
      <c r="Q6392" s="1116"/>
      <c r="R6392" s="1141"/>
      <c r="S6392" s="1113"/>
      <c r="T6392" s="1143"/>
      <c r="U6392" s="1108"/>
      <c r="V6392" s="1108"/>
      <c r="W6392" s="1108"/>
      <c r="X6392" s="1108"/>
      <c r="Y6392" s="1108"/>
      <c r="Z6392" s="1114"/>
      <c r="AA6392" s="1114"/>
      <c r="AB6392" s="1114"/>
      <c r="AC6392" s="1117"/>
      <c r="AD6392" s="1115"/>
      <c r="AE6392" s="1115"/>
      <c r="AF6392" s="1115"/>
      <c r="AG6392" s="1115"/>
      <c r="AH6392" s="1115"/>
      <c r="AI6392" s="1115"/>
      <c r="AJ6392" s="1117"/>
      <c r="AK6392" s="1118"/>
      <c r="AL6392" s="1115"/>
      <c r="AM6392" s="1115"/>
      <c r="AN6392" s="1115"/>
      <c r="AO6392" s="1115"/>
      <c r="AP6392" s="1115"/>
      <c r="AQ6392" s="1115"/>
      <c r="AR6392" s="1115"/>
      <c r="AS6392" s="1117"/>
      <c r="AT6392" s="1075"/>
      <c r="AU6392" s="1193"/>
      <c r="AV6392" s="330"/>
      <c r="AW6392" s="331"/>
      <c r="AX6392" s="331"/>
      <c r="AY6392" s="331"/>
      <c r="AZ6392" s="331"/>
      <c r="BA6392" s="331"/>
      <c r="BB6392" s="331"/>
      <c r="BC6392" s="331"/>
      <c r="BD6392" s="331"/>
      <c r="BE6392" s="333"/>
      <c r="BF6392" s="330"/>
      <c r="BG6392" s="333"/>
      <c r="BH6392" s="1119"/>
      <c r="BI6392" s="319"/>
      <c r="BJ6392" s="319"/>
      <c r="BK6392" s="319"/>
      <c r="BL6392" s="319"/>
      <c r="BM6392" s="319"/>
      <c r="BN6392" s="319"/>
      <c r="BO6392" s="319"/>
      <c r="BP6392" s="953"/>
      <c r="BQ6392" s="319"/>
      <c r="BR6392" s="319"/>
      <c r="BS6392" s="330"/>
      <c r="BT6392" s="331"/>
      <c r="BU6392" s="920"/>
      <c r="BV6392" s="903"/>
      <c r="BW6392" s="908"/>
      <c r="BX6392" s="908"/>
      <c r="BY6392" s="331"/>
      <c r="BZ6392" s="331"/>
      <c r="CA6392" s="462"/>
      <c r="CB6392" s="319"/>
      <c r="CC6392" s="319"/>
      <c r="CD6392" s="319"/>
      <c r="CE6392" s="319"/>
      <c r="CF6392" s="319"/>
      <c r="CG6392" s="319"/>
      <c r="CH6392" s="318"/>
      <c r="CI6392" s="319"/>
      <c r="CJ6392" s="319"/>
      <c r="CK6392" s="342"/>
      <c r="CL6392" s="333"/>
      <c r="CM6392" s="1079"/>
      <c r="CN6392" s="1005"/>
      <c r="CO6392" s="1005"/>
      <c r="CP6392" s="1005"/>
    </row>
    <row r="6393">
      <c r="A6393" s="1257"/>
      <c r="B6393" s="1113"/>
      <c r="C6393" s="1107"/>
      <c r="D6393" s="103"/>
      <c r="E6393" s="1137"/>
      <c r="F6393" s="112"/>
      <c r="G6393" s="1110"/>
      <c r="H6393" s="1138"/>
      <c r="I6393" s="1138"/>
      <c r="J6393" s="1139"/>
      <c r="K6393" s="1111"/>
      <c r="L6393" s="1112"/>
      <c r="M6393" s="1113"/>
      <c r="N6393" s="110"/>
      <c r="O6393" s="1140"/>
      <c r="P6393" s="1115"/>
      <c r="Q6393" s="1116"/>
      <c r="R6393" s="1141"/>
      <c r="S6393" s="1113"/>
      <c r="T6393" s="1143"/>
      <c r="U6393" s="1108"/>
      <c r="V6393" s="1108"/>
      <c r="W6393" s="1108"/>
      <c r="X6393" s="1108"/>
      <c r="Y6393" s="1108"/>
      <c r="Z6393" s="1114"/>
      <c r="AA6393" s="1114"/>
      <c r="AB6393" s="1114"/>
      <c r="AC6393" s="1117"/>
      <c r="AD6393" s="1115"/>
      <c r="AE6393" s="1115"/>
      <c r="AF6393" s="1115"/>
      <c r="AG6393" s="1115"/>
      <c r="AH6393" s="1115"/>
      <c r="AI6393" s="1115"/>
      <c r="AJ6393" s="1117"/>
      <c r="AK6393" s="1118"/>
      <c r="AL6393" s="1115"/>
      <c r="AM6393" s="1115"/>
      <c r="AN6393" s="1115"/>
      <c r="AO6393" s="1115"/>
      <c r="AP6393" s="1115"/>
      <c r="AQ6393" s="1115"/>
      <c r="AR6393" s="1115"/>
      <c r="AS6393" s="1117"/>
      <c r="AT6393" s="1075"/>
      <c r="AU6393" s="1193"/>
      <c r="AV6393" s="330"/>
      <c r="AW6393" s="331"/>
      <c r="AX6393" s="331"/>
      <c r="AY6393" s="331"/>
      <c r="AZ6393" s="331"/>
      <c r="BA6393" s="331"/>
      <c r="BB6393" s="331"/>
      <c r="BC6393" s="331"/>
      <c r="BD6393" s="331"/>
      <c r="BE6393" s="333"/>
      <c r="BF6393" s="330"/>
      <c r="BG6393" s="333"/>
      <c r="BH6393" s="1119"/>
      <c r="BI6393" s="319"/>
      <c r="BJ6393" s="319"/>
      <c r="BK6393" s="319"/>
      <c r="BL6393" s="319"/>
      <c r="BM6393" s="319"/>
      <c r="BN6393" s="319"/>
      <c r="BO6393" s="319"/>
      <c r="BP6393" s="953"/>
      <c r="BQ6393" s="319"/>
      <c r="BR6393" s="319"/>
      <c r="BS6393" s="330"/>
      <c r="BT6393" s="331"/>
      <c r="BU6393" s="920"/>
      <c r="BV6393" s="903"/>
      <c r="BW6393" s="908"/>
      <c r="BX6393" s="908"/>
      <c r="BY6393" s="331"/>
      <c r="BZ6393" s="331"/>
      <c r="CA6393" s="462"/>
      <c r="CB6393" s="319"/>
      <c r="CC6393" s="319"/>
      <c r="CD6393" s="319"/>
      <c r="CE6393" s="319"/>
      <c r="CF6393" s="319"/>
      <c r="CG6393" s="319"/>
      <c r="CH6393" s="318"/>
      <c r="CI6393" s="319"/>
      <c r="CJ6393" s="319"/>
      <c r="CK6393" s="342"/>
      <c r="CL6393" s="333"/>
      <c r="CM6393" s="1079"/>
      <c r="CN6393" s="1005"/>
      <c r="CO6393" s="1005"/>
      <c r="CP6393" s="1005"/>
    </row>
    <row r="6394">
      <c r="A6394" s="1257"/>
      <c r="B6394" s="1113"/>
      <c r="C6394" s="1107"/>
      <c r="D6394" s="103"/>
      <c r="E6394" s="1137"/>
      <c r="F6394" s="112"/>
      <c r="G6394" s="1110"/>
      <c r="H6394" s="1138"/>
      <c r="I6394" s="1138"/>
      <c r="J6394" s="1139"/>
      <c r="K6394" s="1111"/>
      <c r="L6394" s="1112"/>
      <c r="M6394" s="1113"/>
      <c r="N6394" s="110"/>
      <c r="O6394" s="1140"/>
      <c r="P6394" s="1115"/>
      <c r="Q6394" s="1116"/>
      <c r="R6394" s="1141"/>
      <c r="S6394" s="1113"/>
      <c r="T6394" s="1143"/>
      <c r="U6394" s="1108"/>
      <c r="V6394" s="1108"/>
      <c r="W6394" s="1108"/>
      <c r="X6394" s="1108"/>
      <c r="Y6394" s="1108"/>
      <c r="Z6394" s="1114"/>
      <c r="AA6394" s="1114"/>
      <c r="AB6394" s="1114"/>
      <c r="AC6394" s="1117"/>
      <c r="AD6394" s="1115"/>
      <c r="AE6394" s="1115"/>
      <c r="AF6394" s="1115"/>
      <c r="AG6394" s="1115"/>
      <c r="AH6394" s="1115"/>
      <c r="AI6394" s="1115"/>
      <c r="AJ6394" s="1117"/>
      <c r="AK6394" s="1118"/>
      <c r="AL6394" s="1115"/>
      <c r="AM6394" s="1115"/>
      <c r="AN6394" s="1115"/>
      <c r="AO6394" s="1115"/>
      <c r="AP6394" s="1115"/>
      <c r="AQ6394" s="1115"/>
      <c r="AR6394" s="1115"/>
      <c r="AS6394" s="1117"/>
      <c r="AT6394" s="1075"/>
      <c r="AU6394" s="1193"/>
      <c r="AV6394" s="330"/>
      <c r="AW6394" s="331"/>
      <c r="AX6394" s="331"/>
      <c r="AY6394" s="331"/>
      <c r="AZ6394" s="331"/>
      <c r="BA6394" s="331"/>
      <c r="BB6394" s="331"/>
      <c r="BC6394" s="331"/>
      <c r="BD6394" s="331"/>
      <c r="BE6394" s="333"/>
      <c r="BF6394" s="330"/>
      <c r="BG6394" s="333"/>
      <c r="BH6394" s="1119"/>
      <c r="BI6394" s="319"/>
      <c r="BJ6394" s="319"/>
      <c r="BK6394" s="319"/>
      <c r="BL6394" s="319"/>
      <c r="BM6394" s="319"/>
      <c r="BN6394" s="319"/>
      <c r="BO6394" s="319"/>
      <c r="BP6394" s="953"/>
      <c r="BQ6394" s="319"/>
      <c r="BR6394" s="319"/>
      <c r="BS6394" s="330"/>
      <c r="BT6394" s="331"/>
      <c r="BU6394" s="920"/>
      <c r="BV6394" s="903"/>
      <c r="BW6394" s="908"/>
      <c r="BX6394" s="908"/>
      <c r="BY6394" s="331"/>
      <c r="BZ6394" s="331"/>
      <c r="CA6394" s="462"/>
      <c r="CB6394" s="319"/>
      <c r="CC6394" s="319"/>
      <c r="CD6394" s="319"/>
      <c r="CE6394" s="319"/>
      <c r="CF6394" s="319"/>
      <c r="CG6394" s="319"/>
      <c r="CH6394" s="318"/>
      <c r="CI6394" s="319"/>
      <c r="CJ6394" s="319"/>
      <c r="CK6394" s="342"/>
      <c r="CL6394" s="333"/>
      <c r="CM6394" s="1079"/>
      <c r="CN6394" s="1005"/>
      <c r="CO6394" s="1005"/>
      <c r="CP6394" s="1005"/>
    </row>
    <row r="6395">
      <c r="A6395" s="1257"/>
      <c r="B6395" s="1113"/>
      <c r="C6395" s="1107"/>
      <c r="D6395" s="103"/>
      <c r="E6395" s="1137"/>
      <c r="F6395" s="112"/>
      <c r="G6395" s="1110"/>
      <c r="H6395" s="1138"/>
      <c r="I6395" s="1138"/>
      <c r="J6395" s="1139"/>
      <c r="K6395" s="1111"/>
      <c r="L6395" s="1112"/>
      <c r="M6395" s="1113"/>
      <c r="N6395" s="110"/>
      <c r="O6395" s="1140"/>
      <c r="P6395" s="1115"/>
      <c r="Q6395" s="1116"/>
      <c r="R6395" s="1141"/>
      <c r="S6395" s="1113"/>
      <c r="T6395" s="1143"/>
      <c r="U6395" s="1108"/>
      <c r="V6395" s="1108"/>
      <c r="W6395" s="1108"/>
      <c r="X6395" s="1108"/>
      <c r="Y6395" s="1108"/>
      <c r="Z6395" s="1114"/>
      <c r="AA6395" s="1114"/>
      <c r="AB6395" s="1114"/>
      <c r="AC6395" s="1117"/>
      <c r="AD6395" s="1115"/>
      <c r="AE6395" s="1115"/>
      <c r="AF6395" s="1115"/>
      <c r="AG6395" s="1115"/>
      <c r="AH6395" s="1115"/>
      <c r="AI6395" s="1115"/>
      <c r="AJ6395" s="1117"/>
      <c r="AK6395" s="1118"/>
      <c r="AL6395" s="1115"/>
      <c r="AM6395" s="1115"/>
      <c r="AN6395" s="1115"/>
      <c r="AO6395" s="1115"/>
      <c r="AP6395" s="1115"/>
      <c r="AQ6395" s="1115"/>
      <c r="AR6395" s="1115"/>
      <c r="AS6395" s="1117"/>
      <c r="AT6395" s="1075"/>
      <c r="AU6395" s="1193"/>
      <c r="AV6395" s="330"/>
      <c r="AW6395" s="331"/>
      <c r="AX6395" s="331"/>
      <c r="AY6395" s="331"/>
      <c r="AZ6395" s="331"/>
      <c r="BA6395" s="331"/>
      <c r="BB6395" s="331"/>
      <c r="BC6395" s="331"/>
      <c r="BD6395" s="331"/>
      <c r="BE6395" s="333"/>
      <c r="BF6395" s="330"/>
      <c r="BG6395" s="333"/>
      <c r="BH6395" s="1119"/>
      <c r="BI6395" s="319"/>
      <c r="BJ6395" s="319"/>
      <c r="BK6395" s="319"/>
      <c r="BL6395" s="319"/>
      <c r="BM6395" s="319"/>
      <c r="BN6395" s="319"/>
      <c r="BO6395" s="319"/>
      <c r="BP6395" s="953"/>
      <c r="BQ6395" s="319"/>
      <c r="BR6395" s="319"/>
      <c r="BS6395" s="330"/>
      <c r="BT6395" s="331"/>
      <c r="BU6395" s="920"/>
      <c r="BV6395" s="903"/>
      <c r="BW6395" s="908"/>
      <c r="BX6395" s="908"/>
      <c r="BY6395" s="331"/>
      <c r="BZ6395" s="331"/>
      <c r="CA6395" s="462"/>
      <c r="CB6395" s="319"/>
      <c r="CC6395" s="319"/>
      <c r="CD6395" s="319"/>
      <c r="CE6395" s="319"/>
      <c r="CF6395" s="319"/>
      <c r="CG6395" s="319"/>
      <c r="CH6395" s="318"/>
      <c r="CI6395" s="319"/>
      <c r="CJ6395" s="319"/>
      <c r="CK6395" s="342"/>
      <c r="CL6395" s="333"/>
      <c r="CM6395" s="1079"/>
      <c r="CN6395" s="1005"/>
      <c r="CO6395" s="1005"/>
      <c r="CP6395" s="1005"/>
    </row>
    <row r="6396">
      <c r="A6396" s="1257"/>
      <c r="B6396" s="1113"/>
      <c r="C6396" s="1107"/>
      <c r="D6396" s="103"/>
      <c r="E6396" s="1137"/>
      <c r="F6396" s="112"/>
      <c r="G6396" s="1110"/>
      <c r="H6396" s="1138"/>
      <c r="I6396" s="1138"/>
      <c r="J6396" s="1139"/>
      <c r="K6396" s="1111"/>
      <c r="L6396" s="1112"/>
      <c r="M6396" s="1113"/>
      <c r="N6396" s="110"/>
      <c r="O6396" s="1140"/>
      <c r="P6396" s="1115"/>
      <c r="Q6396" s="1116"/>
      <c r="R6396" s="1141"/>
      <c r="S6396" s="1113"/>
      <c r="T6396" s="1143"/>
      <c r="U6396" s="1108"/>
      <c r="V6396" s="1108"/>
      <c r="W6396" s="1108"/>
      <c r="X6396" s="1108"/>
      <c r="Y6396" s="1108"/>
      <c r="Z6396" s="1114"/>
      <c r="AA6396" s="1114"/>
      <c r="AB6396" s="1114"/>
      <c r="AC6396" s="1117"/>
      <c r="AD6396" s="1115"/>
      <c r="AE6396" s="1115"/>
      <c r="AF6396" s="1115"/>
      <c r="AG6396" s="1115"/>
      <c r="AH6396" s="1115"/>
      <c r="AI6396" s="1115"/>
      <c r="AJ6396" s="1117"/>
      <c r="AK6396" s="1118"/>
      <c r="AL6396" s="1115"/>
      <c r="AM6396" s="1115"/>
      <c r="AN6396" s="1115"/>
      <c r="AO6396" s="1115"/>
      <c r="AP6396" s="1115"/>
      <c r="AQ6396" s="1115"/>
      <c r="AR6396" s="1115"/>
      <c r="AS6396" s="1117"/>
      <c r="AT6396" s="1075"/>
      <c r="AU6396" s="1193"/>
      <c r="AV6396" s="330"/>
      <c r="AW6396" s="331"/>
      <c r="AX6396" s="331"/>
      <c r="AY6396" s="331"/>
      <c r="AZ6396" s="331"/>
      <c r="BA6396" s="331"/>
      <c r="BB6396" s="331"/>
      <c r="BC6396" s="331"/>
      <c r="BD6396" s="331"/>
      <c r="BE6396" s="333"/>
      <c r="BF6396" s="330"/>
      <c r="BG6396" s="333"/>
      <c r="BH6396" s="1119"/>
      <c r="BI6396" s="319"/>
      <c r="BJ6396" s="319"/>
      <c r="BK6396" s="319"/>
      <c r="BL6396" s="319"/>
      <c r="BM6396" s="319"/>
      <c r="BN6396" s="319"/>
      <c r="BO6396" s="319"/>
      <c r="BP6396" s="953"/>
      <c r="BQ6396" s="319"/>
      <c r="BR6396" s="319"/>
      <c r="BS6396" s="330"/>
      <c r="BT6396" s="331"/>
      <c r="BU6396" s="920"/>
      <c r="BV6396" s="903"/>
      <c r="BW6396" s="908"/>
      <c r="BX6396" s="908"/>
      <c r="BY6396" s="331"/>
      <c r="BZ6396" s="331"/>
      <c r="CA6396" s="462"/>
      <c r="CB6396" s="319"/>
      <c r="CC6396" s="319"/>
      <c r="CD6396" s="319"/>
      <c r="CE6396" s="319"/>
      <c r="CF6396" s="319"/>
      <c r="CG6396" s="319"/>
      <c r="CH6396" s="318"/>
      <c r="CI6396" s="319"/>
      <c r="CJ6396" s="319"/>
      <c r="CK6396" s="342"/>
      <c r="CL6396" s="333"/>
      <c r="CM6396" s="1079"/>
      <c r="CN6396" s="1005"/>
      <c r="CO6396" s="1005"/>
      <c r="CP6396" s="1005"/>
    </row>
    <row r="6397">
      <c r="A6397" s="1257"/>
      <c r="B6397" s="1113"/>
      <c r="C6397" s="1107"/>
      <c r="D6397" s="103"/>
      <c r="E6397" s="1137"/>
      <c r="F6397" s="112"/>
      <c r="G6397" s="1110"/>
      <c r="H6397" s="1138"/>
      <c r="I6397" s="1138"/>
      <c r="J6397" s="1139"/>
      <c r="K6397" s="1111"/>
      <c r="L6397" s="1112"/>
      <c r="M6397" s="1113"/>
      <c r="N6397" s="110"/>
      <c r="O6397" s="1140"/>
      <c r="P6397" s="1115"/>
      <c r="Q6397" s="1116"/>
      <c r="R6397" s="1141"/>
      <c r="S6397" s="1113"/>
      <c r="T6397" s="1143"/>
      <c r="U6397" s="1108"/>
      <c r="V6397" s="1108"/>
      <c r="W6397" s="1108"/>
      <c r="X6397" s="1108"/>
      <c r="Y6397" s="1108"/>
      <c r="Z6397" s="1114"/>
      <c r="AA6397" s="1114"/>
      <c r="AB6397" s="1114"/>
      <c r="AC6397" s="1117"/>
      <c r="AD6397" s="1115"/>
      <c r="AE6397" s="1115"/>
      <c r="AF6397" s="1115"/>
      <c r="AG6397" s="1115"/>
      <c r="AH6397" s="1115"/>
      <c r="AI6397" s="1115"/>
      <c r="AJ6397" s="1117"/>
      <c r="AK6397" s="1118"/>
      <c r="AL6397" s="1115"/>
      <c r="AM6397" s="1115"/>
      <c r="AN6397" s="1115"/>
      <c r="AO6397" s="1115"/>
      <c r="AP6397" s="1115"/>
      <c r="AQ6397" s="1115"/>
      <c r="AR6397" s="1115"/>
      <c r="AS6397" s="1117"/>
      <c r="AT6397" s="1075"/>
      <c r="AU6397" s="1193"/>
      <c r="AV6397" s="330"/>
      <c r="AW6397" s="331"/>
      <c r="AX6397" s="331"/>
      <c r="AY6397" s="331"/>
      <c r="AZ6397" s="331"/>
      <c r="BA6397" s="331"/>
      <c r="BB6397" s="331"/>
      <c r="BC6397" s="331"/>
      <c r="BD6397" s="331"/>
      <c r="BE6397" s="333"/>
      <c r="BF6397" s="330"/>
      <c r="BG6397" s="333"/>
      <c r="BH6397" s="1119"/>
      <c r="BI6397" s="319"/>
      <c r="BJ6397" s="319"/>
      <c r="BK6397" s="319"/>
      <c r="BL6397" s="319"/>
      <c r="BM6397" s="319"/>
      <c r="BN6397" s="319"/>
      <c r="BO6397" s="319"/>
      <c r="BP6397" s="953"/>
      <c r="BQ6397" s="319"/>
      <c r="BR6397" s="319"/>
      <c r="BS6397" s="330"/>
      <c r="BT6397" s="331"/>
      <c r="BU6397" s="920"/>
      <c r="BV6397" s="903"/>
      <c r="BW6397" s="908"/>
      <c r="BX6397" s="908"/>
      <c r="BY6397" s="331"/>
      <c r="BZ6397" s="331"/>
      <c r="CA6397" s="462"/>
      <c r="CB6397" s="319"/>
      <c r="CC6397" s="319"/>
      <c r="CD6397" s="319"/>
      <c r="CE6397" s="319"/>
      <c r="CF6397" s="319"/>
      <c r="CG6397" s="319"/>
      <c r="CH6397" s="318"/>
      <c r="CI6397" s="319"/>
      <c r="CJ6397" s="319"/>
      <c r="CK6397" s="342"/>
      <c r="CL6397" s="333"/>
      <c r="CM6397" s="1079"/>
      <c r="CN6397" s="1005"/>
      <c r="CO6397" s="1005"/>
      <c r="CP6397" s="1005"/>
    </row>
    <row r="6398">
      <c r="A6398" s="1257"/>
      <c r="B6398" s="1113"/>
      <c r="C6398" s="1107"/>
      <c r="D6398" s="103"/>
      <c r="E6398" s="1137"/>
      <c r="F6398" s="112"/>
      <c r="G6398" s="1110"/>
      <c r="H6398" s="1138"/>
      <c r="I6398" s="1138"/>
      <c r="J6398" s="1139"/>
      <c r="K6398" s="1111"/>
      <c r="L6398" s="1112"/>
      <c r="M6398" s="1113"/>
      <c r="N6398" s="110"/>
      <c r="O6398" s="1140"/>
      <c r="P6398" s="1115"/>
      <c r="Q6398" s="1116"/>
      <c r="R6398" s="1141"/>
      <c r="S6398" s="1113"/>
      <c r="T6398" s="1143"/>
      <c r="U6398" s="1108"/>
      <c r="V6398" s="1108"/>
      <c r="W6398" s="1108"/>
      <c r="X6398" s="1108"/>
      <c r="Y6398" s="1108"/>
      <c r="Z6398" s="1114"/>
      <c r="AA6398" s="1114"/>
      <c r="AB6398" s="1114"/>
      <c r="AC6398" s="1117"/>
      <c r="AD6398" s="1115"/>
      <c r="AE6398" s="1115"/>
      <c r="AF6398" s="1115"/>
      <c r="AG6398" s="1115"/>
      <c r="AH6398" s="1115"/>
      <c r="AI6398" s="1115"/>
      <c r="AJ6398" s="1117"/>
      <c r="AK6398" s="1118"/>
      <c r="AL6398" s="1115"/>
      <c r="AM6398" s="1115"/>
      <c r="AN6398" s="1115"/>
      <c r="AO6398" s="1115"/>
      <c r="AP6398" s="1115"/>
      <c r="AQ6398" s="1115"/>
      <c r="AR6398" s="1115"/>
      <c r="AS6398" s="1117"/>
      <c r="AT6398" s="1075"/>
      <c r="AU6398" s="1193"/>
      <c r="AV6398" s="330"/>
      <c r="AW6398" s="331"/>
      <c r="AX6398" s="331"/>
      <c r="AY6398" s="331"/>
      <c r="AZ6398" s="331"/>
      <c r="BA6398" s="331"/>
      <c r="BB6398" s="331"/>
      <c r="BC6398" s="331"/>
      <c r="BD6398" s="331"/>
      <c r="BE6398" s="333"/>
      <c r="BF6398" s="330"/>
      <c r="BG6398" s="333"/>
      <c r="BH6398" s="1119"/>
      <c r="BI6398" s="319"/>
      <c r="BJ6398" s="319"/>
      <c r="BK6398" s="319"/>
      <c r="BL6398" s="319"/>
      <c r="BM6398" s="319"/>
      <c r="BN6398" s="319"/>
      <c r="BO6398" s="319"/>
      <c r="BP6398" s="953"/>
      <c r="BQ6398" s="319"/>
      <c r="BR6398" s="319"/>
      <c r="BS6398" s="330"/>
      <c r="BT6398" s="331"/>
      <c r="BU6398" s="920"/>
      <c r="BV6398" s="903"/>
      <c r="BW6398" s="908"/>
      <c r="BX6398" s="908"/>
      <c r="BY6398" s="331"/>
      <c r="BZ6398" s="331"/>
      <c r="CA6398" s="462"/>
      <c r="CB6398" s="319"/>
      <c r="CC6398" s="319"/>
      <c r="CD6398" s="319"/>
      <c r="CE6398" s="319"/>
      <c r="CF6398" s="319"/>
      <c r="CG6398" s="319"/>
      <c r="CH6398" s="318"/>
      <c r="CI6398" s="319"/>
      <c r="CJ6398" s="319"/>
      <c r="CK6398" s="342"/>
      <c r="CL6398" s="333"/>
      <c r="CM6398" s="1079"/>
      <c r="CN6398" s="1005"/>
      <c r="CO6398" s="1005"/>
      <c r="CP6398" s="1005"/>
    </row>
    <row r="6399">
      <c r="A6399" s="1257"/>
      <c r="B6399" s="1113"/>
      <c r="C6399" s="1107"/>
      <c r="D6399" s="103"/>
      <c r="E6399" s="1137"/>
      <c r="F6399" s="112"/>
      <c r="G6399" s="1110"/>
      <c r="H6399" s="1138"/>
      <c r="I6399" s="1138"/>
      <c r="J6399" s="1139"/>
      <c r="K6399" s="1111"/>
      <c r="L6399" s="1112"/>
      <c r="M6399" s="1113"/>
      <c r="N6399" s="110"/>
      <c r="O6399" s="1140"/>
      <c r="P6399" s="1115"/>
      <c r="Q6399" s="1116"/>
      <c r="R6399" s="1141"/>
      <c r="S6399" s="1113"/>
      <c r="T6399" s="1143"/>
      <c r="U6399" s="1108"/>
      <c r="V6399" s="1108"/>
      <c r="W6399" s="1108"/>
      <c r="X6399" s="1108"/>
      <c r="Y6399" s="1108"/>
      <c r="Z6399" s="1114"/>
      <c r="AA6399" s="1114"/>
      <c r="AB6399" s="1114"/>
      <c r="AC6399" s="1117"/>
      <c r="AD6399" s="1115"/>
      <c r="AE6399" s="1115"/>
      <c r="AF6399" s="1115"/>
      <c r="AG6399" s="1115"/>
      <c r="AH6399" s="1115"/>
      <c r="AI6399" s="1115"/>
      <c r="AJ6399" s="1117"/>
      <c r="AK6399" s="1118"/>
      <c r="AL6399" s="1115"/>
      <c r="AM6399" s="1115"/>
      <c r="AN6399" s="1115"/>
      <c r="AO6399" s="1115"/>
      <c r="AP6399" s="1115"/>
      <c r="AQ6399" s="1115"/>
      <c r="AR6399" s="1115"/>
      <c r="AS6399" s="1117"/>
      <c r="AT6399" s="1075"/>
      <c r="AU6399" s="1193"/>
      <c r="AV6399" s="330"/>
      <c r="AW6399" s="331"/>
      <c r="AX6399" s="331"/>
      <c r="AY6399" s="331"/>
      <c r="AZ6399" s="331"/>
      <c r="BA6399" s="331"/>
      <c r="BB6399" s="331"/>
      <c r="BC6399" s="331"/>
      <c r="BD6399" s="331"/>
      <c r="BE6399" s="333"/>
      <c r="BF6399" s="330"/>
      <c r="BG6399" s="333"/>
      <c r="BH6399" s="1119"/>
      <c r="BI6399" s="319"/>
      <c r="BJ6399" s="319"/>
      <c r="BK6399" s="319"/>
      <c r="BL6399" s="319"/>
      <c r="BM6399" s="319"/>
      <c r="BN6399" s="319"/>
      <c r="BO6399" s="319"/>
      <c r="BP6399" s="953"/>
      <c r="BQ6399" s="319"/>
      <c r="BR6399" s="319"/>
      <c r="BS6399" s="330"/>
      <c r="BT6399" s="331"/>
      <c r="BU6399" s="920"/>
      <c r="BV6399" s="903"/>
      <c r="BW6399" s="908"/>
      <c r="BX6399" s="908"/>
      <c r="BY6399" s="331"/>
      <c r="BZ6399" s="331"/>
      <c r="CA6399" s="462"/>
      <c r="CB6399" s="319"/>
      <c r="CC6399" s="319"/>
      <c r="CD6399" s="319"/>
      <c r="CE6399" s="319"/>
      <c r="CF6399" s="319"/>
      <c r="CG6399" s="319"/>
      <c r="CH6399" s="318"/>
      <c r="CI6399" s="319"/>
      <c r="CJ6399" s="319"/>
      <c r="CK6399" s="342"/>
      <c r="CL6399" s="333"/>
      <c r="CM6399" s="1079"/>
      <c r="CN6399" s="1005"/>
      <c r="CO6399" s="1005"/>
      <c r="CP6399" s="1005"/>
    </row>
    <row r="6400">
      <c r="A6400" s="1257"/>
      <c r="B6400" s="1113"/>
      <c r="C6400" s="1107"/>
      <c r="D6400" s="103"/>
      <c r="E6400" s="1137"/>
      <c r="F6400" s="112"/>
      <c r="G6400" s="1110"/>
      <c r="H6400" s="1138"/>
      <c r="I6400" s="1138"/>
      <c r="J6400" s="1139"/>
      <c r="K6400" s="1111"/>
      <c r="L6400" s="1112"/>
      <c r="M6400" s="1113"/>
      <c r="N6400" s="110"/>
      <c r="O6400" s="1140"/>
      <c r="P6400" s="1115"/>
      <c r="Q6400" s="1116"/>
      <c r="R6400" s="1141"/>
      <c r="S6400" s="1113"/>
      <c r="T6400" s="1143"/>
      <c r="U6400" s="1108"/>
      <c r="V6400" s="1108"/>
      <c r="W6400" s="1108"/>
      <c r="X6400" s="1108"/>
      <c r="Y6400" s="1108"/>
      <c r="Z6400" s="1114"/>
      <c r="AA6400" s="1114"/>
      <c r="AB6400" s="1114"/>
      <c r="AC6400" s="1117"/>
      <c r="AD6400" s="1115"/>
      <c r="AE6400" s="1115"/>
      <c r="AF6400" s="1115"/>
      <c r="AG6400" s="1115"/>
      <c r="AH6400" s="1115"/>
      <c r="AI6400" s="1115"/>
      <c r="AJ6400" s="1117"/>
      <c r="AK6400" s="1118"/>
      <c r="AL6400" s="1115"/>
      <c r="AM6400" s="1115"/>
      <c r="AN6400" s="1115"/>
      <c r="AO6400" s="1115"/>
      <c r="AP6400" s="1115"/>
      <c r="AQ6400" s="1115"/>
      <c r="AR6400" s="1115"/>
      <c r="AS6400" s="1117"/>
      <c r="AT6400" s="1075"/>
      <c r="AU6400" s="1193"/>
      <c r="AV6400" s="330"/>
      <c r="AW6400" s="331"/>
      <c r="AX6400" s="331"/>
      <c r="AY6400" s="331"/>
      <c r="AZ6400" s="331"/>
      <c r="BA6400" s="331"/>
      <c r="BB6400" s="331"/>
      <c r="BC6400" s="331"/>
      <c r="BD6400" s="331"/>
      <c r="BE6400" s="333"/>
      <c r="BF6400" s="330"/>
      <c r="BG6400" s="333"/>
      <c r="BH6400" s="1119"/>
      <c r="BI6400" s="319"/>
      <c r="BJ6400" s="319"/>
      <c r="BK6400" s="319"/>
      <c r="BL6400" s="319"/>
      <c r="BM6400" s="319"/>
      <c r="BN6400" s="319"/>
      <c r="BO6400" s="319"/>
      <c r="BP6400" s="953"/>
      <c r="BQ6400" s="319"/>
      <c r="BR6400" s="319"/>
      <c r="BS6400" s="330"/>
      <c r="BT6400" s="331"/>
      <c r="BU6400" s="920"/>
      <c r="BV6400" s="903"/>
      <c r="BW6400" s="908"/>
      <c r="BX6400" s="908"/>
      <c r="BY6400" s="331"/>
      <c r="BZ6400" s="331"/>
      <c r="CA6400" s="462"/>
      <c r="CB6400" s="319"/>
      <c r="CC6400" s="319"/>
      <c r="CD6400" s="319"/>
      <c r="CE6400" s="319"/>
      <c r="CF6400" s="319"/>
      <c r="CG6400" s="319"/>
      <c r="CH6400" s="318"/>
      <c r="CI6400" s="319"/>
      <c r="CJ6400" s="319"/>
      <c r="CK6400" s="342"/>
      <c r="CL6400" s="333"/>
      <c r="CM6400" s="1079"/>
      <c r="CN6400" s="1005"/>
      <c r="CO6400" s="1005"/>
      <c r="CP6400" s="1005"/>
    </row>
    <row r="6401">
      <c r="A6401" s="1257"/>
      <c r="B6401" s="1113"/>
      <c r="C6401" s="1107"/>
      <c r="D6401" s="103"/>
      <c r="E6401" s="1137"/>
      <c r="F6401" s="112"/>
      <c r="G6401" s="1110"/>
      <c r="H6401" s="1138"/>
      <c r="I6401" s="1138"/>
      <c r="J6401" s="1139"/>
      <c r="K6401" s="1111"/>
      <c r="L6401" s="1112"/>
      <c r="M6401" s="1113"/>
      <c r="N6401" s="110"/>
      <c r="O6401" s="1140"/>
      <c r="P6401" s="1115"/>
      <c r="Q6401" s="1116"/>
      <c r="R6401" s="1141"/>
      <c r="S6401" s="1113"/>
      <c r="T6401" s="1143"/>
      <c r="U6401" s="1108"/>
      <c r="V6401" s="1108"/>
      <c r="W6401" s="1108"/>
      <c r="X6401" s="1108"/>
      <c r="Y6401" s="1108"/>
      <c r="Z6401" s="1114"/>
      <c r="AA6401" s="1114"/>
      <c r="AB6401" s="1114"/>
      <c r="AC6401" s="1117"/>
      <c r="AD6401" s="1115"/>
      <c r="AE6401" s="1115"/>
      <c r="AF6401" s="1115"/>
      <c r="AG6401" s="1115"/>
      <c r="AH6401" s="1115"/>
      <c r="AI6401" s="1115"/>
      <c r="AJ6401" s="1117"/>
      <c r="AK6401" s="1118"/>
      <c r="AL6401" s="1115"/>
      <c r="AM6401" s="1115"/>
      <c r="AN6401" s="1115"/>
      <c r="AO6401" s="1115"/>
      <c r="AP6401" s="1115"/>
      <c r="AQ6401" s="1115"/>
      <c r="AR6401" s="1115"/>
      <c r="AS6401" s="1117"/>
      <c r="AT6401" s="1075"/>
      <c r="AU6401" s="1193"/>
      <c r="AV6401" s="330"/>
      <c r="AW6401" s="331"/>
      <c r="AX6401" s="331"/>
      <c r="AY6401" s="331"/>
      <c r="AZ6401" s="331"/>
      <c r="BA6401" s="331"/>
      <c r="BB6401" s="331"/>
      <c r="BC6401" s="331"/>
      <c r="BD6401" s="331"/>
      <c r="BE6401" s="333"/>
      <c r="BF6401" s="330"/>
      <c r="BG6401" s="333"/>
      <c r="BH6401" s="1119"/>
      <c r="BI6401" s="319"/>
      <c r="BJ6401" s="319"/>
      <c r="BK6401" s="319"/>
      <c r="BL6401" s="319"/>
      <c r="BM6401" s="319"/>
      <c r="BN6401" s="319"/>
      <c r="BO6401" s="319"/>
      <c r="BP6401" s="953"/>
      <c r="BQ6401" s="319"/>
      <c r="BR6401" s="319"/>
      <c r="BS6401" s="330"/>
      <c r="BT6401" s="331"/>
      <c r="BU6401" s="920"/>
      <c r="BV6401" s="903"/>
      <c r="BW6401" s="908"/>
      <c r="BX6401" s="908"/>
      <c r="BY6401" s="331"/>
      <c r="BZ6401" s="331"/>
      <c r="CA6401" s="462"/>
      <c r="CB6401" s="319"/>
      <c r="CC6401" s="319"/>
      <c r="CD6401" s="319"/>
      <c r="CE6401" s="319"/>
      <c r="CF6401" s="319"/>
      <c r="CG6401" s="319"/>
      <c r="CH6401" s="318"/>
      <c r="CI6401" s="319"/>
      <c r="CJ6401" s="319"/>
      <c r="CK6401" s="342"/>
      <c r="CL6401" s="333"/>
      <c r="CM6401" s="1079"/>
      <c r="CN6401" s="1005"/>
      <c r="CO6401" s="1005"/>
      <c r="CP6401" s="1005"/>
    </row>
    <row r="6402">
      <c r="A6402" s="1257"/>
      <c r="B6402" s="1113"/>
      <c r="C6402" s="1107"/>
      <c r="D6402" s="103"/>
      <c r="E6402" s="1137"/>
      <c r="F6402" s="112"/>
      <c r="G6402" s="1110"/>
      <c r="H6402" s="1138"/>
      <c r="I6402" s="1138"/>
      <c r="J6402" s="1139"/>
      <c r="K6402" s="1111"/>
      <c r="L6402" s="1112"/>
      <c r="M6402" s="1113"/>
      <c r="N6402" s="110"/>
      <c r="O6402" s="1140"/>
      <c r="P6402" s="1115"/>
      <c r="Q6402" s="1116"/>
      <c r="R6402" s="1141"/>
      <c r="S6402" s="1113"/>
      <c r="T6402" s="1143"/>
      <c r="U6402" s="1108"/>
      <c r="V6402" s="1108"/>
      <c r="W6402" s="1108"/>
      <c r="X6402" s="1108"/>
      <c r="Y6402" s="1108"/>
      <c r="Z6402" s="1114"/>
      <c r="AA6402" s="1114"/>
      <c r="AB6402" s="1114"/>
      <c r="AC6402" s="1117"/>
      <c r="AD6402" s="1115"/>
      <c r="AE6402" s="1115"/>
      <c r="AF6402" s="1115"/>
      <c r="AG6402" s="1115"/>
      <c r="AH6402" s="1115"/>
      <c r="AI6402" s="1115"/>
      <c r="AJ6402" s="1117"/>
      <c r="AK6402" s="1118"/>
      <c r="AL6402" s="1115"/>
      <c r="AM6402" s="1115"/>
      <c r="AN6402" s="1115"/>
      <c r="AO6402" s="1115"/>
      <c r="AP6402" s="1115"/>
      <c r="AQ6402" s="1115"/>
      <c r="AR6402" s="1115"/>
      <c r="AS6402" s="1117"/>
      <c r="AT6402" s="1075"/>
      <c r="AU6402" s="1193"/>
      <c r="AV6402" s="330"/>
      <c r="AW6402" s="331"/>
      <c r="AX6402" s="331"/>
      <c r="AY6402" s="331"/>
      <c r="AZ6402" s="331"/>
      <c r="BA6402" s="331"/>
      <c r="BB6402" s="331"/>
      <c r="BC6402" s="331"/>
      <c r="BD6402" s="331"/>
      <c r="BE6402" s="333"/>
      <c r="BF6402" s="330"/>
      <c r="BG6402" s="333"/>
      <c r="BH6402" s="1119"/>
      <c r="BI6402" s="319"/>
      <c r="BJ6402" s="319"/>
      <c r="BK6402" s="319"/>
      <c r="BL6402" s="319"/>
      <c r="BM6402" s="319"/>
      <c r="BN6402" s="319"/>
      <c r="BO6402" s="319"/>
      <c r="BP6402" s="953"/>
      <c r="BQ6402" s="319"/>
      <c r="BR6402" s="319"/>
      <c r="BS6402" s="330"/>
      <c r="BT6402" s="331"/>
      <c r="BU6402" s="920"/>
      <c r="BV6402" s="903"/>
      <c r="BW6402" s="908"/>
      <c r="BX6402" s="908"/>
      <c r="BY6402" s="331"/>
      <c r="BZ6402" s="331"/>
      <c r="CA6402" s="462"/>
      <c r="CB6402" s="319"/>
      <c r="CC6402" s="319"/>
      <c r="CD6402" s="319"/>
      <c r="CE6402" s="319"/>
      <c r="CF6402" s="319"/>
      <c r="CG6402" s="319"/>
      <c r="CH6402" s="318"/>
      <c r="CI6402" s="319"/>
      <c r="CJ6402" s="319"/>
      <c r="CK6402" s="342"/>
      <c r="CL6402" s="333"/>
      <c r="CM6402" s="1079"/>
      <c r="CN6402" s="1005"/>
      <c r="CO6402" s="1005"/>
      <c r="CP6402" s="1005"/>
    </row>
    <row r="6403">
      <c r="A6403" s="1257"/>
      <c r="B6403" s="1113"/>
      <c r="C6403" s="1107"/>
      <c r="D6403" s="103"/>
      <c r="E6403" s="1137"/>
      <c r="F6403" s="112"/>
      <c r="G6403" s="1110"/>
      <c r="H6403" s="1138"/>
      <c r="I6403" s="1138"/>
      <c r="J6403" s="1139"/>
      <c r="K6403" s="1111"/>
      <c r="L6403" s="1112"/>
      <c r="M6403" s="1113"/>
      <c r="N6403" s="110"/>
      <c r="O6403" s="1140"/>
      <c r="P6403" s="1115"/>
      <c r="Q6403" s="1116"/>
      <c r="R6403" s="1141"/>
      <c r="S6403" s="1113"/>
      <c r="T6403" s="1143"/>
      <c r="U6403" s="1108"/>
      <c r="V6403" s="1108"/>
      <c r="W6403" s="1108"/>
      <c r="X6403" s="1108"/>
      <c r="Y6403" s="1108"/>
      <c r="Z6403" s="1114"/>
      <c r="AA6403" s="1114"/>
      <c r="AB6403" s="1114"/>
      <c r="AC6403" s="1117"/>
      <c r="AD6403" s="1115"/>
      <c r="AE6403" s="1115"/>
      <c r="AF6403" s="1115"/>
      <c r="AG6403" s="1115"/>
      <c r="AH6403" s="1115"/>
      <c r="AI6403" s="1115"/>
      <c r="AJ6403" s="1117"/>
      <c r="AK6403" s="1118"/>
      <c r="AL6403" s="1115"/>
      <c r="AM6403" s="1115"/>
      <c r="AN6403" s="1115"/>
      <c r="AO6403" s="1115"/>
      <c r="AP6403" s="1115"/>
      <c r="AQ6403" s="1115"/>
      <c r="AR6403" s="1115"/>
      <c r="AS6403" s="1117"/>
      <c r="AT6403" s="1075"/>
      <c r="AU6403" s="1193"/>
      <c r="AV6403" s="330"/>
      <c r="AW6403" s="331"/>
      <c r="AX6403" s="331"/>
      <c r="AY6403" s="331"/>
      <c r="AZ6403" s="331"/>
      <c r="BA6403" s="331"/>
      <c r="BB6403" s="331"/>
      <c r="BC6403" s="331"/>
      <c r="BD6403" s="331"/>
      <c r="BE6403" s="333"/>
      <c r="BF6403" s="330"/>
      <c r="BG6403" s="333"/>
      <c r="BH6403" s="1119"/>
      <c r="BI6403" s="319"/>
      <c r="BJ6403" s="319"/>
      <c r="BK6403" s="319"/>
      <c r="BL6403" s="319"/>
      <c r="BM6403" s="319"/>
      <c r="BN6403" s="319"/>
      <c r="BO6403" s="319"/>
      <c r="BP6403" s="953"/>
      <c r="BQ6403" s="319"/>
      <c r="BR6403" s="319"/>
      <c r="BS6403" s="330"/>
      <c r="BT6403" s="331"/>
      <c r="BU6403" s="920"/>
      <c r="BV6403" s="903"/>
      <c r="BW6403" s="908"/>
      <c r="BX6403" s="908"/>
      <c r="BY6403" s="331"/>
      <c r="BZ6403" s="331"/>
      <c r="CA6403" s="462"/>
      <c r="CB6403" s="319"/>
      <c r="CC6403" s="319"/>
      <c r="CD6403" s="319"/>
      <c r="CE6403" s="319"/>
      <c r="CF6403" s="319"/>
      <c r="CG6403" s="319"/>
      <c r="CH6403" s="318"/>
      <c r="CI6403" s="319"/>
      <c r="CJ6403" s="319"/>
      <c r="CK6403" s="342"/>
      <c r="CL6403" s="333"/>
      <c r="CM6403" s="1079"/>
      <c r="CN6403" s="1005"/>
      <c r="CO6403" s="1005"/>
      <c r="CP6403" s="1005"/>
    </row>
    <row r="6404">
      <c r="A6404" s="1257"/>
      <c r="B6404" s="1113"/>
      <c r="C6404" s="1107"/>
      <c r="D6404" s="103"/>
      <c r="E6404" s="1137"/>
      <c r="F6404" s="112"/>
      <c r="G6404" s="1110"/>
      <c r="H6404" s="1138"/>
      <c r="I6404" s="1138"/>
      <c r="J6404" s="1139"/>
      <c r="K6404" s="1111"/>
      <c r="L6404" s="1112"/>
      <c r="M6404" s="1113"/>
      <c r="N6404" s="110"/>
      <c r="O6404" s="1140"/>
      <c r="P6404" s="1115"/>
      <c r="Q6404" s="1116"/>
      <c r="R6404" s="1141"/>
      <c r="S6404" s="1113"/>
      <c r="T6404" s="1143"/>
      <c r="U6404" s="1108"/>
      <c r="V6404" s="1108"/>
      <c r="W6404" s="1108"/>
      <c r="X6404" s="1108"/>
      <c r="Y6404" s="1108"/>
      <c r="Z6404" s="1114"/>
      <c r="AA6404" s="1114"/>
      <c r="AB6404" s="1114"/>
      <c r="AC6404" s="1117"/>
      <c r="AD6404" s="1115"/>
      <c r="AE6404" s="1115"/>
      <c r="AF6404" s="1115"/>
      <c r="AG6404" s="1115"/>
      <c r="AH6404" s="1115"/>
      <c r="AI6404" s="1115"/>
      <c r="AJ6404" s="1117"/>
      <c r="AK6404" s="1118"/>
      <c r="AL6404" s="1115"/>
      <c r="AM6404" s="1115"/>
      <c r="AN6404" s="1115"/>
      <c r="AO6404" s="1115"/>
      <c r="AP6404" s="1115"/>
      <c r="AQ6404" s="1115"/>
      <c r="AR6404" s="1115"/>
      <c r="AS6404" s="1117"/>
      <c r="AT6404" s="1075"/>
      <c r="AU6404" s="1193"/>
      <c r="AV6404" s="330"/>
      <c r="AW6404" s="331"/>
      <c r="AX6404" s="331"/>
      <c r="AY6404" s="331"/>
      <c r="AZ6404" s="331"/>
      <c r="BA6404" s="331"/>
      <c r="BB6404" s="331"/>
      <c r="BC6404" s="331"/>
      <c r="BD6404" s="331"/>
      <c r="BE6404" s="333"/>
      <c r="BF6404" s="330"/>
      <c r="BG6404" s="333"/>
      <c r="BH6404" s="1119"/>
      <c r="BI6404" s="319"/>
      <c r="BJ6404" s="319"/>
      <c r="BK6404" s="319"/>
      <c r="BL6404" s="319"/>
      <c r="BM6404" s="319"/>
      <c r="BN6404" s="319"/>
      <c r="BO6404" s="319"/>
      <c r="BP6404" s="953"/>
      <c r="BQ6404" s="319"/>
      <c r="BR6404" s="319"/>
      <c r="BS6404" s="330"/>
      <c r="BT6404" s="331"/>
      <c r="BU6404" s="920"/>
      <c r="BV6404" s="903"/>
      <c r="BW6404" s="908"/>
      <c r="BX6404" s="908"/>
      <c r="BY6404" s="331"/>
      <c r="BZ6404" s="331"/>
      <c r="CA6404" s="462"/>
      <c r="CB6404" s="319"/>
      <c r="CC6404" s="319"/>
      <c r="CD6404" s="319"/>
      <c r="CE6404" s="319"/>
      <c r="CF6404" s="319"/>
      <c r="CG6404" s="319"/>
      <c r="CH6404" s="318"/>
      <c r="CI6404" s="319"/>
      <c r="CJ6404" s="319"/>
      <c r="CK6404" s="342"/>
      <c r="CL6404" s="333"/>
      <c r="CM6404" s="1079"/>
      <c r="CN6404" s="1005"/>
      <c r="CO6404" s="1005"/>
      <c r="CP6404" s="1005"/>
    </row>
    <row r="6405">
      <c r="A6405" s="1257"/>
      <c r="B6405" s="1113"/>
      <c r="C6405" s="1107"/>
      <c r="D6405" s="103"/>
      <c r="E6405" s="1137"/>
      <c r="F6405" s="112"/>
      <c r="G6405" s="1110"/>
      <c r="H6405" s="1138"/>
      <c r="I6405" s="1138"/>
      <c r="J6405" s="1139"/>
      <c r="K6405" s="1111"/>
      <c r="L6405" s="1112"/>
      <c r="M6405" s="1113"/>
      <c r="N6405" s="110"/>
      <c r="O6405" s="1140"/>
      <c r="P6405" s="1115"/>
      <c r="Q6405" s="1116"/>
      <c r="R6405" s="1141"/>
      <c r="S6405" s="1113"/>
      <c r="T6405" s="1143"/>
      <c r="U6405" s="1108"/>
      <c r="V6405" s="1108"/>
      <c r="W6405" s="1108"/>
      <c r="X6405" s="1108"/>
      <c r="Y6405" s="1108"/>
      <c r="Z6405" s="1114"/>
      <c r="AA6405" s="1114"/>
      <c r="AB6405" s="1114"/>
      <c r="AC6405" s="1117"/>
      <c r="AD6405" s="1115"/>
      <c r="AE6405" s="1115"/>
      <c r="AF6405" s="1115"/>
      <c r="AG6405" s="1115"/>
      <c r="AH6405" s="1115"/>
      <c r="AI6405" s="1115"/>
      <c r="AJ6405" s="1117"/>
      <c r="AK6405" s="1118"/>
      <c r="AL6405" s="1115"/>
      <c r="AM6405" s="1115"/>
      <c r="AN6405" s="1115"/>
      <c r="AO6405" s="1115"/>
      <c r="AP6405" s="1115"/>
      <c r="AQ6405" s="1115"/>
      <c r="AR6405" s="1115"/>
      <c r="AS6405" s="1117"/>
      <c r="AT6405" s="1075"/>
      <c r="AU6405" s="1193"/>
      <c r="AV6405" s="330"/>
      <c r="AW6405" s="331"/>
      <c r="AX6405" s="331"/>
      <c r="AY6405" s="331"/>
      <c r="AZ6405" s="331"/>
      <c r="BA6405" s="331"/>
      <c r="BB6405" s="331"/>
      <c r="BC6405" s="331"/>
      <c r="BD6405" s="331"/>
      <c r="BE6405" s="333"/>
      <c r="BF6405" s="330"/>
      <c r="BG6405" s="333"/>
      <c r="BH6405" s="1119"/>
      <c r="BI6405" s="319"/>
      <c r="BJ6405" s="319"/>
      <c r="BK6405" s="319"/>
      <c r="BL6405" s="319"/>
      <c r="BM6405" s="319"/>
      <c r="BN6405" s="319"/>
      <c r="BO6405" s="319"/>
      <c r="BP6405" s="953"/>
      <c r="BQ6405" s="319"/>
      <c r="BR6405" s="319"/>
      <c r="BS6405" s="330"/>
      <c r="BT6405" s="331"/>
      <c r="BU6405" s="920"/>
      <c r="BV6405" s="903"/>
      <c r="BW6405" s="908"/>
      <c r="BX6405" s="908"/>
      <c r="BY6405" s="331"/>
      <c r="BZ6405" s="331"/>
      <c r="CA6405" s="462"/>
      <c r="CB6405" s="319"/>
      <c r="CC6405" s="319"/>
      <c r="CD6405" s="319"/>
      <c r="CE6405" s="319"/>
      <c r="CF6405" s="319"/>
      <c r="CG6405" s="319"/>
      <c r="CH6405" s="318"/>
      <c r="CI6405" s="319"/>
      <c r="CJ6405" s="319"/>
      <c r="CK6405" s="342"/>
      <c r="CL6405" s="333"/>
      <c r="CM6405" s="1079"/>
      <c r="CN6405" s="1005"/>
      <c r="CO6405" s="1005"/>
      <c r="CP6405" s="1005"/>
    </row>
    <row r="6406">
      <c r="A6406" s="1257"/>
      <c r="B6406" s="1113"/>
      <c r="C6406" s="1107"/>
      <c r="D6406" s="103"/>
      <c r="E6406" s="1137"/>
      <c r="F6406" s="112"/>
      <c r="G6406" s="1110"/>
      <c r="H6406" s="1138"/>
      <c r="I6406" s="1138"/>
      <c r="J6406" s="1139"/>
      <c r="K6406" s="1111"/>
      <c r="L6406" s="1112"/>
      <c r="M6406" s="1113"/>
      <c r="N6406" s="110"/>
      <c r="O6406" s="1140"/>
      <c r="P6406" s="1115"/>
      <c r="Q6406" s="1116"/>
      <c r="R6406" s="1141"/>
      <c r="S6406" s="1113"/>
      <c r="T6406" s="1143"/>
      <c r="U6406" s="1108"/>
      <c r="V6406" s="1108"/>
      <c r="W6406" s="1108"/>
      <c r="X6406" s="1108"/>
      <c r="Y6406" s="1108"/>
      <c r="Z6406" s="1114"/>
      <c r="AA6406" s="1114"/>
      <c r="AB6406" s="1114"/>
      <c r="AC6406" s="1117"/>
      <c r="AD6406" s="1115"/>
      <c r="AE6406" s="1115"/>
      <c r="AF6406" s="1115"/>
      <c r="AG6406" s="1115"/>
      <c r="AH6406" s="1115"/>
      <c r="AI6406" s="1115"/>
      <c r="AJ6406" s="1117"/>
      <c r="AK6406" s="1118"/>
      <c r="AL6406" s="1115"/>
      <c r="AM6406" s="1115"/>
      <c r="AN6406" s="1115"/>
      <c r="AO6406" s="1115"/>
      <c r="AP6406" s="1115"/>
      <c r="AQ6406" s="1115"/>
      <c r="AR6406" s="1115"/>
      <c r="AS6406" s="1117"/>
      <c r="AT6406" s="1075"/>
      <c r="AU6406" s="1193"/>
      <c r="AV6406" s="330"/>
      <c r="AW6406" s="331"/>
      <c r="AX6406" s="331"/>
      <c r="AY6406" s="331"/>
      <c r="AZ6406" s="331"/>
      <c r="BA6406" s="331"/>
      <c r="BB6406" s="331"/>
      <c r="BC6406" s="331"/>
      <c r="BD6406" s="331"/>
      <c r="BE6406" s="333"/>
      <c r="BF6406" s="330"/>
      <c r="BG6406" s="333"/>
      <c r="BH6406" s="1119"/>
      <c r="BI6406" s="319"/>
      <c r="BJ6406" s="319"/>
      <c r="BK6406" s="319"/>
      <c r="BL6406" s="319"/>
      <c r="BM6406" s="319"/>
      <c r="BN6406" s="319"/>
      <c r="BO6406" s="319"/>
      <c r="BP6406" s="953"/>
      <c r="BQ6406" s="319"/>
      <c r="BR6406" s="319"/>
      <c r="BS6406" s="330"/>
      <c r="BT6406" s="331"/>
      <c r="BU6406" s="920"/>
      <c r="BV6406" s="903"/>
      <c r="BW6406" s="908"/>
      <c r="BX6406" s="908"/>
      <c r="BY6406" s="331"/>
      <c r="BZ6406" s="331"/>
      <c r="CA6406" s="462"/>
      <c r="CB6406" s="319"/>
      <c r="CC6406" s="319"/>
      <c r="CD6406" s="319"/>
      <c r="CE6406" s="319"/>
      <c r="CF6406" s="319"/>
      <c r="CG6406" s="319"/>
      <c r="CH6406" s="318"/>
      <c r="CI6406" s="319"/>
      <c r="CJ6406" s="319"/>
      <c r="CK6406" s="342"/>
      <c r="CL6406" s="333"/>
      <c r="CM6406" s="1079"/>
      <c r="CN6406" s="1005"/>
      <c r="CO6406" s="1005"/>
      <c r="CP6406" s="1005"/>
    </row>
    <row r="6407">
      <c r="A6407" s="1257"/>
      <c r="B6407" s="1113"/>
      <c r="C6407" s="1107"/>
      <c r="D6407" s="103"/>
      <c r="E6407" s="1137"/>
      <c r="F6407" s="112"/>
      <c r="G6407" s="1110"/>
      <c r="H6407" s="1138"/>
      <c r="I6407" s="1138"/>
      <c r="J6407" s="1139"/>
      <c r="K6407" s="1111"/>
      <c r="L6407" s="1112"/>
      <c r="M6407" s="1113"/>
      <c r="N6407" s="110"/>
      <c r="O6407" s="1140"/>
      <c r="P6407" s="1115"/>
      <c r="Q6407" s="1116"/>
      <c r="R6407" s="1141"/>
      <c r="S6407" s="1113"/>
      <c r="T6407" s="1143"/>
      <c r="U6407" s="1108"/>
      <c r="V6407" s="1108"/>
      <c r="W6407" s="1108"/>
      <c r="X6407" s="1108"/>
      <c r="Y6407" s="1108"/>
      <c r="Z6407" s="1114"/>
      <c r="AA6407" s="1114"/>
      <c r="AB6407" s="1114"/>
      <c r="AC6407" s="1117"/>
      <c r="AD6407" s="1115"/>
      <c r="AE6407" s="1115"/>
      <c r="AF6407" s="1115"/>
      <c r="AG6407" s="1115"/>
      <c r="AH6407" s="1115"/>
      <c r="AI6407" s="1115"/>
      <c r="AJ6407" s="1117"/>
      <c r="AK6407" s="1118"/>
      <c r="AL6407" s="1115"/>
      <c r="AM6407" s="1115"/>
      <c r="AN6407" s="1115"/>
      <c r="AO6407" s="1115"/>
      <c r="AP6407" s="1115"/>
      <c r="AQ6407" s="1115"/>
      <c r="AR6407" s="1115"/>
      <c r="AS6407" s="1117"/>
      <c r="AT6407" s="1075"/>
      <c r="AU6407" s="1193"/>
      <c r="AV6407" s="330"/>
      <c r="AW6407" s="331"/>
      <c r="AX6407" s="331"/>
      <c r="AY6407" s="331"/>
      <c r="AZ6407" s="331"/>
      <c r="BA6407" s="331"/>
      <c r="BB6407" s="331"/>
      <c r="BC6407" s="331"/>
      <c r="BD6407" s="331"/>
      <c r="BE6407" s="333"/>
      <c r="BF6407" s="330"/>
      <c r="BG6407" s="333"/>
      <c r="BH6407" s="1119"/>
      <c r="BI6407" s="319"/>
      <c r="BJ6407" s="319"/>
      <c r="BK6407" s="319"/>
      <c r="BL6407" s="319"/>
      <c r="BM6407" s="319"/>
      <c r="BN6407" s="319"/>
      <c r="BO6407" s="319"/>
      <c r="BP6407" s="953"/>
      <c r="BQ6407" s="319"/>
      <c r="BR6407" s="319"/>
      <c r="BS6407" s="330"/>
      <c r="BT6407" s="331"/>
      <c r="BU6407" s="920"/>
      <c r="BV6407" s="903"/>
      <c r="BW6407" s="908"/>
      <c r="BX6407" s="908"/>
      <c r="BY6407" s="331"/>
      <c r="BZ6407" s="331"/>
      <c r="CA6407" s="462"/>
      <c r="CB6407" s="319"/>
      <c r="CC6407" s="319"/>
      <c r="CD6407" s="319"/>
      <c r="CE6407" s="319"/>
      <c r="CF6407" s="319"/>
      <c r="CG6407" s="319"/>
      <c r="CH6407" s="318"/>
      <c r="CI6407" s="319"/>
      <c r="CJ6407" s="319"/>
      <c r="CK6407" s="342"/>
      <c r="CL6407" s="333"/>
      <c r="CM6407" s="1079"/>
      <c r="CN6407" s="1005"/>
      <c r="CO6407" s="1005"/>
      <c r="CP6407" s="1005"/>
    </row>
    <row r="6408">
      <c r="A6408" s="1257"/>
      <c r="B6408" s="1113"/>
      <c r="C6408" s="1107"/>
      <c r="D6408" s="103"/>
      <c r="E6408" s="1137"/>
      <c r="F6408" s="112"/>
      <c r="G6408" s="1110"/>
      <c r="H6408" s="1138"/>
      <c r="I6408" s="1138"/>
      <c r="J6408" s="1139"/>
      <c r="K6408" s="1111"/>
      <c r="L6408" s="1112"/>
      <c r="M6408" s="1113"/>
      <c r="N6408" s="110"/>
      <c r="O6408" s="1140"/>
      <c r="P6408" s="1115"/>
      <c r="Q6408" s="1116"/>
      <c r="R6408" s="1141"/>
      <c r="S6408" s="1113"/>
      <c r="T6408" s="1143"/>
      <c r="U6408" s="1108"/>
      <c r="V6408" s="1108"/>
      <c r="W6408" s="1108"/>
      <c r="X6408" s="1108"/>
      <c r="Y6408" s="1108"/>
      <c r="Z6408" s="1114"/>
      <c r="AA6408" s="1114"/>
      <c r="AB6408" s="1114"/>
      <c r="AC6408" s="1117"/>
      <c r="AD6408" s="1115"/>
      <c r="AE6408" s="1115"/>
      <c r="AF6408" s="1115"/>
      <c r="AG6408" s="1115"/>
      <c r="AH6408" s="1115"/>
      <c r="AI6408" s="1115"/>
      <c r="AJ6408" s="1117"/>
      <c r="AK6408" s="1118"/>
      <c r="AL6408" s="1115"/>
      <c r="AM6408" s="1115"/>
      <c r="AN6408" s="1115"/>
      <c r="AO6408" s="1115"/>
      <c r="AP6408" s="1115"/>
      <c r="AQ6408" s="1115"/>
      <c r="AR6408" s="1115"/>
      <c r="AS6408" s="1117"/>
      <c r="AT6408" s="1075"/>
      <c r="AU6408" s="1193"/>
      <c r="AV6408" s="330"/>
      <c r="AW6408" s="331"/>
      <c r="AX6408" s="331"/>
      <c r="AY6408" s="331"/>
      <c r="AZ6408" s="331"/>
      <c r="BA6408" s="331"/>
      <c r="BB6408" s="331"/>
      <c r="BC6408" s="331"/>
      <c r="BD6408" s="331"/>
      <c r="BE6408" s="333"/>
      <c r="BF6408" s="330"/>
      <c r="BG6408" s="333"/>
      <c r="BH6408" s="1119"/>
      <c r="BI6408" s="319"/>
      <c r="BJ6408" s="319"/>
      <c r="BK6408" s="319"/>
      <c r="BL6408" s="319"/>
      <c r="BM6408" s="319"/>
      <c r="BN6408" s="319"/>
      <c r="BO6408" s="319"/>
      <c r="BP6408" s="953"/>
      <c r="BQ6408" s="319"/>
      <c r="BR6408" s="319"/>
      <c r="BS6408" s="330"/>
      <c r="BT6408" s="331"/>
      <c r="BU6408" s="920"/>
      <c r="BV6408" s="903"/>
      <c r="BW6408" s="908"/>
      <c r="BX6408" s="908"/>
      <c r="BY6408" s="331"/>
      <c r="BZ6408" s="331"/>
      <c r="CA6408" s="462"/>
      <c r="CB6408" s="319"/>
      <c r="CC6408" s="319"/>
      <c r="CD6408" s="319"/>
      <c r="CE6408" s="319"/>
      <c r="CF6408" s="319"/>
      <c r="CG6408" s="319"/>
      <c r="CH6408" s="318"/>
      <c r="CI6408" s="319"/>
      <c r="CJ6408" s="319"/>
      <c r="CK6408" s="342"/>
      <c r="CL6408" s="333"/>
      <c r="CM6408" s="1079"/>
      <c r="CN6408" s="1005"/>
      <c r="CO6408" s="1005"/>
      <c r="CP6408" s="1005"/>
    </row>
    <row r="6409">
      <c r="A6409" s="1257"/>
      <c r="B6409" s="1113"/>
      <c r="C6409" s="1107"/>
      <c r="D6409" s="103"/>
      <c r="E6409" s="1137"/>
      <c r="F6409" s="112"/>
      <c r="G6409" s="1110"/>
      <c r="H6409" s="1138"/>
      <c r="I6409" s="1138"/>
      <c r="J6409" s="1139"/>
      <c r="K6409" s="1111"/>
      <c r="L6409" s="1112"/>
      <c r="M6409" s="1113"/>
      <c r="N6409" s="110"/>
      <c r="O6409" s="1140"/>
      <c r="P6409" s="1115"/>
      <c r="Q6409" s="1116"/>
      <c r="R6409" s="1141"/>
      <c r="S6409" s="1113"/>
      <c r="T6409" s="1143"/>
      <c r="U6409" s="1108"/>
      <c r="V6409" s="1108"/>
      <c r="W6409" s="1108"/>
      <c r="X6409" s="1108"/>
      <c r="Y6409" s="1108"/>
      <c r="Z6409" s="1114"/>
      <c r="AA6409" s="1114"/>
      <c r="AB6409" s="1114"/>
      <c r="AC6409" s="1117"/>
      <c r="AD6409" s="1115"/>
      <c r="AE6409" s="1115"/>
      <c r="AF6409" s="1115"/>
      <c r="AG6409" s="1115"/>
      <c r="AH6409" s="1115"/>
      <c r="AI6409" s="1115"/>
      <c r="AJ6409" s="1117"/>
      <c r="AK6409" s="1118"/>
      <c r="AL6409" s="1115"/>
      <c r="AM6409" s="1115"/>
      <c r="AN6409" s="1115"/>
      <c r="AO6409" s="1115"/>
      <c r="AP6409" s="1115"/>
      <c r="AQ6409" s="1115"/>
      <c r="AR6409" s="1115"/>
      <c r="AS6409" s="1117"/>
      <c r="AT6409" s="1075"/>
      <c r="AU6409" s="1193"/>
      <c r="AV6409" s="330"/>
      <c r="AW6409" s="331"/>
      <c r="AX6409" s="331"/>
      <c r="AY6409" s="331"/>
      <c r="AZ6409" s="331"/>
      <c r="BA6409" s="331"/>
      <c r="BB6409" s="331"/>
      <c r="BC6409" s="331"/>
      <c r="BD6409" s="331"/>
      <c r="BE6409" s="333"/>
      <c r="BF6409" s="330"/>
      <c r="BG6409" s="333"/>
      <c r="BH6409" s="1119"/>
      <c r="BI6409" s="319"/>
      <c r="BJ6409" s="319"/>
      <c r="BK6409" s="319"/>
      <c r="BL6409" s="319"/>
      <c r="BM6409" s="319"/>
      <c r="BN6409" s="319"/>
      <c r="BO6409" s="319"/>
      <c r="BP6409" s="953"/>
      <c r="BQ6409" s="319"/>
      <c r="BR6409" s="319"/>
      <c r="BS6409" s="330"/>
      <c r="BT6409" s="331"/>
      <c r="BU6409" s="920"/>
      <c r="BV6409" s="903"/>
      <c r="BW6409" s="908"/>
      <c r="BX6409" s="908"/>
      <c r="BY6409" s="331"/>
      <c r="BZ6409" s="331"/>
      <c r="CA6409" s="462"/>
      <c r="CB6409" s="319"/>
      <c r="CC6409" s="319"/>
      <c r="CD6409" s="319"/>
      <c r="CE6409" s="319"/>
      <c r="CF6409" s="319"/>
      <c r="CG6409" s="319"/>
      <c r="CH6409" s="318"/>
      <c r="CI6409" s="319"/>
      <c r="CJ6409" s="319"/>
      <c r="CK6409" s="342"/>
      <c r="CL6409" s="333"/>
      <c r="CM6409" s="1079"/>
      <c r="CN6409" s="1005"/>
      <c r="CO6409" s="1005"/>
      <c r="CP6409" s="1005"/>
    </row>
    <row r="6410">
      <c r="A6410" s="1257"/>
      <c r="B6410" s="1113"/>
      <c r="C6410" s="1107"/>
      <c r="D6410" s="103"/>
      <c r="E6410" s="1137"/>
      <c r="F6410" s="112"/>
      <c r="G6410" s="1110"/>
      <c r="H6410" s="1138"/>
      <c r="I6410" s="1138"/>
      <c r="J6410" s="1139"/>
      <c r="K6410" s="1111"/>
      <c r="L6410" s="1112"/>
      <c r="M6410" s="1113"/>
      <c r="N6410" s="110"/>
      <c r="O6410" s="1140"/>
      <c r="P6410" s="1115"/>
      <c r="Q6410" s="1116"/>
      <c r="R6410" s="1141"/>
      <c r="S6410" s="1113"/>
      <c r="T6410" s="1143"/>
      <c r="U6410" s="1108"/>
      <c r="V6410" s="1108"/>
      <c r="W6410" s="1108"/>
      <c r="X6410" s="1108"/>
      <c r="Y6410" s="1108"/>
      <c r="Z6410" s="1114"/>
      <c r="AA6410" s="1114"/>
      <c r="AB6410" s="1114"/>
      <c r="AC6410" s="1117"/>
      <c r="AD6410" s="1115"/>
      <c r="AE6410" s="1115"/>
      <c r="AF6410" s="1115"/>
      <c r="AG6410" s="1115"/>
      <c r="AH6410" s="1115"/>
      <c r="AI6410" s="1115"/>
      <c r="AJ6410" s="1117"/>
      <c r="AK6410" s="1118"/>
      <c r="AL6410" s="1115"/>
      <c r="AM6410" s="1115"/>
      <c r="AN6410" s="1115"/>
      <c r="AO6410" s="1115"/>
      <c r="AP6410" s="1115"/>
      <c r="AQ6410" s="1115"/>
      <c r="AR6410" s="1115"/>
      <c r="AS6410" s="1117"/>
      <c r="AT6410" s="1075"/>
      <c r="AU6410" s="1193"/>
      <c r="AV6410" s="330"/>
      <c r="AW6410" s="331"/>
      <c r="AX6410" s="331"/>
      <c r="AY6410" s="331"/>
      <c r="AZ6410" s="331"/>
      <c r="BA6410" s="331"/>
      <c r="BB6410" s="331"/>
      <c r="BC6410" s="331"/>
      <c r="BD6410" s="331"/>
      <c r="BE6410" s="333"/>
      <c r="BF6410" s="330"/>
      <c r="BG6410" s="333"/>
      <c r="BH6410" s="1119"/>
      <c r="BI6410" s="319"/>
      <c r="BJ6410" s="319"/>
      <c r="BK6410" s="319"/>
      <c r="BL6410" s="319"/>
      <c r="BM6410" s="319"/>
      <c r="BN6410" s="319"/>
      <c r="BO6410" s="319"/>
      <c r="BP6410" s="953"/>
      <c r="BQ6410" s="319"/>
      <c r="BR6410" s="319"/>
      <c r="BS6410" s="330"/>
      <c r="BT6410" s="331"/>
      <c r="BU6410" s="920"/>
      <c r="BV6410" s="903"/>
      <c r="BW6410" s="908"/>
      <c r="BX6410" s="908"/>
      <c r="BY6410" s="331"/>
      <c r="BZ6410" s="331"/>
      <c r="CA6410" s="462"/>
      <c r="CB6410" s="319"/>
      <c r="CC6410" s="319"/>
      <c r="CD6410" s="319"/>
      <c r="CE6410" s="319"/>
      <c r="CF6410" s="319"/>
      <c r="CG6410" s="319"/>
      <c r="CH6410" s="318"/>
      <c r="CI6410" s="319"/>
      <c r="CJ6410" s="319"/>
      <c r="CK6410" s="342"/>
      <c r="CL6410" s="333"/>
      <c r="CM6410" s="1079"/>
      <c r="CN6410" s="1005"/>
      <c r="CO6410" s="1005"/>
      <c r="CP6410" s="1005"/>
    </row>
    <row r="6411">
      <c r="A6411" s="1257"/>
      <c r="B6411" s="1113"/>
      <c r="C6411" s="1107"/>
      <c r="D6411" s="103"/>
      <c r="E6411" s="1137"/>
      <c r="F6411" s="112"/>
      <c r="G6411" s="1110"/>
      <c r="H6411" s="1138"/>
      <c r="I6411" s="1138"/>
      <c r="J6411" s="1139"/>
      <c r="K6411" s="1111"/>
      <c r="L6411" s="1112"/>
      <c r="M6411" s="1113"/>
      <c r="N6411" s="110"/>
      <c r="O6411" s="1140"/>
      <c r="P6411" s="1115"/>
      <c r="Q6411" s="1116"/>
      <c r="R6411" s="1141"/>
      <c r="S6411" s="1113"/>
      <c r="T6411" s="1143"/>
      <c r="U6411" s="1108"/>
      <c r="V6411" s="1108"/>
      <c r="W6411" s="1108"/>
      <c r="X6411" s="1108"/>
      <c r="Y6411" s="1108"/>
      <c r="Z6411" s="1114"/>
      <c r="AA6411" s="1114"/>
      <c r="AB6411" s="1114"/>
      <c r="AC6411" s="1117"/>
      <c r="AD6411" s="1115"/>
      <c r="AE6411" s="1115"/>
      <c r="AF6411" s="1115"/>
      <c r="AG6411" s="1115"/>
      <c r="AH6411" s="1115"/>
      <c r="AI6411" s="1115"/>
      <c r="AJ6411" s="1117"/>
      <c r="AK6411" s="1118"/>
      <c r="AL6411" s="1115"/>
      <c r="AM6411" s="1115"/>
      <c r="AN6411" s="1115"/>
      <c r="AO6411" s="1115"/>
      <c r="AP6411" s="1115"/>
      <c r="AQ6411" s="1115"/>
      <c r="AR6411" s="1115"/>
      <c r="AS6411" s="1117"/>
      <c r="AT6411" s="1075"/>
      <c r="AU6411" s="1193"/>
      <c r="AV6411" s="330"/>
      <c r="AW6411" s="331"/>
      <c r="AX6411" s="331"/>
      <c r="AY6411" s="331"/>
      <c r="AZ6411" s="331"/>
      <c r="BA6411" s="331"/>
      <c r="BB6411" s="331"/>
      <c r="BC6411" s="331"/>
      <c r="BD6411" s="331"/>
      <c r="BE6411" s="333"/>
      <c r="BF6411" s="330"/>
      <c r="BG6411" s="333"/>
      <c r="BH6411" s="1119"/>
      <c r="BI6411" s="319"/>
      <c r="BJ6411" s="319"/>
      <c r="BK6411" s="319"/>
      <c r="BL6411" s="319"/>
      <c r="BM6411" s="319"/>
      <c r="BN6411" s="319"/>
      <c r="BO6411" s="319"/>
      <c r="BP6411" s="953"/>
      <c r="BQ6411" s="319"/>
      <c r="BR6411" s="319"/>
      <c r="BS6411" s="330"/>
      <c r="BT6411" s="331"/>
      <c r="BU6411" s="920"/>
      <c r="BV6411" s="903"/>
      <c r="BW6411" s="908"/>
      <c r="BX6411" s="908"/>
      <c r="BY6411" s="331"/>
      <c r="BZ6411" s="331"/>
      <c r="CA6411" s="462"/>
      <c r="CB6411" s="319"/>
      <c r="CC6411" s="319"/>
      <c r="CD6411" s="319"/>
      <c r="CE6411" s="319"/>
      <c r="CF6411" s="319"/>
      <c r="CG6411" s="319"/>
      <c r="CH6411" s="318"/>
      <c r="CI6411" s="319"/>
      <c r="CJ6411" s="319"/>
      <c r="CK6411" s="342"/>
      <c r="CL6411" s="333"/>
      <c r="CM6411" s="1079"/>
      <c r="CN6411" s="1005"/>
      <c r="CO6411" s="1005"/>
      <c r="CP6411" s="1005"/>
    </row>
    <row r="6412">
      <c r="A6412" s="1257"/>
      <c r="B6412" s="1113"/>
      <c r="C6412" s="1107"/>
      <c r="D6412" s="103"/>
      <c r="E6412" s="1137"/>
      <c r="F6412" s="112"/>
      <c r="G6412" s="1110"/>
      <c r="H6412" s="1138"/>
      <c r="I6412" s="1138"/>
      <c r="J6412" s="1139"/>
      <c r="K6412" s="1111"/>
      <c r="L6412" s="1112"/>
      <c r="M6412" s="1113"/>
      <c r="N6412" s="110"/>
      <c r="O6412" s="1140"/>
      <c r="P6412" s="1115"/>
      <c r="Q6412" s="1116"/>
      <c r="R6412" s="1141"/>
      <c r="S6412" s="1113"/>
      <c r="T6412" s="1143"/>
      <c r="U6412" s="1108"/>
      <c r="V6412" s="1108"/>
      <c r="W6412" s="1108"/>
      <c r="X6412" s="1108"/>
      <c r="Y6412" s="1108"/>
      <c r="Z6412" s="1114"/>
      <c r="AA6412" s="1114"/>
      <c r="AB6412" s="1114"/>
      <c r="AC6412" s="1117"/>
      <c r="AD6412" s="1115"/>
      <c r="AE6412" s="1115"/>
      <c r="AF6412" s="1115"/>
      <c r="AG6412" s="1115"/>
      <c r="AH6412" s="1115"/>
      <c r="AI6412" s="1115"/>
      <c r="AJ6412" s="1117"/>
      <c r="AK6412" s="1118"/>
      <c r="AL6412" s="1115"/>
      <c r="AM6412" s="1115"/>
      <c r="AN6412" s="1115"/>
      <c r="AO6412" s="1115"/>
      <c r="AP6412" s="1115"/>
      <c r="AQ6412" s="1115"/>
      <c r="AR6412" s="1115"/>
      <c r="AS6412" s="1117"/>
      <c r="AT6412" s="1075"/>
      <c r="AU6412" s="1193"/>
      <c r="AV6412" s="330"/>
      <c r="AW6412" s="331"/>
      <c r="AX6412" s="331"/>
      <c r="AY6412" s="331"/>
      <c r="AZ6412" s="331"/>
      <c r="BA6412" s="331"/>
      <c r="BB6412" s="331"/>
      <c r="BC6412" s="331"/>
      <c r="BD6412" s="331"/>
      <c r="BE6412" s="333"/>
      <c r="BF6412" s="330"/>
      <c r="BG6412" s="333"/>
      <c r="BH6412" s="1119"/>
      <c r="BI6412" s="319"/>
      <c r="BJ6412" s="319"/>
      <c r="BK6412" s="319"/>
      <c r="BL6412" s="319"/>
      <c r="BM6412" s="319"/>
      <c r="BN6412" s="319"/>
      <c r="BO6412" s="319"/>
      <c r="BP6412" s="953"/>
      <c r="BQ6412" s="319"/>
      <c r="BR6412" s="319"/>
      <c r="BS6412" s="330"/>
      <c r="BT6412" s="331"/>
      <c r="BU6412" s="920"/>
      <c r="BV6412" s="903"/>
      <c r="BW6412" s="908"/>
      <c r="BX6412" s="908"/>
      <c r="BY6412" s="331"/>
      <c r="BZ6412" s="331"/>
      <c r="CA6412" s="462"/>
      <c r="CB6412" s="319"/>
      <c r="CC6412" s="319"/>
      <c r="CD6412" s="319"/>
      <c r="CE6412" s="319"/>
      <c r="CF6412" s="319"/>
      <c r="CG6412" s="319"/>
      <c r="CH6412" s="318"/>
      <c r="CI6412" s="319"/>
      <c r="CJ6412" s="319"/>
      <c r="CK6412" s="342"/>
      <c r="CL6412" s="333"/>
      <c r="CM6412" s="1079"/>
      <c r="CN6412" s="1005"/>
      <c r="CO6412" s="1005"/>
      <c r="CP6412" s="1005"/>
    </row>
    <row r="6413">
      <c r="A6413" s="1257"/>
      <c r="B6413" s="1113"/>
      <c r="C6413" s="1107"/>
      <c r="D6413" s="103"/>
      <c r="E6413" s="1137"/>
      <c r="F6413" s="112"/>
      <c r="G6413" s="1110"/>
      <c r="H6413" s="1138"/>
      <c r="I6413" s="1138"/>
      <c r="J6413" s="1139"/>
      <c r="K6413" s="1111"/>
      <c r="L6413" s="1112"/>
      <c r="M6413" s="1113"/>
      <c r="N6413" s="110"/>
      <c r="O6413" s="1140"/>
      <c r="P6413" s="1115"/>
      <c r="Q6413" s="1116"/>
      <c r="R6413" s="1141"/>
      <c r="S6413" s="1113"/>
      <c r="T6413" s="1143"/>
      <c r="U6413" s="1108"/>
      <c r="V6413" s="1108"/>
      <c r="W6413" s="1108"/>
      <c r="X6413" s="1108"/>
      <c r="Y6413" s="1108"/>
      <c r="Z6413" s="1114"/>
      <c r="AA6413" s="1114"/>
      <c r="AB6413" s="1114"/>
      <c r="AC6413" s="1117"/>
      <c r="AD6413" s="1115"/>
      <c r="AE6413" s="1115"/>
      <c r="AF6413" s="1115"/>
      <c r="AG6413" s="1115"/>
      <c r="AH6413" s="1115"/>
      <c r="AI6413" s="1115"/>
      <c r="AJ6413" s="1117"/>
      <c r="AK6413" s="1118"/>
      <c r="AL6413" s="1115"/>
      <c r="AM6413" s="1115"/>
      <c r="AN6413" s="1115"/>
      <c r="AO6413" s="1115"/>
      <c r="AP6413" s="1115"/>
      <c r="AQ6413" s="1115"/>
      <c r="AR6413" s="1115"/>
      <c r="AS6413" s="1117"/>
      <c r="AT6413" s="1075"/>
      <c r="AU6413" s="1193"/>
      <c r="AV6413" s="330"/>
      <c r="AW6413" s="331"/>
      <c r="AX6413" s="331"/>
      <c r="AY6413" s="331"/>
      <c r="AZ6413" s="331"/>
      <c r="BA6413" s="331"/>
      <c r="BB6413" s="331"/>
      <c r="BC6413" s="331"/>
      <c r="BD6413" s="331"/>
      <c r="BE6413" s="333"/>
      <c r="BF6413" s="330"/>
      <c r="BG6413" s="333"/>
      <c r="BH6413" s="1119"/>
      <c r="BI6413" s="319"/>
      <c r="BJ6413" s="319"/>
      <c r="BK6413" s="319"/>
      <c r="BL6413" s="319"/>
      <c r="BM6413" s="319"/>
      <c r="BN6413" s="319"/>
      <c r="BO6413" s="319"/>
      <c r="BP6413" s="953"/>
      <c r="BQ6413" s="319"/>
      <c r="BR6413" s="319"/>
      <c r="BS6413" s="330"/>
      <c r="BT6413" s="331"/>
      <c r="BU6413" s="920"/>
      <c r="BV6413" s="903"/>
      <c r="BW6413" s="908"/>
      <c r="BX6413" s="908"/>
      <c r="BY6413" s="331"/>
      <c r="BZ6413" s="331"/>
      <c r="CA6413" s="462"/>
      <c r="CB6413" s="319"/>
      <c r="CC6413" s="319"/>
      <c r="CD6413" s="319"/>
      <c r="CE6413" s="319"/>
      <c r="CF6413" s="319"/>
      <c r="CG6413" s="319"/>
      <c r="CH6413" s="318"/>
      <c r="CI6413" s="319"/>
      <c r="CJ6413" s="319"/>
      <c r="CK6413" s="342"/>
      <c r="CL6413" s="333"/>
      <c r="CM6413" s="1079"/>
      <c r="CN6413" s="1005"/>
      <c r="CO6413" s="1005"/>
      <c r="CP6413" s="1005"/>
    </row>
    <row r="6414">
      <c r="A6414" s="1257"/>
      <c r="B6414" s="1113"/>
      <c r="C6414" s="1107"/>
      <c r="D6414" s="103"/>
      <c r="E6414" s="1137"/>
      <c r="F6414" s="112"/>
      <c r="G6414" s="1110"/>
      <c r="H6414" s="1138"/>
      <c r="I6414" s="1138"/>
      <c r="J6414" s="1139"/>
      <c r="K6414" s="1111"/>
      <c r="L6414" s="1112"/>
      <c r="M6414" s="1113"/>
      <c r="N6414" s="110"/>
      <c r="O6414" s="1140"/>
      <c r="P6414" s="1115"/>
      <c r="Q6414" s="1116"/>
      <c r="R6414" s="1141"/>
      <c r="S6414" s="1113"/>
      <c r="T6414" s="1143"/>
      <c r="U6414" s="1108"/>
      <c r="V6414" s="1108"/>
      <c r="W6414" s="1108"/>
      <c r="X6414" s="1108"/>
      <c r="Y6414" s="1108"/>
      <c r="Z6414" s="1114"/>
      <c r="AA6414" s="1114"/>
      <c r="AB6414" s="1114"/>
      <c r="AC6414" s="1117"/>
      <c r="AD6414" s="1115"/>
      <c r="AE6414" s="1115"/>
      <c r="AF6414" s="1115"/>
      <c r="AG6414" s="1115"/>
      <c r="AH6414" s="1115"/>
      <c r="AI6414" s="1115"/>
      <c r="AJ6414" s="1117"/>
      <c r="AK6414" s="1118"/>
      <c r="AL6414" s="1115"/>
      <c r="AM6414" s="1115"/>
      <c r="AN6414" s="1115"/>
      <c r="AO6414" s="1115"/>
      <c r="AP6414" s="1115"/>
      <c r="AQ6414" s="1115"/>
      <c r="AR6414" s="1115"/>
      <c r="AS6414" s="1117"/>
      <c r="AT6414" s="1075"/>
      <c r="AU6414" s="1193"/>
      <c r="AV6414" s="330"/>
      <c r="AW6414" s="331"/>
      <c r="AX6414" s="331"/>
      <c r="AY6414" s="331"/>
      <c r="AZ6414" s="331"/>
      <c r="BA6414" s="331"/>
      <c r="BB6414" s="331"/>
      <c r="BC6414" s="331"/>
      <c r="BD6414" s="331"/>
      <c r="BE6414" s="333"/>
      <c r="BF6414" s="330"/>
      <c r="BG6414" s="333"/>
      <c r="BH6414" s="1119"/>
      <c r="BI6414" s="319"/>
      <c r="BJ6414" s="319"/>
      <c r="BK6414" s="319"/>
      <c r="BL6414" s="319"/>
      <c r="BM6414" s="319"/>
      <c r="BN6414" s="319"/>
      <c r="BO6414" s="319"/>
      <c r="BP6414" s="953"/>
      <c r="BQ6414" s="319"/>
      <c r="BR6414" s="319"/>
      <c r="BS6414" s="330"/>
      <c r="BT6414" s="331"/>
      <c r="BU6414" s="920"/>
      <c r="BV6414" s="903"/>
      <c r="BW6414" s="908"/>
      <c r="BX6414" s="908"/>
      <c r="BY6414" s="331"/>
      <c r="BZ6414" s="331"/>
      <c r="CA6414" s="462"/>
      <c r="CB6414" s="319"/>
      <c r="CC6414" s="319"/>
      <c r="CD6414" s="319"/>
      <c r="CE6414" s="319"/>
      <c r="CF6414" s="319"/>
      <c r="CG6414" s="319"/>
      <c r="CH6414" s="318"/>
      <c r="CI6414" s="319"/>
      <c r="CJ6414" s="319"/>
      <c r="CK6414" s="342"/>
      <c r="CL6414" s="333"/>
      <c r="CM6414" s="1079"/>
      <c r="CN6414" s="1005"/>
      <c r="CO6414" s="1005"/>
      <c r="CP6414" s="1005"/>
    </row>
    <row r="6415">
      <c r="A6415" s="1257"/>
      <c r="B6415" s="1113"/>
      <c r="C6415" s="1107"/>
      <c r="D6415" s="103"/>
      <c r="E6415" s="1137"/>
      <c r="F6415" s="112"/>
      <c r="G6415" s="1110"/>
      <c r="H6415" s="1138"/>
      <c r="I6415" s="1138"/>
      <c r="J6415" s="1139"/>
      <c r="K6415" s="1111"/>
      <c r="L6415" s="1112"/>
      <c r="M6415" s="1113"/>
      <c r="N6415" s="110"/>
      <c r="O6415" s="1140"/>
      <c r="P6415" s="1115"/>
      <c r="Q6415" s="1116"/>
      <c r="R6415" s="1141"/>
      <c r="S6415" s="1113"/>
      <c r="T6415" s="1143"/>
      <c r="U6415" s="1108"/>
      <c r="V6415" s="1108"/>
      <c r="W6415" s="1108"/>
      <c r="X6415" s="1108"/>
      <c r="Y6415" s="1108"/>
      <c r="Z6415" s="1114"/>
      <c r="AA6415" s="1114"/>
      <c r="AB6415" s="1114"/>
      <c r="AC6415" s="1117"/>
      <c r="AD6415" s="1115"/>
      <c r="AE6415" s="1115"/>
      <c r="AF6415" s="1115"/>
      <c r="AG6415" s="1115"/>
      <c r="AH6415" s="1115"/>
      <c r="AI6415" s="1115"/>
      <c r="AJ6415" s="1117"/>
      <c r="AK6415" s="1118"/>
      <c r="AL6415" s="1115"/>
      <c r="AM6415" s="1115"/>
      <c r="AN6415" s="1115"/>
      <c r="AO6415" s="1115"/>
      <c r="AP6415" s="1115"/>
      <c r="AQ6415" s="1115"/>
      <c r="AR6415" s="1115"/>
      <c r="AS6415" s="1117"/>
      <c r="AT6415" s="1075"/>
      <c r="AU6415" s="1193"/>
      <c r="AV6415" s="330"/>
      <c r="AW6415" s="331"/>
      <c r="AX6415" s="331"/>
      <c r="AY6415" s="331"/>
      <c r="AZ6415" s="331"/>
      <c r="BA6415" s="331"/>
      <c r="BB6415" s="331"/>
      <c r="BC6415" s="331"/>
      <c r="BD6415" s="331"/>
      <c r="BE6415" s="333"/>
      <c r="BF6415" s="330"/>
      <c r="BG6415" s="333"/>
      <c r="BH6415" s="1119"/>
      <c r="BI6415" s="319"/>
      <c r="BJ6415" s="319"/>
      <c r="BK6415" s="319"/>
      <c r="BL6415" s="319"/>
      <c r="BM6415" s="319"/>
      <c r="BN6415" s="319"/>
      <c r="BO6415" s="319"/>
      <c r="BP6415" s="953"/>
      <c r="BQ6415" s="319"/>
      <c r="BR6415" s="319"/>
      <c r="BS6415" s="330"/>
      <c r="BT6415" s="331"/>
      <c r="BU6415" s="920"/>
      <c r="BV6415" s="903"/>
      <c r="BW6415" s="908"/>
      <c r="BX6415" s="908"/>
      <c r="BY6415" s="331"/>
      <c r="BZ6415" s="331"/>
      <c r="CA6415" s="462"/>
      <c r="CB6415" s="319"/>
      <c r="CC6415" s="319"/>
      <c r="CD6415" s="319"/>
      <c r="CE6415" s="319"/>
      <c r="CF6415" s="319"/>
      <c r="CG6415" s="319"/>
      <c r="CH6415" s="318"/>
      <c r="CI6415" s="319"/>
      <c r="CJ6415" s="319"/>
      <c r="CK6415" s="342"/>
      <c r="CL6415" s="333"/>
      <c r="CM6415" s="1079"/>
      <c r="CN6415" s="1005"/>
      <c r="CO6415" s="1005"/>
      <c r="CP6415" s="1005"/>
    </row>
    <row r="6416">
      <c r="A6416" s="1257"/>
      <c r="B6416" s="1113"/>
      <c r="C6416" s="1107"/>
      <c r="D6416" s="103"/>
      <c r="E6416" s="1137"/>
      <c r="F6416" s="112"/>
      <c r="G6416" s="1110"/>
      <c r="H6416" s="1138"/>
      <c r="I6416" s="1138"/>
      <c r="J6416" s="1139"/>
      <c r="K6416" s="1111"/>
      <c r="L6416" s="1112"/>
      <c r="M6416" s="1113"/>
      <c r="N6416" s="110"/>
      <c r="O6416" s="1140"/>
      <c r="P6416" s="1115"/>
      <c r="Q6416" s="1116"/>
      <c r="R6416" s="1141"/>
      <c r="S6416" s="1113"/>
      <c r="T6416" s="1143"/>
      <c r="U6416" s="1108"/>
      <c r="V6416" s="1108"/>
      <c r="W6416" s="1108"/>
      <c r="X6416" s="1108"/>
      <c r="Y6416" s="1108"/>
      <c r="Z6416" s="1114"/>
      <c r="AA6416" s="1114"/>
      <c r="AB6416" s="1114"/>
      <c r="AC6416" s="1117"/>
      <c r="AD6416" s="1115"/>
      <c r="AE6416" s="1115"/>
      <c r="AF6416" s="1115"/>
      <c r="AG6416" s="1115"/>
      <c r="AH6416" s="1115"/>
      <c r="AI6416" s="1115"/>
      <c r="AJ6416" s="1117"/>
      <c r="AK6416" s="1118"/>
      <c r="AL6416" s="1115"/>
      <c r="AM6416" s="1115"/>
      <c r="AN6416" s="1115"/>
      <c r="AO6416" s="1115"/>
      <c r="AP6416" s="1115"/>
      <c r="AQ6416" s="1115"/>
      <c r="AR6416" s="1115"/>
      <c r="AS6416" s="1117"/>
      <c r="AT6416" s="1075"/>
      <c r="AU6416" s="1193"/>
      <c r="AV6416" s="330"/>
      <c r="AW6416" s="331"/>
      <c r="AX6416" s="331"/>
      <c r="AY6416" s="331"/>
      <c r="AZ6416" s="331"/>
      <c r="BA6416" s="331"/>
      <c r="BB6416" s="331"/>
      <c r="BC6416" s="331"/>
      <c r="BD6416" s="331"/>
      <c r="BE6416" s="333"/>
      <c r="BF6416" s="330"/>
      <c r="BG6416" s="333"/>
      <c r="BH6416" s="1119"/>
      <c r="BI6416" s="319"/>
      <c r="BJ6416" s="319"/>
      <c r="BK6416" s="319"/>
      <c r="BL6416" s="319"/>
      <c r="BM6416" s="319"/>
      <c r="BN6416" s="319"/>
      <c r="BO6416" s="319"/>
      <c r="BP6416" s="953"/>
      <c r="BQ6416" s="319"/>
      <c r="BR6416" s="319"/>
      <c r="BS6416" s="330"/>
      <c r="BT6416" s="331"/>
      <c r="BU6416" s="920"/>
      <c r="BV6416" s="903"/>
      <c r="BW6416" s="908"/>
      <c r="BX6416" s="908"/>
      <c r="BY6416" s="331"/>
      <c r="BZ6416" s="331"/>
      <c r="CA6416" s="462"/>
      <c r="CB6416" s="319"/>
      <c r="CC6416" s="319"/>
      <c r="CD6416" s="319"/>
      <c r="CE6416" s="319"/>
      <c r="CF6416" s="319"/>
      <c r="CG6416" s="319"/>
      <c r="CH6416" s="318"/>
      <c r="CI6416" s="319"/>
      <c r="CJ6416" s="319"/>
      <c r="CK6416" s="342"/>
      <c r="CL6416" s="333"/>
      <c r="CM6416" s="1079"/>
      <c r="CN6416" s="1005"/>
      <c r="CO6416" s="1005"/>
      <c r="CP6416" s="1005"/>
    </row>
    <row r="6417">
      <c r="A6417" s="1257"/>
      <c r="B6417" s="1113"/>
      <c r="C6417" s="1107"/>
      <c r="D6417" s="103"/>
      <c r="E6417" s="1137"/>
      <c r="F6417" s="112"/>
      <c r="G6417" s="1110"/>
      <c r="H6417" s="1138"/>
      <c r="I6417" s="1138"/>
      <c r="J6417" s="1139"/>
      <c r="K6417" s="1111"/>
      <c r="L6417" s="1112"/>
      <c r="M6417" s="1113"/>
      <c r="N6417" s="110"/>
      <c r="O6417" s="1140"/>
      <c r="P6417" s="1115"/>
      <c r="Q6417" s="1116"/>
      <c r="R6417" s="1141"/>
      <c r="S6417" s="1113"/>
      <c r="T6417" s="1143"/>
      <c r="U6417" s="1108"/>
      <c r="V6417" s="1108"/>
      <c r="W6417" s="1108"/>
      <c r="X6417" s="1108"/>
      <c r="Y6417" s="1108"/>
      <c r="Z6417" s="1114"/>
      <c r="AA6417" s="1114"/>
      <c r="AB6417" s="1114"/>
      <c r="AC6417" s="1117"/>
      <c r="AD6417" s="1115"/>
      <c r="AE6417" s="1115"/>
      <c r="AF6417" s="1115"/>
      <c r="AG6417" s="1115"/>
      <c r="AH6417" s="1115"/>
      <c r="AI6417" s="1115"/>
      <c r="AJ6417" s="1117"/>
      <c r="AK6417" s="1118"/>
      <c r="AL6417" s="1115"/>
      <c r="AM6417" s="1115"/>
      <c r="AN6417" s="1115"/>
      <c r="AO6417" s="1115"/>
      <c r="AP6417" s="1115"/>
      <c r="AQ6417" s="1115"/>
      <c r="AR6417" s="1115"/>
      <c r="AS6417" s="1117"/>
      <c r="AT6417" s="1075"/>
      <c r="AU6417" s="1193"/>
      <c r="AV6417" s="330"/>
      <c r="AW6417" s="331"/>
      <c r="AX6417" s="331"/>
      <c r="AY6417" s="331"/>
      <c r="AZ6417" s="331"/>
      <c r="BA6417" s="331"/>
      <c r="BB6417" s="331"/>
      <c r="BC6417" s="331"/>
      <c r="BD6417" s="331"/>
      <c r="BE6417" s="333"/>
      <c r="BF6417" s="330"/>
      <c r="BG6417" s="333"/>
      <c r="BH6417" s="1119"/>
      <c r="BI6417" s="319"/>
      <c r="BJ6417" s="319"/>
      <c r="BK6417" s="319"/>
      <c r="BL6417" s="319"/>
      <c r="BM6417" s="319"/>
      <c r="BN6417" s="319"/>
      <c r="BO6417" s="319"/>
      <c r="BP6417" s="953"/>
      <c r="BQ6417" s="319"/>
      <c r="BR6417" s="319"/>
      <c r="BS6417" s="330"/>
      <c r="BT6417" s="331"/>
      <c r="BU6417" s="920"/>
      <c r="BV6417" s="903"/>
      <c r="BW6417" s="908"/>
      <c r="BX6417" s="908"/>
      <c r="BY6417" s="331"/>
      <c r="BZ6417" s="331"/>
      <c r="CA6417" s="462"/>
      <c r="CB6417" s="319"/>
      <c r="CC6417" s="319"/>
      <c r="CD6417" s="319"/>
      <c r="CE6417" s="319"/>
      <c r="CF6417" s="319"/>
      <c r="CG6417" s="319"/>
      <c r="CH6417" s="318"/>
      <c r="CI6417" s="319"/>
      <c r="CJ6417" s="319"/>
      <c r="CK6417" s="342"/>
      <c r="CL6417" s="333"/>
      <c r="CM6417" s="1079"/>
      <c r="CN6417" s="1005"/>
      <c r="CO6417" s="1005"/>
      <c r="CP6417" s="1005"/>
    </row>
    <row r="6418">
      <c r="A6418" s="1257"/>
      <c r="B6418" s="1113"/>
      <c r="C6418" s="1107"/>
      <c r="D6418" s="103"/>
      <c r="E6418" s="1137"/>
      <c r="F6418" s="112"/>
      <c r="G6418" s="1110"/>
      <c r="H6418" s="1138"/>
      <c r="I6418" s="1138"/>
      <c r="J6418" s="1139"/>
      <c r="K6418" s="1111"/>
      <c r="L6418" s="1112"/>
      <c r="M6418" s="1113"/>
      <c r="N6418" s="110"/>
      <c r="O6418" s="1140"/>
      <c r="P6418" s="1115"/>
      <c r="Q6418" s="1116"/>
      <c r="R6418" s="1141"/>
      <c r="S6418" s="1113"/>
      <c r="T6418" s="1143"/>
      <c r="U6418" s="1108"/>
      <c r="V6418" s="1108"/>
      <c r="W6418" s="1108"/>
      <c r="X6418" s="1108"/>
      <c r="Y6418" s="1108"/>
      <c r="Z6418" s="1114"/>
      <c r="AA6418" s="1114"/>
      <c r="AB6418" s="1114"/>
      <c r="AC6418" s="1117"/>
      <c r="AD6418" s="1115"/>
      <c r="AE6418" s="1115"/>
      <c r="AF6418" s="1115"/>
      <c r="AG6418" s="1115"/>
      <c r="AH6418" s="1115"/>
      <c r="AI6418" s="1115"/>
      <c r="AJ6418" s="1117"/>
      <c r="AK6418" s="1118"/>
      <c r="AL6418" s="1115"/>
      <c r="AM6418" s="1115"/>
      <c r="AN6418" s="1115"/>
      <c r="AO6418" s="1115"/>
      <c r="AP6418" s="1115"/>
      <c r="AQ6418" s="1115"/>
      <c r="AR6418" s="1115"/>
      <c r="AS6418" s="1117"/>
      <c r="AT6418" s="1075"/>
      <c r="AU6418" s="1193"/>
      <c r="AV6418" s="330"/>
      <c r="AW6418" s="331"/>
      <c r="AX6418" s="331"/>
      <c r="AY6418" s="331"/>
      <c r="AZ6418" s="331"/>
      <c r="BA6418" s="331"/>
      <c r="BB6418" s="331"/>
      <c r="BC6418" s="331"/>
      <c r="BD6418" s="331"/>
      <c r="BE6418" s="333"/>
      <c r="BF6418" s="330"/>
      <c r="BG6418" s="333"/>
      <c r="BH6418" s="1119"/>
      <c r="BI6418" s="319"/>
      <c r="BJ6418" s="319"/>
      <c r="BK6418" s="319"/>
      <c r="BL6418" s="319"/>
      <c r="BM6418" s="319"/>
      <c r="BN6418" s="319"/>
      <c r="BO6418" s="319"/>
      <c r="BP6418" s="953"/>
      <c r="BQ6418" s="319"/>
      <c r="BR6418" s="319"/>
      <c r="BS6418" s="330"/>
      <c r="BT6418" s="331"/>
      <c r="BU6418" s="920"/>
      <c r="BV6418" s="903"/>
      <c r="BW6418" s="908"/>
      <c r="BX6418" s="908"/>
      <c r="BY6418" s="331"/>
      <c r="BZ6418" s="331"/>
      <c r="CA6418" s="462"/>
      <c r="CB6418" s="319"/>
      <c r="CC6418" s="319"/>
      <c r="CD6418" s="319"/>
      <c r="CE6418" s="319"/>
      <c r="CF6418" s="319"/>
      <c r="CG6418" s="319"/>
      <c r="CH6418" s="318"/>
      <c r="CI6418" s="319"/>
      <c r="CJ6418" s="319"/>
      <c r="CK6418" s="342"/>
      <c r="CL6418" s="333"/>
      <c r="CM6418" s="1079"/>
      <c r="CN6418" s="1005"/>
      <c r="CO6418" s="1005"/>
      <c r="CP6418" s="1005"/>
    </row>
    <row r="6419">
      <c r="A6419" s="1257"/>
      <c r="B6419" s="1113"/>
      <c r="C6419" s="1107"/>
      <c r="D6419" s="103"/>
      <c r="E6419" s="1137"/>
      <c r="F6419" s="112"/>
      <c r="G6419" s="1110"/>
      <c r="H6419" s="1138"/>
      <c r="I6419" s="1138"/>
      <c r="J6419" s="1139"/>
      <c r="K6419" s="1111"/>
      <c r="L6419" s="1112"/>
      <c r="M6419" s="1113"/>
      <c r="N6419" s="110"/>
      <c r="O6419" s="1140"/>
      <c r="P6419" s="1115"/>
      <c r="Q6419" s="1116"/>
      <c r="R6419" s="1141"/>
      <c r="S6419" s="1113"/>
      <c r="T6419" s="1143"/>
      <c r="U6419" s="1108"/>
      <c r="V6419" s="1108"/>
      <c r="W6419" s="1108"/>
      <c r="X6419" s="1108"/>
      <c r="Y6419" s="1108"/>
      <c r="Z6419" s="1114"/>
      <c r="AA6419" s="1114"/>
      <c r="AB6419" s="1114"/>
      <c r="AC6419" s="1117"/>
      <c r="AD6419" s="1115"/>
      <c r="AE6419" s="1115"/>
      <c r="AF6419" s="1115"/>
      <c r="AG6419" s="1115"/>
      <c r="AH6419" s="1115"/>
      <c r="AI6419" s="1115"/>
      <c r="AJ6419" s="1117"/>
      <c r="AK6419" s="1118"/>
      <c r="AL6419" s="1115"/>
      <c r="AM6419" s="1115"/>
      <c r="AN6419" s="1115"/>
      <c r="AO6419" s="1115"/>
      <c r="AP6419" s="1115"/>
      <c r="AQ6419" s="1115"/>
      <c r="AR6419" s="1115"/>
      <c r="AS6419" s="1117"/>
      <c r="AT6419" s="1075"/>
      <c r="AU6419" s="1193"/>
      <c r="AV6419" s="330"/>
      <c r="AW6419" s="331"/>
      <c r="AX6419" s="331"/>
      <c r="AY6419" s="331"/>
      <c r="AZ6419" s="331"/>
      <c r="BA6419" s="331"/>
      <c r="BB6419" s="331"/>
      <c r="BC6419" s="331"/>
      <c r="BD6419" s="331"/>
      <c r="BE6419" s="333"/>
      <c r="BF6419" s="330"/>
      <c r="BG6419" s="333"/>
      <c r="BH6419" s="1119"/>
      <c r="BI6419" s="319"/>
      <c r="BJ6419" s="319"/>
      <c r="BK6419" s="319"/>
      <c r="BL6419" s="319"/>
      <c r="BM6419" s="319"/>
      <c r="BN6419" s="319"/>
      <c r="BO6419" s="319"/>
      <c r="BP6419" s="953"/>
      <c r="BQ6419" s="319"/>
      <c r="BR6419" s="319"/>
      <c r="BS6419" s="330"/>
      <c r="BT6419" s="331"/>
      <c r="BU6419" s="920"/>
      <c r="BV6419" s="903"/>
      <c r="BW6419" s="908"/>
      <c r="BX6419" s="908"/>
      <c r="BY6419" s="331"/>
      <c r="BZ6419" s="331"/>
      <c r="CA6419" s="462"/>
      <c r="CB6419" s="319"/>
      <c r="CC6419" s="319"/>
      <c r="CD6419" s="319"/>
      <c r="CE6419" s="319"/>
      <c r="CF6419" s="319"/>
      <c r="CG6419" s="319"/>
      <c r="CH6419" s="318"/>
      <c r="CI6419" s="319"/>
      <c r="CJ6419" s="319"/>
      <c r="CK6419" s="342"/>
      <c r="CL6419" s="333"/>
      <c r="CM6419" s="1079"/>
      <c r="CN6419" s="1005"/>
      <c r="CO6419" s="1005"/>
      <c r="CP6419" s="1005"/>
    </row>
    <row r="6420">
      <c r="A6420" s="1257"/>
      <c r="B6420" s="1113"/>
      <c r="C6420" s="1107"/>
      <c r="D6420" s="103"/>
      <c r="E6420" s="1137"/>
      <c r="F6420" s="112"/>
      <c r="G6420" s="1110"/>
      <c r="H6420" s="1138"/>
      <c r="I6420" s="1138"/>
      <c r="J6420" s="1139"/>
      <c r="K6420" s="1111"/>
      <c r="L6420" s="1112"/>
      <c r="M6420" s="1113"/>
      <c r="N6420" s="110"/>
      <c r="O6420" s="1140"/>
      <c r="P6420" s="1115"/>
      <c r="Q6420" s="1116"/>
      <c r="R6420" s="1141"/>
      <c r="S6420" s="1113"/>
      <c r="T6420" s="1143"/>
      <c r="U6420" s="1108"/>
      <c r="V6420" s="1108"/>
      <c r="W6420" s="1108"/>
      <c r="X6420" s="1108"/>
      <c r="Y6420" s="1108"/>
      <c r="Z6420" s="1114"/>
      <c r="AA6420" s="1114"/>
      <c r="AB6420" s="1114"/>
      <c r="AC6420" s="1117"/>
      <c r="AD6420" s="1115"/>
      <c r="AE6420" s="1115"/>
      <c r="AF6420" s="1115"/>
      <c r="AG6420" s="1115"/>
      <c r="AH6420" s="1115"/>
      <c r="AI6420" s="1115"/>
      <c r="AJ6420" s="1117"/>
      <c r="AK6420" s="1118"/>
      <c r="AL6420" s="1115"/>
      <c r="AM6420" s="1115"/>
      <c r="AN6420" s="1115"/>
      <c r="AO6420" s="1115"/>
      <c r="AP6420" s="1115"/>
      <c r="AQ6420" s="1115"/>
      <c r="AR6420" s="1115"/>
      <c r="AS6420" s="1117"/>
      <c r="AT6420" s="1075"/>
      <c r="AU6420" s="1193"/>
      <c r="AV6420" s="330"/>
      <c r="AW6420" s="331"/>
      <c r="AX6420" s="331"/>
      <c r="AY6420" s="331"/>
      <c r="AZ6420" s="331"/>
      <c r="BA6420" s="331"/>
      <c r="BB6420" s="331"/>
      <c r="BC6420" s="331"/>
      <c r="BD6420" s="331"/>
      <c r="BE6420" s="333"/>
      <c r="BF6420" s="330"/>
      <c r="BG6420" s="333"/>
      <c r="BH6420" s="1119"/>
      <c r="BI6420" s="319"/>
      <c r="BJ6420" s="319"/>
      <c r="BK6420" s="319"/>
      <c r="BL6420" s="319"/>
      <c r="BM6420" s="319"/>
      <c r="BN6420" s="319"/>
      <c r="BO6420" s="319"/>
      <c r="BP6420" s="953"/>
      <c r="BQ6420" s="319"/>
      <c r="BR6420" s="319"/>
      <c r="BS6420" s="330"/>
      <c r="BT6420" s="331"/>
      <c r="BU6420" s="920"/>
      <c r="BV6420" s="903"/>
      <c r="BW6420" s="908"/>
      <c r="BX6420" s="908"/>
      <c r="BY6420" s="331"/>
      <c r="BZ6420" s="331"/>
      <c r="CA6420" s="462"/>
      <c r="CB6420" s="319"/>
      <c r="CC6420" s="319"/>
      <c r="CD6420" s="319"/>
      <c r="CE6420" s="319"/>
      <c r="CF6420" s="319"/>
      <c r="CG6420" s="319"/>
      <c r="CH6420" s="318"/>
      <c r="CI6420" s="319"/>
      <c r="CJ6420" s="319"/>
      <c r="CK6420" s="342"/>
      <c r="CL6420" s="333"/>
      <c r="CM6420" s="1079"/>
      <c r="CN6420" s="1005"/>
      <c r="CO6420" s="1005"/>
      <c r="CP6420" s="1005"/>
    </row>
    <row r="6421">
      <c r="A6421" s="1257"/>
      <c r="B6421" s="1113"/>
      <c r="C6421" s="1107"/>
      <c r="D6421" s="103"/>
      <c r="E6421" s="1137"/>
      <c r="F6421" s="112"/>
      <c r="G6421" s="1110"/>
      <c r="H6421" s="1138"/>
      <c r="I6421" s="1138"/>
      <c r="J6421" s="1139"/>
      <c r="K6421" s="1111"/>
      <c r="L6421" s="1112"/>
      <c r="M6421" s="1113"/>
      <c r="N6421" s="110"/>
      <c r="O6421" s="1140"/>
      <c r="P6421" s="1115"/>
      <c r="Q6421" s="1116"/>
      <c r="R6421" s="1141"/>
      <c r="S6421" s="1113"/>
      <c r="T6421" s="1143"/>
      <c r="U6421" s="1108"/>
      <c r="V6421" s="1108"/>
      <c r="W6421" s="1108"/>
      <c r="X6421" s="1108"/>
      <c r="Y6421" s="1108"/>
      <c r="Z6421" s="1114"/>
      <c r="AA6421" s="1114"/>
      <c r="AB6421" s="1114"/>
      <c r="AC6421" s="1117"/>
      <c r="AD6421" s="1115"/>
      <c r="AE6421" s="1115"/>
      <c r="AF6421" s="1115"/>
      <c r="AG6421" s="1115"/>
      <c r="AH6421" s="1115"/>
      <c r="AI6421" s="1115"/>
      <c r="AJ6421" s="1117"/>
      <c r="AK6421" s="1118"/>
      <c r="AL6421" s="1115"/>
      <c r="AM6421" s="1115"/>
      <c r="AN6421" s="1115"/>
      <c r="AO6421" s="1115"/>
      <c r="AP6421" s="1115"/>
      <c r="AQ6421" s="1115"/>
      <c r="AR6421" s="1115"/>
      <c r="AS6421" s="1117"/>
      <c r="AT6421" s="1075"/>
      <c r="AU6421" s="1193"/>
      <c r="AV6421" s="330"/>
      <c r="AW6421" s="331"/>
      <c r="AX6421" s="331"/>
      <c r="AY6421" s="331"/>
      <c r="AZ6421" s="331"/>
      <c r="BA6421" s="331"/>
      <c r="BB6421" s="331"/>
      <c r="BC6421" s="331"/>
      <c r="BD6421" s="331"/>
      <c r="BE6421" s="333"/>
      <c r="BF6421" s="330"/>
      <c r="BG6421" s="333"/>
      <c r="BH6421" s="1119"/>
      <c r="BI6421" s="319"/>
      <c r="BJ6421" s="319"/>
      <c r="BK6421" s="319"/>
      <c r="BL6421" s="319"/>
      <c r="BM6421" s="319"/>
      <c r="BN6421" s="319"/>
      <c r="BO6421" s="319"/>
      <c r="BP6421" s="953"/>
      <c r="BQ6421" s="319"/>
      <c r="BR6421" s="319"/>
      <c r="BS6421" s="330"/>
      <c r="BT6421" s="331"/>
      <c r="BU6421" s="920"/>
      <c r="BV6421" s="903"/>
      <c r="BW6421" s="908"/>
      <c r="BX6421" s="908"/>
      <c r="BY6421" s="331"/>
      <c r="BZ6421" s="331"/>
      <c r="CA6421" s="462"/>
      <c r="CB6421" s="319"/>
      <c r="CC6421" s="319"/>
      <c r="CD6421" s="319"/>
      <c r="CE6421" s="319"/>
      <c r="CF6421" s="319"/>
      <c r="CG6421" s="319"/>
      <c r="CH6421" s="318"/>
      <c r="CI6421" s="319"/>
      <c r="CJ6421" s="319"/>
      <c r="CK6421" s="342"/>
      <c r="CL6421" s="333"/>
      <c r="CM6421" s="1079"/>
      <c r="CN6421" s="1005"/>
      <c r="CO6421" s="1005"/>
      <c r="CP6421" s="1005"/>
    </row>
    <row r="6422">
      <c r="A6422" s="1257"/>
      <c r="B6422" s="1113"/>
      <c r="C6422" s="1107"/>
      <c r="D6422" s="103"/>
      <c r="E6422" s="1137"/>
      <c r="F6422" s="112"/>
      <c r="G6422" s="1110"/>
      <c r="H6422" s="1138"/>
      <c r="I6422" s="1138"/>
      <c r="J6422" s="1139"/>
      <c r="K6422" s="1111"/>
      <c r="L6422" s="1112"/>
      <c r="M6422" s="1113"/>
      <c r="N6422" s="110"/>
      <c r="O6422" s="1140"/>
      <c r="P6422" s="1115"/>
      <c r="Q6422" s="1116"/>
      <c r="R6422" s="1141"/>
      <c r="S6422" s="1113"/>
      <c r="T6422" s="1143"/>
      <c r="U6422" s="1108"/>
      <c r="V6422" s="1108"/>
      <c r="W6422" s="1108"/>
      <c r="X6422" s="1108"/>
      <c r="Y6422" s="1108"/>
      <c r="Z6422" s="1114"/>
      <c r="AA6422" s="1114"/>
      <c r="AB6422" s="1114"/>
      <c r="AC6422" s="1117"/>
      <c r="AD6422" s="1115"/>
      <c r="AE6422" s="1115"/>
      <c r="AF6422" s="1115"/>
      <c r="AG6422" s="1115"/>
      <c r="AH6422" s="1115"/>
      <c r="AI6422" s="1115"/>
      <c r="AJ6422" s="1117"/>
      <c r="AK6422" s="1118"/>
      <c r="AL6422" s="1115"/>
      <c r="AM6422" s="1115"/>
      <c r="AN6422" s="1115"/>
      <c r="AO6422" s="1115"/>
      <c r="AP6422" s="1115"/>
      <c r="AQ6422" s="1115"/>
      <c r="AR6422" s="1115"/>
      <c r="AS6422" s="1117"/>
      <c r="AT6422" s="1075"/>
      <c r="AU6422" s="1193"/>
      <c r="AV6422" s="330"/>
      <c r="AW6422" s="331"/>
      <c r="AX6422" s="331"/>
      <c r="AY6422" s="331"/>
      <c r="AZ6422" s="331"/>
      <c r="BA6422" s="331"/>
      <c r="BB6422" s="331"/>
      <c r="BC6422" s="331"/>
      <c r="BD6422" s="331"/>
      <c r="BE6422" s="333"/>
      <c r="BF6422" s="330"/>
      <c r="BG6422" s="333"/>
      <c r="BH6422" s="1119"/>
      <c r="BI6422" s="319"/>
      <c r="BJ6422" s="319"/>
      <c r="BK6422" s="319"/>
      <c r="BL6422" s="319"/>
      <c r="BM6422" s="319"/>
      <c r="BN6422" s="319"/>
      <c r="BO6422" s="319"/>
      <c r="BP6422" s="953"/>
      <c r="BQ6422" s="319"/>
      <c r="BR6422" s="319"/>
      <c r="BS6422" s="330"/>
      <c r="BT6422" s="331"/>
      <c r="BU6422" s="920"/>
      <c r="BV6422" s="903"/>
      <c r="BW6422" s="908"/>
      <c r="BX6422" s="908"/>
      <c r="BY6422" s="331"/>
      <c r="BZ6422" s="331"/>
      <c r="CA6422" s="462"/>
      <c r="CB6422" s="319"/>
      <c r="CC6422" s="319"/>
      <c r="CD6422" s="319"/>
      <c r="CE6422" s="319"/>
      <c r="CF6422" s="319"/>
      <c r="CG6422" s="319"/>
      <c r="CH6422" s="318"/>
      <c r="CI6422" s="319"/>
      <c r="CJ6422" s="319"/>
      <c r="CK6422" s="342"/>
      <c r="CL6422" s="333"/>
      <c r="CM6422" s="1079"/>
      <c r="CN6422" s="1005"/>
      <c r="CO6422" s="1005"/>
      <c r="CP6422" s="1005"/>
    </row>
    <row r="6423">
      <c r="A6423" s="1257"/>
      <c r="B6423" s="1113"/>
      <c r="C6423" s="1107"/>
      <c r="D6423" s="103"/>
      <c r="E6423" s="1137"/>
      <c r="F6423" s="112"/>
      <c r="G6423" s="1110"/>
      <c r="H6423" s="1138"/>
      <c r="I6423" s="1138"/>
      <c r="J6423" s="1139"/>
      <c r="K6423" s="1111"/>
      <c r="L6423" s="1112"/>
      <c r="M6423" s="1113"/>
      <c r="N6423" s="110"/>
      <c r="O6423" s="1140"/>
      <c r="P6423" s="1115"/>
      <c r="Q6423" s="1116"/>
      <c r="R6423" s="1141"/>
      <c r="S6423" s="1113"/>
      <c r="T6423" s="1143"/>
      <c r="U6423" s="1108"/>
      <c r="V6423" s="1108"/>
      <c r="W6423" s="1108"/>
      <c r="X6423" s="1108"/>
      <c r="Y6423" s="1108"/>
      <c r="Z6423" s="1114"/>
      <c r="AA6423" s="1114"/>
      <c r="AB6423" s="1114"/>
      <c r="AC6423" s="1117"/>
      <c r="AD6423" s="1115"/>
      <c r="AE6423" s="1115"/>
      <c r="AF6423" s="1115"/>
      <c r="AG6423" s="1115"/>
      <c r="AH6423" s="1115"/>
      <c r="AI6423" s="1115"/>
      <c r="AJ6423" s="1117"/>
      <c r="AK6423" s="1118"/>
      <c r="AL6423" s="1115"/>
      <c r="AM6423" s="1115"/>
      <c r="AN6423" s="1115"/>
      <c r="AO6423" s="1115"/>
      <c r="AP6423" s="1115"/>
      <c r="AQ6423" s="1115"/>
      <c r="AR6423" s="1115"/>
      <c r="AS6423" s="1117"/>
      <c r="AT6423" s="1075"/>
      <c r="AU6423" s="1193"/>
      <c r="AV6423" s="330"/>
      <c r="AW6423" s="331"/>
      <c r="AX6423" s="331"/>
      <c r="AY6423" s="331"/>
      <c r="AZ6423" s="331"/>
      <c r="BA6423" s="331"/>
      <c r="BB6423" s="331"/>
      <c r="BC6423" s="331"/>
      <c r="BD6423" s="331"/>
      <c r="BE6423" s="333"/>
      <c r="BF6423" s="330"/>
      <c r="BG6423" s="333"/>
      <c r="BH6423" s="1119"/>
      <c r="BI6423" s="319"/>
      <c r="BJ6423" s="319"/>
      <c r="BK6423" s="319"/>
      <c r="BL6423" s="319"/>
      <c r="BM6423" s="319"/>
      <c r="BN6423" s="319"/>
      <c r="BO6423" s="319"/>
      <c r="BP6423" s="953"/>
      <c r="BQ6423" s="319"/>
      <c r="BR6423" s="319"/>
      <c r="BS6423" s="330"/>
      <c r="BT6423" s="331"/>
      <c r="BU6423" s="920"/>
      <c r="BV6423" s="903"/>
      <c r="BW6423" s="908"/>
      <c r="BX6423" s="908"/>
      <c r="BY6423" s="331"/>
      <c r="BZ6423" s="331"/>
      <c r="CA6423" s="462"/>
      <c r="CB6423" s="319"/>
      <c r="CC6423" s="319"/>
      <c r="CD6423" s="319"/>
      <c r="CE6423" s="319"/>
      <c r="CF6423" s="319"/>
      <c r="CG6423" s="319"/>
      <c r="CH6423" s="318"/>
      <c r="CI6423" s="319"/>
      <c r="CJ6423" s="319"/>
      <c r="CK6423" s="342"/>
      <c r="CL6423" s="333"/>
      <c r="CM6423" s="1079"/>
      <c r="CN6423" s="1005"/>
      <c r="CO6423" s="1005"/>
      <c r="CP6423" s="1005"/>
    </row>
    <row r="6424">
      <c r="A6424" s="1257"/>
      <c r="B6424" s="1113"/>
      <c r="C6424" s="1107"/>
      <c r="D6424" s="103"/>
      <c r="E6424" s="1137"/>
      <c r="F6424" s="112"/>
      <c r="G6424" s="1110"/>
      <c r="H6424" s="1138"/>
      <c r="I6424" s="1138"/>
      <c r="J6424" s="1139"/>
      <c r="K6424" s="1111"/>
      <c r="L6424" s="1112"/>
      <c r="M6424" s="1113"/>
      <c r="N6424" s="110"/>
      <c r="O6424" s="1140"/>
      <c r="P6424" s="1115"/>
      <c r="Q6424" s="1116"/>
      <c r="R6424" s="1141"/>
      <c r="S6424" s="1113"/>
      <c r="T6424" s="1143"/>
      <c r="U6424" s="1108"/>
      <c r="V6424" s="1108"/>
      <c r="W6424" s="1108"/>
      <c r="X6424" s="1108"/>
      <c r="Y6424" s="1108"/>
      <c r="Z6424" s="1114"/>
      <c r="AA6424" s="1114"/>
      <c r="AB6424" s="1114"/>
      <c r="AC6424" s="1117"/>
      <c r="AD6424" s="1115"/>
      <c r="AE6424" s="1115"/>
      <c r="AF6424" s="1115"/>
      <c r="AG6424" s="1115"/>
      <c r="AH6424" s="1115"/>
      <c r="AI6424" s="1115"/>
      <c r="AJ6424" s="1117"/>
      <c r="AK6424" s="1118"/>
      <c r="AL6424" s="1115"/>
      <c r="AM6424" s="1115"/>
      <c r="AN6424" s="1115"/>
      <c r="AO6424" s="1115"/>
      <c r="AP6424" s="1115"/>
      <c r="AQ6424" s="1115"/>
      <c r="AR6424" s="1115"/>
      <c r="AS6424" s="1117"/>
      <c r="AT6424" s="1075"/>
      <c r="AU6424" s="1193"/>
      <c r="AV6424" s="330"/>
      <c r="AW6424" s="331"/>
      <c r="AX6424" s="331"/>
      <c r="AY6424" s="331"/>
      <c r="AZ6424" s="331"/>
      <c r="BA6424" s="331"/>
      <c r="BB6424" s="331"/>
      <c r="BC6424" s="331"/>
      <c r="BD6424" s="331"/>
      <c r="BE6424" s="333"/>
      <c r="BF6424" s="330"/>
      <c r="BG6424" s="333"/>
      <c r="BH6424" s="1119"/>
      <c r="BI6424" s="319"/>
      <c r="BJ6424" s="319"/>
      <c r="BK6424" s="319"/>
      <c r="BL6424" s="319"/>
      <c r="BM6424" s="319"/>
      <c r="BN6424" s="319"/>
      <c r="BO6424" s="319"/>
      <c r="BP6424" s="953"/>
      <c r="BQ6424" s="319"/>
      <c r="BR6424" s="319"/>
      <c r="BS6424" s="330"/>
      <c r="BT6424" s="331"/>
      <c r="BU6424" s="920"/>
      <c r="BV6424" s="903"/>
      <c r="BW6424" s="908"/>
      <c r="BX6424" s="908"/>
      <c r="BY6424" s="331"/>
      <c r="BZ6424" s="331"/>
      <c r="CA6424" s="462"/>
      <c r="CB6424" s="319"/>
      <c r="CC6424" s="319"/>
      <c r="CD6424" s="319"/>
      <c r="CE6424" s="319"/>
      <c r="CF6424" s="319"/>
      <c r="CG6424" s="319"/>
      <c r="CH6424" s="318"/>
      <c r="CI6424" s="319"/>
      <c r="CJ6424" s="319"/>
      <c r="CK6424" s="342"/>
      <c r="CL6424" s="333"/>
      <c r="CM6424" s="1079"/>
      <c r="CN6424" s="1005"/>
      <c r="CO6424" s="1005"/>
      <c r="CP6424" s="1005"/>
    </row>
    <row r="6425">
      <c r="A6425" s="1257"/>
      <c r="B6425" s="1113"/>
      <c r="C6425" s="1107"/>
      <c r="D6425" s="103"/>
      <c r="E6425" s="1137"/>
      <c r="F6425" s="112"/>
      <c r="G6425" s="1110"/>
      <c r="H6425" s="1138"/>
      <c r="I6425" s="1138"/>
      <c r="J6425" s="1139"/>
      <c r="K6425" s="1111"/>
      <c r="L6425" s="1112"/>
      <c r="M6425" s="1113"/>
      <c r="N6425" s="110"/>
      <c r="O6425" s="1140"/>
      <c r="P6425" s="1115"/>
      <c r="Q6425" s="1116"/>
      <c r="R6425" s="1141"/>
      <c r="S6425" s="1113"/>
      <c r="T6425" s="1143"/>
      <c r="U6425" s="1108"/>
      <c r="V6425" s="1108"/>
      <c r="W6425" s="1108"/>
      <c r="X6425" s="1108"/>
      <c r="Y6425" s="1108"/>
      <c r="Z6425" s="1114"/>
      <c r="AA6425" s="1114"/>
      <c r="AB6425" s="1114"/>
      <c r="AC6425" s="1117"/>
      <c r="AD6425" s="1115"/>
      <c r="AE6425" s="1115"/>
      <c r="AF6425" s="1115"/>
      <c r="AG6425" s="1115"/>
      <c r="AH6425" s="1115"/>
      <c r="AI6425" s="1115"/>
      <c r="AJ6425" s="1117"/>
      <c r="AK6425" s="1118"/>
      <c r="AL6425" s="1115"/>
      <c r="AM6425" s="1115"/>
      <c r="AN6425" s="1115"/>
      <c r="AO6425" s="1115"/>
      <c r="AP6425" s="1115"/>
      <c r="AQ6425" s="1115"/>
      <c r="AR6425" s="1115"/>
      <c r="AS6425" s="1117"/>
      <c r="AT6425" s="1075"/>
      <c r="AU6425" s="1193"/>
      <c r="AV6425" s="330"/>
      <c r="AW6425" s="331"/>
      <c r="AX6425" s="331"/>
      <c r="AY6425" s="331"/>
      <c r="AZ6425" s="331"/>
      <c r="BA6425" s="331"/>
      <c r="BB6425" s="331"/>
      <c r="BC6425" s="331"/>
      <c r="BD6425" s="331"/>
      <c r="BE6425" s="333"/>
      <c r="BF6425" s="330"/>
      <c r="BG6425" s="333"/>
      <c r="BH6425" s="1119"/>
      <c r="BI6425" s="319"/>
      <c r="BJ6425" s="319"/>
      <c r="BK6425" s="319"/>
      <c r="BL6425" s="319"/>
      <c r="BM6425" s="319"/>
      <c r="BN6425" s="319"/>
      <c r="BO6425" s="319"/>
      <c r="BP6425" s="953"/>
      <c r="BQ6425" s="319"/>
      <c r="BR6425" s="319"/>
      <c r="BS6425" s="330"/>
      <c r="BT6425" s="331"/>
      <c r="BU6425" s="920"/>
      <c r="BV6425" s="903"/>
      <c r="BW6425" s="908"/>
      <c r="BX6425" s="908"/>
      <c r="BY6425" s="331"/>
      <c r="BZ6425" s="331"/>
      <c r="CA6425" s="462"/>
      <c r="CB6425" s="319"/>
      <c r="CC6425" s="319"/>
      <c r="CD6425" s="319"/>
      <c r="CE6425" s="319"/>
      <c r="CF6425" s="319"/>
      <c r="CG6425" s="319"/>
      <c r="CH6425" s="318"/>
      <c r="CI6425" s="319"/>
      <c r="CJ6425" s="319"/>
      <c r="CK6425" s="342"/>
      <c r="CL6425" s="333"/>
      <c r="CM6425" s="1079"/>
      <c r="CN6425" s="1005"/>
      <c r="CO6425" s="1005"/>
      <c r="CP6425" s="1005"/>
    </row>
    <row r="6426">
      <c r="A6426" s="1257"/>
      <c r="B6426" s="1113"/>
      <c r="C6426" s="1107"/>
      <c r="D6426" s="103"/>
      <c r="E6426" s="1137"/>
      <c r="F6426" s="112"/>
      <c r="G6426" s="1110"/>
      <c r="H6426" s="1138"/>
      <c r="I6426" s="1138"/>
      <c r="J6426" s="1139"/>
      <c r="K6426" s="1111"/>
      <c r="L6426" s="1112"/>
      <c r="M6426" s="1113"/>
      <c r="N6426" s="110"/>
      <c r="O6426" s="1140"/>
      <c r="P6426" s="1115"/>
      <c r="Q6426" s="1116"/>
      <c r="R6426" s="1141"/>
      <c r="S6426" s="1113"/>
      <c r="T6426" s="1143"/>
      <c r="U6426" s="1108"/>
      <c r="V6426" s="1108"/>
      <c r="W6426" s="1108"/>
      <c r="X6426" s="1108"/>
      <c r="Y6426" s="1108"/>
      <c r="Z6426" s="1114"/>
      <c r="AA6426" s="1114"/>
      <c r="AB6426" s="1114"/>
      <c r="AC6426" s="1117"/>
      <c r="AD6426" s="1115"/>
      <c r="AE6426" s="1115"/>
      <c r="AF6426" s="1115"/>
      <c r="AG6426" s="1115"/>
      <c r="AH6426" s="1115"/>
      <c r="AI6426" s="1115"/>
      <c r="AJ6426" s="1117"/>
      <c r="AK6426" s="1118"/>
      <c r="AL6426" s="1115"/>
      <c r="AM6426" s="1115"/>
      <c r="AN6426" s="1115"/>
      <c r="AO6426" s="1115"/>
      <c r="AP6426" s="1115"/>
      <c r="AQ6426" s="1115"/>
      <c r="AR6426" s="1115"/>
      <c r="AS6426" s="1117"/>
      <c r="AT6426" s="1075"/>
      <c r="AU6426" s="1193"/>
      <c r="AV6426" s="330"/>
      <c r="AW6426" s="331"/>
      <c r="AX6426" s="331"/>
      <c r="AY6426" s="331"/>
      <c r="AZ6426" s="331"/>
      <c r="BA6426" s="331"/>
      <c r="BB6426" s="331"/>
      <c r="BC6426" s="331"/>
      <c r="BD6426" s="331"/>
      <c r="BE6426" s="333"/>
      <c r="BF6426" s="330"/>
      <c r="BG6426" s="333"/>
      <c r="BH6426" s="1119"/>
      <c r="BI6426" s="319"/>
      <c r="BJ6426" s="319"/>
      <c r="BK6426" s="319"/>
      <c r="BL6426" s="319"/>
      <c r="BM6426" s="319"/>
      <c r="BN6426" s="319"/>
      <c r="BO6426" s="319"/>
      <c r="BP6426" s="953"/>
      <c r="BQ6426" s="319"/>
      <c r="BR6426" s="319"/>
      <c r="BS6426" s="330"/>
      <c r="BT6426" s="331"/>
      <c r="BU6426" s="920"/>
      <c r="BV6426" s="903"/>
      <c r="BW6426" s="908"/>
      <c r="BX6426" s="908"/>
      <c r="BY6426" s="331"/>
      <c r="BZ6426" s="331"/>
      <c r="CA6426" s="462"/>
      <c r="CB6426" s="319"/>
      <c r="CC6426" s="319"/>
      <c r="CD6426" s="319"/>
      <c r="CE6426" s="319"/>
      <c r="CF6426" s="319"/>
      <c r="CG6426" s="319"/>
      <c r="CH6426" s="318"/>
      <c r="CI6426" s="319"/>
      <c r="CJ6426" s="319"/>
      <c r="CK6426" s="342"/>
      <c r="CL6426" s="333"/>
      <c r="CM6426" s="1079"/>
      <c r="CN6426" s="1005"/>
      <c r="CO6426" s="1005"/>
      <c r="CP6426" s="1005"/>
    </row>
    <row r="6427">
      <c r="A6427" s="1257"/>
      <c r="B6427" s="1113"/>
      <c r="C6427" s="1107"/>
      <c r="D6427" s="103"/>
      <c r="E6427" s="1137"/>
      <c r="F6427" s="112"/>
      <c r="G6427" s="1110"/>
      <c r="H6427" s="1138"/>
      <c r="I6427" s="1138"/>
      <c r="J6427" s="1139"/>
      <c r="K6427" s="1111"/>
      <c r="L6427" s="1112"/>
      <c r="M6427" s="1113"/>
      <c r="N6427" s="110"/>
      <c r="O6427" s="1140"/>
      <c r="P6427" s="1115"/>
      <c r="Q6427" s="1116"/>
      <c r="R6427" s="1141"/>
      <c r="S6427" s="1113"/>
      <c r="T6427" s="1143"/>
      <c r="U6427" s="1108"/>
      <c r="V6427" s="1108"/>
      <c r="W6427" s="1108"/>
      <c r="X6427" s="1108"/>
      <c r="Y6427" s="1108"/>
      <c r="Z6427" s="1114"/>
      <c r="AA6427" s="1114"/>
      <c r="AB6427" s="1114"/>
      <c r="AC6427" s="1117"/>
      <c r="AD6427" s="1115"/>
      <c r="AE6427" s="1115"/>
      <c r="AF6427" s="1115"/>
      <c r="AG6427" s="1115"/>
      <c r="AH6427" s="1115"/>
      <c r="AI6427" s="1115"/>
      <c r="AJ6427" s="1117"/>
      <c r="AK6427" s="1118"/>
      <c r="AL6427" s="1115"/>
      <c r="AM6427" s="1115"/>
      <c r="AN6427" s="1115"/>
      <c r="AO6427" s="1115"/>
      <c r="AP6427" s="1115"/>
      <c r="AQ6427" s="1115"/>
      <c r="AR6427" s="1115"/>
      <c r="AS6427" s="1117"/>
      <c r="AT6427" s="1075"/>
      <c r="AU6427" s="1193"/>
      <c r="AV6427" s="330"/>
      <c r="AW6427" s="331"/>
      <c r="AX6427" s="331"/>
      <c r="AY6427" s="331"/>
      <c r="AZ6427" s="331"/>
      <c r="BA6427" s="331"/>
      <c r="BB6427" s="331"/>
      <c r="BC6427" s="331"/>
      <c r="BD6427" s="331"/>
      <c r="BE6427" s="333"/>
      <c r="BF6427" s="330"/>
      <c r="BG6427" s="333"/>
      <c r="BH6427" s="1119"/>
      <c r="BI6427" s="319"/>
      <c r="BJ6427" s="319"/>
      <c r="BK6427" s="319"/>
      <c r="BL6427" s="319"/>
      <c r="BM6427" s="319"/>
      <c r="BN6427" s="319"/>
      <c r="BO6427" s="319"/>
      <c r="BP6427" s="953"/>
      <c r="BQ6427" s="319"/>
      <c r="BR6427" s="319"/>
      <c r="BS6427" s="330"/>
      <c r="BT6427" s="331"/>
      <c r="BU6427" s="920"/>
      <c r="BV6427" s="903"/>
      <c r="BW6427" s="908"/>
      <c r="BX6427" s="908"/>
      <c r="BY6427" s="331"/>
      <c r="BZ6427" s="331"/>
      <c r="CA6427" s="462"/>
      <c r="CB6427" s="319"/>
      <c r="CC6427" s="319"/>
      <c r="CD6427" s="319"/>
      <c r="CE6427" s="319"/>
      <c r="CF6427" s="319"/>
      <c r="CG6427" s="319"/>
      <c r="CH6427" s="318"/>
      <c r="CI6427" s="319"/>
      <c r="CJ6427" s="319"/>
      <c r="CK6427" s="342"/>
      <c r="CL6427" s="333"/>
      <c r="CM6427" s="1079"/>
      <c r="CN6427" s="1005"/>
      <c r="CO6427" s="1005"/>
      <c r="CP6427" s="1005"/>
    </row>
    <row r="6428">
      <c r="A6428" s="1257"/>
      <c r="B6428" s="1113"/>
      <c r="C6428" s="1107"/>
      <c r="D6428" s="103"/>
      <c r="E6428" s="1137"/>
      <c r="F6428" s="112"/>
      <c r="G6428" s="1110"/>
      <c r="H6428" s="1138"/>
      <c r="I6428" s="1138"/>
      <c r="J6428" s="1139"/>
      <c r="K6428" s="1111"/>
      <c r="L6428" s="1112"/>
      <c r="M6428" s="1113"/>
      <c r="N6428" s="110"/>
      <c r="O6428" s="1140"/>
      <c r="P6428" s="1115"/>
      <c r="Q6428" s="1116"/>
      <c r="R6428" s="1141"/>
      <c r="S6428" s="1113"/>
      <c r="T6428" s="1143"/>
      <c r="U6428" s="1108"/>
      <c r="V6428" s="1108"/>
      <c r="W6428" s="1108"/>
      <c r="X6428" s="1108"/>
      <c r="Y6428" s="1108"/>
      <c r="Z6428" s="1114"/>
      <c r="AA6428" s="1114"/>
      <c r="AB6428" s="1114"/>
      <c r="AC6428" s="1117"/>
      <c r="AD6428" s="1115"/>
      <c r="AE6428" s="1115"/>
      <c r="AF6428" s="1115"/>
      <c r="AG6428" s="1115"/>
      <c r="AH6428" s="1115"/>
      <c r="AI6428" s="1115"/>
      <c r="AJ6428" s="1117"/>
      <c r="AK6428" s="1118"/>
      <c r="AL6428" s="1115"/>
      <c r="AM6428" s="1115"/>
      <c r="AN6428" s="1115"/>
      <c r="AO6428" s="1115"/>
      <c r="AP6428" s="1115"/>
      <c r="AQ6428" s="1115"/>
      <c r="AR6428" s="1115"/>
      <c r="AS6428" s="1117"/>
      <c r="AT6428" s="1075"/>
      <c r="AU6428" s="1193"/>
      <c r="AV6428" s="330"/>
      <c r="AW6428" s="331"/>
      <c r="AX6428" s="331"/>
      <c r="AY6428" s="331"/>
      <c r="AZ6428" s="331"/>
      <c r="BA6428" s="331"/>
      <c r="BB6428" s="331"/>
      <c r="BC6428" s="331"/>
      <c r="BD6428" s="331"/>
      <c r="BE6428" s="333"/>
      <c r="BF6428" s="330"/>
      <c r="BG6428" s="333"/>
      <c r="BH6428" s="1119"/>
      <c r="BI6428" s="319"/>
      <c r="BJ6428" s="319"/>
      <c r="BK6428" s="319"/>
      <c r="BL6428" s="319"/>
      <c r="BM6428" s="319"/>
      <c r="BN6428" s="319"/>
      <c r="BO6428" s="319"/>
      <c r="BP6428" s="953"/>
      <c r="BQ6428" s="319"/>
      <c r="BR6428" s="319"/>
      <c r="BS6428" s="330"/>
      <c r="BT6428" s="331"/>
      <c r="BU6428" s="920"/>
      <c r="BV6428" s="903"/>
      <c r="BW6428" s="908"/>
      <c r="BX6428" s="908"/>
      <c r="BY6428" s="331"/>
      <c r="BZ6428" s="331"/>
      <c r="CA6428" s="462"/>
      <c r="CB6428" s="319"/>
      <c r="CC6428" s="319"/>
      <c r="CD6428" s="319"/>
      <c r="CE6428" s="319"/>
      <c r="CF6428" s="319"/>
      <c r="CG6428" s="319"/>
      <c r="CH6428" s="318"/>
      <c r="CI6428" s="319"/>
      <c r="CJ6428" s="319"/>
      <c r="CK6428" s="342"/>
      <c r="CL6428" s="333"/>
      <c r="CM6428" s="1079"/>
      <c r="CN6428" s="1005"/>
      <c r="CO6428" s="1005"/>
      <c r="CP6428" s="1005"/>
    </row>
    <row r="6429">
      <c r="A6429" s="1257"/>
      <c r="B6429" s="1113"/>
      <c r="C6429" s="1107"/>
      <c r="D6429" s="103"/>
      <c r="E6429" s="1137"/>
      <c r="F6429" s="112"/>
      <c r="G6429" s="1110"/>
      <c r="H6429" s="1138"/>
      <c r="I6429" s="1138"/>
      <c r="J6429" s="1139"/>
      <c r="K6429" s="1111"/>
      <c r="L6429" s="1112"/>
      <c r="M6429" s="1113"/>
      <c r="N6429" s="110"/>
      <c r="O6429" s="1140"/>
      <c r="P6429" s="1115"/>
      <c r="Q6429" s="1116"/>
      <c r="R6429" s="1141"/>
      <c r="S6429" s="1113"/>
      <c r="T6429" s="1143"/>
      <c r="U6429" s="1108"/>
      <c r="V6429" s="1108"/>
      <c r="W6429" s="1108"/>
      <c r="X6429" s="1108"/>
      <c r="Y6429" s="1108"/>
      <c r="Z6429" s="1114"/>
      <c r="AA6429" s="1114"/>
      <c r="AB6429" s="1114"/>
      <c r="AC6429" s="1117"/>
      <c r="AD6429" s="1115"/>
      <c r="AE6429" s="1115"/>
      <c r="AF6429" s="1115"/>
      <c r="AG6429" s="1115"/>
      <c r="AH6429" s="1115"/>
      <c r="AI6429" s="1115"/>
      <c r="AJ6429" s="1117"/>
      <c r="AK6429" s="1118"/>
      <c r="AL6429" s="1115"/>
      <c r="AM6429" s="1115"/>
      <c r="AN6429" s="1115"/>
      <c r="AO6429" s="1115"/>
      <c r="AP6429" s="1115"/>
      <c r="AQ6429" s="1115"/>
      <c r="AR6429" s="1115"/>
      <c r="AS6429" s="1117"/>
      <c r="AT6429" s="1075"/>
      <c r="AU6429" s="1193"/>
      <c r="AV6429" s="330"/>
      <c r="AW6429" s="331"/>
      <c r="AX6429" s="331"/>
      <c r="AY6429" s="331"/>
      <c r="AZ6429" s="331"/>
      <c r="BA6429" s="331"/>
      <c r="BB6429" s="331"/>
      <c r="BC6429" s="331"/>
      <c r="BD6429" s="331"/>
      <c r="BE6429" s="333"/>
      <c r="BF6429" s="330"/>
      <c r="BG6429" s="333"/>
      <c r="BH6429" s="1119"/>
      <c r="BI6429" s="319"/>
      <c r="BJ6429" s="319"/>
      <c r="BK6429" s="319"/>
      <c r="BL6429" s="319"/>
      <c r="BM6429" s="319"/>
      <c r="BN6429" s="319"/>
      <c r="BO6429" s="319"/>
      <c r="BP6429" s="953"/>
      <c r="BQ6429" s="319"/>
      <c r="BR6429" s="319"/>
      <c r="BS6429" s="330"/>
      <c r="BT6429" s="331"/>
      <c r="BU6429" s="920"/>
      <c r="BV6429" s="903"/>
      <c r="BW6429" s="908"/>
      <c r="BX6429" s="908"/>
      <c r="BY6429" s="331"/>
      <c r="BZ6429" s="331"/>
      <c r="CA6429" s="462"/>
      <c r="CB6429" s="319"/>
      <c r="CC6429" s="319"/>
      <c r="CD6429" s="319"/>
      <c r="CE6429" s="319"/>
      <c r="CF6429" s="319"/>
      <c r="CG6429" s="319"/>
      <c r="CH6429" s="318"/>
      <c r="CI6429" s="319"/>
      <c r="CJ6429" s="319"/>
      <c r="CK6429" s="342"/>
      <c r="CL6429" s="333"/>
      <c r="CM6429" s="1079"/>
      <c r="CN6429" s="1005"/>
      <c r="CO6429" s="1005"/>
      <c r="CP6429" s="1005"/>
    </row>
    <row r="6430">
      <c r="A6430" s="1257"/>
      <c r="B6430" s="1113"/>
      <c r="C6430" s="1107"/>
      <c r="D6430" s="103"/>
      <c r="E6430" s="1137"/>
      <c r="F6430" s="112"/>
      <c r="G6430" s="1110"/>
      <c r="H6430" s="1138"/>
      <c r="I6430" s="1138"/>
      <c r="J6430" s="1139"/>
      <c r="K6430" s="1111"/>
      <c r="L6430" s="1112"/>
      <c r="M6430" s="1113"/>
      <c r="N6430" s="110"/>
      <c r="O6430" s="1140"/>
      <c r="P6430" s="1115"/>
      <c r="Q6430" s="1116"/>
      <c r="R6430" s="1141"/>
      <c r="S6430" s="1113"/>
      <c r="T6430" s="1143"/>
      <c r="U6430" s="1108"/>
      <c r="V6430" s="1108"/>
      <c r="W6430" s="1108"/>
      <c r="X6430" s="1108"/>
      <c r="Y6430" s="1108"/>
      <c r="Z6430" s="1114"/>
      <c r="AA6430" s="1114"/>
      <c r="AB6430" s="1114"/>
      <c r="AC6430" s="1117"/>
      <c r="AD6430" s="1115"/>
      <c r="AE6430" s="1115"/>
      <c r="AF6430" s="1115"/>
      <c r="AG6430" s="1115"/>
      <c r="AH6430" s="1115"/>
      <c r="AI6430" s="1115"/>
      <c r="AJ6430" s="1117"/>
      <c r="AK6430" s="1118"/>
      <c r="AL6430" s="1115"/>
      <c r="AM6430" s="1115"/>
      <c r="AN6430" s="1115"/>
      <c r="AO6430" s="1115"/>
      <c r="AP6430" s="1115"/>
      <c r="AQ6430" s="1115"/>
      <c r="AR6430" s="1115"/>
      <c r="AS6430" s="1117"/>
      <c r="AT6430" s="1075"/>
      <c r="AU6430" s="1193"/>
      <c r="AV6430" s="330"/>
      <c r="AW6430" s="331"/>
      <c r="AX6430" s="331"/>
      <c r="AY6430" s="331"/>
      <c r="AZ6430" s="331"/>
      <c r="BA6430" s="331"/>
      <c r="BB6430" s="331"/>
      <c r="BC6430" s="331"/>
      <c r="BD6430" s="331"/>
      <c r="BE6430" s="333"/>
      <c r="BF6430" s="330"/>
      <c r="BG6430" s="333"/>
      <c r="BH6430" s="1119"/>
      <c r="BI6430" s="319"/>
      <c r="BJ6430" s="319"/>
      <c r="BK6430" s="319"/>
      <c r="BL6430" s="319"/>
      <c r="BM6430" s="319"/>
      <c r="BN6430" s="319"/>
      <c r="BO6430" s="319"/>
      <c r="BP6430" s="953"/>
      <c r="BQ6430" s="319"/>
      <c r="BR6430" s="319"/>
      <c r="BS6430" s="330"/>
      <c r="BT6430" s="331"/>
      <c r="BU6430" s="920"/>
      <c r="BV6430" s="903"/>
      <c r="BW6430" s="908"/>
      <c r="BX6430" s="908"/>
      <c r="BY6430" s="331"/>
      <c r="BZ6430" s="331"/>
      <c r="CA6430" s="462"/>
      <c r="CB6430" s="319"/>
      <c r="CC6430" s="319"/>
      <c r="CD6430" s="319"/>
      <c r="CE6430" s="319"/>
      <c r="CF6430" s="319"/>
      <c r="CG6430" s="319"/>
      <c r="CH6430" s="318"/>
      <c r="CI6430" s="319"/>
      <c r="CJ6430" s="319"/>
      <c r="CK6430" s="342"/>
      <c r="CL6430" s="333"/>
      <c r="CM6430" s="1079"/>
      <c r="CN6430" s="1005"/>
      <c r="CO6430" s="1005"/>
      <c r="CP6430" s="1005"/>
    </row>
    <row r="6431">
      <c r="A6431" s="1257"/>
      <c r="B6431" s="1113"/>
      <c r="C6431" s="1107"/>
      <c r="D6431" s="103"/>
      <c r="E6431" s="1137"/>
      <c r="F6431" s="112"/>
      <c r="G6431" s="1110"/>
      <c r="H6431" s="1138"/>
      <c r="I6431" s="1138"/>
      <c r="J6431" s="1139"/>
      <c r="K6431" s="1111"/>
      <c r="L6431" s="1112"/>
      <c r="M6431" s="1113"/>
      <c r="N6431" s="110"/>
      <c r="O6431" s="1140"/>
      <c r="P6431" s="1115"/>
      <c r="Q6431" s="1116"/>
      <c r="R6431" s="1141"/>
      <c r="S6431" s="1113"/>
      <c r="T6431" s="1143"/>
      <c r="U6431" s="1108"/>
      <c r="V6431" s="1108"/>
      <c r="W6431" s="1108"/>
      <c r="X6431" s="1108"/>
      <c r="Y6431" s="1108"/>
      <c r="Z6431" s="1114"/>
      <c r="AA6431" s="1114"/>
      <c r="AB6431" s="1114"/>
      <c r="AC6431" s="1117"/>
      <c r="AD6431" s="1115"/>
      <c r="AE6431" s="1115"/>
      <c r="AF6431" s="1115"/>
      <c r="AG6431" s="1115"/>
      <c r="AH6431" s="1115"/>
      <c r="AI6431" s="1115"/>
      <c r="AJ6431" s="1117"/>
      <c r="AK6431" s="1118"/>
      <c r="AL6431" s="1115"/>
      <c r="AM6431" s="1115"/>
      <c r="AN6431" s="1115"/>
      <c r="AO6431" s="1115"/>
      <c r="AP6431" s="1115"/>
      <c r="AQ6431" s="1115"/>
      <c r="AR6431" s="1115"/>
      <c r="AS6431" s="1117"/>
      <c r="AT6431" s="1075"/>
      <c r="AU6431" s="1193"/>
      <c r="AV6431" s="330"/>
      <c r="AW6431" s="331"/>
      <c r="AX6431" s="331"/>
      <c r="AY6431" s="331"/>
      <c r="AZ6431" s="331"/>
      <c r="BA6431" s="331"/>
      <c r="BB6431" s="331"/>
      <c r="BC6431" s="331"/>
      <c r="BD6431" s="331"/>
      <c r="BE6431" s="333"/>
      <c r="BF6431" s="330"/>
      <c r="BG6431" s="333"/>
      <c r="BH6431" s="1119"/>
      <c r="BI6431" s="319"/>
      <c r="BJ6431" s="319"/>
      <c r="BK6431" s="319"/>
      <c r="BL6431" s="319"/>
      <c r="BM6431" s="319"/>
      <c r="BN6431" s="319"/>
      <c r="BO6431" s="319"/>
      <c r="BP6431" s="953"/>
      <c r="BQ6431" s="319"/>
      <c r="BR6431" s="319"/>
      <c r="BS6431" s="330"/>
      <c r="BT6431" s="331"/>
      <c r="BU6431" s="920"/>
      <c r="BV6431" s="903"/>
      <c r="BW6431" s="908"/>
      <c r="BX6431" s="908"/>
      <c r="BY6431" s="331"/>
      <c r="BZ6431" s="331"/>
      <c r="CA6431" s="462"/>
      <c r="CB6431" s="319"/>
      <c r="CC6431" s="319"/>
      <c r="CD6431" s="319"/>
      <c r="CE6431" s="319"/>
      <c r="CF6431" s="319"/>
      <c r="CG6431" s="319"/>
      <c r="CH6431" s="318"/>
      <c r="CI6431" s="319"/>
      <c r="CJ6431" s="319"/>
      <c r="CK6431" s="342"/>
      <c r="CL6431" s="333"/>
      <c r="CM6431" s="1079"/>
      <c r="CN6431" s="1005"/>
      <c r="CO6431" s="1005"/>
      <c r="CP6431" s="1005"/>
    </row>
    <row r="6432">
      <c r="A6432" s="1257"/>
      <c r="B6432" s="1113"/>
      <c r="C6432" s="1107"/>
      <c r="D6432" s="103"/>
      <c r="E6432" s="1137"/>
      <c r="F6432" s="112"/>
      <c r="G6432" s="1110"/>
      <c r="H6432" s="1138"/>
      <c r="I6432" s="1138"/>
      <c r="J6432" s="1139"/>
      <c r="K6432" s="1111"/>
      <c r="L6432" s="1112"/>
      <c r="M6432" s="1113"/>
      <c r="N6432" s="110"/>
      <c r="O6432" s="1140"/>
      <c r="P6432" s="1115"/>
      <c r="Q6432" s="1116"/>
      <c r="R6432" s="1141"/>
      <c r="S6432" s="1113"/>
      <c r="T6432" s="1143"/>
      <c r="U6432" s="1108"/>
      <c r="V6432" s="1108"/>
      <c r="W6432" s="1108"/>
      <c r="X6432" s="1108"/>
      <c r="Y6432" s="1108"/>
      <c r="Z6432" s="1114"/>
      <c r="AA6432" s="1114"/>
      <c r="AB6432" s="1114"/>
      <c r="AC6432" s="1117"/>
      <c r="AD6432" s="1115"/>
      <c r="AE6432" s="1115"/>
      <c r="AF6432" s="1115"/>
      <c r="AG6432" s="1115"/>
      <c r="AH6432" s="1115"/>
      <c r="AI6432" s="1115"/>
      <c r="AJ6432" s="1117"/>
      <c r="AK6432" s="1118"/>
      <c r="AL6432" s="1115"/>
      <c r="AM6432" s="1115"/>
      <c r="AN6432" s="1115"/>
      <c r="AO6432" s="1115"/>
      <c r="AP6432" s="1115"/>
      <c r="AQ6432" s="1115"/>
      <c r="AR6432" s="1115"/>
      <c r="AS6432" s="1117"/>
      <c r="AT6432" s="1075"/>
      <c r="AU6432" s="1193"/>
      <c r="AV6432" s="330"/>
      <c r="AW6432" s="331"/>
      <c r="AX6432" s="331"/>
      <c r="AY6432" s="331"/>
      <c r="AZ6432" s="331"/>
      <c r="BA6432" s="331"/>
      <c r="BB6432" s="331"/>
      <c r="BC6432" s="331"/>
      <c r="BD6432" s="331"/>
      <c r="BE6432" s="333"/>
      <c r="BF6432" s="330"/>
      <c r="BG6432" s="333"/>
      <c r="BH6432" s="1119"/>
      <c r="BI6432" s="319"/>
      <c r="BJ6432" s="319"/>
      <c r="BK6432" s="319"/>
      <c r="BL6432" s="319"/>
      <c r="BM6432" s="319"/>
      <c r="BN6432" s="319"/>
      <c r="BO6432" s="319"/>
      <c r="BP6432" s="953"/>
      <c r="BQ6432" s="319"/>
      <c r="BR6432" s="319"/>
      <c r="BS6432" s="330"/>
      <c r="BT6432" s="331"/>
      <c r="BU6432" s="920"/>
      <c r="BV6432" s="903"/>
      <c r="BW6432" s="908"/>
      <c r="BX6432" s="908"/>
      <c r="BY6432" s="331"/>
      <c r="BZ6432" s="331"/>
      <c r="CA6432" s="462"/>
      <c r="CB6432" s="319"/>
      <c r="CC6432" s="319"/>
      <c r="CD6432" s="319"/>
      <c r="CE6432" s="319"/>
      <c r="CF6432" s="319"/>
      <c r="CG6432" s="319"/>
      <c r="CH6432" s="318"/>
      <c r="CI6432" s="319"/>
      <c r="CJ6432" s="319"/>
      <c r="CK6432" s="342"/>
      <c r="CL6432" s="333"/>
      <c r="CM6432" s="1079"/>
      <c r="CN6432" s="1005"/>
      <c r="CO6432" s="1005"/>
      <c r="CP6432" s="1005"/>
    </row>
    <row r="6433">
      <c r="A6433" s="1257"/>
      <c r="B6433" s="1113"/>
      <c r="C6433" s="1107"/>
      <c r="D6433" s="103"/>
      <c r="E6433" s="1137"/>
      <c r="F6433" s="112"/>
      <c r="G6433" s="1110"/>
      <c r="H6433" s="1138"/>
      <c r="I6433" s="1138"/>
      <c r="J6433" s="1139"/>
      <c r="K6433" s="1111"/>
      <c r="L6433" s="1112"/>
      <c r="M6433" s="1113"/>
      <c r="N6433" s="110"/>
      <c r="O6433" s="1140"/>
      <c r="P6433" s="1115"/>
      <c r="Q6433" s="1116"/>
      <c r="R6433" s="1141"/>
      <c r="S6433" s="1113"/>
      <c r="T6433" s="1143"/>
      <c r="U6433" s="1108"/>
      <c r="V6433" s="1108"/>
      <c r="W6433" s="1108"/>
      <c r="X6433" s="1108"/>
      <c r="Y6433" s="1108"/>
      <c r="Z6433" s="1114"/>
      <c r="AA6433" s="1114"/>
      <c r="AB6433" s="1114"/>
      <c r="AC6433" s="1117"/>
      <c r="AD6433" s="1115"/>
      <c r="AE6433" s="1115"/>
      <c r="AF6433" s="1115"/>
      <c r="AG6433" s="1115"/>
      <c r="AH6433" s="1115"/>
      <c r="AI6433" s="1115"/>
      <c r="AJ6433" s="1117"/>
      <c r="AK6433" s="1118"/>
      <c r="AL6433" s="1115"/>
      <c r="AM6433" s="1115"/>
      <c r="AN6433" s="1115"/>
      <c r="AO6433" s="1115"/>
      <c r="AP6433" s="1115"/>
      <c r="AQ6433" s="1115"/>
      <c r="AR6433" s="1115"/>
      <c r="AS6433" s="1117"/>
      <c r="AT6433" s="1075"/>
      <c r="AU6433" s="1193"/>
      <c r="AV6433" s="330"/>
      <c r="AW6433" s="331"/>
      <c r="AX6433" s="331"/>
      <c r="AY6433" s="331"/>
      <c r="AZ6433" s="331"/>
      <c r="BA6433" s="331"/>
      <c r="BB6433" s="331"/>
      <c r="BC6433" s="331"/>
      <c r="BD6433" s="331"/>
      <c r="BE6433" s="333"/>
      <c r="BF6433" s="330"/>
      <c r="BG6433" s="333"/>
      <c r="BH6433" s="1119"/>
      <c r="BI6433" s="319"/>
      <c r="BJ6433" s="319"/>
      <c r="BK6433" s="319"/>
      <c r="BL6433" s="319"/>
      <c r="BM6433" s="319"/>
      <c r="BN6433" s="319"/>
      <c r="BO6433" s="319"/>
      <c r="BP6433" s="953"/>
      <c r="BQ6433" s="319"/>
      <c r="BR6433" s="319"/>
      <c r="BS6433" s="330"/>
      <c r="BT6433" s="331"/>
      <c r="BU6433" s="920"/>
      <c r="BV6433" s="903"/>
      <c r="BW6433" s="908"/>
      <c r="BX6433" s="908"/>
      <c r="BY6433" s="331"/>
      <c r="BZ6433" s="331"/>
      <c r="CA6433" s="462"/>
      <c r="CB6433" s="319"/>
      <c r="CC6433" s="319"/>
      <c r="CD6433" s="319"/>
      <c r="CE6433" s="319"/>
      <c r="CF6433" s="319"/>
      <c r="CG6433" s="319"/>
      <c r="CH6433" s="318"/>
      <c r="CI6433" s="319"/>
      <c r="CJ6433" s="319"/>
      <c r="CK6433" s="342"/>
      <c r="CL6433" s="333"/>
      <c r="CM6433" s="1079"/>
      <c r="CN6433" s="1005"/>
      <c r="CO6433" s="1005"/>
      <c r="CP6433" s="1005"/>
    </row>
    <row r="6434">
      <c r="A6434" s="1257"/>
      <c r="B6434" s="1113"/>
      <c r="C6434" s="1107"/>
      <c r="D6434" s="103"/>
      <c r="E6434" s="1137"/>
      <c r="F6434" s="112"/>
      <c r="G6434" s="1110"/>
      <c r="H6434" s="1138"/>
      <c r="I6434" s="1138"/>
      <c r="J6434" s="1139"/>
      <c r="K6434" s="1111"/>
      <c r="L6434" s="1112"/>
      <c r="M6434" s="1113"/>
      <c r="N6434" s="110"/>
      <c r="O6434" s="1140"/>
      <c r="P6434" s="1115"/>
      <c r="Q6434" s="1116"/>
      <c r="R6434" s="1141"/>
      <c r="S6434" s="1113"/>
      <c r="T6434" s="1143"/>
      <c r="U6434" s="1108"/>
      <c r="V6434" s="1108"/>
      <c r="W6434" s="1108"/>
      <c r="X6434" s="1108"/>
      <c r="Y6434" s="1108"/>
      <c r="Z6434" s="1114"/>
      <c r="AA6434" s="1114"/>
      <c r="AB6434" s="1114"/>
      <c r="AC6434" s="1117"/>
      <c r="AD6434" s="1115"/>
      <c r="AE6434" s="1115"/>
      <c r="AF6434" s="1115"/>
      <c r="AG6434" s="1115"/>
      <c r="AH6434" s="1115"/>
      <c r="AI6434" s="1115"/>
      <c r="AJ6434" s="1117"/>
      <c r="AK6434" s="1118"/>
      <c r="AL6434" s="1115"/>
      <c r="AM6434" s="1115"/>
      <c r="AN6434" s="1115"/>
      <c r="AO6434" s="1115"/>
      <c r="AP6434" s="1115"/>
      <c r="AQ6434" s="1115"/>
      <c r="AR6434" s="1115"/>
      <c r="AS6434" s="1117"/>
      <c r="AT6434" s="1075"/>
      <c r="AU6434" s="1193"/>
      <c r="AV6434" s="330"/>
      <c r="AW6434" s="331"/>
      <c r="AX6434" s="331"/>
      <c r="AY6434" s="331"/>
      <c r="AZ6434" s="331"/>
      <c r="BA6434" s="331"/>
      <c r="BB6434" s="331"/>
      <c r="BC6434" s="331"/>
      <c r="BD6434" s="331"/>
      <c r="BE6434" s="333"/>
      <c r="BF6434" s="330"/>
      <c r="BG6434" s="333"/>
      <c r="BH6434" s="1119"/>
      <c r="BI6434" s="319"/>
      <c r="BJ6434" s="319"/>
      <c r="BK6434" s="319"/>
      <c r="BL6434" s="319"/>
      <c r="BM6434" s="319"/>
      <c r="BN6434" s="319"/>
      <c r="BO6434" s="319"/>
      <c r="BP6434" s="953"/>
      <c r="BQ6434" s="319"/>
      <c r="BR6434" s="319"/>
      <c r="BS6434" s="330"/>
      <c r="BT6434" s="331"/>
      <c r="BU6434" s="920"/>
      <c r="BV6434" s="903"/>
      <c r="BW6434" s="908"/>
      <c r="BX6434" s="908"/>
      <c r="BY6434" s="331"/>
      <c r="BZ6434" s="331"/>
      <c r="CA6434" s="462"/>
      <c r="CB6434" s="319"/>
      <c r="CC6434" s="319"/>
      <c r="CD6434" s="319"/>
      <c r="CE6434" s="319"/>
      <c r="CF6434" s="319"/>
      <c r="CG6434" s="319"/>
      <c r="CH6434" s="318"/>
      <c r="CI6434" s="319"/>
      <c r="CJ6434" s="319"/>
      <c r="CK6434" s="342"/>
      <c r="CL6434" s="333"/>
      <c r="CM6434" s="1079"/>
      <c r="CN6434" s="1005"/>
      <c r="CO6434" s="1005"/>
      <c r="CP6434" s="1005"/>
    </row>
    <row r="6435">
      <c r="A6435" s="1257"/>
      <c r="B6435" s="1113"/>
      <c r="C6435" s="1107"/>
      <c r="D6435" s="103"/>
      <c r="E6435" s="1137"/>
      <c r="F6435" s="112"/>
      <c r="G6435" s="1110"/>
      <c r="H6435" s="1138"/>
      <c r="I6435" s="1138"/>
      <c r="J6435" s="1139"/>
      <c r="K6435" s="1111"/>
      <c r="L6435" s="1112"/>
      <c r="M6435" s="1113"/>
      <c r="N6435" s="110"/>
      <c r="O6435" s="1140"/>
      <c r="P6435" s="1115"/>
      <c r="Q6435" s="1116"/>
      <c r="R6435" s="1141"/>
      <c r="S6435" s="1113"/>
      <c r="T6435" s="1143"/>
      <c r="U6435" s="1108"/>
      <c r="V6435" s="1108"/>
      <c r="W6435" s="1108"/>
      <c r="X6435" s="1108"/>
      <c r="Y6435" s="1108"/>
      <c r="Z6435" s="1114"/>
      <c r="AA6435" s="1114"/>
      <c r="AB6435" s="1114"/>
      <c r="AC6435" s="1117"/>
      <c r="AD6435" s="1115"/>
      <c r="AE6435" s="1115"/>
      <c r="AF6435" s="1115"/>
      <c r="AG6435" s="1115"/>
      <c r="AH6435" s="1115"/>
      <c r="AI6435" s="1115"/>
      <c r="AJ6435" s="1117"/>
      <c r="AK6435" s="1118"/>
      <c r="AL6435" s="1115"/>
      <c r="AM6435" s="1115"/>
      <c r="AN6435" s="1115"/>
      <c r="AO6435" s="1115"/>
      <c r="AP6435" s="1115"/>
      <c r="AQ6435" s="1115"/>
      <c r="AR6435" s="1115"/>
      <c r="AS6435" s="1117"/>
      <c r="AT6435" s="1075"/>
      <c r="AU6435" s="1193"/>
      <c r="AV6435" s="330"/>
      <c r="AW6435" s="331"/>
      <c r="AX6435" s="331"/>
      <c r="AY6435" s="331"/>
      <c r="AZ6435" s="331"/>
      <c r="BA6435" s="331"/>
      <c r="BB6435" s="331"/>
      <c r="BC6435" s="331"/>
      <c r="BD6435" s="331"/>
      <c r="BE6435" s="333"/>
      <c r="BF6435" s="330"/>
      <c r="BG6435" s="333"/>
      <c r="BH6435" s="1119"/>
      <c r="BI6435" s="319"/>
      <c r="BJ6435" s="319"/>
      <c r="BK6435" s="319"/>
      <c r="BL6435" s="319"/>
      <c r="BM6435" s="319"/>
      <c r="BN6435" s="319"/>
      <c r="BO6435" s="319"/>
      <c r="BP6435" s="953"/>
      <c r="BQ6435" s="319"/>
      <c r="BR6435" s="319"/>
      <c r="BS6435" s="330"/>
      <c r="BT6435" s="331"/>
      <c r="BU6435" s="920"/>
      <c r="BV6435" s="903"/>
      <c r="BW6435" s="908"/>
      <c r="BX6435" s="908"/>
      <c r="BY6435" s="331"/>
      <c r="BZ6435" s="331"/>
      <c r="CA6435" s="462"/>
      <c r="CB6435" s="319"/>
      <c r="CC6435" s="319"/>
      <c r="CD6435" s="319"/>
      <c r="CE6435" s="319"/>
      <c r="CF6435" s="319"/>
      <c r="CG6435" s="319"/>
      <c r="CH6435" s="318"/>
      <c r="CI6435" s="319"/>
      <c r="CJ6435" s="319"/>
      <c r="CK6435" s="342"/>
      <c r="CL6435" s="333"/>
      <c r="CM6435" s="1079"/>
      <c r="CN6435" s="1005"/>
      <c r="CO6435" s="1005"/>
      <c r="CP6435" s="1005"/>
    </row>
    <row r="6436">
      <c r="A6436" s="1257"/>
      <c r="B6436" s="1113"/>
      <c r="C6436" s="1107"/>
      <c r="D6436" s="103"/>
      <c r="E6436" s="1137"/>
      <c r="F6436" s="112"/>
      <c r="G6436" s="1110"/>
      <c r="H6436" s="1138"/>
      <c r="I6436" s="1138"/>
      <c r="J6436" s="1139"/>
      <c r="K6436" s="1111"/>
      <c r="L6436" s="1112"/>
      <c r="M6436" s="1113"/>
      <c r="N6436" s="110"/>
      <c r="O6436" s="1140"/>
      <c r="P6436" s="1115"/>
      <c r="Q6436" s="1116"/>
      <c r="R6436" s="1141"/>
      <c r="S6436" s="1113"/>
      <c r="T6436" s="1143"/>
      <c r="U6436" s="1108"/>
      <c r="V6436" s="1108"/>
      <c r="W6436" s="1108"/>
      <c r="X6436" s="1108"/>
      <c r="Y6436" s="1108"/>
      <c r="Z6436" s="1114"/>
      <c r="AA6436" s="1114"/>
      <c r="AB6436" s="1114"/>
      <c r="AC6436" s="1117"/>
      <c r="AD6436" s="1115"/>
      <c r="AE6436" s="1115"/>
      <c r="AF6436" s="1115"/>
      <c r="AG6436" s="1115"/>
      <c r="AH6436" s="1115"/>
      <c r="AI6436" s="1115"/>
      <c r="AJ6436" s="1117"/>
      <c r="AK6436" s="1118"/>
      <c r="AL6436" s="1115"/>
      <c r="AM6436" s="1115"/>
      <c r="AN6436" s="1115"/>
      <c r="AO6436" s="1115"/>
      <c r="AP6436" s="1115"/>
      <c r="AQ6436" s="1115"/>
      <c r="AR6436" s="1115"/>
      <c r="AS6436" s="1117"/>
      <c r="AT6436" s="1075"/>
      <c r="AU6436" s="1193"/>
      <c r="AV6436" s="330"/>
      <c r="AW6436" s="331"/>
      <c r="AX6436" s="331"/>
      <c r="AY6436" s="331"/>
      <c r="AZ6436" s="331"/>
      <c r="BA6436" s="331"/>
      <c r="BB6436" s="331"/>
      <c r="BC6436" s="331"/>
      <c r="BD6436" s="331"/>
      <c r="BE6436" s="333"/>
      <c r="BF6436" s="330"/>
      <c r="BG6436" s="333"/>
      <c r="BH6436" s="1119"/>
      <c r="BI6436" s="319"/>
      <c r="BJ6436" s="319"/>
      <c r="BK6436" s="319"/>
      <c r="BL6436" s="319"/>
      <c r="BM6436" s="319"/>
      <c r="BN6436" s="319"/>
      <c r="BO6436" s="319"/>
      <c r="BP6436" s="953"/>
      <c r="BQ6436" s="319"/>
      <c r="BR6436" s="319"/>
      <c r="BS6436" s="330"/>
      <c r="BT6436" s="331"/>
      <c r="BU6436" s="920"/>
      <c r="BV6436" s="903"/>
      <c r="BW6436" s="908"/>
      <c r="BX6436" s="908"/>
      <c r="BY6436" s="331"/>
      <c r="BZ6436" s="331"/>
      <c r="CA6436" s="462"/>
      <c r="CB6436" s="319"/>
      <c r="CC6436" s="319"/>
      <c r="CD6436" s="319"/>
      <c r="CE6436" s="319"/>
      <c r="CF6436" s="319"/>
      <c r="CG6436" s="319"/>
      <c r="CH6436" s="318"/>
      <c r="CI6436" s="319"/>
      <c r="CJ6436" s="319"/>
      <c r="CK6436" s="342"/>
      <c r="CL6436" s="333"/>
      <c r="CM6436" s="1079"/>
      <c r="CN6436" s="1005"/>
      <c r="CO6436" s="1005"/>
      <c r="CP6436" s="1005"/>
    </row>
    <row r="6437">
      <c r="A6437" s="1257"/>
      <c r="B6437" s="1113"/>
      <c r="C6437" s="1107"/>
      <c r="D6437" s="103"/>
      <c r="E6437" s="1137"/>
      <c r="F6437" s="112"/>
      <c r="G6437" s="1110"/>
      <c r="H6437" s="1138"/>
      <c r="I6437" s="1138"/>
      <c r="J6437" s="1139"/>
      <c r="K6437" s="1111"/>
      <c r="L6437" s="1112"/>
      <c r="M6437" s="1113"/>
      <c r="N6437" s="110"/>
      <c r="O6437" s="1140"/>
      <c r="P6437" s="1115"/>
      <c r="Q6437" s="1116"/>
      <c r="R6437" s="1141"/>
      <c r="S6437" s="1113"/>
      <c r="T6437" s="1143"/>
      <c r="U6437" s="1108"/>
      <c r="V6437" s="1108"/>
      <c r="W6437" s="1108"/>
      <c r="X6437" s="1108"/>
      <c r="Y6437" s="1108"/>
      <c r="Z6437" s="1114"/>
      <c r="AA6437" s="1114"/>
      <c r="AB6437" s="1114"/>
      <c r="AC6437" s="1117"/>
      <c r="AD6437" s="1115"/>
      <c r="AE6437" s="1115"/>
      <c r="AF6437" s="1115"/>
      <c r="AG6437" s="1115"/>
      <c r="AH6437" s="1115"/>
      <c r="AI6437" s="1115"/>
      <c r="AJ6437" s="1117"/>
      <c r="AK6437" s="1118"/>
      <c r="AL6437" s="1115"/>
      <c r="AM6437" s="1115"/>
      <c r="AN6437" s="1115"/>
      <c r="AO6437" s="1115"/>
      <c r="AP6437" s="1115"/>
      <c r="AQ6437" s="1115"/>
      <c r="AR6437" s="1115"/>
      <c r="AS6437" s="1117"/>
      <c r="AT6437" s="1075"/>
      <c r="AU6437" s="1193"/>
      <c r="AV6437" s="330"/>
      <c r="AW6437" s="331"/>
      <c r="AX6437" s="331"/>
      <c r="AY6437" s="331"/>
      <c r="AZ6437" s="331"/>
      <c r="BA6437" s="331"/>
      <c r="BB6437" s="331"/>
      <c r="BC6437" s="331"/>
      <c r="BD6437" s="331"/>
      <c r="BE6437" s="333"/>
      <c r="BF6437" s="330"/>
      <c r="BG6437" s="333"/>
      <c r="BH6437" s="1119"/>
      <c r="BI6437" s="319"/>
      <c r="BJ6437" s="319"/>
      <c r="BK6437" s="319"/>
      <c r="BL6437" s="319"/>
      <c r="BM6437" s="319"/>
      <c r="BN6437" s="319"/>
      <c r="BO6437" s="319"/>
      <c r="BP6437" s="953"/>
      <c r="BQ6437" s="319"/>
      <c r="BR6437" s="319"/>
      <c r="BS6437" s="330"/>
      <c r="BT6437" s="331"/>
      <c r="BU6437" s="920"/>
      <c r="BV6437" s="903"/>
      <c r="BW6437" s="908"/>
      <c r="BX6437" s="908"/>
      <c r="BY6437" s="331"/>
      <c r="BZ6437" s="331"/>
      <c r="CA6437" s="462"/>
      <c r="CB6437" s="319"/>
      <c r="CC6437" s="319"/>
      <c r="CD6437" s="319"/>
      <c r="CE6437" s="319"/>
      <c r="CF6437" s="319"/>
      <c r="CG6437" s="319"/>
      <c r="CH6437" s="318"/>
      <c r="CI6437" s="319"/>
      <c r="CJ6437" s="319"/>
      <c r="CK6437" s="342"/>
      <c r="CL6437" s="333"/>
      <c r="CM6437" s="1079"/>
      <c r="CN6437" s="1005"/>
      <c r="CO6437" s="1005"/>
      <c r="CP6437" s="1005"/>
    </row>
    <row r="6438">
      <c r="A6438" s="1257"/>
      <c r="B6438" s="1113"/>
      <c r="C6438" s="1107"/>
      <c r="D6438" s="103"/>
      <c r="E6438" s="1137"/>
      <c r="F6438" s="112"/>
      <c r="G6438" s="1110"/>
      <c r="H6438" s="1138"/>
      <c r="I6438" s="1138"/>
      <c r="J6438" s="1139"/>
      <c r="K6438" s="1111"/>
      <c r="L6438" s="1112"/>
      <c r="M6438" s="1113"/>
      <c r="N6438" s="110"/>
      <c r="O6438" s="1140"/>
      <c r="P6438" s="1115"/>
      <c r="Q6438" s="1116"/>
      <c r="R6438" s="1141"/>
      <c r="S6438" s="1113"/>
      <c r="T6438" s="1143"/>
      <c r="U6438" s="1108"/>
      <c r="V6438" s="1108"/>
      <c r="W6438" s="1108"/>
      <c r="X6438" s="1108"/>
      <c r="Y6438" s="1108"/>
      <c r="Z6438" s="1114"/>
      <c r="AA6438" s="1114"/>
      <c r="AB6438" s="1114"/>
      <c r="AC6438" s="1117"/>
      <c r="AD6438" s="1115"/>
      <c r="AE6438" s="1115"/>
      <c r="AF6438" s="1115"/>
      <c r="AG6438" s="1115"/>
      <c r="AH6438" s="1115"/>
      <c r="AI6438" s="1115"/>
      <c r="AJ6438" s="1117"/>
      <c r="AK6438" s="1118"/>
      <c r="AL6438" s="1115"/>
      <c r="AM6438" s="1115"/>
      <c r="AN6438" s="1115"/>
      <c r="AO6438" s="1115"/>
      <c r="AP6438" s="1115"/>
      <c r="AQ6438" s="1115"/>
      <c r="AR6438" s="1115"/>
      <c r="AS6438" s="1117"/>
      <c r="AT6438" s="1075"/>
      <c r="AU6438" s="1193"/>
      <c r="AV6438" s="330"/>
      <c r="AW6438" s="331"/>
      <c r="AX6438" s="331"/>
      <c r="AY6438" s="331"/>
      <c r="AZ6438" s="331"/>
      <c r="BA6438" s="331"/>
      <c r="BB6438" s="331"/>
      <c r="BC6438" s="331"/>
      <c r="BD6438" s="331"/>
      <c r="BE6438" s="333"/>
      <c r="BF6438" s="330"/>
      <c r="BG6438" s="333"/>
      <c r="BH6438" s="1119"/>
      <c r="BI6438" s="319"/>
      <c r="BJ6438" s="319"/>
      <c r="BK6438" s="319"/>
      <c r="BL6438" s="319"/>
      <c r="BM6438" s="319"/>
      <c r="BN6438" s="319"/>
      <c r="BO6438" s="319"/>
      <c r="BP6438" s="953"/>
      <c r="BQ6438" s="319"/>
      <c r="BR6438" s="319"/>
      <c r="BS6438" s="330"/>
      <c r="BT6438" s="331"/>
      <c r="BU6438" s="920"/>
      <c r="BV6438" s="903"/>
      <c r="BW6438" s="908"/>
      <c r="BX6438" s="908"/>
      <c r="BY6438" s="331"/>
      <c r="BZ6438" s="331"/>
      <c r="CA6438" s="462"/>
      <c r="CB6438" s="319"/>
      <c r="CC6438" s="319"/>
      <c r="CD6438" s="319"/>
      <c r="CE6438" s="319"/>
      <c r="CF6438" s="319"/>
      <c r="CG6438" s="319"/>
      <c r="CH6438" s="318"/>
      <c r="CI6438" s="319"/>
      <c r="CJ6438" s="319"/>
      <c r="CK6438" s="342"/>
      <c r="CL6438" s="333"/>
      <c r="CM6438" s="1079"/>
      <c r="CN6438" s="1005"/>
      <c r="CO6438" s="1005"/>
      <c r="CP6438" s="1005"/>
    </row>
    <row r="6439">
      <c r="A6439" s="1257"/>
      <c r="B6439" s="1113"/>
      <c r="C6439" s="1107"/>
      <c r="D6439" s="103"/>
      <c r="E6439" s="1137"/>
      <c r="F6439" s="112"/>
      <c r="G6439" s="1110"/>
      <c r="H6439" s="1138"/>
      <c r="I6439" s="1138"/>
      <c r="J6439" s="1139"/>
      <c r="K6439" s="1111"/>
      <c r="L6439" s="1112"/>
      <c r="M6439" s="1113"/>
      <c r="N6439" s="110"/>
      <c r="O6439" s="1140"/>
      <c r="P6439" s="1115"/>
      <c r="Q6439" s="1116"/>
      <c r="R6439" s="1141"/>
      <c r="S6439" s="1113"/>
      <c r="T6439" s="1143"/>
      <c r="U6439" s="1108"/>
      <c r="V6439" s="1108"/>
      <c r="W6439" s="1108"/>
      <c r="X6439" s="1108"/>
      <c r="Y6439" s="1108"/>
      <c r="Z6439" s="1114"/>
      <c r="AA6439" s="1114"/>
      <c r="AB6439" s="1114"/>
      <c r="AC6439" s="1117"/>
      <c r="AD6439" s="1115"/>
      <c r="AE6439" s="1115"/>
      <c r="AF6439" s="1115"/>
      <c r="AG6439" s="1115"/>
      <c r="AH6439" s="1115"/>
      <c r="AI6439" s="1115"/>
      <c r="AJ6439" s="1117"/>
      <c r="AK6439" s="1118"/>
      <c r="AL6439" s="1115"/>
      <c r="AM6439" s="1115"/>
      <c r="AN6439" s="1115"/>
      <c r="AO6439" s="1115"/>
      <c r="AP6439" s="1115"/>
      <c r="AQ6439" s="1115"/>
      <c r="AR6439" s="1115"/>
      <c r="AS6439" s="1117"/>
      <c r="AT6439" s="1075"/>
      <c r="AU6439" s="1193"/>
      <c r="AV6439" s="330"/>
      <c r="AW6439" s="331"/>
      <c r="AX6439" s="331"/>
      <c r="AY6439" s="331"/>
      <c r="AZ6439" s="331"/>
      <c r="BA6439" s="331"/>
      <c r="BB6439" s="331"/>
      <c r="BC6439" s="331"/>
      <c r="BD6439" s="331"/>
      <c r="BE6439" s="333"/>
      <c r="BF6439" s="330"/>
      <c r="BG6439" s="333"/>
      <c r="BH6439" s="1119"/>
      <c r="BI6439" s="319"/>
      <c r="BJ6439" s="319"/>
      <c r="BK6439" s="319"/>
      <c r="BL6439" s="319"/>
      <c r="BM6439" s="319"/>
      <c r="BN6439" s="319"/>
      <c r="BO6439" s="319"/>
      <c r="BP6439" s="953"/>
      <c r="BQ6439" s="319"/>
      <c r="BR6439" s="319"/>
      <c r="BS6439" s="330"/>
      <c r="BT6439" s="331"/>
      <c r="BU6439" s="920"/>
      <c r="BV6439" s="903"/>
      <c r="BW6439" s="908"/>
      <c r="BX6439" s="908"/>
      <c r="BY6439" s="331"/>
      <c r="BZ6439" s="331"/>
      <c r="CA6439" s="462"/>
      <c r="CB6439" s="319"/>
      <c r="CC6439" s="319"/>
      <c r="CD6439" s="319"/>
      <c r="CE6439" s="319"/>
      <c r="CF6439" s="319"/>
      <c r="CG6439" s="319"/>
      <c r="CH6439" s="318"/>
      <c r="CI6439" s="319"/>
      <c r="CJ6439" s="319"/>
      <c r="CK6439" s="342"/>
      <c r="CL6439" s="333"/>
      <c r="CM6439" s="1079"/>
      <c r="CN6439" s="1005"/>
      <c r="CO6439" s="1005"/>
      <c r="CP6439" s="1005"/>
    </row>
    <row r="6440">
      <c r="A6440" s="1257"/>
      <c r="B6440" s="1113"/>
      <c r="C6440" s="1107"/>
      <c r="D6440" s="103"/>
      <c r="E6440" s="1137"/>
      <c r="F6440" s="112"/>
      <c r="G6440" s="1110"/>
      <c r="H6440" s="1138"/>
      <c r="I6440" s="1138"/>
      <c r="J6440" s="1139"/>
      <c r="K6440" s="1111"/>
      <c r="L6440" s="1112"/>
      <c r="M6440" s="1113"/>
      <c r="N6440" s="110"/>
      <c r="O6440" s="1140"/>
      <c r="P6440" s="1115"/>
      <c r="Q6440" s="1116"/>
      <c r="R6440" s="1141"/>
      <c r="S6440" s="1113"/>
      <c r="T6440" s="1143"/>
      <c r="U6440" s="1108"/>
      <c r="V6440" s="1108"/>
      <c r="W6440" s="1108"/>
      <c r="X6440" s="1108"/>
      <c r="Y6440" s="1108"/>
      <c r="Z6440" s="1114"/>
      <c r="AA6440" s="1114"/>
      <c r="AB6440" s="1114"/>
      <c r="AC6440" s="1117"/>
      <c r="AD6440" s="1115"/>
      <c r="AE6440" s="1115"/>
      <c r="AF6440" s="1115"/>
      <c r="AG6440" s="1115"/>
      <c r="AH6440" s="1115"/>
      <c r="AI6440" s="1115"/>
      <c r="AJ6440" s="1117"/>
      <c r="AK6440" s="1118"/>
      <c r="AL6440" s="1115"/>
      <c r="AM6440" s="1115"/>
      <c r="AN6440" s="1115"/>
      <c r="AO6440" s="1115"/>
      <c r="AP6440" s="1115"/>
      <c r="AQ6440" s="1115"/>
      <c r="AR6440" s="1115"/>
      <c r="AS6440" s="1117"/>
      <c r="AT6440" s="1075"/>
      <c r="AU6440" s="1193"/>
      <c r="AV6440" s="330"/>
      <c r="AW6440" s="331"/>
      <c r="AX6440" s="331"/>
      <c r="AY6440" s="331"/>
      <c r="AZ6440" s="331"/>
      <c r="BA6440" s="331"/>
      <c r="BB6440" s="331"/>
      <c r="BC6440" s="331"/>
      <c r="BD6440" s="331"/>
      <c r="BE6440" s="333"/>
      <c r="BF6440" s="330"/>
      <c r="BG6440" s="333"/>
      <c r="BH6440" s="1119"/>
      <c r="BI6440" s="319"/>
      <c r="BJ6440" s="319"/>
      <c r="BK6440" s="319"/>
      <c r="BL6440" s="319"/>
      <c r="BM6440" s="319"/>
      <c r="BN6440" s="319"/>
      <c r="BO6440" s="319"/>
      <c r="BP6440" s="953"/>
      <c r="BQ6440" s="319"/>
      <c r="BR6440" s="319"/>
      <c r="BS6440" s="330"/>
      <c r="BT6440" s="331"/>
      <c r="BU6440" s="920"/>
      <c r="BV6440" s="903"/>
      <c r="BW6440" s="908"/>
      <c r="BX6440" s="908"/>
      <c r="BY6440" s="331"/>
      <c r="BZ6440" s="331"/>
      <c r="CA6440" s="462"/>
      <c r="CB6440" s="319"/>
      <c r="CC6440" s="319"/>
      <c r="CD6440" s="319"/>
      <c r="CE6440" s="319"/>
      <c r="CF6440" s="319"/>
      <c r="CG6440" s="319"/>
      <c r="CH6440" s="318"/>
      <c r="CI6440" s="319"/>
      <c r="CJ6440" s="319"/>
      <c r="CK6440" s="342"/>
      <c r="CL6440" s="333"/>
      <c r="CM6440" s="1079"/>
      <c r="CN6440" s="1005"/>
      <c r="CO6440" s="1005"/>
      <c r="CP6440" s="1005"/>
    </row>
    <row r="6441">
      <c r="A6441" s="1257"/>
      <c r="B6441" s="1113"/>
      <c r="C6441" s="1107"/>
      <c r="D6441" s="103"/>
      <c r="E6441" s="1137"/>
      <c r="F6441" s="112"/>
      <c r="G6441" s="1110"/>
      <c r="H6441" s="1138"/>
      <c r="I6441" s="1138"/>
      <c r="J6441" s="1139"/>
      <c r="K6441" s="1111"/>
      <c r="L6441" s="1112"/>
      <c r="M6441" s="1113"/>
      <c r="N6441" s="110"/>
      <c r="O6441" s="1140"/>
      <c r="P6441" s="1115"/>
      <c r="Q6441" s="1116"/>
      <c r="R6441" s="1141"/>
      <c r="S6441" s="1113"/>
      <c r="T6441" s="1143"/>
      <c r="U6441" s="1108"/>
      <c r="V6441" s="1108"/>
      <c r="W6441" s="1108"/>
      <c r="X6441" s="1108"/>
      <c r="Y6441" s="1108"/>
      <c r="Z6441" s="1114"/>
      <c r="AA6441" s="1114"/>
      <c r="AB6441" s="1114"/>
      <c r="AC6441" s="1117"/>
      <c r="AD6441" s="1115"/>
      <c r="AE6441" s="1115"/>
      <c r="AF6441" s="1115"/>
      <c r="AG6441" s="1115"/>
      <c r="AH6441" s="1115"/>
      <c r="AI6441" s="1115"/>
      <c r="AJ6441" s="1117"/>
      <c r="AK6441" s="1118"/>
      <c r="AL6441" s="1115"/>
      <c r="AM6441" s="1115"/>
      <c r="AN6441" s="1115"/>
      <c r="AO6441" s="1115"/>
      <c r="AP6441" s="1115"/>
      <c r="AQ6441" s="1115"/>
      <c r="AR6441" s="1115"/>
      <c r="AS6441" s="1117"/>
      <c r="AT6441" s="1075"/>
      <c r="AU6441" s="1193"/>
      <c r="AV6441" s="330"/>
      <c r="AW6441" s="331"/>
      <c r="AX6441" s="331"/>
      <c r="AY6441" s="331"/>
      <c r="AZ6441" s="331"/>
      <c r="BA6441" s="331"/>
      <c r="BB6441" s="331"/>
      <c r="BC6441" s="331"/>
      <c r="BD6441" s="331"/>
      <c r="BE6441" s="333"/>
      <c r="BF6441" s="330"/>
      <c r="BG6441" s="333"/>
      <c r="BH6441" s="1119"/>
      <c r="BI6441" s="319"/>
      <c r="BJ6441" s="319"/>
      <c r="BK6441" s="319"/>
      <c r="BL6441" s="319"/>
      <c r="BM6441" s="319"/>
      <c r="BN6441" s="319"/>
      <c r="BO6441" s="319"/>
      <c r="BP6441" s="953"/>
      <c r="BQ6441" s="319"/>
      <c r="BR6441" s="319"/>
      <c r="BS6441" s="330"/>
      <c r="BT6441" s="331"/>
      <c r="BU6441" s="920"/>
      <c r="BV6441" s="903"/>
      <c r="BW6441" s="908"/>
      <c r="BX6441" s="908"/>
      <c r="BY6441" s="331"/>
      <c r="BZ6441" s="331"/>
      <c r="CA6441" s="462"/>
      <c r="CB6441" s="319"/>
      <c r="CC6441" s="319"/>
      <c r="CD6441" s="319"/>
      <c r="CE6441" s="319"/>
      <c r="CF6441" s="319"/>
      <c r="CG6441" s="319"/>
      <c r="CH6441" s="318"/>
      <c r="CI6441" s="319"/>
      <c r="CJ6441" s="319"/>
      <c r="CK6441" s="342"/>
      <c r="CL6441" s="333"/>
      <c r="CM6441" s="1079"/>
      <c r="CN6441" s="1005"/>
      <c r="CO6441" s="1005"/>
      <c r="CP6441" s="1005"/>
    </row>
    <row r="6442">
      <c r="A6442" s="1257"/>
      <c r="B6442" s="1113"/>
      <c r="C6442" s="1107"/>
      <c r="D6442" s="103"/>
      <c r="E6442" s="1137"/>
      <c r="F6442" s="112"/>
      <c r="G6442" s="1110"/>
      <c r="H6442" s="1138"/>
      <c r="I6442" s="1138"/>
      <c r="J6442" s="1139"/>
      <c r="K6442" s="1111"/>
      <c r="L6442" s="1112"/>
      <c r="M6442" s="1113"/>
      <c r="N6442" s="110"/>
      <c r="O6442" s="1140"/>
      <c r="P6442" s="1115"/>
      <c r="Q6442" s="1116"/>
      <c r="R6442" s="1141"/>
      <c r="S6442" s="1113"/>
      <c r="T6442" s="1143"/>
      <c r="U6442" s="1108"/>
      <c r="V6442" s="1108"/>
      <c r="W6442" s="1108"/>
      <c r="X6442" s="1108"/>
      <c r="Y6442" s="1108"/>
      <c r="Z6442" s="1114"/>
      <c r="AA6442" s="1114"/>
      <c r="AB6442" s="1114"/>
      <c r="AC6442" s="1117"/>
      <c r="AD6442" s="1115"/>
      <c r="AE6442" s="1115"/>
      <c r="AF6442" s="1115"/>
      <c r="AG6442" s="1115"/>
      <c r="AH6442" s="1115"/>
      <c r="AI6442" s="1115"/>
      <c r="AJ6442" s="1117"/>
      <c r="AK6442" s="1118"/>
      <c r="AL6442" s="1115"/>
      <c r="AM6442" s="1115"/>
      <c r="AN6442" s="1115"/>
      <c r="AO6442" s="1115"/>
      <c r="AP6442" s="1115"/>
      <c r="AQ6442" s="1115"/>
      <c r="AR6442" s="1115"/>
      <c r="AS6442" s="1117"/>
      <c r="AT6442" s="1075"/>
      <c r="AU6442" s="1193"/>
      <c r="AV6442" s="330"/>
      <c r="AW6442" s="331"/>
      <c r="AX6442" s="331"/>
      <c r="AY6442" s="331"/>
      <c r="AZ6442" s="331"/>
      <c r="BA6442" s="331"/>
      <c r="BB6442" s="331"/>
      <c r="BC6442" s="331"/>
      <c r="BD6442" s="331"/>
      <c r="BE6442" s="333"/>
      <c r="BF6442" s="330"/>
      <c r="BG6442" s="333"/>
      <c r="BH6442" s="1119"/>
      <c r="BI6442" s="319"/>
      <c r="BJ6442" s="319"/>
      <c r="BK6442" s="319"/>
      <c r="BL6442" s="319"/>
      <c r="BM6442" s="319"/>
      <c r="BN6442" s="319"/>
      <c r="BO6442" s="319"/>
      <c r="BP6442" s="953"/>
      <c r="BQ6442" s="319"/>
      <c r="BR6442" s="319"/>
      <c r="BS6442" s="330"/>
      <c r="BT6442" s="331"/>
      <c r="BU6442" s="920"/>
      <c r="BV6442" s="903"/>
      <c r="BW6442" s="908"/>
      <c r="BX6442" s="908"/>
      <c r="BY6442" s="331"/>
      <c r="BZ6442" s="331"/>
      <c r="CA6442" s="462"/>
      <c r="CB6442" s="319"/>
      <c r="CC6442" s="319"/>
      <c r="CD6442" s="319"/>
      <c r="CE6442" s="319"/>
      <c r="CF6442" s="319"/>
      <c r="CG6442" s="319"/>
      <c r="CH6442" s="318"/>
      <c r="CI6442" s="319"/>
      <c r="CJ6442" s="319"/>
      <c r="CK6442" s="342"/>
      <c r="CL6442" s="333"/>
      <c r="CM6442" s="1079"/>
      <c r="CN6442" s="1005"/>
      <c r="CO6442" s="1005"/>
      <c r="CP6442" s="1005"/>
    </row>
    <row r="6443">
      <c r="A6443" s="1257"/>
      <c r="B6443" s="1113"/>
      <c r="C6443" s="1107"/>
      <c r="D6443" s="103"/>
      <c r="E6443" s="1137"/>
      <c r="F6443" s="112"/>
      <c r="G6443" s="1110"/>
      <c r="H6443" s="1138"/>
      <c r="I6443" s="1138"/>
      <c r="J6443" s="1139"/>
      <c r="K6443" s="1111"/>
      <c r="L6443" s="1112"/>
      <c r="M6443" s="1113"/>
      <c r="N6443" s="110"/>
      <c r="O6443" s="1140"/>
      <c r="P6443" s="1115"/>
      <c r="Q6443" s="1116"/>
      <c r="R6443" s="1141"/>
      <c r="S6443" s="1113"/>
      <c r="T6443" s="1143"/>
      <c r="U6443" s="1108"/>
      <c r="V6443" s="1108"/>
      <c r="W6443" s="1108"/>
      <c r="X6443" s="1108"/>
      <c r="Y6443" s="1108"/>
      <c r="Z6443" s="1114"/>
      <c r="AA6443" s="1114"/>
      <c r="AB6443" s="1114"/>
      <c r="AC6443" s="1117"/>
      <c r="AD6443" s="1115"/>
      <c r="AE6443" s="1115"/>
      <c r="AF6443" s="1115"/>
      <c r="AG6443" s="1115"/>
      <c r="AH6443" s="1115"/>
      <c r="AI6443" s="1115"/>
      <c r="AJ6443" s="1117"/>
      <c r="AK6443" s="1118"/>
      <c r="AL6443" s="1115"/>
      <c r="AM6443" s="1115"/>
      <c r="AN6443" s="1115"/>
      <c r="AO6443" s="1115"/>
      <c r="AP6443" s="1115"/>
      <c r="AQ6443" s="1115"/>
      <c r="AR6443" s="1115"/>
      <c r="AS6443" s="1117"/>
      <c r="AT6443" s="1075"/>
      <c r="AU6443" s="1193"/>
      <c r="AV6443" s="330"/>
      <c r="AW6443" s="331"/>
      <c r="AX6443" s="331"/>
      <c r="AY6443" s="331"/>
      <c r="AZ6443" s="331"/>
      <c r="BA6443" s="331"/>
      <c r="BB6443" s="331"/>
      <c r="BC6443" s="331"/>
      <c r="BD6443" s="331"/>
      <c r="BE6443" s="333"/>
      <c r="BF6443" s="330"/>
      <c r="BG6443" s="333"/>
      <c r="BH6443" s="1119"/>
      <c r="BI6443" s="319"/>
      <c r="BJ6443" s="319"/>
      <c r="BK6443" s="319"/>
      <c r="BL6443" s="319"/>
      <c r="BM6443" s="319"/>
      <c r="BN6443" s="319"/>
      <c r="BO6443" s="319"/>
      <c r="BP6443" s="953"/>
      <c r="BQ6443" s="319"/>
      <c r="BR6443" s="319"/>
      <c r="BS6443" s="330"/>
      <c r="BT6443" s="331"/>
      <c r="BU6443" s="920"/>
      <c r="BV6443" s="903"/>
      <c r="BW6443" s="908"/>
      <c r="BX6443" s="908"/>
      <c r="BY6443" s="331"/>
      <c r="BZ6443" s="331"/>
      <c r="CA6443" s="462"/>
      <c r="CB6443" s="319"/>
      <c r="CC6443" s="319"/>
      <c r="CD6443" s="319"/>
      <c r="CE6443" s="319"/>
      <c r="CF6443" s="319"/>
      <c r="CG6443" s="319"/>
      <c r="CH6443" s="318"/>
      <c r="CI6443" s="319"/>
      <c r="CJ6443" s="319"/>
      <c r="CK6443" s="342"/>
      <c r="CL6443" s="333"/>
      <c r="CM6443" s="1079"/>
      <c r="CN6443" s="1005"/>
      <c r="CO6443" s="1005"/>
      <c r="CP6443" s="1005"/>
    </row>
    <row r="6444">
      <c r="A6444" s="1257"/>
      <c r="B6444" s="1113"/>
      <c r="C6444" s="1107"/>
      <c r="D6444" s="103"/>
      <c r="E6444" s="1137"/>
      <c r="F6444" s="112"/>
      <c r="G6444" s="1110"/>
      <c r="H6444" s="1138"/>
      <c r="I6444" s="1138"/>
      <c r="J6444" s="1139"/>
      <c r="K6444" s="1111"/>
      <c r="L6444" s="1112"/>
      <c r="M6444" s="1113"/>
      <c r="N6444" s="110"/>
      <c r="O6444" s="1140"/>
      <c r="P6444" s="1115"/>
      <c r="Q6444" s="1116"/>
      <c r="R6444" s="1141"/>
      <c r="S6444" s="1113"/>
      <c r="T6444" s="1143"/>
      <c r="U6444" s="1108"/>
      <c r="V6444" s="1108"/>
      <c r="W6444" s="1108"/>
      <c r="X6444" s="1108"/>
      <c r="Y6444" s="1108"/>
      <c r="Z6444" s="1114"/>
      <c r="AA6444" s="1114"/>
      <c r="AB6444" s="1114"/>
      <c r="AC6444" s="1117"/>
      <c r="AD6444" s="1115"/>
      <c r="AE6444" s="1115"/>
      <c r="AF6444" s="1115"/>
      <c r="AG6444" s="1115"/>
      <c r="AH6444" s="1115"/>
      <c r="AI6444" s="1115"/>
      <c r="AJ6444" s="1117"/>
      <c r="AK6444" s="1118"/>
      <c r="AL6444" s="1115"/>
      <c r="AM6444" s="1115"/>
      <c r="AN6444" s="1115"/>
      <c r="AO6444" s="1115"/>
      <c r="AP6444" s="1115"/>
      <c r="AQ6444" s="1115"/>
      <c r="AR6444" s="1115"/>
      <c r="AS6444" s="1117"/>
      <c r="AT6444" s="1075"/>
      <c r="AU6444" s="1193"/>
      <c r="AV6444" s="330"/>
      <c r="AW6444" s="331"/>
      <c r="AX6444" s="331"/>
      <c r="AY6444" s="331"/>
      <c r="AZ6444" s="331"/>
      <c r="BA6444" s="331"/>
      <c r="BB6444" s="331"/>
      <c r="BC6444" s="331"/>
      <c r="BD6444" s="331"/>
      <c r="BE6444" s="333"/>
      <c r="BF6444" s="330"/>
      <c r="BG6444" s="333"/>
      <c r="BH6444" s="1119"/>
      <c r="BI6444" s="319"/>
      <c r="BJ6444" s="319"/>
      <c r="BK6444" s="319"/>
      <c r="BL6444" s="319"/>
      <c r="BM6444" s="319"/>
      <c r="BN6444" s="319"/>
      <c r="BO6444" s="319"/>
      <c r="BP6444" s="953"/>
      <c r="BQ6444" s="319"/>
      <c r="BR6444" s="319"/>
      <c r="BS6444" s="330"/>
      <c r="BT6444" s="331"/>
      <c r="BU6444" s="920"/>
      <c r="BV6444" s="903"/>
      <c r="BW6444" s="908"/>
      <c r="BX6444" s="908"/>
      <c r="BY6444" s="331"/>
      <c r="BZ6444" s="331"/>
      <c r="CA6444" s="462"/>
      <c r="CB6444" s="319"/>
      <c r="CC6444" s="319"/>
      <c r="CD6444" s="319"/>
      <c r="CE6444" s="319"/>
      <c r="CF6444" s="319"/>
      <c r="CG6444" s="319"/>
      <c r="CH6444" s="318"/>
      <c r="CI6444" s="319"/>
      <c r="CJ6444" s="319"/>
      <c r="CK6444" s="342"/>
      <c r="CL6444" s="333"/>
      <c r="CM6444" s="1079"/>
      <c r="CN6444" s="1005"/>
      <c r="CO6444" s="1005"/>
      <c r="CP6444" s="1005"/>
    </row>
    <row r="6445">
      <c r="A6445" s="1257"/>
      <c r="B6445" s="1113"/>
      <c r="C6445" s="1107"/>
      <c r="D6445" s="103"/>
      <c r="E6445" s="1137"/>
      <c r="F6445" s="112"/>
      <c r="G6445" s="1110"/>
      <c r="H6445" s="1138"/>
      <c r="I6445" s="1138"/>
      <c r="J6445" s="1139"/>
      <c r="K6445" s="1111"/>
      <c r="L6445" s="1112"/>
      <c r="M6445" s="1113"/>
      <c r="N6445" s="110"/>
      <c r="O6445" s="1140"/>
      <c r="P6445" s="1115"/>
      <c r="Q6445" s="1116"/>
      <c r="R6445" s="1141"/>
      <c r="S6445" s="1113"/>
      <c r="T6445" s="1143"/>
      <c r="U6445" s="1108"/>
      <c r="V6445" s="1108"/>
      <c r="W6445" s="1108"/>
      <c r="X6445" s="1108"/>
      <c r="Y6445" s="1108"/>
      <c r="Z6445" s="1114"/>
      <c r="AA6445" s="1114"/>
      <c r="AB6445" s="1114"/>
      <c r="AC6445" s="1117"/>
      <c r="AD6445" s="1115"/>
      <c r="AE6445" s="1115"/>
      <c r="AF6445" s="1115"/>
      <c r="AG6445" s="1115"/>
      <c r="AH6445" s="1115"/>
      <c r="AI6445" s="1115"/>
      <c r="AJ6445" s="1117"/>
      <c r="AK6445" s="1118"/>
      <c r="AL6445" s="1115"/>
      <c r="AM6445" s="1115"/>
      <c r="AN6445" s="1115"/>
      <c r="AO6445" s="1115"/>
      <c r="AP6445" s="1115"/>
      <c r="AQ6445" s="1115"/>
      <c r="AR6445" s="1115"/>
      <c r="AS6445" s="1117"/>
      <c r="AT6445" s="1075"/>
      <c r="AU6445" s="1193"/>
      <c r="AV6445" s="330"/>
      <c r="AW6445" s="331"/>
      <c r="AX6445" s="331"/>
      <c r="AY6445" s="331"/>
      <c r="AZ6445" s="331"/>
      <c r="BA6445" s="331"/>
      <c r="BB6445" s="331"/>
      <c r="BC6445" s="331"/>
      <c r="BD6445" s="331"/>
      <c r="BE6445" s="333"/>
      <c r="BF6445" s="330"/>
      <c r="BG6445" s="333"/>
      <c r="BH6445" s="1119"/>
      <c r="BI6445" s="319"/>
      <c r="BJ6445" s="319"/>
      <c r="BK6445" s="319"/>
      <c r="BL6445" s="319"/>
      <c r="BM6445" s="319"/>
      <c r="BN6445" s="319"/>
      <c r="BO6445" s="319"/>
      <c r="BP6445" s="953"/>
      <c r="BQ6445" s="319"/>
      <c r="BR6445" s="319"/>
      <c r="BS6445" s="330"/>
      <c r="BT6445" s="331"/>
      <c r="BU6445" s="920"/>
      <c r="BV6445" s="903"/>
      <c r="BW6445" s="908"/>
      <c r="BX6445" s="908"/>
      <c r="BY6445" s="331"/>
      <c r="BZ6445" s="331"/>
      <c r="CA6445" s="462"/>
      <c r="CB6445" s="319"/>
      <c r="CC6445" s="319"/>
      <c r="CD6445" s="319"/>
      <c r="CE6445" s="319"/>
      <c r="CF6445" s="319"/>
      <c r="CG6445" s="319"/>
      <c r="CH6445" s="318"/>
      <c r="CI6445" s="319"/>
      <c r="CJ6445" s="319"/>
      <c r="CK6445" s="342"/>
      <c r="CL6445" s="333"/>
      <c r="CM6445" s="1079"/>
      <c r="CN6445" s="1005"/>
      <c r="CO6445" s="1005"/>
      <c r="CP6445" s="1005"/>
    </row>
    <row r="6446">
      <c r="A6446" s="1257"/>
      <c r="B6446" s="1113"/>
      <c r="C6446" s="1107"/>
      <c r="D6446" s="103"/>
      <c r="E6446" s="1137"/>
      <c r="F6446" s="112"/>
      <c r="G6446" s="1110"/>
      <c r="H6446" s="1138"/>
      <c r="I6446" s="1138"/>
      <c r="J6446" s="1139"/>
      <c r="K6446" s="1111"/>
      <c r="L6446" s="1112"/>
      <c r="M6446" s="1113"/>
      <c r="N6446" s="110"/>
      <c r="O6446" s="1140"/>
      <c r="P6446" s="1115"/>
      <c r="Q6446" s="1116"/>
      <c r="R6446" s="1141"/>
      <c r="S6446" s="1113"/>
      <c r="T6446" s="1143"/>
      <c r="U6446" s="1108"/>
      <c r="V6446" s="1108"/>
      <c r="W6446" s="1108"/>
      <c r="X6446" s="1108"/>
      <c r="Y6446" s="1108"/>
      <c r="Z6446" s="1114"/>
      <c r="AA6446" s="1114"/>
      <c r="AB6446" s="1114"/>
      <c r="AC6446" s="1117"/>
      <c r="AD6446" s="1115"/>
      <c r="AE6446" s="1115"/>
      <c r="AF6446" s="1115"/>
      <c r="AG6446" s="1115"/>
      <c r="AH6446" s="1115"/>
      <c r="AI6446" s="1115"/>
      <c r="AJ6446" s="1117"/>
      <c r="AK6446" s="1118"/>
      <c r="AL6446" s="1115"/>
      <c r="AM6446" s="1115"/>
      <c r="AN6446" s="1115"/>
      <c r="AO6446" s="1115"/>
      <c r="AP6446" s="1115"/>
      <c r="AQ6446" s="1115"/>
      <c r="AR6446" s="1115"/>
      <c r="AS6446" s="1117"/>
      <c r="AT6446" s="1075"/>
      <c r="AU6446" s="1193"/>
      <c r="AV6446" s="330"/>
      <c r="AW6446" s="331"/>
      <c r="AX6446" s="331"/>
      <c r="AY6446" s="331"/>
      <c r="AZ6446" s="331"/>
      <c r="BA6446" s="331"/>
      <c r="BB6446" s="331"/>
      <c r="BC6446" s="331"/>
      <c r="BD6446" s="331"/>
      <c r="BE6446" s="333"/>
      <c r="BF6446" s="330"/>
      <c r="BG6446" s="333"/>
      <c r="BH6446" s="1119"/>
      <c r="BI6446" s="319"/>
      <c r="BJ6446" s="319"/>
      <c r="BK6446" s="319"/>
      <c r="BL6446" s="319"/>
      <c r="BM6446" s="319"/>
      <c r="BN6446" s="319"/>
      <c r="BO6446" s="319"/>
      <c r="BP6446" s="953"/>
      <c r="BQ6446" s="319"/>
      <c r="BR6446" s="319"/>
      <c r="BS6446" s="330"/>
      <c r="BT6446" s="331"/>
      <c r="BU6446" s="920"/>
      <c r="BV6446" s="903"/>
      <c r="BW6446" s="908"/>
      <c r="BX6446" s="908"/>
      <c r="BY6446" s="331"/>
      <c r="BZ6446" s="331"/>
      <c r="CA6446" s="462"/>
      <c r="CB6446" s="319"/>
      <c r="CC6446" s="319"/>
      <c r="CD6446" s="319"/>
      <c r="CE6446" s="319"/>
      <c r="CF6446" s="319"/>
      <c r="CG6446" s="319"/>
      <c r="CH6446" s="318"/>
      <c r="CI6446" s="319"/>
      <c r="CJ6446" s="319"/>
      <c r="CK6446" s="342"/>
      <c r="CL6446" s="333"/>
      <c r="CM6446" s="1079"/>
      <c r="CN6446" s="1005"/>
      <c r="CO6446" s="1005"/>
      <c r="CP6446" s="1005"/>
    </row>
    <row r="6447">
      <c r="A6447" s="1257"/>
      <c r="B6447" s="1113"/>
      <c r="C6447" s="1107"/>
      <c r="D6447" s="103"/>
      <c r="E6447" s="1137"/>
      <c r="F6447" s="112"/>
      <c r="G6447" s="1110"/>
      <c r="H6447" s="1138"/>
      <c r="I6447" s="1138"/>
      <c r="J6447" s="1139"/>
      <c r="K6447" s="1111"/>
      <c r="L6447" s="1112"/>
      <c r="M6447" s="1113"/>
      <c r="N6447" s="110"/>
      <c r="O6447" s="1140"/>
      <c r="P6447" s="1115"/>
      <c r="Q6447" s="1116"/>
      <c r="R6447" s="1141"/>
      <c r="S6447" s="1113"/>
      <c r="T6447" s="1143"/>
      <c r="U6447" s="1108"/>
      <c r="V6447" s="1108"/>
      <c r="W6447" s="1108"/>
      <c r="X6447" s="1108"/>
      <c r="Y6447" s="1108"/>
      <c r="Z6447" s="1114"/>
      <c r="AA6447" s="1114"/>
      <c r="AB6447" s="1114"/>
      <c r="AC6447" s="1117"/>
      <c r="AD6447" s="1115"/>
      <c r="AE6447" s="1115"/>
      <c r="AF6447" s="1115"/>
      <c r="AG6447" s="1115"/>
      <c r="AH6447" s="1115"/>
      <c r="AI6447" s="1115"/>
      <c r="AJ6447" s="1117"/>
      <c r="AK6447" s="1118"/>
      <c r="AL6447" s="1115"/>
      <c r="AM6447" s="1115"/>
      <c r="AN6447" s="1115"/>
      <c r="AO6447" s="1115"/>
      <c r="AP6447" s="1115"/>
      <c r="AQ6447" s="1115"/>
      <c r="AR6447" s="1115"/>
      <c r="AS6447" s="1117"/>
      <c r="AT6447" s="1075"/>
      <c r="AU6447" s="1193"/>
      <c r="AV6447" s="330"/>
      <c r="AW6447" s="331"/>
      <c r="AX6447" s="331"/>
      <c r="AY6447" s="331"/>
      <c r="AZ6447" s="331"/>
      <c r="BA6447" s="331"/>
      <c r="BB6447" s="331"/>
      <c r="BC6447" s="331"/>
      <c r="BD6447" s="331"/>
      <c r="BE6447" s="333"/>
      <c r="BF6447" s="330"/>
      <c r="BG6447" s="333"/>
      <c r="BH6447" s="1119"/>
      <c r="BI6447" s="319"/>
      <c r="BJ6447" s="319"/>
      <c r="BK6447" s="319"/>
      <c r="BL6447" s="319"/>
      <c r="BM6447" s="319"/>
      <c r="BN6447" s="319"/>
      <c r="BO6447" s="319"/>
      <c r="BP6447" s="953"/>
      <c r="BQ6447" s="319"/>
      <c r="BR6447" s="319"/>
      <c r="BS6447" s="330"/>
      <c r="BT6447" s="331"/>
      <c r="BU6447" s="920"/>
      <c r="BV6447" s="903"/>
      <c r="BW6447" s="908"/>
      <c r="BX6447" s="908"/>
      <c r="BY6447" s="331"/>
      <c r="BZ6447" s="331"/>
      <c r="CA6447" s="462"/>
      <c r="CB6447" s="319"/>
      <c r="CC6447" s="319"/>
      <c r="CD6447" s="319"/>
      <c r="CE6447" s="319"/>
      <c r="CF6447" s="319"/>
      <c r="CG6447" s="319"/>
      <c r="CH6447" s="318"/>
      <c r="CI6447" s="319"/>
      <c r="CJ6447" s="319"/>
      <c r="CK6447" s="342"/>
      <c r="CL6447" s="333"/>
      <c r="CM6447" s="1079"/>
      <c r="CN6447" s="1005"/>
      <c r="CO6447" s="1005"/>
      <c r="CP6447" s="1005"/>
    </row>
    <row r="6448">
      <c r="A6448" s="1257"/>
      <c r="B6448" s="1113"/>
      <c r="C6448" s="1107"/>
      <c r="D6448" s="103"/>
      <c r="E6448" s="1137"/>
      <c r="F6448" s="112"/>
      <c r="G6448" s="1110"/>
      <c r="H6448" s="1138"/>
      <c r="I6448" s="1138"/>
      <c r="J6448" s="1139"/>
      <c r="K6448" s="1111"/>
      <c r="L6448" s="1112"/>
      <c r="M6448" s="1113"/>
      <c r="N6448" s="110"/>
      <c r="O6448" s="1140"/>
      <c r="P6448" s="1115"/>
      <c r="Q6448" s="1116"/>
      <c r="R6448" s="1141"/>
      <c r="S6448" s="1113"/>
      <c r="T6448" s="1143"/>
      <c r="U6448" s="1108"/>
      <c r="V6448" s="1108"/>
      <c r="W6448" s="1108"/>
      <c r="X6448" s="1108"/>
      <c r="Y6448" s="1108"/>
      <c r="Z6448" s="1114"/>
      <c r="AA6448" s="1114"/>
      <c r="AB6448" s="1114"/>
      <c r="AC6448" s="1117"/>
      <c r="AD6448" s="1115"/>
      <c r="AE6448" s="1115"/>
      <c r="AF6448" s="1115"/>
      <c r="AG6448" s="1115"/>
      <c r="AH6448" s="1115"/>
      <c r="AI6448" s="1115"/>
      <c r="AJ6448" s="1117"/>
      <c r="AK6448" s="1118"/>
      <c r="AL6448" s="1115"/>
      <c r="AM6448" s="1115"/>
      <c r="AN6448" s="1115"/>
      <c r="AO6448" s="1115"/>
      <c r="AP6448" s="1115"/>
      <c r="AQ6448" s="1115"/>
      <c r="AR6448" s="1115"/>
      <c r="AS6448" s="1117"/>
      <c r="AT6448" s="1075"/>
      <c r="AU6448" s="1193"/>
      <c r="AV6448" s="330"/>
      <c r="AW6448" s="331"/>
      <c r="AX6448" s="331"/>
      <c r="AY6448" s="331"/>
      <c r="AZ6448" s="331"/>
      <c r="BA6448" s="331"/>
      <c r="BB6448" s="331"/>
      <c r="BC6448" s="331"/>
      <c r="BD6448" s="331"/>
      <c r="BE6448" s="333"/>
      <c r="BF6448" s="330"/>
      <c r="BG6448" s="333"/>
      <c r="BH6448" s="1119"/>
      <c r="BI6448" s="319"/>
      <c r="BJ6448" s="319"/>
      <c r="BK6448" s="319"/>
      <c r="BL6448" s="319"/>
      <c r="BM6448" s="319"/>
      <c r="BN6448" s="319"/>
      <c r="BO6448" s="319"/>
      <c r="BP6448" s="953"/>
      <c r="BQ6448" s="319"/>
      <c r="BR6448" s="319"/>
      <c r="BS6448" s="330"/>
      <c r="BT6448" s="331"/>
      <c r="BU6448" s="920"/>
      <c r="BV6448" s="903"/>
      <c r="BW6448" s="908"/>
      <c r="BX6448" s="908"/>
      <c r="BY6448" s="331"/>
      <c r="BZ6448" s="331"/>
      <c r="CA6448" s="462"/>
      <c r="CB6448" s="319"/>
      <c r="CC6448" s="319"/>
      <c r="CD6448" s="319"/>
      <c r="CE6448" s="319"/>
      <c r="CF6448" s="319"/>
      <c r="CG6448" s="319"/>
      <c r="CH6448" s="318"/>
      <c r="CI6448" s="319"/>
      <c r="CJ6448" s="319"/>
      <c r="CK6448" s="342"/>
      <c r="CL6448" s="333"/>
      <c r="CM6448" s="1079"/>
      <c r="CN6448" s="1005"/>
      <c r="CO6448" s="1005"/>
      <c r="CP6448" s="1005"/>
    </row>
    <row r="6449">
      <c r="A6449" s="1257"/>
      <c r="B6449" s="1113"/>
      <c r="C6449" s="1107"/>
      <c r="D6449" s="103"/>
      <c r="E6449" s="1137"/>
      <c r="F6449" s="112"/>
      <c r="G6449" s="1110"/>
      <c r="H6449" s="1138"/>
      <c r="I6449" s="1138"/>
      <c r="J6449" s="1139"/>
      <c r="K6449" s="1111"/>
      <c r="L6449" s="1112"/>
      <c r="M6449" s="1113"/>
      <c r="N6449" s="110"/>
      <c r="O6449" s="1140"/>
      <c r="P6449" s="1115"/>
      <c r="Q6449" s="1116"/>
      <c r="R6449" s="1141"/>
      <c r="S6449" s="1113"/>
      <c r="T6449" s="1143"/>
      <c r="U6449" s="1108"/>
      <c r="V6449" s="1108"/>
      <c r="W6449" s="1108"/>
      <c r="X6449" s="1108"/>
      <c r="Y6449" s="1108"/>
      <c r="Z6449" s="1114"/>
      <c r="AA6449" s="1114"/>
      <c r="AB6449" s="1114"/>
      <c r="AC6449" s="1117"/>
      <c r="AD6449" s="1115"/>
      <c r="AE6449" s="1115"/>
      <c r="AF6449" s="1115"/>
      <c r="AG6449" s="1115"/>
      <c r="AH6449" s="1115"/>
      <c r="AI6449" s="1115"/>
      <c r="AJ6449" s="1117"/>
      <c r="AK6449" s="1118"/>
      <c r="AL6449" s="1115"/>
      <c r="AM6449" s="1115"/>
      <c r="AN6449" s="1115"/>
      <c r="AO6449" s="1115"/>
      <c r="AP6449" s="1115"/>
      <c r="AQ6449" s="1115"/>
      <c r="AR6449" s="1115"/>
      <c r="AS6449" s="1117"/>
      <c r="AT6449" s="1075"/>
      <c r="AU6449" s="1193"/>
      <c r="AV6449" s="330"/>
      <c r="AW6449" s="331"/>
      <c r="AX6449" s="331"/>
      <c r="AY6449" s="331"/>
      <c r="AZ6449" s="331"/>
      <c r="BA6449" s="331"/>
      <c r="BB6449" s="331"/>
      <c r="BC6449" s="331"/>
      <c r="BD6449" s="331"/>
      <c r="BE6449" s="333"/>
      <c r="BF6449" s="330"/>
      <c r="BG6449" s="333"/>
      <c r="BH6449" s="1119"/>
      <c r="BI6449" s="319"/>
      <c r="BJ6449" s="319"/>
      <c r="BK6449" s="319"/>
      <c r="BL6449" s="319"/>
      <c r="BM6449" s="319"/>
      <c r="BN6449" s="319"/>
      <c r="BO6449" s="319"/>
      <c r="BP6449" s="953"/>
      <c r="BQ6449" s="319"/>
      <c r="BR6449" s="319"/>
      <c r="BS6449" s="330"/>
      <c r="BT6449" s="331"/>
      <c r="BU6449" s="920"/>
      <c r="BV6449" s="903"/>
      <c r="BW6449" s="908"/>
      <c r="BX6449" s="908"/>
      <c r="BY6449" s="331"/>
      <c r="BZ6449" s="331"/>
      <c r="CA6449" s="462"/>
      <c r="CB6449" s="319"/>
      <c r="CC6449" s="319"/>
      <c r="CD6449" s="319"/>
      <c r="CE6449" s="319"/>
      <c r="CF6449" s="319"/>
      <c r="CG6449" s="319"/>
      <c r="CH6449" s="318"/>
      <c r="CI6449" s="319"/>
      <c r="CJ6449" s="319"/>
      <c r="CK6449" s="342"/>
      <c r="CL6449" s="333"/>
      <c r="CM6449" s="1079"/>
      <c r="CN6449" s="1005"/>
      <c r="CO6449" s="1005"/>
      <c r="CP6449" s="1005"/>
    </row>
    <row r="6450">
      <c r="A6450" s="1257"/>
      <c r="B6450" s="1113"/>
      <c r="C6450" s="1107"/>
      <c r="D6450" s="103"/>
      <c r="E6450" s="1137"/>
      <c r="F6450" s="112"/>
      <c r="G6450" s="1110"/>
      <c r="H6450" s="1138"/>
      <c r="I6450" s="1138"/>
      <c r="J6450" s="1139"/>
      <c r="K6450" s="1111"/>
      <c r="L6450" s="1112"/>
      <c r="M6450" s="1113"/>
      <c r="N6450" s="110"/>
      <c r="O6450" s="1140"/>
      <c r="P6450" s="1115"/>
      <c r="Q6450" s="1116"/>
      <c r="R6450" s="1141"/>
      <c r="S6450" s="1113"/>
      <c r="T6450" s="1143"/>
      <c r="U6450" s="1108"/>
      <c r="V6450" s="1108"/>
      <c r="W6450" s="1108"/>
      <c r="X6450" s="1108"/>
      <c r="Y6450" s="1108"/>
      <c r="Z6450" s="1114"/>
      <c r="AA6450" s="1114"/>
      <c r="AB6450" s="1114"/>
      <c r="AC6450" s="1117"/>
      <c r="AD6450" s="1115"/>
      <c r="AE6450" s="1115"/>
      <c r="AF6450" s="1115"/>
      <c r="AG6450" s="1115"/>
      <c r="AH6450" s="1115"/>
      <c r="AI6450" s="1115"/>
      <c r="AJ6450" s="1117"/>
      <c r="AK6450" s="1118"/>
      <c r="AL6450" s="1115"/>
      <c r="AM6450" s="1115"/>
      <c r="AN6450" s="1115"/>
      <c r="AO6450" s="1115"/>
      <c r="AP6450" s="1115"/>
      <c r="AQ6450" s="1115"/>
      <c r="AR6450" s="1115"/>
      <c r="AS6450" s="1117"/>
      <c r="AT6450" s="1075"/>
      <c r="AU6450" s="1193"/>
      <c r="AV6450" s="330"/>
      <c r="AW6450" s="331"/>
      <c r="AX6450" s="331"/>
      <c r="AY6450" s="331"/>
      <c r="AZ6450" s="331"/>
      <c r="BA6450" s="331"/>
      <c r="BB6450" s="331"/>
      <c r="BC6450" s="331"/>
      <c r="BD6450" s="331"/>
      <c r="BE6450" s="333"/>
      <c r="BF6450" s="330"/>
      <c r="BG6450" s="333"/>
      <c r="BH6450" s="1119"/>
      <c r="BI6450" s="319"/>
      <c r="BJ6450" s="319"/>
      <c r="BK6450" s="319"/>
      <c r="BL6450" s="319"/>
      <c r="BM6450" s="319"/>
      <c r="BN6450" s="319"/>
      <c r="BO6450" s="319"/>
      <c r="BP6450" s="953"/>
      <c r="BQ6450" s="319"/>
      <c r="BR6450" s="319"/>
      <c r="BS6450" s="330"/>
      <c r="BT6450" s="331"/>
      <c r="BU6450" s="920"/>
      <c r="BV6450" s="903"/>
      <c r="BW6450" s="908"/>
      <c r="BX6450" s="908"/>
      <c r="BY6450" s="331"/>
      <c r="BZ6450" s="331"/>
      <c r="CA6450" s="462"/>
      <c r="CB6450" s="319"/>
      <c r="CC6450" s="319"/>
      <c r="CD6450" s="319"/>
      <c r="CE6450" s="319"/>
      <c r="CF6450" s="319"/>
      <c r="CG6450" s="319"/>
      <c r="CH6450" s="318"/>
      <c r="CI6450" s="319"/>
      <c r="CJ6450" s="319"/>
      <c r="CK6450" s="342"/>
      <c r="CL6450" s="333"/>
      <c r="CM6450" s="1079"/>
      <c r="CN6450" s="1005"/>
      <c r="CO6450" s="1005"/>
      <c r="CP6450" s="1005"/>
    </row>
    <row r="6451">
      <c r="A6451" s="1257"/>
      <c r="B6451" s="1113"/>
      <c r="C6451" s="1107"/>
      <c r="D6451" s="103"/>
      <c r="E6451" s="1137"/>
      <c r="F6451" s="112"/>
      <c r="G6451" s="1110"/>
      <c r="H6451" s="1138"/>
      <c r="I6451" s="1138"/>
      <c r="J6451" s="1139"/>
      <c r="K6451" s="1111"/>
      <c r="L6451" s="1112"/>
      <c r="M6451" s="1113"/>
      <c r="N6451" s="110"/>
      <c r="O6451" s="1140"/>
      <c r="P6451" s="1115"/>
      <c r="Q6451" s="1116"/>
      <c r="R6451" s="1141"/>
      <c r="S6451" s="1113"/>
      <c r="T6451" s="1143"/>
      <c r="U6451" s="1108"/>
      <c r="V6451" s="1108"/>
      <c r="W6451" s="1108"/>
      <c r="X6451" s="1108"/>
      <c r="Y6451" s="1108"/>
      <c r="Z6451" s="1114"/>
      <c r="AA6451" s="1114"/>
      <c r="AB6451" s="1114"/>
      <c r="AC6451" s="1117"/>
      <c r="AD6451" s="1115"/>
      <c r="AE6451" s="1115"/>
      <c r="AF6451" s="1115"/>
      <c r="AG6451" s="1115"/>
      <c r="AH6451" s="1115"/>
      <c r="AI6451" s="1115"/>
      <c r="AJ6451" s="1117"/>
      <c r="AK6451" s="1118"/>
      <c r="AL6451" s="1115"/>
      <c r="AM6451" s="1115"/>
      <c r="AN6451" s="1115"/>
      <c r="AO6451" s="1115"/>
      <c r="AP6451" s="1115"/>
      <c r="AQ6451" s="1115"/>
      <c r="AR6451" s="1115"/>
      <c r="AS6451" s="1117"/>
      <c r="AT6451" s="1075"/>
      <c r="AU6451" s="1193"/>
      <c r="AV6451" s="330"/>
      <c r="AW6451" s="331"/>
      <c r="AX6451" s="331"/>
      <c r="AY6451" s="331"/>
      <c r="AZ6451" s="331"/>
      <c r="BA6451" s="331"/>
      <c r="BB6451" s="331"/>
      <c r="BC6451" s="331"/>
      <c r="BD6451" s="331"/>
      <c r="BE6451" s="333"/>
      <c r="BF6451" s="330"/>
      <c r="BG6451" s="333"/>
      <c r="BH6451" s="1119"/>
      <c r="BI6451" s="319"/>
      <c r="BJ6451" s="319"/>
      <c r="BK6451" s="319"/>
      <c r="BL6451" s="319"/>
      <c r="BM6451" s="319"/>
      <c r="BN6451" s="319"/>
      <c r="BO6451" s="319"/>
      <c r="BP6451" s="953"/>
      <c r="BQ6451" s="319"/>
      <c r="BR6451" s="319"/>
      <c r="BS6451" s="330"/>
      <c r="BT6451" s="331"/>
      <c r="BU6451" s="920"/>
      <c r="BV6451" s="903"/>
      <c r="BW6451" s="908"/>
      <c r="BX6451" s="908"/>
      <c r="BY6451" s="331"/>
      <c r="BZ6451" s="331"/>
      <c r="CA6451" s="462"/>
      <c r="CB6451" s="319"/>
      <c r="CC6451" s="319"/>
      <c r="CD6451" s="319"/>
      <c r="CE6451" s="319"/>
      <c r="CF6451" s="319"/>
      <c r="CG6451" s="319"/>
      <c r="CH6451" s="318"/>
      <c r="CI6451" s="319"/>
      <c r="CJ6451" s="319"/>
      <c r="CK6451" s="342"/>
      <c r="CL6451" s="333"/>
      <c r="CM6451" s="1079"/>
      <c r="CN6451" s="1005"/>
      <c r="CO6451" s="1005"/>
      <c r="CP6451" s="1005"/>
    </row>
    <row r="6452">
      <c r="A6452" s="1257"/>
      <c r="B6452" s="1113"/>
      <c r="C6452" s="1107"/>
      <c r="D6452" s="103"/>
      <c r="E6452" s="1137"/>
      <c r="F6452" s="112"/>
      <c r="G6452" s="1110"/>
      <c r="H6452" s="1138"/>
      <c r="I6452" s="1138"/>
      <c r="J6452" s="1139"/>
      <c r="K6452" s="1111"/>
      <c r="L6452" s="1112"/>
      <c r="M6452" s="1113"/>
      <c r="N6452" s="110"/>
      <c r="O6452" s="1140"/>
      <c r="P6452" s="1115"/>
      <c r="Q6452" s="1116"/>
      <c r="R6452" s="1141"/>
      <c r="S6452" s="1113"/>
      <c r="T6452" s="1143"/>
      <c r="U6452" s="1108"/>
      <c r="V6452" s="1108"/>
      <c r="W6452" s="1108"/>
      <c r="X6452" s="1108"/>
      <c r="Y6452" s="1108"/>
      <c r="Z6452" s="1114"/>
      <c r="AA6452" s="1114"/>
      <c r="AB6452" s="1114"/>
      <c r="AC6452" s="1117"/>
      <c r="AD6452" s="1115"/>
      <c r="AE6452" s="1115"/>
      <c r="AF6452" s="1115"/>
      <c r="AG6452" s="1115"/>
      <c r="AH6452" s="1115"/>
      <c r="AI6452" s="1115"/>
      <c r="AJ6452" s="1117"/>
      <c r="AK6452" s="1118"/>
      <c r="AL6452" s="1115"/>
      <c r="AM6452" s="1115"/>
      <c r="AN6452" s="1115"/>
      <c r="AO6452" s="1115"/>
      <c r="AP6452" s="1115"/>
      <c r="AQ6452" s="1115"/>
      <c r="AR6452" s="1115"/>
      <c r="AS6452" s="1117"/>
      <c r="AT6452" s="1075"/>
      <c r="AU6452" s="1193"/>
      <c r="AV6452" s="330"/>
      <c r="AW6452" s="331"/>
      <c r="AX6452" s="331"/>
      <c r="AY6452" s="331"/>
      <c r="AZ6452" s="331"/>
      <c r="BA6452" s="331"/>
      <c r="BB6452" s="331"/>
      <c r="BC6452" s="331"/>
      <c r="BD6452" s="331"/>
      <c r="BE6452" s="333"/>
      <c r="BF6452" s="330"/>
      <c r="BG6452" s="333"/>
      <c r="BH6452" s="1119"/>
      <c r="BI6452" s="319"/>
      <c r="BJ6452" s="319"/>
      <c r="BK6452" s="319"/>
      <c r="BL6452" s="319"/>
      <c r="BM6452" s="319"/>
      <c r="BN6452" s="319"/>
      <c r="BO6452" s="319"/>
      <c r="BP6452" s="953"/>
      <c r="BQ6452" s="319"/>
      <c r="BR6452" s="319"/>
      <c r="BS6452" s="330"/>
      <c r="BT6452" s="331"/>
      <c r="BU6452" s="920"/>
      <c r="BV6452" s="903"/>
      <c r="BW6452" s="908"/>
      <c r="BX6452" s="908"/>
      <c r="BY6452" s="331"/>
      <c r="BZ6452" s="331"/>
      <c r="CA6452" s="462"/>
      <c r="CB6452" s="319"/>
      <c r="CC6452" s="319"/>
      <c r="CD6452" s="319"/>
      <c r="CE6452" s="319"/>
      <c r="CF6452" s="319"/>
      <c r="CG6452" s="319"/>
      <c r="CH6452" s="318"/>
      <c r="CI6452" s="319"/>
      <c r="CJ6452" s="319"/>
      <c r="CK6452" s="342"/>
      <c r="CL6452" s="333"/>
      <c r="CM6452" s="1079"/>
      <c r="CN6452" s="1005"/>
      <c r="CO6452" s="1005"/>
      <c r="CP6452" s="1005"/>
    </row>
    <row r="6453">
      <c r="A6453" s="1257"/>
      <c r="B6453" s="1113"/>
      <c r="C6453" s="1107"/>
      <c r="D6453" s="103"/>
      <c r="E6453" s="1137"/>
      <c r="F6453" s="112"/>
      <c r="G6453" s="1110"/>
      <c r="H6453" s="1138"/>
      <c r="I6453" s="1138"/>
      <c r="J6453" s="1139"/>
      <c r="K6453" s="1111"/>
      <c r="L6453" s="1112"/>
      <c r="M6453" s="1113"/>
      <c r="N6453" s="110"/>
      <c r="O6453" s="1140"/>
      <c r="P6453" s="1115"/>
      <c r="Q6453" s="1116"/>
      <c r="R6453" s="1141"/>
      <c r="S6453" s="1113"/>
      <c r="T6453" s="1143"/>
      <c r="U6453" s="1108"/>
      <c r="V6453" s="1108"/>
      <c r="W6453" s="1108"/>
      <c r="X6453" s="1108"/>
      <c r="Y6453" s="1108"/>
      <c r="Z6453" s="1114"/>
      <c r="AA6453" s="1114"/>
      <c r="AB6453" s="1114"/>
      <c r="AC6453" s="1117"/>
      <c r="AD6453" s="1115"/>
      <c r="AE6453" s="1115"/>
      <c r="AF6453" s="1115"/>
      <c r="AG6453" s="1115"/>
      <c r="AH6453" s="1115"/>
      <c r="AI6453" s="1115"/>
      <c r="AJ6453" s="1117"/>
      <c r="AK6453" s="1118"/>
      <c r="AL6453" s="1115"/>
      <c r="AM6453" s="1115"/>
      <c r="AN6453" s="1115"/>
      <c r="AO6453" s="1115"/>
      <c r="AP6453" s="1115"/>
      <c r="AQ6453" s="1115"/>
      <c r="AR6453" s="1115"/>
      <c r="AS6453" s="1117"/>
      <c r="AT6453" s="1075"/>
      <c r="AU6453" s="1193"/>
      <c r="AV6453" s="330"/>
      <c r="AW6453" s="331"/>
      <c r="AX6453" s="331"/>
      <c r="AY6453" s="331"/>
      <c r="AZ6453" s="331"/>
      <c r="BA6453" s="331"/>
      <c r="BB6453" s="331"/>
      <c r="BC6453" s="331"/>
      <c r="BD6453" s="331"/>
      <c r="BE6453" s="333"/>
      <c r="BF6453" s="330"/>
      <c r="BG6453" s="333"/>
      <c r="BH6453" s="1119"/>
      <c r="BI6453" s="319"/>
      <c r="BJ6453" s="319"/>
      <c r="BK6453" s="319"/>
      <c r="BL6453" s="319"/>
      <c r="BM6453" s="319"/>
      <c r="BN6453" s="319"/>
      <c r="BO6453" s="319"/>
      <c r="BP6453" s="953"/>
      <c r="BQ6453" s="319"/>
      <c r="BR6453" s="319"/>
      <c r="BS6453" s="330"/>
      <c r="BT6453" s="331"/>
      <c r="BU6453" s="920"/>
      <c r="BV6453" s="903"/>
      <c r="BW6453" s="908"/>
      <c r="BX6453" s="908"/>
      <c r="BY6453" s="331"/>
      <c r="BZ6453" s="331"/>
      <c r="CA6453" s="462"/>
      <c r="CB6453" s="319"/>
      <c r="CC6453" s="319"/>
      <c r="CD6453" s="319"/>
      <c r="CE6453" s="319"/>
      <c r="CF6453" s="319"/>
      <c r="CG6453" s="319"/>
      <c r="CH6453" s="318"/>
      <c r="CI6453" s="319"/>
      <c r="CJ6453" s="319"/>
      <c r="CK6453" s="342"/>
      <c r="CL6453" s="333"/>
      <c r="CM6453" s="1079"/>
      <c r="CN6453" s="1005"/>
      <c r="CO6453" s="1005"/>
      <c r="CP6453" s="1005"/>
    </row>
    <row r="6454">
      <c r="A6454" s="1257"/>
      <c r="B6454" s="1113"/>
      <c r="C6454" s="1107"/>
      <c r="D6454" s="103"/>
      <c r="E6454" s="1137"/>
      <c r="F6454" s="112"/>
      <c r="G6454" s="1110"/>
      <c r="H6454" s="1138"/>
      <c r="I6454" s="1138"/>
      <c r="J6454" s="1139"/>
      <c r="K6454" s="1111"/>
      <c r="L6454" s="1112"/>
      <c r="M6454" s="1113"/>
      <c r="N6454" s="110"/>
      <c r="O6454" s="1140"/>
      <c r="P6454" s="1115"/>
      <c r="Q6454" s="1116"/>
      <c r="R6454" s="1141"/>
      <c r="S6454" s="1113"/>
      <c r="T6454" s="1143"/>
      <c r="U6454" s="1108"/>
      <c r="V6454" s="1108"/>
      <c r="W6454" s="1108"/>
      <c r="X6454" s="1108"/>
      <c r="Y6454" s="1108"/>
      <c r="Z6454" s="1114"/>
      <c r="AA6454" s="1114"/>
      <c r="AB6454" s="1114"/>
      <c r="AC6454" s="1117"/>
      <c r="AD6454" s="1115"/>
      <c r="AE6454" s="1115"/>
      <c r="AF6454" s="1115"/>
      <c r="AG6454" s="1115"/>
      <c r="AH6454" s="1115"/>
      <c r="AI6454" s="1115"/>
      <c r="AJ6454" s="1117"/>
      <c r="AK6454" s="1118"/>
      <c r="AL6454" s="1115"/>
      <c r="AM6454" s="1115"/>
      <c r="AN6454" s="1115"/>
      <c r="AO6454" s="1115"/>
      <c r="AP6454" s="1115"/>
      <c r="AQ6454" s="1115"/>
      <c r="AR6454" s="1115"/>
      <c r="AS6454" s="1117"/>
      <c r="AT6454" s="1075"/>
      <c r="AU6454" s="1193"/>
      <c r="AV6454" s="330"/>
      <c r="AW6454" s="331"/>
      <c r="AX6454" s="331"/>
      <c r="AY6454" s="331"/>
      <c r="AZ6454" s="331"/>
      <c r="BA6454" s="331"/>
      <c r="BB6454" s="331"/>
      <c r="BC6454" s="331"/>
      <c r="BD6454" s="331"/>
      <c r="BE6454" s="333"/>
      <c r="BF6454" s="330"/>
      <c r="BG6454" s="333"/>
      <c r="BH6454" s="1119"/>
      <c r="BI6454" s="319"/>
      <c r="BJ6454" s="319"/>
      <c r="BK6454" s="319"/>
      <c r="BL6454" s="319"/>
      <c r="BM6454" s="319"/>
      <c r="BN6454" s="319"/>
      <c r="BO6454" s="319"/>
      <c r="BP6454" s="953"/>
      <c r="BQ6454" s="319"/>
      <c r="BR6454" s="319"/>
      <c r="BS6454" s="330"/>
      <c r="BT6454" s="331"/>
      <c r="BU6454" s="920"/>
      <c r="BV6454" s="903"/>
      <c r="BW6454" s="908"/>
      <c r="BX6454" s="908"/>
      <c r="BY6454" s="331"/>
      <c r="BZ6454" s="331"/>
      <c r="CA6454" s="462"/>
      <c r="CB6454" s="319"/>
      <c r="CC6454" s="319"/>
      <c r="CD6454" s="319"/>
      <c r="CE6454" s="319"/>
      <c r="CF6454" s="319"/>
      <c r="CG6454" s="319"/>
      <c r="CH6454" s="318"/>
      <c r="CI6454" s="319"/>
      <c r="CJ6454" s="319"/>
      <c r="CK6454" s="342"/>
      <c r="CL6454" s="333"/>
      <c r="CM6454" s="1079"/>
      <c r="CN6454" s="1005"/>
      <c r="CO6454" s="1005"/>
      <c r="CP6454" s="1005"/>
    </row>
    <row r="6455">
      <c r="A6455" s="1257"/>
      <c r="B6455" s="1113"/>
      <c r="C6455" s="1107"/>
      <c r="D6455" s="103"/>
      <c r="E6455" s="1137"/>
      <c r="F6455" s="112"/>
      <c r="G6455" s="1110"/>
      <c r="H6455" s="1138"/>
      <c r="I6455" s="1138"/>
      <c r="J6455" s="1139"/>
      <c r="K6455" s="1111"/>
      <c r="L6455" s="1112"/>
      <c r="M6455" s="1113"/>
      <c r="N6455" s="110"/>
      <c r="O6455" s="1140"/>
      <c r="P6455" s="1115"/>
      <c r="Q6455" s="1116"/>
      <c r="R6455" s="1141"/>
      <c r="S6455" s="1113"/>
      <c r="T6455" s="1143"/>
      <c r="U6455" s="1108"/>
      <c r="V6455" s="1108"/>
      <c r="W6455" s="1108"/>
      <c r="X6455" s="1108"/>
      <c r="Y6455" s="1108"/>
      <c r="Z6455" s="1114"/>
      <c r="AA6455" s="1114"/>
      <c r="AB6455" s="1114"/>
      <c r="AC6455" s="1117"/>
      <c r="AD6455" s="1115"/>
      <c r="AE6455" s="1115"/>
      <c r="AF6455" s="1115"/>
      <c r="AG6455" s="1115"/>
      <c r="AH6455" s="1115"/>
      <c r="AI6455" s="1115"/>
      <c r="AJ6455" s="1117"/>
      <c r="AK6455" s="1118"/>
      <c r="AL6455" s="1115"/>
      <c r="AM6455" s="1115"/>
      <c r="AN6455" s="1115"/>
      <c r="AO6455" s="1115"/>
      <c r="AP6455" s="1115"/>
      <c r="AQ6455" s="1115"/>
      <c r="AR6455" s="1115"/>
      <c r="AS6455" s="1117"/>
      <c r="AT6455" s="1075"/>
      <c r="AU6455" s="1193"/>
      <c r="AV6455" s="330"/>
      <c r="AW6455" s="331"/>
      <c r="AX6455" s="331"/>
      <c r="AY6455" s="331"/>
      <c r="AZ6455" s="331"/>
      <c r="BA6455" s="331"/>
      <c r="BB6455" s="331"/>
      <c r="BC6455" s="331"/>
      <c r="BD6455" s="331"/>
      <c r="BE6455" s="333"/>
      <c r="BF6455" s="330"/>
      <c r="BG6455" s="333"/>
      <c r="BH6455" s="1119"/>
      <c r="BI6455" s="319"/>
      <c r="BJ6455" s="319"/>
      <c r="BK6455" s="319"/>
      <c r="BL6455" s="319"/>
      <c r="BM6455" s="319"/>
      <c r="BN6455" s="319"/>
      <c r="BO6455" s="319"/>
      <c r="BP6455" s="953"/>
      <c r="BQ6455" s="319"/>
      <c r="BR6455" s="319"/>
      <c r="BS6455" s="330"/>
      <c r="BT6455" s="331"/>
      <c r="BU6455" s="920"/>
      <c r="BV6455" s="903"/>
      <c r="BW6455" s="908"/>
      <c r="BX6455" s="908"/>
      <c r="BY6455" s="331"/>
      <c r="BZ6455" s="331"/>
      <c r="CA6455" s="462"/>
      <c r="CB6455" s="319"/>
      <c r="CC6455" s="319"/>
      <c r="CD6455" s="319"/>
      <c r="CE6455" s="319"/>
      <c r="CF6455" s="319"/>
      <c r="CG6455" s="319"/>
      <c r="CH6455" s="318"/>
      <c r="CI6455" s="319"/>
      <c r="CJ6455" s="319"/>
      <c r="CK6455" s="342"/>
      <c r="CL6455" s="333"/>
      <c r="CM6455" s="1079"/>
      <c r="CN6455" s="1005"/>
      <c r="CO6455" s="1005"/>
      <c r="CP6455" s="1005"/>
    </row>
    <row r="6456">
      <c r="A6456" s="1257"/>
      <c r="B6456" s="1113"/>
      <c r="C6456" s="1107"/>
      <c r="D6456" s="103"/>
      <c r="E6456" s="1137"/>
      <c r="F6456" s="112"/>
      <c r="G6456" s="1110"/>
      <c r="H6456" s="1138"/>
      <c r="I6456" s="1138"/>
      <c r="J6456" s="1139"/>
      <c r="K6456" s="1111"/>
      <c r="L6456" s="1112"/>
      <c r="M6456" s="1113"/>
      <c r="N6456" s="110"/>
      <c r="O6456" s="1140"/>
      <c r="P6456" s="1115"/>
      <c r="Q6456" s="1116"/>
      <c r="R6456" s="1141"/>
      <c r="S6456" s="1113"/>
      <c r="T6456" s="1143"/>
      <c r="U6456" s="1108"/>
      <c r="V6456" s="1108"/>
      <c r="W6456" s="1108"/>
      <c r="X6456" s="1108"/>
      <c r="Y6456" s="1108"/>
      <c r="Z6456" s="1114"/>
      <c r="AA6456" s="1114"/>
      <c r="AB6456" s="1114"/>
      <c r="AC6456" s="1117"/>
      <c r="AD6456" s="1115"/>
      <c r="AE6456" s="1115"/>
      <c r="AF6456" s="1115"/>
      <c r="AG6456" s="1115"/>
      <c r="AH6456" s="1115"/>
      <c r="AI6456" s="1115"/>
      <c r="AJ6456" s="1117"/>
      <c r="AK6456" s="1118"/>
      <c r="AL6456" s="1115"/>
      <c r="AM6456" s="1115"/>
      <c r="AN6456" s="1115"/>
      <c r="AO6456" s="1115"/>
      <c r="AP6456" s="1115"/>
      <c r="AQ6456" s="1115"/>
      <c r="AR6456" s="1115"/>
      <c r="AS6456" s="1117"/>
      <c r="AT6456" s="1075"/>
      <c r="AU6456" s="1193"/>
      <c r="AV6456" s="330"/>
      <c r="AW6456" s="331"/>
      <c r="AX6456" s="331"/>
      <c r="AY6456" s="331"/>
      <c r="AZ6456" s="331"/>
      <c r="BA6456" s="331"/>
      <c r="BB6456" s="331"/>
      <c r="BC6456" s="331"/>
      <c r="BD6456" s="331"/>
      <c r="BE6456" s="333"/>
      <c r="BF6456" s="330"/>
      <c r="BG6456" s="333"/>
      <c r="BH6456" s="1119"/>
      <c r="BI6456" s="319"/>
      <c r="BJ6456" s="319"/>
      <c r="BK6456" s="319"/>
      <c r="BL6456" s="319"/>
      <c r="BM6456" s="319"/>
      <c r="BN6456" s="319"/>
      <c r="BO6456" s="319"/>
      <c r="BP6456" s="953"/>
      <c r="BQ6456" s="319"/>
      <c r="BR6456" s="319"/>
      <c r="BS6456" s="330"/>
      <c r="BT6456" s="331"/>
      <c r="BU6456" s="920"/>
      <c r="BV6456" s="903"/>
      <c r="BW6456" s="908"/>
      <c r="BX6456" s="908"/>
      <c r="BY6456" s="331"/>
      <c r="BZ6456" s="331"/>
      <c r="CA6456" s="462"/>
      <c r="CB6456" s="319"/>
      <c r="CC6456" s="319"/>
      <c r="CD6456" s="319"/>
      <c r="CE6456" s="319"/>
      <c r="CF6456" s="319"/>
      <c r="CG6456" s="319"/>
      <c r="CH6456" s="318"/>
      <c r="CI6456" s="319"/>
      <c r="CJ6456" s="319"/>
      <c r="CK6456" s="342"/>
      <c r="CL6456" s="333"/>
      <c r="CM6456" s="1079"/>
      <c r="CN6456" s="1005"/>
      <c r="CO6456" s="1005"/>
      <c r="CP6456" s="1005"/>
    </row>
    <row r="6457">
      <c r="A6457" s="1257"/>
      <c r="B6457" s="1113"/>
      <c r="C6457" s="1107"/>
      <c r="D6457" s="103"/>
      <c r="E6457" s="1137"/>
      <c r="F6457" s="112"/>
      <c r="G6457" s="1110"/>
      <c r="H6457" s="1138"/>
      <c r="I6457" s="1138"/>
      <c r="J6457" s="1139"/>
      <c r="K6457" s="1111"/>
      <c r="L6457" s="1112"/>
      <c r="M6457" s="1113"/>
      <c r="N6457" s="110"/>
      <c r="O6457" s="1140"/>
      <c r="P6457" s="1115"/>
      <c r="Q6457" s="1116"/>
      <c r="R6457" s="1141"/>
      <c r="S6457" s="1113"/>
      <c r="T6457" s="1143"/>
      <c r="U6457" s="1108"/>
      <c r="V6457" s="1108"/>
      <c r="W6457" s="1108"/>
      <c r="X6457" s="1108"/>
      <c r="Y6457" s="1108"/>
      <c r="Z6457" s="1114"/>
      <c r="AA6457" s="1114"/>
      <c r="AB6457" s="1114"/>
      <c r="AC6457" s="1117"/>
      <c r="AD6457" s="1115"/>
      <c r="AE6457" s="1115"/>
      <c r="AF6457" s="1115"/>
      <c r="AG6457" s="1115"/>
      <c r="AH6457" s="1115"/>
      <c r="AI6457" s="1115"/>
      <c r="AJ6457" s="1117"/>
      <c r="AK6457" s="1118"/>
      <c r="AL6457" s="1115"/>
      <c r="AM6457" s="1115"/>
      <c r="AN6457" s="1115"/>
      <c r="AO6457" s="1115"/>
      <c r="AP6457" s="1115"/>
      <c r="AQ6457" s="1115"/>
      <c r="AR6457" s="1115"/>
      <c r="AS6457" s="1117"/>
      <c r="AT6457" s="1075"/>
      <c r="AU6457" s="1193"/>
      <c r="AV6457" s="330"/>
      <c r="AW6457" s="331"/>
      <c r="AX6457" s="331"/>
      <c r="AY6457" s="331"/>
      <c r="AZ6457" s="331"/>
      <c r="BA6457" s="331"/>
      <c r="BB6457" s="331"/>
      <c r="BC6457" s="331"/>
      <c r="BD6457" s="331"/>
      <c r="BE6457" s="333"/>
      <c r="BF6457" s="330"/>
      <c r="BG6457" s="333"/>
      <c r="BH6457" s="1119"/>
      <c r="BI6457" s="319"/>
      <c r="BJ6457" s="319"/>
      <c r="BK6457" s="319"/>
      <c r="BL6457" s="319"/>
      <c r="BM6457" s="319"/>
      <c r="BN6457" s="319"/>
      <c r="BO6457" s="319"/>
      <c r="BP6457" s="953"/>
      <c r="BQ6457" s="319"/>
      <c r="BR6457" s="319"/>
      <c r="BS6457" s="330"/>
      <c r="BT6457" s="331"/>
      <c r="BU6457" s="920"/>
      <c r="BV6457" s="903"/>
      <c r="BW6457" s="908"/>
      <c r="BX6457" s="908"/>
      <c r="BY6457" s="331"/>
      <c r="BZ6457" s="331"/>
      <c r="CA6457" s="462"/>
      <c r="CB6457" s="319"/>
      <c r="CC6457" s="319"/>
      <c r="CD6457" s="319"/>
      <c r="CE6457" s="319"/>
      <c r="CF6457" s="319"/>
      <c r="CG6457" s="319"/>
      <c r="CH6457" s="318"/>
      <c r="CI6457" s="319"/>
      <c r="CJ6457" s="319"/>
      <c r="CK6457" s="342"/>
      <c r="CL6457" s="333"/>
      <c r="CM6457" s="1079"/>
      <c r="CN6457" s="1005"/>
      <c r="CO6457" s="1005"/>
      <c r="CP6457" s="1005"/>
    </row>
    <row r="6458">
      <c r="A6458" s="1257"/>
      <c r="B6458" s="1113"/>
      <c r="C6458" s="1107"/>
      <c r="D6458" s="103"/>
      <c r="E6458" s="1137"/>
      <c r="F6458" s="112"/>
      <c r="G6458" s="1110"/>
      <c r="H6458" s="1138"/>
      <c r="I6458" s="1138"/>
      <c r="J6458" s="1139"/>
      <c r="K6458" s="1111"/>
      <c r="L6458" s="1112"/>
      <c r="M6458" s="1113"/>
      <c r="N6458" s="110"/>
      <c r="O6458" s="1140"/>
      <c r="P6458" s="1115"/>
      <c r="Q6458" s="1116"/>
      <c r="R6458" s="1141"/>
      <c r="S6458" s="1113"/>
      <c r="T6458" s="1143"/>
      <c r="U6458" s="1108"/>
      <c r="V6458" s="1108"/>
      <c r="W6458" s="1108"/>
      <c r="X6458" s="1108"/>
      <c r="Y6458" s="1108"/>
      <c r="Z6458" s="1114"/>
      <c r="AA6458" s="1114"/>
      <c r="AB6458" s="1114"/>
      <c r="AC6458" s="1117"/>
      <c r="AD6458" s="1115"/>
      <c r="AE6458" s="1115"/>
      <c r="AF6458" s="1115"/>
      <c r="AG6458" s="1115"/>
      <c r="AH6458" s="1115"/>
      <c r="AI6458" s="1115"/>
      <c r="AJ6458" s="1117"/>
      <c r="AK6458" s="1118"/>
      <c r="AL6458" s="1115"/>
      <c r="AM6458" s="1115"/>
      <c r="AN6458" s="1115"/>
      <c r="AO6458" s="1115"/>
      <c r="AP6458" s="1115"/>
      <c r="AQ6458" s="1115"/>
      <c r="AR6458" s="1115"/>
      <c r="AS6458" s="1117"/>
      <c r="AT6458" s="1075"/>
      <c r="AU6458" s="1193"/>
      <c r="AV6458" s="330"/>
      <c r="AW6458" s="331"/>
      <c r="AX6458" s="331"/>
      <c r="AY6458" s="331"/>
      <c r="AZ6458" s="331"/>
      <c r="BA6458" s="331"/>
      <c r="BB6458" s="331"/>
      <c r="BC6458" s="331"/>
      <c r="BD6458" s="331"/>
      <c r="BE6458" s="333"/>
      <c r="BF6458" s="330"/>
      <c r="BG6458" s="333"/>
      <c r="BH6458" s="1119"/>
      <c r="BI6458" s="319"/>
      <c r="BJ6458" s="319"/>
      <c r="BK6458" s="319"/>
      <c r="BL6458" s="319"/>
      <c r="BM6458" s="319"/>
      <c r="BN6458" s="319"/>
      <c r="BO6458" s="319"/>
      <c r="BP6458" s="953"/>
      <c r="BQ6458" s="319"/>
      <c r="BR6458" s="319"/>
      <c r="BS6458" s="330"/>
      <c r="BT6458" s="331"/>
      <c r="BU6458" s="920"/>
      <c r="BV6458" s="903"/>
      <c r="BW6458" s="908"/>
      <c r="BX6458" s="908"/>
      <c r="BY6458" s="331"/>
      <c r="BZ6458" s="331"/>
      <c r="CA6458" s="462"/>
      <c r="CB6458" s="319"/>
      <c r="CC6458" s="319"/>
      <c r="CD6458" s="319"/>
      <c r="CE6458" s="319"/>
      <c r="CF6458" s="319"/>
      <c r="CG6458" s="319"/>
      <c r="CH6458" s="318"/>
      <c r="CI6458" s="319"/>
      <c r="CJ6458" s="319"/>
      <c r="CK6458" s="342"/>
      <c r="CL6458" s="333"/>
      <c r="CM6458" s="1079"/>
      <c r="CN6458" s="1005"/>
      <c r="CO6458" s="1005"/>
      <c r="CP6458" s="1005"/>
    </row>
    <row r="6459">
      <c r="A6459" s="1257"/>
      <c r="B6459" s="1113"/>
      <c r="C6459" s="1107"/>
      <c r="D6459" s="103"/>
      <c r="E6459" s="1137"/>
      <c r="F6459" s="112"/>
      <c r="G6459" s="1110"/>
      <c r="H6459" s="1138"/>
      <c r="I6459" s="1138"/>
      <c r="J6459" s="1139"/>
      <c r="K6459" s="1111"/>
      <c r="L6459" s="1112"/>
      <c r="M6459" s="1113"/>
      <c r="N6459" s="110"/>
      <c r="O6459" s="1140"/>
      <c r="P6459" s="1115"/>
      <c r="Q6459" s="1116"/>
      <c r="R6459" s="1141"/>
      <c r="S6459" s="1113"/>
      <c r="T6459" s="1143"/>
      <c r="U6459" s="1108"/>
      <c r="V6459" s="1108"/>
      <c r="W6459" s="1108"/>
      <c r="X6459" s="1108"/>
      <c r="Y6459" s="1108"/>
      <c r="Z6459" s="1114"/>
      <c r="AA6459" s="1114"/>
      <c r="AB6459" s="1114"/>
      <c r="AC6459" s="1117"/>
      <c r="AD6459" s="1115"/>
      <c r="AE6459" s="1115"/>
      <c r="AF6459" s="1115"/>
      <c r="AG6459" s="1115"/>
      <c r="AH6459" s="1115"/>
      <c r="AI6459" s="1115"/>
      <c r="AJ6459" s="1117"/>
      <c r="AK6459" s="1118"/>
      <c r="AL6459" s="1115"/>
      <c r="AM6459" s="1115"/>
      <c r="AN6459" s="1115"/>
      <c r="AO6459" s="1115"/>
      <c r="AP6459" s="1115"/>
      <c r="AQ6459" s="1115"/>
      <c r="AR6459" s="1115"/>
      <c r="AS6459" s="1117"/>
      <c r="AT6459" s="1075"/>
      <c r="AU6459" s="1193"/>
      <c r="AV6459" s="330"/>
      <c r="AW6459" s="331"/>
      <c r="AX6459" s="331"/>
      <c r="AY6459" s="331"/>
      <c r="AZ6459" s="331"/>
      <c r="BA6459" s="331"/>
      <c r="BB6459" s="331"/>
      <c r="BC6459" s="331"/>
      <c r="BD6459" s="331"/>
      <c r="BE6459" s="333"/>
      <c r="BF6459" s="330"/>
      <c r="BG6459" s="333"/>
      <c r="BH6459" s="1119"/>
      <c r="BI6459" s="319"/>
      <c r="BJ6459" s="319"/>
      <c r="BK6459" s="319"/>
      <c r="BL6459" s="319"/>
      <c r="BM6459" s="319"/>
      <c r="BN6459" s="319"/>
      <c r="BO6459" s="319"/>
      <c r="BP6459" s="953"/>
      <c r="BQ6459" s="319"/>
      <c r="BR6459" s="319"/>
      <c r="BS6459" s="330"/>
      <c r="BT6459" s="331"/>
      <c r="BU6459" s="920"/>
      <c r="BV6459" s="903"/>
      <c r="BW6459" s="908"/>
      <c r="BX6459" s="908"/>
      <c r="BY6459" s="331"/>
      <c r="BZ6459" s="331"/>
      <c r="CA6459" s="462"/>
      <c r="CB6459" s="319"/>
      <c r="CC6459" s="319"/>
      <c r="CD6459" s="319"/>
      <c r="CE6459" s="319"/>
      <c r="CF6459" s="319"/>
      <c r="CG6459" s="319"/>
      <c r="CH6459" s="318"/>
      <c r="CI6459" s="319"/>
      <c r="CJ6459" s="319"/>
      <c r="CK6459" s="342"/>
      <c r="CL6459" s="333"/>
      <c r="CM6459" s="1079"/>
      <c r="CN6459" s="1005"/>
      <c r="CO6459" s="1005"/>
      <c r="CP6459" s="1005"/>
    </row>
    <row r="6460">
      <c r="A6460" s="1257"/>
      <c r="B6460" s="1113"/>
      <c r="C6460" s="1107"/>
      <c r="D6460" s="103"/>
      <c r="E6460" s="1137"/>
      <c r="F6460" s="112"/>
      <c r="G6460" s="1110"/>
      <c r="H6460" s="1138"/>
      <c r="I6460" s="1138"/>
      <c r="J6460" s="1139"/>
      <c r="K6460" s="1111"/>
      <c r="L6460" s="1112"/>
      <c r="M6460" s="1113"/>
      <c r="N6460" s="110"/>
      <c r="O6460" s="1140"/>
      <c r="P6460" s="1115"/>
      <c r="Q6460" s="1116"/>
      <c r="R6460" s="1141"/>
      <c r="S6460" s="1113"/>
      <c r="T6460" s="1143"/>
      <c r="U6460" s="1108"/>
      <c r="V6460" s="1108"/>
      <c r="W6460" s="1108"/>
      <c r="X6460" s="1108"/>
      <c r="Y6460" s="1108"/>
      <c r="Z6460" s="1114"/>
      <c r="AA6460" s="1114"/>
      <c r="AB6460" s="1114"/>
      <c r="AC6460" s="1117"/>
      <c r="AD6460" s="1115"/>
      <c r="AE6460" s="1115"/>
      <c r="AF6460" s="1115"/>
      <c r="AG6460" s="1115"/>
      <c r="AH6460" s="1115"/>
      <c r="AI6460" s="1115"/>
      <c r="AJ6460" s="1117"/>
      <c r="AK6460" s="1118"/>
      <c r="AL6460" s="1115"/>
      <c r="AM6460" s="1115"/>
      <c r="AN6460" s="1115"/>
      <c r="AO6460" s="1115"/>
      <c r="AP6460" s="1115"/>
      <c r="AQ6460" s="1115"/>
      <c r="AR6460" s="1115"/>
      <c r="AS6460" s="1117"/>
      <c r="AT6460" s="1075"/>
      <c r="AU6460" s="1193"/>
      <c r="AV6460" s="330"/>
      <c r="AW6460" s="331"/>
      <c r="AX6460" s="331"/>
      <c r="AY6460" s="331"/>
      <c r="AZ6460" s="331"/>
      <c r="BA6460" s="331"/>
      <c r="BB6460" s="331"/>
      <c r="BC6460" s="331"/>
      <c r="BD6460" s="331"/>
      <c r="BE6460" s="333"/>
      <c r="BF6460" s="330"/>
      <c r="BG6460" s="333"/>
      <c r="BH6460" s="1119"/>
      <c r="BI6460" s="319"/>
      <c r="BJ6460" s="319"/>
      <c r="BK6460" s="319"/>
      <c r="BL6460" s="319"/>
      <c r="BM6460" s="319"/>
      <c r="BN6460" s="319"/>
      <c r="BO6460" s="319"/>
      <c r="BP6460" s="953"/>
      <c r="BQ6460" s="319"/>
      <c r="BR6460" s="319"/>
      <c r="BS6460" s="330"/>
      <c r="BT6460" s="331"/>
      <c r="BU6460" s="920"/>
      <c r="BV6460" s="903"/>
      <c r="BW6460" s="908"/>
      <c r="BX6460" s="908"/>
      <c r="BY6460" s="331"/>
      <c r="BZ6460" s="331"/>
      <c r="CA6460" s="462"/>
      <c r="CB6460" s="319"/>
      <c r="CC6460" s="319"/>
      <c r="CD6460" s="319"/>
      <c r="CE6460" s="319"/>
      <c r="CF6460" s="319"/>
      <c r="CG6460" s="319"/>
      <c r="CH6460" s="318"/>
      <c r="CI6460" s="319"/>
      <c r="CJ6460" s="319"/>
      <c r="CK6460" s="342"/>
      <c r="CL6460" s="333"/>
      <c r="CM6460" s="1079"/>
      <c r="CN6460" s="1005"/>
      <c r="CO6460" s="1005"/>
      <c r="CP6460" s="1005"/>
    </row>
    <row r="6461">
      <c r="A6461" s="1257"/>
      <c r="B6461" s="1113"/>
      <c r="C6461" s="1107"/>
      <c r="D6461" s="103"/>
      <c r="E6461" s="1137"/>
      <c r="F6461" s="112"/>
      <c r="G6461" s="1110"/>
      <c r="H6461" s="1138"/>
      <c r="I6461" s="1138"/>
      <c r="J6461" s="1139"/>
      <c r="K6461" s="1111"/>
      <c r="L6461" s="1112"/>
      <c r="M6461" s="1113"/>
      <c r="N6461" s="110"/>
      <c r="O6461" s="1140"/>
      <c r="P6461" s="1115"/>
      <c r="Q6461" s="1116"/>
      <c r="R6461" s="1141"/>
      <c r="S6461" s="1113"/>
      <c r="T6461" s="1143"/>
      <c r="U6461" s="1108"/>
      <c r="V6461" s="1108"/>
      <c r="W6461" s="1108"/>
      <c r="X6461" s="1108"/>
      <c r="Y6461" s="1108"/>
      <c r="Z6461" s="1114"/>
      <c r="AA6461" s="1114"/>
      <c r="AB6461" s="1114"/>
      <c r="AC6461" s="1117"/>
      <c r="AD6461" s="1115"/>
      <c r="AE6461" s="1115"/>
      <c r="AF6461" s="1115"/>
      <c r="AG6461" s="1115"/>
      <c r="AH6461" s="1115"/>
      <c r="AI6461" s="1115"/>
      <c r="AJ6461" s="1117"/>
      <c r="AK6461" s="1118"/>
      <c r="AL6461" s="1115"/>
      <c r="AM6461" s="1115"/>
      <c r="AN6461" s="1115"/>
      <c r="AO6461" s="1115"/>
      <c r="AP6461" s="1115"/>
      <c r="AQ6461" s="1115"/>
      <c r="AR6461" s="1115"/>
      <c r="AS6461" s="1117"/>
      <c r="AT6461" s="1075"/>
      <c r="AU6461" s="1193"/>
      <c r="AV6461" s="330"/>
      <c r="AW6461" s="331"/>
      <c r="AX6461" s="331"/>
      <c r="AY6461" s="331"/>
      <c r="AZ6461" s="331"/>
      <c r="BA6461" s="331"/>
      <c r="BB6461" s="331"/>
      <c r="BC6461" s="331"/>
      <c r="BD6461" s="331"/>
      <c r="BE6461" s="333"/>
      <c r="BF6461" s="330"/>
      <c r="BG6461" s="333"/>
      <c r="BH6461" s="1119"/>
      <c r="BI6461" s="319"/>
      <c r="BJ6461" s="319"/>
      <c r="BK6461" s="319"/>
      <c r="BL6461" s="319"/>
      <c r="BM6461" s="319"/>
      <c r="BN6461" s="319"/>
      <c r="BO6461" s="319"/>
      <c r="BP6461" s="953"/>
      <c r="BQ6461" s="319"/>
      <c r="BR6461" s="319"/>
      <c r="BS6461" s="330"/>
      <c r="BT6461" s="331"/>
      <c r="BU6461" s="920"/>
      <c r="BV6461" s="903"/>
      <c r="BW6461" s="908"/>
      <c r="BX6461" s="908"/>
      <c r="BY6461" s="331"/>
      <c r="BZ6461" s="331"/>
      <c r="CA6461" s="462"/>
      <c r="CB6461" s="319"/>
      <c r="CC6461" s="319"/>
      <c r="CD6461" s="319"/>
      <c r="CE6461" s="319"/>
      <c r="CF6461" s="319"/>
      <c r="CG6461" s="319"/>
      <c r="CH6461" s="318"/>
      <c r="CI6461" s="319"/>
      <c r="CJ6461" s="319"/>
      <c r="CK6461" s="342"/>
      <c r="CL6461" s="333"/>
      <c r="CM6461" s="1079"/>
      <c r="CN6461" s="1005"/>
      <c r="CO6461" s="1005"/>
      <c r="CP6461" s="1005"/>
    </row>
    <row r="6462">
      <c r="A6462" s="1257"/>
      <c r="B6462" s="1113"/>
      <c r="C6462" s="1107"/>
      <c r="D6462" s="103"/>
      <c r="E6462" s="1137"/>
      <c r="F6462" s="112"/>
      <c r="G6462" s="1110"/>
      <c r="H6462" s="1138"/>
      <c r="I6462" s="1138"/>
      <c r="J6462" s="1139"/>
      <c r="K6462" s="1111"/>
      <c r="L6462" s="1112"/>
      <c r="M6462" s="1113"/>
      <c r="N6462" s="110"/>
      <c r="O6462" s="1140"/>
      <c r="P6462" s="1115"/>
      <c r="Q6462" s="1116"/>
      <c r="R6462" s="1141"/>
      <c r="S6462" s="1113"/>
      <c r="T6462" s="1143"/>
      <c r="U6462" s="1108"/>
      <c r="V6462" s="1108"/>
      <c r="W6462" s="1108"/>
      <c r="X6462" s="1108"/>
      <c r="Y6462" s="1108"/>
      <c r="Z6462" s="1114"/>
      <c r="AA6462" s="1114"/>
      <c r="AB6462" s="1114"/>
      <c r="AC6462" s="1117"/>
      <c r="AD6462" s="1115"/>
      <c r="AE6462" s="1115"/>
      <c r="AF6462" s="1115"/>
      <c r="AG6462" s="1115"/>
      <c r="AH6462" s="1115"/>
      <c r="AI6462" s="1115"/>
      <c r="AJ6462" s="1117"/>
      <c r="AK6462" s="1118"/>
      <c r="AL6462" s="1115"/>
      <c r="AM6462" s="1115"/>
      <c r="AN6462" s="1115"/>
      <c r="AO6462" s="1115"/>
      <c r="AP6462" s="1115"/>
      <c r="AQ6462" s="1115"/>
      <c r="AR6462" s="1115"/>
      <c r="AS6462" s="1117"/>
      <c r="AT6462" s="1075"/>
      <c r="AU6462" s="1193"/>
      <c r="AV6462" s="330"/>
      <c r="AW6462" s="331"/>
      <c r="AX6462" s="331"/>
      <c r="AY6462" s="331"/>
      <c r="AZ6462" s="331"/>
      <c r="BA6462" s="331"/>
      <c r="BB6462" s="331"/>
      <c r="BC6462" s="331"/>
      <c r="BD6462" s="331"/>
      <c r="BE6462" s="333"/>
      <c r="BF6462" s="330"/>
      <c r="BG6462" s="333"/>
      <c r="BH6462" s="1119"/>
      <c r="BI6462" s="319"/>
      <c r="BJ6462" s="319"/>
      <c r="BK6462" s="319"/>
      <c r="BL6462" s="319"/>
      <c r="BM6462" s="319"/>
      <c r="BN6462" s="319"/>
      <c r="BO6462" s="319"/>
      <c r="BP6462" s="953"/>
      <c r="BQ6462" s="319"/>
      <c r="BR6462" s="319"/>
      <c r="BS6462" s="330"/>
      <c r="BT6462" s="331"/>
      <c r="BU6462" s="920"/>
      <c r="BV6462" s="903"/>
      <c r="BW6462" s="908"/>
      <c r="BX6462" s="908"/>
      <c r="BY6462" s="331"/>
      <c r="BZ6462" s="331"/>
      <c r="CA6462" s="462"/>
      <c r="CB6462" s="319"/>
      <c r="CC6462" s="319"/>
      <c r="CD6462" s="319"/>
      <c r="CE6462" s="319"/>
      <c r="CF6462" s="319"/>
      <c r="CG6462" s="319"/>
      <c r="CH6462" s="318"/>
      <c r="CI6462" s="319"/>
      <c r="CJ6462" s="319"/>
      <c r="CK6462" s="342"/>
      <c r="CL6462" s="333"/>
      <c r="CM6462" s="1079"/>
      <c r="CN6462" s="1005"/>
      <c r="CO6462" s="1005"/>
      <c r="CP6462" s="1005"/>
    </row>
    <row r="6463">
      <c r="A6463" s="1257"/>
      <c r="B6463" s="1113"/>
      <c r="C6463" s="1107"/>
      <c r="D6463" s="103"/>
      <c r="E6463" s="1137"/>
      <c r="F6463" s="112"/>
      <c r="G6463" s="1110"/>
      <c r="H6463" s="1138"/>
      <c r="I6463" s="1138"/>
      <c r="J6463" s="1139"/>
      <c r="K6463" s="1111"/>
      <c r="L6463" s="1112"/>
      <c r="M6463" s="1113"/>
      <c r="N6463" s="110"/>
      <c r="O6463" s="1140"/>
      <c r="P6463" s="1115"/>
      <c r="Q6463" s="1116"/>
      <c r="R6463" s="1141"/>
      <c r="S6463" s="1113"/>
      <c r="T6463" s="1143"/>
      <c r="U6463" s="1108"/>
      <c r="V6463" s="1108"/>
      <c r="W6463" s="1108"/>
      <c r="X6463" s="1108"/>
      <c r="Y6463" s="1108"/>
      <c r="Z6463" s="1114"/>
      <c r="AA6463" s="1114"/>
      <c r="AB6463" s="1114"/>
      <c r="AC6463" s="1117"/>
      <c r="AD6463" s="1115"/>
      <c r="AE6463" s="1115"/>
      <c r="AF6463" s="1115"/>
      <c r="AG6463" s="1115"/>
      <c r="AH6463" s="1115"/>
      <c r="AI6463" s="1115"/>
      <c r="AJ6463" s="1117"/>
      <c r="AK6463" s="1118"/>
      <c r="AL6463" s="1115"/>
      <c r="AM6463" s="1115"/>
      <c r="AN6463" s="1115"/>
      <c r="AO6463" s="1115"/>
      <c r="AP6463" s="1115"/>
      <c r="AQ6463" s="1115"/>
      <c r="AR6463" s="1115"/>
      <c r="AS6463" s="1117"/>
      <c r="AT6463" s="1075"/>
      <c r="AU6463" s="1193"/>
      <c r="AV6463" s="330"/>
      <c r="AW6463" s="331"/>
      <c r="AX6463" s="331"/>
      <c r="AY6463" s="331"/>
      <c r="AZ6463" s="331"/>
      <c r="BA6463" s="331"/>
      <c r="BB6463" s="331"/>
      <c r="BC6463" s="331"/>
      <c r="BD6463" s="331"/>
      <c r="BE6463" s="333"/>
      <c r="BF6463" s="330"/>
      <c r="BG6463" s="333"/>
      <c r="BH6463" s="1119"/>
      <c r="BI6463" s="319"/>
      <c r="BJ6463" s="319"/>
      <c r="BK6463" s="319"/>
      <c r="BL6463" s="319"/>
      <c r="BM6463" s="319"/>
      <c r="BN6463" s="319"/>
      <c r="BO6463" s="319"/>
      <c r="BP6463" s="953"/>
      <c r="BQ6463" s="319"/>
      <c r="BR6463" s="319"/>
      <c r="BS6463" s="330"/>
      <c r="BT6463" s="331"/>
      <c r="BU6463" s="920"/>
      <c r="BV6463" s="903"/>
      <c r="BW6463" s="908"/>
      <c r="BX6463" s="908"/>
      <c r="BY6463" s="331"/>
      <c r="BZ6463" s="331"/>
      <c r="CA6463" s="462"/>
      <c r="CB6463" s="319"/>
      <c r="CC6463" s="319"/>
      <c r="CD6463" s="319"/>
      <c r="CE6463" s="319"/>
      <c r="CF6463" s="319"/>
      <c r="CG6463" s="319"/>
      <c r="CH6463" s="318"/>
      <c r="CI6463" s="319"/>
      <c r="CJ6463" s="319"/>
      <c r="CK6463" s="342"/>
      <c r="CL6463" s="333"/>
      <c r="CM6463" s="1079"/>
      <c r="CN6463" s="1005"/>
      <c r="CO6463" s="1005"/>
      <c r="CP6463" s="1005"/>
    </row>
    <row r="6464">
      <c r="A6464" s="1257"/>
      <c r="B6464" s="1113"/>
      <c r="C6464" s="1107"/>
      <c r="D6464" s="103"/>
      <c r="E6464" s="1137"/>
      <c r="F6464" s="112"/>
      <c r="G6464" s="1110"/>
      <c r="H6464" s="1138"/>
      <c r="I6464" s="1138"/>
      <c r="J6464" s="1139"/>
      <c r="K6464" s="1111"/>
      <c r="L6464" s="1112"/>
      <c r="M6464" s="1113"/>
      <c r="N6464" s="110"/>
      <c r="O6464" s="1140"/>
      <c r="P6464" s="1115"/>
      <c r="Q6464" s="1116"/>
      <c r="R6464" s="1141"/>
      <c r="S6464" s="1113"/>
      <c r="T6464" s="1143"/>
      <c r="U6464" s="1108"/>
      <c r="V6464" s="1108"/>
      <c r="W6464" s="1108"/>
      <c r="X6464" s="1108"/>
      <c r="Y6464" s="1108"/>
      <c r="Z6464" s="1114"/>
      <c r="AA6464" s="1114"/>
      <c r="AB6464" s="1114"/>
      <c r="AC6464" s="1117"/>
      <c r="AD6464" s="1115"/>
      <c r="AE6464" s="1115"/>
      <c r="AF6464" s="1115"/>
      <c r="AG6464" s="1115"/>
      <c r="AH6464" s="1115"/>
      <c r="AI6464" s="1115"/>
      <c r="AJ6464" s="1117"/>
      <c r="AK6464" s="1118"/>
      <c r="AL6464" s="1115"/>
      <c r="AM6464" s="1115"/>
      <c r="AN6464" s="1115"/>
      <c r="AO6464" s="1115"/>
      <c r="AP6464" s="1115"/>
      <c r="AQ6464" s="1115"/>
      <c r="AR6464" s="1115"/>
      <c r="AS6464" s="1117"/>
      <c r="AT6464" s="1075"/>
      <c r="AU6464" s="1193"/>
      <c r="AV6464" s="330"/>
      <c r="AW6464" s="331"/>
      <c r="AX6464" s="331"/>
      <c r="AY6464" s="331"/>
      <c r="AZ6464" s="331"/>
      <c r="BA6464" s="331"/>
      <c r="BB6464" s="331"/>
      <c r="BC6464" s="331"/>
      <c r="BD6464" s="331"/>
      <c r="BE6464" s="333"/>
      <c r="BF6464" s="330"/>
      <c r="BG6464" s="333"/>
      <c r="BH6464" s="1119"/>
      <c r="BI6464" s="319"/>
      <c r="BJ6464" s="319"/>
      <c r="BK6464" s="319"/>
      <c r="BL6464" s="319"/>
      <c r="BM6464" s="319"/>
      <c r="BN6464" s="319"/>
      <c r="BO6464" s="319"/>
      <c r="BP6464" s="953"/>
      <c r="BQ6464" s="319"/>
      <c r="BR6464" s="319"/>
      <c r="BS6464" s="330"/>
      <c r="BT6464" s="331"/>
      <c r="BU6464" s="920"/>
      <c r="BV6464" s="903"/>
      <c r="BW6464" s="908"/>
      <c r="BX6464" s="908"/>
      <c r="BY6464" s="331"/>
      <c r="BZ6464" s="331"/>
      <c r="CA6464" s="462"/>
      <c r="CB6464" s="319"/>
      <c r="CC6464" s="319"/>
      <c r="CD6464" s="319"/>
      <c r="CE6464" s="319"/>
      <c r="CF6464" s="319"/>
      <c r="CG6464" s="319"/>
      <c r="CH6464" s="318"/>
      <c r="CI6464" s="319"/>
      <c r="CJ6464" s="319"/>
      <c r="CK6464" s="342"/>
      <c r="CL6464" s="333"/>
      <c r="CM6464" s="1079"/>
      <c r="CN6464" s="1005"/>
      <c r="CO6464" s="1005"/>
      <c r="CP6464" s="1005"/>
    </row>
    <row r="6465">
      <c r="A6465" s="1257"/>
      <c r="B6465" s="1113"/>
      <c r="C6465" s="1107"/>
      <c r="D6465" s="103"/>
      <c r="E6465" s="1137"/>
      <c r="F6465" s="112"/>
      <c r="G6465" s="1110"/>
      <c r="H6465" s="1138"/>
      <c r="I6465" s="1138"/>
      <c r="J6465" s="1139"/>
      <c r="K6465" s="1111"/>
      <c r="L6465" s="1112"/>
      <c r="M6465" s="1113"/>
      <c r="N6465" s="110"/>
      <c r="O6465" s="1140"/>
      <c r="P6465" s="1115"/>
      <c r="Q6465" s="1116"/>
      <c r="R6465" s="1141"/>
      <c r="S6465" s="1113"/>
      <c r="T6465" s="1143"/>
      <c r="U6465" s="1108"/>
      <c r="V6465" s="1108"/>
      <c r="W6465" s="1108"/>
      <c r="X6465" s="1108"/>
      <c r="Y6465" s="1108"/>
      <c r="Z6465" s="1114"/>
      <c r="AA6465" s="1114"/>
      <c r="AB6465" s="1114"/>
      <c r="AC6465" s="1117"/>
      <c r="AD6465" s="1115"/>
      <c r="AE6465" s="1115"/>
      <c r="AF6465" s="1115"/>
      <c r="AG6465" s="1115"/>
      <c r="AH6465" s="1115"/>
      <c r="AI6465" s="1115"/>
      <c r="AJ6465" s="1117"/>
      <c r="AK6465" s="1118"/>
      <c r="AL6465" s="1115"/>
      <c r="AM6465" s="1115"/>
      <c r="AN6465" s="1115"/>
      <c r="AO6465" s="1115"/>
      <c r="AP6465" s="1115"/>
      <c r="AQ6465" s="1115"/>
      <c r="AR6465" s="1115"/>
      <c r="AS6465" s="1117"/>
      <c r="AT6465" s="1075"/>
      <c r="AU6465" s="1193"/>
      <c r="AV6465" s="330"/>
      <c r="AW6465" s="331"/>
      <c r="AX6465" s="331"/>
      <c r="AY6465" s="331"/>
      <c r="AZ6465" s="331"/>
      <c r="BA6465" s="331"/>
      <c r="BB6465" s="331"/>
      <c r="BC6465" s="331"/>
      <c r="BD6465" s="331"/>
      <c r="BE6465" s="333"/>
      <c r="BF6465" s="330"/>
      <c r="BG6465" s="333"/>
      <c r="BH6465" s="1119"/>
      <c r="BI6465" s="319"/>
      <c r="BJ6465" s="319"/>
      <c r="BK6465" s="319"/>
      <c r="BL6465" s="319"/>
      <c r="BM6465" s="319"/>
      <c r="BN6465" s="319"/>
      <c r="BO6465" s="319"/>
      <c r="BP6465" s="953"/>
      <c r="BQ6465" s="319"/>
      <c r="BR6465" s="319"/>
      <c r="BS6465" s="330"/>
      <c r="BT6465" s="331"/>
      <c r="BU6465" s="920"/>
      <c r="BV6465" s="903"/>
      <c r="BW6465" s="908"/>
      <c r="BX6465" s="908"/>
      <c r="BY6465" s="331"/>
      <c r="BZ6465" s="331"/>
      <c r="CA6465" s="462"/>
      <c r="CB6465" s="319"/>
      <c r="CC6465" s="319"/>
      <c r="CD6465" s="319"/>
      <c r="CE6465" s="319"/>
      <c r="CF6465" s="319"/>
      <c r="CG6465" s="319"/>
      <c r="CH6465" s="318"/>
      <c r="CI6465" s="319"/>
      <c r="CJ6465" s="319"/>
      <c r="CK6465" s="342"/>
      <c r="CL6465" s="333"/>
      <c r="CM6465" s="1079"/>
      <c r="CN6465" s="1005"/>
      <c r="CO6465" s="1005"/>
      <c r="CP6465" s="1005"/>
    </row>
    <row r="6466">
      <c r="A6466" s="1257"/>
      <c r="B6466" s="1113"/>
      <c r="C6466" s="1107"/>
      <c r="D6466" s="103"/>
      <c r="E6466" s="1137"/>
      <c r="F6466" s="112"/>
      <c r="G6466" s="1110"/>
      <c r="H6466" s="1138"/>
      <c r="I6466" s="1138"/>
      <c r="J6466" s="1139"/>
      <c r="K6466" s="1111"/>
      <c r="L6466" s="1112"/>
      <c r="M6466" s="1113"/>
      <c r="N6466" s="110"/>
      <c r="O6466" s="1140"/>
      <c r="P6466" s="1115"/>
      <c r="Q6466" s="1116"/>
      <c r="R6466" s="1141"/>
      <c r="S6466" s="1113"/>
      <c r="T6466" s="1143"/>
      <c r="U6466" s="1108"/>
      <c r="V6466" s="1108"/>
      <c r="W6466" s="1108"/>
      <c r="X6466" s="1108"/>
      <c r="Y6466" s="1108"/>
      <c r="Z6466" s="1114"/>
      <c r="AA6466" s="1114"/>
      <c r="AB6466" s="1114"/>
      <c r="AC6466" s="1117"/>
      <c r="AD6466" s="1115"/>
      <c r="AE6466" s="1115"/>
      <c r="AF6466" s="1115"/>
      <c r="AG6466" s="1115"/>
      <c r="AH6466" s="1115"/>
      <c r="AI6466" s="1115"/>
      <c r="AJ6466" s="1117"/>
      <c r="AK6466" s="1118"/>
      <c r="AL6466" s="1115"/>
      <c r="AM6466" s="1115"/>
      <c r="AN6466" s="1115"/>
      <c r="AO6466" s="1115"/>
      <c r="AP6466" s="1115"/>
      <c r="AQ6466" s="1115"/>
      <c r="AR6466" s="1115"/>
      <c r="AS6466" s="1117"/>
      <c r="AT6466" s="1075"/>
      <c r="AU6466" s="1193"/>
      <c r="AV6466" s="330"/>
      <c r="AW6466" s="331"/>
      <c r="AX6466" s="331"/>
      <c r="AY6466" s="331"/>
      <c r="AZ6466" s="331"/>
      <c r="BA6466" s="331"/>
      <c r="BB6466" s="331"/>
      <c r="BC6466" s="331"/>
      <c r="BD6466" s="331"/>
      <c r="BE6466" s="333"/>
      <c r="BF6466" s="330"/>
      <c r="BG6466" s="333"/>
      <c r="BH6466" s="1119"/>
      <c r="BI6466" s="319"/>
      <c r="BJ6466" s="319"/>
      <c r="BK6466" s="319"/>
      <c r="BL6466" s="319"/>
      <c r="BM6466" s="319"/>
      <c r="BN6466" s="319"/>
      <c r="BO6466" s="319"/>
      <c r="BP6466" s="953"/>
      <c r="BQ6466" s="319"/>
      <c r="BR6466" s="319"/>
      <c r="BS6466" s="330"/>
      <c r="BT6466" s="331"/>
      <c r="BU6466" s="920"/>
      <c r="BV6466" s="903"/>
      <c r="BW6466" s="908"/>
      <c r="BX6466" s="908"/>
      <c r="BY6466" s="331"/>
      <c r="BZ6466" s="331"/>
      <c r="CA6466" s="462"/>
      <c r="CB6466" s="319"/>
      <c r="CC6466" s="319"/>
      <c r="CD6466" s="319"/>
      <c r="CE6466" s="319"/>
      <c r="CF6466" s="319"/>
      <c r="CG6466" s="319"/>
      <c r="CH6466" s="318"/>
      <c r="CI6466" s="319"/>
      <c r="CJ6466" s="319"/>
      <c r="CK6466" s="342"/>
      <c r="CL6466" s="333"/>
      <c r="CM6466" s="1079"/>
      <c r="CN6466" s="1005"/>
      <c r="CO6466" s="1005"/>
      <c r="CP6466" s="1005"/>
    </row>
    <row r="6467">
      <c r="A6467" s="1257"/>
      <c r="B6467" s="1113"/>
      <c r="C6467" s="1107"/>
      <c r="D6467" s="103"/>
      <c r="E6467" s="1137"/>
      <c r="F6467" s="112"/>
      <c r="G6467" s="1110"/>
      <c r="H6467" s="1138"/>
      <c r="I6467" s="1138"/>
      <c r="J6467" s="1139"/>
      <c r="K6467" s="1111"/>
      <c r="L6467" s="1112"/>
      <c r="M6467" s="1113"/>
      <c r="N6467" s="110"/>
      <c r="O6467" s="1140"/>
      <c r="P6467" s="1115"/>
      <c r="Q6467" s="1116"/>
      <c r="R6467" s="1141"/>
      <c r="S6467" s="1113"/>
      <c r="T6467" s="1143"/>
      <c r="U6467" s="1108"/>
      <c r="V6467" s="1108"/>
      <c r="W6467" s="1108"/>
      <c r="X6467" s="1108"/>
      <c r="Y6467" s="1108"/>
      <c r="Z6467" s="1114"/>
      <c r="AA6467" s="1114"/>
      <c r="AB6467" s="1114"/>
      <c r="AC6467" s="1117"/>
      <c r="AD6467" s="1115"/>
      <c r="AE6467" s="1115"/>
      <c r="AF6467" s="1115"/>
      <c r="AG6467" s="1115"/>
      <c r="AH6467" s="1115"/>
      <c r="AI6467" s="1115"/>
      <c r="AJ6467" s="1117"/>
      <c r="AK6467" s="1118"/>
      <c r="AL6467" s="1115"/>
      <c r="AM6467" s="1115"/>
      <c r="AN6467" s="1115"/>
      <c r="AO6467" s="1115"/>
      <c r="AP6467" s="1115"/>
      <c r="AQ6467" s="1115"/>
      <c r="AR6467" s="1115"/>
      <c r="AS6467" s="1117"/>
      <c r="AT6467" s="1075"/>
      <c r="AU6467" s="1193"/>
      <c r="AV6467" s="330"/>
      <c r="AW6467" s="331"/>
      <c r="AX6467" s="331"/>
      <c r="AY6467" s="331"/>
      <c r="AZ6467" s="331"/>
      <c r="BA6467" s="331"/>
      <c r="BB6467" s="331"/>
      <c r="BC6467" s="331"/>
      <c r="BD6467" s="331"/>
      <c r="BE6467" s="333"/>
      <c r="BF6467" s="330"/>
      <c r="BG6467" s="333"/>
      <c r="BH6467" s="1119"/>
      <c r="BI6467" s="319"/>
      <c r="BJ6467" s="319"/>
      <c r="BK6467" s="319"/>
      <c r="BL6467" s="319"/>
      <c r="BM6467" s="319"/>
      <c r="BN6467" s="319"/>
      <c r="BO6467" s="319"/>
      <c r="BP6467" s="953"/>
      <c r="BQ6467" s="319"/>
      <c r="BR6467" s="319"/>
      <c r="BS6467" s="330"/>
      <c r="BT6467" s="331"/>
      <c r="BU6467" s="920"/>
      <c r="BV6467" s="903"/>
      <c r="BW6467" s="908"/>
      <c r="BX6467" s="908"/>
      <c r="BY6467" s="331"/>
      <c r="BZ6467" s="331"/>
      <c r="CA6467" s="462"/>
      <c r="CB6467" s="319"/>
      <c r="CC6467" s="319"/>
      <c r="CD6467" s="319"/>
      <c r="CE6467" s="319"/>
      <c r="CF6467" s="319"/>
      <c r="CG6467" s="319"/>
      <c r="CH6467" s="318"/>
      <c r="CI6467" s="319"/>
      <c r="CJ6467" s="319"/>
      <c r="CK6467" s="342"/>
      <c r="CL6467" s="333"/>
      <c r="CM6467" s="1079"/>
      <c r="CN6467" s="1005"/>
      <c r="CO6467" s="1005"/>
      <c r="CP6467" s="1005"/>
    </row>
    <row r="6468">
      <c r="A6468" s="1257"/>
      <c r="B6468" s="1113"/>
      <c r="C6468" s="1107"/>
      <c r="D6468" s="103"/>
      <c r="E6468" s="1137"/>
      <c r="F6468" s="112"/>
      <c r="G6468" s="1110"/>
      <c r="H6468" s="1138"/>
      <c r="I6468" s="1138"/>
      <c r="J6468" s="1139"/>
      <c r="K6468" s="1111"/>
      <c r="L6468" s="1112"/>
      <c r="M6468" s="1113"/>
      <c r="N6468" s="110"/>
      <c r="O6468" s="1140"/>
      <c r="P6468" s="1115"/>
      <c r="Q6468" s="1116"/>
      <c r="R6468" s="1141"/>
      <c r="S6468" s="1113"/>
      <c r="T6468" s="1143"/>
      <c r="U6468" s="1108"/>
      <c r="V6468" s="1108"/>
      <c r="W6468" s="1108"/>
      <c r="X6468" s="1108"/>
      <c r="Y6468" s="1108"/>
      <c r="Z6468" s="1114"/>
      <c r="AA6468" s="1114"/>
      <c r="AB6468" s="1114"/>
      <c r="AC6468" s="1117"/>
      <c r="AD6468" s="1115"/>
      <c r="AE6468" s="1115"/>
      <c r="AF6468" s="1115"/>
      <c r="AG6468" s="1115"/>
      <c r="AH6468" s="1115"/>
      <c r="AI6468" s="1115"/>
      <c r="AJ6468" s="1117"/>
      <c r="AK6468" s="1118"/>
      <c r="AL6468" s="1115"/>
      <c r="AM6468" s="1115"/>
      <c r="AN6468" s="1115"/>
      <c r="AO6468" s="1115"/>
      <c r="AP6468" s="1115"/>
      <c r="AQ6468" s="1115"/>
      <c r="AR6468" s="1115"/>
      <c r="AS6468" s="1117"/>
      <c r="AT6468" s="1075"/>
      <c r="AU6468" s="1193"/>
      <c r="AV6468" s="330"/>
      <c r="AW6468" s="331"/>
      <c r="AX6468" s="331"/>
      <c r="AY6468" s="331"/>
      <c r="AZ6468" s="331"/>
      <c r="BA6468" s="331"/>
      <c r="BB6468" s="331"/>
      <c r="BC6468" s="331"/>
      <c r="BD6468" s="331"/>
      <c r="BE6468" s="333"/>
      <c r="BF6468" s="330"/>
      <c r="BG6468" s="333"/>
      <c r="BH6468" s="1119"/>
      <c r="BI6468" s="319"/>
      <c r="BJ6468" s="319"/>
      <c r="BK6468" s="319"/>
      <c r="BL6468" s="319"/>
      <c r="BM6468" s="319"/>
      <c r="BN6468" s="319"/>
      <c r="BO6468" s="319"/>
      <c r="BP6468" s="953"/>
      <c r="BQ6468" s="319"/>
      <c r="BR6468" s="319"/>
      <c r="BS6468" s="330"/>
      <c r="BT6468" s="331"/>
      <c r="BU6468" s="920"/>
      <c r="BV6468" s="903"/>
      <c r="BW6468" s="908"/>
      <c r="BX6468" s="908"/>
      <c r="BY6468" s="331"/>
      <c r="BZ6468" s="331"/>
      <c r="CA6468" s="462"/>
      <c r="CB6468" s="319"/>
      <c r="CC6468" s="319"/>
      <c r="CD6468" s="319"/>
      <c r="CE6468" s="319"/>
      <c r="CF6468" s="319"/>
      <c r="CG6468" s="319"/>
      <c r="CH6468" s="318"/>
      <c r="CI6468" s="319"/>
      <c r="CJ6468" s="319"/>
      <c r="CK6468" s="342"/>
      <c r="CL6468" s="333"/>
      <c r="CM6468" s="1079"/>
      <c r="CN6468" s="1005"/>
      <c r="CO6468" s="1005"/>
      <c r="CP6468" s="1005"/>
    </row>
    <row r="6469">
      <c r="A6469" s="1257"/>
      <c r="B6469" s="1113"/>
      <c r="C6469" s="1107"/>
      <c r="D6469" s="103"/>
      <c r="E6469" s="1137"/>
      <c r="F6469" s="112"/>
      <c r="G6469" s="1110"/>
      <c r="H6469" s="1138"/>
      <c r="I6469" s="1138"/>
      <c r="J6469" s="1139"/>
      <c r="K6469" s="1111"/>
      <c r="L6469" s="1112"/>
      <c r="M6469" s="1113"/>
      <c r="N6469" s="110"/>
      <c r="O6469" s="1140"/>
      <c r="P6469" s="1115"/>
      <c r="Q6469" s="1116"/>
      <c r="R6469" s="1141"/>
      <c r="S6469" s="1113"/>
      <c r="T6469" s="1143"/>
      <c r="U6469" s="1108"/>
      <c r="V6469" s="1108"/>
      <c r="W6469" s="1108"/>
      <c r="X6469" s="1108"/>
      <c r="Y6469" s="1108"/>
      <c r="Z6469" s="1114"/>
      <c r="AA6469" s="1114"/>
      <c r="AB6469" s="1114"/>
      <c r="AC6469" s="1117"/>
      <c r="AD6469" s="1115"/>
      <c r="AE6469" s="1115"/>
      <c r="AF6469" s="1115"/>
      <c r="AG6469" s="1115"/>
      <c r="AH6469" s="1115"/>
      <c r="AI6469" s="1115"/>
      <c r="AJ6469" s="1117"/>
      <c r="AK6469" s="1118"/>
      <c r="AL6469" s="1115"/>
      <c r="AM6469" s="1115"/>
      <c r="AN6469" s="1115"/>
      <c r="AO6469" s="1115"/>
      <c r="AP6469" s="1115"/>
      <c r="AQ6469" s="1115"/>
      <c r="AR6469" s="1115"/>
      <c r="AS6469" s="1117"/>
      <c r="AT6469" s="1075"/>
      <c r="AU6469" s="1193"/>
      <c r="AV6469" s="330"/>
      <c r="AW6469" s="331"/>
      <c r="AX6469" s="331"/>
      <c r="AY6469" s="331"/>
      <c r="AZ6469" s="331"/>
      <c r="BA6469" s="331"/>
      <c r="BB6469" s="331"/>
      <c r="BC6469" s="331"/>
      <c r="BD6469" s="331"/>
      <c r="BE6469" s="333"/>
      <c r="BF6469" s="330"/>
      <c r="BG6469" s="333"/>
      <c r="BH6469" s="1119"/>
      <c r="BI6469" s="319"/>
      <c r="BJ6469" s="319"/>
      <c r="BK6469" s="319"/>
      <c r="BL6469" s="319"/>
      <c r="BM6469" s="319"/>
      <c r="BN6469" s="319"/>
      <c r="BO6469" s="319"/>
      <c r="BP6469" s="953"/>
      <c r="BQ6469" s="319"/>
      <c r="BR6469" s="319"/>
      <c r="BS6469" s="330"/>
      <c r="BT6469" s="331"/>
      <c r="BU6469" s="920"/>
      <c r="BV6469" s="903"/>
      <c r="BW6469" s="908"/>
      <c r="BX6469" s="908"/>
      <c r="BY6469" s="331"/>
      <c r="BZ6469" s="331"/>
      <c r="CA6469" s="462"/>
      <c r="CB6469" s="319"/>
      <c r="CC6469" s="319"/>
      <c r="CD6469" s="319"/>
      <c r="CE6469" s="319"/>
      <c r="CF6469" s="319"/>
      <c r="CG6469" s="319"/>
      <c r="CH6469" s="318"/>
      <c r="CI6469" s="319"/>
      <c r="CJ6469" s="319"/>
      <c r="CK6469" s="342"/>
      <c r="CL6469" s="333"/>
      <c r="CM6469" s="1079"/>
      <c r="CN6469" s="1005"/>
      <c r="CO6469" s="1005"/>
      <c r="CP6469" s="1005"/>
    </row>
    <row r="6470">
      <c r="A6470" s="1257"/>
      <c r="B6470" s="1113"/>
      <c r="C6470" s="1107"/>
      <c r="D6470" s="103"/>
      <c r="E6470" s="1137"/>
      <c r="F6470" s="112"/>
      <c r="G6470" s="1110"/>
      <c r="H6470" s="1138"/>
      <c r="I6470" s="1138"/>
      <c r="J6470" s="1139"/>
      <c r="K6470" s="1111"/>
      <c r="L6470" s="1112"/>
      <c r="M6470" s="1113"/>
      <c r="N6470" s="110"/>
      <c r="O6470" s="1140"/>
      <c r="P6470" s="1115"/>
      <c r="Q6470" s="1116"/>
      <c r="R6470" s="1141"/>
      <c r="S6470" s="1113"/>
      <c r="T6470" s="1143"/>
      <c r="U6470" s="1108"/>
      <c r="V6470" s="1108"/>
      <c r="W6470" s="1108"/>
      <c r="X6470" s="1108"/>
      <c r="Y6470" s="1108"/>
      <c r="Z6470" s="1114"/>
      <c r="AA6470" s="1114"/>
      <c r="AB6470" s="1114"/>
      <c r="AC6470" s="1117"/>
      <c r="AD6470" s="1115"/>
      <c r="AE6470" s="1115"/>
      <c r="AF6470" s="1115"/>
      <c r="AG6470" s="1115"/>
      <c r="AH6470" s="1115"/>
      <c r="AI6470" s="1115"/>
      <c r="AJ6470" s="1117"/>
      <c r="AK6470" s="1118"/>
      <c r="AL6470" s="1115"/>
      <c r="AM6470" s="1115"/>
      <c r="AN6470" s="1115"/>
      <c r="AO6470" s="1115"/>
      <c r="AP6470" s="1115"/>
      <c r="AQ6470" s="1115"/>
      <c r="AR6470" s="1115"/>
      <c r="AS6470" s="1117"/>
      <c r="AT6470" s="1075"/>
      <c r="AU6470" s="1193"/>
      <c r="AV6470" s="330"/>
      <c r="AW6470" s="331"/>
      <c r="AX6470" s="331"/>
      <c r="AY6470" s="331"/>
      <c r="AZ6470" s="331"/>
      <c r="BA6470" s="331"/>
      <c r="BB6470" s="331"/>
      <c r="BC6470" s="331"/>
      <c r="BD6470" s="331"/>
      <c r="BE6470" s="333"/>
      <c r="BF6470" s="330"/>
      <c r="BG6470" s="333"/>
      <c r="BH6470" s="1119"/>
      <c r="BI6470" s="319"/>
      <c r="BJ6470" s="319"/>
      <c r="BK6470" s="319"/>
      <c r="BL6470" s="319"/>
      <c r="BM6470" s="319"/>
      <c r="BN6470" s="319"/>
      <c r="BO6470" s="319"/>
      <c r="BP6470" s="953"/>
      <c r="BQ6470" s="319"/>
      <c r="BR6470" s="319"/>
      <c r="BS6470" s="330"/>
      <c r="BT6470" s="331"/>
      <c r="BU6470" s="920"/>
      <c r="BV6470" s="903"/>
      <c r="BW6470" s="908"/>
      <c r="BX6470" s="908"/>
      <c r="BY6470" s="331"/>
      <c r="BZ6470" s="331"/>
      <c r="CA6470" s="462"/>
      <c r="CB6470" s="319"/>
      <c r="CC6470" s="319"/>
      <c r="CD6470" s="319"/>
      <c r="CE6470" s="319"/>
      <c r="CF6470" s="319"/>
      <c r="CG6470" s="319"/>
      <c r="CH6470" s="318"/>
      <c r="CI6470" s="319"/>
      <c r="CJ6470" s="319"/>
      <c r="CK6470" s="342"/>
      <c r="CL6470" s="333"/>
      <c r="CM6470" s="1079"/>
      <c r="CN6470" s="1005"/>
      <c r="CO6470" s="1005"/>
      <c r="CP6470" s="1005"/>
    </row>
    <row r="6471">
      <c r="A6471" s="1257"/>
      <c r="B6471" s="1113"/>
      <c r="C6471" s="1107"/>
      <c r="D6471" s="103"/>
      <c r="E6471" s="1137"/>
      <c r="F6471" s="112"/>
      <c r="G6471" s="1110"/>
      <c r="H6471" s="1138"/>
      <c r="I6471" s="1138"/>
      <c r="J6471" s="1139"/>
      <c r="K6471" s="1111"/>
      <c r="L6471" s="1112"/>
      <c r="M6471" s="1113"/>
      <c r="N6471" s="110"/>
      <c r="O6471" s="1140"/>
      <c r="P6471" s="1115"/>
      <c r="Q6471" s="1116"/>
      <c r="R6471" s="1141"/>
      <c r="S6471" s="1113"/>
      <c r="T6471" s="1143"/>
      <c r="U6471" s="1108"/>
      <c r="V6471" s="1108"/>
      <c r="W6471" s="1108"/>
      <c r="X6471" s="1108"/>
      <c r="Y6471" s="1108"/>
      <c r="Z6471" s="1114"/>
      <c r="AA6471" s="1114"/>
      <c r="AB6471" s="1114"/>
      <c r="AC6471" s="1117"/>
      <c r="AD6471" s="1115"/>
      <c r="AE6471" s="1115"/>
      <c r="AF6471" s="1115"/>
      <c r="AG6471" s="1115"/>
      <c r="AH6471" s="1115"/>
      <c r="AI6471" s="1115"/>
      <c r="AJ6471" s="1117"/>
      <c r="AK6471" s="1118"/>
      <c r="AL6471" s="1115"/>
      <c r="AM6471" s="1115"/>
      <c r="AN6471" s="1115"/>
      <c r="AO6471" s="1115"/>
      <c r="AP6471" s="1115"/>
      <c r="AQ6471" s="1115"/>
      <c r="AR6471" s="1115"/>
      <c r="AS6471" s="1117"/>
      <c r="AT6471" s="1075"/>
      <c r="AU6471" s="1193"/>
      <c r="AV6471" s="330"/>
      <c r="AW6471" s="331"/>
      <c r="AX6471" s="331"/>
      <c r="AY6471" s="331"/>
      <c r="AZ6471" s="331"/>
      <c r="BA6471" s="331"/>
      <c r="BB6471" s="331"/>
      <c r="BC6471" s="331"/>
      <c r="BD6471" s="331"/>
      <c r="BE6471" s="333"/>
      <c r="BF6471" s="330"/>
      <c r="BG6471" s="333"/>
      <c r="BH6471" s="1119"/>
      <c r="BI6471" s="319"/>
      <c r="BJ6471" s="319"/>
      <c r="BK6471" s="319"/>
      <c r="BL6471" s="319"/>
      <c r="BM6471" s="319"/>
      <c r="BN6471" s="319"/>
      <c r="BO6471" s="319"/>
      <c r="BP6471" s="953"/>
      <c r="BQ6471" s="319"/>
      <c r="BR6471" s="319"/>
      <c r="BS6471" s="330"/>
      <c r="BT6471" s="331"/>
      <c r="BU6471" s="920"/>
      <c r="BV6471" s="903"/>
      <c r="BW6471" s="908"/>
      <c r="BX6471" s="908"/>
      <c r="BY6471" s="331"/>
      <c r="BZ6471" s="331"/>
      <c r="CA6471" s="462"/>
      <c r="CB6471" s="319"/>
      <c r="CC6471" s="319"/>
      <c r="CD6471" s="319"/>
      <c r="CE6471" s="319"/>
      <c r="CF6471" s="319"/>
      <c r="CG6471" s="319"/>
      <c r="CH6471" s="318"/>
      <c r="CI6471" s="319"/>
      <c r="CJ6471" s="319"/>
      <c r="CK6471" s="342"/>
      <c r="CL6471" s="333"/>
      <c r="CM6471" s="1079"/>
      <c r="CN6471" s="1005"/>
      <c r="CO6471" s="1005"/>
      <c r="CP6471" s="1005"/>
    </row>
    <row r="6472">
      <c r="A6472" s="1257"/>
      <c r="B6472" s="1113"/>
      <c r="C6472" s="1107"/>
      <c r="D6472" s="103"/>
      <c r="E6472" s="1137"/>
      <c r="F6472" s="112"/>
      <c r="G6472" s="1110"/>
      <c r="H6472" s="1138"/>
      <c r="I6472" s="1138"/>
      <c r="J6472" s="1139"/>
      <c r="K6472" s="1111"/>
      <c r="L6472" s="1112"/>
      <c r="M6472" s="1113"/>
      <c r="N6472" s="110"/>
      <c r="O6472" s="1140"/>
      <c r="P6472" s="1115"/>
      <c r="Q6472" s="1116"/>
      <c r="R6472" s="1141"/>
      <c r="S6472" s="1113"/>
      <c r="T6472" s="1143"/>
      <c r="U6472" s="1108"/>
      <c r="V6472" s="1108"/>
      <c r="W6472" s="1108"/>
      <c r="X6472" s="1108"/>
      <c r="Y6472" s="1108"/>
      <c r="Z6472" s="1114"/>
      <c r="AA6472" s="1114"/>
      <c r="AB6472" s="1114"/>
      <c r="AC6472" s="1117"/>
      <c r="AD6472" s="1115"/>
      <c r="AE6472" s="1115"/>
      <c r="AF6472" s="1115"/>
      <c r="AG6472" s="1115"/>
      <c r="AH6472" s="1115"/>
      <c r="AI6472" s="1115"/>
      <c r="AJ6472" s="1117"/>
      <c r="AK6472" s="1118"/>
      <c r="AL6472" s="1115"/>
      <c r="AM6472" s="1115"/>
      <c r="AN6472" s="1115"/>
      <c r="AO6472" s="1115"/>
      <c r="AP6472" s="1115"/>
      <c r="AQ6472" s="1115"/>
      <c r="AR6472" s="1115"/>
      <c r="AS6472" s="1117"/>
      <c r="AT6472" s="1075"/>
      <c r="AU6472" s="1193"/>
      <c r="AV6472" s="330"/>
      <c r="AW6472" s="331"/>
      <c r="AX6472" s="331"/>
      <c r="AY6472" s="331"/>
      <c r="AZ6472" s="331"/>
      <c r="BA6472" s="331"/>
      <c r="BB6472" s="331"/>
      <c r="BC6472" s="331"/>
      <c r="BD6472" s="331"/>
      <c r="BE6472" s="333"/>
      <c r="BF6472" s="330"/>
      <c r="BG6472" s="333"/>
      <c r="BH6472" s="1119"/>
      <c r="BI6472" s="319"/>
      <c r="BJ6472" s="319"/>
      <c r="BK6472" s="319"/>
      <c r="BL6472" s="319"/>
      <c r="BM6472" s="319"/>
      <c r="BN6472" s="319"/>
      <c r="BO6472" s="319"/>
      <c r="BP6472" s="953"/>
      <c r="BQ6472" s="319"/>
      <c r="BR6472" s="319"/>
      <c r="BS6472" s="330"/>
      <c r="BT6472" s="331"/>
      <c r="BU6472" s="920"/>
      <c r="BV6472" s="903"/>
      <c r="BW6472" s="908"/>
      <c r="BX6472" s="908"/>
      <c r="BY6472" s="331"/>
      <c r="BZ6472" s="331"/>
      <c r="CA6472" s="462"/>
      <c r="CB6472" s="319"/>
      <c r="CC6472" s="319"/>
      <c r="CD6472" s="319"/>
      <c r="CE6472" s="319"/>
      <c r="CF6472" s="319"/>
      <c r="CG6472" s="319"/>
      <c r="CH6472" s="318"/>
      <c r="CI6472" s="319"/>
      <c r="CJ6472" s="319"/>
      <c r="CK6472" s="342"/>
      <c r="CL6472" s="333"/>
      <c r="CM6472" s="1079"/>
      <c r="CN6472" s="1005"/>
      <c r="CO6472" s="1005"/>
      <c r="CP6472" s="1005"/>
    </row>
    <row r="6473">
      <c r="A6473" s="1257"/>
      <c r="B6473" s="1113"/>
      <c r="C6473" s="1107"/>
      <c r="D6473" s="103"/>
      <c r="E6473" s="1137"/>
      <c r="F6473" s="112"/>
      <c r="G6473" s="1110"/>
      <c r="H6473" s="1138"/>
      <c r="I6473" s="1138"/>
      <c r="J6473" s="1139"/>
      <c r="K6473" s="1111"/>
      <c r="L6473" s="1112"/>
      <c r="M6473" s="1113"/>
      <c r="N6473" s="110"/>
      <c r="O6473" s="1140"/>
      <c r="P6473" s="1115"/>
      <c r="Q6473" s="1116"/>
      <c r="R6473" s="1141"/>
      <c r="S6473" s="1113"/>
      <c r="T6473" s="1143"/>
      <c r="U6473" s="1108"/>
      <c r="V6473" s="1108"/>
      <c r="W6473" s="1108"/>
      <c r="X6473" s="1108"/>
      <c r="Y6473" s="1108"/>
      <c r="Z6473" s="1114"/>
      <c r="AA6473" s="1114"/>
      <c r="AB6473" s="1114"/>
      <c r="AC6473" s="1117"/>
      <c r="AD6473" s="1115"/>
      <c r="AE6473" s="1115"/>
      <c r="AF6473" s="1115"/>
      <c r="AG6473" s="1115"/>
      <c r="AH6473" s="1115"/>
      <c r="AI6473" s="1115"/>
      <c r="AJ6473" s="1117"/>
      <c r="AK6473" s="1118"/>
      <c r="AL6473" s="1115"/>
      <c r="AM6473" s="1115"/>
      <c r="AN6473" s="1115"/>
      <c r="AO6473" s="1115"/>
      <c r="AP6473" s="1115"/>
      <c r="AQ6473" s="1115"/>
      <c r="AR6473" s="1115"/>
      <c r="AS6473" s="1117"/>
      <c r="AT6473" s="1075"/>
      <c r="AU6473" s="1193"/>
      <c r="AV6473" s="330"/>
      <c r="AW6473" s="331"/>
      <c r="AX6473" s="331"/>
      <c r="AY6473" s="331"/>
      <c r="AZ6473" s="331"/>
      <c r="BA6473" s="331"/>
      <c r="BB6473" s="331"/>
      <c r="BC6473" s="331"/>
      <c r="BD6473" s="331"/>
      <c r="BE6473" s="333"/>
      <c r="BF6473" s="330"/>
      <c r="BG6473" s="333"/>
      <c r="BH6473" s="1119"/>
      <c r="BI6473" s="319"/>
      <c r="BJ6473" s="319"/>
      <c r="BK6473" s="319"/>
      <c r="BL6473" s="319"/>
      <c r="BM6473" s="319"/>
      <c r="BN6473" s="319"/>
      <c r="BO6473" s="319"/>
      <c r="BP6473" s="953"/>
      <c r="BQ6473" s="319"/>
      <c r="BR6473" s="319"/>
      <c r="BS6473" s="330"/>
      <c r="BT6473" s="331"/>
      <c r="BU6473" s="920"/>
      <c r="BV6473" s="903"/>
      <c r="BW6473" s="908"/>
      <c r="BX6473" s="908"/>
      <c r="BY6473" s="331"/>
      <c r="BZ6473" s="331"/>
      <c r="CA6473" s="462"/>
      <c r="CB6473" s="319"/>
      <c r="CC6473" s="319"/>
      <c r="CD6473" s="319"/>
      <c r="CE6473" s="319"/>
      <c r="CF6473" s="319"/>
      <c r="CG6473" s="319"/>
      <c r="CH6473" s="318"/>
      <c r="CI6473" s="319"/>
      <c r="CJ6473" s="319"/>
      <c r="CK6473" s="342"/>
      <c r="CL6473" s="333"/>
      <c r="CM6473" s="1079"/>
      <c r="CN6473" s="1005"/>
      <c r="CO6473" s="1005"/>
      <c r="CP6473" s="1005"/>
    </row>
    <row r="6474">
      <c r="A6474" s="1257"/>
      <c r="B6474" s="1113"/>
      <c r="C6474" s="1107"/>
      <c r="D6474" s="103"/>
      <c r="E6474" s="1137"/>
      <c r="F6474" s="112"/>
      <c r="G6474" s="1110"/>
      <c r="H6474" s="1138"/>
      <c r="I6474" s="1138"/>
      <c r="J6474" s="1139"/>
      <c r="K6474" s="1111"/>
      <c r="L6474" s="1112"/>
      <c r="M6474" s="1113"/>
      <c r="N6474" s="110"/>
      <c r="O6474" s="1140"/>
      <c r="P6474" s="1115"/>
      <c r="Q6474" s="1116"/>
      <c r="R6474" s="1141"/>
      <c r="S6474" s="1113"/>
      <c r="T6474" s="1143"/>
      <c r="U6474" s="1108"/>
      <c r="V6474" s="1108"/>
      <c r="W6474" s="1108"/>
      <c r="X6474" s="1108"/>
      <c r="Y6474" s="1108"/>
      <c r="Z6474" s="1114"/>
      <c r="AA6474" s="1114"/>
      <c r="AB6474" s="1114"/>
      <c r="AC6474" s="1117"/>
      <c r="AD6474" s="1115"/>
      <c r="AE6474" s="1115"/>
      <c r="AF6474" s="1115"/>
      <c r="AG6474" s="1115"/>
      <c r="AH6474" s="1115"/>
      <c r="AI6474" s="1115"/>
      <c r="AJ6474" s="1117"/>
      <c r="AK6474" s="1118"/>
      <c r="AL6474" s="1115"/>
      <c r="AM6474" s="1115"/>
      <c r="AN6474" s="1115"/>
      <c r="AO6474" s="1115"/>
      <c r="AP6474" s="1115"/>
      <c r="AQ6474" s="1115"/>
      <c r="AR6474" s="1115"/>
      <c r="AS6474" s="1117"/>
      <c r="AT6474" s="1075"/>
      <c r="AU6474" s="1193"/>
      <c r="AV6474" s="330"/>
      <c r="AW6474" s="331"/>
      <c r="AX6474" s="331"/>
      <c r="AY6474" s="331"/>
      <c r="AZ6474" s="331"/>
      <c r="BA6474" s="331"/>
      <c r="BB6474" s="331"/>
      <c r="BC6474" s="331"/>
      <c r="BD6474" s="331"/>
      <c r="BE6474" s="333"/>
      <c r="BF6474" s="330"/>
      <c r="BG6474" s="333"/>
      <c r="BH6474" s="1119"/>
      <c r="BI6474" s="319"/>
      <c r="BJ6474" s="319"/>
      <c r="BK6474" s="319"/>
      <c r="BL6474" s="319"/>
      <c r="BM6474" s="319"/>
      <c r="BN6474" s="319"/>
      <c r="BO6474" s="319"/>
      <c r="BP6474" s="953"/>
      <c r="BQ6474" s="319"/>
      <c r="BR6474" s="319"/>
      <c r="BS6474" s="330"/>
      <c r="BT6474" s="331"/>
      <c r="BU6474" s="920"/>
      <c r="BV6474" s="903"/>
      <c r="BW6474" s="908"/>
      <c r="BX6474" s="908"/>
      <c r="BY6474" s="331"/>
      <c r="BZ6474" s="331"/>
      <c r="CA6474" s="462"/>
      <c r="CB6474" s="319"/>
      <c r="CC6474" s="319"/>
      <c r="CD6474" s="319"/>
      <c r="CE6474" s="319"/>
      <c r="CF6474" s="319"/>
      <c r="CG6474" s="319"/>
      <c r="CH6474" s="318"/>
      <c r="CI6474" s="319"/>
      <c r="CJ6474" s="319"/>
      <c r="CK6474" s="342"/>
      <c r="CL6474" s="333"/>
      <c r="CM6474" s="1079"/>
      <c r="CN6474" s="1005"/>
      <c r="CO6474" s="1005"/>
      <c r="CP6474" s="1005"/>
    </row>
    <row r="6475">
      <c r="A6475" s="1257"/>
      <c r="B6475" s="1113"/>
      <c r="C6475" s="1107"/>
      <c r="D6475" s="103"/>
      <c r="E6475" s="1137"/>
      <c r="F6475" s="112"/>
      <c r="G6475" s="1110"/>
      <c r="H6475" s="1138"/>
      <c r="I6475" s="1138"/>
      <c r="J6475" s="1139"/>
      <c r="K6475" s="1111"/>
      <c r="L6475" s="1112"/>
      <c r="M6475" s="1113"/>
      <c r="N6475" s="110"/>
      <c r="O6475" s="1140"/>
      <c r="P6475" s="1115"/>
      <c r="Q6475" s="1116"/>
      <c r="R6475" s="1141"/>
      <c r="S6475" s="1113"/>
      <c r="T6475" s="1143"/>
      <c r="U6475" s="1108"/>
      <c r="V6475" s="1108"/>
      <c r="W6475" s="1108"/>
      <c r="X6475" s="1108"/>
      <c r="Y6475" s="1108"/>
      <c r="Z6475" s="1114"/>
      <c r="AA6475" s="1114"/>
      <c r="AB6475" s="1114"/>
      <c r="AC6475" s="1117"/>
      <c r="AD6475" s="1115"/>
      <c r="AE6475" s="1115"/>
      <c r="AF6475" s="1115"/>
      <c r="AG6475" s="1115"/>
      <c r="AH6475" s="1115"/>
      <c r="AI6475" s="1115"/>
      <c r="AJ6475" s="1117"/>
      <c r="AK6475" s="1118"/>
      <c r="AL6475" s="1115"/>
      <c r="AM6475" s="1115"/>
      <c r="AN6475" s="1115"/>
      <c r="AO6475" s="1115"/>
      <c r="AP6475" s="1115"/>
      <c r="AQ6475" s="1115"/>
      <c r="AR6475" s="1115"/>
      <c r="AS6475" s="1117"/>
      <c r="AT6475" s="1075"/>
      <c r="AU6475" s="1193"/>
      <c r="AV6475" s="330"/>
      <c r="AW6475" s="331"/>
      <c r="AX6475" s="331"/>
      <c r="AY6475" s="331"/>
      <c r="AZ6475" s="331"/>
      <c r="BA6475" s="331"/>
      <c r="BB6475" s="331"/>
      <c r="BC6475" s="331"/>
      <c r="BD6475" s="331"/>
      <c r="BE6475" s="333"/>
      <c r="BF6475" s="330"/>
      <c r="BG6475" s="333"/>
      <c r="BH6475" s="1119"/>
      <c r="BI6475" s="319"/>
      <c r="BJ6475" s="319"/>
      <c r="BK6475" s="319"/>
      <c r="BL6475" s="319"/>
      <c r="BM6475" s="319"/>
      <c r="BN6475" s="319"/>
      <c r="BO6475" s="319"/>
      <c r="BP6475" s="953"/>
      <c r="BQ6475" s="319"/>
      <c r="BR6475" s="319"/>
      <c r="BS6475" s="330"/>
      <c r="BT6475" s="331"/>
      <c r="BU6475" s="920"/>
      <c r="BV6475" s="903"/>
      <c r="BW6475" s="908"/>
      <c r="BX6475" s="908"/>
      <c r="BY6475" s="331"/>
      <c r="BZ6475" s="331"/>
      <c r="CA6475" s="462"/>
      <c r="CB6475" s="319"/>
      <c r="CC6475" s="319"/>
      <c r="CD6475" s="319"/>
      <c r="CE6475" s="319"/>
      <c r="CF6475" s="319"/>
      <c r="CG6475" s="319"/>
      <c r="CH6475" s="318"/>
      <c r="CI6475" s="319"/>
      <c r="CJ6475" s="319"/>
      <c r="CK6475" s="342"/>
      <c r="CL6475" s="333"/>
      <c r="CM6475" s="1079"/>
      <c r="CN6475" s="1005"/>
      <c r="CO6475" s="1005"/>
      <c r="CP6475" s="1005"/>
    </row>
    <row r="6476">
      <c r="A6476" s="1257"/>
      <c r="B6476" s="1113"/>
      <c r="C6476" s="1107"/>
      <c r="D6476" s="103"/>
      <c r="E6476" s="1137"/>
      <c r="F6476" s="112"/>
      <c r="G6476" s="1110"/>
      <c r="H6476" s="1138"/>
      <c r="I6476" s="1138"/>
      <c r="J6476" s="1139"/>
      <c r="K6476" s="1111"/>
      <c r="L6476" s="1112"/>
      <c r="M6476" s="1113"/>
      <c r="N6476" s="110"/>
      <c r="O6476" s="1140"/>
      <c r="P6476" s="1115"/>
      <c r="Q6476" s="1116"/>
      <c r="R6476" s="1141"/>
      <c r="S6476" s="1113"/>
      <c r="T6476" s="1143"/>
      <c r="U6476" s="1108"/>
      <c r="V6476" s="1108"/>
      <c r="W6476" s="1108"/>
      <c r="X6476" s="1108"/>
      <c r="Y6476" s="1108"/>
      <c r="Z6476" s="1114"/>
      <c r="AA6476" s="1114"/>
      <c r="AB6476" s="1114"/>
      <c r="AC6476" s="1117"/>
      <c r="AD6476" s="1115"/>
      <c r="AE6476" s="1115"/>
      <c r="AF6476" s="1115"/>
      <c r="AG6476" s="1115"/>
      <c r="AH6476" s="1115"/>
      <c r="AI6476" s="1115"/>
      <c r="AJ6476" s="1117"/>
      <c r="AK6476" s="1118"/>
      <c r="AL6476" s="1115"/>
      <c r="AM6476" s="1115"/>
      <c r="AN6476" s="1115"/>
      <c r="AO6476" s="1115"/>
      <c r="AP6476" s="1115"/>
      <c r="AQ6476" s="1115"/>
      <c r="AR6476" s="1115"/>
      <c r="AS6476" s="1117"/>
      <c r="AT6476" s="1075"/>
      <c r="AU6476" s="1193"/>
      <c r="AV6476" s="330"/>
      <c r="AW6476" s="331"/>
      <c r="AX6476" s="331"/>
      <c r="AY6476" s="331"/>
      <c r="AZ6476" s="331"/>
      <c r="BA6476" s="331"/>
      <c r="BB6476" s="331"/>
      <c r="BC6476" s="331"/>
      <c r="BD6476" s="331"/>
      <c r="BE6476" s="333"/>
      <c r="BF6476" s="330"/>
      <c r="BG6476" s="333"/>
      <c r="BH6476" s="1119"/>
      <c r="BI6476" s="319"/>
      <c r="BJ6476" s="319"/>
      <c r="BK6476" s="319"/>
      <c r="BL6476" s="319"/>
      <c r="BM6476" s="319"/>
      <c r="BN6476" s="319"/>
      <c r="BO6476" s="319"/>
      <c r="BP6476" s="953"/>
      <c r="BQ6476" s="319"/>
      <c r="BR6476" s="319"/>
      <c r="BS6476" s="330"/>
      <c r="BT6476" s="331"/>
      <c r="BU6476" s="920"/>
      <c r="BV6476" s="903"/>
      <c r="BW6476" s="908"/>
      <c r="BX6476" s="908"/>
      <c r="BY6476" s="331"/>
      <c r="BZ6476" s="331"/>
      <c r="CA6476" s="462"/>
      <c r="CB6476" s="319"/>
      <c r="CC6476" s="319"/>
      <c r="CD6476" s="319"/>
      <c r="CE6476" s="319"/>
      <c r="CF6476" s="319"/>
      <c r="CG6476" s="319"/>
      <c r="CH6476" s="318"/>
      <c r="CI6476" s="319"/>
      <c r="CJ6476" s="319"/>
      <c r="CK6476" s="342"/>
      <c r="CL6476" s="333"/>
      <c r="CM6476" s="1079"/>
      <c r="CN6476" s="1005"/>
      <c r="CO6476" s="1005"/>
      <c r="CP6476" s="1005"/>
    </row>
    <row r="6477">
      <c r="A6477" s="1257"/>
      <c r="B6477" s="1113"/>
      <c r="C6477" s="1107"/>
      <c r="D6477" s="103"/>
      <c r="E6477" s="1137"/>
      <c r="F6477" s="112"/>
      <c r="G6477" s="1110"/>
      <c r="H6477" s="1138"/>
      <c r="I6477" s="1138"/>
      <c r="J6477" s="1139"/>
      <c r="K6477" s="1111"/>
      <c r="L6477" s="1112"/>
      <c r="M6477" s="1113"/>
      <c r="N6477" s="110"/>
      <c r="O6477" s="1140"/>
      <c r="P6477" s="1115"/>
      <c r="Q6477" s="1116"/>
      <c r="R6477" s="1141"/>
      <c r="S6477" s="1113"/>
      <c r="T6477" s="1143"/>
      <c r="U6477" s="1108"/>
      <c r="V6477" s="1108"/>
      <c r="W6477" s="1108"/>
      <c r="X6477" s="1108"/>
      <c r="Y6477" s="1108"/>
      <c r="Z6477" s="1114"/>
      <c r="AA6477" s="1114"/>
      <c r="AB6477" s="1114"/>
      <c r="AC6477" s="1117"/>
      <c r="AD6477" s="1115"/>
      <c r="AE6477" s="1115"/>
      <c r="AF6477" s="1115"/>
      <c r="AG6477" s="1115"/>
      <c r="AH6477" s="1115"/>
      <c r="AI6477" s="1115"/>
      <c r="AJ6477" s="1117"/>
      <c r="AK6477" s="1118"/>
      <c r="AL6477" s="1115"/>
      <c r="AM6477" s="1115"/>
      <c r="AN6477" s="1115"/>
      <c r="AO6477" s="1115"/>
      <c r="AP6477" s="1115"/>
      <c r="AQ6477" s="1115"/>
      <c r="AR6477" s="1115"/>
      <c r="AS6477" s="1117"/>
      <c r="AT6477" s="1075"/>
      <c r="AU6477" s="1193"/>
      <c r="AV6477" s="330"/>
      <c r="AW6477" s="331"/>
      <c r="AX6477" s="331"/>
      <c r="AY6477" s="331"/>
      <c r="AZ6477" s="331"/>
      <c r="BA6477" s="331"/>
      <c r="BB6477" s="331"/>
      <c r="BC6477" s="331"/>
      <c r="BD6477" s="331"/>
      <c r="BE6477" s="333"/>
      <c r="BF6477" s="330"/>
      <c r="BG6477" s="333"/>
      <c r="BH6477" s="1119"/>
      <c r="BI6477" s="319"/>
      <c r="BJ6477" s="319"/>
      <c r="BK6477" s="319"/>
      <c r="BL6477" s="319"/>
      <c r="BM6477" s="319"/>
      <c r="BN6477" s="319"/>
      <c r="BO6477" s="319"/>
      <c r="BP6477" s="953"/>
      <c r="BQ6477" s="319"/>
      <c r="BR6477" s="319"/>
      <c r="BS6477" s="330"/>
      <c r="BT6477" s="331"/>
      <c r="BU6477" s="920"/>
      <c r="BV6477" s="903"/>
      <c r="BW6477" s="908"/>
      <c r="BX6477" s="908"/>
      <c r="BY6477" s="331"/>
      <c r="BZ6477" s="331"/>
      <c r="CA6477" s="462"/>
      <c r="CB6477" s="319"/>
      <c r="CC6477" s="319"/>
      <c r="CD6477" s="319"/>
      <c r="CE6477" s="319"/>
      <c r="CF6477" s="319"/>
      <c r="CG6477" s="319"/>
      <c r="CH6477" s="318"/>
      <c r="CI6477" s="319"/>
      <c r="CJ6477" s="319"/>
      <c r="CK6477" s="342"/>
      <c r="CL6477" s="333"/>
      <c r="CM6477" s="1079"/>
      <c r="CN6477" s="1005"/>
      <c r="CO6477" s="1005"/>
      <c r="CP6477" s="1005"/>
    </row>
    <row r="6478">
      <c r="A6478" s="1257"/>
      <c r="B6478" s="1113"/>
      <c r="C6478" s="1107"/>
      <c r="D6478" s="103"/>
      <c r="E6478" s="1137"/>
      <c r="F6478" s="112"/>
      <c r="G6478" s="1110"/>
      <c r="H6478" s="1138"/>
      <c r="I6478" s="1138"/>
      <c r="J6478" s="1139"/>
      <c r="K6478" s="1111"/>
      <c r="L6478" s="1112"/>
      <c r="M6478" s="1113"/>
      <c r="N6478" s="110"/>
      <c r="O6478" s="1140"/>
      <c r="P6478" s="1115"/>
      <c r="Q6478" s="1116"/>
      <c r="R6478" s="1141"/>
      <c r="S6478" s="1113"/>
      <c r="T6478" s="1143"/>
      <c r="U6478" s="1108"/>
      <c r="V6478" s="1108"/>
      <c r="W6478" s="1108"/>
      <c r="X6478" s="1108"/>
      <c r="Y6478" s="1108"/>
      <c r="Z6478" s="1114"/>
      <c r="AA6478" s="1114"/>
      <c r="AB6478" s="1114"/>
      <c r="AC6478" s="1117"/>
      <c r="AD6478" s="1115"/>
      <c r="AE6478" s="1115"/>
      <c r="AF6478" s="1115"/>
      <c r="AG6478" s="1115"/>
      <c r="AH6478" s="1115"/>
      <c r="AI6478" s="1115"/>
      <c r="AJ6478" s="1117"/>
      <c r="AK6478" s="1118"/>
      <c r="AL6478" s="1115"/>
      <c r="AM6478" s="1115"/>
      <c r="AN6478" s="1115"/>
      <c r="AO6478" s="1115"/>
      <c r="AP6478" s="1115"/>
      <c r="AQ6478" s="1115"/>
      <c r="AR6478" s="1115"/>
      <c r="AS6478" s="1117"/>
      <c r="AT6478" s="1075"/>
      <c r="AU6478" s="1193"/>
      <c r="AV6478" s="330"/>
      <c r="AW6478" s="331"/>
      <c r="AX6478" s="331"/>
      <c r="AY6478" s="331"/>
      <c r="AZ6478" s="331"/>
      <c r="BA6478" s="331"/>
      <c r="BB6478" s="331"/>
      <c r="BC6478" s="331"/>
      <c r="BD6478" s="331"/>
      <c r="BE6478" s="333"/>
      <c r="BF6478" s="330"/>
      <c r="BG6478" s="333"/>
      <c r="BH6478" s="1119"/>
      <c r="BI6478" s="319"/>
      <c r="BJ6478" s="319"/>
      <c r="BK6478" s="319"/>
      <c r="BL6478" s="319"/>
      <c r="BM6478" s="319"/>
      <c r="BN6478" s="319"/>
      <c r="BO6478" s="319"/>
      <c r="BP6478" s="953"/>
      <c r="BQ6478" s="319"/>
      <c r="BR6478" s="319"/>
      <c r="BS6478" s="330"/>
      <c r="BT6478" s="331"/>
      <c r="BU6478" s="920"/>
      <c r="BV6478" s="903"/>
      <c r="BW6478" s="908"/>
      <c r="BX6478" s="908"/>
      <c r="BY6478" s="331"/>
      <c r="BZ6478" s="331"/>
      <c r="CA6478" s="462"/>
      <c r="CB6478" s="319"/>
      <c r="CC6478" s="319"/>
      <c r="CD6478" s="319"/>
      <c r="CE6478" s="319"/>
      <c r="CF6478" s="319"/>
      <c r="CG6478" s="319"/>
      <c r="CH6478" s="318"/>
      <c r="CI6478" s="319"/>
      <c r="CJ6478" s="319"/>
      <c r="CK6478" s="342"/>
      <c r="CL6478" s="333"/>
      <c r="CM6478" s="1079"/>
      <c r="CN6478" s="1005"/>
      <c r="CO6478" s="1005"/>
      <c r="CP6478" s="1005"/>
    </row>
    <row r="6479">
      <c r="A6479" s="1257"/>
      <c r="B6479" s="1113"/>
      <c r="C6479" s="1107"/>
      <c r="D6479" s="103"/>
      <c r="E6479" s="1137"/>
      <c r="F6479" s="112"/>
      <c r="G6479" s="1110"/>
      <c r="H6479" s="1138"/>
      <c r="I6479" s="1138"/>
      <c r="J6479" s="1139"/>
      <c r="K6479" s="1111"/>
      <c r="L6479" s="1112"/>
      <c r="M6479" s="1113"/>
      <c r="N6479" s="110"/>
      <c r="O6479" s="1140"/>
      <c r="P6479" s="1115"/>
      <c r="Q6479" s="1116"/>
      <c r="R6479" s="1141"/>
      <c r="S6479" s="1113"/>
      <c r="T6479" s="1143"/>
      <c r="U6479" s="1108"/>
      <c r="V6479" s="1108"/>
      <c r="W6479" s="1108"/>
      <c r="X6479" s="1108"/>
      <c r="Y6479" s="1108"/>
      <c r="Z6479" s="1114"/>
      <c r="AA6479" s="1114"/>
      <c r="AB6479" s="1114"/>
      <c r="AC6479" s="1117"/>
      <c r="AD6479" s="1115"/>
      <c r="AE6479" s="1115"/>
      <c r="AF6479" s="1115"/>
      <c r="AG6479" s="1115"/>
      <c r="AH6479" s="1115"/>
      <c r="AI6479" s="1115"/>
      <c r="AJ6479" s="1117"/>
      <c r="AK6479" s="1118"/>
      <c r="AL6479" s="1115"/>
      <c r="AM6479" s="1115"/>
      <c r="AN6479" s="1115"/>
      <c r="AO6479" s="1115"/>
      <c r="AP6479" s="1115"/>
      <c r="AQ6479" s="1115"/>
      <c r="AR6479" s="1115"/>
      <c r="AS6479" s="1117"/>
      <c r="AT6479" s="1075"/>
      <c r="AU6479" s="1193"/>
      <c r="AV6479" s="330"/>
      <c r="AW6479" s="331"/>
      <c r="AX6479" s="331"/>
      <c r="AY6479" s="331"/>
      <c r="AZ6479" s="331"/>
      <c r="BA6479" s="331"/>
      <c r="BB6479" s="331"/>
      <c r="BC6479" s="331"/>
      <c r="BD6479" s="331"/>
      <c r="BE6479" s="333"/>
      <c r="BF6479" s="330"/>
      <c r="BG6479" s="333"/>
      <c r="BH6479" s="1119"/>
      <c r="BI6479" s="319"/>
      <c r="BJ6479" s="319"/>
      <c r="BK6479" s="319"/>
      <c r="BL6479" s="319"/>
      <c r="BM6479" s="319"/>
      <c r="BN6479" s="319"/>
      <c r="BO6479" s="319"/>
      <c r="BP6479" s="953"/>
      <c r="BQ6479" s="319"/>
      <c r="BR6479" s="319"/>
      <c r="BS6479" s="330"/>
      <c r="BT6479" s="331"/>
      <c r="BU6479" s="920"/>
      <c r="BV6479" s="903"/>
      <c r="BW6479" s="908"/>
      <c r="BX6479" s="908"/>
      <c r="BY6479" s="331"/>
      <c r="BZ6479" s="331"/>
      <c r="CA6479" s="462"/>
      <c r="CB6479" s="319"/>
      <c r="CC6479" s="319"/>
      <c r="CD6479" s="319"/>
      <c r="CE6479" s="319"/>
      <c r="CF6479" s="319"/>
      <c r="CG6479" s="319"/>
      <c r="CH6479" s="318"/>
      <c r="CI6479" s="319"/>
      <c r="CJ6479" s="319"/>
      <c r="CK6479" s="342"/>
      <c r="CL6479" s="333"/>
      <c r="CM6479" s="1079"/>
      <c r="CN6479" s="1005"/>
      <c r="CO6479" s="1005"/>
      <c r="CP6479" s="1005"/>
    </row>
    <row r="6480">
      <c r="A6480" s="1257"/>
      <c r="B6480" s="1113"/>
      <c r="C6480" s="1107"/>
      <c r="D6480" s="103"/>
      <c r="E6480" s="1137"/>
      <c r="F6480" s="112"/>
      <c r="G6480" s="1110"/>
      <c r="H6480" s="1138"/>
      <c r="I6480" s="1138"/>
      <c r="J6480" s="1139"/>
      <c r="K6480" s="1111"/>
      <c r="L6480" s="1112"/>
      <c r="M6480" s="1113"/>
      <c r="N6480" s="110"/>
      <c r="O6480" s="1140"/>
      <c r="P6480" s="1115"/>
      <c r="Q6480" s="1116"/>
      <c r="R6480" s="1141"/>
      <c r="S6480" s="1113"/>
      <c r="T6480" s="1143"/>
      <c r="U6480" s="1108"/>
      <c r="V6480" s="1108"/>
      <c r="W6480" s="1108"/>
      <c r="X6480" s="1108"/>
      <c r="Y6480" s="1108"/>
      <c r="Z6480" s="1114"/>
      <c r="AA6480" s="1114"/>
      <c r="AB6480" s="1114"/>
      <c r="AC6480" s="1117"/>
      <c r="AD6480" s="1115"/>
      <c r="AE6480" s="1115"/>
      <c r="AF6480" s="1115"/>
      <c r="AG6480" s="1115"/>
      <c r="AH6480" s="1115"/>
      <c r="AI6480" s="1115"/>
      <c r="AJ6480" s="1117"/>
      <c r="AK6480" s="1118"/>
      <c r="AL6480" s="1115"/>
      <c r="AM6480" s="1115"/>
      <c r="AN6480" s="1115"/>
      <c r="AO6480" s="1115"/>
      <c r="AP6480" s="1115"/>
      <c r="AQ6480" s="1115"/>
      <c r="AR6480" s="1115"/>
      <c r="AS6480" s="1117"/>
      <c r="AT6480" s="1075"/>
      <c r="AU6480" s="1193"/>
      <c r="AV6480" s="330"/>
      <c r="AW6480" s="331"/>
      <c r="AX6480" s="331"/>
      <c r="AY6480" s="331"/>
      <c r="AZ6480" s="331"/>
      <c r="BA6480" s="331"/>
      <c r="BB6480" s="331"/>
      <c r="BC6480" s="331"/>
      <c r="BD6480" s="331"/>
      <c r="BE6480" s="333"/>
      <c r="BF6480" s="330"/>
      <c r="BG6480" s="333"/>
      <c r="BH6480" s="1119"/>
      <c r="BI6480" s="319"/>
      <c r="BJ6480" s="319"/>
      <c r="BK6480" s="319"/>
      <c r="BL6480" s="319"/>
      <c r="BM6480" s="319"/>
      <c r="BN6480" s="319"/>
      <c r="BO6480" s="319"/>
      <c r="BP6480" s="953"/>
      <c r="BQ6480" s="319"/>
      <c r="BR6480" s="319"/>
      <c r="BS6480" s="330"/>
      <c r="BT6480" s="331"/>
      <c r="BU6480" s="920"/>
      <c r="BV6480" s="903"/>
      <c r="BW6480" s="908"/>
      <c r="BX6480" s="908"/>
      <c r="BY6480" s="331"/>
      <c r="BZ6480" s="331"/>
      <c r="CA6480" s="462"/>
      <c r="CB6480" s="319"/>
      <c r="CC6480" s="319"/>
      <c r="CD6480" s="319"/>
      <c r="CE6480" s="319"/>
      <c r="CF6480" s="319"/>
      <c r="CG6480" s="319"/>
      <c r="CH6480" s="318"/>
      <c r="CI6480" s="319"/>
      <c r="CJ6480" s="319"/>
      <c r="CK6480" s="342"/>
      <c r="CL6480" s="333"/>
      <c r="CM6480" s="1079"/>
      <c r="CN6480" s="1005"/>
      <c r="CO6480" s="1005"/>
      <c r="CP6480" s="1005"/>
    </row>
    <row r="6481">
      <c r="A6481" s="1257"/>
      <c r="B6481" s="1113"/>
      <c r="C6481" s="1107"/>
      <c r="D6481" s="103"/>
      <c r="E6481" s="1137"/>
      <c r="F6481" s="112"/>
      <c r="G6481" s="1110"/>
      <c r="H6481" s="1138"/>
      <c r="I6481" s="1138"/>
      <c r="J6481" s="1139"/>
      <c r="K6481" s="1111"/>
      <c r="L6481" s="1112"/>
      <c r="M6481" s="1113"/>
      <c r="N6481" s="110"/>
      <c r="O6481" s="1140"/>
      <c r="P6481" s="1115"/>
      <c r="Q6481" s="1116"/>
      <c r="R6481" s="1141"/>
      <c r="S6481" s="1113"/>
      <c r="T6481" s="1143"/>
      <c r="U6481" s="1108"/>
      <c r="V6481" s="1108"/>
      <c r="W6481" s="1108"/>
      <c r="X6481" s="1108"/>
      <c r="Y6481" s="1108"/>
      <c r="Z6481" s="1114"/>
      <c r="AA6481" s="1114"/>
      <c r="AB6481" s="1114"/>
      <c r="AC6481" s="1117"/>
      <c r="AD6481" s="1115"/>
      <c r="AE6481" s="1115"/>
      <c r="AF6481" s="1115"/>
      <c r="AG6481" s="1115"/>
      <c r="AH6481" s="1115"/>
      <c r="AI6481" s="1115"/>
      <c r="AJ6481" s="1117"/>
      <c r="AK6481" s="1118"/>
      <c r="AL6481" s="1115"/>
      <c r="AM6481" s="1115"/>
      <c r="AN6481" s="1115"/>
      <c r="AO6481" s="1115"/>
      <c r="AP6481" s="1115"/>
      <c r="AQ6481" s="1115"/>
      <c r="AR6481" s="1115"/>
      <c r="AS6481" s="1117"/>
      <c r="AT6481" s="1075"/>
      <c r="AU6481" s="1193"/>
      <c r="AV6481" s="330"/>
      <c r="AW6481" s="331"/>
      <c r="AX6481" s="331"/>
      <c r="AY6481" s="331"/>
      <c r="AZ6481" s="331"/>
      <c r="BA6481" s="331"/>
      <c r="BB6481" s="331"/>
      <c r="BC6481" s="331"/>
      <c r="BD6481" s="331"/>
      <c r="BE6481" s="333"/>
      <c r="BF6481" s="330"/>
      <c r="BG6481" s="333"/>
      <c r="BH6481" s="1119"/>
      <c r="BI6481" s="319"/>
      <c r="BJ6481" s="319"/>
      <c r="BK6481" s="319"/>
      <c r="BL6481" s="319"/>
      <c r="BM6481" s="319"/>
      <c r="BN6481" s="319"/>
      <c r="BO6481" s="319"/>
      <c r="BP6481" s="953"/>
      <c r="BQ6481" s="319"/>
      <c r="BR6481" s="319"/>
      <c r="BS6481" s="330"/>
      <c r="BT6481" s="331"/>
      <c r="BU6481" s="920"/>
      <c r="BV6481" s="903"/>
      <c r="BW6481" s="908"/>
      <c r="BX6481" s="908"/>
      <c r="BY6481" s="331"/>
      <c r="BZ6481" s="331"/>
      <c r="CA6481" s="462"/>
      <c r="CB6481" s="319"/>
      <c r="CC6481" s="319"/>
      <c r="CD6481" s="319"/>
      <c r="CE6481" s="319"/>
      <c r="CF6481" s="319"/>
      <c r="CG6481" s="319"/>
      <c r="CH6481" s="318"/>
      <c r="CI6481" s="319"/>
      <c r="CJ6481" s="319"/>
      <c r="CK6481" s="342"/>
      <c r="CL6481" s="333"/>
      <c r="CM6481" s="1079"/>
      <c r="CN6481" s="1005"/>
      <c r="CO6481" s="1005"/>
      <c r="CP6481" s="1005"/>
    </row>
    <row r="6482">
      <c r="A6482" s="1257"/>
      <c r="B6482" s="1113"/>
      <c r="C6482" s="1107"/>
      <c r="D6482" s="103"/>
      <c r="E6482" s="1137"/>
      <c r="F6482" s="112"/>
      <c r="G6482" s="1110"/>
      <c r="H6482" s="1138"/>
      <c r="I6482" s="1138"/>
      <c r="J6482" s="1139"/>
      <c r="K6482" s="1111"/>
      <c r="L6482" s="1112"/>
      <c r="M6482" s="1113"/>
      <c r="N6482" s="110"/>
      <c r="O6482" s="1140"/>
      <c r="P6482" s="1115"/>
      <c r="Q6482" s="1116"/>
      <c r="R6482" s="1141"/>
      <c r="S6482" s="1113"/>
      <c r="T6482" s="1143"/>
      <c r="U6482" s="1108"/>
      <c r="V6482" s="1108"/>
      <c r="W6482" s="1108"/>
      <c r="X6482" s="1108"/>
      <c r="Y6482" s="1108"/>
      <c r="Z6482" s="1114"/>
      <c r="AA6482" s="1114"/>
      <c r="AB6482" s="1114"/>
      <c r="AC6482" s="1117"/>
      <c r="AD6482" s="1115"/>
      <c r="AE6482" s="1115"/>
      <c r="AF6482" s="1115"/>
      <c r="AG6482" s="1115"/>
      <c r="AH6482" s="1115"/>
      <c r="AI6482" s="1115"/>
      <c r="AJ6482" s="1117"/>
      <c r="AK6482" s="1118"/>
      <c r="AL6482" s="1115"/>
      <c r="AM6482" s="1115"/>
      <c r="AN6482" s="1115"/>
      <c r="AO6482" s="1115"/>
      <c r="AP6482" s="1115"/>
      <c r="AQ6482" s="1115"/>
      <c r="AR6482" s="1115"/>
      <c r="AS6482" s="1117"/>
      <c r="AT6482" s="1075"/>
      <c r="AU6482" s="1193"/>
      <c r="AV6482" s="330"/>
      <c r="AW6482" s="331"/>
      <c r="AX6482" s="331"/>
      <c r="AY6482" s="331"/>
      <c r="AZ6482" s="331"/>
      <c r="BA6482" s="331"/>
      <c r="BB6482" s="331"/>
      <c r="BC6482" s="331"/>
      <c r="BD6482" s="331"/>
      <c r="BE6482" s="333"/>
      <c r="BF6482" s="330"/>
      <c r="BG6482" s="333"/>
      <c r="BH6482" s="1119"/>
      <c r="BI6482" s="319"/>
      <c r="BJ6482" s="319"/>
      <c r="BK6482" s="319"/>
      <c r="BL6482" s="319"/>
      <c r="BM6482" s="319"/>
      <c r="BN6482" s="319"/>
      <c r="BO6482" s="319"/>
      <c r="BP6482" s="953"/>
      <c r="BQ6482" s="319"/>
      <c r="BR6482" s="319"/>
      <c r="BS6482" s="330"/>
      <c r="BT6482" s="331"/>
      <c r="BU6482" s="920"/>
      <c r="BV6482" s="903"/>
      <c r="BW6482" s="908"/>
      <c r="BX6482" s="908"/>
      <c r="BY6482" s="331"/>
      <c r="BZ6482" s="331"/>
      <c r="CA6482" s="462"/>
      <c r="CB6482" s="319"/>
      <c r="CC6482" s="319"/>
      <c r="CD6482" s="319"/>
      <c r="CE6482" s="319"/>
      <c r="CF6482" s="319"/>
      <c r="CG6482" s="319"/>
      <c r="CH6482" s="318"/>
      <c r="CI6482" s="319"/>
      <c r="CJ6482" s="319"/>
      <c r="CK6482" s="342"/>
      <c r="CL6482" s="333"/>
      <c r="CM6482" s="1079"/>
      <c r="CN6482" s="1005"/>
      <c r="CO6482" s="1005"/>
      <c r="CP6482" s="1005"/>
    </row>
    <row r="6483">
      <c r="A6483" s="1257"/>
      <c r="B6483" s="1113"/>
      <c r="C6483" s="1107"/>
      <c r="D6483" s="103"/>
      <c r="E6483" s="1137"/>
      <c r="F6483" s="112"/>
      <c r="G6483" s="1110"/>
      <c r="H6483" s="1138"/>
      <c r="I6483" s="1138"/>
      <c r="J6483" s="1139"/>
      <c r="K6483" s="1111"/>
      <c r="L6483" s="1112"/>
      <c r="M6483" s="1113"/>
      <c r="N6483" s="110"/>
      <c r="O6483" s="1140"/>
      <c r="P6483" s="1115"/>
      <c r="Q6483" s="1116"/>
      <c r="R6483" s="1141"/>
      <c r="S6483" s="1113"/>
      <c r="T6483" s="1143"/>
      <c r="U6483" s="1108"/>
      <c r="V6483" s="1108"/>
      <c r="W6483" s="1108"/>
      <c r="X6483" s="1108"/>
      <c r="Y6483" s="1108"/>
      <c r="Z6483" s="1114"/>
      <c r="AA6483" s="1114"/>
      <c r="AB6483" s="1114"/>
      <c r="AC6483" s="1117"/>
      <c r="AD6483" s="1115"/>
      <c r="AE6483" s="1115"/>
      <c r="AF6483" s="1115"/>
      <c r="AG6483" s="1115"/>
      <c r="AH6483" s="1115"/>
      <c r="AI6483" s="1115"/>
      <c r="AJ6483" s="1117"/>
      <c r="AK6483" s="1118"/>
      <c r="AL6483" s="1115"/>
      <c r="AM6483" s="1115"/>
      <c r="AN6483" s="1115"/>
      <c r="AO6483" s="1115"/>
      <c r="AP6483" s="1115"/>
      <c r="AQ6483" s="1115"/>
      <c r="AR6483" s="1115"/>
      <c r="AS6483" s="1117"/>
      <c r="AT6483" s="1075"/>
      <c r="AU6483" s="1193"/>
      <c r="AV6483" s="330"/>
      <c r="AW6483" s="331"/>
      <c r="AX6483" s="331"/>
      <c r="AY6483" s="331"/>
      <c r="AZ6483" s="331"/>
      <c r="BA6483" s="331"/>
      <c r="BB6483" s="331"/>
      <c r="BC6483" s="331"/>
      <c r="BD6483" s="331"/>
      <c r="BE6483" s="333"/>
      <c r="BF6483" s="330"/>
      <c r="BG6483" s="333"/>
      <c r="BH6483" s="1119"/>
      <c r="BI6483" s="319"/>
      <c r="BJ6483" s="319"/>
      <c r="BK6483" s="319"/>
      <c r="BL6483" s="319"/>
      <c r="BM6483" s="319"/>
      <c r="BN6483" s="319"/>
      <c r="BO6483" s="319"/>
      <c r="BP6483" s="953"/>
      <c r="BQ6483" s="319"/>
      <c r="BR6483" s="319"/>
      <c r="BS6483" s="330"/>
      <c r="BT6483" s="331"/>
      <c r="BU6483" s="920"/>
      <c r="BV6483" s="903"/>
      <c r="BW6483" s="908"/>
      <c r="BX6483" s="908"/>
      <c r="BY6483" s="331"/>
      <c r="BZ6483" s="331"/>
      <c r="CA6483" s="462"/>
      <c r="CB6483" s="319"/>
      <c r="CC6483" s="319"/>
      <c r="CD6483" s="319"/>
      <c r="CE6483" s="319"/>
      <c r="CF6483" s="319"/>
      <c r="CG6483" s="319"/>
      <c r="CH6483" s="318"/>
      <c r="CI6483" s="319"/>
      <c r="CJ6483" s="319"/>
      <c r="CK6483" s="342"/>
      <c r="CL6483" s="333"/>
      <c r="CM6483" s="1079"/>
      <c r="CN6483" s="1005"/>
      <c r="CO6483" s="1005"/>
      <c r="CP6483" s="1005"/>
    </row>
    <row r="6484">
      <c r="A6484" s="1257"/>
      <c r="B6484" s="1113"/>
      <c r="C6484" s="1107"/>
      <c r="D6484" s="103"/>
      <c r="E6484" s="1137"/>
      <c r="F6484" s="112"/>
      <c r="G6484" s="1110"/>
      <c r="H6484" s="1138"/>
      <c r="I6484" s="1138"/>
      <c r="J6484" s="1139"/>
      <c r="K6484" s="1111"/>
      <c r="L6484" s="1112"/>
      <c r="M6484" s="1113"/>
      <c r="N6484" s="110"/>
      <c r="O6484" s="1140"/>
      <c r="P6484" s="1115"/>
      <c r="Q6484" s="1116"/>
      <c r="R6484" s="1141"/>
      <c r="S6484" s="1113"/>
      <c r="T6484" s="1143"/>
      <c r="U6484" s="1108"/>
      <c r="V6484" s="1108"/>
      <c r="W6484" s="1108"/>
      <c r="X6484" s="1108"/>
      <c r="Y6484" s="1108"/>
      <c r="Z6484" s="1114"/>
      <c r="AA6484" s="1114"/>
      <c r="AB6484" s="1114"/>
      <c r="AC6484" s="1117"/>
      <c r="AD6484" s="1115"/>
      <c r="AE6484" s="1115"/>
      <c r="AF6484" s="1115"/>
      <c r="AG6484" s="1115"/>
      <c r="AH6484" s="1115"/>
      <c r="AI6484" s="1115"/>
      <c r="AJ6484" s="1117"/>
      <c r="AK6484" s="1118"/>
      <c r="AL6484" s="1115"/>
      <c r="AM6484" s="1115"/>
      <c r="AN6484" s="1115"/>
      <c r="AO6484" s="1115"/>
      <c r="AP6484" s="1115"/>
      <c r="AQ6484" s="1115"/>
      <c r="AR6484" s="1115"/>
      <c r="AS6484" s="1117"/>
      <c r="AT6484" s="1075"/>
      <c r="AU6484" s="1193"/>
      <c r="AV6484" s="330"/>
      <c r="AW6484" s="331"/>
      <c r="AX6484" s="331"/>
      <c r="AY6484" s="331"/>
      <c r="AZ6484" s="331"/>
      <c r="BA6484" s="331"/>
      <c r="BB6484" s="331"/>
      <c r="BC6484" s="331"/>
      <c r="BD6484" s="331"/>
      <c r="BE6484" s="333"/>
      <c r="BF6484" s="330"/>
      <c r="BG6484" s="333"/>
      <c r="BH6484" s="1119"/>
      <c r="BI6484" s="319"/>
      <c r="BJ6484" s="319"/>
      <c r="BK6484" s="319"/>
      <c r="BL6484" s="319"/>
      <c r="BM6484" s="319"/>
      <c r="BN6484" s="319"/>
      <c r="BO6484" s="319"/>
      <c r="BP6484" s="953"/>
      <c r="BQ6484" s="319"/>
      <c r="BR6484" s="319"/>
      <c r="BS6484" s="330"/>
      <c r="BT6484" s="331"/>
      <c r="BU6484" s="920"/>
      <c r="BV6484" s="903"/>
      <c r="BW6484" s="908"/>
      <c r="BX6484" s="908"/>
      <c r="BY6484" s="331"/>
      <c r="BZ6484" s="331"/>
      <c r="CA6484" s="462"/>
      <c r="CB6484" s="319"/>
      <c r="CC6484" s="319"/>
      <c r="CD6484" s="319"/>
      <c r="CE6484" s="319"/>
      <c r="CF6484" s="319"/>
      <c r="CG6484" s="319"/>
      <c r="CH6484" s="318"/>
      <c r="CI6484" s="319"/>
      <c r="CJ6484" s="319"/>
      <c r="CK6484" s="342"/>
      <c r="CL6484" s="333"/>
      <c r="CM6484" s="1079"/>
      <c r="CN6484" s="1005"/>
      <c r="CO6484" s="1005"/>
      <c r="CP6484" s="1005"/>
    </row>
    <row r="6485">
      <c r="A6485" s="1257"/>
      <c r="B6485" s="1113"/>
      <c r="C6485" s="1107"/>
      <c r="D6485" s="103"/>
      <c r="E6485" s="1137"/>
      <c r="F6485" s="112"/>
      <c r="G6485" s="1110"/>
      <c r="H6485" s="1138"/>
      <c r="I6485" s="1138"/>
      <c r="J6485" s="1139"/>
      <c r="K6485" s="1111"/>
      <c r="L6485" s="1112"/>
      <c r="M6485" s="1113"/>
      <c r="N6485" s="110"/>
      <c r="O6485" s="1140"/>
      <c r="P6485" s="1115"/>
      <c r="Q6485" s="1116"/>
      <c r="R6485" s="1141"/>
      <c r="S6485" s="1113"/>
      <c r="T6485" s="1143"/>
      <c r="U6485" s="1108"/>
      <c r="V6485" s="1108"/>
      <c r="W6485" s="1108"/>
      <c r="X6485" s="1108"/>
      <c r="Y6485" s="1108"/>
      <c r="Z6485" s="1114"/>
      <c r="AA6485" s="1114"/>
      <c r="AB6485" s="1114"/>
      <c r="AC6485" s="1117"/>
      <c r="AD6485" s="1115"/>
      <c r="AE6485" s="1115"/>
      <c r="AF6485" s="1115"/>
      <c r="AG6485" s="1115"/>
      <c r="AH6485" s="1115"/>
      <c r="AI6485" s="1115"/>
      <c r="AJ6485" s="1117"/>
      <c r="AK6485" s="1118"/>
      <c r="AL6485" s="1115"/>
      <c r="AM6485" s="1115"/>
      <c r="AN6485" s="1115"/>
      <c r="AO6485" s="1115"/>
      <c r="AP6485" s="1115"/>
      <c r="AQ6485" s="1115"/>
      <c r="AR6485" s="1115"/>
      <c r="AS6485" s="1117"/>
      <c r="AT6485" s="1075"/>
      <c r="AU6485" s="1193"/>
      <c r="AV6485" s="330"/>
      <c r="AW6485" s="331"/>
      <c r="AX6485" s="331"/>
      <c r="AY6485" s="331"/>
      <c r="AZ6485" s="331"/>
      <c r="BA6485" s="331"/>
      <c r="BB6485" s="331"/>
      <c r="BC6485" s="331"/>
      <c r="BD6485" s="331"/>
      <c r="BE6485" s="333"/>
      <c r="BF6485" s="330"/>
      <c r="BG6485" s="333"/>
      <c r="BH6485" s="1119"/>
      <c r="BI6485" s="319"/>
      <c r="BJ6485" s="319"/>
      <c r="BK6485" s="319"/>
      <c r="BL6485" s="319"/>
      <c r="BM6485" s="319"/>
      <c r="BN6485" s="319"/>
      <c r="BO6485" s="319"/>
      <c r="BP6485" s="953"/>
      <c r="BQ6485" s="319"/>
      <c r="BR6485" s="319"/>
      <c r="BS6485" s="330"/>
      <c r="BT6485" s="331"/>
      <c r="BU6485" s="920"/>
      <c r="BV6485" s="903"/>
      <c r="BW6485" s="908"/>
      <c r="BX6485" s="908"/>
      <c r="BY6485" s="331"/>
      <c r="BZ6485" s="331"/>
      <c r="CA6485" s="462"/>
      <c r="CB6485" s="319"/>
      <c r="CC6485" s="319"/>
      <c r="CD6485" s="319"/>
      <c r="CE6485" s="319"/>
      <c r="CF6485" s="319"/>
      <c r="CG6485" s="319"/>
      <c r="CH6485" s="318"/>
      <c r="CI6485" s="319"/>
      <c r="CJ6485" s="319"/>
      <c r="CK6485" s="342"/>
      <c r="CL6485" s="333"/>
      <c r="CM6485" s="1079"/>
      <c r="CN6485" s="1005"/>
      <c r="CO6485" s="1005"/>
      <c r="CP6485" s="1005"/>
    </row>
    <row r="6486">
      <c r="A6486" s="1257"/>
      <c r="B6486" s="1113"/>
      <c r="C6486" s="1107"/>
      <c r="D6486" s="103"/>
      <c r="E6486" s="1137"/>
      <c r="F6486" s="112"/>
      <c r="G6486" s="1110"/>
      <c r="H6486" s="1138"/>
      <c r="I6486" s="1138"/>
      <c r="J6486" s="1139"/>
      <c r="K6486" s="1111"/>
      <c r="L6486" s="1112"/>
      <c r="M6486" s="1113"/>
      <c r="N6486" s="110"/>
      <c r="O6486" s="1140"/>
      <c r="P6486" s="1115"/>
      <c r="Q6486" s="1116"/>
      <c r="R6486" s="1141"/>
      <c r="S6486" s="1113"/>
      <c r="T6486" s="1143"/>
      <c r="U6486" s="1108"/>
      <c r="V6486" s="1108"/>
      <c r="W6486" s="1108"/>
      <c r="X6486" s="1108"/>
      <c r="Y6486" s="1108"/>
      <c r="Z6486" s="1114"/>
      <c r="AA6486" s="1114"/>
      <c r="AB6486" s="1114"/>
      <c r="AC6486" s="1117"/>
      <c r="AD6486" s="1115"/>
      <c r="AE6486" s="1115"/>
      <c r="AF6486" s="1115"/>
      <c r="AG6486" s="1115"/>
      <c r="AH6486" s="1115"/>
      <c r="AI6486" s="1115"/>
      <c r="AJ6486" s="1117"/>
      <c r="AK6486" s="1118"/>
      <c r="AL6486" s="1115"/>
      <c r="AM6486" s="1115"/>
      <c r="AN6486" s="1115"/>
      <c r="AO6486" s="1115"/>
      <c r="AP6486" s="1115"/>
      <c r="AQ6486" s="1115"/>
      <c r="AR6486" s="1115"/>
      <c r="AS6486" s="1117"/>
      <c r="AT6486" s="1075"/>
      <c r="AU6486" s="1193"/>
      <c r="AV6486" s="330"/>
      <c r="AW6486" s="331"/>
      <c r="AX6486" s="331"/>
      <c r="AY6486" s="331"/>
      <c r="AZ6486" s="331"/>
      <c r="BA6486" s="331"/>
      <c r="BB6486" s="331"/>
      <c r="BC6486" s="331"/>
      <c r="BD6486" s="331"/>
      <c r="BE6486" s="333"/>
      <c r="BF6486" s="330"/>
      <c r="BG6486" s="333"/>
      <c r="BH6486" s="1119"/>
      <c r="BI6486" s="319"/>
      <c r="BJ6486" s="319"/>
      <c r="BK6486" s="319"/>
      <c r="BL6486" s="319"/>
      <c r="BM6486" s="319"/>
      <c r="BN6486" s="319"/>
      <c r="BO6486" s="319"/>
      <c r="BP6486" s="953"/>
      <c r="BQ6486" s="319"/>
      <c r="BR6486" s="319"/>
      <c r="BS6486" s="330"/>
      <c r="BT6486" s="331"/>
      <c r="BU6486" s="920"/>
      <c r="BV6486" s="903"/>
      <c r="BW6486" s="908"/>
      <c r="BX6486" s="908"/>
      <c r="BY6486" s="331"/>
      <c r="BZ6486" s="331"/>
      <c r="CA6486" s="462"/>
      <c r="CB6486" s="319"/>
      <c r="CC6486" s="319"/>
      <c r="CD6486" s="319"/>
      <c r="CE6486" s="319"/>
      <c r="CF6486" s="319"/>
      <c r="CG6486" s="319"/>
      <c r="CH6486" s="318"/>
      <c r="CI6486" s="319"/>
      <c r="CJ6486" s="319"/>
      <c r="CK6486" s="342"/>
      <c r="CL6486" s="333"/>
      <c r="CM6486" s="1079"/>
      <c r="CN6486" s="1005"/>
      <c r="CO6486" s="1005"/>
      <c r="CP6486" s="1005"/>
    </row>
    <row r="6487">
      <c r="A6487" s="1257"/>
      <c r="B6487" s="1113"/>
      <c r="C6487" s="1107"/>
      <c r="D6487" s="103"/>
      <c r="E6487" s="1137"/>
      <c r="F6487" s="112"/>
      <c r="G6487" s="1110"/>
      <c r="H6487" s="1138"/>
      <c r="I6487" s="1138"/>
      <c r="J6487" s="1139"/>
      <c r="K6487" s="1111"/>
      <c r="L6487" s="1112"/>
      <c r="M6487" s="1113"/>
      <c r="N6487" s="110"/>
      <c r="O6487" s="1140"/>
      <c r="P6487" s="1115"/>
      <c r="Q6487" s="1116"/>
      <c r="R6487" s="1141"/>
      <c r="S6487" s="1113"/>
      <c r="T6487" s="1143"/>
      <c r="U6487" s="1108"/>
      <c r="V6487" s="1108"/>
      <c r="W6487" s="1108"/>
      <c r="X6487" s="1108"/>
      <c r="Y6487" s="1108"/>
      <c r="Z6487" s="1114"/>
      <c r="AA6487" s="1114"/>
      <c r="AB6487" s="1114"/>
      <c r="AC6487" s="1117"/>
      <c r="AD6487" s="1115"/>
      <c r="AE6487" s="1115"/>
      <c r="AF6487" s="1115"/>
      <c r="AG6487" s="1115"/>
      <c r="AH6487" s="1115"/>
      <c r="AI6487" s="1115"/>
      <c r="AJ6487" s="1117"/>
      <c r="AK6487" s="1118"/>
      <c r="AL6487" s="1115"/>
      <c r="AM6487" s="1115"/>
      <c r="AN6487" s="1115"/>
      <c r="AO6487" s="1115"/>
      <c r="AP6487" s="1115"/>
      <c r="AQ6487" s="1115"/>
      <c r="AR6487" s="1115"/>
      <c r="AS6487" s="1117"/>
      <c r="AT6487" s="1075"/>
      <c r="AU6487" s="1193"/>
      <c r="AV6487" s="330"/>
      <c r="AW6487" s="331"/>
      <c r="AX6487" s="331"/>
      <c r="AY6487" s="331"/>
      <c r="AZ6487" s="331"/>
      <c r="BA6487" s="331"/>
      <c r="BB6487" s="331"/>
      <c r="BC6487" s="331"/>
      <c r="BD6487" s="331"/>
      <c r="BE6487" s="333"/>
      <c r="BF6487" s="330"/>
      <c r="BG6487" s="333"/>
      <c r="BH6487" s="1119"/>
      <c r="BI6487" s="319"/>
      <c r="BJ6487" s="319"/>
      <c r="BK6487" s="319"/>
      <c r="BL6487" s="319"/>
      <c r="BM6487" s="319"/>
      <c r="BN6487" s="319"/>
      <c r="BO6487" s="319"/>
      <c r="BP6487" s="953"/>
      <c r="BQ6487" s="319"/>
      <c r="BR6487" s="319"/>
      <c r="BS6487" s="330"/>
      <c r="BT6487" s="331"/>
      <c r="BU6487" s="920"/>
      <c r="BV6487" s="903"/>
      <c r="BW6487" s="908"/>
      <c r="BX6487" s="908"/>
      <c r="BY6487" s="331"/>
      <c r="BZ6487" s="331"/>
      <c r="CA6487" s="462"/>
      <c r="CB6487" s="319"/>
      <c r="CC6487" s="319"/>
      <c r="CD6487" s="319"/>
      <c r="CE6487" s="319"/>
      <c r="CF6487" s="319"/>
      <c r="CG6487" s="319"/>
      <c r="CH6487" s="318"/>
      <c r="CI6487" s="319"/>
      <c r="CJ6487" s="319"/>
      <c r="CK6487" s="342"/>
      <c r="CL6487" s="333"/>
      <c r="CM6487" s="1079"/>
      <c r="CN6487" s="1005"/>
      <c r="CO6487" s="1005"/>
      <c r="CP6487" s="1005"/>
    </row>
    <row r="6488">
      <c r="A6488" s="1257"/>
      <c r="B6488" s="1113"/>
      <c r="C6488" s="1107"/>
      <c r="D6488" s="103"/>
      <c r="E6488" s="1137"/>
      <c r="F6488" s="112"/>
      <c r="G6488" s="1110"/>
      <c r="H6488" s="1138"/>
      <c r="I6488" s="1138"/>
      <c r="J6488" s="1139"/>
      <c r="K6488" s="1111"/>
      <c r="L6488" s="1112"/>
      <c r="M6488" s="1113"/>
      <c r="N6488" s="110"/>
      <c r="O6488" s="1140"/>
      <c r="P6488" s="1115"/>
      <c r="Q6488" s="1116"/>
      <c r="R6488" s="1141"/>
      <c r="S6488" s="1113"/>
      <c r="T6488" s="1143"/>
      <c r="U6488" s="1108"/>
      <c r="V6488" s="1108"/>
      <c r="W6488" s="1108"/>
      <c r="X6488" s="1108"/>
      <c r="Y6488" s="1108"/>
      <c r="Z6488" s="1114"/>
      <c r="AA6488" s="1114"/>
      <c r="AB6488" s="1114"/>
      <c r="AC6488" s="1117"/>
      <c r="AD6488" s="1115"/>
      <c r="AE6488" s="1115"/>
      <c r="AF6488" s="1115"/>
      <c r="AG6488" s="1115"/>
      <c r="AH6488" s="1115"/>
      <c r="AI6488" s="1115"/>
      <c r="AJ6488" s="1117"/>
      <c r="AK6488" s="1118"/>
      <c r="AL6488" s="1115"/>
      <c r="AM6488" s="1115"/>
      <c r="AN6488" s="1115"/>
      <c r="AO6488" s="1115"/>
      <c r="AP6488" s="1115"/>
      <c r="AQ6488" s="1115"/>
      <c r="AR6488" s="1115"/>
      <c r="AS6488" s="1117"/>
      <c r="AT6488" s="1075"/>
      <c r="AU6488" s="1193"/>
      <c r="AV6488" s="330"/>
      <c r="AW6488" s="331"/>
      <c r="AX6488" s="331"/>
      <c r="AY6488" s="331"/>
      <c r="AZ6488" s="331"/>
      <c r="BA6488" s="331"/>
      <c r="BB6488" s="331"/>
      <c r="BC6488" s="331"/>
      <c r="BD6488" s="331"/>
      <c r="BE6488" s="333"/>
      <c r="BF6488" s="330"/>
      <c r="BG6488" s="333"/>
      <c r="BH6488" s="1119"/>
      <c r="BI6488" s="319"/>
      <c r="BJ6488" s="319"/>
      <c r="BK6488" s="319"/>
      <c r="BL6488" s="319"/>
      <c r="BM6488" s="319"/>
      <c r="BN6488" s="319"/>
      <c r="BO6488" s="319"/>
      <c r="BP6488" s="953"/>
      <c r="BQ6488" s="319"/>
      <c r="BR6488" s="319"/>
      <c r="BS6488" s="330"/>
      <c r="BT6488" s="331"/>
      <c r="BU6488" s="920"/>
      <c r="BV6488" s="903"/>
      <c r="BW6488" s="908"/>
      <c r="BX6488" s="908"/>
      <c r="BY6488" s="331"/>
      <c r="BZ6488" s="331"/>
      <c r="CA6488" s="462"/>
      <c r="CB6488" s="319"/>
      <c r="CC6488" s="319"/>
      <c r="CD6488" s="319"/>
      <c r="CE6488" s="319"/>
      <c r="CF6488" s="319"/>
      <c r="CG6488" s="319"/>
      <c r="CH6488" s="318"/>
      <c r="CI6488" s="319"/>
      <c r="CJ6488" s="319"/>
      <c r="CK6488" s="342"/>
      <c r="CL6488" s="333"/>
      <c r="CM6488" s="1079"/>
      <c r="CN6488" s="1005"/>
      <c r="CO6488" s="1005"/>
      <c r="CP6488" s="1005"/>
    </row>
    <row r="6489">
      <c r="A6489" s="1257"/>
      <c r="B6489" s="1113"/>
      <c r="C6489" s="1107"/>
      <c r="D6489" s="103"/>
      <c r="E6489" s="1137"/>
      <c r="F6489" s="112"/>
      <c r="G6489" s="1110"/>
      <c r="H6489" s="1138"/>
      <c r="I6489" s="1138"/>
      <c r="J6489" s="1139"/>
      <c r="K6489" s="1111"/>
      <c r="L6489" s="1112"/>
      <c r="M6489" s="1113"/>
      <c r="N6489" s="110"/>
      <c r="O6489" s="1140"/>
      <c r="P6489" s="1115"/>
      <c r="Q6489" s="1116"/>
      <c r="R6489" s="1141"/>
      <c r="S6489" s="1113"/>
      <c r="T6489" s="1143"/>
      <c r="U6489" s="1108"/>
      <c r="V6489" s="1108"/>
      <c r="W6489" s="1108"/>
      <c r="X6489" s="1108"/>
      <c r="Y6489" s="1108"/>
      <c r="Z6489" s="1114"/>
      <c r="AA6489" s="1114"/>
      <c r="AB6489" s="1114"/>
      <c r="AC6489" s="1117"/>
      <c r="AD6489" s="1115"/>
      <c r="AE6489" s="1115"/>
      <c r="AF6489" s="1115"/>
      <c r="AG6489" s="1115"/>
      <c r="AH6489" s="1115"/>
      <c r="AI6489" s="1115"/>
      <c r="AJ6489" s="1117"/>
      <c r="AK6489" s="1118"/>
      <c r="AL6489" s="1115"/>
      <c r="AM6489" s="1115"/>
      <c r="AN6489" s="1115"/>
      <c r="AO6489" s="1115"/>
      <c r="AP6489" s="1115"/>
      <c r="AQ6489" s="1115"/>
      <c r="AR6489" s="1115"/>
      <c r="AS6489" s="1117"/>
      <c r="AT6489" s="1075"/>
      <c r="AU6489" s="1193"/>
      <c r="AV6489" s="330"/>
      <c r="AW6489" s="331"/>
      <c r="AX6489" s="331"/>
      <c r="AY6489" s="331"/>
      <c r="AZ6489" s="331"/>
      <c r="BA6489" s="331"/>
      <c r="BB6489" s="331"/>
      <c r="BC6489" s="331"/>
      <c r="BD6489" s="331"/>
      <c r="BE6489" s="333"/>
      <c r="BF6489" s="330"/>
      <c r="BG6489" s="333"/>
      <c r="BH6489" s="1119"/>
      <c r="BI6489" s="319"/>
      <c r="BJ6489" s="319"/>
      <c r="BK6489" s="319"/>
      <c r="BL6489" s="319"/>
      <c r="BM6489" s="319"/>
      <c r="BN6489" s="319"/>
      <c r="BO6489" s="319"/>
      <c r="BP6489" s="953"/>
      <c r="BQ6489" s="319"/>
      <c r="BR6489" s="319"/>
      <c r="BS6489" s="330"/>
      <c r="BT6489" s="331"/>
      <c r="BU6489" s="920"/>
      <c r="BV6489" s="903"/>
      <c r="BW6489" s="908"/>
      <c r="BX6489" s="908"/>
      <c r="BY6489" s="331"/>
      <c r="BZ6489" s="331"/>
      <c r="CA6489" s="462"/>
      <c r="CB6489" s="319"/>
      <c r="CC6489" s="319"/>
      <c r="CD6489" s="319"/>
      <c r="CE6489" s="319"/>
      <c r="CF6489" s="319"/>
      <c r="CG6489" s="319"/>
      <c r="CH6489" s="318"/>
      <c r="CI6489" s="319"/>
      <c r="CJ6489" s="319"/>
      <c r="CK6489" s="342"/>
      <c r="CL6489" s="333"/>
      <c r="CM6489" s="1079"/>
      <c r="CN6489" s="1005"/>
      <c r="CO6489" s="1005"/>
      <c r="CP6489" s="1005"/>
    </row>
    <row r="6490">
      <c r="A6490" s="1257"/>
      <c r="B6490" s="1113"/>
      <c r="C6490" s="1107"/>
      <c r="D6490" s="103"/>
      <c r="E6490" s="1137"/>
      <c r="F6490" s="112"/>
      <c r="G6490" s="1110"/>
      <c r="H6490" s="1138"/>
      <c r="I6490" s="1138"/>
      <c r="J6490" s="1139"/>
      <c r="K6490" s="1111"/>
      <c r="L6490" s="1112"/>
      <c r="M6490" s="1113"/>
      <c r="N6490" s="110"/>
      <c r="O6490" s="1140"/>
      <c r="P6490" s="1115"/>
      <c r="Q6490" s="1116"/>
      <c r="R6490" s="1141"/>
      <c r="S6490" s="1113"/>
      <c r="T6490" s="1143"/>
      <c r="U6490" s="1108"/>
      <c r="V6490" s="1108"/>
      <c r="W6490" s="1108"/>
      <c r="X6490" s="1108"/>
      <c r="Y6490" s="1108"/>
      <c r="Z6490" s="1114"/>
      <c r="AA6490" s="1114"/>
      <c r="AB6490" s="1114"/>
      <c r="AC6490" s="1117"/>
      <c r="AD6490" s="1115"/>
      <c r="AE6490" s="1115"/>
      <c r="AF6490" s="1115"/>
      <c r="AG6490" s="1115"/>
      <c r="AH6490" s="1115"/>
      <c r="AI6490" s="1115"/>
      <c r="AJ6490" s="1117"/>
      <c r="AK6490" s="1118"/>
      <c r="AL6490" s="1115"/>
      <c r="AM6490" s="1115"/>
      <c r="AN6490" s="1115"/>
      <c r="AO6490" s="1115"/>
      <c r="AP6490" s="1115"/>
      <c r="AQ6490" s="1115"/>
      <c r="AR6490" s="1115"/>
      <c r="AS6490" s="1117"/>
      <c r="AT6490" s="1075"/>
      <c r="AU6490" s="1193"/>
      <c r="AV6490" s="330"/>
      <c r="AW6490" s="331"/>
      <c r="AX6490" s="331"/>
      <c r="AY6490" s="331"/>
      <c r="AZ6490" s="331"/>
      <c r="BA6490" s="331"/>
      <c r="BB6490" s="331"/>
      <c r="BC6490" s="331"/>
      <c r="BD6490" s="331"/>
      <c r="BE6490" s="333"/>
      <c r="BF6490" s="330"/>
      <c r="BG6490" s="333"/>
      <c r="BH6490" s="1119"/>
      <c r="BI6490" s="319"/>
      <c r="BJ6490" s="319"/>
      <c r="BK6490" s="319"/>
      <c r="BL6490" s="319"/>
      <c r="BM6490" s="319"/>
      <c r="BN6490" s="319"/>
      <c r="BO6490" s="319"/>
      <c r="BP6490" s="953"/>
      <c r="BQ6490" s="319"/>
      <c r="BR6490" s="319"/>
      <c r="BS6490" s="330"/>
      <c r="BT6490" s="331"/>
      <c r="BU6490" s="920"/>
      <c r="BV6490" s="903"/>
      <c r="BW6490" s="908"/>
      <c r="BX6490" s="908"/>
      <c r="BY6490" s="331"/>
      <c r="BZ6490" s="331"/>
      <c r="CA6490" s="462"/>
      <c r="CB6490" s="319"/>
      <c r="CC6490" s="319"/>
      <c r="CD6490" s="319"/>
      <c r="CE6490" s="319"/>
      <c r="CF6490" s="319"/>
      <c r="CG6490" s="319"/>
      <c r="CH6490" s="318"/>
      <c r="CI6490" s="319"/>
      <c r="CJ6490" s="319"/>
      <c r="CK6490" s="342"/>
      <c r="CL6490" s="333"/>
      <c r="CM6490" s="1079"/>
      <c r="CN6490" s="1005"/>
      <c r="CO6490" s="1005"/>
      <c r="CP6490" s="1005"/>
    </row>
    <row r="6491">
      <c r="A6491" s="1257"/>
      <c r="B6491" s="1113"/>
      <c r="C6491" s="1107"/>
      <c r="D6491" s="103"/>
      <c r="E6491" s="1137"/>
      <c r="F6491" s="112"/>
      <c r="G6491" s="1110"/>
      <c r="H6491" s="1138"/>
      <c r="I6491" s="1138"/>
      <c r="J6491" s="1139"/>
      <c r="K6491" s="1111"/>
      <c r="L6491" s="1112"/>
      <c r="M6491" s="1113"/>
      <c r="N6491" s="110"/>
      <c r="O6491" s="1140"/>
      <c r="P6491" s="1115"/>
      <c r="Q6491" s="1116"/>
      <c r="R6491" s="1141"/>
      <c r="S6491" s="1113"/>
      <c r="T6491" s="1143"/>
      <c r="U6491" s="1108"/>
      <c r="V6491" s="1108"/>
      <c r="W6491" s="1108"/>
      <c r="X6491" s="1108"/>
      <c r="Y6491" s="1108"/>
      <c r="Z6491" s="1114"/>
      <c r="AA6491" s="1114"/>
      <c r="AB6491" s="1114"/>
      <c r="AC6491" s="1117"/>
      <c r="AD6491" s="1115"/>
      <c r="AE6491" s="1115"/>
      <c r="AF6491" s="1115"/>
      <c r="AG6491" s="1115"/>
      <c r="AH6491" s="1115"/>
      <c r="AI6491" s="1115"/>
      <c r="AJ6491" s="1117"/>
      <c r="AK6491" s="1118"/>
      <c r="AL6491" s="1115"/>
      <c r="AM6491" s="1115"/>
      <c r="AN6491" s="1115"/>
      <c r="AO6491" s="1115"/>
      <c r="AP6491" s="1115"/>
      <c r="AQ6491" s="1115"/>
      <c r="AR6491" s="1115"/>
      <c r="AS6491" s="1117"/>
      <c r="AT6491" s="1075"/>
      <c r="AU6491" s="1193"/>
      <c r="AV6491" s="330"/>
      <c r="AW6491" s="331"/>
      <c r="AX6491" s="331"/>
      <c r="AY6491" s="331"/>
      <c r="AZ6491" s="331"/>
      <c r="BA6491" s="331"/>
      <c r="BB6491" s="331"/>
      <c r="BC6491" s="331"/>
      <c r="BD6491" s="331"/>
      <c r="BE6491" s="333"/>
      <c r="BF6491" s="330"/>
      <c r="BG6491" s="333"/>
      <c r="BH6491" s="1119"/>
      <c r="BI6491" s="319"/>
      <c r="BJ6491" s="319"/>
      <c r="BK6491" s="319"/>
      <c r="BL6491" s="319"/>
      <c r="BM6491" s="319"/>
      <c r="BN6491" s="319"/>
      <c r="BO6491" s="319"/>
      <c r="BP6491" s="953"/>
      <c r="BQ6491" s="319"/>
      <c r="BR6491" s="319"/>
      <c r="BS6491" s="330"/>
      <c r="BT6491" s="331"/>
      <c r="BU6491" s="920"/>
      <c r="BV6491" s="903"/>
      <c r="BW6491" s="908"/>
      <c r="BX6491" s="908"/>
      <c r="BY6491" s="331"/>
      <c r="BZ6491" s="331"/>
      <c r="CA6491" s="462"/>
      <c r="CB6491" s="319"/>
      <c r="CC6491" s="319"/>
      <c r="CD6491" s="319"/>
      <c r="CE6491" s="319"/>
      <c r="CF6491" s="319"/>
      <c r="CG6491" s="319"/>
      <c r="CH6491" s="318"/>
      <c r="CI6491" s="319"/>
      <c r="CJ6491" s="319"/>
      <c r="CK6491" s="342"/>
      <c r="CL6491" s="333"/>
      <c r="CM6491" s="1079"/>
      <c r="CN6491" s="1005"/>
      <c r="CO6491" s="1005"/>
      <c r="CP6491" s="1005"/>
    </row>
    <row r="6492">
      <c r="A6492" s="1257"/>
      <c r="B6492" s="1113"/>
      <c r="C6492" s="1107"/>
      <c r="D6492" s="103"/>
      <c r="E6492" s="1137"/>
      <c r="F6492" s="112"/>
      <c r="G6492" s="1110"/>
      <c r="H6492" s="1138"/>
      <c r="I6492" s="1138"/>
      <c r="J6492" s="1139"/>
      <c r="K6492" s="1111"/>
      <c r="L6492" s="1112"/>
      <c r="M6492" s="1113"/>
      <c r="N6492" s="110"/>
      <c r="O6492" s="1140"/>
      <c r="P6492" s="1115"/>
      <c r="Q6492" s="1116"/>
      <c r="R6492" s="1141"/>
      <c r="S6492" s="1113"/>
      <c r="T6492" s="1143"/>
      <c r="U6492" s="1108"/>
      <c r="V6492" s="1108"/>
      <c r="W6492" s="1108"/>
      <c r="X6492" s="1108"/>
      <c r="Y6492" s="1108"/>
      <c r="Z6492" s="1114"/>
      <c r="AA6492" s="1114"/>
      <c r="AB6492" s="1114"/>
      <c r="AC6492" s="1117"/>
      <c r="AD6492" s="1115"/>
      <c r="AE6492" s="1115"/>
      <c r="AF6492" s="1115"/>
      <c r="AG6492" s="1115"/>
      <c r="AH6492" s="1115"/>
      <c r="AI6492" s="1115"/>
      <c r="AJ6492" s="1117"/>
      <c r="AK6492" s="1118"/>
      <c r="AL6492" s="1115"/>
      <c r="AM6492" s="1115"/>
      <c r="AN6492" s="1115"/>
      <c r="AO6492" s="1115"/>
      <c r="AP6492" s="1115"/>
      <c r="AQ6492" s="1115"/>
      <c r="AR6492" s="1115"/>
      <c r="AS6492" s="1117"/>
      <c r="AT6492" s="1075"/>
      <c r="AU6492" s="1193"/>
      <c r="AV6492" s="330"/>
      <c r="AW6492" s="331"/>
      <c r="AX6492" s="331"/>
      <c r="AY6492" s="331"/>
      <c r="AZ6492" s="331"/>
      <c r="BA6492" s="331"/>
      <c r="BB6492" s="331"/>
      <c r="BC6492" s="331"/>
      <c r="BD6492" s="331"/>
      <c r="BE6492" s="333"/>
      <c r="BF6492" s="330"/>
      <c r="BG6492" s="333"/>
      <c r="BH6492" s="1119"/>
      <c r="BI6492" s="319"/>
      <c r="BJ6492" s="319"/>
      <c r="BK6492" s="319"/>
      <c r="BL6492" s="319"/>
      <c r="BM6492" s="319"/>
      <c r="BN6492" s="319"/>
      <c r="BO6492" s="319"/>
      <c r="BP6492" s="953"/>
      <c r="BQ6492" s="319"/>
      <c r="BR6492" s="319"/>
      <c r="BS6492" s="330"/>
      <c r="BT6492" s="331"/>
      <c r="BU6492" s="920"/>
      <c r="BV6492" s="903"/>
      <c r="BW6492" s="908"/>
      <c r="BX6492" s="908"/>
      <c r="BY6492" s="331"/>
      <c r="BZ6492" s="331"/>
      <c r="CA6492" s="462"/>
      <c r="CB6492" s="319"/>
      <c r="CC6492" s="319"/>
      <c r="CD6492" s="319"/>
      <c r="CE6492" s="319"/>
      <c r="CF6492" s="319"/>
      <c r="CG6492" s="319"/>
      <c r="CH6492" s="318"/>
      <c r="CI6492" s="319"/>
      <c r="CJ6492" s="319"/>
      <c r="CK6492" s="342"/>
      <c r="CL6492" s="333"/>
      <c r="CM6492" s="1079"/>
      <c r="CN6492" s="1005"/>
      <c r="CO6492" s="1005"/>
      <c r="CP6492" s="1005"/>
    </row>
    <row r="6493">
      <c r="A6493" s="1257"/>
      <c r="B6493" s="1113"/>
      <c r="C6493" s="1107"/>
      <c r="D6493" s="103"/>
      <c r="E6493" s="1137"/>
      <c r="F6493" s="112"/>
      <c r="G6493" s="1110"/>
      <c r="H6493" s="1138"/>
      <c r="I6493" s="1138"/>
      <c r="J6493" s="1139"/>
      <c r="K6493" s="1111"/>
      <c r="L6493" s="1112"/>
      <c r="M6493" s="1113"/>
      <c r="N6493" s="110"/>
      <c r="O6493" s="1140"/>
      <c r="P6493" s="1115"/>
      <c r="Q6493" s="1116"/>
      <c r="R6493" s="1141"/>
      <c r="S6493" s="1113"/>
      <c r="T6493" s="1143"/>
      <c r="U6493" s="1108"/>
      <c r="V6493" s="1108"/>
      <c r="W6493" s="1108"/>
      <c r="X6493" s="1108"/>
      <c r="Y6493" s="1108"/>
      <c r="Z6493" s="1114"/>
      <c r="AA6493" s="1114"/>
      <c r="AB6493" s="1114"/>
      <c r="AC6493" s="1117"/>
      <c r="AD6493" s="1115"/>
      <c r="AE6493" s="1115"/>
      <c r="AF6493" s="1115"/>
      <c r="AG6493" s="1115"/>
      <c r="AH6493" s="1115"/>
      <c r="AI6493" s="1115"/>
      <c r="AJ6493" s="1117"/>
      <c r="AK6493" s="1118"/>
      <c r="AL6493" s="1115"/>
      <c r="AM6493" s="1115"/>
      <c r="AN6493" s="1115"/>
      <c r="AO6493" s="1115"/>
      <c r="AP6493" s="1115"/>
      <c r="AQ6493" s="1115"/>
      <c r="AR6493" s="1115"/>
      <c r="AS6493" s="1117"/>
      <c r="AT6493" s="1075"/>
      <c r="AU6493" s="1193"/>
      <c r="AV6493" s="330"/>
      <c r="AW6493" s="331"/>
      <c r="AX6493" s="331"/>
      <c r="AY6493" s="331"/>
      <c r="AZ6493" s="331"/>
      <c r="BA6493" s="331"/>
      <c r="BB6493" s="331"/>
      <c r="BC6493" s="331"/>
      <c r="BD6493" s="331"/>
      <c r="BE6493" s="333"/>
      <c r="BF6493" s="330"/>
      <c r="BG6493" s="333"/>
      <c r="BH6493" s="1119"/>
      <c r="BI6493" s="319"/>
      <c r="BJ6493" s="319"/>
      <c r="BK6493" s="319"/>
      <c r="BL6493" s="319"/>
      <c r="BM6493" s="319"/>
      <c r="BN6493" s="319"/>
      <c r="BO6493" s="319"/>
      <c r="BP6493" s="953"/>
      <c r="BQ6493" s="319"/>
      <c r="BR6493" s="319"/>
      <c r="BS6493" s="330"/>
      <c r="BT6493" s="331"/>
      <c r="BU6493" s="920"/>
      <c r="BV6493" s="903"/>
      <c r="BW6493" s="908"/>
      <c r="BX6493" s="908"/>
      <c r="BY6493" s="331"/>
      <c r="BZ6493" s="331"/>
      <c r="CA6493" s="462"/>
      <c r="CB6493" s="319"/>
      <c r="CC6493" s="319"/>
      <c r="CD6493" s="319"/>
      <c r="CE6493" s="319"/>
      <c r="CF6493" s="319"/>
      <c r="CG6493" s="319"/>
      <c r="CH6493" s="318"/>
      <c r="CI6493" s="319"/>
      <c r="CJ6493" s="319"/>
      <c r="CK6493" s="342"/>
      <c r="CL6493" s="333"/>
      <c r="CM6493" s="1079"/>
      <c r="CN6493" s="1005"/>
      <c r="CO6493" s="1005"/>
      <c r="CP6493" s="1005"/>
    </row>
    <row r="6494">
      <c r="A6494" s="1257"/>
      <c r="B6494" s="1113"/>
      <c r="C6494" s="1107"/>
      <c r="D6494" s="103"/>
      <c r="E6494" s="1137"/>
      <c r="F6494" s="112"/>
      <c r="G6494" s="1110"/>
      <c r="H6494" s="1138"/>
      <c r="I6494" s="1138"/>
      <c r="J6494" s="1139"/>
      <c r="K6494" s="1111"/>
      <c r="L6494" s="1112"/>
      <c r="M6494" s="1113"/>
      <c r="N6494" s="110"/>
      <c r="O6494" s="1140"/>
      <c r="P6494" s="1115"/>
      <c r="Q6494" s="1116"/>
      <c r="R6494" s="1141"/>
      <c r="S6494" s="1113"/>
      <c r="T6494" s="1143"/>
      <c r="U6494" s="1108"/>
      <c r="V6494" s="1108"/>
      <c r="W6494" s="1108"/>
      <c r="X6494" s="1108"/>
      <c r="Y6494" s="1108"/>
      <c r="Z6494" s="1114"/>
      <c r="AA6494" s="1114"/>
      <c r="AB6494" s="1114"/>
      <c r="AC6494" s="1117"/>
      <c r="AD6494" s="1115"/>
      <c r="AE6494" s="1115"/>
      <c r="AF6494" s="1115"/>
      <c r="AG6494" s="1115"/>
      <c r="AH6494" s="1115"/>
      <c r="AI6494" s="1115"/>
      <c r="AJ6494" s="1117"/>
      <c r="AK6494" s="1118"/>
      <c r="AL6494" s="1115"/>
      <c r="AM6494" s="1115"/>
      <c r="AN6494" s="1115"/>
      <c r="AO6494" s="1115"/>
      <c r="AP6494" s="1115"/>
      <c r="AQ6494" s="1115"/>
      <c r="AR6494" s="1115"/>
      <c r="AS6494" s="1117"/>
      <c r="AT6494" s="1075"/>
      <c r="AU6494" s="1193"/>
      <c r="AV6494" s="330"/>
      <c r="AW6494" s="331"/>
      <c r="AX6494" s="331"/>
      <c r="AY6494" s="331"/>
      <c r="AZ6494" s="331"/>
      <c r="BA6494" s="331"/>
      <c r="BB6494" s="331"/>
      <c r="BC6494" s="331"/>
      <c r="BD6494" s="331"/>
      <c r="BE6494" s="333"/>
      <c r="BF6494" s="330"/>
      <c r="BG6494" s="333"/>
      <c r="BH6494" s="1119"/>
      <c r="BI6494" s="319"/>
      <c r="BJ6494" s="319"/>
      <c r="BK6494" s="319"/>
      <c r="BL6494" s="319"/>
      <c r="BM6494" s="319"/>
      <c r="BN6494" s="319"/>
      <c r="BO6494" s="319"/>
      <c r="BP6494" s="953"/>
      <c r="BQ6494" s="319"/>
      <c r="BR6494" s="319"/>
      <c r="BS6494" s="330"/>
      <c r="BT6494" s="331"/>
      <c r="BU6494" s="920"/>
      <c r="BV6494" s="903"/>
      <c r="BW6494" s="908"/>
      <c r="BX6494" s="908"/>
      <c r="BY6494" s="331"/>
      <c r="BZ6494" s="331"/>
      <c r="CA6494" s="462"/>
      <c r="CB6494" s="319"/>
      <c r="CC6494" s="319"/>
      <c r="CD6494" s="319"/>
      <c r="CE6494" s="319"/>
      <c r="CF6494" s="319"/>
      <c r="CG6494" s="319"/>
      <c r="CH6494" s="318"/>
      <c r="CI6494" s="319"/>
      <c r="CJ6494" s="319"/>
      <c r="CK6494" s="342"/>
      <c r="CL6494" s="333"/>
      <c r="CM6494" s="1079"/>
      <c r="CN6494" s="1005"/>
      <c r="CO6494" s="1005"/>
      <c r="CP6494" s="1005"/>
    </row>
    <row r="6495">
      <c r="A6495" s="1257"/>
      <c r="B6495" s="1113"/>
      <c r="C6495" s="1107"/>
      <c r="D6495" s="103"/>
      <c r="E6495" s="1137"/>
      <c r="F6495" s="112"/>
      <c r="G6495" s="1110"/>
      <c r="H6495" s="1138"/>
      <c r="I6495" s="1138"/>
      <c r="J6495" s="1139"/>
      <c r="K6495" s="1111"/>
      <c r="L6495" s="1112"/>
      <c r="M6495" s="1113"/>
      <c r="N6495" s="110"/>
      <c r="O6495" s="1140"/>
      <c r="P6495" s="1115"/>
      <c r="Q6495" s="1116"/>
      <c r="R6495" s="1141"/>
      <c r="S6495" s="1113"/>
      <c r="T6495" s="1143"/>
      <c r="U6495" s="1108"/>
      <c r="V6495" s="1108"/>
      <c r="W6495" s="1108"/>
      <c r="X6495" s="1108"/>
      <c r="Y6495" s="1108"/>
      <c r="Z6495" s="1114"/>
      <c r="AA6495" s="1114"/>
      <c r="AB6495" s="1114"/>
      <c r="AC6495" s="1117"/>
      <c r="AD6495" s="1115"/>
      <c r="AE6495" s="1115"/>
      <c r="AF6495" s="1115"/>
      <c r="AG6495" s="1115"/>
      <c r="AH6495" s="1115"/>
      <c r="AI6495" s="1115"/>
      <c r="AJ6495" s="1117"/>
      <c r="AK6495" s="1118"/>
      <c r="AL6495" s="1115"/>
      <c r="AM6495" s="1115"/>
      <c r="AN6495" s="1115"/>
      <c r="AO6495" s="1115"/>
      <c r="AP6495" s="1115"/>
      <c r="AQ6495" s="1115"/>
      <c r="AR6495" s="1115"/>
      <c r="AS6495" s="1117"/>
      <c r="AT6495" s="1075"/>
      <c r="AU6495" s="1193"/>
      <c r="AV6495" s="330"/>
      <c r="AW6495" s="331"/>
      <c r="AX6495" s="331"/>
      <c r="AY6495" s="331"/>
      <c r="AZ6495" s="331"/>
      <c r="BA6495" s="331"/>
      <c r="BB6495" s="331"/>
      <c r="BC6495" s="331"/>
      <c r="BD6495" s="331"/>
      <c r="BE6495" s="333"/>
      <c r="BF6495" s="330"/>
      <c r="BG6495" s="333"/>
      <c r="BH6495" s="1119"/>
      <c r="BI6495" s="319"/>
      <c r="BJ6495" s="319"/>
      <c r="BK6495" s="319"/>
      <c r="BL6495" s="319"/>
      <c r="BM6495" s="319"/>
      <c r="BN6495" s="319"/>
      <c r="BO6495" s="319"/>
      <c r="BP6495" s="953"/>
      <c r="BQ6495" s="319"/>
      <c r="BR6495" s="319"/>
      <c r="BS6495" s="330"/>
      <c r="BT6495" s="331"/>
      <c r="BU6495" s="920"/>
      <c r="BV6495" s="903"/>
      <c r="BW6495" s="908"/>
      <c r="BX6495" s="908"/>
      <c r="BY6495" s="331"/>
      <c r="BZ6495" s="331"/>
      <c r="CA6495" s="462"/>
      <c r="CB6495" s="319"/>
      <c r="CC6495" s="319"/>
      <c r="CD6495" s="319"/>
      <c r="CE6495" s="319"/>
      <c r="CF6495" s="319"/>
      <c r="CG6495" s="319"/>
      <c r="CH6495" s="318"/>
      <c r="CI6495" s="319"/>
      <c r="CJ6495" s="319"/>
      <c r="CK6495" s="342"/>
      <c r="CL6495" s="333"/>
      <c r="CM6495" s="1079"/>
      <c r="CN6495" s="1005"/>
      <c r="CO6495" s="1005"/>
      <c r="CP6495" s="1005"/>
    </row>
    <row r="6496">
      <c r="A6496" s="1257"/>
      <c r="B6496" s="1113"/>
      <c r="C6496" s="1107"/>
      <c r="D6496" s="103"/>
      <c r="E6496" s="1137"/>
      <c r="F6496" s="112"/>
      <c r="G6496" s="1110"/>
      <c r="H6496" s="1138"/>
      <c r="I6496" s="1138"/>
      <c r="J6496" s="1139"/>
      <c r="K6496" s="1111"/>
      <c r="L6496" s="1112"/>
      <c r="M6496" s="1113"/>
      <c r="N6496" s="110"/>
      <c r="O6496" s="1140"/>
      <c r="P6496" s="1115"/>
      <c r="Q6496" s="1116"/>
      <c r="R6496" s="1141"/>
      <c r="S6496" s="1113"/>
      <c r="T6496" s="1143"/>
      <c r="U6496" s="1108"/>
      <c r="V6496" s="1108"/>
      <c r="W6496" s="1108"/>
      <c r="X6496" s="1108"/>
      <c r="Y6496" s="1108"/>
      <c r="Z6496" s="1114"/>
      <c r="AA6496" s="1114"/>
      <c r="AB6496" s="1114"/>
      <c r="AC6496" s="1117"/>
      <c r="AD6496" s="1115"/>
      <c r="AE6496" s="1115"/>
      <c r="AF6496" s="1115"/>
      <c r="AG6496" s="1115"/>
      <c r="AH6496" s="1115"/>
      <c r="AI6496" s="1115"/>
      <c r="AJ6496" s="1117"/>
      <c r="AK6496" s="1118"/>
      <c r="AL6496" s="1115"/>
      <c r="AM6496" s="1115"/>
      <c r="AN6496" s="1115"/>
      <c r="AO6496" s="1115"/>
      <c r="AP6496" s="1115"/>
      <c r="AQ6496" s="1115"/>
      <c r="AR6496" s="1115"/>
      <c r="AS6496" s="1117"/>
      <c r="AT6496" s="1075"/>
      <c r="AU6496" s="1193"/>
      <c r="AV6496" s="330"/>
      <c r="AW6496" s="331"/>
      <c r="AX6496" s="331"/>
      <c r="AY6496" s="331"/>
      <c r="AZ6496" s="331"/>
      <c r="BA6496" s="331"/>
      <c r="BB6496" s="331"/>
      <c r="BC6496" s="331"/>
      <c r="BD6496" s="331"/>
      <c r="BE6496" s="333"/>
      <c r="BF6496" s="330"/>
      <c r="BG6496" s="333"/>
      <c r="BH6496" s="1119"/>
      <c r="BI6496" s="319"/>
      <c r="BJ6496" s="319"/>
      <c r="BK6496" s="319"/>
      <c r="BL6496" s="319"/>
      <c r="BM6496" s="319"/>
      <c r="BN6496" s="319"/>
      <c r="BO6496" s="319"/>
      <c r="BP6496" s="953"/>
      <c r="BQ6496" s="319"/>
      <c r="BR6496" s="319"/>
      <c r="BS6496" s="330"/>
      <c r="BT6496" s="331"/>
      <c r="BU6496" s="920"/>
      <c r="BV6496" s="903"/>
      <c r="BW6496" s="908"/>
      <c r="BX6496" s="908"/>
      <c r="BY6496" s="331"/>
      <c r="BZ6496" s="331"/>
      <c r="CA6496" s="462"/>
      <c r="CB6496" s="319"/>
      <c r="CC6496" s="319"/>
      <c r="CD6496" s="319"/>
      <c r="CE6496" s="319"/>
      <c r="CF6496" s="319"/>
      <c r="CG6496" s="319"/>
      <c r="CH6496" s="318"/>
      <c r="CI6496" s="319"/>
      <c r="CJ6496" s="319"/>
      <c r="CK6496" s="342"/>
      <c r="CL6496" s="333"/>
      <c r="CM6496" s="1079"/>
      <c r="CN6496" s="1005"/>
      <c r="CO6496" s="1005"/>
      <c r="CP6496" s="1005"/>
    </row>
    <row r="6497">
      <c r="A6497" s="1257"/>
      <c r="B6497" s="1113"/>
      <c r="C6497" s="1107"/>
      <c r="D6497" s="103"/>
      <c r="E6497" s="1137"/>
      <c r="F6497" s="112"/>
      <c r="G6497" s="1110"/>
      <c r="H6497" s="1138"/>
      <c r="I6497" s="1138"/>
      <c r="J6497" s="1139"/>
      <c r="K6497" s="1111"/>
      <c r="L6497" s="1112"/>
      <c r="M6497" s="1113"/>
      <c r="N6497" s="110"/>
      <c r="O6497" s="1140"/>
      <c r="P6497" s="1115"/>
      <c r="Q6497" s="1116"/>
      <c r="R6497" s="1141"/>
      <c r="S6497" s="1113"/>
      <c r="T6497" s="1143"/>
      <c r="U6497" s="1108"/>
      <c r="V6497" s="1108"/>
      <c r="W6497" s="1108"/>
      <c r="X6497" s="1108"/>
      <c r="Y6497" s="1108"/>
      <c r="Z6497" s="1114"/>
      <c r="AA6497" s="1114"/>
      <c r="AB6497" s="1114"/>
      <c r="AC6497" s="1117"/>
      <c r="AD6497" s="1115"/>
      <c r="AE6497" s="1115"/>
      <c r="AF6497" s="1115"/>
      <c r="AG6497" s="1115"/>
      <c r="AH6497" s="1115"/>
      <c r="AI6497" s="1115"/>
      <c r="AJ6497" s="1117"/>
      <c r="AK6497" s="1118"/>
      <c r="AL6497" s="1115"/>
      <c r="AM6497" s="1115"/>
      <c r="AN6497" s="1115"/>
      <c r="AO6497" s="1115"/>
      <c r="AP6497" s="1115"/>
      <c r="AQ6497" s="1115"/>
      <c r="AR6497" s="1115"/>
      <c r="AS6497" s="1117"/>
      <c r="AT6497" s="1075"/>
      <c r="AU6497" s="1193"/>
      <c r="AV6497" s="330"/>
      <c r="AW6497" s="331"/>
      <c r="AX6497" s="331"/>
      <c r="AY6497" s="331"/>
      <c r="AZ6497" s="331"/>
      <c r="BA6497" s="331"/>
      <c r="BB6497" s="331"/>
      <c r="BC6497" s="331"/>
      <c r="BD6497" s="331"/>
      <c r="BE6497" s="333"/>
      <c r="BF6497" s="330"/>
      <c r="BG6497" s="333"/>
      <c r="BH6497" s="1119"/>
      <c r="BI6497" s="319"/>
      <c r="BJ6497" s="319"/>
      <c r="BK6497" s="319"/>
      <c r="BL6497" s="319"/>
      <c r="BM6497" s="319"/>
      <c r="BN6497" s="319"/>
      <c r="BO6497" s="319"/>
      <c r="BP6497" s="953"/>
      <c r="BQ6497" s="319"/>
      <c r="BR6497" s="319"/>
      <c r="BS6497" s="330"/>
      <c r="BT6497" s="331"/>
      <c r="BU6497" s="920"/>
      <c r="BV6497" s="903"/>
      <c r="BW6497" s="908"/>
      <c r="BX6497" s="908"/>
      <c r="BY6497" s="331"/>
      <c r="BZ6497" s="331"/>
      <c r="CA6497" s="462"/>
      <c r="CB6497" s="319"/>
      <c r="CC6497" s="319"/>
      <c r="CD6497" s="319"/>
      <c r="CE6497" s="319"/>
      <c r="CF6497" s="319"/>
      <c r="CG6497" s="319"/>
      <c r="CH6497" s="318"/>
      <c r="CI6497" s="319"/>
      <c r="CJ6497" s="319"/>
      <c r="CK6497" s="342"/>
      <c r="CL6497" s="333"/>
      <c r="CM6497" s="1079"/>
      <c r="CN6497" s="1005"/>
      <c r="CO6497" s="1005"/>
      <c r="CP6497" s="1005"/>
    </row>
    <row r="6498">
      <c r="A6498" s="1257"/>
      <c r="B6498" s="1113"/>
      <c r="C6498" s="1107"/>
      <c r="D6498" s="103"/>
      <c r="E6498" s="1137"/>
      <c r="F6498" s="112"/>
      <c r="G6498" s="1110"/>
      <c r="H6498" s="1138"/>
      <c r="I6498" s="1138"/>
      <c r="J6498" s="1139"/>
      <c r="K6498" s="1111"/>
      <c r="L6498" s="1112"/>
      <c r="M6498" s="1113"/>
      <c r="N6498" s="110"/>
      <c r="O6498" s="1140"/>
      <c r="P6498" s="1115"/>
      <c r="Q6498" s="1116"/>
      <c r="R6498" s="1141"/>
      <c r="S6498" s="1113"/>
      <c r="T6498" s="1143"/>
      <c r="U6498" s="1108"/>
      <c r="V6498" s="1108"/>
      <c r="W6498" s="1108"/>
      <c r="X6498" s="1108"/>
      <c r="Y6498" s="1108"/>
      <c r="Z6498" s="1114"/>
      <c r="AA6498" s="1114"/>
      <c r="AB6498" s="1114"/>
      <c r="AC6498" s="1117"/>
      <c r="AD6498" s="1115"/>
      <c r="AE6498" s="1115"/>
      <c r="AF6498" s="1115"/>
      <c r="AG6498" s="1115"/>
      <c r="AH6498" s="1115"/>
      <c r="AI6498" s="1115"/>
      <c r="AJ6498" s="1117"/>
      <c r="AK6498" s="1118"/>
      <c r="AL6498" s="1115"/>
      <c r="AM6498" s="1115"/>
      <c r="AN6498" s="1115"/>
      <c r="AO6498" s="1115"/>
      <c r="AP6498" s="1115"/>
      <c r="AQ6498" s="1115"/>
      <c r="AR6498" s="1115"/>
      <c r="AS6498" s="1117"/>
      <c r="AT6498" s="1075"/>
      <c r="AU6498" s="1193"/>
      <c r="AV6498" s="330"/>
      <c r="AW6498" s="331"/>
      <c r="AX6498" s="331"/>
      <c r="AY6498" s="331"/>
      <c r="AZ6498" s="331"/>
      <c r="BA6498" s="331"/>
      <c r="BB6498" s="331"/>
      <c r="BC6498" s="331"/>
      <c r="BD6498" s="331"/>
      <c r="BE6498" s="333"/>
      <c r="BF6498" s="330"/>
      <c r="BG6498" s="333"/>
      <c r="BH6498" s="1119"/>
      <c r="BI6498" s="319"/>
      <c r="BJ6498" s="319"/>
      <c r="BK6498" s="319"/>
      <c r="BL6498" s="319"/>
      <c r="BM6498" s="319"/>
      <c r="BN6498" s="319"/>
      <c r="BO6498" s="319"/>
      <c r="BP6498" s="953"/>
      <c r="BQ6498" s="319"/>
      <c r="BR6498" s="319"/>
      <c r="BS6498" s="330"/>
      <c r="BT6498" s="331"/>
      <c r="BU6498" s="920"/>
      <c r="BV6498" s="903"/>
      <c r="BW6498" s="908"/>
      <c r="BX6498" s="908"/>
      <c r="BY6498" s="331"/>
      <c r="BZ6498" s="331"/>
      <c r="CA6498" s="462"/>
      <c r="CB6498" s="319"/>
      <c r="CC6498" s="319"/>
      <c r="CD6498" s="319"/>
      <c r="CE6498" s="319"/>
      <c r="CF6498" s="319"/>
      <c r="CG6498" s="319"/>
      <c r="CH6498" s="318"/>
      <c r="CI6498" s="319"/>
      <c r="CJ6498" s="319"/>
      <c r="CK6498" s="342"/>
      <c r="CL6498" s="333"/>
      <c r="CM6498" s="1079"/>
      <c r="CN6498" s="1005"/>
      <c r="CO6498" s="1005"/>
      <c r="CP6498" s="1005"/>
    </row>
    <row r="6499">
      <c r="A6499" s="1257"/>
      <c r="B6499" s="1113"/>
      <c r="C6499" s="1107"/>
      <c r="D6499" s="103"/>
      <c r="E6499" s="1137"/>
      <c r="F6499" s="112"/>
      <c r="G6499" s="1110"/>
      <c r="H6499" s="1138"/>
      <c r="I6499" s="1138"/>
      <c r="J6499" s="1139"/>
      <c r="K6499" s="1111"/>
      <c r="L6499" s="1112"/>
      <c r="M6499" s="1113"/>
      <c r="N6499" s="110"/>
      <c r="O6499" s="1140"/>
      <c r="P6499" s="1115"/>
      <c r="Q6499" s="1116"/>
      <c r="R6499" s="1141"/>
      <c r="S6499" s="1113"/>
      <c r="T6499" s="1143"/>
      <c r="U6499" s="1108"/>
      <c r="V6499" s="1108"/>
      <c r="W6499" s="1108"/>
      <c r="X6499" s="1108"/>
      <c r="Y6499" s="1108"/>
      <c r="Z6499" s="1114"/>
      <c r="AA6499" s="1114"/>
      <c r="AB6499" s="1114"/>
      <c r="AC6499" s="1117"/>
      <c r="AD6499" s="1115"/>
      <c r="AE6499" s="1115"/>
      <c r="AF6499" s="1115"/>
      <c r="AG6499" s="1115"/>
      <c r="AH6499" s="1115"/>
      <c r="AI6499" s="1115"/>
      <c r="AJ6499" s="1117"/>
      <c r="AK6499" s="1118"/>
      <c r="AL6499" s="1115"/>
      <c r="AM6499" s="1115"/>
      <c r="AN6499" s="1115"/>
      <c r="AO6499" s="1115"/>
      <c r="AP6499" s="1115"/>
      <c r="AQ6499" s="1115"/>
      <c r="AR6499" s="1115"/>
      <c r="AS6499" s="1117"/>
      <c r="AT6499" s="1075"/>
      <c r="AU6499" s="1193"/>
      <c r="AV6499" s="330"/>
      <c r="AW6499" s="331"/>
      <c r="AX6499" s="331"/>
      <c r="AY6499" s="331"/>
      <c r="AZ6499" s="331"/>
      <c r="BA6499" s="331"/>
      <c r="BB6499" s="331"/>
      <c r="BC6499" s="331"/>
      <c r="BD6499" s="331"/>
      <c r="BE6499" s="333"/>
      <c r="BF6499" s="330"/>
      <c r="BG6499" s="333"/>
      <c r="BH6499" s="1119"/>
      <c r="BI6499" s="319"/>
      <c r="BJ6499" s="319"/>
      <c r="BK6499" s="319"/>
      <c r="BL6499" s="319"/>
      <c r="BM6499" s="319"/>
      <c r="BN6499" s="319"/>
      <c r="BO6499" s="319"/>
      <c r="BP6499" s="953"/>
      <c r="BQ6499" s="319"/>
      <c r="BR6499" s="319"/>
      <c r="BS6499" s="330"/>
      <c r="BT6499" s="331"/>
      <c r="BU6499" s="920"/>
      <c r="BV6499" s="903"/>
      <c r="BW6499" s="908"/>
      <c r="BX6499" s="908"/>
      <c r="BY6499" s="331"/>
      <c r="BZ6499" s="331"/>
      <c r="CA6499" s="462"/>
      <c r="CB6499" s="319"/>
      <c r="CC6499" s="319"/>
      <c r="CD6499" s="319"/>
      <c r="CE6499" s="319"/>
      <c r="CF6499" s="319"/>
      <c r="CG6499" s="319"/>
      <c r="CH6499" s="318"/>
      <c r="CI6499" s="319"/>
      <c r="CJ6499" s="319"/>
      <c r="CK6499" s="342"/>
      <c r="CL6499" s="333"/>
      <c r="CM6499" s="1079"/>
      <c r="CN6499" s="1005"/>
      <c r="CO6499" s="1005"/>
      <c r="CP6499" s="1005"/>
    </row>
    <row r="6500">
      <c r="A6500" s="1257"/>
      <c r="B6500" s="1113"/>
      <c r="C6500" s="1107"/>
      <c r="D6500" s="103"/>
      <c r="E6500" s="1137"/>
      <c r="F6500" s="112"/>
      <c r="G6500" s="1110"/>
      <c r="H6500" s="1138"/>
      <c r="I6500" s="1138"/>
      <c r="J6500" s="1139"/>
      <c r="K6500" s="1111"/>
      <c r="L6500" s="1112"/>
      <c r="M6500" s="1113"/>
      <c r="N6500" s="110"/>
      <c r="O6500" s="1140"/>
      <c r="P6500" s="1115"/>
      <c r="Q6500" s="1116"/>
      <c r="R6500" s="1141"/>
      <c r="S6500" s="1113"/>
      <c r="T6500" s="1143"/>
      <c r="U6500" s="1108"/>
      <c r="V6500" s="1108"/>
      <c r="W6500" s="1108"/>
      <c r="X6500" s="1108"/>
      <c r="Y6500" s="1108"/>
      <c r="Z6500" s="1114"/>
      <c r="AA6500" s="1114"/>
      <c r="AB6500" s="1114"/>
      <c r="AC6500" s="1117"/>
      <c r="AD6500" s="1115"/>
      <c r="AE6500" s="1115"/>
      <c r="AF6500" s="1115"/>
      <c r="AG6500" s="1115"/>
      <c r="AH6500" s="1115"/>
      <c r="AI6500" s="1115"/>
      <c r="AJ6500" s="1117"/>
      <c r="AK6500" s="1118"/>
      <c r="AL6500" s="1115"/>
      <c r="AM6500" s="1115"/>
      <c r="AN6500" s="1115"/>
      <c r="AO6500" s="1115"/>
      <c r="AP6500" s="1115"/>
      <c r="AQ6500" s="1115"/>
      <c r="AR6500" s="1115"/>
      <c r="AS6500" s="1117"/>
      <c r="AT6500" s="1075"/>
      <c r="AU6500" s="1193"/>
      <c r="AV6500" s="330"/>
      <c r="AW6500" s="331"/>
      <c r="AX6500" s="331"/>
      <c r="AY6500" s="331"/>
      <c r="AZ6500" s="331"/>
      <c r="BA6500" s="331"/>
      <c r="BB6500" s="331"/>
      <c r="BC6500" s="331"/>
      <c r="BD6500" s="331"/>
      <c r="BE6500" s="333"/>
      <c r="BF6500" s="330"/>
      <c r="BG6500" s="333"/>
      <c r="BH6500" s="1119"/>
      <c r="BI6500" s="319"/>
      <c r="BJ6500" s="319"/>
      <c r="BK6500" s="319"/>
      <c r="BL6500" s="319"/>
      <c r="BM6500" s="319"/>
      <c r="BN6500" s="319"/>
      <c r="BO6500" s="319"/>
      <c r="BP6500" s="953"/>
      <c r="BQ6500" s="319"/>
      <c r="BR6500" s="319"/>
      <c r="BS6500" s="330"/>
      <c r="BT6500" s="331"/>
      <c r="BU6500" s="920"/>
      <c r="BV6500" s="903"/>
      <c r="BW6500" s="908"/>
      <c r="BX6500" s="908"/>
      <c r="BY6500" s="331"/>
      <c r="BZ6500" s="331"/>
      <c r="CA6500" s="462"/>
      <c r="CB6500" s="319"/>
      <c r="CC6500" s="319"/>
      <c r="CD6500" s="319"/>
      <c r="CE6500" s="319"/>
      <c r="CF6500" s="319"/>
      <c r="CG6500" s="319"/>
      <c r="CH6500" s="318"/>
      <c r="CI6500" s="319"/>
      <c r="CJ6500" s="319"/>
      <c r="CK6500" s="342"/>
      <c r="CL6500" s="333"/>
      <c r="CM6500" s="1079"/>
      <c r="CN6500" s="1005"/>
      <c r="CO6500" s="1005"/>
      <c r="CP6500" s="1005"/>
    </row>
    <row r="6501">
      <c r="A6501" s="1257"/>
      <c r="B6501" s="1113"/>
      <c r="C6501" s="1107"/>
      <c r="D6501" s="103"/>
      <c r="E6501" s="1137"/>
      <c r="F6501" s="112"/>
      <c r="G6501" s="1110"/>
      <c r="H6501" s="1138"/>
      <c r="I6501" s="1138"/>
      <c r="J6501" s="1139"/>
      <c r="K6501" s="1111"/>
      <c r="L6501" s="1112"/>
      <c r="M6501" s="1113"/>
      <c r="N6501" s="110"/>
      <c r="O6501" s="1140"/>
      <c r="P6501" s="1115"/>
      <c r="Q6501" s="1116"/>
      <c r="R6501" s="1141"/>
      <c r="S6501" s="1113"/>
      <c r="T6501" s="1143"/>
      <c r="U6501" s="1108"/>
      <c r="V6501" s="1108"/>
      <c r="W6501" s="1108"/>
      <c r="X6501" s="1108"/>
      <c r="Y6501" s="1108"/>
      <c r="Z6501" s="1114"/>
      <c r="AA6501" s="1114"/>
      <c r="AB6501" s="1114"/>
      <c r="AC6501" s="1117"/>
      <c r="AD6501" s="1115"/>
      <c r="AE6501" s="1115"/>
      <c r="AF6501" s="1115"/>
      <c r="AG6501" s="1115"/>
      <c r="AH6501" s="1115"/>
      <c r="AI6501" s="1115"/>
      <c r="AJ6501" s="1117"/>
      <c r="AK6501" s="1118"/>
      <c r="AL6501" s="1115"/>
      <c r="AM6501" s="1115"/>
      <c r="AN6501" s="1115"/>
      <c r="AO6501" s="1115"/>
      <c r="AP6501" s="1115"/>
      <c r="AQ6501" s="1115"/>
      <c r="AR6501" s="1115"/>
      <c r="AS6501" s="1117"/>
      <c r="AT6501" s="1075"/>
      <c r="AU6501" s="1193"/>
      <c r="AV6501" s="330"/>
      <c r="AW6501" s="331"/>
      <c r="AX6501" s="331"/>
      <c r="AY6501" s="331"/>
      <c r="AZ6501" s="331"/>
      <c r="BA6501" s="331"/>
      <c r="BB6501" s="331"/>
      <c r="BC6501" s="331"/>
      <c r="BD6501" s="331"/>
      <c r="BE6501" s="333"/>
      <c r="BF6501" s="330"/>
      <c r="BG6501" s="333"/>
      <c r="BH6501" s="1119"/>
      <c r="BI6501" s="319"/>
      <c r="BJ6501" s="319"/>
      <c r="BK6501" s="319"/>
      <c r="BL6501" s="319"/>
      <c r="BM6501" s="319"/>
      <c r="BN6501" s="319"/>
      <c r="BO6501" s="319"/>
      <c r="BP6501" s="953"/>
      <c r="BQ6501" s="319"/>
      <c r="BR6501" s="319"/>
      <c r="BS6501" s="330"/>
      <c r="BT6501" s="331"/>
      <c r="BU6501" s="920"/>
      <c r="BV6501" s="903"/>
      <c r="BW6501" s="908"/>
      <c r="BX6501" s="908"/>
      <c r="BY6501" s="331"/>
      <c r="BZ6501" s="331"/>
      <c r="CA6501" s="462"/>
      <c r="CB6501" s="319"/>
      <c r="CC6501" s="319"/>
      <c r="CD6501" s="319"/>
      <c r="CE6501" s="319"/>
      <c r="CF6501" s="319"/>
      <c r="CG6501" s="319"/>
      <c r="CH6501" s="318"/>
      <c r="CI6501" s="319"/>
      <c r="CJ6501" s="319"/>
      <c r="CK6501" s="342"/>
      <c r="CL6501" s="333"/>
      <c r="CM6501" s="1079"/>
      <c r="CN6501" s="1005"/>
      <c r="CO6501" s="1005"/>
      <c r="CP6501" s="1005"/>
    </row>
    <row r="6502">
      <c r="A6502" s="1257"/>
      <c r="B6502" s="1113"/>
      <c r="C6502" s="1107"/>
      <c r="D6502" s="103"/>
      <c r="E6502" s="1137"/>
      <c r="F6502" s="112"/>
      <c r="G6502" s="1110"/>
      <c r="H6502" s="1138"/>
      <c r="I6502" s="1138"/>
      <c r="J6502" s="1139"/>
      <c r="K6502" s="1111"/>
      <c r="L6502" s="1112"/>
      <c r="M6502" s="1113"/>
      <c r="N6502" s="110"/>
      <c r="O6502" s="1140"/>
      <c r="P6502" s="1115"/>
      <c r="Q6502" s="1116"/>
      <c r="R6502" s="1141"/>
      <c r="S6502" s="1113"/>
      <c r="T6502" s="1143"/>
      <c r="U6502" s="1108"/>
      <c r="V6502" s="1108"/>
      <c r="W6502" s="1108"/>
      <c r="X6502" s="1108"/>
      <c r="Y6502" s="1108"/>
      <c r="Z6502" s="1114"/>
      <c r="AA6502" s="1114"/>
      <c r="AB6502" s="1114"/>
      <c r="AC6502" s="1117"/>
      <c r="AD6502" s="1115"/>
      <c r="AE6502" s="1115"/>
      <c r="AF6502" s="1115"/>
      <c r="AG6502" s="1115"/>
      <c r="AH6502" s="1115"/>
      <c r="AI6502" s="1115"/>
      <c r="AJ6502" s="1117"/>
      <c r="AK6502" s="1118"/>
      <c r="AL6502" s="1115"/>
      <c r="AM6502" s="1115"/>
      <c r="AN6502" s="1115"/>
      <c r="AO6502" s="1115"/>
      <c r="AP6502" s="1115"/>
      <c r="AQ6502" s="1115"/>
      <c r="AR6502" s="1115"/>
      <c r="AS6502" s="1117"/>
      <c r="AT6502" s="1075"/>
      <c r="AU6502" s="1193"/>
      <c r="AV6502" s="330"/>
      <c r="AW6502" s="331"/>
      <c r="AX6502" s="331"/>
      <c r="AY6502" s="331"/>
      <c r="AZ6502" s="331"/>
      <c r="BA6502" s="331"/>
      <c r="BB6502" s="331"/>
      <c r="BC6502" s="331"/>
      <c r="BD6502" s="331"/>
      <c r="BE6502" s="333"/>
      <c r="BF6502" s="330"/>
      <c r="BG6502" s="333"/>
      <c r="BH6502" s="1119"/>
      <c r="BI6502" s="319"/>
      <c r="BJ6502" s="319"/>
      <c r="BK6502" s="319"/>
      <c r="BL6502" s="319"/>
      <c r="BM6502" s="319"/>
      <c r="BN6502" s="319"/>
      <c r="BO6502" s="319"/>
      <c r="BP6502" s="953"/>
      <c r="BQ6502" s="319"/>
      <c r="BR6502" s="319"/>
      <c r="BS6502" s="330"/>
      <c r="BT6502" s="331"/>
      <c r="BU6502" s="920"/>
      <c r="BV6502" s="903"/>
      <c r="BW6502" s="908"/>
      <c r="BX6502" s="908"/>
      <c r="BY6502" s="331"/>
      <c r="BZ6502" s="331"/>
      <c r="CA6502" s="462"/>
      <c r="CB6502" s="319"/>
      <c r="CC6502" s="319"/>
      <c r="CD6502" s="319"/>
      <c r="CE6502" s="319"/>
      <c r="CF6502" s="319"/>
      <c r="CG6502" s="319"/>
      <c r="CH6502" s="318"/>
      <c r="CI6502" s="319"/>
      <c r="CJ6502" s="319"/>
      <c r="CK6502" s="342"/>
      <c r="CL6502" s="333"/>
      <c r="CM6502" s="1079"/>
      <c r="CN6502" s="1005"/>
      <c r="CO6502" s="1005"/>
      <c r="CP6502" s="1005"/>
    </row>
    <row r="6503">
      <c r="A6503" s="1257"/>
      <c r="B6503" s="1113"/>
      <c r="C6503" s="1107"/>
      <c r="D6503" s="103"/>
      <c r="E6503" s="1137"/>
      <c r="F6503" s="112"/>
      <c r="G6503" s="1110"/>
      <c r="H6503" s="1138"/>
      <c r="I6503" s="1138"/>
      <c r="J6503" s="1139"/>
      <c r="K6503" s="1111"/>
      <c r="L6503" s="1112"/>
      <c r="M6503" s="1113"/>
      <c r="N6503" s="110"/>
      <c r="O6503" s="1140"/>
      <c r="P6503" s="1115"/>
      <c r="Q6503" s="1116"/>
      <c r="R6503" s="1141"/>
      <c r="S6503" s="1113"/>
      <c r="T6503" s="1143"/>
      <c r="U6503" s="1108"/>
      <c r="V6503" s="1108"/>
      <c r="W6503" s="1108"/>
      <c r="X6503" s="1108"/>
      <c r="Y6503" s="1108"/>
      <c r="Z6503" s="1114"/>
      <c r="AA6503" s="1114"/>
      <c r="AB6503" s="1114"/>
      <c r="AC6503" s="1117"/>
      <c r="AD6503" s="1115"/>
      <c r="AE6503" s="1115"/>
      <c r="AF6503" s="1115"/>
      <c r="AG6503" s="1115"/>
      <c r="AH6503" s="1115"/>
      <c r="AI6503" s="1115"/>
      <c r="AJ6503" s="1117"/>
      <c r="AK6503" s="1118"/>
      <c r="AL6503" s="1115"/>
      <c r="AM6503" s="1115"/>
      <c r="AN6503" s="1115"/>
      <c r="AO6503" s="1115"/>
      <c r="AP6503" s="1115"/>
      <c r="AQ6503" s="1115"/>
      <c r="AR6503" s="1115"/>
      <c r="AS6503" s="1117"/>
      <c r="AT6503" s="1075"/>
      <c r="AU6503" s="1193"/>
      <c r="AV6503" s="330"/>
      <c r="AW6503" s="331"/>
      <c r="AX6503" s="331"/>
      <c r="AY6503" s="331"/>
      <c r="AZ6503" s="331"/>
      <c r="BA6503" s="331"/>
      <c r="BB6503" s="331"/>
      <c r="BC6503" s="331"/>
      <c r="BD6503" s="331"/>
      <c r="BE6503" s="333"/>
      <c r="BF6503" s="330"/>
      <c r="BG6503" s="333"/>
      <c r="BH6503" s="1119"/>
      <c r="BI6503" s="319"/>
      <c r="BJ6503" s="319"/>
      <c r="BK6503" s="319"/>
      <c r="BL6503" s="319"/>
      <c r="BM6503" s="319"/>
      <c r="BN6503" s="319"/>
      <c r="BO6503" s="319"/>
      <c r="BP6503" s="953"/>
      <c r="BQ6503" s="319"/>
      <c r="BR6503" s="319"/>
      <c r="BS6503" s="330"/>
      <c r="BT6503" s="331"/>
      <c r="BU6503" s="920"/>
      <c r="BV6503" s="903"/>
      <c r="BW6503" s="908"/>
      <c r="BX6503" s="908"/>
      <c r="BY6503" s="331"/>
      <c r="BZ6503" s="331"/>
      <c r="CA6503" s="462"/>
      <c r="CB6503" s="319"/>
      <c r="CC6503" s="319"/>
      <c r="CD6503" s="319"/>
      <c r="CE6503" s="319"/>
      <c r="CF6503" s="319"/>
      <c r="CG6503" s="319"/>
      <c r="CH6503" s="318"/>
      <c r="CI6503" s="319"/>
      <c r="CJ6503" s="319"/>
      <c r="CK6503" s="342"/>
      <c r="CL6503" s="333"/>
      <c r="CM6503" s="1079"/>
      <c r="CN6503" s="1005"/>
      <c r="CO6503" s="1005"/>
      <c r="CP6503" s="1005"/>
    </row>
    <row r="6504">
      <c r="A6504" s="1257"/>
      <c r="B6504" s="1113"/>
      <c r="C6504" s="1107"/>
      <c r="D6504" s="103"/>
      <c r="E6504" s="1137"/>
      <c r="F6504" s="112"/>
      <c r="G6504" s="1110"/>
      <c r="H6504" s="1138"/>
      <c r="I6504" s="1138"/>
      <c r="J6504" s="1139"/>
      <c r="K6504" s="1111"/>
      <c r="L6504" s="1112"/>
      <c r="M6504" s="1113"/>
      <c r="N6504" s="110"/>
      <c r="O6504" s="1140"/>
      <c r="P6504" s="1115"/>
      <c r="Q6504" s="1116"/>
      <c r="R6504" s="1141"/>
      <c r="S6504" s="1113"/>
      <c r="T6504" s="1143"/>
      <c r="U6504" s="1108"/>
      <c r="V6504" s="1108"/>
      <c r="W6504" s="1108"/>
      <c r="X6504" s="1108"/>
      <c r="Y6504" s="1108"/>
      <c r="Z6504" s="1114"/>
      <c r="AA6504" s="1114"/>
      <c r="AB6504" s="1114"/>
      <c r="AC6504" s="1117"/>
      <c r="AD6504" s="1115"/>
      <c r="AE6504" s="1115"/>
      <c r="AF6504" s="1115"/>
      <c r="AG6504" s="1115"/>
      <c r="AH6504" s="1115"/>
      <c r="AI6504" s="1115"/>
      <c r="AJ6504" s="1117"/>
      <c r="AK6504" s="1118"/>
      <c r="AL6504" s="1115"/>
      <c r="AM6504" s="1115"/>
      <c r="AN6504" s="1115"/>
      <c r="AO6504" s="1115"/>
      <c r="AP6504" s="1115"/>
      <c r="AQ6504" s="1115"/>
      <c r="AR6504" s="1115"/>
      <c r="AS6504" s="1117"/>
      <c r="AT6504" s="1075"/>
      <c r="AU6504" s="1193"/>
      <c r="AV6504" s="330"/>
      <c r="AW6504" s="331"/>
      <c r="AX6504" s="331"/>
      <c r="AY6504" s="331"/>
      <c r="AZ6504" s="331"/>
      <c r="BA6504" s="331"/>
      <c r="BB6504" s="331"/>
      <c r="BC6504" s="331"/>
      <c r="BD6504" s="331"/>
      <c r="BE6504" s="333"/>
      <c r="BF6504" s="330"/>
      <c r="BG6504" s="333"/>
      <c r="BH6504" s="1119"/>
      <c r="BI6504" s="319"/>
      <c r="BJ6504" s="319"/>
      <c r="BK6504" s="319"/>
      <c r="BL6504" s="319"/>
      <c r="BM6504" s="319"/>
      <c r="BN6504" s="319"/>
      <c r="BO6504" s="319"/>
      <c r="BP6504" s="953"/>
      <c r="BQ6504" s="319"/>
      <c r="BR6504" s="319"/>
      <c r="BS6504" s="330"/>
      <c r="BT6504" s="331"/>
      <c r="BU6504" s="920"/>
      <c r="BV6504" s="903"/>
      <c r="BW6504" s="908"/>
      <c r="BX6504" s="908"/>
      <c r="BY6504" s="331"/>
      <c r="BZ6504" s="331"/>
      <c r="CA6504" s="462"/>
      <c r="CB6504" s="319"/>
      <c r="CC6504" s="319"/>
      <c r="CD6504" s="319"/>
      <c r="CE6504" s="319"/>
      <c r="CF6504" s="319"/>
      <c r="CG6504" s="319"/>
      <c r="CH6504" s="318"/>
      <c r="CI6504" s="319"/>
      <c r="CJ6504" s="319"/>
      <c r="CK6504" s="342"/>
      <c r="CL6504" s="333"/>
      <c r="CM6504" s="1079"/>
      <c r="CN6504" s="1005"/>
      <c r="CO6504" s="1005"/>
      <c r="CP6504" s="1005"/>
    </row>
    <row r="6505">
      <c r="A6505" s="1257"/>
      <c r="B6505" s="1113"/>
      <c r="C6505" s="1107"/>
      <c r="D6505" s="103"/>
      <c r="E6505" s="1137"/>
      <c r="F6505" s="112"/>
      <c r="G6505" s="1110"/>
      <c r="H6505" s="1138"/>
      <c r="I6505" s="1138"/>
      <c r="J6505" s="1139"/>
      <c r="K6505" s="1111"/>
      <c r="L6505" s="1112"/>
      <c r="M6505" s="1113"/>
      <c r="N6505" s="110"/>
      <c r="O6505" s="1140"/>
      <c r="P6505" s="1115"/>
      <c r="Q6505" s="1116"/>
      <c r="R6505" s="1141"/>
      <c r="S6505" s="1113"/>
      <c r="T6505" s="1143"/>
      <c r="U6505" s="1108"/>
      <c r="V6505" s="1108"/>
      <c r="W6505" s="1108"/>
      <c r="X6505" s="1108"/>
      <c r="Y6505" s="1108"/>
      <c r="Z6505" s="1114"/>
      <c r="AA6505" s="1114"/>
      <c r="AB6505" s="1114"/>
      <c r="AC6505" s="1117"/>
      <c r="AD6505" s="1115"/>
      <c r="AE6505" s="1115"/>
      <c r="AF6505" s="1115"/>
      <c r="AG6505" s="1115"/>
      <c r="AH6505" s="1115"/>
      <c r="AI6505" s="1115"/>
      <c r="AJ6505" s="1117"/>
      <c r="AK6505" s="1118"/>
      <c r="AL6505" s="1115"/>
      <c r="AM6505" s="1115"/>
      <c r="AN6505" s="1115"/>
      <c r="AO6505" s="1115"/>
      <c r="AP6505" s="1115"/>
      <c r="AQ6505" s="1115"/>
      <c r="AR6505" s="1115"/>
      <c r="AS6505" s="1117"/>
      <c r="AT6505" s="1075"/>
      <c r="AU6505" s="1193"/>
      <c r="AV6505" s="330"/>
      <c r="AW6505" s="331"/>
      <c r="AX6505" s="331"/>
      <c r="AY6505" s="331"/>
      <c r="AZ6505" s="331"/>
      <c r="BA6505" s="331"/>
      <c r="BB6505" s="331"/>
      <c r="BC6505" s="331"/>
      <c r="BD6505" s="331"/>
      <c r="BE6505" s="333"/>
      <c r="BF6505" s="330"/>
      <c r="BG6505" s="333"/>
      <c r="BH6505" s="1119"/>
      <c r="BI6505" s="319"/>
      <c r="BJ6505" s="319"/>
      <c r="BK6505" s="319"/>
      <c r="BL6505" s="319"/>
      <c r="BM6505" s="319"/>
      <c r="BN6505" s="319"/>
      <c r="BO6505" s="319"/>
      <c r="BP6505" s="953"/>
      <c r="BQ6505" s="319"/>
      <c r="BR6505" s="319"/>
      <c r="BS6505" s="330"/>
      <c r="BT6505" s="331"/>
      <c r="BU6505" s="920"/>
      <c r="BV6505" s="903"/>
      <c r="BW6505" s="908"/>
      <c r="BX6505" s="908"/>
      <c r="BY6505" s="331"/>
      <c r="BZ6505" s="331"/>
      <c r="CA6505" s="462"/>
      <c r="CB6505" s="319"/>
      <c r="CC6505" s="319"/>
      <c r="CD6505" s="319"/>
      <c r="CE6505" s="319"/>
      <c r="CF6505" s="319"/>
      <c r="CG6505" s="319"/>
      <c r="CH6505" s="318"/>
      <c r="CI6505" s="319"/>
      <c r="CJ6505" s="319"/>
      <c r="CK6505" s="342"/>
      <c r="CL6505" s="333"/>
      <c r="CM6505" s="1079"/>
      <c r="CN6505" s="1005"/>
      <c r="CO6505" s="1005"/>
      <c r="CP6505" s="1005"/>
    </row>
    <row r="6506">
      <c r="A6506" s="1257"/>
      <c r="B6506" s="1113"/>
      <c r="C6506" s="1107"/>
      <c r="D6506" s="103"/>
      <c r="E6506" s="1137"/>
      <c r="F6506" s="112"/>
      <c r="G6506" s="1110"/>
      <c r="H6506" s="1138"/>
      <c r="I6506" s="1138"/>
      <c r="J6506" s="1139"/>
      <c r="K6506" s="1111"/>
      <c r="L6506" s="1112"/>
      <c r="M6506" s="1113"/>
      <c r="N6506" s="110"/>
      <c r="O6506" s="1140"/>
      <c r="P6506" s="1115"/>
      <c r="Q6506" s="1116"/>
      <c r="R6506" s="1141"/>
      <c r="S6506" s="1113"/>
      <c r="T6506" s="1143"/>
      <c r="U6506" s="1108"/>
      <c r="V6506" s="1108"/>
      <c r="W6506" s="1108"/>
      <c r="X6506" s="1108"/>
      <c r="Y6506" s="1108"/>
      <c r="Z6506" s="1114"/>
      <c r="AA6506" s="1114"/>
      <c r="AB6506" s="1114"/>
      <c r="AC6506" s="1117"/>
      <c r="AD6506" s="1115"/>
      <c r="AE6506" s="1115"/>
      <c r="AF6506" s="1115"/>
      <c r="AG6506" s="1115"/>
      <c r="AH6506" s="1115"/>
      <c r="AI6506" s="1115"/>
      <c r="AJ6506" s="1117"/>
      <c r="AK6506" s="1118"/>
      <c r="AL6506" s="1115"/>
      <c r="AM6506" s="1115"/>
      <c r="AN6506" s="1115"/>
      <c r="AO6506" s="1115"/>
      <c r="AP6506" s="1115"/>
      <c r="AQ6506" s="1115"/>
      <c r="AR6506" s="1115"/>
      <c r="AS6506" s="1117"/>
      <c r="AT6506" s="1075"/>
      <c r="AU6506" s="1193"/>
      <c r="AV6506" s="330"/>
      <c r="AW6506" s="331"/>
      <c r="AX6506" s="331"/>
      <c r="AY6506" s="331"/>
      <c r="AZ6506" s="331"/>
      <c r="BA6506" s="331"/>
      <c r="BB6506" s="331"/>
      <c r="BC6506" s="331"/>
      <c r="BD6506" s="331"/>
      <c r="BE6506" s="333"/>
      <c r="BF6506" s="330"/>
      <c r="BG6506" s="333"/>
      <c r="BH6506" s="1119"/>
      <c r="BI6506" s="319"/>
      <c r="BJ6506" s="319"/>
      <c r="BK6506" s="319"/>
      <c r="BL6506" s="319"/>
      <c r="BM6506" s="319"/>
      <c r="BN6506" s="319"/>
      <c r="BO6506" s="319"/>
      <c r="BP6506" s="953"/>
      <c r="BQ6506" s="319"/>
      <c r="BR6506" s="319"/>
      <c r="BS6506" s="330"/>
      <c r="BT6506" s="331"/>
      <c r="BU6506" s="920"/>
      <c r="BV6506" s="903"/>
      <c r="BW6506" s="908"/>
      <c r="BX6506" s="908"/>
      <c r="BY6506" s="331"/>
      <c r="BZ6506" s="331"/>
      <c r="CA6506" s="462"/>
      <c r="CB6506" s="319"/>
      <c r="CC6506" s="319"/>
      <c r="CD6506" s="319"/>
      <c r="CE6506" s="319"/>
      <c r="CF6506" s="319"/>
      <c r="CG6506" s="319"/>
      <c r="CH6506" s="318"/>
      <c r="CI6506" s="319"/>
      <c r="CJ6506" s="319"/>
      <c r="CK6506" s="342"/>
      <c r="CL6506" s="333"/>
      <c r="CM6506" s="1079"/>
      <c r="CN6506" s="1005"/>
      <c r="CO6506" s="1005"/>
      <c r="CP6506" s="1005"/>
    </row>
    <row r="6507">
      <c r="A6507" s="1257"/>
      <c r="B6507" s="1113"/>
      <c r="C6507" s="1107"/>
      <c r="D6507" s="103"/>
      <c r="E6507" s="1137"/>
      <c r="F6507" s="112"/>
      <c r="G6507" s="1110"/>
      <c r="H6507" s="1138"/>
      <c r="I6507" s="1138"/>
      <c r="J6507" s="1139"/>
      <c r="K6507" s="1111"/>
      <c r="L6507" s="1112"/>
      <c r="M6507" s="1113"/>
      <c r="N6507" s="110"/>
      <c r="O6507" s="1140"/>
      <c r="P6507" s="1115"/>
      <c r="Q6507" s="1116"/>
      <c r="R6507" s="1141"/>
      <c r="S6507" s="1113"/>
      <c r="T6507" s="1143"/>
      <c r="U6507" s="1108"/>
      <c r="V6507" s="1108"/>
      <c r="W6507" s="1108"/>
      <c r="X6507" s="1108"/>
      <c r="Y6507" s="1108"/>
      <c r="Z6507" s="1114"/>
      <c r="AA6507" s="1114"/>
      <c r="AB6507" s="1114"/>
      <c r="AC6507" s="1117"/>
      <c r="AD6507" s="1115"/>
      <c r="AE6507" s="1115"/>
      <c r="AF6507" s="1115"/>
      <c r="AG6507" s="1115"/>
      <c r="AH6507" s="1115"/>
      <c r="AI6507" s="1115"/>
      <c r="AJ6507" s="1117"/>
      <c r="AK6507" s="1118"/>
      <c r="AL6507" s="1115"/>
      <c r="AM6507" s="1115"/>
      <c r="AN6507" s="1115"/>
      <c r="AO6507" s="1115"/>
      <c r="AP6507" s="1115"/>
      <c r="AQ6507" s="1115"/>
      <c r="AR6507" s="1115"/>
      <c r="AS6507" s="1117"/>
      <c r="AT6507" s="1075"/>
      <c r="AU6507" s="1193"/>
      <c r="AV6507" s="330"/>
      <c r="AW6507" s="331"/>
      <c r="AX6507" s="331"/>
      <c r="AY6507" s="331"/>
      <c r="AZ6507" s="331"/>
      <c r="BA6507" s="331"/>
      <c r="BB6507" s="331"/>
      <c r="BC6507" s="331"/>
      <c r="BD6507" s="331"/>
      <c r="BE6507" s="333"/>
      <c r="BF6507" s="330"/>
      <c r="BG6507" s="333"/>
      <c r="BH6507" s="1119"/>
      <c r="BI6507" s="319"/>
      <c r="BJ6507" s="319"/>
      <c r="BK6507" s="319"/>
      <c r="BL6507" s="319"/>
      <c r="BM6507" s="319"/>
      <c r="BN6507" s="319"/>
      <c r="BO6507" s="319"/>
      <c r="BP6507" s="953"/>
      <c r="BQ6507" s="319"/>
      <c r="BR6507" s="319"/>
      <c r="BS6507" s="330"/>
      <c r="BT6507" s="331"/>
      <c r="BU6507" s="920"/>
      <c r="BV6507" s="903"/>
      <c r="BW6507" s="908"/>
      <c r="BX6507" s="908"/>
      <c r="BY6507" s="331"/>
      <c r="BZ6507" s="331"/>
      <c r="CA6507" s="462"/>
      <c r="CB6507" s="319"/>
      <c r="CC6507" s="319"/>
      <c r="CD6507" s="319"/>
      <c r="CE6507" s="319"/>
      <c r="CF6507" s="319"/>
      <c r="CG6507" s="319"/>
      <c r="CH6507" s="318"/>
      <c r="CI6507" s="319"/>
      <c r="CJ6507" s="319"/>
      <c r="CK6507" s="342"/>
      <c r="CL6507" s="333"/>
      <c r="CM6507" s="1079"/>
      <c r="CN6507" s="1005"/>
      <c r="CO6507" s="1005"/>
      <c r="CP6507" s="1005"/>
    </row>
    <row r="6508">
      <c r="A6508" s="1257"/>
      <c r="B6508" s="1113"/>
      <c r="C6508" s="1107"/>
      <c r="D6508" s="103"/>
      <c r="E6508" s="1137"/>
      <c r="F6508" s="112"/>
      <c r="G6508" s="1110"/>
      <c r="H6508" s="1138"/>
      <c r="I6508" s="1138"/>
      <c r="J6508" s="1139"/>
      <c r="K6508" s="1111"/>
      <c r="L6508" s="1112"/>
      <c r="M6508" s="1113"/>
      <c r="N6508" s="110"/>
      <c r="O6508" s="1140"/>
      <c r="P6508" s="1115"/>
      <c r="Q6508" s="1116"/>
      <c r="R6508" s="1141"/>
      <c r="S6508" s="1113"/>
      <c r="T6508" s="1143"/>
      <c r="U6508" s="1108"/>
      <c r="V6508" s="1108"/>
      <c r="W6508" s="1108"/>
      <c r="X6508" s="1108"/>
      <c r="Y6508" s="1108"/>
      <c r="Z6508" s="1114"/>
      <c r="AA6508" s="1114"/>
      <c r="AB6508" s="1114"/>
      <c r="AC6508" s="1117"/>
      <c r="AD6508" s="1115"/>
      <c r="AE6508" s="1115"/>
      <c r="AF6508" s="1115"/>
      <c r="AG6508" s="1115"/>
      <c r="AH6508" s="1115"/>
      <c r="AI6508" s="1115"/>
      <c r="AJ6508" s="1117"/>
      <c r="AK6508" s="1118"/>
      <c r="AL6508" s="1115"/>
      <c r="AM6508" s="1115"/>
      <c r="AN6508" s="1115"/>
      <c r="AO6508" s="1115"/>
      <c r="AP6508" s="1115"/>
      <c r="AQ6508" s="1115"/>
      <c r="AR6508" s="1115"/>
      <c r="AS6508" s="1117"/>
      <c r="AT6508" s="1075"/>
      <c r="AU6508" s="1193"/>
      <c r="AV6508" s="330"/>
      <c r="AW6508" s="331"/>
      <c r="AX6508" s="331"/>
      <c r="AY6508" s="331"/>
      <c r="AZ6508" s="331"/>
      <c r="BA6508" s="331"/>
      <c r="BB6508" s="331"/>
      <c r="BC6508" s="331"/>
      <c r="BD6508" s="331"/>
      <c r="BE6508" s="333"/>
      <c r="BF6508" s="330"/>
      <c r="BG6508" s="333"/>
      <c r="BH6508" s="1119"/>
      <c r="BI6508" s="319"/>
      <c r="BJ6508" s="319"/>
      <c r="BK6508" s="319"/>
      <c r="BL6508" s="319"/>
      <c r="BM6508" s="319"/>
      <c r="BN6508" s="319"/>
      <c r="BO6508" s="319"/>
      <c r="BP6508" s="953"/>
      <c r="BQ6508" s="319"/>
      <c r="BR6508" s="319"/>
      <c r="BS6508" s="330"/>
      <c r="BT6508" s="331"/>
      <c r="BU6508" s="920"/>
      <c r="BV6508" s="903"/>
      <c r="BW6508" s="908"/>
      <c r="BX6508" s="908"/>
      <c r="BY6508" s="331"/>
      <c r="BZ6508" s="331"/>
      <c r="CA6508" s="462"/>
      <c r="CB6508" s="319"/>
      <c r="CC6508" s="319"/>
      <c r="CD6508" s="319"/>
      <c r="CE6508" s="319"/>
      <c r="CF6508" s="319"/>
      <c r="CG6508" s="319"/>
      <c r="CH6508" s="318"/>
      <c r="CI6508" s="319"/>
      <c r="CJ6508" s="319"/>
      <c r="CK6508" s="342"/>
      <c r="CL6508" s="333"/>
      <c r="CM6508" s="1079"/>
      <c r="CN6508" s="1005"/>
      <c r="CO6508" s="1005"/>
      <c r="CP6508" s="1005"/>
    </row>
    <row r="6509">
      <c r="A6509" s="1257"/>
      <c r="B6509" s="1113"/>
      <c r="C6509" s="1107"/>
      <c r="D6509" s="103"/>
      <c r="E6509" s="1137"/>
      <c r="F6509" s="112"/>
      <c r="G6509" s="1110"/>
      <c r="H6509" s="1138"/>
      <c r="I6509" s="1138"/>
      <c r="J6509" s="1139"/>
      <c r="K6509" s="1111"/>
      <c r="L6509" s="1112"/>
      <c r="M6509" s="1113"/>
      <c r="N6509" s="110"/>
      <c r="O6509" s="1140"/>
      <c r="P6509" s="1115"/>
      <c r="Q6509" s="1116"/>
      <c r="R6509" s="1141"/>
      <c r="S6509" s="1113"/>
      <c r="T6509" s="1143"/>
      <c r="U6509" s="1108"/>
      <c r="V6509" s="1108"/>
      <c r="W6509" s="1108"/>
      <c r="X6509" s="1108"/>
      <c r="Y6509" s="1108"/>
      <c r="Z6509" s="1114"/>
      <c r="AA6509" s="1114"/>
      <c r="AB6509" s="1114"/>
      <c r="AC6509" s="1117"/>
      <c r="AD6509" s="1115"/>
      <c r="AE6509" s="1115"/>
      <c r="AF6509" s="1115"/>
      <c r="AG6509" s="1115"/>
      <c r="AH6509" s="1115"/>
      <c r="AI6509" s="1115"/>
      <c r="AJ6509" s="1117"/>
      <c r="AK6509" s="1118"/>
      <c r="AL6509" s="1115"/>
      <c r="AM6509" s="1115"/>
      <c r="AN6509" s="1115"/>
      <c r="AO6509" s="1115"/>
      <c r="AP6509" s="1115"/>
      <c r="AQ6509" s="1115"/>
      <c r="AR6509" s="1115"/>
      <c r="AS6509" s="1117"/>
      <c r="AT6509" s="1075"/>
      <c r="AU6509" s="1193"/>
      <c r="AV6509" s="330"/>
      <c r="AW6509" s="331"/>
      <c r="AX6509" s="331"/>
      <c r="AY6509" s="331"/>
      <c r="AZ6509" s="331"/>
      <c r="BA6509" s="331"/>
      <c r="BB6509" s="331"/>
      <c r="BC6509" s="331"/>
      <c r="BD6509" s="331"/>
      <c r="BE6509" s="333"/>
      <c r="BF6509" s="330"/>
      <c r="BG6509" s="333"/>
      <c r="BH6509" s="1119"/>
      <c r="BI6509" s="319"/>
      <c r="BJ6509" s="319"/>
      <c r="BK6509" s="319"/>
      <c r="BL6509" s="319"/>
      <c r="BM6509" s="319"/>
      <c r="BN6509" s="319"/>
      <c r="BO6509" s="319"/>
      <c r="BP6509" s="953"/>
      <c r="BQ6509" s="319"/>
      <c r="BR6509" s="319"/>
      <c r="BS6509" s="330"/>
      <c r="BT6509" s="331"/>
      <c r="BU6509" s="920"/>
      <c r="BV6509" s="903"/>
      <c r="BW6509" s="908"/>
      <c r="BX6509" s="908"/>
      <c r="BY6509" s="331"/>
      <c r="BZ6509" s="331"/>
      <c r="CA6509" s="462"/>
      <c r="CB6509" s="319"/>
      <c r="CC6509" s="319"/>
      <c r="CD6509" s="319"/>
      <c r="CE6509" s="319"/>
      <c r="CF6509" s="319"/>
      <c r="CG6509" s="319"/>
      <c r="CH6509" s="318"/>
      <c r="CI6509" s="319"/>
      <c r="CJ6509" s="319"/>
      <c r="CK6509" s="342"/>
      <c r="CL6509" s="333"/>
      <c r="CM6509" s="1079"/>
      <c r="CN6509" s="1005"/>
      <c r="CO6509" s="1005"/>
      <c r="CP6509" s="1005"/>
    </row>
    <row r="6510">
      <c r="A6510" s="1257"/>
      <c r="B6510" s="1113"/>
      <c r="C6510" s="1107"/>
      <c r="D6510" s="103"/>
      <c r="E6510" s="1137"/>
      <c r="F6510" s="112"/>
      <c r="G6510" s="1110"/>
      <c r="H6510" s="1138"/>
      <c r="I6510" s="1138"/>
      <c r="J6510" s="1139"/>
      <c r="K6510" s="1111"/>
      <c r="L6510" s="1112"/>
      <c r="M6510" s="1113"/>
      <c r="N6510" s="110"/>
      <c r="O6510" s="1140"/>
      <c r="P6510" s="1115"/>
      <c r="Q6510" s="1116"/>
      <c r="R6510" s="1141"/>
      <c r="S6510" s="1113"/>
      <c r="T6510" s="1143"/>
      <c r="U6510" s="1108"/>
      <c r="V6510" s="1108"/>
      <c r="W6510" s="1108"/>
      <c r="X6510" s="1108"/>
      <c r="Y6510" s="1108"/>
      <c r="Z6510" s="1114"/>
      <c r="AA6510" s="1114"/>
      <c r="AB6510" s="1114"/>
      <c r="AC6510" s="1117"/>
      <c r="AD6510" s="1115"/>
      <c r="AE6510" s="1115"/>
      <c r="AF6510" s="1115"/>
      <c r="AG6510" s="1115"/>
      <c r="AH6510" s="1115"/>
      <c r="AI6510" s="1115"/>
      <c r="AJ6510" s="1117"/>
      <c r="AK6510" s="1118"/>
      <c r="AL6510" s="1115"/>
      <c r="AM6510" s="1115"/>
      <c r="AN6510" s="1115"/>
      <c r="AO6510" s="1115"/>
      <c r="AP6510" s="1115"/>
      <c r="AQ6510" s="1115"/>
      <c r="AR6510" s="1115"/>
      <c r="AS6510" s="1117"/>
      <c r="AT6510" s="1075"/>
      <c r="AU6510" s="1193"/>
      <c r="AV6510" s="330"/>
      <c r="AW6510" s="331"/>
      <c r="AX6510" s="331"/>
      <c r="AY6510" s="331"/>
      <c r="AZ6510" s="331"/>
      <c r="BA6510" s="331"/>
      <c r="BB6510" s="331"/>
      <c r="BC6510" s="331"/>
      <c r="BD6510" s="331"/>
      <c r="BE6510" s="333"/>
      <c r="BF6510" s="330"/>
      <c r="BG6510" s="333"/>
      <c r="BH6510" s="1119"/>
      <c r="BI6510" s="319"/>
      <c r="BJ6510" s="319"/>
      <c r="BK6510" s="319"/>
      <c r="BL6510" s="319"/>
      <c r="BM6510" s="319"/>
      <c r="BN6510" s="319"/>
      <c r="BO6510" s="319"/>
      <c r="BP6510" s="953"/>
      <c r="BQ6510" s="319"/>
      <c r="BR6510" s="319"/>
      <c r="BS6510" s="330"/>
      <c r="BT6510" s="331"/>
      <c r="BU6510" s="920"/>
      <c r="BV6510" s="903"/>
      <c r="BW6510" s="908"/>
      <c r="BX6510" s="908"/>
      <c r="BY6510" s="331"/>
      <c r="BZ6510" s="331"/>
      <c r="CA6510" s="462"/>
      <c r="CB6510" s="319"/>
      <c r="CC6510" s="319"/>
      <c r="CD6510" s="319"/>
      <c r="CE6510" s="319"/>
      <c r="CF6510" s="319"/>
      <c r="CG6510" s="319"/>
      <c r="CH6510" s="318"/>
      <c r="CI6510" s="319"/>
      <c r="CJ6510" s="319"/>
      <c r="CK6510" s="342"/>
      <c r="CL6510" s="333"/>
      <c r="CM6510" s="1079"/>
      <c r="CN6510" s="1005"/>
      <c r="CO6510" s="1005"/>
      <c r="CP6510" s="1005"/>
    </row>
    <row r="6511">
      <c r="A6511" s="1257"/>
      <c r="B6511" s="1113"/>
      <c r="C6511" s="1107"/>
      <c r="D6511" s="103"/>
      <c r="E6511" s="1137"/>
      <c r="F6511" s="112"/>
      <c r="G6511" s="1110"/>
      <c r="H6511" s="1138"/>
      <c r="I6511" s="1138"/>
      <c r="J6511" s="1139"/>
      <c r="K6511" s="1111"/>
      <c r="L6511" s="1112"/>
      <c r="M6511" s="1113"/>
      <c r="N6511" s="110"/>
      <c r="O6511" s="1140"/>
      <c r="P6511" s="1115"/>
      <c r="Q6511" s="1116"/>
      <c r="R6511" s="1141"/>
      <c r="S6511" s="1113"/>
      <c r="T6511" s="1143"/>
      <c r="U6511" s="1108"/>
      <c r="V6511" s="1108"/>
      <c r="W6511" s="1108"/>
      <c r="X6511" s="1108"/>
      <c r="Y6511" s="1108"/>
      <c r="Z6511" s="1114"/>
      <c r="AA6511" s="1114"/>
      <c r="AB6511" s="1114"/>
      <c r="AC6511" s="1117"/>
      <c r="AD6511" s="1115"/>
      <c r="AE6511" s="1115"/>
      <c r="AF6511" s="1115"/>
      <c r="AG6511" s="1115"/>
      <c r="AH6511" s="1115"/>
      <c r="AI6511" s="1115"/>
      <c r="AJ6511" s="1117"/>
      <c r="AK6511" s="1118"/>
      <c r="AL6511" s="1115"/>
      <c r="AM6511" s="1115"/>
      <c r="AN6511" s="1115"/>
      <c r="AO6511" s="1115"/>
      <c r="AP6511" s="1115"/>
      <c r="AQ6511" s="1115"/>
      <c r="AR6511" s="1115"/>
      <c r="AS6511" s="1117"/>
      <c r="AT6511" s="1075"/>
      <c r="AU6511" s="1193"/>
      <c r="AV6511" s="330"/>
      <c r="AW6511" s="331"/>
      <c r="AX6511" s="331"/>
      <c r="AY6511" s="331"/>
      <c r="AZ6511" s="331"/>
      <c r="BA6511" s="331"/>
      <c r="BB6511" s="331"/>
      <c r="BC6511" s="331"/>
      <c r="BD6511" s="331"/>
      <c r="BE6511" s="333"/>
      <c r="BF6511" s="330"/>
      <c r="BG6511" s="333"/>
      <c r="BH6511" s="1119"/>
      <c r="BI6511" s="319"/>
      <c r="BJ6511" s="319"/>
      <c r="BK6511" s="319"/>
      <c r="BL6511" s="319"/>
      <c r="BM6511" s="319"/>
      <c r="BN6511" s="319"/>
      <c r="BO6511" s="319"/>
      <c r="BP6511" s="953"/>
      <c r="BQ6511" s="319"/>
      <c r="BR6511" s="319"/>
      <c r="BS6511" s="330"/>
      <c r="BT6511" s="331"/>
      <c r="BU6511" s="920"/>
      <c r="BV6511" s="903"/>
      <c r="BW6511" s="908"/>
      <c r="BX6511" s="908"/>
      <c r="BY6511" s="331"/>
      <c r="BZ6511" s="331"/>
      <c r="CA6511" s="462"/>
      <c r="CB6511" s="319"/>
      <c r="CC6511" s="319"/>
      <c r="CD6511" s="319"/>
      <c r="CE6511" s="319"/>
      <c r="CF6511" s="319"/>
      <c r="CG6511" s="319"/>
      <c r="CH6511" s="318"/>
      <c r="CI6511" s="319"/>
      <c r="CJ6511" s="319"/>
      <c r="CK6511" s="342"/>
      <c r="CL6511" s="333"/>
      <c r="CM6511" s="1079"/>
      <c r="CN6511" s="1005"/>
      <c r="CO6511" s="1005"/>
      <c r="CP6511" s="1005"/>
    </row>
    <row r="6512">
      <c r="A6512" s="1257"/>
      <c r="B6512" s="1113"/>
      <c r="C6512" s="1107"/>
      <c r="D6512" s="103"/>
      <c r="E6512" s="1137"/>
      <c r="F6512" s="112"/>
      <c r="G6512" s="1110"/>
      <c r="H6512" s="1138"/>
      <c r="I6512" s="1138"/>
      <c r="J6512" s="1139"/>
      <c r="K6512" s="1111"/>
      <c r="L6512" s="1112"/>
      <c r="M6512" s="1113"/>
      <c r="N6512" s="110"/>
      <c r="O6512" s="1140"/>
      <c r="P6512" s="1115"/>
      <c r="Q6512" s="1116"/>
      <c r="R6512" s="1141"/>
      <c r="S6512" s="1113"/>
      <c r="T6512" s="1143"/>
      <c r="U6512" s="1108"/>
      <c r="V6512" s="1108"/>
      <c r="W6512" s="1108"/>
      <c r="X6512" s="1108"/>
      <c r="Y6512" s="1108"/>
      <c r="Z6512" s="1114"/>
      <c r="AA6512" s="1114"/>
      <c r="AB6512" s="1114"/>
      <c r="AC6512" s="1117"/>
      <c r="AD6512" s="1115"/>
      <c r="AE6512" s="1115"/>
      <c r="AF6512" s="1115"/>
      <c r="AG6512" s="1115"/>
      <c r="AH6512" s="1115"/>
      <c r="AI6512" s="1115"/>
      <c r="AJ6512" s="1117"/>
      <c r="AK6512" s="1118"/>
      <c r="AL6512" s="1115"/>
      <c r="AM6512" s="1115"/>
      <c r="AN6512" s="1115"/>
      <c r="AO6512" s="1115"/>
      <c r="AP6512" s="1115"/>
      <c r="AQ6512" s="1115"/>
      <c r="AR6512" s="1115"/>
      <c r="AS6512" s="1117"/>
      <c r="AT6512" s="1075"/>
      <c r="AU6512" s="1193"/>
      <c r="AV6512" s="330"/>
      <c r="AW6512" s="331"/>
      <c r="AX6512" s="331"/>
      <c r="AY6512" s="331"/>
      <c r="AZ6512" s="331"/>
      <c r="BA6512" s="331"/>
      <c r="BB6512" s="331"/>
      <c r="BC6512" s="331"/>
      <c r="BD6512" s="331"/>
      <c r="BE6512" s="333"/>
      <c r="BF6512" s="330"/>
      <c r="BG6512" s="333"/>
      <c r="BH6512" s="1119"/>
      <c r="BI6512" s="319"/>
      <c r="BJ6512" s="319"/>
      <c r="BK6512" s="319"/>
      <c r="BL6512" s="319"/>
      <c r="BM6512" s="319"/>
      <c r="BN6512" s="319"/>
      <c r="BO6512" s="319"/>
      <c r="BP6512" s="953"/>
      <c r="BQ6512" s="319"/>
      <c r="BR6512" s="319"/>
      <c r="BS6512" s="330"/>
      <c r="BT6512" s="331"/>
      <c r="BU6512" s="920"/>
      <c r="BV6512" s="903"/>
      <c r="BW6512" s="908"/>
      <c r="BX6512" s="908"/>
      <c r="BY6512" s="331"/>
      <c r="BZ6512" s="331"/>
      <c r="CA6512" s="462"/>
      <c r="CB6512" s="319"/>
      <c r="CC6512" s="319"/>
      <c r="CD6512" s="319"/>
      <c r="CE6512" s="319"/>
      <c r="CF6512" s="319"/>
      <c r="CG6512" s="319"/>
      <c r="CH6512" s="318"/>
      <c r="CI6512" s="319"/>
      <c r="CJ6512" s="319"/>
      <c r="CK6512" s="342"/>
      <c r="CL6512" s="333"/>
      <c r="CM6512" s="1079"/>
      <c r="CN6512" s="1005"/>
      <c r="CO6512" s="1005"/>
      <c r="CP6512" s="1005"/>
    </row>
    <row r="6513">
      <c r="A6513" s="1257"/>
      <c r="B6513" s="1113"/>
      <c r="C6513" s="1107"/>
      <c r="D6513" s="103"/>
      <c r="E6513" s="1137"/>
      <c r="F6513" s="112"/>
      <c r="G6513" s="1110"/>
      <c r="H6513" s="1138"/>
      <c r="I6513" s="1138"/>
      <c r="J6513" s="1139"/>
      <c r="K6513" s="1111"/>
      <c r="L6513" s="1112"/>
      <c r="M6513" s="1113"/>
      <c r="N6513" s="110"/>
      <c r="O6513" s="1140"/>
      <c r="P6513" s="1115"/>
      <c r="Q6513" s="1116"/>
      <c r="R6513" s="1141"/>
      <c r="S6513" s="1113"/>
      <c r="T6513" s="1143"/>
      <c r="U6513" s="1108"/>
      <c r="V6513" s="1108"/>
      <c r="W6513" s="1108"/>
      <c r="X6513" s="1108"/>
      <c r="Y6513" s="1108"/>
      <c r="Z6513" s="1114"/>
      <c r="AA6513" s="1114"/>
      <c r="AB6513" s="1114"/>
      <c r="AC6513" s="1117"/>
      <c r="AD6513" s="1115"/>
      <c r="AE6513" s="1115"/>
      <c r="AF6513" s="1115"/>
      <c r="AG6513" s="1115"/>
      <c r="AH6513" s="1115"/>
      <c r="AI6513" s="1115"/>
      <c r="AJ6513" s="1117"/>
      <c r="AK6513" s="1118"/>
      <c r="AL6513" s="1115"/>
      <c r="AM6513" s="1115"/>
      <c r="AN6513" s="1115"/>
      <c r="AO6513" s="1115"/>
      <c r="AP6513" s="1115"/>
      <c r="AQ6513" s="1115"/>
      <c r="AR6513" s="1115"/>
      <c r="AS6513" s="1117"/>
      <c r="AT6513" s="1075"/>
      <c r="AU6513" s="1193"/>
      <c r="AV6513" s="330"/>
      <c r="AW6513" s="331"/>
      <c r="AX6513" s="331"/>
      <c r="AY6513" s="331"/>
      <c r="AZ6513" s="331"/>
      <c r="BA6513" s="331"/>
      <c r="BB6513" s="331"/>
      <c r="BC6513" s="331"/>
      <c r="BD6513" s="331"/>
      <c r="BE6513" s="333"/>
      <c r="BF6513" s="330"/>
      <c r="BG6513" s="333"/>
      <c r="BH6513" s="1119"/>
      <c r="BI6513" s="319"/>
      <c r="BJ6513" s="319"/>
      <c r="BK6513" s="319"/>
      <c r="BL6513" s="319"/>
      <c r="BM6513" s="319"/>
      <c r="BN6513" s="319"/>
      <c r="BO6513" s="319"/>
      <c r="BP6513" s="953"/>
      <c r="BQ6513" s="319"/>
      <c r="BR6513" s="319"/>
      <c r="BS6513" s="330"/>
      <c r="BT6513" s="331"/>
      <c r="BU6513" s="920"/>
      <c r="BV6513" s="903"/>
      <c r="BW6513" s="908"/>
      <c r="BX6513" s="908"/>
      <c r="BY6513" s="331"/>
      <c r="BZ6513" s="331"/>
      <c r="CA6513" s="462"/>
      <c r="CB6513" s="319"/>
      <c r="CC6513" s="319"/>
      <c r="CD6513" s="319"/>
      <c r="CE6513" s="319"/>
      <c r="CF6513" s="319"/>
      <c r="CG6513" s="319"/>
      <c r="CH6513" s="318"/>
      <c r="CI6513" s="319"/>
      <c r="CJ6513" s="319"/>
      <c r="CK6513" s="342"/>
      <c r="CL6513" s="333"/>
      <c r="CM6513" s="1079"/>
      <c r="CN6513" s="1005"/>
      <c r="CO6513" s="1005"/>
      <c r="CP6513" s="1005"/>
    </row>
    <row r="6514">
      <c r="A6514" s="1257"/>
      <c r="B6514" s="1113"/>
      <c r="C6514" s="1107"/>
      <c r="D6514" s="103"/>
      <c r="E6514" s="1137"/>
      <c r="F6514" s="112"/>
      <c r="G6514" s="1110"/>
      <c r="H6514" s="1138"/>
      <c r="I6514" s="1138"/>
      <c r="J6514" s="1139"/>
      <c r="K6514" s="1111"/>
      <c r="L6514" s="1112"/>
      <c r="M6514" s="1113"/>
      <c r="N6514" s="110"/>
      <c r="O6514" s="1140"/>
      <c r="P6514" s="1115"/>
      <c r="Q6514" s="1116"/>
      <c r="R6514" s="1141"/>
      <c r="S6514" s="1113"/>
      <c r="T6514" s="1143"/>
      <c r="U6514" s="1108"/>
      <c r="V6514" s="1108"/>
      <c r="W6514" s="1108"/>
      <c r="X6514" s="1108"/>
      <c r="Y6514" s="1108"/>
      <c r="Z6514" s="1114"/>
      <c r="AA6514" s="1114"/>
      <c r="AB6514" s="1114"/>
      <c r="AC6514" s="1117"/>
      <c r="AD6514" s="1115"/>
      <c r="AE6514" s="1115"/>
      <c r="AF6514" s="1115"/>
      <c r="AG6514" s="1115"/>
      <c r="AH6514" s="1115"/>
      <c r="AI6514" s="1115"/>
      <c r="AJ6514" s="1117"/>
      <c r="AK6514" s="1118"/>
      <c r="AL6514" s="1115"/>
      <c r="AM6514" s="1115"/>
      <c r="AN6514" s="1115"/>
      <c r="AO6514" s="1115"/>
      <c r="AP6514" s="1115"/>
      <c r="AQ6514" s="1115"/>
      <c r="AR6514" s="1115"/>
      <c r="AS6514" s="1117"/>
      <c r="AT6514" s="1075"/>
      <c r="AU6514" s="1193"/>
      <c r="AV6514" s="330"/>
      <c r="AW6514" s="331"/>
      <c r="AX6514" s="331"/>
      <c r="AY6514" s="331"/>
      <c r="AZ6514" s="331"/>
      <c r="BA6514" s="331"/>
      <c r="BB6514" s="331"/>
      <c r="BC6514" s="331"/>
      <c r="BD6514" s="331"/>
      <c r="BE6514" s="333"/>
      <c r="BF6514" s="330"/>
      <c r="BG6514" s="333"/>
      <c r="BH6514" s="1119"/>
      <c r="BI6514" s="319"/>
      <c r="BJ6514" s="319"/>
      <c r="BK6514" s="319"/>
      <c r="BL6514" s="319"/>
      <c r="BM6514" s="319"/>
      <c r="BN6514" s="319"/>
      <c r="BO6514" s="319"/>
      <c r="BP6514" s="953"/>
      <c r="BQ6514" s="319"/>
      <c r="BR6514" s="319"/>
      <c r="BS6514" s="330"/>
      <c r="BT6514" s="331"/>
      <c r="BU6514" s="920"/>
      <c r="BV6514" s="903"/>
      <c r="BW6514" s="908"/>
      <c r="BX6514" s="908"/>
      <c r="BY6514" s="331"/>
      <c r="BZ6514" s="331"/>
      <c r="CA6514" s="462"/>
      <c r="CB6514" s="319"/>
      <c r="CC6514" s="319"/>
      <c r="CD6514" s="319"/>
      <c r="CE6514" s="319"/>
      <c r="CF6514" s="319"/>
      <c r="CG6514" s="319"/>
      <c r="CH6514" s="318"/>
      <c r="CI6514" s="319"/>
      <c r="CJ6514" s="319"/>
      <c r="CK6514" s="342"/>
      <c r="CL6514" s="333"/>
      <c r="CM6514" s="1079"/>
      <c r="CN6514" s="1005"/>
      <c r="CO6514" s="1005"/>
      <c r="CP6514" s="1005"/>
    </row>
    <row r="6515">
      <c r="A6515" s="1257"/>
      <c r="B6515" s="1113"/>
      <c r="C6515" s="1107"/>
      <c r="D6515" s="103"/>
      <c r="E6515" s="1137"/>
      <c r="F6515" s="112"/>
      <c r="G6515" s="1110"/>
      <c r="H6515" s="1138"/>
      <c r="I6515" s="1138"/>
      <c r="J6515" s="1139"/>
      <c r="K6515" s="1111"/>
      <c r="L6515" s="1112"/>
      <c r="M6515" s="1113"/>
      <c r="N6515" s="110"/>
      <c r="O6515" s="1140"/>
      <c r="P6515" s="1115"/>
      <c r="Q6515" s="1116"/>
      <c r="R6515" s="1141"/>
      <c r="S6515" s="1113"/>
      <c r="T6515" s="1143"/>
      <c r="U6515" s="1108"/>
      <c r="V6515" s="1108"/>
      <c r="W6515" s="1108"/>
      <c r="X6515" s="1108"/>
      <c r="Y6515" s="1108"/>
      <c r="Z6515" s="1114"/>
      <c r="AA6515" s="1114"/>
      <c r="AB6515" s="1114"/>
      <c r="AC6515" s="1117"/>
      <c r="AD6515" s="1115"/>
      <c r="AE6515" s="1115"/>
      <c r="AF6515" s="1115"/>
      <c r="AG6515" s="1115"/>
      <c r="AH6515" s="1115"/>
      <c r="AI6515" s="1115"/>
      <c r="AJ6515" s="1117"/>
      <c r="AK6515" s="1118"/>
      <c r="AL6515" s="1115"/>
      <c r="AM6515" s="1115"/>
      <c r="AN6515" s="1115"/>
      <c r="AO6515" s="1115"/>
      <c r="AP6515" s="1115"/>
      <c r="AQ6515" s="1115"/>
      <c r="AR6515" s="1115"/>
      <c r="AS6515" s="1117"/>
      <c r="AT6515" s="1075"/>
      <c r="AU6515" s="1193"/>
      <c r="AV6515" s="330"/>
      <c r="AW6515" s="331"/>
      <c r="AX6515" s="331"/>
      <c r="AY6515" s="331"/>
      <c r="AZ6515" s="331"/>
      <c r="BA6515" s="331"/>
      <c r="BB6515" s="331"/>
      <c r="BC6515" s="331"/>
      <c r="BD6515" s="331"/>
      <c r="BE6515" s="333"/>
      <c r="BF6515" s="330"/>
      <c r="BG6515" s="333"/>
      <c r="BH6515" s="1119"/>
      <c r="BI6515" s="319"/>
      <c r="BJ6515" s="319"/>
      <c r="BK6515" s="319"/>
      <c r="BL6515" s="319"/>
      <c r="BM6515" s="319"/>
      <c r="BN6515" s="319"/>
      <c r="BO6515" s="319"/>
      <c r="BP6515" s="953"/>
      <c r="BQ6515" s="319"/>
      <c r="BR6515" s="319"/>
      <c r="BS6515" s="330"/>
      <c r="BT6515" s="331"/>
      <c r="BU6515" s="920"/>
      <c r="BV6515" s="903"/>
      <c r="BW6515" s="908"/>
      <c r="BX6515" s="908"/>
      <c r="BY6515" s="331"/>
      <c r="BZ6515" s="331"/>
      <c r="CA6515" s="462"/>
      <c r="CB6515" s="319"/>
      <c r="CC6515" s="319"/>
      <c r="CD6515" s="319"/>
      <c r="CE6515" s="319"/>
      <c r="CF6515" s="319"/>
      <c r="CG6515" s="319"/>
      <c r="CH6515" s="318"/>
      <c r="CI6515" s="319"/>
      <c r="CJ6515" s="319"/>
      <c r="CK6515" s="342"/>
      <c r="CL6515" s="333"/>
      <c r="CM6515" s="1079"/>
      <c r="CN6515" s="1005"/>
      <c r="CO6515" s="1005"/>
      <c r="CP6515" s="1005"/>
    </row>
    <row r="6516">
      <c r="A6516" s="1257"/>
      <c r="B6516" s="1113"/>
      <c r="C6516" s="1107"/>
      <c r="D6516" s="103"/>
      <c r="E6516" s="1137"/>
      <c r="F6516" s="112"/>
      <c r="G6516" s="1110"/>
      <c r="H6516" s="1138"/>
      <c r="I6516" s="1138"/>
      <c r="J6516" s="1139"/>
      <c r="K6516" s="1111"/>
      <c r="L6516" s="1112"/>
      <c r="M6516" s="1113"/>
      <c r="N6516" s="110"/>
      <c r="O6516" s="1140"/>
      <c r="P6516" s="1115"/>
      <c r="Q6516" s="1116"/>
      <c r="R6516" s="1141"/>
      <c r="S6516" s="1113"/>
      <c r="T6516" s="1143"/>
      <c r="U6516" s="1108"/>
      <c r="V6516" s="1108"/>
      <c r="W6516" s="1108"/>
      <c r="X6516" s="1108"/>
      <c r="Y6516" s="1108"/>
      <c r="Z6516" s="1114"/>
      <c r="AA6516" s="1114"/>
      <c r="AB6516" s="1114"/>
      <c r="AC6516" s="1117"/>
      <c r="AD6516" s="1115"/>
      <c r="AE6516" s="1115"/>
      <c r="AF6516" s="1115"/>
      <c r="AG6516" s="1115"/>
      <c r="AH6516" s="1115"/>
      <c r="AI6516" s="1115"/>
      <c r="AJ6516" s="1117"/>
      <c r="AK6516" s="1118"/>
      <c r="AL6516" s="1115"/>
      <c r="AM6516" s="1115"/>
      <c r="AN6516" s="1115"/>
      <c r="AO6516" s="1115"/>
      <c r="AP6516" s="1115"/>
      <c r="AQ6516" s="1115"/>
      <c r="AR6516" s="1115"/>
      <c r="AS6516" s="1117"/>
      <c r="AT6516" s="1075"/>
      <c r="AU6516" s="1193"/>
      <c r="AV6516" s="330"/>
      <c r="AW6516" s="331"/>
      <c r="AX6516" s="331"/>
      <c r="AY6516" s="331"/>
      <c r="AZ6516" s="331"/>
      <c r="BA6516" s="331"/>
      <c r="BB6516" s="331"/>
      <c r="BC6516" s="331"/>
      <c r="BD6516" s="331"/>
      <c r="BE6516" s="333"/>
      <c r="BF6516" s="330"/>
      <c r="BG6516" s="333"/>
      <c r="BH6516" s="1119"/>
      <c r="BI6516" s="319"/>
      <c r="BJ6516" s="319"/>
      <c r="BK6516" s="319"/>
      <c r="BL6516" s="319"/>
      <c r="BM6516" s="319"/>
      <c r="BN6516" s="319"/>
      <c r="BO6516" s="319"/>
      <c r="BP6516" s="953"/>
      <c r="BQ6516" s="319"/>
      <c r="BR6516" s="319"/>
      <c r="BS6516" s="330"/>
      <c r="BT6516" s="331"/>
      <c r="BU6516" s="920"/>
      <c r="BV6516" s="903"/>
      <c r="BW6516" s="908"/>
      <c r="BX6516" s="908"/>
      <c r="BY6516" s="331"/>
      <c r="BZ6516" s="331"/>
      <c r="CA6516" s="462"/>
      <c r="CB6516" s="319"/>
      <c r="CC6516" s="319"/>
      <c r="CD6516" s="319"/>
      <c r="CE6516" s="319"/>
      <c r="CF6516" s="319"/>
      <c r="CG6516" s="319"/>
      <c r="CH6516" s="318"/>
      <c r="CI6516" s="319"/>
      <c r="CJ6516" s="319"/>
      <c r="CK6516" s="342"/>
      <c r="CL6516" s="333"/>
      <c r="CM6516" s="1079"/>
      <c r="CN6516" s="1005"/>
      <c r="CO6516" s="1005"/>
      <c r="CP6516" s="1005"/>
    </row>
    <row r="6517">
      <c r="A6517" s="1257"/>
      <c r="B6517" s="1113"/>
      <c r="C6517" s="1107"/>
      <c r="D6517" s="103"/>
      <c r="E6517" s="1137"/>
      <c r="F6517" s="112"/>
      <c r="G6517" s="1110"/>
      <c r="H6517" s="1138"/>
      <c r="I6517" s="1138"/>
      <c r="J6517" s="1139"/>
      <c r="K6517" s="1111"/>
      <c r="L6517" s="1112"/>
      <c r="M6517" s="1113"/>
      <c r="N6517" s="110"/>
      <c r="O6517" s="1140"/>
      <c r="P6517" s="1115"/>
      <c r="Q6517" s="1116"/>
      <c r="R6517" s="1141"/>
      <c r="S6517" s="1113"/>
      <c r="T6517" s="1143"/>
      <c r="U6517" s="1108"/>
      <c r="V6517" s="1108"/>
      <c r="W6517" s="1108"/>
      <c r="X6517" s="1108"/>
      <c r="Y6517" s="1108"/>
      <c r="Z6517" s="1114"/>
      <c r="AA6517" s="1114"/>
      <c r="AB6517" s="1114"/>
      <c r="AC6517" s="1117"/>
      <c r="AD6517" s="1115"/>
      <c r="AE6517" s="1115"/>
      <c r="AF6517" s="1115"/>
      <c r="AG6517" s="1115"/>
      <c r="AH6517" s="1115"/>
      <c r="AI6517" s="1115"/>
      <c r="AJ6517" s="1117"/>
      <c r="AK6517" s="1118"/>
      <c r="AL6517" s="1115"/>
      <c r="AM6517" s="1115"/>
      <c r="AN6517" s="1115"/>
      <c r="AO6517" s="1115"/>
      <c r="AP6517" s="1115"/>
      <c r="AQ6517" s="1115"/>
      <c r="AR6517" s="1115"/>
      <c r="AS6517" s="1117"/>
      <c r="AT6517" s="1075"/>
      <c r="AU6517" s="1193"/>
      <c r="AV6517" s="330"/>
      <c r="AW6517" s="331"/>
      <c r="AX6517" s="331"/>
      <c r="AY6517" s="331"/>
      <c r="AZ6517" s="331"/>
      <c r="BA6517" s="331"/>
      <c r="BB6517" s="331"/>
      <c r="BC6517" s="331"/>
      <c r="BD6517" s="331"/>
      <c r="BE6517" s="333"/>
      <c r="BF6517" s="330"/>
      <c r="BG6517" s="333"/>
      <c r="BH6517" s="1119"/>
      <c r="BI6517" s="319"/>
      <c r="BJ6517" s="319"/>
      <c r="BK6517" s="319"/>
      <c r="BL6517" s="319"/>
      <c r="BM6517" s="319"/>
      <c r="BN6517" s="319"/>
      <c r="BO6517" s="319"/>
      <c r="BP6517" s="953"/>
      <c r="BQ6517" s="319"/>
      <c r="BR6517" s="319"/>
      <c r="BS6517" s="330"/>
      <c r="BT6517" s="331"/>
      <c r="BU6517" s="920"/>
      <c r="BV6517" s="903"/>
      <c r="BW6517" s="908"/>
      <c r="BX6517" s="908"/>
      <c r="BY6517" s="331"/>
      <c r="BZ6517" s="331"/>
      <c r="CA6517" s="462"/>
      <c r="CB6517" s="319"/>
      <c r="CC6517" s="319"/>
      <c r="CD6517" s="319"/>
      <c r="CE6517" s="319"/>
      <c r="CF6517" s="319"/>
      <c r="CG6517" s="319"/>
      <c r="CH6517" s="318"/>
      <c r="CI6517" s="319"/>
      <c r="CJ6517" s="319"/>
      <c r="CK6517" s="342"/>
      <c r="CL6517" s="333"/>
      <c r="CM6517" s="1079"/>
      <c r="CN6517" s="1005"/>
      <c r="CO6517" s="1005"/>
      <c r="CP6517" s="1005"/>
    </row>
    <row r="6518">
      <c r="A6518" s="1257"/>
      <c r="B6518" s="1113"/>
      <c r="C6518" s="1107"/>
      <c r="D6518" s="103"/>
      <c r="E6518" s="1137"/>
      <c r="F6518" s="112"/>
      <c r="G6518" s="1110"/>
      <c r="H6518" s="1138"/>
      <c r="I6518" s="1138"/>
      <c r="J6518" s="1139"/>
      <c r="K6518" s="1111"/>
      <c r="L6518" s="1112"/>
      <c r="M6518" s="1113"/>
      <c r="N6518" s="110"/>
      <c r="O6518" s="1140"/>
      <c r="P6518" s="1115"/>
      <c r="Q6518" s="1116"/>
      <c r="R6518" s="1141"/>
      <c r="S6518" s="1113"/>
      <c r="T6518" s="1143"/>
      <c r="U6518" s="1108"/>
      <c r="V6518" s="1108"/>
      <c r="W6518" s="1108"/>
      <c r="X6518" s="1108"/>
      <c r="Y6518" s="1108"/>
      <c r="Z6518" s="1114"/>
      <c r="AA6518" s="1114"/>
      <c r="AB6518" s="1114"/>
      <c r="AC6518" s="1117"/>
      <c r="AD6518" s="1115"/>
      <c r="AE6518" s="1115"/>
      <c r="AF6518" s="1115"/>
      <c r="AG6518" s="1115"/>
      <c r="AH6518" s="1115"/>
      <c r="AI6518" s="1115"/>
      <c r="AJ6518" s="1117"/>
      <c r="AK6518" s="1118"/>
      <c r="AL6518" s="1115"/>
      <c r="AM6518" s="1115"/>
      <c r="AN6518" s="1115"/>
      <c r="AO6518" s="1115"/>
      <c r="AP6518" s="1115"/>
      <c r="AQ6518" s="1115"/>
      <c r="AR6518" s="1115"/>
      <c r="AS6518" s="1117"/>
      <c r="AT6518" s="1075"/>
      <c r="AU6518" s="1193"/>
      <c r="AV6518" s="330"/>
      <c r="AW6518" s="331"/>
      <c r="AX6518" s="331"/>
      <c r="AY6518" s="331"/>
      <c r="AZ6518" s="331"/>
      <c r="BA6518" s="331"/>
      <c r="BB6518" s="331"/>
      <c r="BC6518" s="331"/>
      <c r="BD6518" s="331"/>
      <c r="BE6518" s="333"/>
      <c r="BF6518" s="330"/>
      <c r="BG6518" s="333"/>
      <c r="BH6518" s="1119"/>
      <c r="BI6518" s="319"/>
      <c r="BJ6518" s="319"/>
      <c r="BK6518" s="319"/>
      <c r="BL6518" s="319"/>
      <c r="BM6518" s="319"/>
      <c r="BN6518" s="319"/>
      <c r="BO6518" s="319"/>
      <c r="BP6518" s="953"/>
      <c r="BQ6518" s="319"/>
      <c r="BR6518" s="319"/>
      <c r="BS6518" s="330"/>
      <c r="BT6518" s="331"/>
      <c r="BU6518" s="920"/>
      <c r="BV6518" s="903"/>
      <c r="BW6518" s="908"/>
      <c r="BX6518" s="908"/>
      <c r="BY6518" s="331"/>
      <c r="BZ6518" s="331"/>
      <c r="CA6518" s="462"/>
      <c r="CB6518" s="319"/>
      <c r="CC6518" s="319"/>
      <c r="CD6518" s="319"/>
      <c r="CE6518" s="319"/>
      <c r="CF6518" s="319"/>
      <c r="CG6518" s="319"/>
      <c r="CH6518" s="318"/>
      <c r="CI6518" s="319"/>
      <c r="CJ6518" s="319"/>
      <c r="CK6518" s="342"/>
      <c r="CL6518" s="333"/>
      <c r="CM6518" s="1079"/>
      <c r="CN6518" s="1005"/>
      <c r="CO6518" s="1005"/>
      <c r="CP6518" s="1005"/>
    </row>
    <row r="6519">
      <c r="A6519" s="1257"/>
      <c r="B6519" s="1113"/>
      <c r="C6519" s="1107"/>
      <c r="D6519" s="103"/>
      <c r="E6519" s="1137"/>
      <c r="F6519" s="112"/>
      <c r="G6519" s="1110"/>
      <c r="H6519" s="1138"/>
      <c r="I6519" s="1138"/>
      <c r="J6519" s="1139"/>
      <c r="K6519" s="1111"/>
      <c r="L6519" s="1112"/>
      <c r="M6519" s="1113"/>
      <c r="N6519" s="110"/>
      <c r="O6519" s="1140"/>
      <c r="P6519" s="1115"/>
      <c r="Q6519" s="1116"/>
      <c r="R6519" s="1141"/>
      <c r="S6519" s="1113"/>
      <c r="T6519" s="1143"/>
      <c r="U6519" s="1108"/>
      <c r="V6519" s="1108"/>
      <c r="W6519" s="1108"/>
      <c r="X6519" s="1108"/>
      <c r="Y6519" s="1108"/>
      <c r="Z6519" s="1114"/>
      <c r="AA6519" s="1114"/>
      <c r="AB6519" s="1114"/>
      <c r="AC6519" s="1117"/>
      <c r="AD6519" s="1115"/>
      <c r="AE6519" s="1115"/>
      <c r="AF6519" s="1115"/>
      <c r="AG6519" s="1115"/>
      <c r="AH6519" s="1115"/>
      <c r="AI6519" s="1115"/>
      <c r="AJ6519" s="1117"/>
      <c r="AK6519" s="1118"/>
      <c r="AL6519" s="1115"/>
      <c r="AM6519" s="1115"/>
      <c r="AN6519" s="1115"/>
      <c r="AO6519" s="1115"/>
      <c r="AP6519" s="1115"/>
      <c r="AQ6519" s="1115"/>
      <c r="AR6519" s="1115"/>
      <c r="AS6519" s="1117"/>
      <c r="AT6519" s="1075"/>
      <c r="AU6519" s="1193"/>
      <c r="AV6519" s="330"/>
      <c r="AW6519" s="331"/>
      <c r="AX6519" s="331"/>
      <c r="AY6519" s="331"/>
      <c r="AZ6519" s="331"/>
      <c r="BA6519" s="331"/>
      <c r="BB6519" s="331"/>
      <c r="BC6519" s="331"/>
      <c r="BD6519" s="331"/>
      <c r="BE6519" s="333"/>
      <c r="BF6519" s="330"/>
      <c r="BG6519" s="333"/>
      <c r="BH6519" s="1119"/>
      <c r="BI6519" s="319"/>
      <c r="BJ6519" s="319"/>
      <c r="BK6519" s="319"/>
      <c r="BL6519" s="319"/>
      <c r="BM6519" s="319"/>
      <c r="BN6519" s="319"/>
      <c r="BO6519" s="319"/>
      <c r="BP6519" s="953"/>
      <c r="BQ6519" s="319"/>
      <c r="BR6519" s="319"/>
      <c r="BS6519" s="330"/>
      <c r="BT6519" s="331"/>
      <c r="BU6519" s="920"/>
      <c r="BV6519" s="903"/>
      <c r="BW6519" s="908"/>
      <c r="BX6519" s="908"/>
      <c r="BY6519" s="331"/>
      <c r="BZ6519" s="331"/>
      <c r="CA6519" s="462"/>
      <c r="CB6519" s="319"/>
      <c r="CC6519" s="319"/>
      <c r="CD6519" s="319"/>
      <c r="CE6519" s="319"/>
      <c r="CF6519" s="319"/>
      <c r="CG6519" s="319"/>
      <c r="CH6519" s="318"/>
      <c r="CI6519" s="319"/>
      <c r="CJ6519" s="319"/>
      <c r="CK6519" s="342"/>
      <c r="CL6519" s="333"/>
      <c r="CM6519" s="1079"/>
      <c r="CN6519" s="1005"/>
      <c r="CO6519" s="1005"/>
      <c r="CP6519" s="1005"/>
    </row>
    <row r="6520">
      <c r="A6520" s="1257"/>
      <c r="B6520" s="1113"/>
      <c r="C6520" s="1107"/>
      <c r="D6520" s="103"/>
      <c r="E6520" s="1137"/>
      <c r="F6520" s="112"/>
      <c r="G6520" s="1110"/>
      <c r="H6520" s="1138"/>
      <c r="I6520" s="1138"/>
      <c r="J6520" s="1139"/>
      <c r="K6520" s="1111"/>
      <c r="L6520" s="1112"/>
      <c r="M6520" s="1113"/>
      <c r="N6520" s="110"/>
      <c r="O6520" s="1140"/>
      <c r="P6520" s="1115"/>
      <c r="Q6520" s="1116"/>
      <c r="R6520" s="1141"/>
      <c r="S6520" s="1113"/>
      <c r="T6520" s="1143"/>
      <c r="U6520" s="1108"/>
      <c r="V6520" s="1108"/>
      <c r="W6520" s="1108"/>
      <c r="X6520" s="1108"/>
      <c r="Y6520" s="1108"/>
      <c r="Z6520" s="1114"/>
      <c r="AA6520" s="1114"/>
      <c r="AB6520" s="1114"/>
      <c r="AC6520" s="1117"/>
      <c r="AD6520" s="1115"/>
      <c r="AE6520" s="1115"/>
      <c r="AF6520" s="1115"/>
      <c r="AG6520" s="1115"/>
      <c r="AH6520" s="1115"/>
      <c r="AI6520" s="1115"/>
      <c r="AJ6520" s="1117"/>
      <c r="AK6520" s="1118"/>
      <c r="AL6520" s="1115"/>
      <c r="AM6520" s="1115"/>
      <c r="AN6520" s="1115"/>
      <c r="AO6520" s="1115"/>
      <c r="AP6520" s="1115"/>
      <c r="AQ6520" s="1115"/>
      <c r="AR6520" s="1115"/>
      <c r="AS6520" s="1117"/>
      <c r="AT6520" s="1075"/>
      <c r="AU6520" s="1193"/>
      <c r="AV6520" s="330"/>
      <c r="AW6520" s="331"/>
      <c r="AX6520" s="331"/>
      <c r="AY6520" s="331"/>
      <c r="AZ6520" s="331"/>
      <c r="BA6520" s="331"/>
      <c r="BB6520" s="331"/>
      <c r="BC6520" s="331"/>
      <c r="BD6520" s="331"/>
      <c r="BE6520" s="333"/>
      <c r="BF6520" s="330"/>
      <c r="BG6520" s="333"/>
      <c r="BH6520" s="1119"/>
      <c r="BI6520" s="319"/>
      <c r="BJ6520" s="319"/>
      <c r="BK6520" s="319"/>
      <c r="BL6520" s="319"/>
      <c r="BM6520" s="319"/>
      <c r="BN6520" s="319"/>
      <c r="BO6520" s="319"/>
      <c r="BP6520" s="953"/>
      <c r="BQ6520" s="319"/>
      <c r="BR6520" s="319"/>
      <c r="BS6520" s="330"/>
      <c r="BT6520" s="331"/>
      <c r="BU6520" s="920"/>
      <c r="BV6520" s="903"/>
      <c r="BW6520" s="908"/>
      <c r="BX6520" s="908"/>
      <c r="BY6520" s="331"/>
      <c r="BZ6520" s="331"/>
      <c r="CA6520" s="462"/>
      <c r="CB6520" s="319"/>
      <c r="CC6520" s="319"/>
      <c r="CD6520" s="319"/>
      <c r="CE6520" s="319"/>
      <c r="CF6520" s="319"/>
      <c r="CG6520" s="319"/>
      <c r="CH6520" s="318"/>
      <c r="CI6520" s="319"/>
      <c r="CJ6520" s="319"/>
      <c r="CK6520" s="342"/>
      <c r="CL6520" s="333"/>
      <c r="CM6520" s="1079"/>
      <c r="CN6520" s="1005"/>
      <c r="CO6520" s="1005"/>
      <c r="CP6520" s="1005"/>
    </row>
    <row r="6521">
      <c r="A6521" s="1257"/>
      <c r="B6521" s="1113"/>
      <c r="C6521" s="1107"/>
      <c r="D6521" s="103"/>
      <c r="E6521" s="1137"/>
      <c r="F6521" s="112"/>
      <c r="G6521" s="1110"/>
      <c r="H6521" s="1138"/>
      <c r="I6521" s="1138"/>
      <c r="J6521" s="1139"/>
      <c r="K6521" s="1111"/>
      <c r="L6521" s="1112"/>
      <c r="M6521" s="1113"/>
      <c r="N6521" s="110"/>
      <c r="O6521" s="1140"/>
      <c r="P6521" s="1115"/>
      <c r="Q6521" s="1116"/>
      <c r="R6521" s="1141"/>
      <c r="S6521" s="1113"/>
      <c r="T6521" s="1143"/>
      <c r="U6521" s="1108"/>
      <c r="V6521" s="1108"/>
      <c r="W6521" s="1108"/>
      <c r="X6521" s="1108"/>
      <c r="Y6521" s="1108"/>
      <c r="Z6521" s="1114"/>
      <c r="AA6521" s="1114"/>
      <c r="AB6521" s="1114"/>
      <c r="AC6521" s="1117"/>
      <c r="AD6521" s="1115"/>
      <c r="AE6521" s="1115"/>
      <c r="AF6521" s="1115"/>
      <c r="AG6521" s="1115"/>
      <c r="AH6521" s="1115"/>
      <c r="AI6521" s="1115"/>
      <c r="AJ6521" s="1117"/>
      <c r="AK6521" s="1118"/>
      <c r="AL6521" s="1115"/>
      <c r="AM6521" s="1115"/>
      <c r="AN6521" s="1115"/>
      <c r="AO6521" s="1115"/>
      <c r="AP6521" s="1115"/>
      <c r="AQ6521" s="1115"/>
      <c r="AR6521" s="1115"/>
      <c r="AS6521" s="1117"/>
      <c r="AT6521" s="1075"/>
      <c r="AU6521" s="1193"/>
      <c r="AV6521" s="330"/>
      <c r="AW6521" s="331"/>
      <c r="AX6521" s="331"/>
      <c r="AY6521" s="331"/>
      <c r="AZ6521" s="331"/>
      <c r="BA6521" s="331"/>
      <c r="BB6521" s="331"/>
      <c r="BC6521" s="331"/>
      <c r="BD6521" s="331"/>
      <c r="BE6521" s="333"/>
      <c r="BF6521" s="330"/>
      <c r="BG6521" s="333"/>
      <c r="BH6521" s="1119"/>
      <c r="BI6521" s="319"/>
      <c r="BJ6521" s="319"/>
      <c r="BK6521" s="319"/>
      <c r="BL6521" s="319"/>
      <c r="BM6521" s="319"/>
      <c r="BN6521" s="319"/>
      <c r="BO6521" s="319"/>
      <c r="BP6521" s="953"/>
      <c r="BQ6521" s="319"/>
      <c r="BR6521" s="319"/>
      <c r="BS6521" s="330"/>
      <c r="BT6521" s="331"/>
      <c r="BU6521" s="920"/>
      <c r="BV6521" s="903"/>
      <c r="BW6521" s="908"/>
      <c r="BX6521" s="908"/>
      <c r="BY6521" s="331"/>
      <c r="BZ6521" s="331"/>
      <c r="CA6521" s="462"/>
      <c r="CB6521" s="319"/>
      <c r="CC6521" s="319"/>
      <c r="CD6521" s="319"/>
      <c r="CE6521" s="319"/>
      <c r="CF6521" s="319"/>
      <c r="CG6521" s="319"/>
      <c r="CH6521" s="318"/>
      <c r="CI6521" s="319"/>
      <c r="CJ6521" s="319"/>
      <c r="CK6521" s="342"/>
      <c r="CL6521" s="333"/>
      <c r="CM6521" s="1079"/>
      <c r="CN6521" s="1005"/>
      <c r="CO6521" s="1005"/>
      <c r="CP6521" s="1005"/>
    </row>
    <row r="6522">
      <c r="A6522" s="1257"/>
      <c r="B6522" s="1113"/>
      <c r="C6522" s="1107"/>
      <c r="D6522" s="103"/>
      <c r="E6522" s="1137"/>
      <c r="F6522" s="112"/>
      <c r="G6522" s="1110"/>
      <c r="H6522" s="1138"/>
      <c r="I6522" s="1138"/>
      <c r="J6522" s="1139"/>
      <c r="K6522" s="1111"/>
      <c r="L6522" s="1112"/>
      <c r="M6522" s="1113"/>
      <c r="N6522" s="110"/>
      <c r="O6522" s="1140"/>
      <c r="P6522" s="1115"/>
      <c r="Q6522" s="1116"/>
      <c r="R6522" s="1141"/>
      <c r="S6522" s="1113"/>
      <c r="T6522" s="1143"/>
      <c r="U6522" s="1108"/>
      <c r="V6522" s="1108"/>
      <c r="W6522" s="1108"/>
      <c r="X6522" s="1108"/>
      <c r="Y6522" s="1108"/>
      <c r="Z6522" s="1114"/>
      <c r="AA6522" s="1114"/>
      <c r="AB6522" s="1114"/>
      <c r="AC6522" s="1117"/>
      <c r="AD6522" s="1115"/>
      <c r="AE6522" s="1115"/>
      <c r="AF6522" s="1115"/>
      <c r="AG6522" s="1115"/>
      <c r="AH6522" s="1115"/>
      <c r="AI6522" s="1115"/>
      <c r="AJ6522" s="1117"/>
      <c r="AK6522" s="1118"/>
      <c r="AL6522" s="1115"/>
      <c r="AM6522" s="1115"/>
      <c r="AN6522" s="1115"/>
      <c r="AO6522" s="1115"/>
      <c r="AP6522" s="1115"/>
      <c r="AQ6522" s="1115"/>
      <c r="AR6522" s="1115"/>
      <c r="AS6522" s="1117"/>
      <c r="AT6522" s="1075"/>
      <c r="AU6522" s="1193"/>
      <c r="AV6522" s="330"/>
      <c r="AW6522" s="331"/>
      <c r="AX6522" s="331"/>
      <c r="AY6522" s="331"/>
      <c r="AZ6522" s="331"/>
      <c r="BA6522" s="331"/>
      <c r="BB6522" s="331"/>
      <c r="BC6522" s="331"/>
      <c r="BD6522" s="331"/>
      <c r="BE6522" s="333"/>
      <c r="BF6522" s="330"/>
      <c r="BG6522" s="333"/>
      <c r="BH6522" s="1119"/>
      <c r="BI6522" s="319"/>
      <c r="BJ6522" s="319"/>
      <c r="BK6522" s="319"/>
      <c r="BL6522" s="319"/>
      <c r="BM6522" s="319"/>
      <c r="BN6522" s="319"/>
      <c r="BO6522" s="319"/>
      <c r="BP6522" s="953"/>
      <c r="BQ6522" s="319"/>
      <c r="BR6522" s="319"/>
      <c r="BS6522" s="330"/>
      <c r="BT6522" s="331"/>
      <c r="BU6522" s="920"/>
      <c r="BV6522" s="903"/>
      <c r="BW6522" s="908"/>
      <c r="BX6522" s="908"/>
      <c r="BY6522" s="331"/>
      <c r="BZ6522" s="331"/>
      <c r="CA6522" s="462"/>
      <c r="CB6522" s="319"/>
      <c r="CC6522" s="319"/>
      <c r="CD6522" s="319"/>
      <c r="CE6522" s="319"/>
      <c r="CF6522" s="319"/>
      <c r="CG6522" s="319"/>
      <c r="CH6522" s="318"/>
      <c r="CI6522" s="319"/>
      <c r="CJ6522" s="319"/>
      <c r="CK6522" s="342"/>
      <c r="CL6522" s="333"/>
      <c r="CM6522" s="1079"/>
      <c r="CN6522" s="1005"/>
      <c r="CO6522" s="1005"/>
      <c r="CP6522" s="1005"/>
    </row>
    <row r="6523">
      <c r="A6523" s="1257"/>
      <c r="B6523" s="1113"/>
      <c r="C6523" s="1107"/>
      <c r="D6523" s="103"/>
      <c r="E6523" s="1137"/>
      <c r="F6523" s="112"/>
      <c r="G6523" s="1110"/>
      <c r="H6523" s="1138"/>
      <c r="I6523" s="1138"/>
      <c r="J6523" s="1139"/>
      <c r="K6523" s="1111"/>
      <c r="L6523" s="1112"/>
      <c r="M6523" s="1113"/>
      <c r="N6523" s="110"/>
      <c r="O6523" s="1140"/>
      <c r="P6523" s="1115"/>
      <c r="Q6523" s="1116"/>
      <c r="R6523" s="1141"/>
      <c r="S6523" s="1113"/>
      <c r="T6523" s="1143"/>
      <c r="U6523" s="1108"/>
      <c r="V6523" s="1108"/>
      <c r="W6523" s="1108"/>
      <c r="X6523" s="1108"/>
      <c r="Y6523" s="1108"/>
      <c r="Z6523" s="1114"/>
      <c r="AA6523" s="1114"/>
      <c r="AB6523" s="1114"/>
      <c r="AC6523" s="1117"/>
      <c r="AD6523" s="1115"/>
      <c r="AE6523" s="1115"/>
      <c r="AF6523" s="1115"/>
      <c r="AG6523" s="1115"/>
      <c r="AH6523" s="1115"/>
      <c r="AI6523" s="1115"/>
      <c r="AJ6523" s="1117"/>
      <c r="AK6523" s="1118"/>
      <c r="AL6523" s="1115"/>
      <c r="AM6523" s="1115"/>
      <c r="AN6523" s="1115"/>
      <c r="AO6523" s="1115"/>
      <c r="AP6523" s="1115"/>
      <c r="AQ6523" s="1115"/>
      <c r="AR6523" s="1115"/>
      <c r="AS6523" s="1117"/>
      <c r="AT6523" s="1075"/>
      <c r="AU6523" s="1193"/>
      <c r="AV6523" s="330"/>
      <c r="AW6523" s="331"/>
      <c r="AX6523" s="331"/>
      <c r="AY6523" s="331"/>
      <c r="AZ6523" s="331"/>
      <c r="BA6523" s="331"/>
      <c r="BB6523" s="331"/>
      <c r="BC6523" s="331"/>
      <c r="BD6523" s="331"/>
      <c r="BE6523" s="333"/>
      <c r="BF6523" s="330"/>
      <c r="BG6523" s="333"/>
      <c r="BH6523" s="1119"/>
      <c r="BI6523" s="319"/>
      <c r="BJ6523" s="319"/>
      <c r="BK6523" s="319"/>
      <c r="BL6523" s="319"/>
      <c r="BM6523" s="319"/>
      <c r="BN6523" s="319"/>
      <c r="BO6523" s="319"/>
      <c r="BP6523" s="953"/>
      <c r="BQ6523" s="319"/>
      <c r="BR6523" s="319"/>
      <c r="BS6523" s="330"/>
      <c r="BT6523" s="331"/>
      <c r="BU6523" s="920"/>
      <c r="BV6523" s="903"/>
      <c r="BW6523" s="908"/>
      <c r="BX6523" s="908"/>
      <c r="BY6523" s="331"/>
      <c r="BZ6523" s="331"/>
      <c r="CA6523" s="462"/>
      <c r="CB6523" s="319"/>
      <c r="CC6523" s="319"/>
      <c r="CD6523" s="319"/>
      <c r="CE6523" s="319"/>
      <c r="CF6523" s="319"/>
      <c r="CG6523" s="319"/>
      <c r="CH6523" s="318"/>
      <c r="CI6523" s="319"/>
      <c r="CJ6523" s="319"/>
      <c r="CK6523" s="342"/>
      <c r="CL6523" s="333"/>
      <c r="CM6523" s="1079"/>
      <c r="CN6523" s="1005"/>
      <c r="CO6523" s="1005"/>
      <c r="CP6523" s="1005"/>
    </row>
    <row r="6524">
      <c r="A6524" s="1257"/>
      <c r="B6524" s="1113"/>
      <c r="C6524" s="1107"/>
      <c r="D6524" s="103"/>
      <c r="E6524" s="1137"/>
      <c r="F6524" s="112"/>
      <c r="G6524" s="1110"/>
      <c r="H6524" s="1138"/>
      <c r="I6524" s="1138"/>
      <c r="J6524" s="1139"/>
      <c r="K6524" s="1111"/>
      <c r="L6524" s="1112"/>
      <c r="M6524" s="1113"/>
      <c r="N6524" s="110"/>
      <c r="O6524" s="1140"/>
      <c r="P6524" s="1115"/>
      <c r="Q6524" s="1116"/>
      <c r="R6524" s="1141"/>
      <c r="S6524" s="1113"/>
      <c r="T6524" s="1143"/>
      <c r="U6524" s="1108"/>
      <c r="V6524" s="1108"/>
      <c r="W6524" s="1108"/>
      <c r="X6524" s="1108"/>
      <c r="Y6524" s="1108"/>
      <c r="Z6524" s="1114"/>
      <c r="AA6524" s="1114"/>
      <c r="AB6524" s="1114"/>
      <c r="AC6524" s="1117"/>
      <c r="AD6524" s="1115"/>
      <c r="AE6524" s="1115"/>
      <c r="AF6524" s="1115"/>
      <c r="AG6524" s="1115"/>
      <c r="AH6524" s="1115"/>
      <c r="AI6524" s="1115"/>
      <c r="AJ6524" s="1117"/>
      <c r="AK6524" s="1118"/>
      <c r="AL6524" s="1115"/>
      <c r="AM6524" s="1115"/>
      <c r="AN6524" s="1115"/>
      <c r="AO6524" s="1115"/>
      <c r="AP6524" s="1115"/>
      <c r="AQ6524" s="1115"/>
      <c r="AR6524" s="1115"/>
      <c r="AS6524" s="1117"/>
      <c r="AT6524" s="1075"/>
      <c r="AU6524" s="1193"/>
      <c r="AV6524" s="330"/>
      <c r="AW6524" s="331"/>
      <c r="AX6524" s="331"/>
      <c r="AY6524" s="331"/>
      <c r="AZ6524" s="331"/>
      <c r="BA6524" s="331"/>
      <c r="BB6524" s="331"/>
      <c r="BC6524" s="331"/>
      <c r="BD6524" s="331"/>
      <c r="BE6524" s="333"/>
      <c r="BF6524" s="330"/>
      <c r="BG6524" s="333"/>
      <c r="BH6524" s="1119"/>
      <c r="BI6524" s="319"/>
      <c r="BJ6524" s="319"/>
      <c r="BK6524" s="319"/>
      <c r="BL6524" s="319"/>
      <c r="BM6524" s="319"/>
      <c r="BN6524" s="319"/>
      <c r="BO6524" s="319"/>
      <c r="BP6524" s="953"/>
      <c r="BQ6524" s="319"/>
      <c r="BR6524" s="319"/>
      <c r="BS6524" s="330"/>
      <c r="BT6524" s="331"/>
      <c r="BU6524" s="920"/>
      <c r="BV6524" s="903"/>
      <c r="BW6524" s="908"/>
      <c r="BX6524" s="908"/>
      <c r="BY6524" s="331"/>
      <c r="BZ6524" s="331"/>
      <c r="CA6524" s="462"/>
      <c r="CB6524" s="319"/>
      <c r="CC6524" s="319"/>
      <c r="CD6524" s="319"/>
      <c r="CE6524" s="319"/>
      <c r="CF6524" s="319"/>
      <c r="CG6524" s="319"/>
      <c r="CH6524" s="318"/>
      <c r="CI6524" s="319"/>
      <c r="CJ6524" s="319"/>
      <c r="CK6524" s="342"/>
      <c r="CL6524" s="333"/>
      <c r="CM6524" s="1079"/>
      <c r="CN6524" s="1005"/>
      <c r="CO6524" s="1005"/>
      <c r="CP6524" s="1005"/>
    </row>
    <row r="6525">
      <c r="A6525" s="1257"/>
      <c r="B6525" s="1113"/>
      <c r="C6525" s="1107"/>
      <c r="D6525" s="103"/>
      <c r="E6525" s="1137"/>
      <c r="F6525" s="112"/>
      <c r="G6525" s="1110"/>
      <c r="H6525" s="1138"/>
      <c r="I6525" s="1138"/>
      <c r="J6525" s="1139"/>
      <c r="K6525" s="1111"/>
      <c r="L6525" s="1112"/>
      <c r="M6525" s="1113"/>
      <c r="N6525" s="110"/>
      <c r="O6525" s="1140"/>
      <c r="P6525" s="1115"/>
      <c r="Q6525" s="1116"/>
      <c r="R6525" s="1141"/>
      <c r="S6525" s="1113"/>
      <c r="T6525" s="1143"/>
      <c r="U6525" s="1108"/>
      <c r="V6525" s="1108"/>
      <c r="W6525" s="1108"/>
      <c r="X6525" s="1108"/>
      <c r="Y6525" s="1108"/>
      <c r="Z6525" s="1114"/>
      <c r="AA6525" s="1114"/>
      <c r="AB6525" s="1114"/>
      <c r="AC6525" s="1117"/>
      <c r="AD6525" s="1115"/>
      <c r="AE6525" s="1115"/>
      <c r="AF6525" s="1115"/>
      <c r="AG6525" s="1115"/>
      <c r="AH6525" s="1115"/>
      <c r="AI6525" s="1115"/>
      <c r="AJ6525" s="1117"/>
      <c r="AK6525" s="1118"/>
      <c r="AL6525" s="1115"/>
      <c r="AM6525" s="1115"/>
      <c r="AN6525" s="1115"/>
      <c r="AO6525" s="1115"/>
      <c r="AP6525" s="1115"/>
      <c r="AQ6525" s="1115"/>
      <c r="AR6525" s="1115"/>
      <c r="AS6525" s="1117"/>
      <c r="AT6525" s="1075"/>
      <c r="AU6525" s="1193"/>
      <c r="AV6525" s="330"/>
      <c r="AW6525" s="331"/>
      <c r="AX6525" s="331"/>
      <c r="AY6525" s="331"/>
      <c r="AZ6525" s="331"/>
      <c r="BA6525" s="331"/>
      <c r="BB6525" s="331"/>
      <c r="BC6525" s="331"/>
      <c r="BD6525" s="331"/>
      <c r="BE6525" s="333"/>
      <c r="BF6525" s="330"/>
      <c r="BG6525" s="333"/>
      <c r="BH6525" s="1119"/>
      <c r="BI6525" s="319"/>
      <c r="BJ6525" s="319"/>
      <c r="BK6525" s="319"/>
      <c r="BL6525" s="319"/>
      <c r="BM6525" s="319"/>
      <c r="BN6525" s="319"/>
      <c r="BO6525" s="319"/>
      <c r="BP6525" s="953"/>
      <c r="BQ6525" s="319"/>
      <c r="BR6525" s="319"/>
      <c r="BS6525" s="330"/>
      <c r="BT6525" s="331"/>
      <c r="BU6525" s="920"/>
      <c r="BV6525" s="903"/>
      <c r="BW6525" s="908"/>
      <c r="BX6525" s="908"/>
      <c r="BY6525" s="331"/>
      <c r="BZ6525" s="331"/>
      <c r="CA6525" s="462"/>
      <c r="CB6525" s="319"/>
      <c r="CC6525" s="319"/>
      <c r="CD6525" s="319"/>
      <c r="CE6525" s="319"/>
      <c r="CF6525" s="319"/>
      <c r="CG6525" s="319"/>
      <c r="CH6525" s="318"/>
      <c r="CI6525" s="319"/>
      <c r="CJ6525" s="319"/>
      <c r="CK6525" s="342"/>
      <c r="CL6525" s="333"/>
      <c r="CM6525" s="1079"/>
      <c r="CN6525" s="1005"/>
      <c r="CO6525" s="1005"/>
      <c r="CP6525" s="1005"/>
    </row>
    <row r="6526">
      <c r="A6526" s="1257"/>
      <c r="B6526" s="1113"/>
      <c r="C6526" s="1107"/>
      <c r="D6526" s="103"/>
      <c r="E6526" s="1137"/>
      <c r="F6526" s="112"/>
      <c r="G6526" s="1110"/>
      <c r="H6526" s="1138"/>
      <c r="I6526" s="1138"/>
      <c r="J6526" s="1139"/>
      <c r="K6526" s="1111"/>
      <c r="L6526" s="1112"/>
      <c r="M6526" s="1113"/>
      <c r="N6526" s="110"/>
      <c r="O6526" s="1140"/>
      <c r="P6526" s="1115"/>
      <c r="Q6526" s="1116"/>
      <c r="R6526" s="1141"/>
      <c r="S6526" s="1113"/>
      <c r="T6526" s="1143"/>
      <c r="U6526" s="1108"/>
      <c r="V6526" s="1108"/>
      <c r="W6526" s="1108"/>
      <c r="X6526" s="1108"/>
      <c r="Y6526" s="1108"/>
      <c r="Z6526" s="1114"/>
      <c r="AA6526" s="1114"/>
      <c r="AB6526" s="1114"/>
      <c r="AC6526" s="1117"/>
      <c r="AD6526" s="1115"/>
      <c r="AE6526" s="1115"/>
      <c r="AF6526" s="1115"/>
      <c r="AG6526" s="1115"/>
      <c r="AH6526" s="1115"/>
      <c r="AI6526" s="1115"/>
      <c r="AJ6526" s="1117"/>
      <c r="AK6526" s="1118"/>
      <c r="AL6526" s="1115"/>
      <c r="AM6526" s="1115"/>
      <c r="AN6526" s="1115"/>
      <c r="AO6526" s="1115"/>
      <c r="AP6526" s="1115"/>
      <c r="AQ6526" s="1115"/>
      <c r="AR6526" s="1115"/>
      <c r="AS6526" s="1117"/>
      <c r="AT6526" s="1075"/>
      <c r="AU6526" s="1193"/>
      <c r="AV6526" s="330"/>
      <c r="AW6526" s="331"/>
      <c r="AX6526" s="331"/>
      <c r="AY6526" s="331"/>
      <c r="AZ6526" s="331"/>
      <c r="BA6526" s="331"/>
      <c r="BB6526" s="331"/>
      <c r="BC6526" s="331"/>
      <c r="BD6526" s="331"/>
      <c r="BE6526" s="333"/>
      <c r="BF6526" s="330"/>
      <c r="BG6526" s="333"/>
      <c r="BH6526" s="1119"/>
      <c r="BI6526" s="319"/>
      <c r="BJ6526" s="319"/>
      <c r="BK6526" s="319"/>
      <c r="BL6526" s="319"/>
      <c r="BM6526" s="319"/>
      <c r="BN6526" s="319"/>
      <c r="BO6526" s="319"/>
      <c r="BP6526" s="953"/>
      <c r="BQ6526" s="319"/>
      <c r="BR6526" s="319"/>
      <c r="BS6526" s="330"/>
      <c r="BT6526" s="331"/>
      <c r="BU6526" s="920"/>
      <c r="BV6526" s="903"/>
      <c r="BW6526" s="908"/>
      <c r="BX6526" s="908"/>
      <c r="BY6526" s="331"/>
      <c r="BZ6526" s="331"/>
      <c r="CA6526" s="462"/>
      <c r="CB6526" s="319"/>
      <c r="CC6526" s="319"/>
      <c r="CD6526" s="319"/>
      <c r="CE6526" s="319"/>
      <c r="CF6526" s="319"/>
      <c r="CG6526" s="319"/>
      <c r="CH6526" s="318"/>
      <c r="CI6526" s="319"/>
      <c r="CJ6526" s="319"/>
      <c r="CK6526" s="342"/>
      <c r="CL6526" s="333"/>
      <c r="CM6526" s="1079"/>
      <c r="CN6526" s="1005"/>
      <c r="CO6526" s="1005"/>
      <c r="CP6526" s="1005"/>
    </row>
    <row r="6527">
      <c r="A6527" s="1257"/>
      <c r="B6527" s="1113"/>
      <c r="C6527" s="1107"/>
      <c r="D6527" s="103"/>
      <c r="E6527" s="1137"/>
      <c r="F6527" s="112"/>
      <c r="G6527" s="1110"/>
      <c r="H6527" s="1138"/>
      <c r="I6527" s="1138"/>
      <c r="J6527" s="1139"/>
      <c r="K6527" s="1111"/>
      <c r="L6527" s="1112"/>
      <c r="M6527" s="1113"/>
      <c r="N6527" s="110"/>
      <c r="O6527" s="1140"/>
      <c r="P6527" s="1115"/>
      <c r="Q6527" s="1116"/>
      <c r="R6527" s="1141"/>
      <c r="S6527" s="1113"/>
      <c r="T6527" s="1143"/>
      <c r="U6527" s="1108"/>
      <c r="V6527" s="1108"/>
      <c r="W6527" s="1108"/>
      <c r="X6527" s="1108"/>
      <c r="Y6527" s="1108"/>
      <c r="Z6527" s="1114"/>
      <c r="AA6527" s="1114"/>
      <c r="AB6527" s="1114"/>
      <c r="AC6527" s="1117"/>
      <c r="AD6527" s="1115"/>
      <c r="AE6527" s="1115"/>
      <c r="AF6527" s="1115"/>
      <c r="AG6527" s="1115"/>
      <c r="AH6527" s="1115"/>
      <c r="AI6527" s="1115"/>
      <c r="AJ6527" s="1117"/>
      <c r="AK6527" s="1118"/>
      <c r="AL6527" s="1115"/>
      <c r="AM6527" s="1115"/>
      <c r="AN6527" s="1115"/>
      <c r="AO6527" s="1115"/>
      <c r="AP6527" s="1115"/>
      <c r="AQ6527" s="1115"/>
      <c r="AR6527" s="1115"/>
      <c r="AS6527" s="1117"/>
      <c r="AT6527" s="1075"/>
      <c r="AU6527" s="1193"/>
      <c r="AV6527" s="330"/>
      <c r="AW6527" s="331"/>
      <c r="AX6527" s="331"/>
      <c r="AY6527" s="331"/>
      <c r="AZ6527" s="331"/>
      <c r="BA6527" s="331"/>
      <c r="BB6527" s="331"/>
      <c r="BC6527" s="331"/>
      <c r="BD6527" s="331"/>
      <c r="BE6527" s="333"/>
      <c r="BF6527" s="330"/>
      <c r="BG6527" s="333"/>
      <c r="BH6527" s="1119"/>
      <c r="BI6527" s="319"/>
      <c r="BJ6527" s="319"/>
      <c r="BK6527" s="319"/>
      <c r="BL6527" s="319"/>
      <c r="BM6527" s="319"/>
      <c r="BN6527" s="319"/>
      <c r="BO6527" s="319"/>
      <c r="BP6527" s="953"/>
      <c r="BQ6527" s="319"/>
      <c r="BR6527" s="319"/>
      <c r="BS6527" s="330"/>
      <c r="BT6527" s="331"/>
      <c r="BU6527" s="920"/>
      <c r="BV6527" s="903"/>
      <c r="BW6527" s="908"/>
      <c r="BX6527" s="908"/>
      <c r="BY6527" s="331"/>
      <c r="BZ6527" s="331"/>
      <c r="CA6527" s="462"/>
      <c r="CB6527" s="319"/>
      <c r="CC6527" s="319"/>
      <c r="CD6527" s="319"/>
      <c r="CE6527" s="319"/>
      <c r="CF6527" s="319"/>
      <c r="CG6527" s="319"/>
      <c r="CH6527" s="318"/>
      <c r="CI6527" s="319"/>
      <c r="CJ6527" s="319"/>
      <c r="CK6527" s="342"/>
      <c r="CL6527" s="333"/>
      <c r="CM6527" s="1079"/>
      <c r="CN6527" s="1005"/>
      <c r="CO6527" s="1005"/>
      <c r="CP6527" s="1005"/>
    </row>
    <row r="6528">
      <c r="A6528" s="1257"/>
      <c r="B6528" s="1113"/>
      <c r="C6528" s="1107"/>
      <c r="D6528" s="103"/>
      <c r="E6528" s="1137"/>
      <c r="F6528" s="112"/>
      <c r="G6528" s="1110"/>
      <c r="H6528" s="1138"/>
      <c r="I6528" s="1138"/>
      <c r="J6528" s="1139"/>
      <c r="K6528" s="1111"/>
      <c r="L6528" s="1112"/>
      <c r="M6528" s="1113"/>
      <c r="N6528" s="110"/>
      <c r="O6528" s="1140"/>
      <c r="P6528" s="1115"/>
      <c r="Q6528" s="1116"/>
      <c r="R6528" s="1141"/>
      <c r="S6528" s="1113"/>
      <c r="T6528" s="1143"/>
      <c r="U6528" s="1108"/>
      <c r="V6528" s="1108"/>
      <c r="W6528" s="1108"/>
      <c r="X6528" s="1108"/>
      <c r="Y6528" s="1108"/>
      <c r="Z6528" s="1114"/>
      <c r="AA6528" s="1114"/>
      <c r="AB6528" s="1114"/>
      <c r="AC6528" s="1117"/>
      <c r="AD6528" s="1115"/>
      <c r="AE6528" s="1115"/>
      <c r="AF6528" s="1115"/>
      <c r="AG6528" s="1115"/>
      <c r="AH6528" s="1115"/>
      <c r="AI6528" s="1115"/>
      <c r="AJ6528" s="1117"/>
      <c r="AK6528" s="1118"/>
      <c r="AL6528" s="1115"/>
      <c r="AM6528" s="1115"/>
      <c r="AN6528" s="1115"/>
      <c r="AO6528" s="1115"/>
      <c r="AP6528" s="1115"/>
      <c r="AQ6528" s="1115"/>
      <c r="AR6528" s="1115"/>
      <c r="AS6528" s="1117"/>
      <c r="AT6528" s="1075"/>
      <c r="AU6528" s="1193"/>
      <c r="AV6528" s="330"/>
      <c r="AW6528" s="331"/>
      <c r="AX6528" s="331"/>
      <c r="AY6528" s="331"/>
      <c r="AZ6528" s="331"/>
      <c r="BA6528" s="331"/>
      <c r="BB6528" s="331"/>
      <c r="BC6528" s="331"/>
      <c r="BD6528" s="331"/>
      <c r="BE6528" s="333"/>
      <c r="BF6528" s="330"/>
      <c r="BG6528" s="333"/>
      <c r="BH6528" s="1119"/>
      <c r="BI6528" s="319"/>
      <c r="BJ6528" s="319"/>
      <c r="BK6528" s="319"/>
      <c r="BL6528" s="319"/>
      <c r="BM6528" s="319"/>
      <c r="BN6528" s="319"/>
      <c r="BO6528" s="319"/>
      <c r="BP6528" s="953"/>
      <c r="BQ6528" s="319"/>
      <c r="BR6528" s="319"/>
      <c r="BS6528" s="330"/>
      <c r="BT6528" s="331"/>
      <c r="BU6528" s="920"/>
      <c r="BV6528" s="903"/>
      <c r="BW6528" s="908"/>
      <c r="BX6528" s="908"/>
      <c r="BY6528" s="331"/>
      <c r="BZ6528" s="331"/>
      <c r="CA6528" s="462"/>
      <c r="CB6528" s="319"/>
      <c r="CC6528" s="319"/>
      <c r="CD6528" s="319"/>
      <c r="CE6528" s="319"/>
      <c r="CF6528" s="319"/>
      <c r="CG6528" s="319"/>
      <c r="CH6528" s="318"/>
      <c r="CI6528" s="319"/>
      <c r="CJ6528" s="319"/>
      <c r="CK6528" s="342"/>
      <c r="CL6528" s="333"/>
      <c r="CM6528" s="1079"/>
      <c r="CN6528" s="1005"/>
      <c r="CO6528" s="1005"/>
      <c r="CP6528" s="1005"/>
    </row>
    <row r="6529">
      <c r="A6529" s="1257"/>
      <c r="B6529" s="1113"/>
      <c r="C6529" s="1107"/>
      <c r="D6529" s="103"/>
      <c r="E6529" s="1137"/>
      <c r="F6529" s="112"/>
      <c r="G6529" s="1110"/>
      <c r="H6529" s="1138"/>
      <c r="I6529" s="1138"/>
      <c r="J6529" s="1139"/>
      <c r="K6529" s="1111"/>
      <c r="L6529" s="1112"/>
      <c r="M6529" s="1113"/>
      <c r="N6529" s="110"/>
      <c r="O6529" s="1140"/>
      <c r="P6529" s="1115"/>
      <c r="Q6529" s="1116"/>
      <c r="R6529" s="1141"/>
      <c r="S6529" s="1113"/>
      <c r="T6529" s="1143"/>
      <c r="U6529" s="1108"/>
      <c r="V6529" s="1108"/>
      <c r="W6529" s="1108"/>
      <c r="X6529" s="1108"/>
      <c r="Y6529" s="1108"/>
      <c r="Z6529" s="1114"/>
      <c r="AA6529" s="1114"/>
      <c r="AB6529" s="1114"/>
      <c r="AC6529" s="1117"/>
      <c r="AD6529" s="1115"/>
      <c r="AE6529" s="1115"/>
      <c r="AF6529" s="1115"/>
      <c r="AG6529" s="1115"/>
      <c r="AH6529" s="1115"/>
      <c r="AI6529" s="1115"/>
      <c r="AJ6529" s="1117"/>
      <c r="AK6529" s="1118"/>
      <c r="AL6529" s="1115"/>
      <c r="AM6529" s="1115"/>
      <c r="AN6529" s="1115"/>
      <c r="AO6529" s="1115"/>
      <c r="AP6529" s="1115"/>
      <c r="AQ6529" s="1115"/>
      <c r="AR6529" s="1115"/>
      <c r="AS6529" s="1117"/>
      <c r="AT6529" s="1075"/>
      <c r="AU6529" s="1193"/>
      <c r="AV6529" s="330"/>
      <c r="AW6529" s="331"/>
      <c r="AX6529" s="331"/>
      <c r="AY6529" s="331"/>
      <c r="AZ6529" s="331"/>
      <c r="BA6529" s="331"/>
      <c r="BB6529" s="331"/>
      <c r="BC6529" s="331"/>
      <c r="BD6529" s="331"/>
      <c r="BE6529" s="333"/>
      <c r="BF6529" s="330"/>
      <c r="BG6529" s="333"/>
      <c r="BH6529" s="1119"/>
      <c r="BI6529" s="319"/>
      <c r="BJ6529" s="319"/>
      <c r="BK6529" s="319"/>
      <c r="BL6529" s="319"/>
      <c r="BM6529" s="319"/>
      <c r="BN6529" s="319"/>
      <c r="BO6529" s="319"/>
      <c r="BP6529" s="953"/>
      <c r="BQ6529" s="319"/>
      <c r="BR6529" s="319"/>
      <c r="BS6529" s="330"/>
      <c r="BT6529" s="331"/>
      <c r="BU6529" s="920"/>
      <c r="BV6529" s="903"/>
      <c r="BW6529" s="908"/>
      <c r="BX6529" s="908"/>
      <c r="BY6529" s="331"/>
      <c r="BZ6529" s="331"/>
      <c r="CA6529" s="462"/>
      <c r="CB6529" s="319"/>
      <c r="CC6529" s="319"/>
      <c r="CD6529" s="319"/>
      <c r="CE6529" s="319"/>
      <c r="CF6529" s="319"/>
      <c r="CG6529" s="319"/>
      <c r="CH6529" s="318"/>
      <c r="CI6529" s="319"/>
      <c r="CJ6529" s="319"/>
      <c r="CK6529" s="342"/>
      <c r="CL6529" s="333"/>
      <c r="CM6529" s="1079"/>
      <c r="CN6529" s="1005"/>
      <c r="CO6529" s="1005"/>
      <c r="CP6529" s="1005"/>
    </row>
    <row r="6530">
      <c r="A6530" s="1257"/>
      <c r="B6530" s="1113"/>
      <c r="C6530" s="1107"/>
      <c r="D6530" s="103"/>
      <c r="E6530" s="1137"/>
      <c r="F6530" s="112"/>
      <c r="G6530" s="1110"/>
      <c r="H6530" s="1138"/>
      <c r="I6530" s="1138"/>
      <c r="J6530" s="1139"/>
      <c r="K6530" s="1111"/>
      <c r="L6530" s="1112"/>
      <c r="M6530" s="1113"/>
      <c r="N6530" s="110"/>
      <c r="O6530" s="1140"/>
      <c r="P6530" s="1115"/>
      <c r="Q6530" s="1116"/>
      <c r="R6530" s="1141"/>
      <c r="S6530" s="1113"/>
      <c r="T6530" s="1143"/>
      <c r="U6530" s="1108"/>
      <c r="V6530" s="1108"/>
      <c r="W6530" s="1108"/>
      <c r="X6530" s="1108"/>
      <c r="Y6530" s="1108"/>
      <c r="Z6530" s="1114"/>
      <c r="AA6530" s="1114"/>
      <c r="AB6530" s="1114"/>
      <c r="AC6530" s="1117"/>
      <c r="AD6530" s="1115"/>
      <c r="AE6530" s="1115"/>
      <c r="AF6530" s="1115"/>
      <c r="AG6530" s="1115"/>
      <c r="AH6530" s="1115"/>
      <c r="AI6530" s="1115"/>
      <c r="AJ6530" s="1117"/>
      <c r="AK6530" s="1118"/>
      <c r="AL6530" s="1115"/>
      <c r="AM6530" s="1115"/>
      <c r="AN6530" s="1115"/>
      <c r="AO6530" s="1115"/>
      <c r="AP6530" s="1115"/>
      <c r="AQ6530" s="1115"/>
      <c r="AR6530" s="1115"/>
      <c r="AS6530" s="1117"/>
      <c r="AT6530" s="1075"/>
      <c r="AU6530" s="1193"/>
      <c r="AV6530" s="330"/>
      <c r="AW6530" s="331"/>
      <c r="AX6530" s="331"/>
      <c r="AY6530" s="331"/>
      <c r="AZ6530" s="331"/>
      <c r="BA6530" s="331"/>
      <c r="BB6530" s="331"/>
      <c r="BC6530" s="331"/>
      <c r="BD6530" s="331"/>
      <c r="BE6530" s="333"/>
      <c r="BF6530" s="330"/>
      <c r="BG6530" s="333"/>
      <c r="BH6530" s="1119"/>
      <c r="BI6530" s="319"/>
      <c r="BJ6530" s="319"/>
      <c r="BK6530" s="319"/>
      <c r="BL6530" s="319"/>
      <c r="BM6530" s="319"/>
      <c r="BN6530" s="319"/>
      <c r="BO6530" s="319"/>
      <c r="BP6530" s="953"/>
      <c r="BQ6530" s="319"/>
      <c r="BR6530" s="319"/>
      <c r="BS6530" s="330"/>
      <c r="BT6530" s="331"/>
      <c r="BU6530" s="920"/>
      <c r="BV6530" s="903"/>
      <c r="BW6530" s="908"/>
      <c r="BX6530" s="908"/>
      <c r="BY6530" s="331"/>
      <c r="BZ6530" s="331"/>
      <c r="CA6530" s="462"/>
      <c r="CB6530" s="319"/>
      <c r="CC6530" s="319"/>
      <c r="CD6530" s="319"/>
      <c r="CE6530" s="319"/>
      <c r="CF6530" s="319"/>
      <c r="CG6530" s="319"/>
      <c r="CH6530" s="318"/>
      <c r="CI6530" s="319"/>
      <c r="CJ6530" s="319"/>
      <c r="CK6530" s="342"/>
      <c r="CL6530" s="333"/>
      <c r="CM6530" s="1079"/>
      <c r="CN6530" s="1005"/>
      <c r="CO6530" s="1005"/>
      <c r="CP6530" s="1005"/>
    </row>
    <row r="6531">
      <c r="A6531" s="1257"/>
      <c r="B6531" s="1113"/>
      <c r="C6531" s="1107"/>
      <c r="D6531" s="103"/>
      <c r="E6531" s="1137"/>
      <c r="F6531" s="112"/>
      <c r="G6531" s="1110"/>
      <c r="H6531" s="1138"/>
      <c r="I6531" s="1138"/>
      <c r="J6531" s="1139"/>
      <c r="K6531" s="1111"/>
      <c r="L6531" s="1112"/>
      <c r="M6531" s="1113"/>
      <c r="N6531" s="110"/>
      <c r="O6531" s="1140"/>
      <c r="P6531" s="1115"/>
      <c r="Q6531" s="1116"/>
      <c r="R6531" s="1141"/>
      <c r="S6531" s="1113"/>
      <c r="T6531" s="1143"/>
      <c r="U6531" s="1108"/>
      <c r="V6531" s="1108"/>
      <c r="W6531" s="1108"/>
      <c r="X6531" s="1108"/>
      <c r="Y6531" s="1108"/>
      <c r="Z6531" s="1114"/>
      <c r="AA6531" s="1114"/>
      <c r="AB6531" s="1114"/>
      <c r="AC6531" s="1117"/>
      <c r="AD6531" s="1115"/>
      <c r="AE6531" s="1115"/>
      <c r="AF6531" s="1115"/>
      <c r="AG6531" s="1115"/>
      <c r="AH6531" s="1115"/>
      <c r="AI6531" s="1115"/>
      <c r="AJ6531" s="1117"/>
      <c r="AK6531" s="1118"/>
      <c r="AL6531" s="1115"/>
      <c r="AM6531" s="1115"/>
      <c r="AN6531" s="1115"/>
      <c r="AO6531" s="1115"/>
      <c r="AP6531" s="1115"/>
      <c r="AQ6531" s="1115"/>
      <c r="AR6531" s="1115"/>
      <c r="AS6531" s="1117"/>
      <c r="AT6531" s="1075"/>
      <c r="AU6531" s="1193"/>
      <c r="AV6531" s="330"/>
      <c r="AW6531" s="331"/>
      <c r="AX6531" s="331"/>
      <c r="AY6531" s="331"/>
      <c r="AZ6531" s="331"/>
      <c r="BA6531" s="331"/>
      <c r="BB6531" s="331"/>
      <c r="BC6531" s="331"/>
      <c r="BD6531" s="331"/>
      <c r="BE6531" s="333"/>
      <c r="BF6531" s="330"/>
      <c r="BG6531" s="333"/>
      <c r="BH6531" s="1119"/>
      <c r="BI6531" s="319"/>
      <c r="BJ6531" s="319"/>
      <c r="BK6531" s="319"/>
      <c r="BL6531" s="319"/>
      <c r="BM6531" s="319"/>
      <c r="BN6531" s="319"/>
      <c r="BO6531" s="319"/>
      <c r="BP6531" s="953"/>
      <c r="BQ6531" s="319"/>
      <c r="BR6531" s="319"/>
      <c r="BS6531" s="330"/>
      <c r="BT6531" s="331"/>
      <c r="BU6531" s="920"/>
      <c r="BV6531" s="903"/>
      <c r="BW6531" s="908"/>
      <c r="BX6531" s="908"/>
      <c r="BY6531" s="331"/>
      <c r="BZ6531" s="331"/>
      <c r="CA6531" s="462"/>
      <c r="CB6531" s="319"/>
      <c r="CC6531" s="319"/>
      <c r="CD6531" s="319"/>
      <c r="CE6531" s="319"/>
      <c r="CF6531" s="319"/>
      <c r="CG6531" s="319"/>
      <c r="CH6531" s="318"/>
      <c r="CI6531" s="319"/>
      <c r="CJ6531" s="319"/>
      <c r="CK6531" s="342"/>
      <c r="CL6531" s="333"/>
      <c r="CM6531" s="1079"/>
      <c r="CN6531" s="1005"/>
      <c r="CO6531" s="1005"/>
      <c r="CP6531" s="1005"/>
    </row>
    <row r="6532">
      <c r="A6532" s="1257"/>
      <c r="B6532" s="1113"/>
      <c r="C6532" s="1107"/>
      <c r="D6532" s="103"/>
      <c r="E6532" s="1137"/>
      <c r="F6532" s="112"/>
      <c r="G6532" s="1110"/>
      <c r="H6532" s="1138"/>
      <c r="I6532" s="1138"/>
      <c r="J6532" s="1139"/>
      <c r="K6532" s="1111"/>
      <c r="L6532" s="1112"/>
      <c r="M6532" s="1113"/>
      <c r="N6532" s="110"/>
      <c r="O6532" s="1140"/>
      <c r="P6532" s="1115"/>
      <c r="Q6532" s="1116"/>
      <c r="R6532" s="1141"/>
      <c r="S6532" s="1113"/>
      <c r="T6532" s="1143"/>
      <c r="U6532" s="1108"/>
      <c r="V6532" s="1108"/>
      <c r="W6532" s="1108"/>
      <c r="X6532" s="1108"/>
      <c r="Y6532" s="1108"/>
      <c r="Z6532" s="1114"/>
      <c r="AA6532" s="1114"/>
      <c r="AB6532" s="1114"/>
      <c r="AC6532" s="1117"/>
      <c r="AD6532" s="1115"/>
      <c r="AE6532" s="1115"/>
      <c r="AF6532" s="1115"/>
      <c r="AG6532" s="1115"/>
      <c r="AH6532" s="1115"/>
      <c r="AI6532" s="1115"/>
      <c r="AJ6532" s="1117"/>
      <c r="AK6532" s="1118"/>
      <c r="AL6532" s="1115"/>
      <c r="AM6532" s="1115"/>
      <c r="AN6532" s="1115"/>
      <c r="AO6532" s="1115"/>
      <c r="AP6532" s="1115"/>
      <c r="AQ6532" s="1115"/>
      <c r="AR6532" s="1115"/>
      <c r="AS6532" s="1117"/>
      <c r="AT6532" s="1075"/>
      <c r="AU6532" s="1193"/>
      <c r="AV6532" s="330"/>
      <c r="AW6532" s="331"/>
      <c r="AX6532" s="331"/>
      <c r="AY6532" s="331"/>
      <c r="AZ6532" s="331"/>
      <c r="BA6532" s="331"/>
      <c r="BB6532" s="331"/>
      <c r="BC6532" s="331"/>
      <c r="BD6532" s="331"/>
      <c r="BE6532" s="333"/>
      <c r="BF6532" s="330"/>
      <c r="BG6532" s="333"/>
      <c r="BH6532" s="1119"/>
      <c r="BI6532" s="319"/>
      <c r="BJ6532" s="319"/>
      <c r="BK6532" s="319"/>
      <c r="BL6532" s="319"/>
      <c r="BM6532" s="319"/>
      <c r="BN6532" s="319"/>
      <c r="BO6532" s="319"/>
      <c r="BP6532" s="953"/>
      <c r="BQ6532" s="319"/>
      <c r="BR6532" s="319"/>
      <c r="BS6532" s="330"/>
      <c r="BT6532" s="331"/>
      <c r="BU6532" s="920"/>
      <c r="BV6532" s="903"/>
      <c r="BW6532" s="908"/>
      <c r="BX6532" s="908"/>
      <c r="BY6532" s="331"/>
      <c r="BZ6532" s="331"/>
      <c r="CA6532" s="462"/>
      <c r="CB6532" s="319"/>
      <c r="CC6532" s="319"/>
      <c r="CD6532" s="319"/>
      <c r="CE6532" s="319"/>
      <c r="CF6532" s="319"/>
      <c r="CG6532" s="319"/>
      <c r="CH6532" s="318"/>
      <c r="CI6532" s="319"/>
      <c r="CJ6532" s="319"/>
      <c r="CK6532" s="342"/>
      <c r="CL6532" s="333"/>
      <c r="CM6532" s="1079"/>
      <c r="CN6532" s="1005"/>
      <c r="CO6532" s="1005"/>
      <c r="CP6532" s="1005"/>
    </row>
    <row r="6533">
      <c r="A6533" s="1257"/>
      <c r="B6533" s="1113"/>
      <c r="C6533" s="1107"/>
      <c r="D6533" s="103"/>
      <c r="E6533" s="1137"/>
      <c r="F6533" s="112"/>
      <c r="G6533" s="1110"/>
      <c r="H6533" s="1138"/>
      <c r="I6533" s="1138"/>
      <c r="J6533" s="1139"/>
      <c r="K6533" s="1111"/>
      <c r="L6533" s="1112"/>
      <c r="M6533" s="1113"/>
      <c r="N6533" s="110"/>
      <c r="O6533" s="1140"/>
      <c r="P6533" s="1115"/>
      <c r="Q6533" s="1116"/>
      <c r="R6533" s="1141"/>
      <c r="S6533" s="1113"/>
      <c r="T6533" s="1143"/>
      <c r="U6533" s="1108"/>
      <c r="V6533" s="1108"/>
      <c r="W6533" s="1108"/>
      <c r="X6533" s="1108"/>
      <c r="Y6533" s="1108"/>
      <c r="Z6533" s="1114"/>
      <c r="AA6533" s="1114"/>
      <c r="AB6533" s="1114"/>
      <c r="AC6533" s="1117"/>
      <c r="AD6533" s="1115"/>
      <c r="AE6533" s="1115"/>
      <c r="AF6533" s="1115"/>
      <c r="AG6533" s="1115"/>
      <c r="AH6533" s="1115"/>
      <c r="AI6533" s="1115"/>
      <c r="AJ6533" s="1117"/>
      <c r="AK6533" s="1118"/>
      <c r="AL6533" s="1115"/>
      <c r="AM6533" s="1115"/>
      <c r="AN6533" s="1115"/>
      <c r="AO6533" s="1115"/>
      <c r="AP6533" s="1115"/>
      <c r="AQ6533" s="1115"/>
      <c r="AR6533" s="1115"/>
      <c r="AS6533" s="1117"/>
      <c r="AT6533" s="1075"/>
      <c r="AU6533" s="1193"/>
      <c r="AV6533" s="330"/>
      <c r="AW6533" s="331"/>
      <c r="AX6533" s="331"/>
      <c r="AY6533" s="331"/>
      <c r="AZ6533" s="331"/>
      <c r="BA6533" s="331"/>
      <c r="BB6533" s="331"/>
      <c r="BC6533" s="331"/>
      <c r="BD6533" s="331"/>
      <c r="BE6533" s="333"/>
      <c r="BF6533" s="330"/>
      <c r="BG6533" s="333"/>
      <c r="BH6533" s="1119"/>
      <c r="BI6533" s="319"/>
      <c r="BJ6533" s="319"/>
      <c r="BK6533" s="319"/>
      <c r="BL6533" s="319"/>
      <c r="BM6533" s="319"/>
      <c r="BN6533" s="319"/>
      <c r="BO6533" s="319"/>
      <c r="BP6533" s="953"/>
      <c r="BQ6533" s="319"/>
      <c r="BR6533" s="319"/>
      <c r="BS6533" s="330"/>
      <c r="BT6533" s="331"/>
      <c r="BU6533" s="920"/>
      <c r="BV6533" s="903"/>
      <c r="BW6533" s="908"/>
      <c r="BX6533" s="908"/>
      <c r="BY6533" s="331"/>
      <c r="BZ6533" s="331"/>
      <c r="CA6533" s="462"/>
      <c r="CB6533" s="319"/>
      <c r="CC6533" s="319"/>
      <c r="CD6533" s="319"/>
      <c r="CE6533" s="319"/>
      <c r="CF6533" s="319"/>
      <c r="CG6533" s="319"/>
      <c r="CH6533" s="318"/>
      <c r="CI6533" s="319"/>
      <c r="CJ6533" s="319"/>
      <c r="CK6533" s="342"/>
      <c r="CL6533" s="333"/>
      <c r="CM6533" s="1079"/>
      <c r="CN6533" s="1005"/>
      <c r="CO6533" s="1005"/>
      <c r="CP6533" s="1005"/>
    </row>
    <row r="6534">
      <c r="A6534" s="1257"/>
      <c r="B6534" s="1113"/>
      <c r="C6534" s="1107"/>
      <c r="D6534" s="103"/>
      <c r="E6534" s="1137"/>
      <c r="F6534" s="112"/>
      <c r="G6534" s="1110"/>
      <c r="H6534" s="1138"/>
      <c r="I6534" s="1138"/>
      <c r="J6534" s="1139"/>
      <c r="K6534" s="1111"/>
      <c r="L6534" s="1112"/>
      <c r="M6534" s="1113"/>
      <c r="N6534" s="110"/>
      <c r="O6534" s="1140"/>
      <c r="P6534" s="1115"/>
      <c r="Q6534" s="1116"/>
      <c r="R6534" s="1141"/>
      <c r="S6534" s="1113"/>
      <c r="T6534" s="1143"/>
      <c r="U6534" s="1108"/>
      <c r="V6534" s="1108"/>
      <c r="W6534" s="1108"/>
      <c r="X6534" s="1108"/>
      <c r="Y6534" s="1108"/>
      <c r="Z6534" s="1114"/>
      <c r="AA6534" s="1114"/>
      <c r="AB6534" s="1114"/>
      <c r="AC6534" s="1117"/>
      <c r="AD6534" s="1115"/>
      <c r="AE6534" s="1115"/>
      <c r="AF6534" s="1115"/>
      <c r="AG6534" s="1115"/>
      <c r="AH6534" s="1115"/>
      <c r="AI6534" s="1115"/>
      <c r="AJ6534" s="1117"/>
      <c r="AK6534" s="1118"/>
      <c r="AL6534" s="1115"/>
      <c r="AM6534" s="1115"/>
      <c r="AN6534" s="1115"/>
      <c r="AO6534" s="1115"/>
      <c r="AP6534" s="1115"/>
      <c r="AQ6534" s="1115"/>
      <c r="AR6534" s="1115"/>
      <c r="AS6534" s="1117"/>
      <c r="AT6534" s="1075"/>
      <c r="AU6534" s="1193"/>
      <c r="AV6534" s="330"/>
      <c r="AW6534" s="331"/>
      <c r="AX6534" s="331"/>
      <c r="AY6534" s="331"/>
      <c r="AZ6534" s="331"/>
      <c r="BA6534" s="331"/>
      <c r="BB6534" s="331"/>
      <c r="BC6534" s="331"/>
      <c r="BD6534" s="331"/>
      <c r="BE6534" s="333"/>
      <c r="BF6534" s="330"/>
      <c r="BG6534" s="333"/>
      <c r="BH6534" s="1119"/>
      <c r="BI6534" s="319"/>
      <c r="BJ6534" s="319"/>
      <c r="BK6534" s="319"/>
      <c r="BL6534" s="319"/>
      <c r="BM6534" s="319"/>
      <c r="BN6534" s="319"/>
      <c r="BO6534" s="319"/>
      <c r="BP6534" s="953"/>
      <c r="BQ6534" s="319"/>
      <c r="BR6534" s="319"/>
      <c r="BS6534" s="330"/>
      <c r="BT6534" s="331"/>
      <c r="BU6534" s="920"/>
      <c r="BV6534" s="903"/>
      <c r="BW6534" s="908"/>
      <c r="BX6534" s="908"/>
      <c r="BY6534" s="331"/>
      <c r="BZ6534" s="331"/>
      <c r="CA6534" s="462"/>
      <c r="CB6534" s="319"/>
      <c r="CC6534" s="319"/>
      <c r="CD6534" s="319"/>
      <c r="CE6534" s="319"/>
      <c r="CF6534" s="319"/>
      <c r="CG6534" s="319"/>
      <c r="CH6534" s="318"/>
      <c r="CI6534" s="319"/>
      <c r="CJ6534" s="319"/>
      <c r="CK6534" s="342"/>
      <c r="CL6534" s="333"/>
      <c r="CM6534" s="1079"/>
      <c r="CN6534" s="1005"/>
      <c r="CO6534" s="1005"/>
      <c r="CP6534" s="1005"/>
    </row>
    <row r="6535">
      <c r="A6535" s="1257"/>
      <c r="B6535" s="1113"/>
      <c r="C6535" s="1107"/>
      <c r="D6535" s="103"/>
      <c r="E6535" s="1137"/>
      <c r="F6535" s="112"/>
      <c r="G6535" s="1110"/>
      <c r="H6535" s="1138"/>
      <c r="I6535" s="1138"/>
      <c r="J6535" s="1139"/>
      <c r="K6535" s="1111"/>
      <c r="L6535" s="1112"/>
      <c r="M6535" s="1113"/>
      <c r="N6535" s="110"/>
      <c r="O6535" s="1140"/>
      <c r="P6535" s="1115"/>
      <c r="Q6535" s="1116"/>
      <c r="R6535" s="1141"/>
      <c r="S6535" s="1113"/>
      <c r="T6535" s="1143"/>
      <c r="U6535" s="1108"/>
      <c r="V6535" s="1108"/>
      <c r="W6535" s="1108"/>
      <c r="X6535" s="1108"/>
      <c r="Y6535" s="1108"/>
      <c r="Z6535" s="1114"/>
      <c r="AA6535" s="1114"/>
      <c r="AB6535" s="1114"/>
      <c r="AC6535" s="1117"/>
      <c r="AD6535" s="1115"/>
      <c r="AE6535" s="1115"/>
      <c r="AF6535" s="1115"/>
      <c r="AG6535" s="1115"/>
      <c r="AH6535" s="1115"/>
      <c r="AI6535" s="1115"/>
      <c r="AJ6535" s="1117"/>
      <c r="AK6535" s="1118"/>
      <c r="AL6535" s="1115"/>
      <c r="AM6535" s="1115"/>
      <c r="AN6535" s="1115"/>
      <c r="AO6535" s="1115"/>
      <c r="AP6535" s="1115"/>
      <c r="AQ6535" s="1115"/>
      <c r="AR6535" s="1115"/>
      <c r="AS6535" s="1117"/>
      <c r="AT6535" s="1075"/>
      <c r="AU6535" s="1193"/>
      <c r="AV6535" s="330"/>
      <c r="AW6535" s="331"/>
      <c r="AX6535" s="331"/>
      <c r="AY6535" s="331"/>
      <c r="AZ6535" s="331"/>
      <c r="BA6535" s="331"/>
      <c r="BB6535" s="331"/>
      <c r="BC6535" s="331"/>
      <c r="BD6535" s="331"/>
      <c r="BE6535" s="333"/>
      <c r="BF6535" s="330"/>
      <c r="BG6535" s="333"/>
      <c r="BH6535" s="1119"/>
      <c r="BI6535" s="319"/>
      <c r="BJ6535" s="319"/>
      <c r="BK6535" s="319"/>
      <c r="BL6535" s="319"/>
      <c r="BM6535" s="319"/>
      <c r="BN6535" s="319"/>
      <c r="BO6535" s="319"/>
      <c r="BP6535" s="953"/>
      <c r="BQ6535" s="319"/>
      <c r="BR6535" s="319"/>
      <c r="BS6535" s="330"/>
      <c r="BT6535" s="331"/>
      <c r="BU6535" s="920"/>
      <c r="BV6535" s="903"/>
      <c r="BW6535" s="908"/>
      <c r="BX6535" s="908"/>
      <c r="BY6535" s="331"/>
      <c r="BZ6535" s="331"/>
      <c r="CA6535" s="462"/>
      <c r="CB6535" s="319"/>
      <c r="CC6535" s="319"/>
      <c r="CD6535" s="319"/>
      <c r="CE6535" s="319"/>
      <c r="CF6535" s="319"/>
      <c r="CG6535" s="319"/>
      <c r="CH6535" s="318"/>
      <c r="CI6535" s="319"/>
      <c r="CJ6535" s="319"/>
      <c r="CK6535" s="342"/>
      <c r="CL6535" s="333"/>
      <c r="CM6535" s="1079"/>
      <c r="CN6535" s="1005"/>
      <c r="CO6535" s="1005"/>
      <c r="CP6535" s="1005"/>
    </row>
    <row r="6536">
      <c r="A6536" s="1257"/>
      <c r="B6536" s="1113"/>
      <c r="C6536" s="1107"/>
      <c r="D6536" s="103"/>
      <c r="E6536" s="1137"/>
      <c r="F6536" s="112"/>
      <c r="G6536" s="1110"/>
      <c r="H6536" s="1138"/>
      <c r="I6536" s="1138"/>
      <c r="J6536" s="1139"/>
      <c r="K6536" s="1111"/>
      <c r="L6536" s="1112"/>
      <c r="M6536" s="1113"/>
      <c r="N6536" s="110"/>
      <c r="O6536" s="1140"/>
      <c r="P6536" s="1115"/>
      <c r="Q6536" s="1116"/>
      <c r="R6536" s="1141"/>
      <c r="S6536" s="1113"/>
      <c r="T6536" s="1143"/>
      <c r="U6536" s="1108"/>
      <c r="V6536" s="1108"/>
      <c r="W6536" s="1108"/>
      <c r="X6536" s="1108"/>
      <c r="Y6536" s="1108"/>
      <c r="Z6536" s="1114"/>
      <c r="AA6536" s="1114"/>
      <c r="AB6536" s="1114"/>
      <c r="AC6536" s="1117"/>
      <c r="AD6536" s="1115"/>
      <c r="AE6536" s="1115"/>
      <c r="AF6536" s="1115"/>
      <c r="AG6536" s="1115"/>
      <c r="AH6536" s="1115"/>
      <c r="AI6536" s="1115"/>
      <c r="AJ6536" s="1117"/>
      <c r="AK6536" s="1118"/>
      <c r="AL6536" s="1115"/>
      <c r="AM6536" s="1115"/>
      <c r="AN6536" s="1115"/>
      <c r="AO6536" s="1115"/>
      <c r="AP6536" s="1115"/>
      <c r="AQ6536" s="1115"/>
      <c r="AR6536" s="1115"/>
      <c r="AS6536" s="1117"/>
      <c r="AT6536" s="1075"/>
      <c r="AU6536" s="1193"/>
      <c r="AV6536" s="330"/>
      <c r="AW6536" s="331"/>
      <c r="AX6536" s="331"/>
      <c r="AY6536" s="331"/>
      <c r="AZ6536" s="331"/>
      <c r="BA6536" s="331"/>
      <c r="BB6536" s="331"/>
      <c r="BC6536" s="331"/>
      <c r="BD6536" s="331"/>
      <c r="BE6536" s="333"/>
      <c r="BF6536" s="330"/>
      <c r="BG6536" s="333"/>
      <c r="BH6536" s="1119"/>
      <c r="BI6536" s="319"/>
      <c r="BJ6536" s="319"/>
      <c r="BK6536" s="319"/>
      <c r="BL6536" s="319"/>
      <c r="BM6536" s="319"/>
      <c r="BN6536" s="319"/>
      <c r="BO6536" s="319"/>
      <c r="BP6536" s="953"/>
      <c r="BQ6536" s="319"/>
      <c r="BR6536" s="319"/>
      <c r="BS6536" s="330"/>
      <c r="BT6536" s="331"/>
      <c r="BU6536" s="920"/>
      <c r="BV6536" s="903"/>
      <c r="BW6536" s="908"/>
      <c r="BX6536" s="908"/>
      <c r="BY6536" s="331"/>
      <c r="BZ6536" s="331"/>
      <c r="CA6536" s="462"/>
      <c r="CB6536" s="319"/>
      <c r="CC6536" s="319"/>
      <c r="CD6536" s="319"/>
      <c r="CE6536" s="319"/>
      <c r="CF6536" s="319"/>
      <c r="CG6536" s="319"/>
      <c r="CH6536" s="318"/>
      <c r="CI6536" s="319"/>
      <c r="CJ6536" s="319"/>
      <c r="CK6536" s="342"/>
      <c r="CL6536" s="333"/>
      <c r="CM6536" s="1079"/>
      <c r="CN6536" s="1005"/>
      <c r="CO6536" s="1005"/>
      <c r="CP6536" s="1005"/>
    </row>
    <row r="6537">
      <c r="A6537" s="1257"/>
      <c r="B6537" s="1113"/>
      <c r="C6537" s="1107"/>
      <c r="D6537" s="103"/>
      <c r="E6537" s="1137"/>
      <c r="F6537" s="112"/>
      <c r="G6537" s="1110"/>
      <c r="H6537" s="1138"/>
      <c r="I6537" s="1138"/>
      <c r="J6537" s="1139"/>
      <c r="K6537" s="1111"/>
      <c r="L6537" s="1112"/>
      <c r="M6537" s="1113"/>
      <c r="N6537" s="110"/>
      <c r="O6537" s="1140"/>
      <c r="P6537" s="1115"/>
      <c r="Q6537" s="1116"/>
      <c r="R6537" s="1141"/>
      <c r="S6537" s="1113"/>
      <c r="T6537" s="1143"/>
      <c r="U6537" s="1108"/>
      <c r="V6537" s="1108"/>
      <c r="W6537" s="1108"/>
      <c r="X6537" s="1108"/>
      <c r="Y6537" s="1108"/>
      <c r="Z6537" s="1114"/>
      <c r="AA6537" s="1114"/>
      <c r="AB6537" s="1114"/>
      <c r="AC6537" s="1117"/>
      <c r="AD6537" s="1115"/>
      <c r="AE6537" s="1115"/>
      <c r="AF6537" s="1115"/>
      <c r="AG6537" s="1115"/>
      <c r="AH6537" s="1115"/>
      <c r="AI6537" s="1115"/>
      <c r="AJ6537" s="1117"/>
      <c r="AK6537" s="1118"/>
      <c r="AL6537" s="1115"/>
      <c r="AM6537" s="1115"/>
      <c r="AN6537" s="1115"/>
      <c r="AO6537" s="1115"/>
      <c r="AP6537" s="1115"/>
      <c r="AQ6537" s="1115"/>
      <c r="AR6537" s="1115"/>
      <c r="AS6537" s="1117"/>
      <c r="AT6537" s="1075"/>
      <c r="AU6537" s="1193"/>
      <c r="AV6537" s="330"/>
      <c r="AW6537" s="331"/>
      <c r="AX6537" s="331"/>
      <c r="AY6537" s="331"/>
      <c r="AZ6537" s="331"/>
      <c r="BA6537" s="331"/>
      <c r="BB6537" s="331"/>
      <c r="BC6537" s="331"/>
      <c r="BD6537" s="331"/>
      <c r="BE6537" s="333"/>
      <c r="BF6537" s="330"/>
      <c r="BG6537" s="333"/>
      <c r="BH6537" s="1119"/>
      <c r="BI6537" s="319"/>
      <c r="BJ6537" s="319"/>
      <c r="BK6537" s="319"/>
      <c r="BL6537" s="319"/>
      <c r="BM6537" s="319"/>
      <c r="BN6537" s="319"/>
      <c r="BO6537" s="319"/>
      <c r="BP6537" s="953"/>
      <c r="BQ6537" s="319"/>
      <c r="BR6537" s="319"/>
      <c r="BS6537" s="330"/>
      <c r="BT6537" s="331"/>
      <c r="BU6537" s="920"/>
      <c r="BV6537" s="903"/>
      <c r="BW6537" s="908"/>
      <c r="BX6537" s="908"/>
      <c r="BY6537" s="331"/>
      <c r="BZ6537" s="331"/>
      <c r="CA6537" s="462"/>
      <c r="CB6537" s="319"/>
      <c r="CC6537" s="319"/>
      <c r="CD6537" s="319"/>
      <c r="CE6537" s="319"/>
      <c r="CF6537" s="319"/>
      <c r="CG6537" s="319"/>
      <c r="CH6537" s="318"/>
      <c r="CI6537" s="319"/>
      <c r="CJ6537" s="319"/>
      <c r="CK6537" s="342"/>
      <c r="CL6537" s="333"/>
      <c r="CM6537" s="1079"/>
      <c r="CN6537" s="1005"/>
      <c r="CO6537" s="1005"/>
      <c r="CP6537" s="1005"/>
    </row>
    <row r="6538">
      <c r="A6538" s="1257"/>
      <c r="B6538" s="1113"/>
      <c r="C6538" s="1107"/>
      <c r="D6538" s="103"/>
      <c r="E6538" s="1137"/>
      <c r="F6538" s="112"/>
      <c r="G6538" s="1110"/>
      <c r="H6538" s="1138"/>
      <c r="I6538" s="1138"/>
      <c r="J6538" s="1139"/>
      <c r="K6538" s="1111"/>
      <c r="L6538" s="1112"/>
      <c r="M6538" s="1113"/>
      <c r="N6538" s="110"/>
      <c r="O6538" s="1140"/>
      <c r="P6538" s="1115"/>
      <c r="Q6538" s="1116"/>
      <c r="R6538" s="1141"/>
      <c r="S6538" s="1113"/>
      <c r="T6538" s="1143"/>
      <c r="U6538" s="1108"/>
      <c r="V6538" s="1108"/>
      <c r="W6538" s="1108"/>
      <c r="X6538" s="1108"/>
      <c r="Y6538" s="1108"/>
      <c r="Z6538" s="1114"/>
      <c r="AA6538" s="1114"/>
      <c r="AB6538" s="1114"/>
      <c r="AC6538" s="1117"/>
      <c r="AD6538" s="1115"/>
      <c r="AE6538" s="1115"/>
      <c r="AF6538" s="1115"/>
      <c r="AG6538" s="1115"/>
      <c r="AH6538" s="1115"/>
      <c r="AI6538" s="1115"/>
      <c r="AJ6538" s="1117"/>
      <c r="AK6538" s="1118"/>
      <c r="AL6538" s="1115"/>
      <c r="AM6538" s="1115"/>
      <c r="AN6538" s="1115"/>
      <c r="AO6538" s="1115"/>
      <c r="AP6538" s="1115"/>
      <c r="AQ6538" s="1115"/>
      <c r="AR6538" s="1115"/>
      <c r="AS6538" s="1117"/>
      <c r="AT6538" s="1075"/>
      <c r="AU6538" s="1193"/>
      <c r="AV6538" s="330"/>
      <c r="AW6538" s="331"/>
      <c r="AX6538" s="331"/>
      <c r="AY6538" s="331"/>
      <c r="AZ6538" s="331"/>
      <c r="BA6538" s="331"/>
      <c r="BB6538" s="331"/>
      <c r="BC6538" s="331"/>
      <c r="BD6538" s="331"/>
      <c r="BE6538" s="333"/>
      <c r="BF6538" s="330"/>
      <c r="BG6538" s="333"/>
      <c r="BH6538" s="1119"/>
      <c r="BI6538" s="319"/>
      <c r="BJ6538" s="319"/>
      <c r="BK6538" s="319"/>
      <c r="BL6538" s="319"/>
      <c r="BM6538" s="319"/>
      <c r="BN6538" s="319"/>
      <c r="BO6538" s="319"/>
      <c r="BP6538" s="953"/>
      <c r="BQ6538" s="319"/>
      <c r="BR6538" s="319"/>
      <c r="BS6538" s="330"/>
      <c r="BT6538" s="331"/>
      <c r="BU6538" s="920"/>
      <c r="BV6538" s="903"/>
      <c r="BW6538" s="908"/>
      <c r="BX6538" s="908"/>
      <c r="BY6538" s="331"/>
      <c r="BZ6538" s="331"/>
      <c r="CA6538" s="462"/>
      <c r="CB6538" s="319"/>
      <c r="CC6538" s="319"/>
      <c r="CD6538" s="319"/>
      <c r="CE6538" s="319"/>
      <c r="CF6538" s="319"/>
      <c r="CG6538" s="319"/>
      <c r="CH6538" s="318"/>
      <c r="CI6538" s="319"/>
      <c r="CJ6538" s="319"/>
      <c r="CK6538" s="342"/>
      <c r="CL6538" s="333"/>
      <c r="CM6538" s="1079"/>
      <c r="CN6538" s="1005"/>
      <c r="CO6538" s="1005"/>
      <c r="CP6538" s="1005"/>
    </row>
    <row r="6539">
      <c r="A6539" s="1257"/>
      <c r="B6539" s="1113"/>
      <c r="C6539" s="1107"/>
      <c r="D6539" s="103"/>
      <c r="E6539" s="1137"/>
      <c r="F6539" s="112"/>
      <c r="G6539" s="1110"/>
      <c r="H6539" s="1138"/>
      <c r="I6539" s="1138"/>
      <c r="J6539" s="1139"/>
      <c r="K6539" s="1111"/>
      <c r="L6539" s="1112"/>
      <c r="M6539" s="1113"/>
      <c r="N6539" s="110"/>
      <c r="O6539" s="1140"/>
      <c r="P6539" s="1115"/>
      <c r="Q6539" s="1116"/>
      <c r="R6539" s="1141"/>
      <c r="S6539" s="1113"/>
      <c r="T6539" s="1143"/>
      <c r="U6539" s="1108"/>
      <c r="V6539" s="1108"/>
      <c r="W6539" s="1108"/>
      <c r="X6539" s="1108"/>
      <c r="Y6539" s="1108"/>
      <c r="Z6539" s="1114"/>
      <c r="AA6539" s="1114"/>
      <c r="AB6539" s="1114"/>
      <c r="AC6539" s="1117"/>
      <c r="AD6539" s="1115"/>
      <c r="AE6539" s="1115"/>
      <c r="AF6539" s="1115"/>
      <c r="AG6539" s="1115"/>
      <c r="AH6539" s="1115"/>
      <c r="AI6539" s="1115"/>
      <c r="AJ6539" s="1117"/>
      <c r="AK6539" s="1118"/>
      <c r="AL6539" s="1115"/>
      <c r="AM6539" s="1115"/>
      <c r="AN6539" s="1115"/>
      <c r="AO6539" s="1115"/>
      <c r="AP6539" s="1115"/>
      <c r="AQ6539" s="1115"/>
      <c r="AR6539" s="1115"/>
      <c r="AS6539" s="1117"/>
      <c r="AT6539" s="1075"/>
      <c r="AU6539" s="1193"/>
      <c r="AV6539" s="330"/>
      <c r="AW6539" s="331"/>
      <c r="AX6539" s="331"/>
      <c r="AY6539" s="331"/>
      <c r="AZ6539" s="331"/>
      <c r="BA6539" s="331"/>
      <c r="BB6539" s="331"/>
      <c r="BC6539" s="331"/>
      <c r="BD6539" s="331"/>
      <c r="BE6539" s="333"/>
      <c r="BF6539" s="330"/>
      <c r="BG6539" s="333"/>
      <c r="BH6539" s="1119"/>
      <c r="BI6539" s="319"/>
      <c r="BJ6539" s="319"/>
      <c r="BK6539" s="319"/>
      <c r="BL6539" s="319"/>
      <c r="BM6539" s="319"/>
      <c r="BN6539" s="319"/>
      <c r="BO6539" s="319"/>
      <c r="BP6539" s="953"/>
      <c r="BQ6539" s="319"/>
      <c r="BR6539" s="319"/>
      <c r="BS6539" s="330"/>
      <c r="BT6539" s="331"/>
      <c r="BU6539" s="920"/>
      <c r="BV6539" s="903"/>
      <c r="BW6539" s="908"/>
      <c r="BX6539" s="908"/>
      <c r="BY6539" s="331"/>
      <c r="BZ6539" s="331"/>
      <c r="CA6539" s="462"/>
      <c r="CB6539" s="319"/>
      <c r="CC6539" s="319"/>
      <c r="CD6539" s="319"/>
      <c r="CE6539" s="319"/>
      <c r="CF6539" s="319"/>
      <c r="CG6539" s="319"/>
      <c r="CH6539" s="318"/>
      <c r="CI6539" s="319"/>
      <c r="CJ6539" s="319"/>
      <c r="CK6539" s="342"/>
      <c r="CL6539" s="333"/>
      <c r="CM6539" s="1079"/>
      <c r="CN6539" s="1005"/>
      <c r="CO6539" s="1005"/>
      <c r="CP6539" s="1005"/>
    </row>
    <row r="6540">
      <c r="A6540" s="1257"/>
      <c r="B6540" s="1113"/>
      <c r="C6540" s="1107"/>
      <c r="D6540" s="103"/>
      <c r="E6540" s="1137"/>
      <c r="F6540" s="112"/>
      <c r="G6540" s="1110"/>
      <c r="H6540" s="1138"/>
      <c r="I6540" s="1138"/>
      <c r="J6540" s="1139"/>
      <c r="K6540" s="1111"/>
      <c r="L6540" s="1112"/>
      <c r="M6540" s="1113"/>
      <c r="N6540" s="110"/>
      <c r="O6540" s="1140"/>
      <c r="P6540" s="1115"/>
      <c r="Q6540" s="1116"/>
      <c r="R6540" s="1141"/>
      <c r="S6540" s="1113"/>
      <c r="T6540" s="1143"/>
      <c r="U6540" s="1108"/>
      <c r="V6540" s="1108"/>
      <c r="W6540" s="1108"/>
      <c r="X6540" s="1108"/>
      <c r="Y6540" s="1108"/>
      <c r="Z6540" s="1114"/>
      <c r="AA6540" s="1114"/>
      <c r="AB6540" s="1114"/>
      <c r="AC6540" s="1117"/>
      <c r="AD6540" s="1115"/>
      <c r="AE6540" s="1115"/>
      <c r="AF6540" s="1115"/>
      <c r="AG6540" s="1115"/>
      <c r="AH6540" s="1115"/>
      <c r="AI6540" s="1115"/>
      <c r="AJ6540" s="1117"/>
      <c r="AK6540" s="1118"/>
      <c r="AL6540" s="1115"/>
      <c r="AM6540" s="1115"/>
      <c r="AN6540" s="1115"/>
      <c r="AO6540" s="1115"/>
      <c r="AP6540" s="1115"/>
      <c r="AQ6540" s="1115"/>
      <c r="AR6540" s="1115"/>
      <c r="AS6540" s="1117"/>
      <c r="AT6540" s="1075"/>
      <c r="AU6540" s="1193"/>
      <c r="AV6540" s="330"/>
      <c r="AW6540" s="331"/>
      <c r="AX6540" s="331"/>
      <c r="AY6540" s="331"/>
      <c r="AZ6540" s="331"/>
      <c r="BA6540" s="331"/>
      <c r="BB6540" s="331"/>
      <c r="BC6540" s="331"/>
      <c r="BD6540" s="331"/>
      <c r="BE6540" s="333"/>
      <c r="BF6540" s="330"/>
      <c r="BG6540" s="333"/>
      <c r="BH6540" s="1119"/>
      <c r="BI6540" s="319"/>
      <c r="BJ6540" s="319"/>
      <c r="BK6540" s="319"/>
      <c r="BL6540" s="319"/>
      <c r="BM6540" s="319"/>
      <c r="BN6540" s="319"/>
      <c r="BO6540" s="319"/>
      <c r="BP6540" s="953"/>
      <c r="BQ6540" s="319"/>
      <c r="BR6540" s="319"/>
      <c r="BS6540" s="330"/>
      <c r="BT6540" s="331"/>
      <c r="BU6540" s="920"/>
      <c r="BV6540" s="903"/>
      <c r="BW6540" s="908"/>
      <c r="BX6540" s="908"/>
      <c r="BY6540" s="331"/>
      <c r="BZ6540" s="331"/>
      <c r="CA6540" s="462"/>
      <c r="CB6540" s="319"/>
      <c r="CC6540" s="319"/>
      <c r="CD6540" s="319"/>
      <c r="CE6540" s="319"/>
      <c r="CF6540" s="319"/>
      <c r="CG6540" s="319"/>
      <c r="CH6540" s="318"/>
      <c r="CI6540" s="319"/>
      <c r="CJ6540" s="319"/>
      <c r="CK6540" s="342"/>
      <c r="CL6540" s="333"/>
      <c r="CM6540" s="1079"/>
      <c r="CN6540" s="1005"/>
      <c r="CO6540" s="1005"/>
      <c r="CP6540" s="1005"/>
    </row>
    <row r="6541">
      <c r="A6541" s="1257"/>
      <c r="B6541" s="1113"/>
      <c r="C6541" s="1107"/>
      <c r="D6541" s="103"/>
      <c r="E6541" s="1137"/>
      <c r="F6541" s="112"/>
      <c r="G6541" s="1110"/>
      <c r="H6541" s="1138"/>
      <c r="I6541" s="1138"/>
      <c r="J6541" s="1139"/>
      <c r="K6541" s="1111"/>
      <c r="L6541" s="1112"/>
      <c r="M6541" s="1113"/>
      <c r="N6541" s="110"/>
      <c r="O6541" s="1140"/>
      <c r="P6541" s="1115"/>
      <c r="Q6541" s="1116"/>
      <c r="R6541" s="1141"/>
      <c r="S6541" s="1113"/>
      <c r="T6541" s="1143"/>
      <c r="U6541" s="1108"/>
      <c r="V6541" s="1108"/>
      <c r="W6541" s="1108"/>
      <c r="X6541" s="1108"/>
      <c r="Y6541" s="1108"/>
      <c r="Z6541" s="1114"/>
      <c r="AA6541" s="1114"/>
      <c r="AB6541" s="1114"/>
      <c r="AC6541" s="1117"/>
      <c r="AD6541" s="1115"/>
      <c r="AE6541" s="1115"/>
      <c r="AF6541" s="1115"/>
      <c r="AG6541" s="1115"/>
      <c r="AH6541" s="1115"/>
      <c r="AI6541" s="1115"/>
      <c r="AJ6541" s="1117"/>
      <c r="AK6541" s="1118"/>
      <c r="AL6541" s="1115"/>
      <c r="AM6541" s="1115"/>
      <c r="AN6541" s="1115"/>
      <c r="AO6541" s="1115"/>
      <c r="AP6541" s="1115"/>
      <c r="AQ6541" s="1115"/>
      <c r="AR6541" s="1115"/>
      <c r="AS6541" s="1117"/>
      <c r="AT6541" s="1075"/>
      <c r="AU6541" s="1193"/>
      <c r="AV6541" s="330"/>
      <c r="AW6541" s="331"/>
      <c r="AX6541" s="331"/>
      <c r="AY6541" s="331"/>
      <c r="AZ6541" s="331"/>
      <c r="BA6541" s="331"/>
      <c r="BB6541" s="331"/>
      <c r="BC6541" s="331"/>
      <c r="BD6541" s="331"/>
      <c r="BE6541" s="333"/>
      <c r="BF6541" s="330"/>
      <c r="BG6541" s="333"/>
      <c r="BH6541" s="1119"/>
      <c r="BI6541" s="319"/>
      <c r="BJ6541" s="319"/>
      <c r="BK6541" s="319"/>
      <c r="BL6541" s="319"/>
      <c r="BM6541" s="319"/>
      <c r="BN6541" s="319"/>
      <c r="BO6541" s="319"/>
      <c r="BP6541" s="953"/>
      <c r="BQ6541" s="319"/>
      <c r="BR6541" s="319"/>
      <c r="BS6541" s="330"/>
      <c r="BT6541" s="331"/>
      <c r="BU6541" s="920"/>
      <c r="BV6541" s="903"/>
      <c r="BW6541" s="908"/>
      <c r="BX6541" s="908"/>
      <c r="BY6541" s="331"/>
      <c r="BZ6541" s="331"/>
      <c r="CA6541" s="462"/>
      <c r="CB6541" s="319"/>
      <c r="CC6541" s="319"/>
      <c r="CD6541" s="319"/>
      <c r="CE6541" s="319"/>
      <c r="CF6541" s="319"/>
      <c r="CG6541" s="319"/>
      <c r="CH6541" s="318"/>
      <c r="CI6541" s="319"/>
      <c r="CJ6541" s="319"/>
      <c r="CK6541" s="342"/>
      <c r="CL6541" s="333"/>
      <c r="CM6541" s="1079"/>
      <c r="CN6541" s="1005"/>
      <c r="CO6541" s="1005"/>
      <c r="CP6541" s="1005"/>
    </row>
    <row r="6542">
      <c r="A6542" s="1257"/>
      <c r="B6542" s="1113"/>
      <c r="C6542" s="1107"/>
      <c r="D6542" s="103"/>
      <c r="E6542" s="1137"/>
      <c r="F6542" s="112"/>
      <c r="G6542" s="1110"/>
      <c r="H6542" s="1138"/>
      <c r="I6542" s="1138"/>
      <c r="J6542" s="1139"/>
      <c r="K6542" s="1111"/>
      <c r="L6542" s="1112"/>
      <c r="M6542" s="1113"/>
      <c r="N6542" s="110"/>
      <c r="O6542" s="1140"/>
      <c r="P6542" s="1115"/>
      <c r="Q6542" s="1116"/>
      <c r="R6542" s="1141"/>
      <c r="S6542" s="1113"/>
      <c r="T6542" s="1143"/>
      <c r="U6542" s="1108"/>
      <c r="V6542" s="1108"/>
      <c r="W6542" s="1108"/>
      <c r="X6542" s="1108"/>
      <c r="Y6542" s="1108"/>
      <c r="Z6542" s="1114"/>
      <c r="AA6542" s="1114"/>
      <c r="AB6542" s="1114"/>
      <c r="AC6542" s="1117"/>
      <c r="AD6542" s="1115"/>
      <c r="AE6542" s="1115"/>
      <c r="AF6542" s="1115"/>
      <c r="AG6542" s="1115"/>
      <c r="AH6542" s="1115"/>
      <c r="AI6542" s="1115"/>
      <c r="AJ6542" s="1117"/>
      <c r="AK6542" s="1118"/>
      <c r="AL6542" s="1115"/>
      <c r="AM6542" s="1115"/>
      <c r="AN6542" s="1115"/>
      <c r="AO6542" s="1115"/>
      <c r="AP6542" s="1115"/>
      <c r="AQ6542" s="1115"/>
      <c r="AR6542" s="1115"/>
      <c r="AS6542" s="1117"/>
      <c r="AT6542" s="1075"/>
      <c r="AU6542" s="1193"/>
      <c r="AV6542" s="330"/>
      <c r="AW6542" s="331"/>
      <c r="AX6542" s="331"/>
      <c r="AY6542" s="331"/>
      <c r="AZ6542" s="331"/>
      <c r="BA6542" s="331"/>
      <c r="BB6542" s="331"/>
      <c r="BC6542" s="331"/>
      <c r="BD6542" s="331"/>
      <c r="BE6542" s="333"/>
      <c r="BF6542" s="330"/>
      <c r="BG6542" s="333"/>
      <c r="BH6542" s="1119"/>
      <c r="BI6542" s="319"/>
      <c r="BJ6542" s="319"/>
      <c r="BK6542" s="319"/>
      <c r="BL6542" s="319"/>
      <c r="BM6542" s="319"/>
      <c r="BN6542" s="319"/>
      <c r="BO6542" s="319"/>
      <c r="BP6542" s="953"/>
      <c r="BQ6542" s="319"/>
      <c r="BR6542" s="319"/>
      <c r="BS6542" s="330"/>
      <c r="BT6542" s="331"/>
      <c r="BU6542" s="920"/>
      <c r="BV6542" s="903"/>
      <c r="BW6542" s="908"/>
      <c r="BX6542" s="908"/>
      <c r="BY6542" s="331"/>
      <c r="BZ6542" s="331"/>
      <c r="CA6542" s="462"/>
      <c r="CB6542" s="319"/>
      <c r="CC6542" s="319"/>
      <c r="CD6542" s="319"/>
      <c r="CE6542" s="319"/>
      <c r="CF6542" s="319"/>
      <c r="CG6542" s="319"/>
      <c r="CH6542" s="318"/>
      <c r="CI6542" s="319"/>
      <c r="CJ6542" s="319"/>
      <c r="CK6542" s="342"/>
      <c r="CL6542" s="333"/>
      <c r="CM6542" s="1079"/>
      <c r="CN6542" s="1005"/>
      <c r="CO6542" s="1005"/>
      <c r="CP6542" s="1005"/>
    </row>
    <row r="6543">
      <c r="A6543" s="1257"/>
      <c r="B6543" s="1113"/>
      <c r="C6543" s="1107"/>
      <c r="D6543" s="103"/>
      <c r="E6543" s="1137"/>
      <c r="F6543" s="112"/>
      <c r="G6543" s="1110"/>
      <c r="H6543" s="1138"/>
      <c r="I6543" s="1138"/>
      <c r="J6543" s="1139"/>
      <c r="K6543" s="1111"/>
      <c r="L6543" s="1112"/>
      <c r="M6543" s="1113"/>
      <c r="N6543" s="110"/>
      <c r="O6543" s="1140"/>
      <c r="P6543" s="1115"/>
      <c r="Q6543" s="1116"/>
      <c r="R6543" s="1141"/>
      <c r="S6543" s="1113"/>
      <c r="T6543" s="1143"/>
      <c r="U6543" s="1108"/>
      <c r="V6543" s="1108"/>
      <c r="W6543" s="1108"/>
      <c r="X6543" s="1108"/>
      <c r="Y6543" s="1108"/>
      <c r="Z6543" s="1114"/>
      <c r="AA6543" s="1114"/>
      <c r="AB6543" s="1114"/>
      <c r="AC6543" s="1117"/>
      <c r="AD6543" s="1115"/>
      <c r="AE6543" s="1115"/>
      <c r="AF6543" s="1115"/>
      <c r="AG6543" s="1115"/>
      <c r="AH6543" s="1115"/>
      <c r="AI6543" s="1115"/>
      <c r="AJ6543" s="1117"/>
      <c r="AK6543" s="1118"/>
      <c r="AL6543" s="1115"/>
      <c r="AM6543" s="1115"/>
      <c r="AN6543" s="1115"/>
      <c r="AO6543" s="1115"/>
      <c r="AP6543" s="1115"/>
      <c r="AQ6543" s="1115"/>
      <c r="AR6543" s="1115"/>
      <c r="AS6543" s="1117"/>
      <c r="AT6543" s="1075"/>
      <c r="AU6543" s="1193"/>
      <c r="AV6543" s="330"/>
      <c r="AW6543" s="331"/>
      <c r="AX6543" s="331"/>
      <c r="AY6543" s="331"/>
      <c r="AZ6543" s="331"/>
      <c r="BA6543" s="331"/>
      <c r="BB6543" s="331"/>
      <c r="BC6543" s="331"/>
      <c r="BD6543" s="331"/>
      <c r="BE6543" s="333"/>
      <c r="BF6543" s="330"/>
      <c r="BG6543" s="333"/>
      <c r="BH6543" s="1119"/>
      <c r="BI6543" s="319"/>
      <c r="BJ6543" s="319"/>
      <c r="BK6543" s="319"/>
      <c r="BL6543" s="319"/>
      <c r="BM6543" s="319"/>
      <c r="BN6543" s="319"/>
      <c r="BO6543" s="319"/>
      <c r="BP6543" s="953"/>
      <c r="BQ6543" s="319"/>
      <c r="BR6543" s="319"/>
      <c r="BS6543" s="330"/>
      <c r="BT6543" s="331"/>
      <c r="BU6543" s="920"/>
      <c r="BV6543" s="903"/>
      <c r="BW6543" s="908"/>
      <c r="BX6543" s="908"/>
      <c r="BY6543" s="331"/>
      <c r="BZ6543" s="331"/>
      <c r="CA6543" s="462"/>
      <c r="CB6543" s="319"/>
      <c r="CC6543" s="319"/>
      <c r="CD6543" s="319"/>
      <c r="CE6543" s="319"/>
      <c r="CF6543" s="319"/>
      <c r="CG6543" s="319"/>
      <c r="CH6543" s="318"/>
      <c r="CI6543" s="319"/>
      <c r="CJ6543" s="319"/>
      <c r="CK6543" s="342"/>
      <c r="CL6543" s="333"/>
      <c r="CM6543" s="1079"/>
      <c r="CN6543" s="1005"/>
      <c r="CO6543" s="1005"/>
      <c r="CP6543" s="1005"/>
    </row>
    <row r="6544">
      <c r="A6544" s="1257"/>
      <c r="B6544" s="1113"/>
      <c r="C6544" s="1107"/>
      <c r="D6544" s="103"/>
      <c r="E6544" s="1137"/>
      <c r="F6544" s="112"/>
      <c r="G6544" s="1110"/>
      <c r="H6544" s="1138"/>
      <c r="I6544" s="1138"/>
      <c r="J6544" s="1139"/>
      <c r="K6544" s="1111"/>
      <c r="L6544" s="1112"/>
      <c r="M6544" s="1113"/>
      <c r="N6544" s="110"/>
      <c r="O6544" s="1140"/>
      <c r="P6544" s="1115"/>
      <c r="Q6544" s="1116"/>
      <c r="R6544" s="1141"/>
      <c r="S6544" s="1113"/>
      <c r="T6544" s="1143"/>
      <c r="U6544" s="1108"/>
      <c r="V6544" s="1108"/>
      <c r="W6544" s="1108"/>
      <c r="X6544" s="1108"/>
      <c r="Y6544" s="1108"/>
      <c r="Z6544" s="1114"/>
      <c r="AA6544" s="1114"/>
      <c r="AB6544" s="1114"/>
      <c r="AC6544" s="1117"/>
      <c r="AD6544" s="1115"/>
      <c r="AE6544" s="1115"/>
      <c r="AF6544" s="1115"/>
      <c r="AG6544" s="1115"/>
      <c r="AH6544" s="1115"/>
      <c r="AI6544" s="1115"/>
      <c r="AJ6544" s="1117"/>
      <c r="AK6544" s="1118"/>
      <c r="AL6544" s="1115"/>
      <c r="AM6544" s="1115"/>
      <c r="AN6544" s="1115"/>
      <c r="AO6544" s="1115"/>
      <c r="AP6544" s="1115"/>
      <c r="AQ6544" s="1115"/>
      <c r="AR6544" s="1115"/>
      <c r="AS6544" s="1117"/>
      <c r="AT6544" s="1075"/>
      <c r="AU6544" s="1193"/>
      <c r="AV6544" s="330"/>
      <c r="AW6544" s="331"/>
      <c r="AX6544" s="331"/>
      <c r="AY6544" s="331"/>
      <c r="AZ6544" s="331"/>
      <c r="BA6544" s="331"/>
      <c r="BB6544" s="331"/>
      <c r="BC6544" s="331"/>
      <c r="BD6544" s="331"/>
      <c r="BE6544" s="333"/>
      <c r="BF6544" s="330"/>
      <c r="BG6544" s="333"/>
      <c r="BH6544" s="1119"/>
      <c r="BI6544" s="319"/>
      <c r="BJ6544" s="319"/>
      <c r="BK6544" s="319"/>
      <c r="BL6544" s="319"/>
      <c r="BM6544" s="319"/>
      <c r="BN6544" s="319"/>
      <c r="BO6544" s="319"/>
      <c r="BP6544" s="953"/>
      <c r="BQ6544" s="319"/>
      <c r="BR6544" s="319"/>
      <c r="BS6544" s="330"/>
      <c r="BT6544" s="331"/>
      <c r="BU6544" s="920"/>
      <c r="BV6544" s="903"/>
      <c r="BW6544" s="908"/>
      <c r="BX6544" s="908"/>
      <c r="BY6544" s="331"/>
      <c r="BZ6544" s="331"/>
      <c r="CA6544" s="462"/>
      <c r="CB6544" s="319"/>
      <c r="CC6544" s="319"/>
      <c r="CD6544" s="319"/>
      <c r="CE6544" s="319"/>
      <c r="CF6544" s="319"/>
      <c r="CG6544" s="319"/>
      <c r="CH6544" s="318"/>
      <c r="CI6544" s="319"/>
      <c r="CJ6544" s="319"/>
      <c r="CK6544" s="342"/>
      <c r="CL6544" s="333"/>
      <c r="CM6544" s="1079"/>
      <c r="CN6544" s="1005"/>
      <c r="CO6544" s="1005"/>
      <c r="CP6544" s="1005"/>
    </row>
    <row r="6545">
      <c r="A6545" s="1257"/>
      <c r="B6545" s="1113"/>
      <c r="C6545" s="1107"/>
      <c r="D6545" s="103"/>
      <c r="E6545" s="1137"/>
      <c r="F6545" s="112"/>
      <c r="G6545" s="1110"/>
      <c r="H6545" s="1138"/>
      <c r="I6545" s="1138"/>
      <c r="J6545" s="1139"/>
      <c r="K6545" s="1111"/>
      <c r="L6545" s="1112"/>
      <c r="M6545" s="1113"/>
      <c r="N6545" s="110"/>
      <c r="O6545" s="1140"/>
      <c r="P6545" s="1115"/>
      <c r="Q6545" s="1116"/>
      <c r="R6545" s="1141"/>
      <c r="S6545" s="1113"/>
      <c r="T6545" s="1143"/>
      <c r="U6545" s="1108"/>
      <c r="V6545" s="1108"/>
      <c r="W6545" s="1108"/>
      <c r="X6545" s="1108"/>
      <c r="Y6545" s="1108"/>
      <c r="Z6545" s="1114"/>
      <c r="AA6545" s="1114"/>
      <c r="AB6545" s="1114"/>
      <c r="AC6545" s="1117"/>
      <c r="AD6545" s="1115"/>
      <c r="AE6545" s="1115"/>
      <c r="AF6545" s="1115"/>
      <c r="AG6545" s="1115"/>
      <c r="AH6545" s="1115"/>
      <c r="AI6545" s="1115"/>
      <c r="AJ6545" s="1117"/>
      <c r="AK6545" s="1118"/>
      <c r="AL6545" s="1115"/>
      <c r="AM6545" s="1115"/>
      <c r="AN6545" s="1115"/>
      <c r="AO6545" s="1115"/>
      <c r="AP6545" s="1115"/>
      <c r="AQ6545" s="1115"/>
      <c r="AR6545" s="1115"/>
      <c r="AS6545" s="1117"/>
      <c r="AT6545" s="1075"/>
      <c r="AU6545" s="1193"/>
      <c r="AV6545" s="330"/>
      <c r="AW6545" s="331"/>
      <c r="AX6545" s="331"/>
      <c r="AY6545" s="331"/>
      <c r="AZ6545" s="331"/>
      <c r="BA6545" s="331"/>
      <c r="BB6545" s="331"/>
      <c r="BC6545" s="331"/>
      <c r="BD6545" s="331"/>
      <c r="BE6545" s="333"/>
      <c r="BF6545" s="330"/>
      <c r="BG6545" s="333"/>
      <c r="BH6545" s="1119"/>
      <c r="BI6545" s="319"/>
      <c r="BJ6545" s="319"/>
      <c r="BK6545" s="319"/>
      <c r="BL6545" s="319"/>
      <c r="BM6545" s="319"/>
      <c r="BN6545" s="319"/>
      <c r="BO6545" s="319"/>
      <c r="BP6545" s="953"/>
      <c r="BQ6545" s="319"/>
      <c r="BR6545" s="319"/>
      <c r="BS6545" s="330"/>
      <c r="BT6545" s="331"/>
      <c r="BU6545" s="920"/>
      <c r="BV6545" s="903"/>
      <c r="BW6545" s="908"/>
      <c r="BX6545" s="908"/>
      <c r="BY6545" s="331"/>
      <c r="BZ6545" s="331"/>
      <c r="CA6545" s="462"/>
      <c r="CB6545" s="319"/>
      <c r="CC6545" s="319"/>
      <c r="CD6545" s="319"/>
      <c r="CE6545" s="319"/>
      <c r="CF6545" s="319"/>
      <c r="CG6545" s="319"/>
      <c r="CH6545" s="318"/>
      <c r="CI6545" s="319"/>
      <c r="CJ6545" s="319"/>
      <c r="CK6545" s="342"/>
      <c r="CL6545" s="333"/>
      <c r="CM6545" s="1079"/>
      <c r="CN6545" s="1005"/>
      <c r="CO6545" s="1005"/>
      <c r="CP6545" s="1005"/>
    </row>
    <row r="6546">
      <c r="A6546" s="1257"/>
      <c r="B6546" s="1113"/>
      <c r="C6546" s="1107"/>
      <c r="D6546" s="103"/>
      <c r="E6546" s="1137"/>
      <c r="F6546" s="112"/>
      <c r="G6546" s="1110"/>
      <c r="H6546" s="1138"/>
      <c r="I6546" s="1138"/>
      <c r="J6546" s="1139"/>
      <c r="K6546" s="1111"/>
      <c r="L6546" s="1112"/>
      <c r="M6546" s="1113"/>
      <c r="N6546" s="110"/>
      <c r="O6546" s="1140"/>
      <c r="P6546" s="1115"/>
      <c r="Q6546" s="1116"/>
      <c r="R6546" s="1141"/>
      <c r="S6546" s="1113"/>
      <c r="T6546" s="1143"/>
      <c r="U6546" s="1108"/>
      <c r="V6546" s="1108"/>
      <c r="W6546" s="1108"/>
      <c r="X6546" s="1108"/>
      <c r="Y6546" s="1108"/>
      <c r="Z6546" s="1114"/>
      <c r="AA6546" s="1114"/>
      <c r="AB6546" s="1114"/>
      <c r="AC6546" s="1117"/>
      <c r="AD6546" s="1115"/>
      <c r="AE6546" s="1115"/>
      <c r="AF6546" s="1115"/>
      <c r="AG6546" s="1115"/>
      <c r="AH6546" s="1115"/>
      <c r="AI6546" s="1115"/>
      <c r="AJ6546" s="1117"/>
      <c r="AK6546" s="1118"/>
      <c r="AL6546" s="1115"/>
      <c r="AM6546" s="1115"/>
      <c r="AN6546" s="1115"/>
      <c r="AO6546" s="1115"/>
      <c r="AP6546" s="1115"/>
      <c r="AQ6546" s="1115"/>
      <c r="AR6546" s="1115"/>
      <c r="AS6546" s="1117"/>
      <c r="AT6546" s="1075"/>
      <c r="AU6546" s="1193"/>
      <c r="AV6546" s="330"/>
      <c r="AW6546" s="331"/>
      <c r="AX6546" s="331"/>
      <c r="AY6546" s="331"/>
      <c r="AZ6546" s="331"/>
      <c r="BA6546" s="331"/>
      <c r="BB6546" s="331"/>
      <c r="BC6546" s="331"/>
      <c r="BD6546" s="331"/>
      <c r="BE6546" s="333"/>
      <c r="BF6546" s="330"/>
      <c r="BG6546" s="333"/>
      <c r="BH6546" s="1119"/>
      <c r="BI6546" s="319"/>
      <c r="BJ6546" s="319"/>
      <c r="BK6546" s="319"/>
      <c r="BL6546" s="319"/>
      <c r="BM6546" s="319"/>
      <c r="BN6546" s="319"/>
      <c r="BO6546" s="319"/>
      <c r="BP6546" s="953"/>
      <c r="BQ6546" s="319"/>
      <c r="BR6546" s="319"/>
      <c r="BS6546" s="330"/>
      <c r="BT6546" s="331"/>
      <c r="BU6546" s="920"/>
      <c r="BV6546" s="903"/>
      <c r="BW6546" s="908"/>
      <c r="BX6546" s="908"/>
      <c r="BY6546" s="331"/>
      <c r="BZ6546" s="331"/>
      <c r="CA6546" s="462"/>
      <c r="CB6546" s="319"/>
      <c r="CC6546" s="319"/>
      <c r="CD6546" s="319"/>
      <c r="CE6546" s="319"/>
      <c r="CF6546" s="319"/>
      <c r="CG6546" s="319"/>
      <c r="CH6546" s="318"/>
      <c r="CI6546" s="319"/>
      <c r="CJ6546" s="319"/>
      <c r="CK6546" s="342"/>
      <c r="CL6546" s="333"/>
      <c r="CM6546" s="1079"/>
      <c r="CN6546" s="1005"/>
      <c r="CO6546" s="1005"/>
      <c r="CP6546" s="1005"/>
    </row>
    <row r="6547">
      <c r="A6547" s="1257"/>
      <c r="B6547" s="1113"/>
      <c r="C6547" s="1107"/>
      <c r="D6547" s="103"/>
      <c r="E6547" s="1137"/>
      <c r="F6547" s="112"/>
      <c r="G6547" s="1110"/>
      <c r="H6547" s="1138"/>
      <c r="I6547" s="1138"/>
      <c r="J6547" s="1139"/>
      <c r="K6547" s="1111"/>
      <c r="L6547" s="1112"/>
      <c r="M6547" s="1113"/>
      <c r="N6547" s="110"/>
      <c r="O6547" s="1140"/>
      <c r="P6547" s="1115"/>
      <c r="Q6547" s="1116"/>
      <c r="R6547" s="1141"/>
      <c r="S6547" s="1113"/>
      <c r="T6547" s="1143"/>
      <c r="U6547" s="1108"/>
      <c r="V6547" s="1108"/>
      <c r="W6547" s="1108"/>
      <c r="X6547" s="1108"/>
      <c r="Y6547" s="1108"/>
      <c r="Z6547" s="1114"/>
      <c r="AA6547" s="1114"/>
      <c r="AB6547" s="1114"/>
      <c r="AC6547" s="1117"/>
      <c r="AD6547" s="1115"/>
      <c r="AE6547" s="1115"/>
      <c r="AF6547" s="1115"/>
      <c r="AG6547" s="1115"/>
      <c r="AH6547" s="1115"/>
      <c r="AI6547" s="1115"/>
      <c r="AJ6547" s="1117"/>
      <c r="AK6547" s="1118"/>
      <c r="AL6547" s="1115"/>
      <c r="AM6547" s="1115"/>
      <c r="AN6547" s="1115"/>
      <c r="AO6547" s="1115"/>
      <c r="AP6547" s="1115"/>
      <c r="AQ6547" s="1115"/>
      <c r="AR6547" s="1115"/>
      <c r="AS6547" s="1117"/>
      <c r="AT6547" s="1075"/>
      <c r="AU6547" s="1193"/>
      <c r="AV6547" s="330"/>
      <c r="AW6547" s="331"/>
      <c r="AX6547" s="331"/>
      <c r="AY6547" s="331"/>
      <c r="AZ6547" s="331"/>
      <c r="BA6547" s="331"/>
      <c r="BB6547" s="331"/>
      <c r="BC6547" s="331"/>
      <c r="BD6547" s="331"/>
      <c r="BE6547" s="333"/>
      <c r="BF6547" s="330"/>
      <c r="BG6547" s="333"/>
      <c r="BH6547" s="1119"/>
      <c r="BI6547" s="319"/>
      <c r="BJ6547" s="319"/>
      <c r="BK6547" s="319"/>
      <c r="BL6547" s="319"/>
      <c r="BM6547" s="319"/>
      <c r="BN6547" s="319"/>
      <c r="BO6547" s="319"/>
      <c r="BP6547" s="953"/>
      <c r="BQ6547" s="319"/>
      <c r="BR6547" s="319"/>
      <c r="BS6547" s="330"/>
      <c r="BT6547" s="331"/>
      <c r="BU6547" s="920"/>
      <c r="BV6547" s="903"/>
      <c r="BW6547" s="908"/>
      <c r="BX6547" s="908"/>
      <c r="BY6547" s="331"/>
      <c r="BZ6547" s="331"/>
      <c r="CA6547" s="462"/>
      <c r="CB6547" s="319"/>
      <c r="CC6547" s="319"/>
      <c r="CD6547" s="319"/>
      <c r="CE6547" s="319"/>
      <c r="CF6547" s="319"/>
      <c r="CG6547" s="319"/>
      <c r="CH6547" s="318"/>
      <c r="CI6547" s="319"/>
      <c r="CJ6547" s="319"/>
      <c r="CK6547" s="342"/>
      <c r="CL6547" s="333"/>
      <c r="CM6547" s="1079"/>
      <c r="CN6547" s="1005"/>
      <c r="CO6547" s="1005"/>
      <c r="CP6547" s="1005"/>
    </row>
    <row r="6548">
      <c r="A6548" s="1257"/>
      <c r="B6548" s="1113"/>
      <c r="C6548" s="1107"/>
      <c r="D6548" s="103"/>
      <c r="E6548" s="1137"/>
      <c r="F6548" s="112"/>
      <c r="G6548" s="1110"/>
      <c r="H6548" s="1138"/>
      <c r="I6548" s="1138"/>
      <c r="J6548" s="1139"/>
      <c r="K6548" s="1111"/>
      <c r="L6548" s="1112"/>
      <c r="M6548" s="1113"/>
      <c r="N6548" s="110"/>
      <c r="O6548" s="1140"/>
      <c r="P6548" s="1115"/>
      <c r="Q6548" s="1116"/>
      <c r="R6548" s="1141"/>
      <c r="S6548" s="1113"/>
      <c r="T6548" s="1143"/>
      <c r="U6548" s="1108"/>
      <c r="V6548" s="1108"/>
      <c r="W6548" s="1108"/>
      <c r="X6548" s="1108"/>
      <c r="Y6548" s="1108"/>
      <c r="Z6548" s="1114"/>
      <c r="AA6548" s="1114"/>
      <c r="AB6548" s="1114"/>
      <c r="AC6548" s="1117"/>
      <c r="AD6548" s="1115"/>
      <c r="AE6548" s="1115"/>
      <c r="AF6548" s="1115"/>
      <c r="AG6548" s="1115"/>
      <c r="AH6548" s="1115"/>
      <c r="AI6548" s="1115"/>
      <c r="AJ6548" s="1117"/>
      <c r="AK6548" s="1118"/>
      <c r="AL6548" s="1115"/>
      <c r="AM6548" s="1115"/>
      <c r="AN6548" s="1115"/>
      <c r="AO6548" s="1115"/>
      <c r="AP6548" s="1115"/>
      <c r="AQ6548" s="1115"/>
      <c r="AR6548" s="1115"/>
      <c r="AS6548" s="1117"/>
      <c r="AT6548" s="1075"/>
      <c r="AU6548" s="1193"/>
      <c r="AV6548" s="330"/>
      <c r="AW6548" s="331"/>
      <c r="AX6548" s="331"/>
      <c r="AY6548" s="331"/>
      <c r="AZ6548" s="331"/>
      <c r="BA6548" s="331"/>
      <c r="BB6548" s="331"/>
      <c r="BC6548" s="331"/>
      <c r="BD6548" s="331"/>
      <c r="BE6548" s="333"/>
      <c r="BF6548" s="330"/>
      <c r="BG6548" s="333"/>
      <c r="BH6548" s="1119"/>
      <c r="BI6548" s="319"/>
      <c r="BJ6548" s="319"/>
      <c r="BK6548" s="319"/>
      <c r="BL6548" s="319"/>
      <c r="BM6548" s="319"/>
      <c r="BN6548" s="319"/>
      <c r="BO6548" s="319"/>
      <c r="BP6548" s="953"/>
      <c r="BQ6548" s="319"/>
      <c r="BR6548" s="319"/>
      <c r="BS6548" s="330"/>
      <c r="BT6548" s="331"/>
      <c r="BU6548" s="920"/>
      <c r="BV6548" s="903"/>
      <c r="BW6548" s="908"/>
      <c r="BX6548" s="908"/>
      <c r="BY6548" s="331"/>
      <c r="BZ6548" s="331"/>
      <c r="CA6548" s="462"/>
      <c r="CB6548" s="319"/>
      <c r="CC6548" s="319"/>
      <c r="CD6548" s="319"/>
      <c r="CE6548" s="319"/>
      <c r="CF6548" s="319"/>
      <c r="CG6548" s="319"/>
      <c r="CH6548" s="318"/>
      <c r="CI6548" s="319"/>
      <c r="CJ6548" s="319"/>
      <c r="CK6548" s="342"/>
      <c r="CL6548" s="333"/>
      <c r="CM6548" s="1079"/>
      <c r="CN6548" s="1005"/>
      <c r="CO6548" s="1005"/>
      <c r="CP6548" s="1005"/>
    </row>
    <row r="6549">
      <c r="A6549" s="1257"/>
      <c r="B6549" s="1113"/>
      <c r="C6549" s="1107"/>
      <c r="D6549" s="103"/>
      <c r="E6549" s="1137"/>
      <c r="F6549" s="112"/>
      <c r="G6549" s="1110"/>
      <c r="H6549" s="1138"/>
      <c r="I6549" s="1138"/>
      <c r="J6549" s="1139"/>
      <c r="K6549" s="1111"/>
      <c r="L6549" s="1112"/>
      <c r="M6549" s="1113"/>
      <c r="N6549" s="110"/>
      <c r="O6549" s="1140"/>
      <c r="P6549" s="1115"/>
      <c r="Q6549" s="1116"/>
      <c r="R6549" s="1141"/>
      <c r="S6549" s="1113"/>
      <c r="T6549" s="1143"/>
      <c r="U6549" s="1108"/>
      <c r="V6549" s="1108"/>
      <c r="W6549" s="1108"/>
      <c r="X6549" s="1108"/>
      <c r="Y6549" s="1108"/>
      <c r="Z6549" s="1114"/>
      <c r="AA6549" s="1114"/>
      <c r="AB6549" s="1114"/>
      <c r="AC6549" s="1117"/>
      <c r="AD6549" s="1115"/>
      <c r="AE6549" s="1115"/>
      <c r="AF6549" s="1115"/>
      <c r="AG6549" s="1115"/>
      <c r="AH6549" s="1115"/>
      <c r="AI6549" s="1115"/>
      <c r="AJ6549" s="1117"/>
      <c r="AK6549" s="1118"/>
      <c r="AL6549" s="1115"/>
      <c r="AM6549" s="1115"/>
      <c r="AN6549" s="1115"/>
      <c r="AO6549" s="1115"/>
      <c r="AP6549" s="1115"/>
      <c r="AQ6549" s="1115"/>
      <c r="AR6549" s="1115"/>
      <c r="AS6549" s="1117"/>
      <c r="AT6549" s="1075"/>
      <c r="AU6549" s="1193"/>
      <c r="AV6549" s="330"/>
      <c r="AW6549" s="331"/>
      <c r="AX6549" s="331"/>
      <c r="AY6549" s="331"/>
      <c r="AZ6549" s="331"/>
      <c r="BA6549" s="331"/>
      <c r="BB6549" s="331"/>
      <c r="BC6549" s="331"/>
      <c r="BD6549" s="331"/>
      <c r="BE6549" s="333"/>
      <c r="BF6549" s="330"/>
      <c r="BG6549" s="333"/>
      <c r="BH6549" s="1119"/>
      <c r="BI6549" s="319"/>
      <c r="BJ6549" s="319"/>
      <c r="BK6549" s="319"/>
      <c r="BL6549" s="319"/>
      <c r="BM6549" s="319"/>
      <c r="BN6549" s="319"/>
      <c r="BO6549" s="319"/>
      <c r="BP6549" s="953"/>
      <c r="BQ6549" s="319"/>
      <c r="BR6549" s="319"/>
      <c r="BS6549" s="330"/>
      <c r="BT6549" s="331"/>
      <c r="BU6549" s="920"/>
      <c r="BV6549" s="903"/>
      <c r="BW6549" s="908"/>
      <c r="BX6549" s="908"/>
      <c r="BY6549" s="331"/>
      <c r="BZ6549" s="331"/>
      <c r="CA6549" s="462"/>
      <c r="CB6549" s="319"/>
      <c r="CC6549" s="319"/>
      <c r="CD6549" s="319"/>
      <c r="CE6549" s="319"/>
      <c r="CF6549" s="319"/>
      <c r="CG6549" s="319"/>
      <c r="CH6549" s="318"/>
      <c r="CI6549" s="319"/>
      <c r="CJ6549" s="319"/>
      <c r="CK6549" s="342"/>
      <c r="CL6549" s="333"/>
      <c r="CM6549" s="1079"/>
      <c r="CN6549" s="1005"/>
      <c r="CO6549" s="1005"/>
      <c r="CP6549" s="1005"/>
    </row>
    <row r="6550">
      <c r="A6550" s="1257"/>
      <c r="B6550" s="1113"/>
      <c r="C6550" s="1107"/>
      <c r="D6550" s="103"/>
      <c r="E6550" s="1137"/>
      <c r="F6550" s="112"/>
      <c r="G6550" s="1110"/>
      <c r="H6550" s="1138"/>
      <c r="I6550" s="1138"/>
      <c r="J6550" s="1139"/>
      <c r="K6550" s="1111"/>
      <c r="L6550" s="1112"/>
      <c r="M6550" s="1113"/>
      <c r="N6550" s="110"/>
      <c r="O6550" s="1140"/>
      <c r="P6550" s="1115"/>
      <c r="Q6550" s="1116"/>
      <c r="R6550" s="1141"/>
      <c r="S6550" s="1113"/>
      <c r="T6550" s="1143"/>
      <c r="U6550" s="1108"/>
      <c r="V6550" s="1108"/>
      <c r="W6550" s="1108"/>
      <c r="X6550" s="1108"/>
      <c r="Y6550" s="1108"/>
      <c r="Z6550" s="1114"/>
      <c r="AA6550" s="1114"/>
      <c r="AB6550" s="1114"/>
      <c r="AC6550" s="1117"/>
      <c r="AD6550" s="1115"/>
      <c r="AE6550" s="1115"/>
      <c r="AF6550" s="1115"/>
      <c r="AG6550" s="1115"/>
      <c r="AH6550" s="1115"/>
      <c r="AI6550" s="1115"/>
      <c r="AJ6550" s="1117"/>
      <c r="AK6550" s="1118"/>
      <c r="AL6550" s="1115"/>
      <c r="AM6550" s="1115"/>
      <c r="AN6550" s="1115"/>
      <c r="AO6550" s="1115"/>
      <c r="AP6550" s="1115"/>
      <c r="AQ6550" s="1115"/>
      <c r="AR6550" s="1115"/>
      <c r="AS6550" s="1117"/>
      <c r="AT6550" s="1075"/>
      <c r="AU6550" s="1193"/>
      <c r="AV6550" s="330"/>
      <c r="AW6550" s="331"/>
      <c r="AX6550" s="331"/>
      <c r="AY6550" s="331"/>
      <c r="AZ6550" s="331"/>
      <c r="BA6550" s="331"/>
      <c r="BB6550" s="331"/>
      <c r="BC6550" s="331"/>
      <c r="BD6550" s="331"/>
      <c r="BE6550" s="333"/>
      <c r="BF6550" s="330"/>
      <c r="BG6550" s="333"/>
      <c r="BH6550" s="1119"/>
      <c r="BI6550" s="319"/>
      <c r="BJ6550" s="319"/>
      <c r="BK6550" s="319"/>
      <c r="BL6550" s="319"/>
      <c r="BM6550" s="319"/>
      <c r="BN6550" s="319"/>
      <c r="BO6550" s="319"/>
      <c r="BP6550" s="953"/>
      <c r="BQ6550" s="319"/>
      <c r="BR6550" s="319"/>
      <c r="BS6550" s="330"/>
      <c r="BT6550" s="331"/>
      <c r="BU6550" s="920"/>
      <c r="BV6550" s="903"/>
      <c r="BW6550" s="908"/>
      <c r="BX6550" s="908"/>
      <c r="BY6550" s="331"/>
      <c r="BZ6550" s="331"/>
      <c r="CA6550" s="462"/>
      <c r="CB6550" s="319"/>
      <c r="CC6550" s="319"/>
      <c r="CD6550" s="319"/>
      <c r="CE6550" s="319"/>
      <c r="CF6550" s="319"/>
      <c r="CG6550" s="319"/>
      <c r="CH6550" s="318"/>
      <c r="CI6550" s="319"/>
      <c r="CJ6550" s="319"/>
      <c r="CK6550" s="342"/>
      <c r="CL6550" s="333"/>
      <c r="CM6550" s="1079"/>
      <c r="CN6550" s="1005"/>
      <c r="CO6550" s="1005"/>
      <c r="CP6550" s="1005"/>
    </row>
    <row r="6551">
      <c r="A6551" s="1257"/>
      <c r="B6551" s="1113"/>
      <c r="C6551" s="1107"/>
      <c r="D6551" s="103"/>
      <c r="E6551" s="1137"/>
      <c r="F6551" s="112"/>
      <c r="G6551" s="1110"/>
      <c r="H6551" s="1138"/>
      <c r="I6551" s="1138"/>
      <c r="J6551" s="1139"/>
      <c r="K6551" s="1111"/>
      <c r="L6551" s="1112"/>
      <c r="M6551" s="1113"/>
      <c r="N6551" s="110"/>
      <c r="O6551" s="1140"/>
      <c r="P6551" s="1115"/>
      <c r="Q6551" s="1116"/>
      <c r="R6551" s="1141"/>
      <c r="S6551" s="1113"/>
      <c r="T6551" s="1143"/>
      <c r="U6551" s="1108"/>
      <c r="V6551" s="1108"/>
      <c r="W6551" s="1108"/>
      <c r="X6551" s="1108"/>
      <c r="Y6551" s="1108"/>
      <c r="Z6551" s="1114"/>
      <c r="AA6551" s="1114"/>
      <c r="AB6551" s="1114"/>
      <c r="AC6551" s="1117"/>
      <c r="AD6551" s="1115"/>
      <c r="AE6551" s="1115"/>
      <c r="AF6551" s="1115"/>
      <c r="AG6551" s="1115"/>
      <c r="AH6551" s="1115"/>
      <c r="AI6551" s="1115"/>
      <c r="AJ6551" s="1117"/>
      <c r="AK6551" s="1118"/>
      <c r="AL6551" s="1115"/>
      <c r="AM6551" s="1115"/>
      <c r="AN6551" s="1115"/>
      <c r="AO6551" s="1115"/>
      <c r="AP6551" s="1115"/>
      <c r="AQ6551" s="1115"/>
      <c r="AR6551" s="1115"/>
      <c r="AS6551" s="1117"/>
      <c r="AT6551" s="1075"/>
      <c r="AU6551" s="1193"/>
      <c r="AV6551" s="330"/>
      <c r="AW6551" s="331"/>
      <c r="AX6551" s="331"/>
      <c r="AY6551" s="331"/>
      <c r="AZ6551" s="331"/>
      <c r="BA6551" s="331"/>
      <c r="BB6551" s="331"/>
      <c r="BC6551" s="331"/>
      <c r="BD6551" s="331"/>
      <c r="BE6551" s="333"/>
      <c r="BF6551" s="330"/>
      <c r="BG6551" s="333"/>
      <c r="BH6551" s="1119"/>
      <c r="BI6551" s="319"/>
      <c r="BJ6551" s="319"/>
      <c r="BK6551" s="319"/>
      <c r="BL6551" s="319"/>
      <c r="BM6551" s="319"/>
      <c r="BN6551" s="319"/>
      <c r="BO6551" s="319"/>
      <c r="BP6551" s="953"/>
      <c r="BQ6551" s="319"/>
      <c r="BR6551" s="319"/>
      <c r="BS6551" s="330"/>
      <c r="BT6551" s="331"/>
      <c r="BU6551" s="920"/>
      <c r="BV6551" s="903"/>
      <c r="BW6551" s="908"/>
      <c r="BX6551" s="908"/>
      <c r="BY6551" s="331"/>
      <c r="BZ6551" s="331"/>
      <c r="CA6551" s="462"/>
      <c r="CB6551" s="319"/>
      <c r="CC6551" s="319"/>
      <c r="CD6551" s="319"/>
      <c r="CE6551" s="319"/>
      <c r="CF6551" s="319"/>
      <c r="CG6551" s="319"/>
      <c r="CH6551" s="318"/>
      <c r="CI6551" s="319"/>
      <c r="CJ6551" s="319"/>
      <c r="CK6551" s="342"/>
      <c r="CL6551" s="333"/>
      <c r="CM6551" s="1079"/>
      <c r="CN6551" s="1005"/>
      <c r="CO6551" s="1005"/>
      <c r="CP6551" s="1005"/>
    </row>
    <row r="6552">
      <c r="A6552" s="1257"/>
      <c r="B6552" s="1113"/>
      <c r="C6552" s="1107"/>
      <c r="D6552" s="103"/>
      <c r="E6552" s="1137"/>
      <c r="F6552" s="112"/>
      <c r="G6552" s="1110"/>
      <c r="H6552" s="1138"/>
      <c r="I6552" s="1138"/>
      <c r="J6552" s="1139"/>
      <c r="K6552" s="1111"/>
      <c r="L6552" s="1112"/>
      <c r="M6552" s="1113"/>
      <c r="N6552" s="110"/>
      <c r="O6552" s="1140"/>
      <c r="P6552" s="1115"/>
      <c r="Q6552" s="1116"/>
      <c r="R6552" s="1141"/>
      <c r="S6552" s="1113"/>
      <c r="T6552" s="1143"/>
      <c r="U6552" s="1108"/>
      <c r="V6552" s="1108"/>
      <c r="W6552" s="1108"/>
      <c r="X6552" s="1108"/>
      <c r="Y6552" s="1108"/>
      <c r="Z6552" s="1114"/>
      <c r="AA6552" s="1114"/>
      <c r="AB6552" s="1114"/>
      <c r="AC6552" s="1117"/>
      <c r="AD6552" s="1115"/>
      <c r="AE6552" s="1115"/>
      <c r="AF6552" s="1115"/>
      <c r="AG6552" s="1115"/>
      <c r="AH6552" s="1115"/>
      <c r="AI6552" s="1115"/>
      <c r="AJ6552" s="1117"/>
      <c r="AK6552" s="1118"/>
      <c r="AL6552" s="1115"/>
      <c r="AM6552" s="1115"/>
      <c r="AN6552" s="1115"/>
      <c r="AO6552" s="1115"/>
      <c r="AP6552" s="1115"/>
      <c r="AQ6552" s="1115"/>
      <c r="AR6552" s="1115"/>
      <c r="AS6552" s="1117"/>
      <c r="AT6552" s="1075"/>
      <c r="AU6552" s="1193"/>
      <c r="AV6552" s="330"/>
      <c r="AW6552" s="331"/>
      <c r="AX6552" s="331"/>
      <c r="AY6552" s="331"/>
      <c r="AZ6552" s="331"/>
      <c r="BA6552" s="331"/>
      <c r="BB6552" s="331"/>
      <c r="BC6552" s="331"/>
      <c r="BD6552" s="331"/>
      <c r="BE6552" s="333"/>
      <c r="BF6552" s="330"/>
      <c r="BG6552" s="333"/>
      <c r="BH6552" s="1119"/>
      <c r="BI6552" s="319"/>
      <c r="BJ6552" s="319"/>
      <c r="BK6552" s="319"/>
      <c r="BL6552" s="319"/>
      <c r="BM6552" s="319"/>
      <c r="BN6552" s="319"/>
      <c r="BO6552" s="319"/>
      <c r="BP6552" s="953"/>
      <c r="BQ6552" s="319"/>
      <c r="BR6552" s="319"/>
      <c r="BS6552" s="330"/>
      <c r="BT6552" s="331"/>
      <c r="BU6552" s="920"/>
      <c r="BV6552" s="903"/>
      <c r="BW6552" s="908"/>
      <c r="BX6552" s="908"/>
      <c r="BY6552" s="331"/>
      <c r="BZ6552" s="331"/>
      <c r="CA6552" s="462"/>
      <c r="CB6552" s="319"/>
      <c r="CC6552" s="319"/>
      <c r="CD6552" s="319"/>
      <c r="CE6552" s="319"/>
      <c r="CF6552" s="319"/>
      <c r="CG6552" s="319"/>
      <c r="CH6552" s="318"/>
      <c r="CI6552" s="319"/>
      <c r="CJ6552" s="319"/>
      <c r="CK6552" s="342"/>
      <c r="CL6552" s="333"/>
      <c r="CM6552" s="1079"/>
      <c r="CN6552" s="1005"/>
      <c r="CO6552" s="1005"/>
      <c r="CP6552" s="1005"/>
    </row>
    <row r="6553">
      <c r="A6553" s="1257"/>
      <c r="B6553" s="1113"/>
      <c r="C6553" s="1107"/>
      <c r="D6553" s="103"/>
      <c r="E6553" s="1137"/>
      <c r="F6553" s="112"/>
      <c r="G6553" s="1110"/>
      <c r="H6553" s="1138"/>
      <c r="I6553" s="1138"/>
      <c r="J6553" s="1139"/>
      <c r="K6553" s="1111"/>
      <c r="L6553" s="1112"/>
      <c r="M6553" s="1113"/>
      <c r="N6553" s="110"/>
      <c r="O6553" s="1140"/>
      <c r="P6553" s="1115"/>
      <c r="Q6553" s="1116"/>
      <c r="R6553" s="1141"/>
      <c r="S6553" s="1113"/>
      <c r="T6553" s="1143"/>
      <c r="U6553" s="1108"/>
      <c r="V6553" s="1108"/>
      <c r="W6553" s="1108"/>
      <c r="X6553" s="1108"/>
      <c r="Y6553" s="1108"/>
      <c r="Z6553" s="1114"/>
      <c r="AA6553" s="1114"/>
      <c r="AB6553" s="1114"/>
      <c r="AC6553" s="1117"/>
      <c r="AD6553" s="1115"/>
      <c r="AE6553" s="1115"/>
      <c r="AF6553" s="1115"/>
      <c r="AG6553" s="1115"/>
      <c r="AH6553" s="1115"/>
      <c r="AI6553" s="1115"/>
      <c r="AJ6553" s="1117"/>
      <c r="AK6553" s="1118"/>
      <c r="AL6553" s="1115"/>
      <c r="AM6553" s="1115"/>
      <c r="AN6553" s="1115"/>
      <c r="AO6553" s="1115"/>
      <c r="AP6553" s="1115"/>
      <c r="AQ6553" s="1115"/>
      <c r="AR6553" s="1115"/>
      <c r="AS6553" s="1117"/>
      <c r="AT6553" s="1075"/>
      <c r="AU6553" s="1193"/>
      <c r="AV6553" s="330"/>
      <c r="AW6553" s="331"/>
      <c r="AX6553" s="331"/>
      <c r="AY6553" s="331"/>
      <c r="AZ6553" s="331"/>
      <c r="BA6553" s="331"/>
      <c r="BB6553" s="331"/>
      <c r="BC6553" s="331"/>
      <c r="BD6553" s="331"/>
      <c r="BE6553" s="333"/>
      <c r="BF6553" s="330"/>
      <c r="BG6553" s="333"/>
      <c r="BH6553" s="1119"/>
      <c r="BI6553" s="319"/>
      <c r="BJ6553" s="319"/>
      <c r="BK6553" s="319"/>
      <c r="BL6553" s="319"/>
      <c r="BM6553" s="319"/>
      <c r="BN6553" s="319"/>
      <c r="BO6553" s="319"/>
      <c r="BP6553" s="953"/>
      <c r="BQ6553" s="319"/>
      <c r="BR6553" s="319"/>
      <c r="BS6553" s="330"/>
      <c r="BT6553" s="331"/>
      <c r="BU6553" s="920"/>
      <c r="BV6553" s="903"/>
      <c r="BW6553" s="908"/>
      <c r="BX6553" s="908"/>
      <c r="BY6553" s="331"/>
      <c r="BZ6553" s="331"/>
      <c r="CA6553" s="462"/>
      <c r="CB6553" s="319"/>
      <c r="CC6553" s="319"/>
      <c r="CD6553" s="319"/>
      <c r="CE6553" s="319"/>
      <c r="CF6553" s="319"/>
      <c r="CG6553" s="319"/>
      <c r="CH6553" s="318"/>
      <c r="CI6553" s="319"/>
      <c r="CJ6553" s="319"/>
      <c r="CK6553" s="342"/>
      <c r="CL6553" s="333"/>
      <c r="CM6553" s="1079"/>
      <c r="CN6553" s="1005"/>
      <c r="CO6553" s="1005"/>
      <c r="CP6553" s="1005"/>
    </row>
    <row r="6554">
      <c r="A6554" s="1257"/>
      <c r="B6554" s="1113"/>
      <c r="C6554" s="1107"/>
      <c r="D6554" s="103"/>
      <c r="E6554" s="1137"/>
      <c r="F6554" s="112"/>
      <c r="G6554" s="1110"/>
      <c r="H6554" s="1138"/>
      <c r="I6554" s="1138"/>
      <c r="J6554" s="1139"/>
      <c r="K6554" s="1111"/>
      <c r="L6554" s="1112"/>
      <c r="M6554" s="1113"/>
      <c r="N6554" s="110"/>
      <c r="O6554" s="1140"/>
      <c r="P6554" s="1115"/>
      <c r="Q6554" s="1116"/>
      <c r="R6554" s="1141"/>
      <c r="S6554" s="1113"/>
      <c r="T6554" s="1143"/>
      <c r="U6554" s="1108"/>
      <c r="V6554" s="1108"/>
      <c r="W6554" s="1108"/>
      <c r="X6554" s="1108"/>
      <c r="Y6554" s="1108"/>
      <c r="Z6554" s="1114"/>
      <c r="AA6554" s="1114"/>
      <c r="AB6554" s="1114"/>
      <c r="AC6554" s="1117"/>
      <c r="AD6554" s="1115"/>
      <c r="AE6554" s="1115"/>
      <c r="AF6554" s="1115"/>
      <c r="AG6554" s="1115"/>
      <c r="AH6554" s="1115"/>
      <c r="AI6554" s="1115"/>
      <c r="AJ6554" s="1117"/>
      <c r="AK6554" s="1118"/>
      <c r="AL6554" s="1115"/>
      <c r="AM6554" s="1115"/>
      <c r="AN6554" s="1115"/>
      <c r="AO6554" s="1115"/>
      <c r="AP6554" s="1115"/>
      <c r="AQ6554" s="1115"/>
      <c r="AR6554" s="1115"/>
      <c r="AS6554" s="1117"/>
      <c r="AT6554" s="1075"/>
      <c r="AU6554" s="1193"/>
      <c r="AV6554" s="330"/>
      <c r="AW6554" s="331"/>
      <c r="AX6554" s="331"/>
      <c r="AY6554" s="331"/>
      <c r="AZ6554" s="331"/>
      <c r="BA6554" s="331"/>
      <c r="BB6554" s="331"/>
      <c r="BC6554" s="331"/>
      <c r="BD6554" s="331"/>
      <c r="BE6554" s="333"/>
      <c r="BF6554" s="330"/>
      <c r="BG6554" s="333"/>
      <c r="BH6554" s="1119"/>
      <c r="BI6554" s="319"/>
      <c r="BJ6554" s="319"/>
      <c r="BK6554" s="319"/>
      <c r="BL6554" s="319"/>
      <c r="BM6554" s="319"/>
      <c r="BN6554" s="319"/>
      <c r="BO6554" s="319"/>
      <c r="BP6554" s="953"/>
      <c r="BQ6554" s="319"/>
      <c r="BR6554" s="319"/>
      <c r="BS6554" s="330"/>
      <c r="BT6554" s="331"/>
      <c r="BU6554" s="920"/>
      <c r="BV6554" s="903"/>
      <c r="BW6554" s="908"/>
      <c r="BX6554" s="908"/>
      <c r="BY6554" s="331"/>
      <c r="BZ6554" s="331"/>
      <c r="CA6554" s="462"/>
      <c r="CB6554" s="319"/>
      <c r="CC6554" s="319"/>
      <c r="CD6554" s="319"/>
      <c r="CE6554" s="319"/>
      <c r="CF6554" s="319"/>
      <c r="CG6554" s="319"/>
      <c r="CH6554" s="318"/>
      <c r="CI6554" s="319"/>
      <c r="CJ6554" s="319"/>
      <c r="CK6554" s="342"/>
      <c r="CL6554" s="333"/>
      <c r="CM6554" s="1079"/>
      <c r="CN6554" s="1005"/>
      <c r="CO6554" s="1005"/>
      <c r="CP6554" s="1005"/>
    </row>
    <row r="6555">
      <c r="A6555" s="1257"/>
      <c r="B6555" s="1113"/>
      <c r="C6555" s="1107"/>
      <c r="D6555" s="103"/>
      <c r="E6555" s="1137"/>
      <c r="F6555" s="112"/>
      <c r="G6555" s="1110"/>
      <c r="H6555" s="1138"/>
      <c r="I6555" s="1138"/>
      <c r="J6555" s="1139"/>
      <c r="K6555" s="1111"/>
      <c r="L6555" s="1112"/>
      <c r="M6555" s="1113"/>
      <c r="N6555" s="110"/>
      <c r="O6555" s="1140"/>
      <c r="P6555" s="1115"/>
      <c r="Q6555" s="1116"/>
      <c r="R6555" s="1141"/>
      <c r="S6555" s="1113"/>
      <c r="T6555" s="1143"/>
      <c r="U6555" s="1108"/>
      <c r="V6555" s="1108"/>
      <c r="W6555" s="1108"/>
      <c r="X6555" s="1108"/>
      <c r="Y6555" s="1108"/>
      <c r="Z6555" s="1114"/>
      <c r="AA6555" s="1114"/>
      <c r="AB6555" s="1114"/>
      <c r="AC6555" s="1117"/>
      <c r="AD6555" s="1115"/>
      <c r="AE6555" s="1115"/>
      <c r="AF6555" s="1115"/>
      <c r="AG6555" s="1115"/>
      <c r="AH6555" s="1115"/>
      <c r="AI6555" s="1115"/>
      <c r="AJ6555" s="1117"/>
      <c r="AK6555" s="1118"/>
      <c r="AL6555" s="1115"/>
      <c r="AM6555" s="1115"/>
      <c r="AN6555" s="1115"/>
      <c r="AO6555" s="1115"/>
      <c r="AP6555" s="1115"/>
      <c r="AQ6555" s="1115"/>
      <c r="AR6555" s="1115"/>
      <c r="AS6555" s="1117"/>
      <c r="AT6555" s="1075"/>
      <c r="AU6555" s="1193"/>
      <c r="AV6555" s="330"/>
      <c r="AW6555" s="331"/>
      <c r="AX6555" s="331"/>
      <c r="AY6555" s="331"/>
      <c r="AZ6555" s="331"/>
      <c r="BA6555" s="331"/>
      <c r="BB6555" s="331"/>
      <c r="BC6555" s="331"/>
      <c r="BD6555" s="331"/>
      <c r="BE6555" s="333"/>
      <c r="BF6555" s="330"/>
      <c r="BG6555" s="333"/>
      <c r="BH6555" s="1119"/>
      <c r="BI6555" s="319"/>
      <c r="BJ6555" s="319"/>
      <c r="BK6555" s="319"/>
      <c r="BL6555" s="319"/>
      <c r="BM6555" s="319"/>
      <c r="BN6555" s="319"/>
      <c r="BO6555" s="319"/>
      <c r="BP6555" s="953"/>
      <c r="BQ6555" s="319"/>
      <c r="BR6555" s="319"/>
      <c r="BS6555" s="330"/>
      <c r="BT6555" s="331"/>
      <c r="BU6555" s="920"/>
      <c r="BV6555" s="903"/>
      <c r="BW6555" s="908"/>
      <c r="BX6555" s="908"/>
      <c r="BY6555" s="331"/>
      <c r="BZ6555" s="331"/>
      <c r="CA6555" s="462"/>
      <c r="CB6555" s="319"/>
      <c r="CC6555" s="319"/>
      <c r="CD6555" s="319"/>
      <c r="CE6555" s="319"/>
      <c r="CF6555" s="319"/>
      <c r="CG6555" s="319"/>
      <c r="CH6555" s="318"/>
      <c r="CI6555" s="319"/>
      <c r="CJ6555" s="319"/>
      <c r="CK6555" s="342"/>
      <c r="CL6555" s="333"/>
      <c r="CM6555" s="1079"/>
      <c r="CN6555" s="1005"/>
      <c r="CO6555" s="1005"/>
      <c r="CP6555" s="1005"/>
    </row>
    <row r="6556">
      <c r="A6556" s="1257"/>
      <c r="B6556" s="1113"/>
      <c r="C6556" s="1107"/>
      <c r="D6556" s="103"/>
      <c r="E6556" s="1137"/>
      <c r="F6556" s="112"/>
      <c r="G6556" s="1110"/>
      <c r="H6556" s="1138"/>
      <c r="I6556" s="1138"/>
      <c r="J6556" s="1139"/>
      <c r="K6556" s="1111"/>
      <c r="L6556" s="1112"/>
      <c r="M6556" s="1113"/>
      <c r="N6556" s="110"/>
      <c r="O6556" s="1140"/>
      <c r="P6556" s="1115"/>
      <c r="Q6556" s="1116"/>
      <c r="R6556" s="1141"/>
      <c r="S6556" s="1113"/>
      <c r="T6556" s="1143"/>
      <c r="U6556" s="1108"/>
      <c r="V6556" s="1108"/>
      <c r="W6556" s="1108"/>
      <c r="X6556" s="1108"/>
      <c r="Y6556" s="1108"/>
      <c r="Z6556" s="1114"/>
      <c r="AA6556" s="1114"/>
      <c r="AB6556" s="1114"/>
      <c r="AC6556" s="1117"/>
      <c r="AD6556" s="1115"/>
      <c r="AE6556" s="1115"/>
      <c r="AF6556" s="1115"/>
      <c r="AG6556" s="1115"/>
      <c r="AH6556" s="1115"/>
      <c r="AI6556" s="1115"/>
      <c r="AJ6556" s="1117"/>
      <c r="AK6556" s="1118"/>
      <c r="AL6556" s="1115"/>
      <c r="AM6556" s="1115"/>
      <c r="AN6556" s="1115"/>
      <c r="AO6556" s="1115"/>
      <c r="AP6556" s="1115"/>
      <c r="AQ6556" s="1115"/>
      <c r="AR6556" s="1115"/>
      <c r="AS6556" s="1117"/>
      <c r="AT6556" s="1075"/>
      <c r="AU6556" s="1193"/>
      <c r="AV6556" s="330"/>
      <c r="AW6556" s="331"/>
      <c r="AX6556" s="331"/>
      <c r="AY6556" s="331"/>
      <c r="AZ6556" s="331"/>
      <c r="BA6556" s="331"/>
      <c r="BB6556" s="331"/>
      <c r="BC6556" s="331"/>
      <c r="BD6556" s="331"/>
      <c r="BE6556" s="333"/>
      <c r="BF6556" s="330"/>
      <c r="BG6556" s="333"/>
      <c r="BH6556" s="1119"/>
      <c r="BI6556" s="319"/>
      <c r="BJ6556" s="319"/>
      <c r="BK6556" s="319"/>
      <c r="BL6556" s="319"/>
      <c r="BM6556" s="319"/>
      <c r="BN6556" s="319"/>
      <c r="BO6556" s="319"/>
      <c r="BP6556" s="953"/>
      <c r="BQ6556" s="319"/>
      <c r="BR6556" s="319"/>
      <c r="BS6556" s="330"/>
      <c r="BT6556" s="331"/>
      <c r="BU6556" s="920"/>
      <c r="BV6556" s="903"/>
      <c r="BW6556" s="908"/>
      <c r="BX6556" s="908"/>
      <c r="BY6556" s="331"/>
      <c r="BZ6556" s="331"/>
      <c r="CA6556" s="462"/>
      <c r="CB6556" s="319"/>
      <c r="CC6556" s="319"/>
      <c r="CD6556" s="319"/>
      <c r="CE6556" s="319"/>
      <c r="CF6556" s="319"/>
      <c r="CG6556" s="319"/>
      <c r="CH6556" s="318"/>
      <c r="CI6556" s="319"/>
      <c r="CJ6556" s="319"/>
      <c r="CK6556" s="342"/>
      <c r="CL6556" s="333"/>
      <c r="CM6556" s="1079"/>
      <c r="CN6556" s="1005"/>
      <c r="CO6556" s="1005"/>
      <c r="CP6556" s="1005"/>
    </row>
    <row r="6557">
      <c r="A6557" s="1257"/>
      <c r="B6557" s="1113"/>
      <c r="C6557" s="1107"/>
      <c r="D6557" s="103"/>
      <c r="E6557" s="1137"/>
      <c r="F6557" s="112"/>
      <c r="G6557" s="1110"/>
      <c r="H6557" s="1138"/>
      <c r="I6557" s="1138"/>
      <c r="J6557" s="1139"/>
      <c r="K6557" s="1111"/>
      <c r="L6557" s="1112"/>
      <c r="M6557" s="1113"/>
      <c r="N6557" s="110"/>
      <c r="O6557" s="1140"/>
      <c r="P6557" s="1115"/>
      <c r="Q6557" s="1116"/>
      <c r="R6557" s="1141"/>
      <c r="S6557" s="1113"/>
      <c r="T6557" s="1143"/>
      <c r="U6557" s="1108"/>
      <c r="V6557" s="1108"/>
      <c r="W6557" s="1108"/>
      <c r="X6557" s="1108"/>
      <c r="Y6557" s="1108"/>
      <c r="Z6557" s="1114"/>
      <c r="AA6557" s="1114"/>
      <c r="AB6557" s="1114"/>
      <c r="AC6557" s="1117"/>
      <c r="AD6557" s="1115"/>
      <c r="AE6557" s="1115"/>
      <c r="AF6557" s="1115"/>
      <c r="AG6557" s="1115"/>
      <c r="AH6557" s="1115"/>
      <c r="AI6557" s="1115"/>
      <c r="AJ6557" s="1117"/>
      <c r="AK6557" s="1118"/>
      <c r="AL6557" s="1115"/>
      <c r="AM6557" s="1115"/>
      <c r="AN6557" s="1115"/>
      <c r="AO6557" s="1115"/>
      <c r="AP6557" s="1115"/>
      <c r="AQ6557" s="1115"/>
      <c r="AR6557" s="1115"/>
      <c r="AS6557" s="1117"/>
      <c r="AT6557" s="1075"/>
      <c r="AU6557" s="1193"/>
      <c r="AV6557" s="330"/>
      <c r="AW6557" s="331"/>
      <c r="AX6557" s="331"/>
      <c r="AY6557" s="331"/>
      <c r="AZ6557" s="331"/>
      <c r="BA6557" s="331"/>
      <c r="BB6557" s="331"/>
      <c r="BC6557" s="331"/>
      <c r="BD6557" s="331"/>
      <c r="BE6557" s="333"/>
      <c r="BF6557" s="330"/>
      <c r="BG6557" s="333"/>
      <c r="BH6557" s="1119"/>
      <c r="BI6557" s="319"/>
      <c r="BJ6557" s="319"/>
      <c r="BK6557" s="319"/>
      <c r="BL6557" s="319"/>
      <c r="BM6557" s="319"/>
      <c r="BN6557" s="319"/>
      <c r="BO6557" s="319"/>
      <c r="BP6557" s="953"/>
      <c r="BQ6557" s="319"/>
      <c r="BR6557" s="319"/>
      <c r="BS6557" s="330"/>
      <c r="BT6557" s="331"/>
      <c r="BU6557" s="920"/>
      <c r="BV6557" s="903"/>
      <c r="BW6557" s="908"/>
      <c r="BX6557" s="908"/>
      <c r="BY6557" s="331"/>
      <c r="BZ6557" s="331"/>
      <c r="CA6557" s="462"/>
      <c r="CB6557" s="319"/>
      <c r="CC6557" s="319"/>
      <c r="CD6557" s="319"/>
      <c r="CE6557" s="319"/>
      <c r="CF6557" s="319"/>
      <c r="CG6557" s="319"/>
      <c r="CH6557" s="318"/>
      <c r="CI6557" s="319"/>
      <c r="CJ6557" s="319"/>
      <c r="CK6557" s="342"/>
      <c r="CL6557" s="333"/>
      <c r="CM6557" s="1079"/>
      <c r="CN6557" s="1005"/>
      <c r="CO6557" s="1005"/>
      <c r="CP6557" s="1005"/>
    </row>
    <row r="6558">
      <c r="A6558" s="1257"/>
      <c r="B6558" s="1113"/>
      <c r="C6558" s="1107"/>
      <c r="D6558" s="103"/>
      <c r="E6558" s="1137"/>
      <c r="F6558" s="112"/>
      <c r="G6558" s="1110"/>
      <c r="H6558" s="1138"/>
      <c r="I6558" s="1138"/>
      <c r="J6558" s="1139"/>
      <c r="K6558" s="1111"/>
      <c r="L6558" s="1112"/>
      <c r="M6558" s="1113"/>
      <c r="N6558" s="110"/>
      <c r="O6558" s="1140"/>
      <c r="P6558" s="1115"/>
      <c r="Q6558" s="1116"/>
      <c r="R6558" s="1141"/>
      <c r="S6558" s="1113"/>
      <c r="T6558" s="1143"/>
      <c r="U6558" s="1108"/>
      <c r="V6558" s="1108"/>
      <c r="W6558" s="1108"/>
      <c r="X6558" s="1108"/>
      <c r="Y6558" s="1108"/>
      <c r="Z6558" s="1114"/>
      <c r="AA6558" s="1114"/>
      <c r="AB6558" s="1114"/>
      <c r="AC6558" s="1117"/>
      <c r="AD6558" s="1115"/>
      <c r="AE6558" s="1115"/>
      <c r="AF6558" s="1115"/>
      <c r="AG6558" s="1115"/>
      <c r="AH6558" s="1115"/>
      <c r="AI6558" s="1115"/>
      <c r="AJ6558" s="1117"/>
      <c r="AK6558" s="1118"/>
      <c r="AL6558" s="1115"/>
      <c r="AM6558" s="1115"/>
      <c r="AN6558" s="1115"/>
      <c r="AO6558" s="1115"/>
      <c r="AP6558" s="1115"/>
      <c r="AQ6558" s="1115"/>
      <c r="AR6558" s="1115"/>
      <c r="AS6558" s="1117"/>
      <c r="AT6558" s="1075"/>
      <c r="AU6558" s="1193"/>
      <c r="AV6558" s="330"/>
      <c r="AW6558" s="331"/>
      <c r="AX6558" s="331"/>
      <c r="AY6558" s="331"/>
      <c r="AZ6558" s="331"/>
      <c r="BA6558" s="331"/>
      <c r="BB6558" s="331"/>
      <c r="BC6558" s="331"/>
      <c r="BD6558" s="331"/>
      <c r="BE6558" s="333"/>
      <c r="BF6558" s="330"/>
      <c r="BG6558" s="333"/>
      <c r="BH6558" s="1119"/>
      <c r="BI6558" s="319"/>
      <c r="BJ6558" s="319"/>
      <c r="BK6558" s="319"/>
      <c r="BL6558" s="319"/>
      <c r="BM6558" s="319"/>
      <c r="BN6558" s="319"/>
      <c r="BO6558" s="319"/>
      <c r="BP6558" s="953"/>
      <c r="BQ6558" s="319"/>
      <c r="BR6558" s="319"/>
      <c r="BS6558" s="330"/>
      <c r="BT6558" s="331"/>
      <c r="BU6558" s="920"/>
      <c r="BV6558" s="903"/>
      <c r="BW6558" s="908"/>
      <c r="BX6558" s="908"/>
      <c r="BY6558" s="331"/>
      <c r="BZ6558" s="331"/>
      <c r="CA6558" s="462"/>
      <c r="CB6558" s="319"/>
      <c r="CC6558" s="319"/>
      <c r="CD6558" s="319"/>
      <c r="CE6558" s="319"/>
      <c r="CF6558" s="319"/>
      <c r="CG6558" s="319"/>
      <c r="CH6558" s="318"/>
      <c r="CI6558" s="319"/>
      <c r="CJ6558" s="319"/>
      <c r="CK6558" s="342"/>
      <c r="CL6558" s="333"/>
      <c r="CM6558" s="1079"/>
      <c r="CN6558" s="1005"/>
      <c r="CO6558" s="1005"/>
      <c r="CP6558" s="1005"/>
    </row>
    <row r="6559">
      <c r="A6559" s="1257"/>
      <c r="B6559" s="1113"/>
      <c r="C6559" s="1107"/>
      <c r="D6559" s="103"/>
      <c r="E6559" s="1137"/>
      <c r="F6559" s="112"/>
      <c r="G6559" s="1110"/>
      <c r="H6559" s="1138"/>
      <c r="I6559" s="1138"/>
      <c r="J6559" s="1139"/>
      <c r="K6559" s="1111"/>
      <c r="L6559" s="1112"/>
      <c r="M6559" s="1113"/>
      <c r="N6559" s="110"/>
      <c r="O6559" s="1140"/>
      <c r="P6559" s="1115"/>
      <c r="Q6559" s="1116"/>
      <c r="R6559" s="1141"/>
      <c r="S6559" s="1113"/>
      <c r="T6559" s="1143"/>
      <c r="U6559" s="1108"/>
      <c r="V6559" s="1108"/>
      <c r="W6559" s="1108"/>
      <c r="X6559" s="1108"/>
      <c r="Y6559" s="1108"/>
      <c r="Z6559" s="1114"/>
      <c r="AA6559" s="1114"/>
      <c r="AB6559" s="1114"/>
      <c r="AC6559" s="1117"/>
      <c r="AD6559" s="1115"/>
      <c r="AE6559" s="1115"/>
      <c r="AF6559" s="1115"/>
      <c r="AG6559" s="1115"/>
      <c r="AH6559" s="1115"/>
      <c r="AI6559" s="1115"/>
      <c r="AJ6559" s="1117"/>
      <c r="AK6559" s="1118"/>
      <c r="AL6559" s="1115"/>
      <c r="AM6559" s="1115"/>
      <c r="AN6559" s="1115"/>
      <c r="AO6559" s="1115"/>
      <c r="AP6559" s="1115"/>
      <c r="AQ6559" s="1115"/>
      <c r="AR6559" s="1115"/>
      <c r="AS6559" s="1117"/>
      <c r="AT6559" s="1075"/>
      <c r="AU6559" s="1193"/>
      <c r="AV6559" s="330"/>
      <c r="AW6559" s="331"/>
      <c r="AX6559" s="331"/>
      <c r="AY6559" s="331"/>
      <c r="AZ6559" s="331"/>
      <c r="BA6559" s="331"/>
      <c r="BB6559" s="331"/>
      <c r="BC6559" s="331"/>
      <c r="BD6559" s="331"/>
      <c r="BE6559" s="333"/>
      <c r="BF6559" s="330"/>
      <c r="BG6559" s="333"/>
      <c r="BH6559" s="1119"/>
      <c r="BI6559" s="319"/>
      <c r="BJ6559" s="319"/>
      <c r="BK6559" s="319"/>
      <c r="BL6559" s="319"/>
      <c r="BM6559" s="319"/>
      <c r="BN6559" s="319"/>
      <c r="BO6559" s="319"/>
      <c r="BP6559" s="953"/>
      <c r="BQ6559" s="319"/>
      <c r="BR6559" s="319"/>
      <c r="BS6559" s="330"/>
      <c r="BT6559" s="331"/>
      <c r="BU6559" s="920"/>
      <c r="BV6559" s="903"/>
      <c r="BW6559" s="908"/>
      <c r="BX6559" s="908"/>
      <c r="BY6559" s="331"/>
      <c r="BZ6559" s="331"/>
      <c r="CA6559" s="462"/>
      <c r="CB6559" s="319"/>
      <c r="CC6559" s="319"/>
      <c r="CD6559" s="319"/>
      <c r="CE6559" s="319"/>
      <c r="CF6559" s="319"/>
      <c r="CG6559" s="319"/>
      <c r="CH6559" s="318"/>
      <c r="CI6559" s="319"/>
      <c r="CJ6559" s="319"/>
      <c r="CK6559" s="342"/>
      <c r="CL6559" s="333"/>
      <c r="CM6559" s="1079"/>
      <c r="CN6559" s="1005"/>
      <c r="CO6559" s="1005"/>
      <c r="CP6559" s="1005"/>
    </row>
    <row r="6560">
      <c r="A6560" s="1257"/>
      <c r="B6560" s="1113"/>
      <c r="C6560" s="1107"/>
      <c r="D6560" s="103"/>
      <c r="E6560" s="1137"/>
      <c r="F6560" s="112"/>
      <c r="G6560" s="1110"/>
      <c r="H6560" s="1138"/>
      <c r="I6560" s="1138"/>
      <c r="J6560" s="1139"/>
      <c r="K6560" s="1111"/>
      <c r="L6560" s="1112"/>
      <c r="M6560" s="1113"/>
      <c r="N6560" s="110"/>
      <c r="O6560" s="1140"/>
      <c r="P6560" s="1115"/>
      <c r="Q6560" s="1116"/>
      <c r="R6560" s="1141"/>
      <c r="S6560" s="1113"/>
      <c r="T6560" s="1143"/>
      <c r="U6560" s="1108"/>
      <c r="V6560" s="1108"/>
      <c r="W6560" s="1108"/>
      <c r="X6560" s="1108"/>
      <c r="Y6560" s="1108"/>
      <c r="Z6560" s="1114"/>
      <c r="AA6560" s="1114"/>
      <c r="AB6560" s="1114"/>
      <c r="AC6560" s="1117"/>
      <c r="AD6560" s="1115"/>
      <c r="AE6560" s="1115"/>
      <c r="AF6560" s="1115"/>
      <c r="AG6560" s="1115"/>
      <c r="AH6560" s="1115"/>
      <c r="AI6560" s="1115"/>
      <c r="AJ6560" s="1117"/>
      <c r="AK6560" s="1118"/>
      <c r="AL6560" s="1115"/>
      <c r="AM6560" s="1115"/>
      <c r="AN6560" s="1115"/>
      <c r="AO6560" s="1115"/>
      <c r="AP6560" s="1115"/>
      <c r="AQ6560" s="1115"/>
      <c r="AR6560" s="1115"/>
      <c r="AS6560" s="1117"/>
      <c r="AT6560" s="1075"/>
      <c r="AU6560" s="1193"/>
      <c r="AV6560" s="330"/>
      <c r="AW6560" s="331"/>
      <c r="AX6560" s="331"/>
      <c r="AY6560" s="331"/>
      <c r="AZ6560" s="331"/>
      <c r="BA6560" s="331"/>
      <c r="BB6560" s="331"/>
      <c r="BC6560" s="331"/>
      <c r="BD6560" s="331"/>
      <c r="BE6560" s="333"/>
      <c r="BF6560" s="330"/>
      <c r="BG6560" s="333"/>
      <c r="BH6560" s="1119"/>
      <c r="BI6560" s="319"/>
      <c r="BJ6560" s="319"/>
      <c r="BK6560" s="319"/>
      <c r="BL6560" s="319"/>
      <c r="BM6560" s="319"/>
      <c r="BN6560" s="319"/>
      <c r="BO6560" s="319"/>
      <c r="BP6560" s="953"/>
      <c r="BQ6560" s="319"/>
      <c r="BR6560" s="319"/>
      <c r="BS6560" s="330"/>
      <c r="BT6560" s="331"/>
      <c r="BU6560" s="920"/>
      <c r="BV6560" s="903"/>
      <c r="BW6560" s="908"/>
      <c r="BX6560" s="908"/>
      <c r="BY6560" s="331"/>
      <c r="BZ6560" s="331"/>
      <c r="CA6560" s="462"/>
      <c r="CB6560" s="319"/>
      <c r="CC6560" s="319"/>
      <c r="CD6560" s="319"/>
      <c r="CE6560" s="319"/>
      <c r="CF6560" s="319"/>
      <c r="CG6560" s="319"/>
      <c r="CH6560" s="318"/>
      <c r="CI6560" s="319"/>
      <c r="CJ6560" s="319"/>
      <c r="CK6560" s="342"/>
      <c r="CL6560" s="333"/>
      <c r="CM6560" s="1079"/>
      <c r="CN6560" s="1005"/>
      <c r="CO6560" s="1005"/>
      <c r="CP6560" s="1005"/>
    </row>
    <row r="6561">
      <c r="A6561" s="1257"/>
      <c r="B6561" s="1113"/>
      <c r="C6561" s="1107"/>
      <c r="D6561" s="103"/>
      <c r="E6561" s="1137"/>
      <c r="F6561" s="112"/>
      <c r="G6561" s="1110"/>
      <c r="H6561" s="1138"/>
      <c r="I6561" s="1138"/>
      <c r="J6561" s="1139"/>
      <c r="K6561" s="1111"/>
      <c r="L6561" s="1112"/>
      <c r="M6561" s="1113"/>
      <c r="N6561" s="110"/>
      <c r="O6561" s="1140"/>
      <c r="P6561" s="1115"/>
      <c r="Q6561" s="1116"/>
      <c r="R6561" s="1141"/>
      <c r="S6561" s="1113"/>
      <c r="T6561" s="1143"/>
      <c r="U6561" s="1108"/>
      <c r="V6561" s="1108"/>
      <c r="W6561" s="1108"/>
      <c r="X6561" s="1108"/>
      <c r="Y6561" s="1108"/>
      <c r="Z6561" s="1114"/>
      <c r="AA6561" s="1114"/>
      <c r="AB6561" s="1114"/>
      <c r="AC6561" s="1117"/>
      <c r="AD6561" s="1115"/>
      <c r="AE6561" s="1115"/>
      <c r="AF6561" s="1115"/>
      <c r="AG6561" s="1115"/>
      <c r="AH6561" s="1115"/>
      <c r="AI6561" s="1115"/>
      <c r="AJ6561" s="1117"/>
      <c r="AK6561" s="1118"/>
      <c r="AL6561" s="1115"/>
      <c r="AM6561" s="1115"/>
      <c r="AN6561" s="1115"/>
      <c r="AO6561" s="1115"/>
      <c r="AP6561" s="1115"/>
      <c r="AQ6561" s="1115"/>
      <c r="AR6561" s="1115"/>
      <c r="AS6561" s="1117"/>
      <c r="AT6561" s="1075"/>
      <c r="AU6561" s="1193"/>
      <c r="AV6561" s="330"/>
      <c r="AW6561" s="331"/>
      <c r="AX6561" s="331"/>
      <c r="AY6561" s="331"/>
      <c r="AZ6561" s="331"/>
      <c r="BA6561" s="331"/>
      <c r="BB6561" s="331"/>
      <c r="BC6561" s="331"/>
      <c r="BD6561" s="331"/>
      <c r="BE6561" s="333"/>
      <c r="BF6561" s="330"/>
      <c r="BG6561" s="333"/>
      <c r="BH6561" s="1119"/>
      <c r="BI6561" s="319"/>
      <c r="BJ6561" s="319"/>
      <c r="BK6561" s="319"/>
      <c r="BL6561" s="319"/>
      <c r="BM6561" s="319"/>
      <c r="BN6561" s="319"/>
      <c r="BO6561" s="319"/>
      <c r="BP6561" s="953"/>
      <c r="BQ6561" s="319"/>
      <c r="BR6561" s="319"/>
      <c r="BS6561" s="330"/>
      <c r="BT6561" s="331"/>
      <c r="BU6561" s="920"/>
      <c r="BV6561" s="903"/>
      <c r="BW6561" s="908"/>
      <c r="BX6561" s="908"/>
      <c r="BY6561" s="331"/>
      <c r="BZ6561" s="331"/>
      <c r="CA6561" s="462"/>
      <c r="CB6561" s="319"/>
      <c r="CC6561" s="319"/>
      <c r="CD6561" s="319"/>
      <c r="CE6561" s="319"/>
      <c r="CF6561" s="319"/>
      <c r="CG6561" s="319"/>
      <c r="CH6561" s="318"/>
      <c r="CI6561" s="319"/>
      <c r="CJ6561" s="319"/>
      <c r="CK6561" s="342"/>
      <c r="CL6561" s="333"/>
      <c r="CM6561" s="1079"/>
      <c r="CN6561" s="1005"/>
      <c r="CO6561" s="1005"/>
      <c r="CP6561" s="1005"/>
    </row>
    <row r="6562">
      <c r="A6562" s="1257"/>
      <c r="B6562" s="1113"/>
      <c r="C6562" s="1107"/>
      <c r="D6562" s="103"/>
      <c r="E6562" s="1137"/>
      <c r="F6562" s="112"/>
      <c r="G6562" s="1110"/>
      <c r="H6562" s="1138"/>
      <c r="I6562" s="1138"/>
      <c r="J6562" s="1139"/>
      <c r="K6562" s="1111"/>
      <c r="L6562" s="1112"/>
      <c r="M6562" s="1113"/>
      <c r="N6562" s="110"/>
      <c r="O6562" s="1140"/>
      <c r="P6562" s="1115"/>
      <c r="Q6562" s="1116"/>
      <c r="R6562" s="1141"/>
      <c r="S6562" s="1113"/>
      <c r="T6562" s="1143"/>
      <c r="U6562" s="1108"/>
      <c r="V6562" s="1108"/>
      <c r="W6562" s="1108"/>
      <c r="X6562" s="1108"/>
      <c r="Y6562" s="1108"/>
      <c r="Z6562" s="1114"/>
      <c r="AA6562" s="1114"/>
      <c r="AB6562" s="1114"/>
      <c r="AC6562" s="1117"/>
      <c r="AD6562" s="1115"/>
      <c r="AE6562" s="1115"/>
      <c r="AF6562" s="1115"/>
      <c r="AG6562" s="1115"/>
      <c r="AH6562" s="1115"/>
      <c r="AI6562" s="1115"/>
      <c r="AJ6562" s="1117"/>
      <c r="AK6562" s="1118"/>
      <c r="AL6562" s="1115"/>
      <c r="AM6562" s="1115"/>
      <c r="AN6562" s="1115"/>
      <c r="AO6562" s="1115"/>
      <c r="AP6562" s="1115"/>
      <c r="AQ6562" s="1115"/>
      <c r="AR6562" s="1115"/>
      <c r="AS6562" s="1117"/>
      <c r="AT6562" s="1075"/>
      <c r="AU6562" s="1193"/>
      <c r="AV6562" s="330"/>
      <c r="AW6562" s="331"/>
      <c r="AX6562" s="331"/>
      <c r="AY6562" s="331"/>
      <c r="AZ6562" s="331"/>
      <c r="BA6562" s="331"/>
      <c r="BB6562" s="331"/>
      <c r="BC6562" s="331"/>
      <c r="BD6562" s="331"/>
      <c r="BE6562" s="333"/>
      <c r="BF6562" s="330"/>
      <c r="BG6562" s="333"/>
      <c r="BH6562" s="1119"/>
      <c r="BI6562" s="319"/>
      <c r="BJ6562" s="319"/>
      <c r="BK6562" s="319"/>
      <c r="BL6562" s="319"/>
      <c r="BM6562" s="319"/>
      <c r="BN6562" s="319"/>
      <c r="BO6562" s="319"/>
      <c r="BP6562" s="953"/>
      <c r="BQ6562" s="319"/>
      <c r="BR6562" s="319"/>
      <c r="BS6562" s="330"/>
      <c r="BT6562" s="331"/>
      <c r="BU6562" s="920"/>
      <c r="BV6562" s="903"/>
      <c r="BW6562" s="908"/>
      <c r="BX6562" s="908"/>
      <c r="BY6562" s="331"/>
      <c r="BZ6562" s="331"/>
      <c r="CA6562" s="462"/>
      <c r="CB6562" s="319"/>
      <c r="CC6562" s="319"/>
      <c r="CD6562" s="319"/>
      <c r="CE6562" s="319"/>
      <c r="CF6562" s="319"/>
      <c r="CG6562" s="319"/>
      <c r="CH6562" s="318"/>
      <c r="CI6562" s="319"/>
      <c r="CJ6562" s="319"/>
      <c r="CK6562" s="342"/>
      <c r="CL6562" s="333"/>
      <c r="CM6562" s="1079"/>
      <c r="CN6562" s="1005"/>
      <c r="CO6562" s="1005"/>
      <c r="CP6562" s="1005"/>
    </row>
    <row r="6563">
      <c r="A6563" s="1257"/>
      <c r="B6563" s="1113"/>
      <c r="C6563" s="1107"/>
      <c r="D6563" s="103"/>
      <c r="E6563" s="1137"/>
      <c r="F6563" s="112"/>
      <c r="G6563" s="1110"/>
      <c r="H6563" s="1138"/>
      <c r="I6563" s="1138"/>
      <c r="J6563" s="1139"/>
      <c r="K6563" s="1111"/>
      <c r="L6563" s="1112"/>
      <c r="M6563" s="1113"/>
      <c r="N6563" s="110"/>
      <c r="O6563" s="1140"/>
      <c r="P6563" s="1115"/>
      <c r="Q6563" s="1116"/>
      <c r="R6563" s="1141"/>
      <c r="S6563" s="1113"/>
      <c r="T6563" s="1143"/>
      <c r="U6563" s="1108"/>
      <c r="V6563" s="1108"/>
      <c r="W6563" s="1108"/>
      <c r="X6563" s="1108"/>
      <c r="Y6563" s="1108"/>
      <c r="Z6563" s="1114"/>
      <c r="AA6563" s="1114"/>
      <c r="AB6563" s="1114"/>
      <c r="AC6563" s="1117"/>
      <c r="AD6563" s="1115"/>
      <c r="AE6563" s="1115"/>
      <c r="AF6563" s="1115"/>
      <c r="AG6563" s="1115"/>
      <c r="AH6563" s="1115"/>
      <c r="AI6563" s="1115"/>
      <c r="AJ6563" s="1117"/>
      <c r="AK6563" s="1118"/>
      <c r="AL6563" s="1115"/>
      <c r="AM6563" s="1115"/>
      <c r="AN6563" s="1115"/>
      <c r="AO6563" s="1115"/>
      <c r="AP6563" s="1115"/>
      <c r="AQ6563" s="1115"/>
      <c r="AR6563" s="1115"/>
      <c r="AS6563" s="1117"/>
      <c r="AT6563" s="1075"/>
      <c r="AU6563" s="1193"/>
      <c r="AV6563" s="330"/>
      <c r="AW6563" s="331"/>
      <c r="AX6563" s="331"/>
      <c r="AY6563" s="331"/>
      <c r="AZ6563" s="331"/>
      <c r="BA6563" s="331"/>
      <c r="BB6563" s="331"/>
      <c r="BC6563" s="331"/>
      <c r="BD6563" s="331"/>
      <c r="BE6563" s="333"/>
      <c r="BF6563" s="330"/>
      <c r="BG6563" s="333"/>
      <c r="BH6563" s="1119"/>
      <c r="BI6563" s="319"/>
      <c r="BJ6563" s="319"/>
      <c r="BK6563" s="319"/>
      <c r="BL6563" s="319"/>
      <c r="BM6563" s="319"/>
      <c r="BN6563" s="319"/>
      <c r="BO6563" s="319"/>
      <c r="BP6563" s="953"/>
      <c r="BQ6563" s="319"/>
      <c r="BR6563" s="319"/>
      <c r="BS6563" s="330"/>
      <c r="BT6563" s="331"/>
      <c r="BU6563" s="920"/>
      <c r="BV6563" s="903"/>
      <c r="BW6563" s="908"/>
      <c r="BX6563" s="908"/>
      <c r="BY6563" s="331"/>
      <c r="BZ6563" s="331"/>
      <c r="CA6563" s="462"/>
      <c r="CB6563" s="319"/>
      <c r="CC6563" s="319"/>
      <c r="CD6563" s="319"/>
      <c r="CE6563" s="319"/>
      <c r="CF6563" s="319"/>
      <c r="CG6563" s="319"/>
      <c r="CH6563" s="318"/>
      <c r="CI6563" s="319"/>
      <c r="CJ6563" s="319"/>
      <c r="CK6563" s="342"/>
      <c r="CL6563" s="333"/>
      <c r="CM6563" s="1079"/>
      <c r="CN6563" s="1005"/>
      <c r="CO6563" s="1005"/>
      <c r="CP6563" s="1005"/>
    </row>
    <row r="6564">
      <c r="A6564" s="1257"/>
      <c r="B6564" s="1113"/>
      <c r="C6564" s="1107"/>
      <c r="D6564" s="103"/>
      <c r="E6564" s="1137"/>
      <c r="F6564" s="112"/>
      <c r="G6564" s="1110"/>
      <c r="H6564" s="1138"/>
      <c r="I6564" s="1138"/>
      <c r="J6564" s="1139"/>
      <c r="K6564" s="1111"/>
      <c r="L6564" s="1112"/>
      <c r="M6564" s="1113"/>
      <c r="N6564" s="110"/>
      <c r="O6564" s="1140"/>
      <c r="P6564" s="1115"/>
      <c r="Q6564" s="1116"/>
      <c r="R6564" s="1141"/>
      <c r="S6564" s="1113"/>
      <c r="T6564" s="1143"/>
      <c r="U6564" s="1108"/>
      <c r="V6564" s="1108"/>
      <c r="W6564" s="1108"/>
      <c r="X6564" s="1108"/>
      <c r="Y6564" s="1108"/>
      <c r="Z6564" s="1114"/>
      <c r="AA6564" s="1114"/>
      <c r="AB6564" s="1114"/>
      <c r="AC6564" s="1117"/>
      <c r="AD6564" s="1115"/>
      <c r="AE6564" s="1115"/>
      <c r="AF6564" s="1115"/>
      <c r="AG6564" s="1115"/>
      <c r="AH6564" s="1115"/>
      <c r="AI6564" s="1115"/>
      <c r="AJ6564" s="1117"/>
      <c r="AK6564" s="1118"/>
      <c r="AL6564" s="1115"/>
      <c r="AM6564" s="1115"/>
      <c r="AN6564" s="1115"/>
      <c r="AO6564" s="1115"/>
      <c r="AP6564" s="1115"/>
      <c r="AQ6564" s="1115"/>
      <c r="AR6564" s="1115"/>
      <c r="AS6564" s="1117"/>
      <c r="AT6564" s="1075"/>
      <c r="AU6564" s="1193"/>
      <c r="AV6564" s="330"/>
      <c r="AW6564" s="331"/>
      <c r="AX6564" s="331"/>
      <c r="AY6564" s="331"/>
      <c r="AZ6564" s="331"/>
      <c r="BA6564" s="331"/>
      <c r="BB6564" s="331"/>
      <c r="BC6564" s="331"/>
      <c r="BD6564" s="331"/>
      <c r="BE6564" s="333"/>
      <c r="BF6564" s="330"/>
      <c r="BG6564" s="333"/>
      <c r="BH6564" s="1119"/>
      <c r="BI6564" s="319"/>
      <c r="BJ6564" s="319"/>
      <c r="BK6564" s="319"/>
      <c r="BL6564" s="319"/>
      <c r="BM6564" s="319"/>
      <c r="BN6564" s="319"/>
      <c r="BO6564" s="319"/>
      <c r="BP6564" s="953"/>
      <c r="BQ6564" s="319"/>
      <c r="BR6564" s="319"/>
      <c r="BS6564" s="330"/>
      <c r="BT6564" s="331"/>
      <c r="BU6564" s="920"/>
      <c r="BV6564" s="903"/>
      <c r="BW6564" s="908"/>
      <c r="BX6564" s="908"/>
      <c r="BY6564" s="331"/>
      <c r="BZ6564" s="331"/>
      <c r="CA6564" s="462"/>
      <c r="CB6564" s="319"/>
      <c r="CC6564" s="319"/>
      <c r="CD6564" s="319"/>
      <c r="CE6564" s="319"/>
      <c r="CF6564" s="319"/>
      <c r="CG6564" s="319"/>
      <c r="CH6564" s="318"/>
      <c r="CI6564" s="319"/>
      <c r="CJ6564" s="319"/>
      <c r="CK6564" s="342"/>
      <c r="CL6564" s="333"/>
      <c r="CM6564" s="1079"/>
      <c r="CN6564" s="1005"/>
      <c r="CO6564" s="1005"/>
      <c r="CP6564" s="1005"/>
    </row>
    <row r="6565">
      <c r="A6565" s="1257"/>
      <c r="B6565" s="1113"/>
      <c r="C6565" s="1107"/>
      <c r="D6565" s="103"/>
      <c r="E6565" s="1137"/>
      <c r="F6565" s="112"/>
      <c r="G6565" s="1110"/>
      <c r="H6565" s="1138"/>
      <c r="I6565" s="1138"/>
      <c r="J6565" s="1139"/>
      <c r="K6565" s="1111"/>
      <c r="L6565" s="1112"/>
      <c r="M6565" s="1113"/>
      <c r="N6565" s="110"/>
      <c r="O6565" s="1140"/>
      <c r="P6565" s="1115"/>
      <c r="Q6565" s="1116"/>
      <c r="R6565" s="1141"/>
      <c r="S6565" s="1113"/>
      <c r="T6565" s="1143"/>
      <c r="U6565" s="1108"/>
      <c r="V6565" s="1108"/>
      <c r="W6565" s="1108"/>
      <c r="X6565" s="1108"/>
      <c r="Y6565" s="1108"/>
      <c r="Z6565" s="1114"/>
      <c r="AA6565" s="1114"/>
      <c r="AB6565" s="1114"/>
      <c r="AC6565" s="1117"/>
      <c r="AD6565" s="1115"/>
      <c r="AE6565" s="1115"/>
      <c r="AF6565" s="1115"/>
      <c r="AG6565" s="1115"/>
      <c r="AH6565" s="1115"/>
      <c r="AI6565" s="1115"/>
      <c r="AJ6565" s="1117"/>
      <c r="AK6565" s="1118"/>
      <c r="AL6565" s="1115"/>
      <c r="AM6565" s="1115"/>
      <c r="AN6565" s="1115"/>
      <c r="AO6565" s="1115"/>
      <c r="AP6565" s="1115"/>
      <c r="AQ6565" s="1115"/>
      <c r="AR6565" s="1115"/>
      <c r="AS6565" s="1117"/>
      <c r="AT6565" s="1075"/>
      <c r="AU6565" s="1193"/>
      <c r="AV6565" s="330"/>
      <c r="AW6565" s="331"/>
      <c r="AX6565" s="331"/>
      <c r="AY6565" s="331"/>
      <c r="AZ6565" s="331"/>
      <c r="BA6565" s="331"/>
      <c r="BB6565" s="331"/>
      <c r="BC6565" s="331"/>
      <c r="BD6565" s="331"/>
      <c r="BE6565" s="333"/>
      <c r="BF6565" s="330"/>
      <c r="BG6565" s="333"/>
      <c r="BH6565" s="1119"/>
      <c r="BI6565" s="319"/>
      <c r="BJ6565" s="319"/>
      <c r="BK6565" s="319"/>
      <c r="BL6565" s="319"/>
      <c r="BM6565" s="319"/>
      <c r="BN6565" s="319"/>
      <c r="BO6565" s="319"/>
      <c r="BP6565" s="953"/>
      <c r="BQ6565" s="319"/>
      <c r="BR6565" s="319"/>
      <c r="BS6565" s="330"/>
      <c r="BT6565" s="331"/>
      <c r="BU6565" s="920"/>
      <c r="BV6565" s="903"/>
      <c r="BW6565" s="908"/>
      <c r="BX6565" s="908"/>
      <c r="BY6565" s="331"/>
      <c r="BZ6565" s="331"/>
      <c r="CA6565" s="462"/>
      <c r="CB6565" s="319"/>
      <c r="CC6565" s="319"/>
      <c r="CD6565" s="319"/>
      <c r="CE6565" s="319"/>
      <c r="CF6565" s="319"/>
      <c r="CG6565" s="319"/>
      <c r="CH6565" s="318"/>
      <c r="CI6565" s="319"/>
      <c r="CJ6565" s="319"/>
      <c r="CK6565" s="342"/>
      <c r="CL6565" s="333"/>
      <c r="CM6565" s="1079"/>
      <c r="CN6565" s="1005"/>
      <c r="CO6565" s="1005"/>
      <c r="CP6565" s="1005"/>
    </row>
    <row r="6566">
      <c r="A6566" s="1257"/>
      <c r="B6566" s="1113"/>
      <c r="C6566" s="1107"/>
      <c r="D6566" s="103"/>
      <c r="E6566" s="1137"/>
      <c r="F6566" s="112"/>
      <c r="G6566" s="1110"/>
      <c r="H6566" s="1138"/>
      <c r="I6566" s="1138"/>
      <c r="J6566" s="1139"/>
      <c r="K6566" s="1111"/>
      <c r="L6566" s="1112"/>
      <c r="M6566" s="1113"/>
      <c r="N6566" s="110"/>
      <c r="O6566" s="1140"/>
      <c r="P6566" s="1115"/>
      <c r="Q6566" s="1116"/>
      <c r="R6566" s="1141"/>
      <c r="S6566" s="1113"/>
      <c r="T6566" s="1143"/>
      <c r="U6566" s="1108"/>
      <c r="V6566" s="1108"/>
      <c r="W6566" s="1108"/>
      <c r="X6566" s="1108"/>
      <c r="Y6566" s="1108"/>
      <c r="Z6566" s="1114"/>
      <c r="AA6566" s="1114"/>
      <c r="AB6566" s="1114"/>
      <c r="AC6566" s="1117"/>
      <c r="AD6566" s="1115"/>
      <c r="AE6566" s="1115"/>
      <c r="AF6566" s="1115"/>
      <c r="AG6566" s="1115"/>
      <c r="AH6566" s="1115"/>
      <c r="AI6566" s="1115"/>
      <c r="AJ6566" s="1117"/>
      <c r="AK6566" s="1118"/>
      <c r="AL6566" s="1115"/>
      <c r="AM6566" s="1115"/>
      <c r="AN6566" s="1115"/>
      <c r="AO6566" s="1115"/>
      <c r="AP6566" s="1115"/>
      <c r="AQ6566" s="1115"/>
      <c r="AR6566" s="1115"/>
      <c r="AS6566" s="1117"/>
      <c r="AT6566" s="1075"/>
      <c r="AU6566" s="1193"/>
      <c r="AV6566" s="330"/>
      <c r="AW6566" s="331"/>
      <c r="AX6566" s="331"/>
      <c r="AY6566" s="331"/>
      <c r="AZ6566" s="331"/>
      <c r="BA6566" s="331"/>
      <c r="BB6566" s="331"/>
      <c r="BC6566" s="331"/>
      <c r="BD6566" s="331"/>
      <c r="BE6566" s="333"/>
      <c r="BF6566" s="330"/>
      <c r="BG6566" s="333"/>
      <c r="BH6566" s="1119"/>
      <c r="BI6566" s="319"/>
      <c r="BJ6566" s="319"/>
      <c r="BK6566" s="319"/>
      <c r="BL6566" s="319"/>
      <c r="BM6566" s="319"/>
      <c r="BN6566" s="319"/>
      <c r="BO6566" s="319"/>
      <c r="BP6566" s="953"/>
      <c r="BQ6566" s="319"/>
      <c r="BR6566" s="319"/>
      <c r="BS6566" s="330"/>
      <c r="BT6566" s="331"/>
      <c r="BU6566" s="920"/>
      <c r="BV6566" s="903"/>
      <c r="BW6566" s="908"/>
      <c r="BX6566" s="908"/>
      <c r="BY6566" s="331"/>
      <c r="BZ6566" s="331"/>
      <c r="CA6566" s="462"/>
      <c r="CB6566" s="319"/>
      <c r="CC6566" s="319"/>
      <c r="CD6566" s="319"/>
      <c r="CE6566" s="319"/>
      <c r="CF6566" s="319"/>
      <c r="CG6566" s="319"/>
      <c r="CH6566" s="318"/>
      <c r="CI6566" s="319"/>
      <c r="CJ6566" s="319"/>
      <c r="CK6566" s="342"/>
      <c r="CL6566" s="333"/>
      <c r="CM6566" s="1079"/>
      <c r="CN6566" s="1005"/>
      <c r="CO6566" s="1005"/>
      <c r="CP6566" s="1005"/>
    </row>
    <row r="6567">
      <c r="A6567" s="1257"/>
      <c r="B6567" s="1113"/>
      <c r="C6567" s="1107"/>
      <c r="D6567" s="103"/>
      <c r="E6567" s="1137"/>
      <c r="F6567" s="112"/>
      <c r="G6567" s="1110"/>
      <c r="H6567" s="1138"/>
      <c r="I6567" s="1138"/>
      <c r="J6567" s="1139"/>
      <c r="K6567" s="1111"/>
      <c r="L6567" s="1112"/>
      <c r="M6567" s="1113"/>
      <c r="N6567" s="110"/>
      <c r="O6567" s="1140"/>
      <c r="P6567" s="1115"/>
      <c r="Q6567" s="1116"/>
      <c r="R6567" s="1141"/>
      <c r="S6567" s="1113"/>
      <c r="T6567" s="1143"/>
      <c r="U6567" s="1108"/>
      <c r="V6567" s="1108"/>
      <c r="W6567" s="1108"/>
      <c r="X6567" s="1108"/>
      <c r="Y6567" s="1108"/>
      <c r="Z6567" s="1114"/>
      <c r="AA6567" s="1114"/>
      <c r="AB6567" s="1114"/>
      <c r="AC6567" s="1117"/>
      <c r="AD6567" s="1115"/>
      <c r="AE6567" s="1115"/>
      <c r="AF6567" s="1115"/>
      <c r="AG6567" s="1115"/>
      <c r="AH6567" s="1115"/>
      <c r="AI6567" s="1115"/>
      <c r="AJ6567" s="1117"/>
      <c r="AK6567" s="1118"/>
      <c r="AL6567" s="1115"/>
      <c r="AM6567" s="1115"/>
      <c r="AN6567" s="1115"/>
      <c r="AO6567" s="1115"/>
      <c r="AP6567" s="1115"/>
      <c r="AQ6567" s="1115"/>
      <c r="AR6567" s="1115"/>
      <c r="AS6567" s="1117"/>
      <c r="AT6567" s="1075"/>
      <c r="AU6567" s="1193"/>
      <c r="AV6567" s="330"/>
      <c r="AW6567" s="331"/>
      <c r="AX6567" s="331"/>
      <c r="AY6567" s="331"/>
      <c r="AZ6567" s="331"/>
      <c r="BA6567" s="331"/>
      <c r="BB6567" s="331"/>
      <c r="BC6567" s="331"/>
      <c r="BD6567" s="331"/>
      <c r="BE6567" s="333"/>
      <c r="BF6567" s="330"/>
      <c r="BG6567" s="333"/>
      <c r="BH6567" s="1119"/>
      <c r="BI6567" s="319"/>
      <c r="BJ6567" s="319"/>
      <c r="BK6567" s="319"/>
      <c r="BL6567" s="319"/>
      <c r="BM6567" s="319"/>
      <c r="BN6567" s="319"/>
      <c r="BO6567" s="319"/>
      <c r="BP6567" s="953"/>
      <c r="BQ6567" s="319"/>
      <c r="BR6567" s="319"/>
      <c r="BS6567" s="330"/>
      <c r="BT6567" s="331"/>
      <c r="BU6567" s="920"/>
      <c r="BV6567" s="903"/>
      <c r="BW6567" s="908"/>
      <c r="BX6567" s="908"/>
      <c r="BY6567" s="331"/>
      <c r="BZ6567" s="331"/>
      <c r="CA6567" s="462"/>
      <c r="CB6567" s="319"/>
      <c r="CC6567" s="319"/>
      <c r="CD6567" s="319"/>
      <c r="CE6567" s="319"/>
      <c r="CF6567" s="319"/>
      <c r="CG6567" s="319"/>
      <c r="CH6567" s="318"/>
      <c r="CI6567" s="319"/>
      <c r="CJ6567" s="319"/>
      <c r="CK6567" s="342"/>
      <c r="CL6567" s="333"/>
      <c r="CM6567" s="1079"/>
      <c r="CN6567" s="1005"/>
      <c r="CO6567" s="1005"/>
      <c r="CP6567" s="1005"/>
    </row>
    <row r="6568">
      <c r="A6568" s="1257"/>
      <c r="B6568" s="1113"/>
      <c r="C6568" s="1107"/>
      <c r="D6568" s="103"/>
      <c r="E6568" s="1137"/>
      <c r="F6568" s="112"/>
      <c r="G6568" s="1110"/>
      <c r="H6568" s="1138"/>
      <c r="I6568" s="1138"/>
      <c r="J6568" s="1139"/>
      <c r="K6568" s="1111"/>
      <c r="L6568" s="1112"/>
      <c r="M6568" s="1113"/>
      <c r="N6568" s="110"/>
      <c r="O6568" s="1140"/>
      <c r="P6568" s="1115"/>
      <c r="Q6568" s="1116"/>
      <c r="R6568" s="1141"/>
      <c r="S6568" s="1113"/>
      <c r="T6568" s="1143"/>
      <c r="U6568" s="1108"/>
      <c r="V6568" s="1108"/>
      <c r="W6568" s="1108"/>
      <c r="X6568" s="1108"/>
      <c r="Y6568" s="1108"/>
      <c r="Z6568" s="1114"/>
      <c r="AA6568" s="1114"/>
      <c r="AB6568" s="1114"/>
      <c r="AC6568" s="1117"/>
      <c r="AD6568" s="1115"/>
      <c r="AE6568" s="1115"/>
      <c r="AF6568" s="1115"/>
      <c r="AG6568" s="1115"/>
      <c r="AH6568" s="1115"/>
      <c r="AI6568" s="1115"/>
      <c r="AJ6568" s="1117"/>
      <c r="AK6568" s="1118"/>
      <c r="AL6568" s="1115"/>
      <c r="AM6568" s="1115"/>
      <c r="AN6568" s="1115"/>
      <c r="AO6568" s="1115"/>
      <c r="AP6568" s="1115"/>
      <c r="AQ6568" s="1115"/>
      <c r="AR6568" s="1115"/>
      <c r="AS6568" s="1117"/>
      <c r="AT6568" s="1075"/>
      <c r="AU6568" s="1193"/>
      <c r="AV6568" s="330"/>
      <c r="AW6568" s="331"/>
      <c r="AX6568" s="331"/>
      <c r="AY6568" s="331"/>
      <c r="AZ6568" s="331"/>
      <c r="BA6568" s="331"/>
      <c r="BB6568" s="331"/>
      <c r="BC6568" s="331"/>
      <c r="BD6568" s="331"/>
      <c r="BE6568" s="333"/>
      <c r="BF6568" s="330"/>
      <c r="BG6568" s="333"/>
      <c r="BH6568" s="1119"/>
      <c r="BI6568" s="319"/>
      <c r="BJ6568" s="319"/>
      <c r="BK6568" s="319"/>
      <c r="BL6568" s="319"/>
      <c r="BM6568" s="319"/>
      <c r="BN6568" s="319"/>
      <c r="BO6568" s="319"/>
      <c r="BP6568" s="953"/>
      <c r="BQ6568" s="319"/>
      <c r="BR6568" s="319"/>
      <c r="BS6568" s="330"/>
      <c r="BT6568" s="331"/>
      <c r="BU6568" s="920"/>
      <c r="BV6568" s="903"/>
      <c r="BW6568" s="908"/>
      <c r="BX6568" s="908"/>
      <c r="BY6568" s="331"/>
      <c r="BZ6568" s="331"/>
      <c r="CA6568" s="462"/>
      <c r="CB6568" s="319"/>
      <c r="CC6568" s="319"/>
      <c r="CD6568" s="319"/>
      <c r="CE6568" s="319"/>
      <c r="CF6568" s="319"/>
      <c r="CG6568" s="319"/>
      <c r="CH6568" s="318"/>
      <c r="CI6568" s="319"/>
      <c r="CJ6568" s="319"/>
      <c r="CK6568" s="342"/>
      <c r="CL6568" s="333"/>
      <c r="CM6568" s="1079"/>
      <c r="CN6568" s="1005"/>
      <c r="CO6568" s="1005"/>
      <c r="CP6568" s="1005"/>
    </row>
    <row r="6569">
      <c r="A6569" s="1257"/>
      <c r="B6569" s="1113"/>
      <c r="C6569" s="1107"/>
      <c r="D6569" s="103"/>
      <c r="E6569" s="1137"/>
      <c r="F6569" s="112"/>
      <c r="G6569" s="1110"/>
      <c r="H6569" s="1138"/>
      <c r="I6569" s="1138"/>
      <c r="J6569" s="1139"/>
      <c r="K6569" s="1111"/>
      <c r="L6569" s="1112"/>
      <c r="M6569" s="1113"/>
      <c r="N6569" s="110"/>
      <c r="O6569" s="1140"/>
      <c r="P6569" s="1115"/>
      <c r="Q6569" s="1116"/>
      <c r="R6569" s="1141"/>
      <c r="S6569" s="1113"/>
      <c r="T6569" s="1143"/>
      <c r="U6569" s="1108"/>
      <c r="V6569" s="1108"/>
      <c r="W6569" s="1108"/>
      <c r="X6569" s="1108"/>
      <c r="Y6569" s="1108"/>
      <c r="Z6569" s="1114"/>
      <c r="AA6569" s="1114"/>
      <c r="AB6569" s="1114"/>
      <c r="AC6569" s="1117"/>
      <c r="AD6569" s="1115"/>
      <c r="AE6569" s="1115"/>
      <c r="AF6569" s="1115"/>
      <c r="AG6569" s="1115"/>
      <c r="AH6569" s="1115"/>
      <c r="AI6569" s="1115"/>
      <c r="AJ6569" s="1117"/>
      <c r="AK6569" s="1118"/>
      <c r="AL6569" s="1115"/>
      <c r="AM6569" s="1115"/>
      <c r="AN6569" s="1115"/>
      <c r="AO6569" s="1115"/>
      <c r="AP6569" s="1115"/>
      <c r="AQ6569" s="1115"/>
      <c r="AR6569" s="1115"/>
      <c r="AS6569" s="1117"/>
      <c r="AT6569" s="1075"/>
      <c r="AU6569" s="1193"/>
      <c r="AV6569" s="330"/>
      <c r="AW6569" s="331"/>
      <c r="AX6569" s="331"/>
      <c r="AY6569" s="331"/>
      <c r="AZ6569" s="331"/>
      <c r="BA6569" s="331"/>
      <c r="BB6569" s="331"/>
      <c r="BC6569" s="331"/>
      <c r="BD6569" s="331"/>
      <c r="BE6569" s="333"/>
      <c r="BF6569" s="330"/>
      <c r="BG6569" s="333"/>
      <c r="BH6569" s="1119"/>
      <c r="BI6569" s="319"/>
      <c r="BJ6569" s="319"/>
      <c r="BK6569" s="319"/>
      <c r="BL6569" s="319"/>
      <c r="BM6569" s="319"/>
      <c r="BN6569" s="319"/>
      <c r="BO6569" s="319"/>
      <c r="BP6569" s="953"/>
      <c r="BQ6569" s="319"/>
      <c r="BR6569" s="319"/>
      <c r="BS6569" s="330"/>
      <c r="BT6569" s="331"/>
      <c r="BU6569" s="920"/>
      <c r="BV6569" s="903"/>
      <c r="BW6569" s="908"/>
      <c r="BX6569" s="908"/>
      <c r="BY6569" s="331"/>
      <c r="BZ6569" s="331"/>
      <c r="CA6569" s="462"/>
      <c r="CB6569" s="319"/>
      <c r="CC6569" s="319"/>
      <c r="CD6569" s="319"/>
      <c r="CE6569" s="319"/>
      <c r="CF6569" s="319"/>
      <c r="CG6569" s="319"/>
      <c r="CH6569" s="318"/>
      <c r="CI6569" s="319"/>
      <c r="CJ6569" s="319"/>
      <c r="CK6569" s="342"/>
      <c r="CL6569" s="333"/>
      <c r="CM6569" s="1079"/>
      <c r="CN6569" s="1005"/>
      <c r="CO6569" s="1005"/>
      <c r="CP6569" s="1005"/>
    </row>
    <row r="6570">
      <c r="A6570" s="1257"/>
      <c r="B6570" s="1113"/>
      <c r="C6570" s="1107"/>
      <c r="D6570" s="103"/>
      <c r="E6570" s="1137"/>
      <c r="F6570" s="112"/>
      <c r="G6570" s="1110"/>
      <c r="H6570" s="1138"/>
      <c r="I6570" s="1138"/>
      <c r="J6570" s="1139"/>
      <c r="K6570" s="1111"/>
      <c r="L6570" s="1112"/>
      <c r="M6570" s="1113"/>
      <c r="N6570" s="110"/>
      <c r="O6570" s="1140"/>
      <c r="P6570" s="1115"/>
      <c r="Q6570" s="1116"/>
      <c r="R6570" s="1141"/>
      <c r="S6570" s="1113"/>
      <c r="T6570" s="1143"/>
      <c r="U6570" s="1108"/>
      <c r="V6570" s="1108"/>
      <c r="W6570" s="1108"/>
      <c r="X6570" s="1108"/>
      <c r="Y6570" s="1108"/>
      <c r="Z6570" s="1114"/>
      <c r="AA6570" s="1114"/>
      <c r="AB6570" s="1114"/>
      <c r="AC6570" s="1117"/>
      <c r="AD6570" s="1115"/>
      <c r="AE6570" s="1115"/>
      <c r="AF6570" s="1115"/>
      <c r="AG6570" s="1115"/>
      <c r="AH6570" s="1115"/>
      <c r="AI6570" s="1115"/>
      <c r="AJ6570" s="1117"/>
      <c r="AK6570" s="1118"/>
      <c r="AL6570" s="1115"/>
      <c r="AM6570" s="1115"/>
      <c r="AN6570" s="1115"/>
      <c r="AO6570" s="1115"/>
      <c r="AP6570" s="1115"/>
      <c r="AQ6570" s="1115"/>
      <c r="AR6570" s="1115"/>
      <c r="AS6570" s="1117"/>
      <c r="AT6570" s="1075"/>
      <c r="AU6570" s="1193"/>
      <c r="AV6570" s="330"/>
      <c r="AW6570" s="331"/>
      <c r="AX6570" s="331"/>
      <c r="AY6570" s="331"/>
      <c r="AZ6570" s="331"/>
      <c r="BA6570" s="331"/>
      <c r="BB6570" s="331"/>
      <c r="BC6570" s="331"/>
      <c r="BD6570" s="331"/>
      <c r="BE6570" s="333"/>
      <c r="BF6570" s="330"/>
      <c r="BG6570" s="333"/>
      <c r="BH6570" s="1119"/>
      <c r="BI6570" s="319"/>
      <c r="BJ6570" s="319"/>
      <c r="BK6570" s="319"/>
      <c r="BL6570" s="319"/>
      <c r="BM6570" s="319"/>
      <c r="BN6570" s="319"/>
      <c r="BO6570" s="319"/>
      <c r="BP6570" s="953"/>
      <c r="BQ6570" s="319"/>
      <c r="BR6570" s="319"/>
      <c r="BS6570" s="330"/>
      <c r="BT6570" s="331"/>
      <c r="BU6570" s="920"/>
      <c r="BV6570" s="903"/>
      <c r="BW6570" s="908"/>
      <c r="BX6570" s="908"/>
      <c r="BY6570" s="331"/>
      <c r="BZ6570" s="331"/>
      <c r="CA6570" s="462"/>
      <c r="CB6570" s="319"/>
      <c r="CC6570" s="319"/>
      <c r="CD6570" s="319"/>
      <c r="CE6570" s="319"/>
      <c r="CF6570" s="319"/>
      <c r="CG6570" s="319"/>
      <c r="CH6570" s="318"/>
      <c r="CI6570" s="319"/>
      <c r="CJ6570" s="319"/>
      <c r="CK6570" s="342"/>
      <c r="CL6570" s="333"/>
      <c r="CM6570" s="1079"/>
      <c r="CN6570" s="1005"/>
      <c r="CO6570" s="1005"/>
      <c r="CP6570" s="1005"/>
    </row>
    <row r="6571">
      <c r="A6571" s="1257"/>
      <c r="B6571" s="1113"/>
      <c r="C6571" s="1107"/>
      <c r="D6571" s="103"/>
      <c r="E6571" s="1137"/>
      <c r="F6571" s="112"/>
      <c r="G6571" s="1110"/>
      <c r="H6571" s="1138"/>
      <c r="I6571" s="1138"/>
      <c r="J6571" s="1139"/>
      <c r="K6571" s="1111"/>
      <c r="L6571" s="1112"/>
      <c r="M6571" s="1113"/>
      <c r="N6571" s="110"/>
      <c r="O6571" s="1140"/>
      <c r="P6571" s="1115"/>
      <c r="Q6571" s="1116"/>
      <c r="R6571" s="1141"/>
      <c r="S6571" s="1113"/>
      <c r="T6571" s="1143"/>
      <c r="U6571" s="1108"/>
      <c r="V6571" s="1108"/>
      <c r="W6571" s="1108"/>
      <c r="X6571" s="1108"/>
      <c r="Y6571" s="1108"/>
      <c r="Z6571" s="1114"/>
      <c r="AA6571" s="1114"/>
      <c r="AB6571" s="1114"/>
      <c r="AC6571" s="1117"/>
      <c r="AD6571" s="1115"/>
      <c r="AE6571" s="1115"/>
      <c r="AF6571" s="1115"/>
      <c r="AG6571" s="1115"/>
      <c r="AH6571" s="1115"/>
      <c r="AI6571" s="1115"/>
      <c r="AJ6571" s="1117"/>
      <c r="AK6571" s="1118"/>
      <c r="AL6571" s="1115"/>
      <c r="AM6571" s="1115"/>
      <c r="AN6571" s="1115"/>
      <c r="AO6571" s="1115"/>
      <c r="AP6571" s="1115"/>
      <c r="AQ6571" s="1115"/>
      <c r="AR6571" s="1115"/>
      <c r="AS6571" s="1117"/>
      <c r="AT6571" s="1075"/>
      <c r="AU6571" s="1193"/>
      <c r="AV6571" s="330"/>
      <c r="AW6571" s="331"/>
      <c r="AX6571" s="331"/>
      <c r="AY6571" s="331"/>
      <c r="AZ6571" s="331"/>
      <c r="BA6571" s="331"/>
      <c r="BB6571" s="331"/>
      <c r="BC6571" s="331"/>
      <c r="BD6571" s="331"/>
      <c r="BE6571" s="333"/>
      <c r="BF6571" s="330"/>
      <c r="BG6571" s="333"/>
      <c r="BH6571" s="1119"/>
      <c r="BI6571" s="319"/>
      <c r="BJ6571" s="319"/>
      <c r="BK6571" s="319"/>
      <c r="BL6571" s="319"/>
      <c r="BM6571" s="319"/>
      <c r="BN6571" s="319"/>
      <c r="BO6571" s="319"/>
      <c r="BP6571" s="953"/>
      <c r="BQ6571" s="319"/>
      <c r="BR6571" s="319"/>
      <c r="BS6571" s="330"/>
      <c r="BT6571" s="331"/>
      <c r="BU6571" s="920"/>
      <c r="BV6571" s="903"/>
      <c r="BW6571" s="908"/>
      <c r="BX6571" s="908"/>
      <c r="BY6571" s="331"/>
      <c r="BZ6571" s="331"/>
      <c r="CA6571" s="462"/>
      <c r="CB6571" s="319"/>
      <c r="CC6571" s="319"/>
      <c r="CD6571" s="319"/>
      <c r="CE6571" s="319"/>
      <c r="CF6571" s="319"/>
      <c r="CG6571" s="319"/>
      <c r="CH6571" s="318"/>
      <c r="CI6571" s="319"/>
      <c r="CJ6571" s="319"/>
      <c r="CK6571" s="342"/>
      <c r="CL6571" s="333"/>
      <c r="CM6571" s="1079"/>
      <c r="CN6571" s="1005"/>
      <c r="CO6571" s="1005"/>
      <c r="CP6571" s="1005"/>
    </row>
    <row r="6572">
      <c r="A6572" s="1257"/>
      <c r="B6572" s="1113"/>
      <c r="C6572" s="1107"/>
      <c r="D6572" s="103"/>
      <c r="E6572" s="1137"/>
      <c r="F6572" s="112"/>
      <c r="G6572" s="1110"/>
      <c r="H6572" s="1138"/>
      <c r="I6572" s="1138"/>
      <c r="J6572" s="1139"/>
      <c r="K6572" s="1111"/>
      <c r="L6572" s="1112"/>
      <c r="M6572" s="1113"/>
      <c r="N6572" s="110"/>
      <c r="O6572" s="1140"/>
      <c r="P6572" s="1115"/>
      <c r="Q6572" s="1116"/>
      <c r="R6572" s="1141"/>
      <c r="S6572" s="1113"/>
      <c r="T6572" s="1143"/>
      <c r="U6572" s="1108"/>
      <c r="V6572" s="1108"/>
      <c r="W6572" s="1108"/>
      <c r="X6572" s="1108"/>
      <c r="Y6572" s="1108"/>
      <c r="Z6572" s="1114"/>
      <c r="AA6572" s="1114"/>
      <c r="AB6572" s="1114"/>
      <c r="AC6572" s="1117"/>
      <c r="AD6572" s="1115"/>
      <c r="AE6572" s="1115"/>
      <c r="AF6572" s="1115"/>
      <c r="AG6572" s="1115"/>
      <c r="AH6572" s="1115"/>
      <c r="AI6572" s="1115"/>
      <c r="AJ6572" s="1117"/>
      <c r="AK6572" s="1118"/>
      <c r="AL6572" s="1115"/>
      <c r="AM6572" s="1115"/>
      <c r="AN6572" s="1115"/>
      <c r="AO6572" s="1115"/>
      <c r="AP6572" s="1115"/>
      <c r="AQ6572" s="1115"/>
      <c r="AR6572" s="1115"/>
      <c r="AS6572" s="1117"/>
      <c r="AT6572" s="1075"/>
      <c r="AU6572" s="1193"/>
      <c r="AV6572" s="330"/>
      <c r="AW6572" s="331"/>
      <c r="AX6572" s="331"/>
      <c r="AY6572" s="331"/>
      <c r="AZ6572" s="331"/>
      <c r="BA6572" s="331"/>
      <c r="BB6572" s="331"/>
      <c r="BC6572" s="331"/>
      <c r="BD6572" s="331"/>
      <c r="BE6572" s="333"/>
      <c r="BF6572" s="330"/>
      <c r="BG6572" s="333"/>
      <c r="BH6572" s="1119"/>
      <c r="BI6572" s="319"/>
      <c r="BJ6572" s="319"/>
      <c r="BK6572" s="319"/>
      <c r="BL6572" s="319"/>
      <c r="BM6572" s="319"/>
      <c r="BN6572" s="319"/>
      <c r="BO6572" s="319"/>
      <c r="BP6572" s="953"/>
      <c r="BQ6572" s="319"/>
      <c r="BR6572" s="319"/>
      <c r="BS6572" s="330"/>
      <c r="BT6572" s="331"/>
      <c r="BU6572" s="920"/>
      <c r="BV6572" s="903"/>
      <c r="BW6572" s="908"/>
      <c r="BX6572" s="908"/>
      <c r="BY6572" s="331"/>
      <c r="BZ6572" s="331"/>
      <c r="CA6572" s="462"/>
      <c r="CB6572" s="319"/>
      <c r="CC6572" s="319"/>
      <c r="CD6572" s="319"/>
      <c r="CE6572" s="319"/>
      <c r="CF6572" s="319"/>
      <c r="CG6572" s="319"/>
      <c r="CH6572" s="318"/>
      <c r="CI6572" s="319"/>
      <c r="CJ6572" s="319"/>
      <c r="CK6572" s="342"/>
      <c r="CL6572" s="333"/>
      <c r="CM6572" s="1079"/>
      <c r="CN6572" s="1005"/>
      <c r="CO6572" s="1005"/>
      <c r="CP6572" s="1005"/>
    </row>
    <row r="6573">
      <c r="A6573" s="1257"/>
      <c r="B6573" s="1113"/>
      <c r="C6573" s="1107"/>
      <c r="D6573" s="103"/>
      <c r="E6573" s="1137"/>
      <c r="F6573" s="112"/>
      <c r="G6573" s="1110"/>
      <c r="H6573" s="1138"/>
      <c r="I6573" s="1138"/>
      <c r="J6573" s="1139"/>
      <c r="K6573" s="1111"/>
      <c r="L6573" s="1112"/>
      <c r="M6573" s="1113"/>
      <c r="N6573" s="110"/>
      <c r="O6573" s="1140"/>
      <c r="P6573" s="1115"/>
      <c r="Q6573" s="1116"/>
      <c r="R6573" s="1141"/>
      <c r="S6573" s="1113"/>
      <c r="T6573" s="1143"/>
      <c r="U6573" s="1108"/>
      <c r="V6573" s="1108"/>
      <c r="W6573" s="1108"/>
      <c r="X6573" s="1108"/>
      <c r="Y6573" s="1108"/>
      <c r="Z6573" s="1114"/>
      <c r="AA6573" s="1114"/>
      <c r="AB6573" s="1114"/>
      <c r="AC6573" s="1117"/>
      <c r="AD6573" s="1115"/>
      <c r="AE6573" s="1115"/>
      <c r="AF6573" s="1115"/>
      <c r="AG6573" s="1115"/>
      <c r="AH6573" s="1115"/>
      <c r="AI6573" s="1115"/>
      <c r="AJ6573" s="1117"/>
      <c r="AK6573" s="1118"/>
      <c r="AL6573" s="1115"/>
      <c r="AM6573" s="1115"/>
      <c r="AN6573" s="1115"/>
      <c r="AO6573" s="1115"/>
      <c r="AP6573" s="1115"/>
      <c r="AQ6573" s="1115"/>
      <c r="AR6573" s="1115"/>
      <c r="AS6573" s="1117"/>
      <c r="AT6573" s="1075"/>
      <c r="AU6573" s="1193"/>
      <c r="AV6573" s="330"/>
      <c r="AW6573" s="331"/>
      <c r="AX6573" s="331"/>
      <c r="AY6573" s="331"/>
      <c r="AZ6573" s="331"/>
      <c r="BA6573" s="331"/>
      <c r="BB6573" s="331"/>
      <c r="BC6573" s="331"/>
      <c r="BD6573" s="331"/>
      <c r="BE6573" s="333"/>
      <c r="BF6573" s="330"/>
      <c r="BG6573" s="333"/>
      <c r="BH6573" s="1119"/>
      <c r="BI6573" s="319"/>
      <c r="BJ6573" s="319"/>
      <c r="BK6573" s="319"/>
      <c r="BL6573" s="319"/>
      <c r="BM6573" s="319"/>
      <c r="BN6573" s="319"/>
      <c r="BO6573" s="319"/>
      <c r="BP6573" s="953"/>
      <c r="BQ6573" s="319"/>
      <c r="BR6573" s="319"/>
      <c r="BS6573" s="330"/>
      <c r="BT6573" s="331"/>
      <c r="BU6573" s="920"/>
      <c r="BV6573" s="903"/>
      <c r="BW6573" s="908"/>
      <c r="BX6573" s="908"/>
      <c r="BY6573" s="331"/>
      <c r="BZ6573" s="331"/>
      <c r="CA6573" s="462"/>
      <c r="CB6573" s="319"/>
      <c r="CC6573" s="319"/>
      <c r="CD6573" s="319"/>
      <c r="CE6573" s="319"/>
      <c r="CF6573" s="319"/>
      <c r="CG6573" s="319"/>
      <c r="CH6573" s="318"/>
      <c r="CI6573" s="319"/>
      <c r="CJ6573" s="319"/>
      <c r="CK6573" s="342"/>
      <c r="CL6573" s="333"/>
      <c r="CM6573" s="1079"/>
      <c r="CN6573" s="1005"/>
      <c r="CO6573" s="1005"/>
      <c r="CP6573" s="1005"/>
    </row>
    <row r="6574">
      <c r="A6574" s="1257"/>
      <c r="B6574" s="1113"/>
      <c r="C6574" s="1107"/>
      <c r="D6574" s="103"/>
      <c r="E6574" s="1137"/>
      <c r="F6574" s="112"/>
      <c r="G6574" s="1110"/>
      <c r="H6574" s="1138"/>
      <c r="I6574" s="1138"/>
      <c r="J6574" s="1139"/>
      <c r="K6574" s="1111"/>
      <c r="L6574" s="1112"/>
      <c r="M6574" s="1113"/>
      <c r="N6574" s="110"/>
      <c r="O6574" s="1140"/>
      <c r="P6574" s="1115"/>
      <c r="Q6574" s="1116"/>
      <c r="R6574" s="1141"/>
      <c r="S6574" s="1113"/>
      <c r="T6574" s="1143"/>
      <c r="U6574" s="1108"/>
      <c r="V6574" s="1108"/>
      <c r="W6574" s="1108"/>
      <c r="X6574" s="1108"/>
      <c r="Y6574" s="1108"/>
      <c r="Z6574" s="1114"/>
      <c r="AA6574" s="1114"/>
      <c r="AB6574" s="1114"/>
      <c r="AC6574" s="1117"/>
      <c r="AD6574" s="1115"/>
      <c r="AE6574" s="1115"/>
      <c r="AF6574" s="1115"/>
      <c r="AG6574" s="1115"/>
      <c r="AH6574" s="1115"/>
      <c r="AI6574" s="1115"/>
      <c r="AJ6574" s="1117"/>
      <c r="AK6574" s="1118"/>
      <c r="AL6574" s="1115"/>
      <c r="AM6574" s="1115"/>
      <c r="AN6574" s="1115"/>
      <c r="AO6574" s="1115"/>
      <c r="AP6574" s="1115"/>
      <c r="AQ6574" s="1115"/>
      <c r="AR6574" s="1115"/>
      <c r="AS6574" s="1117"/>
      <c r="AT6574" s="1075"/>
      <c r="AU6574" s="1193"/>
      <c r="AV6574" s="330"/>
      <c r="AW6574" s="331"/>
      <c r="AX6574" s="331"/>
      <c r="AY6574" s="331"/>
      <c r="AZ6574" s="331"/>
      <c r="BA6574" s="331"/>
      <c r="BB6574" s="331"/>
      <c r="BC6574" s="331"/>
      <c r="BD6574" s="331"/>
      <c r="BE6574" s="333"/>
      <c r="BF6574" s="330"/>
      <c r="BG6574" s="333"/>
      <c r="BH6574" s="1119"/>
      <c r="BI6574" s="319"/>
      <c r="BJ6574" s="319"/>
      <c r="BK6574" s="319"/>
      <c r="BL6574" s="319"/>
      <c r="BM6574" s="319"/>
      <c r="BN6574" s="319"/>
      <c r="BO6574" s="319"/>
      <c r="BP6574" s="953"/>
      <c r="BQ6574" s="319"/>
      <c r="BR6574" s="319"/>
      <c r="BS6574" s="330"/>
      <c r="BT6574" s="331"/>
      <c r="BU6574" s="920"/>
      <c r="BV6574" s="903"/>
      <c r="BW6574" s="908"/>
      <c r="BX6574" s="908"/>
      <c r="BY6574" s="331"/>
      <c r="BZ6574" s="331"/>
      <c r="CA6574" s="462"/>
      <c r="CB6574" s="319"/>
      <c r="CC6574" s="319"/>
      <c r="CD6574" s="319"/>
      <c r="CE6574" s="319"/>
      <c r="CF6574" s="319"/>
      <c r="CG6574" s="319"/>
      <c r="CH6574" s="318"/>
      <c r="CI6574" s="319"/>
      <c r="CJ6574" s="319"/>
      <c r="CK6574" s="342"/>
      <c r="CL6574" s="333"/>
      <c r="CM6574" s="1079"/>
      <c r="CN6574" s="1005"/>
      <c r="CO6574" s="1005"/>
      <c r="CP6574" s="1005"/>
    </row>
    <row r="6575">
      <c r="A6575" s="1257"/>
      <c r="B6575" s="1113"/>
      <c r="C6575" s="1107"/>
      <c r="D6575" s="103"/>
      <c r="E6575" s="1137"/>
      <c r="F6575" s="112"/>
      <c r="G6575" s="1110"/>
      <c r="H6575" s="1138"/>
      <c r="I6575" s="1138"/>
      <c r="J6575" s="1139"/>
      <c r="K6575" s="1111"/>
      <c r="L6575" s="1112"/>
      <c r="M6575" s="1113"/>
      <c r="N6575" s="110"/>
      <c r="O6575" s="1140"/>
      <c r="P6575" s="1115"/>
      <c r="Q6575" s="1116"/>
      <c r="R6575" s="1141"/>
      <c r="S6575" s="1113"/>
      <c r="T6575" s="1143"/>
      <c r="U6575" s="1108"/>
      <c r="V6575" s="1108"/>
      <c r="W6575" s="1108"/>
      <c r="X6575" s="1108"/>
      <c r="Y6575" s="1108"/>
      <c r="Z6575" s="1114"/>
      <c r="AA6575" s="1114"/>
      <c r="AB6575" s="1114"/>
      <c r="AC6575" s="1117"/>
      <c r="AD6575" s="1115"/>
      <c r="AE6575" s="1115"/>
      <c r="AF6575" s="1115"/>
      <c r="AG6575" s="1115"/>
      <c r="AH6575" s="1115"/>
      <c r="AI6575" s="1115"/>
      <c r="AJ6575" s="1117"/>
      <c r="AK6575" s="1118"/>
      <c r="AL6575" s="1115"/>
      <c r="AM6575" s="1115"/>
      <c r="AN6575" s="1115"/>
      <c r="AO6575" s="1115"/>
      <c r="AP6575" s="1115"/>
      <c r="AQ6575" s="1115"/>
      <c r="AR6575" s="1115"/>
      <c r="AS6575" s="1117"/>
      <c r="AT6575" s="1075"/>
      <c r="AU6575" s="1193"/>
      <c r="AV6575" s="330"/>
      <c r="AW6575" s="331"/>
      <c r="AX6575" s="331"/>
      <c r="AY6575" s="331"/>
      <c r="AZ6575" s="331"/>
      <c r="BA6575" s="331"/>
      <c r="BB6575" s="331"/>
      <c r="BC6575" s="331"/>
      <c r="BD6575" s="331"/>
      <c r="BE6575" s="333"/>
      <c r="BF6575" s="330"/>
      <c r="BG6575" s="333"/>
      <c r="BH6575" s="1119"/>
      <c r="BI6575" s="319"/>
      <c r="BJ6575" s="319"/>
      <c r="BK6575" s="319"/>
      <c r="BL6575" s="319"/>
      <c r="BM6575" s="319"/>
      <c r="BN6575" s="319"/>
      <c r="BO6575" s="319"/>
      <c r="BP6575" s="953"/>
      <c r="BQ6575" s="319"/>
      <c r="BR6575" s="319"/>
      <c r="BS6575" s="330"/>
      <c r="BT6575" s="331"/>
      <c r="BU6575" s="920"/>
      <c r="BV6575" s="903"/>
      <c r="BW6575" s="908"/>
      <c r="BX6575" s="908"/>
      <c r="BY6575" s="331"/>
      <c r="BZ6575" s="331"/>
      <c r="CA6575" s="462"/>
      <c r="CB6575" s="319"/>
      <c r="CC6575" s="319"/>
      <c r="CD6575" s="319"/>
      <c r="CE6575" s="319"/>
      <c r="CF6575" s="319"/>
      <c r="CG6575" s="319"/>
      <c r="CH6575" s="318"/>
      <c r="CI6575" s="319"/>
      <c r="CJ6575" s="319"/>
      <c r="CK6575" s="342"/>
      <c r="CL6575" s="333"/>
      <c r="CM6575" s="1079"/>
      <c r="CN6575" s="1005"/>
      <c r="CO6575" s="1005"/>
      <c r="CP6575" s="1005"/>
    </row>
    <row r="6576">
      <c r="A6576" s="1257"/>
      <c r="B6576" s="1113"/>
      <c r="C6576" s="1107"/>
      <c r="D6576" s="103"/>
      <c r="E6576" s="1137"/>
      <c r="F6576" s="112"/>
      <c r="G6576" s="1110"/>
      <c r="H6576" s="1138"/>
      <c r="I6576" s="1138"/>
      <c r="J6576" s="1139"/>
      <c r="K6576" s="1111"/>
      <c r="L6576" s="1112"/>
      <c r="M6576" s="1113"/>
      <c r="N6576" s="110"/>
      <c r="O6576" s="1140"/>
      <c r="P6576" s="1115"/>
      <c r="Q6576" s="1116"/>
      <c r="R6576" s="1141"/>
      <c r="S6576" s="1113"/>
      <c r="T6576" s="1143"/>
      <c r="U6576" s="1108"/>
      <c r="V6576" s="1108"/>
      <c r="W6576" s="1108"/>
      <c r="X6576" s="1108"/>
      <c r="Y6576" s="1108"/>
      <c r="Z6576" s="1114"/>
      <c r="AA6576" s="1114"/>
      <c r="AB6576" s="1114"/>
      <c r="AC6576" s="1117"/>
      <c r="AD6576" s="1115"/>
      <c r="AE6576" s="1115"/>
      <c r="AF6576" s="1115"/>
      <c r="AG6576" s="1115"/>
      <c r="AH6576" s="1115"/>
      <c r="AI6576" s="1115"/>
      <c r="AJ6576" s="1117"/>
      <c r="AK6576" s="1118"/>
      <c r="AL6576" s="1115"/>
      <c r="AM6576" s="1115"/>
      <c r="AN6576" s="1115"/>
      <c r="AO6576" s="1115"/>
      <c r="AP6576" s="1115"/>
      <c r="AQ6576" s="1115"/>
      <c r="AR6576" s="1115"/>
      <c r="AS6576" s="1117"/>
      <c r="AT6576" s="1075"/>
      <c r="AU6576" s="1193"/>
      <c r="AV6576" s="330"/>
      <c r="AW6576" s="331"/>
      <c r="AX6576" s="331"/>
      <c r="AY6576" s="331"/>
      <c r="AZ6576" s="331"/>
      <c r="BA6576" s="331"/>
      <c r="BB6576" s="331"/>
      <c r="BC6576" s="331"/>
      <c r="BD6576" s="331"/>
      <c r="BE6576" s="333"/>
      <c r="BF6576" s="330"/>
      <c r="BG6576" s="333"/>
      <c r="BH6576" s="1119"/>
      <c r="BI6576" s="319"/>
      <c r="BJ6576" s="319"/>
      <c r="BK6576" s="319"/>
      <c r="BL6576" s="319"/>
      <c r="BM6576" s="319"/>
      <c r="BN6576" s="319"/>
      <c r="BO6576" s="319"/>
      <c r="BP6576" s="953"/>
      <c r="BQ6576" s="319"/>
      <c r="BR6576" s="319"/>
      <c r="BS6576" s="330"/>
      <c r="BT6576" s="331"/>
      <c r="BU6576" s="920"/>
      <c r="BV6576" s="903"/>
      <c r="BW6576" s="908"/>
      <c r="BX6576" s="908"/>
      <c r="BY6576" s="331"/>
      <c r="BZ6576" s="331"/>
      <c r="CA6576" s="462"/>
      <c r="CB6576" s="319"/>
      <c r="CC6576" s="319"/>
      <c r="CD6576" s="319"/>
      <c r="CE6576" s="319"/>
      <c r="CF6576" s="319"/>
      <c r="CG6576" s="319"/>
      <c r="CH6576" s="318"/>
      <c r="CI6576" s="319"/>
      <c r="CJ6576" s="319"/>
      <c r="CK6576" s="342"/>
      <c r="CL6576" s="333"/>
      <c r="CM6576" s="1079"/>
      <c r="CN6576" s="1005"/>
      <c r="CO6576" s="1005"/>
      <c r="CP6576" s="1005"/>
    </row>
    <row r="6577">
      <c r="A6577" s="1257"/>
      <c r="B6577" s="1113"/>
      <c r="C6577" s="1107"/>
      <c r="D6577" s="103"/>
      <c r="E6577" s="1137"/>
      <c r="F6577" s="112"/>
      <c r="G6577" s="1110"/>
      <c r="H6577" s="1138"/>
      <c r="I6577" s="1138"/>
      <c r="J6577" s="1139"/>
      <c r="K6577" s="1111"/>
      <c r="L6577" s="1112"/>
      <c r="M6577" s="1113"/>
      <c r="N6577" s="110"/>
      <c r="O6577" s="1140"/>
      <c r="P6577" s="1115"/>
      <c r="Q6577" s="1116"/>
      <c r="R6577" s="1141"/>
      <c r="S6577" s="1113"/>
      <c r="T6577" s="1143"/>
      <c r="U6577" s="1108"/>
      <c r="V6577" s="1108"/>
      <c r="W6577" s="1108"/>
      <c r="X6577" s="1108"/>
      <c r="Y6577" s="1108"/>
      <c r="Z6577" s="1114"/>
      <c r="AA6577" s="1114"/>
      <c r="AB6577" s="1114"/>
      <c r="AC6577" s="1117"/>
      <c r="AD6577" s="1115"/>
      <c r="AE6577" s="1115"/>
      <c r="AF6577" s="1115"/>
      <c r="AG6577" s="1115"/>
      <c r="AH6577" s="1115"/>
      <c r="AI6577" s="1115"/>
      <c r="AJ6577" s="1117"/>
      <c r="AK6577" s="1118"/>
      <c r="AL6577" s="1115"/>
      <c r="AM6577" s="1115"/>
      <c r="AN6577" s="1115"/>
      <c r="AO6577" s="1115"/>
      <c r="AP6577" s="1115"/>
      <c r="AQ6577" s="1115"/>
      <c r="AR6577" s="1115"/>
      <c r="AS6577" s="1117"/>
      <c r="AT6577" s="1075"/>
      <c r="AU6577" s="1193"/>
      <c r="AV6577" s="330"/>
      <c r="AW6577" s="331"/>
      <c r="AX6577" s="331"/>
      <c r="AY6577" s="331"/>
      <c r="AZ6577" s="331"/>
      <c r="BA6577" s="331"/>
      <c r="BB6577" s="331"/>
      <c r="BC6577" s="331"/>
      <c r="BD6577" s="331"/>
      <c r="BE6577" s="333"/>
      <c r="BF6577" s="330"/>
      <c r="BG6577" s="333"/>
      <c r="BH6577" s="1119"/>
      <c r="BI6577" s="319"/>
      <c r="BJ6577" s="319"/>
      <c r="BK6577" s="319"/>
      <c r="BL6577" s="319"/>
      <c r="BM6577" s="319"/>
      <c r="BN6577" s="319"/>
      <c r="BO6577" s="319"/>
      <c r="BP6577" s="953"/>
      <c r="BQ6577" s="319"/>
      <c r="BR6577" s="319"/>
      <c r="BS6577" s="330"/>
      <c r="BT6577" s="331"/>
      <c r="BU6577" s="920"/>
      <c r="BV6577" s="903"/>
      <c r="BW6577" s="908"/>
      <c r="BX6577" s="908"/>
      <c r="BY6577" s="331"/>
      <c r="BZ6577" s="331"/>
      <c r="CA6577" s="462"/>
      <c r="CB6577" s="319"/>
      <c r="CC6577" s="319"/>
      <c r="CD6577" s="319"/>
      <c r="CE6577" s="319"/>
      <c r="CF6577" s="319"/>
      <c r="CG6577" s="319"/>
      <c r="CH6577" s="318"/>
      <c r="CI6577" s="319"/>
      <c r="CJ6577" s="319"/>
      <c r="CK6577" s="342"/>
      <c r="CL6577" s="333"/>
      <c r="CM6577" s="1079"/>
      <c r="CN6577" s="1005"/>
      <c r="CO6577" s="1005"/>
      <c r="CP6577" s="1005"/>
    </row>
    <row r="6578">
      <c r="A6578" s="1257"/>
      <c r="B6578" s="1113"/>
      <c r="C6578" s="1107"/>
      <c r="D6578" s="103"/>
      <c r="E6578" s="1137"/>
      <c r="F6578" s="112"/>
      <c r="G6578" s="1110"/>
      <c r="H6578" s="1138"/>
      <c r="I6578" s="1138"/>
      <c r="J6578" s="1139"/>
      <c r="K6578" s="1111"/>
      <c r="L6578" s="1112"/>
      <c r="M6578" s="1113"/>
      <c r="N6578" s="110"/>
      <c r="O6578" s="1140"/>
      <c r="P6578" s="1115"/>
      <c r="Q6578" s="1116"/>
      <c r="R6578" s="1141"/>
      <c r="S6578" s="1113"/>
      <c r="T6578" s="1143"/>
      <c r="U6578" s="1108"/>
      <c r="V6578" s="1108"/>
      <c r="W6578" s="1108"/>
      <c r="X6578" s="1108"/>
      <c r="Y6578" s="1108"/>
      <c r="Z6578" s="1114"/>
      <c r="AA6578" s="1114"/>
      <c r="AB6578" s="1114"/>
      <c r="AC6578" s="1117"/>
      <c r="AD6578" s="1115"/>
      <c r="AE6578" s="1115"/>
      <c r="AF6578" s="1115"/>
      <c r="AG6578" s="1115"/>
      <c r="AH6578" s="1115"/>
      <c r="AI6578" s="1115"/>
      <c r="AJ6578" s="1117"/>
      <c r="AK6578" s="1118"/>
      <c r="AL6578" s="1115"/>
      <c r="AM6578" s="1115"/>
      <c r="AN6578" s="1115"/>
      <c r="AO6578" s="1115"/>
      <c r="AP6578" s="1115"/>
      <c r="AQ6578" s="1115"/>
      <c r="AR6578" s="1115"/>
      <c r="AS6578" s="1117"/>
      <c r="AT6578" s="1075"/>
      <c r="AU6578" s="1193"/>
      <c r="AV6578" s="330"/>
      <c r="AW6578" s="331"/>
      <c r="AX6578" s="331"/>
      <c r="AY6578" s="331"/>
      <c r="AZ6578" s="331"/>
      <c r="BA6578" s="331"/>
      <c r="BB6578" s="331"/>
      <c r="BC6578" s="331"/>
      <c r="BD6578" s="331"/>
      <c r="BE6578" s="333"/>
      <c r="BF6578" s="330"/>
      <c r="BG6578" s="333"/>
      <c r="BH6578" s="1119"/>
      <c r="BI6578" s="319"/>
      <c r="BJ6578" s="319"/>
      <c r="BK6578" s="319"/>
      <c r="BL6578" s="319"/>
      <c r="BM6578" s="319"/>
      <c r="BN6578" s="319"/>
      <c r="BO6578" s="319"/>
      <c r="BP6578" s="953"/>
      <c r="BQ6578" s="319"/>
      <c r="BR6578" s="319"/>
      <c r="BS6578" s="330"/>
      <c r="BT6578" s="331"/>
      <c r="BU6578" s="920"/>
      <c r="BV6578" s="903"/>
      <c r="BW6578" s="908"/>
      <c r="BX6578" s="908"/>
      <c r="BY6578" s="331"/>
      <c r="BZ6578" s="331"/>
      <c r="CA6578" s="462"/>
      <c r="CB6578" s="319"/>
      <c r="CC6578" s="319"/>
      <c r="CD6578" s="319"/>
      <c r="CE6578" s="319"/>
      <c r="CF6578" s="319"/>
      <c r="CG6578" s="319"/>
      <c r="CH6578" s="318"/>
      <c r="CI6578" s="319"/>
      <c r="CJ6578" s="319"/>
      <c r="CK6578" s="342"/>
      <c r="CL6578" s="333"/>
      <c r="CM6578" s="1079"/>
      <c r="CN6578" s="1005"/>
      <c r="CO6578" s="1005"/>
      <c r="CP6578" s="1005"/>
    </row>
    <row r="6579">
      <c r="A6579" s="1257"/>
      <c r="B6579" s="1113"/>
      <c r="C6579" s="1107"/>
      <c r="D6579" s="103"/>
      <c r="E6579" s="1137"/>
      <c r="F6579" s="112"/>
      <c r="G6579" s="1110"/>
      <c r="H6579" s="1138"/>
      <c r="I6579" s="1138"/>
      <c r="J6579" s="1139"/>
      <c r="K6579" s="1111"/>
      <c r="L6579" s="1112"/>
      <c r="M6579" s="1113"/>
      <c r="N6579" s="110"/>
      <c r="O6579" s="1140"/>
      <c r="P6579" s="1115"/>
      <c r="Q6579" s="1116"/>
      <c r="R6579" s="1141"/>
      <c r="S6579" s="1113"/>
      <c r="T6579" s="1143"/>
      <c r="U6579" s="1108"/>
      <c r="V6579" s="1108"/>
      <c r="W6579" s="1108"/>
      <c r="X6579" s="1108"/>
      <c r="Y6579" s="1108"/>
      <c r="Z6579" s="1114"/>
      <c r="AA6579" s="1114"/>
      <c r="AB6579" s="1114"/>
      <c r="AC6579" s="1117"/>
      <c r="AD6579" s="1115"/>
      <c r="AE6579" s="1115"/>
      <c r="AF6579" s="1115"/>
      <c r="AG6579" s="1115"/>
      <c r="AH6579" s="1115"/>
      <c r="AI6579" s="1115"/>
      <c r="AJ6579" s="1117"/>
      <c r="AK6579" s="1118"/>
      <c r="AL6579" s="1115"/>
      <c r="AM6579" s="1115"/>
      <c r="AN6579" s="1115"/>
      <c r="AO6579" s="1115"/>
      <c r="AP6579" s="1115"/>
      <c r="AQ6579" s="1115"/>
      <c r="AR6579" s="1115"/>
      <c r="AS6579" s="1117"/>
      <c r="AT6579" s="1075"/>
      <c r="AU6579" s="1193"/>
      <c r="AV6579" s="330"/>
      <c r="AW6579" s="331"/>
      <c r="AX6579" s="331"/>
      <c r="AY6579" s="331"/>
      <c r="AZ6579" s="331"/>
      <c r="BA6579" s="331"/>
      <c r="BB6579" s="331"/>
      <c r="BC6579" s="331"/>
      <c r="BD6579" s="331"/>
      <c r="BE6579" s="333"/>
      <c r="BF6579" s="330"/>
      <c r="BG6579" s="333"/>
      <c r="BH6579" s="1119"/>
      <c r="BI6579" s="319"/>
      <c r="BJ6579" s="319"/>
      <c r="BK6579" s="319"/>
      <c r="BL6579" s="319"/>
      <c r="BM6579" s="319"/>
      <c r="BN6579" s="319"/>
      <c r="BO6579" s="319"/>
      <c r="BP6579" s="953"/>
      <c r="BQ6579" s="319"/>
      <c r="BR6579" s="319"/>
      <c r="BS6579" s="330"/>
      <c r="BT6579" s="331"/>
      <c r="BU6579" s="920"/>
      <c r="BV6579" s="903"/>
      <c r="BW6579" s="908"/>
      <c r="BX6579" s="908"/>
      <c r="BY6579" s="331"/>
      <c r="BZ6579" s="331"/>
      <c r="CA6579" s="462"/>
      <c r="CB6579" s="319"/>
      <c r="CC6579" s="319"/>
      <c r="CD6579" s="319"/>
      <c r="CE6579" s="319"/>
      <c r="CF6579" s="319"/>
      <c r="CG6579" s="319"/>
      <c r="CH6579" s="318"/>
      <c r="CI6579" s="319"/>
      <c r="CJ6579" s="319"/>
      <c r="CK6579" s="342"/>
      <c r="CL6579" s="333"/>
      <c r="CM6579" s="1079"/>
      <c r="CN6579" s="1005"/>
      <c r="CO6579" s="1005"/>
      <c r="CP6579" s="1005"/>
    </row>
    <row r="6580">
      <c r="A6580" s="1257"/>
      <c r="B6580" s="1113"/>
      <c r="C6580" s="1107"/>
      <c r="D6580" s="103"/>
      <c r="E6580" s="1137"/>
      <c r="F6580" s="112"/>
      <c r="G6580" s="1110"/>
      <c r="H6580" s="1138"/>
      <c r="I6580" s="1138"/>
      <c r="J6580" s="1139"/>
      <c r="K6580" s="1111"/>
      <c r="L6580" s="1112"/>
      <c r="M6580" s="1113"/>
      <c r="N6580" s="110"/>
      <c r="O6580" s="1140"/>
      <c r="P6580" s="1115"/>
      <c r="Q6580" s="1116"/>
      <c r="R6580" s="1141"/>
      <c r="S6580" s="1113"/>
      <c r="T6580" s="1143"/>
      <c r="U6580" s="1108"/>
      <c r="V6580" s="1108"/>
      <c r="W6580" s="1108"/>
      <c r="X6580" s="1108"/>
      <c r="Y6580" s="1108"/>
      <c r="Z6580" s="1114"/>
      <c r="AA6580" s="1114"/>
      <c r="AB6580" s="1114"/>
      <c r="AC6580" s="1117"/>
      <c r="AD6580" s="1115"/>
      <c r="AE6580" s="1115"/>
      <c r="AF6580" s="1115"/>
      <c r="AG6580" s="1115"/>
      <c r="AH6580" s="1115"/>
      <c r="AI6580" s="1115"/>
      <c r="AJ6580" s="1117"/>
      <c r="AK6580" s="1118"/>
      <c r="AL6580" s="1115"/>
      <c r="AM6580" s="1115"/>
      <c r="AN6580" s="1115"/>
      <c r="AO6580" s="1115"/>
      <c r="AP6580" s="1115"/>
      <c r="AQ6580" s="1115"/>
      <c r="AR6580" s="1115"/>
      <c r="AS6580" s="1117"/>
      <c r="AT6580" s="1075"/>
      <c r="AU6580" s="1193"/>
      <c r="AV6580" s="330"/>
      <c r="AW6580" s="331"/>
      <c r="AX6580" s="331"/>
      <c r="AY6580" s="331"/>
      <c r="AZ6580" s="331"/>
      <c r="BA6580" s="331"/>
      <c r="BB6580" s="331"/>
      <c r="BC6580" s="331"/>
      <c r="BD6580" s="331"/>
      <c r="BE6580" s="333"/>
      <c r="BF6580" s="330"/>
      <c r="BG6580" s="333"/>
      <c r="BH6580" s="1119"/>
      <c r="BI6580" s="319"/>
      <c r="BJ6580" s="319"/>
      <c r="BK6580" s="319"/>
      <c r="BL6580" s="319"/>
      <c r="BM6580" s="319"/>
      <c r="BN6580" s="319"/>
      <c r="BO6580" s="319"/>
      <c r="BP6580" s="953"/>
      <c r="BQ6580" s="319"/>
      <c r="BR6580" s="319"/>
      <c r="BS6580" s="330"/>
      <c r="BT6580" s="331"/>
      <c r="BU6580" s="920"/>
      <c r="BV6580" s="903"/>
      <c r="BW6580" s="908"/>
      <c r="BX6580" s="908"/>
      <c r="BY6580" s="331"/>
      <c r="BZ6580" s="331"/>
      <c r="CA6580" s="462"/>
      <c r="CB6580" s="319"/>
      <c r="CC6580" s="319"/>
      <c r="CD6580" s="319"/>
      <c r="CE6580" s="319"/>
      <c r="CF6580" s="319"/>
      <c r="CG6580" s="319"/>
      <c r="CH6580" s="318"/>
      <c r="CI6580" s="319"/>
      <c r="CJ6580" s="319"/>
      <c r="CK6580" s="342"/>
      <c r="CL6580" s="333"/>
      <c r="CM6580" s="1079"/>
      <c r="CN6580" s="1005"/>
      <c r="CO6580" s="1005"/>
      <c r="CP6580" s="1005"/>
    </row>
    <row r="6581">
      <c r="A6581" s="1257"/>
      <c r="B6581" s="1113"/>
      <c r="C6581" s="1107"/>
      <c r="D6581" s="103"/>
      <c r="E6581" s="1137"/>
      <c r="F6581" s="112"/>
      <c r="G6581" s="1110"/>
      <c r="H6581" s="1138"/>
      <c r="I6581" s="1138"/>
      <c r="J6581" s="1139"/>
      <c r="K6581" s="1111"/>
      <c r="L6581" s="1112"/>
      <c r="M6581" s="1113"/>
      <c r="N6581" s="110"/>
      <c r="O6581" s="1140"/>
      <c r="P6581" s="1115"/>
      <c r="Q6581" s="1116"/>
      <c r="R6581" s="1141"/>
      <c r="S6581" s="1113"/>
      <c r="T6581" s="1143"/>
      <c r="U6581" s="1108"/>
      <c r="V6581" s="1108"/>
      <c r="W6581" s="1108"/>
      <c r="X6581" s="1108"/>
      <c r="Y6581" s="1108"/>
      <c r="Z6581" s="1114"/>
      <c r="AA6581" s="1114"/>
      <c r="AB6581" s="1114"/>
      <c r="AC6581" s="1117"/>
      <c r="AD6581" s="1115"/>
      <c r="AE6581" s="1115"/>
      <c r="AF6581" s="1115"/>
      <c r="AG6581" s="1115"/>
      <c r="AH6581" s="1115"/>
      <c r="AI6581" s="1115"/>
      <c r="AJ6581" s="1117"/>
      <c r="AK6581" s="1118"/>
      <c r="AL6581" s="1115"/>
      <c r="AM6581" s="1115"/>
      <c r="AN6581" s="1115"/>
      <c r="AO6581" s="1115"/>
      <c r="AP6581" s="1115"/>
      <c r="AQ6581" s="1115"/>
      <c r="AR6581" s="1115"/>
      <c r="AS6581" s="1117"/>
      <c r="AT6581" s="1075"/>
      <c r="AU6581" s="1193"/>
      <c r="AV6581" s="330"/>
      <c r="AW6581" s="331"/>
      <c r="AX6581" s="331"/>
      <c r="AY6581" s="331"/>
      <c r="AZ6581" s="331"/>
      <c r="BA6581" s="331"/>
      <c r="BB6581" s="331"/>
      <c r="BC6581" s="331"/>
      <c r="BD6581" s="331"/>
      <c r="BE6581" s="333"/>
      <c r="BF6581" s="330"/>
      <c r="BG6581" s="333"/>
      <c r="BH6581" s="1119"/>
      <c r="BI6581" s="319"/>
      <c r="BJ6581" s="319"/>
      <c r="BK6581" s="319"/>
      <c r="BL6581" s="319"/>
      <c r="BM6581" s="319"/>
      <c r="BN6581" s="319"/>
      <c r="BO6581" s="319"/>
      <c r="BP6581" s="953"/>
      <c r="BQ6581" s="319"/>
      <c r="BR6581" s="319"/>
      <c r="BS6581" s="330"/>
      <c r="BT6581" s="331"/>
      <c r="BU6581" s="920"/>
      <c r="BV6581" s="903"/>
      <c r="BW6581" s="908"/>
      <c r="BX6581" s="908"/>
      <c r="BY6581" s="331"/>
      <c r="BZ6581" s="331"/>
      <c r="CA6581" s="462"/>
      <c r="CB6581" s="319"/>
      <c r="CC6581" s="319"/>
      <c r="CD6581" s="319"/>
      <c r="CE6581" s="319"/>
      <c r="CF6581" s="319"/>
      <c r="CG6581" s="319"/>
      <c r="CH6581" s="318"/>
      <c r="CI6581" s="319"/>
      <c r="CJ6581" s="319"/>
      <c r="CK6581" s="342"/>
      <c r="CL6581" s="333"/>
      <c r="CM6581" s="1079"/>
      <c r="CN6581" s="1005"/>
      <c r="CO6581" s="1005"/>
      <c r="CP6581" s="1005"/>
    </row>
    <row r="6582">
      <c r="A6582" s="1257"/>
      <c r="B6582" s="1113"/>
      <c r="C6582" s="1107"/>
      <c r="D6582" s="103"/>
      <c r="E6582" s="1137"/>
      <c r="F6582" s="112"/>
      <c r="G6582" s="1110"/>
      <c r="H6582" s="1138"/>
      <c r="I6582" s="1138"/>
      <c r="J6582" s="1139"/>
      <c r="K6582" s="1111"/>
      <c r="L6582" s="1112"/>
      <c r="M6582" s="1113"/>
      <c r="N6582" s="110"/>
      <c r="O6582" s="1140"/>
      <c r="P6582" s="1115"/>
      <c r="Q6582" s="1116"/>
      <c r="R6582" s="1141"/>
      <c r="S6582" s="1113"/>
      <c r="T6582" s="1143"/>
      <c r="U6582" s="1108"/>
      <c r="V6582" s="1108"/>
      <c r="W6582" s="1108"/>
      <c r="X6582" s="1108"/>
      <c r="Y6582" s="1108"/>
      <c r="Z6582" s="1114"/>
      <c r="AA6582" s="1114"/>
      <c r="AB6582" s="1114"/>
      <c r="AC6582" s="1117"/>
      <c r="AD6582" s="1115"/>
      <c r="AE6582" s="1115"/>
      <c r="AF6582" s="1115"/>
      <c r="AG6582" s="1115"/>
      <c r="AH6582" s="1115"/>
      <c r="AI6582" s="1115"/>
      <c r="AJ6582" s="1117"/>
      <c r="AK6582" s="1118"/>
      <c r="AL6582" s="1115"/>
      <c r="AM6582" s="1115"/>
      <c r="AN6582" s="1115"/>
      <c r="AO6582" s="1115"/>
      <c r="AP6582" s="1115"/>
      <c r="AQ6582" s="1115"/>
      <c r="AR6582" s="1115"/>
      <c r="AS6582" s="1117"/>
      <c r="AT6582" s="1075"/>
      <c r="AU6582" s="1193"/>
      <c r="AV6582" s="330"/>
      <c r="AW6582" s="331"/>
      <c r="AX6582" s="331"/>
      <c r="AY6582" s="331"/>
      <c r="AZ6582" s="331"/>
      <c r="BA6582" s="331"/>
      <c r="BB6582" s="331"/>
      <c r="BC6582" s="331"/>
      <c r="BD6582" s="331"/>
      <c r="BE6582" s="333"/>
      <c r="BF6582" s="330"/>
      <c r="BG6582" s="333"/>
      <c r="BH6582" s="1119"/>
      <c r="BI6582" s="319"/>
      <c r="BJ6582" s="319"/>
      <c r="BK6582" s="319"/>
      <c r="BL6582" s="319"/>
      <c r="BM6582" s="319"/>
      <c r="BN6582" s="319"/>
      <c r="BO6582" s="319"/>
      <c r="BP6582" s="953"/>
      <c r="BQ6582" s="319"/>
      <c r="BR6582" s="319"/>
      <c r="BS6582" s="330"/>
      <c r="BT6582" s="331"/>
      <c r="BU6582" s="920"/>
      <c r="BV6582" s="903"/>
      <c r="BW6582" s="908"/>
      <c r="BX6582" s="908"/>
      <c r="BY6582" s="331"/>
      <c r="BZ6582" s="331"/>
      <c r="CA6582" s="462"/>
      <c r="CB6582" s="319"/>
      <c r="CC6582" s="319"/>
      <c r="CD6582" s="319"/>
      <c r="CE6582" s="319"/>
      <c r="CF6582" s="319"/>
      <c r="CG6582" s="319"/>
      <c r="CH6582" s="318"/>
      <c r="CI6582" s="319"/>
      <c r="CJ6582" s="319"/>
      <c r="CK6582" s="342"/>
      <c r="CL6582" s="333"/>
      <c r="CM6582" s="1079"/>
      <c r="CN6582" s="1005"/>
      <c r="CO6582" s="1005"/>
      <c r="CP6582" s="1005"/>
    </row>
    <row r="6583">
      <c r="A6583" s="1257"/>
      <c r="B6583" s="1113"/>
      <c r="C6583" s="1107"/>
      <c r="D6583" s="103"/>
      <c r="E6583" s="1137"/>
      <c r="F6583" s="112"/>
      <c r="G6583" s="1110"/>
      <c r="H6583" s="1138"/>
      <c r="I6583" s="1138"/>
      <c r="J6583" s="1139"/>
      <c r="K6583" s="1111"/>
      <c r="L6583" s="1112"/>
      <c r="M6583" s="1113"/>
      <c r="N6583" s="110"/>
      <c r="O6583" s="1140"/>
      <c r="P6583" s="1115"/>
      <c r="Q6583" s="1116"/>
      <c r="R6583" s="1141"/>
      <c r="S6583" s="1113"/>
      <c r="T6583" s="1143"/>
      <c r="U6583" s="1108"/>
      <c r="V6583" s="1108"/>
      <c r="W6583" s="1108"/>
      <c r="X6583" s="1108"/>
      <c r="Y6583" s="1108"/>
      <c r="Z6583" s="1114"/>
      <c r="AA6583" s="1114"/>
      <c r="AB6583" s="1114"/>
      <c r="AC6583" s="1117"/>
      <c r="AD6583" s="1115"/>
      <c r="AE6583" s="1115"/>
      <c r="AF6583" s="1115"/>
      <c r="AG6583" s="1115"/>
      <c r="AH6583" s="1115"/>
      <c r="AI6583" s="1115"/>
      <c r="AJ6583" s="1117"/>
      <c r="AK6583" s="1118"/>
      <c r="AL6583" s="1115"/>
      <c r="AM6583" s="1115"/>
      <c r="AN6583" s="1115"/>
      <c r="AO6583" s="1115"/>
      <c r="AP6583" s="1115"/>
      <c r="AQ6583" s="1115"/>
      <c r="AR6583" s="1115"/>
      <c r="AS6583" s="1117"/>
      <c r="AT6583" s="1075"/>
      <c r="AU6583" s="1193"/>
      <c r="AV6583" s="330"/>
      <c r="AW6583" s="331"/>
      <c r="AX6583" s="331"/>
      <c r="AY6583" s="331"/>
      <c r="AZ6583" s="331"/>
      <c r="BA6583" s="331"/>
      <c r="BB6583" s="331"/>
      <c r="BC6583" s="331"/>
      <c r="BD6583" s="331"/>
      <c r="BE6583" s="333"/>
      <c r="BF6583" s="330"/>
      <c r="BG6583" s="333"/>
      <c r="BH6583" s="1119"/>
      <c r="BI6583" s="319"/>
      <c r="BJ6583" s="319"/>
      <c r="BK6583" s="319"/>
      <c r="BL6583" s="319"/>
      <c r="BM6583" s="319"/>
      <c r="BN6583" s="319"/>
      <c r="BO6583" s="319"/>
      <c r="BP6583" s="953"/>
      <c r="BQ6583" s="319"/>
      <c r="BR6583" s="319"/>
      <c r="BS6583" s="330"/>
      <c r="BT6583" s="331"/>
      <c r="BU6583" s="920"/>
      <c r="BV6583" s="903"/>
      <c r="BW6583" s="908"/>
      <c r="BX6583" s="908"/>
      <c r="BY6583" s="331"/>
      <c r="BZ6583" s="331"/>
      <c r="CA6583" s="462"/>
      <c r="CB6583" s="319"/>
      <c r="CC6583" s="319"/>
      <c r="CD6583" s="319"/>
      <c r="CE6583" s="319"/>
      <c r="CF6583" s="319"/>
      <c r="CG6583" s="319"/>
      <c r="CH6583" s="318"/>
      <c r="CI6583" s="319"/>
      <c r="CJ6583" s="319"/>
      <c r="CK6583" s="342"/>
      <c r="CL6583" s="333"/>
      <c r="CM6583" s="1079"/>
      <c r="CN6583" s="1005"/>
      <c r="CO6583" s="1005"/>
      <c r="CP6583" s="1005"/>
    </row>
    <row r="6584">
      <c r="A6584" s="1257"/>
      <c r="B6584" s="1113"/>
      <c r="C6584" s="1107"/>
      <c r="D6584" s="103"/>
      <c r="E6584" s="1137"/>
      <c r="F6584" s="112"/>
      <c r="G6584" s="1110"/>
      <c r="H6584" s="1138"/>
      <c r="I6584" s="1138"/>
      <c r="J6584" s="1139"/>
      <c r="K6584" s="1111"/>
      <c r="L6584" s="1112"/>
      <c r="M6584" s="1113"/>
      <c r="N6584" s="110"/>
      <c r="O6584" s="1140"/>
      <c r="P6584" s="1115"/>
      <c r="Q6584" s="1116"/>
      <c r="R6584" s="1141"/>
      <c r="S6584" s="1113"/>
      <c r="T6584" s="1143"/>
      <c r="U6584" s="1108"/>
      <c r="V6584" s="1108"/>
      <c r="W6584" s="1108"/>
      <c r="X6584" s="1108"/>
      <c r="Y6584" s="1108"/>
      <c r="Z6584" s="1114"/>
      <c r="AA6584" s="1114"/>
      <c r="AB6584" s="1114"/>
      <c r="AC6584" s="1117"/>
      <c r="AD6584" s="1115"/>
      <c r="AE6584" s="1115"/>
      <c r="AF6584" s="1115"/>
      <c r="AG6584" s="1115"/>
      <c r="AH6584" s="1115"/>
      <c r="AI6584" s="1115"/>
      <c r="AJ6584" s="1117"/>
      <c r="AK6584" s="1118"/>
      <c r="AL6584" s="1115"/>
      <c r="AM6584" s="1115"/>
      <c r="AN6584" s="1115"/>
      <c r="AO6584" s="1115"/>
      <c r="AP6584" s="1115"/>
      <c r="AQ6584" s="1115"/>
      <c r="AR6584" s="1115"/>
      <c r="AS6584" s="1117"/>
      <c r="AT6584" s="1075"/>
      <c r="AU6584" s="1193"/>
      <c r="AV6584" s="330"/>
      <c r="AW6584" s="331"/>
      <c r="AX6584" s="331"/>
      <c r="AY6584" s="331"/>
      <c r="AZ6584" s="331"/>
      <c r="BA6584" s="331"/>
      <c r="BB6584" s="331"/>
      <c r="BC6584" s="331"/>
      <c r="BD6584" s="331"/>
      <c r="BE6584" s="333"/>
      <c r="BF6584" s="330"/>
      <c r="BG6584" s="333"/>
      <c r="BH6584" s="1119"/>
      <c r="BI6584" s="319"/>
      <c r="BJ6584" s="319"/>
      <c r="BK6584" s="319"/>
      <c r="BL6584" s="319"/>
      <c r="BM6584" s="319"/>
      <c r="BN6584" s="319"/>
      <c r="BO6584" s="319"/>
      <c r="BP6584" s="953"/>
      <c r="BQ6584" s="319"/>
      <c r="BR6584" s="319"/>
      <c r="BS6584" s="330"/>
      <c r="BT6584" s="331"/>
      <c r="BU6584" s="920"/>
      <c r="BV6584" s="903"/>
      <c r="BW6584" s="908"/>
      <c r="BX6584" s="908"/>
      <c r="BY6584" s="331"/>
      <c r="BZ6584" s="331"/>
      <c r="CA6584" s="462"/>
      <c r="CB6584" s="319"/>
      <c r="CC6584" s="319"/>
      <c r="CD6584" s="319"/>
      <c r="CE6584" s="319"/>
      <c r="CF6584" s="319"/>
      <c r="CG6584" s="319"/>
      <c r="CH6584" s="318"/>
      <c r="CI6584" s="319"/>
      <c r="CJ6584" s="319"/>
      <c r="CK6584" s="342"/>
      <c r="CL6584" s="333"/>
      <c r="CM6584" s="1079"/>
      <c r="CN6584" s="1005"/>
      <c r="CO6584" s="1005"/>
      <c r="CP6584" s="1005"/>
    </row>
    <row r="6585">
      <c r="A6585" s="1257"/>
      <c r="B6585" s="1113"/>
      <c r="C6585" s="1107"/>
      <c r="D6585" s="103"/>
      <c r="E6585" s="1137"/>
      <c r="F6585" s="112"/>
      <c r="G6585" s="1110"/>
      <c r="H6585" s="1138"/>
      <c r="I6585" s="1138"/>
      <c r="J6585" s="1139"/>
      <c r="K6585" s="1111"/>
      <c r="L6585" s="1112"/>
      <c r="M6585" s="1113"/>
      <c r="N6585" s="110"/>
      <c r="O6585" s="1140"/>
      <c r="P6585" s="1115"/>
      <c r="Q6585" s="1116"/>
      <c r="R6585" s="1141"/>
      <c r="S6585" s="1113"/>
      <c r="T6585" s="1143"/>
      <c r="U6585" s="1108"/>
      <c r="V6585" s="1108"/>
      <c r="W6585" s="1108"/>
      <c r="X6585" s="1108"/>
      <c r="Y6585" s="1108"/>
      <c r="Z6585" s="1114"/>
      <c r="AA6585" s="1114"/>
      <c r="AB6585" s="1114"/>
      <c r="AC6585" s="1117"/>
      <c r="AD6585" s="1115"/>
      <c r="AE6585" s="1115"/>
      <c r="AF6585" s="1115"/>
      <c r="AG6585" s="1115"/>
      <c r="AH6585" s="1115"/>
      <c r="AI6585" s="1115"/>
      <c r="AJ6585" s="1117"/>
      <c r="AK6585" s="1118"/>
      <c r="AL6585" s="1115"/>
      <c r="AM6585" s="1115"/>
      <c r="AN6585" s="1115"/>
      <c r="AO6585" s="1115"/>
      <c r="AP6585" s="1115"/>
      <c r="AQ6585" s="1115"/>
      <c r="AR6585" s="1115"/>
      <c r="AS6585" s="1117"/>
      <c r="AT6585" s="1075"/>
      <c r="AU6585" s="1193"/>
      <c r="AV6585" s="330"/>
      <c r="AW6585" s="331"/>
      <c r="AX6585" s="331"/>
      <c r="AY6585" s="331"/>
      <c r="AZ6585" s="331"/>
      <c r="BA6585" s="331"/>
      <c r="BB6585" s="331"/>
      <c r="BC6585" s="331"/>
      <c r="BD6585" s="331"/>
      <c r="BE6585" s="333"/>
      <c r="BF6585" s="330"/>
      <c r="BG6585" s="333"/>
      <c r="BH6585" s="1119"/>
      <c r="BI6585" s="319"/>
      <c r="BJ6585" s="319"/>
      <c r="BK6585" s="319"/>
      <c r="BL6585" s="319"/>
      <c r="BM6585" s="319"/>
      <c r="BN6585" s="319"/>
      <c r="BO6585" s="319"/>
      <c r="BP6585" s="953"/>
      <c r="BQ6585" s="319"/>
      <c r="BR6585" s="319"/>
      <c r="BS6585" s="330"/>
      <c r="BT6585" s="331"/>
      <c r="BU6585" s="920"/>
      <c r="BV6585" s="903"/>
      <c r="BW6585" s="908"/>
      <c r="BX6585" s="908"/>
      <c r="BY6585" s="331"/>
      <c r="BZ6585" s="331"/>
      <c r="CA6585" s="462"/>
      <c r="CB6585" s="319"/>
      <c r="CC6585" s="319"/>
      <c r="CD6585" s="319"/>
      <c r="CE6585" s="319"/>
      <c r="CF6585" s="319"/>
      <c r="CG6585" s="319"/>
      <c r="CH6585" s="318"/>
      <c r="CI6585" s="319"/>
      <c r="CJ6585" s="319"/>
      <c r="CK6585" s="342"/>
      <c r="CL6585" s="333"/>
      <c r="CM6585" s="1079"/>
      <c r="CN6585" s="1005"/>
      <c r="CO6585" s="1005"/>
      <c r="CP6585" s="1005"/>
    </row>
    <row r="6586">
      <c r="A6586" s="1257"/>
      <c r="B6586" s="1113"/>
      <c r="C6586" s="1107"/>
      <c r="D6586" s="103"/>
      <c r="E6586" s="1137"/>
      <c r="F6586" s="112"/>
      <c r="G6586" s="1110"/>
      <c r="H6586" s="1138"/>
      <c r="I6586" s="1138"/>
      <c r="J6586" s="1139"/>
      <c r="K6586" s="1111"/>
      <c r="L6586" s="1112"/>
      <c r="M6586" s="1113"/>
      <c r="N6586" s="110"/>
      <c r="O6586" s="1140"/>
      <c r="P6586" s="1115"/>
      <c r="Q6586" s="1116"/>
      <c r="R6586" s="1141"/>
      <c r="S6586" s="1113"/>
      <c r="T6586" s="1143"/>
      <c r="U6586" s="1108"/>
      <c r="V6586" s="1108"/>
      <c r="W6586" s="1108"/>
      <c r="X6586" s="1108"/>
      <c r="Y6586" s="1108"/>
      <c r="Z6586" s="1114"/>
      <c r="AA6586" s="1114"/>
      <c r="AB6586" s="1114"/>
      <c r="AC6586" s="1117"/>
      <c r="AD6586" s="1115"/>
      <c r="AE6586" s="1115"/>
      <c r="AF6586" s="1115"/>
      <c r="AG6586" s="1115"/>
      <c r="AH6586" s="1115"/>
      <c r="AI6586" s="1115"/>
      <c r="AJ6586" s="1117"/>
      <c r="AK6586" s="1118"/>
      <c r="AL6586" s="1115"/>
      <c r="AM6586" s="1115"/>
      <c r="AN6586" s="1115"/>
      <c r="AO6586" s="1115"/>
      <c r="AP6586" s="1115"/>
      <c r="AQ6586" s="1115"/>
      <c r="AR6586" s="1115"/>
      <c r="AS6586" s="1117"/>
      <c r="AT6586" s="1075"/>
      <c r="AU6586" s="1193"/>
      <c r="AV6586" s="330"/>
      <c r="AW6586" s="331"/>
      <c r="AX6586" s="331"/>
      <c r="AY6586" s="331"/>
      <c r="AZ6586" s="331"/>
      <c r="BA6586" s="331"/>
      <c r="BB6586" s="331"/>
      <c r="BC6586" s="331"/>
      <c r="BD6586" s="331"/>
      <c r="BE6586" s="333"/>
      <c r="BF6586" s="330"/>
      <c r="BG6586" s="333"/>
      <c r="BH6586" s="1119"/>
      <c r="BI6586" s="319"/>
      <c r="BJ6586" s="319"/>
      <c r="BK6586" s="319"/>
      <c r="BL6586" s="319"/>
      <c r="BM6586" s="319"/>
      <c r="BN6586" s="319"/>
      <c r="BO6586" s="319"/>
      <c r="BP6586" s="953"/>
      <c r="BQ6586" s="319"/>
      <c r="BR6586" s="319"/>
      <c r="BS6586" s="330"/>
      <c r="BT6586" s="331"/>
      <c r="BU6586" s="920"/>
      <c r="BV6586" s="903"/>
      <c r="BW6586" s="908"/>
      <c r="BX6586" s="908"/>
      <c r="BY6586" s="331"/>
      <c r="BZ6586" s="331"/>
      <c r="CA6586" s="462"/>
      <c r="CB6586" s="319"/>
      <c r="CC6586" s="319"/>
      <c r="CD6586" s="319"/>
      <c r="CE6586" s="319"/>
      <c r="CF6586" s="319"/>
      <c r="CG6586" s="319"/>
      <c r="CH6586" s="318"/>
      <c r="CI6586" s="319"/>
      <c r="CJ6586" s="319"/>
      <c r="CK6586" s="342"/>
      <c r="CL6586" s="333"/>
      <c r="CM6586" s="1079"/>
      <c r="CN6586" s="1005"/>
      <c r="CO6586" s="1005"/>
      <c r="CP6586" s="1005"/>
    </row>
    <row r="6587">
      <c r="A6587" s="1257"/>
      <c r="B6587" s="1113"/>
      <c r="C6587" s="1107"/>
      <c r="D6587" s="103"/>
      <c r="E6587" s="1137"/>
      <c r="F6587" s="112"/>
      <c r="G6587" s="1110"/>
      <c r="H6587" s="1138"/>
      <c r="I6587" s="1138"/>
      <c r="J6587" s="1139"/>
      <c r="K6587" s="1111"/>
      <c r="L6587" s="1112"/>
      <c r="M6587" s="1113"/>
      <c r="N6587" s="110"/>
      <c r="O6587" s="1140"/>
      <c r="P6587" s="1115"/>
      <c r="Q6587" s="1116"/>
      <c r="R6587" s="1141"/>
      <c r="S6587" s="1113"/>
      <c r="T6587" s="1143"/>
      <c r="U6587" s="1108"/>
      <c r="V6587" s="1108"/>
      <c r="W6587" s="1108"/>
      <c r="X6587" s="1108"/>
      <c r="Y6587" s="1108"/>
      <c r="Z6587" s="1114"/>
      <c r="AA6587" s="1114"/>
      <c r="AB6587" s="1114"/>
      <c r="AC6587" s="1117"/>
      <c r="AD6587" s="1115"/>
      <c r="AE6587" s="1115"/>
      <c r="AF6587" s="1115"/>
      <c r="AG6587" s="1115"/>
      <c r="AH6587" s="1115"/>
      <c r="AI6587" s="1115"/>
      <c r="AJ6587" s="1117"/>
      <c r="AK6587" s="1118"/>
      <c r="AL6587" s="1115"/>
      <c r="AM6587" s="1115"/>
      <c r="AN6587" s="1115"/>
      <c r="AO6587" s="1115"/>
      <c r="AP6587" s="1115"/>
      <c r="AQ6587" s="1115"/>
      <c r="AR6587" s="1115"/>
      <c r="AS6587" s="1117"/>
      <c r="AT6587" s="1075"/>
      <c r="AU6587" s="1193"/>
      <c r="AV6587" s="330"/>
      <c r="AW6587" s="331"/>
      <c r="AX6587" s="331"/>
      <c r="AY6587" s="331"/>
      <c r="AZ6587" s="331"/>
      <c r="BA6587" s="331"/>
      <c r="BB6587" s="331"/>
      <c r="BC6587" s="331"/>
      <c r="BD6587" s="331"/>
      <c r="BE6587" s="333"/>
      <c r="BF6587" s="330"/>
      <c r="BG6587" s="333"/>
      <c r="BH6587" s="1119"/>
      <c r="BI6587" s="319"/>
      <c r="BJ6587" s="319"/>
      <c r="BK6587" s="319"/>
      <c r="BL6587" s="319"/>
      <c r="BM6587" s="319"/>
      <c r="BN6587" s="319"/>
      <c r="BO6587" s="319"/>
      <c r="BP6587" s="953"/>
      <c r="BQ6587" s="319"/>
      <c r="BR6587" s="319"/>
      <c r="BS6587" s="330"/>
      <c r="BT6587" s="331"/>
      <c r="BU6587" s="920"/>
      <c r="BV6587" s="903"/>
      <c r="BW6587" s="908"/>
      <c r="BX6587" s="908"/>
      <c r="BY6587" s="331"/>
      <c r="BZ6587" s="331"/>
      <c r="CA6587" s="462"/>
      <c r="CB6587" s="319"/>
      <c r="CC6587" s="319"/>
      <c r="CD6587" s="319"/>
      <c r="CE6587" s="319"/>
      <c r="CF6587" s="319"/>
      <c r="CG6587" s="319"/>
      <c r="CH6587" s="318"/>
      <c r="CI6587" s="319"/>
      <c r="CJ6587" s="319"/>
      <c r="CK6587" s="342"/>
      <c r="CL6587" s="333"/>
      <c r="CM6587" s="1079"/>
      <c r="CN6587" s="1005"/>
      <c r="CO6587" s="1005"/>
      <c r="CP6587" s="1005"/>
    </row>
    <row r="6588">
      <c r="A6588" s="1257"/>
      <c r="B6588" s="1113"/>
      <c r="C6588" s="1107"/>
      <c r="D6588" s="103"/>
      <c r="E6588" s="1137"/>
      <c r="F6588" s="112"/>
      <c r="G6588" s="1110"/>
      <c r="H6588" s="1138"/>
      <c r="I6588" s="1138"/>
      <c r="J6588" s="1139"/>
      <c r="K6588" s="1111"/>
      <c r="L6588" s="1112"/>
      <c r="M6588" s="1113"/>
      <c r="N6588" s="110"/>
      <c r="O6588" s="1140"/>
      <c r="P6588" s="1115"/>
      <c r="Q6588" s="1116"/>
      <c r="R6588" s="1141"/>
      <c r="S6588" s="1113"/>
      <c r="T6588" s="1143"/>
      <c r="U6588" s="1108"/>
      <c r="V6588" s="1108"/>
      <c r="W6588" s="1108"/>
      <c r="X6588" s="1108"/>
      <c r="Y6588" s="1108"/>
      <c r="Z6588" s="1114"/>
      <c r="AA6588" s="1114"/>
      <c r="AB6588" s="1114"/>
      <c r="AC6588" s="1117"/>
      <c r="AD6588" s="1115"/>
      <c r="AE6588" s="1115"/>
      <c r="AF6588" s="1115"/>
      <c r="AG6588" s="1115"/>
      <c r="AH6588" s="1115"/>
      <c r="AI6588" s="1115"/>
      <c r="AJ6588" s="1117"/>
      <c r="AK6588" s="1118"/>
      <c r="AL6588" s="1115"/>
      <c r="AM6588" s="1115"/>
      <c r="AN6588" s="1115"/>
      <c r="AO6588" s="1115"/>
      <c r="AP6588" s="1115"/>
      <c r="AQ6588" s="1115"/>
      <c r="AR6588" s="1115"/>
      <c r="AS6588" s="1117"/>
      <c r="AT6588" s="1075"/>
      <c r="AU6588" s="1193"/>
      <c r="AV6588" s="330"/>
      <c r="AW6588" s="331"/>
      <c r="AX6588" s="331"/>
      <c r="AY6588" s="331"/>
      <c r="AZ6588" s="331"/>
      <c r="BA6588" s="331"/>
      <c r="BB6588" s="331"/>
      <c r="BC6588" s="331"/>
      <c r="BD6588" s="331"/>
      <c r="BE6588" s="333"/>
      <c r="BF6588" s="330"/>
      <c r="BG6588" s="333"/>
      <c r="BH6588" s="1119"/>
      <c r="BI6588" s="319"/>
      <c r="BJ6588" s="319"/>
      <c r="BK6588" s="319"/>
      <c r="BL6588" s="319"/>
      <c r="BM6588" s="319"/>
      <c r="BN6588" s="319"/>
      <c r="BO6588" s="319"/>
      <c r="BP6588" s="953"/>
      <c r="BQ6588" s="319"/>
      <c r="BR6588" s="319"/>
      <c r="BS6588" s="330"/>
      <c r="BT6588" s="331"/>
      <c r="BU6588" s="920"/>
      <c r="BV6588" s="903"/>
      <c r="BW6588" s="908"/>
      <c r="BX6588" s="908"/>
      <c r="BY6588" s="331"/>
      <c r="BZ6588" s="331"/>
      <c r="CA6588" s="462"/>
      <c r="CB6588" s="319"/>
      <c r="CC6588" s="319"/>
      <c r="CD6588" s="319"/>
      <c r="CE6588" s="319"/>
      <c r="CF6588" s="319"/>
      <c r="CG6588" s="319"/>
      <c r="CH6588" s="318"/>
      <c r="CI6588" s="319"/>
      <c r="CJ6588" s="319"/>
      <c r="CK6588" s="342"/>
      <c r="CL6588" s="333"/>
      <c r="CM6588" s="1079"/>
      <c r="CN6588" s="1005"/>
      <c r="CO6588" s="1005"/>
      <c r="CP6588" s="1005"/>
    </row>
    <row r="6589">
      <c r="A6589" s="1257"/>
      <c r="B6589" s="1113"/>
      <c r="C6589" s="1107"/>
      <c r="D6589" s="103"/>
      <c r="E6589" s="1137"/>
      <c r="F6589" s="112"/>
      <c r="G6589" s="1110"/>
      <c r="H6589" s="1138"/>
      <c r="I6589" s="1138"/>
      <c r="J6589" s="1139"/>
      <c r="K6589" s="1111"/>
      <c r="L6589" s="1112"/>
      <c r="M6589" s="1113"/>
      <c r="N6589" s="110"/>
      <c r="O6589" s="1140"/>
      <c r="P6589" s="1115"/>
      <c r="Q6589" s="1116"/>
      <c r="R6589" s="1141"/>
      <c r="S6589" s="1113"/>
      <c r="T6589" s="1143"/>
      <c r="U6589" s="1108"/>
      <c r="V6589" s="1108"/>
      <c r="W6589" s="1108"/>
      <c r="X6589" s="1108"/>
      <c r="Y6589" s="1108"/>
      <c r="Z6589" s="1114"/>
      <c r="AA6589" s="1114"/>
      <c r="AB6589" s="1114"/>
      <c r="AC6589" s="1117"/>
      <c r="AD6589" s="1115"/>
      <c r="AE6589" s="1115"/>
      <c r="AF6589" s="1115"/>
      <c r="AG6589" s="1115"/>
      <c r="AH6589" s="1115"/>
      <c r="AI6589" s="1115"/>
      <c r="AJ6589" s="1117"/>
      <c r="AK6589" s="1118"/>
      <c r="AL6589" s="1115"/>
      <c r="AM6589" s="1115"/>
      <c r="AN6589" s="1115"/>
      <c r="AO6589" s="1115"/>
      <c r="AP6589" s="1115"/>
      <c r="AQ6589" s="1115"/>
      <c r="AR6589" s="1115"/>
      <c r="AS6589" s="1117"/>
      <c r="AT6589" s="1075"/>
      <c r="AU6589" s="1193"/>
      <c r="AV6589" s="330"/>
      <c r="AW6589" s="331"/>
      <c r="AX6589" s="331"/>
      <c r="AY6589" s="331"/>
      <c r="AZ6589" s="331"/>
      <c r="BA6589" s="331"/>
      <c r="BB6589" s="331"/>
      <c r="BC6589" s="331"/>
      <c r="BD6589" s="331"/>
      <c r="BE6589" s="333"/>
      <c r="BF6589" s="330"/>
      <c r="BG6589" s="333"/>
      <c r="BH6589" s="1119"/>
      <c r="BI6589" s="319"/>
      <c r="BJ6589" s="319"/>
      <c r="BK6589" s="319"/>
      <c r="BL6589" s="319"/>
      <c r="BM6589" s="319"/>
      <c r="BN6589" s="319"/>
      <c r="BO6589" s="319"/>
      <c r="BP6589" s="953"/>
      <c r="BQ6589" s="319"/>
      <c r="BR6589" s="319"/>
      <c r="BS6589" s="330"/>
      <c r="BT6589" s="331"/>
      <c r="BU6589" s="920"/>
      <c r="BV6589" s="903"/>
      <c r="BW6589" s="908"/>
      <c r="BX6589" s="908"/>
      <c r="BY6589" s="331"/>
      <c r="BZ6589" s="331"/>
      <c r="CA6589" s="462"/>
      <c r="CB6589" s="319"/>
      <c r="CC6589" s="319"/>
      <c r="CD6589" s="319"/>
      <c r="CE6589" s="319"/>
      <c r="CF6589" s="319"/>
      <c r="CG6589" s="319"/>
      <c r="CH6589" s="318"/>
      <c r="CI6589" s="319"/>
      <c r="CJ6589" s="319"/>
      <c r="CK6589" s="342"/>
      <c r="CL6589" s="333"/>
      <c r="CM6589" s="1079"/>
      <c r="CN6589" s="1005"/>
      <c r="CO6589" s="1005"/>
      <c r="CP6589" s="1005"/>
    </row>
    <row r="6590">
      <c r="A6590" s="1257"/>
      <c r="B6590" s="1113"/>
      <c r="C6590" s="1107"/>
      <c r="D6590" s="103"/>
      <c r="E6590" s="1137"/>
      <c r="F6590" s="112"/>
      <c r="G6590" s="1110"/>
      <c r="H6590" s="1138"/>
      <c r="I6590" s="1138"/>
      <c r="J6590" s="1139"/>
      <c r="K6590" s="1111"/>
      <c r="L6590" s="1112"/>
      <c r="M6590" s="1113"/>
      <c r="N6590" s="110"/>
      <c r="O6590" s="1140"/>
      <c r="P6590" s="1115"/>
      <c r="Q6590" s="1116"/>
      <c r="R6590" s="1141"/>
      <c r="S6590" s="1113"/>
      <c r="T6590" s="1143"/>
      <c r="U6590" s="1108"/>
      <c r="V6590" s="1108"/>
      <c r="W6590" s="1108"/>
      <c r="X6590" s="1108"/>
      <c r="Y6590" s="1108"/>
      <c r="Z6590" s="1114"/>
      <c r="AA6590" s="1114"/>
      <c r="AB6590" s="1114"/>
      <c r="AC6590" s="1117"/>
      <c r="AD6590" s="1115"/>
      <c r="AE6590" s="1115"/>
      <c r="AF6590" s="1115"/>
      <c r="AG6590" s="1115"/>
      <c r="AH6590" s="1115"/>
      <c r="AI6590" s="1115"/>
      <c r="AJ6590" s="1117"/>
      <c r="AK6590" s="1118"/>
      <c r="AL6590" s="1115"/>
      <c r="AM6590" s="1115"/>
      <c r="AN6590" s="1115"/>
      <c r="AO6590" s="1115"/>
      <c r="AP6590" s="1115"/>
      <c r="AQ6590" s="1115"/>
      <c r="AR6590" s="1115"/>
      <c r="AS6590" s="1117"/>
      <c r="AT6590" s="1075"/>
      <c r="AU6590" s="1193"/>
      <c r="AV6590" s="330"/>
      <c r="AW6590" s="331"/>
      <c r="AX6590" s="331"/>
      <c r="AY6590" s="331"/>
      <c r="AZ6590" s="331"/>
      <c r="BA6590" s="331"/>
      <c r="BB6590" s="331"/>
      <c r="BC6590" s="331"/>
      <c r="BD6590" s="331"/>
      <c r="BE6590" s="333"/>
      <c r="BF6590" s="330"/>
      <c r="BG6590" s="333"/>
      <c r="BH6590" s="1119"/>
      <c r="BI6590" s="319"/>
      <c r="BJ6590" s="319"/>
      <c r="BK6590" s="319"/>
      <c r="BL6590" s="319"/>
      <c r="BM6590" s="319"/>
      <c r="BN6590" s="319"/>
      <c r="BO6590" s="319"/>
      <c r="BP6590" s="953"/>
      <c r="BQ6590" s="319"/>
      <c r="BR6590" s="319"/>
      <c r="BS6590" s="330"/>
      <c r="BT6590" s="331"/>
      <c r="BU6590" s="920"/>
      <c r="BV6590" s="903"/>
      <c r="BW6590" s="908"/>
      <c r="BX6590" s="908"/>
      <c r="BY6590" s="331"/>
      <c r="BZ6590" s="331"/>
      <c r="CA6590" s="462"/>
      <c r="CB6590" s="319"/>
      <c r="CC6590" s="319"/>
      <c r="CD6590" s="319"/>
      <c r="CE6590" s="319"/>
      <c r="CF6590" s="319"/>
      <c r="CG6590" s="319"/>
      <c r="CH6590" s="318"/>
      <c r="CI6590" s="319"/>
      <c r="CJ6590" s="319"/>
      <c r="CK6590" s="342"/>
      <c r="CL6590" s="333"/>
      <c r="CM6590" s="1079"/>
      <c r="CN6590" s="1005"/>
      <c r="CO6590" s="1005"/>
      <c r="CP6590" s="1005"/>
    </row>
    <row r="6591">
      <c r="A6591" s="1257"/>
      <c r="B6591" s="1113"/>
      <c r="C6591" s="1107"/>
      <c r="D6591" s="103"/>
      <c r="E6591" s="1137"/>
      <c r="F6591" s="112"/>
      <c r="G6591" s="1110"/>
      <c r="H6591" s="1138"/>
      <c r="I6591" s="1138"/>
      <c r="J6591" s="1139"/>
      <c r="K6591" s="1111"/>
      <c r="L6591" s="1112"/>
      <c r="M6591" s="1113"/>
      <c r="N6591" s="110"/>
      <c r="O6591" s="1140"/>
      <c r="P6591" s="1115"/>
      <c r="Q6591" s="1116"/>
      <c r="R6591" s="1141"/>
      <c r="S6591" s="1113"/>
      <c r="T6591" s="1143"/>
      <c r="U6591" s="1108"/>
      <c r="V6591" s="1108"/>
      <c r="W6591" s="1108"/>
      <c r="X6591" s="1108"/>
      <c r="Y6591" s="1108"/>
      <c r="Z6591" s="1114"/>
      <c r="AA6591" s="1114"/>
      <c r="AB6591" s="1114"/>
      <c r="AC6591" s="1117"/>
      <c r="AD6591" s="1115"/>
      <c r="AE6591" s="1115"/>
      <c r="AF6591" s="1115"/>
      <c r="AG6591" s="1115"/>
      <c r="AH6591" s="1115"/>
      <c r="AI6591" s="1115"/>
      <c r="AJ6591" s="1117"/>
      <c r="AK6591" s="1118"/>
      <c r="AL6591" s="1115"/>
      <c r="AM6591" s="1115"/>
      <c r="AN6591" s="1115"/>
      <c r="AO6591" s="1115"/>
      <c r="AP6591" s="1115"/>
      <c r="AQ6591" s="1115"/>
      <c r="AR6591" s="1115"/>
      <c r="AS6591" s="1117"/>
      <c r="AT6591" s="1075"/>
      <c r="AU6591" s="1193"/>
      <c r="AV6591" s="330"/>
      <c r="AW6591" s="331"/>
      <c r="AX6591" s="331"/>
      <c r="AY6591" s="331"/>
      <c r="AZ6591" s="331"/>
      <c r="BA6591" s="331"/>
      <c r="BB6591" s="331"/>
      <c r="BC6591" s="331"/>
      <c r="BD6591" s="331"/>
      <c r="BE6591" s="333"/>
      <c r="BF6591" s="330"/>
      <c r="BG6591" s="333"/>
      <c r="BH6591" s="1119"/>
      <c r="BI6591" s="319"/>
      <c r="BJ6591" s="319"/>
      <c r="BK6591" s="319"/>
      <c r="BL6591" s="319"/>
      <c r="BM6591" s="319"/>
      <c r="BN6591" s="319"/>
      <c r="BO6591" s="319"/>
      <c r="BP6591" s="953"/>
      <c r="BQ6591" s="319"/>
      <c r="BR6591" s="319"/>
      <c r="BS6591" s="330"/>
      <c r="BT6591" s="331"/>
      <c r="BU6591" s="920"/>
      <c r="BV6591" s="903"/>
      <c r="BW6591" s="908"/>
      <c r="BX6591" s="908"/>
      <c r="BY6591" s="331"/>
      <c r="BZ6591" s="331"/>
      <c r="CA6591" s="462"/>
      <c r="CB6591" s="319"/>
      <c r="CC6591" s="319"/>
      <c r="CD6591" s="319"/>
      <c r="CE6591" s="319"/>
      <c r="CF6591" s="319"/>
      <c r="CG6591" s="319"/>
      <c r="CH6591" s="318"/>
      <c r="CI6591" s="319"/>
      <c r="CJ6591" s="319"/>
      <c r="CK6591" s="342"/>
      <c r="CL6591" s="333"/>
      <c r="CM6591" s="1079"/>
      <c r="CN6591" s="1005"/>
      <c r="CO6591" s="1005"/>
      <c r="CP6591" s="1005"/>
    </row>
    <row r="6592">
      <c r="A6592" s="1257"/>
      <c r="B6592" s="1113"/>
      <c r="C6592" s="1107"/>
      <c r="D6592" s="103"/>
      <c r="E6592" s="1137"/>
      <c r="F6592" s="112"/>
      <c r="G6592" s="1110"/>
      <c r="H6592" s="1138"/>
      <c r="I6592" s="1138"/>
      <c r="J6592" s="1139"/>
      <c r="K6592" s="1111"/>
      <c r="L6592" s="1112"/>
      <c r="M6592" s="1113"/>
      <c r="N6592" s="110"/>
      <c r="O6592" s="1140"/>
      <c r="P6592" s="1115"/>
      <c r="Q6592" s="1116"/>
      <c r="R6592" s="1141"/>
      <c r="S6592" s="1113"/>
      <c r="T6592" s="1143"/>
      <c r="U6592" s="1108"/>
      <c r="V6592" s="1108"/>
      <c r="W6592" s="1108"/>
      <c r="X6592" s="1108"/>
      <c r="Y6592" s="1108"/>
      <c r="Z6592" s="1114"/>
      <c r="AA6592" s="1114"/>
      <c r="AB6592" s="1114"/>
      <c r="AC6592" s="1117"/>
      <c r="AD6592" s="1115"/>
      <c r="AE6592" s="1115"/>
      <c r="AF6592" s="1115"/>
      <c r="AG6592" s="1115"/>
      <c r="AH6592" s="1115"/>
      <c r="AI6592" s="1115"/>
      <c r="AJ6592" s="1117"/>
      <c r="AK6592" s="1118"/>
      <c r="AL6592" s="1115"/>
      <c r="AM6592" s="1115"/>
      <c r="AN6592" s="1115"/>
      <c r="AO6592" s="1115"/>
      <c r="AP6592" s="1115"/>
      <c r="AQ6592" s="1115"/>
      <c r="AR6592" s="1115"/>
      <c r="AS6592" s="1117"/>
      <c r="AT6592" s="1075"/>
      <c r="AU6592" s="1193"/>
      <c r="AV6592" s="330"/>
      <c r="AW6592" s="331"/>
      <c r="AX6592" s="331"/>
      <c r="AY6592" s="331"/>
      <c r="AZ6592" s="331"/>
      <c r="BA6592" s="331"/>
      <c r="BB6592" s="331"/>
      <c r="BC6592" s="331"/>
      <c r="BD6592" s="331"/>
      <c r="BE6592" s="333"/>
      <c r="BF6592" s="330"/>
      <c r="BG6592" s="333"/>
      <c r="BH6592" s="1119"/>
      <c r="BI6592" s="319"/>
      <c r="BJ6592" s="319"/>
      <c r="BK6592" s="319"/>
      <c r="BL6592" s="319"/>
      <c r="BM6592" s="319"/>
      <c r="BN6592" s="319"/>
      <c r="BO6592" s="319"/>
      <c r="BP6592" s="953"/>
      <c r="BQ6592" s="319"/>
      <c r="BR6592" s="319"/>
      <c r="BS6592" s="330"/>
      <c r="BT6592" s="331"/>
      <c r="BU6592" s="920"/>
      <c r="BV6592" s="903"/>
      <c r="BW6592" s="908"/>
      <c r="BX6592" s="908"/>
      <c r="BY6592" s="331"/>
      <c r="BZ6592" s="331"/>
      <c r="CA6592" s="462"/>
      <c r="CB6592" s="319"/>
      <c r="CC6592" s="319"/>
      <c r="CD6592" s="319"/>
      <c r="CE6592" s="319"/>
      <c r="CF6592" s="319"/>
      <c r="CG6592" s="319"/>
      <c r="CH6592" s="318"/>
      <c r="CI6592" s="319"/>
      <c r="CJ6592" s="319"/>
      <c r="CK6592" s="342"/>
      <c r="CL6592" s="333"/>
      <c r="CM6592" s="1079"/>
      <c r="CN6592" s="1005"/>
      <c r="CO6592" s="1005"/>
      <c r="CP6592" s="1005"/>
    </row>
    <row r="6593">
      <c r="A6593" s="1257"/>
      <c r="B6593" s="1113"/>
      <c r="C6593" s="1107"/>
      <c r="D6593" s="103"/>
      <c r="E6593" s="1137"/>
      <c r="F6593" s="112"/>
      <c r="G6593" s="1110"/>
      <c r="H6593" s="1138"/>
      <c r="I6593" s="1138"/>
      <c r="J6593" s="1139"/>
      <c r="K6593" s="1111"/>
      <c r="L6593" s="1112"/>
      <c r="M6593" s="1113"/>
      <c r="N6593" s="110"/>
      <c r="O6593" s="1140"/>
      <c r="P6593" s="1115"/>
      <c r="Q6593" s="1116"/>
      <c r="R6593" s="1141"/>
      <c r="S6593" s="1113"/>
      <c r="T6593" s="1143"/>
      <c r="U6593" s="1108"/>
      <c r="V6593" s="1108"/>
      <c r="W6593" s="1108"/>
      <c r="X6593" s="1108"/>
      <c r="Y6593" s="1108"/>
      <c r="Z6593" s="1114"/>
      <c r="AA6593" s="1114"/>
      <c r="AB6593" s="1114"/>
      <c r="AC6593" s="1117"/>
      <c r="AD6593" s="1115"/>
      <c r="AE6593" s="1115"/>
      <c r="AF6593" s="1115"/>
      <c r="AG6593" s="1115"/>
      <c r="AH6593" s="1115"/>
      <c r="AI6593" s="1115"/>
      <c r="AJ6593" s="1117"/>
      <c r="AK6593" s="1118"/>
      <c r="AL6593" s="1115"/>
      <c r="AM6593" s="1115"/>
      <c r="AN6593" s="1115"/>
      <c r="AO6593" s="1115"/>
      <c r="AP6593" s="1115"/>
      <c r="AQ6593" s="1115"/>
      <c r="AR6593" s="1115"/>
      <c r="AS6593" s="1117"/>
      <c r="AT6593" s="1075"/>
      <c r="AU6593" s="1193"/>
      <c r="AV6593" s="330"/>
      <c r="AW6593" s="331"/>
      <c r="AX6593" s="331"/>
      <c r="AY6593" s="331"/>
      <c r="AZ6593" s="331"/>
      <c r="BA6593" s="331"/>
      <c r="BB6593" s="331"/>
      <c r="BC6593" s="331"/>
      <c r="BD6593" s="331"/>
      <c r="BE6593" s="333"/>
      <c r="BF6593" s="330"/>
      <c r="BG6593" s="333"/>
      <c r="BH6593" s="1119"/>
      <c r="BI6593" s="319"/>
      <c r="BJ6593" s="319"/>
      <c r="BK6593" s="319"/>
      <c r="BL6593" s="319"/>
      <c r="BM6593" s="319"/>
      <c r="BN6593" s="319"/>
      <c r="BO6593" s="319"/>
      <c r="BP6593" s="953"/>
      <c r="BQ6593" s="319"/>
      <c r="BR6593" s="319"/>
      <c r="BS6593" s="330"/>
      <c r="BT6593" s="331"/>
      <c r="BU6593" s="920"/>
      <c r="BV6593" s="903"/>
      <c r="BW6593" s="908"/>
      <c r="BX6593" s="908"/>
      <c r="BY6593" s="331"/>
      <c r="BZ6593" s="331"/>
      <c r="CA6593" s="462"/>
      <c r="CB6593" s="319"/>
      <c r="CC6593" s="319"/>
      <c r="CD6593" s="319"/>
      <c r="CE6593" s="319"/>
      <c r="CF6593" s="319"/>
      <c r="CG6593" s="319"/>
      <c r="CH6593" s="318"/>
      <c r="CI6593" s="319"/>
      <c r="CJ6593" s="319"/>
      <c r="CK6593" s="342"/>
      <c r="CL6593" s="333"/>
      <c r="CM6593" s="1079"/>
      <c r="CN6593" s="1005"/>
      <c r="CO6593" s="1005"/>
      <c r="CP6593" s="1005"/>
    </row>
    <row r="6594">
      <c r="A6594" s="1257"/>
      <c r="B6594" s="1113"/>
      <c r="C6594" s="1107"/>
      <c r="D6594" s="103"/>
      <c r="E6594" s="1137"/>
      <c r="F6594" s="112"/>
      <c r="G6594" s="1110"/>
      <c r="H6594" s="1138"/>
      <c r="I6594" s="1138"/>
      <c r="J6594" s="1139"/>
      <c r="K6594" s="1111"/>
      <c r="L6594" s="1112"/>
      <c r="M6594" s="1113"/>
      <c r="N6594" s="110"/>
      <c r="O6594" s="1140"/>
      <c r="P6594" s="1115"/>
      <c r="Q6594" s="1116"/>
      <c r="R6594" s="1141"/>
      <c r="S6594" s="1113"/>
      <c r="T6594" s="1143"/>
      <c r="U6594" s="1108"/>
      <c r="V6594" s="1108"/>
      <c r="W6594" s="1108"/>
      <c r="X6594" s="1108"/>
      <c r="Y6594" s="1108"/>
      <c r="Z6594" s="1114"/>
      <c r="AA6594" s="1114"/>
      <c r="AB6594" s="1114"/>
      <c r="AC6594" s="1117"/>
      <c r="AD6594" s="1115"/>
      <c r="AE6594" s="1115"/>
      <c r="AF6594" s="1115"/>
      <c r="AG6594" s="1115"/>
      <c r="AH6594" s="1115"/>
      <c r="AI6594" s="1115"/>
      <c r="AJ6594" s="1117"/>
      <c r="AK6594" s="1118"/>
      <c r="AL6594" s="1115"/>
      <c r="AM6594" s="1115"/>
      <c r="AN6594" s="1115"/>
      <c r="AO6594" s="1115"/>
      <c r="AP6594" s="1115"/>
      <c r="AQ6594" s="1115"/>
      <c r="AR6594" s="1115"/>
      <c r="AS6594" s="1117"/>
      <c r="AT6594" s="1075"/>
      <c r="AU6594" s="1193"/>
      <c r="AV6594" s="330"/>
      <c r="AW6594" s="331"/>
      <c r="AX6594" s="331"/>
      <c r="AY6594" s="331"/>
      <c r="AZ6594" s="331"/>
      <c r="BA6594" s="331"/>
      <c r="BB6594" s="331"/>
      <c r="BC6594" s="331"/>
      <c r="BD6594" s="331"/>
      <c r="BE6594" s="333"/>
      <c r="BF6594" s="330"/>
      <c r="BG6594" s="333"/>
      <c r="BH6594" s="1119"/>
      <c r="BI6594" s="319"/>
      <c r="BJ6594" s="319"/>
      <c r="BK6594" s="319"/>
      <c r="BL6594" s="319"/>
      <c r="BM6594" s="319"/>
      <c r="BN6594" s="319"/>
      <c r="BO6594" s="319"/>
      <c r="BP6594" s="953"/>
      <c r="BQ6594" s="319"/>
      <c r="BR6594" s="319"/>
      <c r="BS6594" s="330"/>
      <c r="BT6594" s="331"/>
      <c r="BU6594" s="920"/>
      <c r="BV6594" s="903"/>
      <c r="BW6594" s="908"/>
      <c r="BX6594" s="908"/>
      <c r="BY6594" s="331"/>
      <c r="BZ6594" s="331"/>
      <c r="CA6594" s="462"/>
      <c r="CB6594" s="319"/>
      <c r="CC6594" s="319"/>
      <c r="CD6594" s="319"/>
      <c r="CE6594" s="319"/>
      <c r="CF6594" s="319"/>
      <c r="CG6594" s="319"/>
      <c r="CH6594" s="318"/>
      <c r="CI6594" s="319"/>
      <c r="CJ6594" s="319"/>
      <c r="CK6594" s="342"/>
      <c r="CL6594" s="333"/>
      <c r="CM6594" s="1079"/>
      <c r="CN6594" s="1005"/>
      <c r="CO6594" s="1005"/>
      <c r="CP6594" s="1005"/>
    </row>
    <row r="6595">
      <c r="A6595" s="1257"/>
      <c r="B6595" s="1113"/>
      <c r="C6595" s="1107"/>
      <c r="D6595" s="103"/>
      <c r="E6595" s="1137"/>
      <c r="F6595" s="112"/>
      <c r="G6595" s="1110"/>
      <c r="H6595" s="1138"/>
      <c r="I6595" s="1138"/>
      <c r="J6595" s="1139"/>
      <c r="K6595" s="1111"/>
      <c r="L6595" s="1112"/>
      <c r="M6595" s="1113"/>
      <c r="N6595" s="110"/>
      <c r="O6595" s="1140"/>
      <c r="P6595" s="1115"/>
      <c r="Q6595" s="1116"/>
      <c r="R6595" s="1141"/>
      <c r="S6595" s="1113"/>
      <c r="T6595" s="1143"/>
      <c r="U6595" s="1108"/>
      <c r="V6595" s="1108"/>
      <c r="W6595" s="1108"/>
      <c r="X6595" s="1108"/>
      <c r="Y6595" s="1108"/>
      <c r="Z6595" s="1114"/>
      <c r="AA6595" s="1114"/>
      <c r="AB6595" s="1114"/>
      <c r="AC6595" s="1117"/>
      <c r="AD6595" s="1115"/>
      <c r="AE6595" s="1115"/>
      <c r="AF6595" s="1115"/>
      <c r="AG6595" s="1115"/>
      <c r="AH6595" s="1115"/>
      <c r="AI6595" s="1115"/>
      <c r="AJ6595" s="1117"/>
      <c r="AK6595" s="1118"/>
      <c r="AL6595" s="1115"/>
      <c r="AM6595" s="1115"/>
      <c r="AN6595" s="1115"/>
      <c r="AO6595" s="1115"/>
      <c r="AP6595" s="1115"/>
      <c r="AQ6595" s="1115"/>
      <c r="AR6595" s="1115"/>
      <c r="AS6595" s="1117"/>
      <c r="AT6595" s="1075"/>
      <c r="AU6595" s="1193"/>
      <c r="AV6595" s="330"/>
      <c r="AW6595" s="331"/>
      <c r="AX6595" s="331"/>
      <c r="AY6595" s="331"/>
      <c r="AZ6595" s="331"/>
      <c r="BA6595" s="331"/>
      <c r="BB6595" s="331"/>
      <c r="BC6595" s="331"/>
      <c r="BD6595" s="331"/>
      <c r="BE6595" s="333"/>
      <c r="BF6595" s="330"/>
      <c r="BG6595" s="333"/>
      <c r="BH6595" s="1119"/>
      <c r="BI6595" s="319"/>
      <c r="BJ6595" s="319"/>
      <c r="BK6595" s="319"/>
      <c r="BL6595" s="319"/>
      <c r="BM6595" s="319"/>
      <c r="BN6595" s="319"/>
      <c r="BO6595" s="319"/>
      <c r="BP6595" s="953"/>
      <c r="BQ6595" s="319"/>
      <c r="BR6595" s="319"/>
      <c r="BS6595" s="330"/>
      <c r="BT6595" s="331"/>
      <c r="BU6595" s="920"/>
      <c r="BV6595" s="903"/>
      <c r="BW6595" s="908"/>
      <c r="BX6595" s="908"/>
      <c r="BY6595" s="331"/>
      <c r="BZ6595" s="331"/>
      <c r="CA6595" s="462"/>
      <c r="CB6595" s="319"/>
      <c r="CC6595" s="319"/>
      <c r="CD6595" s="319"/>
      <c r="CE6595" s="319"/>
      <c r="CF6595" s="319"/>
      <c r="CG6595" s="319"/>
      <c r="CH6595" s="318"/>
      <c r="CI6595" s="319"/>
      <c r="CJ6595" s="319"/>
      <c r="CK6595" s="342"/>
      <c r="CL6595" s="333"/>
      <c r="CM6595" s="1079"/>
      <c r="CN6595" s="1005"/>
      <c r="CO6595" s="1005"/>
      <c r="CP6595" s="1005"/>
    </row>
    <row r="6596">
      <c r="A6596" s="1257"/>
      <c r="B6596" s="1113"/>
      <c r="C6596" s="1107"/>
      <c r="D6596" s="103"/>
      <c r="E6596" s="1137"/>
      <c r="F6596" s="112"/>
      <c r="G6596" s="1110"/>
      <c r="H6596" s="1138"/>
      <c r="I6596" s="1138"/>
      <c r="J6596" s="1139"/>
      <c r="K6596" s="1111"/>
      <c r="L6596" s="1112"/>
      <c r="M6596" s="1113"/>
      <c r="N6596" s="110"/>
      <c r="O6596" s="1140"/>
      <c r="P6596" s="1115"/>
      <c r="Q6596" s="1116"/>
      <c r="R6596" s="1141"/>
      <c r="S6596" s="1113"/>
      <c r="T6596" s="1143"/>
      <c r="U6596" s="1108"/>
      <c r="V6596" s="1108"/>
      <c r="W6596" s="1108"/>
      <c r="X6596" s="1108"/>
      <c r="Y6596" s="1108"/>
      <c r="Z6596" s="1114"/>
      <c r="AA6596" s="1114"/>
      <c r="AB6596" s="1114"/>
      <c r="AC6596" s="1117"/>
      <c r="AD6596" s="1115"/>
      <c r="AE6596" s="1115"/>
      <c r="AF6596" s="1115"/>
      <c r="AG6596" s="1115"/>
      <c r="AH6596" s="1115"/>
      <c r="AI6596" s="1115"/>
      <c r="AJ6596" s="1117"/>
      <c r="AK6596" s="1118"/>
      <c r="AL6596" s="1115"/>
      <c r="AM6596" s="1115"/>
      <c r="AN6596" s="1115"/>
      <c r="AO6596" s="1115"/>
      <c r="AP6596" s="1115"/>
      <c r="AQ6596" s="1115"/>
      <c r="AR6596" s="1115"/>
      <c r="AS6596" s="1117"/>
      <c r="AT6596" s="1075"/>
      <c r="AU6596" s="1193"/>
      <c r="AV6596" s="330"/>
      <c r="AW6596" s="331"/>
      <c r="AX6596" s="331"/>
      <c r="AY6596" s="331"/>
      <c r="AZ6596" s="331"/>
      <c r="BA6596" s="331"/>
      <c r="BB6596" s="331"/>
      <c r="BC6596" s="331"/>
      <c r="BD6596" s="331"/>
      <c r="BE6596" s="333"/>
      <c r="BF6596" s="330"/>
      <c r="BG6596" s="333"/>
      <c r="BH6596" s="1119"/>
      <c r="BI6596" s="319"/>
      <c r="BJ6596" s="319"/>
      <c r="BK6596" s="319"/>
      <c r="BL6596" s="319"/>
      <c r="BM6596" s="319"/>
      <c r="BN6596" s="319"/>
      <c r="BO6596" s="319"/>
      <c r="BP6596" s="953"/>
      <c r="BQ6596" s="319"/>
      <c r="BR6596" s="319"/>
      <c r="BS6596" s="330"/>
      <c r="BT6596" s="331"/>
      <c r="BU6596" s="920"/>
      <c r="BV6596" s="903"/>
      <c r="BW6596" s="908"/>
      <c r="BX6596" s="908"/>
      <c r="BY6596" s="331"/>
      <c r="BZ6596" s="331"/>
      <c r="CA6596" s="462"/>
      <c r="CB6596" s="319"/>
      <c r="CC6596" s="319"/>
      <c r="CD6596" s="319"/>
      <c r="CE6596" s="319"/>
      <c r="CF6596" s="319"/>
      <c r="CG6596" s="319"/>
      <c r="CH6596" s="318"/>
      <c r="CI6596" s="319"/>
      <c r="CJ6596" s="319"/>
      <c r="CK6596" s="342"/>
      <c r="CL6596" s="333"/>
      <c r="CM6596" s="1079"/>
      <c r="CN6596" s="1005"/>
      <c r="CO6596" s="1005"/>
      <c r="CP6596" s="1005"/>
    </row>
    <row r="6597">
      <c r="A6597" s="1257"/>
      <c r="B6597" s="1113"/>
      <c r="C6597" s="1107"/>
      <c r="D6597" s="103"/>
      <c r="E6597" s="1137"/>
      <c r="F6597" s="112"/>
      <c r="G6597" s="1110"/>
      <c r="H6597" s="1138"/>
      <c r="I6597" s="1138"/>
      <c r="J6597" s="1139"/>
      <c r="K6597" s="1111"/>
      <c r="L6597" s="1112"/>
      <c r="M6597" s="1113"/>
      <c r="N6597" s="110"/>
      <c r="O6597" s="1140"/>
      <c r="P6597" s="1115"/>
      <c r="Q6597" s="1116"/>
      <c r="R6597" s="1141"/>
      <c r="S6597" s="1113"/>
      <c r="T6597" s="1143"/>
      <c r="U6597" s="1108"/>
      <c r="V6597" s="1108"/>
      <c r="W6597" s="1108"/>
      <c r="X6597" s="1108"/>
      <c r="Y6597" s="1108"/>
      <c r="Z6597" s="1114"/>
      <c r="AA6597" s="1114"/>
      <c r="AB6597" s="1114"/>
      <c r="AC6597" s="1117"/>
      <c r="AD6597" s="1115"/>
      <c r="AE6597" s="1115"/>
      <c r="AF6597" s="1115"/>
      <c r="AG6597" s="1115"/>
      <c r="AH6597" s="1115"/>
      <c r="AI6597" s="1115"/>
      <c r="AJ6597" s="1117"/>
      <c r="AK6597" s="1118"/>
      <c r="AL6597" s="1115"/>
      <c r="AM6597" s="1115"/>
      <c r="AN6597" s="1115"/>
      <c r="AO6597" s="1115"/>
      <c r="AP6597" s="1115"/>
      <c r="AQ6597" s="1115"/>
      <c r="AR6597" s="1115"/>
      <c r="AS6597" s="1117"/>
      <c r="AT6597" s="1075"/>
      <c r="AU6597" s="1193"/>
      <c r="AV6597" s="330"/>
      <c r="AW6597" s="331"/>
      <c r="AX6597" s="331"/>
      <c r="AY6597" s="331"/>
      <c r="AZ6597" s="331"/>
      <c r="BA6597" s="331"/>
      <c r="BB6597" s="331"/>
      <c r="BC6597" s="331"/>
      <c r="BD6597" s="331"/>
      <c r="BE6597" s="333"/>
      <c r="BF6597" s="330"/>
      <c r="BG6597" s="333"/>
      <c r="BH6597" s="1119"/>
      <c r="BI6597" s="319"/>
      <c r="BJ6597" s="319"/>
      <c r="BK6597" s="319"/>
      <c r="BL6597" s="319"/>
      <c r="BM6597" s="319"/>
      <c r="BN6597" s="319"/>
      <c r="BO6597" s="319"/>
      <c r="BP6597" s="953"/>
      <c r="BQ6597" s="319"/>
      <c r="BR6597" s="319"/>
      <c r="BS6597" s="330"/>
      <c r="BT6597" s="331"/>
      <c r="BU6597" s="920"/>
      <c r="BV6597" s="903"/>
      <c r="BW6597" s="908"/>
      <c r="BX6597" s="908"/>
      <c r="BY6597" s="331"/>
      <c r="BZ6597" s="331"/>
      <c r="CA6597" s="462"/>
      <c r="CB6597" s="319"/>
      <c r="CC6597" s="319"/>
      <c r="CD6597" s="319"/>
      <c r="CE6597" s="319"/>
      <c r="CF6597" s="319"/>
      <c r="CG6597" s="319"/>
      <c r="CH6597" s="318"/>
      <c r="CI6597" s="319"/>
      <c r="CJ6597" s="319"/>
      <c r="CK6597" s="342"/>
      <c r="CL6597" s="333"/>
      <c r="CM6597" s="1079"/>
      <c r="CN6597" s="1005"/>
      <c r="CO6597" s="1005"/>
      <c r="CP6597" s="1005"/>
    </row>
    <row r="6598">
      <c r="A6598" s="1257"/>
      <c r="B6598" s="1113"/>
      <c r="C6598" s="1107"/>
      <c r="D6598" s="103"/>
      <c r="E6598" s="1137"/>
      <c r="F6598" s="112"/>
      <c r="G6598" s="1110"/>
      <c r="H6598" s="1138"/>
      <c r="I6598" s="1138"/>
      <c r="J6598" s="1139"/>
      <c r="K6598" s="1111"/>
      <c r="L6598" s="1112"/>
      <c r="M6598" s="1113"/>
      <c r="N6598" s="110"/>
      <c r="O6598" s="1140"/>
      <c r="P6598" s="1115"/>
      <c r="Q6598" s="1116"/>
      <c r="R6598" s="1141"/>
      <c r="S6598" s="1113"/>
      <c r="T6598" s="1143"/>
      <c r="U6598" s="1108"/>
      <c r="V6598" s="1108"/>
      <c r="W6598" s="1108"/>
      <c r="X6598" s="1108"/>
      <c r="Y6598" s="1108"/>
      <c r="Z6598" s="1114"/>
      <c r="AA6598" s="1114"/>
      <c r="AB6598" s="1114"/>
      <c r="AC6598" s="1117"/>
      <c r="AD6598" s="1115"/>
      <c r="AE6598" s="1115"/>
      <c r="AF6598" s="1115"/>
      <c r="AG6598" s="1115"/>
      <c r="AH6598" s="1115"/>
      <c r="AI6598" s="1115"/>
      <c r="AJ6598" s="1117"/>
      <c r="AK6598" s="1118"/>
      <c r="AL6598" s="1115"/>
      <c r="AM6598" s="1115"/>
      <c r="AN6598" s="1115"/>
      <c r="AO6598" s="1115"/>
      <c r="AP6598" s="1115"/>
      <c r="AQ6598" s="1115"/>
      <c r="AR6598" s="1115"/>
      <c r="AS6598" s="1117"/>
      <c r="AT6598" s="1075"/>
      <c r="AU6598" s="1193"/>
      <c r="AV6598" s="330"/>
      <c r="AW6598" s="331"/>
      <c r="AX6598" s="331"/>
      <c r="AY6598" s="331"/>
      <c r="AZ6598" s="331"/>
      <c r="BA6598" s="331"/>
      <c r="BB6598" s="331"/>
      <c r="BC6598" s="331"/>
      <c r="BD6598" s="331"/>
      <c r="BE6598" s="333"/>
      <c r="BF6598" s="330"/>
      <c r="BG6598" s="333"/>
      <c r="BH6598" s="1119"/>
      <c r="BI6598" s="319"/>
      <c r="BJ6598" s="319"/>
      <c r="BK6598" s="319"/>
      <c r="BL6598" s="319"/>
      <c r="BM6598" s="319"/>
      <c r="BN6598" s="319"/>
      <c r="BO6598" s="319"/>
      <c r="BP6598" s="953"/>
      <c r="BQ6598" s="319"/>
      <c r="BR6598" s="319"/>
      <c r="BS6598" s="330"/>
      <c r="BT6598" s="331"/>
      <c r="BU6598" s="920"/>
      <c r="BV6598" s="903"/>
      <c r="BW6598" s="908"/>
      <c r="BX6598" s="908"/>
      <c r="BY6598" s="331"/>
      <c r="BZ6598" s="331"/>
      <c r="CA6598" s="462"/>
      <c r="CB6598" s="319"/>
      <c r="CC6598" s="319"/>
      <c r="CD6598" s="319"/>
      <c r="CE6598" s="319"/>
      <c r="CF6598" s="319"/>
      <c r="CG6598" s="319"/>
      <c r="CH6598" s="318"/>
      <c r="CI6598" s="319"/>
      <c r="CJ6598" s="319"/>
      <c r="CK6598" s="342"/>
      <c r="CL6598" s="333"/>
      <c r="CM6598" s="1079"/>
      <c r="CN6598" s="1005"/>
      <c r="CO6598" s="1005"/>
      <c r="CP6598" s="1005"/>
    </row>
    <row r="6599">
      <c r="A6599" s="1257"/>
      <c r="B6599" s="1113"/>
      <c r="C6599" s="1107"/>
      <c r="D6599" s="103"/>
      <c r="E6599" s="1137"/>
      <c r="F6599" s="112"/>
      <c r="G6599" s="1110"/>
      <c r="H6599" s="1138"/>
      <c r="I6599" s="1138"/>
      <c r="J6599" s="1139"/>
      <c r="K6599" s="1111"/>
      <c r="L6599" s="1112"/>
      <c r="M6599" s="1113"/>
      <c r="N6599" s="110"/>
      <c r="O6599" s="1140"/>
      <c r="P6599" s="1115"/>
      <c r="Q6599" s="1116"/>
      <c r="R6599" s="1141"/>
      <c r="S6599" s="1113"/>
      <c r="T6599" s="1143"/>
      <c r="U6599" s="1108"/>
      <c r="V6599" s="1108"/>
      <c r="W6599" s="1108"/>
      <c r="X6599" s="1108"/>
      <c r="Y6599" s="1108"/>
      <c r="Z6599" s="1114"/>
      <c r="AA6599" s="1114"/>
      <c r="AB6599" s="1114"/>
      <c r="AC6599" s="1117"/>
      <c r="AD6599" s="1115"/>
      <c r="AE6599" s="1115"/>
      <c r="AF6599" s="1115"/>
      <c r="AG6599" s="1115"/>
      <c r="AH6599" s="1115"/>
      <c r="AI6599" s="1115"/>
      <c r="AJ6599" s="1117"/>
      <c r="AK6599" s="1118"/>
      <c r="AL6599" s="1115"/>
      <c r="AM6599" s="1115"/>
      <c r="AN6599" s="1115"/>
      <c r="AO6599" s="1115"/>
      <c r="AP6599" s="1115"/>
      <c r="AQ6599" s="1115"/>
      <c r="AR6599" s="1115"/>
      <c r="AS6599" s="1117"/>
      <c r="AT6599" s="1075"/>
      <c r="AU6599" s="1193"/>
      <c r="AV6599" s="330"/>
      <c r="AW6599" s="331"/>
      <c r="AX6599" s="331"/>
      <c r="AY6599" s="331"/>
      <c r="AZ6599" s="331"/>
      <c r="BA6599" s="331"/>
      <c r="BB6599" s="331"/>
      <c r="BC6599" s="331"/>
      <c r="BD6599" s="331"/>
      <c r="BE6599" s="333"/>
      <c r="BF6599" s="330"/>
      <c r="BG6599" s="333"/>
      <c r="BH6599" s="1119"/>
      <c r="BI6599" s="319"/>
      <c r="BJ6599" s="319"/>
      <c r="BK6599" s="319"/>
      <c r="BL6599" s="319"/>
      <c r="BM6599" s="319"/>
      <c r="BN6599" s="319"/>
      <c r="BO6599" s="319"/>
      <c r="BP6599" s="953"/>
      <c r="BQ6599" s="319"/>
      <c r="BR6599" s="319"/>
      <c r="BS6599" s="330"/>
      <c r="BT6599" s="331"/>
      <c r="BU6599" s="920"/>
      <c r="BV6599" s="903"/>
      <c r="BW6599" s="908"/>
      <c r="BX6599" s="908"/>
      <c r="BY6599" s="331"/>
      <c r="BZ6599" s="331"/>
      <c r="CA6599" s="462"/>
      <c r="CB6599" s="319"/>
      <c r="CC6599" s="319"/>
      <c r="CD6599" s="319"/>
      <c r="CE6599" s="319"/>
      <c r="CF6599" s="319"/>
      <c r="CG6599" s="319"/>
      <c r="CH6599" s="318"/>
      <c r="CI6599" s="319"/>
      <c r="CJ6599" s="319"/>
      <c r="CK6599" s="342"/>
      <c r="CL6599" s="333"/>
      <c r="CM6599" s="1079"/>
      <c r="CN6599" s="1005"/>
      <c r="CO6599" s="1005"/>
      <c r="CP6599" s="1005"/>
    </row>
    <row r="6600">
      <c r="A6600" s="1257"/>
      <c r="B6600" s="1113"/>
      <c r="C6600" s="1107"/>
      <c r="D6600" s="103"/>
      <c r="E6600" s="1137"/>
      <c r="F6600" s="112"/>
      <c r="G6600" s="1110"/>
      <c r="H6600" s="1138"/>
      <c r="I6600" s="1138"/>
      <c r="J6600" s="1139"/>
      <c r="K6600" s="1111"/>
      <c r="L6600" s="1112"/>
      <c r="M6600" s="1113"/>
      <c r="N6600" s="110"/>
      <c r="O6600" s="1140"/>
      <c r="P6600" s="1115"/>
      <c r="Q6600" s="1116"/>
      <c r="R6600" s="1141"/>
      <c r="S6600" s="1113"/>
      <c r="T6600" s="1143"/>
      <c r="U6600" s="1108"/>
      <c r="V6600" s="1108"/>
      <c r="W6600" s="1108"/>
      <c r="X6600" s="1108"/>
      <c r="Y6600" s="1108"/>
      <c r="Z6600" s="1114"/>
      <c r="AA6600" s="1114"/>
      <c r="AB6600" s="1114"/>
      <c r="AC6600" s="1117"/>
      <c r="AD6600" s="1115"/>
      <c r="AE6600" s="1115"/>
      <c r="AF6600" s="1115"/>
      <c r="AG6600" s="1115"/>
      <c r="AH6600" s="1115"/>
      <c r="AI6600" s="1115"/>
      <c r="AJ6600" s="1117"/>
      <c r="AK6600" s="1118"/>
      <c r="AL6600" s="1115"/>
      <c r="AM6600" s="1115"/>
      <c r="AN6600" s="1115"/>
      <c r="AO6600" s="1115"/>
      <c r="AP6600" s="1115"/>
      <c r="AQ6600" s="1115"/>
      <c r="AR6600" s="1115"/>
      <c r="AS6600" s="1117"/>
      <c r="AT6600" s="1075"/>
      <c r="AU6600" s="1193"/>
      <c r="AV6600" s="330"/>
      <c r="AW6600" s="331"/>
      <c r="AX6600" s="331"/>
      <c r="AY6600" s="331"/>
      <c r="AZ6600" s="331"/>
      <c r="BA6600" s="331"/>
      <c r="BB6600" s="331"/>
      <c r="BC6600" s="331"/>
      <c r="BD6600" s="331"/>
      <c r="BE6600" s="333"/>
      <c r="BF6600" s="330"/>
      <c r="BG6600" s="333"/>
      <c r="BH6600" s="1119"/>
      <c r="BI6600" s="319"/>
      <c r="BJ6600" s="319"/>
      <c r="BK6600" s="319"/>
      <c r="BL6600" s="319"/>
      <c r="BM6600" s="319"/>
      <c r="BN6600" s="319"/>
      <c r="BO6600" s="319"/>
      <c r="BP6600" s="953"/>
      <c r="BQ6600" s="319"/>
      <c r="BR6600" s="319"/>
      <c r="BS6600" s="330"/>
      <c r="BT6600" s="331"/>
      <c r="BU6600" s="920"/>
      <c r="BV6600" s="903"/>
      <c r="BW6600" s="908"/>
      <c r="BX6600" s="908"/>
      <c r="BY6600" s="331"/>
      <c r="BZ6600" s="331"/>
      <c r="CA6600" s="462"/>
      <c r="CB6600" s="319"/>
      <c r="CC6600" s="319"/>
      <c r="CD6600" s="319"/>
      <c r="CE6600" s="319"/>
      <c r="CF6600" s="319"/>
      <c r="CG6600" s="319"/>
      <c r="CH6600" s="318"/>
      <c r="CI6600" s="319"/>
      <c r="CJ6600" s="319"/>
      <c r="CK6600" s="342"/>
      <c r="CL6600" s="333"/>
      <c r="CM6600" s="1079"/>
      <c r="CN6600" s="1005"/>
      <c r="CO6600" s="1005"/>
      <c r="CP6600" s="1005"/>
    </row>
    <row r="6601">
      <c r="A6601" s="1257"/>
      <c r="B6601" s="1113"/>
      <c r="C6601" s="1107"/>
      <c r="D6601" s="103"/>
      <c r="E6601" s="1137"/>
      <c r="F6601" s="112"/>
      <c r="G6601" s="1110"/>
      <c r="H6601" s="1138"/>
      <c r="I6601" s="1138"/>
      <c r="J6601" s="1139"/>
      <c r="K6601" s="1111"/>
      <c r="L6601" s="1112"/>
      <c r="M6601" s="1113"/>
      <c r="N6601" s="110"/>
      <c r="O6601" s="1140"/>
      <c r="P6601" s="1115"/>
      <c r="Q6601" s="1116"/>
      <c r="R6601" s="1141"/>
      <c r="S6601" s="1113"/>
      <c r="T6601" s="1143"/>
      <c r="U6601" s="1108"/>
      <c r="V6601" s="1108"/>
      <c r="W6601" s="1108"/>
      <c r="X6601" s="1108"/>
      <c r="Y6601" s="1108"/>
      <c r="Z6601" s="1114"/>
      <c r="AA6601" s="1114"/>
      <c r="AB6601" s="1114"/>
      <c r="AC6601" s="1117"/>
      <c r="AD6601" s="1115"/>
      <c r="AE6601" s="1115"/>
      <c r="AF6601" s="1115"/>
      <c r="AG6601" s="1115"/>
      <c r="AH6601" s="1115"/>
      <c r="AI6601" s="1115"/>
      <c r="AJ6601" s="1117"/>
      <c r="AK6601" s="1118"/>
      <c r="AL6601" s="1115"/>
      <c r="AM6601" s="1115"/>
      <c r="AN6601" s="1115"/>
      <c r="AO6601" s="1115"/>
      <c r="AP6601" s="1115"/>
      <c r="AQ6601" s="1115"/>
      <c r="AR6601" s="1115"/>
      <c r="AS6601" s="1117"/>
      <c r="AT6601" s="1075"/>
      <c r="AU6601" s="1193"/>
      <c r="AV6601" s="330"/>
      <c r="AW6601" s="331"/>
      <c r="AX6601" s="331"/>
      <c r="AY6601" s="331"/>
      <c r="AZ6601" s="331"/>
      <c r="BA6601" s="331"/>
      <c r="BB6601" s="331"/>
      <c r="BC6601" s="331"/>
      <c r="BD6601" s="331"/>
      <c r="BE6601" s="333"/>
      <c r="BF6601" s="330"/>
      <c r="BG6601" s="333"/>
      <c r="BH6601" s="1119"/>
      <c r="BI6601" s="319"/>
      <c r="BJ6601" s="319"/>
      <c r="BK6601" s="319"/>
      <c r="BL6601" s="319"/>
      <c r="BM6601" s="319"/>
      <c r="BN6601" s="319"/>
      <c r="BO6601" s="319"/>
      <c r="BP6601" s="953"/>
      <c r="BQ6601" s="319"/>
      <c r="BR6601" s="319"/>
      <c r="BS6601" s="330"/>
      <c r="BT6601" s="331"/>
      <c r="BU6601" s="920"/>
      <c r="BV6601" s="903"/>
      <c r="BW6601" s="908"/>
      <c r="BX6601" s="908"/>
      <c r="BY6601" s="331"/>
      <c r="BZ6601" s="331"/>
      <c r="CA6601" s="462"/>
      <c r="CB6601" s="319"/>
      <c r="CC6601" s="319"/>
      <c r="CD6601" s="319"/>
      <c r="CE6601" s="319"/>
      <c r="CF6601" s="319"/>
      <c r="CG6601" s="319"/>
      <c r="CH6601" s="318"/>
      <c r="CI6601" s="319"/>
      <c r="CJ6601" s="319"/>
      <c r="CK6601" s="342"/>
      <c r="CL6601" s="333"/>
      <c r="CM6601" s="1079"/>
      <c r="CN6601" s="1005"/>
      <c r="CO6601" s="1005"/>
      <c r="CP6601" s="1005"/>
    </row>
    <row r="6602">
      <c r="A6602" s="1257"/>
      <c r="B6602" s="1113"/>
      <c r="C6602" s="1107"/>
      <c r="D6602" s="103"/>
      <c r="E6602" s="1137"/>
      <c r="F6602" s="112"/>
      <c r="G6602" s="1110"/>
      <c r="H6602" s="1138"/>
      <c r="I6602" s="1138"/>
      <c r="J6602" s="1139"/>
      <c r="K6602" s="1111"/>
      <c r="L6602" s="1112"/>
      <c r="M6602" s="1113"/>
      <c r="N6602" s="110"/>
      <c r="O6602" s="1140"/>
      <c r="P6602" s="1115"/>
      <c r="Q6602" s="1116"/>
      <c r="R6602" s="1141"/>
      <c r="S6602" s="1113"/>
      <c r="T6602" s="1143"/>
      <c r="U6602" s="1108"/>
      <c r="V6602" s="1108"/>
      <c r="W6602" s="1108"/>
      <c r="X6602" s="1108"/>
      <c r="Y6602" s="1108"/>
      <c r="Z6602" s="1114"/>
      <c r="AA6602" s="1114"/>
      <c r="AB6602" s="1114"/>
      <c r="AC6602" s="1117"/>
      <c r="AD6602" s="1115"/>
      <c r="AE6602" s="1115"/>
      <c r="AF6602" s="1115"/>
      <c r="AG6602" s="1115"/>
      <c r="AH6602" s="1115"/>
      <c r="AI6602" s="1115"/>
      <c r="AJ6602" s="1117"/>
      <c r="AK6602" s="1118"/>
      <c r="AL6602" s="1115"/>
      <c r="AM6602" s="1115"/>
      <c r="AN6602" s="1115"/>
      <c r="AO6602" s="1115"/>
      <c r="AP6602" s="1115"/>
      <c r="AQ6602" s="1115"/>
      <c r="AR6602" s="1115"/>
      <c r="AS6602" s="1117"/>
      <c r="AT6602" s="1075"/>
      <c r="AU6602" s="1193"/>
      <c r="AV6602" s="330"/>
      <c r="AW6602" s="331"/>
      <c r="AX6602" s="331"/>
      <c r="AY6602" s="331"/>
      <c r="AZ6602" s="331"/>
      <c r="BA6602" s="331"/>
      <c r="BB6602" s="331"/>
      <c r="BC6602" s="331"/>
      <c r="BD6602" s="331"/>
      <c r="BE6602" s="333"/>
      <c r="BF6602" s="330"/>
      <c r="BG6602" s="333"/>
      <c r="BH6602" s="1119"/>
      <c r="BI6602" s="319"/>
      <c r="BJ6602" s="319"/>
      <c r="BK6602" s="319"/>
      <c r="BL6602" s="319"/>
      <c r="BM6602" s="319"/>
      <c r="BN6602" s="319"/>
      <c r="BO6602" s="319"/>
      <c r="BP6602" s="953"/>
      <c r="BQ6602" s="319"/>
      <c r="BR6602" s="319"/>
      <c r="BS6602" s="330"/>
      <c r="BT6602" s="331"/>
      <c r="BU6602" s="920"/>
      <c r="BV6602" s="903"/>
      <c r="BW6602" s="908"/>
      <c r="BX6602" s="908"/>
      <c r="BY6602" s="331"/>
      <c r="BZ6602" s="331"/>
      <c r="CA6602" s="462"/>
      <c r="CB6602" s="319"/>
      <c r="CC6602" s="319"/>
      <c r="CD6602" s="319"/>
      <c r="CE6602" s="319"/>
      <c r="CF6602" s="319"/>
      <c r="CG6602" s="319"/>
      <c r="CH6602" s="318"/>
      <c r="CI6602" s="319"/>
      <c r="CJ6602" s="319"/>
      <c r="CK6602" s="342"/>
      <c r="CL6602" s="333"/>
      <c r="CM6602" s="1079"/>
      <c r="CN6602" s="1005"/>
      <c r="CO6602" s="1005"/>
      <c r="CP6602" s="1005"/>
    </row>
    <row r="6603">
      <c r="A6603" s="1257"/>
      <c r="B6603" s="1113"/>
      <c r="C6603" s="1107"/>
      <c r="D6603" s="103"/>
      <c r="E6603" s="1137"/>
      <c r="F6603" s="112"/>
      <c r="G6603" s="1110"/>
      <c r="H6603" s="1138"/>
      <c r="I6603" s="1138"/>
      <c r="J6603" s="1139"/>
      <c r="K6603" s="1111"/>
      <c r="L6603" s="1112"/>
      <c r="M6603" s="1113"/>
      <c r="N6603" s="110"/>
      <c r="O6603" s="1140"/>
      <c r="P6603" s="1115"/>
      <c r="Q6603" s="1116"/>
      <c r="R6603" s="1141"/>
      <c r="S6603" s="1113"/>
      <c r="T6603" s="1143"/>
      <c r="U6603" s="1108"/>
      <c r="V6603" s="1108"/>
      <c r="W6603" s="1108"/>
      <c r="X6603" s="1108"/>
      <c r="Y6603" s="1108"/>
      <c r="Z6603" s="1114"/>
      <c r="AA6603" s="1114"/>
      <c r="AB6603" s="1114"/>
      <c r="AC6603" s="1117"/>
      <c r="AD6603" s="1115"/>
      <c r="AE6603" s="1115"/>
      <c r="AF6603" s="1115"/>
      <c r="AG6603" s="1115"/>
      <c r="AH6603" s="1115"/>
      <c r="AI6603" s="1115"/>
      <c r="AJ6603" s="1117"/>
      <c r="AK6603" s="1118"/>
      <c r="AL6603" s="1115"/>
      <c r="AM6603" s="1115"/>
      <c r="AN6603" s="1115"/>
      <c r="AO6603" s="1115"/>
      <c r="AP6603" s="1115"/>
      <c r="AQ6603" s="1115"/>
      <c r="AR6603" s="1115"/>
      <c r="AS6603" s="1117"/>
      <c r="AT6603" s="1075"/>
      <c r="AU6603" s="1193"/>
      <c r="AV6603" s="330"/>
      <c r="AW6603" s="331"/>
      <c r="AX6603" s="331"/>
      <c r="AY6603" s="331"/>
      <c r="AZ6603" s="331"/>
      <c r="BA6603" s="331"/>
      <c r="BB6603" s="331"/>
      <c r="BC6603" s="331"/>
      <c r="BD6603" s="331"/>
      <c r="BE6603" s="333"/>
      <c r="BF6603" s="330"/>
      <c r="BG6603" s="333"/>
      <c r="BH6603" s="1119"/>
      <c r="BI6603" s="319"/>
      <c r="BJ6603" s="319"/>
      <c r="BK6603" s="319"/>
      <c r="BL6603" s="319"/>
      <c r="BM6603" s="319"/>
      <c r="BN6603" s="319"/>
      <c r="BO6603" s="319"/>
      <c r="BP6603" s="953"/>
      <c r="BQ6603" s="319"/>
      <c r="BR6603" s="319"/>
      <c r="BS6603" s="330"/>
      <c r="BT6603" s="331"/>
      <c r="BU6603" s="920"/>
      <c r="BV6603" s="903"/>
      <c r="BW6603" s="908"/>
      <c r="BX6603" s="908"/>
      <c r="BY6603" s="331"/>
      <c r="BZ6603" s="331"/>
      <c r="CA6603" s="462"/>
      <c r="CB6603" s="319"/>
      <c r="CC6603" s="319"/>
      <c r="CD6603" s="319"/>
      <c r="CE6603" s="319"/>
      <c r="CF6603" s="319"/>
      <c r="CG6603" s="319"/>
      <c r="CH6603" s="318"/>
      <c r="CI6603" s="319"/>
      <c r="CJ6603" s="319"/>
      <c r="CK6603" s="342"/>
      <c r="CL6603" s="333"/>
      <c r="CM6603" s="1079"/>
      <c r="CN6603" s="1005"/>
      <c r="CO6603" s="1005"/>
      <c r="CP6603" s="1005"/>
    </row>
    <row r="6604">
      <c r="A6604" s="1257"/>
      <c r="B6604" s="1113"/>
      <c r="C6604" s="1107"/>
      <c r="D6604" s="103"/>
      <c r="E6604" s="1137"/>
      <c r="F6604" s="112"/>
      <c r="G6604" s="1110"/>
      <c r="H6604" s="1138"/>
      <c r="I6604" s="1138"/>
      <c r="J6604" s="1139"/>
      <c r="K6604" s="1111"/>
      <c r="L6604" s="1112"/>
      <c r="M6604" s="1113"/>
      <c r="N6604" s="110"/>
      <c r="O6604" s="1140"/>
      <c r="P6604" s="1115"/>
      <c r="Q6604" s="1116"/>
      <c r="R6604" s="1141"/>
      <c r="S6604" s="1113"/>
      <c r="T6604" s="1143"/>
      <c r="U6604" s="1108"/>
      <c r="V6604" s="1108"/>
      <c r="W6604" s="1108"/>
      <c r="X6604" s="1108"/>
      <c r="Y6604" s="1108"/>
      <c r="Z6604" s="1114"/>
      <c r="AA6604" s="1114"/>
      <c r="AB6604" s="1114"/>
      <c r="AC6604" s="1117"/>
      <c r="AD6604" s="1115"/>
      <c r="AE6604" s="1115"/>
      <c r="AF6604" s="1115"/>
      <c r="AG6604" s="1115"/>
      <c r="AH6604" s="1115"/>
      <c r="AI6604" s="1115"/>
      <c r="AJ6604" s="1117"/>
      <c r="AK6604" s="1118"/>
      <c r="AL6604" s="1115"/>
      <c r="AM6604" s="1115"/>
      <c r="AN6604" s="1115"/>
      <c r="AO6604" s="1115"/>
      <c r="AP6604" s="1115"/>
      <c r="AQ6604" s="1115"/>
      <c r="AR6604" s="1115"/>
      <c r="AS6604" s="1117"/>
      <c r="AT6604" s="1075"/>
      <c r="AU6604" s="1193"/>
      <c r="AV6604" s="330"/>
      <c r="AW6604" s="331"/>
      <c r="AX6604" s="331"/>
      <c r="AY6604" s="331"/>
      <c r="AZ6604" s="331"/>
      <c r="BA6604" s="331"/>
      <c r="BB6604" s="331"/>
      <c r="BC6604" s="331"/>
      <c r="BD6604" s="331"/>
      <c r="BE6604" s="333"/>
      <c r="BF6604" s="330"/>
      <c r="BG6604" s="333"/>
      <c r="BH6604" s="1119"/>
      <c r="BI6604" s="319"/>
      <c r="BJ6604" s="319"/>
      <c r="BK6604" s="319"/>
      <c r="BL6604" s="319"/>
      <c r="BM6604" s="319"/>
      <c r="BN6604" s="319"/>
      <c r="BO6604" s="319"/>
      <c r="BP6604" s="953"/>
      <c r="BQ6604" s="319"/>
      <c r="BR6604" s="319"/>
      <c r="BS6604" s="330"/>
      <c r="BT6604" s="331"/>
      <c r="BU6604" s="920"/>
      <c r="BV6604" s="903"/>
      <c r="BW6604" s="908"/>
      <c r="BX6604" s="908"/>
      <c r="BY6604" s="331"/>
      <c r="BZ6604" s="331"/>
      <c r="CA6604" s="462"/>
      <c r="CB6604" s="319"/>
      <c r="CC6604" s="319"/>
      <c r="CD6604" s="319"/>
      <c r="CE6604" s="319"/>
      <c r="CF6604" s="319"/>
      <c r="CG6604" s="319"/>
      <c r="CH6604" s="318"/>
      <c r="CI6604" s="319"/>
      <c r="CJ6604" s="319"/>
      <c r="CK6604" s="342"/>
      <c r="CL6604" s="333"/>
      <c r="CM6604" s="1079"/>
      <c r="CN6604" s="1005"/>
      <c r="CO6604" s="1005"/>
      <c r="CP6604" s="1005"/>
    </row>
    <row r="6605">
      <c r="A6605" s="1257"/>
      <c r="B6605" s="1113"/>
      <c r="C6605" s="1107"/>
      <c r="D6605" s="103"/>
      <c r="E6605" s="1137"/>
      <c r="F6605" s="112"/>
      <c r="G6605" s="1110"/>
      <c r="H6605" s="1138"/>
      <c r="I6605" s="1138"/>
      <c r="J6605" s="1139"/>
      <c r="K6605" s="1111"/>
      <c r="L6605" s="1112"/>
      <c r="M6605" s="1113"/>
      <c r="N6605" s="110"/>
      <c r="O6605" s="1140"/>
      <c r="P6605" s="1115"/>
      <c r="Q6605" s="1116"/>
      <c r="R6605" s="1141"/>
      <c r="S6605" s="1113"/>
      <c r="T6605" s="1143"/>
      <c r="U6605" s="1108"/>
      <c r="V6605" s="1108"/>
      <c r="W6605" s="1108"/>
      <c r="X6605" s="1108"/>
      <c r="Y6605" s="1108"/>
      <c r="Z6605" s="1114"/>
      <c r="AA6605" s="1114"/>
      <c r="AB6605" s="1114"/>
      <c r="AC6605" s="1117"/>
      <c r="AD6605" s="1115"/>
      <c r="AE6605" s="1115"/>
      <c r="AF6605" s="1115"/>
      <c r="AG6605" s="1115"/>
      <c r="AH6605" s="1115"/>
      <c r="AI6605" s="1115"/>
      <c r="AJ6605" s="1117"/>
      <c r="AK6605" s="1118"/>
      <c r="AL6605" s="1115"/>
      <c r="AM6605" s="1115"/>
      <c r="AN6605" s="1115"/>
      <c r="AO6605" s="1115"/>
      <c r="AP6605" s="1115"/>
      <c r="AQ6605" s="1115"/>
      <c r="AR6605" s="1115"/>
      <c r="AS6605" s="1117"/>
      <c r="AT6605" s="1075"/>
      <c r="AU6605" s="1193"/>
      <c r="AV6605" s="330"/>
      <c r="AW6605" s="331"/>
      <c r="AX6605" s="331"/>
      <c r="AY6605" s="331"/>
      <c r="AZ6605" s="331"/>
      <c r="BA6605" s="331"/>
      <c r="BB6605" s="331"/>
      <c r="BC6605" s="331"/>
      <c r="BD6605" s="331"/>
      <c r="BE6605" s="333"/>
      <c r="BF6605" s="330"/>
      <c r="BG6605" s="333"/>
      <c r="BH6605" s="1119"/>
      <c r="BI6605" s="319"/>
      <c r="BJ6605" s="319"/>
      <c r="BK6605" s="319"/>
      <c r="BL6605" s="319"/>
      <c r="BM6605" s="319"/>
      <c r="BN6605" s="319"/>
      <c r="BO6605" s="319"/>
      <c r="BP6605" s="953"/>
      <c r="BQ6605" s="319"/>
      <c r="BR6605" s="319"/>
      <c r="BS6605" s="330"/>
      <c r="BT6605" s="331"/>
      <c r="BU6605" s="920"/>
      <c r="BV6605" s="903"/>
      <c r="BW6605" s="908"/>
      <c r="BX6605" s="908"/>
      <c r="BY6605" s="331"/>
      <c r="BZ6605" s="331"/>
      <c r="CA6605" s="462"/>
      <c r="CB6605" s="319"/>
      <c r="CC6605" s="319"/>
      <c r="CD6605" s="319"/>
      <c r="CE6605" s="319"/>
      <c r="CF6605" s="319"/>
      <c r="CG6605" s="319"/>
      <c r="CH6605" s="318"/>
      <c r="CI6605" s="319"/>
      <c r="CJ6605" s="319"/>
      <c r="CK6605" s="342"/>
      <c r="CL6605" s="333"/>
      <c r="CM6605" s="1079"/>
      <c r="CN6605" s="1005"/>
      <c r="CO6605" s="1005"/>
      <c r="CP6605" s="1005"/>
    </row>
    <row r="6606">
      <c r="A6606" s="1257"/>
      <c r="B6606" s="1113"/>
      <c r="C6606" s="1107"/>
      <c r="D6606" s="103"/>
      <c r="E6606" s="1137"/>
      <c r="F6606" s="112"/>
      <c r="G6606" s="1110"/>
      <c r="H6606" s="1138"/>
      <c r="I6606" s="1138"/>
      <c r="J6606" s="1139"/>
      <c r="K6606" s="1111"/>
      <c r="L6606" s="1112"/>
      <c r="M6606" s="1113"/>
      <c r="N6606" s="110"/>
      <c r="O6606" s="1140"/>
      <c r="P6606" s="1115"/>
      <c r="Q6606" s="1116"/>
      <c r="R6606" s="1141"/>
      <c r="S6606" s="1113"/>
      <c r="T6606" s="1143"/>
      <c r="U6606" s="1108"/>
      <c r="V6606" s="1108"/>
      <c r="W6606" s="1108"/>
      <c r="X6606" s="1108"/>
      <c r="Y6606" s="1108"/>
      <c r="Z6606" s="1114"/>
      <c r="AA6606" s="1114"/>
      <c r="AB6606" s="1114"/>
      <c r="AC6606" s="1117"/>
      <c r="AD6606" s="1115"/>
      <c r="AE6606" s="1115"/>
      <c r="AF6606" s="1115"/>
      <c r="AG6606" s="1115"/>
      <c r="AH6606" s="1115"/>
      <c r="AI6606" s="1115"/>
      <c r="AJ6606" s="1117"/>
      <c r="AK6606" s="1118"/>
      <c r="AL6606" s="1115"/>
      <c r="AM6606" s="1115"/>
      <c r="AN6606" s="1115"/>
      <c r="AO6606" s="1115"/>
      <c r="AP6606" s="1115"/>
      <c r="AQ6606" s="1115"/>
      <c r="AR6606" s="1115"/>
      <c r="AS6606" s="1117"/>
      <c r="AT6606" s="1075"/>
      <c r="AU6606" s="1193"/>
      <c r="AV6606" s="330"/>
      <c r="AW6606" s="331"/>
      <c r="AX6606" s="331"/>
      <c r="AY6606" s="331"/>
      <c r="AZ6606" s="331"/>
      <c r="BA6606" s="331"/>
      <c r="BB6606" s="331"/>
      <c r="BC6606" s="331"/>
      <c r="BD6606" s="331"/>
      <c r="BE6606" s="333"/>
      <c r="BF6606" s="330"/>
      <c r="BG6606" s="333"/>
      <c r="BH6606" s="1119"/>
      <c r="BI6606" s="319"/>
      <c r="BJ6606" s="319"/>
      <c r="BK6606" s="319"/>
      <c r="BL6606" s="319"/>
      <c r="BM6606" s="319"/>
      <c r="BN6606" s="319"/>
      <c r="BO6606" s="319"/>
      <c r="BP6606" s="953"/>
      <c r="BQ6606" s="319"/>
      <c r="BR6606" s="319"/>
      <c r="BS6606" s="330"/>
      <c r="BT6606" s="331"/>
      <c r="BU6606" s="920"/>
      <c r="BV6606" s="903"/>
      <c r="BW6606" s="908"/>
      <c r="BX6606" s="908"/>
      <c r="BY6606" s="331"/>
      <c r="BZ6606" s="331"/>
      <c r="CA6606" s="462"/>
      <c r="CB6606" s="319"/>
      <c r="CC6606" s="319"/>
      <c r="CD6606" s="319"/>
      <c r="CE6606" s="319"/>
      <c r="CF6606" s="319"/>
      <c r="CG6606" s="319"/>
      <c r="CH6606" s="318"/>
      <c r="CI6606" s="319"/>
      <c r="CJ6606" s="319"/>
      <c r="CK6606" s="342"/>
      <c r="CL6606" s="333"/>
      <c r="CM6606" s="1079"/>
      <c r="CN6606" s="1005"/>
      <c r="CO6606" s="1005"/>
      <c r="CP6606" s="1005"/>
    </row>
    <row r="6607">
      <c r="A6607" s="1257"/>
      <c r="B6607" s="1113"/>
      <c r="C6607" s="1107"/>
      <c r="D6607" s="103"/>
      <c r="E6607" s="1137"/>
      <c r="F6607" s="112"/>
      <c r="G6607" s="1110"/>
      <c r="H6607" s="1138"/>
      <c r="I6607" s="1138"/>
      <c r="J6607" s="1139"/>
      <c r="K6607" s="1111"/>
      <c r="L6607" s="1112"/>
      <c r="M6607" s="1113"/>
      <c r="N6607" s="110"/>
      <c r="O6607" s="1140"/>
      <c r="P6607" s="1115"/>
      <c r="Q6607" s="1116"/>
      <c r="R6607" s="1141"/>
      <c r="S6607" s="1113"/>
      <c r="T6607" s="1143"/>
      <c r="U6607" s="1108"/>
      <c r="V6607" s="1108"/>
      <c r="W6607" s="1108"/>
      <c r="X6607" s="1108"/>
      <c r="Y6607" s="1108"/>
      <c r="Z6607" s="1114"/>
      <c r="AA6607" s="1114"/>
      <c r="AB6607" s="1114"/>
      <c r="AC6607" s="1117"/>
      <c r="AD6607" s="1115"/>
      <c r="AE6607" s="1115"/>
      <c r="AF6607" s="1115"/>
      <c r="AG6607" s="1115"/>
      <c r="AH6607" s="1115"/>
      <c r="AI6607" s="1115"/>
      <c r="AJ6607" s="1117"/>
      <c r="AK6607" s="1118"/>
      <c r="AL6607" s="1115"/>
      <c r="AM6607" s="1115"/>
      <c r="AN6607" s="1115"/>
      <c r="AO6607" s="1115"/>
      <c r="AP6607" s="1115"/>
      <c r="AQ6607" s="1115"/>
      <c r="AR6607" s="1115"/>
      <c r="AS6607" s="1117"/>
      <c r="AT6607" s="1075"/>
      <c r="AU6607" s="1193"/>
      <c r="AV6607" s="330"/>
      <c r="AW6607" s="331"/>
      <c r="AX6607" s="331"/>
      <c r="AY6607" s="331"/>
      <c r="AZ6607" s="331"/>
      <c r="BA6607" s="331"/>
      <c r="BB6607" s="331"/>
      <c r="BC6607" s="331"/>
      <c r="BD6607" s="331"/>
      <c r="BE6607" s="333"/>
      <c r="BF6607" s="330"/>
      <c r="BG6607" s="333"/>
      <c r="BH6607" s="1119"/>
      <c r="BI6607" s="319"/>
      <c r="BJ6607" s="319"/>
      <c r="BK6607" s="319"/>
      <c r="BL6607" s="319"/>
      <c r="BM6607" s="319"/>
      <c r="BN6607" s="319"/>
      <c r="BO6607" s="319"/>
      <c r="BP6607" s="953"/>
      <c r="BQ6607" s="319"/>
      <c r="BR6607" s="319"/>
      <c r="BS6607" s="330"/>
      <c r="BT6607" s="331"/>
      <c r="BU6607" s="920"/>
      <c r="BV6607" s="903"/>
      <c r="BW6607" s="908"/>
      <c r="BX6607" s="908"/>
      <c r="BY6607" s="331"/>
      <c r="BZ6607" s="331"/>
      <c r="CA6607" s="462"/>
      <c r="CB6607" s="319"/>
      <c r="CC6607" s="319"/>
      <c r="CD6607" s="319"/>
      <c r="CE6607" s="319"/>
      <c r="CF6607" s="319"/>
      <c r="CG6607" s="319"/>
      <c r="CH6607" s="318"/>
      <c r="CI6607" s="319"/>
      <c r="CJ6607" s="319"/>
      <c r="CK6607" s="342"/>
      <c r="CL6607" s="333"/>
      <c r="CM6607" s="1079"/>
      <c r="CN6607" s="1005"/>
      <c r="CO6607" s="1005"/>
      <c r="CP6607" s="1005"/>
    </row>
    <row r="6608">
      <c r="A6608" s="1257"/>
      <c r="B6608" s="1113"/>
      <c r="C6608" s="1107"/>
      <c r="D6608" s="103"/>
      <c r="E6608" s="1137"/>
      <c r="F6608" s="112"/>
      <c r="G6608" s="1110"/>
      <c r="H6608" s="1138"/>
      <c r="I6608" s="1138"/>
      <c r="J6608" s="1139"/>
      <c r="K6608" s="1111"/>
      <c r="L6608" s="1112"/>
      <c r="M6608" s="1113"/>
      <c r="N6608" s="110"/>
      <c r="O6608" s="1140"/>
      <c r="P6608" s="1115"/>
      <c r="Q6608" s="1116"/>
      <c r="R6608" s="1141"/>
      <c r="S6608" s="1113"/>
      <c r="T6608" s="1143"/>
      <c r="U6608" s="1108"/>
      <c r="V6608" s="1108"/>
      <c r="W6608" s="1108"/>
      <c r="X6608" s="1108"/>
      <c r="Y6608" s="1108"/>
      <c r="Z6608" s="1114"/>
      <c r="AA6608" s="1114"/>
      <c r="AB6608" s="1114"/>
      <c r="AC6608" s="1117"/>
      <c r="AD6608" s="1115"/>
      <c r="AE6608" s="1115"/>
      <c r="AF6608" s="1115"/>
      <c r="AG6608" s="1115"/>
      <c r="AH6608" s="1115"/>
      <c r="AI6608" s="1115"/>
      <c r="AJ6608" s="1117"/>
      <c r="AK6608" s="1118"/>
      <c r="AL6608" s="1115"/>
      <c r="AM6608" s="1115"/>
      <c r="AN6608" s="1115"/>
      <c r="AO6608" s="1115"/>
      <c r="AP6608" s="1115"/>
      <c r="AQ6608" s="1115"/>
      <c r="AR6608" s="1115"/>
      <c r="AS6608" s="1117"/>
      <c r="AT6608" s="1075"/>
      <c r="AU6608" s="1193"/>
      <c r="AV6608" s="330"/>
      <c r="AW6608" s="331"/>
      <c r="AX6608" s="331"/>
      <c r="AY6608" s="331"/>
      <c r="AZ6608" s="331"/>
      <c r="BA6608" s="331"/>
      <c r="BB6608" s="331"/>
      <c r="BC6608" s="331"/>
      <c r="BD6608" s="331"/>
      <c r="BE6608" s="333"/>
      <c r="BF6608" s="330"/>
      <c r="BG6608" s="333"/>
      <c r="BH6608" s="1119"/>
      <c r="BI6608" s="319"/>
      <c r="BJ6608" s="319"/>
      <c r="BK6608" s="319"/>
      <c r="BL6608" s="319"/>
      <c r="BM6608" s="319"/>
      <c r="BN6608" s="319"/>
      <c r="BO6608" s="319"/>
      <c r="BP6608" s="953"/>
      <c r="BQ6608" s="319"/>
      <c r="BR6608" s="319"/>
      <c r="BS6608" s="330"/>
      <c r="BT6608" s="331"/>
      <c r="BU6608" s="920"/>
      <c r="BV6608" s="903"/>
      <c r="BW6608" s="908"/>
      <c r="BX6608" s="908"/>
      <c r="BY6608" s="331"/>
      <c r="BZ6608" s="331"/>
      <c r="CA6608" s="462"/>
      <c r="CB6608" s="319"/>
      <c r="CC6608" s="319"/>
      <c r="CD6608" s="319"/>
      <c r="CE6608" s="319"/>
      <c r="CF6608" s="319"/>
      <c r="CG6608" s="319"/>
      <c r="CH6608" s="318"/>
      <c r="CI6608" s="319"/>
      <c r="CJ6608" s="319"/>
      <c r="CK6608" s="342"/>
      <c r="CL6608" s="333"/>
      <c r="CM6608" s="1079"/>
      <c r="CN6608" s="1005"/>
      <c r="CO6608" s="1005"/>
      <c r="CP6608" s="1005"/>
    </row>
    <row r="6609">
      <c r="A6609" s="1257"/>
      <c r="B6609" s="1113"/>
      <c r="C6609" s="1107"/>
      <c r="D6609" s="103"/>
      <c r="E6609" s="1137"/>
      <c r="F6609" s="112"/>
      <c r="G6609" s="1110"/>
      <c r="H6609" s="1138"/>
      <c r="I6609" s="1138"/>
      <c r="J6609" s="1139"/>
      <c r="K6609" s="1111"/>
      <c r="L6609" s="1112"/>
      <c r="M6609" s="1113"/>
      <c r="N6609" s="110"/>
      <c r="O6609" s="1140"/>
      <c r="P6609" s="1115"/>
      <c r="Q6609" s="1116"/>
      <c r="R6609" s="1141"/>
      <c r="S6609" s="1113"/>
      <c r="T6609" s="1143"/>
      <c r="U6609" s="1108"/>
      <c r="V6609" s="1108"/>
      <c r="W6609" s="1108"/>
      <c r="X6609" s="1108"/>
      <c r="Y6609" s="1108"/>
      <c r="Z6609" s="1114"/>
      <c r="AA6609" s="1114"/>
      <c r="AB6609" s="1114"/>
      <c r="AC6609" s="1117"/>
      <c r="AD6609" s="1115"/>
      <c r="AE6609" s="1115"/>
      <c r="AF6609" s="1115"/>
      <c r="AG6609" s="1115"/>
      <c r="AH6609" s="1115"/>
      <c r="AI6609" s="1115"/>
      <c r="AJ6609" s="1117"/>
      <c r="AK6609" s="1118"/>
      <c r="AL6609" s="1115"/>
      <c r="AM6609" s="1115"/>
      <c r="AN6609" s="1115"/>
      <c r="AO6609" s="1115"/>
      <c r="AP6609" s="1115"/>
      <c r="AQ6609" s="1115"/>
      <c r="AR6609" s="1115"/>
      <c r="AS6609" s="1117"/>
      <c r="AT6609" s="1075"/>
      <c r="AU6609" s="1193"/>
      <c r="AV6609" s="330"/>
      <c r="AW6609" s="331"/>
      <c r="AX6609" s="331"/>
      <c r="AY6609" s="331"/>
      <c r="AZ6609" s="331"/>
      <c r="BA6609" s="331"/>
      <c r="BB6609" s="331"/>
      <c r="BC6609" s="331"/>
      <c r="BD6609" s="331"/>
      <c r="BE6609" s="333"/>
      <c r="BF6609" s="330"/>
      <c r="BG6609" s="333"/>
      <c r="BH6609" s="1119"/>
      <c r="BI6609" s="319"/>
      <c r="BJ6609" s="319"/>
      <c r="BK6609" s="319"/>
      <c r="BL6609" s="319"/>
      <c r="BM6609" s="319"/>
      <c r="BN6609" s="319"/>
      <c r="BO6609" s="319"/>
      <c r="BP6609" s="953"/>
      <c r="BQ6609" s="319"/>
      <c r="BR6609" s="319"/>
      <c r="BS6609" s="330"/>
      <c r="BT6609" s="331"/>
      <c r="BU6609" s="920"/>
      <c r="BV6609" s="903"/>
      <c r="BW6609" s="908"/>
      <c r="BX6609" s="908"/>
      <c r="BY6609" s="331"/>
      <c r="BZ6609" s="331"/>
      <c r="CA6609" s="462"/>
      <c r="CB6609" s="319"/>
      <c r="CC6609" s="319"/>
      <c r="CD6609" s="319"/>
      <c r="CE6609" s="319"/>
      <c r="CF6609" s="319"/>
      <c r="CG6609" s="319"/>
      <c r="CH6609" s="318"/>
      <c r="CI6609" s="319"/>
      <c r="CJ6609" s="319"/>
      <c r="CK6609" s="342"/>
      <c r="CL6609" s="333"/>
      <c r="CM6609" s="1079"/>
      <c r="CN6609" s="1005"/>
      <c r="CO6609" s="1005"/>
      <c r="CP6609" s="1005"/>
    </row>
    <row r="6610">
      <c r="A6610" s="1257"/>
      <c r="B6610" s="1113"/>
      <c r="C6610" s="1107"/>
      <c r="D6610" s="103"/>
      <c r="E6610" s="1137"/>
      <c r="F6610" s="112"/>
      <c r="G6610" s="1110"/>
      <c r="H6610" s="1138"/>
      <c r="I6610" s="1138"/>
      <c r="J6610" s="1139"/>
      <c r="K6610" s="1111"/>
      <c r="L6610" s="1112"/>
      <c r="M6610" s="1113"/>
      <c r="N6610" s="110"/>
      <c r="O6610" s="1140"/>
      <c r="P6610" s="1115"/>
      <c r="Q6610" s="1116"/>
      <c r="R6610" s="1141"/>
      <c r="S6610" s="1113"/>
      <c r="T6610" s="1143"/>
      <c r="U6610" s="1108"/>
      <c r="V6610" s="1108"/>
      <c r="W6610" s="1108"/>
      <c r="X6610" s="1108"/>
      <c r="Y6610" s="1108"/>
      <c r="Z6610" s="1114"/>
      <c r="AA6610" s="1114"/>
      <c r="AB6610" s="1114"/>
      <c r="AC6610" s="1117"/>
      <c r="AD6610" s="1115"/>
      <c r="AE6610" s="1115"/>
      <c r="AF6610" s="1115"/>
      <c r="AG6610" s="1115"/>
      <c r="AH6610" s="1115"/>
      <c r="AI6610" s="1115"/>
      <c r="AJ6610" s="1117"/>
      <c r="AK6610" s="1118"/>
      <c r="AL6610" s="1115"/>
      <c r="AM6610" s="1115"/>
      <c r="AN6610" s="1115"/>
      <c r="AO6610" s="1115"/>
      <c r="AP6610" s="1115"/>
      <c r="AQ6610" s="1115"/>
      <c r="AR6610" s="1115"/>
      <c r="AS6610" s="1117"/>
      <c r="AT6610" s="1075"/>
      <c r="AU6610" s="1193"/>
      <c r="AV6610" s="330"/>
      <c r="AW6610" s="331"/>
      <c r="AX6610" s="331"/>
      <c r="AY6610" s="331"/>
      <c r="AZ6610" s="331"/>
      <c r="BA6610" s="331"/>
      <c r="BB6610" s="331"/>
      <c r="BC6610" s="331"/>
      <c r="BD6610" s="331"/>
      <c r="BE6610" s="333"/>
      <c r="BF6610" s="330"/>
      <c r="BG6610" s="333"/>
      <c r="BH6610" s="1119"/>
      <c r="BI6610" s="319"/>
      <c r="BJ6610" s="319"/>
      <c r="BK6610" s="319"/>
      <c r="BL6610" s="319"/>
      <c r="BM6610" s="319"/>
      <c r="BN6610" s="319"/>
      <c r="BO6610" s="319"/>
      <c r="BP6610" s="953"/>
      <c r="BQ6610" s="319"/>
      <c r="BR6610" s="319"/>
      <c r="BS6610" s="330"/>
      <c r="BT6610" s="331"/>
      <c r="BU6610" s="920"/>
      <c r="BV6610" s="903"/>
      <c r="BW6610" s="908"/>
      <c r="BX6610" s="908"/>
      <c r="BY6610" s="331"/>
      <c r="BZ6610" s="331"/>
      <c r="CA6610" s="462"/>
      <c r="CB6610" s="319"/>
      <c r="CC6610" s="319"/>
      <c r="CD6610" s="319"/>
      <c r="CE6610" s="319"/>
      <c r="CF6610" s="319"/>
      <c r="CG6610" s="319"/>
      <c r="CH6610" s="318"/>
      <c r="CI6610" s="319"/>
      <c r="CJ6610" s="319"/>
      <c r="CK6610" s="342"/>
      <c r="CL6610" s="333"/>
      <c r="CM6610" s="1079"/>
      <c r="CN6610" s="1005"/>
      <c r="CO6610" s="1005"/>
      <c r="CP6610" s="1005"/>
    </row>
    <row r="6611">
      <c r="A6611" s="1257"/>
      <c r="B6611" s="1113"/>
      <c r="C6611" s="1107"/>
      <c r="D6611" s="103"/>
      <c r="E6611" s="1137"/>
      <c r="F6611" s="112"/>
      <c r="G6611" s="1110"/>
      <c r="H6611" s="1138"/>
      <c r="I6611" s="1138"/>
      <c r="J6611" s="1139"/>
      <c r="K6611" s="1111"/>
      <c r="L6611" s="1112"/>
      <c r="M6611" s="1113"/>
      <c r="N6611" s="110"/>
      <c r="O6611" s="1140"/>
      <c r="P6611" s="1115"/>
      <c r="Q6611" s="1116"/>
      <c r="R6611" s="1141"/>
      <c r="S6611" s="1113"/>
      <c r="T6611" s="1143"/>
      <c r="U6611" s="1108"/>
      <c r="V6611" s="1108"/>
      <c r="W6611" s="1108"/>
      <c r="X6611" s="1108"/>
      <c r="Y6611" s="1108"/>
      <c r="Z6611" s="1114"/>
      <c r="AA6611" s="1114"/>
      <c r="AB6611" s="1114"/>
      <c r="AC6611" s="1117"/>
      <c r="AD6611" s="1115"/>
      <c r="AE6611" s="1115"/>
      <c r="AF6611" s="1115"/>
      <c r="AG6611" s="1115"/>
      <c r="AH6611" s="1115"/>
      <c r="AI6611" s="1115"/>
      <c r="AJ6611" s="1117"/>
      <c r="AK6611" s="1118"/>
      <c r="AL6611" s="1115"/>
      <c r="AM6611" s="1115"/>
      <c r="AN6611" s="1115"/>
      <c r="AO6611" s="1115"/>
      <c r="AP6611" s="1115"/>
      <c r="AQ6611" s="1115"/>
      <c r="AR6611" s="1115"/>
      <c r="AS6611" s="1117"/>
      <c r="AT6611" s="1075"/>
      <c r="AU6611" s="1193"/>
      <c r="AV6611" s="330"/>
      <c r="AW6611" s="331"/>
      <c r="AX6611" s="331"/>
      <c r="AY6611" s="331"/>
      <c r="AZ6611" s="331"/>
      <c r="BA6611" s="331"/>
      <c r="BB6611" s="331"/>
      <c r="BC6611" s="331"/>
      <c r="BD6611" s="331"/>
      <c r="BE6611" s="333"/>
      <c r="BF6611" s="330"/>
      <c r="BG6611" s="333"/>
      <c r="BH6611" s="1119"/>
      <c r="BI6611" s="319"/>
      <c r="BJ6611" s="319"/>
      <c r="BK6611" s="319"/>
      <c r="BL6611" s="319"/>
      <c r="BM6611" s="319"/>
      <c r="BN6611" s="319"/>
      <c r="BO6611" s="319"/>
      <c r="BP6611" s="953"/>
      <c r="BQ6611" s="319"/>
      <c r="BR6611" s="319"/>
      <c r="BS6611" s="330"/>
      <c r="BT6611" s="331"/>
      <c r="BU6611" s="920"/>
      <c r="BV6611" s="903"/>
      <c r="BW6611" s="908"/>
      <c r="BX6611" s="908"/>
      <c r="BY6611" s="331"/>
      <c r="BZ6611" s="331"/>
      <c r="CA6611" s="462"/>
      <c r="CB6611" s="319"/>
      <c r="CC6611" s="319"/>
      <c r="CD6611" s="319"/>
      <c r="CE6611" s="319"/>
      <c r="CF6611" s="319"/>
      <c r="CG6611" s="319"/>
      <c r="CH6611" s="318"/>
      <c r="CI6611" s="319"/>
      <c r="CJ6611" s="319"/>
      <c r="CK6611" s="342"/>
      <c r="CL6611" s="333"/>
      <c r="CM6611" s="1079"/>
      <c r="CN6611" s="1005"/>
      <c r="CO6611" s="1005"/>
      <c r="CP6611" s="1005"/>
    </row>
    <row r="6612">
      <c r="A6612" s="1257"/>
      <c r="B6612" s="1113"/>
      <c r="C6612" s="1107"/>
      <c r="D6612" s="103"/>
      <c r="E6612" s="1137"/>
      <c r="F6612" s="112"/>
      <c r="G6612" s="1110"/>
      <c r="H6612" s="1138"/>
      <c r="I6612" s="1138"/>
      <c r="J6612" s="1139"/>
      <c r="K6612" s="1111"/>
      <c r="L6612" s="1112"/>
      <c r="M6612" s="1113"/>
      <c r="N6612" s="110"/>
      <c r="O6612" s="1140"/>
      <c r="P6612" s="1115"/>
      <c r="Q6612" s="1116"/>
      <c r="R6612" s="1141"/>
      <c r="S6612" s="1113"/>
      <c r="T6612" s="1143"/>
      <c r="U6612" s="1108"/>
      <c r="V6612" s="1108"/>
      <c r="W6612" s="1108"/>
      <c r="X6612" s="1108"/>
      <c r="Y6612" s="1108"/>
      <c r="Z6612" s="1114"/>
      <c r="AA6612" s="1114"/>
      <c r="AB6612" s="1114"/>
      <c r="AC6612" s="1117"/>
      <c r="AD6612" s="1115"/>
      <c r="AE6612" s="1115"/>
      <c r="AF6612" s="1115"/>
      <c r="AG6612" s="1115"/>
      <c r="AH6612" s="1115"/>
      <c r="AI6612" s="1115"/>
      <c r="AJ6612" s="1117"/>
      <c r="AK6612" s="1118"/>
      <c r="AL6612" s="1115"/>
      <c r="AM6612" s="1115"/>
      <c r="AN6612" s="1115"/>
      <c r="AO6612" s="1115"/>
      <c r="AP6612" s="1115"/>
      <c r="AQ6612" s="1115"/>
      <c r="AR6612" s="1115"/>
      <c r="AS6612" s="1117"/>
      <c r="AT6612" s="1075"/>
      <c r="AU6612" s="1193"/>
      <c r="AV6612" s="330"/>
      <c r="AW6612" s="331"/>
      <c r="AX6612" s="331"/>
      <c r="AY6612" s="331"/>
      <c r="AZ6612" s="331"/>
      <c r="BA6612" s="331"/>
      <c r="BB6612" s="331"/>
      <c r="BC6612" s="331"/>
      <c r="BD6612" s="331"/>
      <c r="BE6612" s="333"/>
      <c r="BF6612" s="330"/>
      <c r="BG6612" s="333"/>
      <c r="BH6612" s="1119"/>
      <c r="BI6612" s="319"/>
      <c r="BJ6612" s="319"/>
      <c r="BK6612" s="319"/>
      <c r="BL6612" s="319"/>
      <c r="BM6612" s="319"/>
      <c r="BN6612" s="319"/>
      <c r="BO6612" s="319"/>
      <c r="BP6612" s="953"/>
      <c r="BQ6612" s="319"/>
      <c r="BR6612" s="319"/>
      <c r="BS6612" s="330"/>
      <c r="BT6612" s="331"/>
      <c r="BU6612" s="920"/>
      <c r="BV6612" s="903"/>
      <c r="BW6612" s="908"/>
      <c r="BX6612" s="908"/>
      <c r="BY6612" s="331"/>
      <c r="BZ6612" s="331"/>
      <c r="CA6612" s="462"/>
      <c r="CB6612" s="319"/>
      <c r="CC6612" s="319"/>
      <c r="CD6612" s="319"/>
      <c r="CE6612" s="319"/>
      <c r="CF6612" s="319"/>
      <c r="CG6612" s="319"/>
      <c r="CH6612" s="318"/>
      <c r="CI6612" s="319"/>
      <c r="CJ6612" s="319"/>
      <c r="CK6612" s="342"/>
      <c r="CL6612" s="333"/>
      <c r="CM6612" s="1079"/>
      <c r="CN6612" s="1005"/>
      <c r="CO6612" s="1005"/>
      <c r="CP6612" s="1005"/>
    </row>
    <row r="6613">
      <c r="A6613" s="1257"/>
      <c r="B6613" s="1113"/>
      <c r="C6613" s="1107"/>
      <c r="D6613" s="103"/>
      <c r="E6613" s="1137"/>
      <c r="F6613" s="112"/>
      <c r="G6613" s="1110"/>
      <c r="H6613" s="1138"/>
      <c r="I6613" s="1138"/>
      <c r="J6613" s="1139"/>
      <c r="K6613" s="1111"/>
      <c r="L6613" s="1112"/>
      <c r="M6613" s="1113"/>
      <c r="N6613" s="110"/>
      <c r="O6613" s="1140"/>
      <c r="P6613" s="1115"/>
      <c r="Q6613" s="1116"/>
      <c r="R6613" s="1141"/>
      <c r="S6613" s="1113"/>
      <c r="T6613" s="1143"/>
      <c r="U6613" s="1108"/>
      <c r="V6613" s="1108"/>
      <c r="W6613" s="1108"/>
      <c r="X6613" s="1108"/>
      <c r="Y6613" s="1108"/>
      <c r="Z6613" s="1114"/>
      <c r="AA6613" s="1114"/>
      <c r="AB6613" s="1114"/>
      <c r="AC6613" s="1117"/>
      <c r="AD6613" s="1115"/>
      <c r="AE6613" s="1115"/>
      <c r="AF6613" s="1115"/>
      <c r="AG6613" s="1115"/>
      <c r="AH6613" s="1115"/>
      <c r="AI6613" s="1115"/>
      <c r="AJ6613" s="1117"/>
      <c r="AK6613" s="1118"/>
      <c r="AL6613" s="1115"/>
      <c r="AM6613" s="1115"/>
      <c r="AN6613" s="1115"/>
      <c r="AO6613" s="1115"/>
      <c r="AP6613" s="1115"/>
      <c r="AQ6613" s="1115"/>
      <c r="AR6613" s="1115"/>
      <c r="AS6613" s="1117"/>
      <c r="AT6613" s="1075"/>
      <c r="AU6613" s="1193"/>
      <c r="AV6613" s="330"/>
      <c r="AW6613" s="331"/>
      <c r="AX6613" s="331"/>
      <c r="AY6613" s="331"/>
      <c r="AZ6613" s="331"/>
      <c r="BA6613" s="331"/>
      <c r="BB6613" s="331"/>
      <c r="BC6613" s="331"/>
      <c r="BD6613" s="331"/>
      <c r="BE6613" s="333"/>
      <c r="BF6613" s="330"/>
      <c r="BG6613" s="333"/>
      <c r="BH6613" s="1119"/>
      <c r="BI6613" s="319"/>
      <c r="BJ6613" s="319"/>
      <c r="BK6613" s="319"/>
      <c r="BL6613" s="319"/>
      <c r="BM6613" s="319"/>
      <c r="BN6613" s="319"/>
      <c r="BO6613" s="319"/>
      <c r="BP6613" s="953"/>
      <c r="BQ6613" s="319"/>
      <c r="BR6613" s="319"/>
      <c r="BS6613" s="330"/>
      <c r="BT6613" s="331"/>
      <c r="BU6613" s="920"/>
      <c r="BV6613" s="903"/>
      <c r="BW6613" s="908"/>
      <c r="BX6613" s="908"/>
      <c r="BY6613" s="331"/>
      <c r="BZ6613" s="331"/>
      <c r="CA6613" s="462"/>
      <c r="CB6613" s="319"/>
      <c r="CC6613" s="319"/>
      <c r="CD6613" s="319"/>
      <c r="CE6613" s="319"/>
      <c r="CF6613" s="319"/>
      <c r="CG6613" s="319"/>
      <c r="CH6613" s="318"/>
      <c r="CI6613" s="319"/>
      <c r="CJ6613" s="319"/>
      <c r="CK6613" s="342"/>
      <c r="CL6613" s="333"/>
      <c r="CM6613" s="1079"/>
      <c r="CN6613" s="1005"/>
      <c r="CO6613" s="1005"/>
      <c r="CP6613" s="1005"/>
    </row>
    <row r="6614">
      <c r="A6614" s="1257"/>
      <c r="B6614" s="1113"/>
      <c r="C6614" s="1107"/>
      <c r="D6614" s="103"/>
      <c r="E6614" s="1137"/>
      <c r="F6614" s="112"/>
      <c r="G6614" s="1110"/>
      <c r="H6614" s="1138"/>
      <c r="I6614" s="1138"/>
      <c r="J6614" s="1139"/>
      <c r="K6614" s="1111"/>
      <c r="L6614" s="1112"/>
      <c r="M6614" s="1113"/>
      <c r="N6614" s="110"/>
      <c r="O6614" s="1140"/>
      <c r="P6614" s="1115"/>
      <c r="Q6614" s="1116"/>
      <c r="R6614" s="1141"/>
      <c r="S6614" s="1113"/>
      <c r="T6614" s="1143"/>
      <c r="U6614" s="1108"/>
      <c r="V6614" s="1108"/>
      <c r="W6614" s="1108"/>
      <c r="X6614" s="1108"/>
      <c r="Y6614" s="1108"/>
      <c r="Z6614" s="1114"/>
      <c r="AA6614" s="1114"/>
      <c r="AB6614" s="1114"/>
      <c r="AC6614" s="1117"/>
      <c r="AD6614" s="1115"/>
      <c r="AE6614" s="1115"/>
      <c r="AF6614" s="1115"/>
      <c r="AG6614" s="1115"/>
      <c r="AH6614" s="1115"/>
      <c r="AI6614" s="1115"/>
      <c r="AJ6614" s="1117"/>
      <c r="AK6614" s="1118"/>
      <c r="AL6614" s="1115"/>
      <c r="AM6614" s="1115"/>
      <c r="AN6614" s="1115"/>
      <c r="AO6614" s="1115"/>
      <c r="AP6614" s="1115"/>
      <c r="AQ6614" s="1115"/>
      <c r="AR6614" s="1115"/>
      <c r="AS6614" s="1117"/>
      <c r="AT6614" s="1075"/>
      <c r="AU6614" s="1193"/>
      <c r="AV6614" s="330"/>
      <c r="AW6614" s="331"/>
      <c r="AX6614" s="331"/>
      <c r="AY6614" s="331"/>
      <c r="AZ6614" s="331"/>
      <c r="BA6614" s="331"/>
      <c r="BB6614" s="331"/>
      <c r="BC6614" s="331"/>
      <c r="BD6614" s="331"/>
      <c r="BE6614" s="333"/>
      <c r="BF6614" s="330"/>
      <c r="BG6614" s="333"/>
      <c r="BH6614" s="1119"/>
      <c r="BI6614" s="319"/>
      <c r="BJ6614" s="319"/>
      <c r="BK6614" s="319"/>
      <c r="BL6614" s="319"/>
      <c r="BM6614" s="319"/>
      <c r="BN6614" s="319"/>
      <c r="BO6614" s="319"/>
      <c r="BP6614" s="953"/>
      <c r="BQ6614" s="319"/>
      <c r="BR6614" s="319"/>
      <c r="BS6614" s="330"/>
      <c r="BT6614" s="331"/>
      <c r="BU6614" s="920"/>
      <c r="BV6614" s="903"/>
      <c r="BW6614" s="908"/>
      <c r="BX6614" s="908"/>
      <c r="BY6614" s="331"/>
      <c r="BZ6614" s="331"/>
      <c r="CA6614" s="462"/>
      <c r="CB6614" s="319"/>
      <c r="CC6614" s="319"/>
      <c r="CD6614" s="319"/>
      <c r="CE6614" s="319"/>
      <c r="CF6614" s="319"/>
      <c r="CG6614" s="319"/>
      <c r="CH6614" s="318"/>
      <c r="CI6614" s="319"/>
      <c r="CJ6614" s="319"/>
      <c r="CK6614" s="342"/>
      <c r="CL6614" s="333"/>
      <c r="CM6614" s="1079"/>
      <c r="CN6614" s="1005"/>
      <c r="CO6614" s="1005"/>
      <c r="CP6614" s="1005"/>
    </row>
    <row r="6615">
      <c r="A6615" s="1257"/>
      <c r="B6615" s="1113"/>
      <c r="C6615" s="1107"/>
      <c r="D6615" s="103"/>
      <c r="E6615" s="1137"/>
      <c r="F6615" s="112"/>
      <c r="G6615" s="1110"/>
      <c r="H6615" s="1138"/>
      <c r="I6615" s="1138"/>
      <c r="J6615" s="1139"/>
      <c r="K6615" s="1111"/>
      <c r="L6615" s="1112"/>
      <c r="M6615" s="1113"/>
      <c r="N6615" s="110"/>
      <c r="O6615" s="1140"/>
      <c r="P6615" s="1115"/>
      <c r="Q6615" s="1116"/>
      <c r="R6615" s="1141"/>
      <c r="S6615" s="1113"/>
      <c r="T6615" s="1143"/>
      <c r="U6615" s="1108"/>
      <c r="V6615" s="1108"/>
      <c r="W6615" s="1108"/>
      <c r="X6615" s="1108"/>
      <c r="Y6615" s="1108"/>
      <c r="Z6615" s="1114"/>
      <c r="AA6615" s="1114"/>
      <c r="AB6615" s="1114"/>
      <c r="AC6615" s="1117"/>
      <c r="AD6615" s="1115"/>
      <c r="AE6615" s="1115"/>
      <c r="AF6615" s="1115"/>
      <c r="AG6615" s="1115"/>
      <c r="AH6615" s="1115"/>
      <c r="AI6615" s="1115"/>
      <c r="AJ6615" s="1117"/>
      <c r="AK6615" s="1118"/>
      <c r="AL6615" s="1115"/>
      <c r="AM6615" s="1115"/>
      <c r="AN6615" s="1115"/>
      <c r="AO6615" s="1115"/>
      <c r="AP6615" s="1115"/>
      <c r="AQ6615" s="1115"/>
      <c r="AR6615" s="1115"/>
      <c r="AS6615" s="1117"/>
      <c r="AT6615" s="1075"/>
      <c r="AU6615" s="1193"/>
      <c r="AV6615" s="330"/>
      <c r="AW6615" s="331"/>
      <c r="AX6615" s="331"/>
      <c r="AY6615" s="331"/>
      <c r="AZ6615" s="331"/>
      <c r="BA6615" s="331"/>
      <c r="BB6615" s="331"/>
      <c r="BC6615" s="331"/>
      <c r="BD6615" s="331"/>
      <c r="BE6615" s="333"/>
      <c r="BF6615" s="330"/>
      <c r="BG6615" s="333"/>
      <c r="BH6615" s="1119"/>
      <c r="BI6615" s="319"/>
      <c r="BJ6615" s="319"/>
      <c r="BK6615" s="319"/>
      <c r="BL6615" s="319"/>
      <c r="BM6615" s="319"/>
      <c r="BN6615" s="319"/>
      <c r="BO6615" s="319"/>
      <c r="BP6615" s="953"/>
      <c r="BQ6615" s="319"/>
      <c r="BR6615" s="319"/>
      <c r="BS6615" s="330"/>
      <c r="BT6615" s="331"/>
      <c r="BU6615" s="920"/>
      <c r="BV6615" s="903"/>
      <c r="BW6615" s="908"/>
      <c r="BX6615" s="908"/>
      <c r="BY6615" s="331"/>
      <c r="BZ6615" s="331"/>
      <c r="CA6615" s="462"/>
      <c r="CB6615" s="319"/>
      <c r="CC6615" s="319"/>
      <c r="CD6615" s="319"/>
      <c r="CE6615" s="319"/>
      <c r="CF6615" s="319"/>
      <c r="CG6615" s="319"/>
      <c r="CH6615" s="318"/>
      <c r="CI6615" s="319"/>
      <c r="CJ6615" s="319"/>
      <c r="CK6615" s="342"/>
      <c r="CL6615" s="333"/>
      <c r="CM6615" s="1079"/>
      <c r="CN6615" s="1005"/>
      <c r="CO6615" s="1005"/>
      <c r="CP6615" s="1005"/>
    </row>
    <row r="6616">
      <c r="A6616" s="1257"/>
      <c r="B6616" s="1113"/>
      <c r="C6616" s="1107"/>
      <c r="D6616" s="103"/>
      <c r="E6616" s="1137"/>
      <c r="F6616" s="112"/>
      <c r="G6616" s="1110"/>
      <c r="H6616" s="1138"/>
      <c r="I6616" s="1138"/>
      <c r="J6616" s="1139"/>
      <c r="K6616" s="1111"/>
      <c r="L6616" s="1112"/>
      <c r="M6616" s="1113"/>
      <c r="N6616" s="110"/>
      <c r="O6616" s="1140"/>
      <c r="P6616" s="1115"/>
      <c r="Q6616" s="1116"/>
      <c r="R6616" s="1141"/>
      <c r="S6616" s="1113"/>
      <c r="T6616" s="1143"/>
      <c r="U6616" s="1108"/>
      <c r="V6616" s="1108"/>
      <c r="W6616" s="1108"/>
      <c r="X6616" s="1108"/>
      <c r="Y6616" s="1108"/>
      <c r="Z6616" s="1114"/>
      <c r="AA6616" s="1114"/>
      <c r="AB6616" s="1114"/>
      <c r="AC6616" s="1117"/>
      <c r="AD6616" s="1115"/>
      <c r="AE6616" s="1115"/>
      <c r="AF6616" s="1115"/>
      <c r="AG6616" s="1115"/>
      <c r="AH6616" s="1115"/>
      <c r="AI6616" s="1115"/>
      <c r="AJ6616" s="1117"/>
      <c r="AK6616" s="1118"/>
      <c r="AL6616" s="1115"/>
      <c r="AM6616" s="1115"/>
      <c r="AN6616" s="1115"/>
      <c r="AO6616" s="1115"/>
      <c r="AP6616" s="1115"/>
      <c r="AQ6616" s="1115"/>
      <c r="AR6616" s="1115"/>
      <c r="AS6616" s="1117"/>
      <c r="AT6616" s="1075"/>
      <c r="AU6616" s="1193"/>
      <c r="AV6616" s="330"/>
      <c r="AW6616" s="331"/>
      <c r="AX6616" s="331"/>
      <c r="AY6616" s="331"/>
      <c r="AZ6616" s="331"/>
      <c r="BA6616" s="331"/>
      <c r="BB6616" s="331"/>
      <c r="BC6616" s="331"/>
      <c r="BD6616" s="331"/>
      <c r="BE6616" s="333"/>
      <c r="BF6616" s="330"/>
      <c r="BG6616" s="333"/>
      <c r="BH6616" s="1119"/>
      <c r="BI6616" s="319"/>
      <c r="BJ6616" s="319"/>
      <c r="BK6616" s="319"/>
      <c r="BL6616" s="319"/>
      <c r="BM6616" s="319"/>
      <c r="BN6616" s="319"/>
      <c r="BO6616" s="319"/>
      <c r="BP6616" s="953"/>
      <c r="BQ6616" s="319"/>
      <c r="BR6616" s="319"/>
      <c r="BS6616" s="330"/>
      <c r="BT6616" s="331"/>
      <c r="BU6616" s="920"/>
      <c r="BV6616" s="903"/>
      <c r="BW6616" s="908"/>
      <c r="BX6616" s="908"/>
      <c r="BY6616" s="331"/>
      <c r="BZ6616" s="331"/>
      <c r="CA6616" s="462"/>
      <c r="CB6616" s="319"/>
      <c r="CC6616" s="319"/>
      <c r="CD6616" s="319"/>
      <c r="CE6616" s="319"/>
      <c r="CF6616" s="319"/>
      <c r="CG6616" s="319"/>
      <c r="CH6616" s="318"/>
      <c r="CI6616" s="319"/>
      <c r="CJ6616" s="319"/>
      <c r="CK6616" s="342"/>
      <c r="CL6616" s="333"/>
      <c r="CM6616" s="1079"/>
      <c r="CN6616" s="1005"/>
      <c r="CO6616" s="1005"/>
      <c r="CP6616" s="1005"/>
    </row>
    <row r="6617">
      <c r="A6617" s="1257"/>
      <c r="B6617" s="1113"/>
      <c r="C6617" s="1107"/>
      <c r="D6617" s="103"/>
      <c r="E6617" s="1137"/>
      <c r="F6617" s="112"/>
      <c r="G6617" s="1110"/>
      <c r="H6617" s="1138"/>
      <c r="I6617" s="1138"/>
      <c r="J6617" s="1139"/>
      <c r="K6617" s="1111"/>
      <c r="L6617" s="1112"/>
      <c r="M6617" s="1113"/>
      <c r="N6617" s="110"/>
      <c r="O6617" s="1140"/>
      <c r="P6617" s="1115"/>
      <c r="Q6617" s="1116"/>
      <c r="R6617" s="1141"/>
      <c r="S6617" s="1113"/>
      <c r="T6617" s="1143"/>
      <c r="U6617" s="1108"/>
      <c r="V6617" s="1108"/>
      <c r="W6617" s="1108"/>
      <c r="X6617" s="1108"/>
      <c r="Y6617" s="1108"/>
      <c r="Z6617" s="1114"/>
      <c r="AA6617" s="1114"/>
      <c r="AB6617" s="1114"/>
      <c r="AC6617" s="1117"/>
      <c r="AD6617" s="1115"/>
      <c r="AE6617" s="1115"/>
      <c r="AF6617" s="1115"/>
      <c r="AG6617" s="1115"/>
      <c r="AH6617" s="1115"/>
      <c r="AI6617" s="1115"/>
      <c r="AJ6617" s="1117"/>
      <c r="AK6617" s="1118"/>
      <c r="AL6617" s="1115"/>
      <c r="AM6617" s="1115"/>
      <c r="AN6617" s="1115"/>
      <c r="AO6617" s="1115"/>
      <c r="AP6617" s="1115"/>
      <c r="AQ6617" s="1115"/>
      <c r="AR6617" s="1115"/>
      <c r="AS6617" s="1117"/>
      <c r="AT6617" s="1075"/>
      <c r="AU6617" s="1193"/>
      <c r="AV6617" s="330"/>
      <c r="AW6617" s="331"/>
      <c r="AX6617" s="331"/>
      <c r="AY6617" s="331"/>
      <c r="AZ6617" s="331"/>
      <c r="BA6617" s="331"/>
      <c r="BB6617" s="331"/>
      <c r="BC6617" s="331"/>
      <c r="BD6617" s="331"/>
      <c r="BE6617" s="333"/>
      <c r="BF6617" s="330"/>
      <c r="BG6617" s="333"/>
      <c r="BH6617" s="1119"/>
      <c r="BI6617" s="319"/>
      <c r="BJ6617" s="319"/>
      <c r="BK6617" s="319"/>
      <c r="BL6617" s="319"/>
      <c r="BM6617" s="319"/>
      <c r="BN6617" s="319"/>
      <c r="BO6617" s="319"/>
      <c r="BP6617" s="953"/>
      <c r="BQ6617" s="319"/>
      <c r="BR6617" s="319"/>
      <c r="BS6617" s="330"/>
      <c r="BT6617" s="331"/>
      <c r="BU6617" s="920"/>
      <c r="BV6617" s="903"/>
      <c r="BW6617" s="908"/>
      <c r="BX6617" s="908"/>
      <c r="BY6617" s="331"/>
      <c r="BZ6617" s="331"/>
      <c r="CA6617" s="462"/>
      <c r="CB6617" s="319"/>
      <c r="CC6617" s="319"/>
      <c r="CD6617" s="319"/>
      <c r="CE6617" s="319"/>
      <c r="CF6617" s="319"/>
      <c r="CG6617" s="319"/>
      <c r="CH6617" s="318"/>
      <c r="CI6617" s="319"/>
      <c r="CJ6617" s="319"/>
      <c r="CK6617" s="342"/>
      <c r="CL6617" s="333"/>
      <c r="CM6617" s="1079"/>
      <c r="CN6617" s="1005"/>
      <c r="CO6617" s="1005"/>
      <c r="CP6617" s="1005"/>
    </row>
    <row r="6618">
      <c r="A6618" s="1257"/>
      <c r="B6618" s="1113"/>
      <c r="C6618" s="1107"/>
      <c r="D6618" s="103"/>
      <c r="E6618" s="1137"/>
      <c r="F6618" s="112"/>
      <c r="G6618" s="1110"/>
      <c r="H6618" s="1138"/>
      <c r="I6618" s="1138"/>
      <c r="J6618" s="1139"/>
      <c r="K6618" s="1111"/>
      <c r="L6618" s="1112"/>
      <c r="M6618" s="1113"/>
      <c r="N6618" s="110"/>
      <c r="O6618" s="1140"/>
      <c r="P6618" s="1115"/>
      <c r="Q6618" s="1116"/>
      <c r="R6618" s="1141"/>
      <c r="S6618" s="1113"/>
      <c r="T6618" s="1143"/>
      <c r="U6618" s="1108"/>
      <c r="V6618" s="1108"/>
      <c r="W6618" s="1108"/>
      <c r="X6618" s="1108"/>
      <c r="Y6618" s="1108"/>
      <c r="Z6618" s="1114"/>
      <c r="AA6618" s="1114"/>
      <c r="AB6618" s="1114"/>
      <c r="AC6618" s="1117"/>
      <c r="AD6618" s="1115"/>
      <c r="AE6618" s="1115"/>
      <c r="AF6618" s="1115"/>
      <c r="AG6618" s="1115"/>
      <c r="AH6618" s="1115"/>
      <c r="AI6618" s="1115"/>
      <c r="AJ6618" s="1117"/>
      <c r="AK6618" s="1118"/>
      <c r="AL6618" s="1115"/>
      <c r="AM6618" s="1115"/>
      <c r="AN6618" s="1115"/>
      <c r="AO6618" s="1115"/>
      <c r="AP6618" s="1115"/>
      <c r="AQ6618" s="1115"/>
      <c r="AR6618" s="1115"/>
      <c r="AS6618" s="1117"/>
      <c r="AT6618" s="1075"/>
      <c r="AU6618" s="1193"/>
      <c r="AV6618" s="330"/>
      <c r="AW6618" s="331"/>
      <c r="AX6618" s="331"/>
      <c r="AY6618" s="331"/>
      <c r="AZ6618" s="331"/>
      <c r="BA6618" s="331"/>
      <c r="BB6618" s="331"/>
      <c r="BC6618" s="331"/>
      <c r="BD6618" s="331"/>
      <c r="BE6618" s="333"/>
      <c r="BF6618" s="330"/>
      <c r="BG6618" s="333"/>
      <c r="BH6618" s="1119"/>
      <c r="BI6618" s="319"/>
      <c r="BJ6618" s="319"/>
      <c r="BK6618" s="319"/>
      <c r="BL6618" s="319"/>
      <c r="BM6618" s="319"/>
      <c r="BN6618" s="319"/>
      <c r="BO6618" s="319"/>
      <c r="BP6618" s="953"/>
      <c r="BQ6618" s="319"/>
      <c r="BR6618" s="319"/>
      <c r="BS6618" s="330"/>
      <c r="BT6618" s="331"/>
      <c r="BU6618" s="920"/>
      <c r="BV6618" s="903"/>
      <c r="BW6618" s="908"/>
      <c r="BX6618" s="908"/>
      <c r="BY6618" s="331"/>
      <c r="BZ6618" s="331"/>
      <c r="CA6618" s="462"/>
      <c r="CB6618" s="319"/>
      <c r="CC6618" s="319"/>
      <c r="CD6618" s="319"/>
      <c r="CE6618" s="319"/>
      <c r="CF6618" s="319"/>
      <c r="CG6618" s="319"/>
      <c r="CH6618" s="318"/>
      <c r="CI6618" s="319"/>
      <c r="CJ6618" s="319"/>
      <c r="CK6618" s="342"/>
      <c r="CL6618" s="333"/>
      <c r="CM6618" s="1079"/>
      <c r="CN6618" s="1005"/>
      <c r="CO6618" s="1005"/>
      <c r="CP6618" s="1005"/>
    </row>
    <row r="6619">
      <c r="A6619" s="1257"/>
      <c r="B6619" s="1113"/>
      <c r="C6619" s="1107"/>
      <c r="D6619" s="103"/>
      <c r="E6619" s="1137"/>
      <c r="F6619" s="112"/>
      <c r="G6619" s="1110"/>
      <c r="H6619" s="1138"/>
      <c r="I6619" s="1138"/>
      <c r="J6619" s="1139"/>
      <c r="K6619" s="1111"/>
      <c r="L6619" s="1112"/>
      <c r="M6619" s="1113"/>
      <c r="N6619" s="110"/>
      <c r="O6619" s="1140"/>
      <c r="P6619" s="1115"/>
      <c r="Q6619" s="1116"/>
      <c r="R6619" s="1141"/>
      <c r="S6619" s="1113"/>
      <c r="T6619" s="1143"/>
      <c r="U6619" s="1108"/>
      <c r="V6619" s="1108"/>
      <c r="W6619" s="1108"/>
      <c r="X6619" s="1108"/>
      <c r="Y6619" s="1108"/>
      <c r="Z6619" s="1114"/>
      <c r="AA6619" s="1114"/>
      <c r="AB6619" s="1114"/>
      <c r="AC6619" s="1117"/>
      <c r="AD6619" s="1115"/>
      <c r="AE6619" s="1115"/>
      <c r="AF6619" s="1115"/>
      <c r="AG6619" s="1115"/>
      <c r="AH6619" s="1115"/>
      <c r="AI6619" s="1115"/>
      <c r="AJ6619" s="1117"/>
      <c r="AK6619" s="1118"/>
      <c r="AL6619" s="1115"/>
      <c r="AM6619" s="1115"/>
      <c r="AN6619" s="1115"/>
      <c r="AO6619" s="1115"/>
      <c r="AP6619" s="1115"/>
      <c r="AQ6619" s="1115"/>
      <c r="AR6619" s="1115"/>
      <c r="AS6619" s="1117"/>
      <c r="AT6619" s="1075"/>
      <c r="AU6619" s="1193"/>
      <c r="AV6619" s="330"/>
      <c r="AW6619" s="331"/>
      <c r="AX6619" s="331"/>
      <c r="AY6619" s="331"/>
      <c r="AZ6619" s="331"/>
      <c r="BA6619" s="331"/>
      <c r="BB6619" s="331"/>
      <c r="BC6619" s="331"/>
      <c r="BD6619" s="331"/>
      <c r="BE6619" s="333"/>
      <c r="BF6619" s="330"/>
      <c r="BG6619" s="333"/>
      <c r="BH6619" s="1119"/>
      <c r="BI6619" s="319"/>
      <c r="BJ6619" s="319"/>
      <c r="BK6619" s="319"/>
      <c r="BL6619" s="319"/>
      <c r="BM6619" s="319"/>
      <c r="BN6619" s="319"/>
      <c r="BO6619" s="319"/>
      <c r="BP6619" s="953"/>
      <c r="BQ6619" s="319"/>
      <c r="BR6619" s="319"/>
      <c r="BS6619" s="330"/>
      <c r="BT6619" s="331"/>
      <c r="BU6619" s="920"/>
      <c r="BV6619" s="903"/>
      <c r="BW6619" s="908"/>
      <c r="BX6619" s="908"/>
      <c r="BY6619" s="331"/>
      <c r="BZ6619" s="331"/>
      <c r="CA6619" s="462"/>
      <c r="CB6619" s="319"/>
      <c r="CC6619" s="319"/>
      <c r="CD6619" s="319"/>
      <c r="CE6619" s="319"/>
      <c r="CF6619" s="319"/>
      <c r="CG6619" s="319"/>
      <c r="CH6619" s="318"/>
      <c r="CI6619" s="319"/>
      <c r="CJ6619" s="319"/>
      <c r="CK6619" s="342"/>
      <c r="CL6619" s="333"/>
      <c r="CM6619" s="1079"/>
      <c r="CN6619" s="1005"/>
      <c r="CO6619" s="1005"/>
      <c r="CP6619" s="1005"/>
    </row>
    <row r="6620">
      <c r="A6620" s="1257"/>
      <c r="B6620" s="1113"/>
      <c r="C6620" s="1107"/>
      <c r="D6620" s="103"/>
      <c r="E6620" s="1137"/>
      <c r="F6620" s="112"/>
      <c r="G6620" s="1110"/>
      <c r="H6620" s="1138"/>
      <c r="I6620" s="1138"/>
      <c r="J6620" s="1139"/>
      <c r="K6620" s="1111"/>
      <c r="L6620" s="1112"/>
      <c r="M6620" s="1113"/>
      <c r="N6620" s="110"/>
      <c r="O6620" s="1140"/>
      <c r="P6620" s="1115"/>
      <c r="Q6620" s="1116"/>
      <c r="R6620" s="1141"/>
      <c r="S6620" s="1113"/>
      <c r="T6620" s="1143"/>
      <c r="U6620" s="1108"/>
      <c r="V6620" s="1108"/>
      <c r="W6620" s="1108"/>
      <c r="X6620" s="1108"/>
      <c r="Y6620" s="1108"/>
      <c r="Z6620" s="1114"/>
      <c r="AA6620" s="1114"/>
      <c r="AB6620" s="1114"/>
      <c r="AC6620" s="1117"/>
      <c r="AD6620" s="1115"/>
      <c r="AE6620" s="1115"/>
      <c r="AF6620" s="1115"/>
      <c r="AG6620" s="1115"/>
      <c r="AH6620" s="1115"/>
      <c r="AI6620" s="1115"/>
      <c r="AJ6620" s="1117"/>
      <c r="AK6620" s="1118"/>
      <c r="AL6620" s="1115"/>
      <c r="AM6620" s="1115"/>
      <c r="AN6620" s="1115"/>
      <c r="AO6620" s="1115"/>
      <c r="AP6620" s="1115"/>
      <c r="AQ6620" s="1115"/>
      <c r="AR6620" s="1115"/>
      <c r="AS6620" s="1117"/>
      <c r="AT6620" s="1075"/>
      <c r="AU6620" s="1193"/>
      <c r="AV6620" s="330"/>
      <c r="AW6620" s="331"/>
      <c r="AX6620" s="331"/>
      <c r="AY6620" s="331"/>
      <c r="AZ6620" s="331"/>
      <c r="BA6620" s="331"/>
      <c r="BB6620" s="331"/>
      <c r="BC6620" s="331"/>
      <c r="BD6620" s="331"/>
      <c r="BE6620" s="333"/>
      <c r="BF6620" s="330"/>
      <c r="BG6620" s="333"/>
      <c r="BH6620" s="1119"/>
      <c r="BI6620" s="319"/>
      <c r="BJ6620" s="319"/>
      <c r="BK6620" s="319"/>
      <c r="BL6620" s="319"/>
      <c r="BM6620" s="319"/>
      <c r="BN6620" s="319"/>
      <c r="BO6620" s="319"/>
      <c r="BP6620" s="953"/>
      <c r="BQ6620" s="319"/>
      <c r="BR6620" s="319"/>
      <c r="BS6620" s="330"/>
      <c r="BT6620" s="331"/>
      <c r="BU6620" s="920"/>
      <c r="BV6620" s="903"/>
      <c r="BW6620" s="908"/>
      <c r="BX6620" s="908"/>
      <c r="BY6620" s="331"/>
      <c r="BZ6620" s="331"/>
      <c r="CA6620" s="462"/>
      <c r="CB6620" s="319"/>
      <c r="CC6620" s="319"/>
      <c r="CD6620" s="319"/>
      <c r="CE6620" s="319"/>
      <c r="CF6620" s="319"/>
      <c r="CG6620" s="319"/>
      <c r="CH6620" s="318"/>
      <c r="CI6620" s="319"/>
      <c r="CJ6620" s="319"/>
      <c r="CK6620" s="342"/>
      <c r="CL6620" s="333"/>
      <c r="CM6620" s="1079"/>
      <c r="CN6620" s="1005"/>
      <c r="CO6620" s="1005"/>
      <c r="CP6620" s="1005"/>
    </row>
    <row r="6621">
      <c r="A6621" s="1257"/>
      <c r="B6621" s="1113"/>
      <c r="C6621" s="1107"/>
      <c r="D6621" s="103"/>
      <c r="E6621" s="1137"/>
      <c r="F6621" s="112"/>
      <c r="G6621" s="1110"/>
      <c r="H6621" s="1138"/>
      <c r="I6621" s="1138"/>
      <c r="J6621" s="1139"/>
      <c r="K6621" s="1111"/>
      <c r="L6621" s="1112"/>
      <c r="M6621" s="1113"/>
      <c r="N6621" s="110"/>
      <c r="O6621" s="1140"/>
      <c r="P6621" s="1115"/>
      <c r="Q6621" s="1116"/>
      <c r="R6621" s="1141"/>
      <c r="S6621" s="1113"/>
      <c r="T6621" s="1143"/>
      <c r="U6621" s="1108"/>
      <c r="V6621" s="1108"/>
      <c r="W6621" s="1108"/>
      <c r="X6621" s="1108"/>
      <c r="Y6621" s="1108"/>
      <c r="Z6621" s="1114"/>
      <c r="AA6621" s="1114"/>
      <c r="AB6621" s="1114"/>
      <c r="AC6621" s="1117"/>
      <c r="AD6621" s="1115"/>
      <c r="AE6621" s="1115"/>
      <c r="AF6621" s="1115"/>
      <c r="AG6621" s="1115"/>
      <c r="AH6621" s="1115"/>
      <c r="AI6621" s="1115"/>
      <c r="AJ6621" s="1117"/>
      <c r="AK6621" s="1118"/>
      <c r="AL6621" s="1115"/>
      <c r="AM6621" s="1115"/>
      <c r="AN6621" s="1115"/>
      <c r="AO6621" s="1115"/>
      <c r="AP6621" s="1115"/>
      <c r="AQ6621" s="1115"/>
      <c r="AR6621" s="1115"/>
      <c r="AS6621" s="1117"/>
      <c r="AT6621" s="1075"/>
      <c r="AU6621" s="1193"/>
      <c r="AV6621" s="330"/>
      <c r="AW6621" s="331"/>
      <c r="AX6621" s="331"/>
      <c r="AY6621" s="331"/>
      <c r="AZ6621" s="331"/>
      <c r="BA6621" s="331"/>
      <c r="BB6621" s="331"/>
      <c r="BC6621" s="331"/>
      <c r="BD6621" s="331"/>
      <c r="BE6621" s="333"/>
      <c r="BF6621" s="330"/>
      <c r="BG6621" s="333"/>
      <c r="BH6621" s="1119"/>
      <c r="BI6621" s="319"/>
      <c r="BJ6621" s="319"/>
      <c r="BK6621" s="319"/>
      <c r="BL6621" s="319"/>
      <c r="BM6621" s="319"/>
      <c r="BN6621" s="319"/>
      <c r="BO6621" s="319"/>
      <c r="BP6621" s="953"/>
      <c r="BQ6621" s="319"/>
      <c r="BR6621" s="319"/>
      <c r="BS6621" s="330"/>
      <c r="BT6621" s="331"/>
      <c r="BU6621" s="920"/>
      <c r="BV6621" s="903"/>
      <c r="BW6621" s="908"/>
      <c r="BX6621" s="908"/>
      <c r="BY6621" s="331"/>
      <c r="BZ6621" s="331"/>
      <c r="CA6621" s="462"/>
      <c r="CB6621" s="319"/>
      <c r="CC6621" s="319"/>
      <c r="CD6621" s="319"/>
      <c r="CE6621" s="319"/>
      <c r="CF6621" s="319"/>
      <c r="CG6621" s="319"/>
      <c r="CH6621" s="318"/>
      <c r="CI6621" s="319"/>
      <c r="CJ6621" s="319"/>
      <c r="CK6621" s="342"/>
      <c r="CL6621" s="333"/>
      <c r="CM6621" s="1079"/>
      <c r="CN6621" s="1005"/>
      <c r="CO6621" s="1005"/>
      <c r="CP6621" s="1005"/>
    </row>
    <row r="6622">
      <c r="A6622" s="1257"/>
      <c r="B6622" s="1113"/>
      <c r="C6622" s="1107"/>
      <c r="D6622" s="103"/>
      <c r="E6622" s="1137"/>
      <c r="F6622" s="112"/>
      <c r="G6622" s="1110"/>
      <c r="H6622" s="1138"/>
      <c r="I6622" s="1138"/>
      <c r="J6622" s="1139"/>
      <c r="K6622" s="1111"/>
      <c r="L6622" s="1112"/>
      <c r="M6622" s="1113"/>
      <c r="N6622" s="110"/>
      <c r="O6622" s="1140"/>
      <c r="P6622" s="1115"/>
      <c r="Q6622" s="1116"/>
      <c r="R6622" s="1141"/>
      <c r="S6622" s="1113"/>
      <c r="T6622" s="1143"/>
      <c r="U6622" s="1108"/>
      <c r="V6622" s="1108"/>
      <c r="W6622" s="1108"/>
      <c r="X6622" s="1108"/>
      <c r="Y6622" s="1108"/>
      <c r="Z6622" s="1114"/>
      <c r="AA6622" s="1114"/>
      <c r="AB6622" s="1114"/>
      <c r="AC6622" s="1117"/>
      <c r="AD6622" s="1115"/>
      <c r="AE6622" s="1115"/>
      <c r="AF6622" s="1115"/>
      <c r="AG6622" s="1115"/>
      <c r="AH6622" s="1115"/>
      <c r="AI6622" s="1115"/>
      <c r="AJ6622" s="1117"/>
      <c r="AK6622" s="1118"/>
      <c r="AL6622" s="1115"/>
      <c r="AM6622" s="1115"/>
      <c r="AN6622" s="1115"/>
      <c r="AO6622" s="1115"/>
      <c r="AP6622" s="1115"/>
      <c r="AQ6622" s="1115"/>
      <c r="AR6622" s="1115"/>
      <c r="AS6622" s="1117"/>
      <c r="AT6622" s="1075"/>
      <c r="AU6622" s="1193"/>
      <c r="AV6622" s="330"/>
      <c r="AW6622" s="331"/>
      <c r="AX6622" s="331"/>
      <c r="AY6622" s="331"/>
      <c r="AZ6622" s="331"/>
      <c r="BA6622" s="331"/>
      <c r="BB6622" s="331"/>
      <c r="BC6622" s="331"/>
      <c r="BD6622" s="331"/>
      <c r="BE6622" s="333"/>
      <c r="BF6622" s="330"/>
      <c r="BG6622" s="333"/>
      <c r="BH6622" s="1119"/>
      <c r="BI6622" s="319"/>
      <c r="BJ6622" s="319"/>
      <c r="BK6622" s="319"/>
      <c r="BL6622" s="319"/>
      <c r="BM6622" s="319"/>
      <c r="BN6622" s="319"/>
      <c r="BO6622" s="319"/>
      <c r="BP6622" s="953"/>
      <c r="BQ6622" s="319"/>
      <c r="BR6622" s="319"/>
      <c r="BS6622" s="330"/>
      <c r="BT6622" s="331"/>
      <c r="BU6622" s="920"/>
      <c r="BV6622" s="903"/>
      <c r="BW6622" s="908"/>
      <c r="BX6622" s="908"/>
      <c r="BY6622" s="331"/>
      <c r="BZ6622" s="331"/>
      <c r="CA6622" s="462"/>
      <c r="CB6622" s="319"/>
      <c r="CC6622" s="319"/>
      <c r="CD6622" s="319"/>
      <c r="CE6622" s="319"/>
      <c r="CF6622" s="319"/>
      <c r="CG6622" s="319"/>
      <c r="CH6622" s="318"/>
      <c r="CI6622" s="319"/>
      <c r="CJ6622" s="319"/>
      <c r="CK6622" s="342"/>
      <c r="CL6622" s="333"/>
      <c r="CM6622" s="1079"/>
      <c r="CN6622" s="1005"/>
      <c r="CO6622" s="1005"/>
      <c r="CP6622" s="1005"/>
    </row>
    <row r="6623">
      <c r="A6623" s="1257"/>
      <c r="B6623" s="1113"/>
      <c r="C6623" s="1107"/>
      <c r="D6623" s="103"/>
      <c r="E6623" s="1137"/>
      <c r="F6623" s="112"/>
      <c r="G6623" s="1110"/>
      <c r="H6623" s="1138"/>
      <c r="I6623" s="1138"/>
      <c r="J6623" s="1139"/>
      <c r="K6623" s="1111"/>
      <c r="L6623" s="1112"/>
      <c r="M6623" s="1113"/>
      <c r="N6623" s="110"/>
      <c r="O6623" s="1140"/>
      <c r="P6623" s="1115"/>
      <c r="Q6623" s="1116"/>
      <c r="R6623" s="1141"/>
      <c r="S6623" s="1113"/>
      <c r="T6623" s="1143"/>
      <c r="U6623" s="1108"/>
      <c r="V6623" s="1108"/>
      <c r="W6623" s="1108"/>
      <c r="X6623" s="1108"/>
      <c r="Y6623" s="1108"/>
      <c r="Z6623" s="1114"/>
      <c r="AA6623" s="1114"/>
      <c r="AB6623" s="1114"/>
      <c r="AC6623" s="1117"/>
      <c r="AD6623" s="1115"/>
      <c r="AE6623" s="1115"/>
      <c r="AF6623" s="1115"/>
      <c r="AG6623" s="1115"/>
      <c r="AH6623" s="1115"/>
      <c r="AI6623" s="1115"/>
      <c r="AJ6623" s="1117"/>
      <c r="AK6623" s="1118"/>
      <c r="AL6623" s="1115"/>
      <c r="AM6623" s="1115"/>
      <c r="AN6623" s="1115"/>
      <c r="AO6623" s="1115"/>
      <c r="AP6623" s="1115"/>
      <c r="AQ6623" s="1115"/>
      <c r="AR6623" s="1115"/>
      <c r="AS6623" s="1117"/>
      <c r="AT6623" s="1075"/>
      <c r="AU6623" s="1193"/>
      <c r="AV6623" s="330"/>
      <c r="AW6623" s="331"/>
      <c r="AX6623" s="331"/>
      <c r="AY6623" s="331"/>
      <c r="AZ6623" s="331"/>
      <c r="BA6623" s="331"/>
      <c r="BB6623" s="331"/>
      <c r="BC6623" s="331"/>
      <c r="BD6623" s="331"/>
      <c r="BE6623" s="333"/>
      <c r="BF6623" s="330"/>
      <c r="BG6623" s="333"/>
      <c r="BH6623" s="1119"/>
      <c r="BI6623" s="319"/>
      <c r="BJ6623" s="319"/>
      <c r="BK6623" s="319"/>
      <c r="BL6623" s="319"/>
      <c r="BM6623" s="319"/>
      <c r="BN6623" s="319"/>
      <c r="BO6623" s="319"/>
      <c r="BP6623" s="953"/>
      <c r="BQ6623" s="319"/>
      <c r="BR6623" s="319"/>
      <c r="BS6623" s="330"/>
      <c r="BT6623" s="331"/>
      <c r="BU6623" s="920"/>
      <c r="BV6623" s="903"/>
      <c r="BW6623" s="908"/>
      <c r="BX6623" s="908"/>
      <c r="BY6623" s="331"/>
      <c r="BZ6623" s="331"/>
      <c r="CA6623" s="462"/>
      <c r="CB6623" s="319"/>
      <c r="CC6623" s="319"/>
      <c r="CD6623" s="319"/>
      <c r="CE6623" s="319"/>
      <c r="CF6623" s="319"/>
      <c r="CG6623" s="319"/>
      <c r="CH6623" s="318"/>
      <c r="CI6623" s="319"/>
      <c r="CJ6623" s="319"/>
      <c r="CK6623" s="342"/>
      <c r="CL6623" s="333"/>
      <c r="CM6623" s="1079"/>
      <c r="CN6623" s="1005"/>
      <c r="CO6623" s="1005"/>
      <c r="CP6623" s="1005"/>
    </row>
    <row r="6624">
      <c r="A6624" s="1257"/>
      <c r="B6624" s="1113"/>
      <c r="C6624" s="1107"/>
      <c r="D6624" s="103"/>
      <c r="E6624" s="1137"/>
      <c r="F6624" s="112"/>
      <c r="G6624" s="1110"/>
      <c r="H6624" s="1138"/>
      <c r="I6624" s="1138"/>
      <c r="J6624" s="1139"/>
      <c r="K6624" s="1111"/>
      <c r="L6624" s="1112"/>
      <c r="M6624" s="1113"/>
      <c r="N6624" s="110"/>
      <c r="O6624" s="1140"/>
      <c r="P6624" s="1115"/>
      <c r="Q6624" s="1116"/>
      <c r="R6624" s="1141"/>
      <c r="S6624" s="1113"/>
      <c r="T6624" s="1143"/>
      <c r="U6624" s="1108"/>
      <c r="V6624" s="1108"/>
      <c r="W6624" s="1108"/>
      <c r="X6624" s="1108"/>
      <c r="Y6624" s="1108"/>
      <c r="Z6624" s="1114"/>
      <c r="AA6624" s="1114"/>
      <c r="AB6624" s="1114"/>
      <c r="AC6624" s="1117"/>
      <c r="AD6624" s="1115"/>
      <c r="AE6624" s="1115"/>
      <c r="AF6624" s="1115"/>
      <c r="AG6624" s="1115"/>
      <c r="AH6624" s="1115"/>
      <c r="AI6624" s="1115"/>
      <c r="AJ6624" s="1117"/>
      <c r="AK6624" s="1118"/>
      <c r="AL6624" s="1115"/>
      <c r="AM6624" s="1115"/>
      <c r="AN6624" s="1115"/>
      <c r="AO6624" s="1115"/>
      <c r="AP6624" s="1115"/>
      <c r="AQ6624" s="1115"/>
      <c r="AR6624" s="1115"/>
      <c r="AS6624" s="1117"/>
      <c r="AT6624" s="1075"/>
      <c r="AU6624" s="1193"/>
      <c r="AV6624" s="330"/>
      <c r="AW6624" s="331"/>
      <c r="AX6624" s="331"/>
      <c r="AY6624" s="331"/>
      <c r="AZ6624" s="331"/>
      <c r="BA6624" s="331"/>
      <c r="BB6624" s="331"/>
      <c r="BC6624" s="331"/>
      <c r="BD6624" s="331"/>
      <c r="BE6624" s="333"/>
      <c r="BF6624" s="330"/>
      <c r="BG6624" s="333"/>
      <c r="BH6624" s="1119"/>
      <c r="BI6624" s="319"/>
      <c r="BJ6624" s="319"/>
      <c r="BK6624" s="319"/>
      <c r="BL6624" s="319"/>
      <c r="BM6624" s="319"/>
      <c r="BN6624" s="319"/>
      <c r="BO6624" s="319"/>
      <c r="BP6624" s="953"/>
      <c r="BQ6624" s="319"/>
      <c r="BR6624" s="319"/>
      <c r="BS6624" s="330"/>
      <c r="BT6624" s="331"/>
      <c r="BU6624" s="920"/>
      <c r="BV6624" s="903"/>
      <c r="BW6624" s="908"/>
      <c r="BX6624" s="908"/>
      <c r="BY6624" s="331"/>
      <c r="BZ6624" s="331"/>
      <c r="CA6624" s="462"/>
      <c r="CB6624" s="319"/>
      <c r="CC6624" s="319"/>
      <c r="CD6624" s="319"/>
      <c r="CE6624" s="319"/>
      <c r="CF6624" s="319"/>
      <c r="CG6624" s="319"/>
      <c r="CH6624" s="318"/>
      <c r="CI6624" s="319"/>
      <c r="CJ6624" s="319"/>
      <c r="CK6624" s="342"/>
      <c r="CL6624" s="333"/>
      <c r="CM6624" s="1079"/>
      <c r="CN6624" s="1005"/>
      <c r="CO6624" s="1005"/>
      <c r="CP6624" s="1005"/>
    </row>
    <row r="6625">
      <c r="A6625" s="1257"/>
      <c r="B6625" s="1113"/>
      <c r="C6625" s="1107"/>
      <c r="D6625" s="103"/>
      <c r="E6625" s="1137"/>
      <c r="F6625" s="112"/>
      <c r="G6625" s="1110"/>
      <c r="H6625" s="1138"/>
      <c r="I6625" s="1138"/>
      <c r="J6625" s="1139"/>
      <c r="K6625" s="1111"/>
      <c r="L6625" s="1112"/>
      <c r="M6625" s="1113"/>
      <c r="N6625" s="110"/>
      <c r="O6625" s="1140"/>
      <c r="P6625" s="1115"/>
      <c r="Q6625" s="1116"/>
      <c r="R6625" s="1141"/>
      <c r="S6625" s="1113"/>
      <c r="T6625" s="1143"/>
      <c r="U6625" s="1108"/>
      <c r="V6625" s="1108"/>
      <c r="W6625" s="1108"/>
      <c r="X6625" s="1108"/>
      <c r="Y6625" s="1108"/>
      <c r="Z6625" s="1114"/>
      <c r="AA6625" s="1114"/>
      <c r="AB6625" s="1114"/>
      <c r="AC6625" s="1117"/>
      <c r="AD6625" s="1115"/>
      <c r="AE6625" s="1115"/>
      <c r="AF6625" s="1115"/>
      <c r="AG6625" s="1115"/>
      <c r="AH6625" s="1115"/>
      <c r="AI6625" s="1115"/>
      <c r="AJ6625" s="1117"/>
      <c r="AK6625" s="1118"/>
      <c r="AL6625" s="1115"/>
      <c r="AM6625" s="1115"/>
      <c r="AN6625" s="1115"/>
      <c r="AO6625" s="1115"/>
      <c r="AP6625" s="1115"/>
      <c r="AQ6625" s="1115"/>
      <c r="AR6625" s="1115"/>
      <c r="AS6625" s="1117"/>
      <c r="AT6625" s="1075"/>
      <c r="AU6625" s="1193"/>
      <c r="AV6625" s="330"/>
      <c r="AW6625" s="331"/>
      <c r="AX6625" s="331"/>
      <c r="AY6625" s="331"/>
      <c r="AZ6625" s="331"/>
      <c r="BA6625" s="331"/>
      <c r="BB6625" s="331"/>
      <c r="BC6625" s="331"/>
      <c r="BD6625" s="331"/>
      <c r="BE6625" s="333"/>
      <c r="BF6625" s="330"/>
      <c r="BG6625" s="333"/>
      <c r="BH6625" s="1119"/>
      <c r="BI6625" s="319"/>
      <c r="BJ6625" s="319"/>
      <c r="BK6625" s="319"/>
      <c r="BL6625" s="319"/>
      <c r="BM6625" s="319"/>
      <c r="BN6625" s="319"/>
      <c r="BO6625" s="319"/>
      <c r="BP6625" s="953"/>
      <c r="BQ6625" s="319"/>
      <c r="BR6625" s="319"/>
      <c r="BS6625" s="330"/>
      <c r="BT6625" s="331"/>
      <c r="BU6625" s="920"/>
      <c r="BV6625" s="903"/>
      <c r="BW6625" s="908"/>
      <c r="BX6625" s="908"/>
      <c r="BY6625" s="331"/>
      <c r="BZ6625" s="331"/>
      <c r="CA6625" s="462"/>
      <c r="CB6625" s="319"/>
      <c r="CC6625" s="319"/>
      <c r="CD6625" s="319"/>
      <c r="CE6625" s="319"/>
      <c r="CF6625" s="319"/>
      <c r="CG6625" s="319"/>
      <c r="CH6625" s="318"/>
      <c r="CI6625" s="319"/>
      <c r="CJ6625" s="319"/>
      <c r="CK6625" s="342"/>
      <c r="CL6625" s="333"/>
      <c r="CM6625" s="1079"/>
      <c r="CN6625" s="1005"/>
      <c r="CO6625" s="1005"/>
      <c r="CP6625" s="1005"/>
    </row>
    <row r="6626">
      <c r="A6626" s="1257"/>
      <c r="B6626" s="1113"/>
      <c r="C6626" s="1107"/>
      <c r="D6626" s="103"/>
      <c r="E6626" s="1137"/>
      <c r="F6626" s="112"/>
      <c r="G6626" s="1110"/>
      <c r="H6626" s="1138"/>
      <c r="I6626" s="1138"/>
      <c r="J6626" s="1139"/>
      <c r="K6626" s="1111"/>
      <c r="L6626" s="1112"/>
      <c r="M6626" s="1113"/>
      <c r="N6626" s="110"/>
      <c r="O6626" s="1140"/>
      <c r="P6626" s="1115"/>
      <c r="Q6626" s="1116"/>
      <c r="R6626" s="1141"/>
      <c r="S6626" s="1113"/>
      <c r="T6626" s="1143"/>
      <c r="U6626" s="1108"/>
      <c r="V6626" s="1108"/>
      <c r="W6626" s="1108"/>
      <c r="X6626" s="1108"/>
      <c r="Y6626" s="1108"/>
      <c r="Z6626" s="1114"/>
      <c r="AA6626" s="1114"/>
      <c r="AB6626" s="1114"/>
      <c r="AC6626" s="1117"/>
      <c r="AD6626" s="1115"/>
      <c r="AE6626" s="1115"/>
      <c r="AF6626" s="1115"/>
      <c r="AG6626" s="1115"/>
      <c r="AH6626" s="1115"/>
      <c r="AI6626" s="1115"/>
      <c r="AJ6626" s="1117"/>
      <c r="AK6626" s="1118"/>
      <c r="AL6626" s="1115"/>
      <c r="AM6626" s="1115"/>
      <c r="AN6626" s="1115"/>
      <c r="AO6626" s="1115"/>
      <c r="AP6626" s="1115"/>
      <c r="AQ6626" s="1115"/>
      <c r="AR6626" s="1115"/>
      <c r="AS6626" s="1117"/>
      <c r="AT6626" s="1075"/>
      <c r="AU6626" s="1193"/>
      <c r="AV6626" s="330"/>
      <c r="AW6626" s="331"/>
      <c r="AX6626" s="331"/>
      <c r="AY6626" s="331"/>
      <c r="AZ6626" s="331"/>
      <c r="BA6626" s="331"/>
      <c r="BB6626" s="331"/>
      <c r="BC6626" s="331"/>
      <c r="BD6626" s="331"/>
      <c r="BE6626" s="333"/>
      <c r="BF6626" s="330"/>
      <c r="BG6626" s="333"/>
      <c r="BH6626" s="1119"/>
      <c r="BI6626" s="319"/>
      <c r="BJ6626" s="319"/>
      <c r="BK6626" s="319"/>
      <c r="BL6626" s="319"/>
      <c r="BM6626" s="319"/>
      <c r="BN6626" s="319"/>
      <c r="BO6626" s="319"/>
      <c r="BP6626" s="953"/>
      <c r="BQ6626" s="319"/>
      <c r="BR6626" s="319"/>
      <c r="BS6626" s="330"/>
      <c r="BT6626" s="331"/>
      <c r="BU6626" s="920"/>
      <c r="BV6626" s="903"/>
      <c r="BW6626" s="908"/>
      <c r="BX6626" s="908"/>
      <c r="BY6626" s="331"/>
      <c r="BZ6626" s="331"/>
      <c r="CA6626" s="462"/>
      <c r="CB6626" s="319"/>
      <c r="CC6626" s="319"/>
      <c r="CD6626" s="319"/>
      <c r="CE6626" s="319"/>
      <c r="CF6626" s="319"/>
      <c r="CG6626" s="319"/>
      <c r="CH6626" s="318"/>
      <c r="CI6626" s="319"/>
      <c r="CJ6626" s="319"/>
      <c r="CK6626" s="342"/>
      <c r="CL6626" s="333"/>
      <c r="CM6626" s="1079"/>
      <c r="CN6626" s="1005"/>
      <c r="CO6626" s="1005"/>
      <c r="CP6626" s="1005"/>
    </row>
    <row r="6627">
      <c r="A6627" s="1257"/>
      <c r="B6627" s="1113"/>
      <c r="C6627" s="1107"/>
      <c r="D6627" s="103"/>
      <c r="E6627" s="1137"/>
      <c r="F6627" s="112"/>
      <c r="G6627" s="1110"/>
      <c r="H6627" s="1138"/>
      <c r="I6627" s="1138"/>
      <c r="J6627" s="1139"/>
      <c r="K6627" s="1111"/>
      <c r="L6627" s="1112"/>
      <c r="M6627" s="1113"/>
      <c r="N6627" s="110"/>
      <c r="O6627" s="1140"/>
      <c r="P6627" s="1115"/>
      <c r="Q6627" s="1116"/>
      <c r="R6627" s="1141"/>
      <c r="S6627" s="1113"/>
      <c r="T6627" s="1143"/>
      <c r="U6627" s="1108"/>
      <c r="V6627" s="1108"/>
      <c r="W6627" s="1108"/>
      <c r="X6627" s="1108"/>
      <c r="Y6627" s="1108"/>
      <c r="Z6627" s="1114"/>
      <c r="AA6627" s="1114"/>
      <c r="AB6627" s="1114"/>
      <c r="AC6627" s="1117"/>
      <c r="AD6627" s="1115"/>
      <c r="AE6627" s="1115"/>
      <c r="AF6627" s="1115"/>
      <c r="AG6627" s="1115"/>
      <c r="AH6627" s="1115"/>
      <c r="AI6627" s="1115"/>
      <c r="AJ6627" s="1117"/>
      <c r="AK6627" s="1118"/>
      <c r="AL6627" s="1115"/>
      <c r="AM6627" s="1115"/>
      <c r="AN6627" s="1115"/>
      <c r="AO6627" s="1115"/>
      <c r="AP6627" s="1115"/>
      <c r="AQ6627" s="1115"/>
      <c r="AR6627" s="1115"/>
      <c r="AS6627" s="1117"/>
      <c r="AT6627" s="1075"/>
      <c r="AU6627" s="1193"/>
      <c r="AV6627" s="330"/>
      <c r="AW6627" s="331"/>
      <c r="AX6627" s="331"/>
      <c r="AY6627" s="331"/>
      <c r="AZ6627" s="331"/>
      <c r="BA6627" s="331"/>
      <c r="BB6627" s="331"/>
      <c r="BC6627" s="331"/>
      <c r="BD6627" s="331"/>
      <c r="BE6627" s="333"/>
      <c r="BF6627" s="330"/>
      <c r="BG6627" s="333"/>
      <c r="BH6627" s="1119"/>
      <c r="BI6627" s="319"/>
      <c r="BJ6627" s="319"/>
      <c r="BK6627" s="319"/>
      <c r="BL6627" s="319"/>
      <c r="BM6627" s="319"/>
      <c r="BN6627" s="319"/>
      <c r="BO6627" s="319"/>
      <c r="BP6627" s="953"/>
      <c r="BQ6627" s="319"/>
      <c r="BR6627" s="319"/>
      <c r="BS6627" s="330"/>
      <c r="BT6627" s="331"/>
      <c r="BU6627" s="920"/>
      <c r="BV6627" s="903"/>
      <c r="BW6627" s="908"/>
      <c r="BX6627" s="908"/>
      <c r="BY6627" s="331"/>
      <c r="BZ6627" s="331"/>
      <c r="CA6627" s="462"/>
      <c r="CB6627" s="319"/>
      <c r="CC6627" s="319"/>
      <c r="CD6627" s="319"/>
      <c r="CE6627" s="319"/>
      <c r="CF6627" s="319"/>
      <c r="CG6627" s="319"/>
      <c r="CH6627" s="318"/>
      <c r="CI6627" s="319"/>
      <c r="CJ6627" s="319"/>
      <c r="CK6627" s="342"/>
      <c r="CL6627" s="333"/>
      <c r="CM6627" s="1079"/>
      <c r="CN6627" s="1005"/>
      <c r="CO6627" s="1005"/>
      <c r="CP6627" s="1005"/>
    </row>
    <row r="6628">
      <c r="A6628" s="1257"/>
      <c r="B6628" s="1113"/>
      <c r="C6628" s="1107"/>
      <c r="D6628" s="103"/>
      <c r="E6628" s="1137"/>
      <c r="F6628" s="112"/>
      <c r="G6628" s="1110"/>
      <c r="H6628" s="1138"/>
      <c r="I6628" s="1138"/>
      <c r="J6628" s="1139"/>
      <c r="K6628" s="1111"/>
      <c r="L6628" s="1112"/>
      <c r="M6628" s="1113"/>
      <c r="N6628" s="110"/>
      <c r="O6628" s="1140"/>
      <c r="P6628" s="1115"/>
      <c r="Q6628" s="1116"/>
      <c r="R6628" s="1141"/>
      <c r="S6628" s="1113"/>
      <c r="T6628" s="1143"/>
      <c r="U6628" s="1108"/>
      <c r="V6628" s="1108"/>
      <c r="W6628" s="1108"/>
      <c r="X6628" s="1108"/>
      <c r="Y6628" s="1108"/>
      <c r="Z6628" s="1114"/>
      <c r="AA6628" s="1114"/>
      <c r="AB6628" s="1114"/>
      <c r="AC6628" s="1117"/>
      <c r="AD6628" s="1115"/>
      <c r="AE6628" s="1115"/>
      <c r="AF6628" s="1115"/>
      <c r="AG6628" s="1115"/>
      <c r="AH6628" s="1115"/>
      <c r="AI6628" s="1115"/>
      <c r="AJ6628" s="1117"/>
      <c r="AK6628" s="1118"/>
      <c r="AL6628" s="1115"/>
      <c r="AM6628" s="1115"/>
      <c r="AN6628" s="1115"/>
      <c r="AO6628" s="1115"/>
      <c r="AP6628" s="1115"/>
      <c r="AQ6628" s="1115"/>
      <c r="AR6628" s="1115"/>
      <c r="AS6628" s="1117"/>
      <c r="AT6628" s="1075"/>
      <c r="AU6628" s="1193"/>
      <c r="AV6628" s="330"/>
      <c r="AW6628" s="331"/>
      <c r="AX6628" s="331"/>
      <c r="AY6628" s="331"/>
      <c r="AZ6628" s="331"/>
      <c r="BA6628" s="331"/>
      <c r="BB6628" s="331"/>
      <c r="BC6628" s="331"/>
      <c r="BD6628" s="331"/>
      <c r="BE6628" s="333"/>
      <c r="BF6628" s="330"/>
      <c r="BG6628" s="333"/>
      <c r="BH6628" s="1119"/>
      <c r="BI6628" s="319"/>
      <c r="BJ6628" s="319"/>
      <c r="BK6628" s="319"/>
      <c r="BL6628" s="319"/>
      <c r="BM6628" s="319"/>
      <c r="BN6628" s="319"/>
      <c r="BO6628" s="319"/>
      <c r="BP6628" s="953"/>
      <c r="BQ6628" s="319"/>
      <c r="BR6628" s="319"/>
      <c r="BS6628" s="330"/>
      <c r="BT6628" s="331"/>
      <c r="BU6628" s="920"/>
      <c r="BV6628" s="903"/>
      <c r="BW6628" s="908"/>
      <c r="BX6628" s="908"/>
      <c r="BY6628" s="331"/>
      <c r="BZ6628" s="331"/>
      <c r="CA6628" s="462"/>
      <c r="CB6628" s="319"/>
      <c r="CC6628" s="319"/>
      <c r="CD6628" s="319"/>
      <c r="CE6628" s="319"/>
      <c r="CF6628" s="319"/>
      <c r="CG6628" s="319"/>
      <c r="CH6628" s="318"/>
      <c r="CI6628" s="319"/>
      <c r="CJ6628" s="319"/>
      <c r="CK6628" s="342"/>
      <c r="CL6628" s="333"/>
      <c r="CM6628" s="1079"/>
      <c r="CN6628" s="1005"/>
      <c r="CO6628" s="1005"/>
      <c r="CP6628" s="1005"/>
    </row>
    <row r="6629">
      <c r="A6629" s="1257"/>
      <c r="B6629" s="1113"/>
      <c r="C6629" s="1107"/>
      <c r="D6629" s="103"/>
      <c r="E6629" s="1137"/>
      <c r="F6629" s="112"/>
      <c r="G6629" s="1110"/>
      <c r="H6629" s="1138"/>
      <c r="I6629" s="1138"/>
      <c r="J6629" s="1139"/>
      <c r="K6629" s="1111"/>
      <c r="L6629" s="1112"/>
      <c r="M6629" s="1113"/>
      <c r="N6629" s="110"/>
      <c r="O6629" s="1140"/>
      <c r="P6629" s="1115"/>
      <c r="Q6629" s="1116"/>
      <c r="R6629" s="1141"/>
      <c r="S6629" s="1113"/>
      <c r="T6629" s="1143"/>
      <c r="U6629" s="1108"/>
      <c r="V6629" s="1108"/>
      <c r="W6629" s="1108"/>
      <c r="X6629" s="1108"/>
      <c r="Y6629" s="1108"/>
      <c r="Z6629" s="1114"/>
      <c r="AA6629" s="1114"/>
      <c r="AB6629" s="1114"/>
      <c r="AC6629" s="1117"/>
      <c r="AD6629" s="1115"/>
      <c r="AE6629" s="1115"/>
      <c r="AF6629" s="1115"/>
      <c r="AG6629" s="1115"/>
      <c r="AH6629" s="1115"/>
      <c r="AI6629" s="1115"/>
      <c r="AJ6629" s="1117"/>
      <c r="AK6629" s="1118"/>
      <c r="AL6629" s="1115"/>
      <c r="AM6629" s="1115"/>
      <c r="AN6629" s="1115"/>
      <c r="AO6629" s="1115"/>
      <c r="AP6629" s="1115"/>
      <c r="AQ6629" s="1115"/>
      <c r="AR6629" s="1115"/>
      <c r="AS6629" s="1117"/>
      <c r="AT6629" s="1075"/>
      <c r="AU6629" s="1193"/>
      <c r="AV6629" s="330"/>
      <c r="AW6629" s="331"/>
      <c r="AX6629" s="331"/>
      <c r="AY6629" s="331"/>
      <c r="AZ6629" s="331"/>
      <c r="BA6629" s="331"/>
      <c r="BB6629" s="331"/>
      <c r="BC6629" s="331"/>
      <c r="BD6629" s="331"/>
      <c r="BE6629" s="333"/>
      <c r="BF6629" s="330"/>
      <c r="BG6629" s="333"/>
      <c r="BH6629" s="1119"/>
      <c r="BI6629" s="319"/>
      <c r="BJ6629" s="319"/>
      <c r="BK6629" s="319"/>
      <c r="BL6629" s="319"/>
      <c r="BM6629" s="319"/>
      <c r="BN6629" s="319"/>
      <c r="BO6629" s="319"/>
      <c r="BP6629" s="953"/>
      <c r="BQ6629" s="319"/>
      <c r="BR6629" s="319"/>
      <c r="BS6629" s="330"/>
      <c r="BT6629" s="331"/>
      <c r="BU6629" s="920"/>
      <c r="BV6629" s="903"/>
      <c r="BW6629" s="908"/>
      <c r="BX6629" s="908"/>
      <c r="BY6629" s="331"/>
      <c r="BZ6629" s="331"/>
      <c r="CA6629" s="462"/>
      <c r="CB6629" s="319"/>
      <c r="CC6629" s="319"/>
      <c r="CD6629" s="319"/>
      <c r="CE6629" s="319"/>
      <c r="CF6629" s="319"/>
      <c r="CG6629" s="319"/>
      <c r="CH6629" s="318"/>
      <c r="CI6629" s="319"/>
      <c r="CJ6629" s="319"/>
      <c r="CK6629" s="342"/>
      <c r="CL6629" s="333"/>
      <c r="CM6629" s="1079"/>
      <c r="CN6629" s="1005"/>
      <c r="CO6629" s="1005"/>
      <c r="CP6629" s="1005"/>
    </row>
    <row r="6630">
      <c r="A6630" s="1257"/>
      <c r="B6630" s="1113"/>
      <c r="C6630" s="1107"/>
      <c r="D6630" s="103"/>
      <c r="E6630" s="1137"/>
      <c r="F6630" s="112"/>
      <c r="G6630" s="1110"/>
      <c r="H6630" s="1138"/>
      <c r="I6630" s="1138"/>
      <c r="J6630" s="1139"/>
      <c r="K6630" s="1111"/>
      <c r="L6630" s="1112"/>
      <c r="M6630" s="1113"/>
      <c r="N6630" s="110"/>
      <c r="O6630" s="1140"/>
      <c r="P6630" s="1115"/>
      <c r="Q6630" s="1116"/>
      <c r="R6630" s="1141"/>
      <c r="S6630" s="1113"/>
      <c r="T6630" s="1143"/>
      <c r="U6630" s="1108"/>
      <c r="V6630" s="1108"/>
      <c r="W6630" s="1108"/>
      <c r="X6630" s="1108"/>
      <c r="Y6630" s="1108"/>
      <c r="Z6630" s="1114"/>
      <c r="AA6630" s="1114"/>
      <c r="AB6630" s="1114"/>
      <c r="AC6630" s="1117"/>
      <c r="AD6630" s="1115"/>
      <c r="AE6630" s="1115"/>
      <c r="AF6630" s="1115"/>
      <c r="AG6630" s="1115"/>
      <c r="AH6630" s="1115"/>
      <c r="AI6630" s="1115"/>
      <c r="AJ6630" s="1117"/>
      <c r="AK6630" s="1118"/>
      <c r="AL6630" s="1115"/>
      <c r="AM6630" s="1115"/>
      <c r="AN6630" s="1115"/>
      <c r="AO6630" s="1115"/>
      <c r="AP6630" s="1115"/>
      <c r="AQ6630" s="1115"/>
      <c r="AR6630" s="1115"/>
      <c r="AS6630" s="1117"/>
      <c r="AT6630" s="1075"/>
      <c r="AU6630" s="1193"/>
      <c r="AV6630" s="330"/>
      <c r="AW6630" s="331"/>
      <c r="AX6630" s="331"/>
      <c r="AY6630" s="331"/>
      <c r="AZ6630" s="331"/>
      <c r="BA6630" s="331"/>
      <c r="BB6630" s="331"/>
      <c r="BC6630" s="331"/>
      <c r="BD6630" s="331"/>
      <c r="BE6630" s="333"/>
      <c r="BF6630" s="330"/>
      <c r="BG6630" s="333"/>
      <c r="BH6630" s="1119"/>
      <c r="BI6630" s="319"/>
      <c r="BJ6630" s="319"/>
      <c r="BK6630" s="319"/>
      <c r="BL6630" s="319"/>
      <c r="BM6630" s="319"/>
      <c r="BN6630" s="319"/>
      <c r="BO6630" s="319"/>
      <c r="BP6630" s="953"/>
      <c r="BQ6630" s="319"/>
      <c r="BR6630" s="319"/>
      <c r="BS6630" s="330"/>
      <c r="BT6630" s="331"/>
      <c r="BU6630" s="920"/>
      <c r="BV6630" s="903"/>
      <c r="BW6630" s="908"/>
      <c r="BX6630" s="908"/>
      <c r="BY6630" s="331"/>
      <c r="BZ6630" s="331"/>
      <c r="CA6630" s="462"/>
      <c r="CB6630" s="319"/>
      <c r="CC6630" s="319"/>
      <c r="CD6630" s="319"/>
      <c r="CE6630" s="319"/>
      <c r="CF6630" s="319"/>
      <c r="CG6630" s="319"/>
      <c r="CH6630" s="318"/>
      <c r="CI6630" s="319"/>
      <c r="CJ6630" s="319"/>
      <c r="CK6630" s="342"/>
      <c r="CL6630" s="333"/>
      <c r="CM6630" s="1079"/>
      <c r="CN6630" s="1005"/>
      <c r="CO6630" s="1005"/>
      <c r="CP6630" s="1005"/>
    </row>
    <row r="6631">
      <c r="A6631" s="1257"/>
      <c r="B6631" s="1113"/>
      <c r="C6631" s="1107"/>
      <c r="D6631" s="103"/>
      <c r="E6631" s="1137"/>
      <c r="F6631" s="112"/>
      <c r="G6631" s="1110"/>
      <c r="H6631" s="1138"/>
      <c r="I6631" s="1138"/>
      <c r="J6631" s="1139"/>
      <c r="K6631" s="1111"/>
      <c r="L6631" s="1112"/>
      <c r="M6631" s="1113"/>
      <c r="N6631" s="110"/>
      <c r="O6631" s="1140"/>
      <c r="P6631" s="1115"/>
      <c r="Q6631" s="1116"/>
      <c r="R6631" s="1141"/>
      <c r="S6631" s="1113"/>
      <c r="T6631" s="1143"/>
      <c r="U6631" s="1108"/>
      <c r="V6631" s="1108"/>
      <c r="W6631" s="1108"/>
      <c r="X6631" s="1108"/>
      <c r="Y6631" s="1108"/>
      <c r="Z6631" s="1114"/>
      <c r="AA6631" s="1114"/>
      <c r="AB6631" s="1114"/>
      <c r="AC6631" s="1117"/>
      <c r="AD6631" s="1115"/>
      <c r="AE6631" s="1115"/>
      <c r="AF6631" s="1115"/>
      <c r="AG6631" s="1115"/>
      <c r="AH6631" s="1115"/>
      <c r="AI6631" s="1115"/>
      <c r="AJ6631" s="1117"/>
      <c r="AK6631" s="1118"/>
      <c r="AL6631" s="1115"/>
      <c r="AM6631" s="1115"/>
      <c r="AN6631" s="1115"/>
      <c r="AO6631" s="1115"/>
      <c r="AP6631" s="1115"/>
      <c r="AQ6631" s="1115"/>
      <c r="AR6631" s="1115"/>
      <c r="AS6631" s="1117"/>
      <c r="AT6631" s="1075"/>
      <c r="AU6631" s="1193"/>
      <c r="AV6631" s="330"/>
      <c r="AW6631" s="331"/>
      <c r="AX6631" s="331"/>
      <c r="AY6631" s="331"/>
      <c r="AZ6631" s="331"/>
      <c r="BA6631" s="331"/>
      <c r="BB6631" s="331"/>
      <c r="BC6631" s="331"/>
      <c r="BD6631" s="331"/>
      <c r="BE6631" s="333"/>
      <c r="BF6631" s="330"/>
      <c r="BG6631" s="333"/>
      <c r="BH6631" s="1119"/>
      <c r="BI6631" s="319"/>
      <c r="BJ6631" s="319"/>
      <c r="BK6631" s="319"/>
      <c r="BL6631" s="319"/>
      <c r="BM6631" s="319"/>
      <c r="BN6631" s="319"/>
      <c r="BO6631" s="319"/>
      <c r="BP6631" s="953"/>
      <c r="BQ6631" s="319"/>
      <c r="BR6631" s="319"/>
      <c r="BS6631" s="330"/>
      <c r="BT6631" s="331"/>
      <c r="BU6631" s="920"/>
      <c r="BV6631" s="903"/>
      <c r="BW6631" s="908"/>
      <c r="BX6631" s="908"/>
      <c r="BY6631" s="331"/>
      <c r="BZ6631" s="331"/>
      <c r="CA6631" s="462"/>
      <c r="CB6631" s="319"/>
      <c r="CC6631" s="319"/>
      <c r="CD6631" s="319"/>
      <c r="CE6631" s="319"/>
      <c r="CF6631" s="319"/>
      <c r="CG6631" s="319"/>
      <c r="CH6631" s="318"/>
      <c r="CI6631" s="319"/>
      <c r="CJ6631" s="319"/>
      <c r="CK6631" s="342"/>
      <c r="CL6631" s="333"/>
      <c r="CM6631" s="1079"/>
      <c r="CN6631" s="1005"/>
      <c r="CO6631" s="1005"/>
      <c r="CP6631" s="1005"/>
    </row>
    <row r="6632">
      <c r="A6632" s="1257"/>
      <c r="B6632" s="1113"/>
      <c r="C6632" s="1107"/>
      <c r="D6632" s="103"/>
      <c r="E6632" s="1137"/>
      <c r="F6632" s="112"/>
      <c r="G6632" s="1110"/>
      <c r="H6632" s="1138"/>
      <c r="I6632" s="1138"/>
      <c r="J6632" s="1139"/>
      <c r="K6632" s="1111"/>
      <c r="L6632" s="1112"/>
      <c r="M6632" s="1113"/>
      <c r="N6632" s="110"/>
      <c r="O6632" s="1140"/>
      <c r="P6632" s="1115"/>
      <c r="Q6632" s="1116"/>
      <c r="R6632" s="1141"/>
      <c r="S6632" s="1113"/>
      <c r="T6632" s="1143"/>
      <c r="U6632" s="1108"/>
      <c r="V6632" s="1108"/>
      <c r="W6632" s="1108"/>
      <c r="X6632" s="1108"/>
      <c r="Y6632" s="1108"/>
      <c r="Z6632" s="1114"/>
      <c r="AA6632" s="1114"/>
      <c r="AB6632" s="1114"/>
      <c r="AC6632" s="1117"/>
      <c r="AD6632" s="1115"/>
      <c r="AE6632" s="1115"/>
      <c r="AF6632" s="1115"/>
      <c r="AG6632" s="1115"/>
      <c r="AH6632" s="1115"/>
      <c r="AI6632" s="1115"/>
      <c r="AJ6632" s="1117"/>
      <c r="AK6632" s="1118"/>
      <c r="AL6632" s="1115"/>
      <c r="AM6632" s="1115"/>
      <c r="AN6632" s="1115"/>
      <c r="AO6632" s="1115"/>
      <c r="AP6632" s="1115"/>
      <c r="AQ6632" s="1115"/>
      <c r="AR6632" s="1115"/>
      <c r="AS6632" s="1117"/>
      <c r="AT6632" s="1075"/>
      <c r="AU6632" s="1193"/>
      <c r="AV6632" s="330"/>
      <c r="AW6632" s="331"/>
      <c r="AX6632" s="331"/>
      <c r="AY6632" s="331"/>
      <c r="AZ6632" s="331"/>
      <c r="BA6632" s="331"/>
      <c r="BB6632" s="331"/>
      <c r="BC6632" s="331"/>
      <c r="BD6632" s="331"/>
      <c r="BE6632" s="333"/>
      <c r="BF6632" s="330"/>
      <c r="BG6632" s="333"/>
      <c r="BH6632" s="1119"/>
      <c r="BI6632" s="319"/>
      <c r="BJ6632" s="319"/>
      <c r="BK6632" s="319"/>
      <c r="BL6632" s="319"/>
      <c r="BM6632" s="319"/>
      <c r="BN6632" s="319"/>
      <c r="BO6632" s="319"/>
      <c r="BP6632" s="953"/>
      <c r="BQ6632" s="319"/>
      <c r="BR6632" s="319"/>
      <c r="BS6632" s="330"/>
      <c r="BT6632" s="331"/>
      <c r="BU6632" s="920"/>
      <c r="BV6632" s="903"/>
      <c r="BW6632" s="908"/>
      <c r="BX6632" s="908"/>
      <c r="BY6632" s="331"/>
      <c r="BZ6632" s="331"/>
      <c r="CA6632" s="462"/>
      <c r="CB6632" s="319"/>
      <c r="CC6632" s="319"/>
      <c r="CD6632" s="319"/>
      <c r="CE6632" s="319"/>
      <c r="CF6632" s="319"/>
      <c r="CG6632" s="319"/>
      <c r="CH6632" s="318"/>
      <c r="CI6632" s="319"/>
      <c r="CJ6632" s="319"/>
      <c r="CK6632" s="342"/>
      <c r="CL6632" s="333"/>
      <c r="CM6632" s="1079"/>
      <c r="CN6632" s="1005"/>
      <c r="CO6632" s="1005"/>
      <c r="CP6632" s="1005"/>
    </row>
    <row r="6633">
      <c r="A6633" s="1257"/>
      <c r="B6633" s="1113"/>
      <c r="C6633" s="1107"/>
      <c r="D6633" s="103"/>
      <c r="E6633" s="1137"/>
      <c r="F6633" s="112"/>
      <c r="G6633" s="1110"/>
      <c r="H6633" s="1138"/>
      <c r="I6633" s="1138"/>
      <c r="J6633" s="1139"/>
      <c r="K6633" s="1111"/>
      <c r="L6633" s="1112"/>
      <c r="M6633" s="1113"/>
      <c r="N6633" s="110"/>
      <c r="O6633" s="1140"/>
      <c r="P6633" s="1115"/>
      <c r="Q6633" s="1116"/>
      <c r="R6633" s="1141"/>
      <c r="S6633" s="1113"/>
      <c r="T6633" s="1143"/>
      <c r="U6633" s="1108"/>
      <c r="V6633" s="1108"/>
      <c r="W6633" s="1108"/>
      <c r="X6633" s="1108"/>
      <c r="Y6633" s="1108"/>
      <c r="Z6633" s="1114"/>
      <c r="AA6633" s="1114"/>
      <c r="AB6633" s="1114"/>
      <c r="AC6633" s="1117"/>
      <c r="AD6633" s="1115"/>
      <c r="AE6633" s="1115"/>
      <c r="AF6633" s="1115"/>
      <c r="AG6633" s="1115"/>
      <c r="AH6633" s="1115"/>
      <c r="AI6633" s="1115"/>
      <c r="AJ6633" s="1117"/>
      <c r="AK6633" s="1118"/>
      <c r="AL6633" s="1115"/>
      <c r="AM6633" s="1115"/>
      <c r="AN6633" s="1115"/>
      <c r="AO6633" s="1115"/>
      <c r="AP6633" s="1115"/>
      <c r="AQ6633" s="1115"/>
      <c r="AR6633" s="1115"/>
      <c r="AS6633" s="1117"/>
      <c r="AT6633" s="1075"/>
      <c r="AU6633" s="1193"/>
      <c r="AV6633" s="330"/>
      <c r="AW6633" s="331"/>
      <c r="AX6633" s="331"/>
      <c r="AY6633" s="331"/>
      <c r="AZ6633" s="331"/>
      <c r="BA6633" s="331"/>
      <c r="BB6633" s="331"/>
      <c r="BC6633" s="331"/>
      <c r="BD6633" s="331"/>
      <c r="BE6633" s="333"/>
      <c r="BF6633" s="330"/>
      <c r="BG6633" s="333"/>
      <c r="BH6633" s="1119"/>
      <c r="BI6633" s="319"/>
      <c r="BJ6633" s="319"/>
      <c r="BK6633" s="319"/>
      <c r="BL6633" s="319"/>
      <c r="BM6633" s="319"/>
      <c r="BN6633" s="319"/>
      <c r="BO6633" s="319"/>
      <c r="BP6633" s="953"/>
      <c r="BQ6633" s="319"/>
      <c r="BR6633" s="319"/>
      <c r="BS6633" s="330"/>
      <c r="BT6633" s="331"/>
      <c r="BU6633" s="920"/>
      <c r="BV6633" s="903"/>
      <c r="BW6633" s="908"/>
      <c r="BX6633" s="908"/>
      <c r="BY6633" s="331"/>
      <c r="BZ6633" s="331"/>
      <c r="CA6633" s="462"/>
      <c r="CB6633" s="319"/>
      <c r="CC6633" s="319"/>
      <c r="CD6633" s="319"/>
      <c r="CE6633" s="319"/>
      <c r="CF6633" s="319"/>
      <c r="CG6633" s="319"/>
      <c r="CH6633" s="318"/>
      <c r="CI6633" s="319"/>
      <c r="CJ6633" s="319"/>
      <c r="CK6633" s="342"/>
      <c r="CL6633" s="333"/>
      <c r="CM6633" s="1079"/>
      <c r="CN6633" s="1005"/>
      <c r="CO6633" s="1005"/>
      <c r="CP6633" s="1005"/>
    </row>
    <row r="6634">
      <c r="A6634" s="1257"/>
      <c r="B6634" s="1113"/>
      <c r="C6634" s="1107"/>
      <c r="D6634" s="103"/>
      <c r="E6634" s="1137"/>
      <c r="F6634" s="112"/>
      <c r="G6634" s="1110"/>
      <c r="H6634" s="1138"/>
      <c r="I6634" s="1138"/>
      <c r="J6634" s="1139"/>
      <c r="K6634" s="1111"/>
      <c r="L6634" s="1112"/>
      <c r="M6634" s="1113"/>
      <c r="N6634" s="110"/>
      <c r="O6634" s="1140"/>
      <c r="P6634" s="1115"/>
      <c r="Q6634" s="1116"/>
      <c r="R6634" s="1141"/>
      <c r="S6634" s="1113"/>
      <c r="T6634" s="1143"/>
      <c r="U6634" s="1108"/>
      <c r="V6634" s="1108"/>
      <c r="W6634" s="1108"/>
      <c r="X6634" s="1108"/>
      <c r="Y6634" s="1108"/>
      <c r="Z6634" s="1114"/>
      <c r="AA6634" s="1114"/>
      <c r="AB6634" s="1114"/>
      <c r="AC6634" s="1117"/>
      <c r="AD6634" s="1115"/>
      <c r="AE6634" s="1115"/>
      <c r="AF6634" s="1115"/>
      <c r="AG6634" s="1115"/>
      <c r="AH6634" s="1115"/>
      <c r="AI6634" s="1115"/>
      <c r="AJ6634" s="1117"/>
      <c r="AK6634" s="1118"/>
      <c r="AL6634" s="1115"/>
      <c r="AM6634" s="1115"/>
      <c r="AN6634" s="1115"/>
      <c r="AO6634" s="1115"/>
      <c r="AP6634" s="1115"/>
      <c r="AQ6634" s="1115"/>
      <c r="AR6634" s="1115"/>
      <c r="AS6634" s="1117"/>
      <c r="AT6634" s="1075"/>
      <c r="AU6634" s="1193"/>
      <c r="AV6634" s="330"/>
      <c r="AW6634" s="331"/>
      <c r="AX6634" s="331"/>
      <c r="AY6634" s="331"/>
      <c r="AZ6634" s="331"/>
      <c r="BA6634" s="331"/>
      <c r="BB6634" s="331"/>
      <c r="BC6634" s="331"/>
      <c r="BD6634" s="331"/>
      <c r="BE6634" s="333"/>
      <c r="BF6634" s="330"/>
      <c r="BG6634" s="333"/>
      <c r="BH6634" s="1119"/>
      <c r="BI6634" s="319"/>
      <c r="BJ6634" s="319"/>
      <c r="BK6634" s="319"/>
      <c r="BL6634" s="319"/>
      <c r="BM6634" s="319"/>
      <c r="BN6634" s="319"/>
      <c r="BO6634" s="319"/>
      <c r="BP6634" s="953"/>
      <c r="BQ6634" s="319"/>
      <c r="BR6634" s="319"/>
      <c r="BS6634" s="330"/>
      <c r="BT6634" s="331"/>
      <c r="BU6634" s="920"/>
      <c r="BV6634" s="903"/>
      <c r="BW6634" s="908"/>
      <c r="BX6634" s="908"/>
      <c r="BY6634" s="331"/>
      <c r="BZ6634" s="331"/>
      <c r="CA6634" s="462"/>
      <c r="CB6634" s="319"/>
      <c r="CC6634" s="319"/>
      <c r="CD6634" s="319"/>
      <c r="CE6634" s="319"/>
      <c r="CF6634" s="319"/>
      <c r="CG6634" s="319"/>
      <c r="CH6634" s="318"/>
      <c r="CI6634" s="319"/>
      <c r="CJ6634" s="319"/>
      <c r="CK6634" s="342"/>
      <c r="CL6634" s="333"/>
      <c r="CM6634" s="1079"/>
      <c r="CN6634" s="1005"/>
      <c r="CO6634" s="1005"/>
      <c r="CP6634" s="1005"/>
    </row>
    <row r="6635">
      <c r="A6635" s="1257"/>
      <c r="B6635" s="1113"/>
      <c r="C6635" s="1107"/>
      <c r="D6635" s="103"/>
      <c r="E6635" s="1137"/>
      <c r="F6635" s="112"/>
      <c r="G6635" s="1110"/>
      <c r="H6635" s="1138"/>
      <c r="I6635" s="1138"/>
      <c r="J6635" s="1139"/>
      <c r="K6635" s="1111"/>
      <c r="L6635" s="1112"/>
      <c r="M6635" s="1113"/>
      <c r="N6635" s="110"/>
      <c r="O6635" s="1140"/>
      <c r="P6635" s="1115"/>
      <c r="Q6635" s="1116"/>
      <c r="R6635" s="1141"/>
      <c r="S6635" s="1113"/>
      <c r="T6635" s="1143"/>
      <c r="U6635" s="1108"/>
      <c r="V6635" s="1108"/>
      <c r="W6635" s="1108"/>
      <c r="X6635" s="1108"/>
      <c r="Y6635" s="1108"/>
      <c r="Z6635" s="1114"/>
      <c r="AA6635" s="1114"/>
      <c r="AB6635" s="1114"/>
      <c r="AC6635" s="1117"/>
      <c r="AD6635" s="1115"/>
      <c r="AE6635" s="1115"/>
      <c r="AF6635" s="1115"/>
      <c r="AG6635" s="1115"/>
      <c r="AH6635" s="1115"/>
      <c r="AI6635" s="1115"/>
      <c r="AJ6635" s="1117"/>
      <c r="AK6635" s="1118"/>
      <c r="AL6635" s="1115"/>
      <c r="AM6635" s="1115"/>
      <c r="AN6635" s="1115"/>
      <c r="AO6635" s="1115"/>
      <c r="AP6635" s="1115"/>
      <c r="AQ6635" s="1115"/>
      <c r="AR6635" s="1115"/>
      <c r="AS6635" s="1117"/>
      <c r="AT6635" s="1075"/>
      <c r="AU6635" s="1193"/>
      <c r="AV6635" s="330"/>
      <c r="AW6635" s="331"/>
      <c r="AX6635" s="331"/>
      <c r="AY6635" s="331"/>
      <c r="AZ6635" s="331"/>
      <c r="BA6635" s="331"/>
      <c r="BB6635" s="331"/>
      <c r="BC6635" s="331"/>
      <c r="BD6635" s="331"/>
      <c r="BE6635" s="333"/>
      <c r="BF6635" s="330"/>
      <c r="BG6635" s="333"/>
      <c r="BH6635" s="1119"/>
      <c r="BI6635" s="319"/>
      <c r="BJ6635" s="319"/>
      <c r="BK6635" s="319"/>
      <c r="BL6635" s="319"/>
      <c r="BM6635" s="319"/>
      <c r="BN6635" s="319"/>
      <c r="BO6635" s="319"/>
      <c r="BP6635" s="953"/>
      <c r="BQ6635" s="319"/>
      <c r="BR6635" s="319"/>
      <c r="BS6635" s="330"/>
      <c r="BT6635" s="331"/>
      <c r="BU6635" s="920"/>
      <c r="BV6635" s="903"/>
      <c r="BW6635" s="908"/>
      <c r="BX6635" s="908"/>
      <c r="BY6635" s="331"/>
      <c r="BZ6635" s="331"/>
      <c r="CA6635" s="462"/>
      <c r="CB6635" s="319"/>
      <c r="CC6635" s="319"/>
      <c r="CD6635" s="319"/>
      <c r="CE6635" s="319"/>
      <c r="CF6635" s="319"/>
      <c r="CG6635" s="319"/>
      <c r="CH6635" s="318"/>
      <c r="CI6635" s="319"/>
      <c r="CJ6635" s="319"/>
      <c r="CK6635" s="342"/>
      <c r="CL6635" s="333"/>
      <c r="CM6635" s="1079"/>
      <c r="CN6635" s="1005"/>
      <c r="CO6635" s="1005"/>
      <c r="CP6635" s="1005"/>
    </row>
    <row r="6636">
      <c r="A6636" s="1257"/>
      <c r="B6636" s="1113"/>
      <c r="C6636" s="1107"/>
      <c r="D6636" s="103"/>
      <c r="E6636" s="1137"/>
      <c r="F6636" s="112"/>
      <c r="G6636" s="1110"/>
      <c r="H6636" s="1138"/>
      <c r="I6636" s="1138"/>
      <c r="J6636" s="1139"/>
      <c r="K6636" s="1111"/>
      <c r="L6636" s="1112"/>
      <c r="M6636" s="1113"/>
      <c r="N6636" s="110"/>
      <c r="O6636" s="1140"/>
      <c r="P6636" s="1115"/>
      <c r="Q6636" s="1116"/>
      <c r="R6636" s="1141"/>
      <c r="S6636" s="1113"/>
      <c r="T6636" s="1143"/>
      <c r="U6636" s="1108"/>
      <c r="V6636" s="1108"/>
      <c r="W6636" s="1108"/>
      <c r="X6636" s="1108"/>
      <c r="Y6636" s="1108"/>
      <c r="Z6636" s="1114"/>
      <c r="AA6636" s="1114"/>
      <c r="AB6636" s="1114"/>
      <c r="AC6636" s="1117"/>
      <c r="AD6636" s="1115"/>
      <c r="AE6636" s="1115"/>
      <c r="AF6636" s="1115"/>
      <c r="AG6636" s="1115"/>
      <c r="AH6636" s="1115"/>
      <c r="AI6636" s="1115"/>
      <c r="AJ6636" s="1117"/>
      <c r="AK6636" s="1118"/>
      <c r="AL6636" s="1115"/>
      <c r="AM6636" s="1115"/>
      <c r="AN6636" s="1115"/>
      <c r="AO6636" s="1115"/>
      <c r="AP6636" s="1115"/>
      <c r="AQ6636" s="1115"/>
      <c r="AR6636" s="1115"/>
      <c r="AS6636" s="1117"/>
      <c r="AT6636" s="1075"/>
      <c r="AU6636" s="1193"/>
      <c r="AV6636" s="330"/>
      <c r="AW6636" s="331"/>
      <c r="AX6636" s="331"/>
      <c r="AY6636" s="331"/>
      <c r="AZ6636" s="331"/>
      <c r="BA6636" s="331"/>
      <c r="BB6636" s="331"/>
      <c r="BC6636" s="331"/>
      <c r="BD6636" s="331"/>
      <c r="BE6636" s="333"/>
      <c r="BF6636" s="330"/>
      <c r="BG6636" s="333"/>
      <c r="BH6636" s="1119"/>
      <c r="BI6636" s="319"/>
      <c r="BJ6636" s="319"/>
      <c r="BK6636" s="319"/>
      <c r="BL6636" s="319"/>
      <c r="BM6636" s="319"/>
      <c r="BN6636" s="319"/>
      <c r="BO6636" s="319"/>
      <c r="BP6636" s="953"/>
      <c r="BQ6636" s="319"/>
      <c r="BR6636" s="319"/>
      <c r="BS6636" s="330"/>
      <c r="BT6636" s="331"/>
      <c r="BU6636" s="920"/>
      <c r="BV6636" s="903"/>
      <c r="BW6636" s="908"/>
      <c r="BX6636" s="908"/>
      <c r="BY6636" s="331"/>
      <c r="BZ6636" s="331"/>
      <c r="CA6636" s="462"/>
      <c r="CB6636" s="319"/>
      <c r="CC6636" s="319"/>
      <c r="CD6636" s="319"/>
      <c r="CE6636" s="319"/>
      <c r="CF6636" s="319"/>
      <c r="CG6636" s="319"/>
      <c r="CH6636" s="318"/>
      <c r="CI6636" s="319"/>
      <c r="CJ6636" s="319"/>
      <c r="CK6636" s="342"/>
      <c r="CL6636" s="333"/>
      <c r="CM6636" s="1079"/>
      <c r="CN6636" s="1005"/>
      <c r="CO6636" s="1005"/>
      <c r="CP6636" s="1005"/>
    </row>
    <row r="6637">
      <c r="A6637" s="1257"/>
      <c r="B6637" s="1113"/>
      <c r="C6637" s="1107"/>
      <c r="D6637" s="103"/>
      <c r="E6637" s="1137"/>
      <c r="F6637" s="112"/>
      <c r="G6637" s="1110"/>
      <c r="H6637" s="1138"/>
      <c r="I6637" s="1138"/>
      <c r="J6637" s="1139"/>
      <c r="K6637" s="1111"/>
      <c r="L6637" s="1112"/>
      <c r="M6637" s="1113"/>
      <c r="N6637" s="110"/>
      <c r="O6637" s="1140"/>
      <c r="P6637" s="1115"/>
      <c r="Q6637" s="1116"/>
      <c r="R6637" s="1141"/>
      <c r="S6637" s="1113"/>
      <c r="T6637" s="1143"/>
      <c r="U6637" s="1108"/>
      <c r="V6637" s="1108"/>
      <c r="W6637" s="1108"/>
      <c r="X6637" s="1108"/>
      <c r="Y6637" s="1108"/>
      <c r="Z6637" s="1114"/>
      <c r="AA6637" s="1114"/>
      <c r="AB6637" s="1114"/>
      <c r="AC6637" s="1117"/>
      <c r="AD6637" s="1115"/>
      <c r="AE6637" s="1115"/>
      <c r="AF6637" s="1115"/>
      <c r="AG6637" s="1115"/>
      <c r="AH6637" s="1115"/>
      <c r="AI6637" s="1115"/>
      <c r="AJ6637" s="1117"/>
      <c r="AK6637" s="1118"/>
      <c r="AL6637" s="1115"/>
      <c r="AM6637" s="1115"/>
      <c r="AN6637" s="1115"/>
      <c r="AO6637" s="1115"/>
      <c r="AP6637" s="1115"/>
      <c r="AQ6637" s="1115"/>
      <c r="AR6637" s="1115"/>
      <c r="AS6637" s="1117"/>
      <c r="AT6637" s="1075"/>
      <c r="AU6637" s="1193"/>
      <c r="AV6637" s="330"/>
      <c r="AW6637" s="331"/>
      <c r="AX6637" s="331"/>
      <c r="AY6637" s="331"/>
      <c r="AZ6637" s="331"/>
      <c r="BA6637" s="331"/>
      <c r="BB6637" s="331"/>
      <c r="BC6637" s="331"/>
      <c r="BD6637" s="331"/>
      <c r="BE6637" s="333"/>
      <c r="BF6637" s="330"/>
      <c r="BG6637" s="333"/>
      <c r="BH6637" s="1119"/>
      <c r="BI6637" s="319"/>
      <c r="BJ6637" s="319"/>
      <c r="BK6637" s="319"/>
      <c r="BL6637" s="319"/>
      <c r="BM6637" s="319"/>
      <c r="BN6637" s="319"/>
      <c r="BO6637" s="319"/>
      <c r="BP6637" s="953"/>
      <c r="BQ6637" s="319"/>
      <c r="BR6637" s="319"/>
      <c r="BS6637" s="330"/>
      <c r="BT6637" s="331"/>
      <c r="BU6637" s="920"/>
      <c r="BV6637" s="903"/>
      <c r="BW6637" s="908"/>
      <c r="BX6637" s="908"/>
      <c r="BY6637" s="331"/>
      <c r="BZ6637" s="331"/>
      <c r="CA6637" s="462"/>
      <c r="CB6637" s="319"/>
      <c r="CC6637" s="319"/>
      <c r="CD6637" s="319"/>
      <c r="CE6637" s="319"/>
      <c r="CF6637" s="319"/>
      <c r="CG6637" s="319"/>
      <c r="CH6637" s="318"/>
      <c r="CI6637" s="319"/>
      <c r="CJ6637" s="319"/>
      <c r="CK6637" s="342"/>
      <c r="CL6637" s="333"/>
      <c r="CM6637" s="1079"/>
      <c r="CN6637" s="1005"/>
      <c r="CO6637" s="1005"/>
      <c r="CP6637" s="1005"/>
    </row>
    <row r="6638">
      <c r="A6638" s="1257"/>
      <c r="B6638" s="1113"/>
      <c r="C6638" s="1107"/>
      <c r="D6638" s="103"/>
      <c r="E6638" s="1137"/>
      <c r="F6638" s="112"/>
      <c r="G6638" s="1110"/>
      <c r="H6638" s="1138"/>
      <c r="I6638" s="1138"/>
      <c r="J6638" s="1139"/>
      <c r="K6638" s="1111"/>
      <c r="L6638" s="1112"/>
      <c r="M6638" s="1113"/>
      <c r="N6638" s="110"/>
      <c r="O6638" s="1140"/>
      <c r="P6638" s="1115"/>
      <c r="Q6638" s="1116"/>
      <c r="R6638" s="1141"/>
      <c r="S6638" s="1113"/>
      <c r="T6638" s="1143"/>
      <c r="U6638" s="1108"/>
      <c r="V6638" s="1108"/>
      <c r="W6638" s="1108"/>
      <c r="X6638" s="1108"/>
      <c r="Y6638" s="1108"/>
      <c r="Z6638" s="1114"/>
      <c r="AA6638" s="1114"/>
      <c r="AB6638" s="1114"/>
      <c r="AC6638" s="1117"/>
      <c r="AD6638" s="1115"/>
      <c r="AE6638" s="1115"/>
      <c r="AF6638" s="1115"/>
      <c r="AG6638" s="1115"/>
      <c r="AH6638" s="1115"/>
      <c r="AI6638" s="1115"/>
      <c r="AJ6638" s="1117"/>
      <c r="AK6638" s="1118"/>
      <c r="AL6638" s="1115"/>
      <c r="AM6638" s="1115"/>
      <c r="AN6638" s="1115"/>
      <c r="AO6638" s="1115"/>
      <c r="AP6638" s="1115"/>
      <c r="AQ6638" s="1115"/>
      <c r="AR6638" s="1115"/>
      <c r="AS6638" s="1117"/>
      <c r="AT6638" s="1075"/>
      <c r="AU6638" s="1193"/>
      <c r="AV6638" s="330"/>
      <c r="AW6638" s="331"/>
      <c r="AX6638" s="331"/>
      <c r="AY6638" s="331"/>
      <c r="AZ6638" s="331"/>
      <c r="BA6638" s="331"/>
      <c r="BB6638" s="331"/>
      <c r="BC6638" s="331"/>
      <c r="BD6638" s="331"/>
      <c r="BE6638" s="333"/>
      <c r="BF6638" s="330"/>
      <c r="BG6638" s="333"/>
      <c r="BH6638" s="1119"/>
      <c r="BI6638" s="319"/>
      <c r="BJ6638" s="319"/>
      <c r="BK6638" s="319"/>
      <c r="BL6638" s="319"/>
      <c r="BM6638" s="319"/>
      <c r="BN6638" s="319"/>
      <c r="BO6638" s="319"/>
      <c r="BP6638" s="953"/>
      <c r="BQ6638" s="319"/>
      <c r="BR6638" s="319"/>
      <c r="BS6638" s="330"/>
      <c r="BT6638" s="331"/>
      <c r="BU6638" s="920"/>
      <c r="BV6638" s="903"/>
      <c r="BW6638" s="908"/>
      <c r="BX6638" s="908"/>
      <c r="BY6638" s="331"/>
      <c r="BZ6638" s="331"/>
      <c r="CA6638" s="462"/>
      <c r="CB6638" s="319"/>
      <c r="CC6638" s="319"/>
      <c r="CD6638" s="319"/>
      <c r="CE6638" s="319"/>
      <c r="CF6638" s="319"/>
      <c r="CG6638" s="319"/>
      <c r="CH6638" s="318"/>
      <c r="CI6638" s="319"/>
      <c r="CJ6638" s="319"/>
      <c r="CK6638" s="342"/>
      <c r="CL6638" s="333"/>
      <c r="CM6638" s="1079"/>
      <c r="CN6638" s="1005"/>
      <c r="CO6638" s="1005"/>
      <c r="CP6638" s="1005"/>
    </row>
    <row r="6639">
      <c r="A6639" s="1257"/>
      <c r="B6639" s="1113"/>
      <c r="C6639" s="1107"/>
      <c r="D6639" s="103"/>
      <c r="E6639" s="1137"/>
      <c r="F6639" s="112"/>
      <c r="G6639" s="1110"/>
      <c r="H6639" s="1138"/>
      <c r="I6639" s="1138"/>
      <c r="J6639" s="1139"/>
      <c r="K6639" s="1111"/>
      <c r="L6639" s="1112"/>
      <c r="M6639" s="1113"/>
      <c r="N6639" s="110"/>
      <c r="O6639" s="1140"/>
      <c r="P6639" s="1115"/>
      <c r="Q6639" s="1116"/>
      <c r="R6639" s="1141"/>
      <c r="S6639" s="1113"/>
      <c r="T6639" s="1143"/>
      <c r="U6639" s="1108"/>
      <c r="V6639" s="1108"/>
      <c r="W6639" s="1108"/>
      <c r="X6639" s="1108"/>
      <c r="Y6639" s="1108"/>
      <c r="Z6639" s="1114"/>
      <c r="AA6639" s="1114"/>
      <c r="AB6639" s="1114"/>
      <c r="AC6639" s="1117"/>
      <c r="AD6639" s="1115"/>
      <c r="AE6639" s="1115"/>
      <c r="AF6639" s="1115"/>
      <c r="AG6639" s="1115"/>
      <c r="AH6639" s="1115"/>
      <c r="AI6639" s="1115"/>
      <c r="AJ6639" s="1117"/>
      <c r="AK6639" s="1118"/>
      <c r="AL6639" s="1115"/>
      <c r="AM6639" s="1115"/>
      <c r="AN6639" s="1115"/>
      <c r="AO6639" s="1115"/>
      <c r="AP6639" s="1115"/>
      <c r="AQ6639" s="1115"/>
      <c r="AR6639" s="1115"/>
      <c r="AS6639" s="1117"/>
      <c r="AT6639" s="1075"/>
      <c r="AU6639" s="1193"/>
      <c r="AV6639" s="330"/>
      <c r="AW6639" s="331"/>
      <c r="AX6639" s="331"/>
      <c r="AY6639" s="331"/>
      <c r="AZ6639" s="331"/>
      <c r="BA6639" s="331"/>
      <c r="BB6639" s="331"/>
      <c r="BC6639" s="331"/>
      <c r="BD6639" s="331"/>
      <c r="BE6639" s="333"/>
      <c r="BF6639" s="330"/>
      <c r="BG6639" s="333"/>
      <c r="BH6639" s="1119"/>
      <c r="BI6639" s="319"/>
      <c r="BJ6639" s="319"/>
      <c r="BK6639" s="319"/>
      <c r="BL6639" s="319"/>
      <c r="BM6639" s="319"/>
      <c r="BN6639" s="319"/>
      <c r="BO6639" s="319"/>
      <c r="BP6639" s="953"/>
      <c r="BQ6639" s="319"/>
      <c r="BR6639" s="319"/>
      <c r="BS6639" s="330"/>
      <c r="BT6639" s="331"/>
      <c r="BU6639" s="920"/>
      <c r="BV6639" s="903"/>
      <c r="BW6639" s="908"/>
      <c r="BX6639" s="908"/>
      <c r="BY6639" s="331"/>
      <c r="BZ6639" s="331"/>
      <c r="CA6639" s="462"/>
      <c r="CB6639" s="319"/>
      <c r="CC6639" s="319"/>
      <c r="CD6639" s="319"/>
      <c r="CE6639" s="319"/>
      <c r="CF6639" s="319"/>
      <c r="CG6639" s="319"/>
      <c r="CH6639" s="318"/>
      <c r="CI6639" s="319"/>
      <c r="CJ6639" s="319"/>
      <c r="CK6639" s="342"/>
      <c r="CL6639" s="333"/>
      <c r="CM6639" s="1079"/>
      <c r="CN6639" s="1005"/>
      <c r="CO6639" s="1005"/>
      <c r="CP6639" s="1005"/>
    </row>
    <row r="6640">
      <c r="A6640" s="1257"/>
      <c r="B6640" s="1113"/>
      <c r="C6640" s="1107"/>
      <c r="D6640" s="103"/>
      <c r="E6640" s="1137"/>
      <c r="F6640" s="112"/>
      <c r="G6640" s="1110"/>
      <c r="H6640" s="1138"/>
      <c r="I6640" s="1138"/>
      <c r="J6640" s="1139"/>
      <c r="K6640" s="1111"/>
      <c r="L6640" s="1112"/>
      <c r="M6640" s="1113"/>
      <c r="N6640" s="110"/>
      <c r="O6640" s="1140"/>
      <c r="P6640" s="1115"/>
      <c r="Q6640" s="1116"/>
      <c r="R6640" s="1141"/>
      <c r="S6640" s="1113"/>
      <c r="T6640" s="1143"/>
      <c r="U6640" s="1108"/>
      <c r="V6640" s="1108"/>
      <c r="W6640" s="1108"/>
      <c r="X6640" s="1108"/>
      <c r="Y6640" s="1108"/>
      <c r="Z6640" s="1114"/>
      <c r="AA6640" s="1114"/>
      <c r="AB6640" s="1114"/>
      <c r="AC6640" s="1117"/>
      <c r="AD6640" s="1115"/>
      <c r="AE6640" s="1115"/>
      <c r="AF6640" s="1115"/>
      <c r="AG6640" s="1115"/>
      <c r="AH6640" s="1115"/>
      <c r="AI6640" s="1115"/>
      <c r="AJ6640" s="1117"/>
      <c r="AK6640" s="1118"/>
      <c r="AL6640" s="1115"/>
      <c r="AM6640" s="1115"/>
      <c r="AN6640" s="1115"/>
      <c r="AO6640" s="1115"/>
      <c r="AP6640" s="1115"/>
      <c r="AQ6640" s="1115"/>
      <c r="AR6640" s="1115"/>
      <c r="AS6640" s="1117"/>
      <c r="AT6640" s="1075"/>
      <c r="AU6640" s="1193"/>
      <c r="AV6640" s="330"/>
      <c r="AW6640" s="331"/>
      <c r="AX6640" s="331"/>
      <c r="AY6640" s="331"/>
      <c r="AZ6640" s="331"/>
      <c r="BA6640" s="331"/>
      <c r="BB6640" s="331"/>
      <c r="BC6640" s="331"/>
      <c r="BD6640" s="331"/>
      <c r="BE6640" s="333"/>
      <c r="BF6640" s="330"/>
      <c r="BG6640" s="333"/>
      <c r="BH6640" s="1119"/>
      <c r="BI6640" s="319"/>
      <c r="BJ6640" s="319"/>
      <c r="BK6640" s="319"/>
      <c r="BL6640" s="319"/>
      <c r="BM6640" s="319"/>
      <c r="BN6640" s="319"/>
      <c r="BO6640" s="319"/>
      <c r="BP6640" s="953"/>
      <c r="BQ6640" s="319"/>
      <c r="BR6640" s="319"/>
      <c r="BS6640" s="330"/>
      <c r="BT6640" s="331"/>
      <c r="BU6640" s="920"/>
      <c r="BV6640" s="903"/>
      <c r="BW6640" s="908"/>
      <c r="BX6640" s="908"/>
      <c r="BY6640" s="331"/>
      <c r="BZ6640" s="331"/>
      <c r="CA6640" s="462"/>
      <c r="CB6640" s="319"/>
      <c r="CC6640" s="319"/>
      <c r="CD6640" s="319"/>
      <c r="CE6640" s="319"/>
      <c r="CF6640" s="319"/>
      <c r="CG6640" s="319"/>
      <c r="CH6640" s="318"/>
      <c r="CI6640" s="319"/>
      <c r="CJ6640" s="319"/>
      <c r="CK6640" s="342"/>
      <c r="CL6640" s="333"/>
      <c r="CM6640" s="1079"/>
      <c r="CN6640" s="1005"/>
      <c r="CO6640" s="1005"/>
      <c r="CP6640" s="1005"/>
    </row>
    <row r="6641">
      <c r="A6641" s="1257"/>
      <c r="B6641" s="1113"/>
      <c r="C6641" s="1107"/>
      <c r="D6641" s="103"/>
      <c r="E6641" s="1137"/>
      <c r="F6641" s="112"/>
      <c r="G6641" s="1110"/>
      <c r="H6641" s="1138"/>
      <c r="I6641" s="1138"/>
      <c r="J6641" s="1139"/>
      <c r="K6641" s="1111"/>
      <c r="L6641" s="1112"/>
      <c r="M6641" s="1113"/>
      <c r="N6641" s="110"/>
      <c r="O6641" s="1140"/>
      <c r="P6641" s="1115"/>
      <c r="Q6641" s="1116"/>
      <c r="R6641" s="1141"/>
      <c r="S6641" s="1113"/>
      <c r="T6641" s="1143"/>
      <c r="U6641" s="1108"/>
      <c r="V6641" s="1108"/>
      <c r="W6641" s="1108"/>
      <c r="X6641" s="1108"/>
      <c r="Y6641" s="1108"/>
      <c r="Z6641" s="1114"/>
      <c r="AA6641" s="1114"/>
      <c r="AB6641" s="1114"/>
      <c r="AC6641" s="1117"/>
      <c r="AD6641" s="1115"/>
      <c r="AE6641" s="1115"/>
      <c r="AF6641" s="1115"/>
      <c r="AG6641" s="1115"/>
      <c r="AH6641" s="1115"/>
      <c r="AI6641" s="1115"/>
      <c r="AJ6641" s="1117"/>
      <c r="AK6641" s="1118"/>
      <c r="AL6641" s="1115"/>
      <c r="AM6641" s="1115"/>
      <c r="AN6641" s="1115"/>
      <c r="AO6641" s="1115"/>
      <c r="AP6641" s="1115"/>
      <c r="AQ6641" s="1115"/>
      <c r="AR6641" s="1115"/>
      <c r="AS6641" s="1117"/>
      <c r="AT6641" s="1075"/>
      <c r="AU6641" s="1193"/>
      <c r="AV6641" s="330"/>
      <c r="AW6641" s="331"/>
      <c r="AX6641" s="331"/>
      <c r="AY6641" s="331"/>
      <c r="AZ6641" s="331"/>
      <c r="BA6641" s="331"/>
      <c r="BB6641" s="331"/>
      <c r="BC6641" s="331"/>
      <c r="BD6641" s="331"/>
      <c r="BE6641" s="333"/>
      <c r="BF6641" s="330"/>
      <c r="BG6641" s="333"/>
      <c r="BH6641" s="1119"/>
      <c r="BI6641" s="319"/>
      <c r="BJ6641" s="319"/>
      <c r="BK6641" s="319"/>
      <c r="BL6641" s="319"/>
      <c r="BM6641" s="319"/>
      <c r="BN6641" s="319"/>
      <c r="BO6641" s="319"/>
      <c r="BP6641" s="953"/>
      <c r="BQ6641" s="319"/>
      <c r="BR6641" s="319"/>
      <c r="BS6641" s="330"/>
      <c r="BT6641" s="331"/>
      <c r="BU6641" s="920"/>
      <c r="BV6641" s="903"/>
      <c r="BW6641" s="908"/>
      <c r="BX6641" s="908"/>
      <c r="BY6641" s="331"/>
      <c r="BZ6641" s="331"/>
      <c r="CA6641" s="462"/>
      <c r="CB6641" s="319"/>
      <c r="CC6641" s="319"/>
      <c r="CD6641" s="319"/>
      <c r="CE6641" s="319"/>
      <c r="CF6641" s="319"/>
      <c r="CG6641" s="319"/>
      <c r="CH6641" s="318"/>
      <c r="CI6641" s="319"/>
      <c r="CJ6641" s="319"/>
      <c r="CK6641" s="342"/>
      <c r="CL6641" s="333"/>
      <c r="CM6641" s="1079"/>
      <c r="CN6641" s="1005"/>
      <c r="CO6641" s="1005"/>
      <c r="CP6641" s="1005"/>
    </row>
    <row r="6642">
      <c r="A6642" s="1257"/>
      <c r="B6642" s="1113"/>
      <c r="C6642" s="1107"/>
      <c r="D6642" s="103"/>
      <c r="E6642" s="1137"/>
      <c r="F6642" s="112"/>
      <c r="G6642" s="1110"/>
      <c r="H6642" s="1138"/>
      <c r="I6642" s="1138"/>
      <c r="J6642" s="1139"/>
      <c r="K6642" s="1111"/>
      <c r="L6642" s="1112"/>
      <c r="M6642" s="1113"/>
      <c r="N6642" s="110"/>
      <c r="O6642" s="1140"/>
      <c r="P6642" s="1115"/>
      <c r="Q6642" s="1116"/>
      <c r="R6642" s="1141"/>
      <c r="S6642" s="1113"/>
      <c r="T6642" s="1143"/>
      <c r="U6642" s="1108"/>
      <c r="V6642" s="1108"/>
      <c r="W6642" s="1108"/>
      <c r="X6642" s="1108"/>
      <c r="Y6642" s="1108"/>
      <c r="Z6642" s="1114"/>
      <c r="AA6642" s="1114"/>
      <c r="AB6642" s="1114"/>
      <c r="AC6642" s="1117"/>
      <c r="AD6642" s="1115"/>
      <c r="AE6642" s="1115"/>
      <c r="AF6642" s="1115"/>
      <c r="AG6642" s="1115"/>
      <c r="AH6642" s="1115"/>
      <c r="AI6642" s="1115"/>
      <c r="AJ6642" s="1117"/>
      <c r="AK6642" s="1118"/>
      <c r="AL6642" s="1115"/>
      <c r="AM6642" s="1115"/>
      <c r="AN6642" s="1115"/>
      <c r="AO6642" s="1115"/>
      <c r="AP6642" s="1115"/>
      <c r="AQ6642" s="1115"/>
      <c r="AR6642" s="1115"/>
      <c r="AS6642" s="1117"/>
      <c r="AT6642" s="1075"/>
      <c r="AU6642" s="1193"/>
      <c r="AV6642" s="330"/>
      <c r="AW6642" s="331"/>
      <c r="AX6642" s="331"/>
      <c r="AY6642" s="331"/>
      <c r="AZ6642" s="331"/>
      <c r="BA6642" s="331"/>
      <c r="BB6642" s="331"/>
      <c r="BC6642" s="331"/>
      <c r="BD6642" s="331"/>
      <c r="BE6642" s="333"/>
      <c r="BF6642" s="330"/>
      <c r="BG6642" s="333"/>
      <c r="BH6642" s="1119"/>
      <c r="BI6642" s="319"/>
      <c r="BJ6642" s="319"/>
      <c r="BK6642" s="319"/>
      <c r="BL6642" s="319"/>
      <c r="BM6642" s="319"/>
      <c r="BN6642" s="319"/>
      <c r="BO6642" s="319"/>
      <c r="BP6642" s="953"/>
      <c r="BQ6642" s="319"/>
      <c r="BR6642" s="319"/>
      <c r="BS6642" s="330"/>
      <c r="BT6642" s="331"/>
      <c r="BU6642" s="920"/>
      <c r="BV6642" s="903"/>
      <c r="BW6642" s="908"/>
      <c r="BX6642" s="908"/>
      <c r="BY6642" s="331"/>
      <c r="BZ6642" s="331"/>
      <c r="CA6642" s="462"/>
      <c r="CB6642" s="319"/>
      <c r="CC6642" s="319"/>
      <c r="CD6642" s="319"/>
      <c r="CE6642" s="319"/>
      <c r="CF6642" s="319"/>
      <c r="CG6642" s="319"/>
      <c r="CH6642" s="318"/>
      <c r="CI6642" s="319"/>
      <c r="CJ6642" s="319"/>
      <c r="CK6642" s="342"/>
      <c r="CL6642" s="333"/>
      <c r="CM6642" s="1079"/>
      <c r="CN6642" s="1005"/>
      <c r="CO6642" s="1005"/>
      <c r="CP6642" s="1005"/>
    </row>
    <row r="6643">
      <c r="A6643" s="1257"/>
      <c r="B6643" s="1113"/>
      <c r="C6643" s="1107"/>
      <c r="D6643" s="103"/>
      <c r="E6643" s="1137"/>
      <c r="F6643" s="112"/>
      <c r="G6643" s="1110"/>
      <c r="H6643" s="1138"/>
      <c r="I6643" s="1138"/>
      <c r="J6643" s="1139"/>
      <c r="K6643" s="1111"/>
      <c r="L6643" s="1112"/>
      <c r="M6643" s="1113"/>
      <c r="N6643" s="110"/>
      <c r="O6643" s="1140"/>
      <c r="P6643" s="1115"/>
      <c r="Q6643" s="1116"/>
      <c r="R6643" s="1141"/>
      <c r="S6643" s="1113"/>
      <c r="T6643" s="1143"/>
      <c r="U6643" s="1108"/>
      <c r="V6643" s="1108"/>
      <c r="W6643" s="1108"/>
      <c r="X6643" s="1108"/>
      <c r="Y6643" s="1108"/>
      <c r="Z6643" s="1114"/>
      <c r="AA6643" s="1114"/>
      <c r="AB6643" s="1114"/>
      <c r="AC6643" s="1117"/>
      <c r="AD6643" s="1115"/>
      <c r="AE6643" s="1115"/>
      <c r="AF6643" s="1115"/>
      <c r="AG6643" s="1115"/>
      <c r="AH6643" s="1115"/>
      <c r="AI6643" s="1115"/>
      <c r="AJ6643" s="1117"/>
      <c r="AK6643" s="1118"/>
      <c r="AL6643" s="1115"/>
      <c r="AM6643" s="1115"/>
      <c r="AN6643" s="1115"/>
      <c r="AO6643" s="1115"/>
      <c r="AP6643" s="1115"/>
      <c r="AQ6643" s="1115"/>
      <c r="AR6643" s="1115"/>
      <c r="AS6643" s="1117"/>
      <c r="AT6643" s="1075"/>
      <c r="AU6643" s="1193"/>
      <c r="AV6643" s="330"/>
      <c r="AW6643" s="331"/>
      <c r="AX6643" s="331"/>
      <c r="AY6643" s="331"/>
      <c r="AZ6643" s="331"/>
      <c r="BA6643" s="331"/>
      <c r="BB6643" s="331"/>
      <c r="BC6643" s="331"/>
      <c r="BD6643" s="331"/>
      <c r="BE6643" s="333"/>
      <c r="BF6643" s="330"/>
      <c r="BG6643" s="333"/>
      <c r="BH6643" s="1119"/>
      <c r="BI6643" s="319"/>
      <c r="BJ6643" s="319"/>
      <c r="BK6643" s="319"/>
      <c r="BL6643" s="319"/>
      <c r="BM6643" s="319"/>
      <c r="BN6643" s="319"/>
      <c r="BO6643" s="319"/>
      <c r="BP6643" s="953"/>
      <c r="BQ6643" s="319"/>
      <c r="BR6643" s="319"/>
      <c r="BS6643" s="330"/>
      <c r="BT6643" s="331"/>
      <c r="BU6643" s="920"/>
      <c r="BV6643" s="903"/>
      <c r="BW6643" s="908"/>
      <c r="BX6643" s="908"/>
      <c r="BY6643" s="331"/>
      <c r="BZ6643" s="331"/>
      <c r="CA6643" s="462"/>
      <c r="CB6643" s="319"/>
      <c r="CC6643" s="319"/>
      <c r="CD6643" s="319"/>
      <c r="CE6643" s="319"/>
      <c r="CF6643" s="319"/>
      <c r="CG6643" s="319"/>
      <c r="CH6643" s="318"/>
      <c r="CI6643" s="319"/>
      <c r="CJ6643" s="319"/>
      <c r="CK6643" s="342"/>
      <c r="CL6643" s="333"/>
      <c r="CM6643" s="1079"/>
      <c r="CN6643" s="1005"/>
      <c r="CO6643" s="1005"/>
      <c r="CP6643" s="1005"/>
    </row>
    <row r="6644">
      <c r="A6644" s="1257"/>
      <c r="B6644" s="1113"/>
      <c r="C6644" s="1107"/>
      <c r="D6644" s="103"/>
      <c r="E6644" s="1137"/>
      <c r="F6644" s="112"/>
      <c r="G6644" s="1110"/>
      <c r="H6644" s="1138"/>
      <c r="I6644" s="1138"/>
      <c r="J6644" s="1139"/>
      <c r="K6644" s="1111"/>
      <c r="L6644" s="1112"/>
      <c r="M6644" s="1113"/>
      <c r="N6644" s="110"/>
      <c r="O6644" s="1140"/>
      <c r="P6644" s="1115"/>
      <c r="Q6644" s="1116"/>
      <c r="R6644" s="1141"/>
      <c r="S6644" s="1113"/>
      <c r="T6644" s="1143"/>
      <c r="U6644" s="1108"/>
      <c r="V6644" s="1108"/>
      <c r="W6644" s="1108"/>
      <c r="X6644" s="1108"/>
      <c r="Y6644" s="1108"/>
      <c r="Z6644" s="1114"/>
      <c r="AA6644" s="1114"/>
      <c r="AB6644" s="1114"/>
      <c r="AC6644" s="1117"/>
      <c r="AD6644" s="1115"/>
      <c r="AE6644" s="1115"/>
      <c r="AF6644" s="1115"/>
      <c r="AG6644" s="1115"/>
      <c r="AH6644" s="1115"/>
      <c r="AI6644" s="1115"/>
      <c r="AJ6644" s="1117"/>
      <c r="AK6644" s="1118"/>
      <c r="AL6644" s="1115"/>
      <c r="AM6644" s="1115"/>
      <c r="AN6644" s="1115"/>
      <c r="AO6644" s="1115"/>
      <c r="AP6644" s="1115"/>
      <c r="AQ6644" s="1115"/>
      <c r="AR6644" s="1115"/>
      <c r="AS6644" s="1117"/>
      <c r="AT6644" s="1075"/>
      <c r="AU6644" s="1193"/>
      <c r="AV6644" s="330"/>
      <c r="AW6644" s="331"/>
      <c r="AX6644" s="331"/>
      <c r="AY6644" s="331"/>
      <c r="AZ6644" s="331"/>
      <c r="BA6644" s="331"/>
      <c r="BB6644" s="331"/>
      <c r="BC6644" s="331"/>
      <c r="BD6644" s="331"/>
      <c r="BE6644" s="333"/>
      <c r="BF6644" s="330"/>
      <c r="BG6644" s="333"/>
      <c r="BH6644" s="1119"/>
      <c r="BI6644" s="319"/>
      <c r="BJ6644" s="319"/>
      <c r="BK6644" s="319"/>
      <c r="BL6644" s="319"/>
      <c r="BM6644" s="319"/>
      <c r="BN6644" s="319"/>
      <c r="BO6644" s="319"/>
      <c r="BP6644" s="953"/>
      <c r="BQ6644" s="319"/>
      <c r="BR6644" s="319"/>
      <c r="BS6644" s="330"/>
      <c r="BT6644" s="331"/>
      <c r="BU6644" s="920"/>
      <c r="BV6644" s="903"/>
      <c r="BW6644" s="908"/>
      <c r="BX6644" s="908"/>
      <c r="BY6644" s="331"/>
      <c r="BZ6644" s="331"/>
      <c r="CA6644" s="462"/>
      <c r="CB6644" s="319"/>
      <c r="CC6644" s="319"/>
      <c r="CD6644" s="319"/>
      <c r="CE6644" s="319"/>
      <c r="CF6644" s="319"/>
      <c r="CG6644" s="319"/>
      <c r="CH6644" s="318"/>
      <c r="CI6644" s="319"/>
      <c r="CJ6644" s="319"/>
      <c r="CK6644" s="342"/>
      <c r="CL6644" s="333"/>
      <c r="CM6644" s="1079"/>
      <c r="CN6644" s="1005"/>
      <c r="CO6644" s="1005"/>
      <c r="CP6644" s="1005"/>
    </row>
    <row r="6645">
      <c r="A6645" s="1257"/>
      <c r="B6645" s="1113"/>
      <c r="C6645" s="1107"/>
      <c r="D6645" s="103"/>
      <c r="E6645" s="1137"/>
      <c r="F6645" s="112"/>
      <c r="G6645" s="1110"/>
      <c r="H6645" s="1138"/>
      <c r="I6645" s="1138"/>
      <c r="J6645" s="1139"/>
      <c r="K6645" s="1111"/>
      <c r="L6645" s="1112"/>
      <c r="M6645" s="1113"/>
      <c r="N6645" s="110"/>
      <c r="O6645" s="1140"/>
      <c r="P6645" s="1115"/>
      <c r="Q6645" s="1116"/>
      <c r="R6645" s="1141"/>
      <c r="S6645" s="1113"/>
      <c r="T6645" s="1143"/>
      <c r="U6645" s="1108"/>
      <c r="V6645" s="1108"/>
      <c r="W6645" s="1108"/>
      <c r="X6645" s="1108"/>
      <c r="Y6645" s="1108"/>
      <c r="Z6645" s="1114"/>
      <c r="AA6645" s="1114"/>
      <c r="AB6645" s="1114"/>
      <c r="AC6645" s="1117"/>
      <c r="AD6645" s="1115"/>
      <c r="AE6645" s="1115"/>
      <c r="AF6645" s="1115"/>
      <c r="AG6645" s="1115"/>
      <c r="AH6645" s="1115"/>
      <c r="AI6645" s="1115"/>
      <c r="AJ6645" s="1117"/>
      <c r="AK6645" s="1118"/>
      <c r="AL6645" s="1115"/>
      <c r="AM6645" s="1115"/>
      <c r="AN6645" s="1115"/>
      <c r="AO6645" s="1115"/>
      <c r="AP6645" s="1115"/>
      <c r="AQ6645" s="1115"/>
      <c r="AR6645" s="1115"/>
      <c r="AS6645" s="1117"/>
      <c r="AT6645" s="1075"/>
      <c r="AU6645" s="1193"/>
      <c r="AV6645" s="330"/>
      <c r="AW6645" s="331"/>
      <c r="AX6645" s="331"/>
      <c r="AY6645" s="331"/>
      <c r="AZ6645" s="331"/>
      <c r="BA6645" s="331"/>
      <c r="BB6645" s="331"/>
      <c r="BC6645" s="331"/>
      <c r="BD6645" s="331"/>
      <c r="BE6645" s="333"/>
      <c r="BF6645" s="330"/>
      <c r="BG6645" s="333"/>
      <c r="BH6645" s="1119"/>
      <c r="BI6645" s="319"/>
      <c r="BJ6645" s="319"/>
      <c r="BK6645" s="319"/>
      <c r="BL6645" s="319"/>
      <c r="BM6645" s="319"/>
      <c r="BN6645" s="319"/>
      <c r="BO6645" s="319"/>
      <c r="BP6645" s="953"/>
      <c r="BQ6645" s="319"/>
      <c r="BR6645" s="319"/>
      <c r="BS6645" s="330"/>
      <c r="BT6645" s="331"/>
      <c r="BU6645" s="920"/>
      <c r="BV6645" s="903"/>
      <c r="BW6645" s="908"/>
      <c r="BX6645" s="908"/>
      <c r="BY6645" s="331"/>
      <c r="BZ6645" s="331"/>
      <c r="CA6645" s="462"/>
      <c r="CB6645" s="319"/>
      <c r="CC6645" s="319"/>
      <c r="CD6645" s="319"/>
      <c r="CE6645" s="319"/>
      <c r="CF6645" s="319"/>
      <c r="CG6645" s="319"/>
      <c r="CH6645" s="318"/>
      <c r="CI6645" s="319"/>
      <c r="CJ6645" s="319"/>
      <c r="CK6645" s="342"/>
      <c r="CL6645" s="333"/>
      <c r="CM6645" s="1079"/>
      <c r="CN6645" s="1005"/>
      <c r="CO6645" s="1005"/>
      <c r="CP6645" s="1005"/>
    </row>
    <row r="6646">
      <c r="A6646" s="1257"/>
      <c r="B6646" s="1113"/>
      <c r="C6646" s="1107"/>
      <c r="D6646" s="103"/>
      <c r="E6646" s="1137"/>
      <c r="F6646" s="112"/>
      <c r="G6646" s="1110"/>
      <c r="H6646" s="1138"/>
      <c r="I6646" s="1138"/>
      <c r="J6646" s="1139"/>
      <c r="K6646" s="1111"/>
      <c r="L6646" s="1112"/>
      <c r="M6646" s="1113"/>
      <c r="N6646" s="110"/>
      <c r="O6646" s="1140"/>
      <c r="P6646" s="1115"/>
      <c r="Q6646" s="1116"/>
      <c r="R6646" s="1141"/>
      <c r="S6646" s="1113"/>
      <c r="T6646" s="1143"/>
      <c r="U6646" s="1108"/>
      <c r="V6646" s="1108"/>
      <c r="W6646" s="1108"/>
      <c r="X6646" s="1108"/>
      <c r="Y6646" s="1108"/>
      <c r="Z6646" s="1114"/>
      <c r="AA6646" s="1114"/>
      <c r="AB6646" s="1114"/>
      <c r="AC6646" s="1117"/>
      <c r="AD6646" s="1115"/>
      <c r="AE6646" s="1115"/>
      <c r="AF6646" s="1115"/>
      <c r="AG6646" s="1115"/>
      <c r="AH6646" s="1115"/>
      <c r="AI6646" s="1115"/>
      <c r="AJ6646" s="1117"/>
      <c r="AK6646" s="1118"/>
      <c r="AL6646" s="1115"/>
      <c r="AM6646" s="1115"/>
      <c r="AN6646" s="1115"/>
      <c r="AO6646" s="1115"/>
      <c r="AP6646" s="1115"/>
      <c r="AQ6646" s="1115"/>
      <c r="AR6646" s="1115"/>
      <c r="AS6646" s="1117"/>
      <c r="AT6646" s="1075"/>
      <c r="AU6646" s="1193"/>
      <c r="AV6646" s="330"/>
      <c r="AW6646" s="331"/>
      <c r="AX6646" s="331"/>
      <c r="AY6646" s="331"/>
      <c r="AZ6646" s="331"/>
      <c r="BA6646" s="331"/>
      <c r="BB6646" s="331"/>
      <c r="BC6646" s="331"/>
      <c r="BD6646" s="331"/>
      <c r="BE6646" s="333"/>
      <c r="BF6646" s="330"/>
      <c r="BG6646" s="333"/>
      <c r="BH6646" s="1119"/>
      <c r="BI6646" s="319"/>
      <c r="BJ6646" s="319"/>
      <c r="BK6646" s="319"/>
      <c r="BL6646" s="319"/>
      <c r="BM6646" s="319"/>
      <c r="BN6646" s="319"/>
      <c r="BO6646" s="319"/>
      <c r="BP6646" s="953"/>
      <c r="BQ6646" s="319"/>
      <c r="BR6646" s="319"/>
      <c r="BS6646" s="330"/>
      <c r="BT6646" s="331"/>
      <c r="BU6646" s="920"/>
      <c r="BV6646" s="903"/>
      <c r="BW6646" s="908"/>
      <c r="BX6646" s="908"/>
      <c r="BY6646" s="331"/>
      <c r="BZ6646" s="331"/>
      <c r="CA6646" s="462"/>
      <c r="CB6646" s="319"/>
      <c r="CC6646" s="319"/>
      <c r="CD6646" s="319"/>
      <c r="CE6646" s="319"/>
      <c r="CF6646" s="319"/>
      <c r="CG6646" s="319"/>
      <c r="CH6646" s="318"/>
      <c r="CI6646" s="319"/>
      <c r="CJ6646" s="319"/>
      <c r="CK6646" s="342"/>
      <c r="CL6646" s="333"/>
      <c r="CM6646" s="1079"/>
      <c r="CN6646" s="1005"/>
      <c r="CO6646" s="1005"/>
      <c r="CP6646" s="1005"/>
    </row>
    <row r="6647">
      <c r="A6647" s="1257"/>
      <c r="B6647" s="1113"/>
      <c r="C6647" s="1107"/>
      <c r="D6647" s="103"/>
      <c r="E6647" s="1137"/>
      <c r="F6647" s="112"/>
      <c r="G6647" s="1110"/>
      <c r="H6647" s="1138"/>
      <c r="I6647" s="1138"/>
      <c r="J6647" s="1139"/>
      <c r="K6647" s="1111"/>
      <c r="L6647" s="1112"/>
      <c r="M6647" s="1113"/>
      <c r="N6647" s="110"/>
      <c r="O6647" s="1140"/>
      <c r="P6647" s="1115"/>
      <c r="Q6647" s="1116"/>
      <c r="R6647" s="1141"/>
      <c r="S6647" s="1113"/>
      <c r="T6647" s="1143"/>
      <c r="U6647" s="1108"/>
      <c r="V6647" s="1108"/>
      <c r="W6647" s="1108"/>
      <c r="X6647" s="1108"/>
      <c r="Y6647" s="1108"/>
      <c r="Z6647" s="1114"/>
      <c r="AA6647" s="1114"/>
      <c r="AB6647" s="1114"/>
      <c r="AC6647" s="1117"/>
      <c r="AD6647" s="1115"/>
      <c r="AE6647" s="1115"/>
      <c r="AF6647" s="1115"/>
      <c r="AG6647" s="1115"/>
      <c r="AH6647" s="1115"/>
      <c r="AI6647" s="1115"/>
      <c r="AJ6647" s="1117"/>
      <c r="AK6647" s="1118"/>
      <c r="AL6647" s="1115"/>
      <c r="AM6647" s="1115"/>
      <c r="AN6647" s="1115"/>
      <c r="AO6647" s="1115"/>
      <c r="AP6647" s="1115"/>
      <c r="AQ6647" s="1115"/>
      <c r="AR6647" s="1115"/>
      <c r="AS6647" s="1117"/>
      <c r="AT6647" s="1075"/>
      <c r="AU6647" s="1193"/>
      <c r="AV6647" s="330"/>
      <c r="AW6647" s="331"/>
      <c r="AX6647" s="331"/>
      <c r="AY6647" s="331"/>
      <c r="AZ6647" s="331"/>
      <c r="BA6647" s="331"/>
      <c r="BB6647" s="331"/>
      <c r="BC6647" s="331"/>
      <c r="BD6647" s="331"/>
      <c r="BE6647" s="333"/>
      <c r="BF6647" s="330"/>
      <c r="BG6647" s="333"/>
      <c r="BH6647" s="1119"/>
      <c r="BI6647" s="319"/>
      <c r="BJ6647" s="319"/>
      <c r="BK6647" s="319"/>
      <c r="BL6647" s="319"/>
      <c r="BM6647" s="319"/>
      <c r="BN6647" s="319"/>
      <c r="BO6647" s="319"/>
      <c r="BP6647" s="953"/>
      <c r="BQ6647" s="319"/>
      <c r="BR6647" s="319"/>
      <c r="BS6647" s="330"/>
      <c r="BT6647" s="331"/>
      <c r="BU6647" s="920"/>
      <c r="BV6647" s="903"/>
      <c r="BW6647" s="908"/>
      <c r="BX6647" s="908"/>
      <c r="BY6647" s="331"/>
      <c r="BZ6647" s="331"/>
      <c r="CA6647" s="462"/>
      <c r="CB6647" s="319"/>
      <c r="CC6647" s="319"/>
      <c r="CD6647" s="319"/>
      <c r="CE6647" s="319"/>
      <c r="CF6647" s="319"/>
      <c r="CG6647" s="319"/>
      <c r="CH6647" s="318"/>
      <c r="CI6647" s="319"/>
      <c r="CJ6647" s="319"/>
      <c r="CK6647" s="342"/>
      <c r="CL6647" s="333"/>
      <c r="CM6647" s="1079"/>
      <c r="CN6647" s="1005"/>
      <c r="CO6647" s="1005"/>
      <c r="CP6647" s="1005"/>
    </row>
    <row r="6648">
      <c r="A6648" s="1257"/>
      <c r="B6648" s="1113"/>
      <c r="C6648" s="1107"/>
      <c r="D6648" s="103"/>
      <c r="E6648" s="1137"/>
      <c r="F6648" s="112"/>
      <c r="G6648" s="1110"/>
      <c r="H6648" s="1138"/>
      <c r="I6648" s="1138"/>
      <c r="J6648" s="1139"/>
      <c r="K6648" s="1111"/>
      <c r="L6648" s="1112"/>
      <c r="M6648" s="1113"/>
      <c r="N6648" s="110"/>
      <c r="O6648" s="1140"/>
      <c r="P6648" s="1115"/>
      <c r="Q6648" s="1116"/>
      <c r="R6648" s="1141"/>
      <c r="S6648" s="1113"/>
      <c r="T6648" s="1143"/>
      <c r="U6648" s="1108"/>
      <c r="V6648" s="1108"/>
      <c r="W6648" s="1108"/>
      <c r="X6648" s="1108"/>
      <c r="Y6648" s="1108"/>
      <c r="Z6648" s="1114"/>
      <c r="AA6648" s="1114"/>
      <c r="AB6648" s="1114"/>
      <c r="AC6648" s="1117"/>
      <c r="AD6648" s="1115"/>
      <c r="AE6648" s="1115"/>
      <c r="AF6648" s="1115"/>
      <c r="AG6648" s="1115"/>
      <c r="AH6648" s="1115"/>
      <c r="AI6648" s="1115"/>
      <c r="AJ6648" s="1117"/>
      <c r="AK6648" s="1118"/>
      <c r="AL6648" s="1115"/>
      <c r="AM6648" s="1115"/>
      <c r="AN6648" s="1115"/>
      <c r="AO6648" s="1115"/>
      <c r="AP6648" s="1115"/>
      <c r="AQ6648" s="1115"/>
      <c r="AR6648" s="1115"/>
      <c r="AS6648" s="1117"/>
      <c r="AT6648" s="1075"/>
      <c r="AU6648" s="1193"/>
      <c r="AV6648" s="330"/>
      <c r="AW6648" s="331"/>
      <c r="AX6648" s="331"/>
      <c r="AY6648" s="331"/>
      <c r="AZ6648" s="331"/>
      <c r="BA6648" s="331"/>
      <c r="BB6648" s="331"/>
      <c r="BC6648" s="331"/>
      <c r="BD6648" s="331"/>
      <c r="BE6648" s="333"/>
      <c r="BF6648" s="330"/>
      <c r="BG6648" s="333"/>
      <c r="BH6648" s="1119"/>
      <c r="BI6648" s="319"/>
      <c r="BJ6648" s="319"/>
      <c r="BK6648" s="319"/>
      <c r="BL6648" s="319"/>
      <c r="BM6648" s="319"/>
      <c r="BN6648" s="319"/>
      <c r="BO6648" s="319"/>
      <c r="BP6648" s="953"/>
      <c r="BQ6648" s="319"/>
      <c r="BR6648" s="319"/>
      <c r="BS6648" s="330"/>
      <c r="BT6648" s="331"/>
      <c r="BU6648" s="920"/>
      <c r="BV6648" s="903"/>
      <c r="BW6648" s="908"/>
      <c r="BX6648" s="908"/>
      <c r="BY6648" s="331"/>
      <c r="BZ6648" s="331"/>
      <c r="CA6648" s="462"/>
      <c r="CB6648" s="319"/>
      <c r="CC6648" s="319"/>
      <c r="CD6648" s="319"/>
      <c r="CE6648" s="319"/>
      <c r="CF6648" s="319"/>
      <c r="CG6648" s="319"/>
      <c r="CH6648" s="318"/>
      <c r="CI6648" s="319"/>
      <c r="CJ6648" s="319"/>
      <c r="CK6648" s="342"/>
      <c r="CL6648" s="333"/>
      <c r="CM6648" s="1079"/>
      <c r="CN6648" s="1005"/>
      <c r="CO6648" s="1005"/>
      <c r="CP6648" s="1005"/>
    </row>
    <row r="6649">
      <c r="A6649" s="1257"/>
      <c r="B6649" s="1113"/>
      <c r="C6649" s="1107"/>
      <c r="D6649" s="103"/>
      <c r="E6649" s="1137"/>
      <c r="F6649" s="112"/>
      <c r="G6649" s="1110"/>
      <c r="H6649" s="1138"/>
      <c r="I6649" s="1138"/>
      <c r="J6649" s="1139"/>
      <c r="K6649" s="1111"/>
      <c r="L6649" s="1112"/>
      <c r="M6649" s="1113"/>
      <c r="N6649" s="110"/>
      <c r="O6649" s="1140"/>
      <c r="P6649" s="1115"/>
      <c r="Q6649" s="1116"/>
      <c r="R6649" s="1141"/>
      <c r="S6649" s="1113"/>
      <c r="T6649" s="1143"/>
      <c r="U6649" s="1108"/>
      <c r="V6649" s="1108"/>
      <c r="W6649" s="1108"/>
      <c r="X6649" s="1108"/>
      <c r="Y6649" s="1108"/>
      <c r="Z6649" s="1114"/>
      <c r="AA6649" s="1114"/>
      <c r="AB6649" s="1114"/>
      <c r="AC6649" s="1117"/>
      <c r="AD6649" s="1115"/>
      <c r="AE6649" s="1115"/>
      <c r="AF6649" s="1115"/>
      <c r="AG6649" s="1115"/>
      <c r="AH6649" s="1115"/>
      <c r="AI6649" s="1115"/>
      <c r="AJ6649" s="1117"/>
      <c r="AK6649" s="1118"/>
      <c r="AL6649" s="1115"/>
      <c r="AM6649" s="1115"/>
      <c r="AN6649" s="1115"/>
      <c r="AO6649" s="1115"/>
      <c r="AP6649" s="1115"/>
      <c r="AQ6649" s="1115"/>
      <c r="AR6649" s="1115"/>
      <c r="AS6649" s="1117"/>
      <c r="AT6649" s="1075"/>
      <c r="AU6649" s="1193"/>
      <c r="AV6649" s="330"/>
      <c r="AW6649" s="331"/>
      <c r="AX6649" s="331"/>
      <c r="AY6649" s="331"/>
      <c r="AZ6649" s="331"/>
      <c r="BA6649" s="331"/>
      <c r="BB6649" s="331"/>
      <c r="BC6649" s="331"/>
      <c r="BD6649" s="331"/>
      <c r="BE6649" s="333"/>
      <c r="BF6649" s="330"/>
      <c r="BG6649" s="333"/>
      <c r="BH6649" s="1119"/>
      <c r="BI6649" s="319"/>
      <c r="BJ6649" s="319"/>
      <c r="BK6649" s="319"/>
      <c r="BL6649" s="319"/>
      <c r="BM6649" s="319"/>
      <c r="BN6649" s="319"/>
      <c r="BO6649" s="319"/>
      <c r="BP6649" s="953"/>
      <c r="BQ6649" s="319"/>
      <c r="BR6649" s="319"/>
      <c r="BS6649" s="330"/>
      <c r="BT6649" s="331"/>
      <c r="BU6649" s="920"/>
      <c r="BV6649" s="903"/>
      <c r="BW6649" s="908"/>
      <c r="BX6649" s="908"/>
      <c r="BY6649" s="331"/>
      <c r="BZ6649" s="331"/>
      <c r="CA6649" s="462"/>
      <c r="CB6649" s="319"/>
      <c r="CC6649" s="319"/>
      <c r="CD6649" s="319"/>
      <c r="CE6649" s="319"/>
      <c r="CF6649" s="319"/>
      <c r="CG6649" s="319"/>
      <c r="CH6649" s="318"/>
      <c r="CI6649" s="319"/>
      <c r="CJ6649" s="319"/>
      <c r="CK6649" s="342"/>
      <c r="CL6649" s="333"/>
      <c r="CM6649" s="1079"/>
      <c r="CN6649" s="1005"/>
      <c r="CO6649" s="1005"/>
      <c r="CP6649" s="1005"/>
    </row>
    <row r="6650">
      <c r="A6650" s="1257"/>
      <c r="B6650" s="1113"/>
      <c r="C6650" s="1107"/>
      <c r="D6650" s="103"/>
      <c r="E6650" s="1137"/>
      <c r="F6650" s="112"/>
      <c r="G6650" s="1110"/>
      <c r="H6650" s="1138"/>
      <c r="I6650" s="1138"/>
      <c r="J6650" s="1139"/>
      <c r="K6650" s="1111"/>
      <c r="L6650" s="1112"/>
      <c r="M6650" s="1113"/>
      <c r="N6650" s="110"/>
      <c r="O6650" s="1140"/>
      <c r="P6650" s="1115"/>
      <c r="Q6650" s="1116"/>
      <c r="R6650" s="1141"/>
      <c r="S6650" s="1113"/>
      <c r="T6650" s="1143"/>
      <c r="U6650" s="1108"/>
      <c r="V6650" s="1108"/>
      <c r="W6650" s="1108"/>
      <c r="X6650" s="1108"/>
      <c r="Y6650" s="1108"/>
      <c r="Z6650" s="1114"/>
      <c r="AA6650" s="1114"/>
      <c r="AB6650" s="1114"/>
      <c r="AC6650" s="1117"/>
      <c r="AD6650" s="1115"/>
      <c r="AE6650" s="1115"/>
      <c r="AF6650" s="1115"/>
      <c r="AG6650" s="1115"/>
      <c r="AH6650" s="1115"/>
      <c r="AI6650" s="1115"/>
      <c r="AJ6650" s="1117"/>
      <c r="AK6650" s="1118"/>
      <c r="AL6650" s="1115"/>
      <c r="AM6650" s="1115"/>
      <c r="AN6650" s="1115"/>
      <c r="AO6650" s="1115"/>
      <c r="AP6650" s="1115"/>
      <c r="AQ6650" s="1115"/>
      <c r="AR6650" s="1115"/>
      <c r="AS6650" s="1117"/>
      <c r="AT6650" s="1075"/>
      <c r="AU6650" s="1193"/>
      <c r="AV6650" s="330"/>
      <c r="AW6650" s="331"/>
      <c r="AX6650" s="331"/>
      <c r="AY6650" s="331"/>
      <c r="AZ6650" s="331"/>
      <c r="BA6650" s="331"/>
      <c r="BB6650" s="331"/>
      <c r="BC6650" s="331"/>
      <c r="BD6650" s="331"/>
      <c r="BE6650" s="333"/>
      <c r="BF6650" s="330"/>
      <c r="BG6650" s="333"/>
      <c r="BH6650" s="1119"/>
      <c r="BI6650" s="319"/>
      <c r="BJ6650" s="319"/>
      <c r="BK6650" s="319"/>
      <c r="BL6650" s="319"/>
      <c r="BM6650" s="319"/>
      <c r="BN6650" s="319"/>
      <c r="BO6650" s="319"/>
      <c r="BP6650" s="953"/>
      <c r="BQ6650" s="319"/>
      <c r="BR6650" s="319"/>
      <c r="BS6650" s="330"/>
      <c r="BT6650" s="331"/>
      <c r="BU6650" s="920"/>
      <c r="BV6650" s="903"/>
      <c r="BW6650" s="908"/>
      <c r="BX6650" s="908"/>
      <c r="BY6650" s="331"/>
      <c r="BZ6650" s="331"/>
      <c r="CA6650" s="462"/>
      <c r="CB6650" s="319"/>
      <c r="CC6650" s="319"/>
      <c r="CD6650" s="319"/>
      <c r="CE6650" s="319"/>
      <c r="CF6650" s="319"/>
      <c r="CG6650" s="319"/>
      <c r="CH6650" s="318"/>
      <c r="CI6650" s="319"/>
      <c r="CJ6650" s="319"/>
      <c r="CK6650" s="342"/>
      <c r="CL6650" s="333"/>
      <c r="CM6650" s="1079"/>
      <c r="CN6650" s="1005"/>
      <c r="CO6650" s="1005"/>
      <c r="CP6650" s="1005"/>
    </row>
    <row r="6651">
      <c r="A6651" s="1257"/>
      <c r="B6651" s="1113"/>
      <c r="C6651" s="1107"/>
      <c r="D6651" s="103"/>
      <c r="E6651" s="1137"/>
      <c r="F6651" s="112"/>
      <c r="G6651" s="1110"/>
      <c r="H6651" s="1138"/>
      <c r="I6651" s="1138"/>
      <c r="J6651" s="1139"/>
      <c r="K6651" s="1111"/>
      <c r="L6651" s="1112"/>
      <c r="M6651" s="1113"/>
      <c r="N6651" s="110"/>
      <c r="O6651" s="1140"/>
      <c r="P6651" s="1115"/>
      <c r="Q6651" s="1116"/>
      <c r="R6651" s="1141"/>
      <c r="S6651" s="1113"/>
      <c r="T6651" s="1143"/>
      <c r="U6651" s="1108"/>
      <c r="V6651" s="1108"/>
      <c r="W6651" s="1108"/>
      <c r="X6651" s="1108"/>
      <c r="Y6651" s="1108"/>
      <c r="Z6651" s="1114"/>
      <c r="AA6651" s="1114"/>
      <c r="AB6651" s="1114"/>
      <c r="AC6651" s="1117"/>
      <c r="AD6651" s="1115"/>
      <c r="AE6651" s="1115"/>
      <c r="AF6651" s="1115"/>
      <c r="AG6651" s="1115"/>
      <c r="AH6651" s="1115"/>
      <c r="AI6651" s="1115"/>
      <c r="AJ6651" s="1117"/>
      <c r="AK6651" s="1118"/>
      <c r="AL6651" s="1115"/>
      <c r="AM6651" s="1115"/>
      <c r="AN6651" s="1115"/>
      <c r="AO6651" s="1115"/>
      <c r="AP6651" s="1115"/>
      <c r="AQ6651" s="1115"/>
      <c r="AR6651" s="1115"/>
      <c r="AS6651" s="1117"/>
      <c r="AT6651" s="1075"/>
      <c r="AU6651" s="1193"/>
      <c r="AV6651" s="330"/>
      <c r="AW6651" s="331"/>
      <c r="AX6651" s="331"/>
      <c r="AY6651" s="331"/>
      <c r="AZ6651" s="331"/>
      <c r="BA6651" s="331"/>
      <c r="BB6651" s="331"/>
      <c r="BC6651" s="331"/>
      <c r="BD6651" s="331"/>
      <c r="BE6651" s="333"/>
      <c r="BF6651" s="330"/>
      <c r="BG6651" s="333"/>
      <c r="BH6651" s="1119"/>
      <c r="BI6651" s="319"/>
      <c r="BJ6651" s="319"/>
      <c r="BK6651" s="319"/>
      <c r="BL6651" s="319"/>
      <c r="BM6651" s="319"/>
      <c r="BN6651" s="319"/>
      <c r="BO6651" s="319"/>
      <c r="BP6651" s="953"/>
      <c r="BQ6651" s="319"/>
      <c r="BR6651" s="319"/>
      <c r="BS6651" s="330"/>
      <c r="BT6651" s="331"/>
      <c r="BU6651" s="920"/>
      <c r="BV6651" s="903"/>
      <c r="BW6651" s="908"/>
      <c r="BX6651" s="908"/>
      <c r="BY6651" s="331"/>
      <c r="BZ6651" s="331"/>
      <c r="CA6651" s="462"/>
      <c r="CB6651" s="319"/>
      <c r="CC6651" s="319"/>
      <c r="CD6651" s="319"/>
      <c r="CE6651" s="319"/>
      <c r="CF6651" s="319"/>
      <c r="CG6651" s="319"/>
      <c r="CH6651" s="318"/>
      <c r="CI6651" s="319"/>
      <c r="CJ6651" s="319"/>
      <c r="CK6651" s="342"/>
      <c r="CL6651" s="333"/>
      <c r="CM6651" s="1079"/>
      <c r="CN6651" s="1005"/>
      <c r="CO6651" s="1005"/>
      <c r="CP6651" s="1005"/>
    </row>
    <row r="6652">
      <c r="A6652" s="1257"/>
      <c r="B6652" s="1113"/>
      <c r="C6652" s="1107"/>
      <c r="D6652" s="103"/>
      <c r="E6652" s="1137"/>
      <c r="F6652" s="112"/>
      <c r="G6652" s="1110"/>
      <c r="H6652" s="1138"/>
      <c r="I6652" s="1138"/>
      <c r="J6652" s="1139"/>
      <c r="K6652" s="1111"/>
      <c r="L6652" s="1112"/>
      <c r="M6652" s="1113"/>
      <c r="N6652" s="110"/>
      <c r="O6652" s="1140"/>
      <c r="P6652" s="1115"/>
      <c r="Q6652" s="1116"/>
      <c r="R6652" s="1141"/>
      <c r="S6652" s="1113"/>
      <c r="T6652" s="1143"/>
      <c r="U6652" s="1108"/>
      <c r="V6652" s="1108"/>
      <c r="W6652" s="1108"/>
      <c r="X6652" s="1108"/>
      <c r="Y6652" s="1108"/>
      <c r="Z6652" s="1114"/>
      <c r="AA6652" s="1114"/>
      <c r="AB6652" s="1114"/>
      <c r="AC6652" s="1117"/>
      <c r="AD6652" s="1115"/>
      <c r="AE6652" s="1115"/>
      <c r="AF6652" s="1115"/>
      <c r="AG6652" s="1115"/>
      <c r="AH6652" s="1115"/>
      <c r="AI6652" s="1115"/>
      <c r="AJ6652" s="1117"/>
      <c r="AK6652" s="1118"/>
      <c r="AL6652" s="1115"/>
      <c r="AM6652" s="1115"/>
      <c r="AN6652" s="1115"/>
      <c r="AO6652" s="1115"/>
      <c r="AP6652" s="1115"/>
      <c r="AQ6652" s="1115"/>
      <c r="AR6652" s="1115"/>
      <c r="AS6652" s="1117"/>
      <c r="AT6652" s="1075"/>
      <c r="AU6652" s="1193"/>
      <c r="AV6652" s="330"/>
      <c r="AW6652" s="331"/>
      <c r="AX6652" s="331"/>
      <c r="AY6652" s="331"/>
      <c r="AZ6652" s="331"/>
      <c r="BA6652" s="331"/>
      <c r="BB6652" s="331"/>
      <c r="BC6652" s="331"/>
      <c r="BD6652" s="331"/>
      <c r="BE6652" s="333"/>
      <c r="BF6652" s="330"/>
      <c r="BG6652" s="333"/>
      <c r="BH6652" s="1119"/>
      <c r="BI6652" s="319"/>
      <c r="BJ6652" s="319"/>
      <c r="BK6652" s="319"/>
      <c r="BL6652" s="319"/>
      <c r="BM6652" s="319"/>
      <c r="BN6652" s="319"/>
      <c r="BO6652" s="319"/>
      <c r="BP6652" s="953"/>
      <c r="BQ6652" s="319"/>
      <c r="BR6652" s="319"/>
      <c r="BS6652" s="330"/>
      <c r="BT6652" s="331"/>
      <c r="BU6652" s="920"/>
      <c r="BV6652" s="903"/>
      <c r="BW6652" s="908"/>
      <c r="BX6652" s="908"/>
      <c r="BY6652" s="331"/>
      <c r="BZ6652" s="331"/>
      <c r="CA6652" s="462"/>
      <c r="CB6652" s="319"/>
      <c r="CC6652" s="319"/>
      <c r="CD6652" s="319"/>
      <c r="CE6652" s="319"/>
      <c r="CF6652" s="319"/>
      <c r="CG6652" s="319"/>
      <c r="CH6652" s="318"/>
      <c r="CI6652" s="319"/>
      <c r="CJ6652" s="319"/>
      <c r="CK6652" s="342"/>
      <c r="CL6652" s="333"/>
      <c r="CM6652" s="1079"/>
      <c r="CN6652" s="1005"/>
      <c r="CO6652" s="1005"/>
      <c r="CP6652" s="1005"/>
    </row>
    <row r="6653">
      <c r="A6653" s="1257"/>
      <c r="B6653" s="1113"/>
      <c r="C6653" s="1107"/>
      <c r="D6653" s="103"/>
      <c r="E6653" s="1137"/>
      <c r="F6653" s="112"/>
      <c r="G6653" s="1110"/>
      <c r="H6653" s="1138"/>
      <c r="I6653" s="1138"/>
      <c r="J6653" s="1139"/>
      <c r="K6653" s="1111"/>
      <c r="L6653" s="1112"/>
      <c r="M6653" s="1113"/>
      <c r="N6653" s="110"/>
      <c r="O6653" s="1140"/>
      <c r="P6653" s="1115"/>
      <c r="Q6653" s="1116"/>
      <c r="R6653" s="1141"/>
      <c r="S6653" s="1113"/>
      <c r="T6653" s="1143"/>
      <c r="U6653" s="1108"/>
      <c r="V6653" s="1108"/>
      <c r="W6653" s="1108"/>
      <c r="X6653" s="1108"/>
      <c r="Y6653" s="1108"/>
      <c r="Z6653" s="1114"/>
      <c r="AA6653" s="1114"/>
      <c r="AB6653" s="1114"/>
      <c r="AC6653" s="1117"/>
      <c r="AD6653" s="1115"/>
      <c r="AE6653" s="1115"/>
      <c r="AF6653" s="1115"/>
      <c r="AG6653" s="1115"/>
      <c r="AH6653" s="1115"/>
      <c r="AI6653" s="1115"/>
      <c r="AJ6653" s="1117"/>
      <c r="AK6653" s="1118"/>
      <c r="AL6653" s="1115"/>
      <c r="AM6653" s="1115"/>
      <c r="AN6653" s="1115"/>
      <c r="AO6653" s="1115"/>
      <c r="AP6653" s="1115"/>
      <c r="AQ6653" s="1115"/>
      <c r="AR6653" s="1115"/>
      <c r="AS6653" s="1117"/>
      <c r="AT6653" s="1075"/>
      <c r="AU6653" s="1193"/>
      <c r="AV6653" s="330"/>
      <c r="AW6653" s="331"/>
      <c r="AX6653" s="331"/>
      <c r="AY6653" s="331"/>
      <c r="AZ6653" s="331"/>
      <c r="BA6653" s="331"/>
      <c r="BB6653" s="331"/>
      <c r="BC6653" s="331"/>
      <c r="BD6653" s="331"/>
      <c r="BE6653" s="333"/>
      <c r="BF6653" s="330"/>
      <c r="BG6653" s="333"/>
      <c r="BH6653" s="1119"/>
      <c r="BI6653" s="319"/>
      <c r="BJ6653" s="319"/>
      <c r="BK6653" s="319"/>
      <c r="BL6653" s="319"/>
      <c r="BM6653" s="319"/>
      <c r="BN6653" s="319"/>
      <c r="BO6653" s="319"/>
      <c r="BP6653" s="953"/>
      <c r="BQ6653" s="319"/>
      <c r="BR6653" s="319"/>
      <c r="BS6653" s="330"/>
      <c r="BT6653" s="331"/>
      <c r="BU6653" s="920"/>
      <c r="BV6653" s="903"/>
      <c r="BW6653" s="908"/>
      <c r="BX6653" s="908"/>
      <c r="BY6653" s="331"/>
      <c r="BZ6653" s="331"/>
      <c r="CA6653" s="462"/>
      <c r="CB6653" s="319"/>
      <c r="CC6653" s="319"/>
      <c r="CD6653" s="319"/>
      <c r="CE6653" s="319"/>
      <c r="CF6653" s="319"/>
      <c r="CG6653" s="319"/>
      <c r="CH6653" s="318"/>
      <c r="CI6653" s="319"/>
      <c r="CJ6653" s="319"/>
      <c r="CK6653" s="342"/>
      <c r="CL6653" s="333"/>
      <c r="CM6653" s="1079"/>
      <c r="CN6653" s="1005"/>
      <c r="CO6653" s="1005"/>
      <c r="CP6653" s="1005"/>
    </row>
    <row r="6654">
      <c r="A6654" s="1257"/>
      <c r="B6654" s="1113"/>
      <c r="C6654" s="1107"/>
      <c r="D6654" s="103"/>
      <c r="E6654" s="1137"/>
      <c r="F6654" s="112"/>
      <c r="G6654" s="1110"/>
      <c r="H6654" s="1138"/>
      <c r="I6654" s="1138"/>
      <c r="J6654" s="1139"/>
      <c r="K6654" s="1111"/>
      <c r="L6654" s="1112"/>
      <c r="M6654" s="1113"/>
      <c r="N6654" s="110"/>
      <c r="O6654" s="1140"/>
      <c r="P6654" s="1115"/>
      <c r="Q6654" s="1116"/>
      <c r="R6654" s="1141"/>
      <c r="S6654" s="1113"/>
      <c r="T6654" s="1143"/>
      <c r="U6654" s="1108"/>
      <c r="V6654" s="1108"/>
      <c r="W6654" s="1108"/>
      <c r="X6654" s="1108"/>
      <c r="Y6654" s="1108"/>
      <c r="Z6654" s="1114"/>
      <c r="AA6654" s="1114"/>
      <c r="AB6654" s="1114"/>
      <c r="AC6654" s="1117"/>
      <c r="AD6654" s="1115"/>
      <c r="AE6654" s="1115"/>
      <c r="AF6654" s="1115"/>
      <c r="AG6654" s="1115"/>
      <c r="AH6654" s="1115"/>
      <c r="AI6654" s="1115"/>
      <c r="AJ6654" s="1117"/>
      <c r="AK6654" s="1118"/>
      <c r="AL6654" s="1115"/>
      <c r="AM6654" s="1115"/>
      <c r="AN6654" s="1115"/>
      <c r="AO6654" s="1115"/>
      <c r="AP6654" s="1115"/>
      <c r="AQ6654" s="1115"/>
      <c r="AR6654" s="1115"/>
      <c r="AS6654" s="1117"/>
      <c r="AT6654" s="1075"/>
      <c r="AU6654" s="1193"/>
      <c r="AV6654" s="330"/>
      <c r="AW6654" s="331"/>
      <c r="AX6654" s="331"/>
      <c r="AY6654" s="331"/>
      <c r="AZ6654" s="331"/>
      <c r="BA6654" s="331"/>
      <c r="BB6654" s="331"/>
      <c r="BC6654" s="331"/>
      <c r="BD6654" s="331"/>
      <c r="BE6654" s="333"/>
      <c r="BF6654" s="330"/>
      <c r="BG6654" s="333"/>
      <c r="BH6654" s="1119"/>
      <c r="BI6654" s="319"/>
      <c r="BJ6654" s="319"/>
      <c r="BK6654" s="319"/>
      <c r="BL6654" s="319"/>
      <c r="BM6654" s="319"/>
      <c r="BN6654" s="319"/>
      <c r="BO6654" s="319"/>
      <c r="BP6654" s="953"/>
      <c r="BQ6654" s="319"/>
      <c r="BR6654" s="319"/>
      <c r="BS6654" s="330"/>
      <c r="BT6654" s="331"/>
      <c r="BU6654" s="920"/>
      <c r="BV6654" s="903"/>
      <c r="BW6654" s="908"/>
      <c r="BX6654" s="908"/>
      <c r="BY6654" s="331"/>
      <c r="BZ6654" s="331"/>
      <c r="CA6654" s="462"/>
      <c r="CB6654" s="319"/>
      <c r="CC6654" s="319"/>
      <c r="CD6654" s="319"/>
      <c r="CE6654" s="319"/>
      <c r="CF6654" s="319"/>
      <c r="CG6654" s="319"/>
      <c r="CH6654" s="318"/>
      <c r="CI6654" s="319"/>
      <c r="CJ6654" s="319"/>
      <c r="CK6654" s="342"/>
      <c r="CL6654" s="333"/>
      <c r="CM6654" s="1079"/>
      <c r="CN6654" s="1005"/>
      <c r="CO6654" s="1005"/>
      <c r="CP6654" s="1005"/>
    </row>
    <row r="6655">
      <c r="A6655" s="1257"/>
      <c r="B6655" s="1113"/>
      <c r="C6655" s="1107"/>
      <c r="D6655" s="103"/>
      <c r="E6655" s="1137"/>
      <c r="F6655" s="112"/>
      <c r="G6655" s="1110"/>
      <c r="H6655" s="1138"/>
      <c r="I6655" s="1138"/>
      <c r="J6655" s="1139"/>
      <c r="K6655" s="1111"/>
      <c r="L6655" s="1112"/>
      <c r="M6655" s="1113"/>
      <c r="N6655" s="110"/>
      <c r="O6655" s="1140"/>
      <c r="P6655" s="1115"/>
      <c r="Q6655" s="1116"/>
      <c r="R6655" s="1141"/>
      <c r="S6655" s="1113"/>
      <c r="T6655" s="1143"/>
      <c r="U6655" s="1108"/>
      <c r="V6655" s="1108"/>
      <c r="W6655" s="1108"/>
      <c r="X6655" s="1108"/>
      <c r="Y6655" s="1108"/>
      <c r="Z6655" s="1114"/>
      <c r="AA6655" s="1114"/>
      <c r="AB6655" s="1114"/>
      <c r="AC6655" s="1117"/>
      <c r="AD6655" s="1115"/>
      <c r="AE6655" s="1115"/>
      <c r="AF6655" s="1115"/>
      <c r="AG6655" s="1115"/>
      <c r="AH6655" s="1115"/>
      <c r="AI6655" s="1115"/>
      <c r="AJ6655" s="1117"/>
      <c r="AK6655" s="1118"/>
      <c r="AL6655" s="1115"/>
      <c r="AM6655" s="1115"/>
      <c r="AN6655" s="1115"/>
      <c r="AO6655" s="1115"/>
      <c r="AP6655" s="1115"/>
      <c r="AQ6655" s="1115"/>
      <c r="AR6655" s="1115"/>
      <c r="AS6655" s="1117"/>
      <c r="AT6655" s="1075"/>
      <c r="AU6655" s="1193"/>
      <c r="AV6655" s="330"/>
      <c r="AW6655" s="331"/>
      <c r="AX6655" s="331"/>
      <c r="AY6655" s="331"/>
      <c r="AZ6655" s="331"/>
      <c r="BA6655" s="331"/>
      <c r="BB6655" s="331"/>
      <c r="BC6655" s="331"/>
      <c r="BD6655" s="331"/>
      <c r="BE6655" s="333"/>
      <c r="BF6655" s="330"/>
      <c r="BG6655" s="333"/>
      <c r="BH6655" s="1119"/>
      <c r="BI6655" s="319"/>
      <c r="BJ6655" s="319"/>
      <c r="BK6655" s="319"/>
      <c r="BL6655" s="319"/>
      <c r="BM6655" s="319"/>
      <c r="BN6655" s="319"/>
      <c r="BO6655" s="319"/>
      <c r="BP6655" s="953"/>
      <c r="BQ6655" s="319"/>
      <c r="BR6655" s="319"/>
      <c r="BS6655" s="330"/>
      <c r="BT6655" s="331"/>
      <c r="BU6655" s="920"/>
      <c r="BV6655" s="903"/>
      <c r="BW6655" s="908"/>
      <c r="BX6655" s="908"/>
      <c r="BY6655" s="331"/>
      <c r="BZ6655" s="331"/>
      <c r="CA6655" s="462"/>
      <c r="CB6655" s="319"/>
      <c r="CC6655" s="319"/>
      <c r="CD6655" s="319"/>
      <c r="CE6655" s="319"/>
      <c r="CF6655" s="319"/>
      <c r="CG6655" s="319"/>
      <c r="CH6655" s="318"/>
      <c r="CI6655" s="319"/>
      <c r="CJ6655" s="319"/>
      <c r="CK6655" s="342"/>
      <c r="CL6655" s="333"/>
      <c r="CM6655" s="1079"/>
      <c r="CN6655" s="1005"/>
      <c r="CO6655" s="1005"/>
      <c r="CP6655" s="1005"/>
    </row>
    <row r="6656">
      <c r="A6656" s="1257"/>
      <c r="B6656" s="1113"/>
      <c r="C6656" s="1107"/>
      <c r="D6656" s="103"/>
      <c r="E6656" s="1137"/>
      <c r="F6656" s="112"/>
      <c r="G6656" s="1110"/>
      <c r="H6656" s="1138"/>
      <c r="I6656" s="1138"/>
      <c r="J6656" s="1139"/>
      <c r="K6656" s="1111"/>
      <c r="L6656" s="1112"/>
      <c r="M6656" s="1113"/>
      <c r="N6656" s="110"/>
      <c r="O6656" s="1140"/>
      <c r="P6656" s="1115"/>
      <c r="Q6656" s="1116"/>
      <c r="R6656" s="1141"/>
      <c r="S6656" s="1113"/>
      <c r="T6656" s="1143"/>
      <c r="U6656" s="1108"/>
      <c r="V6656" s="1108"/>
      <c r="W6656" s="1108"/>
      <c r="X6656" s="1108"/>
      <c r="Y6656" s="1108"/>
      <c r="Z6656" s="1114"/>
      <c r="AA6656" s="1114"/>
      <c r="AB6656" s="1114"/>
      <c r="AC6656" s="1117"/>
      <c r="AD6656" s="1115"/>
      <c r="AE6656" s="1115"/>
      <c r="AF6656" s="1115"/>
      <c r="AG6656" s="1115"/>
      <c r="AH6656" s="1115"/>
      <c r="AI6656" s="1115"/>
      <c r="AJ6656" s="1117"/>
      <c r="AK6656" s="1118"/>
      <c r="AL6656" s="1115"/>
      <c r="AM6656" s="1115"/>
      <c r="AN6656" s="1115"/>
      <c r="AO6656" s="1115"/>
      <c r="AP6656" s="1115"/>
      <c r="AQ6656" s="1115"/>
      <c r="AR6656" s="1115"/>
      <c r="AS6656" s="1117"/>
      <c r="AT6656" s="1075"/>
      <c r="AU6656" s="1193"/>
      <c r="AV6656" s="330"/>
      <c r="AW6656" s="331"/>
      <c r="AX6656" s="331"/>
      <c r="AY6656" s="331"/>
      <c r="AZ6656" s="331"/>
      <c r="BA6656" s="331"/>
      <c r="BB6656" s="331"/>
      <c r="BC6656" s="331"/>
      <c r="BD6656" s="331"/>
      <c r="BE6656" s="333"/>
      <c r="BF6656" s="330"/>
      <c r="BG6656" s="333"/>
      <c r="BH6656" s="1119"/>
      <c r="BI6656" s="319"/>
      <c r="BJ6656" s="319"/>
      <c r="BK6656" s="319"/>
      <c r="BL6656" s="319"/>
      <c r="BM6656" s="319"/>
      <c r="BN6656" s="319"/>
      <c r="BO6656" s="319"/>
      <c r="BP6656" s="953"/>
      <c r="BQ6656" s="319"/>
      <c r="BR6656" s="319"/>
      <c r="BS6656" s="330"/>
      <c r="BT6656" s="331"/>
      <c r="BU6656" s="920"/>
      <c r="BV6656" s="903"/>
      <c r="BW6656" s="908"/>
      <c r="BX6656" s="908"/>
      <c r="BY6656" s="331"/>
      <c r="BZ6656" s="331"/>
      <c r="CA6656" s="462"/>
      <c r="CB6656" s="319"/>
      <c r="CC6656" s="319"/>
      <c r="CD6656" s="319"/>
      <c r="CE6656" s="319"/>
      <c r="CF6656" s="319"/>
      <c r="CG6656" s="319"/>
      <c r="CH6656" s="318"/>
      <c r="CI6656" s="319"/>
      <c r="CJ6656" s="319"/>
      <c r="CK6656" s="342"/>
      <c r="CL6656" s="333"/>
      <c r="CM6656" s="1079"/>
      <c r="CN6656" s="1005"/>
      <c r="CO6656" s="1005"/>
      <c r="CP6656" s="1005"/>
    </row>
    <row r="6657">
      <c r="A6657" s="1257"/>
      <c r="B6657" s="1113"/>
      <c r="C6657" s="1107"/>
      <c r="D6657" s="103"/>
      <c r="E6657" s="1137"/>
      <c r="F6657" s="112"/>
      <c r="G6657" s="1110"/>
      <c r="H6657" s="1138"/>
      <c r="I6657" s="1138"/>
      <c r="J6657" s="1139"/>
      <c r="K6657" s="1111"/>
      <c r="L6657" s="1112"/>
      <c r="M6657" s="1113"/>
      <c r="N6657" s="110"/>
      <c r="O6657" s="1140"/>
      <c r="P6657" s="1115"/>
      <c r="Q6657" s="1116"/>
      <c r="R6657" s="1141"/>
      <c r="S6657" s="1113"/>
      <c r="T6657" s="1143"/>
      <c r="U6657" s="1108"/>
      <c r="V6657" s="1108"/>
      <c r="W6657" s="1108"/>
      <c r="X6657" s="1108"/>
      <c r="Y6657" s="1108"/>
      <c r="Z6657" s="1114"/>
      <c r="AA6657" s="1114"/>
      <c r="AB6657" s="1114"/>
      <c r="AC6657" s="1117"/>
      <c r="AD6657" s="1115"/>
      <c r="AE6657" s="1115"/>
      <c r="AF6657" s="1115"/>
      <c r="AG6657" s="1115"/>
      <c r="AH6657" s="1115"/>
      <c r="AI6657" s="1115"/>
      <c r="AJ6657" s="1117"/>
      <c r="AK6657" s="1118"/>
      <c r="AL6657" s="1115"/>
      <c r="AM6657" s="1115"/>
      <c r="AN6657" s="1115"/>
      <c r="AO6657" s="1115"/>
      <c r="AP6657" s="1115"/>
      <c r="AQ6657" s="1115"/>
      <c r="AR6657" s="1115"/>
      <c r="AS6657" s="1117"/>
      <c r="AT6657" s="1075"/>
      <c r="AU6657" s="1193"/>
      <c r="AV6657" s="330"/>
      <c r="AW6657" s="331"/>
      <c r="AX6657" s="331"/>
      <c r="AY6657" s="331"/>
      <c r="AZ6657" s="331"/>
      <c r="BA6657" s="331"/>
      <c r="BB6657" s="331"/>
      <c r="BC6657" s="331"/>
      <c r="BD6657" s="331"/>
      <c r="BE6657" s="333"/>
      <c r="BF6657" s="330"/>
      <c r="BG6657" s="333"/>
      <c r="BH6657" s="1119"/>
      <c r="BI6657" s="319"/>
      <c r="BJ6657" s="319"/>
      <c r="BK6657" s="319"/>
      <c r="BL6657" s="319"/>
      <c r="BM6657" s="319"/>
      <c r="BN6657" s="319"/>
      <c r="BO6657" s="319"/>
      <c r="BP6657" s="953"/>
      <c r="BQ6657" s="319"/>
      <c r="BR6657" s="319"/>
      <c r="BS6657" s="330"/>
      <c r="BT6657" s="331"/>
      <c r="BU6657" s="920"/>
      <c r="BV6657" s="903"/>
      <c r="BW6657" s="908"/>
      <c r="BX6657" s="908"/>
      <c r="BY6657" s="331"/>
      <c r="BZ6657" s="331"/>
      <c r="CA6657" s="462"/>
      <c r="CB6657" s="319"/>
      <c r="CC6657" s="319"/>
      <c r="CD6657" s="319"/>
      <c r="CE6657" s="319"/>
      <c r="CF6657" s="319"/>
      <c r="CG6657" s="319"/>
      <c r="CH6657" s="318"/>
      <c r="CI6657" s="319"/>
      <c r="CJ6657" s="319"/>
      <c r="CK6657" s="342"/>
      <c r="CL6657" s="333"/>
      <c r="CM6657" s="1079"/>
      <c r="CN6657" s="1005"/>
      <c r="CO6657" s="1005"/>
      <c r="CP6657" s="1005"/>
    </row>
    <row r="6658">
      <c r="A6658" s="1257"/>
      <c r="B6658" s="1113"/>
      <c r="C6658" s="1107"/>
      <c r="D6658" s="103"/>
      <c r="E6658" s="1137"/>
      <c r="F6658" s="112"/>
      <c r="G6658" s="1110"/>
      <c r="H6658" s="1138"/>
      <c r="I6658" s="1138"/>
      <c r="J6658" s="1139"/>
      <c r="K6658" s="1111"/>
      <c r="L6658" s="1112"/>
      <c r="M6658" s="1113"/>
      <c r="N6658" s="110"/>
      <c r="O6658" s="1140"/>
      <c r="P6658" s="1115"/>
      <c r="Q6658" s="1116"/>
      <c r="R6658" s="1141"/>
      <c r="S6658" s="1113"/>
      <c r="T6658" s="1143"/>
      <c r="U6658" s="1108"/>
      <c r="V6658" s="1108"/>
      <c r="W6658" s="1108"/>
      <c r="X6658" s="1108"/>
      <c r="Y6658" s="1108"/>
      <c r="Z6658" s="1114"/>
      <c r="AA6658" s="1114"/>
      <c r="AB6658" s="1114"/>
      <c r="AC6658" s="1117"/>
      <c r="AD6658" s="1115"/>
      <c r="AE6658" s="1115"/>
      <c r="AF6658" s="1115"/>
      <c r="AG6658" s="1115"/>
      <c r="AH6658" s="1115"/>
      <c r="AI6658" s="1115"/>
      <c r="AJ6658" s="1117"/>
      <c r="AK6658" s="1118"/>
      <c r="AL6658" s="1115"/>
      <c r="AM6658" s="1115"/>
      <c r="AN6658" s="1115"/>
      <c r="AO6658" s="1115"/>
      <c r="AP6658" s="1115"/>
      <c r="AQ6658" s="1115"/>
      <c r="AR6658" s="1115"/>
      <c r="AS6658" s="1117"/>
      <c r="AT6658" s="1075"/>
      <c r="AU6658" s="1193"/>
      <c r="AV6658" s="330"/>
      <c r="AW6658" s="331"/>
      <c r="AX6658" s="331"/>
      <c r="AY6658" s="331"/>
      <c r="AZ6658" s="331"/>
      <c r="BA6658" s="331"/>
      <c r="BB6658" s="331"/>
      <c r="BC6658" s="331"/>
      <c r="BD6658" s="331"/>
      <c r="BE6658" s="333"/>
      <c r="BF6658" s="330"/>
      <c r="BG6658" s="333"/>
      <c r="BH6658" s="1119"/>
      <c r="BI6658" s="319"/>
      <c r="BJ6658" s="319"/>
      <c r="BK6658" s="319"/>
      <c r="BL6658" s="319"/>
      <c r="BM6658" s="319"/>
      <c r="BN6658" s="319"/>
      <c r="BO6658" s="319"/>
      <c r="BP6658" s="953"/>
      <c r="BQ6658" s="319"/>
      <c r="BR6658" s="319"/>
      <c r="BS6658" s="330"/>
      <c r="BT6658" s="331"/>
      <c r="BU6658" s="920"/>
      <c r="BV6658" s="903"/>
      <c r="BW6658" s="908"/>
      <c r="BX6658" s="908"/>
      <c r="BY6658" s="331"/>
      <c r="BZ6658" s="331"/>
      <c r="CA6658" s="462"/>
      <c r="CB6658" s="319"/>
      <c r="CC6658" s="319"/>
      <c r="CD6658" s="319"/>
      <c r="CE6658" s="319"/>
      <c r="CF6658" s="319"/>
      <c r="CG6658" s="319"/>
      <c r="CH6658" s="318"/>
      <c r="CI6658" s="319"/>
      <c r="CJ6658" s="319"/>
      <c r="CK6658" s="342"/>
      <c r="CL6658" s="333"/>
      <c r="CM6658" s="1079"/>
      <c r="CN6658" s="1005"/>
      <c r="CO6658" s="1005"/>
      <c r="CP6658" s="1005"/>
    </row>
    <row r="6659">
      <c r="A6659" s="1257"/>
      <c r="B6659" s="1113"/>
      <c r="C6659" s="1107"/>
      <c r="D6659" s="103"/>
      <c r="E6659" s="1137"/>
      <c r="F6659" s="112"/>
      <c r="G6659" s="1110"/>
      <c r="H6659" s="1138"/>
      <c r="I6659" s="1138"/>
      <c r="J6659" s="1139"/>
      <c r="K6659" s="1111"/>
      <c r="L6659" s="1112"/>
      <c r="M6659" s="1113"/>
      <c r="N6659" s="110"/>
      <c r="O6659" s="1140"/>
      <c r="P6659" s="1115"/>
      <c r="Q6659" s="1116"/>
      <c r="R6659" s="1141"/>
      <c r="S6659" s="1113"/>
      <c r="T6659" s="1143"/>
      <c r="U6659" s="1108"/>
      <c r="V6659" s="1108"/>
      <c r="W6659" s="1108"/>
      <c r="X6659" s="1108"/>
      <c r="Y6659" s="1108"/>
      <c r="Z6659" s="1114"/>
      <c r="AA6659" s="1114"/>
      <c r="AB6659" s="1114"/>
      <c r="AC6659" s="1117"/>
      <c r="AD6659" s="1115"/>
      <c r="AE6659" s="1115"/>
      <c r="AF6659" s="1115"/>
      <c r="AG6659" s="1115"/>
      <c r="AH6659" s="1115"/>
      <c r="AI6659" s="1115"/>
      <c r="AJ6659" s="1117"/>
      <c r="AK6659" s="1118"/>
      <c r="AL6659" s="1115"/>
      <c r="AM6659" s="1115"/>
      <c r="AN6659" s="1115"/>
      <c r="AO6659" s="1115"/>
      <c r="AP6659" s="1115"/>
      <c r="AQ6659" s="1115"/>
      <c r="AR6659" s="1115"/>
      <c r="AS6659" s="1117"/>
      <c r="AT6659" s="1075"/>
      <c r="AU6659" s="1193"/>
      <c r="AV6659" s="330"/>
      <c r="AW6659" s="331"/>
      <c r="AX6659" s="331"/>
      <c r="AY6659" s="331"/>
      <c r="AZ6659" s="331"/>
      <c r="BA6659" s="331"/>
      <c r="BB6659" s="331"/>
      <c r="BC6659" s="331"/>
      <c r="BD6659" s="331"/>
      <c r="BE6659" s="333"/>
      <c r="BF6659" s="330"/>
      <c r="BG6659" s="333"/>
      <c r="BH6659" s="1119"/>
      <c r="BI6659" s="319"/>
      <c r="BJ6659" s="319"/>
      <c r="BK6659" s="319"/>
      <c r="BL6659" s="319"/>
      <c r="BM6659" s="319"/>
      <c r="BN6659" s="319"/>
      <c r="BO6659" s="319"/>
      <c r="BP6659" s="953"/>
      <c r="BQ6659" s="319"/>
      <c r="BR6659" s="319"/>
      <c r="BS6659" s="330"/>
      <c r="BT6659" s="331"/>
      <c r="BU6659" s="920"/>
      <c r="BV6659" s="903"/>
      <c r="BW6659" s="908"/>
      <c r="BX6659" s="908"/>
      <c r="BY6659" s="331"/>
      <c r="BZ6659" s="331"/>
      <c r="CA6659" s="462"/>
      <c r="CB6659" s="319"/>
      <c r="CC6659" s="319"/>
      <c r="CD6659" s="319"/>
      <c r="CE6659" s="319"/>
      <c r="CF6659" s="319"/>
      <c r="CG6659" s="319"/>
      <c r="CH6659" s="318"/>
      <c r="CI6659" s="319"/>
      <c r="CJ6659" s="319"/>
      <c r="CK6659" s="342"/>
      <c r="CL6659" s="333"/>
      <c r="CM6659" s="1079"/>
      <c r="CN6659" s="1005"/>
      <c r="CO6659" s="1005"/>
      <c r="CP6659" s="1005"/>
    </row>
    <row r="6660">
      <c r="A6660" s="1257"/>
      <c r="B6660" s="1113"/>
      <c r="C6660" s="1107"/>
      <c r="D6660" s="103"/>
      <c r="E6660" s="1137"/>
      <c r="F6660" s="112"/>
      <c r="G6660" s="1110"/>
      <c r="H6660" s="1138"/>
      <c r="I6660" s="1138"/>
      <c r="J6660" s="1139"/>
      <c r="K6660" s="1111"/>
      <c r="L6660" s="1112"/>
      <c r="M6660" s="1113"/>
      <c r="N6660" s="110"/>
      <c r="O6660" s="1140"/>
      <c r="P6660" s="1115"/>
      <c r="Q6660" s="1116"/>
      <c r="R6660" s="1141"/>
      <c r="S6660" s="1113"/>
      <c r="T6660" s="1143"/>
      <c r="U6660" s="1108"/>
      <c r="V6660" s="1108"/>
      <c r="W6660" s="1108"/>
      <c r="X6660" s="1108"/>
      <c r="Y6660" s="1108"/>
      <c r="Z6660" s="1114"/>
      <c r="AA6660" s="1114"/>
      <c r="AB6660" s="1114"/>
      <c r="AC6660" s="1117"/>
      <c r="AD6660" s="1115"/>
      <c r="AE6660" s="1115"/>
      <c r="AF6660" s="1115"/>
      <c r="AG6660" s="1115"/>
      <c r="AH6660" s="1115"/>
      <c r="AI6660" s="1115"/>
      <c r="AJ6660" s="1117"/>
      <c r="AK6660" s="1118"/>
      <c r="AL6660" s="1115"/>
      <c r="AM6660" s="1115"/>
      <c r="AN6660" s="1115"/>
      <c r="AO6660" s="1115"/>
      <c r="AP6660" s="1115"/>
      <c r="AQ6660" s="1115"/>
      <c r="AR6660" s="1115"/>
      <c r="AS6660" s="1117"/>
      <c r="AT6660" s="1075"/>
      <c r="AU6660" s="1193"/>
      <c r="AV6660" s="330"/>
      <c r="AW6660" s="331"/>
      <c r="AX6660" s="331"/>
      <c r="AY6660" s="331"/>
      <c r="AZ6660" s="331"/>
      <c r="BA6660" s="331"/>
      <c r="BB6660" s="331"/>
      <c r="BC6660" s="331"/>
      <c r="BD6660" s="331"/>
      <c r="BE6660" s="333"/>
      <c r="BF6660" s="330"/>
      <c r="BG6660" s="333"/>
      <c r="BH6660" s="1119"/>
      <c r="BI6660" s="319"/>
      <c r="BJ6660" s="319"/>
      <c r="BK6660" s="319"/>
      <c r="BL6660" s="319"/>
      <c r="BM6660" s="319"/>
      <c r="BN6660" s="319"/>
      <c r="BO6660" s="319"/>
      <c r="BP6660" s="953"/>
      <c r="BQ6660" s="319"/>
      <c r="BR6660" s="319"/>
      <c r="BS6660" s="330"/>
      <c r="BT6660" s="331"/>
      <c r="BU6660" s="920"/>
      <c r="BV6660" s="903"/>
      <c r="BW6660" s="908"/>
      <c r="BX6660" s="908"/>
      <c r="BY6660" s="331"/>
      <c r="BZ6660" s="331"/>
      <c r="CA6660" s="462"/>
      <c r="CB6660" s="319"/>
      <c r="CC6660" s="319"/>
      <c r="CD6660" s="319"/>
      <c r="CE6660" s="319"/>
      <c r="CF6660" s="319"/>
      <c r="CG6660" s="319"/>
      <c r="CH6660" s="318"/>
      <c r="CI6660" s="319"/>
      <c r="CJ6660" s="319"/>
      <c r="CK6660" s="342"/>
      <c r="CL6660" s="333"/>
      <c r="CM6660" s="1079"/>
      <c r="CN6660" s="1005"/>
      <c r="CO6660" s="1005"/>
      <c r="CP6660" s="1005"/>
    </row>
    <row r="6661">
      <c r="A6661" s="1257"/>
      <c r="B6661" s="1113"/>
      <c r="C6661" s="1107"/>
      <c r="D6661" s="103"/>
      <c r="E6661" s="1137"/>
      <c r="F6661" s="112"/>
      <c r="G6661" s="1110"/>
      <c r="H6661" s="1138"/>
      <c r="I6661" s="1138"/>
      <c r="J6661" s="1139"/>
      <c r="K6661" s="1111"/>
      <c r="L6661" s="1112"/>
      <c r="M6661" s="1113"/>
      <c r="N6661" s="110"/>
      <c r="O6661" s="1140"/>
      <c r="P6661" s="1115"/>
      <c r="Q6661" s="1116"/>
      <c r="R6661" s="1141"/>
      <c r="S6661" s="1113"/>
      <c r="T6661" s="1143"/>
      <c r="U6661" s="1108"/>
      <c r="V6661" s="1108"/>
      <c r="W6661" s="1108"/>
      <c r="X6661" s="1108"/>
      <c r="Y6661" s="1108"/>
      <c r="Z6661" s="1114"/>
      <c r="AA6661" s="1114"/>
      <c r="AB6661" s="1114"/>
      <c r="AC6661" s="1117"/>
      <c r="AD6661" s="1115"/>
      <c r="AE6661" s="1115"/>
      <c r="AF6661" s="1115"/>
      <c r="AG6661" s="1115"/>
      <c r="AH6661" s="1115"/>
      <c r="AI6661" s="1115"/>
      <c r="AJ6661" s="1117"/>
      <c r="AK6661" s="1118"/>
      <c r="AL6661" s="1115"/>
      <c r="AM6661" s="1115"/>
      <c r="AN6661" s="1115"/>
      <c r="AO6661" s="1115"/>
      <c r="AP6661" s="1115"/>
      <c r="AQ6661" s="1115"/>
      <c r="AR6661" s="1115"/>
      <c r="AS6661" s="1117"/>
      <c r="AT6661" s="1075"/>
      <c r="AU6661" s="1193"/>
      <c r="AV6661" s="330"/>
      <c r="AW6661" s="331"/>
      <c r="AX6661" s="331"/>
      <c r="AY6661" s="331"/>
      <c r="AZ6661" s="331"/>
      <c r="BA6661" s="331"/>
      <c r="BB6661" s="331"/>
      <c r="BC6661" s="331"/>
      <c r="BD6661" s="331"/>
      <c r="BE6661" s="333"/>
      <c r="BF6661" s="330"/>
      <c r="BG6661" s="333"/>
      <c r="BH6661" s="1119"/>
      <c r="BI6661" s="319"/>
      <c r="BJ6661" s="319"/>
      <c r="BK6661" s="319"/>
      <c r="BL6661" s="319"/>
      <c r="BM6661" s="319"/>
      <c r="BN6661" s="319"/>
      <c r="BO6661" s="319"/>
      <c r="BP6661" s="953"/>
      <c r="BQ6661" s="319"/>
      <c r="BR6661" s="319"/>
      <c r="BS6661" s="330"/>
      <c r="BT6661" s="331"/>
      <c r="BU6661" s="920"/>
      <c r="BV6661" s="903"/>
      <c r="BW6661" s="908"/>
      <c r="BX6661" s="908"/>
      <c r="BY6661" s="331"/>
      <c r="BZ6661" s="331"/>
      <c r="CA6661" s="462"/>
      <c r="CB6661" s="319"/>
      <c r="CC6661" s="319"/>
      <c r="CD6661" s="319"/>
      <c r="CE6661" s="319"/>
      <c r="CF6661" s="319"/>
      <c r="CG6661" s="319"/>
      <c r="CH6661" s="318"/>
      <c r="CI6661" s="319"/>
      <c r="CJ6661" s="319"/>
      <c r="CK6661" s="342"/>
      <c r="CL6661" s="333"/>
      <c r="CM6661" s="1079"/>
      <c r="CN6661" s="1005"/>
      <c r="CO6661" s="1005"/>
      <c r="CP6661" s="1005"/>
    </row>
    <row r="6662">
      <c r="A6662" s="1257"/>
      <c r="B6662" s="1113"/>
      <c r="C6662" s="1107"/>
      <c r="D6662" s="103"/>
      <c r="E6662" s="1137"/>
      <c r="F6662" s="112"/>
      <c r="G6662" s="1110"/>
      <c r="H6662" s="1138"/>
      <c r="I6662" s="1138"/>
      <c r="J6662" s="1139"/>
      <c r="K6662" s="1111"/>
      <c r="L6662" s="1112"/>
      <c r="M6662" s="1113"/>
      <c r="N6662" s="110"/>
      <c r="O6662" s="1140"/>
      <c r="P6662" s="1115"/>
      <c r="Q6662" s="1116"/>
      <c r="R6662" s="1141"/>
      <c r="S6662" s="1113"/>
      <c r="T6662" s="1143"/>
      <c r="U6662" s="1108"/>
      <c r="V6662" s="1108"/>
      <c r="W6662" s="1108"/>
      <c r="X6662" s="1108"/>
      <c r="Y6662" s="1108"/>
      <c r="Z6662" s="1114"/>
      <c r="AA6662" s="1114"/>
      <c r="AB6662" s="1114"/>
      <c r="AC6662" s="1117"/>
      <c r="AD6662" s="1115"/>
      <c r="AE6662" s="1115"/>
      <c r="AF6662" s="1115"/>
      <c r="AG6662" s="1115"/>
      <c r="AH6662" s="1115"/>
      <c r="AI6662" s="1115"/>
      <c r="AJ6662" s="1117"/>
      <c r="AK6662" s="1118"/>
      <c r="AL6662" s="1115"/>
      <c r="AM6662" s="1115"/>
      <c r="AN6662" s="1115"/>
      <c r="AO6662" s="1115"/>
      <c r="AP6662" s="1115"/>
      <c r="AQ6662" s="1115"/>
      <c r="AR6662" s="1115"/>
      <c r="AS6662" s="1117"/>
      <c r="AT6662" s="1075"/>
      <c r="AU6662" s="1193"/>
      <c r="AV6662" s="330"/>
      <c r="AW6662" s="331"/>
      <c r="AX6662" s="331"/>
      <c r="AY6662" s="331"/>
      <c r="AZ6662" s="331"/>
      <c r="BA6662" s="331"/>
      <c r="BB6662" s="331"/>
      <c r="BC6662" s="331"/>
      <c r="BD6662" s="331"/>
      <c r="BE6662" s="333"/>
      <c r="BF6662" s="330"/>
      <c r="BG6662" s="333"/>
      <c r="BH6662" s="1119"/>
      <c r="BI6662" s="319"/>
      <c r="BJ6662" s="319"/>
      <c r="BK6662" s="319"/>
      <c r="BL6662" s="319"/>
      <c r="BM6662" s="319"/>
      <c r="BN6662" s="319"/>
      <c r="BO6662" s="319"/>
      <c r="BP6662" s="953"/>
      <c r="BQ6662" s="319"/>
      <c r="BR6662" s="319"/>
      <c r="BS6662" s="330"/>
      <c r="BT6662" s="331"/>
      <c r="BU6662" s="920"/>
      <c r="BV6662" s="903"/>
      <c r="BW6662" s="908"/>
      <c r="BX6662" s="908"/>
      <c r="BY6662" s="331"/>
      <c r="BZ6662" s="331"/>
      <c r="CA6662" s="462"/>
      <c r="CB6662" s="319"/>
      <c r="CC6662" s="319"/>
      <c r="CD6662" s="319"/>
      <c r="CE6662" s="319"/>
      <c r="CF6662" s="319"/>
      <c r="CG6662" s="319"/>
      <c r="CH6662" s="318"/>
      <c r="CI6662" s="319"/>
      <c r="CJ6662" s="319"/>
      <c r="CK6662" s="342"/>
      <c r="CL6662" s="333"/>
      <c r="CM6662" s="1079"/>
      <c r="CN6662" s="1005"/>
      <c r="CO6662" s="1005"/>
      <c r="CP6662" s="1005"/>
    </row>
    <row r="6663">
      <c r="A6663" s="1257"/>
      <c r="B6663" s="1113"/>
      <c r="C6663" s="1107"/>
      <c r="D6663" s="103"/>
      <c r="E6663" s="1137"/>
      <c r="F6663" s="112"/>
      <c r="G6663" s="1110"/>
      <c r="H6663" s="1138"/>
      <c r="I6663" s="1138"/>
      <c r="J6663" s="1139"/>
      <c r="K6663" s="1111"/>
      <c r="L6663" s="1112"/>
      <c r="M6663" s="1113"/>
      <c r="N6663" s="110"/>
      <c r="O6663" s="1140"/>
      <c r="P6663" s="1115"/>
      <c r="Q6663" s="1116"/>
      <c r="R6663" s="1141"/>
      <c r="S6663" s="1113"/>
      <c r="T6663" s="1143"/>
      <c r="U6663" s="1108"/>
      <c r="V6663" s="1108"/>
      <c r="W6663" s="1108"/>
      <c r="X6663" s="1108"/>
      <c r="Y6663" s="1108"/>
      <c r="Z6663" s="1114"/>
      <c r="AA6663" s="1114"/>
      <c r="AB6663" s="1114"/>
      <c r="AC6663" s="1117"/>
      <c r="AD6663" s="1115"/>
      <c r="AE6663" s="1115"/>
      <c r="AF6663" s="1115"/>
      <c r="AG6663" s="1115"/>
      <c r="AH6663" s="1115"/>
      <c r="AI6663" s="1115"/>
      <c r="AJ6663" s="1117"/>
      <c r="AK6663" s="1118"/>
      <c r="AL6663" s="1115"/>
      <c r="AM6663" s="1115"/>
      <c r="AN6663" s="1115"/>
      <c r="AO6663" s="1115"/>
      <c r="AP6663" s="1115"/>
      <c r="AQ6663" s="1115"/>
      <c r="AR6663" s="1115"/>
      <c r="AS6663" s="1117"/>
      <c r="AT6663" s="1075"/>
      <c r="AU6663" s="1193"/>
      <c r="AV6663" s="330"/>
      <c r="AW6663" s="331"/>
      <c r="AX6663" s="331"/>
      <c r="AY6663" s="331"/>
      <c r="AZ6663" s="331"/>
      <c r="BA6663" s="331"/>
      <c r="BB6663" s="331"/>
      <c r="BC6663" s="331"/>
      <c r="BD6663" s="331"/>
      <c r="BE6663" s="333"/>
      <c r="BF6663" s="330"/>
      <c r="BG6663" s="333"/>
      <c r="BH6663" s="1119"/>
      <c r="BI6663" s="319"/>
      <c r="BJ6663" s="319"/>
      <c r="BK6663" s="319"/>
      <c r="BL6663" s="319"/>
      <c r="BM6663" s="319"/>
      <c r="BN6663" s="319"/>
      <c r="BO6663" s="319"/>
      <c r="BP6663" s="953"/>
      <c r="BQ6663" s="319"/>
      <c r="BR6663" s="319"/>
      <c r="BS6663" s="330"/>
      <c r="BT6663" s="331"/>
      <c r="BU6663" s="920"/>
      <c r="BV6663" s="903"/>
      <c r="BW6663" s="908"/>
      <c r="BX6663" s="908"/>
      <c r="BY6663" s="331"/>
      <c r="BZ6663" s="331"/>
      <c r="CA6663" s="462"/>
      <c r="CB6663" s="319"/>
      <c r="CC6663" s="319"/>
      <c r="CD6663" s="319"/>
      <c r="CE6663" s="319"/>
      <c r="CF6663" s="319"/>
      <c r="CG6663" s="319"/>
      <c r="CH6663" s="318"/>
      <c r="CI6663" s="319"/>
      <c r="CJ6663" s="319"/>
      <c r="CK6663" s="342"/>
      <c r="CL6663" s="333"/>
      <c r="CM6663" s="1079"/>
      <c r="CN6663" s="1005"/>
      <c r="CO6663" s="1005"/>
      <c r="CP6663" s="1005"/>
    </row>
    <row r="6664">
      <c r="A6664" s="1257"/>
      <c r="B6664" s="1113"/>
      <c r="C6664" s="1107"/>
      <c r="D6664" s="103"/>
      <c r="E6664" s="1137"/>
      <c r="F6664" s="112"/>
      <c r="G6664" s="1110"/>
      <c r="H6664" s="1138"/>
      <c r="I6664" s="1138"/>
      <c r="J6664" s="1139"/>
      <c r="K6664" s="1111"/>
      <c r="L6664" s="1112"/>
      <c r="M6664" s="1113"/>
      <c r="N6664" s="110"/>
      <c r="O6664" s="1140"/>
      <c r="P6664" s="1115"/>
      <c r="Q6664" s="1116"/>
      <c r="R6664" s="1141"/>
      <c r="S6664" s="1113"/>
      <c r="T6664" s="1143"/>
      <c r="U6664" s="1108"/>
      <c r="V6664" s="1108"/>
      <c r="W6664" s="1108"/>
      <c r="X6664" s="1108"/>
      <c r="Y6664" s="1108"/>
      <c r="Z6664" s="1114"/>
      <c r="AA6664" s="1114"/>
      <c r="AB6664" s="1114"/>
      <c r="AC6664" s="1117"/>
      <c r="AD6664" s="1115"/>
      <c r="AE6664" s="1115"/>
      <c r="AF6664" s="1115"/>
      <c r="AG6664" s="1115"/>
      <c r="AH6664" s="1115"/>
      <c r="AI6664" s="1115"/>
      <c r="AJ6664" s="1117"/>
      <c r="AK6664" s="1118"/>
      <c r="AL6664" s="1115"/>
      <c r="AM6664" s="1115"/>
      <c r="AN6664" s="1115"/>
      <c r="AO6664" s="1115"/>
      <c r="AP6664" s="1115"/>
      <c r="AQ6664" s="1115"/>
      <c r="AR6664" s="1115"/>
      <c r="AS6664" s="1117"/>
      <c r="AT6664" s="1075"/>
      <c r="AU6664" s="1193"/>
      <c r="AV6664" s="330"/>
      <c r="AW6664" s="331"/>
      <c r="AX6664" s="331"/>
      <c r="AY6664" s="331"/>
      <c r="AZ6664" s="331"/>
      <c r="BA6664" s="331"/>
      <c r="BB6664" s="331"/>
      <c r="BC6664" s="331"/>
      <c r="BD6664" s="331"/>
      <c r="BE6664" s="333"/>
      <c r="BF6664" s="330"/>
      <c r="BG6664" s="333"/>
      <c r="BH6664" s="1119"/>
      <c r="BI6664" s="319"/>
      <c r="BJ6664" s="319"/>
      <c r="BK6664" s="319"/>
      <c r="BL6664" s="319"/>
      <c r="BM6664" s="319"/>
      <c r="BN6664" s="319"/>
      <c r="BO6664" s="319"/>
      <c r="BP6664" s="953"/>
      <c r="BQ6664" s="319"/>
      <c r="BR6664" s="319"/>
      <c r="BS6664" s="330"/>
      <c r="BT6664" s="331"/>
      <c r="BU6664" s="920"/>
      <c r="BV6664" s="903"/>
      <c r="BW6664" s="908"/>
      <c r="BX6664" s="908"/>
      <c r="BY6664" s="331"/>
      <c r="BZ6664" s="331"/>
      <c r="CA6664" s="462"/>
      <c r="CB6664" s="319"/>
      <c r="CC6664" s="319"/>
      <c r="CD6664" s="319"/>
      <c r="CE6664" s="319"/>
      <c r="CF6664" s="319"/>
      <c r="CG6664" s="319"/>
      <c r="CH6664" s="318"/>
      <c r="CI6664" s="319"/>
      <c r="CJ6664" s="319"/>
      <c r="CK6664" s="342"/>
      <c r="CL6664" s="333"/>
      <c r="CM6664" s="1079"/>
      <c r="CN6664" s="1005"/>
      <c r="CO6664" s="1005"/>
      <c r="CP6664" s="1005"/>
    </row>
    <row r="6665">
      <c r="A6665" s="1257"/>
      <c r="B6665" s="1113"/>
      <c r="C6665" s="1107"/>
      <c r="D6665" s="103"/>
      <c r="E6665" s="1137"/>
      <c r="F6665" s="112"/>
      <c r="G6665" s="1110"/>
      <c r="H6665" s="1138"/>
      <c r="I6665" s="1138"/>
      <c r="J6665" s="1139"/>
      <c r="K6665" s="1111"/>
      <c r="L6665" s="1112"/>
      <c r="M6665" s="1113"/>
      <c r="N6665" s="110"/>
      <c r="O6665" s="1140"/>
      <c r="P6665" s="1115"/>
      <c r="Q6665" s="1116"/>
      <c r="R6665" s="1141"/>
      <c r="S6665" s="1113"/>
      <c r="T6665" s="1143"/>
      <c r="U6665" s="1108"/>
      <c r="V6665" s="1108"/>
      <c r="W6665" s="1108"/>
      <c r="X6665" s="1108"/>
      <c r="Y6665" s="1108"/>
      <c r="Z6665" s="1114"/>
      <c r="AA6665" s="1114"/>
      <c r="AB6665" s="1114"/>
      <c r="AC6665" s="1117"/>
      <c r="AD6665" s="1115"/>
      <c r="AE6665" s="1115"/>
      <c r="AF6665" s="1115"/>
      <c r="AG6665" s="1115"/>
      <c r="AH6665" s="1115"/>
      <c r="AI6665" s="1115"/>
      <c r="AJ6665" s="1117"/>
      <c r="AK6665" s="1118"/>
      <c r="AL6665" s="1115"/>
      <c r="AM6665" s="1115"/>
      <c r="AN6665" s="1115"/>
      <c r="AO6665" s="1115"/>
      <c r="AP6665" s="1115"/>
      <c r="AQ6665" s="1115"/>
      <c r="AR6665" s="1115"/>
      <c r="AS6665" s="1117"/>
      <c r="AT6665" s="1075"/>
      <c r="AU6665" s="1193"/>
      <c r="AV6665" s="330"/>
      <c r="AW6665" s="331"/>
      <c r="AX6665" s="331"/>
      <c r="AY6665" s="331"/>
      <c r="AZ6665" s="331"/>
      <c r="BA6665" s="331"/>
      <c r="BB6665" s="331"/>
      <c r="BC6665" s="331"/>
      <c r="BD6665" s="331"/>
      <c r="BE6665" s="333"/>
      <c r="BF6665" s="330"/>
      <c r="BG6665" s="333"/>
      <c r="BH6665" s="1119"/>
      <c r="BI6665" s="319"/>
      <c r="BJ6665" s="319"/>
      <c r="BK6665" s="319"/>
      <c r="BL6665" s="319"/>
      <c r="BM6665" s="319"/>
      <c r="BN6665" s="319"/>
      <c r="BO6665" s="319"/>
      <c r="BP6665" s="953"/>
      <c r="BQ6665" s="319"/>
      <c r="BR6665" s="319"/>
      <c r="BS6665" s="330"/>
      <c r="BT6665" s="331"/>
      <c r="BU6665" s="920"/>
      <c r="BV6665" s="903"/>
      <c r="BW6665" s="908"/>
      <c r="BX6665" s="908"/>
      <c r="BY6665" s="331"/>
      <c r="BZ6665" s="331"/>
      <c r="CA6665" s="462"/>
      <c r="CB6665" s="319"/>
      <c r="CC6665" s="319"/>
      <c r="CD6665" s="319"/>
      <c r="CE6665" s="319"/>
      <c r="CF6665" s="319"/>
      <c r="CG6665" s="319"/>
      <c r="CH6665" s="318"/>
      <c r="CI6665" s="319"/>
      <c r="CJ6665" s="319"/>
      <c r="CK6665" s="342"/>
      <c r="CL6665" s="333"/>
      <c r="CM6665" s="1079"/>
      <c r="CN6665" s="1005"/>
      <c r="CO6665" s="1005"/>
      <c r="CP6665" s="1005"/>
    </row>
    <row r="6666">
      <c r="A6666" s="1257"/>
      <c r="B6666" s="1113"/>
      <c r="C6666" s="1107"/>
      <c r="D6666" s="103"/>
      <c r="E6666" s="1137"/>
      <c r="F6666" s="112"/>
      <c r="G6666" s="1110"/>
      <c r="H6666" s="1138"/>
      <c r="I6666" s="1138"/>
      <c r="J6666" s="1139"/>
      <c r="K6666" s="1111"/>
      <c r="L6666" s="1112"/>
      <c r="M6666" s="1113"/>
      <c r="N6666" s="110"/>
      <c r="O6666" s="1140"/>
      <c r="P6666" s="1115"/>
      <c r="Q6666" s="1116"/>
      <c r="R6666" s="1141"/>
      <c r="S6666" s="1113"/>
      <c r="T6666" s="1143"/>
      <c r="U6666" s="1108"/>
      <c r="V6666" s="1108"/>
      <c r="W6666" s="1108"/>
      <c r="X6666" s="1108"/>
      <c r="Y6666" s="1108"/>
      <c r="Z6666" s="1114"/>
      <c r="AA6666" s="1114"/>
      <c r="AB6666" s="1114"/>
      <c r="AC6666" s="1117"/>
      <c r="AD6666" s="1115"/>
      <c r="AE6666" s="1115"/>
      <c r="AF6666" s="1115"/>
      <c r="AG6666" s="1115"/>
      <c r="AH6666" s="1115"/>
      <c r="AI6666" s="1115"/>
      <c r="AJ6666" s="1117"/>
      <c r="AK6666" s="1118"/>
      <c r="AL6666" s="1115"/>
      <c r="AM6666" s="1115"/>
      <c r="AN6666" s="1115"/>
      <c r="AO6666" s="1115"/>
      <c r="AP6666" s="1115"/>
      <c r="AQ6666" s="1115"/>
      <c r="AR6666" s="1115"/>
      <c r="AS6666" s="1117"/>
      <c r="AT6666" s="1075"/>
      <c r="AU6666" s="1193"/>
      <c r="AV6666" s="330"/>
      <c r="AW6666" s="331"/>
      <c r="AX6666" s="331"/>
      <c r="AY6666" s="331"/>
      <c r="AZ6666" s="331"/>
      <c r="BA6666" s="331"/>
      <c r="BB6666" s="331"/>
      <c r="BC6666" s="331"/>
      <c r="BD6666" s="331"/>
      <c r="BE6666" s="333"/>
      <c r="BF6666" s="330"/>
      <c r="BG6666" s="333"/>
      <c r="BH6666" s="1119"/>
      <c r="BI6666" s="319"/>
      <c r="BJ6666" s="319"/>
      <c r="BK6666" s="319"/>
      <c r="BL6666" s="319"/>
      <c r="BM6666" s="319"/>
      <c r="BN6666" s="319"/>
      <c r="BO6666" s="319"/>
      <c r="BP6666" s="953"/>
      <c r="BQ6666" s="319"/>
      <c r="BR6666" s="319"/>
      <c r="BS6666" s="330"/>
      <c r="BT6666" s="331"/>
      <c r="BU6666" s="920"/>
      <c r="BV6666" s="903"/>
      <c r="BW6666" s="908"/>
      <c r="BX6666" s="908"/>
      <c r="BY6666" s="331"/>
      <c r="BZ6666" s="331"/>
      <c r="CA6666" s="462"/>
      <c r="CB6666" s="319"/>
      <c r="CC6666" s="319"/>
      <c r="CD6666" s="319"/>
      <c r="CE6666" s="319"/>
      <c r="CF6666" s="319"/>
      <c r="CG6666" s="319"/>
      <c r="CH6666" s="318"/>
      <c r="CI6666" s="319"/>
      <c r="CJ6666" s="319"/>
      <c r="CK6666" s="342"/>
      <c r="CL6666" s="333"/>
      <c r="CM6666" s="1079"/>
      <c r="CN6666" s="1005"/>
      <c r="CO6666" s="1005"/>
      <c r="CP6666" s="1005"/>
    </row>
    <row r="6667">
      <c r="A6667" s="1257"/>
      <c r="B6667" s="1113"/>
      <c r="C6667" s="1107"/>
      <c r="D6667" s="103"/>
      <c r="E6667" s="1137"/>
      <c r="F6667" s="112"/>
      <c r="G6667" s="1110"/>
      <c r="H6667" s="1138"/>
      <c r="I6667" s="1138"/>
      <c r="J6667" s="1139"/>
      <c r="K6667" s="1111"/>
      <c r="L6667" s="1112"/>
      <c r="M6667" s="1113"/>
      <c r="N6667" s="110"/>
      <c r="O6667" s="1140"/>
      <c r="P6667" s="1115"/>
      <c r="Q6667" s="1116"/>
      <c r="R6667" s="1141"/>
      <c r="S6667" s="1113"/>
      <c r="T6667" s="1143"/>
      <c r="U6667" s="1108"/>
      <c r="V6667" s="1108"/>
      <c r="W6667" s="1108"/>
      <c r="X6667" s="1108"/>
      <c r="Y6667" s="1108"/>
      <c r="Z6667" s="1114"/>
      <c r="AA6667" s="1114"/>
      <c r="AB6667" s="1114"/>
      <c r="AC6667" s="1117"/>
      <c r="AD6667" s="1115"/>
      <c r="AE6667" s="1115"/>
      <c r="AF6667" s="1115"/>
      <c r="AG6667" s="1115"/>
      <c r="AH6667" s="1115"/>
      <c r="AI6667" s="1115"/>
      <c r="AJ6667" s="1117"/>
      <c r="AK6667" s="1118"/>
      <c r="AL6667" s="1115"/>
      <c r="AM6667" s="1115"/>
      <c r="AN6667" s="1115"/>
      <c r="AO6667" s="1115"/>
      <c r="AP6667" s="1115"/>
      <c r="AQ6667" s="1115"/>
      <c r="AR6667" s="1115"/>
      <c r="AS6667" s="1117"/>
      <c r="AT6667" s="1075"/>
      <c r="AU6667" s="1193"/>
      <c r="AV6667" s="330"/>
      <c r="AW6667" s="331"/>
      <c r="AX6667" s="331"/>
      <c r="AY6667" s="331"/>
      <c r="AZ6667" s="331"/>
      <c r="BA6667" s="331"/>
      <c r="BB6667" s="331"/>
      <c r="BC6667" s="331"/>
      <c r="BD6667" s="331"/>
      <c r="BE6667" s="333"/>
      <c r="BF6667" s="330"/>
      <c r="BG6667" s="333"/>
      <c r="BH6667" s="1119"/>
      <c r="BI6667" s="319"/>
      <c r="BJ6667" s="319"/>
      <c r="BK6667" s="319"/>
      <c r="BL6667" s="319"/>
      <c r="BM6667" s="319"/>
      <c r="BN6667" s="319"/>
      <c r="BO6667" s="319"/>
      <c r="BP6667" s="953"/>
      <c r="BQ6667" s="319"/>
      <c r="BR6667" s="319"/>
      <c r="BS6667" s="330"/>
      <c r="BT6667" s="331"/>
      <c r="BU6667" s="920"/>
      <c r="BV6667" s="903"/>
      <c r="BW6667" s="908"/>
      <c r="BX6667" s="908"/>
      <c r="BY6667" s="331"/>
      <c r="BZ6667" s="331"/>
      <c r="CA6667" s="462"/>
      <c r="CB6667" s="319"/>
      <c r="CC6667" s="319"/>
      <c r="CD6667" s="319"/>
      <c r="CE6667" s="319"/>
      <c r="CF6667" s="319"/>
      <c r="CG6667" s="319"/>
      <c r="CH6667" s="318"/>
      <c r="CI6667" s="319"/>
      <c r="CJ6667" s="319"/>
      <c r="CK6667" s="342"/>
      <c r="CL6667" s="333"/>
      <c r="CM6667" s="1079"/>
      <c r="CN6667" s="1005"/>
      <c r="CO6667" s="1005"/>
      <c r="CP6667" s="1005"/>
    </row>
    <row r="6668">
      <c r="A6668" s="1257"/>
      <c r="B6668" s="1113"/>
      <c r="C6668" s="1107"/>
      <c r="D6668" s="103"/>
      <c r="E6668" s="1137"/>
      <c r="F6668" s="112"/>
      <c r="G6668" s="1110"/>
      <c r="H6668" s="1138"/>
      <c r="I6668" s="1138"/>
      <c r="J6668" s="1139"/>
      <c r="K6668" s="1111"/>
      <c r="L6668" s="1112"/>
      <c r="M6668" s="1113"/>
      <c r="N6668" s="110"/>
      <c r="O6668" s="1140"/>
      <c r="P6668" s="1115"/>
      <c r="Q6668" s="1116"/>
      <c r="R6668" s="1141"/>
      <c r="S6668" s="1113"/>
      <c r="T6668" s="1143"/>
      <c r="U6668" s="1108"/>
      <c r="V6668" s="1108"/>
      <c r="W6668" s="1108"/>
      <c r="X6668" s="1108"/>
      <c r="Y6668" s="1108"/>
      <c r="Z6668" s="1114"/>
      <c r="AA6668" s="1114"/>
      <c r="AB6668" s="1114"/>
      <c r="AC6668" s="1117"/>
      <c r="AD6668" s="1115"/>
      <c r="AE6668" s="1115"/>
      <c r="AF6668" s="1115"/>
      <c r="AG6668" s="1115"/>
      <c r="AH6668" s="1115"/>
      <c r="AI6668" s="1115"/>
      <c r="AJ6668" s="1117"/>
      <c r="AK6668" s="1118"/>
      <c r="AL6668" s="1115"/>
      <c r="AM6668" s="1115"/>
      <c r="AN6668" s="1115"/>
      <c r="AO6668" s="1115"/>
      <c r="AP6668" s="1115"/>
      <c r="AQ6668" s="1115"/>
      <c r="AR6668" s="1115"/>
      <c r="AS6668" s="1117"/>
      <c r="AT6668" s="1075"/>
      <c r="AU6668" s="1193"/>
      <c r="AV6668" s="330"/>
      <c r="AW6668" s="331"/>
      <c r="AX6668" s="331"/>
      <c r="AY6668" s="331"/>
      <c r="AZ6668" s="331"/>
      <c r="BA6668" s="331"/>
      <c r="BB6668" s="331"/>
      <c r="BC6668" s="331"/>
      <c r="BD6668" s="331"/>
      <c r="BE6668" s="333"/>
      <c r="BF6668" s="330"/>
      <c r="BG6668" s="333"/>
      <c r="BH6668" s="1119"/>
      <c r="BI6668" s="319"/>
      <c r="BJ6668" s="319"/>
      <c r="BK6668" s="319"/>
      <c r="BL6668" s="319"/>
      <c r="BM6668" s="319"/>
      <c r="BN6668" s="319"/>
      <c r="BO6668" s="319"/>
      <c r="BP6668" s="953"/>
      <c r="BQ6668" s="319"/>
      <c r="BR6668" s="319"/>
      <c r="BS6668" s="330"/>
      <c r="BT6668" s="331"/>
      <c r="BU6668" s="920"/>
      <c r="BV6668" s="903"/>
      <c r="BW6668" s="908"/>
      <c r="BX6668" s="908"/>
      <c r="BY6668" s="331"/>
      <c r="BZ6668" s="331"/>
      <c r="CA6668" s="462"/>
      <c r="CB6668" s="319"/>
      <c r="CC6668" s="319"/>
      <c r="CD6668" s="319"/>
      <c r="CE6668" s="319"/>
      <c r="CF6668" s="319"/>
      <c r="CG6668" s="319"/>
      <c r="CH6668" s="318"/>
      <c r="CI6668" s="319"/>
      <c r="CJ6668" s="319"/>
      <c r="CK6668" s="342"/>
      <c r="CL6668" s="333"/>
      <c r="CM6668" s="1079"/>
      <c r="CN6668" s="1005"/>
      <c r="CO6668" s="1005"/>
      <c r="CP6668" s="1005"/>
    </row>
    <row r="6669">
      <c r="A6669" s="1257"/>
      <c r="B6669" s="1113"/>
      <c r="C6669" s="1107"/>
      <c r="D6669" s="103"/>
      <c r="E6669" s="1137"/>
      <c r="F6669" s="112"/>
      <c r="G6669" s="1110"/>
      <c r="H6669" s="1138"/>
      <c r="I6669" s="1138"/>
      <c r="J6669" s="1139"/>
      <c r="K6669" s="1111"/>
      <c r="L6669" s="1112"/>
      <c r="M6669" s="1113"/>
      <c r="N6669" s="110"/>
      <c r="O6669" s="1140"/>
      <c r="P6669" s="1115"/>
      <c r="Q6669" s="1116"/>
      <c r="R6669" s="1141"/>
      <c r="S6669" s="1113"/>
      <c r="T6669" s="1143"/>
      <c r="U6669" s="1108"/>
      <c r="V6669" s="1108"/>
      <c r="W6669" s="1108"/>
      <c r="X6669" s="1108"/>
      <c r="Y6669" s="1108"/>
      <c r="Z6669" s="1114"/>
      <c r="AA6669" s="1114"/>
      <c r="AB6669" s="1114"/>
      <c r="AC6669" s="1117"/>
      <c r="AD6669" s="1115"/>
      <c r="AE6669" s="1115"/>
      <c r="AF6669" s="1115"/>
      <c r="AG6669" s="1115"/>
      <c r="AH6669" s="1115"/>
      <c r="AI6669" s="1115"/>
      <c r="AJ6669" s="1117"/>
      <c r="AK6669" s="1118"/>
      <c r="AL6669" s="1115"/>
      <c r="AM6669" s="1115"/>
      <c r="AN6669" s="1115"/>
      <c r="AO6669" s="1115"/>
      <c r="AP6669" s="1115"/>
      <c r="AQ6669" s="1115"/>
      <c r="AR6669" s="1115"/>
      <c r="AS6669" s="1117"/>
      <c r="AT6669" s="1075"/>
      <c r="AU6669" s="1193"/>
      <c r="AV6669" s="330"/>
      <c r="AW6669" s="331"/>
      <c r="AX6669" s="331"/>
      <c r="AY6669" s="331"/>
      <c r="AZ6669" s="331"/>
      <c r="BA6669" s="331"/>
      <c r="BB6669" s="331"/>
      <c r="BC6669" s="331"/>
      <c r="BD6669" s="331"/>
      <c r="BE6669" s="333"/>
      <c r="BF6669" s="330"/>
      <c r="BG6669" s="333"/>
      <c r="BH6669" s="1119"/>
      <c r="BI6669" s="319"/>
      <c r="BJ6669" s="319"/>
      <c r="BK6669" s="319"/>
      <c r="BL6669" s="319"/>
      <c r="BM6669" s="319"/>
      <c r="BN6669" s="319"/>
      <c r="BO6669" s="319"/>
      <c r="BP6669" s="953"/>
      <c r="BQ6669" s="319"/>
      <c r="BR6669" s="319"/>
      <c r="BS6669" s="330"/>
      <c r="BT6669" s="331"/>
      <c r="BU6669" s="920"/>
      <c r="BV6669" s="903"/>
      <c r="BW6669" s="908"/>
      <c r="BX6669" s="908"/>
      <c r="BY6669" s="331"/>
      <c r="BZ6669" s="331"/>
      <c r="CA6669" s="462"/>
      <c r="CB6669" s="319"/>
      <c r="CC6669" s="319"/>
      <c r="CD6669" s="319"/>
      <c r="CE6669" s="319"/>
      <c r="CF6669" s="319"/>
      <c r="CG6669" s="319"/>
      <c r="CH6669" s="318"/>
      <c r="CI6669" s="319"/>
      <c r="CJ6669" s="319"/>
      <c r="CK6669" s="342"/>
      <c r="CL6669" s="333"/>
      <c r="CM6669" s="1079"/>
      <c r="CN6669" s="1005"/>
      <c r="CO6669" s="1005"/>
      <c r="CP6669" s="1005"/>
    </row>
    <row r="6670">
      <c r="A6670" s="1257"/>
      <c r="B6670" s="1113"/>
      <c r="C6670" s="1107"/>
      <c r="D6670" s="103"/>
      <c r="E6670" s="1137"/>
      <c r="F6670" s="112"/>
      <c r="G6670" s="1110"/>
      <c r="H6670" s="1138"/>
      <c r="I6670" s="1138"/>
      <c r="J6670" s="1139"/>
      <c r="K6670" s="1111"/>
      <c r="L6670" s="1112"/>
      <c r="M6670" s="1113"/>
      <c r="N6670" s="110"/>
      <c r="O6670" s="1140"/>
      <c r="P6670" s="1115"/>
      <c r="Q6670" s="1116"/>
      <c r="R6670" s="1141"/>
      <c r="S6670" s="1113"/>
      <c r="T6670" s="1143"/>
      <c r="U6670" s="1108"/>
      <c r="V6670" s="1108"/>
      <c r="W6670" s="1108"/>
      <c r="X6670" s="1108"/>
      <c r="Y6670" s="1108"/>
      <c r="Z6670" s="1114"/>
      <c r="AA6670" s="1114"/>
      <c r="AB6670" s="1114"/>
      <c r="AC6670" s="1117"/>
      <c r="AD6670" s="1115"/>
      <c r="AE6670" s="1115"/>
      <c r="AF6670" s="1115"/>
      <c r="AG6670" s="1115"/>
      <c r="AH6670" s="1115"/>
      <c r="AI6670" s="1115"/>
      <c r="AJ6670" s="1117"/>
      <c r="AK6670" s="1118"/>
      <c r="AL6670" s="1115"/>
      <c r="AM6670" s="1115"/>
      <c r="AN6670" s="1115"/>
      <c r="AO6670" s="1115"/>
      <c r="AP6670" s="1115"/>
      <c r="AQ6670" s="1115"/>
      <c r="AR6670" s="1115"/>
      <c r="AS6670" s="1117"/>
      <c r="AT6670" s="1075"/>
      <c r="AU6670" s="1193"/>
      <c r="AV6670" s="330"/>
      <c r="AW6670" s="331"/>
      <c r="AX6670" s="331"/>
      <c r="AY6670" s="331"/>
      <c r="AZ6670" s="331"/>
      <c r="BA6670" s="331"/>
      <c r="BB6670" s="331"/>
      <c r="BC6670" s="331"/>
      <c r="BD6670" s="331"/>
      <c r="BE6670" s="333"/>
      <c r="BF6670" s="330"/>
      <c r="BG6670" s="333"/>
      <c r="BH6670" s="1119"/>
      <c r="BI6670" s="319"/>
      <c r="BJ6670" s="319"/>
      <c r="BK6670" s="319"/>
      <c r="BL6670" s="319"/>
      <c r="BM6670" s="319"/>
      <c r="BN6670" s="319"/>
      <c r="BO6670" s="319"/>
      <c r="BP6670" s="953"/>
      <c r="BQ6670" s="319"/>
      <c r="BR6670" s="319"/>
      <c r="BS6670" s="330"/>
      <c r="BT6670" s="331"/>
      <c r="BU6670" s="920"/>
      <c r="BV6670" s="903"/>
      <c r="BW6670" s="908"/>
      <c r="BX6670" s="908"/>
      <c r="BY6670" s="331"/>
      <c r="BZ6670" s="331"/>
      <c r="CA6670" s="462"/>
      <c r="CB6670" s="319"/>
      <c r="CC6670" s="319"/>
      <c r="CD6670" s="319"/>
      <c r="CE6670" s="319"/>
      <c r="CF6670" s="319"/>
      <c r="CG6670" s="319"/>
      <c r="CH6670" s="318"/>
      <c r="CI6670" s="319"/>
      <c r="CJ6670" s="319"/>
      <c r="CK6670" s="342"/>
      <c r="CL6670" s="333"/>
      <c r="CM6670" s="1079"/>
      <c r="CN6670" s="1005"/>
      <c r="CO6670" s="1005"/>
      <c r="CP6670" s="1005"/>
    </row>
    <row r="6671">
      <c r="A6671" s="1257"/>
      <c r="B6671" s="1113"/>
      <c r="C6671" s="1107"/>
      <c r="D6671" s="103"/>
      <c r="E6671" s="1137"/>
      <c r="F6671" s="112"/>
      <c r="G6671" s="1110"/>
      <c r="H6671" s="1138"/>
      <c r="I6671" s="1138"/>
      <c r="J6671" s="1139"/>
      <c r="K6671" s="1111"/>
      <c r="L6671" s="1112"/>
      <c r="M6671" s="1113"/>
      <c r="N6671" s="110"/>
      <c r="O6671" s="1140"/>
      <c r="P6671" s="1115"/>
      <c r="Q6671" s="1116"/>
      <c r="R6671" s="1141"/>
      <c r="S6671" s="1113"/>
      <c r="T6671" s="1143"/>
      <c r="U6671" s="1108"/>
      <c r="V6671" s="1108"/>
      <c r="W6671" s="1108"/>
      <c r="X6671" s="1108"/>
      <c r="Y6671" s="1108"/>
      <c r="Z6671" s="1114"/>
      <c r="AA6671" s="1114"/>
      <c r="AB6671" s="1114"/>
      <c r="AC6671" s="1117"/>
      <c r="AD6671" s="1115"/>
      <c r="AE6671" s="1115"/>
      <c r="AF6671" s="1115"/>
      <c r="AG6671" s="1115"/>
      <c r="AH6671" s="1115"/>
      <c r="AI6671" s="1115"/>
      <c r="AJ6671" s="1117"/>
      <c r="AK6671" s="1118"/>
      <c r="AL6671" s="1115"/>
      <c r="AM6671" s="1115"/>
      <c r="AN6671" s="1115"/>
      <c r="AO6671" s="1115"/>
      <c r="AP6671" s="1115"/>
      <c r="AQ6671" s="1115"/>
      <c r="AR6671" s="1115"/>
      <c r="AS6671" s="1117"/>
      <c r="AT6671" s="1075"/>
      <c r="AU6671" s="1193"/>
      <c r="AV6671" s="330"/>
      <c r="AW6671" s="331"/>
      <c r="AX6671" s="331"/>
      <c r="AY6671" s="331"/>
      <c r="AZ6671" s="331"/>
      <c r="BA6671" s="331"/>
      <c r="BB6671" s="331"/>
      <c r="BC6671" s="331"/>
      <c r="BD6671" s="331"/>
      <c r="BE6671" s="333"/>
      <c r="BF6671" s="330"/>
      <c r="BG6671" s="333"/>
      <c r="BH6671" s="1119"/>
      <c r="BI6671" s="319"/>
      <c r="BJ6671" s="319"/>
      <c r="BK6671" s="319"/>
      <c r="BL6671" s="319"/>
      <c r="BM6671" s="319"/>
      <c r="BN6671" s="319"/>
      <c r="BO6671" s="319"/>
      <c r="BP6671" s="953"/>
      <c r="BQ6671" s="319"/>
      <c r="BR6671" s="319"/>
      <c r="BS6671" s="330"/>
      <c r="BT6671" s="331"/>
      <c r="BU6671" s="920"/>
      <c r="BV6671" s="903"/>
      <c r="BW6671" s="908"/>
      <c r="BX6671" s="908"/>
      <c r="BY6671" s="331"/>
      <c r="BZ6671" s="331"/>
      <c r="CA6671" s="462"/>
      <c r="CB6671" s="319"/>
      <c r="CC6671" s="319"/>
      <c r="CD6671" s="319"/>
      <c r="CE6671" s="319"/>
      <c r="CF6671" s="319"/>
      <c r="CG6671" s="319"/>
      <c r="CH6671" s="318"/>
      <c r="CI6671" s="319"/>
      <c r="CJ6671" s="319"/>
      <c r="CK6671" s="342"/>
      <c r="CL6671" s="333"/>
      <c r="CM6671" s="1079"/>
      <c r="CN6671" s="1005"/>
      <c r="CO6671" s="1005"/>
      <c r="CP6671" s="1005"/>
    </row>
    <row r="6672">
      <c r="A6672" s="1257"/>
      <c r="B6672" s="1113"/>
      <c r="C6672" s="1107"/>
      <c r="D6672" s="103"/>
      <c r="E6672" s="1137"/>
      <c r="F6672" s="112"/>
      <c r="G6672" s="1110"/>
      <c r="H6672" s="1138"/>
      <c r="I6672" s="1138"/>
      <c r="J6672" s="1139"/>
      <c r="K6672" s="1111"/>
      <c r="L6672" s="1112"/>
      <c r="M6672" s="1113"/>
      <c r="N6672" s="110"/>
      <c r="O6672" s="1140"/>
      <c r="P6672" s="1115"/>
      <c r="Q6672" s="1116"/>
      <c r="R6672" s="1141"/>
      <c r="S6672" s="1113"/>
      <c r="T6672" s="1143"/>
      <c r="U6672" s="1108"/>
      <c r="V6672" s="1108"/>
      <c r="W6672" s="1108"/>
      <c r="X6672" s="1108"/>
      <c r="Y6672" s="1108"/>
      <c r="Z6672" s="1114"/>
      <c r="AA6672" s="1114"/>
      <c r="AB6672" s="1114"/>
      <c r="AC6672" s="1117"/>
      <c r="AD6672" s="1115"/>
      <c r="AE6672" s="1115"/>
      <c r="AF6672" s="1115"/>
      <c r="AG6672" s="1115"/>
      <c r="AH6672" s="1115"/>
      <c r="AI6672" s="1115"/>
      <c r="AJ6672" s="1117"/>
      <c r="AK6672" s="1118"/>
      <c r="AL6672" s="1115"/>
      <c r="AM6672" s="1115"/>
      <c r="AN6672" s="1115"/>
      <c r="AO6672" s="1115"/>
      <c r="AP6672" s="1115"/>
      <c r="AQ6672" s="1115"/>
      <c r="AR6672" s="1115"/>
      <c r="AS6672" s="1117"/>
      <c r="AT6672" s="1075"/>
      <c r="AU6672" s="1193"/>
      <c r="AV6672" s="330"/>
      <c r="AW6672" s="331"/>
      <c r="AX6672" s="331"/>
      <c r="AY6672" s="331"/>
      <c r="AZ6672" s="331"/>
      <c r="BA6672" s="331"/>
      <c r="BB6672" s="331"/>
      <c r="BC6672" s="331"/>
      <c r="BD6672" s="331"/>
      <c r="BE6672" s="333"/>
      <c r="BF6672" s="330"/>
      <c r="BG6672" s="333"/>
      <c r="BH6672" s="1119"/>
      <c r="BI6672" s="319"/>
      <c r="BJ6672" s="319"/>
      <c r="BK6672" s="319"/>
      <c r="BL6672" s="319"/>
      <c r="BM6672" s="319"/>
      <c r="BN6672" s="319"/>
      <c r="BO6672" s="319"/>
      <c r="BP6672" s="953"/>
      <c r="BQ6672" s="319"/>
      <c r="BR6672" s="319"/>
      <c r="BS6672" s="330"/>
      <c r="BT6672" s="331"/>
      <c r="BU6672" s="920"/>
      <c r="BV6672" s="903"/>
      <c r="BW6672" s="908"/>
      <c r="BX6672" s="908"/>
      <c r="BY6672" s="331"/>
      <c r="BZ6672" s="331"/>
      <c r="CA6672" s="462"/>
      <c r="CB6672" s="319"/>
      <c r="CC6672" s="319"/>
      <c r="CD6672" s="319"/>
      <c r="CE6672" s="319"/>
      <c r="CF6672" s="319"/>
      <c r="CG6672" s="319"/>
      <c r="CH6672" s="318"/>
      <c r="CI6672" s="319"/>
      <c r="CJ6672" s="319"/>
      <c r="CK6672" s="342"/>
      <c r="CL6672" s="333"/>
      <c r="CM6672" s="1079"/>
      <c r="CN6672" s="1005"/>
      <c r="CO6672" s="1005"/>
      <c r="CP6672" s="1005"/>
    </row>
    <row r="6673">
      <c r="A6673" s="1257"/>
      <c r="B6673" s="1113"/>
      <c r="C6673" s="1107"/>
      <c r="D6673" s="103"/>
      <c r="E6673" s="1137"/>
      <c r="F6673" s="112"/>
      <c r="G6673" s="1110"/>
      <c r="H6673" s="1138"/>
      <c r="I6673" s="1138"/>
      <c r="J6673" s="1139"/>
      <c r="K6673" s="1111"/>
      <c r="L6673" s="1112"/>
      <c r="M6673" s="1113"/>
      <c r="N6673" s="110"/>
      <c r="O6673" s="1140"/>
      <c r="P6673" s="1115"/>
      <c r="Q6673" s="1116"/>
      <c r="R6673" s="1141"/>
      <c r="S6673" s="1113"/>
      <c r="T6673" s="1143"/>
      <c r="U6673" s="1108"/>
      <c r="V6673" s="1108"/>
      <c r="W6673" s="1108"/>
      <c r="X6673" s="1108"/>
      <c r="Y6673" s="1108"/>
      <c r="Z6673" s="1114"/>
      <c r="AA6673" s="1114"/>
      <c r="AB6673" s="1114"/>
      <c r="AC6673" s="1117"/>
      <c r="AD6673" s="1115"/>
      <c r="AE6673" s="1115"/>
      <c r="AF6673" s="1115"/>
      <c r="AG6673" s="1115"/>
      <c r="AH6673" s="1115"/>
      <c r="AI6673" s="1115"/>
      <c r="AJ6673" s="1117"/>
      <c r="AK6673" s="1118"/>
      <c r="AL6673" s="1115"/>
      <c r="AM6673" s="1115"/>
      <c r="AN6673" s="1115"/>
      <c r="AO6673" s="1115"/>
      <c r="AP6673" s="1115"/>
      <c r="AQ6673" s="1115"/>
      <c r="AR6673" s="1115"/>
      <c r="AS6673" s="1117"/>
      <c r="AT6673" s="1075"/>
      <c r="AU6673" s="1193"/>
      <c r="AV6673" s="330"/>
      <c r="AW6673" s="331"/>
      <c r="AX6673" s="331"/>
      <c r="AY6673" s="331"/>
      <c r="AZ6673" s="331"/>
      <c r="BA6673" s="331"/>
      <c r="BB6673" s="331"/>
      <c r="BC6673" s="331"/>
      <c r="BD6673" s="331"/>
      <c r="BE6673" s="333"/>
      <c r="BF6673" s="330"/>
      <c r="BG6673" s="333"/>
      <c r="BH6673" s="1119"/>
      <c r="BI6673" s="319"/>
      <c r="BJ6673" s="319"/>
      <c r="BK6673" s="319"/>
      <c r="BL6673" s="319"/>
      <c r="BM6673" s="319"/>
      <c r="BN6673" s="319"/>
      <c r="BO6673" s="319"/>
      <c r="BP6673" s="953"/>
      <c r="BQ6673" s="319"/>
      <c r="BR6673" s="319"/>
      <c r="BS6673" s="330"/>
      <c r="BT6673" s="331"/>
      <c r="BU6673" s="920"/>
      <c r="BV6673" s="903"/>
      <c r="BW6673" s="908"/>
      <c r="BX6673" s="908"/>
      <c r="BY6673" s="331"/>
      <c r="BZ6673" s="331"/>
      <c r="CA6673" s="462"/>
      <c r="CB6673" s="319"/>
      <c r="CC6673" s="319"/>
      <c r="CD6673" s="319"/>
      <c r="CE6673" s="319"/>
      <c r="CF6673" s="319"/>
      <c r="CG6673" s="319"/>
      <c r="CH6673" s="318"/>
      <c r="CI6673" s="319"/>
      <c r="CJ6673" s="319"/>
      <c r="CK6673" s="342"/>
      <c r="CL6673" s="333"/>
      <c r="CM6673" s="1079"/>
      <c r="CN6673" s="1005"/>
      <c r="CO6673" s="1005"/>
      <c r="CP6673" s="1005"/>
    </row>
    <row r="6674">
      <c r="A6674" s="1257"/>
      <c r="B6674" s="1113"/>
      <c r="C6674" s="1107"/>
      <c r="D6674" s="103"/>
      <c r="E6674" s="1137"/>
      <c r="F6674" s="112"/>
      <c r="G6674" s="1110"/>
      <c r="H6674" s="1138"/>
      <c r="I6674" s="1138"/>
      <c r="J6674" s="1139"/>
      <c r="K6674" s="1111"/>
      <c r="L6674" s="1112"/>
      <c r="M6674" s="1113"/>
      <c r="N6674" s="110"/>
      <c r="O6674" s="1140"/>
      <c r="P6674" s="1115"/>
      <c r="Q6674" s="1116"/>
      <c r="R6674" s="1141"/>
      <c r="S6674" s="1113"/>
      <c r="T6674" s="1143"/>
      <c r="U6674" s="1108"/>
      <c r="V6674" s="1108"/>
      <c r="W6674" s="1108"/>
      <c r="X6674" s="1108"/>
      <c r="Y6674" s="1108"/>
      <c r="Z6674" s="1114"/>
      <c r="AA6674" s="1114"/>
      <c r="AB6674" s="1114"/>
      <c r="AC6674" s="1117"/>
      <c r="AD6674" s="1115"/>
      <c r="AE6674" s="1115"/>
      <c r="AF6674" s="1115"/>
      <c r="AG6674" s="1115"/>
      <c r="AH6674" s="1115"/>
      <c r="AI6674" s="1115"/>
      <c r="AJ6674" s="1117"/>
      <c r="AK6674" s="1118"/>
      <c r="AL6674" s="1115"/>
      <c r="AM6674" s="1115"/>
      <c r="AN6674" s="1115"/>
      <c r="AO6674" s="1115"/>
      <c r="AP6674" s="1115"/>
      <c r="AQ6674" s="1115"/>
      <c r="AR6674" s="1115"/>
      <c r="AS6674" s="1117"/>
      <c r="AT6674" s="1075"/>
      <c r="AU6674" s="1193"/>
      <c r="AV6674" s="330"/>
      <c r="AW6674" s="331"/>
      <c r="AX6674" s="331"/>
      <c r="AY6674" s="331"/>
      <c r="AZ6674" s="331"/>
      <c r="BA6674" s="331"/>
      <c r="BB6674" s="331"/>
      <c r="BC6674" s="331"/>
      <c r="BD6674" s="331"/>
      <c r="BE6674" s="333"/>
      <c r="BF6674" s="330"/>
      <c r="BG6674" s="333"/>
      <c r="BH6674" s="1119"/>
      <c r="BI6674" s="319"/>
      <c r="BJ6674" s="319"/>
      <c r="BK6674" s="319"/>
      <c r="BL6674" s="319"/>
      <c r="BM6674" s="319"/>
      <c r="BN6674" s="319"/>
      <c r="BO6674" s="319"/>
      <c r="BP6674" s="953"/>
      <c r="BQ6674" s="319"/>
      <c r="BR6674" s="319"/>
      <c r="BS6674" s="330"/>
      <c r="BT6674" s="331"/>
      <c r="BU6674" s="920"/>
      <c r="BV6674" s="903"/>
      <c r="BW6674" s="908"/>
      <c r="BX6674" s="908"/>
      <c r="BY6674" s="331"/>
      <c r="BZ6674" s="331"/>
      <c r="CA6674" s="462"/>
      <c r="CB6674" s="319"/>
      <c r="CC6674" s="319"/>
      <c r="CD6674" s="319"/>
      <c r="CE6674" s="319"/>
      <c r="CF6674" s="319"/>
      <c r="CG6674" s="319"/>
      <c r="CH6674" s="318"/>
      <c r="CI6674" s="319"/>
      <c r="CJ6674" s="319"/>
      <c r="CK6674" s="342"/>
      <c r="CL6674" s="333"/>
      <c r="CM6674" s="1079"/>
      <c r="CN6674" s="1005"/>
      <c r="CO6674" s="1005"/>
      <c r="CP6674" s="1005"/>
    </row>
    <row r="6675">
      <c r="A6675" s="1257"/>
      <c r="B6675" s="1113"/>
      <c r="C6675" s="1107"/>
      <c r="D6675" s="103"/>
      <c r="E6675" s="1137"/>
      <c r="F6675" s="112"/>
      <c r="G6675" s="1110"/>
      <c r="H6675" s="1138"/>
      <c r="I6675" s="1138"/>
      <c r="J6675" s="1139"/>
      <c r="K6675" s="1111"/>
      <c r="L6675" s="1112"/>
      <c r="M6675" s="1113"/>
      <c r="N6675" s="110"/>
      <c r="O6675" s="1140"/>
      <c r="P6675" s="1115"/>
      <c r="Q6675" s="1116"/>
      <c r="R6675" s="1141"/>
      <c r="S6675" s="1113"/>
      <c r="T6675" s="1143"/>
      <c r="U6675" s="1108"/>
      <c r="V6675" s="1108"/>
      <c r="W6675" s="1108"/>
      <c r="X6675" s="1108"/>
      <c r="Y6675" s="1108"/>
      <c r="Z6675" s="1114"/>
      <c r="AA6675" s="1114"/>
      <c r="AB6675" s="1114"/>
      <c r="AC6675" s="1117"/>
      <c r="AD6675" s="1115"/>
      <c r="AE6675" s="1115"/>
      <c r="AF6675" s="1115"/>
      <c r="AG6675" s="1115"/>
      <c r="AH6675" s="1115"/>
      <c r="AI6675" s="1115"/>
      <c r="AJ6675" s="1117"/>
      <c r="AK6675" s="1118"/>
      <c r="AL6675" s="1115"/>
      <c r="AM6675" s="1115"/>
      <c r="AN6675" s="1115"/>
      <c r="AO6675" s="1115"/>
      <c r="AP6675" s="1115"/>
      <c r="AQ6675" s="1115"/>
      <c r="AR6675" s="1115"/>
      <c r="AS6675" s="1117"/>
      <c r="AT6675" s="1075"/>
      <c r="AU6675" s="1193"/>
      <c r="AV6675" s="330"/>
      <c r="AW6675" s="331"/>
      <c r="AX6675" s="331"/>
      <c r="AY6675" s="331"/>
      <c r="AZ6675" s="331"/>
      <c r="BA6675" s="331"/>
      <c r="BB6675" s="331"/>
      <c r="BC6675" s="331"/>
      <c r="BD6675" s="331"/>
      <c r="BE6675" s="333"/>
      <c r="BF6675" s="330"/>
      <c r="BG6675" s="333"/>
      <c r="BH6675" s="1119"/>
      <c r="BI6675" s="319"/>
      <c r="BJ6675" s="319"/>
      <c r="BK6675" s="319"/>
      <c r="BL6675" s="319"/>
      <c r="BM6675" s="319"/>
      <c r="BN6675" s="319"/>
      <c r="BO6675" s="319"/>
      <c r="BP6675" s="953"/>
      <c r="BQ6675" s="319"/>
      <c r="BR6675" s="319"/>
      <c r="BS6675" s="330"/>
      <c r="BT6675" s="331"/>
      <c r="BU6675" s="920"/>
      <c r="BV6675" s="903"/>
      <c r="BW6675" s="908"/>
      <c r="BX6675" s="908"/>
      <c r="BY6675" s="331"/>
      <c r="BZ6675" s="331"/>
      <c r="CA6675" s="462"/>
      <c r="CB6675" s="319"/>
      <c r="CC6675" s="319"/>
      <c r="CD6675" s="319"/>
      <c r="CE6675" s="319"/>
      <c r="CF6675" s="319"/>
      <c r="CG6675" s="319"/>
      <c r="CH6675" s="318"/>
      <c r="CI6675" s="319"/>
      <c r="CJ6675" s="319"/>
      <c r="CK6675" s="342"/>
      <c r="CL6675" s="333"/>
      <c r="CM6675" s="1079"/>
      <c r="CN6675" s="1005"/>
      <c r="CO6675" s="1005"/>
      <c r="CP6675" s="1005"/>
    </row>
    <row r="6676">
      <c r="A6676" s="1257"/>
      <c r="B6676" s="1113"/>
      <c r="C6676" s="1107"/>
      <c r="D6676" s="103"/>
      <c r="E6676" s="1137"/>
      <c r="F6676" s="112"/>
      <c r="G6676" s="1110"/>
      <c r="H6676" s="1138"/>
      <c r="I6676" s="1138"/>
      <c r="J6676" s="1139"/>
      <c r="K6676" s="1111"/>
      <c r="L6676" s="1112"/>
      <c r="M6676" s="1113"/>
      <c r="N6676" s="110"/>
      <c r="O6676" s="1140"/>
      <c r="P6676" s="1115"/>
      <c r="Q6676" s="1116"/>
      <c r="R6676" s="1141"/>
      <c r="S6676" s="1113"/>
      <c r="T6676" s="1143"/>
      <c r="U6676" s="1108"/>
      <c r="V6676" s="1108"/>
      <c r="W6676" s="1108"/>
      <c r="X6676" s="1108"/>
      <c r="Y6676" s="1108"/>
      <c r="Z6676" s="1114"/>
      <c r="AA6676" s="1114"/>
      <c r="AB6676" s="1114"/>
      <c r="AC6676" s="1117"/>
      <c r="AD6676" s="1115"/>
      <c r="AE6676" s="1115"/>
      <c r="AF6676" s="1115"/>
      <c r="AG6676" s="1115"/>
      <c r="AH6676" s="1115"/>
      <c r="AI6676" s="1115"/>
      <c r="AJ6676" s="1117"/>
      <c r="AK6676" s="1118"/>
      <c r="AL6676" s="1115"/>
      <c r="AM6676" s="1115"/>
      <c r="AN6676" s="1115"/>
      <c r="AO6676" s="1115"/>
      <c r="AP6676" s="1115"/>
      <c r="AQ6676" s="1115"/>
      <c r="AR6676" s="1115"/>
      <c r="AS6676" s="1117"/>
      <c r="AT6676" s="1075"/>
      <c r="AU6676" s="1193"/>
      <c r="AV6676" s="330"/>
      <c r="AW6676" s="331"/>
      <c r="AX6676" s="331"/>
      <c r="AY6676" s="331"/>
      <c r="AZ6676" s="331"/>
      <c r="BA6676" s="331"/>
      <c r="BB6676" s="331"/>
      <c r="BC6676" s="331"/>
      <c r="BD6676" s="331"/>
      <c r="BE6676" s="333"/>
      <c r="BF6676" s="330"/>
      <c r="BG6676" s="333"/>
      <c r="BH6676" s="1119"/>
      <c r="BI6676" s="319"/>
      <c r="BJ6676" s="319"/>
      <c r="BK6676" s="319"/>
      <c r="BL6676" s="319"/>
      <c r="BM6676" s="319"/>
      <c r="BN6676" s="319"/>
      <c r="BO6676" s="319"/>
      <c r="BP6676" s="953"/>
      <c r="BQ6676" s="319"/>
      <c r="BR6676" s="319"/>
      <c r="BS6676" s="330"/>
      <c r="BT6676" s="331"/>
      <c r="BU6676" s="920"/>
      <c r="BV6676" s="903"/>
      <c r="BW6676" s="908"/>
      <c r="BX6676" s="908"/>
      <c r="BY6676" s="331"/>
      <c r="BZ6676" s="331"/>
      <c r="CA6676" s="462"/>
      <c r="CB6676" s="319"/>
      <c r="CC6676" s="319"/>
      <c r="CD6676" s="319"/>
      <c r="CE6676" s="319"/>
      <c r="CF6676" s="319"/>
      <c r="CG6676" s="319"/>
      <c r="CH6676" s="318"/>
      <c r="CI6676" s="319"/>
      <c r="CJ6676" s="319"/>
      <c r="CK6676" s="342"/>
      <c r="CL6676" s="333"/>
      <c r="CM6676" s="1079"/>
      <c r="CN6676" s="1005"/>
      <c r="CO6676" s="1005"/>
      <c r="CP6676" s="1005"/>
    </row>
    <row r="6677">
      <c r="A6677" s="1257"/>
      <c r="B6677" s="1113"/>
      <c r="C6677" s="1107"/>
      <c r="D6677" s="103"/>
      <c r="E6677" s="1137"/>
      <c r="F6677" s="112"/>
      <c r="G6677" s="1110"/>
      <c r="H6677" s="1138"/>
      <c r="I6677" s="1138"/>
      <c r="J6677" s="1139"/>
      <c r="K6677" s="1111"/>
      <c r="L6677" s="1112"/>
      <c r="M6677" s="1113"/>
      <c r="N6677" s="110"/>
      <c r="O6677" s="1140"/>
      <c r="P6677" s="1115"/>
      <c r="Q6677" s="1116"/>
      <c r="R6677" s="1141"/>
      <c r="S6677" s="1113"/>
      <c r="T6677" s="1143"/>
      <c r="U6677" s="1108"/>
      <c r="V6677" s="1108"/>
      <c r="W6677" s="1108"/>
      <c r="X6677" s="1108"/>
      <c r="Y6677" s="1108"/>
      <c r="Z6677" s="1114"/>
      <c r="AA6677" s="1114"/>
      <c r="AB6677" s="1114"/>
      <c r="AC6677" s="1117"/>
      <c r="AD6677" s="1115"/>
      <c r="AE6677" s="1115"/>
      <c r="AF6677" s="1115"/>
      <c r="AG6677" s="1115"/>
      <c r="AH6677" s="1115"/>
      <c r="AI6677" s="1115"/>
      <c r="AJ6677" s="1117"/>
      <c r="AK6677" s="1118"/>
      <c r="AL6677" s="1115"/>
      <c r="AM6677" s="1115"/>
      <c r="AN6677" s="1115"/>
      <c r="AO6677" s="1115"/>
      <c r="AP6677" s="1115"/>
      <c r="AQ6677" s="1115"/>
      <c r="AR6677" s="1115"/>
      <c r="AS6677" s="1117"/>
      <c r="AT6677" s="1075"/>
      <c r="AU6677" s="1193"/>
      <c r="AV6677" s="330"/>
      <c r="AW6677" s="331"/>
      <c r="AX6677" s="331"/>
      <c r="AY6677" s="331"/>
      <c r="AZ6677" s="331"/>
      <c r="BA6677" s="331"/>
      <c r="BB6677" s="331"/>
      <c r="BC6677" s="331"/>
      <c r="BD6677" s="331"/>
      <c r="BE6677" s="333"/>
      <c r="BF6677" s="330"/>
      <c r="BG6677" s="333"/>
      <c r="BH6677" s="1119"/>
      <c r="BI6677" s="319"/>
      <c r="BJ6677" s="319"/>
      <c r="BK6677" s="319"/>
      <c r="BL6677" s="319"/>
      <c r="BM6677" s="319"/>
      <c r="BN6677" s="319"/>
      <c r="BO6677" s="319"/>
      <c r="BP6677" s="953"/>
      <c r="BQ6677" s="319"/>
      <c r="BR6677" s="319"/>
      <c r="BS6677" s="330"/>
      <c r="BT6677" s="331"/>
      <c r="BU6677" s="920"/>
      <c r="BV6677" s="903"/>
      <c r="BW6677" s="908"/>
      <c r="BX6677" s="908"/>
      <c r="BY6677" s="331"/>
      <c r="BZ6677" s="331"/>
      <c r="CA6677" s="462"/>
      <c r="CB6677" s="319"/>
      <c r="CC6677" s="319"/>
      <c r="CD6677" s="319"/>
      <c r="CE6677" s="319"/>
      <c r="CF6677" s="319"/>
      <c r="CG6677" s="319"/>
      <c r="CH6677" s="318"/>
      <c r="CI6677" s="319"/>
      <c r="CJ6677" s="319"/>
      <c r="CK6677" s="342"/>
      <c r="CL6677" s="333"/>
      <c r="CM6677" s="1079"/>
      <c r="CN6677" s="1005"/>
      <c r="CO6677" s="1005"/>
      <c r="CP6677" s="1005"/>
    </row>
    <row r="6678">
      <c r="A6678" s="1257"/>
      <c r="B6678" s="1113"/>
      <c r="C6678" s="1107"/>
      <c r="D6678" s="103"/>
      <c r="E6678" s="1137"/>
      <c r="F6678" s="112"/>
      <c r="G6678" s="1110"/>
      <c r="H6678" s="1138"/>
      <c r="I6678" s="1138"/>
      <c r="J6678" s="1139"/>
      <c r="K6678" s="1111"/>
      <c r="L6678" s="1112"/>
      <c r="M6678" s="1113"/>
      <c r="N6678" s="110"/>
      <c r="O6678" s="1140"/>
      <c r="P6678" s="1115"/>
      <c r="Q6678" s="1116"/>
      <c r="R6678" s="1141"/>
      <c r="S6678" s="1113"/>
      <c r="T6678" s="1143"/>
      <c r="U6678" s="1108"/>
      <c r="V6678" s="1108"/>
      <c r="W6678" s="1108"/>
      <c r="X6678" s="1108"/>
      <c r="Y6678" s="1108"/>
      <c r="Z6678" s="1114"/>
      <c r="AA6678" s="1114"/>
      <c r="AB6678" s="1114"/>
      <c r="AC6678" s="1117"/>
      <c r="AD6678" s="1115"/>
      <c r="AE6678" s="1115"/>
      <c r="AF6678" s="1115"/>
      <c r="AG6678" s="1115"/>
      <c r="AH6678" s="1115"/>
      <c r="AI6678" s="1115"/>
      <c r="AJ6678" s="1117"/>
      <c r="AK6678" s="1118"/>
      <c r="AL6678" s="1115"/>
      <c r="AM6678" s="1115"/>
      <c r="AN6678" s="1115"/>
      <c r="AO6678" s="1115"/>
      <c r="AP6678" s="1115"/>
      <c r="AQ6678" s="1115"/>
      <c r="AR6678" s="1115"/>
      <c r="AS6678" s="1117"/>
      <c r="AT6678" s="1075"/>
      <c r="AU6678" s="1193"/>
      <c r="AV6678" s="330"/>
      <c r="AW6678" s="331"/>
      <c r="AX6678" s="331"/>
      <c r="AY6678" s="331"/>
      <c r="AZ6678" s="331"/>
      <c r="BA6678" s="331"/>
      <c r="BB6678" s="331"/>
      <c r="BC6678" s="331"/>
      <c r="BD6678" s="331"/>
      <c r="BE6678" s="333"/>
      <c r="BF6678" s="330"/>
      <c r="BG6678" s="333"/>
      <c r="BH6678" s="1119"/>
      <c r="BI6678" s="319"/>
      <c r="BJ6678" s="319"/>
      <c r="BK6678" s="319"/>
      <c r="BL6678" s="319"/>
      <c r="BM6678" s="319"/>
      <c r="BN6678" s="319"/>
      <c r="BO6678" s="319"/>
      <c r="BP6678" s="953"/>
      <c r="BQ6678" s="319"/>
      <c r="BR6678" s="319"/>
      <c r="BS6678" s="330"/>
      <c r="BT6678" s="331"/>
      <c r="BU6678" s="920"/>
      <c r="BV6678" s="903"/>
      <c r="BW6678" s="908"/>
      <c r="BX6678" s="908"/>
      <c r="BY6678" s="331"/>
      <c r="BZ6678" s="331"/>
      <c r="CA6678" s="462"/>
      <c r="CB6678" s="319"/>
      <c r="CC6678" s="319"/>
      <c r="CD6678" s="319"/>
      <c r="CE6678" s="319"/>
      <c r="CF6678" s="319"/>
      <c r="CG6678" s="319"/>
      <c r="CH6678" s="318"/>
      <c r="CI6678" s="319"/>
      <c r="CJ6678" s="319"/>
      <c r="CK6678" s="342"/>
      <c r="CL6678" s="333"/>
      <c r="CM6678" s="1079"/>
      <c r="CN6678" s="1005"/>
      <c r="CO6678" s="1005"/>
      <c r="CP6678" s="1005"/>
    </row>
    <row r="6679">
      <c r="A6679" s="1257"/>
      <c r="B6679" s="1113"/>
      <c r="C6679" s="1107"/>
      <c r="D6679" s="103"/>
      <c r="E6679" s="1137"/>
      <c r="F6679" s="112"/>
      <c r="G6679" s="1110"/>
      <c r="H6679" s="1138"/>
      <c r="I6679" s="1138"/>
      <c r="J6679" s="1139"/>
      <c r="K6679" s="1111"/>
      <c r="L6679" s="1112"/>
      <c r="M6679" s="1113"/>
      <c r="N6679" s="110"/>
      <c r="O6679" s="1140"/>
      <c r="P6679" s="1115"/>
      <c r="Q6679" s="1116"/>
      <c r="R6679" s="1141"/>
      <c r="S6679" s="1113"/>
      <c r="T6679" s="1143"/>
      <c r="U6679" s="1108"/>
      <c r="V6679" s="1108"/>
      <c r="W6679" s="1108"/>
      <c r="X6679" s="1108"/>
      <c r="Y6679" s="1108"/>
      <c r="Z6679" s="1114"/>
      <c r="AA6679" s="1114"/>
      <c r="AB6679" s="1114"/>
      <c r="AC6679" s="1117"/>
      <c r="AD6679" s="1115"/>
      <c r="AE6679" s="1115"/>
      <c r="AF6679" s="1115"/>
      <c r="AG6679" s="1115"/>
      <c r="AH6679" s="1115"/>
      <c r="AI6679" s="1115"/>
      <c r="AJ6679" s="1117"/>
      <c r="AK6679" s="1118"/>
      <c r="AL6679" s="1115"/>
      <c r="AM6679" s="1115"/>
      <c r="AN6679" s="1115"/>
      <c r="AO6679" s="1115"/>
      <c r="AP6679" s="1115"/>
      <c r="AQ6679" s="1115"/>
      <c r="AR6679" s="1115"/>
      <c r="AS6679" s="1117"/>
      <c r="AT6679" s="1075"/>
      <c r="AU6679" s="1193"/>
      <c r="AV6679" s="330"/>
      <c r="AW6679" s="331"/>
      <c r="AX6679" s="331"/>
      <c r="AY6679" s="331"/>
      <c r="AZ6679" s="331"/>
      <c r="BA6679" s="331"/>
      <c r="BB6679" s="331"/>
      <c r="BC6679" s="331"/>
      <c r="BD6679" s="331"/>
      <c r="BE6679" s="333"/>
      <c r="BF6679" s="330"/>
      <c r="BG6679" s="333"/>
      <c r="BH6679" s="1119"/>
      <c r="BI6679" s="319"/>
      <c r="BJ6679" s="319"/>
      <c r="BK6679" s="319"/>
      <c r="BL6679" s="319"/>
      <c r="BM6679" s="319"/>
      <c r="BN6679" s="319"/>
      <c r="BO6679" s="319"/>
      <c r="BP6679" s="953"/>
      <c r="BQ6679" s="319"/>
      <c r="BR6679" s="319"/>
      <c r="BS6679" s="330"/>
      <c r="BT6679" s="331"/>
      <c r="BU6679" s="920"/>
      <c r="BV6679" s="903"/>
      <c r="BW6679" s="908"/>
      <c r="BX6679" s="908"/>
      <c r="BY6679" s="331"/>
      <c r="BZ6679" s="331"/>
      <c r="CA6679" s="462"/>
      <c r="CB6679" s="319"/>
      <c r="CC6679" s="319"/>
      <c r="CD6679" s="319"/>
      <c r="CE6679" s="319"/>
      <c r="CF6679" s="319"/>
      <c r="CG6679" s="319"/>
      <c r="CH6679" s="318"/>
      <c r="CI6679" s="319"/>
      <c r="CJ6679" s="319"/>
      <c r="CK6679" s="342"/>
      <c r="CL6679" s="333"/>
      <c r="CM6679" s="1079"/>
      <c r="CN6679" s="1005"/>
      <c r="CO6679" s="1005"/>
      <c r="CP6679" s="1005"/>
    </row>
    <row r="6680">
      <c r="A6680" s="1257"/>
      <c r="B6680" s="1113"/>
      <c r="C6680" s="1107"/>
      <c r="D6680" s="103"/>
      <c r="E6680" s="1137"/>
      <c r="F6680" s="112"/>
      <c r="G6680" s="1110"/>
      <c r="H6680" s="1138"/>
      <c r="I6680" s="1138"/>
      <c r="J6680" s="1139"/>
      <c r="K6680" s="1111"/>
      <c r="L6680" s="1112"/>
      <c r="M6680" s="1113"/>
      <c r="N6680" s="110"/>
      <c r="O6680" s="1140"/>
      <c r="P6680" s="1115"/>
      <c r="Q6680" s="1116"/>
      <c r="R6680" s="1141"/>
      <c r="S6680" s="1113"/>
      <c r="T6680" s="1143"/>
      <c r="U6680" s="1108"/>
      <c r="V6680" s="1108"/>
      <c r="W6680" s="1108"/>
      <c r="X6680" s="1108"/>
      <c r="Y6680" s="1108"/>
      <c r="Z6680" s="1114"/>
      <c r="AA6680" s="1114"/>
      <c r="AB6680" s="1114"/>
      <c r="AC6680" s="1117"/>
      <c r="AD6680" s="1115"/>
      <c r="AE6680" s="1115"/>
      <c r="AF6680" s="1115"/>
      <c r="AG6680" s="1115"/>
      <c r="AH6680" s="1115"/>
      <c r="AI6680" s="1115"/>
      <c r="AJ6680" s="1117"/>
      <c r="AK6680" s="1118"/>
      <c r="AL6680" s="1115"/>
      <c r="AM6680" s="1115"/>
      <c r="AN6680" s="1115"/>
      <c r="AO6680" s="1115"/>
      <c r="AP6680" s="1115"/>
      <c r="AQ6680" s="1115"/>
      <c r="AR6680" s="1115"/>
      <c r="AS6680" s="1117"/>
      <c r="AT6680" s="1075"/>
      <c r="AU6680" s="1193"/>
      <c r="AV6680" s="330"/>
      <c r="AW6680" s="331"/>
      <c r="AX6680" s="331"/>
      <c r="AY6680" s="331"/>
      <c r="AZ6680" s="331"/>
      <c r="BA6680" s="331"/>
      <c r="BB6680" s="331"/>
      <c r="BC6680" s="331"/>
      <c r="BD6680" s="331"/>
      <c r="BE6680" s="333"/>
      <c r="BF6680" s="330"/>
      <c r="BG6680" s="333"/>
      <c r="BH6680" s="1119"/>
      <c r="BI6680" s="319"/>
      <c r="BJ6680" s="319"/>
      <c r="BK6680" s="319"/>
      <c r="BL6680" s="319"/>
      <c r="BM6680" s="319"/>
      <c r="BN6680" s="319"/>
      <c r="BO6680" s="319"/>
      <c r="BP6680" s="953"/>
      <c r="BQ6680" s="319"/>
      <c r="BR6680" s="319"/>
      <c r="BS6680" s="330"/>
      <c r="BT6680" s="331"/>
      <c r="BU6680" s="920"/>
      <c r="BV6680" s="903"/>
      <c r="BW6680" s="908"/>
      <c r="BX6680" s="908"/>
      <c r="BY6680" s="331"/>
      <c r="BZ6680" s="331"/>
      <c r="CA6680" s="462"/>
      <c r="CB6680" s="319"/>
      <c r="CC6680" s="319"/>
      <c r="CD6680" s="319"/>
      <c r="CE6680" s="319"/>
      <c r="CF6680" s="319"/>
      <c r="CG6680" s="319"/>
      <c r="CH6680" s="318"/>
      <c r="CI6680" s="319"/>
      <c r="CJ6680" s="319"/>
      <c r="CK6680" s="342"/>
      <c r="CL6680" s="333"/>
      <c r="CM6680" s="1079"/>
      <c r="CN6680" s="1005"/>
      <c r="CO6680" s="1005"/>
      <c r="CP6680" s="1005"/>
    </row>
    <row r="6681">
      <c r="A6681" s="1257"/>
      <c r="B6681" s="1113"/>
      <c r="C6681" s="1107"/>
      <c r="D6681" s="103"/>
      <c r="E6681" s="1137"/>
      <c r="F6681" s="112"/>
      <c r="G6681" s="1110"/>
      <c r="H6681" s="1138"/>
      <c r="I6681" s="1138"/>
      <c r="J6681" s="1139"/>
      <c r="K6681" s="1111"/>
      <c r="L6681" s="1112"/>
      <c r="M6681" s="1113"/>
      <c r="N6681" s="110"/>
      <c r="O6681" s="1140"/>
      <c r="P6681" s="1115"/>
      <c r="Q6681" s="1116"/>
      <c r="R6681" s="1141"/>
      <c r="S6681" s="1113"/>
      <c r="T6681" s="1143"/>
      <c r="U6681" s="1108"/>
      <c r="V6681" s="1108"/>
      <c r="W6681" s="1108"/>
      <c r="X6681" s="1108"/>
      <c r="Y6681" s="1108"/>
      <c r="Z6681" s="1114"/>
      <c r="AA6681" s="1114"/>
      <c r="AB6681" s="1114"/>
      <c r="AC6681" s="1117"/>
      <c r="AD6681" s="1115"/>
      <c r="AE6681" s="1115"/>
      <c r="AF6681" s="1115"/>
      <c r="AG6681" s="1115"/>
      <c r="AH6681" s="1115"/>
      <c r="AI6681" s="1115"/>
      <c r="AJ6681" s="1117"/>
      <c r="AK6681" s="1118"/>
      <c r="AL6681" s="1115"/>
      <c r="AM6681" s="1115"/>
      <c r="AN6681" s="1115"/>
      <c r="AO6681" s="1115"/>
      <c r="AP6681" s="1115"/>
      <c r="AQ6681" s="1115"/>
      <c r="AR6681" s="1115"/>
      <c r="AS6681" s="1117"/>
      <c r="AT6681" s="1075"/>
      <c r="AU6681" s="1193"/>
      <c r="AV6681" s="330"/>
      <c r="AW6681" s="331"/>
      <c r="AX6681" s="331"/>
      <c r="AY6681" s="331"/>
      <c r="AZ6681" s="331"/>
      <c r="BA6681" s="331"/>
      <c r="BB6681" s="331"/>
      <c r="BC6681" s="331"/>
      <c r="BD6681" s="331"/>
      <c r="BE6681" s="333"/>
      <c r="BF6681" s="330"/>
      <c r="BG6681" s="333"/>
      <c r="BH6681" s="1119"/>
      <c r="BI6681" s="319"/>
      <c r="BJ6681" s="319"/>
      <c r="BK6681" s="319"/>
      <c r="BL6681" s="319"/>
      <c r="BM6681" s="319"/>
      <c r="BN6681" s="319"/>
      <c r="BO6681" s="319"/>
      <c r="BP6681" s="953"/>
      <c r="BQ6681" s="319"/>
      <c r="BR6681" s="319"/>
      <c r="BS6681" s="330"/>
      <c r="BT6681" s="331"/>
      <c r="BU6681" s="920"/>
      <c r="BV6681" s="903"/>
      <c r="BW6681" s="908"/>
      <c r="BX6681" s="908"/>
      <c r="BY6681" s="331"/>
      <c r="BZ6681" s="331"/>
      <c r="CA6681" s="462"/>
      <c r="CB6681" s="319"/>
      <c r="CC6681" s="319"/>
      <c r="CD6681" s="319"/>
      <c r="CE6681" s="319"/>
      <c r="CF6681" s="319"/>
      <c r="CG6681" s="319"/>
      <c r="CH6681" s="318"/>
      <c r="CI6681" s="319"/>
      <c r="CJ6681" s="319"/>
      <c r="CK6681" s="342"/>
      <c r="CL6681" s="333"/>
      <c r="CM6681" s="1079"/>
      <c r="CN6681" s="1005"/>
      <c r="CO6681" s="1005"/>
      <c r="CP6681" s="1005"/>
    </row>
    <row r="6682">
      <c r="A6682" s="1257"/>
      <c r="B6682" s="1113"/>
      <c r="C6682" s="1107"/>
      <c r="D6682" s="103"/>
      <c r="E6682" s="1137"/>
      <c r="F6682" s="112"/>
      <c r="G6682" s="1110"/>
      <c r="H6682" s="1138"/>
      <c r="I6682" s="1138"/>
      <c r="J6682" s="1139"/>
      <c r="K6682" s="1111"/>
      <c r="L6682" s="1112"/>
      <c r="M6682" s="1113"/>
      <c r="N6682" s="110"/>
      <c r="O6682" s="1140"/>
      <c r="P6682" s="1115"/>
      <c r="Q6682" s="1116"/>
      <c r="R6682" s="1141"/>
      <c r="S6682" s="1113"/>
      <c r="T6682" s="1143"/>
      <c r="U6682" s="1108"/>
      <c r="V6682" s="1108"/>
      <c r="W6682" s="1108"/>
      <c r="X6682" s="1108"/>
      <c r="Y6682" s="1108"/>
      <c r="Z6682" s="1114"/>
      <c r="AA6682" s="1114"/>
      <c r="AB6682" s="1114"/>
      <c r="AC6682" s="1117"/>
      <c r="AD6682" s="1115"/>
      <c r="AE6682" s="1115"/>
      <c r="AF6682" s="1115"/>
      <c r="AG6682" s="1115"/>
      <c r="AH6682" s="1115"/>
      <c r="AI6682" s="1115"/>
      <c r="AJ6682" s="1117"/>
      <c r="AK6682" s="1118"/>
      <c r="AL6682" s="1115"/>
      <c r="AM6682" s="1115"/>
      <c r="AN6682" s="1115"/>
      <c r="AO6682" s="1115"/>
      <c r="AP6682" s="1115"/>
      <c r="AQ6682" s="1115"/>
      <c r="AR6682" s="1115"/>
      <c r="AS6682" s="1117"/>
      <c r="AT6682" s="1075"/>
      <c r="AU6682" s="1193"/>
      <c r="AV6682" s="330"/>
      <c r="AW6682" s="331"/>
      <c r="AX6682" s="331"/>
      <c r="AY6682" s="331"/>
      <c r="AZ6682" s="331"/>
      <c r="BA6682" s="331"/>
      <c r="BB6682" s="331"/>
      <c r="BC6682" s="331"/>
      <c r="BD6682" s="331"/>
      <c r="BE6682" s="333"/>
      <c r="BF6682" s="330"/>
      <c r="BG6682" s="333"/>
      <c r="BH6682" s="1119"/>
      <c r="BI6682" s="319"/>
      <c r="BJ6682" s="319"/>
      <c r="BK6682" s="319"/>
      <c r="BL6682" s="319"/>
      <c r="BM6682" s="319"/>
      <c r="BN6682" s="319"/>
      <c r="BO6682" s="319"/>
      <c r="BP6682" s="953"/>
      <c r="BQ6682" s="319"/>
      <c r="BR6682" s="319"/>
      <c r="BS6682" s="330"/>
      <c r="BT6682" s="331"/>
      <c r="BU6682" s="920"/>
      <c r="BV6682" s="903"/>
      <c r="BW6682" s="908"/>
      <c r="BX6682" s="908"/>
      <c r="BY6682" s="331"/>
      <c r="BZ6682" s="331"/>
      <c r="CA6682" s="462"/>
      <c r="CB6682" s="319"/>
      <c r="CC6682" s="319"/>
      <c r="CD6682" s="319"/>
      <c r="CE6682" s="319"/>
      <c r="CF6682" s="319"/>
      <c r="CG6682" s="319"/>
      <c r="CH6682" s="318"/>
      <c r="CI6682" s="319"/>
      <c r="CJ6682" s="319"/>
      <c r="CK6682" s="342"/>
      <c r="CL6682" s="333"/>
      <c r="CM6682" s="1079"/>
      <c r="CN6682" s="1005"/>
      <c r="CO6682" s="1005"/>
      <c r="CP6682" s="1005"/>
    </row>
    <row r="6683">
      <c r="A6683" s="1257"/>
      <c r="B6683" s="1113"/>
      <c r="C6683" s="1107"/>
      <c r="D6683" s="103"/>
      <c r="E6683" s="1137"/>
      <c r="F6683" s="112"/>
      <c r="G6683" s="1110"/>
      <c r="H6683" s="1138"/>
      <c r="I6683" s="1138"/>
      <c r="J6683" s="1139"/>
      <c r="K6683" s="1111"/>
      <c r="L6683" s="1112"/>
      <c r="M6683" s="1113"/>
      <c r="N6683" s="110"/>
      <c r="O6683" s="1140"/>
      <c r="P6683" s="1115"/>
      <c r="Q6683" s="1116"/>
      <c r="R6683" s="1141"/>
      <c r="S6683" s="1113"/>
      <c r="T6683" s="1143"/>
      <c r="U6683" s="1108"/>
      <c r="V6683" s="1108"/>
      <c r="W6683" s="1108"/>
      <c r="X6683" s="1108"/>
      <c r="Y6683" s="1108"/>
      <c r="Z6683" s="1114"/>
      <c r="AA6683" s="1114"/>
      <c r="AB6683" s="1114"/>
      <c r="AC6683" s="1117"/>
      <c r="AD6683" s="1115"/>
      <c r="AE6683" s="1115"/>
      <c r="AF6683" s="1115"/>
      <c r="AG6683" s="1115"/>
      <c r="AH6683" s="1115"/>
      <c r="AI6683" s="1115"/>
      <c r="AJ6683" s="1117"/>
      <c r="AK6683" s="1118"/>
      <c r="AL6683" s="1115"/>
      <c r="AM6683" s="1115"/>
      <c r="AN6683" s="1115"/>
      <c r="AO6683" s="1115"/>
      <c r="AP6683" s="1115"/>
      <c r="AQ6683" s="1115"/>
      <c r="AR6683" s="1115"/>
      <c r="AS6683" s="1117"/>
      <c r="AT6683" s="1075"/>
      <c r="AU6683" s="1193"/>
      <c r="AV6683" s="330"/>
      <c r="AW6683" s="331"/>
      <c r="AX6683" s="331"/>
      <c r="AY6683" s="331"/>
      <c r="AZ6683" s="331"/>
      <c r="BA6683" s="331"/>
      <c r="BB6683" s="331"/>
      <c r="BC6683" s="331"/>
      <c r="BD6683" s="331"/>
      <c r="BE6683" s="333"/>
      <c r="BF6683" s="330"/>
      <c r="BG6683" s="333"/>
      <c r="BH6683" s="1119"/>
      <c r="BI6683" s="319"/>
      <c r="BJ6683" s="319"/>
      <c r="BK6683" s="319"/>
      <c r="BL6683" s="319"/>
      <c r="BM6683" s="319"/>
      <c r="BN6683" s="319"/>
      <c r="BO6683" s="319"/>
      <c r="BP6683" s="953"/>
      <c r="BQ6683" s="319"/>
      <c r="BR6683" s="319"/>
      <c r="BS6683" s="330"/>
      <c r="BT6683" s="331"/>
      <c r="BU6683" s="920"/>
      <c r="BV6683" s="903"/>
      <c r="BW6683" s="908"/>
      <c r="BX6683" s="908"/>
      <c r="BY6683" s="331"/>
      <c r="BZ6683" s="331"/>
      <c r="CA6683" s="462"/>
      <c r="CB6683" s="319"/>
      <c r="CC6683" s="319"/>
      <c r="CD6683" s="319"/>
      <c r="CE6683" s="319"/>
      <c r="CF6683" s="319"/>
      <c r="CG6683" s="319"/>
      <c r="CH6683" s="318"/>
      <c r="CI6683" s="319"/>
      <c r="CJ6683" s="319"/>
      <c r="CK6683" s="342"/>
      <c r="CL6683" s="333"/>
      <c r="CM6683" s="1079"/>
      <c r="CN6683" s="1005"/>
      <c r="CO6683" s="1005"/>
      <c r="CP6683" s="1005"/>
    </row>
    <row r="6684">
      <c r="A6684" s="1257"/>
      <c r="B6684" s="1113"/>
      <c r="C6684" s="1107"/>
      <c r="D6684" s="103"/>
      <c r="E6684" s="1137"/>
      <c r="F6684" s="112"/>
      <c r="G6684" s="1110"/>
      <c r="H6684" s="1138"/>
      <c r="I6684" s="1138"/>
      <c r="J6684" s="1139"/>
      <c r="K6684" s="1111"/>
      <c r="L6684" s="1112"/>
      <c r="M6684" s="1113"/>
      <c r="N6684" s="110"/>
      <c r="O6684" s="1140"/>
      <c r="P6684" s="1115"/>
      <c r="Q6684" s="1116"/>
      <c r="R6684" s="1141"/>
      <c r="S6684" s="1113"/>
      <c r="T6684" s="1143"/>
      <c r="U6684" s="1108"/>
      <c r="V6684" s="1108"/>
      <c r="W6684" s="1108"/>
      <c r="X6684" s="1108"/>
      <c r="Y6684" s="1108"/>
      <c r="Z6684" s="1114"/>
      <c r="AA6684" s="1114"/>
      <c r="AB6684" s="1114"/>
      <c r="AC6684" s="1117"/>
      <c r="AD6684" s="1115"/>
      <c r="AE6684" s="1115"/>
      <c r="AF6684" s="1115"/>
      <c r="AG6684" s="1115"/>
      <c r="AH6684" s="1115"/>
      <c r="AI6684" s="1115"/>
      <c r="AJ6684" s="1117"/>
      <c r="AK6684" s="1118"/>
      <c r="AL6684" s="1115"/>
      <c r="AM6684" s="1115"/>
      <c r="AN6684" s="1115"/>
      <c r="AO6684" s="1115"/>
      <c r="AP6684" s="1115"/>
      <c r="AQ6684" s="1115"/>
      <c r="AR6684" s="1115"/>
      <c r="AS6684" s="1117"/>
      <c r="AT6684" s="1075"/>
      <c r="AU6684" s="1193"/>
      <c r="AV6684" s="330"/>
      <c r="AW6684" s="331"/>
      <c r="AX6684" s="331"/>
      <c r="AY6684" s="331"/>
      <c r="AZ6684" s="331"/>
      <c r="BA6684" s="331"/>
      <c r="BB6684" s="331"/>
      <c r="BC6684" s="331"/>
      <c r="BD6684" s="331"/>
      <c r="BE6684" s="333"/>
      <c r="BF6684" s="330"/>
      <c r="BG6684" s="333"/>
      <c r="BH6684" s="1119"/>
      <c r="BI6684" s="319"/>
      <c r="BJ6684" s="319"/>
      <c r="BK6684" s="319"/>
      <c r="BL6684" s="319"/>
      <c r="BM6684" s="319"/>
      <c r="BN6684" s="319"/>
      <c r="BO6684" s="319"/>
      <c r="BP6684" s="953"/>
      <c r="BQ6684" s="319"/>
      <c r="BR6684" s="319"/>
      <c r="BS6684" s="330"/>
      <c r="BT6684" s="331"/>
      <c r="BU6684" s="920"/>
      <c r="BV6684" s="903"/>
      <c r="BW6684" s="908"/>
      <c r="BX6684" s="908"/>
      <c r="BY6684" s="331"/>
      <c r="BZ6684" s="331"/>
      <c r="CA6684" s="462"/>
      <c r="CB6684" s="319"/>
      <c r="CC6684" s="319"/>
      <c r="CD6684" s="319"/>
      <c r="CE6684" s="319"/>
      <c r="CF6684" s="319"/>
      <c r="CG6684" s="319"/>
      <c r="CH6684" s="318"/>
      <c r="CI6684" s="319"/>
      <c r="CJ6684" s="319"/>
      <c r="CK6684" s="342"/>
      <c r="CL6684" s="333"/>
      <c r="CM6684" s="1079"/>
      <c r="CN6684" s="1005"/>
      <c r="CO6684" s="1005"/>
      <c r="CP6684" s="1005"/>
    </row>
    <row r="6685">
      <c r="A6685" s="1257"/>
      <c r="B6685" s="1113"/>
      <c r="C6685" s="1107"/>
      <c r="D6685" s="103"/>
      <c r="E6685" s="1137"/>
      <c r="F6685" s="112"/>
      <c r="G6685" s="1110"/>
      <c r="H6685" s="1138"/>
      <c r="I6685" s="1138"/>
      <c r="J6685" s="1139"/>
      <c r="K6685" s="1111"/>
      <c r="L6685" s="1112"/>
      <c r="M6685" s="1113"/>
      <c r="N6685" s="110"/>
      <c r="O6685" s="1140"/>
      <c r="P6685" s="1115"/>
      <c r="Q6685" s="1116"/>
      <c r="R6685" s="1141"/>
      <c r="S6685" s="1113"/>
      <c r="T6685" s="1143"/>
      <c r="U6685" s="1108"/>
      <c r="V6685" s="1108"/>
      <c r="W6685" s="1108"/>
      <c r="X6685" s="1108"/>
      <c r="Y6685" s="1108"/>
      <c r="Z6685" s="1114"/>
      <c r="AA6685" s="1114"/>
      <c r="AB6685" s="1114"/>
      <c r="AC6685" s="1117"/>
      <c r="AD6685" s="1115"/>
      <c r="AE6685" s="1115"/>
      <c r="AF6685" s="1115"/>
      <c r="AG6685" s="1115"/>
      <c r="AH6685" s="1115"/>
      <c r="AI6685" s="1115"/>
      <c r="AJ6685" s="1117"/>
      <c r="AK6685" s="1118"/>
      <c r="AL6685" s="1115"/>
      <c r="AM6685" s="1115"/>
      <c r="AN6685" s="1115"/>
      <c r="AO6685" s="1115"/>
      <c r="AP6685" s="1115"/>
      <c r="AQ6685" s="1115"/>
      <c r="AR6685" s="1115"/>
      <c r="AS6685" s="1117"/>
      <c r="AT6685" s="1075"/>
      <c r="AU6685" s="1193"/>
      <c r="AV6685" s="330"/>
      <c r="AW6685" s="331"/>
      <c r="AX6685" s="331"/>
      <c r="AY6685" s="331"/>
      <c r="AZ6685" s="331"/>
      <c r="BA6685" s="331"/>
      <c r="BB6685" s="331"/>
      <c r="BC6685" s="331"/>
      <c r="BD6685" s="331"/>
      <c r="BE6685" s="333"/>
      <c r="BF6685" s="330"/>
      <c r="BG6685" s="333"/>
      <c r="BH6685" s="1119"/>
      <c r="BI6685" s="319"/>
      <c r="BJ6685" s="319"/>
      <c r="BK6685" s="319"/>
      <c r="BL6685" s="319"/>
      <c r="BM6685" s="319"/>
      <c r="BN6685" s="319"/>
      <c r="BO6685" s="319"/>
      <c r="BP6685" s="953"/>
      <c r="BQ6685" s="319"/>
      <c r="BR6685" s="319"/>
      <c r="BS6685" s="330"/>
      <c r="BT6685" s="331"/>
      <c r="BU6685" s="920"/>
      <c r="BV6685" s="903"/>
      <c r="BW6685" s="908"/>
      <c r="BX6685" s="908"/>
      <c r="BY6685" s="331"/>
      <c r="BZ6685" s="331"/>
      <c r="CA6685" s="462"/>
      <c r="CB6685" s="319"/>
      <c r="CC6685" s="319"/>
      <c r="CD6685" s="319"/>
      <c r="CE6685" s="319"/>
      <c r="CF6685" s="319"/>
      <c r="CG6685" s="319"/>
      <c r="CH6685" s="318"/>
      <c r="CI6685" s="319"/>
      <c r="CJ6685" s="319"/>
      <c r="CK6685" s="342"/>
      <c r="CL6685" s="333"/>
      <c r="CM6685" s="1079"/>
      <c r="CN6685" s="1005"/>
      <c r="CO6685" s="1005"/>
      <c r="CP6685" s="1005"/>
    </row>
    <row r="6686">
      <c r="A6686" s="1257"/>
      <c r="B6686" s="1113"/>
      <c r="C6686" s="1107"/>
      <c r="D6686" s="103"/>
      <c r="E6686" s="1137"/>
      <c r="F6686" s="112"/>
      <c r="G6686" s="1110"/>
      <c r="H6686" s="1138"/>
      <c r="I6686" s="1138"/>
      <c r="J6686" s="1139"/>
      <c r="K6686" s="1111"/>
      <c r="L6686" s="1112"/>
      <c r="M6686" s="1113"/>
      <c r="N6686" s="110"/>
      <c r="O6686" s="1140"/>
      <c r="P6686" s="1115"/>
      <c r="Q6686" s="1116"/>
      <c r="R6686" s="1141"/>
      <c r="S6686" s="1113"/>
      <c r="T6686" s="1143"/>
      <c r="U6686" s="1108"/>
      <c r="V6686" s="1108"/>
      <c r="W6686" s="1108"/>
      <c r="X6686" s="1108"/>
      <c r="Y6686" s="1108"/>
      <c r="Z6686" s="1114"/>
      <c r="AA6686" s="1114"/>
      <c r="AB6686" s="1114"/>
      <c r="AC6686" s="1117"/>
      <c r="AD6686" s="1115"/>
      <c r="AE6686" s="1115"/>
      <c r="AF6686" s="1115"/>
      <c r="AG6686" s="1115"/>
      <c r="AH6686" s="1115"/>
      <c r="AI6686" s="1115"/>
      <c r="AJ6686" s="1117"/>
      <c r="AK6686" s="1118"/>
      <c r="AL6686" s="1115"/>
      <c r="AM6686" s="1115"/>
      <c r="AN6686" s="1115"/>
      <c r="AO6686" s="1115"/>
      <c r="AP6686" s="1115"/>
      <c r="AQ6686" s="1115"/>
      <c r="AR6686" s="1115"/>
      <c r="AS6686" s="1117"/>
      <c r="AT6686" s="1075"/>
      <c r="AU6686" s="1193"/>
      <c r="AV6686" s="330"/>
      <c r="AW6686" s="331"/>
      <c r="AX6686" s="331"/>
      <c r="AY6686" s="331"/>
      <c r="AZ6686" s="331"/>
      <c r="BA6686" s="331"/>
      <c r="BB6686" s="331"/>
      <c r="BC6686" s="331"/>
      <c r="BD6686" s="331"/>
      <c r="BE6686" s="333"/>
      <c r="BF6686" s="330"/>
      <c r="BG6686" s="333"/>
      <c r="BH6686" s="1119"/>
      <c r="BI6686" s="319"/>
      <c r="BJ6686" s="319"/>
      <c r="BK6686" s="319"/>
      <c r="BL6686" s="319"/>
      <c r="BM6686" s="319"/>
      <c r="BN6686" s="319"/>
      <c r="BO6686" s="319"/>
      <c r="BP6686" s="953"/>
      <c r="BQ6686" s="319"/>
      <c r="BR6686" s="319"/>
      <c r="BS6686" s="330"/>
      <c r="BT6686" s="331"/>
      <c r="BU6686" s="920"/>
      <c r="BV6686" s="903"/>
      <c r="BW6686" s="908"/>
      <c r="BX6686" s="908"/>
      <c r="BY6686" s="331"/>
      <c r="BZ6686" s="331"/>
      <c r="CA6686" s="462"/>
      <c r="CB6686" s="319"/>
      <c r="CC6686" s="319"/>
      <c r="CD6686" s="319"/>
      <c r="CE6686" s="319"/>
      <c r="CF6686" s="319"/>
      <c r="CG6686" s="319"/>
      <c r="CH6686" s="318"/>
      <c r="CI6686" s="319"/>
      <c r="CJ6686" s="319"/>
      <c r="CK6686" s="342"/>
      <c r="CL6686" s="333"/>
      <c r="CM6686" s="1079"/>
      <c r="CN6686" s="1005"/>
      <c r="CO6686" s="1005"/>
      <c r="CP6686" s="1005"/>
    </row>
  </sheetData>
  <mergeCells count="188">
    <mergeCell ref="AV2:BE2"/>
    <mergeCell ref="BI2:BR2"/>
    <mergeCell ref="BW2:BZ2"/>
    <mergeCell ref="CA2:CJ2"/>
    <mergeCell ref="CM755:CM762"/>
    <mergeCell ref="CM804:CM820"/>
    <mergeCell ref="A1:L1"/>
    <mergeCell ref="M1:AC1"/>
    <mergeCell ref="AT1:CM1"/>
    <mergeCell ref="CO1:CP1"/>
    <mergeCell ref="R2:T2"/>
    <mergeCell ref="U2:V2"/>
    <mergeCell ref="W2:X2"/>
    <mergeCell ref="AG2:AH2"/>
    <mergeCell ref="AL2:AS2"/>
    <mergeCell ref="A4:A71"/>
    <mergeCell ref="A72:A121"/>
    <mergeCell ref="A288:A373"/>
    <mergeCell ref="A374:A411"/>
    <mergeCell ref="A412:A415"/>
    <mergeCell ref="A416:A419"/>
    <mergeCell ref="A420:A462"/>
    <mergeCell ref="A463:A489"/>
    <mergeCell ref="A491:A492"/>
    <mergeCell ref="A494:A504"/>
    <mergeCell ref="A505:A516"/>
    <mergeCell ref="A517:A526"/>
    <mergeCell ref="A527:A528"/>
    <mergeCell ref="A529:A542"/>
    <mergeCell ref="A543:A544"/>
    <mergeCell ref="A545:A591"/>
    <mergeCell ref="A592:A650"/>
    <mergeCell ref="A651:A654"/>
    <mergeCell ref="A656:A665"/>
    <mergeCell ref="A666:A671"/>
    <mergeCell ref="A673:A741"/>
    <mergeCell ref="A742:A744"/>
    <mergeCell ref="A745:A821"/>
    <mergeCell ref="A822:A825"/>
    <mergeCell ref="A826:A828"/>
    <mergeCell ref="A831:A851"/>
    <mergeCell ref="A852:A855"/>
    <mergeCell ref="A857:A860"/>
    <mergeCell ref="A861:A864"/>
    <mergeCell ref="A865:A867"/>
    <mergeCell ref="A868:A871"/>
    <mergeCell ref="A873:A885"/>
    <mergeCell ref="A886:A888"/>
    <mergeCell ref="A889:A904"/>
    <mergeCell ref="A905:A908"/>
    <mergeCell ref="A909:A976"/>
    <mergeCell ref="A977:A979"/>
    <mergeCell ref="A980:A1005"/>
    <mergeCell ref="A1006:A1034"/>
    <mergeCell ref="A1035:A1059"/>
    <mergeCell ref="A1060:A1066"/>
    <mergeCell ref="A1067:A1073"/>
    <mergeCell ref="A1074:A1078"/>
    <mergeCell ref="A1079:A1086"/>
    <mergeCell ref="A1087:A1094"/>
    <mergeCell ref="A1095:A1098"/>
    <mergeCell ref="A1099:A1109"/>
    <mergeCell ref="A1110:A1118"/>
    <mergeCell ref="A1119:A1125"/>
    <mergeCell ref="A1126:A1139"/>
    <mergeCell ref="A1140:A1154"/>
    <mergeCell ref="A1155:A1159"/>
    <mergeCell ref="A1160:A1175"/>
    <mergeCell ref="A1176:A1190"/>
    <mergeCell ref="A1191:A1210"/>
    <mergeCell ref="A1211:A1216"/>
    <mergeCell ref="A1217:A1247"/>
    <mergeCell ref="A1248:A1272"/>
    <mergeCell ref="A1273:A1307"/>
    <mergeCell ref="A1308:A1313"/>
    <mergeCell ref="A1314:A1315"/>
    <mergeCell ref="A1316:A1324"/>
    <mergeCell ref="A1325:A1340"/>
    <mergeCell ref="A1341:A1343"/>
    <mergeCell ref="A1344:A1362"/>
    <mergeCell ref="A1363:A1368"/>
    <mergeCell ref="A1369:A1390"/>
    <mergeCell ref="A1391:A1395"/>
    <mergeCell ref="A1396:A1407"/>
    <mergeCell ref="A1408:A1416"/>
    <mergeCell ref="A1417:A1442"/>
    <mergeCell ref="A1443:A1448"/>
    <mergeCell ref="A1449:A1451"/>
    <mergeCell ref="A1452:A1462"/>
    <mergeCell ref="A1463:A1468"/>
    <mergeCell ref="A1966:A1974"/>
    <mergeCell ref="A1975:A1982"/>
    <mergeCell ref="A1983:A1988"/>
    <mergeCell ref="A1989:A1997"/>
    <mergeCell ref="A1998:A2006"/>
    <mergeCell ref="A2007:A2015"/>
    <mergeCell ref="A2016:A2017"/>
    <mergeCell ref="A2018:A2021"/>
    <mergeCell ref="A2022:A2025"/>
    <mergeCell ref="A2026:A2037"/>
    <mergeCell ref="A2038:A2048"/>
    <mergeCell ref="A2049:A2053"/>
    <mergeCell ref="A2054:A2060"/>
    <mergeCell ref="A2061:A2066"/>
    <mergeCell ref="A2067:A2074"/>
    <mergeCell ref="A2075:A2080"/>
    <mergeCell ref="A2081:A2088"/>
    <mergeCell ref="A2089:A2094"/>
    <mergeCell ref="A2095:A2103"/>
    <mergeCell ref="A2104:A2106"/>
    <mergeCell ref="A2107:A2109"/>
    <mergeCell ref="A2110:A2111"/>
    <mergeCell ref="A2112:A2114"/>
    <mergeCell ref="A2115:A2116"/>
    <mergeCell ref="A2117:A2119"/>
    <mergeCell ref="A2120:A2122"/>
    <mergeCell ref="A2123:A2124"/>
    <mergeCell ref="A2125:A2127"/>
    <mergeCell ref="A2128:A2131"/>
    <mergeCell ref="A2132:A2137"/>
    <mergeCell ref="A2138:A2143"/>
    <mergeCell ref="A2144:A2146"/>
    <mergeCell ref="A2147:A2150"/>
    <mergeCell ref="A2151:A2153"/>
    <mergeCell ref="A2154:A2155"/>
    <mergeCell ref="A2200:A2202"/>
    <mergeCell ref="A2203:A2204"/>
    <mergeCell ref="A2205:A2212"/>
    <mergeCell ref="A2213:A2225"/>
    <mergeCell ref="A2239:A2241"/>
    <mergeCell ref="A2242:A2260"/>
    <mergeCell ref="A2261:A2275"/>
    <mergeCell ref="A2226:A2236"/>
    <mergeCell ref="A2156:A2161"/>
    <mergeCell ref="A2162:A2176"/>
    <mergeCell ref="A2177:A2178"/>
    <mergeCell ref="A2179:A2183"/>
    <mergeCell ref="A2184:A2187"/>
    <mergeCell ref="A2188:A2199"/>
    <mergeCell ref="A1469:A1481"/>
    <mergeCell ref="A1482:A1484"/>
    <mergeCell ref="A1485:A1491"/>
    <mergeCell ref="A1492:A1494"/>
    <mergeCell ref="A1495:A1498"/>
    <mergeCell ref="A1499:A1502"/>
    <mergeCell ref="A1503:A1532"/>
    <mergeCell ref="A1533:A1542"/>
    <mergeCell ref="A1543:A1553"/>
    <mergeCell ref="A1554:A1563"/>
    <mergeCell ref="A1564:A1579"/>
    <mergeCell ref="A1580:A1587"/>
    <mergeCell ref="A1588:A1592"/>
    <mergeCell ref="A1593:A1596"/>
    <mergeCell ref="A1597:A1609"/>
    <mergeCell ref="A1610:A1615"/>
    <mergeCell ref="A1616:A1623"/>
    <mergeCell ref="A1624:A1631"/>
    <mergeCell ref="A1632:A1643"/>
    <mergeCell ref="A1644:A1653"/>
    <mergeCell ref="A1654:A1661"/>
    <mergeCell ref="A1662:A1674"/>
    <mergeCell ref="A1675:A1680"/>
    <mergeCell ref="A1681:A1699"/>
    <mergeCell ref="A1700:A1707"/>
    <mergeCell ref="A1708:A1714"/>
    <mergeCell ref="A1715:A1721"/>
    <mergeCell ref="A1722:A1730"/>
    <mergeCell ref="A1731:A1737"/>
    <mergeCell ref="A1738:A1745"/>
    <mergeCell ref="A1746:A1753"/>
    <mergeCell ref="A1754:A1760"/>
    <mergeCell ref="A1761:A1768"/>
    <mergeCell ref="A1769:A1775"/>
    <mergeCell ref="A1776:A1783"/>
    <mergeCell ref="A1784:A1789"/>
    <mergeCell ref="A1790:A1793"/>
    <mergeCell ref="A1794:A1811"/>
    <mergeCell ref="A1812:A1825"/>
    <mergeCell ref="A1826:A1845"/>
    <mergeCell ref="A1846:A1860"/>
    <mergeCell ref="A1861:A1886"/>
    <mergeCell ref="A1887:A1932"/>
    <mergeCell ref="A1933:A1934"/>
    <mergeCell ref="A1935:A1938"/>
    <mergeCell ref="A1939:A1941"/>
    <mergeCell ref="A1942:A1946"/>
    <mergeCell ref="A1947:A1956"/>
    <mergeCell ref="A1957:A1965"/>
  </mergeCells>
  <conditionalFormatting sqref="BU1100">
    <cfRule type="expression" dxfId="0" priority="1">
      <formula>$BW1099&gt;0</formula>
    </cfRule>
  </conditionalFormatting>
  <conditionalFormatting sqref="BU1100">
    <cfRule type="expression" dxfId="1" priority="2">
      <formula>$BS1099&gt;0</formula>
    </cfRule>
  </conditionalFormatting>
  <conditionalFormatting sqref="BU1100">
    <cfRule type="expression" dxfId="2" priority="3">
      <formula>$CK1099&gt;0</formula>
    </cfRule>
  </conditionalFormatting>
  <conditionalFormatting sqref="K539:K542">
    <cfRule type="expression" dxfId="0" priority="4">
      <formula>$BW538&gt;0</formula>
    </cfRule>
  </conditionalFormatting>
  <conditionalFormatting sqref="BS4:BS6686">
    <cfRule type="expression" dxfId="3" priority="5">
      <formula>BS4&gt;MIN(AV4:BE4)</formula>
    </cfRule>
  </conditionalFormatting>
  <conditionalFormatting sqref="B4:CP6686">
    <cfRule type="expression" dxfId="4" priority="6">
      <formula>FIND("TADI's purge", $P4)</formula>
    </cfRule>
  </conditionalFormatting>
  <conditionalFormatting sqref="M4:CP6686">
    <cfRule type="expression" dxfId="0" priority="7">
      <formula>$BW4&gt;0</formula>
    </cfRule>
  </conditionalFormatting>
  <conditionalFormatting sqref="M4:CP6686">
    <cfRule type="expression" dxfId="1" priority="8">
      <formula>$BS4&gt;0</formula>
    </cfRule>
  </conditionalFormatting>
  <conditionalFormatting sqref="M4:CP6686">
    <cfRule type="expression" dxfId="2" priority="9">
      <formula>$CK4&gt;0</formula>
    </cfRule>
  </conditionalFormatting>
  <conditionalFormatting sqref="BY4:BY6686 BZ4:BZ826">
    <cfRule type="colorScale" priority="10">
      <colorScale>
        <cfvo type="min"/>
        <cfvo type="percentile" val="50"/>
        <cfvo type="max"/>
        <color rgb="FF57BB8A"/>
        <color rgb="FFFFD666"/>
        <color rgb="FFE67C73"/>
      </colorScale>
    </cfRule>
  </conditionalFormatting>
  <conditionalFormatting sqref="K4:K6686">
    <cfRule type="expression" dxfId="2" priority="11">
      <formula>K4&gt;G5</formula>
    </cfRule>
  </conditionalFormatting>
  <hyperlinks>
    <hyperlink r:id="rId1" ref="CM27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63"/>
    <col customWidth="1" min="2" max="2" width="12.25"/>
    <col customWidth="1" min="3" max="3" width="16.13"/>
    <col customWidth="1" min="4" max="6" width="12.25"/>
    <col customWidth="1" min="7" max="7" width="17.75"/>
    <col customWidth="1" min="8" max="8" width="19.75"/>
    <col customWidth="1" min="14" max="14" width="16.13"/>
  </cols>
  <sheetData>
    <row r="1" ht="21.0" customHeight="1">
      <c r="A1" s="1310"/>
      <c r="B1" s="1311" t="s">
        <v>3381</v>
      </c>
      <c r="C1" s="1312"/>
      <c r="D1" s="1312"/>
      <c r="E1" s="1312"/>
      <c r="F1" s="1312"/>
      <c r="G1" s="1312"/>
      <c r="H1" s="1311"/>
      <c r="I1" s="1311"/>
      <c r="J1" s="1313" t="s">
        <v>742</v>
      </c>
      <c r="K1" s="1312"/>
      <c r="L1" s="1314"/>
      <c r="M1" s="1315" t="s">
        <v>3382</v>
      </c>
      <c r="N1" s="1316" t="s">
        <v>3383</v>
      </c>
      <c r="O1" s="1317"/>
      <c r="P1" s="1317"/>
    </row>
    <row r="2">
      <c r="A2" s="1318" t="s">
        <v>189</v>
      </c>
      <c r="B2" s="1319">
        <v>43646.0</v>
      </c>
      <c r="C2" s="1320">
        <v>43728.0</v>
      </c>
      <c r="D2" s="1320">
        <v>44028.0</v>
      </c>
      <c r="E2" s="1320">
        <v>44085.0</v>
      </c>
      <c r="F2" s="1320">
        <v>44090.0</v>
      </c>
      <c r="G2" s="1321">
        <v>44384.0</v>
      </c>
      <c r="H2" s="1321">
        <v>44505.0</v>
      </c>
      <c r="I2" s="1322">
        <v>45573.0</v>
      </c>
      <c r="J2" s="1323" t="s">
        <v>191</v>
      </c>
      <c r="K2" s="1323" t="s">
        <v>192</v>
      </c>
      <c r="L2" s="1324" t="s">
        <v>193</v>
      </c>
      <c r="M2" s="1324"/>
      <c r="N2" s="1325"/>
    </row>
    <row r="3">
      <c r="A3" s="1326">
        <v>1.0</v>
      </c>
      <c r="B3" s="1327">
        <v>29.0</v>
      </c>
      <c r="C3" s="1328">
        <v>29.0</v>
      </c>
      <c r="D3" s="1328">
        <v>29.0</v>
      </c>
      <c r="E3" s="1328">
        <v>29.0</v>
      </c>
      <c r="F3" s="1328">
        <v>29.0</v>
      </c>
      <c r="G3" s="1329">
        <v>29.0</v>
      </c>
      <c r="H3" s="1330">
        <v>41.0</v>
      </c>
      <c r="I3" s="1331">
        <v>41.0</v>
      </c>
      <c r="J3" s="1332">
        <v>-0.3</v>
      </c>
      <c r="K3" s="1333">
        <v>28.9</v>
      </c>
      <c r="L3" s="1334">
        <v>3.0</v>
      </c>
      <c r="M3" s="1335">
        <v>7.0</v>
      </c>
      <c r="N3" s="1336" t="s">
        <v>3384</v>
      </c>
    </row>
    <row r="4">
      <c r="A4" s="1337">
        <v>2.0</v>
      </c>
      <c r="B4" s="1327">
        <v>38.0</v>
      </c>
      <c r="C4" s="1338">
        <v>55.0</v>
      </c>
      <c r="D4" s="1338">
        <v>53.0</v>
      </c>
      <c r="E4" s="1339">
        <v>53.0</v>
      </c>
      <c r="F4" s="1328">
        <v>53.0</v>
      </c>
      <c r="G4" s="1329">
        <v>53.0</v>
      </c>
      <c r="H4" s="1331">
        <v>53.0</v>
      </c>
      <c r="I4" s="1331">
        <v>53.0</v>
      </c>
      <c r="J4" s="1332">
        <v>-0.3</v>
      </c>
      <c r="K4" s="1333">
        <v>17.8</v>
      </c>
      <c r="L4" s="1332">
        <v>3.0</v>
      </c>
      <c r="M4" s="1340"/>
      <c r="N4" s="1341"/>
    </row>
    <row r="5">
      <c r="A5" s="1337">
        <v>3.0</v>
      </c>
      <c r="B5" s="1327">
        <v>30.0</v>
      </c>
      <c r="C5" s="1342">
        <v>30.0</v>
      </c>
      <c r="D5" s="1342"/>
      <c r="E5" s="1338">
        <v>55.0</v>
      </c>
      <c r="F5" s="1338">
        <v>34.0</v>
      </c>
      <c r="G5" s="1329">
        <v>34.0</v>
      </c>
      <c r="H5" s="1331">
        <v>34.0</v>
      </c>
      <c r="I5" s="1331">
        <v>34.0</v>
      </c>
      <c r="J5" s="1332">
        <v>-0.3</v>
      </c>
      <c r="K5" s="1333">
        <v>5.1</v>
      </c>
      <c r="L5" s="1332">
        <v>3.0</v>
      </c>
      <c r="M5" s="1340">
        <v>8.0</v>
      </c>
      <c r="N5" s="1341" t="s">
        <v>3385</v>
      </c>
    </row>
    <row r="6">
      <c r="A6" s="1337">
        <v>4.0</v>
      </c>
      <c r="B6" s="1327">
        <v>36.0</v>
      </c>
      <c r="C6" s="1328">
        <v>36.0</v>
      </c>
      <c r="D6" s="1328">
        <v>36.0</v>
      </c>
      <c r="E6" s="1328">
        <v>36.0</v>
      </c>
      <c r="F6" s="1328">
        <v>36.0</v>
      </c>
      <c r="G6" s="1329">
        <v>36.0</v>
      </c>
      <c r="H6" s="1331">
        <v>36.0</v>
      </c>
      <c r="I6" s="1331">
        <v>36.0</v>
      </c>
      <c r="J6" s="1343">
        <v>10.1</v>
      </c>
      <c r="K6" s="1333">
        <v>0.3</v>
      </c>
      <c r="L6" s="1332">
        <v>3.0</v>
      </c>
      <c r="M6" s="1340">
        <v>13.0</v>
      </c>
      <c r="N6" s="1341" t="s">
        <v>3386</v>
      </c>
    </row>
    <row r="7">
      <c r="A7" s="1337">
        <v>5.0</v>
      </c>
      <c r="B7" s="1327">
        <v>28.0</v>
      </c>
      <c r="C7" s="1328">
        <v>28.0</v>
      </c>
      <c r="D7" s="1328">
        <v>28.0</v>
      </c>
      <c r="E7" s="1328">
        <v>28.0</v>
      </c>
      <c r="F7" s="1328">
        <v>28.0</v>
      </c>
      <c r="G7" s="1329">
        <v>28.0</v>
      </c>
      <c r="H7" s="1330">
        <v>40.0</v>
      </c>
      <c r="I7" s="1331">
        <v>40.0</v>
      </c>
      <c r="J7" s="1332">
        <v>20.5</v>
      </c>
      <c r="K7" s="1333">
        <v>0.3</v>
      </c>
      <c r="L7" s="1332">
        <v>3.0</v>
      </c>
      <c r="M7" s="1340"/>
      <c r="N7" s="1341"/>
    </row>
    <row r="8">
      <c r="A8" s="1337">
        <v>6.0</v>
      </c>
      <c r="B8" s="1327">
        <v>31.0</v>
      </c>
      <c r="C8" s="1328">
        <v>31.0</v>
      </c>
      <c r="D8" s="1328">
        <v>31.0</v>
      </c>
      <c r="E8" s="1328">
        <v>31.0</v>
      </c>
      <c r="F8" s="1328">
        <v>31.0</v>
      </c>
      <c r="G8" s="1329">
        <v>31.0</v>
      </c>
      <c r="H8" s="1330">
        <v>39.0</v>
      </c>
      <c r="I8" s="1331">
        <v>39.0</v>
      </c>
      <c r="J8" s="1332">
        <v>30.1</v>
      </c>
      <c r="K8" s="1333">
        <v>0.3</v>
      </c>
      <c r="L8" s="1332">
        <v>3.0</v>
      </c>
      <c r="M8" s="1340">
        <v>15.0</v>
      </c>
      <c r="N8" s="1341" t="s">
        <v>3387</v>
      </c>
    </row>
    <row r="9">
      <c r="A9" s="1337">
        <v>7.0</v>
      </c>
      <c r="B9" s="1327">
        <v>34.0</v>
      </c>
      <c r="C9" s="1338">
        <v>56.0</v>
      </c>
      <c r="D9" s="1339">
        <v>56.0</v>
      </c>
      <c r="E9" s="1339">
        <v>56.0</v>
      </c>
      <c r="F9" s="1328">
        <v>56.0</v>
      </c>
      <c r="G9" s="1329">
        <v>56.0</v>
      </c>
      <c r="H9" s="1331">
        <v>56.0</v>
      </c>
      <c r="I9" s="1331">
        <v>56.0</v>
      </c>
      <c r="J9" s="1332">
        <v>40.0</v>
      </c>
      <c r="K9" s="1333">
        <v>5.1</v>
      </c>
      <c r="L9" s="1332">
        <v>3.0</v>
      </c>
      <c r="M9" s="1340"/>
      <c r="N9" s="1341"/>
    </row>
    <row r="10">
      <c r="A10" s="1337">
        <v>8.0</v>
      </c>
      <c r="B10" s="1327">
        <v>32.0</v>
      </c>
      <c r="C10" s="1328">
        <v>32.0</v>
      </c>
      <c r="D10" s="1328">
        <v>32.0</v>
      </c>
      <c r="E10" s="1328">
        <v>32.0</v>
      </c>
      <c r="F10" s="1328">
        <v>32.0</v>
      </c>
      <c r="G10" s="1329">
        <v>32.0</v>
      </c>
      <c r="H10" s="1330">
        <v>37.0</v>
      </c>
      <c r="I10" s="1330">
        <v>31.0</v>
      </c>
      <c r="J10" s="1332">
        <v>40.0</v>
      </c>
      <c r="K10" s="1333">
        <v>15.0</v>
      </c>
      <c r="L10" s="1332">
        <v>3.0</v>
      </c>
      <c r="M10" s="1340"/>
      <c r="N10" s="1341"/>
    </row>
    <row r="11">
      <c r="A11" s="1337">
        <v>9.0</v>
      </c>
      <c r="B11" s="1344"/>
      <c r="C11" s="1345"/>
      <c r="D11" s="1345"/>
      <c r="E11" s="1345"/>
      <c r="F11" s="1345"/>
      <c r="G11" s="1346">
        <v>38.0</v>
      </c>
      <c r="H11" s="1346">
        <v>38.0</v>
      </c>
      <c r="I11" s="1346">
        <v>38.0</v>
      </c>
      <c r="J11" s="1347">
        <v>40.2</v>
      </c>
      <c r="K11" s="1348">
        <v>29.0</v>
      </c>
      <c r="L11" s="1347">
        <v>3.0</v>
      </c>
      <c r="M11" s="1349">
        <v>16.0</v>
      </c>
      <c r="N11" s="1350" t="s">
        <v>3388</v>
      </c>
    </row>
    <row r="12">
      <c r="A12" s="1337">
        <v>10.0</v>
      </c>
      <c r="B12" s="1344"/>
      <c r="C12" s="1345"/>
      <c r="D12" s="1345"/>
      <c r="E12" s="1345"/>
      <c r="F12" s="1345"/>
      <c r="G12" s="1346">
        <v>30.0</v>
      </c>
      <c r="H12" s="1346">
        <v>30.0</v>
      </c>
      <c r="I12" s="1346">
        <v>30.0</v>
      </c>
      <c r="J12" s="1347">
        <v>21.5</v>
      </c>
      <c r="K12" s="1348">
        <v>55.5</v>
      </c>
      <c r="L12" s="1347">
        <v>3.0</v>
      </c>
      <c r="M12" s="1349">
        <v>7.0</v>
      </c>
      <c r="N12" s="1350" t="s">
        <v>3389</v>
      </c>
    </row>
    <row r="13">
      <c r="A13" s="1351">
        <v>11.0</v>
      </c>
      <c r="B13" s="1352"/>
      <c r="C13" s="1352"/>
      <c r="D13" s="1352"/>
      <c r="E13" s="1352"/>
      <c r="F13" s="1352"/>
      <c r="G13" s="1352"/>
      <c r="H13" s="1353"/>
      <c r="I13" s="1354" t="s">
        <v>3390</v>
      </c>
      <c r="J13" s="1355">
        <v>28.4</v>
      </c>
      <c r="K13" s="1355">
        <v>11.4</v>
      </c>
      <c r="L13" s="1356">
        <v>5.45</v>
      </c>
      <c r="M13" s="1357" t="s">
        <v>3391</v>
      </c>
      <c r="N13" s="1358" t="s">
        <v>990</v>
      </c>
      <c r="O13" s="1359"/>
      <c r="P13" s="1359"/>
    </row>
    <row r="14">
      <c r="A14" s="1359"/>
      <c r="B14" s="1359"/>
      <c r="C14" s="1359"/>
      <c r="D14" s="1359"/>
      <c r="E14" s="1359"/>
      <c r="F14" s="1360"/>
      <c r="G14" s="1360"/>
      <c r="H14" s="1360"/>
      <c r="I14" s="1360"/>
      <c r="J14" s="1361"/>
      <c r="K14" s="1361"/>
      <c r="L14" s="1359"/>
      <c r="M14" s="1359"/>
      <c r="N14" s="1359"/>
      <c r="O14" s="1359"/>
      <c r="P14" s="1359"/>
    </row>
    <row r="15">
      <c r="A15" s="1362" t="s">
        <v>3392</v>
      </c>
      <c r="B15" s="1359"/>
      <c r="C15" s="1359"/>
      <c r="D15" s="1359"/>
      <c r="E15" s="1359"/>
      <c r="F15" s="1360"/>
      <c r="G15" s="1360"/>
      <c r="H15" s="1360"/>
      <c r="I15" s="1360"/>
      <c r="J15" s="1361"/>
      <c r="K15" s="1361"/>
      <c r="L15" s="1359"/>
      <c r="M15" s="1359"/>
      <c r="N15" s="1359"/>
      <c r="O15" s="1359"/>
      <c r="P15" s="1359"/>
    </row>
    <row r="16">
      <c r="A16" s="1310"/>
      <c r="B16" s="1311"/>
      <c r="C16" s="1311"/>
      <c r="D16" s="1313" t="s">
        <v>742</v>
      </c>
      <c r="E16" s="1312"/>
      <c r="F16" s="1314"/>
      <c r="G16" s="1363" t="s">
        <v>3382</v>
      </c>
      <c r="H16" s="1364" t="s">
        <v>3383</v>
      </c>
      <c r="I16" s="1360"/>
      <c r="J16" s="1360"/>
      <c r="K16" s="1361"/>
      <c r="L16" s="1361"/>
      <c r="M16" s="1359"/>
      <c r="N16" s="1359"/>
      <c r="O16" s="1359"/>
      <c r="P16" s="1359"/>
    </row>
    <row r="17">
      <c r="A17" s="1318" t="s">
        <v>189</v>
      </c>
      <c r="B17" s="1365" t="s">
        <v>3393</v>
      </c>
      <c r="C17" s="1365" t="s">
        <v>3381</v>
      </c>
      <c r="D17" s="1323" t="s">
        <v>191</v>
      </c>
      <c r="E17" s="1323" t="s">
        <v>192</v>
      </c>
      <c r="F17" s="1324" t="s">
        <v>193</v>
      </c>
      <c r="G17" s="1324"/>
      <c r="H17" s="1325"/>
      <c r="I17" s="1360"/>
      <c r="J17" s="1360"/>
      <c r="K17" s="1361"/>
      <c r="L17" s="1361"/>
      <c r="M17" s="1359"/>
      <c r="N17" s="1359"/>
      <c r="O17" s="1359"/>
      <c r="P17" s="1359"/>
    </row>
    <row r="18">
      <c r="A18" s="1326">
        <v>1.0</v>
      </c>
      <c r="B18" s="1331" t="s">
        <v>3394</v>
      </c>
      <c r="C18" s="1331" t="s">
        <v>3395</v>
      </c>
      <c r="D18" s="1332">
        <v>-0.3</v>
      </c>
      <c r="E18" s="1333">
        <v>28.9</v>
      </c>
      <c r="F18" s="1334">
        <v>3.0</v>
      </c>
      <c r="G18" s="1335">
        <v>7.0</v>
      </c>
      <c r="H18" s="1336" t="s">
        <v>3384</v>
      </c>
      <c r="I18" s="1360"/>
      <c r="J18" s="1360"/>
      <c r="K18" s="1361"/>
      <c r="L18" s="1361"/>
      <c r="M18" s="1359"/>
      <c r="N18" s="1359"/>
      <c r="O18" s="1359"/>
      <c r="P18" s="1359"/>
    </row>
    <row r="19">
      <c r="A19" s="1337">
        <v>3.0</v>
      </c>
      <c r="B19" s="1331" t="s">
        <v>3396</v>
      </c>
      <c r="C19" s="1331" t="s">
        <v>3397</v>
      </c>
      <c r="D19" s="1332">
        <v>-0.3</v>
      </c>
      <c r="E19" s="1366">
        <v>-0.3</v>
      </c>
      <c r="F19" s="1332">
        <v>3.0</v>
      </c>
      <c r="G19" s="1340">
        <v>8.0</v>
      </c>
      <c r="H19" s="1341" t="s">
        <v>3385</v>
      </c>
      <c r="I19" s="1360"/>
      <c r="J19" s="1360"/>
      <c r="K19" s="1361"/>
      <c r="L19" s="1361"/>
      <c r="M19" s="1359"/>
      <c r="N19" s="1359"/>
      <c r="O19" s="1359"/>
      <c r="P19" s="1359"/>
    </row>
    <row r="20">
      <c r="A20" s="1337">
        <v>4.0</v>
      </c>
      <c r="B20" s="1331" t="s">
        <v>3398</v>
      </c>
      <c r="C20" s="1331" t="s">
        <v>3399</v>
      </c>
      <c r="D20" s="1367">
        <v>20.0</v>
      </c>
      <c r="E20" s="1333">
        <v>-0.3</v>
      </c>
      <c r="F20" s="1332">
        <v>3.0</v>
      </c>
      <c r="G20" s="1340">
        <v>13.0</v>
      </c>
      <c r="H20" s="1341" t="s">
        <v>3386</v>
      </c>
      <c r="I20" s="1360"/>
      <c r="J20" s="1360"/>
      <c r="K20" s="1361"/>
      <c r="L20" s="1361"/>
      <c r="M20" s="1359"/>
      <c r="N20" s="1359"/>
      <c r="O20" s="1359"/>
      <c r="P20" s="1359"/>
    </row>
    <row r="21">
      <c r="A21" s="1337">
        <v>6.0</v>
      </c>
      <c r="B21" s="1331" t="s">
        <v>3400</v>
      </c>
      <c r="C21" s="1331" t="s">
        <v>3401</v>
      </c>
      <c r="D21" s="1367">
        <v>40.2</v>
      </c>
      <c r="E21" s="1333">
        <v>-0.3</v>
      </c>
      <c r="F21" s="1332">
        <v>3.0</v>
      </c>
      <c r="G21" s="1340">
        <v>15.0</v>
      </c>
      <c r="H21" s="1341" t="s">
        <v>3387</v>
      </c>
      <c r="I21" s="1360"/>
      <c r="J21" s="1360"/>
      <c r="K21" s="1361"/>
      <c r="L21" s="1361"/>
      <c r="M21" s="1359"/>
      <c r="N21" s="1359"/>
      <c r="O21" s="1359"/>
      <c r="P21" s="1359"/>
    </row>
    <row r="22">
      <c r="A22" s="1337">
        <v>9.0</v>
      </c>
      <c r="B22" s="1346" t="s">
        <v>3402</v>
      </c>
      <c r="C22" s="1346" t="s">
        <v>3403</v>
      </c>
      <c r="D22" s="1347">
        <v>40.2</v>
      </c>
      <c r="E22" s="1348">
        <v>29.0</v>
      </c>
      <c r="F22" s="1347">
        <v>3.0</v>
      </c>
      <c r="G22" s="1349">
        <v>16.0</v>
      </c>
      <c r="H22" s="1350" t="s">
        <v>3388</v>
      </c>
      <c r="I22" s="1360"/>
      <c r="J22" s="1360"/>
      <c r="K22" s="1361"/>
      <c r="L22" s="1361"/>
      <c r="M22" s="1359"/>
      <c r="N22" s="1359"/>
      <c r="O22" s="1359"/>
      <c r="P22" s="1359"/>
    </row>
    <row r="23">
      <c r="A23" s="1337">
        <v>10.0</v>
      </c>
      <c r="B23" s="1346" t="s">
        <v>3404</v>
      </c>
      <c r="C23" s="1346" t="s">
        <v>3405</v>
      </c>
      <c r="D23" s="1347">
        <v>21.5</v>
      </c>
      <c r="E23" s="1348">
        <v>55.5</v>
      </c>
      <c r="F23" s="1347">
        <v>3.0</v>
      </c>
      <c r="G23" s="1349">
        <v>7.0</v>
      </c>
      <c r="H23" s="1350" t="s">
        <v>3389</v>
      </c>
      <c r="I23" s="1360"/>
      <c r="J23" s="1360"/>
      <c r="K23" s="1361"/>
      <c r="L23" s="1361"/>
      <c r="M23" s="1359"/>
      <c r="N23" s="1359"/>
      <c r="O23" s="1359"/>
      <c r="P23" s="1359"/>
    </row>
    <row r="24">
      <c r="A24" s="1351">
        <v>11.0</v>
      </c>
      <c r="B24" s="1354" t="s">
        <v>3390</v>
      </c>
      <c r="C24" s="1354" t="s">
        <v>3406</v>
      </c>
      <c r="D24" s="1355">
        <v>28.4</v>
      </c>
      <c r="E24" s="1355">
        <v>11.4</v>
      </c>
      <c r="F24" s="1356">
        <v>5.45</v>
      </c>
      <c r="G24" s="1357"/>
      <c r="H24" s="1358"/>
      <c r="I24" s="1360"/>
      <c r="J24" s="1360"/>
      <c r="K24" s="1361"/>
      <c r="L24" s="1361"/>
      <c r="M24" s="1359"/>
      <c r="N24" s="1359"/>
      <c r="O24" s="1359"/>
      <c r="P24" s="1359"/>
    </row>
    <row r="25">
      <c r="A25" s="1359"/>
      <c r="B25" s="1359"/>
      <c r="C25" s="1359"/>
      <c r="D25" s="1359"/>
      <c r="E25" s="1359"/>
      <c r="F25" s="1360"/>
      <c r="G25" s="1360"/>
      <c r="H25" s="1360"/>
      <c r="I25" s="1360"/>
      <c r="J25" s="1361"/>
      <c r="K25" s="1361"/>
      <c r="L25" s="1359"/>
      <c r="M25" s="1359"/>
      <c r="N25" s="1359"/>
      <c r="O25" s="1359"/>
      <c r="P25" s="1359"/>
    </row>
    <row r="26">
      <c r="A26" s="1359"/>
      <c r="B26" s="1359"/>
      <c r="C26" s="1359"/>
      <c r="D26" s="1359"/>
      <c r="E26" s="1359"/>
      <c r="F26" s="1360"/>
      <c r="G26" s="1360"/>
      <c r="H26" s="1360"/>
      <c r="I26" s="1360"/>
      <c r="J26" s="1361"/>
      <c r="K26" s="1361"/>
      <c r="L26" s="1359"/>
      <c r="M26" s="1359"/>
      <c r="N26" s="1359"/>
      <c r="O26" s="1359"/>
      <c r="P26" s="1359"/>
    </row>
    <row r="27">
      <c r="A27" s="1359"/>
      <c r="B27" s="1359"/>
      <c r="C27" s="1359"/>
      <c r="D27" s="1359"/>
      <c r="E27" s="1359"/>
      <c r="F27" s="1360"/>
      <c r="G27" s="1360"/>
      <c r="H27" s="1360"/>
      <c r="I27" s="1360"/>
      <c r="J27" s="1361"/>
      <c r="K27" s="1361"/>
      <c r="L27" s="1359"/>
      <c r="M27" s="1359"/>
      <c r="N27" s="1359"/>
      <c r="O27" s="1359"/>
      <c r="P27" s="1359"/>
    </row>
    <row r="28">
      <c r="A28" s="1359"/>
      <c r="B28" s="1359"/>
      <c r="C28" s="1359"/>
      <c r="D28" s="1359"/>
      <c r="E28" s="1359"/>
      <c r="F28" s="1360"/>
      <c r="G28" s="1360"/>
      <c r="H28" s="1360"/>
      <c r="I28" s="1360"/>
      <c r="J28" s="1361"/>
      <c r="K28" s="1361"/>
      <c r="L28" s="1359"/>
      <c r="M28" s="1359"/>
      <c r="N28" s="1359"/>
      <c r="O28" s="1359"/>
      <c r="P28" s="1359"/>
    </row>
    <row r="29">
      <c r="A29" s="1359"/>
      <c r="B29" s="1359"/>
      <c r="C29" s="1359"/>
      <c r="D29" s="1359"/>
      <c r="E29" s="1359"/>
      <c r="F29" s="1360"/>
      <c r="G29" s="1360"/>
      <c r="H29" s="1360"/>
      <c r="I29" s="1360"/>
      <c r="J29" s="1361"/>
      <c r="K29" s="1361"/>
      <c r="L29" s="1359"/>
      <c r="M29" s="1359"/>
      <c r="N29" s="1359"/>
      <c r="O29" s="1359"/>
      <c r="P29" s="1359"/>
    </row>
    <row r="30">
      <c r="A30" s="1359"/>
      <c r="B30" s="1359"/>
      <c r="C30" s="1359"/>
      <c r="D30" s="1359"/>
      <c r="E30" s="1359"/>
      <c r="F30" s="1360"/>
      <c r="G30" s="1360"/>
      <c r="H30" s="1360"/>
      <c r="I30" s="1360"/>
      <c r="J30" s="1361"/>
      <c r="K30" s="1361"/>
      <c r="L30" s="1359"/>
      <c r="M30" s="1359"/>
      <c r="N30" s="1359"/>
      <c r="O30" s="1359"/>
      <c r="P30" s="1359"/>
    </row>
    <row r="31">
      <c r="A31" s="1359"/>
      <c r="B31" s="1359"/>
      <c r="C31" s="1359"/>
      <c r="D31" s="1359"/>
      <c r="E31" s="1359"/>
      <c r="F31" s="1359"/>
      <c r="G31" s="1359"/>
      <c r="H31" s="1359"/>
      <c r="I31" s="1359"/>
      <c r="J31" s="1359"/>
      <c r="K31" s="1359"/>
      <c r="L31" s="1359"/>
      <c r="M31" s="1359"/>
      <c r="N31" s="1359"/>
      <c r="O31" s="1359"/>
      <c r="P31" s="1359"/>
    </row>
    <row r="32">
      <c r="A32" s="1359"/>
      <c r="B32" s="1359"/>
      <c r="C32" s="1359"/>
      <c r="D32" s="1359"/>
      <c r="E32" s="1359"/>
      <c r="F32" s="1359"/>
      <c r="G32" s="1359"/>
      <c r="H32" s="1359"/>
      <c r="I32" s="1359"/>
      <c r="J32" s="1359"/>
      <c r="K32" s="1359"/>
      <c r="L32" s="1359"/>
      <c r="M32" s="1359"/>
      <c r="N32" s="1359"/>
      <c r="O32" s="1359"/>
      <c r="P32" s="1359"/>
    </row>
    <row r="33">
      <c r="A33" s="1359"/>
      <c r="B33" s="1359"/>
      <c r="C33" s="1359"/>
      <c r="D33" s="1359"/>
      <c r="E33" s="1359"/>
      <c r="F33" s="1359"/>
      <c r="G33" s="1359"/>
      <c r="H33" s="1359"/>
      <c r="I33" s="1359"/>
      <c r="J33" s="1359"/>
      <c r="K33" s="1359"/>
      <c r="L33" s="1359"/>
      <c r="M33" s="1359"/>
      <c r="N33" s="1359"/>
      <c r="O33" s="1359"/>
      <c r="P33" s="1359"/>
    </row>
    <row r="34">
      <c r="A34" s="1359"/>
      <c r="B34" s="1359"/>
      <c r="C34" s="1359"/>
      <c r="D34" s="1359"/>
      <c r="E34" s="1359"/>
      <c r="F34" s="1359"/>
      <c r="G34" s="1359"/>
      <c r="H34" s="1359"/>
      <c r="I34" s="1359"/>
      <c r="J34" s="1359"/>
      <c r="K34" s="1359"/>
      <c r="L34" s="1359"/>
      <c r="M34" s="1359"/>
      <c r="N34" s="1359"/>
      <c r="O34" s="1359"/>
      <c r="P34" s="1359"/>
    </row>
    <row r="35">
      <c r="A35" s="1359"/>
      <c r="B35" s="1359"/>
      <c r="C35" s="1359"/>
      <c r="D35" s="1359"/>
      <c r="E35" s="1359"/>
      <c r="F35" s="1359"/>
      <c r="G35" s="1359"/>
      <c r="H35" s="1359"/>
      <c r="I35" s="1359"/>
      <c r="J35" s="1359"/>
      <c r="K35" s="1359"/>
      <c r="L35" s="1359"/>
      <c r="M35" s="1359"/>
      <c r="N35" s="1359"/>
      <c r="O35" s="1359"/>
      <c r="P35" s="1359"/>
    </row>
    <row r="36">
      <c r="A36" s="1359"/>
      <c r="B36" s="1359"/>
      <c r="C36" s="1359"/>
      <c r="D36" s="1359"/>
      <c r="E36" s="1359"/>
      <c r="F36" s="1359"/>
      <c r="G36" s="1359"/>
      <c r="H36" s="1359"/>
      <c r="I36" s="1359"/>
      <c r="J36" s="1359"/>
      <c r="K36" s="1359"/>
      <c r="L36" s="1359"/>
      <c r="M36" s="1359"/>
      <c r="N36" s="1359"/>
      <c r="O36" s="1359"/>
      <c r="P36" s="1359"/>
    </row>
    <row r="37">
      <c r="A37" s="1359"/>
      <c r="B37" s="1359"/>
      <c r="C37" s="1359"/>
      <c r="D37" s="1359"/>
      <c r="E37" s="1359"/>
      <c r="F37" s="1359"/>
      <c r="G37" s="1359"/>
      <c r="H37" s="1359"/>
      <c r="I37" s="1359"/>
      <c r="J37" s="1359"/>
      <c r="K37" s="1359"/>
      <c r="L37" s="1359"/>
      <c r="M37" s="1359"/>
      <c r="N37" s="1359"/>
      <c r="O37" s="1359"/>
      <c r="P37" s="1359"/>
    </row>
    <row r="38">
      <c r="A38" s="1359"/>
      <c r="B38" s="1359"/>
      <c r="C38" s="1359"/>
      <c r="D38" s="1359"/>
      <c r="E38" s="1359"/>
      <c r="F38" s="1359"/>
      <c r="G38" s="1359"/>
      <c r="H38" s="1359"/>
      <c r="I38" s="1359"/>
      <c r="J38" s="1359"/>
      <c r="K38" s="1359"/>
      <c r="L38" s="1359"/>
      <c r="M38" s="1359"/>
      <c r="N38" s="1359"/>
      <c r="O38" s="1359"/>
      <c r="P38" s="1359"/>
    </row>
    <row r="39">
      <c r="A39" s="1359"/>
      <c r="B39" s="1359"/>
      <c r="C39" s="1359"/>
      <c r="D39" s="1359"/>
      <c r="E39" s="1359"/>
      <c r="F39" s="1359"/>
      <c r="G39" s="1359"/>
      <c r="H39" s="1359"/>
      <c r="I39" s="1359"/>
      <c r="J39" s="1359"/>
      <c r="K39" s="1359"/>
      <c r="L39" s="1359"/>
      <c r="M39" s="1359"/>
      <c r="N39" s="1359"/>
      <c r="O39" s="1359"/>
      <c r="P39" s="1359"/>
    </row>
    <row r="40">
      <c r="A40" s="1359"/>
      <c r="B40" s="1359"/>
      <c r="C40" s="1359"/>
      <c r="D40" s="1359"/>
      <c r="E40" s="1359"/>
      <c r="F40" s="1359"/>
      <c r="G40" s="1359"/>
      <c r="H40" s="1359"/>
      <c r="I40" s="1359"/>
      <c r="J40" s="1359"/>
      <c r="K40" s="1359"/>
      <c r="L40" s="1359"/>
      <c r="M40" s="1359"/>
      <c r="N40" s="1359"/>
      <c r="O40" s="1359"/>
      <c r="P40" s="1359"/>
    </row>
    <row r="41">
      <c r="A41" s="1359"/>
      <c r="B41" s="1359"/>
      <c r="C41" s="1359"/>
      <c r="D41" s="1359"/>
      <c r="E41" s="1359"/>
      <c r="F41" s="1359"/>
      <c r="G41" s="1359"/>
      <c r="H41" s="1359"/>
      <c r="I41" s="1359"/>
      <c r="J41" s="1359"/>
      <c r="K41" s="1359"/>
      <c r="L41" s="1359"/>
      <c r="M41" s="1359"/>
      <c r="N41" s="1359"/>
      <c r="O41" s="1359"/>
      <c r="P41" s="1359"/>
    </row>
    <row r="42">
      <c r="A42" s="1359"/>
      <c r="B42" s="1359"/>
      <c r="C42" s="1359"/>
      <c r="D42" s="1359"/>
      <c r="E42" s="1359"/>
      <c r="F42" s="1359"/>
      <c r="G42" s="1359"/>
      <c r="H42" s="1359"/>
      <c r="I42" s="1359"/>
      <c r="J42" s="1359"/>
      <c r="K42" s="1359"/>
      <c r="L42" s="1359"/>
      <c r="M42" s="1359"/>
      <c r="N42" s="1359"/>
      <c r="O42" s="1359"/>
      <c r="P42" s="1359"/>
    </row>
    <row r="43">
      <c r="A43" s="1359"/>
      <c r="B43" s="1359"/>
      <c r="C43" s="1359"/>
      <c r="D43" s="1359"/>
      <c r="E43" s="1359"/>
      <c r="F43" s="1359"/>
      <c r="G43" s="1359"/>
      <c r="H43" s="1359"/>
      <c r="I43" s="1359"/>
      <c r="J43" s="1359"/>
      <c r="K43" s="1359"/>
      <c r="L43" s="1359"/>
      <c r="M43" s="1359"/>
      <c r="N43" s="1359"/>
      <c r="O43" s="1359"/>
      <c r="P43" s="1359"/>
    </row>
    <row r="44">
      <c r="A44" s="1359"/>
      <c r="B44" s="1359"/>
      <c r="C44" s="1359"/>
      <c r="D44" s="1359"/>
      <c r="E44" s="1359"/>
      <c r="F44" s="1359"/>
      <c r="G44" s="1359"/>
      <c r="H44" s="1359"/>
      <c r="I44" s="1359"/>
      <c r="J44" s="1359"/>
      <c r="K44" s="1359"/>
      <c r="L44" s="1359"/>
      <c r="M44" s="1359"/>
      <c r="N44" s="1359"/>
      <c r="O44" s="1359"/>
      <c r="P44" s="1359"/>
    </row>
    <row r="45">
      <c r="A45" s="1359"/>
      <c r="B45" s="1359"/>
      <c r="C45" s="1359"/>
      <c r="D45" s="1359"/>
      <c r="E45" s="1359"/>
      <c r="F45" s="1359"/>
      <c r="G45" s="1359"/>
      <c r="H45" s="1359"/>
      <c r="I45" s="1359"/>
      <c r="J45" s="1359"/>
      <c r="K45" s="1359"/>
      <c r="L45" s="1359"/>
      <c r="M45" s="1359"/>
      <c r="N45" s="1359"/>
      <c r="O45" s="1359"/>
      <c r="P45" s="1359"/>
    </row>
    <row r="46">
      <c r="A46" s="1359"/>
      <c r="B46" s="1359"/>
      <c r="C46" s="1359"/>
      <c r="D46" s="1359"/>
      <c r="E46" s="1359"/>
      <c r="F46" s="1359"/>
      <c r="G46" s="1359"/>
      <c r="H46" s="1359"/>
      <c r="I46" s="1359"/>
      <c r="J46" s="1359"/>
      <c r="K46" s="1359"/>
      <c r="L46" s="1359"/>
      <c r="M46" s="1359"/>
      <c r="N46" s="1359"/>
      <c r="O46" s="1359"/>
      <c r="P46" s="1359"/>
    </row>
    <row r="47">
      <c r="A47" s="1359"/>
      <c r="B47" s="1359"/>
      <c r="C47" s="1359"/>
      <c r="D47" s="1359"/>
      <c r="E47" s="1359"/>
      <c r="F47" s="1359"/>
      <c r="G47" s="1359"/>
      <c r="H47" s="1359"/>
      <c r="I47" s="1359"/>
      <c r="J47" s="1359"/>
      <c r="K47" s="1359"/>
      <c r="L47" s="1359"/>
      <c r="M47" s="1359"/>
      <c r="N47" s="1359"/>
      <c r="O47" s="1359"/>
      <c r="P47" s="1359"/>
    </row>
    <row r="48">
      <c r="A48" s="1359"/>
      <c r="B48" s="1359"/>
      <c r="C48" s="1359"/>
      <c r="D48" s="1359"/>
      <c r="E48" s="1359"/>
      <c r="F48" s="1359"/>
      <c r="G48" s="1359"/>
      <c r="H48" s="1359"/>
      <c r="I48" s="1359"/>
      <c r="J48" s="1359"/>
      <c r="K48" s="1359"/>
      <c r="L48" s="1359"/>
      <c r="M48" s="1359"/>
      <c r="N48" s="1359"/>
      <c r="O48" s="1359"/>
      <c r="P48" s="1359"/>
    </row>
    <row r="49">
      <c r="A49" s="1359"/>
      <c r="B49" s="1359"/>
      <c r="C49" s="1359"/>
      <c r="D49" s="1359"/>
      <c r="E49" s="1359"/>
      <c r="F49" s="1359"/>
      <c r="G49" s="1359"/>
      <c r="H49" s="1359"/>
      <c r="I49" s="1359"/>
      <c r="J49" s="1359"/>
      <c r="K49" s="1359"/>
      <c r="L49" s="1359"/>
      <c r="M49" s="1359"/>
      <c r="N49" s="1359"/>
      <c r="O49" s="1359"/>
      <c r="P49" s="1359"/>
    </row>
    <row r="50">
      <c r="A50" s="1359"/>
      <c r="B50" s="1359"/>
      <c r="C50" s="1359"/>
      <c r="D50" s="1359"/>
      <c r="E50" s="1359"/>
      <c r="F50" s="1359"/>
      <c r="G50" s="1359"/>
      <c r="H50" s="1359"/>
      <c r="I50" s="1359"/>
      <c r="J50" s="1359"/>
      <c r="K50" s="1359"/>
      <c r="L50" s="1359"/>
      <c r="M50" s="1359"/>
      <c r="N50" s="1359"/>
      <c r="O50" s="1359"/>
      <c r="P50" s="1359"/>
    </row>
    <row r="51">
      <c r="A51" s="1359"/>
      <c r="B51" s="1359"/>
      <c r="C51" s="1359"/>
      <c r="D51" s="1359"/>
      <c r="E51" s="1359"/>
      <c r="F51" s="1359"/>
      <c r="G51" s="1359"/>
      <c r="H51" s="1359"/>
      <c r="I51" s="1359"/>
      <c r="J51" s="1359"/>
      <c r="K51" s="1359"/>
      <c r="L51" s="1359"/>
      <c r="M51" s="1359"/>
      <c r="N51" s="1359"/>
      <c r="O51" s="1359"/>
      <c r="P51" s="1359"/>
    </row>
    <row r="52">
      <c r="A52" s="1359"/>
      <c r="B52" s="1359"/>
      <c r="C52" s="1359"/>
      <c r="D52" s="1359"/>
      <c r="E52" s="1359"/>
      <c r="F52" s="1359"/>
      <c r="G52" s="1359"/>
      <c r="H52" s="1359"/>
      <c r="I52" s="1359"/>
      <c r="J52" s="1359"/>
      <c r="K52" s="1359"/>
      <c r="L52" s="1359"/>
      <c r="M52" s="1359"/>
      <c r="N52" s="1359"/>
      <c r="O52" s="1359"/>
      <c r="P52" s="1359"/>
    </row>
    <row r="53">
      <c r="A53" s="1359"/>
      <c r="B53" s="1359"/>
      <c r="C53" s="1359"/>
      <c r="D53" s="1359"/>
      <c r="E53" s="1359"/>
      <c r="F53" s="1359"/>
      <c r="G53" s="1359"/>
      <c r="H53" s="1359"/>
      <c r="I53" s="1359"/>
      <c r="J53" s="1359"/>
      <c r="K53" s="1359"/>
      <c r="L53" s="1359"/>
      <c r="M53" s="1359"/>
      <c r="N53" s="1359"/>
      <c r="O53" s="1359"/>
      <c r="P53" s="1359"/>
    </row>
    <row r="54">
      <c r="A54" s="1359"/>
      <c r="B54" s="1359"/>
      <c r="C54" s="1359"/>
      <c r="D54" s="1359"/>
      <c r="E54" s="1359"/>
      <c r="F54" s="1359"/>
      <c r="G54" s="1359"/>
      <c r="H54" s="1359"/>
      <c r="I54" s="1359"/>
      <c r="J54" s="1359"/>
      <c r="K54" s="1359"/>
      <c r="L54" s="1359"/>
      <c r="M54" s="1359"/>
      <c r="N54" s="1359"/>
      <c r="O54" s="1359"/>
      <c r="P54" s="1359"/>
    </row>
    <row r="55">
      <c r="A55" s="1359"/>
      <c r="B55" s="1359"/>
      <c r="C55" s="1359"/>
      <c r="D55" s="1359"/>
      <c r="E55" s="1359"/>
      <c r="F55" s="1359"/>
      <c r="G55" s="1359"/>
      <c r="H55" s="1359"/>
      <c r="I55" s="1359"/>
      <c r="J55" s="1359"/>
      <c r="K55" s="1359"/>
      <c r="L55" s="1359"/>
      <c r="M55" s="1359"/>
      <c r="N55" s="1359"/>
      <c r="O55" s="1359"/>
      <c r="P55" s="1359"/>
    </row>
    <row r="56">
      <c r="A56" s="1359"/>
      <c r="B56" s="1359"/>
      <c r="C56" s="1359"/>
      <c r="D56" s="1359"/>
      <c r="E56" s="1359"/>
      <c r="F56" s="1359"/>
      <c r="G56" s="1359"/>
      <c r="H56" s="1359"/>
      <c r="I56" s="1359"/>
      <c r="J56" s="1359"/>
      <c r="K56" s="1359"/>
      <c r="L56" s="1359"/>
      <c r="M56" s="1359"/>
      <c r="N56" s="1359"/>
      <c r="O56" s="1359"/>
      <c r="P56" s="1359"/>
    </row>
    <row r="57">
      <c r="A57" s="1359"/>
      <c r="B57" s="1359"/>
      <c r="C57" s="1359"/>
      <c r="D57" s="1359"/>
      <c r="E57" s="1359"/>
      <c r="F57" s="1359"/>
      <c r="G57" s="1359"/>
      <c r="H57" s="1359"/>
      <c r="I57" s="1359"/>
      <c r="J57" s="1359"/>
      <c r="K57" s="1359"/>
      <c r="L57" s="1359"/>
      <c r="M57" s="1359"/>
      <c r="N57" s="1359"/>
      <c r="O57" s="1359"/>
      <c r="P57" s="1359"/>
    </row>
    <row r="58">
      <c r="A58" s="1359"/>
      <c r="B58" s="1359"/>
      <c r="C58" s="1359"/>
      <c r="D58" s="1359"/>
      <c r="E58" s="1359"/>
      <c r="F58" s="1359"/>
      <c r="G58" s="1359"/>
      <c r="H58" s="1359"/>
      <c r="I58" s="1359"/>
      <c r="J58" s="1359"/>
      <c r="K58" s="1359"/>
      <c r="L58" s="1359"/>
      <c r="M58" s="1359"/>
      <c r="N58" s="1359"/>
      <c r="O58" s="1359"/>
      <c r="P58" s="1359"/>
    </row>
    <row r="59">
      <c r="A59" s="1359"/>
      <c r="B59" s="1359"/>
      <c r="C59" s="1359"/>
      <c r="D59" s="1359"/>
      <c r="E59" s="1359"/>
      <c r="F59" s="1359"/>
      <c r="G59" s="1359"/>
      <c r="H59" s="1359"/>
      <c r="I59" s="1359"/>
      <c r="J59" s="1359"/>
      <c r="K59" s="1359"/>
      <c r="L59" s="1359"/>
      <c r="M59" s="1359"/>
      <c r="N59" s="1359"/>
      <c r="O59" s="1359"/>
      <c r="P59" s="1359"/>
    </row>
    <row r="60">
      <c r="A60" s="1359"/>
      <c r="B60" s="1359"/>
      <c r="C60" s="1359"/>
      <c r="D60" s="1359"/>
      <c r="E60" s="1359"/>
      <c r="F60" s="1359"/>
      <c r="G60" s="1359"/>
      <c r="H60" s="1359"/>
      <c r="I60" s="1359"/>
      <c r="J60" s="1359"/>
      <c r="K60" s="1359"/>
      <c r="L60" s="1359"/>
      <c r="M60" s="1359"/>
      <c r="N60" s="1359"/>
      <c r="O60" s="1359"/>
      <c r="P60" s="1359"/>
    </row>
    <row r="61">
      <c r="A61" s="1359"/>
      <c r="B61" s="1359"/>
      <c r="C61" s="1359"/>
      <c r="D61" s="1359"/>
      <c r="E61" s="1359"/>
      <c r="F61" s="1359"/>
      <c r="G61" s="1359"/>
      <c r="H61" s="1359"/>
      <c r="I61" s="1359"/>
      <c r="J61" s="1359"/>
      <c r="K61" s="1359"/>
      <c r="L61" s="1359"/>
      <c r="M61" s="1359"/>
      <c r="N61" s="1359"/>
      <c r="O61" s="1359"/>
      <c r="P61" s="1359"/>
    </row>
    <row r="62">
      <c r="A62" s="1359"/>
      <c r="B62" s="1359"/>
      <c r="C62" s="1359"/>
      <c r="D62" s="1359"/>
      <c r="E62" s="1359"/>
      <c r="F62" s="1359"/>
      <c r="G62" s="1359"/>
      <c r="H62" s="1359"/>
      <c r="I62" s="1359"/>
      <c r="J62" s="1359"/>
      <c r="K62" s="1359"/>
      <c r="L62" s="1359"/>
      <c r="M62" s="1359"/>
      <c r="N62" s="1359"/>
      <c r="O62" s="1359"/>
      <c r="P62" s="1359"/>
    </row>
    <row r="63">
      <c r="A63" s="1359"/>
      <c r="B63" s="1359"/>
      <c r="C63" s="1359"/>
      <c r="D63" s="1359"/>
      <c r="E63" s="1359"/>
      <c r="F63" s="1359"/>
      <c r="G63" s="1359"/>
      <c r="H63" s="1359"/>
      <c r="I63" s="1359"/>
      <c r="J63" s="1359"/>
      <c r="K63" s="1359"/>
      <c r="L63" s="1359"/>
      <c r="M63" s="1359"/>
      <c r="N63" s="1359"/>
      <c r="O63" s="1359"/>
      <c r="P63" s="1359"/>
    </row>
    <row r="64">
      <c r="A64" s="1359"/>
      <c r="B64" s="1359"/>
      <c r="C64" s="1359"/>
      <c r="D64" s="1359"/>
      <c r="E64" s="1359"/>
      <c r="F64" s="1359"/>
      <c r="G64" s="1359"/>
      <c r="H64" s="1359"/>
      <c r="I64" s="1359"/>
      <c r="J64" s="1359"/>
      <c r="K64" s="1359"/>
      <c r="L64" s="1359"/>
      <c r="M64" s="1359"/>
      <c r="N64" s="1359"/>
      <c r="O64" s="1359"/>
      <c r="P64" s="1359"/>
    </row>
    <row r="65">
      <c r="A65" s="1359"/>
      <c r="B65" s="1359"/>
      <c r="C65" s="1359"/>
      <c r="D65" s="1359"/>
      <c r="E65" s="1359"/>
      <c r="F65" s="1359"/>
      <c r="G65" s="1359"/>
      <c r="H65" s="1359"/>
      <c r="I65" s="1359"/>
      <c r="J65" s="1359"/>
      <c r="K65" s="1359"/>
      <c r="L65" s="1359"/>
      <c r="M65" s="1359"/>
      <c r="N65" s="1359"/>
      <c r="O65" s="1359"/>
      <c r="P65" s="1359"/>
    </row>
    <row r="66">
      <c r="A66" s="1359"/>
      <c r="B66" s="1359"/>
      <c r="C66" s="1359"/>
      <c r="D66" s="1359"/>
      <c r="E66" s="1359"/>
      <c r="F66" s="1359"/>
      <c r="G66" s="1359"/>
      <c r="H66" s="1359"/>
      <c r="I66" s="1359"/>
      <c r="J66" s="1359"/>
      <c r="K66" s="1359"/>
      <c r="L66" s="1359"/>
      <c r="M66" s="1359"/>
      <c r="N66" s="1359"/>
      <c r="O66" s="1359"/>
      <c r="P66" s="1359"/>
    </row>
    <row r="67">
      <c r="A67" s="1359"/>
      <c r="B67" s="1359"/>
      <c r="C67" s="1359"/>
      <c r="D67" s="1359"/>
      <c r="E67" s="1359"/>
      <c r="F67" s="1359"/>
      <c r="G67" s="1359"/>
      <c r="H67" s="1359"/>
      <c r="I67" s="1359"/>
      <c r="J67" s="1359"/>
      <c r="K67" s="1359"/>
      <c r="L67" s="1359"/>
      <c r="M67" s="1359"/>
      <c r="N67" s="1359"/>
      <c r="O67" s="1359"/>
      <c r="P67" s="1359"/>
    </row>
    <row r="68">
      <c r="A68" s="1359"/>
      <c r="B68" s="1359"/>
      <c r="C68" s="1359"/>
      <c r="D68" s="1359"/>
      <c r="E68" s="1359"/>
      <c r="F68" s="1359"/>
      <c r="G68" s="1359"/>
      <c r="H68" s="1359"/>
      <c r="I68" s="1359"/>
      <c r="J68" s="1359"/>
      <c r="K68" s="1359"/>
      <c r="L68" s="1359"/>
      <c r="M68" s="1359"/>
      <c r="N68" s="1359"/>
      <c r="O68" s="1359"/>
      <c r="P68" s="1359"/>
    </row>
    <row r="69">
      <c r="A69" s="1359"/>
      <c r="B69" s="1359"/>
      <c r="C69" s="1359"/>
      <c r="D69" s="1359"/>
      <c r="E69" s="1359"/>
      <c r="F69" s="1359"/>
      <c r="G69" s="1359"/>
      <c r="H69" s="1359"/>
      <c r="I69" s="1359"/>
      <c r="J69" s="1359"/>
      <c r="K69" s="1359"/>
      <c r="L69" s="1359"/>
      <c r="M69" s="1359"/>
      <c r="N69" s="1359"/>
      <c r="O69" s="1359"/>
      <c r="P69" s="1359"/>
    </row>
    <row r="70">
      <c r="A70" s="1359"/>
      <c r="B70" s="1359"/>
      <c r="C70" s="1359"/>
      <c r="D70" s="1359"/>
      <c r="E70" s="1359"/>
      <c r="F70" s="1359"/>
      <c r="G70" s="1359"/>
      <c r="H70" s="1359"/>
      <c r="I70" s="1359"/>
      <c r="J70" s="1359"/>
      <c r="K70" s="1359"/>
      <c r="L70" s="1359"/>
      <c r="M70" s="1359"/>
      <c r="N70" s="1359"/>
      <c r="O70" s="1359"/>
      <c r="P70" s="1359"/>
    </row>
    <row r="71">
      <c r="A71" s="1359"/>
      <c r="B71" s="1359"/>
      <c r="C71" s="1359"/>
      <c r="D71" s="1359"/>
      <c r="E71" s="1359"/>
      <c r="F71" s="1359"/>
      <c r="G71" s="1359"/>
      <c r="H71" s="1359"/>
      <c r="I71" s="1359"/>
      <c r="J71" s="1359"/>
      <c r="K71" s="1359"/>
      <c r="L71" s="1359"/>
      <c r="M71" s="1359"/>
      <c r="N71" s="1359"/>
      <c r="O71" s="1359"/>
      <c r="P71" s="1359"/>
    </row>
    <row r="72">
      <c r="A72" s="1359"/>
      <c r="B72" s="1359"/>
      <c r="C72" s="1359"/>
      <c r="D72" s="1359"/>
      <c r="E72" s="1359"/>
      <c r="F72" s="1359"/>
      <c r="G72" s="1359"/>
      <c r="H72" s="1359"/>
      <c r="I72" s="1359"/>
      <c r="J72" s="1359"/>
      <c r="K72" s="1359"/>
      <c r="L72" s="1359"/>
      <c r="M72" s="1359"/>
      <c r="N72" s="1359"/>
      <c r="O72" s="1359"/>
      <c r="P72" s="1359"/>
    </row>
    <row r="73">
      <c r="A73" s="1359"/>
      <c r="B73" s="1359"/>
      <c r="C73" s="1359"/>
      <c r="D73" s="1359"/>
      <c r="E73" s="1359"/>
      <c r="F73" s="1359"/>
      <c r="G73" s="1359"/>
      <c r="H73" s="1359"/>
      <c r="I73" s="1359"/>
      <c r="J73" s="1359"/>
      <c r="K73" s="1359"/>
      <c r="L73" s="1359"/>
      <c r="M73" s="1359"/>
      <c r="N73" s="1359"/>
      <c r="O73" s="1359"/>
      <c r="P73" s="1359"/>
    </row>
    <row r="74">
      <c r="A74" s="1359"/>
      <c r="B74" s="1359"/>
      <c r="C74" s="1359"/>
      <c r="D74" s="1359"/>
      <c r="E74" s="1359"/>
      <c r="F74" s="1359"/>
      <c r="G74" s="1359"/>
      <c r="H74" s="1359"/>
      <c r="I74" s="1359"/>
      <c r="J74" s="1359"/>
      <c r="K74" s="1359"/>
      <c r="L74" s="1359"/>
      <c r="M74" s="1359"/>
      <c r="N74" s="1359"/>
      <c r="O74" s="1359"/>
      <c r="P74" s="1359"/>
    </row>
    <row r="75">
      <c r="A75" s="1359"/>
      <c r="B75" s="1359"/>
      <c r="C75" s="1359"/>
      <c r="D75" s="1359"/>
      <c r="E75" s="1359"/>
      <c r="F75" s="1359"/>
      <c r="G75" s="1359"/>
      <c r="H75" s="1359"/>
      <c r="I75" s="1359"/>
      <c r="J75" s="1359"/>
      <c r="K75" s="1359"/>
      <c r="L75" s="1359"/>
      <c r="M75" s="1359"/>
      <c r="N75" s="1359"/>
      <c r="O75" s="1359"/>
      <c r="P75" s="1359"/>
    </row>
    <row r="76">
      <c r="A76" s="1359"/>
      <c r="B76" s="1359"/>
      <c r="C76" s="1359"/>
      <c r="D76" s="1359"/>
      <c r="E76" s="1359"/>
      <c r="F76" s="1359"/>
      <c r="G76" s="1359"/>
      <c r="H76" s="1359"/>
      <c r="I76" s="1359"/>
      <c r="J76" s="1359"/>
      <c r="K76" s="1359"/>
      <c r="L76" s="1359"/>
      <c r="M76" s="1359"/>
      <c r="N76" s="1359"/>
      <c r="O76" s="1359"/>
      <c r="P76" s="1359"/>
    </row>
    <row r="77">
      <c r="A77" s="1359"/>
      <c r="B77" s="1359"/>
      <c r="C77" s="1359"/>
      <c r="D77" s="1359"/>
      <c r="E77" s="1359"/>
      <c r="F77" s="1359"/>
      <c r="G77" s="1359"/>
      <c r="H77" s="1359"/>
      <c r="I77" s="1359"/>
      <c r="J77" s="1359"/>
      <c r="K77" s="1359"/>
      <c r="L77" s="1359"/>
      <c r="M77" s="1359"/>
      <c r="N77" s="1359"/>
      <c r="O77" s="1359"/>
      <c r="P77" s="1359"/>
    </row>
    <row r="78">
      <c r="A78" s="1359"/>
      <c r="B78" s="1359"/>
      <c r="C78" s="1359"/>
      <c r="D78" s="1359"/>
      <c r="E78" s="1359"/>
      <c r="F78" s="1359"/>
      <c r="G78" s="1359"/>
      <c r="H78" s="1359"/>
      <c r="I78" s="1359"/>
      <c r="J78" s="1359"/>
      <c r="K78" s="1359"/>
      <c r="L78" s="1359"/>
      <c r="M78" s="1359"/>
      <c r="N78" s="1359"/>
      <c r="O78" s="1359"/>
      <c r="P78" s="1359"/>
    </row>
    <row r="79">
      <c r="A79" s="1359"/>
      <c r="B79" s="1359"/>
      <c r="C79" s="1359"/>
      <c r="D79" s="1359"/>
      <c r="E79" s="1359"/>
      <c r="F79" s="1359"/>
      <c r="G79" s="1359"/>
      <c r="H79" s="1359"/>
      <c r="I79" s="1359"/>
      <c r="J79" s="1359"/>
      <c r="K79" s="1359"/>
      <c r="L79" s="1359"/>
      <c r="M79" s="1359"/>
      <c r="N79" s="1359"/>
      <c r="O79" s="1359"/>
      <c r="P79" s="1359"/>
    </row>
    <row r="80">
      <c r="A80" s="1359"/>
      <c r="B80" s="1359"/>
      <c r="C80" s="1359"/>
      <c r="D80" s="1359"/>
      <c r="E80" s="1359"/>
      <c r="F80" s="1359"/>
      <c r="G80" s="1359"/>
      <c r="H80" s="1359"/>
      <c r="I80" s="1359"/>
      <c r="J80" s="1359"/>
      <c r="K80" s="1359"/>
      <c r="L80" s="1359"/>
      <c r="M80" s="1359"/>
      <c r="N80" s="1359"/>
      <c r="O80" s="1359"/>
      <c r="P80" s="1359"/>
    </row>
    <row r="81">
      <c r="A81" s="1359"/>
      <c r="B81" s="1359"/>
      <c r="C81" s="1359"/>
      <c r="D81" s="1359"/>
      <c r="E81" s="1359"/>
      <c r="F81" s="1359"/>
      <c r="G81" s="1359"/>
      <c r="H81" s="1359"/>
      <c r="I81" s="1359"/>
      <c r="J81" s="1359"/>
      <c r="K81" s="1359"/>
      <c r="L81" s="1359"/>
      <c r="M81" s="1359"/>
      <c r="N81" s="1359"/>
      <c r="O81" s="1359"/>
      <c r="P81" s="1359"/>
    </row>
    <row r="82">
      <c r="A82" s="1359"/>
      <c r="B82" s="1359"/>
      <c r="C82" s="1359"/>
      <c r="D82" s="1359"/>
      <c r="E82" s="1359"/>
      <c r="F82" s="1359"/>
      <c r="G82" s="1359"/>
      <c r="H82" s="1359"/>
      <c r="I82" s="1359"/>
      <c r="J82" s="1359"/>
      <c r="K82" s="1359"/>
      <c r="L82" s="1359"/>
      <c r="M82" s="1359"/>
      <c r="N82" s="1359"/>
      <c r="O82" s="1359"/>
      <c r="P82" s="1359"/>
    </row>
    <row r="83">
      <c r="A83" s="1359"/>
      <c r="B83" s="1359"/>
      <c r="C83" s="1359"/>
      <c r="D83" s="1359"/>
      <c r="E83" s="1359"/>
      <c r="F83" s="1359"/>
      <c r="G83" s="1359"/>
      <c r="H83" s="1359"/>
      <c r="I83" s="1359"/>
      <c r="J83" s="1359"/>
      <c r="K83" s="1359"/>
      <c r="L83" s="1359"/>
      <c r="M83" s="1359"/>
      <c r="N83" s="1359"/>
      <c r="O83" s="1359"/>
      <c r="P83" s="1359"/>
    </row>
    <row r="84">
      <c r="A84" s="1359"/>
      <c r="B84" s="1359"/>
      <c r="C84" s="1359"/>
      <c r="D84" s="1359"/>
      <c r="E84" s="1359"/>
      <c r="F84" s="1359"/>
      <c r="G84" s="1359"/>
      <c r="H84" s="1359"/>
      <c r="I84" s="1359"/>
      <c r="J84" s="1359"/>
      <c r="K84" s="1359"/>
      <c r="L84" s="1359"/>
      <c r="M84" s="1359"/>
      <c r="N84" s="1359"/>
      <c r="O84" s="1359"/>
      <c r="P84" s="1359"/>
    </row>
    <row r="85">
      <c r="A85" s="1359"/>
      <c r="B85" s="1359"/>
      <c r="C85" s="1359"/>
      <c r="D85" s="1359"/>
      <c r="E85" s="1359"/>
      <c r="F85" s="1359"/>
      <c r="G85" s="1359"/>
      <c r="H85" s="1359"/>
      <c r="I85" s="1359"/>
      <c r="J85" s="1359"/>
      <c r="K85" s="1359"/>
      <c r="L85" s="1359"/>
      <c r="M85" s="1359"/>
      <c r="N85" s="1359"/>
      <c r="O85" s="1359"/>
      <c r="P85" s="1359"/>
    </row>
    <row r="86">
      <c r="A86" s="1359"/>
      <c r="B86" s="1359"/>
      <c r="C86" s="1359"/>
      <c r="D86" s="1359"/>
      <c r="E86" s="1359"/>
      <c r="F86" s="1359"/>
      <c r="G86" s="1359"/>
      <c r="H86" s="1359"/>
      <c r="I86" s="1359"/>
      <c r="J86" s="1359"/>
      <c r="K86" s="1359"/>
      <c r="L86" s="1359"/>
      <c r="M86" s="1359"/>
      <c r="N86" s="1359"/>
      <c r="O86" s="1359"/>
      <c r="P86" s="1359"/>
    </row>
    <row r="87">
      <c r="A87" s="1359"/>
      <c r="B87" s="1359"/>
      <c r="C87" s="1359"/>
      <c r="D87" s="1359"/>
      <c r="E87" s="1359"/>
      <c r="F87" s="1359"/>
      <c r="G87" s="1359"/>
      <c r="H87" s="1359"/>
      <c r="I87" s="1359"/>
      <c r="J87" s="1359"/>
      <c r="K87" s="1359"/>
      <c r="L87" s="1359"/>
      <c r="M87" s="1359"/>
      <c r="N87" s="1359"/>
      <c r="O87" s="1359"/>
      <c r="P87" s="1359"/>
    </row>
    <row r="88">
      <c r="A88" s="1359"/>
      <c r="B88" s="1359"/>
      <c r="C88" s="1359"/>
      <c r="D88" s="1359"/>
      <c r="E88" s="1359"/>
      <c r="F88" s="1359"/>
      <c r="G88" s="1359"/>
      <c r="H88" s="1359"/>
      <c r="I88" s="1359"/>
      <c r="J88" s="1359"/>
      <c r="K88" s="1359"/>
      <c r="L88" s="1359"/>
      <c r="M88" s="1359"/>
      <c r="N88" s="1359"/>
      <c r="O88" s="1359"/>
      <c r="P88" s="1359"/>
    </row>
    <row r="89">
      <c r="A89" s="1359"/>
      <c r="B89" s="1359"/>
      <c r="C89" s="1359"/>
      <c r="D89" s="1359"/>
      <c r="E89" s="1359"/>
      <c r="F89" s="1359"/>
      <c r="G89" s="1359"/>
      <c r="H89" s="1359"/>
      <c r="I89" s="1359"/>
      <c r="J89" s="1359"/>
      <c r="K89" s="1359"/>
      <c r="L89" s="1359"/>
      <c r="M89" s="1359"/>
      <c r="N89" s="1359"/>
      <c r="O89" s="1359"/>
      <c r="P89" s="1359"/>
    </row>
    <row r="90">
      <c r="A90" s="1359"/>
      <c r="B90" s="1359"/>
      <c r="C90" s="1359"/>
      <c r="D90" s="1359"/>
      <c r="E90" s="1359"/>
      <c r="F90" s="1359"/>
      <c r="G90" s="1359"/>
      <c r="H90" s="1359"/>
      <c r="I90" s="1359"/>
      <c r="J90" s="1359"/>
      <c r="K90" s="1359"/>
      <c r="L90" s="1359"/>
      <c r="M90" s="1359"/>
      <c r="N90" s="1359"/>
      <c r="O90" s="1359"/>
      <c r="P90" s="1359"/>
    </row>
    <row r="91">
      <c r="A91" s="1359"/>
      <c r="B91" s="1359"/>
      <c r="C91" s="1359"/>
      <c r="D91" s="1359"/>
      <c r="E91" s="1359"/>
      <c r="F91" s="1359"/>
      <c r="G91" s="1359"/>
      <c r="H91" s="1359"/>
      <c r="I91" s="1359"/>
      <c r="J91" s="1359"/>
      <c r="K91" s="1359"/>
      <c r="L91" s="1359"/>
      <c r="M91" s="1359"/>
      <c r="N91" s="1359"/>
      <c r="O91" s="1359"/>
      <c r="P91" s="1359"/>
    </row>
    <row r="92">
      <c r="A92" s="1359"/>
      <c r="B92" s="1359"/>
      <c r="C92" s="1359"/>
      <c r="D92" s="1359"/>
      <c r="E92" s="1359"/>
      <c r="F92" s="1359"/>
      <c r="G92" s="1359"/>
      <c r="H92" s="1359"/>
      <c r="I92" s="1359"/>
      <c r="J92" s="1359"/>
      <c r="K92" s="1359"/>
      <c r="L92" s="1359"/>
      <c r="M92" s="1359"/>
      <c r="N92" s="1359"/>
      <c r="O92" s="1359"/>
      <c r="P92" s="1359"/>
    </row>
    <row r="93">
      <c r="A93" s="1359"/>
      <c r="B93" s="1359"/>
      <c r="C93" s="1359"/>
      <c r="D93" s="1359"/>
      <c r="E93" s="1359"/>
      <c r="F93" s="1359"/>
      <c r="G93" s="1359"/>
      <c r="H93" s="1359"/>
      <c r="I93" s="1359"/>
      <c r="J93" s="1359"/>
      <c r="K93" s="1359"/>
      <c r="L93" s="1359"/>
      <c r="M93" s="1359"/>
      <c r="N93" s="1359"/>
      <c r="O93" s="1359"/>
      <c r="P93" s="1359"/>
    </row>
    <row r="94">
      <c r="A94" s="1359"/>
      <c r="B94" s="1359"/>
      <c r="C94" s="1359"/>
      <c r="D94" s="1359"/>
      <c r="E94" s="1359"/>
      <c r="F94" s="1359"/>
      <c r="G94" s="1359"/>
      <c r="H94" s="1359"/>
      <c r="I94" s="1359"/>
      <c r="J94" s="1359"/>
      <c r="K94" s="1359"/>
      <c r="L94" s="1359"/>
      <c r="M94" s="1359"/>
      <c r="N94" s="1359"/>
      <c r="O94" s="1359"/>
      <c r="P94" s="1359"/>
    </row>
    <row r="95">
      <c r="A95" s="1359"/>
      <c r="B95" s="1359"/>
      <c r="C95" s="1359"/>
      <c r="D95" s="1359"/>
      <c r="E95" s="1359"/>
      <c r="F95" s="1359"/>
      <c r="G95" s="1359"/>
      <c r="H95" s="1359"/>
      <c r="I95" s="1359"/>
      <c r="J95" s="1359"/>
      <c r="K95" s="1359"/>
      <c r="L95" s="1359"/>
      <c r="M95" s="1359"/>
      <c r="N95" s="1359"/>
      <c r="O95" s="1359"/>
      <c r="P95" s="1359"/>
    </row>
    <row r="96">
      <c r="A96" s="1359"/>
      <c r="B96" s="1359"/>
      <c r="C96" s="1359"/>
      <c r="D96" s="1359"/>
      <c r="E96" s="1359"/>
      <c r="F96" s="1359"/>
      <c r="G96" s="1359"/>
      <c r="H96" s="1359"/>
      <c r="I96" s="1359"/>
      <c r="J96" s="1359"/>
      <c r="K96" s="1359"/>
      <c r="L96" s="1359"/>
      <c r="M96" s="1359"/>
      <c r="N96" s="1359"/>
      <c r="O96" s="1359"/>
      <c r="P96" s="1359"/>
    </row>
    <row r="97">
      <c r="A97" s="1359"/>
      <c r="B97" s="1359"/>
      <c r="C97" s="1359"/>
      <c r="D97" s="1359"/>
      <c r="E97" s="1359"/>
      <c r="F97" s="1359"/>
      <c r="G97" s="1359"/>
      <c r="H97" s="1359"/>
      <c r="I97" s="1359"/>
      <c r="J97" s="1359"/>
      <c r="K97" s="1359"/>
      <c r="L97" s="1359"/>
      <c r="M97" s="1359"/>
      <c r="N97" s="1359"/>
      <c r="O97" s="1359"/>
      <c r="P97" s="1359"/>
    </row>
    <row r="98">
      <c r="A98" s="1359"/>
      <c r="B98" s="1359"/>
      <c r="C98" s="1359"/>
      <c r="D98" s="1359"/>
      <c r="E98" s="1359"/>
      <c r="F98" s="1359"/>
      <c r="G98" s="1359"/>
      <c r="H98" s="1359"/>
      <c r="I98" s="1359"/>
      <c r="J98" s="1359"/>
      <c r="K98" s="1359"/>
      <c r="L98" s="1359"/>
      <c r="M98" s="1359"/>
      <c r="N98" s="1359"/>
      <c r="O98" s="1359"/>
      <c r="P98" s="1359"/>
    </row>
    <row r="99">
      <c r="A99" s="1359"/>
      <c r="B99" s="1359"/>
      <c r="C99" s="1359"/>
      <c r="D99" s="1359"/>
      <c r="E99" s="1359"/>
      <c r="F99" s="1359"/>
      <c r="G99" s="1359"/>
      <c r="H99" s="1359"/>
      <c r="I99" s="1359"/>
      <c r="J99" s="1359"/>
      <c r="K99" s="1359"/>
      <c r="L99" s="1359"/>
      <c r="M99" s="1359"/>
      <c r="N99" s="1359"/>
      <c r="O99" s="1359"/>
      <c r="P99" s="1359"/>
    </row>
    <row r="100">
      <c r="A100" s="1359"/>
      <c r="B100" s="1359"/>
      <c r="C100" s="1359"/>
      <c r="D100" s="1359"/>
      <c r="E100" s="1359"/>
      <c r="F100" s="1359"/>
      <c r="G100" s="1359"/>
      <c r="H100" s="1359"/>
      <c r="I100" s="1359"/>
      <c r="J100" s="1359"/>
      <c r="K100" s="1359"/>
      <c r="L100" s="1359"/>
      <c r="M100" s="1359"/>
      <c r="N100" s="1359"/>
      <c r="O100" s="1359"/>
      <c r="P100" s="1359"/>
    </row>
    <row r="101">
      <c r="A101" s="1359"/>
      <c r="B101" s="1359"/>
      <c r="C101" s="1359"/>
      <c r="D101" s="1359"/>
      <c r="E101" s="1359"/>
      <c r="F101" s="1359"/>
      <c r="G101" s="1359"/>
      <c r="H101" s="1359"/>
      <c r="I101" s="1359"/>
      <c r="J101" s="1359"/>
      <c r="K101" s="1359"/>
      <c r="L101" s="1359"/>
      <c r="M101" s="1359"/>
      <c r="N101" s="1359"/>
      <c r="O101" s="1359"/>
      <c r="P101" s="1359"/>
    </row>
    <row r="102">
      <c r="A102" s="1359"/>
      <c r="B102" s="1359"/>
      <c r="C102" s="1359"/>
      <c r="D102" s="1359"/>
      <c r="E102" s="1359"/>
      <c r="F102" s="1359"/>
      <c r="G102" s="1359"/>
      <c r="H102" s="1359"/>
      <c r="I102" s="1359"/>
      <c r="J102" s="1359"/>
      <c r="K102" s="1359"/>
      <c r="L102" s="1359"/>
      <c r="M102" s="1359"/>
      <c r="N102" s="1359"/>
      <c r="O102" s="1359"/>
      <c r="P102" s="1359"/>
    </row>
    <row r="103">
      <c r="A103" s="1359"/>
      <c r="B103" s="1359"/>
      <c r="C103" s="1359"/>
      <c r="D103" s="1359"/>
      <c r="E103" s="1359"/>
      <c r="F103" s="1359"/>
      <c r="G103" s="1359"/>
      <c r="H103" s="1359"/>
      <c r="I103" s="1359"/>
      <c r="J103" s="1359"/>
      <c r="K103" s="1359"/>
      <c r="L103" s="1359"/>
      <c r="M103" s="1359"/>
      <c r="N103" s="1359"/>
      <c r="O103" s="1359"/>
      <c r="P103" s="1359"/>
    </row>
    <row r="104">
      <c r="A104" s="1359"/>
      <c r="B104" s="1359"/>
      <c r="C104" s="1359"/>
      <c r="D104" s="1359"/>
      <c r="E104" s="1359"/>
      <c r="F104" s="1359"/>
      <c r="G104" s="1359"/>
      <c r="H104" s="1359"/>
      <c r="I104" s="1359"/>
      <c r="J104" s="1359"/>
      <c r="K104" s="1359"/>
      <c r="L104" s="1359"/>
      <c r="M104" s="1359"/>
      <c r="N104" s="1359"/>
      <c r="O104" s="1359"/>
      <c r="P104" s="1359"/>
    </row>
    <row r="105">
      <c r="A105" s="1359"/>
      <c r="B105" s="1359"/>
      <c r="C105" s="1359"/>
      <c r="D105" s="1359"/>
      <c r="E105" s="1359"/>
      <c r="F105" s="1359"/>
      <c r="G105" s="1359"/>
      <c r="H105" s="1359"/>
      <c r="I105" s="1359"/>
      <c r="J105" s="1359"/>
      <c r="K105" s="1359"/>
      <c r="L105" s="1359"/>
      <c r="M105" s="1359"/>
      <c r="N105" s="1359"/>
      <c r="O105" s="1359"/>
      <c r="P105" s="1359"/>
    </row>
    <row r="106">
      <c r="A106" s="1359"/>
      <c r="B106" s="1359"/>
      <c r="C106" s="1359"/>
      <c r="D106" s="1359"/>
      <c r="E106" s="1359"/>
      <c r="F106" s="1359"/>
      <c r="G106" s="1359"/>
      <c r="H106" s="1359"/>
      <c r="I106" s="1359"/>
      <c r="J106" s="1359"/>
      <c r="K106" s="1359"/>
      <c r="L106" s="1359"/>
      <c r="M106" s="1359"/>
      <c r="N106" s="1359"/>
      <c r="O106" s="1359"/>
      <c r="P106" s="1359"/>
    </row>
    <row r="107">
      <c r="A107" s="1359"/>
      <c r="B107" s="1359"/>
      <c r="C107" s="1359"/>
      <c r="D107" s="1359"/>
      <c r="E107" s="1359"/>
      <c r="F107" s="1359"/>
      <c r="G107" s="1359"/>
      <c r="H107" s="1359"/>
      <c r="I107" s="1359"/>
      <c r="J107" s="1359"/>
      <c r="K107" s="1359"/>
      <c r="L107" s="1359"/>
      <c r="M107" s="1359"/>
      <c r="N107" s="1359"/>
      <c r="O107" s="1359"/>
      <c r="P107" s="1359"/>
    </row>
    <row r="108">
      <c r="A108" s="1359"/>
      <c r="B108" s="1359"/>
      <c r="C108" s="1359"/>
      <c r="D108" s="1359"/>
      <c r="E108" s="1359"/>
      <c r="F108" s="1359"/>
      <c r="G108" s="1359"/>
      <c r="H108" s="1359"/>
      <c r="I108" s="1359"/>
      <c r="J108" s="1359"/>
      <c r="K108" s="1359"/>
      <c r="L108" s="1359"/>
      <c r="M108" s="1359"/>
      <c r="N108" s="1359"/>
      <c r="O108" s="1359"/>
      <c r="P108" s="1359"/>
    </row>
    <row r="109">
      <c r="A109" s="1359"/>
      <c r="B109" s="1359"/>
      <c r="C109" s="1359"/>
      <c r="D109" s="1359"/>
      <c r="E109" s="1359"/>
      <c r="F109" s="1359"/>
      <c r="G109" s="1359"/>
      <c r="H109" s="1359"/>
      <c r="I109" s="1359"/>
      <c r="J109" s="1359"/>
      <c r="K109" s="1359"/>
      <c r="L109" s="1359"/>
      <c r="M109" s="1359"/>
      <c r="N109" s="1359"/>
      <c r="O109" s="1359"/>
      <c r="P109" s="1359"/>
    </row>
    <row r="110">
      <c r="A110" s="1359"/>
      <c r="B110" s="1359"/>
      <c r="C110" s="1359"/>
      <c r="D110" s="1359"/>
      <c r="E110" s="1359"/>
      <c r="F110" s="1359"/>
      <c r="G110" s="1359"/>
      <c r="H110" s="1359"/>
      <c r="I110" s="1359"/>
      <c r="J110" s="1359"/>
      <c r="K110" s="1359"/>
      <c r="L110" s="1359"/>
      <c r="M110" s="1359"/>
      <c r="N110" s="1359"/>
      <c r="O110" s="1359"/>
      <c r="P110" s="1359"/>
    </row>
    <row r="111">
      <c r="A111" s="1359"/>
      <c r="B111" s="1359"/>
      <c r="C111" s="1359"/>
      <c r="D111" s="1359"/>
      <c r="E111" s="1359"/>
      <c r="F111" s="1359"/>
      <c r="G111" s="1359"/>
      <c r="H111" s="1359"/>
      <c r="I111" s="1359"/>
      <c r="J111" s="1359"/>
      <c r="K111" s="1359"/>
      <c r="L111" s="1359"/>
      <c r="M111" s="1359"/>
      <c r="N111" s="1359"/>
      <c r="O111" s="1359"/>
      <c r="P111" s="1359"/>
    </row>
    <row r="112">
      <c r="A112" s="1359"/>
      <c r="B112" s="1359"/>
      <c r="C112" s="1359"/>
      <c r="D112" s="1359"/>
      <c r="E112" s="1359"/>
      <c r="F112" s="1359"/>
      <c r="G112" s="1359"/>
      <c r="H112" s="1359"/>
      <c r="I112" s="1359"/>
      <c r="J112" s="1359"/>
      <c r="K112" s="1359"/>
      <c r="L112" s="1359"/>
      <c r="M112" s="1359"/>
      <c r="N112" s="1359"/>
      <c r="O112" s="1359"/>
      <c r="P112" s="1359"/>
    </row>
    <row r="113">
      <c r="A113" s="1359"/>
      <c r="B113" s="1359"/>
      <c r="C113" s="1359"/>
      <c r="D113" s="1359"/>
      <c r="E113" s="1359"/>
      <c r="F113" s="1359"/>
      <c r="G113" s="1359"/>
      <c r="H113" s="1359"/>
      <c r="I113" s="1359"/>
      <c r="J113" s="1359"/>
      <c r="K113" s="1359"/>
      <c r="L113" s="1359"/>
      <c r="M113" s="1359"/>
      <c r="N113" s="1359"/>
      <c r="O113" s="1359"/>
      <c r="P113" s="1359"/>
    </row>
    <row r="114">
      <c r="A114" s="1359"/>
      <c r="B114" s="1359"/>
      <c r="C114" s="1359"/>
      <c r="D114" s="1359"/>
      <c r="E114" s="1359"/>
      <c r="F114" s="1359"/>
      <c r="G114" s="1359"/>
      <c r="H114" s="1359"/>
      <c r="I114" s="1359"/>
      <c r="J114" s="1359"/>
      <c r="K114" s="1359"/>
      <c r="L114" s="1359"/>
      <c r="M114" s="1359"/>
      <c r="N114" s="1359"/>
      <c r="O114" s="1359"/>
      <c r="P114" s="1359"/>
    </row>
    <row r="115">
      <c r="A115" s="1359"/>
      <c r="B115" s="1359"/>
      <c r="C115" s="1359"/>
      <c r="D115" s="1359"/>
      <c r="E115" s="1359"/>
      <c r="F115" s="1359"/>
      <c r="G115" s="1359"/>
      <c r="H115" s="1359"/>
      <c r="I115" s="1359"/>
      <c r="J115" s="1359"/>
      <c r="K115" s="1359"/>
      <c r="L115" s="1359"/>
      <c r="M115" s="1359"/>
      <c r="N115" s="1359"/>
      <c r="O115" s="1359"/>
      <c r="P115" s="1359"/>
    </row>
    <row r="116">
      <c r="A116" s="1359"/>
      <c r="B116" s="1359"/>
      <c r="C116" s="1359"/>
      <c r="D116" s="1359"/>
      <c r="E116" s="1359"/>
      <c r="F116" s="1359"/>
      <c r="G116" s="1359"/>
      <c r="H116" s="1359"/>
      <c r="I116" s="1359"/>
      <c r="J116" s="1359"/>
      <c r="K116" s="1359"/>
      <c r="L116" s="1359"/>
      <c r="M116" s="1359"/>
      <c r="N116" s="1359"/>
      <c r="O116" s="1359"/>
      <c r="P116" s="1359"/>
    </row>
    <row r="117">
      <c r="A117" s="1359"/>
      <c r="B117" s="1359"/>
      <c r="C117" s="1359"/>
      <c r="D117" s="1359"/>
      <c r="E117" s="1359"/>
      <c r="F117" s="1359"/>
      <c r="G117" s="1359"/>
      <c r="H117" s="1359"/>
      <c r="I117" s="1359"/>
      <c r="J117" s="1359"/>
      <c r="K117" s="1359"/>
      <c r="L117" s="1359"/>
      <c r="M117" s="1359"/>
      <c r="N117" s="1359"/>
      <c r="O117" s="1359"/>
      <c r="P117" s="1359"/>
    </row>
    <row r="118">
      <c r="A118" s="1359"/>
      <c r="B118" s="1359"/>
      <c r="C118" s="1359"/>
      <c r="D118" s="1359"/>
      <c r="E118" s="1359"/>
      <c r="F118" s="1359"/>
      <c r="G118" s="1359"/>
      <c r="H118" s="1359"/>
      <c r="I118" s="1359"/>
      <c r="J118" s="1359"/>
      <c r="K118" s="1359"/>
      <c r="L118" s="1359"/>
      <c r="M118" s="1359"/>
      <c r="N118" s="1359"/>
      <c r="O118" s="1359"/>
      <c r="P118" s="1359"/>
    </row>
    <row r="119">
      <c r="A119" s="1359"/>
      <c r="B119" s="1359"/>
      <c r="C119" s="1359"/>
      <c r="D119" s="1359"/>
      <c r="E119" s="1359"/>
      <c r="F119" s="1359"/>
      <c r="G119" s="1359"/>
      <c r="H119" s="1359"/>
      <c r="I119" s="1359"/>
      <c r="J119" s="1359"/>
      <c r="K119" s="1359"/>
      <c r="L119" s="1359"/>
      <c r="M119" s="1359"/>
      <c r="N119" s="1359"/>
      <c r="O119" s="1359"/>
      <c r="P119" s="1359"/>
    </row>
    <row r="120">
      <c r="A120" s="1359"/>
      <c r="B120" s="1359"/>
      <c r="C120" s="1359"/>
      <c r="D120" s="1359"/>
      <c r="E120" s="1359"/>
      <c r="F120" s="1359"/>
      <c r="G120" s="1359"/>
      <c r="H120" s="1359"/>
      <c r="I120" s="1359"/>
      <c r="J120" s="1359"/>
      <c r="K120" s="1359"/>
      <c r="L120" s="1359"/>
      <c r="M120" s="1359"/>
      <c r="N120" s="1359"/>
      <c r="O120" s="1359"/>
      <c r="P120" s="1359"/>
    </row>
    <row r="121">
      <c r="A121" s="1359"/>
      <c r="B121" s="1359"/>
      <c r="C121" s="1359"/>
      <c r="D121" s="1359"/>
      <c r="E121" s="1359"/>
      <c r="F121" s="1359"/>
      <c r="G121" s="1359"/>
      <c r="H121" s="1359"/>
      <c r="I121" s="1359"/>
      <c r="J121" s="1359"/>
      <c r="K121" s="1359"/>
      <c r="L121" s="1359"/>
      <c r="M121" s="1359"/>
      <c r="N121" s="1359"/>
      <c r="O121" s="1359"/>
      <c r="P121" s="1359"/>
    </row>
    <row r="122">
      <c r="A122" s="1359"/>
      <c r="B122" s="1359"/>
      <c r="C122" s="1359"/>
      <c r="D122" s="1359"/>
      <c r="E122" s="1359"/>
      <c r="F122" s="1359"/>
      <c r="G122" s="1359"/>
      <c r="H122" s="1359"/>
      <c r="I122" s="1359"/>
      <c r="J122" s="1359"/>
      <c r="K122" s="1359"/>
      <c r="L122" s="1359"/>
      <c r="M122" s="1359"/>
      <c r="N122" s="1359"/>
      <c r="O122" s="1359"/>
      <c r="P122" s="1359"/>
    </row>
    <row r="123">
      <c r="A123" s="1359"/>
      <c r="B123" s="1359"/>
      <c r="C123" s="1359"/>
      <c r="D123" s="1359"/>
      <c r="E123" s="1359"/>
      <c r="F123" s="1359"/>
      <c r="G123" s="1359"/>
      <c r="H123" s="1359"/>
      <c r="I123" s="1359"/>
      <c r="J123" s="1359"/>
      <c r="K123" s="1359"/>
      <c r="L123" s="1359"/>
      <c r="M123" s="1359"/>
      <c r="N123" s="1359"/>
      <c r="O123" s="1359"/>
      <c r="P123" s="1359"/>
    </row>
    <row r="124">
      <c r="A124" s="1359"/>
      <c r="B124" s="1359"/>
      <c r="C124" s="1359"/>
      <c r="D124" s="1359"/>
      <c r="E124" s="1359"/>
      <c r="F124" s="1359"/>
      <c r="G124" s="1359"/>
      <c r="H124" s="1359"/>
      <c r="I124" s="1359"/>
      <c r="J124" s="1359"/>
      <c r="K124" s="1359"/>
      <c r="L124" s="1359"/>
      <c r="M124" s="1359"/>
      <c r="N124" s="1359"/>
      <c r="O124" s="1359"/>
      <c r="P124" s="1359"/>
    </row>
    <row r="125">
      <c r="A125" s="1359"/>
      <c r="B125" s="1359"/>
      <c r="C125" s="1359"/>
      <c r="D125" s="1359"/>
      <c r="E125" s="1359"/>
      <c r="F125" s="1359"/>
      <c r="G125" s="1359"/>
      <c r="H125" s="1359"/>
      <c r="I125" s="1359"/>
      <c r="J125" s="1359"/>
      <c r="K125" s="1359"/>
      <c r="L125" s="1359"/>
      <c r="M125" s="1359"/>
      <c r="N125" s="1359"/>
      <c r="O125" s="1359"/>
      <c r="P125" s="1359"/>
    </row>
    <row r="126">
      <c r="A126" s="1359"/>
      <c r="B126" s="1359"/>
      <c r="C126" s="1359"/>
      <c r="D126" s="1359"/>
      <c r="E126" s="1359"/>
      <c r="F126" s="1359"/>
      <c r="G126" s="1359"/>
      <c r="H126" s="1359"/>
      <c r="I126" s="1359"/>
      <c r="J126" s="1359"/>
      <c r="K126" s="1359"/>
      <c r="L126" s="1359"/>
      <c r="M126" s="1359"/>
      <c r="N126" s="1359"/>
      <c r="O126" s="1359"/>
      <c r="P126" s="1359"/>
    </row>
    <row r="127">
      <c r="A127" s="1359"/>
      <c r="B127" s="1359"/>
      <c r="C127" s="1359"/>
      <c r="D127" s="1359"/>
      <c r="E127" s="1359"/>
      <c r="F127" s="1359"/>
      <c r="G127" s="1359"/>
      <c r="H127" s="1359"/>
      <c r="I127" s="1359"/>
      <c r="J127" s="1359"/>
      <c r="K127" s="1359"/>
      <c r="L127" s="1359"/>
      <c r="M127" s="1359"/>
      <c r="N127" s="1359"/>
      <c r="O127" s="1359"/>
      <c r="P127" s="1359"/>
    </row>
    <row r="128">
      <c r="A128" s="1359"/>
      <c r="B128" s="1359"/>
      <c r="C128" s="1359"/>
      <c r="D128" s="1359"/>
      <c r="E128" s="1359"/>
      <c r="F128" s="1359"/>
      <c r="G128" s="1359"/>
      <c r="H128" s="1359"/>
      <c r="I128" s="1359"/>
      <c r="J128" s="1359"/>
      <c r="K128" s="1359"/>
      <c r="L128" s="1359"/>
      <c r="M128" s="1359"/>
      <c r="N128" s="1359"/>
      <c r="O128" s="1359"/>
      <c r="P128" s="1359"/>
    </row>
    <row r="129">
      <c r="A129" s="1359"/>
      <c r="B129" s="1359"/>
      <c r="C129" s="1359"/>
      <c r="D129" s="1359"/>
      <c r="E129" s="1359"/>
      <c r="F129" s="1359"/>
      <c r="G129" s="1359"/>
      <c r="H129" s="1359"/>
      <c r="I129" s="1359"/>
      <c r="J129" s="1359"/>
      <c r="K129" s="1359"/>
      <c r="L129" s="1359"/>
      <c r="M129" s="1359"/>
      <c r="N129" s="1359"/>
      <c r="O129" s="1359"/>
      <c r="P129" s="1359"/>
    </row>
    <row r="130">
      <c r="A130" s="1359"/>
      <c r="B130" s="1359"/>
      <c r="C130" s="1359"/>
      <c r="D130" s="1359"/>
      <c r="E130" s="1359"/>
      <c r="F130" s="1359"/>
      <c r="G130" s="1359"/>
      <c r="H130" s="1359"/>
      <c r="I130" s="1359"/>
      <c r="J130" s="1359"/>
      <c r="K130" s="1359"/>
      <c r="L130" s="1359"/>
      <c r="M130" s="1359"/>
      <c r="N130" s="1359"/>
      <c r="O130" s="1359"/>
      <c r="P130" s="1359"/>
    </row>
    <row r="131">
      <c r="A131" s="1359"/>
      <c r="B131" s="1359"/>
      <c r="C131" s="1359"/>
      <c r="D131" s="1359"/>
      <c r="E131" s="1359"/>
      <c r="F131" s="1359"/>
      <c r="G131" s="1359"/>
      <c r="H131" s="1359"/>
      <c r="I131" s="1359"/>
      <c r="J131" s="1359"/>
      <c r="K131" s="1359"/>
      <c r="L131" s="1359"/>
      <c r="M131" s="1359"/>
      <c r="N131" s="1359"/>
      <c r="O131" s="1359"/>
      <c r="P131" s="1359"/>
    </row>
    <row r="132">
      <c r="A132" s="1359"/>
      <c r="B132" s="1359"/>
      <c r="C132" s="1359"/>
      <c r="D132" s="1359"/>
      <c r="E132" s="1359"/>
      <c r="F132" s="1359"/>
      <c r="G132" s="1359"/>
      <c r="H132" s="1359"/>
      <c r="I132" s="1359"/>
      <c r="J132" s="1359"/>
      <c r="K132" s="1359"/>
      <c r="L132" s="1359"/>
      <c r="M132" s="1359"/>
      <c r="N132" s="1359"/>
      <c r="O132" s="1359"/>
      <c r="P132" s="1359"/>
    </row>
    <row r="133">
      <c r="A133" s="1359"/>
      <c r="B133" s="1359"/>
      <c r="C133" s="1359"/>
      <c r="D133" s="1359"/>
      <c r="E133" s="1359"/>
      <c r="F133" s="1359"/>
      <c r="G133" s="1359"/>
      <c r="H133" s="1359"/>
      <c r="I133" s="1359"/>
      <c r="J133" s="1359"/>
      <c r="K133" s="1359"/>
      <c r="L133" s="1359"/>
      <c r="M133" s="1359"/>
      <c r="N133" s="1359"/>
      <c r="O133" s="1359"/>
      <c r="P133" s="1359"/>
    </row>
    <row r="134">
      <c r="A134" s="1359"/>
      <c r="B134" s="1359"/>
      <c r="C134" s="1359"/>
      <c r="D134" s="1359"/>
      <c r="E134" s="1359"/>
      <c r="F134" s="1359"/>
      <c r="G134" s="1359"/>
      <c r="H134" s="1359"/>
      <c r="I134" s="1359"/>
      <c r="J134" s="1359"/>
      <c r="K134" s="1359"/>
      <c r="L134" s="1359"/>
      <c r="M134" s="1359"/>
      <c r="N134" s="1359"/>
      <c r="O134" s="1359"/>
      <c r="P134" s="1359"/>
    </row>
    <row r="135">
      <c r="A135" s="1359"/>
      <c r="B135" s="1359"/>
      <c r="C135" s="1359"/>
      <c r="D135" s="1359"/>
      <c r="E135" s="1359"/>
      <c r="F135" s="1359"/>
      <c r="G135" s="1359"/>
      <c r="H135" s="1359"/>
      <c r="I135" s="1359"/>
      <c r="J135" s="1359"/>
      <c r="K135" s="1359"/>
      <c r="L135" s="1359"/>
      <c r="M135" s="1359"/>
      <c r="N135" s="1359"/>
      <c r="O135" s="1359"/>
      <c r="P135" s="1359"/>
    </row>
    <row r="136">
      <c r="A136" s="1359"/>
      <c r="B136" s="1359"/>
      <c r="C136" s="1359"/>
      <c r="D136" s="1359"/>
      <c r="E136" s="1359"/>
      <c r="F136" s="1359"/>
      <c r="G136" s="1359"/>
      <c r="H136" s="1359"/>
      <c r="I136" s="1359"/>
      <c r="J136" s="1359"/>
      <c r="K136" s="1359"/>
      <c r="L136" s="1359"/>
      <c r="M136" s="1359"/>
      <c r="N136" s="1359"/>
      <c r="O136" s="1359"/>
      <c r="P136" s="1359"/>
    </row>
    <row r="137">
      <c r="A137" s="1359"/>
      <c r="B137" s="1359"/>
      <c r="C137" s="1359"/>
      <c r="D137" s="1359"/>
      <c r="E137" s="1359"/>
      <c r="F137" s="1359"/>
      <c r="G137" s="1359"/>
      <c r="H137" s="1359"/>
      <c r="I137" s="1359"/>
      <c r="J137" s="1359"/>
      <c r="K137" s="1359"/>
      <c r="L137" s="1359"/>
      <c r="M137" s="1359"/>
      <c r="N137" s="1359"/>
      <c r="O137" s="1359"/>
      <c r="P137" s="1359"/>
    </row>
    <row r="138">
      <c r="A138" s="1359"/>
      <c r="B138" s="1359"/>
      <c r="C138" s="1359"/>
      <c r="D138" s="1359"/>
      <c r="E138" s="1359"/>
      <c r="F138" s="1359"/>
      <c r="G138" s="1359"/>
      <c r="H138" s="1359"/>
      <c r="I138" s="1359"/>
      <c r="J138" s="1359"/>
      <c r="K138" s="1359"/>
      <c r="L138" s="1359"/>
      <c r="M138" s="1359"/>
      <c r="N138" s="1359"/>
      <c r="O138" s="1359"/>
      <c r="P138" s="1359"/>
    </row>
    <row r="139">
      <c r="A139" s="1359"/>
      <c r="B139" s="1359"/>
      <c r="C139" s="1359"/>
      <c r="D139" s="1359"/>
      <c r="E139" s="1359"/>
      <c r="F139" s="1359"/>
      <c r="G139" s="1359"/>
      <c r="H139" s="1359"/>
      <c r="I139" s="1359"/>
      <c r="J139" s="1359"/>
      <c r="K139" s="1359"/>
      <c r="L139" s="1359"/>
      <c r="M139" s="1359"/>
      <c r="N139" s="1359"/>
      <c r="O139" s="1359"/>
      <c r="P139" s="1359"/>
    </row>
    <row r="140">
      <c r="A140" s="1359"/>
      <c r="B140" s="1359"/>
      <c r="C140" s="1359"/>
      <c r="D140" s="1359"/>
      <c r="E140" s="1359"/>
      <c r="F140" s="1359"/>
      <c r="G140" s="1359"/>
      <c r="H140" s="1359"/>
      <c r="I140" s="1359"/>
      <c r="J140" s="1359"/>
      <c r="K140" s="1359"/>
      <c r="L140" s="1359"/>
      <c r="M140" s="1359"/>
      <c r="N140" s="1359"/>
      <c r="O140" s="1359"/>
      <c r="P140" s="1359"/>
    </row>
    <row r="141">
      <c r="A141" s="1359"/>
      <c r="B141" s="1359"/>
      <c r="C141" s="1359"/>
      <c r="D141" s="1359"/>
      <c r="E141" s="1359"/>
      <c r="F141" s="1359"/>
      <c r="G141" s="1359"/>
      <c r="H141" s="1359"/>
      <c r="I141" s="1359"/>
      <c r="J141" s="1359"/>
      <c r="K141" s="1359"/>
      <c r="L141" s="1359"/>
      <c r="M141" s="1359"/>
      <c r="N141" s="1359"/>
      <c r="O141" s="1359"/>
      <c r="P141" s="1359"/>
    </row>
    <row r="142">
      <c r="A142" s="1359"/>
      <c r="B142" s="1359"/>
      <c r="C142" s="1359"/>
      <c r="D142" s="1359"/>
      <c r="E142" s="1359"/>
      <c r="F142" s="1359"/>
      <c r="G142" s="1359"/>
      <c r="H142" s="1359"/>
      <c r="I142" s="1359"/>
      <c r="J142" s="1359"/>
      <c r="K142" s="1359"/>
      <c r="L142" s="1359"/>
      <c r="M142" s="1359"/>
      <c r="N142" s="1359"/>
      <c r="O142" s="1359"/>
      <c r="P142" s="1359"/>
    </row>
    <row r="143">
      <c r="A143" s="1359"/>
      <c r="B143" s="1359"/>
      <c r="C143" s="1359"/>
      <c r="D143" s="1359"/>
      <c r="E143" s="1359"/>
      <c r="F143" s="1359"/>
      <c r="G143" s="1359"/>
      <c r="H143" s="1359"/>
      <c r="I143" s="1359"/>
      <c r="J143" s="1359"/>
      <c r="K143" s="1359"/>
      <c r="L143" s="1359"/>
      <c r="M143" s="1359"/>
      <c r="N143" s="1359"/>
      <c r="O143" s="1359"/>
      <c r="P143" s="1359"/>
    </row>
    <row r="144">
      <c r="A144" s="1359"/>
      <c r="B144" s="1359"/>
      <c r="C144" s="1359"/>
      <c r="D144" s="1359"/>
      <c r="E144" s="1359"/>
      <c r="F144" s="1359"/>
      <c r="G144" s="1359"/>
      <c r="H144" s="1359"/>
      <c r="I144" s="1359"/>
      <c r="J144" s="1359"/>
      <c r="K144" s="1359"/>
      <c r="L144" s="1359"/>
      <c r="M144" s="1359"/>
      <c r="N144" s="1359"/>
      <c r="O144" s="1359"/>
      <c r="P144" s="1359"/>
    </row>
    <row r="145">
      <c r="A145" s="1359"/>
      <c r="B145" s="1359"/>
      <c r="C145" s="1359"/>
      <c r="D145" s="1359"/>
      <c r="E145" s="1359"/>
      <c r="F145" s="1359"/>
      <c r="G145" s="1359"/>
      <c r="H145" s="1359"/>
      <c r="I145" s="1359"/>
      <c r="J145" s="1359"/>
      <c r="K145" s="1359"/>
      <c r="L145" s="1359"/>
      <c r="M145" s="1359"/>
      <c r="N145" s="1359"/>
      <c r="O145" s="1359"/>
      <c r="P145" s="1359"/>
    </row>
    <row r="146">
      <c r="A146" s="1359"/>
      <c r="B146" s="1359"/>
      <c r="C146" s="1359"/>
      <c r="D146" s="1359"/>
      <c r="E146" s="1359"/>
      <c r="F146" s="1359"/>
      <c r="G146" s="1359"/>
      <c r="H146" s="1359"/>
      <c r="I146" s="1359"/>
      <c r="J146" s="1359"/>
      <c r="K146" s="1359"/>
      <c r="L146" s="1359"/>
      <c r="M146" s="1359"/>
      <c r="N146" s="1359"/>
      <c r="O146" s="1359"/>
      <c r="P146" s="1359"/>
    </row>
    <row r="147">
      <c r="A147" s="1359"/>
      <c r="B147" s="1359"/>
      <c r="C147" s="1359"/>
      <c r="D147" s="1359"/>
      <c r="E147" s="1359"/>
      <c r="F147" s="1359"/>
      <c r="G147" s="1359"/>
      <c r="H147" s="1359"/>
      <c r="I147" s="1359"/>
      <c r="J147" s="1359"/>
      <c r="K147" s="1359"/>
      <c r="L147" s="1359"/>
      <c r="M147" s="1359"/>
      <c r="N147" s="1359"/>
      <c r="O147" s="1359"/>
      <c r="P147" s="1359"/>
    </row>
    <row r="148">
      <c r="A148" s="1359"/>
      <c r="B148" s="1359"/>
      <c r="C148" s="1359"/>
      <c r="D148" s="1359"/>
      <c r="E148" s="1359"/>
      <c r="F148" s="1359"/>
      <c r="G148" s="1359"/>
      <c r="H148" s="1359"/>
      <c r="I148" s="1359"/>
      <c r="J148" s="1359"/>
      <c r="K148" s="1359"/>
      <c r="L148" s="1359"/>
      <c r="M148" s="1359"/>
      <c r="N148" s="1359"/>
      <c r="O148" s="1359"/>
      <c r="P148" s="1359"/>
    </row>
    <row r="149">
      <c r="A149" s="1359"/>
      <c r="B149" s="1359"/>
      <c r="C149" s="1359"/>
      <c r="D149" s="1359"/>
      <c r="E149" s="1359"/>
      <c r="F149" s="1359"/>
      <c r="G149" s="1359"/>
      <c r="H149" s="1359"/>
      <c r="I149" s="1359"/>
      <c r="J149" s="1359"/>
      <c r="K149" s="1359"/>
      <c r="L149" s="1359"/>
      <c r="M149" s="1359"/>
      <c r="N149" s="1359"/>
      <c r="O149" s="1359"/>
      <c r="P149" s="1359"/>
    </row>
    <row r="150">
      <c r="A150" s="1359"/>
      <c r="B150" s="1359"/>
      <c r="C150" s="1359"/>
      <c r="D150" s="1359"/>
      <c r="E150" s="1359"/>
      <c r="F150" s="1359"/>
      <c r="G150" s="1359"/>
      <c r="H150" s="1359"/>
      <c r="I150" s="1359"/>
      <c r="J150" s="1359"/>
      <c r="K150" s="1359"/>
      <c r="L150" s="1359"/>
      <c r="M150" s="1359"/>
      <c r="N150" s="1359"/>
      <c r="O150" s="1359"/>
      <c r="P150" s="1359"/>
    </row>
    <row r="151">
      <c r="A151" s="1359"/>
      <c r="B151" s="1359"/>
      <c r="C151" s="1359"/>
      <c r="D151" s="1359"/>
      <c r="E151" s="1359"/>
      <c r="F151" s="1359"/>
      <c r="G151" s="1359"/>
      <c r="H151" s="1359"/>
      <c r="I151" s="1359"/>
      <c r="J151" s="1359"/>
      <c r="K151" s="1359"/>
      <c r="L151" s="1359"/>
      <c r="M151" s="1359"/>
      <c r="N151" s="1359"/>
      <c r="O151" s="1359"/>
      <c r="P151" s="1359"/>
    </row>
    <row r="152">
      <c r="A152" s="1359"/>
      <c r="B152" s="1359"/>
      <c r="C152" s="1359"/>
      <c r="D152" s="1359"/>
      <c r="E152" s="1359"/>
      <c r="F152" s="1359"/>
      <c r="G152" s="1359"/>
      <c r="H152" s="1359"/>
      <c r="I152" s="1359"/>
      <c r="J152" s="1359"/>
      <c r="K152" s="1359"/>
      <c r="L152" s="1359"/>
      <c r="M152" s="1359"/>
      <c r="N152" s="1359"/>
      <c r="O152" s="1359"/>
      <c r="P152" s="1359"/>
    </row>
    <row r="153">
      <c r="A153" s="1359"/>
      <c r="B153" s="1359"/>
      <c r="C153" s="1359"/>
      <c r="D153" s="1359"/>
      <c r="E153" s="1359"/>
      <c r="F153" s="1359"/>
      <c r="G153" s="1359"/>
      <c r="H153" s="1359"/>
      <c r="I153" s="1359"/>
      <c r="J153" s="1359"/>
      <c r="K153" s="1359"/>
      <c r="L153" s="1359"/>
      <c r="M153" s="1359"/>
      <c r="N153" s="1359"/>
      <c r="O153" s="1359"/>
      <c r="P153" s="1359"/>
    </row>
    <row r="154">
      <c r="A154" s="1359"/>
      <c r="B154" s="1359"/>
      <c r="C154" s="1359"/>
      <c r="D154" s="1359"/>
      <c r="E154" s="1359"/>
      <c r="F154" s="1359"/>
      <c r="G154" s="1359"/>
      <c r="H154" s="1359"/>
      <c r="I154" s="1359"/>
      <c r="J154" s="1359"/>
      <c r="K154" s="1359"/>
      <c r="L154" s="1359"/>
      <c r="M154" s="1359"/>
      <c r="N154" s="1359"/>
      <c r="O154" s="1359"/>
      <c r="P154" s="1359"/>
    </row>
    <row r="155">
      <c r="A155" s="1359"/>
      <c r="B155" s="1359"/>
      <c r="C155" s="1359"/>
      <c r="D155" s="1359"/>
      <c r="E155" s="1359"/>
      <c r="F155" s="1359"/>
      <c r="G155" s="1359"/>
      <c r="H155" s="1359"/>
      <c r="I155" s="1359"/>
      <c r="J155" s="1359"/>
      <c r="K155" s="1359"/>
      <c r="L155" s="1359"/>
      <c r="M155" s="1359"/>
      <c r="N155" s="1359"/>
      <c r="O155" s="1359"/>
      <c r="P155" s="1359"/>
    </row>
    <row r="156">
      <c r="A156" s="1359"/>
      <c r="B156" s="1359"/>
      <c r="C156" s="1359"/>
      <c r="D156" s="1359"/>
      <c r="E156" s="1359"/>
      <c r="F156" s="1359"/>
      <c r="G156" s="1359"/>
      <c r="H156" s="1359"/>
      <c r="I156" s="1359"/>
      <c r="J156" s="1359"/>
      <c r="K156" s="1359"/>
      <c r="L156" s="1359"/>
      <c r="M156" s="1359"/>
      <c r="N156" s="1359"/>
      <c r="O156" s="1359"/>
      <c r="P156" s="1359"/>
    </row>
    <row r="157">
      <c r="A157" s="1359"/>
      <c r="B157" s="1359"/>
      <c r="C157" s="1359"/>
      <c r="D157" s="1359"/>
      <c r="E157" s="1359"/>
      <c r="F157" s="1359"/>
      <c r="G157" s="1359"/>
      <c r="H157" s="1359"/>
      <c r="I157" s="1359"/>
      <c r="J157" s="1359"/>
      <c r="K157" s="1359"/>
      <c r="L157" s="1359"/>
      <c r="M157" s="1359"/>
      <c r="N157" s="1359"/>
      <c r="O157" s="1359"/>
      <c r="P157" s="1359"/>
    </row>
    <row r="158">
      <c r="A158" s="1359"/>
      <c r="B158" s="1359"/>
      <c r="C158" s="1359"/>
      <c r="D158" s="1359"/>
      <c r="E158" s="1359"/>
      <c r="F158" s="1359"/>
      <c r="G158" s="1359"/>
      <c r="H158" s="1359"/>
      <c r="I158" s="1359"/>
      <c r="J158" s="1359"/>
      <c r="K158" s="1359"/>
      <c r="L158" s="1359"/>
      <c r="M158" s="1359"/>
      <c r="N158" s="1359"/>
      <c r="O158" s="1359"/>
      <c r="P158" s="1359"/>
    </row>
    <row r="159">
      <c r="A159" s="1359"/>
      <c r="B159" s="1359"/>
      <c r="C159" s="1359"/>
      <c r="D159" s="1359"/>
      <c r="E159" s="1359"/>
      <c r="F159" s="1359"/>
      <c r="G159" s="1359"/>
      <c r="H159" s="1359"/>
      <c r="I159" s="1359"/>
      <c r="J159" s="1359"/>
      <c r="K159" s="1359"/>
      <c r="L159" s="1359"/>
      <c r="M159" s="1359"/>
      <c r="N159" s="1359"/>
      <c r="O159" s="1359"/>
      <c r="P159" s="1359"/>
    </row>
    <row r="160">
      <c r="A160" s="1359"/>
      <c r="B160" s="1359"/>
      <c r="C160" s="1359"/>
      <c r="D160" s="1359"/>
      <c r="E160" s="1359"/>
      <c r="F160" s="1359"/>
      <c r="G160" s="1359"/>
      <c r="H160" s="1359"/>
      <c r="I160" s="1359"/>
      <c r="J160" s="1359"/>
      <c r="K160" s="1359"/>
      <c r="L160" s="1359"/>
      <c r="M160" s="1359"/>
      <c r="N160" s="1359"/>
      <c r="O160" s="1359"/>
      <c r="P160" s="1359"/>
    </row>
    <row r="161">
      <c r="A161" s="1359"/>
      <c r="B161" s="1359"/>
      <c r="C161" s="1359"/>
      <c r="D161" s="1359"/>
      <c r="E161" s="1359"/>
      <c r="F161" s="1359"/>
      <c r="G161" s="1359"/>
      <c r="H161" s="1359"/>
      <c r="I161" s="1359"/>
      <c r="J161" s="1359"/>
      <c r="K161" s="1359"/>
      <c r="L161" s="1359"/>
      <c r="M161" s="1359"/>
      <c r="N161" s="1359"/>
      <c r="O161" s="1359"/>
      <c r="P161" s="1359"/>
    </row>
    <row r="162">
      <c r="A162" s="1359"/>
      <c r="B162" s="1359"/>
      <c r="C162" s="1359"/>
      <c r="D162" s="1359"/>
      <c r="E162" s="1359"/>
      <c r="F162" s="1359"/>
      <c r="G162" s="1359"/>
      <c r="H162" s="1359"/>
      <c r="I162" s="1359"/>
      <c r="J162" s="1359"/>
      <c r="K162" s="1359"/>
      <c r="L162" s="1359"/>
      <c r="M162" s="1359"/>
      <c r="N162" s="1359"/>
      <c r="O162" s="1359"/>
      <c r="P162" s="1359"/>
    </row>
    <row r="163">
      <c r="A163" s="1359"/>
      <c r="B163" s="1359"/>
      <c r="C163" s="1359"/>
      <c r="D163" s="1359"/>
      <c r="E163" s="1359"/>
      <c r="F163" s="1359"/>
      <c r="G163" s="1359"/>
      <c r="H163" s="1359"/>
      <c r="I163" s="1359"/>
      <c r="J163" s="1359"/>
      <c r="K163" s="1359"/>
      <c r="L163" s="1359"/>
      <c r="M163" s="1359"/>
      <c r="N163" s="1359"/>
      <c r="O163" s="1359"/>
      <c r="P163" s="1359"/>
    </row>
    <row r="164">
      <c r="A164" s="1359"/>
      <c r="B164" s="1359"/>
      <c r="C164" s="1359"/>
      <c r="D164" s="1359"/>
      <c r="E164" s="1359"/>
      <c r="F164" s="1359"/>
      <c r="G164" s="1359"/>
      <c r="H164" s="1359"/>
      <c r="I164" s="1359"/>
      <c r="J164" s="1359"/>
      <c r="K164" s="1359"/>
      <c r="L164" s="1359"/>
      <c r="M164" s="1359"/>
      <c r="N164" s="1359"/>
      <c r="O164" s="1359"/>
      <c r="P164" s="1359"/>
    </row>
    <row r="165">
      <c r="A165" s="1359"/>
      <c r="B165" s="1359"/>
      <c r="C165" s="1359"/>
      <c r="D165" s="1359"/>
      <c r="E165" s="1359"/>
      <c r="F165" s="1359"/>
      <c r="G165" s="1359"/>
      <c r="H165" s="1359"/>
      <c r="I165" s="1359"/>
      <c r="J165" s="1359"/>
      <c r="K165" s="1359"/>
      <c r="L165" s="1359"/>
      <c r="M165" s="1359"/>
      <c r="N165" s="1359"/>
      <c r="O165" s="1359"/>
      <c r="P165" s="1359"/>
    </row>
    <row r="166">
      <c r="A166" s="1359"/>
      <c r="B166" s="1359"/>
      <c r="C166" s="1359"/>
      <c r="D166" s="1359"/>
      <c r="E166" s="1359"/>
      <c r="F166" s="1359"/>
      <c r="G166" s="1359"/>
      <c r="H166" s="1359"/>
      <c r="I166" s="1359"/>
      <c r="J166" s="1359"/>
      <c r="K166" s="1359"/>
      <c r="L166" s="1359"/>
      <c r="M166" s="1359"/>
      <c r="N166" s="1359"/>
      <c r="O166" s="1359"/>
      <c r="P166" s="1359"/>
    </row>
    <row r="167">
      <c r="A167" s="1359"/>
      <c r="B167" s="1359"/>
      <c r="C167" s="1359"/>
      <c r="D167" s="1359"/>
      <c r="E167" s="1359"/>
      <c r="F167" s="1359"/>
      <c r="G167" s="1359"/>
      <c r="H167" s="1359"/>
      <c r="I167" s="1359"/>
      <c r="J167" s="1359"/>
      <c r="K167" s="1359"/>
      <c r="L167" s="1359"/>
      <c r="M167" s="1359"/>
      <c r="N167" s="1359"/>
      <c r="O167" s="1359"/>
      <c r="P167" s="1359"/>
    </row>
    <row r="168">
      <c r="A168" s="1359"/>
      <c r="B168" s="1359"/>
      <c r="C168" s="1359"/>
      <c r="D168" s="1359"/>
      <c r="E168" s="1359"/>
      <c r="F168" s="1359"/>
      <c r="G168" s="1359"/>
      <c r="H168" s="1359"/>
      <c r="I168" s="1359"/>
      <c r="J168" s="1359"/>
      <c r="K168" s="1359"/>
      <c r="L168" s="1359"/>
      <c r="M168" s="1359"/>
      <c r="N168" s="1359"/>
      <c r="O168" s="1359"/>
      <c r="P168" s="1359"/>
    </row>
    <row r="169">
      <c r="A169" s="1359"/>
      <c r="B169" s="1359"/>
      <c r="C169" s="1359"/>
      <c r="D169" s="1359"/>
      <c r="E169" s="1359"/>
      <c r="F169" s="1359"/>
      <c r="G169" s="1359"/>
      <c r="H169" s="1359"/>
      <c r="I169" s="1359"/>
      <c r="J169" s="1359"/>
      <c r="K169" s="1359"/>
      <c r="L169" s="1359"/>
      <c r="M169" s="1359"/>
      <c r="N169" s="1359"/>
      <c r="O169" s="1359"/>
      <c r="P169" s="1359"/>
    </row>
    <row r="170">
      <c r="A170" s="1359"/>
      <c r="B170" s="1359"/>
      <c r="C170" s="1359"/>
      <c r="D170" s="1359"/>
      <c r="E170" s="1359"/>
      <c r="F170" s="1359"/>
      <c r="G170" s="1359"/>
      <c r="H170" s="1359"/>
      <c r="I170" s="1359"/>
      <c r="J170" s="1359"/>
      <c r="K170" s="1359"/>
      <c r="L170" s="1359"/>
      <c r="M170" s="1359"/>
      <c r="N170" s="1359"/>
      <c r="O170" s="1359"/>
      <c r="P170" s="1359"/>
    </row>
    <row r="171">
      <c r="A171" s="1359"/>
      <c r="B171" s="1359"/>
      <c r="C171" s="1359"/>
      <c r="D171" s="1359"/>
      <c r="E171" s="1359"/>
      <c r="F171" s="1359"/>
      <c r="G171" s="1359"/>
      <c r="H171" s="1359"/>
      <c r="I171" s="1359"/>
      <c r="J171" s="1359"/>
      <c r="K171" s="1359"/>
      <c r="L171" s="1359"/>
      <c r="M171" s="1359"/>
      <c r="N171" s="1359"/>
      <c r="O171" s="1359"/>
      <c r="P171" s="1359"/>
    </row>
    <row r="172">
      <c r="A172" s="1359"/>
      <c r="B172" s="1359"/>
      <c r="C172" s="1359"/>
      <c r="D172" s="1359"/>
      <c r="E172" s="1359"/>
      <c r="F172" s="1359"/>
      <c r="G172" s="1359"/>
      <c r="H172" s="1359"/>
      <c r="I172" s="1359"/>
      <c r="J172" s="1359"/>
      <c r="K172" s="1359"/>
      <c r="L172" s="1359"/>
      <c r="M172" s="1359"/>
      <c r="N172" s="1359"/>
      <c r="O172" s="1359"/>
      <c r="P172" s="1359"/>
    </row>
    <row r="173">
      <c r="A173" s="1359"/>
      <c r="B173" s="1359"/>
      <c r="C173" s="1359"/>
      <c r="D173" s="1359"/>
      <c r="E173" s="1359"/>
      <c r="F173" s="1359"/>
      <c r="G173" s="1359"/>
      <c r="H173" s="1359"/>
      <c r="I173" s="1359"/>
      <c r="J173" s="1359"/>
      <c r="K173" s="1359"/>
      <c r="L173" s="1359"/>
      <c r="M173" s="1359"/>
      <c r="N173" s="1359"/>
      <c r="O173" s="1359"/>
      <c r="P173" s="1359"/>
    </row>
    <row r="174">
      <c r="A174" s="1359"/>
      <c r="B174" s="1359"/>
      <c r="C174" s="1359"/>
      <c r="D174" s="1359"/>
      <c r="E174" s="1359"/>
      <c r="F174" s="1359"/>
      <c r="G174" s="1359"/>
      <c r="H174" s="1359"/>
      <c r="I174" s="1359"/>
      <c r="J174" s="1359"/>
      <c r="K174" s="1359"/>
      <c r="L174" s="1359"/>
      <c r="M174" s="1359"/>
      <c r="N174" s="1359"/>
      <c r="O174" s="1359"/>
      <c r="P174" s="1359"/>
    </row>
    <row r="175">
      <c r="A175" s="1359"/>
      <c r="B175" s="1359"/>
      <c r="C175" s="1359"/>
      <c r="D175" s="1359"/>
      <c r="E175" s="1359"/>
      <c r="F175" s="1359"/>
      <c r="G175" s="1359"/>
      <c r="H175" s="1359"/>
      <c r="I175" s="1359"/>
      <c r="J175" s="1359"/>
      <c r="K175" s="1359"/>
      <c r="L175" s="1359"/>
      <c r="M175" s="1359"/>
      <c r="N175" s="1359"/>
      <c r="O175" s="1359"/>
      <c r="P175" s="1359"/>
    </row>
    <row r="176">
      <c r="A176" s="1359"/>
      <c r="B176" s="1359"/>
      <c r="C176" s="1359"/>
      <c r="D176" s="1359"/>
      <c r="E176" s="1359"/>
      <c r="F176" s="1359"/>
      <c r="G176" s="1359"/>
      <c r="H176" s="1359"/>
      <c r="I176" s="1359"/>
      <c r="J176" s="1359"/>
      <c r="K176" s="1359"/>
      <c r="L176" s="1359"/>
      <c r="M176" s="1359"/>
      <c r="N176" s="1359"/>
      <c r="O176" s="1359"/>
      <c r="P176" s="1359"/>
    </row>
    <row r="177">
      <c r="A177" s="1359"/>
      <c r="B177" s="1359"/>
      <c r="C177" s="1359"/>
      <c r="D177" s="1359"/>
      <c r="E177" s="1359"/>
      <c r="F177" s="1359"/>
      <c r="G177" s="1359"/>
      <c r="H177" s="1359"/>
      <c r="I177" s="1359"/>
      <c r="J177" s="1359"/>
      <c r="K177" s="1359"/>
      <c r="L177" s="1359"/>
      <c r="M177" s="1359"/>
      <c r="N177" s="1359"/>
      <c r="O177" s="1359"/>
      <c r="P177" s="1359"/>
    </row>
    <row r="178">
      <c r="A178" s="1359"/>
      <c r="B178" s="1359"/>
      <c r="C178" s="1359"/>
      <c r="D178" s="1359"/>
      <c r="E178" s="1359"/>
      <c r="F178" s="1359"/>
      <c r="G178" s="1359"/>
      <c r="H178" s="1359"/>
      <c r="I178" s="1359"/>
      <c r="J178" s="1359"/>
      <c r="K178" s="1359"/>
      <c r="L178" s="1359"/>
      <c r="M178" s="1359"/>
      <c r="N178" s="1359"/>
      <c r="O178" s="1359"/>
      <c r="P178" s="1359"/>
    </row>
    <row r="179">
      <c r="A179" s="1359"/>
      <c r="B179" s="1359"/>
      <c r="C179" s="1359"/>
      <c r="D179" s="1359"/>
      <c r="E179" s="1359"/>
      <c r="F179" s="1359"/>
      <c r="G179" s="1359"/>
      <c r="H179" s="1359"/>
      <c r="I179" s="1359"/>
      <c r="J179" s="1359"/>
      <c r="K179" s="1359"/>
      <c r="L179" s="1359"/>
      <c r="M179" s="1359"/>
      <c r="N179" s="1359"/>
      <c r="O179" s="1359"/>
      <c r="P179" s="1359"/>
    </row>
    <row r="180">
      <c r="A180" s="1359"/>
      <c r="B180" s="1359"/>
      <c r="C180" s="1359"/>
      <c r="D180" s="1359"/>
      <c r="E180" s="1359"/>
      <c r="F180" s="1359"/>
      <c r="G180" s="1359"/>
      <c r="H180" s="1359"/>
      <c r="I180" s="1359"/>
      <c r="J180" s="1359"/>
      <c r="K180" s="1359"/>
      <c r="L180" s="1359"/>
      <c r="M180" s="1359"/>
      <c r="N180" s="1359"/>
      <c r="O180" s="1359"/>
      <c r="P180" s="1359"/>
    </row>
    <row r="181">
      <c r="A181" s="1359"/>
      <c r="B181" s="1359"/>
      <c r="C181" s="1359"/>
      <c r="D181" s="1359"/>
      <c r="E181" s="1359"/>
      <c r="F181" s="1359"/>
      <c r="G181" s="1359"/>
      <c r="H181" s="1359"/>
      <c r="I181" s="1359"/>
      <c r="J181" s="1359"/>
      <c r="K181" s="1359"/>
      <c r="L181" s="1359"/>
      <c r="M181" s="1359"/>
      <c r="N181" s="1359"/>
      <c r="O181" s="1359"/>
      <c r="P181" s="1359"/>
    </row>
    <row r="182">
      <c r="A182" s="1359"/>
      <c r="B182" s="1359"/>
      <c r="C182" s="1359"/>
      <c r="D182" s="1359"/>
      <c r="E182" s="1359"/>
      <c r="F182" s="1359"/>
      <c r="G182" s="1359"/>
      <c r="H182" s="1359"/>
      <c r="I182" s="1359"/>
      <c r="J182" s="1359"/>
      <c r="K182" s="1359"/>
      <c r="L182" s="1359"/>
      <c r="M182" s="1359"/>
      <c r="N182" s="1359"/>
      <c r="O182" s="1359"/>
      <c r="P182" s="1359"/>
    </row>
    <row r="183">
      <c r="A183" s="1359"/>
      <c r="B183" s="1359"/>
      <c r="C183" s="1359"/>
      <c r="D183" s="1359"/>
      <c r="E183" s="1359"/>
      <c r="F183" s="1359"/>
      <c r="G183" s="1359"/>
      <c r="H183" s="1359"/>
      <c r="I183" s="1359"/>
      <c r="J183" s="1359"/>
      <c r="K183" s="1359"/>
      <c r="L183" s="1359"/>
      <c r="M183" s="1359"/>
      <c r="N183" s="1359"/>
      <c r="O183" s="1359"/>
      <c r="P183" s="1359"/>
    </row>
    <row r="184">
      <c r="A184" s="1359"/>
      <c r="B184" s="1359"/>
      <c r="C184" s="1359"/>
      <c r="D184" s="1359"/>
      <c r="E184" s="1359"/>
      <c r="F184" s="1359"/>
      <c r="G184" s="1359"/>
      <c r="H184" s="1359"/>
      <c r="I184" s="1359"/>
      <c r="J184" s="1359"/>
      <c r="K184" s="1359"/>
      <c r="L184" s="1359"/>
      <c r="M184" s="1359"/>
      <c r="N184" s="1359"/>
      <c r="O184" s="1359"/>
      <c r="P184" s="1359"/>
    </row>
    <row r="185">
      <c r="A185" s="1359"/>
      <c r="B185" s="1359"/>
      <c r="C185" s="1359"/>
      <c r="D185" s="1359"/>
      <c r="E185" s="1359"/>
      <c r="F185" s="1359"/>
      <c r="G185" s="1359"/>
      <c r="H185" s="1359"/>
      <c r="I185" s="1359"/>
      <c r="J185" s="1359"/>
      <c r="K185" s="1359"/>
      <c r="L185" s="1359"/>
      <c r="M185" s="1359"/>
      <c r="N185" s="1359"/>
      <c r="O185" s="1359"/>
      <c r="P185" s="1359"/>
    </row>
    <row r="186">
      <c r="A186" s="1359"/>
      <c r="B186" s="1359"/>
      <c r="C186" s="1359"/>
      <c r="D186" s="1359"/>
      <c r="E186" s="1359"/>
      <c r="F186" s="1359"/>
      <c r="G186" s="1359"/>
      <c r="H186" s="1359"/>
      <c r="I186" s="1359"/>
      <c r="J186" s="1359"/>
      <c r="K186" s="1359"/>
      <c r="L186" s="1359"/>
      <c r="M186" s="1359"/>
      <c r="N186" s="1359"/>
      <c r="O186" s="1359"/>
      <c r="P186" s="1359"/>
    </row>
    <row r="187">
      <c r="A187" s="1359"/>
      <c r="B187" s="1359"/>
      <c r="C187" s="1359"/>
      <c r="D187" s="1359"/>
      <c r="E187" s="1359"/>
      <c r="F187" s="1359"/>
      <c r="G187" s="1359"/>
      <c r="H187" s="1359"/>
      <c r="I187" s="1359"/>
      <c r="J187" s="1359"/>
      <c r="K187" s="1359"/>
      <c r="L187" s="1359"/>
      <c r="M187" s="1359"/>
      <c r="N187" s="1359"/>
      <c r="O187" s="1359"/>
      <c r="P187" s="1359"/>
    </row>
    <row r="188">
      <c r="A188" s="1359"/>
      <c r="B188" s="1359"/>
      <c r="C188" s="1359"/>
      <c r="D188" s="1359"/>
      <c r="E188" s="1359"/>
      <c r="F188" s="1359"/>
      <c r="G188" s="1359"/>
      <c r="H188" s="1359"/>
      <c r="I188" s="1359"/>
      <c r="J188" s="1359"/>
      <c r="K188" s="1359"/>
      <c r="L188" s="1359"/>
      <c r="M188" s="1359"/>
      <c r="N188" s="1359"/>
      <c r="O188" s="1359"/>
      <c r="P188" s="1359"/>
    </row>
    <row r="189">
      <c r="A189" s="1359"/>
      <c r="B189" s="1359"/>
      <c r="C189" s="1359"/>
      <c r="D189" s="1359"/>
      <c r="E189" s="1359"/>
      <c r="F189" s="1359"/>
      <c r="G189" s="1359"/>
      <c r="H189" s="1359"/>
      <c r="I189" s="1359"/>
      <c r="J189" s="1359"/>
      <c r="K189" s="1359"/>
      <c r="L189" s="1359"/>
      <c r="M189" s="1359"/>
      <c r="N189" s="1359"/>
      <c r="O189" s="1359"/>
      <c r="P189" s="1359"/>
    </row>
    <row r="190">
      <c r="A190" s="1359"/>
      <c r="B190" s="1359"/>
      <c r="C190" s="1359"/>
      <c r="D190" s="1359"/>
      <c r="E190" s="1359"/>
      <c r="F190" s="1359"/>
      <c r="G190" s="1359"/>
      <c r="H190" s="1359"/>
      <c r="I190" s="1359"/>
      <c r="J190" s="1359"/>
      <c r="K190" s="1359"/>
      <c r="L190" s="1359"/>
      <c r="M190" s="1359"/>
      <c r="N190" s="1359"/>
      <c r="O190" s="1359"/>
      <c r="P190" s="1359"/>
    </row>
    <row r="191">
      <c r="A191" s="1359"/>
      <c r="B191" s="1359"/>
      <c r="C191" s="1359"/>
      <c r="D191" s="1359"/>
      <c r="E191" s="1359"/>
      <c r="F191" s="1359"/>
      <c r="G191" s="1359"/>
      <c r="H191" s="1359"/>
      <c r="I191" s="1359"/>
      <c r="J191" s="1359"/>
      <c r="K191" s="1359"/>
      <c r="L191" s="1359"/>
      <c r="M191" s="1359"/>
      <c r="N191" s="1359"/>
      <c r="O191" s="1359"/>
      <c r="P191" s="1359"/>
    </row>
    <row r="192">
      <c r="A192" s="1359"/>
      <c r="B192" s="1359"/>
      <c r="C192" s="1359"/>
      <c r="D192" s="1359"/>
      <c r="E192" s="1359"/>
      <c r="F192" s="1359"/>
      <c r="G192" s="1359"/>
      <c r="H192" s="1359"/>
      <c r="I192" s="1359"/>
      <c r="J192" s="1359"/>
      <c r="K192" s="1359"/>
      <c r="L192" s="1359"/>
      <c r="M192" s="1359"/>
      <c r="N192" s="1359"/>
      <c r="O192" s="1359"/>
      <c r="P192" s="1359"/>
    </row>
    <row r="193">
      <c r="A193" s="1359"/>
      <c r="B193" s="1359"/>
      <c r="C193" s="1359"/>
      <c r="D193" s="1359"/>
      <c r="E193" s="1359"/>
      <c r="F193" s="1359"/>
      <c r="G193" s="1359"/>
      <c r="H193" s="1359"/>
      <c r="I193" s="1359"/>
      <c r="J193" s="1359"/>
      <c r="K193" s="1359"/>
      <c r="L193" s="1359"/>
      <c r="M193" s="1359"/>
      <c r="N193" s="1359"/>
      <c r="O193" s="1359"/>
      <c r="P193" s="1359"/>
    </row>
    <row r="194">
      <c r="A194" s="1359"/>
      <c r="B194" s="1359"/>
      <c r="C194" s="1359"/>
      <c r="D194" s="1359"/>
      <c r="E194" s="1359"/>
      <c r="F194" s="1359"/>
      <c r="G194" s="1359"/>
      <c r="H194" s="1359"/>
      <c r="I194" s="1359"/>
      <c r="J194" s="1359"/>
      <c r="K194" s="1359"/>
      <c r="L194" s="1359"/>
      <c r="M194" s="1359"/>
      <c r="N194" s="1359"/>
      <c r="O194" s="1359"/>
      <c r="P194" s="1359"/>
    </row>
    <row r="195">
      <c r="A195" s="1359"/>
      <c r="B195" s="1359"/>
      <c r="C195" s="1359"/>
      <c r="D195" s="1359"/>
      <c r="E195" s="1359"/>
      <c r="F195" s="1359"/>
      <c r="G195" s="1359"/>
      <c r="H195" s="1359"/>
      <c r="I195" s="1359"/>
      <c r="J195" s="1359"/>
      <c r="K195" s="1359"/>
      <c r="L195" s="1359"/>
      <c r="M195" s="1359"/>
      <c r="N195" s="1359"/>
      <c r="O195" s="1359"/>
      <c r="P195" s="1359"/>
    </row>
    <row r="196">
      <c r="A196" s="1359"/>
      <c r="B196" s="1359"/>
      <c r="C196" s="1359"/>
      <c r="D196" s="1359"/>
      <c r="E196" s="1359"/>
      <c r="F196" s="1359"/>
      <c r="G196" s="1359"/>
      <c r="H196" s="1359"/>
      <c r="I196" s="1359"/>
      <c r="J196" s="1359"/>
      <c r="K196" s="1359"/>
      <c r="L196" s="1359"/>
      <c r="M196" s="1359"/>
      <c r="N196" s="1359"/>
      <c r="O196" s="1359"/>
      <c r="P196" s="1359"/>
    </row>
    <row r="197">
      <c r="A197" s="1359"/>
      <c r="B197" s="1359"/>
      <c r="C197" s="1359"/>
      <c r="D197" s="1359"/>
      <c r="E197" s="1359"/>
      <c r="F197" s="1359"/>
      <c r="G197" s="1359"/>
      <c r="H197" s="1359"/>
      <c r="I197" s="1359"/>
      <c r="J197" s="1359"/>
      <c r="K197" s="1359"/>
      <c r="L197" s="1359"/>
      <c r="M197" s="1359"/>
      <c r="N197" s="1359"/>
      <c r="O197" s="1359"/>
      <c r="P197" s="1359"/>
    </row>
    <row r="198">
      <c r="A198" s="1359"/>
      <c r="B198" s="1359"/>
      <c r="C198" s="1359"/>
      <c r="D198" s="1359"/>
      <c r="E198" s="1359"/>
      <c r="F198" s="1359"/>
      <c r="G198" s="1359"/>
      <c r="H198" s="1359"/>
      <c r="I198" s="1359"/>
      <c r="J198" s="1359"/>
      <c r="K198" s="1359"/>
      <c r="L198" s="1359"/>
      <c r="M198" s="1359"/>
      <c r="N198" s="1359"/>
      <c r="O198" s="1359"/>
      <c r="P198" s="1359"/>
    </row>
    <row r="199">
      <c r="A199" s="1359"/>
      <c r="B199" s="1359"/>
      <c r="C199" s="1359"/>
      <c r="D199" s="1359"/>
      <c r="E199" s="1359"/>
      <c r="F199" s="1359"/>
      <c r="G199" s="1359"/>
      <c r="H199" s="1359"/>
      <c r="I199" s="1359"/>
      <c r="J199" s="1359"/>
      <c r="K199" s="1359"/>
      <c r="L199" s="1359"/>
      <c r="M199" s="1359"/>
      <c r="N199" s="1359"/>
      <c r="O199" s="1359"/>
      <c r="P199" s="1359"/>
    </row>
    <row r="200">
      <c r="A200" s="1359"/>
      <c r="B200" s="1359"/>
      <c r="C200" s="1359"/>
      <c r="D200" s="1359"/>
      <c r="E200" s="1359"/>
      <c r="F200" s="1359"/>
      <c r="G200" s="1359"/>
      <c r="H200" s="1359"/>
      <c r="I200" s="1359"/>
      <c r="J200" s="1359"/>
      <c r="K200" s="1359"/>
      <c r="L200" s="1359"/>
      <c r="M200" s="1359"/>
      <c r="N200" s="1359"/>
      <c r="O200" s="1359"/>
      <c r="P200" s="1359"/>
    </row>
    <row r="201">
      <c r="A201" s="1359"/>
      <c r="B201" s="1359"/>
      <c r="C201" s="1359"/>
      <c r="D201" s="1359"/>
      <c r="E201" s="1359"/>
      <c r="F201" s="1359"/>
      <c r="G201" s="1359"/>
      <c r="H201" s="1359"/>
      <c r="I201" s="1359"/>
      <c r="J201" s="1359"/>
      <c r="K201" s="1359"/>
      <c r="L201" s="1359"/>
      <c r="M201" s="1359"/>
      <c r="N201" s="1359"/>
      <c r="O201" s="1359"/>
      <c r="P201" s="1359"/>
    </row>
    <row r="202">
      <c r="A202" s="1359"/>
      <c r="B202" s="1359"/>
      <c r="C202" s="1359"/>
      <c r="D202" s="1359"/>
      <c r="E202" s="1359"/>
      <c r="F202" s="1359"/>
      <c r="G202" s="1359"/>
      <c r="H202" s="1359"/>
      <c r="I202" s="1359"/>
      <c r="J202" s="1359"/>
      <c r="K202" s="1359"/>
      <c r="L202" s="1359"/>
      <c r="M202" s="1359"/>
      <c r="N202" s="1359"/>
      <c r="O202" s="1359"/>
      <c r="P202" s="1359"/>
    </row>
    <row r="203">
      <c r="A203" s="1359"/>
      <c r="B203" s="1359"/>
      <c r="C203" s="1359"/>
      <c r="D203" s="1359"/>
      <c r="E203" s="1359"/>
      <c r="F203" s="1359"/>
      <c r="G203" s="1359"/>
      <c r="H203" s="1359"/>
      <c r="I203" s="1359"/>
      <c r="J203" s="1359"/>
      <c r="K203" s="1359"/>
      <c r="L203" s="1359"/>
      <c r="M203" s="1359"/>
      <c r="N203" s="1359"/>
      <c r="O203" s="1359"/>
      <c r="P203" s="1359"/>
    </row>
    <row r="204">
      <c r="A204" s="1359"/>
      <c r="B204" s="1359"/>
      <c r="C204" s="1359"/>
      <c r="D204" s="1359"/>
      <c r="E204" s="1359"/>
      <c r="F204" s="1359"/>
      <c r="G204" s="1359"/>
      <c r="H204" s="1359"/>
      <c r="I204" s="1359"/>
      <c r="J204" s="1359"/>
      <c r="K204" s="1359"/>
      <c r="L204" s="1359"/>
      <c r="M204" s="1359"/>
      <c r="N204" s="1359"/>
      <c r="O204" s="1359"/>
      <c r="P204" s="1359"/>
    </row>
    <row r="205">
      <c r="A205" s="1359"/>
      <c r="B205" s="1359"/>
      <c r="C205" s="1359"/>
      <c r="D205" s="1359"/>
      <c r="E205" s="1359"/>
      <c r="F205" s="1359"/>
      <c r="G205" s="1359"/>
      <c r="H205" s="1359"/>
      <c r="I205" s="1359"/>
      <c r="J205" s="1359"/>
      <c r="K205" s="1359"/>
      <c r="L205" s="1359"/>
      <c r="M205" s="1359"/>
      <c r="N205" s="1359"/>
      <c r="O205" s="1359"/>
      <c r="P205" s="1359"/>
    </row>
    <row r="206">
      <c r="A206" s="1359"/>
      <c r="B206" s="1359"/>
      <c r="C206" s="1359"/>
      <c r="D206" s="1359"/>
      <c r="E206" s="1359"/>
      <c r="F206" s="1359"/>
      <c r="G206" s="1359"/>
      <c r="H206" s="1359"/>
      <c r="I206" s="1359"/>
      <c r="J206" s="1359"/>
      <c r="K206" s="1359"/>
      <c r="L206" s="1359"/>
      <c r="M206" s="1359"/>
      <c r="N206" s="1359"/>
      <c r="O206" s="1359"/>
      <c r="P206" s="1359"/>
    </row>
    <row r="207">
      <c r="A207" s="1359"/>
      <c r="B207" s="1359"/>
      <c r="C207" s="1359"/>
      <c r="D207" s="1359"/>
      <c r="E207" s="1359"/>
      <c r="F207" s="1359"/>
      <c r="G207" s="1359"/>
      <c r="H207" s="1359"/>
      <c r="I207" s="1359"/>
      <c r="J207" s="1359"/>
      <c r="K207" s="1359"/>
      <c r="L207" s="1359"/>
      <c r="M207" s="1359"/>
      <c r="N207" s="1359"/>
      <c r="O207" s="1359"/>
      <c r="P207" s="1359"/>
    </row>
    <row r="208">
      <c r="A208" s="1359"/>
      <c r="B208" s="1359"/>
      <c r="C208" s="1359"/>
      <c r="D208" s="1359"/>
      <c r="E208" s="1359"/>
      <c r="F208" s="1359"/>
      <c r="G208" s="1359"/>
      <c r="H208" s="1359"/>
      <c r="I208" s="1359"/>
      <c r="J208" s="1359"/>
      <c r="K208" s="1359"/>
      <c r="L208" s="1359"/>
      <c r="M208" s="1359"/>
      <c r="N208" s="1359"/>
      <c r="O208" s="1359"/>
      <c r="P208" s="1359"/>
    </row>
    <row r="209">
      <c r="A209" s="1359"/>
      <c r="B209" s="1359"/>
      <c r="C209" s="1359"/>
      <c r="D209" s="1359"/>
      <c r="E209" s="1359"/>
      <c r="F209" s="1359"/>
      <c r="G209" s="1359"/>
      <c r="H209" s="1359"/>
      <c r="I209" s="1359"/>
      <c r="J209" s="1359"/>
      <c r="K209" s="1359"/>
      <c r="L209" s="1359"/>
      <c r="M209" s="1359"/>
      <c r="N209" s="1359"/>
      <c r="O209" s="1359"/>
      <c r="P209" s="1359"/>
    </row>
    <row r="210">
      <c r="A210" s="1359"/>
      <c r="B210" s="1359"/>
      <c r="C210" s="1359"/>
      <c r="D210" s="1359"/>
      <c r="E210" s="1359"/>
      <c r="F210" s="1359"/>
      <c r="G210" s="1359"/>
      <c r="H210" s="1359"/>
      <c r="I210" s="1359"/>
      <c r="J210" s="1359"/>
      <c r="K210" s="1359"/>
      <c r="L210" s="1359"/>
      <c r="M210" s="1359"/>
      <c r="N210" s="1359"/>
      <c r="O210" s="1359"/>
      <c r="P210" s="1359"/>
    </row>
    <row r="211">
      <c r="A211" s="1359"/>
      <c r="B211" s="1359"/>
      <c r="C211" s="1359"/>
      <c r="D211" s="1359"/>
      <c r="E211" s="1359"/>
      <c r="F211" s="1359"/>
      <c r="G211" s="1359"/>
      <c r="H211" s="1359"/>
      <c r="I211" s="1359"/>
      <c r="J211" s="1359"/>
      <c r="K211" s="1359"/>
      <c r="L211" s="1359"/>
      <c r="M211" s="1359"/>
      <c r="N211" s="1359"/>
      <c r="O211" s="1359"/>
      <c r="P211" s="1359"/>
    </row>
    <row r="212">
      <c r="A212" s="1359"/>
      <c r="B212" s="1359"/>
      <c r="C212" s="1359"/>
      <c r="D212" s="1359"/>
      <c r="E212" s="1359"/>
      <c r="F212" s="1359"/>
      <c r="G212" s="1359"/>
      <c r="H212" s="1359"/>
      <c r="I212" s="1359"/>
      <c r="J212" s="1359"/>
      <c r="K212" s="1359"/>
      <c r="L212" s="1359"/>
      <c r="M212" s="1359"/>
      <c r="N212" s="1359"/>
      <c r="O212" s="1359"/>
      <c r="P212" s="1359"/>
    </row>
    <row r="213">
      <c r="A213" s="1359"/>
      <c r="B213" s="1359"/>
      <c r="C213" s="1359"/>
      <c r="D213" s="1359"/>
      <c r="E213" s="1359"/>
      <c r="F213" s="1359"/>
      <c r="G213" s="1359"/>
      <c r="H213" s="1359"/>
      <c r="I213" s="1359"/>
      <c r="J213" s="1359"/>
      <c r="K213" s="1359"/>
      <c r="L213" s="1359"/>
      <c r="M213" s="1359"/>
      <c r="N213" s="1359"/>
      <c r="O213" s="1359"/>
      <c r="P213" s="1359"/>
    </row>
    <row r="214">
      <c r="A214" s="1359"/>
      <c r="B214" s="1359"/>
      <c r="C214" s="1359"/>
      <c r="D214" s="1359"/>
      <c r="E214" s="1359"/>
      <c r="F214" s="1359"/>
      <c r="G214" s="1359"/>
      <c r="H214" s="1359"/>
      <c r="I214" s="1359"/>
      <c r="J214" s="1359"/>
      <c r="K214" s="1359"/>
      <c r="L214" s="1359"/>
      <c r="M214" s="1359"/>
      <c r="N214" s="1359"/>
      <c r="O214" s="1359"/>
      <c r="P214" s="1359"/>
    </row>
    <row r="215">
      <c r="A215" s="1359"/>
      <c r="B215" s="1359"/>
      <c r="C215" s="1359"/>
      <c r="D215" s="1359"/>
      <c r="E215" s="1359"/>
      <c r="F215" s="1359"/>
      <c r="G215" s="1359"/>
      <c r="H215" s="1359"/>
      <c r="I215" s="1359"/>
      <c r="J215" s="1359"/>
      <c r="K215" s="1359"/>
      <c r="L215" s="1359"/>
      <c r="M215" s="1359"/>
      <c r="N215" s="1359"/>
      <c r="O215" s="1359"/>
      <c r="P215" s="1359"/>
    </row>
    <row r="216">
      <c r="A216" s="1359"/>
      <c r="B216" s="1359"/>
      <c r="C216" s="1359"/>
      <c r="D216" s="1359"/>
      <c r="E216" s="1359"/>
      <c r="F216" s="1359"/>
      <c r="G216" s="1359"/>
      <c r="H216" s="1359"/>
      <c r="I216" s="1359"/>
      <c r="J216" s="1359"/>
      <c r="K216" s="1359"/>
      <c r="L216" s="1359"/>
      <c r="M216" s="1359"/>
      <c r="N216" s="1359"/>
      <c r="O216" s="1359"/>
      <c r="P216" s="1359"/>
    </row>
    <row r="217">
      <c r="A217" s="1359"/>
      <c r="B217" s="1359"/>
      <c r="C217" s="1359"/>
      <c r="D217" s="1359"/>
      <c r="E217" s="1359"/>
      <c r="F217" s="1359"/>
      <c r="G217" s="1359"/>
      <c r="H217" s="1359"/>
      <c r="I217" s="1359"/>
      <c r="J217" s="1359"/>
      <c r="K217" s="1359"/>
      <c r="L217" s="1359"/>
      <c r="M217" s="1359"/>
      <c r="N217" s="1359"/>
      <c r="O217" s="1359"/>
      <c r="P217" s="1359"/>
    </row>
    <row r="218">
      <c r="A218" s="1359"/>
      <c r="B218" s="1359"/>
      <c r="C218" s="1359"/>
      <c r="D218" s="1359"/>
      <c r="E218" s="1359"/>
      <c r="F218" s="1359"/>
      <c r="G218" s="1359"/>
      <c r="H218" s="1359"/>
      <c r="I218" s="1359"/>
      <c r="J218" s="1359"/>
      <c r="K218" s="1359"/>
      <c r="L218" s="1359"/>
      <c r="M218" s="1359"/>
      <c r="N218" s="1359"/>
      <c r="O218" s="1359"/>
      <c r="P218" s="1359"/>
    </row>
    <row r="219">
      <c r="A219" s="1359"/>
      <c r="B219" s="1359"/>
      <c r="C219" s="1359"/>
      <c r="D219" s="1359"/>
      <c r="E219" s="1359"/>
      <c r="F219" s="1359"/>
      <c r="G219" s="1359"/>
      <c r="H219" s="1359"/>
      <c r="I219" s="1359"/>
      <c r="J219" s="1359"/>
      <c r="K219" s="1359"/>
      <c r="L219" s="1359"/>
      <c r="M219" s="1359"/>
      <c r="N219" s="1359"/>
      <c r="O219" s="1359"/>
      <c r="P219" s="1359"/>
    </row>
    <row r="220">
      <c r="A220" s="1359"/>
      <c r="B220" s="1359"/>
      <c r="C220" s="1359"/>
      <c r="D220" s="1359"/>
      <c r="E220" s="1359"/>
      <c r="F220" s="1359"/>
      <c r="G220" s="1359"/>
      <c r="H220" s="1359"/>
      <c r="I220" s="1359"/>
      <c r="J220" s="1359"/>
      <c r="K220" s="1359"/>
      <c r="L220" s="1359"/>
      <c r="M220" s="1359"/>
      <c r="N220" s="1359"/>
      <c r="O220" s="1359"/>
      <c r="P220" s="1359"/>
    </row>
    <row r="221">
      <c r="A221" s="1359"/>
      <c r="B221" s="1359"/>
      <c r="C221" s="1359"/>
      <c r="D221" s="1359"/>
      <c r="E221" s="1359"/>
      <c r="F221" s="1359"/>
      <c r="G221" s="1359"/>
      <c r="H221" s="1359"/>
      <c r="I221" s="1359"/>
      <c r="J221" s="1359"/>
      <c r="K221" s="1359"/>
      <c r="L221" s="1359"/>
      <c r="M221" s="1359"/>
      <c r="N221" s="1359"/>
      <c r="O221" s="1359"/>
      <c r="P221" s="1359"/>
    </row>
    <row r="222">
      <c r="A222" s="1359"/>
      <c r="B222" s="1359"/>
      <c r="C222" s="1359"/>
      <c r="D222" s="1359"/>
      <c r="E222" s="1359"/>
      <c r="F222" s="1359"/>
      <c r="G222" s="1359"/>
      <c r="H222" s="1359"/>
      <c r="I222" s="1359"/>
      <c r="J222" s="1359"/>
      <c r="K222" s="1359"/>
      <c r="L222" s="1359"/>
      <c r="M222" s="1359"/>
      <c r="N222" s="1359"/>
      <c r="O222" s="1359"/>
      <c r="P222" s="1359"/>
    </row>
    <row r="223">
      <c r="A223" s="1359"/>
      <c r="B223" s="1359"/>
      <c r="C223" s="1359"/>
      <c r="D223" s="1359"/>
      <c r="E223" s="1359"/>
      <c r="F223" s="1359"/>
      <c r="G223" s="1359"/>
      <c r="H223" s="1359"/>
      <c r="I223" s="1359"/>
      <c r="J223" s="1359"/>
      <c r="K223" s="1359"/>
      <c r="L223" s="1359"/>
      <c r="M223" s="1359"/>
      <c r="N223" s="1359"/>
      <c r="O223" s="1359"/>
      <c r="P223" s="1359"/>
    </row>
    <row r="224">
      <c r="A224" s="1359"/>
      <c r="B224" s="1359"/>
      <c r="C224" s="1359"/>
      <c r="D224" s="1359"/>
      <c r="E224" s="1359"/>
      <c r="F224" s="1359"/>
      <c r="G224" s="1359"/>
      <c r="H224" s="1359"/>
      <c r="I224" s="1359"/>
      <c r="J224" s="1359"/>
      <c r="K224" s="1359"/>
      <c r="L224" s="1359"/>
      <c r="M224" s="1359"/>
      <c r="N224" s="1359"/>
      <c r="O224" s="1359"/>
      <c r="P224" s="1359"/>
    </row>
    <row r="225">
      <c r="A225" s="1359"/>
      <c r="B225" s="1359"/>
      <c r="C225" s="1359"/>
      <c r="D225" s="1359"/>
      <c r="E225" s="1359"/>
      <c r="F225" s="1359"/>
      <c r="G225" s="1359"/>
      <c r="H225" s="1359"/>
      <c r="I225" s="1359"/>
      <c r="J225" s="1359"/>
      <c r="K225" s="1359"/>
      <c r="L225" s="1359"/>
      <c r="M225" s="1359"/>
      <c r="N225" s="1359"/>
      <c r="O225" s="1359"/>
      <c r="P225" s="1359"/>
    </row>
    <row r="226">
      <c r="A226" s="1359"/>
      <c r="B226" s="1359"/>
      <c r="C226" s="1359"/>
      <c r="D226" s="1359"/>
      <c r="E226" s="1359"/>
      <c r="F226" s="1359"/>
      <c r="G226" s="1359"/>
      <c r="H226" s="1359"/>
      <c r="I226" s="1359"/>
      <c r="J226" s="1359"/>
      <c r="K226" s="1359"/>
      <c r="L226" s="1359"/>
      <c r="M226" s="1359"/>
      <c r="N226" s="1359"/>
      <c r="O226" s="1359"/>
      <c r="P226" s="1359"/>
    </row>
    <row r="227">
      <c r="A227" s="1359"/>
      <c r="B227" s="1359"/>
      <c r="C227" s="1359"/>
      <c r="D227" s="1359"/>
      <c r="E227" s="1359"/>
      <c r="F227" s="1359"/>
      <c r="G227" s="1359"/>
      <c r="H227" s="1359"/>
      <c r="I227" s="1359"/>
      <c r="J227" s="1359"/>
      <c r="K227" s="1359"/>
      <c r="L227" s="1359"/>
      <c r="M227" s="1359"/>
      <c r="N227" s="1359"/>
      <c r="O227" s="1359"/>
      <c r="P227" s="1359"/>
    </row>
    <row r="228">
      <c r="A228" s="1359"/>
      <c r="B228" s="1359"/>
      <c r="C228" s="1359"/>
      <c r="D228" s="1359"/>
      <c r="E228" s="1359"/>
      <c r="F228" s="1359"/>
      <c r="G228" s="1359"/>
      <c r="H228" s="1359"/>
      <c r="I228" s="1359"/>
      <c r="J228" s="1359"/>
      <c r="K228" s="1359"/>
      <c r="L228" s="1359"/>
      <c r="M228" s="1359"/>
      <c r="N228" s="1359"/>
      <c r="O228" s="1359"/>
      <c r="P228" s="1359"/>
    </row>
    <row r="229">
      <c r="A229" s="1359"/>
      <c r="B229" s="1359"/>
      <c r="C229" s="1359"/>
      <c r="D229" s="1359"/>
      <c r="E229" s="1359"/>
      <c r="F229" s="1359"/>
      <c r="G229" s="1359"/>
      <c r="H229" s="1359"/>
      <c r="I229" s="1359"/>
      <c r="J229" s="1359"/>
      <c r="K229" s="1359"/>
      <c r="L229" s="1359"/>
      <c r="M229" s="1359"/>
      <c r="N229" s="1359"/>
      <c r="O229" s="1359"/>
      <c r="P229" s="1359"/>
    </row>
    <row r="230">
      <c r="A230" s="1359"/>
      <c r="B230" s="1359"/>
      <c r="C230" s="1359"/>
      <c r="D230" s="1359"/>
      <c r="E230" s="1359"/>
      <c r="F230" s="1359"/>
      <c r="G230" s="1359"/>
      <c r="H230" s="1359"/>
      <c r="I230" s="1359"/>
      <c r="J230" s="1359"/>
      <c r="K230" s="1359"/>
      <c r="L230" s="1359"/>
      <c r="M230" s="1359"/>
      <c r="N230" s="1359"/>
      <c r="O230" s="1359"/>
      <c r="P230" s="1359"/>
    </row>
    <row r="231">
      <c r="A231" s="1359"/>
      <c r="B231" s="1359"/>
      <c r="C231" s="1359"/>
      <c r="D231" s="1359"/>
      <c r="E231" s="1359"/>
      <c r="F231" s="1359"/>
      <c r="G231" s="1359"/>
      <c r="H231" s="1359"/>
      <c r="I231" s="1359"/>
      <c r="J231" s="1359"/>
      <c r="K231" s="1359"/>
      <c r="L231" s="1359"/>
      <c r="M231" s="1359"/>
      <c r="N231" s="1359"/>
      <c r="O231" s="1359"/>
      <c r="P231" s="1359"/>
    </row>
    <row r="232">
      <c r="A232" s="1359"/>
      <c r="B232" s="1359"/>
      <c r="C232" s="1359"/>
      <c r="D232" s="1359"/>
      <c r="E232" s="1359"/>
      <c r="F232" s="1359"/>
      <c r="G232" s="1359"/>
      <c r="H232" s="1359"/>
      <c r="I232" s="1359"/>
      <c r="J232" s="1359"/>
      <c r="K232" s="1359"/>
      <c r="L232" s="1359"/>
      <c r="M232" s="1359"/>
      <c r="N232" s="1359"/>
      <c r="O232" s="1359"/>
      <c r="P232" s="1359"/>
    </row>
    <row r="233">
      <c r="A233" s="1359"/>
      <c r="B233" s="1359"/>
      <c r="C233" s="1359"/>
      <c r="D233" s="1359"/>
      <c r="E233" s="1359"/>
      <c r="F233" s="1359"/>
      <c r="G233" s="1359"/>
      <c r="H233" s="1359"/>
      <c r="I233" s="1359"/>
      <c r="J233" s="1359"/>
      <c r="K233" s="1359"/>
      <c r="L233" s="1359"/>
      <c r="M233" s="1359"/>
      <c r="N233" s="1359"/>
      <c r="O233" s="1359"/>
      <c r="P233" s="1359"/>
    </row>
    <row r="234">
      <c r="A234" s="1359"/>
      <c r="B234" s="1359"/>
      <c r="C234" s="1359"/>
      <c r="D234" s="1359"/>
      <c r="E234" s="1359"/>
      <c r="F234" s="1359"/>
      <c r="G234" s="1359"/>
      <c r="H234" s="1359"/>
      <c r="I234" s="1359"/>
      <c r="J234" s="1359"/>
      <c r="K234" s="1359"/>
      <c r="L234" s="1359"/>
      <c r="M234" s="1359"/>
      <c r="N234" s="1359"/>
      <c r="O234" s="1359"/>
      <c r="P234" s="1359"/>
    </row>
    <row r="235">
      <c r="A235" s="1359"/>
      <c r="B235" s="1359"/>
      <c r="C235" s="1359"/>
      <c r="D235" s="1359"/>
      <c r="E235" s="1359"/>
      <c r="F235" s="1359"/>
      <c r="G235" s="1359"/>
      <c r="H235" s="1359"/>
      <c r="I235" s="1359"/>
      <c r="J235" s="1359"/>
      <c r="K235" s="1359"/>
      <c r="L235" s="1359"/>
      <c r="M235" s="1359"/>
      <c r="N235" s="1359"/>
      <c r="O235" s="1359"/>
      <c r="P235" s="1359"/>
    </row>
    <row r="236">
      <c r="A236" s="1359"/>
      <c r="B236" s="1359"/>
      <c r="C236" s="1359"/>
      <c r="D236" s="1359"/>
      <c r="E236" s="1359"/>
      <c r="F236" s="1359"/>
      <c r="G236" s="1359"/>
      <c r="H236" s="1359"/>
      <c r="I236" s="1359"/>
      <c r="J236" s="1359"/>
      <c r="K236" s="1359"/>
      <c r="L236" s="1359"/>
      <c r="M236" s="1359"/>
      <c r="N236" s="1359"/>
      <c r="O236" s="1359"/>
      <c r="P236" s="1359"/>
    </row>
    <row r="237">
      <c r="A237" s="1359"/>
      <c r="B237" s="1359"/>
      <c r="C237" s="1359"/>
      <c r="D237" s="1359"/>
      <c r="E237" s="1359"/>
      <c r="F237" s="1359"/>
      <c r="G237" s="1359"/>
      <c r="H237" s="1359"/>
      <c r="I237" s="1359"/>
      <c r="J237" s="1359"/>
      <c r="K237" s="1359"/>
      <c r="L237" s="1359"/>
      <c r="M237" s="1359"/>
      <c r="N237" s="1359"/>
      <c r="O237" s="1359"/>
      <c r="P237" s="1359"/>
    </row>
    <row r="238">
      <c r="A238" s="1359"/>
      <c r="B238" s="1359"/>
      <c r="C238" s="1359"/>
      <c r="D238" s="1359"/>
      <c r="E238" s="1359"/>
      <c r="F238" s="1359"/>
      <c r="G238" s="1359"/>
      <c r="H238" s="1359"/>
      <c r="I238" s="1359"/>
      <c r="J238" s="1359"/>
      <c r="K238" s="1359"/>
      <c r="L238" s="1359"/>
      <c r="M238" s="1359"/>
      <c r="N238" s="1359"/>
      <c r="O238" s="1359"/>
      <c r="P238" s="1359"/>
    </row>
    <row r="239">
      <c r="A239" s="1359"/>
      <c r="B239" s="1359"/>
      <c r="C239" s="1359"/>
      <c r="D239" s="1359"/>
      <c r="E239" s="1359"/>
      <c r="F239" s="1359"/>
      <c r="G239" s="1359"/>
      <c r="H239" s="1359"/>
      <c r="I239" s="1359"/>
      <c r="J239" s="1359"/>
      <c r="K239" s="1359"/>
      <c r="L239" s="1359"/>
      <c r="M239" s="1359"/>
      <c r="N239" s="1359"/>
      <c r="O239" s="1359"/>
      <c r="P239" s="1359"/>
    </row>
    <row r="240">
      <c r="A240" s="1359"/>
      <c r="B240" s="1359"/>
      <c r="C240" s="1359"/>
      <c r="D240" s="1359"/>
      <c r="E240" s="1359"/>
      <c r="F240" s="1359"/>
      <c r="G240" s="1359"/>
      <c r="H240" s="1359"/>
      <c r="I240" s="1359"/>
      <c r="J240" s="1359"/>
      <c r="K240" s="1359"/>
      <c r="L240" s="1359"/>
      <c r="M240" s="1359"/>
      <c r="N240" s="1359"/>
      <c r="O240" s="1359"/>
      <c r="P240" s="1359"/>
    </row>
    <row r="241">
      <c r="A241" s="1359"/>
      <c r="B241" s="1359"/>
      <c r="C241" s="1359"/>
      <c r="D241" s="1359"/>
      <c r="E241" s="1359"/>
      <c r="F241" s="1359"/>
      <c r="G241" s="1359"/>
      <c r="H241" s="1359"/>
      <c r="I241" s="1359"/>
      <c r="J241" s="1359"/>
      <c r="K241" s="1359"/>
      <c r="L241" s="1359"/>
      <c r="M241" s="1359"/>
      <c r="N241" s="1359"/>
      <c r="O241" s="1359"/>
      <c r="P241" s="1359"/>
    </row>
    <row r="242">
      <c r="A242" s="1359"/>
      <c r="B242" s="1359"/>
      <c r="C242" s="1359"/>
      <c r="D242" s="1359"/>
      <c r="E242" s="1359"/>
      <c r="F242" s="1359"/>
      <c r="G242" s="1359"/>
      <c r="H242" s="1359"/>
      <c r="I242" s="1359"/>
      <c r="J242" s="1359"/>
      <c r="K242" s="1359"/>
      <c r="L242" s="1359"/>
      <c r="M242" s="1359"/>
      <c r="N242" s="1359"/>
      <c r="O242" s="1359"/>
      <c r="P242" s="1359"/>
    </row>
    <row r="243">
      <c r="A243" s="1359"/>
      <c r="B243" s="1359"/>
      <c r="C243" s="1359"/>
      <c r="D243" s="1359"/>
      <c r="E243" s="1359"/>
      <c r="F243" s="1359"/>
      <c r="G243" s="1359"/>
      <c r="H243" s="1359"/>
      <c r="I243" s="1359"/>
      <c r="J243" s="1359"/>
      <c r="K243" s="1359"/>
      <c r="L243" s="1359"/>
      <c r="M243" s="1359"/>
      <c r="N243" s="1359"/>
      <c r="O243" s="1359"/>
      <c r="P243" s="1359"/>
    </row>
    <row r="244">
      <c r="A244" s="1359"/>
      <c r="B244" s="1359"/>
      <c r="C244" s="1359"/>
      <c r="D244" s="1359"/>
      <c r="E244" s="1359"/>
      <c r="F244" s="1359"/>
      <c r="G244" s="1359"/>
      <c r="H244" s="1359"/>
      <c r="I244" s="1359"/>
      <c r="J244" s="1359"/>
      <c r="K244" s="1359"/>
      <c r="L244" s="1359"/>
      <c r="M244" s="1359"/>
      <c r="N244" s="1359"/>
      <c r="O244" s="1359"/>
      <c r="P244" s="1359"/>
    </row>
    <row r="245">
      <c r="A245" s="1359"/>
      <c r="B245" s="1359"/>
      <c r="C245" s="1359"/>
      <c r="D245" s="1359"/>
      <c r="E245" s="1359"/>
      <c r="F245" s="1359"/>
      <c r="G245" s="1359"/>
      <c r="H245" s="1359"/>
      <c r="I245" s="1359"/>
      <c r="J245" s="1359"/>
      <c r="K245" s="1359"/>
      <c r="L245" s="1359"/>
      <c r="M245" s="1359"/>
      <c r="N245" s="1359"/>
      <c r="O245" s="1359"/>
      <c r="P245" s="1359"/>
    </row>
    <row r="246">
      <c r="A246" s="1359"/>
      <c r="B246" s="1359"/>
      <c r="C246" s="1359"/>
      <c r="D246" s="1359"/>
      <c r="E246" s="1359"/>
      <c r="F246" s="1359"/>
      <c r="G246" s="1359"/>
      <c r="H246" s="1359"/>
      <c r="I246" s="1359"/>
      <c r="J246" s="1359"/>
      <c r="K246" s="1359"/>
      <c r="L246" s="1359"/>
      <c r="M246" s="1359"/>
      <c r="N246" s="1359"/>
      <c r="O246" s="1359"/>
      <c r="P246" s="1359"/>
    </row>
    <row r="247">
      <c r="A247" s="1359"/>
      <c r="B247" s="1359"/>
      <c r="C247" s="1359"/>
      <c r="D247" s="1359"/>
      <c r="E247" s="1359"/>
      <c r="F247" s="1359"/>
      <c r="G247" s="1359"/>
      <c r="H247" s="1359"/>
      <c r="I247" s="1359"/>
      <c r="J247" s="1359"/>
      <c r="K247" s="1359"/>
      <c r="L247" s="1359"/>
      <c r="M247" s="1359"/>
      <c r="N247" s="1359"/>
      <c r="O247" s="1359"/>
      <c r="P247" s="1359"/>
    </row>
    <row r="248">
      <c r="A248" s="1359"/>
      <c r="B248" s="1359"/>
      <c r="C248" s="1359"/>
      <c r="D248" s="1359"/>
      <c r="E248" s="1359"/>
      <c r="F248" s="1359"/>
      <c r="G248" s="1359"/>
      <c r="H248" s="1359"/>
      <c r="I248" s="1359"/>
      <c r="J248" s="1359"/>
      <c r="K248" s="1359"/>
      <c r="L248" s="1359"/>
      <c r="M248" s="1359"/>
      <c r="N248" s="1359"/>
      <c r="O248" s="1359"/>
      <c r="P248" s="1359"/>
    </row>
    <row r="249">
      <c r="A249" s="1359"/>
      <c r="B249" s="1359"/>
      <c r="C249" s="1359"/>
      <c r="D249" s="1359"/>
      <c r="E249" s="1359"/>
      <c r="F249" s="1359"/>
      <c r="G249" s="1359"/>
      <c r="H249" s="1359"/>
      <c r="I249" s="1359"/>
      <c r="J249" s="1359"/>
      <c r="K249" s="1359"/>
      <c r="L249" s="1359"/>
      <c r="M249" s="1359"/>
      <c r="N249" s="1359"/>
      <c r="O249" s="1359"/>
      <c r="P249" s="1359"/>
    </row>
    <row r="250">
      <c r="A250" s="1359"/>
      <c r="B250" s="1359"/>
      <c r="C250" s="1359"/>
      <c r="D250" s="1359"/>
      <c r="E250" s="1359"/>
      <c r="F250" s="1359"/>
      <c r="G250" s="1359"/>
      <c r="H250" s="1359"/>
      <c r="I250" s="1359"/>
      <c r="J250" s="1359"/>
      <c r="K250" s="1359"/>
      <c r="L250" s="1359"/>
      <c r="M250" s="1359"/>
      <c r="N250" s="1359"/>
      <c r="O250" s="1359"/>
      <c r="P250" s="1359"/>
    </row>
    <row r="251">
      <c r="A251" s="1359"/>
      <c r="B251" s="1359"/>
      <c r="C251" s="1359"/>
      <c r="D251" s="1359"/>
      <c r="E251" s="1359"/>
      <c r="F251" s="1359"/>
      <c r="G251" s="1359"/>
      <c r="H251" s="1359"/>
      <c r="I251" s="1359"/>
      <c r="J251" s="1359"/>
      <c r="K251" s="1359"/>
      <c r="L251" s="1359"/>
      <c r="M251" s="1359"/>
      <c r="N251" s="1359"/>
      <c r="O251" s="1359"/>
      <c r="P251" s="1359"/>
    </row>
    <row r="252">
      <c r="A252" s="1359"/>
      <c r="B252" s="1359"/>
      <c r="C252" s="1359"/>
      <c r="D252" s="1359"/>
      <c r="E252" s="1359"/>
      <c r="F252" s="1359"/>
      <c r="G252" s="1359"/>
      <c r="H252" s="1359"/>
      <c r="I252" s="1359"/>
      <c r="J252" s="1359"/>
      <c r="K252" s="1359"/>
      <c r="L252" s="1359"/>
      <c r="M252" s="1359"/>
      <c r="N252" s="1359"/>
      <c r="O252" s="1359"/>
      <c r="P252" s="1359"/>
    </row>
    <row r="253">
      <c r="A253" s="1359"/>
      <c r="B253" s="1359"/>
      <c r="C253" s="1359"/>
      <c r="D253" s="1359"/>
      <c r="E253" s="1359"/>
      <c r="F253" s="1359"/>
      <c r="G253" s="1359"/>
      <c r="H253" s="1359"/>
      <c r="I253" s="1359"/>
      <c r="J253" s="1359"/>
      <c r="K253" s="1359"/>
      <c r="L253" s="1359"/>
      <c r="M253" s="1359"/>
      <c r="N253" s="1359"/>
      <c r="O253" s="1359"/>
      <c r="P253" s="1359"/>
    </row>
    <row r="254">
      <c r="A254" s="1359"/>
      <c r="B254" s="1359"/>
      <c r="C254" s="1359"/>
      <c r="D254" s="1359"/>
      <c r="E254" s="1359"/>
      <c r="F254" s="1359"/>
      <c r="G254" s="1359"/>
      <c r="H254" s="1359"/>
      <c r="I254" s="1359"/>
      <c r="J254" s="1359"/>
      <c r="K254" s="1359"/>
      <c r="L254" s="1359"/>
      <c r="M254" s="1359"/>
      <c r="N254" s="1359"/>
      <c r="O254" s="1359"/>
      <c r="P254" s="1359"/>
    </row>
    <row r="255">
      <c r="A255" s="1359"/>
      <c r="B255" s="1359"/>
      <c r="C255" s="1359"/>
      <c r="D255" s="1359"/>
      <c r="E255" s="1359"/>
      <c r="F255" s="1359"/>
      <c r="G255" s="1359"/>
      <c r="H255" s="1359"/>
      <c r="I255" s="1359"/>
      <c r="J255" s="1359"/>
      <c r="K255" s="1359"/>
      <c r="L255" s="1359"/>
      <c r="M255" s="1359"/>
      <c r="N255" s="1359"/>
      <c r="O255" s="1359"/>
      <c r="P255" s="1359"/>
    </row>
    <row r="256">
      <c r="A256" s="1359"/>
      <c r="B256" s="1359"/>
      <c r="C256" s="1359"/>
      <c r="D256" s="1359"/>
      <c r="E256" s="1359"/>
      <c r="F256" s="1359"/>
      <c r="G256" s="1359"/>
      <c r="H256" s="1359"/>
      <c r="I256" s="1359"/>
      <c r="J256" s="1359"/>
      <c r="K256" s="1359"/>
      <c r="L256" s="1359"/>
      <c r="M256" s="1359"/>
      <c r="N256" s="1359"/>
      <c r="O256" s="1359"/>
      <c r="P256" s="1359"/>
    </row>
    <row r="257">
      <c r="A257" s="1359"/>
      <c r="B257" s="1359"/>
      <c r="C257" s="1359"/>
      <c r="D257" s="1359"/>
      <c r="E257" s="1359"/>
      <c r="F257" s="1359"/>
      <c r="G257" s="1359"/>
      <c r="H257" s="1359"/>
      <c r="I257" s="1359"/>
      <c r="J257" s="1359"/>
      <c r="K257" s="1359"/>
      <c r="L257" s="1359"/>
      <c r="M257" s="1359"/>
      <c r="N257" s="1359"/>
      <c r="O257" s="1359"/>
      <c r="P257" s="1359"/>
    </row>
    <row r="258">
      <c r="A258" s="1359"/>
      <c r="B258" s="1359"/>
      <c r="C258" s="1359"/>
      <c r="D258" s="1359"/>
      <c r="E258" s="1359"/>
      <c r="F258" s="1359"/>
      <c r="G258" s="1359"/>
      <c r="H258" s="1359"/>
      <c r="I258" s="1359"/>
      <c r="J258" s="1359"/>
      <c r="K258" s="1359"/>
      <c r="L258" s="1359"/>
      <c r="M258" s="1359"/>
      <c r="N258" s="1359"/>
      <c r="O258" s="1359"/>
      <c r="P258" s="1359"/>
    </row>
    <row r="259">
      <c r="A259" s="1359"/>
      <c r="B259" s="1359"/>
      <c r="C259" s="1359"/>
      <c r="D259" s="1359"/>
      <c r="E259" s="1359"/>
      <c r="F259" s="1359"/>
      <c r="G259" s="1359"/>
      <c r="H259" s="1359"/>
      <c r="I259" s="1359"/>
      <c r="J259" s="1359"/>
      <c r="K259" s="1359"/>
      <c r="L259" s="1359"/>
      <c r="M259" s="1359"/>
      <c r="N259" s="1359"/>
      <c r="O259" s="1359"/>
      <c r="P259" s="1359"/>
    </row>
    <row r="260">
      <c r="A260" s="1359"/>
      <c r="B260" s="1359"/>
      <c r="C260" s="1359"/>
      <c r="D260" s="1359"/>
      <c r="E260" s="1359"/>
      <c r="F260" s="1359"/>
      <c r="G260" s="1359"/>
      <c r="H260" s="1359"/>
      <c r="I260" s="1359"/>
      <c r="J260" s="1359"/>
      <c r="K260" s="1359"/>
      <c r="L260" s="1359"/>
      <c r="M260" s="1359"/>
      <c r="N260" s="1359"/>
      <c r="O260" s="1359"/>
      <c r="P260" s="1359"/>
    </row>
    <row r="261">
      <c r="A261" s="1359"/>
      <c r="B261" s="1359"/>
      <c r="C261" s="1359"/>
      <c r="D261" s="1359"/>
      <c r="E261" s="1359"/>
      <c r="F261" s="1359"/>
      <c r="G261" s="1359"/>
      <c r="H261" s="1359"/>
      <c r="I261" s="1359"/>
      <c r="J261" s="1359"/>
      <c r="K261" s="1359"/>
      <c r="L261" s="1359"/>
      <c r="M261" s="1359"/>
      <c r="N261" s="1359"/>
      <c r="O261" s="1359"/>
      <c r="P261" s="1359"/>
    </row>
    <row r="262">
      <c r="A262" s="1359"/>
      <c r="B262" s="1359"/>
      <c r="C262" s="1359"/>
      <c r="D262" s="1359"/>
      <c r="E262" s="1359"/>
      <c r="F262" s="1359"/>
      <c r="G262" s="1359"/>
      <c r="H262" s="1359"/>
      <c r="I262" s="1359"/>
      <c r="J262" s="1359"/>
      <c r="K262" s="1359"/>
      <c r="L262" s="1359"/>
      <c r="M262" s="1359"/>
      <c r="N262" s="1359"/>
      <c r="O262" s="1359"/>
      <c r="P262" s="1359"/>
    </row>
    <row r="263">
      <c r="A263" s="1359"/>
      <c r="B263" s="1359"/>
      <c r="C263" s="1359"/>
      <c r="D263" s="1359"/>
      <c r="E263" s="1359"/>
      <c r="F263" s="1359"/>
      <c r="G263" s="1359"/>
      <c r="H263" s="1359"/>
      <c r="I263" s="1359"/>
      <c r="J263" s="1359"/>
      <c r="K263" s="1359"/>
      <c r="L263" s="1359"/>
      <c r="M263" s="1359"/>
      <c r="N263" s="1359"/>
      <c r="O263" s="1359"/>
      <c r="P263" s="1359"/>
    </row>
    <row r="264">
      <c r="A264" s="1359"/>
      <c r="B264" s="1359"/>
      <c r="C264" s="1359"/>
      <c r="D264" s="1359"/>
      <c r="E264" s="1359"/>
      <c r="F264" s="1359"/>
      <c r="G264" s="1359"/>
      <c r="H264" s="1359"/>
      <c r="I264" s="1359"/>
      <c r="J264" s="1359"/>
      <c r="K264" s="1359"/>
      <c r="L264" s="1359"/>
      <c r="M264" s="1359"/>
      <c r="N264" s="1359"/>
      <c r="O264" s="1359"/>
      <c r="P264" s="1359"/>
    </row>
    <row r="265">
      <c r="A265" s="1359"/>
      <c r="B265" s="1359"/>
      <c r="C265" s="1359"/>
      <c r="D265" s="1359"/>
      <c r="E265" s="1359"/>
      <c r="F265" s="1359"/>
      <c r="G265" s="1359"/>
      <c r="H265" s="1359"/>
      <c r="I265" s="1359"/>
      <c r="J265" s="1359"/>
      <c r="K265" s="1359"/>
      <c r="L265" s="1359"/>
      <c r="M265" s="1359"/>
      <c r="N265" s="1359"/>
      <c r="O265" s="1359"/>
      <c r="P265" s="1359"/>
    </row>
    <row r="266">
      <c r="A266" s="1359"/>
      <c r="B266" s="1359"/>
      <c r="C266" s="1359"/>
      <c r="D266" s="1359"/>
      <c r="E266" s="1359"/>
      <c r="F266" s="1359"/>
      <c r="G266" s="1359"/>
      <c r="H266" s="1359"/>
      <c r="I266" s="1359"/>
      <c r="J266" s="1359"/>
      <c r="K266" s="1359"/>
      <c r="L266" s="1359"/>
      <c r="M266" s="1359"/>
      <c r="N266" s="1359"/>
      <c r="O266" s="1359"/>
      <c r="P266" s="1359"/>
    </row>
    <row r="267">
      <c r="A267" s="1359"/>
      <c r="B267" s="1359"/>
      <c r="C267" s="1359"/>
      <c r="D267" s="1359"/>
      <c r="E267" s="1359"/>
      <c r="F267" s="1359"/>
      <c r="G267" s="1359"/>
      <c r="H267" s="1359"/>
      <c r="I267" s="1359"/>
      <c r="J267" s="1359"/>
      <c r="K267" s="1359"/>
      <c r="L267" s="1359"/>
      <c r="M267" s="1359"/>
      <c r="N267" s="1359"/>
      <c r="O267" s="1359"/>
      <c r="P267" s="1359"/>
    </row>
    <row r="268">
      <c r="A268" s="1359"/>
      <c r="B268" s="1359"/>
      <c r="C268" s="1359"/>
      <c r="D268" s="1359"/>
      <c r="E268" s="1359"/>
      <c r="F268" s="1359"/>
      <c r="G268" s="1359"/>
      <c r="H268" s="1359"/>
      <c r="I268" s="1359"/>
      <c r="J268" s="1359"/>
      <c r="K268" s="1359"/>
      <c r="L268" s="1359"/>
      <c r="M268" s="1359"/>
      <c r="N268" s="1359"/>
      <c r="O268" s="1359"/>
      <c r="P268" s="1359"/>
    </row>
    <row r="269">
      <c r="A269" s="1359"/>
      <c r="B269" s="1359"/>
      <c r="C269" s="1359"/>
      <c r="D269" s="1359"/>
      <c r="E269" s="1359"/>
      <c r="F269" s="1359"/>
      <c r="G269" s="1359"/>
      <c r="H269" s="1359"/>
      <c r="I269" s="1359"/>
      <c r="J269" s="1359"/>
      <c r="K269" s="1359"/>
      <c r="L269" s="1359"/>
      <c r="M269" s="1359"/>
      <c r="N269" s="1359"/>
      <c r="O269" s="1359"/>
      <c r="P269" s="1359"/>
    </row>
    <row r="270">
      <c r="A270" s="1359"/>
      <c r="B270" s="1359"/>
      <c r="C270" s="1359"/>
      <c r="D270" s="1359"/>
      <c r="E270" s="1359"/>
      <c r="F270" s="1359"/>
      <c r="G270" s="1359"/>
      <c r="H270" s="1359"/>
      <c r="I270" s="1359"/>
      <c r="J270" s="1359"/>
      <c r="K270" s="1359"/>
      <c r="L270" s="1359"/>
      <c r="M270" s="1359"/>
      <c r="N270" s="1359"/>
      <c r="O270" s="1359"/>
      <c r="P270" s="1359"/>
    </row>
    <row r="271">
      <c r="A271" s="1359"/>
      <c r="B271" s="1359"/>
      <c r="C271" s="1359"/>
      <c r="D271" s="1359"/>
      <c r="E271" s="1359"/>
      <c r="F271" s="1359"/>
      <c r="G271" s="1359"/>
      <c r="H271" s="1359"/>
      <c r="I271" s="1359"/>
      <c r="J271" s="1359"/>
      <c r="K271" s="1359"/>
      <c r="L271" s="1359"/>
      <c r="M271" s="1359"/>
      <c r="N271" s="1359"/>
      <c r="O271" s="1359"/>
      <c r="P271" s="1359"/>
    </row>
    <row r="272">
      <c r="A272" s="1359"/>
      <c r="B272" s="1359"/>
      <c r="C272" s="1359"/>
      <c r="D272" s="1359"/>
      <c r="E272" s="1359"/>
      <c r="F272" s="1359"/>
      <c r="G272" s="1359"/>
      <c r="H272" s="1359"/>
      <c r="I272" s="1359"/>
      <c r="J272" s="1359"/>
      <c r="K272" s="1359"/>
      <c r="L272" s="1359"/>
      <c r="M272" s="1359"/>
      <c r="N272" s="1359"/>
      <c r="O272" s="1359"/>
      <c r="P272" s="1359"/>
    </row>
    <row r="273">
      <c r="A273" s="1359"/>
      <c r="B273" s="1359"/>
      <c r="C273" s="1359"/>
      <c r="D273" s="1359"/>
      <c r="E273" s="1359"/>
      <c r="F273" s="1359"/>
      <c r="G273" s="1359"/>
      <c r="H273" s="1359"/>
      <c r="I273" s="1359"/>
      <c r="J273" s="1359"/>
      <c r="K273" s="1359"/>
      <c r="L273" s="1359"/>
      <c r="M273" s="1359"/>
      <c r="N273" s="1359"/>
      <c r="O273" s="1359"/>
      <c r="P273" s="1359"/>
    </row>
    <row r="274">
      <c r="A274" s="1359"/>
      <c r="B274" s="1359"/>
      <c r="C274" s="1359"/>
      <c r="D274" s="1359"/>
      <c r="E274" s="1359"/>
      <c r="F274" s="1359"/>
      <c r="G274" s="1359"/>
      <c r="H274" s="1359"/>
      <c r="I274" s="1359"/>
      <c r="J274" s="1359"/>
      <c r="K274" s="1359"/>
      <c r="L274" s="1359"/>
      <c r="M274" s="1359"/>
      <c r="N274" s="1359"/>
      <c r="O274" s="1359"/>
      <c r="P274" s="1359"/>
    </row>
    <row r="275">
      <c r="A275" s="1359"/>
      <c r="B275" s="1359"/>
      <c r="C275" s="1359"/>
      <c r="D275" s="1359"/>
      <c r="E275" s="1359"/>
      <c r="F275" s="1359"/>
      <c r="G275" s="1359"/>
      <c r="H275" s="1359"/>
      <c r="I275" s="1359"/>
      <c r="J275" s="1359"/>
      <c r="K275" s="1359"/>
      <c r="L275" s="1359"/>
      <c r="M275" s="1359"/>
      <c r="N275" s="1359"/>
      <c r="O275" s="1359"/>
      <c r="P275" s="1359"/>
    </row>
    <row r="276">
      <c r="A276" s="1359"/>
      <c r="B276" s="1359"/>
      <c r="C276" s="1359"/>
      <c r="D276" s="1359"/>
      <c r="E276" s="1359"/>
      <c r="F276" s="1359"/>
      <c r="G276" s="1359"/>
      <c r="H276" s="1359"/>
      <c r="I276" s="1359"/>
      <c r="J276" s="1359"/>
      <c r="K276" s="1359"/>
      <c r="L276" s="1359"/>
      <c r="M276" s="1359"/>
      <c r="N276" s="1359"/>
      <c r="O276" s="1359"/>
      <c r="P276" s="1359"/>
    </row>
    <row r="277">
      <c r="A277" s="1359"/>
      <c r="B277" s="1359"/>
      <c r="C277" s="1359"/>
      <c r="D277" s="1359"/>
      <c r="E277" s="1359"/>
      <c r="F277" s="1359"/>
      <c r="G277" s="1359"/>
      <c r="H277" s="1359"/>
      <c r="I277" s="1359"/>
      <c r="J277" s="1359"/>
      <c r="K277" s="1359"/>
      <c r="L277" s="1359"/>
      <c r="M277" s="1359"/>
      <c r="N277" s="1359"/>
      <c r="O277" s="1359"/>
      <c r="P277" s="1359"/>
    </row>
    <row r="278">
      <c r="A278" s="1359"/>
      <c r="B278" s="1359"/>
      <c r="C278" s="1359"/>
      <c r="D278" s="1359"/>
      <c r="E278" s="1359"/>
      <c r="F278" s="1359"/>
      <c r="G278" s="1359"/>
      <c r="H278" s="1359"/>
      <c r="I278" s="1359"/>
      <c r="J278" s="1359"/>
      <c r="K278" s="1359"/>
      <c r="L278" s="1359"/>
      <c r="M278" s="1359"/>
      <c r="N278" s="1359"/>
      <c r="O278" s="1359"/>
      <c r="P278" s="1359"/>
    </row>
    <row r="279">
      <c r="A279" s="1359"/>
      <c r="B279" s="1359"/>
      <c r="C279" s="1359"/>
      <c r="D279" s="1359"/>
      <c r="E279" s="1359"/>
      <c r="F279" s="1359"/>
      <c r="G279" s="1359"/>
      <c r="H279" s="1359"/>
      <c r="I279" s="1359"/>
      <c r="J279" s="1359"/>
      <c r="K279" s="1359"/>
      <c r="L279" s="1359"/>
      <c r="M279" s="1359"/>
      <c r="N279" s="1359"/>
      <c r="O279" s="1359"/>
      <c r="P279" s="1359"/>
    </row>
    <row r="280">
      <c r="A280" s="1359"/>
      <c r="B280" s="1359"/>
      <c r="C280" s="1359"/>
      <c r="D280" s="1359"/>
      <c r="E280" s="1359"/>
      <c r="F280" s="1359"/>
      <c r="G280" s="1359"/>
      <c r="H280" s="1359"/>
      <c r="I280" s="1359"/>
      <c r="J280" s="1359"/>
      <c r="K280" s="1359"/>
      <c r="L280" s="1359"/>
      <c r="M280" s="1359"/>
      <c r="N280" s="1359"/>
      <c r="O280" s="1359"/>
      <c r="P280" s="1359"/>
    </row>
    <row r="281">
      <c r="A281" s="1359"/>
      <c r="B281" s="1359"/>
      <c r="C281" s="1359"/>
      <c r="D281" s="1359"/>
      <c r="E281" s="1359"/>
      <c r="F281" s="1359"/>
      <c r="G281" s="1359"/>
      <c r="H281" s="1359"/>
      <c r="I281" s="1359"/>
      <c r="J281" s="1359"/>
      <c r="K281" s="1359"/>
      <c r="L281" s="1359"/>
      <c r="M281" s="1359"/>
      <c r="N281" s="1359"/>
      <c r="O281" s="1359"/>
      <c r="P281" s="1359"/>
    </row>
    <row r="282">
      <c r="A282" s="1359"/>
      <c r="B282" s="1359"/>
      <c r="C282" s="1359"/>
      <c r="D282" s="1359"/>
      <c r="E282" s="1359"/>
      <c r="F282" s="1359"/>
      <c r="G282" s="1359"/>
      <c r="H282" s="1359"/>
      <c r="I282" s="1359"/>
      <c r="J282" s="1359"/>
      <c r="K282" s="1359"/>
      <c r="L282" s="1359"/>
      <c r="M282" s="1359"/>
      <c r="N282" s="1359"/>
      <c r="O282" s="1359"/>
      <c r="P282" s="1359"/>
    </row>
    <row r="283">
      <c r="A283" s="1359"/>
      <c r="B283" s="1359"/>
      <c r="C283" s="1359"/>
      <c r="D283" s="1359"/>
      <c r="E283" s="1359"/>
      <c r="F283" s="1359"/>
      <c r="G283" s="1359"/>
      <c r="H283" s="1359"/>
      <c r="I283" s="1359"/>
      <c r="J283" s="1359"/>
      <c r="K283" s="1359"/>
      <c r="L283" s="1359"/>
      <c r="M283" s="1359"/>
      <c r="N283" s="1359"/>
      <c r="O283" s="1359"/>
      <c r="P283" s="1359"/>
    </row>
    <row r="284">
      <c r="A284" s="1359"/>
      <c r="B284" s="1359"/>
      <c r="C284" s="1359"/>
      <c r="D284" s="1359"/>
      <c r="E284" s="1359"/>
      <c r="F284" s="1359"/>
      <c r="G284" s="1359"/>
      <c r="H284" s="1359"/>
      <c r="I284" s="1359"/>
      <c r="J284" s="1359"/>
      <c r="K284" s="1359"/>
      <c r="L284" s="1359"/>
      <c r="M284" s="1359"/>
      <c r="N284" s="1359"/>
      <c r="O284" s="1359"/>
      <c r="P284" s="1359"/>
    </row>
    <row r="285">
      <c r="A285" s="1359"/>
      <c r="B285" s="1359"/>
      <c r="C285" s="1359"/>
      <c r="D285" s="1359"/>
      <c r="E285" s="1359"/>
      <c r="F285" s="1359"/>
      <c r="G285" s="1359"/>
      <c r="H285" s="1359"/>
      <c r="I285" s="1359"/>
      <c r="J285" s="1359"/>
      <c r="K285" s="1359"/>
      <c r="L285" s="1359"/>
      <c r="M285" s="1359"/>
      <c r="N285" s="1359"/>
      <c r="O285" s="1359"/>
      <c r="P285" s="1359"/>
    </row>
    <row r="286">
      <c r="A286" s="1359"/>
      <c r="B286" s="1359"/>
      <c r="C286" s="1359"/>
      <c r="D286" s="1359"/>
      <c r="E286" s="1359"/>
      <c r="F286" s="1359"/>
      <c r="G286" s="1359"/>
      <c r="H286" s="1359"/>
      <c r="I286" s="1359"/>
      <c r="J286" s="1359"/>
      <c r="K286" s="1359"/>
      <c r="L286" s="1359"/>
      <c r="M286" s="1359"/>
      <c r="N286" s="1359"/>
      <c r="O286" s="1359"/>
      <c r="P286" s="1359"/>
    </row>
    <row r="287">
      <c r="A287" s="1359"/>
      <c r="B287" s="1359"/>
      <c r="C287" s="1359"/>
      <c r="D287" s="1359"/>
      <c r="E287" s="1359"/>
      <c r="F287" s="1359"/>
      <c r="G287" s="1359"/>
      <c r="H287" s="1359"/>
      <c r="I287" s="1359"/>
      <c r="J287" s="1359"/>
      <c r="K287" s="1359"/>
      <c r="L287" s="1359"/>
      <c r="M287" s="1359"/>
      <c r="N287" s="1359"/>
      <c r="O287" s="1359"/>
      <c r="P287" s="1359"/>
    </row>
    <row r="288">
      <c r="A288" s="1359"/>
      <c r="B288" s="1359"/>
      <c r="C288" s="1359"/>
      <c r="D288" s="1359"/>
      <c r="E288" s="1359"/>
      <c r="F288" s="1359"/>
      <c r="G288" s="1359"/>
      <c r="H288" s="1359"/>
      <c r="I288" s="1359"/>
      <c r="J288" s="1359"/>
      <c r="K288" s="1359"/>
      <c r="L288" s="1359"/>
      <c r="M288" s="1359"/>
      <c r="N288" s="1359"/>
      <c r="O288" s="1359"/>
      <c r="P288" s="1359"/>
    </row>
    <row r="289">
      <c r="A289" s="1359"/>
      <c r="B289" s="1359"/>
      <c r="C289" s="1359"/>
      <c r="D289" s="1359"/>
      <c r="E289" s="1359"/>
      <c r="F289" s="1359"/>
      <c r="G289" s="1359"/>
      <c r="H289" s="1359"/>
      <c r="I289" s="1359"/>
      <c r="J289" s="1359"/>
      <c r="K289" s="1359"/>
      <c r="L289" s="1359"/>
      <c r="M289" s="1359"/>
      <c r="N289" s="1359"/>
      <c r="O289" s="1359"/>
      <c r="P289" s="1359"/>
    </row>
    <row r="290">
      <c r="A290" s="1359"/>
      <c r="B290" s="1359"/>
      <c r="C290" s="1359"/>
      <c r="D290" s="1359"/>
      <c r="E290" s="1359"/>
      <c r="F290" s="1359"/>
      <c r="G290" s="1359"/>
      <c r="H290" s="1359"/>
      <c r="I290" s="1359"/>
      <c r="J290" s="1359"/>
      <c r="K290" s="1359"/>
      <c r="L290" s="1359"/>
      <c r="M290" s="1359"/>
      <c r="N290" s="1359"/>
      <c r="O290" s="1359"/>
      <c r="P290" s="1359"/>
    </row>
    <row r="291">
      <c r="A291" s="1359"/>
      <c r="B291" s="1359"/>
      <c r="C291" s="1359"/>
      <c r="D291" s="1359"/>
      <c r="E291" s="1359"/>
      <c r="F291" s="1359"/>
      <c r="G291" s="1359"/>
      <c r="H291" s="1359"/>
      <c r="I291" s="1359"/>
      <c r="J291" s="1359"/>
      <c r="K291" s="1359"/>
      <c r="L291" s="1359"/>
      <c r="M291" s="1359"/>
      <c r="N291" s="1359"/>
      <c r="O291" s="1359"/>
      <c r="P291" s="1359"/>
    </row>
    <row r="292">
      <c r="A292" s="1359"/>
      <c r="B292" s="1359"/>
      <c r="C292" s="1359"/>
      <c r="D292" s="1359"/>
      <c r="E292" s="1359"/>
      <c r="F292" s="1359"/>
      <c r="G292" s="1359"/>
      <c r="H292" s="1359"/>
      <c r="I292" s="1359"/>
      <c r="J292" s="1359"/>
      <c r="K292" s="1359"/>
      <c r="L292" s="1359"/>
      <c r="M292" s="1359"/>
      <c r="N292" s="1359"/>
      <c r="O292" s="1359"/>
      <c r="P292" s="1359"/>
    </row>
    <row r="293">
      <c r="A293" s="1359"/>
      <c r="B293" s="1359"/>
      <c r="C293" s="1359"/>
      <c r="D293" s="1359"/>
      <c r="E293" s="1359"/>
      <c r="F293" s="1359"/>
      <c r="G293" s="1359"/>
      <c r="H293" s="1359"/>
      <c r="I293" s="1359"/>
      <c r="J293" s="1359"/>
      <c r="K293" s="1359"/>
      <c r="L293" s="1359"/>
      <c r="M293" s="1359"/>
      <c r="N293" s="1359"/>
      <c r="O293" s="1359"/>
      <c r="P293" s="1359"/>
    </row>
    <row r="294">
      <c r="A294" s="1359"/>
      <c r="B294" s="1359"/>
      <c r="C294" s="1359"/>
      <c r="D294" s="1359"/>
      <c r="E294" s="1359"/>
      <c r="F294" s="1359"/>
      <c r="G294" s="1359"/>
      <c r="H294" s="1359"/>
      <c r="I294" s="1359"/>
      <c r="J294" s="1359"/>
      <c r="K294" s="1359"/>
      <c r="L294" s="1359"/>
      <c r="M294" s="1359"/>
      <c r="N294" s="1359"/>
      <c r="O294" s="1359"/>
      <c r="P294" s="1359"/>
    </row>
    <row r="295">
      <c r="A295" s="1359"/>
      <c r="B295" s="1359"/>
      <c r="C295" s="1359"/>
      <c r="D295" s="1359"/>
      <c r="E295" s="1359"/>
      <c r="F295" s="1359"/>
      <c r="G295" s="1359"/>
      <c r="H295" s="1359"/>
      <c r="I295" s="1359"/>
      <c r="J295" s="1359"/>
      <c r="K295" s="1359"/>
      <c r="L295" s="1359"/>
      <c r="M295" s="1359"/>
      <c r="N295" s="1359"/>
      <c r="O295" s="1359"/>
      <c r="P295" s="1359"/>
    </row>
    <row r="296">
      <c r="A296" s="1359"/>
      <c r="B296" s="1359"/>
      <c r="C296" s="1359"/>
      <c r="D296" s="1359"/>
      <c r="E296" s="1359"/>
      <c r="F296" s="1359"/>
      <c r="G296" s="1359"/>
      <c r="H296" s="1359"/>
      <c r="I296" s="1359"/>
      <c r="J296" s="1359"/>
      <c r="K296" s="1359"/>
      <c r="L296" s="1359"/>
      <c r="M296" s="1359"/>
      <c r="N296" s="1359"/>
      <c r="O296" s="1359"/>
      <c r="P296" s="1359"/>
    </row>
    <row r="297">
      <c r="A297" s="1359"/>
      <c r="B297" s="1359"/>
      <c r="C297" s="1359"/>
      <c r="D297" s="1359"/>
      <c r="E297" s="1359"/>
      <c r="F297" s="1359"/>
      <c r="G297" s="1359"/>
      <c r="H297" s="1359"/>
      <c r="I297" s="1359"/>
      <c r="J297" s="1359"/>
      <c r="K297" s="1359"/>
      <c r="L297" s="1359"/>
      <c r="M297" s="1359"/>
      <c r="N297" s="1359"/>
      <c r="O297" s="1359"/>
      <c r="P297" s="1359"/>
    </row>
    <row r="298">
      <c r="A298" s="1359"/>
      <c r="B298" s="1359"/>
      <c r="C298" s="1359"/>
      <c r="D298" s="1359"/>
      <c r="E298" s="1359"/>
      <c r="F298" s="1359"/>
      <c r="G298" s="1359"/>
      <c r="H298" s="1359"/>
      <c r="I298" s="1359"/>
      <c r="J298" s="1359"/>
      <c r="K298" s="1359"/>
      <c r="L298" s="1359"/>
      <c r="M298" s="1359"/>
      <c r="N298" s="1359"/>
      <c r="O298" s="1359"/>
      <c r="P298" s="1359"/>
    </row>
    <row r="299">
      <c r="A299" s="1359"/>
      <c r="B299" s="1359"/>
      <c r="C299" s="1359"/>
      <c r="D299" s="1359"/>
      <c r="E299" s="1359"/>
      <c r="F299" s="1359"/>
      <c r="G299" s="1359"/>
      <c r="H299" s="1359"/>
      <c r="I299" s="1359"/>
      <c r="J299" s="1359"/>
      <c r="K299" s="1359"/>
      <c r="L299" s="1359"/>
      <c r="M299" s="1359"/>
      <c r="N299" s="1359"/>
      <c r="O299" s="1359"/>
      <c r="P299" s="1359"/>
    </row>
    <row r="300">
      <c r="A300" s="1359"/>
      <c r="B300" s="1359"/>
      <c r="C300" s="1359"/>
      <c r="D300" s="1359"/>
      <c r="E300" s="1359"/>
      <c r="F300" s="1359"/>
      <c r="G300" s="1359"/>
      <c r="H300" s="1359"/>
      <c r="I300" s="1359"/>
      <c r="J300" s="1359"/>
      <c r="K300" s="1359"/>
      <c r="L300" s="1359"/>
      <c r="M300" s="1359"/>
      <c r="N300" s="1359"/>
      <c r="O300" s="1359"/>
      <c r="P300" s="1359"/>
    </row>
    <row r="301">
      <c r="A301" s="1359"/>
      <c r="B301" s="1359"/>
      <c r="C301" s="1359"/>
      <c r="D301" s="1359"/>
      <c r="E301" s="1359"/>
      <c r="F301" s="1359"/>
      <c r="G301" s="1359"/>
      <c r="H301" s="1359"/>
      <c r="I301" s="1359"/>
      <c r="J301" s="1359"/>
      <c r="K301" s="1359"/>
      <c r="L301" s="1359"/>
      <c r="M301" s="1359"/>
      <c r="N301" s="1359"/>
      <c r="O301" s="1359"/>
      <c r="P301" s="1359"/>
    </row>
    <row r="302">
      <c r="A302" s="1359"/>
      <c r="B302" s="1359"/>
      <c r="C302" s="1359"/>
      <c r="D302" s="1359"/>
      <c r="E302" s="1359"/>
      <c r="F302" s="1359"/>
      <c r="G302" s="1359"/>
      <c r="H302" s="1359"/>
      <c r="I302" s="1359"/>
      <c r="J302" s="1359"/>
      <c r="K302" s="1359"/>
      <c r="L302" s="1359"/>
      <c r="M302" s="1359"/>
      <c r="N302" s="1359"/>
      <c r="O302" s="1359"/>
      <c r="P302" s="1359"/>
    </row>
    <row r="303">
      <c r="A303" s="1359"/>
      <c r="B303" s="1359"/>
      <c r="C303" s="1359"/>
      <c r="D303" s="1359"/>
      <c r="E303" s="1359"/>
      <c r="F303" s="1359"/>
      <c r="G303" s="1359"/>
      <c r="H303" s="1359"/>
      <c r="I303" s="1359"/>
      <c r="J303" s="1359"/>
      <c r="K303" s="1359"/>
      <c r="L303" s="1359"/>
      <c r="M303" s="1359"/>
      <c r="N303" s="1359"/>
      <c r="O303" s="1359"/>
      <c r="P303" s="1359"/>
    </row>
    <row r="304">
      <c r="A304" s="1359"/>
      <c r="B304" s="1359"/>
      <c r="C304" s="1359"/>
      <c r="D304" s="1359"/>
      <c r="E304" s="1359"/>
      <c r="F304" s="1359"/>
      <c r="G304" s="1359"/>
      <c r="H304" s="1359"/>
      <c r="I304" s="1359"/>
      <c r="J304" s="1359"/>
      <c r="K304" s="1359"/>
      <c r="L304" s="1359"/>
      <c r="M304" s="1359"/>
      <c r="N304" s="1359"/>
      <c r="O304" s="1359"/>
      <c r="P304" s="1359"/>
    </row>
    <row r="305">
      <c r="A305" s="1359"/>
      <c r="B305" s="1359"/>
      <c r="C305" s="1359"/>
      <c r="D305" s="1359"/>
      <c r="E305" s="1359"/>
      <c r="F305" s="1359"/>
      <c r="G305" s="1359"/>
      <c r="H305" s="1359"/>
      <c r="I305" s="1359"/>
      <c r="J305" s="1359"/>
      <c r="K305" s="1359"/>
      <c r="L305" s="1359"/>
      <c r="M305" s="1359"/>
      <c r="N305" s="1359"/>
      <c r="O305" s="1359"/>
      <c r="P305" s="1359"/>
    </row>
    <row r="306">
      <c r="A306" s="1359"/>
      <c r="B306" s="1359"/>
      <c r="C306" s="1359"/>
      <c r="D306" s="1359"/>
      <c r="E306" s="1359"/>
      <c r="F306" s="1359"/>
      <c r="G306" s="1359"/>
      <c r="H306" s="1359"/>
      <c r="I306" s="1359"/>
      <c r="J306" s="1359"/>
      <c r="K306" s="1359"/>
      <c r="L306" s="1359"/>
      <c r="M306" s="1359"/>
      <c r="N306" s="1359"/>
      <c r="O306" s="1359"/>
      <c r="P306" s="1359"/>
    </row>
    <row r="307">
      <c r="A307" s="1359"/>
      <c r="B307" s="1359"/>
      <c r="C307" s="1359"/>
      <c r="D307" s="1359"/>
      <c r="E307" s="1359"/>
      <c r="F307" s="1359"/>
      <c r="G307" s="1359"/>
      <c r="H307" s="1359"/>
      <c r="I307" s="1359"/>
      <c r="J307" s="1359"/>
      <c r="K307" s="1359"/>
      <c r="L307" s="1359"/>
      <c r="M307" s="1359"/>
      <c r="N307" s="1359"/>
      <c r="O307" s="1359"/>
      <c r="P307" s="1359"/>
    </row>
    <row r="308">
      <c r="A308" s="1359"/>
      <c r="B308" s="1359"/>
      <c r="C308" s="1359"/>
      <c r="D308" s="1359"/>
      <c r="E308" s="1359"/>
      <c r="F308" s="1359"/>
      <c r="G308" s="1359"/>
      <c r="H308" s="1359"/>
      <c r="I308" s="1359"/>
      <c r="J308" s="1359"/>
      <c r="K308" s="1359"/>
      <c r="L308" s="1359"/>
      <c r="M308" s="1359"/>
      <c r="N308" s="1359"/>
      <c r="O308" s="1359"/>
      <c r="P308" s="1359"/>
    </row>
    <row r="309">
      <c r="A309" s="1359"/>
      <c r="B309" s="1359"/>
      <c r="C309" s="1359"/>
      <c r="D309" s="1359"/>
      <c r="E309" s="1359"/>
      <c r="F309" s="1359"/>
      <c r="G309" s="1359"/>
      <c r="H309" s="1359"/>
      <c r="I309" s="1359"/>
      <c r="J309" s="1359"/>
      <c r="K309" s="1359"/>
      <c r="L309" s="1359"/>
      <c r="M309" s="1359"/>
      <c r="N309" s="1359"/>
      <c r="O309" s="1359"/>
      <c r="P309" s="1359"/>
    </row>
    <row r="310">
      <c r="A310" s="1359"/>
      <c r="B310" s="1359"/>
      <c r="C310" s="1359"/>
      <c r="D310" s="1359"/>
      <c r="E310" s="1359"/>
      <c r="F310" s="1359"/>
      <c r="G310" s="1359"/>
      <c r="H310" s="1359"/>
      <c r="I310" s="1359"/>
      <c r="J310" s="1359"/>
      <c r="K310" s="1359"/>
      <c r="L310" s="1359"/>
      <c r="M310" s="1359"/>
      <c r="N310" s="1359"/>
      <c r="O310" s="1359"/>
      <c r="P310" s="1359"/>
    </row>
    <row r="311">
      <c r="A311" s="1359"/>
      <c r="B311" s="1359"/>
      <c r="C311" s="1359"/>
      <c r="D311" s="1359"/>
      <c r="E311" s="1359"/>
      <c r="F311" s="1359"/>
      <c r="G311" s="1359"/>
      <c r="H311" s="1359"/>
      <c r="I311" s="1359"/>
      <c r="J311" s="1359"/>
      <c r="K311" s="1359"/>
      <c r="L311" s="1359"/>
      <c r="M311" s="1359"/>
      <c r="N311" s="1359"/>
      <c r="O311" s="1359"/>
      <c r="P311" s="1359"/>
    </row>
    <row r="312">
      <c r="A312" s="1359"/>
      <c r="B312" s="1359"/>
      <c r="C312" s="1359"/>
      <c r="D312" s="1359"/>
      <c r="E312" s="1359"/>
      <c r="F312" s="1359"/>
      <c r="G312" s="1359"/>
      <c r="H312" s="1359"/>
      <c r="I312" s="1359"/>
      <c r="J312" s="1359"/>
      <c r="K312" s="1359"/>
      <c r="L312" s="1359"/>
      <c r="M312" s="1359"/>
      <c r="N312" s="1359"/>
      <c r="O312" s="1359"/>
      <c r="P312" s="1359"/>
    </row>
    <row r="313">
      <c r="A313" s="1359"/>
      <c r="B313" s="1359"/>
      <c r="C313" s="1359"/>
      <c r="D313" s="1359"/>
      <c r="E313" s="1359"/>
      <c r="F313" s="1359"/>
      <c r="G313" s="1359"/>
      <c r="H313" s="1359"/>
      <c r="I313" s="1359"/>
      <c r="J313" s="1359"/>
      <c r="K313" s="1359"/>
      <c r="L313" s="1359"/>
      <c r="M313" s="1359"/>
      <c r="N313" s="1359"/>
      <c r="O313" s="1359"/>
      <c r="P313" s="1359"/>
    </row>
    <row r="314">
      <c r="A314" s="1359"/>
      <c r="B314" s="1359"/>
      <c r="C314" s="1359"/>
      <c r="D314" s="1359"/>
      <c r="E314" s="1359"/>
      <c r="F314" s="1359"/>
      <c r="G314" s="1359"/>
      <c r="H314" s="1359"/>
      <c r="I314" s="1359"/>
      <c r="J314" s="1359"/>
      <c r="K314" s="1359"/>
      <c r="L314" s="1359"/>
      <c r="M314" s="1359"/>
      <c r="N314" s="1359"/>
      <c r="O314" s="1359"/>
      <c r="P314" s="1359"/>
    </row>
    <row r="315">
      <c r="A315" s="1359"/>
      <c r="B315" s="1359"/>
      <c r="C315" s="1359"/>
      <c r="D315" s="1359"/>
      <c r="E315" s="1359"/>
      <c r="F315" s="1359"/>
      <c r="G315" s="1359"/>
      <c r="H315" s="1359"/>
      <c r="I315" s="1359"/>
      <c r="J315" s="1359"/>
      <c r="K315" s="1359"/>
      <c r="L315" s="1359"/>
      <c r="M315" s="1359"/>
      <c r="N315" s="1359"/>
      <c r="O315" s="1359"/>
      <c r="P315" s="1359"/>
    </row>
    <row r="316">
      <c r="A316" s="1359"/>
      <c r="B316" s="1359"/>
      <c r="C316" s="1359"/>
      <c r="D316" s="1359"/>
      <c r="E316" s="1359"/>
      <c r="F316" s="1359"/>
      <c r="G316" s="1359"/>
      <c r="H316" s="1359"/>
      <c r="I316" s="1359"/>
      <c r="J316" s="1359"/>
      <c r="K316" s="1359"/>
      <c r="L316" s="1359"/>
      <c r="M316" s="1359"/>
      <c r="N316" s="1359"/>
      <c r="O316" s="1359"/>
      <c r="P316" s="1359"/>
    </row>
    <row r="317">
      <c r="A317" s="1359"/>
      <c r="B317" s="1359"/>
      <c r="C317" s="1359"/>
      <c r="D317" s="1359"/>
      <c r="E317" s="1359"/>
      <c r="F317" s="1359"/>
      <c r="G317" s="1359"/>
      <c r="H317" s="1359"/>
      <c r="I317" s="1359"/>
      <c r="J317" s="1359"/>
      <c r="K317" s="1359"/>
      <c r="L317" s="1359"/>
      <c r="M317" s="1359"/>
      <c r="N317" s="1359"/>
      <c r="O317" s="1359"/>
      <c r="P317" s="1359"/>
    </row>
    <row r="318">
      <c r="A318" s="1359"/>
      <c r="B318" s="1359"/>
      <c r="C318" s="1359"/>
      <c r="D318" s="1359"/>
      <c r="E318" s="1359"/>
      <c r="F318" s="1359"/>
      <c r="G318" s="1359"/>
      <c r="H318" s="1359"/>
      <c r="I318" s="1359"/>
      <c r="J318" s="1359"/>
      <c r="K318" s="1359"/>
      <c r="L318" s="1359"/>
      <c r="M318" s="1359"/>
      <c r="N318" s="1359"/>
      <c r="O318" s="1359"/>
      <c r="P318" s="1359"/>
    </row>
    <row r="319">
      <c r="A319" s="1359"/>
      <c r="B319" s="1359"/>
      <c r="C319" s="1359"/>
      <c r="D319" s="1359"/>
      <c r="E319" s="1359"/>
      <c r="F319" s="1359"/>
      <c r="G319" s="1359"/>
      <c r="H319" s="1359"/>
      <c r="I319" s="1359"/>
      <c r="J319" s="1359"/>
      <c r="K319" s="1359"/>
      <c r="L319" s="1359"/>
      <c r="M319" s="1359"/>
      <c r="N319" s="1359"/>
      <c r="O319" s="1359"/>
      <c r="P319" s="1359"/>
    </row>
    <row r="320">
      <c r="A320" s="1359"/>
      <c r="B320" s="1359"/>
      <c r="C320" s="1359"/>
      <c r="D320" s="1359"/>
      <c r="E320" s="1359"/>
      <c r="F320" s="1359"/>
      <c r="G320" s="1359"/>
      <c r="H320" s="1359"/>
      <c r="I320" s="1359"/>
      <c r="J320" s="1359"/>
      <c r="K320" s="1359"/>
      <c r="L320" s="1359"/>
      <c r="M320" s="1359"/>
      <c r="N320" s="1359"/>
      <c r="O320" s="1359"/>
      <c r="P320" s="1359"/>
    </row>
    <row r="321">
      <c r="A321" s="1359"/>
      <c r="B321" s="1359"/>
      <c r="C321" s="1359"/>
      <c r="D321" s="1359"/>
      <c r="E321" s="1359"/>
      <c r="F321" s="1359"/>
      <c r="G321" s="1359"/>
      <c r="H321" s="1359"/>
      <c r="I321" s="1359"/>
      <c r="J321" s="1359"/>
      <c r="K321" s="1359"/>
      <c r="L321" s="1359"/>
      <c r="M321" s="1359"/>
      <c r="N321" s="1359"/>
      <c r="O321" s="1359"/>
      <c r="P321" s="1359"/>
    </row>
    <row r="322">
      <c r="A322" s="1359"/>
      <c r="B322" s="1359"/>
      <c r="C322" s="1359"/>
      <c r="D322" s="1359"/>
      <c r="E322" s="1359"/>
      <c r="F322" s="1359"/>
      <c r="G322" s="1359"/>
      <c r="H322" s="1359"/>
      <c r="I322" s="1359"/>
      <c r="J322" s="1359"/>
      <c r="K322" s="1359"/>
      <c r="L322" s="1359"/>
      <c r="M322" s="1359"/>
      <c r="N322" s="1359"/>
      <c r="O322" s="1359"/>
      <c r="P322" s="1359"/>
    </row>
    <row r="323">
      <c r="A323" s="1359"/>
      <c r="B323" s="1359"/>
      <c r="C323" s="1359"/>
      <c r="D323" s="1359"/>
      <c r="E323" s="1359"/>
      <c r="F323" s="1359"/>
      <c r="G323" s="1359"/>
      <c r="H323" s="1359"/>
      <c r="I323" s="1359"/>
      <c r="J323" s="1359"/>
      <c r="K323" s="1359"/>
      <c r="L323" s="1359"/>
      <c r="M323" s="1359"/>
      <c r="N323" s="1359"/>
      <c r="O323" s="1359"/>
      <c r="P323" s="1359"/>
    </row>
    <row r="324">
      <c r="A324" s="1359"/>
      <c r="B324" s="1359"/>
      <c r="C324" s="1359"/>
      <c r="D324" s="1359"/>
      <c r="E324" s="1359"/>
      <c r="F324" s="1359"/>
      <c r="G324" s="1359"/>
      <c r="H324" s="1359"/>
      <c r="I324" s="1359"/>
      <c r="J324" s="1359"/>
      <c r="K324" s="1359"/>
      <c r="L324" s="1359"/>
      <c r="M324" s="1359"/>
      <c r="N324" s="1359"/>
      <c r="O324" s="1359"/>
      <c r="P324" s="1359"/>
    </row>
    <row r="325">
      <c r="A325" s="1359"/>
      <c r="B325" s="1359"/>
      <c r="C325" s="1359"/>
      <c r="D325" s="1359"/>
      <c r="E325" s="1359"/>
      <c r="F325" s="1359"/>
      <c r="G325" s="1359"/>
      <c r="H325" s="1359"/>
      <c r="I325" s="1359"/>
      <c r="J325" s="1359"/>
      <c r="K325" s="1359"/>
      <c r="L325" s="1359"/>
      <c r="M325" s="1359"/>
      <c r="N325" s="1359"/>
      <c r="O325" s="1359"/>
      <c r="P325" s="1359"/>
    </row>
    <row r="326">
      <c r="A326" s="1359"/>
      <c r="B326" s="1359"/>
      <c r="C326" s="1359"/>
      <c r="D326" s="1359"/>
      <c r="E326" s="1359"/>
      <c r="F326" s="1359"/>
      <c r="G326" s="1359"/>
      <c r="H326" s="1359"/>
      <c r="I326" s="1359"/>
      <c r="J326" s="1359"/>
      <c r="K326" s="1359"/>
      <c r="L326" s="1359"/>
      <c r="M326" s="1359"/>
      <c r="N326" s="1359"/>
      <c r="O326" s="1359"/>
      <c r="P326" s="1359"/>
    </row>
    <row r="327">
      <c r="A327" s="1359"/>
      <c r="B327" s="1359"/>
      <c r="C327" s="1359"/>
      <c r="D327" s="1359"/>
      <c r="E327" s="1359"/>
      <c r="F327" s="1359"/>
      <c r="G327" s="1359"/>
      <c r="H327" s="1359"/>
      <c r="I327" s="1359"/>
      <c r="J327" s="1359"/>
      <c r="K327" s="1359"/>
      <c r="L327" s="1359"/>
      <c r="M327" s="1359"/>
      <c r="N327" s="1359"/>
      <c r="O327" s="1359"/>
      <c r="P327" s="1359"/>
    </row>
    <row r="328">
      <c r="A328" s="1359"/>
      <c r="B328" s="1359"/>
      <c r="C328" s="1359"/>
      <c r="D328" s="1359"/>
      <c r="E328" s="1359"/>
      <c r="F328" s="1359"/>
      <c r="G328" s="1359"/>
      <c r="H328" s="1359"/>
      <c r="I328" s="1359"/>
      <c r="J328" s="1359"/>
      <c r="K328" s="1359"/>
      <c r="L328" s="1359"/>
      <c r="M328" s="1359"/>
      <c r="N328" s="1359"/>
      <c r="O328" s="1359"/>
      <c r="P328" s="1359"/>
    </row>
    <row r="329">
      <c r="A329" s="1359"/>
      <c r="B329" s="1359"/>
      <c r="C329" s="1359"/>
      <c r="D329" s="1359"/>
      <c r="E329" s="1359"/>
      <c r="F329" s="1359"/>
      <c r="G329" s="1359"/>
      <c r="H329" s="1359"/>
      <c r="I329" s="1359"/>
      <c r="J329" s="1359"/>
      <c r="K329" s="1359"/>
      <c r="L329" s="1359"/>
      <c r="M329" s="1359"/>
      <c r="N329" s="1359"/>
      <c r="O329" s="1359"/>
      <c r="P329" s="1359"/>
    </row>
    <row r="330">
      <c r="A330" s="1359"/>
      <c r="B330" s="1359"/>
      <c r="C330" s="1359"/>
      <c r="D330" s="1359"/>
      <c r="E330" s="1359"/>
      <c r="F330" s="1359"/>
      <c r="G330" s="1359"/>
      <c r="H330" s="1359"/>
      <c r="I330" s="1359"/>
      <c r="J330" s="1359"/>
      <c r="K330" s="1359"/>
      <c r="L330" s="1359"/>
      <c r="M330" s="1359"/>
      <c r="N330" s="1359"/>
      <c r="O330" s="1359"/>
      <c r="P330" s="1359"/>
    </row>
    <row r="331">
      <c r="A331" s="1359"/>
      <c r="B331" s="1359"/>
      <c r="C331" s="1359"/>
      <c r="D331" s="1359"/>
      <c r="E331" s="1359"/>
      <c r="F331" s="1359"/>
      <c r="G331" s="1359"/>
      <c r="H331" s="1359"/>
      <c r="I331" s="1359"/>
      <c r="J331" s="1359"/>
      <c r="K331" s="1359"/>
      <c r="L331" s="1359"/>
      <c r="M331" s="1359"/>
      <c r="N331" s="1359"/>
      <c r="O331" s="1359"/>
      <c r="P331" s="1359"/>
    </row>
    <row r="332">
      <c r="A332" s="1359"/>
      <c r="B332" s="1359"/>
      <c r="C332" s="1359"/>
      <c r="D332" s="1359"/>
      <c r="E332" s="1359"/>
      <c r="F332" s="1359"/>
      <c r="G332" s="1359"/>
      <c r="H332" s="1359"/>
      <c r="I332" s="1359"/>
      <c r="J332" s="1359"/>
      <c r="K332" s="1359"/>
      <c r="L332" s="1359"/>
      <c r="M332" s="1359"/>
      <c r="N332" s="1359"/>
      <c r="O332" s="1359"/>
      <c r="P332" s="1359"/>
    </row>
    <row r="333">
      <c r="A333" s="1359"/>
      <c r="B333" s="1359"/>
      <c r="C333" s="1359"/>
      <c r="D333" s="1359"/>
      <c r="E333" s="1359"/>
      <c r="F333" s="1359"/>
      <c r="G333" s="1359"/>
      <c r="H333" s="1359"/>
      <c r="I333" s="1359"/>
      <c r="J333" s="1359"/>
      <c r="K333" s="1359"/>
      <c r="L333" s="1359"/>
      <c r="M333" s="1359"/>
      <c r="N333" s="1359"/>
      <c r="O333" s="1359"/>
      <c r="P333" s="1359"/>
    </row>
    <row r="334">
      <c r="A334" s="1359"/>
      <c r="B334" s="1359"/>
      <c r="C334" s="1359"/>
      <c r="D334" s="1359"/>
      <c r="E334" s="1359"/>
      <c r="F334" s="1359"/>
      <c r="G334" s="1359"/>
      <c r="H334" s="1359"/>
      <c r="I334" s="1359"/>
      <c r="J334" s="1359"/>
      <c r="K334" s="1359"/>
      <c r="L334" s="1359"/>
      <c r="M334" s="1359"/>
      <c r="N334" s="1359"/>
      <c r="O334" s="1359"/>
      <c r="P334" s="1359"/>
    </row>
    <row r="335">
      <c r="A335" s="1359"/>
      <c r="B335" s="1359"/>
      <c r="C335" s="1359"/>
      <c r="D335" s="1359"/>
      <c r="E335" s="1359"/>
      <c r="F335" s="1359"/>
      <c r="G335" s="1359"/>
      <c r="H335" s="1359"/>
      <c r="I335" s="1359"/>
      <c r="J335" s="1359"/>
      <c r="K335" s="1359"/>
      <c r="L335" s="1359"/>
      <c r="M335" s="1359"/>
      <c r="N335" s="1359"/>
      <c r="O335" s="1359"/>
      <c r="P335" s="1359"/>
    </row>
    <row r="336">
      <c r="A336" s="1359"/>
      <c r="B336" s="1359"/>
      <c r="C336" s="1359"/>
      <c r="D336" s="1359"/>
      <c r="E336" s="1359"/>
      <c r="F336" s="1359"/>
      <c r="G336" s="1359"/>
      <c r="H336" s="1359"/>
      <c r="I336" s="1359"/>
      <c r="J336" s="1359"/>
      <c r="K336" s="1359"/>
      <c r="L336" s="1359"/>
      <c r="M336" s="1359"/>
      <c r="N336" s="1359"/>
      <c r="O336" s="1359"/>
      <c r="P336" s="1359"/>
    </row>
    <row r="337">
      <c r="A337" s="1359"/>
      <c r="B337" s="1359"/>
      <c r="C337" s="1359"/>
      <c r="D337" s="1359"/>
      <c r="E337" s="1359"/>
      <c r="F337" s="1359"/>
      <c r="G337" s="1359"/>
      <c r="H337" s="1359"/>
      <c r="I337" s="1359"/>
      <c r="J337" s="1359"/>
      <c r="K337" s="1359"/>
      <c r="L337" s="1359"/>
      <c r="M337" s="1359"/>
      <c r="N337" s="1359"/>
      <c r="O337" s="1359"/>
      <c r="P337" s="1359"/>
    </row>
    <row r="338">
      <c r="A338" s="1359"/>
      <c r="B338" s="1359"/>
      <c r="C338" s="1359"/>
      <c r="D338" s="1359"/>
      <c r="E338" s="1359"/>
      <c r="F338" s="1359"/>
      <c r="G338" s="1359"/>
      <c r="H338" s="1359"/>
      <c r="I338" s="1359"/>
      <c r="J338" s="1359"/>
      <c r="K338" s="1359"/>
      <c r="L338" s="1359"/>
      <c r="M338" s="1359"/>
      <c r="N338" s="1359"/>
      <c r="O338" s="1359"/>
      <c r="P338" s="1359"/>
    </row>
    <row r="339">
      <c r="A339" s="1359"/>
      <c r="B339" s="1359"/>
      <c r="C339" s="1359"/>
      <c r="D339" s="1359"/>
      <c r="E339" s="1359"/>
      <c r="F339" s="1359"/>
      <c r="G339" s="1359"/>
      <c r="H339" s="1359"/>
      <c r="I339" s="1359"/>
      <c r="J339" s="1359"/>
      <c r="K339" s="1359"/>
      <c r="L339" s="1359"/>
      <c r="M339" s="1359"/>
      <c r="N339" s="1359"/>
      <c r="O339" s="1359"/>
      <c r="P339" s="1359"/>
    </row>
    <row r="340">
      <c r="A340" s="1359"/>
      <c r="B340" s="1359"/>
      <c r="C340" s="1359"/>
      <c r="D340" s="1359"/>
      <c r="E340" s="1359"/>
      <c r="F340" s="1359"/>
      <c r="G340" s="1359"/>
      <c r="H340" s="1359"/>
      <c r="I340" s="1359"/>
      <c r="J340" s="1359"/>
      <c r="K340" s="1359"/>
      <c r="L340" s="1359"/>
      <c r="M340" s="1359"/>
      <c r="N340" s="1359"/>
      <c r="O340" s="1359"/>
      <c r="P340" s="1359"/>
    </row>
    <row r="341">
      <c r="A341" s="1359"/>
      <c r="B341" s="1359"/>
      <c r="C341" s="1359"/>
      <c r="D341" s="1359"/>
      <c r="E341" s="1359"/>
      <c r="F341" s="1359"/>
      <c r="G341" s="1359"/>
      <c r="H341" s="1359"/>
      <c r="I341" s="1359"/>
      <c r="J341" s="1359"/>
      <c r="K341" s="1359"/>
      <c r="L341" s="1359"/>
      <c r="M341" s="1359"/>
      <c r="N341" s="1359"/>
      <c r="O341" s="1359"/>
      <c r="P341" s="1359"/>
    </row>
    <row r="342">
      <c r="A342" s="1359"/>
      <c r="B342" s="1359"/>
      <c r="C342" s="1359"/>
      <c r="D342" s="1359"/>
      <c r="E342" s="1359"/>
      <c r="F342" s="1359"/>
      <c r="G342" s="1359"/>
      <c r="H342" s="1359"/>
      <c r="I342" s="1359"/>
      <c r="J342" s="1359"/>
      <c r="K342" s="1359"/>
      <c r="L342" s="1359"/>
      <c r="M342" s="1359"/>
      <c r="N342" s="1359"/>
      <c r="O342" s="1359"/>
      <c r="P342" s="1359"/>
    </row>
    <row r="343">
      <c r="A343" s="1359"/>
      <c r="B343" s="1359"/>
      <c r="C343" s="1359"/>
      <c r="D343" s="1359"/>
      <c r="E343" s="1359"/>
      <c r="F343" s="1359"/>
      <c r="G343" s="1359"/>
      <c r="H343" s="1359"/>
      <c r="I343" s="1359"/>
      <c r="J343" s="1359"/>
      <c r="K343" s="1359"/>
      <c r="L343" s="1359"/>
      <c r="M343" s="1359"/>
      <c r="N343" s="1359"/>
      <c r="O343" s="1359"/>
      <c r="P343" s="1359"/>
    </row>
    <row r="344">
      <c r="A344" s="1359"/>
      <c r="B344" s="1359"/>
      <c r="C344" s="1359"/>
      <c r="D344" s="1359"/>
      <c r="E344" s="1359"/>
      <c r="F344" s="1359"/>
      <c r="G344" s="1359"/>
      <c r="H344" s="1359"/>
      <c r="I344" s="1359"/>
      <c r="J344" s="1359"/>
      <c r="K344" s="1359"/>
      <c r="L344" s="1359"/>
      <c r="M344" s="1359"/>
      <c r="N344" s="1359"/>
      <c r="O344" s="1359"/>
      <c r="P344" s="1359"/>
    </row>
    <row r="345">
      <c r="A345" s="1359"/>
      <c r="B345" s="1359"/>
      <c r="C345" s="1359"/>
      <c r="D345" s="1359"/>
      <c r="E345" s="1359"/>
      <c r="F345" s="1359"/>
      <c r="G345" s="1359"/>
      <c r="H345" s="1359"/>
      <c r="I345" s="1359"/>
      <c r="J345" s="1359"/>
      <c r="K345" s="1359"/>
      <c r="L345" s="1359"/>
      <c r="M345" s="1359"/>
      <c r="N345" s="1359"/>
      <c r="O345" s="1359"/>
      <c r="P345" s="1359"/>
    </row>
    <row r="346">
      <c r="A346" s="1359"/>
      <c r="B346" s="1359"/>
      <c r="C346" s="1359"/>
      <c r="D346" s="1359"/>
      <c r="E346" s="1359"/>
      <c r="F346" s="1359"/>
      <c r="G346" s="1359"/>
      <c r="H346" s="1359"/>
      <c r="I346" s="1359"/>
      <c r="J346" s="1359"/>
      <c r="K346" s="1359"/>
      <c r="L346" s="1359"/>
      <c r="M346" s="1359"/>
      <c r="N346" s="1359"/>
      <c r="O346" s="1359"/>
      <c r="P346" s="1359"/>
    </row>
    <row r="347">
      <c r="A347" s="1359"/>
      <c r="B347" s="1359"/>
      <c r="C347" s="1359"/>
      <c r="D347" s="1359"/>
      <c r="E347" s="1359"/>
      <c r="F347" s="1359"/>
      <c r="G347" s="1359"/>
      <c r="H347" s="1359"/>
      <c r="I347" s="1359"/>
      <c r="J347" s="1359"/>
      <c r="K347" s="1359"/>
      <c r="L347" s="1359"/>
      <c r="M347" s="1359"/>
      <c r="N347" s="1359"/>
      <c r="O347" s="1359"/>
      <c r="P347" s="1359"/>
    </row>
    <row r="348">
      <c r="A348" s="1359"/>
      <c r="B348" s="1359"/>
      <c r="C348" s="1359"/>
      <c r="D348" s="1359"/>
      <c r="E348" s="1359"/>
      <c r="F348" s="1359"/>
      <c r="G348" s="1359"/>
      <c r="H348" s="1359"/>
      <c r="I348" s="1359"/>
      <c r="J348" s="1359"/>
      <c r="K348" s="1359"/>
      <c r="L348" s="1359"/>
      <c r="M348" s="1359"/>
      <c r="N348" s="1359"/>
      <c r="O348" s="1359"/>
      <c r="P348" s="1359"/>
    </row>
    <row r="349">
      <c r="A349" s="1359"/>
      <c r="B349" s="1359"/>
      <c r="C349" s="1359"/>
      <c r="D349" s="1359"/>
      <c r="E349" s="1359"/>
      <c r="F349" s="1359"/>
      <c r="G349" s="1359"/>
      <c r="H349" s="1359"/>
      <c r="I349" s="1359"/>
      <c r="J349" s="1359"/>
      <c r="K349" s="1359"/>
      <c r="L349" s="1359"/>
      <c r="M349" s="1359"/>
      <c r="N349" s="1359"/>
      <c r="O349" s="1359"/>
      <c r="P349" s="1359"/>
    </row>
    <row r="350">
      <c r="A350" s="1359"/>
      <c r="B350" s="1359"/>
      <c r="C350" s="1359"/>
      <c r="D350" s="1359"/>
      <c r="E350" s="1359"/>
      <c r="F350" s="1359"/>
      <c r="G350" s="1359"/>
      <c r="H350" s="1359"/>
      <c r="I350" s="1359"/>
      <c r="J350" s="1359"/>
      <c r="K350" s="1359"/>
      <c r="L350" s="1359"/>
      <c r="M350" s="1359"/>
      <c r="N350" s="1359"/>
      <c r="O350" s="1359"/>
      <c r="P350" s="1359"/>
    </row>
    <row r="351">
      <c r="A351" s="1359"/>
      <c r="B351" s="1359"/>
      <c r="C351" s="1359"/>
      <c r="D351" s="1359"/>
      <c r="E351" s="1359"/>
      <c r="F351" s="1359"/>
      <c r="G351" s="1359"/>
      <c r="H351" s="1359"/>
      <c r="I351" s="1359"/>
      <c r="J351" s="1359"/>
      <c r="K351" s="1359"/>
      <c r="L351" s="1359"/>
      <c r="M351" s="1359"/>
      <c r="N351" s="1359"/>
      <c r="O351" s="1359"/>
      <c r="P351" s="1359"/>
    </row>
    <row r="352">
      <c r="A352" s="1359"/>
      <c r="B352" s="1359"/>
      <c r="C352" s="1359"/>
      <c r="D352" s="1359"/>
      <c r="E352" s="1359"/>
      <c r="F352" s="1359"/>
      <c r="G352" s="1359"/>
      <c r="H352" s="1359"/>
      <c r="I352" s="1359"/>
      <c r="J352" s="1359"/>
      <c r="K352" s="1359"/>
      <c r="L352" s="1359"/>
      <c r="M352" s="1359"/>
      <c r="N352" s="1359"/>
      <c r="O352" s="1359"/>
      <c r="P352" s="1359"/>
    </row>
    <row r="353">
      <c r="A353" s="1359"/>
      <c r="B353" s="1359"/>
      <c r="C353" s="1359"/>
      <c r="D353" s="1359"/>
      <c r="E353" s="1359"/>
      <c r="F353" s="1359"/>
      <c r="G353" s="1359"/>
      <c r="H353" s="1359"/>
      <c r="I353" s="1359"/>
      <c r="J353" s="1359"/>
      <c r="K353" s="1359"/>
      <c r="L353" s="1359"/>
      <c r="M353" s="1359"/>
      <c r="N353" s="1359"/>
      <c r="O353" s="1359"/>
      <c r="P353" s="1359"/>
    </row>
    <row r="354">
      <c r="A354" s="1359"/>
      <c r="B354" s="1359"/>
      <c r="C354" s="1359"/>
      <c r="D354" s="1359"/>
      <c r="E354" s="1359"/>
      <c r="F354" s="1359"/>
      <c r="G354" s="1359"/>
      <c r="H354" s="1359"/>
      <c r="I354" s="1359"/>
      <c r="J354" s="1359"/>
      <c r="K354" s="1359"/>
      <c r="L354" s="1359"/>
      <c r="M354" s="1359"/>
      <c r="N354" s="1359"/>
      <c r="O354" s="1359"/>
      <c r="P354" s="1359"/>
    </row>
    <row r="355">
      <c r="A355" s="1359"/>
      <c r="B355" s="1359"/>
      <c r="C355" s="1359"/>
      <c r="D355" s="1359"/>
      <c r="E355" s="1359"/>
      <c r="F355" s="1359"/>
      <c r="G355" s="1359"/>
      <c r="H355" s="1359"/>
      <c r="I355" s="1359"/>
      <c r="J355" s="1359"/>
      <c r="K355" s="1359"/>
      <c r="L355" s="1359"/>
      <c r="M355" s="1359"/>
      <c r="N355" s="1359"/>
      <c r="O355" s="1359"/>
      <c r="P355" s="1359"/>
    </row>
    <row r="356">
      <c r="A356" s="1359"/>
      <c r="B356" s="1359"/>
      <c r="C356" s="1359"/>
      <c r="D356" s="1359"/>
      <c r="E356" s="1359"/>
      <c r="F356" s="1359"/>
      <c r="G356" s="1359"/>
      <c r="H356" s="1359"/>
      <c r="I356" s="1359"/>
      <c r="J356" s="1359"/>
      <c r="K356" s="1359"/>
      <c r="L356" s="1359"/>
      <c r="M356" s="1359"/>
      <c r="N356" s="1359"/>
      <c r="O356" s="1359"/>
      <c r="P356" s="1359"/>
    </row>
    <row r="357">
      <c r="A357" s="1359"/>
      <c r="B357" s="1359"/>
      <c r="C357" s="1359"/>
      <c r="D357" s="1359"/>
      <c r="E357" s="1359"/>
      <c r="F357" s="1359"/>
      <c r="G357" s="1359"/>
      <c r="H357" s="1359"/>
      <c r="I357" s="1359"/>
      <c r="J357" s="1359"/>
      <c r="K357" s="1359"/>
      <c r="L357" s="1359"/>
      <c r="M357" s="1359"/>
      <c r="N357" s="1359"/>
      <c r="O357" s="1359"/>
      <c r="P357" s="1359"/>
    </row>
    <row r="358">
      <c r="A358" s="1359"/>
      <c r="B358" s="1359"/>
      <c r="C358" s="1359"/>
      <c r="D358" s="1359"/>
      <c r="E358" s="1359"/>
      <c r="F358" s="1359"/>
      <c r="G358" s="1359"/>
      <c r="H358" s="1359"/>
      <c r="I358" s="1359"/>
      <c r="J358" s="1359"/>
      <c r="K358" s="1359"/>
      <c r="L358" s="1359"/>
      <c r="M358" s="1359"/>
      <c r="N358" s="1359"/>
      <c r="O358" s="1359"/>
      <c r="P358" s="1359"/>
    </row>
    <row r="359">
      <c r="A359" s="1359"/>
      <c r="B359" s="1359"/>
      <c r="C359" s="1359"/>
      <c r="D359" s="1359"/>
      <c r="E359" s="1359"/>
      <c r="F359" s="1359"/>
      <c r="G359" s="1359"/>
      <c r="H359" s="1359"/>
      <c r="I359" s="1359"/>
      <c r="J359" s="1359"/>
      <c r="K359" s="1359"/>
      <c r="L359" s="1359"/>
      <c r="M359" s="1359"/>
      <c r="N359" s="1359"/>
      <c r="O359" s="1359"/>
      <c r="P359" s="1359"/>
    </row>
    <row r="360">
      <c r="A360" s="1359"/>
      <c r="B360" s="1359"/>
      <c r="C360" s="1359"/>
      <c r="D360" s="1359"/>
      <c r="E360" s="1359"/>
      <c r="F360" s="1359"/>
      <c r="G360" s="1359"/>
      <c r="H360" s="1359"/>
      <c r="I360" s="1359"/>
      <c r="J360" s="1359"/>
      <c r="K360" s="1359"/>
      <c r="L360" s="1359"/>
      <c r="M360" s="1359"/>
      <c r="N360" s="1359"/>
      <c r="O360" s="1359"/>
      <c r="P360" s="1359"/>
    </row>
    <row r="361">
      <c r="A361" s="1359"/>
      <c r="B361" s="1359"/>
      <c r="C361" s="1359"/>
      <c r="D361" s="1359"/>
      <c r="E361" s="1359"/>
      <c r="F361" s="1359"/>
      <c r="G361" s="1359"/>
      <c r="H361" s="1359"/>
      <c r="I361" s="1359"/>
      <c r="J361" s="1359"/>
      <c r="K361" s="1359"/>
      <c r="L361" s="1359"/>
      <c r="M361" s="1359"/>
      <c r="N361" s="1359"/>
      <c r="O361" s="1359"/>
      <c r="P361" s="1359"/>
    </row>
    <row r="362">
      <c r="A362" s="1359"/>
      <c r="B362" s="1359"/>
      <c r="C362" s="1359"/>
      <c r="D362" s="1359"/>
      <c r="E362" s="1359"/>
      <c r="F362" s="1359"/>
      <c r="G362" s="1359"/>
      <c r="H362" s="1359"/>
      <c r="I362" s="1359"/>
      <c r="J362" s="1359"/>
      <c r="K362" s="1359"/>
      <c r="L362" s="1359"/>
      <c r="M362" s="1359"/>
      <c r="N362" s="1359"/>
      <c r="O362" s="1359"/>
      <c r="P362" s="1359"/>
    </row>
    <row r="363">
      <c r="A363" s="1359"/>
      <c r="B363" s="1359"/>
      <c r="C363" s="1359"/>
      <c r="D363" s="1359"/>
      <c r="E363" s="1359"/>
      <c r="F363" s="1359"/>
      <c r="G363" s="1359"/>
      <c r="H363" s="1359"/>
      <c r="I363" s="1359"/>
      <c r="J363" s="1359"/>
      <c r="K363" s="1359"/>
      <c r="L363" s="1359"/>
      <c r="M363" s="1359"/>
      <c r="N363" s="1359"/>
      <c r="O363" s="1359"/>
      <c r="P363" s="1359"/>
    </row>
    <row r="364">
      <c r="A364" s="1359"/>
      <c r="B364" s="1359"/>
      <c r="C364" s="1359"/>
      <c r="D364" s="1359"/>
      <c r="E364" s="1359"/>
      <c r="F364" s="1359"/>
      <c r="G364" s="1359"/>
      <c r="H364" s="1359"/>
      <c r="I364" s="1359"/>
      <c r="J364" s="1359"/>
      <c r="K364" s="1359"/>
      <c r="L364" s="1359"/>
      <c r="M364" s="1359"/>
      <c r="N364" s="1359"/>
      <c r="O364" s="1359"/>
      <c r="P364" s="1359"/>
    </row>
    <row r="365">
      <c r="A365" s="1359"/>
      <c r="B365" s="1359"/>
      <c r="C365" s="1359"/>
      <c r="D365" s="1359"/>
      <c r="E365" s="1359"/>
      <c r="F365" s="1359"/>
      <c r="G365" s="1359"/>
      <c r="H365" s="1359"/>
      <c r="I365" s="1359"/>
      <c r="J365" s="1359"/>
      <c r="K365" s="1359"/>
      <c r="L365" s="1359"/>
      <c r="M365" s="1359"/>
      <c r="N365" s="1359"/>
      <c r="O365" s="1359"/>
      <c r="P365" s="1359"/>
    </row>
    <row r="366">
      <c r="A366" s="1359"/>
      <c r="B366" s="1359"/>
      <c r="C366" s="1359"/>
      <c r="D366" s="1359"/>
      <c r="E366" s="1359"/>
      <c r="F366" s="1359"/>
      <c r="G366" s="1359"/>
      <c r="H366" s="1359"/>
      <c r="I366" s="1359"/>
      <c r="J366" s="1359"/>
      <c r="K366" s="1359"/>
      <c r="L366" s="1359"/>
      <c r="M366" s="1359"/>
      <c r="N366" s="1359"/>
      <c r="O366" s="1359"/>
      <c r="P366" s="1359"/>
    </row>
    <row r="367">
      <c r="A367" s="1359"/>
      <c r="B367" s="1359"/>
      <c r="C367" s="1359"/>
      <c r="D367" s="1359"/>
      <c r="E367" s="1359"/>
      <c r="F367" s="1359"/>
      <c r="G367" s="1359"/>
      <c r="H367" s="1359"/>
      <c r="I367" s="1359"/>
      <c r="J367" s="1359"/>
      <c r="K367" s="1359"/>
      <c r="L367" s="1359"/>
      <c r="M367" s="1359"/>
      <c r="N367" s="1359"/>
      <c r="O367" s="1359"/>
      <c r="P367" s="1359"/>
    </row>
    <row r="368">
      <c r="A368" s="1359"/>
      <c r="B368" s="1359"/>
      <c r="C368" s="1359"/>
      <c r="D368" s="1359"/>
      <c r="E368" s="1359"/>
      <c r="F368" s="1359"/>
      <c r="G368" s="1359"/>
      <c r="H368" s="1359"/>
      <c r="I368" s="1359"/>
      <c r="J368" s="1359"/>
      <c r="K368" s="1359"/>
      <c r="L368" s="1359"/>
      <c r="M368" s="1359"/>
      <c r="N368" s="1359"/>
      <c r="O368" s="1359"/>
      <c r="P368" s="1359"/>
    </row>
    <row r="369">
      <c r="A369" s="1359"/>
      <c r="B369" s="1359"/>
      <c r="C369" s="1359"/>
      <c r="D369" s="1359"/>
      <c r="E369" s="1359"/>
      <c r="F369" s="1359"/>
      <c r="G369" s="1359"/>
      <c r="H369" s="1359"/>
      <c r="I369" s="1359"/>
      <c r="J369" s="1359"/>
      <c r="K369" s="1359"/>
      <c r="L369" s="1359"/>
      <c r="M369" s="1359"/>
      <c r="N369" s="1359"/>
      <c r="O369" s="1359"/>
      <c r="P369" s="1359"/>
    </row>
    <row r="370">
      <c r="A370" s="1359"/>
      <c r="B370" s="1359"/>
      <c r="C370" s="1359"/>
      <c r="D370" s="1359"/>
      <c r="E370" s="1359"/>
      <c r="F370" s="1359"/>
      <c r="G370" s="1359"/>
      <c r="H370" s="1359"/>
      <c r="I370" s="1359"/>
      <c r="J370" s="1359"/>
      <c r="K370" s="1359"/>
      <c r="L370" s="1359"/>
      <c r="M370" s="1359"/>
      <c r="N370" s="1359"/>
      <c r="O370" s="1359"/>
      <c r="P370" s="1359"/>
    </row>
    <row r="371">
      <c r="A371" s="1359"/>
      <c r="B371" s="1359"/>
      <c r="C371" s="1359"/>
      <c r="D371" s="1359"/>
      <c r="E371" s="1359"/>
      <c r="F371" s="1359"/>
      <c r="G371" s="1359"/>
      <c r="H371" s="1359"/>
      <c r="I371" s="1359"/>
      <c r="J371" s="1359"/>
      <c r="K371" s="1359"/>
      <c r="L371" s="1359"/>
      <c r="M371" s="1359"/>
      <c r="N371" s="1359"/>
      <c r="O371" s="1359"/>
      <c r="P371" s="1359"/>
    </row>
    <row r="372">
      <c r="A372" s="1359"/>
      <c r="B372" s="1359"/>
      <c r="C372" s="1359"/>
      <c r="D372" s="1359"/>
      <c r="E372" s="1359"/>
      <c r="F372" s="1359"/>
      <c r="G372" s="1359"/>
      <c r="H372" s="1359"/>
      <c r="I372" s="1359"/>
      <c r="J372" s="1359"/>
      <c r="K372" s="1359"/>
      <c r="L372" s="1359"/>
      <c r="M372" s="1359"/>
      <c r="N372" s="1359"/>
      <c r="O372" s="1359"/>
      <c r="P372" s="1359"/>
    </row>
    <row r="373">
      <c r="A373" s="1359"/>
      <c r="B373" s="1359"/>
      <c r="C373" s="1359"/>
      <c r="D373" s="1359"/>
      <c r="E373" s="1359"/>
      <c r="F373" s="1359"/>
      <c r="G373" s="1359"/>
      <c r="H373" s="1359"/>
      <c r="I373" s="1359"/>
      <c r="J373" s="1359"/>
      <c r="K373" s="1359"/>
      <c r="L373" s="1359"/>
      <c r="M373" s="1359"/>
      <c r="N373" s="1359"/>
      <c r="O373" s="1359"/>
      <c r="P373" s="1359"/>
    </row>
    <row r="374">
      <c r="A374" s="1359"/>
      <c r="B374" s="1359"/>
      <c r="C374" s="1359"/>
      <c r="D374" s="1359"/>
      <c r="E374" s="1359"/>
      <c r="F374" s="1359"/>
      <c r="G374" s="1359"/>
      <c r="H374" s="1359"/>
      <c r="I374" s="1359"/>
      <c r="J374" s="1359"/>
      <c r="K374" s="1359"/>
      <c r="L374" s="1359"/>
      <c r="M374" s="1359"/>
      <c r="N374" s="1359"/>
      <c r="O374" s="1359"/>
      <c r="P374" s="1359"/>
    </row>
    <row r="375">
      <c r="A375" s="1359"/>
      <c r="B375" s="1359"/>
      <c r="C375" s="1359"/>
      <c r="D375" s="1359"/>
      <c r="E375" s="1359"/>
      <c r="F375" s="1359"/>
      <c r="G375" s="1359"/>
      <c r="H375" s="1359"/>
      <c r="I375" s="1359"/>
      <c r="J375" s="1359"/>
      <c r="K375" s="1359"/>
      <c r="L375" s="1359"/>
      <c r="M375" s="1359"/>
      <c r="N375" s="1359"/>
      <c r="O375" s="1359"/>
      <c r="P375" s="1359"/>
    </row>
    <row r="376">
      <c r="A376" s="1359"/>
      <c r="B376" s="1359"/>
      <c r="C376" s="1359"/>
      <c r="D376" s="1359"/>
      <c r="E376" s="1359"/>
      <c r="F376" s="1359"/>
      <c r="G376" s="1359"/>
      <c r="H376" s="1359"/>
      <c r="I376" s="1359"/>
      <c r="J376" s="1359"/>
      <c r="K376" s="1359"/>
      <c r="L376" s="1359"/>
      <c r="M376" s="1359"/>
      <c r="N376" s="1359"/>
      <c r="O376" s="1359"/>
      <c r="P376" s="1359"/>
    </row>
    <row r="377">
      <c r="A377" s="1359"/>
      <c r="B377" s="1359"/>
      <c r="C377" s="1359"/>
      <c r="D377" s="1359"/>
      <c r="E377" s="1359"/>
      <c r="F377" s="1359"/>
      <c r="G377" s="1359"/>
      <c r="H377" s="1359"/>
      <c r="I377" s="1359"/>
      <c r="J377" s="1359"/>
      <c r="K377" s="1359"/>
      <c r="L377" s="1359"/>
      <c r="M377" s="1359"/>
      <c r="N377" s="1359"/>
      <c r="O377" s="1359"/>
      <c r="P377" s="1359"/>
    </row>
    <row r="378">
      <c r="A378" s="1359"/>
      <c r="B378" s="1359"/>
      <c r="C378" s="1359"/>
      <c r="D378" s="1359"/>
      <c r="E378" s="1359"/>
      <c r="F378" s="1359"/>
      <c r="G378" s="1359"/>
      <c r="H378" s="1359"/>
      <c r="I378" s="1359"/>
      <c r="J378" s="1359"/>
      <c r="K378" s="1359"/>
      <c r="L378" s="1359"/>
      <c r="M378" s="1359"/>
      <c r="N378" s="1359"/>
      <c r="O378" s="1359"/>
      <c r="P378" s="1359"/>
    </row>
    <row r="379">
      <c r="A379" s="1359"/>
      <c r="B379" s="1359"/>
      <c r="C379" s="1359"/>
      <c r="D379" s="1359"/>
      <c r="E379" s="1359"/>
      <c r="F379" s="1359"/>
      <c r="G379" s="1359"/>
      <c r="H379" s="1359"/>
      <c r="I379" s="1359"/>
      <c r="J379" s="1359"/>
      <c r="K379" s="1359"/>
      <c r="L379" s="1359"/>
      <c r="M379" s="1359"/>
      <c r="N379" s="1359"/>
      <c r="O379" s="1359"/>
      <c r="P379" s="1359"/>
    </row>
    <row r="380">
      <c r="A380" s="1359"/>
      <c r="B380" s="1359"/>
      <c r="C380" s="1359"/>
      <c r="D380" s="1359"/>
      <c r="E380" s="1359"/>
      <c r="F380" s="1359"/>
      <c r="G380" s="1359"/>
      <c r="H380" s="1359"/>
      <c r="I380" s="1359"/>
      <c r="J380" s="1359"/>
      <c r="K380" s="1359"/>
      <c r="L380" s="1359"/>
      <c r="M380" s="1359"/>
      <c r="N380" s="1359"/>
      <c r="O380" s="1359"/>
      <c r="P380" s="1359"/>
    </row>
    <row r="381">
      <c r="A381" s="1359"/>
      <c r="B381" s="1359"/>
      <c r="C381" s="1359"/>
      <c r="D381" s="1359"/>
      <c r="E381" s="1359"/>
      <c r="F381" s="1359"/>
      <c r="G381" s="1359"/>
      <c r="H381" s="1359"/>
      <c r="I381" s="1359"/>
      <c r="J381" s="1359"/>
      <c r="K381" s="1359"/>
      <c r="L381" s="1359"/>
      <c r="M381" s="1359"/>
      <c r="N381" s="1359"/>
      <c r="O381" s="1359"/>
      <c r="P381" s="1359"/>
    </row>
    <row r="382">
      <c r="A382" s="1359"/>
      <c r="B382" s="1359"/>
      <c r="C382" s="1359"/>
      <c r="D382" s="1359"/>
      <c r="E382" s="1359"/>
      <c r="F382" s="1359"/>
      <c r="G382" s="1359"/>
      <c r="H382" s="1359"/>
      <c r="I382" s="1359"/>
      <c r="J382" s="1359"/>
      <c r="K382" s="1359"/>
      <c r="L382" s="1359"/>
      <c r="M382" s="1359"/>
      <c r="N382" s="1359"/>
      <c r="O382" s="1359"/>
      <c r="P382" s="1359"/>
    </row>
    <row r="383">
      <c r="A383" s="1359"/>
      <c r="B383" s="1359"/>
      <c r="C383" s="1359"/>
      <c r="D383" s="1359"/>
      <c r="E383" s="1359"/>
      <c r="F383" s="1359"/>
      <c r="G383" s="1359"/>
      <c r="H383" s="1359"/>
      <c r="I383" s="1359"/>
      <c r="J383" s="1359"/>
      <c r="K383" s="1359"/>
      <c r="L383" s="1359"/>
      <c r="M383" s="1359"/>
      <c r="N383" s="1359"/>
      <c r="O383" s="1359"/>
      <c r="P383" s="1359"/>
    </row>
    <row r="384">
      <c r="A384" s="1359"/>
      <c r="B384" s="1359"/>
      <c r="C384" s="1359"/>
      <c r="D384" s="1359"/>
      <c r="E384" s="1359"/>
      <c r="F384" s="1359"/>
      <c r="G384" s="1359"/>
      <c r="H384" s="1359"/>
      <c r="I384" s="1359"/>
      <c r="J384" s="1359"/>
      <c r="K384" s="1359"/>
      <c r="L384" s="1359"/>
      <c r="M384" s="1359"/>
      <c r="N384" s="1359"/>
      <c r="O384" s="1359"/>
      <c r="P384" s="1359"/>
    </row>
    <row r="385">
      <c r="A385" s="1359"/>
      <c r="B385" s="1359"/>
      <c r="C385" s="1359"/>
      <c r="D385" s="1359"/>
      <c r="E385" s="1359"/>
      <c r="F385" s="1359"/>
      <c r="G385" s="1359"/>
      <c r="H385" s="1359"/>
      <c r="I385" s="1359"/>
      <c r="J385" s="1359"/>
      <c r="K385" s="1359"/>
      <c r="L385" s="1359"/>
      <c r="M385" s="1359"/>
      <c r="N385" s="1359"/>
      <c r="O385" s="1359"/>
      <c r="P385" s="1359"/>
    </row>
    <row r="386">
      <c r="A386" s="1359"/>
      <c r="B386" s="1359"/>
      <c r="C386" s="1359"/>
      <c r="D386" s="1359"/>
      <c r="E386" s="1359"/>
      <c r="F386" s="1359"/>
      <c r="G386" s="1359"/>
      <c r="H386" s="1359"/>
      <c r="I386" s="1359"/>
      <c r="J386" s="1359"/>
      <c r="K386" s="1359"/>
      <c r="L386" s="1359"/>
      <c r="M386" s="1359"/>
      <c r="N386" s="1359"/>
      <c r="O386" s="1359"/>
      <c r="P386" s="1359"/>
    </row>
    <row r="387">
      <c r="A387" s="1359"/>
      <c r="B387" s="1359"/>
      <c r="C387" s="1359"/>
      <c r="D387" s="1359"/>
      <c r="E387" s="1359"/>
      <c r="F387" s="1359"/>
      <c r="G387" s="1359"/>
      <c r="H387" s="1359"/>
      <c r="I387" s="1359"/>
      <c r="J387" s="1359"/>
      <c r="K387" s="1359"/>
      <c r="L387" s="1359"/>
      <c r="M387" s="1359"/>
      <c r="N387" s="1359"/>
      <c r="O387" s="1359"/>
      <c r="P387" s="1359"/>
    </row>
    <row r="388">
      <c r="A388" s="1359"/>
      <c r="B388" s="1359"/>
      <c r="C388" s="1359"/>
      <c r="D388" s="1359"/>
      <c r="E388" s="1359"/>
      <c r="F388" s="1359"/>
      <c r="G388" s="1359"/>
      <c r="H388" s="1359"/>
      <c r="I388" s="1359"/>
      <c r="J388" s="1359"/>
      <c r="K388" s="1359"/>
      <c r="L388" s="1359"/>
      <c r="M388" s="1359"/>
      <c r="N388" s="1359"/>
      <c r="O388" s="1359"/>
      <c r="P388" s="1359"/>
    </row>
    <row r="389">
      <c r="A389" s="1359"/>
      <c r="B389" s="1359"/>
      <c r="C389" s="1359"/>
      <c r="D389" s="1359"/>
      <c r="E389" s="1359"/>
      <c r="F389" s="1359"/>
      <c r="G389" s="1359"/>
      <c r="H389" s="1359"/>
      <c r="I389" s="1359"/>
      <c r="J389" s="1359"/>
      <c r="K389" s="1359"/>
      <c r="L389" s="1359"/>
      <c r="M389" s="1359"/>
      <c r="N389" s="1359"/>
      <c r="O389" s="1359"/>
      <c r="P389" s="1359"/>
    </row>
    <row r="390">
      <c r="A390" s="1359"/>
      <c r="B390" s="1359"/>
      <c r="C390" s="1359"/>
      <c r="D390" s="1359"/>
      <c r="E390" s="1359"/>
      <c r="F390" s="1359"/>
      <c r="G390" s="1359"/>
      <c r="H390" s="1359"/>
      <c r="I390" s="1359"/>
      <c r="J390" s="1359"/>
      <c r="K390" s="1359"/>
      <c r="L390" s="1359"/>
      <c r="M390" s="1359"/>
      <c r="N390" s="1359"/>
      <c r="O390" s="1359"/>
      <c r="P390" s="1359"/>
    </row>
    <row r="391">
      <c r="A391" s="1359"/>
      <c r="B391" s="1359"/>
      <c r="C391" s="1359"/>
      <c r="D391" s="1359"/>
      <c r="E391" s="1359"/>
      <c r="F391" s="1359"/>
      <c r="G391" s="1359"/>
      <c r="H391" s="1359"/>
      <c r="I391" s="1359"/>
      <c r="J391" s="1359"/>
      <c r="K391" s="1359"/>
      <c r="L391" s="1359"/>
      <c r="M391" s="1359"/>
      <c r="N391" s="1359"/>
      <c r="O391" s="1359"/>
      <c r="P391" s="1359"/>
    </row>
    <row r="392">
      <c r="A392" s="1359"/>
      <c r="B392" s="1359"/>
      <c r="C392" s="1359"/>
      <c r="D392" s="1359"/>
      <c r="E392" s="1359"/>
      <c r="F392" s="1359"/>
      <c r="G392" s="1359"/>
      <c r="H392" s="1359"/>
      <c r="I392" s="1359"/>
      <c r="J392" s="1359"/>
      <c r="K392" s="1359"/>
      <c r="L392" s="1359"/>
      <c r="M392" s="1359"/>
      <c r="N392" s="1359"/>
      <c r="O392" s="1359"/>
      <c r="P392" s="1359"/>
    </row>
    <row r="393">
      <c r="A393" s="1359"/>
      <c r="B393" s="1359"/>
      <c r="C393" s="1359"/>
      <c r="D393" s="1359"/>
      <c r="E393" s="1359"/>
      <c r="F393" s="1359"/>
      <c r="G393" s="1359"/>
      <c r="H393" s="1359"/>
      <c r="I393" s="1359"/>
      <c r="J393" s="1359"/>
      <c r="K393" s="1359"/>
      <c r="L393" s="1359"/>
      <c r="M393" s="1359"/>
      <c r="N393" s="1359"/>
      <c r="O393" s="1359"/>
      <c r="P393" s="1359"/>
    </row>
    <row r="394">
      <c r="A394" s="1359"/>
      <c r="B394" s="1359"/>
      <c r="C394" s="1359"/>
      <c r="D394" s="1359"/>
      <c r="E394" s="1359"/>
      <c r="F394" s="1359"/>
      <c r="G394" s="1359"/>
      <c r="H394" s="1359"/>
      <c r="I394" s="1359"/>
      <c r="J394" s="1359"/>
      <c r="K394" s="1359"/>
      <c r="L394" s="1359"/>
      <c r="M394" s="1359"/>
      <c r="N394" s="1359"/>
      <c r="O394" s="1359"/>
      <c r="P394" s="1359"/>
    </row>
    <row r="395">
      <c r="A395" s="1359"/>
      <c r="B395" s="1359"/>
      <c r="C395" s="1359"/>
      <c r="D395" s="1359"/>
      <c r="E395" s="1359"/>
      <c r="F395" s="1359"/>
      <c r="G395" s="1359"/>
      <c r="H395" s="1359"/>
      <c r="I395" s="1359"/>
      <c r="J395" s="1359"/>
      <c r="K395" s="1359"/>
      <c r="L395" s="1359"/>
      <c r="M395" s="1359"/>
      <c r="N395" s="1359"/>
      <c r="O395" s="1359"/>
      <c r="P395" s="1359"/>
    </row>
    <row r="396">
      <c r="A396" s="1359"/>
      <c r="B396" s="1359"/>
      <c r="C396" s="1359"/>
      <c r="D396" s="1359"/>
      <c r="E396" s="1359"/>
      <c r="F396" s="1359"/>
      <c r="G396" s="1359"/>
      <c r="H396" s="1359"/>
      <c r="I396" s="1359"/>
      <c r="J396" s="1359"/>
      <c r="K396" s="1359"/>
      <c r="L396" s="1359"/>
      <c r="M396" s="1359"/>
      <c r="N396" s="1359"/>
      <c r="O396" s="1359"/>
      <c r="P396" s="1359"/>
    </row>
    <row r="397">
      <c r="A397" s="1359"/>
      <c r="B397" s="1359"/>
      <c r="C397" s="1359"/>
      <c r="D397" s="1359"/>
      <c r="E397" s="1359"/>
      <c r="F397" s="1359"/>
      <c r="G397" s="1359"/>
      <c r="H397" s="1359"/>
      <c r="I397" s="1359"/>
      <c r="J397" s="1359"/>
      <c r="K397" s="1359"/>
      <c r="L397" s="1359"/>
      <c r="M397" s="1359"/>
      <c r="N397" s="1359"/>
      <c r="O397" s="1359"/>
      <c r="P397" s="1359"/>
    </row>
    <row r="398">
      <c r="A398" s="1359"/>
      <c r="B398" s="1359"/>
      <c r="C398" s="1359"/>
      <c r="D398" s="1359"/>
      <c r="E398" s="1359"/>
      <c r="F398" s="1359"/>
      <c r="G398" s="1359"/>
      <c r="H398" s="1359"/>
      <c r="I398" s="1359"/>
      <c r="J398" s="1359"/>
      <c r="K398" s="1359"/>
      <c r="L398" s="1359"/>
      <c r="M398" s="1359"/>
      <c r="N398" s="1359"/>
      <c r="O398" s="1359"/>
      <c r="P398" s="1359"/>
    </row>
    <row r="399">
      <c r="A399" s="1359"/>
      <c r="B399" s="1359"/>
      <c r="C399" s="1359"/>
      <c r="D399" s="1359"/>
      <c r="E399" s="1359"/>
      <c r="F399" s="1359"/>
      <c r="G399" s="1359"/>
      <c r="H399" s="1359"/>
      <c r="I399" s="1359"/>
      <c r="J399" s="1359"/>
      <c r="K399" s="1359"/>
      <c r="L399" s="1359"/>
      <c r="M399" s="1359"/>
      <c r="N399" s="1359"/>
      <c r="O399" s="1359"/>
      <c r="P399" s="1359"/>
    </row>
    <row r="400">
      <c r="A400" s="1359"/>
      <c r="B400" s="1359"/>
      <c r="C400" s="1359"/>
      <c r="D400" s="1359"/>
      <c r="E400" s="1359"/>
      <c r="F400" s="1359"/>
      <c r="G400" s="1359"/>
      <c r="H400" s="1359"/>
      <c r="I400" s="1359"/>
      <c r="J400" s="1359"/>
      <c r="K400" s="1359"/>
      <c r="L400" s="1359"/>
      <c r="M400" s="1359"/>
      <c r="N400" s="1359"/>
      <c r="O400" s="1359"/>
      <c r="P400" s="1359"/>
    </row>
    <row r="401">
      <c r="A401" s="1359"/>
      <c r="B401" s="1359"/>
      <c r="C401" s="1359"/>
      <c r="D401" s="1359"/>
      <c r="E401" s="1359"/>
      <c r="F401" s="1359"/>
      <c r="G401" s="1359"/>
      <c r="H401" s="1359"/>
      <c r="I401" s="1359"/>
      <c r="J401" s="1359"/>
      <c r="K401" s="1359"/>
      <c r="L401" s="1359"/>
      <c r="M401" s="1359"/>
      <c r="N401" s="1359"/>
      <c r="O401" s="1359"/>
      <c r="P401" s="1359"/>
    </row>
    <row r="402">
      <c r="A402" s="1359"/>
      <c r="B402" s="1359"/>
      <c r="C402" s="1359"/>
      <c r="D402" s="1359"/>
      <c r="E402" s="1359"/>
      <c r="F402" s="1359"/>
      <c r="G402" s="1359"/>
      <c r="H402" s="1359"/>
      <c r="I402" s="1359"/>
      <c r="J402" s="1359"/>
      <c r="K402" s="1359"/>
      <c r="L402" s="1359"/>
      <c r="M402" s="1359"/>
      <c r="N402" s="1359"/>
      <c r="O402" s="1359"/>
      <c r="P402" s="1359"/>
    </row>
    <row r="403">
      <c r="A403" s="1359"/>
      <c r="B403" s="1359"/>
      <c r="C403" s="1359"/>
      <c r="D403" s="1359"/>
      <c r="E403" s="1359"/>
      <c r="F403" s="1359"/>
      <c r="G403" s="1359"/>
      <c r="H403" s="1359"/>
      <c r="I403" s="1359"/>
      <c r="J403" s="1359"/>
      <c r="K403" s="1359"/>
      <c r="L403" s="1359"/>
      <c r="M403" s="1359"/>
      <c r="N403" s="1359"/>
      <c r="O403" s="1359"/>
      <c r="P403" s="1359"/>
    </row>
    <row r="404">
      <c r="A404" s="1359"/>
      <c r="B404" s="1359"/>
      <c r="C404" s="1359"/>
      <c r="D404" s="1359"/>
      <c r="E404" s="1359"/>
      <c r="F404" s="1359"/>
      <c r="G404" s="1359"/>
      <c r="H404" s="1359"/>
      <c r="I404" s="1359"/>
      <c r="J404" s="1359"/>
      <c r="K404" s="1359"/>
      <c r="L404" s="1359"/>
      <c r="M404" s="1359"/>
      <c r="N404" s="1359"/>
      <c r="O404" s="1359"/>
      <c r="P404" s="1359"/>
    </row>
    <row r="405">
      <c r="A405" s="1359"/>
      <c r="B405" s="1359"/>
      <c r="C405" s="1359"/>
      <c r="D405" s="1359"/>
      <c r="E405" s="1359"/>
      <c r="F405" s="1359"/>
      <c r="G405" s="1359"/>
      <c r="H405" s="1359"/>
      <c r="I405" s="1359"/>
      <c r="J405" s="1359"/>
      <c r="K405" s="1359"/>
      <c r="L405" s="1359"/>
      <c r="M405" s="1359"/>
      <c r="N405" s="1359"/>
      <c r="O405" s="1359"/>
      <c r="P405" s="1359"/>
    </row>
    <row r="406">
      <c r="A406" s="1359"/>
      <c r="B406" s="1359"/>
      <c r="C406" s="1359"/>
      <c r="D406" s="1359"/>
      <c r="E406" s="1359"/>
      <c r="F406" s="1359"/>
      <c r="G406" s="1359"/>
      <c r="H406" s="1359"/>
      <c r="I406" s="1359"/>
      <c r="J406" s="1359"/>
      <c r="K406" s="1359"/>
      <c r="L406" s="1359"/>
      <c r="M406" s="1359"/>
      <c r="N406" s="1359"/>
      <c r="O406" s="1359"/>
      <c r="P406" s="1359"/>
    </row>
    <row r="407">
      <c r="A407" s="1359"/>
      <c r="B407" s="1359"/>
      <c r="C407" s="1359"/>
      <c r="D407" s="1359"/>
      <c r="E407" s="1359"/>
      <c r="F407" s="1359"/>
      <c r="G407" s="1359"/>
      <c r="H407" s="1359"/>
      <c r="I407" s="1359"/>
      <c r="J407" s="1359"/>
      <c r="K407" s="1359"/>
      <c r="L407" s="1359"/>
      <c r="M407" s="1359"/>
      <c r="N407" s="1359"/>
      <c r="O407" s="1359"/>
      <c r="P407" s="1359"/>
    </row>
    <row r="408">
      <c r="A408" s="1359"/>
      <c r="B408" s="1359"/>
      <c r="C408" s="1359"/>
      <c r="D408" s="1359"/>
      <c r="E408" s="1359"/>
      <c r="F408" s="1359"/>
      <c r="G408" s="1359"/>
      <c r="H408" s="1359"/>
      <c r="I408" s="1359"/>
      <c r="J408" s="1359"/>
      <c r="K408" s="1359"/>
      <c r="L408" s="1359"/>
      <c r="M408" s="1359"/>
      <c r="N408" s="1359"/>
      <c r="O408" s="1359"/>
      <c r="P408" s="1359"/>
    </row>
    <row r="409">
      <c r="A409" s="1359"/>
      <c r="B409" s="1359"/>
      <c r="C409" s="1359"/>
      <c r="D409" s="1359"/>
      <c r="E409" s="1359"/>
      <c r="F409" s="1359"/>
      <c r="G409" s="1359"/>
      <c r="H409" s="1359"/>
      <c r="I409" s="1359"/>
      <c r="J409" s="1359"/>
      <c r="K409" s="1359"/>
      <c r="L409" s="1359"/>
      <c r="M409" s="1359"/>
      <c r="N409" s="1359"/>
      <c r="O409" s="1359"/>
      <c r="P409" s="1359"/>
    </row>
    <row r="410">
      <c r="A410" s="1359"/>
      <c r="B410" s="1359"/>
      <c r="C410" s="1359"/>
      <c r="D410" s="1359"/>
      <c r="E410" s="1359"/>
      <c r="F410" s="1359"/>
      <c r="G410" s="1359"/>
      <c r="H410" s="1359"/>
      <c r="I410" s="1359"/>
      <c r="J410" s="1359"/>
      <c r="K410" s="1359"/>
      <c r="L410" s="1359"/>
      <c r="M410" s="1359"/>
      <c r="N410" s="1359"/>
      <c r="O410" s="1359"/>
      <c r="P410" s="1359"/>
    </row>
    <row r="411">
      <c r="A411" s="1359"/>
      <c r="B411" s="1359"/>
      <c r="C411" s="1359"/>
      <c r="D411" s="1359"/>
      <c r="E411" s="1359"/>
      <c r="F411" s="1359"/>
      <c r="G411" s="1359"/>
      <c r="H411" s="1359"/>
      <c r="I411" s="1359"/>
      <c r="J411" s="1359"/>
      <c r="K411" s="1359"/>
      <c r="L411" s="1359"/>
      <c r="M411" s="1359"/>
      <c r="N411" s="1359"/>
      <c r="O411" s="1359"/>
      <c r="P411" s="1359"/>
    </row>
    <row r="412">
      <c r="A412" s="1359"/>
      <c r="B412" s="1359"/>
      <c r="C412" s="1359"/>
      <c r="D412" s="1359"/>
      <c r="E412" s="1359"/>
      <c r="F412" s="1359"/>
      <c r="G412" s="1359"/>
      <c r="H412" s="1359"/>
      <c r="I412" s="1359"/>
      <c r="J412" s="1359"/>
      <c r="K412" s="1359"/>
      <c r="L412" s="1359"/>
      <c r="M412" s="1359"/>
      <c r="N412" s="1359"/>
      <c r="O412" s="1359"/>
      <c r="P412" s="1359"/>
    </row>
    <row r="413">
      <c r="A413" s="1359"/>
      <c r="B413" s="1359"/>
      <c r="C413" s="1359"/>
      <c r="D413" s="1359"/>
      <c r="E413" s="1359"/>
      <c r="F413" s="1359"/>
      <c r="G413" s="1359"/>
      <c r="H413" s="1359"/>
      <c r="I413" s="1359"/>
      <c r="J413" s="1359"/>
      <c r="K413" s="1359"/>
      <c r="L413" s="1359"/>
      <c r="M413" s="1359"/>
      <c r="N413" s="1359"/>
      <c r="O413" s="1359"/>
      <c r="P413" s="1359"/>
    </row>
    <row r="414">
      <c r="A414" s="1359"/>
      <c r="B414" s="1359"/>
      <c r="C414" s="1359"/>
      <c r="D414" s="1359"/>
      <c r="E414" s="1359"/>
      <c r="F414" s="1359"/>
      <c r="G414" s="1359"/>
      <c r="H414" s="1359"/>
      <c r="I414" s="1359"/>
      <c r="J414" s="1359"/>
      <c r="K414" s="1359"/>
      <c r="L414" s="1359"/>
      <c r="M414" s="1359"/>
      <c r="N414" s="1359"/>
      <c r="O414" s="1359"/>
      <c r="P414" s="1359"/>
    </row>
    <row r="415">
      <c r="A415" s="1359"/>
      <c r="B415" s="1359"/>
      <c r="C415" s="1359"/>
      <c r="D415" s="1359"/>
      <c r="E415" s="1359"/>
      <c r="F415" s="1359"/>
      <c r="G415" s="1359"/>
      <c r="H415" s="1359"/>
      <c r="I415" s="1359"/>
      <c r="J415" s="1359"/>
      <c r="K415" s="1359"/>
      <c r="L415" s="1359"/>
      <c r="M415" s="1359"/>
      <c r="N415" s="1359"/>
      <c r="O415" s="1359"/>
      <c r="P415" s="1359"/>
    </row>
    <row r="416">
      <c r="A416" s="1359"/>
      <c r="B416" s="1359"/>
      <c r="C416" s="1359"/>
      <c r="D416" s="1359"/>
      <c r="E416" s="1359"/>
      <c r="F416" s="1359"/>
      <c r="G416" s="1359"/>
      <c r="H416" s="1359"/>
      <c r="I416" s="1359"/>
      <c r="J416" s="1359"/>
      <c r="K416" s="1359"/>
      <c r="L416" s="1359"/>
      <c r="M416" s="1359"/>
      <c r="N416" s="1359"/>
      <c r="O416" s="1359"/>
      <c r="P416" s="1359"/>
    </row>
    <row r="417">
      <c r="A417" s="1359"/>
      <c r="B417" s="1359"/>
      <c r="C417" s="1359"/>
      <c r="D417" s="1359"/>
      <c r="E417" s="1359"/>
      <c r="F417" s="1359"/>
      <c r="G417" s="1359"/>
      <c r="H417" s="1359"/>
      <c r="I417" s="1359"/>
      <c r="J417" s="1359"/>
      <c r="K417" s="1359"/>
      <c r="L417" s="1359"/>
      <c r="M417" s="1359"/>
      <c r="N417" s="1359"/>
      <c r="O417" s="1359"/>
      <c r="P417" s="1359"/>
    </row>
    <row r="418">
      <c r="A418" s="1359"/>
      <c r="B418" s="1359"/>
      <c r="C418" s="1359"/>
      <c r="D418" s="1359"/>
      <c r="E418" s="1359"/>
      <c r="F418" s="1359"/>
      <c r="G418" s="1359"/>
      <c r="H418" s="1359"/>
      <c r="I418" s="1359"/>
      <c r="J418" s="1359"/>
      <c r="K418" s="1359"/>
      <c r="L418" s="1359"/>
      <c r="M418" s="1359"/>
      <c r="N418" s="1359"/>
      <c r="O418" s="1359"/>
      <c r="P418" s="1359"/>
    </row>
    <row r="419">
      <c r="A419" s="1359"/>
      <c r="B419" s="1359"/>
      <c r="C419" s="1359"/>
      <c r="D419" s="1359"/>
      <c r="E419" s="1359"/>
      <c r="F419" s="1359"/>
      <c r="G419" s="1359"/>
      <c r="H419" s="1359"/>
      <c r="I419" s="1359"/>
      <c r="J419" s="1359"/>
      <c r="K419" s="1359"/>
      <c r="L419" s="1359"/>
      <c r="M419" s="1359"/>
      <c r="N419" s="1359"/>
      <c r="O419" s="1359"/>
      <c r="P419" s="1359"/>
    </row>
    <row r="420">
      <c r="A420" s="1359"/>
      <c r="B420" s="1359"/>
      <c r="C420" s="1359"/>
      <c r="D420" s="1359"/>
      <c r="E420" s="1359"/>
      <c r="F420" s="1359"/>
      <c r="G420" s="1359"/>
      <c r="H420" s="1359"/>
      <c r="I420" s="1359"/>
      <c r="J420" s="1359"/>
      <c r="K420" s="1359"/>
      <c r="L420" s="1359"/>
      <c r="M420" s="1359"/>
      <c r="N420" s="1359"/>
      <c r="O420" s="1359"/>
      <c r="P420" s="1359"/>
    </row>
    <row r="421">
      <c r="A421" s="1359"/>
      <c r="B421" s="1359"/>
      <c r="C421" s="1359"/>
      <c r="D421" s="1359"/>
      <c r="E421" s="1359"/>
      <c r="F421" s="1359"/>
      <c r="G421" s="1359"/>
      <c r="H421" s="1359"/>
      <c r="I421" s="1359"/>
      <c r="J421" s="1359"/>
      <c r="K421" s="1359"/>
      <c r="L421" s="1359"/>
      <c r="M421" s="1359"/>
      <c r="N421" s="1359"/>
      <c r="O421" s="1359"/>
      <c r="P421" s="1359"/>
    </row>
    <row r="422">
      <c r="A422" s="1359"/>
      <c r="B422" s="1359"/>
      <c r="C422" s="1359"/>
      <c r="D422" s="1359"/>
      <c r="E422" s="1359"/>
      <c r="F422" s="1359"/>
      <c r="G422" s="1359"/>
      <c r="H422" s="1359"/>
      <c r="I422" s="1359"/>
      <c r="J422" s="1359"/>
      <c r="K422" s="1359"/>
      <c r="L422" s="1359"/>
      <c r="M422" s="1359"/>
      <c r="N422" s="1359"/>
      <c r="O422" s="1359"/>
      <c r="P422" s="1359"/>
    </row>
    <row r="423">
      <c r="A423" s="1359"/>
      <c r="B423" s="1359"/>
      <c r="C423" s="1359"/>
      <c r="D423" s="1359"/>
      <c r="E423" s="1359"/>
      <c r="F423" s="1359"/>
      <c r="G423" s="1359"/>
      <c r="H423" s="1359"/>
      <c r="I423" s="1359"/>
      <c r="J423" s="1359"/>
      <c r="K423" s="1359"/>
      <c r="L423" s="1359"/>
      <c r="M423" s="1359"/>
      <c r="N423" s="1359"/>
      <c r="O423" s="1359"/>
      <c r="P423" s="1359"/>
    </row>
    <row r="424">
      <c r="A424" s="1359"/>
      <c r="B424" s="1359"/>
      <c r="C424" s="1359"/>
      <c r="D424" s="1359"/>
      <c r="E424" s="1359"/>
      <c r="F424" s="1359"/>
      <c r="G424" s="1359"/>
      <c r="H424" s="1359"/>
      <c r="I424" s="1359"/>
      <c r="J424" s="1359"/>
      <c r="K424" s="1359"/>
      <c r="L424" s="1359"/>
      <c r="M424" s="1359"/>
      <c r="N424" s="1359"/>
      <c r="O424" s="1359"/>
      <c r="P424" s="1359"/>
    </row>
    <row r="425">
      <c r="A425" s="1359"/>
      <c r="B425" s="1359"/>
      <c r="C425" s="1359"/>
      <c r="D425" s="1359"/>
      <c r="E425" s="1359"/>
      <c r="F425" s="1359"/>
      <c r="G425" s="1359"/>
      <c r="H425" s="1359"/>
      <c r="I425" s="1359"/>
      <c r="J425" s="1359"/>
      <c r="K425" s="1359"/>
      <c r="L425" s="1359"/>
      <c r="M425" s="1359"/>
      <c r="N425" s="1359"/>
      <c r="O425" s="1359"/>
      <c r="P425" s="1359"/>
    </row>
    <row r="426">
      <c r="A426" s="1359"/>
      <c r="B426" s="1359"/>
      <c r="C426" s="1359"/>
      <c r="D426" s="1359"/>
      <c r="E426" s="1359"/>
      <c r="F426" s="1359"/>
      <c r="G426" s="1359"/>
      <c r="H426" s="1359"/>
      <c r="I426" s="1359"/>
      <c r="J426" s="1359"/>
      <c r="K426" s="1359"/>
      <c r="L426" s="1359"/>
      <c r="M426" s="1359"/>
      <c r="N426" s="1359"/>
      <c r="O426" s="1359"/>
      <c r="P426" s="1359"/>
    </row>
    <row r="427">
      <c r="A427" s="1359"/>
      <c r="B427" s="1359"/>
      <c r="C427" s="1359"/>
      <c r="D427" s="1359"/>
      <c r="E427" s="1359"/>
      <c r="F427" s="1359"/>
      <c r="G427" s="1359"/>
      <c r="H427" s="1359"/>
      <c r="I427" s="1359"/>
      <c r="J427" s="1359"/>
      <c r="K427" s="1359"/>
      <c r="L427" s="1359"/>
      <c r="M427" s="1359"/>
      <c r="N427" s="1359"/>
      <c r="O427" s="1359"/>
      <c r="P427" s="1359"/>
    </row>
    <row r="428">
      <c r="A428" s="1359"/>
      <c r="B428" s="1359"/>
      <c r="C428" s="1359"/>
      <c r="D428" s="1359"/>
      <c r="E428" s="1359"/>
      <c r="F428" s="1359"/>
      <c r="G428" s="1359"/>
      <c r="H428" s="1359"/>
      <c r="I428" s="1359"/>
      <c r="J428" s="1359"/>
      <c r="K428" s="1359"/>
      <c r="L428" s="1359"/>
      <c r="M428" s="1359"/>
      <c r="N428" s="1359"/>
      <c r="O428" s="1359"/>
      <c r="P428" s="1359"/>
    </row>
    <row r="429">
      <c r="A429" s="1359"/>
      <c r="B429" s="1359"/>
      <c r="C429" s="1359"/>
      <c r="D429" s="1359"/>
      <c r="E429" s="1359"/>
      <c r="F429" s="1359"/>
      <c r="G429" s="1359"/>
      <c r="H429" s="1359"/>
      <c r="I429" s="1359"/>
      <c r="J429" s="1359"/>
      <c r="K429" s="1359"/>
      <c r="L429" s="1359"/>
      <c r="M429" s="1359"/>
      <c r="N429" s="1359"/>
      <c r="O429" s="1359"/>
      <c r="P429" s="1359"/>
    </row>
    <row r="430">
      <c r="A430" s="1359"/>
      <c r="B430" s="1359"/>
      <c r="C430" s="1359"/>
      <c r="D430" s="1359"/>
      <c r="E430" s="1359"/>
      <c r="F430" s="1359"/>
      <c r="G430" s="1359"/>
      <c r="H430" s="1359"/>
      <c r="I430" s="1359"/>
      <c r="J430" s="1359"/>
      <c r="K430" s="1359"/>
      <c r="L430" s="1359"/>
      <c r="M430" s="1359"/>
      <c r="N430" s="1359"/>
      <c r="O430" s="1359"/>
      <c r="P430" s="1359"/>
    </row>
    <row r="431">
      <c r="A431" s="1359"/>
      <c r="B431" s="1359"/>
      <c r="C431" s="1359"/>
      <c r="D431" s="1359"/>
      <c r="E431" s="1359"/>
      <c r="F431" s="1359"/>
      <c r="G431" s="1359"/>
      <c r="H431" s="1359"/>
      <c r="I431" s="1359"/>
      <c r="J431" s="1359"/>
      <c r="K431" s="1359"/>
      <c r="L431" s="1359"/>
      <c r="M431" s="1359"/>
      <c r="N431" s="1359"/>
      <c r="O431" s="1359"/>
      <c r="P431" s="1359"/>
    </row>
    <row r="432">
      <c r="A432" s="1359"/>
      <c r="B432" s="1359"/>
      <c r="C432" s="1359"/>
      <c r="D432" s="1359"/>
      <c r="E432" s="1359"/>
      <c r="F432" s="1359"/>
      <c r="G432" s="1359"/>
      <c r="H432" s="1359"/>
      <c r="I432" s="1359"/>
      <c r="J432" s="1359"/>
      <c r="K432" s="1359"/>
      <c r="L432" s="1359"/>
      <c r="M432" s="1359"/>
      <c r="N432" s="1359"/>
      <c r="O432" s="1359"/>
      <c r="P432" s="1359"/>
    </row>
    <row r="433">
      <c r="A433" s="1359"/>
      <c r="B433" s="1359"/>
      <c r="C433" s="1359"/>
      <c r="D433" s="1359"/>
      <c r="E433" s="1359"/>
      <c r="F433" s="1359"/>
      <c r="G433" s="1359"/>
      <c r="H433" s="1359"/>
      <c r="I433" s="1359"/>
      <c r="J433" s="1359"/>
      <c r="K433" s="1359"/>
      <c r="L433" s="1359"/>
      <c r="M433" s="1359"/>
      <c r="N433" s="1359"/>
      <c r="O433" s="1359"/>
      <c r="P433" s="1359"/>
    </row>
    <row r="434">
      <c r="A434" s="1359"/>
      <c r="B434" s="1359"/>
      <c r="C434" s="1359"/>
      <c r="D434" s="1359"/>
      <c r="E434" s="1359"/>
      <c r="F434" s="1359"/>
      <c r="G434" s="1359"/>
      <c r="H434" s="1359"/>
      <c r="I434" s="1359"/>
      <c r="J434" s="1359"/>
      <c r="K434" s="1359"/>
      <c r="L434" s="1359"/>
      <c r="M434" s="1359"/>
      <c r="N434" s="1359"/>
      <c r="O434" s="1359"/>
      <c r="P434" s="1359"/>
    </row>
    <row r="435">
      <c r="A435" s="1359"/>
      <c r="B435" s="1359"/>
      <c r="C435" s="1359"/>
      <c r="D435" s="1359"/>
      <c r="E435" s="1359"/>
      <c r="F435" s="1359"/>
      <c r="G435" s="1359"/>
      <c r="H435" s="1359"/>
      <c r="I435" s="1359"/>
      <c r="J435" s="1359"/>
      <c r="K435" s="1359"/>
      <c r="L435" s="1359"/>
      <c r="M435" s="1359"/>
      <c r="N435" s="1359"/>
      <c r="O435" s="1359"/>
      <c r="P435" s="1359"/>
    </row>
    <row r="436">
      <c r="A436" s="1359"/>
      <c r="B436" s="1359"/>
      <c r="C436" s="1359"/>
      <c r="D436" s="1359"/>
      <c r="E436" s="1359"/>
      <c r="F436" s="1359"/>
      <c r="G436" s="1359"/>
      <c r="H436" s="1359"/>
      <c r="I436" s="1359"/>
      <c r="J436" s="1359"/>
      <c r="K436" s="1359"/>
      <c r="L436" s="1359"/>
      <c r="M436" s="1359"/>
      <c r="N436" s="1359"/>
      <c r="O436" s="1359"/>
      <c r="P436" s="1359"/>
    </row>
    <row r="437">
      <c r="A437" s="1359"/>
      <c r="B437" s="1359"/>
      <c r="C437" s="1359"/>
      <c r="D437" s="1359"/>
      <c r="E437" s="1359"/>
      <c r="F437" s="1359"/>
      <c r="G437" s="1359"/>
      <c r="H437" s="1359"/>
      <c r="I437" s="1359"/>
      <c r="J437" s="1359"/>
      <c r="K437" s="1359"/>
      <c r="L437" s="1359"/>
      <c r="M437" s="1359"/>
      <c r="N437" s="1359"/>
      <c r="O437" s="1359"/>
      <c r="P437" s="1359"/>
    </row>
    <row r="438">
      <c r="A438" s="1359"/>
      <c r="B438" s="1359"/>
      <c r="C438" s="1359"/>
      <c r="D438" s="1359"/>
      <c r="E438" s="1359"/>
      <c r="F438" s="1359"/>
      <c r="G438" s="1359"/>
      <c r="H438" s="1359"/>
      <c r="I438" s="1359"/>
      <c r="J438" s="1359"/>
      <c r="K438" s="1359"/>
      <c r="L438" s="1359"/>
      <c r="M438" s="1359"/>
      <c r="N438" s="1359"/>
      <c r="O438" s="1359"/>
      <c r="P438" s="1359"/>
    </row>
    <row r="439">
      <c r="A439" s="1359"/>
      <c r="B439" s="1359"/>
      <c r="C439" s="1359"/>
      <c r="D439" s="1359"/>
      <c r="E439" s="1359"/>
      <c r="F439" s="1359"/>
      <c r="G439" s="1359"/>
      <c r="H439" s="1359"/>
      <c r="I439" s="1359"/>
      <c r="J439" s="1359"/>
      <c r="K439" s="1359"/>
      <c r="L439" s="1359"/>
      <c r="M439" s="1359"/>
      <c r="N439" s="1359"/>
      <c r="O439" s="1359"/>
      <c r="P439" s="1359"/>
    </row>
    <row r="440">
      <c r="A440" s="1359"/>
      <c r="B440" s="1359"/>
      <c r="C440" s="1359"/>
      <c r="D440" s="1359"/>
      <c r="E440" s="1359"/>
      <c r="F440" s="1359"/>
      <c r="G440" s="1359"/>
      <c r="H440" s="1359"/>
      <c r="I440" s="1359"/>
      <c r="J440" s="1359"/>
      <c r="K440" s="1359"/>
      <c r="L440" s="1359"/>
      <c r="M440" s="1359"/>
      <c r="N440" s="1359"/>
      <c r="O440" s="1359"/>
      <c r="P440" s="1359"/>
    </row>
    <row r="441">
      <c r="A441" s="1359"/>
      <c r="B441" s="1359"/>
      <c r="C441" s="1359"/>
      <c r="D441" s="1359"/>
      <c r="E441" s="1359"/>
      <c r="F441" s="1359"/>
      <c r="G441" s="1359"/>
      <c r="H441" s="1359"/>
      <c r="I441" s="1359"/>
      <c r="J441" s="1359"/>
      <c r="K441" s="1359"/>
      <c r="L441" s="1359"/>
      <c r="M441" s="1359"/>
      <c r="N441" s="1359"/>
      <c r="O441" s="1359"/>
      <c r="P441" s="1359"/>
    </row>
    <row r="442">
      <c r="A442" s="1359"/>
      <c r="B442" s="1359"/>
      <c r="C442" s="1359"/>
      <c r="D442" s="1359"/>
      <c r="E442" s="1359"/>
      <c r="F442" s="1359"/>
      <c r="G442" s="1359"/>
      <c r="H442" s="1359"/>
      <c r="I442" s="1359"/>
      <c r="J442" s="1359"/>
      <c r="K442" s="1359"/>
      <c r="L442" s="1359"/>
      <c r="M442" s="1359"/>
      <c r="N442" s="1359"/>
      <c r="O442" s="1359"/>
      <c r="P442" s="1359"/>
    </row>
    <row r="443">
      <c r="A443" s="1359"/>
      <c r="B443" s="1359"/>
      <c r="C443" s="1359"/>
      <c r="D443" s="1359"/>
      <c r="E443" s="1359"/>
      <c r="F443" s="1359"/>
      <c r="G443" s="1359"/>
      <c r="H443" s="1359"/>
      <c r="I443" s="1359"/>
      <c r="J443" s="1359"/>
      <c r="K443" s="1359"/>
      <c r="L443" s="1359"/>
      <c r="M443" s="1359"/>
      <c r="N443" s="1359"/>
      <c r="O443" s="1359"/>
      <c r="P443" s="1359"/>
    </row>
    <row r="444">
      <c r="A444" s="1359"/>
      <c r="B444" s="1359"/>
      <c r="C444" s="1359"/>
      <c r="D444" s="1359"/>
      <c r="E444" s="1359"/>
      <c r="F444" s="1359"/>
      <c r="G444" s="1359"/>
      <c r="H444" s="1359"/>
      <c r="I444" s="1359"/>
      <c r="J444" s="1359"/>
      <c r="K444" s="1359"/>
      <c r="L444" s="1359"/>
      <c r="M444" s="1359"/>
      <c r="N444" s="1359"/>
      <c r="O444" s="1359"/>
      <c r="P444" s="1359"/>
    </row>
    <row r="445">
      <c r="A445" s="1359"/>
      <c r="B445" s="1359"/>
      <c r="C445" s="1359"/>
      <c r="D445" s="1359"/>
      <c r="E445" s="1359"/>
      <c r="F445" s="1359"/>
      <c r="G445" s="1359"/>
      <c r="H445" s="1359"/>
      <c r="I445" s="1359"/>
      <c r="J445" s="1359"/>
      <c r="K445" s="1359"/>
      <c r="L445" s="1359"/>
      <c r="M445" s="1359"/>
      <c r="N445" s="1359"/>
      <c r="O445" s="1359"/>
      <c r="P445" s="1359"/>
    </row>
    <row r="446">
      <c r="A446" s="1359"/>
      <c r="B446" s="1359"/>
      <c r="C446" s="1359"/>
      <c r="D446" s="1359"/>
      <c r="E446" s="1359"/>
      <c r="F446" s="1359"/>
      <c r="G446" s="1359"/>
      <c r="H446" s="1359"/>
      <c r="I446" s="1359"/>
      <c r="J446" s="1359"/>
      <c r="K446" s="1359"/>
      <c r="L446" s="1359"/>
      <c r="M446" s="1359"/>
      <c r="N446" s="1359"/>
      <c r="O446" s="1359"/>
      <c r="P446" s="1359"/>
    </row>
    <row r="447">
      <c r="A447" s="1359"/>
      <c r="B447" s="1359"/>
      <c r="C447" s="1359"/>
      <c r="D447" s="1359"/>
      <c r="E447" s="1359"/>
      <c r="F447" s="1359"/>
      <c r="G447" s="1359"/>
      <c r="H447" s="1359"/>
      <c r="I447" s="1359"/>
      <c r="J447" s="1359"/>
      <c r="K447" s="1359"/>
      <c r="L447" s="1359"/>
      <c r="M447" s="1359"/>
      <c r="N447" s="1359"/>
      <c r="O447" s="1359"/>
      <c r="P447" s="1359"/>
    </row>
    <row r="448">
      <c r="A448" s="1359"/>
      <c r="B448" s="1359"/>
      <c r="C448" s="1359"/>
      <c r="D448" s="1359"/>
      <c r="E448" s="1359"/>
      <c r="F448" s="1359"/>
      <c r="G448" s="1359"/>
      <c r="H448" s="1359"/>
      <c r="I448" s="1359"/>
      <c r="J448" s="1359"/>
      <c r="K448" s="1359"/>
      <c r="L448" s="1359"/>
      <c r="M448" s="1359"/>
      <c r="N448" s="1359"/>
      <c r="O448" s="1359"/>
      <c r="P448" s="1359"/>
    </row>
    <row r="449">
      <c r="A449" s="1359"/>
      <c r="B449" s="1359"/>
      <c r="C449" s="1359"/>
      <c r="D449" s="1359"/>
      <c r="E449" s="1359"/>
      <c r="F449" s="1359"/>
      <c r="G449" s="1359"/>
      <c r="H449" s="1359"/>
      <c r="I449" s="1359"/>
      <c r="J449" s="1359"/>
      <c r="K449" s="1359"/>
      <c r="L449" s="1359"/>
      <c r="M449" s="1359"/>
      <c r="N449" s="1359"/>
      <c r="O449" s="1359"/>
      <c r="P449" s="1359"/>
    </row>
    <row r="450">
      <c r="A450" s="1359"/>
      <c r="B450" s="1359"/>
      <c r="C450" s="1359"/>
      <c r="D450" s="1359"/>
      <c r="E450" s="1359"/>
      <c r="F450" s="1359"/>
      <c r="G450" s="1359"/>
      <c r="H450" s="1359"/>
      <c r="I450" s="1359"/>
      <c r="J450" s="1359"/>
      <c r="K450" s="1359"/>
      <c r="L450" s="1359"/>
      <c r="M450" s="1359"/>
      <c r="N450" s="1359"/>
      <c r="O450" s="1359"/>
      <c r="P450" s="1359"/>
    </row>
    <row r="451">
      <c r="A451" s="1359"/>
      <c r="B451" s="1359"/>
      <c r="C451" s="1359"/>
      <c r="D451" s="1359"/>
      <c r="E451" s="1359"/>
      <c r="F451" s="1359"/>
      <c r="G451" s="1359"/>
      <c r="H451" s="1359"/>
      <c r="I451" s="1359"/>
      <c r="J451" s="1359"/>
      <c r="K451" s="1359"/>
      <c r="L451" s="1359"/>
      <c r="M451" s="1359"/>
      <c r="N451" s="1359"/>
      <c r="O451" s="1359"/>
      <c r="P451" s="1359"/>
    </row>
    <row r="452">
      <c r="A452" s="1359"/>
      <c r="B452" s="1359"/>
      <c r="C452" s="1359"/>
      <c r="D452" s="1359"/>
      <c r="E452" s="1359"/>
      <c r="F452" s="1359"/>
      <c r="G452" s="1359"/>
      <c r="H452" s="1359"/>
      <c r="I452" s="1359"/>
      <c r="J452" s="1359"/>
      <c r="K452" s="1359"/>
      <c r="L452" s="1359"/>
      <c r="M452" s="1359"/>
      <c r="N452" s="1359"/>
      <c r="O452" s="1359"/>
      <c r="P452" s="1359"/>
    </row>
    <row r="453">
      <c r="A453" s="1359"/>
      <c r="B453" s="1359"/>
      <c r="C453" s="1359"/>
      <c r="D453" s="1359"/>
      <c r="E453" s="1359"/>
      <c r="F453" s="1359"/>
      <c r="G453" s="1359"/>
      <c r="H453" s="1359"/>
      <c r="I453" s="1359"/>
      <c r="J453" s="1359"/>
      <c r="K453" s="1359"/>
      <c r="L453" s="1359"/>
      <c r="M453" s="1359"/>
      <c r="N453" s="1359"/>
      <c r="O453" s="1359"/>
      <c r="P453" s="1359"/>
    </row>
    <row r="454">
      <c r="A454" s="1359"/>
      <c r="B454" s="1359"/>
      <c r="C454" s="1359"/>
      <c r="D454" s="1359"/>
      <c r="E454" s="1359"/>
      <c r="F454" s="1359"/>
      <c r="G454" s="1359"/>
      <c r="H454" s="1359"/>
      <c r="I454" s="1359"/>
      <c r="J454" s="1359"/>
      <c r="K454" s="1359"/>
      <c r="L454" s="1359"/>
      <c r="M454" s="1359"/>
      <c r="N454" s="1359"/>
      <c r="O454" s="1359"/>
      <c r="P454" s="1359"/>
    </row>
    <row r="455">
      <c r="A455" s="1359"/>
      <c r="B455" s="1359"/>
      <c r="C455" s="1359"/>
      <c r="D455" s="1359"/>
      <c r="E455" s="1359"/>
      <c r="F455" s="1359"/>
      <c r="G455" s="1359"/>
      <c r="H455" s="1359"/>
      <c r="I455" s="1359"/>
      <c r="J455" s="1359"/>
      <c r="K455" s="1359"/>
      <c r="L455" s="1359"/>
      <c r="M455" s="1359"/>
      <c r="N455" s="1359"/>
      <c r="O455" s="1359"/>
      <c r="P455" s="1359"/>
    </row>
    <row r="456">
      <c r="A456" s="1359"/>
      <c r="B456" s="1359"/>
      <c r="C456" s="1359"/>
      <c r="D456" s="1359"/>
      <c r="E456" s="1359"/>
      <c r="F456" s="1359"/>
      <c r="G456" s="1359"/>
      <c r="H456" s="1359"/>
      <c r="I456" s="1359"/>
      <c r="J456" s="1359"/>
      <c r="K456" s="1359"/>
      <c r="L456" s="1359"/>
      <c r="M456" s="1359"/>
      <c r="N456" s="1359"/>
      <c r="O456" s="1359"/>
      <c r="P456" s="1359"/>
    </row>
    <row r="457">
      <c r="A457" s="1359"/>
      <c r="B457" s="1359"/>
      <c r="C457" s="1359"/>
      <c r="D457" s="1359"/>
      <c r="E457" s="1359"/>
      <c r="F457" s="1359"/>
      <c r="G457" s="1359"/>
      <c r="H457" s="1359"/>
      <c r="I457" s="1359"/>
      <c r="J457" s="1359"/>
      <c r="K457" s="1359"/>
      <c r="L457" s="1359"/>
      <c r="M457" s="1359"/>
      <c r="N457" s="1359"/>
      <c r="O457" s="1359"/>
      <c r="P457" s="1359"/>
    </row>
    <row r="458">
      <c r="A458" s="1359"/>
      <c r="B458" s="1359"/>
      <c r="C458" s="1359"/>
      <c r="D458" s="1359"/>
      <c r="E458" s="1359"/>
      <c r="F458" s="1359"/>
      <c r="G458" s="1359"/>
      <c r="H458" s="1359"/>
      <c r="I458" s="1359"/>
      <c r="J458" s="1359"/>
      <c r="K458" s="1359"/>
      <c r="L458" s="1359"/>
      <c r="M458" s="1359"/>
      <c r="N458" s="1359"/>
      <c r="O458" s="1359"/>
      <c r="P458" s="1359"/>
    </row>
    <row r="459">
      <c r="A459" s="1359"/>
      <c r="B459" s="1359"/>
      <c r="C459" s="1359"/>
      <c r="D459" s="1359"/>
      <c r="E459" s="1359"/>
      <c r="F459" s="1359"/>
      <c r="G459" s="1359"/>
      <c r="H459" s="1359"/>
      <c r="I459" s="1359"/>
      <c r="J459" s="1359"/>
      <c r="K459" s="1359"/>
      <c r="L459" s="1359"/>
      <c r="M459" s="1359"/>
      <c r="N459" s="1359"/>
      <c r="O459" s="1359"/>
      <c r="P459" s="1359"/>
    </row>
    <row r="460">
      <c r="A460" s="1359"/>
      <c r="B460" s="1359"/>
      <c r="C460" s="1359"/>
      <c r="D460" s="1359"/>
      <c r="E460" s="1359"/>
      <c r="F460" s="1359"/>
      <c r="G460" s="1359"/>
      <c r="H460" s="1359"/>
      <c r="I460" s="1359"/>
      <c r="J460" s="1359"/>
      <c r="K460" s="1359"/>
      <c r="L460" s="1359"/>
      <c r="M460" s="1359"/>
      <c r="N460" s="1359"/>
      <c r="O460" s="1359"/>
      <c r="P460" s="1359"/>
    </row>
    <row r="461">
      <c r="A461" s="1359"/>
      <c r="B461" s="1359"/>
      <c r="C461" s="1359"/>
      <c r="D461" s="1359"/>
      <c r="E461" s="1359"/>
      <c r="F461" s="1359"/>
      <c r="G461" s="1359"/>
      <c r="H461" s="1359"/>
      <c r="I461" s="1359"/>
      <c r="J461" s="1359"/>
      <c r="K461" s="1359"/>
      <c r="L461" s="1359"/>
      <c r="M461" s="1359"/>
      <c r="N461" s="1359"/>
      <c r="O461" s="1359"/>
      <c r="P461" s="1359"/>
    </row>
    <row r="462">
      <c r="A462" s="1359"/>
      <c r="B462" s="1359"/>
      <c r="C462" s="1359"/>
      <c r="D462" s="1359"/>
      <c r="E462" s="1359"/>
      <c r="F462" s="1359"/>
      <c r="G462" s="1359"/>
      <c r="H462" s="1359"/>
      <c r="I462" s="1359"/>
      <c r="J462" s="1359"/>
      <c r="K462" s="1359"/>
      <c r="L462" s="1359"/>
      <c r="M462" s="1359"/>
      <c r="N462" s="1359"/>
      <c r="O462" s="1359"/>
      <c r="P462" s="1359"/>
    </row>
    <row r="463">
      <c r="A463" s="1359"/>
      <c r="B463" s="1359"/>
      <c r="C463" s="1359"/>
      <c r="D463" s="1359"/>
      <c r="E463" s="1359"/>
      <c r="F463" s="1359"/>
      <c r="G463" s="1359"/>
      <c r="H463" s="1359"/>
      <c r="I463" s="1359"/>
      <c r="J463" s="1359"/>
      <c r="K463" s="1359"/>
      <c r="L463" s="1359"/>
      <c r="M463" s="1359"/>
      <c r="N463" s="1359"/>
      <c r="O463" s="1359"/>
      <c r="P463" s="1359"/>
    </row>
    <row r="464">
      <c r="A464" s="1359"/>
      <c r="B464" s="1359"/>
      <c r="C464" s="1359"/>
      <c r="D464" s="1359"/>
      <c r="E464" s="1359"/>
      <c r="F464" s="1359"/>
      <c r="G464" s="1359"/>
      <c r="H464" s="1359"/>
      <c r="I464" s="1359"/>
      <c r="J464" s="1359"/>
      <c r="K464" s="1359"/>
      <c r="L464" s="1359"/>
      <c r="M464" s="1359"/>
      <c r="N464" s="1359"/>
      <c r="O464" s="1359"/>
      <c r="P464" s="1359"/>
    </row>
    <row r="465">
      <c r="A465" s="1359"/>
      <c r="B465" s="1359"/>
      <c r="C465" s="1359"/>
      <c r="D465" s="1359"/>
      <c r="E465" s="1359"/>
      <c r="F465" s="1359"/>
      <c r="G465" s="1359"/>
      <c r="H465" s="1359"/>
      <c r="I465" s="1359"/>
      <c r="J465" s="1359"/>
      <c r="K465" s="1359"/>
      <c r="L465" s="1359"/>
      <c r="M465" s="1359"/>
      <c r="N465" s="1359"/>
      <c r="O465" s="1359"/>
      <c r="P465" s="1359"/>
    </row>
    <row r="466">
      <c r="A466" s="1359"/>
      <c r="B466" s="1359"/>
      <c r="C466" s="1359"/>
      <c r="D466" s="1359"/>
      <c r="E466" s="1359"/>
      <c r="F466" s="1359"/>
      <c r="G466" s="1359"/>
      <c r="H466" s="1359"/>
      <c r="I466" s="1359"/>
      <c r="J466" s="1359"/>
      <c r="K466" s="1359"/>
      <c r="L466" s="1359"/>
      <c r="M466" s="1359"/>
      <c r="N466" s="1359"/>
      <c r="O466" s="1359"/>
      <c r="P466" s="1359"/>
    </row>
    <row r="467">
      <c r="A467" s="1359"/>
      <c r="B467" s="1359"/>
      <c r="C467" s="1359"/>
      <c r="D467" s="1359"/>
      <c r="E467" s="1359"/>
      <c r="F467" s="1359"/>
      <c r="G467" s="1359"/>
      <c r="H467" s="1359"/>
      <c r="I467" s="1359"/>
      <c r="J467" s="1359"/>
      <c r="K467" s="1359"/>
      <c r="L467" s="1359"/>
      <c r="M467" s="1359"/>
      <c r="N467" s="1359"/>
      <c r="O467" s="1359"/>
      <c r="P467" s="1359"/>
    </row>
    <row r="468">
      <c r="A468" s="1359"/>
      <c r="B468" s="1359"/>
      <c r="C468" s="1359"/>
      <c r="D468" s="1359"/>
      <c r="E468" s="1359"/>
      <c r="F468" s="1359"/>
      <c r="G468" s="1359"/>
      <c r="H468" s="1359"/>
      <c r="I468" s="1359"/>
      <c r="J468" s="1359"/>
      <c r="K468" s="1359"/>
      <c r="L468" s="1359"/>
      <c r="M468" s="1359"/>
      <c r="N468" s="1359"/>
      <c r="O468" s="1359"/>
      <c r="P468" s="1359"/>
    </row>
    <row r="469">
      <c r="A469" s="1359"/>
      <c r="B469" s="1359"/>
      <c r="C469" s="1359"/>
      <c r="D469" s="1359"/>
      <c r="E469" s="1359"/>
      <c r="F469" s="1359"/>
      <c r="G469" s="1359"/>
      <c r="H469" s="1359"/>
      <c r="I469" s="1359"/>
      <c r="J469" s="1359"/>
      <c r="K469" s="1359"/>
      <c r="L469" s="1359"/>
      <c r="M469" s="1359"/>
      <c r="N469" s="1359"/>
      <c r="O469" s="1359"/>
      <c r="P469" s="1359"/>
    </row>
    <row r="470">
      <c r="A470" s="1359"/>
      <c r="B470" s="1359"/>
      <c r="C470" s="1359"/>
      <c r="D470" s="1359"/>
      <c r="E470" s="1359"/>
      <c r="F470" s="1359"/>
      <c r="G470" s="1359"/>
      <c r="H470" s="1359"/>
      <c r="I470" s="1359"/>
      <c r="J470" s="1359"/>
      <c r="K470" s="1359"/>
      <c r="L470" s="1359"/>
      <c r="M470" s="1359"/>
      <c r="N470" s="1359"/>
      <c r="O470" s="1359"/>
      <c r="P470" s="1359"/>
    </row>
    <row r="471">
      <c r="A471" s="1359"/>
      <c r="B471" s="1359"/>
      <c r="C471" s="1359"/>
      <c r="D471" s="1359"/>
      <c r="E471" s="1359"/>
      <c r="F471" s="1359"/>
      <c r="G471" s="1359"/>
      <c r="H471" s="1359"/>
      <c r="I471" s="1359"/>
      <c r="J471" s="1359"/>
      <c r="K471" s="1359"/>
      <c r="L471" s="1359"/>
      <c r="M471" s="1359"/>
      <c r="N471" s="1359"/>
      <c r="O471" s="1359"/>
      <c r="P471" s="1359"/>
    </row>
    <row r="472">
      <c r="A472" s="1359"/>
      <c r="B472" s="1359"/>
      <c r="C472" s="1359"/>
      <c r="D472" s="1359"/>
      <c r="E472" s="1359"/>
      <c r="F472" s="1359"/>
      <c r="G472" s="1359"/>
      <c r="H472" s="1359"/>
      <c r="I472" s="1359"/>
      <c r="J472" s="1359"/>
      <c r="K472" s="1359"/>
      <c r="L472" s="1359"/>
      <c r="M472" s="1359"/>
      <c r="N472" s="1359"/>
      <c r="O472" s="1359"/>
      <c r="P472" s="1359"/>
    </row>
    <row r="473">
      <c r="A473" s="1359"/>
      <c r="B473" s="1359"/>
      <c r="C473" s="1359"/>
      <c r="D473" s="1359"/>
      <c r="E473" s="1359"/>
      <c r="F473" s="1359"/>
      <c r="G473" s="1359"/>
      <c r="H473" s="1359"/>
      <c r="I473" s="1359"/>
      <c r="J473" s="1359"/>
      <c r="K473" s="1359"/>
      <c r="L473" s="1359"/>
      <c r="M473" s="1359"/>
      <c r="N473" s="1359"/>
      <c r="O473" s="1359"/>
      <c r="P473" s="1359"/>
    </row>
    <row r="474">
      <c r="A474" s="1359"/>
      <c r="B474" s="1359"/>
      <c r="C474" s="1359"/>
      <c r="D474" s="1359"/>
      <c r="E474" s="1359"/>
      <c r="F474" s="1359"/>
      <c r="G474" s="1359"/>
      <c r="H474" s="1359"/>
      <c r="I474" s="1359"/>
      <c r="J474" s="1359"/>
      <c r="K474" s="1359"/>
      <c r="L474" s="1359"/>
      <c r="M474" s="1359"/>
      <c r="N474" s="1359"/>
      <c r="O474" s="1359"/>
      <c r="P474" s="1359"/>
    </row>
    <row r="475">
      <c r="A475" s="1359"/>
      <c r="B475" s="1359"/>
      <c r="C475" s="1359"/>
      <c r="D475" s="1359"/>
      <c r="E475" s="1359"/>
      <c r="F475" s="1359"/>
      <c r="G475" s="1359"/>
      <c r="H475" s="1359"/>
      <c r="I475" s="1359"/>
      <c r="J475" s="1359"/>
      <c r="K475" s="1359"/>
      <c r="L475" s="1359"/>
      <c r="M475" s="1359"/>
      <c r="N475" s="1359"/>
      <c r="O475" s="1359"/>
      <c r="P475" s="1359"/>
    </row>
    <row r="476">
      <c r="A476" s="1359"/>
      <c r="B476" s="1359"/>
      <c r="C476" s="1359"/>
      <c r="D476" s="1359"/>
      <c r="E476" s="1359"/>
      <c r="F476" s="1359"/>
      <c r="G476" s="1359"/>
      <c r="H476" s="1359"/>
      <c r="I476" s="1359"/>
      <c r="J476" s="1359"/>
      <c r="K476" s="1359"/>
      <c r="L476" s="1359"/>
      <c r="M476" s="1359"/>
      <c r="N476" s="1359"/>
      <c r="O476" s="1359"/>
      <c r="P476" s="1359"/>
    </row>
    <row r="477">
      <c r="A477" s="1359"/>
      <c r="B477" s="1359"/>
      <c r="C477" s="1359"/>
      <c r="D477" s="1359"/>
      <c r="E477" s="1359"/>
      <c r="F477" s="1359"/>
      <c r="G477" s="1359"/>
      <c r="H477" s="1359"/>
      <c r="I477" s="1359"/>
      <c r="J477" s="1359"/>
      <c r="K477" s="1359"/>
      <c r="L477" s="1359"/>
      <c r="M477" s="1359"/>
      <c r="N477" s="1359"/>
      <c r="O477" s="1359"/>
      <c r="P477" s="1359"/>
    </row>
    <row r="478">
      <c r="A478" s="1359"/>
      <c r="B478" s="1359"/>
      <c r="C478" s="1359"/>
      <c r="D478" s="1359"/>
      <c r="E478" s="1359"/>
      <c r="F478" s="1359"/>
      <c r="G478" s="1359"/>
      <c r="H478" s="1359"/>
      <c r="I478" s="1359"/>
      <c r="J478" s="1359"/>
      <c r="K478" s="1359"/>
      <c r="L478" s="1359"/>
      <c r="M478" s="1359"/>
      <c r="N478" s="1359"/>
      <c r="O478" s="1359"/>
      <c r="P478" s="1359"/>
    </row>
    <row r="479">
      <c r="A479" s="1359"/>
      <c r="B479" s="1359"/>
      <c r="C479" s="1359"/>
      <c r="D479" s="1359"/>
      <c r="E479" s="1359"/>
      <c r="F479" s="1359"/>
      <c r="G479" s="1359"/>
      <c r="H479" s="1359"/>
      <c r="I479" s="1359"/>
      <c r="J479" s="1359"/>
      <c r="K479" s="1359"/>
      <c r="L479" s="1359"/>
      <c r="M479" s="1359"/>
      <c r="N479" s="1359"/>
      <c r="O479" s="1359"/>
      <c r="P479" s="1359"/>
    </row>
    <row r="480">
      <c r="A480" s="1359"/>
      <c r="B480" s="1359"/>
      <c r="C480" s="1359"/>
      <c r="D480" s="1359"/>
      <c r="E480" s="1359"/>
      <c r="F480" s="1359"/>
      <c r="G480" s="1359"/>
      <c r="H480" s="1359"/>
      <c r="I480" s="1359"/>
      <c r="J480" s="1359"/>
      <c r="K480" s="1359"/>
      <c r="L480" s="1359"/>
      <c r="M480" s="1359"/>
      <c r="N480" s="1359"/>
      <c r="O480" s="1359"/>
      <c r="P480" s="1359"/>
    </row>
    <row r="481">
      <c r="A481" s="1359"/>
      <c r="B481" s="1359"/>
      <c r="C481" s="1359"/>
      <c r="D481" s="1359"/>
      <c r="E481" s="1359"/>
      <c r="F481" s="1359"/>
      <c r="G481" s="1359"/>
      <c r="H481" s="1359"/>
      <c r="I481" s="1359"/>
      <c r="J481" s="1359"/>
      <c r="K481" s="1359"/>
      <c r="L481" s="1359"/>
      <c r="M481" s="1359"/>
      <c r="N481" s="1359"/>
      <c r="O481" s="1359"/>
      <c r="P481" s="1359"/>
    </row>
    <row r="482">
      <c r="A482" s="1359"/>
      <c r="B482" s="1359"/>
      <c r="C482" s="1359"/>
      <c r="D482" s="1359"/>
      <c r="E482" s="1359"/>
      <c r="F482" s="1359"/>
      <c r="G482" s="1359"/>
      <c r="H482" s="1359"/>
      <c r="I482" s="1359"/>
      <c r="J482" s="1359"/>
      <c r="K482" s="1359"/>
      <c r="L482" s="1359"/>
      <c r="M482" s="1359"/>
      <c r="N482" s="1359"/>
      <c r="O482" s="1359"/>
      <c r="P482" s="1359"/>
    </row>
    <row r="483">
      <c r="A483" s="1359"/>
      <c r="B483" s="1359"/>
      <c r="C483" s="1359"/>
      <c r="D483" s="1359"/>
      <c r="E483" s="1359"/>
      <c r="F483" s="1359"/>
      <c r="G483" s="1359"/>
      <c r="H483" s="1359"/>
      <c r="I483" s="1359"/>
      <c r="J483" s="1359"/>
      <c r="K483" s="1359"/>
      <c r="L483" s="1359"/>
      <c r="M483" s="1359"/>
      <c r="N483" s="1359"/>
      <c r="O483" s="1359"/>
      <c r="P483" s="1359"/>
    </row>
    <row r="484">
      <c r="A484" s="1359"/>
      <c r="B484" s="1359"/>
      <c r="C484" s="1359"/>
      <c r="D484" s="1359"/>
      <c r="E484" s="1359"/>
      <c r="F484" s="1359"/>
      <c r="G484" s="1359"/>
      <c r="H484" s="1359"/>
      <c r="I484" s="1359"/>
      <c r="J484" s="1359"/>
      <c r="K484" s="1359"/>
      <c r="L484" s="1359"/>
      <c r="M484" s="1359"/>
      <c r="N484" s="1359"/>
      <c r="O484" s="1359"/>
      <c r="P484" s="1359"/>
    </row>
    <row r="485">
      <c r="A485" s="1359"/>
      <c r="B485" s="1359"/>
      <c r="C485" s="1359"/>
      <c r="D485" s="1359"/>
      <c r="E485" s="1359"/>
      <c r="F485" s="1359"/>
      <c r="G485" s="1359"/>
      <c r="H485" s="1359"/>
      <c r="I485" s="1359"/>
      <c r="J485" s="1359"/>
      <c r="K485" s="1359"/>
      <c r="L485" s="1359"/>
      <c r="M485" s="1359"/>
      <c r="N485" s="1359"/>
      <c r="O485" s="1359"/>
      <c r="P485" s="1359"/>
    </row>
    <row r="486">
      <c r="A486" s="1359"/>
      <c r="B486" s="1359"/>
      <c r="C486" s="1359"/>
      <c r="D486" s="1359"/>
      <c r="E486" s="1359"/>
      <c r="F486" s="1359"/>
      <c r="G486" s="1359"/>
      <c r="H486" s="1359"/>
      <c r="I486" s="1359"/>
      <c r="J486" s="1359"/>
      <c r="K486" s="1359"/>
      <c r="L486" s="1359"/>
      <c r="M486" s="1359"/>
      <c r="N486" s="1359"/>
      <c r="O486" s="1359"/>
      <c r="P486" s="1359"/>
    </row>
    <row r="487">
      <c r="A487" s="1359"/>
      <c r="B487" s="1359"/>
      <c r="C487" s="1359"/>
      <c r="D487" s="1359"/>
      <c r="E487" s="1359"/>
      <c r="F487" s="1359"/>
      <c r="G487" s="1359"/>
      <c r="H487" s="1359"/>
      <c r="I487" s="1359"/>
      <c r="J487" s="1359"/>
      <c r="K487" s="1359"/>
      <c r="L487" s="1359"/>
      <c r="M487" s="1359"/>
      <c r="N487" s="1359"/>
      <c r="O487" s="1359"/>
      <c r="P487" s="1359"/>
    </row>
    <row r="488">
      <c r="A488" s="1359"/>
      <c r="B488" s="1359"/>
      <c r="C488" s="1359"/>
      <c r="D488" s="1359"/>
      <c r="E488" s="1359"/>
      <c r="F488" s="1359"/>
      <c r="G488" s="1359"/>
      <c r="H488" s="1359"/>
      <c r="I488" s="1359"/>
      <c r="J488" s="1359"/>
      <c r="K488" s="1359"/>
      <c r="L488" s="1359"/>
      <c r="M488" s="1359"/>
      <c r="N488" s="1359"/>
      <c r="O488" s="1359"/>
      <c r="P488" s="1359"/>
    </row>
    <row r="489">
      <c r="A489" s="1359"/>
      <c r="B489" s="1359"/>
      <c r="C489" s="1359"/>
      <c r="D489" s="1359"/>
      <c r="E489" s="1359"/>
      <c r="F489" s="1359"/>
      <c r="G489" s="1359"/>
      <c r="H489" s="1359"/>
      <c r="I489" s="1359"/>
      <c r="J489" s="1359"/>
      <c r="K489" s="1359"/>
      <c r="L489" s="1359"/>
      <c r="M489" s="1359"/>
      <c r="N489" s="1359"/>
      <c r="O489" s="1359"/>
      <c r="P489" s="1359"/>
    </row>
    <row r="490">
      <c r="A490" s="1359"/>
      <c r="B490" s="1359"/>
      <c r="C490" s="1359"/>
      <c r="D490" s="1359"/>
      <c r="E490" s="1359"/>
      <c r="F490" s="1359"/>
      <c r="G490" s="1359"/>
      <c r="H490" s="1359"/>
      <c r="I490" s="1359"/>
      <c r="J490" s="1359"/>
      <c r="K490" s="1359"/>
      <c r="L490" s="1359"/>
      <c r="M490" s="1359"/>
      <c r="N490" s="1359"/>
      <c r="O490" s="1359"/>
      <c r="P490" s="1359"/>
    </row>
    <row r="491">
      <c r="A491" s="1359"/>
      <c r="B491" s="1359"/>
      <c r="C491" s="1359"/>
      <c r="D491" s="1359"/>
      <c r="E491" s="1359"/>
      <c r="F491" s="1359"/>
      <c r="G491" s="1359"/>
      <c r="H491" s="1359"/>
      <c r="I491" s="1359"/>
      <c r="J491" s="1359"/>
      <c r="K491" s="1359"/>
      <c r="L491" s="1359"/>
      <c r="M491" s="1359"/>
      <c r="N491" s="1359"/>
      <c r="O491" s="1359"/>
      <c r="P491" s="1359"/>
    </row>
    <row r="492">
      <c r="A492" s="1359"/>
      <c r="B492" s="1359"/>
      <c r="C492" s="1359"/>
      <c r="D492" s="1359"/>
      <c r="E492" s="1359"/>
      <c r="F492" s="1359"/>
      <c r="G492" s="1359"/>
      <c r="H492" s="1359"/>
      <c r="I492" s="1359"/>
      <c r="J492" s="1359"/>
      <c r="K492" s="1359"/>
      <c r="L492" s="1359"/>
      <c r="M492" s="1359"/>
      <c r="N492" s="1359"/>
      <c r="O492" s="1359"/>
      <c r="P492" s="1359"/>
    </row>
    <row r="493">
      <c r="A493" s="1359"/>
      <c r="B493" s="1359"/>
      <c r="C493" s="1359"/>
      <c r="D493" s="1359"/>
      <c r="E493" s="1359"/>
      <c r="F493" s="1359"/>
      <c r="G493" s="1359"/>
      <c r="H493" s="1359"/>
      <c r="I493" s="1359"/>
      <c r="J493" s="1359"/>
      <c r="K493" s="1359"/>
      <c r="L493" s="1359"/>
      <c r="M493" s="1359"/>
      <c r="N493" s="1359"/>
      <c r="O493" s="1359"/>
      <c r="P493" s="1359"/>
    </row>
    <row r="494">
      <c r="A494" s="1359"/>
      <c r="B494" s="1359"/>
      <c r="C494" s="1359"/>
      <c r="D494" s="1359"/>
      <c r="E494" s="1359"/>
      <c r="F494" s="1359"/>
      <c r="G494" s="1359"/>
      <c r="H494" s="1359"/>
      <c r="I494" s="1359"/>
      <c r="J494" s="1359"/>
      <c r="K494" s="1359"/>
      <c r="L494" s="1359"/>
      <c r="M494" s="1359"/>
      <c r="N494" s="1359"/>
      <c r="O494" s="1359"/>
      <c r="P494" s="1359"/>
    </row>
    <row r="495">
      <c r="A495" s="1359"/>
      <c r="B495" s="1359"/>
      <c r="C495" s="1359"/>
      <c r="D495" s="1359"/>
      <c r="E495" s="1359"/>
      <c r="F495" s="1359"/>
      <c r="G495" s="1359"/>
      <c r="H495" s="1359"/>
      <c r="I495" s="1359"/>
      <c r="J495" s="1359"/>
      <c r="K495" s="1359"/>
      <c r="L495" s="1359"/>
      <c r="M495" s="1359"/>
      <c r="N495" s="1359"/>
      <c r="O495" s="1359"/>
      <c r="P495" s="1359"/>
    </row>
    <row r="496">
      <c r="A496" s="1359"/>
      <c r="B496" s="1359"/>
      <c r="C496" s="1359"/>
      <c r="D496" s="1359"/>
      <c r="E496" s="1359"/>
      <c r="F496" s="1359"/>
      <c r="G496" s="1359"/>
      <c r="H496" s="1359"/>
      <c r="I496" s="1359"/>
      <c r="J496" s="1359"/>
      <c r="K496" s="1359"/>
      <c r="L496" s="1359"/>
      <c r="M496" s="1359"/>
      <c r="N496" s="1359"/>
      <c r="O496" s="1359"/>
      <c r="P496" s="1359"/>
    </row>
    <row r="497">
      <c r="A497" s="1359"/>
      <c r="B497" s="1359"/>
      <c r="C497" s="1359"/>
      <c r="D497" s="1359"/>
      <c r="E497" s="1359"/>
      <c r="F497" s="1359"/>
      <c r="G497" s="1359"/>
      <c r="H497" s="1359"/>
      <c r="I497" s="1359"/>
      <c r="J497" s="1359"/>
      <c r="K497" s="1359"/>
      <c r="L497" s="1359"/>
      <c r="M497" s="1359"/>
      <c r="N497" s="1359"/>
      <c r="O497" s="1359"/>
      <c r="P497" s="1359"/>
    </row>
    <row r="498">
      <c r="A498" s="1359"/>
      <c r="B498" s="1359"/>
      <c r="C498" s="1359"/>
      <c r="D498" s="1359"/>
      <c r="E498" s="1359"/>
      <c r="F498" s="1359"/>
      <c r="G498" s="1359"/>
      <c r="H498" s="1359"/>
      <c r="I498" s="1359"/>
      <c r="J498" s="1359"/>
      <c r="K498" s="1359"/>
      <c r="L498" s="1359"/>
      <c r="M498" s="1359"/>
      <c r="N498" s="1359"/>
      <c r="O498" s="1359"/>
      <c r="P498" s="1359"/>
    </row>
    <row r="499">
      <c r="A499" s="1359"/>
      <c r="B499" s="1359"/>
      <c r="C499" s="1359"/>
      <c r="D499" s="1359"/>
      <c r="E499" s="1359"/>
      <c r="F499" s="1359"/>
      <c r="G499" s="1359"/>
      <c r="H499" s="1359"/>
      <c r="I499" s="1359"/>
      <c r="J499" s="1359"/>
      <c r="K499" s="1359"/>
      <c r="L499" s="1359"/>
      <c r="M499" s="1359"/>
      <c r="N499" s="1359"/>
      <c r="O499" s="1359"/>
      <c r="P499" s="1359"/>
    </row>
    <row r="500">
      <c r="A500" s="1359"/>
      <c r="B500" s="1359"/>
      <c r="C500" s="1359"/>
      <c r="D500" s="1359"/>
      <c r="E500" s="1359"/>
      <c r="F500" s="1359"/>
      <c r="G500" s="1359"/>
      <c r="H500" s="1359"/>
      <c r="I500" s="1359"/>
      <c r="J500" s="1359"/>
      <c r="K500" s="1359"/>
      <c r="L500" s="1359"/>
      <c r="M500" s="1359"/>
      <c r="N500" s="1359"/>
      <c r="O500" s="1359"/>
      <c r="P500" s="1359"/>
    </row>
    <row r="501">
      <c r="A501" s="1359"/>
      <c r="B501" s="1359"/>
      <c r="C501" s="1359"/>
      <c r="D501" s="1359"/>
      <c r="E501" s="1359"/>
      <c r="F501" s="1359"/>
      <c r="G501" s="1359"/>
      <c r="H501" s="1359"/>
      <c r="I501" s="1359"/>
      <c r="J501" s="1359"/>
      <c r="K501" s="1359"/>
      <c r="L501" s="1359"/>
      <c r="M501" s="1359"/>
      <c r="N501" s="1359"/>
      <c r="O501" s="1359"/>
      <c r="P501" s="1359"/>
    </row>
    <row r="502">
      <c r="A502" s="1359"/>
      <c r="B502" s="1359"/>
      <c r="C502" s="1359"/>
      <c r="D502" s="1359"/>
      <c r="E502" s="1359"/>
      <c r="F502" s="1359"/>
      <c r="G502" s="1359"/>
      <c r="H502" s="1359"/>
      <c r="I502" s="1359"/>
      <c r="J502" s="1359"/>
      <c r="K502" s="1359"/>
      <c r="L502" s="1359"/>
      <c r="M502" s="1359"/>
      <c r="N502" s="1359"/>
      <c r="O502" s="1359"/>
      <c r="P502" s="1359"/>
    </row>
    <row r="503">
      <c r="A503" s="1359"/>
      <c r="B503" s="1359"/>
      <c r="C503" s="1359"/>
      <c r="D503" s="1359"/>
      <c r="E503" s="1359"/>
      <c r="F503" s="1359"/>
      <c r="G503" s="1359"/>
      <c r="H503" s="1359"/>
      <c r="I503" s="1359"/>
      <c r="J503" s="1359"/>
      <c r="K503" s="1359"/>
      <c r="L503" s="1359"/>
      <c r="M503" s="1359"/>
      <c r="N503" s="1359"/>
      <c r="O503" s="1359"/>
      <c r="P503" s="1359"/>
    </row>
    <row r="504">
      <c r="A504" s="1359"/>
      <c r="B504" s="1359"/>
      <c r="C504" s="1359"/>
      <c r="D504" s="1359"/>
      <c r="E504" s="1359"/>
      <c r="F504" s="1359"/>
      <c r="G504" s="1359"/>
      <c r="H504" s="1359"/>
      <c r="I504" s="1359"/>
      <c r="J504" s="1359"/>
      <c r="K504" s="1359"/>
      <c r="L504" s="1359"/>
      <c r="M504" s="1359"/>
      <c r="N504" s="1359"/>
      <c r="O504" s="1359"/>
      <c r="P504" s="1359"/>
    </row>
    <row r="505">
      <c r="A505" s="1359"/>
      <c r="B505" s="1359"/>
      <c r="C505" s="1359"/>
      <c r="D505" s="1359"/>
      <c r="E505" s="1359"/>
      <c r="F505" s="1359"/>
      <c r="G505" s="1359"/>
      <c r="H505" s="1359"/>
      <c r="I505" s="1359"/>
      <c r="J505" s="1359"/>
      <c r="K505" s="1359"/>
      <c r="L505" s="1359"/>
      <c r="M505" s="1359"/>
      <c r="N505" s="1359"/>
      <c r="O505" s="1359"/>
      <c r="P505" s="1359"/>
    </row>
    <row r="506">
      <c r="A506" s="1359"/>
      <c r="B506" s="1359"/>
      <c r="C506" s="1359"/>
      <c r="D506" s="1359"/>
      <c r="E506" s="1359"/>
      <c r="F506" s="1359"/>
      <c r="G506" s="1359"/>
      <c r="H506" s="1359"/>
      <c r="I506" s="1359"/>
      <c r="J506" s="1359"/>
      <c r="K506" s="1359"/>
      <c r="L506" s="1359"/>
      <c r="M506" s="1359"/>
      <c r="N506" s="1359"/>
      <c r="O506" s="1359"/>
      <c r="P506" s="1359"/>
    </row>
    <row r="507">
      <c r="A507" s="1359"/>
      <c r="B507" s="1359"/>
      <c r="C507" s="1359"/>
      <c r="D507" s="1359"/>
      <c r="E507" s="1359"/>
      <c r="F507" s="1359"/>
      <c r="G507" s="1359"/>
      <c r="H507" s="1359"/>
      <c r="I507" s="1359"/>
      <c r="J507" s="1359"/>
      <c r="K507" s="1359"/>
      <c r="L507" s="1359"/>
      <c r="M507" s="1359"/>
      <c r="N507" s="1359"/>
      <c r="O507" s="1359"/>
      <c r="P507" s="1359"/>
    </row>
    <row r="508">
      <c r="A508" s="1359"/>
      <c r="B508" s="1359"/>
      <c r="C508" s="1359"/>
      <c r="D508" s="1359"/>
      <c r="E508" s="1359"/>
      <c r="F508" s="1359"/>
      <c r="G508" s="1359"/>
      <c r="H508" s="1359"/>
      <c r="I508" s="1359"/>
      <c r="J508" s="1359"/>
      <c r="K508" s="1359"/>
      <c r="L508" s="1359"/>
      <c r="M508" s="1359"/>
      <c r="N508" s="1359"/>
      <c r="O508" s="1359"/>
      <c r="P508" s="1359"/>
    </row>
    <row r="509">
      <c r="A509" s="1359"/>
      <c r="B509" s="1359"/>
      <c r="C509" s="1359"/>
      <c r="D509" s="1359"/>
      <c r="E509" s="1359"/>
      <c r="F509" s="1359"/>
      <c r="G509" s="1359"/>
      <c r="H509" s="1359"/>
      <c r="I509" s="1359"/>
      <c r="J509" s="1359"/>
      <c r="K509" s="1359"/>
      <c r="L509" s="1359"/>
      <c r="M509" s="1359"/>
      <c r="N509" s="1359"/>
      <c r="O509" s="1359"/>
      <c r="P509" s="1359"/>
    </row>
    <row r="510">
      <c r="A510" s="1359"/>
      <c r="B510" s="1359"/>
      <c r="C510" s="1359"/>
      <c r="D510" s="1359"/>
      <c r="E510" s="1359"/>
      <c r="F510" s="1359"/>
      <c r="G510" s="1359"/>
      <c r="H510" s="1359"/>
      <c r="I510" s="1359"/>
      <c r="J510" s="1359"/>
      <c r="K510" s="1359"/>
      <c r="L510" s="1359"/>
      <c r="M510" s="1359"/>
      <c r="N510" s="1359"/>
      <c r="O510" s="1359"/>
      <c r="P510" s="1359"/>
    </row>
    <row r="511">
      <c r="A511" s="1359"/>
      <c r="B511" s="1359"/>
      <c r="C511" s="1359"/>
      <c r="D511" s="1359"/>
      <c r="E511" s="1359"/>
      <c r="F511" s="1359"/>
      <c r="G511" s="1359"/>
      <c r="H511" s="1359"/>
      <c r="I511" s="1359"/>
      <c r="J511" s="1359"/>
      <c r="K511" s="1359"/>
      <c r="L511" s="1359"/>
      <c r="M511" s="1359"/>
      <c r="N511" s="1359"/>
      <c r="O511" s="1359"/>
      <c r="P511" s="1359"/>
    </row>
    <row r="512">
      <c r="A512" s="1359"/>
      <c r="B512" s="1359"/>
      <c r="C512" s="1359"/>
      <c r="D512" s="1359"/>
      <c r="E512" s="1359"/>
      <c r="F512" s="1359"/>
      <c r="G512" s="1359"/>
      <c r="H512" s="1359"/>
      <c r="I512" s="1359"/>
      <c r="J512" s="1359"/>
      <c r="K512" s="1359"/>
      <c r="L512" s="1359"/>
      <c r="M512" s="1359"/>
      <c r="N512" s="1359"/>
      <c r="O512" s="1359"/>
      <c r="P512" s="1359"/>
    </row>
    <row r="513">
      <c r="A513" s="1359"/>
      <c r="B513" s="1359"/>
      <c r="C513" s="1359"/>
      <c r="D513" s="1359"/>
      <c r="E513" s="1359"/>
      <c r="F513" s="1359"/>
      <c r="G513" s="1359"/>
      <c r="H513" s="1359"/>
      <c r="I513" s="1359"/>
      <c r="J513" s="1359"/>
      <c r="K513" s="1359"/>
      <c r="L513" s="1359"/>
      <c r="M513" s="1359"/>
      <c r="N513" s="1359"/>
      <c r="O513" s="1359"/>
      <c r="P513" s="1359"/>
    </row>
    <row r="514">
      <c r="A514" s="1359"/>
      <c r="B514" s="1359"/>
      <c r="C514" s="1359"/>
      <c r="D514" s="1359"/>
      <c r="E514" s="1359"/>
      <c r="F514" s="1359"/>
      <c r="G514" s="1359"/>
      <c r="H514" s="1359"/>
      <c r="I514" s="1359"/>
      <c r="J514" s="1359"/>
      <c r="K514" s="1359"/>
      <c r="L514" s="1359"/>
      <c r="M514" s="1359"/>
      <c r="N514" s="1359"/>
      <c r="O514" s="1359"/>
      <c r="P514" s="1359"/>
    </row>
    <row r="515">
      <c r="A515" s="1359"/>
      <c r="B515" s="1359"/>
      <c r="C515" s="1359"/>
      <c r="D515" s="1359"/>
      <c r="E515" s="1359"/>
      <c r="F515" s="1359"/>
      <c r="G515" s="1359"/>
      <c r="H515" s="1359"/>
      <c r="I515" s="1359"/>
      <c r="J515" s="1359"/>
      <c r="K515" s="1359"/>
      <c r="L515" s="1359"/>
      <c r="M515" s="1359"/>
      <c r="N515" s="1359"/>
      <c r="O515" s="1359"/>
      <c r="P515" s="1359"/>
    </row>
    <row r="516">
      <c r="A516" s="1359"/>
      <c r="B516" s="1359"/>
      <c r="C516" s="1359"/>
      <c r="D516" s="1359"/>
      <c r="E516" s="1359"/>
      <c r="F516" s="1359"/>
      <c r="G516" s="1359"/>
      <c r="H516" s="1359"/>
      <c r="I516" s="1359"/>
      <c r="J516" s="1359"/>
      <c r="K516" s="1359"/>
      <c r="L516" s="1359"/>
      <c r="M516" s="1359"/>
      <c r="N516" s="1359"/>
      <c r="O516" s="1359"/>
      <c r="P516" s="1359"/>
    </row>
    <row r="517">
      <c r="A517" s="1359"/>
      <c r="B517" s="1359"/>
      <c r="C517" s="1359"/>
      <c r="D517" s="1359"/>
      <c r="E517" s="1359"/>
      <c r="F517" s="1359"/>
      <c r="G517" s="1359"/>
      <c r="H517" s="1359"/>
      <c r="I517" s="1359"/>
      <c r="J517" s="1359"/>
      <c r="K517" s="1359"/>
      <c r="L517" s="1359"/>
      <c r="M517" s="1359"/>
      <c r="N517" s="1359"/>
      <c r="O517" s="1359"/>
      <c r="P517" s="1359"/>
    </row>
    <row r="518">
      <c r="A518" s="1359"/>
      <c r="B518" s="1359"/>
      <c r="C518" s="1359"/>
      <c r="D518" s="1359"/>
      <c r="E518" s="1359"/>
      <c r="F518" s="1359"/>
      <c r="G518" s="1359"/>
      <c r="H518" s="1359"/>
      <c r="I518" s="1359"/>
      <c r="J518" s="1359"/>
      <c r="K518" s="1359"/>
      <c r="L518" s="1359"/>
      <c r="M518" s="1359"/>
      <c r="N518" s="1359"/>
      <c r="O518" s="1359"/>
      <c r="P518" s="1359"/>
    </row>
    <row r="519">
      <c r="A519" s="1359"/>
      <c r="B519" s="1359"/>
      <c r="C519" s="1359"/>
      <c r="D519" s="1359"/>
      <c r="E519" s="1359"/>
      <c r="F519" s="1359"/>
      <c r="G519" s="1359"/>
      <c r="H519" s="1359"/>
      <c r="I519" s="1359"/>
      <c r="J519" s="1359"/>
      <c r="K519" s="1359"/>
      <c r="L519" s="1359"/>
      <c r="M519" s="1359"/>
      <c r="N519" s="1359"/>
      <c r="O519" s="1359"/>
      <c r="P519" s="1359"/>
    </row>
    <row r="520">
      <c r="A520" s="1359"/>
      <c r="B520" s="1359"/>
      <c r="C520" s="1359"/>
      <c r="D520" s="1359"/>
      <c r="E520" s="1359"/>
      <c r="F520" s="1359"/>
      <c r="G520" s="1359"/>
      <c r="H520" s="1359"/>
      <c r="I520" s="1359"/>
      <c r="J520" s="1359"/>
      <c r="K520" s="1359"/>
      <c r="L520" s="1359"/>
      <c r="M520" s="1359"/>
      <c r="N520" s="1359"/>
      <c r="O520" s="1359"/>
      <c r="P520" s="1359"/>
    </row>
    <row r="521">
      <c r="A521" s="1359"/>
      <c r="B521" s="1359"/>
      <c r="C521" s="1359"/>
      <c r="D521" s="1359"/>
      <c r="E521" s="1359"/>
      <c r="F521" s="1359"/>
      <c r="G521" s="1359"/>
      <c r="H521" s="1359"/>
      <c r="I521" s="1359"/>
      <c r="J521" s="1359"/>
      <c r="K521" s="1359"/>
      <c r="L521" s="1359"/>
      <c r="M521" s="1359"/>
      <c r="N521" s="1359"/>
      <c r="O521" s="1359"/>
      <c r="P521" s="1359"/>
    </row>
    <row r="522">
      <c r="A522" s="1359"/>
      <c r="B522" s="1359"/>
      <c r="C522" s="1359"/>
      <c r="D522" s="1359"/>
      <c r="E522" s="1359"/>
      <c r="F522" s="1359"/>
      <c r="G522" s="1359"/>
      <c r="H522" s="1359"/>
      <c r="I522" s="1359"/>
      <c r="J522" s="1359"/>
      <c r="K522" s="1359"/>
      <c r="L522" s="1359"/>
      <c r="M522" s="1359"/>
      <c r="N522" s="1359"/>
      <c r="O522" s="1359"/>
      <c r="P522" s="1359"/>
    </row>
    <row r="523">
      <c r="A523" s="1359"/>
      <c r="B523" s="1359"/>
      <c r="C523" s="1359"/>
      <c r="D523" s="1359"/>
      <c r="E523" s="1359"/>
      <c r="F523" s="1359"/>
      <c r="G523" s="1359"/>
      <c r="H523" s="1359"/>
      <c r="I523" s="1359"/>
      <c r="J523" s="1359"/>
      <c r="K523" s="1359"/>
      <c r="L523" s="1359"/>
      <c r="M523" s="1359"/>
      <c r="N523" s="1359"/>
      <c r="O523" s="1359"/>
      <c r="P523" s="1359"/>
    </row>
    <row r="524">
      <c r="A524" s="1359"/>
      <c r="B524" s="1359"/>
      <c r="C524" s="1359"/>
      <c r="D524" s="1359"/>
      <c r="E524" s="1359"/>
      <c r="F524" s="1359"/>
      <c r="G524" s="1359"/>
      <c r="H524" s="1359"/>
      <c r="I524" s="1359"/>
      <c r="J524" s="1359"/>
      <c r="K524" s="1359"/>
      <c r="L524" s="1359"/>
      <c r="M524" s="1359"/>
      <c r="N524" s="1359"/>
      <c r="O524" s="1359"/>
      <c r="P524" s="1359"/>
    </row>
    <row r="525">
      <c r="A525" s="1359"/>
      <c r="B525" s="1359"/>
      <c r="C525" s="1359"/>
      <c r="D525" s="1359"/>
      <c r="E525" s="1359"/>
      <c r="F525" s="1359"/>
      <c r="G525" s="1359"/>
      <c r="H525" s="1359"/>
      <c r="I525" s="1359"/>
      <c r="J525" s="1359"/>
      <c r="K525" s="1359"/>
      <c r="L525" s="1359"/>
      <c r="M525" s="1359"/>
      <c r="N525" s="1359"/>
      <c r="O525" s="1359"/>
      <c r="P525" s="1359"/>
    </row>
    <row r="526">
      <c r="A526" s="1359"/>
      <c r="B526" s="1359"/>
      <c r="C526" s="1359"/>
      <c r="D526" s="1359"/>
      <c r="E526" s="1359"/>
      <c r="F526" s="1359"/>
      <c r="G526" s="1359"/>
      <c r="H526" s="1359"/>
      <c r="I526" s="1359"/>
      <c r="J526" s="1359"/>
      <c r="K526" s="1359"/>
      <c r="L526" s="1359"/>
      <c r="M526" s="1359"/>
      <c r="N526" s="1359"/>
      <c r="O526" s="1359"/>
      <c r="P526" s="1359"/>
    </row>
    <row r="527">
      <c r="A527" s="1359"/>
      <c r="B527" s="1359"/>
      <c r="C527" s="1359"/>
      <c r="D527" s="1359"/>
      <c r="E527" s="1359"/>
      <c r="F527" s="1359"/>
      <c r="G527" s="1359"/>
      <c r="H527" s="1359"/>
      <c r="I527" s="1359"/>
      <c r="J527" s="1359"/>
      <c r="K527" s="1359"/>
      <c r="L527" s="1359"/>
      <c r="M527" s="1359"/>
      <c r="N527" s="1359"/>
      <c r="O527" s="1359"/>
      <c r="P527" s="1359"/>
    </row>
    <row r="528">
      <c r="A528" s="1359"/>
      <c r="B528" s="1359"/>
      <c r="C528" s="1359"/>
      <c r="D528" s="1359"/>
      <c r="E528" s="1359"/>
      <c r="F528" s="1359"/>
      <c r="G528" s="1359"/>
      <c r="H528" s="1359"/>
      <c r="I528" s="1359"/>
      <c r="J528" s="1359"/>
      <c r="K528" s="1359"/>
      <c r="L528" s="1359"/>
      <c r="M528" s="1359"/>
      <c r="N528" s="1359"/>
      <c r="O528" s="1359"/>
      <c r="P528" s="1359"/>
    </row>
    <row r="529">
      <c r="A529" s="1359"/>
      <c r="B529" s="1359"/>
      <c r="C529" s="1359"/>
      <c r="D529" s="1359"/>
      <c r="E529" s="1359"/>
      <c r="F529" s="1359"/>
      <c r="G529" s="1359"/>
      <c r="H529" s="1359"/>
      <c r="I529" s="1359"/>
      <c r="J529" s="1359"/>
      <c r="K529" s="1359"/>
      <c r="L529" s="1359"/>
      <c r="M529" s="1359"/>
      <c r="N529" s="1359"/>
      <c r="O529" s="1359"/>
      <c r="P529" s="1359"/>
    </row>
    <row r="530">
      <c r="A530" s="1359"/>
      <c r="B530" s="1359"/>
      <c r="C530" s="1359"/>
      <c r="D530" s="1359"/>
      <c r="E530" s="1359"/>
      <c r="F530" s="1359"/>
      <c r="G530" s="1359"/>
      <c r="H530" s="1359"/>
      <c r="I530" s="1359"/>
      <c r="J530" s="1359"/>
      <c r="K530" s="1359"/>
      <c r="L530" s="1359"/>
      <c r="M530" s="1359"/>
      <c r="N530" s="1359"/>
      <c r="O530" s="1359"/>
      <c r="P530" s="1359"/>
    </row>
    <row r="531">
      <c r="A531" s="1359"/>
      <c r="B531" s="1359"/>
      <c r="C531" s="1359"/>
      <c r="D531" s="1359"/>
      <c r="E531" s="1359"/>
      <c r="F531" s="1359"/>
      <c r="G531" s="1359"/>
      <c r="H531" s="1359"/>
      <c r="I531" s="1359"/>
      <c r="J531" s="1359"/>
      <c r="K531" s="1359"/>
      <c r="L531" s="1359"/>
      <c r="M531" s="1359"/>
      <c r="N531" s="1359"/>
      <c r="O531" s="1359"/>
      <c r="P531" s="1359"/>
    </row>
    <row r="532">
      <c r="A532" s="1359"/>
      <c r="B532" s="1359"/>
      <c r="C532" s="1359"/>
      <c r="D532" s="1359"/>
      <c r="E532" s="1359"/>
      <c r="F532" s="1359"/>
      <c r="G532" s="1359"/>
      <c r="H532" s="1359"/>
      <c r="I532" s="1359"/>
      <c r="J532" s="1359"/>
      <c r="K532" s="1359"/>
      <c r="L532" s="1359"/>
      <c r="M532" s="1359"/>
      <c r="N532" s="1359"/>
      <c r="O532" s="1359"/>
      <c r="P532" s="1359"/>
    </row>
    <row r="533">
      <c r="A533" s="1359"/>
      <c r="B533" s="1359"/>
      <c r="C533" s="1359"/>
      <c r="D533" s="1359"/>
      <c r="E533" s="1359"/>
      <c r="F533" s="1359"/>
      <c r="G533" s="1359"/>
      <c r="H533" s="1359"/>
      <c r="I533" s="1359"/>
      <c r="J533" s="1359"/>
      <c r="K533" s="1359"/>
      <c r="L533" s="1359"/>
      <c r="M533" s="1359"/>
      <c r="N533" s="1359"/>
      <c r="O533" s="1359"/>
      <c r="P533" s="1359"/>
    </row>
    <row r="534">
      <c r="A534" s="1359"/>
      <c r="B534" s="1359"/>
      <c r="C534" s="1359"/>
      <c r="D534" s="1359"/>
      <c r="E534" s="1359"/>
      <c r="F534" s="1359"/>
      <c r="G534" s="1359"/>
      <c r="H534" s="1359"/>
      <c r="I534" s="1359"/>
      <c r="J534" s="1359"/>
      <c r="K534" s="1359"/>
      <c r="L534" s="1359"/>
      <c r="M534" s="1359"/>
      <c r="N534" s="1359"/>
      <c r="O534" s="1359"/>
      <c r="P534" s="1359"/>
    </row>
    <row r="535">
      <c r="A535" s="1359"/>
      <c r="B535" s="1359"/>
      <c r="C535" s="1359"/>
      <c r="D535" s="1359"/>
      <c r="E535" s="1359"/>
      <c r="F535" s="1359"/>
      <c r="G535" s="1359"/>
      <c r="H535" s="1359"/>
      <c r="I535" s="1359"/>
      <c r="J535" s="1359"/>
      <c r="K535" s="1359"/>
      <c r="L535" s="1359"/>
      <c r="M535" s="1359"/>
      <c r="N535" s="1359"/>
      <c r="O535" s="1359"/>
      <c r="P535" s="1359"/>
    </row>
    <row r="536">
      <c r="A536" s="1359"/>
      <c r="B536" s="1359"/>
      <c r="C536" s="1359"/>
      <c r="D536" s="1359"/>
      <c r="E536" s="1359"/>
      <c r="F536" s="1359"/>
      <c r="G536" s="1359"/>
      <c r="H536" s="1359"/>
      <c r="I536" s="1359"/>
      <c r="J536" s="1359"/>
      <c r="K536" s="1359"/>
      <c r="L536" s="1359"/>
      <c r="M536" s="1359"/>
      <c r="N536" s="1359"/>
      <c r="O536" s="1359"/>
      <c r="P536" s="1359"/>
    </row>
    <row r="537">
      <c r="A537" s="1359"/>
      <c r="B537" s="1359"/>
      <c r="C537" s="1359"/>
      <c r="D537" s="1359"/>
      <c r="E537" s="1359"/>
      <c r="F537" s="1359"/>
      <c r="G537" s="1359"/>
      <c r="H537" s="1359"/>
      <c r="I537" s="1359"/>
      <c r="J537" s="1359"/>
      <c r="K537" s="1359"/>
      <c r="L537" s="1359"/>
      <c r="M537" s="1359"/>
      <c r="N537" s="1359"/>
      <c r="O537" s="1359"/>
      <c r="P537" s="1359"/>
    </row>
    <row r="538">
      <c r="A538" s="1359"/>
      <c r="B538" s="1359"/>
      <c r="C538" s="1359"/>
      <c r="D538" s="1359"/>
      <c r="E538" s="1359"/>
      <c r="F538" s="1359"/>
      <c r="G538" s="1359"/>
      <c r="H538" s="1359"/>
      <c r="I538" s="1359"/>
      <c r="J538" s="1359"/>
      <c r="K538" s="1359"/>
      <c r="L538" s="1359"/>
      <c r="M538" s="1359"/>
      <c r="N538" s="1359"/>
      <c r="O538" s="1359"/>
      <c r="P538" s="1359"/>
    </row>
    <row r="539">
      <c r="A539" s="1359"/>
      <c r="B539" s="1359"/>
      <c r="C539" s="1359"/>
      <c r="D539" s="1359"/>
      <c r="E539" s="1359"/>
      <c r="F539" s="1359"/>
      <c r="G539" s="1359"/>
      <c r="H539" s="1359"/>
      <c r="I539" s="1359"/>
      <c r="J539" s="1359"/>
      <c r="K539" s="1359"/>
      <c r="L539" s="1359"/>
      <c r="M539" s="1359"/>
      <c r="N539" s="1359"/>
      <c r="O539" s="1359"/>
      <c r="P539" s="1359"/>
    </row>
    <row r="540">
      <c r="A540" s="1359"/>
      <c r="B540" s="1359"/>
      <c r="C540" s="1359"/>
      <c r="D540" s="1359"/>
      <c r="E540" s="1359"/>
      <c r="F540" s="1359"/>
      <c r="G540" s="1359"/>
      <c r="H540" s="1359"/>
      <c r="I540" s="1359"/>
      <c r="J540" s="1359"/>
      <c r="K540" s="1359"/>
      <c r="L540" s="1359"/>
      <c r="M540" s="1359"/>
      <c r="N540" s="1359"/>
      <c r="O540" s="1359"/>
      <c r="P540" s="1359"/>
    </row>
    <row r="541">
      <c r="A541" s="1359"/>
      <c r="B541" s="1359"/>
      <c r="C541" s="1359"/>
      <c r="D541" s="1359"/>
      <c r="E541" s="1359"/>
      <c r="F541" s="1359"/>
      <c r="G541" s="1359"/>
      <c r="H541" s="1359"/>
      <c r="I541" s="1359"/>
      <c r="J541" s="1359"/>
      <c r="K541" s="1359"/>
      <c r="L541" s="1359"/>
      <c r="M541" s="1359"/>
      <c r="N541" s="1359"/>
      <c r="O541" s="1359"/>
      <c r="P541" s="1359"/>
    </row>
    <row r="542">
      <c r="A542" s="1359"/>
      <c r="B542" s="1359"/>
      <c r="C542" s="1359"/>
      <c r="D542" s="1359"/>
      <c r="E542" s="1359"/>
      <c r="F542" s="1359"/>
      <c r="G542" s="1359"/>
      <c r="H542" s="1359"/>
      <c r="I542" s="1359"/>
      <c r="J542" s="1359"/>
      <c r="K542" s="1359"/>
      <c r="L542" s="1359"/>
      <c r="M542" s="1359"/>
      <c r="N542" s="1359"/>
      <c r="O542" s="1359"/>
      <c r="P542" s="1359"/>
    </row>
    <row r="543">
      <c r="A543" s="1359"/>
      <c r="B543" s="1359"/>
      <c r="C543" s="1359"/>
      <c r="D543" s="1359"/>
      <c r="E543" s="1359"/>
      <c r="F543" s="1359"/>
      <c r="G543" s="1359"/>
      <c r="H543" s="1359"/>
      <c r="I543" s="1359"/>
      <c r="J543" s="1359"/>
      <c r="K543" s="1359"/>
      <c r="L543" s="1359"/>
      <c r="M543" s="1359"/>
      <c r="N543" s="1359"/>
      <c r="O543" s="1359"/>
      <c r="P543" s="1359"/>
    </row>
    <row r="544">
      <c r="A544" s="1359"/>
      <c r="B544" s="1359"/>
      <c r="C544" s="1359"/>
      <c r="D544" s="1359"/>
      <c r="E544" s="1359"/>
      <c r="F544" s="1359"/>
      <c r="G544" s="1359"/>
      <c r="H544" s="1359"/>
      <c r="I544" s="1359"/>
      <c r="J544" s="1359"/>
      <c r="K544" s="1359"/>
      <c r="L544" s="1359"/>
      <c r="M544" s="1359"/>
      <c r="N544" s="1359"/>
      <c r="O544" s="1359"/>
      <c r="P544" s="1359"/>
    </row>
    <row r="545">
      <c r="A545" s="1359"/>
      <c r="B545" s="1359"/>
      <c r="C545" s="1359"/>
      <c r="D545" s="1359"/>
      <c r="E545" s="1359"/>
      <c r="F545" s="1359"/>
      <c r="G545" s="1359"/>
      <c r="H545" s="1359"/>
      <c r="I545" s="1359"/>
      <c r="J545" s="1359"/>
      <c r="K545" s="1359"/>
      <c r="L545" s="1359"/>
      <c r="M545" s="1359"/>
      <c r="N545" s="1359"/>
      <c r="O545" s="1359"/>
      <c r="P545" s="1359"/>
    </row>
    <row r="546">
      <c r="A546" s="1359"/>
      <c r="B546" s="1359"/>
      <c r="C546" s="1359"/>
      <c r="D546" s="1359"/>
      <c r="E546" s="1359"/>
      <c r="F546" s="1359"/>
      <c r="G546" s="1359"/>
      <c r="H546" s="1359"/>
      <c r="I546" s="1359"/>
      <c r="J546" s="1359"/>
      <c r="K546" s="1359"/>
      <c r="L546" s="1359"/>
      <c r="M546" s="1359"/>
      <c r="N546" s="1359"/>
      <c r="O546" s="1359"/>
      <c r="P546" s="1359"/>
    </row>
    <row r="547">
      <c r="A547" s="1359"/>
      <c r="B547" s="1359"/>
      <c r="C547" s="1359"/>
      <c r="D547" s="1359"/>
      <c r="E547" s="1359"/>
      <c r="F547" s="1359"/>
      <c r="G547" s="1359"/>
      <c r="H547" s="1359"/>
      <c r="I547" s="1359"/>
      <c r="J547" s="1359"/>
      <c r="K547" s="1359"/>
      <c r="L547" s="1359"/>
      <c r="M547" s="1359"/>
      <c r="N547" s="1359"/>
      <c r="O547" s="1359"/>
      <c r="P547" s="1359"/>
    </row>
    <row r="548">
      <c r="A548" s="1359"/>
      <c r="B548" s="1359"/>
      <c r="C548" s="1359"/>
      <c r="D548" s="1359"/>
      <c r="E548" s="1359"/>
      <c r="F548" s="1359"/>
      <c r="G548" s="1359"/>
      <c r="H548" s="1359"/>
      <c r="I548" s="1359"/>
      <c r="J548" s="1359"/>
      <c r="K548" s="1359"/>
      <c r="L548" s="1359"/>
      <c r="M548" s="1359"/>
      <c r="N548" s="1359"/>
      <c r="O548" s="1359"/>
      <c r="P548" s="1359"/>
    </row>
    <row r="549">
      <c r="A549" s="1359"/>
      <c r="B549" s="1359"/>
      <c r="C549" s="1359"/>
      <c r="D549" s="1359"/>
      <c r="E549" s="1359"/>
      <c r="F549" s="1359"/>
      <c r="G549" s="1359"/>
      <c r="H549" s="1359"/>
      <c r="I549" s="1359"/>
      <c r="J549" s="1359"/>
      <c r="K549" s="1359"/>
      <c r="L549" s="1359"/>
      <c r="M549" s="1359"/>
      <c r="N549" s="1359"/>
      <c r="O549" s="1359"/>
      <c r="P549" s="1359"/>
    </row>
    <row r="550">
      <c r="A550" s="1359"/>
      <c r="B550" s="1359"/>
      <c r="C550" s="1359"/>
      <c r="D550" s="1359"/>
      <c r="E550" s="1359"/>
      <c r="F550" s="1359"/>
      <c r="G550" s="1359"/>
      <c r="H550" s="1359"/>
      <c r="I550" s="1359"/>
      <c r="J550" s="1359"/>
      <c r="K550" s="1359"/>
      <c r="L550" s="1359"/>
      <c r="M550" s="1359"/>
      <c r="N550" s="1359"/>
      <c r="O550" s="1359"/>
      <c r="P550" s="1359"/>
    </row>
    <row r="551">
      <c r="A551" s="1359"/>
      <c r="B551" s="1359"/>
      <c r="C551" s="1359"/>
      <c r="D551" s="1359"/>
      <c r="E551" s="1359"/>
      <c r="F551" s="1359"/>
      <c r="G551" s="1359"/>
      <c r="H551" s="1359"/>
      <c r="I551" s="1359"/>
      <c r="J551" s="1359"/>
      <c r="K551" s="1359"/>
      <c r="L551" s="1359"/>
      <c r="M551" s="1359"/>
      <c r="N551" s="1359"/>
      <c r="O551" s="1359"/>
      <c r="P551" s="1359"/>
    </row>
    <row r="552">
      <c r="A552" s="1359"/>
      <c r="B552" s="1359"/>
      <c r="C552" s="1359"/>
      <c r="D552" s="1359"/>
      <c r="E552" s="1359"/>
      <c r="F552" s="1359"/>
      <c r="G552" s="1359"/>
      <c r="H552" s="1359"/>
      <c r="I552" s="1359"/>
      <c r="J552" s="1359"/>
      <c r="K552" s="1359"/>
      <c r="L552" s="1359"/>
      <c r="M552" s="1359"/>
      <c r="N552" s="1359"/>
      <c r="O552" s="1359"/>
      <c r="P552" s="1359"/>
    </row>
    <row r="553">
      <c r="A553" s="1359"/>
      <c r="B553" s="1359"/>
      <c r="C553" s="1359"/>
      <c r="D553" s="1359"/>
      <c r="E553" s="1359"/>
      <c r="F553" s="1359"/>
      <c r="G553" s="1359"/>
      <c r="H553" s="1359"/>
      <c r="I553" s="1359"/>
      <c r="J553" s="1359"/>
      <c r="K553" s="1359"/>
      <c r="L553" s="1359"/>
      <c r="M553" s="1359"/>
      <c r="N553" s="1359"/>
      <c r="O553" s="1359"/>
      <c r="P553" s="1359"/>
    </row>
    <row r="554">
      <c r="A554" s="1359"/>
      <c r="B554" s="1359"/>
      <c r="C554" s="1359"/>
      <c r="D554" s="1359"/>
      <c r="E554" s="1359"/>
      <c r="F554" s="1359"/>
      <c r="G554" s="1359"/>
      <c r="H554" s="1359"/>
      <c r="I554" s="1359"/>
      <c r="J554" s="1359"/>
      <c r="K554" s="1359"/>
      <c r="L554" s="1359"/>
      <c r="M554" s="1359"/>
      <c r="N554" s="1359"/>
      <c r="O554" s="1359"/>
      <c r="P554" s="1359"/>
    </row>
    <row r="555">
      <c r="A555" s="1359"/>
      <c r="B555" s="1359"/>
      <c r="C555" s="1359"/>
      <c r="D555" s="1359"/>
      <c r="E555" s="1359"/>
      <c r="F555" s="1359"/>
      <c r="G555" s="1359"/>
      <c r="H555" s="1359"/>
      <c r="I555" s="1359"/>
      <c r="J555" s="1359"/>
      <c r="K555" s="1359"/>
      <c r="L555" s="1359"/>
      <c r="M555" s="1359"/>
      <c r="N555" s="1359"/>
      <c r="O555" s="1359"/>
      <c r="P555" s="1359"/>
    </row>
    <row r="556">
      <c r="A556" s="1359"/>
      <c r="B556" s="1359"/>
      <c r="C556" s="1359"/>
      <c r="D556" s="1359"/>
      <c r="E556" s="1359"/>
      <c r="F556" s="1359"/>
      <c r="G556" s="1359"/>
      <c r="H556" s="1359"/>
      <c r="I556" s="1359"/>
      <c r="J556" s="1359"/>
      <c r="K556" s="1359"/>
      <c r="L556" s="1359"/>
      <c r="M556" s="1359"/>
      <c r="N556" s="1359"/>
      <c r="O556" s="1359"/>
      <c r="P556" s="1359"/>
    </row>
    <row r="557">
      <c r="A557" s="1359"/>
      <c r="B557" s="1359"/>
      <c r="C557" s="1359"/>
      <c r="D557" s="1359"/>
      <c r="E557" s="1359"/>
      <c r="F557" s="1359"/>
      <c r="G557" s="1359"/>
      <c r="H557" s="1359"/>
      <c r="I557" s="1359"/>
      <c r="J557" s="1359"/>
      <c r="K557" s="1359"/>
      <c r="L557" s="1359"/>
      <c r="M557" s="1359"/>
      <c r="N557" s="1359"/>
      <c r="O557" s="1359"/>
      <c r="P557" s="1359"/>
    </row>
    <row r="558">
      <c r="A558" s="1359"/>
      <c r="B558" s="1359"/>
      <c r="C558" s="1359"/>
      <c r="D558" s="1359"/>
      <c r="E558" s="1359"/>
      <c r="F558" s="1359"/>
      <c r="G558" s="1359"/>
      <c r="H558" s="1359"/>
      <c r="I558" s="1359"/>
      <c r="J558" s="1359"/>
      <c r="K558" s="1359"/>
      <c r="L558" s="1359"/>
      <c r="M558" s="1359"/>
      <c r="N558" s="1359"/>
      <c r="O558" s="1359"/>
      <c r="P558" s="1359"/>
    </row>
    <row r="559">
      <c r="A559" s="1359"/>
      <c r="B559" s="1359"/>
      <c r="C559" s="1359"/>
      <c r="D559" s="1359"/>
      <c r="E559" s="1359"/>
      <c r="F559" s="1359"/>
      <c r="G559" s="1359"/>
      <c r="H559" s="1359"/>
      <c r="I559" s="1359"/>
      <c r="J559" s="1359"/>
      <c r="K559" s="1359"/>
      <c r="L559" s="1359"/>
      <c r="M559" s="1359"/>
      <c r="N559" s="1359"/>
      <c r="O559" s="1359"/>
      <c r="P559" s="1359"/>
    </row>
    <row r="560">
      <c r="A560" s="1359"/>
      <c r="B560" s="1359"/>
      <c r="C560" s="1359"/>
      <c r="D560" s="1359"/>
      <c r="E560" s="1359"/>
      <c r="F560" s="1359"/>
      <c r="G560" s="1359"/>
      <c r="H560" s="1359"/>
      <c r="I560" s="1359"/>
      <c r="J560" s="1359"/>
      <c r="K560" s="1359"/>
      <c r="L560" s="1359"/>
      <c r="M560" s="1359"/>
      <c r="N560" s="1359"/>
      <c r="O560" s="1359"/>
      <c r="P560" s="1359"/>
    </row>
    <row r="561">
      <c r="A561" s="1359"/>
      <c r="B561" s="1359"/>
      <c r="C561" s="1359"/>
      <c r="D561" s="1359"/>
      <c r="E561" s="1359"/>
      <c r="F561" s="1359"/>
      <c r="G561" s="1359"/>
      <c r="H561" s="1359"/>
      <c r="I561" s="1359"/>
      <c r="J561" s="1359"/>
      <c r="K561" s="1359"/>
      <c r="L561" s="1359"/>
      <c r="M561" s="1359"/>
      <c r="N561" s="1359"/>
      <c r="O561" s="1359"/>
      <c r="P561" s="1359"/>
    </row>
    <row r="562">
      <c r="A562" s="1359"/>
      <c r="B562" s="1359"/>
      <c r="C562" s="1359"/>
      <c r="D562" s="1359"/>
      <c r="E562" s="1359"/>
      <c r="F562" s="1359"/>
      <c r="G562" s="1359"/>
      <c r="H562" s="1359"/>
      <c r="I562" s="1359"/>
      <c r="J562" s="1359"/>
      <c r="K562" s="1359"/>
      <c r="L562" s="1359"/>
      <c r="M562" s="1359"/>
      <c r="N562" s="1359"/>
      <c r="O562" s="1359"/>
      <c r="P562" s="1359"/>
    </row>
    <row r="563">
      <c r="A563" s="1359"/>
      <c r="B563" s="1359"/>
      <c r="C563" s="1359"/>
      <c r="D563" s="1359"/>
      <c r="E563" s="1359"/>
      <c r="F563" s="1359"/>
      <c r="G563" s="1359"/>
      <c r="H563" s="1359"/>
      <c r="I563" s="1359"/>
      <c r="J563" s="1359"/>
      <c r="K563" s="1359"/>
      <c r="L563" s="1359"/>
      <c r="M563" s="1359"/>
      <c r="N563" s="1359"/>
      <c r="O563" s="1359"/>
      <c r="P563" s="1359"/>
    </row>
    <row r="564">
      <c r="A564" s="1359"/>
      <c r="B564" s="1359"/>
      <c r="C564" s="1359"/>
      <c r="D564" s="1359"/>
      <c r="E564" s="1359"/>
      <c r="F564" s="1359"/>
      <c r="G564" s="1359"/>
      <c r="H564" s="1359"/>
      <c r="I564" s="1359"/>
      <c r="J564" s="1359"/>
      <c r="K564" s="1359"/>
      <c r="L564" s="1359"/>
      <c r="M564" s="1359"/>
      <c r="N564" s="1359"/>
      <c r="O564" s="1359"/>
      <c r="P564" s="1359"/>
    </row>
    <row r="565">
      <c r="A565" s="1359"/>
      <c r="B565" s="1359"/>
      <c r="C565" s="1359"/>
      <c r="D565" s="1359"/>
      <c r="E565" s="1359"/>
      <c r="F565" s="1359"/>
      <c r="G565" s="1359"/>
      <c r="H565" s="1359"/>
      <c r="I565" s="1359"/>
      <c r="J565" s="1359"/>
      <c r="K565" s="1359"/>
      <c r="L565" s="1359"/>
      <c r="M565" s="1359"/>
      <c r="N565" s="1359"/>
      <c r="O565" s="1359"/>
      <c r="P565" s="1359"/>
    </row>
    <row r="566">
      <c r="A566" s="1359"/>
      <c r="B566" s="1359"/>
      <c r="C566" s="1359"/>
      <c r="D566" s="1359"/>
      <c r="E566" s="1359"/>
      <c r="F566" s="1359"/>
      <c r="G566" s="1359"/>
      <c r="H566" s="1359"/>
      <c r="I566" s="1359"/>
      <c r="J566" s="1359"/>
      <c r="K566" s="1359"/>
      <c r="L566" s="1359"/>
      <c r="M566" s="1359"/>
      <c r="N566" s="1359"/>
      <c r="O566" s="1359"/>
      <c r="P566" s="1359"/>
    </row>
    <row r="567">
      <c r="A567" s="1359"/>
      <c r="B567" s="1359"/>
      <c r="C567" s="1359"/>
      <c r="D567" s="1359"/>
      <c r="E567" s="1359"/>
      <c r="F567" s="1359"/>
      <c r="G567" s="1359"/>
      <c r="H567" s="1359"/>
      <c r="I567" s="1359"/>
      <c r="J567" s="1359"/>
      <c r="K567" s="1359"/>
      <c r="L567" s="1359"/>
      <c r="M567" s="1359"/>
      <c r="N567" s="1359"/>
      <c r="O567" s="1359"/>
      <c r="P567" s="1359"/>
    </row>
    <row r="568">
      <c r="A568" s="1359"/>
      <c r="B568" s="1359"/>
      <c r="C568" s="1359"/>
      <c r="D568" s="1359"/>
      <c r="E568" s="1359"/>
      <c r="F568" s="1359"/>
      <c r="G568" s="1359"/>
      <c r="H568" s="1359"/>
      <c r="I568" s="1359"/>
      <c r="J568" s="1359"/>
      <c r="K568" s="1359"/>
      <c r="L568" s="1359"/>
      <c r="M568" s="1359"/>
      <c r="N568" s="1359"/>
      <c r="O568" s="1359"/>
      <c r="P568" s="1359"/>
    </row>
    <row r="569">
      <c r="A569" s="1359"/>
      <c r="B569" s="1359"/>
      <c r="C569" s="1359"/>
      <c r="D569" s="1359"/>
      <c r="E569" s="1359"/>
      <c r="F569" s="1359"/>
      <c r="G569" s="1359"/>
      <c r="H569" s="1359"/>
      <c r="I569" s="1359"/>
      <c r="J569" s="1359"/>
      <c r="K569" s="1359"/>
      <c r="L569" s="1359"/>
      <c r="M569" s="1359"/>
      <c r="N569" s="1359"/>
      <c r="O569" s="1359"/>
      <c r="P569" s="1359"/>
    </row>
    <row r="570">
      <c r="A570" s="1359"/>
      <c r="B570" s="1359"/>
      <c r="C570" s="1359"/>
      <c r="D570" s="1359"/>
      <c r="E570" s="1359"/>
      <c r="F570" s="1359"/>
      <c r="G570" s="1359"/>
      <c r="H570" s="1359"/>
      <c r="I570" s="1359"/>
      <c r="J570" s="1359"/>
      <c r="K570" s="1359"/>
      <c r="L570" s="1359"/>
      <c r="M570" s="1359"/>
      <c r="N570" s="1359"/>
      <c r="O570" s="1359"/>
      <c r="P570" s="1359"/>
    </row>
    <row r="571">
      <c r="A571" s="1359"/>
      <c r="B571" s="1359"/>
      <c r="C571" s="1359"/>
      <c r="D571" s="1359"/>
      <c r="E571" s="1359"/>
      <c r="F571" s="1359"/>
      <c r="G571" s="1359"/>
      <c r="H571" s="1359"/>
      <c r="I571" s="1359"/>
      <c r="J571" s="1359"/>
      <c r="K571" s="1359"/>
      <c r="L571" s="1359"/>
      <c r="M571" s="1359"/>
      <c r="N571" s="1359"/>
      <c r="O571" s="1359"/>
      <c r="P571" s="1359"/>
    </row>
    <row r="572">
      <c r="A572" s="1359"/>
      <c r="B572" s="1359"/>
      <c r="C572" s="1359"/>
      <c r="D572" s="1359"/>
      <c r="E572" s="1359"/>
      <c r="F572" s="1359"/>
      <c r="G572" s="1359"/>
      <c r="H572" s="1359"/>
      <c r="I572" s="1359"/>
      <c r="J572" s="1359"/>
      <c r="K572" s="1359"/>
      <c r="L572" s="1359"/>
      <c r="M572" s="1359"/>
      <c r="N572" s="1359"/>
      <c r="O572" s="1359"/>
      <c r="P572" s="1359"/>
    </row>
    <row r="573">
      <c r="A573" s="1359"/>
      <c r="B573" s="1359"/>
      <c r="C573" s="1359"/>
      <c r="D573" s="1359"/>
      <c r="E573" s="1359"/>
      <c r="F573" s="1359"/>
      <c r="G573" s="1359"/>
      <c r="H573" s="1359"/>
      <c r="I573" s="1359"/>
      <c r="J573" s="1359"/>
      <c r="K573" s="1359"/>
      <c r="L573" s="1359"/>
      <c r="M573" s="1359"/>
      <c r="N573" s="1359"/>
      <c r="O573" s="1359"/>
      <c r="P573" s="1359"/>
    </row>
    <row r="574">
      <c r="A574" s="1359"/>
      <c r="B574" s="1359"/>
      <c r="C574" s="1359"/>
      <c r="D574" s="1359"/>
      <c r="E574" s="1359"/>
      <c r="F574" s="1359"/>
      <c r="G574" s="1359"/>
      <c r="H574" s="1359"/>
      <c r="I574" s="1359"/>
      <c r="J574" s="1359"/>
      <c r="K574" s="1359"/>
      <c r="L574" s="1359"/>
      <c r="M574" s="1359"/>
      <c r="N574" s="1359"/>
      <c r="O574" s="1359"/>
      <c r="P574" s="1359"/>
    </row>
    <row r="575">
      <c r="A575" s="1359"/>
      <c r="B575" s="1359"/>
      <c r="C575" s="1359"/>
      <c r="D575" s="1359"/>
      <c r="E575" s="1359"/>
      <c r="F575" s="1359"/>
      <c r="G575" s="1359"/>
      <c r="H575" s="1359"/>
      <c r="I575" s="1359"/>
      <c r="J575" s="1359"/>
      <c r="K575" s="1359"/>
      <c r="L575" s="1359"/>
      <c r="M575" s="1359"/>
      <c r="N575" s="1359"/>
      <c r="O575" s="1359"/>
      <c r="P575" s="1359"/>
    </row>
    <row r="576">
      <c r="A576" s="1359"/>
      <c r="B576" s="1359"/>
      <c r="C576" s="1359"/>
      <c r="D576" s="1359"/>
      <c r="E576" s="1359"/>
      <c r="F576" s="1359"/>
      <c r="G576" s="1359"/>
      <c r="H576" s="1359"/>
      <c r="I576" s="1359"/>
      <c r="J576" s="1359"/>
      <c r="K576" s="1359"/>
      <c r="L576" s="1359"/>
      <c r="M576" s="1359"/>
      <c r="N576" s="1359"/>
      <c r="O576" s="1359"/>
      <c r="P576" s="1359"/>
    </row>
    <row r="577">
      <c r="A577" s="1359"/>
      <c r="B577" s="1359"/>
      <c r="C577" s="1359"/>
      <c r="D577" s="1359"/>
      <c r="E577" s="1359"/>
      <c r="F577" s="1359"/>
      <c r="G577" s="1359"/>
      <c r="H577" s="1359"/>
      <c r="I577" s="1359"/>
      <c r="J577" s="1359"/>
      <c r="K577" s="1359"/>
      <c r="L577" s="1359"/>
      <c r="M577" s="1359"/>
      <c r="N577" s="1359"/>
      <c r="O577" s="1359"/>
      <c r="P577" s="1359"/>
    </row>
    <row r="578">
      <c r="A578" s="1359"/>
      <c r="B578" s="1359"/>
      <c r="C578" s="1359"/>
      <c r="D578" s="1359"/>
      <c r="E578" s="1359"/>
      <c r="F578" s="1359"/>
      <c r="G578" s="1359"/>
      <c r="H578" s="1359"/>
      <c r="I578" s="1359"/>
      <c r="J578" s="1359"/>
      <c r="K578" s="1359"/>
      <c r="L578" s="1359"/>
      <c r="M578" s="1359"/>
      <c r="N578" s="1359"/>
      <c r="O578" s="1359"/>
      <c r="P578" s="1359"/>
    </row>
    <row r="579">
      <c r="A579" s="1359"/>
      <c r="B579" s="1359"/>
      <c r="C579" s="1359"/>
      <c r="D579" s="1359"/>
      <c r="E579" s="1359"/>
      <c r="F579" s="1359"/>
      <c r="G579" s="1359"/>
      <c r="H579" s="1359"/>
      <c r="I579" s="1359"/>
      <c r="J579" s="1359"/>
      <c r="K579" s="1359"/>
      <c r="L579" s="1359"/>
      <c r="M579" s="1359"/>
      <c r="N579" s="1359"/>
      <c r="O579" s="1359"/>
      <c r="P579" s="1359"/>
    </row>
    <row r="580">
      <c r="A580" s="1359"/>
      <c r="B580" s="1359"/>
      <c r="C580" s="1359"/>
      <c r="D580" s="1359"/>
      <c r="E580" s="1359"/>
      <c r="F580" s="1359"/>
      <c r="G580" s="1359"/>
      <c r="H580" s="1359"/>
      <c r="I580" s="1359"/>
      <c r="J580" s="1359"/>
      <c r="K580" s="1359"/>
      <c r="L580" s="1359"/>
      <c r="M580" s="1359"/>
      <c r="N580" s="1359"/>
      <c r="O580" s="1359"/>
      <c r="P580" s="1359"/>
    </row>
    <row r="581">
      <c r="A581" s="1359"/>
      <c r="B581" s="1359"/>
      <c r="C581" s="1359"/>
      <c r="D581" s="1359"/>
      <c r="E581" s="1359"/>
      <c r="F581" s="1359"/>
      <c r="G581" s="1359"/>
      <c r="H581" s="1359"/>
      <c r="I581" s="1359"/>
      <c r="J581" s="1359"/>
      <c r="K581" s="1359"/>
      <c r="L581" s="1359"/>
      <c r="M581" s="1359"/>
      <c r="N581" s="1359"/>
      <c r="O581" s="1359"/>
      <c r="P581" s="1359"/>
    </row>
    <row r="582">
      <c r="A582" s="1359"/>
      <c r="B582" s="1359"/>
      <c r="C582" s="1359"/>
      <c r="D582" s="1359"/>
      <c r="E582" s="1359"/>
      <c r="F582" s="1359"/>
      <c r="G582" s="1359"/>
      <c r="H582" s="1359"/>
      <c r="I582" s="1359"/>
      <c r="J582" s="1359"/>
      <c r="K582" s="1359"/>
      <c r="L582" s="1359"/>
      <c r="M582" s="1359"/>
      <c r="N582" s="1359"/>
      <c r="O582" s="1359"/>
      <c r="P582" s="1359"/>
    </row>
    <row r="583">
      <c r="A583" s="1359"/>
      <c r="B583" s="1359"/>
      <c r="C583" s="1359"/>
      <c r="D583" s="1359"/>
      <c r="E583" s="1359"/>
      <c r="F583" s="1359"/>
      <c r="G583" s="1359"/>
      <c r="H583" s="1359"/>
      <c r="I583" s="1359"/>
      <c r="J583" s="1359"/>
      <c r="K583" s="1359"/>
      <c r="L583" s="1359"/>
      <c r="M583" s="1359"/>
      <c r="N583" s="1359"/>
      <c r="O583" s="1359"/>
      <c r="P583" s="1359"/>
    </row>
    <row r="584">
      <c r="A584" s="1359"/>
      <c r="B584" s="1359"/>
      <c r="C584" s="1359"/>
      <c r="D584" s="1359"/>
      <c r="E584" s="1359"/>
      <c r="F584" s="1359"/>
      <c r="G584" s="1359"/>
      <c r="H584" s="1359"/>
      <c r="I584" s="1359"/>
      <c r="J584" s="1359"/>
      <c r="K584" s="1359"/>
      <c r="L584" s="1359"/>
      <c r="M584" s="1359"/>
      <c r="N584" s="1359"/>
      <c r="O584" s="1359"/>
      <c r="P584" s="1359"/>
    </row>
    <row r="585">
      <c r="A585" s="1359"/>
      <c r="B585" s="1359"/>
      <c r="C585" s="1359"/>
      <c r="D585" s="1359"/>
      <c r="E585" s="1359"/>
      <c r="F585" s="1359"/>
      <c r="G585" s="1359"/>
      <c r="H585" s="1359"/>
      <c r="I585" s="1359"/>
      <c r="J585" s="1359"/>
      <c r="K585" s="1359"/>
      <c r="L585" s="1359"/>
      <c r="M585" s="1359"/>
      <c r="N585" s="1359"/>
      <c r="O585" s="1359"/>
      <c r="P585" s="1359"/>
    </row>
    <row r="586">
      <c r="A586" s="1359"/>
      <c r="B586" s="1359"/>
      <c r="C586" s="1359"/>
      <c r="D586" s="1359"/>
      <c r="E586" s="1359"/>
      <c r="F586" s="1359"/>
      <c r="G586" s="1359"/>
      <c r="H586" s="1359"/>
      <c r="I586" s="1359"/>
      <c r="J586" s="1359"/>
      <c r="K586" s="1359"/>
      <c r="L586" s="1359"/>
      <c r="M586" s="1359"/>
      <c r="N586" s="1359"/>
      <c r="O586" s="1359"/>
      <c r="P586" s="1359"/>
    </row>
    <row r="587">
      <c r="A587" s="1359"/>
      <c r="B587" s="1359"/>
      <c r="C587" s="1359"/>
      <c r="D587" s="1359"/>
      <c r="E587" s="1359"/>
      <c r="F587" s="1359"/>
      <c r="G587" s="1359"/>
      <c r="H587" s="1359"/>
      <c r="I587" s="1359"/>
      <c r="J587" s="1359"/>
      <c r="K587" s="1359"/>
      <c r="L587" s="1359"/>
      <c r="M587" s="1359"/>
      <c r="N587" s="1359"/>
      <c r="O587" s="1359"/>
      <c r="P587" s="1359"/>
    </row>
    <row r="588">
      <c r="A588" s="1359"/>
      <c r="B588" s="1359"/>
      <c r="C588" s="1359"/>
      <c r="D588" s="1359"/>
      <c r="E588" s="1359"/>
      <c r="F588" s="1359"/>
      <c r="G588" s="1359"/>
      <c r="H588" s="1359"/>
      <c r="I588" s="1359"/>
      <c r="J588" s="1359"/>
      <c r="K588" s="1359"/>
      <c r="L588" s="1359"/>
      <c r="M588" s="1359"/>
      <c r="N588" s="1359"/>
      <c r="O588" s="1359"/>
      <c r="P588" s="1359"/>
    </row>
    <row r="589">
      <c r="A589" s="1359"/>
      <c r="B589" s="1359"/>
      <c r="C589" s="1359"/>
      <c r="D589" s="1359"/>
      <c r="E589" s="1359"/>
      <c r="F589" s="1359"/>
      <c r="G589" s="1359"/>
      <c r="H589" s="1359"/>
      <c r="I589" s="1359"/>
      <c r="J589" s="1359"/>
      <c r="K589" s="1359"/>
      <c r="L589" s="1359"/>
      <c r="M589" s="1359"/>
      <c r="N589" s="1359"/>
      <c r="O589" s="1359"/>
      <c r="P589" s="1359"/>
    </row>
    <row r="590">
      <c r="A590" s="1359"/>
      <c r="B590" s="1359"/>
      <c r="C590" s="1359"/>
      <c r="D590" s="1359"/>
      <c r="E590" s="1359"/>
      <c r="F590" s="1359"/>
      <c r="G590" s="1359"/>
      <c r="H590" s="1359"/>
      <c r="I590" s="1359"/>
      <c r="J590" s="1359"/>
      <c r="K590" s="1359"/>
      <c r="L590" s="1359"/>
      <c r="M590" s="1359"/>
      <c r="N590" s="1359"/>
      <c r="O590" s="1359"/>
      <c r="P590" s="1359"/>
    </row>
    <row r="591">
      <c r="A591" s="1359"/>
      <c r="B591" s="1359"/>
      <c r="C591" s="1359"/>
      <c r="D591" s="1359"/>
      <c r="E591" s="1359"/>
      <c r="F591" s="1359"/>
      <c r="G591" s="1359"/>
      <c r="H591" s="1359"/>
      <c r="I591" s="1359"/>
      <c r="J591" s="1359"/>
      <c r="K591" s="1359"/>
      <c r="L591" s="1359"/>
      <c r="M591" s="1359"/>
      <c r="N591" s="1359"/>
      <c r="O591" s="1359"/>
      <c r="P591" s="1359"/>
    </row>
    <row r="592">
      <c r="A592" s="1359"/>
      <c r="B592" s="1359"/>
      <c r="C592" s="1359"/>
      <c r="D592" s="1359"/>
      <c r="E592" s="1359"/>
      <c r="F592" s="1359"/>
      <c r="G592" s="1359"/>
      <c r="H592" s="1359"/>
      <c r="I592" s="1359"/>
      <c r="J592" s="1359"/>
      <c r="K592" s="1359"/>
      <c r="L592" s="1359"/>
      <c r="M592" s="1359"/>
      <c r="N592" s="1359"/>
      <c r="O592" s="1359"/>
      <c r="P592" s="1359"/>
    </row>
    <row r="593">
      <c r="A593" s="1359"/>
      <c r="B593" s="1359"/>
      <c r="C593" s="1359"/>
      <c r="D593" s="1359"/>
      <c r="E593" s="1359"/>
      <c r="F593" s="1359"/>
      <c r="G593" s="1359"/>
      <c r="H593" s="1359"/>
      <c r="I593" s="1359"/>
      <c r="J593" s="1359"/>
      <c r="K593" s="1359"/>
      <c r="L593" s="1359"/>
      <c r="M593" s="1359"/>
      <c r="N593" s="1359"/>
      <c r="O593" s="1359"/>
      <c r="P593" s="1359"/>
    </row>
    <row r="594">
      <c r="A594" s="1359"/>
      <c r="B594" s="1359"/>
      <c r="C594" s="1359"/>
      <c r="D594" s="1359"/>
      <c r="E594" s="1359"/>
      <c r="F594" s="1359"/>
      <c r="G594" s="1359"/>
      <c r="H594" s="1359"/>
      <c r="I594" s="1359"/>
      <c r="J594" s="1359"/>
      <c r="K594" s="1359"/>
      <c r="L594" s="1359"/>
      <c r="M594" s="1359"/>
      <c r="N594" s="1359"/>
      <c r="O594" s="1359"/>
      <c r="P594" s="1359"/>
    </row>
    <row r="595">
      <c r="A595" s="1359"/>
      <c r="B595" s="1359"/>
      <c r="C595" s="1359"/>
      <c r="D595" s="1359"/>
      <c r="E595" s="1359"/>
      <c r="F595" s="1359"/>
      <c r="G595" s="1359"/>
      <c r="H595" s="1359"/>
      <c r="I595" s="1359"/>
      <c r="J595" s="1359"/>
      <c r="K595" s="1359"/>
      <c r="L595" s="1359"/>
      <c r="M595" s="1359"/>
      <c r="N595" s="1359"/>
      <c r="O595" s="1359"/>
      <c r="P595" s="1359"/>
    </row>
    <row r="596">
      <c r="A596" s="1359"/>
      <c r="B596" s="1359"/>
      <c r="C596" s="1359"/>
      <c r="D596" s="1359"/>
      <c r="E596" s="1359"/>
      <c r="F596" s="1359"/>
      <c r="G596" s="1359"/>
      <c r="H596" s="1359"/>
      <c r="I596" s="1359"/>
      <c r="J596" s="1359"/>
      <c r="K596" s="1359"/>
      <c r="L596" s="1359"/>
      <c r="M596" s="1359"/>
      <c r="N596" s="1359"/>
      <c r="O596" s="1359"/>
      <c r="P596" s="1359"/>
    </row>
    <row r="597">
      <c r="A597" s="1359"/>
      <c r="B597" s="1359"/>
      <c r="C597" s="1359"/>
      <c r="D597" s="1359"/>
      <c r="E597" s="1359"/>
      <c r="F597" s="1359"/>
      <c r="G597" s="1359"/>
      <c r="H597" s="1359"/>
      <c r="I597" s="1359"/>
      <c r="J597" s="1359"/>
      <c r="K597" s="1359"/>
      <c r="L597" s="1359"/>
      <c r="M597" s="1359"/>
      <c r="N597" s="1359"/>
      <c r="O597" s="1359"/>
      <c r="P597" s="1359"/>
    </row>
    <row r="598">
      <c r="A598" s="1359"/>
      <c r="B598" s="1359"/>
      <c r="C598" s="1359"/>
      <c r="D598" s="1359"/>
      <c r="E598" s="1359"/>
      <c r="F598" s="1359"/>
      <c r="G598" s="1359"/>
      <c r="H598" s="1359"/>
      <c r="I598" s="1359"/>
      <c r="J598" s="1359"/>
      <c r="K598" s="1359"/>
      <c r="L598" s="1359"/>
      <c r="M598" s="1359"/>
      <c r="N598" s="1359"/>
      <c r="O598" s="1359"/>
      <c r="P598" s="1359"/>
    </row>
    <row r="599">
      <c r="A599" s="1359"/>
      <c r="B599" s="1359"/>
      <c r="C599" s="1359"/>
      <c r="D599" s="1359"/>
      <c r="E599" s="1359"/>
      <c r="F599" s="1359"/>
      <c r="G599" s="1359"/>
      <c r="H599" s="1359"/>
      <c r="I599" s="1359"/>
      <c r="J599" s="1359"/>
      <c r="K599" s="1359"/>
      <c r="L599" s="1359"/>
      <c r="M599" s="1359"/>
      <c r="N599" s="1359"/>
      <c r="O599" s="1359"/>
      <c r="P599" s="1359"/>
    </row>
    <row r="600">
      <c r="A600" s="1359"/>
      <c r="B600" s="1359"/>
      <c r="C600" s="1359"/>
      <c r="D600" s="1359"/>
      <c r="E600" s="1359"/>
      <c r="F600" s="1359"/>
      <c r="G600" s="1359"/>
      <c r="H600" s="1359"/>
      <c r="I600" s="1359"/>
      <c r="J600" s="1359"/>
      <c r="K600" s="1359"/>
      <c r="L600" s="1359"/>
      <c r="M600" s="1359"/>
      <c r="N600" s="1359"/>
      <c r="O600" s="1359"/>
      <c r="P600" s="1359"/>
    </row>
    <row r="601">
      <c r="A601" s="1359"/>
      <c r="B601" s="1359"/>
      <c r="C601" s="1359"/>
      <c r="D601" s="1359"/>
      <c r="E601" s="1359"/>
      <c r="F601" s="1359"/>
      <c r="G601" s="1359"/>
      <c r="H601" s="1359"/>
      <c r="I601" s="1359"/>
      <c r="J601" s="1359"/>
      <c r="K601" s="1359"/>
      <c r="L601" s="1359"/>
      <c r="M601" s="1359"/>
      <c r="N601" s="1359"/>
      <c r="O601" s="1359"/>
      <c r="P601" s="1359"/>
    </row>
    <row r="602">
      <c r="A602" s="1359"/>
      <c r="B602" s="1359"/>
      <c r="C602" s="1359"/>
      <c r="D602" s="1359"/>
      <c r="E602" s="1359"/>
      <c r="F602" s="1359"/>
      <c r="G602" s="1359"/>
      <c r="H602" s="1359"/>
      <c r="I602" s="1359"/>
      <c r="J602" s="1359"/>
      <c r="K602" s="1359"/>
      <c r="L602" s="1359"/>
      <c r="M602" s="1359"/>
      <c r="N602" s="1359"/>
      <c r="O602" s="1359"/>
      <c r="P602" s="1359"/>
    </row>
    <row r="603">
      <c r="A603" s="1359"/>
      <c r="B603" s="1359"/>
      <c r="C603" s="1359"/>
      <c r="D603" s="1359"/>
      <c r="E603" s="1359"/>
      <c r="F603" s="1359"/>
      <c r="G603" s="1359"/>
      <c r="H603" s="1359"/>
      <c r="I603" s="1359"/>
      <c r="J603" s="1359"/>
      <c r="K603" s="1359"/>
      <c r="L603" s="1359"/>
      <c r="M603" s="1359"/>
      <c r="N603" s="1359"/>
      <c r="O603" s="1359"/>
      <c r="P603" s="1359"/>
    </row>
    <row r="604">
      <c r="A604" s="1359"/>
      <c r="B604" s="1359"/>
      <c r="C604" s="1359"/>
      <c r="D604" s="1359"/>
      <c r="E604" s="1359"/>
      <c r="F604" s="1359"/>
      <c r="G604" s="1359"/>
      <c r="H604" s="1359"/>
      <c r="I604" s="1359"/>
      <c r="J604" s="1359"/>
      <c r="K604" s="1359"/>
      <c r="L604" s="1359"/>
      <c r="M604" s="1359"/>
      <c r="N604" s="1359"/>
      <c r="O604" s="1359"/>
      <c r="P604" s="1359"/>
    </row>
    <row r="605">
      <c r="A605" s="1359"/>
      <c r="B605" s="1359"/>
      <c r="C605" s="1359"/>
      <c r="D605" s="1359"/>
      <c r="E605" s="1359"/>
      <c r="F605" s="1359"/>
      <c r="G605" s="1359"/>
      <c r="H605" s="1359"/>
      <c r="I605" s="1359"/>
      <c r="J605" s="1359"/>
      <c r="K605" s="1359"/>
      <c r="L605" s="1359"/>
      <c r="M605" s="1359"/>
      <c r="N605" s="1359"/>
      <c r="O605" s="1359"/>
      <c r="P605" s="1359"/>
    </row>
    <row r="606">
      <c r="A606" s="1359"/>
      <c r="B606" s="1359"/>
      <c r="C606" s="1359"/>
      <c r="D606" s="1359"/>
      <c r="E606" s="1359"/>
      <c r="F606" s="1359"/>
      <c r="G606" s="1359"/>
      <c r="H606" s="1359"/>
      <c r="I606" s="1359"/>
      <c r="J606" s="1359"/>
      <c r="K606" s="1359"/>
      <c r="L606" s="1359"/>
      <c r="M606" s="1359"/>
      <c r="N606" s="1359"/>
      <c r="O606" s="1359"/>
      <c r="P606" s="1359"/>
    </row>
    <row r="607">
      <c r="A607" s="1359"/>
      <c r="B607" s="1359"/>
      <c r="C607" s="1359"/>
      <c r="D607" s="1359"/>
      <c r="E607" s="1359"/>
      <c r="F607" s="1359"/>
      <c r="G607" s="1359"/>
      <c r="H607" s="1359"/>
      <c r="I607" s="1359"/>
      <c r="J607" s="1359"/>
      <c r="K607" s="1359"/>
      <c r="L607" s="1359"/>
      <c r="M607" s="1359"/>
      <c r="N607" s="1359"/>
      <c r="O607" s="1359"/>
      <c r="P607" s="1359"/>
    </row>
    <row r="608">
      <c r="A608" s="1359"/>
      <c r="B608" s="1359"/>
      <c r="C608" s="1359"/>
      <c r="D608" s="1359"/>
      <c r="E608" s="1359"/>
      <c r="F608" s="1359"/>
      <c r="G608" s="1359"/>
      <c r="H608" s="1359"/>
      <c r="I608" s="1359"/>
      <c r="J608" s="1359"/>
      <c r="K608" s="1359"/>
      <c r="L608" s="1359"/>
      <c r="M608" s="1359"/>
      <c r="N608" s="1359"/>
      <c r="O608" s="1359"/>
      <c r="P608" s="1359"/>
    </row>
    <row r="609">
      <c r="A609" s="1359"/>
      <c r="B609" s="1359"/>
      <c r="C609" s="1359"/>
      <c r="D609" s="1359"/>
      <c r="E609" s="1359"/>
      <c r="F609" s="1359"/>
      <c r="G609" s="1359"/>
      <c r="H609" s="1359"/>
      <c r="I609" s="1359"/>
      <c r="J609" s="1359"/>
      <c r="K609" s="1359"/>
      <c r="L609" s="1359"/>
      <c r="M609" s="1359"/>
      <c r="N609" s="1359"/>
      <c r="O609" s="1359"/>
      <c r="P609" s="1359"/>
    </row>
    <row r="610">
      <c r="A610" s="1359"/>
      <c r="B610" s="1359"/>
      <c r="C610" s="1359"/>
      <c r="D610" s="1359"/>
      <c r="E610" s="1359"/>
      <c r="F610" s="1359"/>
      <c r="G610" s="1359"/>
      <c r="H610" s="1359"/>
      <c r="I610" s="1359"/>
      <c r="J610" s="1359"/>
      <c r="K610" s="1359"/>
      <c r="L610" s="1359"/>
      <c r="M610" s="1359"/>
      <c r="N610" s="1359"/>
      <c r="O610" s="1359"/>
      <c r="P610" s="1359"/>
    </row>
    <row r="611">
      <c r="A611" s="1359"/>
      <c r="B611" s="1359"/>
      <c r="C611" s="1359"/>
      <c r="D611" s="1359"/>
      <c r="E611" s="1359"/>
      <c r="F611" s="1359"/>
      <c r="G611" s="1359"/>
      <c r="H611" s="1359"/>
      <c r="I611" s="1359"/>
      <c r="J611" s="1359"/>
      <c r="K611" s="1359"/>
      <c r="L611" s="1359"/>
      <c r="M611" s="1359"/>
      <c r="N611" s="1359"/>
      <c r="O611" s="1359"/>
      <c r="P611" s="1359"/>
    </row>
    <row r="612">
      <c r="A612" s="1359"/>
      <c r="B612" s="1359"/>
      <c r="C612" s="1359"/>
      <c r="D612" s="1359"/>
      <c r="E612" s="1359"/>
      <c r="F612" s="1359"/>
      <c r="G612" s="1359"/>
      <c r="H612" s="1359"/>
      <c r="I612" s="1359"/>
      <c r="J612" s="1359"/>
      <c r="K612" s="1359"/>
      <c r="L612" s="1359"/>
      <c r="M612" s="1359"/>
      <c r="N612" s="1359"/>
      <c r="O612" s="1359"/>
      <c r="P612" s="1359"/>
    </row>
    <row r="613">
      <c r="A613" s="1359"/>
      <c r="B613" s="1359"/>
      <c r="C613" s="1359"/>
      <c r="D613" s="1359"/>
      <c r="E613" s="1359"/>
      <c r="F613" s="1359"/>
      <c r="G613" s="1359"/>
      <c r="H613" s="1359"/>
      <c r="I613" s="1359"/>
      <c r="J613" s="1359"/>
      <c r="K613" s="1359"/>
      <c r="L613" s="1359"/>
      <c r="M613" s="1359"/>
      <c r="N613" s="1359"/>
      <c r="O613" s="1359"/>
      <c r="P613" s="1359"/>
    </row>
    <row r="614">
      <c r="A614" s="1359"/>
      <c r="B614" s="1359"/>
      <c r="C614" s="1359"/>
      <c r="D614" s="1359"/>
      <c r="E614" s="1359"/>
      <c r="F614" s="1359"/>
      <c r="G614" s="1359"/>
      <c r="H614" s="1359"/>
      <c r="I614" s="1359"/>
      <c r="J614" s="1359"/>
      <c r="K614" s="1359"/>
      <c r="L614" s="1359"/>
      <c r="M614" s="1359"/>
      <c r="N614" s="1359"/>
      <c r="O614" s="1359"/>
      <c r="P614" s="1359"/>
    </row>
    <row r="615">
      <c r="A615" s="1359"/>
      <c r="B615" s="1359"/>
      <c r="C615" s="1359"/>
      <c r="D615" s="1359"/>
      <c r="E615" s="1359"/>
      <c r="F615" s="1359"/>
      <c r="G615" s="1359"/>
      <c r="H615" s="1359"/>
      <c r="I615" s="1359"/>
      <c r="J615" s="1359"/>
      <c r="K615" s="1359"/>
      <c r="L615" s="1359"/>
      <c r="M615" s="1359"/>
      <c r="N615" s="1359"/>
      <c r="O615" s="1359"/>
      <c r="P615" s="1359"/>
    </row>
    <row r="616">
      <c r="A616" s="1359"/>
      <c r="B616" s="1359"/>
      <c r="C616" s="1359"/>
      <c r="D616" s="1359"/>
      <c r="E616" s="1359"/>
      <c r="F616" s="1359"/>
      <c r="G616" s="1359"/>
      <c r="H616" s="1359"/>
      <c r="I616" s="1359"/>
      <c r="J616" s="1359"/>
      <c r="K616" s="1359"/>
      <c r="L616" s="1359"/>
      <c r="M616" s="1359"/>
      <c r="N616" s="1359"/>
      <c r="O616" s="1359"/>
      <c r="P616" s="1359"/>
    </row>
    <row r="617">
      <c r="A617" s="1359"/>
      <c r="B617" s="1359"/>
      <c r="C617" s="1359"/>
      <c r="D617" s="1359"/>
      <c r="E617" s="1359"/>
      <c r="F617" s="1359"/>
      <c r="G617" s="1359"/>
      <c r="H617" s="1359"/>
      <c r="I617" s="1359"/>
      <c r="J617" s="1359"/>
      <c r="K617" s="1359"/>
      <c r="L617" s="1359"/>
      <c r="M617" s="1359"/>
      <c r="N617" s="1359"/>
      <c r="O617" s="1359"/>
      <c r="P617" s="1359"/>
    </row>
    <row r="618">
      <c r="A618" s="1359"/>
      <c r="B618" s="1359"/>
      <c r="C618" s="1359"/>
      <c r="D618" s="1359"/>
      <c r="E618" s="1359"/>
      <c r="F618" s="1359"/>
      <c r="G618" s="1359"/>
      <c r="H618" s="1359"/>
      <c r="I618" s="1359"/>
      <c r="J618" s="1359"/>
      <c r="K618" s="1359"/>
      <c r="L618" s="1359"/>
      <c r="M618" s="1359"/>
      <c r="N618" s="1359"/>
      <c r="O618" s="1359"/>
      <c r="P618" s="1359"/>
    </row>
    <row r="619">
      <c r="A619" s="1359"/>
      <c r="B619" s="1359"/>
      <c r="C619" s="1359"/>
      <c r="D619" s="1359"/>
      <c r="E619" s="1359"/>
      <c r="F619" s="1359"/>
      <c r="G619" s="1359"/>
      <c r="H619" s="1359"/>
      <c r="I619" s="1359"/>
      <c r="J619" s="1359"/>
      <c r="K619" s="1359"/>
      <c r="L619" s="1359"/>
      <c r="M619" s="1359"/>
      <c r="N619" s="1359"/>
      <c r="O619" s="1359"/>
      <c r="P619" s="1359"/>
    </row>
    <row r="620">
      <c r="A620" s="1359"/>
      <c r="B620" s="1359"/>
      <c r="C620" s="1359"/>
      <c r="D620" s="1359"/>
      <c r="E620" s="1359"/>
      <c r="F620" s="1359"/>
      <c r="G620" s="1359"/>
      <c r="H620" s="1359"/>
      <c r="I620" s="1359"/>
      <c r="J620" s="1359"/>
      <c r="K620" s="1359"/>
      <c r="L620" s="1359"/>
      <c r="M620" s="1359"/>
      <c r="N620" s="1359"/>
      <c r="O620" s="1359"/>
      <c r="P620" s="1359"/>
    </row>
    <row r="621">
      <c r="A621" s="1359"/>
      <c r="B621" s="1359"/>
      <c r="C621" s="1359"/>
      <c r="D621" s="1359"/>
      <c r="E621" s="1359"/>
      <c r="F621" s="1359"/>
      <c r="G621" s="1359"/>
      <c r="H621" s="1359"/>
      <c r="I621" s="1359"/>
      <c r="J621" s="1359"/>
      <c r="K621" s="1359"/>
      <c r="L621" s="1359"/>
      <c r="M621" s="1359"/>
      <c r="N621" s="1359"/>
      <c r="O621" s="1359"/>
      <c r="P621" s="1359"/>
    </row>
    <row r="622">
      <c r="A622" s="1359"/>
      <c r="B622" s="1359"/>
      <c r="C622" s="1359"/>
      <c r="D622" s="1359"/>
      <c r="E622" s="1359"/>
      <c r="F622" s="1359"/>
      <c r="G622" s="1359"/>
      <c r="H622" s="1359"/>
      <c r="I622" s="1359"/>
      <c r="J622" s="1359"/>
      <c r="K622" s="1359"/>
      <c r="L622" s="1359"/>
      <c r="M622" s="1359"/>
      <c r="N622" s="1359"/>
      <c r="O622" s="1359"/>
      <c r="P622" s="1359"/>
    </row>
    <row r="623">
      <c r="A623" s="1359"/>
      <c r="B623" s="1359"/>
      <c r="C623" s="1359"/>
      <c r="D623" s="1359"/>
      <c r="E623" s="1359"/>
      <c r="F623" s="1359"/>
      <c r="G623" s="1359"/>
      <c r="H623" s="1359"/>
      <c r="I623" s="1359"/>
      <c r="J623" s="1359"/>
      <c r="K623" s="1359"/>
      <c r="L623" s="1359"/>
      <c r="M623" s="1359"/>
      <c r="N623" s="1359"/>
      <c r="O623" s="1359"/>
      <c r="P623" s="1359"/>
    </row>
    <row r="624">
      <c r="A624" s="1359"/>
      <c r="B624" s="1359"/>
      <c r="C624" s="1359"/>
      <c r="D624" s="1359"/>
      <c r="E624" s="1359"/>
      <c r="F624" s="1359"/>
      <c r="G624" s="1359"/>
      <c r="H624" s="1359"/>
      <c r="I624" s="1359"/>
      <c r="J624" s="1359"/>
      <c r="K624" s="1359"/>
      <c r="L624" s="1359"/>
      <c r="M624" s="1359"/>
      <c r="N624" s="1359"/>
      <c r="O624" s="1359"/>
      <c r="P624" s="1359"/>
    </row>
    <row r="625">
      <c r="A625" s="1359"/>
      <c r="B625" s="1359"/>
      <c r="C625" s="1359"/>
      <c r="D625" s="1359"/>
      <c r="E625" s="1359"/>
      <c r="F625" s="1359"/>
      <c r="G625" s="1359"/>
      <c r="H625" s="1359"/>
      <c r="I625" s="1359"/>
      <c r="J625" s="1359"/>
      <c r="K625" s="1359"/>
      <c r="L625" s="1359"/>
      <c r="M625" s="1359"/>
      <c r="N625" s="1359"/>
      <c r="O625" s="1359"/>
      <c r="P625" s="1359"/>
    </row>
    <row r="626">
      <c r="A626" s="1359"/>
      <c r="B626" s="1359"/>
      <c r="C626" s="1359"/>
      <c r="D626" s="1359"/>
      <c r="E626" s="1359"/>
      <c r="F626" s="1359"/>
      <c r="G626" s="1359"/>
      <c r="H626" s="1359"/>
      <c r="I626" s="1359"/>
      <c r="J626" s="1359"/>
      <c r="K626" s="1359"/>
      <c r="L626" s="1359"/>
      <c r="M626" s="1359"/>
      <c r="N626" s="1359"/>
      <c r="O626" s="1359"/>
      <c r="P626" s="1359"/>
    </row>
    <row r="627">
      <c r="A627" s="1359"/>
      <c r="B627" s="1359"/>
      <c r="C627" s="1359"/>
      <c r="D627" s="1359"/>
      <c r="E627" s="1359"/>
      <c r="F627" s="1359"/>
      <c r="G627" s="1359"/>
      <c r="H627" s="1359"/>
      <c r="I627" s="1359"/>
      <c r="J627" s="1359"/>
      <c r="K627" s="1359"/>
      <c r="L627" s="1359"/>
      <c r="M627" s="1359"/>
      <c r="N627" s="1359"/>
      <c r="O627" s="1359"/>
      <c r="P627" s="1359"/>
    </row>
    <row r="628">
      <c r="A628" s="1359"/>
      <c r="B628" s="1359"/>
      <c r="C628" s="1359"/>
      <c r="D628" s="1359"/>
      <c r="E628" s="1359"/>
      <c r="F628" s="1359"/>
      <c r="G628" s="1359"/>
      <c r="H628" s="1359"/>
      <c r="I628" s="1359"/>
      <c r="J628" s="1359"/>
      <c r="K628" s="1359"/>
      <c r="L628" s="1359"/>
      <c r="M628" s="1359"/>
      <c r="N628" s="1359"/>
      <c r="O628" s="1359"/>
      <c r="P628" s="1359"/>
    </row>
    <row r="629">
      <c r="A629" s="1359"/>
      <c r="B629" s="1359"/>
      <c r="C629" s="1359"/>
      <c r="D629" s="1359"/>
      <c r="E629" s="1359"/>
      <c r="F629" s="1359"/>
      <c r="G629" s="1359"/>
      <c r="H629" s="1359"/>
      <c r="I629" s="1359"/>
      <c r="J629" s="1359"/>
      <c r="K629" s="1359"/>
      <c r="L629" s="1359"/>
      <c r="M629" s="1359"/>
      <c r="N629" s="1359"/>
      <c r="O629" s="1359"/>
      <c r="P629" s="1359"/>
    </row>
    <row r="630">
      <c r="A630" s="1359"/>
      <c r="B630" s="1359"/>
      <c r="C630" s="1359"/>
      <c r="D630" s="1359"/>
      <c r="E630" s="1359"/>
      <c r="F630" s="1359"/>
      <c r="G630" s="1359"/>
      <c r="H630" s="1359"/>
      <c r="I630" s="1359"/>
      <c r="J630" s="1359"/>
      <c r="K630" s="1359"/>
      <c r="L630" s="1359"/>
      <c r="M630" s="1359"/>
      <c r="N630" s="1359"/>
      <c r="O630" s="1359"/>
      <c r="P630" s="1359"/>
    </row>
    <row r="631">
      <c r="A631" s="1359"/>
      <c r="B631" s="1359"/>
      <c r="C631" s="1359"/>
      <c r="D631" s="1359"/>
      <c r="E631" s="1359"/>
      <c r="F631" s="1359"/>
      <c r="G631" s="1359"/>
      <c r="H631" s="1359"/>
      <c r="I631" s="1359"/>
      <c r="J631" s="1359"/>
      <c r="K631" s="1359"/>
      <c r="L631" s="1359"/>
      <c r="M631" s="1359"/>
      <c r="N631" s="1359"/>
      <c r="O631" s="1359"/>
      <c r="P631" s="1359"/>
    </row>
    <row r="632">
      <c r="A632" s="1359"/>
      <c r="B632" s="1359"/>
      <c r="C632" s="1359"/>
      <c r="D632" s="1359"/>
      <c r="E632" s="1359"/>
      <c r="F632" s="1359"/>
      <c r="G632" s="1359"/>
      <c r="H632" s="1359"/>
      <c r="I632" s="1359"/>
      <c r="J632" s="1359"/>
      <c r="K632" s="1359"/>
      <c r="L632" s="1359"/>
      <c r="M632" s="1359"/>
      <c r="N632" s="1359"/>
      <c r="O632" s="1359"/>
      <c r="P632" s="1359"/>
    </row>
    <row r="633">
      <c r="A633" s="1359"/>
      <c r="B633" s="1359"/>
      <c r="C633" s="1359"/>
      <c r="D633" s="1359"/>
      <c r="E633" s="1359"/>
      <c r="F633" s="1359"/>
      <c r="G633" s="1359"/>
      <c r="H633" s="1359"/>
      <c r="I633" s="1359"/>
      <c r="J633" s="1359"/>
      <c r="K633" s="1359"/>
      <c r="L633" s="1359"/>
      <c r="M633" s="1359"/>
      <c r="N633" s="1359"/>
      <c r="O633" s="1359"/>
      <c r="P633" s="1359"/>
    </row>
    <row r="634">
      <c r="A634" s="1359"/>
      <c r="B634" s="1359"/>
      <c r="C634" s="1359"/>
      <c r="D634" s="1359"/>
      <c r="E634" s="1359"/>
      <c r="F634" s="1359"/>
      <c r="G634" s="1359"/>
      <c r="H634" s="1359"/>
      <c r="I634" s="1359"/>
      <c r="J634" s="1359"/>
      <c r="K634" s="1359"/>
      <c r="L634" s="1359"/>
      <c r="M634" s="1359"/>
      <c r="N634" s="1359"/>
      <c r="O634" s="1359"/>
      <c r="P634" s="1359"/>
    </row>
    <row r="635">
      <c r="A635" s="1359"/>
      <c r="B635" s="1359"/>
      <c r="C635" s="1359"/>
      <c r="D635" s="1359"/>
      <c r="E635" s="1359"/>
      <c r="F635" s="1359"/>
      <c r="G635" s="1359"/>
      <c r="H635" s="1359"/>
      <c r="I635" s="1359"/>
      <c r="J635" s="1359"/>
      <c r="K635" s="1359"/>
      <c r="L635" s="1359"/>
      <c r="M635" s="1359"/>
      <c r="N635" s="1359"/>
      <c r="O635" s="1359"/>
      <c r="P635" s="1359"/>
    </row>
    <row r="636">
      <c r="A636" s="1359"/>
      <c r="B636" s="1359"/>
      <c r="C636" s="1359"/>
      <c r="D636" s="1359"/>
      <c r="E636" s="1359"/>
      <c r="F636" s="1359"/>
      <c r="G636" s="1359"/>
      <c r="H636" s="1359"/>
      <c r="I636" s="1359"/>
      <c r="J636" s="1359"/>
      <c r="K636" s="1359"/>
      <c r="L636" s="1359"/>
      <c r="M636" s="1359"/>
      <c r="N636" s="1359"/>
      <c r="O636" s="1359"/>
      <c r="P636" s="1359"/>
    </row>
    <row r="637">
      <c r="A637" s="1359"/>
      <c r="B637" s="1359"/>
      <c r="C637" s="1359"/>
      <c r="D637" s="1359"/>
      <c r="E637" s="1359"/>
      <c r="F637" s="1359"/>
      <c r="G637" s="1359"/>
      <c r="H637" s="1359"/>
      <c r="I637" s="1359"/>
      <c r="J637" s="1359"/>
      <c r="K637" s="1359"/>
      <c r="L637" s="1359"/>
      <c r="M637" s="1359"/>
      <c r="N637" s="1359"/>
      <c r="O637" s="1359"/>
      <c r="P637" s="1359"/>
    </row>
    <row r="638">
      <c r="A638" s="1359"/>
      <c r="B638" s="1359"/>
      <c r="C638" s="1359"/>
      <c r="D638" s="1359"/>
      <c r="E638" s="1359"/>
      <c r="F638" s="1359"/>
      <c r="G638" s="1359"/>
      <c r="H638" s="1359"/>
      <c r="I638" s="1359"/>
      <c r="J638" s="1359"/>
      <c r="K638" s="1359"/>
      <c r="L638" s="1359"/>
      <c r="M638" s="1359"/>
      <c r="N638" s="1359"/>
      <c r="O638" s="1359"/>
      <c r="P638" s="1359"/>
    </row>
    <row r="639">
      <c r="A639" s="1359"/>
      <c r="B639" s="1359"/>
      <c r="C639" s="1359"/>
      <c r="D639" s="1359"/>
      <c r="E639" s="1359"/>
      <c r="F639" s="1359"/>
      <c r="G639" s="1359"/>
      <c r="H639" s="1359"/>
      <c r="I639" s="1359"/>
      <c r="J639" s="1359"/>
      <c r="K639" s="1359"/>
      <c r="L639" s="1359"/>
      <c r="M639" s="1359"/>
      <c r="N639" s="1359"/>
      <c r="O639" s="1359"/>
      <c r="P639" s="1359"/>
    </row>
    <row r="640">
      <c r="A640" s="1359"/>
      <c r="B640" s="1359"/>
      <c r="C640" s="1359"/>
      <c r="D640" s="1359"/>
      <c r="E640" s="1359"/>
      <c r="F640" s="1359"/>
      <c r="G640" s="1359"/>
      <c r="H640" s="1359"/>
      <c r="I640" s="1359"/>
      <c r="J640" s="1359"/>
      <c r="K640" s="1359"/>
      <c r="L640" s="1359"/>
      <c r="M640" s="1359"/>
      <c r="N640" s="1359"/>
      <c r="O640" s="1359"/>
      <c r="P640" s="1359"/>
    </row>
    <row r="641">
      <c r="A641" s="1359"/>
      <c r="B641" s="1359"/>
      <c r="C641" s="1359"/>
      <c r="D641" s="1359"/>
      <c r="E641" s="1359"/>
      <c r="F641" s="1359"/>
      <c r="G641" s="1359"/>
      <c r="H641" s="1359"/>
      <c r="I641" s="1359"/>
      <c r="J641" s="1359"/>
      <c r="K641" s="1359"/>
      <c r="L641" s="1359"/>
      <c r="M641" s="1359"/>
      <c r="N641" s="1359"/>
      <c r="O641" s="1359"/>
      <c r="P641" s="1359"/>
    </row>
    <row r="642">
      <c r="A642" s="1359"/>
      <c r="B642" s="1359"/>
      <c r="C642" s="1359"/>
      <c r="D642" s="1359"/>
      <c r="E642" s="1359"/>
      <c r="F642" s="1359"/>
      <c r="G642" s="1359"/>
      <c r="H642" s="1359"/>
      <c r="I642" s="1359"/>
      <c r="J642" s="1359"/>
      <c r="K642" s="1359"/>
      <c r="L642" s="1359"/>
      <c r="M642" s="1359"/>
      <c r="N642" s="1359"/>
      <c r="O642" s="1359"/>
      <c r="P642" s="1359"/>
    </row>
    <row r="643">
      <c r="A643" s="1359"/>
      <c r="B643" s="1359"/>
      <c r="C643" s="1359"/>
      <c r="D643" s="1359"/>
      <c r="E643" s="1359"/>
      <c r="F643" s="1359"/>
      <c r="G643" s="1359"/>
      <c r="H643" s="1359"/>
      <c r="I643" s="1359"/>
      <c r="J643" s="1359"/>
      <c r="K643" s="1359"/>
      <c r="L643" s="1359"/>
      <c r="M643" s="1359"/>
      <c r="N643" s="1359"/>
      <c r="O643" s="1359"/>
      <c r="P643" s="1359"/>
    </row>
    <row r="644">
      <c r="A644" s="1359"/>
      <c r="B644" s="1359"/>
      <c r="C644" s="1359"/>
      <c r="D644" s="1359"/>
      <c r="E644" s="1359"/>
      <c r="F644" s="1359"/>
      <c r="G644" s="1359"/>
      <c r="H644" s="1359"/>
      <c r="I644" s="1359"/>
      <c r="J644" s="1359"/>
      <c r="K644" s="1359"/>
      <c r="L644" s="1359"/>
      <c r="M644" s="1359"/>
      <c r="N644" s="1359"/>
      <c r="O644" s="1359"/>
      <c r="P644" s="1359"/>
    </row>
    <row r="645">
      <c r="A645" s="1359"/>
      <c r="B645" s="1359"/>
      <c r="C645" s="1359"/>
      <c r="D645" s="1359"/>
      <c r="E645" s="1359"/>
      <c r="F645" s="1359"/>
      <c r="G645" s="1359"/>
      <c r="H645" s="1359"/>
      <c r="I645" s="1359"/>
      <c r="J645" s="1359"/>
      <c r="K645" s="1359"/>
      <c r="L645" s="1359"/>
      <c r="M645" s="1359"/>
      <c r="N645" s="1359"/>
      <c r="O645" s="1359"/>
      <c r="P645" s="1359"/>
    </row>
    <row r="646">
      <c r="A646" s="1359"/>
      <c r="B646" s="1359"/>
      <c r="C646" s="1359"/>
      <c r="D646" s="1359"/>
      <c r="E646" s="1359"/>
      <c r="F646" s="1359"/>
      <c r="G646" s="1359"/>
      <c r="H646" s="1359"/>
      <c r="I646" s="1359"/>
      <c r="J646" s="1359"/>
      <c r="K646" s="1359"/>
      <c r="L646" s="1359"/>
      <c r="M646" s="1359"/>
      <c r="N646" s="1359"/>
      <c r="O646" s="1359"/>
      <c r="P646" s="1359"/>
    </row>
    <row r="647">
      <c r="A647" s="1359"/>
      <c r="B647" s="1359"/>
      <c r="C647" s="1359"/>
      <c r="D647" s="1359"/>
      <c r="E647" s="1359"/>
      <c r="F647" s="1359"/>
      <c r="G647" s="1359"/>
      <c r="H647" s="1359"/>
      <c r="I647" s="1359"/>
      <c r="J647" s="1359"/>
      <c r="K647" s="1359"/>
      <c r="L647" s="1359"/>
      <c r="M647" s="1359"/>
      <c r="N647" s="1359"/>
      <c r="O647" s="1359"/>
      <c r="P647" s="1359"/>
    </row>
    <row r="648">
      <c r="A648" s="1359"/>
      <c r="B648" s="1359"/>
      <c r="C648" s="1359"/>
      <c r="D648" s="1359"/>
      <c r="E648" s="1359"/>
      <c r="F648" s="1359"/>
      <c r="G648" s="1359"/>
      <c r="H648" s="1359"/>
      <c r="I648" s="1359"/>
      <c r="J648" s="1359"/>
      <c r="K648" s="1359"/>
      <c r="L648" s="1359"/>
      <c r="M648" s="1359"/>
      <c r="N648" s="1359"/>
      <c r="O648" s="1359"/>
      <c r="P648" s="1359"/>
    </row>
    <row r="649">
      <c r="A649" s="1359"/>
      <c r="B649" s="1359"/>
      <c r="C649" s="1359"/>
      <c r="D649" s="1359"/>
      <c r="E649" s="1359"/>
      <c r="F649" s="1359"/>
      <c r="G649" s="1359"/>
      <c r="H649" s="1359"/>
      <c r="I649" s="1359"/>
      <c r="J649" s="1359"/>
      <c r="K649" s="1359"/>
      <c r="L649" s="1359"/>
      <c r="M649" s="1359"/>
      <c r="N649" s="1359"/>
      <c r="O649" s="1359"/>
      <c r="P649" s="1359"/>
    </row>
    <row r="650">
      <c r="A650" s="1359"/>
      <c r="B650" s="1359"/>
      <c r="C650" s="1359"/>
      <c r="D650" s="1359"/>
      <c r="E650" s="1359"/>
      <c r="F650" s="1359"/>
      <c r="G650" s="1359"/>
      <c r="H650" s="1359"/>
      <c r="I650" s="1359"/>
      <c r="J650" s="1359"/>
      <c r="K650" s="1359"/>
      <c r="L650" s="1359"/>
      <c r="M650" s="1359"/>
      <c r="N650" s="1359"/>
      <c r="O650" s="1359"/>
      <c r="P650" s="1359"/>
    </row>
    <row r="651">
      <c r="A651" s="1359"/>
      <c r="B651" s="1359"/>
      <c r="C651" s="1359"/>
      <c r="D651" s="1359"/>
      <c r="E651" s="1359"/>
      <c r="F651" s="1359"/>
      <c r="G651" s="1359"/>
      <c r="H651" s="1359"/>
      <c r="I651" s="1359"/>
      <c r="J651" s="1359"/>
      <c r="K651" s="1359"/>
      <c r="L651" s="1359"/>
      <c r="M651" s="1359"/>
      <c r="N651" s="1359"/>
      <c r="O651" s="1359"/>
      <c r="P651" s="1359"/>
    </row>
    <row r="652">
      <c r="A652" s="1359"/>
      <c r="B652" s="1359"/>
      <c r="C652" s="1359"/>
      <c r="D652" s="1359"/>
      <c r="E652" s="1359"/>
      <c r="F652" s="1359"/>
      <c r="G652" s="1359"/>
      <c r="H652" s="1359"/>
      <c r="I652" s="1359"/>
      <c r="J652" s="1359"/>
      <c r="K652" s="1359"/>
      <c r="L652" s="1359"/>
      <c r="M652" s="1359"/>
      <c r="N652" s="1359"/>
      <c r="O652" s="1359"/>
      <c r="P652" s="1359"/>
    </row>
    <row r="653">
      <c r="A653" s="1359"/>
      <c r="B653" s="1359"/>
      <c r="C653" s="1359"/>
      <c r="D653" s="1359"/>
      <c r="E653" s="1359"/>
      <c r="F653" s="1359"/>
      <c r="G653" s="1359"/>
      <c r="H653" s="1359"/>
      <c r="I653" s="1359"/>
      <c r="J653" s="1359"/>
      <c r="K653" s="1359"/>
      <c r="L653" s="1359"/>
      <c r="M653" s="1359"/>
      <c r="N653" s="1359"/>
      <c r="O653" s="1359"/>
      <c r="P653" s="1359"/>
    </row>
    <row r="654">
      <c r="A654" s="1359"/>
      <c r="B654" s="1359"/>
      <c r="C654" s="1359"/>
      <c r="D654" s="1359"/>
      <c r="E654" s="1359"/>
      <c r="F654" s="1359"/>
      <c r="G654" s="1359"/>
      <c r="H654" s="1359"/>
      <c r="I654" s="1359"/>
      <c r="J654" s="1359"/>
      <c r="K654" s="1359"/>
      <c r="L654" s="1359"/>
      <c r="M654" s="1359"/>
      <c r="N654" s="1359"/>
      <c r="O654" s="1359"/>
      <c r="P654" s="1359"/>
    </row>
    <row r="655">
      <c r="A655" s="1359"/>
      <c r="B655" s="1359"/>
      <c r="C655" s="1359"/>
      <c r="D655" s="1359"/>
      <c r="E655" s="1359"/>
      <c r="F655" s="1359"/>
      <c r="G655" s="1359"/>
      <c r="H655" s="1359"/>
      <c r="I655" s="1359"/>
      <c r="J655" s="1359"/>
      <c r="K655" s="1359"/>
      <c r="L655" s="1359"/>
      <c r="M655" s="1359"/>
      <c r="N655" s="1359"/>
      <c r="O655" s="1359"/>
      <c r="P655" s="1359"/>
    </row>
    <row r="656">
      <c r="A656" s="1359"/>
      <c r="B656" s="1359"/>
      <c r="C656" s="1359"/>
      <c r="D656" s="1359"/>
      <c r="E656" s="1359"/>
      <c r="F656" s="1359"/>
      <c r="G656" s="1359"/>
      <c r="H656" s="1359"/>
      <c r="I656" s="1359"/>
      <c r="J656" s="1359"/>
      <c r="K656" s="1359"/>
      <c r="L656" s="1359"/>
      <c r="M656" s="1359"/>
      <c r="N656" s="1359"/>
      <c r="O656" s="1359"/>
      <c r="P656" s="1359"/>
    </row>
    <row r="657">
      <c r="A657" s="1359"/>
      <c r="B657" s="1359"/>
      <c r="C657" s="1359"/>
      <c r="D657" s="1359"/>
      <c r="E657" s="1359"/>
      <c r="F657" s="1359"/>
      <c r="G657" s="1359"/>
      <c r="H657" s="1359"/>
      <c r="I657" s="1359"/>
      <c r="J657" s="1359"/>
      <c r="K657" s="1359"/>
      <c r="L657" s="1359"/>
      <c r="M657" s="1359"/>
      <c r="N657" s="1359"/>
      <c r="O657" s="1359"/>
      <c r="P657" s="1359"/>
    </row>
    <row r="658">
      <c r="A658" s="1359"/>
      <c r="B658" s="1359"/>
      <c r="C658" s="1359"/>
      <c r="D658" s="1359"/>
      <c r="E658" s="1359"/>
      <c r="F658" s="1359"/>
      <c r="G658" s="1359"/>
      <c r="H658" s="1359"/>
      <c r="I658" s="1359"/>
      <c r="J658" s="1359"/>
      <c r="K658" s="1359"/>
      <c r="L658" s="1359"/>
      <c r="M658" s="1359"/>
      <c r="N658" s="1359"/>
      <c r="O658" s="1359"/>
      <c r="P658" s="1359"/>
    </row>
    <row r="659">
      <c r="A659" s="1359"/>
      <c r="B659" s="1359"/>
      <c r="C659" s="1359"/>
      <c r="D659" s="1359"/>
      <c r="E659" s="1359"/>
      <c r="F659" s="1359"/>
      <c r="G659" s="1359"/>
      <c r="H659" s="1359"/>
      <c r="I659" s="1359"/>
      <c r="J659" s="1359"/>
      <c r="K659" s="1359"/>
      <c r="L659" s="1359"/>
      <c r="M659" s="1359"/>
      <c r="N659" s="1359"/>
      <c r="O659" s="1359"/>
      <c r="P659" s="1359"/>
    </row>
    <row r="660">
      <c r="A660" s="1359"/>
      <c r="B660" s="1359"/>
      <c r="C660" s="1359"/>
      <c r="D660" s="1359"/>
      <c r="E660" s="1359"/>
      <c r="F660" s="1359"/>
      <c r="G660" s="1359"/>
      <c r="H660" s="1359"/>
      <c r="I660" s="1359"/>
      <c r="J660" s="1359"/>
      <c r="K660" s="1359"/>
      <c r="L660" s="1359"/>
      <c r="M660" s="1359"/>
      <c r="N660" s="1359"/>
      <c r="O660" s="1359"/>
      <c r="P660" s="1359"/>
    </row>
    <row r="661">
      <c r="A661" s="1359"/>
      <c r="B661" s="1359"/>
      <c r="C661" s="1359"/>
      <c r="D661" s="1359"/>
      <c r="E661" s="1359"/>
      <c r="F661" s="1359"/>
      <c r="G661" s="1359"/>
      <c r="H661" s="1359"/>
      <c r="I661" s="1359"/>
      <c r="J661" s="1359"/>
      <c r="K661" s="1359"/>
      <c r="L661" s="1359"/>
      <c r="M661" s="1359"/>
      <c r="N661" s="1359"/>
      <c r="O661" s="1359"/>
      <c r="P661" s="1359"/>
    </row>
    <row r="662">
      <c r="A662" s="1359"/>
      <c r="B662" s="1359"/>
      <c r="C662" s="1359"/>
      <c r="D662" s="1359"/>
      <c r="E662" s="1359"/>
      <c r="F662" s="1359"/>
      <c r="G662" s="1359"/>
      <c r="H662" s="1359"/>
      <c r="I662" s="1359"/>
      <c r="J662" s="1359"/>
      <c r="K662" s="1359"/>
      <c r="L662" s="1359"/>
      <c r="M662" s="1359"/>
      <c r="N662" s="1359"/>
      <c r="O662" s="1359"/>
      <c r="P662" s="1359"/>
    </row>
    <row r="663">
      <c r="A663" s="1359"/>
      <c r="B663" s="1359"/>
      <c r="C663" s="1359"/>
      <c r="D663" s="1359"/>
      <c r="E663" s="1359"/>
      <c r="F663" s="1359"/>
      <c r="G663" s="1359"/>
      <c r="H663" s="1359"/>
      <c r="I663" s="1359"/>
      <c r="J663" s="1359"/>
      <c r="K663" s="1359"/>
      <c r="L663" s="1359"/>
      <c r="M663" s="1359"/>
      <c r="N663" s="1359"/>
      <c r="O663" s="1359"/>
      <c r="P663" s="1359"/>
    </row>
    <row r="664">
      <c r="A664" s="1359"/>
      <c r="B664" s="1359"/>
      <c r="C664" s="1359"/>
      <c r="D664" s="1359"/>
      <c r="E664" s="1359"/>
      <c r="F664" s="1359"/>
      <c r="G664" s="1359"/>
      <c r="H664" s="1359"/>
      <c r="I664" s="1359"/>
      <c r="J664" s="1359"/>
      <c r="K664" s="1359"/>
      <c r="L664" s="1359"/>
      <c r="M664" s="1359"/>
      <c r="N664" s="1359"/>
      <c r="O664" s="1359"/>
      <c r="P664" s="1359"/>
    </row>
    <row r="665">
      <c r="A665" s="1359"/>
      <c r="B665" s="1359"/>
      <c r="C665" s="1359"/>
      <c r="D665" s="1359"/>
      <c r="E665" s="1359"/>
      <c r="F665" s="1359"/>
      <c r="G665" s="1359"/>
      <c r="H665" s="1359"/>
      <c r="I665" s="1359"/>
      <c r="J665" s="1359"/>
      <c r="K665" s="1359"/>
      <c r="L665" s="1359"/>
      <c r="M665" s="1359"/>
      <c r="N665" s="1359"/>
      <c r="O665" s="1359"/>
      <c r="P665" s="1359"/>
    </row>
    <row r="666">
      <c r="A666" s="1359"/>
      <c r="B666" s="1359"/>
      <c r="C666" s="1359"/>
      <c r="D666" s="1359"/>
      <c r="E666" s="1359"/>
      <c r="F666" s="1359"/>
      <c r="G666" s="1359"/>
      <c r="H666" s="1359"/>
      <c r="I666" s="1359"/>
      <c r="J666" s="1359"/>
      <c r="K666" s="1359"/>
      <c r="L666" s="1359"/>
      <c r="M666" s="1359"/>
      <c r="N666" s="1359"/>
      <c r="O666" s="1359"/>
      <c r="P666" s="1359"/>
    </row>
    <row r="667">
      <c r="A667" s="1359"/>
      <c r="B667" s="1359"/>
      <c r="C667" s="1359"/>
      <c r="D667" s="1359"/>
      <c r="E667" s="1359"/>
      <c r="F667" s="1359"/>
      <c r="G667" s="1359"/>
      <c r="H667" s="1359"/>
      <c r="I667" s="1359"/>
      <c r="J667" s="1359"/>
      <c r="K667" s="1359"/>
      <c r="L667" s="1359"/>
      <c r="M667" s="1359"/>
      <c r="N667" s="1359"/>
      <c r="O667" s="1359"/>
      <c r="P667" s="1359"/>
    </row>
    <row r="668">
      <c r="A668" s="1359"/>
      <c r="B668" s="1359"/>
      <c r="C668" s="1359"/>
      <c r="D668" s="1359"/>
      <c r="E668" s="1359"/>
      <c r="F668" s="1359"/>
      <c r="G668" s="1359"/>
      <c r="H668" s="1359"/>
      <c r="I668" s="1359"/>
      <c r="J668" s="1359"/>
      <c r="K668" s="1359"/>
      <c r="L668" s="1359"/>
      <c r="M668" s="1359"/>
      <c r="N668" s="1359"/>
      <c r="O668" s="1359"/>
      <c r="P668" s="1359"/>
    </row>
    <row r="669">
      <c r="A669" s="1359"/>
      <c r="B669" s="1359"/>
      <c r="C669" s="1359"/>
      <c r="D669" s="1359"/>
      <c r="E669" s="1359"/>
      <c r="F669" s="1359"/>
      <c r="G669" s="1359"/>
      <c r="H669" s="1359"/>
      <c r="I669" s="1359"/>
      <c r="J669" s="1359"/>
      <c r="K669" s="1359"/>
      <c r="L669" s="1359"/>
      <c r="M669" s="1359"/>
      <c r="N669" s="1359"/>
      <c r="O669" s="1359"/>
      <c r="P669" s="1359"/>
    </row>
    <row r="670">
      <c r="A670" s="1359"/>
      <c r="B670" s="1359"/>
      <c r="C670" s="1359"/>
      <c r="D670" s="1359"/>
      <c r="E670" s="1359"/>
      <c r="F670" s="1359"/>
      <c r="G670" s="1359"/>
      <c r="H670" s="1359"/>
      <c r="I670" s="1359"/>
      <c r="J670" s="1359"/>
      <c r="K670" s="1359"/>
      <c r="L670" s="1359"/>
      <c r="M670" s="1359"/>
      <c r="N670" s="1359"/>
      <c r="O670" s="1359"/>
      <c r="P670" s="1359"/>
    </row>
    <row r="671">
      <c r="A671" s="1359"/>
      <c r="B671" s="1359"/>
      <c r="C671" s="1359"/>
      <c r="D671" s="1359"/>
      <c r="E671" s="1359"/>
      <c r="F671" s="1359"/>
      <c r="G671" s="1359"/>
      <c r="H671" s="1359"/>
      <c r="I671" s="1359"/>
      <c r="J671" s="1359"/>
      <c r="K671" s="1359"/>
      <c r="L671" s="1359"/>
      <c r="M671" s="1359"/>
      <c r="N671" s="1359"/>
      <c r="O671" s="1359"/>
      <c r="P671" s="1359"/>
    </row>
    <row r="672">
      <c r="A672" s="1359"/>
      <c r="B672" s="1359"/>
      <c r="C672" s="1359"/>
      <c r="D672" s="1359"/>
      <c r="E672" s="1359"/>
      <c r="F672" s="1359"/>
      <c r="G672" s="1359"/>
      <c r="H672" s="1359"/>
      <c r="I672" s="1359"/>
      <c r="J672" s="1359"/>
      <c r="K672" s="1359"/>
      <c r="L672" s="1359"/>
      <c r="M672" s="1359"/>
      <c r="N672" s="1359"/>
      <c r="O672" s="1359"/>
      <c r="P672" s="1359"/>
    </row>
    <row r="673">
      <c r="A673" s="1359"/>
      <c r="B673" s="1359"/>
      <c r="C673" s="1359"/>
      <c r="D673" s="1359"/>
      <c r="E673" s="1359"/>
      <c r="F673" s="1359"/>
      <c r="G673" s="1359"/>
      <c r="H673" s="1359"/>
      <c r="I673" s="1359"/>
      <c r="J673" s="1359"/>
      <c r="K673" s="1359"/>
      <c r="L673" s="1359"/>
      <c r="M673" s="1359"/>
      <c r="N673" s="1359"/>
      <c r="O673" s="1359"/>
      <c r="P673" s="1359"/>
    </row>
    <row r="674">
      <c r="A674" s="1359"/>
      <c r="B674" s="1359"/>
      <c r="C674" s="1359"/>
      <c r="D674" s="1359"/>
      <c r="E674" s="1359"/>
      <c r="F674" s="1359"/>
      <c r="G674" s="1359"/>
      <c r="H674" s="1359"/>
      <c r="I674" s="1359"/>
      <c r="J674" s="1359"/>
      <c r="K674" s="1359"/>
      <c r="L674" s="1359"/>
      <c r="M674" s="1359"/>
      <c r="N674" s="1359"/>
      <c r="O674" s="1359"/>
      <c r="P674" s="1359"/>
    </row>
    <row r="675">
      <c r="A675" s="1359"/>
      <c r="B675" s="1359"/>
      <c r="C675" s="1359"/>
      <c r="D675" s="1359"/>
      <c r="E675" s="1359"/>
      <c r="F675" s="1359"/>
      <c r="G675" s="1359"/>
      <c r="H675" s="1359"/>
      <c r="I675" s="1359"/>
      <c r="J675" s="1359"/>
      <c r="K675" s="1359"/>
      <c r="L675" s="1359"/>
      <c r="M675" s="1359"/>
      <c r="N675" s="1359"/>
      <c r="O675" s="1359"/>
      <c r="P675" s="1359"/>
    </row>
    <row r="676">
      <c r="A676" s="1359"/>
      <c r="B676" s="1359"/>
      <c r="C676" s="1359"/>
      <c r="D676" s="1359"/>
      <c r="E676" s="1359"/>
      <c r="F676" s="1359"/>
      <c r="G676" s="1359"/>
      <c r="H676" s="1359"/>
      <c r="I676" s="1359"/>
      <c r="J676" s="1359"/>
      <c r="K676" s="1359"/>
      <c r="L676" s="1359"/>
      <c r="M676" s="1359"/>
      <c r="N676" s="1359"/>
      <c r="O676" s="1359"/>
      <c r="P676" s="1359"/>
    </row>
    <row r="677">
      <c r="A677" s="1359"/>
      <c r="B677" s="1359"/>
      <c r="C677" s="1359"/>
      <c r="D677" s="1359"/>
      <c r="E677" s="1359"/>
      <c r="F677" s="1359"/>
      <c r="G677" s="1359"/>
      <c r="H677" s="1359"/>
      <c r="I677" s="1359"/>
      <c r="J677" s="1359"/>
      <c r="K677" s="1359"/>
      <c r="L677" s="1359"/>
      <c r="M677" s="1359"/>
      <c r="N677" s="1359"/>
      <c r="O677" s="1359"/>
      <c r="P677" s="1359"/>
    </row>
    <row r="678">
      <c r="A678" s="1359"/>
      <c r="B678" s="1359"/>
      <c r="C678" s="1359"/>
      <c r="D678" s="1359"/>
      <c r="E678" s="1359"/>
      <c r="F678" s="1359"/>
      <c r="G678" s="1359"/>
      <c r="H678" s="1359"/>
      <c r="I678" s="1359"/>
      <c r="J678" s="1359"/>
      <c r="K678" s="1359"/>
      <c r="L678" s="1359"/>
      <c r="M678" s="1359"/>
      <c r="N678" s="1359"/>
      <c r="O678" s="1359"/>
      <c r="P678" s="1359"/>
    </row>
    <row r="679">
      <c r="A679" s="1359"/>
      <c r="B679" s="1359"/>
      <c r="C679" s="1359"/>
      <c r="D679" s="1359"/>
      <c r="E679" s="1359"/>
      <c r="F679" s="1359"/>
      <c r="G679" s="1359"/>
      <c r="H679" s="1359"/>
      <c r="I679" s="1359"/>
      <c r="J679" s="1359"/>
      <c r="K679" s="1359"/>
      <c r="L679" s="1359"/>
      <c r="M679" s="1359"/>
      <c r="N679" s="1359"/>
      <c r="O679" s="1359"/>
      <c r="P679" s="1359"/>
    </row>
    <row r="680">
      <c r="A680" s="1359"/>
      <c r="B680" s="1359"/>
      <c r="C680" s="1359"/>
      <c r="D680" s="1359"/>
      <c r="E680" s="1359"/>
      <c r="F680" s="1359"/>
      <c r="G680" s="1359"/>
      <c r="H680" s="1359"/>
      <c r="I680" s="1359"/>
      <c r="J680" s="1359"/>
      <c r="K680" s="1359"/>
      <c r="L680" s="1359"/>
      <c r="M680" s="1359"/>
      <c r="N680" s="1359"/>
      <c r="O680" s="1359"/>
      <c r="P680" s="1359"/>
    </row>
    <row r="681">
      <c r="A681" s="1359"/>
      <c r="B681" s="1359"/>
      <c r="C681" s="1359"/>
      <c r="D681" s="1359"/>
      <c r="E681" s="1359"/>
      <c r="F681" s="1359"/>
      <c r="G681" s="1359"/>
      <c r="H681" s="1359"/>
      <c r="I681" s="1359"/>
      <c r="J681" s="1359"/>
      <c r="K681" s="1359"/>
      <c r="L681" s="1359"/>
      <c r="M681" s="1359"/>
      <c r="N681" s="1359"/>
      <c r="O681" s="1359"/>
      <c r="P681" s="1359"/>
    </row>
    <row r="682">
      <c r="A682" s="1359"/>
      <c r="B682" s="1359"/>
      <c r="C682" s="1359"/>
      <c r="D682" s="1359"/>
      <c r="E682" s="1359"/>
      <c r="F682" s="1359"/>
      <c r="G682" s="1359"/>
      <c r="H682" s="1359"/>
      <c r="I682" s="1359"/>
      <c r="J682" s="1359"/>
      <c r="K682" s="1359"/>
      <c r="L682" s="1359"/>
      <c r="M682" s="1359"/>
      <c r="N682" s="1359"/>
      <c r="O682" s="1359"/>
      <c r="P682" s="1359"/>
    </row>
    <row r="683">
      <c r="A683" s="1359"/>
      <c r="B683" s="1359"/>
      <c r="C683" s="1359"/>
      <c r="D683" s="1359"/>
      <c r="E683" s="1359"/>
      <c r="F683" s="1359"/>
      <c r="G683" s="1359"/>
      <c r="H683" s="1359"/>
      <c r="I683" s="1359"/>
      <c r="J683" s="1359"/>
      <c r="K683" s="1359"/>
      <c r="L683" s="1359"/>
      <c r="M683" s="1359"/>
      <c r="N683" s="1359"/>
      <c r="O683" s="1359"/>
      <c r="P683" s="1359"/>
    </row>
    <row r="684">
      <c r="A684" s="1359"/>
      <c r="B684" s="1359"/>
      <c r="C684" s="1359"/>
      <c r="D684" s="1359"/>
      <c r="E684" s="1359"/>
      <c r="F684" s="1359"/>
      <c r="G684" s="1359"/>
      <c r="H684" s="1359"/>
      <c r="I684" s="1359"/>
      <c r="J684" s="1359"/>
      <c r="K684" s="1359"/>
      <c r="L684" s="1359"/>
      <c r="M684" s="1359"/>
      <c r="N684" s="1359"/>
      <c r="O684" s="1359"/>
      <c r="P684" s="1359"/>
    </row>
    <row r="685">
      <c r="A685" s="1359"/>
      <c r="B685" s="1359"/>
      <c r="C685" s="1359"/>
      <c r="D685" s="1359"/>
      <c r="E685" s="1359"/>
      <c r="F685" s="1359"/>
      <c r="G685" s="1359"/>
      <c r="H685" s="1359"/>
      <c r="I685" s="1359"/>
      <c r="J685" s="1359"/>
      <c r="K685" s="1359"/>
      <c r="L685" s="1359"/>
      <c r="M685" s="1359"/>
      <c r="N685" s="1359"/>
      <c r="O685" s="1359"/>
      <c r="P685" s="1359"/>
    </row>
    <row r="686">
      <c r="A686" s="1359"/>
      <c r="B686" s="1359"/>
      <c r="C686" s="1359"/>
      <c r="D686" s="1359"/>
      <c r="E686" s="1359"/>
      <c r="F686" s="1359"/>
      <c r="G686" s="1359"/>
      <c r="H686" s="1359"/>
      <c r="I686" s="1359"/>
      <c r="J686" s="1359"/>
      <c r="K686" s="1359"/>
      <c r="L686" s="1359"/>
      <c r="M686" s="1359"/>
      <c r="N686" s="1359"/>
      <c r="O686" s="1359"/>
      <c r="P686" s="1359"/>
    </row>
    <row r="687">
      <c r="A687" s="1359"/>
      <c r="B687" s="1359"/>
      <c r="C687" s="1359"/>
      <c r="D687" s="1359"/>
      <c r="E687" s="1359"/>
      <c r="F687" s="1359"/>
      <c r="G687" s="1359"/>
      <c r="H687" s="1359"/>
      <c r="I687" s="1359"/>
      <c r="J687" s="1359"/>
      <c r="K687" s="1359"/>
      <c r="L687" s="1359"/>
      <c r="M687" s="1359"/>
      <c r="N687" s="1359"/>
      <c r="O687" s="1359"/>
      <c r="P687" s="1359"/>
    </row>
    <row r="688">
      <c r="A688" s="1359"/>
      <c r="B688" s="1359"/>
      <c r="C688" s="1359"/>
      <c r="D688" s="1359"/>
      <c r="E688" s="1359"/>
      <c r="F688" s="1359"/>
      <c r="G688" s="1359"/>
      <c r="H688" s="1359"/>
      <c r="I688" s="1359"/>
      <c r="J688" s="1359"/>
      <c r="K688" s="1359"/>
      <c r="L688" s="1359"/>
      <c r="M688" s="1359"/>
      <c r="N688" s="1359"/>
      <c r="O688" s="1359"/>
      <c r="P688" s="1359"/>
    </row>
    <row r="689">
      <c r="A689" s="1359"/>
      <c r="B689" s="1359"/>
      <c r="C689" s="1359"/>
      <c r="D689" s="1359"/>
      <c r="E689" s="1359"/>
      <c r="F689" s="1359"/>
      <c r="G689" s="1359"/>
      <c r="H689" s="1359"/>
      <c r="I689" s="1359"/>
      <c r="J689" s="1359"/>
      <c r="K689" s="1359"/>
      <c r="L689" s="1359"/>
      <c r="M689" s="1359"/>
      <c r="N689" s="1359"/>
      <c r="O689" s="1359"/>
      <c r="P689" s="1359"/>
    </row>
    <row r="690">
      <c r="A690" s="1359"/>
      <c r="B690" s="1359"/>
      <c r="C690" s="1359"/>
      <c r="D690" s="1359"/>
      <c r="E690" s="1359"/>
      <c r="F690" s="1359"/>
      <c r="G690" s="1359"/>
      <c r="H690" s="1359"/>
      <c r="I690" s="1359"/>
      <c r="J690" s="1359"/>
      <c r="K690" s="1359"/>
      <c r="L690" s="1359"/>
      <c r="M690" s="1359"/>
      <c r="N690" s="1359"/>
      <c r="O690" s="1359"/>
      <c r="P690" s="1359"/>
    </row>
    <row r="691">
      <c r="A691" s="1359"/>
      <c r="B691" s="1359"/>
      <c r="C691" s="1359"/>
      <c r="D691" s="1359"/>
      <c r="E691" s="1359"/>
      <c r="F691" s="1359"/>
      <c r="G691" s="1359"/>
      <c r="H691" s="1359"/>
      <c r="I691" s="1359"/>
      <c r="J691" s="1359"/>
      <c r="K691" s="1359"/>
      <c r="L691" s="1359"/>
      <c r="M691" s="1359"/>
      <c r="N691" s="1359"/>
      <c r="O691" s="1359"/>
      <c r="P691" s="1359"/>
    </row>
    <row r="692">
      <c r="A692" s="1359"/>
      <c r="B692" s="1359"/>
      <c r="C692" s="1359"/>
      <c r="D692" s="1359"/>
      <c r="E692" s="1359"/>
      <c r="F692" s="1359"/>
      <c r="G692" s="1359"/>
      <c r="H692" s="1359"/>
      <c r="I692" s="1359"/>
      <c r="J692" s="1359"/>
      <c r="K692" s="1359"/>
      <c r="L692" s="1359"/>
      <c r="M692" s="1359"/>
      <c r="N692" s="1359"/>
      <c r="O692" s="1359"/>
      <c r="P692" s="1359"/>
    </row>
    <row r="693">
      <c r="A693" s="1359"/>
      <c r="B693" s="1359"/>
      <c r="C693" s="1359"/>
      <c r="D693" s="1359"/>
      <c r="E693" s="1359"/>
      <c r="F693" s="1359"/>
      <c r="G693" s="1359"/>
      <c r="H693" s="1359"/>
      <c r="I693" s="1359"/>
      <c r="J693" s="1359"/>
      <c r="K693" s="1359"/>
      <c r="L693" s="1359"/>
      <c r="M693" s="1359"/>
      <c r="N693" s="1359"/>
      <c r="O693" s="1359"/>
      <c r="P693" s="1359"/>
    </row>
    <row r="694">
      <c r="A694" s="1359"/>
      <c r="B694" s="1359"/>
      <c r="C694" s="1359"/>
      <c r="D694" s="1359"/>
      <c r="E694" s="1359"/>
      <c r="F694" s="1359"/>
      <c r="G694" s="1359"/>
      <c r="H694" s="1359"/>
      <c r="I694" s="1359"/>
      <c r="J694" s="1359"/>
      <c r="K694" s="1359"/>
      <c r="L694" s="1359"/>
      <c r="M694" s="1359"/>
      <c r="N694" s="1359"/>
      <c r="O694" s="1359"/>
      <c r="P694" s="1359"/>
    </row>
    <row r="695">
      <c r="A695" s="1359"/>
      <c r="B695" s="1359"/>
      <c r="C695" s="1359"/>
      <c r="D695" s="1359"/>
      <c r="E695" s="1359"/>
      <c r="F695" s="1359"/>
      <c r="G695" s="1359"/>
      <c r="H695" s="1359"/>
      <c r="I695" s="1359"/>
      <c r="J695" s="1359"/>
      <c r="K695" s="1359"/>
      <c r="L695" s="1359"/>
      <c r="M695" s="1359"/>
      <c r="N695" s="1359"/>
      <c r="O695" s="1359"/>
      <c r="P695" s="1359"/>
    </row>
    <row r="696">
      <c r="A696" s="1359"/>
      <c r="B696" s="1359"/>
      <c r="C696" s="1359"/>
      <c r="D696" s="1359"/>
      <c r="E696" s="1359"/>
      <c r="F696" s="1359"/>
      <c r="G696" s="1359"/>
      <c r="H696" s="1359"/>
      <c r="I696" s="1359"/>
      <c r="J696" s="1359"/>
      <c r="K696" s="1359"/>
      <c r="L696" s="1359"/>
      <c r="M696" s="1359"/>
      <c r="N696" s="1359"/>
      <c r="O696" s="1359"/>
      <c r="P696" s="1359"/>
    </row>
    <row r="697">
      <c r="A697" s="1359"/>
      <c r="B697" s="1359"/>
      <c r="C697" s="1359"/>
      <c r="D697" s="1359"/>
      <c r="E697" s="1359"/>
      <c r="F697" s="1359"/>
      <c r="G697" s="1359"/>
      <c r="H697" s="1359"/>
      <c r="I697" s="1359"/>
      <c r="J697" s="1359"/>
      <c r="K697" s="1359"/>
      <c r="L697" s="1359"/>
      <c r="M697" s="1359"/>
      <c r="N697" s="1359"/>
      <c r="O697" s="1359"/>
      <c r="P697" s="1359"/>
    </row>
    <row r="698">
      <c r="A698" s="1359"/>
      <c r="B698" s="1359"/>
      <c r="C698" s="1359"/>
      <c r="D698" s="1359"/>
      <c r="E698" s="1359"/>
      <c r="F698" s="1359"/>
      <c r="G698" s="1359"/>
      <c r="H698" s="1359"/>
      <c r="I698" s="1359"/>
      <c r="J698" s="1359"/>
      <c r="K698" s="1359"/>
      <c r="L698" s="1359"/>
      <c r="M698" s="1359"/>
      <c r="N698" s="1359"/>
      <c r="O698" s="1359"/>
      <c r="P698" s="1359"/>
    </row>
    <row r="699">
      <c r="A699" s="1359"/>
      <c r="B699" s="1359"/>
      <c r="C699" s="1359"/>
      <c r="D699" s="1359"/>
      <c r="E699" s="1359"/>
      <c r="F699" s="1359"/>
      <c r="G699" s="1359"/>
      <c r="H699" s="1359"/>
      <c r="I699" s="1359"/>
      <c r="J699" s="1359"/>
      <c r="K699" s="1359"/>
      <c r="L699" s="1359"/>
      <c r="M699" s="1359"/>
      <c r="N699" s="1359"/>
      <c r="O699" s="1359"/>
      <c r="P699" s="1359"/>
    </row>
    <row r="700">
      <c r="A700" s="1359"/>
      <c r="B700" s="1359"/>
      <c r="C700" s="1359"/>
      <c r="D700" s="1359"/>
      <c r="E700" s="1359"/>
      <c r="F700" s="1359"/>
      <c r="G700" s="1359"/>
      <c r="H700" s="1359"/>
      <c r="I700" s="1359"/>
      <c r="J700" s="1359"/>
      <c r="K700" s="1359"/>
      <c r="L700" s="1359"/>
      <c r="M700" s="1359"/>
      <c r="N700" s="1359"/>
      <c r="O700" s="1359"/>
      <c r="P700" s="1359"/>
    </row>
    <row r="701">
      <c r="A701" s="1359"/>
      <c r="B701" s="1359"/>
      <c r="C701" s="1359"/>
      <c r="D701" s="1359"/>
      <c r="E701" s="1359"/>
      <c r="F701" s="1359"/>
      <c r="G701" s="1359"/>
      <c r="H701" s="1359"/>
      <c r="I701" s="1359"/>
      <c r="J701" s="1359"/>
      <c r="K701" s="1359"/>
      <c r="L701" s="1359"/>
      <c r="M701" s="1359"/>
      <c r="N701" s="1359"/>
      <c r="O701" s="1359"/>
      <c r="P701" s="1359"/>
    </row>
    <row r="702">
      <c r="A702" s="1359"/>
      <c r="B702" s="1359"/>
      <c r="C702" s="1359"/>
      <c r="D702" s="1359"/>
      <c r="E702" s="1359"/>
      <c r="F702" s="1359"/>
      <c r="G702" s="1359"/>
      <c r="H702" s="1359"/>
      <c r="I702" s="1359"/>
      <c r="J702" s="1359"/>
      <c r="K702" s="1359"/>
      <c r="L702" s="1359"/>
      <c r="M702" s="1359"/>
      <c r="N702" s="1359"/>
      <c r="O702" s="1359"/>
      <c r="P702" s="1359"/>
    </row>
    <row r="703">
      <c r="A703" s="1359"/>
      <c r="B703" s="1359"/>
      <c r="C703" s="1359"/>
      <c r="D703" s="1359"/>
      <c r="E703" s="1359"/>
      <c r="F703" s="1359"/>
      <c r="G703" s="1359"/>
      <c r="H703" s="1359"/>
      <c r="I703" s="1359"/>
      <c r="J703" s="1359"/>
      <c r="K703" s="1359"/>
      <c r="L703" s="1359"/>
      <c r="M703" s="1359"/>
      <c r="N703" s="1359"/>
      <c r="O703" s="1359"/>
      <c r="P703" s="1359"/>
    </row>
    <row r="704">
      <c r="A704" s="1359"/>
      <c r="B704" s="1359"/>
      <c r="C704" s="1359"/>
      <c r="D704" s="1359"/>
      <c r="E704" s="1359"/>
      <c r="F704" s="1359"/>
      <c r="G704" s="1359"/>
      <c r="H704" s="1359"/>
      <c r="I704" s="1359"/>
      <c r="J704" s="1359"/>
      <c r="K704" s="1359"/>
      <c r="L704" s="1359"/>
      <c r="M704" s="1359"/>
      <c r="N704" s="1359"/>
      <c r="O704" s="1359"/>
      <c r="P704" s="1359"/>
    </row>
    <row r="705">
      <c r="A705" s="1359"/>
      <c r="B705" s="1359"/>
      <c r="C705" s="1359"/>
      <c r="D705" s="1359"/>
      <c r="E705" s="1359"/>
      <c r="F705" s="1359"/>
      <c r="G705" s="1359"/>
      <c r="H705" s="1359"/>
      <c r="I705" s="1359"/>
      <c r="J705" s="1359"/>
      <c r="K705" s="1359"/>
      <c r="L705" s="1359"/>
      <c r="M705" s="1359"/>
      <c r="N705" s="1359"/>
      <c r="O705" s="1359"/>
      <c r="P705" s="1359"/>
    </row>
    <row r="706">
      <c r="A706" s="1359"/>
      <c r="B706" s="1359"/>
      <c r="C706" s="1359"/>
      <c r="D706" s="1359"/>
      <c r="E706" s="1359"/>
      <c r="F706" s="1359"/>
      <c r="G706" s="1359"/>
      <c r="H706" s="1359"/>
      <c r="I706" s="1359"/>
      <c r="J706" s="1359"/>
      <c r="K706" s="1359"/>
      <c r="L706" s="1359"/>
      <c r="M706" s="1359"/>
      <c r="N706" s="1359"/>
      <c r="O706" s="1359"/>
      <c r="P706" s="1359"/>
    </row>
    <row r="707">
      <c r="A707" s="1359"/>
      <c r="B707" s="1359"/>
      <c r="C707" s="1359"/>
      <c r="D707" s="1359"/>
      <c r="E707" s="1359"/>
      <c r="F707" s="1359"/>
      <c r="G707" s="1359"/>
      <c r="H707" s="1359"/>
      <c r="I707" s="1359"/>
      <c r="J707" s="1359"/>
      <c r="K707" s="1359"/>
      <c r="L707" s="1359"/>
      <c r="M707" s="1359"/>
      <c r="N707" s="1359"/>
      <c r="O707" s="1359"/>
      <c r="P707" s="1359"/>
    </row>
    <row r="708">
      <c r="A708" s="1359"/>
      <c r="B708" s="1359"/>
      <c r="C708" s="1359"/>
      <c r="D708" s="1359"/>
      <c r="E708" s="1359"/>
      <c r="F708" s="1359"/>
      <c r="G708" s="1359"/>
      <c r="H708" s="1359"/>
      <c r="I708" s="1359"/>
      <c r="J708" s="1359"/>
      <c r="K708" s="1359"/>
      <c r="L708" s="1359"/>
      <c r="M708" s="1359"/>
      <c r="N708" s="1359"/>
      <c r="O708" s="1359"/>
      <c r="P708" s="1359"/>
    </row>
    <row r="709">
      <c r="A709" s="1359"/>
      <c r="B709" s="1359"/>
      <c r="C709" s="1359"/>
      <c r="D709" s="1359"/>
      <c r="E709" s="1359"/>
      <c r="F709" s="1359"/>
      <c r="G709" s="1359"/>
      <c r="H709" s="1359"/>
      <c r="I709" s="1359"/>
      <c r="J709" s="1359"/>
      <c r="K709" s="1359"/>
      <c r="L709" s="1359"/>
      <c r="M709" s="1359"/>
      <c r="N709" s="1359"/>
      <c r="O709" s="1359"/>
      <c r="P709" s="1359"/>
    </row>
    <row r="710">
      <c r="A710" s="1359"/>
      <c r="B710" s="1359"/>
      <c r="C710" s="1359"/>
      <c r="D710" s="1359"/>
      <c r="E710" s="1359"/>
      <c r="F710" s="1359"/>
      <c r="G710" s="1359"/>
      <c r="H710" s="1359"/>
      <c r="I710" s="1359"/>
      <c r="J710" s="1359"/>
      <c r="K710" s="1359"/>
      <c r="L710" s="1359"/>
      <c r="M710" s="1359"/>
      <c r="N710" s="1359"/>
      <c r="O710" s="1359"/>
      <c r="P710" s="1359"/>
    </row>
    <row r="711">
      <c r="A711" s="1359"/>
      <c r="B711" s="1359"/>
      <c r="C711" s="1359"/>
      <c r="D711" s="1359"/>
      <c r="E711" s="1359"/>
      <c r="F711" s="1359"/>
      <c r="G711" s="1359"/>
      <c r="H711" s="1359"/>
      <c r="I711" s="1359"/>
      <c r="J711" s="1359"/>
      <c r="K711" s="1359"/>
      <c r="L711" s="1359"/>
      <c r="M711" s="1359"/>
      <c r="N711" s="1359"/>
      <c r="O711" s="1359"/>
      <c r="P711" s="1359"/>
    </row>
    <row r="712">
      <c r="A712" s="1359"/>
      <c r="B712" s="1359"/>
      <c r="C712" s="1359"/>
      <c r="D712" s="1359"/>
      <c r="E712" s="1359"/>
      <c r="F712" s="1359"/>
      <c r="G712" s="1359"/>
      <c r="H712" s="1359"/>
      <c r="I712" s="1359"/>
      <c r="J712" s="1359"/>
      <c r="K712" s="1359"/>
      <c r="L712" s="1359"/>
      <c r="M712" s="1359"/>
      <c r="N712" s="1359"/>
      <c r="O712" s="1359"/>
      <c r="P712" s="1359"/>
    </row>
    <row r="713">
      <c r="A713" s="1359"/>
      <c r="B713" s="1359"/>
      <c r="C713" s="1359"/>
      <c r="D713" s="1359"/>
      <c r="E713" s="1359"/>
      <c r="F713" s="1359"/>
      <c r="G713" s="1359"/>
      <c r="H713" s="1359"/>
      <c r="I713" s="1359"/>
      <c r="J713" s="1359"/>
      <c r="K713" s="1359"/>
      <c r="L713" s="1359"/>
      <c r="M713" s="1359"/>
      <c r="N713" s="1359"/>
      <c r="O713" s="1359"/>
      <c r="P713" s="1359"/>
    </row>
    <row r="714">
      <c r="A714" s="1359"/>
      <c r="B714" s="1359"/>
      <c r="C714" s="1359"/>
      <c r="D714" s="1359"/>
      <c r="E714" s="1359"/>
      <c r="F714" s="1359"/>
      <c r="G714" s="1359"/>
      <c r="H714" s="1359"/>
      <c r="I714" s="1359"/>
      <c r="J714" s="1359"/>
      <c r="K714" s="1359"/>
      <c r="L714" s="1359"/>
      <c r="M714" s="1359"/>
      <c r="N714" s="1359"/>
      <c r="O714" s="1359"/>
      <c r="P714" s="1359"/>
    </row>
    <row r="715">
      <c r="A715" s="1359"/>
      <c r="B715" s="1359"/>
      <c r="C715" s="1359"/>
      <c r="D715" s="1359"/>
      <c r="E715" s="1359"/>
      <c r="F715" s="1359"/>
      <c r="G715" s="1359"/>
      <c r="H715" s="1359"/>
      <c r="I715" s="1359"/>
      <c r="J715" s="1359"/>
      <c r="K715" s="1359"/>
      <c r="L715" s="1359"/>
      <c r="M715" s="1359"/>
      <c r="N715" s="1359"/>
      <c r="O715" s="1359"/>
      <c r="P715" s="1359"/>
    </row>
    <row r="716">
      <c r="A716" s="1359"/>
      <c r="B716" s="1359"/>
      <c r="C716" s="1359"/>
      <c r="D716" s="1359"/>
      <c r="E716" s="1359"/>
      <c r="F716" s="1359"/>
      <c r="G716" s="1359"/>
      <c r="H716" s="1359"/>
      <c r="I716" s="1359"/>
      <c r="J716" s="1359"/>
      <c r="K716" s="1359"/>
      <c r="L716" s="1359"/>
      <c r="M716" s="1359"/>
      <c r="N716" s="1359"/>
      <c r="O716" s="1359"/>
      <c r="P716" s="1359"/>
    </row>
    <row r="717">
      <c r="A717" s="1359"/>
      <c r="B717" s="1359"/>
      <c r="C717" s="1359"/>
      <c r="D717" s="1359"/>
      <c r="E717" s="1359"/>
      <c r="F717" s="1359"/>
      <c r="G717" s="1359"/>
      <c r="H717" s="1359"/>
      <c r="I717" s="1359"/>
      <c r="J717" s="1359"/>
      <c r="K717" s="1359"/>
      <c r="L717" s="1359"/>
      <c r="M717" s="1359"/>
      <c r="N717" s="1359"/>
      <c r="O717" s="1359"/>
      <c r="P717" s="1359"/>
    </row>
    <row r="718">
      <c r="A718" s="1359"/>
      <c r="B718" s="1359"/>
      <c r="C718" s="1359"/>
      <c r="D718" s="1359"/>
      <c r="E718" s="1359"/>
      <c r="F718" s="1359"/>
      <c r="G718" s="1359"/>
      <c r="H718" s="1359"/>
      <c r="I718" s="1359"/>
      <c r="J718" s="1359"/>
      <c r="K718" s="1359"/>
      <c r="L718" s="1359"/>
      <c r="M718" s="1359"/>
      <c r="N718" s="1359"/>
      <c r="O718" s="1359"/>
      <c r="P718" s="1359"/>
    </row>
    <row r="719">
      <c r="A719" s="1359"/>
      <c r="B719" s="1359"/>
      <c r="C719" s="1359"/>
      <c r="D719" s="1359"/>
      <c r="E719" s="1359"/>
      <c r="F719" s="1359"/>
      <c r="G719" s="1359"/>
      <c r="H719" s="1359"/>
      <c r="I719" s="1359"/>
      <c r="J719" s="1359"/>
      <c r="K719" s="1359"/>
      <c r="L719" s="1359"/>
      <c r="M719" s="1359"/>
      <c r="N719" s="1359"/>
      <c r="O719" s="1359"/>
      <c r="P719" s="1359"/>
    </row>
    <row r="720">
      <c r="A720" s="1359"/>
      <c r="B720" s="1359"/>
      <c r="C720" s="1359"/>
      <c r="D720" s="1359"/>
      <c r="E720" s="1359"/>
      <c r="F720" s="1359"/>
      <c r="G720" s="1359"/>
      <c r="H720" s="1359"/>
      <c r="I720" s="1359"/>
      <c r="J720" s="1359"/>
      <c r="K720" s="1359"/>
      <c r="L720" s="1359"/>
      <c r="M720" s="1359"/>
      <c r="N720" s="1359"/>
      <c r="O720" s="1359"/>
      <c r="P720" s="1359"/>
    </row>
    <row r="721">
      <c r="A721" s="1359"/>
      <c r="B721" s="1359"/>
      <c r="C721" s="1359"/>
      <c r="D721" s="1359"/>
      <c r="E721" s="1359"/>
      <c r="F721" s="1359"/>
      <c r="G721" s="1359"/>
      <c r="H721" s="1359"/>
      <c r="I721" s="1359"/>
      <c r="J721" s="1359"/>
      <c r="K721" s="1359"/>
      <c r="L721" s="1359"/>
      <c r="M721" s="1359"/>
      <c r="N721" s="1359"/>
      <c r="O721" s="1359"/>
      <c r="P721" s="1359"/>
    </row>
    <row r="722">
      <c r="A722" s="1359"/>
      <c r="B722" s="1359"/>
      <c r="C722" s="1359"/>
      <c r="D722" s="1359"/>
      <c r="E722" s="1359"/>
      <c r="F722" s="1359"/>
      <c r="G722" s="1359"/>
      <c r="H722" s="1359"/>
      <c r="I722" s="1359"/>
      <c r="J722" s="1359"/>
      <c r="K722" s="1359"/>
      <c r="L722" s="1359"/>
      <c r="M722" s="1359"/>
      <c r="N722" s="1359"/>
      <c r="O722" s="1359"/>
      <c r="P722" s="1359"/>
    </row>
    <row r="723">
      <c r="A723" s="1359"/>
      <c r="B723" s="1359"/>
      <c r="C723" s="1359"/>
      <c r="D723" s="1359"/>
      <c r="E723" s="1359"/>
      <c r="F723" s="1359"/>
      <c r="G723" s="1359"/>
      <c r="H723" s="1359"/>
      <c r="I723" s="1359"/>
      <c r="J723" s="1359"/>
      <c r="K723" s="1359"/>
      <c r="L723" s="1359"/>
      <c r="M723" s="1359"/>
      <c r="N723" s="1359"/>
      <c r="O723" s="1359"/>
      <c r="P723" s="1359"/>
    </row>
    <row r="724">
      <c r="A724" s="1359"/>
      <c r="B724" s="1359"/>
      <c r="C724" s="1359"/>
      <c r="D724" s="1359"/>
      <c r="E724" s="1359"/>
      <c r="F724" s="1359"/>
      <c r="G724" s="1359"/>
      <c r="H724" s="1359"/>
      <c r="I724" s="1359"/>
      <c r="J724" s="1359"/>
      <c r="K724" s="1359"/>
      <c r="L724" s="1359"/>
      <c r="M724" s="1359"/>
      <c r="N724" s="1359"/>
      <c r="O724" s="1359"/>
      <c r="P724" s="1359"/>
    </row>
    <row r="725">
      <c r="A725" s="1359"/>
      <c r="B725" s="1359"/>
      <c r="C725" s="1359"/>
      <c r="D725" s="1359"/>
      <c r="E725" s="1359"/>
      <c r="F725" s="1359"/>
      <c r="G725" s="1359"/>
      <c r="H725" s="1359"/>
      <c r="I725" s="1359"/>
      <c r="J725" s="1359"/>
      <c r="K725" s="1359"/>
      <c r="L725" s="1359"/>
      <c r="M725" s="1359"/>
      <c r="N725" s="1359"/>
      <c r="O725" s="1359"/>
      <c r="P725" s="1359"/>
    </row>
    <row r="726">
      <c r="A726" s="1359"/>
      <c r="B726" s="1359"/>
      <c r="C726" s="1359"/>
      <c r="D726" s="1359"/>
      <c r="E726" s="1359"/>
      <c r="F726" s="1359"/>
      <c r="G726" s="1359"/>
      <c r="H726" s="1359"/>
      <c r="I726" s="1359"/>
      <c r="J726" s="1359"/>
      <c r="K726" s="1359"/>
      <c r="L726" s="1359"/>
      <c r="M726" s="1359"/>
      <c r="N726" s="1359"/>
      <c r="O726" s="1359"/>
      <c r="P726" s="1359"/>
    </row>
    <row r="727">
      <c r="A727" s="1359"/>
      <c r="B727" s="1359"/>
      <c r="C727" s="1359"/>
      <c r="D727" s="1359"/>
      <c r="E727" s="1359"/>
      <c r="F727" s="1359"/>
      <c r="G727" s="1359"/>
      <c r="H727" s="1359"/>
      <c r="I727" s="1359"/>
      <c r="J727" s="1359"/>
      <c r="K727" s="1359"/>
      <c r="L727" s="1359"/>
      <c r="M727" s="1359"/>
      <c r="N727" s="1359"/>
      <c r="O727" s="1359"/>
      <c r="P727" s="1359"/>
    </row>
    <row r="728">
      <c r="A728" s="1359"/>
      <c r="B728" s="1359"/>
      <c r="C728" s="1359"/>
      <c r="D728" s="1359"/>
      <c r="E728" s="1359"/>
      <c r="F728" s="1359"/>
      <c r="G728" s="1359"/>
      <c r="H728" s="1359"/>
      <c r="I728" s="1359"/>
      <c r="J728" s="1359"/>
      <c r="K728" s="1359"/>
      <c r="L728" s="1359"/>
      <c r="M728" s="1359"/>
      <c r="N728" s="1359"/>
      <c r="O728" s="1359"/>
      <c r="P728" s="1359"/>
    </row>
    <row r="729">
      <c r="A729" s="1359"/>
      <c r="B729" s="1359"/>
      <c r="C729" s="1359"/>
      <c r="D729" s="1359"/>
      <c r="E729" s="1359"/>
      <c r="F729" s="1359"/>
      <c r="G729" s="1359"/>
      <c r="H729" s="1359"/>
      <c r="I729" s="1359"/>
      <c r="J729" s="1359"/>
      <c r="K729" s="1359"/>
      <c r="L729" s="1359"/>
      <c r="M729" s="1359"/>
      <c r="N729" s="1359"/>
      <c r="O729" s="1359"/>
      <c r="P729" s="1359"/>
    </row>
    <row r="730">
      <c r="A730" s="1359"/>
      <c r="B730" s="1359"/>
      <c r="C730" s="1359"/>
      <c r="D730" s="1359"/>
      <c r="E730" s="1359"/>
      <c r="F730" s="1359"/>
      <c r="G730" s="1359"/>
      <c r="H730" s="1359"/>
      <c r="I730" s="1359"/>
      <c r="J730" s="1359"/>
      <c r="K730" s="1359"/>
      <c r="L730" s="1359"/>
      <c r="M730" s="1359"/>
      <c r="N730" s="1359"/>
      <c r="O730" s="1359"/>
      <c r="P730" s="1359"/>
    </row>
    <row r="731">
      <c r="A731" s="1359"/>
      <c r="B731" s="1359"/>
      <c r="C731" s="1359"/>
      <c r="D731" s="1359"/>
      <c r="E731" s="1359"/>
      <c r="F731" s="1359"/>
      <c r="G731" s="1359"/>
      <c r="H731" s="1359"/>
      <c r="I731" s="1359"/>
      <c r="J731" s="1359"/>
      <c r="K731" s="1359"/>
      <c r="L731" s="1359"/>
      <c r="M731" s="1359"/>
      <c r="N731" s="1359"/>
      <c r="O731" s="1359"/>
      <c r="P731" s="1359"/>
    </row>
    <row r="732">
      <c r="A732" s="1359"/>
      <c r="B732" s="1359"/>
      <c r="C732" s="1359"/>
      <c r="D732" s="1359"/>
      <c r="E732" s="1359"/>
      <c r="F732" s="1359"/>
      <c r="G732" s="1359"/>
      <c r="H732" s="1359"/>
      <c r="I732" s="1359"/>
      <c r="J732" s="1359"/>
      <c r="K732" s="1359"/>
      <c r="L732" s="1359"/>
      <c r="M732" s="1359"/>
      <c r="N732" s="1359"/>
      <c r="O732" s="1359"/>
      <c r="P732" s="1359"/>
    </row>
    <row r="733">
      <c r="A733" s="1359"/>
      <c r="B733" s="1359"/>
      <c r="C733" s="1359"/>
      <c r="D733" s="1359"/>
      <c r="E733" s="1359"/>
      <c r="F733" s="1359"/>
      <c r="G733" s="1359"/>
      <c r="H733" s="1359"/>
      <c r="I733" s="1359"/>
      <c r="J733" s="1359"/>
      <c r="K733" s="1359"/>
      <c r="L733" s="1359"/>
      <c r="M733" s="1359"/>
      <c r="N733" s="1359"/>
      <c r="O733" s="1359"/>
      <c r="P733" s="1359"/>
    </row>
    <row r="734">
      <c r="A734" s="1359"/>
      <c r="B734" s="1359"/>
      <c r="C734" s="1359"/>
      <c r="D734" s="1359"/>
      <c r="E734" s="1359"/>
      <c r="F734" s="1359"/>
      <c r="G734" s="1359"/>
      <c r="H734" s="1359"/>
      <c r="I734" s="1359"/>
      <c r="J734" s="1359"/>
      <c r="K734" s="1359"/>
      <c r="L734" s="1359"/>
      <c r="M734" s="1359"/>
      <c r="N734" s="1359"/>
      <c r="O734" s="1359"/>
      <c r="P734" s="1359"/>
    </row>
    <row r="735">
      <c r="A735" s="1359"/>
      <c r="B735" s="1359"/>
      <c r="C735" s="1359"/>
      <c r="D735" s="1359"/>
      <c r="E735" s="1359"/>
      <c r="F735" s="1359"/>
      <c r="G735" s="1359"/>
      <c r="H735" s="1359"/>
      <c r="I735" s="1359"/>
      <c r="J735" s="1359"/>
      <c r="K735" s="1359"/>
      <c r="L735" s="1359"/>
      <c r="M735" s="1359"/>
      <c r="N735" s="1359"/>
      <c r="O735" s="1359"/>
      <c r="P735" s="1359"/>
    </row>
    <row r="736">
      <c r="A736" s="1359"/>
      <c r="B736" s="1359"/>
      <c r="C736" s="1359"/>
      <c r="D736" s="1359"/>
      <c r="E736" s="1359"/>
      <c r="F736" s="1359"/>
      <c r="G736" s="1359"/>
      <c r="H736" s="1359"/>
      <c r="I736" s="1359"/>
      <c r="J736" s="1359"/>
      <c r="K736" s="1359"/>
      <c r="L736" s="1359"/>
      <c r="M736" s="1359"/>
      <c r="N736" s="1359"/>
      <c r="O736" s="1359"/>
      <c r="P736" s="1359"/>
    </row>
    <row r="737">
      <c r="A737" s="1359"/>
      <c r="B737" s="1359"/>
      <c r="C737" s="1359"/>
      <c r="D737" s="1359"/>
      <c r="E737" s="1359"/>
      <c r="F737" s="1359"/>
      <c r="G737" s="1359"/>
      <c r="H737" s="1359"/>
      <c r="I737" s="1359"/>
      <c r="J737" s="1359"/>
      <c r="K737" s="1359"/>
      <c r="L737" s="1359"/>
      <c r="M737" s="1359"/>
      <c r="N737" s="1359"/>
      <c r="O737" s="1359"/>
      <c r="P737" s="1359"/>
    </row>
    <row r="738">
      <c r="A738" s="1359"/>
      <c r="B738" s="1359"/>
      <c r="C738" s="1359"/>
      <c r="D738" s="1359"/>
      <c r="E738" s="1359"/>
      <c r="F738" s="1359"/>
      <c r="G738" s="1359"/>
      <c r="H738" s="1359"/>
      <c r="I738" s="1359"/>
      <c r="J738" s="1359"/>
      <c r="K738" s="1359"/>
      <c r="L738" s="1359"/>
      <c r="M738" s="1359"/>
      <c r="N738" s="1359"/>
      <c r="O738" s="1359"/>
      <c r="P738" s="1359"/>
    </row>
    <row r="739">
      <c r="A739" s="1359"/>
      <c r="B739" s="1359"/>
      <c r="C739" s="1359"/>
      <c r="D739" s="1359"/>
      <c r="E739" s="1359"/>
      <c r="F739" s="1359"/>
      <c r="G739" s="1359"/>
      <c r="H739" s="1359"/>
      <c r="I739" s="1359"/>
      <c r="J739" s="1359"/>
      <c r="K739" s="1359"/>
      <c r="L739" s="1359"/>
      <c r="M739" s="1359"/>
      <c r="N739" s="1359"/>
      <c r="O739" s="1359"/>
      <c r="P739" s="1359"/>
    </row>
    <row r="740">
      <c r="A740" s="1359"/>
      <c r="B740" s="1359"/>
      <c r="C740" s="1359"/>
      <c r="D740" s="1359"/>
      <c r="E740" s="1359"/>
      <c r="F740" s="1359"/>
      <c r="G740" s="1359"/>
      <c r="H740" s="1359"/>
      <c r="I740" s="1359"/>
      <c r="J740" s="1359"/>
      <c r="K740" s="1359"/>
      <c r="L740" s="1359"/>
      <c r="M740" s="1359"/>
      <c r="N740" s="1359"/>
      <c r="O740" s="1359"/>
      <c r="P740" s="1359"/>
    </row>
    <row r="741">
      <c r="A741" s="1359"/>
      <c r="B741" s="1359"/>
      <c r="C741" s="1359"/>
      <c r="D741" s="1359"/>
      <c r="E741" s="1359"/>
      <c r="F741" s="1359"/>
      <c r="G741" s="1359"/>
      <c r="H741" s="1359"/>
      <c r="I741" s="1359"/>
      <c r="J741" s="1359"/>
      <c r="K741" s="1359"/>
      <c r="L741" s="1359"/>
      <c r="M741" s="1359"/>
      <c r="N741" s="1359"/>
      <c r="O741" s="1359"/>
      <c r="P741" s="1359"/>
    </row>
    <row r="742">
      <c r="A742" s="1359"/>
      <c r="B742" s="1359"/>
      <c r="C742" s="1359"/>
      <c r="D742" s="1359"/>
      <c r="E742" s="1359"/>
      <c r="F742" s="1359"/>
      <c r="G742" s="1359"/>
      <c r="H742" s="1359"/>
      <c r="I742" s="1359"/>
      <c r="J742" s="1359"/>
      <c r="K742" s="1359"/>
      <c r="L742" s="1359"/>
      <c r="M742" s="1359"/>
      <c r="N742" s="1359"/>
      <c r="O742" s="1359"/>
      <c r="P742" s="1359"/>
    </row>
    <row r="743">
      <c r="A743" s="1359"/>
      <c r="B743" s="1359"/>
      <c r="C743" s="1359"/>
      <c r="D743" s="1359"/>
      <c r="E743" s="1359"/>
      <c r="F743" s="1359"/>
      <c r="G743" s="1359"/>
      <c r="H743" s="1359"/>
      <c r="I743" s="1359"/>
      <c r="J743" s="1359"/>
      <c r="K743" s="1359"/>
      <c r="L743" s="1359"/>
      <c r="M743" s="1359"/>
      <c r="N743" s="1359"/>
      <c r="O743" s="1359"/>
      <c r="P743" s="1359"/>
    </row>
    <row r="744">
      <c r="A744" s="1359"/>
      <c r="B744" s="1359"/>
      <c r="C744" s="1359"/>
      <c r="D744" s="1359"/>
      <c r="E744" s="1359"/>
      <c r="F744" s="1359"/>
      <c r="G744" s="1359"/>
      <c r="H744" s="1359"/>
      <c r="I744" s="1359"/>
      <c r="J744" s="1359"/>
      <c r="K744" s="1359"/>
      <c r="L744" s="1359"/>
      <c r="M744" s="1359"/>
      <c r="N744" s="1359"/>
      <c r="O744" s="1359"/>
      <c r="P744" s="1359"/>
    </row>
    <row r="745">
      <c r="A745" s="1359"/>
      <c r="B745" s="1359"/>
      <c r="C745" s="1359"/>
      <c r="D745" s="1359"/>
      <c r="E745" s="1359"/>
      <c r="F745" s="1359"/>
      <c r="G745" s="1359"/>
      <c r="H745" s="1359"/>
      <c r="I745" s="1359"/>
      <c r="J745" s="1359"/>
      <c r="K745" s="1359"/>
      <c r="L745" s="1359"/>
      <c r="M745" s="1359"/>
      <c r="N745" s="1359"/>
      <c r="O745" s="1359"/>
      <c r="P745" s="1359"/>
    </row>
    <row r="746">
      <c r="A746" s="1359"/>
      <c r="B746" s="1359"/>
      <c r="C746" s="1359"/>
      <c r="D746" s="1359"/>
      <c r="E746" s="1359"/>
      <c r="F746" s="1359"/>
      <c r="G746" s="1359"/>
      <c r="H746" s="1359"/>
      <c r="I746" s="1359"/>
      <c r="J746" s="1359"/>
      <c r="K746" s="1359"/>
      <c r="L746" s="1359"/>
      <c r="M746" s="1359"/>
      <c r="N746" s="1359"/>
      <c r="O746" s="1359"/>
      <c r="P746" s="1359"/>
    </row>
    <row r="747">
      <c r="A747" s="1359"/>
      <c r="B747" s="1359"/>
      <c r="C747" s="1359"/>
      <c r="D747" s="1359"/>
      <c r="E747" s="1359"/>
      <c r="F747" s="1359"/>
      <c r="G747" s="1359"/>
      <c r="H747" s="1359"/>
      <c r="I747" s="1359"/>
      <c r="J747" s="1359"/>
      <c r="K747" s="1359"/>
      <c r="L747" s="1359"/>
      <c r="M747" s="1359"/>
      <c r="N747" s="1359"/>
      <c r="O747" s="1359"/>
      <c r="P747" s="1359"/>
    </row>
    <row r="748">
      <c r="A748" s="1359"/>
      <c r="B748" s="1359"/>
      <c r="C748" s="1359"/>
      <c r="D748" s="1359"/>
      <c r="E748" s="1359"/>
      <c r="F748" s="1359"/>
      <c r="G748" s="1359"/>
      <c r="H748" s="1359"/>
      <c r="I748" s="1359"/>
      <c r="J748" s="1359"/>
      <c r="K748" s="1359"/>
      <c r="L748" s="1359"/>
      <c r="M748" s="1359"/>
      <c r="N748" s="1359"/>
      <c r="O748" s="1359"/>
      <c r="P748" s="1359"/>
    </row>
    <row r="749">
      <c r="A749" s="1359"/>
      <c r="B749" s="1359"/>
      <c r="C749" s="1359"/>
      <c r="D749" s="1359"/>
      <c r="E749" s="1359"/>
      <c r="F749" s="1359"/>
      <c r="G749" s="1359"/>
      <c r="H749" s="1359"/>
      <c r="I749" s="1359"/>
      <c r="J749" s="1359"/>
      <c r="K749" s="1359"/>
      <c r="L749" s="1359"/>
      <c r="M749" s="1359"/>
      <c r="N749" s="1359"/>
      <c r="O749" s="1359"/>
      <c r="P749" s="1359"/>
    </row>
    <row r="750">
      <c r="A750" s="1359"/>
      <c r="B750" s="1359"/>
      <c r="C750" s="1359"/>
      <c r="D750" s="1359"/>
      <c r="E750" s="1359"/>
      <c r="F750" s="1359"/>
      <c r="G750" s="1359"/>
      <c r="H750" s="1359"/>
      <c r="I750" s="1359"/>
      <c r="J750" s="1359"/>
      <c r="K750" s="1359"/>
      <c r="L750" s="1359"/>
      <c r="M750" s="1359"/>
      <c r="N750" s="1359"/>
      <c r="O750" s="1359"/>
      <c r="P750" s="1359"/>
    </row>
    <row r="751">
      <c r="A751" s="1359"/>
      <c r="B751" s="1359"/>
      <c r="C751" s="1359"/>
      <c r="D751" s="1359"/>
      <c r="E751" s="1359"/>
      <c r="F751" s="1359"/>
      <c r="G751" s="1359"/>
      <c r="H751" s="1359"/>
      <c r="I751" s="1359"/>
      <c r="J751" s="1359"/>
      <c r="K751" s="1359"/>
      <c r="L751" s="1359"/>
      <c r="M751" s="1359"/>
      <c r="N751" s="1359"/>
      <c r="O751" s="1359"/>
      <c r="P751" s="1359"/>
    </row>
    <row r="752">
      <c r="A752" s="1359"/>
      <c r="B752" s="1359"/>
      <c r="C752" s="1359"/>
      <c r="D752" s="1359"/>
      <c r="E752" s="1359"/>
      <c r="F752" s="1359"/>
      <c r="G752" s="1359"/>
      <c r="H752" s="1359"/>
      <c r="I752" s="1359"/>
      <c r="J752" s="1359"/>
      <c r="K752" s="1359"/>
      <c r="L752" s="1359"/>
      <c r="M752" s="1359"/>
      <c r="N752" s="1359"/>
      <c r="O752" s="1359"/>
      <c r="P752" s="1359"/>
    </row>
    <row r="753">
      <c r="A753" s="1359"/>
      <c r="B753" s="1359"/>
      <c r="C753" s="1359"/>
      <c r="D753" s="1359"/>
      <c r="E753" s="1359"/>
      <c r="F753" s="1359"/>
      <c r="G753" s="1359"/>
      <c r="H753" s="1359"/>
      <c r="I753" s="1359"/>
      <c r="J753" s="1359"/>
      <c r="K753" s="1359"/>
      <c r="L753" s="1359"/>
      <c r="M753" s="1359"/>
      <c r="N753" s="1359"/>
      <c r="O753" s="1359"/>
      <c r="P753" s="1359"/>
    </row>
    <row r="754">
      <c r="A754" s="1359"/>
      <c r="B754" s="1359"/>
      <c r="C754" s="1359"/>
      <c r="D754" s="1359"/>
      <c r="E754" s="1359"/>
      <c r="F754" s="1359"/>
      <c r="G754" s="1359"/>
      <c r="H754" s="1359"/>
      <c r="I754" s="1359"/>
      <c r="J754" s="1359"/>
      <c r="K754" s="1359"/>
      <c r="L754" s="1359"/>
      <c r="M754" s="1359"/>
      <c r="N754" s="1359"/>
      <c r="O754" s="1359"/>
      <c r="P754" s="1359"/>
    </row>
    <row r="755">
      <c r="A755" s="1359"/>
      <c r="B755" s="1359"/>
      <c r="C755" s="1359"/>
      <c r="D755" s="1359"/>
      <c r="E755" s="1359"/>
      <c r="F755" s="1359"/>
      <c r="G755" s="1359"/>
      <c r="H755" s="1359"/>
      <c r="I755" s="1359"/>
      <c r="J755" s="1359"/>
      <c r="K755" s="1359"/>
      <c r="L755" s="1359"/>
      <c r="M755" s="1359"/>
      <c r="N755" s="1359"/>
      <c r="O755" s="1359"/>
      <c r="P755" s="1359"/>
    </row>
    <row r="756">
      <c r="A756" s="1359"/>
      <c r="B756" s="1359"/>
      <c r="C756" s="1359"/>
      <c r="D756" s="1359"/>
      <c r="E756" s="1359"/>
      <c r="F756" s="1359"/>
      <c r="G756" s="1359"/>
      <c r="H756" s="1359"/>
      <c r="I756" s="1359"/>
      <c r="J756" s="1359"/>
      <c r="K756" s="1359"/>
      <c r="L756" s="1359"/>
      <c r="M756" s="1359"/>
      <c r="N756" s="1359"/>
      <c r="O756" s="1359"/>
      <c r="P756" s="1359"/>
    </row>
    <row r="757">
      <c r="A757" s="1359"/>
      <c r="B757" s="1359"/>
      <c r="C757" s="1359"/>
      <c r="D757" s="1359"/>
      <c r="E757" s="1359"/>
      <c r="F757" s="1359"/>
      <c r="G757" s="1359"/>
      <c r="H757" s="1359"/>
      <c r="I757" s="1359"/>
      <c r="J757" s="1359"/>
      <c r="K757" s="1359"/>
      <c r="L757" s="1359"/>
      <c r="M757" s="1359"/>
      <c r="N757" s="1359"/>
      <c r="O757" s="1359"/>
      <c r="P757" s="1359"/>
    </row>
    <row r="758">
      <c r="A758" s="1359"/>
      <c r="B758" s="1359"/>
      <c r="C758" s="1359"/>
      <c r="D758" s="1359"/>
      <c r="E758" s="1359"/>
      <c r="F758" s="1359"/>
      <c r="G758" s="1359"/>
      <c r="H758" s="1359"/>
      <c r="I758" s="1359"/>
      <c r="J758" s="1359"/>
      <c r="K758" s="1359"/>
      <c r="L758" s="1359"/>
      <c r="M758" s="1359"/>
      <c r="N758" s="1359"/>
      <c r="O758" s="1359"/>
      <c r="P758" s="1359"/>
    </row>
    <row r="759">
      <c r="A759" s="1359"/>
      <c r="B759" s="1359"/>
      <c r="C759" s="1359"/>
      <c r="D759" s="1359"/>
      <c r="E759" s="1359"/>
      <c r="F759" s="1359"/>
      <c r="G759" s="1359"/>
      <c r="H759" s="1359"/>
      <c r="I759" s="1359"/>
      <c r="J759" s="1359"/>
      <c r="K759" s="1359"/>
      <c r="L759" s="1359"/>
      <c r="M759" s="1359"/>
      <c r="N759" s="1359"/>
      <c r="O759" s="1359"/>
      <c r="P759" s="1359"/>
    </row>
    <row r="760">
      <c r="A760" s="1359"/>
      <c r="B760" s="1359"/>
      <c r="C760" s="1359"/>
      <c r="D760" s="1359"/>
      <c r="E760" s="1359"/>
      <c r="F760" s="1359"/>
      <c r="G760" s="1359"/>
      <c r="H760" s="1359"/>
      <c r="I760" s="1359"/>
      <c r="J760" s="1359"/>
      <c r="K760" s="1359"/>
      <c r="L760" s="1359"/>
      <c r="M760" s="1359"/>
      <c r="N760" s="1359"/>
      <c r="O760" s="1359"/>
      <c r="P760" s="1359"/>
    </row>
    <row r="761">
      <c r="A761" s="1359"/>
      <c r="B761" s="1359"/>
      <c r="C761" s="1359"/>
      <c r="D761" s="1359"/>
      <c r="E761" s="1359"/>
      <c r="F761" s="1359"/>
      <c r="G761" s="1359"/>
      <c r="H761" s="1359"/>
      <c r="I761" s="1359"/>
      <c r="J761" s="1359"/>
      <c r="K761" s="1359"/>
      <c r="L761" s="1359"/>
      <c r="M761" s="1359"/>
      <c r="N761" s="1359"/>
      <c r="O761" s="1359"/>
      <c r="P761" s="1359"/>
    </row>
    <row r="762">
      <c r="A762" s="1359"/>
      <c r="B762" s="1359"/>
      <c r="C762" s="1359"/>
      <c r="D762" s="1359"/>
      <c r="E762" s="1359"/>
      <c r="F762" s="1359"/>
      <c r="G762" s="1359"/>
      <c r="H762" s="1359"/>
      <c r="I762" s="1359"/>
      <c r="J762" s="1359"/>
      <c r="K762" s="1359"/>
      <c r="L762" s="1359"/>
      <c r="M762" s="1359"/>
      <c r="N762" s="1359"/>
      <c r="O762" s="1359"/>
      <c r="P762" s="1359"/>
    </row>
    <row r="763">
      <c r="A763" s="1359"/>
      <c r="B763" s="1359"/>
      <c r="C763" s="1359"/>
      <c r="D763" s="1359"/>
      <c r="E763" s="1359"/>
      <c r="F763" s="1359"/>
      <c r="G763" s="1359"/>
      <c r="H763" s="1359"/>
      <c r="I763" s="1359"/>
      <c r="J763" s="1359"/>
      <c r="K763" s="1359"/>
      <c r="L763" s="1359"/>
      <c r="M763" s="1359"/>
      <c r="N763" s="1359"/>
      <c r="O763" s="1359"/>
      <c r="P763" s="1359"/>
    </row>
    <row r="764">
      <c r="A764" s="1359"/>
      <c r="B764" s="1359"/>
      <c r="C764" s="1359"/>
      <c r="D764" s="1359"/>
      <c r="E764" s="1359"/>
      <c r="F764" s="1359"/>
      <c r="G764" s="1359"/>
      <c r="H764" s="1359"/>
      <c r="I764" s="1359"/>
      <c r="J764" s="1359"/>
      <c r="K764" s="1359"/>
      <c r="L764" s="1359"/>
      <c r="M764" s="1359"/>
      <c r="N764" s="1359"/>
      <c r="O764" s="1359"/>
      <c r="P764" s="1359"/>
    </row>
    <row r="765">
      <c r="A765" s="1359"/>
      <c r="B765" s="1359"/>
      <c r="C765" s="1359"/>
      <c r="D765" s="1359"/>
      <c r="E765" s="1359"/>
      <c r="F765" s="1359"/>
      <c r="G765" s="1359"/>
      <c r="H765" s="1359"/>
      <c r="I765" s="1359"/>
      <c r="J765" s="1359"/>
      <c r="K765" s="1359"/>
      <c r="L765" s="1359"/>
      <c r="M765" s="1359"/>
      <c r="N765" s="1359"/>
      <c r="O765" s="1359"/>
      <c r="P765" s="1359"/>
    </row>
    <row r="766">
      <c r="A766" s="1359"/>
      <c r="B766" s="1359"/>
      <c r="C766" s="1359"/>
      <c r="D766" s="1359"/>
      <c r="E766" s="1359"/>
      <c r="F766" s="1359"/>
      <c r="G766" s="1359"/>
      <c r="H766" s="1359"/>
      <c r="I766" s="1359"/>
      <c r="J766" s="1359"/>
      <c r="K766" s="1359"/>
      <c r="L766" s="1359"/>
      <c r="M766" s="1359"/>
      <c r="N766" s="1359"/>
      <c r="O766" s="1359"/>
      <c r="P766" s="1359"/>
    </row>
    <row r="767">
      <c r="A767" s="1359"/>
      <c r="B767" s="1359"/>
      <c r="C767" s="1359"/>
      <c r="D767" s="1359"/>
      <c r="E767" s="1359"/>
      <c r="F767" s="1359"/>
      <c r="G767" s="1359"/>
      <c r="H767" s="1359"/>
      <c r="I767" s="1359"/>
      <c r="J767" s="1359"/>
      <c r="K767" s="1359"/>
      <c r="L767" s="1359"/>
      <c r="M767" s="1359"/>
      <c r="N767" s="1359"/>
      <c r="O767" s="1359"/>
      <c r="P767" s="1359"/>
    </row>
    <row r="768">
      <c r="A768" s="1359"/>
      <c r="B768" s="1359"/>
      <c r="C768" s="1359"/>
      <c r="D768" s="1359"/>
      <c r="E768" s="1359"/>
      <c r="F768" s="1359"/>
      <c r="G768" s="1359"/>
      <c r="H768" s="1359"/>
      <c r="I768" s="1359"/>
      <c r="J768" s="1359"/>
      <c r="K768" s="1359"/>
      <c r="L768" s="1359"/>
      <c r="M768" s="1359"/>
      <c r="N768" s="1359"/>
      <c r="O768" s="1359"/>
      <c r="P768" s="1359"/>
    </row>
    <row r="769">
      <c r="A769" s="1359"/>
      <c r="B769" s="1359"/>
      <c r="C769" s="1359"/>
      <c r="D769" s="1359"/>
      <c r="E769" s="1359"/>
      <c r="F769" s="1359"/>
      <c r="G769" s="1359"/>
      <c r="H769" s="1359"/>
      <c r="I769" s="1359"/>
      <c r="J769" s="1359"/>
      <c r="K769" s="1359"/>
      <c r="L769" s="1359"/>
      <c r="M769" s="1359"/>
      <c r="N769" s="1359"/>
      <c r="O769" s="1359"/>
      <c r="P769" s="1359"/>
    </row>
    <row r="770">
      <c r="A770" s="1359"/>
      <c r="B770" s="1359"/>
      <c r="C770" s="1359"/>
      <c r="D770" s="1359"/>
      <c r="E770" s="1359"/>
      <c r="F770" s="1359"/>
      <c r="G770" s="1359"/>
      <c r="H770" s="1359"/>
      <c r="I770" s="1359"/>
      <c r="J770" s="1359"/>
      <c r="K770" s="1359"/>
      <c r="L770" s="1359"/>
      <c r="M770" s="1359"/>
      <c r="N770" s="1359"/>
      <c r="O770" s="1359"/>
      <c r="P770" s="1359"/>
    </row>
    <row r="771">
      <c r="A771" s="1359"/>
      <c r="B771" s="1359"/>
      <c r="C771" s="1359"/>
      <c r="D771" s="1359"/>
      <c r="E771" s="1359"/>
      <c r="F771" s="1359"/>
      <c r="G771" s="1359"/>
      <c r="H771" s="1359"/>
      <c r="I771" s="1359"/>
      <c r="J771" s="1359"/>
      <c r="K771" s="1359"/>
      <c r="L771" s="1359"/>
      <c r="M771" s="1359"/>
      <c r="N771" s="1359"/>
      <c r="O771" s="1359"/>
      <c r="P771" s="1359"/>
    </row>
    <row r="772">
      <c r="A772" s="1359"/>
      <c r="B772" s="1359"/>
      <c r="C772" s="1359"/>
      <c r="D772" s="1359"/>
      <c r="E772" s="1359"/>
      <c r="F772" s="1359"/>
      <c r="G772" s="1359"/>
      <c r="H772" s="1359"/>
      <c r="I772" s="1359"/>
      <c r="J772" s="1359"/>
      <c r="K772" s="1359"/>
      <c r="L772" s="1359"/>
      <c r="M772" s="1359"/>
      <c r="N772" s="1359"/>
      <c r="O772" s="1359"/>
      <c r="P772" s="1359"/>
    </row>
    <row r="773">
      <c r="A773" s="1359"/>
      <c r="B773" s="1359"/>
      <c r="C773" s="1359"/>
      <c r="D773" s="1359"/>
      <c r="E773" s="1359"/>
      <c r="F773" s="1359"/>
      <c r="G773" s="1359"/>
      <c r="H773" s="1359"/>
      <c r="I773" s="1359"/>
      <c r="J773" s="1359"/>
      <c r="K773" s="1359"/>
      <c r="L773" s="1359"/>
      <c r="M773" s="1359"/>
      <c r="N773" s="1359"/>
      <c r="O773" s="1359"/>
      <c r="P773" s="1359"/>
    </row>
    <row r="774">
      <c r="A774" s="1359"/>
      <c r="B774" s="1359"/>
      <c r="C774" s="1359"/>
      <c r="D774" s="1359"/>
      <c r="E774" s="1359"/>
      <c r="F774" s="1359"/>
      <c r="G774" s="1359"/>
      <c r="H774" s="1359"/>
      <c r="I774" s="1359"/>
      <c r="J774" s="1359"/>
      <c r="K774" s="1359"/>
      <c r="L774" s="1359"/>
      <c r="M774" s="1359"/>
      <c r="N774" s="1359"/>
      <c r="O774" s="1359"/>
      <c r="P774" s="1359"/>
    </row>
    <row r="775">
      <c r="A775" s="1359"/>
      <c r="B775" s="1359"/>
      <c r="C775" s="1359"/>
      <c r="D775" s="1359"/>
      <c r="E775" s="1359"/>
      <c r="F775" s="1359"/>
      <c r="G775" s="1359"/>
      <c r="H775" s="1359"/>
      <c r="I775" s="1359"/>
      <c r="J775" s="1359"/>
      <c r="K775" s="1359"/>
      <c r="L775" s="1359"/>
      <c r="M775" s="1359"/>
      <c r="N775" s="1359"/>
      <c r="O775" s="1359"/>
      <c r="P775" s="1359"/>
    </row>
    <row r="776">
      <c r="A776" s="1359"/>
      <c r="B776" s="1359"/>
      <c r="C776" s="1359"/>
      <c r="D776" s="1359"/>
      <c r="E776" s="1359"/>
      <c r="F776" s="1359"/>
      <c r="G776" s="1359"/>
      <c r="H776" s="1359"/>
      <c r="I776" s="1359"/>
      <c r="J776" s="1359"/>
      <c r="K776" s="1359"/>
      <c r="L776" s="1359"/>
      <c r="M776" s="1359"/>
      <c r="N776" s="1359"/>
      <c r="O776" s="1359"/>
      <c r="P776" s="1359"/>
    </row>
    <row r="777">
      <c r="A777" s="1359"/>
      <c r="B777" s="1359"/>
      <c r="C777" s="1359"/>
      <c r="D777" s="1359"/>
      <c r="E777" s="1359"/>
      <c r="F777" s="1359"/>
      <c r="G777" s="1359"/>
      <c r="H777" s="1359"/>
      <c r="I777" s="1359"/>
      <c r="J777" s="1359"/>
      <c r="K777" s="1359"/>
      <c r="L777" s="1359"/>
      <c r="M777" s="1359"/>
      <c r="N777" s="1359"/>
      <c r="O777" s="1359"/>
      <c r="P777" s="1359"/>
    </row>
    <row r="778">
      <c r="A778" s="1359"/>
      <c r="B778" s="1359"/>
      <c r="C778" s="1359"/>
      <c r="D778" s="1359"/>
      <c r="E778" s="1359"/>
      <c r="F778" s="1359"/>
      <c r="G778" s="1359"/>
      <c r="H778" s="1359"/>
      <c r="I778" s="1359"/>
      <c r="J778" s="1359"/>
      <c r="K778" s="1359"/>
      <c r="L778" s="1359"/>
      <c r="M778" s="1359"/>
      <c r="N778" s="1359"/>
      <c r="O778" s="1359"/>
      <c r="P778" s="1359"/>
    </row>
    <row r="779">
      <c r="A779" s="1359"/>
      <c r="B779" s="1359"/>
      <c r="C779" s="1359"/>
      <c r="D779" s="1359"/>
      <c r="E779" s="1359"/>
      <c r="F779" s="1359"/>
      <c r="G779" s="1359"/>
      <c r="H779" s="1359"/>
      <c r="I779" s="1359"/>
      <c r="J779" s="1359"/>
      <c r="K779" s="1359"/>
      <c r="L779" s="1359"/>
      <c r="M779" s="1359"/>
      <c r="N779" s="1359"/>
      <c r="O779" s="1359"/>
      <c r="P779" s="1359"/>
    </row>
    <row r="780">
      <c r="A780" s="1359"/>
      <c r="B780" s="1359"/>
      <c r="C780" s="1359"/>
      <c r="D780" s="1359"/>
      <c r="E780" s="1359"/>
      <c r="F780" s="1359"/>
      <c r="G780" s="1359"/>
      <c r="H780" s="1359"/>
      <c r="I780" s="1359"/>
      <c r="J780" s="1359"/>
      <c r="K780" s="1359"/>
      <c r="L780" s="1359"/>
      <c r="M780" s="1359"/>
      <c r="N780" s="1359"/>
      <c r="O780" s="1359"/>
      <c r="P780" s="1359"/>
    </row>
    <row r="781">
      <c r="A781" s="1359"/>
      <c r="B781" s="1359"/>
      <c r="C781" s="1359"/>
      <c r="D781" s="1359"/>
      <c r="E781" s="1359"/>
      <c r="F781" s="1359"/>
      <c r="G781" s="1359"/>
      <c r="H781" s="1359"/>
      <c r="I781" s="1359"/>
      <c r="J781" s="1359"/>
      <c r="K781" s="1359"/>
      <c r="L781" s="1359"/>
      <c r="M781" s="1359"/>
      <c r="N781" s="1359"/>
      <c r="O781" s="1359"/>
      <c r="P781" s="1359"/>
    </row>
    <row r="782">
      <c r="A782" s="1359"/>
      <c r="B782" s="1359"/>
      <c r="C782" s="1359"/>
      <c r="D782" s="1359"/>
      <c r="E782" s="1359"/>
      <c r="F782" s="1359"/>
      <c r="G782" s="1359"/>
      <c r="H782" s="1359"/>
      <c r="I782" s="1359"/>
      <c r="J782" s="1359"/>
      <c r="K782" s="1359"/>
      <c r="L782" s="1359"/>
      <c r="M782" s="1359"/>
      <c r="N782" s="1359"/>
      <c r="O782" s="1359"/>
      <c r="P782" s="1359"/>
    </row>
    <row r="783">
      <c r="A783" s="1359"/>
      <c r="B783" s="1359"/>
      <c r="C783" s="1359"/>
      <c r="D783" s="1359"/>
      <c r="E783" s="1359"/>
      <c r="F783" s="1359"/>
      <c r="G783" s="1359"/>
      <c r="H783" s="1359"/>
      <c r="I783" s="1359"/>
      <c r="J783" s="1359"/>
      <c r="K783" s="1359"/>
      <c r="L783" s="1359"/>
      <c r="M783" s="1359"/>
      <c r="N783" s="1359"/>
      <c r="O783" s="1359"/>
      <c r="P783" s="1359"/>
    </row>
    <row r="784">
      <c r="A784" s="1359"/>
      <c r="B784" s="1359"/>
      <c r="C784" s="1359"/>
      <c r="D784" s="1359"/>
      <c r="E784" s="1359"/>
      <c r="F784" s="1359"/>
      <c r="G784" s="1359"/>
      <c r="H784" s="1359"/>
      <c r="I784" s="1359"/>
      <c r="J784" s="1359"/>
      <c r="K784" s="1359"/>
      <c r="L784" s="1359"/>
      <c r="M784" s="1359"/>
      <c r="N784" s="1359"/>
      <c r="O784" s="1359"/>
      <c r="P784" s="1359"/>
    </row>
    <row r="785">
      <c r="A785" s="1359"/>
      <c r="B785" s="1359"/>
      <c r="C785" s="1359"/>
      <c r="D785" s="1359"/>
      <c r="E785" s="1359"/>
      <c r="F785" s="1359"/>
      <c r="G785" s="1359"/>
      <c r="H785" s="1359"/>
      <c r="I785" s="1359"/>
      <c r="J785" s="1359"/>
      <c r="K785" s="1359"/>
      <c r="L785" s="1359"/>
      <c r="M785" s="1359"/>
      <c r="N785" s="1359"/>
      <c r="O785" s="1359"/>
      <c r="P785" s="1359"/>
    </row>
    <row r="786">
      <c r="A786" s="1359"/>
      <c r="B786" s="1359"/>
      <c r="C786" s="1359"/>
      <c r="D786" s="1359"/>
      <c r="E786" s="1359"/>
      <c r="F786" s="1359"/>
      <c r="G786" s="1359"/>
      <c r="H786" s="1359"/>
      <c r="I786" s="1359"/>
      <c r="J786" s="1359"/>
      <c r="K786" s="1359"/>
      <c r="L786" s="1359"/>
      <c r="M786" s="1359"/>
      <c r="N786" s="1359"/>
      <c r="O786" s="1359"/>
      <c r="P786" s="1359"/>
    </row>
    <row r="787">
      <c r="A787" s="1359"/>
      <c r="B787" s="1359"/>
      <c r="C787" s="1359"/>
      <c r="D787" s="1359"/>
      <c r="E787" s="1359"/>
      <c r="F787" s="1359"/>
      <c r="G787" s="1359"/>
      <c r="H787" s="1359"/>
      <c r="I787" s="1359"/>
      <c r="J787" s="1359"/>
      <c r="K787" s="1359"/>
      <c r="L787" s="1359"/>
      <c r="M787" s="1359"/>
      <c r="N787" s="1359"/>
      <c r="O787" s="1359"/>
      <c r="P787" s="1359"/>
    </row>
    <row r="788">
      <c r="A788" s="1359"/>
      <c r="B788" s="1359"/>
      <c r="C788" s="1359"/>
      <c r="D788" s="1359"/>
      <c r="E788" s="1359"/>
      <c r="F788" s="1359"/>
      <c r="G788" s="1359"/>
      <c r="H788" s="1359"/>
      <c r="I788" s="1359"/>
      <c r="J788" s="1359"/>
      <c r="K788" s="1359"/>
      <c r="L788" s="1359"/>
      <c r="M788" s="1359"/>
      <c r="N788" s="1359"/>
      <c r="O788" s="1359"/>
      <c r="P788" s="1359"/>
    </row>
    <row r="789">
      <c r="A789" s="1359"/>
      <c r="B789" s="1359"/>
      <c r="C789" s="1359"/>
      <c r="D789" s="1359"/>
      <c r="E789" s="1359"/>
      <c r="F789" s="1359"/>
      <c r="G789" s="1359"/>
      <c r="H789" s="1359"/>
      <c r="I789" s="1359"/>
      <c r="J789" s="1359"/>
      <c r="K789" s="1359"/>
      <c r="L789" s="1359"/>
      <c r="M789" s="1359"/>
      <c r="N789" s="1359"/>
      <c r="O789" s="1359"/>
      <c r="P789" s="1359"/>
    </row>
    <row r="790">
      <c r="A790" s="1359"/>
      <c r="B790" s="1359"/>
      <c r="C790" s="1359"/>
      <c r="D790" s="1359"/>
      <c r="E790" s="1359"/>
      <c r="F790" s="1359"/>
      <c r="G790" s="1359"/>
      <c r="H790" s="1359"/>
      <c r="I790" s="1359"/>
      <c r="J790" s="1359"/>
      <c r="K790" s="1359"/>
      <c r="L790" s="1359"/>
      <c r="M790" s="1359"/>
      <c r="N790" s="1359"/>
      <c r="O790" s="1359"/>
      <c r="P790" s="1359"/>
    </row>
    <row r="791">
      <c r="A791" s="1359"/>
      <c r="B791" s="1359"/>
      <c r="C791" s="1359"/>
      <c r="D791" s="1359"/>
      <c r="E791" s="1359"/>
      <c r="F791" s="1359"/>
      <c r="G791" s="1359"/>
      <c r="H791" s="1359"/>
      <c r="I791" s="1359"/>
      <c r="J791" s="1359"/>
      <c r="K791" s="1359"/>
      <c r="L791" s="1359"/>
      <c r="M791" s="1359"/>
      <c r="N791" s="1359"/>
      <c r="O791" s="1359"/>
      <c r="P791" s="1359"/>
    </row>
    <row r="792">
      <c r="A792" s="1359"/>
      <c r="B792" s="1359"/>
      <c r="C792" s="1359"/>
      <c r="D792" s="1359"/>
      <c r="E792" s="1359"/>
      <c r="F792" s="1359"/>
      <c r="G792" s="1359"/>
      <c r="H792" s="1359"/>
      <c r="I792" s="1359"/>
      <c r="J792" s="1359"/>
      <c r="K792" s="1359"/>
      <c r="L792" s="1359"/>
      <c r="M792" s="1359"/>
      <c r="N792" s="1359"/>
      <c r="O792" s="1359"/>
      <c r="P792" s="1359"/>
    </row>
    <row r="793">
      <c r="A793" s="1359"/>
      <c r="B793" s="1359"/>
      <c r="C793" s="1359"/>
      <c r="D793" s="1359"/>
      <c r="E793" s="1359"/>
      <c r="F793" s="1359"/>
      <c r="G793" s="1359"/>
      <c r="H793" s="1359"/>
      <c r="I793" s="1359"/>
      <c r="J793" s="1359"/>
      <c r="K793" s="1359"/>
      <c r="L793" s="1359"/>
      <c r="M793" s="1359"/>
      <c r="N793" s="1359"/>
      <c r="O793" s="1359"/>
      <c r="P793" s="1359"/>
    </row>
    <row r="794">
      <c r="A794" s="1359"/>
      <c r="B794" s="1359"/>
      <c r="C794" s="1359"/>
      <c r="D794" s="1359"/>
      <c r="E794" s="1359"/>
      <c r="F794" s="1359"/>
      <c r="G794" s="1359"/>
      <c r="H794" s="1359"/>
      <c r="I794" s="1359"/>
      <c r="J794" s="1359"/>
      <c r="K794" s="1359"/>
      <c r="L794" s="1359"/>
      <c r="M794" s="1359"/>
      <c r="N794" s="1359"/>
      <c r="O794" s="1359"/>
      <c r="P794" s="1359"/>
    </row>
    <row r="795">
      <c r="A795" s="1359"/>
      <c r="B795" s="1359"/>
      <c r="C795" s="1359"/>
      <c r="D795" s="1359"/>
      <c r="E795" s="1359"/>
      <c r="F795" s="1359"/>
      <c r="G795" s="1359"/>
      <c r="H795" s="1359"/>
      <c r="I795" s="1359"/>
      <c r="J795" s="1359"/>
      <c r="K795" s="1359"/>
      <c r="L795" s="1359"/>
      <c r="M795" s="1359"/>
      <c r="N795" s="1359"/>
      <c r="O795" s="1359"/>
      <c r="P795" s="1359"/>
    </row>
    <row r="796">
      <c r="A796" s="1359"/>
      <c r="B796" s="1359"/>
      <c r="C796" s="1359"/>
      <c r="D796" s="1359"/>
      <c r="E796" s="1359"/>
      <c r="F796" s="1359"/>
      <c r="G796" s="1359"/>
      <c r="H796" s="1359"/>
      <c r="I796" s="1359"/>
      <c r="J796" s="1359"/>
      <c r="K796" s="1359"/>
      <c r="L796" s="1359"/>
      <c r="M796" s="1359"/>
      <c r="N796" s="1359"/>
      <c r="O796" s="1359"/>
      <c r="P796" s="1359"/>
    </row>
    <row r="797">
      <c r="A797" s="1359"/>
      <c r="B797" s="1359"/>
      <c r="C797" s="1359"/>
      <c r="D797" s="1359"/>
      <c r="E797" s="1359"/>
      <c r="F797" s="1359"/>
      <c r="G797" s="1359"/>
      <c r="H797" s="1359"/>
      <c r="I797" s="1359"/>
      <c r="J797" s="1359"/>
      <c r="K797" s="1359"/>
      <c r="L797" s="1359"/>
      <c r="M797" s="1359"/>
      <c r="N797" s="1359"/>
      <c r="O797" s="1359"/>
      <c r="P797" s="1359"/>
    </row>
    <row r="798">
      <c r="A798" s="1359"/>
      <c r="B798" s="1359"/>
      <c r="C798" s="1359"/>
      <c r="D798" s="1359"/>
      <c r="E798" s="1359"/>
      <c r="F798" s="1359"/>
      <c r="G798" s="1359"/>
      <c r="H798" s="1359"/>
      <c r="I798" s="1359"/>
      <c r="J798" s="1359"/>
      <c r="K798" s="1359"/>
      <c r="L798" s="1359"/>
      <c r="M798" s="1359"/>
      <c r="N798" s="1359"/>
      <c r="O798" s="1359"/>
      <c r="P798" s="1359"/>
    </row>
    <row r="799">
      <c r="A799" s="1359"/>
      <c r="B799" s="1359"/>
      <c r="C799" s="1359"/>
      <c r="D799" s="1359"/>
      <c r="E799" s="1359"/>
      <c r="F799" s="1359"/>
      <c r="G799" s="1359"/>
      <c r="H799" s="1359"/>
      <c r="I799" s="1359"/>
      <c r="J799" s="1359"/>
      <c r="K799" s="1359"/>
      <c r="L799" s="1359"/>
      <c r="M799" s="1359"/>
      <c r="N799" s="1359"/>
      <c r="O799" s="1359"/>
      <c r="P799" s="1359"/>
    </row>
    <row r="800">
      <c r="A800" s="1359"/>
      <c r="B800" s="1359"/>
      <c r="C800" s="1359"/>
      <c r="D800" s="1359"/>
      <c r="E800" s="1359"/>
      <c r="F800" s="1359"/>
      <c r="G800" s="1359"/>
      <c r="H800" s="1359"/>
      <c r="I800" s="1359"/>
      <c r="J800" s="1359"/>
      <c r="K800" s="1359"/>
      <c r="L800" s="1359"/>
      <c r="M800" s="1359"/>
      <c r="N800" s="1359"/>
      <c r="O800" s="1359"/>
      <c r="P800" s="1359"/>
    </row>
    <row r="801">
      <c r="A801" s="1359"/>
      <c r="B801" s="1359"/>
      <c r="C801" s="1359"/>
      <c r="D801" s="1359"/>
      <c r="E801" s="1359"/>
      <c r="F801" s="1359"/>
      <c r="G801" s="1359"/>
      <c r="H801" s="1359"/>
      <c r="I801" s="1359"/>
      <c r="J801" s="1359"/>
      <c r="K801" s="1359"/>
      <c r="L801" s="1359"/>
      <c r="M801" s="1359"/>
      <c r="N801" s="1359"/>
      <c r="O801" s="1359"/>
      <c r="P801" s="1359"/>
    </row>
    <row r="802">
      <c r="A802" s="1359"/>
      <c r="B802" s="1359"/>
      <c r="C802" s="1359"/>
      <c r="D802" s="1359"/>
      <c r="E802" s="1359"/>
      <c r="F802" s="1359"/>
      <c r="G802" s="1359"/>
      <c r="H802" s="1359"/>
      <c r="I802" s="1359"/>
      <c r="J802" s="1359"/>
      <c r="K802" s="1359"/>
      <c r="L802" s="1359"/>
      <c r="M802" s="1359"/>
      <c r="N802" s="1359"/>
      <c r="O802" s="1359"/>
      <c r="P802" s="1359"/>
    </row>
    <row r="803">
      <c r="A803" s="1359"/>
      <c r="B803" s="1359"/>
      <c r="C803" s="1359"/>
      <c r="D803" s="1359"/>
      <c r="E803" s="1359"/>
      <c r="F803" s="1359"/>
      <c r="G803" s="1359"/>
      <c r="H803" s="1359"/>
      <c r="I803" s="1359"/>
      <c r="J803" s="1359"/>
      <c r="K803" s="1359"/>
      <c r="L803" s="1359"/>
      <c r="M803" s="1359"/>
      <c r="N803" s="1359"/>
      <c r="O803" s="1359"/>
      <c r="P803" s="1359"/>
    </row>
    <row r="804">
      <c r="A804" s="1359"/>
      <c r="B804" s="1359"/>
      <c r="C804" s="1359"/>
      <c r="D804" s="1359"/>
      <c r="E804" s="1359"/>
      <c r="F804" s="1359"/>
      <c r="G804" s="1359"/>
      <c r="H804" s="1359"/>
      <c r="I804" s="1359"/>
      <c r="J804" s="1359"/>
      <c r="K804" s="1359"/>
      <c r="L804" s="1359"/>
      <c r="M804" s="1359"/>
      <c r="N804" s="1359"/>
      <c r="O804" s="1359"/>
      <c r="P804" s="1359"/>
    </row>
    <row r="805">
      <c r="A805" s="1359"/>
      <c r="B805" s="1359"/>
      <c r="C805" s="1359"/>
      <c r="D805" s="1359"/>
      <c r="E805" s="1359"/>
      <c r="F805" s="1359"/>
      <c r="G805" s="1359"/>
      <c r="H805" s="1359"/>
      <c r="I805" s="1359"/>
      <c r="J805" s="1359"/>
      <c r="K805" s="1359"/>
      <c r="L805" s="1359"/>
      <c r="M805" s="1359"/>
      <c r="N805" s="1359"/>
      <c r="O805" s="1359"/>
      <c r="P805" s="1359"/>
    </row>
    <row r="806">
      <c r="A806" s="1359"/>
      <c r="B806" s="1359"/>
      <c r="C806" s="1359"/>
      <c r="D806" s="1359"/>
      <c r="E806" s="1359"/>
      <c r="F806" s="1359"/>
      <c r="G806" s="1359"/>
      <c r="H806" s="1359"/>
      <c r="I806" s="1359"/>
      <c r="J806" s="1359"/>
      <c r="K806" s="1359"/>
      <c r="L806" s="1359"/>
      <c r="M806" s="1359"/>
      <c r="N806" s="1359"/>
      <c r="O806" s="1359"/>
      <c r="P806" s="1359"/>
    </row>
    <row r="807">
      <c r="A807" s="1359"/>
      <c r="B807" s="1359"/>
      <c r="C807" s="1359"/>
      <c r="D807" s="1359"/>
      <c r="E807" s="1359"/>
      <c r="F807" s="1359"/>
      <c r="G807" s="1359"/>
      <c r="H807" s="1359"/>
      <c r="I807" s="1359"/>
      <c r="J807" s="1359"/>
      <c r="K807" s="1359"/>
      <c r="L807" s="1359"/>
      <c r="M807" s="1359"/>
      <c r="N807" s="1359"/>
      <c r="O807" s="1359"/>
      <c r="P807" s="1359"/>
    </row>
    <row r="808">
      <c r="A808" s="1359"/>
      <c r="B808" s="1359"/>
      <c r="C808" s="1359"/>
      <c r="D808" s="1359"/>
      <c r="E808" s="1359"/>
      <c r="F808" s="1359"/>
      <c r="G808" s="1359"/>
      <c r="H808" s="1359"/>
      <c r="I808" s="1359"/>
      <c r="J808" s="1359"/>
      <c r="K808" s="1359"/>
      <c r="L808" s="1359"/>
      <c r="M808" s="1359"/>
      <c r="N808" s="1359"/>
      <c r="O808" s="1359"/>
      <c r="P808" s="1359"/>
    </row>
    <row r="809">
      <c r="A809" s="1359"/>
      <c r="B809" s="1359"/>
      <c r="C809" s="1359"/>
      <c r="D809" s="1359"/>
      <c r="E809" s="1359"/>
      <c r="F809" s="1359"/>
      <c r="G809" s="1359"/>
      <c r="H809" s="1359"/>
      <c r="I809" s="1359"/>
      <c r="J809" s="1359"/>
      <c r="K809" s="1359"/>
      <c r="L809" s="1359"/>
      <c r="M809" s="1359"/>
      <c r="N809" s="1359"/>
      <c r="O809" s="1359"/>
      <c r="P809" s="1359"/>
    </row>
    <row r="810">
      <c r="A810" s="1359"/>
      <c r="B810" s="1359"/>
      <c r="C810" s="1359"/>
      <c r="D810" s="1359"/>
      <c r="E810" s="1359"/>
      <c r="F810" s="1359"/>
      <c r="G810" s="1359"/>
      <c r="H810" s="1359"/>
      <c r="I810" s="1359"/>
      <c r="J810" s="1359"/>
      <c r="K810" s="1359"/>
      <c r="L810" s="1359"/>
      <c r="M810" s="1359"/>
      <c r="N810" s="1359"/>
      <c r="O810" s="1359"/>
      <c r="P810" s="1359"/>
    </row>
    <row r="811">
      <c r="A811" s="1359"/>
      <c r="B811" s="1359"/>
      <c r="C811" s="1359"/>
      <c r="D811" s="1359"/>
      <c r="E811" s="1359"/>
      <c r="F811" s="1359"/>
      <c r="G811" s="1359"/>
      <c r="H811" s="1359"/>
      <c r="I811" s="1359"/>
      <c r="J811" s="1359"/>
      <c r="K811" s="1359"/>
      <c r="L811" s="1359"/>
      <c r="M811" s="1359"/>
      <c r="N811" s="1359"/>
      <c r="O811" s="1359"/>
      <c r="P811" s="1359"/>
    </row>
    <row r="812">
      <c r="A812" s="1359"/>
      <c r="B812" s="1359"/>
      <c r="C812" s="1359"/>
      <c r="D812" s="1359"/>
      <c r="E812" s="1359"/>
      <c r="F812" s="1359"/>
      <c r="G812" s="1359"/>
      <c r="H812" s="1359"/>
      <c r="I812" s="1359"/>
      <c r="J812" s="1359"/>
      <c r="K812" s="1359"/>
      <c r="L812" s="1359"/>
      <c r="M812" s="1359"/>
      <c r="N812" s="1359"/>
      <c r="O812" s="1359"/>
      <c r="P812" s="1359"/>
    </row>
    <row r="813">
      <c r="A813" s="1359"/>
      <c r="B813" s="1359"/>
      <c r="C813" s="1359"/>
      <c r="D813" s="1359"/>
      <c r="E813" s="1359"/>
      <c r="F813" s="1359"/>
      <c r="G813" s="1359"/>
      <c r="H813" s="1359"/>
      <c r="I813" s="1359"/>
      <c r="J813" s="1359"/>
      <c r="K813" s="1359"/>
      <c r="L813" s="1359"/>
      <c r="M813" s="1359"/>
      <c r="N813" s="1359"/>
      <c r="O813" s="1359"/>
      <c r="P813" s="1359"/>
    </row>
    <row r="814">
      <c r="A814" s="1359"/>
      <c r="B814" s="1359"/>
      <c r="C814" s="1359"/>
      <c r="D814" s="1359"/>
      <c r="E814" s="1359"/>
      <c r="F814" s="1359"/>
      <c r="G814" s="1359"/>
      <c r="H814" s="1359"/>
      <c r="I814" s="1359"/>
      <c r="J814" s="1359"/>
      <c r="K814" s="1359"/>
      <c r="L814" s="1359"/>
      <c r="M814" s="1359"/>
      <c r="N814" s="1359"/>
      <c r="O814" s="1359"/>
      <c r="P814" s="1359"/>
    </row>
    <row r="815">
      <c r="A815" s="1359"/>
      <c r="B815" s="1359"/>
      <c r="C815" s="1359"/>
      <c r="D815" s="1359"/>
      <c r="E815" s="1359"/>
      <c r="F815" s="1359"/>
      <c r="G815" s="1359"/>
      <c r="H815" s="1359"/>
      <c r="I815" s="1359"/>
      <c r="J815" s="1359"/>
      <c r="K815" s="1359"/>
      <c r="L815" s="1359"/>
      <c r="M815" s="1359"/>
      <c r="N815" s="1359"/>
      <c r="O815" s="1359"/>
      <c r="P815" s="1359"/>
    </row>
    <row r="816">
      <c r="A816" s="1359"/>
      <c r="B816" s="1359"/>
      <c r="C816" s="1359"/>
      <c r="D816" s="1359"/>
      <c r="E816" s="1359"/>
      <c r="F816" s="1359"/>
      <c r="G816" s="1359"/>
      <c r="H816" s="1359"/>
      <c r="I816" s="1359"/>
      <c r="J816" s="1359"/>
      <c r="K816" s="1359"/>
      <c r="L816" s="1359"/>
      <c r="M816" s="1359"/>
      <c r="N816" s="1359"/>
      <c r="O816" s="1359"/>
      <c r="P816" s="1359"/>
    </row>
    <row r="817">
      <c r="A817" s="1359"/>
      <c r="B817" s="1359"/>
      <c r="C817" s="1359"/>
      <c r="D817" s="1359"/>
      <c r="E817" s="1359"/>
      <c r="F817" s="1359"/>
      <c r="G817" s="1359"/>
      <c r="H817" s="1359"/>
      <c r="I817" s="1359"/>
      <c r="J817" s="1359"/>
      <c r="K817" s="1359"/>
      <c r="L817" s="1359"/>
      <c r="M817" s="1359"/>
      <c r="N817" s="1359"/>
      <c r="O817" s="1359"/>
      <c r="P817" s="1359"/>
    </row>
    <row r="818">
      <c r="A818" s="1359"/>
      <c r="B818" s="1359"/>
      <c r="C818" s="1359"/>
      <c r="D818" s="1359"/>
      <c r="E818" s="1359"/>
      <c r="F818" s="1359"/>
      <c r="G818" s="1359"/>
      <c r="H818" s="1359"/>
      <c r="I818" s="1359"/>
      <c r="J818" s="1359"/>
      <c r="K818" s="1359"/>
      <c r="L818" s="1359"/>
      <c r="M818" s="1359"/>
      <c r="N818" s="1359"/>
      <c r="O818" s="1359"/>
      <c r="P818" s="1359"/>
    </row>
    <row r="819">
      <c r="A819" s="1359"/>
      <c r="B819" s="1359"/>
      <c r="C819" s="1359"/>
      <c r="D819" s="1359"/>
      <c r="E819" s="1359"/>
      <c r="F819" s="1359"/>
      <c r="G819" s="1359"/>
      <c r="H819" s="1359"/>
      <c r="I819" s="1359"/>
      <c r="J819" s="1359"/>
      <c r="K819" s="1359"/>
      <c r="L819" s="1359"/>
      <c r="M819" s="1359"/>
      <c r="N819" s="1359"/>
      <c r="O819" s="1359"/>
      <c r="P819" s="1359"/>
    </row>
    <row r="820">
      <c r="A820" s="1359"/>
      <c r="B820" s="1359"/>
      <c r="C820" s="1359"/>
      <c r="D820" s="1359"/>
      <c r="E820" s="1359"/>
      <c r="F820" s="1359"/>
      <c r="G820" s="1359"/>
      <c r="H820" s="1359"/>
      <c r="I820" s="1359"/>
      <c r="J820" s="1359"/>
      <c r="K820" s="1359"/>
      <c r="L820" s="1359"/>
      <c r="M820" s="1359"/>
      <c r="N820" s="1359"/>
      <c r="O820" s="1359"/>
      <c r="P820" s="1359"/>
    </row>
    <row r="821">
      <c r="A821" s="1359"/>
      <c r="B821" s="1359"/>
      <c r="C821" s="1359"/>
      <c r="D821" s="1359"/>
      <c r="E821" s="1359"/>
      <c r="F821" s="1359"/>
      <c r="G821" s="1359"/>
      <c r="H821" s="1359"/>
      <c r="I821" s="1359"/>
      <c r="J821" s="1359"/>
      <c r="K821" s="1359"/>
      <c r="L821" s="1359"/>
      <c r="M821" s="1359"/>
      <c r="N821" s="1359"/>
      <c r="O821" s="1359"/>
      <c r="P821" s="1359"/>
    </row>
    <row r="822">
      <c r="A822" s="1359"/>
      <c r="B822" s="1359"/>
      <c r="C822" s="1359"/>
      <c r="D822" s="1359"/>
      <c r="E822" s="1359"/>
      <c r="F822" s="1359"/>
      <c r="G822" s="1359"/>
      <c r="H822" s="1359"/>
      <c r="I822" s="1359"/>
      <c r="J822" s="1359"/>
      <c r="K822" s="1359"/>
      <c r="L822" s="1359"/>
      <c r="M822" s="1359"/>
      <c r="N822" s="1359"/>
      <c r="O822" s="1359"/>
      <c r="P822" s="1359"/>
    </row>
    <row r="823">
      <c r="A823" s="1359"/>
      <c r="B823" s="1359"/>
      <c r="C823" s="1359"/>
      <c r="D823" s="1359"/>
      <c r="E823" s="1359"/>
      <c r="F823" s="1359"/>
      <c r="G823" s="1359"/>
      <c r="H823" s="1359"/>
      <c r="I823" s="1359"/>
      <c r="J823" s="1359"/>
      <c r="K823" s="1359"/>
      <c r="L823" s="1359"/>
      <c r="M823" s="1359"/>
      <c r="N823" s="1359"/>
      <c r="O823" s="1359"/>
      <c r="P823" s="1359"/>
    </row>
    <row r="824">
      <c r="A824" s="1359"/>
      <c r="B824" s="1359"/>
      <c r="C824" s="1359"/>
      <c r="D824" s="1359"/>
      <c r="E824" s="1359"/>
      <c r="F824" s="1359"/>
      <c r="G824" s="1359"/>
      <c r="H824" s="1359"/>
      <c r="I824" s="1359"/>
      <c r="J824" s="1359"/>
      <c r="K824" s="1359"/>
      <c r="L824" s="1359"/>
      <c r="M824" s="1359"/>
      <c r="N824" s="1359"/>
      <c r="O824" s="1359"/>
      <c r="P824" s="1359"/>
    </row>
    <row r="825">
      <c r="A825" s="1359"/>
      <c r="B825" s="1359"/>
      <c r="C825" s="1359"/>
      <c r="D825" s="1359"/>
      <c r="E825" s="1359"/>
      <c r="F825" s="1359"/>
      <c r="G825" s="1359"/>
      <c r="H825" s="1359"/>
      <c r="I825" s="1359"/>
      <c r="J825" s="1359"/>
      <c r="K825" s="1359"/>
      <c r="L825" s="1359"/>
      <c r="M825" s="1359"/>
      <c r="N825" s="1359"/>
      <c r="O825" s="1359"/>
      <c r="P825" s="1359"/>
    </row>
    <row r="826">
      <c r="A826" s="1359"/>
      <c r="B826" s="1359"/>
      <c r="C826" s="1359"/>
      <c r="D826" s="1359"/>
      <c r="E826" s="1359"/>
      <c r="F826" s="1359"/>
      <c r="G826" s="1359"/>
      <c r="H826" s="1359"/>
      <c r="I826" s="1359"/>
      <c r="J826" s="1359"/>
      <c r="K826" s="1359"/>
      <c r="L826" s="1359"/>
      <c r="M826" s="1359"/>
      <c r="N826" s="1359"/>
      <c r="O826" s="1359"/>
      <c r="P826" s="1359"/>
    </row>
    <row r="827">
      <c r="A827" s="1359"/>
      <c r="B827" s="1359"/>
      <c r="C827" s="1359"/>
      <c r="D827" s="1359"/>
      <c r="E827" s="1359"/>
      <c r="F827" s="1359"/>
      <c r="G827" s="1359"/>
      <c r="H827" s="1359"/>
      <c r="I827" s="1359"/>
      <c r="J827" s="1359"/>
      <c r="K827" s="1359"/>
      <c r="L827" s="1359"/>
      <c r="M827" s="1359"/>
      <c r="N827" s="1359"/>
      <c r="O827" s="1359"/>
      <c r="P827" s="1359"/>
    </row>
    <row r="828">
      <c r="A828" s="1359"/>
      <c r="B828" s="1359"/>
      <c r="C828" s="1359"/>
      <c r="D828" s="1359"/>
      <c r="E828" s="1359"/>
      <c r="F828" s="1359"/>
      <c r="G828" s="1359"/>
      <c r="H828" s="1359"/>
      <c r="I828" s="1359"/>
      <c r="J828" s="1359"/>
      <c r="K828" s="1359"/>
      <c r="L828" s="1359"/>
      <c r="M828" s="1359"/>
      <c r="N828" s="1359"/>
      <c r="O828" s="1359"/>
      <c r="P828" s="1359"/>
    </row>
    <row r="829">
      <c r="A829" s="1359"/>
      <c r="B829" s="1359"/>
      <c r="C829" s="1359"/>
      <c r="D829" s="1359"/>
      <c r="E829" s="1359"/>
      <c r="F829" s="1359"/>
      <c r="G829" s="1359"/>
      <c r="H829" s="1359"/>
      <c r="I829" s="1359"/>
      <c r="J829" s="1359"/>
      <c r="K829" s="1359"/>
      <c r="L829" s="1359"/>
      <c r="M829" s="1359"/>
      <c r="N829" s="1359"/>
      <c r="O829" s="1359"/>
      <c r="P829" s="1359"/>
    </row>
    <row r="830">
      <c r="A830" s="1359"/>
      <c r="B830" s="1359"/>
      <c r="C830" s="1359"/>
      <c r="D830" s="1359"/>
      <c r="E830" s="1359"/>
      <c r="F830" s="1359"/>
      <c r="G830" s="1359"/>
      <c r="H830" s="1359"/>
      <c r="I830" s="1359"/>
      <c r="J830" s="1359"/>
      <c r="K830" s="1359"/>
      <c r="L830" s="1359"/>
      <c r="M830" s="1359"/>
      <c r="N830" s="1359"/>
      <c r="O830" s="1359"/>
      <c r="P830" s="1359"/>
    </row>
    <row r="831">
      <c r="A831" s="1359"/>
      <c r="B831" s="1359"/>
      <c r="C831" s="1359"/>
      <c r="D831" s="1359"/>
      <c r="E831" s="1359"/>
      <c r="F831" s="1359"/>
      <c r="G831" s="1359"/>
      <c r="H831" s="1359"/>
      <c r="I831" s="1359"/>
      <c r="J831" s="1359"/>
      <c r="K831" s="1359"/>
      <c r="L831" s="1359"/>
      <c r="M831" s="1359"/>
      <c r="N831" s="1359"/>
      <c r="O831" s="1359"/>
      <c r="P831" s="1359"/>
    </row>
    <row r="832">
      <c r="A832" s="1359"/>
      <c r="B832" s="1359"/>
      <c r="C832" s="1359"/>
      <c r="D832" s="1359"/>
      <c r="E832" s="1359"/>
      <c r="F832" s="1359"/>
      <c r="G832" s="1359"/>
      <c r="H832" s="1359"/>
      <c r="I832" s="1359"/>
      <c r="J832" s="1359"/>
      <c r="K832" s="1359"/>
      <c r="L832" s="1359"/>
      <c r="M832" s="1359"/>
      <c r="N832" s="1359"/>
      <c r="O832" s="1359"/>
      <c r="P832" s="1359"/>
    </row>
    <row r="833">
      <c r="A833" s="1359"/>
      <c r="B833" s="1359"/>
      <c r="C833" s="1359"/>
      <c r="D833" s="1359"/>
      <c r="E833" s="1359"/>
      <c r="F833" s="1359"/>
      <c r="G833" s="1359"/>
      <c r="H833" s="1359"/>
      <c r="I833" s="1359"/>
      <c r="J833" s="1359"/>
      <c r="K833" s="1359"/>
      <c r="L833" s="1359"/>
      <c r="M833" s="1359"/>
      <c r="N833" s="1359"/>
      <c r="O833" s="1359"/>
      <c r="P833" s="1359"/>
    </row>
    <row r="834">
      <c r="A834" s="1359"/>
      <c r="B834" s="1359"/>
      <c r="C834" s="1359"/>
      <c r="D834" s="1359"/>
      <c r="E834" s="1359"/>
      <c r="F834" s="1359"/>
      <c r="G834" s="1359"/>
      <c r="H834" s="1359"/>
      <c r="I834" s="1359"/>
      <c r="J834" s="1359"/>
      <c r="K834" s="1359"/>
      <c r="L834" s="1359"/>
      <c r="M834" s="1359"/>
      <c r="N834" s="1359"/>
      <c r="O834" s="1359"/>
      <c r="P834" s="1359"/>
    </row>
    <row r="835">
      <c r="A835" s="1359"/>
      <c r="B835" s="1359"/>
      <c r="C835" s="1359"/>
      <c r="D835" s="1359"/>
      <c r="E835" s="1359"/>
      <c r="F835" s="1359"/>
      <c r="G835" s="1359"/>
      <c r="H835" s="1359"/>
      <c r="I835" s="1359"/>
      <c r="J835" s="1359"/>
      <c r="K835" s="1359"/>
      <c r="L835" s="1359"/>
      <c r="M835" s="1359"/>
      <c r="N835" s="1359"/>
      <c r="O835" s="1359"/>
      <c r="P835" s="1359"/>
    </row>
    <row r="836">
      <c r="A836" s="1359"/>
      <c r="B836" s="1359"/>
      <c r="C836" s="1359"/>
      <c r="D836" s="1359"/>
      <c r="E836" s="1359"/>
      <c r="F836" s="1359"/>
      <c r="G836" s="1359"/>
      <c r="H836" s="1359"/>
      <c r="I836" s="1359"/>
      <c r="J836" s="1359"/>
      <c r="K836" s="1359"/>
      <c r="L836" s="1359"/>
      <c r="M836" s="1359"/>
      <c r="N836" s="1359"/>
      <c r="O836" s="1359"/>
      <c r="P836" s="1359"/>
    </row>
    <row r="837">
      <c r="A837" s="1359"/>
      <c r="B837" s="1359"/>
      <c r="C837" s="1359"/>
      <c r="D837" s="1359"/>
      <c r="E837" s="1359"/>
      <c r="F837" s="1359"/>
      <c r="G837" s="1359"/>
      <c r="H837" s="1359"/>
      <c r="I837" s="1359"/>
      <c r="J837" s="1359"/>
      <c r="K837" s="1359"/>
      <c r="L837" s="1359"/>
      <c r="M837" s="1359"/>
      <c r="N837" s="1359"/>
      <c r="O837" s="1359"/>
      <c r="P837" s="1359"/>
    </row>
    <row r="838">
      <c r="A838" s="1359"/>
      <c r="B838" s="1359"/>
      <c r="C838" s="1359"/>
      <c r="D838" s="1359"/>
      <c r="E838" s="1359"/>
      <c r="F838" s="1359"/>
      <c r="G838" s="1359"/>
      <c r="H838" s="1359"/>
      <c r="I838" s="1359"/>
      <c r="J838" s="1359"/>
      <c r="K838" s="1359"/>
      <c r="L838" s="1359"/>
      <c r="M838" s="1359"/>
      <c r="N838" s="1359"/>
      <c r="O838" s="1359"/>
      <c r="P838" s="1359"/>
    </row>
    <row r="839">
      <c r="A839" s="1359"/>
      <c r="B839" s="1359"/>
      <c r="C839" s="1359"/>
      <c r="D839" s="1359"/>
      <c r="E839" s="1359"/>
      <c r="F839" s="1359"/>
      <c r="G839" s="1359"/>
      <c r="H839" s="1359"/>
      <c r="I839" s="1359"/>
      <c r="J839" s="1359"/>
      <c r="K839" s="1359"/>
      <c r="L839" s="1359"/>
      <c r="M839" s="1359"/>
      <c r="N839" s="1359"/>
      <c r="O839" s="1359"/>
      <c r="P839" s="1359"/>
    </row>
    <row r="840">
      <c r="A840" s="1359"/>
      <c r="B840" s="1359"/>
      <c r="C840" s="1359"/>
      <c r="D840" s="1359"/>
      <c r="E840" s="1359"/>
      <c r="F840" s="1359"/>
      <c r="G840" s="1359"/>
      <c r="H840" s="1359"/>
      <c r="I840" s="1359"/>
      <c r="J840" s="1359"/>
      <c r="K840" s="1359"/>
      <c r="L840" s="1359"/>
      <c r="M840" s="1359"/>
      <c r="N840" s="1359"/>
      <c r="O840" s="1359"/>
      <c r="P840" s="1359"/>
    </row>
    <row r="841">
      <c r="A841" s="1359"/>
      <c r="B841" s="1359"/>
      <c r="C841" s="1359"/>
      <c r="D841" s="1359"/>
      <c r="E841" s="1359"/>
      <c r="F841" s="1359"/>
      <c r="G841" s="1359"/>
      <c r="H841" s="1359"/>
      <c r="I841" s="1359"/>
      <c r="J841" s="1359"/>
      <c r="K841" s="1359"/>
      <c r="L841" s="1359"/>
      <c r="M841" s="1359"/>
      <c r="N841" s="1359"/>
      <c r="O841" s="1359"/>
      <c r="P841" s="1359"/>
    </row>
    <row r="842">
      <c r="A842" s="1359"/>
      <c r="B842" s="1359"/>
      <c r="C842" s="1359"/>
      <c r="D842" s="1359"/>
      <c r="E842" s="1359"/>
      <c r="F842" s="1359"/>
      <c r="G842" s="1359"/>
      <c r="H842" s="1359"/>
      <c r="I842" s="1359"/>
      <c r="J842" s="1359"/>
      <c r="K842" s="1359"/>
      <c r="L842" s="1359"/>
      <c r="M842" s="1359"/>
      <c r="N842" s="1359"/>
      <c r="O842" s="1359"/>
      <c r="P842" s="1359"/>
    </row>
    <row r="843">
      <c r="A843" s="1359"/>
      <c r="B843" s="1359"/>
      <c r="C843" s="1359"/>
      <c r="D843" s="1359"/>
      <c r="E843" s="1359"/>
      <c r="F843" s="1359"/>
      <c r="G843" s="1359"/>
      <c r="H843" s="1359"/>
      <c r="I843" s="1359"/>
      <c r="J843" s="1359"/>
      <c r="K843" s="1359"/>
      <c r="L843" s="1359"/>
      <c r="M843" s="1359"/>
      <c r="N843" s="1359"/>
      <c r="O843" s="1359"/>
      <c r="P843" s="1359"/>
    </row>
    <row r="844">
      <c r="A844" s="1359"/>
      <c r="B844" s="1359"/>
      <c r="C844" s="1359"/>
      <c r="D844" s="1359"/>
      <c r="E844" s="1359"/>
      <c r="F844" s="1359"/>
      <c r="G844" s="1359"/>
      <c r="H844" s="1359"/>
      <c r="I844" s="1359"/>
      <c r="J844" s="1359"/>
      <c r="K844" s="1359"/>
      <c r="L844" s="1359"/>
      <c r="M844" s="1359"/>
      <c r="N844" s="1359"/>
      <c r="O844" s="1359"/>
      <c r="P844" s="1359"/>
    </row>
    <row r="845">
      <c r="A845" s="1359"/>
      <c r="B845" s="1359"/>
      <c r="C845" s="1359"/>
      <c r="D845" s="1359"/>
      <c r="E845" s="1359"/>
      <c r="F845" s="1359"/>
      <c r="G845" s="1359"/>
      <c r="H845" s="1359"/>
      <c r="I845" s="1359"/>
      <c r="J845" s="1359"/>
      <c r="K845" s="1359"/>
      <c r="L845" s="1359"/>
      <c r="M845" s="1359"/>
      <c r="N845" s="1359"/>
      <c r="O845" s="1359"/>
      <c r="P845" s="1359"/>
    </row>
    <row r="846">
      <c r="A846" s="1359"/>
      <c r="B846" s="1359"/>
      <c r="C846" s="1359"/>
      <c r="D846" s="1359"/>
      <c r="E846" s="1359"/>
      <c r="F846" s="1359"/>
      <c r="G846" s="1359"/>
      <c r="H846" s="1359"/>
      <c r="I846" s="1359"/>
      <c r="J846" s="1359"/>
      <c r="K846" s="1359"/>
      <c r="L846" s="1359"/>
      <c r="M846" s="1359"/>
      <c r="N846" s="1359"/>
      <c r="O846" s="1359"/>
      <c r="P846" s="1359"/>
    </row>
    <row r="847">
      <c r="A847" s="1359"/>
      <c r="B847" s="1359"/>
      <c r="C847" s="1359"/>
      <c r="D847" s="1359"/>
      <c r="E847" s="1359"/>
      <c r="F847" s="1359"/>
      <c r="G847" s="1359"/>
      <c r="H847" s="1359"/>
      <c r="I847" s="1359"/>
      <c r="J847" s="1359"/>
      <c r="K847" s="1359"/>
      <c r="L847" s="1359"/>
      <c r="M847" s="1359"/>
      <c r="N847" s="1359"/>
      <c r="O847" s="1359"/>
      <c r="P847" s="1359"/>
    </row>
    <row r="848">
      <c r="A848" s="1359"/>
      <c r="B848" s="1359"/>
      <c r="C848" s="1359"/>
      <c r="D848" s="1359"/>
      <c r="E848" s="1359"/>
      <c r="F848" s="1359"/>
      <c r="G848" s="1359"/>
      <c r="H848" s="1359"/>
      <c r="I848" s="1359"/>
      <c r="J848" s="1359"/>
      <c r="K848" s="1359"/>
      <c r="L848" s="1359"/>
      <c r="M848" s="1359"/>
      <c r="N848" s="1359"/>
      <c r="O848" s="1359"/>
      <c r="P848" s="1359"/>
    </row>
    <row r="849">
      <c r="A849" s="1359"/>
      <c r="B849" s="1359"/>
      <c r="C849" s="1359"/>
      <c r="D849" s="1359"/>
      <c r="E849" s="1359"/>
      <c r="F849" s="1359"/>
      <c r="G849" s="1359"/>
      <c r="H849" s="1359"/>
      <c r="I849" s="1359"/>
      <c r="J849" s="1359"/>
      <c r="K849" s="1359"/>
      <c r="L849" s="1359"/>
      <c r="M849" s="1359"/>
      <c r="N849" s="1359"/>
      <c r="O849" s="1359"/>
      <c r="P849" s="1359"/>
    </row>
    <row r="850">
      <c r="A850" s="1359"/>
      <c r="B850" s="1359"/>
      <c r="C850" s="1359"/>
      <c r="D850" s="1359"/>
      <c r="E850" s="1359"/>
      <c r="F850" s="1359"/>
      <c r="G850" s="1359"/>
      <c r="H850" s="1359"/>
      <c r="I850" s="1359"/>
      <c r="J850" s="1359"/>
      <c r="K850" s="1359"/>
      <c r="L850" s="1359"/>
      <c r="M850" s="1359"/>
      <c r="N850" s="1359"/>
      <c r="O850" s="1359"/>
      <c r="P850" s="1359"/>
    </row>
    <row r="851">
      <c r="A851" s="1359"/>
      <c r="B851" s="1359"/>
      <c r="C851" s="1359"/>
      <c r="D851" s="1359"/>
      <c r="E851" s="1359"/>
      <c r="F851" s="1359"/>
      <c r="G851" s="1359"/>
      <c r="H851" s="1359"/>
      <c r="I851" s="1359"/>
      <c r="J851" s="1359"/>
      <c r="K851" s="1359"/>
      <c r="L851" s="1359"/>
      <c r="M851" s="1359"/>
      <c r="N851" s="1359"/>
      <c r="O851" s="1359"/>
      <c r="P851" s="1359"/>
    </row>
    <row r="852">
      <c r="A852" s="1359"/>
      <c r="B852" s="1359"/>
      <c r="C852" s="1359"/>
      <c r="D852" s="1359"/>
      <c r="E852" s="1359"/>
      <c r="F852" s="1359"/>
      <c r="G852" s="1359"/>
      <c r="H852" s="1359"/>
      <c r="I852" s="1359"/>
      <c r="J852" s="1359"/>
      <c r="K852" s="1359"/>
      <c r="L852" s="1359"/>
      <c r="M852" s="1359"/>
      <c r="N852" s="1359"/>
      <c r="O852" s="1359"/>
      <c r="P852" s="1359"/>
    </row>
    <row r="853">
      <c r="A853" s="1359"/>
      <c r="B853" s="1359"/>
      <c r="C853" s="1359"/>
      <c r="D853" s="1359"/>
      <c r="E853" s="1359"/>
      <c r="F853" s="1359"/>
      <c r="G853" s="1359"/>
      <c r="H853" s="1359"/>
      <c r="I853" s="1359"/>
      <c r="J853" s="1359"/>
      <c r="K853" s="1359"/>
      <c r="L853" s="1359"/>
      <c r="M853" s="1359"/>
      <c r="N853" s="1359"/>
      <c r="O853" s="1359"/>
      <c r="P853" s="1359"/>
    </row>
    <row r="854">
      <c r="A854" s="1359"/>
      <c r="B854" s="1359"/>
      <c r="C854" s="1359"/>
      <c r="D854" s="1359"/>
      <c r="E854" s="1359"/>
      <c r="F854" s="1359"/>
      <c r="G854" s="1359"/>
      <c r="H854" s="1359"/>
      <c r="I854" s="1359"/>
      <c r="J854" s="1359"/>
      <c r="K854" s="1359"/>
      <c r="L854" s="1359"/>
      <c r="M854" s="1359"/>
      <c r="N854" s="1359"/>
      <c r="O854" s="1359"/>
      <c r="P854" s="1359"/>
    </row>
    <row r="855">
      <c r="A855" s="1359"/>
      <c r="B855" s="1359"/>
      <c r="C855" s="1359"/>
      <c r="D855" s="1359"/>
      <c r="E855" s="1359"/>
      <c r="F855" s="1359"/>
      <c r="G855" s="1359"/>
      <c r="H855" s="1359"/>
      <c r="I855" s="1359"/>
      <c r="J855" s="1359"/>
      <c r="K855" s="1359"/>
      <c r="L855" s="1359"/>
      <c r="M855" s="1359"/>
      <c r="N855" s="1359"/>
      <c r="O855" s="1359"/>
      <c r="P855" s="1359"/>
    </row>
    <row r="856">
      <c r="A856" s="1359"/>
      <c r="B856" s="1359"/>
      <c r="C856" s="1359"/>
      <c r="D856" s="1359"/>
      <c r="E856" s="1359"/>
      <c r="F856" s="1359"/>
      <c r="G856" s="1359"/>
      <c r="H856" s="1359"/>
      <c r="I856" s="1359"/>
      <c r="J856" s="1359"/>
      <c r="K856" s="1359"/>
      <c r="L856" s="1359"/>
      <c r="M856" s="1359"/>
      <c r="N856" s="1359"/>
      <c r="O856" s="1359"/>
      <c r="P856" s="1359"/>
    </row>
    <row r="857">
      <c r="A857" s="1359"/>
      <c r="B857" s="1359"/>
      <c r="C857" s="1359"/>
      <c r="D857" s="1359"/>
      <c r="E857" s="1359"/>
      <c r="F857" s="1359"/>
      <c r="G857" s="1359"/>
      <c r="H857" s="1359"/>
      <c r="I857" s="1359"/>
      <c r="J857" s="1359"/>
      <c r="K857" s="1359"/>
      <c r="L857" s="1359"/>
      <c r="M857" s="1359"/>
      <c r="N857" s="1359"/>
      <c r="O857" s="1359"/>
      <c r="P857" s="1359"/>
    </row>
    <row r="858">
      <c r="A858" s="1359"/>
      <c r="B858" s="1359"/>
      <c r="C858" s="1359"/>
      <c r="D858" s="1359"/>
      <c r="E858" s="1359"/>
      <c r="F858" s="1359"/>
      <c r="G858" s="1359"/>
      <c r="H858" s="1359"/>
      <c r="I858" s="1359"/>
      <c r="J858" s="1359"/>
      <c r="K858" s="1359"/>
      <c r="L858" s="1359"/>
      <c r="M858" s="1359"/>
      <c r="N858" s="1359"/>
      <c r="O858" s="1359"/>
      <c r="P858" s="1359"/>
    </row>
    <row r="859">
      <c r="A859" s="1359"/>
      <c r="B859" s="1359"/>
      <c r="C859" s="1359"/>
      <c r="D859" s="1359"/>
      <c r="E859" s="1359"/>
      <c r="F859" s="1359"/>
      <c r="G859" s="1359"/>
      <c r="H859" s="1359"/>
      <c r="I859" s="1359"/>
      <c r="J859" s="1359"/>
      <c r="K859" s="1359"/>
      <c r="L859" s="1359"/>
      <c r="M859" s="1359"/>
      <c r="N859" s="1359"/>
      <c r="O859" s="1359"/>
      <c r="P859" s="1359"/>
    </row>
    <row r="860">
      <c r="A860" s="1359"/>
      <c r="B860" s="1359"/>
      <c r="C860" s="1359"/>
      <c r="D860" s="1359"/>
      <c r="E860" s="1359"/>
      <c r="F860" s="1359"/>
      <c r="G860" s="1359"/>
      <c r="H860" s="1359"/>
      <c r="I860" s="1359"/>
      <c r="J860" s="1359"/>
      <c r="K860" s="1359"/>
      <c r="L860" s="1359"/>
      <c r="M860" s="1359"/>
      <c r="N860" s="1359"/>
      <c r="O860" s="1359"/>
      <c r="P860" s="1359"/>
    </row>
    <row r="861">
      <c r="A861" s="1359"/>
      <c r="B861" s="1359"/>
      <c r="C861" s="1359"/>
      <c r="D861" s="1359"/>
      <c r="E861" s="1359"/>
      <c r="F861" s="1359"/>
      <c r="G861" s="1359"/>
      <c r="H861" s="1359"/>
      <c r="I861" s="1359"/>
      <c r="J861" s="1359"/>
      <c r="K861" s="1359"/>
      <c r="L861" s="1359"/>
      <c r="M861" s="1359"/>
      <c r="N861" s="1359"/>
      <c r="O861" s="1359"/>
      <c r="P861" s="1359"/>
    </row>
    <row r="862">
      <c r="A862" s="1359"/>
      <c r="B862" s="1359"/>
      <c r="C862" s="1359"/>
      <c r="D862" s="1359"/>
      <c r="E862" s="1359"/>
      <c r="F862" s="1359"/>
      <c r="G862" s="1359"/>
      <c r="H862" s="1359"/>
      <c r="I862" s="1359"/>
      <c r="J862" s="1359"/>
      <c r="K862" s="1359"/>
      <c r="L862" s="1359"/>
      <c r="M862" s="1359"/>
      <c r="N862" s="1359"/>
      <c r="O862" s="1359"/>
      <c r="P862" s="1359"/>
    </row>
    <row r="863">
      <c r="A863" s="1359"/>
      <c r="B863" s="1359"/>
      <c r="C863" s="1359"/>
      <c r="D863" s="1359"/>
      <c r="E863" s="1359"/>
      <c r="F863" s="1359"/>
      <c r="G863" s="1359"/>
      <c r="H863" s="1359"/>
      <c r="I863" s="1359"/>
      <c r="J863" s="1359"/>
      <c r="K863" s="1359"/>
      <c r="L863" s="1359"/>
      <c r="M863" s="1359"/>
      <c r="N863" s="1359"/>
      <c r="O863" s="1359"/>
      <c r="P863" s="1359"/>
    </row>
    <row r="864">
      <c r="A864" s="1359"/>
      <c r="B864" s="1359"/>
      <c r="C864" s="1359"/>
      <c r="D864" s="1359"/>
      <c r="E864" s="1359"/>
      <c r="F864" s="1359"/>
      <c r="G864" s="1359"/>
      <c r="H864" s="1359"/>
      <c r="I864" s="1359"/>
      <c r="J864" s="1359"/>
      <c r="K864" s="1359"/>
      <c r="L864" s="1359"/>
      <c r="M864" s="1359"/>
      <c r="N864" s="1359"/>
      <c r="O864" s="1359"/>
      <c r="P864" s="1359"/>
    </row>
    <row r="865">
      <c r="A865" s="1359"/>
      <c r="B865" s="1359"/>
      <c r="C865" s="1359"/>
      <c r="D865" s="1359"/>
      <c r="E865" s="1359"/>
      <c r="F865" s="1359"/>
      <c r="G865" s="1359"/>
      <c r="H865" s="1359"/>
      <c r="I865" s="1359"/>
      <c r="J865" s="1359"/>
      <c r="K865" s="1359"/>
      <c r="L865" s="1359"/>
      <c r="M865" s="1359"/>
      <c r="N865" s="1359"/>
      <c r="O865" s="1359"/>
      <c r="P865" s="1359"/>
    </row>
    <row r="866">
      <c r="A866" s="1359"/>
      <c r="B866" s="1359"/>
      <c r="C866" s="1359"/>
      <c r="D866" s="1359"/>
      <c r="E866" s="1359"/>
      <c r="F866" s="1359"/>
      <c r="G866" s="1359"/>
      <c r="H866" s="1359"/>
      <c r="I866" s="1359"/>
      <c r="J866" s="1359"/>
      <c r="K866" s="1359"/>
      <c r="L866" s="1359"/>
      <c r="M866" s="1359"/>
      <c r="N866" s="1359"/>
      <c r="O866" s="1359"/>
      <c r="P866" s="1359"/>
    </row>
    <row r="867">
      <c r="A867" s="1359"/>
      <c r="B867" s="1359"/>
      <c r="C867" s="1359"/>
      <c r="D867" s="1359"/>
      <c r="E867" s="1359"/>
      <c r="F867" s="1359"/>
      <c r="G867" s="1359"/>
      <c r="H867" s="1359"/>
      <c r="I867" s="1359"/>
      <c r="J867" s="1359"/>
      <c r="K867" s="1359"/>
      <c r="L867" s="1359"/>
      <c r="M867" s="1359"/>
      <c r="N867" s="1359"/>
      <c r="O867" s="1359"/>
      <c r="P867" s="1359"/>
    </row>
    <row r="868">
      <c r="A868" s="1359"/>
      <c r="B868" s="1359"/>
      <c r="C868" s="1359"/>
      <c r="D868" s="1359"/>
      <c r="E868" s="1359"/>
      <c r="F868" s="1359"/>
      <c r="G868" s="1359"/>
      <c r="H868" s="1359"/>
      <c r="I868" s="1359"/>
      <c r="J868" s="1359"/>
      <c r="K868" s="1359"/>
      <c r="L868" s="1359"/>
      <c r="M868" s="1359"/>
      <c r="N868" s="1359"/>
      <c r="O868" s="1359"/>
      <c r="P868" s="1359"/>
    </row>
    <row r="869">
      <c r="A869" s="1359"/>
      <c r="B869" s="1359"/>
      <c r="C869" s="1359"/>
      <c r="D869" s="1359"/>
      <c r="E869" s="1359"/>
      <c r="F869" s="1359"/>
      <c r="G869" s="1359"/>
      <c r="H869" s="1359"/>
      <c r="I869" s="1359"/>
      <c r="J869" s="1359"/>
      <c r="K869" s="1359"/>
      <c r="L869" s="1359"/>
      <c r="M869" s="1359"/>
      <c r="N869" s="1359"/>
      <c r="O869" s="1359"/>
      <c r="P869" s="1359"/>
    </row>
    <row r="870">
      <c r="A870" s="1359"/>
      <c r="B870" s="1359"/>
      <c r="C870" s="1359"/>
      <c r="D870" s="1359"/>
      <c r="E870" s="1359"/>
      <c r="F870" s="1359"/>
      <c r="G870" s="1359"/>
      <c r="H870" s="1359"/>
      <c r="I870" s="1359"/>
      <c r="J870" s="1359"/>
      <c r="K870" s="1359"/>
      <c r="L870" s="1359"/>
      <c r="M870" s="1359"/>
      <c r="N870" s="1359"/>
      <c r="O870" s="1359"/>
      <c r="P870" s="1359"/>
    </row>
    <row r="871">
      <c r="A871" s="1359"/>
      <c r="B871" s="1359"/>
      <c r="C871" s="1359"/>
      <c r="D871" s="1359"/>
      <c r="E871" s="1359"/>
      <c r="F871" s="1359"/>
      <c r="G871" s="1359"/>
      <c r="H871" s="1359"/>
      <c r="I871" s="1359"/>
      <c r="J871" s="1359"/>
      <c r="K871" s="1359"/>
      <c r="L871" s="1359"/>
      <c r="M871" s="1359"/>
      <c r="N871" s="1359"/>
      <c r="O871" s="1359"/>
      <c r="P871" s="1359"/>
    </row>
    <row r="872">
      <c r="A872" s="1359"/>
      <c r="B872" s="1359"/>
      <c r="C872" s="1359"/>
      <c r="D872" s="1359"/>
      <c r="E872" s="1359"/>
      <c r="F872" s="1359"/>
      <c r="G872" s="1359"/>
      <c r="H872" s="1359"/>
      <c r="I872" s="1359"/>
      <c r="J872" s="1359"/>
      <c r="K872" s="1359"/>
      <c r="L872" s="1359"/>
      <c r="M872" s="1359"/>
      <c r="N872" s="1359"/>
      <c r="O872" s="1359"/>
      <c r="P872" s="1359"/>
    </row>
    <row r="873">
      <c r="A873" s="1359"/>
      <c r="B873" s="1359"/>
      <c r="C873" s="1359"/>
      <c r="D873" s="1359"/>
      <c r="E873" s="1359"/>
      <c r="F873" s="1359"/>
      <c r="G873" s="1359"/>
      <c r="H873" s="1359"/>
      <c r="I873" s="1359"/>
      <c r="J873" s="1359"/>
      <c r="K873" s="1359"/>
      <c r="L873" s="1359"/>
      <c r="M873" s="1359"/>
      <c r="N873" s="1359"/>
      <c r="O873" s="1359"/>
      <c r="P873" s="1359"/>
    </row>
    <row r="874">
      <c r="A874" s="1359"/>
      <c r="B874" s="1359"/>
      <c r="C874" s="1359"/>
      <c r="D874" s="1359"/>
      <c r="E874" s="1359"/>
      <c r="F874" s="1359"/>
      <c r="G874" s="1359"/>
      <c r="H874" s="1359"/>
      <c r="I874" s="1359"/>
      <c r="J874" s="1359"/>
      <c r="K874" s="1359"/>
      <c r="L874" s="1359"/>
      <c r="M874" s="1359"/>
      <c r="N874" s="1359"/>
      <c r="O874" s="1359"/>
      <c r="P874" s="1359"/>
    </row>
    <row r="875">
      <c r="A875" s="1359"/>
      <c r="B875" s="1359"/>
      <c r="C875" s="1359"/>
      <c r="D875" s="1359"/>
      <c r="E875" s="1359"/>
      <c r="F875" s="1359"/>
      <c r="G875" s="1359"/>
      <c r="H875" s="1359"/>
      <c r="I875" s="1359"/>
      <c r="J875" s="1359"/>
      <c r="K875" s="1359"/>
      <c r="L875" s="1359"/>
      <c r="M875" s="1359"/>
      <c r="N875" s="1359"/>
      <c r="O875" s="1359"/>
      <c r="P875" s="1359"/>
    </row>
    <row r="876">
      <c r="A876" s="1359"/>
      <c r="B876" s="1359"/>
      <c r="C876" s="1359"/>
      <c r="D876" s="1359"/>
      <c r="E876" s="1359"/>
      <c r="F876" s="1359"/>
      <c r="G876" s="1359"/>
      <c r="H876" s="1359"/>
      <c r="I876" s="1359"/>
      <c r="J876" s="1359"/>
      <c r="K876" s="1359"/>
      <c r="L876" s="1359"/>
      <c r="M876" s="1359"/>
      <c r="N876" s="1359"/>
      <c r="O876" s="1359"/>
      <c r="P876" s="1359"/>
    </row>
    <row r="877">
      <c r="A877" s="1359"/>
      <c r="B877" s="1359"/>
      <c r="C877" s="1359"/>
      <c r="D877" s="1359"/>
      <c r="E877" s="1359"/>
      <c r="F877" s="1359"/>
      <c r="G877" s="1359"/>
      <c r="H877" s="1359"/>
      <c r="I877" s="1359"/>
      <c r="J877" s="1359"/>
      <c r="K877" s="1359"/>
      <c r="L877" s="1359"/>
      <c r="M877" s="1359"/>
      <c r="N877" s="1359"/>
      <c r="O877" s="1359"/>
      <c r="P877" s="1359"/>
    </row>
    <row r="878">
      <c r="A878" s="1359"/>
      <c r="B878" s="1359"/>
      <c r="C878" s="1359"/>
      <c r="D878" s="1359"/>
      <c r="E878" s="1359"/>
      <c r="F878" s="1359"/>
      <c r="G878" s="1359"/>
      <c r="H878" s="1359"/>
      <c r="I878" s="1359"/>
      <c r="J878" s="1359"/>
      <c r="K878" s="1359"/>
      <c r="L878" s="1359"/>
      <c r="M878" s="1359"/>
      <c r="N878" s="1359"/>
      <c r="O878" s="1359"/>
      <c r="P878" s="1359"/>
    </row>
    <row r="879">
      <c r="A879" s="1359"/>
      <c r="B879" s="1359"/>
      <c r="C879" s="1359"/>
      <c r="D879" s="1359"/>
      <c r="E879" s="1359"/>
      <c r="F879" s="1359"/>
      <c r="G879" s="1359"/>
      <c r="H879" s="1359"/>
      <c r="I879" s="1359"/>
      <c r="J879" s="1359"/>
      <c r="K879" s="1359"/>
      <c r="L879" s="1359"/>
      <c r="M879" s="1359"/>
      <c r="N879" s="1359"/>
      <c r="O879" s="1359"/>
      <c r="P879" s="1359"/>
    </row>
    <row r="880">
      <c r="A880" s="1359"/>
      <c r="B880" s="1359"/>
      <c r="C880" s="1359"/>
      <c r="D880" s="1359"/>
      <c r="E880" s="1359"/>
      <c r="F880" s="1359"/>
      <c r="G880" s="1359"/>
      <c r="H880" s="1359"/>
      <c r="I880" s="1359"/>
      <c r="J880" s="1359"/>
      <c r="K880" s="1359"/>
      <c r="L880" s="1359"/>
      <c r="M880" s="1359"/>
      <c r="N880" s="1359"/>
      <c r="O880" s="1359"/>
      <c r="P880" s="1359"/>
    </row>
    <row r="881">
      <c r="A881" s="1359"/>
      <c r="B881" s="1359"/>
      <c r="C881" s="1359"/>
      <c r="D881" s="1359"/>
      <c r="E881" s="1359"/>
      <c r="F881" s="1359"/>
      <c r="G881" s="1359"/>
      <c r="H881" s="1359"/>
      <c r="I881" s="1359"/>
      <c r="J881" s="1359"/>
      <c r="K881" s="1359"/>
      <c r="L881" s="1359"/>
      <c r="M881" s="1359"/>
      <c r="N881" s="1359"/>
      <c r="O881" s="1359"/>
      <c r="P881" s="1359"/>
    </row>
    <row r="882">
      <c r="A882" s="1359"/>
      <c r="B882" s="1359"/>
      <c r="C882" s="1359"/>
      <c r="D882" s="1359"/>
      <c r="E882" s="1359"/>
      <c r="F882" s="1359"/>
      <c r="G882" s="1359"/>
      <c r="H882" s="1359"/>
      <c r="I882" s="1359"/>
      <c r="J882" s="1359"/>
      <c r="K882" s="1359"/>
      <c r="L882" s="1359"/>
      <c r="M882" s="1359"/>
      <c r="N882" s="1359"/>
      <c r="O882" s="1359"/>
      <c r="P882" s="1359"/>
    </row>
    <row r="883">
      <c r="A883" s="1359"/>
      <c r="B883" s="1359"/>
      <c r="C883" s="1359"/>
      <c r="D883" s="1359"/>
      <c r="E883" s="1359"/>
      <c r="F883" s="1359"/>
      <c r="G883" s="1359"/>
      <c r="H883" s="1359"/>
      <c r="I883" s="1359"/>
      <c r="J883" s="1359"/>
      <c r="K883" s="1359"/>
      <c r="L883" s="1359"/>
      <c r="M883" s="1359"/>
      <c r="N883" s="1359"/>
      <c r="O883" s="1359"/>
      <c r="P883" s="1359"/>
    </row>
    <row r="884">
      <c r="A884" s="1359"/>
      <c r="B884" s="1359"/>
      <c r="C884" s="1359"/>
      <c r="D884" s="1359"/>
      <c r="E884" s="1359"/>
      <c r="F884" s="1359"/>
      <c r="G884" s="1359"/>
      <c r="H884" s="1359"/>
      <c r="I884" s="1359"/>
      <c r="J884" s="1359"/>
      <c r="K884" s="1359"/>
      <c r="L884" s="1359"/>
      <c r="M884" s="1359"/>
      <c r="N884" s="1359"/>
      <c r="O884" s="1359"/>
      <c r="P884" s="1359"/>
    </row>
    <row r="885">
      <c r="A885" s="1359"/>
      <c r="B885" s="1359"/>
      <c r="C885" s="1359"/>
      <c r="D885" s="1359"/>
      <c r="E885" s="1359"/>
      <c r="F885" s="1359"/>
      <c r="G885" s="1359"/>
      <c r="H885" s="1359"/>
      <c r="I885" s="1359"/>
      <c r="J885" s="1359"/>
      <c r="K885" s="1359"/>
      <c r="L885" s="1359"/>
      <c r="M885" s="1359"/>
      <c r="N885" s="1359"/>
      <c r="O885" s="1359"/>
      <c r="P885" s="1359"/>
    </row>
    <row r="886">
      <c r="A886" s="1359"/>
      <c r="B886" s="1359"/>
      <c r="C886" s="1359"/>
      <c r="D886" s="1359"/>
      <c r="E886" s="1359"/>
      <c r="F886" s="1359"/>
      <c r="G886" s="1359"/>
      <c r="H886" s="1359"/>
      <c r="I886" s="1359"/>
      <c r="J886" s="1359"/>
      <c r="K886" s="1359"/>
      <c r="L886" s="1359"/>
      <c r="M886" s="1359"/>
      <c r="N886" s="1359"/>
      <c r="O886" s="1359"/>
      <c r="P886" s="1359"/>
    </row>
    <row r="887">
      <c r="A887" s="1359"/>
      <c r="B887" s="1359"/>
      <c r="C887" s="1359"/>
      <c r="D887" s="1359"/>
      <c r="E887" s="1359"/>
      <c r="F887" s="1359"/>
      <c r="G887" s="1359"/>
      <c r="H887" s="1359"/>
      <c r="I887" s="1359"/>
      <c r="J887" s="1359"/>
      <c r="K887" s="1359"/>
      <c r="L887" s="1359"/>
      <c r="M887" s="1359"/>
      <c r="N887" s="1359"/>
      <c r="O887" s="1359"/>
      <c r="P887" s="1359"/>
    </row>
    <row r="888">
      <c r="A888" s="1359"/>
      <c r="B888" s="1359"/>
      <c r="C888" s="1359"/>
      <c r="D888" s="1359"/>
      <c r="E888" s="1359"/>
      <c r="F888" s="1359"/>
      <c r="G888" s="1359"/>
      <c r="H888" s="1359"/>
      <c r="I888" s="1359"/>
      <c r="J888" s="1359"/>
      <c r="K888" s="1359"/>
      <c r="L888" s="1359"/>
      <c r="M888" s="1359"/>
      <c r="N888" s="1359"/>
      <c r="O888" s="1359"/>
      <c r="P888" s="1359"/>
    </row>
    <row r="889">
      <c r="A889" s="1359"/>
      <c r="B889" s="1359"/>
      <c r="C889" s="1359"/>
      <c r="D889" s="1359"/>
      <c r="E889" s="1359"/>
      <c r="F889" s="1359"/>
      <c r="G889" s="1359"/>
      <c r="H889" s="1359"/>
      <c r="I889" s="1359"/>
      <c r="J889" s="1359"/>
      <c r="K889" s="1359"/>
      <c r="L889" s="1359"/>
      <c r="M889" s="1359"/>
      <c r="N889" s="1359"/>
      <c r="O889" s="1359"/>
      <c r="P889" s="1359"/>
    </row>
    <row r="890">
      <c r="A890" s="1359"/>
      <c r="B890" s="1359"/>
      <c r="C890" s="1359"/>
      <c r="D890" s="1359"/>
      <c r="E890" s="1359"/>
      <c r="F890" s="1359"/>
      <c r="G890" s="1359"/>
      <c r="H890" s="1359"/>
      <c r="I890" s="1359"/>
      <c r="J890" s="1359"/>
      <c r="K890" s="1359"/>
      <c r="L890" s="1359"/>
      <c r="M890" s="1359"/>
      <c r="N890" s="1359"/>
      <c r="O890" s="1359"/>
      <c r="P890" s="1359"/>
    </row>
    <row r="891">
      <c r="A891" s="1359"/>
      <c r="B891" s="1359"/>
      <c r="C891" s="1359"/>
      <c r="D891" s="1359"/>
      <c r="E891" s="1359"/>
      <c r="F891" s="1359"/>
      <c r="G891" s="1359"/>
      <c r="H891" s="1359"/>
      <c r="I891" s="1359"/>
      <c r="J891" s="1359"/>
      <c r="K891" s="1359"/>
      <c r="L891" s="1359"/>
      <c r="M891" s="1359"/>
      <c r="N891" s="1359"/>
      <c r="O891" s="1359"/>
      <c r="P891" s="1359"/>
    </row>
    <row r="892">
      <c r="A892" s="1359"/>
      <c r="B892" s="1359"/>
      <c r="C892" s="1359"/>
      <c r="D892" s="1359"/>
      <c r="E892" s="1359"/>
      <c r="F892" s="1359"/>
      <c r="G892" s="1359"/>
      <c r="H892" s="1359"/>
      <c r="I892" s="1359"/>
      <c r="J892" s="1359"/>
      <c r="K892" s="1359"/>
      <c r="L892" s="1359"/>
      <c r="M892" s="1359"/>
      <c r="N892" s="1359"/>
      <c r="O892" s="1359"/>
      <c r="P892" s="1359"/>
    </row>
    <row r="893">
      <c r="A893" s="1359"/>
      <c r="B893" s="1359"/>
      <c r="C893" s="1359"/>
      <c r="D893" s="1359"/>
      <c r="E893" s="1359"/>
      <c r="F893" s="1359"/>
      <c r="G893" s="1359"/>
      <c r="H893" s="1359"/>
      <c r="I893" s="1359"/>
      <c r="J893" s="1359"/>
      <c r="K893" s="1359"/>
      <c r="L893" s="1359"/>
      <c r="M893" s="1359"/>
      <c r="N893" s="1359"/>
      <c r="O893" s="1359"/>
      <c r="P893" s="1359"/>
    </row>
    <row r="894">
      <c r="A894" s="1359"/>
      <c r="B894" s="1359"/>
      <c r="C894" s="1359"/>
      <c r="D894" s="1359"/>
      <c r="E894" s="1359"/>
      <c r="F894" s="1359"/>
      <c r="G894" s="1359"/>
      <c r="H894" s="1359"/>
      <c r="I894" s="1359"/>
      <c r="J894" s="1359"/>
      <c r="K894" s="1359"/>
      <c r="L894" s="1359"/>
      <c r="M894" s="1359"/>
      <c r="N894" s="1359"/>
      <c r="O894" s="1359"/>
      <c r="P894" s="1359"/>
    </row>
    <row r="895">
      <c r="A895" s="1359"/>
      <c r="B895" s="1359"/>
      <c r="C895" s="1359"/>
      <c r="D895" s="1359"/>
      <c r="E895" s="1359"/>
      <c r="F895" s="1359"/>
      <c r="G895" s="1359"/>
      <c r="H895" s="1359"/>
      <c r="I895" s="1359"/>
      <c r="J895" s="1359"/>
      <c r="K895" s="1359"/>
      <c r="L895" s="1359"/>
      <c r="M895" s="1359"/>
      <c r="N895" s="1359"/>
      <c r="O895" s="1359"/>
      <c r="P895" s="1359"/>
    </row>
    <row r="896">
      <c r="A896" s="1359"/>
      <c r="B896" s="1359"/>
      <c r="C896" s="1359"/>
      <c r="D896" s="1359"/>
      <c r="E896" s="1359"/>
      <c r="F896" s="1359"/>
      <c r="G896" s="1359"/>
      <c r="H896" s="1359"/>
      <c r="I896" s="1359"/>
      <c r="J896" s="1359"/>
      <c r="K896" s="1359"/>
      <c r="L896" s="1359"/>
      <c r="M896" s="1359"/>
      <c r="N896" s="1359"/>
      <c r="O896" s="1359"/>
      <c r="P896" s="1359"/>
    </row>
    <row r="897">
      <c r="A897" s="1359"/>
      <c r="B897" s="1359"/>
      <c r="C897" s="1359"/>
      <c r="D897" s="1359"/>
      <c r="E897" s="1359"/>
      <c r="F897" s="1359"/>
      <c r="G897" s="1359"/>
      <c r="H897" s="1359"/>
      <c r="I897" s="1359"/>
      <c r="J897" s="1359"/>
      <c r="K897" s="1359"/>
      <c r="L897" s="1359"/>
      <c r="M897" s="1359"/>
      <c r="N897" s="1359"/>
      <c r="O897" s="1359"/>
      <c r="P897" s="1359"/>
    </row>
    <row r="898">
      <c r="A898" s="1359"/>
      <c r="B898" s="1359"/>
      <c r="C898" s="1359"/>
      <c r="D898" s="1359"/>
      <c r="E898" s="1359"/>
      <c r="F898" s="1359"/>
      <c r="G898" s="1359"/>
      <c r="H898" s="1359"/>
      <c r="I898" s="1359"/>
      <c r="J898" s="1359"/>
      <c r="K898" s="1359"/>
      <c r="L898" s="1359"/>
      <c r="M898" s="1359"/>
      <c r="N898" s="1359"/>
      <c r="O898" s="1359"/>
      <c r="P898" s="1359"/>
    </row>
    <row r="899">
      <c r="A899" s="1359"/>
      <c r="B899" s="1359"/>
      <c r="C899" s="1359"/>
      <c r="D899" s="1359"/>
      <c r="E899" s="1359"/>
      <c r="F899" s="1359"/>
      <c r="G899" s="1359"/>
      <c r="H899" s="1359"/>
      <c r="I899" s="1359"/>
      <c r="J899" s="1359"/>
      <c r="K899" s="1359"/>
      <c r="L899" s="1359"/>
      <c r="M899" s="1359"/>
      <c r="N899" s="1359"/>
      <c r="O899" s="1359"/>
      <c r="P899" s="1359"/>
    </row>
    <row r="900">
      <c r="A900" s="1359"/>
      <c r="B900" s="1359"/>
      <c r="C900" s="1359"/>
      <c r="D900" s="1359"/>
      <c r="E900" s="1359"/>
      <c r="F900" s="1359"/>
      <c r="G900" s="1359"/>
      <c r="H900" s="1359"/>
      <c r="I900" s="1359"/>
      <c r="J900" s="1359"/>
      <c r="K900" s="1359"/>
      <c r="L900" s="1359"/>
      <c r="M900" s="1359"/>
      <c r="N900" s="1359"/>
      <c r="O900" s="1359"/>
      <c r="P900" s="1359"/>
    </row>
    <row r="901">
      <c r="A901" s="1359"/>
      <c r="B901" s="1359"/>
      <c r="C901" s="1359"/>
      <c r="D901" s="1359"/>
      <c r="E901" s="1359"/>
      <c r="F901" s="1359"/>
      <c r="G901" s="1359"/>
      <c r="H901" s="1359"/>
      <c r="I901" s="1359"/>
      <c r="J901" s="1359"/>
      <c r="K901" s="1359"/>
      <c r="L901" s="1359"/>
      <c r="M901" s="1359"/>
      <c r="N901" s="1359"/>
      <c r="O901" s="1359"/>
      <c r="P901" s="1359"/>
    </row>
    <row r="902">
      <c r="A902" s="1359"/>
      <c r="B902" s="1359"/>
      <c r="C902" s="1359"/>
      <c r="D902" s="1359"/>
      <c r="E902" s="1359"/>
      <c r="F902" s="1359"/>
      <c r="G902" s="1359"/>
      <c r="H902" s="1359"/>
      <c r="I902" s="1359"/>
      <c r="J902" s="1359"/>
      <c r="K902" s="1359"/>
      <c r="L902" s="1359"/>
      <c r="M902" s="1359"/>
      <c r="N902" s="1359"/>
      <c r="O902" s="1359"/>
      <c r="P902" s="1359"/>
    </row>
    <row r="903">
      <c r="A903" s="1359"/>
      <c r="B903" s="1359"/>
      <c r="C903" s="1359"/>
      <c r="D903" s="1359"/>
      <c r="E903" s="1359"/>
      <c r="F903" s="1359"/>
      <c r="G903" s="1359"/>
      <c r="H903" s="1359"/>
      <c r="I903" s="1359"/>
      <c r="J903" s="1359"/>
      <c r="K903" s="1359"/>
      <c r="L903" s="1359"/>
      <c r="M903" s="1359"/>
      <c r="N903" s="1359"/>
      <c r="O903" s="1359"/>
      <c r="P903" s="1359"/>
    </row>
    <row r="904">
      <c r="A904" s="1359"/>
      <c r="B904" s="1359"/>
      <c r="C904" s="1359"/>
      <c r="D904" s="1359"/>
      <c r="E904" s="1359"/>
      <c r="F904" s="1359"/>
      <c r="G904" s="1359"/>
      <c r="H904" s="1359"/>
      <c r="I904" s="1359"/>
      <c r="J904" s="1359"/>
      <c r="K904" s="1359"/>
      <c r="L904" s="1359"/>
      <c r="M904" s="1359"/>
      <c r="N904" s="1359"/>
      <c r="O904" s="1359"/>
      <c r="P904" s="1359"/>
    </row>
    <row r="905">
      <c r="A905" s="1359"/>
      <c r="B905" s="1359"/>
      <c r="C905" s="1359"/>
      <c r="D905" s="1359"/>
      <c r="E905" s="1359"/>
      <c r="F905" s="1359"/>
      <c r="G905" s="1359"/>
      <c r="H905" s="1359"/>
      <c r="I905" s="1359"/>
      <c r="J905" s="1359"/>
      <c r="K905" s="1359"/>
      <c r="L905" s="1359"/>
      <c r="M905" s="1359"/>
      <c r="N905" s="1359"/>
      <c r="O905" s="1359"/>
      <c r="P905" s="1359"/>
    </row>
    <row r="906">
      <c r="A906" s="1359"/>
      <c r="B906" s="1359"/>
      <c r="C906" s="1359"/>
      <c r="D906" s="1359"/>
      <c r="E906" s="1359"/>
      <c r="F906" s="1359"/>
      <c r="G906" s="1359"/>
      <c r="H906" s="1359"/>
      <c r="I906" s="1359"/>
      <c r="J906" s="1359"/>
      <c r="K906" s="1359"/>
      <c r="L906" s="1359"/>
      <c r="M906" s="1359"/>
      <c r="N906" s="1359"/>
      <c r="O906" s="1359"/>
      <c r="P906" s="1359"/>
    </row>
    <row r="907">
      <c r="A907" s="1359"/>
      <c r="B907" s="1359"/>
      <c r="C907" s="1359"/>
      <c r="D907" s="1359"/>
      <c r="E907" s="1359"/>
      <c r="F907" s="1359"/>
      <c r="G907" s="1359"/>
      <c r="H907" s="1359"/>
      <c r="I907" s="1359"/>
      <c r="J907" s="1359"/>
      <c r="K907" s="1359"/>
      <c r="L907" s="1359"/>
      <c r="M907" s="1359"/>
      <c r="N907" s="1359"/>
      <c r="O907" s="1359"/>
      <c r="P907" s="1359"/>
    </row>
    <row r="908">
      <c r="A908" s="1359"/>
      <c r="B908" s="1359"/>
      <c r="C908" s="1359"/>
      <c r="D908" s="1359"/>
      <c r="E908" s="1359"/>
      <c r="F908" s="1359"/>
      <c r="G908" s="1359"/>
      <c r="H908" s="1359"/>
      <c r="I908" s="1359"/>
      <c r="J908" s="1359"/>
      <c r="K908" s="1359"/>
      <c r="L908" s="1359"/>
      <c r="M908" s="1359"/>
      <c r="N908" s="1359"/>
      <c r="O908" s="1359"/>
      <c r="P908" s="1359"/>
    </row>
    <row r="909">
      <c r="A909" s="1359"/>
      <c r="B909" s="1359"/>
      <c r="C909" s="1359"/>
      <c r="D909" s="1359"/>
      <c r="E909" s="1359"/>
      <c r="F909" s="1359"/>
      <c r="G909" s="1359"/>
      <c r="H909" s="1359"/>
      <c r="I909" s="1359"/>
      <c r="J909" s="1359"/>
      <c r="K909" s="1359"/>
      <c r="L909" s="1359"/>
      <c r="M909" s="1359"/>
      <c r="N909" s="1359"/>
      <c r="O909" s="1359"/>
      <c r="P909" s="1359"/>
    </row>
    <row r="910">
      <c r="A910" s="1359"/>
      <c r="B910" s="1359"/>
      <c r="C910" s="1359"/>
      <c r="D910" s="1359"/>
      <c r="E910" s="1359"/>
      <c r="F910" s="1359"/>
      <c r="G910" s="1359"/>
      <c r="H910" s="1359"/>
      <c r="I910" s="1359"/>
      <c r="J910" s="1359"/>
      <c r="K910" s="1359"/>
      <c r="L910" s="1359"/>
      <c r="M910" s="1359"/>
      <c r="N910" s="1359"/>
      <c r="O910" s="1359"/>
      <c r="P910" s="1359"/>
    </row>
    <row r="911">
      <c r="A911" s="1359"/>
      <c r="B911" s="1359"/>
      <c r="C911" s="1359"/>
      <c r="D911" s="1359"/>
      <c r="E911" s="1359"/>
      <c r="F911" s="1359"/>
      <c r="G911" s="1359"/>
      <c r="H911" s="1359"/>
      <c r="I911" s="1359"/>
      <c r="J911" s="1359"/>
      <c r="K911" s="1359"/>
      <c r="L911" s="1359"/>
      <c r="M911" s="1359"/>
      <c r="N911" s="1359"/>
      <c r="O911" s="1359"/>
      <c r="P911" s="1359"/>
    </row>
    <row r="912">
      <c r="A912" s="1359"/>
      <c r="B912" s="1359"/>
      <c r="C912" s="1359"/>
      <c r="D912" s="1359"/>
      <c r="E912" s="1359"/>
      <c r="F912" s="1359"/>
      <c r="G912" s="1359"/>
      <c r="H912" s="1359"/>
      <c r="I912" s="1359"/>
      <c r="J912" s="1359"/>
      <c r="K912" s="1359"/>
      <c r="L912" s="1359"/>
      <c r="M912" s="1359"/>
      <c r="N912" s="1359"/>
      <c r="O912" s="1359"/>
      <c r="P912" s="1359"/>
    </row>
    <row r="913">
      <c r="A913" s="1359"/>
      <c r="B913" s="1359"/>
      <c r="C913" s="1359"/>
      <c r="D913" s="1359"/>
      <c r="E913" s="1359"/>
      <c r="F913" s="1359"/>
      <c r="G913" s="1359"/>
      <c r="H913" s="1359"/>
      <c r="I913" s="1359"/>
      <c r="J913" s="1359"/>
      <c r="K913" s="1359"/>
      <c r="L913" s="1359"/>
      <c r="M913" s="1359"/>
      <c r="N913" s="1359"/>
      <c r="O913" s="1359"/>
      <c r="P913" s="1359"/>
    </row>
    <row r="914">
      <c r="A914" s="1359"/>
      <c r="B914" s="1359"/>
      <c r="C914" s="1359"/>
      <c r="D914" s="1359"/>
      <c r="E914" s="1359"/>
      <c r="F914" s="1359"/>
      <c r="G914" s="1359"/>
      <c r="H914" s="1359"/>
      <c r="I914" s="1359"/>
      <c r="J914" s="1359"/>
      <c r="K914" s="1359"/>
      <c r="L914" s="1359"/>
      <c r="M914" s="1359"/>
      <c r="N914" s="1359"/>
      <c r="O914" s="1359"/>
      <c r="P914" s="1359"/>
    </row>
    <row r="915">
      <c r="A915" s="1359"/>
      <c r="B915" s="1359"/>
      <c r="C915" s="1359"/>
      <c r="D915" s="1359"/>
      <c r="E915" s="1359"/>
      <c r="F915" s="1359"/>
      <c r="G915" s="1359"/>
      <c r="H915" s="1359"/>
      <c r="I915" s="1359"/>
      <c r="J915" s="1359"/>
      <c r="K915" s="1359"/>
      <c r="L915" s="1359"/>
      <c r="M915" s="1359"/>
      <c r="N915" s="1359"/>
      <c r="O915" s="1359"/>
      <c r="P915" s="1359"/>
    </row>
    <row r="916">
      <c r="A916" s="1359"/>
      <c r="B916" s="1359"/>
      <c r="C916" s="1359"/>
      <c r="D916" s="1359"/>
      <c r="E916" s="1359"/>
      <c r="F916" s="1359"/>
      <c r="G916" s="1359"/>
      <c r="H916" s="1359"/>
      <c r="I916" s="1359"/>
      <c r="J916" s="1359"/>
      <c r="K916" s="1359"/>
      <c r="L916" s="1359"/>
      <c r="M916" s="1359"/>
      <c r="N916" s="1359"/>
      <c r="O916" s="1359"/>
      <c r="P916" s="1359"/>
    </row>
    <row r="917">
      <c r="A917" s="1359"/>
      <c r="B917" s="1359"/>
      <c r="C917" s="1359"/>
      <c r="D917" s="1359"/>
      <c r="E917" s="1359"/>
      <c r="F917" s="1359"/>
      <c r="G917" s="1359"/>
      <c r="H917" s="1359"/>
      <c r="I917" s="1359"/>
      <c r="J917" s="1359"/>
      <c r="K917" s="1359"/>
      <c r="L917" s="1359"/>
      <c r="M917" s="1359"/>
      <c r="N917" s="1359"/>
      <c r="O917" s="1359"/>
      <c r="P917" s="1359"/>
    </row>
    <row r="918">
      <c r="A918" s="1359"/>
      <c r="B918" s="1359"/>
      <c r="C918" s="1359"/>
      <c r="D918" s="1359"/>
      <c r="E918" s="1359"/>
      <c r="F918" s="1359"/>
      <c r="G918" s="1359"/>
      <c r="H918" s="1359"/>
      <c r="I918" s="1359"/>
      <c r="J918" s="1359"/>
      <c r="K918" s="1359"/>
      <c r="L918" s="1359"/>
      <c r="M918" s="1359"/>
      <c r="N918" s="1359"/>
      <c r="O918" s="1359"/>
      <c r="P918" s="1359"/>
    </row>
    <row r="919">
      <c r="A919" s="1359"/>
      <c r="B919" s="1359"/>
      <c r="C919" s="1359"/>
      <c r="D919" s="1359"/>
      <c r="E919" s="1359"/>
      <c r="F919" s="1359"/>
      <c r="G919" s="1359"/>
      <c r="H919" s="1359"/>
      <c r="I919" s="1359"/>
      <c r="J919" s="1359"/>
      <c r="K919" s="1359"/>
      <c r="L919" s="1359"/>
      <c r="M919" s="1359"/>
      <c r="N919" s="1359"/>
      <c r="O919" s="1359"/>
      <c r="P919" s="1359"/>
    </row>
    <row r="920">
      <c r="A920" s="1359"/>
      <c r="B920" s="1359"/>
      <c r="C920" s="1359"/>
      <c r="D920" s="1359"/>
      <c r="E920" s="1359"/>
      <c r="F920" s="1359"/>
      <c r="G920" s="1359"/>
      <c r="H920" s="1359"/>
      <c r="I920" s="1359"/>
      <c r="J920" s="1359"/>
      <c r="K920" s="1359"/>
      <c r="L920" s="1359"/>
      <c r="M920" s="1359"/>
      <c r="N920" s="1359"/>
      <c r="O920" s="1359"/>
      <c r="P920" s="1359"/>
    </row>
    <row r="921">
      <c r="A921" s="1359"/>
      <c r="B921" s="1359"/>
      <c r="C921" s="1359"/>
      <c r="D921" s="1359"/>
      <c r="E921" s="1359"/>
      <c r="F921" s="1359"/>
      <c r="G921" s="1359"/>
      <c r="H921" s="1359"/>
      <c r="I921" s="1359"/>
      <c r="J921" s="1359"/>
      <c r="K921" s="1359"/>
      <c r="L921" s="1359"/>
      <c r="M921" s="1359"/>
      <c r="N921" s="1359"/>
      <c r="O921" s="1359"/>
      <c r="P921" s="1359"/>
    </row>
    <row r="922">
      <c r="A922" s="1359"/>
      <c r="B922" s="1359"/>
      <c r="C922" s="1359"/>
      <c r="D922" s="1359"/>
      <c r="E922" s="1359"/>
      <c r="F922" s="1359"/>
      <c r="G922" s="1359"/>
      <c r="H922" s="1359"/>
      <c r="I922" s="1359"/>
      <c r="J922" s="1359"/>
      <c r="K922" s="1359"/>
      <c r="L922" s="1359"/>
      <c r="M922" s="1359"/>
      <c r="N922" s="1359"/>
      <c r="O922" s="1359"/>
      <c r="P922" s="1359"/>
    </row>
    <row r="923">
      <c r="A923" s="1359"/>
      <c r="B923" s="1359"/>
      <c r="C923" s="1359"/>
      <c r="D923" s="1359"/>
      <c r="E923" s="1359"/>
      <c r="F923" s="1359"/>
      <c r="G923" s="1359"/>
      <c r="H923" s="1359"/>
      <c r="I923" s="1359"/>
      <c r="J923" s="1359"/>
      <c r="K923" s="1359"/>
      <c r="L923" s="1359"/>
      <c r="M923" s="1359"/>
      <c r="N923" s="1359"/>
      <c r="O923" s="1359"/>
      <c r="P923" s="1359"/>
    </row>
    <row r="924">
      <c r="A924" s="1359"/>
      <c r="B924" s="1359"/>
      <c r="C924" s="1359"/>
      <c r="D924" s="1359"/>
      <c r="E924" s="1359"/>
      <c r="F924" s="1359"/>
      <c r="G924" s="1359"/>
      <c r="H924" s="1359"/>
      <c r="I924" s="1359"/>
      <c r="J924" s="1359"/>
      <c r="K924" s="1359"/>
      <c r="L924" s="1359"/>
      <c r="M924" s="1359"/>
      <c r="N924" s="1359"/>
      <c r="O924" s="1359"/>
      <c r="P924" s="1359"/>
    </row>
    <row r="925">
      <c r="A925" s="1359"/>
      <c r="B925" s="1359"/>
      <c r="C925" s="1359"/>
      <c r="D925" s="1359"/>
      <c r="E925" s="1359"/>
      <c r="F925" s="1359"/>
      <c r="G925" s="1359"/>
      <c r="H925" s="1359"/>
      <c r="I925" s="1359"/>
      <c r="J925" s="1359"/>
      <c r="K925" s="1359"/>
      <c r="L925" s="1359"/>
      <c r="M925" s="1359"/>
      <c r="N925" s="1359"/>
      <c r="O925" s="1359"/>
      <c r="P925" s="1359"/>
    </row>
    <row r="926">
      <c r="A926" s="1359"/>
      <c r="B926" s="1359"/>
      <c r="C926" s="1359"/>
      <c r="D926" s="1359"/>
      <c r="E926" s="1359"/>
      <c r="F926" s="1359"/>
      <c r="G926" s="1359"/>
      <c r="H926" s="1359"/>
      <c r="I926" s="1359"/>
      <c r="J926" s="1359"/>
      <c r="K926" s="1359"/>
      <c r="L926" s="1359"/>
      <c r="M926" s="1359"/>
      <c r="N926" s="1359"/>
      <c r="O926" s="1359"/>
      <c r="P926" s="1359"/>
    </row>
    <row r="927">
      <c r="A927" s="1359"/>
      <c r="B927" s="1359"/>
      <c r="C927" s="1359"/>
      <c r="D927" s="1359"/>
      <c r="E927" s="1359"/>
      <c r="F927" s="1359"/>
      <c r="G927" s="1359"/>
      <c r="H927" s="1359"/>
      <c r="I927" s="1359"/>
      <c r="J927" s="1359"/>
      <c r="K927" s="1359"/>
      <c r="L927" s="1359"/>
      <c r="M927" s="1359"/>
      <c r="N927" s="1359"/>
      <c r="O927" s="1359"/>
      <c r="P927" s="1359"/>
    </row>
    <row r="928">
      <c r="A928" s="1359"/>
      <c r="B928" s="1359"/>
      <c r="C928" s="1359"/>
      <c r="D928" s="1359"/>
      <c r="E928" s="1359"/>
      <c r="F928" s="1359"/>
      <c r="G928" s="1359"/>
      <c r="H928" s="1359"/>
      <c r="I928" s="1359"/>
      <c r="J928" s="1359"/>
      <c r="K928" s="1359"/>
      <c r="L928" s="1359"/>
      <c r="M928" s="1359"/>
      <c r="N928" s="1359"/>
      <c r="O928" s="1359"/>
      <c r="P928" s="1359"/>
    </row>
    <row r="929">
      <c r="A929" s="1359"/>
      <c r="B929" s="1359"/>
      <c r="C929" s="1359"/>
      <c r="D929" s="1359"/>
      <c r="E929" s="1359"/>
      <c r="F929" s="1359"/>
      <c r="G929" s="1359"/>
      <c r="H929" s="1359"/>
      <c r="I929" s="1359"/>
      <c r="J929" s="1359"/>
      <c r="K929" s="1359"/>
      <c r="L929" s="1359"/>
      <c r="M929" s="1359"/>
      <c r="N929" s="1359"/>
      <c r="O929" s="1359"/>
      <c r="P929" s="1359"/>
    </row>
    <row r="930">
      <c r="A930" s="1359"/>
      <c r="B930" s="1359"/>
      <c r="C930" s="1359"/>
      <c r="D930" s="1359"/>
      <c r="E930" s="1359"/>
      <c r="F930" s="1359"/>
      <c r="G930" s="1359"/>
      <c r="H930" s="1359"/>
      <c r="I930" s="1359"/>
      <c r="J930" s="1359"/>
      <c r="K930" s="1359"/>
      <c r="L930" s="1359"/>
      <c r="M930" s="1359"/>
      <c r="N930" s="1359"/>
      <c r="O930" s="1359"/>
      <c r="P930" s="1359"/>
    </row>
    <row r="931">
      <c r="A931" s="1359"/>
      <c r="B931" s="1359"/>
      <c r="C931" s="1359"/>
      <c r="D931" s="1359"/>
      <c r="E931" s="1359"/>
      <c r="F931" s="1359"/>
      <c r="G931" s="1359"/>
      <c r="H931" s="1359"/>
      <c r="I931" s="1359"/>
      <c r="J931" s="1359"/>
      <c r="K931" s="1359"/>
      <c r="L931" s="1359"/>
      <c r="M931" s="1359"/>
      <c r="N931" s="1359"/>
      <c r="O931" s="1359"/>
      <c r="P931" s="1359"/>
    </row>
    <row r="932">
      <c r="A932" s="1359"/>
      <c r="B932" s="1359"/>
      <c r="C932" s="1359"/>
      <c r="D932" s="1359"/>
      <c r="E932" s="1359"/>
      <c r="F932" s="1359"/>
      <c r="G932" s="1359"/>
      <c r="H932" s="1359"/>
      <c r="I932" s="1359"/>
      <c r="J932" s="1359"/>
      <c r="K932" s="1359"/>
      <c r="L932" s="1359"/>
      <c r="M932" s="1359"/>
      <c r="N932" s="1359"/>
      <c r="O932" s="1359"/>
      <c r="P932" s="1359"/>
    </row>
    <row r="933">
      <c r="A933" s="1359"/>
      <c r="B933" s="1359"/>
      <c r="C933" s="1359"/>
      <c r="D933" s="1359"/>
      <c r="E933" s="1359"/>
      <c r="F933" s="1359"/>
      <c r="G933" s="1359"/>
      <c r="H933" s="1359"/>
      <c r="I933" s="1359"/>
      <c r="J933" s="1359"/>
      <c r="K933" s="1359"/>
      <c r="L933" s="1359"/>
      <c r="M933" s="1359"/>
      <c r="N933" s="1359"/>
      <c r="O933" s="1359"/>
      <c r="P933" s="1359"/>
    </row>
    <row r="934">
      <c r="A934" s="1359"/>
      <c r="B934" s="1359"/>
      <c r="C934" s="1359"/>
      <c r="D934" s="1359"/>
      <c r="E934" s="1359"/>
      <c r="F934" s="1359"/>
      <c r="G934" s="1359"/>
      <c r="H934" s="1359"/>
      <c r="I934" s="1359"/>
      <c r="J934" s="1359"/>
      <c r="K934" s="1359"/>
      <c r="L934" s="1359"/>
      <c r="M934" s="1359"/>
      <c r="N934" s="1359"/>
      <c r="O934" s="1359"/>
      <c r="P934" s="1359"/>
    </row>
    <row r="935">
      <c r="A935" s="1359"/>
      <c r="B935" s="1359"/>
      <c r="C935" s="1359"/>
      <c r="D935" s="1359"/>
      <c r="E935" s="1359"/>
      <c r="F935" s="1359"/>
      <c r="G935" s="1359"/>
      <c r="H935" s="1359"/>
      <c r="I935" s="1359"/>
      <c r="J935" s="1359"/>
      <c r="K935" s="1359"/>
      <c r="L935" s="1359"/>
      <c r="M935" s="1359"/>
      <c r="N935" s="1359"/>
      <c r="O935" s="1359"/>
      <c r="P935" s="1359"/>
    </row>
    <row r="936">
      <c r="A936" s="1359"/>
      <c r="B936" s="1359"/>
      <c r="C936" s="1359"/>
      <c r="D936" s="1359"/>
      <c r="E936" s="1359"/>
      <c r="F936" s="1359"/>
      <c r="G936" s="1359"/>
      <c r="H936" s="1359"/>
      <c r="I936" s="1359"/>
      <c r="J936" s="1359"/>
      <c r="K936" s="1359"/>
      <c r="L936" s="1359"/>
      <c r="M936" s="1359"/>
      <c r="N936" s="1359"/>
      <c r="O936" s="1359"/>
      <c r="P936" s="1359"/>
    </row>
    <row r="937">
      <c r="A937" s="1359"/>
      <c r="B937" s="1359"/>
      <c r="C937" s="1359"/>
      <c r="D937" s="1359"/>
      <c r="E937" s="1359"/>
      <c r="F937" s="1359"/>
      <c r="G937" s="1359"/>
      <c r="H937" s="1359"/>
      <c r="I937" s="1359"/>
      <c r="J937" s="1359"/>
      <c r="K937" s="1359"/>
      <c r="L937" s="1359"/>
      <c r="M937" s="1359"/>
      <c r="N937" s="1359"/>
      <c r="O937" s="1359"/>
      <c r="P937" s="1359"/>
    </row>
    <row r="938">
      <c r="A938" s="1359"/>
      <c r="B938" s="1359"/>
      <c r="C938" s="1359"/>
      <c r="D938" s="1359"/>
      <c r="E938" s="1359"/>
      <c r="F938" s="1359"/>
      <c r="G938" s="1359"/>
      <c r="H938" s="1359"/>
      <c r="I938" s="1359"/>
      <c r="J938" s="1359"/>
      <c r="K938" s="1359"/>
      <c r="L938" s="1359"/>
      <c r="M938" s="1359"/>
      <c r="N938" s="1359"/>
      <c r="O938" s="1359"/>
      <c r="P938" s="1359"/>
    </row>
    <row r="939">
      <c r="A939" s="1359"/>
      <c r="B939" s="1359"/>
      <c r="C939" s="1359"/>
      <c r="D939" s="1359"/>
      <c r="E939" s="1359"/>
      <c r="F939" s="1359"/>
      <c r="G939" s="1359"/>
      <c r="H939" s="1359"/>
      <c r="I939" s="1359"/>
      <c r="J939" s="1359"/>
      <c r="K939" s="1359"/>
      <c r="L939" s="1359"/>
      <c r="M939" s="1359"/>
      <c r="N939" s="1359"/>
      <c r="O939" s="1359"/>
      <c r="P939" s="1359"/>
    </row>
    <row r="940">
      <c r="A940" s="1359"/>
      <c r="B940" s="1359"/>
      <c r="C940" s="1359"/>
      <c r="D940" s="1359"/>
      <c r="E940" s="1359"/>
      <c r="F940" s="1359"/>
      <c r="G940" s="1359"/>
      <c r="H940" s="1359"/>
      <c r="I940" s="1359"/>
      <c r="J940" s="1359"/>
      <c r="K940" s="1359"/>
      <c r="L940" s="1359"/>
      <c r="M940" s="1359"/>
      <c r="N940" s="1359"/>
      <c r="O940" s="1359"/>
      <c r="P940" s="1359"/>
    </row>
    <row r="941">
      <c r="A941" s="1359"/>
      <c r="B941" s="1359"/>
      <c r="C941" s="1359"/>
      <c r="D941" s="1359"/>
      <c r="E941" s="1359"/>
      <c r="F941" s="1359"/>
      <c r="G941" s="1359"/>
      <c r="H941" s="1359"/>
      <c r="I941" s="1359"/>
      <c r="J941" s="1359"/>
      <c r="K941" s="1359"/>
      <c r="L941" s="1359"/>
      <c r="M941" s="1359"/>
      <c r="N941" s="1359"/>
      <c r="O941" s="1359"/>
      <c r="P941" s="1359"/>
    </row>
    <row r="942">
      <c r="A942" s="1359"/>
      <c r="B942" s="1359"/>
      <c r="C942" s="1359"/>
      <c r="D942" s="1359"/>
      <c r="E942" s="1359"/>
      <c r="F942" s="1359"/>
      <c r="G942" s="1359"/>
      <c r="H942" s="1359"/>
      <c r="I942" s="1359"/>
      <c r="J942" s="1359"/>
      <c r="K942" s="1359"/>
      <c r="L942" s="1359"/>
      <c r="M942" s="1359"/>
      <c r="N942" s="1359"/>
      <c r="O942" s="1359"/>
      <c r="P942" s="1359"/>
    </row>
    <row r="943">
      <c r="A943" s="1359"/>
      <c r="B943" s="1359"/>
      <c r="C943" s="1359"/>
      <c r="D943" s="1359"/>
      <c r="E943" s="1359"/>
      <c r="F943" s="1359"/>
      <c r="G943" s="1359"/>
      <c r="H943" s="1359"/>
      <c r="I943" s="1359"/>
      <c r="J943" s="1359"/>
      <c r="K943" s="1359"/>
      <c r="L943" s="1359"/>
      <c r="M943" s="1359"/>
      <c r="N943" s="1359"/>
      <c r="O943" s="1359"/>
      <c r="P943" s="1359"/>
    </row>
    <row r="944">
      <c r="A944" s="1359"/>
      <c r="B944" s="1359"/>
      <c r="C944" s="1359"/>
      <c r="D944" s="1359"/>
      <c r="E944" s="1359"/>
      <c r="F944" s="1359"/>
      <c r="G944" s="1359"/>
      <c r="H944" s="1359"/>
      <c r="I944" s="1359"/>
      <c r="J944" s="1359"/>
      <c r="K944" s="1359"/>
      <c r="L944" s="1359"/>
      <c r="M944" s="1359"/>
      <c r="N944" s="1359"/>
      <c r="O944" s="1359"/>
      <c r="P944" s="1359"/>
    </row>
    <row r="945">
      <c r="A945" s="1359"/>
      <c r="B945" s="1359"/>
      <c r="C945" s="1359"/>
      <c r="D945" s="1359"/>
      <c r="E945" s="1359"/>
      <c r="F945" s="1359"/>
      <c r="G945" s="1359"/>
      <c r="H945" s="1359"/>
      <c r="I945" s="1359"/>
      <c r="J945" s="1359"/>
      <c r="K945" s="1359"/>
      <c r="L945" s="1359"/>
      <c r="M945" s="1359"/>
      <c r="N945" s="1359"/>
      <c r="O945" s="1359"/>
      <c r="P945" s="1359"/>
    </row>
    <row r="946">
      <c r="A946" s="1359"/>
      <c r="B946" s="1359"/>
      <c r="C946" s="1359"/>
      <c r="D946" s="1359"/>
      <c r="E946" s="1359"/>
      <c r="F946" s="1359"/>
      <c r="G946" s="1359"/>
      <c r="H946" s="1359"/>
      <c r="I946" s="1359"/>
      <c r="J946" s="1359"/>
      <c r="K946" s="1359"/>
      <c r="L946" s="1359"/>
      <c r="M946" s="1359"/>
      <c r="N946" s="1359"/>
      <c r="O946" s="1359"/>
      <c r="P946" s="1359"/>
    </row>
    <row r="947">
      <c r="A947" s="1359"/>
      <c r="B947" s="1359"/>
      <c r="C947" s="1359"/>
      <c r="D947" s="1359"/>
      <c r="E947" s="1359"/>
      <c r="F947" s="1359"/>
      <c r="G947" s="1359"/>
      <c r="H947" s="1359"/>
      <c r="I947" s="1359"/>
      <c r="J947" s="1359"/>
      <c r="K947" s="1359"/>
      <c r="L947" s="1359"/>
      <c r="M947" s="1359"/>
      <c r="N947" s="1359"/>
      <c r="O947" s="1359"/>
      <c r="P947" s="1359"/>
    </row>
    <row r="948">
      <c r="A948" s="1359"/>
      <c r="B948" s="1359"/>
      <c r="C948" s="1359"/>
      <c r="D948" s="1359"/>
      <c r="E948" s="1359"/>
      <c r="F948" s="1359"/>
      <c r="G948" s="1359"/>
      <c r="H948" s="1359"/>
      <c r="I948" s="1359"/>
      <c r="J948" s="1359"/>
      <c r="K948" s="1359"/>
      <c r="L948" s="1359"/>
      <c r="M948" s="1359"/>
      <c r="N948" s="1359"/>
      <c r="O948" s="1359"/>
      <c r="P948" s="1359"/>
    </row>
    <row r="949">
      <c r="A949" s="1359"/>
      <c r="B949" s="1359"/>
      <c r="C949" s="1359"/>
      <c r="D949" s="1359"/>
      <c r="E949" s="1359"/>
      <c r="F949" s="1359"/>
      <c r="G949" s="1359"/>
      <c r="H949" s="1359"/>
      <c r="I949" s="1359"/>
      <c r="J949" s="1359"/>
      <c r="K949" s="1359"/>
      <c r="L949" s="1359"/>
      <c r="M949" s="1359"/>
      <c r="N949" s="1359"/>
      <c r="O949" s="1359"/>
      <c r="P949" s="1359"/>
    </row>
    <row r="950">
      <c r="A950" s="1359"/>
      <c r="B950" s="1359"/>
      <c r="C950" s="1359"/>
      <c r="D950" s="1359"/>
      <c r="E950" s="1359"/>
      <c r="F950" s="1359"/>
      <c r="G950" s="1359"/>
      <c r="H950" s="1359"/>
      <c r="I950" s="1359"/>
      <c r="J950" s="1359"/>
      <c r="K950" s="1359"/>
      <c r="L950" s="1359"/>
      <c r="M950" s="1359"/>
      <c r="N950" s="1359"/>
      <c r="O950" s="1359"/>
      <c r="P950" s="1359"/>
    </row>
    <row r="951">
      <c r="A951" s="1359"/>
      <c r="B951" s="1359"/>
      <c r="C951" s="1359"/>
      <c r="D951" s="1359"/>
      <c r="E951" s="1359"/>
      <c r="F951" s="1359"/>
      <c r="G951" s="1359"/>
      <c r="H951" s="1359"/>
      <c r="I951" s="1359"/>
      <c r="J951" s="1359"/>
      <c r="K951" s="1359"/>
      <c r="L951" s="1359"/>
      <c r="M951" s="1359"/>
      <c r="N951" s="1359"/>
      <c r="O951" s="1359"/>
      <c r="P951" s="1359"/>
    </row>
    <row r="952">
      <c r="A952" s="1359"/>
      <c r="B952" s="1359"/>
      <c r="C952" s="1359"/>
      <c r="D952" s="1359"/>
      <c r="E952" s="1359"/>
      <c r="F952" s="1359"/>
      <c r="G952" s="1359"/>
      <c r="H952" s="1359"/>
      <c r="I952" s="1359"/>
      <c r="J952" s="1359"/>
      <c r="K952" s="1359"/>
      <c r="L952" s="1359"/>
      <c r="M952" s="1359"/>
      <c r="N952" s="1359"/>
      <c r="O952" s="1359"/>
      <c r="P952" s="1359"/>
    </row>
    <row r="953">
      <c r="A953" s="1359"/>
      <c r="B953" s="1359"/>
      <c r="C953" s="1359"/>
      <c r="D953" s="1359"/>
      <c r="E953" s="1359"/>
      <c r="F953" s="1359"/>
      <c r="G953" s="1359"/>
      <c r="H953" s="1359"/>
      <c r="I953" s="1359"/>
      <c r="J953" s="1359"/>
      <c r="K953" s="1359"/>
      <c r="L953" s="1359"/>
      <c r="M953" s="1359"/>
      <c r="N953" s="1359"/>
      <c r="O953" s="1359"/>
      <c r="P953" s="1359"/>
    </row>
    <row r="954">
      <c r="A954" s="1359"/>
      <c r="B954" s="1359"/>
      <c r="C954" s="1359"/>
      <c r="D954" s="1359"/>
      <c r="E954" s="1359"/>
      <c r="F954" s="1359"/>
      <c r="G954" s="1359"/>
      <c r="H954" s="1359"/>
      <c r="I954" s="1359"/>
      <c r="J954" s="1359"/>
      <c r="K954" s="1359"/>
      <c r="L954" s="1359"/>
      <c r="M954" s="1359"/>
      <c r="N954" s="1359"/>
      <c r="O954" s="1359"/>
      <c r="P954" s="1359"/>
    </row>
    <row r="955">
      <c r="A955" s="1359"/>
      <c r="B955" s="1359"/>
      <c r="C955" s="1359"/>
      <c r="D955" s="1359"/>
      <c r="E955" s="1359"/>
      <c r="F955" s="1359"/>
      <c r="G955" s="1359"/>
      <c r="H955" s="1359"/>
      <c r="I955" s="1359"/>
      <c r="J955" s="1359"/>
      <c r="K955" s="1359"/>
      <c r="L955" s="1359"/>
      <c r="M955" s="1359"/>
      <c r="N955" s="1359"/>
      <c r="O955" s="1359"/>
      <c r="P955" s="1359"/>
    </row>
    <row r="956">
      <c r="A956" s="1359"/>
      <c r="B956" s="1359"/>
      <c r="C956" s="1359"/>
      <c r="D956" s="1359"/>
      <c r="E956" s="1359"/>
      <c r="F956" s="1359"/>
      <c r="G956" s="1359"/>
      <c r="H956" s="1359"/>
      <c r="I956" s="1359"/>
      <c r="J956" s="1359"/>
      <c r="K956" s="1359"/>
      <c r="L956" s="1359"/>
      <c r="M956" s="1359"/>
      <c r="N956" s="1359"/>
      <c r="O956" s="1359"/>
      <c r="P956" s="1359"/>
    </row>
    <row r="957">
      <c r="A957" s="1359"/>
      <c r="B957" s="1359"/>
      <c r="C957" s="1359"/>
      <c r="D957" s="1359"/>
      <c r="E957" s="1359"/>
      <c r="F957" s="1359"/>
      <c r="G957" s="1359"/>
      <c r="H957" s="1359"/>
      <c r="I957" s="1359"/>
      <c r="J957" s="1359"/>
      <c r="K957" s="1359"/>
      <c r="L957" s="1359"/>
      <c r="M957" s="1359"/>
      <c r="N957" s="1359"/>
      <c r="O957" s="1359"/>
      <c r="P957" s="1359"/>
    </row>
    <row r="958">
      <c r="A958" s="1359"/>
      <c r="B958" s="1359"/>
      <c r="C958" s="1359"/>
      <c r="D958" s="1359"/>
      <c r="E958" s="1359"/>
      <c r="F958" s="1359"/>
      <c r="G958" s="1359"/>
      <c r="H958" s="1359"/>
      <c r="I958" s="1359"/>
      <c r="J958" s="1359"/>
      <c r="K958" s="1359"/>
      <c r="L958" s="1359"/>
      <c r="M958" s="1359"/>
      <c r="N958" s="1359"/>
      <c r="O958" s="1359"/>
      <c r="P958" s="1359"/>
    </row>
    <row r="959">
      <c r="A959" s="1359"/>
      <c r="B959" s="1359"/>
      <c r="C959" s="1359"/>
      <c r="D959" s="1359"/>
      <c r="E959" s="1359"/>
      <c r="F959" s="1359"/>
      <c r="G959" s="1359"/>
      <c r="H959" s="1359"/>
      <c r="I959" s="1359"/>
      <c r="J959" s="1359"/>
      <c r="K959" s="1359"/>
      <c r="L959" s="1359"/>
      <c r="M959" s="1359"/>
      <c r="N959" s="1359"/>
      <c r="O959" s="1359"/>
      <c r="P959" s="1359"/>
    </row>
    <row r="960">
      <c r="A960" s="1359"/>
      <c r="B960" s="1359"/>
      <c r="C960" s="1359"/>
      <c r="D960" s="1359"/>
      <c r="E960" s="1359"/>
      <c r="F960" s="1359"/>
      <c r="G960" s="1359"/>
      <c r="H960" s="1359"/>
      <c r="I960" s="1359"/>
      <c r="J960" s="1359"/>
      <c r="K960" s="1359"/>
      <c r="L960" s="1359"/>
      <c r="M960" s="1359"/>
      <c r="N960" s="1359"/>
      <c r="O960" s="1359"/>
      <c r="P960" s="1359"/>
    </row>
    <row r="961">
      <c r="A961" s="1359"/>
      <c r="B961" s="1359"/>
      <c r="C961" s="1359"/>
      <c r="D961" s="1359"/>
      <c r="E961" s="1359"/>
      <c r="F961" s="1359"/>
      <c r="G961" s="1359"/>
      <c r="H961" s="1359"/>
      <c r="I961" s="1359"/>
      <c r="J961" s="1359"/>
      <c r="K961" s="1359"/>
      <c r="L961" s="1359"/>
      <c r="M961" s="1359"/>
      <c r="N961" s="1359"/>
      <c r="O961" s="1359"/>
      <c r="P961" s="1359"/>
    </row>
    <row r="962">
      <c r="A962" s="1359"/>
      <c r="B962" s="1359"/>
      <c r="C962" s="1359"/>
      <c r="D962" s="1359"/>
      <c r="E962" s="1359"/>
      <c r="F962" s="1359"/>
      <c r="G962" s="1359"/>
      <c r="H962" s="1359"/>
      <c r="I962" s="1359"/>
      <c r="J962" s="1359"/>
      <c r="K962" s="1359"/>
      <c r="L962" s="1359"/>
      <c r="M962" s="1359"/>
      <c r="N962" s="1359"/>
      <c r="O962" s="1359"/>
      <c r="P962" s="1359"/>
    </row>
    <row r="963">
      <c r="A963" s="1359"/>
      <c r="B963" s="1359"/>
      <c r="C963" s="1359"/>
      <c r="D963" s="1359"/>
      <c r="E963" s="1359"/>
      <c r="F963" s="1359"/>
      <c r="G963" s="1359"/>
      <c r="H963" s="1359"/>
      <c r="I963" s="1359"/>
      <c r="J963" s="1359"/>
      <c r="K963" s="1359"/>
      <c r="L963" s="1359"/>
      <c r="M963" s="1359"/>
      <c r="N963" s="1359"/>
      <c r="O963" s="1359"/>
      <c r="P963" s="1359"/>
    </row>
    <row r="964">
      <c r="A964" s="1359"/>
      <c r="B964" s="1359"/>
      <c r="C964" s="1359"/>
      <c r="D964" s="1359"/>
      <c r="E964" s="1359"/>
      <c r="F964" s="1359"/>
      <c r="G964" s="1359"/>
      <c r="H964" s="1359"/>
      <c r="I964" s="1359"/>
      <c r="J964" s="1359"/>
      <c r="K964" s="1359"/>
      <c r="L964" s="1359"/>
      <c r="M964" s="1359"/>
      <c r="N964" s="1359"/>
      <c r="O964" s="1359"/>
      <c r="P964" s="1359"/>
    </row>
    <row r="965">
      <c r="A965" s="1359"/>
      <c r="B965" s="1359"/>
      <c r="C965" s="1359"/>
      <c r="D965" s="1359"/>
      <c r="E965" s="1359"/>
      <c r="F965" s="1359"/>
      <c r="G965" s="1359"/>
      <c r="H965" s="1359"/>
      <c r="I965" s="1359"/>
      <c r="J965" s="1359"/>
      <c r="K965" s="1359"/>
      <c r="L965" s="1359"/>
      <c r="M965" s="1359"/>
      <c r="N965" s="1359"/>
      <c r="O965" s="1359"/>
      <c r="P965" s="1359"/>
    </row>
    <row r="966">
      <c r="A966" s="1359"/>
      <c r="B966" s="1359"/>
      <c r="C966" s="1359"/>
      <c r="D966" s="1359"/>
      <c r="E966" s="1359"/>
      <c r="F966" s="1359"/>
      <c r="G966" s="1359"/>
      <c r="H966" s="1359"/>
      <c r="I966" s="1359"/>
      <c r="J966" s="1359"/>
      <c r="K966" s="1359"/>
      <c r="L966" s="1359"/>
      <c r="M966" s="1359"/>
      <c r="N966" s="1359"/>
      <c r="O966" s="1359"/>
      <c r="P966" s="1359"/>
    </row>
    <row r="967">
      <c r="A967" s="1359"/>
      <c r="B967" s="1359"/>
      <c r="C967" s="1359"/>
      <c r="D967" s="1359"/>
      <c r="E967" s="1359"/>
      <c r="F967" s="1359"/>
      <c r="G967" s="1359"/>
      <c r="H967" s="1359"/>
      <c r="I967" s="1359"/>
      <c r="J967" s="1359"/>
      <c r="K967" s="1359"/>
      <c r="L967" s="1359"/>
      <c r="M967" s="1359"/>
      <c r="N967" s="1359"/>
      <c r="O967" s="1359"/>
      <c r="P967" s="1359"/>
    </row>
    <row r="968">
      <c r="A968" s="1359"/>
      <c r="B968" s="1359"/>
      <c r="C968" s="1359"/>
      <c r="D968" s="1359"/>
      <c r="E968" s="1359"/>
      <c r="F968" s="1359"/>
      <c r="G968" s="1359"/>
      <c r="H968" s="1359"/>
      <c r="I968" s="1359"/>
      <c r="J968" s="1359"/>
      <c r="K968" s="1359"/>
      <c r="L968" s="1359"/>
      <c r="M968" s="1359"/>
      <c r="N968" s="1359"/>
      <c r="O968" s="1359"/>
      <c r="P968" s="1359"/>
    </row>
    <row r="969">
      <c r="A969" s="1359"/>
      <c r="B969" s="1359"/>
      <c r="C969" s="1359"/>
      <c r="D969" s="1359"/>
      <c r="E969" s="1359"/>
      <c r="F969" s="1359"/>
      <c r="G969" s="1359"/>
      <c r="H969" s="1359"/>
      <c r="I969" s="1359"/>
      <c r="J969" s="1359"/>
      <c r="K969" s="1359"/>
      <c r="L969" s="1359"/>
      <c r="M969" s="1359"/>
      <c r="N969" s="1359"/>
      <c r="O969" s="1359"/>
      <c r="P969" s="1359"/>
    </row>
    <row r="970">
      <c r="A970" s="1359"/>
      <c r="B970" s="1359"/>
      <c r="C970" s="1359"/>
      <c r="D970" s="1359"/>
      <c r="E970" s="1359"/>
      <c r="F970" s="1359"/>
      <c r="G970" s="1359"/>
      <c r="H970" s="1359"/>
      <c r="I970" s="1359"/>
      <c r="J970" s="1359"/>
      <c r="K970" s="1359"/>
      <c r="L970" s="1359"/>
      <c r="M970" s="1359"/>
      <c r="N970" s="1359"/>
      <c r="O970" s="1359"/>
      <c r="P970" s="1359"/>
    </row>
    <row r="971">
      <c r="A971" s="1359"/>
      <c r="B971" s="1359"/>
      <c r="C971" s="1359"/>
      <c r="D971" s="1359"/>
      <c r="E971" s="1359"/>
      <c r="F971" s="1359"/>
      <c r="G971" s="1359"/>
      <c r="H971" s="1359"/>
      <c r="I971" s="1359"/>
      <c r="J971" s="1359"/>
      <c r="K971" s="1359"/>
      <c r="L971" s="1359"/>
      <c r="M971" s="1359"/>
      <c r="N971" s="1359"/>
      <c r="O971" s="1359"/>
      <c r="P971" s="1359"/>
    </row>
    <row r="972">
      <c r="A972" s="1359"/>
      <c r="B972" s="1359"/>
      <c r="C972" s="1359"/>
      <c r="D972" s="1359"/>
      <c r="E972" s="1359"/>
      <c r="F972" s="1359"/>
      <c r="G972" s="1359"/>
      <c r="H972" s="1359"/>
      <c r="I972" s="1359"/>
      <c r="J972" s="1359"/>
      <c r="K972" s="1359"/>
      <c r="L972" s="1359"/>
      <c r="M972" s="1359"/>
      <c r="N972" s="1359"/>
      <c r="O972" s="1359"/>
      <c r="P972" s="1359"/>
    </row>
    <row r="973">
      <c r="A973" s="1359"/>
      <c r="B973" s="1359"/>
      <c r="C973" s="1359"/>
      <c r="D973" s="1359"/>
      <c r="E973" s="1359"/>
      <c r="F973" s="1359"/>
      <c r="G973" s="1359"/>
      <c r="H973" s="1359"/>
      <c r="I973" s="1359"/>
      <c r="J973" s="1359"/>
      <c r="K973" s="1359"/>
      <c r="L973" s="1359"/>
      <c r="M973" s="1359"/>
      <c r="N973" s="1359"/>
      <c r="O973" s="1359"/>
      <c r="P973" s="1359"/>
    </row>
  </sheetData>
  <mergeCells count="3">
    <mergeCell ref="B1:G1"/>
    <mergeCell ref="J1:L1"/>
    <mergeCell ref="D16:F16"/>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9.38"/>
    <col customWidth="1" min="8" max="8" width="40.88"/>
    <col customWidth="1" min="11" max="11" width="18.0"/>
    <col customWidth="1" min="12" max="12" width="6.25"/>
    <col customWidth="1" min="13" max="13" width="8.5"/>
    <col customWidth="1" min="14" max="14" width="10.25"/>
    <col customWidth="1" min="15" max="16" width="17.13"/>
    <col customWidth="1" min="17" max="17" width="18.0"/>
    <col customWidth="1" min="18" max="18" width="18.5"/>
    <col customWidth="1" min="21" max="21" width="12.25"/>
    <col customWidth="1" min="22" max="22" width="10.0"/>
    <col customWidth="1" min="23" max="23" width="17.63"/>
    <col customWidth="1" min="27" max="27" width="9.75"/>
  </cols>
  <sheetData>
    <row r="1">
      <c r="A1" s="1368" t="s">
        <v>3407</v>
      </c>
      <c r="B1" s="1368" t="s">
        <v>3408</v>
      </c>
      <c r="C1" s="1368" t="s">
        <v>3409</v>
      </c>
      <c r="D1" s="1368" t="s">
        <v>3410</v>
      </c>
      <c r="F1" s="1" t="s">
        <v>0</v>
      </c>
      <c r="G1" s="1" t="s">
        <v>3411</v>
      </c>
      <c r="H1" s="1369" t="s">
        <v>3412</v>
      </c>
      <c r="K1" s="1370" t="s">
        <v>208</v>
      </c>
      <c r="L1" s="1371" t="s">
        <v>3413</v>
      </c>
      <c r="M1" s="1371" t="s">
        <v>3414</v>
      </c>
      <c r="N1" s="1371" t="s">
        <v>3415</v>
      </c>
      <c r="O1" s="1372" t="s">
        <v>3416</v>
      </c>
      <c r="P1" s="1373"/>
      <c r="Q1" s="1372" t="s">
        <v>3417</v>
      </c>
      <c r="R1" s="1373"/>
      <c r="W1" s="1374">
        <v>3.0</v>
      </c>
      <c r="X1" s="1374">
        <v>1.0</v>
      </c>
      <c r="Y1" s="1374">
        <v>67.0</v>
      </c>
      <c r="AA1" s="1108" t="s">
        <v>3418</v>
      </c>
      <c r="AB1" s="1375">
        <f t="shared" ref="AB1:AB134" si="1">DATE(2000 + RIGHT(AA1, 2), MID(AA1, 8, 2), MID(AA1, 5, 2))
</f>
        <v>45947</v>
      </c>
    </row>
    <row r="2">
      <c r="A2" s="3" t="s">
        <v>3419</v>
      </c>
      <c r="B2" s="2">
        <v>43753.0</v>
      </c>
      <c r="C2" s="1250">
        <v>0.6088425925925925</v>
      </c>
      <c r="D2" s="1250">
        <v>0.6239814814814815</v>
      </c>
      <c r="F2" s="1376">
        <v>44529.0</v>
      </c>
      <c r="G2" s="3">
        <v>0.14</v>
      </c>
      <c r="H2" s="3" t="s">
        <v>3420</v>
      </c>
      <c r="K2" s="1377"/>
      <c r="L2" s="1377"/>
      <c r="M2" s="1377"/>
      <c r="N2" s="1377"/>
      <c r="O2" s="1378" t="s">
        <v>3421</v>
      </c>
      <c r="P2" s="1379" t="s">
        <v>3422</v>
      </c>
      <c r="Q2" s="1378" t="s">
        <v>3421</v>
      </c>
      <c r="R2" s="1379" t="s">
        <v>3422</v>
      </c>
      <c r="T2" s="3" t="s">
        <v>3423</v>
      </c>
      <c r="U2" s="3">
        <v>4.81</v>
      </c>
      <c r="W2" s="1374">
        <v>7.0</v>
      </c>
      <c r="X2" s="1374">
        <v>2.0</v>
      </c>
      <c r="Y2" s="1374">
        <v>71.0</v>
      </c>
      <c r="AA2" s="1108" t="s">
        <v>3418</v>
      </c>
      <c r="AB2" s="1375">
        <f t="shared" si="1"/>
        <v>45947</v>
      </c>
    </row>
    <row r="3">
      <c r="A3" s="3" t="s">
        <v>3424</v>
      </c>
      <c r="B3" s="2">
        <v>44169.0</v>
      </c>
      <c r="C3" s="1250">
        <v>0.0</v>
      </c>
      <c r="D3" s="1250">
        <v>0.999988425925926</v>
      </c>
      <c r="F3" s="1376">
        <v>44524.0</v>
      </c>
      <c r="G3" s="3">
        <v>0.05</v>
      </c>
      <c r="K3" s="1380" t="s">
        <v>296</v>
      </c>
      <c r="L3" s="1381">
        <v>11.0</v>
      </c>
      <c r="M3" s="1381">
        <v>3.0</v>
      </c>
      <c r="N3" s="1381">
        <v>0.0</v>
      </c>
      <c r="O3" s="1382">
        <v>13.0</v>
      </c>
      <c r="P3" s="1383"/>
      <c r="Q3" s="1382">
        <v>2.0</v>
      </c>
      <c r="R3" s="1383"/>
      <c r="T3" s="3" t="s">
        <v>3425</v>
      </c>
      <c r="U3" s="3">
        <v>1.14</v>
      </c>
      <c r="W3" s="1374">
        <v>64.0</v>
      </c>
      <c r="X3" s="1374">
        <v>15.0</v>
      </c>
      <c r="Y3" s="1374">
        <v>77.0</v>
      </c>
      <c r="AA3" s="1124" t="s">
        <v>3418</v>
      </c>
      <c r="AB3" s="1375">
        <f t="shared" si="1"/>
        <v>45947</v>
      </c>
    </row>
    <row r="4">
      <c r="A4" s="3" t="s">
        <v>3424</v>
      </c>
      <c r="B4" s="2">
        <v>44171.0</v>
      </c>
      <c r="C4" s="1250">
        <v>0.0</v>
      </c>
      <c r="D4" s="1250">
        <v>0.999988425925926</v>
      </c>
      <c r="F4" s="1376">
        <v>44522.0</v>
      </c>
      <c r="G4" s="3">
        <v>0.04</v>
      </c>
      <c r="H4" s="3" t="s">
        <v>3426</v>
      </c>
      <c r="K4" s="1384" t="s">
        <v>271</v>
      </c>
      <c r="L4" s="1385">
        <v>8.0</v>
      </c>
      <c r="M4" s="1385">
        <v>2.0</v>
      </c>
      <c r="N4" s="1385">
        <v>0.0</v>
      </c>
      <c r="O4" s="1386">
        <v>13.0</v>
      </c>
      <c r="P4" s="1387"/>
      <c r="Q4" s="1386">
        <v>2.0</v>
      </c>
      <c r="R4" s="1387"/>
      <c r="W4" s="1374">
        <v>9.0</v>
      </c>
      <c r="X4" s="1374">
        <v>2.0</v>
      </c>
      <c r="Y4" s="1374">
        <v>78.0</v>
      </c>
      <c r="AA4" s="1108" t="s">
        <v>3427</v>
      </c>
      <c r="AB4" s="1375">
        <f t="shared" si="1"/>
        <v>45950</v>
      </c>
    </row>
    <row r="5">
      <c r="A5" s="3" t="s">
        <v>3424</v>
      </c>
      <c r="B5" s="2">
        <v>44173.0</v>
      </c>
      <c r="C5" s="1250">
        <v>0.0</v>
      </c>
      <c r="D5" s="1250">
        <v>0.999988425925926</v>
      </c>
      <c r="F5" s="1376">
        <v>44521.0</v>
      </c>
      <c r="G5" s="3">
        <v>0.15</v>
      </c>
      <c r="K5" s="1384" t="s">
        <v>260</v>
      </c>
      <c r="L5" s="1385">
        <v>3.0</v>
      </c>
      <c r="M5" s="1385">
        <v>1.0</v>
      </c>
      <c r="N5" s="1385">
        <v>33.0</v>
      </c>
      <c r="O5" s="1386">
        <v>20.0</v>
      </c>
      <c r="P5" s="1385">
        <v>27.0</v>
      </c>
      <c r="Q5" s="1386">
        <v>10.0</v>
      </c>
      <c r="R5" s="1385">
        <v>10.0</v>
      </c>
      <c r="W5" s="1374">
        <v>68.0</v>
      </c>
      <c r="X5" s="1374">
        <v>16.0</v>
      </c>
      <c r="Y5" s="1374">
        <v>81.0</v>
      </c>
      <c r="AA5" s="1124" t="s">
        <v>3427</v>
      </c>
      <c r="AB5" s="1375">
        <f t="shared" si="1"/>
        <v>45950</v>
      </c>
    </row>
    <row r="6">
      <c r="A6" s="3" t="s">
        <v>3424</v>
      </c>
      <c r="B6" s="2">
        <v>44175.0</v>
      </c>
      <c r="C6" s="1250">
        <v>0.0</v>
      </c>
      <c r="D6" s="1250">
        <v>0.999988425925926</v>
      </c>
      <c r="F6" s="1376">
        <v>44517.0</v>
      </c>
      <c r="G6" s="3">
        <v>1.03</v>
      </c>
      <c r="K6" s="1388" t="s">
        <v>272</v>
      </c>
      <c r="L6" s="1389">
        <v>72.0</v>
      </c>
      <c r="M6" s="1389">
        <v>17.0</v>
      </c>
      <c r="N6" s="1389">
        <v>33.0</v>
      </c>
      <c r="O6" s="1390">
        <v>15.0</v>
      </c>
      <c r="P6" s="1389">
        <v>31.0</v>
      </c>
      <c r="Q6" s="1390">
        <v>2.0</v>
      </c>
      <c r="R6" s="1389">
        <v>12.0</v>
      </c>
      <c r="W6" s="1374">
        <v>12.0</v>
      </c>
      <c r="X6" s="1374">
        <v>3.0</v>
      </c>
      <c r="Y6" s="1374">
        <v>83.0</v>
      </c>
      <c r="AA6" s="1108" t="s">
        <v>3428</v>
      </c>
      <c r="AB6" s="1375">
        <f t="shared" si="1"/>
        <v>45951</v>
      </c>
    </row>
    <row r="7">
      <c r="A7" s="3" t="s">
        <v>3424</v>
      </c>
      <c r="B7" s="2">
        <v>44193.0</v>
      </c>
      <c r="C7" s="1250">
        <v>0.0</v>
      </c>
      <c r="D7" s="1250">
        <v>0.999988425925926</v>
      </c>
      <c r="F7" s="1376">
        <v>44515.0</v>
      </c>
      <c r="G7" s="3">
        <v>0.48</v>
      </c>
      <c r="K7" s="1391" t="s">
        <v>267</v>
      </c>
      <c r="L7" s="1385">
        <v>6.0</v>
      </c>
      <c r="M7" s="1385">
        <v>1.0</v>
      </c>
      <c r="N7" s="1385">
        <v>33.0</v>
      </c>
      <c r="O7" s="1385">
        <v>20.0</v>
      </c>
      <c r="P7" s="1385">
        <v>23.0</v>
      </c>
      <c r="Q7" s="1385">
        <v>2.0</v>
      </c>
      <c r="R7" s="1385">
        <v>6.0</v>
      </c>
      <c r="W7" s="1374">
        <v>19.0</v>
      </c>
      <c r="X7" s="1374">
        <v>5.0</v>
      </c>
      <c r="Y7" s="1374">
        <v>89.0</v>
      </c>
      <c r="AA7" s="1108" t="s">
        <v>3428</v>
      </c>
      <c r="AB7" s="1375">
        <f t="shared" si="1"/>
        <v>45951</v>
      </c>
    </row>
    <row r="8">
      <c r="A8" s="3" t="s">
        <v>3429</v>
      </c>
      <c r="B8" s="2">
        <v>43665.0</v>
      </c>
      <c r="C8" s="1250">
        <v>0.0</v>
      </c>
      <c r="D8" s="1250">
        <v>0.999988425925926</v>
      </c>
      <c r="F8" s="1376">
        <v>44514.0</v>
      </c>
      <c r="G8" s="3">
        <v>0.34</v>
      </c>
      <c r="K8" s="1391" t="s">
        <v>227</v>
      </c>
      <c r="L8" s="1385">
        <v>8.0</v>
      </c>
      <c r="M8" s="1385">
        <v>2.0</v>
      </c>
      <c r="N8" s="1385">
        <v>38.0</v>
      </c>
      <c r="O8" s="1385">
        <v>20.0</v>
      </c>
      <c r="P8" s="1385">
        <v>46.0</v>
      </c>
      <c r="Q8" s="1385">
        <v>2.0</v>
      </c>
      <c r="R8" s="1385">
        <v>26.0</v>
      </c>
      <c r="W8" s="1374">
        <v>23.0</v>
      </c>
      <c r="X8" s="1374">
        <v>5.0</v>
      </c>
      <c r="Y8" s="1374">
        <v>96.0</v>
      </c>
      <c r="AA8" s="1108" t="s">
        <v>3428</v>
      </c>
      <c r="AB8" s="1375">
        <f t="shared" si="1"/>
        <v>45951</v>
      </c>
    </row>
    <row r="9">
      <c r="A9" s="3" t="s">
        <v>3429</v>
      </c>
      <c r="B9" s="2">
        <v>43666.0</v>
      </c>
      <c r="C9" s="1250">
        <v>0.0</v>
      </c>
      <c r="D9" s="1250">
        <v>0.999988425925926</v>
      </c>
      <c r="F9" s="1376">
        <v>44513.0</v>
      </c>
      <c r="G9" s="3">
        <v>0.04</v>
      </c>
      <c r="K9" s="1391" t="s">
        <v>221</v>
      </c>
      <c r="L9" s="1385">
        <v>10.0</v>
      </c>
      <c r="M9" s="1385">
        <v>2.0</v>
      </c>
      <c r="N9" s="1385">
        <v>40.0</v>
      </c>
      <c r="O9" s="1385">
        <v>23.0</v>
      </c>
      <c r="P9" s="1385">
        <v>41.0</v>
      </c>
      <c r="Q9" s="1385">
        <v>12.0</v>
      </c>
      <c r="R9" s="1385">
        <v>29.0</v>
      </c>
      <c r="W9" s="1374">
        <v>3.0</v>
      </c>
      <c r="X9" s="1374">
        <v>1.0</v>
      </c>
      <c r="Y9" s="1374">
        <v>100.0</v>
      </c>
      <c r="AA9" s="1108" t="s">
        <v>3428</v>
      </c>
      <c r="AB9" s="1375">
        <f t="shared" si="1"/>
        <v>45951</v>
      </c>
    </row>
    <row r="10">
      <c r="A10" s="3" t="s">
        <v>3429</v>
      </c>
      <c r="B10" s="2">
        <v>43667.0</v>
      </c>
      <c r="C10" s="1250">
        <v>0.0</v>
      </c>
      <c r="D10" s="1250">
        <v>0.999988425925926</v>
      </c>
      <c r="F10" s="1376">
        <v>44509.0</v>
      </c>
      <c r="G10" s="3">
        <v>0.02</v>
      </c>
      <c r="H10" s="1392" t="s">
        <v>3430</v>
      </c>
      <c r="K10" s="1391" t="s">
        <v>223</v>
      </c>
      <c r="L10" s="1385">
        <v>16.0</v>
      </c>
      <c r="M10" s="1385">
        <v>4.0</v>
      </c>
      <c r="N10" s="1385">
        <v>44.0</v>
      </c>
      <c r="O10" s="1385">
        <v>14.0</v>
      </c>
      <c r="P10" s="1385">
        <v>23.0</v>
      </c>
      <c r="Q10" s="1385">
        <v>2.0</v>
      </c>
      <c r="R10" s="1385">
        <v>7.0</v>
      </c>
      <c r="W10" s="1374">
        <v>1.0</v>
      </c>
      <c r="X10" s="1374">
        <v>0.0</v>
      </c>
      <c r="Y10" s="1374">
        <v>100.0</v>
      </c>
      <c r="AA10" s="1108" t="s">
        <v>3428</v>
      </c>
      <c r="AB10" s="1375">
        <f t="shared" si="1"/>
        <v>45951</v>
      </c>
    </row>
    <row r="11">
      <c r="A11" s="3" t="s">
        <v>3431</v>
      </c>
      <c r="B11" s="1393">
        <v>44529.0</v>
      </c>
      <c r="C11" s="1250">
        <v>0.3337847222222222</v>
      </c>
      <c r="D11" s="1250">
        <v>0.33390046296296294</v>
      </c>
      <c r="F11" s="1394">
        <v>44503.0</v>
      </c>
      <c r="G11" s="1395">
        <v>0.04</v>
      </c>
      <c r="K11" s="1391" t="s">
        <v>224</v>
      </c>
      <c r="L11" s="1385">
        <v>31.0</v>
      </c>
      <c r="M11" s="1385">
        <v>7.0</v>
      </c>
      <c r="N11" s="1385">
        <v>45.0</v>
      </c>
      <c r="O11" s="1385">
        <v>21.0</v>
      </c>
      <c r="P11" s="1385">
        <v>30.0</v>
      </c>
      <c r="Q11" s="1385">
        <v>7.0</v>
      </c>
      <c r="R11" s="1385">
        <v>13.0</v>
      </c>
      <c r="W11" s="1396">
        <v>3.0</v>
      </c>
      <c r="X11" s="1396">
        <v>1.0</v>
      </c>
      <c r="Y11" s="1396">
        <v>100.0</v>
      </c>
      <c r="AA11" s="1108" t="s">
        <v>3428</v>
      </c>
      <c r="AB11" s="1375">
        <f t="shared" si="1"/>
        <v>45951</v>
      </c>
    </row>
    <row r="12">
      <c r="A12" s="3" t="s">
        <v>3431</v>
      </c>
      <c r="B12" s="1393">
        <v>44529.0</v>
      </c>
      <c r="C12" s="1250">
        <v>0.33447916666666666</v>
      </c>
      <c r="D12" s="1250">
        <v>0.3345949074074074</v>
      </c>
      <c r="F12" s="1376">
        <v>44498.0</v>
      </c>
      <c r="G12" s="3">
        <v>0.13</v>
      </c>
      <c r="K12" s="1391" t="s">
        <v>218</v>
      </c>
      <c r="L12" s="1385">
        <v>13.0</v>
      </c>
      <c r="M12" s="1385">
        <v>3.0</v>
      </c>
      <c r="N12" s="1385">
        <v>46.0</v>
      </c>
      <c r="O12" s="1385">
        <v>17.0</v>
      </c>
      <c r="P12" s="1385">
        <v>33.0</v>
      </c>
      <c r="Q12" s="1385">
        <v>3.0</v>
      </c>
      <c r="R12" s="1385">
        <v>19.0</v>
      </c>
      <c r="W12" s="1374"/>
      <c r="X12" s="1374"/>
      <c r="Y12" s="1374"/>
      <c r="AA12" s="1108" t="s">
        <v>3428</v>
      </c>
      <c r="AB12" s="1375">
        <f t="shared" si="1"/>
        <v>45951</v>
      </c>
    </row>
    <row r="13">
      <c r="A13" s="3" t="s">
        <v>3431</v>
      </c>
      <c r="B13" s="1393">
        <v>44529.0</v>
      </c>
      <c r="C13" s="1250">
        <v>0.3351736111111111</v>
      </c>
      <c r="D13" s="1250">
        <v>0.3352893518518518</v>
      </c>
      <c r="F13" s="1376">
        <v>44494.0</v>
      </c>
      <c r="G13" s="3">
        <v>0.03</v>
      </c>
      <c r="K13" s="1391" t="s">
        <v>226</v>
      </c>
      <c r="L13" s="1385">
        <v>14.0</v>
      </c>
      <c r="M13" s="1385">
        <v>3.0</v>
      </c>
      <c r="N13" s="1385">
        <v>50.0</v>
      </c>
      <c r="O13" s="1385">
        <v>15.0</v>
      </c>
      <c r="P13" s="1385">
        <v>27.0</v>
      </c>
      <c r="Q13" s="1385">
        <v>6.0</v>
      </c>
      <c r="R13" s="1385">
        <v>13.0</v>
      </c>
      <c r="W13" s="6">
        <f>sum(W1:W12)</f>
        <v>212</v>
      </c>
      <c r="X13" s="6">
        <f>W13/419</f>
        <v>0.5059665871</v>
      </c>
      <c r="Y13" s="6">
        <f>AVERAGE(Y1:Y12)</f>
        <v>85.63636364</v>
      </c>
      <c r="AA13" s="1124" t="s">
        <v>3427</v>
      </c>
      <c r="AB13" s="1375">
        <f t="shared" si="1"/>
        <v>45950</v>
      </c>
    </row>
    <row r="14">
      <c r="A14" s="3" t="s">
        <v>3431</v>
      </c>
      <c r="B14" s="1393">
        <v>44529.0</v>
      </c>
      <c r="C14" s="1250">
        <v>0.33586805555555554</v>
      </c>
      <c r="D14" s="1250">
        <v>0.3359837962962963</v>
      </c>
      <c r="K14" s="1391" t="s">
        <v>213</v>
      </c>
      <c r="L14" s="1385">
        <v>15.0</v>
      </c>
      <c r="M14" s="1385">
        <v>4.0</v>
      </c>
      <c r="N14" s="1385">
        <v>53.0</v>
      </c>
      <c r="O14" s="1385">
        <v>15.0</v>
      </c>
      <c r="P14" s="1385">
        <v>23.0</v>
      </c>
      <c r="Q14" s="1385">
        <v>2.0</v>
      </c>
      <c r="R14" s="1385">
        <v>8.0</v>
      </c>
      <c r="AA14" s="1108" t="s">
        <v>3432</v>
      </c>
      <c r="AB14" s="1375">
        <f t="shared" si="1"/>
        <v>45952</v>
      </c>
    </row>
    <row r="15">
      <c r="A15" s="3" t="s">
        <v>3433</v>
      </c>
      <c r="B15" s="1393">
        <v>44529.0</v>
      </c>
      <c r="C15" s="1250">
        <v>0.3400462962962963</v>
      </c>
      <c r="D15" s="1250">
        <v>0.340162037037037</v>
      </c>
      <c r="K15" s="1391" t="s">
        <v>219</v>
      </c>
      <c r="L15" s="1385">
        <v>3.0</v>
      </c>
      <c r="M15" s="1385">
        <v>1.0</v>
      </c>
      <c r="N15" s="1385">
        <v>67.0</v>
      </c>
      <c r="O15" s="1385">
        <v>23.0</v>
      </c>
      <c r="P15" s="1385">
        <v>38.0</v>
      </c>
      <c r="Q15" s="1385">
        <v>8.0</v>
      </c>
      <c r="R15" s="1385">
        <v>22.0</v>
      </c>
      <c r="AA15" s="1108" t="s">
        <v>3432</v>
      </c>
      <c r="AB15" s="1375">
        <f t="shared" si="1"/>
        <v>45952</v>
      </c>
    </row>
    <row r="16">
      <c r="A16" s="3" t="s">
        <v>3424</v>
      </c>
      <c r="B16" s="5">
        <v>44522.0</v>
      </c>
      <c r="C16" s="1250">
        <v>0.27752314814814816</v>
      </c>
      <c r="D16" s="1397">
        <v>0.277650462962963</v>
      </c>
      <c r="K16" s="1391" t="s">
        <v>215</v>
      </c>
      <c r="L16" s="1385">
        <v>7.0</v>
      </c>
      <c r="M16" s="1385">
        <v>2.0</v>
      </c>
      <c r="N16" s="1385">
        <v>71.0</v>
      </c>
      <c r="O16" s="1385">
        <v>17.0</v>
      </c>
      <c r="P16" s="1385">
        <v>39.0</v>
      </c>
      <c r="Q16" s="1385">
        <v>8.0</v>
      </c>
      <c r="R16" s="1385">
        <v>22.0</v>
      </c>
      <c r="AA16" s="1108" t="s">
        <v>3432</v>
      </c>
      <c r="AB16" s="1375">
        <f t="shared" si="1"/>
        <v>45952</v>
      </c>
    </row>
    <row r="17">
      <c r="A17" s="3" t="s">
        <v>3424</v>
      </c>
      <c r="B17" s="5">
        <v>44522.0</v>
      </c>
      <c r="C17" s="1250">
        <v>0.2782175925925926</v>
      </c>
      <c r="D17" s="1250">
        <v>0.2783449074074074</v>
      </c>
      <c r="K17" s="1391" t="s">
        <v>256</v>
      </c>
      <c r="L17" s="1385">
        <v>64.0</v>
      </c>
      <c r="M17" s="1385">
        <v>15.0</v>
      </c>
      <c r="N17" s="1385">
        <v>77.0</v>
      </c>
      <c r="O17" s="1385">
        <v>15.0</v>
      </c>
      <c r="P17" s="1385">
        <v>48.0</v>
      </c>
      <c r="Q17" s="1385">
        <v>3.0</v>
      </c>
      <c r="R17" s="1385">
        <v>34.0</v>
      </c>
      <c r="U17" s="1398" t="s">
        <v>3434</v>
      </c>
      <c r="V17" s="1399" t="s">
        <v>3435</v>
      </c>
      <c r="W17" s="1399" t="s">
        <v>3436</v>
      </c>
      <c r="X17" s="1400"/>
      <c r="AA17" s="1108" t="s">
        <v>3432</v>
      </c>
      <c r="AB17" s="1375">
        <f t="shared" si="1"/>
        <v>45952</v>
      </c>
    </row>
    <row r="18">
      <c r="A18" s="3" t="s">
        <v>3437</v>
      </c>
      <c r="B18" s="2">
        <v>44509.0</v>
      </c>
      <c r="C18" s="1250">
        <v>0.304375</v>
      </c>
      <c r="D18" s="1250">
        <v>0.30449074074074073</v>
      </c>
      <c r="K18" s="1391" t="s">
        <v>262</v>
      </c>
      <c r="L18" s="1385">
        <v>9.0</v>
      </c>
      <c r="M18" s="1385">
        <v>2.0</v>
      </c>
      <c r="N18" s="1385">
        <v>78.0</v>
      </c>
      <c r="O18" s="1385">
        <v>10.0</v>
      </c>
      <c r="P18" s="1385">
        <v>26.0</v>
      </c>
      <c r="Q18" s="1385">
        <v>1.0</v>
      </c>
      <c r="R18" s="1385">
        <v>10.0</v>
      </c>
      <c r="U18" s="1401" t="s">
        <v>3438</v>
      </c>
      <c r="V18" s="1402" t="s">
        <v>3439</v>
      </c>
      <c r="W18" s="1402" t="s">
        <v>3440</v>
      </c>
      <c r="X18" s="1400"/>
      <c r="AA18" s="1108" t="s">
        <v>3432</v>
      </c>
      <c r="AB18" s="1375">
        <f t="shared" si="1"/>
        <v>45952</v>
      </c>
    </row>
    <row r="19">
      <c r="A19" s="3" t="s">
        <v>3437</v>
      </c>
      <c r="B19" s="2">
        <v>44509.0</v>
      </c>
      <c r="C19" s="1250">
        <v>0.30506944444444445</v>
      </c>
      <c r="D19" s="1250">
        <v>0.30518518518518517</v>
      </c>
      <c r="K19" s="1391" t="s">
        <v>225</v>
      </c>
      <c r="L19" s="1385">
        <v>68.0</v>
      </c>
      <c r="M19" s="1385">
        <v>16.0</v>
      </c>
      <c r="N19" s="1385">
        <v>81.0</v>
      </c>
      <c r="O19" s="1385">
        <v>23.0</v>
      </c>
      <c r="P19" s="1385">
        <v>31.0</v>
      </c>
      <c r="Q19" s="1385">
        <v>8.0</v>
      </c>
      <c r="R19" s="1385">
        <v>15.0</v>
      </c>
      <c r="U19" s="1377"/>
      <c r="V19" s="1402" t="s">
        <v>3441</v>
      </c>
      <c r="W19" s="1402" t="s">
        <v>3442</v>
      </c>
      <c r="X19" s="1400"/>
      <c r="AA19" s="1108" t="s">
        <v>3432</v>
      </c>
      <c r="AB19" s="1375">
        <f t="shared" si="1"/>
        <v>45952</v>
      </c>
    </row>
    <row r="20">
      <c r="K20" s="1391" t="s">
        <v>250</v>
      </c>
      <c r="L20" s="1385">
        <v>12.0</v>
      </c>
      <c r="M20" s="1385">
        <v>3.0</v>
      </c>
      <c r="N20" s="1385">
        <v>83.0</v>
      </c>
      <c r="O20" s="1385">
        <v>15.0</v>
      </c>
      <c r="P20" s="1385">
        <v>41.0</v>
      </c>
      <c r="Q20" s="1385">
        <v>6.0</v>
      </c>
      <c r="R20" s="1385">
        <v>22.0</v>
      </c>
      <c r="U20" s="1401" t="s">
        <v>3443</v>
      </c>
      <c r="V20" s="1402" t="s">
        <v>3444</v>
      </c>
      <c r="W20" s="1402" t="s">
        <v>3445</v>
      </c>
      <c r="X20" s="1400"/>
      <c r="AA20" s="1108" t="s">
        <v>3432</v>
      </c>
      <c r="AB20" s="1375">
        <f t="shared" si="1"/>
        <v>45952</v>
      </c>
    </row>
    <row r="21">
      <c r="K21" s="1391" t="s">
        <v>279</v>
      </c>
      <c r="L21" s="1385">
        <v>19.0</v>
      </c>
      <c r="M21" s="1385">
        <v>5.0</v>
      </c>
      <c r="N21" s="1385">
        <v>89.0</v>
      </c>
      <c r="O21" s="1385">
        <v>14.0</v>
      </c>
      <c r="P21" s="1385">
        <v>35.0</v>
      </c>
      <c r="Q21" s="1385">
        <v>6.0</v>
      </c>
      <c r="R21" s="1385">
        <v>19.0</v>
      </c>
      <c r="U21" s="1377"/>
      <c r="V21" s="1402" t="s">
        <v>3446</v>
      </c>
      <c r="W21" s="1402" t="s">
        <v>3447</v>
      </c>
      <c r="X21" s="1400"/>
      <c r="AA21" s="1108" t="s">
        <v>3432</v>
      </c>
      <c r="AB21" s="1375">
        <f t="shared" si="1"/>
        <v>45952</v>
      </c>
    </row>
    <row r="22">
      <c r="K22" s="1391" t="s">
        <v>217</v>
      </c>
      <c r="L22" s="1385">
        <v>23.0</v>
      </c>
      <c r="M22" s="1385">
        <v>5.0</v>
      </c>
      <c r="N22" s="1385">
        <v>96.0</v>
      </c>
      <c r="O22" s="1385">
        <v>23.0</v>
      </c>
      <c r="P22" s="1385">
        <v>24.0</v>
      </c>
      <c r="Q22" s="1385">
        <v>7.0</v>
      </c>
      <c r="R22" s="1385">
        <v>12.0</v>
      </c>
      <c r="AA22" s="1108" t="s">
        <v>3432</v>
      </c>
      <c r="AB22" s="1375">
        <f t="shared" si="1"/>
        <v>45952</v>
      </c>
    </row>
    <row r="23">
      <c r="K23" s="1391" t="s">
        <v>268</v>
      </c>
      <c r="L23" s="1385">
        <v>3.0</v>
      </c>
      <c r="M23" s="1385">
        <v>1.0</v>
      </c>
      <c r="N23" s="1385">
        <v>100.0</v>
      </c>
      <c r="O23" s="1385"/>
      <c r="P23" s="1385">
        <v>30.0</v>
      </c>
      <c r="Q23" s="1385"/>
      <c r="R23" s="1385">
        <v>13.0</v>
      </c>
      <c r="AA23" s="1108" t="s">
        <v>3432</v>
      </c>
      <c r="AB23" s="1375">
        <f t="shared" si="1"/>
        <v>45952</v>
      </c>
    </row>
    <row r="24">
      <c r="K24" s="1403" t="s">
        <v>214</v>
      </c>
      <c r="L24" s="1385">
        <v>1.0</v>
      </c>
      <c r="M24" s="1385">
        <v>0.0</v>
      </c>
      <c r="N24" s="1385">
        <v>100.0</v>
      </c>
      <c r="O24" s="1385"/>
      <c r="P24" s="1385">
        <v>17.0</v>
      </c>
      <c r="Q24" s="1385"/>
      <c r="R24" s="1385">
        <v>2.0</v>
      </c>
      <c r="AA24" s="1108" t="s">
        <v>3432</v>
      </c>
      <c r="AB24" s="1375">
        <f t="shared" si="1"/>
        <v>45952</v>
      </c>
    </row>
    <row r="25">
      <c r="K25" s="1404" t="s">
        <v>291</v>
      </c>
      <c r="L25" s="1385">
        <v>3.0</v>
      </c>
      <c r="M25" s="1385">
        <v>1.0</v>
      </c>
      <c r="N25" s="1405">
        <v>100.0</v>
      </c>
      <c r="O25" s="1405"/>
      <c r="P25" s="1405">
        <v>33.0</v>
      </c>
      <c r="Q25" s="1405"/>
      <c r="R25" s="1405">
        <v>15.0</v>
      </c>
      <c r="AA25" s="1108" t="s">
        <v>3432</v>
      </c>
      <c r="AB25" s="1375">
        <f t="shared" si="1"/>
        <v>45952</v>
      </c>
    </row>
    <row r="26">
      <c r="K26" s="1406"/>
      <c r="L26" s="1407">
        <f>sum(L3:L25)</f>
        <v>419</v>
      </c>
      <c r="M26" s="1407">
        <f>SUM(M3:M25)</f>
        <v>100</v>
      </c>
      <c r="N26" s="1406"/>
      <c r="O26" s="1406"/>
      <c r="P26" s="1406"/>
      <c r="Q26" s="1406"/>
      <c r="R26" s="1406"/>
      <c r="AA26" s="1124" t="s">
        <v>3432</v>
      </c>
      <c r="AB26" s="1375">
        <f t="shared" si="1"/>
        <v>45952</v>
      </c>
    </row>
    <row r="27">
      <c r="AA27" s="1108" t="s">
        <v>3448</v>
      </c>
      <c r="AB27" s="1375">
        <f t="shared" si="1"/>
        <v>45960</v>
      </c>
    </row>
    <row r="28">
      <c r="AA28" s="1108" t="s">
        <v>3448</v>
      </c>
      <c r="AB28" s="1375">
        <f t="shared" si="1"/>
        <v>45960</v>
      </c>
    </row>
    <row r="29">
      <c r="T29" s="1408"/>
      <c r="U29" s="1409"/>
      <c r="V29" s="1409"/>
      <c r="W29" s="1409"/>
      <c r="X29" s="1409"/>
      <c r="Y29" s="1410"/>
      <c r="Z29" s="1409"/>
      <c r="AA29" s="1108" t="s">
        <v>3448</v>
      </c>
      <c r="AB29" s="1375">
        <f t="shared" si="1"/>
        <v>45960</v>
      </c>
    </row>
    <row r="30">
      <c r="T30" s="1408"/>
      <c r="U30" s="1409"/>
      <c r="V30" s="1409"/>
      <c r="W30" s="1409"/>
      <c r="X30" s="1409"/>
      <c r="Y30" s="1410"/>
      <c r="Z30" s="1409"/>
      <c r="AA30" s="1108" t="s">
        <v>3448</v>
      </c>
      <c r="AB30" s="1375">
        <f t="shared" si="1"/>
        <v>45960</v>
      </c>
    </row>
    <row r="31">
      <c r="T31" s="1408"/>
      <c r="U31" s="1409"/>
      <c r="V31" s="1409"/>
      <c r="W31" s="1409"/>
      <c r="X31" s="1409"/>
      <c r="Y31" s="1409"/>
      <c r="Z31" s="1409"/>
      <c r="AA31" s="1108" t="s">
        <v>3448</v>
      </c>
      <c r="AB31" s="1375">
        <f t="shared" si="1"/>
        <v>45960</v>
      </c>
    </row>
    <row r="32">
      <c r="T32" s="1408"/>
      <c r="U32" s="1409"/>
      <c r="V32" s="1409"/>
      <c r="W32" s="1409"/>
      <c r="X32" s="1409"/>
      <c r="Y32" s="1409"/>
      <c r="Z32" s="1409"/>
      <c r="AA32" s="1108" t="s">
        <v>3448</v>
      </c>
      <c r="AB32" s="1375">
        <f t="shared" si="1"/>
        <v>45960</v>
      </c>
    </row>
    <row r="33">
      <c r="T33" s="1408"/>
      <c r="U33" s="1409"/>
      <c r="V33" s="1409"/>
      <c r="W33" s="1409"/>
      <c r="X33" s="1409"/>
      <c r="Y33" s="1409"/>
      <c r="Z33" s="1409"/>
      <c r="AA33" s="1108" t="s">
        <v>3448</v>
      </c>
      <c r="AB33" s="1375">
        <f t="shared" si="1"/>
        <v>45960</v>
      </c>
    </row>
    <row r="34">
      <c r="T34" s="1408"/>
      <c r="U34" s="1409"/>
      <c r="V34" s="1409"/>
      <c r="W34" s="1409"/>
      <c r="X34" s="1409"/>
      <c r="Y34" s="1409"/>
      <c r="Z34" s="1409"/>
      <c r="AA34" s="1108" t="s">
        <v>3448</v>
      </c>
      <c r="AB34" s="1375">
        <f t="shared" si="1"/>
        <v>45960</v>
      </c>
    </row>
    <row r="35">
      <c r="T35" s="1408"/>
      <c r="U35" s="1409"/>
      <c r="V35" s="1409"/>
      <c r="W35" s="1409"/>
      <c r="X35" s="1409"/>
      <c r="Y35" s="1409"/>
      <c r="Z35" s="1409"/>
      <c r="AA35" s="1108" t="s">
        <v>3448</v>
      </c>
      <c r="AB35" s="1375">
        <f t="shared" si="1"/>
        <v>45960</v>
      </c>
    </row>
    <row r="36">
      <c r="T36" s="1408"/>
      <c r="U36" s="1409"/>
      <c r="V36" s="1409"/>
      <c r="W36" s="1409"/>
      <c r="X36" s="1409"/>
      <c r="Y36" s="1409"/>
      <c r="Z36" s="1409"/>
      <c r="AA36" s="1108" t="s">
        <v>3448</v>
      </c>
      <c r="AB36" s="1375">
        <f t="shared" si="1"/>
        <v>45960</v>
      </c>
    </row>
    <row r="37">
      <c r="T37" s="1408"/>
      <c r="U37" s="1409"/>
      <c r="V37" s="1409"/>
      <c r="W37" s="1409"/>
      <c r="X37" s="1409"/>
      <c r="Y37" s="1409"/>
      <c r="Z37" s="1409"/>
      <c r="AA37" s="1124" t="s">
        <v>3448</v>
      </c>
      <c r="AB37" s="1375">
        <f t="shared" si="1"/>
        <v>45960</v>
      </c>
    </row>
    <row r="38">
      <c r="T38" s="1408"/>
      <c r="U38" s="1409"/>
      <c r="V38" s="1409"/>
      <c r="W38" s="1409"/>
      <c r="X38" s="1409"/>
      <c r="Y38" s="1409"/>
      <c r="Z38" s="1409"/>
      <c r="AA38" s="1124" t="s">
        <v>3449</v>
      </c>
      <c r="AB38" s="1375">
        <f t="shared" si="1"/>
        <v>45957</v>
      </c>
    </row>
    <row r="39">
      <c r="T39" s="1408"/>
      <c r="U39" s="1409"/>
      <c r="V39" s="1409"/>
      <c r="W39" s="1409"/>
      <c r="X39" s="1409"/>
      <c r="Y39" s="1409"/>
      <c r="Z39" s="1409"/>
      <c r="AA39" s="1124" t="s">
        <v>3450</v>
      </c>
      <c r="AB39" s="1375">
        <f t="shared" si="1"/>
        <v>45958</v>
      </c>
    </row>
    <row r="40">
      <c r="T40" s="1408"/>
      <c r="U40" s="1409"/>
      <c r="V40" s="1409"/>
      <c r="W40" s="1409"/>
      <c r="X40" s="1409"/>
      <c r="Y40" s="1409"/>
      <c r="Z40" s="1409"/>
      <c r="AA40" s="1108" t="s">
        <v>3451</v>
      </c>
      <c r="AB40" s="1375">
        <f t="shared" si="1"/>
        <v>45961</v>
      </c>
    </row>
    <row r="41">
      <c r="T41" s="1408"/>
      <c r="U41" s="1409"/>
      <c r="V41" s="1409"/>
      <c r="W41" s="1409"/>
      <c r="X41" s="1409"/>
      <c r="Y41" s="1409"/>
      <c r="Z41" s="1409"/>
      <c r="AA41" s="1108" t="s">
        <v>3451</v>
      </c>
      <c r="AB41" s="1375">
        <f t="shared" si="1"/>
        <v>45961</v>
      </c>
    </row>
    <row r="42">
      <c r="T42" s="1408"/>
      <c r="U42" s="1409"/>
      <c r="V42" s="1409"/>
      <c r="W42" s="1409"/>
      <c r="X42" s="1409"/>
      <c r="Y42" s="1409"/>
      <c r="Z42" s="1409"/>
      <c r="AA42" s="1124" t="s">
        <v>3451</v>
      </c>
      <c r="AB42" s="1375">
        <f t="shared" si="1"/>
        <v>45961</v>
      </c>
    </row>
    <row r="43">
      <c r="T43" s="1408"/>
      <c r="U43" s="1409"/>
      <c r="V43" s="1409"/>
      <c r="W43" s="1409"/>
      <c r="X43" s="1409"/>
      <c r="Y43" s="1409"/>
      <c r="Z43" s="1409"/>
      <c r="AA43" s="1108" t="s">
        <v>3452</v>
      </c>
      <c r="AB43" s="1375">
        <f t="shared" si="1"/>
        <v>45966</v>
      </c>
    </row>
    <row r="44">
      <c r="T44" s="1408"/>
      <c r="U44" s="1409"/>
      <c r="V44" s="1409"/>
      <c r="W44" s="1409"/>
      <c r="X44" s="1409"/>
      <c r="Y44" s="1409"/>
      <c r="Z44" s="1409"/>
      <c r="AA44" s="1108" t="s">
        <v>3452</v>
      </c>
      <c r="AB44" s="1375">
        <f t="shared" si="1"/>
        <v>45966</v>
      </c>
    </row>
    <row r="45">
      <c r="T45" s="1408"/>
      <c r="U45" s="1409"/>
      <c r="V45" s="1409"/>
      <c r="W45" s="1409"/>
      <c r="X45" s="1409"/>
      <c r="Y45" s="1409"/>
      <c r="Z45" s="1409"/>
      <c r="AA45" s="1108" t="s">
        <v>3452</v>
      </c>
      <c r="AB45" s="1375">
        <f t="shared" si="1"/>
        <v>45966</v>
      </c>
    </row>
    <row r="46">
      <c r="T46" s="1408"/>
      <c r="U46" s="1409"/>
      <c r="V46" s="1409"/>
      <c r="W46" s="1409"/>
      <c r="X46" s="1409"/>
      <c r="Y46" s="1409"/>
      <c r="Z46" s="1409"/>
      <c r="AA46" s="1108" t="s">
        <v>3452</v>
      </c>
      <c r="AB46" s="1375">
        <f t="shared" si="1"/>
        <v>45966</v>
      </c>
    </row>
    <row r="47">
      <c r="I47" s="1409"/>
      <c r="J47" s="1411"/>
      <c r="K47" s="1409"/>
      <c r="L47" s="1409"/>
      <c r="M47" s="1409"/>
      <c r="N47" s="1409"/>
      <c r="O47" s="1409"/>
      <c r="P47" s="1409"/>
      <c r="Q47" s="1409"/>
      <c r="R47" s="1409"/>
      <c r="S47" s="1409"/>
      <c r="T47" s="1411"/>
      <c r="U47" s="1411"/>
      <c r="V47" s="1409"/>
      <c r="W47" s="1409"/>
      <c r="X47" s="1409"/>
      <c r="Y47" s="1409"/>
      <c r="Z47" s="1409"/>
      <c r="AA47" s="1108" t="s">
        <v>3452</v>
      </c>
      <c r="AB47" s="1375">
        <f t="shared" si="1"/>
        <v>45966</v>
      </c>
    </row>
    <row r="48">
      <c r="I48" s="1409"/>
      <c r="J48" s="1411"/>
      <c r="K48" s="1409"/>
      <c r="L48" s="1409"/>
      <c r="M48" s="1409"/>
      <c r="N48" s="1409"/>
      <c r="O48" s="1409"/>
      <c r="P48" s="1409"/>
      <c r="Q48" s="1409"/>
      <c r="R48" s="1409"/>
      <c r="S48" s="1409"/>
      <c r="T48" s="1411"/>
      <c r="U48" s="1411"/>
      <c r="V48" s="1409"/>
      <c r="W48" s="1409"/>
      <c r="X48" s="1409"/>
      <c r="Y48" s="1409"/>
      <c r="Z48" s="1409"/>
      <c r="AA48" s="1108" t="s">
        <v>3452</v>
      </c>
      <c r="AB48" s="1375">
        <f t="shared" si="1"/>
        <v>45966</v>
      </c>
    </row>
    <row r="49">
      <c r="I49" s="1409"/>
      <c r="J49" s="1411"/>
      <c r="K49" s="1409"/>
      <c r="L49" s="1409"/>
      <c r="M49" s="1409"/>
      <c r="N49" s="1409"/>
      <c r="O49" s="1409"/>
      <c r="P49" s="1409"/>
      <c r="Q49" s="1409"/>
      <c r="R49" s="1409"/>
      <c r="S49" s="1409"/>
      <c r="T49" s="1411"/>
      <c r="U49" s="1411"/>
      <c r="V49" s="1409"/>
      <c r="W49" s="1409"/>
      <c r="X49" s="1409"/>
      <c r="Y49" s="1409"/>
      <c r="Z49" s="1409"/>
      <c r="AA49" s="1108" t="s">
        <v>3452</v>
      </c>
      <c r="AB49" s="1375">
        <f t="shared" si="1"/>
        <v>45966</v>
      </c>
    </row>
    <row r="50">
      <c r="I50" s="1409"/>
      <c r="J50" s="1411"/>
      <c r="K50" s="1409"/>
      <c r="L50" s="1409"/>
      <c r="M50" s="1409"/>
      <c r="N50" s="1409"/>
      <c r="O50" s="1409"/>
      <c r="P50" s="1409"/>
      <c r="Q50" s="1409"/>
      <c r="R50" s="1409"/>
      <c r="S50" s="1409"/>
      <c r="T50" s="1411"/>
      <c r="U50" s="1411"/>
      <c r="V50" s="1409"/>
      <c r="W50" s="1409"/>
      <c r="X50" s="1409"/>
      <c r="Y50" s="1409"/>
      <c r="Z50" s="1409"/>
      <c r="AA50" s="1108" t="s">
        <v>3452</v>
      </c>
      <c r="AB50" s="1375">
        <f t="shared" si="1"/>
        <v>45966</v>
      </c>
    </row>
    <row r="51">
      <c r="I51" s="1409"/>
      <c r="J51" s="1411"/>
      <c r="K51" s="1409"/>
      <c r="L51" s="1409"/>
      <c r="M51" s="1409"/>
      <c r="N51" s="1409"/>
      <c r="O51" s="1409"/>
      <c r="P51" s="1409"/>
      <c r="Q51" s="1409"/>
      <c r="R51" s="1409"/>
      <c r="S51" s="1409"/>
      <c r="T51" s="1411"/>
      <c r="U51" s="1411"/>
      <c r="V51" s="1409"/>
      <c r="W51" s="1409"/>
      <c r="X51" s="1409"/>
      <c r="Y51" s="1409"/>
      <c r="Z51" s="1409"/>
      <c r="AA51" s="1108" t="s">
        <v>3452</v>
      </c>
      <c r="AB51" s="1375">
        <f t="shared" si="1"/>
        <v>45966</v>
      </c>
    </row>
    <row r="52">
      <c r="I52" s="1409"/>
      <c r="J52" s="1411"/>
      <c r="K52" s="1409"/>
      <c r="L52" s="1409"/>
      <c r="M52" s="1409"/>
      <c r="N52" s="1409"/>
      <c r="O52" s="1409"/>
      <c r="P52" s="1409"/>
      <c r="Q52" s="1409"/>
      <c r="R52" s="1409"/>
      <c r="S52" s="1409"/>
      <c r="T52" s="1410"/>
      <c r="U52" s="1410"/>
      <c r="AA52" s="1108" t="s">
        <v>3452</v>
      </c>
      <c r="AB52" s="1375">
        <f t="shared" si="1"/>
        <v>45966</v>
      </c>
    </row>
    <row r="53">
      <c r="I53" s="1409"/>
      <c r="J53" s="1411"/>
      <c r="K53" s="1409"/>
      <c r="L53" s="1409"/>
      <c r="M53" s="1409"/>
      <c r="N53" s="1409"/>
      <c r="O53" s="1409"/>
      <c r="P53" s="1409"/>
      <c r="Q53" s="1409"/>
      <c r="R53" s="1409"/>
      <c r="S53" s="1410"/>
      <c r="T53" s="1410"/>
      <c r="U53" s="1410"/>
      <c r="AA53" s="1108" t="s">
        <v>3452</v>
      </c>
      <c r="AB53" s="1375">
        <f t="shared" si="1"/>
        <v>45966</v>
      </c>
    </row>
    <row r="54">
      <c r="I54" s="1409"/>
      <c r="J54" s="1411"/>
      <c r="K54" s="1409"/>
      <c r="L54" s="1409"/>
      <c r="M54" s="1409"/>
      <c r="N54" s="1409"/>
      <c r="O54" s="1409"/>
      <c r="P54" s="1409"/>
      <c r="Q54" s="1409"/>
      <c r="R54" s="1409"/>
      <c r="S54" s="1410"/>
      <c r="T54" s="1410"/>
      <c r="U54" s="1410"/>
      <c r="AA54" s="1108" t="s">
        <v>3452</v>
      </c>
      <c r="AB54" s="1375">
        <f t="shared" si="1"/>
        <v>45966</v>
      </c>
    </row>
    <row r="55">
      <c r="I55" s="1409"/>
      <c r="J55" s="1411"/>
      <c r="K55" s="1409"/>
      <c r="L55" s="1409"/>
      <c r="M55" s="1409"/>
      <c r="N55" s="1409"/>
      <c r="O55" s="1409"/>
      <c r="P55" s="1409"/>
      <c r="Q55" s="1409"/>
      <c r="R55" s="1409"/>
      <c r="S55" s="1410"/>
      <c r="T55" s="1410"/>
      <c r="U55" s="1410"/>
      <c r="AA55" s="1108" t="s">
        <v>3452</v>
      </c>
      <c r="AB55" s="1375">
        <f t="shared" si="1"/>
        <v>45966</v>
      </c>
    </row>
    <row r="56">
      <c r="I56" s="1409"/>
      <c r="J56" s="1411"/>
      <c r="K56" s="1409"/>
      <c r="L56" s="1409"/>
      <c r="M56" s="1409"/>
      <c r="N56" s="1409"/>
      <c r="O56" s="1409"/>
      <c r="P56" s="1409"/>
      <c r="Q56" s="1409"/>
      <c r="R56" s="1409"/>
      <c r="S56" s="1410"/>
      <c r="T56" s="1410"/>
      <c r="U56" s="1410"/>
      <c r="AA56" s="1108" t="s">
        <v>3452</v>
      </c>
      <c r="AB56" s="1375">
        <f t="shared" si="1"/>
        <v>45966</v>
      </c>
    </row>
    <row r="57">
      <c r="I57" s="1409"/>
      <c r="J57" s="1411"/>
      <c r="K57" s="1409"/>
      <c r="L57" s="1409"/>
      <c r="M57" s="1409"/>
      <c r="N57" s="1409"/>
      <c r="O57" s="1409"/>
      <c r="P57" s="1409"/>
      <c r="Q57" s="1409"/>
      <c r="R57" s="1409"/>
      <c r="S57" s="1410"/>
      <c r="T57" s="1410"/>
      <c r="U57" s="1410"/>
      <c r="AA57" s="1108" t="s">
        <v>3452</v>
      </c>
      <c r="AB57" s="1375">
        <f t="shared" si="1"/>
        <v>45966</v>
      </c>
    </row>
    <row r="58">
      <c r="I58" s="1409"/>
      <c r="J58" s="1411"/>
      <c r="K58" s="1409"/>
      <c r="L58" s="1409"/>
      <c r="M58" s="1409"/>
      <c r="N58" s="1409"/>
      <c r="O58" s="1409"/>
      <c r="P58" s="1409"/>
      <c r="Q58" s="1409"/>
      <c r="R58" s="1409"/>
      <c r="S58" s="1410"/>
      <c r="T58" s="1410"/>
      <c r="U58" s="1410"/>
      <c r="AA58" s="1108" t="s">
        <v>3452</v>
      </c>
      <c r="AB58" s="1375">
        <f t="shared" si="1"/>
        <v>45966</v>
      </c>
    </row>
    <row r="59">
      <c r="I59" s="1409"/>
      <c r="J59" s="1411"/>
      <c r="K59" s="1409"/>
      <c r="L59" s="1409"/>
      <c r="M59" s="1409"/>
      <c r="N59" s="1409"/>
      <c r="O59" s="1409"/>
      <c r="P59" s="1409"/>
      <c r="Q59" s="1409"/>
      <c r="R59" s="1409"/>
      <c r="S59" s="1410"/>
      <c r="T59" s="1410"/>
      <c r="U59" s="1410"/>
      <c r="AA59" s="1108" t="s">
        <v>3452</v>
      </c>
      <c r="AB59" s="1375">
        <f t="shared" si="1"/>
        <v>45966</v>
      </c>
    </row>
    <row r="60">
      <c r="I60" s="1409"/>
      <c r="J60" s="1411"/>
      <c r="K60" s="1409"/>
      <c r="L60" s="1409"/>
      <c r="M60" s="1409"/>
      <c r="N60" s="1409"/>
      <c r="O60" s="1409"/>
      <c r="P60" s="1409"/>
      <c r="Q60" s="1409"/>
      <c r="R60" s="1409"/>
      <c r="S60" s="1410"/>
      <c r="T60" s="1410"/>
      <c r="U60" s="1410"/>
      <c r="AA60" s="1108" t="s">
        <v>3452</v>
      </c>
      <c r="AB60" s="1375">
        <f t="shared" si="1"/>
        <v>45966</v>
      </c>
    </row>
    <row r="61">
      <c r="I61" s="1409"/>
      <c r="J61" s="1411"/>
      <c r="K61" s="1409"/>
      <c r="L61" s="1409"/>
      <c r="M61" s="1409"/>
      <c r="N61" s="1409"/>
      <c r="O61" s="1409"/>
      <c r="P61" s="1409"/>
      <c r="Q61" s="1409"/>
      <c r="R61" s="1409"/>
      <c r="S61" s="1410"/>
      <c r="T61" s="1410"/>
      <c r="U61" s="1410"/>
      <c r="AA61" s="1124" t="s">
        <v>3452</v>
      </c>
      <c r="AB61" s="1375">
        <f t="shared" si="1"/>
        <v>45966</v>
      </c>
    </row>
    <row r="62">
      <c r="I62" s="1409"/>
      <c r="J62" s="1411"/>
      <c r="K62" s="1409"/>
      <c r="L62" s="1409"/>
      <c r="M62" s="1409"/>
      <c r="N62" s="1409"/>
      <c r="O62" s="1409"/>
      <c r="P62" s="1409"/>
      <c r="Q62" s="1409"/>
      <c r="R62" s="1409"/>
      <c r="S62" s="1409"/>
      <c r="T62" s="1410"/>
      <c r="U62" s="1410"/>
      <c r="AA62" s="1108" t="s">
        <v>3453</v>
      </c>
      <c r="AB62" s="1375">
        <f t="shared" si="1"/>
        <v>45967</v>
      </c>
    </row>
    <row r="63">
      <c r="I63" s="1409"/>
      <c r="J63" s="1411"/>
      <c r="K63" s="1409"/>
      <c r="L63" s="1409"/>
      <c r="M63" s="1409"/>
      <c r="N63" s="1409"/>
      <c r="O63" s="1409"/>
      <c r="P63" s="1409"/>
      <c r="Q63" s="1409"/>
      <c r="R63" s="1409"/>
      <c r="S63" s="1410"/>
      <c r="T63" s="1410"/>
      <c r="U63" s="1410"/>
      <c r="AA63" s="1108" t="s">
        <v>3453</v>
      </c>
      <c r="AB63" s="1375">
        <f t="shared" si="1"/>
        <v>45967</v>
      </c>
    </row>
    <row r="64">
      <c r="I64" s="1409"/>
      <c r="J64" s="1411"/>
      <c r="K64" s="1409"/>
      <c r="L64" s="1409"/>
      <c r="M64" s="1409"/>
      <c r="N64" s="1409"/>
      <c r="O64" s="1409"/>
      <c r="P64" s="1409"/>
      <c r="Q64" s="1409"/>
      <c r="R64" s="1409"/>
      <c r="S64" s="1410"/>
      <c r="T64" s="1410"/>
      <c r="U64" s="1410"/>
      <c r="AA64" s="1108" t="s">
        <v>3453</v>
      </c>
      <c r="AB64" s="1375">
        <f t="shared" si="1"/>
        <v>45967</v>
      </c>
    </row>
    <row r="65">
      <c r="I65" s="1409"/>
      <c r="J65" s="1411"/>
      <c r="K65" s="1409"/>
      <c r="L65" s="1409"/>
      <c r="M65" s="1409"/>
      <c r="N65" s="1409"/>
      <c r="O65" s="1409"/>
      <c r="P65" s="1409"/>
      <c r="Q65" s="1409"/>
      <c r="R65" s="1409"/>
      <c r="S65" s="1410"/>
      <c r="T65" s="1410"/>
      <c r="U65" s="1410"/>
      <c r="AA65" s="1108" t="s">
        <v>3453</v>
      </c>
      <c r="AB65" s="1375">
        <f t="shared" si="1"/>
        <v>45967</v>
      </c>
    </row>
    <row r="66">
      <c r="I66" s="1409"/>
      <c r="J66" s="1411"/>
      <c r="K66" s="1409"/>
      <c r="L66" s="1409"/>
      <c r="M66" s="1409"/>
      <c r="N66" s="1409"/>
      <c r="O66" s="1409"/>
      <c r="P66" s="1409"/>
      <c r="Q66" s="1409"/>
      <c r="R66" s="1409"/>
      <c r="S66" s="1410"/>
      <c r="T66" s="1410"/>
      <c r="U66" s="1410"/>
      <c r="AA66" s="1108" t="s">
        <v>3453</v>
      </c>
      <c r="AB66" s="1375">
        <f t="shared" si="1"/>
        <v>45967</v>
      </c>
    </row>
    <row r="67">
      <c r="I67" s="1409"/>
      <c r="J67" s="1411"/>
      <c r="K67" s="1409"/>
      <c r="L67" s="1409"/>
      <c r="M67" s="1409"/>
      <c r="N67" s="1409"/>
      <c r="O67" s="1409"/>
      <c r="P67" s="1409"/>
      <c r="Q67" s="1409"/>
      <c r="R67" s="1409"/>
      <c r="S67" s="1410"/>
      <c r="T67" s="1410"/>
      <c r="U67" s="1410"/>
      <c r="AA67" s="1108" t="s">
        <v>3453</v>
      </c>
      <c r="AB67" s="1375">
        <f t="shared" si="1"/>
        <v>45967</v>
      </c>
    </row>
    <row r="68">
      <c r="I68" s="1409"/>
      <c r="J68" s="1411"/>
      <c r="K68" s="1409"/>
      <c r="L68" s="1409"/>
      <c r="M68" s="1409"/>
      <c r="N68" s="1409"/>
      <c r="O68" s="1409"/>
      <c r="P68" s="1409"/>
      <c r="Q68" s="1409"/>
      <c r="R68" s="1409"/>
      <c r="S68" s="1410"/>
      <c r="T68" s="1410"/>
      <c r="U68" s="1410"/>
      <c r="AA68" s="1108" t="s">
        <v>3453</v>
      </c>
      <c r="AB68" s="1375">
        <f t="shared" si="1"/>
        <v>45967</v>
      </c>
    </row>
    <row r="69">
      <c r="I69" s="1409"/>
      <c r="J69" s="1411"/>
      <c r="K69" s="1409"/>
      <c r="L69" s="1409"/>
      <c r="M69" s="1409"/>
      <c r="N69" s="1409"/>
      <c r="O69" s="1409"/>
      <c r="P69" s="1409"/>
      <c r="Q69" s="1409"/>
      <c r="R69" s="1409"/>
      <c r="S69" s="1410"/>
      <c r="T69" s="1410"/>
      <c r="U69" s="1410"/>
      <c r="AA69" s="1108" t="s">
        <v>3453</v>
      </c>
      <c r="AB69" s="1375">
        <f t="shared" si="1"/>
        <v>45967</v>
      </c>
    </row>
    <row r="70">
      <c r="I70" s="1409"/>
      <c r="J70" s="1411"/>
      <c r="K70" s="1409"/>
      <c r="L70" s="1409"/>
      <c r="M70" s="1409"/>
      <c r="N70" s="1409"/>
      <c r="O70" s="1409"/>
      <c r="P70" s="1409"/>
      <c r="Q70" s="1409"/>
      <c r="R70" s="1409"/>
      <c r="S70" s="1410"/>
      <c r="T70" s="1410"/>
      <c r="U70" s="1410"/>
      <c r="AA70" s="1108" t="s">
        <v>3453</v>
      </c>
      <c r="AB70" s="1375">
        <f t="shared" si="1"/>
        <v>45967</v>
      </c>
    </row>
    <row r="71">
      <c r="I71" s="1409"/>
      <c r="J71" s="1411"/>
      <c r="K71" s="1409"/>
      <c r="L71" s="1409"/>
      <c r="M71" s="1409"/>
      <c r="N71" s="1409"/>
      <c r="O71" s="1409"/>
      <c r="P71" s="1409"/>
      <c r="Q71" s="1409"/>
      <c r="R71" s="1409"/>
      <c r="S71" s="1410"/>
      <c r="T71" s="1410"/>
      <c r="U71" s="1410"/>
      <c r="AA71" s="1108" t="s">
        <v>3453</v>
      </c>
      <c r="AB71" s="1375">
        <f t="shared" si="1"/>
        <v>45967</v>
      </c>
    </row>
    <row r="72">
      <c r="I72" s="1409"/>
      <c r="J72" s="1411"/>
      <c r="K72" s="1409"/>
      <c r="L72" s="1409"/>
      <c r="M72" s="1409"/>
      <c r="N72" s="1409"/>
      <c r="O72" s="1409"/>
      <c r="P72" s="1409"/>
      <c r="Q72" s="1409"/>
      <c r="R72" s="1409"/>
      <c r="S72" s="1410"/>
      <c r="T72" s="1410"/>
      <c r="U72" s="1410"/>
      <c r="AA72" s="1108" t="s">
        <v>3453</v>
      </c>
      <c r="AB72" s="1375">
        <f t="shared" si="1"/>
        <v>45967</v>
      </c>
    </row>
    <row r="73">
      <c r="I73" s="1409"/>
      <c r="J73" s="1409"/>
      <c r="K73" s="1409"/>
      <c r="L73" s="1409"/>
      <c r="M73" s="1409"/>
      <c r="N73" s="1409"/>
      <c r="O73" s="1409"/>
      <c r="P73" s="1409"/>
      <c r="Q73" s="1409"/>
      <c r="R73" s="1409"/>
      <c r="S73" s="1410"/>
      <c r="T73" s="1410"/>
      <c r="U73" s="1410"/>
      <c r="AA73" s="1108" t="s">
        <v>3453</v>
      </c>
      <c r="AB73" s="1375">
        <f t="shared" si="1"/>
        <v>45967</v>
      </c>
    </row>
    <row r="74">
      <c r="I74" s="1409"/>
      <c r="J74" s="1409"/>
      <c r="K74" s="1409"/>
      <c r="L74" s="1409"/>
      <c r="M74" s="1409"/>
      <c r="N74" s="1409"/>
      <c r="O74" s="1409"/>
      <c r="P74" s="1409"/>
      <c r="Q74" s="1409"/>
      <c r="R74" s="1409"/>
      <c r="S74" s="1410"/>
      <c r="T74" s="1410"/>
      <c r="U74" s="1410"/>
      <c r="AA74" s="1108" t="s">
        <v>3453</v>
      </c>
      <c r="AB74" s="1375">
        <f t="shared" si="1"/>
        <v>45967</v>
      </c>
    </row>
    <row r="75">
      <c r="I75" s="1409"/>
      <c r="J75" s="1411"/>
      <c r="K75" s="1409"/>
      <c r="L75" s="1409"/>
      <c r="M75" s="1409"/>
      <c r="N75" s="1409"/>
      <c r="O75" s="1409"/>
      <c r="P75" s="1409"/>
      <c r="Q75" s="1409"/>
      <c r="R75" s="1409"/>
      <c r="S75" s="1410"/>
      <c r="T75" s="1410"/>
      <c r="U75" s="1410"/>
      <c r="AA75" s="1108" t="s">
        <v>3453</v>
      </c>
      <c r="AB75" s="1375">
        <f t="shared" si="1"/>
        <v>45967</v>
      </c>
    </row>
    <row r="76">
      <c r="I76" s="1409"/>
      <c r="J76" s="1411"/>
      <c r="K76" s="1409"/>
      <c r="L76" s="1409"/>
      <c r="M76" s="1409"/>
      <c r="N76" s="1409"/>
      <c r="O76" s="1409"/>
      <c r="P76" s="1409"/>
      <c r="Q76" s="1409"/>
      <c r="R76" s="1409"/>
      <c r="S76" s="1410"/>
      <c r="T76" s="1410"/>
      <c r="U76" s="1410"/>
      <c r="AA76" s="1124" t="s">
        <v>3453</v>
      </c>
      <c r="AB76" s="1375">
        <f t="shared" si="1"/>
        <v>45967</v>
      </c>
    </row>
    <row r="77">
      <c r="I77" s="1409"/>
      <c r="J77" s="1411"/>
      <c r="K77" s="1409"/>
      <c r="L77" s="1409"/>
      <c r="M77" s="1409"/>
      <c r="N77" s="1409"/>
      <c r="O77" s="1409"/>
      <c r="P77" s="1409"/>
      <c r="Q77" s="1409"/>
      <c r="R77" s="1409"/>
      <c r="S77" s="1410"/>
      <c r="T77" s="1410"/>
      <c r="U77" s="1410"/>
      <c r="AB77" s="1375">
        <f t="shared" si="1"/>
        <v>36494</v>
      </c>
    </row>
    <row r="78">
      <c r="I78" s="1409"/>
      <c r="J78" s="1411"/>
      <c r="K78" s="1409"/>
      <c r="L78" s="1409"/>
      <c r="M78" s="1409"/>
      <c r="N78" s="1409"/>
      <c r="O78" s="1409"/>
      <c r="P78" s="1409"/>
      <c r="Q78" s="1409"/>
      <c r="R78" s="1409"/>
      <c r="S78" s="1410"/>
      <c r="T78" s="1410"/>
      <c r="U78" s="1410"/>
      <c r="AA78" s="319"/>
      <c r="AB78" s="1375">
        <f t="shared" si="1"/>
        <v>36494</v>
      </c>
    </row>
    <row r="79">
      <c r="I79" s="1409"/>
      <c r="J79" s="1411"/>
      <c r="K79" s="1409"/>
      <c r="L79" s="1409"/>
      <c r="M79" s="1409"/>
      <c r="N79" s="1409"/>
      <c r="O79" s="1409"/>
      <c r="P79" s="1409"/>
      <c r="Q79" s="1409"/>
      <c r="R79" s="1409"/>
      <c r="S79" s="1410"/>
      <c r="T79" s="1410"/>
      <c r="U79" s="1410"/>
      <c r="AA79" s="319"/>
      <c r="AB79" s="1375">
        <f t="shared" si="1"/>
        <v>36494</v>
      </c>
    </row>
    <row r="80">
      <c r="I80" s="1409"/>
      <c r="J80" s="1411"/>
      <c r="K80" s="1409"/>
      <c r="L80" s="1409"/>
      <c r="M80" s="1409"/>
      <c r="N80" s="1409"/>
      <c r="O80" s="1409"/>
      <c r="P80" s="1409"/>
      <c r="Q80" s="1409"/>
      <c r="R80" s="1409"/>
      <c r="S80" s="1410"/>
      <c r="T80" s="1410"/>
      <c r="U80" s="1410"/>
      <c r="AA80" s="319"/>
      <c r="AB80" s="1375">
        <f t="shared" si="1"/>
        <v>36494</v>
      </c>
    </row>
    <row r="81">
      <c r="I81" s="1409"/>
      <c r="J81" s="1411"/>
      <c r="K81" s="1409"/>
      <c r="L81" s="1409"/>
      <c r="M81" s="1409"/>
      <c r="N81" s="1409"/>
      <c r="O81" s="1409"/>
      <c r="P81" s="1409"/>
      <c r="Q81" s="1409"/>
      <c r="R81" s="1409"/>
      <c r="S81" s="1410"/>
      <c r="T81" s="1410"/>
      <c r="U81" s="1410"/>
      <c r="AA81" s="319"/>
      <c r="AB81" s="1375">
        <f t="shared" si="1"/>
        <v>36494</v>
      </c>
    </row>
    <row r="82">
      <c r="I82" s="1409"/>
      <c r="J82" s="1411"/>
      <c r="K82" s="1409"/>
      <c r="L82" s="1409"/>
      <c r="M82" s="1409"/>
      <c r="N82" s="1409"/>
      <c r="O82" s="1409"/>
      <c r="P82" s="1409"/>
      <c r="Q82" s="1409"/>
      <c r="R82" s="1409"/>
      <c r="S82" s="1410"/>
      <c r="T82" s="1410"/>
      <c r="U82" s="1410"/>
      <c r="AA82" s="319"/>
      <c r="AB82" s="1375">
        <f t="shared" si="1"/>
        <v>36494</v>
      </c>
    </row>
    <row r="83">
      <c r="I83" s="1409"/>
      <c r="J83" s="1411"/>
      <c r="K83" s="1409"/>
      <c r="L83" s="1409"/>
      <c r="M83" s="1409"/>
      <c r="N83" s="1409"/>
      <c r="O83" s="1409"/>
      <c r="P83" s="1409"/>
      <c r="Q83" s="1409"/>
      <c r="R83" s="1409"/>
      <c r="S83" s="1410"/>
      <c r="T83" s="1410"/>
      <c r="U83" s="1410"/>
      <c r="AA83" s="319"/>
      <c r="AB83" s="1375">
        <f t="shared" si="1"/>
        <v>36494</v>
      </c>
    </row>
    <row r="84">
      <c r="I84" s="1409"/>
      <c r="J84" s="1411"/>
      <c r="K84" s="1409"/>
      <c r="L84" s="1409"/>
      <c r="M84" s="1409"/>
      <c r="N84" s="1409"/>
      <c r="O84" s="1409"/>
      <c r="P84" s="1409"/>
      <c r="Q84" s="1409"/>
      <c r="R84" s="1409"/>
      <c r="S84" s="1411"/>
      <c r="T84" s="1409"/>
      <c r="U84" s="1409"/>
      <c r="AA84" s="319"/>
      <c r="AB84" s="1375">
        <f t="shared" si="1"/>
        <v>36494</v>
      </c>
    </row>
    <row r="85">
      <c r="I85" s="1409"/>
      <c r="J85" s="1411"/>
      <c r="K85" s="1409"/>
      <c r="L85" s="1409"/>
      <c r="M85" s="1409"/>
      <c r="N85" s="1409"/>
      <c r="O85" s="1409"/>
      <c r="P85" s="1409"/>
      <c r="Q85" s="1409"/>
      <c r="R85" s="1409"/>
      <c r="S85" s="1411"/>
      <c r="T85" s="1409"/>
      <c r="U85" s="1409"/>
      <c r="AA85" s="319"/>
      <c r="AB85" s="1375">
        <f t="shared" si="1"/>
        <v>36494</v>
      </c>
    </row>
    <row r="86">
      <c r="I86" s="1409"/>
      <c r="J86" s="1411"/>
      <c r="K86" s="1409"/>
      <c r="L86" s="1409"/>
      <c r="M86" s="1409"/>
      <c r="N86" s="1409"/>
      <c r="O86" s="1409"/>
      <c r="P86" s="1409"/>
      <c r="Q86" s="1409"/>
      <c r="R86" s="1409"/>
      <c r="S86" s="1411"/>
      <c r="T86" s="1409"/>
      <c r="U86" s="1410"/>
      <c r="AA86" s="319"/>
      <c r="AB86" s="1375">
        <f t="shared" si="1"/>
        <v>36494</v>
      </c>
    </row>
    <row r="87">
      <c r="I87" s="1409"/>
      <c r="J87" s="1411"/>
      <c r="K87" s="1409"/>
      <c r="L87" s="1409"/>
      <c r="M87" s="1409"/>
      <c r="N87" s="1409"/>
      <c r="O87" s="1409"/>
      <c r="P87" s="1409"/>
      <c r="Q87" s="1409"/>
      <c r="R87" s="1409"/>
      <c r="S87" s="1411"/>
      <c r="T87" s="1409"/>
      <c r="U87" s="1410"/>
      <c r="AA87" s="319"/>
      <c r="AB87" s="1375">
        <f t="shared" si="1"/>
        <v>36494</v>
      </c>
    </row>
    <row r="88">
      <c r="I88" s="1409"/>
      <c r="J88" s="1411"/>
      <c r="K88" s="1409"/>
      <c r="L88" s="1409"/>
      <c r="M88" s="1409"/>
      <c r="N88" s="1409"/>
      <c r="O88" s="1409"/>
      <c r="P88" s="1409"/>
      <c r="Q88" s="1409"/>
      <c r="R88" s="1409"/>
      <c r="S88" s="1411"/>
      <c r="T88" s="1409"/>
      <c r="U88" s="1410"/>
      <c r="AA88" s="319"/>
      <c r="AB88" s="1375">
        <f t="shared" si="1"/>
        <v>36494</v>
      </c>
    </row>
    <row r="89">
      <c r="I89" s="1409"/>
      <c r="J89" s="1411"/>
      <c r="K89" s="1409"/>
      <c r="L89" s="1409"/>
      <c r="M89" s="1409"/>
      <c r="N89" s="1409"/>
      <c r="O89" s="1409"/>
      <c r="P89" s="1409"/>
      <c r="Q89" s="1409"/>
      <c r="R89" s="1409"/>
      <c r="S89" s="1411"/>
      <c r="T89" s="1409"/>
      <c r="U89" s="1410"/>
      <c r="AA89" s="319"/>
      <c r="AB89" s="1375">
        <f t="shared" si="1"/>
        <v>36494</v>
      </c>
    </row>
    <row r="90">
      <c r="I90" s="1409"/>
      <c r="J90" s="1411"/>
      <c r="K90" s="1409"/>
      <c r="L90" s="1409"/>
      <c r="M90" s="1409"/>
      <c r="N90" s="1409"/>
      <c r="O90" s="1409"/>
      <c r="P90" s="1409"/>
      <c r="Q90" s="1409"/>
      <c r="R90" s="1409"/>
      <c r="S90" s="1411"/>
      <c r="T90" s="1409"/>
      <c r="U90" s="1410"/>
      <c r="AA90" s="319"/>
      <c r="AB90" s="1375">
        <f t="shared" si="1"/>
        <v>36494</v>
      </c>
    </row>
    <row r="91">
      <c r="I91" s="1409"/>
      <c r="J91" s="1411"/>
      <c r="K91" s="1409"/>
      <c r="L91" s="1409"/>
      <c r="M91" s="1409"/>
      <c r="N91" s="1409"/>
      <c r="O91" s="1409"/>
      <c r="P91" s="1409"/>
      <c r="Q91" s="1409"/>
      <c r="R91" s="1409"/>
      <c r="S91" s="1411"/>
      <c r="T91" s="1409"/>
      <c r="U91" s="1410"/>
      <c r="AA91" s="319"/>
      <c r="AB91" s="1375">
        <f t="shared" si="1"/>
        <v>36494</v>
      </c>
    </row>
    <row r="92">
      <c r="I92" s="1409"/>
      <c r="J92" s="1411"/>
      <c r="K92" s="1409"/>
      <c r="L92" s="1409"/>
      <c r="M92" s="1409"/>
      <c r="N92" s="1409"/>
      <c r="O92" s="1409"/>
      <c r="P92" s="1409"/>
      <c r="Q92" s="1409"/>
      <c r="R92" s="1409"/>
      <c r="S92" s="1411"/>
      <c r="T92" s="1409"/>
      <c r="U92" s="1410"/>
      <c r="AA92" s="319"/>
      <c r="AB92" s="1375">
        <f t="shared" si="1"/>
        <v>36494</v>
      </c>
    </row>
    <row r="93">
      <c r="I93" s="1409"/>
      <c r="J93" s="1411"/>
      <c r="K93" s="1409"/>
      <c r="L93" s="1409"/>
      <c r="M93" s="1409"/>
      <c r="N93" s="1409"/>
      <c r="O93" s="1409"/>
      <c r="P93" s="1409"/>
      <c r="Q93" s="1409"/>
      <c r="R93" s="1409"/>
      <c r="S93" s="1411"/>
      <c r="T93" s="1409"/>
      <c r="U93" s="1410"/>
      <c r="AA93" s="319"/>
      <c r="AB93" s="1375">
        <f t="shared" si="1"/>
        <v>36494</v>
      </c>
    </row>
    <row r="94">
      <c r="I94" s="1409"/>
      <c r="J94" s="1411"/>
      <c r="K94" s="1409"/>
      <c r="L94" s="1409"/>
      <c r="M94" s="1409"/>
      <c r="N94" s="1409"/>
      <c r="O94" s="1409"/>
      <c r="P94" s="1409"/>
      <c r="Q94" s="1409"/>
      <c r="R94" s="1409"/>
      <c r="S94" s="1411"/>
      <c r="T94" s="1409"/>
      <c r="U94" s="1410"/>
      <c r="AA94" s="319"/>
      <c r="AB94" s="1375">
        <f t="shared" si="1"/>
        <v>36494</v>
      </c>
    </row>
    <row r="95">
      <c r="I95" s="1409"/>
      <c r="J95" s="1411"/>
      <c r="K95" s="1409"/>
      <c r="L95" s="1409"/>
      <c r="M95" s="1409"/>
      <c r="N95" s="1409"/>
      <c r="O95" s="1409"/>
      <c r="P95" s="1409"/>
      <c r="Q95" s="1409"/>
      <c r="R95" s="1409"/>
      <c r="S95" s="1411"/>
      <c r="T95" s="1409"/>
      <c r="U95" s="1410"/>
      <c r="AA95" s="319"/>
      <c r="AB95" s="1375">
        <f t="shared" si="1"/>
        <v>36494</v>
      </c>
    </row>
    <row r="96">
      <c r="I96" s="1409"/>
      <c r="J96" s="1411"/>
      <c r="K96" s="1409"/>
      <c r="L96" s="1409"/>
      <c r="M96" s="1409"/>
      <c r="N96" s="1409"/>
      <c r="O96" s="1409"/>
      <c r="P96" s="1409"/>
      <c r="Q96" s="1409"/>
      <c r="R96" s="1409"/>
      <c r="S96" s="1411"/>
      <c r="T96" s="1409"/>
      <c r="U96" s="1410"/>
      <c r="AA96" s="319"/>
      <c r="AB96" s="1375">
        <f t="shared" si="1"/>
        <v>36494</v>
      </c>
    </row>
    <row r="97">
      <c r="I97" s="1409"/>
      <c r="J97" s="1409"/>
      <c r="K97" s="1409"/>
      <c r="L97" s="1410"/>
      <c r="M97" s="1409"/>
      <c r="N97" s="1409"/>
      <c r="O97" s="1409"/>
      <c r="P97" s="1409"/>
      <c r="Q97" s="1409"/>
      <c r="R97" s="1409"/>
      <c r="S97" s="1409"/>
      <c r="T97" s="1409"/>
      <c r="U97" s="1410"/>
      <c r="AA97" s="319"/>
      <c r="AB97" s="1375">
        <f t="shared" si="1"/>
        <v>36494</v>
      </c>
    </row>
    <row r="98">
      <c r="I98" s="1409"/>
      <c r="J98" s="1409"/>
      <c r="K98" s="1409"/>
      <c r="L98" s="1410"/>
      <c r="M98" s="1409"/>
      <c r="N98" s="1409"/>
      <c r="O98" s="1409"/>
      <c r="P98" s="1409"/>
      <c r="Q98" s="1409"/>
      <c r="R98" s="1409"/>
      <c r="S98" s="1409"/>
      <c r="T98" s="1409"/>
      <c r="U98" s="1410"/>
      <c r="AA98" s="319"/>
      <c r="AB98" s="1375">
        <f t="shared" si="1"/>
        <v>36494</v>
      </c>
    </row>
    <row r="99">
      <c r="I99" s="1409"/>
      <c r="J99" s="1409"/>
      <c r="K99" s="1409"/>
      <c r="L99" s="1410"/>
      <c r="M99" s="1409"/>
      <c r="N99" s="1409"/>
      <c r="O99" s="1409"/>
      <c r="P99" s="1409"/>
      <c r="Q99" s="1409"/>
      <c r="R99" s="1409"/>
      <c r="S99" s="1409"/>
      <c r="T99" s="1409"/>
      <c r="U99" s="1410"/>
      <c r="AA99" s="319"/>
      <c r="AB99" s="1375">
        <f t="shared" si="1"/>
        <v>36494</v>
      </c>
    </row>
    <row r="100">
      <c r="I100" s="1409"/>
      <c r="J100" s="1409"/>
      <c r="K100" s="1409"/>
      <c r="L100" s="1410"/>
      <c r="M100" s="1409"/>
      <c r="N100" s="1409"/>
      <c r="O100" s="1409"/>
      <c r="P100" s="1409"/>
      <c r="Q100" s="1409"/>
      <c r="R100" s="1409"/>
      <c r="S100" s="1409"/>
      <c r="T100" s="1409"/>
      <c r="U100" s="1410"/>
      <c r="AA100" s="319"/>
      <c r="AB100" s="1375">
        <f t="shared" si="1"/>
        <v>36494</v>
      </c>
    </row>
    <row r="101">
      <c r="I101" s="1409"/>
      <c r="J101" s="1409"/>
      <c r="K101" s="1409"/>
      <c r="L101" s="1410"/>
      <c r="M101" s="1409"/>
      <c r="N101" s="1409"/>
      <c r="O101" s="1409"/>
      <c r="P101" s="1409"/>
      <c r="Q101" s="1409"/>
      <c r="R101" s="1409"/>
      <c r="S101" s="1409"/>
      <c r="T101" s="1409"/>
      <c r="U101" s="1410"/>
      <c r="AA101" s="319"/>
      <c r="AB101" s="1375">
        <f t="shared" si="1"/>
        <v>36494</v>
      </c>
    </row>
    <row r="102">
      <c r="I102" s="1409"/>
      <c r="J102" s="1409"/>
      <c r="K102" s="1409"/>
      <c r="L102" s="1410"/>
      <c r="M102" s="1409"/>
      <c r="N102" s="1409"/>
      <c r="O102" s="1409"/>
      <c r="P102" s="1409"/>
      <c r="Q102" s="1409"/>
      <c r="R102" s="1409"/>
      <c r="S102" s="1409"/>
      <c r="T102" s="1409"/>
      <c r="U102" s="1410"/>
      <c r="AA102" s="319"/>
      <c r="AB102" s="1375">
        <f t="shared" si="1"/>
        <v>36494</v>
      </c>
    </row>
    <row r="103">
      <c r="I103" s="1409"/>
      <c r="J103" s="1409"/>
      <c r="K103" s="1409"/>
      <c r="L103" s="1410"/>
      <c r="M103" s="1409"/>
      <c r="N103" s="1409"/>
      <c r="O103" s="1409"/>
      <c r="P103" s="1409"/>
      <c r="Q103" s="1409"/>
      <c r="R103" s="1409"/>
      <c r="S103" s="1409"/>
      <c r="T103" s="1409"/>
      <c r="U103" s="1410"/>
      <c r="AA103" s="319"/>
      <c r="AB103" s="1375">
        <f t="shared" si="1"/>
        <v>36494</v>
      </c>
    </row>
    <row r="104">
      <c r="I104" s="1409"/>
      <c r="J104" s="1409"/>
      <c r="K104" s="1409"/>
      <c r="L104" s="1410"/>
      <c r="M104" s="1409"/>
      <c r="N104" s="1409"/>
      <c r="O104" s="1409"/>
      <c r="P104" s="1409"/>
      <c r="Q104" s="1409"/>
      <c r="R104" s="1409"/>
      <c r="S104" s="1409"/>
      <c r="T104" s="1409"/>
      <c r="U104" s="1410"/>
      <c r="AA104" s="319"/>
      <c r="AB104" s="1375">
        <f t="shared" si="1"/>
        <v>36494</v>
      </c>
    </row>
    <row r="105">
      <c r="I105" s="1409"/>
      <c r="J105" s="1409"/>
      <c r="K105" s="1409"/>
      <c r="L105" s="1410"/>
      <c r="M105" s="1409"/>
      <c r="N105" s="1409"/>
      <c r="O105" s="1409"/>
      <c r="P105" s="1409"/>
      <c r="Q105" s="1409"/>
      <c r="R105" s="1409"/>
      <c r="S105" s="1409"/>
      <c r="T105" s="1409"/>
      <c r="U105" s="1410"/>
      <c r="AA105" s="319"/>
      <c r="AB105" s="1375">
        <f t="shared" si="1"/>
        <v>36494</v>
      </c>
    </row>
    <row r="106">
      <c r="I106" s="1409"/>
      <c r="J106" s="1409"/>
      <c r="K106" s="1409"/>
      <c r="L106" s="1410"/>
      <c r="M106" s="1409"/>
      <c r="N106" s="1409"/>
      <c r="O106" s="1409"/>
      <c r="P106" s="1409"/>
      <c r="Q106" s="1409"/>
      <c r="R106" s="1409"/>
      <c r="S106" s="1409"/>
      <c r="T106" s="1409"/>
      <c r="U106" s="1410"/>
      <c r="AA106" s="319"/>
      <c r="AB106" s="1375">
        <f t="shared" si="1"/>
        <v>36494</v>
      </c>
    </row>
    <row r="107">
      <c r="I107" s="1409"/>
      <c r="J107" s="1409"/>
      <c r="K107" s="1409"/>
      <c r="L107" s="1410"/>
      <c r="M107" s="1409"/>
      <c r="N107" s="1409"/>
      <c r="O107" s="1409"/>
      <c r="P107" s="1409"/>
      <c r="Q107" s="1409"/>
      <c r="R107" s="1409"/>
      <c r="S107" s="1409"/>
      <c r="T107" s="1409"/>
      <c r="U107" s="1410"/>
      <c r="AA107" s="319"/>
      <c r="AB107" s="1375">
        <f t="shared" si="1"/>
        <v>36494</v>
      </c>
    </row>
    <row r="108">
      <c r="I108" s="1409"/>
      <c r="J108" s="1409"/>
      <c r="K108" s="1409"/>
      <c r="L108" s="1410"/>
      <c r="M108" s="1409"/>
      <c r="N108" s="1409"/>
      <c r="O108" s="1409"/>
      <c r="P108" s="1409"/>
      <c r="Q108" s="1409"/>
      <c r="R108" s="1409"/>
      <c r="S108" s="1409"/>
      <c r="T108" s="1409"/>
      <c r="U108" s="1410"/>
      <c r="AA108" s="319"/>
      <c r="AB108" s="1375">
        <f t="shared" si="1"/>
        <v>36494</v>
      </c>
    </row>
    <row r="109">
      <c r="I109" s="1409"/>
      <c r="J109" s="1409"/>
      <c r="K109" s="1409"/>
      <c r="L109" s="1410"/>
      <c r="M109" s="1409"/>
      <c r="N109" s="1409"/>
      <c r="O109" s="1409"/>
      <c r="P109" s="1409"/>
      <c r="Q109" s="1409"/>
      <c r="R109" s="1409"/>
      <c r="S109" s="1409"/>
      <c r="T109" s="1409"/>
      <c r="U109" s="1410"/>
      <c r="AA109" s="319"/>
      <c r="AB109" s="1375">
        <f t="shared" si="1"/>
        <v>36494</v>
      </c>
    </row>
    <row r="110">
      <c r="AA110" s="319"/>
      <c r="AB110" s="1375">
        <f t="shared" si="1"/>
        <v>36494</v>
      </c>
    </row>
    <row r="111">
      <c r="AA111" s="319"/>
      <c r="AB111" s="1375">
        <f t="shared" si="1"/>
        <v>36494</v>
      </c>
    </row>
    <row r="112">
      <c r="AA112" s="319"/>
      <c r="AB112" s="1375">
        <f t="shared" si="1"/>
        <v>36494</v>
      </c>
    </row>
    <row r="113">
      <c r="AA113" s="319"/>
      <c r="AB113" s="1375">
        <f t="shared" si="1"/>
        <v>36494</v>
      </c>
    </row>
    <row r="114">
      <c r="AA114" s="319"/>
      <c r="AB114" s="1375">
        <f t="shared" si="1"/>
        <v>36494</v>
      </c>
    </row>
    <row r="115">
      <c r="AA115" s="319"/>
      <c r="AB115" s="1375">
        <f t="shared" si="1"/>
        <v>36494</v>
      </c>
    </row>
    <row r="116">
      <c r="AA116" s="319"/>
      <c r="AB116" s="1375">
        <f t="shared" si="1"/>
        <v>36494</v>
      </c>
    </row>
    <row r="117">
      <c r="AA117" s="319"/>
      <c r="AB117" s="1375">
        <f t="shared" si="1"/>
        <v>36494</v>
      </c>
    </row>
    <row r="118">
      <c r="AA118" s="319"/>
      <c r="AB118" s="1375">
        <f t="shared" si="1"/>
        <v>36494</v>
      </c>
    </row>
    <row r="119">
      <c r="AA119" s="319"/>
      <c r="AB119" s="1375">
        <f t="shared" si="1"/>
        <v>36494</v>
      </c>
    </row>
    <row r="120">
      <c r="AA120" s="319"/>
      <c r="AB120" s="1375">
        <f t="shared" si="1"/>
        <v>36494</v>
      </c>
    </row>
    <row r="121">
      <c r="AA121" s="432"/>
      <c r="AB121" s="1375">
        <f t="shared" si="1"/>
        <v>36494</v>
      </c>
    </row>
    <row r="122">
      <c r="AA122" s="319"/>
      <c r="AB122" s="1375">
        <f t="shared" si="1"/>
        <v>36494</v>
      </c>
    </row>
    <row r="123">
      <c r="AA123" s="319"/>
      <c r="AB123" s="1375">
        <f t="shared" si="1"/>
        <v>36494</v>
      </c>
    </row>
    <row r="124">
      <c r="AA124" s="319"/>
      <c r="AB124" s="1375">
        <f t="shared" si="1"/>
        <v>36494</v>
      </c>
    </row>
    <row r="125">
      <c r="AA125" s="319"/>
      <c r="AB125" s="1375">
        <f t="shared" si="1"/>
        <v>36494</v>
      </c>
    </row>
    <row r="126">
      <c r="AA126" s="319"/>
      <c r="AB126" s="1375">
        <f t="shared" si="1"/>
        <v>36494</v>
      </c>
    </row>
    <row r="127">
      <c r="AA127" s="319"/>
      <c r="AB127" s="1375">
        <f t="shared" si="1"/>
        <v>36494</v>
      </c>
    </row>
    <row r="128">
      <c r="AA128" s="319"/>
      <c r="AB128" s="1375">
        <f t="shared" si="1"/>
        <v>36494</v>
      </c>
    </row>
    <row r="129">
      <c r="AA129" s="319"/>
      <c r="AB129" s="1375">
        <f t="shared" si="1"/>
        <v>36494</v>
      </c>
    </row>
    <row r="130">
      <c r="AA130" s="319"/>
      <c r="AB130" s="1375">
        <f t="shared" si="1"/>
        <v>36494</v>
      </c>
    </row>
    <row r="131">
      <c r="AA131" s="319"/>
      <c r="AB131" s="1375">
        <f t="shared" si="1"/>
        <v>36494</v>
      </c>
    </row>
    <row r="132">
      <c r="AA132" s="319"/>
      <c r="AB132" s="1375">
        <f t="shared" si="1"/>
        <v>36494</v>
      </c>
    </row>
    <row r="133">
      <c r="AA133" s="319"/>
      <c r="AB133" s="1375">
        <f t="shared" si="1"/>
        <v>36494</v>
      </c>
    </row>
    <row r="134">
      <c r="AA134" s="319"/>
      <c r="AB134" s="1375">
        <f t="shared" si="1"/>
        <v>36494</v>
      </c>
    </row>
    <row r="135">
      <c r="AA135" s="319"/>
      <c r="AB135" s="1412"/>
    </row>
    <row r="136">
      <c r="AA136" s="319"/>
      <c r="AB136" s="1412"/>
    </row>
    <row r="137">
      <c r="AA137" s="319"/>
      <c r="AB137" s="1412"/>
    </row>
    <row r="138">
      <c r="AA138" s="319"/>
      <c r="AB138" s="1412"/>
    </row>
    <row r="139">
      <c r="AA139" s="319"/>
      <c r="AB139" s="1412"/>
    </row>
    <row r="140">
      <c r="AA140" s="319"/>
      <c r="AB140" s="1412"/>
    </row>
    <row r="141">
      <c r="AA141" s="319"/>
      <c r="AB141" s="1412"/>
    </row>
    <row r="142">
      <c r="AA142" s="319"/>
      <c r="AB142" s="1412"/>
    </row>
    <row r="143">
      <c r="AA143" s="319"/>
      <c r="AB143" s="1412"/>
    </row>
    <row r="144">
      <c r="AA144" s="319"/>
      <c r="AB144" s="1412"/>
    </row>
    <row r="145">
      <c r="AA145" s="319"/>
      <c r="AB145" s="1412"/>
    </row>
    <row r="146">
      <c r="AA146" s="319"/>
      <c r="AB146" s="1412"/>
    </row>
    <row r="147">
      <c r="AA147" s="319"/>
      <c r="AB147" s="1412"/>
    </row>
    <row r="148">
      <c r="AA148" s="319"/>
      <c r="AB148" s="1412"/>
    </row>
    <row r="149">
      <c r="AA149" s="319"/>
      <c r="AB149" s="1412"/>
    </row>
    <row r="150">
      <c r="AA150" s="319"/>
      <c r="AB150" s="1412"/>
    </row>
    <row r="151">
      <c r="AA151" s="319"/>
      <c r="AB151" s="1412"/>
    </row>
    <row r="152">
      <c r="AA152" s="319"/>
      <c r="AB152" s="1412"/>
    </row>
    <row r="153">
      <c r="AA153" s="319"/>
      <c r="AB153" s="1412"/>
    </row>
    <row r="154">
      <c r="AA154" s="393"/>
      <c r="AB154" s="1412"/>
    </row>
    <row r="155">
      <c r="AA155" s="319"/>
      <c r="AB155" s="1412"/>
    </row>
    <row r="156">
      <c r="AA156" s="319"/>
      <c r="AB156" s="1412"/>
    </row>
    <row r="157">
      <c r="AA157" s="319"/>
      <c r="AB157" s="1412"/>
    </row>
    <row r="158">
      <c r="AA158" s="319"/>
      <c r="AB158" s="1412"/>
    </row>
    <row r="159">
      <c r="AA159" s="319"/>
      <c r="AB159" s="1412"/>
    </row>
    <row r="160">
      <c r="AA160" s="319"/>
      <c r="AB160" s="1412"/>
    </row>
    <row r="161">
      <c r="AA161" s="319"/>
      <c r="AB161" s="1412"/>
    </row>
    <row r="162">
      <c r="AA162" s="319"/>
      <c r="AB162" s="1412"/>
    </row>
    <row r="163">
      <c r="AA163" s="319"/>
      <c r="AB163" s="1412"/>
    </row>
    <row r="164">
      <c r="AA164" s="319"/>
      <c r="AB164" s="1412"/>
    </row>
    <row r="165">
      <c r="AA165" s="319"/>
      <c r="AB165" s="1412"/>
    </row>
    <row r="166">
      <c r="AA166" s="319"/>
      <c r="AB166" s="1412"/>
    </row>
    <row r="167">
      <c r="AA167" s="319"/>
      <c r="AB167" s="1412"/>
    </row>
    <row r="168">
      <c r="AA168" s="319"/>
      <c r="AB168" s="1412"/>
    </row>
    <row r="169">
      <c r="AA169" s="319"/>
      <c r="AB169" s="1412"/>
    </row>
    <row r="170">
      <c r="AA170" s="319"/>
      <c r="AB170" s="1412"/>
    </row>
    <row r="171">
      <c r="AA171" s="319"/>
      <c r="AB171" s="1412"/>
    </row>
    <row r="172">
      <c r="AA172" s="319"/>
      <c r="AB172" s="1412"/>
    </row>
    <row r="173">
      <c r="AA173" s="319"/>
      <c r="AB173" s="1412"/>
    </row>
    <row r="174">
      <c r="AA174" s="319"/>
      <c r="AB174" s="1412"/>
    </row>
    <row r="175">
      <c r="AA175" s="319"/>
      <c r="AB175" s="1412"/>
    </row>
    <row r="176">
      <c r="AA176" s="319"/>
      <c r="AB176" s="1412"/>
    </row>
    <row r="177">
      <c r="AA177" s="319"/>
      <c r="AB177" s="1412"/>
    </row>
    <row r="178">
      <c r="AA178" s="319"/>
      <c r="AB178" s="1412"/>
    </row>
    <row r="179">
      <c r="AA179" s="319"/>
      <c r="AB179" s="1412"/>
    </row>
    <row r="180">
      <c r="AA180" s="319"/>
      <c r="AB180" s="1412"/>
    </row>
    <row r="181">
      <c r="AA181" s="319"/>
      <c r="AB181" s="1412"/>
    </row>
    <row r="182">
      <c r="AA182" s="319"/>
      <c r="AB182" s="1412"/>
    </row>
    <row r="183">
      <c r="AA183" s="319"/>
      <c r="AB183" s="1412"/>
    </row>
    <row r="184">
      <c r="AA184" s="319"/>
      <c r="AB184" s="1412"/>
    </row>
    <row r="185">
      <c r="AA185" s="319"/>
      <c r="AB185" s="1412"/>
    </row>
    <row r="186">
      <c r="AA186" s="319"/>
      <c r="AB186" s="1412"/>
    </row>
    <row r="187">
      <c r="AA187" s="319"/>
      <c r="AB187" s="1412"/>
    </row>
    <row r="188">
      <c r="AA188" s="319"/>
      <c r="AB188" s="1412"/>
    </row>
    <row r="189">
      <c r="AA189" s="319"/>
      <c r="AB189" s="1412"/>
    </row>
    <row r="190">
      <c r="AA190" s="319"/>
      <c r="AB190" s="1412"/>
    </row>
    <row r="191">
      <c r="AA191" s="319"/>
      <c r="AB191" s="1412"/>
    </row>
    <row r="192">
      <c r="AA192" s="319"/>
      <c r="AB192" s="1412"/>
    </row>
    <row r="193">
      <c r="AA193" s="319"/>
      <c r="AB193" s="1412"/>
    </row>
    <row r="194">
      <c r="AA194" s="319"/>
      <c r="AB194" s="1412"/>
    </row>
    <row r="195">
      <c r="AA195" s="319"/>
      <c r="AB195" s="1412"/>
    </row>
    <row r="196">
      <c r="AA196" s="319"/>
      <c r="AB196" s="1412"/>
    </row>
    <row r="197">
      <c r="AA197" s="319"/>
      <c r="AB197" s="1412"/>
    </row>
    <row r="198">
      <c r="AA198" s="319"/>
      <c r="AB198" s="1412"/>
    </row>
    <row r="199">
      <c r="AA199" s="319"/>
      <c r="AB199" s="1412"/>
    </row>
    <row r="200">
      <c r="AA200" s="319"/>
      <c r="AB200" s="1412"/>
    </row>
    <row r="201">
      <c r="AA201" s="319"/>
      <c r="AB201" s="1412"/>
    </row>
    <row r="202">
      <c r="AA202" s="319"/>
      <c r="AB202" s="1412"/>
    </row>
    <row r="203">
      <c r="AA203" s="319"/>
      <c r="AB203" s="1412"/>
    </row>
    <row r="204">
      <c r="AA204" s="319"/>
      <c r="AB204" s="1412"/>
    </row>
    <row r="205">
      <c r="AA205" s="319"/>
      <c r="AB205" s="1412"/>
    </row>
    <row r="206">
      <c r="AA206" s="319"/>
      <c r="AB206" s="1412"/>
    </row>
    <row r="207">
      <c r="AA207" s="319"/>
      <c r="AB207" s="1412"/>
    </row>
    <row r="208">
      <c r="AA208" s="319"/>
      <c r="AB208" s="1412"/>
    </row>
    <row r="209">
      <c r="AA209" s="319"/>
      <c r="AB209" s="1412"/>
    </row>
    <row r="210">
      <c r="AA210" s="319"/>
      <c r="AB210" s="1412"/>
    </row>
    <row r="211">
      <c r="AA211" s="319"/>
      <c r="AB211" s="1412"/>
    </row>
    <row r="212">
      <c r="AA212" s="319"/>
      <c r="AB212" s="1412"/>
    </row>
    <row r="213">
      <c r="AA213" s="319"/>
      <c r="AB213" s="1412"/>
    </row>
    <row r="214">
      <c r="AA214" s="319"/>
      <c r="AB214" s="1412"/>
    </row>
    <row r="215">
      <c r="AA215" s="319"/>
      <c r="AB215" s="1412"/>
    </row>
    <row r="216">
      <c r="AA216" s="319"/>
      <c r="AB216" s="1412"/>
    </row>
    <row r="217">
      <c r="AA217" s="319"/>
      <c r="AB217" s="1412"/>
    </row>
    <row r="218">
      <c r="AA218" s="319"/>
      <c r="AB218" s="1412"/>
    </row>
    <row r="219">
      <c r="AA219" s="319"/>
      <c r="AB219" s="1412"/>
    </row>
    <row r="220">
      <c r="AA220" s="319"/>
      <c r="AB220" s="1412"/>
    </row>
    <row r="221">
      <c r="AA221" s="319"/>
      <c r="AB221" s="1412"/>
    </row>
    <row r="222">
      <c r="AA222" s="319"/>
      <c r="AB222" s="1412"/>
    </row>
    <row r="223">
      <c r="AA223" s="319"/>
      <c r="AB223" s="1412"/>
    </row>
    <row r="224">
      <c r="AA224" s="319"/>
      <c r="AB224" s="1412"/>
    </row>
    <row r="225">
      <c r="AA225" s="319"/>
      <c r="AB225" s="1412"/>
    </row>
    <row r="226">
      <c r="AA226" s="319"/>
      <c r="AB226" s="1412"/>
    </row>
    <row r="227">
      <c r="AA227" s="319"/>
      <c r="AB227" s="1412"/>
    </row>
    <row r="228">
      <c r="AA228" s="319"/>
      <c r="AB228" s="1412"/>
    </row>
    <row r="229">
      <c r="AA229" s="319"/>
      <c r="AB229" s="1412"/>
    </row>
    <row r="230">
      <c r="AA230" s="319"/>
      <c r="AB230" s="1412"/>
    </row>
    <row r="231">
      <c r="AA231" s="319"/>
      <c r="AB231" s="1412"/>
    </row>
    <row r="232">
      <c r="AA232" s="319"/>
      <c r="AB232" s="1412"/>
    </row>
    <row r="233">
      <c r="AA233" s="319"/>
      <c r="AB233" s="1412"/>
    </row>
    <row r="234">
      <c r="AA234" s="319"/>
      <c r="AB234" s="1412"/>
    </row>
    <row r="235">
      <c r="AA235" s="319"/>
      <c r="AB235" s="1412"/>
    </row>
    <row r="236">
      <c r="AA236" s="319"/>
      <c r="AB236" s="1412"/>
    </row>
    <row r="237">
      <c r="AA237" s="319"/>
      <c r="AB237" s="1412"/>
    </row>
    <row r="238">
      <c r="AA238" s="319"/>
      <c r="AB238" s="1412"/>
    </row>
    <row r="239">
      <c r="AA239" s="319"/>
      <c r="AB239" s="1412"/>
    </row>
    <row r="240">
      <c r="AA240" s="319"/>
      <c r="AB240" s="1412"/>
    </row>
    <row r="241">
      <c r="AA241" s="319"/>
      <c r="AB241" s="1412"/>
    </row>
    <row r="242">
      <c r="AA242" s="319"/>
      <c r="AB242" s="1412"/>
    </row>
    <row r="243">
      <c r="AA243" s="319"/>
      <c r="AB243" s="1412"/>
    </row>
    <row r="244">
      <c r="AA244" s="319"/>
      <c r="AB244" s="1412"/>
    </row>
    <row r="245">
      <c r="AA245" s="319"/>
      <c r="AB245" s="1412"/>
    </row>
    <row r="246">
      <c r="AA246" s="319"/>
      <c r="AB246" s="1412"/>
    </row>
    <row r="247">
      <c r="AA247" s="319"/>
      <c r="AB247" s="1412"/>
    </row>
    <row r="248">
      <c r="AA248" s="319"/>
      <c r="AB248" s="1412"/>
    </row>
    <row r="249">
      <c r="AA249" s="319"/>
      <c r="AB249" s="1412"/>
    </row>
    <row r="250">
      <c r="AA250" s="319"/>
      <c r="AB250" s="1412"/>
    </row>
    <row r="251">
      <c r="AA251" s="319"/>
      <c r="AB251" s="1412"/>
    </row>
    <row r="252">
      <c r="AA252" s="319"/>
      <c r="AB252" s="1412"/>
    </row>
    <row r="253">
      <c r="AA253" s="319"/>
      <c r="AB253" s="1412"/>
    </row>
    <row r="254">
      <c r="AA254" s="319"/>
      <c r="AB254" s="1412"/>
    </row>
    <row r="255">
      <c r="AA255" s="319"/>
      <c r="AB255" s="1412"/>
    </row>
    <row r="256">
      <c r="AA256" s="319"/>
      <c r="AB256" s="1412"/>
    </row>
    <row r="257">
      <c r="AA257" s="319"/>
      <c r="AB257" s="1412"/>
    </row>
    <row r="258">
      <c r="AA258" s="319"/>
      <c r="AB258" s="1412"/>
    </row>
    <row r="259">
      <c r="AA259" s="319"/>
      <c r="AB259" s="1412"/>
    </row>
    <row r="260">
      <c r="AA260" s="319"/>
      <c r="AB260" s="1412"/>
    </row>
    <row r="261">
      <c r="AA261" s="319"/>
      <c r="AB261" s="1412"/>
    </row>
    <row r="262">
      <c r="AA262" s="319"/>
      <c r="AB262" s="1412"/>
    </row>
    <row r="263">
      <c r="AA263" s="319"/>
      <c r="AB263" s="1412"/>
    </row>
    <row r="264">
      <c r="AA264" s="319"/>
      <c r="AB264" s="1412"/>
    </row>
    <row r="265">
      <c r="AA265" s="319"/>
      <c r="AB265" s="1412"/>
    </row>
    <row r="266">
      <c r="AA266" s="319"/>
      <c r="AB266" s="1412"/>
    </row>
    <row r="267">
      <c r="AA267" s="319"/>
      <c r="AB267" s="1412"/>
    </row>
    <row r="268">
      <c r="AA268" s="319"/>
      <c r="AB268" s="1412"/>
    </row>
    <row r="269">
      <c r="AA269" s="319"/>
      <c r="AB269" s="1412"/>
    </row>
    <row r="270">
      <c r="AA270" s="319"/>
      <c r="AB270" s="1412"/>
    </row>
    <row r="271">
      <c r="AA271" s="319"/>
      <c r="AB271" s="1412"/>
    </row>
    <row r="272">
      <c r="AA272" s="319"/>
      <c r="AB272" s="1412"/>
    </row>
    <row r="273">
      <c r="AA273" s="319"/>
      <c r="AB273" s="1412"/>
    </row>
    <row r="274">
      <c r="AA274" s="319"/>
      <c r="AB274" s="1412"/>
    </row>
    <row r="275">
      <c r="AA275" s="319"/>
      <c r="AB275" s="1412"/>
    </row>
    <row r="276">
      <c r="AA276" s="319"/>
      <c r="AB276" s="1412"/>
    </row>
    <row r="277">
      <c r="AA277" s="319"/>
      <c r="AB277" s="1412"/>
    </row>
    <row r="278">
      <c r="AA278" s="319"/>
      <c r="AB278" s="1412"/>
    </row>
    <row r="279">
      <c r="AA279" s="319"/>
      <c r="AB279" s="1412"/>
    </row>
    <row r="280">
      <c r="AA280" s="319"/>
      <c r="AB280" s="1412"/>
    </row>
    <row r="281">
      <c r="AA281" s="319"/>
      <c r="AB281" s="1412"/>
    </row>
    <row r="282">
      <c r="AA282" s="319"/>
      <c r="AB282" s="1412"/>
    </row>
    <row r="283">
      <c r="AA283" s="319"/>
      <c r="AB283" s="1412"/>
    </row>
    <row r="284">
      <c r="AA284" s="319"/>
      <c r="AB284" s="1412"/>
    </row>
    <row r="285">
      <c r="AA285" s="319"/>
      <c r="AB285" s="1412"/>
    </row>
    <row r="286">
      <c r="AA286" s="319"/>
      <c r="AB286" s="1412"/>
    </row>
    <row r="287">
      <c r="AA287" s="319"/>
      <c r="AB287" s="1412"/>
    </row>
    <row r="288">
      <c r="AA288" s="393"/>
      <c r="AB288" s="1412"/>
    </row>
    <row r="289">
      <c r="AA289" s="319"/>
      <c r="AB289" s="1412"/>
    </row>
    <row r="290">
      <c r="AA290" s="319"/>
      <c r="AB290" s="1412"/>
    </row>
    <row r="291">
      <c r="AA291" s="319"/>
      <c r="AB291" s="1412"/>
    </row>
    <row r="292">
      <c r="AA292" s="319"/>
      <c r="AB292" s="1412"/>
    </row>
    <row r="293">
      <c r="AA293" s="319"/>
      <c r="AB293" s="1412"/>
    </row>
    <row r="294">
      <c r="AA294" s="319"/>
      <c r="AB294" s="1412"/>
    </row>
    <row r="295">
      <c r="AA295" s="319"/>
      <c r="AB295" s="1412"/>
    </row>
    <row r="296">
      <c r="AA296" s="319"/>
      <c r="AB296" s="1412"/>
    </row>
    <row r="297">
      <c r="AA297" s="319"/>
      <c r="AB297" s="1412"/>
    </row>
    <row r="298">
      <c r="AA298" s="319"/>
      <c r="AB298" s="1412"/>
    </row>
    <row r="299">
      <c r="AA299" s="319"/>
      <c r="AB299" s="1412"/>
    </row>
    <row r="300">
      <c r="AA300" s="319"/>
      <c r="AB300" s="1412"/>
    </row>
    <row r="301">
      <c r="AA301" s="466"/>
      <c r="AB301" s="1412"/>
    </row>
    <row r="302">
      <c r="AA302" s="319"/>
      <c r="AB302" s="1412"/>
    </row>
    <row r="303">
      <c r="AA303" s="319"/>
      <c r="AB303" s="1412"/>
    </row>
    <row r="304">
      <c r="AA304" s="319"/>
      <c r="AB304" s="1412"/>
    </row>
    <row r="305">
      <c r="AA305" s="319"/>
      <c r="AB305" s="1412"/>
    </row>
    <row r="306">
      <c r="AA306" s="319"/>
      <c r="AB306" s="1412"/>
    </row>
    <row r="307">
      <c r="AA307" s="319"/>
      <c r="AB307" s="1412"/>
    </row>
    <row r="308">
      <c r="AA308" s="319"/>
      <c r="AB308" s="1412"/>
    </row>
    <row r="309">
      <c r="AA309" s="319"/>
      <c r="AB309" s="1412"/>
    </row>
    <row r="310">
      <c r="AA310" s="466"/>
      <c r="AB310" s="1412"/>
    </row>
    <row r="311">
      <c r="AA311" s="319"/>
      <c r="AB311" s="1412"/>
    </row>
    <row r="312">
      <c r="AA312" s="319"/>
      <c r="AB312" s="1412"/>
    </row>
    <row r="313">
      <c r="AA313" s="466"/>
      <c r="AB313" s="1412"/>
    </row>
    <row r="314">
      <c r="AA314" s="319"/>
      <c r="AB314" s="1412"/>
    </row>
    <row r="315">
      <c r="AA315" s="319"/>
      <c r="AB315" s="1412"/>
    </row>
    <row r="316">
      <c r="AA316" s="319"/>
      <c r="AB316" s="1412"/>
    </row>
    <row r="317">
      <c r="AA317" s="319"/>
      <c r="AB317" s="1412"/>
    </row>
    <row r="318">
      <c r="AA318" s="319"/>
      <c r="AB318" s="1412"/>
    </row>
    <row r="319">
      <c r="AA319" s="319"/>
      <c r="AB319" s="1412"/>
    </row>
    <row r="320">
      <c r="AA320" s="319"/>
      <c r="AB320" s="1412"/>
    </row>
    <row r="321">
      <c r="AA321" s="319"/>
      <c r="AB321" s="1412"/>
    </row>
    <row r="322">
      <c r="AA322" s="319"/>
      <c r="AB322" s="1412"/>
    </row>
    <row r="323">
      <c r="AA323" s="319"/>
      <c r="AB323" s="1412"/>
    </row>
    <row r="324">
      <c r="AA324" s="319"/>
      <c r="AB324" s="1412"/>
    </row>
    <row r="325">
      <c r="AA325" s="319"/>
      <c r="AB325" s="1412"/>
    </row>
    <row r="326">
      <c r="AA326" s="319"/>
      <c r="AB326" s="1412"/>
    </row>
    <row r="327">
      <c r="AA327" s="319"/>
      <c r="AB327" s="1412"/>
    </row>
    <row r="328">
      <c r="AA328" s="319"/>
      <c r="AB328" s="1412"/>
    </row>
    <row r="329">
      <c r="AA329" s="319"/>
      <c r="AB329" s="1412"/>
    </row>
    <row r="330">
      <c r="AA330" s="319"/>
      <c r="AB330" s="1412"/>
    </row>
    <row r="331">
      <c r="AA331" s="319"/>
      <c r="AB331" s="1412"/>
    </row>
    <row r="332">
      <c r="AA332" s="319"/>
      <c r="AB332" s="1412"/>
    </row>
    <row r="333">
      <c r="AA333" s="319"/>
      <c r="AB333" s="1412"/>
    </row>
    <row r="334">
      <c r="AA334" s="319"/>
      <c r="AB334" s="1412"/>
    </row>
    <row r="335">
      <c r="AA335" s="319"/>
      <c r="AB335" s="1412"/>
    </row>
    <row r="336">
      <c r="AA336" s="319"/>
      <c r="AB336" s="1412"/>
    </row>
    <row r="337">
      <c r="AA337" s="319"/>
      <c r="AB337" s="1412"/>
    </row>
    <row r="338">
      <c r="AA338" s="319"/>
      <c r="AB338" s="1412"/>
    </row>
    <row r="339">
      <c r="AA339" s="319"/>
      <c r="AB339" s="1412"/>
    </row>
    <row r="340">
      <c r="AA340" s="319"/>
      <c r="AB340" s="1412"/>
    </row>
    <row r="341">
      <c r="AA341" s="319"/>
      <c r="AB341" s="1412"/>
    </row>
    <row r="342">
      <c r="AA342" s="319"/>
      <c r="AB342" s="1412"/>
    </row>
    <row r="343">
      <c r="AA343" s="319"/>
      <c r="AB343" s="1412"/>
    </row>
    <row r="344">
      <c r="AA344" s="319"/>
      <c r="AB344" s="1412"/>
    </row>
    <row r="345">
      <c r="AA345" s="319"/>
      <c r="AB345" s="1412"/>
    </row>
    <row r="346">
      <c r="AA346" s="319"/>
      <c r="AB346" s="1412"/>
    </row>
    <row r="347">
      <c r="AA347" s="319"/>
      <c r="AB347" s="1412"/>
    </row>
    <row r="348">
      <c r="AA348" s="319"/>
      <c r="AB348" s="1412"/>
    </row>
    <row r="349">
      <c r="AA349" s="319"/>
      <c r="AB349" s="1412"/>
    </row>
    <row r="350">
      <c r="AA350" s="466"/>
      <c r="AB350" s="1412"/>
    </row>
    <row r="351">
      <c r="AA351" s="319"/>
      <c r="AB351" s="1412"/>
    </row>
    <row r="352">
      <c r="AA352" s="319"/>
      <c r="AB352" s="1412"/>
    </row>
    <row r="353">
      <c r="AA353" s="319"/>
      <c r="AB353" s="1412"/>
    </row>
    <row r="354">
      <c r="AA354" s="319"/>
      <c r="AB354" s="1412"/>
    </row>
    <row r="355">
      <c r="AA355" s="319"/>
      <c r="AB355" s="1412"/>
    </row>
    <row r="356">
      <c r="AA356" s="319"/>
      <c r="AB356" s="1412"/>
    </row>
    <row r="357">
      <c r="AA357" s="319"/>
      <c r="AB357" s="1412"/>
    </row>
    <row r="358">
      <c r="AA358" s="319"/>
      <c r="AB358" s="1412"/>
    </row>
    <row r="359">
      <c r="AA359" s="319"/>
      <c r="AB359" s="1412"/>
    </row>
    <row r="360">
      <c r="AA360" s="319"/>
      <c r="AB360" s="1412"/>
    </row>
    <row r="361">
      <c r="AA361" s="319"/>
      <c r="AB361" s="1412"/>
    </row>
    <row r="362">
      <c r="AA362" s="319"/>
      <c r="AB362" s="1412"/>
    </row>
    <row r="363">
      <c r="AA363" s="466"/>
      <c r="AB363" s="1412"/>
    </row>
    <row r="364">
      <c r="AA364" s="319"/>
      <c r="AB364" s="1412"/>
    </row>
    <row r="365">
      <c r="AA365" s="319"/>
      <c r="AB365" s="1412"/>
    </row>
    <row r="366">
      <c r="AA366" s="319"/>
      <c r="AB366" s="1412"/>
    </row>
    <row r="367">
      <c r="AA367" s="319"/>
      <c r="AB367" s="1412"/>
    </row>
    <row r="368">
      <c r="AA368" s="319"/>
      <c r="AB368" s="1412"/>
    </row>
    <row r="369">
      <c r="AA369" s="319"/>
      <c r="AB369" s="1412"/>
    </row>
    <row r="370">
      <c r="AA370" s="319"/>
      <c r="AB370" s="1412"/>
    </row>
    <row r="371">
      <c r="AA371" s="319"/>
      <c r="AB371" s="1412"/>
    </row>
    <row r="372">
      <c r="AA372" s="319"/>
      <c r="AB372" s="1412"/>
    </row>
    <row r="373">
      <c r="AA373" s="319"/>
      <c r="AB373" s="1412"/>
    </row>
    <row r="374">
      <c r="AA374" s="393"/>
      <c r="AB374" s="1412"/>
    </row>
    <row r="375">
      <c r="AA375" s="319"/>
      <c r="AB375" s="1412"/>
    </row>
    <row r="376">
      <c r="AA376" s="319"/>
      <c r="AB376" s="1412"/>
    </row>
    <row r="377">
      <c r="AA377" s="319"/>
      <c r="AB377" s="1412"/>
    </row>
    <row r="378">
      <c r="AA378" s="319"/>
      <c r="AB378" s="1412"/>
    </row>
    <row r="379">
      <c r="AA379" s="319"/>
      <c r="AB379" s="1412"/>
    </row>
    <row r="380">
      <c r="AA380" s="319"/>
      <c r="AB380" s="1412"/>
    </row>
    <row r="381">
      <c r="AA381" s="319"/>
      <c r="AB381" s="1412"/>
    </row>
    <row r="382">
      <c r="AA382" s="319"/>
      <c r="AB382" s="1412"/>
    </row>
    <row r="383">
      <c r="AA383" s="319"/>
      <c r="AB383" s="1412"/>
    </row>
    <row r="384">
      <c r="AA384" s="319"/>
      <c r="AB384" s="1412"/>
    </row>
    <row r="385">
      <c r="AA385" s="319"/>
      <c r="AB385" s="1412"/>
    </row>
    <row r="386">
      <c r="AA386" s="319"/>
      <c r="AB386" s="1412"/>
    </row>
    <row r="387">
      <c r="AA387" s="358"/>
      <c r="AB387" s="1412"/>
    </row>
    <row r="388">
      <c r="AA388" s="319"/>
      <c r="AB388" s="1412"/>
    </row>
    <row r="389">
      <c r="AA389" s="319"/>
      <c r="AB389" s="1412"/>
    </row>
    <row r="390">
      <c r="AA390" s="319"/>
      <c r="AB390" s="1412"/>
    </row>
    <row r="391">
      <c r="AA391" s="319"/>
      <c r="AB391" s="1412"/>
    </row>
    <row r="392">
      <c r="AA392" s="319"/>
      <c r="AB392" s="1412"/>
    </row>
    <row r="393">
      <c r="AA393" s="319"/>
      <c r="AB393" s="1412"/>
    </row>
    <row r="394">
      <c r="AA394" s="319"/>
      <c r="AB394" s="1412"/>
    </row>
    <row r="395">
      <c r="AA395" s="319"/>
      <c r="AB395" s="1412"/>
    </row>
    <row r="396">
      <c r="AA396" s="319"/>
      <c r="AB396" s="1412"/>
    </row>
    <row r="397">
      <c r="AA397" s="319"/>
      <c r="AB397" s="1412"/>
    </row>
    <row r="398">
      <c r="AA398" s="319"/>
      <c r="AB398" s="1412"/>
    </row>
    <row r="399">
      <c r="AA399" s="319"/>
      <c r="AB399" s="1412"/>
    </row>
    <row r="400">
      <c r="AA400" s="319"/>
      <c r="AB400" s="1412"/>
    </row>
    <row r="401">
      <c r="AA401" s="319"/>
      <c r="AB401" s="1412"/>
    </row>
    <row r="402">
      <c r="AA402" s="319"/>
      <c r="AB402" s="1412"/>
    </row>
    <row r="403">
      <c r="AA403" s="319"/>
      <c r="AB403" s="1412"/>
    </row>
    <row r="404">
      <c r="AA404" s="319"/>
      <c r="AB404" s="1412"/>
    </row>
    <row r="405">
      <c r="AA405" s="319"/>
      <c r="AB405" s="1412"/>
    </row>
    <row r="406">
      <c r="AA406" s="319"/>
      <c r="AB406" s="1412"/>
    </row>
    <row r="407">
      <c r="AA407" s="319"/>
      <c r="AB407" s="1412"/>
    </row>
    <row r="408">
      <c r="AA408" s="319"/>
      <c r="AB408" s="1412"/>
    </row>
    <row r="409">
      <c r="AA409" s="319"/>
      <c r="AB409" s="1412"/>
    </row>
    <row r="410">
      <c r="AA410" s="319"/>
      <c r="AB410" s="1412"/>
    </row>
    <row r="411">
      <c r="AA411" s="319"/>
      <c r="AB411" s="1412"/>
    </row>
    <row r="412">
      <c r="AA412" s="497"/>
      <c r="AB412" s="1412"/>
    </row>
    <row r="413">
      <c r="AA413" s="525"/>
      <c r="AB413" s="1412"/>
    </row>
    <row r="414">
      <c r="AA414" s="525"/>
      <c r="AB414" s="1412"/>
    </row>
    <row r="415">
      <c r="AA415" s="525"/>
      <c r="AB415" s="1412"/>
    </row>
    <row r="416">
      <c r="AA416" s="551"/>
      <c r="AB416" s="1412"/>
    </row>
    <row r="417">
      <c r="AA417" s="525"/>
      <c r="AB417" s="1412"/>
    </row>
    <row r="418">
      <c r="AA418" s="525"/>
      <c r="AB418" s="1412"/>
    </row>
    <row r="419">
      <c r="AA419" s="525"/>
      <c r="AB419" s="1412"/>
    </row>
    <row r="420">
      <c r="AA420" s="576"/>
      <c r="AB420" s="1412"/>
    </row>
    <row r="421">
      <c r="AA421" s="598"/>
      <c r="AB421" s="1412"/>
    </row>
    <row r="422">
      <c r="AA422" s="598"/>
      <c r="AB422" s="1412"/>
    </row>
    <row r="423">
      <c r="AA423" s="598"/>
      <c r="AB423" s="1412"/>
    </row>
    <row r="424">
      <c r="AA424" s="598"/>
      <c r="AB424" s="1412"/>
    </row>
    <row r="425">
      <c r="AA425" s="598"/>
      <c r="AB425" s="1412"/>
    </row>
    <row r="426">
      <c r="AA426" s="598"/>
      <c r="AB426" s="1412"/>
    </row>
    <row r="427">
      <c r="AA427" s="598"/>
      <c r="AB427" s="1412"/>
    </row>
    <row r="428">
      <c r="AA428" s="598"/>
      <c r="AB428" s="1412"/>
    </row>
    <row r="429">
      <c r="AA429" s="598"/>
      <c r="AB429" s="1412"/>
    </row>
    <row r="430">
      <c r="AA430" s="598"/>
      <c r="AB430" s="1412"/>
    </row>
    <row r="431">
      <c r="AA431" s="598"/>
      <c r="AB431" s="1412"/>
    </row>
    <row r="432">
      <c r="AA432" s="598"/>
      <c r="AB432" s="1412"/>
    </row>
    <row r="433">
      <c r="AA433" s="598"/>
      <c r="AB433" s="1412"/>
    </row>
    <row r="434">
      <c r="AA434" s="598"/>
      <c r="AB434" s="1412"/>
    </row>
    <row r="435">
      <c r="AA435" s="598"/>
      <c r="AB435" s="1412"/>
    </row>
    <row r="436">
      <c r="AA436" s="598"/>
      <c r="AB436" s="1412"/>
    </row>
    <row r="437">
      <c r="AA437" s="598"/>
      <c r="AB437" s="1412"/>
    </row>
    <row r="438">
      <c r="AA438" s="598"/>
      <c r="AB438" s="1412"/>
    </row>
    <row r="439">
      <c r="AA439" s="598"/>
      <c r="AB439" s="1412"/>
    </row>
    <row r="440">
      <c r="AA440" s="598"/>
      <c r="AB440" s="1412"/>
    </row>
    <row r="441">
      <c r="AA441" s="598"/>
      <c r="AB441" s="1412"/>
    </row>
    <row r="442">
      <c r="AA442" s="598"/>
      <c r="AB442" s="1412"/>
    </row>
    <row r="443">
      <c r="AA443" s="598"/>
      <c r="AB443" s="1412"/>
    </row>
    <row r="444">
      <c r="AA444" s="598"/>
      <c r="AB444" s="1412"/>
    </row>
    <row r="445">
      <c r="AA445" s="598"/>
      <c r="AB445" s="1412"/>
    </row>
    <row r="446">
      <c r="AA446" s="598"/>
      <c r="AB446" s="1412"/>
    </row>
    <row r="447">
      <c r="AA447" s="598"/>
      <c r="AB447" s="1412"/>
    </row>
    <row r="448">
      <c r="AA448" s="598"/>
      <c r="AB448" s="1412"/>
    </row>
    <row r="449">
      <c r="AA449" s="598"/>
      <c r="AB449" s="1412"/>
    </row>
    <row r="450">
      <c r="AA450" s="598"/>
      <c r="AB450" s="1412"/>
    </row>
    <row r="451">
      <c r="AA451" s="598"/>
      <c r="AB451" s="1412"/>
    </row>
    <row r="452">
      <c r="AA452" s="598"/>
      <c r="AB452" s="1412"/>
    </row>
    <row r="453">
      <c r="AA453" s="598"/>
      <c r="AB453" s="1412"/>
    </row>
    <row r="454">
      <c r="AA454" s="598"/>
      <c r="AB454" s="1412"/>
    </row>
    <row r="455">
      <c r="AA455" s="598"/>
      <c r="AB455" s="1412"/>
    </row>
    <row r="456">
      <c r="AA456" s="598"/>
      <c r="AB456" s="1412"/>
    </row>
    <row r="457">
      <c r="AA457" s="598"/>
      <c r="AB457" s="1412"/>
    </row>
    <row r="458">
      <c r="AA458" s="598"/>
      <c r="AB458" s="1412"/>
    </row>
    <row r="459">
      <c r="AA459" s="598"/>
      <c r="AB459" s="1412"/>
    </row>
    <row r="460">
      <c r="AA460" s="598"/>
      <c r="AB460" s="1412"/>
    </row>
    <row r="461">
      <c r="AA461" s="598"/>
      <c r="AB461" s="1412"/>
    </row>
    <row r="462">
      <c r="AA462" s="598"/>
      <c r="AB462" s="1412"/>
    </row>
    <row r="463">
      <c r="AA463" s="576"/>
      <c r="AB463" s="1412"/>
    </row>
    <row r="464">
      <c r="AA464" s="598"/>
      <c r="AB464" s="1412"/>
    </row>
    <row r="465">
      <c r="AA465" s="598"/>
      <c r="AB465" s="1412"/>
    </row>
    <row r="466">
      <c r="AA466" s="598"/>
      <c r="AB466" s="1412"/>
    </row>
    <row r="467">
      <c r="AA467" s="598"/>
      <c r="AB467" s="1412"/>
    </row>
    <row r="468">
      <c r="AA468" s="598"/>
      <c r="AB468" s="1412"/>
    </row>
    <row r="469">
      <c r="AA469" s="598"/>
      <c r="AB469" s="1412"/>
    </row>
    <row r="470">
      <c r="AA470" s="598"/>
      <c r="AB470" s="1412"/>
    </row>
    <row r="471">
      <c r="AA471" s="598"/>
      <c r="AB471" s="1412"/>
    </row>
    <row r="472">
      <c r="AA472" s="598"/>
      <c r="AB472" s="1412"/>
    </row>
    <row r="473">
      <c r="AA473" s="598"/>
      <c r="AB473" s="1412"/>
    </row>
    <row r="474">
      <c r="AA474" s="598"/>
      <c r="AB474" s="1412"/>
    </row>
    <row r="475">
      <c r="AA475" s="598"/>
      <c r="AB475" s="1412"/>
    </row>
    <row r="476">
      <c r="AA476" s="598"/>
      <c r="AB476" s="1412"/>
    </row>
    <row r="477">
      <c r="AA477" s="598"/>
      <c r="AB477" s="1412"/>
    </row>
    <row r="478">
      <c r="AA478" s="598"/>
      <c r="AB478" s="1412"/>
    </row>
    <row r="479">
      <c r="AA479" s="598"/>
      <c r="AB479" s="1412"/>
    </row>
    <row r="480">
      <c r="AA480" s="598"/>
      <c r="AB480" s="1412"/>
    </row>
    <row r="481">
      <c r="AA481" s="598"/>
      <c r="AB481" s="1412"/>
    </row>
    <row r="482">
      <c r="AA482" s="598"/>
      <c r="AB482" s="1412"/>
    </row>
    <row r="483">
      <c r="AA483" s="598"/>
      <c r="AB483" s="1412"/>
    </row>
    <row r="484">
      <c r="AA484" s="598"/>
      <c r="AB484" s="1412"/>
    </row>
    <row r="485">
      <c r="AA485" s="598"/>
      <c r="AB485" s="1412"/>
    </row>
    <row r="486">
      <c r="AA486" s="598"/>
      <c r="AB486" s="1412"/>
    </row>
    <row r="487">
      <c r="AA487" s="598"/>
      <c r="AB487" s="1412"/>
    </row>
    <row r="488">
      <c r="AA488" s="598"/>
      <c r="AB488" s="1412"/>
    </row>
    <row r="489">
      <c r="AA489" s="598"/>
      <c r="AB489" s="1412"/>
    </row>
    <row r="490">
      <c r="AA490" s="668"/>
      <c r="AB490" s="1412"/>
    </row>
    <row r="491">
      <c r="AA491" s="598"/>
      <c r="AB491" s="1412"/>
    </row>
    <row r="492">
      <c r="AA492" s="598"/>
      <c r="AB492" s="1412"/>
    </row>
    <row r="493">
      <c r="AA493" s="668"/>
      <c r="AB493" s="1412"/>
    </row>
    <row r="494">
      <c r="AA494" s="319"/>
      <c r="AB494" s="1412"/>
    </row>
    <row r="495">
      <c r="AA495" s="319"/>
      <c r="AB495" s="1412"/>
    </row>
    <row r="496">
      <c r="AA496" s="319"/>
      <c r="AB496" s="1412"/>
    </row>
    <row r="497">
      <c r="AA497" s="319"/>
      <c r="AB497" s="1412"/>
    </row>
    <row r="498">
      <c r="AA498" s="319"/>
      <c r="AB498" s="1412"/>
    </row>
    <row r="499">
      <c r="AA499" s="319"/>
      <c r="AB499" s="1412"/>
    </row>
    <row r="500">
      <c r="AA500" s="319"/>
      <c r="AB500" s="1412"/>
    </row>
    <row r="501">
      <c r="AA501" s="319"/>
      <c r="AB501" s="1412"/>
    </row>
    <row r="502">
      <c r="AA502" s="319"/>
      <c r="AB502" s="1412"/>
    </row>
    <row r="503">
      <c r="AA503" s="319"/>
      <c r="AB503" s="1412"/>
    </row>
    <row r="504">
      <c r="AA504" s="319"/>
      <c r="AB504" s="1412"/>
    </row>
    <row r="505">
      <c r="AA505" s="576"/>
      <c r="AB505" s="1412"/>
    </row>
    <row r="506">
      <c r="AA506" s="598"/>
      <c r="AB506" s="1412"/>
    </row>
    <row r="507">
      <c r="AA507" s="598"/>
      <c r="AB507" s="1412"/>
    </row>
    <row r="508">
      <c r="AA508" s="598"/>
      <c r="AB508" s="1412"/>
    </row>
    <row r="509">
      <c r="AA509" s="598"/>
      <c r="AB509" s="1412"/>
    </row>
    <row r="510">
      <c r="AA510" s="598"/>
      <c r="AB510" s="1412"/>
    </row>
    <row r="511">
      <c r="AA511" s="598"/>
      <c r="AB511" s="1412"/>
    </row>
    <row r="512">
      <c r="AA512" s="598"/>
      <c r="AB512" s="1412"/>
    </row>
    <row r="513">
      <c r="AA513" s="598"/>
      <c r="AB513" s="1412"/>
    </row>
    <row r="514">
      <c r="AA514" s="598"/>
      <c r="AB514" s="1412"/>
    </row>
    <row r="515">
      <c r="AA515" s="598"/>
      <c r="AB515" s="1412"/>
    </row>
    <row r="516">
      <c r="AA516" s="598"/>
      <c r="AB516" s="1412"/>
    </row>
    <row r="517">
      <c r="AA517" s="576"/>
      <c r="AB517" s="1412"/>
    </row>
    <row r="518">
      <c r="AA518" s="598"/>
      <c r="AB518" s="1412"/>
    </row>
    <row r="519">
      <c r="AA519" s="598"/>
      <c r="AB519" s="1412"/>
    </row>
    <row r="520">
      <c r="AA520" s="598"/>
      <c r="AB520" s="1412"/>
    </row>
    <row r="521">
      <c r="AA521" s="598"/>
      <c r="AB521" s="1412"/>
    </row>
    <row r="522">
      <c r="AA522" s="598"/>
      <c r="AB522" s="1412"/>
    </row>
    <row r="523">
      <c r="AA523" s="598"/>
      <c r="AB523" s="1412"/>
    </row>
    <row r="524">
      <c r="AA524" s="598"/>
      <c r="AB524" s="1412"/>
    </row>
    <row r="525">
      <c r="AA525" s="598"/>
      <c r="AB525" s="1412"/>
    </row>
    <row r="526">
      <c r="AA526" s="598"/>
      <c r="AB526" s="1412"/>
    </row>
    <row r="527">
      <c r="AA527" s="393"/>
      <c r="AB527" s="1412"/>
    </row>
    <row r="528">
      <c r="AA528" s="319"/>
      <c r="AB528" s="1412"/>
    </row>
    <row r="529">
      <c r="AA529" s="393"/>
      <c r="AB529" s="1412"/>
    </row>
    <row r="530">
      <c r="AA530" s="319"/>
      <c r="AB530" s="1412"/>
    </row>
    <row r="531">
      <c r="AA531" s="319"/>
      <c r="AB531" s="1412"/>
    </row>
    <row r="532">
      <c r="AA532" s="319"/>
      <c r="AB532" s="1412"/>
    </row>
    <row r="533">
      <c r="AA533" s="319"/>
      <c r="AB533" s="1412"/>
    </row>
    <row r="534">
      <c r="AA534" s="319"/>
      <c r="AB534" s="1412"/>
    </row>
    <row r="535">
      <c r="AA535" s="598"/>
      <c r="AB535" s="1412"/>
    </row>
    <row r="536">
      <c r="AA536" s="598"/>
      <c r="AB536" s="1412"/>
    </row>
    <row r="537">
      <c r="AA537" s="598"/>
      <c r="AB537" s="1412"/>
    </row>
    <row r="538">
      <c r="AA538" s="598"/>
      <c r="AB538" s="1412"/>
    </row>
    <row r="539">
      <c r="AA539" s="598"/>
      <c r="AB539" s="1412"/>
    </row>
    <row r="540">
      <c r="AA540" s="598"/>
      <c r="AB540" s="1412"/>
    </row>
    <row r="541">
      <c r="AA541" s="598"/>
      <c r="AB541" s="1412"/>
    </row>
    <row r="542">
      <c r="AA542" s="598"/>
      <c r="AB542" s="1412"/>
    </row>
    <row r="543">
      <c r="AA543" s="576"/>
      <c r="AB543" s="1412"/>
    </row>
    <row r="544">
      <c r="AA544" s="319"/>
      <c r="AB544" s="1412"/>
    </row>
    <row r="545">
      <c r="AA545" s="581"/>
      <c r="AB545" s="1412"/>
    </row>
    <row r="546">
      <c r="AA546" s="603"/>
      <c r="AB546" s="1412"/>
    </row>
    <row r="547">
      <c r="AA547" s="603"/>
      <c r="AB547" s="1412"/>
    </row>
    <row r="548">
      <c r="AA548" s="603"/>
      <c r="AB548" s="1412"/>
    </row>
    <row r="549">
      <c r="AA549" s="603"/>
      <c r="AB549" s="1412"/>
    </row>
    <row r="550">
      <c r="AA550" s="603"/>
      <c r="AB550" s="1412"/>
    </row>
    <row r="551">
      <c r="AA551" s="603"/>
      <c r="AB551" s="1412"/>
    </row>
    <row r="552">
      <c r="AA552" s="603"/>
      <c r="AB552" s="1412"/>
    </row>
    <row r="553">
      <c r="AA553" s="603"/>
      <c r="AB553" s="1412"/>
    </row>
    <row r="554">
      <c r="AA554" s="603"/>
      <c r="AB554" s="1412"/>
    </row>
    <row r="555">
      <c r="AA555" s="603"/>
      <c r="AB555" s="1412"/>
    </row>
    <row r="556">
      <c r="AA556" s="603"/>
      <c r="AB556" s="1412"/>
    </row>
    <row r="557">
      <c r="AA557" s="603"/>
      <c r="AB557" s="1412"/>
    </row>
    <row r="558">
      <c r="AA558" s="603"/>
      <c r="AB558" s="1412"/>
    </row>
    <row r="559">
      <c r="AA559" s="603"/>
      <c r="AB559" s="1412"/>
    </row>
    <row r="560">
      <c r="AA560" s="603"/>
      <c r="AB560" s="1412"/>
    </row>
    <row r="561">
      <c r="AA561" s="603"/>
      <c r="AB561" s="1412"/>
    </row>
    <row r="562">
      <c r="AA562" s="603"/>
      <c r="AB562" s="1412"/>
    </row>
    <row r="563">
      <c r="AA563" s="603"/>
      <c r="AB563" s="1412"/>
    </row>
    <row r="564">
      <c r="AA564" s="603"/>
      <c r="AB564" s="1412"/>
    </row>
    <row r="565">
      <c r="AA565" s="603"/>
      <c r="AB565" s="1412"/>
    </row>
    <row r="566">
      <c r="AA566" s="603"/>
      <c r="AB566" s="1412"/>
    </row>
    <row r="567">
      <c r="AA567" s="603"/>
      <c r="AB567" s="1412"/>
    </row>
    <row r="568">
      <c r="AA568" s="603"/>
      <c r="AB568" s="1412"/>
    </row>
    <row r="569">
      <c r="AA569" s="603"/>
      <c r="AB569" s="1412"/>
    </row>
    <row r="570">
      <c r="AA570" s="603"/>
      <c r="AB570" s="1412"/>
    </row>
    <row r="571">
      <c r="AA571" s="726"/>
      <c r="AB571" s="1412"/>
    </row>
    <row r="572">
      <c r="AA572" s="603"/>
      <c r="AB572" s="1412"/>
    </row>
    <row r="573">
      <c r="AA573" s="603"/>
      <c r="AB573" s="1412"/>
    </row>
    <row r="574">
      <c r="AA574" s="603"/>
      <c r="AB574" s="1412"/>
    </row>
    <row r="575">
      <c r="AA575" s="603"/>
      <c r="AB575" s="1412"/>
    </row>
    <row r="576">
      <c r="AA576" s="603"/>
      <c r="AB576" s="1412"/>
    </row>
    <row r="577">
      <c r="AA577" s="603"/>
      <c r="AB577" s="1412"/>
    </row>
    <row r="578">
      <c r="AA578" s="603"/>
      <c r="AB578" s="1412"/>
    </row>
    <row r="579">
      <c r="AA579" s="603"/>
      <c r="AB579" s="1412"/>
    </row>
    <row r="580">
      <c r="AA580" s="603"/>
      <c r="AB580" s="1412"/>
    </row>
    <row r="581">
      <c r="AA581" s="603"/>
      <c r="AB581" s="1412"/>
    </row>
    <row r="582">
      <c r="AA582" s="603"/>
      <c r="AB582" s="1412"/>
    </row>
    <row r="583">
      <c r="AA583" s="603"/>
      <c r="AB583" s="1412"/>
    </row>
    <row r="584">
      <c r="AA584" s="603"/>
      <c r="AB584" s="1412"/>
    </row>
    <row r="585">
      <c r="AA585" s="603"/>
      <c r="AB585" s="1412"/>
    </row>
    <row r="586">
      <c r="AA586" s="603"/>
      <c r="AB586" s="1412"/>
    </row>
    <row r="587">
      <c r="AA587" s="603"/>
      <c r="AB587" s="1412"/>
    </row>
    <row r="588">
      <c r="AA588" s="603"/>
      <c r="AB588" s="1412"/>
    </row>
    <row r="589">
      <c r="AA589" s="603"/>
      <c r="AB589" s="1412"/>
    </row>
    <row r="590">
      <c r="AA590" s="603"/>
      <c r="AB590" s="1412"/>
    </row>
    <row r="591">
      <c r="AA591" s="603"/>
      <c r="AB591" s="1412"/>
    </row>
    <row r="592">
      <c r="AA592" s="393"/>
      <c r="AB592" s="1412"/>
    </row>
    <row r="593">
      <c r="AA593" s="319"/>
      <c r="AB593" s="1412"/>
    </row>
    <row r="594">
      <c r="AA594" s="319"/>
      <c r="AB594" s="1412"/>
    </row>
    <row r="595">
      <c r="AA595" s="319"/>
      <c r="AB595" s="1412"/>
    </row>
    <row r="596">
      <c r="AA596" s="319"/>
      <c r="AB596" s="1412"/>
    </row>
    <row r="597">
      <c r="AA597" s="319"/>
      <c r="AB597" s="1412"/>
    </row>
    <row r="598">
      <c r="AA598" s="319"/>
      <c r="AB598" s="1412"/>
    </row>
    <row r="599">
      <c r="AA599" s="319"/>
      <c r="AB599" s="1412"/>
    </row>
    <row r="600">
      <c r="AA600" s="319"/>
      <c r="AB600" s="1412"/>
    </row>
    <row r="601">
      <c r="AA601" s="319"/>
      <c r="AB601" s="1412"/>
    </row>
    <row r="602">
      <c r="AA602" s="319"/>
      <c r="AB602" s="1412"/>
    </row>
    <row r="603">
      <c r="AA603" s="319"/>
      <c r="AB603" s="1412"/>
    </row>
    <row r="604">
      <c r="AA604" s="319"/>
      <c r="AB604" s="1412"/>
    </row>
    <row r="605">
      <c r="AA605" s="319"/>
      <c r="AB605" s="1412"/>
    </row>
    <row r="606">
      <c r="AA606" s="319"/>
      <c r="AB606" s="1412"/>
    </row>
    <row r="607">
      <c r="AA607" s="319"/>
      <c r="AB607" s="1412"/>
    </row>
    <row r="608">
      <c r="AA608" s="319"/>
      <c r="AB608" s="1412"/>
    </row>
    <row r="609">
      <c r="AA609" s="319"/>
      <c r="AB609" s="1412"/>
    </row>
    <row r="610">
      <c r="AA610" s="319"/>
      <c r="AB610" s="1412"/>
    </row>
    <row r="611">
      <c r="AA611" s="319"/>
      <c r="AB611" s="1412"/>
    </row>
    <row r="612">
      <c r="AA612" s="319"/>
      <c r="AB612" s="1412"/>
    </row>
    <row r="613">
      <c r="AA613" s="319"/>
      <c r="AB613" s="1412"/>
    </row>
    <row r="614">
      <c r="AA614" s="319"/>
      <c r="AB614" s="1412"/>
    </row>
    <row r="615">
      <c r="AA615" s="319"/>
      <c r="AB615" s="1412"/>
    </row>
    <row r="616">
      <c r="AA616" s="319"/>
      <c r="AB616" s="1412"/>
    </row>
    <row r="617">
      <c r="AA617" s="319"/>
      <c r="AB617" s="1412"/>
    </row>
    <row r="618">
      <c r="AA618" s="319"/>
      <c r="AB618" s="1412"/>
    </row>
    <row r="619">
      <c r="AA619" s="319"/>
      <c r="AB619" s="1412"/>
    </row>
    <row r="620">
      <c r="AA620" s="319"/>
      <c r="AB620" s="1412"/>
    </row>
    <row r="621">
      <c r="AA621" s="319"/>
      <c r="AB621" s="1412"/>
    </row>
    <row r="622">
      <c r="AA622" s="319"/>
      <c r="AB622" s="1412"/>
    </row>
    <row r="623">
      <c r="AA623" s="319"/>
      <c r="AB623" s="1412"/>
    </row>
    <row r="624">
      <c r="AA624" s="319"/>
      <c r="AB624" s="1412"/>
    </row>
    <row r="625">
      <c r="AA625" s="319"/>
      <c r="AB625" s="1412"/>
    </row>
    <row r="626">
      <c r="AA626" s="319"/>
      <c r="AB626" s="1412"/>
    </row>
    <row r="627">
      <c r="AA627" s="319"/>
      <c r="AB627" s="1412"/>
    </row>
    <row r="628">
      <c r="AA628" s="319"/>
      <c r="AB628" s="1412"/>
    </row>
    <row r="629">
      <c r="AA629" s="319"/>
      <c r="AB629" s="1412"/>
    </row>
    <row r="630">
      <c r="AA630" s="319"/>
      <c r="AB630" s="1412"/>
    </row>
    <row r="631">
      <c r="AA631" s="319"/>
      <c r="AB631" s="1412"/>
    </row>
    <row r="632">
      <c r="AA632" s="319"/>
      <c r="AB632" s="1412"/>
    </row>
    <row r="633">
      <c r="AA633" s="319"/>
      <c r="AB633" s="1412"/>
    </row>
    <row r="634">
      <c r="AA634" s="319"/>
      <c r="AB634" s="1412"/>
    </row>
    <row r="635">
      <c r="AA635" s="319"/>
      <c r="AB635" s="1412"/>
    </row>
    <row r="636">
      <c r="AA636" s="319"/>
      <c r="AB636" s="1412"/>
    </row>
    <row r="637">
      <c r="AA637" s="319"/>
      <c r="AB637" s="1412"/>
    </row>
    <row r="638">
      <c r="AA638" s="319"/>
      <c r="AB638" s="1412"/>
    </row>
    <row r="639">
      <c r="AA639" s="319"/>
      <c r="AB639" s="1412"/>
    </row>
    <row r="640">
      <c r="AA640" s="319"/>
      <c r="AB640" s="1412"/>
    </row>
    <row r="641">
      <c r="AA641" s="319"/>
      <c r="AB641" s="1412"/>
    </row>
    <row r="642">
      <c r="AA642" s="319"/>
      <c r="AB642" s="1412"/>
    </row>
    <row r="643">
      <c r="AA643" s="319"/>
      <c r="AB643" s="1412"/>
    </row>
    <row r="644">
      <c r="AA644" s="319"/>
      <c r="AB644" s="1412"/>
    </row>
    <row r="645">
      <c r="AA645" s="319"/>
      <c r="AB645" s="1412"/>
    </row>
    <row r="646">
      <c r="AA646" s="319"/>
      <c r="AB646" s="1412"/>
    </row>
    <row r="647">
      <c r="AA647" s="319"/>
      <c r="AB647" s="1412"/>
    </row>
    <row r="648">
      <c r="AA648" s="319"/>
      <c r="AB648" s="1412"/>
    </row>
    <row r="649">
      <c r="AA649" s="319"/>
      <c r="AB649" s="1412"/>
    </row>
    <row r="650">
      <c r="AA650" s="319"/>
      <c r="AB650" s="1412"/>
    </row>
    <row r="651">
      <c r="AA651" s="749"/>
      <c r="AB651" s="1412"/>
    </row>
    <row r="652">
      <c r="AA652" s="319"/>
      <c r="AB652" s="1412"/>
    </row>
    <row r="653">
      <c r="AA653" s="319"/>
      <c r="AB653" s="1412"/>
    </row>
    <row r="654">
      <c r="AA654" s="663"/>
      <c r="AB654" s="1412"/>
    </row>
    <row r="655">
      <c r="AA655" s="676"/>
      <c r="AB655" s="1412"/>
    </row>
    <row r="656">
      <c r="AA656" s="319"/>
      <c r="AB656" s="1412"/>
    </row>
    <row r="657">
      <c r="AA657" s="319"/>
      <c r="AB657" s="1412"/>
    </row>
    <row r="658">
      <c r="AA658" s="319"/>
      <c r="AB658" s="1412"/>
    </row>
    <row r="659">
      <c r="AA659" s="319"/>
      <c r="AB659" s="1412"/>
    </row>
    <row r="660">
      <c r="AA660" s="319"/>
      <c r="AB660" s="1412"/>
    </row>
    <row r="661">
      <c r="AA661" s="319"/>
      <c r="AB661" s="1412"/>
    </row>
    <row r="662">
      <c r="AA662" s="319"/>
      <c r="AB662" s="1412"/>
    </row>
    <row r="663">
      <c r="AA663" s="319"/>
      <c r="AB663" s="1412"/>
    </row>
    <row r="664">
      <c r="AA664" s="319"/>
      <c r="AB664" s="1412"/>
    </row>
    <row r="665">
      <c r="AA665" s="663"/>
      <c r="AB665" s="1412"/>
    </row>
    <row r="666">
      <c r="AA666" s="393"/>
      <c r="AB666" s="1412"/>
    </row>
    <row r="667">
      <c r="AA667" s="319"/>
      <c r="AB667" s="1412"/>
    </row>
    <row r="668">
      <c r="AA668" s="319"/>
      <c r="AB668" s="1412"/>
    </row>
    <row r="669">
      <c r="AA669" s="319"/>
      <c r="AB669" s="1412"/>
    </row>
    <row r="670">
      <c r="AA670" s="319"/>
      <c r="AB670" s="1412"/>
    </row>
    <row r="671">
      <c r="AA671" s="663"/>
      <c r="AB671" s="1412"/>
    </row>
    <row r="672">
      <c r="AA672" s="676"/>
      <c r="AB672" s="1412"/>
    </row>
    <row r="673">
      <c r="AA673" s="319"/>
      <c r="AB673" s="1412"/>
    </row>
    <row r="674">
      <c r="AA674" s="319"/>
      <c r="AB674" s="1412"/>
    </row>
    <row r="675">
      <c r="AA675" s="319"/>
      <c r="AB675" s="1412"/>
    </row>
    <row r="676">
      <c r="AA676" s="319"/>
      <c r="AB676" s="1412"/>
    </row>
    <row r="677">
      <c r="AA677" s="319"/>
      <c r="AB677" s="1412"/>
    </row>
    <row r="678">
      <c r="AA678" s="319"/>
      <c r="AB678" s="1412"/>
    </row>
    <row r="679">
      <c r="AA679" s="319"/>
      <c r="AB679" s="1412"/>
    </row>
    <row r="680">
      <c r="AA680" s="319"/>
      <c r="AB680" s="1412"/>
    </row>
    <row r="681">
      <c r="AA681" s="319"/>
      <c r="AB681" s="1412"/>
    </row>
    <row r="682">
      <c r="AA682" s="319"/>
      <c r="AB682" s="1412"/>
    </row>
    <row r="683">
      <c r="AA683" s="319"/>
      <c r="AB683" s="1412"/>
    </row>
    <row r="684">
      <c r="AA684" s="319"/>
      <c r="AB684" s="1412"/>
    </row>
    <row r="685">
      <c r="AA685" s="319"/>
      <c r="AB685" s="1412"/>
    </row>
    <row r="686">
      <c r="AA686" s="319"/>
      <c r="AB686" s="1412"/>
    </row>
    <row r="687">
      <c r="AA687" s="319"/>
      <c r="AB687" s="1412"/>
    </row>
    <row r="688">
      <c r="AA688" s="319"/>
      <c r="AB688" s="1412"/>
    </row>
    <row r="689">
      <c r="AA689" s="319"/>
      <c r="AB689" s="1412"/>
    </row>
    <row r="690">
      <c r="AA690" s="319"/>
      <c r="AB690" s="1412"/>
    </row>
    <row r="691">
      <c r="AA691" s="319"/>
      <c r="AB691" s="1412"/>
    </row>
    <row r="692">
      <c r="AA692" s="319"/>
      <c r="AB692" s="1412"/>
    </row>
    <row r="693">
      <c r="AA693" s="319"/>
      <c r="AB693" s="1412"/>
    </row>
    <row r="694">
      <c r="AA694" s="319"/>
      <c r="AB694" s="1412"/>
    </row>
    <row r="695">
      <c r="AA695" s="319"/>
      <c r="AB695" s="1412"/>
    </row>
    <row r="696">
      <c r="AA696" s="319"/>
      <c r="AB696" s="1412"/>
    </row>
    <row r="697">
      <c r="AA697" s="319"/>
      <c r="AB697" s="1412"/>
    </row>
    <row r="698">
      <c r="AA698" s="319"/>
      <c r="AB698" s="1412"/>
    </row>
    <row r="699">
      <c r="AA699" s="319"/>
      <c r="AB699" s="1412"/>
    </row>
    <row r="700">
      <c r="AA700" s="319"/>
      <c r="AB700" s="1412"/>
    </row>
    <row r="701">
      <c r="AA701" s="319"/>
      <c r="AB701" s="1412"/>
    </row>
    <row r="702">
      <c r="AA702" s="319"/>
      <c r="AB702" s="1412"/>
    </row>
    <row r="703">
      <c r="AA703" s="319"/>
      <c r="AB703" s="1412"/>
    </row>
    <row r="704">
      <c r="AA704" s="319"/>
      <c r="AB704" s="1412"/>
    </row>
    <row r="705">
      <c r="AA705" s="319"/>
      <c r="AB705" s="1412"/>
    </row>
    <row r="706">
      <c r="AA706" s="319"/>
      <c r="AB706" s="1412"/>
    </row>
    <row r="707">
      <c r="AA707" s="319"/>
      <c r="AB707" s="1412"/>
    </row>
    <row r="708">
      <c r="AA708" s="319"/>
      <c r="AB708" s="1412"/>
    </row>
    <row r="709">
      <c r="AA709" s="319"/>
      <c r="AB709" s="1412"/>
    </row>
    <row r="710">
      <c r="AA710" s="319"/>
      <c r="AB710" s="1412"/>
    </row>
    <row r="711">
      <c r="AA711" s="319"/>
      <c r="AB711" s="1412"/>
    </row>
    <row r="712">
      <c r="AA712" s="319"/>
      <c r="AB712" s="1412"/>
    </row>
    <row r="713">
      <c r="AA713" s="319"/>
      <c r="AB713" s="1412"/>
    </row>
    <row r="714">
      <c r="AA714" s="319"/>
      <c r="AB714" s="1412"/>
    </row>
    <row r="715">
      <c r="AA715" s="319"/>
      <c r="AB715" s="1412"/>
    </row>
    <row r="716">
      <c r="AA716" s="319"/>
      <c r="AB716" s="1412"/>
    </row>
    <row r="717">
      <c r="AA717" s="319"/>
      <c r="AB717" s="1412"/>
    </row>
    <row r="718">
      <c r="AA718" s="319"/>
      <c r="AB718" s="1412"/>
    </row>
    <row r="719">
      <c r="AA719" s="319"/>
      <c r="AB719" s="1412"/>
    </row>
    <row r="720">
      <c r="AA720" s="319"/>
      <c r="AB720" s="1412"/>
    </row>
    <row r="721">
      <c r="AA721" s="319"/>
      <c r="AB721" s="1412"/>
    </row>
    <row r="722">
      <c r="AA722" s="319"/>
      <c r="AB722" s="1412"/>
    </row>
    <row r="723">
      <c r="AA723" s="319"/>
      <c r="AB723" s="1412"/>
    </row>
    <row r="724">
      <c r="AA724" s="319"/>
      <c r="AB724" s="1412"/>
    </row>
    <row r="725">
      <c r="AA725" s="319"/>
      <c r="AB725" s="1412"/>
    </row>
    <row r="726">
      <c r="AA726" s="319"/>
      <c r="AB726" s="1412"/>
    </row>
    <row r="727">
      <c r="AA727" s="319"/>
      <c r="AB727" s="1412"/>
    </row>
    <row r="728">
      <c r="AA728" s="319"/>
      <c r="AB728" s="1412"/>
    </row>
    <row r="729">
      <c r="AA729" s="319"/>
      <c r="AB729" s="1412"/>
    </row>
    <row r="730">
      <c r="AA730" s="319"/>
      <c r="AB730" s="1412"/>
    </row>
    <row r="731">
      <c r="AA731" s="319"/>
      <c r="AB731" s="1412"/>
    </row>
    <row r="732">
      <c r="AA732" s="319"/>
      <c r="AB732" s="1412"/>
    </row>
    <row r="733">
      <c r="AA733" s="319"/>
      <c r="AB733" s="1412"/>
    </row>
    <row r="734">
      <c r="AA734" s="319"/>
      <c r="AB734" s="1412"/>
    </row>
    <row r="735">
      <c r="AA735" s="319"/>
      <c r="AB735" s="1412"/>
    </row>
    <row r="736">
      <c r="AA736" s="319"/>
      <c r="AB736" s="1412"/>
    </row>
    <row r="737">
      <c r="AA737" s="319"/>
      <c r="AB737" s="1412"/>
    </row>
    <row r="738">
      <c r="AA738" s="319"/>
      <c r="AB738" s="1412"/>
    </row>
    <row r="739">
      <c r="AA739" s="319"/>
      <c r="AB739" s="1412"/>
    </row>
    <row r="740">
      <c r="AA740" s="319"/>
      <c r="AB740" s="1412"/>
    </row>
    <row r="741">
      <c r="AA741" s="663"/>
      <c r="AB741" s="1412"/>
    </row>
    <row r="742">
      <c r="AA742" s="393"/>
      <c r="AB742" s="1412"/>
    </row>
    <row r="743">
      <c r="AA743" s="319"/>
      <c r="AB743" s="1412"/>
    </row>
    <row r="744">
      <c r="AA744" s="663"/>
      <c r="AB744" s="1412"/>
    </row>
    <row r="745">
      <c r="AA745" s="393"/>
      <c r="AB745" s="1412"/>
    </row>
    <row r="746">
      <c r="AA746" s="319"/>
      <c r="AB746" s="1412"/>
    </row>
    <row r="747">
      <c r="AA747" s="319"/>
      <c r="AB747" s="1412"/>
    </row>
    <row r="748">
      <c r="AA748" s="319"/>
      <c r="AB748" s="1412"/>
    </row>
    <row r="749">
      <c r="AA749" s="319"/>
      <c r="AB749" s="1412"/>
    </row>
    <row r="750">
      <c r="AA750" s="319"/>
      <c r="AB750" s="1412"/>
    </row>
    <row r="751">
      <c r="AA751" s="319"/>
      <c r="AB751" s="1412"/>
    </row>
    <row r="752">
      <c r="AA752" s="319"/>
      <c r="AB752" s="1412"/>
    </row>
    <row r="753">
      <c r="AA753" s="319"/>
      <c r="AB753" s="1412"/>
    </row>
    <row r="754">
      <c r="AA754" s="319"/>
      <c r="AB754" s="1412"/>
    </row>
    <row r="755">
      <c r="AA755" s="319"/>
      <c r="AB755" s="1412"/>
    </row>
    <row r="756">
      <c r="AA756" s="319"/>
      <c r="AB756" s="1412"/>
    </row>
    <row r="757">
      <c r="AA757" s="319"/>
      <c r="AB757" s="1412"/>
    </row>
    <row r="758">
      <c r="AA758" s="319"/>
      <c r="AB758" s="1412"/>
    </row>
    <row r="759">
      <c r="AA759" s="319"/>
      <c r="AB759" s="1412"/>
    </row>
    <row r="760">
      <c r="AA760" s="319"/>
      <c r="AB760" s="1412"/>
    </row>
    <row r="761">
      <c r="AA761" s="319"/>
      <c r="AB761" s="1412"/>
    </row>
    <row r="762">
      <c r="AA762" s="319"/>
      <c r="AB762" s="1412"/>
    </row>
    <row r="763">
      <c r="AA763" s="319"/>
      <c r="AB763" s="1412"/>
    </row>
    <row r="764">
      <c r="AA764" s="319"/>
      <c r="AB764" s="1412"/>
    </row>
    <row r="765">
      <c r="AA765" s="319"/>
      <c r="AB765" s="1412"/>
    </row>
    <row r="766">
      <c r="AA766" s="319"/>
      <c r="AB766" s="1412"/>
    </row>
    <row r="767">
      <c r="AA767" s="319"/>
      <c r="AB767" s="1412"/>
    </row>
    <row r="768">
      <c r="AA768" s="319"/>
      <c r="AB768" s="1412"/>
    </row>
    <row r="769">
      <c r="AA769" s="319"/>
      <c r="AB769" s="1412"/>
    </row>
    <row r="770">
      <c r="AA770" s="801"/>
      <c r="AB770" s="1412"/>
    </row>
    <row r="771">
      <c r="AA771" s="319"/>
      <c r="AB771" s="1412"/>
    </row>
    <row r="772">
      <c r="AA772" s="319"/>
      <c r="AB772" s="1412"/>
    </row>
    <row r="773">
      <c r="AA773" s="319"/>
      <c r="AB773" s="1412"/>
    </row>
    <row r="774">
      <c r="AA774" s="319"/>
      <c r="AB774" s="1412"/>
    </row>
    <row r="775">
      <c r="AA775" s="319"/>
      <c r="AB775" s="1412"/>
    </row>
    <row r="776">
      <c r="AA776" s="319"/>
      <c r="AB776" s="1412"/>
    </row>
    <row r="777">
      <c r="AA777" s="319"/>
      <c r="AB777" s="1412"/>
    </row>
    <row r="778">
      <c r="AA778" s="319"/>
      <c r="AB778" s="1412"/>
    </row>
    <row r="779">
      <c r="AA779" s="319"/>
      <c r="AB779" s="1412"/>
    </row>
    <row r="780">
      <c r="AA780" s="319"/>
      <c r="AB780" s="1412"/>
    </row>
    <row r="781">
      <c r="AA781" s="319"/>
      <c r="AB781" s="1412"/>
    </row>
    <row r="782">
      <c r="AA782" s="319"/>
      <c r="AB782" s="1412"/>
    </row>
    <row r="783">
      <c r="AA783" s="319"/>
      <c r="AB783" s="1412"/>
    </row>
    <row r="784">
      <c r="AA784" s="319"/>
      <c r="AB784" s="1412"/>
    </row>
    <row r="785">
      <c r="AA785" s="319"/>
      <c r="AB785" s="1412"/>
    </row>
    <row r="786">
      <c r="AA786" s="319"/>
      <c r="AB786" s="1412"/>
    </row>
    <row r="787">
      <c r="AA787" s="319"/>
      <c r="AB787" s="1412"/>
    </row>
    <row r="788">
      <c r="AA788" s="319"/>
      <c r="AB788" s="1412"/>
    </row>
    <row r="789">
      <c r="AA789" s="319"/>
      <c r="AB789" s="1412"/>
    </row>
    <row r="790">
      <c r="AA790" s="319"/>
      <c r="AB790" s="1412"/>
    </row>
    <row r="791">
      <c r="AA791" s="319"/>
      <c r="AB791" s="1412"/>
    </row>
    <row r="792">
      <c r="AA792" s="319"/>
      <c r="AB792" s="1412"/>
    </row>
    <row r="793">
      <c r="AA793" s="319"/>
      <c r="AB793" s="1412"/>
    </row>
    <row r="794">
      <c r="AA794" s="319"/>
      <c r="AB794" s="1412"/>
    </row>
    <row r="795">
      <c r="AA795" s="319"/>
      <c r="AB795" s="1412"/>
    </row>
    <row r="796">
      <c r="AA796" s="319"/>
      <c r="AB796" s="1412"/>
    </row>
    <row r="797">
      <c r="AA797" s="319"/>
      <c r="AB797" s="1412"/>
    </row>
    <row r="798">
      <c r="AA798" s="319"/>
      <c r="AB798" s="1412"/>
    </row>
    <row r="799">
      <c r="AA799" s="319"/>
      <c r="AB799" s="1412"/>
    </row>
    <row r="800">
      <c r="AA800" s="319"/>
      <c r="AB800" s="1412"/>
    </row>
    <row r="801">
      <c r="AA801" s="319"/>
      <c r="AB801" s="1412"/>
    </row>
    <row r="802">
      <c r="AA802" s="319"/>
      <c r="AB802" s="1412"/>
    </row>
    <row r="803">
      <c r="AA803" s="319"/>
      <c r="AB803" s="1412"/>
    </row>
    <row r="804">
      <c r="AA804" s="319"/>
      <c r="AB804" s="1412"/>
    </row>
    <row r="805">
      <c r="AA805" s="319"/>
      <c r="AB805" s="1412"/>
    </row>
    <row r="806">
      <c r="AA806" s="319"/>
      <c r="AB806" s="1412"/>
    </row>
    <row r="807">
      <c r="AA807" s="319"/>
      <c r="AB807" s="1412"/>
    </row>
    <row r="808">
      <c r="AA808" s="319"/>
      <c r="AB808" s="1412"/>
    </row>
    <row r="809">
      <c r="AA809" s="319"/>
      <c r="AB809" s="1412"/>
    </row>
    <row r="810">
      <c r="AA810" s="319"/>
      <c r="AB810" s="1412"/>
    </row>
    <row r="811">
      <c r="AA811" s="319"/>
      <c r="AB811" s="1412"/>
    </row>
    <row r="812">
      <c r="AA812" s="319"/>
      <c r="AB812" s="1412"/>
    </row>
    <row r="813">
      <c r="AA813" s="319"/>
      <c r="AB813" s="1412"/>
    </row>
    <row r="814">
      <c r="AA814" s="319"/>
      <c r="AB814" s="1412"/>
    </row>
    <row r="815">
      <c r="AA815" s="319"/>
      <c r="AB815" s="1412"/>
    </row>
    <row r="816">
      <c r="AA816" s="319"/>
      <c r="AB816" s="1412"/>
    </row>
    <row r="817">
      <c r="AA817" s="319"/>
      <c r="AB817" s="1412"/>
    </row>
    <row r="818">
      <c r="AA818" s="319"/>
      <c r="AB818" s="1412"/>
    </row>
    <row r="819">
      <c r="AA819" s="319"/>
      <c r="AB819" s="1412"/>
    </row>
    <row r="820">
      <c r="AA820" s="319"/>
      <c r="AB820" s="1412"/>
    </row>
    <row r="821">
      <c r="AA821" s="663"/>
      <c r="AB821" s="1412"/>
    </row>
    <row r="822">
      <c r="AA822" s="393"/>
      <c r="AB822" s="1412"/>
    </row>
    <row r="823">
      <c r="AA823" s="319"/>
      <c r="AB823" s="1412"/>
    </row>
    <row r="824">
      <c r="AA824" s="319"/>
      <c r="AB824" s="1412"/>
    </row>
    <row r="825">
      <c r="AA825" s="663"/>
      <c r="AB825" s="1412"/>
    </row>
    <row r="826">
      <c r="AA826" s="393"/>
      <c r="AB826" s="1412"/>
    </row>
    <row r="827">
      <c r="AA827" s="319"/>
      <c r="AB827" s="1412"/>
    </row>
    <row r="828">
      <c r="AA828" s="319"/>
      <c r="AB828" s="1412"/>
    </row>
    <row r="829">
      <c r="AA829" s="676"/>
      <c r="AB829" s="1412"/>
    </row>
    <row r="830">
      <c r="AA830" s="676"/>
      <c r="AB830" s="1412"/>
    </row>
    <row r="831">
      <c r="AA831" s="393"/>
      <c r="AB831" s="1412"/>
    </row>
    <row r="832">
      <c r="AA832" s="319"/>
      <c r="AB832" s="1412"/>
    </row>
    <row r="833">
      <c r="AA833" s="319"/>
      <c r="AB833" s="1412"/>
    </row>
    <row r="834">
      <c r="AA834" s="319"/>
      <c r="AB834" s="1412"/>
    </row>
    <row r="835">
      <c r="AA835" s="319"/>
      <c r="AB835" s="1412"/>
    </row>
    <row r="836">
      <c r="AA836" s="319"/>
      <c r="AB836" s="1412"/>
    </row>
    <row r="837">
      <c r="AA837" s="319"/>
      <c r="AB837" s="1412"/>
    </row>
    <row r="838">
      <c r="AA838" s="319"/>
      <c r="AB838" s="1412"/>
    </row>
    <row r="839">
      <c r="AA839" s="319"/>
      <c r="AB839" s="1412"/>
    </row>
    <row r="840">
      <c r="AA840" s="319"/>
      <c r="AB840" s="1412"/>
    </row>
    <row r="841">
      <c r="AA841" s="319"/>
      <c r="AB841" s="1412"/>
    </row>
    <row r="842">
      <c r="AA842" s="319"/>
      <c r="AB842" s="1412"/>
    </row>
    <row r="843">
      <c r="AA843" s="319"/>
      <c r="AB843" s="1412"/>
    </row>
    <row r="844">
      <c r="AA844" s="319"/>
      <c r="AB844" s="1412"/>
    </row>
    <row r="845">
      <c r="AA845" s="319"/>
      <c r="AB845" s="1412"/>
    </row>
    <row r="846">
      <c r="AA846" s="319"/>
      <c r="AB846" s="1412"/>
    </row>
    <row r="847">
      <c r="AA847" s="319"/>
      <c r="AB847" s="1412"/>
    </row>
    <row r="848">
      <c r="AA848" s="319"/>
      <c r="AB848" s="1412"/>
    </row>
    <row r="849">
      <c r="AA849" s="319"/>
      <c r="AB849" s="1412"/>
    </row>
    <row r="850">
      <c r="AA850" s="319"/>
      <c r="AB850" s="1412"/>
    </row>
    <row r="851">
      <c r="AA851" s="663"/>
      <c r="AB851" s="1412"/>
    </row>
    <row r="852">
      <c r="AA852" s="393"/>
      <c r="AB852" s="1412"/>
    </row>
    <row r="853">
      <c r="AA853" s="319"/>
      <c r="AB853" s="1412"/>
    </row>
    <row r="854">
      <c r="AA854" s="319"/>
      <c r="AB854" s="1412"/>
    </row>
    <row r="855">
      <c r="AA855" s="319"/>
      <c r="AB855" s="1412"/>
    </row>
    <row r="856">
      <c r="AA856" s="676"/>
      <c r="AB856" s="1412"/>
    </row>
    <row r="857">
      <c r="AA857" s="319"/>
      <c r="AB857" s="1412"/>
    </row>
    <row r="858">
      <c r="AA858" s="319"/>
      <c r="AB858" s="1412"/>
    </row>
    <row r="859">
      <c r="AA859" s="319"/>
      <c r="AB859" s="1412"/>
    </row>
    <row r="860">
      <c r="AA860" s="319"/>
      <c r="AB860" s="1412"/>
    </row>
    <row r="861">
      <c r="AA861" s="393"/>
      <c r="AB861" s="1412"/>
    </row>
    <row r="862">
      <c r="AA862" s="319"/>
      <c r="AB862" s="1412"/>
    </row>
    <row r="863">
      <c r="AA863" s="319"/>
      <c r="AB863" s="1412"/>
    </row>
    <row r="864">
      <c r="AA864" s="663"/>
      <c r="AB864" s="1412"/>
    </row>
    <row r="865">
      <c r="AA865" s="319"/>
      <c r="AB865" s="1412"/>
    </row>
    <row r="866">
      <c r="AA866" s="319"/>
      <c r="AB866" s="1412"/>
    </row>
    <row r="867">
      <c r="AA867" s="663"/>
      <c r="AB867" s="1412"/>
    </row>
    <row r="868">
      <c r="AA868" s="393"/>
      <c r="AB868" s="1412"/>
    </row>
    <row r="869">
      <c r="AA869" s="319"/>
      <c r="AB869" s="1412"/>
    </row>
    <row r="870">
      <c r="AA870" s="319"/>
      <c r="AB870" s="1412"/>
    </row>
    <row r="871">
      <c r="AA871" s="663"/>
      <c r="AB871" s="1412"/>
    </row>
    <row r="872">
      <c r="AA872" s="663"/>
      <c r="AB872" s="1412"/>
    </row>
    <row r="873">
      <c r="AA873" s="393"/>
      <c r="AB873" s="1412"/>
    </row>
    <row r="874">
      <c r="AA874" s="319"/>
      <c r="AB874" s="1412"/>
    </row>
    <row r="875">
      <c r="AA875" s="319"/>
      <c r="AB875" s="1412"/>
    </row>
    <row r="876">
      <c r="AA876" s="319"/>
      <c r="AB876" s="1412"/>
    </row>
    <row r="877">
      <c r="AA877" s="319"/>
      <c r="AB877" s="1412"/>
    </row>
    <row r="878">
      <c r="AA878" s="319"/>
      <c r="AB878" s="1412"/>
    </row>
    <row r="879">
      <c r="AA879" s="319"/>
      <c r="AB879" s="1412"/>
    </row>
    <row r="880">
      <c r="AA880" s="319"/>
      <c r="AB880" s="1412"/>
    </row>
    <row r="881">
      <c r="AA881" s="319"/>
      <c r="AB881" s="1412"/>
    </row>
    <row r="882">
      <c r="AA882" s="319"/>
      <c r="AB882" s="1412"/>
    </row>
    <row r="883">
      <c r="AA883" s="319"/>
      <c r="AB883" s="1412"/>
    </row>
    <row r="884">
      <c r="AA884" s="319"/>
      <c r="AB884" s="1412"/>
    </row>
    <row r="885">
      <c r="AA885" s="663"/>
      <c r="AB885" s="1412"/>
    </row>
    <row r="886">
      <c r="AA886" s="319"/>
      <c r="AB886" s="1412"/>
    </row>
    <row r="887">
      <c r="AA887" s="319"/>
      <c r="AB887" s="1412"/>
    </row>
    <row r="888">
      <c r="AA888" s="663"/>
      <c r="AB888" s="1412"/>
    </row>
    <row r="889">
      <c r="AA889" s="393"/>
      <c r="AB889" s="1412"/>
    </row>
    <row r="890">
      <c r="AA890" s="319"/>
      <c r="AB890" s="1412"/>
    </row>
    <row r="891">
      <c r="AA891" s="319"/>
      <c r="AB891" s="1412"/>
    </row>
    <row r="892">
      <c r="AA892" s="319"/>
      <c r="AB892" s="1412"/>
    </row>
    <row r="893">
      <c r="AA893" s="319"/>
      <c r="AB893" s="1412"/>
    </row>
    <row r="894">
      <c r="AA894" s="319"/>
      <c r="AB894" s="1412"/>
    </row>
    <row r="895">
      <c r="AA895" s="319"/>
      <c r="AB895" s="1412"/>
    </row>
    <row r="896">
      <c r="AA896" s="319"/>
      <c r="AB896" s="1412"/>
    </row>
    <row r="897">
      <c r="AA897" s="319"/>
      <c r="AB897" s="1412"/>
    </row>
    <row r="898">
      <c r="AA898" s="319"/>
      <c r="AB898" s="1412"/>
    </row>
    <row r="899">
      <c r="AA899" s="319"/>
      <c r="AB899" s="1412"/>
    </row>
    <row r="900">
      <c r="AA900" s="319"/>
      <c r="AB900" s="1412"/>
    </row>
    <row r="901">
      <c r="AA901" s="319"/>
      <c r="AB901" s="1412"/>
    </row>
    <row r="902">
      <c r="AA902" s="319"/>
      <c r="AB902" s="1412"/>
    </row>
    <row r="903">
      <c r="AA903" s="319"/>
      <c r="AB903" s="1412"/>
    </row>
    <row r="904">
      <c r="AA904" s="663"/>
      <c r="AB904" s="1412"/>
    </row>
    <row r="905">
      <c r="AA905" s="319"/>
      <c r="AB905" s="1412"/>
    </row>
    <row r="906">
      <c r="AA906" s="319"/>
      <c r="AB906" s="1412"/>
    </row>
    <row r="907">
      <c r="AA907" s="319"/>
      <c r="AB907" s="1412"/>
    </row>
    <row r="908">
      <c r="AA908" s="663"/>
      <c r="AB908" s="1412"/>
    </row>
    <row r="909">
      <c r="AA909" s="319"/>
      <c r="AB909" s="1412"/>
    </row>
    <row r="910">
      <c r="AA910" s="319"/>
      <c r="AB910" s="1412"/>
    </row>
    <row r="911">
      <c r="AA911" s="852"/>
      <c r="AB911" s="1412"/>
    </row>
    <row r="912">
      <c r="AA912" s="319"/>
      <c r="AB912" s="1412"/>
    </row>
    <row r="913">
      <c r="AA913" s="319"/>
      <c r="AB913" s="1412"/>
    </row>
    <row r="914">
      <c r="AA914" s="319"/>
      <c r="AB914" s="1412"/>
    </row>
    <row r="915">
      <c r="AA915" s="852"/>
      <c r="AB915" s="1412"/>
    </row>
    <row r="916">
      <c r="AA916" s="319"/>
      <c r="AB916" s="1412"/>
    </row>
    <row r="917">
      <c r="AA917" s="319"/>
      <c r="AB917" s="1412"/>
    </row>
    <row r="918">
      <c r="AA918" s="852"/>
      <c r="AB918" s="1412"/>
    </row>
    <row r="919">
      <c r="AA919" s="319"/>
      <c r="AB919" s="1412"/>
    </row>
    <row r="920">
      <c r="AA920" s="319"/>
      <c r="AB920" s="1412"/>
    </row>
    <row r="921">
      <c r="AA921" s="319"/>
      <c r="AB921" s="1412"/>
    </row>
    <row r="922">
      <c r="AA922" s="852"/>
      <c r="AB922" s="1412"/>
    </row>
    <row r="923">
      <c r="AA923" s="319"/>
      <c r="AB923" s="1412"/>
    </row>
    <row r="924">
      <c r="AA924" s="319"/>
      <c r="AB924" s="1412"/>
    </row>
    <row r="925">
      <c r="AA925" s="852"/>
      <c r="AB925" s="1412"/>
    </row>
    <row r="926">
      <c r="AA926" s="319"/>
      <c r="AB926" s="1412"/>
    </row>
    <row r="927">
      <c r="AA927" s="319"/>
      <c r="AB927" s="1412"/>
    </row>
    <row r="928">
      <c r="AA928" s="319"/>
      <c r="AB928" s="1412"/>
    </row>
    <row r="929">
      <c r="AA929" s="319"/>
      <c r="AB929" s="1412"/>
    </row>
    <row r="930">
      <c r="AA930" s="319"/>
      <c r="AB930" s="1412"/>
    </row>
    <row r="931">
      <c r="AA931" s="852"/>
      <c r="AB931" s="1412"/>
    </row>
    <row r="932">
      <c r="AA932" s="319"/>
      <c r="AB932" s="1412"/>
    </row>
    <row r="933">
      <c r="AA933" s="319"/>
      <c r="AB933" s="1412"/>
    </row>
    <row r="934">
      <c r="AA934" s="319"/>
      <c r="AB934" s="1412"/>
    </row>
    <row r="935">
      <c r="AA935" s="319"/>
      <c r="AB935" s="1412"/>
    </row>
    <row r="936">
      <c r="AA936" s="319"/>
      <c r="AB936" s="1412"/>
    </row>
    <row r="937">
      <c r="AA937" s="319"/>
      <c r="AB937" s="1412"/>
    </row>
    <row r="938">
      <c r="AA938" s="852"/>
      <c r="AB938" s="1412"/>
    </row>
    <row r="939">
      <c r="AA939" s="852"/>
      <c r="AB939" s="1412"/>
    </row>
    <row r="940">
      <c r="AA940" s="319"/>
      <c r="AB940" s="1412"/>
    </row>
    <row r="941">
      <c r="AA941" s="319"/>
      <c r="AB941" s="1412"/>
    </row>
    <row r="942">
      <c r="AA942" s="319"/>
      <c r="AB942" s="1412"/>
    </row>
    <row r="943">
      <c r="AA943" s="878"/>
      <c r="AB943" s="1412"/>
    </row>
    <row r="944">
      <c r="AA944" s="319"/>
      <c r="AB944" s="1412"/>
    </row>
    <row r="945">
      <c r="AA945" s="319"/>
      <c r="AB945" s="1412"/>
    </row>
    <row r="946">
      <c r="AA946" s="852"/>
      <c r="AB946" s="1412"/>
    </row>
    <row r="947">
      <c r="AA947" s="319"/>
      <c r="AB947" s="1412"/>
    </row>
    <row r="948">
      <c r="AA948" s="319"/>
      <c r="AB948" s="1412"/>
    </row>
    <row r="949">
      <c r="AA949" s="319"/>
      <c r="AB949" s="1412"/>
    </row>
    <row r="950">
      <c r="AA950" s="852"/>
      <c r="AB950" s="1412"/>
    </row>
    <row r="951">
      <c r="AA951" s="319"/>
      <c r="AB951" s="1412"/>
    </row>
    <row r="952">
      <c r="AA952" s="319"/>
      <c r="AB952" s="1412"/>
    </row>
    <row r="953">
      <c r="AA953" s="319"/>
      <c r="AB953" s="1412"/>
    </row>
    <row r="954">
      <c r="AA954" s="319"/>
      <c r="AB954" s="1412"/>
    </row>
    <row r="955">
      <c r="AA955" s="319"/>
      <c r="AB955" s="1412"/>
    </row>
    <row r="956">
      <c r="AA956" s="319"/>
      <c r="AB956" s="1412"/>
    </row>
    <row r="957">
      <c r="AA957" s="319"/>
      <c r="AB957" s="1412"/>
    </row>
    <row r="958">
      <c r="AA958" s="319"/>
      <c r="AB958" s="1412"/>
    </row>
    <row r="959">
      <c r="AA959" s="319"/>
      <c r="AB959" s="1412"/>
    </row>
    <row r="960">
      <c r="AA960" s="852"/>
      <c r="AB960" s="1412"/>
    </row>
    <row r="961">
      <c r="AA961" s="319"/>
      <c r="AB961" s="1412"/>
    </row>
    <row r="962">
      <c r="AA962" s="319"/>
      <c r="AB962" s="1412"/>
    </row>
    <row r="963">
      <c r="AA963" s="319"/>
      <c r="AB963" s="1412"/>
    </row>
    <row r="964">
      <c r="AA964" s="852"/>
      <c r="AB964" s="1412"/>
    </row>
    <row r="965">
      <c r="AA965" s="319"/>
      <c r="AB965" s="1412"/>
    </row>
    <row r="966">
      <c r="AA966" s="319"/>
      <c r="AB966" s="1412"/>
    </row>
    <row r="967">
      <c r="AA967" s="319"/>
      <c r="AB967" s="1412"/>
    </row>
    <row r="968">
      <c r="AA968" s="319"/>
      <c r="AB968" s="1412"/>
    </row>
    <row r="969">
      <c r="AA969" s="319"/>
      <c r="AB969" s="1412"/>
    </row>
    <row r="970">
      <c r="AA970" s="319"/>
      <c r="AB970" s="1412"/>
    </row>
    <row r="971">
      <c r="AA971" s="319"/>
      <c r="AB971" s="1412"/>
    </row>
    <row r="972">
      <c r="AA972" s="319"/>
      <c r="AB972" s="1412"/>
    </row>
    <row r="973">
      <c r="AA973" s="319"/>
      <c r="AB973" s="1412"/>
    </row>
    <row r="974">
      <c r="AA974" s="852"/>
      <c r="AB974" s="1412"/>
    </row>
    <row r="975">
      <c r="AA975" s="319"/>
      <c r="AB975" s="1412"/>
    </row>
    <row r="976">
      <c r="AA976" s="319"/>
      <c r="AB976" s="1412"/>
    </row>
    <row r="977">
      <c r="AA977" s="393"/>
      <c r="AB977" s="1412"/>
    </row>
    <row r="978">
      <c r="AA978" s="319"/>
      <c r="AB978" s="1412"/>
    </row>
    <row r="979">
      <c r="AA979" s="319"/>
      <c r="AB979" s="1412"/>
    </row>
    <row r="980">
      <c r="AA980" s="393"/>
      <c r="AB980" s="1412"/>
    </row>
    <row r="981">
      <c r="AA981" s="319"/>
      <c r="AB981" s="1412"/>
    </row>
    <row r="982">
      <c r="AA982" s="319"/>
      <c r="AB982" s="1412"/>
    </row>
    <row r="983">
      <c r="AA983" s="319"/>
      <c r="AB983" s="1412"/>
    </row>
    <row r="984">
      <c r="AA984" s="319"/>
      <c r="AB984" s="1412"/>
    </row>
    <row r="985">
      <c r="AA985" s="319"/>
      <c r="AB985" s="1412"/>
    </row>
    <row r="986">
      <c r="AA986" s="319"/>
      <c r="AB986" s="1412"/>
    </row>
    <row r="987">
      <c r="AA987" s="319"/>
      <c r="AB987" s="1412"/>
    </row>
    <row r="988">
      <c r="AA988" s="319"/>
      <c r="AB988" s="1412"/>
    </row>
    <row r="989">
      <c r="AA989" s="319"/>
      <c r="AB989" s="1412"/>
    </row>
    <row r="990">
      <c r="AA990" s="319"/>
      <c r="AB990" s="1412"/>
    </row>
    <row r="991">
      <c r="AA991" s="319"/>
      <c r="AB991" s="1412"/>
    </row>
    <row r="992">
      <c r="AA992" s="319"/>
      <c r="AB992" s="1412"/>
    </row>
    <row r="993">
      <c r="AA993" s="319"/>
      <c r="AB993" s="1412"/>
    </row>
    <row r="994">
      <c r="AA994" s="319"/>
      <c r="AB994" s="1412"/>
    </row>
    <row r="995">
      <c r="AA995" s="319"/>
      <c r="AB995" s="1412"/>
    </row>
    <row r="996">
      <c r="AA996" s="319"/>
      <c r="AB996" s="1412"/>
    </row>
    <row r="997">
      <c r="AA997" s="319"/>
      <c r="AB997" s="1412"/>
    </row>
    <row r="998">
      <c r="AA998" s="319"/>
      <c r="AB998" s="1412"/>
    </row>
    <row r="999">
      <c r="AA999" s="319"/>
      <c r="AB999" s="1412"/>
    </row>
    <row r="1000">
      <c r="AA1000" s="319"/>
      <c r="AB1000" s="1412"/>
    </row>
    <row r="1001">
      <c r="AA1001" s="319"/>
      <c r="AB1001" s="1412"/>
    </row>
    <row r="1002">
      <c r="AA1002" s="319"/>
      <c r="AB1002" s="1412"/>
    </row>
    <row r="1003">
      <c r="AA1003" s="319"/>
      <c r="AB1003" s="1412"/>
    </row>
    <row r="1004">
      <c r="AA1004" s="319"/>
      <c r="AB1004" s="1412"/>
    </row>
    <row r="1005">
      <c r="AA1005" s="319"/>
      <c r="AB1005" s="1412"/>
    </row>
    <row r="1006">
      <c r="AA1006" s="1395"/>
      <c r="AB1006" s="1412"/>
    </row>
    <row r="1007">
      <c r="AA1007" s="3"/>
      <c r="AB1007" s="1412"/>
    </row>
    <row r="1008">
      <c r="AA1008" s="3"/>
      <c r="AB1008" s="1412"/>
    </row>
    <row r="1009">
      <c r="AA1009" s="3"/>
      <c r="AB1009" s="1412"/>
    </row>
    <row r="1010">
      <c r="AA1010" s="3"/>
      <c r="AB1010" s="1412"/>
    </row>
    <row r="1011">
      <c r="AA1011" s="3"/>
      <c r="AB1011" s="1412"/>
    </row>
    <row r="1012">
      <c r="AA1012" s="3"/>
      <c r="AB1012" s="1412"/>
    </row>
    <row r="1013">
      <c r="AA1013" s="3"/>
      <c r="AB1013" s="1412"/>
    </row>
    <row r="1014">
      <c r="AA1014" s="3"/>
      <c r="AB1014" s="1412"/>
    </row>
    <row r="1015">
      <c r="AA1015" s="3"/>
      <c r="AB1015" s="1412"/>
    </row>
    <row r="1016">
      <c r="AA1016" s="3"/>
      <c r="AB1016" s="1412"/>
    </row>
    <row r="1017">
      <c r="AA1017" s="3"/>
      <c r="AB1017" s="1412"/>
    </row>
    <row r="1018">
      <c r="AA1018" s="3"/>
      <c r="AB1018" s="1412"/>
    </row>
    <row r="1019">
      <c r="AA1019" s="3"/>
      <c r="AB1019" s="1412"/>
    </row>
    <row r="1020">
      <c r="AA1020" s="3"/>
      <c r="AB1020" s="1412"/>
    </row>
    <row r="1021">
      <c r="AA1021" s="3"/>
      <c r="AB1021" s="1412"/>
    </row>
    <row r="1022">
      <c r="AA1022" s="3"/>
      <c r="AB1022" s="1412"/>
    </row>
    <row r="1023">
      <c r="AA1023" s="3"/>
      <c r="AB1023" s="1412"/>
    </row>
    <row r="1024">
      <c r="AA1024" s="3"/>
      <c r="AB1024" s="1412"/>
    </row>
    <row r="1025">
      <c r="AA1025" s="3"/>
      <c r="AB1025" s="1412"/>
    </row>
    <row r="1026">
      <c r="AA1026" s="3"/>
      <c r="AB1026" s="1412"/>
    </row>
    <row r="1027">
      <c r="AA1027" s="3"/>
      <c r="AB1027" s="1412"/>
    </row>
    <row r="1028">
      <c r="AA1028" s="3"/>
      <c r="AB1028" s="1412"/>
    </row>
    <row r="1029">
      <c r="AA1029" s="3"/>
      <c r="AB1029" s="1412"/>
    </row>
    <row r="1030">
      <c r="AA1030" s="3"/>
      <c r="AB1030" s="1412"/>
    </row>
    <row r="1031">
      <c r="AA1031" s="3"/>
      <c r="AB1031" s="1412"/>
    </row>
    <row r="1032">
      <c r="AA1032" s="3"/>
      <c r="AB1032" s="1412"/>
    </row>
    <row r="1033">
      <c r="AA1033" s="3"/>
      <c r="AB1033" s="1412"/>
    </row>
    <row r="1034">
      <c r="AA1034" s="3"/>
      <c r="AB1034" s="1412"/>
    </row>
    <row r="1035">
      <c r="AA1035" s="1395"/>
      <c r="AB1035" s="1412"/>
    </row>
    <row r="1036">
      <c r="AA1036" s="3"/>
      <c r="AB1036" s="1412"/>
    </row>
    <row r="1037">
      <c r="AA1037" s="3"/>
      <c r="AB1037" s="1412"/>
    </row>
    <row r="1038">
      <c r="AA1038" s="3"/>
      <c r="AB1038" s="1412"/>
    </row>
    <row r="1039">
      <c r="AA1039" s="3"/>
      <c r="AB1039" s="1412"/>
    </row>
    <row r="1040">
      <c r="AA1040" s="3"/>
      <c r="AB1040" s="1412"/>
    </row>
    <row r="1041">
      <c r="AA1041" s="3"/>
      <c r="AB1041" s="1412"/>
    </row>
    <row r="1042">
      <c r="AA1042" s="3"/>
      <c r="AB1042" s="1412"/>
    </row>
    <row r="1043">
      <c r="AA1043" s="3"/>
      <c r="AB1043" s="1412"/>
    </row>
    <row r="1044">
      <c r="AA1044" s="3"/>
      <c r="AB1044" s="1412"/>
    </row>
    <row r="1045">
      <c r="AA1045" s="3"/>
      <c r="AB1045" s="1412"/>
    </row>
    <row r="1046">
      <c r="AA1046" s="3"/>
      <c r="AB1046" s="1412"/>
    </row>
    <row r="1047">
      <c r="AA1047" s="3"/>
      <c r="AB1047" s="1412"/>
    </row>
    <row r="1048">
      <c r="AA1048" s="3"/>
      <c r="AB1048" s="1412"/>
    </row>
    <row r="1049">
      <c r="AA1049" s="3"/>
      <c r="AB1049" s="1412"/>
    </row>
    <row r="1050">
      <c r="AA1050" s="3"/>
      <c r="AB1050" s="1412"/>
    </row>
    <row r="1051">
      <c r="AA1051" s="3"/>
      <c r="AB1051" s="1412"/>
    </row>
    <row r="1052">
      <c r="AA1052" s="3"/>
      <c r="AB1052" s="1412"/>
    </row>
    <row r="1053">
      <c r="AA1053" s="3"/>
      <c r="AB1053" s="1412"/>
    </row>
    <row r="1054">
      <c r="AA1054" s="3"/>
      <c r="AB1054" s="1412"/>
    </row>
    <row r="1055">
      <c r="AA1055" s="3"/>
      <c r="AB1055" s="1412"/>
    </row>
    <row r="1056">
      <c r="AA1056" s="3"/>
      <c r="AB1056" s="1412"/>
    </row>
    <row r="1057">
      <c r="AA1057" s="3"/>
      <c r="AB1057" s="1412"/>
    </row>
    <row r="1058">
      <c r="AA1058" s="3"/>
      <c r="AB1058" s="1412"/>
    </row>
    <row r="1059">
      <c r="AA1059" s="3"/>
      <c r="AB1059" s="1412"/>
    </row>
    <row r="1060">
      <c r="AA1060" s="1395"/>
      <c r="AB1060" s="1412"/>
    </row>
    <row r="1061">
      <c r="AA1061" s="3"/>
      <c r="AB1061" s="1412"/>
    </row>
    <row r="1062">
      <c r="AA1062" s="3"/>
      <c r="AB1062" s="1412"/>
    </row>
    <row r="1063">
      <c r="AA1063" s="3"/>
      <c r="AB1063" s="1412"/>
    </row>
    <row r="1064">
      <c r="AA1064" s="3"/>
      <c r="AB1064" s="1412"/>
    </row>
    <row r="1065">
      <c r="AA1065" s="3"/>
      <c r="AB1065" s="1412"/>
    </row>
    <row r="1066">
      <c r="AA1066" s="3"/>
      <c r="AB1066" s="1412"/>
    </row>
    <row r="1067">
      <c r="AA1067" s="1395"/>
      <c r="AB1067" s="1412"/>
    </row>
    <row r="1068">
      <c r="AA1068" s="3"/>
      <c r="AB1068" s="1412"/>
    </row>
    <row r="1069">
      <c r="AA1069" s="3"/>
      <c r="AB1069" s="1412"/>
    </row>
    <row r="1070">
      <c r="AA1070" s="3"/>
      <c r="AB1070" s="1412"/>
    </row>
    <row r="1071">
      <c r="AA1071" s="3"/>
      <c r="AB1071" s="1412"/>
    </row>
    <row r="1072">
      <c r="AA1072" s="3"/>
      <c r="AB1072" s="1412"/>
    </row>
    <row r="1073">
      <c r="AA1073" s="3"/>
      <c r="AB1073" s="1412"/>
    </row>
    <row r="1074">
      <c r="AA1074" s="1395"/>
      <c r="AB1074" s="1412"/>
    </row>
    <row r="1075">
      <c r="AA1075" s="3"/>
      <c r="AB1075" s="1412"/>
    </row>
    <row r="1076">
      <c r="AA1076" s="3"/>
      <c r="AB1076" s="1412"/>
    </row>
    <row r="1077">
      <c r="AA1077" s="3"/>
      <c r="AB1077" s="1412"/>
    </row>
    <row r="1078">
      <c r="AA1078" s="1392"/>
      <c r="AB1078" s="1412"/>
    </row>
    <row r="1079">
      <c r="AA1079" s="3"/>
      <c r="AB1079" s="1412"/>
    </row>
    <row r="1080">
      <c r="AA1080" s="3"/>
      <c r="AB1080" s="1412"/>
    </row>
    <row r="1081">
      <c r="AA1081" s="3"/>
      <c r="AB1081" s="1412"/>
    </row>
    <row r="1082">
      <c r="AA1082" s="3"/>
      <c r="AB1082" s="1412"/>
    </row>
    <row r="1083">
      <c r="AA1083" s="3"/>
      <c r="AB1083" s="1412"/>
    </row>
    <row r="1084">
      <c r="AA1084" s="3"/>
      <c r="AB1084" s="1412"/>
    </row>
    <row r="1085">
      <c r="AA1085" s="3"/>
      <c r="AB1085" s="1412"/>
    </row>
    <row r="1086">
      <c r="AA1086" s="1392"/>
      <c r="AB1086" s="1412"/>
    </row>
    <row r="1087">
      <c r="AA1087" s="1395"/>
      <c r="AB1087" s="1412"/>
    </row>
    <row r="1088">
      <c r="AA1088" s="3"/>
      <c r="AB1088" s="1412"/>
    </row>
    <row r="1089">
      <c r="AA1089" s="3"/>
      <c r="AB1089" s="1412"/>
    </row>
    <row r="1090">
      <c r="AA1090" s="3"/>
      <c r="AB1090" s="1412"/>
    </row>
    <row r="1091">
      <c r="AA1091" s="3"/>
      <c r="AB1091" s="1412"/>
    </row>
    <row r="1092">
      <c r="AA1092" s="3"/>
      <c r="AB1092" s="1412"/>
    </row>
    <row r="1093">
      <c r="AA1093" s="3"/>
      <c r="AB1093" s="1412"/>
    </row>
    <row r="1094">
      <c r="AA1094" s="1392"/>
      <c r="AB1094" s="1412"/>
    </row>
    <row r="1095">
      <c r="AA1095" s="3"/>
      <c r="AB1095" s="1412"/>
    </row>
    <row r="1096">
      <c r="AA1096" s="3"/>
      <c r="AB1096" s="1412"/>
    </row>
    <row r="1097">
      <c r="AA1097" s="3"/>
      <c r="AB1097" s="1412"/>
    </row>
    <row r="1098">
      <c r="AA1098" s="1392"/>
      <c r="AB1098" s="1412"/>
    </row>
    <row r="1099">
      <c r="AA1099" s="3"/>
      <c r="AB1099" s="1412"/>
    </row>
    <row r="1100">
      <c r="AA1100" s="3"/>
      <c r="AB1100" s="1412"/>
    </row>
    <row r="1101">
      <c r="AA1101" s="3"/>
      <c r="AB1101" s="1412"/>
    </row>
    <row r="1102">
      <c r="AA1102" s="3"/>
      <c r="AB1102" s="1412"/>
    </row>
    <row r="1103">
      <c r="AA1103" s="3"/>
      <c r="AB1103" s="1412"/>
    </row>
    <row r="1104">
      <c r="AA1104" s="3"/>
      <c r="AB1104" s="1412"/>
    </row>
    <row r="1105">
      <c r="AA1105" s="3"/>
      <c r="AB1105" s="1412"/>
    </row>
    <row r="1106">
      <c r="AA1106" s="3"/>
      <c r="AB1106" s="1412"/>
    </row>
    <row r="1107">
      <c r="AA1107" s="3"/>
      <c r="AB1107" s="1412"/>
    </row>
    <row r="1108">
      <c r="AA1108" s="3"/>
      <c r="AB1108" s="1412"/>
    </row>
    <row r="1109">
      <c r="AA1109" s="3"/>
      <c r="AB1109" s="1412"/>
    </row>
    <row r="1110">
      <c r="AA1110" s="1395"/>
      <c r="AB1110" s="1412"/>
    </row>
    <row r="1111">
      <c r="AA1111" s="3"/>
      <c r="AB1111" s="1412"/>
    </row>
    <row r="1112">
      <c r="AA1112" s="3"/>
      <c r="AB1112" s="1412"/>
    </row>
    <row r="1113">
      <c r="AA1113" s="3"/>
      <c r="AB1113" s="1412"/>
    </row>
    <row r="1114">
      <c r="AA1114" s="3"/>
      <c r="AB1114" s="1412"/>
    </row>
    <row r="1115">
      <c r="AA1115" s="3"/>
      <c r="AB1115" s="1412"/>
    </row>
    <row r="1116">
      <c r="AA1116" s="3"/>
      <c r="AB1116" s="1412"/>
    </row>
    <row r="1117">
      <c r="AA1117" s="3"/>
      <c r="AB1117" s="1412"/>
    </row>
    <row r="1118">
      <c r="AA1118" s="3"/>
      <c r="AB1118" s="1412"/>
    </row>
    <row r="1119">
      <c r="AA1119" s="1395"/>
      <c r="AB1119" s="1412"/>
    </row>
    <row r="1120">
      <c r="AA1120" s="3"/>
      <c r="AB1120" s="1412"/>
    </row>
    <row r="1121">
      <c r="AA1121" s="3"/>
      <c r="AB1121" s="1412"/>
    </row>
    <row r="1122">
      <c r="AA1122" s="3"/>
      <c r="AB1122" s="1412"/>
    </row>
    <row r="1123">
      <c r="AA1123" s="3"/>
      <c r="AB1123" s="1412"/>
    </row>
    <row r="1124">
      <c r="AA1124" s="3"/>
      <c r="AB1124" s="1412"/>
    </row>
    <row r="1125">
      <c r="AA1125" s="3"/>
      <c r="AB1125" s="1412"/>
    </row>
    <row r="1126">
      <c r="AA1126" s="1395"/>
      <c r="AB1126" s="1412"/>
    </row>
    <row r="1127">
      <c r="AA1127" s="3"/>
      <c r="AB1127" s="1412"/>
    </row>
    <row r="1128">
      <c r="AA1128" s="3"/>
      <c r="AB1128" s="1412"/>
    </row>
    <row r="1129">
      <c r="AA1129" s="3"/>
      <c r="AB1129" s="1412"/>
    </row>
    <row r="1130">
      <c r="AA1130" s="3"/>
      <c r="AB1130" s="1412"/>
    </row>
    <row r="1131">
      <c r="AA1131" s="3"/>
      <c r="AB1131" s="1412"/>
    </row>
    <row r="1132">
      <c r="AA1132" s="3"/>
      <c r="AB1132" s="1412"/>
    </row>
    <row r="1133">
      <c r="AA1133" s="3"/>
      <c r="AB1133" s="1412"/>
    </row>
    <row r="1134">
      <c r="AA1134" s="3"/>
      <c r="AB1134" s="1412"/>
    </row>
    <row r="1135">
      <c r="AA1135" s="3"/>
      <c r="AB1135" s="1412"/>
    </row>
    <row r="1136">
      <c r="AA1136" s="3"/>
      <c r="AB1136" s="1412"/>
    </row>
    <row r="1137">
      <c r="AA1137" s="3"/>
      <c r="AB1137" s="1412"/>
    </row>
    <row r="1138">
      <c r="AA1138" s="3"/>
      <c r="AB1138" s="1412"/>
    </row>
    <row r="1139">
      <c r="AA1139" s="3"/>
      <c r="AB1139" s="1412"/>
    </row>
    <row r="1140">
      <c r="AA1140" s="1395"/>
      <c r="AB1140" s="1412"/>
    </row>
    <row r="1141">
      <c r="AA1141" s="3"/>
      <c r="AB1141" s="1412"/>
    </row>
    <row r="1142">
      <c r="AA1142" s="3"/>
      <c r="AB1142" s="1412"/>
    </row>
    <row r="1143">
      <c r="AA1143" s="3"/>
      <c r="AB1143" s="1412"/>
    </row>
    <row r="1144">
      <c r="AA1144" s="3"/>
      <c r="AB1144" s="1412"/>
    </row>
    <row r="1145">
      <c r="AA1145" s="3"/>
      <c r="AB1145" s="1412"/>
    </row>
    <row r="1146">
      <c r="AA1146" s="3"/>
      <c r="AB1146" s="1412"/>
    </row>
    <row r="1147">
      <c r="AA1147" s="3"/>
      <c r="AB1147" s="1412"/>
    </row>
    <row r="1148">
      <c r="AA1148" s="3"/>
      <c r="AB1148" s="1412"/>
    </row>
    <row r="1149">
      <c r="AA1149" s="3"/>
      <c r="AB1149" s="1412"/>
    </row>
    <row r="1150">
      <c r="AA1150" s="3"/>
      <c r="AB1150" s="1412"/>
    </row>
    <row r="1151">
      <c r="AA1151" s="3"/>
      <c r="AB1151" s="1412"/>
    </row>
    <row r="1152">
      <c r="AA1152" s="3"/>
      <c r="AB1152" s="1412"/>
    </row>
    <row r="1153">
      <c r="AA1153" s="3"/>
      <c r="AB1153" s="1412"/>
    </row>
    <row r="1154">
      <c r="AA1154" s="3"/>
      <c r="AB1154" s="1412"/>
    </row>
    <row r="1155">
      <c r="AA1155" s="1395"/>
      <c r="AB1155" s="1412"/>
    </row>
    <row r="1156">
      <c r="AA1156" s="3"/>
      <c r="AB1156" s="1412"/>
    </row>
    <row r="1157">
      <c r="AA1157" s="3"/>
      <c r="AB1157" s="1412"/>
    </row>
    <row r="1158">
      <c r="AA1158" s="3"/>
      <c r="AB1158" s="1412"/>
    </row>
    <row r="1159">
      <c r="AA1159" s="3"/>
      <c r="AB1159" s="1412"/>
    </row>
    <row r="1160">
      <c r="AA1160" s="1395"/>
      <c r="AB1160" s="1412"/>
    </row>
    <row r="1161">
      <c r="AA1161" s="3"/>
      <c r="AB1161" s="1412"/>
    </row>
    <row r="1162">
      <c r="AA1162" s="3"/>
      <c r="AB1162" s="1412"/>
    </row>
    <row r="1163">
      <c r="AA1163" s="3"/>
      <c r="AB1163" s="1412"/>
    </row>
    <row r="1164">
      <c r="AA1164" s="3"/>
      <c r="AB1164" s="1412"/>
    </row>
    <row r="1165">
      <c r="AA1165" s="3"/>
      <c r="AB1165" s="1412"/>
    </row>
    <row r="1166">
      <c r="AA1166" s="3"/>
      <c r="AB1166" s="1412"/>
    </row>
    <row r="1167">
      <c r="AA1167" s="3"/>
      <c r="AB1167" s="1412"/>
    </row>
    <row r="1168">
      <c r="AA1168" s="3"/>
      <c r="AB1168" s="1412"/>
    </row>
    <row r="1169">
      <c r="AA1169" s="3"/>
      <c r="AB1169" s="1412"/>
    </row>
    <row r="1170">
      <c r="AA1170" s="3"/>
      <c r="AB1170" s="1412"/>
    </row>
    <row r="1171">
      <c r="AA1171" s="3"/>
      <c r="AB1171" s="1412"/>
    </row>
    <row r="1172">
      <c r="AA1172" s="3"/>
      <c r="AB1172" s="1412"/>
    </row>
    <row r="1173">
      <c r="AA1173" s="3"/>
      <c r="AB1173" s="1412"/>
    </row>
    <row r="1174">
      <c r="AA1174" s="3"/>
      <c r="AB1174" s="1412"/>
    </row>
    <row r="1175">
      <c r="AA1175" s="3"/>
      <c r="AB1175" s="1412"/>
    </row>
    <row r="1176">
      <c r="AA1176" s="1395"/>
      <c r="AB1176" s="1412"/>
    </row>
    <row r="1177">
      <c r="AA1177" s="3"/>
      <c r="AB1177" s="1412"/>
    </row>
    <row r="1178">
      <c r="AA1178" s="3"/>
      <c r="AB1178" s="1412"/>
    </row>
    <row r="1179">
      <c r="AA1179" s="3"/>
      <c r="AB1179" s="1412"/>
    </row>
    <row r="1180">
      <c r="AA1180" s="3"/>
      <c r="AB1180" s="1412"/>
    </row>
    <row r="1181">
      <c r="AA1181" s="3"/>
      <c r="AB1181" s="1412"/>
    </row>
    <row r="1182">
      <c r="AA1182" s="3"/>
      <c r="AB1182" s="1412"/>
    </row>
    <row r="1183">
      <c r="AA1183" s="3"/>
      <c r="AB1183" s="1412"/>
    </row>
    <row r="1184">
      <c r="AA1184" s="3"/>
      <c r="AB1184" s="1412"/>
    </row>
    <row r="1185">
      <c r="AA1185" s="3"/>
      <c r="AB1185" s="1412"/>
    </row>
    <row r="1186">
      <c r="AA1186" s="3"/>
      <c r="AB1186" s="1412"/>
    </row>
    <row r="1187">
      <c r="AA1187" s="3"/>
      <c r="AB1187" s="1412"/>
    </row>
    <row r="1188">
      <c r="AA1188" s="3"/>
      <c r="AB1188" s="1412"/>
    </row>
    <row r="1189">
      <c r="AA1189" s="3"/>
      <c r="AB1189" s="1412"/>
    </row>
    <row r="1190">
      <c r="AA1190" s="3"/>
      <c r="AB1190" s="1412"/>
    </row>
    <row r="1191">
      <c r="AA1191" s="1395"/>
      <c r="AB1191" s="1412"/>
    </row>
    <row r="1192">
      <c r="AA1192" s="3"/>
      <c r="AB1192" s="1412"/>
    </row>
    <row r="1193">
      <c r="AA1193" s="3"/>
      <c r="AB1193" s="1412"/>
    </row>
    <row r="1194">
      <c r="AA1194" s="3"/>
      <c r="AB1194" s="1412"/>
    </row>
    <row r="1195">
      <c r="AA1195" s="3"/>
      <c r="AB1195" s="1412"/>
    </row>
    <row r="1196">
      <c r="AA1196" s="3"/>
      <c r="AB1196" s="1412"/>
    </row>
    <row r="1197">
      <c r="AA1197" s="3"/>
      <c r="AB1197" s="1412"/>
    </row>
    <row r="1198">
      <c r="AA1198" s="3"/>
      <c r="AB1198" s="1412"/>
    </row>
    <row r="1199">
      <c r="AA1199" s="3"/>
      <c r="AB1199" s="1412"/>
    </row>
    <row r="1200">
      <c r="AA1200" s="3"/>
      <c r="AB1200" s="1412"/>
    </row>
    <row r="1201">
      <c r="AA1201" s="3"/>
      <c r="AB1201" s="1412"/>
    </row>
    <row r="1202">
      <c r="AA1202" s="3"/>
      <c r="AB1202" s="1412"/>
    </row>
    <row r="1203">
      <c r="AA1203" s="3"/>
      <c r="AB1203" s="1412"/>
    </row>
    <row r="1204">
      <c r="AA1204" s="3"/>
      <c r="AB1204" s="1412"/>
    </row>
    <row r="1205">
      <c r="AA1205" s="3"/>
      <c r="AB1205" s="1412"/>
    </row>
    <row r="1206">
      <c r="AA1206" s="3"/>
      <c r="AB1206" s="1412"/>
    </row>
    <row r="1207">
      <c r="AA1207" s="3"/>
      <c r="AB1207" s="1412"/>
    </row>
    <row r="1208">
      <c r="AA1208" s="3"/>
      <c r="AB1208" s="1412"/>
    </row>
    <row r="1209">
      <c r="AA1209" s="3"/>
      <c r="AB1209" s="1412"/>
    </row>
    <row r="1210">
      <c r="AA1210" s="3"/>
      <c r="AB1210" s="1412"/>
    </row>
    <row r="1211">
      <c r="AA1211" s="967"/>
      <c r="AB1211" s="1412"/>
    </row>
    <row r="1212">
      <c r="AA1212" s="1004"/>
      <c r="AB1212" s="1412"/>
    </row>
    <row r="1213">
      <c r="AA1213" s="1004"/>
      <c r="AB1213" s="1412"/>
    </row>
    <row r="1214">
      <c r="AA1214" s="1004"/>
      <c r="AB1214" s="1412"/>
    </row>
    <row r="1215">
      <c r="AA1215" s="1004"/>
      <c r="AB1215" s="1412"/>
    </row>
    <row r="1216">
      <c r="AA1216" s="1083"/>
      <c r="AB1216" s="1412"/>
    </row>
    <row r="1217">
      <c r="AA1217" s="1061"/>
      <c r="AB1217" s="1412"/>
    </row>
    <row r="1218">
      <c r="AA1218" s="1004"/>
      <c r="AB1218" s="1412"/>
    </row>
    <row r="1219">
      <c r="AA1219" s="1004"/>
      <c r="AB1219" s="1412"/>
    </row>
    <row r="1220">
      <c r="AA1220" s="1004"/>
      <c r="AB1220" s="1412"/>
    </row>
    <row r="1221">
      <c r="AA1221" s="1004"/>
      <c r="AB1221" s="1412"/>
    </row>
    <row r="1222">
      <c r="AA1222" s="1004"/>
      <c r="AB1222" s="1412"/>
    </row>
    <row r="1223">
      <c r="AA1223" s="1004"/>
      <c r="AB1223" s="1412"/>
    </row>
    <row r="1224">
      <c r="AA1224" s="1004"/>
      <c r="AB1224" s="1412"/>
    </row>
    <row r="1225">
      <c r="AA1225" s="1004"/>
      <c r="AB1225" s="1412"/>
    </row>
    <row r="1226">
      <c r="AA1226" s="1004"/>
      <c r="AB1226" s="1412"/>
    </row>
    <row r="1227">
      <c r="AA1227" s="1004"/>
      <c r="AB1227" s="1412"/>
    </row>
    <row r="1228">
      <c r="AA1228" s="1004"/>
      <c r="AB1228" s="1412"/>
    </row>
    <row r="1229">
      <c r="AA1229" s="1004"/>
      <c r="AB1229" s="1412"/>
    </row>
    <row r="1230">
      <c r="AA1230" s="1004"/>
      <c r="AB1230" s="1412"/>
    </row>
    <row r="1231">
      <c r="AA1231" s="1004"/>
      <c r="AB1231" s="1412"/>
    </row>
    <row r="1232">
      <c r="AA1232" s="1004"/>
      <c r="AB1232" s="1412"/>
    </row>
    <row r="1233">
      <c r="AA1233" s="1004"/>
      <c r="AB1233" s="1412"/>
    </row>
    <row r="1234">
      <c r="AA1234" s="1004"/>
      <c r="AB1234" s="1412"/>
    </row>
    <row r="1235">
      <c r="AA1235" s="1004"/>
      <c r="AB1235" s="1412"/>
    </row>
    <row r="1236">
      <c r="AA1236" s="1004"/>
      <c r="AB1236" s="1412"/>
    </row>
    <row r="1237">
      <c r="AA1237" s="1004"/>
      <c r="AB1237" s="1412"/>
    </row>
    <row r="1238">
      <c r="AA1238" s="1004"/>
      <c r="AB1238" s="1412"/>
    </row>
    <row r="1239">
      <c r="AA1239" s="1004"/>
      <c r="AB1239" s="1412"/>
    </row>
    <row r="1240">
      <c r="AA1240" s="1004"/>
      <c r="AB1240" s="1412"/>
    </row>
    <row r="1241">
      <c r="AA1241" s="1004"/>
      <c r="AB1241" s="1412"/>
    </row>
    <row r="1242">
      <c r="AA1242" s="1004"/>
      <c r="AB1242" s="1412"/>
    </row>
    <row r="1243">
      <c r="AA1243" s="1004"/>
      <c r="AB1243" s="1412"/>
    </row>
    <row r="1244">
      <c r="AA1244" s="1004"/>
      <c r="AB1244" s="1412"/>
    </row>
    <row r="1245">
      <c r="AA1245" s="1004"/>
      <c r="AB1245" s="1412"/>
    </row>
    <row r="1246">
      <c r="AA1246" s="1004"/>
      <c r="AB1246" s="1412"/>
    </row>
    <row r="1247">
      <c r="AA1247" s="1004"/>
      <c r="AB1247" s="1412"/>
    </row>
    <row r="1248">
      <c r="AA1248" s="1061"/>
      <c r="AB1248" s="1412"/>
    </row>
    <row r="1249">
      <c r="AA1249" s="1004"/>
      <c r="AB1249" s="1412"/>
    </row>
    <row r="1250">
      <c r="AA1250" s="1004"/>
      <c r="AB1250" s="1412"/>
    </row>
    <row r="1251">
      <c r="AA1251" s="1004"/>
      <c r="AB1251" s="1412"/>
    </row>
    <row r="1252">
      <c r="AA1252" s="1004"/>
      <c r="AB1252" s="1412"/>
    </row>
    <row r="1253">
      <c r="AA1253" s="1004"/>
      <c r="AB1253" s="1412"/>
    </row>
    <row r="1254">
      <c r="AA1254" s="1004"/>
      <c r="AB1254" s="1412"/>
    </row>
    <row r="1255">
      <c r="AA1255" s="1004"/>
      <c r="AB1255" s="1412"/>
    </row>
    <row r="1256">
      <c r="AA1256" s="1004"/>
      <c r="AB1256" s="1412"/>
    </row>
    <row r="1257">
      <c r="AA1257" s="1004"/>
      <c r="AB1257" s="1412"/>
    </row>
    <row r="1258">
      <c r="AA1258" s="1004"/>
      <c r="AB1258" s="1412"/>
    </row>
    <row r="1259">
      <c r="AA1259" s="1004"/>
      <c r="AB1259" s="1412"/>
    </row>
    <row r="1260">
      <c r="AA1260" s="1004"/>
      <c r="AB1260" s="1412"/>
    </row>
    <row r="1261">
      <c r="AA1261" s="1004"/>
      <c r="AB1261" s="1412"/>
    </row>
    <row r="1262">
      <c r="AA1262" s="1004"/>
      <c r="AB1262" s="1412"/>
    </row>
    <row r="1263">
      <c r="AA1263" s="1004"/>
      <c r="AB1263" s="1412"/>
    </row>
    <row r="1264">
      <c r="AA1264" s="1004"/>
      <c r="AB1264" s="1412"/>
    </row>
    <row r="1265">
      <c r="AA1265" s="1004"/>
      <c r="AB1265" s="1412"/>
    </row>
    <row r="1266">
      <c r="AA1266" s="1004"/>
      <c r="AB1266" s="1412"/>
    </row>
    <row r="1267">
      <c r="AA1267" s="1004"/>
      <c r="AB1267" s="1412"/>
    </row>
    <row r="1268">
      <c r="AA1268" s="1004"/>
      <c r="AB1268" s="1412"/>
    </row>
    <row r="1269">
      <c r="AA1269" s="1004"/>
      <c r="AB1269" s="1412"/>
    </row>
    <row r="1270">
      <c r="AA1270" s="1004"/>
      <c r="AB1270" s="1412"/>
    </row>
    <row r="1271">
      <c r="AA1271" s="1004"/>
      <c r="AB1271" s="1412"/>
    </row>
    <row r="1272">
      <c r="AA1272" s="1004"/>
      <c r="AB1272" s="1412"/>
    </row>
    <row r="1273">
      <c r="AA1273" s="1061"/>
      <c r="AB1273" s="1412"/>
    </row>
    <row r="1274">
      <c r="AA1274" s="1004"/>
      <c r="AB1274" s="1412"/>
    </row>
    <row r="1275">
      <c r="AA1275" s="1004"/>
      <c r="AB1275" s="1412"/>
    </row>
    <row r="1276">
      <c r="AA1276" s="1004"/>
      <c r="AB1276" s="1412"/>
    </row>
    <row r="1277">
      <c r="AA1277" s="1004"/>
      <c r="AB1277" s="1412"/>
    </row>
    <row r="1278">
      <c r="AA1278" s="1004"/>
      <c r="AB1278" s="1412"/>
    </row>
    <row r="1279">
      <c r="AA1279" s="1004"/>
      <c r="AB1279" s="1412"/>
    </row>
    <row r="1280">
      <c r="AA1280" s="1004"/>
      <c r="AB1280" s="1412"/>
    </row>
    <row r="1281">
      <c r="AA1281" s="1004"/>
      <c r="AB1281" s="1412"/>
    </row>
    <row r="1282">
      <c r="AA1282" s="1004"/>
      <c r="AB1282" s="1412"/>
    </row>
    <row r="1283">
      <c r="AA1283" s="1004"/>
      <c r="AB1283" s="1412"/>
    </row>
    <row r="1284">
      <c r="AA1284" s="1004"/>
      <c r="AB1284" s="1412"/>
    </row>
    <row r="1285">
      <c r="AA1285" s="1004"/>
      <c r="AB1285" s="1412"/>
    </row>
    <row r="1286">
      <c r="AA1286" s="1004"/>
      <c r="AB1286" s="1412"/>
    </row>
    <row r="1287">
      <c r="AA1287" s="1004"/>
      <c r="AB1287" s="1412"/>
    </row>
    <row r="1288">
      <c r="AA1288" s="1004"/>
      <c r="AB1288" s="1412"/>
    </row>
    <row r="1289">
      <c r="AA1289" s="1004"/>
      <c r="AB1289" s="1412"/>
    </row>
    <row r="1290">
      <c r="AA1290" s="1004"/>
      <c r="AB1290" s="1412"/>
    </row>
    <row r="1291">
      <c r="AA1291" s="1004"/>
      <c r="AB1291" s="1412"/>
    </row>
    <row r="1292">
      <c r="AA1292" s="1004"/>
      <c r="AB1292" s="1412"/>
    </row>
    <row r="1293">
      <c r="AA1293" s="1004"/>
      <c r="AB1293" s="1412"/>
    </row>
    <row r="1294">
      <c r="AA1294" s="1004"/>
      <c r="AB1294" s="1412"/>
    </row>
    <row r="1295">
      <c r="AA1295" s="1004"/>
      <c r="AB1295" s="1412"/>
    </row>
    <row r="1296">
      <c r="AA1296" s="1004"/>
      <c r="AB1296" s="1412"/>
    </row>
    <row r="1297">
      <c r="AA1297" s="1004"/>
      <c r="AB1297" s="1412"/>
    </row>
    <row r="1298">
      <c r="AA1298" s="1004"/>
      <c r="AB1298" s="1412"/>
    </row>
    <row r="1299">
      <c r="AA1299" s="1004"/>
      <c r="AB1299" s="1412"/>
    </row>
    <row r="1300">
      <c r="AA1300" s="1004"/>
      <c r="AB1300" s="1412"/>
    </row>
    <row r="1301">
      <c r="AA1301" s="1004"/>
      <c r="AB1301" s="1412"/>
    </row>
    <row r="1302">
      <c r="AA1302" s="1004"/>
      <c r="AB1302" s="1412"/>
    </row>
    <row r="1303">
      <c r="AA1303" s="1004"/>
      <c r="AB1303" s="1412"/>
    </row>
    <row r="1304">
      <c r="AA1304" s="1004"/>
      <c r="AB1304" s="1412"/>
    </row>
    <row r="1305">
      <c r="AA1305" s="1004"/>
      <c r="AB1305" s="1412"/>
    </row>
    <row r="1306">
      <c r="AA1306" s="1004"/>
      <c r="AB1306" s="1412"/>
    </row>
    <row r="1307">
      <c r="AA1307" s="1083"/>
      <c r="AB1307" s="1412"/>
    </row>
    <row r="1308">
      <c r="AA1308" s="1094"/>
      <c r="AB1308" s="1412"/>
    </row>
    <row r="1309">
      <c r="AA1309" s="1108"/>
      <c r="AB1309" s="1412"/>
    </row>
    <row r="1310">
      <c r="AA1310" s="1108"/>
      <c r="AB1310" s="1412"/>
    </row>
    <row r="1311">
      <c r="AA1311" s="1108"/>
      <c r="AB1311" s="1412"/>
    </row>
    <row r="1312">
      <c r="AA1312" s="1108"/>
      <c r="AB1312" s="1412"/>
    </row>
    <row r="1313">
      <c r="AA1313" s="1108"/>
      <c r="AB1313" s="1412"/>
    </row>
    <row r="1314">
      <c r="AA1314" s="1094"/>
      <c r="AB1314" s="1412"/>
    </row>
    <row r="1315">
      <c r="AA1315" s="1124"/>
      <c r="AB1315" s="1412"/>
    </row>
    <row r="1316">
      <c r="AA1316" s="1108"/>
      <c r="AB1316" s="1412"/>
    </row>
    <row r="1317">
      <c r="AA1317" s="1108"/>
      <c r="AB1317" s="1412"/>
    </row>
    <row r="1318">
      <c r="AA1318" s="1108"/>
      <c r="AB1318" s="1412"/>
    </row>
    <row r="1319">
      <c r="AA1319" s="1108"/>
      <c r="AB1319" s="1412"/>
    </row>
    <row r="1320">
      <c r="AA1320" s="1108"/>
      <c r="AB1320" s="1412"/>
    </row>
    <row r="1321">
      <c r="AA1321" s="1108"/>
      <c r="AB1321" s="1412"/>
    </row>
    <row r="1322">
      <c r="AA1322" s="1108"/>
      <c r="AB1322" s="1412"/>
    </row>
    <row r="1323">
      <c r="AA1323" s="1108"/>
      <c r="AB1323" s="1412"/>
    </row>
    <row r="1324">
      <c r="AA1324" s="1108"/>
      <c r="AB1324" s="1412"/>
    </row>
    <row r="1325">
      <c r="AA1325" s="1094"/>
      <c r="AB1325" s="1412"/>
    </row>
    <row r="1326">
      <c r="AA1326" s="1108"/>
      <c r="AB1326" s="1412"/>
    </row>
    <row r="1327">
      <c r="AA1327" s="1108"/>
      <c r="AB1327" s="1412"/>
    </row>
    <row r="1328">
      <c r="AA1328" s="1108"/>
      <c r="AB1328" s="1412"/>
    </row>
    <row r="1329">
      <c r="AA1329" s="1108"/>
      <c r="AB1329" s="1412"/>
    </row>
    <row r="1330">
      <c r="AA1330" s="1108"/>
      <c r="AB1330" s="1412"/>
    </row>
    <row r="1331">
      <c r="AA1331" s="1108"/>
      <c r="AB1331" s="1412"/>
    </row>
    <row r="1332">
      <c r="AA1332" s="1108"/>
      <c r="AB1332" s="1412"/>
    </row>
    <row r="1333">
      <c r="AA1333" s="1108"/>
      <c r="AB1333" s="1412"/>
    </row>
    <row r="1334">
      <c r="AA1334" s="1108"/>
      <c r="AB1334" s="1412"/>
    </row>
    <row r="1335">
      <c r="AA1335" s="1108"/>
      <c r="AB1335" s="1412"/>
    </row>
    <row r="1336">
      <c r="AA1336" s="1108"/>
      <c r="AB1336" s="1412"/>
    </row>
    <row r="1337">
      <c r="AA1337" s="1108"/>
      <c r="AB1337" s="1412"/>
    </row>
    <row r="1338">
      <c r="AA1338" s="1108"/>
      <c r="AB1338" s="1412"/>
    </row>
    <row r="1339">
      <c r="AA1339" s="1108"/>
      <c r="AB1339" s="1412"/>
    </row>
    <row r="1340">
      <c r="AA1340" s="1124"/>
      <c r="AB1340" s="1412"/>
    </row>
    <row r="1341">
      <c r="AA1341" s="1108"/>
      <c r="AB1341" s="1412"/>
    </row>
    <row r="1342">
      <c r="AA1342" s="1108"/>
      <c r="AB1342" s="1412"/>
    </row>
    <row r="1343">
      <c r="AA1343" s="1137"/>
      <c r="AB1343" s="1412"/>
    </row>
    <row r="1344">
      <c r="AA1344" s="1094"/>
      <c r="AB1344" s="1412"/>
    </row>
    <row r="1345">
      <c r="AA1345" s="1108"/>
      <c r="AB1345" s="1412"/>
    </row>
    <row r="1346">
      <c r="AA1346" s="1108"/>
      <c r="AB1346" s="1412"/>
    </row>
    <row r="1347">
      <c r="AA1347" s="1108"/>
      <c r="AB1347" s="1412"/>
    </row>
    <row r="1348">
      <c r="AA1348" s="1108"/>
      <c r="AB1348" s="1412"/>
    </row>
    <row r="1349">
      <c r="AA1349" s="1108"/>
      <c r="AB1349" s="1412"/>
    </row>
    <row r="1350">
      <c r="AA1350" s="1108"/>
      <c r="AB1350" s="1412"/>
    </row>
    <row r="1351">
      <c r="AA1351" s="1108"/>
      <c r="AB1351" s="1412"/>
    </row>
    <row r="1352">
      <c r="AA1352" s="1108"/>
      <c r="AB1352" s="1412"/>
    </row>
    <row r="1353">
      <c r="AA1353" s="1108"/>
      <c r="AB1353" s="1412"/>
    </row>
    <row r="1354">
      <c r="AA1354" s="1108"/>
      <c r="AB1354" s="1412"/>
    </row>
    <row r="1355">
      <c r="AA1355" s="1108"/>
      <c r="AB1355" s="1412"/>
    </row>
    <row r="1356">
      <c r="AA1356" s="1108"/>
      <c r="AB1356" s="1412"/>
    </row>
    <row r="1357">
      <c r="AA1357" s="1108"/>
      <c r="AB1357" s="1412"/>
    </row>
    <row r="1358">
      <c r="AA1358" s="1108"/>
      <c r="AB1358" s="1412"/>
    </row>
    <row r="1359">
      <c r="AA1359" s="1108"/>
      <c r="AB1359" s="1412"/>
    </row>
    <row r="1360">
      <c r="AA1360" s="1108"/>
      <c r="AB1360" s="1412"/>
    </row>
    <row r="1361">
      <c r="AA1361" s="1108"/>
      <c r="AB1361" s="1412"/>
    </row>
    <row r="1362">
      <c r="AA1362" s="1124"/>
      <c r="AB1362" s="1412"/>
    </row>
    <row r="1363">
      <c r="AA1363" s="1108"/>
      <c r="AB1363" s="1412"/>
    </row>
    <row r="1364">
      <c r="AA1364" s="1108"/>
      <c r="AB1364" s="1412"/>
    </row>
    <row r="1365">
      <c r="AA1365" s="1108"/>
      <c r="AB1365" s="1412"/>
    </row>
    <row r="1366">
      <c r="AA1366" s="1108"/>
      <c r="AB1366" s="1412"/>
    </row>
    <row r="1367">
      <c r="AA1367" s="1108"/>
      <c r="AB1367" s="1412"/>
    </row>
    <row r="1368">
      <c r="AA1368" s="1108"/>
      <c r="AB1368" s="1412"/>
    </row>
    <row r="1369">
      <c r="AA1369" s="1094"/>
      <c r="AB1369" s="1412"/>
    </row>
    <row r="1370">
      <c r="AA1370" s="1108"/>
      <c r="AB1370" s="1412"/>
    </row>
    <row r="1371">
      <c r="AA1371" s="1108"/>
      <c r="AB1371" s="1412"/>
    </row>
    <row r="1372">
      <c r="AA1372" s="1108"/>
      <c r="AB1372" s="1412"/>
    </row>
    <row r="1373">
      <c r="AA1373" s="1108"/>
      <c r="AB1373" s="1412"/>
    </row>
    <row r="1374">
      <c r="AA1374" s="1108"/>
      <c r="AB1374" s="1412"/>
    </row>
    <row r="1375">
      <c r="AA1375" s="1108"/>
      <c r="AB1375" s="1412"/>
    </row>
    <row r="1376">
      <c r="AA1376" s="1108"/>
      <c r="AB1376" s="1412"/>
    </row>
    <row r="1377">
      <c r="AA1377" s="1108"/>
      <c r="AB1377" s="1412"/>
    </row>
    <row r="1378">
      <c r="AA1378" s="1108"/>
      <c r="AB1378" s="1412"/>
    </row>
    <row r="1379">
      <c r="AA1379" s="1108"/>
      <c r="AB1379" s="1412"/>
    </row>
    <row r="1380">
      <c r="AA1380" s="1108"/>
      <c r="AB1380" s="1412"/>
    </row>
    <row r="1381">
      <c r="AA1381" s="1108"/>
      <c r="AB1381" s="1412"/>
    </row>
    <row r="1382">
      <c r="AA1382" s="1108"/>
      <c r="AB1382" s="1412"/>
    </row>
    <row r="1383">
      <c r="AA1383" s="1108"/>
      <c r="AB1383" s="1412"/>
    </row>
    <row r="1384">
      <c r="AA1384" s="1108"/>
      <c r="AB1384" s="1412"/>
    </row>
    <row r="1385">
      <c r="AA1385" s="1108"/>
      <c r="AB1385" s="1412"/>
    </row>
    <row r="1386">
      <c r="AA1386" s="1108"/>
      <c r="AB1386" s="1412"/>
    </row>
    <row r="1387">
      <c r="AA1387" s="1108"/>
      <c r="AB1387" s="1412"/>
    </row>
    <row r="1388">
      <c r="AA1388" s="1108"/>
      <c r="AB1388" s="1412"/>
    </row>
    <row r="1389">
      <c r="AA1389" s="1137"/>
      <c r="AB1389" s="1412"/>
    </row>
    <row r="1390">
      <c r="AA1390" s="1144"/>
      <c r="AB1390" s="1412"/>
    </row>
    <row r="1391">
      <c r="AA1391" s="1108"/>
      <c r="AB1391" s="1412"/>
    </row>
    <row r="1392">
      <c r="AA1392" s="1108"/>
      <c r="AB1392" s="1412"/>
    </row>
    <row r="1393">
      <c r="AA1393" s="1108"/>
      <c r="AB1393" s="1412"/>
    </row>
    <row r="1394">
      <c r="AA1394" s="1108"/>
      <c r="AB1394" s="1412"/>
    </row>
    <row r="1395">
      <c r="AA1395" s="1108"/>
      <c r="AB1395" s="1412"/>
    </row>
    <row r="1396">
      <c r="AA1396" s="1094"/>
      <c r="AB1396" s="1412"/>
    </row>
    <row r="1397">
      <c r="AA1397" s="1108"/>
      <c r="AB1397" s="1412"/>
    </row>
    <row r="1398">
      <c r="AA1398" s="1108"/>
      <c r="AB1398" s="1412"/>
    </row>
    <row r="1399">
      <c r="AA1399" s="1108"/>
      <c r="AB1399" s="1412"/>
    </row>
    <row r="1400">
      <c r="AA1400" s="1108"/>
      <c r="AB1400" s="1412"/>
    </row>
    <row r="1401">
      <c r="AA1401" s="1108"/>
      <c r="AB1401" s="1412"/>
    </row>
    <row r="1402">
      <c r="AA1402" s="1108"/>
      <c r="AB1402" s="1412"/>
    </row>
    <row r="1403">
      <c r="AA1403" s="1108"/>
      <c r="AB1403" s="1412"/>
    </row>
    <row r="1404">
      <c r="AA1404" s="1108"/>
      <c r="AB1404" s="1412"/>
    </row>
    <row r="1405">
      <c r="AA1405" s="1108"/>
      <c r="AB1405" s="1412"/>
    </row>
    <row r="1406">
      <c r="AA1406" s="1108"/>
      <c r="AB1406" s="1412"/>
    </row>
    <row r="1407">
      <c r="AA1407" s="1124"/>
      <c r="AB1407" s="1412"/>
    </row>
    <row r="1408">
      <c r="AA1408" s="1108"/>
      <c r="AB1408" s="1412"/>
    </row>
    <row r="1409">
      <c r="AA1409" s="1108"/>
      <c r="AB1409" s="1412"/>
    </row>
    <row r="1410">
      <c r="AA1410" s="1108"/>
      <c r="AB1410" s="1412"/>
    </row>
    <row r="1411">
      <c r="AA1411" s="1108"/>
      <c r="AB1411" s="1412"/>
    </row>
    <row r="1412">
      <c r="AA1412" s="1108"/>
      <c r="AB1412" s="1412"/>
    </row>
    <row r="1413">
      <c r="AA1413" s="1108"/>
      <c r="AB1413" s="1412"/>
    </row>
    <row r="1414">
      <c r="AA1414" s="1108"/>
      <c r="AB1414" s="1412"/>
    </row>
    <row r="1415">
      <c r="AA1415" s="1108"/>
      <c r="AB1415" s="1412"/>
    </row>
    <row r="1416">
      <c r="AA1416" s="1108"/>
      <c r="AB1416" s="1412"/>
    </row>
    <row r="1417">
      <c r="AA1417" s="1094"/>
      <c r="AB1417" s="1412"/>
    </row>
    <row r="1418">
      <c r="AA1418" s="1108"/>
      <c r="AB1418" s="1412"/>
    </row>
    <row r="1419">
      <c r="AA1419" s="1108"/>
      <c r="AB1419" s="1412"/>
    </row>
    <row r="1420">
      <c r="AA1420" s="1108"/>
      <c r="AB1420" s="1412"/>
    </row>
    <row r="1421">
      <c r="AA1421" s="1108"/>
      <c r="AB1421" s="1412"/>
    </row>
    <row r="1422">
      <c r="AA1422" s="1108"/>
      <c r="AB1422" s="1412"/>
    </row>
    <row r="1423">
      <c r="AA1423" s="1108"/>
      <c r="AB1423" s="1412"/>
    </row>
    <row r="1424">
      <c r="AA1424" s="1108"/>
      <c r="AB1424" s="1412"/>
    </row>
    <row r="1425">
      <c r="AA1425" s="1108"/>
      <c r="AB1425" s="1412"/>
    </row>
    <row r="1426">
      <c r="AA1426" s="1108"/>
      <c r="AB1426" s="1412"/>
    </row>
    <row r="1427">
      <c r="AA1427" s="1108"/>
      <c r="AB1427" s="1412"/>
    </row>
    <row r="1428">
      <c r="AA1428" s="1108"/>
      <c r="AB1428" s="1412"/>
    </row>
    <row r="1429">
      <c r="AA1429" s="1108"/>
      <c r="AB1429" s="1412"/>
    </row>
    <row r="1430">
      <c r="AA1430" s="1108"/>
      <c r="AB1430" s="1412"/>
    </row>
    <row r="1431">
      <c r="AA1431" s="1108"/>
      <c r="AB1431" s="1412"/>
    </row>
    <row r="1432">
      <c r="AA1432" s="1108"/>
      <c r="AB1432" s="1412"/>
    </row>
    <row r="1433">
      <c r="AA1433" s="1108"/>
      <c r="AB1433" s="1412"/>
    </row>
    <row r="1434">
      <c r="AA1434" s="1108"/>
      <c r="AB1434" s="1412"/>
    </row>
    <row r="1435">
      <c r="AA1435" s="1108"/>
      <c r="AB1435" s="1412"/>
    </row>
    <row r="1436">
      <c r="AA1436" s="1108"/>
      <c r="AB1436" s="1412"/>
    </row>
    <row r="1437">
      <c r="AA1437" s="1108"/>
      <c r="AB1437" s="1412"/>
    </row>
    <row r="1438">
      <c r="AA1438" s="1108"/>
      <c r="AB1438" s="1412"/>
    </row>
    <row r="1439">
      <c r="AA1439" s="1108"/>
      <c r="AB1439" s="1412"/>
    </row>
    <row r="1440">
      <c r="AA1440" s="1108"/>
      <c r="AB1440" s="1412"/>
    </row>
    <row r="1441">
      <c r="AA1441" s="1108"/>
      <c r="AB1441" s="1412"/>
    </row>
    <row r="1442">
      <c r="AA1442" s="1124"/>
      <c r="AB1442" s="1412"/>
    </row>
    <row r="1443">
      <c r="AA1443" s="1108"/>
      <c r="AB1443" s="1412"/>
    </row>
    <row r="1444">
      <c r="AA1444" s="1108"/>
      <c r="AB1444" s="1412"/>
    </row>
    <row r="1445">
      <c r="AA1445" s="1108"/>
      <c r="AB1445" s="1412"/>
    </row>
    <row r="1446">
      <c r="AA1446" s="1108"/>
      <c r="AB1446" s="1412"/>
    </row>
    <row r="1447">
      <c r="AA1447" s="1108"/>
      <c r="AB1447" s="1412"/>
    </row>
    <row r="1448">
      <c r="AA1448" s="1108"/>
      <c r="AB1448" s="1412"/>
    </row>
    <row r="1449">
      <c r="AA1449" s="1094"/>
      <c r="AB1449" s="1412"/>
    </row>
    <row r="1450">
      <c r="AA1450" s="1108"/>
      <c r="AB1450" s="1412"/>
    </row>
    <row r="1451">
      <c r="AA1451" s="1124"/>
      <c r="AB1451" s="1412"/>
    </row>
    <row r="1452">
      <c r="AA1452" s="1108"/>
      <c r="AB1452" s="1412"/>
    </row>
    <row r="1453">
      <c r="AA1453" s="1108"/>
      <c r="AB1453" s="1412"/>
    </row>
    <row r="1454">
      <c r="AA1454" s="1108"/>
      <c r="AB1454" s="1412"/>
    </row>
    <row r="1455">
      <c r="AA1455" s="1108"/>
      <c r="AB1455" s="1412"/>
    </row>
    <row r="1456">
      <c r="AA1456" s="1108"/>
      <c r="AB1456" s="1412"/>
    </row>
    <row r="1457">
      <c r="AA1457" s="1108"/>
      <c r="AB1457" s="1412"/>
    </row>
    <row r="1458">
      <c r="AA1458" s="1108"/>
      <c r="AB1458" s="1412"/>
    </row>
    <row r="1459">
      <c r="AA1459" s="1108"/>
      <c r="AB1459" s="1412"/>
    </row>
    <row r="1460">
      <c r="AA1460" s="1108"/>
      <c r="AB1460" s="1412"/>
    </row>
    <row r="1461">
      <c r="AA1461" s="1108"/>
      <c r="AB1461" s="1412"/>
    </row>
    <row r="1462">
      <c r="AA1462" s="1108"/>
      <c r="AB1462" s="1412"/>
    </row>
    <row r="1463">
      <c r="AA1463" s="1094"/>
      <c r="AB1463" s="1412"/>
    </row>
    <row r="1464">
      <c r="AA1464" s="1108"/>
      <c r="AB1464" s="1412"/>
    </row>
    <row r="1465">
      <c r="AA1465" s="1108"/>
      <c r="AB1465" s="1412"/>
    </row>
    <row r="1466">
      <c r="AA1466" s="1108"/>
      <c r="AB1466" s="1412"/>
    </row>
    <row r="1467">
      <c r="AA1467" s="1108"/>
      <c r="AB1467" s="1412"/>
    </row>
    <row r="1468">
      <c r="AA1468" s="1124"/>
      <c r="AB1468" s="1412"/>
    </row>
    <row r="1469">
      <c r="AA1469" s="1108"/>
      <c r="AB1469" s="1412"/>
    </row>
    <row r="1470">
      <c r="AA1470" s="1108"/>
      <c r="AB1470" s="1412"/>
    </row>
    <row r="1471">
      <c r="AA1471" s="1108"/>
      <c r="AB1471" s="1412"/>
    </row>
    <row r="1472">
      <c r="AA1472" s="1108"/>
      <c r="AB1472" s="1412"/>
    </row>
    <row r="1473">
      <c r="AA1473" s="1108"/>
      <c r="AB1473" s="1412"/>
    </row>
    <row r="1474">
      <c r="AA1474" s="1108"/>
      <c r="AB1474" s="1412"/>
    </row>
    <row r="1475">
      <c r="AA1475" s="1108"/>
      <c r="AB1475" s="1412"/>
    </row>
    <row r="1476">
      <c r="AA1476" s="1108"/>
      <c r="AB1476" s="1412"/>
    </row>
    <row r="1477">
      <c r="AA1477" s="1108"/>
      <c r="AB1477" s="1412"/>
    </row>
    <row r="1478">
      <c r="AA1478" s="1108"/>
      <c r="AB1478" s="1412"/>
    </row>
    <row r="1479">
      <c r="AA1479" s="1108"/>
      <c r="AB1479" s="1412"/>
    </row>
    <row r="1480">
      <c r="AA1480" s="1108"/>
      <c r="AB1480" s="1412"/>
    </row>
    <row r="1481">
      <c r="AA1481" s="1108"/>
      <c r="AB1481" s="1412"/>
    </row>
    <row r="1482">
      <c r="AA1482" s="1094"/>
      <c r="AB1482" s="1412"/>
    </row>
    <row r="1483">
      <c r="AA1483" s="1108"/>
      <c r="AB1483" s="1412"/>
    </row>
    <row r="1484">
      <c r="AA1484" s="1124"/>
      <c r="AB1484" s="1412"/>
    </row>
    <row r="1485">
      <c r="AA1485" s="1108"/>
      <c r="AB1485" s="1412"/>
    </row>
    <row r="1486">
      <c r="AA1486" s="1108"/>
      <c r="AB1486" s="1412"/>
    </row>
    <row r="1487">
      <c r="AA1487" s="1108"/>
      <c r="AB1487" s="1412"/>
    </row>
    <row r="1488">
      <c r="AA1488" s="1108"/>
      <c r="AB1488" s="1412"/>
    </row>
    <row r="1489">
      <c r="AA1489" s="1108"/>
      <c r="AB1489" s="1412"/>
    </row>
    <row r="1490">
      <c r="AA1490" s="1108"/>
      <c r="AB1490" s="1412"/>
    </row>
    <row r="1491">
      <c r="AA1491" s="1124"/>
      <c r="AB1491" s="1412"/>
    </row>
    <row r="1492">
      <c r="AA1492" s="1108"/>
      <c r="AB1492" s="1412"/>
    </row>
    <row r="1493">
      <c r="AA1493" s="1108"/>
      <c r="AB1493" s="1412"/>
    </row>
    <row r="1494">
      <c r="AA1494" s="1124"/>
      <c r="AB1494" s="1412"/>
    </row>
    <row r="1495">
      <c r="AA1495" s="1108"/>
      <c r="AB1495" s="1412"/>
    </row>
    <row r="1496">
      <c r="AA1496" s="1108"/>
      <c r="AB1496" s="1412"/>
    </row>
    <row r="1497">
      <c r="AA1497" s="1108"/>
      <c r="AB1497" s="1412"/>
    </row>
    <row r="1498">
      <c r="AA1498" s="1108"/>
      <c r="AB1498" s="1412"/>
    </row>
    <row r="1499">
      <c r="AA1499" s="1094"/>
      <c r="AB1499" s="1412"/>
    </row>
    <row r="1500">
      <c r="AA1500" s="1108"/>
      <c r="AB1500" s="1412"/>
    </row>
    <row r="1501">
      <c r="AA1501" s="1108"/>
      <c r="AB1501" s="1412"/>
    </row>
    <row r="1502">
      <c r="AA1502" s="1108"/>
      <c r="AB1502" s="1412"/>
    </row>
    <row r="1503">
      <c r="AA1503" s="1094"/>
      <c r="AB1503" s="1412"/>
    </row>
    <row r="1504">
      <c r="AA1504" s="1108"/>
      <c r="AB1504" s="1412"/>
    </row>
    <row r="1505">
      <c r="AA1505" s="1108"/>
      <c r="AB1505" s="1412"/>
    </row>
    <row r="1506">
      <c r="AA1506" s="1108"/>
      <c r="AB1506" s="1412"/>
    </row>
    <row r="1507">
      <c r="AA1507" s="1108"/>
      <c r="AB1507" s="1412"/>
    </row>
    <row r="1508">
      <c r="AA1508" s="1108"/>
      <c r="AB1508" s="1412"/>
    </row>
    <row r="1509">
      <c r="AA1509" s="1108"/>
      <c r="AB1509" s="1412"/>
    </row>
    <row r="1510">
      <c r="AA1510" s="1108"/>
      <c r="AB1510" s="1412"/>
    </row>
    <row r="1511">
      <c r="AA1511" s="1108"/>
      <c r="AB1511" s="1412"/>
    </row>
    <row r="1512">
      <c r="AA1512" s="1108"/>
      <c r="AB1512" s="1412"/>
    </row>
    <row r="1513">
      <c r="AA1513" s="1108"/>
      <c r="AB1513" s="1412"/>
    </row>
    <row r="1514">
      <c r="AA1514" s="1108"/>
      <c r="AB1514" s="1412"/>
    </row>
    <row r="1515">
      <c r="AA1515" s="1108"/>
      <c r="AB1515" s="1412"/>
    </row>
    <row r="1516">
      <c r="AA1516" s="1108"/>
      <c r="AB1516" s="1412"/>
    </row>
    <row r="1517">
      <c r="AA1517" s="1108"/>
      <c r="AB1517" s="1412"/>
    </row>
    <row r="1518">
      <c r="AA1518" s="1108"/>
      <c r="AB1518" s="1412"/>
    </row>
    <row r="1519">
      <c r="AA1519" s="1108"/>
      <c r="AB1519" s="1412"/>
    </row>
    <row r="1520">
      <c r="AA1520" s="1108"/>
      <c r="AB1520" s="1412"/>
    </row>
    <row r="1521">
      <c r="AA1521" s="1108"/>
      <c r="AB1521" s="1412"/>
    </row>
    <row r="1522">
      <c r="AA1522" s="1108"/>
      <c r="AB1522" s="1412"/>
    </row>
    <row r="1523">
      <c r="AA1523" s="1108"/>
      <c r="AB1523" s="1412"/>
    </row>
    <row r="1524">
      <c r="AA1524" s="1108"/>
      <c r="AB1524" s="1412"/>
    </row>
    <row r="1525">
      <c r="AA1525" s="1108"/>
      <c r="AB1525" s="1412"/>
    </row>
    <row r="1526">
      <c r="AA1526" s="1108"/>
      <c r="AB1526" s="1412"/>
    </row>
    <row r="1527">
      <c r="AA1527" s="1108"/>
      <c r="AB1527" s="1412"/>
    </row>
    <row r="1528">
      <c r="AA1528" s="1108"/>
      <c r="AB1528" s="1412"/>
    </row>
    <row r="1529">
      <c r="AA1529" s="1108"/>
      <c r="AB1529" s="1412"/>
    </row>
    <row r="1530">
      <c r="AA1530" s="1108"/>
      <c r="AB1530" s="1412"/>
    </row>
    <row r="1531">
      <c r="AA1531" s="1108"/>
      <c r="AB1531" s="1412"/>
    </row>
    <row r="1532">
      <c r="AA1532" s="1108"/>
      <c r="AB1532" s="1412"/>
    </row>
    <row r="1533">
      <c r="AA1533" s="1094"/>
      <c r="AB1533" s="1412"/>
    </row>
    <row r="1534">
      <c r="AA1534" s="1108"/>
      <c r="AB1534" s="1412"/>
    </row>
    <row r="1535">
      <c r="AA1535" s="1108"/>
      <c r="AB1535" s="1412"/>
    </row>
    <row r="1536">
      <c r="AA1536" s="1108"/>
      <c r="AB1536" s="1412"/>
    </row>
    <row r="1537">
      <c r="AA1537" s="1108"/>
      <c r="AB1537" s="1412"/>
    </row>
    <row r="1538">
      <c r="AA1538" s="1108"/>
      <c r="AB1538" s="1412"/>
    </row>
    <row r="1539">
      <c r="AA1539" s="1108"/>
      <c r="AB1539" s="1412"/>
    </row>
    <row r="1540">
      <c r="AA1540" s="1108"/>
      <c r="AB1540" s="1412"/>
    </row>
    <row r="1541">
      <c r="AA1541" s="1108"/>
      <c r="AB1541" s="1412"/>
    </row>
    <row r="1542">
      <c r="AA1542" s="1124"/>
      <c r="AB1542" s="1412"/>
    </row>
    <row r="1543">
      <c r="AA1543" s="1108"/>
      <c r="AB1543" s="1412"/>
    </row>
    <row r="1544">
      <c r="AA1544" s="1108"/>
      <c r="AB1544" s="1412"/>
    </row>
    <row r="1545">
      <c r="AA1545" s="1108"/>
      <c r="AB1545" s="1412"/>
    </row>
    <row r="1546">
      <c r="AA1546" s="1108"/>
      <c r="AB1546" s="1412"/>
    </row>
    <row r="1547">
      <c r="AA1547" s="1108"/>
      <c r="AB1547" s="1412"/>
    </row>
    <row r="1548">
      <c r="AA1548" s="1108"/>
      <c r="AB1548" s="1412"/>
    </row>
    <row r="1549">
      <c r="AA1549" s="1108"/>
      <c r="AB1549" s="1412"/>
    </row>
    <row r="1550">
      <c r="AA1550" s="1108"/>
      <c r="AB1550" s="1412"/>
    </row>
    <row r="1551">
      <c r="AA1551" s="1108"/>
      <c r="AB1551" s="1412"/>
    </row>
    <row r="1552">
      <c r="AA1552" s="1108"/>
      <c r="AB1552" s="1412"/>
    </row>
    <row r="1553">
      <c r="AA1553" s="1124"/>
      <c r="AB1553" s="1412"/>
    </row>
    <row r="1554">
      <c r="AA1554" s="1108"/>
      <c r="AB1554" s="1412"/>
    </row>
    <row r="1555">
      <c r="AA1555" s="1108"/>
      <c r="AB1555" s="1412"/>
    </row>
    <row r="1556">
      <c r="AA1556" s="1108"/>
      <c r="AB1556" s="1412"/>
    </row>
    <row r="1557">
      <c r="AA1557" s="1108"/>
      <c r="AB1557" s="1412"/>
    </row>
    <row r="1558">
      <c r="AA1558" s="1108"/>
      <c r="AB1558" s="1412"/>
    </row>
    <row r="1559">
      <c r="AA1559" s="1108"/>
      <c r="AB1559" s="1412"/>
    </row>
    <row r="1560">
      <c r="AA1560" s="1108"/>
      <c r="AB1560" s="1412"/>
    </row>
    <row r="1561">
      <c r="AA1561" s="1108"/>
      <c r="AB1561" s="1412"/>
    </row>
    <row r="1562">
      <c r="AA1562" s="1108"/>
      <c r="AB1562" s="1412"/>
    </row>
    <row r="1563">
      <c r="AA1563" s="1124"/>
      <c r="AB1563" s="1412"/>
    </row>
    <row r="1564">
      <c r="AA1564" s="1108"/>
      <c r="AB1564" s="1412"/>
    </row>
    <row r="1565">
      <c r="AA1565" s="1108"/>
      <c r="AB1565" s="1412"/>
    </row>
    <row r="1566">
      <c r="AA1566" s="1108"/>
      <c r="AB1566" s="1412"/>
    </row>
    <row r="1567">
      <c r="AA1567" s="1108"/>
      <c r="AB1567" s="1412"/>
    </row>
    <row r="1568">
      <c r="AA1568" s="1108"/>
      <c r="AB1568" s="1412"/>
    </row>
    <row r="1569">
      <c r="AA1569" s="1108"/>
      <c r="AB1569" s="1412"/>
    </row>
    <row r="1570">
      <c r="AA1570" s="1108"/>
      <c r="AB1570" s="1412"/>
    </row>
    <row r="1571">
      <c r="AA1571" s="1108"/>
      <c r="AB1571" s="1412"/>
    </row>
    <row r="1572">
      <c r="AA1572" s="1108"/>
      <c r="AB1572" s="1412"/>
    </row>
    <row r="1573">
      <c r="AA1573" s="1108"/>
      <c r="AB1573" s="1412"/>
    </row>
    <row r="1574">
      <c r="AA1574" s="1108"/>
      <c r="AB1574" s="1412"/>
    </row>
    <row r="1575">
      <c r="AA1575" s="1108"/>
      <c r="AB1575" s="1412"/>
    </row>
    <row r="1576">
      <c r="AA1576" s="1108"/>
      <c r="AB1576" s="1412"/>
    </row>
    <row r="1577">
      <c r="AA1577" s="1108"/>
      <c r="AB1577" s="1412"/>
    </row>
    <row r="1578">
      <c r="AA1578" s="1108"/>
      <c r="AB1578" s="1412"/>
    </row>
    <row r="1579">
      <c r="AA1579" s="1124"/>
      <c r="AB1579" s="1412"/>
    </row>
    <row r="1580">
      <c r="AA1580" s="1108"/>
      <c r="AB1580" s="1412"/>
    </row>
    <row r="1581">
      <c r="AA1581" s="1108"/>
      <c r="AB1581" s="1412"/>
    </row>
    <row r="1582">
      <c r="AA1582" s="1108"/>
      <c r="AB1582" s="1412"/>
    </row>
    <row r="1583">
      <c r="AA1583" s="1108"/>
      <c r="AB1583" s="1412"/>
    </row>
    <row r="1584">
      <c r="AA1584" s="1108"/>
      <c r="AB1584" s="1412"/>
    </row>
    <row r="1585">
      <c r="AA1585" s="1108"/>
      <c r="AB1585" s="1412"/>
    </row>
    <row r="1586">
      <c r="AA1586" s="1108"/>
      <c r="AB1586" s="1412"/>
    </row>
    <row r="1587">
      <c r="AA1587" s="1124"/>
      <c r="AB1587" s="1412"/>
    </row>
    <row r="1588">
      <c r="AA1588" s="1108"/>
      <c r="AB1588" s="1412"/>
    </row>
    <row r="1589">
      <c r="AA1589" s="1108"/>
      <c r="AB1589" s="1412"/>
    </row>
    <row r="1590">
      <c r="AA1590" s="1108"/>
      <c r="AB1590" s="1412"/>
    </row>
    <row r="1591">
      <c r="AA1591" s="1108"/>
      <c r="AB1591" s="1412"/>
    </row>
    <row r="1592">
      <c r="AA1592" s="1202"/>
      <c r="AB1592" s="1412"/>
    </row>
    <row r="1593">
      <c r="AA1593" s="1108"/>
      <c r="AB1593" s="1412"/>
    </row>
    <row r="1594">
      <c r="AA1594" s="1108"/>
      <c r="AB1594" s="1412"/>
    </row>
    <row r="1595">
      <c r="AA1595" s="1108"/>
      <c r="AB1595" s="1412"/>
    </row>
    <row r="1596">
      <c r="AA1596" s="1124"/>
      <c r="AB1596" s="1412"/>
    </row>
    <row r="1597">
      <c r="AA1597" s="1108"/>
      <c r="AB1597" s="1412"/>
    </row>
    <row r="1598">
      <c r="AA1598" s="1108"/>
      <c r="AB1598" s="1412"/>
    </row>
    <row r="1599">
      <c r="AA1599" s="1108"/>
      <c r="AB1599" s="1412"/>
    </row>
    <row r="1600">
      <c r="AA1600" s="1108"/>
      <c r="AB1600" s="1412"/>
    </row>
    <row r="1601">
      <c r="AA1601" s="1108"/>
      <c r="AB1601" s="1412"/>
    </row>
    <row r="1602">
      <c r="AA1602" s="1108"/>
      <c r="AB1602" s="1412"/>
    </row>
    <row r="1603">
      <c r="AA1603" s="1108"/>
      <c r="AB1603" s="1412"/>
    </row>
    <row r="1604">
      <c r="AA1604" s="1108"/>
      <c r="AB1604" s="1412"/>
    </row>
    <row r="1605">
      <c r="AA1605" s="1108"/>
      <c r="AB1605" s="1412"/>
    </row>
    <row r="1606">
      <c r="AA1606" s="1108"/>
      <c r="AB1606" s="1412"/>
    </row>
    <row r="1607">
      <c r="AA1607" s="1108"/>
      <c r="AB1607" s="1412"/>
    </row>
    <row r="1608">
      <c r="AA1608" s="1108"/>
      <c r="AB1608" s="1412"/>
    </row>
    <row r="1609">
      <c r="AA1609" s="1124"/>
      <c r="AB1609" s="1412"/>
    </row>
    <row r="1610">
      <c r="AA1610" s="1108"/>
      <c r="AB1610" s="1412"/>
    </row>
    <row r="1611">
      <c r="AA1611" s="1108"/>
      <c r="AB1611" s="1412"/>
    </row>
    <row r="1612">
      <c r="AA1612" s="1108"/>
      <c r="AB1612" s="1412"/>
    </row>
    <row r="1613">
      <c r="AA1613" s="1108"/>
      <c r="AB1613" s="1412"/>
    </row>
    <row r="1614">
      <c r="AA1614" s="1108"/>
      <c r="AB1614" s="1412"/>
    </row>
    <row r="1615">
      <c r="AA1615" s="1124"/>
      <c r="AB1615" s="1412"/>
    </row>
    <row r="1616">
      <c r="AA1616" s="1108"/>
      <c r="AB1616" s="1412"/>
    </row>
    <row r="1617">
      <c r="AA1617" s="1108"/>
      <c r="AB1617" s="1412"/>
    </row>
    <row r="1618">
      <c r="AA1618" s="1108"/>
      <c r="AB1618" s="1412"/>
    </row>
    <row r="1619">
      <c r="AA1619" s="1108"/>
      <c r="AB1619" s="1412"/>
    </row>
    <row r="1620">
      <c r="AA1620" s="1108"/>
      <c r="AB1620" s="1412"/>
    </row>
    <row r="1621">
      <c r="AA1621" s="1108"/>
      <c r="AB1621" s="1412"/>
    </row>
    <row r="1622">
      <c r="AA1622" s="1108"/>
      <c r="AB1622" s="1412"/>
    </row>
    <row r="1623">
      <c r="AA1623" s="1124"/>
      <c r="AB1623" s="1412"/>
    </row>
    <row r="1624">
      <c r="AA1624" s="1108"/>
      <c r="AB1624" s="1412"/>
    </row>
    <row r="1625">
      <c r="AA1625" s="1108"/>
      <c r="AB1625" s="1412"/>
    </row>
    <row r="1626">
      <c r="AA1626" s="1108"/>
      <c r="AB1626" s="1412"/>
    </row>
    <row r="1627">
      <c r="AA1627" s="1108"/>
      <c r="AB1627" s="1412"/>
    </row>
    <row r="1628">
      <c r="AA1628" s="1108"/>
      <c r="AB1628" s="1412"/>
    </row>
    <row r="1629">
      <c r="AA1629" s="1108"/>
      <c r="AB1629" s="1412"/>
    </row>
    <row r="1630">
      <c r="AA1630" s="1108"/>
      <c r="AB1630" s="1412"/>
    </row>
    <row r="1631">
      <c r="AA1631" s="1124"/>
      <c r="AB1631" s="1412"/>
    </row>
    <row r="1632">
      <c r="AA1632" s="1108"/>
      <c r="AB1632" s="1412"/>
    </row>
    <row r="1633">
      <c r="AA1633" s="1108"/>
      <c r="AB1633" s="1412"/>
    </row>
    <row r="1634">
      <c r="AA1634" s="1108"/>
      <c r="AB1634" s="1412"/>
    </row>
    <row r="1635">
      <c r="AA1635" s="1108"/>
      <c r="AB1635" s="1412"/>
    </row>
    <row r="1636">
      <c r="AA1636" s="1108"/>
      <c r="AB1636" s="1412"/>
    </row>
    <row r="1637">
      <c r="AA1637" s="1108"/>
      <c r="AB1637" s="1412"/>
    </row>
    <row r="1638">
      <c r="AA1638" s="1108"/>
      <c r="AB1638" s="1412"/>
    </row>
    <row r="1639">
      <c r="AA1639" s="1108"/>
      <c r="AB1639" s="1412"/>
    </row>
    <row r="1640">
      <c r="AA1640" s="1108"/>
      <c r="AB1640" s="1412"/>
    </row>
    <row r="1641">
      <c r="AA1641" s="1108"/>
      <c r="AB1641" s="1412"/>
    </row>
    <row r="1642">
      <c r="AA1642" s="1108"/>
      <c r="AB1642" s="1412"/>
    </row>
    <row r="1643">
      <c r="AA1643" s="1124"/>
      <c r="AB1643" s="1412"/>
    </row>
    <row r="1644">
      <c r="AA1644" s="1108"/>
      <c r="AB1644" s="1412"/>
    </row>
    <row r="1645">
      <c r="AA1645" s="1108"/>
      <c r="AB1645" s="1412"/>
    </row>
    <row r="1646">
      <c r="AA1646" s="1108"/>
      <c r="AB1646" s="1412"/>
    </row>
    <row r="1647">
      <c r="AA1647" s="1108"/>
      <c r="AB1647" s="1412"/>
    </row>
    <row r="1648">
      <c r="AA1648" s="1108"/>
      <c r="AB1648" s="1412"/>
    </row>
    <row r="1649">
      <c r="AA1649" s="1108"/>
      <c r="AB1649" s="1412"/>
    </row>
    <row r="1650">
      <c r="AA1650" s="1108"/>
      <c r="AB1650" s="1412"/>
    </row>
    <row r="1651">
      <c r="AA1651" s="1108"/>
      <c r="AB1651" s="1412"/>
    </row>
    <row r="1652">
      <c r="AA1652" s="1108"/>
      <c r="AB1652" s="1412"/>
    </row>
    <row r="1653">
      <c r="AA1653" s="1108"/>
      <c r="AB1653" s="1412"/>
    </row>
    <row r="1654">
      <c r="AA1654" s="1229"/>
      <c r="AB1654" s="1412"/>
    </row>
    <row r="1655">
      <c r="AA1655" s="1108"/>
      <c r="AB1655" s="1412"/>
    </row>
    <row r="1656">
      <c r="AA1656" s="1108"/>
      <c r="AB1656" s="1412"/>
    </row>
    <row r="1657">
      <c r="AA1657" s="1108"/>
      <c r="AB1657" s="1412"/>
    </row>
    <row r="1658">
      <c r="AA1658" s="1108"/>
      <c r="AB1658" s="1412"/>
    </row>
    <row r="1659">
      <c r="AA1659" s="1108"/>
      <c r="AB1659" s="1412"/>
    </row>
    <row r="1660">
      <c r="AA1660" s="1108"/>
      <c r="AB1660" s="1412"/>
    </row>
    <row r="1661">
      <c r="AA1661" s="1124"/>
      <c r="AB1661" s="1412"/>
    </row>
    <row r="1662">
      <c r="AA1662" s="1094"/>
      <c r="AB1662" s="1412"/>
    </row>
    <row r="1663">
      <c r="AA1663" s="1108"/>
      <c r="AB1663" s="1412"/>
    </row>
    <row r="1664">
      <c r="AA1664" s="1108"/>
      <c r="AB1664" s="1412"/>
    </row>
    <row r="1665">
      <c r="AA1665" s="1108"/>
      <c r="AB1665" s="1412"/>
    </row>
    <row r="1666">
      <c r="AA1666" s="1108"/>
      <c r="AB1666" s="1412"/>
    </row>
    <row r="1667">
      <c r="AA1667" s="1108"/>
      <c r="AB1667" s="1412"/>
    </row>
    <row r="1668">
      <c r="AA1668" s="1108"/>
      <c r="AB1668" s="1412"/>
    </row>
    <row r="1669">
      <c r="AA1669" s="1108"/>
      <c r="AB1669" s="1412"/>
    </row>
    <row r="1670">
      <c r="AA1670" s="1108"/>
      <c r="AB1670" s="1412"/>
    </row>
    <row r="1671">
      <c r="AA1671" s="1108"/>
      <c r="AB1671" s="1412"/>
    </row>
    <row r="1672">
      <c r="AA1672" s="1108"/>
      <c r="AB1672" s="1412"/>
    </row>
    <row r="1673">
      <c r="AA1673" s="1108"/>
      <c r="AB1673" s="1412"/>
    </row>
    <row r="1674">
      <c r="AA1674" s="1108"/>
      <c r="AB1674" s="1412"/>
    </row>
    <row r="1675">
      <c r="AA1675" s="1094"/>
      <c r="AB1675" s="1412"/>
    </row>
    <row r="1676">
      <c r="AA1676" s="1108"/>
      <c r="AB1676" s="1412"/>
    </row>
    <row r="1677">
      <c r="AA1677" s="1108"/>
      <c r="AB1677" s="1412"/>
    </row>
    <row r="1678">
      <c r="AA1678" s="1108"/>
      <c r="AB1678" s="1412"/>
    </row>
    <row r="1679">
      <c r="AA1679" s="1108"/>
      <c r="AB1679" s="1412"/>
    </row>
    <row r="1680">
      <c r="AA1680" s="1124"/>
      <c r="AB1680" s="1412"/>
    </row>
    <row r="1681">
      <c r="AA1681" s="1108"/>
      <c r="AB1681" s="1412"/>
    </row>
    <row r="1682">
      <c r="AA1682" s="1108"/>
      <c r="AB1682" s="1412"/>
    </row>
    <row r="1683">
      <c r="AA1683" s="1108"/>
      <c r="AB1683" s="1412"/>
    </row>
    <row r="1684">
      <c r="AA1684" s="1108"/>
      <c r="AB1684" s="1412"/>
    </row>
    <row r="1685">
      <c r="AA1685" s="1108"/>
      <c r="AB1685" s="1412"/>
    </row>
    <row r="1686">
      <c r="AA1686" s="1108"/>
      <c r="AB1686" s="1412"/>
    </row>
    <row r="1687">
      <c r="AA1687" s="1108"/>
      <c r="AB1687" s="1412"/>
    </row>
    <row r="1688">
      <c r="AA1688" s="1108"/>
      <c r="AB1688" s="1412"/>
    </row>
    <row r="1689">
      <c r="AA1689" s="1108"/>
      <c r="AB1689" s="1412"/>
    </row>
    <row r="1690">
      <c r="AA1690" s="1108"/>
      <c r="AB1690" s="1412"/>
    </row>
    <row r="1691">
      <c r="AA1691" s="1108"/>
      <c r="AB1691" s="1412"/>
    </row>
    <row r="1692">
      <c r="AA1692" s="1108"/>
      <c r="AB1692" s="1412"/>
    </row>
    <row r="1693">
      <c r="AA1693" s="1108"/>
      <c r="AB1693" s="1412"/>
    </row>
    <row r="1694">
      <c r="AA1694" s="1108"/>
      <c r="AB1694" s="1412"/>
    </row>
    <row r="1695">
      <c r="AA1695" s="1108"/>
      <c r="AB1695" s="1412"/>
    </row>
    <row r="1696">
      <c r="AA1696" s="1108"/>
      <c r="AB1696" s="1412"/>
    </row>
    <row r="1697">
      <c r="AA1697" s="1108"/>
      <c r="AB1697" s="1412"/>
    </row>
    <row r="1698">
      <c r="AA1698" s="1108"/>
      <c r="AB1698" s="1412"/>
    </row>
    <row r="1699">
      <c r="AA1699" s="1124"/>
      <c r="AB1699" s="1412"/>
    </row>
    <row r="1700">
      <c r="AA1700" s="1108"/>
      <c r="AB1700" s="1412"/>
    </row>
    <row r="1701">
      <c r="AA1701" s="1108"/>
      <c r="AB1701" s="1412"/>
    </row>
    <row r="1702">
      <c r="AA1702" s="1108"/>
      <c r="AB1702" s="1412"/>
    </row>
    <row r="1703">
      <c r="AA1703" s="1108"/>
      <c r="AB1703" s="1412"/>
    </row>
    <row r="1704">
      <c r="AA1704" s="1108"/>
      <c r="AB1704" s="1412"/>
    </row>
    <row r="1705">
      <c r="AA1705" s="1108"/>
      <c r="AB1705" s="1412"/>
    </row>
    <row r="1706">
      <c r="AA1706" s="1108"/>
      <c r="AB1706" s="1412"/>
    </row>
    <row r="1707">
      <c r="AA1707" s="1124"/>
      <c r="AB1707" s="1412"/>
    </row>
    <row r="1708">
      <c r="AA1708" s="1108"/>
      <c r="AB1708" s="1412"/>
    </row>
    <row r="1709">
      <c r="AA1709" s="1108"/>
      <c r="AB1709" s="1412"/>
    </row>
    <row r="1710">
      <c r="AA1710" s="1108"/>
      <c r="AB1710" s="1412"/>
    </row>
    <row r="1711">
      <c r="AA1711" s="1108"/>
      <c r="AB1711" s="1412"/>
    </row>
    <row r="1712">
      <c r="AA1712" s="1108"/>
      <c r="AB1712" s="1412"/>
    </row>
    <row r="1713">
      <c r="AA1713" s="1108"/>
      <c r="AB1713" s="1412"/>
    </row>
    <row r="1714">
      <c r="AA1714" s="1124"/>
      <c r="AB1714" s="1412"/>
    </row>
    <row r="1715">
      <c r="AA1715" s="1108"/>
      <c r="AB1715" s="1412"/>
    </row>
    <row r="1716">
      <c r="AA1716" s="1108"/>
      <c r="AB1716" s="1412"/>
    </row>
    <row r="1717">
      <c r="AA1717" s="1108"/>
      <c r="AB1717" s="1412"/>
    </row>
    <row r="1718">
      <c r="AA1718" s="1108"/>
      <c r="AB1718" s="1412"/>
    </row>
    <row r="1719">
      <c r="AA1719" s="1108"/>
      <c r="AB1719" s="1412"/>
    </row>
    <row r="1720">
      <c r="AA1720" s="1108"/>
      <c r="AB1720" s="1412"/>
    </row>
    <row r="1721">
      <c r="AA1721" s="1124"/>
      <c r="AB1721" s="1412"/>
    </row>
    <row r="1722">
      <c r="AA1722" s="1108"/>
      <c r="AB1722" s="1412"/>
    </row>
    <row r="1723">
      <c r="AA1723" s="1108"/>
      <c r="AB1723" s="1412"/>
    </row>
    <row r="1724">
      <c r="AA1724" s="1108"/>
      <c r="AB1724" s="1412"/>
    </row>
    <row r="1725">
      <c r="AA1725" s="1108"/>
      <c r="AB1725" s="1412"/>
    </row>
    <row r="1726">
      <c r="AA1726" s="1108"/>
      <c r="AB1726" s="1412"/>
    </row>
    <row r="1727">
      <c r="AA1727" s="1108"/>
      <c r="AB1727" s="1412"/>
    </row>
    <row r="1728">
      <c r="AA1728" s="1108"/>
      <c r="AB1728" s="1412"/>
    </row>
    <row r="1729">
      <c r="AA1729" s="1108"/>
      <c r="AB1729" s="1412"/>
    </row>
    <row r="1730">
      <c r="AA1730" s="1124"/>
      <c r="AB1730" s="1412"/>
    </row>
    <row r="1731">
      <c r="AA1731" s="1108"/>
      <c r="AB1731" s="1412"/>
    </row>
    <row r="1732">
      <c r="AA1732" s="1108"/>
      <c r="AB1732" s="1412"/>
    </row>
    <row r="1733">
      <c r="AA1733" s="1108"/>
      <c r="AB1733" s="1412"/>
    </row>
    <row r="1734">
      <c r="AA1734" s="1108"/>
      <c r="AB1734" s="1412"/>
    </row>
    <row r="1735">
      <c r="AA1735" s="1108"/>
      <c r="AB1735" s="1412"/>
    </row>
    <row r="1736">
      <c r="AA1736" s="1108"/>
      <c r="AB1736" s="1412"/>
    </row>
    <row r="1737">
      <c r="AA1737" s="1124"/>
      <c r="AB1737" s="1412"/>
    </row>
    <row r="1738">
      <c r="AA1738" s="1108"/>
      <c r="AB1738" s="1412"/>
    </row>
    <row r="1739">
      <c r="AA1739" s="1108"/>
      <c r="AB1739" s="1412"/>
    </row>
    <row r="1740">
      <c r="AA1740" s="1108"/>
      <c r="AB1740" s="1412"/>
    </row>
    <row r="1741">
      <c r="AA1741" s="1108"/>
      <c r="AB1741" s="1412"/>
    </row>
    <row r="1742">
      <c r="AA1742" s="1108"/>
      <c r="AB1742" s="1412"/>
    </row>
    <row r="1743">
      <c r="AA1743" s="1108"/>
      <c r="AB1743" s="1412"/>
    </row>
    <row r="1744">
      <c r="AA1744" s="1108"/>
      <c r="AB1744" s="1412"/>
    </row>
    <row r="1745">
      <c r="AA1745" s="1124"/>
      <c r="AB1745" s="1412"/>
    </row>
    <row r="1746">
      <c r="AA1746" s="1108"/>
      <c r="AB1746" s="1412"/>
    </row>
    <row r="1747">
      <c r="AA1747" s="1108"/>
      <c r="AB1747" s="1412"/>
    </row>
    <row r="1748">
      <c r="AA1748" s="1108"/>
      <c r="AB1748" s="1412"/>
    </row>
    <row r="1749">
      <c r="AA1749" s="1108"/>
      <c r="AB1749" s="1412"/>
    </row>
    <row r="1750">
      <c r="AA1750" s="1108"/>
      <c r="AB1750" s="1412"/>
    </row>
    <row r="1751">
      <c r="AA1751" s="1108"/>
      <c r="AB1751" s="1412"/>
    </row>
    <row r="1752">
      <c r="AA1752" s="1108"/>
      <c r="AB1752" s="1412"/>
    </row>
    <row r="1753">
      <c r="AA1753" s="1124"/>
      <c r="AB1753" s="1412"/>
    </row>
    <row r="1754">
      <c r="AA1754" s="1108"/>
      <c r="AB1754" s="1412"/>
    </row>
    <row r="1755">
      <c r="AA1755" s="1108"/>
      <c r="AB1755" s="1412"/>
    </row>
    <row r="1756">
      <c r="AA1756" s="1108"/>
      <c r="AB1756" s="1412"/>
    </row>
    <row r="1757">
      <c r="AA1757" s="1108"/>
      <c r="AB1757" s="1412"/>
    </row>
    <row r="1758">
      <c r="AA1758" s="1108"/>
      <c r="AB1758" s="1412"/>
    </row>
    <row r="1759">
      <c r="AA1759" s="1108"/>
      <c r="AB1759" s="1412"/>
    </row>
    <row r="1760">
      <c r="AA1760" s="1124"/>
      <c r="AB1760" s="1412"/>
    </row>
    <row r="1761">
      <c r="AA1761" s="1108"/>
      <c r="AB1761" s="1412"/>
    </row>
    <row r="1762">
      <c r="AA1762" s="1108"/>
      <c r="AB1762" s="1412"/>
    </row>
    <row r="1763">
      <c r="AA1763" s="1108"/>
      <c r="AB1763" s="1412"/>
    </row>
    <row r="1764">
      <c r="AA1764" s="1108"/>
      <c r="AB1764" s="1412"/>
    </row>
    <row r="1765">
      <c r="AA1765" s="1108"/>
      <c r="AB1765" s="1412"/>
    </row>
    <row r="1766">
      <c r="AA1766" s="1108"/>
      <c r="AB1766" s="1412"/>
    </row>
    <row r="1767">
      <c r="AA1767" s="1108"/>
      <c r="AB1767" s="1412"/>
    </row>
    <row r="1768">
      <c r="AA1768" s="1124"/>
      <c r="AB1768" s="1412"/>
    </row>
    <row r="1769">
      <c r="AA1769" s="1108"/>
      <c r="AB1769" s="1412"/>
    </row>
    <row r="1770">
      <c r="AA1770" s="1108"/>
      <c r="AB1770" s="1412"/>
    </row>
    <row r="1771">
      <c r="AA1771" s="1108"/>
      <c r="AB1771" s="1412"/>
    </row>
    <row r="1772">
      <c r="AA1772" s="1108"/>
      <c r="AB1772" s="1412"/>
    </row>
    <row r="1773">
      <c r="AA1773" s="1108"/>
      <c r="AB1773" s="1412"/>
    </row>
    <row r="1774">
      <c r="AA1774" s="1108"/>
      <c r="AB1774" s="1412"/>
    </row>
    <row r="1775">
      <c r="AA1775" s="1108"/>
      <c r="AB1775" s="1412"/>
    </row>
    <row r="1776">
      <c r="AA1776" s="1094"/>
      <c r="AB1776" s="1412"/>
    </row>
    <row r="1777">
      <c r="AA1777" s="1108"/>
      <c r="AB1777" s="1412"/>
    </row>
    <row r="1778">
      <c r="AA1778" s="1108"/>
      <c r="AB1778" s="1412"/>
    </row>
    <row r="1779">
      <c r="AA1779" s="1108"/>
      <c r="AB1779" s="1412"/>
    </row>
    <row r="1780">
      <c r="AA1780" s="1108"/>
      <c r="AB1780" s="1412"/>
    </row>
    <row r="1781">
      <c r="AA1781" s="1108"/>
      <c r="AB1781" s="1412"/>
    </row>
    <row r="1782">
      <c r="AA1782" s="1108"/>
      <c r="AB1782" s="1412"/>
    </row>
    <row r="1783">
      <c r="AA1783" s="1124"/>
      <c r="AB1783" s="1412"/>
    </row>
    <row r="1784">
      <c r="AA1784" s="1108"/>
      <c r="AB1784" s="1412"/>
    </row>
    <row r="1785">
      <c r="AA1785" s="1108"/>
      <c r="AB1785" s="1412"/>
    </row>
    <row r="1786">
      <c r="AA1786" s="1108"/>
      <c r="AB1786" s="1412"/>
    </row>
    <row r="1787">
      <c r="AA1787" s="1108"/>
      <c r="AB1787" s="1412"/>
    </row>
    <row r="1788">
      <c r="AA1788" s="1108"/>
      <c r="AB1788" s="1412"/>
    </row>
    <row r="1789">
      <c r="AA1789" s="1124"/>
      <c r="AB1789" s="1412"/>
    </row>
    <row r="1790">
      <c r="AA1790" s="1108"/>
      <c r="AB1790" s="1412"/>
    </row>
    <row r="1791">
      <c r="AA1791" s="1108"/>
      <c r="AB1791" s="1412"/>
    </row>
    <row r="1792">
      <c r="AA1792" s="1108"/>
      <c r="AB1792" s="1412"/>
    </row>
    <row r="1793">
      <c r="AA1793" s="1124"/>
      <c r="AB1793" s="1412"/>
    </row>
    <row r="1794">
      <c r="AA1794" s="1108"/>
      <c r="AB1794" s="1412"/>
    </row>
    <row r="1795">
      <c r="AA1795" s="1108"/>
      <c r="AB1795" s="1412"/>
    </row>
    <row r="1796">
      <c r="AA1796" s="1108"/>
      <c r="AB1796" s="1412"/>
    </row>
    <row r="1797">
      <c r="AA1797" s="1108"/>
      <c r="AB1797" s="1412"/>
    </row>
    <row r="1798">
      <c r="AA1798" s="1108"/>
      <c r="AB1798" s="1412"/>
    </row>
    <row r="1799">
      <c r="AA1799" s="1108"/>
      <c r="AB1799" s="1412"/>
    </row>
    <row r="1800">
      <c r="AA1800" s="1108"/>
      <c r="AB1800" s="1412"/>
    </row>
    <row r="1801">
      <c r="AA1801" s="1108"/>
      <c r="AB1801" s="1412"/>
    </row>
    <row r="1802">
      <c r="AA1802" s="1108"/>
      <c r="AB1802" s="1412"/>
    </row>
    <row r="1803">
      <c r="AA1803" s="1108"/>
      <c r="AB1803" s="1412"/>
    </row>
    <row r="1804">
      <c r="AA1804" s="1108"/>
      <c r="AB1804" s="1412"/>
    </row>
    <row r="1805">
      <c r="AA1805" s="1108"/>
      <c r="AB1805" s="1412"/>
    </row>
    <row r="1806">
      <c r="AA1806" s="1108"/>
      <c r="AB1806" s="1412"/>
    </row>
    <row r="1807">
      <c r="AA1807" s="1108"/>
      <c r="AB1807" s="1412"/>
    </row>
    <row r="1808">
      <c r="AA1808" s="1108"/>
      <c r="AB1808" s="1412"/>
    </row>
    <row r="1809">
      <c r="AA1809" s="1108"/>
      <c r="AB1809" s="1412"/>
    </row>
    <row r="1810">
      <c r="AA1810" s="1108"/>
      <c r="AB1810" s="1412"/>
    </row>
    <row r="1811">
      <c r="AA1811" s="1124"/>
      <c r="AB1811" s="1412"/>
    </row>
    <row r="1812">
      <c r="AA1812" s="1108"/>
      <c r="AB1812" s="1412"/>
    </row>
    <row r="1813">
      <c r="AA1813" s="1108"/>
      <c r="AB1813" s="1412"/>
    </row>
    <row r="1814">
      <c r="AA1814" s="1108"/>
      <c r="AB1814" s="1412"/>
    </row>
    <row r="1815">
      <c r="AA1815" s="1108"/>
      <c r="AB1815" s="1412"/>
    </row>
    <row r="1816">
      <c r="AA1816" s="1108"/>
      <c r="AB1816" s="1412"/>
    </row>
    <row r="1817">
      <c r="AA1817" s="1108"/>
      <c r="AB1817" s="1412"/>
    </row>
    <row r="1818">
      <c r="AA1818" s="1108"/>
      <c r="AB1818" s="1412"/>
    </row>
    <row r="1819">
      <c r="AA1819" s="1108"/>
      <c r="AB1819" s="1412"/>
    </row>
    <row r="1820">
      <c r="AA1820" s="1108"/>
      <c r="AB1820" s="1412"/>
    </row>
    <row r="1821">
      <c r="AA1821" s="1108"/>
      <c r="AB1821" s="1412"/>
    </row>
    <row r="1822">
      <c r="AA1822" s="1108"/>
      <c r="AB1822" s="1412"/>
    </row>
    <row r="1823">
      <c r="AA1823" s="1108"/>
      <c r="AB1823" s="1412"/>
    </row>
    <row r="1824">
      <c r="AA1824" s="1108"/>
      <c r="AB1824" s="1412"/>
    </row>
    <row r="1825">
      <c r="AA1825" s="1124"/>
      <c r="AB1825" s="1412"/>
    </row>
    <row r="1826">
      <c r="AA1826" s="1108"/>
      <c r="AB1826" s="1412"/>
    </row>
    <row r="1827">
      <c r="AA1827" s="1108"/>
      <c r="AB1827" s="1412"/>
    </row>
    <row r="1828">
      <c r="AA1828" s="1108"/>
      <c r="AB1828" s="1412"/>
    </row>
    <row r="1829">
      <c r="AA1829" s="1108"/>
      <c r="AB1829" s="1412"/>
    </row>
    <row r="1830">
      <c r="AA1830" s="1108"/>
      <c r="AB1830" s="1412"/>
    </row>
    <row r="1831">
      <c r="AA1831" s="1108"/>
      <c r="AB1831" s="1412"/>
    </row>
    <row r="1832">
      <c r="AA1832" s="1108"/>
      <c r="AB1832" s="1412"/>
    </row>
    <row r="1833">
      <c r="AA1833" s="1108"/>
      <c r="AB1833" s="1412"/>
    </row>
    <row r="1834">
      <c r="AA1834" s="1108"/>
      <c r="AB1834" s="1412"/>
    </row>
    <row r="1835">
      <c r="AA1835" s="1108"/>
      <c r="AB1835" s="1412"/>
    </row>
    <row r="1836">
      <c r="AA1836" s="1108"/>
      <c r="AB1836" s="1412"/>
    </row>
    <row r="1837">
      <c r="AA1837" s="1108"/>
      <c r="AB1837" s="1412"/>
    </row>
    <row r="1838">
      <c r="AA1838" s="1108"/>
      <c r="AB1838" s="1412"/>
    </row>
    <row r="1839">
      <c r="AA1839" s="1108"/>
      <c r="AB1839" s="1412"/>
    </row>
    <row r="1840">
      <c r="AA1840" s="1108"/>
      <c r="AB1840" s="1412"/>
    </row>
    <row r="1841">
      <c r="AA1841" s="1108"/>
      <c r="AB1841" s="1412"/>
    </row>
    <row r="1842">
      <c r="AA1842" s="1108"/>
      <c r="AB1842" s="1412"/>
    </row>
    <row r="1843">
      <c r="AA1843" s="1108"/>
      <c r="AB1843" s="1412"/>
    </row>
    <row r="1844">
      <c r="AA1844" s="1108"/>
      <c r="AB1844" s="1412"/>
    </row>
    <row r="1845">
      <c r="AA1845" s="1124"/>
      <c r="AB1845" s="1412"/>
    </row>
    <row r="1846">
      <c r="AA1846" s="1108"/>
      <c r="AB1846" s="1412"/>
    </row>
    <row r="1847">
      <c r="AA1847" s="1108"/>
      <c r="AB1847" s="1412"/>
    </row>
    <row r="1848">
      <c r="AA1848" s="1108"/>
      <c r="AB1848" s="1412"/>
    </row>
    <row r="1849">
      <c r="AA1849" s="1108"/>
      <c r="AB1849" s="1412"/>
    </row>
    <row r="1850">
      <c r="AA1850" s="1108"/>
      <c r="AB1850" s="1412"/>
    </row>
    <row r="1851">
      <c r="AA1851" s="1108"/>
      <c r="AB1851" s="1412"/>
    </row>
    <row r="1852">
      <c r="AA1852" s="1108"/>
      <c r="AB1852" s="1412"/>
    </row>
    <row r="1853">
      <c r="AA1853" s="1108"/>
      <c r="AB1853" s="1412"/>
    </row>
    <row r="1854">
      <c r="AA1854" s="1108"/>
      <c r="AB1854" s="1412"/>
    </row>
    <row r="1855">
      <c r="AA1855" s="1108"/>
      <c r="AB1855" s="1412"/>
    </row>
    <row r="1856">
      <c r="AA1856" s="1108"/>
      <c r="AB1856" s="1412"/>
    </row>
    <row r="1857">
      <c r="AA1857" s="1108"/>
      <c r="AB1857" s="1412"/>
    </row>
    <row r="1858">
      <c r="AA1858" s="1108"/>
      <c r="AB1858" s="1412"/>
    </row>
    <row r="1859">
      <c r="AA1859" s="1108"/>
      <c r="AB1859" s="1412"/>
    </row>
    <row r="1860">
      <c r="AA1860" s="1124"/>
      <c r="AB1860" s="1412"/>
    </row>
    <row r="1861">
      <c r="AA1861" s="1108"/>
      <c r="AB1861" s="1412"/>
    </row>
    <row r="1862">
      <c r="AA1862" s="1108"/>
      <c r="AB1862" s="1412"/>
    </row>
    <row r="1863">
      <c r="AA1863" s="1108"/>
      <c r="AB1863" s="1412"/>
    </row>
    <row r="1864">
      <c r="AA1864" s="1108"/>
      <c r="AB1864" s="1412"/>
    </row>
    <row r="1865">
      <c r="AA1865" s="1108"/>
      <c r="AB1865" s="1412"/>
    </row>
    <row r="1866">
      <c r="AA1866" s="1108"/>
      <c r="AB1866" s="1412"/>
    </row>
    <row r="1867">
      <c r="AA1867" s="1108"/>
      <c r="AB1867" s="1412"/>
    </row>
    <row r="1868">
      <c r="AA1868" s="1108"/>
      <c r="AB1868" s="1412"/>
    </row>
    <row r="1869">
      <c r="AA1869" s="1108"/>
      <c r="AB1869" s="1412"/>
    </row>
    <row r="1870">
      <c r="AA1870" s="1108"/>
      <c r="AB1870" s="1412"/>
    </row>
    <row r="1871">
      <c r="AA1871" s="1108"/>
      <c r="AB1871" s="1412"/>
    </row>
    <row r="1872">
      <c r="AA1872" s="1108"/>
      <c r="AB1872" s="1412"/>
    </row>
    <row r="1873">
      <c r="AA1873" s="1108"/>
      <c r="AB1873" s="1412"/>
    </row>
    <row r="1874">
      <c r="AA1874" s="1108"/>
      <c r="AB1874" s="1412"/>
    </row>
    <row r="1875">
      <c r="AA1875" s="1108"/>
      <c r="AB1875" s="1412"/>
    </row>
    <row r="1876">
      <c r="AA1876" s="1108"/>
      <c r="AB1876" s="1412"/>
    </row>
    <row r="1877">
      <c r="AA1877" s="1108"/>
      <c r="AB1877" s="1412"/>
    </row>
    <row r="1878">
      <c r="AA1878" s="1108"/>
      <c r="AB1878" s="1412"/>
    </row>
    <row r="1879">
      <c r="AA1879" s="1108"/>
      <c r="AB1879" s="1412"/>
    </row>
    <row r="1880">
      <c r="AA1880" s="1108"/>
      <c r="AB1880" s="1412"/>
    </row>
    <row r="1881">
      <c r="AA1881" s="1108"/>
      <c r="AB1881" s="1412"/>
    </row>
    <row r="1882">
      <c r="AA1882" s="1108"/>
      <c r="AB1882" s="1412"/>
    </row>
    <row r="1883">
      <c r="AA1883" s="1108"/>
      <c r="AB1883" s="1412"/>
    </row>
    <row r="1884">
      <c r="AA1884" s="1108"/>
      <c r="AB1884" s="1412"/>
    </row>
    <row r="1885">
      <c r="AA1885" s="1108"/>
      <c r="AB1885" s="1412"/>
    </row>
    <row r="1886">
      <c r="AA1886" s="1124"/>
      <c r="AB1886" s="1412"/>
    </row>
    <row r="1887">
      <c r="AA1887" s="1108"/>
      <c r="AB1887" s="1412"/>
    </row>
    <row r="1888">
      <c r="AA1888" s="1108"/>
      <c r="AB1888" s="1412"/>
    </row>
    <row r="1889">
      <c r="AA1889" s="1108"/>
      <c r="AB1889" s="1412"/>
    </row>
    <row r="1890">
      <c r="AA1890" s="1108"/>
      <c r="AB1890" s="1412"/>
    </row>
    <row r="1891">
      <c r="AA1891" s="1108"/>
      <c r="AB1891" s="1412"/>
    </row>
    <row r="1892">
      <c r="AA1892" s="1108"/>
      <c r="AB1892" s="1412"/>
    </row>
    <row r="1893">
      <c r="AA1893" s="1108"/>
      <c r="AB1893" s="1412"/>
    </row>
    <row r="1894">
      <c r="AA1894" s="1108"/>
      <c r="AB1894" s="1412"/>
    </row>
    <row r="1895">
      <c r="AA1895" s="1108"/>
      <c r="AB1895" s="1412"/>
    </row>
    <row r="1896">
      <c r="AA1896" s="1108"/>
      <c r="AB1896" s="1412"/>
    </row>
    <row r="1897">
      <c r="AA1897" s="1108"/>
      <c r="AB1897" s="1412"/>
    </row>
    <row r="1898">
      <c r="AA1898" s="1108"/>
      <c r="AB1898" s="1412"/>
    </row>
    <row r="1899">
      <c r="AA1899" s="1108"/>
      <c r="AB1899" s="1412"/>
    </row>
    <row r="1900">
      <c r="AA1900" s="1108"/>
      <c r="AB1900" s="1412"/>
    </row>
    <row r="1901">
      <c r="AA1901" s="1108"/>
      <c r="AB1901" s="1412"/>
    </row>
    <row r="1902">
      <c r="AA1902" s="1108"/>
      <c r="AB1902" s="1412"/>
    </row>
    <row r="1903">
      <c r="AA1903" s="1108"/>
      <c r="AB1903" s="1412"/>
    </row>
    <row r="1904">
      <c r="AA1904" s="1108"/>
      <c r="AB1904" s="1412"/>
    </row>
    <row r="1905">
      <c r="AA1905" s="1108"/>
      <c r="AB1905" s="1412"/>
    </row>
    <row r="1906">
      <c r="AA1906" s="1108"/>
      <c r="AB1906" s="1412"/>
    </row>
    <row r="1907">
      <c r="AA1907" s="1108"/>
      <c r="AB1907" s="1412"/>
    </row>
    <row r="1908">
      <c r="AA1908" s="1108"/>
      <c r="AB1908" s="1412"/>
    </row>
    <row r="1909">
      <c r="AA1909" s="1108"/>
      <c r="AB1909" s="1412"/>
    </row>
    <row r="1910">
      <c r="AA1910" s="1108"/>
      <c r="AB1910" s="1412"/>
    </row>
    <row r="1911">
      <c r="AA1911" s="1108"/>
      <c r="AB1911" s="1412"/>
    </row>
    <row r="1912">
      <c r="AA1912" s="1108"/>
      <c r="AB1912" s="1412"/>
    </row>
    <row r="1913">
      <c r="AA1913" s="1108"/>
      <c r="AB1913" s="1412"/>
    </row>
    <row r="1914">
      <c r="AA1914" s="1108"/>
      <c r="AB1914" s="1412"/>
    </row>
    <row r="1915">
      <c r="AA1915" s="1108"/>
      <c r="AB1915" s="1412"/>
    </row>
    <row r="1916">
      <c r="AA1916" s="1108"/>
      <c r="AB1916" s="1412"/>
    </row>
    <row r="1917">
      <c r="AA1917" s="1108"/>
      <c r="AB1917" s="1412"/>
    </row>
    <row r="1918">
      <c r="AA1918" s="1108"/>
      <c r="AB1918" s="1412"/>
    </row>
    <row r="1919">
      <c r="AA1919" s="1108"/>
      <c r="AB1919" s="1412"/>
    </row>
    <row r="1920">
      <c r="AA1920" s="1108"/>
      <c r="AB1920" s="1412"/>
    </row>
    <row r="1921">
      <c r="AA1921" s="1108"/>
      <c r="AB1921" s="1412"/>
    </row>
    <row r="1922">
      <c r="AA1922" s="1108"/>
      <c r="AB1922" s="1412"/>
    </row>
    <row r="1923">
      <c r="AA1923" s="1108"/>
      <c r="AB1923" s="1412"/>
    </row>
    <row r="1924">
      <c r="AA1924" s="1108"/>
      <c r="AB1924" s="1412"/>
    </row>
    <row r="1925">
      <c r="AA1925" s="1108"/>
      <c r="AB1925" s="1412"/>
    </row>
    <row r="1926">
      <c r="AA1926" s="1108"/>
      <c r="AB1926" s="1412"/>
    </row>
    <row r="1927">
      <c r="AA1927" s="1108"/>
      <c r="AB1927" s="1412"/>
    </row>
    <row r="1928">
      <c r="AA1928" s="1108"/>
      <c r="AB1928" s="1412"/>
    </row>
    <row r="1929">
      <c r="AA1929" s="1108"/>
      <c r="AB1929" s="1412"/>
    </row>
    <row r="1930">
      <c r="AA1930" s="1108"/>
      <c r="AB1930" s="1412"/>
    </row>
    <row r="1931">
      <c r="AA1931" s="1108"/>
      <c r="AB1931" s="1412"/>
    </row>
    <row r="1932">
      <c r="AA1932" s="1124"/>
      <c r="AB1932" s="1412"/>
    </row>
    <row r="1933">
      <c r="AA1933" s="1108"/>
      <c r="AB1933" s="1412"/>
    </row>
    <row r="1934">
      <c r="AA1934" s="1124"/>
      <c r="AB1934" s="1412"/>
    </row>
    <row r="1935">
      <c r="AA1935" s="1108"/>
      <c r="AB1935" s="1412"/>
    </row>
    <row r="1936">
      <c r="AA1936" s="1108"/>
      <c r="AB1936" s="1412"/>
    </row>
    <row r="1937">
      <c r="AA1937" s="1108"/>
      <c r="AB1937" s="1412"/>
    </row>
    <row r="1938">
      <c r="AA1938" s="1124"/>
      <c r="AB1938" s="1412"/>
    </row>
    <row r="1939">
      <c r="AA1939" s="1108"/>
      <c r="AB1939" s="1412"/>
    </row>
    <row r="1940">
      <c r="AA1940" s="1108"/>
      <c r="AB1940" s="1412"/>
    </row>
    <row r="1941">
      <c r="AA1941" s="1124"/>
      <c r="AB1941" s="1412"/>
    </row>
    <row r="1942">
      <c r="AA1942" s="1108"/>
      <c r="AB1942" s="1412"/>
    </row>
    <row r="1943">
      <c r="AA1943" s="1108"/>
      <c r="AB1943" s="1412"/>
    </row>
    <row r="1944">
      <c r="AA1944" s="1108"/>
      <c r="AB1944" s="1412"/>
    </row>
    <row r="1945">
      <c r="AA1945" s="1108"/>
      <c r="AB1945" s="1412"/>
    </row>
    <row r="1946">
      <c r="AA1946" s="1124"/>
      <c r="AB1946" s="1412"/>
    </row>
    <row r="1947">
      <c r="AA1947" s="1108"/>
      <c r="AB1947" s="1412"/>
    </row>
    <row r="1948">
      <c r="AA1948" s="1108"/>
      <c r="AB1948" s="1412"/>
    </row>
    <row r="1949">
      <c r="AA1949" s="1108"/>
      <c r="AB1949" s="1412"/>
    </row>
    <row r="1950">
      <c r="AA1950" s="1108"/>
      <c r="AB1950" s="1412"/>
    </row>
    <row r="1951">
      <c r="AA1951" s="1108"/>
      <c r="AB1951" s="1412"/>
    </row>
    <row r="1952">
      <c r="AA1952" s="1108"/>
      <c r="AB1952" s="1412"/>
    </row>
    <row r="1953">
      <c r="AA1953" s="1108"/>
      <c r="AB1953" s="1412"/>
    </row>
    <row r="1954">
      <c r="AA1954" s="1108"/>
      <c r="AB1954" s="1412"/>
    </row>
    <row r="1955">
      <c r="AA1955" s="1108"/>
      <c r="AB1955" s="1412"/>
    </row>
    <row r="1956">
      <c r="AA1956" s="1124"/>
      <c r="AB1956" s="1412"/>
    </row>
    <row r="1957">
      <c r="AA1957" s="1108"/>
      <c r="AB1957" s="1412"/>
    </row>
    <row r="1958">
      <c r="AA1958" s="1108"/>
      <c r="AB1958" s="1412"/>
    </row>
    <row r="1959">
      <c r="AA1959" s="1108"/>
      <c r="AB1959" s="1412"/>
    </row>
    <row r="1960">
      <c r="AA1960" s="1108"/>
      <c r="AB1960" s="1412"/>
    </row>
    <row r="1961">
      <c r="AA1961" s="1108"/>
      <c r="AB1961" s="1412"/>
    </row>
    <row r="1962">
      <c r="AA1962" s="1108"/>
      <c r="AB1962" s="1412"/>
    </row>
    <row r="1963">
      <c r="AA1963" s="1108"/>
      <c r="AB1963" s="1412"/>
    </row>
    <row r="1964">
      <c r="AA1964" s="1108"/>
      <c r="AB1964" s="1412"/>
    </row>
    <row r="1965">
      <c r="AA1965" s="1124"/>
      <c r="AB1965" s="1412"/>
    </row>
    <row r="1966">
      <c r="AA1966" s="1108"/>
      <c r="AB1966" s="1412"/>
    </row>
    <row r="1967">
      <c r="AA1967" s="1108"/>
      <c r="AB1967" s="1412"/>
    </row>
    <row r="1968">
      <c r="AA1968" s="1108"/>
      <c r="AB1968" s="1412"/>
    </row>
    <row r="1969">
      <c r="AA1969" s="1108"/>
      <c r="AB1969" s="1412"/>
    </row>
    <row r="1970">
      <c r="AA1970" s="1108"/>
      <c r="AB1970" s="1412"/>
    </row>
    <row r="1971">
      <c r="AA1971" s="1108"/>
      <c r="AB1971" s="1412"/>
    </row>
    <row r="1972">
      <c r="AA1972" s="1108"/>
      <c r="AB1972" s="1412"/>
    </row>
    <row r="1973">
      <c r="AA1973" s="1108"/>
      <c r="AB1973" s="1412"/>
    </row>
    <row r="1974">
      <c r="AA1974" s="1124"/>
      <c r="AB1974" s="1412"/>
    </row>
    <row r="1975">
      <c r="AA1975" s="1108"/>
      <c r="AB1975" s="1412"/>
    </row>
    <row r="1976">
      <c r="AA1976" s="1108"/>
      <c r="AB1976" s="1412"/>
    </row>
    <row r="1977">
      <c r="AA1977" s="1108"/>
      <c r="AB1977" s="1412"/>
    </row>
    <row r="1978">
      <c r="AA1978" s="1108"/>
      <c r="AB1978" s="1412"/>
    </row>
    <row r="1979">
      <c r="AA1979" s="1108"/>
      <c r="AB1979" s="1412"/>
    </row>
    <row r="1980">
      <c r="AA1980" s="1108"/>
      <c r="AB1980" s="1412"/>
    </row>
    <row r="1981">
      <c r="AA1981" s="1108"/>
      <c r="AB1981" s="1412"/>
    </row>
    <row r="1982">
      <c r="AA1982" s="1124"/>
      <c r="AB1982" s="1412"/>
    </row>
    <row r="1983">
      <c r="AA1983" s="1108"/>
      <c r="AB1983" s="1412"/>
    </row>
    <row r="1984">
      <c r="AA1984" s="1108"/>
      <c r="AB1984" s="1412"/>
    </row>
    <row r="1985">
      <c r="AA1985" s="1108"/>
      <c r="AB1985" s="1412"/>
    </row>
    <row r="1986">
      <c r="AA1986" s="1108"/>
      <c r="AB1986" s="1412"/>
    </row>
    <row r="1987">
      <c r="AA1987" s="1108"/>
      <c r="AB1987" s="1412"/>
    </row>
    <row r="1988">
      <c r="AA1988" s="1124"/>
      <c r="AB1988" s="1412"/>
    </row>
    <row r="1989">
      <c r="AA1989" s="1108"/>
      <c r="AB1989" s="1412"/>
    </row>
    <row r="1990">
      <c r="AA1990" s="1108"/>
      <c r="AB1990" s="1412"/>
    </row>
    <row r="1991">
      <c r="AA1991" s="1108"/>
      <c r="AB1991" s="1412"/>
    </row>
    <row r="1992">
      <c r="AA1992" s="1108"/>
      <c r="AB1992" s="1412"/>
    </row>
    <row r="1993">
      <c r="AA1993" s="1108"/>
      <c r="AB1993" s="1412"/>
    </row>
    <row r="1994">
      <c r="AA1994" s="1108"/>
      <c r="AB1994" s="1412"/>
    </row>
    <row r="1995">
      <c r="AA1995" s="1108"/>
      <c r="AB1995" s="1412"/>
    </row>
    <row r="1996">
      <c r="AA1996" s="1108"/>
      <c r="AB1996" s="1412"/>
    </row>
    <row r="1997">
      <c r="AA1997" s="1124"/>
      <c r="AB1997" s="1412"/>
    </row>
    <row r="1998">
      <c r="AA1998" s="1108"/>
      <c r="AB1998" s="1412"/>
    </row>
    <row r="1999">
      <c r="AA1999" s="1108"/>
      <c r="AB1999" s="1412"/>
    </row>
    <row r="2000">
      <c r="AA2000" s="1108"/>
      <c r="AB2000" s="1412"/>
    </row>
    <row r="2001">
      <c r="AA2001" s="1108"/>
      <c r="AB2001" s="1412"/>
    </row>
    <row r="2002">
      <c r="AA2002" s="1108"/>
      <c r="AB2002" s="1412"/>
    </row>
    <row r="2003">
      <c r="AA2003" s="1108"/>
      <c r="AB2003" s="1412"/>
    </row>
    <row r="2004">
      <c r="AA2004" s="1108"/>
      <c r="AB2004" s="1412"/>
    </row>
    <row r="2005">
      <c r="AA2005" s="1108"/>
      <c r="AB2005" s="1412"/>
    </row>
    <row r="2006">
      <c r="AA2006" s="1124"/>
      <c r="AB2006" s="1412"/>
    </row>
    <row r="2007">
      <c r="AA2007" s="1108"/>
      <c r="AB2007" s="1412"/>
    </row>
    <row r="2008">
      <c r="AA2008" s="1108"/>
      <c r="AB2008" s="1412"/>
    </row>
    <row r="2009">
      <c r="AA2009" s="1108"/>
      <c r="AB2009" s="1412"/>
    </row>
    <row r="2010">
      <c r="AA2010" s="1108"/>
      <c r="AB2010" s="1412"/>
    </row>
    <row r="2011">
      <c r="AA2011" s="1108"/>
      <c r="AB2011" s="1412"/>
    </row>
    <row r="2012">
      <c r="AA2012" s="1108"/>
      <c r="AB2012" s="1412"/>
    </row>
    <row r="2013">
      <c r="AA2013" s="1108"/>
      <c r="AB2013" s="1412"/>
    </row>
    <row r="2014">
      <c r="AA2014" s="1108"/>
      <c r="AB2014" s="1412"/>
    </row>
    <row r="2015">
      <c r="AA2015" s="1124"/>
      <c r="AB2015" s="1412"/>
    </row>
    <row r="2016">
      <c r="AA2016" s="1108"/>
      <c r="AB2016" s="1412"/>
    </row>
    <row r="2017">
      <c r="AA2017" s="1124"/>
      <c r="AB2017" s="1412"/>
    </row>
    <row r="2018">
      <c r="AA2018" s="1108"/>
      <c r="AB2018" s="1412"/>
    </row>
    <row r="2019">
      <c r="AA2019" s="1108"/>
      <c r="AB2019" s="1412"/>
    </row>
    <row r="2020">
      <c r="AA2020" s="1108"/>
      <c r="AB2020" s="1412"/>
    </row>
    <row r="2021">
      <c r="AA2021" s="1124"/>
      <c r="AB2021" s="1412"/>
    </row>
    <row r="2022">
      <c r="AA2022" s="1108"/>
      <c r="AB2022" s="1412"/>
    </row>
    <row r="2023">
      <c r="AA2023" s="1108"/>
      <c r="AB2023" s="1412"/>
    </row>
    <row r="2024">
      <c r="AA2024" s="1108"/>
      <c r="AB2024" s="1412"/>
    </row>
    <row r="2025">
      <c r="AA2025" s="1124"/>
      <c r="AB2025" s="1412"/>
    </row>
    <row r="2026">
      <c r="AA2026" s="1108"/>
      <c r="AB2026" s="1412"/>
    </row>
    <row r="2027">
      <c r="AA2027" s="1108"/>
      <c r="AB2027" s="1412"/>
    </row>
    <row r="2028">
      <c r="AA2028" s="1108"/>
      <c r="AB2028" s="1412"/>
    </row>
    <row r="2029">
      <c r="AA2029" s="1108"/>
      <c r="AB2029" s="1412"/>
    </row>
    <row r="2030">
      <c r="AA2030" s="1108"/>
      <c r="AB2030" s="1412"/>
    </row>
    <row r="2031">
      <c r="AA2031" s="1108"/>
      <c r="AB2031" s="1412"/>
    </row>
    <row r="2032">
      <c r="AA2032" s="1108"/>
      <c r="AB2032" s="1412"/>
    </row>
    <row r="2033">
      <c r="AA2033" s="1108"/>
      <c r="AB2033" s="1412"/>
    </row>
    <row r="2034">
      <c r="AA2034" s="1108"/>
      <c r="AB2034" s="1412"/>
    </row>
    <row r="2035">
      <c r="AA2035" s="1108"/>
      <c r="AB2035" s="1412"/>
    </row>
    <row r="2036">
      <c r="AA2036" s="1108"/>
      <c r="AB2036" s="1412"/>
    </row>
    <row r="2037">
      <c r="AA2037" s="1124"/>
      <c r="AB2037" s="1412"/>
    </row>
    <row r="2038">
      <c r="AA2038" s="1108"/>
      <c r="AB2038" s="1412"/>
    </row>
    <row r="2039">
      <c r="AA2039" s="1108"/>
      <c r="AB2039" s="1412"/>
    </row>
    <row r="2040">
      <c r="AA2040" s="1108"/>
      <c r="AB2040" s="1412"/>
    </row>
    <row r="2041">
      <c r="AA2041" s="1108"/>
      <c r="AB2041" s="1412"/>
    </row>
    <row r="2042">
      <c r="AA2042" s="1108"/>
      <c r="AB2042" s="1412"/>
    </row>
    <row r="2043">
      <c r="AA2043" s="1108"/>
      <c r="AB2043" s="1412"/>
    </row>
    <row r="2044">
      <c r="AA2044" s="1108"/>
      <c r="AB2044" s="1412"/>
    </row>
    <row r="2045">
      <c r="AA2045" s="1108"/>
      <c r="AB2045" s="1412"/>
    </row>
    <row r="2046">
      <c r="AA2046" s="1108"/>
      <c r="AB2046" s="1412"/>
    </row>
    <row r="2047">
      <c r="AA2047" s="1108"/>
      <c r="AB2047" s="1412"/>
    </row>
    <row r="2048">
      <c r="AA2048" s="1124"/>
      <c r="AB2048" s="1412"/>
    </row>
    <row r="2049">
      <c r="AA2049" s="1108"/>
      <c r="AB2049" s="1412"/>
    </row>
    <row r="2050">
      <c r="AA2050" s="1108"/>
      <c r="AB2050" s="1412"/>
    </row>
    <row r="2051">
      <c r="AA2051" s="1108"/>
      <c r="AB2051" s="1412"/>
    </row>
    <row r="2052">
      <c r="AA2052" s="1108"/>
      <c r="AB2052" s="1412"/>
    </row>
    <row r="2053">
      <c r="AA2053" s="1124"/>
      <c r="AB2053" s="1412"/>
    </row>
    <row r="2054">
      <c r="AA2054" s="1108"/>
      <c r="AB2054" s="1412"/>
    </row>
    <row r="2055">
      <c r="AA2055" s="1108"/>
      <c r="AB2055" s="1412"/>
    </row>
    <row r="2056">
      <c r="AA2056" s="1108"/>
      <c r="AB2056" s="1412"/>
    </row>
    <row r="2057">
      <c r="AA2057" s="1108"/>
      <c r="AB2057" s="1412"/>
    </row>
    <row r="2058">
      <c r="AA2058" s="1108"/>
      <c r="AB2058" s="1412"/>
    </row>
    <row r="2059">
      <c r="AA2059" s="1108"/>
      <c r="AB2059" s="1412"/>
    </row>
    <row r="2060">
      <c r="AA2060" s="1124"/>
      <c r="AB2060" s="1412"/>
    </row>
    <row r="2061">
      <c r="AA2061" s="1108"/>
      <c r="AB2061" s="1412"/>
    </row>
    <row r="2062">
      <c r="AA2062" s="1108"/>
      <c r="AB2062" s="1412"/>
    </row>
    <row r="2063">
      <c r="AA2063" s="1108"/>
      <c r="AB2063" s="1412"/>
    </row>
    <row r="2064">
      <c r="AA2064" s="1108"/>
      <c r="AB2064" s="1412"/>
    </row>
    <row r="2065">
      <c r="AA2065" s="1108"/>
      <c r="AB2065" s="1412"/>
    </row>
    <row r="2066">
      <c r="AA2066" s="1124"/>
      <c r="AB2066" s="1412"/>
    </row>
    <row r="2067">
      <c r="AA2067" s="1108"/>
      <c r="AB2067" s="1412"/>
    </row>
    <row r="2068">
      <c r="AA2068" s="1108"/>
      <c r="AB2068" s="1412"/>
    </row>
    <row r="2069">
      <c r="AA2069" s="1108"/>
      <c r="AB2069" s="1412"/>
    </row>
    <row r="2070">
      <c r="AA2070" s="1108"/>
      <c r="AB2070" s="1412"/>
    </row>
    <row r="2071">
      <c r="AA2071" s="1108"/>
      <c r="AB2071" s="1412"/>
    </row>
    <row r="2072">
      <c r="AA2072" s="1108"/>
      <c r="AB2072" s="1412"/>
    </row>
    <row r="2073">
      <c r="AA2073" s="1108"/>
      <c r="AB2073" s="1412"/>
    </row>
    <row r="2074">
      <c r="AA2074" s="1124"/>
      <c r="AB2074" s="1412"/>
    </row>
    <row r="2075">
      <c r="AA2075" s="1108"/>
      <c r="AB2075" s="1412"/>
    </row>
    <row r="2076">
      <c r="AA2076" s="1108"/>
      <c r="AB2076" s="1412"/>
    </row>
    <row r="2077">
      <c r="AA2077" s="1108"/>
      <c r="AB2077" s="1412"/>
    </row>
    <row r="2078">
      <c r="AA2078" s="1108"/>
      <c r="AB2078" s="1412"/>
    </row>
    <row r="2079">
      <c r="AA2079" s="1108"/>
      <c r="AB2079" s="1412"/>
    </row>
    <row r="2080">
      <c r="AA2080" s="1124"/>
      <c r="AB2080" s="1412"/>
    </row>
    <row r="2081">
      <c r="AA2081" s="1108"/>
      <c r="AB2081" s="1412"/>
    </row>
    <row r="2082">
      <c r="AA2082" s="1108"/>
      <c r="AB2082" s="1412"/>
    </row>
    <row r="2083">
      <c r="AA2083" s="1108"/>
      <c r="AB2083" s="1412"/>
    </row>
    <row r="2084">
      <c r="AA2084" s="1108"/>
      <c r="AB2084" s="1412"/>
    </row>
    <row r="2085">
      <c r="AA2085" s="1108"/>
      <c r="AB2085" s="1412"/>
    </row>
    <row r="2086">
      <c r="AA2086" s="1108"/>
      <c r="AB2086" s="1412"/>
    </row>
    <row r="2087">
      <c r="AA2087" s="1108"/>
      <c r="AB2087" s="1412"/>
    </row>
    <row r="2088">
      <c r="AA2088" s="1124"/>
      <c r="AB2088" s="1412"/>
    </row>
    <row r="2089">
      <c r="AA2089" s="1108"/>
      <c r="AB2089" s="1412"/>
    </row>
    <row r="2090">
      <c r="AA2090" s="1108"/>
      <c r="AB2090" s="1412"/>
    </row>
    <row r="2091">
      <c r="AA2091" s="1108"/>
      <c r="AB2091" s="1412"/>
    </row>
    <row r="2092">
      <c r="AA2092" s="1108"/>
      <c r="AB2092" s="1412"/>
    </row>
    <row r="2093">
      <c r="AA2093" s="1108"/>
      <c r="AB2093" s="1412"/>
    </row>
    <row r="2094">
      <c r="AA2094" s="1124"/>
      <c r="AB2094" s="1412"/>
    </row>
    <row r="2095">
      <c r="AA2095" s="1108"/>
      <c r="AB2095" s="1412"/>
    </row>
    <row r="2096">
      <c r="AA2096" s="1108"/>
      <c r="AB2096" s="1412"/>
    </row>
    <row r="2097">
      <c r="AA2097" s="1108"/>
      <c r="AB2097" s="1412"/>
    </row>
    <row r="2098">
      <c r="AA2098" s="1108"/>
      <c r="AB2098" s="1412"/>
    </row>
    <row r="2099">
      <c r="AA2099" s="1108"/>
      <c r="AB2099" s="1412"/>
    </row>
    <row r="2100">
      <c r="AA2100" s="1108"/>
      <c r="AB2100" s="1412"/>
    </row>
    <row r="2101">
      <c r="AA2101" s="1108"/>
      <c r="AB2101" s="1412"/>
    </row>
    <row r="2102">
      <c r="AA2102" s="1108"/>
      <c r="AB2102" s="1412"/>
    </row>
    <row r="2103">
      <c r="AA2103" s="1124"/>
      <c r="AB2103" s="1412"/>
    </row>
    <row r="2104">
      <c r="AA2104" s="1108"/>
      <c r="AB2104" s="1412"/>
    </row>
    <row r="2105">
      <c r="AA2105" s="1108"/>
      <c r="AB2105" s="1412"/>
    </row>
    <row r="2106">
      <c r="AA2106" s="1124"/>
      <c r="AB2106" s="1412"/>
    </row>
    <row r="2107">
      <c r="AA2107" s="1108"/>
      <c r="AB2107" s="1412"/>
    </row>
    <row r="2108">
      <c r="AA2108" s="1108"/>
      <c r="AB2108" s="1412"/>
    </row>
    <row r="2109">
      <c r="AA2109" s="1124"/>
      <c r="AB2109" s="1412"/>
    </row>
    <row r="2110">
      <c r="AA2110" s="1108"/>
      <c r="AB2110" s="1412"/>
    </row>
    <row r="2111">
      <c r="AA2111" s="1124"/>
      <c r="AB2111" s="1412"/>
    </row>
    <row r="2112">
      <c r="AA2112" s="1108"/>
      <c r="AB2112" s="1412"/>
    </row>
    <row r="2113">
      <c r="AA2113" s="1108"/>
      <c r="AB2113" s="1412"/>
    </row>
    <row r="2114">
      <c r="AA2114" s="1124"/>
      <c r="AB2114" s="1412"/>
    </row>
    <row r="2115">
      <c r="AA2115" s="1108"/>
      <c r="AB2115" s="1412"/>
    </row>
    <row r="2116">
      <c r="AA2116" s="1124"/>
      <c r="AB2116" s="1412"/>
    </row>
    <row r="2117">
      <c r="AA2117" s="1108"/>
      <c r="AB2117" s="1412"/>
    </row>
    <row r="2118">
      <c r="AA2118" s="1108"/>
      <c r="AB2118" s="1412"/>
    </row>
    <row r="2119">
      <c r="AA2119" s="1124"/>
      <c r="AB2119" s="1412"/>
    </row>
    <row r="2120">
      <c r="AA2120" s="1108"/>
      <c r="AB2120" s="1412"/>
    </row>
    <row r="2121">
      <c r="AA2121" s="1108"/>
      <c r="AB2121" s="1412"/>
    </row>
    <row r="2122">
      <c r="AA2122" s="1124"/>
      <c r="AB2122" s="1412"/>
    </row>
    <row r="2123">
      <c r="AA2123" s="1108"/>
      <c r="AB2123" s="1412"/>
    </row>
    <row r="2124">
      <c r="AA2124" s="1124"/>
      <c r="AB2124" s="1412"/>
    </row>
    <row r="2125">
      <c r="AA2125" s="1108"/>
      <c r="AB2125" s="1412"/>
    </row>
    <row r="2126">
      <c r="AA2126" s="1108"/>
      <c r="AB2126" s="1412"/>
    </row>
    <row r="2127">
      <c r="AA2127" s="1124"/>
      <c r="AB2127" s="1412"/>
    </row>
    <row r="2128">
      <c r="AA2128" s="1108"/>
      <c r="AB2128" s="1412"/>
    </row>
    <row r="2129">
      <c r="AA2129" s="1108"/>
      <c r="AB2129" s="1412"/>
    </row>
    <row r="2130">
      <c r="AA2130" s="1108"/>
      <c r="AB2130" s="1412"/>
    </row>
    <row r="2131">
      <c r="AA2131" s="1124"/>
      <c r="AB2131" s="1412"/>
    </row>
    <row r="2132">
      <c r="AA2132" s="1108"/>
      <c r="AB2132" s="1412"/>
    </row>
    <row r="2133">
      <c r="AA2133" s="1108"/>
      <c r="AB2133" s="1412"/>
    </row>
    <row r="2134">
      <c r="AA2134" s="1108"/>
      <c r="AB2134" s="1412"/>
    </row>
    <row r="2135">
      <c r="AA2135" s="1108"/>
      <c r="AB2135" s="1412"/>
    </row>
    <row r="2136">
      <c r="AA2136" s="1108"/>
      <c r="AB2136" s="1412"/>
    </row>
    <row r="2137">
      <c r="AA2137" s="1124"/>
      <c r="AB2137" s="1412"/>
    </row>
    <row r="2138">
      <c r="AA2138" s="1108"/>
      <c r="AB2138" s="1412"/>
    </row>
    <row r="2139">
      <c r="AA2139" s="1108"/>
      <c r="AB2139" s="1412"/>
    </row>
    <row r="2140">
      <c r="AA2140" s="1108"/>
      <c r="AB2140" s="1412"/>
    </row>
    <row r="2141">
      <c r="AA2141" s="1108"/>
      <c r="AB2141" s="1412"/>
    </row>
    <row r="2142">
      <c r="AA2142" s="1108"/>
      <c r="AB2142" s="1412"/>
    </row>
    <row r="2143">
      <c r="AA2143" s="1124"/>
      <c r="AB2143" s="1412"/>
    </row>
    <row r="2144">
      <c r="AA2144" s="1108"/>
      <c r="AB2144" s="1412"/>
    </row>
    <row r="2145">
      <c r="AA2145" s="1108"/>
      <c r="AB2145" s="1412"/>
    </row>
    <row r="2146">
      <c r="AA2146" s="1124"/>
      <c r="AB2146" s="1412"/>
    </row>
    <row r="2147">
      <c r="AA2147" s="1108"/>
      <c r="AB2147" s="1412"/>
    </row>
    <row r="2148">
      <c r="AA2148" s="1108"/>
      <c r="AB2148" s="1412"/>
    </row>
    <row r="2149">
      <c r="AA2149" s="1108"/>
      <c r="AB2149" s="1412"/>
    </row>
    <row r="2150">
      <c r="AA2150" s="1124"/>
      <c r="AB2150" s="1412"/>
    </row>
    <row r="2151">
      <c r="AA2151" s="1108"/>
      <c r="AB2151" s="1412"/>
    </row>
    <row r="2152">
      <c r="AA2152" s="1108"/>
      <c r="AB2152" s="1412"/>
    </row>
    <row r="2153">
      <c r="AA2153" s="1124"/>
      <c r="AB2153" s="1412"/>
    </row>
    <row r="2154">
      <c r="AA2154" s="1108"/>
      <c r="AB2154" s="1412"/>
    </row>
    <row r="2155">
      <c r="AA2155" s="1124"/>
      <c r="AB2155" s="1412"/>
    </row>
    <row r="2156">
      <c r="AA2156" s="1108"/>
      <c r="AB2156" s="1412"/>
    </row>
    <row r="2157">
      <c r="AA2157" s="1108"/>
      <c r="AB2157" s="1412"/>
    </row>
    <row r="2158">
      <c r="AA2158" s="1108"/>
      <c r="AB2158" s="1412"/>
    </row>
    <row r="2159">
      <c r="AA2159" s="1108"/>
      <c r="AB2159" s="1412"/>
    </row>
    <row r="2160">
      <c r="AA2160" s="1108"/>
      <c r="AB2160" s="1412"/>
    </row>
    <row r="2161">
      <c r="AA2161" s="1124"/>
      <c r="AB2161" s="1412"/>
    </row>
    <row r="2162">
      <c r="AA2162" s="1108"/>
      <c r="AB2162" s="1412"/>
    </row>
    <row r="2163">
      <c r="AA2163" s="1108"/>
      <c r="AB2163" s="1412"/>
    </row>
    <row r="2164">
      <c r="AA2164" s="1108"/>
      <c r="AB2164" s="1412"/>
    </row>
    <row r="2165">
      <c r="AA2165" s="1108"/>
      <c r="AB2165" s="1412"/>
    </row>
    <row r="2166">
      <c r="AA2166" s="1108"/>
      <c r="AB2166" s="1412"/>
    </row>
    <row r="2167">
      <c r="AA2167" s="1108"/>
      <c r="AB2167" s="1412"/>
    </row>
    <row r="2168">
      <c r="AA2168" s="1108"/>
      <c r="AB2168" s="1412"/>
    </row>
    <row r="2169">
      <c r="AA2169" s="1108"/>
      <c r="AB2169" s="1412"/>
    </row>
    <row r="2170">
      <c r="AA2170" s="1108"/>
      <c r="AB2170" s="1412"/>
    </row>
    <row r="2171">
      <c r="AA2171" s="1108"/>
      <c r="AB2171" s="1412"/>
    </row>
    <row r="2172">
      <c r="AA2172" s="1108"/>
      <c r="AB2172" s="1412"/>
    </row>
    <row r="2173">
      <c r="AA2173" s="1108"/>
      <c r="AB2173" s="1412"/>
    </row>
    <row r="2174">
      <c r="AA2174" s="1108"/>
      <c r="AB2174" s="1412"/>
    </row>
    <row r="2175">
      <c r="AA2175" s="1108"/>
      <c r="AB2175" s="1412"/>
    </row>
    <row r="2176">
      <c r="AA2176" s="1124"/>
      <c r="AB2176" s="1412"/>
    </row>
    <row r="2177">
      <c r="AA2177" s="1108"/>
      <c r="AB2177" s="1412"/>
    </row>
    <row r="2178">
      <c r="AA2178" s="1124"/>
      <c r="AB2178" s="1412"/>
    </row>
    <row r="2179">
      <c r="AA2179" s="1108"/>
      <c r="AB2179" s="1412"/>
    </row>
    <row r="2180">
      <c r="AA2180" s="1108"/>
      <c r="AB2180" s="1412"/>
    </row>
    <row r="2181">
      <c r="AA2181" s="1108"/>
      <c r="AB2181" s="1412"/>
    </row>
    <row r="2182">
      <c r="AA2182" s="1108"/>
      <c r="AB2182" s="1412"/>
    </row>
    <row r="2183">
      <c r="AA2183" s="1124"/>
      <c r="AB2183" s="1412"/>
    </row>
    <row r="2184">
      <c r="AA2184" s="1108"/>
      <c r="AB2184" s="1412"/>
    </row>
    <row r="2185">
      <c r="AA2185" s="1108"/>
      <c r="AB2185" s="1412"/>
    </row>
    <row r="2186">
      <c r="AA2186" s="1108"/>
      <c r="AB2186" s="1412"/>
    </row>
    <row r="2187">
      <c r="AA2187" s="1285"/>
      <c r="AB2187" s="1412"/>
    </row>
    <row r="2188">
      <c r="AA2188" s="1108"/>
      <c r="AB2188" s="1412"/>
    </row>
    <row r="2189">
      <c r="AA2189" s="1108"/>
      <c r="AB2189" s="1412"/>
    </row>
    <row r="2190">
      <c r="AA2190" s="1108"/>
      <c r="AB2190" s="1412"/>
    </row>
    <row r="2191">
      <c r="AA2191" s="1108"/>
      <c r="AB2191" s="1412"/>
    </row>
    <row r="2192">
      <c r="AA2192" s="1108"/>
      <c r="AB2192" s="1412"/>
    </row>
    <row r="2193">
      <c r="AA2193" s="1108"/>
      <c r="AB2193" s="1412"/>
    </row>
    <row r="2194">
      <c r="AA2194" s="1108"/>
      <c r="AB2194" s="1412"/>
    </row>
    <row r="2195">
      <c r="AA2195" s="1108"/>
      <c r="AB2195" s="1412"/>
    </row>
    <row r="2196">
      <c r="AA2196" s="1108"/>
      <c r="AB2196" s="1412"/>
    </row>
    <row r="2197">
      <c r="AA2197" s="1108"/>
      <c r="AB2197" s="1412"/>
    </row>
    <row r="2198">
      <c r="AA2198" s="1108"/>
      <c r="AB2198" s="1412"/>
    </row>
    <row r="2199">
      <c r="AA2199" s="1124"/>
      <c r="AB2199" s="1412"/>
    </row>
    <row r="2200">
      <c r="AA2200" s="1108"/>
      <c r="AB2200" s="1412"/>
    </row>
    <row r="2201">
      <c r="AA2201" s="1108"/>
      <c r="AB2201" s="1412"/>
    </row>
    <row r="2202">
      <c r="AA2202" s="1124"/>
      <c r="AB2202" s="1412"/>
    </row>
    <row r="2203">
      <c r="AA2203" s="1108"/>
      <c r="AB2203" s="1412"/>
    </row>
    <row r="2204">
      <c r="AA2204" s="1124"/>
      <c r="AB2204" s="1412"/>
    </row>
    <row r="2205">
      <c r="AA2205" s="1108"/>
      <c r="AB2205" s="1412"/>
    </row>
    <row r="2206">
      <c r="AA2206" s="1108"/>
      <c r="AB2206" s="1412"/>
    </row>
    <row r="2207">
      <c r="AA2207" s="1108"/>
      <c r="AB2207" s="1412"/>
    </row>
    <row r="2208">
      <c r="AA2208" s="1108"/>
      <c r="AB2208" s="1412"/>
    </row>
    <row r="2209">
      <c r="AA2209" s="1108"/>
      <c r="AB2209" s="1412"/>
    </row>
    <row r="2210">
      <c r="AA2210" s="1108"/>
      <c r="AB2210" s="1412"/>
    </row>
    <row r="2211">
      <c r="AA2211" s="1108"/>
      <c r="AB2211" s="1412"/>
    </row>
    <row r="2212">
      <c r="AA2212" s="1124"/>
      <c r="AB2212" s="1412"/>
    </row>
    <row r="2213">
      <c r="AA2213" s="1108"/>
      <c r="AB2213" s="1412"/>
    </row>
    <row r="2214">
      <c r="AA2214" s="1108"/>
      <c r="AB2214" s="1412"/>
    </row>
    <row r="2215">
      <c r="AA2215" s="1108"/>
      <c r="AB2215" s="1412"/>
    </row>
    <row r="2216">
      <c r="AA2216" s="1108"/>
      <c r="AB2216" s="1412"/>
    </row>
    <row r="2217">
      <c r="AA2217" s="1108"/>
      <c r="AB2217" s="1412"/>
    </row>
    <row r="2218">
      <c r="AA2218" s="1108"/>
      <c r="AB2218" s="1412"/>
    </row>
    <row r="2219">
      <c r="AA2219" s="1108"/>
      <c r="AB2219" s="1412"/>
    </row>
    <row r="2220">
      <c r="AA2220" s="1108"/>
      <c r="AB2220" s="1412"/>
    </row>
    <row r="2221">
      <c r="AA2221" s="1108"/>
      <c r="AB2221" s="1412"/>
    </row>
    <row r="2222">
      <c r="AA2222" s="1108"/>
      <c r="AB2222" s="1412"/>
    </row>
    <row r="2223">
      <c r="AA2223" s="1108"/>
      <c r="AB2223" s="1412"/>
    </row>
    <row r="2224">
      <c r="AA2224" s="1108"/>
      <c r="AB2224" s="1412"/>
    </row>
    <row r="2225">
      <c r="AA2225" s="1124"/>
      <c r="AB2225" s="1412"/>
    </row>
    <row r="2226">
      <c r="AA2226" s="1108"/>
      <c r="AB2226" s="1412"/>
    </row>
    <row r="2227">
      <c r="AA2227" s="1108"/>
      <c r="AB2227" s="1412"/>
    </row>
    <row r="2228">
      <c r="AA2228" s="1108"/>
      <c r="AB2228" s="1412"/>
    </row>
    <row r="2229">
      <c r="AA2229" s="1108"/>
      <c r="AB2229" s="1412"/>
    </row>
    <row r="2230">
      <c r="AA2230" s="1108"/>
      <c r="AB2230" s="1412"/>
    </row>
    <row r="2231">
      <c r="AA2231" s="1108"/>
      <c r="AB2231" s="1412"/>
    </row>
    <row r="2232">
      <c r="AA2232" s="1108"/>
      <c r="AB2232" s="1412"/>
    </row>
    <row r="2233">
      <c r="AA2233" s="1108"/>
      <c r="AB2233" s="1412"/>
    </row>
    <row r="2234">
      <c r="AA2234" s="1108"/>
      <c r="AB2234" s="1412"/>
    </row>
    <row r="2235">
      <c r="AA2235" s="1108"/>
      <c r="AB2235" s="1412"/>
    </row>
    <row r="2236">
      <c r="AA2236" s="1108"/>
      <c r="AB2236" s="1412"/>
    </row>
    <row r="2237">
      <c r="AA2237" s="1124"/>
      <c r="AB2237" s="1412"/>
    </row>
    <row r="2238">
      <c r="AA2238" s="1124"/>
      <c r="AB2238" s="1412"/>
    </row>
    <row r="2239">
      <c r="AA2239" s="1124"/>
      <c r="AB2239" s="1412"/>
    </row>
    <row r="2240">
      <c r="AA2240" s="1108"/>
      <c r="AB2240" s="1412"/>
    </row>
    <row r="2241">
      <c r="AA2241" s="1108"/>
      <c r="AB2241" s="1412"/>
    </row>
    <row r="2242">
      <c r="AA2242" s="1124"/>
      <c r="AB2242" s="1412"/>
    </row>
    <row r="2243">
      <c r="AA2243" s="1108"/>
      <c r="AB2243" s="1412"/>
    </row>
    <row r="2244">
      <c r="AA2244" s="1108"/>
      <c r="AB2244" s="1412"/>
    </row>
    <row r="2245">
      <c r="AA2245" s="1108"/>
      <c r="AB2245" s="1412"/>
    </row>
    <row r="2246">
      <c r="AA2246" s="1108"/>
      <c r="AB2246" s="1412"/>
    </row>
    <row r="2247">
      <c r="AA2247" s="1108"/>
      <c r="AB2247" s="1412"/>
    </row>
    <row r="2248">
      <c r="AA2248" s="1108"/>
      <c r="AB2248" s="1412"/>
    </row>
    <row r="2249">
      <c r="AA2249" s="1108"/>
      <c r="AB2249" s="1412"/>
    </row>
    <row r="2250">
      <c r="AA2250" s="1108"/>
      <c r="AB2250" s="1412"/>
    </row>
    <row r="2251">
      <c r="AA2251" s="1108"/>
      <c r="AB2251" s="1412"/>
    </row>
    <row r="2252">
      <c r="AA2252" s="1108"/>
      <c r="AB2252" s="1412"/>
    </row>
    <row r="2253">
      <c r="AA2253" s="1108"/>
      <c r="AB2253" s="1412"/>
    </row>
    <row r="2254">
      <c r="AA2254" s="1108"/>
      <c r="AB2254" s="1412"/>
    </row>
    <row r="2255">
      <c r="AA2255" s="1108"/>
      <c r="AB2255" s="1412"/>
    </row>
    <row r="2256">
      <c r="AA2256" s="1108"/>
      <c r="AB2256" s="1412"/>
    </row>
    <row r="2257">
      <c r="AA2257" s="1108"/>
      <c r="AB2257" s="1412"/>
    </row>
    <row r="2258">
      <c r="AA2258" s="1108"/>
      <c r="AB2258" s="1412"/>
    </row>
    <row r="2259">
      <c r="AA2259" s="1108"/>
      <c r="AB2259" s="1412"/>
    </row>
    <row r="2260">
      <c r="AA2260" s="1108"/>
      <c r="AB2260" s="1412"/>
    </row>
    <row r="2261">
      <c r="AA2261" s="1124"/>
      <c r="AB2261" s="1412"/>
    </row>
    <row r="2262">
      <c r="AA2262" s="1108"/>
      <c r="AB2262" s="1412"/>
    </row>
    <row r="2263">
      <c r="AA2263" s="1108"/>
      <c r="AB2263" s="1412"/>
    </row>
    <row r="2264">
      <c r="AA2264" s="1108"/>
      <c r="AB2264" s="1412"/>
    </row>
    <row r="2265">
      <c r="AA2265" s="1108"/>
      <c r="AB2265" s="1412"/>
    </row>
    <row r="2266">
      <c r="AA2266" s="1108"/>
      <c r="AB2266" s="1412"/>
    </row>
    <row r="2267">
      <c r="AA2267" s="1108"/>
      <c r="AB2267" s="1412"/>
    </row>
    <row r="2268">
      <c r="AA2268" s="1108"/>
      <c r="AB2268" s="1412"/>
    </row>
    <row r="2269">
      <c r="AA2269" s="1108"/>
      <c r="AB2269" s="1412"/>
    </row>
    <row r="2270">
      <c r="AA2270" s="1108"/>
      <c r="AB2270" s="1412"/>
    </row>
    <row r="2271">
      <c r="AA2271" s="1108"/>
      <c r="AB2271" s="1412"/>
    </row>
    <row r="2272">
      <c r="AA2272" s="1108"/>
      <c r="AB2272" s="1412"/>
    </row>
    <row r="2273">
      <c r="AA2273" s="1108"/>
      <c r="AB2273" s="1412"/>
    </row>
    <row r="2274">
      <c r="AA2274" s="1108"/>
      <c r="AB2274" s="1412"/>
    </row>
    <row r="2275">
      <c r="AA2275" s="1108"/>
      <c r="AB2275" s="1412"/>
    </row>
    <row r="2276">
      <c r="AA2276" s="1124"/>
      <c r="AB2276" s="1412"/>
    </row>
    <row r="2277">
      <c r="AA2277" s="1108"/>
      <c r="AB2277" s="1412"/>
    </row>
    <row r="2278">
      <c r="AA2278" s="1108"/>
      <c r="AB2278" s="1412"/>
    </row>
    <row r="2279">
      <c r="AA2279" s="1108"/>
      <c r="AB2279" s="1412"/>
    </row>
    <row r="2280">
      <c r="AA2280" s="1108"/>
      <c r="AB2280" s="1412"/>
    </row>
    <row r="2281">
      <c r="AA2281" s="1108"/>
      <c r="AB2281" s="1412"/>
    </row>
    <row r="2282">
      <c r="AA2282" s="1108"/>
      <c r="AB2282" s="1412"/>
    </row>
    <row r="2283">
      <c r="AA2283" s="1108"/>
      <c r="AB2283" s="1412"/>
    </row>
    <row r="2284">
      <c r="AA2284" s="1108"/>
      <c r="AB2284" s="1412"/>
    </row>
    <row r="2285">
      <c r="AA2285" s="1108"/>
      <c r="AB2285" s="1412"/>
    </row>
    <row r="2286">
      <c r="AA2286" s="1108"/>
      <c r="AB2286" s="1412"/>
    </row>
    <row r="2287">
      <c r="AA2287" s="1108"/>
      <c r="AB2287" s="1412"/>
    </row>
    <row r="2288">
      <c r="AA2288" s="1108"/>
      <c r="AB2288" s="1412"/>
    </row>
    <row r="2289">
      <c r="AA2289" s="1108"/>
      <c r="AB2289" s="1412"/>
    </row>
    <row r="2290">
      <c r="AA2290" s="1108"/>
      <c r="AB2290" s="1412"/>
    </row>
    <row r="2291">
      <c r="AA2291" s="1108"/>
      <c r="AB2291" s="1412"/>
    </row>
    <row r="2292">
      <c r="AA2292" s="1108"/>
      <c r="AB2292" s="1412"/>
    </row>
    <row r="2293">
      <c r="AA2293" s="1108"/>
      <c r="AB2293" s="1412"/>
    </row>
    <row r="2294">
      <c r="AA2294" s="1108"/>
      <c r="AB2294" s="1412"/>
    </row>
    <row r="2295">
      <c r="AA2295" s="1108"/>
      <c r="AB2295" s="1412"/>
    </row>
    <row r="2296">
      <c r="AA2296" s="1108"/>
      <c r="AB2296" s="1412"/>
    </row>
    <row r="2297">
      <c r="AA2297" s="1108"/>
      <c r="AB2297" s="1412"/>
    </row>
    <row r="2298">
      <c r="AA2298" s="1108"/>
      <c r="AB2298" s="1412"/>
    </row>
    <row r="2299">
      <c r="AA2299" s="1108"/>
      <c r="AB2299" s="1412"/>
    </row>
    <row r="2300">
      <c r="AA2300" s="1108"/>
      <c r="AB2300" s="1412"/>
    </row>
    <row r="2301">
      <c r="AA2301" s="1108"/>
      <c r="AB2301" s="1412"/>
    </row>
    <row r="2302">
      <c r="AA2302" s="1108"/>
      <c r="AB2302" s="1412"/>
    </row>
    <row r="2303">
      <c r="AA2303" s="1108"/>
      <c r="AB2303" s="1412"/>
    </row>
    <row r="2304">
      <c r="AA2304" s="1108"/>
      <c r="AB2304" s="1412"/>
    </row>
    <row r="2305">
      <c r="AA2305" s="1108"/>
      <c r="AB2305" s="1412"/>
    </row>
    <row r="2306">
      <c r="AA2306" s="1108"/>
      <c r="AB2306" s="1412"/>
    </row>
    <row r="2307">
      <c r="AA2307" s="1108"/>
      <c r="AB2307" s="1412"/>
    </row>
    <row r="2308">
      <c r="AA2308" s="1108"/>
      <c r="AB2308" s="1412"/>
    </row>
    <row r="2309">
      <c r="AA2309" s="1108"/>
      <c r="AB2309" s="1412"/>
    </row>
    <row r="2310">
      <c r="AA2310" s="1108"/>
      <c r="AB2310" s="1412"/>
    </row>
    <row r="2311">
      <c r="AA2311" s="1108"/>
      <c r="AB2311" s="1412"/>
    </row>
    <row r="2312">
      <c r="AA2312" s="1108"/>
      <c r="AB2312" s="1412"/>
    </row>
    <row r="2313">
      <c r="AA2313" s="1108"/>
      <c r="AB2313" s="1412"/>
    </row>
    <row r="2314">
      <c r="AA2314" s="1108"/>
      <c r="AB2314" s="1412"/>
    </row>
    <row r="2315">
      <c r="AA2315" s="1108"/>
      <c r="AB2315" s="1412"/>
    </row>
    <row r="2316">
      <c r="AA2316" s="1108"/>
      <c r="AB2316" s="1412"/>
    </row>
    <row r="2317">
      <c r="AA2317" s="1108"/>
      <c r="AB2317" s="1412"/>
    </row>
    <row r="2318">
      <c r="AA2318" s="1108"/>
      <c r="AB2318" s="1412"/>
    </row>
    <row r="2319">
      <c r="AA2319" s="1108"/>
      <c r="AB2319" s="1412"/>
    </row>
    <row r="2320">
      <c r="AA2320" s="1108"/>
      <c r="AB2320" s="1412"/>
    </row>
    <row r="2321">
      <c r="AA2321" s="1108"/>
      <c r="AB2321" s="1412"/>
    </row>
    <row r="2322">
      <c r="AA2322" s="1108"/>
      <c r="AB2322" s="1412"/>
    </row>
    <row r="2323">
      <c r="AA2323" s="1108"/>
      <c r="AB2323" s="1412"/>
    </row>
    <row r="2324">
      <c r="AA2324" s="1108"/>
      <c r="AB2324" s="1412"/>
    </row>
    <row r="2325">
      <c r="AA2325" s="1108"/>
      <c r="AB2325" s="1412"/>
    </row>
    <row r="2326">
      <c r="AA2326" s="1108"/>
      <c r="AB2326" s="1412"/>
    </row>
    <row r="2327">
      <c r="AA2327" s="1108"/>
      <c r="AB2327" s="1412"/>
    </row>
    <row r="2328">
      <c r="AA2328" s="1108"/>
      <c r="AB2328" s="1412"/>
    </row>
    <row r="2329">
      <c r="AA2329" s="1108"/>
      <c r="AB2329" s="1412"/>
    </row>
    <row r="2330">
      <c r="AA2330" s="1108"/>
      <c r="AB2330" s="1412"/>
    </row>
    <row r="2331">
      <c r="AA2331" s="1108"/>
      <c r="AB2331" s="1412"/>
    </row>
    <row r="2332">
      <c r="AA2332" s="1108"/>
      <c r="AB2332" s="1412"/>
    </row>
    <row r="2333">
      <c r="AA2333" s="1108"/>
      <c r="AB2333" s="1412"/>
    </row>
    <row r="2334">
      <c r="AA2334" s="1108"/>
      <c r="AB2334" s="1412"/>
    </row>
    <row r="2335">
      <c r="AA2335" s="1108"/>
      <c r="AB2335" s="1412"/>
    </row>
    <row r="2336">
      <c r="AA2336" s="1108"/>
      <c r="AB2336" s="1412"/>
    </row>
    <row r="2337">
      <c r="AA2337" s="1108"/>
      <c r="AB2337" s="1412"/>
    </row>
    <row r="2338">
      <c r="AA2338" s="1108"/>
      <c r="AB2338" s="1412"/>
    </row>
    <row r="2339">
      <c r="AA2339" s="1108"/>
      <c r="AB2339" s="1412"/>
    </row>
    <row r="2340">
      <c r="AA2340" s="1108"/>
      <c r="AB2340" s="1412"/>
    </row>
    <row r="2341">
      <c r="AA2341" s="1108"/>
      <c r="AB2341" s="1412"/>
    </row>
    <row r="2342">
      <c r="AA2342" s="1108"/>
      <c r="AB2342" s="1412"/>
    </row>
    <row r="2343">
      <c r="AA2343" s="1108"/>
      <c r="AB2343" s="1412"/>
    </row>
    <row r="2344">
      <c r="AA2344" s="1108"/>
      <c r="AB2344" s="1412"/>
    </row>
    <row r="2345">
      <c r="AA2345" s="1108"/>
      <c r="AB2345" s="1412"/>
    </row>
    <row r="2346">
      <c r="AA2346" s="1108"/>
      <c r="AB2346" s="1412"/>
    </row>
    <row r="2347">
      <c r="AA2347" s="1108"/>
      <c r="AB2347" s="1412"/>
    </row>
    <row r="2348">
      <c r="AA2348" s="1108"/>
      <c r="AB2348" s="1412"/>
    </row>
    <row r="2349">
      <c r="AA2349" s="1108"/>
      <c r="AB2349" s="1412"/>
    </row>
    <row r="2350">
      <c r="AA2350" s="1108"/>
      <c r="AB2350" s="1412"/>
    </row>
    <row r="2351">
      <c r="AA2351" s="1108"/>
      <c r="AB2351" s="1412"/>
    </row>
    <row r="2352">
      <c r="AA2352" s="1108"/>
      <c r="AB2352" s="1412"/>
    </row>
    <row r="2353">
      <c r="AA2353" s="1108"/>
      <c r="AB2353" s="1412"/>
    </row>
    <row r="2354">
      <c r="AA2354" s="1108"/>
      <c r="AB2354" s="1412"/>
    </row>
    <row r="2355">
      <c r="AA2355" s="1108"/>
      <c r="AB2355" s="1412"/>
    </row>
    <row r="2356">
      <c r="AA2356" s="1108"/>
      <c r="AB2356" s="1412"/>
    </row>
    <row r="2357">
      <c r="AA2357" s="1108"/>
      <c r="AB2357" s="1412"/>
    </row>
    <row r="2358">
      <c r="AA2358" s="1108"/>
      <c r="AB2358" s="1412"/>
    </row>
    <row r="2359">
      <c r="AA2359" s="1108"/>
      <c r="AB2359" s="1412"/>
    </row>
    <row r="2360">
      <c r="AA2360" s="1108"/>
      <c r="AB2360" s="1412"/>
    </row>
    <row r="2361">
      <c r="AA2361" s="1108"/>
      <c r="AB2361" s="1412"/>
    </row>
    <row r="2362">
      <c r="AA2362" s="1108"/>
      <c r="AB2362" s="1412"/>
    </row>
    <row r="2363">
      <c r="AA2363" s="1108"/>
      <c r="AB2363" s="1412"/>
    </row>
    <row r="2364">
      <c r="AA2364" s="1108"/>
      <c r="AB2364" s="1412"/>
    </row>
    <row r="2365">
      <c r="AA2365" s="1108"/>
      <c r="AB2365" s="1412"/>
    </row>
    <row r="2366">
      <c r="AA2366" s="1108"/>
      <c r="AB2366" s="1412"/>
    </row>
    <row r="2367">
      <c r="AA2367" s="1108"/>
      <c r="AB2367" s="1412"/>
    </row>
    <row r="2368">
      <c r="AA2368" s="1108"/>
      <c r="AB2368" s="1412"/>
    </row>
    <row r="2369">
      <c r="AA2369" s="1108"/>
      <c r="AB2369" s="1412"/>
    </row>
    <row r="2370">
      <c r="AA2370" s="1108"/>
      <c r="AB2370" s="1412"/>
    </row>
    <row r="2371">
      <c r="AA2371" s="1108"/>
      <c r="AB2371" s="1412"/>
    </row>
    <row r="2372">
      <c r="AA2372" s="1108"/>
      <c r="AB2372" s="1412"/>
    </row>
    <row r="2373">
      <c r="AA2373" s="1108"/>
      <c r="AB2373" s="1412"/>
    </row>
    <row r="2374">
      <c r="AA2374" s="1108"/>
      <c r="AB2374" s="1412"/>
    </row>
    <row r="2375">
      <c r="AA2375" s="1108"/>
      <c r="AB2375" s="1412"/>
    </row>
    <row r="2376">
      <c r="AA2376" s="1108"/>
      <c r="AB2376" s="1412"/>
    </row>
    <row r="2377">
      <c r="AA2377" s="1108"/>
      <c r="AB2377" s="1412"/>
    </row>
    <row r="2378">
      <c r="AA2378" s="1108"/>
      <c r="AB2378" s="1412"/>
    </row>
    <row r="2379">
      <c r="AA2379" s="1108"/>
      <c r="AB2379" s="1412"/>
    </row>
    <row r="2380">
      <c r="AA2380" s="1108"/>
      <c r="AB2380" s="1412"/>
    </row>
    <row r="2381">
      <c r="AA2381" s="1108"/>
      <c r="AB2381" s="1412"/>
    </row>
    <row r="2382">
      <c r="AA2382" s="1108"/>
      <c r="AB2382" s="1412"/>
    </row>
    <row r="2383">
      <c r="AA2383" s="1108"/>
      <c r="AB2383" s="1412"/>
    </row>
    <row r="2384">
      <c r="AA2384" s="1108"/>
      <c r="AB2384" s="1412"/>
    </row>
    <row r="2385">
      <c r="AA2385" s="1108"/>
      <c r="AB2385" s="1412"/>
    </row>
    <row r="2386">
      <c r="AA2386" s="1108"/>
      <c r="AB2386" s="1412"/>
    </row>
    <row r="2387">
      <c r="AA2387" s="1108"/>
      <c r="AB2387" s="1412"/>
    </row>
    <row r="2388">
      <c r="AA2388" s="1108"/>
      <c r="AB2388" s="1412"/>
    </row>
    <row r="2389">
      <c r="AA2389" s="1108"/>
      <c r="AB2389" s="1412"/>
    </row>
    <row r="2390">
      <c r="AA2390" s="1108"/>
      <c r="AB2390" s="1412"/>
    </row>
    <row r="2391">
      <c r="AA2391" s="1108"/>
      <c r="AB2391" s="1412"/>
    </row>
    <row r="2392">
      <c r="AA2392" s="1108"/>
      <c r="AB2392" s="1412"/>
    </row>
    <row r="2393">
      <c r="AA2393" s="1108"/>
      <c r="AB2393" s="1412"/>
    </row>
    <row r="2394">
      <c r="AA2394" s="1108"/>
      <c r="AB2394" s="1412"/>
    </row>
    <row r="2395">
      <c r="AA2395" s="1108"/>
      <c r="AB2395" s="1412"/>
    </row>
    <row r="2396">
      <c r="AA2396" s="1108"/>
      <c r="AB2396" s="1412"/>
    </row>
    <row r="2397">
      <c r="AA2397" s="1108"/>
      <c r="AB2397" s="1412"/>
    </row>
    <row r="2398">
      <c r="AA2398" s="1108"/>
      <c r="AB2398" s="1412"/>
    </row>
    <row r="2399">
      <c r="AA2399" s="1108"/>
      <c r="AB2399" s="1412"/>
    </row>
    <row r="2400">
      <c r="AA2400" s="1108"/>
      <c r="AB2400" s="1412"/>
    </row>
    <row r="2401">
      <c r="AA2401" s="1108"/>
      <c r="AB2401" s="1412"/>
    </row>
    <row r="2402">
      <c r="AA2402" s="1108"/>
      <c r="AB2402" s="1412"/>
    </row>
    <row r="2403">
      <c r="AA2403" s="1108"/>
      <c r="AB2403" s="1412"/>
    </row>
    <row r="2404">
      <c r="AA2404" s="1108"/>
      <c r="AB2404" s="1412"/>
    </row>
    <row r="2405">
      <c r="AA2405" s="1108"/>
      <c r="AB2405" s="1412"/>
    </row>
    <row r="2406">
      <c r="AA2406" s="1108"/>
      <c r="AB2406" s="1412"/>
    </row>
    <row r="2407">
      <c r="AA2407" s="1108"/>
      <c r="AB2407" s="1412"/>
    </row>
    <row r="2408">
      <c r="AA2408" s="1108"/>
      <c r="AB2408" s="1412"/>
    </row>
    <row r="2409">
      <c r="AA2409" s="1108"/>
      <c r="AB2409" s="1412"/>
    </row>
    <row r="2410">
      <c r="AA2410" s="1108"/>
      <c r="AB2410" s="1412"/>
    </row>
    <row r="2411">
      <c r="AA2411" s="1108"/>
      <c r="AB2411" s="1412"/>
    </row>
    <row r="2412">
      <c r="AA2412" s="1108"/>
      <c r="AB2412" s="1412"/>
    </row>
    <row r="2413">
      <c r="AA2413" s="1108"/>
      <c r="AB2413" s="1412"/>
    </row>
    <row r="2414">
      <c r="AA2414" s="1108"/>
      <c r="AB2414" s="1412"/>
    </row>
    <row r="2415">
      <c r="AA2415" s="1108"/>
      <c r="AB2415" s="1412"/>
    </row>
    <row r="2416">
      <c r="AA2416" s="1108"/>
      <c r="AB2416" s="1412"/>
    </row>
    <row r="2417">
      <c r="AA2417" s="1108"/>
      <c r="AB2417" s="1412"/>
    </row>
    <row r="2418">
      <c r="AA2418" s="1108"/>
      <c r="AB2418" s="1412"/>
    </row>
    <row r="2419">
      <c r="AA2419" s="1108"/>
      <c r="AB2419" s="1412"/>
    </row>
    <row r="2420">
      <c r="AA2420" s="1108"/>
      <c r="AB2420" s="1412"/>
    </row>
    <row r="2421">
      <c r="AA2421" s="1108"/>
      <c r="AB2421" s="1412"/>
    </row>
    <row r="2422">
      <c r="AA2422" s="1108"/>
      <c r="AB2422" s="1412"/>
    </row>
    <row r="2423">
      <c r="AA2423" s="1108"/>
      <c r="AB2423" s="1412"/>
    </row>
    <row r="2424">
      <c r="AA2424" s="1108"/>
      <c r="AB2424" s="1412"/>
    </row>
    <row r="2425">
      <c r="AA2425" s="1108"/>
      <c r="AB2425" s="1412"/>
    </row>
    <row r="2426">
      <c r="AA2426" s="1108"/>
      <c r="AB2426" s="1412"/>
    </row>
    <row r="2427">
      <c r="AA2427" s="1108"/>
      <c r="AB2427" s="1412"/>
    </row>
    <row r="2428">
      <c r="AA2428" s="1108"/>
      <c r="AB2428" s="1412"/>
    </row>
    <row r="2429">
      <c r="AA2429" s="1108"/>
      <c r="AB2429" s="1412"/>
    </row>
    <row r="2430">
      <c r="AA2430" s="1108"/>
      <c r="AB2430" s="1412"/>
    </row>
    <row r="2431">
      <c r="AA2431" s="1108"/>
      <c r="AB2431" s="1412"/>
    </row>
    <row r="2432">
      <c r="AA2432" s="1108"/>
      <c r="AB2432" s="1412"/>
    </row>
    <row r="2433">
      <c r="AA2433" s="1108"/>
      <c r="AB2433" s="1412"/>
    </row>
    <row r="2434">
      <c r="AA2434" s="1108"/>
      <c r="AB2434" s="1412"/>
    </row>
    <row r="2435">
      <c r="AA2435" s="1108"/>
      <c r="AB2435" s="1412"/>
    </row>
    <row r="2436">
      <c r="AA2436" s="1108"/>
      <c r="AB2436" s="1412"/>
    </row>
    <row r="2437">
      <c r="AA2437" s="1108"/>
      <c r="AB2437" s="1412"/>
    </row>
    <row r="2438">
      <c r="AA2438" s="1108"/>
      <c r="AB2438" s="1412"/>
    </row>
    <row r="2439">
      <c r="AA2439" s="1108"/>
      <c r="AB2439" s="1412"/>
    </row>
    <row r="2440">
      <c r="AA2440" s="1108"/>
      <c r="AB2440" s="1412"/>
    </row>
    <row r="2441">
      <c r="AA2441" s="1108"/>
      <c r="AB2441" s="1412"/>
    </row>
    <row r="2442">
      <c r="AA2442" s="1108"/>
      <c r="AB2442" s="1412"/>
    </row>
    <row r="2443">
      <c r="AA2443" s="1108"/>
      <c r="AB2443" s="1412"/>
    </row>
    <row r="2444">
      <c r="AA2444" s="1108"/>
      <c r="AB2444" s="1412"/>
    </row>
    <row r="2445">
      <c r="AA2445" s="1108"/>
      <c r="AB2445" s="1412"/>
    </row>
    <row r="2446">
      <c r="AA2446" s="1108"/>
      <c r="AB2446" s="1412"/>
    </row>
    <row r="2447">
      <c r="AA2447" s="1108"/>
      <c r="AB2447" s="1412"/>
    </row>
    <row r="2448">
      <c r="AA2448" s="1108"/>
      <c r="AB2448" s="1412"/>
    </row>
    <row r="2449">
      <c r="AA2449" s="1108"/>
      <c r="AB2449" s="1412"/>
    </row>
    <row r="2450">
      <c r="AA2450" s="1108"/>
      <c r="AB2450" s="1412"/>
    </row>
    <row r="2451">
      <c r="AA2451" s="1108"/>
      <c r="AB2451" s="1412"/>
    </row>
    <row r="2452">
      <c r="AA2452" s="1108"/>
      <c r="AB2452" s="1412"/>
    </row>
    <row r="2453">
      <c r="AA2453" s="1108"/>
      <c r="AB2453" s="1412"/>
    </row>
    <row r="2454">
      <c r="AA2454" s="1108"/>
      <c r="AB2454" s="1412"/>
    </row>
    <row r="2455">
      <c r="AA2455" s="1108"/>
      <c r="AB2455" s="1412"/>
    </row>
    <row r="2456">
      <c r="AA2456" s="1108"/>
      <c r="AB2456" s="1412"/>
    </row>
    <row r="2457">
      <c r="AA2457" s="1108"/>
      <c r="AB2457" s="1412"/>
    </row>
    <row r="2458">
      <c r="AA2458" s="1108"/>
      <c r="AB2458" s="1412"/>
    </row>
    <row r="2459">
      <c r="AA2459" s="1108"/>
      <c r="AB2459" s="1412"/>
    </row>
    <row r="2460">
      <c r="AA2460" s="1108"/>
      <c r="AB2460" s="1412"/>
    </row>
    <row r="2461">
      <c r="AA2461" s="1108"/>
      <c r="AB2461" s="1412"/>
    </row>
    <row r="2462">
      <c r="AA2462" s="1108"/>
      <c r="AB2462" s="1412"/>
    </row>
    <row r="2463">
      <c r="AA2463" s="1108"/>
      <c r="AB2463" s="1412"/>
    </row>
    <row r="2464">
      <c r="AA2464" s="1108"/>
      <c r="AB2464" s="1412"/>
    </row>
    <row r="2465">
      <c r="AA2465" s="1108"/>
      <c r="AB2465" s="1412"/>
    </row>
    <row r="2466">
      <c r="AA2466" s="1108"/>
      <c r="AB2466" s="1412"/>
    </row>
    <row r="2467">
      <c r="AA2467" s="1108"/>
      <c r="AB2467" s="1412"/>
    </row>
    <row r="2468">
      <c r="AA2468" s="1108"/>
      <c r="AB2468" s="1412"/>
    </row>
    <row r="2469">
      <c r="AA2469" s="1108"/>
      <c r="AB2469" s="1412"/>
    </row>
    <row r="2470">
      <c r="AA2470" s="1108"/>
      <c r="AB2470" s="1412"/>
    </row>
    <row r="2471">
      <c r="AA2471" s="1108"/>
      <c r="AB2471" s="1412"/>
    </row>
    <row r="2472">
      <c r="AA2472" s="1108"/>
      <c r="AB2472" s="1412"/>
    </row>
    <row r="2473">
      <c r="AA2473" s="1108"/>
      <c r="AB2473" s="1412"/>
    </row>
    <row r="2474">
      <c r="AA2474" s="1108"/>
      <c r="AB2474" s="1412"/>
    </row>
    <row r="2475">
      <c r="AA2475" s="1108"/>
      <c r="AB2475" s="1412"/>
    </row>
    <row r="2476">
      <c r="AA2476" s="1108"/>
      <c r="AB2476" s="1412"/>
    </row>
    <row r="2477">
      <c r="AA2477" s="1108"/>
      <c r="AB2477" s="1412"/>
    </row>
    <row r="2478">
      <c r="AA2478" s="1108"/>
      <c r="AB2478" s="1412"/>
    </row>
    <row r="2479">
      <c r="AA2479" s="1108"/>
      <c r="AB2479" s="1412"/>
    </row>
    <row r="2480">
      <c r="AA2480" s="1108"/>
      <c r="AB2480" s="1412"/>
    </row>
    <row r="2481">
      <c r="AA2481" s="1108"/>
      <c r="AB2481" s="1412"/>
    </row>
    <row r="2482">
      <c r="AA2482" s="1108"/>
      <c r="AB2482" s="1412"/>
    </row>
    <row r="2483">
      <c r="AA2483" s="1108"/>
      <c r="AB2483" s="1412"/>
    </row>
    <row r="2484">
      <c r="AA2484" s="1108"/>
      <c r="AB2484" s="1412"/>
    </row>
    <row r="2485">
      <c r="AA2485" s="1108"/>
      <c r="AB2485" s="1412"/>
    </row>
    <row r="2486">
      <c r="AA2486" s="1108"/>
      <c r="AB2486" s="1412"/>
    </row>
    <row r="2487">
      <c r="AA2487" s="1108"/>
      <c r="AB2487" s="1412"/>
    </row>
    <row r="2488">
      <c r="AA2488" s="1108"/>
      <c r="AB2488" s="1412"/>
    </row>
    <row r="2489">
      <c r="AA2489" s="1108"/>
      <c r="AB2489" s="1412"/>
    </row>
    <row r="2490">
      <c r="AA2490" s="1108"/>
      <c r="AB2490" s="1412"/>
    </row>
    <row r="2491">
      <c r="AA2491" s="1108"/>
      <c r="AB2491" s="1412"/>
    </row>
    <row r="2492">
      <c r="AA2492" s="1108"/>
      <c r="AB2492" s="1412"/>
    </row>
    <row r="2493">
      <c r="AA2493" s="1108"/>
      <c r="AB2493" s="1412"/>
    </row>
    <row r="2494">
      <c r="AA2494" s="1108"/>
      <c r="AB2494" s="1412"/>
    </row>
    <row r="2495">
      <c r="AA2495" s="1108"/>
      <c r="AB2495" s="1412"/>
    </row>
    <row r="2496">
      <c r="AA2496" s="1108"/>
      <c r="AB2496" s="1412"/>
    </row>
    <row r="2497">
      <c r="AA2497" s="1108"/>
      <c r="AB2497" s="1412"/>
    </row>
    <row r="2498">
      <c r="AA2498" s="1108"/>
      <c r="AB2498" s="1412"/>
    </row>
    <row r="2499">
      <c r="AA2499" s="1108"/>
      <c r="AB2499" s="1412"/>
    </row>
    <row r="2500">
      <c r="AA2500" s="1108"/>
      <c r="AB2500" s="1412"/>
    </row>
    <row r="2501">
      <c r="AA2501" s="1108"/>
      <c r="AB2501" s="1412"/>
    </row>
    <row r="2502">
      <c r="AA2502" s="1108"/>
      <c r="AB2502" s="1412"/>
    </row>
    <row r="2503">
      <c r="AA2503" s="1108"/>
      <c r="AB2503" s="1412"/>
    </row>
    <row r="2504">
      <c r="AA2504" s="1108"/>
      <c r="AB2504" s="1412"/>
    </row>
    <row r="2505">
      <c r="AA2505" s="1108"/>
      <c r="AB2505" s="1412"/>
    </row>
    <row r="2506">
      <c r="AA2506" s="1108"/>
      <c r="AB2506" s="1412"/>
    </row>
    <row r="2507">
      <c r="AA2507" s="1108"/>
      <c r="AB2507" s="1412"/>
    </row>
    <row r="2508">
      <c r="AA2508" s="1108"/>
      <c r="AB2508" s="1412"/>
    </row>
    <row r="2509">
      <c r="AA2509" s="1108"/>
      <c r="AB2509" s="1412"/>
    </row>
    <row r="2510">
      <c r="AA2510" s="1108"/>
      <c r="AB2510" s="1412"/>
    </row>
    <row r="2511">
      <c r="AA2511" s="1108"/>
      <c r="AB2511" s="1412"/>
    </row>
    <row r="2512">
      <c r="AA2512" s="1108"/>
      <c r="AB2512" s="1412"/>
    </row>
    <row r="2513">
      <c r="AA2513" s="1108"/>
      <c r="AB2513" s="1412"/>
    </row>
    <row r="2514">
      <c r="AA2514" s="1108"/>
      <c r="AB2514" s="1412"/>
    </row>
    <row r="2515">
      <c r="AA2515" s="1108"/>
      <c r="AB2515" s="1412"/>
    </row>
    <row r="2516">
      <c r="AA2516" s="1108"/>
      <c r="AB2516" s="1412"/>
    </row>
    <row r="2517">
      <c r="AA2517" s="1108"/>
      <c r="AB2517" s="1412"/>
    </row>
    <row r="2518">
      <c r="AA2518" s="1108"/>
      <c r="AB2518" s="1412"/>
    </row>
    <row r="2519">
      <c r="AA2519" s="1108"/>
      <c r="AB2519" s="1412"/>
    </row>
    <row r="2520">
      <c r="AA2520" s="1108"/>
      <c r="AB2520" s="1412"/>
    </row>
    <row r="2521">
      <c r="AA2521" s="1108"/>
      <c r="AB2521" s="1412"/>
    </row>
    <row r="2522">
      <c r="AA2522" s="1108"/>
      <c r="AB2522" s="1412"/>
    </row>
    <row r="2523">
      <c r="AA2523" s="1108"/>
      <c r="AB2523" s="1412"/>
    </row>
    <row r="2524">
      <c r="AA2524" s="1108"/>
      <c r="AB2524" s="1412"/>
    </row>
    <row r="2525">
      <c r="AA2525" s="1108"/>
      <c r="AB2525" s="1412"/>
    </row>
    <row r="2526">
      <c r="AA2526" s="1108"/>
      <c r="AB2526" s="1412"/>
    </row>
    <row r="2527">
      <c r="AA2527" s="1108"/>
      <c r="AB2527" s="1412"/>
    </row>
    <row r="2528">
      <c r="AA2528" s="1108"/>
      <c r="AB2528" s="1412"/>
    </row>
    <row r="2529">
      <c r="AA2529" s="1108"/>
      <c r="AB2529" s="1412"/>
    </row>
    <row r="2530">
      <c r="AA2530" s="1108"/>
      <c r="AB2530" s="1412"/>
    </row>
    <row r="2531">
      <c r="AA2531" s="1108"/>
      <c r="AB2531" s="1412"/>
    </row>
    <row r="2532">
      <c r="AA2532" s="1108"/>
      <c r="AB2532" s="1412"/>
    </row>
    <row r="2533">
      <c r="AA2533" s="1108"/>
      <c r="AB2533" s="1412"/>
    </row>
    <row r="2534">
      <c r="AA2534" s="1108"/>
      <c r="AB2534" s="1412"/>
    </row>
    <row r="2535">
      <c r="AA2535" s="1108"/>
      <c r="AB2535" s="1412"/>
    </row>
    <row r="2536">
      <c r="AA2536" s="1108"/>
      <c r="AB2536" s="1412"/>
    </row>
    <row r="2537">
      <c r="AA2537" s="1108"/>
      <c r="AB2537" s="1412"/>
    </row>
    <row r="2538">
      <c r="AA2538" s="1108"/>
      <c r="AB2538" s="1412"/>
    </row>
    <row r="2539">
      <c r="AA2539" s="1108"/>
      <c r="AB2539" s="1412"/>
    </row>
    <row r="2540">
      <c r="AA2540" s="1108"/>
      <c r="AB2540" s="1412"/>
    </row>
    <row r="2541">
      <c r="AA2541" s="1108"/>
      <c r="AB2541" s="1412"/>
    </row>
    <row r="2542">
      <c r="AA2542" s="1108"/>
      <c r="AB2542" s="1412"/>
    </row>
    <row r="2543">
      <c r="AA2543" s="1108"/>
      <c r="AB2543" s="1412"/>
    </row>
    <row r="2544">
      <c r="AA2544" s="1108"/>
      <c r="AB2544" s="1412"/>
    </row>
    <row r="2545">
      <c r="AA2545" s="1108"/>
      <c r="AB2545" s="1412"/>
    </row>
    <row r="2546">
      <c r="AA2546" s="1108"/>
      <c r="AB2546" s="1412"/>
    </row>
    <row r="2547">
      <c r="AA2547" s="1108"/>
      <c r="AB2547" s="1412"/>
    </row>
    <row r="2548">
      <c r="AA2548" s="1108"/>
      <c r="AB2548" s="1412"/>
    </row>
    <row r="2549">
      <c r="AA2549" s="1108"/>
      <c r="AB2549" s="1412"/>
    </row>
    <row r="2550">
      <c r="AA2550" s="1108"/>
      <c r="AB2550" s="1412"/>
    </row>
    <row r="2551">
      <c r="AA2551" s="1108"/>
      <c r="AB2551" s="1412"/>
    </row>
    <row r="2552">
      <c r="AA2552" s="1108"/>
      <c r="AB2552" s="1412"/>
    </row>
    <row r="2553">
      <c r="AA2553" s="1108"/>
      <c r="AB2553" s="1412"/>
    </row>
    <row r="2554">
      <c r="AA2554" s="1108"/>
      <c r="AB2554" s="1412"/>
    </row>
    <row r="2555">
      <c r="AA2555" s="1108"/>
      <c r="AB2555" s="1412"/>
    </row>
    <row r="2556">
      <c r="AA2556" s="1108"/>
      <c r="AB2556" s="1412"/>
    </row>
    <row r="2557">
      <c r="AA2557" s="1108"/>
      <c r="AB2557" s="1412"/>
    </row>
    <row r="2558">
      <c r="AA2558" s="1108"/>
      <c r="AB2558" s="1412"/>
    </row>
    <row r="2559">
      <c r="AA2559" s="1108"/>
      <c r="AB2559" s="1412"/>
    </row>
    <row r="2560">
      <c r="AA2560" s="1108"/>
      <c r="AB2560" s="1412"/>
    </row>
    <row r="2561">
      <c r="AA2561" s="1108"/>
      <c r="AB2561" s="1412"/>
    </row>
    <row r="2562">
      <c r="AA2562" s="1108"/>
      <c r="AB2562" s="1412"/>
    </row>
    <row r="2563">
      <c r="AA2563" s="1108"/>
      <c r="AB2563" s="1412"/>
    </row>
    <row r="2564">
      <c r="AA2564" s="1108"/>
      <c r="AB2564" s="1412"/>
    </row>
    <row r="2565">
      <c r="AA2565" s="1108"/>
      <c r="AB2565" s="1412"/>
    </row>
    <row r="2566">
      <c r="AA2566" s="1108"/>
      <c r="AB2566" s="1412"/>
    </row>
    <row r="2567">
      <c r="AA2567" s="1108"/>
      <c r="AB2567" s="1412"/>
    </row>
    <row r="2568">
      <c r="AA2568" s="1108"/>
      <c r="AB2568" s="1412"/>
    </row>
    <row r="2569">
      <c r="AA2569" s="1108"/>
      <c r="AB2569" s="1412"/>
    </row>
    <row r="2570">
      <c r="AA2570" s="1108"/>
      <c r="AB2570" s="1412"/>
    </row>
    <row r="2571">
      <c r="AA2571" s="1108"/>
      <c r="AB2571" s="1412"/>
    </row>
    <row r="2572">
      <c r="AA2572" s="1108"/>
      <c r="AB2572" s="1412"/>
    </row>
    <row r="2573">
      <c r="AA2573" s="1108"/>
      <c r="AB2573" s="1412"/>
    </row>
    <row r="2574">
      <c r="AA2574" s="1108"/>
      <c r="AB2574" s="1412"/>
    </row>
    <row r="2575">
      <c r="AA2575" s="1108"/>
      <c r="AB2575" s="1412"/>
    </row>
    <row r="2576">
      <c r="AA2576" s="1108"/>
      <c r="AB2576" s="1412"/>
    </row>
    <row r="2577">
      <c r="AA2577" s="1108"/>
      <c r="AB2577" s="1412"/>
    </row>
    <row r="2578">
      <c r="AA2578" s="1108"/>
      <c r="AB2578" s="1412"/>
    </row>
    <row r="2579">
      <c r="AA2579" s="1108"/>
      <c r="AB2579" s="1412"/>
    </row>
    <row r="2580">
      <c r="AA2580" s="1108"/>
      <c r="AB2580" s="1412"/>
    </row>
    <row r="2581">
      <c r="AA2581" s="1108"/>
      <c r="AB2581" s="1412"/>
    </row>
    <row r="2582">
      <c r="AA2582" s="1108"/>
      <c r="AB2582" s="1412"/>
    </row>
    <row r="2583">
      <c r="AA2583" s="1108"/>
      <c r="AB2583" s="1412"/>
    </row>
    <row r="2584">
      <c r="AA2584" s="1108"/>
      <c r="AB2584" s="1412"/>
    </row>
    <row r="2585">
      <c r="AA2585" s="1108"/>
      <c r="AB2585" s="1412"/>
    </row>
    <row r="2586">
      <c r="AA2586" s="1108"/>
      <c r="AB2586" s="1412"/>
    </row>
    <row r="2587">
      <c r="AA2587" s="1108"/>
      <c r="AB2587" s="1412"/>
    </row>
    <row r="2588">
      <c r="AA2588" s="1108"/>
      <c r="AB2588" s="1412"/>
    </row>
    <row r="2589">
      <c r="AA2589" s="1108"/>
      <c r="AB2589" s="1412"/>
    </row>
    <row r="2590">
      <c r="AA2590" s="1108"/>
      <c r="AB2590" s="1412"/>
    </row>
    <row r="2591">
      <c r="AA2591" s="1108"/>
      <c r="AB2591" s="1412"/>
    </row>
    <row r="2592">
      <c r="AA2592" s="1108"/>
      <c r="AB2592" s="1412"/>
    </row>
    <row r="2593">
      <c r="AA2593" s="1108"/>
      <c r="AB2593" s="1412"/>
    </row>
    <row r="2594">
      <c r="AA2594" s="1108"/>
      <c r="AB2594" s="1412"/>
    </row>
    <row r="2595">
      <c r="AA2595" s="1108"/>
      <c r="AB2595" s="1412"/>
    </row>
    <row r="2596">
      <c r="AA2596" s="1108"/>
      <c r="AB2596" s="1412"/>
    </row>
    <row r="2597">
      <c r="AA2597" s="1108"/>
      <c r="AB2597" s="1412"/>
    </row>
    <row r="2598">
      <c r="AA2598" s="1108"/>
      <c r="AB2598" s="1412"/>
    </row>
    <row r="2599">
      <c r="AA2599" s="1108"/>
      <c r="AB2599" s="1412"/>
    </row>
    <row r="2600">
      <c r="AA2600" s="1108"/>
      <c r="AB2600" s="1412"/>
    </row>
    <row r="2601">
      <c r="AA2601" s="1108"/>
      <c r="AB2601" s="1412"/>
    </row>
    <row r="2602">
      <c r="AA2602" s="1108"/>
      <c r="AB2602" s="1412"/>
    </row>
    <row r="2603">
      <c r="AA2603" s="1108"/>
      <c r="AB2603" s="1412"/>
    </row>
    <row r="2604">
      <c r="AA2604" s="1108"/>
      <c r="AB2604" s="1412"/>
    </row>
    <row r="2605">
      <c r="AA2605" s="1108"/>
      <c r="AB2605" s="1412"/>
    </row>
    <row r="2606">
      <c r="AA2606" s="1108"/>
      <c r="AB2606" s="1412"/>
    </row>
    <row r="2607">
      <c r="AA2607" s="1108"/>
      <c r="AB2607" s="1412"/>
    </row>
    <row r="2608">
      <c r="AA2608" s="1108"/>
      <c r="AB2608" s="1412"/>
    </row>
    <row r="2609">
      <c r="AA2609" s="1108"/>
      <c r="AB2609" s="1412"/>
    </row>
    <row r="2610">
      <c r="AA2610" s="1108"/>
      <c r="AB2610" s="1412"/>
    </row>
    <row r="2611">
      <c r="AA2611" s="1108"/>
      <c r="AB2611" s="1412"/>
    </row>
    <row r="2612">
      <c r="AA2612" s="1108"/>
      <c r="AB2612" s="1412"/>
    </row>
    <row r="2613">
      <c r="AA2613" s="1108"/>
      <c r="AB2613" s="1412"/>
    </row>
    <row r="2614">
      <c r="AA2614" s="1108"/>
      <c r="AB2614" s="1412"/>
    </row>
    <row r="2615">
      <c r="AA2615" s="1108"/>
      <c r="AB2615" s="1412"/>
    </row>
    <row r="2616">
      <c r="AA2616" s="1108"/>
      <c r="AB2616" s="1412"/>
    </row>
    <row r="2617">
      <c r="AA2617" s="1108"/>
      <c r="AB2617" s="1412"/>
    </row>
    <row r="2618">
      <c r="AA2618" s="1108"/>
      <c r="AB2618" s="1412"/>
    </row>
    <row r="2619">
      <c r="AA2619" s="1108"/>
      <c r="AB2619" s="1412"/>
    </row>
    <row r="2620">
      <c r="AA2620" s="1108"/>
      <c r="AB2620" s="1412"/>
    </row>
    <row r="2621">
      <c r="AA2621" s="1108"/>
      <c r="AB2621" s="1412"/>
    </row>
    <row r="2622">
      <c r="AA2622" s="1108"/>
      <c r="AB2622" s="1412"/>
    </row>
    <row r="2623">
      <c r="AA2623" s="1108"/>
      <c r="AB2623" s="1412"/>
    </row>
    <row r="2624">
      <c r="AA2624" s="1108"/>
      <c r="AB2624" s="1412"/>
    </row>
    <row r="2625">
      <c r="AA2625" s="1108"/>
      <c r="AB2625" s="1412"/>
    </row>
    <row r="2626">
      <c r="AA2626" s="1108"/>
      <c r="AB2626" s="1412"/>
    </row>
    <row r="2627">
      <c r="AA2627" s="1108"/>
      <c r="AB2627" s="1412"/>
    </row>
    <row r="2628">
      <c r="AA2628" s="1108"/>
      <c r="AB2628" s="1412"/>
    </row>
    <row r="2629">
      <c r="AA2629" s="1108"/>
      <c r="AB2629" s="1412"/>
    </row>
    <row r="2630">
      <c r="AA2630" s="1108"/>
      <c r="AB2630" s="1412"/>
    </row>
    <row r="2631">
      <c r="AA2631" s="1108"/>
      <c r="AB2631" s="1412"/>
    </row>
    <row r="2632">
      <c r="AA2632" s="1108"/>
      <c r="AB2632" s="1412"/>
    </row>
    <row r="2633">
      <c r="AA2633" s="1108"/>
      <c r="AB2633" s="1412"/>
    </row>
    <row r="2634">
      <c r="AA2634" s="1108"/>
      <c r="AB2634" s="1412"/>
    </row>
    <row r="2635">
      <c r="AA2635" s="1108"/>
      <c r="AB2635" s="1412"/>
    </row>
    <row r="2636">
      <c r="AA2636" s="1108"/>
      <c r="AB2636" s="1412"/>
    </row>
    <row r="2637">
      <c r="AA2637" s="1108"/>
      <c r="AB2637" s="1412"/>
    </row>
    <row r="2638">
      <c r="AA2638" s="1108"/>
      <c r="AB2638" s="1412"/>
    </row>
    <row r="2639">
      <c r="AA2639" s="1108"/>
      <c r="AB2639" s="1412"/>
    </row>
    <row r="2640">
      <c r="AA2640" s="1108"/>
      <c r="AB2640" s="1412"/>
    </row>
    <row r="2641">
      <c r="AA2641" s="1108"/>
      <c r="AB2641" s="1412"/>
    </row>
    <row r="2642">
      <c r="AA2642" s="1108"/>
      <c r="AB2642" s="1412"/>
    </row>
    <row r="2643">
      <c r="AA2643" s="1108"/>
      <c r="AB2643" s="1412"/>
    </row>
    <row r="2644">
      <c r="AA2644" s="1108"/>
      <c r="AB2644" s="1412"/>
    </row>
    <row r="2645">
      <c r="AA2645" s="1108"/>
      <c r="AB2645" s="1412"/>
    </row>
    <row r="2646">
      <c r="AA2646" s="1108"/>
      <c r="AB2646" s="1412"/>
    </row>
    <row r="2647">
      <c r="AA2647" s="1108"/>
      <c r="AB2647" s="1412"/>
    </row>
    <row r="2648">
      <c r="AA2648" s="1108"/>
      <c r="AB2648" s="1412"/>
    </row>
    <row r="2649">
      <c r="AA2649" s="1108"/>
      <c r="AB2649" s="1412"/>
    </row>
    <row r="2650">
      <c r="AA2650" s="1108"/>
      <c r="AB2650" s="1412"/>
    </row>
    <row r="2651">
      <c r="AA2651" s="1108"/>
      <c r="AB2651" s="1412"/>
    </row>
    <row r="2652">
      <c r="AA2652" s="1108"/>
      <c r="AB2652" s="1412"/>
    </row>
    <row r="2653">
      <c r="AA2653" s="1108"/>
      <c r="AB2653" s="1412"/>
    </row>
    <row r="2654">
      <c r="AA2654" s="1108"/>
      <c r="AB2654" s="1412"/>
    </row>
    <row r="2655">
      <c r="AA2655" s="1108"/>
      <c r="AB2655" s="1412"/>
    </row>
    <row r="2656">
      <c r="AA2656" s="1108"/>
      <c r="AB2656" s="1412"/>
    </row>
    <row r="2657">
      <c r="AA2657" s="1108"/>
      <c r="AB2657" s="1412"/>
    </row>
    <row r="2658">
      <c r="AA2658" s="1108"/>
      <c r="AB2658" s="1412"/>
    </row>
    <row r="2659">
      <c r="AA2659" s="1108"/>
      <c r="AB2659" s="1412"/>
    </row>
    <row r="2660">
      <c r="AA2660" s="1108"/>
      <c r="AB2660" s="1412"/>
    </row>
    <row r="2661">
      <c r="AA2661" s="1108"/>
      <c r="AB2661" s="1412"/>
    </row>
    <row r="2662">
      <c r="AA2662" s="1108"/>
      <c r="AB2662" s="1412"/>
    </row>
    <row r="2663">
      <c r="AA2663" s="1108"/>
      <c r="AB2663" s="1412"/>
    </row>
    <row r="2664">
      <c r="AA2664" s="1108"/>
      <c r="AB2664" s="1412"/>
    </row>
    <row r="2665">
      <c r="AA2665" s="1108"/>
      <c r="AB2665" s="1412"/>
    </row>
    <row r="2666">
      <c r="AA2666" s="1108"/>
      <c r="AB2666" s="1412"/>
    </row>
    <row r="2667">
      <c r="AA2667" s="1108"/>
      <c r="AB2667" s="1412"/>
    </row>
    <row r="2668">
      <c r="AA2668" s="1108"/>
      <c r="AB2668" s="1412"/>
    </row>
    <row r="2669">
      <c r="AA2669" s="1108"/>
      <c r="AB2669" s="1412"/>
    </row>
    <row r="2670">
      <c r="AA2670" s="1108"/>
      <c r="AB2670" s="1412"/>
    </row>
    <row r="2671">
      <c r="AA2671" s="1108"/>
      <c r="AB2671" s="1412"/>
    </row>
    <row r="2672">
      <c r="AA2672" s="1108"/>
      <c r="AB2672" s="1412"/>
    </row>
    <row r="2673">
      <c r="AA2673" s="1108"/>
      <c r="AB2673" s="1412"/>
    </row>
    <row r="2674">
      <c r="AA2674" s="1108"/>
      <c r="AB2674" s="1412"/>
    </row>
    <row r="2675">
      <c r="AA2675" s="1108"/>
      <c r="AB2675" s="1412"/>
    </row>
    <row r="2676">
      <c r="AA2676" s="1108"/>
      <c r="AB2676" s="1412"/>
    </row>
    <row r="2677">
      <c r="AA2677" s="1108"/>
      <c r="AB2677" s="1412"/>
    </row>
    <row r="2678">
      <c r="AA2678" s="1108"/>
      <c r="AB2678" s="1412"/>
    </row>
    <row r="2679">
      <c r="AA2679" s="1108"/>
      <c r="AB2679" s="1412"/>
    </row>
    <row r="2680">
      <c r="AA2680" s="1108"/>
      <c r="AB2680" s="1412"/>
    </row>
    <row r="2681">
      <c r="AA2681" s="1108"/>
      <c r="AB2681" s="1412"/>
    </row>
    <row r="2682">
      <c r="AA2682" s="1108"/>
      <c r="AB2682" s="1412"/>
    </row>
    <row r="2683">
      <c r="AA2683" s="1108"/>
      <c r="AB2683" s="1412"/>
    </row>
    <row r="2684">
      <c r="AA2684" s="1108"/>
      <c r="AB2684" s="1412"/>
    </row>
    <row r="2685">
      <c r="AA2685" s="1108"/>
      <c r="AB2685" s="1412"/>
    </row>
    <row r="2686">
      <c r="AA2686" s="1108"/>
      <c r="AB2686" s="1412"/>
    </row>
    <row r="2687">
      <c r="AA2687" s="1108"/>
      <c r="AB2687" s="1412"/>
    </row>
    <row r="2688">
      <c r="AA2688" s="1108"/>
      <c r="AB2688" s="1412"/>
    </row>
    <row r="2689">
      <c r="AA2689" s="1108"/>
      <c r="AB2689" s="1412"/>
    </row>
    <row r="2690">
      <c r="AA2690" s="1108"/>
      <c r="AB2690" s="1412"/>
    </row>
    <row r="2691">
      <c r="AA2691" s="1108"/>
      <c r="AB2691" s="1412"/>
    </row>
    <row r="2692">
      <c r="AA2692" s="1108"/>
      <c r="AB2692" s="1412"/>
    </row>
    <row r="2693">
      <c r="AA2693" s="1108"/>
      <c r="AB2693" s="1412"/>
    </row>
    <row r="2694">
      <c r="AA2694" s="1108"/>
      <c r="AB2694" s="1412"/>
    </row>
    <row r="2695">
      <c r="AA2695" s="1108"/>
      <c r="AB2695" s="1412"/>
    </row>
    <row r="2696">
      <c r="AA2696" s="1108"/>
      <c r="AB2696" s="1412"/>
    </row>
    <row r="2697">
      <c r="AA2697" s="1108"/>
      <c r="AB2697" s="1412"/>
    </row>
    <row r="2698">
      <c r="AA2698" s="1108"/>
      <c r="AB2698" s="1412"/>
    </row>
    <row r="2699">
      <c r="AA2699" s="1108"/>
      <c r="AB2699" s="1412"/>
    </row>
    <row r="2700">
      <c r="AA2700" s="1108"/>
      <c r="AB2700" s="1412"/>
    </row>
    <row r="2701">
      <c r="AA2701" s="1108"/>
      <c r="AB2701" s="1412"/>
    </row>
    <row r="2702">
      <c r="AA2702" s="1108"/>
      <c r="AB2702" s="1412"/>
    </row>
    <row r="2703">
      <c r="AA2703" s="1108"/>
      <c r="AB2703" s="1412"/>
    </row>
    <row r="2704">
      <c r="AA2704" s="1108"/>
      <c r="AB2704" s="1412"/>
    </row>
    <row r="2705">
      <c r="AA2705" s="1108"/>
      <c r="AB2705" s="1412"/>
    </row>
    <row r="2706">
      <c r="AA2706" s="1108"/>
      <c r="AB2706" s="1412"/>
    </row>
    <row r="2707">
      <c r="AA2707" s="1108"/>
      <c r="AB2707" s="1412"/>
    </row>
    <row r="2708">
      <c r="AA2708" s="1108"/>
      <c r="AB2708" s="1412"/>
    </row>
    <row r="2709">
      <c r="AA2709" s="1108"/>
      <c r="AB2709" s="1412"/>
    </row>
    <row r="2710">
      <c r="AA2710" s="1108"/>
      <c r="AB2710" s="1412"/>
    </row>
    <row r="2711">
      <c r="AA2711" s="1108"/>
      <c r="AB2711" s="1412"/>
    </row>
    <row r="2712">
      <c r="AA2712" s="1108"/>
      <c r="AB2712" s="1412"/>
    </row>
    <row r="2713">
      <c r="AA2713" s="1108"/>
      <c r="AB2713" s="1412"/>
    </row>
    <row r="2714">
      <c r="AA2714" s="1108"/>
      <c r="AB2714" s="1412"/>
    </row>
    <row r="2715">
      <c r="AA2715" s="1108"/>
      <c r="AB2715" s="1412"/>
    </row>
    <row r="2716">
      <c r="AA2716" s="1108"/>
      <c r="AB2716" s="1412"/>
    </row>
    <row r="2717">
      <c r="AA2717" s="1108"/>
      <c r="AB2717" s="1412"/>
    </row>
    <row r="2718">
      <c r="AA2718" s="1108"/>
      <c r="AB2718" s="1412"/>
    </row>
    <row r="2719">
      <c r="AA2719" s="1108"/>
      <c r="AB2719" s="1412"/>
    </row>
    <row r="2720">
      <c r="AA2720" s="1108"/>
      <c r="AB2720" s="1412"/>
    </row>
    <row r="2721">
      <c r="AA2721" s="1108"/>
      <c r="AB2721" s="1412"/>
    </row>
    <row r="2722">
      <c r="AA2722" s="1108"/>
      <c r="AB2722" s="1412"/>
    </row>
    <row r="2723">
      <c r="AA2723" s="1108"/>
      <c r="AB2723" s="1412"/>
    </row>
    <row r="2724">
      <c r="AA2724" s="1108"/>
      <c r="AB2724" s="1412"/>
    </row>
    <row r="2725">
      <c r="AA2725" s="1108"/>
      <c r="AB2725" s="1412"/>
    </row>
    <row r="2726">
      <c r="AA2726" s="1108"/>
      <c r="AB2726" s="1412"/>
    </row>
    <row r="2727">
      <c r="AA2727" s="1108"/>
      <c r="AB2727" s="1412"/>
    </row>
    <row r="2728">
      <c r="AA2728" s="1108"/>
      <c r="AB2728" s="1412"/>
    </row>
    <row r="2729">
      <c r="AA2729" s="1108"/>
      <c r="AB2729" s="1412"/>
    </row>
    <row r="2730">
      <c r="AA2730" s="1108"/>
      <c r="AB2730" s="1412"/>
    </row>
    <row r="2731">
      <c r="AA2731" s="1108"/>
      <c r="AB2731" s="1412"/>
    </row>
    <row r="2732">
      <c r="AA2732" s="1108"/>
      <c r="AB2732" s="1412"/>
    </row>
    <row r="2733">
      <c r="AA2733" s="1108"/>
      <c r="AB2733" s="1412"/>
    </row>
    <row r="2734">
      <c r="AA2734" s="1108"/>
      <c r="AB2734" s="1412"/>
    </row>
    <row r="2735">
      <c r="AA2735" s="1108"/>
      <c r="AB2735" s="1412"/>
    </row>
    <row r="2736">
      <c r="AA2736" s="1108"/>
      <c r="AB2736" s="1412"/>
    </row>
    <row r="2737">
      <c r="AA2737" s="1108"/>
      <c r="AB2737" s="1412"/>
    </row>
    <row r="2738">
      <c r="AA2738" s="1108"/>
      <c r="AB2738" s="1412"/>
    </row>
    <row r="2739">
      <c r="AA2739" s="1108"/>
      <c r="AB2739" s="1412"/>
    </row>
    <row r="2740">
      <c r="AA2740" s="1108"/>
      <c r="AB2740" s="1412"/>
    </row>
    <row r="2741">
      <c r="AA2741" s="1108"/>
      <c r="AB2741" s="1412"/>
    </row>
    <row r="2742">
      <c r="AA2742" s="1108"/>
      <c r="AB2742" s="1412"/>
    </row>
    <row r="2743">
      <c r="AA2743" s="1108"/>
      <c r="AB2743" s="1412"/>
    </row>
    <row r="2744">
      <c r="AA2744" s="1108"/>
      <c r="AB2744" s="1412"/>
    </row>
    <row r="2745">
      <c r="AA2745" s="1108"/>
      <c r="AB2745" s="1412"/>
    </row>
    <row r="2746">
      <c r="AA2746" s="1108"/>
      <c r="AB2746" s="1412"/>
    </row>
    <row r="2747">
      <c r="AA2747" s="1108"/>
      <c r="AB2747" s="1412"/>
    </row>
    <row r="2748">
      <c r="AA2748" s="1108"/>
      <c r="AB2748" s="1412"/>
    </row>
    <row r="2749">
      <c r="AA2749" s="1108"/>
      <c r="AB2749" s="1412"/>
    </row>
    <row r="2750">
      <c r="AA2750" s="1108"/>
      <c r="AB2750" s="1412"/>
    </row>
    <row r="2751">
      <c r="AA2751" s="1108"/>
      <c r="AB2751" s="1412"/>
    </row>
    <row r="2752">
      <c r="AA2752" s="1108"/>
      <c r="AB2752" s="1412"/>
    </row>
    <row r="2753">
      <c r="AA2753" s="1108"/>
      <c r="AB2753" s="1412"/>
    </row>
    <row r="2754">
      <c r="AA2754" s="1108"/>
      <c r="AB2754" s="1412"/>
    </row>
    <row r="2755">
      <c r="AA2755" s="1108"/>
      <c r="AB2755" s="1412"/>
    </row>
    <row r="2756">
      <c r="AA2756" s="1108"/>
      <c r="AB2756" s="1412"/>
    </row>
    <row r="2757">
      <c r="AA2757" s="1108"/>
      <c r="AB2757" s="1412"/>
    </row>
    <row r="2758">
      <c r="AA2758" s="1108"/>
      <c r="AB2758" s="1412"/>
    </row>
    <row r="2759">
      <c r="AA2759" s="1108"/>
      <c r="AB2759" s="1412"/>
    </row>
    <row r="2760">
      <c r="AA2760" s="1108"/>
      <c r="AB2760" s="1412"/>
    </row>
    <row r="2761">
      <c r="AA2761" s="1108"/>
      <c r="AB2761" s="1412"/>
    </row>
    <row r="2762">
      <c r="AA2762" s="1108"/>
      <c r="AB2762" s="1412"/>
    </row>
    <row r="2763">
      <c r="AA2763" s="1108"/>
      <c r="AB2763" s="1412"/>
    </row>
    <row r="2764">
      <c r="AA2764" s="1108"/>
      <c r="AB2764" s="1412"/>
    </row>
    <row r="2765">
      <c r="AA2765" s="1108"/>
      <c r="AB2765" s="1412"/>
    </row>
    <row r="2766">
      <c r="AA2766" s="1108"/>
      <c r="AB2766" s="1412"/>
    </row>
    <row r="2767">
      <c r="AA2767" s="1108"/>
      <c r="AB2767" s="1412"/>
    </row>
    <row r="2768">
      <c r="AA2768" s="1108"/>
      <c r="AB2768" s="1412"/>
    </row>
    <row r="2769">
      <c r="AA2769" s="1108"/>
      <c r="AB2769" s="1412"/>
    </row>
    <row r="2770">
      <c r="AA2770" s="1108"/>
      <c r="AB2770" s="1412"/>
    </row>
    <row r="2771">
      <c r="AA2771" s="1108"/>
      <c r="AB2771" s="1412"/>
    </row>
    <row r="2772">
      <c r="AA2772" s="1108"/>
      <c r="AB2772" s="1412"/>
    </row>
    <row r="2773">
      <c r="AA2773" s="1108"/>
      <c r="AB2773" s="1412"/>
    </row>
    <row r="2774">
      <c r="AA2774" s="1108"/>
      <c r="AB2774" s="1412"/>
    </row>
    <row r="2775">
      <c r="AA2775" s="1108"/>
      <c r="AB2775" s="1412"/>
    </row>
    <row r="2776">
      <c r="AA2776" s="1108"/>
      <c r="AB2776" s="1412"/>
    </row>
    <row r="2777">
      <c r="AA2777" s="1108"/>
      <c r="AB2777" s="1412"/>
    </row>
    <row r="2778">
      <c r="AA2778" s="1108"/>
      <c r="AB2778" s="1412"/>
    </row>
    <row r="2779">
      <c r="AA2779" s="1108"/>
      <c r="AB2779" s="1412"/>
    </row>
    <row r="2780">
      <c r="AA2780" s="1108"/>
      <c r="AB2780" s="1412"/>
    </row>
    <row r="2781">
      <c r="AA2781" s="1108"/>
      <c r="AB2781" s="1412"/>
    </row>
    <row r="2782">
      <c r="AA2782" s="1108"/>
      <c r="AB2782" s="1412"/>
    </row>
    <row r="2783">
      <c r="AA2783" s="1108"/>
      <c r="AB2783" s="1412"/>
    </row>
    <row r="2784">
      <c r="AA2784" s="1108"/>
      <c r="AB2784" s="1412"/>
    </row>
    <row r="2785">
      <c r="AA2785" s="1108"/>
      <c r="AB2785" s="1412"/>
    </row>
    <row r="2786">
      <c r="AA2786" s="1108"/>
      <c r="AB2786" s="1412"/>
    </row>
    <row r="2787">
      <c r="AA2787" s="1108"/>
      <c r="AB2787" s="1412"/>
    </row>
    <row r="2788">
      <c r="AA2788" s="1108"/>
      <c r="AB2788" s="1412"/>
    </row>
    <row r="2789">
      <c r="AA2789" s="1108"/>
      <c r="AB2789" s="1412"/>
    </row>
    <row r="2790">
      <c r="AA2790" s="1108"/>
      <c r="AB2790" s="1412"/>
    </row>
    <row r="2791">
      <c r="AA2791" s="1108"/>
      <c r="AB2791" s="1412"/>
    </row>
    <row r="2792">
      <c r="AA2792" s="1108"/>
      <c r="AB2792" s="1412"/>
    </row>
    <row r="2793">
      <c r="AA2793" s="1108"/>
      <c r="AB2793" s="1412"/>
    </row>
    <row r="2794">
      <c r="AA2794" s="1108"/>
      <c r="AB2794" s="1412"/>
    </row>
    <row r="2795">
      <c r="AA2795" s="1108"/>
      <c r="AB2795" s="1412"/>
    </row>
    <row r="2796">
      <c r="AA2796" s="1108"/>
      <c r="AB2796" s="1412"/>
    </row>
    <row r="2797">
      <c r="AA2797" s="1108"/>
      <c r="AB2797" s="1412"/>
    </row>
    <row r="2798">
      <c r="AA2798" s="1108"/>
      <c r="AB2798" s="1412"/>
    </row>
    <row r="2799">
      <c r="AA2799" s="1108"/>
      <c r="AB2799" s="1412"/>
    </row>
    <row r="2800">
      <c r="AA2800" s="1108"/>
      <c r="AB2800" s="1412"/>
    </row>
    <row r="2801">
      <c r="AA2801" s="1108"/>
      <c r="AB2801" s="1412"/>
    </row>
    <row r="2802">
      <c r="AA2802" s="1108"/>
      <c r="AB2802" s="1412"/>
    </row>
    <row r="2803">
      <c r="AA2803" s="1108"/>
      <c r="AB2803" s="1412"/>
    </row>
    <row r="2804">
      <c r="AA2804" s="1108"/>
      <c r="AB2804" s="1412"/>
    </row>
    <row r="2805">
      <c r="AA2805" s="1108"/>
      <c r="AB2805" s="1412"/>
    </row>
    <row r="2806">
      <c r="AA2806" s="1108"/>
      <c r="AB2806" s="1412"/>
    </row>
    <row r="2807">
      <c r="AA2807" s="1108"/>
      <c r="AB2807" s="1412"/>
    </row>
    <row r="2808">
      <c r="AA2808" s="1108"/>
      <c r="AB2808" s="1412"/>
    </row>
    <row r="2809">
      <c r="AA2809" s="1108"/>
      <c r="AB2809" s="1412"/>
    </row>
    <row r="2810">
      <c r="AA2810" s="1108"/>
      <c r="AB2810" s="1412"/>
    </row>
    <row r="2811">
      <c r="AA2811" s="1108"/>
      <c r="AB2811" s="1412"/>
    </row>
    <row r="2812">
      <c r="AA2812" s="1108"/>
      <c r="AB2812" s="1412"/>
    </row>
    <row r="2813">
      <c r="AA2813" s="1108"/>
      <c r="AB2813" s="1412"/>
    </row>
    <row r="2814">
      <c r="AA2814" s="1108"/>
      <c r="AB2814" s="1412"/>
    </row>
    <row r="2815">
      <c r="AA2815" s="1108"/>
      <c r="AB2815" s="1412"/>
    </row>
    <row r="2816">
      <c r="AA2816" s="1108"/>
      <c r="AB2816" s="1412"/>
    </row>
    <row r="2817">
      <c r="AA2817" s="1108"/>
      <c r="AB2817" s="1412"/>
    </row>
    <row r="2818">
      <c r="AA2818" s="1108"/>
      <c r="AB2818" s="1412"/>
    </row>
    <row r="2819">
      <c r="AA2819" s="1108"/>
      <c r="AB2819" s="1412"/>
    </row>
    <row r="2820">
      <c r="AA2820" s="1108"/>
      <c r="AB2820" s="1412"/>
    </row>
    <row r="2821">
      <c r="AA2821" s="1108"/>
      <c r="AB2821" s="1412"/>
    </row>
    <row r="2822">
      <c r="AA2822" s="1108"/>
      <c r="AB2822" s="1412"/>
    </row>
    <row r="2823">
      <c r="AA2823" s="1108"/>
      <c r="AB2823" s="1412"/>
    </row>
    <row r="2824">
      <c r="AA2824" s="1108"/>
      <c r="AB2824" s="1412"/>
    </row>
    <row r="2825">
      <c r="AA2825" s="1108"/>
      <c r="AB2825" s="1412"/>
    </row>
    <row r="2826">
      <c r="AA2826" s="1108"/>
      <c r="AB2826" s="1412"/>
    </row>
    <row r="2827">
      <c r="AA2827" s="1108"/>
      <c r="AB2827" s="1412"/>
    </row>
    <row r="2828">
      <c r="AA2828" s="1108"/>
      <c r="AB2828" s="1412"/>
    </row>
    <row r="2829">
      <c r="AA2829" s="1108"/>
      <c r="AB2829" s="1412"/>
    </row>
    <row r="2830">
      <c r="AA2830" s="1108"/>
      <c r="AB2830" s="1412"/>
    </row>
    <row r="2831">
      <c r="AA2831" s="1108"/>
      <c r="AB2831" s="1412"/>
    </row>
    <row r="2832">
      <c r="AA2832" s="1108"/>
      <c r="AB2832" s="1412"/>
    </row>
    <row r="2833">
      <c r="AA2833" s="1108"/>
      <c r="AB2833" s="1412"/>
    </row>
    <row r="2834">
      <c r="AA2834" s="1108"/>
      <c r="AB2834" s="1412"/>
    </row>
    <row r="2835">
      <c r="AA2835" s="1108"/>
      <c r="AB2835" s="1412"/>
    </row>
    <row r="2836">
      <c r="AA2836" s="1108"/>
      <c r="AB2836" s="1412"/>
    </row>
    <row r="2837">
      <c r="AA2837" s="1108"/>
      <c r="AB2837" s="1412"/>
    </row>
    <row r="2838">
      <c r="AA2838" s="1108"/>
      <c r="AB2838" s="1412"/>
    </row>
    <row r="2839">
      <c r="AA2839" s="1108"/>
      <c r="AB2839" s="1412"/>
    </row>
    <row r="2840">
      <c r="AA2840" s="1108"/>
      <c r="AB2840" s="1412"/>
    </row>
    <row r="2841">
      <c r="AA2841" s="1108"/>
      <c r="AB2841" s="1412"/>
    </row>
    <row r="2842">
      <c r="AA2842" s="1108"/>
      <c r="AB2842" s="1412"/>
    </row>
    <row r="2843">
      <c r="AA2843" s="1108"/>
      <c r="AB2843" s="1412"/>
    </row>
    <row r="2844">
      <c r="AA2844" s="1108"/>
      <c r="AB2844" s="1412"/>
    </row>
    <row r="2845">
      <c r="AA2845" s="1108"/>
      <c r="AB2845" s="1412"/>
    </row>
    <row r="2846">
      <c r="AA2846" s="1108"/>
      <c r="AB2846" s="1412"/>
    </row>
    <row r="2847">
      <c r="AA2847" s="1108"/>
      <c r="AB2847" s="1412"/>
    </row>
    <row r="2848">
      <c r="AA2848" s="1108"/>
      <c r="AB2848" s="1412"/>
    </row>
    <row r="2849">
      <c r="AA2849" s="1108"/>
      <c r="AB2849" s="1412"/>
    </row>
    <row r="2850">
      <c r="AA2850" s="1108"/>
      <c r="AB2850" s="1412"/>
    </row>
    <row r="2851">
      <c r="AA2851" s="1108"/>
      <c r="AB2851" s="1412"/>
    </row>
    <row r="2852">
      <c r="AA2852" s="1108"/>
      <c r="AB2852" s="1412"/>
    </row>
    <row r="2853">
      <c r="AA2853" s="1108"/>
      <c r="AB2853" s="1412"/>
    </row>
    <row r="2854">
      <c r="AA2854" s="1108"/>
      <c r="AB2854" s="1412"/>
    </row>
    <row r="2855">
      <c r="AA2855" s="1108"/>
      <c r="AB2855" s="1412"/>
    </row>
    <row r="2856">
      <c r="AA2856" s="1108"/>
      <c r="AB2856" s="1412"/>
    </row>
    <row r="2857">
      <c r="AA2857" s="1108"/>
      <c r="AB2857" s="1412"/>
    </row>
    <row r="2858">
      <c r="AA2858" s="1108"/>
      <c r="AB2858" s="1412"/>
    </row>
    <row r="2859">
      <c r="AA2859" s="1108"/>
      <c r="AB2859" s="1412"/>
    </row>
    <row r="2860">
      <c r="AA2860" s="1108"/>
      <c r="AB2860" s="1412"/>
    </row>
    <row r="2861">
      <c r="AA2861" s="1108"/>
      <c r="AB2861" s="1412"/>
    </row>
    <row r="2862">
      <c r="AA2862" s="1108"/>
      <c r="AB2862" s="1412"/>
    </row>
    <row r="2863">
      <c r="AA2863" s="1108"/>
      <c r="AB2863" s="1412"/>
    </row>
    <row r="2864">
      <c r="AA2864" s="1108"/>
      <c r="AB2864" s="1412"/>
    </row>
    <row r="2865">
      <c r="AA2865" s="1108"/>
      <c r="AB2865" s="1412"/>
    </row>
    <row r="2866">
      <c r="AA2866" s="1108"/>
      <c r="AB2866" s="1412"/>
    </row>
    <row r="2867">
      <c r="AA2867" s="1108"/>
      <c r="AB2867" s="1412"/>
    </row>
    <row r="2868">
      <c r="AA2868" s="1108"/>
      <c r="AB2868" s="1412"/>
    </row>
    <row r="2869">
      <c r="AA2869" s="1108"/>
      <c r="AB2869" s="1412"/>
    </row>
    <row r="2870">
      <c r="AA2870" s="1108"/>
      <c r="AB2870" s="1412"/>
    </row>
    <row r="2871">
      <c r="AA2871" s="1108"/>
      <c r="AB2871" s="1412"/>
    </row>
    <row r="2872">
      <c r="AA2872" s="1108"/>
      <c r="AB2872" s="1412"/>
    </row>
    <row r="2873">
      <c r="AA2873" s="1108"/>
      <c r="AB2873" s="1412"/>
    </row>
    <row r="2874">
      <c r="AA2874" s="1108"/>
      <c r="AB2874" s="1412"/>
    </row>
    <row r="2875">
      <c r="AA2875" s="1108"/>
      <c r="AB2875" s="1412"/>
    </row>
    <row r="2876">
      <c r="AA2876" s="1108"/>
      <c r="AB2876" s="1412"/>
    </row>
    <row r="2877">
      <c r="AA2877" s="1108"/>
      <c r="AB2877" s="1412"/>
    </row>
    <row r="2878">
      <c r="AA2878" s="1108"/>
      <c r="AB2878" s="1412"/>
    </row>
    <row r="2879">
      <c r="AA2879" s="1108"/>
      <c r="AB2879" s="1412"/>
    </row>
    <row r="2880">
      <c r="AA2880" s="1108"/>
      <c r="AB2880" s="1412"/>
    </row>
    <row r="2881">
      <c r="AA2881" s="1108"/>
      <c r="AB2881" s="1412"/>
    </row>
    <row r="2882">
      <c r="AA2882" s="1108"/>
      <c r="AB2882" s="1412"/>
    </row>
    <row r="2883">
      <c r="AA2883" s="1108"/>
      <c r="AB2883" s="1412"/>
    </row>
    <row r="2884">
      <c r="AA2884" s="1108"/>
      <c r="AB2884" s="1412"/>
    </row>
    <row r="2885">
      <c r="AA2885" s="1108"/>
      <c r="AB2885" s="1412"/>
    </row>
    <row r="2886">
      <c r="AA2886" s="1108"/>
      <c r="AB2886" s="1412"/>
    </row>
    <row r="2887">
      <c r="AA2887" s="1108"/>
      <c r="AB2887" s="1412"/>
    </row>
    <row r="2888">
      <c r="AA2888" s="1108"/>
      <c r="AB2888" s="1412"/>
    </row>
    <row r="2889">
      <c r="AA2889" s="1108"/>
      <c r="AB2889" s="1412"/>
    </row>
    <row r="2890">
      <c r="AA2890" s="1108"/>
      <c r="AB2890" s="1412"/>
    </row>
    <row r="2891">
      <c r="AA2891" s="1108"/>
      <c r="AB2891" s="1412"/>
    </row>
    <row r="2892">
      <c r="AA2892" s="1108"/>
      <c r="AB2892" s="1412"/>
    </row>
    <row r="2893">
      <c r="AA2893" s="1108"/>
      <c r="AB2893" s="1412"/>
    </row>
    <row r="2894">
      <c r="AA2894" s="1108"/>
      <c r="AB2894" s="1412"/>
    </row>
    <row r="2895">
      <c r="AA2895" s="1108"/>
      <c r="AB2895" s="1412"/>
    </row>
    <row r="2896">
      <c r="AA2896" s="1108"/>
      <c r="AB2896" s="1412"/>
    </row>
    <row r="2897">
      <c r="AA2897" s="1108"/>
      <c r="AB2897" s="1412"/>
    </row>
    <row r="2898">
      <c r="AA2898" s="1108"/>
      <c r="AB2898" s="1412"/>
    </row>
    <row r="2899">
      <c r="AA2899" s="1108"/>
      <c r="AB2899" s="1412"/>
    </row>
    <row r="2900">
      <c r="AA2900" s="1108"/>
      <c r="AB2900" s="1412"/>
    </row>
    <row r="2901">
      <c r="AA2901" s="1108"/>
      <c r="AB2901" s="1412"/>
    </row>
    <row r="2902">
      <c r="AA2902" s="1108"/>
      <c r="AB2902" s="1412"/>
    </row>
    <row r="2903">
      <c r="AA2903" s="1108"/>
      <c r="AB2903" s="1412"/>
    </row>
    <row r="2904">
      <c r="AA2904" s="1108"/>
      <c r="AB2904" s="1412"/>
    </row>
    <row r="2905">
      <c r="AA2905" s="1108"/>
      <c r="AB2905" s="1412"/>
    </row>
    <row r="2906">
      <c r="AA2906" s="1108"/>
      <c r="AB2906" s="1412"/>
    </row>
    <row r="2907">
      <c r="AA2907" s="1108"/>
      <c r="AB2907" s="1412"/>
    </row>
    <row r="2908">
      <c r="AA2908" s="1108"/>
      <c r="AB2908" s="1412"/>
    </row>
    <row r="2909">
      <c r="AA2909" s="1108"/>
      <c r="AB2909" s="1412"/>
    </row>
    <row r="2910">
      <c r="AA2910" s="1108"/>
      <c r="AB2910" s="1412"/>
    </row>
    <row r="2911">
      <c r="AA2911" s="1108"/>
      <c r="AB2911" s="1412"/>
    </row>
    <row r="2912">
      <c r="AA2912" s="1108"/>
      <c r="AB2912" s="1412"/>
    </row>
    <row r="2913">
      <c r="AA2913" s="1108"/>
      <c r="AB2913" s="1412"/>
    </row>
    <row r="2914">
      <c r="AA2914" s="1108"/>
      <c r="AB2914" s="1412"/>
    </row>
    <row r="2915">
      <c r="AA2915" s="1108"/>
      <c r="AB2915" s="1412"/>
    </row>
    <row r="2916">
      <c r="AA2916" s="1108"/>
      <c r="AB2916" s="1412"/>
    </row>
    <row r="2917">
      <c r="AA2917" s="1108"/>
      <c r="AB2917" s="1412"/>
    </row>
    <row r="2918">
      <c r="AA2918" s="1108"/>
      <c r="AB2918" s="1412"/>
    </row>
    <row r="2919">
      <c r="AA2919" s="1108"/>
      <c r="AB2919" s="1412"/>
    </row>
    <row r="2920">
      <c r="AA2920" s="1108"/>
      <c r="AB2920" s="1412"/>
    </row>
    <row r="2921">
      <c r="AA2921" s="1108"/>
      <c r="AB2921" s="1412"/>
    </row>
    <row r="2922">
      <c r="AA2922" s="1108"/>
      <c r="AB2922" s="1412"/>
    </row>
    <row r="2923">
      <c r="AA2923" s="1108"/>
      <c r="AB2923" s="1412"/>
    </row>
    <row r="2924">
      <c r="AA2924" s="1108"/>
      <c r="AB2924" s="1412"/>
    </row>
    <row r="2925">
      <c r="AA2925" s="1108"/>
      <c r="AB2925" s="1412"/>
    </row>
    <row r="2926">
      <c r="AA2926" s="1108"/>
      <c r="AB2926" s="1412"/>
    </row>
    <row r="2927">
      <c r="AA2927" s="1108"/>
      <c r="AB2927" s="1412"/>
    </row>
    <row r="2928">
      <c r="AA2928" s="1108"/>
      <c r="AB2928" s="1412"/>
    </row>
    <row r="2929">
      <c r="AA2929" s="1108"/>
      <c r="AB2929" s="1412"/>
    </row>
    <row r="2930">
      <c r="AA2930" s="1108"/>
      <c r="AB2930" s="1412"/>
    </row>
    <row r="2931">
      <c r="AA2931" s="1108"/>
      <c r="AB2931" s="1412"/>
    </row>
    <row r="2932">
      <c r="AA2932" s="1108"/>
      <c r="AB2932" s="1412"/>
    </row>
    <row r="2933">
      <c r="AA2933" s="1108"/>
      <c r="AB2933" s="1412"/>
    </row>
    <row r="2934">
      <c r="AA2934" s="1108"/>
      <c r="AB2934" s="1412"/>
    </row>
    <row r="2935">
      <c r="AA2935" s="1108"/>
      <c r="AB2935" s="1412"/>
    </row>
    <row r="2936">
      <c r="AA2936" s="1108"/>
      <c r="AB2936" s="1412"/>
    </row>
    <row r="2937">
      <c r="AA2937" s="1108"/>
      <c r="AB2937" s="1412"/>
    </row>
    <row r="2938">
      <c r="AA2938" s="1108"/>
      <c r="AB2938" s="1412"/>
    </row>
    <row r="2939">
      <c r="AA2939" s="1108"/>
      <c r="AB2939" s="1412"/>
    </row>
    <row r="2940">
      <c r="AA2940" s="1108"/>
      <c r="AB2940" s="1412"/>
    </row>
    <row r="2941">
      <c r="AA2941" s="1108"/>
      <c r="AB2941" s="1412"/>
    </row>
    <row r="2942">
      <c r="AA2942" s="1108"/>
      <c r="AB2942" s="1412"/>
    </row>
    <row r="2943">
      <c r="AA2943" s="1108"/>
      <c r="AB2943" s="1412"/>
    </row>
    <row r="2944">
      <c r="AA2944" s="1108"/>
      <c r="AB2944" s="1412"/>
    </row>
    <row r="2945">
      <c r="AA2945" s="1108"/>
      <c r="AB2945" s="1412"/>
    </row>
    <row r="2946">
      <c r="AA2946" s="1108"/>
      <c r="AB2946" s="1412"/>
    </row>
    <row r="2947">
      <c r="AA2947" s="1108"/>
      <c r="AB2947" s="1412"/>
    </row>
    <row r="2948">
      <c r="AA2948" s="1108"/>
      <c r="AB2948" s="1412"/>
    </row>
    <row r="2949">
      <c r="AA2949" s="1108"/>
      <c r="AB2949" s="1412"/>
    </row>
    <row r="2950">
      <c r="AA2950" s="1108"/>
      <c r="AB2950" s="1412"/>
    </row>
    <row r="2951">
      <c r="AA2951" s="1108"/>
      <c r="AB2951" s="1412"/>
    </row>
    <row r="2952">
      <c r="AA2952" s="1108"/>
      <c r="AB2952" s="1412"/>
    </row>
    <row r="2953">
      <c r="AA2953" s="1108"/>
      <c r="AB2953" s="1412"/>
    </row>
    <row r="2954">
      <c r="AA2954" s="1108"/>
      <c r="AB2954" s="1412"/>
    </row>
    <row r="2955">
      <c r="AA2955" s="1108"/>
      <c r="AB2955" s="1412"/>
    </row>
    <row r="2956">
      <c r="AA2956" s="1108"/>
      <c r="AB2956" s="1412"/>
    </row>
    <row r="2957">
      <c r="AA2957" s="1108"/>
      <c r="AB2957" s="1412"/>
    </row>
    <row r="2958">
      <c r="AA2958" s="1108"/>
      <c r="AB2958" s="1412"/>
    </row>
    <row r="2959">
      <c r="AA2959" s="1108"/>
      <c r="AB2959" s="1412"/>
    </row>
    <row r="2960">
      <c r="AA2960" s="1108"/>
      <c r="AB2960" s="1412"/>
    </row>
    <row r="2961">
      <c r="AA2961" s="1108"/>
      <c r="AB2961" s="1412"/>
    </row>
    <row r="2962">
      <c r="AA2962" s="1108"/>
      <c r="AB2962" s="1412"/>
    </row>
    <row r="2963">
      <c r="AA2963" s="1108"/>
      <c r="AB2963" s="1412"/>
    </row>
    <row r="2964">
      <c r="AA2964" s="1108"/>
      <c r="AB2964" s="1412"/>
    </row>
    <row r="2965">
      <c r="AA2965" s="1108"/>
      <c r="AB2965" s="1412"/>
    </row>
    <row r="2966">
      <c r="AA2966" s="1108"/>
      <c r="AB2966" s="1412"/>
    </row>
    <row r="2967">
      <c r="AA2967" s="1108"/>
      <c r="AB2967" s="1412"/>
    </row>
    <row r="2968">
      <c r="AA2968" s="1108"/>
      <c r="AB2968" s="1412"/>
    </row>
    <row r="2969">
      <c r="AA2969" s="1108"/>
      <c r="AB2969" s="1412"/>
    </row>
    <row r="2970">
      <c r="AA2970" s="1108"/>
      <c r="AB2970" s="1412"/>
    </row>
    <row r="2971">
      <c r="AA2971" s="1108"/>
      <c r="AB2971" s="1412"/>
    </row>
    <row r="2972">
      <c r="AA2972" s="1108"/>
      <c r="AB2972" s="1412"/>
    </row>
    <row r="2973">
      <c r="AA2973" s="1108"/>
      <c r="AB2973" s="1412"/>
    </row>
    <row r="2974">
      <c r="AA2974" s="1108"/>
      <c r="AB2974" s="1412"/>
    </row>
    <row r="2975">
      <c r="AA2975" s="1108"/>
      <c r="AB2975" s="1412"/>
    </row>
    <row r="2976">
      <c r="AA2976" s="1108"/>
      <c r="AB2976" s="1412"/>
    </row>
    <row r="2977">
      <c r="AA2977" s="1108"/>
      <c r="AB2977" s="1412"/>
    </row>
    <row r="2978">
      <c r="AA2978" s="1108"/>
      <c r="AB2978" s="1412"/>
    </row>
    <row r="2979">
      <c r="AA2979" s="1108"/>
      <c r="AB2979" s="1412"/>
    </row>
    <row r="2980">
      <c r="AA2980" s="1108"/>
      <c r="AB2980" s="1412"/>
    </row>
    <row r="2981">
      <c r="AA2981" s="1108"/>
      <c r="AB2981" s="1412"/>
    </row>
    <row r="2982">
      <c r="AA2982" s="1108"/>
      <c r="AB2982" s="1412"/>
    </row>
    <row r="2983">
      <c r="AA2983" s="1108"/>
      <c r="AB2983" s="1412"/>
    </row>
    <row r="2984">
      <c r="AA2984" s="1108"/>
      <c r="AB2984" s="1412"/>
    </row>
    <row r="2985">
      <c r="AA2985" s="1108"/>
      <c r="AB2985" s="1412"/>
    </row>
    <row r="2986">
      <c r="AA2986" s="1108"/>
      <c r="AB2986" s="1412"/>
    </row>
    <row r="2987">
      <c r="AA2987" s="1108"/>
      <c r="AB2987" s="1412"/>
    </row>
    <row r="2988">
      <c r="AA2988" s="1108"/>
      <c r="AB2988" s="1412"/>
    </row>
    <row r="2989">
      <c r="AA2989" s="1108"/>
      <c r="AB2989" s="1412"/>
    </row>
    <row r="2990">
      <c r="AA2990" s="1108"/>
      <c r="AB2990" s="1412"/>
    </row>
    <row r="2991">
      <c r="AA2991" s="1108"/>
      <c r="AB2991" s="1412"/>
    </row>
    <row r="2992">
      <c r="AA2992" s="1108"/>
      <c r="AB2992" s="1412"/>
    </row>
    <row r="2993">
      <c r="AA2993" s="1108"/>
      <c r="AB2993" s="1412"/>
    </row>
    <row r="2994">
      <c r="AA2994" s="1108"/>
      <c r="AB2994" s="1412"/>
    </row>
    <row r="2995">
      <c r="AA2995" s="1108"/>
      <c r="AB2995" s="1412"/>
    </row>
    <row r="2996">
      <c r="AA2996" s="1108"/>
      <c r="AB2996" s="1412"/>
    </row>
    <row r="2997">
      <c r="AA2997" s="1108"/>
      <c r="AB2997" s="1412"/>
    </row>
    <row r="2998">
      <c r="AA2998" s="1108"/>
      <c r="AB2998" s="1412"/>
    </row>
    <row r="2999">
      <c r="AA2999" s="1108"/>
      <c r="AB2999" s="1412"/>
    </row>
    <row r="3000">
      <c r="AA3000" s="1108"/>
      <c r="AB3000" s="1412"/>
    </row>
    <row r="3001">
      <c r="AA3001" s="1108"/>
      <c r="AB3001" s="1412"/>
    </row>
    <row r="3002">
      <c r="AA3002" s="1108"/>
      <c r="AB3002" s="1412"/>
    </row>
    <row r="3003">
      <c r="AA3003" s="1108"/>
      <c r="AB3003" s="1412"/>
    </row>
    <row r="3004">
      <c r="AA3004" s="1108"/>
      <c r="AB3004" s="1412"/>
    </row>
    <row r="3005">
      <c r="AA3005" s="1108"/>
      <c r="AB3005" s="1412"/>
    </row>
    <row r="3006">
      <c r="AA3006" s="1108"/>
      <c r="AB3006" s="1412"/>
    </row>
    <row r="3007">
      <c r="AA3007" s="1108"/>
      <c r="AB3007" s="1412"/>
    </row>
    <row r="3008">
      <c r="AA3008" s="1108"/>
      <c r="AB3008" s="1412"/>
    </row>
    <row r="3009">
      <c r="AA3009" s="1108"/>
      <c r="AB3009" s="1412"/>
    </row>
    <row r="3010">
      <c r="AA3010" s="1108"/>
      <c r="AB3010" s="1412"/>
    </row>
    <row r="3011">
      <c r="AA3011" s="1108"/>
      <c r="AB3011" s="1412"/>
    </row>
    <row r="3012">
      <c r="AA3012" s="1108"/>
      <c r="AB3012" s="1412"/>
    </row>
    <row r="3013">
      <c r="AA3013" s="1108"/>
      <c r="AB3013" s="1412"/>
    </row>
    <row r="3014">
      <c r="AA3014" s="1108"/>
      <c r="AB3014" s="1412"/>
    </row>
    <row r="3015">
      <c r="AA3015" s="1108"/>
      <c r="AB3015" s="1412"/>
    </row>
    <row r="3016">
      <c r="AA3016" s="1108"/>
      <c r="AB3016" s="1412"/>
    </row>
    <row r="3017">
      <c r="AA3017" s="1108"/>
      <c r="AB3017" s="1412"/>
    </row>
    <row r="3018">
      <c r="AA3018" s="1108"/>
      <c r="AB3018" s="1412"/>
    </row>
    <row r="3019">
      <c r="AA3019" s="1108"/>
      <c r="AB3019" s="1412"/>
    </row>
    <row r="3020">
      <c r="AA3020" s="1108"/>
      <c r="AB3020" s="1412"/>
    </row>
    <row r="3021">
      <c r="AA3021" s="1108"/>
      <c r="AB3021" s="1412"/>
    </row>
    <row r="3022">
      <c r="AA3022" s="1108"/>
      <c r="AB3022" s="1412"/>
    </row>
    <row r="3023">
      <c r="AA3023" s="1108"/>
      <c r="AB3023" s="1412"/>
    </row>
    <row r="3024">
      <c r="AA3024" s="1108"/>
      <c r="AB3024" s="1412"/>
    </row>
    <row r="3025">
      <c r="AA3025" s="1108"/>
      <c r="AB3025" s="1412"/>
    </row>
    <row r="3026">
      <c r="AA3026" s="1108"/>
      <c r="AB3026" s="1412"/>
    </row>
    <row r="3027">
      <c r="AA3027" s="1108"/>
      <c r="AB3027" s="1412"/>
    </row>
    <row r="3028">
      <c r="AA3028" s="1108"/>
      <c r="AB3028" s="1412"/>
    </row>
    <row r="3029">
      <c r="AA3029" s="1108"/>
      <c r="AB3029" s="1412"/>
    </row>
    <row r="3030">
      <c r="AA3030" s="1108"/>
      <c r="AB3030" s="1412"/>
    </row>
    <row r="3031">
      <c r="AA3031" s="1108"/>
      <c r="AB3031" s="1412"/>
    </row>
    <row r="3032">
      <c r="AA3032" s="1108"/>
      <c r="AB3032" s="1412"/>
    </row>
    <row r="3033">
      <c r="AA3033" s="1108"/>
      <c r="AB3033" s="1412"/>
    </row>
    <row r="3034">
      <c r="AA3034" s="1108"/>
      <c r="AB3034" s="1412"/>
    </row>
    <row r="3035">
      <c r="AA3035" s="1108"/>
      <c r="AB3035" s="1412"/>
    </row>
    <row r="3036">
      <c r="AA3036" s="1108"/>
      <c r="AB3036" s="1412"/>
    </row>
    <row r="3037">
      <c r="AA3037" s="1108"/>
      <c r="AB3037" s="1412"/>
    </row>
    <row r="3038">
      <c r="AA3038" s="1108"/>
      <c r="AB3038" s="1412"/>
    </row>
    <row r="3039">
      <c r="AA3039" s="1108"/>
      <c r="AB3039" s="1412"/>
    </row>
    <row r="3040">
      <c r="AA3040" s="1108"/>
      <c r="AB3040" s="1412"/>
    </row>
    <row r="3041">
      <c r="AA3041" s="1108"/>
      <c r="AB3041" s="1412"/>
    </row>
    <row r="3042">
      <c r="AA3042" s="1108"/>
      <c r="AB3042" s="1412"/>
    </row>
    <row r="3043">
      <c r="AA3043" s="1108"/>
      <c r="AB3043" s="1412"/>
    </row>
    <row r="3044">
      <c r="AA3044" s="1108"/>
      <c r="AB3044" s="1412"/>
    </row>
    <row r="3045">
      <c r="AA3045" s="1108"/>
      <c r="AB3045" s="1412"/>
    </row>
    <row r="3046">
      <c r="AA3046" s="1108"/>
      <c r="AB3046" s="1412"/>
    </row>
    <row r="3047">
      <c r="AA3047" s="1108"/>
      <c r="AB3047" s="1412"/>
    </row>
    <row r="3048">
      <c r="AA3048" s="1108"/>
      <c r="AB3048" s="1412"/>
    </row>
    <row r="3049">
      <c r="AA3049" s="1108"/>
      <c r="AB3049" s="1412"/>
    </row>
    <row r="3050">
      <c r="AA3050" s="1108"/>
      <c r="AB3050" s="1412"/>
    </row>
    <row r="3051">
      <c r="AA3051" s="1108"/>
      <c r="AB3051" s="1412"/>
    </row>
    <row r="3052">
      <c r="AA3052" s="1108"/>
      <c r="AB3052" s="1412"/>
    </row>
    <row r="3053">
      <c r="AA3053" s="1108"/>
      <c r="AB3053" s="1412"/>
    </row>
    <row r="3054">
      <c r="AA3054" s="1108"/>
      <c r="AB3054" s="1412"/>
    </row>
    <row r="3055">
      <c r="AA3055" s="1108"/>
      <c r="AB3055" s="1412"/>
    </row>
    <row r="3056">
      <c r="AA3056" s="1108"/>
      <c r="AB3056" s="1412"/>
    </row>
    <row r="3057">
      <c r="AA3057" s="1108"/>
      <c r="AB3057" s="1412"/>
    </row>
    <row r="3058">
      <c r="AA3058" s="1108"/>
      <c r="AB3058" s="1412"/>
    </row>
    <row r="3059">
      <c r="AA3059" s="1108"/>
      <c r="AB3059" s="1412"/>
    </row>
    <row r="3060">
      <c r="AA3060" s="1108"/>
      <c r="AB3060" s="1412"/>
    </row>
    <row r="3061">
      <c r="AA3061" s="1108"/>
      <c r="AB3061" s="1412"/>
    </row>
    <row r="3062">
      <c r="AA3062" s="1108"/>
      <c r="AB3062" s="1412"/>
    </row>
    <row r="3063">
      <c r="AA3063" s="1108"/>
      <c r="AB3063" s="1412"/>
    </row>
    <row r="3064">
      <c r="AA3064" s="1108"/>
      <c r="AB3064" s="1412"/>
    </row>
    <row r="3065">
      <c r="AA3065" s="1108"/>
      <c r="AB3065" s="1412"/>
    </row>
    <row r="3066">
      <c r="AA3066" s="1108"/>
      <c r="AB3066" s="1412"/>
    </row>
    <row r="3067">
      <c r="AA3067" s="1108"/>
      <c r="AB3067" s="1412"/>
    </row>
    <row r="3068">
      <c r="AA3068" s="1108"/>
      <c r="AB3068" s="1412"/>
    </row>
    <row r="3069">
      <c r="AA3069" s="1108"/>
      <c r="AB3069" s="1412"/>
    </row>
    <row r="3070">
      <c r="AA3070" s="1108"/>
      <c r="AB3070" s="1412"/>
    </row>
    <row r="3071">
      <c r="AA3071" s="1108"/>
      <c r="AB3071" s="1412"/>
    </row>
    <row r="3072">
      <c r="AA3072" s="1108"/>
      <c r="AB3072" s="1412"/>
    </row>
    <row r="3073">
      <c r="AA3073" s="1108"/>
      <c r="AB3073" s="1412"/>
    </row>
    <row r="3074">
      <c r="AA3074" s="1108"/>
      <c r="AB3074" s="1412"/>
    </row>
    <row r="3075">
      <c r="AA3075" s="1108"/>
      <c r="AB3075" s="1412"/>
    </row>
    <row r="3076">
      <c r="AA3076" s="1108"/>
      <c r="AB3076" s="1412"/>
    </row>
    <row r="3077">
      <c r="AA3077" s="1108"/>
      <c r="AB3077" s="1412"/>
    </row>
    <row r="3078">
      <c r="AA3078" s="1108"/>
      <c r="AB3078" s="1412"/>
    </row>
    <row r="3079">
      <c r="AA3079" s="1108"/>
      <c r="AB3079" s="1412"/>
    </row>
    <row r="3080">
      <c r="AA3080" s="1108"/>
      <c r="AB3080" s="1412"/>
    </row>
    <row r="3081">
      <c r="AA3081" s="1108"/>
      <c r="AB3081" s="1412"/>
    </row>
    <row r="3082">
      <c r="AA3082" s="1108"/>
      <c r="AB3082" s="1412"/>
    </row>
    <row r="3083">
      <c r="AA3083" s="1108"/>
      <c r="AB3083" s="1412"/>
    </row>
    <row r="3084">
      <c r="AA3084" s="1108"/>
      <c r="AB3084" s="1412"/>
    </row>
    <row r="3085">
      <c r="AA3085" s="1108"/>
      <c r="AB3085" s="1412"/>
    </row>
    <row r="3086">
      <c r="AA3086" s="1108"/>
      <c r="AB3086" s="1412"/>
    </row>
    <row r="3087">
      <c r="AA3087" s="1108"/>
      <c r="AB3087" s="1412"/>
    </row>
    <row r="3088">
      <c r="AA3088" s="1108"/>
      <c r="AB3088" s="1412"/>
    </row>
    <row r="3089">
      <c r="AA3089" s="1108"/>
      <c r="AB3089" s="1412"/>
    </row>
    <row r="3090">
      <c r="AA3090" s="1108"/>
      <c r="AB3090" s="1412"/>
    </row>
    <row r="3091">
      <c r="AA3091" s="1108"/>
      <c r="AB3091" s="1412"/>
    </row>
    <row r="3092">
      <c r="AA3092" s="1108"/>
      <c r="AB3092" s="1412"/>
    </row>
    <row r="3093">
      <c r="AA3093" s="1108"/>
      <c r="AB3093" s="1412"/>
    </row>
    <row r="3094">
      <c r="AA3094" s="1108"/>
      <c r="AB3094" s="1412"/>
    </row>
    <row r="3095">
      <c r="AA3095" s="1108"/>
      <c r="AB3095" s="1412"/>
    </row>
    <row r="3096">
      <c r="AA3096" s="1108"/>
      <c r="AB3096" s="1412"/>
    </row>
    <row r="3097">
      <c r="AA3097" s="1108"/>
      <c r="AB3097" s="1412"/>
    </row>
    <row r="3098">
      <c r="AA3098" s="1108"/>
      <c r="AB3098" s="1412"/>
    </row>
    <row r="3099">
      <c r="AA3099" s="1108"/>
      <c r="AB3099" s="1412"/>
    </row>
    <row r="3100">
      <c r="AA3100" s="1108"/>
      <c r="AB3100" s="1412"/>
    </row>
    <row r="3101">
      <c r="AA3101" s="1108"/>
      <c r="AB3101" s="1412"/>
    </row>
    <row r="3102">
      <c r="AA3102" s="1108"/>
      <c r="AB3102" s="1412"/>
    </row>
    <row r="3103">
      <c r="AA3103" s="1108"/>
      <c r="AB3103" s="1412"/>
    </row>
    <row r="3104">
      <c r="AA3104" s="1108"/>
      <c r="AB3104" s="1412"/>
    </row>
    <row r="3105">
      <c r="AA3105" s="1108"/>
      <c r="AB3105" s="1412"/>
    </row>
    <row r="3106">
      <c r="AA3106" s="1108"/>
      <c r="AB3106" s="1412"/>
    </row>
    <row r="3107">
      <c r="AA3107" s="1108"/>
      <c r="AB3107" s="1412"/>
    </row>
    <row r="3108">
      <c r="AA3108" s="1108"/>
      <c r="AB3108" s="1412"/>
    </row>
    <row r="3109">
      <c r="AA3109" s="1108"/>
      <c r="AB3109" s="1412"/>
    </row>
    <row r="3110">
      <c r="AA3110" s="1108"/>
      <c r="AB3110" s="1412"/>
    </row>
    <row r="3111">
      <c r="AA3111" s="1108"/>
      <c r="AB3111" s="1412"/>
    </row>
    <row r="3112">
      <c r="AA3112" s="1108"/>
      <c r="AB3112" s="1412"/>
    </row>
    <row r="3113">
      <c r="AA3113" s="1108"/>
      <c r="AB3113" s="1412"/>
    </row>
    <row r="3114">
      <c r="AA3114" s="1108"/>
      <c r="AB3114" s="1412"/>
    </row>
    <row r="3115">
      <c r="AA3115" s="1108"/>
      <c r="AB3115" s="1412"/>
    </row>
    <row r="3116">
      <c r="AA3116" s="1108"/>
      <c r="AB3116" s="1412"/>
    </row>
    <row r="3117">
      <c r="AA3117" s="1108"/>
      <c r="AB3117" s="1412"/>
    </row>
    <row r="3118">
      <c r="AA3118" s="1108"/>
      <c r="AB3118" s="1412"/>
    </row>
    <row r="3119">
      <c r="AA3119" s="1108"/>
      <c r="AB3119" s="1412"/>
    </row>
    <row r="3120">
      <c r="AA3120" s="1108"/>
      <c r="AB3120" s="1412"/>
    </row>
    <row r="3121">
      <c r="AA3121" s="1108"/>
      <c r="AB3121" s="1412"/>
    </row>
    <row r="3122">
      <c r="AA3122" s="1108"/>
      <c r="AB3122" s="1412"/>
    </row>
    <row r="3123">
      <c r="AA3123" s="1108"/>
      <c r="AB3123" s="1412"/>
    </row>
    <row r="3124">
      <c r="AA3124" s="1108"/>
      <c r="AB3124" s="1412"/>
    </row>
    <row r="3125">
      <c r="AA3125" s="1108"/>
      <c r="AB3125" s="1412"/>
    </row>
    <row r="3126">
      <c r="AA3126" s="1108"/>
      <c r="AB3126" s="1412"/>
    </row>
    <row r="3127">
      <c r="AA3127" s="1108"/>
      <c r="AB3127" s="1412"/>
    </row>
    <row r="3128">
      <c r="AA3128" s="1108"/>
      <c r="AB3128" s="1412"/>
    </row>
    <row r="3129">
      <c r="AA3129" s="1108"/>
      <c r="AB3129" s="1412"/>
    </row>
    <row r="3130">
      <c r="AA3130" s="1108"/>
      <c r="AB3130" s="1412"/>
    </row>
    <row r="3131">
      <c r="AA3131" s="1108"/>
      <c r="AB3131" s="1412"/>
    </row>
    <row r="3132">
      <c r="AA3132" s="1108"/>
      <c r="AB3132" s="1412"/>
    </row>
    <row r="3133">
      <c r="AA3133" s="1108"/>
      <c r="AB3133" s="1412"/>
    </row>
    <row r="3134">
      <c r="AA3134" s="1108"/>
      <c r="AB3134" s="1412"/>
    </row>
    <row r="3135">
      <c r="AA3135" s="1108"/>
      <c r="AB3135" s="1412"/>
    </row>
    <row r="3136">
      <c r="AA3136" s="1108"/>
      <c r="AB3136" s="1412"/>
    </row>
    <row r="3137">
      <c r="AA3137" s="1108"/>
      <c r="AB3137" s="1412"/>
    </row>
    <row r="3138">
      <c r="AA3138" s="1108"/>
      <c r="AB3138" s="1412"/>
    </row>
    <row r="3139">
      <c r="AA3139" s="1108"/>
      <c r="AB3139" s="1412"/>
    </row>
    <row r="3140">
      <c r="AA3140" s="1108"/>
      <c r="AB3140" s="1412"/>
    </row>
    <row r="3141">
      <c r="AA3141" s="1108"/>
      <c r="AB3141" s="1412"/>
    </row>
    <row r="3142">
      <c r="AA3142" s="1108"/>
      <c r="AB3142" s="1412"/>
    </row>
    <row r="3143">
      <c r="AA3143" s="1108"/>
      <c r="AB3143" s="1412"/>
    </row>
    <row r="3144">
      <c r="AA3144" s="1108"/>
      <c r="AB3144" s="1412"/>
    </row>
    <row r="3145">
      <c r="AA3145" s="1108"/>
      <c r="AB3145" s="1412"/>
    </row>
    <row r="3146">
      <c r="AA3146" s="1108"/>
      <c r="AB3146" s="1412"/>
    </row>
    <row r="3147">
      <c r="AA3147" s="1108"/>
      <c r="AB3147" s="1412"/>
    </row>
    <row r="3148">
      <c r="AA3148" s="1108"/>
      <c r="AB3148" s="1412"/>
    </row>
    <row r="3149">
      <c r="AA3149" s="1108"/>
      <c r="AB3149" s="1412"/>
    </row>
    <row r="3150">
      <c r="AA3150" s="1108"/>
      <c r="AB3150" s="1412"/>
    </row>
    <row r="3151">
      <c r="AA3151" s="1108"/>
      <c r="AB3151" s="1412"/>
    </row>
    <row r="3152">
      <c r="AA3152" s="1108"/>
      <c r="AB3152" s="1412"/>
    </row>
    <row r="3153">
      <c r="AA3153" s="1108"/>
      <c r="AB3153" s="1412"/>
    </row>
    <row r="3154">
      <c r="AA3154" s="1108"/>
      <c r="AB3154" s="1412"/>
    </row>
    <row r="3155">
      <c r="AA3155" s="1108"/>
      <c r="AB3155" s="1412"/>
    </row>
    <row r="3156">
      <c r="AA3156" s="1108"/>
      <c r="AB3156" s="1412"/>
    </row>
    <row r="3157">
      <c r="AA3157" s="1108"/>
      <c r="AB3157" s="1412"/>
    </row>
    <row r="3158">
      <c r="AA3158" s="1108"/>
      <c r="AB3158" s="1412"/>
    </row>
    <row r="3159">
      <c r="AA3159" s="1108"/>
      <c r="AB3159" s="1412"/>
    </row>
    <row r="3160">
      <c r="AA3160" s="1108"/>
      <c r="AB3160" s="1412"/>
    </row>
    <row r="3161">
      <c r="AA3161" s="1108"/>
      <c r="AB3161" s="1412"/>
    </row>
    <row r="3162">
      <c r="AA3162" s="1108"/>
      <c r="AB3162" s="1412"/>
    </row>
    <row r="3163">
      <c r="AA3163" s="1108"/>
      <c r="AB3163" s="1412"/>
    </row>
    <row r="3164">
      <c r="AA3164" s="1108"/>
      <c r="AB3164" s="1412"/>
    </row>
    <row r="3165">
      <c r="AA3165" s="1108"/>
      <c r="AB3165" s="1412"/>
    </row>
    <row r="3166">
      <c r="AA3166" s="1108"/>
      <c r="AB3166" s="1412"/>
    </row>
    <row r="3167">
      <c r="AA3167" s="1108"/>
      <c r="AB3167" s="1412"/>
    </row>
    <row r="3168">
      <c r="AA3168" s="1108"/>
      <c r="AB3168" s="1412"/>
    </row>
    <row r="3169">
      <c r="AA3169" s="1108"/>
      <c r="AB3169" s="1412"/>
    </row>
    <row r="3170">
      <c r="AA3170" s="1108"/>
      <c r="AB3170" s="1412"/>
    </row>
    <row r="3171">
      <c r="AA3171" s="1108"/>
      <c r="AB3171" s="1412"/>
    </row>
    <row r="3172">
      <c r="AA3172" s="1108"/>
      <c r="AB3172" s="1412"/>
    </row>
    <row r="3173">
      <c r="AA3173" s="1108"/>
      <c r="AB3173" s="1412"/>
    </row>
    <row r="3174">
      <c r="AA3174" s="1108"/>
      <c r="AB3174" s="1412"/>
    </row>
    <row r="3175">
      <c r="AA3175" s="1108"/>
      <c r="AB3175" s="1412"/>
    </row>
    <row r="3176">
      <c r="AA3176" s="1108"/>
      <c r="AB3176" s="1412"/>
    </row>
    <row r="3177">
      <c r="AA3177" s="1108"/>
      <c r="AB3177" s="1412"/>
    </row>
    <row r="3178">
      <c r="AA3178" s="1108"/>
      <c r="AB3178" s="1412"/>
    </row>
    <row r="3179">
      <c r="AA3179" s="1108"/>
      <c r="AB3179" s="1412"/>
    </row>
    <row r="3180">
      <c r="AA3180" s="1108"/>
      <c r="AB3180" s="1412"/>
    </row>
    <row r="3181">
      <c r="AA3181" s="1108"/>
      <c r="AB3181" s="1412"/>
    </row>
    <row r="3182">
      <c r="AA3182" s="1108"/>
      <c r="AB3182" s="1412"/>
    </row>
    <row r="3183">
      <c r="AA3183" s="1108"/>
      <c r="AB3183" s="1412"/>
    </row>
    <row r="3184">
      <c r="AA3184" s="1108"/>
      <c r="AB3184" s="1412"/>
    </row>
    <row r="3185">
      <c r="AA3185" s="1108"/>
      <c r="AB3185" s="1412"/>
    </row>
    <row r="3186">
      <c r="AA3186" s="1108"/>
      <c r="AB3186" s="1412"/>
    </row>
    <row r="3187">
      <c r="AA3187" s="1108"/>
      <c r="AB3187" s="1412"/>
    </row>
    <row r="3188">
      <c r="AA3188" s="1108"/>
      <c r="AB3188" s="1412"/>
    </row>
    <row r="3189">
      <c r="AA3189" s="1108"/>
      <c r="AB3189" s="1412"/>
    </row>
    <row r="3190">
      <c r="AA3190" s="1108"/>
      <c r="AB3190" s="1412"/>
    </row>
    <row r="3191">
      <c r="AA3191" s="1108"/>
      <c r="AB3191" s="1412"/>
    </row>
    <row r="3192">
      <c r="AA3192" s="1108"/>
      <c r="AB3192" s="1412"/>
    </row>
    <row r="3193">
      <c r="AA3193" s="1108"/>
      <c r="AB3193" s="1412"/>
    </row>
    <row r="3194">
      <c r="AA3194" s="1108"/>
      <c r="AB3194" s="1412"/>
    </row>
    <row r="3195">
      <c r="AA3195" s="1108"/>
      <c r="AB3195" s="1412"/>
    </row>
    <row r="3196">
      <c r="AA3196" s="1108"/>
      <c r="AB3196" s="1412"/>
    </row>
    <row r="3197">
      <c r="AA3197" s="1108"/>
      <c r="AB3197" s="1412"/>
    </row>
    <row r="3198">
      <c r="AA3198" s="1108"/>
      <c r="AB3198" s="1412"/>
    </row>
    <row r="3199">
      <c r="AA3199" s="1108"/>
      <c r="AB3199" s="1412"/>
    </row>
    <row r="3200">
      <c r="AA3200" s="1108"/>
      <c r="AB3200" s="1412"/>
    </row>
    <row r="3201">
      <c r="AA3201" s="1108"/>
      <c r="AB3201" s="1412"/>
    </row>
    <row r="3202">
      <c r="AA3202" s="1108"/>
      <c r="AB3202" s="1412"/>
    </row>
    <row r="3203">
      <c r="AA3203" s="1108"/>
      <c r="AB3203" s="1412"/>
    </row>
    <row r="3204">
      <c r="AA3204" s="1108"/>
      <c r="AB3204" s="1412"/>
    </row>
    <row r="3205">
      <c r="AA3205" s="1108"/>
      <c r="AB3205" s="1412"/>
    </row>
    <row r="3206">
      <c r="AA3206" s="1108"/>
      <c r="AB3206" s="1412"/>
    </row>
    <row r="3207">
      <c r="AA3207" s="1108"/>
      <c r="AB3207" s="1412"/>
    </row>
    <row r="3208">
      <c r="AA3208" s="1108"/>
      <c r="AB3208" s="1412"/>
    </row>
    <row r="3209">
      <c r="AA3209" s="1108"/>
      <c r="AB3209" s="1412"/>
    </row>
    <row r="3210">
      <c r="AA3210" s="1108"/>
      <c r="AB3210" s="1412"/>
    </row>
    <row r="3211">
      <c r="AA3211" s="1108"/>
      <c r="AB3211" s="1412"/>
    </row>
    <row r="3212">
      <c r="AA3212" s="1108"/>
      <c r="AB3212" s="1412"/>
    </row>
    <row r="3213">
      <c r="AA3213" s="1108"/>
      <c r="AB3213" s="1412"/>
    </row>
    <row r="3214">
      <c r="AA3214" s="1108"/>
      <c r="AB3214" s="1412"/>
    </row>
    <row r="3215">
      <c r="AA3215" s="1108"/>
      <c r="AB3215" s="1412"/>
    </row>
    <row r="3216">
      <c r="AA3216" s="1108"/>
      <c r="AB3216" s="1412"/>
    </row>
    <row r="3217">
      <c r="AA3217" s="1108"/>
      <c r="AB3217" s="1412"/>
    </row>
    <row r="3218">
      <c r="AA3218" s="1108"/>
      <c r="AB3218" s="1412"/>
    </row>
    <row r="3219">
      <c r="AA3219" s="1108"/>
      <c r="AB3219" s="1412"/>
    </row>
    <row r="3220">
      <c r="AA3220" s="1108"/>
      <c r="AB3220" s="1412"/>
    </row>
    <row r="3221">
      <c r="AA3221" s="1108"/>
      <c r="AB3221" s="1412"/>
    </row>
    <row r="3222">
      <c r="AA3222" s="1108"/>
      <c r="AB3222" s="1412"/>
    </row>
    <row r="3223">
      <c r="AA3223" s="1108"/>
      <c r="AB3223" s="1412"/>
    </row>
    <row r="3224">
      <c r="AA3224" s="1108"/>
      <c r="AB3224" s="1412"/>
    </row>
    <row r="3225">
      <c r="AA3225" s="1108"/>
      <c r="AB3225" s="1412"/>
    </row>
    <row r="3226">
      <c r="AA3226" s="1108"/>
      <c r="AB3226" s="1412"/>
    </row>
    <row r="3227">
      <c r="AA3227" s="1108"/>
      <c r="AB3227" s="1412"/>
    </row>
    <row r="3228">
      <c r="AA3228" s="1108"/>
      <c r="AB3228" s="1412"/>
    </row>
    <row r="3229">
      <c r="AA3229" s="1108"/>
      <c r="AB3229" s="1412"/>
    </row>
    <row r="3230">
      <c r="AA3230" s="1108"/>
      <c r="AB3230" s="1412"/>
    </row>
    <row r="3231">
      <c r="AA3231" s="1108"/>
      <c r="AB3231" s="1412"/>
    </row>
    <row r="3232">
      <c r="AA3232" s="1108"/>
      <c r="AB3232" s="1412"/>
    </row>
    <row r="3233">
      <c r="AA3233" s="1108"/>
      <c r="AB3233" s="1412"/>
    </row>
    <row r="3234">
      <c r="AA3234" s="1108"/>
      <c r="AB3234" s="1412"/>
    </row>
    <row r="3235">
      <c r="AA3235" s="1108"/>
      <c r="AB3235" s="1412"/>
    </row>
    <row r="3236">
      <c r="AA3236" s="1108"/>
      <c r="AB3236" s="1412"/>
    </row>
    <row r="3237">
      <c r="AA3237" s="1108"/>
      <c r="AB3237" s="1412"/>
    </row>
    <row r="3238">
      <c r="AA3238" s="1108"/>
      <c r="AB3238" s="1412"/>
    </row>
    <row r="3239">
      <c r="AA3239" s="1108"/>
      <c r="AB3239" s="1412"/>
    </row>
    <row r="3240">
      <c r="AA3240" s="1108"/>
      <c r="AB3240" s="1412"/>
    </row>
    <row r="3241">
      <c r="AA3241" s="1108"/>
      <c r="AB3241" s="1412"/>
    </row>
    <row r="3242">
      <c r="AA3242" s="1108"/>
      <c r="AB3242" s="1412"/>
    </row>
    <row r="3243">
      <c r="AA3243" s="1108"/>
      <c r="AB3243" s="1412"/>
    </row>
    <row r="3244">
      <c r="AA3244" s="1108"/>
      <c r="AB3244" s="1412"/>
    </row>
    <row r="3245">
      <c r="AA3245" s="1108"/>
      <c r="AB3245" s="1412"/>
    </row>
    <row r="3246">
      <c r="AA3246" s="1108"/>
      <c r="AB3246" s="1412"/>
    </row>
    <row r="3247">
      <c r="AA3247" s="1108"/>
      <c r="AB3247" s="1412"/>
    </row>
    <row r="3248">
      <c r="AA3248" s="1108"/>
      <c r="AB3248" s="1412"/>
    </row>
    <row r="3249">
      <c r="AA3249" s="1108"/>
      <c r="AB3249" s="1412"/>
    </row>
    <row r="3250">
      <c r="AA3250" s="1108"/>
      <c r="AB3250" s="1412"/>
    </row>
    <row r="3251">
      <c r="AA3251" s="1108"/>
      <c r="AB3251" s="1412"/>
    </row>
    <row r="3252">
      <c r="AA3252" s="1108"/>
      <c r="AB3252" s="1412"/>
    </row>
    <row r="3253">
      <c r="AA3253" s="1108"/>
      <c r="AB3253" s="1412"/>
    </row>
    <row r="3254">
      <c r="AA3254" s="1108"/>
      <c r="AB3254" s="1412"/>
    </row>
    <row r="3255">
      <c r="AA3255" s="1108"/>
      <c r="AB3255" s="1412"/>
    </row>
    <row r="3256">
      <c r="AA3256" s="1108"/>
      <c r="AB3256" s="1412"/>
    </row>
    <row r="3257">
      <c r="AA3257" s="1108"/>
      <c r="AB3257" s="1412"/>
    </row>
    <row r="3258">
      <c r="AA3258" s="1108"/>
      <c r="AB3258" s="1412"/>
    </row>
    <row r="3259">
      <c r="AA3259" s="1108"/>
      <c r="AB3259" s="1412"/>
    </row>
    <row r="3260">
      <c r="AA3260" s="1108"/>
      <c r="AB3260" s="1412"/>
    </row>
    <row r="3261">
      <c r="AA3261" s="1108"/>
      <c r="AB3261" s="1412"/>
    </row>
    <row r="3262">
      <c r="AA3262" s="1108"/>
      <c r="AB3262" s="1412"/>
    </row>
    <row r="3263">
      <c r="AA3263" s="1108"/>
      <c r="AB3263" s="1412"/>
    </row>
    <row r="3264">
      <c r="AA3264" s="1108"/>
      <c r="AB3264" s="1412"/>
    </row>
    <row r="3265">
      <c r="AA3265" s="1108"/>
      <c r="AB3265" s="1412"/>
    </row>
    <row r="3266">
      <c r="AA3266" s="1108"/>
      <c r="AB3266" s="1412"/>
    </row>
    <row r="3267">
      <c r="AA3267" s="1108"/>
      <c r="AB3267" s="1412"/>
    </row>
    <row r="3268">
      <c r="AA3268" s="1108"/>
      <c r="AB3268" s="1412"/>
    </row>
    <row r="3269">
      <c r="AA3269" s="1108"/>
      <c r="AB3269" s="1412"/>
    </row>
    <row r="3270">
      <c r="AA3270" s="1108"/>
      <c r="AB3270" s="1412"/>
    </row>
    <row r="3271">
      <c r="AA3271" s="1108"/>
      <c r="AB3271" s="1412"/>
    </row>
    <row r="3272">
      <c r="AA3272" s="1108"/>
      <c r="AB3272" s="1412"/>
    </row>
    <row r="3273">
      <c r="AA3273" s="1108"/>
      <c r="AB3273" s="1412"/>
    </row>
    <row r="3274">
      <c r="AA3274" s="1108"/>
      <c r="AB3274" s="1412"/>
    </row>
    <row r="3275">
      <c r="AA3275" s="1108"/>
      <c r="AB3275" s="1412"/>
    </row>
    <row r="3276">
      <c r="AA3276" s="1108"/>
      <c r="AB3276" s="1412"/>
    </row>
    <row r="3277">
      <c r="AA3277" s="1108"/>
      <c r="AB3277" s="1412"/>
    </row>
    <row r="3278">
      <c r="AA3278" s="1108"/>
      <c r="AB3278" s="1412"/>
    </row>
    <row r="3279">
      <c r="AA3279" s="1108"/>
      <c r="AB3279" s="1412"/>
    </row>
    <row r="3280">
      <c r="AA3280" s="1108"/>
      <c r="AB3280" s="1412"/>
    </row>
    <row r="3281">
      <c r="AA3281" s="1108"/>
      <c r="AB3281" s="1412"/>
    </row>
    <row r="3282">
      <c r="AA3282" s="1108"/>
      <c r="AB3282" s="1412"/>
    </row>
    <row r="3283">
      <c r="AA3283" s="1108"/>
      <c r="AB3283" s="1412"/>
    </row>
    <row r="3284">
      <c r="AA3284" s="1108"/>
      <c r="AB3284" s="1412"/>
    </row>
    <row r="3285">
      <c r="AA3285" s="1108"/>
      <c r="AB3285" s="1412"/>
    </row>
    <row r="3286">
      <c r="AA3286" s="1108"/>
      <c r="AB3286" s="1412"/>
    </row>
    <row r="3287">
      <c r="AA3287" s="1108"/>
      <c r="AB3287" s="1412"/>
    </row>
    <row r="3288">
      <c r="AA3288" s="1108"/>
      <c r="AB3288" s="1412"/>
    </row>
    <row r="3289">
      <c r="AA3289" s="1108"/>
      <c r="AB3289" s="1412"/>
    </row>
    <row r="3290">
      <c r="AA3290" s="1108"/>
      <c r="AB3290" s="1412"/>
    </row>
    <row r="3291">
      <c r="AA3291" s="1108"/>
      <c r="AB3291" s="1412"/>
    </row>
    <row r="3292">
      <c r="AA3292" s="1108"/>
      <c r="AB3292" s="1412"/>
    </row>
    <row r="3293">
      <c r="AA3293" s="1108"/>
      <c r="AB3293" s="1412"/>
    </row>
    <row r="3294">
      <c r="AA3294" s="1108"/>
      <c r="AB3294" s="1412"/>
    </row>
    <row r="3295">
      <c r="AA3295" s="1108"/>
      <c r="AB3295" s="1412"/>
    </row>
    <row r="3296">
      <c r="AA3296" s="1108"/>
      <c r="AB3296" s="1412"/>
    </row>
    <row r="3297">
      <c r="AA3297" s="1108"/>
      <c r="AB3297" s="1412"/>
    </row>
    <row r="3298">
      <c r="AA3298" s="1108"/>
      <c r="AB3298" s="1412"/>
    </row>
    <row r="3299">
      <c r="AA3299" s="1108"/>
      <c r="AB3299" s="1412"/>
    </row>
    <row r="3300">
      <c r="AA3300" s="1108"/>
      <c r="AB3300" s="1412"/>
    </row>
    <row r="3301">
      <c r="AA3301" s="1108"/>
      <c r="AB3301" s="1412"/>
    </row>
    <row r="3302">
      <c r="AA3302" s="1108"/>
      <c r="AB3302" s="1412"/>
    </row>
    <row r="3303">
      <c r="AA3303" s="1108"/>
      <c r="AB3303" s="1412"/>
    </row>
    <row r="3304">
      <c r="AA3304" s="1108"/>
      <c r="AB3304" s="1412"/>
    </row>
    <row r="3305">
      <c r="AA3305" s="1108"/>
      <c r="AB3305" s="1412"/>
    </row>
    <row r="3306">
      <c r="AA3306" s="1108"/>
      <c r="AB3306" s="1412"/>
    </row>
    <row r="3307">
      <c r="AA3307" s="1108"/>
      <c r="AB3307" s="1412"/>
    </row>
    <row r="3308">
      <c r="AA3308" s="1108"/>
      <c r="AB3308" s="1412"/>
    </row>
    <row r="3309">
      <c r="AA3309" s="1108"/>
      <c r="AB3309" s="1412"/>
    </row>
    <row r="3310">
      <c r="AA3310" s="1108"/>
      <c r="AB3310" s="1412"/>
    </row>
    <row r="3311">
      <c r="AA3311" s="1108"/>
      <c r="AB3311" s="1412"/>
    </row>
    <row r="3312">
      <c r="AA3312" s="1108"/>
      <c r="AB3312" s="1412"/>
    </row>
    <row r="3313">
      <c r="AA3313" s="1108"/>
      <c r="AB3313" s="1412"/>
    </row>
    <row r="3314">
      <c r="AA3314" s="1108"/>
      <c r="AB3314" s="1412"/>
    </row>
    <row r="3315">
      <c r="AA3315" s="1108"/>
      <c r="AB3315" s="1412"/>
    </row>
    <row r="3316">
      <c r="AA3316" s="1108"/>
      <c r="AB3316" s="1412"/>
    </row>
    <row r="3317">
      <c r="AA3317" s="1108"/>
      <c r="AB3317" s="1412"/>
    </row>
    <row r="3318">
      <c r="AA3318" s="1108"/>
      <c r="AB3318" s="1412"/>
    </row>
    <row r="3319">
      <c r="AA3319" s="1108"/>
      <c r="AB3319" s="1412"/>
    </row>
    <row r="3320">
      <c r="AA3320" s="1108"/>
      <c r="AB3320" s="1412"/>
    </row>
    <row r="3321">
      <c r="AA3321" s="1108"/>
      <c r="AB3321" s="1412"/>
    </row>
    <row r="3322">
      <c r="AA3322" s="1108"/>
      <c r="AB3322" s="1412"/>
    </row>
    <row r="3323">
      <c r="AA3323" s="1108"/>
      <c r="AB3323" s="1412"/>
    </row>
    <row r="3324">
      <c r="AA3324" s="1108"/>
      <c r="AB3324" s="1412"/>
    </row>
    <row r="3325">
      <c r="AA3325" s="1108"/>
      <c r="AB3325" s="1412"/>
    </row>
    <row r="3326">
      <c r="AA3326" s="1108"/>
      <c r="AB3326" s="1412"/>
    </row>
    <row r="3327">
      <c r="AA3327" s="1108"/>
      <c r="AB3327" s="1412"/>
    </row>
    <row r="3328">
      <c r="AA3328" s="1108"/>
      <c r="AB3328" s="1412"/>
    </row>
    <row r="3329">
      <c r="AA3329" s="1108"/>
      <c r="AB3329" s="1412"/>
    </row>
    <row r="3330">
      <c r="AA3330" s="1108"/>
      <c r="AB3330" s="1412"/>
    </row>
    <row r="3331">
      <c r="AA3331" s="1108"/>
      <c r="AB3331" s="1412"/>
    </row>
    <row r="3332">
      <c r="AA3332" s="1108"/>
      <c r="AB3332" s="1412"/>
    </row>
    <row r="3333">
      <c r="AA3333" s="1108"/>
      <c r="AB3333" s="1412"/>
    </row>
    <row r="3334">
      <c r="AA3334" s="1108"/>
      <c r="AB3334" s="1412"/>
    </row>
    <row r="3335">
      <c r="AA3335" s="1108"/>
      <c r="AB3335" s="1412"/>
    </row>
    <row r="3336">
      <c r="AA3336" s="1108"/>
      <c r="AB3336" s="1412"/>
    </row>
    <row r="3337">
      <c r="AA3337" s="1108"/>
      <c r="AB3337" s="1412"/>
    </row>
    <row r="3338">
      <c r="AA3338" s="1108"/>
      <c r="AB3338" s="1412"/>
    </row>
    <row r="3339">
      <c r="AA3339" s="1108"/>
      <c r="AB3339" s="1412"/>
    </row>
    <row r="3340">
      <c r="AA3340" s="1108"/>
      <c r="AB3340" s="1412"/>
    </row>
    <row r="3341">
      <c r="AA3341" s="1108"/>
      <c r="AB3341" s="1412"/>
    </row>
    <row r="3342">
      <c r="AA3342" s="1108"/>
      <c r="AB3342" s="1412"/>
    </row>
    <row r="3343">
      <c r="AA3343" s="1108"/>
      <c r="AB3343" s="1412"/>
    </row>
    <row r="3344">
      <c r="AA3344" s="1108"/>
      <c r="AB3344" s="1412"/>
    </row>
    <row r="3345">
      <c r="AA3345" s="1108"/>
      <c r="AB3345" s="1412"/>
    </row>
    <row r="3346">
      <c r="AA3346" s="1108"/>
      <c r="AB3346" s="1412"/>
    </row>
    <row r="3347">
      <c r="AA3347" s="1108"/>
      <c r="AB3347" s="1412"/>
    </row>
    <row r="3348">
      <c r="AA3348" s="1108"/>
      <c r="AB3348" s="1412"/>
    </row>
    <row r="3349">
      <c r="AA3349" s="1108"/>
      <c r="AB3349" s="1412"/>
    </row>
    <row r="3350">
      <c r="AA3350" s="1108"/>
      <c r="AB3350" s="1412"/>
    </row>
    <row r="3351">
      <c r="AA3351" s="1108"/>
      <c r="AB3351" s="1412"/>
    </row>
    <row r="3352">
      <c r="AA3352" s="1108"/>
      <c r="AB3352" s="1412"/>
    </row>
    <row r="3353">
      <c r="AA3353" s="1108"/>
      <c r="AB3353" s="1412"/>
    </row>
    <row r="3354">
      <c r="AA3354" s="1108"/>
      <c r="AB3354" s="1412"/>
    </row>
    <row r="3355">
      <c r="AA3355" s="1108"/>
      <c r="AB3355" s="1412"/>
    </row>
    <row r="3356">
      <c r="AA3356" s="1108"/>
      <c r="AB3356" s="1412"/>
    </row>
    <row r="3357">
      <c r="AA3357" s="1108"/>
      <c r="AB3357" s="1412"/>
    </row>
    <row r="3358">
      <c r="AA3358" s="1108"/>
      <c r="AB3358" s="1412"/>
    </row>
    <row r="3359">
      <c r="AA3359" s="1108"/>
      <c r="AB3359" s="1412"/>
    </row>
    <row r="3360">
      <c r="AA3360" s="1108"/>
      <c r="AB3360" s="1412"/>
    </row>
    <row r="3361">
      <c r="AA3361" s="1108"/>
      <c r="AB3361" s="1412"/>
    </row>
    <row r="3362">
      <c r="AA3362" s="1108"/>
      <c r="AB3362" s="1412"/>
    </row>
    <row r="3363">
      <c r="AA3363" s="1108"/>
      <c r="AB3363" s="1412"/>
    </row>
    <row r="3364">
      <c r="AA3364" s="1108"/>
      <c r="AB3364" s="1412"/>
    </row>
    <row r="3365">
      <c r="AA3365" s="1108"/>
      <c r="AB3365" s="1412"/>
    </row>
    <row r="3366">
      <c r="AA3366" s="1108"/>
      <c r="AB3366" s="1412"/>
    </row>
    <row r="3367">
      <c r="AA3367" s="1108"/>
      <c r="AB3367" s="1412"/>
    </row>
    <row r="3368">
      <c r="AA3368" s="1108"/>
      <c r="AB3368" s="1412"/>
    </row>
    <row r="3369">
      <c r="AA3369" s="1108"/>
      <c r="AB3369" s="1412"/>
    </row>
    <row r="3370">
      <c r="AA3370" s="1108"/>
      <c r="AB3370" s="1412"/>
    </row>
    <row r="3371">
      <c r="AA3371" s="1108"/>
      <c r="AB3371" s="1412"/>
    </row>
    <row r="3372">
      <c r="AA3372" s="1108"/>
      <c r="AB3372" s="1412"/>
    </row>
    <row r="3373">
      <c r="AA3373" s="1108"/>
      <c r="AB3373" s="1412"/>
    </row>
    <row r="3374">
      <c r="AA3374" s="1108"/>
      <c r="AB3374" s="1412"/>
    </row>
    <row r="3375">
      <c r="AA3375" s="1108"/>
      <c r="AB3375" s="1412"/>
    </row>
    <row r="3376">
      <c r="AA3376" s="1108"/>
      <c r="AB3376" s="1412"/>
    </row>
    <row r="3377">
      <c r="AA3377" s="1108"/>
      <c r="AB3377" s="1412"/>
    </row>
    <row r="3378">
      <c r="AA3378" s="1108"/>
      <c r="AB3378" s="1412"/>
    </row>
    <row r="3379">
      <c r="AA3379" s="1108"/>
      <c r="AB3379" s="1412"/>
    </row>
    <row r="3380">
      <c r="AA3380" s="1108"/>
      <c r="AB3380" s="1412"/>
    </row>
    <row r="3381">
      <c r="AA3381" s="1108"/>
      <c r="AB3381" s="1412"/>
    </row>
    <row r="3382">
      <c r="AA3382" s="1108"/>
      <c r="AB3382" s="1412"/>
    </row>
    <row r="3383">
      <c r="AA3383" s="1108"/>
      <c r="AB3383" s="1412"/>
    </row>
    <row r="3384">
      <c r="AA3384" s="1108"/>
      <c r="AB3384" s="1412"/>
    </row>
    <row r="3385">
      <c r="AA3385" s="1108"/>
      <c r="AB3385" s="1412"/>
    </row>
    <row r="3386">
      <c r="AA3386" s="1108"/>
      <c r="AB3386" s="1412"/>
    </row>
    <row r="3387">
      <c r="AA3387" s="1108"/>
      <c r="AB3387" s="1412"/>
    </row>
    <row r="3388">
      <c r="AA3388" s="1108"/>
      <c r="AB3388" s="1412"/>
    </row>
    <row r="3389">
      <c r="AA3389" s="1108"/>
      <c r="AB3389" s="1412"/>
    </row>
    <row r="3390">
      <c r="AA3390" s="1108"/>
      <c r="AB3390" s="1412"/>
    </row>
    <row r="3391">
      <c r="AA3391" s="1108"/>
      <c r="AB3391" s="1412"/>
    </row>
    <row r="3392">
      <c r="AA3392" s="1108"/>
      <c r="AB3392" s="1412"/>
    </row>
    <row r="3393">
      <c r="AA3393" s="1108"/>
      <c r="AB3393" s="1412"/>
    </row>
    <row r="3394">
      <c r="AA3394" s="1108"/>
      <c r="AB3394" s="1412"/>
    </row>
    <row r="3395">
      <c r="AA3395" s="1108"/>
      <c r="AB3395" s="1412"/>
    </row>
    <row r="3396">
      <c r="AA3396" s="1108"/>
      <c r="AB3396" s="1412"/>
    </row>
    <row r="3397">
      <c r="AA3397" s="1108"/>
      <c r="AB3397" s="1412"/>
    </row>
    <row r="3398">
      <c r="AA3398" s="1108"/>
      <c r="AB3398" s="1412"/>
    </row>
    <row r="3399">
      <c r="AA3399" s="1108"/>
      <c r="AB3399" s="1412"/>
    </row>
    <row r="3400">
      <c r="AA3400" s="1108"/>
      <c r="AB3400" s="1412"/>
    </row>
    <row r="3401">
      <c r="AA3401" s="1108"/>
      <c r="AB3401" s="1412"/>
    </row>
    <row r="3402">
      <c r="AA3402" s="1108"/>
      <c r="AB3402" s="1412"/>
    </row>
    <row r="3403">
      <c r="AA3403" s="1108"/>
      <c r="AB3403" s="1412"/>
    </row>
    <row r="3404">
      <c r="AA3404" s="1108"/>
      <c r="AB3404" s="1412"/>
    </row>
    <row r="3405">
      <c r="AA3405" s="1108"/>
      <c r="AB3405" s="1412"/>
    </row>
    <row r="3406">
      <c r="AA3406" s="1108"/>
      <c r="AB3406" s="1412"/>
    </row>
    <row r="3407">
      <c r="AA3407" s="1108"/>
      <c r="AB3407" s="1412"/>
    </row>
    <row r="3408">
      <c r="AA3408" s="1108"/>
      <c r="AB3408" s="1412"/>
    </row>
    <row r="3409">
      <c r="AA3409" s="1108"/>
      <c r="AB3409" s="1412"/>
    </row>
    <row r="3410">
      <c r="AA3410" s="1108"/>
      <c r="AB3410" s="1412"/>
    </row>
    <row r="3411">
      <c r="AA3411" s="1108"/>
      <c r="AB3411" s="1412"/>
    </row>
    <row r="3412">
      <c r="AA3412" s="1108"/>
      <c r="AB3412" s="1412"/>
    </row>
    <row r="3413">
      <c r="AA3413" s="1108"/>
      <c r="AB3413" s="1412"/>
    </row>
    <row r="3414">
      <c r="AA3414" s="1108"/>
      <c r="AB3414" s="1412"/>
    </row>
    <row r="3415">
      <c r="AA3415" s="1108"/>
      <c r="AB3415" s="1412"/>
    </row>
    <row r="3416">
      <c r="AA3416" s="1108"/>
      <c r="AB3416" s="1412"/>
    </row>
    <row r="3417">
      <c r="AA3417" s="1108"/>
      <c r="AB3417" s="1412"/>
    </row>
    <row r="3418">
      <c r="AA3418" s="1108"/>
      <c r="AB3418" s="1412"/>
    </row>
    <row r="3419">
      <c r="AA3419" s="1108"/>
      <c r="AB3419" s="1412"/>
    </row>
    <row r="3420">
      <c r="AA3420" s="1108"/>
      <c r="AB3420" s="1412"/>
    </row>
    <row r="3421">
      <c r="AA3421" s="1108"/>
      <c r="AB3421" s="1412"/>
    </row>
    <row r="3422">
      <c r="AA3422" s="1108"/>
      <c r="AB3422" s="1412"/>
    </row>
    <row r="3423">
      <c r="AA3423" s="1108"/>
      <c r="AB3423" s="1412"/>
    </row>
    <row r="3424">
      <c r="AA3424" s="1108"/>
      <c r="AB3424" s="1412"/>
    </row>
    <row r="3425">
      <c r="AA3425" s="1108"/>
      <c r="AB3425" s="1412"/>
    </row>
    <row r="3426">
      <c r="AA3426" s="1108"/>
      <c r="AB3426" s="1412"/>
    </row>
    <row r="3427">
      <c r="AA3427" s="1108"/>
      <c r="AB3427" s="1412"/>
    </row>
    <row r="3428">
      <c r="AA3428" s="1108"/>
      <c r="AB3428" s="1412"/>
    </row>
    <row r="3429">
      <c r="AA3429" s="1108"/>
      <c r="AB3429" s="1412"/>
    </row>
    <row r="3430">
      <c r="AA3430" s="1108"/>
      <c r="AB3430" s="1412"/>
    </row>
    <row r="3431">
      <c r="AA3431" s="1108"/>
      <c r="AB3431" s="1412"/>
    </row>
    <row r="3432">
      <c r="AA3432" s="1108"/>
      <c r="AB3432" s="1412"/>
    </row>
    <row r="3433">
      <c r="AA3433" s="1108"/>
      <c r="AB3433" s="1412"/>
    </row>
    <row r="3434">
      <c r="AA3434" s="1108"/>
      <c r="AB3434" s="1412"/>
    </row>
    <row r="3435">
      <c r="AA3435" s="1108"/>
      <c r="AB3435" s="1412"/>
    </row>
    <row r="3436">
      <c r="AA3436" s="1108"/>
      <c r="AB3436" s="1412"/>
    </row>
    <row r="3437">
      <c r="AA3437" s="1108"/>
      <c r="AB3437" s="1412"/>
    </row>
    <row r="3438">
      <c r="AA3438" s="1108"/>
      <c r="AB3438" s="1412"/>
    </row>
    <row r="3439">
      <c r="AA3439" s="1108"/>
      <c r="AB3439" s="1412"/>
    </row>
    <row r="3440">
      <c r="AA3440" s="1108"/>
      <c r="AB3440" s="1412"/>
    </row>
    <row r="3441">
      <c r="AA3441" s="1108"/>
      <c r="AB3441" s="1412"/>
    </row>
    <row r="3442">
      <c r="AA3442" s="1108"/>
      <c r="AB3442" s="1412"/>
    </row>
    <row r="3443">
      <c r="AA3443" s="1108"/>
      <c r="AB3443" s="1412"/>
    </row>
    <row r="3444">
      <c r="AA3444" s="1108"/>
      <c r="AB3444" s="1412"/>
    </row>
    <row r="3445">
      <c r="AA3445" s="1108"/>
      <c r="AB3445" s="1412"/>
    </row>
    <row r="3446">
      <c r="AA3446" s="1108"/>
      <c r="AB3446" s="1412"/>
    </row>
    <row r="3447">
      <c r="AA3447" s="1108"/>
      <c r="AB3447" s="1412"/>
    </row>
    <row r="3448">
      <c r="AA3448" s="1108"/>
      <c r="AB3448" s="1412"/>
    </row>
    <row r="3449">
      <c r="AA3449" s="1108"/>
      <c r="AB3449" s="1412"/>
    </row>
    <row r="3450">
      <c r="AA3450" s="1108"/>
      <c r="AB3450" s="1412"/>
    </row>
    <row r="3451">
      <c r="AA3451" s="1108"/>
      <c r="AB3451" s="1412"/>
    </row>
    <row r="3452">
      <c r="AA3452" s="1108"/>
      <c r="AB3452" s="1412"/>
    </row>
    <row r="3453">
      <c r="AA3453" s="1108"/>
      <c r="AB3453" s="1412"/>
    </row>
    <row r="3454">
      <c r="AA3454" s="1108"/>
      <c r="AB3454" s="1412"/>
    </row>
    <row r="3455">
      <c r="AA3455" s="1108"/>
      <c r="AB3455" s="1412"/>
    </row>
    <row r="3456">
      <c r="AA3456" s="1108"/>
      <c r="AB3456" s="1412"/>
    </row>
    <row r="3457">
      <c r="AA3457" s="1108"/>
      <c r="AB3457" s="1412"/>
    </row>
    <row r="3458">
      <c r="AA3458" s="1108"/>
      <c r="AB3458" s="1412"/>
    </row>
    <row r="3459">
      <c r="AA3459" s="1108"/>
      <c r="AB3459" s="1412"/>
    </row>
    <row r="3460">
      <c r="AA3460" s="1108"/>
      <c r="AB3460" s="1412"/>
    </row>
    <row r="3461">
      <c r="AA3461" s="1108"/>
      <c r="AB3461" s="1412"/>
    </row>
    <row r="3462">
      <c r="AA3462" s="1108"/>
      <c r="AB3462" s="1412"/>
    </row>
    <row r="3463">
      <c r="AA3463" s="1108"/>
      <c r="AB3463" s="1412"/>
    </row>
    <row r="3464">
      <c r="AA3464" s="1108"/>
      <c r="AB3464" s="1412"/>
    </row>
    <row r="3465">
      <c r="AA3465" s="1108"/>
      <c r="AB3465" s="1412"/>
    </row>
    <row r="3466">
      <c r="AA3466" s="1108"/>
      <c r="AB3466" s="1412"/>
    </row>
    <row r="3467">
      <c r="AA3467" s="1108"/>
      <c r="AB3467" s="1412"/>
    </row>
    <row r="3468">
      <c r="AA3468" s="1108"/>
      <c r="AB3468" s="1412"/>
    </row>
    <row r="3469">
      <c r="AA3469" s="1108"/>
      <c r="AB3469" s="1412"/>
    </row>
    <row r="3470">
      <c r="AA3470" s="1108"/>
      <c r="AB3470" s="1412"/>
    </row>
    <row r="3471">
      <c r="AA3471" s="1108"/>
      <c r="AB3471" s="1412"/>
    </row>
    <row r="3472">
      <c r="AA3472" s="1108"/>
      <c r="AB3472" s="1412"/>
    </row>
    <row r="3473">
      <c r="AA3473" s="1108"/>
      <c r="AB3473" s="1412"/>
    </row>
    <row r="3474">
      <c r="AA3474" s="1108"/>
      <c r="AB3474" s="1412"/>
    </row>
    <row r="3475">
      <c r="AA3475" s="1108"/>
      <c r="AB3475" s="1412"/>
    </row>
    <row r="3476">
      <c r="AA3476" s="1108"/>
      <c r="AB3476" s="1412"/>
    </row>
    <row r="3477">
      <c r="AA3477" s="1108"/>
      <c r="AB3477" s="1412"/>
    </row>
    <row r="3478">
      <c r="AA3478" s="1108"/>
      <c r="AB3478" s="1412"/>
    </row>
    <row r="3479">
      <c r="AA3479" s="1108"/>
      <c r="AB3479" s="1412"/>
    </row>
    <row r="3480">
      <c r="AA3480" s="1108"/>
      <c r="AB3480" s="1412"/>
    </row>
    <row r="3481">
      <c r="AA3481" s="1108"/>
      <c r="AB3481" s="1412"/>
    </row>
    <row r="3482">
      <c r="AA3482" s="1108"/>
      <c r="AB3482" s="1412"/>
    </row>
    <row r="3483">
      <c r="AA3483" s="1108"/>
      <c r="AB3483" s="1412"/>
    </row>
    <row r="3484">
      <c r="AA3484" s="1108"/>
      <c r="AB3484" s="1412"/>
    </row>
    <row r="3485">
      <c r="AA3485" s="1108"/>
      <c r="AB3485" s="1412"/>
    </row>
    <row r="3486">
      <c r="AA3486" s="1108"/>
      <c r="AB3486" s="1412"/>
    </row>
    <row r="3487">
      <c r="AA3487" s="1108"/>
      <c r="AB3487" s="1412"/>
    </row>
    <row r="3488">
      <c r="AA3488" s="1108"/>
      <c r="AB3488" s="1412"/>
    </row>
    <row r="3489">
      <c r="AA3489" s="1108"/>
      <c r="AB3489" s="1412"/>
    </row>
    <row r="3490">
      <c r="AA3490" s="1108"/>
      <c r="AB3490" s="1412"/>
    </row>
    <row r="3491">
      <c r="AA3491" s="1108"/>
      <c r="AB3491" s="1412"/>
    </row>
    <row r="3492">
      <c r="AA3492" s="1108"/>
      <c r="AB3492" s="1412"/>
    </row>
    <row r="3493">
      <c r="AA3493" s="1108"/>
      <c r="AB3493" s="1412"/>
    </row>
    <row r="3494">
      <c r="AA3494" s="1108"/>
      <c r="AB3494" s="1412"/>
    </row>
    <row r="3495">
      <c r="AA3495" s="1108"/>
      <c r="AB3495" s="1412"/>
    </row>
    <row r="3496">
      <c r="AA3496" s="1108"/>
      <c r="AB3496" s="1412"/>
    </row>
    <row r="3497">
      <c r="AA3497" s="1108"/>
      <c r="AB3497" s="1412"/>
    </row>
    <row r="3498">
      <c r="AA3498" s="1108"/>
      <c r="AB3498" s="1412"/>
    </row>
    <row r="3499">
      <c r="AA3499" s="1108"/>
      <c r="AB3499" s="1412"/>
    </row>
    <row r="3500">
      <c r="AA3500" s="1108"/>
      <c r="AB3500" s="1412"/>
    </row>
    <row r="3501">
      <c r="AA3501" s="1108"/>
      <c r="AB3501" s="1412"/>
    </row>
    <row r="3502">
      <c r="AA3502" s="1108"/>
      <c r="AB3502" s="1412"/>
    </row>
    <row r="3503">
      <c r="AA3503" s="1108"/>
      <c r="AB3503" s="1412"/>
    </row>
    <row r="3504">
      <c r="AA3504" s="1108"/>
      <c r="AB3504" s="1412"/>
    </row>
    <row r="3505">
      <c r="AA3505" s="1108"/>
      <c r="AB3505" s="1412"/>
    </row>
    <row r="3506">
      <c r="AA3506" s="1108"/>
      <c r="AB3506" s="1412"/>
    </row>
    <row r="3507">
      <c r="AA3507" s="1108"/>
      <c r="AB3507" s="1412"/>
    </row>
    <row r="3508">
      <c r="AA3508" s="1108"/>
      <c r="AB3508" s="1412"/>
    </row>
    <row r="3509">
      <c r="AA3509" s="1108"/>
      <c r="AB3509" s="1412"/>
    </row>
    <row r="3510">
      <c r="AA3510" s="1108"/>
      <c r="AB3510" s="1412"/>
    </row>
    <row r="3511">
      <c r="AA3511" s="1108"/>
      <c r="AB3511" s="1412"/>
    </row>
    <row r="3512">
      <c r="AA3512" s="1108"/>
      <c r="AB3512" s="1412"/>
    </row>
    <row r="3513">
      <c r="AA3513" s="1108"/>
      <c r="AB3513" s="1412"/>
    </row>
    <row r="3514">
      <c r="AA3514" s="1108"/>
      <c r="AB3514" s="1412"/>
    </row>
    <row r="3515">
      <c r="AA3515" s="1108"/>
      <c r="AB3515" s="1412"/>
    </row>
    <row r="3516">
      <c r="AA3516" s="1108"/>
      <c r="AB3516" s="1412"/>
    </row>
    <row r="3517">
      <c r="AA3517" s="1108"/>
      <c r="AB3517" s="1412"/>
    </row>
    <row r="3518">
      <c r="AA3518" s="1108"/>
      <c r="AB3518" s="1412"/>
    </row>
    <row r="3519">
      <c r="AA3519" s="1108"/>
      <c r="AB3519" s="1412"/>
    </row>
    <row r="3520">
      <c r="AA3520" s="1108"/>
      <c r="AB3520" s="1412"/>
    </row>
    <row r="3521">
      <c r="AA3521" s="1108"/>
      <c r="AB3521" s="1412"/>
    </row>
    <row r="3522">
      <c r="AA3522" s="1108"/>
      <c r="AB3522" s="1412"/>
    </row>
    <row r="3523">
      <c r="AA3523" s="1108"/>
      <c r="AB3523" s="1412"/>
    </row>
    <row r="3524">
      <c r="AA3524" s="1108"/>
      <c r="AB3524" s="1412"/>
    </row>
    <row r="3525">
      <c r="AA3525" s="1108"/>
      <c r="AB3525" s="1412"/>
    </row>
    <row r="3526">
      <c r="AA3526" s="1108"/>
      <c r="AB3526" s="1412"/>
    </row>
    <row r="3527">
      <c r="AA3527" s="1108"/>
      <c r="AB3527" s="1412"/>
    </row>
    <row r="3528">
      <c r="AA3528" s="1108"/>
      <c r="AB3528" s="1412"/>
    </row>
    <row r="3529">
      <c r="AA3529" s="1108"/>
      <c r="AB3529" s="1412"/>
    </row>
    <row r="3530">
      <c r="AA3530" s="1108"/>
      <c r="AB3530" s="1412"/>
    </row>
    <row r="3531">
      <c r="AA3531" s="1108"/>
      <c r="AB3531" s="1412"/>
    </row>
    <row r="3532">
      <c r="AA3532" s="1108"/>
      <c r="AB3532" s="1412"/>
    </row>
    <row r="3533">
      <c r="AA3533" s="1108"/>
      <c r="AB3533" s="1412"/>
    </row>
    <row r="3534">
      <c r="AA3534" s="1108"/>
      <c r="AB3534" s="1412"/>
    </row>
    <row r="3535">
      <c r="AA3535" s="1108"/>
      <c r="AB3535" s="1412"/>
    </row>
    <row r="3536">
      <c r="AA3536" s="1108"/>
      <c r="AB3536" s="1412"/>
    </row>
    <row r="3537">
      <c r="AA3537" s="1108"/>
      <c r="AB3537" s="1412"/>
    </row>
    <row r="3538">
      <c r="AA3538" s="1108"/>
      <c r="AB3538" s="1412"/>
    </row>
    <row r="3539">
      <c r="AA3539" s="1108"/>
      <c r="AB3539" s="1412"/>
    </row>
    <row r="3540">
      <c r="AA3540" s="1108"/>
      <c r="AB3540" s="1412"/>
    </row>
    <row r="3541">
      <c r="AA3541" s="1108"/>
      <c r="AB3541" s="1412"/>
    </row>
    <row r="3542">
      <c r="AA3542" s="1108"/>
      <c r="AB3542" s="1412"/>
    </row>
    <row r="3543">
      <c r="AA3543" s="1108"/>
      <c r="AB3543" s="1412"/>
    </row>
    <row r="3544">
      <c r="AA3544" s="1108"/>
      <c r="AB3544" s="1412"/>
    </row>
    <row r="3545">
      <c r="AA3545" s="1108"/>
      <c r="AB3545" s="1412"/>
    </row>
    <row r="3546">
      <c r="AA3546" s="1108"/>
      <c r="AB3546" s="1412"/>
    </row>
    <row r="3547">
      <c r="AA3547" s="1108"/>
      <c r="AB3547" s="1412"/>
    </row>
    <row r="3548">
      <c r="AA3548" s="1108"/>
      <c r="AB3548" s="1412"/>
    </row>
    <row r="3549">
      <c r="AA3549" s="1108"/>
      <c r="AB3549" s="1412"/>
    </row>
    <row r="3550">
      <c r="AA3550" s="1108"/>
      <c r="AB3550" s="1412"/>
    </row>
    <row r="3551">
      <c r="AA3551" s="1108"/>
      <c r="AB3551" s="1412"/>
    </row>
    <row r="3552">
      <c r="AA3552" s="1108"/>
      <c r="AB3552" s="1412"/>
    </row>
    <row r="3553">
      <c r="AA3553" s="1108"/>
      <c r="AB3553" s="1412"/>
    </row>
    <row r="3554">
      <c r="AA3554" s="1108"/>
      <c r="AB3554" s="1412"/>
    </row>
    <row r="3555">
      <c r="AA3555" s="1108"/>
      <c r="AB3555" s="1412"/>
    </row>
    <row r="3556">
      <c r="AA3556" s="1108"/>
      <c r="AB3556" s="1412"/>
    </row>
    <row r="3557">
      <c r="AA3557" s="1108"/>
      <c r="AB3557" s="1412"/>
    </row>
    <row r="3558">
      <c r="AA3558" s="1108"/>
      <c r="AB3558" s="1412"/>
    </row>
    <row r="3559">
      <c r="AA3559" s="1108"/>
      <c r="AB3559" s="1412"/>
    </row>
    <row r="3560">
      <c r="AA3560" s="1108"/>
      <c r="AB3560" s="1412"/>
    </row>
    <row r="3561">
      <c r="AA3561" s="1108"/>
      <c r="AB3561" s="1412"/>
    </row>
    <row r="3562">
      <c r="AA3562" s="1108"/>
      <c r="AB3562" s="1412"/>
    </row>
    <row r="3563">
      <c r="AA3563" s="1108"/>
      <c r="AB3563" s="1412"/>
    </row>
    <row r="3564">
      <c r="AA3564" s="1108"/>
      <c r="AB3564" s="1412"/>
    </row>
    <row r="3565">
      <c r="AA3565" s="1108"/>
      <c r="AB3565" s="1412"/>
    </row>
    <row r="3566">
      <c r="AA3566" s="1108"/>
      <c r="AB3566" s="1412"/>
    </row>
    <row r="3567">
      <c r="AA3567" s="1108"/>
      <c r="AB3567" s="1412"/>
    </row>
    <row r="3568">
      <c r="AA3568" s="1108"/>
      <c r="AB3568" s="1412"/>
    </row>
    <row r="3569">
      <c r="AA3569" s="1108"/>
      <c r="AB3569" s="1412"/>
    </row>
    <row r="3570">
      <c r="AA3570" s="1108"/>
      <c r="AB3570" s="1412"/>
    </row>
    <row r="3571">
      <c r="AA3571" s="1108"/>
      <c r="AB3571" s="1412"/>
    </row>
    <row r="3572">
      <c r="AA3572" s="1108"/>
      <c r="AB3572" s="1412"/>
    </row>
    <row r="3573">
      <c r="AA3573" s="1108"/>
      <c r="AB3573" s="1412"/>
    </row>
    <row r="3574">
      <c r="AA3574" s="1108"/>
      <c r="AB3574" s="1412"/>
    </row>
    <row r="3575">
      <c r="AA3575" s="1108"/>
      <c r="AB3575" s="1412"/>
    </row>
    <row r="3576">
      <c r="AA3576" s="1108"/>
      <c r="AB3576" s="1412"/>
    </row>
    <row r="3577">
      <c r="AA3577" s="1108"/>
      <c r="AB3577" s="1412"/>
    </row>
    <row r="3578">
      <c r="AA3578" s="1108"/>
      <c r="AB3578" s="1412"/>
    </row>
    <row r="3579">
      <c r="AA3579" s="1108"/>
      <c r="AB3579" s="1412"/>
    </row>
    <row r="3580">
      <c r="AA3580" s="1108"/>
      <c r="AB3580" s="1412"/>
    </row>
    <row r="3581">
      <c r="AA3581" s="1108"/>
      <c r="AB3581" s="1412"/>
    </row>
    <row r="3582">
      <c r="AA3582" s="1108"/>
      <c r="AB3582" s="1412"/>
    </row>
    <row r="3583">
      <c r="AA3583" s="1108"/>
      <c r="AB3583" s="1412"/>
    </row>
    <row r="3584">
      <c r="AA3584" s="1108"/>
      <c r="AB3584" s="1412"/>
    </row>
    <row r="3585">
      <c r="AA3585" s="1108"/>
      <c r="AB3585" s="1412"/>
    </row>
    <row r="3586">
      <c r="AA3586" s="1108"/>
      <c r="AB3586" s="1412"/>
    </row>
    <row r="3587">
      <c r="AA3587" s="1108"/>
      <c r="AB3587" s="1412"/>
    </row>
    <row r="3588">
      <c r="AA3588" s="1108"/>
      <c r="AB3588" s="1412"/>
    </row>
    <row r="3589">
      <c r="AA3589" s="1108"/>
      <c r="AB3589" s="1412"/>
    </row>
    <row r="3590">
      <c r="AA3590" s="1108"/>
      <c r="AB3590" s="1412"/>
    </row>
    <row r="3591">
      <c r="AA3591" s="1108"/>
      <c r="AB3591" s="1412"/>
    </row>
    <row r="3592">
      <c r="AA3592" s="1108"/>
      <c r="AB3592" s="1412"/>
    </row>
    <row r="3593">
      <c r="AA3593" s="1108"/>
      <c r="AB3593" s="1412"/>
    </row>
    <row r="3594">
      <c r="AA3594" s="1108"/>
      <c r="AB3594" s="1412"/>
    </row>
    <row r="3595">
      <c r="AA3595" s="1108"/>
      <c r="AB3595" s="1412"/>
    </row>
    <row r="3596">
      <c r="AA3596" s="1108"/>
      <c r="AB3596" s="1412"/>
    </row>
    <row r="3597">
      <c r="AA3597" s="1108"/>
      <c r="AB3597" s="1412"/>
    </row>
    <row r="3598">
      <c r="AA3598" s="1108"/>
      <c r="AB3598" s="1412"/>
    </row>
    <row r="3599">
      <c r="AA3599" s="1108"/>
      <c r="AB3599" s="1412"/>
    </row>
    <row r="3600">
      <c r="AA3600" s="1108"/>
      <c r="AB3600" s="1412"/>
    </row>
    <row r="3601">
      <c r="AA3601" s="1108"/>
      <c r="AB3601" s="1412"/>
    </row>
    <row r="3602">
      <c r="AA3602" s="1108"/>
      <c r="AB3602" s="1412"/>
    </row>
    <row r="3603">
      <c r="AA3603" s="1108"/>
      <c r="AB3603" s="1412"/>
    </row>
    <row r="3604">
      <c r="AA3604" s="1108"/>
      <c r="AB3604" s="1412"/>
    </row>
    <row r="3605">
      <c r="AA3605" s="1108"/>
      <c r="AB3605" s="1412"/>
    </row>
    <row r="3606">
      <c r="AA3606" s="1108"/>
      <c r="AB3606" s="1412"/>
    </row>
    <row r="3607">
      <c r="AA3607" s="1108"/>
      <c r="AB3607" s="1412"/>
    </row>
    <row r="3608">
      <c r="AA3608" s="1108"/>
      <c r="AB3608" s="1412"/>
    </row>
    <row r="3609">
      <c r="AA3609" s="1108"/>
      <c r="AB3609" s="1412"/>
    </row>
    <row r="3610">
      <c r="AA3610" s="1108"/>
      <c r="AB3610" s="1412"/>
    </row>
    <row r="3611">
      <c r="AA3611" s="1108"/>
      <c r="AB3611" s="1412"/>
    </row>
    <row r="3612">
      <c r="AA3612" s="1108"/>
      <c r="AB3612" s="1412"/>
    </row>
    <row r="3613">
      <c r="AA3613" s="1108"/>
      <c r="AB3613" s="1412"/>
    </row>
    <row r="3614">
      <c r="AA3614" s="1108"/>
      <c r="AB3614" s="1412"/>
    </row>
    <row r="3615">
      <c r="AA3615" s="1108"/>
      <c r="AB3615" s="1412"/>
    </row>
    <row r="3616">
      <c r="AA3616" s="1108"/>
      <c r="AB3616" s="1412"/>
    </row>
    <row r="3617">
      <c r="AA3617" s="1108"/>
      <c r="AB3617" s="1412"/>
    </row>
    <row r="3618">
      <c r="AA3618" s="1108"/>
      <c r="AB3618" s="1412"/>
    </row>
    <row r="3619">
      <c r="AA3619" s="1108"/>
      <c r="AB3619" s="1412"/>
    </row>
    <row r="3620">
      <c r="AA3620" s="1108"/>
      <c r="AB3620" s="1412"/>
    </row>
    <row r="3621">
      <c r="AA3621" s="1108"/>
      <c r="AB3621" s="1412"/>
    </row>
    <row r="3622">
      <c r="AA3622" s="1108"/>
      <c r="AB3622" s="1412"/>
    </row>
    <row r="3623">
      <c r="AA3623" s="1108"/>
      <c r="AB3623" s="1412"/>
    </row>
    <row r="3624">
      <c r="AA3624" s="1108"/>
      <c r="AB3624" s="1412"/>
    </row>
    <row r="3625">
      <c r="AA3625" s="1108"/>
      <c r="AB3625" s="1412"/>
    </row>
    <row r="3626">
      <c r="AA3626" s="1108"/>
      <c r="AB3626" s="1412"/>
    </row>
    <row r="3627">
      <c r="AA3627" s="1108"/>
      <c r="AB3627" s="1412"/>
    </row>
    <row r="3628">
      <c r="AA3628" s="1108"/>
      <c r="AB3628" s="1412"/>
    </row>
    <row r="3629">
      <c r="AA3629" s="1108"/>
      <c r="AB3629" s="1412"/>
    </row>
    <row r="3630">
      <c r="AA3630" s="1108"/>
      <c r="AB3630" s="1412"/>
    </row>
    <row r="3631">
      <c r="AA3631" s="1108"/>
      <c r="AB3631" s="1412"/>
    </row>
    <row r="3632">
      <c r="AA3632" s="1108"/>
      <c r="AB3632" s="1412"/>
    </row>
    <row r="3633">
      <c r="AA3633" s="1108"/>
      <c r="AB3633" s="1412"/>
    </row>
    <row r="3634">
      <c r="AA3634" s="1108"/>
      <c r="AB3634" s="1412"/>
    </row>
    <row r="3635">
      <c r="AA3635" s="1108"/>
      <c r="AB3635" s="1412"/>
    </row>
    <row r="3636">
      <c r="AA3636" s="1108"/>
      <c r="AB3636" s="1412"/>
    </row>
    <row r="3637">
      <c r="AA3637" s="1108"/>
      <c r="AB3637" s="1412"/>
    </row>
    <row r="3638">
      <c r="AA3638" s="1108"/>
      <c r="AB3638" s="1412"/>
    </row>
    <row r="3639">
      <c r="AA3639" s="1108"/>
      <c r="AB3639" s="1412"/>
    </row>
    <row r="3640">
      <c r="AA3640" s="1108"/>
      <c r="AB3640" s="1412"/>
    </row>
    <row r="3641">
      <c r="AA3641" s="1108"/>
      <c r="AB3641" s="1412"/>
    </row>
    <row r="3642">
      <c r="AA3642" s="1108"/>
      <c r="AB3642" s="1412"/>
    </row>
    <row r="3643">
      <c r="AA3643" s="1108"/>
      <c r="AB3643" s="1412"/>
    </row>
    <row r="3644">
      <c r="AA3644" s="1108"/>
      <c r="AB3644" s="1412"/>
    </row>
    <row r="3645">
      <c r="AA3645" s="1108"/>
      <c r="AB3645" s="1412"/>
    </row>
    <row r="3646">
      <c r="AA3646" s="1108"/>
      <c r="AB3646" s="1412"/>
    </row>
    <row r="3647">
      <c r="AA3647" s="1108"/>
      <c r="AB3647" s="1412"/>
    </row>
    <row r="3648">
      <c r="AA3648" s="1108"/>
      <c r="AB3648" s="1412"/>
    </row>
    <row r="3649">
      <c r="AA3649" s="1108"/>
      <c r="AB3649" s="1412"/>
    </row>
    <row r="3650">
      <c r="AA3650" s="1108"/>
      <c r="AB3650" s="1412"/>
    </row>
    <row r="3651">
      <c r="AA3651" s="1108"/>
      <c r="AB3651" s="1412"/>
    </row>
    <row r="3652">
      <c r="AA3652" s="1108"/>
      <c r="AB3652" s="1412"/>
    </row>
    <row r="3653">
      <c r="AA3653" s="1108"/>
      <c r="AB3653" s="1412"/>
    </row>
    <row r="3654">
      <c r="AA3654" s="1108"/>
      <c r="AB3654" s="1412"/>
    </row>
    <row r="3655">
      <c r="AA3655" s="1108"/>
      <c r="AB3655" s="1412"/>
    </row>
    <row r="3656">
      <c r="AA3656" s="1108"/>
      <c r="AB3656" s="1412"/>
    </row>
    <row r="3657">
      <c r="AA3657" s="1108"/>
      <c r="AB3657" s="1412"/>
    </row>
    <row r="3658">
      <c r="AA3658" s="1108"/>
      <c r="AB3658" s="1412"/>
    </row>
    <row r="3659">
      <c r="AA3659" s="1108"/>
      <c r="AB3659" s="1412"/>
    </row>
    <row r="3660">
      <c r="AA3660" s="1108"/>
      <c r="AB3660" s="1412"/>
    </row>
    <row r="3661">
      <c r="AA3661" s="1108"/>
      <c r="AB3661" s="1412"/>
    </row>
    <row r="3662">
      <c r="AA3662" s="1108"/>
      <c r="AB3662" s="1412"/>
    </row>
    <row r="3663">
      <c r="AA3663" s="1108"/>
      <c r="AB3663" s="1412"/>
    </row>
    <row r="3664">
      <c r="AA3664" s="1108"/>
      <c r="AB3664" s="1412"/>
    </row>
    <row r="3665">
      <c r="AA3665" s="1108"/>
      <c r="AB3665" s="1412"/>
    </row>
    <row r="3666">
      <c r="AA3666" s="1108"/>
      <c r="AB3666" s="1412"/>
    </row>
    <row r="3667">
      <c r="AA3667" s="1108"/>
      <c r="AB3667" s="1412"/>
    </row>
    <row r="3668">
      <c r="AA3668" s="1108"/>
      <c r="AB3668" s="1412"/>
    </row>
    <row r="3669">
      <c r="AA3669" s="1108"/>
      <c r="AB3669" s="1412"/>
    </row>
    <row r="3670">
      <c r="AA3670" s="1108"/>
      <c r="AB3670" s="1412"/>
    </row>
    <row r="3671">
      <c r="AA3671" s="1108"/>
      <c r="AB3671" s="1412"/>
    </row>
    <row r="3672">
      <c r="AA3672" s="1108"/>
      <c r="AB3672" s="1412"/>
    </row>
    <row r="3673">
      <c r="AA3673" s="1108"/>
      <c r="AB3673" s="1412"/>
    </row>
    <row r="3674">
      <c r="AA3674" s="1108"/>
      <c r="AB3674" s="1412"/>
    </row>
    <row r="3675">
      <c r="AA3675" s="1108"/>
      <c r="AB3675" s="1412"/>
    </row>
    <row r="3676">
      <c r="AA3676" s="1108"/>
      <c r="AB3676" s="1412"/>
    </row>
    <row r="3677">
      <c r="AA3677" s="1108"/>
      <c r="AB3677" s="1412"/>
    </row>
    <row r="3678">
      <c r="AA3678" s="1108"/>
      <c r="AB3678" s="1412"/>
    </row>
    <row r="3679">
      <c r="AA3679" s="1108"/>
      <c r="AB3679" s="1412"/>
    </row>
    <row r="3680">
      <c r="AA3680" s="1108"/>
      <c r="AB3680" s="1412"/>
    </row>
    <row r="3681">
      <c r="AA3681" s="1108"/>
      <c r="AB3681" s="1412"/>
    </row>
    <row r="3682">
      <c r="AA3682" s="1108"/>
      <c r="AB3682" s="1412"/>
    </row>
    <row r="3683">
      <c r="AA3683" s="1108"/>
      <c r="AB3683" s="1412"/>
    </row>
    <row r="3684">
      <c r="AA3684" s="1108"/>
      <c r="AB3684" s="1412"/>
    </row>
    <row r="3685">
      <c r="AA3685" s="1108"/>
      <c r="AB3685" s="1412"/>
    </row>
    <row r="3686">
      <c r="AA3686" s="1108"/>
      <c r="AB3686" s="1412"/>
    </row>
    <row r="3687">
      <c r="AA3687" s="1108"/>
      <c r="AB3687" s="1412"/>
    </row>
    <row r="3688">
      <c r="AA3688" s="1108"/>
      <c r="AB3688" s="1412"/>
    </row>
    <row r="3689">
      <c r="AA3689" s="1108"/>
      <c r="AB3689" s="1412"/>
    </row>
    <row r="3690">
      <c r="AA3690" s="1108"/>
      <c r="AB3690" s="1412"/>
    </row>
    <row r="3691">
      <c r="AA3691" s="1108"/>
      <c r="AB3691" s="1412"/>
    </row>
    <row r="3692">
      <c r="AA3692" s="1108"/>
      <c r="AB3692" s="1412"/>
    </row>
    <row r="3693">
      <c r="AA3693" s="1108"/>
      <c r="AB3693" s="1412"/>
    </row>
    <row r="3694">
      <c r="AA3694" s="1108"/>
      <c r="AB3694" s="1412"/>
    </row>
    <row r="3695">
      <c r="AA3695" s="1108"/>
      <c r="AB3695" s="1412"/>
    </row>
    <row r="3696">
      <c r="AA3696" s="1108"/>
      <c r="AB3696" s="1412"/>
    </row>
    <row r="3697">
      <c r="AA3697" s="1108"/>
      <c r="AB3697" s="1412"/>
    </row>
    <row r="3698">
      <c r="AA3698" s="1108"/>
      <c r="AB3698" s="1412"/>
    </row>
    <row r="3699">
      <c r="AA3699" s="1108"/>
      <c r="AB3699" s="1412"/>
    </row>
    <row r="3700">
      <c r="AA3700" s="1108"/>
      <c r="AB3700" s="1412"/>
    </row>
    <row r="3701">
      <c r="AA3701" s="1108"/>
      <c r="AB3701" s="1412"/>
    </row>
    <row r="3702">
      <c r="AA3702" s="1108"/>
      <c r="AB3702" s="1412"/>
    </row>
    <row r="3703">
      <c r="AA3703" s="1108"/>
      <c r="AB3703" s="1412"/>
    </row>
    <row r="3704">
      <c r="AA3704" s="1108"/>
      <c r="AB3704" s="1412"/>
    </row>
    <row r="3705">
      <c r="AA3705" s="1108"/>
      <c r="AB3705" s="1412"/>
    </row>
    <row r="3706">
      <c r="AA3706" s="1108"/>
      <c r="AB3706" s="1412"/>
    </row>
    <row r="3707">
      <c r="AA3707" s="1108"/>
      <c r="AB3707" s="1412"/>
    </row>
    <row r="3708">
      <c r="AA3708" s="1108"/>
      <c r="AB3708" s="1412"/>
    </row>
    <row r="3709">
      <c r="AA3709" s="1108"/>
      <c r="AB3709" s="1412"/>
    </row>
    <row r="3710">
      <c r="AA3710" s="1108"/>
      <c r="AB3710" s="1412"/>
    </row>
    <row r="3711">
      <c r="AA3711" s="1108"/>
      <c r="AB3711" s="1412"/>
    </row>
    <row r="3712">
      <c r="AA3712" s="1108"/>
      <c r="AB3712" s="1412"/>
    </row>
    <row r="3713">
      <c r="AA3713" s="1108"/>
      <c r="AB3713" s="1412"/>
    </row>
    <row r="3714">
      <c r="AA3714" s="1108"/>
      <c r="AB3714" s="1412"/>
    </row>
    <row r="3715">
      <c r="AA3715" s="1108"/>
      <c r="AB3715" s="1412"/>
    </row>
    <row r="3716">
      <c r="AA3716" s="1108"/>
      <c r="AB3716" s="1412"/>
    </row>
    <row r="3717">
      <c r="AA3717" s="1108"/>
      <c r="AB3717" s="1412"/>
    </row>
    <row r="3718">
      <c r="AA3718" s="1108"/>
      <c r="AB3718" s="1412"/>
    </row>
    <row r="3719">
      <c r="AA3719" s="1108"/>
      <c r="AB3719" s="1412"/>
    </row>
    <row r="3720">
      <c r="AA3720" s="1108"/>
      <c r="AB3720" s="1412"/>
    </row>
    <row r="3721">
      <c r="AA3721" s="1108"/>
      <c r="AB3721" s="1412"/>
    </row>
    <row r="3722">
      <c r="AA3722" s="1108"/>
      <c r="AB3722" s="1412"/>
    </row>
    <row r="3723">
      <c r="AA3723" s="1108"/>
      <c r="AB3723" s="1412"/>
    </row>
    <row r="3724">
      <c r="AA3724" s="1108"/>
      <c r="AB3724" s="1412"/>
    </row>
    <row r="3725">
      <c r="AA3725" s="1108"/>
      <c r="AB3725" s="1412"/>
    </row>
    <row r="3726">
      <c r="AA3726" s="1108"/>
      <c r="AB3726" s="1412"/>
    </row>
    <row r="3727">
      <c r="AA3727" s="1108"/>
      <c r="AB3727" s="1412"/>
    </row>
    <row r="3728">
      <c r="AA3728" s="1108"/>
      <c r="AB3728" s="1412"/>
    </row>
    <row r="3729">
      <c r="AA3729" s="1108"/>
      <c r="AB3729" s="1412"/>
    </row>
    <row r="3730">
      <c r="AA3730" s="1108"/>
      <c r="AB3730" s="1412"/>
    </row>
    <row r="3731">
      <c r="AA3731" s="1108"/>
      <c r="AB3731" s="1412"/>
    </row>
    <row r="3732">
      <c r="AA3732" s="1108"/>
      <c r="AB3732" s="1412"/>
    </row>
    <row r="3733">
      <c r="AA3733" s="1108"/>
      <c r="AB3733" s="1412"/>
    </row>
    <row r="3734">
      <c r="AA3734" s="1108"/>
      <c r="AB3734" s="1412"/>
    </row>
    <row r="3735">
      <c r="AA3735" s="1108"/>
      <c r="AB3735" s="1412"/>
    </row>
    <row r="3736">
      <c r="AA3736" s="1108"/>
      <c r="AB3736" s="1412"/>
    </row>
    <row r="3737">
      <c r="AA3737" s="1108"/>
      <c r="AB3737" s="1412"/>
    </row>
    <row r="3738">
      <c r="AA3738" s="1108"/>
      <c r="AB3738" s="1412"/>
    </row>
    <row r="3739">
      <c r="AA3739" s="1108"/>
      <c r="AB3739" s="1412"/>
    </row>
    <row r="3740">
      <c r="AA3740" s="1108"/>
      <c r="AB3740" s="1412"/>
    </row>
    <row r="3741">
      <c r="AA3741" s="1108"/>
      <c r="AB3741" s="1412"/>
    </row>
    <row r="3742">
      <c r="AA3742" s="1108"/>
      <c r="AB3742" s="1412"/>
    </row>
    <row r="3743">
      <c r="AA3743" s="1108"/>
      <c r="AB3743" s="1412"/>
    </row>
    <row r="3744">
      <c r="AA3744" s="1108"/>
      <c r="AB3744" s="1412"/>
    </row>
    <row r="3745">
      <c r="AA3745" s="1108"/>
      <c r="AB3745" s="1412"/>
    </row>
    <row r="3746">
      <c r="AA3746" s="1108"/>
      <c r="AB3746" s="1412"/>
    </row>
    <row r="3747">
      <c r="AA3747" s="1108"/>
      <c r="AB3747" s="1412"/>
    </row>
    <row r="3748">
      <c r="AA3748" s="1108"/>
      <c r="AB3748" s="1412"/>
    </row>
    <row r="3749">
      <c r="AA3749" s="1108"/>
      <c r="AB3749" s="1412"/>
    </row>
    <row r="3750">
      <c r="AA3750" s="1108"/>
      <c r="AB3750" s="1412"/>
    </row>
    <row r="3751">
      <c r="AA3751" s="1108"/>
      <c r="AB3751" s="1412"/>
    </row>
    <row r="3752">
      <c r="AA3752" s="1108"/>
      <c r="AB3752" s="1412"/>
    </row>
    <row r="3753">
      <c r="AA3753" s="1108"/>
      <c r="AB3753" s="1412"/>
    </row>
    <row r="3754">
      <c r="AA3754" s="1108"/>
      <c r="AB3754" s="1412"/>
    </row>
    <row r="3755">
      <c r="AA3755" s="1108"/>
      <c r="AB3755" s="1412"/>
    </row>
    <row r="3756">
      <c r="AA3756" s="1108"/>
      <c r="AB3756" s="1412"/>
    </row>
    <row r="3757">
      <c r="AA3757" s="1108"/>
      <c r="AB3757" s="1412"/>
    </row>
    <row r="3758">
      <c r="AA3758" s="1108"/>
      <c r="AB3758" s="1412"/>
    </row>
    <row r="3759">
      <c r="AA3759" s="1108"/>
      <c r="AB3759" s="1412"/>
    </row>
    <row r="3760">
      <c r="AA3760" s="1108"/>
      <c r="AB3760" s="1412"/>
    </row>
    <row r="3761">
      <c r="AA3761" s="1108"/>
      <c r="AB3761" s="1412"/>
    </row>
    <row r="3762">
      <c r="AA3762" s="1108"/>
      <c r="AB3762" s="1412"/>
    </row>
    <row r="3763">
      <c r="AA3763" s="1108"/>
      <c r="AB3763" s="1412"/>
    </row>
    <row r="3764">
      <c r="AA3764" s="1108"/>
      <c r="AB3764" s="1412"/>
    </row>
    <row r="3765">
      <c r="AA3765" s="1108"/>
      <c r="AB3765" s="1412"/>
    </row>
    <row r="3766">
      <c r="AA3766" s="1108"/>
      <c r="AB3766" s="1412"/>
    </row>
    <row r="3767">
      <c r="AA3767" s="1108"/>
      <c r="AB3767" s="1412"/>
    </row>
    <row r="3768">
      <c r="AA3768" s="1108"/>
      <c r="AB3768" s="1412"/>
    </row>
    <row r="3769">
      <c r="AA3769" s="1108"/>
      <c r="AB3769" s="1412"/>
    </row>
    <row r="3770">
      <c r="AA3770" s="1108"/>
      <c r="AB3770" s="1412"/>
    </row>
    <row r="3771">
      <c r="AA3771" s="1108"/>
      <c r="AB3771" s="1412"/>
    </row>
    <row r="3772">
      <c r="AA3772" s="1108"/>
      <c r="AB3772" s="1412"/>
    </row>
    <row r="3773">
      <c r="AA3773" s="1108"/>
      <c r="AB3773" s="1412"/>
    </row>
    <row r="3774">
      <c r="AA3774" s="1108"/>
      <c r="AB3774" s="1412"/>
    </row>
    <row r="3775">
      <c r="AA3775" s="1108"/>
      <c r="AB3775" s="1412"/>
    </row>
    <row r="3776">
      <c r="AA3776" s="1108"/>
      <c r="AB3776" s="1412"/>
    </row>
    <row r="3777">
      <c r="AA3777" s="1108"/>
      <c r="AB3777" s="1412"/>
    </row>
    <row r="3778">
      <c r="AA3778" s="1108"/>
      <c r="AB3778" s="1412"/>
    </row>
    <row r="3779">
      <c r="AA3779" s="1108"/>
      <c r="AB3779" s="1412"/>
    </row>
    <row r="3780">
      <c r="AA3780" s="1108"/>
      <c r="AB3780" s="1412"/>
    </row>
    <row r="3781">
      <c r="AA3781" s="1108"/>
      <c r="AB3781" s="1412"/>
    </row>
    <row r="3782">
      <c r="AA3782" s="1108"/>
      <c r="AB3782" s="1412"/>
    </row>
    <row r="3783">
      <c r="AA3783" s="1108"/>
      <c r="AB3783" s="1412"/>
    </row>
    <row r="3784">
      <c r="AA3784" s="1108"/>
      <c r="AB3784" s="1412"/>
    </row>
    <row r="3785">
      <c r="AA3785" s="1108"/>
      <c r="AB3785" s="1412"/>
    </row>
    <row r="3786">
      <c r="AA3786" s="1108"/>
      <c r="AB3786" s="1412"/>
    </row>
    <row r="3787">
      <c r="AA3787" s="1108"/>
      <c r="AB3787" s="1412"/>
    </row>
    <row r="3788">
      <c r="AA3788" s="1108"/>
      <c r="AB3788" s="1412"/>
    </row>
    <row r="3789">
      <c r="AA3789" s="1108"/>
      <c r="AB3789" s="1412"/>
    </row>
    <row r="3790">
      <c r="AA3790" s="1108"/>
      <c r="AB3790" s="1412"/>
    </row>
    <row r="3791">
      <c r="AA3791" s="1108"/>
      <c r="AB3791" s="1412"/>
    </row>
    <row r="3792">
      <c r="AA3792" s="1108"/>
      <c r="AB3792" s="1412"/>
    </row>
    <row r="3793">
      <c r="AA3793" s="1108"/>
      <c r="AB3793" s="1412"/>
    </row>
    <row r="3794">
      <c r="AA3794" s="1108"/>
      <c r="AB3794" s="1412"/>
    </row>
    <row r="3795">
      <c r="AA3795" s="1108"/>
      <c r="AB3795" s="1412"/>
    </row>
    <row r="3796">
      <c r="AA3796" s="1108"/>
      <c r="AB3796" s="1412"/>
    </row>
    <row r="3797">
      <c r="AA3797" s="1108"/>
      <c r="AB3797" s="1412"/>
    </row>
    <row r="3798">
      <c r="AA3798" s="1108"/>
      <c r="AB3798" s="1412"/>
    </row>
    <row r="3799">
      <c r="AA3799" s="1108"/>
      <c r="AB3799" s="1412"/>
    </row>
    <row r="3800">
      <c r="AA3800" s="1108"/>
      <c r="AB3800" s="1412"/>
    </row>
    <row r="3801">
      <c r="AA3801" s="1108"/>
      <c r="AB3801" s="1412"/>
    </row>
    <row r="3802">
      <c r="AA3802" s="1108"/>
      <c r="AB3802" s="1412"/>
    </row>
    <row r="3803">
      <c r="AA3803" s="1108"/>
      <c r="AB3803" s="1412"/>
    </row>
    <row r="3804">
      <c r="AA3804" s="1108"/>
      <c r="AB3804" s="1412"/>
    </row>
    <row r="3805">
      <c r="AA3805" s="1108"/>
      <c r="AB3805" s="1412"/>
    </row>
    <row r="3806">
      <c r="AA3806" s="1108"/>
      <c r="AB3806" s="1412"/>
    </row>
    <row r="3807">
      <c r="AA3807" s="1108"/>
      <c r="AB3807" s="1412"/>
    </row>
    <row r="3808">
      <c r="AA3808" s="1108"/>
      <c r="AB3808" s="1412"/>
    </row>
    <row r="3809">
      <c r="AA3809" s="1108"/>
      <c r="AB3809" s="1412"/>
    </row>
    <row r="3810">
      <c r="AA3810" s="1108"/>
      <c r="AB3810" s="1412"/>
    </row>
    <row r="3811">
      <c r="AA3811" s="1108"/>
      <c r="AB3811" s="1412"/>
    </row>
    <row r="3812">
      <c r="AA3812" s="1108"/>
      <c r="AB3812" s="1412"/>
    </row>
    <row r="3813">
      <c r="AA3813" s="1108"/>
      <c r="AB3813" s="1412"/>
    </row>
    <row r="3814">
      <c r="AA3814" s="1108"/>
      <c r="AB3814" s="1412"/>
    </row>
    <row r="3815">
      <c r="AA3815" s="1108"/>
      <c r="AB3815" s="1412"/>
    </row>
    <row r="3816">
      <c r="AA3816" s="1108"/>
      <c r="AB3816" s="1412"/>
    </row>
    <row r="3817">
      <c r="AA3817" s="1108"/>
      <c r="AB3817" s="1412"/>
    </row>
    <row r="3818">
      <c r="AA3818" s="1108"/>
      <c r="AB3818" s="1412"/>
    </row>
    <row r="3819">
      <c r="AA3819" s="1108"/>
      <c r="AB3819" s="1412"/>
    </row>
    <row r="3820">
      <c r="AA3820" s="1108"/>
      <c r="AB3820" s="1412"/>
    </row>
    <row r="3821">
      <c r="AA3821" s="1108"/>
      <c r="AB3821" s="1412"/>
    </row>
    <row r="3822">
      <c r="AA3822" s="1108"/>
      <c r="AB3822" s="1412"/>
    </row>
    <row r="3823">
      <c r="AA3823" s="1108"/>
      <c r="AB3823" s="1412"/>
    </row>
    <row r="3824">
      <c r="AA3824" s="1108"/>
      <c r="AB3824" s="1412"/>
    </row>
    <row r="3825">
      <c r="AA3825" s="1108"/>
      <c r="AB3825" s="1412"/>
    </row>
    <row r="3826">
      <c r="AA3826" s="1108"/>
      <c r="AB3826" s="1412"/>
    </row>
    <row r="3827">
      <c r="AA3827" s="1108"/>
      <c r="AB3827" s="1412"/>
    </row>
    <row r="3828">
      <c r="AA3828" s="1108"/>
      <c r="AB3828" s="1412"/>
    </row>
    <row r="3829">
      <c r="AA3829" s="1108"/>
      <c r="AB3829" s="1412"/>
    </row>
    <row r="3830">
      <c r="AA3830" s="1108"/>
      <c r="AB3830" s="1412"/>
    </row>
    <row r="3831">
      <c r="AA3831" s="1108"/>
      <c r="AB3831" s="1412"/>
    </row>
    <row r="3832">
      <c r="AA3832" s="1108"/>
      <c r="AB3832" s="1412"/>
    </row>
    <row r="3833">
      <c r="AA3833" s="1108"/>
      <c r="AB3833" s="1412"/>
    </row>
    <row r="3834">
      <c r="AA3834" s="1108"/>
      <c r="AB3834" s="1412"/>
    </row>
    <row r="3835">
      <c r="AA3835" s="1108"/>
      <c r="AB3835" s="1412"/>
    </row>
    <row r="3836">
      <c r="AA3836" s="1108"/>
      <c r="AB3836" s="1412"/>
    </row>
    <row r="3837">
      <c r="AA3837" s="1108"/>
      <c r="AB3837" s="1412"/>
    </row>
    <row r="3838">
      <c r="AA3838" s="1108"/>
      <c r="AB3838" s="1412"/>
    </row>
    <row r="3839">
      <c r="AA3839" s="1108"/>
      <c r="AB3839" s="1412"/>
    </row>
    <row r="3840">
      <c r="AA3840" s="1108"/>
      <c r="AB3840" s="1412"/>
    </row>
    <row r="3841">
      <c r="AA3841" s="1108"/>
      <c r="AB3841" s="1412"/>
    </row>
    <row r="3842">
      <c r="AA3842" s="1108"/>
      <c r="AB3842" s="1412"/>
    </row>
    <row r="3843">
      <c r="AA3843" s="1108"/>
      <c r="AB3843" s="1412"/>
    </row>
    <row r="3844">
      <c r="AA3844" s="1108"/>
      <c r="AB3844" s="1412"/>
    </row>
    <row r="3845">
      <c r="AA3845" s="1108"/>
      <c r="AB3845" s="1412"/>
    </row>
    <row r="3846">
      <c r="AA3846" s="1108"/>
      <c r="AB3846" s="1412"/>
    </row>
    <row r="3847">
      <c r="AA3847" s="1108"/>
      <c r="AB3847" s="1412"/>
    </row>
    <row r="3848">
      <c r="AA3848" s="1108"/>
      <c r="AB3848" s="1412"/>
    </row>
    <row r="3849">
      <c r="AA3849" s="1108"/>
      <c r="AB3849" s="1412"/>
    </row>
    <row r="3850">
      <c r="AA3850" s="1108"/>
      <c r="AB3850" s="1412"/>
    </row>
    <row r="3851">
      <c r="AA3851" s="1108"/>
      <c r="AB3851" s="1412"/>
    </row>
    <row r="3852">
      <c r="AA3852" s="1108"/>
      <c r="AB3852" s="1412"/>
    </row>
    <row r="3853">
      <c r="AA3853" s="1108"/>
      <c r="AB3853" s="1412"/>
    </row>
    <row r="3854">
      <c r="AA3854" s="1108"/>
      <c r="AB3854" s="1412"/>
    </row>
    <row r="3855">
      <c r="AA3855" s="1108"/>
      <c r="AB3855" s="1412"/>
    </row>
    <row r="3856">
      <c r="AA3856" s="1108"/>
      <c r="AB3856" s="1412"/>
    </row>
    <row r="3857">
      <c r="AA3857" s="1108"/>
      <c r="AB3857" s="1412"/>
    </row>
    <row r="3858">
      <c r="AA3858" s="1108"/>
      <c r="AB3858" s="1412"/>
    </row>
    <row r="3859">
      <c r="AA3859" s="1108"/>
      <c r="AB3859" s="1412"/>
    </row>
    <row r="3860">
      <c r="AA3860" s="1108"/>
      <c r="AB3860" s="1412"/>
    </row>
    <row r="3861">
      <c r="AA3861" s="1108"/>
      <c r="AB3861" s="1412"/>
    </row>
    <row r="3862">
      <c r="AA3862" s="1108"/>
      <c r="AB3862" s="1412"/>
    </row>
    <row r="3863">
      <c r="AA3863" s="1108"/>
      <c r="AB3863" s="1412"/>
    </row>
    <row r="3864">
      <c r="AA3864" s="1108"/>
      <c r="AB3864" s="1412"/>
    </row>
    <row r="3865">
      <c r="AA3865" s="1108"/>
      <c r="AB3865" s="1412"/>
    </row>
    <row r="3866">
      <c r="AA3866" s="1108"/>
      <c r="AB3866" s="1412"/>
    </row>
    <row r="3867">
      <c r="AA3867" s="1108"/>
      <c r="AB3867" s="1412"/>
    </row>
    <row r="3868">
      <c r="AA3868" s="1108"/>
      <c r="AB3868" s="1412"/>
    </row>
    <row r="3869">
      <c r="AA3869" s="1108"/>
      <c r="AB3869" s="1412"/>
    </row>
    <row r="3870">
      <c r="AA3870" s="1108"/>
      <c r="AB3870" s="1412"/>
    </row>
    <row r="3871">
      <c r="AA3871" s="1108"/>
      <c r="AB3871" s="1412"/>
    </row>
    <row r="3872">
      <c r="AA3872" s="1108"/>
      <c r="AB3872" s="1412"/>
    </row>
    <row r="3873">
      <c r="AA3873" s="1108"/>
      <c r="AB3873" s="1412"/>
    </row>
    <row r="3874">
      <c r="AA3874" s="1108"/>
      <c r="AB3874" s="1412"/>
    </row>
    <row r="3875">
      <c r="AA3875" s="1108"/>
      <c r="AB3875" s="1412"/>
    </row>
    <row r="3876">
      <c r="AA3876" s="1108"/>
      <c r="AB3876" s="1412"/>
    </row>
    <row r="3877">
      <c r="AA3877" s="1108"/>
      <c r="AB3877" s="1412"/>
    </row>
    <row r="3878">
      <c r="AA3878" s="1108"/>
      <c r="AB3878" s="1412"/>
    </row>
    <row r="3879">
      <c r="AA3879" s="1108"/>
      <c r="AB3879" s="1412"/>
    </row>
    <row r="3880">
      <c r="AA3880" s="1108"/>
      <c r="AB3880" s="1412"/>
    </row>
    <row r="3881">
      <c r="AA3881" s="1108"/>
      <c r="AB3881" s="1412"/>
    </row>
    <row r="3882">
      <c r="AA3882" s="1108"/>
      <c r="AB3882" s="1412"/>
    </row>
    <row r="3883">
      <c r="AA3883" s="1108"/>
      <c r="AB3883" s="1412"/>
    </row>
    <row r="3884">
      <c r="AA3884" s="1108"/>
      <c r="AB3884" s="1412"/>
    </row>
    <row r="3885">
      <c r="AA3885" s="1108"/>
      <c r="AB3885" s="1412"/>
    </row>
    <row r="3886">
      <c r="AA3886" s="1108"/>
      <c r="AB3886" s="1412"/>
    </row>
    <row r="3887">
      <c r="AA3887" s="1108"/>
      <c r="AB3887" s="1412"/>
    </row>
    <row r="3888">
      <c r="AA3888" s="1108"/>
      <c r="AB3888" s="1412"/>
    </row>
    <row r="3889">
      <c r="AA3889" s="1108"/>
      <c r="AB3889" s="1412"/>
    </row>
    <row r="3890">
      <c r="AA3890" s="1108"/>
      <c r="AB3890" s="1412"/>
    </row>
    <row r="3891">
      <c r="AA3891" s="1108"/>
      <c r="AB3891" s="1412"/>
    </row>
    <row r="3892">
      <c r="AA3892" s="1108"/>
      <c r="AB3892" s="1412"/>
    </row>
    <row r="3893">
      <c r="AA3893" s="1108"/>
      <c r="AB3893" s="1412"/>
    </row>
    <row r="3894">
      <c r="AA3894" s="1108"/>
      <c r="AB3894" s="1412"/>
    </row>
    <row r="3895">
      <c r="AA3895" s="1108"/>
      <c r="AB3895" s="1412"/>
    </row>
    <row r="3896">
      <c r="AA3896" s="1108"/>
      <c r="AB3896" s="1412"/>
    </row>
    <row r="3897">
      <c r="AA3897" s="1108"/>
      <c r="AB3897" s="1412"/>
    </row>
    <row r="3898">
      <c r="AA3898" s="1108"/>
      <c r="AB3898" s="1412"/>
    </row>
    <row r="3899">
      <c r="AA3899" s="1108"/>
      <c r="AB3899" s="1412"/>
    </row>
    <row r="3900">
      <c r="AA3900" s="1108"/>
      <c r="AB3900" s="1412"/>
    </row>
    <row r="3901">
      <c r="AA3901" s="1108"/>
      <c r="AB3901" s="1412"/>
    </row>
    <row r="3902">
      <c r="AA3902" s="1108"/>
      <c r="AB3902" s="1412"/>
    </row>
    <row r="3903">
      <c r="AA3903" s="1108"/>
      <c r="AB3903" s="1412"/>
    </row>
    <row r="3904">
      <c r="AA3904" s="1108"/>
      <c r="AB3904" s="1412"/>
    </row>
    <row r="3905">
      <c r="AA3905" s="1108"/>
      <c r="AB3905" s="1412"/>
    </row>
    <row r="3906">
      <c r="AA3906" s="1108"/>
      <c r="AB3906" s="1412"/>
    </row>
    <row r="3907">
      <c r="AA3907" s="1108"/>
      <c r="AB3907" s="1412"/>
    </row>
    <row r="3908">
      <c r="AA3908" s="1108"/>
      <c r="AB3908" s="1412"/>
    </row>
    <row r="3909">
      <c r="AA3909" s="1108"/>
      <c r="AB3909" s="1412"/>
    </row>
    <row r="3910">
      <c r="AA3910" s="1108"/>
      <c r="AB3910" s="1412"/>
    </row>
    <row r="3911">
      <c r="AA3911" s="1108"/>
      <c r="AB3911" s="1412"/>
    </row>
    <row r="3912">
      <c r="AA3912" s="1108"/>
      <c r="AB3912" s="1412"/>
    </row>
    <row r="3913">
      <c r="AA3913" s="1108"/>
      <c r="AB3913" s="1412"/>
    </row>
    <row r="3914">
      <c r="AA3914" s="1108"/>
      <c r="AB3914" s="1412"/>
    </row>
    <row r="3915">
      <c r="AA3915" s="1108"/>
      <c r="AB3915" s="1412"/>
    </row>
    <row r="3916">
      <c r="AA3916" s="1108"/>
      <c r="AB3916" s="1412"/>
    </row>
    <row r="3917">
      <c r="AA3917" s="1108"/>
      <c r="AB3917" s="1412"/>
    </row>
    <row r="3918">
      <c r="AA3918" s="1108"/>
      <c r="AB3918" s="1412"/>
    </row>
    <row r="3919">
      <c r="AA3919" s="1108"/>
      <c r="AB3919" s="1412"/>
    </row>
    <row r="3920">
      <c r="AA3920" s="1108"/>
      <c r="AB3920" s="1412"/>
    </row>
    <row r="3921">
      <c r="AA3921" s="1108"/>
      <c r="AB3921" s="1412"/>
    </row>
    <row r="3922">
      <c r="AA3922" s="1108"/>
      <c r="AB3922" s="1412"/>
    </row>
    <row r="3923">
      <c r="AA3923" s="1108"/>
      <c r="AB3923" s="1412"/>
    </row>
    <row r="3924">
      <c r="AA3924" s="1108"/>
      <c r="AB3924" s="1412"/>
    </row>
    <row r="3925">
      <c r="AA3925" s="1108"/>
      <c r="AB3925" s="1412"/>
    </row>
    <row r="3926">
      <c r="AA3926" s="1108"/>
      <c r="AB3926" s="1412"/>
    </row>
    <row r="3927">
      <c r="AA3927" s="1108"/>
      <c r="AB3927" s="1412"/>
    </row>
    <row r="3928">
      <c r="AA3928" s="1108"/>
      <c r="AB3928" s="1412"/>
    </row>
    <row r="3929">
      <c r="AA3929" s="1108"/>
      <c r="AB3929" s="1412"/>
    </row>
    <row r="3930">
      <c r="AA3930" s="1108"/>
      <c r="AB3930" s="1412"/>
    </row>
    <row r="3931">
      <c r="AA3931" s="1108"/>
      <c r="AB3931" s="1412"/>
    </row>
    <row r="3932">
      <c r="AA3932" s="1108"/>
      <c r="AB3932" s="1412"/>
    </row>
    <row r="3933">
      <c r="AA3933" s="1108"/>
      <c r="AB3933" s="1412"/>
    </row>
    <row r="3934">
      <c r="AA3934" s="1108"/>
      <c r="AB3934" s="1412"/>
    </row>
    <row r="3935">
      <c r="AA3935" s="1108"/>
      <c r="AB3935" s="1412"/>
    </row>
    <row r="3936">
      <c r="AA3936" s="1108"/>
      <c r="AB3936" s="1412"/>
    </row>
    <row r="3937">
      <c r="AA3937" s="1108"/>
      <c r="AB3937" s="1412"/>
    </row>
    <row r="3938">
      <c r="AA3938" s="1108"/>
      <c r="AB3938" s="1412"/>
    </row>
    <row r="3939">
      <c r="AA3939" s="1108"/>
      <c r="AB3939" s="1412"/>
    </row>
    <row r="3940">
      <c r="AA3940" s="1108"/>
      <c r="AB3940" s="1412"/>
    </row>
    <row r="3941">
      <c r="AA3941" s="1108"/>
      <c r="AB3941" s="1412"/>
    </row>
    <row r="3942">
      <c r="AA3942" s="1108"/>
      <c r="AB3942" s="1412"/>
    </row>
    <row r="3943">
      <c r="AA3943" s="1108"/>
      <c r="AB3943" s="1412"/>
    </row>
    <row r="3944">
      <c r="AA3944" s="1108"/>
      <c r="AB3944" s="1412"/>
    </row>
    <row r="3945">
      <c r="AA3945" s="1108"/>
      <c r="AB3945" s="1412"/>
    </row>
    <row r="3946">
      <c r="AA3946" s="1108"/>
      <c r="AB3946" s="1412"/>
    </row>
    <row r="3947">
      <c r="AA3947" s="1108"/>
      <c r="AB3947" s="1412"/>
    </row>
    <row r="3948">
      <c r="AA3948" s="1108"/>
      <c r="AB3948" s="1412"/>
    </row>
    <row r="3949">
      <c r="AA3949" s="1108"/>
      <c r="AB3949" s="1412"/>
    </row>
    <row r="3950">
      <c r="AA3950" s="1108"/>
      <c r="AB3950" s="1412"/>
    </row>
    <row r="3951">
      <c r="AA3951" s="1108"/>
      <c r="AB3951" s="1412"/>
    </row>
    <row r="3952">
      <c r="AA3952" s="1108"/>
      <c r="AB3952" s="1412"/>
    </row>
    <row r="3953">
      <c r="AA3953" s="1108"/>
      <c r="AB3953" s="1412"/>
    </row>
    <row r="3954">
      <c r="AA3954" s="1108"/>
      <c r="AB3954" s="1412"/>
    </row>
    <row r="3955">
      <c r="AA3955" s="1108"/>
      <c r="AB3955" s="1412"/>
    </row>
    <row r="3956">
      <c r="AA3956" s="1108"/>
      <c r="AB3956" s="1412"/>
    </row>
    <row r="3957">
      <c r="AA3957" s="1108"/>
      <c r="AB3957" s="1412"/>
    </row>
    <row r="3958">
      <c r="AA3958" s="1108"/>
      <c r="AB3958" s="1412"/>
    </row>
    <row r="3959">
      <c r="AA3959" s="1108"/>
      <c r="AB3959" s="1412"/>
    </row>
    <row r="3960">
      <c r="AA3960" s="1108"/>
      <c r="AB3960" s="1412"/>
    </row>
    <row r="3961">
      <c r="AA3961" s="1108"/>
      <c r="AB3961" s="1412"/>
    </row>
    <row r="3962">
      <c r="AA3962" s="1108"/>
      <c r="AB3962" s="1412"/>
    </row>
    <row r="3963">
      <c r="AA3963" s="1108"/>
      <c r="AB3963" s="1412"/>
    </row>
    <row r="3964">
      <c r="AA3964" s="1108"/>
      <c r="AB3964" s="1412"/>
    </row>
    <row r="3965">
      <c r="AA3965" s="1108"/>
      <c r="AB3965" s="1412"/>
    </row>
    <row r="3966">
      <c r="AA3966" s="1108"/>
      <c r="AB3966" s="1412"/>
    </row>
    <row r="3967">
      <c r="AA3967" s="1108"/>
      <c r="AB3967" s="1412"/>
    </row>
    <row r="3968">
      <c r="AA3968" s="1108"/>
      <c r="AB3968" s="1412"/>
    </row>
    <row r="3969">
      <c r="AA3969" s="1108"/>
      <c r="AB3969" s="1412"/>
    </row>
    <row r="3970">
      <c r="AA3970" s="1108"/>
      <c r="AB3970" s="1412"/>
    </row>
    <row r="3971">
      <c r="AA3971" s="1108"/>
      <c r="AB3971" s="1412"/>
    </row>
    <row r="3972">
      <c r="AA3972" s="1108"/>
      <c r="AB3972" s="1412"/>
    </row>
    <row r="3973">
      <c r="AA3973" s="1108"/>
      <c r="AB3973" s="1412"/>
    </row>
    <row r="3974">
      <c r="AA3974" s="1108"/>
      <c r="AB3974" s="1412"/>
    </row>
    <row r="3975">
      <c r="AA3975" s="1108"/>
      <c r="AB3975" s="1412"/>
    </row>
    <row r="3976">
      <c r="AA3976" s="1108"/>
      <c r="AB3976" s="1412"/>
    </row>
    <row r="3977">
      <c r="AA3977" s="1108"/>
      <c r="AB3977" s="1412"/>
    </row>
    <row r="3978">
      <c r="AA3978" s="1108"/>
      <c r="AB3978" s="1412"/>
    </row>
    <row r="3979">
      <c r="AA3979" s="1108"/>
      <c r="AB3979" s="1412"/>
    </row>
    <row r="3980">
      <c r="AA3980" s="1108"/>
      <c r="AB3980" s="1412"/>
    </row>
    <row r="3981">
      <c r="AA3981" s="1108"/>
      <c r="AB3981" s="1412"/>
    </row>
    <row r="3982">
      <c r="AA3982" s="1108"/>
      <c r="AB3982" s="1412"/>
    </row>
    <row r="3983">
      <c r="AA3983" s="1108"/>
      <c r="AB3983" s="1412"/>
    </row>
    <row r="3984">
      <c r="AA3984" s="1108"/>
      <c r="AB3984" s="1412"/>
    </row>
    <row r="3985">
      <c r="AA3985" s="1108"/>
      <c r="AB3985" s="1412"/>
    </row>
    <row r="3986">
      <c r="AA3986" s="1108"/>
      <c r="AB3986" s="1412"/>
    </row>
    <row r="3987">
      <c r="AA3987" s="1108"/>
      <c r="AB3987" s="1412"/>
    </row>
    <row r="3988">
      <c r="AA3988" s="1108"/>
      <c r="AB3988" s="1412"/>
    </row>
    <row r="3989">
      <c r="AA3989" s="1108"/>
      <c r="AB3989" s="1412"/>
    </row>
    <row r="3990">
      <c r="AA3990" s="1108"/>
      <c r="AB3990" s="1412"/>
    </row>
    <row r="3991">
      <c r="AA3991" s="1108"/>
      <c r="AB3991" s="1412"/>
    </row>
    <row r="3992">
      <c r="AA3992" s="1108"/>
      <c r="AB3992" s="1412"/>
    </row>
    <row r="3993">
      <c r="AA3993" s="1108"/>
      <c r="AB3993" s="1412"/>
    </row>
    <row r="3994">
      <c r="AA3994" s="1108"/>
      <c r="AB3994" s="1412"/>
    </row>
    <row r="3995">
      <c r="AA3995" s="1108"/>
      <c r="AB3995" s="1412"/>
    </row>
    <row r="3996">
      <c r="AA3996" s="1108"/>
      <c r="AB3996" s="1412"/>
    </row>
    <row r="3997">
      <c r="AA3997" s="1108"/>
      <c r="AB3997" s="1412"/>
    </row>
    <row r="3998">
      <c r="AA3998" s="1108"/>
      <c r="AB3998" s="1412"/>
    </row>
    <row r="3999">
      <c r="AA3999" s="1108"/>
      <c r="AB3999" s="1412"/>
    </row>
    <row r="4000">
      <c r="AA4000" s="1108"/>
      <c r="AB4000" s="1412"/>
    </row>
    <row r="4001">
      <c r="AA4001" s="1108"/>
      <c r="AB4001" s="1412"/>
    </row>
    <row r="4002">
      <c r="AA4002" s="1108"/>
      <c r="AB4002" s="1412"/>
    </row>
    <row r="4003">
      <c r="AA4003" s="1108"/>
      <c r="AB4003" s="1412"/>
    </row>
    <row r="4004">
      <c r="AA4004" s="1108"/>
      <c r="AB4004" s="1412"/>
    </row>
    <row r="4005">
      <c r="AA4005" s="1108"/>
      <c r="AB4005" s="1412"/>
    </row>
    <row r="4006">
      <c r="AA4006" s="1108"/>
      <c r="AB4006" s="1412"/>
    </row>
    <row r="4007">
      <c r="AA4007" s="1108"/>
      <c r="AB4007" s="1412"/>
    </row>
    <row r="4008">
      <c r="AA4008" s="1108"/>
      <c r="AB4008" s="1412"/>
    </row>
    <row r="4009">
      <c r="AA4009" s="1108"/>
      <c r="AB4009" s="1412"/>
    </row>
    <row r="4010">
      <c r="AA4010" s="1108"/>
      <c r="AB4010" s="1412"/>
    </row>
    <row r="4011">
      <c r="AA4011" s="1108"/>
      <c r="AB4011" s="1412"/>
    </row>
    <row r="4012">
      <c r="AA4012" s="1108"/>
      <c r="AB4012" s="1412"/>
    </row>
    <row r="4013">
      <c r="AA4013" s="1108"/>
      <c r="AB4013" s="1412"/>
    </row>
    <row r="4014">
      <c r="AA4014" s="1108"/>
      <c r="AB4014" s="1412"/>
    </row>
    <row r="4015">
      <c r="AA4015" s="1108"/>
      <c r="AB4015" s="1412"/>
    </row>
    <row r="4016">
      <c r="AA4016" s="1108"/>
      <c r="AB4016" s="1412"/>
    </row>
    <row r="4017">
      <c r="AA4017" s="1108"/>
      <c r="AB4017" s="1412"/>
    </row>
    <row r="4018">
      <c r="AA4018" s="1108"/>
      <c r="AB4018" s="1412"/>
    </row>
    <row r="4019">
      <c r="AA4019" s="1108"/>
      <c r="AB4019" s="1412"/>
    </row>
    <row r="4020">
      <c r="AA4020" s="1108"/>
      <c r="AB4020" s="1412"/>
    </row>
    <row r="4021">
      <c r="AA4021" s="1108"/>
      <c r="AB4021" s="1412"/>
    </row>
    <row r="4022">
      <c r="AA4022" s="1108"/>
      <c r="AB4022" s="1412"/>
    </row>
    <row r="4023">
      <c r="AA4023" s="1108"/>
      <c r="AB4023" s="1412"/>
    </row>
    <row r="4024">
      <c r="AA4024" s="1108"/>
      <c r="AB4024" s="1412"/>
    </row>
    <row r="4025">
      <c r="AA4025" s="1108"/>
      <c r="AB4025" s="1412"/>
    </row>
    <row r="4026">
      <c r="AA4026" s="1108"/>
      <c r="AB4026" s="1412"/>
    </row>
    <row r="4027">
      <c r="AA4027" s="1108"/>
      <c r="AB4027" s="1412"/>
    </row>
    <row r="4028">
      <c r="AA4028" s="1108"/>
      <c r="AB4028" s="1412"/>
    </row>
    <row r="4029">
      <c r="AA4029" s="1108"/>
      <c r="AB4029" s="1412"/>
    </row>
    <row r="4030">
      <c r="AA4030" s="1108"/>
      <c r="AB4030" s="1412"/>
    </row>
    <row r="4031">
      <c r="AA4031" s="1108"/>
      <c r="AB4031" s="1412"/>
    </row>
    <row r="4032">
      <c r="AA4032" s="1108"/>
      <c r="AB4032" s="1412"/>
    </row>
    <row r="4033">
      <c r="AA4033" s="1108"/>
      <c r="AB4033" s="1412"/>
    </row>
    <row r="4034">
      <c r="AA4034" s="1108"/>
      <c r="AB4034" s="1412"/>
    </row>
    <row r="4035">
      <c r="AA4035" s="1108"/>
      <c r="AB4035" s="1412"/>
    </row>
    <row r="4036">
      <c r="AA4036" s="1108"/>
      <c r="AB4036" s="1412"/>
    </row>
    <row r="4037">
      <c r="AA4037" s="1108"/>
      <c r="AB4037" s="1412"/>
    </row>
    <row r="4038">
      <c r="AA4038" s="1108"/>
      <c r="AB4038" s="1412"/>
    </row>
    <row r="4039">
      <c r="AA4039" s="1108"/>
      <c r="AB4039" s="1412"/>
    </row>
    <row r="4040">
      <c r="AA4040" s="1108"/>
      <c r="AB4040" s="1412"/>
    </row>
    <row r="4041">
      <c r="AA4041" s="1108"/>
      <c r="AB4041" s="1412"/>
    </row>
    <row r="4042">
      <c r="AA4042" s="1108"/>
      <c r="AB4042" s="1412"/>
    </row>
    <row r="4043">
      <c r="AA4043" s="1108"/>
      <c r="AB4043" s="1412"/>
    </row>
    <row r="4044">
      <c r="AA4044" s="1108"/>
      <c r="AB4044" s="1412"/>
    </row>
    <row r="4045">
      <c r="AA4045" s="1108"/>
      <c r="AB4045" s="1412"/>
    </row>
    <row r="4046">
      <c r="AA4046" s="1108"/>
      <c r="AB4046" s="1412"/>
    </row>
    <row r="4047">
      <c r="AA4047" s="1108"/>
      <c r="AB4047" s="1412"/>
    </row>
    <row r="4048">
      <c r="AA4048" s="1108"/>
      <c r="AB4048" s="1412"/>
    </row>
    <row r="4049">
      <c r="AA4049" s="1108"/>
      <c r="AB4049" s="1412"/>
    </row>
    <row r="4050">
      <c r="AA4050" s="1108"/>
      <c r="AB4050" s="1412"/>
    </row>
    <row r="4051">
      <c r="AA4051" s="1108"/>
      <c r="AB4051" s="1412"/>
    </row>
    <row r="4052">
      <c r="AA4052" s="1108"/>
      <c r="AB4052" s="1412"/>
    </row>
    <row r="4053">
      <c r="AA4053" s="1108"/>
      <c r="AB4053" s="1412"/>
    </row>
    <row r="4054">
      <c r="AA4054" s="1108"/>
      <c r="AB4054" s="1412"/>
    </row>
    <row r="4055">
      <c r="AA4055" s="1108"/>
      <c r="AB4055" s="1412"/>
    </row>
    <row r="4056">
      <c r="AA4056" s="1108"/>
      <c r="AB4056" s="1412"/>
    </row>
    <row r="4057">
      <c r="AA4057" s="1108"/>
      <c r="AB4057" s="1412"/>
    </row>
    <row r="4058">
      <c r="AA4058" s="1108"/>
      <c r="AB4058" s="1412"/>
    </row>
    <row r="4059">
      <c r="AA4059" s="1108"/>
      <c r="AB4059" s="1412"/>
    </row>
    <row r="4060">
      <c r="AA4060" s="1108"/>
      <c r="AB4060" s="1412"/>
    </row>
    <row r="4061">
      <c r="AA4061" s="1108"/>
      <c r="AB4061" s="1412"/>
    </row>
    <row r="4062">
      <c r="AA4062" s="1108"/>
      <c r="AB4062" s="1412"/>
    </row>
    <row r="4063">
      <c r="AA4063" s="1108"/>
      <c r="AB4063" s="1412"/>
    </row>
    <row r="4064">
      <c r="AA4064" s="1108"/>
      <c r="AB4064" s="1412"/>
    </row>
    <row r="4065">
      <c r="AA4065" s="1108"/>
      <c r="AB4065" s="1412"/>
    </row>
    <row r="4066">
      <c r="AA4066" s="1108"/>
      <c r="AB4066" s="1412"/>
    </row>
    <row r="4067">
      <c r="AA4067" s="1108"/>
      <c r="AB4067" s="1412"/>
    </row>
    <row r="4068">
      <c r="AA4068" s="1108"/>
      <c r="AB4068" s="1412"/>
    </row>
    <row r="4069">
      <c r="AA4069" s="1108"/>
      <c r="AB4069" s="1412"/>
    </row>
    <row r="4070">
      <c r="AA4070" s="1108"/>
      <c r="AB4070" s="1412"/>
    </row>
    <row r="4071">
      <c r="AA4071" s="1108"/>
      <c r="AB4071" s="1412"/>
    </row>
    <row r="4072">
      <c r="AA4072" s="1108"/>
      <c r="AB4072" s="1412"/>
    </row>
    <row r="4073">
      <c r="AA4073" s="1108"/>
      <c r="AB4073" s="1412"/>
    </row>
    <row r="4074">
      <c r="AA4074" s="1108"/>
      <c r="AB4074" s="1412"/>
    </row>
    <row r="4075">
      <c r="AA4075" s="1108"/>
      <c r="AB4075" s="1412"/>
    </row>
    <row r="4076">
      <c r="AA4076" s="1108"/>
      <c r="AB4076" s="1412"/>
    </row>
    <row r="4077">
      <c r="AA4077" s="1108"/>
      <c r="AB4077" s="1412"/>
    </row>
    <row r="4078">
      <c r="AA4078" s="1108"/>
      <c r="AB4078" s="1412"/>
    </row>
    <row r="4079">
      <c r="AA4079" s="1108"/>
      <c r="AB4079" s="1412"/>
    </row>
    <row r="4080">
      <c r="AA4080" s="1108"/>
      <c r="AB4080" s="1412"/>
    </row>
    <row r="4081">
      <c r="AA4081" s="1108"/>
      <c r="AB4081" s="1412"/>
    </row>
    <row r="4082">
      <c r="AA4082" s="1108"/>
      <c r="AB4082" s="1412"/>
    </row>
    <row r="4083">
      <c r="AA4083" s="1108"/>
      <c r="AB4083" s="1412"/>
    </row>
    <row r="4084">
      <c r="AA4084" s="1108"/>
      <c r="AB4084" s="1412"/>
    </row>
    <row r="4085">
      <c r="AA4085" s="1108"/>
      <c r="AB4085" s="1412"/>
    </row>
    <row r="4086">
      <c r="AA4086" s="1108"/>
      <c r="AB4086" s="1412"/>
    </row>
    <row r="4087">
      <c r="AA4087" s="1108"/>
      <c r="AB4087" s="1412"/>
    </row>
    <row r="4088">
      <c r="AA4088" s="1108"/>
      <c r="AB4088" s="1412"/>
    </row>
    <row r="4089">
      <c r="AA4089" s="1108"/>
      <c r="AB4089" s="1412"/>
    </row>
    <row r="4090">
      <c r="AA4090" s="1108"/>
      <c r="AB4090" s="1412"/>
    </row>
    <row r="4091">
      <c r="AA4091" s="1108"/>
      <c r="AB4091" s="1412"/>
    </row>
    <row r="4092">
      <c r="AA4092" s="1108"/>
      <c r="AB4092" s="1412"/>
    </row>
    <row r="4093">
      <c r="AA4093" s="1108"/>
      <c r="AB4093" s="1412"/>
    </row>
    <row r="4094">
      <c r="AA4094" s="1108"/>
      <c r="AB4094" s="1412"/>
    </row>
    <row r="4095">
      <c r="AA4095" s="1108"/>
      <c r="AB4095" s="1412"/>
    </row>
    <row r="4096">
      <c r="AA4096" s="1108"/>
      <c r="AB4096" s="1412"/>
    </row>
    <row r="4097">
      <c r="AA4097" s="1108"/>
      <c r="AB4097" s="1412"/>
    </row>
    <row r="4098">
      <c r="AA4098" s="1108"/>
      <c r="AB4098" s="1412"/>
    </row>
    <row r="4099">
      <c r="AA4099" s="1108"/>
      <c r="AB4099" s="1412"/>
    </row>
    <row r="4100">
      <c r="AA4100" s="1108"/>
      <c r="AB4100" s="1412"/>
    </row>
    <row r="4101">
      <c r="AA4101" s="1108"/>
      <c r="AB4101" s="1412"/>
    </row>
    <row r="4102">
      <c r="AA4102" s="1108"/>
      <c r="AB4102" s="1412"/>
    </row>
    <row r="4103">
      <c r="AA4103" s="1108"/>
      <c r="AB4103" s="1412"/>
    </row>
    <row r="4104">
      <c r="AA4104" s="1108"/>
      <c r="AB4104" s="1412"/>
    </row>
    <row r="4105">
      <c r="AA4105" s="1108"/>
      <c r="AB4105" s="1412"/>
    </row>
    <row r="4106">
      <c r="AA4106" s="1108"/>
      <c r="AB4106" s="1412"/>
    </row>
    <row r="4107">
      <c r="AA4107" s="1108"/>
      <c r="AB4107" s="1412"/>
    </row>
    <row r="4108">
      <c r="AA4108" s="1108"/>
      <c r="AB4108" s="1412"/>
    </row>
    <row r="4109">
      <c r="AA4109" s="1108"/>
      <c r="AB4109" s="1412"/>
    </row>
    <row r="4110">
      <c r="AA4110" s="1108"/>
      <c r="AB4110" s="1412"/>
    </row>
    <row r="4111">
      <c r="AA4111" s="1108"/>
      <c r="AB4111" s="1412"/>
    </row>
    <row r="4112">
      <c r="AA4112" s="1108"/>
      <c r="AB4112" s="1412"/>
    </row>
    <row r="4113">
      <c r="AA4113" s="1108"/>
      <c r="AB4113" s="1412"/>
    </row>
    <row r="4114">
      <c r="AA4114" s="1108"/>
      <c r="AB4114" s="1412"/>
    </row>
    <row r="4115">
      <c r="AA4115" s="1108"/>
      <c r="AB4115" s="1412"/>
    </row>
    <row r="4116">
      <c r="AA4116" s="1108"/>
      <c r="AB4116" s="1412"/>
    </row>
    <row r="4117">
      <c r="AA4117" s="1108"/>
      <c r="AB4117" s="1412"/>
    </row>
    <row r="4118">
      <c r="AA4118" s="1108"/>
      <c r="AB4118" s="1412"/>
    </row>
    <row r="4119">
      <c r="AA4119" s="1108"/>
      <c r="AB4119" s="1412"/>
    </row>
    <row r="4120">
      <c r="AA4120" s="1108"/>
      <c r="AB4120" s="1412"/>
    </row>
    <row r="4121">
      <c r="AA4121" s="1108"/>
      <c r="AB4121" s="1412"/>
    </row>
    <row r="4122">
      <c r="AA4122" s="1108"/>
      <c r="AB4122" s="1412"/>
    </row>
    <row r="4123">
      <c r="AA4123" s="1108"/>
      <c r="AB4123" s="1412"/>
    </row>
    <row r="4124">
      <c r="AA4124" s="1108"/>
      <c r="AB4124" s="1412"/>
    </row>
    <row r="4125">
      <c r="AA4125" s="1108"/>
      <c r="AB4125" s="1412"/>
    </row>
    <row r="4126">
      <c r="AA4126" s="1108"/>
      <c r="AB4126" s="1412"/>
    </row>
    <row r="4127">
      <c r="AA4127" s="1108"/>
      <c r="AB4127" s="1412"/>
    </row>
    <row r="4128">
      <c r="AA4128" s="1108"/>
      <c r="AB4128" s="1412"/>
    </row>
    <row r="4129">
      <c r="AA4129" s="1108"/>
      <c r="AB4129" s="1412"/>
    </row>
    <row r="4130">
      <c r="AA4130" s="1108"/>
      <c r="AB4130" s="1412"/>
    </row>
    <row r="4131">
      <c r="AA4131" s="1108"/>
      <c r="AB4131" s="1412"/>
    </row>
    <row r="4132">
      <c r="AA4132" s="1108"/>
      <c r="AB4132" s="1412"/>
    </row>
    <row r="4133">
      <c r="AA4133" s="1108"/>
      <c r="AB4133" s="1412"/>
    </row>
    <row r="4134">
      <c r="AA4134" s="1108"/>
      <c r="AB4134" s="1412"/>
    </row>
    <row r="4135">
      <c r="AA4135" s="1108"/>
      <c r="AB4135" s="1412"/>
    </row>
    <row r="4136">
      <c r="AA4136" s="1108"/>
      <c r="AB4136" s="1412"/>
    </row>
    <row r="4137">
      <c r="AA4137" s="1108"/>
      <c r="AB4137" s="1412"/>
    </row>
    <row r="4138">
      <c r="AA4138" s="1108"/>
      <c r="AB4138" s="1412"/>
    </row>
    <row r="4139">
      <c r="AA4139" s="1108"/>
      <c r="AB4139" s="1412"/>
    </row>
    <row r="4140">
      <c r="AA4140" s="1108"/>
      <c r="AB4140" s="1412"/>
    </row>
    <row r="4141">
      <c r="AA4141" s="1108"/>
      <c r="AB4141" s="1412"/>
    </row>
    <row r="4142">
      <c r="AA4142" s="1108"/>
      <c r="AB4142" s="1412"/>
    </row>
    <row r="4143">
      <c r="AA4143" s="1108"/>
      <c r="AB4143" s="1412"/>
    </row>
    <row r="4144">
      <c r="AA4144" s="1108"/>
      <c r="AB4144" s="1412"/>
    </row>
    <row r="4145">
      <c r="AA4145" s="1108"/>
      <c r="AB4145" s="1412"/>
    </row>
    <row r="4146">
      <c r="AA4146" s="1108"/>
      <c r="AB4146" s="1412"/>
    </row>
    <row r="4147">
      <c r="AA4147" s="1108"/>
      <c r="AB4147" s="1412"/>
    </row>
    <row r="4148">
      <c r="AA4148" s="1108"/>
      <c r="AB4148" s="1412"/>
    </row>
    <row r="4149">
      <c r="AA4149" s="1108"/>
      <c r="AB4149" s="1412"/>
    </row>
    <row r="4150">
      <c r="AA4150" s="1108"/>
      <c r="AB4150" s="1412"/>
    </row>
    <row r="4151">
      <c r="AA4151" s="1108"/>
      <c r="AB4151" s="1412"/>
    </row>
    <row r="4152">
      <c r="AA4152" s="1108"/>
      <c r="AB4152" s="1412"/>
    </row>
    <row r="4153">
      <c r="AA4153" s="1108"/>
      <c r="AB4153" s="1412"/>
    </row>
    <row r="4154">
      <c r="AA4154" s="1108"/>
      <c r="AB4154" s="1412"/>
    </row>
    <row r="4155">
      <c r="AA4155" s="1108"/>
      <c r="AB4155" s="1412"/>
    </row>
    <row r="4156">
      <c r="AA4156" s="1108"/>
      <c r="AB4156" s="1412"/>
    </row>
    <row r="4157">
      <c r="AA4157" s="1108"/>
      <c r="AB4157" s="1412"/>
    </row>
    <row r="4158">
      <c r="AA4158" s="1108"/>
      <c r="AB4158" s="1412"/>
    </row>
    <row r="4159">
      <c r="AA4159" s="1108"/>
      <c r="AB4159" s="1412"/>
    </row>
    <row r="4160">
      <c r="AA4160" s="1108"/>
      <c r="AB4160" s="1412"/>
    </row>
    <row r="4161">
      <c r="AA4161" s="1108"/>
      <c r="AB4161" s="1412"/>
    </row>
    <row r="4162">
      <c r="AA4162" s="1108"/>
      <c r="AB4162" s="1412"/>
    </row>
    <row r="4163">
      <c r="AA4163" s="1108"/>
      <c r="AB4163" s="1412"/>
    </row>
    <row r="4164">
      <c r="AA4164" s="1108"/>
      <c r="AB4164" s="1412"/>
    </row>
    <row r="4165">
      <c r="AA4165" s="1108"/>
      <c r="AB4165" s="1412"/>
    </row>
    <row r="4166">
      <c r="AA4166" s="1108"/>
      <c r="AB4166" s="1412"/>
    </row>
    <row r="4167">
      <c r="AA4167" s="1108"/>
      <c r="AB4167" s="1412"/>
    </row>
    <row r="4168">
      <c r="AA4168" s="1108"/>
      <c r="AB4168" s="1412"/>
    </row>
    <row r="4169">
      <c r="AA4169" s="1108"/>
      <c r="AB4169" s="1412"/>
    </row>
    <row r="4170">
      <c r="AA4170" s="1108"/>
      <c r="AB4170" s="1412"/>
    </row>
    <row r="4171">
      <c r="AA4171" s="1108"/>
      <c r="AB4171" s="1412"/>
    </row>
    <row r="4172">
      <c r="AA4172" s="1108"/>
      <c r="AB4172" s="1412"/>
    </row>
    <row r="4173">
      <c r="AA4173" s="1108"/>
      <c r="AB4173" s="1412"/>
    </row>
    <row r="4174">
      <c r="AA4174" s="1108"/>
      <c r="AB4174" s="1412"/>
    </row>
    <row r="4175">
      <c r="AA4175" s="1108"/>
      <c r="AB4175" s="1412"/>
    </row>
    <row r="4176">
      <c r="AA4176" s="1108"/>
      <c r="AB4176" s="1412"/>
    </row>
    <row r="4177">
      <c r="AA4177" s="1108"/>
      <c r="AB4177" s="1412"/>
    </row>
    <row r="4178">
      <c r="AA4178" s="1108"/>
      <c r="AB4178" s="1412"/>
    </row>
    <row r="4179">
      <c r="AA4179" s="1108"/>
      <c r="AB4179" s="1412"/>
    </row>
    <row r="4180">
      <c r="AA4180" s="1108"/>
      <c r="AB4180" s="1412"/>
    </row>
    <row r="4181">
      <c r="AA4181" s="1108"/>
      <c r="AB4181" s="1412"/>
    </row>
    <row r="4182">
      <c r="AA4182" s="1108"/>
      <c r="AB4182" s="1412"/>
    </row>
    <row r="4183">
      <c r="AA4183" s="1108"/>
      <c r="AB4183" s="1412"/>
    </row>
    <row r="4184">
      <c r="AA4184" s="1108"/>
      <c r="AB4184" s="1412"/>
    </row>
    <row r="4185">
      <c r="AA4185" s="1108"/>
      <c r="AB4185" s="1412"/>
    </row>
    <row r="4186">
      <c r="AA4186" s="1108"/>
      <c r="AB4186" s="1412"/>
    </row>
    <row r="4187">
      <c r="AA4187" s="1108"/>
      <c r="AB4187" s="1412"/>
    </row>
    <row r="4188">
      <c r="AA4188" s="1108"/>
      <c r="AB4188" s="1412"/>
    </row>
    <row r="4189">
      <c r="AA4189" s="1108"/>
      <c r="AB4189" s="1412"/>
    </row>
    <row r="4190">
      <c r="AA4190" s="1108"/>
      <c r="AB4190" s="1412"/>
    </row>
    <row r="4191">
      <c r="AA4191" s="1108"/>
      <c r="AB4191" s="1412"/>
    </row>
    <row r="4192">
      <c r="AA4192" s="1108"/>
      <c r="AB4192" s="1412"/>
    </row>
    <row r="4193">
      <c r="AA4193" s="1108"/>
      <c r="AB4193" s="1412"/>
    </row>
    <row r="4194">
      <c r="AA4194" s="1108"/>
      <c r="AB4194" s="1412"/>
    </row>
    <row r="4195">
      <c r="AA4195" s="1108"/>
      <c r="AB4195" s="1412"/>
    </row>
    <row r="4196">
      <c r="AA4196" s="1108"/>
      <c r="AB4196" s="1412"/>
    </row>
    <row r="4197">
      <c r="AA4197" s="1108"/>
      <c r="AB4197" s="1412"/>
    </row>
    <row r="4198">
      <c r="AA4198" s="1108"/>
      <c r="AB4198" s="1412"/>
    </row>
    <row r="4199">
      <c r="AA4199" s="1108"/>
      <c r="AB4199" s="1412"/>
    </row>
    <row r="4200">
      <c r="AA4200" s="1108"/>
      <c r="AB4200" s="1412"/>
    </row>
    <row r="4201">
      <c r="AA4201" s="1108"/>
      <c r="AB4201" s="1412"/>
    </row>
    <row r="4202">
      <c r="AA4202" s="1108"/>
      <c r="AB4202" s="1412"/>
    </row>
    <row r="4203">
      <c r="AA4203" s="1108"/>
      <c r="AB4203" s="1412"/>
    </row>
    <row r="4204">
      <c r="AA4204" s="1108"/>
      <c r="AB4204" s="1412"/>
    </row>
    <row r="4205">
      <c r="AA4205" s="1108"/>
      <c r="AB4205" s="1412"/>
    </row>
    <row r="4206">
      <c r="AA4206" s="1108"/>
      <c r="AB4206" s="1412"/>
    </row>
    <row r="4207">
      <c r="AA4207" s="1108"/>
      <c r="AB4207" s="1412"/>
    </row>
    <row r="4208">
      <c r="AA4208" s="1108"/>
      <c r="AB4208" s="1412"/>
    </row>
    <row r="4209">
      <c r="AA4209" s="1108"/>
      <c r="AB4209" s="1412"/>
    </row>
    <row r="4210">
      <c r="AA4210" s="1108"/>
      <c r="AB4210" s="1412"/>
    </row>
    <row r="4211">
      <c r="AA4211" s="1108"/>
      <c r="AB4211" s="1412"/>
    </row>
    <row r="4212">
      <c r="AA4212" s="1108"/>
      <c r="AB4212" s="1412"/>
    </row>
    <row r="4213">
      <c r="AA4213" s="1108"/>
      <c r="AB4213" s="1412"/>
    </row>
    <row r="4214">
      <c r="AA4214" s="1108"/>
      <c r="AB4214" s="1412"/>
    </row>
    <row r="4215">
      <c r="AA4215" s="1108"/>
      <c r="AB4215" s="1412"/>
    </row>
    <row r="4216">
      <c r="AA4216" s="1108"/>
      <c r="AB4216" s="1412"/>
    </row>
    <row r="4217">
      <c r="AA4217" s="1108"/>
      <c r="AB4217" s="1412"/>
    </row>
    <row r="4218">
      <c r="AA4218" s="1108"/>
      <c r="AB4218" s="1412"/>
    </row>
    <row r="4219">
      <c r="AA4219" s="1108"/>
      <c r="AB4219" s="1412"/>
    </row>
    <row r="4220">
      <c r="AA4220" s="1108"/>
      <c r="AB4220" s="1412"/>
    </row>
    <row r="4221">
      <c r="AA4221" s="1108"/>
      <c r="AB4221" s="1412"/>
    </row>
    <row r="4222">
      <c r="AA4222" s="1108"/>
      <c r="AB4222" s="1412"/>
    </row>
    <row r="4223">
      <c r="AA4223" s="1108"/>
      <c r="AB4223" s="1412"/>
    </row>
    <row r="4224">
      <c r="AA4224" s="1108"/>
      <c r="AB4224" s="1412"/>
    </row>
    <row r="4225">
      <c r="AA4225" s="1108"/>
      <c r="AB4225" s="1412"/>
    </row>
    <row r="4226">
      <c r="AA4226" s="1108"/>
      <c r="AB4226" s="1412"/>
    </row>
    <row r="4227">
      <c r="AA4227" s="1108"/>
      <c r="AB4227" s="1412"/>
    </row>
    <row r="4228">
      <c r="AA4228" s="1108"/>
      <c r="AB4228" s="1412"/>
    </row>
    <row r="4229">
      <c r="AA4229" s="1108"/>
      <c r="AB4229" s="1412"/>
    </row>
    <row r="4230">
      <c r="AA4230" s="1108"/>
      <c r="AB4230" s="1412"/>
    </row>
    <row r="4231">
      <c r="AA4231" s="1108"/>
      <c r="AB4231" s="1412"/>
    </row>
    <row r="4232">
      <c r="AA4232" s="1108"/>
      <c r="AB4232" s="1412"/>
    </row>
    <row r="4233">
      <c r="AA4233" s="1108"/>
      <c r="AB4233" s="1412"/>
    </row>
    <row r="4234">
      <c r="AA4234" s="1108"/>
      <c r="AB4234" s="1412"/>
    </row>
    <row r="4235">
      <c r="AA4235" s="1108"/>
      <c r="AB4235" s="1412"/>
    </row>
    <row r="4236">
      <c r="AA4236" s="1108"/>
      <c r="AB4236" s="1412"/>
    </row>
    <row r="4237">
      <c r="AA4237" s="1108"/>
      <c r="AB4237" s="1412"/>
    </row>
    <row r="4238">
      <c r="AA4238" s="1108"/>
      <c r="AB4238" s="1412"/>
    </row>
    <row r="4239">
      <c r="AA4239" s="1108"/>
      <c r="AB4239" s="1412"/>
    </row>
    <row r="4240">
      <c r="AA4240" s="1108"/>
      <c r="AB4240" s="1412"/>
    </row>
    <row r="4241">
      <c r="AA4241" s="1108"/>
      <c r="AB4241" s="1412"/>
    </row>
    <row r="4242">
      <c r="AA4242" s="1108"/>
      <c r="AB4242" s="1412"/>
    </row>
    <row r="4243">
      <c r="AA4243" s="1108"/>
      <c r="AB4243" s="1412"/>
    </row>
    <row r="4244">
      <c r="AA4244" s="1108"/>
      <c r="AB4244" s="1412"/>
    </row>
    <row r="4245">
      <c r="AA4245" s="1108"/>
      <c r="AB4245" s="1412"/>
    </row>
    <row r="4246">
      <c r="AA4246" s="1108"/>
      <c r="AB4246" s="1412"/>
    </row>
    <row r="4247">
      <c r="AA4247" s="1108"/>
      <c r="AB4247" s="1412"/>
    </row>
    <row r="4248">
      <c r="AA4248" s="1108"/>
      <c r="AB4248" s="1412"/>
    </row>
    <row r="4249">
      <c r="AA4249" s="1108"/>
      <c r="AB4249" s="1412"/>
    </row>
    <row r="4250">
      <c r="AA4250" s="1108"/>
      <c r="AB4250" s="1412"/>
    </row>
    <row r="4251">
      <c r="AA4251" s="1108"/>
      <c r="AB4251" s="1412"/>
    </row>
    <row r="4252">
      <c r="AA4252" s="1108"/>
      <c r="AB4252" s="1412"/>
    </row>
    <row r="4253">
      <c r="AA4253" s="1108"/>
      <c r="AB4253" s="1412"/>
    </row>
    <row r="4254">
      <c r="AA4254" s="1108"/>
      <c r="AB4254" s="1412"/>
    </row>
    <row r="4255">
      <c r="AA4255" s="1108"/>
      <c r="AB4255" s="1412"/>
    </row>
    <row r="4256">
      <c r="AA4256" s="1108"/>
      <c r="AB4256" s="1412"/>
    </row>
    <row r="4257">
      <c r="AA4257" s="1108"/>
      <c r="AB4257" s="1412"/>
    </row>
    <row r="4258">
      <c r="AA4258" s="1108"/>
      <c r="AB4258" s="1412"/>
    </row>
    <row r="4259">
      <c r="AA4259" s="1108"/>
      <c r="AB4259" s="1412"/>
    </row>
    <row r="4260">
      <c r="AA4260" s="1108"/>
      <c r="AB4260" s="1412"/>
    </row>
    <row r="4261">
      <c r="AA4261" s="1108"/>
      <c r="AB4261" s="1412"/>
    </row>
    <row r="4262">
      <c r="AA4262" s="1108"/>
      <c r="AB4262" s="1412"/>
    </row>
    <row r="4263">
      <c r="AA4263" s="1108"/>
      <c r="AB4263" s="1412"/>
    </row>
    <row r="4264">
      <c r="AA4264" s="1108"/>
      <c r="AB4264" s="1412"/>
    </row>
    <row r="4265">
      <c r="AA4265" s="1108"/>
      <c r="AB4265" s="1412"/>
    </row>
    <row r="4266">
      <c r="AA4266" s="1108"/>
      <c r="AB4266" s="1412"/>
    </row>
    <row r="4267">
      <c r="AA4267" s="1108"/>
      <c r="AB4267" s="1412"/>
    </row>
    <row r="4268">
      <c r="AA4268" s="1108"/>
      <c r="AB4268" s="1412"/>
    </row>
    <row r="4269">
      <c r="AA4269" s="1108"/>
      <c r="AB4269" s="1412"/>
    </row>
    <row r="4270">
      <c r="AA4270" s="1108"/>
      <c r="AB4270" s="1412"/>
    </row>
    <row r="4271">
      <c r="AA4271" s="1108"/>
      <c r="AB4271" s="1412"/>
    </row>
    <row r="4272">
      <c r="AA4272" s="1108"/>
      <c r="AB4272" s="1412"/>
    </row>
    <row r="4273">
      <c r="AA4273" s="1108"/>
      <c r="AB4273" s="1412"/>
    </row>
    <row r="4274">
      <c r="AA4274" s="1108"/>
      <c r="AB4274" s="1412"/>
    </row>
    <row r="4275">
      <c r="AA4275" s="1108"/>
      <c r="AB4275" s="1412"/>
    </row>
    <row r="4276">
      <c r="AA4276" s="1108"/>
      <c r="AB4276" s="1412"/>
    </row>
    <row r="4277">
      <c r="AA4277" s="1108"/>
      <c r="AB4277" s="1412"/>
    </row>
    <row r="4278">
      <c r="AA4278" s="1108"/>
      <c r="AB4278" s="1412"/>
    </row>
    <row r="4279">
      <c r="AA4279" s="1108"/>
      <c r="AB4279" s="1412"/>
    </row>
    <row r="4280">
      <c r="AA4280" s="1108"/>
      <c r="AB4280" s="1412"/>
    </row>
    <row r="4281">
      <c r="AA4281" s="1108"/>
      <c r="AB4281" s="1412"/>
    </row>
    <row r="4282">
      <c r="AA4282" s="1108"/>
      <c r="AB4282" s="1412"/>
    </row>
    <row r="4283">
      <c r="AA4283" s="1108"/>
      <c r="AB4283" s="1412"/>
    </row>
    <row r="4284">
      <c r="AA4284" s="1108"/>
      <c r="AB4284" s="1412"/>
    </row>
    <row r="4285">
      <c r="AA4285" s="1108"/>
      <c r="AB4285" s="1412"/>
    </row>
    <row r="4286">
      <c r="AA4286" s="1108"/>
      <c r="AB4286" s="1412"/>
    </row>
    <row r="4287">
      <c r="AA4287" s="1108"/>
      <c r="AB4287" s="1412"/>
    </row>
    <row r="4288">
      <c r="AA4288" s="1108"/>
      <c r="AB4288" s="1412"/>
    </row>
    <row r="4289">
      <c r="AA4289" s="1108"/>
      <c r="AB4289" s="1412"/>
    </row>
    <row r="4290">
      <c r="AA4290" s="1108"/>
      <c r="AB4290" s="1412"/>
    </row>
    <row r="4291">
      <c r="AA4291" s="1108"/>
      <c r="AB4291" s="1412"/>
    </row>
    <row r="4292">
      <c r="AA4292" s="1108"/>
      <c r="AB4292" s="1412"/>
    </row>
    <row r="4293">
      <c r="AA4293" s="1108"/>
      <c r="AB4293" s="1412"/>
    </row>
    <row r="4294">
      <c r="AA4294" s="1108"/>
      <c r="AB4294" s="1412"/>
    </row>
    <row r="4295">
      <c r="AA4295" s="1108"/>
      <c r="AB4295" s="1412"/>
    </row>
    <row r="4296">
      <c r="AA4296" s="1108"/>
      <c r="AB4296" s="1412"/>
    </row>
    <row r="4297">
      <c r="AA4297" s="1108"/>
      <c r="AB4297" s="1412"/>
    </row>
    <row r="4298">
      <c r="AA4298" s="1108"/>
      <c r="AB4298" s="1412"/>
    </row>
    <row r="4299">
      <c r="AA4299" s="1108"/>
      <c r="AB4299" s="1412"/>
    </row>
    <row r="4300">
      <c r="AA4300" s="1108"/>
      <c r="AB4300" s="1412"/>
    </row>
    <row r="4301">
      <c r="AA4301" s="1108"/>
      <c r="AB4301" s="1412"/>
    </row>
    <row r="4302">
      <c r="AA4302" s="1108"/>
      <c r="AB4302" s="1412"/>
    </row>
    <row r="4303">
      <c r="AA4303" s="1108"/>
      <c r="AB4303" s="1412"/>
    </row>
    <row r="4304">
      <c r="AA4304" s="1108"/>
      <c r="AB4304" s="1412"/>
    </row>
    <row r="4305">
      <c r="AA4305" s="1108"/>
      <c r="AB4305" s="1412"/>
    </row>
    <row r="4306">
      <c r="AA4306" s="1108"/>
      <c r="AB4306" s="1412"/>
    </row>
    <row r="4307">
      <c r="AA4307" s="1108"/>
      <c r="AB4307" s="1412"/>
    </row>
    <row r="4308">
      <c r="AA4308" s="1108"/>
      <c r="AB4308" s="1412"/>
    </row>
    <row r="4309">
      <c r="AA4309" s="1108"/>
      <c r="AB4309" s="1412"/>
    </row>
    <row r="4310">
      <c r="AA4310" s="1108"/>
      <c r="AB4310" s="1412"/>
    </row>
    <row r="4311">
      <c r="AA4311" s="1108"/>
      <c r="AB4311" s="1412"/>
    </row>
    <row r="4312">
      <c r="AA4312" s="1108"/>
      <c r="AB4312" s="1412"/>
    </row>
    <row r="4313">
      <c r="AA4313" s="1108"/>
      <c r="AB4313" s="1412"/>
    </row>
    <row r="4314">
      <c r="AA4314" s="1108"/>
      <c r="AB4314" s="1412"/>
    </row>
    <row r="4315">
      <c r="AA4315" s="1108"/>
      <c r="AB4315" s="1412"/>
    </row>
    <row r="4316">
      <c r="AA4316" s="1108"/>
      <c r="AB4316" s="1412"/>
    </row>
    <row r="4317">
      <c r="AA4317" s="1108"/>
      <c r="AB4317" s="1412"/>
    </row>
    <row r="4318">
      <c r="AA4318" s="1108"/>
      <c r="AB4318" s="1412"/>
    </row>
    <row r="4319">
      <c r="AA4319" s="1108"/>
      <c r="AB4319" s="1412"/>
    </row>
    <row r="4320">
      <c r="AA4320" s="1108"/>
      <c r="AB4320" s="1412"/>
    </row>
    <row r="4321">
      <c r="AA4321" s="1108"/>
      <c r="AB4321" s="1412"/>
    </row>
    <row r="4322">
      <c r="AA4322" s="1108"/>
      <c r="AB4322" s="1412"/>
    </row>
    <row r="4323">
      <c r="AA4323" s="1108"/>
      <c r="AB4323" s="1412"/>
    </row>
    <row r="4324">
      <c r="AA4324" s="1108"/>
      <c r="AB4324" s="1412"/>
    </row>
    <row r="4325">
      <c r="AA4325" s="1108"/>
      <c r="AB4325" s="1412"/>
    </row>
    <row r="4326">
      <c r="AA4326" s="1108"/>
      <c r="AB4326" s="1412"/>
    </row>
    <row r="4327">
      <c r="AA4327" s="1108"/>
      <c r="AB4327" s="1412"/>
    </row>
    <row r="4328">
      <c r="AA4328" s="1108"/>
      <c r="AB4328" s="1412"/>
    </row>
    <row r="4329">
      <c r="AA4329" s="1108"/>
      <c r="AB4329" s="1412"/>
    </row>
    <row r="4330">
      <c r="AA4330" s="1108"/>
      <c r="AB4330" s="1412"/>
    </row>
    <row r="4331">
      <c r="AA4331" s="1108"/>
      <c r="AB4331" s="1412"/>
    </row>
    <row r="4332">
      <c r="AA4332" s="1108"/>
      <c r="AB4332" s="1412"/>
    </row>
    <row r="4333">
      <c r="AA4333" s="1108"/>
      <c r="AB4333" s="1412"/>
    </row>
    <row r="4334">
      <c r="AA4334" s="1108"/>
      <c r="AB4334" s="1412"/>
    </row>
    <row r="4335">
      <c r="AA4335" s="1108"/>
      <c r="AB4335" s="1412"/>
    </row>
    <row r="4336">
      <c r="AA4336" s="1108"/>
      <c r="AB4336" s="1412"/>
    </row>
    <row r="4337">
      <c r="AA4337" s="1108"/>
      <c r="AB4337" s="1412"/>
    </row>
    <row r="4338">
      <c r="AA4338" s="1108"/>
      <c r="AB4338" s="1412"/>
    </row>
    <row r="4339">
      <c r="AA4339" s="1108"/>
      <c r="AB4339" s="1412"/>
    </row>
    <row r="4340">
      <c r="AA4340" s="1108"/>
      <c r="AB4340" s="1412"/>
    </row>
    <row r="4341">
      <c r="AA4341" s="1108"/>
      <c r="AB4341" s="1412"/>
    </row>
    <row r="4342">
      <c r="AA4342" s="1108"/>
      <c r="AB4342" s="1412"/>
    </row>
    <row r="4343">
      <c r="AA4343" s="1108"/>
      <c r="AB4343" s="1412"/>
    </row>
    <row r="4344">
      <c r="AA4344" s="1108"/>
      <c r="AB4344" s="1412"/>
    </row>
    <row r="4345">
      <c r="AA4345" s="1108"/>
      <c r="AB4345" s="1412"/>
    </row>
    <row r="4346">
      <c r="AA4346" s="1108"/>
      <c r="AB4346" s="1412"/>
    </row>
    <row r="4347">
      <c r="AA4347" s="1108"/>
      <c r="AB4347" s="1412"/>
    </row>
    <row r="4348">
      <c r="AA4348" s="1108"/>
      <c r="AB4348" s="1412"/>
    </row>
    <row r="4349">
      <c r="AA4349" s="1108"/>
      <c r="AB4349" s="1412"/>
    </row>
    <row r="4350">
      <c r="AA4350" s="1108"/>
      <c r="AB4350" s="1412"/>
    </row>
    <row r="4351">
      <c r="AA4351" s="1108"/>
      <c r="AB4351" s="1412"/>
    </row>
    <row r="4352">
      <c r="AA4352" s="1108"/>
      <c r="AB4352" s="1412"/>
    </row>
    <row r="4353">
      <c r="AA4353" s="1108"/>
      <c r="AB4353" s="1412"/>
    </row>
    <row r="4354">
      <c r="AA4354" s="1108"/>
      <c r="AB4354" s="1412"/>
    </row>
    <row r="4355">
      <c r="AA4355" s="1108"/>
      <c r="AB4355" s="1412"/>
    </row>
    <row r="4356">
      <c r="AA4356" s="1108"/>
      <c r="AB4356" s="1412"/>
    </row>
    <row r="4357">
      <c r="AA4357" s="1108"/>
      <c r="AB4357" s="1412"/>
    </row>
    <row r="4358">
      <c r="AA4358" s="1108"/>
      <c r="AB4358" s="1412"/>
    </row>
    <row r="4359">
      <c r="AA4359" s="1108"/>
      <c r="AB4359" s="1412"/>
    </row>
    <row r="4360">
      <c r="AA4360" s="1108"/>
      <c r="AB4360" s="1412"/>
    </row>
    <row r="4361">
      <c r="AA4361" s="1108"/>
      <c r="AB4361" s="1412"/>
    </row>
    <row r="4362">
      <c r="AA4362" s="1108"/>
      <c r="AB4362" s="1412"/>
    </row>
    <row r="4363">
      <c r="AA4363" s="1108"/>
      <c r="AB4363" s="1412"/>
    </row>
    <row r="4364">
      <c r="AA4364" s="1108"/>
      <c r="AB4364" s="1412"/>
    </row>
    <row r="4365">
      <c r="AA4365" s="1108"/>
      <c r="AB4365" s="1412"/>
    </row>
    <row r="4366">
      <c r="AA4366" s="1108"/>
      <c r="AB4366" s="1412"/>
    </row>
    <row r="4367">
      <c r="AA4367" s="1108"/>
      <c r="AB4367" s="1412"/>
    </row>
    <row r="4368">
      <c r="AA4368" s="1108"/>
      <c r="AB4368" s="1412"/>
    </row>
    <row r="4369">
      <c r="AA4369" s="1108"/>
      <c r="AB4369" s="1412"/>
    </row>
    <row r="4370">
      <c r="AA4370" s="1108"/>
      <c r="AB4370" s="1412"/>
    </row>
    <row r="4371">
      <c r="AA4371" s="1108"/>
      <c r="AB4371" s="1412"/>
    </row>
    <row r="4372">
      <c r="AA4372" s="1108"/>
      <c r="AB4372" s="1412"/>
    </row>
    <row r="4373">
      <c r="AA4373" s="1108"/>
      <c r="AB4373" s="1412"/>
    </row>
    <row r="4374">
      <c r="AA4374" s="1108"/>
      <c r="AB4374" s="1412"/>
    </row>
    <row r="4375">
      <c r="AA4375" s="1108"/>
      <c r="AB4375" s="1412"/>
    </row>
    <row r="4376">
      <c r="AA4376" s="1108"/>
      <c r="AB4376" s="1412"/>
    </row>
    <row r="4377">
      <c r="AA4377" s="1108"/>
      <c r="AB4377" s="1412"/>
    </row>
    <row r="4378">
      <c r="AA4378" s="1108"/>
      <c r="AB4378" s="1412"/>
    </row>
    <row r="4379">
      <c r="AA4379" s="1108"/>
      <c r="AB4379" s="1412"/>
    </row>
    <row r="4380">
      <c r="AA4380" s="1108"/>
      <c r="AB4380" s="1412"/>
    </row>
    <row r="4381">
      <c r="AA4381" s="1108"/>
      <c r="AB4381" s="1412"/>
    </row>
    <row r="4382">
      <c r="AA4382" s="1108"/>
      <c r="AB4382" s="1412"/>
    </row>
    <row r="4383">
      <c r="AA4383" s="1108"/>
      <c r="AB4383" s="1412"/>
    </row>
    <row r="4384">
      <c r="AA4384" s="1108"/>
      <c r="AB4384" s="1412"/>
    </row>
    <row r="4385">
      <c r="AA4385" s="1108"/>
      <c r="AB4385" s="1412"/>
    </row>
    <row r="4386">
      <c r="AA4386" s="1108"/>
      <c r="AB4386" s="1412"/>
    </row>
    <row r="4387">
      <c r="AA4387" s="1108"/>
      <c r="AB4387" s="1412"/>
    </row>
    <row r="4388">
      <c r="AA4388" s="1108"/>
      <c r="AB4388" s="1412"/>
    </row>
    <row r="4389">
      <c r="AA4389" s="1108"/>
      <c r="AB4389" s="1412"/>
    </row>
    <row r="4390">
      <c r="AA4390" s="1108"/>
      <c r="AB4390" s="1412"/>
    </row>
    <row r="4391">
      <c r="AA4391" s="1108"/>
      <c r="AB4391" s="1412"/>
    </row>
    <row r="4392">
      <c r="AA4392" s="1108"/>
      <c r="AB4392" s="1412"/>
    </row>
    <row r="4393">
      <c r="AA4393" s="1108"/>
      <c r="AB4393" s="1412"/>
    </row>
    <row r="4394">
      <c r="AA4394" s="1108"/>
      <c r="AB4394" s="1412"/>
    </row>
    <row r="4395">
      <c r="AA4395" s="1108"/>
      <c r="AB4395" s="1412"/>
    </row>
    <row r="4396">
      <c r="AA4396" s="1108"/>
      <c r="AB4396" s="1412"/>
    </row>
    <row r="4397">
      <c r="AA4397" s="1108"/>
      <c r="AB4397" s="1412"/>
    </row>
    <row r="4398">
      <c r="AA4398" s="1108"/>
      <c r="AB4398" s="1412"/>
    </row>
    <row r="4399">
      <c r="AA4399" s="1108"/>
      <c r="AB4399" s="1412"/>
    </row>
    <row r="4400">
      <c r="AA4400" s="1108"/>
      <c r="AB4400" s="1412"/>
    </row>
    <row r="4401">
      <c r="AA4401" s="1108"/>
      <c r="AB4401" s="1412"/>
    </row>
    <row r="4402">
      <c r="AA4402" s="1108"/>
      <c r="AB4402" s="1412"/>
    </row>
    <row r="4403">
      <c r="AA4403" s="1108"/>
      <c r="AB4403" s="1412"/>
    </row>
    <row r="4404">
      <c r="AA4404" s="1108"/>
      <c r="AB4404" s="1412"/>
    </row>
    <row r="4405">
      <c r="AA4405" s="1108"/>
      <c r="AB4405" s="1412"/>
    </row>
    <row r="4406">
      <c r="AA4406" s="1108"/>
      <c r="AB4406" s="1412"/>
    </row>
    <row r="4407">
      <c r="AA4407" s="1108"/>
      <c r="AB4407" s="1412"/>
    </row>
    <row r="4408">
      <c r="AA4408" s="1108"/>
      <c r="AB4408" s="1412"/>
    </row>
    <row r="4409">
      <c r="AA4409" s="1108"/>
      <c r="AB4409" s="1412"/>
    </row>
    <row r="4410">
      <c r="AA4410" s="1108"/>
      <c r="AB4410" s="1412"/>
    </row>
    <row r="4411">
      <c r="AA4411" s="1108"/>
      <c r="AB4411" s="1412"/>
    </row>
    <row r="4412">
      <c r="AA4412" s="1108"/>
      <c r="AB4412" s="1412"/>
    </row>
    <row r="4413">
      <c r="AA4413" s="1108"/>
      <c r="AB4413" s="1412"/>
    </row>
    <row r="4414">
      <c r="AA4414" s="1108"/>
      <c r="AB4414" s="1412"/>
    </row>
    <row r="4415">
      <c r="AA4415" s="1108"/>
      <c r="AB4415" s="1412"/>
    </row>
    <row r="4416">
      <c r="AA4416" s="1108"/>
      <c r="AB4416" s="1412"/>
    </row>
    <row r="4417">
      <c r="AA4417" s="1108"/>
      <c r="AB4417" s="1412"/>
    </row>
    <row r="4418">
      <c r="AA4418" s="1108"/>
      <c r="AB4418" s="1412"/>
    </row>
    <row r="4419">
      <c r="AA4419" s="1108"/>
      <c r="AB4419" s="1412"/>
    </row>
    <row r="4420">
      <c r="AA4420" s="1108"/>
      <c r="AB4420" s="1412"/>
    </row>
    <row r="4421">
      <c r="AA4421" s="1108"/>
      <c r="AB4421" s="1412"/>
    </row>
    <row r="4422">
      <c r="AA4422" s="1108"/>
      <c r="AB4422" s="1412"/>
    </row>
    <row r="4423">
      <c r="AA4423" s="1108"/>
      <c r="AB4423" s="1412"/>
    </row>
    <row r="4424">
      <c r="AA4424" s="1108"/>
      <c r="AB4424" s="1412"/>
    </row>
    <row r="4425">
      <c r="AA4425" s="1108"/>
      <c r="AB4425" s="1412"/>
    </row>
    <row r="4426">
      <c r="AA4426" s="1108"/>
      <c r="AB4426" s="1412"/>
    </row>
    <row r="4427">
      <c r="AA4427" s="1108"/>
      <c r="AB4427" s="1412"/>
    </row>
    <row r="4428">
      <c r="AA4428" s="1108"/>
      <c r="AB4428" s="1412"/>
    </row>
    <row r="4429">
      <c r="AA4429" s="1108"/>
      <c r="AB4429" s="1412"/>
    </row>
    <row r="4430">
      <c r="AA4430" s="1108"/>
      <c r="AB4430" s="1412"/>
    </row>
    <row r="4431">
      <c r="AA4431" s="1108"/>
      <c r="AB4431" s="1412"/>
    </row>
    <row r="4432">
      <c r="AA4432" s="1108"/>
      <c r="AB4432" s="1412"/>
    </row>
    <row r="4433">
      <c r="AA4433" s="1108"/>
      <c r="AB4433" s="1412"/>
    </row>
    <row r="4434">
      <c r="AA4434" s="1108"/>
      <c r="AB4434" s="1412"/>
    </row>
    <row r="4435">
      <c r="AA4435" s="1108"/>
      <c r="AB4435" s="1412"/>
    </row>
    <row r="4436">
      <c r="AA4436" s="1108"/>
      <c r="AB4436" s="1412"/>
    </row>
    <row r="4437">
      <c r="AA4437" s="1108"/>
      <c r="AB4437" s="1412"/>
    </row>
    <row r="4438">
      <c r="AA4438" s="1108"/>
      <c r="AB4438" s="1412"/>
    </row>
    <row r="4439">
      <c r="AA4439" s="1108"/>
      <c r="AB4439" s="1412"/>
    </row>
    <row r="4440">
      <c r="AA4440" s="1108"/>
      <c r="AB4440" s="1412"/>
    </row>
    <row r="4441">
      <c r="AA4441" s="1108"/>
      <c r="AB4441" s="1412"/>
    </row>
    <row r="4442">
      <c r="AA4442" s="1108"/>
      <c r="AB4442" s="1412"/>
    </row>
    <row r="4443">
      <c r="AA4443" s="1108"/>
      <c r="AB4443" s="1412"/>
    </row>
    <row r="4444">
      <c r="AA4444" s="1108"/>
      <c r="AB4444" s="1412"/>
    </row>
    <row r="4445">
      <c r="AA4445" s="1108"/>
      <c r="AB4445" s="1412"/>
    </row>
    <row r="4446">
      <c r="AA4446" s="1108"/>
      <c r="AB4446" s="1412"/>
    </row>
    <row r="4447">
      <c r="AA4447" s="1108"/>
      <c r="AB4447" s="1412"/>
    </row>
    <row r="4448">
      <c r="AA4448" s="1108"/>
      <c r="AB4448" s="1412"/>
    </row>
    <row r="4449">
      <c r="AA4449" s="1108"/>
      <c r="AB4449" s="1412"/>
    </row>
    <row r="4450">
      <c r="AA4450" s="1108"/>
      <c r="AB4450" s="1412"/>
    </row>
    <row r="4451">
      <c r="AA4451" s="1108"/>
      <c r="AB4451" s="1412"/>
    </row>
    <row r="4452">
      <c r="AA4452" s="1108"/>
      <c r="AB4452" s="1412"/>
    </row>
    <row r="4453">
      <c r="AA4453" s="1108"/>
      <c r="AB4453" s="1412"/>
    </row>
    <row r="4454">
      <c r="AA4454" s="1108"/>
      <c r="AB4454" s="1412"/>
    </row>
    <row r="4455">
      <c r="AA4455" s="1108"/>
      <c r="AB4455" s="1412"/>
    </row>
    <row r="4456">
      <c r="AA4456" s="1108"/>
      <c r="AB4456" s="1412"/>
    </row>
    <row r="4457">
      <c r="AA4457" s="1108"/>
      <c r="AB4457" s="1412"/>
    </row>
    <row r="4458">
      <c r="AA4458" s="1108"/>
      <c r="AB4458" s="1412"/>
    </row>
    <row r="4459">
      <c r="AA4459" s="1108"/>
      <c r="AB4459" s="1412"/>
    </row>
    <row r="4460">
      <c r="AA4460" s="1108"/>
      <c r="AB4460" s="1412"/>
    </row>
    <row r="4461">
      <c r="AA4461" s="1108"/>
      <c r="AB4461" s="1412"/>
    </row>
    <row r="4462">
      <c r="AA4462" s="1108"/>
      <c r="AB4462" s="1412"/>
    </row>
    <row r="4463">
      <c r="AA4463" s="1108"/>
      <c r="AB4463" s="1412"/>
    </row>
    <row r="4464">
      <c r="AA4464" s="1108"/>
      <c r="AB4464" s="1412"/>
    </row>
    <row r="4465">
      <c r="AA4465" s="1108"/>
      <c r="AB4465" s="1412"/>
    </row>
    <row r="4466">
      <c r="AA4466" s="1108"/>
      <c r="AB4466" s="1412"/>
    </row>
    <row r="4467">
      <c r="AA4467" s="1108"/>
      <c r="AB4467" s="1412"/>
    </row>
    <row r="4468">
      <c r="AA4468" s="1108"/>
      <c r="AB4468" s="1412"/>
    </row>
    <row r="4469">
      <c r="AA4469" s="1108"/>
      <c r="AB4469" s="1412"/>
    </row>
    <row r="4470">
      <c r="AA4470" s="1108"/>
      <c r="AB4470" s="1412"/>
    </row>
    <row r="4471">
      <c r="AA4471" s="1108"/>
      <c r="AB4471" s="1412"/>
    </row>
    <row r="4472">
      <c r="AA4472" s="1108"/>
      <c r="AB4472" s="1412"/>
    </row>
    <row r="4473">
      <c r="AA4473" s="1108"/>
      <c r="AB4473" s="1412"/>
    </row>
    <row r="4474">
      <c r="AA4474" s="1108"/>
      <c r="AB4474" s="1412"/>
    </row>
    <row r="4475">
      <c r="AA4475" s="1108"/>
      <c r="AB4475" s="1412"/>
    </row>
    <row r="4476">
      <c r="AA4476" s="1108"/>
      <c r="AB4476" s="1412"/>
    </row>
    <row r="4477">
      <c r="AA4477" s="1108"/>
      <c r="AB4477" s="1412"/>
    </row>
    <row r="4478">
      <c r="AA4478" s="1108"/>
      <c r="AB4478" s="1412"/>
    </row>
    <row r="4479">
      <c r="AA4479" s="1108"/>
      <c r="AB4479" s="1412"/>
    </row>
    <row r="4480">
      <c r="AA4480" s="1108"/>
      <c r="AB4480" s="1412"/>
    </row>
    <row r="4481">
      <c r="AA4481" s="1108"/>
      <c r="AB4481" s="1412"/>
    </row>
    <row r="4482">
      <c r="AA4482" s="1108"/>
      <c r="AB4482" s="1412"/>
    </row>
    <row r="4483">
      <c r="AA4483" s="1108"/>
      <c r="AB4483" s="1412"/>
    </row>
    <row r="4484">
      <c r="AA4484" s="1108"/>
      <c r="AB4484" s="1412"/>
    </row>
    <row r="4485">
      <c r="AA4485" s="1108"/>
      <c r="AB4485" s="1412"/>
    </row>
    <row r="4486">
      <c r="AA4486" s="1108"/>
      <c r="AB4486" s="1412"/>
    </row>
    <row r="4487">
      <c r="AA4487" s="1108"/>
      <c r="AB4487" s="1412"/>
    </row>
    <row r="4488">
      <c r="AA4488" s="1108"/>
      <c r="AB4488" s="1412"/>
    </row>
    <row r="4489">
      <c r="AA4489" s="1108"/>
      <c r="AB4489" s="1412"/>
    </row>
    <row r="4490">
      <c r="AA4490" s="1108"/>
      <c r="AB4490" s="1412"/>
    </row>
    <row r="4491">
      <c r="AA4491" s="1108"/>
      <c r="AB4491" s="1412"/>
    </row>
    <row r="4492">
      <c r="AA4492" s="1108"/>
      <c r="AB4492" s="1412"/>
    </row>
    <row r="4493">
      <c r="AA4493" s="1108"/>
      <c r="AB4493" s="1412"/>
    </row>
    <row r="4494">
      <c r="AA4494" s="1108"/>
      <c r="AB4494" s="1412"/>
    </row>
    <row r="4495">
      <c r="AA4495" s="1108"/>
      <c r="AB4495" s="1412"/>
    </row>
    <row r="4496">
      <c r="AA4496" s="1108"/>
      <c r="AB4496" s="1412"/>
    </row>
    <row r="4497">
      <c r="AA4497" s="1108"/>
      <c r="AB4497" s="1412"/>
    </row>
    <row r="4498">
      <c r="AA4498" s="1108"/>
      <c r="AB4498" s="1412"/>
    </row>
    <row r="4499">
      <c r="AA4499" s="1108"/>
      <c r="AB4499" s="1412"/>
    </row>
    <row r="4500">
      <c r="AA4500" s="1108"/>
      <c r="AB4500" s="1412"/>
    </row>
    <row r="4501">
      <c r="AA4501" s="1108"/>
      <c r="AB4501" s="1412"/>
    </row>
    <row r="4502">
      <c r="AA4502" s="1108"/>
      <c r="AB4502" s="1412"/>
    </row>
    <row r="4503">
      <c r="AA4503" s="1108"/>
      <c r="AB4503" s="1412"/>
    </row>
    <row r="4504">
      <c r="AA4504" s="1108"/>
      <c r="AB4504" s="1412"/>
    </row>
    <row r="4505">
      <c r="AA4505" s="1108"/>
      <c r="AB4505" s="1412"/>
    </row>
    <row r="4506">
      <c r="AA4506" s="1108"/>
      <c r="AB4506" s="1412"/>
    </row>
    <row r="4507">
      <c r="AA4507" s="1108"/>
      <c r="AB4507" s="1412"/>
    </row>
    <row r="4508">
      <c r="AA4508" s="1108"/>
      <c r="AB4508" s="1412"/>
    </row>
    <row r="4509">
      <c r="AA4509" s="1108"/>
      <c r="AB4509" s="1412"/>
    </row>
    <row r="4510">
      <c r="AA4510" s="1108"/>
      <c r="AB4510" s="1412"/>
    </row>
    <row r="4511">
      <c r="AA4511" s="1108"/>
      <c r="AB4511" s="1412"/>
    </row>
    <row r="4512">
      <c r="AA4512" s="1108"/>
      <c r="AB4512" s="1412"/>
    </row>
    <row r="4513">
      <c r="AA4513" s="1108"/>
      <c r="AB4513" s="1412"/>
    </row>
    <row r="4514">
      <c r="AA4514" s="1108"/>
      <c r="AB4514" s="1412"/>
    </row>
    <row r="4515">
      <c r="AA4515" s="1108"/>
      <c r="AB4515" s="1412"/>
    </row>
    <row r="4516">
      <c r="AA4516" s="1108"/>
      <c r="AB4516" s="1412"/>
    </row>
    <row r="4517">
      <c r="AA4517" s="1108"/>
      <c r="AB4517" s="1412"/>
    </row>
    <row r="4518">
      <c r="AA4518" s="1108"/>
      <c r="AB4518" s="1412"/>
    </row>
    <row r="4519">
      <c r="AA4519" s="1108"/>
      <c r="AB4519" s="1412"/>
    </row>
    <row r="4520">
      <c r="AA4520" s="1108"/>
      <c r="AB4520" s="1412"/>
    </row>
    <row r="4521">
      <c r="AA4521" s="1108"/>
      <c r="AB4521" s="1412"/>
    </row>
    <row r="4522">
      <c r="AA4522" s="1108"/>
      <c r="AB4522" s="1412"/>
    </row>
    <row r="4523">
      <c r="AA4523" s="1108"/>
      <c r="AB4523" s="1412"/>
    </row>
    <row r="4524">
      <c r="AA4524" s="1108"/>
      <c r="AB4524" s="1412"/>
    </row>
    <row r="4525">
      <c r="AA4525" s="1108"/>
      <c r="AB4525" s="1412"/>
    </row>
    <row r="4526">
      <c r="AA4526" s="1108"/>
      <c r="AB4526" s="1412"/>
    </row>
    <row r="4527">
      <c r="AA4527" s="1108"/>
      <c r="AB4527" s="1412"/>
    </row>
    <row r="4528">
      <c r="AA4528" s="1108"/>
      <c r="AB4528" s="1412"/>
    </row>
    <row r="4529">
      <c r="AA4529" s="1108"/>
      <c r="AB4529" s="1412"/>
    </row>
    <row r="4530">
      <c r="AA4530" s="1108"/>
      <c r="AB4530" s="1412"/>
    </row>
    <row r="4531">
      <c r="AA4531" s="1108"/>
      <c r="AB4531" s="1412"/>
    </row>
    <row r="4532">
      <c r="AA4532" s="1108"/>
      <c r="AB4532" s="1412"/>
    </row>
    <row r="4533">
      <c r="AA4533" s="1108"/>
      <c r="AB4533" s="1412"/>
    </row>
    <row r="4534">
      <c r="AA4534" s="1108"/>
      <c r="AB4534" s="1412"/>
    </row>
    <row r="4535">
      <c r="AA4535" s="1108"/>
      <c r="AB4535" s="1412"/>
    </row>
    <row r="4536">
      <c r="AA4536" s="1108"/>
      <c r="AB4536" s="1412"/>
    </row>
    <row r="4537">
      <c r="AA4537" s="1108"/>
      <c r="AB4537" s="1412"/>
    </row>
    <row r="4538">
      <c r="AA4538" s="1108"/>
      <c r="AB4538" s="1412"/>
    </row>
    <row r="4539">
      <c r="AA4539" s="1108"/>
      <c r="AB4539" s="1412"/>
    </row>
    <row r="4540">
      <c r="AA4540" s="1108"/>
      <c r="AB4540" s="1412"/>
    </row>
    <row r="4541">
      <c r="AA4541" s="1108"/>
      <c r="AB4541" s="1412"/>
    </row>
    <row r="4542">
      <c r="AA4542" s="1108"/>
      <c r="AB4542" s="1412"/>
    </row>
    <row r="4543">
      <c r="AA4543" s="1108"/>
      <c r="AB4543" s="1412"/>
    </row>
    <row r="4544">
      <c r="AA4544" s="1108"/>
      <c r="AB4544" s="1412"/>
    </row>
    <row r="4545">
      <c r="AA4545" s="1108"/>
      <c r="AB4545" s="1412"/>
    </row>
    <row r="4546">
      <c r="AA4546" s="1108"/>
      <c r="AB4546" s="1412"/>
    </row>
    <row r="4547">
      <c r="AA4547" s="1108"/>
      <c r="AB4547" s="1412"/>
    </row>
    <row r="4548">
      <c r="AA4548" s="1108"/>
      <c r="AB4548" s="1412"/>
    </row>
    <row r="4549">
      <c r="AA4549" s="1108"/>
      <c r="AB4549" s="1412"/>
    </row>
    <row r="4550">
      <c r="AA4550" s="1108"/>
      <c r="AB4550" s="1412"/>
    </row>
    <row r="4551">
      <c r="AA4551" s="1108"/>
      <c r="AB4551" s="1412"/>
    </row>
    <row r="4552">
      <c r="AA4552" s="1108"/>
      <c r="AB4552" s="1412"/>
    </row>
    <row r="4553">
      <c r="AA4553" s="1108"/>
      <c r="AB4553" s="1412"/>
    </row>
    <row r="4554">
      <c r="AA4554" s="1108"/>
      <c r="AB4554" s="1412"/>
    </row>
    <row r="4555">
      <c r="AA4555" s="1108"/>
      <c r="AB4555" s="1412"/>
    </row>
    <row r="4556">
      <c r="AA4556" s="1108"/>
      <c r="AB4556" s="1412"/>
    </row>
    <row r="4557">
      <c r="AA4557" s="1108"/>
      <c r="AB4557" s="1412"/>
    </row>
    <row r="4558">
      <c r="AA4558" s="1108"/>
      <c r="AB4558" s="1412"/>
    </row>
    <row r="4559">
      <c r="AA4559" s="1108"/>
      <c r="AB4559" s="1412"/>
    </row>
    <row r="4560">
      <c r="AA4560" s="1108"/>
      <c r="AB4560" s="1412"/>
    </row>
    <row r="4561">
      <c r="AA4561" s="1108"/>
      <c r="AB4561" s="1412"/>
    </row>
    <row r="4562">
      <c r="AA4562" s="1108"/>
      <c r="AB4562" s="1412"/>
    </row>
    <row r="4563">
      <c r="AA4563" s="1108"/>
      <c r="AB4563" s="1412"/>
    </row>
    <row r="4564">
      <c r="AA4564" s="1108"/>
      <c r="AB4564" s="1412"/>
    </row>
    <row r="4565">
      <c r="AA4565" s="1108"/>
      <c r="AB4565" s="1412"/>
    </row>
    <row r="4566">
      <c r="AA4566" s="1108"/>
      <c r="AB4566" s="1412"/>
    </row>
    <row r="4567">
      <c r="AA4567" s="1108"/>
      <c r="AB4567" s="1412"/>
    </row>
    <row r="4568">
      <c r="AA4568" s="1108"/>
      <c r="AB4568" s="1412"/>
    </row>
    <row r="4569">
      <c r="AA4569" s="1108"/>
      <c r="AB4569" s="1412"/>
    </row>
    <row r="4570">
      <c r="AA4570" s="1108"/>
      <c r="AB4570" s="1412"/>
    </row>
    <row r="4571">
      <c r="AA4571" s="1108"/>
      <c r="AB4571" s="1412"/>
    </row>
    <row r="4572">
      <c r="AA4572" s="1108"/>
      <c r="AB4572" s="1412"/>
    </row>
    <row r="4573">
      <c r="AA4573" s="1108"/>
      <c r="AB4573" s="1412"/>
    </row>
    <row r="4574">
      <c r="AA4574" s="1108"/>
      <c r="AB4574" s="1412"/>
    </row>
    <row r="4575">
      <c r="AA4575" s="1108"/>
      <c r="AB4575" s="1412"/>
    </row>
    <row r="4576">
      <c r="AA4576" s="1108"/>
      <c r="AB4576" s="1412"/>
    </row>
    <row r="4577">
      <c r="AA4577" s="1108"/>
      <c r="AB4577" s="1412"/>
    </row>
    <row r="4578">
      <c r="AA4578" s="1108"/>
      <c r="AB4578" s="1412"/>
    </row>
    <row r="4579">
      <c r="AA4579" s="1108"/>
      <c r="AB4579" s="1412"/>
    </row>
    <row r="4580">
      <c r="AA4580" s="1108"/>
      <c r="AB4580" s="1412"/>
    </row>
    <row r="4581">
      <c r="AA4581" s="1108"/>
      <c r="AB4581" s="1412"/>
    </row>
    <row r="4582">
      <c r="AA4582" s="1108"/>
      <c r="AB4582" s="1412"/>
    </row>
    <row r="4583">
      <c r="AA4583" s="1108"/>
      <c r="AB4583" s="1412"/>
    </row>
    <row r="4584">
      <c r="AA4584" s="1108"/>
      <c r="AB4584" s="1412"/>
    </row>
    <row r="4585">
      <c r="AA4585" s="1108"/>
      <c r="AB4585" s="1412"/>
    </row>
    <row r="4586">
      <c r="AA4586" s="1108"/>
      <c r="AB4586" s="1412"/>
    </row>
    <row r="4587">
      <c r="AA4587" s="1108"/>
      <c r="AB4587" s="1412"/>
    </row>
    <row r="4588">
      <c r="AA4588" s="1108"/>
      <c r="AB4588" s="1412"/>
    </row>
    <row r="4589">
      <c r="AA4589" s="1108"/>
      <c r="AB4589" s="1412"/>
    </row>
    <row r="4590">
      <c r="AA4590" s="1108"/>
      <c r="AB4590" s="1412"/>
    </row>
    <row r="4591">
      <c r="AA4591" s="1108"/>
      <c r="AB4591" s="1412"/>
    </row>
    <row r="4592">
      <c r="AA4592" s="1108"/>
      <c r="AB4592" s="1412"/>
    </row>
    <row r="4593">
      <c r="AA4593" s="1108"/>
      <c r="AB4593" s="1412"/>
    </row>
    <row r="4594">
      <c r="AA4594" s="1108"/>
      <c r="AB4594" s="1412"/>
    </row>
    <row r="4595">
      <c r="AA4595" s="1108"/>
      <c r="AB4595" s="1412"/>
    </row>
    <row r="4596">
      <c r="AA4596" s="1108"/>
      <c r="AB4596" s="1412"/>
    </row>
    <row r="4597">
      <c r="AA4597" s="1108"/>
      <c r="AB4597" s="1412"/>
    </row>
    <row r="4598">
      <c r="AA4598" s="1108"/>
      <c r="AB4598" s="1412"/>
    </row>
    <row r="4599">
      <c r="AA4599" s="1108"/>
      <c r="AB4599" s="1412"/>
    </row>
    <row r="4600">
      <c r="AA4600" s="1108"/>
      <c r="AB4600" s="1412"/>
    </row>
    <row r="4601">
      <c r="AA4601" s="1108"/>
      <c r="AB4601" s="1412"/>
    </row>
    <row r="4602">
      <c r="AA4602" s="1108"/>
      <c r="AB4602" s="1412"/>
    </row>
    <row r="4603">
      <c r="AA4603" s="1108"/>
      <c r="AB4603" s="1412"/>
    </row>
    <row r="4604">
      <c r="AA4604" s="1108"/>
      <c r="AB4604" s="1412"/>
    </row>
    <row r="4605">
      <c r="AA4605" s="1108"/>
      <c r="AB4605" s="1412"/>
    </row>
    <row r="4606">
      <c r="AA4606" s="1108"/>
      <c r="AB4606" s="1412"/>
    </row>
    <row r="4607">
      <c r="AA4607" s="1108"/>
      <c r="AB4607" s="1412"/>
    </row>
    <row r="4608">
      <c r="AA4608" s="1108"/>
      <c r="AB4608" s="1412"/>
    </row>
    <row r="4609">
      <c r="AA4609" s="1108"/>
      <c r="AB4609" s="1412"/>
    </row>
    <row r="4610">
      <c r="AA4610" s="1108"/>
      <c r="AB4610" s="1412"/>
    </row>
    <row r="4611">
      <c r="AA4611" s="1108"/>
      <c r="AB4611" s="1412"/>
    </row>
    <row r="4612">
      <c r="AA4612" s="1108"/>
      <c r="AB4612" s="1412"/>
    </row>
    <row r="4613">
      <c r="AA4613" s="1108"/>
      <c r="AB4613" s="1412"/>
    </row>
    <row r="4614">
      <c r="AA4614" s="1108"/>
      <c r="AB4614" s="1412"/>
    </row>
    <row r="4615">
      <c r="AA4615" s="1108"/>
      <c r="AB4615" s="1412"/>
    </row>
    <row r="4616">
      <c r="AA4616" s="1108"/>
      <c r="AB4616" s="1412"/>
    </row>
    <row r="4617">
      <c r="AA4617" s="1108"/>
      <c r="AB4617" s="1412"/>
    </row>
    <row r="4618">
      <c r="AA4618" s="1108"/>
      <c r="AB4618" s="1412"/>
    </row>
    <row r="4619">
      <c r="AA4619" s="1108"/>
      <c r="AB4619" s="1412"/>
    </row>
    <row r="4620">
      <c r="AA4620" s="1108"/>
      <c r="AB4620" s="1412"/>
    </row>
    <row r="4621">
      <c r="AA4621" s="1108"/>
      <c r="AB4621" s="1412"/>
    </row>
    <row r="4622">
      <c r="AA4622" s="1108"/>
      <c r="AB4622" s="1412"/>
    </row>
    <row r="4623">
      <c r="AA4623" s="1108"/>
      <c r="AB4623" s="1412"/>
    </row>
    <row r="4624">
      <c r="AA4624" s="1108"/>
      <c r="AB4624" s="1412"/>
    </row>
    <row r="4625">
      <c r="AA4625" s="1108"/>
      <c r="AB4625" s="1412"/>
    </row>
    <row r="4626">
      <c r="AA4626" s="1108"/>
      <c r="AB4626" s="1412"/>
    </row>
    <row r="4627">
      <c r="AA4627" s="1108"/>
      <c r="AB4627" s="1412"/>
    </row>
    <row r="4628">
      <c r="AA4628" s="1108"/>
      <c r="AB4628" s="1412"/>
    </row>
    <row r="4629">
      <c r="AA4629" s="1108"/>
      <c r="AB4629" s="1412"/>
    </row>
    <row r="4630">
      <c r="AA4630" s="1108"/>
      <c r="AB4630" s="1412"/>
    </row>
    <row r="4631">
      <c r="AA4631" s="1108"/>
      <c r="AB4631" s="1412"/>
    </row>
    <row r="4632">
      <c r="AA4632" s="1108"/>
      <c r="AB4632" s="1412"/>
    </row>
    <row r="4633">
      <c r="AA4633" s="1108"/>
      <c r="AB4633" s="1412"/>
    </row>
    <row r="4634">
      <c r="AA4634" s="1108"/>
      <c r="AB4634" s="1412"/>
    </row>
    <row r="4635">
      <c r="AA4635" s="1108"/>
      <c r="AB4635" s="1412"/>
    </row>
    <row r="4636">
      <c r="AA4636" s="1108"/>
      <c r="AB4636" s="1412"/>
    </row>
    <row r="4637">
      <c r="AA4637" s="1108"/>
      <c r="AB4637" s="1412"/>
    </row>
    <row r="4638">
      <c r="AA4638" s="1108"/>
      <c r="AB4638" s="1412"/>
    </row>
    <row r="4639">
      <c r="AA4639" s="1108"/>
      <c r="AB4639" s="1412"/>
    </row>
    <row r="4640">
      <c r="AA4640" s="1108"/>
      <c r="AB4640" s="1412"/>
    </row>
    <row r="4641">
      <c r="AA4641" s="1108"/>
      <c r="AB4641" s="1412"/>
    </row>
    <row r="4642">
      <c r="AA4642" s="1108"/>
      <c r="AB4642" s="1412"/>
    </row>
    <row r="4643">
      <c r="AA4643" s="1108"/>
      <c r="AB4643" s="1412"/>
    </row>
    <row r="4644">
      <c r="AA4644" s="1108"/>
      <c r="AB4644" s="1412"/>
    </row>
    <row r="4645">
      <c r="AA4645" s="1108"/>
      <c r="AB4645" s="1412"/>
    </row>
    <row r="4646">
      <c r="AA4646" s="1108"/>
      <c r="AB4646" s="1412"/>
    </row>
    <row r="4647">
      <c r="AA4647" s="1108"/>
      <c r="AB4647" s="1412"/>
    </row>
    <row r="4648">
      <c r="AA4648" s="1108"/>
      <c r="AB4648" s="1412"/>
    </row>
    <row r="4649">
      <c r="AA4649" s="1108"/>
      <c r="AB4649" s="1412"/>
    </row>
    <row r="4650">
      <c r="AA4650" s="1108"/>
      <c r="AB4650" s="1412"/>
    </row>
    <row r="4651">
      <c r="AA4651" s="1108"/>
      <c r="AB4651" s="1412"/>
    </row>
    <row r="4652">
      <c r="AA4652" s="1108"/>
      <c r="AB4652" s="1412"/>
    </row>
    <row r="4653">
      <c r="AA4653" s="1108"/>
      <c r="AB4653" s="1412"/>
    </row>
    <row r="4654">
      <c r="AA4654" s="1108"/>
      <c r="AB4654" s="1412"/>
    </row>
    <row r="4655">
      <c r="AA4655" s="1108"/>
      <c r="AB4655" s="1412"/>
    </row>
    <row r="4656">
      <c r="AA4656" s="1108"/>
      <c r="AB4656" s="1412"/>
    </row>
    <row r="4657">
      <c r="AA4657" s="1108"/>
      <c r="AB4657" s="1412"/>
    </row>
    <row r="4658">
      <c r="AA4658" s="1108"/>
      <c r="AB4658" s="1412"/>
    </row>
    <row r="4659">
      <c r="AA4659" s="1108"/>
      <c r="AB4659" s="1412"/>
    </row>
    <row r="4660">
      <c r="AA4660" s="1108"/>
      <c r="AB4660" s="1412"/>
    </row>
    <row r="4661">
      <c r="AA4661" s="1108"/>
      <c r="AB4661" s="1412"/>
    </row>
    <row r="4662">
      <c r="AA4662" s="1108"/>
      <c r="AB4662" s="1412"/>
    </row>
    <row r="4663">
      <c r="AA4663" s="1108"/>
      <c r="AB4663" s="1412"/>
    </row>
    <row r="4664">
      <c r="AA4664" s="1108"/>
      <c r="AB4664" s="1412"/>
    </row>
    <row r="4665">
      <c r="AA4665" s="1108"/>
      <c r="AB4665" s="1412"/>
    </row>
    <row r="4666">
      <c r="AA4666" s="1108"/>
      <c r="AB4666" s="1412"/>
    </row>
    <row r="4667">
      <c r="AA4667" s="1108"/>
      <c r="AB4667" s="1412"/>
    </row>
    <row r="4668">
      <c r="AA4668" s="1108"/>
      <c r="AB4668" s="1412"/>
    </row>
    <row r="4669">
      <c r="AA4669" s="1108"/>
      <c r="AB4669" s="1412"/>
    </row>
    <row r="4670">
      <c r="AA4670" s="1108"/>
      <c r="AB4670" s="1412"/>
    </row>
    <row r="4671">
      <c r="AA4671" s="1108"/>
      <c r="AB4671" s="1412"/>
    </row>
    <row r="4672">
      <c r="AA4672" s="1108"/>
      <c r="AB4672" s="1412"/>
    </row>
    <row r="4673">
      <c r="AA4673" s="1108"/>
      <c r="AB4673" s="1412"/>
    </row>
    <row r="4674">
      <c r="AA4674" s="1108"/>
      <c r="AB4674" s="1412"/>
    </row>
    <row r="4675">
      <c r="AA4675" s="1108"/>
      <c r="AB4675" s="1412"/>
    </row>
    <row r="4676">
      <c r="AA4676" s="1108"/>
      <c r="AB4676" s="1412"/>
    </row>
    <row r="4677">
      <c r="AA4677" s="1108"/>
      <c r="AB4677" s="1412"/>
    </row>
    <row r="4678">
      <c r="AA4678" s="1108"/>
      <c r="AB4678" s="1412"/>
    </row>
    <row r="4679">
      <c r="AA4679" s="1108"/>
      <c r="AB4679" s="1412"/>
    </row>
    <row r="4680">
      <c r="AA4680" s="1108"/>
      <c r="AB4680" s="1412"/>
    </row>
    <row r="4681">
      <c r="AA4681" s="1108"/>
      <c r="AB4681" s="1412"/>
    </row>
    <row r="4682">
      <c r="AA4682" s="1108"/>
      <c r="AB4682" s="1412"/>
    </row>
    <row r="4683">
      <c r="AA4683" s="1108"/>
      <c r="AB4683" s="1412"/>
    </row>
    <row r="4684">
      <c r="AA4684" s="1108"/>
      <c r="AB4684" s="1412"/>
    </row>
    <row r="4685">
      <c r="AA4685" s="1108"/>
      <c r="AB4685" s="1412"/>
    </row>
    <row r="4686">
      <c r="AA4686" s="1108"/>
      <c r="AB4686" s="1412"/>
    </row>
    <row r="4687">
      <c r="AA4687" s="1108"/>
      <c r="AB4687" s="1412"/>
    </row>
    <row r="4688">
      <c r="AA4688" s="1108"/>
      <c r="AB4688" s="1412"/>
    </row>
    <row r="4689">
      <c r="AA4689" s="1108"/>
      <c r="AB4689" s="1412"/>
    </row>
    <row r="4690">
      <c r="AA4690" s="1108"/>
      <c r="AB4690" s="1412"/>
    </row>
    <row r="4691">
      <c r="AA4691" s="1108"/>
      <c r="AB4691" s="1412"/>
    </row>
    <row r="4692">
      <c r="AA4692" s="1108"/>
      <c r="AB4692" s="1412"/>
    </row>
    <row r="4693">
      <c r="AA4693" s="1108"/>
      <c r="AB4693" s="1412"/>
    </row>
    <row r="4694">
      <c r="AA4694" s="1108"/>
      <c r="AB4694" s="1412"/>
    </row>
    <row r="4695">
      <c r="AA4695" s="1108"/>
      <c r="AB4695" s="1412"/>
    </row>
    <row r="4696">
      <c r="AA4696" s="1108"/>
      <c r="AB4696" s="1412"/>
    </row>
    <row r="4697">
      <c r="AA4697" s="1108"/>
      <c r="AB4697" s="1412"/>
    </row>
    <row r="4698">
      <c r="AA4698" s="1108"/>
      <c r="AB4698" s="1412"/>
    </row>
    <row r="4699">
      <c r="AA4699" s="1108"/>
      <c r="AB4699" s="1412"/>
    </row>
    <row r="4700">
      <c r="AA4700" s="1108"/>
      <c r="AB4700" s="1412"/>
    </row>
    <row r="4701">
      <c r="AA4701" s="1108"/>
      <c r="AB4701" s="1412"/>
    </row>
    <row r="4702">
      <c r="AA4702" s="1108"/>
      <c r="AB4702" s="1412"/>
    </row>
    <row r="4703">
      <c r="AA4703" s="1108"/>
      <c r="AB4703" s="1412"/>
    </row>
    <row r="4704">
      <c r="AA4704" s="1108"/>
      <c r="AB4704" s="1412"/>
    </row>
    <row r="4705">
      <c r="AA4705" s="1108"/>
      <c r="AB4705" s="1412"/>
    </row>
    <row r="4706">
      <c r="AA4706" s="1108"/>
      <c r="AB4706" s="1412"/>
    </row>
    <row r="4707">
      <c r="AA4707" s="1108"/>
      <c r="AB4707" s="1412"/>
    </row>
    <row r="4708">
      <c r="AA4708" s="1108"/>
      <c r="AB4708" s="1412"/>
    </row>
    <row r="4709">
      <c r="AA4709" s="1108"/>
      <c r="AB4709" s="1412"/>
    </row>
    <row r="4710">
      <c r="AA4710" s="1108"/>
      <c r="AB4710" s="1412"/>
    </row>
    <row r="4711">
      <c r="AA4711" s="1108"/>
      <c r="AB4711" s="1412"/>
    </row>
    <row r="4712">
      <c r="AA4712" s="1108"/>
      <c r="AB4712" s="1412"/>
    </row>
    <row r="4713">
      <c r="AA4713" s="1108"/>
      <c r="AB4713" s="1412"/>
    </row>
    <row r="4714">
      <c r="AA4714" s="1108"/>
      <c r="AB4714" s="1412"/>
    </row>
    <row r="4715">
      <c r="AA4715" s="1108"/>
      <c r="AB4715" s="1412"/>
    </row>
    <row r="4716">
      <c r="AA4716" s="1108"/>
      <c r="AB4716" s="1412"/>
    </row>
    <row r="4717">
      <c r="AA4717" s="1108"/>
      <c r="AB4717" s="1412"/>
    </row>
    <row r="4718">
      <c r="AA4718" s="1108"/>
      <c r="AB4718" s="1412"/>
    </row>
    <row r="4719">
      <c r="AA4719" s="1108"/>
      <c r="AB4719" s="1412"/>
    </row>
    <row r="4720">
      <c r="AA4720" s="1108"/>
      <c r="AB4720" s="1412"/>
    </row>
    <row r="4721">
      <c r="AA4721" s="1108"/>
      <c r="AB4721" s="1412"/>
    </row>
    <row r="4722">
      <c r="AA4722" s="1108"/>
      <c r="AB4722" s="1412"/>
    </row>
    <row r="4723">
      <c r="AA4723" s="1108"/>
      <c r="AB4723" s="1412"/>
    </row>
    <row r="4724">
      <c r="AA4724" s="1108"/>
      <c r="AB4724" s="1412"/>
    </row>
    <row r="4725">
      <c r="AA4725" s="1108"/>
      <c r="AB4725" s="1412"/>
    </row>
    <row r="4726">
      <c r="AA4726" s="1108"/>
      <c r="AB4726" s="1412"/>
    </row>
    <row r="4727">
      <c r="AA4727" s="1108"/>
      <c r="AB4727" s="1412"/>
    </row>
    <row r="4728">
      <c r="AA4728" s="1108"/>
      <c r="AB4728" s="1412"/>
    </row>
    <row r="4729">
      <c r="AA4729" s="1108"/>
      <c r="AB4729" s="1412"/>
    </row>
    <row r="4730">
      <c r="AA4730" s="1108"/>
      <c r="AB4730" s="1412"/>
    </row>
    <row r="4731">
      <c r="AA4731" s="1108"/>
      <c r="AB4731" s="1412"/>
    </row>
    <row r="4732">
      <c r="AA4732" s="1108"/>
      <c r="AB4732" s="1412"/>
    </row>
    <row r="4733">
      <c r="AA4733" s="1108"/>
      <c r="AB4733" s="1412"/>
    </row>
    <row r="4734">
      <c r="AA4734" s="1108"/>
      <c r="AB4734" s="1412"/>
    </row>
    <row r="4735">
      <c r="AA4735" s="1108"/>
      <c r="AB4735" s="1412"/>
    </row>
    <row r="4736">
      <c r="AA4736" s="1108"/>
      <c r="AB4736" s="1412"/>
    </row>
    <row r="4737">
      <c r="AA4737" s="1108"/>
      <c r="AB4737" s="1412"/>
    </row>
    <row r="4738">
      <c r="AA4738" s="1108"/>
      <c r="AB4738" s="1412"/>
    </row>
    <row r="4739">
      <c r="AA4739" s="1108"/>
      <c r="AB4739" s="1412"/>
    </row>
    <row r="4740">
      <c r="AA4740" s="1108"/>
      <c r="AB4740" s="1412"/>
    </row>
    <row r="4741">
      <c r="AA4741" s="1108"/>
      <c r="AB4741" s="1412"/>
    </row>
    <row r="4742">
      <c r="AA4742" s="1108"/>
      <c r="AB4742" s="1412"/>
    </row>
    <row r="4743">
      <c r="AA4743" s="1108"/>
      <c r="AB4743" s="1412"/>
    </row>
    <row r="4744">
      <c r="AA4744" s="1108"/>
      <c r="AB4744" s="1412"/>
    </row>
    <row r="4745">
      <c r="AA4745" s="1108"/>
      <c r="AB4745" s="1412"/>
    </row>
    <row r="4746">
      <c r="AA4746" s="1108"/>
      <c r="AB4746" s="1412"/>
    </row>
    <row r="4747">
      <c r="AA4747" s="1108"/>
      <c r="AB4747" s="1412"/>
    </row>
    <row r="4748">
      <c r="AA4748" s="1108"/>
      <c r="AB4748" s="1412"/>
    </row>
    <row r="4749">
      <c r="AA4749" s="1108"/>
      <c r="AB4749" s="1412"/>
    </row>
    <row r="4750">
      <c r="AA4750" s="1108"/>
      <c r="AB4750" s="1412"/>
    </row>
    <row r="4751">
      <c r="AA4751" s="1108"/>
      <c r="AB4751" s="1412"/>
    </row>
    <row r="4752">
      <c r="AA4752" s="1108"/>
      <c r="AB4752" s="1412"/>
    </row>
    <row r="4753">
      <c r="AA4753" s="1108"/>
      <c r="AB4753" s="1412"/>
    </row>
    <row r="4754">
      <c r="AA4754" s="1108"/>
      <c r="AB4754" s="1412"/>
    </row>
    <row r="4755">
      <c r="AA4755" s="1108"/>
      <c r="AB4755" s="1412"/>
    </row>
    <row r="4756">
      <c r="AA4756" s="1108"/>
      <c r="AB4756" s="1412"/>
    </row>
    <row r="4757">
      <c r="AA4757" s="1108"/>
      <c r="AB4757" s="1412"/>
    </row>
    <row r="4758">
      <c r="AA4758" s="1108"/>
      <c r="AB4758" s="1412"/>
    </row>
    <row r="4759">
      <c r="AA4759" s="1108"/>
      <c r="AB4759" s="1412"/>
    </row>
    <row r="4760">
      <c r="AA4760" s="1108"/>
      <c r="AB4760" s="1412"/>
    </row>
    <row r="4761">
      <c r="AA4761" s="1108"/>
      <c r="AB4761" s="1412"/>
    </row>
    <row r="4762">
      <c r="AA4762" s="1108"/>
      <c r="AB4762" s="1412"/>
    </row>
    <row r="4763">
      <c r="AA4763" s="1108"/>
      <c r="AB4763" s="1412"/>
    </row>
    <row r="4764">
      <c r="AA4764" s="1108"/>
      <c r="AB4764" s="1412"/>
    </row>
    <row r="4765">
      <c r="AA4765" s="1108"/>
      <c r="AB4765" s="1412"/>
    </row>
    <row r="4766">
      <c r="AA4766" s="1108"/>
      <c r="AB4766" s="1412"/>
    </row>
    <row r="4767">
      <c r="AA4767" s="1108"/>
      <c r="AB4767" s="1412"/>
    </row>
    <row r="4768">
      <c r="AA4768" s="1108"/>
      <c r="AB4768" s="1412"/>
    </row>
    <row r="4769">
      <c r="AA4769" s="1108"/>
      <c r="AB4769" s="1412"/>
    </row>
    <row r="4770">
      <c r="AA4770" s="1108"/>
      <c r="AB4770" s="1412"/>
    </row>
    <row r="4771">
      <c r="AA4771" s="1108"/>
      <c r="AB4771" s="1412"/>
    </row>
    <row r="4772">
      <c r="AA4772" s="1108"/>
      <c r="AB4772" s="1412"/>
    </row>
    <row r="4773">
      <c r="AA4773" s="1108"/>
      <c r="AB4773" s="1412"/>
    </row>
    <row r="4774">
      <c r="AA4774" s="1108"/>
      <c r="AB4774" s="1412"/>
    </row>
    <row r="4775">
      <c r="AA4775" s="1108"/>
      <c r="AB4775" s="1412"/>
    </row>
    <row r="4776">
      <c r="AA4776" s="1108"/>
      <c r="AB4776" s="1412"/>
    </row>
    <row r="4777">
      <c r="AA4777" s="1108"/>
      <c r="AB4777" s="1412"/>
    </row>
    <row r="4778">
      <c r="AA4778" s="1108"/>
      <c r="AB4778" s="1412"/>
    </row>
    <row r="4779">
      <c r="AA4779" s="1108"/>
      <c r="AB4779" s="1412"/>
    </row>
    <row r="4780">
      <c r="AA4780" s="1108"/>
      <c r="AB4780" s="1412"/>
    </row>
    <row r="4781">
      <c r="AA4781" s="1108"/>
      <c r="AB4781" s="1412"/>
    </row>
    <row r="4782">
      <c r="AA4782" s="1108"/>
      <c r="AB4782" s="1412"/>
    </row>
    <row r="4783">
      <c r="AA4783" s="1108"/>
      <c r="AB4783" s="1412"/>
    </row>
    <row r="4784">
      <c r="AA4784" s="1108"/>
      <c r="AB4784" s="1412"/>
    </row>
    <row r="4785">
      <c r="AA4785" s="1108"/>
      <c r="AB4785" s="1412"/>
    </row>
    <row r="4786">
      <c r="AA4786" s="1108"/>
      <c r="AB4786" s="1412"/>
    </row>
    <row r="4787">
      <c r="AA4787" s="1108"/>
      <c r="AB4787" s="1412"/>
    </row>
    <row r="4788">
      <c r="AA4788" s="1108"/>
      <c r="AB4788" s="1412"/>
    </row>
    <row r="4789">
      <c r="AA4789" s="1108"/>
      <c r="AB4789" s="1412"/>
    </row>
    <row r="4790">
      <c r="AA4790" s="1108"/>
      <c r="AB4790" s="1412"/>
    </row>
    <row r="4791">
      <c r="AA4791" s="1108"/>
      <c r="AB4791" s="1412"/>
    </row>
    <row r="4792">
      <c r="AA4792" s="1108"/>
      <c r="AB4792" s="1412"/>
    </row>
    <row r="4793">
      <c r="AA4793" s="1108"/>
      <c r="AB4793" s="1412"/>
    </row>
    <row r="4794">
      <c r="AA4794" s="1108"/>
      <c r="AB4794" s="1412"/>
    </row>
    <row r="4795">
      <c r="AA4795" s="1108"/>
      <c r="AB4795" s="1412"/>
    </row>
    <row r="4796">
      <c r="AA4796" s="1108"/>
      <c r="AB4796" s="1412"/>
    </row>
    <row r="4797">
      <c r="AA4797" s="1108"/>
      <c r="AB4797" s="1412"/>
    </row>
    <row r="4798">
      <c r="AA4798" s="1108"/>
      <c r="AB4798" s="1412"/>
    </row>
    <row r="4799">
      <c r="AA4799" s="1108"/>
      <c r="AB4799" s="1412"/>
    </row>
    <row r="4800">
      <c r="AA4800" s="1108"/>
      <c r="AB4800" s="1412"/>
    </row>
    <row r="4801">
      <c r="AA4801" s="1108"/>
      <c r="AB4801" s="1412"/>
    </row>
    <row r="4802">
      <c r="AA4802" s="1108"/>
      <c r="AB4802" s="1412"/>
    </row>
    <row r="4803">
      <c r="AA4803" s="1108"/>
      <c r="AB4803" s="1412"/>
    </row>
    <row r="4804">
      <c r="AA4804" s="1108"/>
      <c r="AB4804" s="1412"/>
    </row>
    <row r="4805">
      <c r="AA4805" s="1108"/>
      <c r="AB4805" s="1412"/>
    </row>
    <row r="4806">
      <c r="AA4806" s="1108"/>
      <c r="AB4806" s="1412"/>
    </row>
    <row r="4807">
      <c r="AA4807" s="1108"/>
      <c r="AB4807" s="1412"/>
    </row>
    <row r="4808">
      <c r="AA4808" s="1108"/>
      <c r="AB4808" s="1412"/>
    </row>
    <row r="4809">
      <c r="AA4809" s="1108"/>
      <c r="AB4809" s="1412"/>
    </row>
    <row r="4810">
      <c r="AA4810" s="1108"/>
      <c r="AB4810" s="1412"/>
    </row>
    <row r="4811">
      <c r="AA4811" s="1108"/>
      <c r="AB4811" s="1412"/>
    </row>
    <row r="4812">
      <c r="AA4812" s="1108"/>
      <c r="AB4812" s="1412"/>
    </row>
    <row r="4813">
      <c r="AA4813" s="1108"/>
      <c r="AB4813" s="1412"/>
    </row>
    <row r="4814">
      <c r="AA4814" s="1108"/>
      <c r="AB4814" s="1412"/>
    </row>
    <row r="4815">
      <c r="AA4815" s="1108"/>
      <c r="AB4815" s="1412"/>
    </row>
    <row r="4816">
      <c r="AA4816" s="1108"/>
      <c r="AB4816" s="1412"/>
    </row>
    <row r="4817">
      <c r="AA4817" s="1108"/>
      <c r="AB4817" s="1412"/>
    </row>
    <row r="4818">
      <c r="AA4818" s="1108"/>
      <c r="AB4818" s="1412"/>
    </row>
    <row r="4819">
      <c r="AA4819" s="1108"/>
      <c r="AB4819" s="1412"/>
    </row>
    <row r="4820">
      <c r="AA4820" s="1108"/>
      <c r="AB4820" s="1412"/>
    </row>
    <row r="4821">
      <c r="AA4821" s="1108"/>
      <c r="AB4821" s="1412"/>
    </row>
    <row r="4822">
      <c r="AA4822" s="1108"/>
      <c r="AB4822" s="1412"/>
    </row>
    <row r="4823">
      <c r="AA4823" s="1108"/>
      <c r="AB4823" s="1412"/>
    </row>
    <row r="4824">
      <c r="AA4824" s="1108"/>
      <c r="AB4824" s="1412"/>
    </row>
    <row r="4825">
      <c r="AA4825" s="1108"/>
      <c r="AB4825" s="1412"/>
    </row>
    <row r="4826">
      <c r="AA4826" s="1108"/>
      <c r="AB4826" s="1412"/>
    </row>
    <row r="4827">
      <c r="AA4827" s="1108"/>
      <c r="AB4827" s="1412"/>
    </row>
    <row r="4828">
      <c r="AA4828" s="1108"/>
      <c r="AB4828" s="1412"/>
    </row>
    <row r="4829">
      <c r="AA4829" s="1108"/>
      <c r="AB4829" s="1412"/>
    </row>
    <row r="4830">
      <c r="AA4830" s="1108"/>
      <c r="AB4830" s="1412"/>
    </row>
    <row r="4831">
      <c r="AA4831" s="1108"/>
      <c r="AB4831" s="1412"/>
    </row>
    <row r="4832">
      <c r="AA4832" s="1108"/>
      <c r="AB4832" s="1412"/>
    </row>
    <row r="4833">
      <c r="AA4833" s="1108"/>
      <c r="AB4833" s="1412"/>
    </row>
    <row r="4834">
      <c r="AA4834" s="1108"/>
      <c r="AB4834" s="1412"/>
    </row>
    <row r="4835">
      <c r="AA4835" s="1108"/>
      <c r="AB4835" s="1412"/>
    </row>
    <row r="4836">
      <c r="AA4836" s="1108"/>
      <c r="AB4836" s="1412"/>
    </row>
    <row r="4837">
      <c r="AA4837" s="1108"/>
      <c r="AB4837" s="1412"/>
    </row>
    <row r="4838">
      <c r="AA4838" s="1108"/>
      <c r="AB4838" s="1412"/>
    </row>
    <row r="4839">
      <c r="AA4839" s="1108"/>
      <c r="AB4839" s="1412"/>
    </row>
    <row r="4840">
      <c r="AA4840" s="1108"/>
      <c r="AB4840" s="1412"/>
    </row>
    <row r="4841">
      <c r="AA4841" s="1108"/>
      <c r="AB4841" s="1412"/>
    </row>
    <row r="4842">
      <c r="AA4842" s="1108"/>
      <c r="AB4842" s="1412"/>
    </row>
    <row r="4843">
      <c r="AA4843" s="1108"/>
      <c r="AB4843" s="1412"/>
    </row>
    <row r="4844">
      <c r="AA4844" s="1108"/>
      <c r="AB4844" s="1412"/>
    </row>
    <row r="4845">
      <c r="AA4845" s="1108"/>
      <c r="AB4845" s="1412"/>
    </row>
    <row r="4846">
      <c r="AA4846" s="1108"/>
      <c r="AB4846" s="1412"/>
    </row>
    <row r="4847">
      <c r="AA4847" s="1108"/>
      <c r="AB4847" s="1412"/>
    </row>
    <row r="4848">
      <c r="AA4848" s="1108"/>
      <c r="AB4848" s="1412"/>
    </row>
    <row r="4849">
      <c r="AA4849" s="1108"/>
      <c r="AB4849" s="1412"/>
    </row>
    <row r="4850">
      <c r="AA4850" s="1108"/>
      <c r="AB4850" s="1412"/>
    </row>
    <row r="4851">
      <c r="AA4851" s="1108"/>
      <c r="AB4851" s="1412"/>
    </row>
    <row r="4852">
      <c r="AA4852" s="1108"/>
      <c r="AB4852" s="1412"/>
    </row>
    <row r="4853">
      <c r="AA4853" s="1108"/>
      <c r="AB4853" s="1412"/>
    </row>
    <row r="4854">
      <c r="AA4854" s="1108"/>
      <c r="AB4854" s="1412"/>
    </row>
    <row r="4855">
      <c r="AA4855" s="1108"/>
      <c r="AB4855" s="1412"/>
    </row>
    <row r="4856">
      <c r="AA4856" s="1108"/>
      <c r="AB4856" s="1412"/>
    </row>
    <row r="4857">
      <c r="AA4857" s="1108"/>
      <c r="AB4857" s="1412"/>
    </row>
    <row r="4858">
      <c r="AA4858" s="1108"/>
      <c r="AB4858" s="1412"/>
    </row>
    <row r="4859">
      <c r="AA4859" s="1108"/>
      <c r="AB4859" s="1412"/>
    </row>
    <row r="4860">
      <c r="AA4860" s="1108"/>
      <c r="AB4860" s="1412"/>
    </row>
    <row r="4861">
      <c r="AA4861" s="1108"/>
      <c r="AB4861" s="1412"/>
    </row>
    <row r="4862">
      <c r="AA4862" s="1108"/>
      <c r="AB4862" s="1412"/>
    </row>
    <row r="4863">
      <c r="AA4863" s="1108"/>
      <c r="AB4863" s="1412"/>
    </row>
    <row r="4864">
      <c r="AA4864" s="1108"/>
      <c r="AB4864" s="1412"/>
    </row>
    <row r="4865">
      <c r="AA4865" s="1108"/>
      <c r="AB4865" s="1412"/>
    </row>
    <row r="4866">
      <c r="AA4866" s="1108"/>
      <c r="AB4866" s="1412"/>
    </row>
    <row r="4867">
      <c r="AA4867" s="1108"/>
      <c r="AB4867" s="1412"/>
    </row>
    <row r="4868">
      <c r="AA4868" s="1108"/>
      <c r="AB4868" s="1412"/>
    </row>
    <row r="4869">
      <c r="AA4869" s="1108"/>
      <c r="AB4869" s="1412"/>
    </row>
    <row r="4870">
      <c r="AA4870" s="1108"/>
      <c r="AB4870" s="1412"/>
    </row>
    <row r="4871">
      <c r="AA4871" s="1108"/>
      <c r="AB4871" s="1412"/>
    </row>
    <row r="4872">
      <c r="AA4872" s="1108"/>
      <c r="AB4872" s="1412"/>
    </row>
    <row r="4873">
      <c r="AA4873" s="1108"/>
      <c r="AB4873" s="1412"/>
    </row>
    <row r="4874">
      <c r="AA4874" s="1108"/>
      <c r="AB4874" s="1412"/>
    </row>
    <row r="4875">
      <c r="AA4875" s="1108"/>
      <c r="AB4875" s="1412"/>
    </row>
    <row r="4876">
      <c r="AA4876" s="1108"/>
      <c r="AB4876" s="1412"/>
    </row>
    <row r="4877">
      <c r="AA4877" s="1108"/>
      <c r="AB4877" s="1412"/>
    </row>
    <row r="4878">
      <c r="AA4878" s="1108"/>
      <c r="AB4878" s="1412"/>
    </row>
    <row r="4879">
      <c r="AA4879" s="1108"/>
      <c r="AB4879" s="1412"/>
    </row>
    <row r="4880">
      <c r="AA4880" s="1108"/>
      <c r="AB4880" s="1412"/>
    </row>
    <row r="4881">
      <c r="AA4881" s="1108"/>
      <c r="AB4881" s="1412"/>
    </row>
    <row r="4882">
      <c r="AA4882" s="1108"/>
      <c r="AB4882" s="1412"/>
    </row>
    <row r="4883">
      <c r="AA4883" s="1108"/>
      <c r="AB4883" s="1412"/>
    </row>
    <row r="4884">
      <c r="AA4884" s="1108"/>
      <c r="AB4884" s="1412"/>
    </row>
    <row r="4885">
      <c r="AA4885" s="1108"/>
      <c r="AB4885" s="1412"/>
    </row>
    <row r="4886">
      <c r="AA4886" s="1108"/>
      <c r="AB4886" s="1412"/>
    </row>
    <row r="4887">
      <c r="AA4887" s="1108"/>
      <c r="AB4887" s="1412"/>
    </row>
    <row r="4888">
      <c r="AA4888" s="1108"/>
      <c r="AB4888" s="1412"/>
    </row>
    <row r="4889">
      <c r="AA4889" s="1108"/>
      <c r="AB4889" s="1412"/>
    </row>
    <row r="4890">
      <c r="AA4890" s="1108"/>
      <c r="AB4890" s="1412"/>
    </row>
    <row r="4891">
      <c r="AA4891" s="1108"/>
      <c r="AB4891" s="1412"/>
    </row>
    <row r="4892">
      <c r="AA4892" s="1108"/>
      <c r="AB4892" s="1412"/>
    </row>
    <row r="4893">
      <c r="AA4893" s="1108"/>
      <c r="AB4893" s="1412"/>
    </row>
    <row r="4894">
      <c r="AA4894" s="1108"/>
      <c r="AB4894" s="1412"/>
    </row>
    <row r="4895">
      <c r="AA4895" s="1108"/>
      <c r="AB4895" s="1412"/>
    </row>
    <row r="4896">
      <c r="AA4896" s="1108"/>
      <c r="AB4896" s="1412"/>
    </row>
    <row r="4897">
      <c r="AA4897" s="1108"/>
      <c r="AB4897" s="1412"/>
    </row>
    <row r="4898">
      <c r="AA4898" s="1108"/>
      <c r="AB4898" s="1412"/>
    </row>
    <row r="4899">
      <c r="AA4899" s="1108"/>
      <c r="AB4899" s="1412"/>
    </row>
    <row r="4900">
      <c r="AA4900" s="1108"/>
      <c r="AB4900" s="1412"/>
    </row>
    <row r="4901">
      <c r="AA4901" s="1108"/>
      <c r="AB4901" s="1412"/>
    </row>
    <row r="4902">
      <c r="AA4902" s="1108"/>
      <c r="AB4902" s="1412"/>
    </row>
    <row r="4903">
      <c r="AA4903" s="1108"/>
      <c r="AB4903" s="1412"/>
    </row>
    <row r="4904">
      <c r="AA4904" s="1108"/>
      <c r="AB4904" s="1412"/>
    </row>
    <row r="4905">
      <c r="AA4905" s="1108"/>
      <c r="AB4905" s="1412"/>
    </row>
    <row r="4906">
      <c r="AA4906" s="1108"/>
      <c r="AB4906" s="1412"/>
    </row>
    <row r="4907">
      <c r="AA4907" s="1108"/>
      <c r="AB4907" s="1412"/>
    </row>
    <row r="4908">
      <c r="AA4908" s="1108"/>
      <c r="AB4908" s="1412"/>
    </row>
    <row r="4909">
      <c r="AA4909" s="1108"/>
      <c r="AB4909" s="1412"/>
    </row>
    <row r="4910">
      <c r="AA4910" s="1108"/>
      <c r="AB4910" s="1412"/>
    </row>
    <row r="4911">
      <c r="AA4911" s="1108"/>
      <c r="AB4911" s="1412"/>
    </row>
    <row r="4912">
      <c r="AA4912" s="1108"/>
      <c r="AB4912" s="1412"/>
    </row>
    <row r="4913">
      <c r="AA4913" s="1108"/>
      <c r="AB4913" s="1412"/>
    </row>
    <row r="4914">
      <c r="AA4914" s="1108"/>
      <c r="AB4914" s="1412"/>
    </row>
    <row r="4915">
      <c r="AA4915" s="1108"/>
      <c r="AB4915" s="1412"/>
    </row>
    <row r="4916">
      <c r="AA4916" s="1108"/>
      <c r="AB4916" s="1412"/>
    </row>
    <row r="4917">
      <c r="AA4917" s="1108"/>
      <c r="AB4917" s="1412"/>
    </row>
    <row r="4918">
      <c r="AA4918" s="1108"/>
      <c r="AB4918" s="1412"/>
    </row>
    <row r="4919">
      <c r="AA4919" s="1108"/>
      <c r="AB4919" s="1412"/>
    </row>
    <row r="4920">
      <c r="AA4920" s="1108"/>
      <c r="AB4920" s="1412"/>
    </row>
    <row r="4921">
      <c r="AA4921" s="1108"/>
      <c r="AB4921" s="1412"/>
    </row>
    <row r="4922">
      <c r="AA4922" s="1108"/>
      <c r="AB4922" s="1412"/>
    </row>
    <row r="4923">
      <c r="AA4923" s="1108"/>
      <c r="AB4923" s="1412"/>
    </row>
    <row r="4924">
      <c r="AA4924" s="1108"/>
      <c r="AB4924" s="1412"/>
    </row>
    <row r="4925">
      <c r="AA4925" s="1108"/>
      <c r="AB4925" s="1412"/>
    </row>
    <row r="4926">
      <c r="AA4926" s="1108"/>
      <c r="AB4926" s="1412"/>
    </row>
    <row r="4927">
      <c r="AA4927" s="1108"/>
      <c r="AB4927" s="1412"/>
    </row>
    <row r="4928">
      <c r="AA4928" s="1108"/>
      <c r="AB4928" s="1412"/>
    </row>
    <row r="4929">
      <c r="AA4929" s="1108"/>
      <c r="AB4929" s="1412"/>
    </row>
    <row r="4930">
      <c r="AA4930" s="1108"/>
      <c r="AB4930" s="1412"/>
    </row>
    <row r="4931">
      <c r="AA4931" s="1108"/>
      <c r="AB4931" s="1412"/>
    </row>
    <row r="4932">
      <c r="AA4932" s="1108"/>
      <c r="AB4932" s="1412"/>
    </row>
    <row r="4933">
      <c r="AA4933" s="1108"/>
      <c r="AB4933" s="1412"/>
    </row>
    <row r="4934">
      <c r="AA4934" s="1108"/>
      <c r="AB4934" s="1412"/>
    </row>
    <row r="4935">
      <c r="AA4935" s="1108"/>
      <c r="AB4935" s="1412"/>
    </row>
    <row r="4936">
      <c r="AA4936" s="1108"/>
      <c r="AB4936" s="1412"/>
    </row>
    <row r="4937">
      <c r="AA4937" s="1108"/>
      <c r="AB4937" s="1412"/>
    </row>
    <row r="4938">
      <c r="AA4938" s="1108"/>
      <c r="AB4938" s="1412"/>
    </row>
    <row r="4939">
      <c r="AA4939" s="1108"/>
      <c r="AB4939" s="1412"/>
    </row>
    <row r="4940">
      <c r="AA4940" s="1108"/>
      <c r="AB4940" s="1412"/>
    </row>
    <row r="4941">
      <c r="AA4941" s="1108"/>
      <c r="AB4941" s="1412"/>
    </row>
    <row r="4942">
      <c r="AA4942" s="1108"/>
      <c r="AB4942" s="1412"/>
    </row>
    <row r="4943">
      <c r="AA4943" s="1108"/>
      <c r="AB4943" s="1412"/>
    </row>
    <row r="4944">
      <c r="AA4944" s="1108"/>
      <c r="AB4944" s="1412"/>
    </row>
    <row r="4945">
      <c r="AA4945" s="1108"/>
      <c r="AB4945" s="1412"/>
    </row>
    <row r="4946">
      <c r="AA4946" s="1108"/>
      <c r="AB4946" s="1412"/>
    </row>
    <row r="4947">
      <c r="AA4947" s="1108"/>
      <c r="AB4947" s="1412"/>
    </row>
    <row r="4948">
      <c r="AA4948" s="1108"/>
      <c r="AB4948" s="1412"/>
    </row>
    <row r="4949">
      <c r="AA4949" s="1108"/>
      <c r="AB4949" s="1412"/>
    </row>
    <row r="4950">
      <c r="AA4950" s="1108"/>
      <c r="AB4950" s="1412"/>
    </row>
    <row r="4951">
      <c r="AA4951" s="1108"/>
      <c r="AB4951" s="1412"/>
    </row>
    <row r="4952">
      <c r="AA4952" s="1108"/>
      <c r="AB4952" s="1412"/>
    </row>
    <row r="4953">
      <c r="AA4953" s="1108"/>
      <c r="AB4953" s="1412"/>
    </row>
    <row r="4954">
      <c r="AA4954" s="1108"/>
      <c r="AB4954" s="1412"/>
    </row>
    <row r="4955">
      <c r="AA4955" s="1108"/>
      <c r="AB4955" s="1412"/>
    </row>
    <row r="4956">
      <c r="AA4956" s="1108"/>
      <c r="AB4956" s="1412"/>
    </row>
    <row r="4957">
      <c r="AA4957" s="1108"/>
      <c r="AB4957" s="1412"/>
    </row>
    <row r="4958">
      <c r="AA4958" s="1108"/>
      <c r="AB4958" s="1412"/>
    </row>
    <row r="4959">
      <c r="AA4959" s="1108"/>
      <c r="AB4959" s="1412"/>
    </row>
    <row r="4960">
      <c r="AA4960" s="1108"/>
      <c r="AB4960" s="1412"/>
    </row>
    <row r="4961">
      <c r="AA4961" s="1108"/>
      <c r="AB4961" s="1412"/>
    </row>
    <row r="4962">
      <c r="AA4962" s="1108"/>
      <c r="AB4962" s="1412"/>
    </row>
    <row r="4963">
      <c r="AA4963" s="1108"/>
      <c r="AB4963" s="1412"/>
    </row>
    <row r="4964">
      <c r="AA4964" s="1108"/>
      <c r="AB4964" s="1412"/>
    </row>
    <row r="4965">
      <c r="AA4965" s="1108"/>
      <c r="AB4965" s="1412"/>
    </row>
    <row r="4966">
      <c r="AA4966" s="1108"/>
      <c r="AB4966" s="1412"/>
    </row>
    <row r="4967">
      <c r="AA4967" s="1108"/>
      <c r="AB4967" s="1412"/>
    </row>
    <row r="4968">
      <c r="AA4968" s="1108"/>
      <c r="AB4968" s="1412"/>
    </row>
    <row r="4969">
      <c r="AA4969" s="1108"/>
      <c r="AB4969" s="1412"/>
    </row>
    <row r="4970">
      <c r="AA4970" s="1108"/>
      <c r="AB4970" s="1412"/>
    </row>
    <row r="4971">
      <c r="AA4971" s="1108"/>
      <c r="AB4971" s="1412"/>
    </row>
    <row r="4972">
      <c r="AA4972" s="1108"/>
      <c r="AB4972" s="1412"/>
    </row>
    <row r="4973">
      <c r="AA4973" s="1108"/>
      <c r="AB4973" s="1412"/>
    </row>
    <row r="4974">
      <c r="AA4974" s="1108"/>
      <c r="AB4974" s="1412"/>
    </row>
    <row r="4975">
      <c r="AA4975" s="1108"/>
      <c r="AB4975" s="1412"/>
    </row>
    <row r="4976">
      <c r="AA4976" s="1108"/>
      <c r="AB4976" s="1412"/>
    </row>
    <row r="4977">
      <c r="AA4977" s="1108"/>
      <c r="AB4977" s="1412"/>
    </row>
    <row r="4978">
      <c r="AA4978" s="1108"/>
      <c r="AB4978" s="1412"/>
    </row>
    <row r="4979">
      <c r="AA4979" s="1108"/>
      <c r="AB4979" s="1412"/>
    </row>
    <row r="4980">
      <c r="AA4980" s="1108"/>
      <c r="AB4980" s="1412"/>
    </row>
    <row r="4981">
      <c r="AA4981" s="1108"/>
      <c r="AB4981" s="1412"/>
    </row>
    <row r="4982">
      <c r="AA4982" s="1108"/>
      <c r="AB4982" s="1412"/>
    </row>
    <row r="4983">
      <c r="AA4983" s="1108"/>
      <c r="AB4983" s="1412"/>
    </row>
    <row r="4984">
      <c r="AA4984" s="1108"/>
      <c r="AB4984" s="1412"/>
    </row>
    <row r="4985">
      <c r="AA4985" s="1108"/>
      <c r="AB4985" s="1412"/>
    </row>
    <row r="4986">
      <c r="AA4986" s="1108"/>
      <c r="AB4986" s="1412"/>
    </row>
    <row r="4987">
      <c r="AA4987" s="1108"/>
      <c r="AB4987" s="1412"/>
    </row>
    <row r="4988">
      <c r="AA4988" s="1108"/>
      <c r="AB4988" s="1412"/>
    </row>
    <row r="4989">
      <c r="AA4989" s="1108"/>
      <c r="AB4989" s="1412"/>
    </row>
    <row r="4990">
      <c r="AA4990" s="1108"/>
      <c r="AB4990" s="1412"/>
    </row>
    <row r="4991">
      <c r="AA4991" s="1108"/>
      <c r="AB4991" s="1412"/>
    </row>
    <row r="4992">
      <c r="AA4992" s="1108"/>
      <c r="AB4992" s="1412"/>
    </row>
    <row r="4993">
      <c r="AA4993" s="1108"/>
      <c r="AB4993" s="1412"/>
    </row>
    <row r="4994">
      <c r="AA4994" s="1108"/>
      <c r="AB4994" s="1412"/>
    </row>
    <row r="4995">
      <c r="AA4995" s="1108"/>
      <c r="AB4995" s="1412"/>
    </row>
    <row r="4996">
      <c r="AA4996" s="1108"/>
      <c r="AB4996" s="1412"/>
    </row>
    <row r="4997">
      <c r="AA4997" s="1108"/>
      <c r="AB4997" s="1412"/>
    </row>
    <row r="4998">
      <c r="AA4998" s="1108"/>
      <c r="AB4998" s="1412"/>
    </row>
    <row r="4999">
      <c r="AA4999" s="1108"/>
      <c r="AB4999" s="1412"/>
    </row>
    <row r="5000">
      <c r="AA5000" s="1108"/>
      <c r="AB5000" s="1412"/>
    </row>
    <row r="5001">
      <c r="AA5001" s="1108"/>
      <c r="AB5001" s="1412"/>
    </row>
    <row r="5002">
      <c r="AA5002" s="1108"/>
      <c r="AB5002" s="1412"/>
    </row>
    <row r="5003">
      <c r="AA5003" s="1108"/>
      <c r="AB5003" s="1412"/>
    </row>
    <row r="5004">
      <c r="AA5004" s="1108"/>
      <c r="AB5004" s="1412"/>
    </row>
    <row r="5005">
      <c r="AA5005" s="1108"/>
      <c r="AB5005" s="1412"/>
    </row>
    <row r="5006">
      <c r="AA5006" s="1108"/>
      <c r="AB5006" s="1412"/>
    </row>
    <row r="5007">
      <c r="AA5007" s="1108"/>
      <c r="AB5007" s="1412"/>
    </row>
    <row r="5008">
      <c r="AA5008" s="1108"/>
      <c r="AB5008" s="1412"/>
    </row>
    <row r="5009">
      <c r="AA5009" s="1108"/>
      <c r="AB5009" s="1412"/>
    </row>
    <row r="5010">
      <c r="AA5010" s="1108"/>
      <c r="AB5010" s="1412"/>
    </row>
    <row r="5011">
      <c r="AA5011" s="1108"/>
      <c r="AB5011" s="1412"/>
    </row>
    <row r="5012">
      <c r="AA5012" s="1108"/>
      <c r="AB5012" s="1412"/>
    </row>
    <row r="5013">
      <c r="AA5013" s="1108"/>
      <c r="AB5013" s="1412"/>
    </row>
    <row r="5014">
      <c r="AA5014" s="1108"/>
      <c r="AB5014" s="1412"/>
    </row>
    <row r="5015">
      <c r="AA5015" s="1108"/>
      <c r="AB5015" s="1412"/>
    </row>
    <row r="5016">
      <c r="AA5016" s="1108"/>
      <c r="AB5016" s="1412"/>
    </row>
    <row r="5017">
      <c r="AA5017" s="1108"/>
      <c r="AB5017" s="1412"/>
    </row>
    <row r="5018">
      <c r="AA5018" s="1108"/>
      <c r="AB5018" s="1412"/>
    </row>
    <row r="5019">
      <c r="AA5019" s="1108"/>
      <c r="AB5019" s="1412"/>
    </row>
    <row r="5020">
      <c r="AA5020" s="1108"/>
      <c r="AB5020" s="1412"/>
    </row>
    <row r="5021">
      <c r="AA5021" s="1108"/>
      <c r="AB5021" s="1412"/>
    </row>
    <row r="5022">
      <c r="AA5022" s="1108"/>
      <c r="AB5022" s="1412"/>
    </row>
    <row r="5023">
      <c r="AA5023" s="1108"/>
      <c r="AB5023" s="1412"/>
    </row>
    <row r="5024">
      <c r="AA5024" s="1108"/>
      <c r="AB5024" s="1412"/>
    </row>
    <row r="5025">
      <c r="AA5025" s="1108"/>
      <c r="AB5025" s="1412"/>
    </row>
    <row r="5026">
      <c r="AA5026" s="1108"/>
      <c r="AB5026" s="1412"/>
    </row>
    <row r="5027">
      <c r="AA5027" s="1108"/>
      <c r="AB5027" s="1412"/>
    </row>
    <row r="5028">
      <c r="AA5028" s="1108"/>
      <c r="AB5028" s="1412"/>
    </row>
    <row r="5029">
      <c r="AA5029" s="1108"/>
      <c r="AB5029" s="1412"/>
    </row>
    <row r="5030">
      <c r="AA5030" s="1108"/>
      <c r="AB5030" s="1412"/>
    </row>
    <row r="5031">
      <c r="AA5031" s="1108"/>
      <c r="AB5031" s="1412"/>
    </row>
    <row r="5032">
      <c r="AA5032" s="1108"/>
      <c r="AB5032" s="1412"/>
    </row>
    <row r="5033">
      <c r="AA5033" s="1108"/>
      <c r="AB5033" s="1412"/>
    </row>
    <row r="5034">
      <c r="AA5034" s="1108"/>
      <c r="AB5034" s="1412"/>
    </row>
    <row r="5035">
      <c r="AA5035" s="1108"/>
      <c r="AB5035" s="1412"/>
    </row>
    <row r="5036">
      <c r="AA5036" s="1108"/>
      <c r="AB5036" s="1412"/>
    </row>
    <row r="5037">
      <c r="AA5037" s="1108"/>
      <c r="AB5037" s="1412"/>
    </row>
    <row r="5038">
      <c r="AA5038" s="1108"/>
      <c r="AB5038" s="1412"/>
    </row>
    <row r="5039">
      <c r="AA5039" s="1108"/>
      <c r="AB5039" s="1412"/>
    </row>
    <row r="5040">
      <c r="AA5040" s="1108"/>
      <c r="AB5040" s="1412"/>
    </row>
    <row r="5041">
      <c r="AA5041" s="1108"/>
      <c r="AB5041" s="1412"/>
    </row>
    <row r="5042">
      <c r="AA5042" s="1108"/>
      <c r="AB5042" s="1412"/>
    </row>
    <row r="5043">
      <c r="AA5043" s="1108"/>
      <c r="AB5043" s="1412"/>
    </row>
    <row r="5044">
      <c r="AA5044" s="1108"/>
      <c r="AB5044" s="1412"/>
    </row>
    <row r="5045">
      <c r="AA5045" s="1108"/>
      <c r="AB5045" s="1412"/>
    </row>
    <row r="5046">
      <c r="AA5046" s="1108"/>
      <c r="AB5046" s="1412"/>
    </row>
    <row r="5047">
      <c r="AA5047" s="1108"/>
      <c r="AB5047" s="1412"/>
    </row>
    <row r="5048">
      <c r="AA5048" s="1108"/>
      <c r="AB5048" s="1412"/>
    </row>
    <row r="5049">
      <c r="AA5049" s="1108"/>
      <c r="AB5049" s="1412"/>
    </row>
    <row r="5050">
      <c r="AA5050" s="1108"/>
      <c r="AB5050" s="1412"/>
    </row>
    <row r="5051">
      <c r="AA5051" s="1108"/>
      <c r="AB5051" s="1412"/>
    </row>
    <row r="5052">
      <c r="AA5052" s="1108"/>
      <c r="AB5052" s="1412"/>
    </row>
    <row r="5053">
      <c r="AA5053" s="1108"/>
      <c r="AB5053" s="1412"/>
    </row>
    <row r="5054">
      <c r="AA5054" s="1108"/>
      <c r="AB5054" s="1412"/>
    </row>
    <row r="5055">
      <c r="AA5055" s="1108"/>
      <c r="AB5055" s="1412"/>
    </row>
    <row r="5056">
      <c r="AA5056" s="1108"/>
      <c r="AB5056" s="1412"/>
    </row>
    <row r="5057">
      <c r="AA5057" s="1108"/>
      <c r="AB5057" s="1412"/>
    </row>
    <row r="5058">
      <c r="AA5058" s="1108"/>
      <c r="AB5058" s="1412"/>
    </row>
    <row r="5059">
      <c r="AA5059" s="1108"/>
      <c r="AB5059" s="1412"/>
    </row>
    <row r="5060">
      <c r="AA5060" s="1108"/>
      <c r="AB5060" s="1412"/>
    </row>
    <row r="5061">
      <c r="AA5061" s="1108"/>
      <c r="AB5061" s="1412"/>
    </row>
    <row r="5062">
      <c r="AA5062" s="1108"/>
      <c r="AB5062" s="1412"/>
    </row>
    <row r="5063">
      <c r="AA5063" s="1108"/>
      <c r="AB5063" s="1412"/>
    </row>
    <row r="5064">
      <c r="AA5064" s="1108"/>
      <c r="AB5064" s="1412"/>
    </row>
    <row r="5065">
      <c r="AA5065" s="1108"/>
      <c r="AB5065" s="1412"/>
    </row>
    <row r="5066">
      <c r="AA5066" s="1108"/>
      <c r="AB5066" s="1412"/>
    </row>
    <row r="5067">
      <c r="AA5067" s="1108"/>
      <c r="AB5067" s="1412"/>
    </row>
    <row r="5068">
      <c r="AA5068" s="1108"/>
      <c r="AB5068" s="1412"/>
    </row>
    <row r="5069">
      <c r="AA5069" s="1108"/>
      <c r="AB5069" s="1412"/>
    </row>
    <row r="5070">
      <c r="AA5070" s="1108"/>
      <c r="AB5070" s="1412"/>
    </row>
    <row r="5071">
      <c r="AA5071" s="1108"/>
      <c r="AB5071" s="1412"/>
    </row>
    <row r="5072">
      <c r="AA5072" s="1108"/>
      <c r="AB5072" s="1412"/>
    </row>
    <row r="5073">
      <c r="AA5073" s="1108"/>
      <c r="AB5073" s="1412"/>
    </row>
    <row r="5074">
      <c r="AA5074" s="1108"/>
      <c r="AB5074" s="1412"/>
    </row>
    <row r="5075">
      <c r="AA5075" s="1108"/>
      <c r="AB5075" s="1412"/>
    </row>
    <row r="5076">
      <c r="AA5076" s="1108"/>
      <c r="AB5076" s="1412"/>
    </row>
    <row r="5077">
      <c r="AA5077" s="1108"/>
      <c r="AB5077" s="1412"/>
    </row>
    <row r="5078">
      <c r="AA5078" s="1108"/>
      <c r="AB5078" s="1412"/>
    </row>
    <row r="5079">
      <c r="AA5079" s="1108"/>
      <c r="AB5079" s="1412"/>
    </row>
    <row r="5080">
      <c r="AA5080" s="1108"/>
      <c r="AB5080" s="1412"/>
    </row>
    <row r="5081">
      <c r="AA5081" s="1108"/>
      <c r="AB5081" s="1412"/>
    </row>
    <row r="5082">
      <c r="AA5082" s="1108"/>
      <c r="AB5082" s="1412"/>
    </row>
    <row r="5083">
      <c r="AA5083" s="1108"/>
      <c r="AB5083" s="1412"/>
    </row>
    <row r="5084">
      <c r="AA5084" s="1108"/>
      <c r="AB5084" s="1412"/>
    </row>
    <row r="5085">
      <c r="AA5085" s="1108"/>
      <c r="AB5085" s="1412"/>
    </row>
    <row r="5086">
      <c r="AA5086" s="1108"/>
      <c r="AB5086" s="1412"/>
    </row>
    <row r="5087">
      <c r="AA5087" s="1108"/>
      <c r="AB5087" s="1412"/>
    </row>
    <row r="5088">
      <c r="AA5088" s="1108"/>
      <c r="AB5088" s="1412"/>
    </row>
    <row r="5089">
      <c r="AA5089" s="1108"/>
      <c r="AB5089" s="1412"/>
    </row>
    <row r="5090">
      <c r="AA5090" s="1108"/>
      <c r="AB5090" s="1412"/>
    </row>
    <row r="5091">
      <c r="AA5091" s="1108"/>
      <c r="AB5091" s="1412"/>
    </row>
    <row r="5092">
      <c r="AA5092" s="1108"/>
      <c r="AB5092" s="1412"/>
    </row>
    <row r="5093">
      <c r="AA5093" s="1108"/>
      <c r="AB5093" s="1412"/>
    </row>
    <row r="5094">
      <c r="AA5094" s="1108"/>
      <c r="AB5094" s="1412"/>
    </row>
    <row r="5095">
      <c r="AA5095" s="1108"/>
      <c r="AB5095" s="1412"/>
    </row>
    <row r="5096">
      <c r="AA5096" s="1108"/>
      <c r="AB5096" s="1412"/>
    </row>
    <row r="5097">
      <c r="AA5097" s="1108"/>
      <c r="AB5097" s="1412"/>
    </row>
    <row r="5098">
      <c r="AA5098" s="1108"/>
      <c r="AB5098" s="1412"/>
    </row>
    <row r="5099">
      <c r="AA5099" s="1108"/>
      <c r="AB5099" s="1412"/>
    </row>
    <row r="5100">
      <c r="AA5100" s="1108"/>
      <c r="AB5100" s="1412"/>
    </row>
    <row r="5101">
      <c r="AA5101" s="1108"/>
      <c r="AB5101" s="1412"/>
    </row>
    <row r="5102">
      <c r="AA5102" s="1108"/>
      <c r="AB5102" s="1412"/>
    </row>
    <row r="5103">
      <c r="AA5103" s="1108"/>
      <c r="AB5103" s="1412"/>
    </row>
    <row r="5104">
      <c r="AA5104" s="1108"/>
      <c r="AB5104" s="1412"/>
    </row>
    <row r="5105">
      <c r="AA5105" s="1108"/>
      <c r="AB5105" s="1412"/>
    </row>
    <row r="5106">
      <c r="AA5106" s="1108"/>
      <c r="AB5106" s="1412"/>
    </row>
    <row r="5107">
      <c r="AA5107" s="1108"/>
      <c r="AB5107" s="1412"/>
    </row>
    <row r="5108">
      <c r="AA5108" s="1108"/>
      <c r="AB5108" s="1412"/>
    </row>
    <row r="5109">
      <c r="AA5109" s="1108"/>
      <c r="AB5109" s="1412"/>
    </row>
    <row r="5110">
      <c r="AA5110" s="1108"/>
      <c r="AB5110" s="1412"/>
    </row>
    <row r="5111">
      <c r="AA5111" s="1108"/>
      <c r="AB5111" s="1412"/>
    </row>
    <row r="5112">
      <c r="AA5112" s="1108"/>
      <c r="AB5112" s="1412"/>
    </row>
    <row r="5113">
      <c r="AA5113" s="1108"/>
      <c r="AB5113" s="1412"/>
    </row>
    <row r="5114">
      <c r="AA5114" s="1108"/>
      <c r="AB5114" s="1412"/>
    </row>
    <row r="5115">
      <c r="AA5115" s="1108"/>
      <c r="AB5115" s="1412"/>
    </row>
    <row r="5116">
      <c r="AA5116" s="1108"/>
      <c r="AB5116" s="1412"/>
    </row>
    <row r="5117">
      <c r="AA5117" s="1108"/>
      <c r="AB5117" s="1412"/>
    </row>
    <row r="5118">
      <c r="AA5118" s="1108"/>
      <c r="AB5118" s="1412"/>
    </row>
    <row r="5119">
      <c r="AA5119" s="1108"/>
      <c r="AB5119" s="1412"/>
    </row>
    <row r="5120">
      <c r="AA5120" s="1108"/>
      <c r="AB5120" s="1412"/>
    </row>
    <row r="5121">
      <c r="AA5121" s="1108"/>
      <c r="AB5121" s="1412"/>
    </row>
    <row r="5122">
      <c r="AA5122" s="1108"/>
      <c r="AB5122" s="1412"/>
    </row>
    <row r="5123">
      <c r="AA5123" s="1108"/>
      <c r="AB5123" s="1412"/>
    </row>
    <row r="5124">
      <c r="AA5124" s="1108"/>
      <c r="AB5124" s="1412"/>
    </row>
    <row r="5125">
      <c r="AA5125" s="1108"/>
      <c r="AB5125" s="1412"/>
    </row>
    <row r="5126">
      <c r="AA5126" s="1108"/>
      <c r="AB5126" s="1412"/>
    </row>
    <row r="5127">
      <c r="AA5127" s="1108"/>
      <c r="AB5127" s="1412"/>
    </row>
    <row r="5128">
      <c r="AA5128" s="1108"/>
      <c r="AB5128" s="1412"/>
    </row>
    <row r="5129">
      <c r="AA5129" s="1108"/>
      <c r="AB5129" s="1412"/>
    </row>
    <row r="5130">
      <c r="AA5130" s="1108"/>
      <c r="AB5130" s="1412"/>
    </row>
    <row r="5131">
      <c r="AA5131" s="1108"/>
      <c r="AB5131" s="1412"/>
    </row>
    <row r="5132">
      <c r="AA5132" s="1108"/>
      <c r="AB5132" s="1412"/>
    </row>
    <row r="5133">
      <c r="AA5133" s="1108"/>
      <c r="AB5133" s="1412"/>
    </row>
    <row r="5134">
      <c r="AA5134" s="1108"/>
      <c r="AB5134" s="1412"/>
    </row>
    <row r="5135">
      <c r="AA5135" s="1108"/>
      <c r="AB5135" s="1412"/>
    </row>
    <row r="5136">
      <c r="AA5136" s="1108"/>
      <c r="AB5136" s="1412"/>
    </row>
    <row r="5137">
      <c r="AA5137" s="1108"/>
      <c r="AB5137" s="1412"/>
    </row>
    <row r="5138">
      <c r="AA5138" s="1108"/>
      <c r="AB5138" s="1412"/>
    </row>
    <row r="5139">
      <c r="AA5139" s="1108"/>
      <c r="AB5139" s="1412"/>
    </row>
    <row r="5140">
      <c r="AA5140" s="1108"/>
      <c r="AB5140" s="1412"/>
    </row>
    <row r="5141">
      <c r="AA5141" s="1108"/>
      <c r="AB5141" s="1412"/>
    </row>
    <row r="5142">
      <c r="AA5142" s="1108"/>
      <c r="AB5142" s="1412"/>
    </row>
    <row r="5143">
      <c r="AA5143" s="1108"/>
      <c r="AB5143" s="1412"/>
    </row>
    <row r="5144">
      <c r="AA5144" s="1108"/>
      <c r="AB5144" s="1412"/>
    </row>
    <row r="5145">
      <c r="AA5145" s="1108"/>
      <c r="AB5145" s="1412"/>
    </row>
    <row r="5146">
      <c r="AA5146" s="1108"/>
      <c r="AB5146" s="1412"/>
    </row>
    <row r="5147">
      <c r="AA5147" s="1108"/>
      <c r="AB5147" s="1412"/>
    </row>
    <row r="5148">
      <c r="AA5148" s="1108"/>
      <c r="AB5148" s="1412"/>
    </row>
    <row r="5149">
      <c r="AA5149" s="1108"/>
      <c r="AB5149" s="1412"/>
    </row>
    <row r="5150">
      <c r="AA5150" s="1108"/>
      <c r="AB5150" s="1412"/>
    </row>
    <row r="5151">
      <c r="AA5151" s="1108"/>
      <c r="AB5151" s="1412"/>
    </row>
    <row r="5152">
      <c r="AA5152" s="1108"/>
      <c r="AB5152" s="1412"/>
    </row>
    <row r="5153">
      <c r="AA5153" s="1108"/>
      <c r="AB5153" s="1412"/>
    </row>
    <row r="5154">
      <c r="AA5154" s="1108"/>
      <c r="AB5154" s="1412"/>
    </row>
    <row r="5155">
      <c r="AA5155" s="1108"/>
      <c r="AB5155" s="1412"/>
    </row>
    <row r="5156">
      <c r="AA5156" s="1108"/>
      <c r="AB5156" s="1412"/>
    </row>
    <row r="5157">
      <c r="AA5157" s="1108"/>
      <c r="AB5157" s="1412"/>
    </row>
    <row r="5158">
      <c r="AA5158" s="1108"/>
      <c r="AB5158" s="1412"/>
    </row>
    <row r="5159">
      <c r="AA5159" s="1108"/>
      <c r="AB5159" s="1412"/>
    </row>
    <row r="5160">
      <c r="AA5160" s="1108"/>
      <c r="AB5160" s="1412"/>
    </row>
    <row r="5161">
      <c r="AA5161" s="1108"/>
      <c r="AB5161" s="1412"/>
    </row>
    <row r="5162">
      <c r="AA5162" s="1108"/>
      <c r="AB5162" s="1412"/>
    </row>
    <row r="5163">
      <c r="AA5163" s="1108"/>
      <c r="AB5163" s="1412"/>
    </row>
    <row r="5164">
      <c r="AA5164" s="1108"/>
      <c r="AB5164" s="1412"/>
    </row>
    <row r="5165">
      <c r="AA5165" s="1108"/>
      <c r="AB5165" s="1412"/>
    </row>
    <row r="5166">
      <c r="AA5166" s="1108"/>
      <c r="AB5166" s="1412"/>
    </row>
    <row r="5167">
      <c r="AA5167" s="1108"/>
      <c r="AB5167" s="1412"/>
    </row>
    <row r="5168">
      <c r="AA5168" s="1108"/>
      <c r="AB5168" s="1412"/>
    </row>
    <row r="5169">
      <c r="AA5169" s="1108"/>
      <c r="AB5169" s="1412"/>
    </row>
    <row r="5170">
      <c r="AA5170" s="1108"/>
      <c r="AB5170" s="1412"/>
    </row>
    <row r="5171">
      <c r="AA5171" s="1108"/>
      <c r="AB5171" s="1412"/>
    </row>
    <row r="5172">
      <c r="AA5172" s="1108"/>
      <c r="AB5172" s="1412"/>
    </row>
    <row r="5173">
      <c r="AA5173" s="1108"/>
      <c r="AB5173" s="1412"/>
    </row>
    <row r="5174">
      <c r="AA5174" s="1108"/>
      <c r="AB5174" s="1412"/>
    </row>
    <row r="5175">
      <c r="AA5175" s="1108"/>
      <c r="AB5175" s="1412"/>
    </row>
    <row r="5176">
      <c r="AA5176" s="1108"/>
      <c r="AB5176" s="1412"/>
    </row>
    <row r="5177">
      <c r="AA5177" s="1108"/>
      <c r="AB5177" s="1412"/>
    </row>
    <row r="5178">
      <c r="AA5178" s="1108"/>
      <c r="AB5178" s="1412"/>
    </row>
    <row r="5179">
      <c r="AA5179" s="1108"/>
      <c r="AB5179" s="1412"/>
    </row>
    <row r="5180">
      <c r="AA5180" s="1108"/>
      <c r="AB5180" s="1412"/>
    </row>
    <row r="5181">
      <c r="AA5181" s="1108"/>
      <c r="AB5181" s="1412"/>
    </row>
    <row r="5182">
      <c r="AA5182" s="1108"/>
      <c r="AB5182" s="1412"/>
    </row>
    <row r="5183">
      <c r="AA5183" s="1108"/>
      <c r="AB5183" s="1412"/>
    </row>
    <row r="5184">
      <c r="AA5184" s="1108"/>
      <c r="AB5184" s="1412"/>
    </row>
    <row r="5185">
      <c r="AA5185" s="1108"/>
      <c r="AB5185" s="1412"/>
    </row>
    <row r="5186">
      <c r="AA5186" s="1108"/>
      <c r="AB5186" s="1412"/>
    </row>
    <row r="5187">
      <c r="AA5187" s="1108"/>
      <c r="AB5187" s="1412"/>
    </row>
    <row r="5188">
      <c r="AA5188" s="1108"/>
      <c r="AB5188" s="1412"/>
    </row>
    <row r="5189">
      <c r="AA5189" s="1108"/>
      <c r="AB5189" s="1412"/>
    </row>
    <row r="5190">
      <c r="AA5190" s="1108"/>
      <c r="AB5190" s="1412"/>
    </row>
    <row r="5191">
      <c r="AA5191" s="1108"/>
      <c r="AB5191" s="1412"/>
    </row>
    <row r="5192">
      <c r="AA5192" s="1108"/>
      <c r="AB5192" s="1412"/>
    </row>
    <row r="5193">
      <c r="AA5193" s="1108"/>
      <c r="AB5193" s="1412"/>
    </row>
    <row r="5194">
      <c r="AA5194" s="1108"/>
      <c r="AB5194" s="1412"/>
    </row>
    <row r="5195">
      <c r="AA5195" s="1108"/>
      <c r="AB5195" s="1412"/>
    </row>
    <row r="5196">
      <c r="AA5196" s="1108"/>
      <c r="AB5196" s="1412"/>
    </row>
    <row r="5197">
      <c r="AA5197" s="1108"/>
      <c r="AB5197" s="1412"/>
    </row>
    <row r="5198">
      <c r="AA5198" s="1108"/>
      <c r="AB5198" s="1412"/>
    </row>
    <row r="5199">
      <c r="AA5199" s="1108"/>
      <c r="AB5199" s="1412"/>
    </row>
    <row r="5200">
      <c r="AA5200" s="1108"/>
      <c r="AB5200" s="1412"/>
    </row>
    <row r="5201">
      <c r="AA5201" s="1108"/>
      <c r="AB5201" s="1412"/>
    </row>
    <row r="5202">
      <c r="AA5202" s="1108"/>
      <c r="AB5202" s="1412"/>
    </row>
    <row r="5203">
      <c r="AA5203" s="1108"/>
      <c r="AB5203" s="1412"/>
    </row>
    <row r="5204">
      <c r="AA5204" s="1108"/>
      <c r="AB5204" s="1412"/>
    </row>
    <row r="5205">
      <c r="AA5205" s="1108"/>
      <c r="AB5205" s="1412"/>
    </row>
    <row r="5206">
      <c r="AA5206" s="1108"/>
      <c r="AB5206" s="1412"/>
    </row>
    <row r="5207">
      <c r="AA5207" s="1108"/>
      <c r="AB5207" s="1412"/>
    </row>
    <row r="5208">
      <c r="AA5208" s="1108"/>
      <c r="AB5208" s="1412"/>
    </row>
    <row r="5209">
      <c r="AA5209" s="1108"/>
      <c r="AB5209" s="1412"/>
    </row>
    <row r="5210">
      <c r="AA5210" s="1108"/>
      <c r="AB5210" s="1412"/>
    </row>
    <row r="5211">
      <c r="AA5211" s="1108"/>
      <c r="AB5211" s="1412"/>
    </row>
    <row r="5212">
      <c r="AA5212" s="1108"/>
      <c r="AB5212" s="1412"/>
    </row>
    <row r="5213">
      <c r="AA5213" s="1108"/>
      <c r="AB5213" s="1412"/>
    </row>
    <row r="5214">
      <c r="AA5214" s="1108"/>
      <c r="AB5214" s="1412"/>
    </row>
    <row r="5215">
      <c r="AA5215" s="1108"/>
      <c r="AB5215" s="1412"/>
    </row>
    <row r="5216">
      <c r="AA5216" s="1108"/>
      <c r="AB5216" s="1412"/>
    </row>
    <row r="5217">
      <c r="AA5217" s="1108"/>
      <c r="AB5217" s="1412"/>
    </row>
    <row r="5218">
      <c r="AA5218" s="1108"/>
      <c r="AB5218" s="1412"/>
    </row>
    <row r="5219">
      <c r="AA5219" s="1108"/>
      <c r="AB5219" s="1412"/>
    </row>
    <row r="5220">
      <c r="AA5220" s="1108"/>
      <c r="AB5220" s="1412"/>
    </row>
    <row r="5221">
      <c r="AA5221" s="1108"/>
      <c r="AB5221" s="1412"/>
    </row>
    <row r="5222">
      <c r="AA5222" s="1108"/>
      <c r="AB5222" s="1412"/>
    </row>
    <row r="5223">
      <c r="AA5223" s="1108"/>
      <c r="AB5223" s="1412"/>
    </row>
    <row r="5224">
      <c r="AA5224" s="1108"/>
      <c r="AB5224" s="1412"/>
    </row>
    <row r="5225">
      <c r="AA5225" s="1108"/>
      <c r="AB5225" s="1412"/>
    </row>
    <row r="5226">
      <c r="AA5226" s="1108"/>
      <c r="AB5226" s="1412"/>
    </row>
    <row r="5227">
      <c r="AA5227" s="1108"/>
      <c r="AB5227" s="1412"/>
    </row>
    <row r="5228">
      <c r="AA5228" s="1108"/>
      <c r="AB5228" s="1412"/>
    </row>
    <row r="5229">
      <c r="AA5229" s="1108"/>
      <c r="AB5229" s="1412"/>
    </row>
    <row r="5230">
      <c r="AA5230" s="1108"/>
      <c r="AB5230" s="1412"/>
    </row>
    <row r="5231">
      <c r="AA5231" s="1108"/>
      <c r="AB5231" s="1412"/>
    </row>
    <row r="5232">
      <c r="AA5232" s="1108"/>
      <c r="AB5232" s="1412"/>
    </row>
    <row r="5233">
      <c r="AA5233" s="1108"/>
      <c r="AB5233" s="1412"/>
    </row>
    <row r="5234">
      <c r="AA5234" s="1108"/>
      <c r="AB5234" s="1412"/>
    </row>
    <row r="5235">
      <c r="AA5235" s="1108"/>
      <c r="AB5235" s="1412"/>
    </row>
    <row r="5236">
      <c r="AA5236" s="1108"/>
      <c r="AB5236" s="1412"/>
    </row>
    <row r="5237">
      <c r="AA5237" s="1108"/>
      <c r="AB5237" s="1412"/>
    </row>
    <row r="5238">
      <c r="AA5238" s="1108"/>
      <c r="AB5238" s="1412"/>
    </row>
    <row r="5239">
      <c r="AA5239" s="1108"/>
      <c r="AB5239" s="1412"/>
    </row>
    <row r="5240">
      <c r="AA5240" s="1108"/>
      <c r="AB5240" s="1412"/>
    </row>
    <row r="5241">
      <c r="AA5241" s="1108"/>
      <c r="AB5241" s="1412"/>
    </row>
    <row r="5242">
      <c r="AA5242" s="1108"/>
      <c r="AB5242" s="1412"/>
    </row>
    <row r="5243">
      <c r="AA5243" s="1108"/>
      <c r="AB5243" s="1412"/>
    </row>
    <row r="5244">
      <c r="AA5244" s="1108"/>
      <c r="AB5244" s="1412"/>
    </row>
    <row r="5245">
      <c r="AA5245" s="1108"/>
      <c r="AB5245" s="1412"/>
    </row>
    <row r="5246">
      <c r="AA5246" s="1108"/>
      <c r="AB5246" s="1412"/>
    </row>
    <row r="5247">
      <c r="AA5247" s="1108"/>
      <c r="AB5247" s="1412"/>
    </row>
    <row r="5248">
      <c r="AA5248" s="1108"/>
      <c r="AB5248" s="1412"/>
    </row>
    <row r="5249">
      <c r="AA5249" s="1108"/>
      <c r="AB5249" s="1412"/>
    </row>
    <row r="5250">
      <c r="AA5250" s="1108"/>
      <c r="AB5250" s="1412"/>
    </row>
    <row r="5251">
      <c r="AA5251" s="1108"/>
      <c r="AB5251" s="1412"/>
    </row>
    <row r="5252">
      <c r="AA5252" s="1108"/>
      <c r="AB5252" s="1412"/>
    </row>
    <row r="5253">
      <c r="AA5253" s="1108"/>
      <c r="AB5253" s="1412"/>
    </row>
    <row r="5254">
      <c r="AA5254" s="1108"/>
      <c r="AB5254" s="1412"/>
    </row>
    <row r="5255">
      <c r="AA5255" s="1108"/>
      <c r="AB5255" s="1412"/>
    </row>
    <row r="5256">
      <c r="AA5256" s="1108"/>
      <c r="AB5256" s="1412"/>
    </row>
    <row r="5257">
      <c r="AA5257" s="1108"/>
      <c r="AB5257" s="1412"/>
    </row>
    <row r="5258">
      <c r="AA5258" s="1108"/>
      <c r="AB5258" s="1412"/>
    </row>
    <row r="5259">
      <c r="AA5259" s="1108"/>
      <c r="AB5259" s="1412"/>
    </row>
    <row r="5260">
      <c r="AA5260" s="1108"/>
      <c r="AB5260" s="1412"/>
    </row>
    <row r="5261">
      <c r="AA5261" s="1108"/>
      <c r="AB5261" s="1412"/>
    </row>
    <row r="5262">
      <c r="AA5262" s="1108"/>
      <c r="AB5262" s="1412"/>
    </row>
    <row r="5263">
      <c r="AA5263" s="1108"/>
      <c r="AB5263" s="1412"/>
    </row>
    <row r="5264">
      <c r="AA5264" s="1108"/>
      <c r="AB5264" s="1412"/>
    </row>
    <row r="5265">
      <c r="AA5265" s="1108"/>
      <c r="AB5265" s="1412"/>
    </row>
    <row r="5266">
      <c r="AA5266" s="1108"/>
      <c r="AB5266" s="1412"/>
    </row>
    <row r="5267">
      <c r="AA5267" s="1108"/>
      <c r="AB5267" s="1412"/>
    </row>
    <row r="5268">
      <c r="AA5268" s="1108"/>
      <c r="AB5268" s="1412"/>
    </row>
    <row r="5269">
      <c r="AA5269" s="1108"/>
      <c r="AB5269" s="1412"/>
    </row>
    <row r="5270">
      <c r="AA5270" s="1108"/>
      <c r="AB5270" s="1412"/>
    </row>
    <row r="5271">
      <c r="AA5271" s="1108"/>
      <c r="AB5271" s="1412"/>
    </row>
    <row r="5272">
      <c r="AA5272" s="1108"/>
      <c r="AB5272" s="1412"/>
    </row>
    <row r="5273">
      <c r="AA5273" s="1108"/>
      <c r="AB5273" s="1412"/>
    </row>
    <row r="5274">
      <c r="AA5274" s="1108"/>
      <c r="AB5274" s="1412"/>
    </row>
    <row r="5275">
      <c r="AA5275" s="1108"/>
      <c r="AB5275" s="1412"/>
    </row>
    <row r="5276">
      <c r="AA5276" s="1108"/>
      <c r="AB5276" s="1412"/>
    </row>
    <row r="5277">
      <c r="AA5277" s="1108"/>
      <c r="AB5277" s="1412"/>
    </row>
    <row r="5278">
      <c r="AA5278" s="1108"/>
      <c r="AB5278" s="1412"/>
    </row>
    <row r="5279">
      <c r="AA5279" s="1108"/>
      <c r="AB5279" s="1412"/>
    </row>
    <row r="5280">
      <c r="AA5280" s="1108"/>
      <c r="AB5280" s="1412"/>
    </row>
    <row r="5281">
      <c r="AA5281" s="1108"/>
      <c r="AB5281" s="1412"/>
    </row>
    <row r="5282">
      <c r="AA5282" s="1108"/>
      <c r="AB5282" s="1412"/>
    </row>
    <row r="5283">
      <c r="AA5283" s="1108"/>
      <c r="AB5283" s="1412"/>
    </row>
    <row r="5284">
      <c r="AA5284" s="1108"/>
      <c r="AB5284" s="1412"/>
    </row>
    <row r="5285">
      <c r="AA5285" s="1108"/>
      <c r="AB5285" s="1412"/>
    </row>
    <row r="5286">
      <c r="AA5286" s="1108"/>
      <c r="AB5286" s="1412"/>
    </row>
    <row r="5287">
      <c r="AA5287" s="1108"/>
      <c r="AB5287" s="1412"/>
    </row>
    <row r="5288">
      <c r="AA5288" s="1108"/>
      <c r="AB5288" s="1412"/>
    </row>
    <row r="5289">
      <c r="AA5289" s="1108"/>
      <c r="AB5289" s="1412"/>
    </row>
    <row r="5290">
      <c r="AA5290" s="1108"/>
      <c r="AB5290" s="1412"/>
    </row>
    <row r="5291">
      <c r="AA5291" s="1108"/>
      <c r="AB5291" s="1412"/>
    </row>
    <row r="5292">
      <c r="AA5292" s="1108"/>
      <c r="AB5292" s="1412"/>
    </row>
    <row r="5293">
      <c r="AA5293" s="1108"/>
      <c r="AB5293" s="1412"/>
    </row>
    <row r="5294">
      <c r="AA5294" s="1108"/>
      <c r="AB5294" s="1412"/>
    </row>
    <row r="5295">
      <c r="AA5295" s="1108"/>
      <c r="AB5295" s="1412"/>
    </row>
    <row r="5296">
      <c r="AA5296" s="1108"/>
      <c r="AB5296" s="1412"/>
    </row>
    <row r="5297">
      <c r="AA5297" s="1108"/>
      <c r="AB5297" s="1412"/>
    </row>
    <row r="5298">
      <c r="AA5298" s="1108"/>
      <c r="AB5298" s="1412"/>
    </row>
    <row r="5299">
      <c r="AA5299" s="1108"/>
      <c r="AB5299" s="1412"/>
    </row>
    <row r="5300">
      <c r="AA5300" s="1108"/>
      <c r="AB5300" s="1412"/>
    </row>
    <row r="5301">
      <c r="AA5301" s="1108"/>
      <c r="AB5301" s="1412"/>
    </row>
    <row r="5302">
      <c r="AA5302" s="1108"/>
      <c r="AB5302" s="1412"/>
    </row>
    <row r="5303">
      <c r="AA5303" s="1108"/>
      <c r="AB5303" s="1412"/>
    </row>
    <row r="5304">
      <c r="AA5304" s="1108"/>
      <c r="AB5304" s="1412"/>
    </row>
    <row r="5305">
      <c r="AA5305" s="1108"/>
      <c r="AB5305" s="1412"/>
    </row>
    <row r="5306">
      <c r="AA5306" s="1108"/>
      <c r="AB5306" s="1412"/>
    </row>
    <row r="5307">
      <c r="AA5307" s="1108"/>
      <c r="AB5307" s="1412"/>
    </row>
    <row r="5308">
      <c r="AA5308" s="1108"/>
      <c r="AB5308" s="1412"/>
    </row>
    <row r="5309">
      <c r="AA5309" s="1108"/>
      <c r="AB5309" s="1412"/>
    </row>
    <row r="5310">
      <c r="AA5310" s="1108"/>
      <c r="AB5310" s="1412"/>
    </row>
    <row r="5311">
      <c r="AA5311" s="1108"/>
      <c r="AB5311" s="1412"/>
    </row>
    <row r="5312">
      <c r="AA5312" s="1108"/>
      <c r="AB5312" s="1412"/>
    </row>
    <row r="5313">
      <c r="AA5313" s="1108"/>
      <c r="AB5313" s="1412"/>
    </row>
    <row r="5314">
      <c r="AA5314" s="1108"/>
      <c r="AB5314" s="1412"/>
    </row>
    <row r="5315">
      <c r="AA5315" s="1108"/>
      <c r="AB5315" s="1412"/>
    </row>
    <row r="5316">
      <c r="AA5316" s="1108"/>
      <c r="AB5316" s="1412"/>
    </row>
    <row r="5317">
      <c r="AA5317" s="1108"/>
      <c r="AB5317" s="1412"/>
    </row>
    <row r="5318">
      <c r="AA5318" s="1108"/>
      <c r="AB5318" s="1412"/>
    </row>
    <row r="5319">
      <c r="AA5319" s="1108"/>
      <c r="AB5319" s="1412"/>
    </row>
    <row r="5320">
      <c r="AA5320" s="1108"/>
      <c r="AB5320" s="1412"/>
    </row>
    <row r="5321">
      <c r="AA5321" s="1108"/>
      <c r="AB5321" s="1412"/>
    </row>
    <row r="5322">
      <c r="AA5322" s="1108"/>
      <c r="AB5322" s="1412"/>
    </row>
    <row r="5323">
      <c r="AA5323" s="1108"/>
      <c r="AB5323" s="1412"/>
    </row>
    <row r="5324">
      <c r="AA5324" s="1108"/>
      <c r="AB5324" s="1412"/>
    </row>
    <row r="5325">
      <c r="AA5325" s="1108"/>
      <c r="AB5325" s="1412"/>
    </row>
    <row r="5326">
      <c r="AA5326" s="1108"/>
      <c r="AB5326" s="1412"/>
    </row>
    <row r="5327">
      <c r="AA5327" s="1108"/>
      <c r="AB5327" s="1412"/>
    </row>
    <row r="5328">
      <c r="AA5328" s="1108"/>
      <c r="AB5328" s="1412"/>
    </row>
    <row r="5329">
      <c r="AA5329" s="1108"/>
      <c r="AB5329" s="1412"/>
    </row>
    <row r="5330">
      <c r="AA5330" s="1108"/>
      <c r="AB5330" s="1412"/>
    </row>
    <row r="5331">
      <c r="AA5331" s="1108"/>
      <c r="AB5331" s="1412"/>
    </row>
    <row r="5332">
      <c r="AA5332" s="1108"/>
      <c r="AB5332" s="1412"/>
    </row>
    <row r="5333">
      <c r="AA5333" s="1108"/>
      <c r="AB5333" s="1412"/>
    </row>
    <row r="5334">
      <c r="AA5334" s="1108"/>
      <c r="AB5334" s="1412"/>
    </row>
    <row r="5335">
      <c r="AA5335" s="1108"/>
      <c r="AB5335" s="1412"/>
    </row>
    <row r="5336">
      <c r="AA5336" s="1108"/>
      <c r="AB5336" s="1412"/>
    </row>
    <row r="5337">
      <c r="AA5337" s="1108"/>
      <c r="AB5337" s="1412"/>
    </row>
    <row r="5338">
      <c r="AA5338" s="1108"/>
      <c r="AB5338" s="1412"/>
    </row>
    <row r="5339">
      <c r="AA5339" s="1108"/>
      <c r="AB5339" s="1412"/>
    </row>
    <row r="5340">
      <c r="AA5340" s="1108"/>
      <c r="AB5340" s="1412"/>
    </row>
    <row r="5341">
      <c r="AA5341" s="1108"/>
      <c r="AB5341" s="1412"/>
    </row>
    <row r="5342">
      <c r="AA5342" s="1108"/>
      <c r="AB5342" s="1412"/>
    </row>
    <row r="5343">
      <c r="AA5343" s="1108"/>
      <c r="AB5343" s="1412"/>
    </row>
    <row r="5344">
      <c r="AA5344" s="1108"/>
      <c r="AB5344" s="1412"/>
    </row>
    <row r="5345">
      <c r="AA5345" s="1108"/>
      <c r="AB5345" s="1412"/>
    </row>
    <row r="5346">
      <c r="AA5346" s="1108"/>
      <c r="AB5346" s="1412"/>
    </row>
    <row r="5347">
      <c r="AA5347" s="1108"/>
      <c r="AB5347" s="1412"/>
    </row>
    <row r="5348">
      <c r="AA5348" s="1108"/>
      <c r="AB5348" s="1412"/>
    </row>
    <row r="5349">
      <c r="AA5349" s="1108"/>
      <c r="AB5349" s="1412"/>
    </row>
    <row r="5350">
      <c r="AA5350" s="1108"/>
      <c r="AB5350" s="1412"/>
    </row>
    <row r="5351">
      <c r="AA5351" s="1108"/>
      <c r="AB5351" s="1412"/>
    </row>
    <row r="5352">
      <c r="AA5352" s="1108"/>
      <c r="AB5352" s="1412"/>
    </row>
    <row r="5353">
      <c r="AA5353" s="1108"/>
      <c r="AB5353" s="1412"/>
    </row>
    <row r="5354">
      <c r="AA5354" s="1108"/>
      <c r="AB5354" s="1412"/>
    </row>
    <row r="5355">
      <c r="AA5355" s="1108"/>
      <c r="AB5355" s="1412"/>
    </row>
    <row r="5356">
      <c r="AA5356" s="1108"/>
      <c r="AB5356" s="1412"/>
    </row>
    <row r="5357">
      <c r="AA5357" s="1108"/>
      <c r="AB5357" s="1412"/>
    </row>
    <row r="5358">
      <c r="AA5358" s="1108"/>
      <c r="AB5358" s="1412"/>
    </row>
    <row r="5359">
      <c r="AA5359" s="1108"/>
      <c r="AB5359" s="1412"/>
    </row>
    <row r="5360">
      <c r="AA5360" s="1108"/>
      <c r="AB5360" s="1412"/>
    </row>
    <row r="5361">
      <c r="AA5361" s="1108"/>
      <c r="AB5361" s="1412"/>
    </row>
    <row r="5362">
      <c r="AA5362" s="1108"/>
      <c r="AB5362" s="1412"/>
    </row>
    <row r="5363">
      <c r="AA5363" s="1108"/>
      <c r="AB5363" s="1412"/>
    </row>
    <row r="5364">
      <c r="AA5364" s="1108"/>
      <c r="AB5364" s="1412"/>
    </row>
    <row r="5365">
      <c r="AA5365" s="1108"/>
      <c r="AB5365" s="1412"/>
    </row>
    <row r="5366">
      <c r="AA5366" s="1108"/>
      <c r="AB5366" s="1412"/>
    </row>
    <row r="5367">
      <c r="AA5367" s="1108"/>
      <c r="AB5367" s="1412"/>
    </row>
    <row r="5368">
      <c r="AA5368" s="1108"/>
      <c r="AB5368" s="1412"/>
    </row>
    <row r="5369">
      <c r="AA5369" s="1108"/>
      <c r="AB5369" s="1412"/>
    </row>
    <row r="5370">
      <c r="AA5370" s="1108"/>
      <c r="AB5370" s="1412"/>
    </row>
    <row r="5371">
      <c r="AA5371" s="1108"/>
      <c r="AB5371" s="1412"/>
    </row>
    <row r="5372">
      <c r="AA5372" s="1108"/>
      <c r="AB5372" s="1412"/>
    </row>
    <row r="5373">
      <c r="AA5373" s="1108"/>
      <c r="AB5373" s="1412"/>
    </row>
    <row r="5374">
      <c r="AA5374" s="1108"/>
      <c r="AB5374" s="1412"/>
    </row>
    <row r="5375">
      <c r="AA5375" s="1108"/>
      <c r="AB5375" s="1412"/>
    </row>
    <row r="5376">
      <c r="AA5376" s="1108"/>
      <c r="AB5376" s="1412"/>
    </row>
    <row r="5377">
      <c r="AA5377" s="1108"/>
      <c r="AB5377" s="1412"/>
    </row>
    <row r="5378">
      <c r="AA5378" s="1108"/>
      <c r="AB5378" s="1412"/>
    </row>
    <row r="5379">
      <c r="AA5379" s="1108"/>
      <c r="AB5379" s="1412"/>
    </row>
    <row r="5380">
      <c r="AA5380" s="1108"/>
      <c r="AB5380" s="1412"/>
    </row>
    <row r="5381">
      <c r="AA5381" s="1108"/>
      <c r="AB5381" s="1412"/>
    </row>
    <row r="5382">
      <c r="AA5382" s="1108"/>
      <c r="AB5382" s="1412"/>
    </row>
    <row r="5383">
      <c r="AA5383" s="1108"/>
      <c r="AB5383" s="1412"/>
    </row>
    <row r="5384">
      <c r="AA5384" s="1108"/>
      <c r="AB5384" s="1412"/>
    </row>
    <row r="5385">
      <c r="AA5385" s="1108"/>
      <c r="AB5385" s="1412"/>
    </row>
    <row r="5386">
      <c r="AA5386" s="1108"/>
      <c r="AB5386" s="1412"/>
    </row>
    <row r="5387">
      <c r="AA5387" s="1108"/>
      <c r="AB5387" s="1412"/>
    </row>
    <row r="5388">
      <c r="AA5388" s="1108"/>
      <c r="AB5388" s="1412"/>
    </row>
    <row r="5389">
      <c r="AA5389" s="1108"/>
      <c r="AB5389" s="1412"/>
    </row>
    <row r="5390">
      <c r="AA5390" s="1108"/>
      <c r="AB5390" s="1412"/>
    </row>
    <row r="5391">
      <c r="AA5391" s="1108"/>
      <c r="AB5391" s="1412"/>
    </row>
    <row r="5392">
      <c r="AA5392" s="1108"/>
      <c r="AB5392" s="1412"/>
    </row>
    <row r="5393">
      <c r="AA5393" s="1108"/>
      <c r="AB5393" s="1412"/>
    </row>
    <row r="5394">
      <c r="AA5394" s="1108"/>
      <c r="AB5394" s="1412"/>
    </row>
    <row r="5395">
      <c r="AA5395" s="1108"/>
      <c r="AB5395" s="1412"/>
    </row>
    <row r="5396">
      <c r="AA5396" s="1108"/>
      <c r="AB5396" s="1412"/>
    </row>
    <row r="5397">
      <c r="AA5397" s="1108"/>
      <c r="AB5397" s="1412"/>
    </row>
    <row r="5398">
      <c r="AA5398" s="1108"/>
      <c r="AB5398" s="1412"/>
    </row>
    <row r="5399">
      <c r="AA5399" s="1108"/>
      <c r="AB5399" s="1412"/>
    </row>
    <row r="5400">
      <c r="AA5400" s="1108"/>
      <c r="AB5400" s="1412"/>
    </row>
    <row r="5401">
      <c r="AA5401" s="1108"/>
      <c r="AB5401" s="1412"/>
    </row>
    <row r="5402">
      <c r="AA5402" s="1108"/>
      <c r="AB5402" s="1412"/>
    </row>
    <row r="5403">
      <c r="AA5403" s="1108"/>
      <c r="AB5403" s="1412"/>
    </row>
    <row r="5404">
      <c r="AA5404" s="1108"/>
      <c r="AB5404" s="1412"/>
    </row>
    <row r="5405">
      <c r="AA5405" s="1108"/>
      <c r="AB5405" s="1412"/>
    </row>
    <row r="5406">
      <c r="AA5406" s="1108"/>
      <c r="AB5406" s="1412"/>
    </row>
    <row r="5407">
      <c r="AA5407" s="1108"/>
      <c r="AB5407" s="1412"/>
    </row>
    <row r="5408">
      <c r="AA5408" s="1108"/>
      <c r="AB5408" s="1412"/>
    </row>
    <row r="5409">
      <c r="AA5409" s="1108"/>
      <c r="AB5409" s="1412"/>
    </row>
    <row r="5410">
      <c r="AA5410" s="1108"/>
      <c r="AB5410" s="1412"/>
    </row>
    <row r="5411">
      <c r="AA5411" s="1108"/>
      <c r="AB5411" s="1412"/>
    </row>
    <row r="5412">
      <c r="AA5412" s="1108"/>
      <c r="AB5412" s="1412"/>
    </row>
    <row r="5413">
      <c r="AA5413" s="1108"/>
      <c r="AB5413" s="1412"/>
    </row>
    <row r="5414">
      <c r="AA5414" s="1108"/>
      <c r="AB5414" s="1412"/>
    </row>
    <row r="5415">
      <c r="AA5415" s="1108"/>
      <c r="AB5415" s="1412"/>
    </row>
    <row r="5416">
      <c r="AA5416" s="1108"/>
      <c r="AB5416" s="1412"/>
    </row>
    <row r="5417">
      <c r="AA5417" s="1108"/>
      <c r="AB5417" s="1412"/>
    </row>
    <row r="5418">
      <c r="AA5418" s="1108"/>
      <c r="AB5418" s="1412"/>
    </row>
    <row r="5419">
      <c r="AA5419" s="1108"/>
      <c r="AB5419" s="1412"/>
    </row>
    <row r="5420">
      <c r="AA5420" s="1108"/>
      <c r="AB5420" s="1412"/>
    </row>
    <row r="5421">
      <c r="AA5421" s="1108"/>
      <c r="AB5421" s="1412"/>
    </row>
    <row r="5422">
      <c r="AA5422" s="1108"/>
      <c r="AB5422" s="1412"/>
    </row>
    <row r="5423">
      <c r="AA5423" s="1108"/>
      <c r="AB5423" s="1412"/>
    </row>
    <row r="5424">
      <c r="AA5424" s="1108"/>
      <c r="AB5424" s="1412"/>
    </row>
    <row r="5425">
      <c r="AA5425" s="1108"/>
      <c r="AB5425" s="1412"/>
    </row>
    <row r="5426">
      <c r="AA5426" s="1108"/>
      <c r="AB5426" s="1412"/>
    </row>
    <row r="5427">
      <c r="AA5427" s="1108"/>
      <c r="AB5427" s="1412"/>
    </row>
    <row r="5428">
      <c r="AA5428" s="1108"/>
      <c r="AB5428" s="1412"/>
    </row>
    <row r="5429">
      <c r="AA5429" s="1108"/>
      <c r="AB5429" s="1412"/>
    </row>
    <row r="5430">
      <c r="AA5430" s="1108"/>
      <c r="AB5430" s="1412"/>
    </row>
    <row r="5431">
      <c r="AA5431" s="1108"/>
      <c r="AB5431" s="1412"/>
    </row>
    <row r="5432">
      <c r="AA5432" s="1108"/>
      <c r="AB5432" s="1412"/>
    </row>
    <row r="5433">
      <c r="AA5433" s="1108"/>
      <c r="AB5433" s="1412"/>
    </row>
    <row r="5434">
      <c r="AA5434" s="1108"/>
      <c r="AB5434" s="1412"/>
    </row>
    <row r="5435">
      <c r="AA5435" s="1108"/>
      <c r="AB5435" s="1412"/>
    </row>
    <row r="5436">
      <c r="AA5436" s="1108"/>
      <c r="AB5436" s="1412"/>
    </row>
    <row r="5437">
      <c r="AA5437" s="1108"/>
      <c r="AB5437" s="1412"/>
    </row>
    <row r="5438">
      <c r="AA5438" s="1108"/>
      <c r="AB5438" s="1412"/>
    </row>
    <row r="5439">
      <c r="AA5439" s="1108"/>
      <c r="AB5439" s="1412"/>
    </row>
    <row r="5440">
      <c r="AA5440" s="1108"/>
      <c r="AB5440" s="1412"/>
    </row>
    <row r="5441">
      <c r="AA5441" s="1108"/>
      <c r="AB5441" s="1412"/>
    </row>
    <row r="5442">
      <c r="AA5442" s="1108"/>
      <c r="AB5442" s="1412"/>
    </row>
    <row r="5443">
      <c r="AA5443" s="1108"/>
      <c r="AB5443" s="1412"/>
    </row>
    <row r="5444">
      <c r="AA5444" s="1108"/>
      <c r="AB5444" s="1412"/>
    </row>
    <row r="5445">
      <c r="AA5445" s="1108"/>
      <c r="AB5445" s="1412"/>
    </row>
    <row r="5446">
      <c r="AA5446" s="1108"/>
      <c r="AB5446" s="1412"/>
    </row>
    <row r="5447">
      <c r="AA5447" s="1108"/>
      <c r="AB5447" s="1412"/>
    </row>
    <row r="5448">
      <c r="AA5448" s="1108"/>
      <c r="AB5448" s="1412"/>
    </row>
    <row r="5449">
      <c r="AA5449" s="1108"/>
      <c r="AB5449" s="1412"/>
    </row>
    <row r="5450">
      <c r="AA5450" s="1108"/>
      <c r="AB5450" s="1412"/>
    </row>
    <row r="5451">
      <c r="AA5451" s="1108"/>
      <c r="AB5451" s="1412"/>
    </row>
    <row r="5452">
      <c r="AA5452" s="1108"/>
      <c r="AB5452" s="1412"/>
    </row>
    <row r="5453">
      <c r="AA5453" s="1108"/>
      <c r="AB5453" s="1412"/>
    </row>
    <row r="5454">
      <c r="AA5454" s="1108"/>
      <c r="AB5454" s="1412"/>
    </row>
    <row r="5455">
      <c r="AA5455" s="1108"/>
      <c r="AB5455" s="1412"/>
    </row>
    <row r="5456">
      <c r="AA5456" s="1108"/>
      <c r="AB5456" s="1412"/>
    </row>
    <row r="5457">
      <c r="AA5457" s="1108"/>
      <c r="AB5457" s="1412"/>
    </row>
    <row r="5458">
      <c r="AA5458" s="1108"/>
      <c r="AB5458" s="1412"/>
    </row>
    <row r="5459">
      <c r="AA5459" s="1108"/>
      <c r="AB5459" s="1412"/>
    </row>
    <row r="5460">
      <c r="AA5460" s="1108"/>
      <c r="AB5460" s="1412"/>
    </row>
    <row r="5461">
      <c r="AA5461" s="1108"/>
      <c r="AB5461" s="1412"/>
    </row>
    <row r="5462">
      <c r="AA5462" s="1108"/>
      <c r="AB5462" s="1412"/>
    </row>
    <row r="5463">
      <c r="AA5463" s="1108"/>
      <c r="AB5463" s="1412"/>
    </row>
    <row r="5464">
      <c r="AA5464" s="1108"/>
      <c r="AB5464" s="1412"/>
    </row>
    <row r="5465">
      <c r="AA5465" s="1108"/>
      <c r="AB5465" s="1412"/>
    </row>
    <row r="5466">
      <c r="AA5466" s="1108"/>
      <c r="AB5466" s="1412"/>
    </row>
    <row r="5467">
      <c r="AA5467" s="1108"/>
      <c r="AB5467" s="1412"/>
    </row>
    <row r="5468">
      <c r="AA5468" s="1108"/>
      <c r="AB5468" s="1412"/>
    </row>
    <row r="5469">
      <c r="AA5469" s="1108"/>
      <c r="AB5469" s="1412"/>
    </row>
    <row r="5470">
      <c r="AA5470" s="1108"/>
      <c r="AB5470" s="1412"/>
    </row>
    <row r="5471">
      <c r="AA5471" s="1108"/>
      <c r="AB5471" s="1412"/>
    </row>
    <row r="5472">
      <c r="AA5472" s="1108"/>
      <c r="AB5472" s="1412"/>
    </row>
    <row r="5473">
      <c r="AA5473" s="1108"/>
      <c r="AB5473" s="1412"/>
    </row>
    <row r="5474">
      <c r="AA5474" s="1108"/>
      <c r="AB5474" s="1412"/>
    </row>
    <row r="5475">
      <c r="AA5475" s="1108"/>
      <c r="AB5475" s="1412"/>
    </row>
    <row r="5476">
      <c r="AA5476" s="1108"/>
      <c r="AB5476" s="1412"/>
    </row>
    <row r="5477">
      <c r="AA5477" s="1108"/>
      <c r="AB5477" s="1412"/>
    </row>
    <row r="5478">
      <c r="AA5478" s="1108"/>
      <c r="AB5478" s="1412"/>
    </row>
    <row r="5479">
      <c r="AA5479" s="1108"/>
      <c r="AB5479" s="1412"/>
    </row>
    <row r="5480">
      <c r="AA5480" s="1108"/>
      <c r="AB5480" s="1412"/>
    </row>
    <row r="5481">
      <c r="AA5481" s="1108"/>
      <c r="AB5481" s="1412"/>
    </row>
    <row r="5482">
      <c r="AA5482" s="1108"/>
      <c r="AB5482" s="1412"/>
    </row>
    <row r="5483">
      <c r="AA5483" s="1108"/>
      <c r="AB5483" s="1412"/>
    </row>
    <row r="5484">
      <c r="AA5484" s="1108"/>
      <c r="AB5484" s="1412"/>
    </row>
    <row r="5485">
      <c r="AA5485" s="1108"/>
      <c r="AB5485" s="1412"/>
    </row>
    <row r="5486">
      <c r="AA5486" s="1108"/>
      <c r="AB5486" s="1412"/>
    </row>
    <row r="5487">
      <c r="AA5487" s="1108"/>
      <c r="AB5487" s="1412"/>
    </row>
    <row r="5488">
      <c r="AA5488" s="1108"/>
      <c r="AB5488" s="1412"/>
    </row>
    <row r="5489">
      <c r="AA5489" s="1108"/>
      <c r="AB5489" s="1412"/>
    </row>
    <row r="5490">
      <c r="AA5490" s="1108"/>
      <c r="AB5490" s="1412"/>
    </row>
    <row r="5491">
      <c r="AA5491" s="1108"/>
      <c r="AB5491" s="1412"/>
    </row>
    <row r="5492">
      <c r="AA5492" s="1108"/>
      <c r="AB5492" s="1412"/>
    </row>
    <row r="5493">
      <c r="AA5493" s="1108"/>
      <c r="AB5493" s="1412"/>
    </row>
    <row r="5494">
      <c r="AA5494" s="1108"/>
      <c r="AB5494" s="1412"/>
    </row>
    <row r="5495">
      <c r="AA5495" s="1108"/>
      <c r="AB5495" s="1412"/>
    </row>
    <row r="5496">
      <c r="AA5496" s="1108"/>
      <c r="AB5496" s="1412"/>
    </row>
    <row r="5497">
      <c r="AA5497" s="1108"/>
      <c r="AB5497" s="1412"/>
    </row>
    <row r="5498">
      <c r="AA5498" s="1108"/>
      <c r="AB5498" s="1412"/>
    </row>
    <row r="5499">
      <c r="AA5499" s="1108"/>
      <c r="AB5499" s="1412"/>
    </row>
    <row r="5500">
      <c r="AA5500" s="1108"/>
      <c r="AB5500" s="1412"/>
    </row>
    <row r="5501">
      <c r="AA5501" s="1108"/>
      <c r="AB5501" s="1412"/>
    </row>
    <row r="5502">
      <c r="AA5502" s="1108"/>
      <c r="AB5502" s="1412"/>
    </row>
    <row r="5503">
      <c r="AA5503" s="1108"/>
      <c r="AB5503" s="1412"/>
    </row>
    <row r="5504">
      <c r="AA5504" s="1108"/>
      <c r="AB5504" s="1412"/>
    </row>
    <row r="5505">
      <c r="AA5505" s="1108"/>
      <c r="AB5505" s="1412"/>
    </row>
    <row r="5506">
      <c r="AA5506" s="1108"/>
      <c r="AB5506" s="1412"/>
    </row>
    <row r="5507">
      <c r="AA5507" s="1108"/>
      <c r="AB5507" s="1412"/>
    </row>
    <row r="5508">
      <c r="AA5508" s="1108"/>
      <c r="AB5508" s="1412"/>
    </row>
    <row r="5509">
      <c r="AA5509" s="1108"/>
      <c r="AB5509" s="1412"/>
    </row>
    <row r="5510">
      <c r="AA5510" s="1108"/>
      <c r="AB5510" s="1412"/>
    </row>
    <row r="5511">
      <c r="AA5511" s="1108"/>
      <c r="AB5511" s="1412"/>
    </row>
    <row r="5512">
      <c r="AA5512" s="1108"/>
      <c r="AB5512" s="1412"/>
    </row>
    <row r="5513">
      <c r="AA5513" s="1108"/>
      <c r="AB5513" s="1412"/>
    </row>
    <row r="5514">
      <c r="AA5514" s="1108"/>
      <c r="AB5514" s="1412"/>
    </row>
    <row r="5515">
      <c r="AA5515" s="1108"/>
      <c r="AB5515" s="1412"/>
    </row>
    <row r="5516">
      <c r="AA5516" s="1108"/>
      <c r="AB5516" s="1412"/>
    </row>
    <row r="5517">
      <c r="AA5517" s="1108"/>
      <c r="AB5517" s="1412"/>
    </row>
    <row r="5518">
      <c r="AA5518" s="1108"/>
      <c r="AB5518" s="1412"/>
    </row>
    <row r="5519">
      <c r="AA5519" s="1108"/>
      <c r="AB5519" s="1412"/>
    </row>
    <row r="5520">
      <c r="AA5520" s="1108"/>
      <c r="AB5520" s="1412"/>
    </row>
    <row r="5521">
      <c r="AA5521" s="1108"/>
      <c r="AB5521" s="1412"/>
    </row>
    <row r="5522">
      <c r="AA5522" s="1108"/>
      <c r="AB5522" s="1412"/>
    </row>
    <row r="5523">
      <c r="AA5523" s="1108"/>
      <c r="AB5523" s="1412"/>
    </row>
    <row r="5524">
      <c r="AA5524" s="1108"/>
      <c r="AB5524" s="1412"/>
    </row>
    <row r="5525">
      <c r="AA5525" s="1108"/>
      <c r="AB5525" s="1412"/>
    </row>
    <row r="5526">
      <c r="AA5526" s="1108"/>
      <c r="AB5526" s="1412"/>
    </row>
    <row r="5527">
      <c r="AA5527" s="1108"/>
      <c r="AB5527" s="1412"/>
    </row>
    <row r="5528">
      <c r="AA5528" s="1108"/>
      <c r="AB5528" s="1412"/>
    </row>
    <row r="5529">
      <c r="AA5529" s="1108"/>
      <c r="AB5529" s="1412"/>
    </row>
    <row r="5530">
      <c r="AA5530" s="1108"/>
      <c r="AB5530" s="1412"/>
    </row>
    <row r="5531">
      <c r="AA5531" s="1108"/>
      <c r="AB5531" s="1412"/>
    </row>
    <row r="5532">
      <c r="AA5532" s="1108"/>
      <c r="AB5532" s="1412"/>
    </row>
    <row r="5533">
      <c r="AA5533" s="1108"/>
      <c r="AB5533" s="1412"/>
    </row>
    <row r="5534">
      <c r="AA5534" s="1108"/>
      <c r="AB5534" s="1412"/>
    </row>
    <row r="5535">
      <c r="AA5535" s="1108"/>
      <c r="AB5535" s="1412"/>
    </row>
    <row r="5536">
      <c r="AA5536" s="1108"/>
      <c r="AB5536" s="1412"/>
    </row>
    <row r="5537">
      <c r="AA5537" s="1108"/>
      <c r="AB5537" s="1412"/>
    </row>
    <row r="5538">
      <c r="AA5538" s="1108"/>
      <c r="AB5538" s="1412"/>
    </row>
    <row r="5539">
      <c r="AA5539" s="1108"/>
      <c r="AB5539" s="1412"/>
    </row>
    <row r="5540">
      <c r="AA5540" s="1108"/>
      <c r="AB5540" s="1412"/>
    </row>
    <row r="5541">
      <c r="AA5541" s="1108"/>
      <c r="AB5541" s="1412"/>
    </row>
    <row r="5542">
      <c r="AA5542" s="1108"/>
      <c r="AB5542" s="1412"/>
    </row>
    <row r="5543">
      <c r="AA5543" s="1108"/>
      <c r="AB5543" s="1412"/>
    </row>
    <row r="5544">
      <c r="AA5544" s="1108"/>
      <c r="AB5544" s="1412"/>
    </row>
    <row r="5545">
      <c r="AA5545" s="1108"/>
      <c r="AB5545" s="1412"/>
    </row>
    <row r="5546">
      <c r="AA5546" s="1108"/>
      <c r="AB5546" s="1412"/>
    </row>
    <row r="5547">
      <c r="AA5547" s="1108"/>
      <c r="AB5547" s="1412"/>
    </row>
    <row r="5548">
      <c r="AA5548" s="1108"/>
      <c r="AB5548" s="1412"/>
    </row>
    <row r="5549">
      <c r="AA5549" s="1108"/>
      <c r="AB5549" s="1412"/>
    </row>
    <row r="5550">
      <c r="AA5550" s="1108"/>
      <c r="AB5550" s="1412"/>
    </row>
    <row r="5551">
      <c r="AA5551" s="1108"/>
      <c r="AB5551" s="1412"/>
    </row>
    <row r="5552">
      <c r="AA5552" s="1108"/>
      <c r="AB5552" s="1412"/>
    </row>
    <row r="5553">
      <c r="AA5553" s="1108"/>
      <c r="AB5553" s="1412"/>
    </row>
    <row r="5554">
      <c r="AA5554" s="1108"/>
      <c r="AB5554" s="1412"/>
    </row>
    <row r="5555">
      <c r="AA5555" s="1108"/>
      <c r="AB5555" s="1412"/>
    </row>
    <row r="5556">
      <c r="AA5556" s="1108"/>
      <c r="AB5556" s="1412"/>
    </row>
    <row r="5557">
      <c r="AA5557" s="1108"/>
      <c r="AB5557" s="1412"/>
    </row>
    <row r="5558">
      <c r="AA5558" s="1108"/>
      <c r="AB5558" s="1412"/>
    </row>
    <row r="5559">
      <c r="AA5559" s="1108"/>
      <c r="AB5559" s="1412"/>
    </row>
    <row r="5560">
      <c r="AA5560" s="1108"/>
      <c r="AB5560" s="1412"/>
    </row>
    <row r="5561">
      <c r="AA5561" s="1108"/>
      <c r="AB5561" s="1412"/>
    </row>
    <row r="5562">
      <c r="AA5562" s="1108"/>
      <c r="AB5562" s="1412"/>
    </row>
    <row r="5563">
      <c r="AA5563" s="1108"/>
      <c r="AB5563" s="1412"/>
    </row>
    <row r="5564">
      <c r="AA5564" s="1108"/>
      <c r="AB5564" s="1412"/>
    </row>
    <row r="5565">
      <c r="AA5565" s="1108"/>
      <c r="AB5565" s="1412"/>
    </row>
    <row r="5566">
      <c r="AA5566" s="1108"/>
      <c r="AB5566" s="1412"/>
    </row>
    <row r="5567">
      <c r="AA5567" s="1108"/>
      <c r="AB5567" s="1412"/>
    </row>
    <row r="5568">
      <c r="AA5568" s="1108"/>
      <c r="AB5568" s="1412"/>
    </row>
    <row r="5569">
      <c r="AA5569" s="1108"/>
      <c r="AB5569" s="1412"/>
    </row>
    <row r="5570">
      <c r="AA5570" s="1108"/>
      <c r="AB5570" s="1412"/>
    </row>
    <row r="5571">
      <c r="AA5571" s="1108"/>
      <c r="AB5571" s="1412"/>
    </row>
    <row r="5572">
      <c r="AA5572" s="1108"/>
      <c r="AB5572" s="1412"/>
    </row>
    <row r="5573">
      <c r="AA5573" s="1108"/>
      <c r="AB5573" s="1412"/>
    </row>
    <row r="5574">
      <c r="AA5574" s="1108"/>
      <c r="AB5574" s="1412"/>
    </row>
    <row r="5575">
      <c r="AA5575" s="1108"/>
      <c r="AB5575" s="1412"/>
    </row>
    <row r="5576">
      <c r="AA5576" s="1108"/>
      <c r="AB5576" s="1412"/>
    </row>
    <row r="5577">
      <c r="AA5577" s="1108"/>
      <c r="AB5577" s="1412"/>
    </row>
    <row r="5578">
      <c r="AA5578" s="1108"/>
      <c r="AB5578" s="1412"/>
    </row>
    <row r="5579">
      <c r="AA5579" s="1108"/>
      <c r="AB5579" s="1412"/>
    </row>
    <row r="5580">
      <c r="AA5580" s="1108"/>
      <c r="AB5580" s="1412"/>
    </row>
    <row r="5581">
      <c r="AA5581" s="1108"/>
      <c r="AB5581" s="1412"/>
    </row>
    <row r="5582">
      <c r="AA5582" s="1108"/>
      <c r="AB5582" s="1412"/>
    </row>
    <row r="5583">
      <c r="AA5583" s="1108"/>
      <c r="AB5583" s="1412"/>
    </row>
    <row r="5584">
      <c r="AA5584" s="1108"/>
      <c r="AB5584" s="1412"/>
    </row>
    <row r="5585">
      <c r="AA5585" s="1108"/>
      <c r="AB5585" s="1412"/>
    </row>
    <row r="5586">
      <c r="AA5586" s="1108"/>
      <c r="AB5586" s="1412"/>
    </row>
    <row r="5587">
      <c r="AA5587" s="1108"/>
      <c r="AB5587" s="1412"/>
    </row>
    <row r="5588">
      <c r="AA5588" s="1108"/>
      <c r="AB5588" s="1412"/>
    </row>
    <row r="5589">
      <c r="AA5589" s="1108"/>
      <c r="AB5589" s="1412"/>
    </row>
    <row r="5590">
      <c r="AA5590" s="1108"/>
      <c r="AB5590" s="1412"/>
    </row>
    <row r="5591">
      <c r="AA5591" s="1108"/>
      <c r="AB5591" s="1412"/>
    </row>
    <row r="5592">
      <c r="AA5592" s="1108"/>
      <c r="AB5592" s="1412"/>
    </row>
    <row r="5593">
      <c r="AA5593" s="1108"/>
      <c r="AB5593" s="1412"/>
    </row>
    <row r="5594">
      <c r="AA5594" s="1108"/>
      <c r="AB5594" s="1412"/>
    </row>
    <row r="5595">
      <c r="AA5595" s="1108"/>
      <c r="AB5595" s="1412"/>
    </row>
    <row r="5596">
      <c r="AA5596" s="1108"/>
      <c r="AB5596" s="1412"/>
    </row>
    <row r="5597">
      <c r="AA5597" s="1108"/>
      <c r="AB5597" s="1412"/>
    </row>
    <row r="5598">
      <c r="AA5598" s="1108"/>
      <c r="AB5598" s="1412"/>
    </row>
    <row r="5599">
      <c r="AA5599" s="1108"/>
      <c r="AB5599" s="1412"/>
    </row>
    <row r="5600">
      <c r="AA5600" s="1108"/>
      <c r="AB5600" s="1412"/>
    </row>
    <row r="5601">
      <c r="AA5601" s="1108"/>
      <c r="AB5601" s="1412"/>
    </row>
    <row r="5602">
      <c r="AA5602" s="1108"/>
      <c r="AB5602" s="1412"/>
    </row>
    <row r="5603">
      <c r="AA5603" s="1108"/>
      <c r="AB5603" s="1412"/>
    </row>
    <row r="5604">
      <c r="AA5604" s="1108"/>
      <c r="AB5604" s="1412"/>
    </row>
    <row r="5605">
      <c r="AA5605" s="1108"/>
      <c r="AB5605" s="1412"/>
    </row>
    <row r="5606">
      <c r="AA5606" s="1108"/>
      <c r="AB5606" s="1412"/>
    </row>
    <row r="5607">
      <c r="AA5607" s="1108"/>
      <c r="AB5607" s="1412"/>
    </row>
    <row r="5608">
      <c r="AA5608" s="1108"/>
      <c r="AB5608" s="1412"/>
    </row>
    <row r="5609">
      <c r="AA5609" s="1108"/>
      <c r="AB5609" s="1412"/>
    </row>
    <row r="5610">
      <c r="AA5610" s="1108"/>
      <c r="AB5610" s="1412"/>
    </row>
    <row r="5611">
      <c r="AA5611" s="1108"/>
      <c r="AB5611" s="1412"/>
    </row>
    <row r="5612">
      <c r="AA5612" s="1108"/>
      <c r="AB5612" s="1412"/>
    </row>
    <row r="5613">
      <c r="AA5613" s="1108"/>
      <c r="AB5613" s="1412"/>
    </row>
    <row r="5614">
      <c r="AA5614" s="1108"/>
      <c r="AB5614" s="1412"/>
    </row>
    <row r="5615">
      <c r="AA5615" s="1108"/>
      <c r="AB5615" s="1412"/>
    </row>
    <row r="5616">
      <c r="AA5616" s="1108"/>
      <c r="AB5616" s="1412"/>
    </row>
    <row r="5617">
      <c r="AA5617" s="1108"/>
      <c r="AB5617" s="1412"/>
    </row>
    <row r="5618">
      <c r="AA5618" s="1108"/>
      <c r="AB5618" s="1412"/>
    </row>
    <row r="5619">
      <c r="AA5619" s="1108"/>
      <c r="AB5619" s="1412"/>
    </row>
    <row r="5620">
      <c r="AA5620" s="1108"/>
      <c r="AB5620" s="1412"/>
    </row>
    <row r="5621">
      <c r="AA5621" s="1108"/>
      <c r="AB5621" s="1412"/>
    </row>
    <row r="5622">
      <c r="AA5622" s="1108"/>
      <c r="AB5622" s="1412"/>
    </row>
    <row r="5623">
      <c r="AA5623" s="1108"/>
      <c r="AB5623" s="1412"/>
    </row>
    <row r="5624">
      <c r="AA5624" s="1108"/>
      <c r="AB5624" s="1412"/>
    </row>
    <row r="5625">
      <c r="AA5625" s="1108"/>
      <c r="AB5625" s="1412"/>
    </row>
    <row r="5626">
      <c r="AA5626" s="1108"/>
      <c r="AB5626" s="1412"/>
    </row>
    <row r="5627">
      <c r="AA5627" s="1108"/>
      <c r="AB5627" s="1412"/>
    </row>
    <row r="5628">
      <c r="AA5628" s="1108"/>
      <c r="AB5628" s="1412"/>
    </row>
    <row r="5629">
      <c r="AA5629" s="1108"/>
      <c r="AB5629" s="1412"/>
    </row>
    <row r="5630">
      <c r="AA5630" s="1108"/>
      <c r="AB5630" s="1412"/>
    </row>
    <row r="5631">
      <c r="AA5631" s="1108"/>
      <c r="AB5631" s="1412"/>
    </row>
    <row r="5632">
      <c r="AA5632" s="1108"/>
      <c r="AB5632" s="1412"/>
    </row>
    <row r="5633">
      <c r="AA5633" s="1108"/>
      <c r="AB5633" s="1412"/>
    </row>
    <row r="5634">
      <c r="AA5634" s="1108"/>
      <c r="AB5634" s="1412"/>
    </row>
    <row r="5635">
      <c r="AA5635" s="1108"/>
      <c r="AB5635" s="1412"/>
    </row>
    <row r="5636">
      <c r="AA5636" s="1108"/>
      <c r="AB5636" s="1412"/>
    </row>
    <row r="5637">
      <c r="AA5637" s="1108"/>
      <c r="AB5637" s="1412"/>
    </row>
    <row r="5638">
      <c r="AA5638" s="1108"/>
      <c r="AB5638" s="1412"/>
    </row>
    <row r="5639">
      <c r="AA5639" s="1108"/>
      <c r="AB5639" s="1412"/>
    </row>
    <row r="5640">
      <c r="AA5640" s="1108"/>
      <c r="AB5640" s="1412"/>
    </row>
    <row r="5641">
      <c r="AA5641" s="1108"/>
      <c r="AB5641" s="1412"/>
    </row>
    <row r="5642">
      <c r="AA5642" s="1108"/>
      <c r="AB5642" s="1412"/>
    </row>
    <row r="5643">
      <c r="AA5643" s="1108"/>
      <c r="AB5643" s="1412"/>
    </row>
    <row r="5644">
      <c r="AA5644" s="1108"/>
      <c r="AB5644" s="1412"/>
    </row>
    <row r="5645">
      <c r="AA5645" s="1108"/>
      <c r="AB5645" s="1412"/>
    </row>
    <row r="5646">
      <c r="AA5646" s="1108"/>
      <c r="AB5646" s="1412"/>
    </row>
    <row r="5647">
      <c r="AA5647" s="1108"/>
      <c r="AB5647" s="1412"/>
    </row>
    <row r="5648">
      <c r="AA5648" s="1108"/>
      <c r="AB5648" s="1412"/>
    </row>
    <row r="5649">
      <c r="AA5649" s="1108"/>
      <c r="AB5649" s="1412"/>
    </row>
    <row r="5650">
      <c r="AA5650" s="1108"/>
      <c r="AB5650" s="1412"/>
    </row>
    <row r="5651">
      <c r="AA5651" s="1108"/>
      <c r="AB5651" s="1412"/>
    </row>
    <row r="5652">
      <c r="AA5652" s="1108"/>
      <c r="AB5652" s="1412"/>
    </row>
    <row r="5653">
      <c r="AA5653" s="1108"/>
      <c r="AB5653" s="1412"/>
    </row>
    <row r="5654">
      <c r="AA5654" s="1108"/>
      <c r="AB5654" s="1412"/>
    </row>
    <row r="5655">
      <c r="AA5655" s="1108"/>
      <c r="AB5655" s="1412"/>
    </row>
    <row r="5656">
      <c r="AA5656" s="1108"/>
      <c r="AB5656" s="1412"/>
    </row>
    <row r="5657">
      <c r="AA5657" s="1108"/>
      <c r="AB5657" s="1412"/>
    </row>
    <row r="5658">
      <c r="AA5658" s="1108"/>
      <c r="AB5658" s="1412"/>
    </row>
    <row r="5659">
      <c r="AA5659" s="1108"/>
      <c r="AB5659" s="1412"/>
    </row>
    <row r="5660">
      <c r="AA5660" s="1108"/>
      <c r="AB5660" s="1412"/>
    </row>
    <row r="5661">
      <c r="AA5661" s="1108"/>
      <c r="AB5661" s="1412"/>
    </row>
    <row r="5662">
      <c r="AA5662" s="1108"/>
      <c r="AB5662" s="1412"/>
    </row>
    <row r="5663">
      <c r="AA5663" s="1108"/>
      <c r="AB5663" s="1412"/>
    </row>
    <row r="5664">
      <c r="AA5664" s="1108"/>
      <c r="AB5664" s="1412"/>
    </row>
    <row r="5665">
      <c r="AA5665" s="1108"/>
      <c r="AB5665" s="1412"/>
    </row>
    <row r="5666">
      <c r="AA5666" s="1108"/>
      <c r="AB5666" s="1412"/>
    </row>
    <row r="5667">
      <c r="AA5667" s="1108"/>
      <c r="AB5667" s="1412"/>
    </row>
    <row r="5668">
      <c r="AA5668" s="1108"/>
      <c r="AB5668" s="1412"/>
    </row>
    <row r="5669">
      <c r="AA5669" s="1108"/>
      <c r="AB5669" s="1412"/>
    </row>
    <row r="5670">
      <c r="AA5670" s="1108"/>
      <c r="AB5670" s="1412"/>
    </row>
    <row r="5671">
      <c r="AA5671" s="1108"/>
      <c r="AB5671" s="1412"/>
    </row>
    <row r="5672">
      <c r="AA5672" s="1108"/>
      <c r="AB5672" s="1412"/>
    </row>
    <row r="5673">
      <c r="AA5673" s="1108"/>
      <c r="AB5673" s="1412"/>
    </row>
    <row r="5674">
      <c r="AA5674" s="1108"/>
      <c r="AB5674" s="1412"/>
    </row>
    <row r="5675">
      <c r="AA5675" s="1108"/>
      <c r="AB5675" s="1412"/>
    </row>
    <row r="5676">
      <c r="AA5676" s="1108"/>
      <c r="AB5676" s="1412"/>
    </row>
    <row r="5677">
      <c r="AA5677" s="1108"/>
      <c r="AB5677" s="1412"/>
    </row>
    <row r="5678">
      <c r="AA5678" s="1108"/>
      <c r="AB5678" s="1412"/>
    </row>
    <row r="5679">
      <c r="AA5679" s="1108"/>
      <c r="AB5679" s="1412"/>
    </row>
    <row r="5680">
      <c r="AA5680" s="1108"/>
      <c r="AB5680" s="1412"/>
    </row>
    <row r="5681">
      <c r="AA5681" s="1108"/>
      <c r="AB5681" s="1412"/>
    </row>
    <row r="5682">
      <c r="AA5682" s="1108"/>
      <c r="AB5682" s="1412"/>
    </row>
    <row r="5683">
      <c r="AA5683" s="1108"/>
      <c r="AB5683" s="1412"/>
    </row>
    <row r="5684">
      <c r="AA5684" s="1108"/>
      <c r="AB5684" s="1412"/>
    </row>
    <row r="5685">
      <c r="AA5685" s="1108"/>
      <c r="AB5685" s="1412"/>
    </row>
    <row r="5686">
      <c r="AA5686" s="1108"/>
      <c r="AB5686" s="1412"/>
    </row>
    <row r="5687">
      <c r="AA5687" s="1108"/>
      <c r="AB5687" s="1412"/>
    </row>
    <row r="5688">
      <c r="AA5688" s="1108"/>
      <c r="AB5688" s="1412"/>
    </row>
    <row r="5689">
      <c r="AA5689" s="1108"/>
      <c r="AB5689" s="1412"/>
    </row>
    <row r="5690">
      <c r="AA5690" s="1108"/>
      <c r="AB5690" s="1412"/>
    </row>
    <row r="5691">
      <c r="AA5691" s="1108"/>
      <c r="AB5691" s="1412"/>
    </row>
    <row r="5692">
      <c r="AA5692" s="1108"/>
      <c r="AB5692" s="1412"/>
    </row>
    <row r="5693">
      <c r="AA5693" s="1108"/>
      <c r="AB5693" s="1412"/>
    </row>
    <row r="5694">
      <c r="AA5694" s="1108"/>
      <c r="AB5694" s="1412"/>
    </row>
    <row r="5695">
      <c r="AA5695" s="1108"/>
      <c r="AB5695" s="1412"/>
    </row>
    <row r="5696">
      <c r="AA5696" s="1108"/>
      <c r="AB5696" s="1412"/>
    </row>
    <row r="5697">
      <c r="AA5697" s="1108"/>
      <c r="AB5697" s="1412"/>
    </row>
    <row r="5698">
      <c r="AA5698" s="1108"/>
      <c r="AB5698" s="1412"/>
    </row>
    <row r="5699">
      <c r="AA5699" s="1108"/>
      <c r="AB5699" s="1412"/>
    </row>
    <row r="5700">
      <c r="AA5700" s="1108"/>
      <c r="AB5700" s="1412"/>
    </row>
    <row r="5701">
      <c r="AA5701" s="1108"/>
      <c r="AB5701" s="1412"/>
    </row>
    <row r="5702">
      <c r="AA5702" s="1108"/>
      <c r="AB5702" s="1412"/>
    </row>
    <row r="5703">
      <c r="AA5703" s="1108"/>
      <c r="AB5703" s="1412"/>
    </row>
    <row r="5704">
      <c r="AA5704" s="1108"/>
      <c r="AB5704" s="1412"/>
    </row>
    <row r="5705">
      <c r="AA5705" s="1108"/>
      <c r="AB5705" s="1412"/>
    </row>
    <row r="5706">
      <c r="AA5706" s="1108"/>
      <c r="AB5706" s="1412"/>
    </row>
    <row r="5707">
      <c r="AA5707" s="1108"/>
      <c r="AB5707" s="1412"/>
    </row>
    <row r="5708">
      <c r="AA5708" s="1108"/>
      <c r="AB5708" s="1412"/>
    </row>
    <row r="5709">
      <c r="AA5709" s="1108"/>
      <c r="AB5709" s="1412"/>
    </row>
    <row r="5710">
      <c r="AA5710" s="1108"/>
      <c r="AB5710" s="1412"/>
    </row>
    <row r="5711">
      <c r="AA5711" s="1108"/>
      <c r="AB5711" s="1412"/>
    </row>
    <row r="5712">
      <c r="AA5712" s="1108"/>
      <c r="AB5712" s="1412"/>
    </row>
    <row r="5713">
      <c r="AA5713" s="1108"/>
      <c r="AB5713" s="1412"/>
    </row>
    <row r="5714">
      <c r="AA5714" s="1108"/>
      <c r="AB5714" s="1412"/>
    </row>
    <row r="5715">
      <c r="AA5715" s="1108"/>
      <c r="AB5715" s="1412"/>
    </row>
    <row r="5716">
      <c r="AA5716" s="1108"/>
      <c r="AB5716" s="1412"/>
    </row>
    <row r="5717">
      <c r="AA5717" s="1108"/>
      <c r="AB5717" s="1412"/>
    </row>
    <row r="5718">
      <c r="AA5718" s="1108"/>
      <c r="AB5718" s="1412"/>
    </row>
    <row r="5719">
      <c r="AA5719" s="1108"/>
      <c r="AB5719" s="1412"/>
    </row>
    <row r="5720">
      <c r="AA5720" s="1108"/>
      <c r="AB5720" s="1412"/>
    </row>
    <row r="5721">
      <c r="AA5721" s="1108"/>
      <c r="AB5721" s="1412"/>
    </row>
    <row r="5722">
      <c r="AA5722" s="1108"/>
      <c r="AB5722" s="1412"/>
    </row>
    <row r="5723">
      <c r="AA5723" s="1108"/>
      <c r="AB5723" s="1412"/>
    </row>
    <row r="5724">
      <c r="AA5724" s="1108"/>
      <c r="AB5724" s="1412"/>
    </row>
    <row r="5725">
      <c r="AA5725" s="1108"/>
      <c r="AB5725" s="1412"/>
    </row>
    <row r="5726">
      <c r="AA5726" s="1108"/>
      <c r="AB5726" s="1412"/>
    </row>
    <row r="5727">
      <c r="AA5727" s="1108"/>
      <c r="AB5727" s="1412"/>
    </row>
    <row r="5728">
      <c r="AA5728" s="1108"/>
      <c r="AB5728" s="1412"/>
    </row>
    <row r="5729">
      <c r="AA5729" s="1108"/>
      <c r="AB5729" s="1412"/>
    </row>
    <row r="5730">
      <c r="AA5730" s="1108"/>
      <c r="AB5730" s="1412"/>
    </row>
    <row r="5731">
      <c r="AA5731" s="1108"/>
      <c r="AB5731" s="1412"/>
    </row>
    <row r="5732">
      <c r="AA5732" s="1108"/>
      <c r="AB5732" s="1412"/>
    </row>
    <row r="5733">
      <c r="AA5733" s="1108"/>
      <c r="AB5733" s="1412"/>
    </row>
    <row r="5734">
      <c r="AA5734" s="1108"/>
      <c r="AB5734" s="1412"/>
    </row>
    <row r="5735">
      <c r="AA5735" s="1108"/>
      <c r="AB5735" s="1412"/>
    </row>
    <row r="5736">
      <c r="AA5736" s="1108"/>
      <c r="AB5736" s="1412"/>
    </row>
    <row r="5737">
      <c r="AA5737" s="1108"/>
      <c r="AB5737" s="1412"/>
    </row>
    <row r="5738">
      <c r="AA5738" s="1108"/>
      <c r="AB5738" s="1412"/>
    </row>
    <row r="5739">
      <c r="AA5739" s="1108"/>
      <c r="AB5739" s="1412"/>
    </row>
    <row r="5740">
      <c r="AA5740" s="1108"/>
      <c r="AB5740" s="1412"/>
    </row>
    <row r="5741">
      <c r="AA5741" s="1108"/>
      <c r="AB5741" s="1412"/>
    </row>
    <row r="5742">
      <c r="AA5742" s="1108"/>
      <c r="AB5742" s="1412"/>
    </row>
    <row r="5743">
      <c r="AA5743" s="1108"/>
      <c r="AB5743" s="1412"/>
    </row>
    <row r="5744">
      <c r="AA5744" s="1108"/>
      <c r="AB5744" s="1412"/>
    </row>
    <row r="5745">
      <c r="AA5745" s="1108"/>
      <c r="AB5745" s="1412"/>
    </row>
    <row r="5746">
      <c r="AA5746" s="1108"/>
      <c r="AB5746" s="1412"/>
    </row>
    <row r="5747">
      <c r="AA5747" s="1108"/>
      <c r="AB5747" s="1412"/>
    </row>
    <row r="5748">
      <c r="AA5748" s="1108"/>
      <c r="AB5748" s="1412"/>
    </row>
    <row r="5749">
      <c r="AA5749" s="1108"/>
      <c r="AB5749" s="1412"/>
    </row>
    <row r="5750">
      <c r="AA5750" s="1108"/>
      <c r="AB5750" s="1412"/>
    </row>
    <row r="5751">
      <c r="AA5751" s="1108"/>
      <c r="AB5751" s="1412"/>
    </row>
    <row r="5752">
      <c r="AA5752" s="1108"/>
      <c r="AB5752" s="1412"/>
    </row>
    <row r="5753">
      <c r="AA5753" s="1108"/>
      <c r="AB5753" s="1412"/>
    </row>
    <row r="5754">
      <c r="AA5754" s="1108"/>
      <c r="AB5754" s="1412"/>
    </row>
    <row r="5755">
      <c r="AA5755" s="1108"/>
      <c r="AB5755" s="1412"/>
    </row>
    <row r="5756">
      <c r="AA5756" s="1108"/>
      <c r="AB5756" s="1412"/>
    </row>
    <row r="5757">
      <c r="AA5757" s="1108"/>
      <c r="AB5757" s="1412"/>
    </row>
    <row r="5758">
      <c r="AA5758" s="1108"/>
      <c r="AB5758" s="1412"/>
    </row>
    <row r="5759">
      <c r="AA5759" s="1108"/>
      <c r="AB5759" s="1412"/>
    </row>
    <row r="5760">
      <c r="AA5760" s="1108"/>
      <c r="AB5760" s="1412"/>
    </row>
    <row r="5761">
      <c r="AA5761" s="1108"/>
      <c r="AB5761" s="1412"/>
    </row>
    <row r="5762">
      <c r="AA5762" s="1108"/>
      <c r="AB5762" s="1412"/>
    </row>
    <row r="5763">
      <c r="AA5763" s="1108"/>
      <c r="AB5763" s="1412"/>
    </row>
    <row r="5764">
      <c r="AA5764" s="1108"/>
      <c r="AB5764" s="1412"/>
    </row>
    <row r="5765">
      <c r="AA5765" s="1108"/>
      <c r="AB5765" s="1412"/>
    </row>
    <row r="5766">
      <c r="AA5766" s="1108"/>
      <c r="AB5766" s="1412"/>
    </row>
    <row r="5767">
      <c r="AA5767" s="1108"/>
      <c r="AB5767" s="1412"/>
    </row>
    <row r="5768">
      <c r="AA5768" s="1108"/>
      <c r="AB5768" s="1412"/>
    </row>
    <row r="5769">
      <c r="AA5769" s="1108"/>
      <c r="AB5769" s="1412"/>
    </row>
    <row r="5770">
      <c r="AA5770" s="1108"/>
      <c r="AB5770" s="1412"/>
    </row>
    <row r="5771">
      <c r="AA5771" s="1108"/>
      <c r="AB5771" s="1412"/>
    </row>
    <row r="5772">
      <c r="AA5772" s="1108"/>
      <c r="AB5772" s="1412"/>
    </row>
    <row r="5773">
      <c r="AA5773" s="1108"/>
      <c r="AB5773" s="1412"/>
    </row>
    <row r="5774">
      <c r="AA5774" s="1108"/>
      <c r="AB5774" s="1412"/>
    </row>
    <row r="5775">
      <c r="AA5775" s="1108"/>
      <c r="AB5775" s="1412"/>
    </row>
    <row r="5776">
      <c r="AA5776" s="1108"/>
      <c r="AB5776" s="1412"/>
    </row>
    <row r="5777">
      <c r="AA5777" s="1108"/>
      <c r="AB5777" s="1412"/>
    </row>
    <row r="5778">
      <c r="AA5778" s="1108"/>
      <c r="AB5778" s="1412"/>
    </row>
    <row r="5779">
      <c r="AA5779" s="1108"/>
      <c r="AB5779" s="1412"/>
    </row>
    <row r="5780">
      <c r="AA5780" s="1108"/>
      <c r="AB5780" s="1412"/>
    </row>
    <row r="5781">
      <c r="AA5781" s="1108"/>
      <c r="AB5781" s="1412"/>
    </row>
    <row r="5782">
      <c r="AA5782" s="1108"/>
      <c r="AB5782" s="1412"/>
    </row>
    <row r="5783">
      <c r="AA5783" s="1108"/>
      <c r="AB5783" s="1412"/>
    </row>
    <row r="5784">
      <c r="AA5784" s="1108"/>
      <c r="AB5784" s="1412"/>
    </row>
    <row r="5785">
      <c r="AA5785" s="1108"/>
      <c r="AB5785" s="1412"/>
    </row>
    <row r="5786">
      <c r="AA5786" s="1108"/>
      <c r="AB5786" s="1412"/>
    </row>
    <row r="5787">
      <c r="AA5787" s="1108"/>
      <c r="AB5787" s="1412"/>
    </row>
    <row r="5788">
      <c r="AA5788" s="1108"/>
      <c r="AB5788" s="1412"/>
    </row>
    <row r="5789">
      <c r="AA5789" s="1108"/>
      <c r="AB5789" s="1412"/>
    </row>
    <row r="5790">
      <c r="AA5790" s="1108"/>
      <c r="AB5790" s="1412"/>
    </row>
    <row r="5791">
      <c r="AA5791" s="1108"/>
      <c r="AB5791" s="1412"/>
    </row>
    <row r="5792">
      <c r="AA5792" s="1108"/>
      <c r="AB5792" s="1412"/>
    </row>
    <row r="5793">
      <c r="AA5793" s="1108"/>
      <c r="AB5793" s="1412"/>
    </row>
    <row r="5794">
      <c r="AA5794" s="1108"/>
      <c r="AB5794" s="1412"/>
    </row>
    <row r="5795">
      <c r="AA5795" s="1108"/>
      <c r="AB5795" s="1412"/>
    </row>
    <row r="5796">
      <c r="AA5796" s="1108"/>
      <c r="AB5796" s="1412"/>
    </row>
    <row r="5797">
      <c r="AA5797" s="1108"/>
      <c r="AB5797" s="1412"/>
    </row>
    <row r="5798">
      <c r="AA5798" s="1108"/>
      <c r="AB5798" s="1412"/>
    </row>
    <row r="5799">
      <c r="AA5799" s="1108"/>
      <c r="AB5799" s="1412"/>
    </row>
    <row r="5800">
      <c r="AA5800" s="1108"/>
      <c r="AB5800" s="1412"/>
    </row>
    <row r="5801">
      <c r="AA5801" s="1108"/>
      <c r="AB5801" s="1412"/>
    </row>
    <row r="5802">
      <c r="AA5802" s="1108"/>
      <c r="AB5802" s="1412"/>
    </row>
    <row r="5803">
      <c r="AA5803" s="1108"/>
      <c r="AB5803" s="1412"/>
    </row>
    <row r="5804">
      <c r="AA5804" s="1108"/>
      <c r="AB5804" s="1412"/>
    </row>
    <row r="5805">
      <c r="AA5805" s="1108"/>
      <c r="AB5805" s="1412"/>
    </row>
    <row r="5806">
      <c r="AA5806" s="1108"/>
      <c r="AB5806" s="1412"/>
    </row>
    <row r="5807">
      <c r="AA5807" s="1108"/>
      <c r="AB5807" s="1412"/>
    </row>
    <row r="5808">
      <c r="AA5808" s="1108"/>
      <c r="AB5808" s="1412"/>
    </row>
    <row r="5809">
      <c r="AA5809" s="1108"/>
      <c r="AB5809" s="1412"/>
    </row>
    <row r="5810">
      <c r="AA5810" s="1108"/>
      <c r="AB5810" s="1412"/>
    </row>
    <row r="5811">
      <c r="AA5811" s="1108"/>
      <c r="AB5811" s="1412"/>
    </row>
    <row r="5812">
      <c r="AA5812" s="1108"/>
      <c r="AB5812" s="1412"/>
    </row>
    <row r="5813">
      <c r="AA5813" s="1108"/>
      <c r="AB5813" s="1412"/>
    </row>
    <row r="5814">
      <c r="AA5814" s="1108"/>
      <c r="AB5814" s="1412"/>
    </row>
    <row r="5815">
      <c r="AA5815" s="1108"/>
      <c r="AB5815" s="1412"/>
    </row>
    <row r="5816">
      <c r="AA5816" s="1108"/>
      <c r="AB5816" s="1412"/>
    </row>
    <row r="5817">
      <c r="AA5817" s="1108"/>
      <c r="AB5817" s="1412"/>
    </row>
    <row r="5818">
      <c r="AA5818" s="1108"/>
      <c r="AB5818" s="1412"/>
    </row>
    <row r="5819">
      <c r="AA5819" s="1108"/>
      <c r="AB5819" s="1412"/>
    </row>
    <row r="5820">
      <c r="AA5820" s="1108"/>
      <c r="AB5820" s="1412"/>
    </row>
    <row r="5821">
      <c r="AA5821" s="1108"/>
      <c r="AB5821" s="1412"/>
    </row>
    <row r="5822">
      <c r="AA5822" s="1108"/>
      <c r="AB5822" s="1412"/>
    </row>
    <row r="5823">
      <c r="AA5823" s="1108"/>
      <c r="AB5823" s="1412"/>
    </row>
    <row r="5824">
      <c r="AA5824" s="1108"/>
      <c r="AB5824" s="1412"/>
    </row>
    <row r="5825">
      <c r="AA5825" s="1108"/>
      <c r="AB5825" s="1412"/>
    </row>
    <row r="5826">
      <c r="AA5826" s="1108"/>
      <c r="AB5826" s="1412"/>
    </row>
    <row r="5827">
      <c r="AA5827" s="1108"/>
      <c r="AB5827" s="1412"/>
    </row>
    <row r="5828">
      <c r="AA5828" s="1108"/>
      <c r="AB5828" s="1412"/>
    </row>
    <row r="5829">
      <c r="AA5829" s="1108"/>
      <c r="AB5829" s="1412"/>
    </row>
    <row r="5830">
      <c r="AA5830" s="1108"/>
      <c r="AB5830" s="1412"/>
    </row>
    <row r="5831">
      <c r="AA5831" s="1108"/>
      <c r="AB5831" s="1412"/>
    </row>
    <row r="5832">
      <c r="AA5832" s="1108"/>
      <c r="AB5832" s="1412"/>
    </row>
    <row r="5833">
      <c r="AA5833" s="1108"/>
      <c r="AB5833" s="1412"/>
    </row>
    <row r="5834">
      <c r="AA5834" s="1108"/>
      <c r="AB5834" s="1412"/>
    </row>
    <row r="5835">
      <c r="AA5835" s="1108"/>
      <c r="AB5835" s="1412"/>
    </row>
    <row r="5836">
      <c r="AA5836" s="1108"/>
      <c r="AB5836" s="1412"/>
    </row>
    <row r="5837">
      <c r="AA5837" s="1108"/>
      <c r="AB5837" s="1412"/>
    </row>
    <row r="5838">
      <c r="AA5838" s="1108"/>
      <c r="AB5838" s="1412"/>
    </row>
    <row r="5839">
      <c r="AA5839" s="1108"/>
      <c r="AB5839" s="1412"/>
    </row>
    <row r="5840">
      <c r="AA5840" s="1108"/>
      <c r="AB5840" s="1412"/>
    </row>
    <row r="5841">
      <c r="AA5841" s="1108"/>
      <c r="AB5841" s="1412"/>
    </row>
    <row r="5842">
      <c r="AA5842" s="1108"/>
      <c r="AB5842" s="1412"/>
    </row>
    <row r="5843">
      <c r="AA5843" s="1108"/>
      <c r="AB5843" s="1412"/>
    </row>
    <row r="5844">
      <c r="AA5844" s="1108"/>
      <c r="AB5844" s="1412"/>
    </row>
    <row r="5845">
      <c r="AA5845" s="1108"/>
      <c r="AB5845" s="1412"/>
    </row>
    <row r="5846">
      <c r="AA5846" s="1108"/>
      <c r="AB5846" s="1412"/>
    </row>
    <row r="5847">
      <c r="AA5847" s="1108"/>
      <c r="AB5847" s="1412"/>
    </row>
    <row r="5848">
      <c r="AA5848" s="1108"/>
      <c r="AB5848" s="1412"/>
    </row>
    <row r="5849">
      <c r="AA5849" s="1108"/>
      <c r="AB5849" s="1412"/>
    </row>
    <row r="5850">
      <c r="AA5850" s="1108"/>
      <c r="AB5850" s="1412"/>
    </row>
    <row r="5851">
      <c r="AA5851" s="1108"/>
      <c r="AB5851" s="1412"/>
    </row>
    <row r="5852">
      <c r="AA5852" s="1108"/>
      <c r="AB5852" s="1412"/>
    </row>
    <row r="5853">
      <c r="AA5853" s="1108"/>
      <c r="AB5853" s="1412"/>
    </row>
    <row r="5854">
      <c r="AA5854" s="1108"/>
      <c r="AB5854" s="1412"/>
    </row>
    <row r="5855">
      <c r="AA5855" s="1108"/>
      <c r="AB5855" s="1412"/>
    </row>
    <row r="5856">
      <c r="AA5856" s="1108"/>
      <c r="AB5856" s="1412"/>
    </row>
    <row r="5857">
      <c r="AA5857" s="1108"/>
      <c r="AB5857" s="1412"/>
    </row>
    <row r="5858">
      <c r="AA5858" s="1108"/>
      <c r="AB5858" s="1412"/>
    </row>
    <row r="5859">
      <c r="AA5859" s="1108"/>
      <c r="AB5859" s="1412"/>
    </row>
    <row r="5860">
      <c r="AA5860" s="1108"/>
      <c r="AB5860" s="1412"/>
    </row>
    <row r="5861">
      <c r="AA5861" s="1108"/>
      <c r="AB5861" s="1412"/>
    </row>
    <row r="5862">
      <c r="AA5862" s="1108"/>
      <c r="AB5862" s="1412"/>
    </row>
    <row r="5863">
      <c r="AA5863" s="1108"/>
      <c r="AB5863" s="1412"/>
    </row>
    <row r="5864">
      <c r="AA5864" s="1108"/>
      <c r="AB5864" s="1412"/>
    </row>
    <row r="5865">
      <c r="AA5865" s="1108"/>
      <c r="AB5865" s="1412"/>
    </row>
    <row r="5866">
      <c r="AA5866" s="1108"/>
      <c r="AB5866" s="1412"/>
    </row>
    <row r="5867">
      <c r="AA5867" s="1108"/>
      <c r="AB5867" s="1412"/>
    </row>
    <row r="5868">
      <c r="AA5868" s="1108"/>
      <c r="AB5868" s="1412"/>
    </row>
    <row r="5869">
      <c r="AA5869" s="1108"/>
      <c r="AB5869" s="1412"/>
    </row>
    <row r="5870">
      <c r="AA5870" s="1108"/>
      <c r="AB5870" s="1412"/>
    </row>
    <row r="5871">
      <c r="AA5871" s="1108"/>
      <c r="AB5871" s="1412"/>
    </row>
    <row r="5872">
      <c r="AA5872" s="1108"/>
      <c r="AB5872" s="1412"/>
    </row>
    <row r="5873">
      <c r="AA5873" s="1108"/>
      <c r="AB5873" s="1412"/>
    </row>
    <row r="5874">
      <c r="AA5874" s="1108"/>
      <c r="AB5874" s="1412"/>
    </row>
    <row r="5875">
      <c r="AA5875" s="1108"/>
      <c r="AB5875" s="1412"/>
    </row>
    <row r="5876">
      <c r="AA5876" s="1108"/>
      <c r="AB5876" s="1412"/>
    </row>
    <row r="5877">
      <c r="AA5877" s="1108"/>
      <c r="AB5877" s="1412"/>
    </row>
    <row r="5878">
      <c r="AA5878" s="1108"/>
      <c r="AB5878" s="1412"/>
    </row>
    <row r="5879">
      <c r="AA5879" s="1108"/>
      <c r="AB5879" s="1412"/>
    </row>
    <row r="5880">
      <c r="AA5880" s="1108"/>
      <c r="AB5880" s="1412"/>
    </row>
    <row r="5881">
      <c r="AA5881" s="1108"/>
      <c r="AB5881" s="1412"/>
    </row>
    <row r="5882">
      <c r="AA5882" s="1108"/>
      <c r="AB5882" s="1412"/>
    </row>
    <row r="5883">
      <c r="AA5883" s="1108"/>
      <c r="AB5883" s="1412"/>
    </row>
    <row r="5884">
      <c r="AA5884" s="1108"/>
      <c r="AB5884" s="1412"/>
    </row>
    <row r="5885">
      <c r="AA5885" s="1108"/>
      <c r="AB5885" s="1412"/>
    </row>
    <row r="5886">
      <c r="AA5886" s="1108"/>
      <c r="AB5886" s="1412"/>
    </row>
    <row r="5887">
      <c r="AA5887" s="1108"/>
      <c r="AB5887" s="1412"/>
    </row>
    <row r="5888">
      <c r="AA5888" s="1108"/>
      <c r="AB5888" s="1412"/>
    </row>
    <row r="5889">
      <c r="AA5889" s="1108"/>
      <c r="AB5889" s="1412"/>
    </row>
    <row r="5890">
      <c r="AA5890" s="1108"/>
      <c r="AB5890" s="1412"/>
    </row>
    <row r="5891">
      <c r="AA5891" s="1108"/>
      <c r="AB5891" s="1412"/>
    </row>
    <row r="5892">
      <c r="AA5892" s="1108"/>
      <c r="AB5892" s="1412"/>
    </row>
    <row r="5893">
      <c r="AA5893" s="1108"/>
      <c r="AB5893" s="1412"/>
    </row>
    <row r="5894">
      <c r="AA5894" s="1108"/>
      <c r="AB5894" s="1412"/>
    </row>
    <row r="5895">
      <c r="AA5895" s="1108"/>
      <c r="AB5895" s="1412"/>
    </row>
    <row r="5896">
      <c r="AA5896" s="1108"/>
      <c r="AB5896" s="1412"/>
    </row>
    <row r="5897">
      <c r="AA5897" s="1108"/>
      <c r="AB5897" s="1412"/>
    </row>
    <row r="5898">
      <c r="AA5898" s="1108"/>
      <c r="AB5898" s="1412"/>
    </row>
    <row r="5899">
      <c r="AA5899" s="1108"/>
      <c r="AB5899" s="1412"/>
    </row>
    <row r="5900">
      <c r="AA5900" s="1108"/>
      <c r="AB5900" s="1412"/>
    </row>
    <row r="5901">
      <c r="AA5901" s="1108"/>
      <c r="AB5901" s="1412"/>
    </row>
    <row r="5902">
      <c r="AA5902" s="1108"/>
      <c r="AB5902" s="1412"/>
    </row>
    <row r="5903">
      <c r="AA5903" s="1108"/>
      <c r="AB5903" s="1412"/>
    </row>
    <row r="5904">
      <c r="AA5904" s="1108"/>
      <c r="AB5904" s="1412"/>
    </row>
    <row r="5905">
      <c r="AA5905" s="1108"/>
      <c r="AB5905" s="1412"/>
    </row>
    <row r="5906">
      <c r="AA5906" s="1108"/>
      <c r="AB5906" s="1412"/>
    </row>
    <row r="5907">
      <c r="AA5907" s="1108"/>
      <c r="AB5907" s="1412"/>
    </row>
    <row r="5908">
      <c r="AA5908" s="1108"/>
      <c r="AB5908" s="1412"/>
    </row>
    <row r="5909">
      <c r="AA5909" s="1108"/>
      <c r="AB5909" s="1412"/>
    </row>
    <row r="5910">
      <c r="AA5910" s="1108"/>
      <c r="AB5910" s="1412"/>
    </row>
    <row r="5911">
      <c r="AA5911" s="1108"/>
      <c r="AB5911" s="1412"/>
    </row>
    <row r="5912">
      <c r="AA5912" s="1108"/>
      <c r="AB5912" s="1412"/>
    </row>
    <row r="5913">
      <c r="AA5913" s="1108"/>
      <c r="AB5913" s="1412"/>
    </row>
    <row r="5914">
      <c r="AA5914" s="1108"/>
      <c r="AB5914" s="1412"/>
    </row>
    <row r="5915">
      <c r="AA5915" s="1108"/>
      <c r="AB5915" s="1412"/>
    </row>
    <row r="5916">
      <c r="AA5916" s="1108"/>
      <c r="AB5916" s="1412"/>
    </row>
    <row r="5917">
      <c r="AA5917" s="1108"/>
      <c r="AB5917" s="1412"/>
    </row>
    <row r="5918">
      <c r="AA5918" s="1108"/>
      <c r="AB5918" s="1412"/>
    </row>
    <row r="5919">
      <c r="AA5919" s="1108"/>
      <c r="AB5919" s="1412"/>
    </row>
    <row r="5920">
      <c r="AA5920" s="1108"/>
      <c r="AB5920" s="1412"/>
    </row>
    <row r="5921">
      <c r="AA5921" s="1108"/>
      <c r="AB5921" s="1412"/>
    </row>
    <row r="5922">
      <c r="AA5922" s="1108"/>
      <c r="AB5922" s="1412"/>
    </row>
    <row r="5923">
      <c r="AA5923" s="1108"/>
      <c r="AB5923" s="1412"/>
    </row>
    <row r="5924">
      <c r="AA5924" s="1108"/>
      <c r="AB5924" s="1412"/>
    </row>
    <row r="5925">
      <c r="AA5925" s="1108"/>
      <c r="AB5925" s="1412"/>
    </row>
    <row r="5926">
      <c r="AA5926" s="1108"/>
      <c r="AB5926" s="1412"/>
    </row>
    <row r="5927">
      <c r="AA5927" s="1108"/>
      <c r="AB5927" s="1412"/>
    </row>
    <row r="5928">
      <c r="AA5928" s="1108"/>
      <c r="AB5928" s="1412"/>
    </row>
    <row r="5929">
      <c r="AA5929" s="1108"/>
      <c r="AB5929" s="1412"/>
    </row>
    <row r="5930">
      <c r="AA5930" s="1108"/>
      <c r="AB5930" s="1412"/>
    </row>
    <row r="5931">
      <c r="AA5931" s="1108"/>
      <c r="AB5931" s="1412"/>
    </row>
    <row r="5932">
      <c r="AA5932" s="1108"/>
      <c r="AB5932" s="1412"/>
    </row>
    <row r="5933">
      <c r="AA5933" s="1108"/>
      <c r="AB5933" s="1412"/>
    </row>
    <row r="5934">
      <c r="AA5934" s="1108"/>
      <c r="AB5934" s="1412"/>
    </row>
    <row r="5935">
      <c r="AA5935" s="1108"/>
      <c r="AB5935" s="1412"/>
    </row>
    <row r="5936">
      <c r="AA5936" s="1108"/>
      <c r="AB5936" s="1412"/>
    </row>
    <row r="5937">
      <c r="AA5937" s="1108"/>
      <c r="AB5937" s="1412"/>
    </row>
    <row r="5938">
      <c r="AA5938" s="1108"/>
      <c r="AB5938" s="1412"/>
    </row>
    <row r="5939">
      <c r="AA5939" s="1108"/>
      <c r="AB5939" s="1412"/>
    </row>
    <row r="5940">
      <c r="AA5940" s="1108"/>
      <c r="AB5940" s="1412"/>
    </row>
    <row r="5941">
      <c r="AA5941" s="1108"/>
      <c r="AB5941" s="1412"/>
    </row>
    <row r="5942">
      <c r="AA5942" s="1108"/>
      <c r="AB5942" s="1412"/>
    </row>
    <row r="5943">
      <c r="AA5943" s="1108"/>
      <c r="AB5943" s="1412"/>
    </row>
    <row r="5944">
      <c r="AA5944" s="1108"/>
      <c r="AB5944" s="1412"/>
    </row>
    <row r="5945">
      <c r="AA5945" s="1108"/>
      <c r="AB5945" s="1412"/>
    </row>
    <row r="5946">
      <c r="AA5946" s="1108"/>
      <c r="AB5946" s="1412"/>
    </row>
    <row r="5947">
      <c r="AA5947" s="1108"/>
      <c r="AB5947" s="1412"/>
    </row>
    <row r="5948">
      <c r="AA5948" s="1108"/>
      <c r="AB5948" s="1412"/>
    </row>
    <row r="5949">
      <c r="AA5949" s="1108"/>
      <c r="AB5949" s="1412"/>
    </row>
    <row r="5950">
      <c r="AA5950" s="1108"/>
      <c r="AB5950" s="1412"/>
    </row>
    <row r="5951">
      <c r="AA5951" s="1108"/>
      <c r="AB5951" s="1412"/>
    </row>
    <row r="5952">
      <c r="AA5952" s="1108"/>
      <c r="AB5952" s="1412"/>
    </row>
    <row r="5953">
      <c r="AA5953" s="1108"/>
      <c r="AB5953" s="1412"/>
    </row>
    <row r="5954">
      <c r="AA5954" s="1108"/>
      <c r="AB5954" s="1412"/>
    </row>
    <row r="5955">
      <c r="AA5955" s="1108"/>
      <c r="AB5955" s="1412"/>
    </row>
    <row r="5956">
      <c r="AA5956" s="1108"/>
      <c r="AB5956" s="1412"/>
    </row>
    <row r="5957">
      <c r="AA5957" s="1108"/>
      <c r="AB5957" s="1412"/>
    </row>
    <row r="5958">
      <c r="AA5958" s="1108"/>
      <c r="AB5958" s="1412"/>
    </row>
    <row r="5959">
      <c r="AA5959" s="1108"/>
      <c r="AB5959" s="1412"/>
    </row>
    <row r="5960">
      <c r="AA5960" s="1108"/>
      <c r="AB5960" s="1412"/>
    </row>
    <row r="5961">
      <c r="AA5961" s="1108"/>
      <c r="AB5961" s="1412"/>
    </row>
    <row r="5962">
      <c r="AA5962" s="1108"/>
      <c r="AB5962" s="1412"/>
    </row>
    <row r="5963">
      <c r="AA5963" s="1108"/>
      <c r="AB5963" s="1412"/>
    </row>
    <row r="5964">
      <c r="AA5964" s="1108"/>
      <c r="AB5964" s="1412"/>
    </row>
    <row r="5965">
      <c r="AA5965" s="1108"/>
      <c r="AB5965" s="1412"/>
    </row>
    <row r="5966">
      <c r="AA5966" s="1108"/>
      <c r="AB5966" s="1412"/>
    </row>
    <row r="5967">
      <c r="AA5967" s="1108"/>
      <c r="AB5967" s="1412"/>
    </row>
    <row r="5968">
      <c r="AA5968" s="1108"/>
      <c r="AB5968" s="1412"/>
    </row>
    <row r="5969">
      <c r="AA5969" s="1108"/>
      <c r="AB5969" s="1412"/>
    </row>
    <row r="5970">
      <c r="AA5970" s="1108"/>
      <c r="AB5970" s="1412"/>
    </row>
    <row r="5971">
      <c r="AA5971" s="1108"/>
      <c r="AB5971" s="1412"/>
    </row>
    <row r="5972">
      <c r="AA5972" s="1108"/>
      <c r="AB5972" s="1412"/>
    </row>
    <row r="5973">
      <c r="AA5973" s="1108"/>
      <c r="AB5973" s="1412"/>
    </row>
    <row r="5974">
      <c r="AA5974" s="1108"/>
      <c r="AB5974" s="1412"/>
    </row>
    <row r="5975">
      <c r="AA5975" s="1108"/>
      <c r="AB5975" s="1412"/>
    </row>
    <row r="5976">
      <c r="AA5976" s="1108"/>
      <c r="AB5976" s="1412"/>
    </row>
    <row r="5977">
      <c r="AA5977" s="1108"/>
      <c r="AB5977" s="1412"/>
    </row>
    <row r="5978">
      <c r="AA5978" s="1108"/>
      <c r="AB5978" s="1412"/>
    </row>
    <row r="5979">
      <c r="AA5979" s="1108"/>
      <c r="AB5979" s="1412"/>
    </row>
    <row r="5980">
      <c r="AA5980" s="1108"/>
      <c r="AB5980" s="1412"/>
    </row>
    <row r="5981">
      <c r="AA5981" s="1108"/>
      <c r="AB5981" s="1412"/>
    </row>
    <row r="5982">
      <c r="AA5982" s="1108"/>
      <c r="AB5982" s="1412"/>
    </row>
    <row r="5983">
      <c r="AA5983" s="1108"/>
      <c r="AB5983" s="1412"/>
    </row>
    <row r="5984">
      <c r="AA5984" s="1108"/>
      <c r="AB5984" s="1412"/>
    </row>
    <row r="5985">
      <c r="AA5985" s="1108"/>
      <c r="AB5985" s="1412"/>
    </row>
    <row r="5986">
      <c r="AA5986" s="1108"/>
      <c r="AB5986" s="1412"/>
    </row>
    <row r="5987">
      <c r="AA5987" s="1108"/>
      <c r="AB5987" s="1412"/>
    </row>
    <row r="5988">
      <c r="AA5988" s="1108"/>
      <c r="AB5988" s="1412"/>
    </row>
    <row r="5989">
      <c r="AA5989" s="1108"/>
      <c r="AB5989" s="1412"/>
    </row>
    <row r="5990">
      <c r="AA5990" s="1108"/>
      <c r="AB5990" s="1412"/>
    </row>
    <row r="5991">
      <c r="AA5991" s="1108"/>
      <c r="AB5991" s="1412"/>
    </row>
    <row r="5992">
      <c r="AA5992" s="1108"/>
      <c r="AB5992" s="1412"/>
    </row>
    <row r="5993">
      <c r="AA5993" s="1108"/>
      <c r="AB5993" s="1412"/>
    </row>
    <row r="5994">
      <c r="AA5994" s="1108"/>
      <c r="AB5994" s="1412"/>
    </row>
    <row r="5995">
      <c r="AA5995" s="1108"/>
      <c r="AB5995" s="1412"/>
    </row>
    <row r="5996">
      <c r="AA5996" s="1108"/>
      <c r="AB5996" s="1412"/>
    </row>
    <row r="5997">
      <c r="AA5997" s="1108"/>
      <c r="AB5997" s="1412"/>
    </row>
    <row r="5998">
      <c r="AA5998" s="1108"/>
      <c r="AB5998" s="1412"/>
    </row>
    <row r="5999">
      <c r="AA5999" s="1108"/>
      <c r="AB5999" s="1412"/>
    </row>
    <row r="6000">
      <c r="AA6000" s="1108"/>
      <c r="AB6000" s="1412"/>
    </row>
    <row r="6001">
      <c r="AA6001" s="1108"/>
      <c r="AB6001" s="1412"/>
    </row>
    <row r="6002">
      <c r="AA6002" s="1108"/>
      <c r="AB6002" s="1412"/>
    </row>
    <row r="6003">
      <c r="AA6003" s="1108"/>
      <c r="AB6003" s="1412"/>
    </row>
    <row r="6004">
      <c r="AA6004" s="1108"/>
      <c r="AB6004" s="1412"/>
    </row>
    <row r="6005">
      <c r="AA6005" s="1108"/>
      <c r="AB6005" s="1412"/>
    </row>
    <row r="6006">
      <c r="AA6006" s="1108"/>
      <c r="AB6006" s="1412"/>
    </row>
    <row r="6007">
      <c r="AA6007" s="1108"/>
      <c r="AB6007" s="1412"/>
    </row>
    <row r="6008">
      <c r="AA6008" s="1108"/>
      <c r="AB6008" s="1412"/>
    </row>
    <row r="6009">
      <c r="AA6009" s="1108"/>
      <c r="AB6009" s="1412"/>
    </row>
    <row r="6010">
      <c r="AA6010" s="1108"/>
      <c r="AB6010" s="1412"/>
    </row>
    <row r="6011">
      <c r="AA6011" s="1108"/>
      <c r="AB6011" s="1412"/>
    </row>
    <row r="6012">
      <c r="AA6012" s="1108"/>
      <c r="AB6012" s="1412"/>
    </row>
    <row r="6013">
      <c r="AA6013" s="1108"/>
      <c r="AB6013" s="1412"/>
    </row>
    <row r="6014">
      <c r="AA6014" s="1108"/>
      <c r="AB6014" s="1412"/>
    </row>
    <row r="6015">
      <c r="AA6015" s="1108"/>
      <c r="AB6015" s="1412"/>
    </row>
    <row r="6016">
      <c r="AA6016" s="1108"/>
      <c r="AB6016" s="1412"/>
    </row>
    <row r="6017">
      <c r="AA6017" s="1108"/>
      <c r="AB6017" s="1412"/>
    </row>
    <row r="6018">
      <c r="AA6018" s="1108"/>
      <c r="AB6018" s="1412"/>
    </row>
    <row r="6019">
      <c r="AA6019" s="1108"/>
      <c r="AB6019" s="1412"/>
    </row>
    <row r="6020">
      <c r="AA6020" s="1108"/>
      <c r="AB6020" s="1412"/>
    </row>
    <row r="6021">
      <c r="AA6021" s="1108"/>
      <c r="AB6021" s="1412"/>
    </row>
    <row r="6022">
      <c r="AA6022" s="1108"/>
      <c r="AB6022" s="1412"/>
    </row>
    <row r="6023">
      <c r="AA6023" s="1108"/>
      <c r="AB6023" s="1412"/>
    </row>
    <row r="6024">
      <c r="AA6024" s="1108"/>
      <c r="AB6024" s="1412"/>
    </row>
    <row r="6025">
      <c r="AA6025" s="1108"/>
      <c r="AB6025" s="1412"/>
    </row>
    <row r="6026">
      <c r="AA6026" s="1108"/>
      <c r="AB6026" s="1412"/>
    </row>
    <row r="6027">
      <c r="AA6027" s="1108"/>
      <c r="AB6027" s="1412"/>
    </row>
    <row r="6028">
      <c r="AA6028" s="1108"/>
      <c r="AB6028" s="1412"/>
    </row>
    <row r="6029">
      <c r="AA6029" s="1108"/>
      <c r="AB6029" s="1412"/>
    </row>
    <row r="6030">
      <c r="AA6030" s="1108"/>
      <c r="AB6030" s="1412"/>
    </row>
    <row r="6031">
      <c r="AA6031" s="1108"/>
      <c r="AB6031" s="1412"/>
    </row>
    <row r="6032">
      <c r="AA6032" s="1108"/>
      <c r="AB6032" s="1412"/>
    </row>
    <row r="6033">
      <c r="AA6033" s="1108"/>
      <c r="AB6033" s="1412"/>
    </row>
    <row r="6034">
      <c r="AA6034" s="1108"/>
      <c r="AB6034" s="1412"/>
    </row>
    <row r="6035">
      <c r="AA6035" s="1108"/>
      <c r="AB6035" s="1412"/>
    </row>
    <row r="6036">
      <c r="AA6036" s="1108"/>
      <c r="AB6036" s="1412"/>
    </row>
    <row r="6037">
      <c r="AA6037" s="1108"/>
      <c r="AB6037" s="1412"/>
    </row>
    <row r="6038">
      <c r="AA6038" s="1108"/>
      <c r="AB6038" s="1412"/>
    </row>
    <row r="6039">
      <c r="AA6039" s="1108"/>
      <c r="AB6039" s="1412"/>
    </row>
    <row r="6040">
      <c r="AA6040" s="1108"/>
      <c r="AB6040" s="1412"/>
    </row>
    <row r="6041">
      <c r="AA6041" s="1108"/>
      <c r="AB6041" s="1412"/>
    </row>
    <row r="6042">
      <c r="AA6042" s="1108"/>
      <c r="AB6042" s="1412"/>
    </row>
    <row r="6043">
      <c r="AA6043" s="1108"/>
      <c r="AB6043" s="1412"/>
    </row>
    <row r="6044">
      <c r="AA6044" s="1108"/>
      <c r="AB6044" s="1412"/>
    </row>
    <row r="6045">
      <c r="AA6045" s="1108"/>
      <c r="AB6045" s="1412"/>
    </row>
    <row r="6046">
      <c r="AA6046" s="1108"/>
      <c r="AB6046" s="1412"/>
    </row>
    <row r="6047">
      <c r="AA6047" s="1108"/>
      <c r="AB6047" s="1412"/>
    </row>
    <row r="6048">
      <c r="AA6048" s="1108"/>
      <c r="AB6048" s="1412"/>
    </row>
    <row r="6049">
      <c r="AA6049" s="1108"/>
      <c r="AB6049" s="1412"/>
    </row>
    <row r="6050">
      <c r="AA6050" s="1108"/>
      <c r="AB6050" s="1412"/>
    </row>
    <row r="6051">
      <c r="AA6051" s="1108"/>
      <c r="AB6051" s="1412"/>
    </row>
    <row r="6052">
      <c r="AA6052" s="1108"/>
      <c r="AB6052" s="1412"/>
    </row>
    <row r="6053">
      <c r="AA6053" s="1108"/>
      <c r="AB6053" s="1412"/>
    </row>
    <row r="6054">
      <c r="AA6054" s="1108"/>
      <c r="AB6054" s="1412"/>
    </row>
    <row r="6055">
      <c r="AA6055" s="1108"/>
      <c r="AB6055" s="1412"/>
    </row>
    <row r="6056">
      <c r="AA6056" s="1108"/>
      <c r="AB6056" s="1412"/>
    </row>
    <row r="6057">
      <c r="AA6057" s="1108"/>
      <c r="AB6057" s="1412"/>
    </row>
    <row r="6058">
      <c r="AA6058" s="1108"/>
      <c r="AB6058" s="1412"/>
    </row>
    <row r="6059">
      <c r="AA6059" s="1108"/>
      <c r="AB6059" s="1412"/>
    </row>
    <row r="6060">
      <c r="AA6060" s="1108"/>
      <c r="AB6060" s="1412"/>
    </row>
    <row r="6061">
      <c r="AA6061" s="1108"/>
      <c r="AB6061" s="1412"/>
    </row>
    <row r="6062">
      <c r="AA6062" s="1108"/>
      <c r="AB6062" s="1412"/>
    </row>
    <row r="6063">
      <c r="AA6063" s="1108"/>
      <c r="AB6063" s="1412"/>
    </row>
    <row r="6064">
      <c r="AA6064" s="1108"/>
      <c r="AB6064" s="1412"/>
    </row>
    <row r="6065">
      <c r="AA6065" s="1108"/>
      <c r="AB6065" s="1412"/>
    </row>
    <row r="6066">
      <c r="AA6066" s="1108"/>
      <c r="AB6066" s="1412"/>
    </row>
    <row r="6067">
      <c r="AA6067" s="1108"/>
      <c r="AB6067" s="1412"/>
    </row>
    <row r="6068">
      <c r="AA6068" s="1108"/>
      <c r="AB6068" s="1412"/>
    </row>
    <row r="6069">
      <c r="AA6069" s="1108"/>
      <c r="AB6069" s="1412"/>
    </row>
    <row r="6070">
      <c r="AA6070" s="1108"/>
      <c r="AB6070" s="1412"/>
    </row>
    <row r="6071">
      <c r="AA6071" s="1108"/>
      <c r="AB6071" s="1412"/>
    </row>
    <row r="6072">
      <c r="AA6072" s="1108"/>
      <c r="AB6072" s="1412"/>
    </row>
    <row r="6073">
      <c r="AA6073" s="1108"/>
      <c r="AB6073" s="1412"/>
    </row>
    <row r="6074">
      <c r="AA6074" s="1108"/>
      <c r="AB6074" s="1412"/>
    </row>
    <row r="6075">
      <c r="AA6075" s="1108"/>
      <c r="AB6075" s="1412"/>
    </row>
    <row r="6076">
      <c r="AA6076" s="1108"/>
      <c r="AB6076" s="1412"/>
    </row>
    <row r="6077">
      <c r="AA6077" s="1108"/>
      <c r="AB6077" s="1412"/>
    </row>
    <row r="6078">
      <c r="AA6078" s="1108"/>
      <c r="AB6078" s="1412"/>
    </row>
    <row r="6079">
      <c r="AA6079" s="1108"/>
      <c r="AB6079" s="1412"/>
    </row>
    <row r="6080">
      <c r="AA6080" s="1108"/>
      <c r="AB6080" s="1412"/>
    </row>
    <row r="6081">
      <c r="AA6081" s="1108"/>
      <c r="AB6081" s="1412"/>
    </row>
    <row r="6082">
      <c r="AA6082" s="1108"/>
      <c r="AB6082" s="1412"/>
    </row>
    <row r="6083">
      <c r="AA6083" s="1108"/>
      <c r="AB6083" s="1412"/>
    </row>
    <row r="6084">
      <c r="AA6084" s="1108"/>
      <c r="AB6084" s="1412"/>
    </row>
    <row r="6085">
      <c r="AA6085" s="1108"/>
      <c r="AB6085" s="1412"/>
    </row>
    <row r="6086">
      <c r="AA6086" s="1108"/>
      <c r="AB6086" s="1412"/>
    </row>
    <row r="6087">
      <c r="AA6087" s="1108"/>
      <c r="AB6087" s="1412"/>
    </row>
    <row r="6088">
      <c r="AA6088" s="1108"/>
      <c r="AB6088" s="1412"/>
    </row>
    <row r="6089">
      <c r="AA6089" s="1108"/>
      <c r="AB6089" s="1412"/>
    </row>
    <row r="6090">
      <c r="AA6090" s="1108"/>
      <c r="AB6090" s="1412"/>
    </row>
    <row r="6091">
      <c r="AA6091" s="1108"/>
      <c r="AB6091" s="1412"/>
    </row>
    <row r="6092">
      <c r="AA6092" s="1108"/>
      <c r="AB6092" s="1412"/>
    </row>
    <row r="6093">
      <c r="AA6093" s="1108"/>
      <c r="AB6093" s="1412"/>
    </row>
    <row r="6094">
      <c r="AA6094" s="1108"/>
      <c r="AB6094" s="1412"/>
    </row>
    <row r="6095">
      <c r="AA6095" s="1108"/>
      <c r="AB6095" s="1412"/>
    </row>
    <row r="6096">
      <c r="AA6096" s="1108"/>
      <c r="AB6096" s="1412"/>
    </row>
    <row r="6097">
      <c r="AA6097" s="1108"/>
      <c r="AB6097" s="1412"/>
    </row>
    <row r="6098">
      <c r="AA6098" s="1108"/>
      <c r="AB6098" s="1412"/>
    </row>
    <row r="6099">
      <c r="AA6099" s="1108"/>
      <c r="AB6099" s="1412"/>
    </row>
    <row r="6100">
      <c r="AA6100" s="1108"/>
      <c r="AB6100" s="1412"/>
    </row>
    <row r="6101">
      <c r="AA6101" s="1108"/>
      <c r="AB6101" s="1412"/>
    </row>
    <row r="6102">
      <c r="AA6102" s="1108"/>
      <c r="AB6102" s="1412"/>
    </row>
    <row r="6103">
      <c r="AA6103" s="1108"/>
      <c r="AB6103" s="1412"/>
    </row>
    <row r="6104">
      <c r="AA6104" s="1108"/>
      <c r="AB6104" s="1412"/>
    </row>
    <row r="6105">
      <c r="AA6105" s="1108"/>
      <c r="AB6105" s="1412"/>
    </row>
    <row r="6106">
      <c r="AA6106" s="1108"/>
      <c r="AB6106" s="1412"/>
    </row>
    <row r="6107">
      <c r="AA6107" s="1108"/>
      <c r="AB6107" s="1412"/>
    </row>
    <row r="6108">
      <c r="AA6108" s="1108"/>
      <c r="AB6108" s="1412"/>
    </row>
    <row r="6109">
      <c r="AA6109" s="1108"/>
      <c r="AB6109" s="1412"/>
    </row>
    <row r="6110">
      <c r="AA6110" s="1108"/>
      <c r="AB6110" s="1412"/>
    </row>
    <row r="6111">
      <c r="AA6111" s="1108"/>
      <c r="AB6111" s="1412"/>
    </row>
    <row r="6112">
      <c r="AA6112" s="1108"/>
      <c r="AB6112" s="1412"/>
    </row>
    <row r="6113">
      <c r="AA6113" s="1108"/>
      <c r="AB6113" s="1412"/>
    </row>
    <row r="6114">
      <c r="AA6114" s="1108"/>
      <c r="AB6114" s="1412"/>
    </row>
    <row r="6115">
      <c r="AA6115" s="1108"/>
      <c r="AB6115" s="1412"/>
    </row>
    <row r="6116">
      <c r="AA6116" s="1108"/>
      <c r="AB6116" s="1412"/>
    </row>
    <row r="6117">
      <c r="AA6117" s="1108"/>
      <c r="AB6117" s="1412"/>
    </row>
    <row r="6118">
      <c r="AA6118" s="1108"/>
      <c r="AB6118" s="1412"/>
    </row>
    <row r="6119">
      <c r="AA6119" s="1108"/>
      <c r="AB6119" s="1412"/>
    </row>
    <row r="6120">
      <c r="AA6120" s="1108"/>
      <c r="AB6120" s="1412"/>
    </row>
    <row r="6121">
      <c r="AA6121" s="1108"/>
      <c r="AB6121" s="1412"/>
    </row>
    <row r="6122">
      <c r="AA6122" s="1108"/>
      <c r="AB6122" s="1412"/>
    </row>
    <row r="6123">
      <c r="AA6123" s="1108"/>
      <c r="AB6123" s="1412"/>
    </row>
    <row r="6124">
      <c r="AA6124" s="1108"/>
      <c r="AB6124" s="1412"/>
    </row>
    <row r="6125">
      <c r="AA6125" s="1108"/>
      <c r="AB6125" s="1412"/>
    </row>
    <row r="6126">
      <c r="AA6126" s="1108"/>
      <c r="AB6126" s="1412"/>
    </row>
    <row r="6127">
      <c r="AA6127" s="1108"/>
      <c r="AB6127" s="1412"/>
    </row>
    <row r="6128">
      <c r="AA6128" s="1108"/>
      <c r="AB6128" s="1412"/>
    </row>
    <row r="6129">
      <c r="AA6129" s="1108"/>
      <c r="AB6129" s="1412"/>
    </row>
    <row r="6130">
      <c r="AA6130" s="1108"/>
      <c r="AB6130" s="1412"/>
    </row>
    <row r="6131">
      <c r="AA6131" s="1108"/>
      <c r="AB6131" s="1412"/>
    </row>
    <row r="6132">
      <c r="AA6132" s="1108"/>
      <c r="AB6132" s="1412"/>
    </row>
    <row r="6133">
      <c r="AA6133" s="1108"/>
      <c r="AB6133" s="1412"/>
    </row>
    <row r="6134">
      <c r="AA6134" s="1108"/>
      <c r="AB6134" s="1412"/>
    </row>
    <row r="6135">
      <c r="AA6135" s="1108"/>
      <c r="AB6135" s="1412"/>
    </row>
    <row r="6136">
      <c r="AA6136" s="1108"/>
      <c r="AB6136" s="1412"/>
    </row>
    <row r="6137">
      <c r="AA6137" s="1108"/>
      <c r="AB6137" s="1412"/>
    </row>
    <row r="6138">
      <c r="AA6138" s="1108"/>
      <c r="AB6138" s="1412"/>
    </row>
    <row r="6139">
      <c r="AA6139" s="1108"/>
      <c r="AB6139" s="1412"/>
    </row>
    <row r="6140">
      <c r="AA6140" s="1108"/>
      <c r="AB6140" s="1412"/>
    </row>
    <row r="6141">
      <c r="AA6141" s="1108"/>
      <c r="AB6141" s="1412"/>
    </row>
    <row r="6142">
      <c r="AA6142" s="1108"/>
      <c r="AB6142" s="1412"/>
    </row>
    <row r="6143">
      <c r="AA6143" s="1108"/>
      <c r="AB6143" s="1412"/>
    </row>
    <row r="6144">
      <c r="AA6144" s="1108"/>
      <c r="AB6144" s="1412"/>
    </row>
    <row r="6145">
      <c r="AA6145" s="1108"/>
      <c r="AB6145" s="1412"/>
    </row>
    <row r="6146">
      <c r="AA6146" s="1108"/>
      <c r="AB6146" s="1412"/>
    </row>
    <row r="6147">
      <c r="AA6147" s="1108"/>
      <c r="AB6147" s="1412"/>
    </row>
    <row r="6148">
      <c r="AA6148" s="1108"/>
      <c r="AB6148" s="1412"/>
    </row>
    <row r="6149">
      <c r="AA6149" s="1108"/>
      <c r="AB6149" s="1412"/>
    </row>
    <row r="6150">
      <c r="AA6150" s="1108"/>
      <c r="AB6150" s="1412"/>
    </row>
    <row r="6151">
      <c r="AA6151" s="1108"/>
      <c r="AB6151" s="1412"/>
    </row>
    <row r="6152">
      <c r="AA6152" s="1108"/>
      <c r="AB6152" s="1412"/>
    </row>
    <row r="6153">
      <c r="AA6153" s="1108"/>
      <c r="AB6153" s="1412"/>
    </row>
    <row r="6154">
      <c r="AA6154" s="1108"/>
      <c r="AB6154" s="1412"/>
    </row>
    <row r="6155">
      <c r="AA6155" s="1108"/>
      <c r="AB6155" s="1412"/>
    </row>
    <row r="6156">
      <c r="AA6156" s="1108"/>
      <c r="AB6156" s="1412"/>
    </row>
    <row r="6157">
      <c r="AA6157" s="1108"/>
      <c r="AB6157" s="1412"/>
    </row>
    <row r="6158">
      <c r="AA6158" s="1108"/>
      <c r="AB6158" s="1412"/>
    </row>
    <row r="6159">
      <c r="AA6159" s="1108"/>
      <c r="AB6159" s="1412"/>
    </row>
    <row r="6160">
      <c r="AA6160" s="1108"/>
      <c r="AB6160" s="1412"/>
    </row>
    <row r="6161">
      <c r="AA6161" s="1108"/>
      <c r="AB6161" s="1412"/>
    </row>
    <row r="6162">
      <c r="AA6162" s="1108"/>
      <c r="AB6162" s="1412"/>
    </row>
    <row r="6163">
      <c r="AA6163" s="1108"/>
      <c r="AB6163" s="1412"/>
    </row>
    <row r="6164">
      <c r="AA6164" s="1108"/>
      <c r="AB6164" s="1412"/>
    </row>
    <row r="6165">
      <c r="AA6165" s="1108"/>
      <c r="AB6165" s="1412"/>
    </row>
    <row r="6166">
      <c r="AA6166" s="1108"/>
      <c r="AB6166" s="1412"/>
    </row>
    <row r="6167">
      <c r="AA6167" s="1108"/>
      <c r="AB6167" s="1412"/>
    </row>
    <row r="6168">
      <c r="AA6168" s="1108"/>
      <c r="AB6168" s="1412"/>
    </row>
    <row r="6169">
      <c r="AA6169" s="1108"/>
      <c r="AB6169" s="1412"/>
    </row>
    <row r="6170">
      <c r="AA6170" s="1108"/>
      <c r="AB6170" s="1412"/>
    </row>
    <row r="6171">
      <c r="AA6171" s="1108"/>
      <c r="AB6171" s="1412"/>
    </row>
    <row r="6172">
      <c r="AA6172" s="1108"/>
      <c r="AB6172" s="1412"/>
    </row>
    <row r="6173">
      <c r="AA6173" s="1108"/>
      <c r="AB6173" s="1412"/>
    </row>
    <row r="6174">
      <c r="AA6174" s="1108"/>
      <c r="AB6174" s="1412"/>
    </row>
    <row r="6175">
      <c r="AA6175" s="1108"/>
      <c r="AB6175" s="1412"/>
    </row>
    <row r="6176">
      <c r="AA6176" s="1108"/>
      <c r="AB6176" s="1412"/>
    </row>
    <row r="6177">
      <c r="AA6177" s="1108"/>
      <c r="AB6177" s="1412"/>
    </row>
    <row r="6178">
      <c r="AA6178" s="1108"/>
      <c r="AB6178" s="1412"/>
    </row>
    <row r="6179">
      <c r="AA6179" s="1108"/>
      <c r="AB6179" s="1412"/>
    </row>
    <row r="6180">
      <c r="AA6180" s="1108"/>
      <c r="AB6180" s="1412"/>
    </row>
    <row r="6181">
      <c r="AA6181" s="1108"/>
      <c r="AB6181" s="1412"/>
    </row>
    <row r="6182">
      <c r="AA6182" s="1108"/>
      <c r="AB6182" s="1412"/>
    </row>
    <row r="6183">
      <c r="AA6183" s="1108"/>
      <c r="AB6183" s="1412"/>
    </row>
    <row r="6184">
      <c r="AA6184" s="1108"/>
      <c r="AB6184" s="1412"/>
    </row>
    <row r="6185">
      <c r="AA6185" s="1108"/>
      <c r="AB6185" s="1412"/>
    </row>
    <row r="6186">
      <c r="AA6186" s="1108"/>
      <c r="AB6186" s="1412"/>
    </row>
    <row r="6187">
      <c r="AA6187" s="1108"/>
      <c r="AB6187" s="1412"/>
    </row>
    <row r="6188">
      <c r="AA6188" s="1108"/>
      <c r="AB6188" s="1412"/>
    </row>
    <row r="6189">
      <c r="AA6189" s="1108"/>
      <c r="AB6189" s="1412"/>
    </row>
    <row r="6190">
      <c r="AA6190" s="1108"/>
      <c r="AB6190" s="1412"/>
    </row>
    <row r="6191">
      <c r="AA6191" s="1108"/>
      <c r="AB6191" s="1412"/>
    </row>
    <row r="6192">
      <c r="AA6192" s="1108"/>
      <c r="AB6192" s="1412"/>
    </row>
    <row r="6193">
      <c r="AA6193" s="1108"/>
      <c r="AB6193" s="1412"/>
    </row>
    <row r="6194">
      <c r="AA6194" s="1108"/>
      <c r="AB6194" s="1412"/>
    </row>
    <row r="6195">
      <c r="AA6195" s="1108"/>
      <c r="AB6195" s="1412"/>
    </row>
    <row r="6196">
      <c r="AA6196" s="1108"/>
      <c r="AB6196" s="1412"/>
    </row>
    <row r="6197">
      <c r="AA6197" s="1108"/>
      <c r="AB6197" s="1412"/>
    </row>
    <row r="6198">
      <c r="AA6198" s="1108"/>
      <c r="AB6198" s="1412"/>
    </row>
    <row r="6199">
      <c r="AA6199" s="1108"/>
      <c r="AB6199" s="1412"/>
    </row>
    <row r="6200">
      <c r="AA6200" s="1108"/>
      <c r="AB6200" s="1412"/>
    </row>
    <row r="6201">
      <c r="AA6201" s="1108"/>
      <c r="AB6201" s="1412"/>
    </row>
    <row r="6202">
      <c r="AA6202" s="1108"/>
      <c r="AB6202" s="1412"/>
    </row>
    <row r="6203">
      <c r="AA6203" s="1108"/>
      <c r="AB6203" s="1412"/>
    </row>
    <row r="6204">
      <c r="AA6204" s="1108"/>
      <c r="AB6204" s="1412"/>
    </row>
    <row r="6205">
      <c r="AA6205" s="1108"/>
      <c r="AB6205" s="1412"/>
    </row>
    <row r="6206">
      <c r="AA6206" s="1108"/>
      <c r="AB6206" s="1412"/>
    </row>
    <row r="6207">
      <c r="AA6207" s="1108"/>
      <c r="AB6207" s="1412"/>
    </row>
    <row r="6208">
      <c r="AA6208" s="1108"/>
      <c r="AB6208" s="1412"/>
    </row>
    <row r="6209">
      <c r="AA6209" s="1108"/>
      <c r="AB6209" s="1412"/>
    </row>
    <row r="6210">
      <c r="AA6210" s="1108"/>
      <c r="AB6210" s="1412"/>
    </row>
    <row r="6211">
      <c r="AA6211" s="1108"/>
      <c r="AB6211" s="1412"/>
    </row>
    <row r="6212">
      <c r="AA6212" s="1108"/>
      <c r="AB6212" s="1412"/>
    </row>
    <row r="6213">
      <c r="AA6213" s="1108"/>
      <c r="AB6213" s="1412"/>
    </row>
    <row r="6214">
      <c r="AA6214" s="1108"/>
      <c r="AB6214" s="1412"/>
    </row>
    <row r="6215">
      <c r="AA6215" s="1108"/>
      <c r="AB6215" s="1412"/>
    </row>
    <row r="6216">
      <c r="AA6216" s="1108"/>
      <c r="AB6216" s="1412"/>
    </row>
    <row r="6217">
      <c r="AA6217" s="1108"/>
      <c r="AB6217" s="1412"/>
    </row>
    <row r="6218">
      <c r="AA6218" s="1108"/>
      <c r="AB6218" s="1412"/>
    </row>
    <row r="6219">
      <c r="AA6219" s="1108"/>
      <c r="AB6219" s="1412"/>
    </row>
    <row r="6220">
      <c r="AA6220" s="1108"/>
      <c r="AB6220" s="1412"/>
    </row>
    <row r="6221">
      <c r="AA6221" s="1108"/>
      <c r="AB6221" s="1412"/>
    </row>
    <row r="6222">
      <c r="AA6222" s="1108"/>
      <c r="AB6222" s="1412"/>
    </row>
    <row r="6223">
      <c r="AA6223" s="1108"/>
      <c r="AB6223" s="1412"/>
    </row>
    <row r="6224">
      <c r="AA6224" s="1108"/>
      <c r="AB6224" s="1412"/>
    </row>
    <row r="6225">
      <c r="AA6225" s="1108"/>
      <c r="AB6225" s="1412"/>
    </row>
    <row r="6226">
      <c r="AA6226" s="1108"/>
      <c r="AB6226" s="1412"/>
    </row>
    <row r="6227">
      <c r="AA6227" s="1108"/>
      <c r="AB6227" s="1412"/>
    </row>
    <row r="6228">
      <c r="AA6228" s="1108"/>
      <c r="AB6228" s="1412"/>
    </row>
    <row r="6229">
      <c r="AA6229" s="1108"/>
      <c r="AB6229" s="1412"/>
    </row>
    <row r="6230">
      <c r="AA6230" s="1108"/>
      <c r="AB6230" s="1412"/>
    </row>
    <row r="6231">
      <c r="AA6231" s="1108"/>
      <c r="AB6231" s="1412"/>
    </row>
    <row r="6232">
      <c r="AA6232" s="1108"/>
      <c r="AB6232" s="1412"/>
    </row>
    <row r="6233">
      <c r="AA6233" s="1108"/>
      <c r="AB6233" s="1412"/>
    </row>
    <row r="6234">
      <c r="AA6234" s="1108"/>
      <c r="AB6234" s="1412"/>
    </row>
    <row r="6235">
      <c r="AA6235" s="1108"/>
      <c r="AB6235" s="1412"/>
    </row>
    <row r="6236">
      <c r="AA6236" s="1108"/>
      <c r="AB6236" s="1412"/>
    </row>
    <row r="6237">
      <c r="AA6237" s="1108"/>
      <c r="AB6237" s="1412"/>
    </row>
    <row r="6238">
      <c r="AA6238" s="1108"/>
      <c r="AB6238" s="1412"/>
    </row>
    <row r="6239">
      <c r="AA6239" s="1108"/>
      <c r="AB6239" s="1412"/>
    </row>
    <row r="6240">
      <c r="AA6240" s="1108"/>
      <c r="AB6240" s="1412"/>
    </row>
    <row r="6241">
      <c r="AA6241" s="1108"/>
      <c r="AB6241" s="1412"/>
    </row>
    <row r="6242">
      <c r="AA6242" s="1108"/>
      <c r="AB6242" s="1412"/>
    </row>
    <row r="6243">
      <c r="AA6243" s="1108"/>
      <c r="AB6243" s="1412"/>
    </row>
    <row r="6244">
      <c r="AA6244" s="1108"/>
      <c r="AB6244" s="1412"/>
    </row>
    <row r="6245">
      <c r="AA6245" s="1108"/>
      <c r="AB6245" s="1412"/>
    </row>
    <row r="6246">
      <c r="AA6246" s="1108"/>
      <c r="AB6246" s="1412"/>
    </row>
    <row r="6247">
      <c r="AA6247" s="1108"/>
      <c r="AB6247" s="1412"/>
    </row>
    <row r="6248">
      <c r="AA6248" s="1108"/>
      <c r="AB6248" s="1412"/>
    </row>
    <row r="6249">
      <c r="AA6249" s="1108"/>
      <c r="AB6249" s="1412"/>
    </row>
    <row r="6250">
      <c r="AA6250" s="1108"/>
      <c r="AB6250" s="1412"/>
    </row>
    <row r="6251">
      <c r="AA6251" s="1108"/>
      <c r="AB6251" s="1412"/>
    </row>
    <row r="6252">
      <c r="AA6252" s="1108"/>
      <c r="AB6252" s="1412"/>
    </row>
    <row r="6253">
      <c r="AA6253" s="1108"/>
      <c r="AB6253" s="1412"/>
    </row>
    <row r="6254">
      <c r="AA6254" s="1108"/>
      <c r="AB6254" s="1412"/>
    </row>
    <row r="6255">
      <c r="AA6255" s="1108"/>
      <c r="AB6255" s="1412"/>
    </row>
    <row r="6256">
      <c r="AA6256" s="1108"/>
      <c r="AB6256" s="1412"/>
    </row>
    <row r="6257">
      <c r="AA6257" s="1108"/>
      <c r="AB6257" s="1412"/>
    </row>
    <row r="6258">
      <c r="AA6258" s="1108"/>
      <c r="AB6258" s="1412"/>
    </row>
    <row r="6259">
      <c r="AA6259" s="1108"/>
      <c r="AB6259" s="1412"/>
    </row>
    <row r="6260">
      <c r="AA6260" s="1108"/>
      <c r="AB6260" s="1412"/>
    </row>
    <row r="6261">
      <c r="AA6261" s="1108"/>
      <c r="AB6261" s="1412"/>
    </row>
    <row r="6262">
      <c r="AA6262" s="1108"/>
      <c r="AB6262" s="1412"/>
    </row>
    <row r="6263">
      <c r="AA6263" s="1108"/>
      <c r="AB6263" s="1412"/>
    </row>
    <row r="6264">
      <c r="AA6264" s="1108"/>
      <c r="AB6264" s="1412"/>
    </row>
    <row r="6265">
      <c r="AA6265" s="1108"/>
      <c r="AB6265" s="1412"/>
    </row>
    <row r="6266">
      <c r="AA6266" s="1108"/>
      <c r="AB6266" s="1412"/>
    </row>
    <row r="6267">
      <c r="AA6267" s="1108"/>
      <c r="AB6267" s="1412"/>
    </row>
    <row r="6268">
      <c r="AA6268" s="1108"/>
      <c r="AB6268" s="1412"/>
    </row>
    <row r="6269">
      <c r="AA6269" s="1108"/>
      <c r="AB6269" s="1412"/>
    </row>
    <row r="6270">
      <c r="AA6270" s="1108"/>
      <c r="AB6270" s="1412"/>
    </row>
    <row r="6271">
      <c r="AA6271" s="1108"/>
      <c r="AB6271" s="1412"/>
    </row>
    <row r="6272">
      <c r="AA6272" s="1108"/>
      <c r="AB6272" s="1412"/>
    </row>
    <row r="6273">
      <c r="AA6273" s="1108"/>
      <c r="AB6273" s="1412"/>
    </row>
    <row r="6274">
      <c r="AA6274" s="1108"/>
      <c r="AB6274" s="1412"/>
    </row>
    <row r="6275">
      <c r="AA6275" s="1108"/>
      <c r="AB6275" s="1412"/>
    </row>
    <row r="6276">
      <c r="AA6276" s="1108"/>
      <c r="AB6276" s="1412"/>
    </row>
    <row r="6277">
      <c r="AA6277" s="1108"/>
      <c r="AB6277" s="1412"/>
    </row>
    <row r="6278">
      <c r="AA6278" s="1108"/>
      <c r="AB6278" s="1412"/>
    </row>
    <row r="6279">
      <c r="AA6279" s="1108"/>
      <c r="AB6279" s="1412"/>
    </row>
    <row r="6280">
      <c r="AA6280" s="1108"/>
      <c r="AB6280" s="1412"/>
    </row>
    <row r="6281">
      <c r="AA6281" s="1108"/>
      <c r="AB6281" s="1412"/>
    </row>
    <row r="6282">
      <c r="AA6282" s="1108"/>
      <c r="AB6282" s="1412"/>
    </row>
    <row r="6283">
      <c r="AA6283" s="1108"/>
      <c r="AB6283" s="1412"/>
    </row>
    <row r="6284">
      <c r="AA6284" s="1108"/>
      <c r="AB6284" s="1412"/>
    </row>
    <row r="6285">
      <c r="AA6285" s="1108"/>
      <c r="AB6285" s="1412"/>
    </row>
    <row r="6286">
      <c r="AA6286" s="1108"/>
      <c r="AB6286" s="1412"/>
    </row>
    <row r="6287">
      <c r="AA6287" s="1108"/>
      <c r="AB6287" s="1412"/>
    </row>
    <row r="6288">
      <c r="AA6288" s="1108"/>
      <c r="AB6288" s="1412"/>
    </row>
    <row r="6289">
      <c r="AA6289" s="1108"/>
      <c r="AB6289" s="1412"/>
    </row>
    <row r="6290">
      <c r="AA6290" s="1108"/>
      <c r="AB6290" s="1412"/>
    </row>
    <row r="6291">
      <c r="AA6291" s="1108"/>
      <c r="AB6291" s="1412"/>
    </row>
    <row r="6292">
      <c r="AA6292" s="1108"/>
      <c r="AB6292" s="1412"/>
    </row>
    <row r="6293">
      <c r="AA6293" s="1108"/>
      <c r="AB6293" s="1412"/>
    </row>
    <row r="6294">
      <c r="AA6294" s="1108"/>
      <c r="AB6294" s="1412"/>
    </row>
    <row r="6295">
      <c r="AA6295" s="1108"/>
      <c r="AB6295" s="1412"/>
    </row>
    <row r="6296">
      <c r="AA6296" s="1108"/>
      <c r="AB6296" s="1412"/>
    </row>
    <row r="6297">
      <c r="AA6297" s="1108"/>
      <c r="AB6297" s="1412"/>
    </row>
    <row r="6298">
      <c r="AA6298" s="1108"/>
      <c r="AB6298" s="1412"/>
    </row>
    <row r="6299">
      <c r="AA6299" s="1108"/>
      <c r="AB6299" s="1412"/>
    </row>
    <row r="6300">
      <c r="AA6300" s="1108"/>
      <c r="AB6300" s="1412"/>
    </row>
    <row r="6301">
      <c r="AA6301" s="1108"/>
      <c r="AB6301" s="1412"/>
    </row>
    <row r="6302">
      <c r="AA6302" s="1108"/>
      <c r="AB6302" s="1412"/>
    </row>
    <row r="6303">
      <c r="AA6303" s="1108"/>
      <c r="AB6303" s="1412"/>
    </row>
    <row r="6304">
      <c r="AA6304" s="1108"/>
      <c r="AB6304" s="1412"/>
    </row>
    <row r="6305">
      <c r="AA6305" s="1108"/>
      <c r="AB6305" s="1412"/>
    </row>
    <row r="6306">
      <c r="AA6306" s="1108"/>
      <c r="AB6306" s="1412"/>
    </row>
    <row r="6307">
      <c r="AA6307" s="1108"/>
      <c r="AB6307" s="1412"/>
    </row>
    <row r="6308">
      <c r="AA6308" s="1108"/>
      <c r="AB6308" s="1412"/>
    </row>
    <row r="6309">
      <c r="AA6309" s="1108"/>
      <c r="AB6309" s="1412"/>
    </row>
    <row r="6310">
      <c r="AA6310" s="1108"/>
      <c r="AB6310" s="1412"/>
    </row>
    <row r="6311">
      <c r="AA6311" s="1108"/>
      <c r="AB6311" s="1412"/>
    </row>
    <row r="6312">
      <c r="AA6312" s="1108"/>
      <c r="AB6312" s="1412"/>
    </row>
    <row r="6313">
      <c r="AA6313" s="1108"/>
      <c r="AB6313" s="1412"/>
    </row>
    <row r="6314">
      <c r="AA6314" s="1108"/>
      <c r="AB6314" s="1412"/>
    </row>
    <row r="6315">
      <c r="AA6315" s="1108"/>
      <c r="AB6315" s="1412"/>
    </row>
    <row r="6316">
      <c r="AA6316" s="1108"/>
      <c r="AB6316" s="1412"/>
    </row>
    <row r="6317">
      <c r="AA6317" s="1108"/>
      <c r="AB6317" s="1412"/>
    </row>
    <row r="6318">
      <c r="AA6318" s="1108"/>
      <c r="AB6318" s="1412"/>
    </row>
    <row r="6319">
      <c r="AA6319" s="1108"/>
      <c r="AB6319" s="1412"/>
    </row>
    <row r="6320">
      <c r="AA6320" s="1108"/>
      <c r="AB6320" s="1412"/>
    </row>
    <row r="6321">
      <c r="AA6321" s="1108"/>
      <c r="AB6321" s="1412"/>
    </row>
    <row r="6322">
      <c r="AA6322" s="1108"/>
      <c r="AB6322" s="1412"/>
    </row>
    <row r="6323">
      <c r="AA6323" s="1108"/>
      <c r="AB6323" s="1412"/>
    </row>
    <row r="6324">
      <c r="AA6324" s="1108"/>
      <c r="AB6324" s="1412"/>
    </row>
    <row r="6325">
      <c r="AA6325" s="1108"/>
      <c r="AB6325" s="1412"/>
    </row>
    <row r="6326">
      <c r="AA6326" s="1108"/>
      <c r="AB6326" s="1412"/>
    </row>
    <row r="6327">
      <c r="AA6327" s="1108"/>
      <c r="AB6327" s="1412"/>
    </row>
    <row r="6328">
      <c r="AA6328" s="1108"/>
      <c r="AB6328" s="1412"/>
    </row>
    <row r="6329">
      <c r="AA6329" s="1108"/>
      <c r="AB6329" s="1412"/>
    </row>
    <row r="6330">
      <c r="AA6330" s="1108"/>
      <c r="AB6330" s="1412"/>
    </row>
    <row r="6331">
      <c r="AA6331" s="1108"/>
      <c r="AB6331" s="1412"/>
    </row>
    <row r="6332">
      <c r="AA6332" s="1108"/>
      <c r="AB6332" s="1412"/>
    </row>
    <row r="6333">
      <c r="AA6333" s="1108"/>
      <c r="AB6333" s="1412"/>
    </row>
    <row r="6334">
      <c r="AA6334" s="1108"/>
      <c r="AB6334" s="1412"/>
    </row>
    <row r="6335">
      <c r="AA6335" s="1108"/>
      <c r="AB6335" s="1412"/>
    </row>
    <row r="6336">
      <c r="AA6336" s="1108"/>
      <c r="AB6336" s="1412"/>
    </row>
    <row r="6337">
      <c r="AA6337" s="1108"/>
      <c r="AB6337" s="1412"/>
    </row>
    <row r="6338">
      <c r="AA6338" s="1108"/>
      <c r="AB6338" s="1412"/>
    </row>
    <row r="6339">
      <c r="AA6339" s="1108"/>
      <c r="AB6339" s="1412"/>
    </row>
    <row r="6340">
      <c r="AA6340" s="1108"/>
      <c r="AB6340" s="1412"/>
    </row>
    <row r="6341">
      <c r="AA6341" s="1108"/>
      <c r="AB6341" s="1412"/>
    </row>
    <row r="6342">
      <c r="AA6342" s="1108"/>
      <c r="AB6342" s="1412"/>
    </row>
    <row r="6343">
      <c r="AA6343" s="1108"/>
      <c r="AB6343" s="1412"/>
    </row>
    <row r="6344">
      <c r="AA6344" s="1108"/>
      <c r="AB6344" s="1412"/>
    </row>
    <row r="6345">
      <c r="AA6345" s="1108"/>
      <c r="AB6345" s="1412"/>
    </row>
    <row r="6346">
      <c r="AA6346" s="1108"/>
      <c r="AB6346" s="1412"/>
    </row>
    <row r="6347">
      <c r="AA6347" s="1108"/>
      <c r="AB6347" s="1412"/>
    </row>
    <row r="6348">
      <c r="AA6348" s="1108"/>
      <c r="AB6348" s="1412"/>
    </row>
    <row r="6349">
      <c r="AA6349" s="1108"/>
      <c r="AB6349" s="1412"/>
    </row>
    <row r="6350">
      <c r="AA6350" s="1108"/>
      <c r="AB6350" s="1412"/>
    </row>
    <row r="6351">
      <c r="AA6351" s="1108"/>
      <c r="AB6351" s="1412"/>
    </row>
    <row r="6352">
      <c r="AA6352" s="1108"/>
      <c r="AB6352" s="1412"/>
    </row>
    <row r="6353">
      <c r="AA6353" s="1108"/>
      <c r="AB6353" s="1412"/>
    </row>
    <row r="6354">
      <c r="AA6354" s="1108"/>
      <c r="AB6354" s="1412"/>
    </row>
    <row r="6355">
      <c r="AA6355" s="1108"/>
      <c r="AB6355" s="1412"/>
    </row>
    <row r="6356">
      <c r="AA6356" s="1108"/>
      <c r="AB6356" s="1412"/>
    </row>
    <row r="6357">
      <c r="AA6357" s="1108"/>
      <c r="AB6357" s="1412"/>
    </row>
    <row r="6358">
      <c r="AA6358" s="1108"/>
      <c r="AB6358" s="1412"/>
    </row>
    <row r="6359">
      <c r="AA6359" s="1108"/>
      <c r="AB6359" s="1412"/>
    </row>
    <row r="6360">
      <c r="AA6360" s="1108"/>
      <c r="AB6360" s="1412"/>
    </row>
    <row r="6361">
      <c r="AA6361" s="1108"/>
      <c r="AB6361" s="1412"/>
    </row>
    <row r="6362">
      <c r="AA6362" s="1108"/>
      <c r="AB6362" s="1412"/>
    </row>
    <row r="6363">
      <c r="AA6363" s="1108"/>
      <c r="AB6363" s="1412"/>
    </row>
    <row r="6364">
      <c r="AA6364" s="1108"/>
      <c r="AB6364" s="1412"/>
    </row>
    <row r="6365">
      <c r="AA6365" s="1108"/>
      <c r="AB6365" s="1412"/>
    </row>
    <row r="6366">
      <c r="AA6366" s="1108"/>
      <c r="AB6366" s="1412"/>
    </row>
    <row r="6367">
      <c r="AA6367" s="1108"/>
      <c r="AB6367" s="1412"/>
    </row>
    <row r="6368">
      <c r="AA6368" s="1108"/>
      <c r="AB6368" s="1412"/>
    </row>
    <row r="6369">
      <c r="AA6369" s="1108"/>
      <c r="AB6369" s="1412"/>
    </row>
    <row r="6370">
      <c r="AA6370" s="1108"/>
      <c r="AB6370" s="1412"/>
    </row>
    <row r="6371">
      <c r="AA6371" s="1108"/>
      <c r="AB6371" s="1412"/>
    </row>
    <row r="6372">
      <c r="AA6372" s="1108"/>
      <c r="AB6372" s="1412"/>
    </row>
    <row r="6373">
      <c r="AA6373" s="1108"/>
      <c r="AB6373" s="1412"/>
    </row>
    <row r="6374">
      <c r="AA6374" s="1108"/>
      <c r="AB6374" s="1412"/>
    </row>
    <row r="6375">
      <c r="AA6375" s="1108"/>
      <c r="AB6375" s="1412"/>
    </row>
    <row r="6376">
      <c r="AA6376" s="1108"/>
      <c r="AB6376" s="1412"/>
    </row>
    <row r="6377">
      <c r="AA6377" s="1108"/>
      <c r="AB6377" s="1412"/>
    </row>
    <row r="6378">
      <c r="AA6378" s="1108"/>
      <c r="AB6378" s="1412"/>
    </row>
    <row r="6379">
      <c r="AA6379" s="1108"/>
      <c r="AB6379" s="1412"/>
    </row>
    <row r="6380">
      <c r="AA6380" s="1108"/>
      <c r="AB6380" s="1412"/>
    </row>
    <row r="6381">
      <c r="AA6381" s="1108"/>
      <c r="AB6381" s="1412"/>
    </row>
    <row r="6382">
      <c r="AA6382" s="1108"/>
      <c r="AB6382" s="1412"/>
    </row>
    <row r="6383">
      <c r="AA6383" s="1108"/>
      <c r="AB6383" s="1412"/>
    </row>
    <row r="6384">
      <c r="AA6384" s="1108"/>
      <c r="AB6384" s="1412"/>
    </row>
    <row r="6385">
      <c r="AA6385" s="1108"/>
      <c r="AB6385" s="1412"/>
    </row>
    <row r="6386">
      <c r="AA6386" s="1108"/>
      <c r="AB6386" s="1412"/>
    </row>
    <row r="6387">
      <c r="AA6387" s="1108"/>
      <c r="AB6387" s="1412"/>
    </row>
    <row r="6388">
      <c r="AA6388" s="1108"/>
      <c r="AB6388" s="1412"/>
    </row>
    <row r="6389">
      <c r="AA6389" s="1108"/>
      <c r="AB6389" s="1412"/>
    </row>
    <row r="6390">
      <c r="AA6390" s="1108"/>
      <c r="AB6390" s="1412"/>
    </row>
    <row r="6391">
      <c r="AA6391" s="1108"/>
      <c r="AB6391" s="1412"/>
    </row>
    <row r="6392">
      <c r="AA6392" s="1108"/>
      <c r="AB6392" s="1412"/>
    </row>
    <row r="6393">
      <c r="AA6393" s="1108"/>
      <c r="AB6393" s="1412"/>
    </row>
    <row r="6394">
      <c r="AA6394" s="1108"/>
      <c r="AB6394" s="1412"/>
    </row>
    <row r="6395">
      <c r="AA6395" s="1108"/>
      <c r="AB6395" s="1412"/>
    </row>
    <row r="6396">
      <c r="AA6396" s="1108"/>
      <c r="AB6396" s="1412"/>
    </row>
    <row r="6397">
      <c r="AA6397" s="1108"/>
      <c r="AB6397" s="1412"/>
    </row>
    <row r="6398">
      <c r="AA6398" s="1108"/>
      <c r="AB6398" s="1412"/>
    </row>
    <row r="6399">
      <c r="AA6399" s="1108"/>
      <c r="AB6399" s="1412"/>
    </row>
    <row r="6400">
      <c r="AA6400" s="1108"/>
      <c r="AB6400" s="1412"/>
    </row>
    <row r="6401">
      <c r="AA6401" s="1108"/>
      <c r="AB6401" s="1412"/>
    </row>
    <row r="6402">
      <c r="AA6402" s="1108"/>
      <c r="AB6402" s="1412"/>
    </row>
    <row r="6403">
      <c r="AA6403" s="1108"/>
      <c r="AB6403" s="1412"/>
    </row>
    <row r="6404">
      <c r="AA6404" s="1108"/>
      <c r="AB6404" s="1412"/>
    </row>
    <row r="6405">
      <c r="AA6405" s="1108"/>
      <c r="AB6405" s="1412"/>
    </row>
    <row r="6406">
      <c r="AA6406" s="1108"/>
      <c r="AB6406" s="1412"/>
    </row>
    <row r="6407">
      <c r="AA6407" s="1108"/>
      <c r="AB6407" s="1412"/>
    </row>
    <row r="6408">
      <c r="AA6408" s="1108"/>
      <c r="AB6408" s="1412"/>
    </row>
    <row r="6409">
      <c r="AA6409" s="1108"/>
      <c r="AB6409" s="1412"/>
    </row>
    <row r="6410">
      <c r="AA6410" s="1108"/>
      <c r="AB6410" s="1412"/>
    </row>
    <row r="6411">
      <c r="AA6411" s="1108"/>
      <c r="AB6411" s="1412"/>
    </row>
    <row r="6412">
      <c r="AA6412" s="1108"/>
      <c r="AB6412" s="1412"/>
    </row>
    <row r="6413">
      <c r="AA6413" s="1108"/>
      <c r="AB6413" s="1412"/>
    </row>
    <row r="6414">
      <c r="AA6414" s="1108"/>
      <c r="AB6414" s="1412"/>
    </row>
    <row r="6415">
      <c r="AA6415" s="1108"/>
      <c r="AB6415" s="1412"/>
    </row>
    <row r="6416">
      <c r="AA6416" s="1108"/>
      <c r="AB6416" s="1412"/>
    </row>
    <row r="6417">
      <c r="AA6417" s="1108"/>
      <c r="AB6417" s="1412"/>
    </row>
    <row r="6418">
      <c r="AA6418" s="1108"/>
      <c r="AB6418" s="1412"/>
    </row>
    <row r="6419">
      <c r="AA6419" s="1108"/>
      <c r="AB6419" s="1412"/>
    </row>
    <row r="6420">
      <c r="AA6420" s="1108"/>
      <c r="AB6420" s="1412"/>
    </row>
    <row r="6421">
      <c r="AA6421" s="1108"/>
      <c r="AB6421" s="1412"/>
    </row>
    <row r="6422">
      <c r="AA6422" s="1108"/>
      <c r="AB6422" s="1412"/>
    </row>
    <row r="6423">
      <c r="AA6423" s="1108"/>
      <c r="AB6423" s="1412"/>
    </row>
    <row r="6424">
      <c r="AA6424" s="1108"/>
      <c r="AB6424" s="1412"/>
    </row>
    <row r="6425">
      <c r="AA6425" s="1108"/>
      <c r="AB6425" s="1412"/>
    </row>
    <row r="6426">
      <c r="AA6426" s="1108"/>
      <c r="AB6426" s="1412"/>
    </row>
    <row r="6427">
      <c r="AA6427" s="1108"/>
      <c r="AB6427" s="1412"/>
    </row>
    <row r="6428">
      <c r="AA6428" s="1108"/>
      <c r="AB6428" s="1412"/>
    </row>
    <row r="6429">
      <c r="AA6429" s="1108"/>
      <c r="AB6429" s="1412"/>
    </row>
    <row r="6430">
      <c r="AA6430" s="1108"/>
      <c r="AB6430" s="1412"/>
    </row>
    <row r="6431">
      <c r="AA6431" s="1108"/>
      <c r="AB6431" s="1412"/>
    </row>
    <row r="6432">
      <c r="AA6432" s="1108"/>
      <c r="AB6432" s="1412"/>
    </row>
    <row r="6433">
      <c r="AA6433" s="1108"/>
      <c r="AB6433" s="1412"/>
    </row>
    <row r="6434">
      <c r="AA6434" s="1108"/>
      <c r="AB6434" s="1412"/>
    </row>
    <row r="6435">
      <c r="AA6435" s="1108"/>
      <c r="AB6435" s="1412"/>
    </row>
    <row r="6436">
      <c r="AA6436" s="1108"/>
      <c r="AB6436" s="1412"/>
    </row>
    <row r="6437">
      <c r="AA6437" s="1108"/>
      <c r="AB6437" s="1412"/>
    </row>
    <row r="6438">
      <c r="AA6438" s="1108"/>
      <c r="AB6438" s="1412"/>
    </row>
    <row r="6439">
      <c r="AA6439" s="1108"/>
      <c r="AB6439" s="1412"/>
    </row>
    <row r="6440">
      <c r="AA6440" s="1108"/>
      <c r="AB6440" s="1412"/>
    </row>
    <row r="6441">
      <c r="AA6441" s="1108"/>
      <c r="AB6441" s="1412"/>
    </row>
    <row r="6442">
      <c r="AA6442" s="1108"/>
      <c r="AB6442" s="1412"/>
    </row>
    <row r="6443">
      <c r="AA6443" s="1108"/>
      <c r="AB6443" s="1412"/>
    </row>
    <row r="6444">
      <c r="AA6444" s="1108"/>
      <c r="AB6444" s="1412"/>
    </row>
    <row r="6445">
      <c r="AA6445" s="1108"/>
      <c r="AB6445" s="1412"/>
    </row>
    <row r="6446">
      <c r="AA6446" s="1108"/>
      <c r="AB6446" s="1412"/>
    </row>
    <row r="6447">
      <c r="AA6447" s="1108"/>
      <c r="AB6447" s="1412"/>
    </row>
    <row r="6448">
      <c r="AA6448" s="1108"/>
      <c r="AB6448" s="1412"/>
    </row>
    <row r="6449">
      <c r="AA6449" s="1108"/>
      <c r="AB6449" s="1412"/>
    </row>
    <row r="6450">
      <c r="AA6450" s="1108"/>
      <c r="AB6450" s="1412"/>
    </row>
    <row r="6451">
      <c r="AA6451" s="1108"/>
      <c r="AB6451" s="1412"/>
    </row>
    <row r="6452">
      <c r="AA6452" s="1108"/>
      <c r="AB6452" s="1412"/>
    </row>
    <row r="6453">
      <c r="AA6453" s="1108"/>
      <c r="AB6453" s="1412"/>
    </row>
    <row r="6454">
      <c r="AA6454" s="1108"/>
      <c r="AB6454" s="1412"/>
    </row>
    <row r="6455">
      <c r="AA6455" s="1108"/>
      <c r="AB6455" s="1412"/>
    </row>
    <row r="6456">
      <c r="AA6456" s="1108"/>
      <c r="AB6456" s="1412"/>
    </row>
    <row r="6457">
      <c r="AA6457" s="1108"/>
      <c r="AB6457" s="1412"/>
    </row>
    <row r="6458">
      <c r="AA6458" s="1108"/>
      <c r="AB6458" s="1412"/>
    </row>
    <row r="6459">
      <c r="AA6459" s="1108"/>
      <c r="AB6459" s="1412"/>
    </row>
    <row r="6460">
      <c r="AA6460" s="1108"/>
      <c r="AB6460" s="1412"/>
    </row>
    <row r="6461">
      <c r="AA6461" s="1108"/>
      <c r="AB6461" s="1412"/>
    </row>
    <row r="6462">
      <c r="AA6462" s="1108"/>
      <c r="AB6462" s="1412"/>
    </row>
    <row r="6463">
      <c r="AA6463" s="1108"/>
      <c r="AB6463" s="1412"/>
    </row>
    <row r="6464">
      <c r="AA6464" s="1108"/>
      <c r="AB6464" s="1412"/>
    </row>
    <row r="6465">
      <c r="AA6465" s="1108"/>
      <c r="AB6465" s="1412"/>
    </row>
    <row r="6466">
      <c r="AA6466" s="1108"/>
      <c r="AB6466" s="1412"/>
    </row>
    <row r="6467">
      <c r="AA6467" s="1108"/>
      <c r="AB6467" s="1412"/>
    </row>
    <row r="6468">
      <c r="AA6468" s="1108"/>
      <c r="AB6468" s="1412"/>
    </row>
    <row r="6469">
      <c r="AA6469" s="1108"/>
      <c r="AB6469" s="1412"/>
    </row>
    <row r="6470">
      <c r="AA6470" s="1108"/>
      <c r="AB6470" s="1412"/>
    </row>
    <row r="6471">
      <c r="AA6471" s="1108"/>
      <c r="AB6471" s="1412"/>
    </row>
    <row r="6472">
      <c r="AA6472" s="1108"/>
      <c r="AB6472" s="1412"/>
    </row>
    <row r="6473">
      <c r="AA6473" s="1108"/>
      <c r="AB6473" s="1412"/>
    </row>
    <row r="6474">
      <c r="AA6474" s="1108"/>
      <c r="AB6474" s="1412"/>
    </row>
    <row r="6475">
      <c r="AA6475" s="1108"/>
      <c r="AB6475" s="1412"/>
    </row>
    <row r="6476">
      <c r="AA6476" s="1108"/>
      <c r="AB6476" s="1412"/>
    </row>
    <row r="6477">
      <c r="AA6477" s="1108"/>
      <c r="AB6477" s="1412"/>
    </row>
    <row r="6478">
      <c r="AA6478" s="1108"/>
      <c r="AB6478" s="1412"/>
    </row>
    <row r="6479">
      <c r="AA6479" s="1108"/>
      <c r="AB6479" s="1412"/>
    </row>
    <row r="6480">
      <c r="AA6480" s="1108"/>
      <c r="AB6480" s="1412"/>
    </row>
    <row r="6481">
      <c r="AA6481" s="1108"/>
      <c r="AB6481" s="1412"/>
    </row>
    <row r="6482">
      <c r="AA6482" s="1108"/>
      <c r="AB6482" s="1412"/>
    </row>
    <row r="6483">
      <c r="AA6483" s="1108"/>
      <c r="AB6483" s="1412"/>
    </row>
    <row r="6484">
      <c r="AA6484" s="1108"/>
      <c r="AB6484" s="1412"/>
    </row>
    <row r="6485">
      <c r="AA6485" s="1108"/>
      <c r="AB6485" s="1412"/>
    </row>
    <row r="6486">
      <c r="AA6486" s="1108"/>
      <c r="AB6486" s="1412"/>
    </row>
    <row r="6487">
      <c r="AA6487" s="1108"/>
      <c r="AB6487" s="1412"/>
    </row>
    <row r="6488">
      <c r="AA6488" s="1108"/>
      <c r="AB6488" s="1412"/>
    </row>
    <row r="6489">
      <c r="AA6489" s="1108"/>
      <c r="AB6489" s="1412"/>
    </row>
    <row r="6490">
      <c r="AA6490" s="1108"/>
      <c r="AB6490" s="1412"/>
    </row>
    <row r="6491">
      <c r="AA6491" s="1108"/>
      <c r="AB6491" s="1412"/>
    </row>
    <row r="6492">
      <c r="AA6492" s="1108"/>
      <c r="AB6492" s="1412"/>
    </row>
    <row r="6493">
      <c r="AA6493" s="1108"/>
      <c r="AB6493" s="1412"/>
    </row>
    <row r="6494">
      <c r="AA6494" s="1108"/>
      <c r="AB6494" s="1412"/>
    </row>
    <row r="6495">
      <c r="AA6495" s="1108"/>
      <c r="AB6495" s="1412"/>
    </row>
    <row r="6496">
      <c r="AA6496" s="1108"/>
      <c r="AB6496" s="1412"/>
    </row>
    <row r="6497">
      <c r="AA6497" s="1108"/>
      <c r="AB6497" s="1412"/>
    </row>
    <row r="6498">
      <c r="AA6498" s="1108"/>
      <c r="AB6498" s="1412"/>
    </row>
    <row r="6499">
      <c r="AA6499" s="1108"/>
      <c r="AB6499" s="1412"/>
    </row>
    <row r="6500">
      <c r="AA6500" s="1108"/>
      <c r="AB6500" s="1412"/>
    </row>
    <row r="6501">
      <c r="AA6501" s="1108"/>
      <c r="AB6501" s="1412"/>
    </row>
    <row r="6502">
      <c r="AA6502" s="1108"/>
      <c r="AB6502" s="1412"/>
    </row>
    <row r="6503">
      <c r="AA6503" s="1108"/>
      <c r="AB6503" s="1412"/>
    </row>
    <row r="6504">
      <c r="AA6504" s="1108"/>
      <c r="AB6504" s="1412"/>
    </row>
    <row r="6505">
      <c r="AA6505" s="1108"/>
      <c r="AB6505" s="1412"/>
    </row>
    <row r="6506">
      <c r="AA6506" s="1108"/>
      <c r="AB6506" s="1412"/>
    </row>
    <row r="6507">
      <c r="AA6507" s="1108"/>
      <c r="AB6507" s="1412"/>
    </row>
    <row r="6508">
      <c r="AA6508" s="1108"/>
      <c r="AB6508" s="1412"/>
    </row>
    <row r="6509">
      <c r="AA6509" s="1108"/>
      <c r="AB6509" s="1412"/>
    </row>
    <row r="6510">
      <c r="AA6510" s="1108"/>
      <c r="AB6510" s="1412"/>
    </row>
    <row r="6511">
      <c r="AA6511" s="1108"/>
      <c r="AB6511" s="1412"/>
    </row>
    <row r="6512">
      <c r="AA6512" s="1108"/>
      <c r="AB6512" s="1412"/>
    </row>
    <row r="6513">
      <c r="AA6513" s="1108"/>
      <c r="AB6513" s="1412"/>
    </row>
    <row r="6514">
      <c r="AA6514" s="1108"/>
      <c r="AB6514" s="1412"/>
    </row>
    <row r="6515">
      <c r="AA6515" s="1108"/>
      <c r="AB6515" s="1412"/>
    </row>
    <row r="6516">
      <c r="AA6516" s="1108"/>
      <c r="AB6516" s="1412"/>
    </row>
    <row r="6517">
      <c r="AA6517" s="1108"/>
      <c r="AB6517" s="1412"/>
    </row>
    <row r="6518">
      <c r="AA6518" s="1108"/>
      <c r="AB6518" s="1412"/>
    </row>
    <row r="6519">
      <c r="AA6519" s="1108"/>
      <c r="AB6519" s="1412"/>
    </row>
    <row r="6520">
      <c r="AA6520" s="1108"/>
      <c r="AB6520" s="1412"/>
    </row>
    <row r="6521">
      <c r="AA6521" s="1108"/>
      <c r="AB6521" s="1412"/>
    </row>
    <row r="6522">
      <c r="AA6522" s="1108"/>
      <c r="AB6522" s="1412"/>
    </row>
    <row r="6523">
      <c r="AA6523" s="1108"/>
      <c r="AB6523" s="1412"/>
    </row>
    <row r="6524">
      <c r="AA6524" s="1108"/>
      <c r="AB6524" s="1412"/>
    </row>
    <row r="6525">
      <c r="AA6525" s="1108"/>
      <c r="AB6525" s="1412"/>
    </row>
    <row r="6526">
      <c r="AA6526" s="1108"/>
      <c r="AB6526" s="1412"/>
    </row>
    <row r="6527">
      <c r="AA6527" s="1108"/>
      <c r="AB6527" s="1412"/>
    </row>
    <row r="6528">
      <c r="AA6528" s="1108"/>
      <c r="AB6528" s="1412"/>
    </row>
    <row r="6529">
      <c r="AA6529" s="1108"/>
      <c r="AB6529" s="1412"/>
    </row>
    <row r="6530">
      <c r="AA6530" s="1108"/>
      <c r="AB6530" s="1412"/>
    </row>
    <row r="6531">
      <c r="AA6531" s="1108"/>
      <c r="AB6531" s="1412"/>
    </row>
    <row r="6532">
      <c r="AA6532" s="1108"/>
      <c r="AB6532" s="1412"/>
    </row>
    <row r="6533">
      <c r="AA6533" s="1108"/>
      <c r="AB6533" s="1412"/>
    </row>
    <row r="6534">
      <c r="AA6534" s="1108"/>
      <c r="AB6534" s="1412"/>
    </row>
    <row r="6535">
      <c r="AA6535" s="1108"/>
      <c r="AB6535" s="1412"/>
    </row>
    <row r="6536">
      <c r="AA6536" s="1108"/>
      <c r="AB6536" s="1412"/>
    </row>
    <row r="6537">
      <c r="AA6537" s="1108"/>
      <c r="AB6537" s="1412"/>
    </row>
    <row r="6538">
      <c r="AA6538" s="1108"/>
      <c r="AB6538" s="1412"/>
    </row>
    <row r="6539">
      <c r="AA6539" s="1108"/>
      <c r="AB6539" s="1412"/>
    </row>
    <row r="6540">
      <c r="AA6540" s="1108"/>
      <c r="AB6540" s="1412"/>
    </row>
    <row r="6541">
      <c r="AA6541" s="1108"/>
      <c r="AB6541" s="1412"/>
    </row>
    <row r="6542">
      <c r="AA6542" s="1108"/>
      <c r="AB6542" s="1412"/>
    </row>
    <row r="6543">
      <c r="AA6543" s="1108"/>
      <c r="AB6543" s="1412"/>
    </row>
    <row r="6544">
      <c r="AA6544" s="1108"/>
      <c r="AB6544" s="1412"/>
    </row>
    <row r="6545">
      <c r="AA6545" s="1108"/>
      <c r="AB6545" s="1412"/>
    </row>
    <row r="6546">
      <c r="AA6546" s="1108"/>
      <c r="AB6546" s="1412"/>
    </row>
    <row r="6547">
      <c r="AA6547" s="1108"/>
      <c r="AB6547" s="1412"/>
    </row>
    <row r="6548">
      <c r="AA6548" s="1108"/>
      <c r="AB6548" s="1412"/>
    </row>
    <row r="6549">
      <c r="AA6549" s="1108"/>
      <c r="AB6549" s="1412"/>
    </row>
    <row r="6550">
      <c r="AA6550" s="1108"/>
      <c r="AB6550" s="1412"/>
    </row>
    <row r="6551">
      <c r="AA6551" s="1108"/>
      <c r="AB6551" s="1412"/>
    </row>
    <row r="6552">
      <c r="AA6552" s="1108"/>
      <c r="AB6552" s="1412"/>
    </row>
    <row r="6553">
      <c r="AA6553" s="1108"/>
      <c r="AB6553" s="1412"/>
    </row>
    <row r="6554">
      <c r="AA6554" s="1108"/>
      <c r="AB6554" s="1412"/>
    </row>
    <row r="6555">
      <c r="AA6555" s="1108"/>
      <c r="AB6555" s="1412"/>
    </row>
    <row r="6556">
      <c r="AA6556" s="1108"/>
      <c r="AB6556" s="1412"/>
    </row>
    <row r="6557">
      <c r="AA6557" s="1108"/>
      <c r="AB6557" s="1412"/>
    </row>
    <row r="6558">
      <c r="AA6558" s="1108"/>
      <c r="AB6558" s="1412"/>
    </row>
    <row r="6559">
      <c r="AA6559" s="1108"/>
      <c r="AB6559" s="1412"/>
    </row>
    <row r="6560">
      <c r="AA6560" s="1108"/>
      <c r="AB6560" s="1412"/>
    </row>
    <row r="6561">
      <c r="AA6561" s="1108"/>
      <c r="AB6561" s="1412"/>
    </row>
    <row r="6562">
      <c r="AA6562" s="1108"/>
      <c r="AB6562" s="1412"/>
    </row>
    <row r="6563">
      <c r="AA6563" s="1108"/>
      <c r="AB6563" s="1412"/>
    </row>
    <row r="6564">
      <c r="AA6564" s="1108"/>
      <c r="AB6564" s="1412"/>
    </row>
    <row r="6565">
      <c r="AA6565" s="1108"/>
      <c r="AB6565" s="1412"/>
    </row>
    <row r="6566">
      <c r="AA6566" s="1108"/>
      <c r="AB6566" s="1412"/>
    </row>
    <row r="6567">
      <c r="AA6567" s="1108"/>
      <c r="AB6567" s="1412"/>
    </row>
    <row r="6568">
      <c r="AA6568" s="1108"/>
      <c r="AB6568" s="1412"/>
    </row>
    <row r="6569">
      <c r="AA6569" s="1108"/>
      <c r="AB6569" s="1412"/>
    </row>
    <row r="6570">
      <c r="AA6570" s="1108"/>
      <c r="AB6570" s="1412"/>
    </row>
    <row r="6571">
      <c r="AA6571" s="1108"/>
      <c r="AB6571" s="1412"/>
    </row>
    <row r="6572">
      <c r="AA6572" s="1108"/>
      <c r="AB6572" s="1412"/>
    </row>
    <row r="6573">
      <c r="AA6573" s="1108"/>
      <c r="AB6573" s="1412"/>
    </row>
    <row r="6574">
      <c r="AA6574" s="1108"/>
      <c r="AB6574" s="1412"/>
    </row>
    <row r="6575">
      <c r="AA6575" s="1108"/>
      <c r="AB6575" s="1412"/>
    </row>
    <row r="6576">
      <c r="AA6576" s="1108"/>
      <c r="AB6576" s="1412"/>
    </row>
    <row r="6577">
      <c r="AA6577" s="1108"/>
      <c r="AB6577" s="1412"/>
    </row>
    <row r="6578">
      <c r="AA6578" s="1108"/>
      <c r="AB6578" s="1412"/>
    </row>
    <row r="6579">
      <c r="AA6579" s="1108"/>
      <c r="AB6579" s="1412"/>
    </row>
    <row r="6580">
      <c r="AA6580" s="1108"/>
      <c r="AB6580" s="1412"/>
    </row>
    <row r="6581">
      <c r="AA6581" s="1108"/>
      <c r="AB6581" s="1412"/>
    </row>
    <row r="6582">
      <c r="AA6582" s="1108"/>
      <c r="AB6582" s="1412"/>
    </row>
    <row r="6583">
      <c r="AA6583" s="1108"/>
      <c r="AB6583" s="1412"/>
    </row>
    <row r="6584">
      <c r="AA6584" s="1108"/>
      <c r="AB6584" s="1412"/>
    </row>
    <row r="6585">
      <c r="AA6585" s="1108"/>
      <c r="AB6585" s="1412"/>
    </row>
    <row r="6586">
      <c r="AA6586" s="1108"/>
      <c r="AB6586" s="1412"/>
    </row>
    <row r="6587">
      <c r="AA6587" s="1108"/>
      <c r="AB6587" s="1412"/>
    </row>
    <row r="6588">
      <c r="AA6588" s="1108"/>
      <c r="AB6588" s="1412"/>
    </row>
    <row r="6589">
      <c r="AA6589" s="1108"/>
      <c r="AB6589" s="1412"/>
    </row>
    <row r="6590">
      <c r="AA6590" s="1108"/>
      <c r="AB6590" s="1412"/>
    </row>
    <row r="6591">
      <c r="AA6591" s="1108"/>
      <c r="AB6591" s="1412"/>
    </row>
    <row r="6592">
      <c r="AA6592" s="1108"/>
      <c r="AB6592" s="1412"/>
    </row>
    <row r="6593">
      <c r="AA6593" s="1108"/>
      <c r="AB6593" s="1412"/>
    </row>
    <row r="6594">
      <c r="AA6594" s="1108"/>
      <c r="AB6594" s="1412"/>
    </row>
    <row r="6595">
      <c r="AA6595" s="1108"/>
      <c r="AB6595" s="1412"/>
    </row>
    <row r="6596">
      <c r="AA6596" s="1108"/>
      <c r="AB6596" s="1412"/>
    </row>
    <row r="6597">
      <c r="AA6597" s="1108"/>
      <c r="AB6597" s="1412"/>
    </row>
    <row r="6598">
      <c r="AA6598" s="1108"/>
      <c r="AB6598" s="1412"/>
    </row>
    <row r="6599">
      <c r="AA6599" s="1108"/>
      <c r="AB6599" s="1412"/>
    </row>
    <row r="6600">
      <c r="AA6600" s="1108"/>
      <c r="AB6600" s="1412"/>
    </row>
    <row r="6601">
      <c r="AA6601" s="1108"/>
      <c r="AB6601" s="1412"/>
    </row>
    <row r="6602">
      <c r="AA6602" s="1108"/>
      <c r="AB6602" s="1412"/>
    </row>
    <row r="6603">
      <c r="AA6603" s="1108"/>
      <c r="AB6603" s="1412"/>
    </row>
    <row r="6604">
      <c r="AA6604" s="1108"/>
      <c r="AB6604" s="1412"/>
    </row>
    <row r="6605">
      <c r="AA6605" s="1108"/>
      <c r="AB6605" s="1412"/>
    </row>
    <row r="6606">
      <c r="AA6606" s="1108"/>
      <c r="AB6606" s="1412"/>
    </row>
    <row r="6607">
      <c r="AA6607" s="1108"/>
      <c r="AB6607" s="1412"/>
    </row>
    <row r="6608">
      <c r="AA6608" s="1108"/>
      <c r="AB6608" s="1412"/>
    </row>
    <row r="6609">
      <c r="AA6609" s="1108"/>
      <c r="AB6609" s="1412"/>
    </row>
    <row r="6610">
      <c r="AA6610" s="1108"/>
      <c r="AB6610" s="1412"/>
    </row>
    <row r="6611">
      <c r="AA6611" s="1108"/>
      <c r="AB6611" s="1412"/>
    </row>
    <row r="6612">
      <c r="AA6612" s="1108"/>
      <c r="AB6612" s="1412"/>
    </row>
    <row r="6613">
      <c r="AA6613" s="1108"/>
      <c r="AB6613" s="1412"/>
    </row>
    <row r="6614">
      <c r="AA6614" s="1108"/>
      <c r="AB6614" s="1412"/>
    </row>
    <row r="6615">
      <c r="AA6615" s="1108"/>
      <c r="AB6615" s="1412"/>
    </row>
    <row r="6616">
      <c r="AA6616" s="1108"/>
      <c r="AB6616" s="1412"/>
    </row>
    <row r="6617">
      <c r="AA6617" s="1108"/>
      <c r="AB6617" s="1412"/>
    </row>
    <row r="6618">
      <c r="AA6618" s="1108"/>
      <c r="AB6618" s="1412"/>
    </row>
    <row r="6619">
      <c r="AA6619" s="1108"/>
      <c r="AB6619" s="1412"/>
    </row>
    <row r="6620">
      <c r="AA6620" s="1108"/>
      <c r="AB6620" s="1412"/>
    </row>
    <row r="6621">
      <c r="AA6621" s="1108"/>
      <c r="AB6621" s="1412"/>
    </row>
    <row r="6622">
      <c r="AA6622" s="1108"/>
      <c r="AB6622" s="1412"/>
    </row>
    <row r="6623">
      <c r="AA6623" s="1108"/>
      <c r="AB6623" s="1412"/>
    </row>
    <row r="6624">
      <c r="AA6624" s="1108"/>
      <c r="AB6624" s="1412"/>
    </row>
    <row r="6625">
      <c r="AA6625" s="1108"/>
      <c r="AB6625" s="1412"/>
    </row>
    <row r="6626">
      <c r="AA6626" s="1108"/>
      <c r="AB6626" s="1412"/>
    </row>
    <row r="6627">
      <c r="AA6627" s="1108"/>
      <c r="AB6627" s="1412"/>
    </row>
    <row r="6628">
      <c r="AA6628" s="1108"/>
      <c r="AB6628" s="1412"/>
    </row>
    <row r="6629">
      <c r="AA6629" s="1108"/>
      <c r="AB6629" s="1412"/>
    </row>
    <row r="6630">
      <c r="AA6630" s="1108"/>
      <c r="AB6630" s="1412"/>
    </row>
    <row r="6631">
      <c r="AA6631" s="1108"/>
      <c r="AB6631" s="1412"/>
    </row>
    <row r="6632">
      <c r="AA6632" s="1108"/>
      <c r="AB6632" s="1412"/>
    </row>
    <row r="6633">
      <c r="AA6633" s="1108"/>
      <c r="AB6633" s="1412"/>
    </row>
    <row r="6634">
      <c r="AA6634" s="1108"/>
      <c r="AB6634" s="1412"/>
    </row>
    <row r="6635">
      <c r="AA6635" s="1108"/>
      <c r="AB6635" s="1412"/>
    </row>
    <row r="6636">
      <c r="AA6636" s="1108"/>
      <c r="AB6636" s="1412"/>
    </row>
    <row r="6637">
      <c r="AA6637" s="1108"/>
      <c r="AB6637" s="1412"/>
    </row>
    <row r="6638">
      <c r="AA6638" s="1108"/>
      <c r="AB6638" s="1412"/>
    </row>
    <row r="6639">
      <c r="AA6639" s="1108"/>
      <c r="AB6639" s="1412"/>
    </row>
    <row r="6640">
      <c r="AA6640" s="1108"/>
      <c r="AB6640" s="1412"/>
    </row>
    <row r="6641">
      <c r="AA6641" s="1108"/>
      <c r="AB6641" s="1412"/>
    </row>
    <row r="6642">
      <c r="AA6642" s="1108"/>
      <c r="AB6642" s="1412"/>
    </row>
    <row r="6643">
      <c r="AA6643" s="1108"/>
      <c r="AB6643" s="1412"/>
    </row>
    <row r="6644">
      <c r="AA6644" s="1108"/>
      <c r="AB6644" s="1412"/>
    </row>
    <row r="6645">
      <c r="AA6645" s="1108"/>
      <c r="AB6645" s="1412"/>
    </row>
    <row r="6646">
      <c r="AA6646" s="1108"/>
      <c r="AB6646" s="1412"/>
    </row>
    <row r="6647">
      <c r="AA6647" s="1108"/>
      <c r="AB6647" s="1412"/>
    </row>
    <row r="6648">
      <c r="AA6648" s="1108"/>
      <c r="AB6648" s="1412"/>
    </row>
    <row r="6649">
      <c r="AA6649" s="1108"/>
      <c r="AB6649" s="1412"/>
    </row>
    <row r="6650">
      <c r="AA6650" s="1108"/>
      <c r="AB6650" s="1412"/>
    </row>
    <row r="6651">
      <c r="AA6651" s="1108"/>
      <c r="AB6651" s="1412"/>
    </row>
    <row r="6652">
      <c r="AA6652" s="1108"/>
      <c r="AB6652" s="1412"/>
    </row>
    <row r="6653">
      <c r="AA6653" s="1108"/>
      <c r="AB6653" s="1412"/>
    </row>
    <row r="6654">
      <c r="AA6654" s="1108"/>
      <c r="AB6654" s="1412"/>
    </row>
    <row r="6655">
      <c r="AA6655" s="1108"/>
      <c r="AB6655" s="1412"/>
    </row>
    <row r="6656">
      <c r="AA6656" s="1108"/>
      <c r="AB6656" s="1412"/>
    </row>
    <row r="6657">
      <c r="AA6657" s="1108"/>
      <c r="AB6657" s="1412"/>
    </row>
    <row r="6658">
      <c r="AA6658" s="1108"/>
      <c r="AB6658" s="1412"/>
    </row>
    <row r="6659">
      <c r="AA6659" s="1108"/>
      <c r="AB6659" s="1412"/>
    </row>
    <row r="6660">
      <c r="AA6660" s="1108"/>
      <c r="AB6660" s="1412"/>
    </row>
    <row r="6661">
      <c r="AA6661" s="1108"/>
      <c r="AB6661" s="1412"/>
    </row>
    <row r="6662">
      <c r="AA6662" s="1108"/>
      <c r="AB6662" s="1412"/>
    </row>
    <row r="6663">
      <c r="AA6663" s="1108"/>
      <c r="AB6663" s="1412"/>
    </row>
    <row r="6664">
      <c r="AA6664" s="1108"/>
      <c r="AB6664" s="1412"/>
    </row>
    <row r="6665">
      <c r="AA6665" s="1108"/>
      <c r="AB6665" s="1412"/>
    </row>
    <row r="6666">
      <c r="AA6666" s="1108"/>
      <c r="AB6666" s="1412"/>
    </row>
    <row r="6667">
      <c r="AA6667" s="1108"/>
      <c r="AB6667" s="1412"/>
    </row>
    <row r="6668">
      <c r="AA6668" s="1108"/>
      <c r="AB6668" s="1412"/>
    </row>
    <row r="6669">
      <c r="AA6669" s="1108"/>
      <c r="AB6669" s="1412"/>
    </row>
    <row r="6670">
      <c r="AA6670" s="1108"/>
      <c r="AB6670" s="1412"/>
    </row>
    <row r="6671">
      <c r="AA6671" s="1108"/>
      <c r="AB6671" s="1412"/>
    </row>
    <row r="6672">
      <c r="AA6672" s="1108"/>
      <c r="AB6672" s="1412"/>
    </row>
    <row r="6673">
      <c r="AA6673" s="1108"/>
      <c r="AB6673" s="1412"/>
    </row>
    <row r="6674">
      <c r="AA6674" s="1108"/>
      <c r="AB6674" s="1412"/>
    </row>
    <row r="6675">
      <c r="AA6675" s="1108"/>
      <c r="AB6675" s="1412"/>
    </row>
    <row r="6676">
      <c r="AA6676" s="1108"/>
      <c r="AB6676" s="1412"/>
    </row>
    <row r="6677">
      <c r="AA6677" s="1108"/>
      <c r="AB6677" s="1412"/>
    </row>
    <row r="6678">
      <c r="AA6678" s="1108"/>
      <c r="AB6678" s="1412"/>
    </row>
    <row r="6679">
      <c r="AA6679" s="1108"/>
      <c r="AB6679" s="1412"/>
    </row>
    <row r="6680">
      <c r="AA6680" s="1108"/>
      <c r="AB6680" s="1412"/>
    </row>
    <row r="6681">
      <c r="AA6681" s="1108"/>
      <c r="AB6681" s="1412"/>
    </row>
    <row r="6682">
      <c r="AA6682" s="1108"/>
      <c r="AB6682" s="1412"/>
    </row>
    <row r="6683">
      <c r="AA6683" s="1108"/>
      <c r="AB6683" s="1412"/>
    </row>
    <row r="6684">
      <c r="AA6684" s="1108"/>
      <c r="AB6684" s="1412"/>
    </row>
    <row r="6685">
      <c r="AA6685" s="1108"/>
      <c r="AB6685" s="1412"/>
    </row>
    <row r="6686">
      <c r="AA6686" s="1108"/>
      <c r="AB6686" s="1412"/>
    </row>
    <row r="6687">
      <c r="AA6687" s="1108"/>
      <c r="AB6687" s="1412"/>
    </row>
  </sheetData>
  <mergeCells count="8">
    <mergeCell ref="K1:K2"/>
    <mergeCell ref="L1:L2"/>
    <mergeCell ref="M1:M2"/>
    <mergeCell ref="N1:N2"/>
    <mergeCell ref="O1:P1"/>
    <mergeCell ref="Q1:R1"/>
    <mergeCell ref="U18:U19"/>
    <mergeCell ref="U20:U21"/>
  </mergeCells>
  <conditionalFormatting sqref="AA1:AA6687">
    <cfRule type="expression" dxfId="4" priority="1">
      <formula>FIND("TADI's purge", $P1)</formula>
    </cfRule>
  </conditionalFormatting>
  <conditionalFormatting sqref="G2:G13">
    <cfRule type="colorScale" priority="2">
      <colorScale>
        <cfvo type="min"/>
        <cfvo type="percentile" val="50"/>
        <cfvo type="max"/>
        <color rgb="FF57BB8A"/>
        <color rgb="FFFFD666"/>
        <color rgb="FFE67C73"/>
      </colorScale>
    </cfRule>
  </conditionalFormatting>
  <conditionalFormatting sqref="O3:R25">
    <cfRule type="colorScale" priority="3">
      <colorScale>
        <cfvo type="min"/>
        <cfvo type="max"/>
        <color rgb="FFFFFFFF"/>
        <color rgb="FF57BB8A"/>
      </colorScale>
    </cfRule>
  </conditionalFormatting>
  <conditionalFormatting sqref="P42">
    <cfRule type="colorScale" priority="4">
      <colorScale>
        <cfvo type="min"/>
        <cfvo type="percentile" val="50"/>
        <cfvo type="max"/>
        <color rgb="FFE67C73"/>
        <color rgb="FFFFD666"/>
        <color rgb="FF57BB8A"/>
      </colorScale>
    </cfRule>
  </conditionalFormatting>
  <conditionalFormatting sqref="N3:N25">
    <cfRule type="colorScale" priority="5">
      <colorScale>
        <cfvo type="min"/>
        <cfvo type="percentile" val="50"/>
        <cfvo type="max"/>
        <color rgb="FFE67C73"/>
        <color rgb="FFFFD666"/>
        <color rgb="FF57BB8A"/>
      </colorScale>
    </cfRule>
  </conditionalFormatting>
  <drawing r:id="rId1"/>
</worksheet>
</file>